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Lecheverri\Downloads\"/>
    </mc:Choice>
  </mc:AlternateContent>
  <bookViews>
    <workbookView xWindow="-120" yWindow="-120" windowWidth="29040" windowHeight="15720"/>
  </bookViews>
  <sheets>
    <sheet name="PAA 2024" sheetId="3" r:id="rId1"/>
    <sheet name="Contrato" sheetId="4" r:id="rId2"/>
  </sheets>
  <externalReferences>
    <externalReference r:id="rId3"/>
    <externalReference r:id="rId4"/>
    <externalReference r:id="rId5"/>
    <externalReference r:id="rId6"/>
  </externalReferences>
  <definedNames>
    <definedName name="_xlnm._FilterDatabase" localSheetId="1" hidden="1">Contrato!$Z$927:$Z$927</definedName>
    <definedName name="_xlnm._FilterDatabase" localSheetId="0" hidden="1">'PAA 2024'!$Y$2:$Y$5</definedName>
    <definedName name="A">#REF!</definedName>
    <definedName name="APOYO">#REF!</definedName>
    <definedName name="_xlnm.Print_Area" localSheetId="1">Contrato!$B$9</definedName>
    <definedName name="_xlnm.Print_Area" localSheetId="0">'PAA 2024'!$J$109</definedName>
    <definedName name="B">#REF!</definedName>
    <definedName name="BASEDATOS">#REF!</definedName>
    <definedName name="cambiar">#REF!</definedName>
    <definedName name="camila">#REF!</definedName>
    <definedName name="CAPACITACION">#REF!</definedName>
    <definedName name="CAR">#REF!</definedName>
    <definedName name="Contratación">'[1]Tipo de Contratación'!$A$1:$E$1</definedName>
    <definedName name="CONTRATOS">#REF!</definedName>
    <definedName name="D">#REF!</definedName>
    <definedName name="E">#REF!</definedName>
    <definedName name="ESCUELAS">#REF!</definedName>
    <definedName name="G">#REF!</definedName>
    <definedName name="H">#REF!</definedName>
    <definedName name="I">#REF!</definedName>
    <definedName name="IMAGEN">#REF!</definedName>
    <definedName name="INFRAESTRUCTURA">#REF!</definedName>
    <definedName name="J">#REF!</definedName>
    <definedName name="jorge">#REF!</definedName>
    <definedName name="JUEGOS">#REF!</definedName>
    <definedName name="K">#REF!</definedName>
    <definedName name="L">#REF!</definedName>
    <definedName name="M">#REF!</definedName>
    <definedName name="MEDICO">#REF!</definedName>
    <definedName name="N">#REF!</definedName>
    <definedName name="O">#REF!</definedName>
    <definedName name="OBSERVATORIO">#REF!</definedName>
    <definedName name="OLE_LINK1" localSheetId="1">Contrato!$C$887</definedName>
    <definedName name="P">#REF!</definedName>
    <definedName name="POTENCIAL">#REF!</definedName>
    <definedName name="Proeycto">#REF!</definedName>
    <definedName name="PROY" localSheetId="1">'[2]PAA 2024'!#REF!</definedName>
    <definedName name="PROY" localSheetId="0">'PAA 2024'!#REF!</definedName>
    <definedName name="PROY">#REF!</definedName>
    <definedName name="PROYEC" localSheetId="1">'[2]PAA 2024'!#REF!</definedName>
    <definedName name="PROYEC" localSheetId="0">'PAA 2024'!#REF!</definedName>
    <definedName name="PROYEC">#REF!</definedName>
    <definedName name="PROYECTOS">[3]Hoja7!$E$2:$E$19</definedName>
    <definedName name="PROYECTOS1">'[4]PROYECTOS 2012 - 2015'!$E$2:$E$19</definedName>
    <definedName name="Q">#REF!</definedName>
    <definedName name="RECREACION">#REF!</definedName>
    <definedName name="SALUD">#REF!</definedName>
    <definedName name="SEDUCATIVO">#REF!</definedName>
    <definedName name="SISTEMAS">#REF!</definedName>
    <definedName name="SUPER">#REF!</definedName>
    <definedName name="UVA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920" i="4" l="1"/>
  <c r="AI920" i="4"/>
  <c r="AH920" i="4" s="1"/>
  <c r="AF920" i="4"/>
  <c r="AG920" i="4" s="1"/>
  <c r="S920" i="4"/>
  <c r="AK919" i="4"/>
  <c r="AI919" i="4"/>
  <c r="AH919" i="4" s="1"/>
  <c r="AF919" i="4"/>
  <c r="AG919" i="4" s="1"/>
  <c r="S919" i="4"/>
  <c r="AK918" i="4"/>
  <c r="AI918" i="4"/>
  <c r="AH918" i="4" s="1"/>
  <c r="AF918" i="4"/>
  <c r="AG918" i="4" s="1"/>
  <c r="S918" i="4"/>
  <c r="AK917" i="4"/>
  <c r="AI917" i="4"/>
  <c r="AH917" i="4" s="1"/>
  <c r="AF917" i="4"/>
  <c r="AG917" i="4" s="1"/>
  <c r="S917" i="4"/>
  <c r="AK916" i="4"/>
  <c r="AI916" i="4"/>
  <c r="AH916" i="4" s="1"/>
  <c r="AF916" i="4"/>
  <c r="AG916" i="4" s="1"/>
  <c r="S916" i="4"/>
  <c r="AK915" i="4"/>
  <c r="AI915" i="4"/>
  <c r="AH915" i="4" s="1"/>
  <c r="AF915" i="4"/>
  <c r="AG915" i="4" s="1"/>
  <c r="S915" i="4"/>
  <c r="AK914" i="4"/>
  <c r="AI914" i="4"/>
  <c r="AH914" i="4" s="1"/>
  <c r="AF914" i="4"/>
  <c r="AG914" i="4" s="1"/>
  <c r="S914" i="4"/>
  <c r="AK913" i="4"/>
  <c r="AI913" i="4"/>
  <c r="AH913" i="4" s="1"/>
  <c r="AF913" i="4"/>
  <c r="AG913" i="4" s="1"/>
  <c r="S913" i="4"/>
  <c r="AK912" i="4"/>
  <c r="AI912" i="4"/>
  <c r="AH912" i="4" s="1"/>
  <c r="AF912" i="4"/>
  <c r="AG912" i="4" s="1"/>
  <c r="S912" i="4"/>
  <c r="AK911" i="4"/>
  <c r="AI911" i="4"/>
  <c r="AH911" i="4" s="1"/>
  <c r="AF911" i="4"/>
  <c r="AG911" i="4" s="1"/>
  <c r="S911" i="4"/>
  <c r="AK910" i="4"/>
  <c r="AI910" i="4"/>
  <c r="AH910" i="4" s="1"/>
  <c r="AF910" i="4"/>
  <c r="AG910" i="4" s="1"/>
  <c r="S910" i="4"/>
  <c r="AK909" i="4"/>
  <c r="AI909" i="4"/>
  <c r="AH909" i="4" s="1"/>
  <c r="AF909" i="4"/>
  <c r="AG909" i="4" s="1"/>
  <c r="V909" i="4"/>
  <c r="S909" i="4"/>
  <c r="AK908" i="4"/>
  <c r="AI908" i="4"/>
  <c r="AH908" i="4" s="1"/>
  <c r="AF908" i="4"/>
  <c r="AG908" i="4" s="1"/>
  <c r="S908" i="4"/>
  <c r="AK907" i="4"/>
  <c r="AI907" i="4"/>
  <c r="AH907" i="4" s="1"/>
  <c r="AF907" i="4"/>
  <c r="AG907" i="4" s="1"/>
  <c r="S907" i="4"/>
  <c r="AK906" i="4"/>
  <c r="AI906" i="4"/>
  <c r="AH906" i="4" s="1"/>
  <c r="AF906" i="4"/>
  <c r="AG906" i="4" s="1"/>
  <c r="S906" i="4"/>
  <c r="AK905" i="4"/>
  <c r="AI905" i="4"/>
  <c r="AH905" i="4" s="1"/>
  <c r="AF905" i="4"/>
  <c r="AG905" i="4" s="1"/>
  <c r="S905" i="4"/>
  <c r="AK904" i="4"/>
  <c r="AI904" i="4"/>
  <c r="AH904" i="4" s="1"/>
  <c r="AF904" i="4"/>
  <c r="AG904" i="4" s="1"/>
  <c r="S904" i="4"/>
  <c r="AK903" i="4"/>
  <c r="AI903" i="4"/>
  <c r="AH903" i="4" s="1"/>
  <c r="AF903" i="4"/>
  <c r="AG903" i="4" s="1"/>
  <c r="S903" i="4"/>
  <c r="AK902" i="4"/>
  <c r="AI902" i="4"/>
  <c r="AH902" i="4" s="1"/>
  <c r="AF902" i="4"/>
  <c r="AG902" i="4" s="1"/>
  <c r="S902" i="4"/>
  <c r="AK901" i="4"/>
  <c r="AI901" i="4"/>
  <c r="AH901" i="4" s="1"/>
  <c r="AF901" i="4"/>
  <c r="AG901" i="4" s="1"/>
  <c r="S901" i="4"/>
  <c r="AK900" i="4"/>
  <c r="AI900" i="4"/>
  <c r="AH900" i="4" s="1"/>
  <c r="AF900" i="4"/>
  <c r="AG900" i="4" s="1"/>
  <c r="S900" i="4"/>
  <c r="AK899" i="4"/>
  <c r="AI899" i="4"/>
  <c r="AH899" i="4" s="1"/>
  <c r="AF899" i="4"/>
  <c r="AG899" i="4" s="1"/>
  <c r="S899" i="4"/>
  <c r="AK898" i="4"/>
  <c r="AI898" i="4"/>
  <c r="AH898" i="4" s="1"/>
  <c r="AF898" i="4"/>
  <c r="AG898" i="4" s="1"/>
  <c r="S898" i="4"/>
  <c r="AK897" i="4"/>
  <c r="AI897" i="4"/>
  <c r="AH897" i="4" s="1"/>
  <c r="AF897" i="4"/>
  <c r="AG897" i="4" s="1"/>
  <c r="S897" i="4"/>
  <c r="AK896" i="4"/>
  <c r="AI896" i="4"/>
  <c r="AH896" i="4" s="1"/>
  <c r="AF896" i="4"/>
  <c r="AG896" i="4" s="1"/>
  <c r="S896" i="4"/>
  <c r="AK895" i="4"/>
  <c r="AI895" i="4"/>
  <c r="AH895" i="4" s="1"/>
  <c r="AF895" i="4"/>
  <c r="AG895" i="4" s="1"/>
  <c r="S895" i="4"/>
  <c r="AK894" i="4"/>
  <c r="AI894" i="4"/>
  <c r="AH894" i="4" s="1"/>
  <c r="AF894" i="4"/>
  <c r="AG894" i="4" s="1"/>
  <c r="S894" i="4"/>
  <c r="AK893" i="4"/>
  <c r="AI893" i="4"/>
  <c r="AH893" i="4" s="1"/>
  <c r="AF893" i="4"/>
  <c r="AG893" i="4" s="1"/>
  <c r="S893" i="4"/>
  <c r="AK892" i="4"/>
  <c r="AI892" i="4"/>
  <c r="AH892" i="4" s="1"/>
  <c r="AF892" i="4"/>
  <c r="AG892" i="4" s="1"/>
  <c r="S892" i="4"/>
  <c r="AK891" i="4"/>
  <c r="AI891" i="4"/>
  <c r="AH891" i="4" s="1"/>
  <c r="AF891" i="4"/>
  <c r="AG891" i="4" s="1"/>
  <c r="S891" i="4"/>
  <c r="AK890" i="4"/>
  <c r="AI890" i="4"/>
  <c r="AH890" i="4" s="1"/>
  <c r="AF890" i="4"/>
  <c r="AG890" i="4" s="1"/>
  <c r="S890" i="4"/>
  <c r="AK889" i="4"/>
  <c r="AI889" i="4"/>
  <c r="AH889" i="4" s="1"/>
  <c r="AF889" i="4"/>
  <c r="AG889" i="4" s="1"/>
  <c r="S889" i="4"/>
  <c r="AK888" i="4"/>
  <c r="AI888" i="4"/>
  <c r="AH888" i="4" s="1"/>
  <c r="AF888" i="4"/>
  <c r="AG888" i="4" s="1"/>
  <c r="S888" i="4"/>
  <c r="AK887" i="4"/>
  <c r="AI887" i="4"/>
  <c r="AH887" i="4" s="1"/>
  <c r="AF887" i="4"/>
  <c r="AG887" i="4" s="1"/>
  <c r="S887" i="4"/>
  <c r="AK886" i="4"/>
  <c r="AI886" i="4"/>
  <c r="AH886" i="4" s="1"/>
  <c r="AF886" i="4"/>
  <c r="AG886" i="4" s="1"/>
  <c r="S886" i="4"/>
  <c r="AK885" i="4"/>
  <c r="AI885" i="4"/>
  <c r="AH885" i="4" s="1"/>
  <c r="AF885" i="4"/>
  <c r="AG885" i="4" s="1"/>
  <c r="S885" i="4"/>
  <c r="AK884" i="4"/>
  <c r="AI884" i="4"/>
  <c r="AH884" i="4" s="1"/>
  <c r="AF884" i="4"/>
  <c r="AG884" i="4" s="1"/>
  <c r="S884" i="4"/>
  <c r="AK883" i="4"/>
  <c r="AI883" i="4"/>
  <c r="AH883" i="4" s="1"/>
  <c r="AF883" i="4"/>
  <c r="AG883" i="4" s="1"/>
  <c r="S883" i="4"/>
  <c r="AL882" i="4"/>
  <c r="AK882" i="4"/>
  <c r="AI882" i="4"/>
  <c r="AH882" i="4" s="1"/>
  <c r="AF882" i="4"/>
  <c r="AG882" i="4" s="1"/>
  <c r="AK881" i="4"/>
  <c r="AI881" i="4"/>
  <c r="AH881" i="4" s="1"/>
  <c r="AF881" i="4"/>
  <c r="AG881" i="4" s="1"/>
  <c r="S881" i="4"/>
  <c r="AK880" i="4"/>
  <c r="AI880" i="4"/>
  <c r="AH880" i="4" s="1"/>
  <c r="AF880" i="4"/>
  <c r="AG880" i="4" s="1"/>
  <c r="S880" i="4"/>
  <c r="AK879" i="4"/>
  <c r="AI879" i="4"/>
  <c r="AH879" i="4" s="1"/>
  <c r="AF879" i="4"/>
  <c r="AG879" i="4" s="1"/>
  <c r="S879" i="4"/>
  <c r="AK878" i="4"/>
  <c r="AI878" i="4"/>
  <c r="AH878" i="4" s="1"/>
  <c r="AF878" i="4"/>
  <c r="AG878" i="4" s="1"/>
  <c r="S878" i="4"/>
  <c r="AK877" i="4"/>
  <c r="AI877" i="4"/>
  <c r="AH877" i="4" s="1"/>
  <c r="AF877" i="4"/>
  <c r="AG877" i="4" s="1"/>
  <c r="S877" i="4"/>
  <c r="AK876" i="4"/>
  <c r="AI876" i="4"/>
  <c r="AH876" i="4" s="1"/>
  <c r="AF876" i="4"/>
  <c r="AG876" i="4" s="1"/>
  <c r="S876" i="4"/>
  <c r="AK875" i="4"/>
  <c r="AI875" i="4"/>
  <c r="AH875" i="4" s="1"/>
  <c r="AF875" i="4"/>
  <c r="AG875" i="4" s="1"/>
  <c r="S875" i="4"/>
  <c r="AK874" i="4"/>
  <c r="AI874" i="4"/>
  <c r="AH874" i="4" s="1"/>
  <c r="AF874" i="4"/>
  <c r="AG874" i="4" s="1"/>
  <c r="S874" i="4"/>
  <c r="AK873" i="4"/>
  <c r="AI873" i="4"/>
  <c r="AH873" i="4" s="1"/>
  <c r="AF873" i="4"/>
  <c r="AG873" i="4" s="1"/>
  <c r="S873" i="4"/>
  <c r="AK872" i="4"/>
  <c r="AI872" i="4"/>
  <c r="AH872" i="4" s="1"/>
  <c r="AF872" i="4"/>
  <c r="AG872" i="4" s="1"/>
  <c r="S872" i="4"/>
  <c r="AK871" i="4"/>
  <c r="AI871" i="4"/>
  <c r="AH871" i="4" s="1"/>
  <c r="AF871" i="4"/>
  <c r="AG871" i="4" s="1"/>
  <c r="S871" i="4"/>
  <c r="AK870" i="4"/>
  <c r="AI870" i="4"/>
  <c r="AH870" i="4" s="1"/>
  <c r="AF870" i="4"/>
  <c r="AG870" i="4" s="1"/>
  <c r="S870" i="4"/>
  <c r="AK869" i="4"/>
  <c r="AI869" i="4"/>
  <c r="AH869" i="4" s="1"/>
  <c r="AF869" i="4"/>
  <c r="AG869" i="4" s="1"/>
  <c r="S869" i="4"/>
  <c r="AK868" i="4"/>
  <c r="AI868" i="4"/>
  <c r="AH868" i="4" s="1"/>
  <c r="AF868" i="4"/>
  <c r="AG868" i="4" s="1"/>
  <c r="S868" i="4"/>
  <c r="AK867" i="4"/>
  <c r="AI867" i="4"/>
  <c r="AH867" i="4" s="1"/>
  <c r="AF867" i="4"/>
  <c r="AG867" i="4" s="1"/>
  <c r="S867" i="4"/>
  <c r="AK866" i="4"/>
  <c r="AI866" i="4"/>
  <c r="AH866" i="4" s="1"/>
  <c r="AF866" i="4"/>
  <c r="AG866" i="4" s="1"/>
  <c r="S866" i="4"/>
  <c r="AK865" i="4"/>
  <c r="AI865" i="4"/>
  <c r="AH865" i="4" s="1"/>
  <c r="AG865" i="4"/>
  <c r="AF865" i="4"/>
  <c r="S865" i="4"/>
  <c r="AK864" i="4"/>
  <c r="AI864" i="4"/>
  <c r="AH864" i="4" s="1"/>
  <c r="AF864" i="4"/>
  <c r="AG864" i="4" s="1"/>
  <c r="S864" i="4"/>
  <c r="AK863" i="4"/>
  <c r="AI863" i="4"/>
  <c r="AH863" i="4" s="1"/>
  <c r="AF863" i="4"/>
  <c r="AG863" i="4" s="1"/>
  <c r="S863" i="4"/>
  <c r="AK862" i="4"/>
  <c r="AI862" i="4"/>
  <c r="AH862" i="4" s="1"/>
  <c r="AF862" i="4"/>
  <c r="AG862" i="4" s="1"/>
  <c r="S862" i="4"/>
  <c r="AK861" i="4"/>
  <c r="AI861" i="4"/>
  <c r="AH861" i="4" s="1"/>
  <c r="AF861" i="4"/>
  <c r="AG861" i="4" s="1"/>
  <c r="S861" i="4"/>
  <c r="AK860" i="4"/>
  <c r="AI860" i="4"/>
  <c r="AH860" i="4" s="1"/>
  <c r="AF860" i="4"/>
  <c r="AG860" i="4" s="1"/>
  <c r="S860" i="4"/>
  <c r="AK859" i="4"/>
  <c r="AI859" i="4"/>
  <c r="AH859" i="4" s="1"/>
  <c r="AF859" i="4"/>
  <c r="AG859" i="4" s="1"/>
  <c r="S859" i="4"/>
  <c r="AK858" i="4"/>
  <c r="AI858" i="4"/>
  <c r="AH858" i="4" s="1"/>
  <c r="AF858" i="4"/>
  <c r="AG858" i="4" s="1"/>
  <c r="S858" i="4"/>
  <c r="AK857" i="4"/>
  <c r="AI857" i="4"/>
  <c r="AH857" i="4" s="1"/>
  <c r="AF857" i="4"/>
  <c r="AG857" i="4" s="1"/>
  <c r="S857" i="4"/>
  <c r="AK856" i="4"/>
  <c r="AI856" i="4"/>
  <c r="AH856" i="4" s="1"/>
  <c r="AF856" i="4"/>
  <c r="AG856" i="4" s="1"/>
  <c r="S856" i="4"/>
  <c r="J856" i="4"/>
  <c r="AK855" i="4"/>
  <c r="AI855" i="4"/>
  <c r="AH855" i="4" s="1"/>
  <c r="AF855" i="4"/>
  <c r="AG855" i="4" s="1"/>
  <c r="S855" i="4"/>
  <c r="AK854" i="4"/>
  <c r="AI854" i="4"/>
  <c r="AH854" i="4" s="1"/>
  <c r="AF854" i="4"/>
  <c r="AG854" i="4" s="1"/>
  <c r="S854" i="4"/>
  <c r="AK853" i="4"/>
  <c r="AI853" i="4"/>
  <c r="AH853" i="4" s="1"/>
  <c r="AF853" i="4"/>
  <c r="AG853" i="4" s="1"/>
  <c r="S853" i="4"/>
  <c r="AK852" i="4"/>
  <c r="AI852" i="4"/>
  <c r="AH852" i="4" s="1"/>
  <c r="AF852" i="4"/>
  <c r="AG852" i="4" s="1"/>
  <c r="S852" i="4"/>
  <c r="AK851" i="4"/>
  <c r="AI851" i="4"/>
  <c r="AH851" i="4" s="1"/>
  <c r="AF851" i="4"/>
  <c r="AG851" i="4" s="1"/>
  <c r="S851" i="4"/>
  <c r="AK850" i="4"/>
  <c r="AI850" i="4"/>
  <c r="AH850" i="4" s="1"/>
  <c r="AF850" i="4"/>
  <c r="AG850" i="4" s="1"/>
  <c r="S850" i="4"/>
  <c r="AK849" i="4"/>
  <c r="AI849" i="4"/>
  <c r="AH849" i="4" s="1"/>
  <c r="AF849" i="4"/>
  <c r="AG849" i="4" s="1"/>
  <c r="S849" i="4"/>
  <c r="AK848" i="4"/>
  <c r="AI848" i="4"/>
  <c r="AH848" i="4" s="1"/>
  <c r="AF848" i="4"/>
  <c r="AG848" i="4" s="1"/>
  <c r="S848" i="4"/>
  <c r="AK847" i="4"/>
  <c r="AI847" i="4"/>
  <c r="AH847" i="4" s="1"/>
  <c r="AF847" i="4"/>
  <c r="AG847" i="4" s="1"/>
  <c r="S847" i="4"/>
  <c r="AK846" i="4"/>
  <c r="AI846" i="4"/>
  <c r="AH846" i="4" s="1"/>
  <c r="AF846" i="4"/>
  <c r="AG846" i="4" s="1"/>
  <c r="S846" i="4"/>
  <c r="AK845" i="4"/>
  <c r="AI845" i="4"/>
  <c r="AH845" i="4" s="1"/>
  <c r="AF845" i="4"/>
  <c r="AG845" i="4" s="1"/>
  <c r="V845" i="4"/>
  <c r="S845" i="4"/>
  <c r="AK844" i="4"/>
  <c r="AI844" i="4"/>
  <c r="AH844" i="4" s="1"/>
  <c r="AF844" i="4"/>
  <c r="AG844" i="4" s="1"/>
  <c r="S844" i="4"/>
  <c r="AK843" i="4"/>
  <c r="AI843" i="4"/>
  <c r="AH843" i="4" s="1"/>
  <c r="AF843" i="4"/>
  <c r="AG843" i="4" s="1"/>
  <c r="S843" i="4"/>
  <c r="AK842" i="4"/>
  <c r="AI842" i="4"/>
  <c r="AH842" i="4" s="1"/>
  <c r="AF842" i="4"/>
  <c r="AG842" i="4" s="1"/>
  <c r="S842" i="4"/>
  <c r="AK841" i="4"/>
  <c r="AI841" i="4"/>
  <c r="AH841" i="4" s="1"/>
  <c r="AF841" i="4"/>
  <c r="AG841" i="4" s="1"/>
  <c r="S841" i="4"/>
  <c r="AK840" i="4"/>
  <c r="AI840" i="4"/>
  <c r="AH840" i="4" s="1"/>
  <c r="AF840" i="4"/>
  <c r="AG840" i="4" s="1"/>
  <c r="S840" i="4"/>
  <c r="AK839" i="4"/>
  <c r="AI839" i="4"/>
  <c r="AH839" i="4" s="1"/>
  <c r="AF839" i="4"/>
  <c r="AG839" i="4" s="1"/>
  <c r="S839" i="4"/>
  <c r="AK838" i="4"/>
  <c r="AI838" i="4"/>
  <c r="AH838" i="4" s="1"/>
  <c r="AF838" i="4"/>
  <c r="AG838" i="4" s="1"/>
  <c r="S838" i="4"/>
  <c r="AK837" i="4"/>
  <c r="AI837" i="4"/>
  <c r="AH837" i="4" s="1"/>
  <c r="AF837" i="4"/>
  <c r="AG837" i="4" s="1"/>
  <c r="S837" i="4"/>
  <c r="AK836" i="4"/>
  <c r="AI836" i="4"/>
  <c r="AH836" i="4" s="1"/>
  <c r="AF836" i="4"/>
  <c r="AG836" i="4" s="1"/>
  <c r="S836" i="4"/>
  <c r="AK835" i="4"/>
  <c r="AI835" i="4"/>
  <c r="AH835" i="4" s="1"/>
  <c r="AF835" i="4"/>
  <c r="AG835" i="4" s="1"/>
  <c r="S835" i="4"/>
  <c r="AK834" i="4"/>
  <c r="AI834" i="4"/>
  <c r="AH834" i="4" s="1"/>
  <c r="AF834" i="4"/>
  <c r="AG834" i="4" s="1"/>
  <c r="S834" i="4"/>
  <c r="AK833" i="4"/>
  <c r="AI833" i="4"/>
  <c r="AH833" i="4"/>
  <c r="AF833" i="4"/>
  <c r="AG833" i="4" s="1"/>
  <c r="S833" i="4"/>
  <c r="AK832" i="4"/>
  <c r="AI832" i="4"/>
  <c r="AH832" i="4" s="1"/>
  <c r="AF832" i="4"/>
  <c r="AG832" i="4" s="1"/>
  <c r="S832" i="4"/>
  <c r="AK831" i="4"/>
  <c r="AI831" i="4"/>
  <c r="AH831" i="4" s="1"/>
  <c r="AF831" i="4"/>
  <c r="AG831" i="4" s="1"/>
  <c r="S831" i="4"/>
  <c r="AK830" i="4"/>
  <c r="AI830" i="4"/>
  <c r="AH830" i="4" s="1"/>
  <c r="AF830" i="4"/>
  <c r="AG830" i="4" s="1"/>
  <c r="S830" i="4"/>
  <c r="AK829" i="4"/>
  <c r="AI829" i="4"/>
  <c r="AH829" i="4" s="1"/>
  <c r="AF829" i="4"/>
  <c r="AG829" i="4" s="1"/>
  <c r="S829" i="4"/>
  <c r="AK828" i="4"/>
  <c r="AI828" i="4"/>
  <c r="AH828" i="4" s="1"/>
  <c r="AF828" i="4"/>
  <c r="AG828" i="4" s="1"/>
  <c r="S828" i="4"/>
  <c r="AK827" i="4"/>
  <c r="AI827" i="4"/>
  <c r="AH827" i="4" s="1"/>
  <c r="AF827" i="4"/>
  <c r="AG827" i="4" s="1"/>
  <c r="S827" i="4"/>
  <c r="AK826" i="4"/>
  <c r="AI826" i="4"/>
  <c r="AH826" i="4" s="1"/>
  <c r="AF826" i="4"/>
  <c r="AG826" i="4" s="1"/>
  <c r="S826" i="4"/>
  <c r="AK825" i="4"/>
  <c r="AI825" i="4"/>
  <c r="AH825" i="4" s="1"/>
  <c r="AF825" i="4"/>
  <c r="AG825" i="4" s="1"/>
  <c r="S825" i="4"/>
  <c r="AK824" i="4"/>
  <c r="AI824" i="4"/>
  <c r="AH824" i="4" s="1"/>
  <c r="AF824" i="4"/>
  <c r="AG824" i="4" s="1"/>
  <c r="S824" i="4"/>
  <c r="AK823" i="4"/>
  <c r="AI823" i="4"/>
  <c r="AH823" i="4" s="1"/>
  <c r="AF823" i="4"/>
  <c r="AG823" i="4" s="1"/>
  <c r="S823" i="4"/>
  <c r="AK822" i="4"/>
  <c r="AI822" i="4"/>
  <c r="AH822" i="4" s="1"/>
  <c r="AG822" i="4"/>
  <c r="AF822" i="4"/>
  <c r="S822" i="4"/>
  <c r="AK821" i="4"/>
  <c r="AI821" i="4"/>
  <c r="AH821" i="4" s="1"/>
  <c r="AF821" i="4"/>
  <c r="AG821" i="4" s="1"/>
  <c r="S821" i="4"/>
  <c r="AK820" i="4"/>
  <c r="AI820" i="4"/>
  <c r="AH820" i="4" s="1"/>
  <c r="AF820" i="4"/>
  <c r="AG820" i="4" s="1"/>
  <c r="S820" i="4"/>
  <c r="AK819" i="4"/>
  <c r="AI819" i="4"/>
  <c r="AH819" i="4" s="1"/>
  <c r="AF819" i="4"/>
  <c r="AG819" i="4" s="1"/>
  <c r="S819" i="4"/>
  <c r="AK818" i="4"/>
  <c r="AI818" i="4"/>
  <c r="AH818" i="4" s="1"/>
  <c r="AF818" i="4"/>
  <c r="AG818" i="4" s="1"/>
  <c r="S818" i="4"/>
  <c r="AK817" i="4"/>
  <c r="AI817" i="4"/>
  <c r="AH817" i="4" s="1"/>
  <c r="AF817" i="4"/>
  <c r="AG817" i="4" s="1"/>
  <c r="S817" i="4"/>
  <c r="AK816" i="4"/>
  <c r="AI816" i="4"/>
  <c r="AH816" i="4" s="1"/>
  <c r="AF816" i="4"/>
  <c r="AG816" i="4" s="1"/>
  <c r="S816" i="4"/>
  <c r="AK815" i="4"/>
  <c r="AI815" i="4"/>
  <c r="AH815" i="4" s="1"/>
  <c r="AF815" i="4"/>
  <c r="AG815" i="4" s="1"/>
  <c r="S815" i="4"/>
  <c r="AK814" i="4"/>
  <c r="AI814" i="4"/>
  <c r="AH814" i="4" s="1"/>
  <c r="AF814" i="4"/>
  <c r="AG814" i="4" s="1"/>
  <c r="S814" i="4"/>
  <c r="AK813" i="4"/>
  <c r="AI813" i="4"/>
  <c r="AH813" i="4" s="1"/>
  <c r="AF813" i="4"/>
  <c r="AG813" i="4" s="1"/>
  <c r="S813" i="4"/>
  <c r="AK812" i="4"/>
  <c r="AI812" i="4"/>
  <c r="AH812" i="4" s="1"/>
  <c r="AF812" i="4"/>
  <c r="AG812" i="4" s="1"/>
  <c r="S812" i="4"/>
  <c r="AK811" i="4"/>
  <c r="AI811" i="4"/>
  <c r="AH811" i="4" s="1"/>
  <c r="AF811" i="4"/>
  <c r="AG811" i="4" s="1"/>
  <c r="S811" i="4"/>
  <c r="AK810" i="4"/>
  <c r="AI810" i="4"/>
  <c r="AH810" i="4" s="1"/>
  <c r="AF810" i="4"/>
  <c r="AG810" i="4" s="1"/>
  <c r="S810" i="4"/>
  <c r="AK809" i="4"/>
  <c r="AI809" i="4"/>
  <c r="AH809" i="4" s="1"/>
  <c r="AF809" i="4"/>
  <c r="AG809" i="4" s="1"/>
  <c r="S809" i="4"/>
  <c r="AK808" i="4"/>
  <c r="AI808" i="4"/>
  <c r="AH808" i="4" s="1"/>
  <c r="AF808" i="4"/>
  <c r="AG808" i="4" s="1"/>
  <c r="S808" i="4"/>
  <c r="AK807" i="4"/>
  <c r="AI807" i="4"/>
  <c r="AH807" i="4" s="1"/>
  <c r="AF807" i="4"/>
  <c r="AG807" i="4" s="1"/>
  <c r="S807" i="4"/>
  <c r="AK806" i="4"/>
  <c r="AI806" i="4"/>
  <c r="AH806" i="4" s="1"/>
  <c r="AF806" i="4"/>
  <c r="AG806" i="4" s="1"/>
  <c r="S806" i="4"/>
  <c r="AK805" i="4"/>
  <c r="AI805" i="4"/>
  <c r="AH805" i="4" s="1"/>
  <c r="AF805" i="4"/>
  <c r="AG805" i="4" s="1"/>
  <c r="S805" i="4"/>
  <c r="AK804" i="4"/>
  <c r="AI804" i="4"/>
  <c r="AH804" i="4" s="1"/>
  <c r="AF804" i="4"/>
  <c r="AG804" i="4" s="1"/>
  <c r="S804" i="4"/>
  <c r="AK803" i="4"/>
  <c r="AI803" i="4"/>
  <c r="AH803" i="4" s="1"/>
  <c r="AF803" i="4"/>
  <c r="AG803" i="4" s="1"/>
  <c r="S803" i="4"/>
  <c r="AK802" i="4"/>
  <c r="AI802" i="4"/>
  <c r="AH802" i="4" s="1"/>
  <c r="AF802" i="4"/>
  <c r="AG802" i="4" s="1"/>
  <c r="S802" i="4"/>
  <c r="AK801" i="4"/>
  <c r="AI801" i="4"/>
  <c r="AH801" i="4" s="1"/>
  <c r="AF801" i="4"/>
  <c r="AG801" i="4" s="1"/>
  <c r="S801" i="4"/>
  <c r="AK800" i="4"/>
  <c r="AI800" i="4"/>
  <c r="AH800" i="4" s="1"/>
  <c r="AF800" i="4"/>
  <c r="AG800" i="4" s="1"/>
  <c r="S800" i="4"/>
  <c r="AK799" i="4"/>
  <c r="AI799" i="4"/>
  <c r="AH799" i="4" s="1"/>
  <c r="AF799" i="4"/>
  <c r="AG799" i="4" s="1"/>
  <c r="S799" i="4"/>
  <c r="AK798" i="4"/>
  <c r="AI798" i="4"/>
  <c r="AH798" i="4" s="1"/>
  <c r="AF798" i="4"/>
  <c r="AG798" i="4" s="1"/>
  <c r="S798" i="4"/>
  <c r="AK797" i="4"/>
  <c r="AI797" i="4"/>
  <c r="AH797" i="4" s="1"/>
  <c r="AF797" i="4"/>
  <c r="AG797" i="4" s="1"/>
  <c r="S797" i="4"/>
  <c r="AK796" i="4"/>
  <c r="AI796" i="4"/>
  <c r="AH796" i="4" s="1"/>
  <c r="AF796" i="4"/>
  <c r="AG796" i="4" s="1"/>
  <c r="S796" i="4"/>
  <c r="AK795" i="4"/>
  <c r="AI795" i="4"/>
  <c r="AH795" i="4" s="1"/>
  <c r="AF795" i="4"/>
  <c r="AG795" i="4" s="1"/>
  <c r="S795" i="4"/>
  <c r="AK794" i="4"/>
  <c r="AI794" i="4"/>
  <c r="AH794" i="4" s="1"/>
  <c r="AF794" i="4"/>
  <c r="AG794" i="4" s="1"/>
  <c r="S794" i="4"/>
  <c r="AK793" i="4"/>
  <c r="AI793" i="4"/>
  <c r="AH793" i="4" s="1"/>
  <c r="AF793" i="4"/>
  <c r="AG793" i="4" s="1"/>
  <c r="S793" i="4"/>
  <c r="AK792" i="4"/>
  <c r="AI792" i="4"/>
  <c r="AH792" i="4" s="1"/>
  <c r="AF792" i="4"/>
  <c r="AG792" i="4" s="1"/>
  <c r="S792" i="4"/>
  <c r="AK791" i="4"/>
  <c r="AI791" i="4"/>
  <c r="AH791" i="4" s="1"/>
  <c r="AF791" i="4"/>
  <c r="AG791" i="4" s="1"/>
  <c r="S791" i="4"/>
  <c r="AK790" i="4"/>
  <c r="AI790" i="4"/>
  <c r="AH790" i="4" s="1"/>
  <c r="AF790" i="4"/>
  <c r="AG790" i="4" s="1"/>
  <c r="S790" i="4"/>
  <c r="AK789" i="4"/>
  <c r="AI789" i="4"/>
  <c r="AH789" i="4" s="1"/>
  <c r="AF789" i="4"/>
  <c r="AG789" i="4" s="1"/>
  <c r="S789" i="4"/>
  <c r="AK788" i="4"/>
  <c r="AI788" i="4"/>
  <c r="AH788" i="4" s="1"/>
  <c r="AF788" i="4"/>
  <c r="AG788" i="4" s="1"/>
  <c r="S788" i="4"/>
  <c r="AK787" i="4"/>
  <c r="AI787" i="4"/>
  <c r="AH787" i="4" s="1"/>
  <c r="AF787" i="4"/>
  <c r="AG787" i="4" s="1"/>
  <c r="S787" i="4"/>
  <c r="AK786" i="4"/>
  <c r="AI786" i="4"/>
  <c r="AH786" i="4" s="1"/>
  <c r="AF786" i="4"/>
  <c r="AG786" i="4" s="1"/>
  <c r="S786" i="4"/>
  <c r="AK785" i="4"/>
  <c r="AI785" i="4"/>
  <c r="AH785" i="4" s="1"/>
  <c r="AF785" i="4"/>
  <c r="AG785" i="4" s="1"/>
  <c r="S785" i="4"/>
  <c r="AK784" i="4"/>
  <c r="AI784" i="4"/>
  <c r="AH784" i="4" s="1"/>
  <c r="AF784" i="4"/>
  <c r="AG784" i="4" s="1"/>
  <c r="S784" i="4"/>
  <c r="AK783" i="4"/>
  <c r="AI783" i="4"/>
  <c r="AH783" i="4" s="1"/>
  <c r="AF783" i="4"/>
  <c r="AG783" i="4" s="1"/>
  <c r="S783" i="4"/>
  <c r="AK782" i="4"/>
  <c r="AI782" i="4"/>
  <c r="AH782" i="4" s="1"/>
  <c r="AF782" i="4"/>
  <c r="AG782" i="4" s="1"/>
  <c r="S782" i="4"/>
  <c r="AK781" i="4"/>
  <c r="AI781" i="4"/>
  <c r="AH781" i="4" s="1"/>
  <c r="AF781" i="4"/>
  <c r="AG781" i="4" s="1"/>
  <c r="S781" i="4"/>
  <c r="AK780" i="4"/>
  <c r="AI780" i="4"/>
  <c r="AH780" i="4" s="1"/>
  <c r="AF780" i="4"/>
  <c r="AG780" i="4" s="1"/>
  <c r="S780" i="4"/>
  <c r="AK779" i="4"/>
  <c r="AI779" i="4"/>
  <c r="AH779" i="4" s="1"/>
  <c r="AF779" i="4"/>
  <c r="AG779" i="4" s="1"/>
  <c r="S779" i="4"/>
  <c r="AK778" i="4"/>
  <c r="AI778" i="4"/>
  <c r="AH778" i="4" s="1"/>
  <c r="AF778" i="4"/>
  <c r="AG778" i="4" s="1"/>
  <c r="S778" i="4"/>
  <c r="AK777" i="4"/>
  <c r="AI777" i="4"/>
  <c r="AH777" i="4" s="1"/>
  <c r="AF777" i="4"/>
  <c r="AG777" i="4" s="1"/>
  <c r="S777" i="4"/>
  <c r="AK776" i="4"/>
  <c r="AI776" i="4"/>
  <c r="AH776" i="4" s="1"/>
  <c r="AG776" i="4"/>
  <c r="AF776" i="4"/>
  <c r="S776" i="4"/>
  <c r="AK775" i="4"/>
  <c r="AI775" i="4"/>
  <c r="AH775" i="4" s="1"/>
  <c r="AF775" i="4"/>
  <c r="AG775" i="4" s="1"/>
  <c r="S775" i="4"/>
  <c r="AK774" i="4"/>
  <c r="AI774" i="4"/>
  <c r="AH774" i="4" s="1"/>
  <c r="AF774" i="4"/>
  <c r="AG774" i="4" s="1"/>
  <c r="S774" i="4"/>
  <c r="AK773" i="4"/>
  <c r="AI773" i="4"/>
  <c r="AH773" i="4" s="1"/>
  <c r="AF773" i="4"/>
  <c r="AG773" i="4" s="1"/>
  <c r="S773" i="4"/>
  <c r="AK772" i="4"/>
  <c r="AI772" i="4"/>
  <c r="AH772" i="4" s="1"/>
  <c r="AF772" i="4"/>
  <c r="AG772" i="4" s="1"/>
  <c r="S772" i="4"/>
  <c r="AK771" i="4"/>
  <c r="AI771" i="4"/>
  <c r="AH771" i="4" s="1"/>
  <c r="AF771" i="4"/>
  <c r="AG771" i="4" s="1"/>
  <c r="S771" i="4"/>
  <c r="AK770" i="4"/>
  <c r="AI770" i="4"/>
  <c r="AH770" i="4" s="1"/>
  <c r="AF770" i="4"/>
  <c r="AG770" i="4" s="1"/>
  <c r="S770" i="4"/>
  <c r="AK769" i="4"/>
  <c r="AI769" i="4"/>
  <c r="AH769" i="4" s="1"/>
  <c r="AF769" i="4"/>
  <c r="AG769" i="4" s="1"/>
  <c r="S769" i="4"/>
  <c r="AK768" i="4"/>
  <c r="AI768" i="4"/>
  <c r="AH768" i="4" s="1"/>
  <c r="AF768" i="4"/>
  <c r="AG768" i="4" s="1"/>
  <c r="S768" i="4"/>
  <c r="AK767" i="4"/>
  <c r="AI767" i="4"/>
  <c r="AH767" i="4" s="1"/>
  <c r="AF767" i="4"/>
  <c r="AG767" i="4" s="1"/>
  <c r="S767" i="4"/>
  <c r="AK766" i="4"/>
  <c r="AI766" i="4"/>
  <c r="AH766" i="4" s="1"/>
  <c r="AF766" i="4"/>
  <c r="AG766" i="4" s="1"/>
  <c r="S766" i="4"/>
  <c r="AK765" i="4"/>
  <c r="AI765" i="4"/>
  <c r="AH765" i="4" s="1"/>
  <c r="AF765" i="4"/>
  <c r="AG765" i="4" s="1"/>
  <c r="S765" i="4"/>
  <c r="AK764" i="4"/>
  <c r="AI764" i="4"/>
  <c r="AH764" i="4" s="1"/>
  <c r="AF764" i="4"/>
  <c r="AG764" i="4" s="1"/>
  <c r="S764" i="4"/>
  <c r="AK763" i="4"/>
  <c r="AI763" i="4"/>
  <c r="AH763" i="4" s="1"/>
  <c r="AF763" i="4"/>
  <c r="AG763" i="4" s="1"/>
  <c r="S763" i="4"/>
  <c r="AK762" i="4"/>
  <c r="AI762" i="4"/>
  <c r="AH762" i="4" s="1"/>
  <c r="AF762" i="4"/>
  <c r="AG762" i="4" s="1"/>
  <c r="S762" i="4"/>
  <c r="AK761" i="4"/>
  <c r="AI761" i="4"/>
  <c r="AH761" i="4" s="1"/>
  <c r="AF761" i="4"/>
  <c r="AG761" i="4" s="1"/>
  <c r="S761" i="4"/>
  <c r="AK760" i="4"/>
  <c r="AI760" i="4"/>
  <c r="AH760" i="4" s="1"/>
  <c r="AF760" i="4"/>
  <c r="AG760" i="4" s="1"/>
  <c r="S760" i="4"/>
  <c r="AK759" i="4"/>
  <c r="AI759" i="4"/>
  <c r="AH759" i="4" s="1"/>
  <c r="AF759" i="4"/>
  <c r="AG759" i="4" s="1"/>
  <c r="S759" i="4"/>
  <c r="AF758" i="4"/>
  <c r="AG758" i="4" s="1"/>
  <c r="S758" i="4"/>
  <c r="AF757" i="4"/>
  <c r="AG757" i="4" s="1"/>
  <c r="S757" i="4"/>
  <c r="AF756" i="4"/>
  <c r="AG756" i="4" s="1"/>
  <c r="S756" i="4"/>
  <c r="AF755" i="4"/>
  <c r="AG755" i="4" s="1"/>
  <c r="S755" i="4"/>
  <c r="AK754" i="4"/>
  <c r="AI754" i="4"/>
  <c r="AH754" i="4" s="1"/>
  <c r="AF754" i="4"/>
  <c r="AG754" i="4" s="1"/>
  <c r="S754" i="4"/>
  <c r="AK753" i="4"/>
  <c r="AI753" i="4"/>
  <c r="AH753" i="4" s="1"/>
  <c r="AF753" i="4"/>
  <c r="AG753" i="4" s="1"/>
  <c r="S753" i="4"/>
  <c r="AK752" i="4"/>
  <c r="AI752" i="4"/>
  <c r="AH752" i="4" s="1"/>
  <c r="AF752" i="4"/>
  <c r="AG752" i="4" s="1"/>
  <c r="S752" i="4"/>
  <c r="AK751" i="4"/>
  <c r="AI751" i="4"/>
  <c r="AH751" i="4" s="1"/>
  <c r="AF751" i="4"/>
  <c r="AG751" i="4" s="1"/>
  <c r="S751" i="4"/>
  <c r="AK750" i="4"/>
  <c r="AI750" i="4"/>
  <c r="AH750" i="4" s="1"/>
  <c r="AF750" i="4"/>
  <c r="AG750" i="4" s="1"/>
  <c r="S750" i="4"/>
  <c r="AK749" i="4"/>
  <c r="AI749" i="4"/>
  <c r="AH749" i="4"/>
  <c r="AF749" i="4"/>
  <c r="AG749" i="4" s="1"/>
  <c r="S749" i="4"/>
  <c r="AF748" i="4"/>
  <c r="AG748" i="4" s="1"/>
  <c r="S748" i="4"/>
  <c r="AK747" i="4"/>
  <c r="AI747" i="4"/>
  <c r="AH747" i="4" s="1"/>
  <c r="AF747" i="4"/>
  <c r="AG747" i="4" s="1"/>
  <c r="S747" i="4"/>
  <c r="AF746" i="4"/>
  <c r="AG746" i="4" s="1"/>
  <c r="S746" i="4"/>
  <c r="AK745" i="4"/>
  <c r="AI745" i="4"/>
  <c r="AH745" i="4" s="1"/>
  <c r="AF745" i="4"/>
  <c r="AG745" i="4" s="1"/>
  <c r="S745" i="4"/>
  <c r="AK744" i="4"/>
  <c r="AI744" i="4"/>
  <c r="AH744" i="4" s="1"/>
  <c r="AF744" i="4"/>
  <c r="AG744" i="4" s="1"/>
  <c r="S744" i="4"/>
  <c r="AK743" i="4"/>
  <c r="AI743" i="4"/>
  <c r="AH743" i="4" s="1"/>
  <c r="AF743" i="4"/>
  <c r="AG743" i="4" s="1"/>
  <c r="S743" i="4"/>
  <c r="AK742" i="4"/>
  <c r="AI742" i="4"/>
  <c r="AH742" i="4" s="1"/>
  <c r="AF742" i="4"/>
  <c r="AG742" i="4" s="1"/>
  <c r="S742" i="4"/>
  <c r="AK741" i="4"/>
  <c r="AI741" i="4"/>
  <c r="AH741" i="4" s="1"/>
  <c r="AF741" i="4"/>
  <c r="AG741" i="4" s="1"/>
  <c r="S741" i="4"/>
  <c r="AK740" i="4"/>
  <c r="AI740" i="4"/>
  <c r="AH740" i="4" s="1"/>
  <c r="AF740" i="4"/>
  <c r="AG740" i="4" s="1"/>
  <c r="S740" i="4"/>
  <c r="AK739" i="4"/>
  <c r="AI739" i="4"/>
  <c r="AH739" i="4" s="1"/>
  <c r="AF739" i="4"/>
  <c r="AG739" i="4" s="1"/>
  <c r="S739" i="4"/>
  <c r="AK738" i="4"/>
  <c r="AI738" i="4"/>
  <c r="AH738" i="4" s="1"/>
  <c r="AF738" i="4"/>
  <c r="AG738" i="4" s="1"/>
  <c r="S738" i="4"/>
  <c r="AK737" i="4"/>
  <c r="AI737" i="4"/>
  <c r="AH737" i="4" s="1"/>
  <c r="AF737" i="4"/>
  <c r="AG737" i="4" s="1"/>
  <c r="S737" i="4"/>
  <c r="AK736" i="4"/>
  <c r="AI736" i="4"/>
  <c r="AH736" i="4" s="1"/>
  <c r="AF736" i="4"/>
  <c r="AG736" i="4" s="1"/>
  <c r="S736" i="4"/>
  <c r="AK735" i="4"/>
  <c r="AI735" i="4"/>
  <c r="AH735" i="4" s="1"/>
  <c r="AF735" i="4"/>
  <c r="AG735" i="4" s="1"/>
  <c r="S735" i="4"/>
  <c r="AK734" i="4"/>
  <c r="AI734" i="4"/>
  <c r="AH734" i="4" s="1"/>
  <c r="AF734" i="4"/>
  <c r="AG734" i="4" s="1"/>
  <c r="S734" i="4"/>
  <c r="AK733" i="4"/>
  <c r="AI733" i="4"/>
  <c r="AH733" i="4" s="1"/>
  <c r="AF733" i="4"/>
  <c r="AG733" i="4" s="1"/>
  <c r="S733" i="4"/>
  <c r="AK732" i="4"/>
  <c r="AI732" i="4"/>
  <c r="AH732" i="4" s="1"/>
  <c r="AF732" i="4"/>
  <c r="AG732" i="4" s="1"/>
  <c r="S732" i="4"/>
  <c r="AK731" i="4"/>
  <c r="AI731" i="4"/>
  <c r="AH731" i="4" s="1"/>
  <c r="AF731" i="4"/>
  <c r="AG731" i="4" s="1"/>
  <c r="S731" i="4"/>
  <c r="AK730" i="4"/>
  <c r="AI730" i="4"/>
  <c r="AH730" i="4" s="1"/>
  <c r="AF730" i="4"/>
  <c r="AG730" i="4" s="1"/>
  <c r="S730" i="4"/>
  <c r="AK729" i="4"/>
  <c r="AI729" i="4"/>
  <c r="AH729" i="4" s="1"/>
  <c r="AF729" i="4"/>
  <c r="AG729" i="4" s="1"/>
  <c r="S729" i="4"/>
  <c r="AK728" i="4"/>
  <c r="AI728" i="4"/>
  <c r="AH728" i="4" s="1"/>
  <c r="AF728" i="4"/>
  <c r="AG728" i="4" s="1"/>
  <c r="S728" i="4"/>
  <c r="AK727" i="4"/>
  <c r="AI727" i="4"/>
  <c r="AH727" i="4" s="1"/>
  <c r="AF727" i="4"/>
  <c r="AG727" i="4" s="1"/>
  <c r="S727" i="4"/>
  <c r="AK726" i="4"/>
  <c r="AI726" i="4"/>
  <c r="AH726" i="4" s="1"/>
  <c r="AF726" i="4"/>
  <c r="AG726" i="4" s="1"/>
  <c r="S726" i="4"/>
  <c r="AK725" i="4"/>
  <c r="AI725" i="4"/>
  <c r="AH725" i="4" s="1"/>
  <c r="AF725" i="4"/>
  <c r="AG725" i="4" s="1"/>
  <c r="S725" i="4"/>
  <c r="AK724" i="4"/>
  <c r="AI724" i="4"/>
  <c r="AH724" i="4" s="1"/>
  <c r="AF724" i="4"/>
  <c r="AG724" i="4" s="1"/>
  <c r="S724" i="4"/>
  <c r="AK723" i="4"/>
  <c r="AI723" i="4"/>
  <c r="AH723" i="4" s="1"/>
  <c r="AF723" i="4"/>
  <c r="AG723" i="4" s="1"/>
  <c r="S723" i="4"/>
  <c r="AK722" i="4"/>
  <c r="AI722" i="4"/>
  <c r="AH722" i="4" s="1"/>
  <c r="AF722" i="4"/>
  <c r="AG722" i="4" s="1"/>
  <c r="S722" i="4"/>
  <c r="AK721" i="4"/>
  <c r="AI721" i="4"/>
  <c r="AH721" i="4" s="1"/>
  <c r="AF721" i="4"/>
  <c r="AG721" i="4" s="1"/>
  <c r="S721" i="4"/>
  <c r="AK720" i="4"/>
  <c r="AI720" i="4"/>
  <c r="AH720" i="4" s="1"/>
  <c r="AF720" i="4"/>
  <c r="AG720" i="4" s="1"/>
  <c r="S720" i="4"/>
  <c r="AK719" i="4"/>
  <c r="AI719" i="4"/>
  <c r="AH719" i="4" s="1"/>
  <c r="AF719" i="4"/>
  <c r="AG719" i="4" s="1"/>
  <c r="S719" i="4"/>
  <c r="AK718" i="4"/>
  <c r="AI718" i="4"/>
  <c r="AH718" i="4" s="1"/>
  <c r="AF718" i="4"/>
  <c r="AG718" i="4" s="1"/>
  <c r="S718" i="4"/>
  <c r="AK717" i="4"/>
  <c r="AI717" i="4"/>
  <c r="AH717" i="4" s="1"/>
  <c r="AF717" i="4"/>
  <c r="AG717" i="4" s="1"/>
  <c r="S717" i="4"/>
  <c r="AK716" i="4"/>
  <c r="AI716" i="4"/>
  <c r="AH716" i="4" s="1"/>
  <c r="AF716" i="4"/>
  <c r="AG716" i="4" s="1"/>
  <c r="S716" i="4"/>
  <c r="AK715" i="4"/>
  <c r="AI715" i="4"/>
  <c r="AH715" i="4" s="1"/>
  <c r="AF715" i="4"/>
  <c r="AG715" i="4" s="1"/>
  <c r="S715" i="4"/>
  <c r="AK714" i="4"/>
  <c r="AI714" i="4"/>
  <c r="AH714" i="4" s="1"/>
  <c r="AF714" i="4"/>
  <c r="AG714" i="4" s="1"/>
  <c r="S714" i="4"/>
  <c r="AK713" i="4"/>
  <c r="AI713" i="4"/>
  <c r="AH713" i="4" s="1"/>
  <c r="AF713" i="4"/>
  <c r="AG713" i="4" s="1"/>
  <c r="S713" i="4"/>
  <c r="AK712" i="4"/>
  <c r="AI712" i="4"/>
  <c r="AH712" i="4" s="1"/>
  <c r="AF712" i="4"/>
  <c r="AG712" i="4" s="1"/>
  <c r="S712" i="4"/>
  <c r="AK711" i="4"/>
  <c r="AI711" i="4"/>
  <c r="AH711" i="4" s="1"/>
  <c r="AF711" i="4"/>
  <c r="AG711" i="4" s="1"/>
  <c r="S711" i="4"/>
  <c r="AK710" i="4"/>
  <c r="AI710" i="4"/>
  <c r="AH710" i="4" s="1"/>
  <c r="AF710" i="4"/>
  <c r="AG710" i="4" s="1"/>
  <c r="S710" i="4"/>
  <c r="AK709" i="4"/>
  <c r="AI709" i="4"/>
  <c r="AH709" i="4" s="1"/>
  <c r="AF709" i="4"/>
  <c r="AG709" i="4" s="1"/>
  <c r="S709" i="4"/>
  <c r="AK708" i="4"/>
  <c r="AI708" i="4"/>
  <c r="AH708" i="4" s="1"/>
  <c r="AF708" i="4"/>
  <c r="AG708" i="4" s="1"/>
  <c r="S708" i="4"/>
  <c r="AK707" i="4"/>
  <c r="AI707" i="4"/>
  <c r="AH707" i="4" s="1"/>
  <c r="AF707" i="4"/>
  <c r="AG707" i="4" s="1"/>
  <c r="S707" i="4"/>
  <c r="AK706" i="4"/>
  <c r="AI706" i="4"/>
  <c r="AH706" i="4" s="1"/>
  <c r="AF706" i="4"/>
  <c r="AG706" i="4" s="1"/>
  <c r="S706" i="4"/>
  <c r="AK705" i="4"/>
  <c r="AI705" i="4"/>
  <c r="AH705" i="4" s="1"/>
  <c r="AF705" i="4"/>
  <c r="AG705" i="4" s="1"/>
  <c r="S705" i="4"/>
  <c r="AK704" i="4"/>
  <c r="AI704" i="4"/>
  <c r="AH704" i="4" s="1"/>
  <c r="AF704" i="4"/>
  <c r="AG704" i="4" s="1"/>
  <c r="S704" i="4"/>
  <c r="AK703" i="4"/>
  <c r="AI703" i="4"/>
  <c r="AH703" i="4" s="1"/>
  <c r="AF703" i="4"/>
  <c r="AG703" i="4" s="1"/>
  <c r="S703" i="4"/>
  <c r="AK702" i="4"/>
  <c r="AI702" i="4"/>
  <c r="AH702" i="4" s="1"/>
  <c r="AG702" i="4"/>
  <c r="AF702" i="4"/>
  <c r="S702" i="4"/>
  <c r="AK701" i="4"/>
  <c r="AI701" i="4"/>
  <c r="AH701" i="4" s="1"/>
  <c r="AF701" i="4"/>
  <c r="AG701" i="4" s="1"/>
  <c r="S701" i="4"/>
  <c r="AK700" i="4"/>
  <c r="AI700" i="4"/>
  <c r="AH700" i="4" s="1"/>
  <c r="AF700" i="4"/>
  <c r="AG700" i="4" s="1"/>
  <c r="S700" i="4"/>
  <c r="AK699" i="4"/>
  <c r="AI699" i="4"/>
  <c r="AH699" i="4" s="1"/>
  <c r="AF699" i="4"/>
  <c r="AG699" i="4" s="1"/>
  <c r="S699" i="4"/>
  <c r="AK698" i="4"/>
  <c r="AI698" i="4"/>
  <c r="AH698" i="4" s="1"/>
  <c r="AF698" i="4"/>
  <c r="AG698" i="4" s="1"/>
  <c r="S698" i="4"/>
  <c r="AK697" i="4"/>
  <c r="AI697" i="4"/>
  <c r="AH697" i="4" s="1"/>
  <c r="AF697" i="4"/>
  <c r="AG697" i="4" s="1"/>
  <c r="S697" i="4"/>
  <c r="AK696" i="4"/>
  <c r="AI696" i="4"/>
  <c r="AH696" i="4" s="1"/>
  <c r="AF696" i="4"/>
  <c r="AG696" i="4" s="1"/>
  <c r="S696" i="4"/>
  <c r="AK695" i="4"/>
  <c r="AI695" i="4"/>
  <c r="AH695" i="4" s="1"/>
  <c r="AF695" i="4"/>
  <c r="AG695" i="4" s="1"/>
  <c r="S695" i="4"/>
  <c r="AK694" i="4"/>
  <c r="AI694" i="4"/>
  <c r="AH694" i="4" s="1"/>
  <c r="AF694" i="4"/>
  <c r="AG694" i="4" s="1"/>
  <c r="S694" i="4"/>
  <c r="AK693" i="4"/>
  <c r="AI693" i="4"/>
  <c r="AH693" i="4" s="1"/>
  <c r="AF693" i="4"/>
  <c r="AG693" i="4" s="1"/>
  <c r="S693" i="4"/>
  <c r="AK692" i="4"/>
  <c r="AI692" i="4"/>
  <c r="AH692" i="4" s="1"/>
  <c r="AF692" i="4"/>
  <c r="AG692" i="4" s="1"/>
  <c r="S692" i="4"/>
  <c r="AK691" i="4"/>
  <c r="AI691" i="4"/>
  <c r="AH691" i="4" s="1"/>
  <c r="AF691" i="4"/>
  <c r="AG691" i="4" s="1"/>
  <c r="S691" i="4"/>
  <c r="AK690" i="4"/>
  <c r="AI690" i="4"/>
  <c r="AH690" i="4" s="1"/>
  <c r="AF690" i="4"/>
  <c r="AG690" i="4" s="1"/>
  <c r="S690" i="4"/>
  <c r="AK689" i="4"/>
  <c r="AI689" i="4"/>
  <c r="AH689" i="4" s="1"/>
  <c r="AG689" i="4"/>
  <c r="AF689" i="4"/>
  <c r="S689" i="4"/>
  <c r="AK688" i="4"/>
  <c r="AI688" i="4"/>
  <c r="AH688" i="4" s="1"/>
  <c r="AF688" i="4"/>
  <c r="AG688" i="4" s="1"/>
  <c r="S688" i="4"/>
  <c r="AK687" i="4"/>
  <c r="AI687" i="4"/>
  <c r="AH687" i="4" s="1"/>
  <c r="AF687" i="4"/>
  <c r="AG687" i="4" s="1"/>
  <c r="S687" i="4"/>
  <c r="AK686" i="4"/>
  <c r="AI686" i="4"/>
  <c r="AH686" i="4" s="1"/>
  <c r="AF686" i="4"/>
  <c r="AG686" i="4" s="1"/>
  <c r="S686" i="4"/>
  <c r="AK685" i="4"/>
  <c r="AI685" i="4"/>
  <c r="AH685" i="4" s="1"/>
  <c r="AF685" i="4"/>
  <c r="AG685" i="4" s="1"/>
  <c r="S685" i="4"/>
  <c r="AK684" i="4"/>
  <c r="AI684" i="4"/>
  <c r="AH684" i="4" s="1"/>
  <c r="AF684" i="4"/>
  <c r="AG684" i="4" s="1"/>
  <c r="S684" i="4"/>
  <c r="AK683" i="4"/>
  <c r="AI683" i="4"/>
  <c r="AH683" i="4" s="1"/>
  <c r="AF683" i="4"/>
  <c r="AG683" i="4" s="1"/>
  <c r="S683" i="4"/>
  <c r="AK682" i="4"/>
  <c r="AI682" i="4"/>
  <c r="AH682" i="4" s="1"/>
  <c r="AF682" i="4"/>
  <c r="AG682" i="4" s="1"/>
  <c r="S682" i="4"/>
  <c r="AK681" i="4"/>
  <c r="AI681" i="4"/>
  <c r="AH681" i="4" s="1"/>
  <c r="AF681" i="4"/>
  <c r="AG681" i="4" s="1"/>
  <c r="S681" i="4"/>
  <c r="AK680" i="4"/>
  <c r="AI680" i="4"/>
  <c r="AH680" i="4" s="1"/>
  <c r="AF680" i="4"/>
  <c r="AG680" i="4" s="1"/>
  <c r="S680" i="4"/>
  <c r="AK679" i="4"/>
  <c r="AI679" i="4"/>
  <c r="AH679" i="4" s="1"/>
  <c r="AF679" i="4"/>
  <c r="AG679" i="4" s="1"/>
  <c r="S679" i="4"/>
  <c r="AK678" i="4"/>
  <c r="AI678" i="4"/>
  <c r="AH678" i="4" s="1"/>
  <c r="AF678" i="4"/>
  <c r="AG678" i="4" s="1"/>
  <c r="S678" i="4"/>
  <c r="AK677" i="4"/>
  <c r="AI677" i="4"/>
  <c r="AH677" i="4" s="1"/>
  <c r="AF677" i="4"/>
  <c r="AG677" i="4" s="1"/>
  <c r="S677" i="4"/>
  <c r="AK676" i="4"/>
  <c r="AI676" i="4"/>
  <c r="AH676" i="4" s="1"/>
  <c r="AF676" i="4"/>
  <c r="AG676" i="4" s="1"/>
  <c r="S676" i="4"/>
  <c r="AK675" i="4"/>
  <c r="AI675" i="4"/>
  <c r="AH675" i="4" s="1"/>
  <c r="AF675" i="4"/>
  <c r="AG675" i="4" s="1"/>
  <c r="S675" i="4"/>
  <c r="AK674" i="4"/>
  <c r="AI674" i="4"/>
  <c r="AH674" i="4" s="1"/>
  <c r="AF674" i="4"/>
  <c r="AG674" i="4" s="1"/>
  <c r="S674" i="4"/>
  <c r="AK673" i="4"/>
  <c r="AI673" i="4"/>
  <c r="AH673" i="4" s="1"/>
  <c r="AF673" i="4"/>
  <c r="AG673" i="4" s="1"/>
  <c r="S673" i="4"/>
  <c r="AK672" i="4"/>
  <c r="AI672" i="4"/>
  <c r="AH672" i="4" s="1"/>
  <c r="AF672" i="4"/>
  <c r="AG672" i="4" s="1"/>
  <c r="S672" i="4"/>
  <c r="AK671" i="4"/>
  <c r="AI671" i="4"/>
  <c r="AH671" i="4" s="1"/>
  <c r="AF671" i="4"/>
  <c r="AG671" i="4" s="1"/>
  <c r="S671" i="4"/>
  <c r="AK670" i="4"/>
  <c r="AI670" i="4"/>
  <c r="AH670" i="4" s="1"/>
  <c r="AF670" i="4"/>
  <c r="AG670" i="4" s="1"/>
  <c r="S670" i="4"/>
  <c r="AK669" i="4"/>
  <c r="AI669" i="4"/>
  <c r="AH669" i="4" s="1"/>
  <c r="AF669" i="4"/>
  <c r="AG669" i="4" s="1"/>
  <c r="S669" i="4"/>
  <c r="AK668" i="4"/>
  <c r="AI668" i="4"/>
  <c r="AH668" i="4" s="1"/>
  <c r="AF668" i="4"/>
  <c r="AG668" i="4" s="1"/>
  <c r="S668" i="4"/>
  <c r="AK667" i="4"/>
  <c r="AI667" i="4"/>
  <c r="AH667" i="4" s="1"/>
  <c r="AF667" i="4"/>
  <c r="AG667" i="4" s="1"/>
  <c r="S667" i="4"/>
  <c r="AK666" i="4"/>
  <c r="AI666" i="4"/>
  <c r="AH666" i="4" s="1"/>
  <c r="AF666" i="4"/>
  <c r="AG666" i="4" s="1"/>
  <c r="S666" i="4"/>
  <c r="AK665" i="4"/>
  <c r="AI665" i="4"/>
  <c r="AH665" i="4" s="1"/>
  <c r="AF665" i="4"/>
  <c r="AG665" i="4" s="1"/>
  <c r="S665" i="4"/>
  <c r="AK664" i="4"/>
  <c r="AI664" i="4"/>
  <c r="AH664" i="4" s="1"/>
  <c r="AF664" i="4"/>
  <c r="AG664" i="4" s="1"/>
  <c r="S664" i="4"/>
  <c r="AK663" i="4"/>
  <c r="AI663" i="4"/>
  <c r="AH663" i="4" s="1"/>
  <c r="AF663" i="4"/>
  <c r="AG663" i="4" s="1"/>
  <c r="S663" i="4"/>
  <c r="AK662" i="4"/>
  <c r="AI662" i="4"/>
  <c r="AH662" i="4" s="1"/>
  <c r="AF662" i="4"/>
  <c r="AG662" i="4" s="1"/>
  <c r="S662" i="4"/>
  <c r="AK661" i="4"/>
  <c r="AI661" i="4"/>
  <c r="AH661" i="4" s="1"/>
  <c r="AF661" i="4"/>
  <c r="AG661" i="4" s="1"/>
  <c r="S661" i="4"/>
  <c r="AK660" i="4"/>
  <c r="AI660" i="4"/>
  <c r="AH660" i="4" s="1"/>
  <c r="AF660" i="4"/>
  <c r="AG660" i="4" s="1"/>
  <c r="S660" i="4"/>
  <c r="AK659" i="4"/>
  <c r="AI659" i="4"/>
  <c r="AH659" i="4" s="1"/>
  <c r="AF659" i="4"/>
  <c r="AG659" i="4" s="1"/>
  <c r="S659" i="4"/>
  <c r="AK658" i="4"/>
  <c r="AI658" i="4"/>
  <c r="AH658" i="4" s="1"/>
  <c r="AF658" i="4"/>
  <c r="AG658" i="4" s="1"/>
  <c r="S658" i="4"/>
  <c r="AK657" i="4"/>
  <c r="AI657" i="4"/>
  <c r="AH657" i="4" s="1"/>
  <c r="AF657" i="4"/>
  <c r="AG657" i="4" s="1"/>
  <c r="S657" i="4"/>
  <c r="AK656" i="4"/>
  <c r="AI656" i="4"/>
  <c r="AH656" i="4" s="1"/>
  <c r="AF656" i="4"/>
  <c r="AG656" i="4" s="1"/>
  <c r="S656" i="4"/>
  <c r="AK655" i="4"/>
  <c r="AI655" i="4"/>
  <c r="AH655" i="4" s="1"/>
  <c r="AF655" i="4"/>
  <c r="AG655" i="4" s="1"/>
  <c r="S655" i="4"/>
  <c r="AK654" i="4"/>
  <c r="AI654" i="4"/>
  <c r="AH654" i="4" s="1"/>
  <c r="AF654" i="4"/>
  <c r="AG654" i="4" s="1"/>
  <c r="S654" i="4"/>
  <c r="AK653" i="4"/>
  <c r="AI653" i="4"/>
  <c r="AH653" i="4" s="1"/>
  <c r="AF653" i="4"/>
  <c r="AG653" i="4" s="1"/>
  <c r="S653" i="4"/>
  <c r="AK652" i="4"/>
  <c r="AI652" i="4"/>
  <c r="AH652" i="4" s="1"/>
  <c r="AF652" i="4"/>
  <c r="AG652" i="4" s="1"/>
  <c r="S652" i="4"/>
  <c r="AK651" i="4"/>
  <c r="AI651" i="4"/>
  <c r="AH651" i="4" s="1"/>
  <c r="AF651" i="4"/>
  <c r="AG651" i="4" s="1"/>
  <c r="S651" i="4"/>
  <c r="AK650" i="4"/>
  <c r="AI650" i="4"/>
  <c r="AH650" i="4" s="1"/>
  <c r="AF650" i="4"/>
  <c r="AG650" i="4" s="1"/>
  <c r="S650" i="4"/>
  <c r="AK649" i="4"/>
  <c r="AI649" i="4"/>
  <c r="AH649" i="4" s="1"/>
  <c r="AG649" i="4"/>
  <c r="AF649" i="4"/>
  <c r="S649" i="4"/>
  <c r="AK648" i="4"/>
  <c r="AI648" i="4"/>
  <c r="AH648" i="4" s="1"/>
  <c r="AF648" i="4"/>
  <c r="AG648" i="4" s="1"/>
  <c r="S648" i="4"/>
  <c r="AK647" i="4"/>
  <c r="AI647" i="4"/>
  <c r="AH647" i="4" s="1"/>
  <c r="AF647" i="4"/>
  <c r="AG647" i="4" s="1"/>
  <c r="S647" i="4"/>
  <c r="AK646" i="4"/>
  <c r="AI646" i="4"/>
  <c r="AH646" i="4" s="1"/>
  <c r="AF646" i="4"/>
  <c r="AG646" i="4" s="1"/>
  <c r="S646" i="4"/>
  <c r="AK645" i="4"/>
  <c r="AI645" i="4"/>
  <c r="AH645" i="4" s="1"/>
  <c r="AF645" i="4"/>
  <c r="AG645" i="4" s="1"/>
  <c r="S645" i="4"/>
  <c r="AK644" i="4"/>
  <c r="AI644" i="4"/>
  <c r="AH644" i="4" s="1"/>
  <c r="AF644" i="4"/>
  <c r="AG644" i="4" s="1"/>
  <c r="S644" i="4"/>
  <c r="AK643" i="4"/>
  <c r="AI643" i="4"/>
  <c r="AH643" i="4" s="1"/>
  <c r="AF643" i="4"/>
  <c r="AG643" i="4" s="1"/>
  <c r="S643" i="4"/>
  <c r="AK642" i="4"/>
  <c r="AI642" i="4"/>
  <c r="AH642" i="4" s="1"/>
  <c r="AF642" i="4"/>
  <c r="AG642" i="4" s="1"/>
  <c r="S642" i="4"/>
  <c r="AK641" i="4"/>
  <c r="AI641" i="4"/>
  <c r="AH641" i="4" s="1"/>
  <c r="AF641" i="4"/>
  <c r="AG641" i="4" s="1"/>
  <c r="S641" i="4"/>
  <c r="AK640" i="4"/>
  <c r="AI640" i="4"/>
  <c r="AH640" i="4" s="1"/>
  <c r="AF640" i="4"/>
  <c r="AG640" i="4" s="1"/>
  <c r="S640" i="4"/>
  <c r="AK639" i="4"/>
  <c r="AI639" i="4"/>
  <c r="AH639" i="4" s="1"/>
  <c r="AF639" i="4"/>
  <c r="AG639" i="4" s="1"/>
  <c r="S639" i="4"/>
  <c r="AK638" i="4"/>
  <c r="AI638" i="4"/>
  <c r="AH638" i="4" s="1"/>
  <c r="AF638" i="4"/>
  <c r="AG638" i="4" s="1"/>
  <c r="S638" i="4"/>
  <c r="AK637" i="4"/>
  <c r="AI637" i="4"/>
  <c r="AH637" i="4" s="1"/>
  <c r="AF637" i="4"/>
  <c r="AG637" i="4" s="1"/>
  <c r="S637" i="4"/>
  <c r="AK636" i="4"/>
  <c r="AI636" i="4"/>
  <c r="AH636" i="4" s="1"/>
  <c r="AF636" i="4"/>
  <c r="AG636" i="4" s="1"/>
  <c r="S636" i="4"/>
  <c r="AK635" i="4"/>
  <c r="AI635" i="4"/>
  <c r="AH635" i="4" s="1"/>
  <c r="AF635" i="4"/>
  <c r="AG635" i="4" s="1"/>
  <c r="S635" i="4"/>
  <c r="AK634" i="4"/>
  <c r="AI634" i="4"/>
  <c r="AH634" i="4" s="1"/>
  <c r="AF634" i="4"/>
  <c r="AG634" i="4" s="1"/>
  <c r="S634" i="4"/>
  <c r="AK633" i="4"/>
  <c r="AI633" i="4"/>
  <c r="AH633" i="4" s="1"/>
  <c r="AF633" i="4"/>
  <c r="AG633" i="4" s="1"/>
  <c r="S633" i="4"/>
  <c r="AK632" i="4"/>
  <c r="AI632" i="4"/>
  <c r="AH632" i="4" s="1"/>
  <c r="AF632" i="4"/>
  <c r="AG632" i="4" s="1"/>
  <c r="S632" i="4"/>
  <c r="AK631" i="4"/>
  <c r="AI631" i="4"/>
  <c r="AH631" i="4" s="1"/>
  <c r="AF631" i="4"/>
  <c r="AG631" i="4" s="1"/>
  <c r="S631" i="4"/>
  <c r="AK630" i="4"/>
  <c r="AI630" i="4"/>
  <c r="AH630" i="4" s="1"/>
  <c r="AF630" i="4"/>
  <c r="AG630" i="4" s="1"/>
  <c r="S630" i="4"/>
  <c r="AK629" i="4"/>
  <c r="AI629" i="4"/>
  <c r="AH629" i="4" s="1"/>
  <c r="AF629" i="4"/>
  <c r="AG629" i="4" s="1"/>
  <c r="S629" i="4"/>
  <c r="AK628" i="4"/>
  <c r="AI628" i="4"/>
  <c r="AH628" i="4" s="1"/>
  <c r="AF628" i="4"/>
  <c r="AG628" i="4" s="1"/>
  <c r="S628" i="4"/>
  <c r="AK627" i="4"/>
  <c r="AI627" i="4"/>
  <c r="AH627" i="4" s="1"/>
  <c r="AF627" i="4"/>
  <c r="AG627" i="4" s="1"/>
  <c r="S627" i="4"/>
  <c r="AK626" i="4"/>
  <c r="AI626" i="4"/>
  <c r="AH626" i="4" s="1"/>
  <c r="AF626" i="4"/>
  <c r="AG626" i="4" s="1"/>
  <c r="S626" i="4"/>
  <c r="AK625" i="4"/>
  <c r="AI625" i="4"/>
  <c r="AH625" i="4" s="1"/>
  <c r="AF625" i="4"/>
  <c r="AG625" i="4" s="1"/>
  <c r="S625" i="4"/>
  <c r="AK624" i="4"/>
  <c r="AI624" i="4"/>
  <c r="AH624" i="4" s="1"/>
  <c r="AF624" i="4"/>
  <c r="AG624" i="4" s="1"/>
  <c r="S624" i="4"/>
  <c r="AK623" i="4"/>
  <c r="AI623" i="4"/>
  <c r="AH623" i="4" s="1"/>
  <c r="AF623" i="4"/>
  <c r="AG623" i="4" s="1"/>
  <c r="S623" i="4"/>
  <c r="AK622" i="4"/>
  <c r="AI622" i="4"/>
  <c r="AH622" i="4" s="1"/>
  <c r="AF622" i="4"/>
  <c r="AG622" i="4" s="1"/>
  <c r="S622" i="4"/>
  <c r="AK621" i="4"/>
  <c r="AI621" i="4"/>
  <c r="AH621" i="4" s="1"/>
  <c r="AF621" i="4"/>
  <c r="AG621" i="4" s="1"/>
  <c r="S621" i="4"/>
  <c r="AK620" i="4"/>
  <c r="AI620" i="4"/>
  <c r="AH620" i="4" s="1"/>
  <c r="AF620" i="4"/>
  <c r="AG620" i="4" s="1"/>
  <c r="S620" i="4"/>
  <c r="AK619" i="4"/>
  <c r="AI619" i="4"/>
  <c r="AH619" i="4" s="1"/>
  <c r="AF619" i="4"/>
  <c r="AG619" i="4" s="1"/>
  <c r="S619" i="4"/>
  <c r="AK618" i="4"/>
  <c r="AI618" i="4"/>
  <c r="AH618" i="4" s="1"/>
  <c r="AF618" i="4"/>
  <c r="AG618" i="4" s="1"/>
  <c r="S618" i="4"/>
  <c r="AK617" i="4"/>
  <c r="AI617" i="4"/>
  <c r="AH617" i="4" s="1"/>
  <c r="AF617" i="4"/>
  <c r="AG617" i="4" s="1"/>
  <c r="S617" i="4"/>
  <c r="AK616" i="4"/>
  <c r="AI616" i="4"/>
  <c r="AH616" i="4" s="1"/>
  <c r="AF616" i="4"/>
  <c r="AG616" i="4" s="1"/>
  <c r="S616" i="4"/>
  <c r="AK615" i="4"/>
  <c r="AI615" i="4"/>
  <c r="AH615" i="4" s="1"/>
  <c r="AF615" i="4"/>
  <c r="AG615" i="4" s="1"/>
  <c r="S615" i="4"/>
  <c r="AK614" i="4"/>
  <c r="AI614" i="4"/>
  <c r="AH614" i="4" s="1"/>
  <c r="AF614" i="4"/>
  <c r="AG614" i="4" s="1"/>
  <c r="S614" i="4"/>
  <c r="AK613" i="4"/>
  <c r="AI613" i="4"/>
  <c r="AH613" i="4" s="1"/>
  <c r="AF613" i="4"/>
  <c r="AG613" i="4" s="1"/>
  <c r="S613" i="4"/>
  <c r="AK612" i="4"/>
  <c r="AI612" i="4"/>
  <c r="AH612" i="4" s="1"/>
  <c r="AF612" i="4"/>
  <c r="AG612" i="4" s="1"/>
  <c r="S612" i="4"/>
  <c r="AK611" i="4"/>
  <c r="AI611" i="4"/>
  <c r="AH611" i="4" s="1"/>
  <c r="AF611" i="4"/>
  <c r="AG611" i="4" s="1"/>
  <c r="S611" i="4"/>
  <c r="AK610" i="4"/>
  <c r="AI610" i="4"/>
  <c r="AH610" i="4" s="1"/>
  <c r="AF610" i="4"/>
  <c r="AG610" i="4" s="1"/>
  <c r="S610" i="4"/>
  <c r="AK609" i="4"/>
  <c r="AI609" i="4"/>
  <c r="AH609" i="4" s="1"/>
  <c r="AF609" i="4"/>
  <c r="AG609" i="4" s="1"/>
  <c r="S609" i="4"/>
  <c r="AK608" i="4"/>
  <c r="AI608" i="4"/>
  <c r="AH608" i="4" s="1"/>
  <c r="AF608" i="4"/>
  <c r="AG608" i="4" s="1"/>
  <c r="S608" i="4"/>
  <c r="AK607" i="4"/>
  <c r="AI607" i="4"/>
  <c r="AH607" i="4" s="1"/>
  <c r="AF607" i="4"/>
  <c r="AG607" i="4" s="1"/>
  <c r="S607" i="4"/>
  <c r="AK606" i="4"/>
  <c r="AI606" i="4"/>
  <c r="AH606" i="4" s="1"/>
  <c r="AF606" i="4"/>
  <c r="AG606" i="4" s="1"/>
  <c r="S606" i="4"/>
  <c r="AK605" i="4"/>
  <c r="AI605" i="4"/>
  <c r="AH605" i="4" s="1"/>
  <c r="AF605" i="4"/>
  <c r="AG605" i="4" s="1"/>
  <c r="S605" i="4"/>
  <c r="AK604" i="4"/>
  <c r="AI604" i="4"/>
  <c r="AH604" i="4" s="1"/>
  <c r="AF604" i="4"/>
  <c r="AG604" i="4" s="1"/>
  <c r="S604" i="4"/>
  <c r="AK603" i="4"/>
  <c r="AI603" i="4"/>
  <c r="AH603" i="4" s="1"/>
  <c r="AF603" i="4"/>
  <c r="AG603" i="4" s="1"/>
  <c r="S603" i="4"/>
  <c r="AK602" i="4"/>
  <c r="AI602" i="4"/>
  <c r="AH602" i="4" s="1"/>
  <c r="AF602" i="4"/>
  <c r="AG602" i="4" s="1"/>
  <c r="S602" i="4"/>
  <c r="AK601" i="4"/>
  <c r="AI601" i="4"/>
  <c r="AH601" i="4" s="1"/>
  <c r="AF601" i="4"/>
  <c r="AG601" i="4" s="1"/>
  <c r="S601" i="4"/>
  <c r="AK600" i="4"/>
  <c r="AI600" i="4"/>
  <c r="AH600" i="4" s="1"/>
  <c r="AF600" i="4"/>
  <c r="AG600" i="4" s="1"/>
  <c r="S600" i="4"/>
  <c r="AK599" i="4"/>
  <c r="AI599" i="4"/>
  <c r="AH599" i="4" s="1"/>
  <c r="AF599" i="4"/>
  <c r="AG599" i="4" s="1"/>
  <c r="S599" i="4"/>
  <c r="AK598" i="4"/>
  <c r="AI598" i="4"/>
  <c r="AH598" i="4" s="1"/>
  <c r="AF598" i="4"/>
  <c r="AG598" i="4" s="1"/>
  <c r="S598" i="4"/>
  <c r="AK597" i="4"/>
  <c r="AI597" i="4"/>
  <c r="AH597" i="4" s="1"/>
  <c r="AF597" i="4"/>
  <c r="AG597" i="4" s="1"/>
  <c r="S597" i="4"/>
  <c r="AK596" i="4"/>
  <c r="AI596" i="4"/>
  <c r="AH596" i="4" s="1"/>
  <c r="AF596" i="4"/>
  <c r="AG596" i="4" s="1"/>
  <c r="S596" i="4"/>
  <c r="AK595" i="4"/>
  <c r="AI595" i="4"/>
  <c r="AH595" i="4" s="1"/>
  <c r="AF595" i="4"/>
  <c r="AG595" i="4" s="1"/>
  <c r="S595" i="4"/>
  <c r="AK594" i="4"/>
  <c r="AI594" i="4"/>
  <c r="AH594" i="4" s="1"/>
  <c r="AF594" i="4"/>
  <c r="AG594" i="4" s="1"/>
  <c r="S594" i="4"/>
  <c r="AK593" i="4"/>
  <c r="AI593" i="4"/>
  <c r="AH593" i="4" s="1"/>
  <c r="AF593" i="4"/>
  <c r="AG593" i="4" s="1"/>
  <c r="S593" i="4"/>
  <c r="AK592" i="4"/>
  <c r="AI592" i="4"/>
  <c r="AH592" i="4" s="1"/>
  <c r="AG592" i="4"/>
  <c r="AF592" i="4"/>
  <c r="S592" i="4"/>
  <c r="AK591" i="4"/>
  <c r="AI591" i="4"/>
  <c r="AH591" i="4" s="1"/>
  <c r="AF591" i="4"/>
  <c r="AG591" i="4" s="1"/>
  <c r="S591" i="4"/>
  <c r="AK590" i="4"/>
  <c r="AI590" i="4"/>
  <c r="AH590" i="4" s="1"/>
  <c r="AF590" i="4"/>
  <c r="AG590" i="4" s="1"/>
  <c r="S590" i="4"/>
  <c r="AK589" i="4"/>
  <c r="AI589" i="4"/>
  <c r="AH589" i="4" s="1"/>
  <c r="AF589" i="4"/>
  <c r="AG589" i="4" s="1"/>
  <c r="S589" i="4"/>
  <c r="AK588" i="4"/>
  <c r="AI588" i="4"/>
  <c r="AH588" i="4" s="1"/>
  <c r="AF588" i="4"/>
  <c r="AG588" i="4" s="1"/>
  <c r="S588" i="4"/>
  <c r="AK587" i="4"/>
  <c r="AI587" i="4"/>
  <c r="AH587" i="4" s="1"/>
  <c r="AF587" i="4"/>
  <c r="AG587" i="4" s="1"/>
  <c r="S587" i="4"/>
  <c r="AK586" i="4"/>
  <c r="AI586" i="4"/>
  <c r="AH586" i="4" s="1"/>
  <c r="AF586" i="4"/>
  <c r="AG586" i="4" s="1"/>
  <c r="S586" i="4"/>
  <c r="AK585" i="4"/>
  <c r="AI585" i="4"/>
  <c r="AH585" i="4" s="1"/>
  <c r="AF585" i="4"/>
  <c r="AG585" i="4" s="1"/>
  <c r="S585" i="4"/>
  <c r="AK584" i="4"/>
  <c r="AI584" i="4"/>
  <c r="AH584" i="4" s="1"/>
  <c r="AF584" i="4"/>
  <c r="AG584" i="4" s="1"/>
  <c r="S584" i="4"/>
  <c r="AK583" i="4"/>
  <c r="AI583" i="4"/>
  <c r="AH583" i="4" s="1"/>
  <c r="AF583" i="4"/>
  <c r="AG583" i="4" s="1"/>
  <c r="S583" i="4"/>
  <c r="AK582" i="4"/>
  <c r="AI582" i="4"/>
  <c r="AH582" i="4" s="1"/>
  <c r="AF582" i="4"/>
  <c r="AG582" i="4" s="1"/>
  <c r="S582" i="4"/>
  <c r="AK581" i="4"/>
  <c r="AI581" i="4"/>
  <c r="AH581" i="4" s="1"/>
  <c r="AF581" i="4"/>
  <c r="AG581" i="4" s="1"/>
  <c r="S581" i="4"/>
  <c r="AK580" i="4"/>
  <c r="AI580" i="4"/>
  <c r="AH580" i="4" s="1"/>
  <c r="AF580" i="4"/>
  <c r="AG580" i="4" s="1"/>
  <c r="S580" i="4"/>
  <c r="AK579" i="4"/>
  <c r="AI579" i="4"/>
  <c r="AH579" i="4" s="1"/>
  <c r="AF579" i="4"/>
  <c r="AG579" i="4" s="1"/>
  <c r="S579" i="4"/>
  <c r="AK578" i="4"/>
  <c r="AI578" i="4"/>
  <c r="AH578" i="4" s="1"/>
  <c r="AF578" i="4"/>
  <c r="AG578" i="4" s="1"/>
  <c r="S578" i="4"/>
  <c r="AK577" i="4"/>
  <c r="AI577" i="4"/>
  <c r="AH577" i="4" s="1"/>
  <c r="AF577" i="4"/>
  <c r="AG577" i="4" s="1"/>
  <c r="S577" i="4"/>
  <c r="AK576" i="4"/>
  <c r="AI576" i="4"/>
  <c r="AH576" i="4" s="1"/>
  <c r="AF576" i="4"/>
  <c r="AG576" i="4" s="1"/>
  <c r="S576" i="4"/>
  <c r="AK575" i="4"/>
  <c r="AI575" i="4"/>
  <c r="AH575" i="4" s="1"/>
  <c r="AF575" i="4"/>
  <c r="AG575" i="4" s="1"/>
  <c r="S575" i="4"/>
  <c r="AK574" i="4"/>
  <c r="AI574" i="4"/>
  <c r="AH574" i="4" s="1"/>
  <c r="AF574" i="4"/>
  <c r="AG574" i="4" s="1"/>
  <c r="S574" i="4"/>
  <c r="AK573" i="4"/>
  <c r="AI573" i="4"/>
  <c r="AH573" i="4" s="1"/>
  <c r="AF573" i="4"/>
  <c r="AG573" i="4" s="1"/>
  <c r="S573" i="4"/>
  <c r="AK572" i="4"/>
  <c r="AI572" i="4"/>
  <c r="AH572" i="4" s="1"/>
  <c r="AF572" i="4"/>
  <c r="AG572" i="4" s="1"/>
  <c r="S572" i="4"/>
  <c r="AK571" i="4"/>
  <c r="AI571" i="4"/>
  <c r="AH571" i="4" s="1"/>
  <c r="AF571" i="4"/>
  <c r="AG571" i="4" s="1"/>
  <c r="S571" i="4"/>
  <c r="AK570" i="4"/>
  <c r="AI570" i="4"/>
  <c r="AH570" i="4" s="1"/>
  <c r="AF570" i="4"/>
  <c r="AG570" i="4" s="1"/>
  <c r="S570" i="4"/>
  <c r="AK569" i="4"/>
  <c r="AI569" i="4"/>
  <c r="AH569" i="4" s="1"/>
  <c r="AF569" i="4"/>
  <c r="AG569" i="4" s="1"/>
  <c r="S569" i="4"/>
  <c r="AK568" i="4"/>
  <c r="AI568" i="4"/>
  <c r="AH568" i="4" s="1"/>
  <c r="AF568" i="4"/>
  <c r="AG568" i="4" s="1"/>
  <c r="S568" i="4"/>
  <c r="AK567" i="4"/>
  <c r="AI567" i="4"/>
  <c r="AH567" i="4" s="1"/>
  <c r="AF567" i="4"/>
  <c r="AG567" i="4" s="1"/>
  <c r="S567" i="4"/>
  <c r="AK566" i="4"/>
  <c r="AI566" i="4"/>
  <c r="AH566" i="4" s="1"/>
  <c r="AF566" i="4"/>
  <c r="AG566" i="4" s="1"/>
  <c r="S566" i="4"/>
  <c r="AK565" i="4"/>
  <c r="AI565" i="4"/>
  <c r="AH565" i="4" s="1"/>
  <c r="AF565" i="4"/>
  <c r="AG565" i="4" s="1"/>
  <c r="S565" i="4"/>
  <c r="AK564" i="4"/>
  <c r="AI564" i="4"/>
  <c r="AH564" i="4" s="1"/>
  <c r="AF564" i="4"/>
  <c r="AG564" i="4" s="1"/>
  <c r="S564" i="4"/>
  <c r="AK563" i="4"/>
  <c r="AI563" i="4"/>
  <c r="AH563" i="4" s="1"/>
  <c r="AF563" i="4"/>
  <c r="AG563" i="4" s="1"/>
  <c r="S563" i="4"/>
  <c r="AK562" i="4"/>
  <c r="AI562" i="4"/>
  <c r="AH562" i="4" s="1"/>
  <c r="AF562" i="4"/>
  <c r="AG562" i="4" s="1"/>
  <c r="S562" i="4"/>
  <c r="AK561" i="4"/>
  <c r="AI561" i="4"/>
  <c r="AH561" i="4" s="1"/>
  <c r="AF561" i="4"/>
  <c r="AG561" i="4" s="1"/>
  <c r="S561" i="4"/>
  <c r="AK560" i="4"/>
  <c r="AI560" i="4"/>
  <c r="AH560" i="4" s="1"/>
  <c r="AF560" i="4"/>
  <c r="AG560" i="4" s="1"/>
  <c r="S560" i="4"/>
  <c r="AK559" i="4"/>
  <c r="AI559" i="4"/>
  <c r="AH559" i="4" s="1"/>
  <c r="AF559" i="4"/>
  <c r="AG559" i="4" s="1"/>
  <c r="S559" i="4"/>
  <c r="AK558" i="4"/>
  <c r="AI558" i="4"/>
  <c r="AH558" i="4" s="1"/>
  <c r="AF558" i="4"/>
  <c r="AG558" i="4" s="1"/>
  <c r="S558" i="4"/>
  <c r="AK557" i="4"/>
  <c r="AI557" i="4"/>
  <c r="AH557" i="4" s="1"/>
  <c r="AF557" i="4"/>
  <c r="AG557" i="4" s="1"/>
  <c r="S557" i="4"/>
  <c r="AK556" i="4"/>
  <c r="AI556" i="4"/>
  <c r="AH556" i="4" s="1"/>
  <c r="AF556" i="4"/>
  <c r="AG556" i="4" s="1"/>
  <c r="S556" i="4"/>
  <c r="AK555" i="4"/>
  <c r="AI555" i="4"/>
  <c r="AH555" i="4" s="1"/>
  <c r="AF555" i="4"/>
  <c r="AG555" i="4" s="1"/>
  <c r="S555" i="4"/>
  <c r="AK554" i="4"/>
  <c r="AI554" i="4"/>
  <c r="AH554" i="4" s="1"/>
  <c r="AF554" i="4"/>
  <c r="AG554" i="4" s="1"/>
  <c r="S554" i="4"/>
  <c r="AK553" i="4"/>
  <c r="AI553" i="4"/>
  <c r="AH553" i="4" s="1"/>
  <c r="AF553" i="4"/>
  <c r="AG553" i="4" s="1"/>
  <c r="S553" i="4"/>
  <c r="AK552" i="4"/>
  <c r="AI552" i="4"/>
  <c r="AH552" i="4" s="1"/>
  <c r="AF552" i="4"/>
  <c r="AG552" i="4" s="1"/>
  <c r="S552" i="4"/>
  <c r="AK551" i="4"/>
  <c r="AI551" i="4"/>
  <c r="AH551" i="4" s="1"/>
  <c r="AF551" i="4"/>
  <c r="AG551" i="4" s="1"/>
  <c r="S551" i="4"/>
  <c r="AK550" i="4"/>
  <c r="AI550" i="4"/>
  <c r="AH550" i="4" s="1"/>
  <c r="AF550" i="4"/>
  <c r="AG550" i="4" s="1"/>
  <c r="S550" i="4"/>
  <c r="AK549" i="4"/>
  <c r="AI549" i="4"/>
  <c r="AH549" i="4" s="1"/>
  <c r="AF549" i="4"/>
  <c r="AG549" i="4" s="1"/>
  <c r="S549" i="4"/>
  <c r="AK548" i="4"/>
  <c r="AI548" i="4"/>
  <c r="AH548" i="4" s="1"/>
  <c r="AF548" i="4"/>
  <c r="AG548" i="4" s="1"/>
  <c r="S548" i="4"/>
  <c r="AK547" i="4"/>
  <c r="AI547" i="4"/>
  <c r="AH547" i="4"/>
  <c r="AF547" i="4"/>
  <c r="AG547" i="4" s="1"/>
  <c r="S547" i="4"/>
  <c r="AK546" i="4"/>
  <c r="AI546" i="4"/>
  <c r="AH546" i="4" s="1"/>
  <c r="AF546" i="4"/>
  <c r="AG546" i="4" s="1"/>
  <c r="S546" i="4"/>
  <c r="AK545" i="4"/>
  <c r="AI545" i="4"/>
  <c r="AH545" i="4" s="1"/>
  <c r="AF545" i="4"/>
  <c r="AG545" i="4" s="1"/>
  <c r="S545" i="4"/>
  <c r="AK544" i="4"/>
  <c r="AI544" i="4"/>
  <c r="AH544" i="4" s="1"/>
  <c r="AF544" i="4"/>
  <c r="AG544" i="4" s="1"/>
  <c r="S544" i="4"/>
  <c r="AK543" i="4"/>
  <c r="AI543" i="4"/>
  <c r="AH543" i="4" s="1"/>
  <c r="AF543" i="4"/>
  <c r="AG543" i="4" s="1"/>
  <c r="S543" i="4"/>
  <c r="AK542" i="4"/>
  <c r="AI542" i="4"/>
  <c r="AH542" i="4" s="1"/>
  <c r="AF542" i="4"/>
  <c r="AG542" i="4" s="1"/>
  <c r="S542" i="4"/>
  <c r="AK541" i="4"/>
  <c r="AI541" i="4"/>
  <c r="AH541" i="4" s="1"/>
  <c r="AF541" i="4"/>
  <c r="AG541" i="4" s="1"/>
  <c r="S541" i="4"/>
  <c r="AK540" i="4"/>
  <c r="AI540" i="4"/>
  <c r="AH540" i="4" s="1"/>
  <c r="AF540" i="4"/>
  <c r="AG540" i="4" s="1"/>
  <c r="S540" i="4"/>
  <c r="AK539" i="4"/>
  <c r="AI539" i="4"/>
  <c r="AH539" i="4" s="1"/>
  <c r="AF539" i="4"/>
  <c r="AG539" i="4" s="1"/>
  <c r="S539" i="4"/>
  <c r="AK538" i="4"/>
  <c r="AI538" i="4"/>
  <c r="AH538" i="4" s="1"/>
  <c r="AF538" i="4"/>
  <c r="AG538" i="4" s="1"/>
  <c r="S538" i="4"/>
  <c r="AK537" i="4"/>
  <c r="AI537" i="4"/>
  <c r="AH537" i="4" s="1"/>
  <c r="AF537" i="4"/>
  <c r="AG537" i="4" s="1"/>
  <c r="S537" i="4"/>
  <c r="AK536" i="4"/>
  <c r="AI536" i="4"/>
  <c r="AH536" i="4" s="1"/>
  <c r="AF536" i="4"/>
  <c r="AG536" i="4" s="1"/>
  <c r="S536" i="4"/>
  <c r="AK535" i="4"/>
  <c r="AI535" i="4"/>
  <c r="AH535" i="4" s="1"/>
  <c r="AF535" i="4"/>
  <c r="AG535" i="4" s="1"/>
  <c r="S535" i="4"/>
  <c r="AK534" i="4"/>
  <c r="AI534" i="4"/>
  <c r="AH534" i="4" s="1"/>
  <c r="AF534" i="4"/>
  <c r="AG534" i="4" s="1"/>
  <c r="S534" i="4"/>
  <c r="AK533" i="4"/>
  <c r="AI533" i="4"/>
  <c r="AH533" i="4" s="1"/>
  <c r="AF533" i="4"/>
  <c r="AG533" i="4" s="1"/>
  <c r="S533" i="4"/>
  <c r="AK532" i="4"/>
  <c r="AI532" i="4"/>
  <c r="AH532" i="4" s="1"/>
  <c r="AF532" i="4"/>
  <c r="AG532" i="4" s="1"/>
  <c r="S532" i="4"/>
  <c r="AK531" i="4"/>
  <c r="AI531" i="4"/>
  <c r="AH531" i="4" s="1"/>
  <c r="AF531" i="4"/>
  <c r="AG531" i="4" s="1"/>
  <c r="S531" i="4"/>
  <c r="AK530" i="4"/>
  <c r="AI530" i="4"/>
  <c r="AH530" i="4" s="1"/>
  <c r="AF530" i="4"/>
  <c r="AG530" i="4" s="1"/>
  <c r="S530" i="4"/>
  <c r="AK529" i="4"/>
  <c r="AI529" i="4"/>
  <c r="AH529" i="4" s="1"/>
  <c r="AF529" i="4"/>
  <c r="AG529" i="4" s="1"/>
  <c r="S529" i="4"/>
  <c r="AK528" i="4"/>
  <c r="AI528" i="4"/>
  <c r="AH528" i="4" s="1"/>
  <c r="AF528" i="4"/>
  <c r="AG528" i="4" s="1"/>
  <c r="S528" i="4"/>
  <c r="AK527" i="4"/>
  <c r="AI527" i="4"/>
  <c r="AH527" i="4" s="1"/>
  <c r="AF527" i="4"/>
  <c r="AG527" i="4" s="1"/>
  <c r="S527" i="4"/>
  <c r="AK526" i="4"/>
  <c r="AI526" i="4"/>
  <c r="AH526" i="4" s="1"/>
  <c r="AF526" i="4"/>
  <c r="AG526" i="4" s="1"/>
  <c r="S526" i="4"/>
  <c r="AK525" i="4"/>
  <c r="AI525" i="4"/>
  <c r="AH525" i="4" s="1"/>
  <c r="AF525" i="4"/>
  <c r="AG525" i="4" s="1"/>
  <c r="S525" i="4"/>
  <c r="AK524" i="4"/>
  <c r="AI524" i="4"/>
  <c r="AH524" i="4" s="1"/>
  <c r="AF524" i="4"/>
  <c r="AG524" i="4" s="1"/>
  <c r="S524" i="4"/>
  <c r="AK523" i="4"/>
  <c r="AI523" i="4"/>
  <c r="AH523" i="4" s="1"/>
  <c r="AF523" i="4"/>
  <c r="AG523" i="4" s="1"/>
  <c r="S523" i="4"/>
  <c r="AK522" i="4"/>
  <c r="AI522" i="4"/>
  <c r="AH522" i="4" s="1"/>
  <c r="AF522" i="4"/>
  <c r="AG522" i="4" s="1"/>
  <c r="S522" i="4"/>
  <c r="AK521" i="4"/>
  <c r="AI521" i="4"/>
  <c r="AH521" i="4" s="1"/>
  <c r="AF521" i="4"/>
  <c r="AG521" i="4" s="1"/>
  <c r="S521" i="4"/>
  <c r="AK520" i="4"/>
  <c r="AI520" i="4"/>
  <c r="AH520" i="4" s="1"/>
  <c r="AF520" i="4"/>
  <c r="AG520" i="4" s="1"/>
  <c r="S520" i="4"/>
  <c r="AK519" i="4"/>
  <c r="AI519" i="4"/>
  <c r="AH519" i="4" s="1"/>
  <c r="AF519" i="4"/>
  <c r="AG519" i="4" s="1"/>
  <c r="S519" i="4"/>
  <c r="AK518" i="4"/>
  <c r="AI518" i="4"/>
  <c r="AH518" i="4" s="1"/>
  <c r="AF518" i="4"/>
  <c r="AG518" i="4" s="1"/>
  <c r="S518" i="4"/>
  <c r="AK517" i="4"/>
  <c r="AI517" i="4"/>
  <c r="AH517" i="4" s="1"/>
  <c r="AF517" i="4"/>
  <c r="AG517" i="4" s="1"/>
  <c r="S517" i="4"/>
  <c r="AK516" i="4"/>
  <c r="AI516" i="4"/>
  <c r="AH516" i="4" s="1"/>
  <c r="AF516" i="4"/>
  <c r="AG516" i="4" s="1"/>
  <c r="S516" i="4"/>
  <c r="AK515" i="4"/>
  <c r="AI515" i="4"/>
  <c r="AH515" i="4" s="1"/>
  <c r="AF515" i="4"/>
  <c r="AG515" i="4" s="1"/>
  <c r="S515" i="4"/>
  <c r="AK514" i="4"/>
  <c r="AI514" i="4"/>
  <c r="AH514" i="4" s="1"/>
  <c r="AF514" i="4"/>
  <c r="AG514" i="4" s="1"/>
  <c r="S514" i="4"/>
  <c r="AK513" i="4"/>
  <c r="AI513" i="4"/>
  <c r="AH513" i="4" s="1"/>
  <c r="AF513" i="4"/>
  <c r="AG513" i="4" s="1"/>
  <c r="S513" i="4"/>
  <c r="AK512" i="4"/>
  <c r="AI512" i="4"/>
  <c r="AH512" i="4" s="1"/>
  <c r="AF512" i="4"/>
  <c r="AG512" i="4" s="1"/>
  <c r="S512" i="4"/>
  <c r="AK511" i="4"/>
  <c r="AI511" i="4"/>
  <c r="AH511" i="4" s="1"/>
  <c r="AF511" i="4"/>
  <c r="AG511" i="4" s="1"/>
  <c r="S511" i="4"/>
  <c r="AF510" i="4"/>
  <c r="AG510" i="4" s="1"/>
  <c r="S510" i="4"/>
  <c r="AK509" i="4"/>
  <c r="AI509" i="4"/>
  <c r="AH509" i="4" s="1"/>
  <c r="AF509" i="4"/>
  <c r="AG509" i="4" s="1"/>
  <c r="S509" i="4"/>
  <c r="AK508" i="4"/>
  <c r="AI508" i="4"/>
  <c r="AH508" i="4" s="1"/>
  <c r="AF508" i="4"/>
  <c r="AG508" i="4" s="1"/>
  <c r="S508" i="4"/>
  <c r="AK507" i="4"/>
  <c r="AI507" i="4"/>
  <c r="AH507" i="4"/>
  <c r="AF507" i="4"/>
  <c r="AG507" i="4" s="1"/>
  <c r="S507" i="4"/>
  <c r="AK506" i="4"/>
  <c r="AI506" i="4"/>
  <c r="AH506" i="4" s="1"/>
  <c r="AF506" i="4"/>
  <c r="AG506" i="4" s="1"/>
  <c r="S506" i="4"/>
  <c r="AK505" i="4"/>
  <c r="AI505" i="4"/>
  <c r="AH505" i="4" s="1"/>
  <c r="AF505" i="4"/>
  <c r="AG505" i="4" s="1"/>
  <c r="S505" i="4"/>
  <c r="AK504" i="4"/>
  <c r="AI504" i="4"/>
  <c r="AH504" i="4" s="1"/>
  <c r="AF504" i="4"/>
  <c r="AG504" i="4" s="1"/>
  <c r="S504" i="4"/>
  <c r="AK503" i="4"/>
  <c r="AI503" i="4"/>
  <c r="AH503" i="4" s="1"/>
  <c r="AF503" i="4"/>
  <c r="AG503" i="4" s="1"/>
  <c r="S503" i="4"/>
  <c r="AK502" i="4"/>
  <c r="AI502" i="4"/>
  <c r="AH502" i="4" s="1"/>
  <c r="AF502" i="4"/>
  <c r="AG502" i="4" s="1"/>
  <c r="S502" i="4"/>
  <c r="AK501" i="4"/>
  <c r="AI501" i="4"/>
  <c r="AH501" i="4" s="1"/>
  <c r="AF501" i="4"/>
  <c r="AG501" i="4" s="1"/>
  <c r="S501" i="4"/>
  <c r="AK500" i="4"/>
  <c r="AI500" i="4"/>
  <c r="AH500" i="4" s="1"/>
  <c r="AF500" i="4"/>
  <c r="AG500" i="4" s="1"/>
  <c r="S500" i="4"/>
  <c r="AK499" i="4"/>
  <c r="AI499" i="4"/>
  <c r="AH499" i="4" s="1"/>
  <c r="AF499" i="4"/>
  <c r="AG499" i="4" s="1"/>
  <c r="S499" i="4"/>
  <c r="AK498" i="4"/>
  <c r="AI498" i="4"/>
  <c r="AH498" i="4" s="1"/>
  <c r="AF498" i="4"/>
  <c r="AG498" i="4" s="1"/>
  <c r="S498" i="4"/>
  <c r="AK497" i="4"/>
  <c r="AI497" i="4"/>
  <c r="AH497" i="4" s="1"/>
  <c r="AF497" i="4"/>
  <c r="AG497" i="4" s="1"/>
  <c r="S497" i="4"/>
  <c r="AK496" i="4"/>
  <c r="AI496" i="4"/>
  <c r="AH496" i="4" s="1"/>
  <c r="AF496" i="4"/>
  <c r="AG496" i="4" s="1"/>
  <c r="S496" i="4"/>
  <c r="AK495" i="4"/>
  <c r="AI495" i="4"/>
  <c r="AH495" i="4" s="1"/>
  <c r="AF495" i="4"/>
  <c r="AG495" i="4" s="1"/>
  <c r="S495" i="4"/>
  <c r="AK494" i="4"/>
  <c r="AI494" i="4"/>
  <c r="AH494" i="4" s="1"/>
  <c r="AF494" i="4"/>
  <c r="AG494" i="4" s="1"/>
  <c r="S494" i="4"/>
  <c r="AK493" i="4"/>
  <c r="AI493" i="4"/>
  <c r="AH493" i="4" s="1"/>
  <c r="AF493" i="4"/>
  <c r="AG493" i="4" s="1"/>
  <c r="S493" i="4"/>
  <c r="AK492" i="4"/>
  <c r="AI492" i="4"/>
  <c r="AH492" i="4" s="1"/>
  <c r="AF492" i="4"/>
  <c r="AG492" i="4" s="1"/>
  <c r="S492" i="4"/>
  <c r="AK491" i="4"/>
  <c r="AI491" i="4"/>
  <c r="AH491" i="4" s="1"/>
  <c r="AF491" i="4"/>
  <c r="AG491" i="4" s="1"/>
  <c r="S491" i="4"/>
  <c r="AK490" i="4"/>
  <c r="AI490" i="4"/>
  <c r="AH490" i="4" s="1"/>
  <c r="AF490" i="4"/>
  <c r="AG490" i="4" s="1"/>
  <c r="S490" i="4"/>
  <c r="AK489" i="4"/>
  <c r="AI489" i="4"/>
  <c r="AH489" i="4" s="1"/>
  <c r="AF489" i="4"/>
  <c r="AG489" i="4" s="1"/>
  <c r="S489" i="4"/>
  <c r="AK488" i="4"/>
  <c r="AI488" i="4"/>
  <c r="AH488" i="4" s="1"/>
  <c r="AF488" i="4"/>
  <c r="AG488" i="4" s="1"/>
  <c r="S488" i="4"/>
  <c r="AK487" i="4"/>
  <c r="AI487" i="4"/>
  <c r="AH487" i="4" s="1"/>
  <c r="AG487" i="4"/>
  <c r="AF487" i="4"/>
  <c r="S487" i="4"/>
  <c r="AK486" i="4"/>
  <c r="AI486" i="4"/>
  <c r="AH486" i="4" s="1"/>
  <c r="AF486" i="4"/>
  <c r="AG486" i="4" s="1"/>
  <c r="S486" i="4"/>
  <c r="AK485" i="4"/>
  <c r="AI485" i="4"/>
  <c r="AH485" i="4" s="1"/>
  <c r="AF485" i="4"/>
  <c r="AG485" i="4" s="1"/>
  <c r="S485" i="4"/>
  <c r="AK484" i="4"/>
  <c r="AI484" i="4"/>
  <c r="AH484" i="4" s="1"/>
  <c r="AF484" i="4"/>
  <c r="AG484" i="4" s="1"/>
  <c r="S484" i="4"/>
  <c r="AK483" i="4"/>
  <c r="AI483" i="4"/>
  <c r="AH483" i="4" s="1"/>
  <c r="AF483" i="4"/>
  <c r="AG483" i="4" s="1"/>
  <c r="S483" i="4"/>
  <c r="AK482" i="4"/>
  <c r="AI482" i="4"/>
  <c r="AH482" i="4" s="1"/>
  <c r="AF482" i="4"/>
  <c r="AG482" i="4" s="1"/>
  <c r="S482" i="4"/>
  <c r="AK481" i="4"/>
  <c r="AI481" i="4"/>
  <c r="AH481" i="4" s="1"/>
  <c r="AF481" i="4"/>
  <c r="AG481" i="4" s="1"/>
  <c r="S481" i="4"/>
  <c r="AK480" i="4"/>
  <c r="AI480" i="4"/>
  <c r="AH480" i="4" s="1"/>
  <c r="AF480" i="4"/>
  <c r="AG480" i="4" s="1"/>
  <c r="S480" i="4"/>
  <c r="AK479" i="4"/>
  <c r="AI479" i="4"/>
  <c r="AH479" i="4" s="1"/>
  <c r="AF479" i="4"/>
  <c r="AG479" i="4" s="1"/>
  <c r="S479" i="4"/>
  <c r="AK478" i="4"/>
  <c r="AI478" i="4"/>
  <c r="AH478" i="4" s="1"/>
  <c r="AF478" i="4"/>
  <c r="AG478" i="4" s="1"/>
  <c r="S478" i="4"/>
  <c r="AK477" i="4"/>
  <c r="AI477" i="4"/>
  <c r="AH477" i="4" s="1"/>
  <c r="AF477" i="4"/>
  <c r="AG477" i="4" s="1"/>
  <c r="S477" i="4"/>
  <c r="AK476" i="4"/>
  <c r="AI476" i="4"/>
  <c r="AH476" i="4" s="1"/>
  <c r="AF476" i="4"/>
  <c r="AG476" i="4" s="1"/>
  <c r="S476" i="4"/>
  <c r="AK475" i="4"/>
  <c r="AI475" i="4"/>
  <c r="AH475" i="4" s="1"/>
  <c r="AF475" i="4"/>
  <c r="AG475" i="4" s="1"/>
  <c r="S475" i="4"/>
  <c r="AK474" i="4"/>
  <c r="AI474" i="4"/>
  <c r="AH474" i="4" s="1"/>
  <c r="AF474" i="4"/>
  <c r="AG474" i="4" s="1"/>
  <c r="S474" i="4"/>
  <c r="AK473" i="4"/>
  <c r="AI473" i="4"/>
  <c r="AH473" i="4" s="1"/>
  <c r="AF473" i="4"/>
  <c r="AG473" i="4" s="1"/>
  <c r="S473" i="4"/>
  <c r="AK472" i="4"/>
  <c r="AI472" i="4"/>
  <c r="AH472" i="4" s="1"/>
  <c r="AF472" i="4"/>
  <c r="AG472" i="4" s="1"/>
  <c r="S472" i="4"/>
  <c r="AK471" i="4"/>
  <c r="AI471" i="4"/>
  <c r="AH471" i="4" s="1"/>
  <c r="AF471" i="4"/>
  <c r="AG471" i="4" s="1"/>
  <c r="S471" i="4"/>
  <c r="AK470" i="4"/>
  <c r="AI470" i="4"/>
  <c r="AH470" i="4" s="1"/>
  <c r="AF470" i="4"/>
  <c r="AG470" i="4" s="1"/>
  <c r="S470" i="4"/>
  <c r="AK469" i="4"/>
  <c r="AI469" i="4"/>
  <c r="AH469" i="4" s="1"/>
  <c r="AF469" i="4"/>
  <c r="AG469" i="4" s="1"/>
  <c r="S469" i="4"/>
  <c r="AK468" i="4"/>
  <c r="AI468" i="4"/>
  <c r="AH468" i="4" s="1"/>
  <c r="AF468" i="4"/>
  <c r="AG468" i="4" s="1"/>
  <c r="S468" i="4"/>
  <c r="AK467" i="4"/>
  <c r="AI467" i="4"/>
  <c r="AH467" i="4" s="1"/>
  <c r="AF467" i="4"/>
  <c r="AG467" i="4" s="1"/>
  <c r="S467" i="4"/>
  <c r="AK466" i="4"/>
  <c r="AI466" i="4"/>
  <c r="AH466" i="4" s="1"/>
  <c r="AF466" i="4"/>
  <c r="AG466" i="4" s="1"/>
  <c r="S466" i="4"/>
  <c r="AK465" i="4"/>
  <c r="AI465" i="4"/>
  <c r="AH465" i="4" s="1"/>
  <c r="AF465" i="4"/>
  <c r="AG465" i="4" s="1"/>
  <c r="S465" i="4"/>
  <c r="AK464" i="4"/>
  <c r="AI464" i="4"/>
  <c r="AH464" i="4" s="1"/>
  <c r="AF464" i="4"/>
  <c r="AG464" i="4" s="1"/>
  <c r="S464" i="4"/>
  <c r="AK463" i="4"/>
  <c r="AI463" i="4"/>
  <c r="AH463" i="4" s="1"/>
  <c r="AF463" i="4"/>
  <c r="AG463" i="4" s="1"/>
  <c r="S463" i="4"/>
  <c r="AK462" i="4"/>
  <c r="AI462" i="4"/>
  <c r="AH462" i="4" s="1"/>
  <c r="AF462" i="4"/>
  <c r="AG462" i="4" s="1"/>
  <c r="S462" i="4"/>
  <c r="AF461" i="4"/>
  <c r="AG461" i="4" s="1"/>
  <c r="S461" i="4"/>
  <c r="AK460" i="4"/>
  <c r="AI460" i="4"/>
  <c r="AH460" i="4" s="1"/>
  <c r="AF460" i="4"/>
  <c r="AG460" i="4" s="1"/>
  <c r="S460" i="4"/>
  <c r="AK459" i="4"/>
  <c r="AI459" i="4"/>
  <c r="AH459" i="4" s="1"/>
  <c r="AF459" i="4"/>
  <c r="AG459" i="4" s="1"/>
  <c r="S459" i="4"/>
  <c r="AK458" i="4"/>
  <c r="AI458" i="4"/>
  <c r="AH458" i="4" s="1"/>
  <c r="AF458" i="4"/>
  <c r="AG458" i="4" s="1"/>
  <c r="S458" i="4"/>
  <c r="AK457" i="4"/>
  <c r="AI457" i="4"/>
  <c r="AH457" i="4" s="1"/>
  <c r="AF457" i="4"/>
  <c r="AG457" i="4" s="1"/>
  <c r="S457" i="4"/>
  <c r="AK456" i="4"/>
  <c r="AI456" i="4"/>
  <c r="AH456" i="4" s="1"/>
  <c r="AF456" i="4"/>
  <c r="AG456" i="4" s="1"/>
  <c r="S456" i="4"/>
  <c r="AK455" i="4"/>
  <c r="AI455" i="4"/>
  <c r="AH455" i="4" s="1"/>
  <c r="AF455" i="4"/>
  <c r="AG455" i="4" s="1"/>
  <c r="S455" i="4"/>
  <c r="AK454" i="4"/>
  <c r="AI454" i="4"/>
  <c r="AH454" i="4" s="1"/>
  <c r="AF454" i="4"/>
  <c r="AG454" i="4" s="1"/>
  <c r="S454" i="4"/>
  <c r="AK453" i="4"/>
  <c r="AI453" i="4"/>
  <c r="AH453" i="4" s="1"/>
  <c r="AF453" i="4"/>
  <c r="AG453" i="4" s="1"/>
  <c r="S453" i="4"/>
  <c r="AK452" i="4"/>
  <c r="AI452" i="4"/>
  <c r="AH452" i="4" s="1"/>
  <c r="AF452" i="4"/>
  <c r="AG452" i="4" s="1"/>
  <c r="S452" i="4"/>
  <c r="AK451" i="4"/>
  <c r="AI451" i="4"/>
  <c r="AH451" i="4" s="1"/>
  <c r="AF451" i="4"/>
  <c r="AG451" i="4" s="1"/>
  <c r="S451" i="4"/>
  <c r="AK450" i="4"/>
  <c r="AI450" i="4"/>
  <c r="AH450" i="4" s="1"/>
  <c r="AF450" i="4"/>
  <c r="AG450" i="4" s="1"/>
  <c r="S450" i="4"/>
  <c r="AK449" i="4"/>
  <c r="AI449" i="4"/>
  <c r="AH449" i="4" s="1"/>
  <c r="AF449" i="4"/>
  <c r="AG449" i="4" s="1"/>
  <c r="S449" i="4"/>
  <c r="AK448" i="4"/>
  <c r="AI448" i="4"/>
  <c r="AH448" i="4" s="1"/>
  <c r="AF448" i="4"/>
  <c r="AG448" i="4" s="1"/>
  <c r="S448" i="4"/>
  <c r="AF447" i="4"/>
  <c r="AG447" i="4" s="1"/>
  <c r="S447" i="4"/>
  <c r="AK446" i="4"/>
  <c r="AI446" i="4"/>
  <c r="AH446" i="4" s="1"/>
  <c r="AF446" i="4"/>
  <c r="AG446" i="4" s="1"/>
  <c r="S446" i="4"/>
  <c r="AK445" i="4"/>
  <c r="AI445" i="4"/>
  <c r="AH445" i="4" s="1"/>
  <c r="AF445" i="4"/>
  <c r="AG445" i="4" s="1"/>
  <c r="S445" i="4"/>
  <c r="AK444" i="4"/>
  <c r="AI444" i="4"/>
  <c r="AH444" i="4" s="1"/>
  <c r="AF444" i="4"/>
  <c r="AG444" i="4" s="1"/>
  <c r="S444" i="4"/>
  <c r="AK443" i="4"/>
  <c r="AI443" i="4"/>
  <c r="AH443" i="4" s="1"/>
  <c r="AF443" i="4"/>
  <c r="AG443" i="4" s="1"/>
  <c r="S443" i="4"/>
  <c r="AK442" i="4"/>
  <c r="AI442" i="4"/>
  <c r="AH442" i="4" s="1"/>
  <c r="AF442" i="4"/>
  <c r="AG442" i="4" s="1"/>
  <c r="S442" i="4"/>
  <c r="AK441" i="4"/>
  <c r="AI441" i="4"/>
  <c r="AH441" i="4" s="1"/>
  <c r="AF441" i="4"/>
  <c r="AG441" i="4" s="1"/>
  <c r="S441" i="4"/>
  <c r="AK440" i="4"/>
  <c r="AI440" i="4"/>
  <c r="AH440" i="4" s="1"/>
  <c r="AF440" i="4"/>
  <c r="AG440" i="4" s="1"/>
  <c r="S440" i="4"/>
  <c r="AK439" i="4"/>
  <c r="AI439" i="4"/>
  <c r="AH439" i="4" s="1"/>
  <c r="AF439" i="4"/>
  <c r="AG439" i="4" s="1"/>
  <c r="S439" i="4"/>
  <c r="AK438" i="4"/>
  <c r="AI438" i="4"/>
  <c r="AH438" i="4" s="1"/>
  <c r="AF438" i="4"/>
  <c r="AG438" i="4" s="1"/>
  <c r="S438" i="4"/>
  <c r="AK437" i="4"/>
  <c r="AI437" i="4"/>
  <c r="AH437" i="4" s="1"/>
  <c r="AF437" i="4"/>
  <c r="AG437" i="4" s="1"/>
  <c r="S437" i="4"/>
  <c r="AK436" i="4"/>
  <c r="AI436" i="4"/>
  <c r="AH436" i="4" s="1"/>
  <c r="AF436" i="4"/>
  <c r="AG436" i="4" s="1"/>
  <c r="S436" i="4"/>
  <c r="AK435" i="4"/>
  <c r="AI435" i="4"/>
  <c r="AH435" i="4" s="1"/>
  <c r="AF435" i="4"/>
  <c r="AG435" i="4" s="1"/>
  <c r="S435" i="4"/>
  <c r="AK434" i="4"/>
  <c r="AI434" i="4"/>
  <c r="AH434" i="4" s="1"/>
  <c r="AF434" i="4"/>
  <c r="AG434" i="4" s="1"/>
  <c r="S434" i="4"/>
  <c r="AK433" i="4"/>
  <c r="AI433" i="4"/>
  <c r="AH433" i="4" s="1"/>
  <c r="AF433" i="4"/>
  <c r="AG433" i="4" s="1"/>
  <c r="S433" i="4"/>
  <c r="AK432" i="4"/>
  <c r="AI432" i="4"/>
  <c r="AH432" i="4" s="1"/>
  <c r="AF432" i="4"/>
  <c r="AG432" i="4" s="1"/>
  <c r="S432" i="4"/>
  <c r="AK431" i="4"/>
  <c r="AI431" i="4"/>
  <c r="AH431" i="4" s="1"/>
  <c r="AF431" i="4"/>
  <c r="AG431" i="4" s="1"/>
  <c r="S431" i="4"/>
  <c r="AK430" i="4"/>
  <c r="AI430" i="4"/>
  <c r="AH430" i="4" s="1"/>
  <c r="AF430" i="4"/>
  <c r="AG430" i="4" s="1"/>
  <c r="S430" i="4"/>
  <c r="AK429" i="4"/>
  <c r="AI429" i="4"/>
  <c r="AH429" i="4" s="1"/>
  <c r="AF429" i="4"/>
  <c r="AG429" i="4" s="1"/>
  <c r="S429" i="4"/>
  <c r="AK428" i="4"/>
  <c r="AI428" i="4"/>
  <c r="AH428" i="4" s="1"/>
  <c r="AF428" i="4"/>
  <c r="AG428" i="4" s="1"/>
  <c r="S428" i="4"/>
  <c r="AK427" i="4"/>
  <c r="AI427" i="4"/>
  <c r="AH427" i="4" s="1"/>
  <c r="AF427" i="4"/>
  <c r="AG427" i="4" s="1"/>
  <c r="S427" i="4"/>
  <c r="AK426" i="4"/>
  <c r="AI426" i="4"/>
  <c r="AH426" i="4" s="1"/>
  <c r="AF426" i="4"/>
  <c r="AG426" i="4" s="1"/>
  <c r="S426" i="4"/>
  <c r="AK425" i="4"/>
  <c r="AI425" i="4"/>
  <c r="AH425" i="4" s="1"/>
  <c r="AF425" i="4"/>
  <c r="AG425" i="4" s="1"/>
  <c r="S425" i="4"/>
  <c r="AK424" i="4"/>
  <c r="AI424" i="4"/>
  <c r="AH424" i="4" s="1"/>
  <c r="AF424" i="4"/>
  <c r="AG424" i="4" s="1"/>
  <c r="S424" i="4"/>
  <c r="AK423" i="4"/>
  <c r="AI423" i="4"/>
  <c r="AH423" i="4" s="1"/>
  <c r="AF423" i="4"/>
  <c r="AG423" i="4" s="1"/>
  <c r="S423" i="4"/>
  <c r="AK422" i="4"/>
  <c r="AI422" i="4"/>
  <c r="AH422" i="4" s="1"/>
  <c r="AF422" i="4"/>
  <c r="AG422" i="4" s="1"/>
  <c r="S422" i="4"/>
  <c r="AK421" i="4"/>
  <c r="AI421" i="4"/>
  <c r="AH421" i="4" s="1"/>
  <c r="AF421" i="4"/>
  <c r="AG421" i="4" s="1"/>
  <c r="S421" i="4"/>
  <c r="AK420" i="4"/>
  <c r="AI420" i="4"/>
  <c r="AH420" i="4" s="1"/>
  <c r="AF420" i="4"/>
  <c r="AG420" i="4" s="1"/>
  <c r="S420" i="4"/>
  <c r="AK419" i="4"/>
  <c r="AI419" i="4"/>
  <c r="AH419" i="4" s="1"/>
  <c r="AF419" i="4"/>
  <c r="AG419" i="4" s="1"/>
  <c r="S419" i="4"/>
  <c r="AK418" i="4"/>
  <c r="AI418" i="4"/>
  <c r="AH418" i="4" s="1"/>
  <c r="AF418" i="4"/>
  <c r="AG418" i="4" s="1"/>
  <c r="S418" i="4"/>
  <c r="AK417" i="4"/>
  <c r="AI417" i="4"/>
  <c r="AH417" i="4" s="1"/>
  <c r="AF417" i="4"/>
  <c r="AG417" i="4" s="1"/>
  <c r="S417" i="4"/>
  <c r="AK416" i="4"/>
  <c r="AI416" i="4"/>
  <c r="AH416" i="4" s="1"/>
  <c r="AF416" i="4"/>
  <c r="AG416" i="4" s="1"/>
  <c r="S416" i="4"/>
  <c r="AK415" i="4"/>
  <c r="AI415" i="4"/>
  <c r="AH415" i="4" s="1"/>
  <c r="AF415" i="4"/>
  <c r="AG415" i="4" s="1"/>
  <c r="S415" i="4"/>
  <c r="AK414" i="4"/>
  <c r="AI414" i="4"/>
  <c r="AH414" i="4" s="1"/>
  <c r="AF414" i="4"/>
  <c r="AG414" i="4" s="1"/>
  <c r="S414" i="4"/>
  <c r="AK413" i="4"/>
  <c r="AI413" i="4"/>
  <c r="AH413" i="4" s="1"/>
  <c r="AF413" i="4"/>
  <c r="AG413" i="4" s="1"/>
  <c r="S413" i="4"/>
  <c r="AK412" i="4"/>
  <c r="AI412" i="4"/>
  <c r="AH412" i="4" s="1"/>
  <c r="AF412" i="4"/>
  <c r="AG412" i="4" s="1"/>
  <c r="S412" i="4"/>
  <c r="AK411" i="4"/>
  <c r="AI411" i="4"/>
  <c r="AH411" i="4" s="1"/>
  <c r="AF411" i="4"/>
  <c r="AG411" i="4" s="1"/>
  <c r="S411" i="4"/>
  <c r="AK410" i="4"/>
  <c r="AI410" i="4"/>
  <c r="AH410" i="4" s="1"/>
  <c r="AF410" i="4"/>
  <c r="AG410" i="4" s="1"/>
  <c r="S410" i="4"/>
  <c r="AK409" i="4"/>
  <c r="AI409" i="4"/>
  <c r="AH409" i="4" s="1"/>
  <c r="AF409" i="4"/>
  <c r="AG409" i="4" s="1"/>
  <c r="S409" i="4"/>
  <c r="AK408" i="4"/>
  <c r="AI408" i="4"/>
  <c r="AH408" i="4" s="1"/>
  <c r="AF408" i="4"/>
  <c r="AG408" i="4" s="1"/>
  <c r="S408" i="4"/>
  <c r="AK407" i="4"/>
  <c r="AI407" i="4"/>
  <c r="AH407" i="4" s="1"/>
  <c r="AF407" i="4"/>
  <c r="AG407" i="4" s="1"/>
  <c r="S407" i="4"/>
  <c r="AK406" i="4"/>
  <c r="AI406" i="4"/>
  <c r="AH406" i="4" s="1"/>
  <c r="AF406" i="4"/>
  <c r="AG406" i="4" s="1"/>
  <c r="S406" i="4"/>
  <c r="AK405" i="4"/>
  <c r="AI405" i="4"/>
  <c r="AH405" i="4" s="1"/>
  <c r="AF405" i="4"/>
  <c r="AG405" i="4" s="1"/>
  <c r="S405" i="4"/>
  <c r="AK404" i="4"/>
  <c r="AI404" i="4"/>
  <c r="AH404" i="4" s="1"/>
  <c r="AF404" i="4"/>
  <c r="AG404" i="4" s="1"/>
  <c r="S404" i="4"/>
  <c r="AK403" i="4"/>
  <c r="AI403" i="4"/>
  <c r="AH403" i="4" s="1"/>
  <c r="AF403" i="4"/>
  <c r="AG403" i="4" s="1"/>
  <c r="S403" i="4"/>
  <c r="AK402" i="4"/>
  <c r="AI402" i="4"/>
  <c r="AH402" i="4" s="1"/>
  <c r="AF402" i="4"/>
  <c r="AG402" i="4" s="1"/>
  <c r="S402" i="4"/>
  <c r="AK401" i="4"/>
  <c r="AI401" i="4"/>
  <c r="AH401" i="4" s="1"/>
  <c r="AF401" i="4"/>
  <c r="AG401" i="4" s="1"/>
  <c r="S401" i="4"/>
  <c r="AK400" i="4"/>
  <c r="AI400" i="4"/>
  <c r="AH400" i="4" s="1"/>
  <c r="AF400" i="4"/>
  <c r="AG400" i="4" s="1"/>
  <c r="S400" i="4"/>
  <c r="AK399" i="4"/>
  <c r="AI399" i="4"/>
  <c r="AH399" i="4" s="1"/>
  <c r="AF399" i="4"/>
  <c r="AG399" i="4" s="1"/>
  <c r="S399" i="4"/>
  <c r="AK398" i="4"/>
  <c r="AI398" i="4"/>
  <c r="AH398" i="4" s="1"/>
  <c r="AF398" i="4"/>
  <c r="AG398" i="4" s="1"/>
  <c r="S398" i="4"/>
  <c r="AK397" i="4"/>
  <c r="AI397" i="4"/>
  <c r="AH397" i="4" s="1"/>
  <c r="AF397" i="4"/>
  <c r="AG397" i="4" s="1"/>
  <c r="S397" i="4"/>
  <c r="AK396" i="4"/>
  <c r="AI396" i="4"/>
  <c r="AH396" i="4" s="1"/>
  <c r="AF396" i="4"/>
  <c r="AG396" i="4" s="1"/>
  <c r="S396" i="4"/>
  <c r="AK395" i="4"/>
  <c r="AI395" i="4"/>
  <c r="AH395" i="4" s="1"/>
  <c r="AF395" i="4"/>
  <c r="AG395" i="4" s="1"/>
  <c r="S395" i="4"/>
  <c r="AK394" i="4"/>
  <c r="AI394" i="4"/>
  <c r="AH394" i="4" s="1"/>
  <c r="AF394" i="4"/>
  <c r="AG394" i="4" s="1"/>
  <c r="S394" i="4"/>
  <c r="AK393" i="4"/>
  <c r="AI393" i="4"/>
  <c r="AH393" i="4" s="1"/>
  <c r="AF393" i="4"/>
  <c r="AG393" i="4" s="1"/>
  <c r="S393" i="4"/>
  <c r="AK392" i="4"/>
  <c r="AI392" i="4"/>
  <c r="AH392" i="4" s="1"/>
  <c r="AF392" i="4"/>
  <c r="AG392" i="4" s="1"/>
  <c r="S392" i="4"/>
  <c r="AK391" i="4"/>
  <c r="AI391" i="4"/>
  <c r="AH391" i="4" s="1"/>
  <c r="AF391" i="4"/>
  <c r="AG391" i="4" s="1"/>
  <c r="S391" i="4"/>
  <c r="AK390" i="4"/>
  <c r="AI390" i="4"/>
  <c r="AH390" i="4" s="1"/>
  <c r="AF390" i="4"/>
  <c r="AG390" i="4" s="1"/>
  <c r="S390" i="4"/>
  <c r="AK389" i="4"/>
  <c r="AI389" i="4"/>
  <c r="AH389" i="4" s="1"/>
  <c r="AF389" i="4"/>
  <c r="AG389" i="4" s="1"/>
  <c r="S389" i="4"/>
  <c r="AK388" i="4"/>
  <c r="AI388" i="4"/>
  <c r="AH388" i="4" s="1"/>
  <c r="AF388" i="4"/>
  <c r="AG388" i="4" s="1"/>
  <c r="S388" i="4"/>
  <c r="AK387" i="4"/>
  <c r="AI387" i="4"/>
  <c r="AH387" i="4" s="1"/>
  <c r="AF387" i="4"/>
  <c r="AG387" i="4" s="1"/>
  <c r="S387" i="4"/>
  <c r="AK386" i="4"/>
  <c r="AI386" i="4"/>
  <c r="AH386" i="4" s="1"/>
  <c r="AF386" i="4"/>
  <c r="AG386" i="4" s="1"/>
  <c r="S386" i="4"/>
  <c r="AK385" i="4"/>
  <c r="AI385" i="4"/>
  <c r="AH385" i="4" s="1"/>
  <c r="AF385" i="4"/>
  <c r="AG385" i="4" s="1"/>
  <c r="S385" i="4"/>
  <c r="AK384" i="4"/>
  <c r="AI384" i="4"/>
  <c r="AH384" i="4" s="1"/>
  <c r="AF384" i="4"/>
  <c r="AG384" i="4" s="1"/>
  <c r="S384" i="4"/>
  <c r="AK383" i="4"/>
  <c r="AI383" i="4"/>
  <c r="AH383" i="4" s="1"/>
  <c r="AF383" i="4"/>
  <c r="AG383" i="4" s="1"/>
  <c r="S383" i="4"/>
  <c r="AK382" i="4"/>
  <c r="AI382" i="4"/>
  <c r="AH382" i="4" s="1"/>
  <c r="AF382" i="4"/>
  <c r="AG382" i="4" s="1"/>
  <c r="S382" i="4"/>
  <c r="AK381" i="4"/>
  <c r="AI381" i="4"/>
  <c r="AH381" i="4" s="1"/>
  <c r="AF381" i="4"/>
  <c r="AG381" i="4" s="1"/>
  <c r="S381" i="4"/>
  <c r="AK380" i="4"/>
  <c r="AI380" i="4"/>
  <c r="AH380" i="4" s="1"/>
  <c r="AF380" i="4"/>
  <c r="AG380" i="4" s="1"/>
  <c r="S380" i="4"/>
  <c r="AK379" i="4"/>
  <c r="AI379" i="4"/>
  <c r="AH379" i="4" s="1"/>
  <c r="AF379" i="4"/>
  <c r="AG379" i="4" s="1"/>
  <c r="S379" i="4"/>
  <c r="AK378" i="4"/>
  <c r="AI378" i="4"/>
  <c r="AH378" i="4" s="1"/>
  <c r="AF378" i="4"/>
  <c r="AG378" i="4" s="1"/>
  <c r="S378" i="4"/>
  <c r="AK377" i="4"/>
  <c r="AI377" i="4"/>
  <c r="AH377" i="4" s="1"/>
  <c r="AG377" i="4"/>
  <c r="AF377" i="4"/>
  <c r="S377" i="4"/>
  <c r="AK376" i="4"/>
  <c r="AI376" i="4"/>
  <c r="AH376" i="4" s="1"/>
  <c r="AF376" i="4"/>
  <c r="AG376" i="4" s="1"/>
  <c r="S376" i="4"/>
  <c r="AK375" i="4"/>
  <c r="AI375" i="4"/>
  <c r="AH375" i="4" s="1"/>
  <c r="AF375" i="4"/>
  <c r="AG375" i="4" s="1"/>
  <c r="S375" i="4"/>
  <c r="AK374" i="4"/>
  <c r="AI374" i="4"/>
  <c r="AH374" i="4" s="1"/>
  <c r="AF374" i="4"/>
  <c r="AG374" i="4" s="1"/>
  <c r="S374" i="4"/>
  <c r="AK373" i="4"/>
  <c r="AI373" i="4"/>
  <c r="AH373" i="4" s="1"/>
  <c r="AG373" i="4"/>
  <c r="AF373" i="4"/>
  <c r="S373" i="4"/>
  <c r="AK372" i="4"/>
  <c r="AI372" i="4"/>
  <c r="AH372" i="4" s="1"/>
  <c r="AF372" i="4"/>
  <c r="AG372" i="4" s="1"/>
  <c r="S372" i="4"/>
  <c r="AK371" i="4"/>
  <c r="AI371" i="4"/>
  <c r="AH371" i="4" s="1"/>
  <c r="AF371" i="4"/>
  <c r="AG371" i="4" s="1"/>
  <c r="S371" i="4"/>
  <c r="AK370" i="4"/>
  <c r="AI370" i="4"/>
  <c r="AH370" i="4" s="1"/>
  <c r="AF370" i="4"/>
  <c r="AG370" i="4" s="1"/>
  <c r="S370" i="4"/>
  <c r="AK369" i="4"/>
  <c r="AI369" i="4"/>
  <c r="AH369" i="4" s="1"/>
  <c r="AF369" i="4"/>
  <c r="AG369" i="4" s="1"/>
  <c r="S369" i="4"/>
  <c r="AK368" i="4"/>
  <c r="AI368" i="4"/>
  <c r="AH368" i="4" s="1"/>
  <c r="AF368" i="4"/>
  <c r="AG368" i="4" s="1"/>
  <c r="S368" i="4"/>
  <c r="AK367" i="4"/>
  <c r="AI367" i="4"/>
  <c r="AH367" i="4" s="1"/>
  <c r="AF367" i="4"/>
  <c r="AG367" i="4" s="1"/>
  <c r="S367" i="4"/>
  <c r="AK366" i="4"/>
  <c r="AI366" i="4"/>
  <c r="AH366" i="4" s="1"/>
  <c r="AF366" i="4"/>
  <c r="AG366" i="4" s="1"/>
  <c r="S366" i="4"/>
  <c r="AK365" i="4"/>
  <c r="AI365" i="4"/>
  <c r="AH365" i="4" s="1"/>
  <c r="AF365" i="4"/>
  <c r="AG365" i="4" s="1"/>
  <c r="S365" i="4"/>
  <c r="AK364" i="4"/>
  <c r="AI364" i="4"/>
  <c r="AH364" i="4" s="1"/>
  <c r="AF364" i="4"/>
  <c r="AG364" i="4" s="1"/>
  <c r="S364" i="4"/>
  <c r="AK363" i="4"/>
  <c r="AI363" i="4"/>
  <c r="AH363" i="4" s="1"/>
  <c r="AF363" i="4"/>
  <c r="AG363" i="4" s="1"/>
  <c r="S363" i="4"/>
  <c r="AK362" i="4"/>
  <c r="AI362" i="4"/>
  <c r="AH362" i="4" s="1"/>
  <c r="AF362" i="4"/>
  <c r="AG362" i="4" s="1"/>
  <c r="S362" i="4"/>
  <c r="AK361" i="4"/>
  <c r="AI361" i="4"/>
  <c r="AH361" i="4" s="1"/>
  <c r="AF361" i="4"/>
  <c r="AG361" i="4" s="1"/>
  <c r="S361" i="4"/>
  <c r="AK360" i="4"/>
  <c r="AI360" i="4"/>
  <c r="AH360" i="4" s="1"/>
  <c r="AF360" i="4"/>
  <c r="AG360" i="4" s="1"/>
  <c r="S360" i="4"/>
  <c r="AK359" i="4"/>
  <c r="AI359" i="4"/>
  <c r="AH359" i="4" s="1"/>
  <c r="AF359" i="4"/>
  <c r="AG359" i="4" s="1"/>
  <c r="S359" i="4"/>
  <c r="AK358" i="4"/>
  <c r="AI358" i="4"/>
  <c r="AH358" i="4" s="1"/>
  <c r="AF358" i="4"/>
  <c r="AG358" i="4" s="1"/>
  <c r="S358" i="4"/>
  <c r="AK357" i="4"/>
  <c r="AI357" i="4"/>
  <c r="AH357" i="4" s="1"/>
  <c r="AF357" i="4"/>
  <c r="AG357" i="4" s="1"/>
  <c r="S357" i="4"/>
  <c r="AK356" i="4"/>
  <c r="AI356" i="4"/>
  <c r="AH356" i="4" s="1"/>
  <c r="AF356" i="4"/>
  <c r="AG356" i="4" s="1"/>
  <c r="S356" i="4"/>
  <c r="AK355" i="4"/>
  <c r="AI355" i="4"/>
  <c r="AH355" i="4" s="1"/>
  <c r="AF355" i="4"/>
  <c r="AG355" i="4" s="1"/>
  <c r="S355" i="4"/>
  <c r="AK354" i="4"/>
  <c r="AI354" i="4"/>
  <c r="AH354" i="4" s="1"/>
  <c r="AF354" i="4"/>
  <c r="AG354" i="4" s="1"/>
  <c r="S354" i="4"/>
  <c r="AK353" i="4"/>
  <c r="AI353" i="4"/>
  <c r="AH353" i="4" s="1"/>
  <c r="AF353" i="4"/>
  <c r="AG353" i="4" s="1"/>
  <c r="S353" i="4"/>
  <c r="AK352" i="4"/>
  <c r="AI352" i="4"/>
  <c r="AH352" i="4" s="1"/>
  <c r="AF352" i="4"/>
  <c r="AG352" i="4" s="1"/>
  <c r="S352" i="4"/>
  <c r="AK351" i="4"/>
  <c r="AI351" i="4"/>
  <c r="AH351" i="4" s="1"/>
  <c r="AF351" i="4"/>
  <c r="AG351" i="4" s="1"/>
  <c r="S351" i="4"/>
  <c r="AK350" i="4"/>
  <c r="AI350" i="4"/>
  <c r="AH350" i="4" s="1"/>
  <c r="AF350" i="4"/>
  <c r="AG350" i="4" s="1"/>
  <c r="S350" i="4"/>
  <c r="AK349" i="4"/>
  <c r="AI349" i="4"/>
  <c r="AH349" i="4" s="1"/>
  <c r="AF349" i="4"/>
  <c r="AG349" i="4" s="1"/>
  <c r="S349" i="4"/>
  <c r="AK348" i="4"/>
  <c r="AI348" i="4"/>
  <c r="AH348" i="4" s="1"/>
  <c r="AF348" i="4"/>
  <c r="AG348" i="4" s="1"/>
  <c r="S348" i="4"/>
  <c r="AK347" i="4"/>
  <c r="AI347" i="4"/>
  <c r="AH347" i="4" s="1"/>
  <c r="AF347" i="4"/>
  <c r="AG347" i="4" s="1"/>
  <c r="S347" i="4"/>
  <c r="AK346" i="4"/>
  <c r="AI346" i="4"/>
  <c r="AH346" i="4" s="1"/>
  <c r="AF346" i="4"/>
  <c r="AG346" i="4" s="1"/>
  <c r="S346" i="4"/>
  <c r="AK345" i="4"/>
  <c r="AI345" i="4"/>
  <c r="AH345" i="4" s="1"/>
  <c r="AF345" i="4"/>
  <c r="AG345" i="4" s="1"/>
  <c r="S345" i="4"/>
  <c r="AK344" i="4"/>
  <c r="AI344" i="4"/>
  <c r="AH344" i="4" s="1"/>
  <c r="AF344" i="4"/>
  <c r="AG344" i="4" s="1"/>
  <c r="S344" i="4"/>
  <c r="AK343" i="4"/>
  <c r="AI343" i="4"/>
  <c r="AH343" i="4" s="1"/>
  <c r="AF343" i="4"/>
  <c r="AG343" i="4" s="1"/>
  <c r="S343" i="4"/>
  <c r="AK342" i="4"/>
  <c r="AI342" i="4"/>
  <c r="AH342" i="4" s="1"/>
  <c r="AF342" i="4"/>
  <c r="AG342" i="4" s="1"/>
  <c r="S342" i="4"/>
  <c r="AK341" i="4"/>
  <c r="AI341" i="4"/>
  <c r="AH341" i="4" s="1"/>
  <c r="AF341" i="4"/>
  <c r="AG341" i="4" s="1"/>
  <c r="S341" i="4"/>
  <c r="AK340" i="4"/>
  <c r="AI340" i="4"/>
  <c r="AH340" i="4" s="1"/>
  <c r="AF340" i="4"/>
  <c r="AG340" i="4" s="1"/>
  <c r="S340" i="4"/>
  <c r="AK339" i="4"/>
  <c r="AI339" i="4"/>
  <c r="AH339" i="4"/>
  <c r="AF339" i="4"/>
  <c r="AG339" i="4" s="1"/>
  <c r="S339" i="4"/>
  <c r="AK338" i="4"/>
  <c r="AI338" i="4"/>
  <c r="AH338" i="4" s="1"/>
  <c r="AF338" i="4"/>
  <c r="AG338" i="4" s="1"/>
  <c r="S338" i="4"/>
  <c r="AK337" i="4"/>
  <c r="AI337" i="4"/>
  <c r="AH337" i="4" s="1"/>
  <c r="AF337" i="4"/>
  <c r="AG337" i="4" s="1"/>
  <c r="S337" i="4"/>
  <c r="AK336" i="4"/>
  <c r="AI336" i="4"/>
  <c r="AH336" i="4" s="1"/>
  <c r="AF336" i="4"/>
  <c r="AG336" i="4" s="1"/>
  <c r="S336" i="4"/>
  <c r="AK335" i="4"/>
  <c r="AI335" i="4"/>
  <c r="AH335" i="4" s="1"/>
  <c r="AF335" i="4"/>
  <c r="AG335" i="4" s="1"/>
  <c r="S335" i="4"/>
  <c r="AK334" i="4"/>
  <c r="AI334" i="4"/>
  <c r="AH334" i="4" s="1"/>
  <c r="AF334" i="4"/>
  <c r="AG334" i="4" s="1"/>
  <c r="S334" i="4"/>
  <c r="AK333" i="4"/>
  <c r="AI333" i="4"/>
  <c r="AH333" i="4" s="1"/>
  <c r="AF333" i="4"/>
  <c r="AG333" i="4" s="1"/>
  <c r="S333" i="4"/>
  <c r="AK332" i="4"/>
  <c r="AI332" i="4"/>
  <c r="AH332" i="4" s="1"/>
  <c r="AF332" i="4"/>
  <c r="AG332" i="4" s="1"/>
  <c r="S332" i="4"/>
  <c r="AK331" i="4"/>
  <c r="AI331" i="4"/>
  <c r="AH331" i="4" s="1"/>
  <c r="AF331" i="4"/>
  <c r="AG331" i="4" s="1"/>
  <c r="S331" i="4"/>
  <c r="AK330" i="4"/>
  <c r="AI330" i="4"/>
  <c r="AH330" i="4" s="1"/>
  <c r="AF330" i="4"/>
  <c r="AG330" i="4" s="1"/>
  <c r="S330" i="4"/>
  <c r="AK329" i="4"/>
  <c r="AI329" i="4"/>
  <c r="AH329" i="4" s="1"/>
  <c r="AF329" i="4"/>
  <c r="AG329" i="4" s="1"/>
  <c r="S329" i="4"/>
  <c r="AK328" i="4"/>
  <c r="AI328" i="4"/>
  <c r="AH328" i="4" s="1"/>
  <c r="AF328" i="4"/>
  <c r="AG328" i="4" s="1"/>
  <c r="S328" i="4"/>
  <c r="AK327" i="4"/>
  <c r="AI327" i="4"/>
  <c r="AH327" i="4" s="1"/>
  <c r="AF327" i="4"/>
  <c r="AG327" i="4" s="1"/>
  <c r="S327" i="4"/>
  <c r="AK326" i="4"/>
  <c r="AI326" i="4"/>
  <c r="AH326" i="4" s="1"/>
  <c r="AF326" i="4"/>
  <c r="AG326" i="4" s="1"/>
  <c r="S326" i="4"/>
  <c r="AK325" i="4"/>
  <c r="AI325" i="4"/>
  <c r="AH325" i="4" s="1"/>
  <c r="AF325" i="4"/>
  <c r="AG325" i="4" s="1"/>
  <c r="S325" i="4"/>
  <c r="AK324" i="4"/>
  <c r="AI324" i="4"/>
  <c r="AH324" i="4" s="1"/>
  <c r="AF324" i="4"/>
  <c r="AG324" i="4" s="1"/>
  <c r="S324" i="4"/>
  <c r="AK323" i="4"/>
  <c r="AI323" i="4"/>
  <c r="AH323" i="4" s="1"/>
  <c r="AF323" i="4"/>
  <c r="AG323" i="4" s="1"/>
  <c r="S323" i="4"/>
  <c r="AK322" i="4"/>
  <c r="AI322" i="4"/>
  <c r="AH322" i="4" s="1"/>
  <c r="AF322" i="4"/>
  <c r="AG322" i="4" s="1"/>
  <c r="S322" i="4"/>
  <c r="AK321" i="4"/>
  <c r="AI321" i="4"/>
  <c r="AH321" i="4" s="1"/>
  <c r="AF321" i="4"/>
  <c r="AG321" i="4" s="1"/>
  <c r="S321" i="4"/>
  <c r="AK320" i="4"/>
  <c r="AI320" i="4"/>
  <c r="AH320" i="4" s="1"/>
  <c r="AF320" i="4"/>
  <c r="AG320" i="4" s="1"/>
  <c r="S320" i="4"/>
  <c r="AK319" i="4"/>
  <c r="AI319" i="4"/>
  <c r="AH319" i="4" s="1"/>
  <c r="AF319" i="4"/>
  <c r="AG319" i="4" s="1"/>
  <c r="S319" i="4"/>
  <c r="AK318" i="4"/>
  <c r="AI318" i="4"/>
  <c r="AH318" i="4" s="1"/>
  <c r="AF318" i="4"/>
  <c r="AG318" i="4" s="1"/>
  <c r="S318" i="4"/>
  <c r="AK317" i="4"/>
  <c r="AI317" i="4"/>
  <c r="AH317" i="4" s="1"/>
  <c r="AF317" i="4"/>
  <c r="AG317" i="4" s="1"/>
  <c r="S317" i="4"/>
  <c r="AK316" i="4"/>
  <c r="AI316" i="4"/>
  <c r="AH316" i="4" s="1"/>
  <c r="AF316" i="4"/>
  <c r="AG316" i="4" s="1"/>
  <c r="S316" i="4"/>
  <c r="AK315" i="4"/>
  <c r="AI315" i="4"/>
  <c r="AH315" i="4" s="1"/>
  <c r="AF315" i="4"/>
  <c r="AG315" i="4" s="1"/>
  <c r="S315" i="4"/>
  <c r="AK314" i="4"/>
  <c r="AI314" i="4"/>
  <c r="AH314" i="4" s="1"/>
  <c r="AF314" i="4"/>
  <c r="AG314" i="4" s="1"/>
  <c r="S314" i="4"/>
  <c r="AK313" i="4"/>
  <c r="AI313" i="4"/>
  <c r="AH313" i="4" s="1"/>
  <c r="AF313" i="4"/>
  <c r="AG313" i="4" s="1"/>
  <c r="S313" i="4"/>
  <c r="AK312" i="4"/>
  <c r="AI312" i="4"/>
  <c r="AH312" i="4" s="1"/>
  <c r="AF312" i="4"/>
  <c r="AG312" i="4" s="1"/>
  <c r="S312" i="4"/>
  <c r="AK311" i="4"/>
  <c r="AI311" i="4"/>
  <c r="AH311" i="4" s="1"/>
  <c r="AF311" i="4"/>
  <c r="AG311" i="4" s="1"/>
  <c r="S311" i="4"/>
  <c r="AK310" i="4"/>
  <c r="AI310" i="4"/>
  <c r="AH310" i="4" s="1"/>
  <c r="AF310" i="4"/>
  <c r="AG310" i="4" s="1"/>
  <c r="S310" i="4"/>
  <c r="AK309" i="4"/>
  <c r="AI309" i="4"/>
  <c r="AH309" i="4" s="1"/>
  <c r="AF309" i="4"/>
  <c r="AG309" i="4" s="1"/>
  <c r="S309" i="4"/>
  <c r="AK308" i="4"/>
  <c r="AI308" i="4"/>
  <c r="AH308" i="4" s="1"/>
  <c r="AF308" i="4"/>
  <c r="AG308" i="4" s="1"/>
  <c r="S308" i="4"/>
  <c r="AK307" i="4"/>
  <c r="AI307" i="4"/>
  <c r="AH307" i="4" s="1"/>
  <c r="AF307" i="4"/>
  <c r="AG307" i="4" s="1"/>
  <c r="S307" i="4"/>
  <c r="AK306" i="4"/>
  <c r="AI306" i="4"/>
  <c r="AH306" i="4" s="1"/>
  <c r="AF306" i="4"/>
  <c r="AG306" i="4" s="1"/>
  <c r="S306" i="4"/>
  <c r="AK305" i="4"/>
  <c r="AI305" i="4"/>
  <c r="AH305" i="4" s="1"/>
  <c r="AF305" i="4"/>
  <c r="AG305" i="4" s="1"/>
  <c r="S305" i="4"/>
  <c r="AK304" i="4"/>
  <c r="AI304" i="4"/>
  <c r="AH304" i="4" s="1"/>
  <c r="AF304" i="4"/>
  <c r="AG304" i="4" s="1"/>
  <c r="S304" i="4"/>
  <c r="AK303" i="4"/>
  <c r="AI303" i="4"/>
  <c r="AH303" i="4" s="1"/>
  <c r="AF303" i="4"/>
  <c r="AG303" i="4" s="1"/>
  <c r="S303" i="4"/>
  <c r="AK302" i="4"/>
  <c r="AI302" i="4"/>
  <c r="AH302" i="4" s="1"/>
  <c r="AF302" i="4"/>
  <c r="AG302" i="4" s="1"/>
  <c r="S302" i="4"/>
  <c r="AK301" i="4"/>
  <c r="AI301" i="4"/>
  <c r="AH301" i="4" s="1"/>
  <c r="AF301" i="4"/>
  <c r="AG301" i="4" s="1"/>
  <c r="S301" i="4"/>
  <c r="AK300" i="4"/>
  <c r="AI300" i="4"/>
  <c r="AH300" i="4" s="1"/>
  <c r="AF300" i="4"/>
  <c r="AG300" i="4" s="1"/>
  <c r="S300" i="4"/>
  <c r="AK299" i="4"/>
  <c r="AI299" i="4"/>
  <c r="AH299" i="4" s="1"/>
  <c r="AF299" i="4"/>
  <c r="AG299" i="4" s="1"/>
  <c r="S299" i="4"/>
  <c r="AK298" i="4"/>
  <c r="AI298" i="4"/>
  <c r="AH298" i="4" s="1"/>
  <c r="AF298" i="4"/>
  <c r="AG298" i="4" s="1"/>
  <c r="S298" i="4"/>
  <c r="AK297" i="4"/>
  <c r="AI297" i="4"/>
  <c r="AH297" i="4" s="1"/>
  <c r="AF297" i="4"/>
  <c r="AG297" i="4" s="1"/>
  <c r="S297" i="4"/>
  <c r="AK296" i="4"/>
  <c r="AI296" i="4"/>
  <c r="AH296" i="4" s="1"/>
  <c r="AF296" i="4"/>
  <c r="AG296" i="4" s="1"/>
  <c r="S296" i="4"/>
  <c r="AK295" i="4"/>
  <c r="AI295" i="4"/>
  <c r="AH295" i="4" s="1"/>
  <c r="AF295" i="4"/>
  <c r="AG295" i="4" s="1"/>
  <c r="S295" i="4"/>
  <c r="AK294" i="4"/>
  <c r="AI294" i="4"/>
  <c r="AH294" i="4" s="1"/>
  <c r="AF294" i="4"/>
  <c r="AG294" i="4" s="1"/>
  <c r="S294" i="4"/>
  <c r="AK293" i="4"/>
  <c r="AI293" i="4"/>
  <c r="AH293" i="4" s="1"/>
  <c r="AF293" i="4"/>
  <c r="AG293" i="4" s="1"/>
  <c r="S293" i="4"/>
  <c r="AK292" i="4"/>
  <c r="AI292" i="4"/>
  <c r="AH292" i="4"/>
  <c r="AF292" i="4"/>
  <c r="AG292" i="4" s="1"/>
  <c r="S292" i="4"/>
  <c r="AK291" i="4"/>
  <c r="AI291" i="4"/>
  <c r="AH291" i="4" s="1"/>
  <c r="AF291" i="4"/>
  <c r="AG291" i="4" s="1"/>
  <c r="S291" i="4"/>
  <c r="AK290" i="4"/>
  <c r="AI290" i="4"/>
  <c r="AH290" i="4" s="1"/>
  <c r="AF290" i="4"/>
  <c r="AG290" i="4" s="1"/>
  <c r="S290" i="4"/>
  <c r="AK289" i="4"/>
  <c r="AI289" i="4"/>
  <c r="AH289" i="4" s="1"/>
  <c r="AF289" i="4"/>
  <c r="AG289" i="4" s="1"/>
  <c r="S289" i="4"/>
  <c r="AK288" i="4"/>
  <c r="AI288" i="4"/>
  <c r="AH288" i="4" s="1"/>
  <c r="AF288" i="4"/>
  <c r="AG288" i="4" s="1"/>
  <c r="S288" i="4"/>
  <c r="AK287" i="4"/>
  <c r="AI287" i="4"/>
  <c r="AH287" i="4" s="1"/>
  <c r="AF287" i="4"/>
  <c r="AG287" i="4" s="1"/>
  <c r="S287" i="4"/>
  <c r="AK286" i="4"/>
  <c r="AI286" i="4"/>
  <c r="AH286" i="4" s="1"/>
  <c r="AF286" i="4"/>
  <c r="AG286" i="4" s="1"/>
  <c r="S286" i="4"/>
  <c r="AK285" i="4"/>
  <c r="AI285" i="4"/>
  <c r="AH285" i="4" s="1"/>
  <c r="AF285" i="4"/>
  <c r="AG285" i="4" s="1"/>
  <c r="S285" i="4"/>
  <c r="AK284" i="4"/>
  <c r="AI284" i="4"/>
  <c r="AH284" i="4" s="1"/>
  <c r="AF284" i="4"/>
  <c r="AG284" i="4" s="1"/>
  <c r="S284" i="4"/>
  <c r="AK283" i="4"/>
  <c r="AI283" i="4"/>
  <c r="AH283" i="4" s="1"/>
  <c r="AF283" i="4"/>
  <c r="AG283" i="4" s="1"/>
  <c r="S283" i="4"/>
  <c r="AK282" i="4"/>
  <c r="AI282" i="4"/>
  <c r="AH282" i="4" s="1"/>
  <c r="AF282" i="4"/>
  <c r="AG282" i="4" s="1"/>
  <c r="S282" i="4"/>
  <c r="AK281" i="4"/>
  <c r="AI281" i="4"/>
  <c r="AH281" i="4" s="1"/>
  <c r="AF281" i="4"/>
  <c r="AG281" i="4" s="1"/>
  <c r="S281" i="4"/>
  <c r="AK280" i="4"/>
  <c r="AI280" i="4"/>
  <c r="AH280" i="4" s="1"/>
  <c r="AF280" i="4"/>
  <c r="AG280" i="4" s="1"/>
  <c r="S280" i="4"/>
  <c r="AK279" i="4"/>
  <c r="AI279" i="4"/>
  <c r="AH279" i="4" s="1"/>
  <c r="AF279" i="4"/>
  <c r="AG279" i="4" s="1"/>
  <c r="S279" i="4"/>
  <c r="AK278" i="4"/>
  <c r="AI278" i="4"/>
  <c r="AH278" i="4" s="1"/>
  <c r="AF278" i="4"/>
  <c r="AG278" i="4" s="1"/>
  <c r="S278" i="4"/>
  <c r="AK277" i="4"/>
  <c r="AI277" i="4"/>
  <c r="AH277" i="4" s="1"/>
  <c r="AF277" i="4"/>
  <c r="AG277" i="4" s="1"/>
  <c r="S277" i="4"/>
  <c r="AK276" i="4"/>
  <c r="AI276" i="4"/>
  <c r="AH276" i="4" s="1"/>
  <c r="AF276" i="4"/>
  <c r="AG276" i="4" s="1"/>
  <c r="S276" i="4"/>
  <c r="AK275" i="4"/>
  <c r="AI275" i="4"/>
  <c r="AH275" i="4" s="1"/>
  <c r="AF275" i="4"/>
  <c r="AG275" i="4" s="1"/>
  <c r="S275" i="4"/>
  <c r="AK274" i="4"/>
  <c r="AI274" i="4"/>
  <c r="AH274" i="4" s="1"/>
  <c r="AF274" i="4"/>
  <c r="AG274" i="4" s="1"/>
  <c r="S274" i="4"/>
  <c r="AK273" i="4"/>
  <c r="AI273" i="4"/>
  <c r="AH273" i="4" s="1"/>
  <c r="AF273" i="4"/>
  <c r="AG273" i="4" s="1"/>
  <c r="S273" i="4"/>
  <c r="AK272" i="4"/>
  <c r="AI272" i="4"/>
  <c r="AH272" i="4" s="1"/>
  <c r="AF272" i="4"/>
  <c r="AG272" i="4" s="1"/>
  <c r="S272" i="4"/>
  <c r="AK271" i="4"/>
  <c r="AI271" i="4"/>
  <c r="AH271" i="4" s="1"/>
  <c r="AF271" i="4"/>
  <c r="AG271" i="4" s="1"/>
  <c r="S271" i="4"/>
  <c r="AK270" i="4"/>
  <c r="AI270" i="4"/>
  <c r="AH270" i="4" s="1"/>
  <c r="AF270" i="4"/>
  <c r="AG270" i="4" s="1"/>
  <c r="S270" i="4"/>
  <c r="AK269" i="4"/>
  <c r="AI269" i="4"/>
  <c r="AH269" i="4" s="1"/>
  <c r="AF269" i="4"/>
  <c r="AG269" i="4" s="1"/>
  <c r="S269" i="4"/>
  <c r="AK268" i="4"/>
  <c r="AI268" i="4"/>
  <c r="AH268" i="4" s="1"/>
  <c r="AF268" i="4"/>
  <c r="AG268" i="4" s="1"/>
  <c r="S268" i="4"/>
  <c r="AK267" i="4"/>
  <c r="AI267" i="4"/>
  <c r="AH267" i="4" s="1"/>
  <c r="AF267" i="4"/>
  <c r="AG267" i="4" s="1"/>
  <c r="S267" i="4"/>
  <c r="AK266" i="4"/>
  <c r="AI266" i="4"/>
  <c r="AH266" i="4" s="1"/>
  <c r="AF266" i="4"/>
  <c r="AG266" i="4" s="1"/>
  <c r="S266" i="4"/>
  <c r="AK265" i="4"/>
  <c r="AI265" i="4"/>
  <c r="AH265" i="4" s="1"/>
  <c r="AF265" i="4"/>
  <c r="AG265" i="4" s="1"/>
  <c r="S265" i="4"/>
  <c r="AK264" i="4"/>
  <c r="AI264" i="4"/>
  <c r="AH264" i="4" s="1"/>
  <c r="AF264" i="4"/>
  <c r="AG264" i="4" s="1"/>
  <c r="S264" i="4"/>
  <c r="AK263" i="4"/>
  <c r="AI263" i="4"/>
  <c r="AH263" i="4" s="1"/>
  <c r="AF263" i="4"/>
  <c r="AG263" i="4" s="1"/>
  <c r="S263" i="4"/>
  <c r="AK262" i="4"/>
  <c r="AI262" i="4"/>
  <c r="AH262" i="4" s="1"/>
  <c r="AF262" i="4"/>
  <c r="AG262" i="4" s="1"/>
  <c r="S262" i="4"/>
  <c r="AK261" i="4"/>
  <c r="AI261" i="4"/>
  <c r="AH261" i="4" s="1"/>
  <c r="AF261" i="4"/>
  <c r="AG261" i="4" s="1"/>
  <c r="S261" i="4"/>
  <c r="AK260" i="4"/>
  <c r="AI260" i="4"/>
  <c r="AH260" i="4" s="1"/>
  <c r="AG260" i="4"/>
  <c r="AF260" i="4"/>
  <c r="S260" i="4"/>
  <c r="AK259" i="4"/>
  <c r="AI259" i="4"/>
  <c r="AH259" i="4" s="1"/>
  <c r="AF259" i="4"/>
  <c r="AG259" i="4" s="1"/>
  <c r="S259" i="4"/>
  <c r="AK258" i="4"/>
  <c r="AI258" i="4"/>
  <c r="AH258" i="4" s="1"/>
  <c r="AF258" i="4"/>
  <c r="AG258" i="4" s="1"/>
  <c r="S258" i="4"/>
  <c r="AK257" i="4"/>
  <c r="AI257" i="4"/>
  <c r="AH257" i="4" s="1"/>
  <c r="AF257" i="4"/>
  <c r="AG257" i="4" s="1"/>
  <c r="S257" i="4"/>
  <c r="AK256" i="4"/>
  <c r="AI256" i="4"/>
  <c r="AH256" i="4" s="1"/>
  <c r="AF256" i="4"/>
  <c r="AG256" i="4" s="1"/>
  <c r="S256" i="4"/>
  <c r="AK255" i="4"/>
  <c r="AI255" i="4"/>
  <c r="AH255" i="4" s="1"/>
  <c r="AF255" i="4"/>
  <c r="AG255" i="4" s="1"/>
  <c r="S255" i="4"/>
  <c r="AK254" i="4"/>
  <c r="AI254" i="4"/>
  <c r="AH254" i="4" s="1"/>
  <c r="AF254" i="4"/>
  <c r="AG254" i="4" s="1"/>
  <c r="S254" i="4"/>
  <c r="AK253" i="4"/>
  <c r="AI253" i="4"/>
  <c r="AH253" i="4" s="1"/>
  <c r="AF253" i="4"/>
  <c r="AG253" i="4" s="1"/>
  <c r="S253" i="4"/>
  <c r="AK252" i="4"/>
  <c r="AI252" i="4"/>
  <c r="AH252" i="4" s="1"/>
  <c r="AF252" i="4"/>
  <c r="AG252" i="4" s="1"/>
  <c r="S252" i="4"/>
  <c r="AK251" i="4"/>
  <c r="AI251" i="4"/>
  <c r="AH251" i="4" s="1"/>
  <c r="AF251" i="4"/>
  <c r="AG251" i="4" s="1"/>
  <c r="S251" i="4"/>
  <c r="AK250" i="4"/>
  <c r="AI250" i="4"/>
  <c r="AH250" i="4" s="1"/>
  <c r="AF250" i="4"/>
  <c r="AG250" i="4" s="1"/>
  <c r="S250" i="4"/>
  <c r="AK249" i="4"/>
  <c r="AI249" i="4"/>
  <c r="AH249" i="4" s="1"/>
  <c r="AF249" i="4"/>
  <c r="AG249" i="4" s="1"/>
  <c r="S249" i="4"/>
  <c r="AK248" i="4"/>
  <c r="AI248" i="4"/>
  <c r="AH248" i="4" s="1"/>
  <c r="AF248" i="4"/>
  <c r="AG248" i="4" s="1"/>
  <c r="S248" i="4"/>
  <c r="AK247" i="4"/>
  <c r="AI247" i="4"/>
  <c r="AH247" i="4" s="1"/>
  <c r="AG247" i="4"/>
  <c r="AF247" i="4"/>
  <c r="S247" i="4"/>
  <c r="AK246" i="4"/>
  <c r="AI246" i="4"/>
  <c r="AH246" i="4" s="1"/>
  <c r="AF246" i="4"/>
  <c r="AG246" i="4" s="1"/>
  <c r="S246" i="4"/>
  <c r="AK245" i="4"/>
  <c r="AI245" i="4"/>
  <c r="AH245" i="4" s="1"/>
  <c r="AF245" i="4"/>
  <c r="AG245" i="4" s="1"/>
  <c r="S245" i="4"/>
  <c r="AK244" i="4"/>
  <c r="AI244" i="4"/>
  <c r="AH244" i="4" s="1"/>
  <c r="AF244" i="4"/>
  <c r="AG244" i="4" s="1"/>
  <c r="S244" i="4"/>
  <c r="AK243" i="4"/>
  <c r="AI243" i="4"/>
  <c r="AH243" i="4" s="1"/>
  <c r="AF243" i="4"/>
  <c r="AG243" i="4" s="1"/>
  <c r="S243" i="4"/>
  <c r="AK242" i="4"/>
  <c r="AI242" i="4"/>
  <c r="AH242" i="4" s="1"/>
  <c r="AF242" i="4"/>
  <c r="AG242" i="4" s="1"/>
  <c r="S242" i="4"/>
  <c r="AK241" i="4"/>
  <c r="AI241" i="4"/>
  <c r="AH241" i="4" s="1"/>
  <c r="AF241" i="4"/>
  <c r="AG241" i="4" s="1"/>
  <c r="S241" i="4"/>
  <c r="AK240" i="4"/>
  <c r="AI240" i="4"/>
  <c r="AH240" i="4" s="1"/>
  <c r="AF240" i="4"/>
  <c r="AG240" i="4" s="1"/>
  <c r="S240" i="4"/>
  <c r="AK239" i="4"/>
  <c r="AI239" i="4"/>
  <c r="AH239" i="4" s="1"/>
  <c r="AF239" i="4"/>
  <c r="AG239" i="4" s="1"/>
  <c r="S239" i="4"/>
  <c r="AK238" i="4"/>
  <c r="AI238" i="4"/>
  <c r="AH238" i="4" s="1"/>
  <c r="AF238" i="4"/>
  <c r="AG238" i="4" s="1"/>
  <c r="S238" i="4"/>
  <c r="AK237" i="4"/>
  <c r="AI237" i="4"/>
  <c r="AH237" i="4" s="1"/>
  <c r="AF237" i="4"/>
  <c r="AG237" i="4" s="1"/>
  <c r="S237" i="4"/>
  <c r="AK236" i="4"/>
  <c r="AI236" i="4"/>
  <c r="AH236" i="4" s="1"/>
  <c r="AF236" i="4"/>
  <c r="AG236" i="4" s="1"/>
  <c r="S236" i="4"/>
  <c r="AK235" i="4"/>
  <c r="AI235" i="4"/>
  <c r="AH235" i="4" s="1"/>
  <c r="AF235" i="4"/>
  <c r="AG235" i="4" s="1"/>
  <c r="S235" i="4"/>
  <c r="AK234" i="4"/>
  <c r="AI234" i="4"/>
  <c r="AH234" i="4" s="1"/>
  <c r="AF234" i="4"/>
  <c r="AG234" i="4" s="1"/>
  <c r="S234" i="4"/>
  <c r="AK233" i="4"/>
  <c r="AI233" i="4"/>
  <c r="AH233" i="4" s="1"/>
  <c r="AF233" i="4"/>
  <c r="AG233" i="4" s="1"/>
  <c r="S233" i="4"/>
  <c r="AK232" i="4"/>
  <c r="AI232" i="4"/>
  <c r="AH232" i="4" s="1"/>
  <c r="AF232" i="4"/>
  <c r="AG232" i="4" s="1"/>
  <c r="S232" i="4"/>
  <c r="AK231" i="4"/>
  <c r="AI231" i="4"/>
  <c r="AH231" i="4" s="1"/>
  <c r="AF231" i="4"/>
  <c r="AG231" i="4" s="1"/>
  <c r="S231" i="4"/>
  <c r="AK230" i="4"/>
  <c r="AI230" i="4"/>
  <c r="AH230" i="4" s="1"/>
  <c r="AF230" i="4"/>
  <c r="AG230" i="4" s="1"/>
  <c r="S230" i="4"/>
  <c r="AK229" i="4"/>
  <c r="AI229" i="4"/>
  <c r="AH229" i="4" s="1"/>
  <c r="AF229" i="4"/>
  <c r="AG229" i="4" s="1"/>
  <c r="S229" i="4"/>
  <c r="AK228" i="4"/>
  <c r="AI228" i="4"/>
  <c r="AH228" i="4" s="1"/>
  <c r="AF228" i="4"/>
  <c r="AG228" i="4" s="1"/>
  <c r="S228" i="4"/>
  <c r="AK227" i="4"/>
  <c r="AI227" i="4"/>
  <c r="AH227" i="4" s="1"/>
  <c r="AF227" i="4"/>
  <c r="AG227" i="4" s="1"/>
  <c r="S227" i="4"/>
  <c r="AK226" i="4"/>
  <c r="AI226" i="4"/>
  <c r="AH226" i="4" s="1"/>
  <c r="AF226" i="4"/>
  <c r="AG226" i="4" s="1"/>
  <c r="S226" i="4"/>
  <c r="AK225" i="4"/>
  <c r="AI225" i="4"/>
  <c r="AH225" i="4" s="1"/>
  <c r="AF225" i="4"/>
  <c r="AG225" i="4" s="1"/>
  <c r="S225" i="4"/>
  <c r="AK224" i="4"/>
  <c r="AI224" i="4"/>
  <c r="AH224" i="4" s="1"/>
  <c r="AF224" i="4"/>
  <c r="AG224" i="4" s="1"/>
  <c r="S224" i="4"/>
  <c r="AK223" i="4"/>
  <c r="AI223" i="4"/>
  <c r="AH223" i="4" s="1"/>
  <c r="AF223" i="4"/>
  <c r="AG223" i="4" s="1"/>
  <c r="S223" i="4"/>
  <c r="AK222" i="4"/>
  <c r="AI222" i="4"/>
  <c r="AH222" i="4" s="1"/>
  <c r="AF222" i="4"/>
  <c r="AG222" i="4" s="1"/>
  <c r="S222" i="4"/>
  <c r="AK221" i="4"/>
  <c r="AI221" i="4"/>
  <c r="AH221" i="4" s="1"/>
  <c r="AF221" i="4"/>
  <c r="AG221" i="4" s="1"/>
  <c r="S221" i="4"/>
  <c r="AK220" i="4"/>
  <c r="AI220" i="4"/>
  <c r="AH220" i="4" s="1"/>
  <c r="AF220" i="4"/>
  <c r="AG220" i="4" s="1"/>
  <c r="S220" i="4"/>
  <c r="AK219" i="4"/>
  <c r="AI219" i="4"/>
  <c r="AH219" i="4" s="1"/>
  <c r="AF219" i="4"/>
  <c r="AG219" i="4" s="1"/>
  <c r="S219" i="4"/>
  <c r="AK218" i="4"/>
  <c r="AI218" i="4"/>
  <c r="AH218" i="4" s="1"/>
  <c r="AF218" i="4"/>
  <c r="AG218" i="4" s="1"/>
  <c r="S218" i="4"/>
  <c r="AK217" i="4"/>
  <c r="AI217" i="4"/>
  <c r="AH217" i="4" s="1"/>
  <c r="AF217" i="4"/>
  <c r="AG217" i="4" s="1"/>
  <c r="S217" i="4"/>
  <c r="AK216" i="4"/>
  <c r="AI216" i="4"/>
  <c r="AH216" i="4" s="1"/>
  <c r="AF216" i="4"/>
  <c r="AG216" i="4" s="1"/>
  <c r="S216" i="4"/>
  <c r="AK215" i="4"/>
  <c r="AI215" i="4"/>
  <c r="AH215" i="4" s="1"/>
  <c r="AF215" i="4"/>
  <c r="AG215" i="4" s="1"/>
  <c r="S215" i="4"/>
  <c r="AK214" i="4"/>
  <c r="AI214" i="4"/>
  <c r="AH214" i="4" s="1"/>
  <c r="AF214" i="4"/>
  <c r="AG214" i="4" s="1"/>
  <c r="S214" i="4"/>
  <c r="AK213" i="4"/>
  <c r="AI213" i="4"/>
  <c r="AH213" i="4" s="1"/>
  <c r="AF213" i="4"/>
  <c r="AG213" i="4" s="1"/>
  <c r="S213" i="4"/>
  <c r="AK212" i="4"/>
  <c r="AI212" i="4"/>
  <c r="AH212" i="4" s="1"/>
  <c r="AF212" i="4"/>
  <c r="AG212" i="4" s="1"/>
  <c r="S212" i="4"/>
  <c r="AK211" i="4"/>
  <c r="AI211" i="4"/>
  <c r="AH211" i="4" s="1"/>
  <c r="AF211" i="4"/>
  <c r="AG211" i="4" s="1"/>
  <c r="S211" i="4"/>
  <c r="AK210" i="4"/>
  <c r="AI210" i="4"/>
  <c r="AH210" i="4" s="1"/>
  <c r="AF210" i="4"/>
  <c r="AG210" i="4" s="1"/>
  <c r="S210" i="4"/>
  <c r="AK209" i="4"/>
  <c r="AI209" i="4"/>
  <c r="AH209" i="4" s="1"/>
  <c r="AF209" i="4"/>
  <c r="AG209" i="4" s="1"/>
  <c r="S209" i="4"/>
  <c r="AK208" i="4"/>
  <c r="AI208" i="4"/>
  <c r="AH208" i="4" s="1"/>
  <c r="AF208" i="4"/>
  <c r="AG208" i="4" s="1"/>
  <c r="S208" i="4"/>
  <c r="AK207" i="4"/>
  <c r="AI207" i="4"/>
  <c r="AH207" i="4" s="1"/>
  <c r="AF207" i="4"/>
  <c r="AG207" i="4" s="1"/>
  <c r="S207" i="4"/>
  <c r="AK206" i="4"/>
  <c r="AI206" i="4"/>
  <c r="AH206" i="4" s="1"/>
  <c r="AF206" i="4"/>
  <c r="AG206" i="4" s="1"/>
  <c r="S206" i="4"/>
  <c r="AK205" i="4"/>
  <c r="AI205" i="4"/>
  <c r="AH205" i="4" s="1"/>
  <c r="AF205" i="4"/>
  <c r="AG205" i="4" s="1"/>
  <c r="S205" i="4"/>
  <c r="AK204" i="4"/>
  <c r="AI204" i="4"/>
  <c r="AH204" i="4" s="1"/>
  <c r="AF204" i="4"/>
  <c r="AG204" i="4" s="1"/>
  <c r="S204" i="4"/>
  <c r="AK203" i="4"/>
  <c r="AI203" i="4"/>
  <c r="AH203" i="4" s="1"/>
  <c r="AF203" i="4"/>
  <c r="AG203" i="4" s="1"/>
  <c r="S203" i="4"/>
  <c r="AK202" i="4"/>
  <c r="AI202" i="4"/>
  <c r="AH202" i="4" s="1"/>
  <c r="AF202" i="4"/>
  <c r="AG202" i="4" s="1"/>
  <c r="S202" i="4"/>
  <c r="AK201" i="4"/>
  <c r="AI201" i="4"/>
  <c r="AH201" i="4" s="1"/>
  <c r="AF201" i="4"/>
  <c r="AG201" i="4" s="1"/>
  <c r="S201" i="4"/>
  <c r="J201" i="4"/>
  <c r="AK200" i="4"/>
  <c r="AI200" i="4"/>
  <c r="AH200" i="4" s="1"/>
  <c r="AF200" i="4"/>
  <c r="AG200" i="4" s="1"/>
  <c r="S200" i="4"/>
  <c r="AK199" i="4"/>
  <c r="AI199" i="4"/>
  <c r="AH199" i="4" s="1"/>
  <c r="AF199" i="4"/>
  <c r="AG199" i="4" s="1"/>
  <c r="S199" i="4"/>
  <c r="AK198" i="4"/>
  <c r="AI198" i="4"/>
  <c r="AH198" i="4" s="1"/>
  <c r="AF198" i="4"/>
  <c r="AG198" i="4" s="1"/>
  <c r="S198" i="4"/>
  <c r="AK197" i="4"/>
  <c r="AI197" i="4"/>
  <c r="AH197" i="4" s="1"/>
  <c r="AF197" i="4"/>
  <c r="AG197" i="4" s="1"/>
  <c r="S197" i="4"/>
  <c r="AK196" i="4"/>
  <c r="AI196" i="4"/>
  <c r="AH196" i="4" s="1"/>
  <c r="AF196" i="4"/>
  <c r="AG196" i="4" s="1"/>
  <c r="S196" i="4"/>
  <c r="AK195" i="4"/>
  <c r="AI195" i="4"/>
  <c r="AH195" i="4" s="1"/>
  <c r="AF195" i="4"/>
  <c r="AG195" i="4" s="1"/>
  <c r="S195" i="4"/>
  <c r="AF194" i="4"/>
  <c r="AG194" i="4" s="1"/>
  <c r="S194" i="4"/>
  <c r="AK193" i="4"/>
  <c r="AI193" i="4"/>
  <c r="AH193" i="4" s="1"/>
  <c r="AF193" i="4"/>
  <c r="AG193" i="4" s="1"/>
  <c r="S193" i="4"/>
  <c r="AF192" i="4"/>
  <c r="AG192" i="4" s="1"/>
  <c r="S192" i="4"/>
  <c r="AK191" i="4"/>
  <c r="AI191" i="4"/>
  <c r="AH191" i="4" s="1"/>
  <c r="AF191" i="4"/>
  <c r="AG191" i="4" s="1"/>
  <c r="S191" i="4"/>
  <c r="AK190" i="4"/>
  <c r="AI190" i="4"/>
  <c r="AH190" i="4" s="1"/>
  <c r="AF190" i="4"/>
  <c r="AG190" i="4" s="1"/>
  <c r="S190" i="4"/>
  <c r="AK189" i="4"/>
  <c r="AI189" i="4"/>
  <c r="AH189" i="4" s="1"/>
  <c r="AF189" i="4"/>
  <c r="AG189" i="4" s="1"/>
  <c r="S189" i="4"/>
  <c r="AK188" i="4"/>
  <c r="AI188" i="4"/>
  <c r="AH188" i="4" s="1"/>
  <c r="AF188" i="4"/>
  <c r="AG188" i="4" s="1"/>
  <c r="S188" i="4"/>
  <c r="AK187" i="4"/>
  <c r="AI187" i="4"/>
  <c r="AH187" i="4" s="1"/>
  <c r="AF187" i="4"/>
  <c r="AG187" i="4" s="1"/>
  <c r="S187" i="4"/>
  <c r="AK186" i="4"/>
  <c r="AI186" i="4"/>
  <c r="AH186" i="4" s="1"/>
  <c r="AF186" i="4"/>
  <c r="AG186" i="4" s="1"/>
  <c r="S186" i="4"/>
  <c r="AK185" i="4"/>
  <c r="AI185" i="4"/>
  <c r="AH185" i="4" s="1"/>
  <c r="AF185" i="4"/>
  <c r="AG185" i="4" s="1"/>
  <c r="S185" i="4"/>
  <c r="AK184" i="4"/>
  <c r="AI184" i="4"/>
  <c r="AH184" i="4" s="1"/>
  <c r="AF184" i="4"/>
  <c r="AG184" i="4" s="1"/>
  <c r="S184" i="4"/>
  <c r="AK183" i="4"/>
  <c r="AI183" i="4"/>
  <c r="AH183" i="4" s="1"/>
  <c r="AF183" i="4"/>
  <c r="AG183" i="4" s="1"/>
  <c r="S183" i="4"/>
  <c r="AK182" i="4"/>
  <c r="AI182" i="4"/>
  <c r="AH182" i="4" s="1"/>
  <c r="AG182" i="4"/>
  <c r="AF182" i="4"/>
  <c r="S182" i="4"/>
  <c r="AK181" i="4"/>
  <c r="AI181" i="4"/>
  <c r="AH181" i="4" s="1"/>
  <c r="AF181" i="4"/>
  <c r="AG181" i="4" s="1"/>
  <c r="S181" i="4"/>
  <c r="AK180" i="4"/>
  <c r="AI180" i="4"/>
  <c r="AH180" i="4" s="1"/>
  <c r="AF180" i="4"/>
  <c r="AG180" i="4" s="1"/>
  <c r="S180" i="4"/>
  <c r="AK179" i="4"/>
  <c r="AI179" i="4"/>
  <c r="AH179" i="4" s="1"/>
  <c r="AF179" i="4"/>
  <c r="AG179" i="4" s="1"/>
  <c r="S179" i="4"/>
  <c r="AK178" i="4"/>
  <c r="AI178" i="4"/>
  <c r="AH178" i="4" s="1"/>
  <c r="AF178" i="4"/>
  <c r="AG178" i="4" s="1"/>
  <c r="S178" i="4"/>
  <c r="AK177" i="4"/>
  <c r="AI177" i="4"/>
  <c r="AH177" i="4" s="1"/>
  <c r="AF177" i="4"/>
  <c r="AG177" i="4" s="1"/>
  <c r="S177" i="4"/>
  <c r="AK176" i="4"/>
  <c r="AI176" i="4"/>
  <c r="AH176" i="4" s="1"/>
  <c r="AF176" i="4"/>
  <c r="AG176" i="4" s="1"/>
  <c r="S176" i="4"/>
  <c r="AK175" i="4"/>
  <c r="AI175" i="4"/>
  <c r="AH175" i="4" s="1"/>
  <c r="AF175" i="4"/>
  <c r="AG175" i="4" s="1"/>
  <c r="S175" i="4"/>
  <c r="AK174" i="4"/>
  <c r="AI174" i="4"/>
  <c r="AH174" i="4" s="1"/>
  <c r="AF174" i="4"/>
  <c r="AG174" i="4" s="1"/>
  <c r="S174" i="4"/>
  <c r="AK173" i="4"/>
  <c r="AI173" i="4"/>
  <c r="AH173" i="4" s="1"/>
  <c r="AF173" i="4"/>
  <c r="AG173" i="4" s="1"/>
  <c r="S173" i="4"/>
  <c r="AK172" i="4"/>
  <c r="AI172" i="4"/>
  <c r="AH172" i="4" s="1"/>
  <c r="AF172" i="4"/>
  <c r="AG172" i="4" s="1"/>
  <c r="S172" i="4"/>
  <c r="AK171" i="4"/>
  <c r="AI171" i="4"/>
  <c r="AH171" i="4" s="1"/>
  <c r="AF171" i="4"/>
  <c r="AG171" i="4" s="1"/>
  <c r="S171" i="4"/>
  <c r="AK170" i="4"/>
  <c r="AI170" i="4"/>
  <c r="AH170" i="4" s="1"/>
  <c r="AF170" i="4"/>
  <c r="AG170" i="4" s="1"/>
  <c r="S170" i="4"/>
  <c r="AK169" i="4"/>
  <c r="AI169" i="4"/>
  <c r="AH169" i="4" s="1"/>
  <c r="AF169" i="4"/>
  <c r="AG169" i="4" s="1"/>
  <c r="S169" i="4"/>
  <c r="AK168" i="4"/>
  <c r="AI168" i="4"/>
  <c r="AH168" i="4" s="1"/>
  <c r="AF168" i="4"/>
  <c r="AG168" i="4" s="1"/>
  <c r="S168" i="4"/>
  <c r="AK167" i="4"/>
  <c r="AI167" i="4"/>
  <c r="AH167" i="4" s="1"/>
  <c r="AF167" i="4"/>
  <c r="AG167" i="4" s="1"/>
  <c r="S167" i="4"/>
  <c r="AK166" i="4"/>
  <c r="AI166" i="4"/>
  <c r="AH166" i="4" s="1"/>
  <c r="AF166" i="4"/>
  <c r="AG166" i="4" s="1"/>
  <c r="S166" i="4"/>
  <c r="AK165" i="4"/>
  <c r="AI165" i="4"/>
  <c r="AH165" i="4" s="1"/>
  <c r="AF165" i="4"/>
  <c r="AG165" i="4" s="1"/>
  <c r="S165" i="4"/>
  <c r="AK164" i="4"/>
  <c r="AI164" i="4"/>
  <c r="AH164" i="4" s="1"/>
  <c r="AF164" i="4"/>
  <c r="AG164" i="4" s="1"/>
  <c r="S164" i="4"/>
  <c r="AK163" i="4"/>
  <c r="AI163" i="4"/>
  <c r="AH163" i="4" s="1"/>
  <c r="AF163" i="4"/>
  <c r="AG163" i="4" s="1"/>
  <c r="S163" i="4"/>
  <c r="AK162" i="4"/>
  <c r="AI162" i="4"/>
  <c r="AH162" i="4" s="1"/>
  <c r="AF162" i="4"/>
  <c r="AG162" i="4" s="1"/>
  <c r="S162" i="4"/>
  <c r="AK161" i="4"/>
  <c r="AI161" i="4"/>
  <c r="AH161" i="4" s="1"/>
  <c r="AF161" i="4"/>
  <c r="AG161" i="4" s="1"/>
  <c r="S161" i="4"/>
  <c r="AK160" i="4"/>
  <c r="AI160" i="4"/>
  <c r="AH160" i="4" s="1"/>
  <c r="AF160" i="4"/>
  <c r="AG160" i="4" s="1"/>
  <c r="S160" i="4"/>
  <c r="AK159" i="4"/>
  <c r="AI159" i="4"/>
  <c r="AH159" i="4" s="1"/>
  <c r="AF159" i="4"/>
  <c r="AG159" i="4" s="1"/>
  <c r="S159" i="4"/>
  <c r="AK158" i="4"/>
  <c r="AI158" i="4"/>
  <c r="AH158" i="4" s="1"/>
  <c r="AF158" i="4"/>
  <c r="AG158" i="4" s="1"/>
  <c r="S158" i="4"/>
  <c r="AK157" i="4"/>
  <c r="AI157" i="4"/>
  <c r="AH157" i="4" s="1"/>
  <c r="AF157" i="4"/>
  <c r="AG157" i="4" s="1"/>
  <c r="S157" i="4"/>
  <c r="AK156" i="4"/>
  <c r="AI156" i="4"/>
  <c r="AH156" i="4" s="1"/>
  <c r="AF156" i="4"/>
  <c r="AG156" i="4" s="1"/>
  <c r="S156" i="4"/>
  <c r="AK155" i="4"/>
  <c r="AI155" i="4"/>
  <c r="AH155" i="4" s="1"/>
  <c r="AF155" i="4"/>
  <c r="AG155" i="4" s="1"/>
  <c r="S155" i="4"/>
  <c r="AK154" i="4"/>
  <c r="AI154" i="4"/>
  <c r="AH154" i="4" s="1"/>
  <c r="AF154" i="4"/>
  <c r="AG154" i="4" s="1"/>
  <c r="S154" i="4"/>
  <c r="AK153" i="4"/>
  <c r="AI153" i="4"/>
  <c r="AH153" i="4" s="1"/>
  <c r="AF153" i="4"/>
  <c r="AG153" i="4" s="1"/>
  <c r="S153" i="4"/>
  <c r="AK152" i="4"/>
  <c r="AI152" i="4"/>
  <c r="AH152" i="4" s="1"/>
  <c r="AF152" i="4"/>
  <c r="AG152" i="4" s="1"/>
  <c r="S152" i="4"/>
  <c r="AK151" i="4"/>
  <c r="AI151" i="4"/>
  <c r="AH151" i="4" s="1"/>
  <c r="AF151" i="4"/>
  <c r="AG151" i="4" s="1"/>
  <c r="S151" i="4"/>
  <c r="AK150" i="4"/>
  <c r="AI150" i="4"/>
  <c r="AH150" i="4" s="1"/>
  <c r="AF150" i="4"/>
  <c r="AG150" i="4" s="1"/>
  <c r="S150" i="4"/>
  <c r="AK149" i="4"/>
  <c r="AI149" i="4"/>
  <c r="AH149" i="4" s="1"/>
  <c r="AF149" i="4"/>
  <c r="AG149" i="4" s="1"/>
  <c r="S149" i="4"/>
  <c r="AK148" i="4"/>
  <c r="AI148" i="4"/>
  <c r="AH148" i="4" s="1"/>
  <c r="AF148" i="4"/>
  <c r="AG148" i="4" s="1"/>
  <c r="S148" i="4"/>
  <c r="AK147" i="4"/>
  <c r="AI147" i="4"/>
  <c r="AH147" i="4" s="1"/>
  <c r="AF147" i="4"/>
  <c r="AG147" i="4" s="1"/>
  <c r="S147" i="4"/>
  <c r="AK146" i="4"/>
  <c r="AI146" i="4"/>
  <c r="AH146" i="4" s="1"/>
  <c r="AF146" i="4"/>
  <c r="AG146" i="4" s="1"/>
  <c r="S146" i="4"/>
  <c r="AK145" i="4"/>
  <c r="AI145" i="4"/>
  <c r="AH145" i="4" s="1"/>
  <c r="AF145" i="4"/>
  <c r="AG145" i="4" s="1"/>
  <c r="S145" i="4"/>
  <c r="AK144" i="4"/>
  <c r="AI144" i="4"/>
  <c r="AH144" i="4" s="1"/>
  <c r="AF144" i="4"/>
  <c r="AG144" i="4" s="1"/>
  <c r="S144" i="4"/>
  <c r="AK143" i="4"/>
  <c r="AI143" i="4"/>
  <c r="AH143" i="4" s="1"/>
  <c r="AF143" i="4"/>
  <c r="AG143" i="4" s="1"/>
  <c r="S143" i="4"/>
  <c r="AK142" i="4"/>
  <c r="AI142" i="4"/>
  <c r="AH142" i="4" s="1"/>
  <c r="AF142" i="4"/>
  <c r="AG142" i="4" s="1"/>
  <c r="S142" i="4"/>
  <c r="AK141" i="4"/>
  <c r="AI141" i="4"/>
  <c r="AH141" i="4" s="1"/>
  <c r="AF141" i="4"/>
  <c r="AG141" i="4" s="1"/>
  <c r="S141" i="4"/>
  <c r="AK140" i="4"/>
  <c r="AI140" i="4"/>
  <c r="AH140" i="4" s="1"/>
  <c r="AF140" i="4"/>
  <c r="AG140" i="4" s="1"/>
  <c r="S140" i="4"/>
  <c r="AK139" i="4"/>
  <c r="AI139" i="4"/>
  <c r="AH139" i="4" s="1"/>
  <c r="AF139" i="4"/>
  <c r="AG139" i="4" s="1"/>
  <c r="S139" i="4"/>
  <c r="AK138" i="4"/>
  <c r="AI138" i="4"/>
  <c r="AH138" i="4" s="1"/>
  <c r="AF138" i="4"/>
  <c r="AG138" i="4" s="1"/>
  <c r="S138" i="4"/>
  <c r="AK137" i="4"/>
  <c r="AI137" i="4"/>
  <c r="AH137" i="4" s="1"/>
  <c r="AF137" i="4"/>
  <c r="AG137" i="4" s="1"/>
  <c r="S137" i="4"/>
  <c r="AK136" i="4"/>
  <c r="AI136" i="4"/>
  <c r="AH136" i="4" s="1"/>
  <c r="AF136" i="4"/>
  <c r="AG136" i="4" s="1"/>
  <c r="S136" i="4"/>
  <c r="AK135" i="4"/>
  <c r="AI135" i="4"/>
  <c r="AH135" i="4" s="1"/>
  <c r="AF135" i="4"/>
  <c r="AG135" i="4" s="1"/>
  <c r="S135" i="4"/>
  <c r="AK134" i="4"/>
  <c r="AI134" i="4"/>
  <c r="AH134" i="4" s="1"/>
  <c r="AF134" i="4"/>
  <c r="AG134" i="4" s="1"/>
  <c r="S134" i="4"/>
  <c r="AK133" i="4"/>
  <c r="AI133" i="4"/>
  <c r="AH133" i="4" s="1"/>
  <c r="AF133" i="4"/>
  <c r="AG133" i="4" s="1"/>
  <c r="S133" i="4"/>
  <c r="AK132" i="4"/>
  <c r="AI132" i="4"/>
  <c r="AH132" i="4" s="1"/>
  <c r="AF132" i="4"/>
  <c r="AG132" i="4" s="1"/>
  <c r="S132" i="4"/>
  <c r="AK131" i="4"/>
  <c r="AI131" i="4"/>
  <c r="AH131" i="4" s="1"/>
  <c r="AF131" i="4"/>
  <c r="AG131" i="4" s="1"/>
  <c r="S131" i="4"/>
  <c r="AK130" i="4"/>
  <c r="AI130" i="4"/>
  <c r="AH130" i="4" s="1"/>
  <c r="AF130" i="4"/>
  <c r="AG130" i="4" s="1"/>
  <c r="S130" i="4"/>
  <c r="AK129" i="4"/>
  <c r="AI129" i="4"/>
  <c r="AH129" i="4" s="1"/>
  <c r="AF129" i="4"/>
  <c r="AG129" i="4" s="1"/>
  <c r="S129" i="4"/>
  <c r="AK128" i="4"/>
  <c r="AI128" i="4"/>
  <c r="AH128" i="4" s="1"/>
  <c r="AF128" i="4"/>
  <c r="AG128" i="4" s="1"/>
  <c r="S128" i="4"/>
  <c r="AK127" i="4"/>
  <c r="AI127" i="4"/>
  <c r="AH127" i="4" s="1"/>
  <c r="AF127" i="4"/>
  <c r="AG127" i="4" s="1"/>
  <c r="S127" i="4"/>
  <c r="AK126" i="4"/>
  <c r="AI126" i="4"/>
  <c r="AH126" i="4" s="1"/>
  <c r="AF126" i="4"/>
  <c r="AG126" i="4" s="1"/>
  <c r="S126" i="4"/>
  <c r="AK125" i="4"/>
  <c r="AI125" i="4"/>
  <c r="AH125" i="4" s="1"/>
  <c r="AF125" i="4"/>
  <c r="AG125" i="4" s="1"/>
  <c r="S125" i="4"/>
  <c r="AK124" i="4"/>
  <c r="AI124" i="4"/>
  <c r="AH124" i="4" s="1"/>
  <c r="AF124" i="4"/>
  <c r="AG124" i="4" s="1"/>
  <c r="S124" i="4"/>
  <c r="AK123" i="4"/>
  <c r="AI123" i="4"/>
  <c r="AH123" i="4" s="1"/>
  <c r="AF123" i="4"/>
  <c r="AG123" i="4" s="1"/>
  <c r="S123" i="4"/>
  <c r="AK122" i="4"/>
  <c r="AI122" i="4"/>
  <c r="AH122" i="4" s="1"/>
  <c r="AF122" i="4"/>
  <c r="AG122" i="4" s="1"/>
  <c r="S122" i="4"/>
  <c r="AK121" i="4"/>
  <c r="AI121" i="4"/>
  <c r="AH121" i="4" s="1"/>
  <c r="AF121" i="4"/>
  <c r="AG121" i="4" s="1"/>
  <c r="S121" i="4"/>
  <c r="AK120" i="4"/>
  <c r="AI120" i="4"/>
  <c r="AH120" i="4"/>
  <c r="AF120" i="4"/>
  <c r="AG120" i="4" s="1"/>
  <c r="S120" i="4"/>
  <c r="AK119" i="4"/>
  <c r="AI119" i="4"/>
  <c r="AH119" i="4" s="1"/>
  <c r="AG119" i="4"/>
  <c r="AF119" i="4"/>
  <c r="S119" i="4"/>
  <c r="AK118" i="4"/>
  <c r="AI118" i="4"/>
  <c r="AH118" i="4" s="1"/>
  <c r="AF118" i="4"/>
  <c r="AG118" i="4" s="1"/>
  <c r="S118" i="4"/>
  <c r="AK117" i="4"/>
  <c r="AI117" i="4"/>
  <c r="AH117" i="4" s="1"/>
  <c r="AF117" i="4"/>
  <c r="AG117" i="4" s="1"/>
  <c r="S117" i="4"/>
  <c r="AK116" i="4"/>
  <c r="AI116" i="4"/>
  <c r="AH116" i="4" s="1"/>
  <c r="AF116" i="4"/>
  <c r="AG116" i="4" s="1"/>
  <c r="S116" i="4"/>
  <c r="AK115" i="4"/>
  <c r="AI115" i="4"/>
  <c r="AH115" i="4" s="1"/>
  <c r="AF115" i="4"/>
  <c r="AG115" i="4" s="1"/>
  <c r="S115" i="4"/>
  <c r="AK114" i="4"/>
  <c r="AI114" i="4"/>
  <c r="AH114" i="4" s="1"/>
  <c r="AF114" i="4"/>
  <c r="AG114" i="4" s="1"/>
  <c r="S114" i="4"/>
  <c r="AK113" i="4"/>
  <c r="AI113" i="4"/>
  <c r="AH113" i="4" s="1"/>
  <c r="AF113" i="4"/>
  <c r="AG113" i="4" s="1"/>
  <c r="S113" i="4"/>
  <c r="AK112" i="4"/>
  <c r="AI112" i="4"/>
  <c r="AH112" i="4" s="1"/>
  <c r="AF112" i="4"/>
  <c r="AG112" i="4" s="1"/>
  <c r="S112" i="4"/>
  <c r="AK111" i="4"/>
  <c r="AI111" i="4"/>
  <c r="AH111" i="4" s="1"/>
  <c r="AF111" i="4"/>
  <c r="AG111" i="4" s="1"/>
  <c r="S111" i="4"/>
  <c r="AK110" i="4"/>
  <c r="AI110" i="4"/>
  <c r="AH110" i="4" s="1"/>
  <c r="AF110" i="4"/>
  <c r="AG110" i="4" s="1"/>
  <c r="S110" i="4"/>
  <c r="AK109" i="4"/>
  <c r="AI109" i="4"/>
  <c r="AH109" i="4" s="1"/>
  <c r="AF109" i="4"/>
  <c r="AG109" i="4" s="1"/>
  <c r="S109" i="4"/>
  <c r="AK108" i="4"/>
  <c r="AI108" i="4"/>
  <c r="AH108" i="4" s="1"/>
  <c r="AF108" i="4"/>
  <c r="AG108" i="4" s="1"/>
  <c r="S108" i="4"/>
  <c r="AK107" i="4"/>
  <c r="AI107" i="4"/>
  <c r="AH107" i="4" s="1"/>
  <c r="AF107" i="4"/>
  <c r="AG107" i="4" s="1"/>
  <c r="S107" i="4"/>
  <c r="AK106" i="4"/>
  <c r="AI106" i="4"/>
  <c r="AH106" i="4" s="1"/>
  <c r="AF106" i="4"/>
  <c r="AG106" i="4" s="1"/>
  <c r="S106" i="4"/>
  <c r="AK105" i="4"/>
  <c r="AI105" i="4"/>
  <c r="AH105" i="4" s="1"/>
  <c r="AF105" i="4"/>
  <c r="AG105" i="4" s="1"/>
  <c r="S105" i="4"/>
  <c r="AK104" i="4"/>
  <c r="AI104" i="4"/>
  <c r="AH104" i="4" s="1"/>
  <c r="AF104" i="4"/>
  <c r="AG104" i="4" s="1"/>
  <c r="S104" i="4"/>
  <c r="AK103" i="4"/>
  <c r="AI103" i="4"/>
  <c r="AH103" i="4" s="1"/>
  <c r="AF103" i="4"/>
  <c r="AG103" i="4" s="1"/>
  <c r="S103" i="4"/>
  <c r="AK102" i="4"/>
  <c r="AI102" i="4"/>
  <c r="AH102" i="4" s="1"/>
  <c r="AF102" i="4"/>
  <c r="AG102" i="4" s="1"/>
  <c r="S102" i="4"/>
  <c r="AK101" i="4"/>
  <c r="AI101" i="4"/>
  <c r="AH101" i="4" s="1"/>
  <c r="AF101" i="4"/>
  <c r="AG101" i="4" s="1"/>
  <c r="S101" i="4"/>
  <c r="AK100" i="4"/>
  <c r="AI100" i="4"/>
  <c r="AH100" i="4" s="1"/>
  <c r="AF100" i="4"/>
  <c r="AG100" i="4" s="1"/>
  <c r="S100" i="4"/>
  <c r="AK99" i="4"/>
  <c r="AI99" i="4"/>
  <c r="AH99" i="4" s="1"/>
  <c r="AF99" i="4"/>
  <c r="AG99" i="4" s="1"/>
  <c r="S99" i="4"/>
  <c r="AK98" i="4"/>
  <c r="AI98" i="4"/>
  <c r="AH98" i="4" s="1"/>
  <c r="AF98" i="4"/>
  <c r="AG98" i="4" s="1"/>
  <c r="S98" i="4"/>
  <c r="AK97" i="4"/>
  <c r="AI97" i="4"/>
  <c r="AH97" i="4" s="1"/>
  <c r="AF97" i="4"/>
  <c r="AG97" i="4" s="1"/>
  <c r="S97" i="4"/>
  <c r="AK96" i="4"/>
  <c r="AI96" i="4"/>
  <c r="AH96" i="4" s="1"/>
  <c r="AF96" i="4"/>
  <c r="AG96" i="4" s="1"/>
  <c r="S96" i="4"/>
  <c r="AK95" i="4"/>
  <c r="AI95" i="4"/>
  <c r="AH95" i="4" s="1"/>
  <c r="AF95" i="4"/>
  <c r="AG95" i="4" s="1"/>
  <c r="S95" i="4"/>
  <c r="AK94" i="4"/>
  <c r="AI94" i="4"/>
  <c r="AH94" i="4" s="1"/>
  <c r="AF94" i="4"/>
  <c r="AG94" i="4" s="1"/>
  <c r="S94" i="4"/>
  <c r="AK93" i="4"/>
  <c r="AI93" i="4"/>
  <c r="AH93" i="4" s="1"/>
  <c r="AF93" i="4"/>
  <c r="AG93" i="4" s="1"/>
  <c r="S93" i="4"/>
  <c r="AK92" i="4"/>
  <c r="AI92" i="4"/>
  <c r="AH92" i="4" s="1"/>
  <c r="AF92" i="4"/>
  <c r="AG92" i="4" s="1"/>
  <c r="S92" i="4"/>
  <c r="AK91" i="4"/>
  <c r="AI91" i="4"/>
  <c r="AH91" i="4" s="1"/>
  <c r="AF91" i="4"/>
  <c r="AG91" i="4" s="1"/>
  <c r="S91" i="4"/>
  <c r="AK90" i="4"/>
  <c r="AI90" i="4"/>
  <c r="AH90" i="4" s="1"/>
  <c r="AF90" i="4"/>
  <c r="AG90" i="4" s="1"/>
  <c r="S90" i="4"/>
  <c r="AK89" i="4"/>
  <c r="AI89" i="4"/>
  <c r="AH89" i="4" s="1"/>
  <c r="AF89" i="4"/>
  <c r="AG89" i="4" s="1"/>
  <c r="S89" i="4"/>
  <c r="AK88" i="4"/>
  <c r="AI88" i="4"/>
  <c r="AH88" i="4" s="1"/>
  <c r="AF88" i="4"/>
  <c r="AG88" i="4" s="1"/>
  <c r="S88" i="4"/>
  <c r="AK87" i="4"/>
  <c r="AI87" i="4"/>
  <c r="AH87" i="4" s="1"/>
  <c r="AF87" i="4"/>
  <c r="AG87" i="4" s="1"/>
  <c r="S87" i="4"/>
  <c r="AK86" i="4"/>
  <c r="AI86" i="4"/>
  <c r="AH86" i="4" s="1"/>
  <c r="AF86" i="4"/>
  <c r="AG86" i="4" s="1"/>
  <c r="S86" i="4"/>
  <c r="AK85" i="4"/>
  <c r="AI85" i="4"/>
  <c r="AH85" i="4" s="1"/>
  <c r="AF85" i="4"/>
  <c r="AG85" i="4" s="1"/>
  <c r="S85" i="4"/>
  <c r="AK84" i="4"/>
  <c r="AI84" i="4"/>
  <c r="AH84" i="4" s="1"/>
  <c r="AF84" i="4"/>
  <c r="AG84" i="4" s="1"/>
  <c r="S84" i="4"/>
  <c r="AK83" i="4"/>
  <c r="AI83" i="4"/>
  <c r="AH83" i="4" s="1"/>
  <c r="AF83" i="4"/>
  <c r="AG83" i="4" s="1"/>
  <c r="S83" i="4"/>
  <c r="AK82" i="4"/>
  <c r="AI82" i="4"/>
  <c r="AH82" i="4" s="1"/>
  <c r="AF82" i="4"/>
  <c r="AG82" i="4" s="1"/>
  <c r="S82" i="4"/>
  <c r="AK81" i="4"/>
  <c r="AI81" i="4"/>
  <c r="AH81" i="4" s="1"/>
  <c r="AF81" i="4"/>
  <c r="AG81" i="4" s="1"/>
  <c r="S81" i="4"/>
  <c r="AK80" i="4"/>
  <c r="AI80" i="4"/>
  <c r="AH80" i="4" s="1"/>
  <c r="AF80" i="4"/>
  <c r="AG80" i="4" s="1"/>
  <c r="S80" i="4"/>
  <c r="AK79" i="4"/>
  <c r="AI79" i="4"/>
  <c r="AH79" i="4" s="1"/>
  <c r="AF79" i="4"/>
  <c r="AG79" i="4" s="1"/>
  <c r="S79" i="4"/>
  <c r="AK78" i="4"/>
  <c r="AI78" i="4"/>
  <c r="AH78" i="4" s="1"/>
  <c r="AF78" i="4"/>
  <c r="AG78" i="4" s="1"/>
  <c r="S78" i="4"/>
  <c r="AK77" i="4"/>
  <c r="AI77" i="4"/>
  <c r="AH77" i="4" s="1"/>
  <c r="AF77" i="4"/>
  <c r="AG77" i="4" s="1"/>
  <c r="S77" i="4"/>
  <c r="AK76" i="4"/>
  <c r="AI76" i="4"/>
  <c r="AH76" i="4" s="1"/>
  <c r="AF76" i="4"/>
  <c r="AG76" i="4" s="1"/>
  <c r="S76" i="4"/>
  <c r="AK75" i="4"/>
  <c r="AI75" i="4"/>
  <c r="AH75" i="4" s="1"/>
  <c r="AF75" i="4"/>
  <c r="AG75" i="4" s="1"/>
  <c r="S75" i="4"/>
  <c r="AK74" i="4"/>
  <c r="AI74" i="4"/>
  <c r="AH74" i="4" s="1"/>
  <c r="AF74" i="4"/>
  <c r="AG74" i="4" s="1"/>
  <c r="S74" i="4"/>
  <c r="AK73" i="4"/>
  <c r="AI73" i="4"/>
  <c r="AH73" i="4" s="1"/>
  <c r="AF73" i="4"/>
  <c r="AG73" i="4" s="1"/>
  <c r="S73" i="4"/>
  <c r="AK72" i="4"/>
  <c r="AI72" i="4"/>
  <c r="AH72" i="4" s="1"/>
  <c r="AF72" i="4"/>
  <c r="AG72" i="4" s="1"/>
  <c r="S72" i="4"/>
  <c r="AK71" i="4"/>
  <c r="AI71" i="4"/>
  <c r="AH71" i="4" s="1"/>
  <c r="AF71" i="4"/>
  <c r="AG71" i="4" s="1"/>
  <c r="S71" i="4"/>
  <c r="AK70" i="4"/>
  <c r="AI70" i="4"/>
  <c r="AH70" i="4" s="1"/>
  <c r="AF70" i="4"/>
  <c r="AG70" i="4" s="1"/>
  <c r="S70" i="4"/>
  <c r="AK69" i="4"/>
  <c r="AI69" i="4"/>
  <c r="AH69" i="4" s="1"/>
  <c r="AF69" i="4"/>
  <c r="AG69" i="4" s="1"/>
  <c r="S69" i="4"/>
  <c r="AK68" i="4"/>
  <c r="AI68" i="4"/>
  <c r="AH68" i="4" s="1"/>
  <c r="AF68" i="4"/>
  <c r="AG68" i="4" s="1"/>
  <c r="S68" i="4"/>
  <c r="AK67" i="4"/>
  <c r="AI67" i="4"/>
  <c r="AH67" i="4" s="1"/>
  <c r="AF67" i="4"/>
  <c r="AG67" i="4" s="1"/>
  <c r="S67" i="4"/>
  <c r="AK66" i="4"/>
  <c r="AI66" i="4"/>
  <c r="AH66" i="4" s="1"/>
  <c r="AF66" i="4"/>
  <c r="AG66" i="4" s="1"/>
  <c r="S66" i="4"/>
  <c r="AK65" i="4"/>
  <c r="AI65" i="4"/>
  <c r="AH65" i="4" s="1"/>
  <c r="AF65" i="4"/>
  <c r="AG65" i="4" s="1"/>
  <c r="S65" i="4"/>
  <c r="AK64" i="4"/>
  <c r="AI64" i="4"/>
  <c r="AH64" i="4" s="1"/>
  <c r="AF64" i="4"/>
  <c r="AG64" i="4" s="1"/>
  <c r="S64" i="4"/>
  <c r="AK63" i="4"/>
  <c r="AI63" i="4"/>
  <c r="AH63" i="4" s="1"/>
  <c r="AF63" i="4"/>
  <c r="AG63" i="4" s="1"/>
  <c r="S63" i="4"/>
  <c r="AK62" i="4"/>
  <c r="AI62" i="4"/>
  <c r="AH62" i="4" s="1"/>
  <c r="AF62" i="4"/>
  <c r="AG62" i="4" s="1"/>
  <c r="S62" i="4"/>
  <c r="AK61" i="4"/>
  <c r="AI61" i="4"/>
  <c r="AH61" i="4" s="1"/>
  <c r="AF61" i="4"/>
  <c r="AG61" i="4" s="1"/>
  <c r="S61" i="4"/>
  <c r="AK60" i="4"/>
  <c r="AI60" i="4"/>
  <c r="AH60" i="4" s="1"/>
  <c r="AF60" i="4"/>
  <c r="AG60" i="4" s="1"/>
  <c r="S60" i="4"/>
  <c r="AK59" i="4"/>
  <c r="AI59" i="4"/>
  <c r="AH59" i="4" s="1"/>
  <c r="AF59" i="4"/>
  <c r="AG59" i="4" s="1"/>
  <c r="S59" i="4"/>
  <c r="AK58" i="4"/>
  <c r="AI58" i="4"/>
  <c r="AH58" i="4" s="1"/>
  <c r="AF58" i="4"/>
  <c r="AG58" i="4" s="1"/>
  <c r="S58" i="4"/>
  <c r="AK57" i="4"/>
  <c r="AI57" i="4"/>
  <c r="AH57" i="4" s="1"/>
  <c r="AF57" i="4"/>
  <c r="AG57" i="4" s="1"/>
  <c r="S57" i="4"/>
  <c r="AK56" i="4"/>
  <c r="AI56" i="4"/>
  <c r="AH56" i="4" s="1"/>
  <c r="AF56" i="4"/>
  <c r="AG56" i="4" s="1"/>
  <c r="S56" i="4"/>
  <c r="AK55" i="4"/>
  <c r="AI55" i="4"/>
  <c r="AH55" i="4" s="1"/>
  <c r="AF55" i="4"/>
  <c r="AG55" i="4" s="1"/>
  <c r="S55" i="4"/>
  <c r="AK54" i="4"/>
  <c r="AI54" i="4"/>
  <c r="AH54" i="4" s="1"/>
  <c r="AF54" i="4"/>
  <c r="AG54" i="4" s="1"/>
  <c r="S54" i="4"/>
  <c r="AK53" i="4"/>
  <c r="AI53" i="4"/>
  <c r="AH53" i="4"/>
  <c r="AF53" i="4"/>
  <c r="AG53" i="4" s="1"/>
  <c r="S53" i="4"/>
  <c r="AK52" i="4"/>
  <c r="AI52" i="4"/>
  <c r="AH52" i="4" s="1"/>
  <c r="AF52" i="4"/>
  <c r="AG52" i="4" s="1"/>
  <c r="S52" i="4"/>
  <c r="AK51" i="4"/>
  <c r="AI51" i="4"/>
  <c r="AH51" i="4" s="1"/>
  <c r="AF51" i="4"/>
  <c r="AG51" i="4" s="1"/>
  <c r="S51" i="4"/>
  <c r="AK50" i="4"/>
  <c r="AI50" i="4"/>
  <c r="AH50" i="4" s="1"/>
  <c r="AF50" i="4"/>
  <c r="AG50" i="4" s="1"/>
  <c r="S50" i="4"/>
  <c r="AK49" i="4"/>
  <c r="AI49" i="4"/>
  <c r="AH49" i="4" s="1"/>
  <c r="AF49" i="4"/>
  <c r="AG49" i="4" s="1"/>
  <c r="S49" i="4"/>
  <c r="AK48" i="4"/>
  <c r="AI48" i="4"/>
  <c r="AH48" i="4" s="1"/>
  <c r="AF48" i="4"/>
  <c r="AG48" i="4" s="1"/>
  <c r="S48" i="4"/>
  <c r="AK47" i="4"/>
  <c r="AI47" i="4"/>
  <c r="AH47" i="4" s="1"/>
  <c r="AF47" i="4"/>
  <c r="AG47" i="4" s="1"/>
  <c r="S47" i="4"/>
  <c r="AK46" i="4"/>
  <c r="AI46" i="4"/>
  <c r="AH46" i="4" s="1"/>
  <c r="AF46" i="4"/>
  <c r="AG46" i="4" s="1"/>
  <c r="S46" i="4"/>
  <c r="AK45" i="4"/>
  <c r="AI45" i="4"/>
  <c r="AH45" i="4" s="1"/>
  <c r="AF45" i="4"/>
  <c r="AG45" i="4" s="1"/>
  <c r="S45" i="4"/>
  <c r="AK44" i="4"/>
  <c r="AI44" i="4"/>
  <c r="AH44" i="4" s="1"/>
  <c r="AF44" i="4"/>
  <c r="AG44" i="4" s="1"/>
  <c r="S44" i="4"/>
  <c r="AK43" i="4"/>
  <c r="AI43" i="4"/>
  <c r="AH43" i="4" s="1"/>
  <c r="AF43" i="4"/>
  <c r="AG43" i="4" s="1"/>
  <c r="S43" i="4"/>
  <c r="AK42" i="4"/>
  <c r="AI42" i="4"/>
  <c r="AH42" i="4" s="1"/>
  <c r="AF42" i="4"/>
  <c r="AG42" i="4" s="1"/>
  <c r="S42" i="4"/>
  <c r="AK41" i="4"/>
  <c r="AI41" i="4"/>
  <c r="AH41" i="4" s="1"/>
  <c r="AF41" i="4"/>
  <c r="AG41" i="4" s="1"/>
  <c r="S41" i="4"/>
  <c r="AK40" i="4"/>
  <c r="AI40" i="4"/>
  <c r="AH40" i="4" s="1"/>
  <c r="AF40" i="4"/>
  <c r="AG40" i="4" s="1"/>
  <c r="S40" i="4"/>
  <c r="AK39" i="4"/>
  <c r="AI39" i="4"/>
  <c r="AH39" i="4" s="1"/>
  <c r="AF39" i="4"/>
  <c r="AG39" i="4" s="1"/>
  <c r="S39" i="4"/>
  <c r="AK38" i="4"/>
  <c r="AI38" i="4"/>
  <c r="AH38" i="4" s="1"/>
  <c r="AF38" i="4"/>
  <c r="AG38" i="4" s="1"/>
  <c r="S38" i="4"/>
  <c r="AK37" i="4"/>
  <c r="AI37" i="4"/>
  <c r="AH37" i="4" s="1"/>
  <c r="AF37" i="4"/>
  <c r="AG37" i="4" s="1"/>
  <c r="S37" i="4"/>
  <c r="AK36" i="4"/>
  <c r="AI36" i="4"/>
  <c r="AH36" i="4" s="1"/>
  <c r="AF36" i="4"/>
  <c r="AG36" i="4" s="1"/>
  <c r="S36" i="4"/>
  <c r="AK35" i="4"/>
  <c r="AI35" i="4"/>
  <c r="AH35" i="4" s="1"/>
  <c r="AF35" i="4"/>
  <c r="AG35" i="4" s="1"/>
  <c r="S35" i="4"/>
  <c r="AK34" i="4"/>
  <c r="AI34" i="4"/>
  <c r="AH34" i="4" s="1"/>
  <c r="AF34" i="4"/>
  <c r="AG34" i="4" s="1"/>
  <c r="S34" i="4"/>
  <c r="AK33" i="4"/>
  <c r="AI33" i="4"/>
  <c r="AH33" i="4" s="1"/>
  <c r="AF33" i="4"/>
  <c r="AG33" i="4" s="1"/>
  <c r="S33" i="4"/>
  <c r="AK32" i="4"/>
  <c r="AI32" i="4"/>
  <c r="AH32" i="4" s="1"/>
  <c r="AF32" i="4"/>
  <c r="AG32" i="4" s="1"/>
  <c r="S32" i="4"/>
  <c r="AK31" i="4"/>
  <c r="AI31" i="4"/>
  <c r="AH31" i="4" s="1"/>
  <c r="AF31" i="4"/>
  <c r="AG31" i="4" s="1"/>
  <c r="S31" i="4"/>
  <c r="AK30" i="4"/>
  <c r="AI30" i="4"/>
  <c r="AH30" i="4" s="1"/>
  <c r="AF30" i="4"/>
  <c r="AG30" i="4" s="1"/>
  <c r="S30" i="4"/>
  <c r="AK29" i="4"/>
  <c r="AI29" i="4"/>
  <c r="AH29" i="4" s="1"/>
  <c r="AF29" i="4"/>
  <c r="AG29" i="4" s="1"/>
  <c r="S29" i="4"/>
  <c r="AK28" i="4"/>
  <c r="AI28" i="4"/>
  <c r="AH28" i="4" s="1"/>
  <c r="AF28" i="4"/>
  <c r="AG28" i="4" s="1"/>
  <c r="S28" i="4"/>
  <c r="AK27" i="4"/>
  <c r="AI27" i="4"/>
  <c r="AH27" i="4" s="1"/>
  <c r="AF27" i="4"/>
  <c r="AG27" i="4" s="1"/>
  <c r="S27" i="4"/>
  <c r="AK26" i="4"/>
  <c r="AI26" i="4"/>
  <c r="AH26" i="4" s="1"/>
  <c r="AF26" i="4"/>
  <c r="AG26" i="4" s="1"/>
  <c r="S26" i="4"/>
  <c r="AK25" i="4"/>
  <c r="AI25" i="4"/>
  <c r="AH25" i="4" s="1"/>
  <c r="AF25" i="4"/>
  <c r="AG25" i="4" s="1"/>
  <c r="S25" i="4"/>
  <c r="AK24" i="4"/>
  <c r="AI24" i="4"/>
  <c r="AH24" i="4" s="1"/>
  <c r="AF24" i="4"/>
  <c r="AG24" i="4" s="1"/>
  <c r="S24" i="4"/>
  <c r="AK23" i="4"/>
  <c r="AI23" i="4"/>
  <c r="AH23" i="4" s="1"/>
  <c r="AF23" i="4"/>
  <c r="AG23" i="4" s="1"/>
  <c r="S23" i="4"/>
  <c r="AK22" i="4"/>
  <c r="AI22" i="4"/>
  <c r="AH22" i="4" s="1"/>
  <c r="AF22" i="4"/>
  <c r="AG22" i="4" s="1"/>
  <c r="S22" i="4"/>
  <c r="AK21" i="4"/>
  <c r="AI21" i="4"/>
  <c r="AH21" i="4" s="1"/>
  <c r="AF21" i="4"/>
  <c r="AG21" i="4" s="1"/>
  <c r="S21" i="4"/>
  <c r="AK20" i="4"/>
  <c r="AI20" i="4"/>
  <c r="AH20" i="4" s="1"/>
  <c r="AF20" i="4"/>
  <c r="AG20" i="4" s="1"/>
  <c r="S20" i="4"/>
  <c r="AK19" i="4"/>
  <c r="AI19" i="4"/>
  <c r="AH19" i="4" s="1"/>
  <c r="AF19" i="4"/>
  <c r="AG19" i="4" s="1"/>
  <c r="S19" i="4"/>
  <c r="AK18" i="4"/>
  <c r="AI18" i="4"/>
  <c r="AH18" i="4" s="1"/>
  <c r="AF18" i="4"/>
  <c r="AG18" i="4" s="1"/>
  <c r="S18" i="4"/>
  <c r="AK17" i="4"/>
  <c r="AI17" i="4"/>
  <c r="AH17" i="4" s="1"/>
  <c r="AF17" i="4"/>
  <c r="AG17" i="4" s="1"/>
  <c r="S17" i="4"/>
  <c r="AK16" i="4"/>
  <c r="AI16" i="4"/>
  <c r="AH16" i="4" s="1"/>
  <c r="AF16" i="4"/>
  <c r="AG16" i="4" s="1"/>
  <c r="S16" i="4"/>
  <c r="AK15" i="4"/>
  <c r="AI15" i="4"/>
  <c r="AH15" i="4" s="1"/>
  <c r="AF15" i="4"/>
  <c r="AG15" i="4" s="1"/>
  <c r="S15" i="4"/>
  <c r="AK14" i="4"/>
  <c r="AI14" i="4"/>
  <c r="AH14" i="4" s="1"/>
  <c r="AF14" i="4"/>
  <c r="AG14" i="4" s="1"/>
  <c r="S14" i="4"/>
  <c r="AK13" i="4"/>
  <c r="AI13" i="4"/>
  <c r="AH13" i="4" s="1"/>
  <c r="AF13" i="4"/>
  <c r="AG13" i="4" s="1"/>
  <c r="S13" i="4"/>
  <c r="AK12" i="4"/>
  <c r="AI12" i="4"/>
  <c r="AH12" i="4" s="1"/>
  <c r="AF12" i="4"/>
  <c r="AG12" i="4" s="1"/>
  <c r="S12" i="4"/>
  <c r="AK11" i="4"/>
  <c r="AI11" i="4"/>
  <c r="AH11" i="4" s="1"/>
  <c r="AF11" i="4"/>
  <c r="AG11" i="4" s="1"/>
  <c r="S11" i="4"/>
  <c r="AK10" i="4"/>
  <c r="AI10" i="4"/>
  <c r="AH10" i="4" s="1"/>
  <c r="AF10" i="4"/>
  <c r="AG10" i="4" s="1"/>
  <c r="S10" i="4"/>
  <c r="AK9" i="4"/>
  <c r="AI9" i="4"/>
  <c r="AH9" i="4" s="1"/>
  <c r="AF9" i="4"/>
  <c r="AG9" i="4" s="1"/>
  <c r="S9" i="4"/>
  <c r="AK8" i="4"/>
  <c r="AI8" i="4"/>
  <c r="AH8" i="4" s="1"/>
  <c r="AF8" i="4"/>
  <c r="AG8" i="4" s="1"/>
  <c r="S8" i="4"/>
  <c r="AK7" i="4"/>
  <c r="AI7" i="4"/>
  <c r="AH7" i="4" s="1"/>
  <c r="AF7" i="4"/>
  <c r="AG7" i="4" s="1"/>
  <c r="S7" i="4"/>
  <c r="AK6" i="4"/>
  <c r="AI6" i="4"/>
  <c r="AH6" i="4" s="1"/>
  <c r="AF6" i="4"/>
  <c r="AG6" i="4" s="1"/>
  <c r="S6" i="4"/>
  <c r="AK5" i="4"/>
  <c r="AI5" i="4"/>
  <c r="AH5" i="4" s="1"/>
  <c r="AF5" i="4"/>
  <c r="AG5" i="4" s="1"/>
  <c r="S5" i="4"/>
  <c r="AK4" i="4"/>
  <c r="AI4" i="4"/>
  <c r="AH4" i="4" s="1"/>
  <c r="AF4" i="4"/>
  <c r="AG4" i="4" s="1"/>
  <c r="S4" i="4"/>
  <c r="AK3" i="4"/>
  <c r="AI3" i="4"/>
  <c r="AH3" i="4" s="1"/>
  <c r="AF3" i="4"/>
  <c r="AG3" i="4" s="1"/>
  <c r="S3" i="4"/>
  <c r="AK2" i="4"/>
  <c r="AI2" i="4"/>
  <c r="AH2" i="4" s="1"/>
  <c r="AF2" i="4"/>
  <c r="AG2" i="4" s="1"/>
  <c r="S2" i="4"/>
  <c r="AG2290" i="3"/>
  <c r="R2290" i="3"/>
  <c r="Q2290" i="3"/>
  <c r="E2290" i="3" s="1"/>
  <c r="F2290" i="3" s="1"/>
  <c r="P2290" i="3"/>
  <c r="O2290" i="3"/>
  <c r="AG2289" i="3"/>
  <c r="R2289" i="3"/>
  <c r="Q2289" i="3"/>
  <c r="AH2289" i="3" s="1"/>
  <c r="P2289" i="3"/>
  <c r="O2289" i="3"/>
  <c r="AG2288" i="3"/>
  <c r="R2288" i="3"/>
  <c r="Q2288" i="3"/>
  <c r="AH2288" i="3" s="1"/>
  <c r="P2288" i="3"/>
  <c r="O2288" i="3"/>
  <c r="AG2287" i="3"/>
  <c r="R2287" i="3"/>
  <c r="Q2287" i="3"/>
  <c r="AH2287" i="3" s="1"/>
  <c r="P2287" i="3"/>
  <c r="O2287" i="3"/>
  <c r="AG2286" i="3"/>
  <c r="R2286" i="3"/>
  <c r="Q2286" i="3"/>
  <c r="E2286" i="3" s="1"/>
  <c r="F2286" i="3" s="1"/>
  <c r="P2286" i="3"/>
  <c r="O2286" i="3"/>
  <c r="AG2285" i="3"/>
  <c r="R2285" i="3"/>
  <c r="Q2285" i="3"/>
  <c r="AH2285" i="3" s="1"/>
  <c r="P2285" i="3"/>
  <c r="O2285" i="3"/>
  <c r="I2285" i="3"/>
  <c r="AG2284" i="3"/>
  <c r="R2284" i="3"/>
  <c r="Q2284" i="3"/>
  <c r="AH2284" i="3" s="1"/>
  <c r="P2284" i="3"/>
  <c r="O2284" i="3"/>
  <c r="AG2283" i="3"/>
  <c r="R2283" i="3"/>
  <c r="Q2283" i="3"/>
  <c r="C2283" i="3" s="1"/>
  <c r="D2283" i="3" s="1"/>
  <c r="P2283" i="3"/>
  <c r="O2283" i="3"/>
  <c r="I2283" i="3"/>
  <c r="AG2282" i="3"/>
  <c r="R2282" i="3"/>
  <c r="Q2282" i="3"/>
  <c r="H2282" i="3" s="1"/>
  <c r="P2282" i="3"/>
  <c r="O2282" i="3"/>
  <c r="AG2281" i="3"/>
  <c r="R2281" i="3"/>
  <c r="Q2281" i="3"/>
  <c r="E2281" i="3" s="1"/>
  <c r="F2281" i="3" s="1"/>
  <c r="P2281" i="3"/>
  <c r="O2281" i="3"/>
  <c r="I2281" i="3"/>
  <c r="AG2280" i="3"/>
  <c r="R2280" i="3"/>
  <c r="Q2280" i="3"/>
  <c r="AH2280" i="3" s="1"/>
  <c r="P2280" i="3"/>
  <c r="O2280" i="3"/>
  <c r="AG2279" i="3"/>
  <c r="R2279" i="3"/>
  <c r="Q2279" i="3"/>
  <c r="E2279" i="3" s="1"/>
  <c r="F2279" i="3" s="1"/>
  <c r="P2279" i="3"/>
  <c r="O2279" i="3"/>
  <c r="AG2278" i="3"/>
  <c r="R2278" i="3"/>
  <c r="Q2278" i="3"/>
  <c r="C2278" i="3" s="1"/>
  <c r="D2278" i="3" s="1"/>
  <c r="P2278" i="3"/>
  <c r="O2278" i="3"/>
  <c r="AG2277" i="3"/>
  <c r="R2277" i="3"/>
  <c r="Q2277" i="3"/>
  <c r="AH2277" i="3" s="1"/>
  <c r="P2277" i="3"/>
  <c r="O2277" i="3"/>
  <c r="I2277" i="3"/>
  <c r="AG2276" i="3"/>
  <c r="R2276" i="3"/>
  <c r="Q2276" i="3"/>
  <c r="C2276" i="3" s="1"/>
  <c r="D2276" i="3" s="1"/>
  <c r="P2276" i="3"/>
  <c r="O2276" i="3"/>
  <c r="AG2275" i="3"/>
  <c r="R2275" i="3"/>
  <c r="Q2275" i="3"/>
  <c r="H2275" i="3" s="1"/>
  <c r="P2275" i="3"/>
  <c r="O2275" i="3"/>
  <c r="I2275" i="3"/>
  <c r="AG2274" i="3"/>
  <c r="R2274" i="3"/>
  <c r="Q2274" i="3"/>
  <c r="H2274" i="3" s="1"/>
  <c r="P2274" i="3"/>
  <c r="O2274" i="3"/>
  <c r="AG2273" i="3"/>
  <c r="R2273" i="3"/>
  <c r="Q2273" i="3"/>
  <c r="AH2273" i="3" s="1"/>
  <c r="P2273" i="3"/>
  <c r="O2273" i="3"/>
  <c r="AG2272" i="3"/>
  <c r="R2272" i="3"/>
  <c r="Q2272" i="3"/>
  <c r="AH2272" i="3" s="1"/>
  <c r="P2272" i="3"/>
  <c r="O2272" i="3"/>
  <c r="AG2271" i="3"/>
  <c r="R2271" i="3"/>
  <c r="Q2271" i="3"/>
  <c r="H2271" i="3" s="1"/>
  <c r="P2271" i="3"/>
  <c r="O2271" i="3"/>
  <c r="AG2270" i="3"/>
  <c r="R2270" i="3"/>
  <c r="Q2270" i="3"/>
  <c r="E2270" i="3" s="1"/>
  <c r="F2270" i="3" s="1"/>
  <c r="P2270" i="3"/>
  <c r="O2270" i="3"/>
  <c r="AG2269" i="3"/>
  <c r="R2269" i="3"/>
  <c r="Q2269" i="3"/>
  <c r="AH2269" i="3" s="1"/>
  <c r="P2269" i="3"/>
  <c r="O2269" i="3"/>
  <c r="I2269" i="3"/>
  <c r="AG2268" i="3"/>
  <c r="R2268" i="3"/>
  <c r="Q2268" i="3"/>
  <c r="E2268" i="3" s="1"/>
  <c r="F2268" i="3" s="1"/>
  <c r="P2268" i="3"/>
  <c r="O2268" i="3"/>
  <c r="AG2267" i="3"/>
  <c r="R2267" i="3"/>
  <c r="Q2267" i="3"/>
  <c r="AH2267" i="3" s="1"/>
  <c r="P2267" i="3"/>
  <c r="O2267" i="3"/>
  <c r="I2267" i="3"/>
  <c r="AG2266" i="3"/>
  <c r="R2266" i="3"/>
  <c r="Q2266" i="3"/>
  <c r="AH2266" i="3" s="1"/>
  <c r="P2266" i="3"/>
  <c r="O2266" i="3"/>
  <c r="AG2265" i="3"/>
  <c r="R2265" i="3"/>
  <c r="Q2265" i="3"/>
  <c r="AH2265" i="3" s="1"/>
  <c r="P2265" i="3"/>
  <c r="O2265" i="3"/>
  <c r="I2265" i="3"/>
  <c r="AG2264" i="3"/>
  <c r="R2264" i="3"/>
  <c r="Q2264" i="3"/>
  <c r="H2264" i="3" s="1"/>
  <c r="P2264" i="3"/>
  <c r="O2264" i="3"/>
  <c r="AG2263" i="3"/>
  <c r="R2263" i="3"/>
  <c r="Q2263" i="3"/>
  <c r="E2263" i="3" s="1"/>
  <c r="F2263" i="3" s="1"/>
  <c r="P2263" i="3"/>
  <c r="O2263" i="3"/>
  <c r="AG2262" i="3"/>
  <c r="R2262" i="3"/>
  <c r="Q2262" i="3"/>
  <c r="AH2262" i="3" s="1"/>
  <c r="P2262" i="3"/>
  <c r="O2262" i="3"/>
  <c r="AG2261" i="3"/>
  <c r="R2261" i="3"/>
  <c r="Q2261" i="3"/>
  <c r="P2261" i="3"/>
  <c r="O2261" i="3"/>
  <c r="AG2260" i="3"/>
  <c r="R2260" i="3"/>
  <c r="Q2260" i="3"/>
  <c r="H2260" i="3" s="1"/>
  <c r="P2260" i="3"/>
  <c r="O2260" i="3"/>
  <c r="AG2259" i="3"/>
  <c r="R2259" i="3"/>
  <c r="Q2259" i="3"/>
  <c r="P2259" i="3"/>
  <c r="O2259" i="3"/>
  <c r="AG2258" i="3"/>
  <c r="R2258" i="3"/>
  <c r="Q2258" i="3"/>
  <c r="AH2258" i="3" s="1"/>
  <c r="P2258" i="3"/>
  <c r="O2258" i="3"/>
  <c r="I2258" i="3"/>
  <c r="AG2257" i="3"/>
  <c r="R2257" i="3"/>
  <c r="Q2257" i="3"/>
  <c r="C2257" i="3" s="1"/>
  <c r="D2257" i="3" s="1"/>
  <c r="P2257" i="3"/>
  <c r="O2257" i="3"/>
  <c r="AG2256" i="3"/>
  <c r="R2256" i="3"/>
  <c r="Q2256" i="3"/>
  <c r="C2256" i="3" s="1"/>
  <c r="D2256" i="3" s="1"/>
  <c r="P2256" i="3"/>
  <c r="O2256" i="3"/>
  <c r="AG2255" i="3"/>
  <c r="R2255" i="3"/>
  <c r="Q2255" i="3"/>
  <c r="AH2255" i="3" s="1"/>
  <c r="AJ2255" i="3" s="1"/>
  <c r="P2255" i="3"/>
  <c r="O2255" i="3"/>
  <c r="AG2254" i="3"/>
  <c r="R2254" i="3"/>
  <c r="Q2254" i="3"/>
  <c r="AH2254" i="3" s="1"/>
  <c r="P2254" i="3"/>
  <c r="O2254" i="3"/>
  <c r="AG2253" i="3"/>
  <c r="R2253" i="3"/>
  <c r="Q2253" i="3"/>
  <c r="P2253" i="3"/>
  <c r="O2253" i="3"/>
  <c r="AG2252" i="3"/>
  <c r="R2252" i="3"/>
  <c r="Q2252" i="3"/>
  <c r="P2252" i="3"/>
  <c r="O2252" i="3"/>
  <c r="AG2251" i="3"/>
  <c r="R2251" i="3"/>
  <c r="Q2251" i="3"/>
  <c r="P2251" i="3"/>
  <c r="O2251" i="3"/>
  <c r="AG2250" i="3"/>
  <c r="R2250" i="3"/>
  <c r="Q2250" i="3"/>
  <c r="H2250" i="3" s="1"/>
  <c r="P2250" i="3"/>
  <c r="O2250" i="3"/>
  <c r="I2250" i="3"/>
  <c r="AG2249" i="3"/>
  <c r="R2249" i="3"/>
  <c r="Q2249" i="3"/>
  <c r="H2249" i="3" s="1"/>
  <c r="P2249" i="3"/>
  <c r="O2249" i="3"/>
  <c r="AG2248" i="3"/>
  <c r="R2248" i="3"/>
  <c r="Q2248" i="3"/>
  <c r="C2248" i="3" s="1"/>
  <c r="D2248" i="3" s="1"/>
  <c r="P2248" i="3"/>
  <c r="O2248" i="3"/>
  <c r="AG2247" i="3"/>
  <c r="R2247" i="3"/>
  <c r="Q2247" i="3"/>
  <c r="AH2247" i="3" s="1"/>
  <c r="P2247" i="3"/>
  <c r="O2247" i="3"/>
  <c r="I2247" i="3"/>
  <c r="AG2246" i="3"/>
  <c r="R2246" i="3"/>
  <c r="Q2246" i="3"/>
  <c r="C2246" i="3" s="1"/>
  <c r="D2246" i="3" s="1"/>
  <c r="P2246" i="3"/>
  <c r="O2246" i="3"/>
  <c r="AG2245" i="3"/>
  <c r="R2245" i="3"/>
  <c r="Q2245" i="3"/>
  <c r="P2245" i="3"/>
  <c r="O2245" i="3"/>
  <c r="I2245" i="3"/>
  <c r="AG2244" i="3"/>
  <c r="R2244" i="3"/>
  <c r="Q2244" i="3"/>
  <c r="P2244" i="3"/>
  <c r="O2244" i="3"/>
  <c r="AG2243" i="3"/>
  <c r="R2243" i="3"/>
  <c r="Q2243" i="3"/>
  <c r="P2243" i="3"/>
  <c r="O2243" i="3"/>
  <c r="AG2242" i="3"/>
  <c r="R2242" i="3"/>
  <c r="Q2242" i="3"/>
  <c r="P2242" i="3"/>
  <c r="O2242" i="3"/>
  <c r="AG2241" i="3"/>
  <c r="R2241" i="3"/>
  <c r="Q2241" i="3"/>
  <c r="P2241" i="3"/>
  <c r="O2241" i="3"/>
  <c r="I2241" i="3"/>
  <c r="AG2240" i="3"/>
  <c r="R2240" i="3"/>
  <c r="Q2240" i="3"/>
  <c r="P2240" i="3"/>
  <c r="O2240" i="3"/>
  <c r="AG2239" i="3"/>
  <c r="R2239" i="3"/>
  <c r="Q2239" i="3"/>
  <c r="P2239" i="3"/>
  <c r="O2239" i="3"/>
  <c r="I2239" i="3"/>
  <c r="AG2238" i="3"/>
  <c r="R2238" i="3"/>
  <c r="Q2238" i="3"/>
  <c r="P2238" i="3"/>
  <c r="O2238" i="3"/>
  <c r="AG2237" i="3"/>
  <c r="R2237" i="3"/>
  <c r="Q2237" i="3"/>
  <c r="P2237" i="3"/>
  <c r="O2237" i="3"/>
  <c r="I2237" i="3"/>
  <c r="AG2236" i="3"/>
  <c r="R2236" i="3"/>
  <c r="Q2236" i="3"/>
  <c r="P2236" i="3"/>
  <c r="O2236" i="3"/>
  <c r="AG2235" i="3"/>
  <c r="R2235" i="3"/>
  <c r="Q2235" i="3"/>
  <c r="P2235" i="3"/>
  <c r="O2235" i="3"/>
  <c r="I2235" i="3"/>
  <c r="AG2234" i="3"/>
  <c r="R2234" i="3"/>
  <c r="Q2234" i="3"/>
  <c r="C2234" i="3" s="1"/>
  <c r="D2234" i="3" s="1"/>
  <c r="P2234" i="3"/>
  <c r="O2234" i="3"/>
  <c r="AG2233" i="3"/>
  <c r="R2233" i="3"/>
  <c r="Q2233" i="3"/>
  <c r="P2233" i="3"/>
  <c r="O2233" i="3"/>
  <c r="I2233" i="3"/>
  <c r="AG2232" i="3"/>
  <c r="R2232" i="3"/>
  <c r="Q2232" i="3"/>
  <c r="C2232" i="3" s="1"/>
  <c r="D2232" i="3" s="1"/>
  <c r="P2232" i="3"/>
  <c r="O2232" i="3"/>
  <c r="AG2231" i="3"/>
  <c r="R2231" i="3"/>
  <c r="Q2231" i="3"/>
  <c r="P2231" i="3"/>
  <c r="O2231" i="3"/>
  <c r="AG2230" i="3"/>
  <c r="R2230" i="3"/>
  <c r="Q2230" i="3"/>
  <c r="P2230" i="3"/>
  <c r="O2230" i="3"/>
  <c r="I2230" i="3"/>
  <c r="AG2229" i="3"/>
  <c r="R2229" i="3"/>
  <c r="Q2229" i="3"/>
  <c r="P2229" i="3"/>
  <c r="O2229" i="3"/>
  <c r="AG2228" i="3"/>
  <c r="R2228" i="3"/>
  <c r="Q2228" i="3"/>
  <c r="E2228" i="3" s="1"/>
  <c r="F2228" i="3" s="1"/>
  <c r="P2228" i="3"/>
  <c r="O2228" i="3"/>
  <c r="I2228" i="3"/>
  <c r="AG2227" i="3"/>
  <c r="R2227" i="3"/>
  <c r="Q2227" i="3"/>
  <c r="P2227" i="3"/>
  <c r="O2227" i="3"/>
  <c r="AG2226" i="3"/>
  <c r="R2226" i="3"/>
  <c r="Q2226" i="3"/>
  <c r="P2226" i="3"/>
  <c r="O2226" i="3"/>
  <c r="AG2225" i="3"/>
  <c r="R2225" i="3"/>
  <c r="Q2225" i="3"/>
  <c r="P2225" i="3"/>
  <c r="O2225" i="3"/>
  <c r="AG2224" i="3"/>
  <c r="R2224" i="3"/>
  <c r="Q2224" i="3"/>
  <c r="C2224" i="3" s="1"/>
  <c r="D2224" i="3" s="1"/>
  <c r="P2224" i="3"/>
  <c r="O2224" i="3"/>
  <c r="AG2223" i="3"/>
  <c r="R2223" i="3"/>
  <c r="Q2223" i="3"/>
  <c r="P2223" i="3"/>
  <c r="O2223" i="3"/>
  <c r="AG2222" i="3"/>
  <c r="R2222" i="3"/>
  <c r="Q2222" i="3"/>
  <c r="P2222" i="3"/>
  <c r="O2222" i="3"/>
  <c r="AG2221" i="3"/>
  <c r="R2221" i="3"/>
  <c r="Q2221" i="3"/>
  <c r="P2221" i="3"/>
  <c r="O2221" i="3"/>
  <c r="AG2220" i="3"/>
  <c r="R2220" i="3"/>
  <c r="Q2220" i="3"/>
  <c r="P2220" i="3"/>
  <c r="O2220" i="3"/>
  <c r="AG2219" i="3"/>
  <c r="R2219" i="3"/>
  <c r="Q2219" i="3"/>
  <c r="P2219" i="3"/>
  <c r="O2219" i="3"/>
  <c r="I2219" i="3"/>
  <c r="AG2218" i="3"/>
  <c r="R2218" i="3"/>
  <c r="Q2218" i="3"/>
  <c r="E2218" i="3" s="1"/>
  <c r="F2218" i="3" s="1"/>
  <c r="P2218" i="3"/>
  <c r="O2218" i="3"/>
  <c r="AG2217" i="3"/>
  <c r="R2217" i="3"/>
  <c r="Q2217" i="3"/>
  <c r="P2217" i="3"/>
  <c r="O2217" i="3"/>
  <c r="AG2216" i="3"/>
  <c r="R2216" i="3"/>
  <c r="Q2216" i="3"/>
  <c r="E2216" i="3" s="1"/>
  <c r="F2216" i="3" s="1"/>
  <c r="P2216" i="3"/>
  <c r="O2216" i="3"/>
  <c r="AG2215" i="3"/>
  <c r="R2215" i="3"/>
  <c r="Q2215" i="3"/>
  <c r="H2215" i="3" s="1"/>
  <c r="P2215" i="3"/>
  <c r="O2215" i="3"/>
  <c r="AG2214" i="3"/>
  <c r="R2214" i="3"/>
  <c r="Q2214" i="3"/>
  <c r="P2214" i="3"/>
  <c r="O2214" i="3"/>
  <c r="AG2213" i="3"/>
  <c r="R2213" i="3"/>
  <c r="Q2213" i="3"/>
  <c r="P2213" i="3"/>
  <c r="O2213" i="3"/>
  <c r="AG2212" i="3"/>
  <c r="R2212" i="3"/>
  <c r="Q2212" i="3"/>
  <c r="E2212" i="3" s="1"/>
  <c r="F2212" i="3" s="1"/>
  <c r="P2212" i="3"/>
  <c r="O2212" i="3"/>
  <c r="AG2211" i="3"/>
  <c r="R2211" i="3"/>
  <c r="Q2211" i="3"/>
  <c r="P2211" i="3"/>
  <c r="O2211" i="3"/>
  <c r="AG2210" i="3"/>
  <c r="R2210" i="3"/>
  <c r="Q2210" i="3"/>
  <c r="P2210" i="3"/>
  <c r="O2210" i="3"/>
  <c r="AG2209" i="3"/>
  <c r="R2209" i="3"/>
  <c r="Q2209" i="3"/>
  <c r="C2209" i="3" s="1"/>
  <c r="D2209" i="3" s="1"/>
  <c r="P2209" i="3"/>
  <c r="O2209" i="3"/>
  <c r="AG2208" i="3"/>
  <c r="R2208" i="3"/>
  <c r="Q2208" i="3"/>
  <c r="H2208" i="3" s="1"/>
  <c r="P2208" i="3"/>
  <c r="O2208" i="3"/>
  <c r="AG2207" i="3"/>
  <c r="R2207" i="3"/>
  <c r="Q2207" i="3"/>
  <c r="AH2207" i="3" s="1"/>
  <c r="P2207" i="3"/>
  <c r="O2207" i="3"/>
  <c r="AG2206" i="3"/>
  <c r="R2206" i="3"/>
  <c r="Q2206" i="3"/>
  <c r="P2206" i="3"/>
  <c r="O2206" i="3"/>
  <c r="C2206" i="3"/>
  <c r="D2206" i="3" s="1"/>
  <c r="AG2205" i="3"/>
  <c r="R2205" i="3"/>
  <c r="Q2205" i="3"/>
  <c r="AH2205" i="3" s="1"/>
  <c r="P2205" i="3"/>
  <c r="O2205" i="3"/>
  <c r="AG2204" i="3"/>
  <c r="R2204" i="3"/>
  <c r="Q2204" i="3"/>
  <c r="P2204" i="3"/>
  <c r="O2204" i="3"/>
  <c r="AG2203" i="3"/>
  <c r="R2203" i="3"/>
  <c r="Q2203" i="3"/>
  <c r="P2203" i="3"/>
  <c r="O2203" i="3"/>
  <c r="AG2202" i="3"/>
  <c r="R2202" i="3"/>
  <c r="Q2202" i="3"/>
  <c r="P2202" i="3"/>
  <c r="O2202" i="3"/>
  <c r="AG2201" i="3"/>
  <c r="R2201" i="3"/>
  <c r="Q2201" i="3"/>
  <c r="P2201" i="3"/>
  <c r="O2201" i="3"/>
  <c r="AG2200" i="3"/>
  <c r="R2200" i="3"/>
  <c r="Q2200" i="3"/>
  <c r="P2200" i="3"/>
  <c r="O2200" i="3"/>
  <c r="AG2199" i="3"/>
  <c r="R2199" i="3"/>
  <c r="Q2199" i="3"/>
  <c r="P2199" i="3"/>
  <c r="O2199" i="3"/>
  <c r="AG2198" i="3"/>
  <c r="R2198" i="3"/>
  <c r="Q2198" i="3"/>
  <c r="AH2198" i="3" s="1"/>
  <c r="P2198" i="3"/>
  <c r="O2198" i="3"/>
  <c r="AG2197" i="3"/>
  <c r="R2197" i="3"/>
  <c r="Q2197" i="3"/>
  <c r="AH2197" i="3" s="1"/>
  <c r="P2197" i="3"/>
  <c r="O2197" i="3"/>
  <c r="AG2196" i="3"/>
  <c r="R2196" i="3"/>
  <c r="Q2196" i="3"/>
  <c r="P2196" i="3"/>
  <c r="O2196" i="3"/>
  <c r="AG2195" i="3"/>
  <c r="R2195" i="3"/>
  <c r="Q2195" i="3"/>
  <c r="P2195" i="3"/>
  <c r="O2195" i="3"/>
  <c r="AG2194" i="3"/>
  <c r="R2194" i="3"/>
  <c r="Q2194" i="3"/>
  <c r="P2194" i="3"/>
  <c r="O2194" i="3"/>
  <c r="I2194" i="3"/>
  <c r="AG2193" i="3"/>
  <c r="R2193" i="3"/>
  <c r="Q2193" i="3"/>
  <c r="AH2193" i="3" s="1"/>
  <c r="P2193" i="3"/>
  <c r="O2193" i="3"/>
  <c r="AG2192" i="3"/>
  <c r="R2192" i="3"/>
  <c r="Q2192" i="3"/>
  <c r="E2192" i="3" s="1"/>
  <c r="F2192" i="3" s="1"/>
  <c r="P2192" i="3"/>
  <c r="O2192" i="3"/>
  <c r="AG2191" i="3"/>
  <c r="R2191" i="3"/>
  <c r="Q2191" i="3"/>
  <c r="AH2191" i="3" s="1"/>
  <c r="P2191" i="3"/>
  <c r="O2191" i="3"/>
  <c r="AG2190" i="3"/>
  <c r="R2190" i="3"/>
  <c r="Q2190" i="3"/>
  <c r="P2190" i="3"/>
  <c r="O2190" i="3"/>
  <c r="AG2189" i="3"/>
  <c r="R2189" i="3"/>
  <c r="Q2189" i="3"/>
  <c r="H2189" i="3" s="1"/>
  <c r="P2189" i="3"/>
  <c r="O2189" i="3"/>
  <c r="AG2188" i="3"/>
  <c r="R2188" i="3"/>
  <c r="Q2188" i="3"/>
  <c r="P2188" i="3"/>
  <c r="O2188" i="3"/>
  <c r="AG2187" i="3"/>
  <c r="R2187" i="3"/>
  <c r="Q2187" i="3"/>
  <c r="P2187" i="3"/>
  <c r="O2187" i="3"/>
  <c r="AG2186" i="3"/>
  <c r="R2186" i="3"/>
  <c r="Q2186" i="3"/>
  <c r="P2186" i="3"/>
  <c r="O2186" i="3"/>
  <c r="AG2185" i="3"/>
  <c r="R2185" i="3"/>
  <c r="Q2185" i="3"/>
  <c r="C2185" i="3" s="1"/>
  <c r="D2185" i="3" s="1"/>
  <c r="P2185" i="3"/>
  <c r="O2185" i="3"/>
  <c r="AG2184" i="3"/>
  <c r="R2184" i="3"/>
  <c r="Q2184" i="3"/>
  <c r="P2184" i="3"/>
  <c r="O2184" i="3"/>
  <c r="C2184" i="3"/>
  <c r="D2184" i="3" s="1"/>
  <c r="AG2183" i="3"/>
  <c r="R2183" i="3"/>
  <c r="Q2183" i="3"/>
  <c r="P2183" i="3"/>
  <c r="O2183" i="3"/>
  <c r="AG2182" i="3"/>
  <c r="R2182" i="3"/>
  <c r="Q2182" i="3"/>
  <c r="P2182" i="3"/>
  <c r="O2182" i="3"/>
  <c r="AG2181" i="3"/>
  <c r="R2181" i="3"/>
  <c r="Q2181" i="3"/>
  <c r="H2181" i="3" s="1"/>
  <c r="P2181" i="3"/>
  <c r="O2181" i="3"/>
  <c r="I2181" i="3"/>
  <c r="AG2180" i="3"/>
  <c r="R2180" i="3"/>
  <c r="Q2180" i="3"/>
  <c r="C2180" i="3" s="1"/>
  <c r="D2180" i="3" s="1"/>
  <c r="P2180" i="3"/>
  <c r="O2180" i="3"/>
  <c r="AG2179" i="3"/>
  <c r="R2179" i="3"/>
  <c r="Q2179" i="3"/>
  <c r="AH2179" i="3" s="1"/>
  <c r="P2179" i="3"/>
  <c r="O2179" i="3"/>
  <c r="AG2178" i="3"/>
  <c r="R2178" i="3"/>
  <c r="Q2178" i="3"/>
  <c r="E2178" i="3" s="1"/>
  <c r="F2178" i="3" s="1"/>
  <c r="P2178" i="3"/>
  <c r="O2178" i="3"/>
  <c r="AG2177" i="3"/>
  <c r="R2177" i="3"/>
  <c r="Q2177" i="3"/>
  <c r="H2177" i="3" s="1"/>
  <c r="P2177" i="3"/>
  <c r="O2177" i="3"/>
  <c r="AG2176" i="3"/>
  <c r="R2176" i="3"/>
  <c r="Q2176" i="3"/>
  <c r="AH2176" i="3" s="1"/>
  <c r="P2176" i="3"/>
  <c r="O2176" i="3"/>
  <c r="AG2175" i="3"/>
  <c r="R2175" i="3"/>
  <c r="Q2175" i="3"/>
  <c r="P2175" i="3"/>
  <c r="O2175" i="3"/>
  <c r="AG2174" i="3"/>
  <c r="R2174" i="3"/>
  <c r="Q2174" i="3"/>
  <c r="P2174" i="3"/>
  <c r="O2174" i="3"/>
  <c r="AG2173" i="3"/>
  <c r="R2173" i="3"/>
  <c r="Q2173" i="3"/>
  <c r="H2173" i="3" s="1"/>
  <c r="P2173" i="3"/>
  <c r="O2173" i="3"/>
  <c r="AG2172" i="3"/>
  <c r="R2172" i="3"/>
  <c r="Q2172" i="3"/>
  <c r="P2172" i="3"/>
  <c r="O2172" i="3"/>
  <c r="AG2171" i="3"/>
  <c r="R2171" i="3"/>
  <c r="Q2171" i="3"/>
  <c r="AH2171" i="3" s="1"/>
  <c r="P2171" i="3"/>
  <c r="O2171" i="3"/>
  <c r="AG2170" i="3"/>
  <c r="R2170" i="3"/>
  <c r="Q2170" i="3"/>
  <c r="C2170" i="3" s="1"/>
  <c r="D2170" i="3" s="1"/>
  <c r="P2170" i="3"/>
  <c r="O2170" i="3"/>
  <c r="I2170" i="3"/>
  <c r="AG2169" i="3"/>
  <c r="R2169" i="3"/>
  <c r="Q2169" i="3"/>
  <c r="C2169" i="3" s="1"/>
  <c r="D2169" i="3" s="1"/>
  <c r="P2169" i="3"/>
  <c r="O2169" i="3"/>
  <c r="AG2168" i="3"/>
  <c r="R2168" i="3"/>
  <c r="Q2168" i="3"/>
  <c r="H2168" i="3" s="1"/>
  <c r="P2168" i="3"/>
  <c r="O2168" i="3"/>
  <c r="AG2167" i="3"/>
  <c r="R2167" i="3"/>
  <c r="Q2167" i="3"/>
  <c r="P2167" i="3"/>
  <c r="O2167" i="3"/>
  <c r="AG2166" i="3"/>
  <c r="R2166" i="3"/>
  <c r="Q2166" i="3"/>
  <c r="E2166" i="3" s="1"/>
  <c r="F2166" i="3" s="1"/>
  <c r="P2166" i="3"/>
  <c r="O2166" i="3"/>
  <c r="AG2165" i="3"/>
  <c r="R2165" i="3"/>
  <c r="Q2165" i="3"/>
  <c r="E2165" i="3" s="1"/>
  <c r="F2165" i="3" s="1"/>
  <c r="P2165" i="3"/>
  <c r="O2165" i="3"/>
  <c r="AG2164" i="3"/>
  <c r="R2164" i="3"/>
  <c r="Q2164" i="3"/>
  <c r="P2164" i="3"/>
  <c r="O2164" i="3"/>
  <c r="AG2163" i="3"/>
  <c r="R2163" i="3"/>
  <c r="Q2163" i="3"/>
  <c r="P2163" i="3"/>
  <c r="O2163" i="3"/>
  <c r="AG2162" i="3"/>
  <c r="R2162" i="3"/>
  <c r="Q2162" i="3"/>
  <c r="E2162" i="3" s="1"/>
  <c r="F2162" i="3" s="1"/>
  <c r="P2162" i="3"/>
  <c r="O2162" i="3"/>
  <c r="AG2161" i="3"/>
  <c r="R2161" i="3"/>
  <c r="Q2161" i="3"/>
  <c r="H2161" i="3" s="1"/>
  <c r="P2161" i="3"/>
  <c r="O2161" i="3"/>
  <c r="I2161" i="3"/>
  <c r="AG2160" i="3"/>
  <c r="R2160" i="3"/>
  <c r="Q2160" i="3"/>
  <c r="E2160" i="3" s="1"/>
  <c r="F2160" i="3" s="1"/>
  <c r="P2160" i="3"/>
  <c r="O2160" i="3"/>
  <c r="AG2159" i="3"/>
  <c r="R2159" i="3"/>
  <c r="Q2159" i="3"/>
  <c r="P2159" i="3"/>
  <c r="O2159" i="3"/>
  <c r="AG2158" i="3"/>
  <c r="R2158" i="3"/>
  <c r="Q2158" i="3"/>
  <c r="P2158" i="3"/>
  <c r="O2158" i="3"/>
  <c r="I2158" i="3"/>
  <c r="AG2157" i="3"/>
  <c r="R2157" i="3"/>
  <c r="Q2157" i="3"/>
  <c r="E2157" i="3" s="1"/>
  <c r="F2157" i="3" s="1"/>
  <c r="P2157" i="3"/>
  <c r="O2157" i="3"/>
  <c r="AG2156" i="3"/>
  <c r="R2156" i="3"/>
  <c r="Q2156" i="3"/>
  <c r="P2156" i="3"/>
  <c r="O2156" i="3"/>
  <c r="I2156" i="3"/>
  <c r="AG2155" i="3"/>
  <c r="R2155" i="3"/>
  <c r="Q2155" i="3"/>
  <c r="P2155" i="3"/>
  <c r="O2155" i="3"/>
  <c r="AG2154" i="3"/>
  <c r="R2154" i="3"/>
  <c r="Q2154" i="3"/>
  <c r="C2154" i="3" s="1"/>
  <c r="D2154" i="3" s="1"/>
  <c r="P2154" i="3"/>
  <c r="O2154" i="3"/>
  <c r="AG2153" i="3"/>
  <c r="R2153" i="3"/>
  <c r="Q2153" i="3"/>
  <c r="P2153" i="3"/>
  <c r="O2153" i="3"/>
  <c r="AG2152" i="3"/>
  <c r="R2152" i="3"/>
  <c r="Q2152" i="3"/>
  <c r="AH2152" i="3" s="1"/>
  <c r="P2152" i="3"/>
  <c r="O2152" i="3"/>
  <c r="AG2151" i="3"/>
  <c r="R2151" i="3"/>
  <c r="Q2151" i="3"/>
  <c r="AH2151" i="3" s="1"/>
  <c r="P2151" i="3"/>
  <c r="O2151" i="3"/>
  <c r="AG2150" i="3"/>
  <c r="R2150" i="3"/>
  <c r="Q2150" i="3"/>
  <c r="P2150" i="3"/>
  <c r="O2150" i="3"/>
  <c r="I2150" i="3"/>
  <c r="AG2149" i="3"/>
  <c r="R2149" i="3"/>
  <c r="Q2149" i="3"/>
  <c r="P2149" i="3"/>
  <c r="O2149" i="3"/>
  <c r="AG2148" i="3"/>
  <c r="R2148" i="3"/>
  <c r="Q2148" i="3"/>
  <c r="AH2148" i="3" s="1"/>
  <c r="P2148" i="3"/>
  <c r="O2148" i="3"/>
  <c r="AG2147" i="3"/>
  <c r="R2147" i="3"/>
  <c r="Q2147" i="3"/>
  <c r="P2147" i="3"/>
  <c r="O2147" i="3"/>
  <c r="AG2146" i="3"/>
  <c r="R2146" i="3"/>
  <c r="Q2146" i="3"/>
  <c r="P2146" i="3"/>
  <c r="O2146" i="3"/>
  <c r="I2146" i="3"/>
  <c r="AG2145" i="3"/>
  <c r="R2145" i="3"/>
  <c r="Q2145" i="3"/>
  <c r="AH2145" i="3" s="1"/>
  <c r="P2145" i="3"/>
  <c r="O2145" i="3"/>
  <c r="AG2144" i="3"/>
  <c r="R2144" i="3"/>
  <c r="Q2144" i="3"/>
  <c r="C2144" i="3" s="1"/>
  <c r="D2144" i="3" s="1"/>
  <c r="P2144" i="3"/>
  <c r="O2144" i="3"/>
  <c r="I2144" i="3"/>
  <c r="AG2143" i="3"/>
  <c r="R2143" i="3"/>
  <c r="Q2143" i="3"/>
  <c r="P2143" i="3"/>
  <c r="O2143" i="3"/>
  <c r="AG2142" i="3"/>
  <c r="R2142" i="3"/>
  <c r="Q2142" i="3"/>
  <c r="E2142" i="3" s="1"/>
  <c r="F2142" i="3" s="1"/>
  <c r="P2142" i="3"/>
  <c r="O2142" i="3"/>
  <c r="I2142" i="3"/>
  <c r="AG2141" i="3"/>
  <c r="R2141" i="3"/>
  <c r="Q2141" i="3"/>
  <c r="P2141" i="3"/>
  <c r="O2141" i="3"/>
  <c r="AG2140" i="3"/>
  <c r="R2140" i="3"/>
  <c r="Q2140" i="3"/>
  <c r="AH2140" i="3" s="1"/>
  <c r="P2140" i="3"/>
  <c r="O2140" i="3"/>
  <c r="I2140" i="3"/>
  <c r="AG2139" i="3"/>
  <c r="R2139" i="3"/>
  <c r="Q2139" i="3"/>
  <c r="AH2139" i="3" s="1"/>
  <c r="P2139" i="3"/>
  <c r="O2139" i="3"/>
  <c r="AG2138" i="3"/>
  <c r="R2138" i="3"/>
  <c r="Q2138" i="3"/>
  <c r="P2138" i="3"/>
  <c r="O2138" i="3"/>
  <c r="I2138" i="3"/>
  <c r="AG2137" i="3"/>
  <c r="R2137" i="3"/>
  <c r="Q2137" i="3"/>
  <c r="P2137" i="3"/>
  <c r="O2137" i="3"/>
  <c r="AG2136" i="3"/>
  <c r="R2136" i="3"/>
  <c r="Q2136" i="3"/>
  <c r="C2136" i="3" s="1"/>
  <c r="D2136" i="3" s="1"/>
  <c r="P2136" i="3"/>
  <c r="O2136" i="3"/>
  <c r="AG2135" i="3"/>
  <c r="R2135" i="3"/>
  <c r="Q2135" i="3"/>
  <c r="AH2135" i="3" s="1"/>
  <c r="P2135" i="3"/>
  <c r="O2135" i="3"/>
  <c r="AG2134" i="3"/>
  <c r="R2134" i="3"/>
  <c r="Q2134" i="3"/>
  <c r="P2134" i="3"/>
  <c r="O2134" i="3"/>
  <c r="AG2133" i="3"/>
  <c r="R2133" i="3"/>
  <c r="Q2133" i="3"/>
  <c r="P2133" i="3"/>
  <c r="O2133" i="3"/>
  <c r="I2133" i="3"/>
  <c r="AG2132" i="3"/>
  <c r="R2132" i="3"/>
  <c r="Q2132" i="3"/>
  <c r="AH2132" i="3" s="1"/>
  <c r="AJ2132" i="3" s="1"/>
  <c r="P2132" i="3"/>
  <c r="O2132" i="3"/>
  <c r="AG2131" i="3"/>
  <c r="R2131" i="3"/>
  <c r="Q2131" i="3"/>
  <c r="C2131" i="3" s="1"/>
  <c r="D2131" i="3" s="1"/>
  <c r="P2131" i="3"/>
  <c r="O2131" i="3"/>
  <c r="AG2130" i="3"/>
  <c r="R2130" i="3"/>
  <c r="Q2130" i="3"/>
  <c r="P2130" i="3"/>
  <c r="O2130" i="3"/>
  <c r="AG2129" i="3"/>
  <c r="R2129" i="3"/>
  <c r="Q2129" i="3"/>
  <c r="AH2129" i="3" s="1"/>
  <c r="P2129" i="3"/>
  <c r="O2129" i="3"/>
  <c r="I2129" i="3"/>
  <c r="AG2128" i="3"/>
  <c r="R2128" i="3"/>
  <c r="Q2128" i="3"/>
  <c r="P2128" i="3"/>
  <c r="O2128" i="3"/>
  <c r="AG2127" i="3"/>
  <c r="R2127" i="3"/>
  <c r="Q2127" i="3"/>
  <c r="C2127" i="3" s="1"/>
  <c r="D2127" i="3" s="1"/>
  <c r="P2127" i="3"/>
  <c r="O2127" i="3"/>
  <c r="I2127" i="3"/>
  <c r="AG2126" i="3"/>
  <c r="R2126" i="3"/>
  <c r="Q2126" i="3"/>
  <c r="P2126" i="3"/>
  <c r="O2126" i="3"/>
  <c r="AG2125" i="3"/>
  <c r="R2125" i="3"/>
  <c r="Q2125" i="3"/>
  <c r="H2125" i="3" s="1"/>
  <c r="P2125" i="3"/>
  <c r="O2125" i="3"/>
  <c r="AG2124" i="3"/>
  <c r="R2124" i="3"/>
  <c r="Q2124" i="3"/>
  <c r="H2124" i="3" s="1"/>
  <c r="P2124" i="3"/>
  <c r="O2124" i="3"/>
  <c r="AG2123" i="3"/>
  <c r="R2123" i="3"/>
  <c r="Q2123" i="3"/>
  <c r="AH2123" i="3" s="1"/>
  <c r="P2123" i="3"/>
  <c r="O2123" i="3"/>
  <c r="AG2122" i="3"/>
  <c r="R2122" i="3"/>
  <c r="Q2122" i="3"/>
  <c r="E2122" i="3" s="1"/>
  <c r="F2122" i="3" s="1"/>
  <c r="P2122" i="3"/>
  <c r="O2122" i="3"/>
  <c r="AG2121" i="3"/>
  <c r="R2121" i="3"/>
  <c r="Q2121" i="3"/>
  <c r="AH2121" i="3" s="1"/>
  <c r="AL2121" i="3" s="1"/>
  <c r="P2121" i="3"/>
  <c r="O2121" i="3"/>
  <c r="AG2120" i="3"/>
  <c r="R2120" i="3"/>
  <c r="Q2120" i="3"/>
  <c r="AH2120" i="3" s="1"/>
  <c r="P2120" i="3"/>
  <c r="O2120" i="3"/>
  <c r="I2120" i="3"/>
  <c r="AG2119" i="3"/>
  <c r="R2119" i="3"/>
  <c r="Q2119" i="3"/>
  <c r="H2119" i="3" s="1"/>
  <c r="P2119" i="3"/>
  <c r="O2119" i="3"/>
  <c r="AG2118" i="3"/>
  <c r="R2118" i="3"/>
  <c r="Q2118" i="3"/>
  <c r="P2118" i="3"/>
  <c r="O2118" i="3"/>
  <c r="I2118" i="3"/>
  <c r="AG2117" i="3"/>
  <c r="R2117" i="3"/>
  <c r="Q2117" i="3"/>
  <c r="P2117" i="3"/>
  <c r="O2117" i="3"/>
  <c r="AG2116" i="3"/>
  <c r="R2116" i="3"/>
  <c r="Q2116" i="3"/>
  <c r="AH2116" i="3" s="1"/>
  <c r="P2116" i="3"/>
  <c r="O2116" i="3"/>
  <c r="I2116" i="3"/>
  <c r="AG2115" i="3"/>
  <c r="R2115" i="3"/>
  <c r="Q2115" i="3"/>
  <c r="H2115" i="3" s="1"/>
  <c r="P2115" i="3"/>
  <c r="O2115" i="3"/>
  <c r="AG2114" i="3"/>
  <c r="R2114" i="3"/>
  <c r="Q2114" i="3"/>
  <c r="P2114" i="3"/>
  <c r="O2114" i="3"/>
  <c r="I2114" i="3"/>
  <c r="AG2113" i="3"/>
  <c r="R2113" i="3"/>
  <c r="Q2113" i="3"/>
  <c r="AH2113" i="3" s="1"/>
  <c r="AL2113" i="3" s="1"/>
  <c r="P2113" i="3"/>
  <c r="O2113" i="3"/>
  <c r="AG2112" i="3"/>
  <c r="R2112" i="3"/>
  <c r="Q2112" i="3"/>
  <c r="P2112" i="3"/>
  <c r="O2112" i="3"/>
  <c r="I2112" i="3"/>
  <c r="AG2111" i="3"/>
  <c r="R2111" i="3"/>
  <c r="Q2111" i="3"/>
  <c r="P2111" i="3"/>
  <c r="O2111" i="3"/>
  <c r="AG2110" i="3"/>
  <c r="R2110" i="3"/>
  <c r="Q2110" i="3"/>
  <c r="AH2110" i="3" s="1"/>
  <c r="P2110" i="3"/>
  <c r="O2110" i="3"/>
  <c r="AG2109" i="3"/>
  <c r="R2109" i="3"/>
  <c r="Q2109" i="3"/>
  <c r="AH2109" i="3" s="1"/>
  <c r="P2109" i="3"/>
  <c r="O2109" i="3"/>
  <c r="AG2108" i="3"/>
  <c r="R2108" i="3"/>
  <c r="Q2108" i="3"/>
  <c r="C2108" i="3" s="1"/>
  <c r="D2108" i="3" s="1"/>
  <c r="P2108" i="3"/>
  <c r="O2108" i="3"/>
  <c r="AG2107" i="3"/>
  <c r="R2107" i="3"/>
  <c r="Q2107" i="3"/>
  <c r="C2107" i="3" s="1"/>
  <c r="D2107" i="3" s="1"/>
  <c r="P2107" i="3"/>
  <c r="O2107" i="3"/>
  <c r="AG2106" i="3"/>
  <c r="R2106" i="3"/>
  <c r="Q2106" i="3"/>
  <c r="P2106" i="3"/>
  <c r="O2106" i="3"/>
  <c r="AG2105" i="3"/>
  <c r="R2105" i="3"/>
  <c r="Q2105" i="3"/>
  <c r="P2105" i="3"/>
  <c r="O2105" i="3"/>
  <c r="AG2104" i="3"/>
  <c r="R2104" i="3"/>
  <c r="Q2104" i="3"/>
  <c r="AH2104" i="3" s="1"/>
  <c r="AL2104" i="3" s="1"/>
  <c r="P2104" i="3"/>
  <c r="O2104" i="3"/>
  <c r="AG2103" i="3"/>
  <c r="R2103" i="3"/>
  <c r="Q2103" i="3"/>
  <c r="P2103" i="3"/>
  <c r="O2103" i="3"/>
  <c r="AG2102" i="3"/>
  <c r="R2102" i="3"/>
  <c r="Q2102" i="3"/>
  <c r="P2102" i="3"/>
  <c r="O2102" i="3"/>
  <c r="AG2101" i="3"/>
  <c r="R2101" i="3"/>
  <c r="Q2101" i="3"/>
  <c r="C2101" i="3" s="1"/>
  <c r="D2101" i="3" s="1"/>
  <c r="P2101" i="3"/>
  <c r="O2101" i="3"/>
  <c r="AG2100" i="3"/>
  <c r="R2100" i="3"/>
  <c r="Q2100" i="3"/>
  <c r="P2100" i="3"/>
  <c r="O2100" i="3"/>
  <c r="AG2099" i="3"/>
  <c r="R2099" i="3"/>
  <c r="Q2099" i="3"/>
  <c r="P2099" i="3"/>
  <c r="O2099" i="3"/>
  <c r="AG2098" i="3"/>
  <c r="R2098" i="3"/>
  <c r="Q2098" i="3"/>
  <c r="P2098" i="3"/>
  <c r="O2098" i="3"/>
  <c r="AG2097" i="3"/>
  <c r="R2097" i="3"/>
  <c r="Q2097" i="3"/>
  <c r="P2097" i="3"/>
  <c r="O2097" i="3"/>
  <c r="AG2096" i="3"/>
  <c r="R2096" i="3"/>
  <c r="Q2096" i="3"/>
  <c r="P2096" i="3"/>
  <c r="O2096" i="3"/>
  <c r="AG2095" i="3"/>
  <c r="R2095" i="3"/>
  <c r="Q2095" i="3"/>
  <c r="AH2095" i="3" s="1"/>
  <c r="P2095" i="3"/>
  <c r="O2095" i="3"/>
  <c r="AG2094" i="3"/>
  <c r="R2094" i="3"/>
  <c r="Q2094" i="3"/>
  <c r="P2094" i="3"/>
  <c r="O2094" i="3"/>
  <c r="AG2093" i="3"/>
  <c r="R2093" i="3"/>
  <c r="Q2093" i="3"/>
  <c r="E2093" i="3" s="1"/>
  <c r="F2093" i="3" s="1"/>
  <c r="P2093" i="3"/>
  <c r="O2093" i="3"/>
  <c r="AG2092" i="3"/>
  <c r="R2092" i="3"/>
  <c r="Q2092" i="3"/>
  <c r="H2092" i="3" s="1"/>
  <c r="P2092" i="3"/>
  <c r="O2092" i="3"/>
  <c r="AG2091" i="3"/>
  <c r="R2091" i="3"/>
  <c r="Q2091" i="3"/>
  <c r="P2091" i="3"/>
  <c r="O2091" i="3"/>
  <c r="AG2090" i="3"/>
  <c r="R2090" i="3"/>
  <c r="Q2090" i="3"/>
  <c r="P2090" i="3"/>
  <c r="O2090" i="3"/>
  <c r="AG2089" i="3"/>
  <c r="R2089" i="3"/>
  <c r="Q2089" i="3"/>
  <c r="AH2089" i="3" s="1"/>
  <c r="AL2089" i="3" s="1"/>
  <c r="P2089" i="3"/>
  <c r="O2089" i="3"/>
  <c r="I2089" i="3"/>
  <c r="AG2088" i="3"/>
  <c r="R2088" i="3"/>
  <c r="Q2088" i="3"/>
  <c r="C2088" i="3" s="1"/>
  <c r="D2088" i="3" s="1"/>
  <c r="P2088" i="3"/>
  <c r="O2088" i="3"/>
  <c r="AG2087" i="3"/>
  <c r="R2087" i="3"/>
  <c r="Q2087" i="3"/>
  <c r="AH2087" i="3" s="1"/>
  <c r="P2087" i="3"/>
  <c r="O2087" i="3"/>
  <c r="AG2086" i="3"/>
  <c r="R2086" i="3"/>
  <c r="Q2086" i="3"/>
  <c r="P2086" i="3"/>
  <c r="O2086" i="3"/>
  <c r="AG2085" i="3"/>
  <c r="R2085" i="3"/>
  <c r="Q2085" i="3"/>
  <c r="H2085" i="3" s="1"/>
  <c r="P2085" i="3"/>
  <c r="O2085" i="3"/>
  <c r="AG2084" i="3"/>
  <c r="R2084" i="3"/>
  <c r="Q2084" i="3"/>
  <c r="AH2084" i="3" s="1"/>
  <c r="AL2084" i="3" s="1"/>
  <c r="P2084" i="3"/>
  <c r="O2084" i="3"/>
  <c r="AG2083" i="3"/>
  <c r="R2083" i="3"/>
  <c r="Q2083" i="3"/>
  <c r="AH2083" i="3" s="1"/>
  <c r="P2083" i="3"/>
  <c r="O2083" i="3"/>
  <c r="AG2082" i="3"/>
  <c r="R2082" i="3"/>
  <c r="Q2082" i="3"/>
  <c r="P2082" i="3"/>
  <c r="O2082" i="3"/>
  <c r="AG2081" i="3"/>
  <c r="R2081" i="3"/>
  <c r="Q2081" i="3"/>
  <c r="P2081" i="3"/>
  <c r="O2081" i="3"/>
  <c r="AG2080" i="3"/>
  <c r="R2080" i="3"/>
  <c r="Q2080" i="3"/>
  <c r="P2080" i="3"/>
  <c r="O2080" i="3"/>
  <c r="AG2079" i="3"/>
  <c r="R2079" i="3"/>
  <c r="Q2079" i="3"/>
  <c r="AH2079" i="3" s="1"/>
  <c r="P2079" i="3"/>
  <c r="O2079" i="3"/>
  <c r="AG2078" i="3"/>
  <c r="R2078" i="3"/>
  <c r="Q2078" i="3"/>
  <c r="C2078" i="3" s="1"/>
  <c r="D2078" i="3" s="1"/>
  <c r="P2078" i="3"/>
  <c r="O2078" i="3"/>
  <c r="AG2077" i="3"/>
  <c r="R2077" i="3"/>
  <c r="Q2077" i="3"/>
  <c r="AH2077" i="3" s="1"/>
  <c r="P2077" i="3"/>
  <c r="O2077" i="3"/>
  <c r="AG2076" i="3"/>
  <c r="R2076" i="3"/>
  <c r="Q2076" i="3"/>
  <c r="H2076" i="3" s="1"/>
  <c r="P2076" i="3"/>
  <c r="O2076" i="3"/>
  <c r="I2076" i="3"/>
  <c r="AG2075" i="3"/>
  <c r="R2075" i="3"/>
  <c r="Q2075" i="3"/>
  <c r="P2075" i="3"/>
  <c r="O2075" i="3"/>
  <c r="AG2074" i="3"/>
  <c r="R2074" i="3"/>
  <c r="Q2074" i="3"/>
  <c r="P2074" i="3"/>
  <c r="O2074" i="3"/>
  <c r="AG2073" i="3"/>
  <c r="R2073" i="3"/>
  <c r="Q2073" i="3"/>
  <c r="P2073" i="3"/>
  <c r="O2073" i="3"/>
  <c r="AG2072" i="3"/>
  <c r="R2072" i="3"/>
  <c r="Q2072" i="3"/>
  <c r="AH2072" i="3" s="1"/>
  <c r="AL2072" i="3" s="1"/>
  <c r="P2072" i="3"/>
  <c r="O2072" i="3"/>
  <c r="AG2071" i="3"/>
  <c r="R2071" i="3"/>
  <c r="Q2071" i="3"/>
  <c r="C2071" i="3" s="1"/>
  <c r="D2071" i="3" s="1"/>
  <c r="P2071" i="3"/>
  <c r="O2071" i="3"/>
  <c r="AG2070" i="3"/>
  <c r="R2070" i="3"/>
  <c r="Q2070" i="3"/>
  <c r="E2070" i="3" s="1"/>
  <c r="F2070" i="3" s="1"/>
  <c r="P2070" i="3"/>
  <c r="O2070" i="3"/>
  <c r="AG2069" i="3"/>
  <c r="R2069" i="3"/>
  <c r="Q2069" i="3"/>
  <c r="P2069" i="3"/>
  <c r="O2069" i="3"/>
  <c r="AG2068" i="3"/>
  <c r="R2068" i="3"/>
  <c r="Q2068" i="3"/>
  <c r="E2068" i="3" s="1"/>
  <c r="F2068" i="3" s="1"/>
  <c r="P2068" i="3"/>
  <c r="O2068" i="3"/>
  <c r="AG2067" i="3"/>
  <c r="R2067" i="3"/>
  <c r="Q2067" i="3"/>
  <c r="C2067" i="3" s="1"/>
  <c r="D2067" i="3" s="1"/>
  <c r="P2067" i="3"/>
  <c r="O2067" i="3"/>
  <c r="I2067" i="3"/>
  <c r="AG2066" i="3"/>
  <c r="R2066" i="3"/>
  <c r="Q2066" i="3"/>
  <c r="AH2066" i="3" s="1"/>
  <c r="P2066" i="3"/>
  <c r="O2066" i="3"/>
  <c r="AG2065" i="3"/>
  <c r="R2065" i="3"/>
  <c r="Q2065" i="3"/>
  <c r="P2065" i="3"/>
  <c r="O2065" i="3"/>
  <c r="AG2064" i="3"/>
  <c r="R2064" i="3"/>
  <c r="Q2064" i="3"/>
  <c r="P2064" i="3"/>
  <c r="O2064" i="3"/>
  <c r="AG2063" i="3"/>
  <c r="R2063" i="3"/>
  <c r="Q2063" i="3"/>
  <c r="P2063" i="3"/>
  <c r="O2063" i="3"/>
  <c r="AG2062" i="3"/>
  <c r="R2062" i="3"/>
  <c r="Q2062" i="3"/>
  <c r="E2062" i="3" s="1"/>
  <c r="F2062" i="3" s="1"/>
  <c r="P2062" i="3"/>
  <c r="O2062" i="3"/>
  <c r="I2062" i="3"/>
  <c r="AG2061" i="3"/>
  <c r="R2061" i="3"/>
  <c r="Q2061" i="3"/>
  <c r="H2061" i="3" s="1"/>
  <c r="P2061" i="3"/>
  <c r="O2061" i="3"/>
  <c r="AG2060" i="3"/>
  <c r="R2060" i="3"/>
  <c r="Q2060" i="3"/>
  <c r="AH2060" i="3" s="1"/>
  <c r="P2060" i="3"/>
  <c r="O2060" i="3"/>
  <c r="AG2059" i="3"/>
  <c r="R2059" i="3"/>
  <c r="Q2059" i="3"/>
  <c r="AH2059" i="3" s="1"/>
  <c r="P2059" i="3"/>
  <c r="O2059" i="3"/>
  <c r="AG2058" i="3"/>
  <c r="R2058" i="3"/>
  <c r="Q2058" i="3"/>
  <c r="P2058" i="3"/>
  <c r="O2058" i="3"/>
  <c r="I2058" i="3"/>
  <c r="AG2057" i="3"/>
  <c r="R2057" i="3"/>
  <c r="Q2057" i="3"/>
  <c r="E2057" i="3" s="1"/>
  <c r="F2057" i="3" s="1"/>
  <c r="P2057" i="3"/>
  <c r="O2057" i="3"/>
  <c r="AG2056" i="3"/>
  <c r="R2056" i="3"/>
  <c r="Q2056" i="3"/>
  <c r="P2056" i="3"/>
  <c r="O2056" i="3"/>
  <c r="AG2055" i="3"/>
  <c r="R2055" i="3"/>
  <c r="Q2055" i="3"/>
  <c r="P2055" i="3"/>
  <c r="O2055" i="3"/>
  <c r="AG2054" i="3"/>
  <c r="R2054" i="3"/>
  <c r="Q2054" i="3"/>
  <c r="C2054" i="3" s="1"/>
  <c r="D2054" i="3" s="1"/>
  <c r="P2054" i="3"/>
  <c r="O2054" i="3"/>
  <c r="AG2053" i="3"/>
  <c r="R2053" i="3"/>
  <c r="Q2053" i="3"/>
  <c r="P2053" i="3"/>
  <c r="O2053" i="3"/>
  <c r="AG2052" i="3"/>
  <c r="R2052" i="3"/>
  <c r="Q2052" i="3"/>
  <c r="P2052" i="3"/>
  <c r="O2052" i="3"/>
  <c r="AG2051" i="3"/>
  <c r="R2051" i="3"/>
  <c r="Q2051" i="3"/>
  <c r="P2051" i="3"/>
  <c r="O2051" i="3"/>
  <c r="AG2050" i="3"/>
  <c r="R2050" i="3"/>
  <c r="Q2050" i="3"/>
  <c r="AH2050" i="3" s="1"/>
  <c r="P2050" i="3"/>
  <c r="O2050" i="3"/>
  <c r="AG2049" i="3"/>
  <c r="R2049" i="3"/>
  <c r="Q2049" i="3"/>
  <c r="P2049" i="3"/>
  <c r="O2049" i="3"/>
  <c r="I2049" i="3"/>
  <c r="AG2048" i="3"/>
  <c r="R2048" i="3"/>
  <c r="Q2048" i="3"/>
  <c r="E2048" i="3" s="1"/>
  <c r="F2048" i="3" s="1"/>
  <c r="P2048" i="3"/>
  <c r="O2048" i="3"/>
  <c r="AG2047" i="3"/>
  <c r="R2047" i="3"/>
  <c r="Q2047" i="3"/>
  <c r="C2047" i="3" s="1"/>
  <c r="D2047" i="3" s="1"/>
  <c r="P2047" i="3"/>
  <c r="O2047" i="3"/>
  <c r="AG2046" i="3"/>
  <c r="R2046" i="3"/>
  <c r="Q2046" i="3"/>
  <c r="C2046" i="3" s="1"/>
  <c r="D2046" i="3" s="1"/>
  <c r="P2046" i="3"/>
  <c r="O2046" i="3"/>
  <c r="AG2045" i="3"/>
  <c r="R2045" i="3"/>
  <c r="Q2045" i="3"/>
  <c r="P2045" i="3"/>
  <c r="O2045" i="3"/>
  <c r="AG2044" i="3"/>
  <c r="R2044" i="3"/>
  <c r="Q2044" i="3"/>
  <c r="P2044" i="3"/>
  <c r="O2044" i="3"/>
  <c r="AG2043" i="3"/>
  <c r="R2043" i="3"/>
  <c r="Q2043" i="3"/>
  <c r="H2043" i="3" s="1"/>
  <c r="P2043" i="3"/>
  <c r="O2043" i="3"/>
  <c r="AG2042" i="3"/>
  <c r="R2042" i="3"/>
  <c r="Q2042" i="3"/>
  <c r="C2042" i="3" s="1"/>
  <c r="D2042" i="3" s="1"/>
  <c r="P2042" i="3"/>
  <c r="O2042" i="3"/>
  <c r="AG2041" i="3"/>
  <c r="R2041" i="3"/>
  <c r="Q2041" i="3"/>
  <c r="P2041" i="3"/>
  <c r="O2041" i="3"/>
  <c r="AG2040" i="3"/>
  <c r="R2040" i="3"/>
  <c r="Q2040" i="3"/>
  <c r="P2040" i="3"/>
  <c r="O2040" i="3"/>
  <c r="I2040" i="3"/>
  <c r="AG2039" i="3"/>
  <c r="R2039" i="3"/>
  <c r="Q2039" i="3"/>
  <c r="C2039" i="3" s="1"/>
  <c r="D2039" i="3" s="1"/>
  <c r="P2039" i="3"/>
  <c r="O2039" i="3"/>
  <c r="AG2038" i="3"/>
  <c r="R2038" i="3"/>
  <c r="Q2038" i="3"/>
  <c r="H2038" i="3" s="1"/>
  <c r="P2038" i="3"/>
  <c r="O2038" i="3"/>
  <c r="AG2037" i="3"/>
  <c r="R2037" i="3"/>
  <c r="Q2037" i="3"/>
  <c r="P2037" i="3"/>
  <c r="O2037" i="3"/>
  <c r="AG2036" i="3"/>
  <c r="R2036" i="3"/>
  <c r="Q2036" i="3"/>
  <c r="P2036" i="3"/>
  <c r="O2036" i="3"/>
  <c r="I2036" i="3"/>
  <c r="AG2035" i="3"/>
  <c r="R2035" i="3"/>
  <c r="Q2035" i="3"/>
  <c r="P2035" i="3"/>
  <c r="O2035" i="3"/>
  <c r="AG2034" i="3"/>
  <c r="R2034" i="3"/>
  <c r="Q2034" i="3"/>
  <c r="P2034" i="3"/>
  <c r="O2034" i="3"/>
  <c r="AG2033" i="3"/>
  <c r="R2033" i="3"/>
  <c r="Q2033" i="3"/>
  <c r="E2033" i="3" s="1"/>
  <c r="F2033" i="3" s="1"/>
  <c r="P2033" i="3"/>
  <c r="O2033" i="3"/>
  <c r="AG2032" i="3"/>
  <c r="R2032" i="3"/>
  <c r="Q2032" i="3"/>
  <c r="P2032" i="3"/>
  <c r="O2032" i="3"/>
  <c r="AG2031" i="3"/>
  <c r="R2031" i="3"/>
  <c r="Q2031" i="3"/>
  <c r="P2031" i="3"/>
  <c r="O2031" i="3"/>
  <c r="AG2030" i="3"/>
  <c r="R2030" i="3"/>
  <c r="Q2030" i="3"/>
  <c r="P2030" i="3"/>
  <c r="O2030" i="3"/>
  <c r="AG2029" i="3"/>
  <c r="R2029" i="3"/>
  <c r="Q2029" i="3"/>
  <c r="P2029" i="3"/>
  <c r="O2029" i="3"/>
  <c r="AG2028" i="3"/>
  <c r="R2028" i="3"/>
  <c r="Q2028" i="3"/>
  <c r="H2028" i="3" s="1"/>
  <c r="P2028" i="3"/>
  <c r="O2028" i="3"/>
  <c r="AG2027" i="3"/>
  <c r="R2027" i="3"/>
  <c r="Q2027" i="3"/>
  <c r="AH2027" i="3" s="1"/>
  <c r="P2027" i="3"/>
  <c r="O2027" i="3"/>
  <c r="I2027" i="3"/>
  <c r="AG2026" i="3"/>
  <c r="R2026" i="3"/>
  <c r="Q2026" i="3"/>
  <c r="C2026" i="3" s="1"/>
  <c r="D2026" i="3" s="1"/>
  <c r="P2026" i="3"/>
  <c r="O2026" i="3"/>
  <c r="I2026" i="3"/>
  <c r="AG2025" i="3"/>
  <c r="R2025" i="3"/>
  <c r="Q2025" i="3"/>
  <c r="P2025" i="3"/>
  <c r="O2025" i="3"/>
  <c r="AG2024" i="3"/>
  <c r="R2024" i="3"/>
  <c r="Q2024" i="3"/>
  <c r="E2024" i="3" s="1"/>
  <c r="F2024" i="3" s="1"/>
  <c r="P2024" i="3"/>
  <c r="O2024" i="3"/>
  <c r="AG2023" i="3"/>
  <c r="R2023" i="3"/>
  <c r="Q2023" i="3"/>
  <c r="E2023" i="3" s="1"/>
  <c r="F2023" i="3" s="1"/>
  <c r="P2023" i="3"/>
  <c r="O2023" i="3"/>
  <c r="AG2022" i="3"/>
  <c r="R2022" i="3"/>
  <c r="Q2022" i="3"/>
  <c r="P2022" i="3"/>
  <c r="O2022" i="3"/>
  <c r="AG2021" i="3"/>
  <c r="R2021" i="3"/>
  <c r="Q2021" i="3"/>
  <c r="H2021" i="3" s="1"/>
  <c r="P2021" i="3"/>
  <c r="O2021" i="3"/>
  <c r="AG2020" i="3"/>
  <c r="R2020" i="3"/>
  <c r="Q2020" i="3"/>
  <c r="C2020" i="3" s="1"/>
  <c r="D2020" i="3" s="1"/>
  <c r="P2020" i="3"/>
  <c r="O2020" i="3"/>
  <c r="AG2019" i="3"/>
  <c r="R2019" i="3"/>
  <c r="Q2019" i="3"/>
  <c r="P2019" i="3"/>
  <c r="O2019" i="3"/>
  <c r="AG2018" i="3"/>
  <c r="R2018" i="3"/>
  <c r="Q2018" i="3"/>
  <c r="P2018" i="3"/>
  <c r="O2018" i="3"/>
  <c r="I2018" i="3"/>
  <c r="AG2017" i="3"/>
  <c r="R2017" i="3"/>
  <c r="Q2017" i="3"/>
  <c r="E2017" i="3" s="1"/>
  <c r="F2017" i="3" s="1"/>
  <c r="P2017" i="3"/>
  <c r="O2017" i="3"/>
  <c r="AG2016" i="3"/>
  <c r="R2016" i="3"/>
  <c r="Q2016" i="3"/>
  <c r="H2016" i="3" s="1"/>
  <c r="P2016" i="3"/>
  <c r="O2016" i="3"/>
  <c r="AG2015" i="3"/>
  <c r="R2015" i="3"/>
  <c r="Q2015" i="3"/>
  <c r="E2015" i="3" s="1"/>
  <c r="F2015" i="3" s="1"/>
  <c r="P2015" i="3"/>
  <c r="O2015" i="3"/>
  <c r="I2015" i="3"/>
  <c r="AG2014" i="3"/>
  <c r="R2014" i="3"/>
  <c r="Q2014" i="3"/>
  <c r="C2014" i="3" s="1"/>
  <c r="D2014" i="3" s="1"/>
  <c r="P2014" i="3"/>
  <c r="O2014" i="3"/>
  <c r="AG2013" i="3"/>
  <c r="R2013" i="3"/>
  <c r="Q2013" i="3"/>
  <c r="H2013" i="3" s="1"/>
  <c r="P2013" i="3"/>
  <c r="O2013" i="3"/>
  <c r="AG2012" i="3"/>
  <c r="R2012" i="3"/>
  <c r="Q2012" i="3"/>
  <c r="C2012" i="3" s="1"/>
  <c r="D2012" i="3" s="1"/>
  <c r="P2012" i="3"/>
  <c r="O2012" i="3"/>
  <c r="AG2011" i="3"/>
  <c r="R2011" i="3"/>
  <c r="Q2011" i="3"/>
  <c r="P2011" i="3"/>
  <c r="O2011" i="3"/>
  <c r="I2011" i="3"/>
  <c r="AG2010" i="3"/>
  <c r="R2010" i="3"/>
  <c r="Q2010" i="3"/>
  <c r="H2010" i="3" s="1"/>
  <c r="P2010" i="3"/>
  <c r="O2010" i="3"/>
  <c r="AG2009" i="3"/>
  <c r="R2009" i="3"/>
  <c r="Q2009" i="3"/>
  <c r="C2009" i="3" s="1"/>
  <c r="D2009" i="3" s="1"/>
  <c r="P2009" i="3"/>
  <c r="O2009" i="3"/>
  <c r="AG2008" i="3"/>
  <c r="R2008" i="3"/>
  <c r="Q2008" i="3"/>
  <c r="E2008" i="3" s="1"/>
  <c r="F2008" i="3" s="1"/>
  <c r="P2008" i="3"/>
  <c r="O2008" i="3"/>
  <c r="AG2007" i="3"/>
  <c r="R2007" i="3"/>
  <c r="Q2007" i="3"/>
  <c r="P2007" i="3"/>
  <c r="O2007" i="3"/>
  <c r="AG2006" i="3"/>
  <c r="R2006" i="3"/>
  <c r="Q2006" i="3"/>
  <c r="P2006" i="3"/>
  <c r="O2006" i="3"/>
  <c r="AG2005" i="3"/>
  <c r="R2005" i="3"/>
  <c r="Q2005" i="3"/>
  <c r="P2005" i="3"/>
  <c r="O2005" i="3"/>
  <c r="AG2004" i="3"/>
  <c r="R2004" i="3"/>
  <c r="Q2004" i="3"/>
  <c r="C2004" i="3" s="1"/>
  <c r="D2004" i="3" s="1"/>
  <c r="P2004" i="3"/>
  <c r="O2004" i="3"/>
  <c r="AG2003" i="3"/>
  <c r="R2003" i="3"/>
  <c r="Q2003" i="3"/>
  <c r="E2003" i="3" s="1"/>
  <c r="F2003" i="3" s="1"/>
  <c r="P2003" i="3"/>
  <c r="O2003" i="3"/>
  <c r="AG2002" i="3"/>
  <c r="R2002" i="3"/>
  <c r="Q2002" i="3"/>
  <c r="P2002" i="3"/>
  <c r="O2002" i="3"/>
  <c r="AG2001" i="3"/>
  <c r="R2001" i="3"/>
  <c r="Q2001" i="3"/>
  <c r="P2001" i="3"/>
  <c r="O2001" i="3"/>
  <c r="AG2000" i="3"/>
  <c r="R2000" i="3"/>
  <c r="Q2000" i="3"/>
  <c r="P2000" i="3"/>
  <c r="O2000" i="3"/>
  <c r="AG1999" i="3"/>
  <c r="R1999" i="3"/>
  <c r="Q1999" i="3"/>
  <c r="P1999" i="3"/>
  <c r="O1999" i="3"/>
  <c r="AG1998" i="3"/>
  <c r="R1998" i="3"/>
  <c r="Q1998" i="3"/>
  <c r="P1998" i="3"/>
  <c r="O1998" i="3"/>
  <c r="AG1997" i="3"/>
  <c r="R1997" i="3"/>
  <c r="Q1997" i="3"/>
  <c r="H1997" i="3" s="1"/>
  <c r="P1997" i="3"/>
  <c r="O1997" i="3"/>
  <c r="AG1996" i="3"/>
  <c r="R1996" i="3"/>
  <c r="Q1996" i="3"/>
  <c r="P1996" i="3"/>
  <c r="O1996" i="3"/>
  <c r="AG1995" i="3"/>
  <c r="R1995" i="3"/>
  <c r="Q1995" i="3"/>
  <c r="P1995" i="3"/>
  <c r="O1995" i="3"/>
  <c r="AG1994" i="3"/>
  <c r="R1994" i="3"/>
  <c r="Q1994" i="3"/>
  <c r="P1994" i="3"/>
  <c r="O1994" i="3"/>
  <c r="I1994" i="3"/>
  <c r="AG1993" i="3"/>
  <c r="R1993" i="3"/>
  <c r="Q1993" i="3"/>
  <c r="P1993" i="3"/>
  <c r="O1993" i="3"/>
  <c r="I1993" i="3"/>
  <c r="AG1992" i="3"/>
  <c r="R1992" i="3"/>
  <c r="Q1992" i="3"/>
  <c r="C1992" i="3" s="1"/>
  <c r="D1992" i="3" s="1"/>
  <c r="P1992" i="3"/>
  <c r="O1992" i="3"/>
  <c r="AG1991" i="3"/>
  <c r="R1991" i="3"/>
  <c r="Q1991" i="3"/>
  <c r="P1991" i="3"/>
  <c r="O1991" i="3"/>
  <c r="AG1990" i="3"/>
  <c r="R1990" i="3"/>
  <c r="Q1990" i="3"/>
  <c r="E1990" i="3" s="1"/>
  <c r="F1990" i="3" s="1"/>
  <c r="P1990" i="3"/>
  <c r="O1990" i="3"/>
  <c r="AG1989" i="3"/>
  <c r="R1989" i="3"/>
  <c r="Q1989" i="3"/>
  <c r="P1989" i="3"/>
  <c r="O1989" i="3"/>
  <c r="AG1988" i="3"/>
  <c r="R1988" i="3"/>
  <c r="Q1988" i="3"/>
  <c r="AH1988" i="3" s="1"/>
  <c r="AJ1988" i="3" s="1"/>
  <c r="P1988" i="3"/>
  <c r="O1988" i="3"/>
  <c r="AG1987" i="3"/>
  <c r="R1987" i="3"/>
  <c r="Q1987" i="3"/>
  <c r="C1987" i="3" s="1"/>
  <c r="D1987" i="3" s="1"/>
  <c r="P1987" i="3"/>
  <c r="O1987" i="3"/>
  <c r="I1987" i="3"/>
  <c r="AG1986" i="3"/>
  <c r="R1986" i="3"/>
  <c r="Q1986" i="3"/>
  <c r="E1986" i="3" s="1"/>
  <c r="F1986" i="3" s="1"/>
  <c r="P1986" i="3"/>
  <c r="O1986" i="3"/>
  <c r="AG1985" i="3"/>
  <c r="R1985" i="3"/>
  <c r="Q1985" i="3"/>
  <c r="P1985" i="3"/>
  <c r="O1985" i="3"/>
  <c r="I1985" i="3"/>
  <c r="AG1984" i="3"/>
  <c r="R1984" i="3"/>
  <c r="Q1984" i="3"/>
  <c r="E1984" i="3" s="1"/>
  <c r="F1984" i="3" s="1"/>
  <c r="P1984" i="3"/>
  <c r="O1984" i="3"/>
  <c r="AG1983" i="3"/>
  <c r="R1983" i="3"/>
  <c r="Q1983" i="3"/>
  <c r="C1983" i="3" s="1"/>
  <c r="D1983" i="3" s="1"/>
  <c r="P1983" i="3"/>
  <c r="O1983" i="3"/>
  <c r="AG1982" i="3"/>
  <c r="R1982" i="3"/>
  <c r="Q1982" i="3"/>
  <c r="E1982" i="3" s="1"/>
  <c r="F1982" i="3" s="1"/>
  <c r="P1982" i="3"/>
  <c r="O1982" i="3"/>
  <c r="AG1981" i="3"/>
  <c r="R1981" i="3"/>
  <c r="Q1981" i="3"/>
  <c r="H1981" i="3" s="1"/>
  <c r="P1981" i="3"/>
  <c r="O1981" i="3"/>
  <c r="AG1980" i="3"/>
  <c r="R1980" i="3"/>
  <c r="Q1980" i="3"/>
  <c r="P1980" i="3"/>
  <c r="O1980" i="3"/>
  <c r="AG1979" i="3"/>
  <c r="R1979" i="3"/>
  <c r="Q1979" i="3"/>
  <c r="P1979" i="3"/>
  <c r="O1979" i="3"/>
  <c r="AG1978" i="3"/>
  <c r="R1978" i="3"/>
  <c r="Q1978" i="3"/>
  <c r="E1978" i="3" s="1"/>
  <c r="F1978" i="3" s="1"/>
  <c r="P1978" i="3"/>
  <c r="O1978" i="3"/>
  <c r="AG1977" i="3"/>
  <c r="R1977" i="3"/>
  <c r="Q1977" i="3"/>
  <c r="P1977" i="3"/>
  <c r="O1977" i="3"/>
  <c r="I1977" i="3"/>
  <c r="AG1976" i="3"/>
  <c r="R1976" i="3"/>
  <c r="Q1976" i="3"/>
  <c r="P1976" i="3"/>
  <c r="O1976" i="3"/>
  <c r="AG1975" i="3"/>
  <c r="R1975" i="3"/>
  <c r="Q1975" i="3"/>
  <c r="C1975" i="3" s="1"/>
  <c r="D1975" i="3" s="1"/>
  <c r="P1975" i="3"/>
  <c r="O1975" i="3"/>
  <c r="I1975" i="3"/>
  <c r="AG1974" i="3"/>
  <c r="R1974" i="3"/>
  <c r="Q1974" i="3"/>
  <c r="H1974" i="3" s="1"/>
  <c r="P1974" i="3"/>
  <c r="O1974" i="3"/>
  <c r="I1974" i="3"/>
  <c r="AG1973" i="3"/>
  <c r="R1973" i="3"/>
  <c r="Q1973" i="3"/>
  <c r="H1973" i="3" s="1"/>
  <c r="P1973" i="3"/>
  <c r="O1973" i="3"/>
  <c r="I1973" i="3"/>
  <c r="AG1972" i="3"/>
  <c r="R1972" i="3"/>
  <c r="Q1972" i="3"/>
  <c r="P1972" i="3"/>
  <c r="O1972" i="3"/>
  <c r="AG1971" i="3"/>
  <c r="R1971" i="3"/>
  <c r="Q1971" i="3"/>
  <c r="AH1971" i="3" s="1"/>
  <c r="P1971" i="3"/>
  <c r="O1971" i="3"/>
  <c r="I1971" i="3"/>
  <c r="AG1970" i="3"/>
  <c r="R1970" i="3"/>
  <c r="Q1970" i="3"/>
  <c r="AH1970" i="3" s="1"/>
  <c r="P1970" i="3"/>
  <c r="O1970" i="3"/>
  <c r="AG1969" i="3"/>
  <c r="R1969" i="3"/>
  <c r="Q1969" i="3"/>
  <c r="P1969" i="3"/>
  <c r="O1969" i="3"/>
  <c r="AG1968" i="3"/>
  <c r="R1968" i="3"/>
  <c r="Q1968" i="3"/>
  <c r="H1968" i="3" s="1"/>
  <c r="P1968" i="3"/>
  <c r="O1968" i="3"/>
  <c r="I1968" i="3"/>
  <c r="AG1967" i="3"/>
  <c r="R1967" i="3"/>
  <c r="Q1967" i="3"/>
  <c r="P1967" i="3"/>
  <c r="O1967" i="3"/>
  <c r="AG1966" i="3"/>
  <c r="R1966" i="3"/>
  <c r="Q1966" i="3"/>
  <c r="C1966" i="3" s="1"/>
  <c r="D1966" i="3" s="1"/>
  <c r="P1966" i="3"/>
  <c r="O1966" i="3"/>
  <c r="AG1965" i="3"/>
  <c r="R1965" i="3"/>
  <c r="Q1965" i="3"/>
  <c r="E1965" i="3" s="1"/>
  <c r="F1965" i="3" s="1"/>
  <c r="P1965" i="3"/>
  <c r="O1965" i="3"/>
  <c r="I1965" i="3"/>
  <c r="AG1964" i="3"/>
  <c r="R1964" i="3"/>
  <c r="Q1964" i="3"/>
  <c r="AH1964" i="3" s="1"/>
  <c r="P1964" i="3"/>
  <c r="O1964" i="3"/>
  <c r="AG1963" i="3"/>
  <c r="R1963" i="3"/>
  <c r="Q1963" i="3"/>
  <c r="C1963" i="3" s="1"/>
  <c r="D1963" i="3" s="1"/>
  <c r="P1963" i="3"/>
  <c r="O1963" i="3"/>
  <c r="I1963" i="3"/>
  <c r="AG1962" i="3"/>
  <c r="R1962" i="3"/>
  <c r="Q1962" i="3"/>
  <c r="P1962" i="3"/>
  <c r="O1962" i="3"/>
  <c r="AG1961" i="3"/>
  <c r="R1961" i="3"/>
  <c r="Q1961" i="3"/>
  <c r="P1961" i="3"/>
  <c r="O1961" i="3"/>
  <c r="AG1960" i="3"/>
  <c r="R1960" i="3"/>
  <c r="Q1960" i="3"/>
  <c r="P1960" i="3"/>
  <c r="O1960" i="3"/>
  <c r="AG1959" i="3"/>
  <c r="R1959" i="3"/>
  <c r="Q1959" i="3"/>
  <c r="C1959" i="3" s="1"/>
  <c r="D1959" i="3" s="1"/>
  <c r="P1959" i="3"/>
  <c r="O1959" i="3"/>
  <c r="AG1958" i="3"/>
  <c r="R1958" i="3"/>
  <c r="Q1958" i="3"/>
  <c r="AH1958" i="3" s="1"/>
  <c r="P1958" i="3"/>
  <c r="O1958" i="3"/>
  <c r="AG1957" i="3"/>
  <c r="R1957" i="3"/>
  <c r="Q1957" i="3"/>
  <c r="H1957" i="3" s="1"/>
  <c r="P1957" i="3"/>
  <c r="O1957" i="3"/>
  <c r="AG1956" i="3"/>
  <c r="R1956" i="3"/>
  <c r="Q1956" i="3"/>
  <c r="E1956" i="3" s="1"/>
  <c r="F1956" i="3" s="1"/>
  <c r="P1956" i="3"/>
  <c r="O1956" i="3"/>
  <c r="AG1955" i="3"/>
  <c r="R1955" i="3"/>
  <c r="Q1955" i="3"/>
  <c r="C1955" i="3" s="1"/>
  <c r="D1955" i="3" s="1"/>
  <c r="P1955" i="3"/>
  <c r="O1955" i="3"/>
  <c r="AG1954" i="3"/>
  <c r="R1954" i="3"/>
  <c r="Q1954" i="3"/>
  <c r="P1954" i="3"/>
  <c r="O1954" i="3"/>
  <c r="AG1953" i="3"/>
  <c r="R1953" i="3"/>
  <c r="Q1953" i="3"/>
  <c r="E1953" i="3" s="1"/>
  <c r="F1953" i="3" s="1"/>
  <c r="P1953" i="3"/>
  <c r="O1953" i="3"/>
  <c r="AG1952" i="3"/>
  <c r="R1952" i="3"/>
  <c r="Q1952" i="3"/>
  <c r="P1952" i="3"/>
  <c r="O1952" i="3"/>
  <c r="AG1951" i="3"/>
  <c r="R1951" i="3"/>
  <c r="Q1951" i="3"/>
  <c r="H1951" i="3" s="1"/>
  <c r="P1951" i="3"/>
  <c r="O1951" i="3"/>
  <c r="AG1950" i="3"/>
  <c r="R1950" i="3"/>
  <c r="Q1950" i="3"/>
  <c r="P1950" i="3"/>
  <c r="O1950" i="3"/>
  <c r="AG1949" i="3"/>
  <c r="R1949" i="3"/>
  <c r="Q1949" i="3"/>
  <c r="H1949" i="3" s="1"/>
  <c r="P1949" i="3"/>
  <c r="O1949" i="3"/>
  <c r="AG1948" i="3"/>
  <c r="R1948" i="3"/>
  <c r="Q1948" i="3"/>
  <c r="H1948" i="3" s="1"/>
  <c r="P1948" i="3"/>
  <c r="O1948" i="3"/>
  <c r="AG1947" i="3"/>
  <c r="R1947" i="3"/>
  <c r="Q1947" i="3"/>
  <c r="H1947" i="3" s="1"/>
  <c r="P1947" i="3"/>
  <c r="O1947" i="3"/>
  <c r="AG1946" i="3"/>
  <c r="R1946" i="3"/>
  <c r="Q1946" i="3"/>
  <c r="P1946" i="3"/>
  <c r="O1946" i="3"/>
  <c r="AG1945" i="3"/>
  <c r="R1945" i="3"/>
  <c r="Q1945" i="3"/>
  <c r="P1945" i="3"/>
  <c r="O1945" i="3"/>
  <c r="AG1944" i="3"/>
  <c r="R1944" i="3"/>
  <c r="Q1944" i="3"/>
  <c r="P1944" i="3"/>
  <c r="O1944" i="3"/>
  <c r="AG1943" i="3"/>
  <c r="R1943" i="3"/>
  <c r="Q1943" i="3"/>
  <c r="P1943" i="3"/>
  <c r="O1943" i="3"/>
  <c r="AG1942" i="3"/>
  <c r="R1942" i="3"/>
  <c r="Q1942" i="3"/>
  <c r="AH1942" i="3" s="1"/>
  <c r="AL1942" i="3" s="1"/>
  <c r="P1942" i="3"/>
  <c r="O1942" i="3"/>
  <c r="AG1941" i="3"/>
  <c r="R1941" i="3"/>
  <c r="Q1941" i="3"/>
  <c r="P1941" i="3"/>
  <c r="O1941" i="3"/>
  <c r="AG1940" i="3"/>
  <c r="R1940" i="3"/>
  <c r="Q1940" i="3"/>
  <c r="H1940" i="3" s="1"/>
  <c r="P1940" i="3"/>
  <c r="O1940" i="3"/>
  <c r="AG1939" i="3"/>
  <c r="R1939" i="3"/>
  <c r="Q1939" i="3"/>
  <c r="AH1939" i="3" s="1"/>
  <c r="P1939" i="3"/>
  <c r="O1939" i="3"/>
  <c r="AG1938" i="3"/>
  <c r="R1938" i="3"/>
  <c r="Q1938" i="3"/>
  <c r="E1938" i="3" s="1"/>
  <c r="F1938" i="3" s="1"/>
  <c r="P1938" i="3"/>
  <c r="O1938" i="3"/>
  <c r="AG1937" i="3"/>
  <c r="R1937" i="3"/>
  <c r="Q1937" i="3"/>
  <c r="E1937" i="3" s="1"/>
  <c r="F1937" i="3" s="1"/>
  <c r="P1937" i="3"/>
  <c r="O1937" i="3"/>
  <c r="AG1936" i="3"/>
  <c r="R1936" i="3"/>
  <c r="Q1936" i="3"/>
  <c r="H1936" i="3" s="1"/>
  <c r="P1936" i="3"/>
  <c r="O1936" i="3"/>
  <c r="AG1935" i="3"/>
  <c r="R1935" i="3"/>
  <c r="Q1935" i="3"/>
  <c r="P1935" i="3"/>
  <c r="O1935" i="3"/>
  <c r="AG1934" i="3"/>
  <c r="R1934" i="3"/>
  <c r="Q1934" i="3"/>
  <c r="P1934" i="3"/>
  <c r="O1934" i="3"/>
  <c r="AG1933" i="3"/>
  <c r="R1933" i="3"/>
  <c r="Q1933" i="3"/>
  <c r="P1933" i="3"/>
  <c r="O1933" i="3"/>
  <c r="AG1932" i="3"/>
  <c r="R1932" i="3"/>
  <c r="Q1932" i="3"/>
  <c r="C1932" i="3" s="1"/>
  <c r="D1932" i="3" s="1"/>
  <c r="P1932" i="3"/>
  <c r="O1932" i="3"/>
  <c r="AG1931" i="3"/>
  <c r="R1931" i="3"/>
  <c r="Q1931" i="3"/>
  <c r="P1931" i="3"/>
  <c r="O1931" i="3"/>
  <c r="I1931" i="3"/>
  <c r="AG1930" i="3"/>
  <c r="R1930" i="3"/>
  <c r="Q1930" i="3"/>
  <c r="P1930" i="3"/>
  <c r="O1930" i="3"/>
  <c r="AG1929" i="3"/>
  <c r="R1929" i="3"/>
  <c r="Q1929" i="3"/>
  <c r="H1929" i="3" s="1"/>
  <c r="P1929" i="3"/>
  <c r="O1929" i="3"/>
  <c r="AG1928" i="3"/>
  <c r="R1928" i="3"/>
  <c r="Q1928" i="3"/>
  <c r="P1928" i="3"/>
  <c r="O1928" i="3"/>
  <c r="AG1927" i="3"/>
  <c r="R1927" i="3"/>
  <c r="Q1927" i="3"/>
  <c r="P1927" i="3"/>
  <c r="O1927" i="3"/>
  <c r="AG1926" i="3"/>
  <c r="R1926" i="3"/>
  <c r="Q1926" i="3"/>
  <c r="H1926" i="3" s="1"/>
  <c r="P1926" i="3"/>
  <c r="O1926" i="3"/>
  <c r="AG1925" i="3"/>
  <c r="R1925" i="3"/>
  <c r="Q1925" i="3"/>
  <c r="P1925" i="3"/>
  <c r="O1925" i="3"/>
  <c r="AG1924" i="3"/>
  <c r="R1924" i="3"/>
  <c r="Q1924" i="3"/>
  <c r="P1924" i="3"/>
  <c r="O1924" i="3"/>
  <c r="AG1923" i="3"/>
  <c r="R1923" i="3"/>
  <c r="Q1923" i="3"/>
  <c r="H1923" i="3" s="1"/>
  <c r="P1923" i="3"/>
  <c r="O1923" i="3"/>
  <c r="AG1922" i="3"/>
  <c r="R1922" i="3"/>
  <c r="Q1922" i="3"/>
  <c r="P1922" i="3"/>
  <c r="O1922" i="3"/>
  <c r="AG1921" i="3"/>
  <c r="R1921" i="3"/>
  <c r="Q1921" i="3"/>
  <c r="AH1921" i="3" s="1"/>
  <c r="P1921" i="3"/>
  <c r="O1921" i="3"/>
  <c r="I1921" i="3"/>
  <c r="AG1920" i="3"/>
  <c r="R1920" i="3"/>
  <c r="Q1920" i="3"/>
  <c r="P1920" i="3"/>
  <c r="O1920" i="3"/>
  <c r="I1920" i="3"/>
  <c r="AG1919" i="3"/>
  <c r="R1919" i="3"/>
  <c r="Q1919" i="3"/>
  <c r="P1919" i="3"/>
  <c r="O1919" i="3"/>
  <c r="I1919" i="3"/>
  <c r="AG1918" i="3"/>
  <c r="R1918" i="3"/>
  <c r="Q1918" i="3"/>
  <c r="H1918" i="3" s="1"/>
  <c r="P1918" i="3"/>
  <c r="O1918" i="3"/>
  <c r="AG1917" i="3"/>
  <c r="R1917" i="3"/>
  <c r="Q1917" i="3"/>
  <c r="C1917" i="3" s="1"/>
  <c r="D1917" i="3" s="1"/>
  <c r="P1917" i="3"/>
  <c r="O1917" i="3"/>
  <c r="AG1916" i="3"/>
  <c r="R1916" i="3"/>
  <c r="Q1916" i="3"/>
  <c r="H1916" i="3" s="1"/>
  <c r="P1916" i="3"/>
  <c r="O1916" i="3"/>
  <c r="I1916" i="3"/>
  <c r="AG1915" i="3"/>
  <c r="R1915" i="3"/>
  <c r="Q1915" i="3"/>
  <c r="C1915" i="3" s="1"/>
  <c r="D1915" i="3" s="1"/>
  <c r="P1915" i="3"/>
  <c r="O1915" i="3"/>
  <c r="I1915" i="3"/>
  <c r="AG1914" i="3"/>
  <c r="R1914" i="3"/>
  <c r="Q1914" i="3"/>
  <c r="P1914" i="3"/>
  <c r="O1914" i="3"/>
  <c r="I1914" i="3"/>
  <c r="AG1913" i="3"/>
  <c r="R1913" i="3"/>
  <c r="Q1913" i="3"/>
  <c r="P1913" i="3"/>
  <c r="O1913" i="3"/>
  <c r="I1913" i="3"/>
  <c r="AG1912" i="3"/>
  <c r="R1912" i="3"/>
  <c r="Q1912" i="3"/>
  <c r="AH1912" i="3" s="1"/>
  <c r="P1912" i="3"/>
  <c r="O1912" i="3"/>
  <c r="AG1911" i="3"/>
  <c r="R1911" i="3"/>
  <c r="Q1911" i="3"/>
  <c r="AH1911" i="3" s="1"/>
  <c r="AJ1911" i="3" s="1"/>
  <c r="P1911" i="3"/>
  <c r="O1911" i="3"/>
  <c r="I1911" i="3"/>
  <c r="AG1910" i="3"/>
  <c r="R1910" i="3"/>
  <c r="Q1910" i="3"/>
  <c r="H1910" i="3" s="1"/>
  <c r="P1910" i="3"/>
  <c r="O1910" i="3"/>
  <c r="AG1909" i="3"/>
  <c r="R1909" i="3"/>
  <c r="Q1909" i="3"/>
  <c r="C1909" i="3" s="1"/>
  <c r="D1909" i="3" s="1"/>
  <c r="P1909" i="3"/>
  <c r="O1909" i="3"/>
  <c r="I1909" i="3"/>
  <c r="AG1908" i="3"/>
  <c r="R1908" i="3"/>
  <c r="Q1908" i="3"/>
  <c r="H1908" i="3" s="1"/>
  <c r="P1908" i="3"/>
  <c r="O1908" i="3"/>
  <c r="AG1907" i="3"/>
  <c r="R1907" i="3"/>
  <c r="Q1907" i="3"/>
  <c r="H1907" i="3" s="1"/>
  <c r="P1907" i="3"/>
  <c r="O1907" i="3"/>
  <c r="I1907" i="3"/>
  <c r="AG1906" i="3"/>
  <c r="R1906" i="3"/>
  <c r="Q1906" i="3"/>
  <c r="P1906" i="3"/>
  <c r="O1906" i="3"/>
  <c r="I1906" i="3"/>
  <c r="AG1905" i="3"/>
  <c r="R1905" i="3"/>
  <c r="Q1905" i="3"/>
  <c r="P1905" i="3"/>
  <c r="O1905" i="3"/>
  <c r="I1905" i="3"/>
  <c r="AG1904" i="3"/>
  <c r="R1904" i="3"/>
  <c r="Q1904" i="3"/>
  <c r="E1904" i="3" s="1"/>
  <c r="F1904" i="3" s="1"/>
  <c r="P1904" i="3"/>
  <c r="O1904" i="3"/>
  <c r="I1904" i="3"/>
  <c r="AG1903" i="3"/>
  <c r="R1903" i="3"/>
  <c r="Q1903" i="3"/>
  <c r="AH1903" i="3" s="1"/>
  <c r="AL1903" i="3" s="1"/>
  <c r="P1903" i="3"/>
  <c r="O1903" i="3"/>
  <c r="AG1902" i="3"/>
  <c r="R1902" i="3"/>
  <c r="Q1902" i="3"/>
  <c r="P1902" i="3"/>
  <c r="O1902" i="3"/>
  <c r="I1902" i="3"/>
  <c r="AG1901" i="3"/>
  <c r="R1901" i="3"/>
  <c r="Q1901" i="3"/>
  <c r="P1901" i="3"/>
  <c r="O1901" i="3"/>
  <c r="AG1900" i="3"/>
  <c r="R1900" i="3"/>
  <c r="Q1900" i="3"/>
  <c r="H1900" i="3" s="1"/>
  <c r="P1900" i="3"/>
  <c r="O1900" i="3"/>
  <c r="AG1899" i="3"/>
  <c r="R1899" i="3"/>
  <c r="Q1899" i="3"/>
  <c r="P1899" i="3"/>
  <c r="O1899" i="3"/>
  <c r="AG1898" i="3"/>
  <c r="R1898" i="3"/>
  <c r="Q1898" i="3"/>
  <c r="AH1898" i="3" s="1"/>
  <c r="P1898" i="3"/>
  <c r="O1898" i="3"/>
  <c r="I1898" i="3"/>
  <c r="AG1897" i="3"/>
  <c r="R1897" i="3"/>
  <c r="Q1897" i="3"/>
  <c r="P1897" i="3"/>
  <c r="O1897" i="3"/>
  <c r="AG1896" i="3"/>
  <c r="R1896" i="3"/>
  <c r="Q1896" i="3"/>
  <c r="P1896" i="3"/>
  <c r="O1896" i="3"/>
  <c r="I1896" i="3"/>
  <c r="AG1895" i="3"/>
  <c r="R1895" i="3"/>
  <c r="Q1895" i="3"/>
  <c r="C1895" i="3" s="1"/>
  <c r="D1895" i="3" s="1"/>
  <c r="P1895" i="3"/>
  <c r="O1895" i="3"/>
  <c r="AG1894" i="3"/>
  <c r="R1894" i="3"/>
  <c r="Q1894" i="3"/>
  <c r="P1894" i="3"/>
  <c r="O1894" i="3"/>
  <c r="I1894" i="3"/>
  <c r="AG1893" i="3"/>
  <c r="R1893" i="3"/>
  <c r="Q1893" i="3"/>
  <c r="H1893" i="3" s="1"/>
  <c r="P1893" i="3"/>
  <c r="O1893" i="3"/>
  <c r="AG1892" i="3"/>
  <c r="R1892" i="3"/>
  <c r="Q1892" i="3"/>
  <c r="P1892" i="3"/>
  <c r="O1892" i="3"/>
  <c r="I1892" i="3"/>
  <c r="AG1891" i="3"/>
  <c r="R1891" i="3"/>
  <c r="Q1891" i="3"/>
  <c r="P1891" i="3"/>
  <c r="O1891" i="3"/>
  <c r="AG1890" i="3"/>
  <c r="R1890" i="3"/>
  <c r="Q1890" i="3"/>
  <c r="E1890" i="3" s="1"/>
  <c r="F1890" i="3" s="1"/>
  <c r="P1890" i="3"/>
  <c r="O1890" i="3"/>
  <c r="I1890" i="3"/>
  <c r="AG1889" i="3"/>
  <c r="R1889" i="3"/>
  <c r="Q1889" i="3"/>
  <c r="AH1889" i="3" s="1"/>
  <c r="AJ1889" i="3" s="1"/>
  <c r="P1889" i="3"/>
  <c r="O1889" i="3"/>
  <c r="AG1888" i="3"/>
  <c r="R1888" i="3"/>
  <c r="Q1888" i="3"/>
  <c r="AH1888" i="3" s="1"/>
  <c r="P1888" i="3"/>
  <c r="O1888" i="3"/>
  <c r="I1888" i="3"/>
  <c r="AG1887" i="3"/>
  <c r="R1887" i="3"/>
  <c r="Q1887" i="3"/>
  <c r="P1887" i="3"/>
  <c r="O1887" i="3"/>
  <c r="AG1886" i="3"/>
  <c r="R1886" i="3"/>
  <c r="Q1886" i="3"/>
  <c r="AH1886" i="3" s="1"/>
  <c r="P1886" i="3"/>
  <c r="O1886" i="3"/>
  <c r="AG1885" i="3"/>
  <c r="R1885" i="3"/>
  <c r="Q1885" i="3"/>
  <c r="P1885" i="3"/>
  <c r="O1885" i="3"/>
  <c r="AG1884" i="3"/>
  <c r="R1884" i="3"/>
  <c r="Q1884" i="3"/>
  <c r="P1884" i="3"/>
  <c r="O1884" i="3"/>
  <c r="AG1883" i="3"/>
  <c r="R1883" i="3"/>
  <c r="Q1883" i="3"/>
  <c r="AH1883" i="3" s="1"/>
  <c r="P1883" i="3"/>
  <c r="O1883" i="3"/>
  <c r="AG1882" i="3"/>
  <c r="R1882" i="3"/>
  <c r="Q1882" i="3"/>
  <c r="E1882" i="3" s="1"/>
  <c r="F1882" i="3" s="1"/>
  <c r="P1882" i="3"/>
  <c r="O1882" i="3"/>
  <c r="AG1881" i="3"/>
  <c r="R1881" i="3"/>
  <c r="Q1881" i="3"/>
  <c r="H1881" i="3" s="1"/>
  <c r="P1881" i="3"/>
  <c r="O1881" i="3"/>
  <c r="I1881" i="3"/>
  <c r="AG1880" i="3"/>
  <c r="R1880" i="3"/>
  <c r="Q1880" i="3"/>
  <c r="E1880" i="3" s="1"/>
  <c r="F1880" i="3" s="1"/>
  <c r="P1880" i="3"/>
  <c r="O1880" i="3"/>
  <c r="AG1879" i="3"/>
  <c r="R1879" i="3"/>
  <c r="Q1879" i="3"/>
  <c r="P1879" i="3"/>
  <c r="O1879" i="3"/>
  <c r="AG1878" i="3"/>
  <c r="R1878" i="3"/>
  <c r="Q1878" i="3"/>
  <c r="AH1878" i="3" s="1"/>
  <c r="AJ1878" i="3" s="1"/>
  <c r="P1878" i="3"/>
  <c r="O1878" i="3"/>
  <c r="AG1877" i="3"/>
  <c r="R1877" i="3"/>
  <c r="Q1877" i="3"/>
  <c r="H1877" i="3" s="1"/>
  <c r="P1877" i="3"/>
  <c r="O1877" i="3"/>
  <c r="AG1876" i="3"/>
  <c r="R1876" i="3"/>
  <c r="Q1876" i="3"/>
  <c r="P1876" i="3"/>
  <c r="O1876" i="3"/>
  <c r="AG1875" i="3"/>
  <c r="R1875" i="3"/>
  <c r="Q1875" i="3"/>
  <c r="C1875" i="3" s="1"/>
  <c r="D1875" i="3" s="1"/>
  <c r="P1875" i="3"/>
  <c r="O1875" i="3"/>
  <c r="AG1874" i="3"/>
  <c r="R1874" i="3"/>
  <c r="Q1874" i="3"/>
  <c r="P1874" i="3"/>
  <c r="O1874" i="3"/>
  <c r="AG1873" i="3"/>
  <c r="R1873" i="3"/>
  <c r="Q1873" i="3"/>
  <c r="H1873" i="3" s="1"/>
  <c r="P1873" i="3"/>
  <c r="O1873" i="3"/>
  <c r="AG1872" i="3"/>
  <c r="R1872" i="3"/>
  <c r="Q1872" i="3"/>
  <c r="P1872" i="3"/>
  <c r="O1872" i="3"/>
  <c r="I1872" i="3"/>
  <c r="AG1871" i="3"/>
  <c r="R1871" i="3"/>
  <c r="Q1871" i="3"/>
  <c r="C1871" i="3" s="1"/>
  <c r="D1871" i="3" s="1"/>
  <c r="P1871" i="3"/>
  <c r="O1871" i="3"/>
  <c r="AG1870" i="3"/>
  <c r="R1870" i="3"/>
  <c r="Q1870" i="3"/>
  <c r="E1870" i="3" s="1"/>
  <c r="F1870" i="3" s="1"/>
  <c r="P1870" i="3"/>
  <c r="O1870" i="3"/>
  <c r="AG1869" i="3"/>
  <c r="R1869" i="3"/>
  <c r="Q1869" i="3"/>
  <c r="P1869" i="3"/>
  <c r="O1869" i="3"/>
  <c r="I1869" i="3"/>
  <c r="AG1868" i="3"/>
  <c r="R1868" i="3"/>
  <c r="Q1868" i="3"/>
  <c r="AH1868" i="3" s="1"/>
  <c r="P1868" i="3"/>
  <c r="O1868" i="3"/>
  <c r="AG1867" i="3"/>
  <c r="R1867" i="3"/>
  <c r="Q1867" i="3"/>
  <c r="P1867" i="3"/>
  <c r="O1867" i="3"/>
  <c r="AG1866" i="3"/>
  <c r="R1866" i="3"/>
  <c r="Q1866" i="3"/>
  <c r="P1866" i="3"/>
  <c r="O1866" i="3"/>
  <c r="AG1865" i="3"/>
  <c r="R1865" i="3"/>
  <c r="Q1865" i="3"/>
  <c r="P1865" i="3"/>
  <c r="O1865" i="3"/>
  <c r="AG1864" i="3"/>
  <c r="R1864" i="3"/>
  <c r="Q1864" i="3"/>
  <c r="P1864" i="3"/>
  <c r="O1864" i="3"/>
  <c r="AG1863" i="3"/>
  <c r="R1863" i="3"/>
  <c r="Q1863" i="3"/>
  <c r="AH1863" i="3" s="1"/>
  <c r="P1863" i="3"/>
  <c r="O1863" i="3"/>
  <c r="AG1862" i="3"/>
  <c r="R1862" i="3"/>
  <c r="Q1862" i="3"/>
  <c r="AH1862" i="3" s="1"/>
  <c r="P1862" i="3"/>
  <c r="O1862" i="3"/>
  <c r="I1862" i="3"/>
  <c r="AG1861" i="3"/>
  <c r="R1861" i="3"/>
  <c r="Q1861" i="3"/>
  <c r="P1861" i="3"/>
  <c r="O1861" i="3"/>
  <c r="AG1860" i="3"/>
  <c r="R1860" i="3"/>
  <c r="Q1860" i="3"/>
  <c r="P1860" i="3"/>
  <c r="O1860" i="3"/>
  <c r="AG1859" i="3"/>
  <c r="R1859" i="3"/>
  <c r="Q1859" i="3"/>
  <c r="H1859" i="3" s="1"/>
  <c r="P1859" i="3"/>
  <c r="O1859" i="3"/>
  <c r="AG1858" i="3"/>
  <c r="R1858" i="3"/>
  <c r="Q1858" i="3"/>
  <c r="H1858" i="3" s="1"/>
  <c r="P1858" i="3"/>
  <c r="O1858" i="3"/>
  <c r="AG1857" i="3"/>
  <c r="R1857" i="3"/>
  <c r="Q1857" i="3"/>
  <c r="P1857" i="3"/>
  <c r="O1857" i="3"/>
  <c r="AG1856" i="3"/>
  <c r="R1856" i="3"/>
  <c r="Q1856" i="3"/>
  <c r="P1856" i="3"/>
  <c r="O1856" i="3"/>
  <c r="AG1855" i="3"/>
  <c r="R1855" i="3"/>
  <c r="Q1855" i="3"/>
  <c r="E1855" i="3" s="1"/>
  <c r="F1855" i="3" s="1"/>
  <c r="P1855" i="3"/>
  <c r="O1855" i="3"/>
  <c r="I1855" i="3"/>
  <c r="AG1854" i="3"/>
  <c r="R1854" i="3"/>
  <c r="Q1854" i="3"/>
  <c r="H1854" i="3" s="1"/>
  <c r="P1854" i="3"/>
  <c r="O1854" i="3"/>
  <c r="AG1853" i="3"/>
  <c r="R1853" i="3"/>
  <c r="Q1853" i="3"/>
  <c r="H1853" i="3" s="1"/>
  <c r="P1853" i="3"/>
  <c r="O1853" i="3"/>
  <c r="I1853" i="3"/>
  <c r="AG1852" i="3"/>
  <c r="R1852" i="3"/>
  <c r="Q1852" i="3"/>
  <c r="P1852" i="3"/>
  <c r="O1852" i="3"/>
  <c r="AG1851" i="3"/>
  <c r="R1851" i="3"/>
  <c r="Q1851" i="3"/>
  <c r="C1851" i="3" s="1"/>
  <c r="D1851" i="3" s="1"/>
  <c r="P1851" i="3"/>
  <c r="O1851" i="3"/>
  <c r="I1851" i="3"/>
  <c r="AG1850" i="3"/>
  <c r="R1850" i="3"/>
  <c r="Q1850" i="3"/>
  <c r="P1850" i="3"/>
  <c r="O1850" i="3"/>
  <c r="I1850" i="3"/>
  <c r="AG1849" i="3"/>
  <c r="R1849" i="3"/>
  <c r="Q1849" i="3"/>
  <c r="P1849" i="3"/>
  <c r="O1849" i="3"/>
  <c r="I1849" i="3"/>
  <c r="AG1848" i="3"/>
  <c r="R1848" i="3"/>
  <c r="Q1848" i="3"/>
  <c r="E1848" i="3" s="1"/>
  <c r="F1848" i="3" s="1"/>
  <c r="P1848" i="3"/>
  <c r="O1848" i="3"/>
  <c r="AG1847" i="3"/>
  <c r="R1847" i="3"/>
  <c r="Q1847" i="3"/>
  <c r="P1847" i="3"/>
  <c r="O1847" i="3"/>
  <c r="I1847" i="3"/>
  <c r="AG1846" i="3"/>
  <c r="R1846" i="3"/>
  <c r="Q1846" i="3"/>
  <c r="P1846" i="3"/>
  <c r="O1846" i="3"/>
  <c r="AG1845" i="3"/>
  <c r="R1845" i="3"/>
  <c r="Q1845" i="3"/>
  <c r="AH1845" i="3" s="1"/>
  <c r="P1845" i="3"/>
  <c r="O1845" i="3"/>
  <c r="AG1844" i="3"/>
  <c r="R1844" i="3"/>
  <c r="Q1844" i="3"/>
  <c r="P1844" i="3"/>
  <c r="O1844" i="3"/>
  <c r="I1844" i="3"/>
  <c r="AG1843" i="3"/>
  <c r="R1843" i="3"/>
  <c r="Q1843" i="3"/>
  <c r="AH1843" i="3" s="1"/>
  <c r="P1843" i="3"/>
  <c r="O1843" i="3"/>
  <c r="AG1842" i="3"/>
  <c r="R1842" i="3"/>
  <c r="Q1842" i="3"/>
  <c r="C1842" i="3" s="1"/>
  <c r="D1842" i="3" s="1"/>
  <c r="P1842" i="3"/>
  <c r="O1842" i="3"/>
  <c r="AG1841" i="3"/>
  <c r="R1841" i="3"/>
  <c r="Q1841" i="3"/>
  <c r="P1841" i="3"/>
  <c r="O1841" i="3"/>
  <c r="AG1840" i="3"/>
  <c r="R1840" i="3"/>
  <c r="Q1840" i="3"/>
  <c r="P1840" i="3"/>
  <c r="O1840" i="3"/>
  <c r="AG1839" i="3"/>
  <c r="R1839" i="3"/>
  <c r="Q1839" i="3"/>
  <c r="E1839" i="3" s="1"/>
  <c r="F1839" i="3" s="1"/>
  <c r="P1839" i="3"/>
  <c r="O1839" i="3"/>
  <c r="AG1838" i="3"/>
  <c r="R1838" i="3"/>
  <c r="Q1838" i="3"/>
  <c r="P1838" i="3"/>
  <c r="O1838" i="3"/>
  <c r="AG1837" i="3"/>
  <c r="R1837" i="3"/>
  <c r="Q1837" i="3"/>
  <c r="E1837" i="3" s="1"/>
  <c r="F1837" i="3" s="1"/>
  <c r="P1837" i="3"/>
  <c r="O1837" i="3"/>
  <c r="I1837" i="3"/>
  <c r="AG1836" i="3"/>
  <c r="R1836" i="3"/>
  <c r="Q1836" i="3"/>
  <c r="H1836" i="3" s="1"/>
  <c r="P1836" i="3"/>
  <c r="O1836" i="3"/>
  <c r="I1836" i="3"/>
  <c r="AG1835" i="3"/>
  <c r="R1835" i="3"/>
  <c r="Q1835" i="3"/>
  <c r="E1835" i="3" s="1"/>
  <c r="F1835" i="3" s="1"/>
  <c r="P1835" i="3"/>
  <c r="O1835" i="3"/>
  <c r="AG1834" i="3"/>
  <c r="R1834" i="3"/>
  <c r="Q1834" i="3"/>
  <c r="C1834" i="3" s="1"/>
  <c r="D1834" i="3" s="1"/>
  <c r="P1834" i="3"/>
  <c r="O1834" i="3"/>
  <c r="I1834" i="3"/>
  <c r="AG1833" i="3"/>
  <c r="R1833" i="3"/>
  <c r="Q1833" i="3"/>
  <c r="E1833" i="3" s="1"/>
  <c r="F1833" i="3" s="1"/>
  <c r="P1833" i="3"/>
  <c r="O1833" i="3"/>
  <c r="AG1832" i="3"/>
  <c r="R1832" i="3"/>
  <c r="Q1832" i="3"/>
  <c r="C1832" i="3" s="1"/>
  <c r="D1832" i="3" s="1"/>
  <c r="P1832" i="3"/>
  <c r="O1832" i="3"/>
  <c r="I1832" i="3"/>
  <c r="AG1831" i="3"/>
  <c r="R1831" i="3"/>
  <c r="Q1831" i="3"/>
  <c r="C1831" i="3" s="1"/>
  <c r="D1831" i="3" s="1"/>
  <c r="P1831" i="3"/>
  <c r="O1831" i="3"/>
  <c r="I1831" i="3"/>
  <c r="AG1830" i="3"/>
  <c r="R1830" i="3"/>
  <c r="Q1830" i="3"/>
  <c r="P1830" i="3"/>
  <c r="O1830" i="3"/>
  <c r="I1830" i="3"/>
  <c r="AG1829" i="3"/>
  <c r="R1829" i="3"/>
  <c r="Q1829" i="3"/>
  <c r="P1829" i="3"/>
  <c r="O1829" i="3"/>
  <c r="I1829" i="3"/>
  <c r="AG1828" i="3"/>
  <c r="R1828" i="3"/>
  <c r="Q1828" i="3"/>
  <c r="H1828" i="3" s="1"/>
  <c r="P1828" i="3"/>
  <c r="O1828" i="3"/>
  <c r="I1828" i="3"/>
  <c r="AG1827" i="3"/>
  <c r="R1827" i="3"/>
  <c r="Q1827" i="3"/>
  <c r="H1827" i="3" s="1"/>
  <c r="P1827" i="3"/>
  <c r="O1827" i="3"/>
  <c r="I1827" i="3"/>
  <c r="AG1826" i="3"/>
  <c r="R1826" i="3"/>
  <c r="Q1826" i="3"/>
  <c r="AH1826" i="3" s="1"/>
  <c r="AJ1826" i="3" s="1"/>
  <c r="P1826" i="3"/>
  <c r="O1826" i="3"/>
  <c r="AG1825" i="3"/>
  <c r="R1825" i="3"/>
  <c r="Q1825" i="3"/>
  <c r="AH1825" i="3" s="1"/>
  <c r="P1825" i="3"/>
  <c r="O1825" i="3"/>
  <c r="I1825" i="3"/>
  <c r="AG1824" i="3"/>
  <c r="R1824" i="3"/>
  <c r="Q1824" i="3"/>
  <c r="E1824" i="3" s="1"/>
  <c r="F1824" i="3" s="1"/>
  <c r="P1824" i="3"/>
  <c r="O1824" i="3"/>
  <c r="I1824" i="3"/>
  <c r="AG1823" i="3"/>
  <c r="R1823" i="3"/>
  <c r="Q1823" i="3"/>
  <c r="P1823" i="3"/>
  <c r="O1823" i="3"/>
  <c r="AG1822" i="3"/>
  <c r="R1822" i="3"/>
  <c r="Q1822" i="3"/>
  <c r="E1822" i="3" s="1"/>
  <c r="F1822" i="3" s="1"/>
  <c r="P1822" i="3"/>
  <c r="O1822" i="3"/>
  <c r="I1822" i="3"/>
  <c r="AG1821" i="3"/>
  <c r="R1821" i="3"/>
  <c r="Q1821" i="3"/>
  <c r="H1821" i="3" s="1"/>
  <c r="P1821" i="3"/>
  <c r="O1821" i="3"/>
  <c r="AG1820" i="3"/>
  <c r="R1820" i="3"/>
  <c r="Q1820" i="3"/>
  <c r="AH1820" i="3" s="1"/>
  <c r="P1820" i="3"/>
  <c r="O1820" i="3"/>
  <c r="I1820" i="3"/>
  <c r="AG1819" i="3"/>
  <c r="R1819" i="3"/>
  <c r="Q1819" i="3"/>
  <c r="AH1819" i="3" s="1"/>
  <c r="P1819" i="3"/>
  <c r="O1819" i="3"/>
  <c r="I1819" i="3"/>
  <c r="AG1818" i="3"/>
  <c r="R1818" i="3"/>
  <c r="Q1818" i="3"/>
  <c r="P1818" i="3"/>
  <c r="O1818" i="3"/>
  <c r="I1818" i="3"/>
  <c r="AG1817" i="3"/>
  <c r="R1817" i="3"/>
  <c r="Q1817" i="3"/>
  <c r="P1817" i="3"/>
  <c r="O1817" i="3"/>
  <c r="I1817" i="3"/>
  <c r="AG1816" i="3"/>
  <c r="R1816" i="3"/>
  <c r="Q1816" i="3"/>
  <c r="H1816" i="3" s="1"/>
  <c r="P1816" i="3"/>
  <c r="O1816" i="3"/>
  <c r="AG1815" i="3"/>
  <c r="R1815" i="3"/>
  <c r="Q1815" i="3"/>
  <c r="P1815" i="3"/>
  <c r="O1815" i="3"/>
  <c r="AG1814" i="3"/>
  <c r="R1814" i="3"/>
  <c r="Q1814" i="3"/>
  <c r="AH1814" i="3" s="1"/>
  <c r="P1814" i="3"/>
  <c r="O1814" i="3"/>
  <c r="AG1813" i="3"/>
  <c r="R1813" i="3"/>
  <c r="Q1813" i="3"/>
  <c r="H1813" i="3" s="1"/>
  <c r="P1813" i="3"/>
  <c r="O1813" i="3"/>
  <c r="AG1812" i="3"/>
  <c r="R1812" i="3"/>
  <c r="Q1812" i="3"/>
  <c r="AH1812" i="3" s="1"/>
  <c r="P1812" i="3"/>
  <c r="O1812" i="3"/>
  <c r="I1812" i="3"/>
  <c r="AG1811" i="3"/>
  <c r="R1811" i="3"/>
  <c r="Q1811" i="3"/>
  <c r="H1811" i="3" s="1"/>
  <c r="P1811" i="3"/>
  <c r="O1811" i="3"/>
  <c r="AG1810" i="3"/>
  <c r="R1810" i="3"/>
  <c r="Q1810" i="3"/>
  <c r="E1810" i="3" s="1"/>
  <c r="F1810" i="3" s="1"/>
  <c r="P1810" i="3"/>
  <c r="O1810" i="3"/>
  <c r="AG1809" i="3"/>
  <c r="R1809" i="3"/>
  <c r="Q1809" i="3"/>
  <c r="E1809" i="3" s="1"/>
  <c r="F1809" i="3" s="1"/>
  <c r="P1809" i="3"/>
  <c r="O1809" i="3"/>
  <c r="AG1808" i="3"/>
  <c r="R1808" i="3"/>
  <c r="Q1808" i="3"/>
  <c r="P1808" i="3"/>
  <c r="O1808" i="3"/>
  <c r="AG1807" i="3"/>
  <c r="R1807" i="3"/>
  <c r="Q1807" i="3"/>
  <c r="AH1807" i="3" s="1"/>
  <c r="P1807" i="3"/>
  <c r="O1807" i="3"/>
  <c r="AG1806" i="3"/>
  <c r="R1806" i="3"/>
  <c r="Q1806" i="3"/>
  <c r="P1806" i="3"/>
  <c r="O1806" i="3"/>
  <c r="AG1805" i="3"/>
  <c r="R1805" i="3"/>
  <c r="Q1805" i="3"/>
  <c r="H1805" i="3" s="1"/>
  <c r="P1805" i="3"/>
  <c r="O1805" i="3"/>
  <c r="AG1804" i="3"/>
  <c r="R1804" i="3"/>
  <c r="Q1804" i="3"/>
  <c r="P1804" i="3"/>
  <c r="O1804" i="3"/>
  <c r="AG1803" i="3"/>
  <c r="R1803" i="3"/>
  <c r="Q1803" i="3"/>
  <c r="P1803" i="3"/>
  <c r="O1803" i="3"/>
  <c r="I1803" i="3"/>
  <c r="AG1802" i="3"/>
  <c r="R1802" i="3"/>
  <c r="Q1802" i="3"/>
  <c r="P1802" i="3"/>
  <c r="O1802" i="3"/>
  <c r="I1802" i="3"/>
  <c r="AG1801" i="3"/>
  <c r="R1801" i="3"/>
  <c r="Q1801" i="3"/>
  <c r="C1801" i="3" s="1"/>
  <c r="D1801" i="3" s="1"/>
  <c r="P1801" i="3"/>
  <c r="O1801" i="3"/>
  <c r="AG1800" i="3"/>
  <c r="R1800" i="3"/>
  <c r="Q1800" i="3"/>
  <c r="AH1800" i="3" s="1"/>
  <c r="P1800" i="3"/>
  <c r="O1800" i="3"/>
  <c r="AG1799" i="3"/>
  <c r="R1799" i="3"/>
  <c r="Q1799" i="3"/>
  <c r="P1799" i="3"/>
  <c r="O1799" i="3"/>
  <c r="I1799" i="3"/>
  <c r="AG1798" i="3"/>
  <c r="R1798" i="3"/>
  <c r="Q1798" i="3"/>
  <c r="P1798" i="3"/>
  <c r="O1798" i="3"/>
  <c r="I1798" i="3"/>
  <c r="AG1797" i="3"/>
  <c r="R1797" i="3"/>
  <c r="Q1797" i="3"/>
  <c r="P1797" i="3"/>
  <c r="O1797" i="3"/>
  <c r="AG1796" i="3"/>
  <c r="R1796" i="3"/>
  <c r="Q1796" i="3"/>
  <c r="P1796" i="3"/>
  <c r="O1796" i="3"/>
  <c r="AG1795" i="3"/>
  <c r="R1795" i="3"/>
  <c r="Q1795" i="3"/>
  <c r="E1795" i="3" s="1"/>
  <c r="F1795" i="3" s="1"/>
  <c r="P1795" i="3"/>
  <c r="O1795" i="3"/>
  <c r="AG1794" i="3"/>
  <c r="R1794" i="3"/>
  <c r="Q1794" i="3"/>
  <c r="P1794" i="3"/>
  <c r="O1794" i="3"/>
  <c r="AG1793" i="3"/>
  <c r="R1793" i="3"/>
  <c r="Q1793" i="3"/>
  <c r="AH1793" i="3" s="1"/>
  <c r="P1793" i="3"/>
  <c r="O1793" i="3"/>
  <c r="AG1792" i="3"/>
  <c r="R1792" i="3"/>
  <c r="Q1792" i="3"/>
  <c r="AH1792" i="3" s="1"/>
  <c r="P1792" i="3"/>
  <c r="O1792" i="3"/>
  <c r="AG1791" i="3"/>
  <c r="R1791" i="3"/>
  <c r="Q1791" i="3"/>
  <c r="P1791" i="3"/>
  <c r="O1791" i="3"/>
  <c r="I1791" i="3"/>
  <c r="AG1790" i="3"/>
  <c r="R1790" i="3"/>
  <c r="Q1790" i="3"/>
  <c r="C1790" i="3" s="1"/>
  <c r="D1790" i="3" s="1"/>
  <c r="P1790" i="3"/>
  <c r="O1790" i="3"/>
  <c r="I1790" i="3"/>
  <c r="AG1789" i="3"/>
  <c r="R1789" i="3"/>
  <c r="Q1789" i="3"/>
  <c r="C1789" i="3" s="1"/>
  <c r="D1789" i="3" s="1"/>
  <c r="P1789" i="3"/>
  <c r="O1789" i="3"/>
  <c r="AG1788" i="3"/>
  <c r="R1788" i="3"/>
  <c r="Q1788" i="3"/>
  <c r="P1788" i="3"/>
  <c r="O1788" i="3"/>
  <c r="AG1787" i="3"/>
  <c r="R1787" i="3"/>
  <c r="Q1787" i="3"/>
  <c r="H1787" i="3" s="1"/>
  <c r="P1787" i="3"/>
  <c r="O1787" i="3"/>
  <c r="AG1786" i="3"/>
  <c r="R1786" i="3"/>
  <c r="Q1786" i="3"/>
  <c r="C1786" i="3" s="1"/>
  <c r="D1786" i="3" s="1"/>
  <c r="P1786" i="3"/>
  <c r="O1786" i="3"/>
  <c r="AG1785" i="3"/>
  <c r="R1785" i="3"/>
  <c r="Q1785" i="3"/>
  <c r="H1785" i="3" s="1"/>
  <c r="P1785" i="3"/>
  <c r="O1785" i="3"/>
  <c r="AG1784" i="3"/>
  <c r="R1784" i="3"/>
  <c r="Q1784" i="3"/>
  <c r="AH1784" i="3" s="1"/>
  <c r="P1784" i="3"/>
  <c r="O1784" i="3"/>
  <c r="AG1783" i="3"/>
  <c r="R1783" i="3"/>
  <c r="Q1783" i="3"/>
  <c r="H1783" i="3" s="1"/>
  <c r="P1783" i="3"/>
  <c r="O1783" i="3"/>
  <c r="I1783" i="3"/>
  <c r="AG1782" i="3"/>
  <c r="R1782" i="3"/>
  <c r="Q1782" i="3"/>
  <c r="AH1782" i="3" s="1"/>
  <c r="AL1782" i="3" s="1"/>
  <c r="P1782" i="3"/>
  <c r="O1782" i="3"/>
  <c r="AG1781" i="3"/>
  <c r="R1781" i="3"/>
  <c r="Q1781" i="3"/>
  <c r="AH1781" i="3" s="1"/>
  <c r="P1781" i="3"/>
  <c r="O1781" i="3"/>
  <c r="AG1780" i="3"/>
  <c r="R1780" i="3"/>
  <c r="Q1780" i="3"/>
  <c r="AH1780" i="3" s="1"/>
  <c r="P1780" i="3"/>
  <c r="O1780" i="3"/>
  <c r="I1780" i="3"/>
  <c r="AG1779" i="3"/>
  <c r="R1779" i="3"/>
  <c r="Q1779" i="3"/>
  <c r="P1779" i="3"/>
  <c r="O1779" i="3"/>
  <c r="I1779" i="3"/>
  <c r="AG1778" i="3"/>
  <c r="R1778" i="3"/>
  <c r="Q1778" i="3"/>
  <c r="AH1778" i="3" s="1"/>
  <c r="AJ1778" i="3" s="1"/>
  <c r="P1778" i="3"/>
  <c r="O1778" i="3"/>
  <c r="AG1777" i="3"/>
  <c r="R1777" i="3"/>
  <c r="Q1777" i="3"/>
  <c r="H1777" i="3" s="1"/>
  <c r="P1777" i="3"/>
  <c r="O1777" i="3"/>
  <c r="I1777" i="3"/>
  <c r="AG1776" i="3"/>
  <c r="R1776" i="3"/>
  <c r="Q1776" i="3"/>
  <c r="E1776" i="3" s="1"/>
  <c r="F1776" i="3" s="1"/>
  <c r="P1776" i="3"/>
  <c r="O1776" i="3"/>
  <c r="AG1775" i="3"/>
  <c r="R1775" i="3"/>
  <c r="Q1775" i="3"/>
  <c r="C1775" i="3" s="1"/>
  <c r="D1775" i="3" s="1"/>
  <c r="P1775" i="3"/>
  <c r="O1775" i="3"/>
  <c r="AG1774" i="3"/>
  <c r="R1774" i="3"/>
  <c r="Q1774" i="3"/>
  <c r="P1774" i="3"/>
  <c r="O1774" i="3"/>
  <c r="AG1773" i="3"/>
  <c r="R1773" i="3"/>
  <c r="Q1773" i="3"/>
  <c r="E1773" i="3" s="1"/>
  <c r="F1773" i="3" s="1"/>
  <c r="P1773" i="3"/>
  <c r="O1773" i="3"/>
  <c r="AG1772" i="3"/>
  <c r="R1772" i="3"/>
  <c r="Q1772" i="3"/>
  <c r="AH1772" i="3" s="1"/>
  <c r="P1772" i="3"/>
  <c r="O1772" i="3"/>
  <c r="AG1771" i="3"/>
  <c r="R1771" i="3"/>
  <c r="Q1771" i="3"/>
  <c r="P1771" i="3"/>
  <c r="O1771" i="3"/>
  <c r="AG1770" i="3"/>
  <c r="R1770" i="3"/>
  <c r="Q1770" i="3"/>
  <c r="P1770" i="3"/>
  <c r="O1770" i="3"/>
  <c r="AG1769" i="3"/>
  <c r="R1769" i="3"/>
  <c r="Q1769" i="3"/>
  <c r="C1769" i="3" s="1"/>
  <c r="D1769" i="3" s="1"/>
  <c r="P1769" i="3"/>
  <c r="O1769" i="3"/>
  <c r="AG1768" i="3"/>
  <c r="R1768" i="3"/>
  <c r="Q1768" i="3"/>
  <c r="E1768" i="3" s="1"/>
  <c r="F1768" i="3" s="1"/>
  <c r="P1768" i="3"/>
  <c r="O1768" i="3"/>
  <c r="AG1767" i="3"/>
  <c r="R1767" i="3"/>
  <c r="Q1767" i="3"/>
  <c r="E1767" i="3" s="1"/>
  <c r="F1767" i="3" s="1"/>
  <c r="P1767" i="3"/>
  <c r="O1767" i="3"/>
  <c r="AG1766" i="3"/>
  <c r="R1766" i="3"/>
  <c r="Q1766" i="3"/>
  <c r="H1766" i="3" s="1"/>
  <c r="P1766" i="3"/>
  <c r="O1766" i="3"/>
  <c r="AG1765" i="3"/>
  <c r="R1765" i="3"/>
  <c r="Q1765" i="3"/>
  <c r="E1765" i="3" s="1"/>
  <c r="F1765" i="3" s="1"/>
  <c r="P1765" i="3"/>
  <c r="O1765" i="3"/>
  <c r="AG1764" i="3"/>
  <c r="R1764" i="3"/>
  <c r="Q1764" i="3"/>
  <c r="AH1764" i="3" s="1"/>
  <c r="AL1764" i="3" s="1"/>
  <c r="P1764" i="3"/>
  <c r="O1764" i="3"/>
  <c r="AG1763" i="3"/>
  <c r="R1763" i="3"/>
  <c r="Q1763" i="3"/>
  <c r="C1763" i="3" s="1"/>
  <c r="D1763" i="3" s="1"/>
  <c r="P1763" i="3"/>
  <c r="O1763" i="3"/>
  <c r="AG1762" i="3"/>
  <c r="R1762" i="3"/>
  <c r="Q1762" i="3"/>
  <c r="P1762" i="3"/>
  <c r="O1762" i="3"/>
  <c r="AG1761" i="3"/>
  <c r="R1761" i="3"/>
  <c r="Q1761" i="3"/>
  <c r="P1761" i="3"/>
  <c r="O1761" i="3"/>
  <c r="AG1760" i="3"/>
  <c r="R1760" i="3"/>
  <c r="Q1760" i="3"/>
  <c r="P1760" i="3"/>
  <c r="O1760" i="3"/>
  <c r="AG1759" i="3"/>
  <c r="R1759" i="3"/>
  <c r="Q1759" i="3"/>
  <c r="P1759" i="3"/>
  <c r="O1759" i="3"/>
  <c r="AG1758" i="3"/>
  <c r="R1758" i="3"/>
  <c r="Q1758" i="3"/>
  <c r="C1758" i="3" s="1"/>
  <c r="D1758" i="3" s="1"/>
  <c r="P1758" i="3"/>
  <c r="O1758" i="3"/>
  <c r="AG1757" i="3"/>
  <c r="R1757" i="3"/>
  <c r="Q1757" i="3"/>
  <c r="AH1757" i="3" s="1"/>
  <c r="P1757" i="3"/>
  <c r="O1757" i="3"/>
  <c r="AG1756" i="3"/>
  <c r="R1756" i="3"/>
  <c r="Q1756" i="3"/>
  <c r="AH1756" i="3" s="1"/>
  <c r="P1756" i="3"/>
  <c r="O1756" i="3"/>
  <c r="AG1755" i="3"/>
  <c r="R1755" i="3"/>
  <c r="Q1755" i="3"/>
  <c r="AH1755" i="3" s="1"/>
  <c r="P1755" i="3"/>
  <c r="O1755" i="3"/>
  <c r="AG1754" i="3"/>
  <c r="R1754" i="3"/>
  <c r="Q1754" i="3"/>
  <c r="E1754" i="3" s="1"/>
  <c r="F1754" i="3" s="1"/>
  <c r="P1754" i="3"/>
  <c r="O1754" i="3"/>
  <c r="AG1753" i="3"/>
  <c r="R1753" i="3"/>
  <c r="Q1753" i="3"/>
  <c r="AH1753" i="3" s="1"/>
  <c r="AL1753" i="3" s="1"/>
  <c r="P1753" i="3"/>
  <c r="O1753" i="3"/>
  <c r="AG1752" i="3"/>
  <c r="R1752" i="3"/>
  <c r="Q1752" i="3"/>
  <c r="P1752" i="3"/>
  <c r="O1752" i="3"/>
  <c r="AG1751" i="3"/>
  <c r="R1751" i="3"/>
  <c r="Q1751" i="3"/>
  <c r="H1751" i="3" s="1"/>
  <c r="P1751" i="3"/>
  <c r="O1751" i="3"/>
  <c r="AG1750" i="3"/>
  <c r="R1750" i="3"/>
  <c r="Q1750" i="3"/>
  <c r="AH1750" i="3" s="1"/>
  <c r="P1750" i="3"/>
  <c r="O1750" i="3"/>
  <c r="AG1749" i="3"/>
  <c r="R1749" i="3"/>
  <c r="Q1749" i="3"/>
  <c r="E1749" i="3" s="1"/>
  <c r="F1749" i="3" s="1"/>
  <c r="P1749" i="3"/>
  <c r="O1749" i="3"/>
  <c r="AG1748" i="3"/>
  <c r="R1748" i="3"/>
  <c r="Q1748" i="3"/>
  <c r="P1748" i="3"/>
  <c r="O1748" i="3"/>
  <c r="AG1747" i="3"/>
  <c r="R1747" i="3"/>
  <c r="Q1747" i="3"/>
  <c r="AH1747" i="3" s="1"/>
  <c r="P1747" i="3"/>
  <c r="O1747" i="3"/>
  <c r="AG1746" i="3"/>
  <c r="R1746" i="3"/>
  <c r="Q1746" i="3"/>
  <c r="P1746" i="3"/>
  <c r="O1746" i="3"/>
  <c r="AG1745" i="3"/>
  <c r="R1745" i="3"/>
  <c r="Q1745" i="3"/>
  <c r="P1745" i="3"/>
  <c r="O1745" i="3"/>
  <c r="AG1744" i="3"/>
  <c r="R1744" i="3"/>
  <c r="Q1744" i="3"/>
  <c r="P1744" i="3"/>
  <c r="O1744" i="3"/>
  <c r="AG1743" i="3"/>
  <c r="R1743" i="3"/>
  <c r="Q1743" i="3"/>
  <c r="C1743" i="3" s="1"/>
  <c r="D1743" i="3" s="1"/>
  <c r="P1743" i="3"/>
  <c r="O1743" i="3"/>
  <c r="AG1742" i="3"/>
  <c r="R1742" i="3"/>
  <c r="Q1742" i="3"/>
  <c r="AH1742" i="3" s="1"/>
  <c r="P1742" i="3"/>
  <c r="O1742" i="3"/>
  <c r="AG1741" i="3"/>
  <c r="R1741" i="3"/>
  <c r="Q1741" i="3"/>
  <c r="C1741" i="3" s="1"/>
  <c r="D1741" i="3" s="1"/>
  <c r="P1741" i="3"/>
  <c r="O1741" i="3"/>
  <c r="AG1740" i="3"/>
  <c r="R1740" i="3"/>
  <c r="Q1740" i="3"/>
  <c r="AH1740" i="3" s="1"/>
  <c r="P1740" i="3"/>
  <c r="O1740" i="3"/>
  <c r="I1740" i="3"/>
  <c r="AG1739" i="3"/>
  <c r="R1739" i="3"/>
  <c r="Q1739" i="3"/>
  <c r="AH1739" i="3" s="1"/>
  <c r="P1739" i="3"/>
  <c r="O1739" i="3"/>
  <c r="AG1738" i="3"/>
  <c r="R1738" i="3"/>
  <c r="Q1738" i="3"/>
  <c r="AH1738" i="3" s="1"/>
  <c r="P1738" i="3"/>
  <c r="O1738" i="3"/>
  <c r="I1738" i="3"/>
  <c r="AG1737" i="3"/>
  <c r="R1737" i="3"/>
  <c r="Q1737" i="3"/>
  <c r="H1737" i="3" s="1"/>
  <c r="P1737" i="3"/>
  <c r="O1737" i="3"/>
  <c r="AG1736" i="3"/>
  <c r="R1736" i="3"/>
  <c r="Q1736" i="3"/>
  <c r="C1736" i="3" s="1"/>
  <c r="D1736" i="3" s="1"/>
  <c r="P1736" i="3"/>
  <c r="O1736" i="3"/>
  <c r="I1736" i="3"/>
  <c r="AG1735" i="3"/>
  <c r="R1735" i="3"/>
  <c r="Q1735" i="3"/>
  <c r="P1735" i="3"/>
  <c r="O1735" i="3"/>
  <c r="AG1734" i="3"/>
  <c r="R1734" i="3"/>
  <c r="Q1734" i="3"/>
  <c r="AH1734" i="3" s="1"/>
  <c r="P1734" i="3"/>
  <c r="O1734" i="3"/>
  <c r="AG1733" i="3"/>
  <c r="R1733" i="3"/>
  <c r="Q1733" i="3"/>
  <c r="E1733" i="3" s="1"/>
  <c r="F1733" i="3" s="1"/>
  <c r="P1733" i="3"/>
  <c r="O1733" i="3"/>
  <c r="AG1732" i="3"/>
  <c r="R1732" i="3"/>
  <c r="Q1732" i="3"/>
  <c r="E1732" i="3" s="1"/>
  <c r="F1732" i="3" s="1"/>
  <c r="P1732" i="3"/>
  <c r="O1732" i="3"/>
  <c r="AG1731" i="3"/>
  <c r="R1731" i="3"/>
  <c r="Q1731" i="3"/>
  <c r="E1731" i="3" s="1"/>
  <c r="F1731" i="3" s="1"/>
  <c r="P1731" i="3"/>
  <c r="O1731" i="3"/>
  <c r="I1731" i="3"/>
  <c r="AG1730" i="3"/>
  <c r="R1730" i="3"/>
  <c r="Q1730" i="3"/>
  <c r="P1730" i="3"/>
  <c r="O1730" i="3"/>
  <c r="I1730" i="3"/>
  <c r="AG1729" i="3"/>
  <c r="R1729" i="3"/>
  <c r="Q1729" i="3"/>
  <c r="P1729" i="3"/>
  <c r="O1729" i="3"/>
  <c r="AG1728" i="3"/>
  <c r="R1728" i="3"/>
  <c r="Q1728" i="3"/>
  <c r="AH1728" i="3" s="1"/>
  <c r="P1728" i="3"/>
  <c r="O1728" i="3"/>
  <c r="I1728" i="3"/>
  <c r="AG1727" i="3"/>
  <c r="R1727" i="3"/>
  <c r="Q1727" i="3"/>
  <c r="AH1727" i="3" s="1"/>
  <c r="P1727" i="3"/>
  <c r="O1727" i="3"/>
  <c r="AG1726" i="3"/>
  <c r="R1726" i="3"/>
  <c r="Q1726" i="3"/>
  <c r="C1726" i="3" s="1"/>
  <c r="D1726" i="3" s="1"/>
  <c r="P1726" i="3"/>
  <c r="O1726" i="3"/>
  <c r="I1726" i="3"/>
  <c r="AG1725" i="3"/>
  <c r="R1725" i="3"/>
  <c r="Q1725" i="3"/>
  <c r="P1725" i="3"/>
  <c r="O1725" i="3"/>
  <c r="AG1724" i="3"/>
  <c r="R1724" i="3"/>
  <c r="Q1724" i="3"/>
  <c r="P1724" i="3"/>
  <c r="O1724" i="3"/>
  <c r="AG1723" i="3"/>
  <c r="R1723" i="3"/>
  <c r="Q1723" i="3"/>
  <c r="AH1723" i="3" s="1"/>
  <c r="P1723" i="3"/>
  <c r="O1723" i="3"/>
  <c r="I1723" i="3"/>
  <c r="AG1722" i="3"/>
  <c r="R1722" i="3"/>
  <c r="Q1722" i="3"/>
  <c r="P1722" i="3"/>
  <c r="O1722" i="3"/>
  <c r="AG1721" i="3"/>
  <c r="R1721" i="3"/>
  <c r="Q1721" i="3"/>
  <c r="P1721" i="3"/>
  <c r="O1721" i="3"/>
  <c r="I1721" i="3"/>
  <c r="AG1720" i="3"/>
  <c r="R1720" i="3"/>
  <c r="Q1720" i="3"/>
  <c r="H1720" i="3" s="1"/>
  <c r="P1720" i="3"/>
  <c r="O1720" i="3"/>
  <c r="AG1719" i="3"/>
  <c r="R1719" i="3"/>
  <c r="Q1719" i="3"/>
  <c r="AH1719" i="3" s="1"/>
  <c r="P1719" i="3"/>
  <c r="O1719" i="3"/>
  <c r="AG1718" i="3"/>
  <c r="R1718" i="3"/>
  <c r="Q1718" i="3"/>
  <c r="C1718" i="3" s="1"/>
  <c r="D1718" i="3" s="1"/>
  <c r="P1718" i="3"/>
  <c r="O1718" i="3"/>
  <c r="AG1717" i="3"/>
  <c r="R1717" i="3"/>
  <c r="Q1717" i="3"/>
  <c r="H1717" i="3" s="1"/>
  <c r="P1717" i="3"/>
  <c r="O1717" i="3"/>
  <c r="AG1716" i="3"/>
  <c r="R1716" i="3"/>
  <c r="Q1716" i="3"/>
  <c r="P1716" i="3"/>
  <c r="O1716" i="3"/>
  <c r="AG1715" i="3"/>
  <c r="R1715" i="3"/>
  <c r="Q1715" i="3"/>
  <c r="E1715" i="3" s="1"/>
  <c r="F1715" i="3" s="1"/>
  <c r="P1715" i="3"/>
  <c r="O1715" i="3"/>
  <c r="AG1714" i="3"/>
  <c r="R1714" i="3"/>
  <c r="Q1714" i="3"/>
  <c r="AH1714" i="3" s="1"/>
  <c r="P1714" i="3"/>
  <c r="O1714" i="3"/>
  <c r="AG1713" i="3"/>
  <c r="R1713" i="3"/>
  <c r="Q1713" i="3"/>
  <c r="AH1713" i="3" s="1"/>
  <c r="P1713" i="3"/>
  <c r="O1713" i="3"/>
  <c r="AG1712" i="3"/>
  <c r="R1712" i="3"/>
  <c r="Q1712" i="3"/>
  <c r="H1712" i="3" s="1"/>
  <c r="P1712" i="3"/>
  <c r="O1712" i="3"/>
  <c r="AG1711" i="3"/>
  <c r="R1711" i="3"/>
  <c r="Q1711" i="3"/>
  <c r="AH1711" i="3" s="1"/>
  <c r="P1711" i="3"/>
  <c r="O1711" i="3"/>
  <c r="I1711" i="3"/>
  <c r="AG1710" i="3"/>
  <c r="R1710" i="3"/>
  <c r="Q1710" i="3"/>
  <c r="P1710" i="3"/>
  <c r="O1710" i="3"/>
  <c r="AG1709" i="3"/>
  <c r="R1709" i="3"/>
  <c r="Q1709" i="3"/>
  <c r="AH1709" i="3" s="1"/>
  <c r="P1709" i="3"/>
  <c r="O1709" i="3"/>
  <c r="I1709" i="3"/>
  <c r="AG1708" i="3"/>
  <c r="R1708" i="3"/>
  <c r="Q1708" i="3"/>
  <c r="P1708" i="3"/>
  <c r="O1708" i="3"/>
  <c r="AG1707" i="3"/>
  <c r="R1707" i="3"/>
  <c r="Q1707" i="3"/>
  <c r="P1707" i="3"/>
  <c r="O1707" i="3"/>
  <c r="I1707" i="3"/>
  <c r="AG1706" i="3"/>
  <c r="R1706" i="3"/>
  <c r="Q1706" i="3"/>
  <c r="C1706" i="3" s="1"/>
  <c r="D1706" i="3" s="1"/>
  <c r="P1706" i="3"/>
  <c r="O1706" i="3"/>
  <c r="AG1705" i="3"/>
  <c r="R1705" i="3"/>
  <c r="Q1705" i="3"/>
  <c r="E1705" i="3" s="1"/>
  <c r="F1705" i="3" s="1"/>
  <c r="P1705" i="3"/>
  <c r="O1705" i="3"/>
  <c r="AG1704" i="3"/>
  <c r="R1704" i="3"/>
  <c r="Q1704" i="3"/>
  <c r="AH1704" i="3" s="1"/>
  <c r="P1704" i="3"/>
  <c r="O1704" i="3"/>
  <c r="AG1703" i="3"/>
  <c r="R1703" i="3"/>
  <c r="Q1703" i="3"/>
  <c r="P1703" i="3"/>
  <c r="O1703" i="3"/>
  <c r="AG1702" i="3"/>
  <c r="R1702" i="3"/>
  <c r="Q1702" i="3"/>
  <c r="H1702" i="3" s="1"/>
  <c r="P1702" i="3"/>
  <c r="O1702" i="3"/>
  <c r="AG1701" i="3"/>
  <c r="R1701" i="3"/>
  <c r="Q1701" i="3"/>
  <c r="AH1701" i="3" s="1"/>
  <c r="P1701" i="3"/>
  <c r="O1701" i="3"/>
  <c r="I1701" i="3"/>
  <c r="AG1700" i="3"/>
  <c r="R1700" i="3"/>
  <c r="Q1700" i="3"/>
  <c r="P1700" i="3"/>
  <c r="O1700" i="3"/>
  <c r="AG1699" i="3"/>
  <c r="R1699" i="3"/>
  <c r="Q1699" i="3"/>
  <c r="P1699" i="3"/>
  <c r="O1699" i="3"/>
  <c r="AG1698" i="3"/>
  <c r="R1698" i="3"/>
  <c r="Q1698" i="3"/>
  <c r="P1698" i="3"/>
  <c r="O1698" i="3"/>
  <c r="AG1697" i="3"/>
  <c r="R1697" i="3"/>
  <c r="Q1697" i="3"/>
  <c r="C1697" i="3" s="1"/>
  <c r="D1697" i="3" s="1"/>
  <c r="P1697" i="3"/>
  <c r="O1697" i="3"/>
  <c r="AG1696" i="3"/>
  <c r="R1696" i="3"/>
  <c r="Q1696" i="3"/>
  <c r="E1696" i="3" s="1"/>
  <c r="F1696" i="3" s="1"/>
  <c r="P1696" i="3"/>
  <c r="O1696" i="3"/>
  <c r="AG1695" i="3"/>
  <c r="R1695" i="3"/>
  <c r="Q1695" i="3"/>
  <c r="H1695" i="3" s="1"/>
  <c r="P1695" i="3"/>
  <c r="O1695" i="3"/>
  <c r="I1695" i="3"/>
  <c r="AG1694" i="3"/>
  <c r="R1694" i="3"/>
  <c r="Q1694" i="3"/>
  <c r="H1694" i="3" s="1"/>
  <c r="P1694" i="3"/>
  <c r="O1694" i="3"/>
  <c r="AG1693" i="3"/>
  <c r="R1693" i="3"/>
  <c r="Q1693" i="3"/>
  <c r="AH1693" i="3" s="1"/>
  <c r="P1693" i="3"/>
  <c r="O1693" i="3"/>
  <c r="I1693" i="3"/>
  <c r="AG1692" i="3"/>
  <c r="R1692" i="3"/>
  <c r="Q1692" i="3"/>
  <c r="AH1692" i="3" s="1"/>
  <c r="P1692" i="3"/>
  <c r="O1692" i="3"/>
  <c r="AG1691" i="3"/>
  <c r="R1691" i="3"/>
  <c r="Q1691" i="3"/>
  <c r="E1691" i="3" s="1"/>
  <c r="F1691" i="3" s="1"/>
  <c r="P1691" i="3"/>
  <c r="O1691" i="3"/>
  <c r="I1691" i="3"/>
  <c r="AG1690" i="3"/>
  <c r="R1690" i="3"/>
  <c r="Q1690" i="3"/>
  <c r="P1690" i="3"/>
  <c r="O1690" i="3"/>
  <c r="AG1689" i="3"/>
  <c r="R1689" i="3"/>
  <c r="Q1689" i="3"/>
  <c r="C1689" i="3" s="1"/>
  <c r="D1689" i="3" s="1"/>
  <c r="P1689" i="3"/>
  <c r="O1689" i="3"/>
  <c r="AG1688" i="3"/>
  <c r="R1688" i="3"/>
  <c r="Q1688" i="3"/>
  <c r="AH1688" i="3" s="1"/>
  <c r="P1688" i="3"/>
  <c r="O1688" i="3"/>
  <c r="AG1687" i="3"/>
  <c r="R1687" i="3"/>
  <c r="Q1687" i="3"/>
  <c r="H1687" i="3" s="1"/>
  <c r="P1687" i="3"/>
  <c r="O1687" i="3"/>
  <c r="AG1686" i="3"/>
  <c r="R1686" i="3"/>
  <c r="Q1686" i="3"/>
  <c r="H1686" i="3" s="1"/>
  <c r="P1686" i="3"/>
  <c r="O1686" i="3"/>
  <c r="AG1685" i="3"/>
  <c r="R1685" i="3"/>
  <c r="Q1685" i="3"/>
  <c r="C1685" i="3" s="1"/>
  <c r="D1685" i="3" s="1"/>
  <c r="P1685" i="3"/>
  <c r="O1685" i="3"/>
  <c r="AG1684" i="3"/>
  <c r="R1684" i="3"/>
  <c r="Q1684" i="3"/>
  <c r="P1684" i="3"/>
  <c r="O1684" i="3"/>
  <c r="AG1683" i="3"/>
  <c r="R1683" i="3"/>
  <c r="Q1683" i="3"/>
  <c r="AH1683" i="3" s="1"/>
  <c r="P1683" i="3"/>
  <c r="O1683" i="3"/>
  <c r="AG1682" i="3"/>
  <c r="R1682" i="3"/>
  <c r="Q1682" i="3"/>
  <c r="C1682" i="3" s="1"/>
  <c r="D1682" i="3" s="1"/>
  <c r="P1682" i="3"/>
  <c r="O1682" i="3"/>
  <c r="AG1681" i="3"/>
  <c r="R1681" i="3"/>
  <c r="Q1681" i="3"/>
  <c r="P1681" i="3"/>
  <c r="O1681" i="3"/>
  <c r="AG1680" i="3"/>
  <c r="R1680" i="3"/>
  <c r="Q1680" i="3"/>
  <c r="H1680" i="3" s="1"/>
  <c r="P1680" i="3"/>
  <c r="O1680" i="3"/>
  <c r="AG1679" i="3"/>
  <c r="R1679" i="3"/>
  <c r="Q1679" i="3"/>
  <c r="E1679" i="3" s="1"/>
  <c r="F1679" i="3" s="1"/>
  <c r="P1679" i="3"/>
  <c r="O1679" i="3"/>
  <c r="AG1678" i="3"/>
  <c r="R1678" i="3"/>
  <c r="Q1678" i="3"/>
  <c r="AH1678" i="3" s="1"/>
  <c r="P1678" i="3"/>
  <c r="O1678" i="3"/>
  <c r="I1678" i="3"/>
  <c r="AG1677" i="3"/>
  <c r="R1677" i="3"/>
  <c r="Q1677" i="3"/>
  <c r="E1677" i="3" s="1"/>
  <c r="F1677" i="3" s="1"/>
  <c r="P1677" i="3"/>
  <c r="O1677" i="3"/>
  <c r="AG1676" i="3"/>
  <c r="R1676" i="3"/>
  <c r="Q1676" i="3"/>
  <c r="P1676" i="3"/>
  <c r="O1676" i="3"/>
  <c r="AG1675" i="3"/>
  <c r="R1675" i="3"/>
  <c r="Q1675" i="3"/>
  <c r="P1675" i="3"/>
  <c r="O1675" i="3"/>
  <c r="AG1674" i="3"/>
  <c r="R1674" i="3"/>
  <c r="Q1674" i="3"/>
  <c r="C1674" i="3" s="1"/>
  <c r="D1674" i="3" s="1"/>
  <c r="P1674" i="3"/>
  <c r="O1674" i="3"/>
  <c r="AG1673" i="3"/>
  <c r="R1673" i="3"/>
  <c r="Q1673" i="3"/>
  <c r="P1673" i="3"/>
  <c r="O1673" i="3"/>
  <c r="AG1672" i="3"/>
  <c r="R1672" i="3"/>
  <c r="Q1672" i="3"/>
  <c r="AH1672" i="3" s="1"/>
  <c r="P1672" i="3"/>
  <c r="O1672" i="3"/>
  <c r="AG1671" i="3"/>
  <c r="R1671" i="3"/>
  <c r="Q1671" i="3"/>
  <c r="P1671" i="3"/>
  <c r="O1671" i="3"/>
  <c r="I1671" i="3"/>
  <c r="AG1670" i="3"/>
  <c r="R1670" i="3"/>
  <c r="Q1670" i="3"/>
  <c r="AH1670" i="3" s="1"/>
  <c r="P1670" i="3"/>
  <c r="O1670" i="3"/>
  <c r="AG1669" i="3"/>
  <c r="R1669" i="3"/>
  <c r="Q1669" i="3"/>
  <c r="P1669" i="3"/>
  <c r="O1669" i="3"/>
  <c r="AG1668" i="3"/>
  <c r="R1668" i="3"/>
  <c r="Q1668" i="3"/>
  <c r="P1668" i="3"/>
  <c r="O1668" i="3"/>
  <c r="AG1667" i="3"/>
  <c r="R1667" i="3"/>
  <c r="Q1667" i="3"/>
  <c r="E1667" i="3" s="1"/>
  <c r="F1667" i="3" s="1"/>
  <c r="P1667" i="3"/>
  <c r="O1667" i="3"/>
  <c r="AG1666" i="3"/>
  <c r="R1666" i="3"/>
  <c r="Q1666" i="3"/>
  <c r="P1666" i="3"/>
  <c r="O1666" i="3"/>
  <c r="AG1665" i="3"/>
  <c r="R1665" i="3"/>
  <c r="Q1665" i="3"/>
  <c r="H1665" i="3" s="1"/>
  <c r="P1665" i="3"/>
  <c r="O1665" i="3"/>
  <c r="AG1664" i="3"/>
  <c r="R1664" i="3"/>
  <c r="Q1664" i="3"/>
  <c r="AH1664" i="3" s="1"/>
  <c r="P1664" i="3"/>
  <c r="O1664" i="3"/>
  <c r="AG1663" i="3"/>
  <c r="R1663" i="3"/>
  <c r="Q1663" i="3"/>
  <c r="E1663" i="3" s="1"/>
  <c r="F1663" i="3" s="1"/>
  <c r="P1663" i="3"/>
  <c r="O1663" i="3"/>
  <c r="AG1662" i="3"/>
  <c r="R1662" i="3"/>
  <c r="Q1662" i="3"/>
  <c r="P1662" i="3"/>
  <c r="O1662" i="3"/>
  <c r="AG1661" i="3"/>
  <c r="R1661" i="3"/>
  <c r="Q1661" i="3"/>
  <c r="P1661" i="3"/>
  <c r="O1661" i="3"/>
  <c r="AG1660" i="3"/>
  <c r="R1660" i="3"/>
  <c r="Q1660" i="3"/>
  <c r="P1660" i="3"/>
  <c r="O1660" i="3"/>
  <c r="AG1659" i="3"/>
  <c r="R1659" i="3"/>
  <c r="Q1659" i="3"/>
  <c r="P1659" i="3"/>
  <c r="O1659" i="3"/>
  <c r="AG1658" i="3"/>
  <c r="R1658" i="3"/>
  <c r="Q1658" i="3"/>
  <c r="C1658" i="3" s="1"/>
  <c r="D1658" i="3" s="1"/>
  <c r="P1658" i="3"/>
  <c r="O1658" i="3"/>
  <c r="AG1657" i="3"/>
  <c r="R1657" i="3"/>
  <c r="Q1657" i="3"/>
  <c r="C1657" i="3" s="1"/>
  <c r="D1657" i="3" s="1"/>
  <c r="P1657" i="3"/>
  <c r="O1657" i="3"/>
  <c r="AG1656" i="3"/>
  <c r="R1656" i="3"/>
  <c r="Q1656" i="3"/>
  <c r="P1656" i="3"/>
  <c r="O1656" i="3"/>
  <c r="I1656" i="3"/>
  <c r="AG1655" i="3"/>
  <c r="R1655" i="3"/>
  <c r="Q1655" i="3"/>
  <c r="E1655" i="3" s="1"/>
  <c r="F1655" i="3" s="1"/>
  <c r="P1655" i="3"/>
  <c r="O1655" i="3"/>
  <c r="AG1654" i="3"/>
  <c r="R1654" i="3"/>
  <c r="Q1654" i="3"/>
  <c r="P1654" i="3"/>
  <c r="O1654" i="3"/>
  <c r="AG1653" i="3"/>
  <c r="R1653" i="3"/>
  <c r="Q1653" i="3"/>
  <c r="AH1653" i="3" s="1"/>
  <c r="P1653" i="3"/>
  <c r="O1653" i="3"/>
  <c r="AG1652" i="3"/>
  <c r="R1652" i="3"/>
  <c r="Q1652" i="3"/>
  <c r="H1652" i="3" s="1"/>
  <c r="P1652" i="3"/>
  <c r="O1652" i="3"/>
  <c r="AG1651" i="3"/>
  <c r="R1651" i="3"/>
  <c r="Q1651" i="3"/>
  <c r="E1651" i="3" s="1"/>
  <c r="F1651" i="3" s="1"/>
  <c r="P1651" i="3"/>
  <c r="O1651" i="3"/>
  <c r="AG1650" i="3"/>
  <c r="R1650" i="3"/>
  <c r="Q1650" i="3"/>
  <c r="P1650" i="3"/>
  <c r="O1650" i="3"/>
  <c r="AG1649" i="3"/>
  <c r="R1649" i="3"/>
  <c r="Q1649" i="3"/>
  <c r="C1649" i="3" s="1"/>
  <c r="D1649" i="3" s="1"/>
  <c r="P1649" i="3"/>
  <c r="O1649" i="3"/>
  <c r="AG1648" i="3"/>
  <c r="R1648" i="3"/>
  <c r="Q1648" i="3"/>
  <c r="C1648" i="3" s="1"/>
  <c r="D1648" i="3" s="1"/>
  <c r="P1648" i="3"/>
  <c r="O1648" i="3"/>
  <c r="AG1647" i="3"/>
  <c r="R1647" i="3"/>
  <c r="Q1647" i="3"/>
  <c r="P1647" i="3"/>
  <c r="O1647" i="3"/>
  <c r="AG1646" i="3"/>
  <c r="R1646" i="3"/>
  <c r="Q1646" i="3"/>
  <c r="P1646" i="3"/>
  <c r="O1646" i="3"/>
  <c r="AG1645" i="3"/>
  <c r="R1645" i="3"/>
  <c r="Q1645" i="3"/>
  <c r="P1645" i="3"/>
  <c r="O1645" i="3"/>
  <c r="AG1644" i="3"/>
  <c r="R1644" i="3"/>
  <c r="Q1644" i="3"/>
  <c r="P1644" i="3"/>
  <c r="O1644" i="3"/>
  <c r="AG1643" i="3"/>
  <c r="R1643" i="3"/>
  <c r="Q1643" i="3"/>
  <c r="P1643" i="3"/>
  <c r="O1643" i="3"/>
  <c r="I1643" i="3"/>
  <c r="AG1642" i="3"/>
  <c r="R1642" i="3"/>
  <c r="Q1642" i="3"/>
  <c r="H1642" i="3" s="1"/>
  <c r="P1642" i="3"/>
  <c r="O1642" i="3"/>
  <c r="I1642" i="3"/>
  <c r="AG1641" i="3"/>
  <c r="R1641" i="3"/>
  <c r="Q1641" i="3"/>
  <c r="P1641" i="3"/>
  <c r="O1641" i="3"/>
  <c r="AG1640" i="3"/>
  <c r="R1640" i="3"/>
  <c r="Q1640" i="3"/>
  <c r="P1640" i="3"/>
  <c r="O1640" i="3"/>
  <c r="AG1639" i="3"/>
  <c r="R1639" i="3"/>
  <c r="Q1639" i="3"/>
  <c r="E1639" i="3" s="1"/>
  <c r="F1639" i="3" s="1"/>
  <c r="P1639" i="3"/>
  <c r="O1639" i="3"/>
  <c r="AG1638" i="3"/>
  <c r="R1638" i="3"/>
  <c r="Q1638" i="3"/>
  <c r="P1638" i="3"/>
  <c r="O1638" i="3"/>
  <c r="AG1637" i="3"/>
  <c r="R1637" i="3"/>
  <c r="Q1637" i="3"/>
  <c r="C1637" i="3" s="1"/>
  <c r="D1637" i="3" s="1"/>
  <c r="P1637" i="3"/>
  <c r="O1637" i="3"/>
  <c r="AG1636" i="3"/>
  <c r="R1636" i="3"/>
  <c r="Q1636" i="3"/>
  <c r="E1636" i="3" s="1"/>
  <c r="F1636" i="3" s="1"/>
  <c r="P1636" i="3"/>
  <c r="O1636" i="3"/>
  <c r="AG1635" i="3"/>
  <c r="R1635" i="3"/>
  <c r="Q1635" i="3"/>
  <c r="P1635" i="3"/>
  <c r="O1635" i="3"/>
  <c r="AG1634" i="3"/>
  <c r="R1634" i="3"/>
  <c r="Q1634" i="3"/>
  <c r="H1634" i="3" s="1"/>
  <c r="P1634" i="3"/>
  <c r="O1634" i="3"/>
  <c r="AG1633" i="3"/>
  <c r="R1633" i="3"/>
  <c r="Q1633" i="3"/>
  <c r="P1633" i="3"/>
  <c r="O1633" i="3"/>
  <c r="I1633" i="3"/>
  <c r="AG1632" i="3"/>
  <c r="R1632" i="3"/>
  <c r="Q1632" i="3"/>
  <c r="AH1632" i="3" s="1"/>
  <c r="P1632" i="3"/>
  <c r="O1632" i="3"/>
  <c r="AG1631" i="3"/>
  <c r="R1631" i="3"/>
  <c r="Q1631" i="3"/>
  <c r="C1631" i="3" s="1"/>
  <c r="D1631" i="3" s="1"/>
  <c r="P1631" i="3"/>
  <c r="O1631" i="3"/>
  <c r="I1631" i="3"/>
  <c r="AG1630" i="3"/>
  <c r="R1630" i="3"/>
  <c r="Q1630" i="3"/>
  <c r="P1630" i="3"/>
  <c r="O1630" i="3"/>
  <c r="AG1629" i="3"/>
  <c r="R1629" i="3"/>
  <c r="Q1629" i="3"/>
  <c r="AH1629" i="3" s="1"/>
  <c r="P1629" i="3"/>
  <c r="O1629" i="3"/>
  <c r="I1629" i="3"/>
  <c r="AG1628" i="3"/>
  <c r="R1628" i="3"/>
  <c r="Q1628" i="3"/>
  <c r="P1628" i="3"/>
  <c r="O1628" i="3"/>
  <c r="AG1627" i="3"/>
  <c r="R1627" i="3"/>
  <c r="Q1627" i="3"/>
  <c r="P1627" i="3"/>
  <c r="O1627" i="3"/>
  <c r="I1627" i="3"/>
  <c r="AG1626" i="3"/>
  <c r="R1626" i="3"/>
  <c r="Q1626" i="3"/>
  <c r="E1626" i="3" s="1"/>
  <c r="F1626" i="3" s="1"/>
  <c r="P1626" i="3"/>
  <c r="O1626" i="3"/>
  <c r="AG1625" i="3"/>
  <c r="R1625" i="3"/>
  <c r="Q1625" i="3"/>
  <c r="E1625" i="3" s="1"/>
  <c r="F1625" i="3" s="1"/>
  <c r="P1625" i="3"/>
  <c r="O1625" i="3"/>
  <c r="AG1624" i="3"/>
  <c r="R1624" i="3"/>
  <c r="Q1624" i="3"/>
  <c r="C1624" i="3" s="1"/>
  <c r="D1624" i="3" s="1"/>
  <c r="P1624" i="3"/>
  <c r="O1624" i="3"/>
  <c r="I1624" i="3"/>
  <c r="AG1623" i="3"/>
  <c r="R1623" i="3"/>
  <c r="Q1623" i="3"/>
  <c r="P1623" i="3"/>
  <c r="O1623" i="3"/>
  <c r="AG1622" i="3"/>
  <c r="R1622" i="3"/>
  <c r="Q1622" i="3"/>
  <c r="AH1622" i="3" s="1"/>
  <c r="P1622" i="3"/>
  <c r="O1622" i="3"/>
  <c r="I1622" i="3"/>
  <c r="AG1621" i="3"/>
  <c r="R1621" i="3"/>
  <c r="Q1621" i="3"/>
  <c r="H1621" i="3" s="1"/>
  <c r="P1621" i="3"/>
  <c r="O1621" i="3"/>
  <c r="AG1620" i="3"/>
  <c r="R1620" i="3"/>
  <c r="Q1620" i="3"/>
  <c r="AH1620" i="3" s="1"/>
  <c r="P1620" i="3"/>
  <c r="O1620" i="3"/>
  <c r="I1620" i="3"/>
  <c r="AG1619" i="3"/>
  <c r="R1619" i="3"/>
  <c r="Q1619" i="3"/>
  <c r="AH1619" i="3" s="1"/>
  <c r="P1619" i="3"/>
  <c r="O1619" i="3"/>
  <c r="AG1618" i="3"/>
  <c r="R1618" i="3"/>
  <c r="Q1618" i="3"/>
  <c r="C1618" i="3" s="1"/>
  <c r="D1618" i="3" s="1"/>
  <c r="P1618" i="3"/>
  <c r="O1618" i="3"/>
  <c r="I1618" i="3"/>
  <c r="AG1617" i="3"/>
  <c r="R1617" i="3"/>
  <c r="Q1617" i="3"/>
  <c r="H1617" i="3" s="1"/>
  <c r="P1617" i="3"/>
  <c r="O1617" i="3"/>
  <c r="AG1616" i="3"/>
  <c r="R1616" i="3"/>
  <c r="Q1616" i="3"/>
  <c r="AH1616" i="3" s="1"/>
  <c r="P1616" i="3"/>
  <c r="O1616" i="3"/>
  <c r="I1616" i="3"/>
  <c r="AG1615" i="3"/>
  <c r="R1615" i="3"/>
  <c r="Q1615" i="3"/>
  <c r="AH1615" i="3" s="1"/>
  <c r="P1615" i="3"/>
  <c r="O1615" i="3"/>
  <c r="AG1614" i="3"/>
  <c r="R1614" i="3"/>
  <c r="Q1614" i="3"/>
  <c r="P1614" i="3"/>
  <c r="O1614" i="3"/>
  <c r="AG1613" i="3"/>
  <c r="R1613" i="3"/>
  <c r="Q1613" i="3"/>
  <c r="P1613" i="3"/>
  <c r="O1613" i="3"/>
  <c r="AG1612" i="3"/>
  <c r="R1612" i="3"/>
  <c r="Q1612" i="3"/>
  <c r="AH1612" i="3" s="1"/>
  <c r="P1612" i="3"/>
  <c r="O1612" i="3"/>
  <c r="AG1611" i="3"/>
  <c r="R1611" i="3"/>
  <c r="Q1611" i="3"/>
  <c r="C1611" i="3" s="1"/>
  <c r="D1611" i="3" s="1"/>
  <c r="P1611" i="3"/>
  <c r="O1611" i="3"/>
  <c r="AG1610" i="3"/>
  <c r="R1610" i="3"/>
  <c r="Q1610" i="3"/>
  <c r="H1610" i="3" s="1"/>
  <c r="P1610" i="3"/>
  <c r="O1610" i="3"/>
  <c r="AG1609" i="3"/>
  <c r="R1609" i="3"/>
  <c r="Q1609" i="3"/>
  <c r="E1609" i="3" s="1"/>
  <c r="F1609" i="3" s="1"/>
  <c r="P1609" i="3"/>
  <c r="O1609" i="3"/>
  <c r="AG1608" i="3"/>
  <c r="R1608" i="3"/>
  <c r="Q1608" i="3"/>
  <c r="AH1608" i="3" s="1"/>
  <c r="P1608" i="3"/>
  <c r="O1608" i="3"/>
  <c r="AG1607" i="3"/>
  <c r="R1607" i="3"/>
  <c r="Q1607" i="3"/>
  <c r="AH1607" i="3" s="1"/>
  <c r="P1607" i="3"/>
  <c r="O1607" i="3"/>
  <c r="AG1606" i="3"/>
  <c r="R1606" i="3"/>
  <c r="Q1606" i="3"/>
  <c r="P1606" i="3"/>
  <c r="O1606" i="3"/>
  <c r="AG1605" i="3"/>
  <c r="R1605" i="3"/>
  <c r="Q1605" i="3"/>
  <c r="P1605" i="3"/>
  <c r="O1605" i="3"/>
  <c r="I1605" i="3"/>
  <c r="AG1604" i="3"/>
  <c r="R1604" i="3"/>
  <c r="Q1604" i="3"/>
  <c r="P1604" i="3"/>
  <c r="O1604" i="3"/>
  <c r="AG1603" i="3"/>
  <c r="R1603" i="3"/>
  <c r="Q1603" i="3"/>
  <c r="H1603" i="3" s="1"/>
  <c r="P1603" i="3"/>
  <c r="O1603" i="3"/>
  <c r="AG1602" i="3"/>
  <c r="R1602" i="3"/>
  <c r="Q1602" i="3"/>
  <c r="E1602" i="3" s="1"/>
  <c r="F1602" i="3" s="1"/>
  <c r="P1602" i="3"/>
  <c r="O1602" i="3"/>
  <c r="AG1601" i="3"/>
  <c r="R1601" i="3"/>
  <c r="Q1601" i="3"/>
  <c r="P1601" i="3"/>
  <c r="O1601" i="3"/>
  <c r="AG1600" i="3"/>
  <c r="R1600" i="3"/>
  <c r="Q1600" i="3"/>
  <c r="E1600" i="3" s="1"/>
  <c r="F1600" i="3" s="1"/>
  <c r="P1600" i="3"/>
  <c r="O1600" i="3"/>
  <c r="AG1599" i="3"/>
  <c r="R1599" i="3"/>
  <c r="Q1599" i="3"/>
  <c r="AH1599" i="3" s="1"/>
  <c r="P1599" i="3"/>
  <c r="O1599" i="3"/>
  <c r="AG1598" i="3"/>
  <c r="R1598" i="3"/>
  <c r="Q1598" i="3"/>
  <c r="P1598" i="3"/>
  <c r="O1598" i="3"/>
  <c r="AG1597" i="3"/>
  <c r="R1597" i="3"/>
  <c r="Q1597" i="3"/>
  <c r="AH1597" i="3" s="1"/>
  <c r="P1597" i="3"/>
  <c r="O1597" i="3"/>
  <c r="AG1596" i="3"/>
  <c r="R1596" i="3"/>
  <c r="Q1596" i="3"/>
  <c r="P1596" i="3"/>
  <c r="O1596" i="3"/>
  <c r="AG1595" i="3"/>
  <c r="R1595" i="3"/>
  <c r="Q1595" i="3"/>
  <c r="P1595" i="3"/>
  <c r="O1595" i="3"/>
  <c r="AG1594" i="3"/>
  <c r="R1594" i="3"/>
  <c r="Q1594" i="3"/>
  <c r="P1594" i="3"/>
  <c r="O1594" i="3"/>
  <c r="AG1593" i="3"/>
  <c r="R1593" i="3"/>
  <c r="Q1593" i="3"/>
  <c r="P1593" i="3"/>
  <c r="O1593" i="3"/>
  <c r="AG1592" i="3"/>
  <c r="R1592" i="3"/>
  <c r="Q1592" i="3"/>
  <c r="P1592" i="3"/>
  <c r="O1592" i="3"/>
  <c r="I1592" i="3"/>
  <c r="AG1591" i="3"/>
  <c r="R1591" i="3"/>
  <c r="Q1591" i="3"/>
  <c r="AH1591" i="3" s="1"/>
  <c r="P1591" i="3"/>
  <c r="O1591" i="3"/>
  <c r="I1591" i="3"/>
  <c r="AG1590" i="3"/>
  <c r="R1590" i="3"/>
  <c r="Q1590" i="3"/>
  <c r="C1590" i="3" s="1"/>
  <c r="D1590" i="3" s="1"/>
  <c r="P1590" i="3"/>
  <c r="O1590" i="3"/>
  <c r="I1590" i="3"/>
  <c r="AG1589" i="3"/>
  <c r="R1589" i="3"/>
  <c r="Q1589" i="3"/>
  <c r="P1589" i="3"/>
  <c r="O1589" i="3"/>
  <c r="AG1588" i="3"/>
  <c r="R1588" i="3"/>
  <c r="Q1588" i="3"/>
  <c r="H1588" i="3" s="1"/>
  <c r="P1588" i="3"/>
  <c r="O1588" i="3"/>
  <c r="AG1587" i="3"/>
  <c r="R1587" i="3"/>
  <c r="Q1587" i="3"/>
  <c r="E1587" i="3" s="1"/>
  <c r="F1587" i="3" s="1"/>
  <c r="P1587" i="3"/>
  <c r="O1587" i="3"/>
  <c r="C1587" i="3"/>
  <c r="D1587" i="3" s="1"/>
  <c r="AG1586" i="3"/>
  <c r="R1586" i="3"/>
  <c r="Q1586" i="3"/>
  <c r="P1586" i="3"/>
  <c r="O1586" i="3"/>
  <c r="I1586" i="3"/>
  <c r="AG1585" i="3"/>
  <c r="R1585" i="3"/>
  <c r="Q1585" i="3"/>
  <c r="P1585" i="3"/>
  <c r="O1585" i="3"/>
  <c r="AG1584" i="3"/>
  <c r="R1584" i="3"/>
  <c r="Q1584" i="3"/>
  <c r="AH1584" i="3" s="1"/>
  <c r="P1584" i="3"/>
  <c r="O1584" i="3"/>
  <c r="I1584" i="3"/>
  <c r="AG1583" i="3"/>
  <c r="R1583" i="3"/>
  <c r="Q1583" i="3"/>
  <c r="P1583" i="3"/>
  <c r="O1583" i="3"/>
  <c r="I1583" i="3"/>
  <c r="AG1582" i="3"/>
  <c r="R1582" i="3"/>
  <c r="Q1582" i="3"/>
  <c r="P1582" i="3"/>
  <c r="O1582" i="3"/>
  <c r="I1582" i="3"/>
  <c r="AG1581" i="3"/>
  <c r="R1581" i="3"/>
  <c r="Q1581" i="3"/>
  <c r="C1581" i="3" s="1"/>
  <c r="D1581" i="3" s="1"/>
  <c r="P1581" i="3"/>
  <c r="O1581" i="3"/>
  <c r="I1581" i="3"/>
  <c r="AG1580" i="3"/>
  <c r="R1580" i="3"/>
  <c r="Q1580" i="3"/>
  <c r="P1580" i="3"/>
  <c r="O1580" i="3"/>
  <c r="I1580" i="3"/>
  <c r="AG1579" i="3"/>
  <c r="R1579" i="3"/>
  <c r="Q1579" i="3"/>
  <c r="P1579" i="3"/>
  <c r="O1579" i="3"/>
  <c r="AG1578" i="3"/>
  <c r="R1578" i="3"/>
  <c r="Q1578" i="3"/>
  <c r="P1578" i="3"/>
  <c r="O1578" i="3"/>
  <c r="I1578" i="3"/>
  <c r="AG1577" i="3"/>
  <c r="R1577" i="3"/>
  <c r="Q1577" i="3"/>
  <c r="H1577" i="3" s="1"/>
  <c r="P1577" i="3"/>
  <c r="O1577" i="3"/>
  <c r="I1577" i="3"/>
  <c r="AG1576" i="3"/>
  <c r="R1576" i="3"/>
  <c r="Q1576" i="3"/>
  <c r="C1576" i="3" s="1"/>
  <c r="D1576" i="3" s="1"/>
  <c r="P1576" i="3"/>
  <c r="O1576" i="3"/>
  <c r="I1576" i="3"/>
  <c r="AG1575" i="3"/>
  <c r="R1575" i="3"/>
  <c r="Q1575" i="3"/>
  <c r="E1575" i="3" s="1"/>
  <c r="F1575" i="3" s="1"/>
  <c r="P1575" i="3"/>
  <c r="O1575" i="3"/>
  <c r="I1575" i="3"/>
  <c r="AG1574" i="3"/>
  <c r="R1574" i="3"/>
  <c r="Q1574" i="3"/>
  <c r="C1574" i="3" s="1"/>
  <c r="D1574" i="3" s="1"/>
  <c r="P1574" i="3"/>
  <c r="O1574" i="3"/>
  <c r="I1574" i="3"/>
  <c r="AG1573" i="3"/>
  <c r="R1573" i="3"/>
  <c r="Q1573" i="3"/>
  <c r="H1573" i="3" s="1"/>
  <c r="P1573" i="3"/>
  <c r="O1573" i="3"/>
  <c r="AG1572" i="3"/>
  <c r="R1572" i="3"/>
  <c r="Q1572" i="3"/>
  <c r="E1572" i="3" s="1"/>
  <c r="F1572" i="3" s="1"/>
  <c r="P1572" i="3"/>
  <c r="O1572" i="3"/>
  <c r="I1572" i="3"/>
  <c r="AG1571" i="3"/>
  <c r="R1571" i="3"/>
  <c r="Q1571" i="3"/>
  <c r="P1571" i="3"/>
  <c r="O1571" i="3"/>
  <c r="AG1570" i="3"/>
  <c r="R1570" i="3"/>
  <c r="Q1570" i="3"/>
  <c r="P1570" i="3"/>
  <c r="O1570" i="3"/>
  <c r="I1570" i="3"/>
  <c r="AG1569" i="3"/>
  <c r="R1569" i="3"/>
  <c r="Q1569" i="3"/>
  <c r="P1569" i="3"/>
  <c r="O1569" i="3"/>
  <c r="AG1568" i="3"/>
  <c r="R1568" i="3"/>
  <c r="Q1568" i="3"/>
  <c r="E1568" i="3" s="1"/>
  <c r="F1568" i="3" s="1"/>
  <c r="P1568" i="3"/>
  <c r="O1568" i="3"/>
  <c r="I1568" i="3"/>
  <c r="AG1567" i="3"/>
  <c r="R1567" i="3"/>
  <c r="Q1567" i="3"/>
  <c r="H1567" i="3" s="1"/>
  <c r="P1567" i="3"/>
  <c r="O1567" i="3"/>
  <c r="AG1566" i="3"/>
  <c r="R1566" i="3"/>
  <c r="Q1566" i="3"/>
  <c r="H1566" i="3" s="1"/>
  <c r="P1566" i="3"/>
  <c r="O1566" i="3"/>
  <c r="I1566" i="3"/>
  <c r="AG1565" i="3"/>
  <c r="R1565" i="3"/>
  <c r="Q1565" i="3"/>
  <c r="H1565" i="3" s="1"/>
  <c r="P1565" i="3"/>
  <c r="O1565" i="3"/>
  <c r="AG1564" i="3"/>
  <c r="R1564" i="3"/>
  <c r="Q1564" i="3"/>
  <c r="H1564" i="3" s="1"/>
  <c r="P1564" i="3"/>
  <c r="O1564" i="3"/>
  <c r="AG1563" i="3"/>
  <c r="R1563" i="3"/>
  <c r="Q1563" i="3"/>
  <c r="E1563" i="3" s="1"/>
  <c r="F1563" i="3" s="1"/>
  <c r="P1563" i="3"/>
  <c r="O1563" i="3"/>
  <c r="AG1562" i="3"/>
  <c r="R1562" i="3"/>
  <c r="Q1562" i="3"/>
  <c r="E1562" i="3" s="1"/>
  <c r="F1562" i="3" s="1"/>
  <c r="P1562" i="3"/>
  <c r="O1562" i="3"/>
  <c r="I1562" i="3"/>
  <c r="AG1561" i="3"/>
  <c r="R1561" i="3"/>
  <c r="Q1561" i="3"/>
  <c r="AH1561" i="3" s="1"/>
  <c r="P1561" i="3"/>
  <c r="O1561" i="3"/>
  <c r="AG1560" i="3"/>
  <c r="R1560" i="3"/>
  <c r="Q1560" i="3"/>
  <c r="E1560" i="3" s="1"/>
  <c r="F1560" i="3" s="1"/>
  <c r="P1560" i="3"/>
  <c r="O1560" i="3"/>
  <c r="AG1559" i="3"/>
  <c r="R1559" i="3"/>
  <c r="Q1559" i="3"/>
  <c r="P1559" i="3"/>
  <c r="O1559" i="3"/>
  <c r="I1559" i="3"/>
  <c r="AG1558" i="3"/>
  <c r="R1558" i="3"/>
  <c r="Q1558" i="3"/>
  <c r="P1558" i="3"/>
  <c r="O1558" i="3"/>
  <c r="AG1557" i="3"/>
  <c r="R1557" i="3"/>
  <c r="Q1557" i="3"/>
  <c r="P1557" i="3"/>
  <c r="O1557" i="3"/>
  <c r="AG1556" i="3"/>
  <c r="R1556" i="3"/>
  <c r="Q1556" i="3"/>
  <c r="E1556" i="3" s="1"/>
  <c r="F1556" i="3" s="1"/>
  <c r="P1556" i="3"/>
  <c r="O1556" i="3"/>
  <c r="I1556" i="3"/>
  <c r="AG1555" i="3"/>
  <c r="R1555" i="3"/>
  <c r="Q1555" i="3"/>
  <c r="H1555" i="3" s="1"/>
  <c r="P1555" i="3"/>
  <c r="O1555" i="3"/>
  <c r="I1555" i="3"/>
  <c r="AG1554" i="3"/>
  <c r="R1554" i="3"/>
  <c r="Q1554" i="3"/>
  <c r="C1554" i="3" s="1"/>
  <c r="D1554" i="3" s="1"/>
  <c r="P1554" i="3"/>
  <c r="O1554" i="3"/>
  <c r="AG1553" i="3"/>
  <c r="R1553" i="3"/>
  <c r="Q1553" i="3"/>
  <c r="AH1553" i="3" s="1"/>
  <c r="P1553" i="3"/>
  <c r="O1553" i="3"/>
  <c r="AG1552" i="3"/>
  <c r="R1552" i="3"/>
  <c r="Q1552" i="3"/>
  <c r="AH1552" i="3" s="1"/>
  <c r="P1552" i="3"/>
  <c r="O1552" i="3"/>
  <c r="AG1551" i="3"/>
  <c r="R1551" i="3"/>
  <c r="Q1551" i="3"/>
  <c r="P1551" i="3"/>
  <c r="O1551" i="3"/>
  <c r="AG1550" i="3"/>
  <c r="R1550" i="3"/>
  <c r="Q1550" i="3"/>
  <c r="P1550" i="3"/>
  <c r="O1550" i="3"/>
  <c r="AG1549" i="3"/>
  <c r="R1549" i="3"/>
  <c r="Q1549" i="3"/>
  <c r="E1549" i="3" s="1"/>
  <c r="F1549" i="3" s="1"/>
  <c r="P1549" i="3"/>
  <c r="O1549" i="3"/>
  <c r="I1549" i="3"/>
  <c r="AG1548" i="3"/>
  <c r="R1548" i="3"/>
  <c r="Q1548" i="3"/>
  <c r="AH1548" i="3" s="1"/>
  <c r="P1548" i="3"/>
  <c r="O1548" i="3"/>
  <c r="AG1547" i="3"/>
  <c r="R1547" i="3"/>
  <c r="Q1547" i="3"/>
  <c r="P1547" i="3"/>
  <c r="O1547" i="3"/>
  <c r="I1547" i="3"/>
  <c r="AG1546" i="3"/>
  <c r="R1546" i="3"/>
  <c r="Q1546" i="3"/>
  <c r="P1546" i="3"/>
  <c r="O1546" i="3"/>
  <c r="AG1545" i="3"/>
  <c r="R1545" i="3"/>
  <c r="Q1545" i="3"/>
  <c r="P1545" i="3"/>
  <c r="O1545" i="3"/>
  <c r="AG1544" i="3"/>
  <c r="R1544" i="3"/>
  <c r="Q1544" i="3"/>
  <c r="P1544" i="3"/>
  <c r="O1544" i="3"/>
  <c r="AG1543" i="3"/>
  <c r="R1543" i="3"/>
  <c r="Q1543" i="3"/>
  <c r="E1543" i="3" s="1"/>
  <c r="F1543" i="3" s="1"/>
  <c r="P1543" i="3"/>
  <c r="O1543" i="3"/>
  <c r="I1543" i="3"/>
  <c r="AG1542" i="3"/>
  <c r="R1542" i="3"/>
  <c r="Q1542" i="3"/>
  <c r="P1542" i="3"/>
  <c r="O1542" i="3"/>
  <c r="I1542" i="3"/>
  <c r="AG1541" i="3"/>
  <c r="R1541" i="3"/>
  <c r="Q1541" i="3"/>
  <c r="P1541" i="3"/>
  <c r="O1541" i="3"/>
  <c r="AG1540" i="3"/>
  <c r="R1540" i="3"/>
  <c r="Q1540" i="3"/>
  <c r="AH1540" i="3" s="1"/>
  <c r="P1540" i="3"/>
  <c r="O1540" i="3"/>
  <c r="AG1539" i="3"/>
  <c r="R1539" i="3"/>
  <c r="Q1539" i="3"/>
  <c r="AH1539" i="3" s="1"/>
  <c r="P1539" i="3"/>
  <c r="O1539" i="3"/>
  <c r="I1539" i="3"/>
  <c r="AG1538" i="3"/>
  <c r="R1538" i="3"/>
  <c r="Q1538" i="3"/>
  <c r="P1538" i="3"/>
  <c r="O1538" i="3"/>
  <c r="AG1537" i="3"/>
  <c r="R1537" i="3"/>
  <c r="Q1537" i="3"/>
  <c r="P1537" i="3"/>
  <c r="O1537" i="3"/>
  <c r="AG1536" i="3"/>
  <c r="R1536" i="3"/>
  <c r="Q1536" i="3"/>
  <c r="AH1536" i="3" s="1"/>
  <c r="P1536" i="3"/>
  <c r="O1536" i="3"/>
  <c r="AG1535" i="3"/>
  <c r="R1535" i="3"/>
  <c r="Q1535" i="3"/>
  <c r="P1535" i="3"/>
  <c r="O1535" i="3"/>
  <c r="AG1534" i="3"/>
  <c r="R1534" i="3"/>
  <c r="Q1534" i="3"/>
  <c r="H1534" i="3" s="1"/>
  <c r="P1534" i="3"/>
  <c r="O1534" i="3"/>
  <c r="I1534" i="3"/>
  <c r="AG1533" i="3"/>
  <c r="R1533" i="3"/>
  <c r="Q1533" i="3"/>
  <c r="AH1533" i="3" s="1"/>
  <c r="P1533" i="3"/>
  <c r="O1533" i="3"/>
  <c r="AG1532" i="3"/>
  <c r="R1532" i="3"/>
  <c r="Q1532" i="3"/>
  <c r="P1532" i="3"/>
  <c r="O1532" i="3"/>
  <c r="AG1531" i="3"/>
  <c r="R1531" i="3"/>
  <c r="Q1531" i="3"/>
  <c r="AH1531" i="3" s="1"/>
  <c r="AL1531" i="3" s="1"/>
  <c r="P1531" i="3"/>
  <c r="O1531" i="3"/>
  <c r="AG1530" i="3"/>
  <c r="R1530" i="3"/>
  <c r="Q1530" i="3"/>
  <c r="AH1530" i="3" s="1"/>
  <c r="AJ1530" i="3" s="1"/>
  <c r="P1530" i="3"/>
  <c r="O1530" i="3"/>
  <c r="AG1529" i="3"/>
  <c r="R1529" i="3"/>
  <c r="Q1529" i="3"/>
  <c r="P1529" i="3"/>
  <c r="O1529" i="3"/>
  <c r="AG1528" i="3"/>
  <c r="R1528" i="3"/>
  <c r="Q1528" i="3"/>
  <c r="P1528" i="3"/>
  <c r="O1528" i="3"/>
  <c r="AG1527" i="3"/>
  <c r="R1527" i="3"/>
  <c r="Q1527" i="3"/>
  <c r="AH1527" i="3" s="1"/>
  <c r="AL1527" i="3" s="1"/>
  <c r="P1527" i="3"/>
  <c r="O1527" i="3"/>
  <c r="AG1526" i="3"/>
  <c r="R1526" i="3"/>
  <c r="Q1526" i="3"/>
  <c r="AH1526" i="3" s="1"/>
  <c r="P1526" i="3"/>
  <c r="O1526" i="3"/>
  <c r="AG1525" i="3"/>
  <c r="R1525" i="3"/>
  <c r="Q1525" i="3"/>
  <c r="P1525" i="3"/>
  <c r="O1525" i="3"/>
  <c r="AG1524" i="3"/>
  <c r="R1524" i="3"/>
  <c r="Q1524" i="3"/>
  <c r="P1524" i="3"/>
  <c r="O1524" i="3"/>
  <c r="AG1523" i="3"/>
  <c r="R1523" i="3"/>
  <c r="Q1523" i="3"/>
  <c r="C1523" i="3" s="1"/>
  <c r="D1523" i="3" s="1"/>
  <c r="P1523" i="3"/>
  <c r="O1523" i="3"/>
  <c r="I1523" i="3"/>
  <c r="AG1522" i="3"/>
  <c r="R1522" i="3"/>
  <c r="Q1522" i="3"/>
  <c r="C1522" i="3" s="1"/>
  <c r="D1522" i="3" s="1"/>
  <c r="P1522" i="3"/>
  <c r="O1522" i="3"/>
  <c r="AG1521" i="3"/>
  <c r="R1521" i="3"/>
  <c r="Q1521" i="3"/>
  <c r="P1521" i="3"/>
  <c r="O1521" i="3"/>
  <c r="I1521" i="3"/>
  <c r="AG1520" i="3"/>
  <c r="R1520" i="3"/>
  <c r="Q1520" i="3"/>
  <c r="P1520" i="3"/>
  <c r="O1520" i="3"/>
  <c r="AG1519" i="3"/>
  <c r="R1519" i="3"/>
  <c r="Q1519" i="3"/>
  <c r="P1519" i="3"/>
  <c r="O1519" i="3"/>
  <c r="I1519" i="3"/>
  <c r="AG1518" i="3"/>
  <c r="R1518" i="3"/>
  <c r="Q1518" i="3"/>
  <c r="H1518" i="3" s="1"/>
  <c r="P1518" i="3"/>
  <c r="O1518" i="3"/>
  <c r="AG1517" i="3"/>
  <c r="R1517" i="3"/>
  <c r="Q1517" i="3"/>
  <c r="AH1517" i="3" s="1"/>
  <c r="P1517" i="3"/>
  <c r="O1517" i="3"/>
  <c r="AG1516" i="3"/>
  <c r="R1516" i="3"/>
  <c r="Q1516" i="3"/>
  <c r="AH1516" i="3" s="1"/>
  <c r="P1516" i="3"/>
  <c r="O1516" i="3"/>
  <c r="AG1515" i="3"/>
  <c r="R1515" i="3"/>
  <c r="Q1515" i="3"/>
  <c r="P1515" i="3"/>
  <c r="O1515" i="3"/>
  <c r="I1515" i="3"/>
  <c r="AG1514" i="3"/>
  <c r="R1514" i="3"/>
  <c r="Q1514" i="3"/>
  <c r="H1514" i="3" s="1"/>
  <c r="P1514" i="3"/>
  <c r="O1514" i="3"/>
  <c r="AG1513" i="3"/>
  <c r="R1513" i="3"/>
  <c r="Q1513" i="3"/>
  <c r="E1513" i="3" s="1"/>
  <c r="F1513" i="3" s="1"/>
  <c r="P1513" i="3"/>
  <c r="O1513" i="3"/>
  <c r="AG1512" i="3"/>
  <c r="R1512" i="3"/>
  <c r="Q1512" i="3"/>
  <c r="C1512" i="3" s="1"/>
  <c r="D1512" i="3" s="1"/>
  <c r="P1512" i="3"/>
  <c r="O1512" i="3"/>
  <c r="AG1511" i="3"/>
  <c r="R1511" i="3"/>
  <c r="Q1511" i="3"/>
  <c r="P1511" i="3"/>
  <c r="O1511" i="3"/>
  <c r="I1511" i="3"/>
  <c r="AG1510" i="3"/>
  <c r="R1510" i="3"/>
  <c r="Q1510" i="3"/>
  <c r="P1510" i="3"/>
  <c r="O1510" i="3"/>
  <c r="AG1509" i="3"/>
  <c r="R1509" i="3"/>
  <c r="Q1509" i="3"/>
  <c r="P1509" i="3"/>
  <c r="O1509" i="3"/>
  <c r="I1509" i="3"/>
  <c r="AG1508" i="3"/>
  <c r="R1508" i="3"/>
  <c r="Q1508" i="3"/>
  <c r="P1508" i="3"/>
  <c r="O1508" i="3"/>
  <c r="AG1507" i="3"/>
  <c r="R1507" i="3"/>
  <c r="Q1507" i="3"/>
  <c r="P1507" i="3"/>
  <c r="O1507" i="3"/>
  <c r="I1507" i="3"/>
  <c r="AG1506" i="3"/>
  <c r="R1506" i="3"/>
  <c r="Q1506" i="3"/>
  <c r="AH1506" i="3" s="1"/>
  <c r="AL1506" i="3" s="1"/>
  <c r="P1506" i="3"/>
  <c r="O1506" i="3"/>
  <c r="AG1505" i="3"/>
  <c r="R1505" i="3"/>
  <c r="Q1505" i="3"/>
  <c r="P1505" i="3"/>
  <c r="O1505" i="3"/>
  <c r="I1505" i="3"/>
  <c r="AG1504" i="3"/>
  <c r="R1504" i="3"/>
  <c r="Q1504" i="3"/>
  <c r="P1504" i="3"/>
  <c r="O1504" i="3"/>
  <c r="AG1503" i="3"/>
  <c r="R1503" i="3"/>
  <c r="Q1503" i="3"/>
  <c r="P1503" i="3"/>
  <c r="O1503" i="3"/>
  <c r="I1503" i="3"/>
  <c r="AG1502" i="3"/>
  <c r="R1502" i="3"/>
  <c r="Q1502" i="3"/>
  <c r="C1502" i="3" s="1"/>
  <c r="D1502" i="3" s="1"/>
  <c r="P1502" i="3"/>
  <c r="O1502" i="3"/>
  <c r="I1502" i="3"/>
  <c r="AG1501" i="3"/>
  <c r="R1501" i="3"/>
  <c r="Q1501" i="3"/>
  <c r="P1501" i="3"/>
  <c r="O1501" i="3"/>
  <c r="I1501" i="3"/>
  <c r="AG1500" i="3"/>
  <c r="R1500" i="3"/>
  <c r="Q1500" i="3"/>
  <c r="H1500" i="3" s="1"/>
  <c r="P1500" i="3"/>
  <c r="O1500" i="3"/>
  <c r="AG1499" i="3"/>
  <c r="R1499" i="3"/>
  <c r="Q1499" i="3"/>
  <c r="P1499" i="3"/>
  <c r="O1499" i="3"/>
  <c r="AG1498" i="3"/>
  <c r="R1498" i="3"/>
  <c r="Q1498" i="3"/>
  <c r="C1498" i="3" s="1"/>
  <c r="D1498" i="3" s="1"/>
  <c r="P1498" i="3"/>
  <c r="O1498" i="3"/>
  <c r="AG1497" i="3"/>
  <c r="R1497" i="3"/>
  <c r="Q1497" i="3"/>
  <c r="P1497" i="3"/>
  <c r="O1497" i="3"/>
  <c r="AG1496" i="3"/>
  <c r="R1496" i="3"/>
  <c r="Q1496" i="3"/>
  <c r="P1496" i="3"/>
  <c r="O1496" i="3"/>
  <c r="I1496" i="3"/>
  <c r="AG1495" i="3"/>
  <c r="R1495" i="3"/>
  <c r="Q1495" i="3"/>
  <c r="E1495" i="3" s="1"/>
  <c r="F1495" i="3" s="1"/>
  <c r="P1495" i="3"/>
  <c r="O1495" i="3"/>
  <c r="AG1494" i="3"/>
  <c r="R1494" i="3"/>
  <c r="Q1494" i="3"/>
  <c r="H1494" i="3" s="1"/>
  <c r="P1494" i="3"/>
  <c r="O1494" i="3"/>
  <c r="I1494" i="3"/>
  <c r="AG1493" i="3"/>
  <c r="R1493" i="3"/>
  <c r="Q1493" i="3"/>
  <c r="P1493" i="3"/>
  <c r="O1493" i="3"/>
  <c r="AG1492" i="3"/>
  <c r="R1492" i="3"/>
  <c r="Q1492" i="3"/>
  <c r="P1492" i="3"/>
  <c r="O1492" i="3"/>
  <c r="AG1491" i="3"/>
  <c r="R1491" i="3"/>
  <c r="Q1491" i="3"/>
  <c r="P1491" i="3"/>
  <c r="O1491" i="3"/>
  <c r="I1491" i="3"/>
  <c r="AG1490" i="3"/>
  <c r="R1490" i="3"/>
  <c r="Q1490" i="3"/>
  <c r="P1490" i="3"/>
  <c r="O1490" i="3"/>
  <c r="AG1489" i="3"/>
  <c r="R1489" i="3"/>
  <c r="Q1489" i="3"/>
  <c r="C1489" i="3" s="1"/>
  <c r="D1489" i="3" s="1"/>
  <c r="P1489" i="3"/>
  <c r="O1489" i="3"/>
  <c r="AG1488" i="3"/>
  <c r="R1488" i="3"/>
  <c r="Q1488" i="3"/>
  <c r="C1488" i="3" s="1"/>
  <c r="D1488" i="3" s="1"/>
  <c r="P1488" i="3"/>
  <c r="O1488" i="3"/>
  <c r="AG1487" i="3"/>
  <c r="R1487" i="3"/>
  <c r="Q1487" i="3"/>
  <c r="P1487" i="3"/>
  <c r="O1487" i="3"/>
  <c r="AG1486" i="3"/>
  <c r="R1486" i="3"/>
  <c r="Q1486" i="3"/>
  <c r="C1486" i="3" s="1"/>
  <c r="D1486" i="3" s="1"/>
  <c r="P1486" i="3"/>
  <c r="O1486" i="3"/>
  <c r="AG1485" i="3"/>
  <c r="R1485" i="3"/>
  <c r="Q1485" i="3"/>
  <c r="P1485" i="3"/>
  <c r="O1485" i="3"/>
  <c r="I1485" i="3"/>
  <c r="AG1484" i="3"/>
  <c r="R1484" i="3"/>
  <c r="Q1484" i="3"/>
  <c r="P1484" i="3"/>
  <c r="O1484" i="3"/>
  <c r="AG1483" i="3"/>
  <c r="R1483" i="3"/>
  <c r="Q1483" i="3"/>
  <c r="P1483" i="3"/>
  <c r="O1483" i="3"/>
  <c r="AG1482" i="3"/>
  <c r="R1482" i="3"/>
  <c r="Q1482" i="3"/>
  <c r="C1482" i="3" s="1"/>
  <c r="D1482" i="3" s="1"/>
  <c r="P1482" i="3"/>
  <c r="O1482" i="3"/>
  <c r="I1482" i="3"/>
  <c r="AG1481" i="3"/>
  <c r="R1481" i="3"/>
  <c r="Q1481" i="3"/>
  <c r="H1481" i="3" s="1"/>
  <c r="P1481" i="3"/>
  <c r="O1481" i="3"/>
  <c r="AG1480" i="3"/>
  <c r="R1480" i="3"/>
  <c r="Q1480" i="3"/>
  <c r="E1480" i="3" s="1"/>
  <c r="F1480" i="3" s="1"/>
  <c r="P1480" i="3"/>
  <c r="O1480" i="3"/>
  <c r="AG1479" i="3"/>
  <c r="R1479" i="3"/>
  <c r="Q1479" i="3"/>
  <c r="H1479" i="3" s="1"/>
  <c r="P1479" i="3"/>
  <c r="O1479" i="3"/>
  <c r="AG1478" i="3"/>
  <c r="R1478" i="3"/>
  <c r="Q1478" i="3"/>
  <c r="E1478" i="3" s="1"/>
  <c r="F1478" i="3" s="1"/>
  <c r="P1478" i="3"/>
  <c r="O1478" i="3"/>
  <c r="AG1477" i="3"/>
  <c r="R1477" i="3"/>
  <c r="Q1477" i="3"/>
  <c r="P1477" i="3"/>
  <c r="O1477" i="3"/>
  <c r="AG1476" i="3"/>
  <c r="R1476" i="3"/>
  <c r="Q1476" i="3"/>
  <c r="H1476" i="3" s="1"/>
  <c r="P1476" i="3"/>
  <c r="O1476" i="3"/>
  <c r="AG1475" i="3"/>
  <c r="R1475" i="3"/>
  <c r="Q1475" i="3"/>
  <c r="P1475" i="3"/>
  <c r="O1475" i="3"/>
  <c r="AG1474" i="3"/>
  <c r="R1474" i="3"/>
  <c r="Q1474" i="3"/>
  <c r="AH1474" i="3" s="1"/>
  <c r="P1474" i="3"/>
  <c r="O1474" i="3"/>
  <c r="AG1473" i="3"/>
  <c r="R1473" i="3"/>
  <c r="Q1473" i="3"/>
  <c r="C1473" i="3" s="1"/>
  <c r="D1473" i="3" s="1"/>
  <c r="P1473" i="3"/>
  <c r="O1473" i="3"/>
  <c r="AG1472" i="3"/>
  <c r="R1472" i="3"/>
  <c r="Q1472" i="3"/>
  <c r="P1472" i="3"/>
  <c r="O1472" i="3"/>
  <c r="I1472" i="3"/>
  <c r="AG1471" i="3"/>
  <c r="R1471" i="3"/>
  <c r="Q1471" i="3"/>
  <c r="P1471" i="3"/>
  <c r="O1471" i="3"/>
  <c r="AG1470" i="3"/>
  <c r="R1470" i="3"/>
  <c r="Q1470" i="3"/>
  <c r="P1470" i="3"/>
  <c r="O1470" i="3"/>
  <c r="AG1469" i="3"/>
  <c r="R1469" i="3"/>
  <c r="Q1469" i="3"/>
  <c r="P1469" i="3"/>
  <c r="O1469" i="3"/>
  <c r="AG1468" i="3"/>
  <c r="R1468" i="3"/>
  <c r="Q1468" i="3"/>
  <c r="AH1468" i="3" s="1"/>
  <c r="P1468" i="3"/>
  <c r="O1468" i="3"/>
  <c r="AG1467" i="3"/>
  <c r="R1467" i="3"/>
  <c r="Q1467" i="3"/>
  <c r="P1467" i="3"/>
  <c r="O1467" i="3"/>
  <c r="AG1466" i="3"/>
  <c r="R1466" i="3"/>
  <c r="Q1466" i="3"/>
  <c r="P1466" i="3"/>
  <c r="O1466" i="3"/>
  <c r="AG1465" i="3"/>
  <c r="R1465" i="3"/>
  <c r="Q1465" i="3"/>
  <c r="E1465" i="3" s="1"/>
  <c r="F1465" i="3" s="1"/>
  <c r="P1465" i="3"/>
  <c r="O1465" i="3"/>
  <c r="AG1464" i="3"/>
  <c r="R1464" i="3"/>
  <c r="Q1464" i="3"/>
  <c r="C1464" i="3" s="1"/>
  <c r="D1464" i="3" s="1"/>
  <c r="P1464" i="3"/>
  <c r="O1464" i="3"/>
  <c r="I1464" i="3"/>
  <c r="AG1463" i="3"/>
  <c r="R1463" i="3"/>
  <c r="Q1463" i="3"/>
  <c r="C1463" i="3" s="1"/>
  <c r="D1463" i="3" s="1"/>
  <c r="P1463" i="3"/>
  <c r="O1463" i="3"/>
  <c r="AG1462" i="3"/>
  <c r="R1462" i="3"/>
  <c r="Q1462" i="3"/>
  <c r="P1462" i="3"/>
  <c r="O1462" i="3"/>
  <c r="AG1461" i="3"/>
  <c r="R1461" i="3"/>
  <c r="Q1461" i="3"/>
  <c r="P1461" i="3"/>
  <c r="O1461" i="3"/>
  <c r="AG1460" i="3"/>
  <c r="R1460" i="3"/>
  <c r="Q1460" i="3"/>
  <c r="P1460" i="3"/>
  <c r="O1460" i="3"/>
  <c r="I1460" i="3"/>
  <c r="AG1459" i="3"/>
  <c r="R1459" i="3"/>
  <c r="Q1459" i="3"/>
  <c r="AH1459" i="3" s="1"/>
  <c r="P1459" i="3"/>
  <c r="O1459" i="3"/>
  <c r="AG1458" i="3"/>
  <c r="R1458" i="3"/>
  <c r="Q1458" i="3"/>
  <c r="C1458" i="3" s="1"/>
  <c r="D1458" i="3" s="1"/>
  <c r="P1458" i="3"/>
  <c r="O1458" i="3"/>
  <c r="AG1457" i="3"/>
  <c r="R1457" i="3"/>
  <c r="Q1457" i="3"/>
  <c r="AH1457" i="3" s="1"/>
  <c r="P1457" i="3"/>
  <c r="O1457" i="3"/>
  <c r="AG1456" i="3"/>
  <c r="R1456" i="3"/>
  <c r="Q1456" i="3"/>
  <c r="AH1456" i="3" s="1"/>
  <c r="AJ1456" i="3" s="1"/>
  <c r="P1456" i="3"/>
  <c r="O1456" i="3"/>
  <c r="AG1455" i="3"/>
  <c r="R1455" i="3"/>
  <c r="Q1455" i="3"/>
  <c r="P1455" i="3"/>
  <c r="O1455" i="3"/>
  <c r="AG1454" i="3"/>
  <c r="R1454" i="3"/>
  <c r="Q1454" i="3"/>
  <c r="H1454" i="3" s="1"/>
  <c r="P1454" i="3"/>
  <c r="O1454" i="3"/>
  <c r="AG1453" i="3"/>
  <c r="R1453" i="3"/>
  <c r="Q1453" i="3"/>
  <c r="C1453" i="3" s="1"/>
  <c r="D1453" i="3" s="1"/>
  <c r="P1453" i="3"/>
  <c r="O1453" i="3"/>
  <c r="AG1452" i="3"/>
  <c r="R1452" i="3"/>
  <c r="Q1452" i="3"/>
  <c r="AH1452" i="3" s="1"/>
  <c r="P1452" i="3"/>
  <c r="O1452" i="3"/>
  <c r="AG1451" i="3"/>
  <c r="R1451" i="3"/>
  <c r="Q1451" i="3"/>
  <c r="P1451" i="3"/>
  <c r="O1451" i="3"/>
  <c r="AG1450" i="3"/>
  <c r="R1450" i="3"/>
  <c r="Q1450" i="3"/>
  <c r="H1450" i="3" s="1"/>
  <c r="P1450" i="3"/>
  <c r="O1450" i="3"/>
  <c r="I1450" i="3"/>
  <c r="AG1449" i="3"/>
  <c r="R1449" i="3"/>
  <c r="Q1449" i="3"/>
  <c r="P1449" i="3"/>
  <c r="O1449" i="3"/>
  <c r="I1449" i="3"/>
  <c r="AG1448" i="3"/>
  <c r="R1448" i="3"/>
  <c r="Q1448" i="3"/>
  <c r="P1448" i="3"/>
  <c r="O1448" i="3"/>
  <c r="AG1447" i="3"/>
  <c r="R1447" i="3"/>
  <c r="Q1447" i="3"/>
  <c r="P1447" i="3"/>
  <c r="O1447" i="3"/>
  <c r="AG1446" i="3"/>
  <c r="R1446" i="3"/>
  <c r="Q1446" i="3"/>
  <c r="H1446" i="3" s="1"/>
  <c r="P1446" i="3"/>
  <c r="O1446" i="3"/>
  <c r="I1446" i="3"/>
  <c r="AG1445" i="3"/>
  <c r="R1445" i="3"/>
  <c r="Q1445" i="3"/>
  <c r="P1445" i="3"/>
  <c r="O1445" i="3"/>
  <c r="AG1444" i="3"/>
  <c r="R1444" i="3"/>
  <c r="Q1444" i="3"/>
  <c r="AH1444" i="3" s="1"/>
  <c r="P1444" i="3"/>
  <c r="O1444" i="3"/>
  <c r="AG1443" i="3"/>
  <c r="R1443" i="3"/>
  <c r="Q1443" i="3"/>
  <c r="AH1443" i="3" s="1"/>
  <c r="AL1443" i="3" s="1"/>
  <c r="P1443" i="3"/>
  <c r="O1443" i="3"/>
  <c r="AG1442" i="3"/>
  <c r="R1442" i="3"/>
  <c r="Q1442" i="3"/>
  <c r="AH1442" i="3" s="1"/>
  <c r="AL1442" i="3" s="1"/>
  <c r="P1442" i="3"/>
  <c r="O1442" i="3"/>
  <c r="AG1441" i="3"/>
  <c r="R1441" i="3"/>
  <c r="Q1441" i="3"/>
  <c r="C1441" i="3" s="1"/>
  <c r="D1441" i="3" s="1"/>
  <c r="P1441" i="3"/>
  <c r="O1441" i="3"/>
  <c r="AG1440" i="3"/>
  <c r="R1440" i="3"/>
  <c r="Q1440" i="3"/>
  <c r="P1440" i="3"/>
  <c r="O1440" i="3"/>
  <c r="AG1439" i="3"/>
  <c r="R1439" i="3"/>
  <c r="Q1439" i="3"/>
  <c r="P1439" i="3"/>
  <c r="O1439" i="3"/>
  <c r="AG1438" i="3"/>
  <c r="R1438" i="3"/>
  <c r="Q1438" i="3"/>
  <c r="E1438" i="3" s="1"/>
  <c r="F1438" i="3" s="1"/>
  <c r="P1438" i="3"/>
  <c r="O1438" i="3"/>
  <c r="AG1437" i="3"/>
  <c r="R1437" i="3"/>
  <c r="Q1437" i="3"/>
  <c r="P1437" i="3"/>
  <c r="O1437" i="3"/>
  <c r="AG1436" i="3"/>
  <c r="R1436" i="3"/>
  <c r="Q1436" i="3"/>
  <c r="P1436" i="3"/>
  <c r="O1436" i="3"/>
  <c r="I1436" i="3"/>
  <c r="AG1435" i="3"/>
  <c r="R1435" i="3"/>
  <c r="Q1435" i="3"/>
  <c r="H1435" i="3" s="1"/>
  <c r="P1435" i="3"/>
  <c r="O1435" i="3"/>
  <c r="AG1434" i="3"/>
  <c r="R1434" i="3"/>
  <c r="Q1434" i="3"/>
  <c r="AH1434" i="3" s="1"/>
  <c r="P1434" i="3"/>
  <c r="O1434" i="3"/>
  <c r="AG1433" i="3"/>
  <c r="R1433" i="3"/>
  <c r="Q1433" i="3"/>
  <c r="E1433" i="3" s="1"/>
  <c r="F1433" i="3" s="1"/>
  <c r="P1433" i="3"/>
  <c r="O1433" i="3"/>
  <c r="AG1432" i="3"/>
  <c r="R1432" i="3"/>
  <c r="Q1432" i="3"/>
  <c r="P1432" i="3"/>
  <c r="O1432" i="3"/>
  <c r="AG1431" i="3"/>
  <c r="R1431" i="3"/>
  <c r="Q1431" i="3"/>
  <c r="AH1431" i="3" s="1"/>
  <c r="P1431" i="3"/>
  <c r="O1431" i="3"/>
  <c r="AG1430" i="3"/>
  <c r="R1430" i="3"/>
  <c r="Q1430" i="3"/>
  <c r="AH1430" i="3" s="1"/>
  <c r="P1430" i="3"/>
  <c r="O1430" i="3"/>
  <c r="AG1429" i="3"/>
  <c r="R1429" i="3"/>
  <c r="Q1429" i="3"/>
  <c r="AH1429" i="3" s="1"/>
  <c r="AL1429" i="3" s="1"/>
  <c r="P1429" i="3"/>
  <c r="O1429" i="3"/>
  <c r="AG1428" i="3"/>
  <c r="R1428" i="3"/>
  <c r="Q1428" i="3"/>
  <c r="AH1428" i="3" s="1"/>
  <c r="P1428" i="3"/>
  <c r="O1428" i="3"/>
  <c r="AG1427" i="3"/>
  <c r="R1427" i="3"/>
  <c r="Q1427" i="3"/>
  <c r="AH1427" i="3" s="1"/>
  <c r="P1427" i="3"/>
  <c r="O1427" i="3"/>
  <c r="AG1426" i="3"/>
  <c r="R1426" i="3"/>
  <c r="Q1426" i="3"/>
  <c r="P1426" i="3"/>
  <c r="O1426" i="3"/>
  <c r="AG1425" i="3"/>
  <c r="R1425" i="3"/>
  <c r="Q1425" i="3"/>
  <c r="AH1425" i="3" s="1"/>
  <c r="P1425" i="3"/>
  <c r="O1425" i="3"/>
  <c r="AG1424" i="3"/>
  <c r="R1424" i="3"/>
  <c r="Q1424" i="3"/>
  <c r="AH1424" i="3" s="1"/>
  <c r="AJ1424" i="3" s="1"/>
  <c r="P1424" i="3"/>
  <c r="O1424" i="3"/>
  <c r="AG1423" i="3"/>
  <c r="R1423" i="3"/>
  <c r="Q1423" i="3"/>
  <c r="AH1423" i="3" s="1"/>
  <c r="P1423" i="3"/>
  <c r="O1423" i="3"/>
  <c r="AG1422" i="3"/>
  <c r="R1422" i="3"/>
  <c r="Q1422" i="3"/>
  <c r="P1422" i="3"/>
  <c r="O1422" i="3"/>
  <c r="AG1421" i="3"/>
  <c r="R1421" i="3"/>
  <c r="Q1421" i="3"/>
  <c r="AH1421" i="3" s="1"/>
  <c r="P1421" i="3"/>
  <c r="O1421" i="3"/>
  <c r="AG1420" i="3"/>
  <c r="R1420" i="3"/>
  <c r="Q1420" i="3"/>
  <c r="AH1420" i="3" s="1"/>
  <c r="P1420" i="3"/>
  <c r="O1420" i="3"/>
  <c r="I1420" i="3"/>
  <c r="AG1419" i="3"/>
  <c r="R1419" i="3"/>
  <c r="Q1419" i="3"/>
  <c r="P1419" i="3"/>
  <c r="O1419" i="3"/>
  <c r="AG1418" i="3"/>
  <c r="R1418" i="3"/>
  <c r="Q1418" i="3"/>
  <c r="P1418" i="3"/>
  <c r="O1418" i="3"/>
  <c r="AG1417" i="3"/>
  <c r="R1417" i="3"/>
  <c r="Q1417" i="3"/>
  <c r="AH1417" i="3" s="1"/>
  <c r="P1417" i="3"/>
  <c r="O1417" i="3"/>
  <c r="I1417" i="3"/>
  <c r="AG1416" i="3"/>
  <c r="R1416" i="3"/>
  <c r="Q1416" i="3"/>
  <c r="P1416" i="3"/>
  <c r="O1416" i="3"/>
  <c r="AG1415" i="3"/>
  <c r="R1415" i="3"/>
  <c r="Q1415" i="3"/>
  <c r="H1415" i="3" s="1"/>
  <c r="P1415" i="3"/>
  <c r="O1415" i="3"/>
  <c r="I1415" i="3"/>
  <c r="AG1414" i="3"/>
  <c r="R1414" i="3"/>
  <c r="Q1414" i="3"/>
  <c r="P1414" i="3"/>
  <c r="O1414" i="3"/>
  <c r="AG1413" i="3"/>
  <c r="R1413" i="3"/>
  <c r="Q1413" i="3"/>
  <c r="P1413" i="3"/>
  <c r="O1413" i="3"/>
  <c r="I1413" i="3"/>
  <c r="AG1412" i="3"/>
  <c r="R1412" i="3"/>
  <c r="Q1412" i="3"/>
  <c r="AH1412" i="3" s="1"/>
  <c r="AJ1412" i="3" s="1"/>
  <c r="P1412" i="3"/>
  <c r="O1412" i="3"/>
  <c r="AG1411" i="3"/>
  <c r="R1411" i="3"/>
  <c r="Q1411" i="3"/>
  <c r="E1411" i="3" s="1"/>
  <c r="F1411" i="3" s="1"/>
  <c r="P1411" i="3"/>
  <c r="O1411" i="3"/>
  <c r="AG1410" i="3"/>
  <c r="R1410" i="3"/>
  <c r="Q1410" i="3"/>
  <c r="P1410" i="3"/>
  <c r="O1410" i="3"/>
  <c r="AG1409" i="3"/>
  <c r="R1409" i="3"/>
  <c r="Q1409" i="3"/>
  <c r="AH1409" i="3" s="1"/>
  <c r="AL1409" i="3" s="1"/>
  <c r="P1409" i="3"/>
  <c r="O1409" i="3"/>
  <c r="AG1408" i="3"/>
  <c r="R1408" i="3"/>
  <c r="Q1408" i="3"/>
  <c r="P1408" i="3"/>
  <c r="O1408" i="3"/>
  <c r="I1408" i="3"/>
  <c r="AG1407" i="3"/>
  <c r="R1407" i="3"/>
  <c r="Q1407" i="3"/>
  <c r="AH1407" i="3" s="1"/>
  <c r="P1407" i="3"/>
  <c r="O1407" i="3"/>
  <c r="I1407" i="3"/>
  <c r="AG1406" i="3"/>
  <c r="R1406" i="3"/>
  <c r="Q1406" i="3"/>
  <c r="H1406" i="3" s="1"/>
  <c r="P1406" i="3"/>
  <c r="O1406" i="3"/>
  <c r="AG1405" i="3"/>
  <c r="R1405" i="3"/>
  <c r="Q1405" i="3"/>
  <c r="H1405" i="3" s="1"/>
  <c r="P1405" i="3"/>
  <c r="O1405" i="3"/>
  <c r="AG1404" i="3"/>
  <c r="R1404" i="3"/>
  <c r="Q1404" i="3"/>
  <c r="P1404" i="3"/>
  <c r="O1404" i="3"/>
  <c r="AG1403" i="3"/>
  <c r="R1403" i="3"/>
  <c r="Q1403" i="3"/>
  <c r="P1403" i="3"/>
  <c r="O1403" i="3"/>
  <c r="AG1402" i="3"/>
  <c r="R1402" i="3"/>
  <c r="Q1402" i="3"/>
  <c r="P1402" i="3"/>
  <c r="O1402" i="3"/>
  <c r="AG1401" i="3"/>
  <c r="R1401" i="3"/>
  <c r="Q1401" i="3"/>
  <c r="H1401" i="3" s="1"/>
  <c r="P1401" i="3"/>
  <c r="O1401" i="3"/>
  <c r="AG1400" i="3"/>
  <c r="R1400" i="3"/>
  <c r="Q1400" i="3"/>
  <c r="H1400" i="3" s="1"/>
  <c r="P1400" i="3"/>
  <c r="O1400" i="3"/>
  <c r="I1400" i="3"/>
  <c r="AG1399" i="3"/>
  <c r="R1399" i="3"/>
  <c r="Q1399" i="3"/>
  <c r="AH1399" i="3" s="1"/>
  <c r="P1399" i="3"/>
  <c r="O1399" i="3"/>
  <c r="AG1398" i="3"/>
  <c r="R1398" i="3"/>
  <c r="Q1398" i="3"/>
  <c r="H1398" i="3" s="1"/>
  <c r="P1398" i="3"/>
  <c r="O1398" i="3"/>
  <c r="I1398" i="3"/>
  <c r="AG1397" i="3"/>
  <c r="R1397" i="3"/>
  <c r="Q1397" i="3"/>
  <c r="C1397" i="3" s="1"/>
  <c r="D1397" i="3" s="1"/>
  <c r="P1397" i="3"/>
  <c r="O1397" i="3"/>
  <c r="AG1396" i="3"/>
  <c r="R1396" i="3"/>
  <c r="Q1396" i="3"/>
  <c r="E1396" i="3" s="1"/>
  <c r="F1396" i="3" s="1"/>
  <c r="P1396" i="3"/>
  <c r="O1396" i="3"/>
  <c r="AG1395" i="3"/>
  <c r="R1395" i="3"/>
  <c r="Q1395" i="3"/>
  <c r="P1395" i="3"/>
  <c r="O1395" i="3"/>
  <c r="AG1394" i="3"/>
  <c r="R1394" i="3"/>
  <c r="Q1394" i="3"/>
  <c r="H1394" i="3" s="1"/>
  <c r="P1394" i="3"/>
  <c r="O1394" i="3"/>
  <c r="I1394" i="3"/>
  <c r="AG1393" i="3"/>
  <c r="R1393" i="3"/>
  <c r="Q1393" i="3"/>
  <c r="AH1393" i="3" s="1"/>
  <c r="P1393" i="3"/>
  <c r="O1393" i="3"/>
  <c r="AG1392" i="3"/>
  <c r="R1392" i="3"/>
  <c r="Q1392" i="3"/>
  <c r="AH1392" i="3" s="1"/>
  <c r="P1392" i="3"/>
  <c r="O1392" i="3"/>
  <c r="AG1391" i="3"/>
  <c r="R1391" i="3"/>
  <c r="Q1391" i="3"/>
  <c r="C1391" i="3" s="1"/>
  <c r="D1391" i="3" s="1"/>
  <c r="P1391" i="3"/>
  <c r="O1391" i="3"/>
  <c r="I1391" i="3"/>
  <c r="AG1390" i="3"/>
  <c r="R1390" i="3"/>
  <c r="Q1390" i="3"/>
  <c r="C1390" i="3" s="1"/>
  <c r="D1390" i="3" s="1"/>
  <c r="P1390" i="3"/>
  <c r="O1390" i="3"/>
  <c r="AG1389" i="3"/>
  <c r="R1389" i="3"/>
  <c r="Q1389" i="3"/>
  <c r="E1389" i="3" s="1"/>
  <c r="F1389" i="3" s="1"/>
  <c r="P1389" i="3"/>
  <c r="O1389" i="3"/>
  <c r="AG1388" i="3"/>
  <c r="R1388" i="3"/>
  <c r="Q1388" i="3"/>
  <c r="H1388" i="3" s="1"/>
  <c r="P1388" i="3"/>
  <c r="O1388" i="3"/>
  <c r="AG1387" i="3"/>
  <c r="R1387" i="3"/>
  <c r="Q1387" i="3"/>
  <c r="E1387" i="3" s="1"/>
  <c r="F1387" i="3" s="1"/>
  <c r="P1387" i="3"/>
  <c r="O1387" i="3"/>
  <c r="AG1386" i="3"/>
  <c r="R1386" i="3"/>
  <c r="Q1386" i="3"/>
  <c r="C1386" i="3" s="1"/>
  <c r="D1386" i="3" s="1"/>
  <c r="P1386" i="3"/>
  <c r="O1386" i="3"/>
  <c r="AG1385" i="3"/>
  <c r="R1385" i="3"/>
  <c r="Q1385" i="3"/>
  <c r="E1385" i="3" s="1"/>
  <c r="F1385" i="3" s="1"/>
  <c r="P1385" i="3"/>
  <c r="O1385" i="3"/>
  <c r="AG1384" i="3"/>
  <c r="R1384" i="3"/>
  <c r="Q1384" i="3"/>
  <c r="AH1384" i="3" s="1"/>
  <c r="P1384" i="3"/>
  <c r="O1384" i="3"/>
  <c r="AG1383" i="3"/>
  <c r="R1383" i="3"/>
  <c r="Q1383" i="3"/>
  <c r="AH1383" i="3" s="1"/>
  <c r="P1383" i="3"/>
  <c r="O1383" i="3"/>
  <c r="AG1382" i="3"/>
  <c r="R1382" i="3"/>
  <c r="Q1382" i="3"/>
  <c r="P1382" i="3"/>
  <c r="O1382" i="3"/>
  <c r="AG1381" i="3"/>
  <c r="R1381" i="3"/>
  <c r="Q1381" i="3"/>
  <c r="E1381" i="3" s="1"/>
  <c r="F1381" i="3" s="1"/>
  <c r="P1381" i="3"/>
  <c r="O1381" i="3"/>
  <c r="AG1380" i="3"/>
  <c r="R1380" i="3"/>
  <c r="Q1380" i="3"/>
  <c r="P1380" i="3"/>
  <c r="O1380" i="3"/>
  <c r="AG1379" i="3"/>
  <c r="R1379" i="3"/>
  <c r="Q1379" i="3"/>
  <c r="P1379" i="3"/>
  <c r="O1379" i="3"/>
  <c r="AG1378" i="3"/>
  <c r="R1378" i="3"/>
  <c r="Q1378" i="3"/>
  <c r="P1378" i="3"/>
  <c r="O1378" i="3"/>
  <c r="AG1377" i="3"/>
  <c r="R1377" i="3"/>
  <c r="Q1377" i="3"/>
  <c r="P1377" i="3"/>
  <c r="O1377" i="3"/>
  <c r="AG1376" i="3"/>
  <c r="R1376" i="3"/>
  <c r="Q1376" i="3"/>
  <c r="P1376" i="3"/>
  <c r="O1376" i="3"/>
  <c r="AG1375" i="3"/>
  <c r="R1375" i="3"/>
  <c r="Q1375" i="3"/>
  <c r="E1375" i="3" s="1"/>
  <c r="F1375" i="3" s="1"/>
  <c r="P1375" i="3"/>
  <c r="O1375" i="3"/>
  <c r="AG1374" i="3"/>
  <c r="R1374" i="3"/>
  <c r="Q1374" i="3"/>
  <c r="P1374" i="3"/>
  <c r="O1374" i="3"/>
  <c r="AG1373" i="3"/>
  <c r="R1373" i="3"/>
  <c r="Q1373" i="3"/>
  <c r="P1373" i="3"/>
  <c r="O1373" i="3"/>
  <c r="AG1372" i="3"/>
  <c r="R1372" i="3"/>
  <c r="Q1372" i="3"/>
  <c r="P1372" i="3"/>
  <c r="O1372" i="3"/>
  <c r="AG1371" i="3"/>
  <c r="R1371" i="3"/>
  <c r="Q1371" i="3"/>
  <c r="P1371" i="3"/>
  <c r="O1371" i="3"/>
  <c r="AG1370" i="3"/>
  <c r="R1370" i="3"/>
  <c r="Q1370" i="3"/>
  <c r="H1370" i="3" s="1"/>
  <c r="P1370" i="3"/>
  <c r="O1370" i="3"/>
  <c r="AG1369" i="3"/>
  <c r="R1369" i="3"/>
  <c r="Q1369" i="3"/>
  <c r="H1369" i="3" s="1"/>
  <c r="P1369" i="3"/>
  <c r="O1369" i="3"/>
  <c r="AG1368" i="3"/>
  <c r="R1368" i="3"/>
  <c r="Q1368" i="3"/>
  <c r="P1368" i="3"/>
  <c r="O1368" i="3"/>
  <c r="AG1367" i="3"/>
  <c r="R1367" i="3"/>
  <c r="Q1367" i="3"/>
  <c r="E1367" i="3" s="1"/>
  <c r="F1367" i="3" s="1"/>
  <c r="P1367" i="3"/>
  <c r="O1367" i="3"/>
  <c r="AG1366" i="3"/>
  <c r="R1366" i="3"/>
  <c r="Q1366" i="3"/>
  <c r="H1366" i="3" s="1"/>
  <c r="P1366" i="3"/>
  <c r="O1366" i="3"/>
  <c r="AG1365" i="3"/>
  <c r="R1365" i="3"/>
  <c r="Q1365" i="3"/>
  <c r="P1365" i="3"/>
  <c r="O1365" i="3"/>
  <c r="AG1364" i="3"/>
  <c r="R1364" i="3"/>
  <c r="Q1364" i="3"/>
  <c r="AH1364" i="3" s="1"/>
  <c r="P1364" i="3"/>
  <c r="O1364" i="3"/>
  <c r="AG1363" i="3"/>
  <c r="R1363" i="3"/>
  <c r="Q1363" i="3"/>
  <c r="P1363" i="3"/>
  <c r="O1363" i="3"/>
  <c r="AG1362" i="3"/>
  <c r="R1362" i="3"/>
  <c r="Q1362" i="3"/>
  <c r="AH1362" i="3" s="1"/>
  <c r="P1362" i="3"/>
  <c r="O1362" i="3"/>
  <c r="AG1361" i="3"/>
  <c r="R1361" i="3"/>
  <c r="Q1361" i="3"/>
  <c r="AH1361" i="3" s="1"/>
  <c r="AL1361" i="3" s="1"/>
  <c r="P1361" i="3"/>
  <c r="O1361" i="3"/>
  <c r="AG1360" i="3"/>
  <c r="R1360" i="3"/>
  <c r="Q1360" i="3"/>
  <c r="E1360" i="3" s="1"/>
  <c r="F1360" i="3" s="1"/>
  <c r="P1360" i="3"/>
  <c r="O1360" i="3"/>
  <c r="AG1359" i="3"/>
  <c r="R1359" i="3"/>
  <c r="Q1359" i="3"/>
  <c r="P1359" i="3"/>
  <c r="O1359" i="3"/>
  <c r="I1359" i="3"/>
  <c r="AG1358" i="3"/>
  <c r="R1358" i="3"/>
  <c r="Q1358" i="3"/>
  <c r="H1358" i="3" s="1"/>
  <c r="P1358" i="3"/>
  <c r="O1358" i="3"/>
  <c r="I1358" i="3"/>
  <c r="AG1357" i="3"/>
  <c r="R1357" i="3"/>
  <c r="Q1357" i="3"/>
  <c r="AH1357" i="3" s="1"/>
  <c r="P1357" i="3"/>
  <c r="O1357" i="3"/>
  <c r="AG1356" i="3"/>
  <c r="R1356" i="3"/>
  <c r="Q1356" i="3"/>
  <c r="AH1356" i="3" s="1"/>
  <c r="P1356" i="3"/>
  <c r="O1356" i="3"/>
  <c r="I1356" i="3"/>
  <c r="AG1355" i="3"/>
  <c r="R1355" i="3"/>
  <c r="Q1355" i="3"/>
  <c r="AH1355" i="3" s="1"/>
  <c r="AJ1355" i="3" s="1"/>
  <c r="P1355" i="3"/>
  <c r="O1355" i="3"/>
  <c r="AG1354" i="3"/>
  <c r="R1354" i="3"/>
  <c r="Q1354" i="3"/>
  <c r="AH1354" i="3" s="1"/>
  <c r="AL1354" i="3" s="1"/>
  <c r="P1354" i="3"/>
  <c r="O1354" i="3"/>
  <c r="AG1353" i="3"/>
  <c r="R1353" i="3"/>
  <c r="Q1353" i="3"/>
  <c r="P1353" i="3"/>
  <c r="O1353" i="3"/>
  <c r="I1353" i="3"/>
  <c r="AG1352" i="3"/>
  <c r="R1352" i="3"/>
  <c r="Q1352" i="3"/>
  <c r="P1352" i="3"/>
  <c r="O1352" i="3"/>
  <c r="AG1351" i="3"/>
  <c r="R1351" i="3"/>
  <c r="Q1351" i="3"/>
  <c r="P1351" i="3"/>
  <c r="O1351" i="3"/>
  <c r="AG1350" i="3"/>
  <c r="R1350" i="3"/>
  <c r="Q1350" i="3"/>
  <c r="H1350" i="3" s="1"/>
  <c r="P1350" i="3"/>
  <c r="O1350" i="3"/>
  <c r="AG1349" i="3"/>
  <c r="R1349" i="3"/>
  <c r="Q1349" i="3"/>
  <c r="P1349" i="3"/>
  <c r="O1349" i="3"/>
  <c r="AG1348" i="3"/>
  <c r="R1348" i="3"/>
  <c r="Q1348" i="3"/>
  <c r="E1348" i="3" s="1"/>
  <c r="F1348" i="3" s="1"/>
  <c r="P1348" i="3"/>
  <c r="O1348" i="3"/>
  <c r="AG1347" i="3"/>
  <c r="R1347" i="3"/>
  <c r="Q1347" i="3"/>
  <c r="P1347" i="3"/>
  <c r="O1347" i="3"/>
  <c r="AG1346" i="3"/>
  <c r="R1346" i="3"/>
  <c r="Q1346" i="3"/>
  <c r="P1346" i="3"/>
  <c r="O1346" i="3"/>
  <c r="AG1345" i="3"/>
  <c r="R1345" i="3"/>
  <c r="Q1345" i="3"/>
  <c r="AH1345" i="3" s="1"/>
  <c r="AJ1345" i="3" s="1"/>
  <c r="P1345" i="3"/>
  <c r="O1345" i="3"/>
  <c r="AG1344" i="3"/>
  <c r="R1344" i="3"/>
  <c r="Q1344" i="3"/>
  <c r="P1344" i="3"/>
  <c r="O1344" i="3"/>
  <c r="AG1343" i="3"/>
  <c r="R1343" i="3"/>
  <c r="Q1343" i="3"/>
  <c r="AH1343" i="3" s="1"/>
  <c r="AL1343" i="3" s="1"/>
  <c r="P1343" i="3"/>
  <c r="O1343" i="3"/>
  <c r="AG1342" i="3"/>
  <c r="R1342" i="3"/>
  <c r="Q1342" i="3"/>
  <c r="AH1342" i="3" s="1"/>
  <c r="P1342" i="3"/>
  <c r="O1342" i="3"/>
  <c r="AG1341" i="3"/>
  <c r="R1341" i="3"/>
  <c r="Q1341" i="3"/>
  <c r="P1341" i="3"/>
  <c r="O1341" i="3"/>
  <c r="AG1340" i="3"/>
  <c r="R1340" i="3"/>
  <c r="Q1340" i="3"/>
  <c r="E1340" i="3" s="1"/>
  <c r="F1340" i="3" s="1"/>
  <c r="P1340" i="3"/>
  <c r="O1340" i="3"/>
  <c r="AG1339" i="3"/>
  <c r="R1339" i="3"/>
  <c r="Q1339" i="3"/>
  <c r="AH1339" i="3" s="1"/>
  <c r="P1339" i="3"/>
  <c r="O1339" i="3"/>
  <c r="AG1338" i="3"/>
  <c r="R1338" i="3"/>
  <c r="Q1338" i="3"/>
  <c r="P1338" i="3"/>
  <c r="O1338" i="3"/>
  <c r="AG1337" i="3"/>
  <c r="R1337" i="3"/>
  <c r="Q1337" i="3"/>
  <c r="P1337" i="3"/>
  <c r="O1337" i="3"/>
  <c r="AG1336" i="3"/>
  <c r="R1336" i="3"/>
  <c r="Q1336" i="3"/>
  <c r="E1336" i="3" s="1"/>
  <c r="F1336" i="3" s="1"/>
  <c r="P1336" i="3"/>
  <c r="O1336" i="3"/>
  <c r="AG1335" i="3"/>
  <c r="R1335" i="3"/>
  <c r="Q1335" i="3"/>
  <c r="AH1335" i="3" s="1"/>
  <c r="AL1335" i="3" s="1"/>
  <c r="P1335" i="3"/>
  <c r="O1335" i="3"/>
  <c r="AG1334" i="3"/>
  <c r="R1334" i="3"/>
  <c r="Q1334" i="3"/>
  <c r="E1334" i="3" s="1"/>
  <c r="F1334" i="3" s="1"/>
  <c r="P1334" i="3"/>
  <c r="O1334" i="3"/>
  <c r="AG1333" i="3"/>
  <c r="R1333" i="3"/>
  <c r="Q1333" i="3"/>
  <c r="E1333" i="3" s="1"/>
  <c r="F1333" i="3" s="1"/>
  <c r="P1333" i="3"/>
  <c r="O1333" i="3"/>
  <c r="AG1332" i="3"/>
  <c r="R1332" i="3"/>
  <c r="Q1332" i="3"/>
  <c r="P1332" i="3"/>
  <c r="O1332" i="3"/>
  <c r="AG1331" i="3"/>
  <c r="R1331" i="3"/>
  <c r="Q1331" i="3"/>
  <c r="P1331" i="3"/>
  <c r="O1331" i="3"/>
  <c r="AG1330" i="3"/>
  <c r="R1330" i="3"/>
  <c r="Q1330" i="3"/>
  <c r="P1330" i="3"/>
  <c r="O1330" i="3"/>
  <c r="I1330" i="3"/>
  <c r="AG1329" i="3"/>
  <c r="R1329" i="3"/>
  <c r="Q1329" i="3"/>
  <c r="P1329" i="3"/>
  <c r="O1329" i="3"/>
  <c r="I1329" i="3"/>
  <c r="AG1328" i="3"/>
  <c r="R1328" i="3"/>
  <c r="Q1328" i="3"/>
  <c r="P1328" i="3"/>
  <c r="O1328" i="3"/>
  <c r="AG1327" i="3"/>
  <c r="R1327" i="3"/>
  <c r="Q1327" i="3"/>
  <c r="P1327" i="3"/>
  <c r="O1327" i="3"/>
  <c r="AG1326" i="3"/>
  <c r="R1326" i="3"/>
  <c r="Q1326" i="3"/>
  <c r="P1326" i="3"/>
  <c r="O1326" i="3"/>
  <c r="AG1325" i="3"/>
  <c r="R1325" i="3"/>
  <c r="Q1325" i="3"/>
  <c r="AH1325" i="3" s="1"/>
  <c r="P1325" i="3"/>
  <c r="O1325" i="3"/>
  <c r="I1325" i="3"/>
  <c r="AG1324" i="3"/>
  <c r="R1324" i="3"/>
  <c r="Q1324" i="3"/>
  <c r="P1324" i="3"/>
  <c r="O1324" i="3"/>
  <c r="AG1323" i="3"/>
  <c r="R1323" i="3"/>
  <c r="Q1323" i="3"/>
  <c r="P1323" i="3"/>
  <c r="O1323" i="3"/>
  <c r="I1323" i="3"/>
  <c r="AG1322" i="3"/>
  <c r="R1322" i="3"/>
  <c r="Q1322" i="3"/>
  <c r="H1322" i="3" s="1"/>
  <c r="P1322" i="3"/>
  <c r="O1322" i="3"/>
  <c r="AG1321" i="3"/>
  <c r="R1321" i="3"/>
  <c r="Q1321" i="3"/>
  <c r="P1321" i="3"/>
  <c r="O1321" i="3"/>
  <c r="I1321" i="3"/>
  <c r="AG1320" i="3"/>
  <c r="R1320" i="3"/>
  <c r="Q1320" i="3"/>
  <c r="P1320" i="3"/>
  <c r="O1320" i="3"/>
  <c r="AG1319" i="3"/>
  <c r="R1319" i="3"/>
  <c r="Q1319" i="3"/>
  <c r="E1319" i="3" s="1"/>
  <c r="F1319" i="3" s="1"/>
  <c r="P1319" i="3"/>
  <c r="O1319" i="3"/>
  <c r="AG1318" i="3"/>
  <c r="R1318" i="3"/>
  <c r="Q1318" i="3"/>
  <c r="P1318" i="3"/>
  <c r="O1318" i="3"/>
  <c r="I1318" i="3"/>
  <c r="AG1317" i="3"/>
  <c r="R1317" i="3"/>
  <c r="Q1317" i="3"/>
  <c r="P1317" i="3"/>
  <c r="O1317" i="3"/>
  <c r="AG1316" i="3"/>
  <c r="R1316" i="3"/>
  <c r="Q1316" i="3"/>
  <c r="P1316" i="3"/>
  <c r="O1316" i="3"/>
  <c r="I1316" i="3"/>
  <c r="AG1315" i="3"/>
  <c r="R1315" i="3"/>
  <c r="Q1315" i="3"/>
  <c r="C1315" i="3" s="1"/>
  <c r="D1315" i="3" s="1"/>
  <c r="P1315" i="3"/>
  <c r="O1315" i="3"/>
  <c r="AG1314" i="3"/>
  <c r="R1314" i="3"/>
  <c r="Q1314" i="3"/>
  <c r="P1314" i="3"/>
  <c r="O1314" i="3"/>
  <c r="AG1313" i="3"/>
  <c r="R1313" i="3"/>
  <c r="Q1313" i="3"/>
  <c r="E1313" i="3" s="1"/>
  <c r="F1313" i="3" s="1"/>
  <c r="P1313" i="3"/>
  <c r="O1313" i="3"/>
  <c r="AG1312" i="3"/>
  <c r="R1312" i="3"/>
  <c r="Q1312" i="3"/>
  <c r="P1312" i="3"/>
  <c r="O1312" i="3"/>
  <c r="AG1311" i="3"/>
  <c r="R1311" i="3"/>
  <c r="Q1311" i="3"/>
  <c r="E1311" i="3" s="1"/>
  <c r="F1311" i="3" s="1"/>
  <c r="P1311" i="3"/>
  <c r="O1311" i="3"/>
  <c r="AG1310" i="3"/>
  <c r="R1310" i="3"/>
  <c r="Q1310" i="3"/>
  <c r="E1310" i="3" s="1"/>
  <c r="F1310" i="3" s="1"/>
  <c r="P1310" i="3"/>
  <c r="O1310" i="3"/>
  <c r="AG1309" i="3"/>
  <c r="R1309" i="3"/>
  <c r="Q1309" i="3"/>
  <c r="C1309" i="3" s="1"/>
  <c r="D1309" i="3" s="1"/>
  <c r="P1309" i="3"/>
  <c r="O1309" i="3"/>
  <c r="AG1308" i="3"/>
  <c r="R1308" i="3"/>
  <c r="Q1308" i="3"/>
  <c r="P1308" i="3"/>
  <c r="O1308" i="3"/>
  <c r="AG1307" i="3"/>
  <c r="R1307" i="3"/>
  <c r="Q1307" i="3"/>
  <c r="H1307" i="3" s="1"/>
  <c r="P1307" i="3"/>
  <c r="O1307" i="3"/>
  <c r="AG1306" i="3"/>
  <c r="R1306" i="3"/>
  <c r="Q1306" i="3"/>
  <c r="P1306" i="3"/>
  <c r="O1306" i="3"/>
  <c r="AG1305" i="3"/>
  <c r="R1305" i="3"/>
  <c r="Q1305" i="3"/>
  <c r="P1305" i="3"/>
  <c r="O1305" i="3"/>
  <c r="AG1304" i="3"/>
  <c r="R1304" i="3"/>
  <c r="Q1304" i="3"/>
  <c r="H1304" i="3" s="1"/>
  <c r="P1304" i="3"/>
  <c r="O1304" i="3"/>
  <c r="AG1303" i="3"/>
  <c r="R1303" i="3"/>
  <c r="Q1303" i="3"/>
  <c r="P1303" i="3"/>
  <c r="O1303" i="3"/>
  <c r="AG1302" i="3"/>
  <c r="R1302" i="3"/>
  <c r="Q1302" i="3"/>
  <c r="E1302" i="3" s="1"/>
  <c r="F1302" i="3" s="1"/>
  <c r="P1302" i="3"/>
  <c r="O1302" i="3"/>
  <c r="AG1301" i="3"/>
  <c r="R1301" i="3"/>
  <c r="Q1301" i="3"/>
  <c r="C1301" i="3" s="1"/>
  <c r="D1301" i="3" s="1"/>
  <c r="P1301" i="3"/>
  <c r="O1301" i="3"/>
  <c r="AG1300" i="3"/>
  <c r="R1300" i="3"/>
  <c r="Q1300" i="3"/>
  <c r="C1300" i="3" s="1"/>
  <c r="D1300" i="3" s="1"/>
  <c r="P1300" i="3"/>
  <c r="O1300" i="3"/>
  <c r="AG1299" i="3"/>
  <c r="R1299" i="3"/>
  <c r="Q1299" i="3"/>
  <c r="AH1299" i="3" s="1"/>
  <c r="P1299" i="3"/>
  <c r="O1299" i="3"/>
  <c r="AG1298" i="3"/>
  <c r="R1298" i="3"/>
  <c r="Q1298" i="3"/>
  <c r="P1298" i="3"/>
  <c r="O1298" i="3"/>
  <c r="AG1297" i="3"/>
  <c r="R1297" i="3"/>
  <c r="Q1297" i="3"/>
  <c r="H1297" i="3" s="1"/>
  <c r="P1297" i="3"/>
  <c r="O1297" i="3"/>
  <c r="AG1296" i="3"/>
  <c r="R1296" i="3"/>
  <c r="Q1296" i="3"/>
  <c r="E1296" i="3" s="1"/>
  <c r="F1296" i="3" s="1"/>
  <c r="P1296" i="3"/>
  <c r="O1296" i="3"/>
  <c r="AG1295" i="3"/>
  <c r="R1295" i="3"/>
  <c r="Q1295" i="3"/>
  <c r="P1295" i="3"/>
  <c r="O1295" i="3"/>
  <c r="AG1294" i="3"/>
  <c r="R1294" i="3"/>
  <c r="Q1294" i="3"/>
  <c r="P1294" i="3"/>
  <c r="O1294" i="3"/>
  <c r="AG1293" i="3"/>
  <c r="R1293" i="3"/>
  <c r="Q1293" i="3"/>
  <c r="AH1293" i="3" s="1"/>
  <c r="P1293" i="3"/>
  <c r="O1293" i="3"/>
  <c r="AG1292" i="3"/>
  <c r="R1292" i="3"/>
  <c r="Q1292" i="3"/>
  <c r="P1292" i="3"/>
  <c r="O1292" i="3"/>
  <c r="AG1291" i="3"/>
  <c r="R1291" i="3"/>
  <c r="Q1291" i="3"/>
  <c r="P1291" i="3"/>
  <c r="O1291" i="3"/>
  <c r="AG1290" i="3"/>
  <c r="R1290" i="3"/>
  <c r="Q1290" i="3"/>
  <c r="P1290" i="3"/>
  <c r="O1290" i="3"/>
  <c r="AG1289" i="3"/>
  <c r="R1289" i="3"/>
  <c r="Q1289" i="3"/>
  <c r="H1289" i="3" s="1"/>
  <c r="P1289" i="3"/>
  <c r="O1289" i="3"/>
  <c r="AG1288" i="3"/>
  <c r="R1288" i="3"/>
  <c r="Q1288" i="3"/>
  <c r="AH1288" i="3" s="1"/>
  <c r="P1288" i="3"/>
  <c r="O1288" i="3"/>
  <c r="AG1287" i="3"/>
  <c r="R1287" i="3"/>
  <c r="Q1287" i="3"/>
  <c r="P1287" i="3"/>
  <c r="O1287" i="3"/>
  <c r="AG1286" i="3"/>
  <c r="R1286" i="3"/>
  <c r="Q1286" i="3"/>
  <c r="P1286" i="3"/>
  <c r="O1286" i="3"/>
  <c r="I1286" i="3"/>
  <c r="AG1285" i="3"/>
  <c r="R1285" i="3"/>
  <c r="Q1285" i="3"/>
  <c r="P1285" i="3"/>
  <c r="O1285" i="3"/>
  <c r="AG1284" i="3"/>
  <c r="R1284" i="3"/>
  <c r="Q1284" i="3"/>
  <c r="P1284" i="3"/>
  <c r="O1284" i="3"/>
  <c r="AG1283" i="3"/>
  <c r="R1283" i="3"/>
  <c r="Q1283" i="3"/>
  <c r="C1283" i="3" s="1"/>
  <c r="D1283" i="3" s="1"/>
  <c r="P1283" i="3"/>
  <c r="O1283" i="3"/>
  <c r="I1283" i="3"/>
  <c r="AG1282" i="3"/>
  <c r="R1282" i="3"/>
  <c r="Q1282" i="3"/>
  <c r="P1282" i="3"/>
  <c r="O1282" i="3"/>
  <c r="AG1281" i="3"/>
  <c r="R1281" i="3"/>
  <c r="Q1281" i="3"/>
  <c r="AH1281" i="3" s="1"/>
  <c r="P1281" i="3"/>
  <c r="O1281" i="3"/>
  <c r="AG1280" i="3"/>
  <c r="R1280" i="3"/>
  <c r="Q1280" i="3"/>
  <c r="AH1280" i="3" s="1"/>
  <c r="P1280" i="3"/>
  <c r="O1280" i="3"/>
  <c r="AG1279" i="3"/>
  <c r="R1279" i="3"/>
  <c r="Q1279" i="3"/>
  <c r="AH1279" i="3" s="1"/>
  <c r="P1279" i="3"/>
  <c r="O1279" i="3"/>
  <c r="AG1278" i="3"/>
  <c r="R1278" i="3"/>
  <c r="Q1278" i="3"/>
  <c r="H1278" i="3" s="1"/>
  <c r="P1278" i="3"/>
  <c r="O1278" i="3"/>
  <c r="AG1277" i="3"/>
  <c r="R1277" i="3"/>
  <c r="Q1277" i="3"/>
  <c r="P1277" i="3"/>
  <c r="O1277" i="3"/>
  <c r="AG1276" i="3"/>
  <c r="R1276" i="3"/>
  <c r="Q1276" i="3"/>
  <c r="P1276" i="3"/>
  <c r="O1276" i="3"/>
  <c r="AG1275" i="3"/>
  <c r="R1275" i="3"/>
  <c r="Q1275" i="3"/>
  <c r="AH1275" i="3" s="1"/>
  <c r="P1275" i="3"/>
  <c r="O1275" i="3"/>
  <c r="AG1274" i="3"/>
  <c r="R1274" i="3"/>
  <c r="Q1274" i="3"/>
  <c r="AH1274" i="3" s="1"/>
  <c r="P1274" i="3"/>
  <c r="O1274" i="3"/>
  <c r="AG1273" i="3"/>
  <c r="R1273" i="3"/>
  <c r="Q1273" i="3"/>
  <c r="AH1273" i="3" s="1"/>
  <c r="P1273" i="3"/>
  <c r="O1273" i="3"/>
  <c r="AG1272" i="3"/>
  <c r="R1272" i="3"/>
  <c r="Q1272" i="3"/>
  <c r="AH1272" i="3" s="1"/>
  <c r="P1272" i="3"/>
  <c r="O1272" i="3"/>
  <c r="AG1271" i="3"/>
  <c r="R1271" i="3"/>
  <c r="Q1271" i="3"/>
  <c r="AH1271" i="3" s="1"/>
  <c r="P1271" i="3"/>
  <c r="O1271" i="3"/>
  <c r="AG1270" i="3"/>
  <c r="R1270" i="3"/>
  <c r="Q1270" i="3"/>
  <c r="H1270" i="3" s="1"/>
  <c r="P1270" i="3"/>
  <c r="O1270" i="3"/>
  <c r="AG1269" i="3"/>
  <c r="R1269" i="3"/>
  <c r="Q1269" i="3"/>
  <c r="C1269" i="3" s="1"/>
  <c r="D1269" i="3" s="1"/>
  <c r="P1269" i="3"/>
  <c r="O1269" i="3"/>
  <c r="AG1268" i="3"/>
  <c r="R1268" i="3"/>
  <c r="Q1268" i="3"/>
  <c r="H1268" i="3" s="1"/>
  <c r="P1268" i="3"/>
  <c r="O1268" i="3"/>
  <c r="AG1267" i="3"/>
  <c r="R1267" i="3"/>
  <c r="Q1267" i="3"/>
  <c r="AH1267" i="3" s="1"/>
  <c r="P1267" i="3"/>
  <c r="O1267" i="3"/>
  <c r="AG1266" i="3"/>
  <c r="R1266" i="3"/>
  <c r="Q1266" i="3"/>
  <c r="AH1266" i="3" s="1"/>
  <c r="P1266" i="3"/>
  <c r="O1266" i="3"/>
  <c r="AG1265" i="3"/>
  <c r="R1265" i="3"/>
  <c r="Q1265" i="3"/>
  <c r="AH1265" i="3" s="1"/>
  <c r="P1265" i="3"/>
  <c r="O1265" i="3"/>
  <c r="AG1264" i="3"/>
  <c r="R1264" i="3"/>
  <c r="Q1264" i="3"/>
  <c r="AH1264" i="3" s="1"/>
  <c r="P1264" i="3"/>
  <c r="O1264" i="3"/>
  <c r="AG1263" i="3"/>
  <c r="R1263" i="3"/>
  <c r="Q1263" i="3"/>
  <c r="AH1263" i="3" s="1"/>
  <c r="P1263" i="3"/>
  <c r="O1263" i="3"/>
  <c r="AG1262" i="3"/>
  <c r="R1262" i="3"/>
  <c r="Q1262" i="3"/>
  <c r="P1262" i="3"/>
  <c r="O1262" i="3"/>
  <c r="AG1261" i="3"/>
  <c r="R1261" i="3"/>
  <c r="Q1261" i="3"/>
  <c r="E1261" i="3" s="1"/>
  <c r="F1261" i="3" s="1"/>
  <c r="P1261" i="3"/>
  <c r="O1261" i="3"/>
  <c r="AG1260" i="3"/>
  <c r="R1260" i="3"/>
  <c r="Q1260" i="3"/>
  <c r="P1260" i="3"/>
  <c r="O1260" i="3"/>
  <c r="AG1259" i="3"/>
  <c r="R1259" i="3"/>
  <c r="Q1259" i="3"/>
  <c r="P1259" i="3"/>
  <c r="O1259" i="3"/>
  <c r="AG1258" i="3"/>
  <c r="R1258" i="3"/>
  <c r="Q1258" i="3"/>
  <c r="AH1258" i="3" s="1"/>
  <c r="P1258" i="3"/>
  <c r="O1258" i="3"/>
  <c r="AG1257" i="3"/>
  <c r="R1257" i="3"/>
  <c r="Q1257" i="3"/>
  <c r="AH1257" i="3" s="1"/>
  <c r="P1257" i="3"/>
  <c r="O1257" i="3"/>
  <c r="AG1256" i="3"/>
  <c r="R1256" i="3"/>
  <c r="Q1256" i="3"/>
  <c r="AH1256" i="3" s="1"/>
  <c r="AL1256" i="3" s="1"/>
  <c r="P1256" i="3"/>
  <c r="O1256" i="3"/>
  <c r="AG1255" i="3"/>
  <c r="R1255" i="3"/>
  <c r="Q1255" i="3"/>
  <c r="P1255" i="3"/>
  <c r="O1255" i="3"/>
  <c r="AG1254" i="3"/>
  <c r="R1254" i="3"/>
  <c r="Q1254" i="3"/>
  <c r="P1254" i="3"/>
  <c r="O1254" i="3"/>
  <c r="AG1253" i="3"/>
  <c r="R1253" i="3"/>
  <c r="Q1253" i="3"/>
  <c r="AH1253" i="3" s="1"/>
  <c r="P1253" i="3"/>
  <c r="O1253" i="3"/>
  <c r="AG1252" i="3"/>
  <c r="R1252" i="3"/>
  <c r="Q1252" i="3"/>
  <c r="P1252" i="3"/>
  <c r="O1252" i="3"/>
  <c r="AG1251" i="3"/>
  <c r="R1251" i="3"/>
  <c r="Q1251" i="3"/>
  <c r="P1251" i="3"/>
  <c r="O1251" i="3"/>
  <c r="AG1250" i="3"/>
  <c r="R1250" i="3"/>
  <c r="Q1250" i="3"/>
  <c r="P1250" i="3"/>
  <c r="O1250" i="3"/>
  <c r="AG1249" i="3"/>
  <c r="R1249" i="3"/>
  <c r="Q1249" i="3"/>
  <c r="P1249" i="3"/>
  <c r="O1249" i="3"/>
  <c r="AG1248" i="3"/>
  <c r="R1248" i="3"/>
  <c r="Q1248" i="3"/>
  <c r="C1248" i="3" s="1"/>
  <c r="D1248" i="3" s="1"/>
  <c r="P1248" i="3"/>
  <c r="O1248" i="3"/>
  <c r="AG1247" i="3"/>
  <c r="R1247" i="3"/>
  <c r="Q1247" i="3"/>
  <c r="C1247" i="3" s="1"/>
  <c r="D1247" i="3" s="1"/>
  <c r="P1247" i="3"/>
  <c r="O1247" i="3"/>
  <c r="AG1246" i="3"/>
  <c r="R1246" i="3"/>
  <c r="Q1246" i="3"/>
  <c r="P1246" i="3"/>
  <c r="O1246" i="3"/>
  <c r="AG1245" i="3"/>
  <c r="R1245" i="3"/>
  <c r="Q1245" i="3"/>
  <c r="P1245" i="3"/>
  <c r="O1245" i="3"/>
  <c r="AG1244" i="3"/>
  <c r="R1244" i="3"/>
  <c r="Q1244" i="3"/>
  <c r="P1244" i="3"/>
  <c r="O1244" i="3"/>
  <c r="AG1243" i="3"/>
  <c r="R1243" i="3"/>
  <c r="Q1243" i="3"/>
  <c r="P1243" i="3"/>
  <c r="O1243" i="3"/>
  <c r="AG1242" i="3"/>
  <c r="R1242" i="3"/>
  <c r="Q1242" i="3"/>
  <c r="P1242" i="3"/>
  <c r="O1242" i="3"/>
  <c r="AG1241" i="3"/>
  <c r="R1241" i="3"/>
  <c r="Q1241" i="3"/>
  <c r="H1241" i="3" s="1"/>
  <c r="P1241" i="3"/>
  <c r="O1241" i="3"/>
  <c r="AG1240" i="3"/>
  <c r="R1240" i="3"/>
  <c r="Q1240" i="3"/>
  <c r="AH1240" i="3" s="1"/>
  <c r="AL1240" i="3" s="1"/>
  <c r="P1240" i="3"/>
  <c r="O1240" i="3"/>
  <c r="AG1239" i="3"/>
  <c r="R1239" i="3"/>
  <c r="Q1239" i="3"/>
  <c r="C1239" i="3" s="1"/>
  <c r="D1239" i="3" s="1"/>
  <c r="P1239" i="3"/>
  <c r="O1239" i="3"/>
  <c r="AG1238" i="3"/>
  <c r="R1238" i="3"/>
  <c r="Q1238" i="3"/>
  <c r="H1238" i="3" s="1"/>
  <c r="P1238" i="3"/>
  <c r="O1238" i="3"/>
  <c r="AG1237" i="3"/>
  <c r="R1237" i="3"/>
  <c r="Q1237" i="3"/>
  <c r="P1237" i="3"/>
  <c r="O1237" i="3"/>
  <c r="AG1236" i="3"/>
  <c r="R1236" i="3"/>
  <c r="Q1236" i="3"/>
  <c r="P1236" i="3"/>
  <c r="O1236" i="3"/>
  <c r="AG1235" i="3"/>
  <c r="R1235" i="3"/>
  <c r="Q1235" i="3"/>
  <c r="C1235" i="3" s="1"/>
  <c r="D1235" i="3" s="1"/>
  <c r="P1235" i="3"/>
  <c r="O1235" i="3"/>
  <c r="AG1234" i="3"/>
  <c r="R1234" i="3"/>
  <c r="Q1234" i="3"/>
  <c r="P1234" i="3"/>
  <c r="O1234" i="3"/>
  <c r="AG1233" i="3"/>
  <c r="R1233" i="3"/>
  <c r="Q1233" i="3"/>
  <c r="E1233" i="3" s="1"/>
  <c r="F1233" i="3" s="1"/>
  <c r="P1233" i="3"/>
  <c r="O1233" i="3"/>
  <c r="AG1232" i="3"/>
  <c r="R1232" i="3"/>
  <c r="Q1232" i="3"/>
  <c r="P1232" i="3"/>
  <c r="O1232" i="3"/>
  <c r="AG1231" i="3"/>
  <c r="R1231" i="3"/>
  <c r="Q1231" i="3"/>
  <c r="P1231" i="3"/>
  <c r="O1231" i="3"/>
  <c r="AG1230" i="3"/>
  <c r="R1230" i="3"/>
  <c r="Q1230" i="3"/>
  <c r="C1230" i="3" s="1"/>
  <c r="D1230" i="3" s="1"/>
  <c r="P1230" i="3"/>
  <c r="O1230" i="3"/>
  <c r="AG1229" i="3"/>
  <c r="R1229" i="3"/>
  <c r="Q1229" i="3"/>
  <c r="H1229" i="3" s="1"/>
  <c r="P1229" i="3"/>
  <c r="O1229" i="3"/>
  <c r="AG1228" i="3"/>
  <c r="R1228" i="3"/>
  <c r="Q1228" i="3"/>
  <c r="AH1228" i="3" s="1"/>
  <c r="P1228" i="3"/>
  <c r="O1228" i="3"/>
  <c r="AG1227" i="3"/>
  <c r="R1227" i="3"/>
  <c r="Q1227" i="3"/>
  <c r="P1227" i="3"/>
  <c r="O1227" i="3"/>
  <c r="AG1226" i="3"/>
  <c r="R1226" i="3"/>
  <c r="Q1226" i="3"/>
  <c r="E1226" i="3" s="1"/>
  <c r="F1226" i="3" s="1"/>
  <c r="P1226" i="3"/>
  <c r="O1226" i="3"/>
  <c r="AG1225" i="3"/>
  <c r="R1225" i="3"/>
  <c r="Q1225" i="3"/>
  <c r="H1225" i="3" s="1"/>
  <c r="P1225" i="3"/>
  <c r="O1225" i="3"/>
  <c r="AG1224" i="3"/>
  <c r="R1224" i="3"/>
  <c r="Q1224" i="3"/>
  <c r="E1224" i="3" s="1"/>
  <c r="F1224" i="3" s="1"/>
  <c r="P1224" i="3"/>
  <c r="O1224" i="3"/>
  <c r="AG1223" i="3"/>
  <c r="R1223" i="3"/>
  <c r="Q1223" i="3"/>
  <c r="P1223" i="3"/>
  <c r="O1223" i="3"/>
  <c r="AG1222" i="3"/>
  <c r="R1222" i="3"/>
  <c r="Q1222" i="3"/>
  <c r="P1222" i="3"/>
  <c r="O1222" i="3"/>
  <c r="AG1221" i="3"/>
  <c r="R1221" i="3"/>
  <c r="Q1221" i="3"/>
  <c r="H1221" i="3" s="1"/>
  <c r="P1221" i="3"/>
  <c r="O1221" i="3"/>
  <c r="AG1220" i="3"/>
  <c r="R1220" i="3"/>
  <c r="Q1220" i="3"/>
  <c r="AH1220" i="3" s="1"/>
  <c r="P1220" i="3"/>
  <c r="O1220" i="3"/>
  <c r="AG1219" i="3"/>
  <c r="R1219" i="3"/>
  <c r="Q1219" i="3"/>
  <c r="AH1219" i="3" s="1"/>
  <c r="P1219" i="3"/>
  <c r="O1219" i="3"/>
  <c r="AG1218" i="3"/>
  <c r="R1218" i="3"/>
  <c r="Q1218" i="3"/>
  <c r="P1218" i="3"/>
  <c r="O1218" i="3"/>
  <c r="AG1217" i="3"/>
  <c r="R1217" i="3"/>
  <c r="Q1217" i="3"/>
  <c r="P1217" i="3"/>
  <c r="O1217" i="3"/>
  <c r="AG1216" i="3"/>
  <c r="R1216" i="3"/>
  <c r="Q1216" i="3"/>
  <c r="AH1216" i="3" s="1"/>
  <c r="AL1216" i="3" s="1"/>
  <c r="P1216" i="3"/>
  <c r="O1216" i="3"/>
  <c r="AG1215" i="3"/>
  <c r="R1215" i="3"/>
  <c r="Q1215" i="3"/>
  <c r="C1215" i="3" s="1"/>
  <c r="D1215" i="3" s="1"/>
  <c r="P1215" i="3"/>
  <c r="O1215" i="3"/>
  <c r="AG1214" i="3"/>
  <c r="R1214" i="3"/>
  <c r="Q1214" i="3"/>
  <c r="E1214" i="3" s="1"/>
  <c r="F1214" i="3" s="1"/>
  <c r="P1214" i="3"/>
  <c r="O1214" i="3"/>
  <c r="AG1213" i="3"/>
  <c r="R1213" i="3"/>
  <c r="Q1213" i="3"/>
  <c r="H1213" i="3" s="1"/>
  <c r="P1213" i="3"/>
  <c r="O1213" i="3"/>
  <c r="AG1212" i="3"/>
  <c r="R1212" i="3"/>
  <c r="Q1212" i="3"/>
  <c r="C1212" i="3" s="1"/>
  <c r="D1212" i="3" s="1"/>
  <c r="P1212" i="3"/>
  <c r="O1212" i="3"/>
  <c r="AG1211" i="3"/>
  <c r="R1211" i="3"/>
  <c r="Q1211" i="3"/>
  <c r="AH1211" i="3" s="1"/>
  <c r="AJ1211" i="3" s="1"/>
  <c r="P1211" i="3"/>
  <c r="O1211" i="3"/>
  <c r="AG1210" i="3"/>
  <c r="R1210" i="3"/>
  <c r="Q1210" i="3"/>
  <c r="P1210" i="3"/>
  <c r="O1210" i="3"/>
  <c r="AG1209" i="3"/>
  <c r="R1209" i="3"/>
  <c r="Q1209" i="3"/>
  <c r="P1209" i="3"/>
  <c r="O1209" i="3"/>
  <c r="AG1208" i="3"/>
  <c r="R1208" i="3"/>
  <c r="Q1208" i="3"/>
  <c r="AH1208" i="3" s="1"/>
  <c r="AJ1208" i="3" s="1"/>
  <c r="P1208" i="3"/>
  <c r="O1208" i="3"/>
  <c r="AG1207" i="3"/>
  <c r="R1207" i="3"/>
  <c r="Q1207" i="3"/>
  <c r="C1207" i="3" s="1"/>
  <c r="D1207" i="3" s="1"/>
  <c r="P1207" i="3"/>
  <c r="O1207" i="3"/>
  <c r="AG1206" i="3"/>
  <c r="R1206" i="3"/>
  <c r="Q1206" i="3"/>
  <c r="P1206" i="3"/>
  <c r="O1206" i="3"/>
  <c r="AG1205" i="3"/>
  <c r="R1205" i="3"/>
  <c r="Q1205" i="3"/>
  <c r="H1205" i="3" s="1"/>
  <c r="P1205" i="3"/>
  <c r="O1205" i="3"/>
  <c r="AG1204" i="3"/>
  <c r="R1204" i="3"/>
  <c r="Q1204" i="3"/>
  <c r="C1204" i="3" s="1"/>
  <c r="D1204" i="3" s="1"/>
  <c r="P1204" i="3"/>
  <c r="O1204" i="3"/>
  <c r="AG1203" i="3"/>
  <c r="R1203" i="3"/>
  <c r="Q1203" i="3"/>
  <c r="P1203" i="3"/>
  <c r="O1203" i="3"/>
  <c r="I1203" i="3"/>
  <c r="AG1202" i="3"/>
  <c r="R1202" i="3"/>
  <c r="Q1202" i="3"/>
  <c r="P1202" i="3"/>
  <c r="O1202" i="3"/>
  <c r="AG1201" i="3"/>
  <c r="R1201" i="3"/>
  <c r="Q1201" i="3"/>
  <c r="AH1201" i="3" s="1"/>
  <c r="AL1201" i="3" s="1"/>
  <c r="P1201" i="3"/>
  <c r="O1201" i="3"/>
  <c r="AG1200" i="3"/>
  <c r="R1200" i="3"/>
  <c r="Q1200" i="3"/>
  <c r="C1200" i="3" s="1"/>
  <c r="D1200" i="3" s="1"/>
  <c r="P1200" i="3"/>
  <c r="O1200" i="3"/>
  <c r="AG1199" i="3"/>
  <c r="R1199" i="3"/>
  <c r="Q1199" i="3"/>
  <c r="E1199" i="3" s="1"/>
  <c r="F1199" i="3" s="1"/>
  <c r="P1199" i="3"/>
  <c r="O1199" i="3"/>
  <c r="AG1198" i="3"/>
  <c r="R1198" i="3"/>
  <c r="Q1198" i="3"/>
  <c r="H1198" i="3" s="1"/>
  <c r="P1198" i="3"/>
  <c r="O1198" i="3"/>
  <c r="AG1197" i="3"/>
  <c r="R1197" i="3"/>
  <c r="Q1197" i="3"/>
  <c r="E1197" i="3" s="1"/>
  <c r="F1197" i="3" s="1"/>
  <c r="P1197" i="3"/>
  <c r="O1197" i="3"/>
  <c r="AG1196" i="3"/>
  <c r="R1196" i="3"/>
  <c r="Q1196" i="3"/>
  <c r="E1196" i="3" s="1"/>
  <c r="F1196" i="3" s="1"/>
  <c r="P1196" i="3"/>
  <c r="O1196" i="3"/>
  <c r="AG1195" i="3"/>
  <c r="R1195" i="3"/>
  <c r="Q1195" i="3"/>
  <c r="C1195" i="3" s="1"/>
  <c r="D1195" i="3" s="1"/>
  <c r="P1195" i="3"/>
  <c r="O1195" i="3"/>
  <c r="AG1194" i="3"/>
  <c r="R1194" i="3"/>
  <c r="Q1194" i="3"/>
  <c r="E1194" i="3" s="1"/>
  <c r="F1194" i="3" s="1"/>
  <c r="P1194" i="3"/>
  <c r="O1194" i="3"/>
  <c r="AG1193" i="3"/>
  <c r="R1193" i="3"/>
  <c r="Q1193" i="3"/>
  <c r="H1193" i="3" s="1"/>
  <c r="P1193" i="3"/>
  <c r="O1193" i="3"/>
  <c r="AG1192" i="3"/>
  <c r="R1192" i="3"/>
  <c r="Q1192" i="3"/>
  <c r="AH1192" i="3" s="1"/>
  <c r="P1192" i="3"/>
  <c r="O1192" i="3"/>
  <c r="AG1191" i="3"/>
  <c r="R1191" i="3"/>
  <c r="Q1191" i="3"/>
  <c r="AH1191" i="3" s="1"/>
  <c r="AL1191" i="3" s="1"/>
  <c r="P1191" i="3"/>
  <c r="O1191" i="3"/>
  <c r="AG1190" i="3"/>
  <c r="R1190" i="3"/>
  <c r="Q1190" i="3"/>
  <c r="P1190" i="3"/>
  <c r="O1190" i="3"/>
  <c r="AG1189" i="3"/>
  <c r="R1189" i="3"/>
  <c r="Q1189" i="3"/>
  <c r="P1189" i="3"/>
  <c r="O1189" i="3"/>
  <c r="I1189" i="3"/>
  <c r="AG1188" i="3"/>
  <c r="R1188" i="3"/>
  <c r="Q1188" i="3"/>
  <c r="P1188" i="3"/>
  <c r="O1188" i="3"/>
  <c r="AG1187" i="3"/>
  <c r="R1187" i="3"/>
  <c r="Q1187" i="3"/>
  <c r="E1187" i="3" s="1"/>
  <c r="F1187" i="3" s="1"/>
  <c r="P1187" i="3"/>
  <c r="O1187" i="3"/>
  <c r="AG1186" i="3"/>
  <c r="R1186" i="3"/>
  <c r="Q1186" i="3"/>
  <c r="P1186" i="3"/>
  <c r="O1186" i="3"/>
  <c r="I1186" i="3"/>
  <c r="AG1185" i="3"/>
  <c r="R1185" i="3"/>
  <c r="Q1185" i="3"/>
  <c r="AH1185" i="3" s="1"/>
  <c r="AL1185" i="3" s="1"/>
  <c r="P1185" i="3"/>
  <c r="O1185" i="3"/>
  <c r="AG1184" i="3"/>
  <c r="R1184" i="3"/>
  <c r="Q1184" i="3"/>
  <c r="H1184" i="3" s="1"/>
  <c r="P1184" i="3"/>
  <c r="O1184" i="3"/>
  <c r="AG1183" i="3"/>
  <c r="R1183" i="3"/>
  <c r="Q1183" i="3"/>
  <c r="C1183" i="3" s="1"/>
  <c r="D1183" i="3" s="1"/>
  <c r="P1183" i="3"/>
  <c r="O1183" i="3"/>
  <c r="I1183" i="3"/>
  <c r="AG1182" i="3"/>
  <c r="R1182" i="3"/>
  <c r="Q1182" i="3"/>
  <c r="E1182" i="3" s="1"/>
  <c r="F1182" i="3" s="1"/>
  <c r="P1182" i="3"/>
  <c r="O1182" i="3"/>
  <c r="AG1181" i="3"/>
  <c r="R1181" i="3"/>
  <c r="Q1181" i="3"/>
  <c r="C1181" i="3" s="1"/>
  <c r="D1181" i="3" s="1"/>
  <c r="P1181" i="3"/>
  <c r="O1181" i="3"/>
  <c r="AG1180" i="3"/>
  <c r="R1180" i="3"/>
  <c r="Q1180" i="3"/>
  <c r="P1180" i="3"/>
  <c r="O1180" i="3"/>
  <c r="AG1179" i="3"/>
  <c r="R1179" i="3"/>
  <c r="Q1179" i="3"/>
  <c r="AH1179" i="3" s="1"/>
  <c r="AJ1179" i="3" s="1"/>
  <c r="P1179" i="3"/>
  <c r="O1179" i="3"/>
  <c r="AG1178" i="3"/>
  <c r="R1178" i="3"/>
  <c r="Q1178" i="3"/>
  <c r="P1178" i="3"/>
  <c r="O1178" i="3"/>
  <c r="I1178" i="3"/>
  <c r="AG1177" i="3"/>
  <c r="R1177" i="3"/>
  <c r="Q1177" i="3"/>
  <c r="AH1177" i="3" s="1"/>
  <c r="AL1177" i="3" s="1"/>
  <c r="P1177" i="3"/>
  <c r="O1177" i="3"/>
  <c r="AG1176" i="3"/>
  <c r="R1176" i="3"/>
  <c r="Q1176" i="3"/>
  <c r="E1176" i="3" s="1"/>
  <c r="F1176" i="3" s="1"/>
  <c r="P1176" i="3"/>
  <c r="O1176" i="3"/>
  <c r="AG1175" i="3"/>
  <c r="R1175" i="3"/>
  <c r="Q1175" i="3"/>
  <c r="C1175" i="3" s="1"/>
  <c r="D1175" i="3" s="1"/>
  <c r="P1175" i="3"/>
  <c r="O1175" i="3"/>
  <c r="AG1174" i="3"/>
  <c r="R1174" i="3"/>
  <c r="Q1174" i="3"/>
  <c r="C1174" i="3" s="1"/>
  <c r="D1174" i="3" s="1"/>
  <c r="P1174" i="3"/>
  <c r="O1174" i="3"/>
  <c r="AG1173" i="3"/>
  <c r="R1173" i="3"/>
  <c r="Q1173" i="3"/>
  <c r="C1173" i="3" s="1"/>
  <c r="D1173" i="3" s="1"/>
  <c r="P1173" i="3"/>
  <c r="O1173" i="3"/>
  <c r="AG1172" i="3"/>
  <c r="R1172" i="3"/>
  <c r="Q1172" i="3"/>
  <c r="P1172" i="3"/>
  <c r="O1172" i="3"/>
  <c r="AG1171" i="3"/>
  <c r="R1171" i="3"/>
  <c r="Q1171" i="3"/>
  <c r="E1171" i="3" s="1"/>
  <c r="F1171" i="3" s="1"/>
  <c r="P1171" i="3"/>
  <c r="O1171" i="3"/>
  <c r="AG1170" i="3"/>
  <c r="R1170" i="3"/>
  <c r="Q1170" i="3"/>
  <c r="E1170" i="3" s="1"/>
  <c r="F1170" i="3" s="1"/>
  <c r="P1170" i="3"/>
  <c r="O1170" i="3"/>
  <c r="I1170" i="3"/>
  <c r="AG1169" i="3"/>
  <c r="R1169" i="3"/>
  <c r="Q1169" i="3"/>
  <c r="P1169" i="3"/>
  <c r="O1169" i="3"/>
  <c r="AG1168" i="3"/>
  <c r="R1168" i="3"/>
  <c r="Q1168" i="3"/>
  <c r="AH1168" i="3" s="1"/>
  <c r="P1168" i="3"/>
  <c r="O1168" i="3"/>
  <c r="I1168" i="3"/>
  <c r="AG1167" i="3"/>
  <c r="R1167" i="3"/>
  <c r="Q1167" i="3"/>
  <c r="P1167" i="3"/>
  <c r="O1167" i="3"/>
  <c r="AG1166" i="3"/>
  <c r="R1166" i="3"/>
  <c r="Q1166" i="3"/>
  <c r="AH1166" i="3" s="1"/>
  <c r="P1166" i="3"/>
  <c r="O1166" i="3"/>
  <c r="I1166" i="3"/>
  <c r="AG1165" i="3"/>
  <c r="R1165" i="3"/>
  <c r="Q1165" i="3"/>
  <c r="C1165" i="3" s="1"/>
  <c r="D1165" i="3" s="1"/>
  <c r="P1165" i="3"/>
  <c r="O1165" i="3"/>
  <c r="AG1164" i="3"/>
  <c r="R1164" i="3"/>
  <c r="Q1164" i="3"/>
  <c r="H1164" i="3" s="1"/>
  <c r="P1164" i="3"/>
  <c r="O1164" i="3"/>
  <c r="I1164" i="3"/>
  <c r="AG1163" i="3"/>
  <c r="R1163" i="3"/>
  <c r="Q1163" i="3"/>
  <c r="AH1163" i="3" s="1"/>
  <c r="P1163" i="3"/>
  <c r="O1163" i="3"/>
  <c r="AG1162" i="3"/>
  <c r="R1162" i="3"/>
  <c r="Q1162" i="3"/>
  <c r="E1162" i="3" s="1"/>
  <c r="F1162" i="3" s="1"/>
  <c r="P1162" i="3"/>
  <c r="O1162" i="3"/>
  <c r="I1162" i="3"/>
  <c r="AG1161" i="3"/>
  <c r="R1161" i="3"/>
  <c r="Q1161" i="3"/>
  <c r="C1161" i="3" s="1"/>
  <c r="D1161" i="3" s="1"/>
  <c r="P1161" i="3"/>
  <c r="O1161" i="3"/>
  <c r="AG1160" i="3"/>
  <c r="R1160" i="3"/>
  <c r="Q1160" i="3"/>
  <c r="C1160" i="3" s="1"/>
  <c r="D1160" i="3" s="1"/>
  <c r="P1160" i="3"/>
  <c r="O1160" i="3"/>
  <c r="I1160" i="3"/>
  <c r="AG1159" i="3"/>
  <c r="R1159" i="3"/>
  <c r="Q1159" i="3"/>
  <c r="P1159" i="3"/>
  <c r="O1159" i="3"/>
  <c r="AG1158" i="3"/>
  <c r="R1158" i="3"/>
  <c r="Q1158" i="3"/>
  <c r="H1158" i="3" s="1"/>
  <c r="P1158" i="3"/>
  <c r="O1158" i="3"/>
  <c r="AG1157" i="3"/>
  <c r="R1157" i="3"/>
  <c r="Q1157" i="3"/>
  <c r="P1157" i="3"/>
  <c r="O1157" i="3"/>
  <c r="AG1156" i="3"/>
  <c r="R1156" i="3"/>
  <c r="Q1156" i="3"/>
  <c r="C1156" i="3" s="1"/>
  <c r="D1156" i="3" s="1"/>
  <c r="P1156" i="3"/>
  <c r="O1156" i="3"/>
  <c r="AG1155" i="3"/>
  <c r="R1155" i="3"/>
  <c r="Q1155" i="3"/>
  <c r="P1155" i="3"/>
  <c r="O1155" i="3"/>
  <c r="AG1154" i="3"/>
  <c r="R1154" i="3"/>
  <c r="Q1154" i="3"/>
  <c r="E1154" i="3" s="1"/>
  <c r="F1154" i="3" s="1"/>
  <c r="P1154" i="3"/>
  <c r="O1154" i="3"/>
  <c r="AG1153" i="3"/>
  <c r="R1153" i="3"/>
  <c r="Q1153" i="3"/>
  <c r="H1153" i="3" s="1"/>
  <c r="P1153" i="3"/>
  <c r="O1153" i="3"/>
  <c r="AG1152" i="3"/>
  <c r="R1152" i="3"/>
  <c r="Q1152" i="3"/>
  <c r="P1152" i="3"/>
  <c r="O1152" i="3"/>
  <c r="I1152" i="3"/>
  <c r="AG1151" i="3"/>
  <c r="R1151" i="3"/>
  <c r="Q1151" i="3"/>
  <c r="P1151" i="3"/>
  <c r="O1151" i="3"/>
  <c r="AG1150" i="3"/>
  <c r="R1150" i="3"/>
  <c r="Q1150" i="3"/>
  <c r="AH1150" i="3" s="1"/>
  <c r="AL1150" i="3" s="1"/>
  <c r="P1150" i="3"/>
  <c r="O1150" i="3"/>
  <c r="AG1149" i="3"/>
  <c r="R1149" i="3"/>
  <c r="Q1149" i="3"/>
  <c r="P1149" i="3"/>
  <c r="O1149" i="3"/>
  <c r="I1149" i="3"/>
  <c r="AG1148" i="3"/>
  <c r="R1148" i="3"/>
  <c r="Q1148" i="3"/>
  <c r="P1148" i="3"/>
  <c r="O1148" i="3"/>
  <c r="AG1147" i="3"/>
  <c r="R1147" i="3"/>
  <c r="Q1147" i="3"/>
  <c r="P1147" i="3"/>
  <c r="O1147" i="3"/>
  <c r="AG1146" i="3"/>
  <c r="R1146" i="3"/>
  <c r="Q1146" i="3"/>
  <c r="H1146" i="3" s="1"/>
  <c r="P1146" i="3"/>
  <c r="O1146" i="3"/>
  <c r="I1146" i="3"/>
  <c r="AG1145" i="3"/>
  <c r="R1145" i="3"/>
  <c r="Q1145" i="3"/>
  <c r="AH1145" i="3" s="1"/>
  <c r="P1145" i="3"/>
  <c r="O1145" i="3"/>
  <c r="AG1144" i="3"/>
  <c r="R1144" i="3"/>
  <c r="Q1144" i="3"/>
  <c r="P1144" i="3"/>
  <c r="O1144" i="3"/>
  <c r="AG1143" i="3"/>
  <c r="R1143" i="3"/>
  <c r="Q1143" i="3"/>
  <c r="H1143" i="3" s="1"/>
  <c r="P1143" i="3"/>
  <c r="O1143" i="3"/>
  <c r="I1143" i="3"/>
  <c r="AG1142" i="3"/>
  <c r="R1142" i="3"/>
  <c r="Q1142" i="3"/>
  <c r="AH1142" i="3" s="1"/>
  <c r="P1142" i="3"/>
  <c r="O1142" i="3"/>
  <c r="AG1141" i="3"/>
  <c r="R1141" i="3"/>
  <c r="Q1141" i="3"/>
  <c r="E1141" i="3" s="1"/>
  <c r="F1141" i="3" s="1"/>
  <c r="P1141" i="3"/>
  <c r="O1141" i="3"/>
  <c r="I1141" i="3"/>
  <c r="AG1140" i="3"/>
  <c r="R1140" i="3"/>
  <c r="Q1140" i="3"/>
  <c r="C1140" i="3" s="1"/>
  <c r="D1140" i="3" s="1"/>
  <c r="P1140" i="3"/>
  <c r="O1140" i="3"/>
  <c r="AG1139" i="3"/>
  <c r="R1139" i="3"/>
  <c r="Q1139" i="3"/>
  <c r="E1139" i="3" s="1"/>
  <c r="F1139" i="3" s="1"/>
  <c r="P1139" i="3"/>
  <c r="O1139" i="3"/>
  <c r="I1139" i="3"/>
  <c r="AG1138" i="3"/>
  <c r="R1138" i="3"/>
  <c r="Q1138" i="3"/>
  <c r="AH1138" i="3" s="1"/>
  <c r="P1138" i="3"/>
  <c r="O1138" i="3"/>
  <c r="AG1137" i="3"/>
  <c r="R1137" i="3"/>
  <c r="Q1137" i="3"/>
  <c r="C1137" i="3" s="1"/>
  <c r="D1137" i="3" s="1"/>
  <c r="P1137" i="3"/>
  <c r="O1137" i="3"/>
  <c r="AG1136" i="3"/>
  <c r="R1136" i="3"/>
  <c r="Q1136" i="3"/>
  <c r="P1136" i="3"/>
  <c r="O1136" i="3"/>
  <c r="AG1135" i="3"/>
  <c r="R1135" i="3"/>
  <c r="Q1135" i="3"/>
  <c r="P1135" i="3"/>
  <c r="O1135" i="3"/>
  <c r="AG1134" i="3"/>
  <c r="R1134" i="3"/>
  <c r="Q1134" i="3"/>
  <c r="P1134" i="3"/>
  <c r="O1134" i="3"/>
  <c r="AG1133" i="3"/>
  <c r="R1133" i="3"/>
  <c r="Q1133" i="3"/>
  <c r="C1133" i="3" s="1"/>
  <c r="D1133" i="3" s="1"/>
  <c r="P1133" i="3"/>
  <c r="O1133" i="3"/>
  <c r="AG1132" i="3"/>
  <c r="R1132" i="3"/>
  <c r="Q1132" i="3"/>
  <c r="P1132" i="3"/>
  <c r="O1132" i="3"/>
  <c r="AG1131" i="3"/>
  <c r="R1131" i="3"/>
  <c r="Q1131" i="3"/>
  <c r="H1131" i="3" s="1"/>
  <c r="P1131" i="3"/>
  <c r="O1131" i="3"/>
  <c r="I1131" i="3"/>
  <c r="AG1130" i="3"/>
  <c r="R1130" i="3"/>
  <c r="Q1130" i="3"/>
  <c r="AH1130" i="3" s="1"/>
  <c r="AL1130" i="3" s="1"/>
  <c r="P1130" i="3"/>
  <c r="O1130" i="3"/>
  <c r="AG1129" i="3"/>
  <c r="R1129" i="3"/>
  <c r="Q1129" i="3"/>
  <c r="C1129" i="3" s="1"/>
  <c r="D1129" i="3" s="1"/>
  <c r="P1129" i="3"/>
  <c r="O1129" i="3"/>
  <c r="I1129" i="3"/>
  <c r="AG1128" i="3"/>
  <c r="R1128" i="3"/>
  <c r="Q1128" i="3"/>
  <c r="AH1128" i="3" s="1"/>
  <c r="AL1128" i="3" s="1"/>
  <c r="P1128" i="3"/>
  <c r="O1128" i="3"/>
  <c r="AG1127" i="3"/>
  <c r="R1127" i="3"/>
  <c r="Q1127" i="3"/>
  <c r="C1127" i="3" s="1"/>
  <c r="D1127" i="3" s="1"/>
  <c r="P1127" i="3"/>
  <c r="O1127" i="3"/>
  <c r="I1127" i="3"/>
  <c r="AG1126" i="3"/>
  <c r="R1126" i="3"/>
  <c r="Q1126" i="3"/>
  <c r="P1126" i="3"/>
  <c r="O1126" i="3"/>
  <c r="AG1125" i="3"/>
  <c r="R1125" i="3"/>
  <c r="Q1125" i="3"/>
  <c r="P1125" i="3"/>
  <c r="O1125" i="3"/>
  <c r="I1125" i="3"/>
  <c r="AG1124" i="3"/>
  <c r="R1124" i="3"/>
  <c r="Q1124" i="3"/>
  <c r="H1124" i="3" s="1"/>
  <c r="P1124" i="3"/>
  <c r="O1124" i="3"/>
  <c r="I1124" i="3"/>
  <c r="AG1123" i="3"/>
  <c r="R1123" i="3"/>
  <c r="Q1123" i="3"/>
  <c r="H1123" i="3" s="1"/>
  <c r="P1123" i="3"/>
  <c r="O1123" i="3"/>
  <c r="I1123" i="3"/>
  <c r="AG1122" i="3"/>
  <c r="R1122" i="3"/>
  <c r="Q1122" i="3"/>
  <c r="H1122" i="3" s="1"/>
  <c r="P1122" i="3"/>
  <c r="O1122" i="3"/>
  <c r="I1122" i="3"/>
  <c r="AG1121" i="3"/>
  <c r="R1121" i="3"/>
  <c r="Q1121" i="3"/>
  <c r="P1121" i="3"/>
  <c r="O1121" i="3"/>
  <c r="I1121" i="3"/>
  <c r="AG1120" i="3"/>
  <c r="R1120" i="3"/>
  <c r="Q1120" i="3"/>
  <c r="P1120" i="3"/>
  <c r="O1120" i="3"/>
  <c r="I1120" i="3"/>
  <c r="AG1119" i="3"/>
  <c r="R1119" i="3"/>
  <c r="Q1119" i="3"/>
  <c r="H1119" i="3" s="1"/>
  <c r="P1119" i="3"/>
  <c r="O1119" i="3"/>
  <c r="AG1118" i="3"/>
  <c r="R1118" i="3"/>
  <c r="Q1118" i="3"/>
  <c r="C1118" i="3" s="1"/>
  <c r="D1118" i="3" s="1"/>
  <c r="P1118" i="3"/>
  <c r="O1118" i="3"/>
  <c r="AG1117" i="3"/>
  <c r="R1117" i="3"/>
  <c r="Q1117" i="3"/>
  <c r="P1117" i="3"/>
  <c r="O1117" i="3"/>
  <c r="AG1116" i="3"/>
  <c r="R1116" i="3"/>
  <c r="Q1116" i="3"/>
  <c r="E1116" i="3" s="1"/>
  <c r="F1116" i="3" s="1"/>
  <c r="P1116" i="3"/>
  <c r="O1116" i="3"/>
  <c r="AG1115" i="3"/>
  <c r="R1115" i="3"/>
  <c r="Q1115" i="3"/>
  <c r="AH1115" i="3" s="1"/>
  <c r="P1115" i="3"/>
  <c r="O1115" i="3"/>
  <c r="AG1114" i="3"/>
  <c r="R1114" i="3"/>
  <c r="Q1114" i="3"/>
  <c r="C1114" i="3" s="1"/>
  <c r="D1114" i="3" s="1"/>
  <c r="P1114" i="3"/>
  <c r="O1114" i="3"/>
  <c r="AG1113" i="3"/>
  <c r="R1113" i="3"/>
  <c r="Q1113" i="3"/>
  <c r="H1113" i="3" s="1"/>
  <c r="P1113" i="3"/>
  <c r="O1113" i="3"/>
  <c r="I1113" i="3"/>
  <c r="AG1112" i="3"/>
  <c r="R1112" i="3"/>
  <c r="Q1112" i="3"/>
  <c r="AH1112" i="3" s="1"/>
  <c r="P1112" i="3"/>
  <c r="O1112" i="3"/>
  <c r="I1112" i="3"/>
  <c r="AG1111" i="3"/>
  <c r="R1111" i="3"/>
  <c r="Q1111" i="3"/>
  <c r="P1111" i="3"/>
  <c r="O1111" i="3"/>
  <c r="I1111" i="3"/>
  <c r="AG1110" i="3"/>
  <c r="R1110" i="3"/>
  <c r="Q1110" i="3"/>
  <c r="P1110" i="3"/>
  <c r="O1110" i="3"/>
  <c r="I1110" i="3"/>
  <c r="AG1109" i="3"/>
  <c r="R1109" i="3"/>
  <c r="Q1109" i="3"/>
  <c r="C1109" i="3" s="1"/>
  <c r="D1109" i="3" s="1"/>
  <c r="P1109" i="3"/>
  <c r="O1109" i="3"/>
  <c r="I1109" i="3"/>
  <c r="AG1108" i="3"/>
  <c r="R1108" i="3"/>
  <c r="Q1108" i="3"/>
  <c r="AH1108" i="3" s="1"/>
  <c r="P1108" i="3"/>
  <c r="O1108" i="3"/>
  <c r="I1108" i="3"/>
  <c r="AG1107" i="3"/>
  <c r="R1107" i="3"/>
  <c r="Q1107" i="3"/>
  <c r="AH1107" i="3" s="1"/>
  <c r="P1107" i="3"/>
  <c r="O1107" i="3"/>
  <c r="AG1106" i="3"/>
  <c r="R1106" i="3"/>
  <c r="Q1106" i="3"/>
  <c r="C1106" i="3" s="1"/>
  <c r="D1106" i="3" s="1"/>
  <c r="P1106" i="3"/>
  <c r="O1106" i="3"/>
  <c r="AG1105" i="3"/>
  <c r="R1105" i="3"/>
  <c r="Q1105" i="3"/>
  <c r="AH1105" i="3" s="1"/>
  <c r="AJ1105" i="3" s="1"/>
  <c r="P1105" i="3"/>
  <c r="O1105" i="3"/>
  <c r="AG1104" i="3"/>
  <c r="R1104" i="3"/>
  <c r="Q1104" i="3"/>
  <c r="C1104" i="3" s="1"/>
  <c r="D1104" i="3" s="1"/>
  <c r="P1104" i="3"/>
  <c r="O1104" i="3"/>
  <c r="AG1103" i="3"/>
  <c r="R1103" i="3"/>
  <c r="Q1103" i="3"/>
  <c r="P1103" i="3"/>
  <c r="O1103" i="3"/>
  <c r="AG1102" i="3"/>
  <c r="R1102" i="3"/>
  <c r="Q1102" i="3"/>
  <c r="P1102" i="3"/>
  <c r="O1102" i="3"/>
  <c r="AG1101" i="3"/>
  <c r="R1101" i="3"/>
  <c r="Q1101" i="3"/>
  <c r="P1101" i="3"/>
  <c r="O1101" i="3"/>
  <c r="I1101" i="3"/>
  <c r="AG1100" i="3"/>
  <c r="R1100" i="3"/>
  <c r="Q1100" i="3"/>
  <c r="H1100" i="3" s="1"/>
  <c r="P1100" i="3"/>
  <c r="O1100" i="3"/>
  <c r="I1100" i="3"/>
  <c r="AG1099" i="3"/>
  <c r="R1099" i="3"/>
  <c r="Q1099" i="3"/>
  <c r="C1099" i="3" s="1"/>
  <c r="D1099" i="3" s="1"/>
  <c r="P1099" i="3"/>
  <c r="O1099" i="3"/>
  <c r="I1099" i="3"/>
  <c r="AG1098" i="3"/>
  <c r="R1098" i="3"/>
  <c r="Q1098" i="3"/>
  <c r="AH1098" i="3" s="1"/>
  <c r="P1098" i="3"/>
  <c r="O1098" i="3"/>
  <c r="I1098" i="3"/>
  <c r="AG1097" i="3"/>
  <c r="R1097" i="3"/>
  <c r="Q1097" i="3"/>
  <c r="P1097" i="3"/>
  <c r="O1097" i="3"/>
  <c r="I1097" i="3"/>
  <c r="AG1096" i="3"/>
  <c r="R1096" i="3"/>
  <c r="Q1096" i="3"/>
  <c r="E1096" i="3" s="1"/>
  <c r="F1096" i="3" s="1"/>
  <c r="P1096" i="3"/>
  <c r="O1096" i="3"/>
  <c r="I1096" i="3"/>
  <c r="AG1095" i="3"/>
  <c r="R1095" i="3"/>
  <c r="Q1095" i="3"/>
  <c r="AH1095" i="3" s="1"/>
  <c r="P1095" i="3"/>
  <c r="O1095" i="3"/>
  <c r="AG1094" i="3"/>
  <c r="R1094" i="3"/>
  <c r="Q1094" i="3"/>
  <c r="AH1094" i="3" s="1"/>
  <c r="P1094" i="3"/>
  <c r="O1094" i="3"/>
  <c r="AG1093" i="3"/>
  <c r="R1093" i="3"/>
  <c r="Q1093" i="3"/>
  <c r="P1093" i="3"/>
  <c r="O1093" i="3"/>
  <c r="AG1092" i="3"/>
  <c r="R1092" i="3"/>
  <c r="Q1092" i="3"/>
  <c r="C1092" i="3" s="1"/>
  <c r="D1092" i="3" s="1"/>
  <c r="P1092" i="3"/>
  <c r="O1092" i="3"/>
  <c r="AG1091" i="3"/>
  <c r="R1091" i="3"/>
  <c r="Q1091" i="3"/>
  <c r="AH1091" i="3" s="1"/>
  <c r="P1091" i="3"/>
  <c r="O1091" i="3"/>
  <c r="AG1090" i="3"/>
  <c r="R1090" i="3"/>
  <c r="Q1090" i="3"/>
  <c r="AH1090" i="3" s="1"/>
  <c r="AL1090" i="3" s="1"/>
  <c r="P1090" i="3"/>
  <c r="O1090" i="3"/>
  <c r="AG1089" i="3"/>
  <c r="R1089" i="3"/>
  <c r="Q1089" i="3"/>
  <c r="E1089" i="3" s="1"/>
  <c r="F1089" i="3" s="1"/>
  <c r="P1089" i="3"/>
  <c r="O1089" i="3"/>
  <c r="I1089" i="3"/>
  <c r="AG1088" i="3"/>
  <c r="R1088" i="3"/>
  <c r="Q1088" i="3"/>
  <c r="P1088" i="3"/>
  <c r="O1088" i="3"/>
  <c r="AG1087" i="3"/>
  <c r="R1087" i="3"/>
  <c r="Q1087" i="3"/>
  <c r="H1087" i="3" s="1"/>
  <c r="P1087" i="3"/>
  <c r="O1087" i="3"/>
  <c r="AG1086" i="3"/>
  <c r="R1086" i="3"/>
  <c r="Q1086" i="3"/>
  <c r="H1086" i="3" s="1"/>
  <c r="P1086" i="3"/>
  <c r="O1086" i="3"/>
  <c r="AG1085" i="3"/>
  <c r="R1085" i="3"/>
  <c r="Q1085" i="3"/>
  <c r="P1085" i="3"/>
  <c r="O1085" i="3"/>
  <c r="AG1084" i="3"/>
  <c r="R1084" i="3"/>
  <c r="Q1084" i="3"/>
  <c r="E1084" i="3" s="1"/>
  <c r="F1084" i="3" s="1"/>
  <c r="P1084" i="3"/>
  <c r="O1084" i="3"/>
  <c r="AG1083" i="3"/>
  <c r="R1083" i="3"/>
  <c r="Q1083" i="3"/>
  <c r="AH1083" i="3" s="1"/>
  <c r="P1083" i="3"/>
  <c r="O1083" i="3"/>
  <c r="AG1082" i="3"/>
  <c r="R1082" i="3"/>
  <c r="Q1082" i="3"/>
  <c r="AH1082" i="3" s="1"/>
  <c r="P1082" i="3"/>
  <c r="O1082" i="3"/>
  <c r="AG1081" i="3"/>
  <c r="R1081" i="3"/>
  <c r="Q1081" i="3"/>
  <c r="P1081" i="3"/>
  <c r="O1081" i="3"/>
  <c r="AG1080" i="3"/>
  <c r="R1080" i="3"/>
  <c r="Q1080" i="3"/>
  <c r="P1080" i="3"/>
  <c r="O1080" i="3"/>
  <c r="AG1079" i="3"/>
  <c r="R1079" i="3"/>
  <c r="Q1079" i="3"/>
  <c r="AH1079" i="3" s="1"/>
  <c r="AL1079" i="3" s="1"/>
  <c r="P1079" i="3"/>
  <c r="O1079" i="3"/>
  <c r="AG1078" i="3"/>
  <c r="R1078" i="3"/>
  <c r="Q1078" i="3"/>
  <c r="P1078" i="3"/>
  <c r="O1078" i="3"/>
  <c r="AG1077" i="3"/>
  <c r="R1077" i="3"/>
  <c r="Q1077" i="3"/>
  <c r="AH1077" i="3" s="1"/>
  <c r="P1077" i="3"/>
  <c r="O1077" i="3"/>
  <c r="AG1076" i="3"/>
  <c r="R1076" i="3"/>
  <c r="Q1076" i="3"/>
  <c r="P1076" i="3"/>
  <c r="O1076" i="3"/>
  <c r="AG1075" i="3"/>
  <c r="R1075" i="3"/>
  <c r="Q1075" i="3"/>
  <c r="E1075" i="3" s="1"/>
  <c r="F1075" i="3" s="1"/>
  <c r="P1075" i="3"/>
  <c r="O1075" i="3"/>
  <c r="AG1074" i="3"/>
  <c r="R1074" i="3"/>
  <c r="Q1074" i="3"/>
  <c r="E1074" i="3" s="1"/>
  <c r="F1074" i="3" s="1"/>
  <c r="P1074" i="3"/>
  <c r="O1074" i="3"/>
  <c r="AG1073" i="3"/>
  <c r="R1073" i="3"/>
  <c r="Q1073" i="3"/>
  <c r="AH1073" i="3" s="1"/>
  <c r="AL1073" i="3" s="1"/>
  <c r="P1073" i="3"/>
  <c r="O1073" i="3"/>
  <c r="AG1072" i="3"/>
  <c r="R1072" i="3"/>
  <c r="Q1072" i="3"/>
  <c r="AH1072" i="3" s="1"/>
  <c r="P1072" i="3"/>
  <c r="O1072" i="3"/>
  <c r="AG1071" i="3"/>
  <c r="R1071" i="3"/>
  <c r="Q1071" i="3"/>
  <c r="P1071" i="3"/>
  <c r="O1071" i="3"/>
  <c r="AG1070" i="3"/>
  <c r="R1070" i="3"/>
  <c r="Q1070" i="3"/>
  <c r="P1070" i="3"/>
  <c r="O1070" i="3"/>
  <c r="I1070" i="3"/>
  <c r="AG1069" i="3"/>
  <c r="R1069" i="3"/>
  <c r="Q1069" i="3"/>
  <c r="AH1069" i="3" s="1"/>
  <c r="P1069" i="3"/>
  <c r="O1069" i="3"/>
  <c r="I1069" i="3"/>
  <c r="AG1068" i="3"/>
  <c r="R1068" i="3"/>
  <c r="Q1068" i="3"/>
  <c r="E1068" i="3" s="1"/>
  <c r="F1068" i="3" s="1"/>
  <c r="P1068" i="3"/>
  <c r="O1068" i="3"/>
  <c r="I1068" i="3"/>
  <c r="AG1067" i="3"/>
  <c r="R1067" i="3"/>
  <c r="Q1067" i="3"/>
  <c r="C1067" i="3" s="1"/>
  <c r="D1067" i="3" s="1"/>
  <c r="P1067" i="3"/>
  <c r="O1067" i="3"/>
  <c r="AG1066" i="3"/>
  <c r="R1066" i="3"/>
  <c r="Q1066" i="3"/>
  <c r="P1066" i="3"/>
  <c r="O1066" i="3"/>
  <c r="AG1065" i="3"/>
  <c r="R1065" i="3"/>
  <c r="Q1065" i="3"/>
  <c r="H1065" i="3" s="1"/>
  <c r="P1065" i="3"/>
  <c r="O1065" i="3"/>
  <c r="AG1064" i="3"/>
  <c r="R1064" i="3"/>
  <c r="Q1064" i="3"/>
  <c r="E1064" i="3" s="1"/>
  <c r="F1064" i="3" s="1"/>
  <c r="P1064" i="3"/>
  <c r="O1064" i="3"/>
  <c r="AG1063" i="3"/>
  <c r="R1063" i="3"/>
  <c r="Q1063" i="3"/>
  <c r="P1063" i="3"/>
  <c r="O1063" i="3"/>
  <c r="AG1062" i="3"/>
  <c r="R1062" i="3"/>
  <c r="Q1062" i="3"/>
  <c r="AH1062" i="3" s="1"/>
  <c r="AL1062" i="3" s="1"/>
  <c r="P1062" i="3"/>
  <c r="O1062" i="3"/>
  <c r="AG1061" i="3"/>
  <c r="R1061" i="3"/>
  <c r="Q1061" i="3"/>
  <c r="AH1061" i="3" s="1"/>
  <c r="P1061" i="3"/>
  <c r="O1061" i="3"/>
  <c r="AG1060" i="3"/>
  <c r="R1060" i="3"/>
  <c r="Q1060" i="3"/>
  <c r="E1060" i="3" s="1"/>
  <c r="F1060" i="3" s="1"/>
  <c r="P1060" i="3"/>
  <c r="O1060" i="3"/>
  <c r="AG1059" i="3"/>
  <c r="R1059" i="3"/>
  <c r="Q1059" i="3"/>
  <c r="C1059" i="3" s="1"/>
  <c r="D1059" i="3" s="1"/>
  <c r="P1059" i="3"/>
  <c r="O1059" i="3"/>
  <c r="I1059" i="3"/>
  <c r="AG1058" i="3"/>
  <c r="R1058" i="3"/>
  <c r="Q1058" i="3"/>
  <c r="E1058" i="3" s="1"/>
  <c r="F1058" i="3" s="1"/>
  <c r="P1058" i="3"/>
  <c r="O1058" i="3"/>
  <c r="AG1057" i="3"/>
  <c r="R1057" i="3"/>
  <c r="Q1057" i="3"/>
  <c r="P1057" i="3"/>
  <c r="O1057" i="3"/>
  <c r="AG1056" i="3"/>
  <c r="R1056" i="3"/>
  <c r="Q1056" i="3"/>
  <c r="P1056" i="3"/>
  <c r="O1056" i="3"/>
  <c r="AG1055" i="3"/>
  <c r="R1055" i="3"/>
  <c r="Q1055" i="3"/>
  <c r="AH1055" i="3" s="1"/>
  <c r="AL1055" i="3" s="1"/>
  <c r="P1055" i="3"/>
  <c r="O1055" i="3"/>
  <c r="AG1054" i="3"/>
  <c r="R1054" i="3"/>
  <c r="Q1054" i="3"/>
  <c r="AH1054" i="3" s="1"/>
  <c r="P1054" i="3"/>
  <c r="O1054" i="3"/>
  <c r="AG1053" i="3"/>
  <c r="R1053" i="3"/>
  <c r="Q1053" i="3"/>
  <c r="C1053" i="3" s="1"/>
  <c r="D1053" i="3" s="1"/>
  <c r="P1053" i="3"/>
  <c r="O1053" i="3"/>
  <c r="AG1052" i="3"/>
  <c r="R1052" i="3"/>
  <c r="Q1052" i="3"/>
  <c r="AH1052" i="3" s="1"/>
  <c r="P1052" i="3"/>
  <c r="O1052" i="3"/>
  <c r="AG1051" i="3"/>
  <c r="R1051" i="3"/>
  <c r="Q1051" i="3"/>
  <c r="C1051" i="3" s="1"/>
  <c r="D1051" i="3" s="1"/>
  <c r="P1051" i="3"/>
  <c r="O1051" i="3"/>
  <c r="AG1050" i="3"/>
  <c r="R1050" i="3"/>
  <c r="Q1050" i="3"/>
  <c r="AH1050" i="3" s="1"/>
  <c r="P1050" i="3"/>
  <c r="O1050" i="3"/>
  <c r="I1050" i="3"/>
  <c r="AG1049" i="3"/>
  <c r="R1049" i="3"/>
  <c r="Q1049" i="3"/>
  <c r="P1049" i="3"/>
  <c r="O1049" i="3"/>
  <c r="AG1048" i="3"/>
  <c r="R1048" i="3"/>
  <c r="Q1048" i="3"/>
  <c r="C1048" i="3" s="1"/>
  <c r="D1048" i="3" s="1"/>
  <c r="P1048" i="3"/>
  <c r="O1048" i="3"/>
  <c r="I1048" i="3"/>
  <c r="AG1047" i="3"/>
  <c r="R1047" i="3"/>
  <c r="Q1047" i="3"/>
  <c r="AH1047" i="3" s="1"/>
  <c r="AL1047" i="3" s="1"/>
  <c r="P1047" i="3"/>
  <c r="O1047" i="3"/>
  <c r="AG1046" i="3"/>
  <c r="R1046" i="3"/>
  <c r="Q1046" i="3"/>
  <c r="P1046" i="3"/>
  <c r="O1046" i="3"/>
  <c r="AG1045" i="3"/>
  <c r="R1045" i="3"/>
  <c r="Q1045" i="3"/>
  <c r="H1045" i="3" s="1"/>
  <c r="P1045" i="3"/>
  <c r="O1045" i="3"/>
  <c r="I1045" i="3"/>
  <c r="AG1044" i="3"/>
  <c r="R1044" i="3"/>
  <c r="Q1044" i="3"/>
  <c r="P1044" i="3"/>
  <c r="O1044" i="3"/>
  <c r="AG1043" i="3"/>
  <c r="R1043" i="3"/>
  <c r="Q1043" i="3"/>
  <c r="P1043" i="3"/>
  <c r="O1043" i="3"/>
  <c r="AG1042" i="3"/>
  <c r="R1042" i="3"/>
  <c r="Q1042" i="3"/>
  <c r="C1042" i="3" s="1"/>
  <c r="D1042" i="3" s="1"/>
  <c r="P1042" i="3"/>
  <c r="O1042" i="3"/>
  <c r="AG1041" i="3"/>
  <c r="R1041" i="3"/>
  <c r="Q1041" i="3"/>
  <c r="AH1041" i="3" s="1"/>
  <c r="P1041" i="3"/>
  <c r="O1041" i="3"/>
  <c r="AG1040" i="3"/>
  <c r="R1040" i="3"/>
  <c r="Q1040" i="3"/>
  <c r="H1040" i="3" s="1"/>
  <c r="P1040" i="3"/>
  <c r="O1040" i="3"/>
  <c r="AG1039" i="3"/>
  <c r="R1039" i="3"/>
  <c r="Q1039" i="3"/>
  <c r="P1039" i="3"/>
  <c r="O1039" i="3"/>
  <c r="AG1038" i="3"/>
  <c r="R1038" i="3"/>
  <c r="Q1038" i="3"/>
  <c r="P1038" i="3"/>
  <c r="O1038" i="3"/>
  <c r="AG1037" i="3"/>
  <c r="R1037" i="3"/>
  <c r="Q1037" i="3"/>
  <c r="H1037" i="3" s="1"/>
  <c r="P1037" i="3"/>
  <c r="O1037" i="3"/>
  <c r="AG1036" i="3"/>
  <c r="R1036" i="3"/>
  <c r="Q1036" i="3"/>
  <c r="P1036" i="3"/>
  <c r="O1036" i="3"/>
  <c r="AG1035" i="3"/>
  <c r="R1035" i="3"/>
  <c r="Q1035" i="3"/>
  <c r="P1035" i="3"/>
  <c r="O1035" i="3"/>
  <c r="AG1034" i="3"/>
  <c r="R1034" i="3"/>
  <c r="Q1034" i="3"/>
  <c r="E1034" i="3" s="1"/>
  <c r="F1034" i="3" s="1"/>
  <c r="P1034" i="3"/>
  <c r="O1034" i="3"/>
  <c r="AG1033" i="3"/>
  <c r="R1033" i="3"/>
  <c r="Q1033" i="3"/>
  <c r="P1033" i="3"/>
  <c r="O1033" i="3"/>
  <c r="AG1032" i="3"/>
  <c r="R1032" i="3"/>
  <c r="Q1032" i="3"/>
  <c r="H1032" i="3" s="1"/>
  <c r="P1032" i="3"/>
  <c r="O1032" i="3"/>
  <c r="AG1031" i="3"/>
  <c r="R1031" i="3"/>
  <c r="Q1031" i="3"/>
  <c r="H1031" i="3" s="1"/>
  <c r="P1031" i="3"/>
  <c r="O1031" i="3"/>
  <c r="AG1030" i="3"/>
  <c r="R1030" i="3"/>
  <c r="Q1030" i="3"/>
  <c r="H1030" i="3" s="1"/>
  <c r="P1030" i="3"/>
  <c r="O1030" i="3"/>
  <c r="AG1029" i="3"/>
  <c r="R1029" i="3"/>
  <c r="Q1029" i="3"/>
  <c r="AH1029" i="3" s="1"/>
  <c r="P1029" i="3"/>
  <c r="O1029" i="3"/>
  <c r="AG1028" i="3"/>
  <c r="R1028" i="3"/>
  <c r="Q1028" i="3"/>
  <c r="P1028" i="3"/>
  <c r="O1028" i="3"/>
  <c r="AG1027" i="3"/>
  <c r="R1027" i="3"/>
  <c r="Q1027" i="3"/>
  <c r="P1027" i="3"/>
  <c r="O1027" i="3"/>
  <c r="AG1026" i="3"/>
  <c r="R1026" i="3"/>
  <c r="Q1026" i="3"/>
  <c r="E1026" i="3" s="1"/>
  <c r="F1026" i="3" s="1"/>
  <c r="P1026" i="3"/>
  <c r="O1026" i="3"/>
  <c r="AG1025" i="3"/>
  <c r="R1025" i="3"/>
  <c r="Q1025" i="3"/>
  <c r="P1025" i="3"/>
  <c r="O1025" i="3"/>
  <c r="I1025" i="3"/>
  <c r="AG1024" i="3"/>
  <c r="R1024" i="3"/>
  <c r="Q1024" i="3"/>
  <c r="P1024" i="3"/>
  <c r="O1024" i="3"/>
  <c r="AG1023" i="3"/>
  <c r="R1023" i="3"/>
  <c r="Q1023" i="3"/>
  <c r="H1023" i="3" s="1"/>
  <c r="P1023" i="3"/>
  <c r="O1023" i="3"/>
  <c r="AG1022" i="3"/>
  <c r="R1022" i="3"/>
  <c r="Q1022" i="3"/>
  <c r="C1022" i="3" s="1"/>
  <c r="D1022" i="3" s="1"/>
  <c r="P1022" i="3"/>
  <c r="O1022" i="3"/>
  <c r="AG1021" i="3"/>
  <c r="R1021" i="3"/>
  <c r="Q1021" i="3"/>
  <c r="P1021" i="3"/>
  <c r="O1021" i="3"/>
  <c r="AG1020" i="3"/>
  <c r="R1020" i="3"/>
  <c r="Q1020" i="3"/>
  <c r="P1020" i="3"/>
  <c r="O1020" i="3"/>
  <c r="AG1019" i="3"/>
  <c r="R1019" i="3"/>
  <c r="Q1019" i="3"/>
  <c r="P1019" i="3"/>
  <c r="O1019" i="3"/>
  <c r="AG1018" i="3"/>
  <c r="R1018" i="3"/>
  <c r="Q1018" i="3"/>
  <c r="C1018" i="3" s="1"/>
  <c r="D1018" i="3" s="1"/>
  <c r="P1018" i="3"/>
  <c r="O1018" i="3"/>
  <c r="AG1017" i="3"/>
  <c r="R1017" i="3"/>
  <c r="Q1017" i="3"/>
  <c r="E1017" i="3" s="1"/>
  <c r="F1017" i="3" s="1"/>
  <c r="P1017" i="3"/>
  <c r="O1017" i="3"/>
  <c r="AG1016" i="3"/>
  <c r="R1016" i="3"/>
  <c r="Q1016" i="3"/>
  <c r="AH1016" i="3" s="1"/>
  <c r="AL1016" i="3" s="1"/>
  <c r="P1016" i="3"/>
  <c r="O1016" i="3"/>
  <c r="AG1015" i="3"/>
  <c r="R1015" i="3"/>
  <c r="Q1015" i="3"/>
  <c r="H1015" i="3" s="1"/>
  <c r="P1015" i="3"/>
  <c r="O1015" i="3"/>
  <c r="AG1014" i="3"/>
  <c r="R1014" i="3"/>
  <c r="Q1014" i="3"/>
  <c r="H1014" i="3" s="1"/>
  <c r="P1014" i="3"/>
  <c r="O1014" i="3"/>
  <c r="AG1013" i="3"/>
  <c r="R1013" i="3"/>
  <c r="Q1013" i="3"/>
  <c r="E1013" i="3" s="1"/>
  <c r="F1013" i="3" s="1"/>
  <c r="P1013" i="3"/>
  <c r="O1013" i="3"/>
  <c r="AG1012" i="3"/>
  <c r="R1012" i="3"/>
  <c r="Q1012" i="3"/>
  <c r="AH1012" i="3" s="1"/>
  <c r="P1012" i="3"/>
  <c r="O1012" i="3"/>
  <c r="AG1011" i="3"/>
  <c r="R1011" i="3"/>
  <c r="Q1011" i="3"/>
  <c r="C1011" i="3" s="1"/>
  <c r="D1011" i="3" s="1"/>
  <c r="P1011" i="3"/>
  <c r="O1011" i="3"/>
  <c r="AG1010" i="3"/>
  <c r="R1010" i="3"/>
  <c r="Q1010" i="3"/>
  <c r="P1010" i="3"/>
  <c r="O1010" i="3"/>
  <c r="AG1009" i="3"/>
  <c r="R1009" i="3"/>
  <c r="Q1009" i="3"/>
  <c r="C1009" i="3" s="1"/>
  <c r="D1009" i="3" s="1"/>
  <c r="P1009" i="3"/>
  <c r="O1009" i="3"/>
  <c r="AG1008" i="3"/>
  <c r="R1008" i="3"/>
  <c r="Q1008" i="3"/>
  <c r="E1008" i="3" s="1"/>
  <c r="F1008" i="3" s="1"/>
  <c r="P1008" i="3"/>
  <c r="O1008" i="3"/>
  <c r="I1008" i="3"/>
  <c r="AG1007" i="3"/>
  <c r="R1007" i="3"/>
  <c r="Q1007" i="3"/>
  <c r="AH1007" i="3" s="1"/>
  <c r="AL1007" i="3" s="1"/>
  <c r="P1007" i="3"/>
  <c r="O1007" i="3"/>
  <c r="AG1006" i="3"/>
  <c r="R1006" i="3"/>
  <c r="Q1006" i="3"/>
  <c r="P1006" i="3"/>
  <c r="O1006" i="3"/>
  <c r="I1006" i="3"/>
  <c r="AG1005" i="3"/>
  <c r="R1005" i="3"/>
  <c r="Q1005" i="3"/>
  <c r="AH1005" i="3" s="1"/>
  <c r="AL1005" i="3" s="1"/>
  <c r="P1005" i="3"/>
  <c r="O1005" i="3"/>
  <c r="AG1004" i="3"/>
  <c r="R1004" i="3"/>
  <c r="Q1004" i="3"/>
  <c r="P1004" i="3"/>
  <c r="O1004" i="3"/>
  <c r="AG1003" i="3"/>
  <c r="R1003" i="3"/>
  <c r="Q1003" i="3"/>
  <c r="C1003" i="3" s="1"/>
  <c r="D1003" i="3" s="1"/>
  <c r="P1003" i="3"/>
  <c r="O1003" i="3"/>
  <c r="AG1002" i="3"/>
  <c r="R1002" i="3"/>
  <c r="Q1002" i="3"/>
  <c r="AH1002" i="3" s="1"/>
  <c r="AJ1002" i="3" s="1"/>
  <c r="P1002" i="3"/>
  <c r="O1002" i="3"/>
  <c r="AG1001" i="3"/>
  <c r="R1001" i="3"/>
  <c r="Q1001" i="3"/>
  <c r="AH1001" i="3" s="1"/>
  <c r="P1001" i="3"/>
  <c r="O1001" i="3"/>
  <c r="I1001" i="3"/>
  <c r="AG1000" i="3"/>
  <c r="R1000" i="3"/>
  <c r="Q1000" i="3"/>
  <c r="P1000" i="3"/>
  <c r="O1000" i="3"/>
  <c r="AG999" i="3"/>
  <c r="R999" i="3"/>
  <c r="Q999" i="3"/>
  <c r="AH999" i="3" s="1"/>
  <c r="AL999" i="3" s="1"/>
  <c r="P999" i="3"/>
  <c r="O999" i="3"/>
  <c r="I999" i="3"/>
  <c r="AG998" i="3"/>
  <c r="R998" i="3"/>
  <c r="Q998" i="3"/>
  <c r="H998" i="3" s="1"/>
  <c r="P998" i="3"/>
  <c r="O998" i="3"/>
  <c r="AG997" i="3"/>
  <c r="R997" i="3"/>
  <c r="Q997" i="3"/>
  <c r="H997" i="3" s="1"/>
  <c r="P997" i="3"/>
  <c r="O997" i="3"/>
  <c r="AG996" i="3"/>
  <c r="R996" i="3"/>
  <c r="Q996" i="3"/>
  <c r="P996" i="3"/>
  <c r="O996" i="3"/>
  <c r="I996" i="3"/>
  <c r="AG995" i="3"/>
  <c r="R995" i="3"/>
  <c r="Q995" i="3"/>
  <c r="P995" i="3"/>
  <c r="O995" i="3"/>
  <c r="AG994" i="3"/>
  <c r="R994" i="3"/>
  <c r="Q994" i="3"/>
  <c r="H994" i="3" s="1"/>
  <c r="P994" i="3"/>
  <c r="O994" i="3"/>
  <c r="AG993" i="3"/>
  <c r="R993" i="3"/>
  <c r="Q993" i="3"/>
  <c r="P993" i="3"/>
  <c r="O993" i="3"/>
  <c r="AG992" i="3"/>
  <c r="R992" i="3"/>
  <c r="Q992" i="3"/>
  <c r="AH992" i="3" s="1"/>
  <c r="AL992" i="3" s="1"/>
  <c r="P992" i="3"/>
  <c r="O992" i="3"/>
  <c r="I992" i="3"/>
  <c r="AG991" i="3"/>
  <c r="R991" i="3"/>
  <c r="Q991" i="3"/>
  <c r="C991" i="3" s="1"/>
  <c r="D991" i="3" s="1"/>
  <c r="P991" i="3"/>
  <c r="O991" i="3"/>
  <c r="AG990" i="3"/>
  <c r="R990" i="3"/>
  <c r="Q990" i="3"/>
  <c r="P990" i="3"/>
  <c r="O990" i="3"/>
  <c r="AG989" i="3"/>
  <c r="R989" i="3"/>
  <c r="Q989" i="3"/>
  <c r="H989" i="3" s="1"/>
  <c r="P989" i="3"/>
  <c r="O989" i="3"/>
  <c r="AG988" i="3"/>
  <c r="R988" i="3"/>
  <c r="Q988" i="3"/>
  <c r="C988" i="3" s="1"/>
  <c r="D988" i="3" s="1"/>
  <c r="P988" i="3"/>
  <c r="O988" i="3"/>
  <c r="AG987" i="3"/>
  <c r="R987" i="3"/>
  <c r="Q987" i="3"/>
  <c r="E987" i="3" s="1"/>
  <c r="F987" i="3" s="1"/>
  <c r="P987" i="3"/>
  <c r="O987" i="3"/>
  <c r="I987" i="3"/>
  <c r="AG986" i="3"/>
  <c r="R986" i="3"/>
  <c r="Q986" i="3"/>
  <c r="P986" i="3"/>
  <c r="O986" i="3"/>
  <c r="AG985" i="3"/>
  <c r="R985" i="3"/>
  <c r="Q985" i="3"/>
  <c r="P985" i="3"/>
  <c r="O985" i="3"/>
  <c r="I985" i="3"/>
  <c r="AG984" i="3"/>
  <c r="R984" i="3"/>
  <c r="Q984" i="3"/>
  <c r="E984" i="3" s="1"/>
  <c r="F984" i="3" s="1"/>
  <c r="P984" i="3"/>
  <c r="O984" i="3"/>
  <c r="AG983" i="3"/>
  <c r="R983" i="3"/>
  <c r="Q983" i="3"/>
  <c r="AH983" i="3" s="1"/>
  <c r="P983" i="3"/>
  <c r="O983" i="3"/>
  <c r="AG982" i="3"/>
  <c r="R982" i="3"/>
  <c r="Q982" i="3"/>
  <c r="AH982" i="3" s="1"/>
  <c r="P982" i="3"/>
  <c r="O982" i="3"/>
  <c r="AG981" i="3"/>
  <c r="R981" i="3"/>
  <c r="Q981" i="3"/>
  <c r="C981" i="3" s="1"/>
  <c r="D981" i="3" s="1"/>
  <c r="P981" i="3"/>
  <c r="O981" i="3"/>
  <c r="AG980" i="3"/>
  <c r="R980" i="3"/>
  <c r="Q980" i="3"/>
  <c r="C980" i="3" s="1"/>
  <c r="D980" i="3" s="1"/>
  <c r="P980" i="3"/>
  <c r="O980" i="3"/>
  <c r="AG979" i="3"/>
  <c r="R979" i="3"/>
  <c r="Q979" i="3"/>
  <c r="AH979" i="3" s="1"/>
  <c r="AL979" i="3" s="1"/>
  <c r="P979" i="3"/>
  <c r="O979" i="3"/>
  <c r="AG978" i="3"/>
  <c r="R978" i="3"/>
  <c r="Q978" i="3"/>
  <c r="P978" i="3"/>
  <c r="O978" i="3"/>
  <c r="AG977" i="3"/>
  <c r="R977" i="3"/>
  <c r="Q977" i="3"/>
  <c r="P977" i="3"/>
  <c r="O977" i="3"/>
  <c r="I977" i="3"/>
  <c r="AG976" i="3"/>
  <c r="R976" i="3"/>
  <c r="Q976" i="3"/>
  <c r="E976" i="3" s="1"/>
  <c r="F976" i="3" s="1"/>
  <c r="P976" i="3"/>
  <c r="O976" i="3"/>
  <c r="I976" i="3"/>
  <c r="AG975" i="3"/>
  <c r="R975" i="3"/>
  <c r="Q975" i="3"/>
  <c r="C975" i="3" s="1"/>
  <c r="D975" i="3" s="1"/>
  <c r="P975" i="3"/>
  <c r="O975" i="3"/>
  <c r="I975" i="3"/>
  <c r="AG974" i="3"/>
  <c r="R974" i="3"/>
  <c r="Q974" i="3"/>
  <c r="P974" i="3"/>
  <c r="O974" i="3"/>
  <c r="I974" i="3"/>
  <c r="AG973" i="3"/>
  <c r="R973" i="3"/>
  <c r="Q973" i="3"/>
  <c r="P973" i="3"/>
  <c r="O973" i="3"/>
  <c r="I973" i="3"/>
  <c r="AG972" i="3"/>
  <c r="R972" i="3"/>
  <c r="Q972" i="3"/>
  <c r="C972" i="3" s="1"/>
  <c r="D972" i="3" s="1"/>
  <c r="P972" i="3"/>
  <c r="O972" i="3"/>
  <c r="I972" i="3"/>
  <c r="AG971" i="3"/>
  <c r="R971" i="3"/>
  <c r="Q971" i="3"/>
  <c r="C971" i="3" s="1"/>
  <c r="D971" i="3" s="1"/>
  <c r="P971" i="3"/>
  <c r="O971" i="3"/>
  <c r="I971" i="3"/>
  <c r="AG970" i="3"/>
  <c r="R970" i="3"/>
  <c r="Q970" i="3"/>
  <c r="P970" i="3"/>
  <c r="O970" i="3"/>
  <c r="I970" i="3"/>
  <c r="AG969" i="3"/>
  <c r="R969" i="3"/>
  <c r="Q969" i="3"/>
  <c r="P969" i="3"/>
  <c r="O969" i="3"/>
  <c r="I969" i="3"/>
  <c r="AG968" i="3"/>
  <c r="R968" i="3"/>
  <c r="Q968" i="3"/>
  <c r="AH968" i="3" s="1"/>
  <c r="P968" i="3"/>
  <c r="O968" i="3"/>
  <c r="I968" i="3"/>
  <c r="AG967" i="3"/>
  <c r="R967" i="3"/>
  <c r="Q967" i="3"/>
  <c r="C967" i="3" s="1"/>
  <c r="D967" i="3" s="1"/>
  <c r="P967" i="3"/>
  <c r="O967" i="3"/>
  <c r="I967" i="3"/>
  <c r="AG966" i="3"/>
  <c r="R966" i="3"/>
  <c r="Q966" i="3"/>
  <c r="E966" i="3" s="1"/>
  <c r="F966" i="3" s="1"/>
  <c r="P966" i="3"/>
  <c r="O966" i="3"/>
  <c r="I966" i="3"/>
  <c r="AG965" i="3"/>
  <c r="R965" i="3"/>
  <c r="Q965" i="3"/>
  <c r="P965" i="3"/>
  <c r="O965" i="3"/>
  <c r="AG964" i="3"/>
  <c r="R964" i="3"/>
  <c r="Q964" i="3"/>
  <c r="P964" i="3"/>
  <c r="O964" i="3"/>
  <c r="AG963" i="3"/>
  <c r="R963" i="3"/>
  <c r="Q963" i="3"/>
  <c r="H963" i="3" s="1"/>
  <c r="P963" i="3"/>
  <c r="O963" i="3"/>
  <c r="I963" i="3"/>
  <c r="AG962" i="3"/>
  <c r="R962" i="3"/>
  <c r="Q962" i="3"/>
  <c r="C962" i="3" s="1"/>
  <c r="D962" i="3" s="1"/>
  <c r="P962" i="3"/>
  <c r="O962" i="3"/>
  <c r="AG961" i="3"/>
  <c r="R961" i="3"/>
  <c r="Q961" i="3"/>
  <c r="E961" i="3" s="1"/>
  <c r="F961" i="3" s="1"/>
  <c r="P961" i="3"/>
  <c r="O961" i="3"/>
  <c r="I961" i="3"/>
  <c r="AG960" i="3"/>
  <c r="R960" i="3"/>
  <c r="Q960" i="3"/>
  <c r="P960" i="3"/>
  <c r="O960" i="3"/>
  <c r="AG959" i="3"/>
  <c r="R959" i="3"/>
  <c r="Q959" i="3"/>
  <c r="H959" i="3" s="1"/>
  <c r="P959" i="3"/>
  <c r="O959" i="3"/>
  <c r="I959" i="3"/>
  <c r="AG958" i="3"/>
  <c r="R958" i="3"/>
  <c r="Q958" i="3"/>
  <c r="E958" i="3" s="1"/>
  <c r="F958" i="3" s="1"/>
  <c r="P958" i="3"/>
  <c r="O958" i="3"/>
  <c r="I958" i="3"/>
  <c r="AG957" i="3"/>
  <c r="R957" i="3"/>
  <c r="Q957" i="3"/>
  <c r="AH957" i="3" s="1"/>
  <c r="P957" i="3"/>
  <c r="O957" i="3"/>
  <c r="I957" i="3"/>
  <c r="AG956" i="3"/>
  <c r="R956" i="3"/>
  <c r="Q956" i="3"/>
  <c r="E956" i="3" s="1"/>
  <c r="F956" i="3" s="1"/>
  <c r="P956" i="3"/>
  <c r="O956" i="3"/>
  <c r="AG955" i="3"/>
  <c r="R955" i="3"/>
  <c r="Q955" i="3"/>
  <c r="E955" i="3" s="1"/>
  <c r="F955" i="3" s="1"/>
  <c r="P955" i="3"/>
  <c r="O955" i="3"/>
  <c r="AG954" i="3"/>
  <c r="R954" i="3"/>
  <c r="Q954" i="3"/>
  <c r="C954" i="3" s="1"/>
  <c r="D954" i="3" s="1"/>
  <c r="P954" i="3"/>
  <c r="O954" i="3"/>
  <c r="I954" i="3"/>
  <c r="AG953" i="3"/>
  <c r="R953" i="3"/>
  <c r="Q953" i="3"/>
  <c r="H953" i="3" s="1"/>
  <c r="P953" i="3"/>
  <c r="O953" i="3"/>
  <c r="I953" i="3"/>
  <c r="AG952" i="3"/>
  <c r="R952" i="3"/>
  <c r="Q952" i="3"/>
  <c r="P952" i="3"/>
  <c r="O952" i="3"/>
  <c r="I952" i="3"/>
  <c r="AG951" i="3"/>
  <c r="R951" i="3"/>
  <c r="Q951" i="3"/>
  <c r="P951" i="3"/>
  <c r="O951" i="3"/>
  <c r="I951" i="3"/>
  <c r="AG950" i="3"/>
  <c r="R950" i="3"/>
  <c r="Q950" i="3"/>
  <c r="C950" i="3" s="1"/>
  <c r="D950" i="3" s="1"/>
  <c r="P950" i="3"/>
  <c r="O950" i="3"/>
  <c r="AG949" i="3"/>
  <c r="R949" i="3"/>
  <c r="Q949" i="3"/>
  <c r="AH949" i="3" s="1"/>
  <c r="P949" i="3"/>
  <c r="O949" i="3"/>
  <c r="AG948" i="3"/>
  <c r="R948" i="3"/>
  <c r="Q948" i="3"/>
  <c r="P948" i="3"/>
  <c r="O948" i="3"/>
  <c r="AG947" i="3"/>
  <c r="R947" i="3"/>
  <c r="Q947" i="3"/>
  <c r="H947" i="3" s="1"/>
  <c r="P947" i="3"/>
  <c r="O947" i="3"/>
  <c r="AG946" i="3"/>
  <c r="R946" i="3"/>
  <c r="Q946" i="3"/>
  <c r="C946" i="3" s="1"/>
  <c r="D946" i="3" s="1"/>
  <c r="P946" i="3"/>
  <c r="O946" i="3"/>
  <c r="AG945" i="3"/>
  <c r="R945" i="3"/>
  <c r="Q945" i="3"/>
  <c r="P945" i="3"/>
  <c r="O945" i="3"/>
  <c r="AG944" i="3"/>
  <c r="R944" i="3"/>
  <c r="Q944" i="3"/>
  <c r="AH944" i="3" s="1"/>
  <c r="AJ944" i="3" s="1"/>
  <c r="P944" i="3"/>
  <c r="O944" i="3"/>
  <c r="AG943" i="3"/>
  <c r="R943" i="3"/>
  <c r="Q943" i="3"/>
  <c r="P943" i="3"/>
  <c r="O943" i="3"/>
  <c r="AG942" i="3"/>
  <c r="R942" i="3"/>
  <c r="Q942" i="3"/>
  <c r="C942" i="3" s="1"/>
  <c r="D942" i="3" s="1"/>
  <c r="P942" i="3"/>
  <c r="O942" i="3"/>
  <c r="AG941" i="3"/>
  <c r="R941" i="3"/>
  <c r="Q941" i="3"/>
  <c r="AH941" i="3" s="1"/>
  <c r="P941" i="3"/>
  <c r="O941" i="3"/>
  <c r="AG940" i="3"/>
  <c r="R940" i="3"/>
  <c r="Q940" i="3"/>
  <c r="E940" i="3" s="1"/>
  <c r="F940" i="3" s="1"/>
  <c r="P940" i="3"/>
  <c r="O940" i="3"/>
  <c r="AG939" i="3"/>
  <c r="R939" i="3"/>
  <c r="Q939" i="3"/>
  <c r="P939" i="3"/>
  <c r="O939" i="3"/>
  <c r="AG938" i="3"/>
  <c r="R938" i="3"/>
  <c r="Q938" i="3"/>
  <c r="E938" i="3" s="1"/>
  <c r="F938" i="3" s="1"/>
  <c r="P938" i="3"/>
  <c r="O938" i="3"/>
  <c r="AG937" i="3"/>
  <c r="R937" i="3"/>
  <c r="Q937" i="3"/>
  <c r="C937" i="3" s="1"/>
  <c r="D937" i="3" s="1"/>
  <c r="P937" i="3"/>
  <c r="O937" i="3"/>
  <c r="AG936" i="3"/>
  <c r="R936" i="3"/>
  <c r="Q936" i="3"/>
  <c r="P936" i="3"/>
  <c r="O936" i="3"/>
  <c r="AG935" i="3"/>
  <c r="R935" i="3"/>
  <c r="Q935" i="3"/>
  <c r="P935" i="3"/>
  <c r="O935" i="3"/>
  <c r="AG934" i="3"/>
  <c r="R934" i="3"/>
  <c r="Q934" i="3"/>
  <c r="H934" i="3" s="1"/>
  <c r="P934" i="3"/>
  <c r="O934" i="3"/>
  <c r="AG933" i="3"/>
  <c r="R933" i="3"/>
  <c r="Q933" i="3"/>
  <c r="C933" i="3" s="1"/>
  <c r="D933" i="3" s="1"/>
  <c r="P933" i="3"/>
  <c r="O933" i="3"/>
  <c r="AG932" i="3"/>
  <c r="R932" i="3"/>
  <c r="Q932" i="3"/>
  <c r="E932" i="3" s="1"/>
  <c r="F932" i="3" s="1"/>
  <c r="P932" i="3"/>
  <c r="O932" i="3"/>
  <c r="AG931" i="3"/>
  <c r="R931" i="3"/>
  <c r="Q931" i="3"/>
  <c r="C931" i="3" s="1"/>
  <c r="D931" i="3" s="1"/>
  <c r="P931" i="3"/>
  <c r="O931" i="3"/>
  <c r="AG930" i="3"/>
  <c r="R930" i="3"/>
  <c r="Q930" i="3"/>
  <c r="E930" i="3" s="1"/>
  <c r="F930" i="3" s="1"/>
  <c r="P930" i="3"/>
  <c r="O930" i="3"/>
  <c r="AG929" i="3"/>
  <c r="R929" i="3"/>
  <c r="Q929" i="3"/>
  <c r="C929" i="3" s="1"/>
  <c r="D929" i="3" s="1"/>
  <c r="P929" i="3"/>
  <c r="O929" i="3"/>
  <c r="AG928" i="3"/>
  <c r="R928" i="3"/>
  <c r="Q928" i="3"/>
  <c r="H928" i="3" s="1"/>
  <c r="P928" i="3"/>
  <c r="O928" i="3"/>
  <c r="I928" i="3"/>
  <c r="AG927" i="3"/>
  <c r="R927" i="3"/>
  <c r="Q927" i="3"/>
  <c r="AH927" i="3" s="1"/>
  <c r="P927" i="3"/>
  <c r="O927" i="3"/>
  <c r="I927" i="3"/>
  <c r="AG926" i="3"/>
  <c r="R926" i="3"/>
  <c r="Q926" i="3"/>
  <c r="C926" i="3" s="1"/>
  <c r="D926" i="3" s="1"/>
  <c r="P926" i="3"/>
  <c r="O926" i="3"/>
  <c r="I926" i="3"/>
  <c r="AG925" i="3"/>
  <c r="R925" i="3"/>
  <c r="Q925" i="3"/>
  <c r="H925" i="3" s="1"/>
  <c r="P925" i="3"/>
  <c r="O925" i="3"/>
  <c r="I925" i="3"/>
  <c r="AG924" i="3"/>
  <c r="R924" i="3"/>
  <c r="Q924" i="3"/>
  <c r="P924" i="3"/>
  <c r="O924" i="3"/>
  <c r="I924" i="3"/>
  <c r="AG923" i="3"/>
  <c r="R923" i="3"/>
  <c r="Q923" i="3"/>
  <c r="C923" i="3" s="1"/>
  <c r="D923" i="3" s="1"/>
  <c r="P923" i="3"/>
  <c r="O923" i="3"/>
  <c r="I923" i="3"/>
  <c r="AG922" i="3"/>
  <c r="R922" i="3"/>
  <c r="Q922" i="3"/>
  <c r="E922" i="3" s="1"/>
  <c r="F922" i="3" s="1"/>
  <c r="P922" i="3"/>
  <c r="O922" i="3"/>
  <c r="AG921" i="3"/>
  <c r="R921" i="3"/>
  <c r="Q921" i="3"/>
  <c r="AH921" i="3" s="1"/>
  <c r="P921" i="3"/>
  <c r="O921" i="3"/>
  <c r="AG920" i="3"/>
  <c r="R920" i="3"/>
  <c r="Q920" i="3"/>
  <c r="C920" i="3" s="1"/>
  <c r="D920" i="3" s="1"/>
  <c r="P920" i="3"/>
  <c r="O920" i="3"/>
  <c r="AG919" i="3"/>
  <c r="R919" i="3"/>
  <c r="Q919" i="3"/>
  <c r="C919" i="3" s="1"/>
  <c r="D919" i="3" s="1"/>
  <c r="P919" i="3"/>
  <c r="O919" i="3"/>
  <c r="AG918" i="3"/>
  <c r="R918" i="3"/>
  <c r="Q918" i="3"/>
  <c r="H918" i="3" s="1"/>
  <c r="P918" i="3"/>
  <c r="O918" i="3"/>
  <c r="I918" i="3"/>
  <c r="AG917" i="3"/>
  <c r="R917" i="3"/>
  <c r="Q917" i="3"/>
  <c r="E917" i="3" s="1"/>
  <c r="F917" i="3" s="1"/>
  <c r="P917" i="3"/>
  <c r="O917" i="3"/>
  <c r="AG916" i="3"/>
  <c r="R916" i="3"/>
  <c r="Q916" i="3"/>
  <c r="H916" i="3" s="1"/>
  <c r="P916" i="3"/>
  <c r="O916" i="3"/>
  <c r="I916" i="3"/>
  <c r="AG915" i="3"/>
  <c r="R915" i="3"/>
  <c r="Q915" i="3"/>
  <c r="AH915" i="3" s="1"/>
  <c r="P915" i="3"/>
  <c r="O915" i="3"/>
  <c r="AG914" i="3"/>
  <c r="R914" i="3"/>
  <c r="Q914" i="3"/>
  <c r="P914" i="3"/>
  <c r="O914" i="3"/>
  <c r="I914" i="3"/>
  <c r="AG913" i="3"/>
  <c r="R913" i="3"/>
  <c r="Q913" i="3"/>
  <c r="H913" i="3" s="1"/>
  <c r="P913" i="3"/>
  <c r="O913" i="3"/>
  <c r="AG912" i="3"/>
  <c r="R912" i="3"/>
  <c r="Q912" i="3"/>
  <c r="C912" i="3" s="1"/>
  <c r="D912" i="3" s="1"/>
  <c r="P912" i="3"/>
  <c r="O912" i="3"/>
  <c r="AG911" i="3"/>
  <c r="R911" i="3"/>
  <c r="Q911" i="3"/>
  <c r="H911" i="3" s="1"/>
  <c r="P911" i="3"/>
  <c r="O911" i="3"/>
  <c r="AG910" i="3"/>
  <c r="R910" i="3"/>
  <c r="Q910" i="3"/>
  <c r="AH910" i="3" s="1"/>
  <c r="AL910" i="3" s="1"/>
  <c r="P910" i="3"/>
  <c r="O910" i="3"/>
  <c r="AG909" i="3"/>
  <c r="R909" i="3"/>
  <c r="Q909" i="3"/>
  <c r="AH909" i="3" s="1"/>
  <c r="P909" i="3"/>
  <c r="O909" i="3"/>
  <c r="AG908" i="3"/>
  <c r="R908" i="3"/>
  <c r="Q908" i="3"/>
  <c r="C908" i="3" s="1"/>
  <c r="D908" i="3" s="1"/>
  <c r="P908" i="3"/>
  <c r="O908" i="3"/>
  <c r="AG907" i="3"/>
  <c r="R907" i="3"/>
  <c r="Q907" i="3"/>
  <c r="AH907" i="3" s="1"/>
  <c r="P907" i="3"/>
  <c r="O907" i="3"/>
  <c r="AG906" i="3"/>
  <c r="R906" i="3"/>
  <c r="Q906" i="3"/>
  <c r="P906" i="3"/>
  <c r="O906" i="3"/>
  <c r="AG905" i="3"/>
  <c r="R905" i="3"/>
  <c r="Q905" i="3"/>
  <c r="AH905" i="3" s="1"/>
  <c r="P905" i="3"/>
  <c r="O905" i="3"/>
  <c r="AG904" i="3"/>
  <c r="R904" i="3"/>
  <c r="Q904" i="3"/>
  <c r="AH904" i="3" s="1"/>
  <c r="P904" i="3"/>
  <c r="O904" i="3"/>
  <c r="AG903" i="3"/>
  <c r="R903" i="3"/>
  <c r="Q903" i="3"/>
  <c r="H903" i="3" s="1"/>
  <c r="P903" i="3"/>
  <c r="O903" i="3"/>
  <c r="AG902" i="3"/>
  <c r="R902" i="3"/>
  <c r="Q902" i="3"/>
  <c r="E902" i="3" s="1"/>
  <c r="F902" i="3" s="1"/>
  <c r="P902" i="3"/>
  <c r="O902" i="3"/>
  <c r="I902" i="3"/>
  <c r="AG901" i="3"/>
  <c r="R901" i="3"/>
  <c r="Q901" i="3"/>
  <c r="P901" i="3"/>
  <c r="O901" i="3"/>
  <c r="AG900" i="3"/>
  <c r="R900" i="3"/>
  <c r="Q900" i="3"/>
  <c r="AH900" i="3" s="1"/>
  <c r="P900" i="3"/>
  <c r="O900" i="3"/>
  <c r="AG899" i="3"/>
  <c r="R899" i="3"/>
  <c r="Q899" i="3"/>
  <c r="H899" i="3" s="1"/>
  <c r="P899" i="3"/>
  <c r="O899" i="3"/>
  <c r="AG898" i="3"/>
  <c r="R898" i="3"/>
  <c r="Q898" i="3"/>
  <c r="P898" i="3"/>
  <c r="O898" i="3"/>
  <c r="AG897" i="3"/>
  <c r="R897" i="3"/>
  <c r="Q897" i="3"/>
  <c r="P897" i="3"/>
  <c r="O897" i="3"/>
  <c r="AG896" i="3"/>
  <c r="R896" i="3"/>
  <c r="Q896" i="3"/>
  <c r="P896" i="3"/>
  <c r="O896" i="3"/>
  <c r="AG895" i="3"/>
  <c r="R895" i="3"/>
  <c r="Q895" i="3"/>
  <c r="E895" i="3" s="1"/>
  <c r="F895" i="3" s="1"/>
  <c r="P895" i="3"/>
  <c r="O895" i="3"/>
  <c r="AG894" i="3"/>
  <c r="R894" i="3"/>
  <c r="Q894" i="3"/>
  <c r="H894" i="3" s="1"/>
  <c r="P894" i="3"/>
  <c r="O894" i="3"/>
  <c r="AG893" i="3"/>
  <c r="R893" i="3"/>
  <c r="Q893" i="3"/>
  <c r="AH893" i="3" s="1"/>
  <c r="P893" i="3"/>
  <c r="O893" i="3"/>
  <c r="AG892" i="3"/>
  <c r="R892" i="3"/>
  <c r="Q892" i="3"/>
  <c r="AH892" i="3" s="1"/>
  <c r="P892" i="3"/>
  <c r="O892" i="3"/>
  <c r="AG891" i="3"/>
  <c r="R891" i="3"/>
  <c r="Q891" i="3"/>
  <c r="H891" i="3" s="1"/>
  <c r="P891" i="3"/>
  <c r="O891" i="3"/>
  <c r="AG890" i="3"/>
  <c r="R890" i="3"/>
  <c r="Q890" i="3"/>
  <c r="AH890" i="3" s="1"/>
  <c r="AJ890" i="3" s="1"/>
  <c r="P890" i="3"/>
  <c r="O890" i="3"/>
  <c r="AG889" i="3"/>
  <c r="R889" i="3"/>
  <c r="Q889" i="3"/>
  <c r="H889" i="3" s="1"/>
  <c r="P889" i="3"/>
  <c r="O889" i="3"/>
  <c r="AG888" i="3"/>
  <c r="R888" i="3"/>
  <c r="Q888" i="3"/>
  <c r="P888" i="3"/>
  <c r="O888" i="3"/>
  <c r="AG887" i="3"/>
  <c r="R887" i="3"/>
  <c r="Q887" i="3"/>
  <c r="P887" i="3"/>
  <c r="O887" i="3"/>
  <c r="AG886" i="3"/>
  <c r="R886" i="3"/>
  <c r="Q886" i="3"/>
  <c r="H886" i="3" s="1"/>
  <c r="P886" i="3"/>
  <c r="O886" i="3"/>
  <c r="AG885" i="3"/>
  <c r="R885" i="3"/>
  <c r="Q885" i="3"/>
  <c r="AH885" i="3" s="1"/>
  <c r="P885" i="3"/>
  <c r="O885" i="3"/>
  <c r="AG884" i="3"/>
  <c r="R884" i="3"/>
  <c r="Q884" i="3"/>
  <c r="AH884" i="3" s="1"/>
  <c r="P884" i="3"/>
  <c r="O884" i="3"/>
  <c r="AG883" i="3"/>
  <c r="R883" i="3"/>
  <c r="Q883" i="3"/>
  <c r="H883" i="3" s="1"/>
  <c r="P883" i="3"/>
  <c r="O883" i="3"/>
  <c r="AG882" i="3"/>
  <c r="R882" i="3"/>
  <c r="Q882" i="3"/>
  <c r="AH882" i="3" s="1"/>
  <c r="AJ882" i="3" s="1"/>
  <c r="P882" i="3"/>
  <c r="O882" i="3"/>
  <c r="AG881" i="3"/>
  <c r="R881" i="3"/>
  <c r="Q881" i="3"/>
  <c r="H881" i="3" s="1"/>
  <c r="P881" i="3"/>
  <c r="O881" i="3"/>
  <c r="AG880" i="3"/>
  <c r="R880" i="3"/>
  <c r="Q880" i="3"/>
  <c r="P880" i="3"/>
  <c r="O880" i="3"/>
  <c r="AG879" i="3"/>
  <c r="R879" i="3"/>
  <c r="Q879" i="3"/>
  <c r="H879" i="3" s="1"/>
  <c r="P879" i="3"/>
  <c r="O879" i="3"/>
  <c r="AG878" i="3"/>
  <c r="R878" i="3"/>
  <c r="Q878" i="3"/>
  <c r="H878" i="3" s="1"/>
  <c r="P878" i="3"/>
  <c r="O878" i="3"/>
  <c r="AG877" i="3"/>
  <c r="R877" i="3"/>
  <c r="Q877" i="3"/>
  <c r="AH877" i="3" s="1"/>
  <c r="P877" i="3"/>
  <c r="O877" i="3"/>
  <c r="AG876" i="3"/>
  <c r="R876" i="3"/>
  <c r="Q876" i="3"/>
  <c r="AH876" i="3" s="1"/>
  <c r="P876" i="3"/>
  <c r="O876" i="3"/>
  <c r="AG875" i="3"/>
  <c r="R875" i="3"/>
  <c r="Q875" i="3"/>
  <c r="H875" i="3" s="1"/>
  <c r="P875" i="3"/>
  <c r="O875" i="3"/>
  <c r="AG874" i="3"/>
  <c r="R874" i="3"/>
  <c r="Q874" i="3"/>
  <c r="AH874" i="3" s="1"/>
  <c r="P874" i="3"/>
  <c r="O874" i="3"/>
  <c r="AG873" i="3"/>
  <c r="R873" i="3"/>
  <c r="Q873" i="3"/>
  <c r="P873" i="3"/>
  <c r="O873" i="3"/>
  <c r="AG872" i="3"/>
  <c r="R872" i="3"/>
  <c r="Q872" i="3"/>
  <c r="P872" i="3"/>
  <c r="O872" i="3"/>
  <c r="AG871" i="3"/>
  <c r="R871" i="3"/>
  <c r="Q871" i="3"/>
  <c r="H871" i="3" s="1"/>
  <c r="P871" i="3"/>
  <c r="O871" i="3"/>
  <c r="AG870" i="3"/>
  <c r="R870" i="3"/>
  <c r="Q870" i="3"/>
  <c r="H870" i="3" s="1"/>
  <c r="P870" i="3"/>
  <c r="O870" i="3"/>
  <c r="AG869" i="3"/>
  <c r="R869" i="3"/>
  <c r="Q869" i="3"/>
  <c r="H869" i="3" s="1"/>
  <c r="P869" i="3"/>
  <c r="O869" i="3"/>
  <c r="I869" i="3"/>
  <c r="AG868" i="3"/>
  <c r="R868" i="3"/>
  <c r="Q868" i="3"/>
  <c r="H868" i="3" s="1"/>
  <c r="P868" i="3"/>
  <c r="O868" i="3"/>
  <c r="I868" i="3"/>
  <c r="AG867" i="3"/>
  <c r="R867" i="3"/>
  <c r="Q867" i="3"/>
  <c r="H867" i="3" s="1"/>
  <c r="P867" i="3"/>
  <c r="O867" i="3"/>
  <c r="I867" i="3"/>
  <c r="AG866" i="3"/>
  <c r="R866" i="3"/>
  <c r="Q866" i="3"/>
  <c r="E866" i="3" s="1"/>
  <c r="F866" i="3" s="1"/>
  <c r="P866" i="3"/>
  <c r="O866" i="3"/>
  <c r="AG865" i="3"/>
  <c r="R865" i="3"/>
  <c r="Q865" i="3"/>
  <c r="P865" i="3"/>
  <c r="O865" i="3"/>
  <c r="AG864" i="3"/>
  <c r="R864" i="3"/>
  <c r="Q864" i="3"/>
  <c r="P864" i="3"/>
  <c r="O864" i="3"/>
  <c r="AG863" i="3"/>
  <c r="R863" i="3"/>
  <c r="Q863" i="3"/>
  <c r="P863" i="3"/>
  <c r="O863" i="3"/>
  <c r="AG862" i="3"/>
  <c r="R862" i="3"/>
  <c r="Q862" i="3"/>
  <c r="P862" i="3"/>
  <c r="O862" i="3"/>
  <c r="I862" i="3"/>
  <c r="AG861" i="3"/>
  <c r="R861" i="3"/>
  <c r="Q861" i="3"/>
  <c r="P861" i="3"/>
  <c r="O861" i="3"/>
  <c r="AG860" i="3"/>
  <c r="R860" i="3"/>
  <c r="Q860" i="3"/>
  <c r="E860" i="3" s="1"/>
  <c r="F860" i="3" s="1"/>
  <c r="P860" i="3"/>
  <c r="O860" i="3"/>
  <c r="I860" i="3"/>
  <c r="AG859" i="3"/>
  <c r="R859" i="3"/>
  <c r="Q859" i="3"/>
  <c r="E859" i="3" s="1"/>
  <c r="F859" i="3" s="1"/>
  <c r="P859" i="3"/>
  <c r="O859" i="3"/>
  <c r="I859" i="3"/>
  <c r="AG858" i="3"/>
  <c r="R858" i="3"/>
  <c r="Q858" i="3"/>
  <c r="E858" i="3" s="1"/>
  <c r="F858" i="3" s="1"/>
  <c r="P858" i="3"/>
  <c r="O858" i="3"/>
  <c r="I858" i="3"/>
  <c r="AG857" i="3"/>
  <c r="R857" i="3"/>
  <c r="Q857" i="3"/>
  <c r="P857" i="3"/>
  <c r="O857" i="3"/>
  <c r="I857" i="3"/>
  <c r="AG856" i="3"/>
  <c r="R856" i="3"/>
  <c r="Q856" i="3"/>
  <c r="P856" i="3"/>
  <c r="O856" i="3"/>
  <c r="AG855" i="3"/>
  <c r="R855" i="3"/>
  <c r="Q855" i="3"/>
  <c r="AH855" i="3" s="1"/>
  <c r="P855" i="3"/>
  <c r="O855" i="3"/>
  <c r="I855" i="3"/>
  <c r="AG854" i="3"/>
  <c r="R854" i="3"/>
  <c r="Q854" i="3"/>
  <c r="H854" i="3" s="1"/>
  <c r="P854" i="3"/>
  <c r="O854" i="3"/>
  <c r="AG853" i="3"/>
  <c r="R853" i="3"/>
  <c r="Q853" i="3"/>
  <c r="P853" i="3"/>
  <c r="O853" i="3"/>
  <c r="AG852" i="3"/>
  <c r="R852" i="3"/>
  <c r="Q852" i="3"/>
  <c r="E852" i="3" s="1"/>
  <c r="F852" i="3" s="1"/>
  <c r="P852" i="3"/>
  <c r="O852" i="3"/>
  <c r="AG851" i="3"/>
  <c r="R851" i="3"/>
  <c r="Q851" i="3"/>
  <c r="P851" i="3"/>
  <c r="O851" i="3"/>
  <c r="I851" i="3"/>
  <c r="AG850" i="3"/>
  <c r="R850" i="3"/>
  <c r="Q850" i="3"/>
  <c r="P850" i="3"/>
  <c r="O850" i="3"/>
  <c r="AG849" i="3"/>
  <c r="R849" i="3"/>
  <c r="Q849" i="3"/>
  <c r="P849" i="3"/>
  <c r="O849" i="3"/>
  <c r="I849" i="3"/>
  <c r="AG848" i="3"/>
  <c r="R848" i="3"/>
  <c r="Q848" i="3"/>
  <c r="C848" i="3" s="1"/>
  <c r="D848" i="3" s="1"/>
  <c r="P848" i="3"/>
  <c r="O848" i="3"/>
  <c r="AG847" i="3"/>
  <c r="R847" i="3"/>
  <c r="Q847" i="3"/>
  <c r="AH847" i="3" s="1"/>
  <c r="AJ847" i="3" s="1"/>
  <c r="P847" i="3"/>
  <c r="O847" i="3"/>
  <c r="AG846" i="3"/>
  <c r="R846" i="3"/>
  <c r="Q846" i="3"/>
  <c r="P846" i="3"/>
  <c r="O846" i="3"/>
  <c r="I846" i="3"/>
  <c r="AG845" i="3"/>
  <c r="R845" i="3"/>
  <c r="Q845" i="3"/>
  <c r="P845" i="3"/>
  <c r="O845" i="3"/>
  <c r="AG844" i="3"/>
  <c r="R844" i="3"/>
  <c r="Q844" i="3"/>
  <c r="AH844" i="3" s="1"/>
  <c r="P844" i="3"/>
  <c r="O844" i="3"/>
  <c r="AG843" i="3"/>
  <c r="R843" i="3"/>
  <c r="Q843" i="3"/>
  <c r="P843" i="3"/>
  <c r="O843" i="3"/>
  <c r="I843" i="3"/>
  <c r="AG842" i="3"/>
  <c r="R842" i="3"/>
  <c r="Q842" i="3"/>
  <c r="AH842" i="3" s="1"/>
  <c r="AL842" i="3" s="1"/>
  <c r="P842" i="3"/>
  <c r="O842" i="3"/>
  <c r="AG841" i="3"/>
  <c r="R841" i="3"/>
  <c r="Q841" i="3"/>
  <c r="AH841" i="3" s="1"/>
  <c r="P841" i="3"/>
  <c r="O841" i="3"/>
  <c r="AG840" i="3"/>
  <c r="R840" i="3"/>
  <c r="Q840" i="3"/>
  <c r="E840" i="3" s="1"/>
  <c r="F840" i="3" s="1"/>
  <c r="P840" i="3"/>
  <c r="O840" i="3"/>
  <c r="AG839" i="3"/>
  <c r="R839" i="3"/>
  <c r="Q839" i="3"/>
  <c r="C839" i="3" s="1"/>
  <c r="D839" i="3" s="1"/>
  <c r="P839" i="3"/>
  <c r="O839" i="3"/>
  <c r="AG838" i="3"/>
  <c r="R838" i="3"/>
  <c r="Q838" i="3"/>
  <c r="AH838" i="3" s="1"/>
  <c r="AL838" i="3" s="1"/>
  <c r="P838" i="3"/>
  <c r="O838" i="3"/>
  <c r="AG837" i="3"/>
  <c r="R837" i="3"/>
  <c r="Q837" i="3"/>
  <c r="H837" i="3" s="1"/>
  <c r="P837" i="3"/>
  <c r="O837" i="3"/>
  <c r="AG836" i="3"/>
  <c r="R836" i="3"/>
  <c r="Q836" i="3"/>
  <c r="E836" i="3" s="1"/>
  <c r="F836" i="3" s="1"/>
  <c r="P836" i="3"/>
  <c r="O836" i="3"/>
  <c r="AG835" i="3"/>
  <c r="R835" i="3"/>
  <c r="Q835" i="3"/>
  <c r="P835" i="3"/>
  <c r="O835" i="3"/>
  <c r="AG834" i="3"/>
  <c r="R834" i="3"/>
  <c r="Q834" i="3"/>
  <c r="AH834" i="3" s="1"/>
  <c r="P834" i="3"/>
  <c r="O834" i="3"/>
  <c r="AG833" i="3"/>
  <c r="R833" i="3"/>
  <c r="Q833" i="3"/>
  <c r="C833" i="3" s="1"/>
  <c r="D833" i="3" s="1"/>
  <c r="P833" i="3"/>
  <c r="O833" i="3"/>
  <c r="I833" i="3"/>
  <c r="AG832" i="3"/>
  <c r="R832" i="3"/>
  <c r="Q832" i="3"/>
  <c r="AH832" i="3" s="1"/>
  <c r="AJ832" i="3" s="1"/>
  <c r="P832" i="3"/>
  <c r="O832" i="3"/>
  <c r="AG831" i="3"/>
  <c r="R831" i="3"/>
  <c r="Q831" i="3"/>
  <c r="P831" i="3"/>
  <c r="O831" i="3"/>
  <c r="AG830" i="3"/>
  <c r="R830" i="3"/>
  <c r="Q830" i="3"/>
  <c r="E830" i="3" s="1"/>
  <c r="F830" i="3" s="1"/>
  <c r="P830" i="3"/>
  <c r="O830" i="3"/>
  <c r="AG829" i="3"/>
  <c r="R829" i="3"/>
  <c r="Q829" i="3"/>
  <c r="C829" i="3" s="1"/>
  <c r="D829" i="3" s="1"/>
  <c r="P829" i="3"/>
  <c r="O829" i="3"/>
  <c r="AG828" i="3"/>
  <c r="R828" i="3"/>
  <c r="Q828" i="3"/>
  <c r="H828" i="3" s="1"/>
  <c r="P828" i="3"/>
  <c r="O828" i="3"/>
  <c r="AG827" i="3"/>
  <c r="R827" i="3"/>
  <c r="Q827" i="3"/>
  <c r="AH827" i="3" s="1"/>
  <c r="P827" i="3"/>
  <c r="O827" i="3"/>
  <c r="AG826" i="3"/>
  <c r="R826" i="3"/>
  <c r="Q826" i="3"/>
  <c r="P826" i="3"/>
  <c r="O826" i="3"/>
  <c r="AG825" i="3"/>
  <c r="R825" i="3"/>
  <c r="Q825" i="3"/>
  <c r="C825" i="3" s="1"/>
  <c r="D825" i="3" s="1"/>
  <c r="P825" i="3"/>
  <c r="O825" i="3"/>
  <c r="AG824" i="3"/>
  <c r="R824" i="3"/>
  <c r="Q824" i="3"/>
  <c r="AH824" i="3" s="1"/>
  <c r="AJ824" i="3" s="1"/>
  <c r="P824" i="3"/>
  <c r="O824" i="3"/>
  <c r="AG823" i="3"/>
  <c r="R823" i="3"/>
  <c r="Q823" i="3"/>
  <c r="C823" i="3" s="1"/>
  <c r="D823" i="3" s="1"/>
  <c r="P823" i="3"/>
  <c r="O823" i="3"/>
  <c r="AG822" i="3"/>
  <c r="R822" i="3"/>
  <c r="Q822" i="3"/>
  <c r="E822" i="3" s="1"/>
  <c r="F822" i="3" s="1"/>
  <c r="P822" i="3"/>
  <c r="O822" i="3"/>
  <c r="I822" i="3"/>
  <c r="AG821" i="3"/>
  <c r="R821" i="3"/>
  <c r="Q821" i="3"/>
  <c r="C821" i="3" s="1"/>
  <c r="D821" i="3" s="1"/>
  <c r="P821" i="3"/>
  <c r="O821" i="3"/>
  <c r="I821" i="3"/>
  <c r="AG820" i="3"/>
  <c r="R820" i="3"/>
  <c r="Q820" i="3"/>
  <c r="AH820" i="3" s="1"/>
  <c r="P820" i="3"/>
  <c r="O820" i="3"/>
  <c r="AG819" i="3"/>
  <c r="R819" i="3"/>
  <c r="Q819" i="3"/>
  <c r="AH819" i="3" s="1"/>
  <c r="P819" i="3"/>
  <c r="O819" i="3"/>
  <c r="I819" i="3"/>
  <c r="AG818" i="3"/>
  <c r="R818" i="3"/>
  <c r="Q818" i="3"/>
  <c r="C818" i="3" s="1"/>
  <c r="D818" i="3" s="1"/>
  <c r="P818" i="3"/>
  <c r="O818" i="3"/>
  <c r="AG817" i="3"/>
  <c r="R817" i="3"/>
  <c r="Q817" i="3"/>
  <c r="AH817" i="3" s="1"/>
  <c r="AJ817" i="3" s="1"/>
  <c r="P817" i="3"/>
  <c r="O817" i="3"/>
  <c r="AG816" i="3"/>
  <c r="R816" i="3"/>
  <c r="Q816" i="3"/>
  <c r="C816" i="3" s="1"/>
  <c r="D816" i="3" s="1"/>
  <c r="P816" i="3"/>
  <c r="O816" i="3"/>
  <c r="AG815" i="3"/>
  <c r="R815" i="3"/>
  <c r="Q815" i="3"/>
  <c r="P815" i="3"/>
  <c r="O815" i="3"/>
  <c r="AG814" i="3"/>
  <c r="R814" i="3"/>
  <c r="Q814" i="3"/>
  <c r="AH814" i="3" s="1"/>
  <c r="P814" i="3"/>
  <c r="O814" i="3"/>
  <c r="I814" i="3"/>
  <c r="AH813" i="3"/>
  <c r="AG813" i="3"/>
  <c r="R813" i="3"/>
  <c r="P813" i="3"/>
  <c r="O813" i="3"/>
  <c r="H813" i="3"/>
  <c r="E813" i="3"/>
  <c r="F813" i="3" s="1"/>
  <c r="C813" i="3"/>
  <c r="D813" i="3" s="1"/>
  <c r="AH812" i="3"/>
  <c r="AG812" i="3"/>
  <c r="R812" i="3"/>
  <c r="P812" i="3"/>
  <c r="O812" i="3"/>
  <c r="H812" i="3"/>
  <c r="E812" i="3"/>
  <c r="F812" i="3" s="1"/>
  <c r="C812" i="3"/>
  <c r="D812" i="3" s="1"/>
  <c r="AG811" i="3"/>
  <c r="S811" i="3"/>
  <c r="R811" i="3"/>
  <c r="Q811" i="3"/>
  <c r="P811" i="3"/>
  <c r="O811" i="3"/>
  <c r="AG810" i="3"/>
  <c r="S810" i="3"/>
  <c r="R810" i="3"/>
  <c r="Q810" i="3"/>
  <c r="E810" i="3" s="1"/>
  <c r="F810" i="3" s="1"/>
  <c r="P810" i="3"/>
  <c r="O810" i="3"/>
  <c r="I810" i="3"/>
  <c r="AG809" i="3"/>
  <c r="S809" i="3"/>
  <c r="R809" i="3"/>
  <c r="Q809" i="3"/>
  <c r="E809" i="3" s="1"/>
  <c r="F809" i="3" s="1"/>
  <c r="P809" i="3"/>
  <c r="O809" i="3"/>
  <c r="I809" i="3"/>
  <c r="AG808" i="3"/>
  <c r="S808" i="3"/>
  <c r="R808" i="3"/>
  <c r="Q808" i="3"/>
  <c r="P808" i="3"/>
  <c r="O808" i="3"/>
  <c r="AG807" i="3"/>
  <c r="S807" i="3"/>
  <c r="R807" i="3"/>
  <c r="Q807" i="3"/>
  <c r="AH807" i="3" s="1"/>
  <c r="P807" i="3"/>
  <c r="O807" i="3"/>
  <c r="I807" i="3"/>
  <c r="AG806" i="3"/>
  <c r="R806" i="3"/>
  <c r="Q806" i="3"/>
  <c r="P806" i="3"/>
  <c r="O806" i="3"/>
  <c r="AG805" i="3"/>
  <c r="R805" i="3"/>
  <c r="Q805" i="3"/>
  <c r="C805" i="3" s="1"/>
  <c r="D805" i="3" s="1"/>
  <c r="P805" i="3"/>
  <c r="O805" i="3"/>
  <c r="AG804" i="3"/>
  <c r="R804" i="3"/>
  <c r="Q804" i="3"/>
  <c r="H804" i="3" s="1"/>
  <c r="P804" i="3"/>
  <c r="O804" i="3"/>
  <c r="AG803" i="3"/>
  <c r="R803" i="3"/>
  <c r="Q803" i="3"/>
  <c r="P803" i="3"/>
  <c r="O803" i="3"/>
  <c r="I803" i="3"/>
  <c r="AG802" i="3"/>
  <c r="R802" i="3"/>
  <c r="Q802" i="3"/>
  <c r="AH802" i="3" s="1"/>
  <c r="P802" i="3"/>
  <c r="O802" i="3"/>
  <c r="AG801" i="3"/>
  <c r="R801" i="3"/>
  <c r="Q801" i="3"/>
  <c r="AH801" i="3" s="1"/>
  <c r="P801" i="3"/>
  <c r="O801" i="3"/>
  <c r="I801" i="3"/>
  <c r="AG800" i="3"/>
  <c r="R800" i="3"/>
  <c r="Q800" i="3"/>
  <c r="AH800" i="3" s="1"/>
  <c r="P800" i="3"/>
  <c r="O800" i="3"/>
  <c r="AG799" i="3"/>
  <c r="R799" i="3"/>
  <c r="Q799" i="3"/>
  <c r="AH799" i="3" s="1"/>
  <c r="P799" i="3"/>
  <c r="O799" i="3"/>
  <c r="AG798" i="3"/>
  <c r="R798" i="3"/>
  <c r="Q798" i="3"/>
  <c r="P798" i="3"/>
  <c r="O798" i="3"/>
  <c r="AG797" i="3"/>
  <c r="R797" i="3"/>
  <c r="Q797" i="3"/>
  <c r="AH797" i="3" s="1"/>
  <c r="P797" i="3"/>
  <c r="O797" i="3"/>
  <c r="AG796" i="3"/>
  <c r="R796" i="3"/>
  <c r="Q796" i="3"/>
  <c r="AH796" i="3" s="1"/>
  <c r="P796" i="3"/>
  <c r="O796" i="3"/>
  <c r="AG795" i="3"/>
  <c r="R795" i="3"/>
  <c r="Q795" i="3"/>
  <c r="P795" i="3"/>
  <c r="O795" i="3"/>
  <c r="AG794" i="3"/>
  <c r="R794" i="3"/>
  <c r="Q794" i="3"/>
  <c r="C794" i="3" s="1"/>
  <c r="D794" i="3" s="1"/>
  <c r="P794" i="3"/>
  <c r="O794" i="3"/>
  <c r="AG793" i="3"/>
  <c r="R793" i="3"/>
  <c r="Q793" i="3"/>
  <c r="AH793" i="3" s="1"/>
  <c r="P793" i="3"/>
  <c r="O793" i="3"/>
  <c r="AG792" i="3"/>
  <c r="R792" i="3"/>
  <c r="Q792" i="3"/>
  <c r="P792" i="3"/>
  <c r="O792" i="3"/>
  <c r="AG791" i="3"/>
  <c r="R791" i="3"/>
  <c r="Q791" i="3"/>
  <c r="AH791" i="3" s="1"/>
  <c r="P791" i="3"/>
  <c r="O791" i="3"/>
  <c r="AG790" i="3"/>
  <c r="R790" i="3"/>
  <c r="Q790" i="3"/>
  <c r="C790" i="3" s="1"/>
  <c r="D790" i="3" s="1"/>
  <c r="P790" i="3"/>
  <c r="O790" i="3"/>
  <c r="AG789" i="3"/>
  <c r="R789" i="3"/>
  <c r="Q789" i="3"/>
  <c r="AH789" i="3" s="1"/>
  <c r="P789" i="3"/>
  <c r="O789" i="3"/>
  <c r="AG788" i="3"/>
  <c r="R788" i="3"/>
  <c r="Q788" i="3"/>
  <c r="AH788" i="3" s="1"/>
  <c r="P788" i="3"/>
  <c r="O788" i="3"/>
  <c r="AG787" i="3"/>
  <c r="S787" i="3"/>
  <c r="R787" i="3"/>
  <c r="Q787" i="3"/>
  <c r="AH787" i="3" s="1"/>
  <c r="P787" i="3"/>
  <c r="O787" i="3"/>
  <c r="I787" i="3"/>
  <c r="AG786" i="3"/>
  <c r="S786" i="3"/>
  <c r="R786" i="3"/>
  <c r="Q786" i="3"/>
  <c r="P786" i="3"/>
  <c r="O786" i="3"/>
  <c r="I786" i="3"/>
  <c r="AG785" i="3"/>
  <c r="R785" i="3"/>
  <c r="Q785" i="3"/>
  <c r="C785" i="3" s="1"/>
  <c r="D785" i="3" s="1"/>
  <c r="P785" i="3"/>
  <c r="O785" i="3"/>
  <c r="AG784" i="3"/>
  <c r="R784" i="3"/>
  <c r="Q784" i="3"/>
  <c r="AH784" i="3" s="1"/>
  <c r="P784" i="3"/>
  <c r="O784" i="3"/>
  <c r="AG783" i="3"/>
  <c r="S783" i="3"/>
  <c r="R783" i="3"/>
  <c r="Q783" i="3"/>
  <c r="H783" i="3" s="1"/>
  <c r="P783" i="3"/>
  <c r="O783" i="3"/>
  <c r="I783" i="3"/>
  <c r="AG782" i="3"/>
  <c r="R782" i="3"/>
  <c r="Q782" i="3"/>
  <c r="C782" i="3" s="1"/>
  <c r="D782" i="3" s="1"/>
  <c r="P782" i="3"/>
  <c r="O782" i="3"/>
  <c r="I782" i="3"/>
  <c r="AG781" i="3"/>
  <c r="R781" i="3"/>
  <c r="Q781" i="3"/>
  <c r="AH781" i="3" s="1"/>
  <c r="P781" i="3"/>
  <c r="O781" i="3"/>
  <c r="AG780" i="3"/>
  <c r="R780" i="3"/>
  <c r="Q780" i="3"/>
  <c r="E780" i="3" s="1"/>
  <c r="F780" i="3" s="1"/>
  <c r="P780" i="3"/>
  <c r="O780" i="3"/>
  <c r="AG779" i="3"/>
  <c r="R779" i="3"/>
  <c r="Q779" i="3"/>
  <c r="H779" i="3" s="1"/>
  <c r="P779" i="3"/>
  <c r="O779" i="3"/>
  <c r="AG778" i="3"/>
  <c r="R778" i="3"/>
  <c r="Q778" i="3"/>
  <c r="H778" i="3" s="1"/>
  <c r="P778" i="3"/>
  <c r="O778" i="3"/>
  <c r="AG777" i="3"/>
  <c r="R777" i="3"/>
  <c r="Q777" i="3"/>
  <c r="P777" i="3"/>
  <c r="O777" i="3"/>
  <c r="AG776" i="3"/>
  <c r="R776" i="3"/>
  <c r="Q776" i="3"/>
  <c r="AH776" i="3" s="1"/>
  <c r="P776" i="3"/>
  <c r="O776" i="3"/>
  <c r="AG775" i="3"/>
  <c r="R775" i="3"/>
  <c r="Q775" i="3"/>
  <c r="C775" i="3" s="1"/>
  <c r="D775" i="3" s="1"/>
  <c r="P775" i="3"/>
  <c r="O775" i="3"/>
  <c r="AG774" i="3"/>
  <c r="R774" i="3"/>
  <c r="Q774" i="3"/>
  <c r="C774" i="3" s="1"/>
  <c r="D774" i="3" s="1"/>
  <c r="P774" i="3"/>
  <c r="O774" i="3"/>
  <c r="AG773" i="3"/>
  <c r="R773" i="3"/>
  <c r="Q773" i="3"/>
  <c r="P773" i="3"/>
  <c r="O773" i="3"/>
  <c r="AG772" i="3"/>
  <c r="R772" i="3"/>
  <c r="Q772" i="3"/>
  <c r="P772" i="3"/>
  <c r="O772" i="3"/>
  <c r="AG771" i="3"/>
  <c r="R771" i="3"/>
  <c r="Q771" i="3"/>
  <c r="AH771" i="3" s="1"/>
  <c r="AL771" i="3" s="1"/>
  <c r="P771" i="3"/>
  <c r="O771" i="3"/>
  <c r="AG770" i="3"/>
  <c r="R770" i="3"/>
  <c r="Q770" i="3"/>
  <c r="P770" i="3"/>
  <c r="O770" i="3"/>
  <c r="AG769" i="3"/>
  <c r="R769" i="3"/>
  <c r="Q769" i="3"/>
  <c r="AH769" i="3" s="1"/>
  <c r="P769" i="3"/>
  <c r="O769" i="3"/>
  <c r="I769" i="3"/>
  <c r="AG768" i="3"/>
  <c r="R768" i="3"/>
  <c r="Q768" i="3"/>
  <c r="E768" i="3" s="1"/>
  <c r="F768" i="3" s="1"/>
  <c r="P768" i="3"/>
  <c r="O768" i="3"/>
  <c r="AG767" i="3"/>
  <c r="R767" i="3"/>
  <c r="Q767" i="3"/>
  <c r="AH767" i="3" s="1"/>
  <c r="AJ767" i="3" s="1"/>
  <c r="P767" i="3"/>
  <c r="O767" i="3"/>
  <c r="AG766" i="3"/>
  <c r="R766" i="3"/>
  <c r="Q766" i="3"/>
  <c r="AH766" i="3" s="1"/>
  <c r="P766" i="3"/>
  <c r="O766" i="3"/>
  <c r="AG765" i="3"/>
  <c r="R765" i="3"/>
  <c r="Q765" i="3"/>
  <c r="P765" i="3"/>
  <c r="O765" i="3"/>
  <c r="AG764" i="3"/>
  <c r="R764" i="3"/>
  <c r="Q764" i="3"/>
  <c r="AH764" i="3" s="1"/>
  <c r="AL764" i="3" s="1"/>
  <c r="P764" i="3"/>
  <c r="O764" i="3"/>
  <c r="I764" i="3"/>
  <c r="AG763" i="3"/>
  <c r="R763" i="3"/>
  <c r="Q763" i="3"/>
  <c r="E763" i="3" s="1"/>
  <c r="F763" i="3" s="1"/>
  <c r="P763" i="3"/>
  <c r="O763" i="3"/>
  <c r="AG762" i="3"/>
  <c r="R762" i="3"/>
  <c r="Q762" i="3"/>
  <c r="AH762" i="3" s="1"/>
  <c r="P762" i="3"/>
  <c r="O762" i="3"/>
  <c r="AG761" i="3"/>
  <c r="R761" i="3"/>
  <c r="Q761" i="3"/>
  <c r="E761" i="3" s="1"/>
  <c r="F761" i="3" s="1"/>
  <c r="P761" i="3"/>
  <c r="O761" i="3"/>
  <c r="AG760" i="3"/>
  <c r="R760" i="3"/>
  <c r="Q760" i="3"/>
  <c r="AH760" i="3" s="1"/>
  <c r="AL760" i="3" s="1"/>
  <c r="P760" i="3"/>
  <c r="O760" i="3"/>
  <c r="AG759" i="3"/>
  <c r="R759" i="3"/>
  <c r="Q759" i="3"/>
  <c r="AH759" i="3" s="1"/>
  <c r="P759" i="3"/>
  <c r="O759" i="3"/>
  <c r="AG758" i="3"/>
  <c r="R758" i="3"/>
  <c r="Q758" i="3"/>
  <c r="AH758" i="3" s="1"/>
  <c r="P758" i="3"/>
  <c r="O758" i="3"/>
  <c r="AG757" i="3"/>
  <c r="R757" i="3"/>
  <c r="Q757" i="3"/>
  <c r="E757" i="3" s="1"/>
  <c r="F757" i="3" s="1"/>
  <c r="P757" i="3"/>
  <c r="O757" i="3"/>
  <c r="I757" i="3"/>
  <c r="AG756" i="3"/>
  <c r="R756" i="3"/>
  <c r="Q756" i="3"/>
  <c r="AH756" i="3" s="1"/>
  <c r="P756" i="3"/>
  <c r="O756" i="3"/>
  <c r="AG755" i="3"/>
  <c r="R755" i="3"/>
  <c r="Q755" i="3"/>
  <c r="H755" i="3" s="1"/>
  <c r="P755" i="3"/>
  <c r="O755" i="3"/>
  <c r="I755" i="3"/>
  <c r="AG754" i="3"/>
  <c r="R754" i="3"/>
  <c r="Q754" i="3"/>
  <c r="AH754" i="3" s="1"/>
  <c r="P754" i="3"/>
  <c r="O754" i="3"/>
  <c r="AG753" i="3"/>
  <c r="R753" i="3"/>
  <c r="Q753" i="3"/>
  <c r="E753" i="3" s="1"/>
  <c r="F753" i="3" s="1"/>
  <c r="P753" i="3"/>
  <c r="O753" i="3"/>
  <c r="AG752" i="3"/>
  <c r="R752" i="3"/>
  <c r="Q752" i="3"/>
  <c r="AH752" i="3" s="1"/>
  <c r="P752" i="3"/>
  <c r="O752" i="3"/>
  <c r="AG751" i="3"/>
  <c r="R751" i="3"/>
  <c r="Q751" i="3"/>
  <c r="AH751" i="3" s="1"/>
  <c r="P751" i="3"/>
  <c r="O751" i="3"/>
  <c r="AG750" i="3"/>
  <c r="R750" i="3"/>
  <c r="Q750" i="3"/>
  <c r="AH750" i="3" s="1"/>
  <c r="P750" i="3"/>
  <c r="O750" i="3"/>
  <c r="AG749" i="3"/>
  <c r="R749" i="3"/>
  <c r="Q749" i="3"/>
  <c r="AH749" i="3" s="1"/>
  <c r="P749" i="3"/>
  <c r="O749" i="3"/>
  <c r="I749" i="3"/>
  <c r="AG748" i="3"/>
  <c r="R748" i="3"/>
  <c r="Q748" i="3"/>
  <c r="C748" i="3" s="1"/>
  <c r="D748" i="3" s="1"/>
  <c r="P748" i="3"/>
  <c r="O748" i="3"/>
  <c r="AG747" i="3"/>
  <c r="R747" i="3"/>
  <c r="Q747" i="3"/>
  <c r="AH747" i="3" s="1"/>
  <c r="P747" i="3"/>
  <c r="O747" i="3"/>
  <c r="AG746" i="3"/>
  <c r="R746" i="3"/>
  <c r="Q746" i="3"/>
  <c r="AH746" i="3" s="1"/>
  <c r="P746" i="3"/>
  <c r="O746" i="3"/>
  <c r="AG745" i="3"/>
  <c r="R745" i="3"/>
  <c r="Q745" i="3"/>
  <c r="P745" i="3"/>
  <c r="O745" i="3"/>
  <c r="AG744" i="3"/>
  <c r="R744" i="3"/>
  <c r="Q744" i="3"/>
  <c r="C744" i="3" s="1"/>
  <c r="D744" i="3" s="1"/>
  <c r="P744" i="3"/>
  <c r="O744" i="3"/>
  <c r="AG743" i="3"/>
  <c r="R743" i="3"/>
  <c r="Q743" i="3"/>
  <c r="AH743" i="3" s="1"/>
  <c r="P743" i="3"/>
  <c r="O743" i="3"/>
  <c r="AG742" i="3"/>
  <c r="R742" i="3"/>
  <c r="Q742" i="3"/>
  <c r="AH742" i="3" s="1"/>
  <c r="P742" i="3"/>
  <c r="O742" i="3"/>
  <c r="AG741" i="3"/>
  <c r="R741" i="3"/>
  <c r="Q741" i="3"/>
  <c r="P741" i="3"/>
  <c r="O741" i="3"/>
  <c r="AG740" i="3"/>
  <c r="R740" i="3"/>
  <c r="Q740" i="3"/>
  <c r="P740" i="3"/>
  <c r="O740" i="3"/>
  <c r="AG739" i="3"/>
  <c r="R739" i="3"/>
  <c r="Q739" i="3"/>
  <c r="AH739" i="3" s="1"/>
  <c r="P739" i="3"/>
  <c r="O739" i="3"/>
  <c r="AG738" i="3"/>
  <c r="R738" i="3"/>
  <c r="Q738" i="3"/>
  <c r="AH738" i="3" s="1"/>
  <c r="P738" i="3"/>
  <c r="O738" i="3"/>
  <c r="AG737" i="3"/>
  <c r="R737" i="3"/>
  <c r="Q737" i="3"/>
  <c r="P737" i="3"/>
  <c r="O737" i="3"/>
  <c r="AG736" i="3"/>
  <c r="R736" i="3"/>
  <c r="Q736" i="3"/>
  <c r="C736" i="3" s="1"/>
  <c r="D736" i="3" s="1"/>
  <c r="P736" i="3"/>
  <c r="O736" i="3"/>
  <c r="AG735" i="3"/>
  <c r="R735" i="3"/>
  <c r="Q735" i="3"/>
  <c r="AH735" i="3" s="1"/>
  <c r="P735" i="3"/>
  <c r="O735" i="3"/>
  <c r="AG734" i="3"/>
  <c r="R734" i="3"/>
  <c r="Q734" i="3"/>
  <c r="AH734" i="3" s="1"/>
  <c r="P734" i="3"/>
  <c r="O734" i="3"/>
  <c r="AG733" i="3"/>
  <c r="R733" i="3"/>
  <c r="Q733" i="3"/>
  <c r="E733" i="3" s="1"/>
  <c r="F733" i="3" s="1"/>
  <c r="P733" i="3"/>
  <c r="O733" i="3"/>
  <c r="AG732" i="3"/>
  <c r="R732" i="3"/>
  <c r="Q732" i="3"/>
  <c r="C732" i="3" s="1"/>
  <c r="D732" i="3" s="1"/>
  <c r="P732" i="3"/>
  <c r="O732" i="3"/>
  <c r="I732" i="3"/>
  <c r="AG731" i="3"/>
  <c r="R731" i="3"/>
  <c r="Q731" i="3"/>
  <c r="AH731" i="3" s="1"/>
  <c r="AL731" i="3" s="1"/>
  <c r="P731" i="3"/>
  <c r="O731" i="3"/>
  <c r="AG730" i="3"/>
  <c r="R730" i="3"/>
  <c r="Q730" i="3"/>
  <c r="AH730" i="3" s="1"/>
  <c r="P730" i="3"/>
  <c r="O730" i="3"/>
  <c r="AG729" i="3"/>
  <c r="R729" i="3"/>
  <c r="Q729" i="3"/>
  <c r="P729" i="3"/>
  <c r="O729" i="3"/>
  <c r="AG728" i="3"/>
  <c r="R728" i="3"/>
  <c r="Q728" i="3"/>
  <c r="H728" i="3" s="1"/>
  <c r="P728" i="3"/>
  <c r="O728" i="3"/>
  <c r="AG727" i="3"/>
  <c r="R727" i="3"/>
  <c r="Q727" i="3"/>
  <c r="AH727" i="3" s="1"/>
  <c r="AL727" i="3" s="1"/>
  <c r="P727" i="3"/>
  <c r="O727" i="3"/>
  <c r="AG726" i="3"/>
  <c r="R726" i="3"/>
  <c r="Q726" i="3"/>
  <c r="AH726" i="3" s="1"/>
  <c r="P726" i="3"/>
  <c r="O726" i="3"/>
  <c r="AG725" i="3"/>
  <c r="R725" i="3"/>
  <c r="Q725" i="3"/>
  <c r="AH725" i="3" s="1"/>
  <c r="AJ725" i="3" s="1"/>
  <c r="P725" i="3"/>
  <c r="O725" i="3"/>
  <c r="AG724" i="3"/>
  <c r="R724" i="3"/>
  <c r="Q724" i="3"/>
  <c r="H724" i="3" s="1"/>
  <c r="P724" i="3"/>
  <c r="O724" i="3"/>
  <c r="AG723" i="3"/>
  <c r="R723" i="3"/>
  <c r="Q723" i="3"/>
  <c r="C723" i="3" s="1"/>
  <c r="D723" i="3" s="1"/>
  <c r="P723" i="3"/>
  <c r="O723" i="3"/>
  <c r="AG722" i="3"/>
  <c r="R722" i="3"/>
  <c r="Q722" i="3"/>
  <c r="AH722" i="3" s="1"/>
  <c r="P722" i="3"/>
  <c r="O722" i="3"/>
  <c r="AG721" i="3"/>
  <c r="R721" i="3"/>
  <c r="Q721" i="3"/>
  <c r="AH721" i="3" s="1"/>
  <c r="AJ721" i="3" s="1"/>
  <c r="P721" i="3"/>
  <c r="O721" i="3"/>
  <c r="I721" i="3"/>
  <c r="AG720" i="3"/>
  <c r="R720" i="3"/>
  <c r="Q720" i="3"/>
  <c r="AH720" i="3" s="1"/>
  <c r="P720" i="3"/>
  <c r="O720" i="3"/>
  <c r="AG719" i="3"/>
  <c r="R719" i="3"/>
  <c r="Q719" i="3"/>
  <c r="AH719" i="3" s="1"/>
  <c r="P719" i="3"/>
  <c r="O719" i="3"/>
  <c r="AG718" i="3"/>
  <c r="R718" i="3"/>
  <c r="Q718" i="3"/>
  <c r="H718" i="3" s="1"/>
  <c r="P718" i="3"/>
  <c r="O718" i="3"/>
  <c r="I718" i="3"/>
  <c r="AG717" i="3"/>
  <c r="R717" i="3"/>
  <c r="Q717" i="3"/>
  <c r="P717" i="3"/>
  <c r="O717" i="3"/>
  <c r="AG716" i="3"/>
  <c r="R716" i="3"/>
  <c r="Q716" i="3"/>
  <c r="E716" i="3" s="1"/>
  <c r="F716" i="3" s="1"/>
  <c r="P716" i="3"/>
  <c r="O716" i="3"/>
  <c r="I716" i="3"/>
  <c r="AG715" i="3"/>
  <c r="R715" i="3"/>
  <c r="Q715" i="3"/>
  <c r="H715" i="3" s="1"/>
  <c r="P715" i="3"/>
  <c r="O715" i="3"/>
  <c r="AG714" i="3"/>
  <c r="R714" i="3"/>
  <c r="Q714" i="3"/>
  <c r="AH714" i="3" s="1"/>
  <c r="P714" i="3"/>
  <c r="O714" i="3"/>
  <c r="AG713" i="3"/>
  <c r="R713" i="3"/>
  <c r="Q713" i="3"/>
  <c r="P713" i="3"/>
  <c r="O713" i="3"/>
  <c r="AG712" i="3"/>
  <c r="R712" i="3"/>
  <c r="Q712" i="3"/>
  <c r="P712" i="3"/>
  <c r="O712" i="3"/>
  <c r="AG711" i="3"/>
  <c r="R711" i="3"/>
  <c r="Q711" i="3"/>
  <c r="H711" i="3" s="1"/>
  <c r="P711" i="3"/>
  <c r="O711" i="3"/>
  <c r="AG710" i="3"/>
  <c r="R710" i="3"/>
  <c r="Q710" i="3"/>
  <c r="P710" i="3"/>
  <c r="O710" i="3"/>
  <c r="AG709" i="3"/>
  <c r="R709" i="3"/>
  <c r="Q709" i="3"/>
  <c r="P709" i="3"/>
  <c r="O709" i="3"/>
  <c r="AG708" i="3"/>
  <c r="R708" i="3"/>
  <c r="Q708" i="3"/>
  <c r="E708" i="3" s="1"/>
  <c r="F708" i="3" s="1"/>
  <c r="P708" i="3"/>
  <c r="O708" i="3"/>
  <c r="AG707" i="3"/>
  <c r="R707" i="3"/>
  <c r="Q707" i="3"/>
  <c r="H707" i="3" s="1"/>
  <c r="P707" i="3"/>
  <c r="O707" i="3"/>
  <c r="AG706" i="3"/>
  <c r="R706" i="3"/>
  <c r="Q706" i="3"/>
  <c r="AH706" i="3" s="1"/>
  <c r="P706" i="3"/>
  <c r="O706" i="3"/>
  <c r="AG705" i="3"/>
  <c r="R705" i="3"/>
  <c r="Q705" i="3"/>
  <c r="E705" i="3" s="1"/>
  <c r="F705" i="3" s="1"/>
  <c r="P705" i="3"/>
  <c r="O705" i="3"/>
  <c r="AG704" i="3"/>
  <c r="R704" i="3"/>
  <c r="Q704" i="3"/>
  <c r="E704" i="3" s="1"/>
  <c r="F704" i="3" s="1"/>
  <c r="P704" i="3"/>
  <c r="O704" i="3"/>
  <c r="AG703" i="3"/>
  <c r="R703" i="3"/>
  <c r="Q703" i="3"/>
  <c r="H703" i="3" s="1"/>
  <c r="P703" i="3"/>
  <c r="O703" i="3"/>
  <c r="AG702" i="3"/>
  <c r="R702" i="3"/>
  <c r="Q702" i="3"/>
  <c r="AH702" i="3" s="1"/>
  <c r="P702" i="3"/>
  <c r="O702" i="3"/>
  <c r="AG701" i="3"/>
  <c r="R701" i="3"/>
  <c r="Q701" i="3"/>
  <c r="E701" i="3" s="1"/>
  <c r="F701" i="3" s="1"/>
  <c r="P701" i="3"/>
  <c r="O701" i="3"/>
  <c r="AG700" i="3"/>
  <c r="R700" i="3"/>
  <c r="Q700" i="3"/>
  <c r="E700" i="3" s="1"/>
  <c r="F700" i="3" s="1"/>
  <c r="P700" i="3"/>
  <c r="O700" i="3"/>
  <c r="AG699" i="3"/>
  <c r="R699" i="3"/>
  <c r="Q699" i="3"/>
  <c r="P699" i="3"/>
  <c r="O699" i="3"/>
  <c r="AG698" i="3"/>
  <c r="R698" i="3"/>
  <c r="Q698" i="3"/>
  <c r="AH698" i="3" s="1"/>
  <c r="P698" i="3"/>
  <c r="O698" i="3"/>
  <c r="AG697" i="3"/>
  <c r="R697" i="3"/>
  <c r="Q697" i="3"/>
  <c r="P697" i="3"/>
  <c r="O697" i="3"/>
  <c r="AG696" i="3"/>
  <c r="R696" i="3"/>
  <c r="Q696" i="3"/>
  <c r="E696" i="3" s="1"/>
  <c r="F696" i="3" s="1"/>
  <c r="P696" i="3"/>
  <c r="O696" i="3"/>
  <c r="AG695" i="3"/>
  <c r="R695" i="3"/>
  <c r="Q695" i="3"/>
  <c r="H695" i="3" s="1"/>
  <c r="P695" i="3"/>
  <c r="O695" i="3"/>
  <c r="AG694" i="3"/>
  <c r="R694" i="3"/>
  <c r="Q694" i="3"/>
  <c r="H694" i="3" s="1"/>
  <c r="P694" i="3"/>
  <c r="O694" i="3"/>
  <c r="AG693" i="3"/>
  <c r="R693" i="3"/>
  <c r="Q693" i="3"/>
  <c r="P693" i="3"/>
  <c r="O693" i="3"/>
  <c r="AG692" i="3"/>
  <c r="R692" i="3"/>
  <c r="Q692" i="3"/>
  <c r="E692" i="3" s="1"/>
  <c r="F692" i="3" s="1"/>
  <c r="P692" i="3"/>
  <c r="O692" i="3"/>
  <c r="AG691" i="3"/>
  <c r="R691" i="3"/>
  <c r="Q691" i="3"/>
  <c r="H691" i="3" s="1"/>
  <c r="P691" i="3"/>
  <c r="O691" i="3"/>
  <c r="AG690" i="3"/>
  <c r="R690" i="3"/>
  <c r="Q690" i="3"/>
  <c r="E690" i="3" s="1"/>
  <c r="F690" i="3" s="1"/>
  <c r="P690" i="3"/>
  <c r="O690" i="3"/>
  <c r="AG689" i="3"/>
  <c r="R689" i="3"/>
  <c r="Q689" i="3"/>
  <c r="P689" i="3"/>
  <c r="O689" i="3"/>
  <c r="AG688" i="3"/>
  <c r="R688" i="3"/>
  <c r="Q688" i="3"/>
  <c r="E688" i="3" s="1"/>
  <c r="F688" i="3" s="1"/>
  <c r="P688" i="3"/>
  <c r="O688" i="3"/>
  <c r="AG687" i="3"/>
  <c r="R687" i="3"/>
  <c r="Q687" i="3"/>
  <c r="H687" i="3" s="1"/>
  <c r="P687" i="3"/>
  <c r="O687" i="3"/>
  <c r="AG686" i="3"/>
  <c r="R686" i="3"/>
  <c r="Q686" i="3"/>
  <c r="AH686" i="3" s="1"/>
  <c r="P686" i="3"/>
  <c r="O686" i="3"/>
  <c r="AG685" i="3"/>
  <c r="R685" i="3"/>
  <c r="Q685" i="3"/>
  <c r="P685" i="3"/>
  <c r="O685" i="3"/>
  <c r="AG684" i="3"/>
  <c r="R684" i="3"/>
  <c r="Q684" i="3"/>
  <c r="AH684" i="3" s="1"/>
  <c r="P684" i="3"/>
  <c r="O684" i="3"/>
  <c r="AG683" i="3"/>
  <c r="R683" i="3"/>
  <c r="Q683" i="3"/>
  <c r="AH683" i="3" s="1"/>
  <c r="P683" i="3"/>
  <c r="O683" i="3"/>
  <c r="AG682" i="3"/>
  <c r="R682" i="3"/>
  <c r="Q682" i="3"/>
  <c r="P682" i="3"/>
  <c r="O682" i="3"/>
  <c r="AG681" i="3"/>
  <c r="R681" i="3"/>
  <c r="Q681" i="3"/>
  <c r="P681" i="3"/>
  <c r="O681" i="3"/>
  <c r="AG680" i="3"/>
  <c r="R680" i="3"/>
  <c r="Q680" i="3"/>
  <c r="P680" i="3"/>
  <c r="O680" i="3"/>
  <c r="AG679" i="3"/>
  <c r="R679" i="3"/>
  <c r="Q679" i="3"/>
  <c r="H679" i="3" s="1"/>
  <c r="P679" i="3"/>
  <c r="O679" i="3"/>
  <c r="AG678" i="3"/>
  <c r="R678" i="3"/>
  <c r="Q678" i="3"/>
  <c r="P678" i="3"/>
  <c r="O678" i="3"/>
  <c r="AG677" i="3"/>
  <c r="R677" i="3"/>
  <c r="Q677" i="3"/>
  <c r="AH677" i="3" s="1"/>
  <c r="P677" i="3"/>
  <c r="O677" i="3"/>
  <c r="AG676" i="3"/>
  <c r="R676" i="3"/>
  <c r="Q676" i="3"/>
  <c r="AH676" i="3" s="1"/>
  <c r="P676" i="3"/>
  <c r="O676" i="3"/>
  <c r="AG675" i="3"/>
  <c r="R675" i="3"/>
  <c r="Q675" i="3"/>
  <c r="H675" i="3" s="1"/>
  <c r="P675" i="3"/>
  <c r="O675" i="3"/>
  <c r="AG674" i="3"/>
  <c r="R674" i="3"/>
  <c r="Q674" i="3"/>
  <c r="AH674" i="3" s="1"/>
  <c r="P674" i="3"/>
  <c r="O674" i="3"/>
  <c r="AG673" i="3"/>
  <c r="R673" i="3"/>
  <c r="Q673" i="3"/>
  <c r="H673" i="3" s="1"/>
  <c r="P673" i="3"/>
  <c r="O673" i="3"/>
  <c r="AG672" i="3"/>
  <c r="R672" i="3"/>
  <c r="Q672" i="3"/>
  <c r="E672" i="3" s="1"/>
  <c r="F672" i="3" s="1"/>
  <c r="P672" i="3"/>
  <c r="O672" i="3"/>
  <c r="AG671" i="3"/>
  <c r="R671" i="3"/>
  <c r="Q671" i="3"/>
  <c r="P671" i="3"/>
  <c r="O671" i="3"/>
  <c r="AG670" i="3"/>
  <c r="R670" i="3"/>
  <c r="Q670" i="3"/>
  <c r="C670" i="3" s="1"/>
  <c r="D670" i="3" s="1"/>
  <c r="P670" i="3"/>
  <c r="O670" i="3"/>
  <c r="AG669" i="3"/>
  <c r="R669" i="3"/>
  <c r="Q669" i="3"/>
  <c r="C669" i="3" s="1"/>
  <c r="D669" i="3" s="1"/>
  <c r="P669" i="3"/>
  <c r="O669" i="3"/>
  <c r="AG668" i="3"/>
  <c r="R668" i="3"/>
  <c r="Q668" i="3"/>
  <c r="AH668" i="3" s="1"/>
  <c r="P668" i="3"/>
  <c r="O668" i="3"/>
  <c r="AG667" i="3"/>
  <c r="R667" i="3"/>
  <c r="Q667" i="3"/>
  <c r="E667" i="3" s="1"/>
  <c r="F667" i="3" s="1"/>
  <c r="P667" i="3"/>
  <c r="O667" i="3"/>
  <c r="AG666" i="3"/>
  <c r="R666" i="3"/>
  <c r="Q666" i="3"/>
  <c r="C666" i="3" s="1"/>
  <c r="D666" i="3" s="1"/>
  <c r="P666" i="3"/>
  <c r="O666" i="3"/>
  <c r="AG665" i="3"/>
  <c r="R665" i="3"/>
  <c r="Q665" i="3"/>
  <c r="P665" i="3"/>
  <c r="O665" i="3"/>
  <c r="I665" i="3"/>
  <c r="AG664" i="3"/>
  <c r="R664" i="3"/>
  <c r="Q664" i="3"/>
  <c r="AH664" i="3" s="1"/>
  <c r="P664" i="3"/>
  <c r="O664" i="3"/>
  <c r="AG663" i="3"/>
  <c r="S663" i="3"/>
  <c r="R663" i="3"/>
  <c r="Q663" i="3"/>
  <c r="C663" i="3" s="1"/>
  <c r="D663" i="3" s="1"/>
  <c r="P663" i="3"/>
  <c r="O663" i="3"/>
  <c r="I663" i="3"/>
  <c r="AG662" i="3"/>
  <c r="R662" i="3"/>
  <c r="Q662" i="3"/>
  <c r="E662" i="3" s="1"/>
  <c r="F662" i="3" s="1"/>
  <c r="P662" i="3"/>
  <c r="O662" i="3"/>
  <c r="AG661" i="3"/>
  <c r="R661" i="3"/>
  <c r="Q661" i="3"/>
  <c r="E661" i="3" s="1"/>
  <c r="F661" i="3" s="1"/>
  <c r="P661" i="3"/>
  <c r="O661" i="3"/>
  <c r="AG660" i="3"/>
  <c r="R660" i="3"/>
  <c r="Q660" i="3"/>
  <c r="H660" i="3" s="1"/>
  <c r="P660" i="3"/>
  <c r="O660" i="3"/>
  <c r="AG659" i="3"/>
  <c r="R659" i="3"/>
  <c r="Q659" i="3"/>
  <c r="E659" i="3" s="1"/>
  <c r="F659" i="3" s="1"/>
  <c r="P659" i="3"/>
  <c r="O659" i="3"/>
  <c r="AG658" i="3"/>
  <c r="R658" i="3"/>
  <c r="Q658" i="3"/>
  <c r="C658" i="3" s="1"/>
  <c r="D658" i="3" s="1"/>
  <c r="P658" i="3"/>
  <c r="O658" i="3"/>
  <c r="I658" i="3"/>
  <c r="AG657" i="3"/>
  <c r="R657" i="3"/>
  <c r="Q657" i="3"/>
  <c r="P657" i="3"/>
  <c r="O657" i="3"/>
  <c r="AG656" i="3"/>
  <c r="R656" i="3"/>
  <c r="Q656" i="3"/>
  <c r="AH656" i="3" s="1"/>
  <c r="P656" i="3"/>
  <c r="O656" i="3"/>
  <c r="AG655" i="3"/>
  <c r="R655" i="3"/>
  <c r="Q655" i="3"/>
  <c r="E655" i="3" s="1"/>
  <c r="F655" i="3" s="1"/>
  <c r="P655" i="3"/>
  <c r="O655" i="3"/>
  <c r="AG654" i="3"/>
  <c r="R654" i="3"/>
  <c r="Q654" i="3"/>
  <c r="AH654" i="3" s="1"/>
  <c r="P654" i="3"/>
  <c r="O654" i="3"/>
  <c r="AG653" i="3"/>
  <c r="R653" i="3"/>
  <c r="Q653" i="3"/>
  <c r="H653" i="3" s="1"/>
  <c r="P653" i="3"/>
  <c r="O653" i="3"/>
  <c r="AG652" i="3"/>
  <c r="R652" i="3"/>
  <c r="Q652" i="3"/>
  <c r="P652" i="3"/>
  <c r="O652" i="3"/>
  <c r="AG651" i="3"/>
  <c r="R651" i="3"/>
  <c r="Q651" i="3"/>
  <c r="P651" i="3"/>
  <c r="O651" i="3"/>
  <c r="AG650" i="3"/>
  <c r="R650" i="3"/>
  <c r="Q650" i="3"/>
  <c r="P650" i="3"/>
  <c r="O650" i="3"/>
  <c r="AG649" i="3"/>
  <c r="R649" i="3"/>
  <c r="Q649" i="3"/>
  <c r="P649" i="3"/>
  <c r="O649" i="3"/>
  <c r="AG648" i="3"/>
  <c r="R648" i="3"/>
  <c r="Q648" i="3"/>
  <c r="AH648" i="3" s="1"/>
  <c r="P648" i="3"/>
  <c r="O648" i="3"/>
  <c r="AG647" i="3"/>
  <c r="R647" i="3"/>
  <c r="Q647" i="3"/>
  <c r="E647" i="3" s="1"/>
  <c r="F647" i="3" s="1"/>
  <c r="P647" i="3"/>
  <c r="O647" i="3"/>
  <c r="AG646" i="3"/>
  <c r="R646" i="3"/>
  <c r="Q646" i="3"/>
  <c r="H646" i="3" s="1"/>
  <c r="P646" i="3"/>
  <c r="O646" i="3"/>
  <c r="AG645" i="3"/>
  <c r="R645" i="3"/>
  <c r="Q645" i="3"/>
  <c r="H645" i="3" s="1"/>
  <c r="P645" i="3"/>
  <c r="O645" i="3"/>
  <c r="AG644" i="3"/>
  <c r="R644" i="3"/>
  <c r="Q644" i="3"/>
  <c r="E644" i="3" s="1"/>
  <c r="F644" i="3" s="1"/>
  <c r="P644" i="3"/>
  <c r="O644" i="3"/>
  <c r="AG643" i="3"/>
  <c r="R643" i="3"/>
  <c r="Q643" i="3"/>
  <c r="P643" i="3"/>
  <c r="O643" i="3"/>
  <c r="AG642" i="3"/>
  <c r="R642" i="3"/>
  <c r="Q642" i="3"/>
  <c r="P642" i="3"/>
  <c r="O642" i="3"/>
  <c r="AG641" i="3"/>
  <c r="R641" i="3"/>
  <c r="Q641" i="3"/>
  <c r="H641" i="3" s="1"/>
  <c r="P641" i="3"/>
  <c r="O641" i="3"/>
  <c r="AG640" i="3"/>
  <c r="R640" i="3"/>
  <c r="Q640" i="3"/>
  <c r="P640" i="3"/>
  <c r="O640" i="3"/>
  <c r="AG639" i="3"/>
  <c r="R639" i="3"/>
  <c r="Q639" i="3"/>
  <c r="E639" i="3" s="1"/>
  <c r="F639" i="3" s="1"/>
  <c r="P639" i="3"/>
  <c r="O639" i="3"/>
  <c r="AG638" i="3"/>
  <c r="R638" i="3"/>
  <c r="Q638" i="3"/>
  <c r="H638" i="3" s="1"/>
  <c r="P638" i="3"/>
  <c r="O638" i="3"/>
  <c r="AG637" i="3"/>
  <c r="R637" i="3"/>
  <c r="Q637" i="3"/>
  <c r="AH637" i="3" s="1"/>
  <c r="P637" i="3"/>
  <c r="O637" i="3"/>
  <c r="I637" i="3"/>
  <c r="AG636" i="3"/>
  <c r="R636" i="3"/>
  <c r="Q636" i="3"/>
  <c r="P636" i="3"/>
  <c r="O636" i="3"/>
  <c r="AG635" i="3"/>
  <c r="R635" i="3"/>
  <c r="Q635" i="3"/>
  <c r="E635" i="3" s="1"/>
  <c r="F635" i="3" s="1"/>
  <c r="P635" i="3"/>
  <c r="O635" i="3"/>
  <c r="AG634" i="3"/>
  <c r="R634" i="3"/>
  <c r="Q634" i="3"/>
  <c r="H634" i="3" s="1"/>
  <c r="P634" i="3"/>
  <c r="O634" i="3"/>
  <c r="AG633" i="3"/>
  <c r="R633" i="3"/>
  <c r="Q633" i="3"/>
  <c r="P633" i="3"/>
  <c r="O633" i="3"/>
  <c r="AG632" i="3"/>
  <c r="R632" i="3"/>
  <c r="Q632" i="3"/>
  <c r="AH632" i="3" s="1"/>
  <c r="P632" i="3"/>
  <c r="O632" i="3"/>
  <c r="AG631" i="3"/>
  <c r="R631" i="3"/>
  <c r="Q631" i="3"/>
  <c r="P631" i="3"/>
  <c r="O631" i="3"/>
  <c r="AG630" i="3"/>
  <c r="R630" i="3"/>
  <c r="Q630" i="3"/>
  <c r="H630" i="3" s="1"/>
  <c r="P630" i="3"/>
  <c r="O630" i="3"/>
  <c r="AG629" i="3"/>
  <c r="R629" i="3"/>
  <c r="Q629" i="3"/>
  <c r="AH629" i="3" s="1"/>
  <c r="P629" i="3"/>
  <c r="O629" i="3"/>
  <c r="AG628" i="3"/>
  <c r="R628" i="3"/>
  <c r="Q628" i="3"/>
  <c r="AH628" i="3" s="1"/>
  <c r="P628" i="3"/>
  <c r="O628" i="3"/>
  <c r="AG627" i="3"/>
  <c r="R627" i="3"/>
  <c r="Q627" i="3"/>
  <c r="C627" i="3" s="1"/>
  <c r="D627" i="3" s="1"/>
  <c r="P627" i="3"/>
  <c r="O627" i="3"/>
  <c r="AG626" i="3"/>
  <c r="R626" i="3"/>
  <c r="Q626" i="3"/>
  <c r="E626" i="3" s="1"/>
  <c r="F626" i="3" s="1"/>
  <c r="P626" i="3"/>
  <c r="O626" i="3"/>
  <c r="AG625" i="3"/>
  <c r="S625" i="3"/>
  <c r="R625" i="3"/>
  <c r="Q625" i="3"/>
  <c r="P625" i="3"/>
  <c r="O625" i="3"/>
  <c r="I625" i="3"/>
  <c r="AG624" i="3"/>
  <c r="R624" i="3"/>
  <c r="Q624" i="3"/>
  <c r="AH624" i="3" s="1"/>
  <c r="P624" i="3"/>
  <c r="O624" i="3"/>
  <c r="AG623" i="3"/>
  <c r="R623" i="3"/>
  <c r="Q623" i="3"/>
  <c r="AH623" i="3" s="1"/>
  <c r="P623" i="3"/>
  <c r="O623" i="3"/>
  <c r="AG622" i="3"/>
  <c r="R622" i="3"/>
  <c r="Q622" i="3"/>
  <c r="E622" i="3" s="1"/>
  <c r="F622" i="3" s="1"/>
  <c r="P622" i="3"/>
  <c r="O622" i="3"/>
  <c r="AG621" i="3"/>
  <c r="R621" i="3"/>
  <c r="Q621" i="3"/>
  <c r="H621" i="3" s="1"/>
  <c r="P621" i="3"/>
  <c r="O621" i="3"/>
  <c r="AG620" i="3"/>
  <c r="R620" i="3"/>
  <c r="Q620" i="3"/>
  <c r="H620" i="3" s="1"/>
  <c r="P620" i="3"/>
  <c r="O620" i="3"/>
  <c r="AG619" i="3"/>
  <c r="R619" i="3"/>
  <c r="Q619" i="3"/>
  <c r="H619" i="3" s="1"/>
  <c r="P619" i="3"/>
  <c r="O619" i="3"/>
  <c r="AG618" i="3"/>
  <c r="R618" i="3"/>
  <c r="Q618" i="3"/>
  <c r="P618" i="3"/>
  <c r="O618" i="3"/>
  <c r="AG617" i="3"/>
  <c r="S617" i="3"/>
  <c r="R617" i="3"/>
  <c r="Q617" i="3"/>
  <c r="E617" i="3" s="1"/>
  <c r="F617" i="3" s="1"/>
  <c r="P617" i="3"/>
  <c r="O617" i="3"/>
  <c r="I617" i="3"/>
  <c r="AG616" i="3"/>
  <c r="R616" i="3"/>
  <c r="Q616" i="3"/>
  <c r="E616" i="3" s="1"/>
  <c r="F616" i="3" s="1"/>
  <c r="P616" i="3"/>
  <c r="O616" i="3"/>
  <c r="AG615" i="3"/>
  <c r="R615" i="3"/>
  <c r="Q615" i="3"/>
  <c r="H615" i="3" s="1"/>
  <c r="P615" i="3"/>
  <c r="O615" i="3"/>
  <c r="AG614" i="3"/>
  <c r="R614" i="3"/>
  <c r="Q614" i="3"/>
  <c r="H614" i="3" s="1"/>
  <c r="P614" i="3"/>
  <c r="O614" i="3"/>
  <c r="AG613" i="3"/>
  <c r="R613" i="3"/>
  <c r="Q613" i="3"/>
  <c r="P613" i="3"/>
  <c r="O613" i="3"/>
  <c r="AG612" i="3"/>
  <c r="R612" i="3"/>
  <c r="Q612" i="3"/>
  <c r="AH612" i="3" s="1"/>
  <c r="P612" i="3"/>
  <c r="O612" i="3"/>
  <c r="AG611" i="3"/>
  <c r="R611" i="3"/>
  <c r="Q611" i="3"/>
  <c r="H611" i="3" s="1"/>
  <c r="P611" i="3"/>
  <c r="O611" i="3"/>
  <c r="AG610" i="3"/>
  <c r="R610" i="3"/>
  <c r="Q610" i="3"/>
  <c r="AH610" i="3" s="1"/>
  <c r="P610" i="3"/>
  <c r="O610" i="3"/>
  <c r="AG609" i="3"/>
  <c r="R609" i="3"/>
  <c r="Q609" i="3"/>
  <c r="E609" i="3" s="1"/>
  <c r="F609" i="3" s="1"/>
  <c r="P609" i="3"/>
  <c r="O609" i="3"/>
  <c r="AG608" i="3"/>
  <c r="R608" i="3"/>
  <c r="Q608" i="3"/>
  <c r="E608" i="3" s="1"/>
  <c r="F608" i="3" s="1"/>
  <c r="P608" i="3"/>
  <c r="O608" i="3"/>
  <c r="AG607" i="3"/>
  <c r="R607" i="3"/>
  <c r="Q607" i="3"/>
  <c r="H607" i="3" s="1"/>
  <c r="P607" i="3"/>
  <c r="O607" i="3"/>
  <c r="AG606" i="3"/>
  <c r="R606" i="3"/>
  <c r="Q606" i="3"/>
  <c r="H606" i="3" s="1"/>
  <c r="P606" i="3"/>
  <c r="O606" i="3"/>
  <c r="AG605" i="3"/>
  <c r="R605" i="3"/>
  <c r="Q605" i="3"/>
  <c r="AH605" i="3" s="1"/>
  <c r="P605" i="3"/>
  <c r="O605" i="3"/>
  <c r="AG604" i="3"/>
  <c r="R604" i="3"/>
  <c r="Q604" i="3"/>
  <c r="P604" i="3"/>
  <c r="O604" i="3"/>
  <c r="I604" i="3"/>
  <c r="AG603" i="3"/>
  <c r="R603" i="3"/>
  <c r="Q603" i="3"/>
  <c r="AH603" i="3" s="1"/>
  <c r="P603" i="3"/>
  <c r="O603" i="3"/>
  <c r="AG602" i="3"/>
  <c r="R602" i="3"/>
  <c r="Q602" i="3"/>
  <c r="AH602" i="3" s="1"/>
  <c r="P602" i="3"/>
  <c r="O602" i="3"/>
  <c r="AG601" i="3"/>
  <c r="R601" i="3"/>
  <c r="Q601" i="3"/>
  <c r="P601" i="3"/>
  <c r="O601" i="3"/>
  <c r="AG600" i="3"/>
  <c r="R600" i="3"/>
  <c r="Q600" i="3"/>
  <c r="P600" i="3"/>
  <c r="O600" i="3"/>
  <c r="AG599" i="3"/>
  <c r="R599" i="3"/>
  <c r="Q599" i="3"/>
  <c r="H599" i="3" s="1"/>
  <c r="P599" i="3"/>
  <c r="O599" i="3"/>
  <c r="AG598" i="3"/>
  <c r="R598" i="3"/>
  <c r="Q598" i="3"/>
  <c r="P598" i="3"/>
  <c r="O598" i="3"/>
  <c r="AG597" i="3"/>
  <c r="S597" i="3"/>
  <c r="R597" i="3"/>
  <c r="Q597" i="3"/>
  <c r="AH597" i="3" s="1"/>
  <c r="P597" i="3"/>
  <c r="O597" i="3"/>
  <c r="I597" i="3"/>
  <c r="AG596" i="3"/>
  <c r="R596" i="3"/>
  <c r="Q596" i="3"/>
  <c r="E596" i="3" s="1"/>
  <c r="F596" i="3" s="1"/>
  <c r="P596" i="3"/>
  <c r="O596" i="3"/>
  <c r="AG595" i="3"/>
  <c r="R595" i="3"/>
  <c r="Q595" i="3"/>
  <c r="H595" i="3" s="1"/>
  <c r="P595" i="3"/>
  <c r="O595" i="3"/>
  <c r="AG594" i="3"/>
  <c r="R594" i="3"/>
  <c r="Q594" i="3"/>
  <c r="H594" i="3" s="1"/>
  <c r="P594" i="3"/>
  <c r="O594" i="3"/>
  <c r="AG593" i="3"/>
  <c r="R593" i="3"/>
  <c r="Q593" i="3"/>
  <c r="P593" i="3"/>
  <c r="O593" i="3"/>
  <c r="AG592" i="3"/>
  <c r="R592" i="3"/>
  <c r="Q592" i="3"/>
  <c r="P592" i="3"/>
  <c r="O592" i="3"/>
  <c r="AG591" i="3"/>
  <c r="R591" i="3"/>
  <c r="Q591" i="3"/>
  <c r="AH591" i="3" s="1"/>
  <c r="P591" i="3"/>
  <c r="O591" i="3"/>
  <c r="AG590" i="3"/>
  <c r="R590" i="3"/>
  <c r="Q590" i="3"/>
  <c r="AH590" i="3" s="1"/>
  <c r="P590" i="3"/>
  <c r="O590" i="3"/>
  <c r="AG589" i="3"/>
  <c r="R589" i="3"/>
  <c r="Q589" i="3"/>
  <c r="AH589" i="3" s="1"/>
  <c r="P589" i="3"/>
  <c r="O589" i="3"/>
  <c r="AG588" i="3"/>
  <c r="R588" i="3"/>
  <c r="Q588" i="3"/>
  <c r="AH588" i="3" s="1"/>
  <c r="P588" i="3"/>
  <c r="O588" i="3"/>
  <c r="AG587" i="3"/>
  <c r="R587" i="3"/>
  <c r="Q587" i="3"/>
  <c r="H587" i="3" s="1"/>
  <c r="P587" i="3"/>
  <c r="O587" i="3"/>
  <c r="AG586" i="3"/>
  <c r="R586" i="3"/>
  <c r="Q586" i="3"/>
  <c r="P586" i="3"/>
  <c r="O586" i="3"/>
  <c r="AG585" i="3"/>
  <c r="R585" i="3"/>
  <c r="Q585" i="3"/>
  <c r="C585" i="3" s="1"/>
  <c r="D585" i="3" s="1"/>
  <c r="P585" i="3"/>
  <c r="O585" i="3"/>
  <c r="AG584" i="3"/>
  <c r="R584" i="3"/>
  <c r="Q584" i="3"/>
  <c r="E584" i="3" s="1"/>
  <c r="F584" i="3" s="1"/>
  <c r="P584" i="3"/>
  <c r="O584" i="3"/>
  <c r="AG583" i="3"/>
  <c r="R583" i="3"/>
  <c r="Q583" i="3"/>
  <c r="P583" i="3"/>
  <c r="O583" i="3"/>
  <c r="AG582" i="3"/>
  <c r="R582" i="3"/>
  <c r="Q582" i="3"/>
  <c r="E582" i="3" s="1"/>
  <c r="F582" i="3" s="1"/>
  <c r="P582" i="3"/>
  <c r="O582" i="3"/>
  <c r="AG581" i="3"/>
  <c r="R581" i="3"/>
  <c r="Q581" i="3"/>
  <c r="AH581" i="3" s="1"/>
  <c r="P581" i="3"/>
  <c r="O581" i="3"/>
  <c r="AG580" i="3"/>
  <c r="R580" i="3"/>
  <c r="Q580" i="3"/>
  <c r="AH580" i="3" s="1"/>
  <c r="P580" i="3"/>
  <c r="O580" i="3"/>
  <c r="AG579" i="3"/>
  <c r="R579" i="3"/>
  <c r="Q579" i="3"/>
  <c r="H579" i="3" s="1"/>
  <c r="P579" i="3"/>
  <c r="O579" i="3"/>
  <c r="AG578" i="3"/>
  <c r="R578" i="3"/>
  <c r="Q578" i="3"/>
  <c r="AH578" i="3" s="1"/>
  <c r="P578" i="3"/>
  <c r="O578" i="3"/>
  <c r="AG577" i="3"/>
  <c r="R577" i="3"/>
  <c r="Q577" i="3"/>
  <c r="C577" i="3" s="1"/>
  <c r="D577" i="3" s="1"/>
  <c r="P577" i="3"/>
  <c r="O577" i="3"/>
  <c r="I577" i="3"/>
  <c r="AG576" i="3"/>
  <c r="R576" i="3"/>
  <c r="Q576" i="3"/>
  <c r="E576" i="3" s="1"/>
  <c r="F576" i="3" s="1"/>
  <c r="P576" i="3"/>
  <c r="O576" i="3"/>
  <c r="AG575" i="3"/>
  <c r="R575" i="3"/>
  <c r="Q575" i="3"/>
  <c r="E575" i="3" s="1"/>
  <c r="F575" i="3" s="1"/>
  <c r="P575" i="3"/>
  <c r="O575" i="3"/>
  <c r="AG574" i="3"/>
  <c r="R574" i="3"/>
  <c r="Q574" i="3"/>
  <c r="AH574" i="3" s="1"/>
  <c r="P574" i="3"/>
  <c r="O574" i="3"/>
  <c r="AG573" i="3"/>
  <c r="R573" i="3"/>
  <c r="Q573" i="3"/>
  <c r="P573" i="3"/>
  <c r="O573" i="3"/>
  <c r="AG572" i="3"/>
  <c r="R572" i="3"/>
  <c r="Q572" i="3"/>
  <c r="E572" i="3" s="1"/>
  <c r="F572" i="3" s="1"/>
  <c r="P572" i="3"/>
  <c r="O572" i="3"/>
  <c r="AG571" i="3"/>
  <c r="R571" i="3"/>
  <c r="Q571" i="3"/>
  <c r="E571" i="3" s="1"/>
  <c r="F571" i="3" s="1"/>
  <c r="P571" i="3"/>
  <c r="O571" i="3"/>
  <c r="AG570" i="3"/>
  <c r="R570" i="3"/>
  <c r="Q570" i="3"/>
  <c r="AH570" i="3" s="1"/>
  <c r="P570" i="3"/>
  <c r="O570" i="3"/>
  <c r="AG569" i="3"/>
  <c r="R569" i="3"/>
  <c r="Q569" i="3"/>
  <c r="AH569" i="3" s="1"/>
  <c r="P569" i="3"/>
  <c r="O569" i="3"/>
  <c r="AG568" i="3"/>
  <c r="R568" i="3"/>
  <c r="Q568" i="3"/>
  <c r="AH568" i="3" s="1"/>
  <c r="P568" i="3"/>
  <c r="O568" i="3"/>
  <c r="AG567" i="3"/>
  <c r="R567" i="3"/>
  <c r="Q567" i="3"/>
  <c r="P567" i="3"/>
  <c r="O567" i="3"/>
  <c r="I567" i="3"/>
  <c r="AG566" i="3"/>
  <c r="R566" i="3"/>
  <c r="Q566" i="3"/>
  <c r="P566" i="3"/>
  <c r="O566" i="3"/>
  <c r="AG565" i="3"/>
  <c r="R565" i="3"/>
  <c r="Q565" i="3"/>
  <c r="P565" i="3"/>
  <c r="O565" i="3"/>
  <c r="AG564" i="3"/>
  <c r="R564" i="3"/>
  <c r="Q564" i="3"/>
  <c r="AH564" i="3" s="1"/>
  <c r="P564" i="3"/>
  <c r="O564" i="3"/>
  <c r="AG563" i="3"/>
  <c r="R563" i="3"/>
  <c r="Q563" i="3"/>
  <c r="P563" i="3"/>
  <c r="O563" i="3"/>
  <c r="AG562" i="3"/>
  <c r="R562" i="3"/>
  <c r="Q562" i="3"/>
  <c r="P562" i="3"/>
  <c r="O562" i="3"/>
  <c r="AG561" i="3"/>
  <c r="R561" i="3"/>
  <c r="Q561" i="3"/>
  <c r="C561" i="3" s="1"/>
  <c r="D561" i="3" s="1"/>
  <c r="P561" i="3"/>
  <c r="O561" i="3"/>
  <c r="AG560" i="3"/>
  <c r="R560" i="3"/>
  <c r="Q560" i="3"/>
  <c r="P560" i="3"/>
  <c r="O560" i="3"/>
  <c r="AG559" i="3"/>
  <c r="R559" i="3"/>
  <c r="Q559" i="3"/>
  <c r="P559" i="3"/>
  <c r="O559" i="3"/>
  <c r="AG558" i="3"/>
  <c r="R558" i="3"/>
  <c r="Q558" i="3"/>
  <c r="H558" i="3" s="1"/>
  <c r="P558" i="3"/>
  <c r="O558" i="3"/>
  <c r="AG557" i="3"/>
  <c r="R557" i="3"/>
  <c r="Q557" i="3"/>
  <c r="C557" i="3" s="1"/>
  <c r="D557" i="3" s="1"/>
  <c r="P557" i="3"/>
  <c r="O557" i="3"/>
  <c r="AG556" i="3"/>
  <c r="R556" i="3"/>
  <c r="Q556" i="3"/>
  <c r="AH556" i="3" s="1"/>
  <c r="P556" i="3"/>
  <c r="O556" i="3"/>
  <c r="AG555" i="3"/>
  <c r="R555" i="3"/>
  <c r="Q555" i="3"/>
  <c r="H555" i="3" s="1"/>
  <c r="P555" i="3"/>
  <c r="O555" i="3"/>
  <c r="AG554" i="3"/>
  <c r="R554" i="3"/>
  <c r="Q554" i="3"/>
  <c r="C554" i="3" s="1"/>
  <c r="D554" i="3" s="1"/>
  <c r="P554" i="3"/>
  <c r="O554" i="3"/>
  <c r="AG553" i="3"/>
  <c r="R553" i="3"/>
  <c r="Q553" i="3"/>
  <c r="P553" i="3"/>
  <c r="O553" i="3"/>
  <c r="AG552" i="3"/>
  <c r="R552" i="3"/>
  <c r="Q552" i="3"/>
  <c r="P552" i="3"/>
  <c r="O552" i="3"/>
  <c r="AG551" i="3"/>
  <c r="R551" i="3"/>
  <c r="Q551" i="3"/>
  <c r="P551" i="3"/>
  <c r="O551" i="3"/>
  <c r="I551" i="3"/>
  <c r="AG550" i="3"/>
  <c r="R550" i="3"/>
  <c r="Q550" i="3"/>
  <c r="AH550" i="3" s="1"/>
  <c r="P550" i="3"/>
  <c r="O550" i="3"/>
  <c r="AG549" i="3"/>
  <c r="S549" i="3"/>
  <c r="R549" i="3"/>
  <c r="Q549" i="3"/>
  <c r="AH549" i="3" s="1"/>
  <c r="P549" i="3"/>
  <c r="O549" i="3"/>
  <c r="I549" i="3"/>
  <c r="AG548" i="3"/>
  <c r="R548" i="3"/>
  <c r="Q548" i="3"/>
  <c r="AH548" i="3" s="1"/>
  <c r="P548" i="3"/>
  <c r="O548" i="3"/>
  <c r="AG547" i="3"/>
  <c r="R547" i="3"/>
  <c r="Q547" i="3"/>
  <c r="P547" i="3"/>
  <c r="O547" i="3"/>
  <c r="I547" i="3"/>
  <c r="AG546" i="3"/>
  <c r="R546" i="3"/>
  <c r="Q546" i="3"/>
  <c r="E546" i="3" s="1"/>
  <c r="F546" i="3" s="1"/>
  <c r="P546" i="3"/>
  <c r="O546" i="3"/>
  <c r="AG545" i="3"/>
  <c r="R545" i="3"/>
  <c r="Q545" i="3"/>
  <c r="AH545" i="3" s="1"/>
  <c r="P545" i="3"/>
  <c r="O545" i="3"/>
  <c r="AG544" i="3"/>
  <c r="R544" i="3"/>
  <c r="Q544" i="3"/>
  <c r="P544" i="3"/>
  <c r="O544" i="3"/>
  <c r="AG543" i="3"/>
  <c r="R543" i="3"/>
  <c r="Q543" i="3"/>
  <c r="E543" i="3" s="1"/>
  <c r="F543" i="3" s="1"/>
  <c r="P543" i="3"/>
  <c r="O543" i="3"/>
  <c r="AG542" i="3"/>
  <c r="R542" i="3"/>
  <c r="Q542" i="3"/>
  <c r="AH542" i="3" s="1"/>
  <c r="AJ542" i="3" s="1"/>
  <c r="P542" i="3"/>
  <c r="O542" i="3"/>
  <c r="AG541" i="3"/>
  <c r="R541" i="3"/>
  <c r="Q541" i="3"/>
  <c r="H541" i="3" s="1"/>
  <c r="P541" i="3"/>
  <c r="O541" i="3"/>
  <c r="AG540" i="3"/>
  <c r="R540" i="3"/>
  <c r="Q540" i="3"/>
  <c r="E540" i="3" s="1"/>
  <c r="F540" i="3" s="1"/>
  <c r="P540" i="3"/>
  <c r="O540" i="3"/>
  <c r="AG539" i="3"/>
  <c r="R539" i="3"/>
  <c r="Q539" i="3"/>
  <c r="AH539" i="3" s="1"/>
  <c r="P539" i="3"/>
  <c r="O539" i="3"/>
  <c r="AG538" i="3"/>
  <c r="R538" i="3"/>
  <c r="Q538" i="3"/>
  <c r="P538" i="3"/>
  <c r="O538" i="3"/>
  <c r="AG537" i="3"/>
  <c r="R537" i="3"/>
  <c r="Q537" i="3"/>
  <c r="AH537" i="3" s="1"/>
  <c r="P537" i="3"/>
  <c r="O537" i="3"/>
  <c r="AG536" i="3"/>
  <c r="R536" i="3"/>
  <c r="Q536" i="3"/>
  <c r="H536" i="3" s="1"/>
  <c r="P536" i="3"/>
  <c r="O536" i="3"/>
  <c r="AG535" i="3"/>
  <c r="R535" i="3"/>
  <c r="Q535" i="3"/>
  <c r="P535" i="3"/>
  <c r="O535" i="3"/>
  <c r="AG534" i="3"/>
  <c r="R534" i="3"/>
  <c r="Q534" i="3"/>
  <c r="P534" i="3"/>
  <c r="O534" i="3"/>
  <c r="AG533" i="3"/>
  <c r="R533" i="3"/>
  <c r="Q533" i="3"/>
  <c r="H533" i="3" s="1"/>
  <c r="P533" i="3"/>
  <c r="O533" i="3"/>
  <c r="AG532" i="3"/>
  <c r="R532" i="3"/>
  <c r="Q532" i="3"/>
  <c r="P532" i="3"/>
  <c r="O532" i="3"/>
  <c r="AG531" i="3"/>
  <c r="R531" i="3"/>
  <c r="Q531" i="3"/>
  <c r="P531" i="3"/>
  <c r="O531" i="3"/>
  <c r="AG530" i="3"/>
  <c r="R530" i="3"/>
  <c r="Q530" i="3"/>
  <c r="AH530" i="3" s="1"/>
  <c r="P530" i="3"/>
  <c r="O530" i="3"/>
  <c r="AG529" i="3"/>
  <c r="R529" i="3"/>
  <c r="Q529" i="3"/>
  <c r="C529" i="3" s="1"/>
  <c r="D529" i="3" s="1"/>
  <c r="P529" i="3"/>
  <c r="O529" i="3"/>
  <c r="AG528" i="3"/>
  <c r="R528" i="3"/>
  <c r="Q528" i="3"/>
  <c r="P528" i="3"/>
  <c r="O528" i="3"/>
  <c r="AG527" i="3"/>
  <c r="R527" i="3"/>
  <c r="Q527" i="3"/>
  <c r="P527" i="3"/>
  <c r="O527" i="3"/>
  <c r="AG526" i="3"/>
  <c r="R526" i="3"/>
  <c r="Q526" i="3"/>
  <c r="E526" i="3" s="1"/>
  <c r="F526" i="3" s="1"/>
  <c r="P526" i="3"/>
  <c r="O526" i="3"/>
  <c r="AG525" i="3"/>
  <c r="R525" i="3"/>
  <c r="Q525" i="3"/>
  <c r="E525" i="3" s="1"/>
  <c r="F525" i="3" s="1"/>
  <c r="P525" i="3"/>
  <c r="O525" i="3"/>
  <c r="AG524" i="3"/>
  <c r="R524" i="3"/>
  <c r="Q524" i="3"/>
  <c r="AH524" i="3" s="1"/>
  <c r="P524" i="3"/>
  <c r="O524" i="3"/>
  <c r="AG523" i="3"/>
  <c r="R523" i="3"/>
  <c r="Q523" i="3"/>
  <c r="H523" i="3" s="1"/>
  <c r="P523" i="3"/>
  <c r="O523" i="3"/>
  <c r="AG522" i="3"/>
  <c r="R522" i="3"/>
  <c r="Q522" i="3"/>
  <c r="H522" i="3" s="1"/>
  <c r="P522" i="3"/>
  <c r="O522" i="3"/>
  <c r="AG521" i="3"/>
  <c r="R521" i="3"/>
  <c r="Q521" i="3"/>
  <c r="P521" i="3"/>
  <c r="O521" i="3"/>
  <c r="AG520" i="3"/>
  <c r="R520" i="3"/>
  <c r="Q520" i="3"/>
  <c r="P520" i="3"/>
  <c r="O520" i="3"/>
  <c r="AG519" i="3"/>
  <c r="R519" i="3"/>
  <c r="Q519" i="3"/>
  <c r="C519" i="3" s="1"/>
  <c r="D519" i="3" s="1"/>
  <c r="P519" i="3"/>
  <c r="O519" i="3"/>
  <c r="AG518" i="3"/>
  <c r="R518" i="3"/>
  <c r="Q518" i="3"/>
  <c r="H518" i="3" s="1"/>
  <c r="P518" i="3"/>
  <c r="O518" i="3"/>
  <c r="AG517" i="3"/>
  <c r="R517" i="3"/>
  <c r="Q517" i="3"/>
  <c r="H517" i="3" s="1"/>
  <c r="P517" i="3"/>
  <c r="O517" i="3"/>
  <c r="AG516" i="3"/>
  <c r="R516" i="3"/>
  <c r="Q516" i="3"/>
  <c r="AH516" i="3" s="1"/>
  <c r="P516" i="3"/>
  <c r="O516" i="3"/>
  <c r="AG515" i="3"/>
  <c r="R515" i="3"/>
  <c r="Q515" i="3"/>
  <c r="E515" i="3" s="1"/>
  <c r="F515" i="3" s="1"/>
  <c r="P515" i="3"/>
  <c r="O515" i="3"/>
  <c r="AG514" i="3"/>
  <c r="R514" i="3"/>
  <c r="Q514" i="3"/>
  <c r="H514" i="3" s="1"/>
  <c r="P514" i="3"/>
  <c r="O514" i="3"/>
  <c r="AG513" i="3"/>
  <c r="R513" i="3"/>
  <c r="Q513" i="3"/>
  <c r="AH513" i="3" s="1"/>
  <c r="P513" i="3"/>
  <c r="O513" i="3"/>
  <c r="AG512" i="3"/>
  <c r="R512" i="3"/>
  <c r="Q512" i="3"/>
  <c r="AH512" i="3" s="1"/>
  <c r="P512" i="3"/>
  <c r="O512" i="3"/>
  <c r="AG511" i="3"/>
  <c r="R511" i="3"/>
  <c r="Q511" i="3"/>
  <c r="AH511" i="3" s="1"/>
  <c r="P511" i="3"/>
  <c r="O511" i="3"/>
  <c r="AG510" i="3"/>
  <c r="R510" i="3"/>
  <c r="Q510" i="3"/>
  <c r="H510" i="3" s="1"/>
  <c r="P510" i="3"/>
  <c r="O510" i="3"/>
  <c r="AG509" i="3"/>
  <c r="R509" i="3"/>
  <c r="Q509" i="3"/>
  <c r="C509" i="3" s="1"/>
  <c r="D509" i="3" s="1"/>
  <c r="P509" i="3"/>
  <c r="O509" i="3"/>
  <c r="I509" i="3"/>
  <c r="AG508" i="3"/>
  <c r="R508" i="3"/>
  <c r="Q508" i="3"/>
  <c r="E508" i="3" s="1"/>
  <c r="F508" i="3" s="1"/>
  <c r="P508" i="3"/>
  <c r="O508" i="3"/>
  <c r="AG507" i="3"/>
  <c r="R507" i="3"/>
  <c r="Q507" i="3"/>
  <c r="E507" i="3" s="1"/>
  <c r="F507" i="3" s="1"/>
  <c r="P507" i="3"/>
  <c r="O507" i="3"/>
  <c r="AG506" i="3"/>
  <c r="R506" i="3"/>
  <c r="Q506" i="3"/>
  <c r="E506" i="3" s="1"/>
  <c r="F506" i="3" s="1"/>
  <c r="P506" i="3"/>
  <c r="O506" i="3"/>
  <c r="AG505" i="3"/>
  <c r="R505" i="3"/>
  <c r="Q505" i="3"/>
  <c r="C505" i="3" s="1"/>
  <c r="D505" i="3" s="1"/>
  <c r="P505" i="3"/>
  <c r="O505" i="3"/>
  <c r="AG504" i="3"/>
  <c r="R504" i="3"/>
  <c r="Q504" i="3"/>
  <c r="P504" i="3"/>
  <c r="O504" i="3"/>
  <c r="AG503" i="3"/>
  <c r="R503" i="3"/>
  <c r="Q503" i="3"/>
  <c r="C503" i="3" s="1"/>
  <c r="D503" i="3" s="1"/>
  <c r="P503" i="3"/>
  <c r="O503" i="3"/>
  <c r="AG502" i="3"/>
  <c r="R502" i="3"/>
  <c r="Q502" i="3"/>
  <c r="P502" i="3"/>
  <c r="O502" i="3"/>
  <c r="AG501" i="3"/>
  <c r="R501" i="3"/>
  <c r="Q501" i="3"/>
  <c r="H501" i="3" s="1"/>
  <c r="P501" i="3"/>
  <c r="O501" i="3"/>
  <c r="AG500" i="3"/>
  <c r="R500" i="3"/>
  <c r="Q500" i="3"/>
  <c r="E500" i="3" s="1"/>
  <c r="F500" i="3" s="1"/>
  <c r="P500" i="3"/>
  <c r="O500" i="3"/>
  <c r="AG499" i="3"/>
  <c r="R499" i="3"/>
  <c r="Q499" i="3"/>
  <c r="AH499" i="3" s="1"/>
  <c r="AJ499" i="3" s="1"/>
  <c r="P499" i="3"/>
  <c r="O499" i="3"/>
  <c r="AG498" i="3"/>
  <c r="R498" i="3"/>
  <c r="Q498" i="3"/>
  <c r="P498" i="3"/>
  <c r="O498" i="3"/>
  <c r="AG497" i="3"/>
  <c r="R497" i="3"/>
  <c r="Q497" i="3"/>
  <c r="P497" i="3"/>
  <c r="O497" i="3"/>
  <c r="AG496" i="3"/>
  <c r="R496" i="3"/>
  <c r="Q496" i="3"/>
  <c r="AH496" i="3" s="1"/>
  <c r="P496" i="3"/>
  <c r="O496" i="3"/>
  <c r="AG495" i="3"/>
  <c r="R495" i="3"/>
  <c r="Q495" i="3"/>
  <c r="AH495" i="3" s="1"/>
  <c r="P495" i="3"/>
  <c r="O495" i="3"/>
  <c r="AG494" i="3"/>
  <c r="R494" i="3"/>
  <c r="Q494" i="3"/>
  <c r="P494" i="3"/>
  <c r="O494" i="3"/>
  <c r="AG493" i="3"/>
  <c r="R493" i="3"/>
  <c r="Q493" i="3"/>
  <c r="E493" i="3" s="1"/>
  <c r="F493" i="3" s="1"/>
  <c r="P493" i="3"/>
  <c r="O493" i="3"/>
  <c r="AG492" i="3"/>
  <c r="R492" i="3"/>
  <c r="Q492" i="3"/>
  <c r="P492" i="3"/>
  <c r="O492" i="3"/>
  <c r="AG491" i="3"/>
  <c r="R491" i="3"/>
  <c r="Q491" i="3"/>
  <c r="C491" i="3" s="1"/>
  <c r="D491" i="3" s="1"/>
  <c r="P491" i="3"/>
  <c r="O491" i="3"/>
  <c r="AG490" i="3"/>
  <c r="R490" i="3"/>
  <c r="Q490" i="3"/>
  <c r="E490" i="3" s="1"/>
  <c r="F490" i="3" s="1"/>
  <c r="P490" i="3"/>
  <c r="O490" i="3"/>
  <c r="AG489" i="3"/>
  <c r="R489" i="3"/>
  <c r="Q489" i="3"/>
  <c r="H489" i="3" s="1"/>
  <c r="P489" i="3"/>
  <c r="O489" i="3"/>
  <c r="AG488" i="3"/>
  <c r="R488" i="3"/>
  <c r="Q488" i="3"/>
  <c r="P488" i="3"/>
  <c r="O488" i="3"/>
  <c r="AG487" i="3"/>
  <c r="R487" i="3"/>
  <c r="Q487" i="3"/>
  <c r="P487" i="3"/>
  <c r="O487" i="3"/>
  <c r="AG486" i="3"/>
  <c r="R486" i="3"/>
  <c r="Q486" i="3"/>
  <c r="AH486" i="3" s="1"/>
  <c r="AL486" i="3" s="1"/>
  <c r="P486" i="3"/>
  <c r="O486" i="3"/>
  <c r="AG485" i="3"/>
  <c r="R485" i="3"/>
  <c r="Q485" i="3"/>
  <c r="P485" i="3"/>
  <c r="O485" i="3"/>
  <c r="AG484" i="3"/>
  <c r="R484" i="3"/>
  <c r="Q484" i="3"/>
  <c r="H484" i="3" s="1"/>
  <c r="P484" i="3"/>
  <c r="O484" i="3"/>
  <c r="AG483" i="3"/>
  <c r="R483" i="3"/>
  <c r="Q483" i="3"/>
  <c r="C483" i="3" s="1"/>
  <c r="D483" i="3" s="1"/>
  <c r="P483" i="3"/>
  <c r="O483" i="3"/>
  <c r="AG482" i="3"/>
  <c r="R482" i="3"/>
  <c r="Q482" i="3"/>
  <c r="P482" i="3"/>
  <c r="O482" i="3"/>
  <c r="AG481" i="3"/>
  <c r="R481" i="3"/>
  <c r="Q481" i="3"/>
  <c r="E481" i="3" s="1"/>
  <c r="F481" i="3" s="1"/>
  <c r="P481" i="3"/>
  <c r="O481" i="3"/>
  <c r="AG480" i="3"/>
  <c r="R480" i="3"/>
  <c r="Q480" i="3"/>
  <c r="H480" i="3" s="1"/>
  <c r="P480" i="3"/>
  <c r="O480" i="3"/>
  <c r="AG479" i="3"/>
  <c r="R479" i="3"/>
  <c r="Q479" i="3"/>
  <c r="C479" i="3" s="1"/>
  <c r="D479" i="3" s="1"/>
  <c r="P479" i="3"/>
  <c r="O479" i="3"/>
  <c r="AG478" i="3"/>
  <c r="R478" i="3"/>
  <c r="Q478" i="3"/>
  <c r="P478" i="3"/>
  <c r="O478" i="3"/>
  <c r="AG477" i="3"/>
  <c r="R477" i="3"/>
  <c r="Q477" i="3"/>
  <c r="P477" i="3"/>
  <c r="O477" i="3"/>
  <c r="AG476" i="3"/>
  <c r="R476" i="3"/>
  <c r="Q476" i="3"/>
  <c r="C476" i="3" s="1"/>
  <c r="D476" i="3" s="1"/>
  <c r="P476" i="3"/>
  <c r="O476" i="3"/>
  <c r="AG475" i="3"/>
  <c r="R475" i="3"/>
  <c r="Q475" i="3"/>
  <c r="P475" i="3"/>
  <c r="O475" i="3"/>
  <c r="I475" i="3"/>
  <c r="AG474" i="3"/>
  <c r="R474" i="3"/>
  <c r="Q474" i="3"/>
  <c r="P474" i="3"/>
  <c r="O474" i="3"/>
  <c r="AG473" i="3"/>
  <c r="R473" i="3"/>
  <c r="Q473" i="3"/>
  <c r="H473" i="3" s="1"/>
  <c r="P473" i="3"/>
  <c r="O473" i="3"/>
  <c r="AG472" i="3"/>
  <c r="R472" i="3"/>
  <c r="Q472" i="3"/>
  <c r="E472" i="3" s="1"/>
  <c r="F472" i="3" s="1"/>
  <c r="P472" i="3"/>
  <c r="O472" i="3"/>
  <c r="I472" i="3"/>
  <c r="AG471" i="3"/>
  <c r="R471" i="3"/>
  <c r="Q471" i="3"/>
  <c r="H471" i="3" s="1"/>
  <c r="P471" i="3"/>
  <c r="O471" i="3"/>
  <c r="AG470" i="3"/>
  <c r="R470" i="3"/>
  <c r="Q470" i="3"/>
  <c r="P470" i="3"/>
  <c r="O470" i="3"/>
  <c r="AG469" i="3"/>
  <c r="R469" i="3"/>
  <c r="Q469" i="3"/>
  <c r="E469" i="3" s="1"/>
  <c r="F469" i="3" s="1"/>
  <c r="P469" i="3"/>
  <c r="O469" i="3"/>
  <c r="I469" i="3"/>
  <c r="AG468" i="3"/>
  <c r="R468" i="3"/>
  <c r="Q468" i="3"/>
  <c r="AH468" i="3" s="1"/>
  <c r="AJ468" i="3" s="1"/>
  <c r="P468" i="3"/>
  <c r="O468" i="3"/>
  <c r="I468" i="3"/>
  <c r="AG467" i="3"/>
  <c r="R467" i="3"/>
  <c r="Q467" i="3"/>
  <c r="P467" i="3"/>
  <c r="O467" i="3"/>
  <c r="I467" i="3"/>
  <c r="AG466" i="3"/>
  <c r="R466" i="3"/>
  <c r="Q466" i="3"/>
  <c r="H466" i="3" s="1"/>
  <c r="P466" i="3"/>
  <c r="O466" i="3"/>
  <c r="AG465" i="3"/>
  <c r="R465" i="3"/>
  <c r="Q465" i="3"/>
  <c r="C465" i="3" s="1"/>
  <c r="D465" i="3" s="1"/>
  <c r="P465" i="3"/>
  <c r="O465" i="3"/>
  <c r="AG464" i="3"/>
  <c r="R464" i="3"/>
  <c r="Q464" i="3"/>
  <c r="E464" i="3" s="1"/>
  <c r="F464" i="3" s="1"/>
  <c r="P464" i="3"/>
  <c r="O464" i="3"/>
  <c r="AG463" i="3"/>
  <c r="R463" i="3"/>
  <c r="Q463" i="3"/>
  <c r="P463" i="3"/>
  <c r="O463" i="3"/>
  <c r="AG462" i="3"/>
  <c r="R462" i="3"/>
  <c r="Q462" i="3"/>
  <c r="E462" i="3" s="1"/>
  <c r="F462" i="3" s="1"/>
  <c r="P462" i="3"/>
  <c r="O462" i="3"/>
  <c r="AG461" i="3"/>
  <c r="R461" i="3"/>
  <c r="Q461" i="3"/>
  <c r="H461" i="3" s="1"/>
  <c r="P461" i="3"/>
  <c r="O461" i="3"/>
  <c r="AG460" i="3"/>
  <c r="R460" i="3"/>
  <c r="Q460" i="3"/>
  <c r="P460" i="3"/>
  <c r="O460" i="3"/>
  <c r="AG459" i="3"/>
  <c r="R459" i="3"/>
  <c r="Q459" i="3"/>
  <c r="C459" i="3" s="1"/>
  <c r="D459" i="3" s="1"/>
  <c r="P459" i="3"/>
  <c r="O459" i="3"/>
  <c r="AG458" i="3"/>
  <c r="R458" i="3"/>
  <c r="Q458" i="3"/>
  <c r="AH458" i="3" s="1"/>
  <c r="P458" i="3"/>
  <c r="O458" i="3"/>
  <c r="AG457" i="3"/>
  <c r="R457" i="3"/>
  <c r="Q457" i="3"/>
  <c r="AH457" i="3" s="1"/>
  <c r="AL457" i="3" s="1"/>
  <c r="P457" i="3"/>
  <c r="O457" i="3"/>
  <c r="AG456" i="3"/>
  <c r="R456" i="3"/>
  <c r="Q456" i="3"/>
  <c r="AH456" i="3" s="1"/>
  <c r="AL456" i="3" s="1"/>
  <c r="P456" i="3"/>
  <c r="O456" i="3"/>
  <c r="AG455" i="3"/>
  <c r="R455" i="3"/>
  <c r="Q455" i="3"/>
  <c r="AH455" i="3" s="1"/>
  <c r="P455" i="3"/>
  <c r="O455" i="3"/>
  <c r="AG454" i="3"/>
  <c r="R454" i="3"/>
  <c r="Q454" i="3"/>
  <c r="P454" i="3"/>
  <c r="O454" i="3"/>
  <c r="AG453" i="3"/>
  <c r="R453" i="3"/>
  <c r="Q453" i="3"/>
  <c r="P453" i="3"/>
  <c r="O453" i="3"/>
  <c r="AG452" i="3"/>
  <c r="R452" i="3"/>
  <c r="Q452" i="3"/>
  <c r="P452" i="3"/>
  <c r="O452" i="3"/>
  <c r="AG451" i="3"/>
  <c r="R451" i="3"/>
  <c r="Q451" i="3"/>
  <c r="H451" i="3" s="1"/>
  <c r="P451" i="3"/>
  <c r="O451" i="3"/>
  <c r="AG450" i="3"/>
  <c r="R450" i="3"/>
  <c r="Q450" i="3"/>
  <c r="C450" i="3" s="1"/>
  <c r="D450" i="3" s="1"/>
  <c r="P450" i="3"/>
  <c r="O450" i="3"/>
  <c r="AG449" i="3"/>
  <c r="R449" i="3"/>
  <c r="Q449" i="3"/>
  <c r="H449" i="3" s="1"/>
  <c r="P449" i="3"/>
  <c r="O449" i="3"/>
  <c r="AG448" i="3"/>
  <c r="R448" i="3"/>
  <c r="Q448" i="3"/>
  <c r="H448" i="3" s="1"/>
  <c r="P448" i="3"/>
  <c r="O448" i="3"/>
  <c r="AG447" i="3"/>
  <c r="R447" i="3"/>
  <c r="Q447" i="3"/>
  <c r="P447" i="3"/>
  <c r="O447" i="3"/>
  <c r="I447" i="3"/>
  <c r="AG446" i="3"/>
  <c r="R446" i="3"/>
  <c r="Q446" i="3"/>
  <c r="C446" i="3" s="1"/>
  <c r="D446" i="3" s="1"/>
  <c r="P446" i="3"/>
  <c r="O446" i="3"/>
  <c r="AG445" i="3"/>
  <c r="R445" i="3"/>
  <c r="Q445" i="3"/>
  <c r="P445" i="3"/>
  <c r="O445" i="3"/>
  <c r="AG444" i="3"/>
  <c r="R444" i="3"/>
  <c r="Q444" i="3"/>
  <c r="C444" i="3" s="1"/>
  <c r="D444" i="3" s="1"/>
  <c r="P444" i="3"/>
  <c r="O444" i="3"/>
  <c r="AG443" i="3"/>
  <c r="R443" i="3"/>
  <c r="Q443" i="3"/>
  <c r="AH443" i="3" s="1"/>
  <c r="P443" i="3"/>
  <c r="O443" i="3"/>
  <c r="AG442" i="3"/>
  <c r="R442" i="3"/>
  <c r="Q442" i="3"/>
  <c r="C442" i="3" s="1"/>
  <c r="D442" i="3" s="1"/>
  <c r="P442" i="3"/>
  <c r="O442" i="3"/>
  <c r="I442" i="3"/>
  <c r="AG441" i="3"/>
  <c r="R441" i="3"/>
  <c r="Q441" i="3"/>
  <c r="AH441" i="3" s="1"/>
  <c r="AJ441" i="3" s="1"/>
  <c r="P441" i="3"/>
  <c r="O441" i="3"/>
  <c r="AG440" i="3"/>
  <c r="R440" i="3"/>
  <c r="Q440" i="3"/>
  <c r="P440" i="3"/>
  <c r="O440" i="3"/>
  <c r="AG439" i="3"/>
  <c r="R439" i="3"/>
  <c r="Q439" i="3"/>
  <c r="E439" i="3" s="1"/>
  <c r="F439" i="3" s="1"/>
  <c r="P439" i="3"/>
  <c r="O439" i="3"/>
  <c r="AG438" i="3"/>
  <c r="R438" i="3"/>
  <c r="Q438" i="3"/>
  <c r="C438" i="3" s="1"/>
  <c r="D438" i="3" s="1"/>
  <c r="P438" i="3"/>
  <c r="O438" i="3"/>
  <c r="AG437" i="3"/>
  <c r="R437" i="3"/>
  <c r="Q437" i="3"/>
  <c r="AH437" i="3" s="1"/>
  <c r="AJ437" i="3" s="1"/>
  <c r="P437" i="3"/>
  <c r="O437" i="3"/>
  <c r="AG436" i="3"/>
  <c r="R436" i="3"/>
  <c r="Q436" i="3"/>
  <c r="P436" i="3"/>
  <c r="O436" i="3"/>
  <c r="AG435" i="3"/>
  <c r="R435" i="3"/>
  <c r="Q435" i="3"/>
  <c r="C435" i="3" s="1"/>
  <c r="D435" i="3" s="1"/>
  <c r="P435" i="3"/>
  <c r="O435" i="3"/>
  <c r="AG434" i="3"/>
  <c r="R434" i="3"/>
  <c r="Q434" i="3"/>
  <c r="P434" i="3"/>
  <c r="O434" i="3"/>
  <c r="AG433" i="3"/>
  <c r="R433" i="3"/>
  <c r="Q433" i="3"/>
  <c r="P433" i="3"/>
  <c r="O433" i="3"/>
  <c r="AG432" i="3"/>
  <c r="R432" i="3"/>
  <c r="Q432" i="3"/>
  <c r="P432" i="3"/>
  <c r="O432" i="3"/>
  <c r="AG431" i="3"/>
  <c r="R431" i="3"/>
  <c r="Q431" i="3"/>
  <c r="P431" i="3"/>
  <c r="O431" i="3"/>
  <c r="AG430" i="3"/>
  <c r="R430" i="3"/>
  <c r="Q430" i="3"/>
  <c r="P430" i="3"/>
  <c r="O430" i="3"/>
  <c r="AG429" i="3"/>
  <c r="R429" i="3"/>
  <c r="Q429" i="3"/>
  <c r="P429" i="3"/>
  <c r="O429" i="3"/>
  <c r="AG428" i="3"/>
  <c r="R428" i="3"/>
  <c r="Q428" i="3"/>
  <c r="H428" i="3" s="1"/>
  <c r="P428" i="3"/>
  <c r="O428" i="3"/>
  <c r="AG427" i="3"/>
  <c r="R427" i="3"/>
  <c r="Q427" i="3"/>
  <c r="P427" i="3"/>
  <c r="O427" i="3"/>
  <c r="AG426" i="3"/>
  <c r="R426" i="3"/>
  <c r="Q426" i="3"/>
  <c r="C426" i="3" s="1"/>
  <c r="D426" i="3" s="1"/>
  <c r="P426" i="3"/>
  <c r="O426" i="3"/>
  <c r="AG425" i="3"/>
  <c r="R425" i="3"/>
  <c r="Q425" i="3"/>
  <c r="H425" i="3" s="1"/>
  <c r="P425" i="3"/>
  <c r="O425" i="3"/>
  <c r="AG424" i="3"/>
  <c r="R424" i="3"/>
  <c r="Q424" i="3"/>
  <c r="H424" i="3" s="1"/>
  <c r="P424" i="3"/>
  <c r="O424" i="3"/>
  <c r="AG423" i="3"/>
  <c r="R423" i="3"/>
  <c r="Q423" i="3"/>
  <c r="AH423" i="3" s="1"/>
  <c r="AL423" i="3" s="1"/>
  <c r="P423" i="3"/>
  <c r="O423" i="3"/>
  <c r="AG422" i="3"/>
  <c r="R422" i="3"/>
  <c r="Q422" i="3"/>
  <c r="AH422" i="3" s="1"/>
  <c r="P422" i="3"/>
  <c r="O422" i="3"/>
  <c r="AG421" i="3"/>
  <c r="R421" i="3"/>
  <c r="Q421" i="3"/>
  <c r="P421" i="3"/>
  <c r="O421" i="3"/>
  <c r="AG420" i="3"/>
  <c r="R420" i="3"/>
  <c r="Q420" i="3"/>
  <c r="P420" i="3"/>
  <c r="O420" i="3"/>
  <c r="AG419" i="3"/>
  <c r="R419" i="3"/>
  <c r="Q419" i="3"/>
  <c r="E419" i="3" s="1"/>
  <c r="F419" i="3" s="1"/>
  <c r="P419" i="3"/>
  <c r="O419" i="3"/>
  <c r="AG418" i="3"/>
  <c r="R418" i="3"/>
  <c r="Q418" i="3"/>
  <c r="AH418" i="3" s="1"/>
  <c r="P418" i="3"/>
  <c r="O418" i="3"/>
  <c r="AG417" i="3"/>
  <c r="R417" i="3"/>
  <c r="Q417" i="3"/>
  <c r="H417" i="3" s="1"/>
  <c r="P417" i="3"/>
  <c r="O417" i="3"/>
  <c r="AG416" i="3"/>
  <c r="R416" i="3"/>
  <c r="Q416" i="3"/>
  <c r="H416" i="3" s="1"/>
  <c r="P416" i="3"/>
  <c r="O416" i="3"/>
  <c r="AG415" i="3"/>
  <c r="R415" i="3"/>
  <c r="Q415" i="3"/>
  <c r="AH415" i="3" s="1"/>
  <c r="AL415" i="3" s="1"/>
  <c r="P415" i="3"/>
  <c r="O415" i="3"/>
  <c r="AG414" i="3"/>
  <c r="R414" i="3"/>
  <c r="Q414" i="3"/>
  <c r="E414" i="3" s="1"/>
  <c r="F414" i="3" s="1"/>
  <c r="P414" i="3"/>
  <c r="O414" i="3"/>
  <c r="AG413" i="3"/>
  <c r="R413" i="3"/>
  <c r="Q413" i="3"/>
  <c r="P413" i="3"/>
  <c r="O413" i="3"/>
  <c r="AG412" i="3"/>
  <c r="R412" i="3"/>
  <c r="Q412" i="3"/>
  <c r="AH412" i="3" s="1"/>
  <c r="AL412" i="3" s="1"/>
  <c r="P412" i="3"/>
  <c r="O412" i="3"/>
  <c r="AG411" i="3"/>
  <c r="R411" i="3"/>
  <c r="Q411" i="3"/>
  <c r="P411" i="3"/>
  <c r="O411" i="3"/>
  <c r="AG410" i="3"/>
  <c r="R410" i="3"/>
  <c r="Q410" i="3"/>
  <c r="P410" i="3"/>
  <c r="O410" i="3"/>
  <c r="AG409" i="3"/>
  <c r="R409" i="3"/>
  <c r="Q409" i="3"/>
  <c r="H409" i="3" s="1"/>
  <c r="P409" i="3"/>
  <c r="O409" i="3"/>
  <c r="AG408" i="3"/>
  <c r="R408" i="3"/>
  <c r="Q408" i="3"/>
  <c r="P408" i="3"/>
  <c r="O408" i="3"/>
  <c r="AG407" i="3"/>
  <c r="R407" i="3"/>
  <c r="Q407" i="3"/>
  <c r="P407" i="3"/>
  <c r="O407" i="3"/>
  <c r="AG406" i="3"/>
  <c r="R406" i="3"/>
  <c r="Q406" i="3"/>
  <c r="E406" i="3" s="1"/>
  <c r="F406" i="3" s="1"/>
  <c r="P406" i="3"/>
  <c r="O406" i="3"/>
  <c r="AG405" i="3"/>
  <c r="R405" i="3"/>
  <c r="Q405" i="3"/>
  <c r="P405" i="3"/>
  <c r="O405" i="3"/>
  <c r="AG404" i="3"/>
  <c r="R404" i="3"/>
  <c r="Q404" i="3"/>
  <c r="C404" i="3" s="1"/>
  <c r="D404" i="3" s="1"/>
  <c r="P404" i="3"/>
  <c r="O404" i="3"/>
  <c r="AG403" i="3"/>
  <c r="R403" i="3"/>
  <c r="Q403" i="3"/>
  <c r="H403" i="3" s="1"/>
  <c r="P403" i="3"/>
  <c r="O403" i="3"/>
  <c r="AG402" i="3"/>
  <c r="R402" i="3"/>
  <c r="Q402" i="3"/>
  <c r="P402" i="3"/>
  <c r="O402" i="3"/>
  <c r="AG401" i="3"/>
  <c r="R401" i="3"/>
  <c r="Q401" i="3"/>
  <c r="AH401" i="3" s="1"/>
  <c r="AL401" i="3" s="1"/>
  <c r="P401" i="3"/>
  <c r="O401" i="3"/>
  <c r="I401" i="3"/>
  <c r="AG400" i="3"/>
  <c r="R400" i="3"/>
  <c r="Q400" i="3"/>
  <c r="E400" i="3" s="1"/>
  <c r="F400" i="3" s="1"/>
  <c r="P400" i="3"/>
  <c r="O400" i="3"/>
  <c r="AG399" i="3"/>
  <c r="R399" i="3"/>
  <c r="Q399" i="3"/>
  <c r="AH399" i="3" s="1"/>
  <c r="P399" i="3"/>
  <c r="O399" i="3"/>
  <c r="AG398" i="3"/>
  <c r="R398" i="3"/>
  <c r="Q398" i="3"/>
  <c r="P398" i="3"/>
  <c r="O398" i="3"/>
  <c r="AG397" i="3"/>
  <c r="R397" i="3"/>
  <c r="Q397" i="3"/>
  <c r="H397" i="3" s="1"/>
  <c r="P397" i="3"/>
  <c r="O397" i="3"/>
  <c r="AG396" i="3"/>
  <c r="R396" i="3"/>
  <c r="Q396" i="3"/>
  <c r="E396" i="3" s="1"/>
  <c r="F396" i="3" s="1"/>
  <c r="P396" i="3"/>
  <c r="O396" i="3"/>
  <c r="AG395" i="3"/>
  <c r="R395" i="3"/>
  <c r="Q395" i="3"/>
  <c r="AH395" i="3" s="1"/>
  <c r="P395" i="3"/>
  <c r="O395" i="3"/>
  <c r="AG394" i="3"/>
  <c r="R394" i="3"/>
  <c r="Q394" i="3"/>
  <c r="AH394" i="3" s="1"/>
  <c r="AL394" i="3" s="1"/>
  <c r="P394" i="3"/>
  <c r="O394" i="3"/>
  <c r="AG393" i="3"/>
  <c r="R393" i="3"/>
  <c r="Q393" i="3"/>
  <c r="H393" i="3" s="1"/>
  <c r="P393" i="3"/>
  <c r="O393" i="3"/>
  <c r="AG392" i="3"/>
  <c r="R392" i="3"/>
  <c r="Q392" i="3"/>
  <c r="E392" i="3" s="1"/>
  <c r="F392" i="3" s="1"/>
  <c r="P392" i="3"/>
  <c r="O392" i="3"/>
  <c r="AG391" i="3"/>
  <c r="R391" i="3"/>
  <c r="Q391" i="3"/>
  <c r="P391" i="3"/>
  <c r="O391" i="3"/>
  <c r="AG390" i="3"/>
  <c r="R390" i="3"/>
  <c r="Q390" i="3"/>
  <c r="P390" i="3"/>
  <c r="O390" i="3"/>
  <c r="AG389" i="3"/>
  <c r="R389" i="3"/>
  <c r="Q389" i="3"/>
  <c r="H389" i="3" s="1"/>
  <c r="P389" i="3"/>
  <c r="O389" i="3"/>
  <c r="AG388" i="3"/>
  <c r="R388" i="3"/>
  <c r="Q388" i="3"/>
  <c r="E388" i="3" s="1"/>
  <c r="F388" i="3" s="1"/>
  <c r="P388" i="3"/>
  <c r="O388" i="3"/>
  <c r="AG387" i="3"/>
  <c r="R387" i="3"/>
  <c r="Q387" i="3"/>
  <c r="AH387" i="3" s="1"/>
  <c r="P387" i="3"/>
  <c r="O387" i="3"/>
  <c r="AG386" i="3"/>
  <c r="R386" i="3"/>
  <c r="Q386" i="3"/>
  <c r="P386" i="3"/>
  <c r="O386" i="3"/>
  <c r="AG385" i="3"/>
  <c r="R385" i="3"/>
  <c r="Q385" i="3"/>
  <c r="H385" i="3" s="1"/>
  <c r="P385" i="3"/>
  <c r="O385" i="3"/>
  <c r="AG384" i="3"/>
  <c r="R384" i="3"/>
  <c r="Q384" i="3"/>
  <c r="E384" i="3" s="1"/>
  <c r="F384" i="3" s="1"/>
  <c r="P384" i="3"/>
  <c r="O384" i="3"/>
  <c r="I384" i="3"/>
  <c r="AG383" i="3"/>
  <c r="R383" i="3"/>
  <c r="Q383" i="3"/>
  <c r="H383" i="3" s="1"/>
  <c r="P383" i="3"/>
  <c r="O383" i="3"/>
  <c r="AG382" i="3"/>
  <c r="R382" i="3"/>
  <c r="Q382" i="3"/>
  <c r="AH382" i="3" s="1"/>
  <c r="P382" i="3"/>
  <c r="O382" i="3"/>
  <c r="AG381" i="3"/>
  <c r="R381" i="3"/>
  <c r="Q381" i="3"/>
  <c r="AH381" i="3" s="1"/>
  <c r="P381" i="3"/>
  <c r="O381" i="3"/>
  <c r="AG380" i="3"/>
  <c r="R380" i="3"/>
  <c r="Q380" i="3"/>
  <c r="E380" i="3" s="1"/>
  <c r="F380" i="3" s="1"/>
  <c r="P380" i="3"/>
  <c r="O380" i="3"/>
  <c r="AG379" i="3"/>
  <c r="R379" i="3"/>
  <c r="Q379" i="3"/>
  <c r="H379" i="3" s="1"/>
  <c r="P379" i="3"/>
  <c r="O379" i="3"/>
  <c r="AG378" i="3"/>
  <c r="R378" i="3"/>
  <c r="Q378" i="3"/>
  <c r="AH378" i="3" s="1"/>
  <c r="P378" i="3"/>
  <c r="O378" i="3"/>
  <c r="AG377" i="3"/>
  <c r="R377" i="3"/>
  <c r="Q377" i="3"/>
  <c r="P377" i="3"/>
  <c r="O377" i="3"/>
  <c r="AG376" i="3"/>
  <c r="R376" i="3"/>
  <c r="Q376" i="3"/>
  <c r="H376" i="3" s="1"/>
  <c r="P376" i="3"/>
  <c r="O376" i="3"/>
  <c r="AG375" i="3"/>
  <c r="R375" i="3"/>
  <c r="Q375" i="3"/>
  <c r="P375" i="3"/>
  <c r="O375" i="3"/>
  <c r="AG374" i="3"/>
  <c r="R374" i="3"/>
  <c r="Q374" i="3"/>
  <c r="AH374" i="3" s="1"/>
  <c r="AL374" i="3" s="1"/>
  <c r="P374" i="3"/>
  <c r="O374" i="3"/>
  <c r="I374" i="3"/>
  <c r="AG373" i="3"/>
  <c r="R373" i="3"/>
  <c r="Q373" i="3"/>
  <c r="C373" i="3" s="1"/>
  <c r="D373" i="3" s="1"/>
  <c r="P373" i="3"/>
  <c r="O373" i="3"/>
  <c r="AG372" i="3"/>
  <c r="R372" i="3"/>
  <c r="Q372" i="3"/>
  <c r="H372" i="3" s="1"/>
  <c r="P372" i="3"/>
  <c r="O372" i="3"/>
  <c r="AG371" i="3"/>
  <c r="R371" i="3"/>
  <c r="Q371" i="3"/>
  <c r="P371" i="3"/>
  <c r="O371" i="3"/>
  <c r="AG370" i="3"/>
  <c r="R370" i="3"/>
  <c r="Q370" i="3"/>
  <c r="AH370" i="3" s="1"/>
  <c r="AL370" i="3" s="1"/>
  <c r="P370" i="3"/>
  <c r="O370" i="3"/>
  <c r="AG369" i="3"/>
  <c r="R369" i="3"/>
  <c r="Q369" i="3"/>
  <c r="C369" i="3" s="1"/>
  <c r="D369" i="3" s="1"/>
  <c r="P369" i="3"/>
  <c r="O369" i="3"/>
  <c r="AG368" i="3"/>
  <c r="R368" i="3"/>
  <c r="Q368" i="3"/>
  <c r="H368" i="3" s="1"/>
  <c r="P368" i="3"/>
  <c r="O368" i="3"/>
  <c r="AG367" i="3"/>
  <c r="R367" i="3"/>
  <c r="Q367" i="3"/>
  <c r="H367" i="3" s="1"/>
  <c r="P367" i="3"/>
  <c r="O367" i="3"/>
  <c r="AG366" i="3"/>
  <c r="R366" i="3"/>
  <c r="Q366" i="3"/>
  <c r="AH366" i="3" s="1"/>
  <c r="AL366" i="3" s="1"/>
  <c r="P366" i="3"/>
  <c r="O366" i="3"/>
  <c r="AG365" i="3"/>
  <c r="R365" i="3"/>
  <c r="Q365" i="3"/>
  <c r="C365" i="3" s="1"/>
  <c r="D365" i="3" s="1"/>
  <c r="P365" i="3"/>
  <c r="O365" i="3"/>
  <c r="AH364" i="3"/>
  <c r="AG364" i="3"/>
  <c r="R364" i="3"/>
  <c r="P364" i="3"/>
  <c r="O364" i="3"/>
  <c r="H364" i="3"/>
  <c r="E364" i="3"/>
  <c r="F364" i="3" s="1"/>
  <c r="C364" i="3"/>
  <c r="D364" i="3" s="1"/>
  <c r="AG363" i="3"/>
  <c r="R363" i="3"/>
  <c r="Q363" i="3"/>
  <c r="H363" i="3" s="1"/>
  <c r="P363" i="3"/>
  <c r="O363" i="3"/>
  <c r="AG362" i="3"/>
  <c r="R362" i="3"/>
  <c r="Q362" i="3"/>
  <c r="AH362" i="3" s="1"/>
  <c r="AL362" i="3" s="1"/>
  <c r="P362" i="3"/>
  <c r="O362" i="3"/>
  <c r="AG361" i="3"/>
  <c r="R361" i="3"/>
  <c r="Q361" i="3"/>
  <c r="AH361" i="3" s="1"/>
  <c r="P361" i="3"/>
  <c r="O361" i="3"/>
  <c r="AG360" i="3"/>
  <c r="R360" i="3"/>
  <c r="Q360" i="3"/>
  <c r="P360" i="3"/>
  <c r="O360" i="3"/>
  <c r="AG359" i="3"/>
  <c r="R359" i="3"/>
  <c r="Q359" i="3"/>
  <c r="H359" i="3" s="1"/>
  <c r="P359" i="3"/>
  <c r="O359" i="3"/>
  <c r="AG358" i="3"/>
  <c r="R358" i="3"/>
  <c r="Q358" i="3"/>
  <c r="P358" i="3"/>
  <c r="O358" i="3"/>
  <c r="AG357" i="3"/>
  <c r="R357" i="3"/>
  <c r="Q357" i="3"/>
  <c r="AH357" i="3" s="1"/>
  <c r="P357" i="3"/>
  <c r="O357" i="3"/>
  <c r="AG356" i="3"/>
  <c r="R356" i="3"/>
  <c r="Q356" i="3"/>
  <c r="P356" i="3"/>
  <c r="O356" i="3"/>
  <c r="AG355" i="3"/>
  <c r="R355" i="3"/>
  <c r="Q355" i="3"/>
  <c r="H355" i="3" s="1"/>
  <c r="P355" i="3"/>
  <c r="O355" i="3"/>
  <c r="AG354" i="3"/>
  <c r="R354" i="3"/>
  <c r="Q354" i="3"/>
  <c r="AH354" i="3" s="1"/>
  <c r="AL354" i="3" s="1"/>
  <c r="P354" i="3"/>
  <c r="O354" i="3"/>
  <c r="I354" i="3"/>
  <c r="AG353" i="3"/>
  <c r="R353" i="3"/>
  <c r="Q353" i="3"/>
  <c r="C353" i="3" s="1"/>
  <c r="D353" i="3" s="1"/>
  <c r="P353" i="3"/>
  <c r="O353" i="3"/>
  <c r="AG352" i="3"/>
  <c r="R352" i="3"/>
  <c r="Q352" i="3"/>
  <c r="P352" i="3"/>
  <c r="O352" i="3"/>
  <c r="AG351" i="3"/>
  <c r="R351" i="3"/>
  <c r="Q351" i="3"/>
  <c r="P351" i="3"/>
  <c r="O351" i="3"/>
  <c r="AG350" i="3"/>
  <c r="R350" i="3"/>
  <c r="Q350" i="3"/>
  <c r="H350" i="3" s="1"/>
  <c r="P350" i="3"/>
  <c r="O350" i="3"/>
  <c r="AG349" i="3"/>
  <c r="R349" i="3"/>
  <c r="Q349" i="3"/>
  <c r="C349" i="3" s="1"/>
  <c r="D349" i="3" s="1"/>
  <c r="P349" i="3"/>
  <c r="O349" i="3"/>
  <c r="AG348" i="3"/>
  <c r="R348" i="3"/>
  <c r="Q348" i="3"/>
  <c r="H348" i="3" s="1"/>
  <c r="P348" i="3"/>
  <c r="O348" i="3"/>
  <c r="AG347" i="3"/>
  <c r="R347" i="3"/>
  <c r="Q347" i="3"/>
  <c r="H347" i="3" s="1"/>
  <c r="P347" i="3"/>
  <c r="O347" i="3"/>
  <c r="AG346" i="3"/>
  <c r="R346" i="3"/>
  <c r="Q346" i="3"/>
  <c r="AH346" i="3" s="1"/>
  <c r="AL346" i="3" s="1"/>
  <c r="P346" i="3"/>
  <c r="O346" i="3"/>
  <c r="AG345" i="3"/>
  <c r="R345" i="3"/>
  <c r="Q345" i="3"/>
  <c r="AH345" i="3" s="1"/>
  <c r="P345" i="3"/>
  <c r="O345" i="3"/>
  <c r="I345" i="3"/>
  <c r="AG344" i="3"/>
  <c r="R344" i="3"/>
  <c r="Q344" i="3"/>
  <c r="P344" i="3"/>
  <c r="O344" i="3"/>
  <c r="I344" i="3"/>
  <c r="AG343" i="3"/>
  <c r="R343" i="3"/>
  <c r="Q343" i="3"/>
  <c r="AH343" i="3" s="1"/>
  <c r="AL343" i="3" s="1"/>
  <c r="P343" i="3"/>
  <c r="O343" i="3"/>
  <c r="I343" i="3"/>
  <c r="AG342" i="3"/>
  <c r="R342" i="3"/>
  <c r="Q342" i="3"/>
  <c r="C342" i="3" s="1"/>
  <c r="D342" i="3" s="1"/>
  <c r="P342" i="3"/>
  <c r="O342" i="3"/>
  <c r="AG341" i="3"/>
  <c r="R341" i="3"/>
  <c r="Q341" i="3"/>
  <c r="H341" i="3" s="1"/>
  <c r="P341" i="3"/>
  <c r="O341" i="3"/>
  <c r="I341" i="3"/>
  <c r="AG340" i="3"/>
  <c r="R340" i="3"/>
  <c r="Q340" i="3"/>
  <c r="C340" i="3" s="1"/>
  <c r="D340" i="3" s="1"/>
  <c r="P340" i="3"/>
  <c r="O340" i="3"/>
  <c r="AG339" i="3"/>
  <c r="R339" i="3"/>
  <c r="Q339" i="3"/>
  <c r="E339" i="3" s="1"/>
  <c r="F339" i="3" s="1"/>
  <c r="P339" i="3"/>
  <c r="O339" i="3"/>
  <c r="I339" i="3"/>
  <c r="AG338" i="3"/>
  <c r="R338" i="3"/>
  <c r="Q338" i="3"/>
  <c r="P338" i="3"/>
  <c r="O338" i="3"/>
  <c r="AG337" i="3"/>
  <c r="R337" i="3"/>
  <c r="Q337" i="3"/>
  <c r="C337" i="3" s="1"/>
  <c r="D337" i="3" s="1"/>
  <c r="P337" i="3"/>
  <c r="O337" i="3"/>
  <c r="AG336" i="3"/>
  <c r="R336" i="3"/>
  <c r="Q336" i="3"/>
  <c r="AH336" i="3" s="1"/>
  <c r="AL336" i="3" s="1"/>
  <c r="P336" i="3"/>
  <c r="O336" i="3"/>
  <c r="AG335" i="3"/>
  <c r="R335" i="3"/>
  <c r="Q335" i="3"/>
  <c r="C335" i="3" s="1"/>
  <c r="D335" i="3" s="1"/>
  <c r="P335" i="3"/>
  <c r="O335" i="3"/>
  <c r="I335" i="3"/>
  <c r="AG334" i="3"/>
  <c r="R334" i="3"/>
  <c r="Q334" i="3"/>
  <c r="H334" i="3" s="1"/>
  <c r="P334" i="3"/>
  <c r="O334" i="3"/>
  <c r="I334" i="3"/>
  <c r="AG333" i="3"/>
  <c r="R333" i="3"/>
  <c r="Q333" i="3"/>
  <c r="P333" i="3"/>
  <c r="O333" i="3"/>
  <c r="AG332" i="3"/>
  <c r="R332" i="3"/>
  <c r="Q332" i="3"/>
  <c r="AH332" i="3" s="1"/>
  <c r="P332" i="3"/>
  <c r="O332" i="3"/>
  <c r="I332" i="3"/>
  <c r="AG331" i="3"/>
  <c r="R331" i="3"/>
  <c r="Q331" i="3"/>
  <c r="H331" i="3" s="1"/>
  <c r="P331" i="3"/>
  <c r="O331" i="3"/>
  <c r="I331" i="3"/>
  <c r="AG330" i="3"/>
  <c r="R330" i="3"/>
  <c r="Q330" i="3"/>
  <c r="H330" i="3" s="1"/>
  <c r="P330" i="3"/>
  <c r="O330" i="3"/>
  <c r="AG329" i="3"/>
  <c r="R329" i="3"/>
  <c r="Q329" i="3"/>
  <c r="P329" i="3"/>
  <c r="O329" i="3"/>
  <c r="I329" i="3"/>
  <c r="AG328" i="3"/>
  <c r="R328" i="3"/>
  <c r="Q328" i="3"/>
  <c r="E328" i="3" s="1"/>
  <c r="F328" i="3" s="1"/>
  <c r="P328" i="3"/>
  <c r="O328" i="3"/>
  <c r="AG327" i="3"/>
  <c r="R327" i="3"/>
  <c r="Q327" i="3"/>
  <c r="P327" i="3"/>
  <c r="O327" i="3"/>
  <c r="AG326" i="3"/>
  <c r="R326" i="3"/>
  <c r="Q326" i="3"/>
  <c r="AH326" i="3" s="1"/>
  <c r="AL326" i="3" s="1"/>
  <c r="P326" i="3"/>
  <c r="O326" i="3"/>
  <c r="AG325" i="3"/>
  <c r="R325" i="3"/>
  <c r="Q325" i="3"/>
  <c r="H325" i="3" s="1"/>
  <c r="P325" i="3"/>
  <c r="O325" i="3"/>
  <c r="AG324" i="3"/>
  <c r="R324" i="3"/>
  <c r="Q324" i="3"/>
  <c r="E324" i="3" s="1"/>
  <c r="F324" i="3" s="1"/>
  <c r="P324" i="3"/>
  <c r="O324" i="3"/>
  <c r="AG323" i="3"/>
  <c r="R323" i="3"/>
  <c r="Q323" i="3"/>
  <c r="AH323" i="3" s="1"/>
  <c r="P323" i="3"/>
  <c r="O323" i="3"/>
  <c r="AG322" i="3"/>
  <c r="R322" i="3"/>
  <c r="Q322" i="3"/>
  <c r="AH322" i="3" s="1"/>
  <c r="AL322" i="3" s="1"/>
  <c r="P322" i="3"/>
  <c r="O322" i="3"/>
  <c r="AG321" i="3"/>
  <c r="R321" i="3"/>
  <c r="Q321" i="3"/>
  <c r="P321" i="3"/>
  <c r="O321" i="3"/>
  <c r="AG320" i="3"/>
  <c r="R320" i="3"/>
  <c r="Q320" i="3"/>
  <c r="E320" i="3" s="1"/>
  <c r="F320" i="3" s="1"/>
  <c r="P320" i="3"/>
  <c r="O320" i="3"/>
  <c r="AG319" i="3"/>
  <c r="R319" i="3"/>
  <c r="Q319" i="3"/>
  <c r="H319" i="3" s="1"/>
  <c r="P319" i="3"/>
  <c r="O319" i="3"/>
  <c r="AG318" i="3"/>
  <c r="R318" i="3"/>
  <c r="Q318" i="3"/>
  <c r="P318" i="3"/>
  <c r="O318" i="3"/>
  <c r="AG317" i="3"/>
  <c r="R317" i="3"/>
  <c r="Q317" i="3"/>
  <c r="P317" i="3"/>
  <c r="O317" i="3"/>
  <c r="I317" i="3"/>
  <c r="AG316" i="3"/>
  <c r="R316" i="3"/>
  <c r="Q316" i="3"/>
  <c r="E316" i="3" s="1"/>
  <c r="F316" i="3" s="1"/>
  <c r="P316" i="3"/>
  <c r="O316" i="3"/>
  <c r="AG315" i="3"/>
  <c r="R315" i="3"/>
  <c r="Q315" i="3"/>
  <c r="AH315" i="3" s="1"/>
  <c r="P315" i="3"/>
  <c r="O315" i="3"/>
  <c r="AG314" i="3"/>
  <c r="R314" i="3"/>
  <c r="Q314" i="3"/>
  <c r="AH314" i="3" s="1"/>
  <c r="AL314" i="3" s="1"/>
  <c r="P314" i="3"/>
  <c r="O314" i="3"/>
  <c r="I314" i="3"/>
  <c r="AG313" i="3"/>
  <c r="R313" i="3"/>
  <c r="Q313" i="3"/>
  <c r="C313" i="3" s="1"/>
  <c r="D313" i="3" s="1"/>
  <c r="P313" i="3"/>
  <c r="O313" i="3"/>
  <c r="AG312" i="3"/>
  <c r="R312" i="3"/>
  <c r="Q312" i="3"/>
  <c r="P312" i="3"/>
  <c r="O312" i="3"/>
  <c r="AG311" i="3"/>
  <c r="R311" i="3"/>
  <c r="Q311" i="3"/>
  <c r="AH311" i="3" s="1"/>
  <c r="P311" i="3"/>
  <c r="O311" i="3"/>
  <c r="AG310" i="3"/>
  <c r="R310" i="3"/>
  <c r="Q310" i="3"/>
  <c r="P310" i="3"/>
  <c r="O310" i="3"/>
  <c r="AG309" i="3"/>
  <c r="R309" i="3"/>
  <c r="Q309" i="3"/>
  <c r="C309" i="3" s="1"/>
  <c r="D309" i="3" s="1"/>
  <c r="P309" i="3"/>
  <c r="O309" i="3"/>
  <c r="AG308" i="3"/>
  <c r="R308" i="3"/>
  <c r="Q308" i="3"/>
  <c r="P308" i="3"/>
  <c r="O308" i="3"/>
  <c r="AG307" i="3"/>
  <c r="R307" i="3"/>
  <c r="Q307" i="3"/>
  <c r="P307" i="3"/>
  <c r="O307" i="3"/>
  <c r="AG306" i="3"/>
  <c r="R306" i="3"/>
  <c r="Q306" i="3"/>
  <c r="E306" i="3" s="1"/>
  <c r="F306" i="3" s="1"/>
  <c r="P306" i="3"/>
  <c r="O306" i="3"/>
  <c r="AG305" i="3"/>
  <c r="R305" i="3"/>
  <c r="Q305" i="3"/>
  <c r="P305" i="3"/>
  <c r="O305" i="3"/>
  <c r="AG304" i="3"/>
  <c r="R304" i="3"/>
  <c r="Q304" i="3"/>
  <c r="H304" i="3" s="1"/>
  <c r="P304" i="3"/>
  <c r="O304" i="3"/>
  <c r="AG303" i="3"/>
  <c r="R303" i="3"/>
  <c r="Q303" i="3"/>
  <c r="E303" i="3" s="1"/>
  <c r="F303" i="3" s="1"/>
  <c r="P303" i="3"/>
  <c r="O303" i="3"/>
  <c r="AG302" i="3"/>
  <c r="R302" i="3"/>
  <c r="Q302" i="3"/>
  <c r="E302" i="3" s="1"/>
  <c r="F302" i="3" s="1"/>
  <c r="P302" i="3"/>
  <c r="O302" i="3"/>
  <c r="AG301" i="3"/>
  <c r="R301" i="3"/>
  <c r="Q301" i="3"/>
  <c r="P301" i="3"/>
  <c r="O301" i="3"/>
  <c r="AG300" i="3"/>
  <c r="R300" i="3"/>
  <c r="Q300" i="3"/>
  <c r="H300" i="3" s="1"/>
  <c r="P300" i="3"/>
  <c r="O300" i="3"/>
  <c r="I300" i="3"/>
  <c r="AG299" i="3"/>
  <c r="R299" i="3"/>
  <c r="Q299" i="3"/>
  <c r="AH299" i="3" s="1"/>
  <c r="AJ299" i="3" s="1"/>
  <c r="P299" i="3"/>
  <c r="O299" i="3"/>
  <c r="AG298" i="3"/>
  <c r="R298" i="3"/>
  <c r="Q298" i="3"/>
  <c r="H298" i="3" s="1"/>
  <c r="P298" i="3"/>
  <c r="O298" i="3"/>
  <c r="AG297" i="3"/>
  <c r="R297" i="3"/>
  <c r="Q297" i="3"/>
  <c r="P297" i="3"/>
  <c r="O297" i="3"/>
  <c r="AG296" i="3"/>
  <c r="R296" i="3"/>
  <c r="Q296" i="3"/>
  <c r="H296" i="3" s="1"/>
  <c r="P296" i="3"/>
  <c r="O296" i="3"/>
  <c r="AG295" i="3"/>
  <c r="R295" i="3"/>
  <c r="Q295" i="3"/>
  <c r="P295" i="3"/>
  <c r="O295" i="3"/>
  <c r="AG294" i="3"/>
  <c r="R294" i="3"/>
  <c r="Q294" i="3"/>
  <c r="AH294" i="3" s="1"/>
  <c r="P294" i="3"/>
  <c r="O294" i="3"/>
  <c r="AG293" i="3"/>
  <c r="R293" i="3"/>
  <c r="Q293" i="3"/>
  <c r="E293" i="3" s="1"/>
  <c r="F293" i="3" s="1"/>
  <c r="P293" i="3"/>
  <c r="O293" i="3"/>
  <c r="AG292" i="3"/>
  <c r="R292" i="3"/>
  <c r="Q292" i="3"/>
  <c r="AH292" i="3" s="1"/>
  <c r="P292" i="3"/>
  <c r="O292" i="3"/>
  <c r="I292" i="3"/>
  <c r="AG291" i="3"/>
  <c r="R291" i="3"/>
  <c r="Q291" i="3"/>
  <c r="P291" i="3"/>
  <c r="O291" i="3"/>
  <c r="AG290" i="3"/>
  <c r="R290" i="3"/>
  <c r="Q290" i="3"/>
  <c r="C290" i="3" s="1"/>
  <c r="D290" i="3" s="1"/>
  <c r="P290" i="3"/>
  <c r="O290" i="3"/>
  <c r="AG289" i="3"/>
  <c r="R289" i="3"/>
  <c r="Q289" i="3"/>
  <c r="H289" i="3" s="1"/>
  <c r="P289" i="3"/>
  <c r="O289" i="3"/>
  <c r="AG288" i="3"/>
  <c r="R288" i="3"/>
  <c r="Q288" i="3"/>
  <c r="C288" i="3" s="1"/>
  <c r="D288" i="3" s="1"/>
  <c r="P288" i="3"/>
  <c r="O288" i="3"/>
  <c r="I288" i="3"/>
  <c r="AG287" i="3"/>
  <c r="R287" i="3"/>
  <c r="Q287" i="3"/>
  <c r="AH287" i="3" s="1"/>
  <c r="P287" i="3"/>
  <c r="O287" i="3"/>
  <c r="AG286" i="3"/>
  <c r="R286" i="3"/>
  <c r="Q286" i="3"/>
  <c r="H286" i="3" s="1"/>
  <c r="P286" i="3"/>
  <c r="O286" i="3"/>
  <c r="AG285" i="3"/>
  <c r="R285" i="3"/>
  <c r="Q285" i="3"/>
  <c r="H285" i="3" s="1"/>
  <c r="P285" i="3"/>
  <c r="O285" i="3"/>
  <c r="I285" i="3"/>
  <c r="AG284" i="3"/>
  <c r="R284" i="3"/>
  <c r="Q284" i="3"/>
  <c r="P284" i="3"/>
  <c r="O284" i="3"/>
  <c r="AG283" i="3"/>
  <c r="R283" i="3"/>
  <c r="Q283" i="3"/>
  <c r="E283" i="3" s="1"/>
  <c r="F283" i="3" s="1"/>
  <c r="P283" i="3"/>
  <c r="O283" i="3"/>
  <c r="AG282" i="3"/>
  <c r="R282" i="3"/>
  <c r="Q282" i="3"/>
  <c r="E282" i="3" s="1"/>
  <c r="F282" i="3" s="1"/>
  <c r="P282" i="3"/>
  <c r="O282" i="3"/>
  <c r="AG281" i="3"/>
  <c r="R281" i="3"/>
  <c r="Q281" i="3"/>
  <c r="H281" i="3" s="1"/>
  <c r="P281" i="3"/>
  <c r="O281" i="3"/>
  <c r="AG280" i="3"/>
  <c r="R280" i="3"/>
  <c r="Q280" i="3"/>
  <c r="P280" i="3"/>
  <c r="O280" i="3"/>
  <c r="I280" i="3"/>
  <c r="AG279" i="3"/>
  <c r="R279" i="3"/>
  <c r="Q279" i="3"/>
  <c r="P279" i="3"/>
  <c r="O279" i="3"/>
  <c r="AG278" i="3"/>
  <c r="R278" i="3"/>
  <c r="Q278" i="3"/>
  <c r="H278" i="3" s="1"/>
  <c r="P278" i="3"/>
  <c r="O278" i="3"/>
  <c r="AG277" i="3"/>
  <c r="R277" i="3"/>
  <c r="Q277" i="3"/>
  <c r="AH277" i="3" s="1"/>
  <c r="P277" i="3"/>
  <c r="O277" i="3"/>
  <c r="AG276" i="3"/>
  <c r="R276" i="3"/>
  <c r="Q276" i="3"/>
  <c r="AH276" i="3" s="1"/>
  <c r="P276" i="3"/>
  <c r="O276" i="3"/>
  <c r="AG275" i="3"/>
  <c r="R275" i="3"/>
  <c r="Q275" i="3"/>
  <c r="C275" i="3" s="1"/>
  <c r="D275" i="3" s="1"/>
  <c r="P275" i="3"/>
  <c r="O275" i="3"/>
  <c r="AG274" i="3"/>
  <c r="R274" i="3"/>
  <c r="Q274" i="3"/>
  <c r="P274" i="3"/>
  <c r="O274" i="3"/>
  <c r="AG273" i="3"/>
  <c r="R273" i="3"/>
  <c r="Q273" i="3"/>
  <c r="C273" i="3" s="1"/>
  <c r="D273" i="3" s="1"/>
  <c r="P273" i="3"/>
  <c r="O273" i="3"/>
  <c r="I273" i="3"/>
  <c r="AG272" i="3"/>
  <c r="R272" i="3"/>
  <c r="Q272" i="3"/>
  <c r="P272" i="3"/>
  <c r="O272" i="3"/>
  <c r="AG271" i="3"/>
  <c r="R271" i="3"/>
  <c r="Q271" i="3"/>
  <c r="AH271" i="3" s="1"/>
  <c r="AL271" i="3" s="1"/>
  <c r="P271" i="3"/>
  <c r="O271" i="3"/>
  <c r="AG270" i="3"/>
  <c r="R270" i="3"/>
  <c r="Q270" i="3"/>
  <c r="H270" i="3" s="1"/>
  <c r="P270" i="3"/>
  <c r="O270" i="3"/>
  <c r="AG269" i="3"/>
  <c r="R269" i="3"/>
  <c r="Q269" i="3"/>
  <c r="P269" i="3"/>
  <c r="O269" i="3"/>
  <c r="AG268" i="3"/>
  <c r="R268" i="3"/>
  <c r="Q268" i="3"/>
  <c r="E268" i="3" s="1"/>
  <c r="F268" i="3" s="1"/>
  <c r="P268" i="3"/>
  <c r="O268" i="3"/>
  <c r="AG267" i="3"/>
  <c r="R267" i="3"/>
  <c r="Q267" i="3"/>
  <c r="H267" i="3" s="1"/>
  <c r="P267" i="3"/>
  <c r="O267" i="3"/>
  <c r="AG266" i="3"/>
  <c r="R266" i="3"/>
  <c r="Q266" i="3"/>
  <c r="H266" i="3" s="1"/>
  <c r="P266" i="3"/>
  <c r="O266" i="3"/>
  <c r="AG265" i="3"/>
  <c r="R265" i="3"/>
  <c r="Q265" i="3"/>
  <c r="P265" i="3"/>
  <c r="O265" i="3"/>
  <c r="AG264" i="3"/>
  <c r="R264" i="3"/>
  <c r="Q264" i="3"/>
  <c r="AH264" i="3" s="1"/>
  <c r="P264" i="3"/>
  <c r="O264" i="3"/>
  <c r="AG263" i="3"/>
  <c r="R263" i="3"/>
  <c r="Q263" i="3"/>
  <c r="C263" i="3" s="1"/>
  <c r="D263" i="3" s="1"/>
  <c r="P263" i="3"/>
  <c r="O263" i="3"/>
  <c r="AG262" i="3"/>
  <c r="R262" i="3"/>
  <c r="Q262" i="3"/>
  <c r="H262" i="3" s="1"/>
  <c r="P262" i="3"/>
  <c r="O262" i="3"/>
  <c r="I262" i="3"/>
  <c r="AG261" i="3"/>
  <c r="R261" i="3"/>
  <c r="Q261" i="3"/>
  <c r="E261" i="3" s="1"/>
  <c r="F261" i="3" s="1"/>
  <c r="P261" i="3"/>
  <c r="O261" i="3"/>
  <c r="AG260" i="3"/>
  <c r="R260" i="3"/>
  <c r="Q260" i="3"/>
  <c r="P260" i="3"/>
  <c r="O260" i="3"/>
  <c r="I260" i="3"/>
  <c r="AG259" i="3"/>
  <c r="R259" i="3"/>
  <c r="Q259" i="3"/>
  <c r="E259" i="3" s="1"/>
  <c r="F259" i="3" s="1"/>
  <c r="P259" i="3"/>
  <c r="O259" i="3"/>
  <c r="AG258" i="3"/>
  <c r="R258" i="3"/>
  <c r="Q258" i="3"/>
  <c r="P258" i="3"/>
  <c r="O258" i="3"/>
  <c r="AG257" i="3"/>
  <c r="R257" i="3"/>
  <c r="Q257" i="3"/>
  <c r="AH257" i="3" s="1"/>
  <c r="AL257" i="3" s="1"/>
  <c r="P257" i="3"/>
  <c r="O257" i="3"/>
  <c r="AG256" i="3"/>
  <c r="R256" i="3"/>
  <c r="Q256" i="3"/>
  <c r="AH256" i="3" s="1"/>
  <c r="P256" i="3"/>
  <c r="O256" i="3"/>
  <c r="AG255" i="3"/>
  <c r="R255" i="3"/>
  <c r="Q255" i="3"/>
  <c r="E255" i="3" s="1"/>
  <c r="F255" i="3" s="1"/>
  <c r="P255" i="3"/>
  <c r="O255" i="3"/>
  <c r="AG254" i="3"/>
  <c r="R254" i="3"/>
  <c r="Q254" i="3"/>
  <c r="P254" i="3"/>
  <c r="O254" i="3"/>
  <c r="AG253" i="3"/>
  <c r="R253" i="3"/>
  <c r="Q253" i="3"/>
  <c r="AH253" i="3" s="1"/>
  <c r="AL253" i="3" s="1"/>
  <c r="P253" i="3"/>
  <c r="O253" i="3"/>
  <c r="I253" i="3"/>
  <c r="AG252" i="3"/>
  <c r="R252" i="3"/>
  <c r="Q252" i="3"/>
  <c r="P252" i="3"/>
  <c r="O252" i="3"/>
  <c r="AG251" i="3"/>
  <c r="R251" i="3"/>
  <c r="Q251" i="3"/>
  <c r="H251" i="3" s="1"/>
  <c r="P251" i="3"/>
  <c r="O251" i="3"/>
  <c r="I251" i="3"/>
  <c r="AG250" i="3"/>
  <c r="R250" i="3"/>
  <c r="Q250" i="3"/>
  <c r="AH250" i="3" s="1"/>
  <c r="P250" i="3"/>
  <c r="O250" i="3"/>
  <c r="AG249" i="3"/>
  <c r="R249" i="3"/>
  <c r="Q249" i="3"/>
  <c r="AH249" i="3" s="1"/>
  <c r="P249" i="3"/>
  <c r="O249" i="3"/>
  <c r="I249" i="3"/>
  <c r="AG248" i="3"/>
  <c r="R248" i="3"/>
  <c r="Q248" i="3"/>
  <c r="P248" i="3"/>
  <c r="O248" i="3"/>
  <c r="AG247" i="3"/>
  <c r="R247" i="3"/>
  <c r="Q247" i="3"/>
  <c r="P247" i="3"/>
  <c r="O247" i="3"/>
  <c r="AG246" i="3"/>
  <c r="R246" i="3"/>
  <c r="Q246" i="3"/>
  <c r="AH246" i="3" s="1"/>
  <c r="AL246" i="3" s="1"/>
  <c r="P246" i="3"/>
  <c r="O246" i="3"/>
  <c r="I246" i="3"/>
  <c r="AG245" i="3"/>
  <c r="R245" i="3"/>
  <c r="Q245" i="3"/>
  <c r="C245" i="3" s="1"/>
  <c r="D245" i="3" s="1"/>
  <c r="P245" i="3"/>
  <c r="O245" i="3"/>
  <c r="I245" i="3"/>
  <c r="AG244" i="3"/>
  <c r="R244" i="3"/>
  <c r="Q244" i="3"/>
  <c r="P244" i="3"/>
  <c r="O244" i="3"/>
  <c r="AG243" i="3"/>
  <c r="R243" i="3"/>
  <c r="Q243" i="3"/>
  <c r="AH243" i="3" s="1"/>
  <c r="P243" i="3"/>
  <c r="O243" i="3"/>
  <c r="AG242" i="3"/>
  <c r="R242" i="3"/>
  <c r="Q242" i="3"/>
  <c r="C242" i="3" s="1"/>
  <c r="D242" i="3" s="1"/>
  <c r="P242" i="3"/>
  <c r="O242" i="3"/>
  <c r="I242" i="3"/>
  <c r="AG241" i="3"/>
  <c r="R241" i="3"/>
  <c r="Q241" i="3"/>
  <c r="P241" i="3"/>
  <c r="O241" i="3"/>
  <c r="AG240" i="3"/>
  <c r="R240" i="3"/>
  <c r="Q240" i="3"/>
  <c r="P240" i="3"/>
  <c r="O240" i="3"/>
  <c r="AG239" i="3"/>
  <c r="R239" i="3"/>
  <c r="Q239" i="3"/>
  <c r="AH239" i="3" s="1"/>
  <c r="AJ239" i="3" s="1"/>
  <c r="P239" i="3"/>
  <c r="O239" i="3"/>
  <c r="I239" i="3"/>
  <c r="AG238" i="3"/>
  <c r="R238" i="3"/>
  <c r="Q238" i="3"/>
  <c r="E238" i="3" s="1"/>
  <c r="F238" i="3" s="1"/>
  <c r="P238" i="3"/>
  <c r="O238" i="3"/>
  <c r="I238" i="3"/>
  <c r="AG237" i="3"/>
  <c r="R237" i="3"/>
  <c r="Q237" i="3"/>
  <c r="P237" i="3"/>
  <c r="O237" i="3"/>
  <c r="AG236" i="3"/>
  <c r="R236" i="3"/>
  <c r="Q236" i="3"/>
  <c r="AH236" i="3" s="1"/>
  <c r="AL236" i="3" s="1"/>
  <c r="P236" i="3"/>
  <c r="O236" i="3"/>
  <c r="AG235" i="3"/>
  <c r="R235" i="3"/>
  <c r="Q235" i="3"/>
  <c r="C235" i="3" s="1"/>
  <c r="D235" i="3" s="1"/>
  <c r="P235" i="3"/>
  <c r="O235" i="3"/>
  <c r="I235" i="3"/>
  <c r="AG234" i="3"/>
  <c r="R234" i="3"/>
  <c r="Q234" i="3"/>
  <c r="E234" i="3" s="1"/>
  <c r="F234" i="3" s="1"/>
  <c r="P234" i="3"/>
  <c r="O234" i="3"/>
  <c r="AG233" i="3"/>
  <c r="R233" i="3"/>
  <c r="Q233" i="3"/>
  <c r="P233" i="3"/>
  <c r="O233" i="3"/>
  <c r="I233" i="3"/>
  <c r="AG232" i="3"/>
  <c r="R232" i="3"/>
  <c r="Q232" i="3"/>
  <c r="H232" i="3" s="1"/>
  <c r="P232" i="3"/>
  <c r="O232" i="3"/>
  <c r="AG231" i="3"/>
  <c r="R231" i="3"/>
  <c r="Q231" i="3"/>
  <c r="AH231" i="3" s="1"/>
  <c r="P231" i="3"/>
  <c r="O231" i="3"/>
  <c r="AG230" i="3"/>
  <c r="R230" i="3"/>
  <c r="Q230" i="3"/>
  <c r="H230" i="3" s="1"/>
  <c r="P230" i="3"/>
  <c r="O230" i="3"/>
  <c r="I230" i="3"/>
  <c r="AG229" i="3"/>
  <c r="R229" i="3"/>
  <c r="Q229" i="3"/>
  <c r="AH229" i="3" s="1"/>
  <c r="P229" i="3"/>
  <c r="O229" i="3"/>
  <c r="AG228" i="3"/>
  <c r="R228" i="3"/>
  <c r="Q228" i="3"/>
  <c r="E228" i="3" s="1"/>
  <c r="F228" i="3" s="1"/>
  <c r="P228" i="3"/>
  <c r="O228" i="3"/>
  <c r="I228" i="3"/>
  <c r="AG227" i="3"/>
  <c r="R227" i="3"/>
  <c r="Q227" i="3"/>
  <c r="H227" i="3" s="1"/>
  <c r="P227" i="3"/>
  <c r="O227" i="3"/>
  <c r="I227" i="3"/>
  <c r="AG226" i="3"/>
  <c r="R226" i="3"/>
  <c r="Q226" i="3"/>
  <c r="P226" i="3"/>
  <c r="O226" i="3"/>
  <c r="I226" i="3"/>
  <c r="AG225" i="3"/>
  <c r="R225" i="3"/>
  <c r="Q225" i="3"/>
  <c r="AH225" i="3" s="1"/>
  <c r="P225" i="3"/>
  <c r="O225" i="3"/>
  <c r="I225" i="3"/>
  <c r="AG224" i="3"/>
  <c r="R224" i="3"/>
  <c r="Q224" i="3"/>
  <c r="E224" i="3" s="1"/>
  <c r="F224" i="3" s="1"/>
  <c r="P224" i="3"/>
  <c r="O224" i="3"/>
  <c r="AG223" i="3"/>
  <c r="R223" i="3"/>
  <c r="Q223" i="3"/>
  <c r="AH223" i="3" s="1"/>
  <c r="P223" i="3"/>
  <c r="O223" i="3"/>
  <c r="I223" i="3"/>
  <c r="AG222" i="3"/>
  <c r="R222" i="3"/>
  <c r="Q222" i="3"/>
  <c r="AH222" i="3" s="1"/>
  <c r="P222" i="3"/>
  <c r="O222" i="3"/>
  <c r="AG221" i="3"/>
  <c r="R221" i="3"/>
  <c r="Q221" i="3"/>
  <c r="C221" i="3" s="1"/>
  <c r="D221" i="3" s="1"/>
  <c r="P221" i="3"/>
  <c r="O221" i="3"/>
  <c r="AG220" i="3"/>
  <c r="R220" i="3"/>
  <c r="Q220" i="3"/>
  <c r="H220" i="3" s="1"/>
  <c r="P220" i="3"/>
  <c r="O220" i="3"/>
  <c r="I220" i="3"/>
  <c r="AG219" i="3"/>
  <c r="R219" i="3"/>
  <c r="Q219" i="3"/>
  <c r="AH219" i="3" s="1"/>
  <c r="P219" i="3"/>
  <c r="O219" i="3"/>
  <c r="AG218" i="3"/>
  <c r="R218" i="3"/>
  <c r="Q218" i="3"/>
  <c r="AH218" i="3" s="1"/>
  <c r="AL218" i="3" s="1"/>
  <c r="P218" i="3"/>
  <c r="O218" i="3"/>
  <c r="AG217" i="3"/>
  <c r="R217" i="3"/>
  <c r="Q217" i="3"/>
  <c r="E217" i="3" s="1"/>
  <c r="F217" i="3" s="1"/>
  <c r="P217" i="3"/>
  <c r="O217" i="3"/>
  <c r="I217" i="3"/>
  <c r="AG216" i="3"/>
  <c r="R216" i="3"/>
  <c r="Q216" i="3"/>
  <c r="AH216" i="3" s="1"/>
  <c r="AJ216" i="3" s="1"/>
  <c r="P216" i="3"/>
  <c r="O216" i="3"/>
  <c r="AG215" i="3"/>
  <c r="R215" i="3"/>
  <c r="Q215" i="3"/>
  <c r="AH215" i="3" s="1"/>
  <c r="AL215" i="3" s="1"/>
  <c r="P215" i="3"/>
  <c r="O215" i="3"/>
  <c r="AG214" i="3"/>
  <c r="R214" i="3"/>
  <c r="Q214" i="3"/>
  <c r="AH214" i="3" s="1"/>
  <c r="P214" i="3"/>
  <c r="O214" i="3"/>
  <c r="AG213" i="3"/>
  <c r="R213" i="3"/>
  <c r="Q213" i="3"/>
  <c r="H213" i="3" s="1"/>
  <c r="P213" i="3"/>
  <c r="O213" i="3"/>
  <c r="I213" i="3"/>
  <c r="AG212" i="3"/>
  <c r="R212" i="3"/>
  <c r="Q212" i="3"/>
  <c r="P212" i="3"/>
  <c r="O212" i="3"/>
  <c r="AG211" i="3"/>
  <c r="R211" i="3"/>
  <c r="Q211" i="3"/>
  <c r="AH211" i="3" s="1"/>
  <c r="P211" i="3"/>
  <c r="O211" i="3"/>
  <c r="AG210" i="3"/>
  <c r="R210" i="3"/>
  <c r="Q210" i="3"/>
  <c r="C210" i="3" s="1"/>
  <c r="D210" i="3" s="1"/>
  <c r="P210" i="3"/>
  <c r="O210" i="3"/>
  <c r="AG209" i="3"/>
  <c r="R209" i="3"/>
  <c r="Q209" i="3"/>
  <c r="AH209" i="3" s="1"/>
  <c r="P209" i="3"/>
  <c r="O209" i="3"/>
  <c r="AG208" i="3"/>
  <c r="R208" i="3"/>
  <c r="Q208" i="3"/>
  <c r="C208" i="3" s="1"/>
  <c r="D208" i="3" s="1"/>
  <c r="P208" i="3"/>
  <c r="O208" i="3"/>
  <c r="AG207" i="3"/>
  <c r="R207" i="3"/>
  <c r="Q207" i="3"/>
  <c r="P207" i="3"/>
  <c r="O207" i="3"/>
  <c r="AG206" i="3"/>
  <c r="R206" i="3"/>
  <c r="Q206" i="3"/>
  <c r="P206" i="3"/>
  <c r="O206" i="3"/>
  <c r="I206" i="3"/>
  <c r="AG205" i="3"/>
  <c r="R205" i="3"/>
  <c r="Q205" i="3"/>
  <c r="E205" i="3" s="1"/>
  <c r="F205" i="3" s="1"/>
  <c r="P205" i="3"/>
  <c r="O205" i="3"/>
  <c r="AG204" i="3"/>
  <c r="R204" i="3"/>
  <c r="Q204" i="3"/>
  <c r="P204" i="3"/>
  <c r="O204" i="3"/>
  <c r="I204" i="3"/>
  <c r="AG203" i="3"/>
  <c r="R203" i="3"/>
  <c r="Q203" i="3"/>
  <c r="C203" i="3" s="1"/>
  <c r="D203" i="3" s="1"/>
  <c r="P203" i="3"/>
  <c r="O203" i="3"/>
  <c r="I203" i="3"/>
  <c r="AG202" i="3"/>
  <c r="R202" i="3"/>
  <c r="Q202" i="3"/>
  <c r="H202" i="3" s="1"/>
  <c r="P202" i="3"/>
  <c r="O202" i="3"/>
  <c r="I202" i="3"/>
  <c r="AG201" i="3"/>
  <c r="R201" i="3"/>
  <c r="Q201" i="3"/>
  <c r="H201" i="3" s="1"/>
  <c r="P201" i="3"/>
  <c r="O201" i="3"/>
  <c r="AG200" i="3"/>
  <c r="R200" i="3"/>
  <c r="Q200" i="3"/>
  <c r="E200" i="3" s="1"/>
  <c r="F200" i="3" s="1"/>
  <c r="P200" i="3"/>
  <c r="O200" i="3"/>
  <c r="AG199" i="3"/>
  <c r="R199" i="3"/>
  <c r="Q199" i="3"/>
  <c r="P199" i="3"/>
  <c r="O199" i="3"/>
  <c r="AG198" i="3"/>
  <c r="R198" i="3"/>
  <c r="Q198" i="3"/>
  <c r="P198" i="3"/>
  <c r="O198" i="3"/>
  <c r="AG197" i="3"/>
  <c r="R197" i="3"/>
  <c r="Q197" i="3"/>
  <c r="AH197" i="3" s="1"/>
  <c r="P197" i="3"/>
  <c r="O197" i="3"/>
  <c r="AG196" i="3"/>
  <c r="R196" i="3"/>
  <c r="Q196" i="3"/>
  <c r="AH196" i="3" s="1"/>
  <c r="P196" i="3"/>
  <c r="O196" i="3"/>
  <c r="AG195" i="3"/>
  <c r="R195" i="3"/>
  <c r="Q195" i="3"/>
  <c r="E195" i="3" s="1"/>
  <c r="F195" i="3" s="1"/>
  <c r="P195" i="3"/>
  <c r="O195" i="3"/>
  <c r="I195" i="3"/>
  <c r="AG194" i="3"/>
  <c r="R194" i="3"/>
  <c r="Q194" i="3"/>
  <c r="H194" i="3" s="1"/>
  <c r="P194" i="3"/>
  <c r="O194" i="3"/>
  <c r="AG193" i="3"/>
  <c r="R193" i="3"/>
  <c r="Q193" i="3"/>
  <c r="AH193" i="3" s="1"/>
  <c r="AJ193" i="3" s="1"/>
  <c r="P193" i="3"/>
  <c r="O193" i="3"/>
  <c r="AG192" i="3"/>
  <c r="R192" i="3"/>
  <c r="Q192" i="3"/>
  <c r="AH192" i="3" s="1"/>
  <c r="P192" i="3"/>
  <c r="O192" i="3"/>
  <c r="AG191" i="3"/>
  <c r="R191" i="3"/>
  <c r="Q191" i="3"/>
  <c r="H191" i="3" s="1"/>
  <c r="P191" i="3"/>
  <c r="O191" i="3"/>
  <c r="AG190" i="3"/>
  <c r="R190" i="3"/>
  <c r="Q190" i="3"/>
  <c r="E190" i="3" s="1"/>
  <c r="F190" i="3" s="1"/>
  <c r="P190" i="3"/>
  <c r="O190" i="3"/>
  <c r="AG189" i="3"/>
  <c r="R189" i="3"/>
  <c r="Q189" i="3"/>
  <c r="P189" i="3"/>
  <c r="O189" i="3"/>
  <c r="I189" i="3"/>
  <c r="AG188" i="3"/>
  <c r="R188" i="3"/>
  <c r="Q188" i="3"/>
  <c r="C188" i="3" s="1"/>
  <c r="D188" i="3" s="1"/>
  <c r="P188" i="3"/>
  <c r="O188" i="3"/>
  <c r="AG187" i="3"/>
  <c r="R187" i="3"/>
  <c r="Q187" i="3"/>
  <c r="E187" i="3" s="1"/>
  <c r="F187" i="3" s="1"/>
  <c r="P187" i="3"/>
  <c r="O187" i="3"/>
  <c r="AG186" i="3"/>
  <c r="R186" i="3"/>
  <c r="Q186" i="3"/>
  <c r="AH186" i="3" s="1"/>
  <c r="P186" i="3"/>
  <c r="O186" i="3"/>
  <c r="AG185" i="3"/>
  <c r="R185" i="3"/>
  <c r="Q185" i="3"/>
  <c r="C185" i="3" s="1"/>
  <c r="D185" i="3" s="1"/>
  <c r="P185" i="3"/>
  <c r="O185" i="3"/>
  <c r="AG184" i="3"/>
  <c r="R184" i="3"/>
  <c r="Q184" i="3"/>
  <c r="AH184" i="3" s="1"/>
  <c r="P184" i="3"/>
  <c r="O184" i="3"/>
  <c r="I184" i="3"/>
  <c r="AG183" i="3"/>
  <c r="R183" i="3"/>
  <c r="Q183" i="3"/>
  <c r="H183" i="3" s="1"/>
  <c r="P183" i="3"/>
  <c r="O183" i="3"/>
  <c r="AG182" i="3"/>
  <c r="R182" i="3"/>
  <c r="Q182" i="3"/>
  <c r="AH182" i="3" s="1"/>
  <c r="P182" i="3"/>
  <c r="O182" i="3"/>
  <c r="I182" i="3"/>
  <c r="AG181" i="3"/>
  <c r="R181" i="3"/>
  <c r="Q181" i="3"/>
  <c r="P181" i="3"/>
  <c r="O181" i="3"/>
  <c r="AG180" i="3"/>
  <c r="R180" i="3"/>
  <c r="Q180" i="3"/>
  <c r="P180" i="3"/>
  <c r="O180" i="3"/>
  <c r="AG179" i="3"/>
  <c r="R179" i="3"/>
  <c r="Q179" i="3"/>
  <c r="AH179" i="3" s="1"/>
  <c r="P179" i="3"/>
  <c r="O179" i="3"/>
  <c r="AG178" i="3"/>
  <c r="R178" i="3"/>
  <c r="Q178" i="3"/>
  <c r="C178" i="3" s="1"/>
  <c r="D178" i="3" s="1"/>
  <c r="P178" i="3"/>
  <c r="O178" i="3"/>
  <c r="AG177" i="3"/>
  <c r="R177" i="3"/>
  <c r="Q177" i="3"/>
  <c r="AH177" i="3" s="1"/>
  <c r="P177" i="3"/>
  <c r="O177" i="3"/>
  <c r="AG176" i="3"/>
  <c r="R176" i="3"/>
  <c r="Q176" i="3"/>
  <c r="E176" i="3" s="1"/>
  <c r="F176" i="3" s="1"/>
  <c r="P176" i="3"/>
  <c r="O176" i="3"/>
  <c r="AG175" i="3"/>
  <c r="R175" i="3"/>
  <c r="Q175" i="3"/>
  <c r="AH175" i="3" s="1"/>
  <c r="P175" i="3"/>
  <c r="O175" i="3"/>
  <c r="AG174" i="3"/>
  <c r="R174" i="3"/>
  <c r="Q174" i="3"/>
  <c r="C174" i="3" s="1"/>
  <c r="D174" i="3" s="1"/>
  <c r="P174" i="3"/>
  <c r="O174" i="3"/>
  <c r="AG173" i="3"/>
  <c r="R173" i="3"/>
  <c r="Q173" i="3"/>
  <c r="AH173" i="3" s="1"/>
  <c r="P173" i="3"/>
  <c r="O173" i="3"/>
  <c r="AG172" i="3"/>
  <c r="R172" i="3"/>
  <c r="Q172" i="3"/>
  <c r="C172" i="3" s="1"/>
  <c r="D172" i="3" s="1"/>
  <c r="P172" i="3"/>
  <c r="O172" i="3"/>
  <c r="AG171" i="3"/>
  <c r="R171" i="3"/>
  <c r="Q171" i="3"/>
  <c r="AH171" i="3" s="1"/>
  <c r="P171" i="3"/>
  <c r="O171" i="3"/>
  <c r="AG170" i="3"/>
  <c r="R170" i="3"/>
  <c r="Q170" i="3"/>
  <c r="C170" i="3" s="1"/>
  <c r="D170" i="3" s="1"/>
  <c r="P170" i="3"/>
  <c r="O170" i="3"/>
  <c r="AG169" i="3"/>
  <c r="R169" i="3"/>
  <c r="Q169" i="3"/>
  <c r="AH169" i="3" s="1"/>
  <c r="P169" i="3"/>
  <c r="O169" i="3"/>
  <c r="AG168" i="3"/>
  <c r="R168" i="3"/>
  <c r="Q168" i="3"/>
  <c r="E168" i="3" s="1"/>
  <c r="F168" i="3" s="1"/>
  <c r="P168" i="3"/>
  <c r="O168" i="3"/>
  <c r="I168" i="3"/>
  <c r="AG167" i="3"/>
  <c r="R167" i="3"/>
  <c r="Q167" i="3"/>
  <c r="AH167" i="3" s="1"/>
  <c r="AL167" i="3" s="1"/>
  <c r="P167" i="3"/>
  <c r="O167" i="3"/>
  <c r="AG166" i="3"/>
  <c r="R166" i="3"/>
  <c r="Q166" i="3"/>
  <c r="P166" i="3"/>
  <c r="O166" i="3"/>
  <c r="AG165" i="3"/>
  <c r="R165" i="3"/>
  <c r="Q165" i="3"/>
  <c r="H165" i="3" s="1"/>
  <c r="P165" i="3"/>
  <c r="O165" i="3"/>
  <c r="AG164" i="3"/>
  <c r="R164" i="3"/>
  <c r="Q164" i="3"/>
  <c r="AH164" i="3" s="1"/>
  <c r="P164" i="3"/>
  <c r="O164" i="3"/>
  <c r="I164" i="3"/>
  <c r="AG163" i="3"/>
  <c r="R163" i="3"/>
  <c r="Q163" i="3"/>
  <c r="P163" i="3"/>
  <c r="O163" i="3"/>
  <c r="AG162" i="3"/>
  <c r="R162" i="3"/>
  <c r="Q162" i="3"/>
  <c r="E162" i="3" s="1"/>
  <c r="F162" i="3" s="1"/>
  <c r="P162" i="3"/>
  <c r="O162" i="3"/>
  <c r="AG161" i="3"/>
  <c r="R161" i="3"/>
  <c r="Q161" i="3"/>
  <c r="H161" i="3" s="1"/>
  <c r="P161" i="3"/>
  <c r="O161" i="3"/>
  <c r="AG160" i="3"/>
  <c r="R160" i="3"/>
  <c r="Q160" i="3"/>
  <c r="AH160" i="3" s="1"/>
  <c r="P160" i="3"/>
  <c r="O160" i="3"/>
  <c r="AG159" i="3"/>
  <c r="R159" i="3"/>
  <c r="Q159" i="3"/>
  <c r="P159" i="3"/>
  <c r="O159" i="3"/>
  <c r="AG158" i="3"/>
  <c r="R158" i="3"/>
  <c r="Q158" i="3"/>
  <c r="P158" i="3"/>
  <c r="O158" i="3"/>
  <c r="AG157" i="3"/>
  <c r="R157" i="3"/>
  <c r="Q157" i="3"/>
  <c r="H157" i="3" s="1"/>
  <c r="P157" i="3"/>
  <c r="O157" i="3"/>
  <c r="AG156" i="3"/>
  <c r="R156" i="3"/>
  <c r="Q156" i="3"/>
  <c r="P156" i="3"/>
  <c r="O156" i="3"/>
  <c r="AG155" i="3"/>
  <c r="R155" i="3"/>
  <c r="Q155" i="3"/>
  <c r="C155" i="3" s="1"/>
  <c r="D155" i="3" s="1"/>
  <c r="P155" i="3"/>
  <c r="O155" i="3"/>
  <c r="AG154" i="3"/>
  <c r="R154" i="3"/>
  <c r="Q154" i="3"/>
  <c r="E154" i="3" s="1"/>
  <c r="F154" i="3" s="1"/>
  <c r="P154" i="3"/>
  <c r="O154" i="3"/>
  <c r="AG153" i="3"/>
  <c r="R153" i="3"/>
  <c r="Q153" i="3"/>
  <c r="P153" i="3"/>
  <c r="O153" i="3"/>
  <c r="AG152" i="3"/>
  <c r="R152" i="3"/>
  <c r="Q152" i="3"/>
  <c r="AH152" i="3" s="1"/>
  <c r="P152" i="3"/>
  <c r="O152" i="3"/>
  <c r="AG151" i="3"/>
  <c r="R151" i="3"/>
  <c r="Q151" i="3"/>
  <c r="P151" i="3"/>
  <c r="O151" i="3"/>
  <c r="AG150" i="3"/>
  <c r="R150" i="3"/>
  <c r="Q150" i="3"/>
  <c r="P150" i="3"/>
  <c r="O150" i="3"/>
  <c r="AG149" i="3"/>
  <c r="R149" i="3"/>
  <c r="Q149" i="3"/>
  <c r="AH149" i="3" s="1"/>
  <c r="AJ149" i="3" s="1"/>
  <c r="P149" i="3"/>
  <c r="O149" i="3"/>
  <c r="AG148" i="3"/>
  <c r="R148" i="3"/>
  <c r="Q148" i="3"/>
  <c r="AH148" i="3" s="1"/>
  <c r="P148" i="3"/>
  <c r="O148" i="3"/>
  <c r="AG147" i="3"/>
  <c r="R147" i="3"/>
  <c r="Q147" i="3"/>
  <c r="C147" i="3" s="1"/>
  <c r="D147" i="3" s="1"/>
  <c r="P147" i="3"/>
  <c r="O147" i="3"/>
  <c r="AG146" i="3"/>
  <c r="R146" i="3"/>
  <c r="Q146" i="3"/>
  <c r="P146" i="3"/>
  <c r="O146" i="3"/>
  <c r="AG145" i="3"/>
  <c r="R145" i="3"/>
  <c r="Q145" i="3"/>
  <c r="AH145" i="3" s="1"/>
  <c r="AJ145" i="3" s="1"/>
  <c r="P145" i="3"/>
  <c r="O145" i="3"/>
  <c r="AG144" i="3"/>
  <c r="R144" i="3"/>
  <c r="Q144" i="3"/>
  <c r="AH144" i="3" s="1"/>
  <c r="P144" i="3"/>
  <c r="O144" i="3"/>
  <c r="AG143" i="3"/>
  <c r="R143" i="3"/>
  <c r="Q143" i="3"/>
  <c r="AH143" i="3" s="1"/>
  <c r="P143" i="3"/>
  <c r="O143" i="3"/>
  <c r="AG142" i="3"/>
  <c r="R142" i="3"/>
  <c r="Q142" i="3"/>
  <c r="E142" i="3" s="1"/>
  <c r="F142" i="3" s="1"/>
  <c r="P142" i="3"/>
  <c r="O142" i="3"/>
  <c r="AG141" i="3"/>
  <c r="R141" i="3"/>
  <c r="Q141" i="3"/>
  <c r="C141" i="3" s="1"/>
  <c r="D141" i="3" s="1"/>
  <c r="P141" i="3"/>
  <c r="O141" i="3"/>
  <c r="I141" i="3"/>
  <c r="AG140" i="3"/>
  <c r="R140" i="3"/>
  <c r="Q140" i="3"/>
  <c r="H140" i="3" s="1"/>
  <c r="P140" i="3"/>
  <c r="O140" i="3"/>
  <c r="AG139" i="3"/>
  <c r="R139" i="3"/>
  <c r="Q139" i="3"/>
  <c r="E139" i="3" s="1"/>
  <c r="F139" i="3" s="1"/>
  <c r="P139" i="3"/>
  <c r="O139" i="3"/>
  <c r="AG138" i="3"/>
  <c r="R138" i="3"/>
  <c r="Q138" i="3"/>
  <c r="AH138" i="3" s="1"/>
  <c r="AJ138" i="3" s="1"/>
  <c r="P138" i="3"/>
  <c r="O138" i="3"/>
  <c r="AG137" i="3"/>
  <c r="R137" i="3"/>
  <c r="Q137" i="3"/>
  <c r="C137" i="3" s="1"/>
  <c r="D137" i="3" s="1"/>
  <c r="P137" i="3"/>
  <c r="O137" i="3"/>
  <c r="AG136" i="3"/>
  <c r="R136" i="3"/>
  <c r="Q136" i="3"/>
  <c r="H136" i="3" s="1"/>
  <c r="P136" i="3"/>
  <c r="O136" i="3"/>
  <c r="AG135" i="3"/>
  <c r="R135" i="3"/>
  <c r="Q135" i="3"/>
  <c r="P135" i="3"/>
  <c r="O135" i="3"/>
  <c r="AG134" i="3"/>
  <c r="R134" i="3"/>
  <c r="Q134" i="3"/>
  <c r="H134" i="3" s="1"/>
  <c r="P134" i="3"/>
  <c r="O134" i="3"/>
  <c r="I134" i="3"/>
  <c r="AG133" i="3"/>
  <c r="R133" i="3"/>
  <c r="Q133" i="3"/>
  <c r="C133" i="3" s="1"/>
  <c r="D133" i="3" s="1"/>
  <c r="P133" i="3"/>
  <c r="O133" i="3"/>
  <c r="AG132" i="3"/>
  <c r="R132" i="3"/>
  <c r="Q132" i="3"/>
  <c r="AH132" i="3" s="1"/>
  <c r="P132" i="3"/>
  <c r="O132" i="3"/>
  <c r="AG131" i="3"/>
  <c r="R131" i="3"/>
  <c r="Q131" i="3"/>
  <c r="H131" i="3" s="1"/>
  <c r="P131" i="3"/>
  <c r="O131" i="3"/>
  <c r="AG130" i="3"/>
  <c r="R130" i="3"/>
  <c r="Q130" i="3"/>
  <c r="P130" i="3"/>
  <c r="O130" i="3"/>
  <c r="AG129" i="3"/>
  <c r="R129" i="3"/>
  <c r="Q129" i="3"/>
  <c r="C129" i="3" s="1"/>
  <c r="D129" i="3" s="1"/>
  <c r="P129" i="3"/>
  <c r="O129" i="3"/>
  <c r="AG128" i="3"/>
  <c r="R128" i="3"/>
  <c r="Q128" i="3"/>
  <c r="P128" i="3"/>
  <c r="O128" i="3"/>
  <c r="AG127" i="3"/>
  <c r="R127" i="3"/>
  <c r="Q127" i="3"/>
  <c r="E127" i="3" s="1"/>
  <c r="F127" i="3" s="1"/>
  <c r="P127" i="3"/>
  <c r="O127" i="3"/>
  <c r="I127" i="3"/>
  <c r="AG126" i="3"/>
  <c r="R126" i="3"/>
  <c r="Q126" i="3"/>
  <c r="AH126" i="3" s="1"/>
  <c r="P126" i="3"/>
  <c r="O126" i="3"/>
  <c r="AG125" i="3"/>
  <c r="R125" i="3"/>
  <c r="Q125" i="3"/>
  <c r="P125" i="3"/>
  <c r="O125" i="3"/>
  <c r="I125" i="3"/>
  <c r="AG124" i="3"/>
  <c r="R124" i="3"/>
  <c r="Q124" i="3"/>
  <c r="AH124" i="3" s="1"/>
  <c r="P124" i="3"/>
  <c r="O124" i="3"/>
  <c r="AG123" i="3"/>
  <c r="R123" i="3"/>
  <c r="Q123" i="3"/>
  <c r="E123" i="3" s="1"/>
  <c r="F123" i="3" s="1"/>
  <c r="P123" i="3"/>
  <c r="O123" i="3"/>
  <c r="AG122" i="3"/>
  <c r="R122" i="3"/>
  <c r="Q122" i="3"/>
  <c r="E122" i="3" s="1"/>
  <c r="F122" i="3" s="1"/>
  <c r="P122" i="3"/>
  <c r="O122" i="3"/>
  <c r="I122" i="3"/>
  <c r="AG121" i="3"/>
  <c r="R121" i="3"/>
  <c r="Q121" i="3"/>
  <c r="AH121" i="3" s="1"/>
  <c r="AL121" i="3" s="1"/>
  <c r="P121" i="3"/>
  <c r="O121" i="3"/>
  <c r="AG120" i="3"/>
  <c r="R120" i="3"/>
  <c r="Q120" i="3"/>
  <c r="P120" i="3"/>
  <c r="O120" i="3"/>
  <c r="AG119" i="3"/>
  <c r="R119" i="3"/>
  <c r="Q119" i="3"/>
  <c r="AH119" i="3" s="1"/>
  <c r="AJ119" i="3" s="1"/>
  <c r="P119" i="3"/>
  <c r="O119" i="3"/>
  <c r="I119" i="3"/>
  <c r="AG118" i="3"/>
  <c r="R118" i="3"/>
  <c r="Q118" i="3"/>
  <c r="AH118" i="3" s="1"/>
  <c r="AL118" i="3" s="1"/>
  <c r="P118" i="3"/>
  <c r="O118" i="3"/>
  <c r="AG117" i="3"/>
  <c r="R117" i="3"/>
  <c r="Q117" i="3"/>
  <c r="E117" i="3" s="1"/>
  <c r="F117" i="3" s="1"/>
  <c r="P117" i="3"/>
  <c r="O117" i="3"/>
  <c r="AG116" i="3"/>
  <c r="R116" i="3"/>
  <c r="Q116" i="3"/>
  <c r="E116" i="3" s="1"/>
  <c r="F116" i="3" s="1"/>
  <c r="P116" i="3"/>
  <c r="O116" i="3"/>
  <c r="AG115" i="3"/>
  <c r="R115" i="3"/>
  <c r="Q115" i="3"/>
  <c r="H115" i="3" s="1"/>
  <c r="P115" i="3"/>
  <c r="O115" i="3"/>
  <c r="AG114" i="3"/>
  <c r="R114" i="3"/>
  <c r="Q114" i="3"/>
  <c r="AH114" i="3" s="1"/>
  <c r="AL114" i="3" s="1"/>
  <c r="P114" i="3"/>
  <c r="O114" i="3"/>
  <c r="AG113" i="3"/>
  <c r="R113" i="3"/>
  <c r="Q113" i="3"/>
  <c r="AH113" i="3" s="1"/>
  <c r="P113" i="3"/>
  <c r="O113" i="3"/>
  <c r="AG112" i="3"/>
  <c r="R112" i="3"/>
  <c r="Q112" i="3"/>
  <c r="E112" i="3" s="1"/>
  <c r="F112" i="3" s="1"/>
  <c r="P112" i="3"/>
  <c r="O112" i="3"/>
  <c r="AG111" i="3"/>
  <c r="R111" i="3"/>
  <c r="Q111" i="3"/>
  <c r="C111" i="3" s="1"/>
  <c r="D111" i="3" s="1"/>
  <c r="P111" i="3"/>
  <c r="O111" i="3"/>
  <c r="AG110" i="3"/>
  <c r="R110" i="3"/>
  <c r="Q110" i="3"/>
  <c r="P110" i="3"/>
  <c r="O110" i="3"/>
  <c r="I110" i="3"/>
  <c r="AG109" i="3"/>
  <c r="R109" i="3"/>
  <c r="Q109" i="3"/>
  <c r="C109" i="3" s="1"/>
  <c r="D109" i="3" s="1"/>
  <c r="P109" i="3"/>
  <c r="O109" i="3"/>
  <c r="AG108" i="3"/>
  <c r="R108" i="3"/>
  <c r="Q108" i="3"/>
  <c r="H108" i="3" s="1"/>
  <c r="P108" i="3"/>
  <c r="O108" i="3"/>
  <c r="I108" i="3"/>
  <c r="AG107" i="3"/>
  <c r="R107" i="3"/>
  <c r="Q107" i="3"/>
  <c r="P107" i="3"/>
  <c r="O107" i="3"/>
  <c r="AG106" i="3"/>
  <c r="R106" i="3"/>
  <c r="Q106" i="3"/>
  <c r="AH106" i="3" s="1"/>
  <c r="P106" i="3"/>
  <c r="O106" i="3"/>
  <c r="AG105" i="3"/>
  <c r="R105" i="3"/>
  <c r="Q105" i="3"/>
  <c r="H105" i="3" s="1"/>
  <c r="P105" i="3"/>
  <c r="O105" i="3"/>
  <c r="AG104" i="3"/>
  <c r="R104" i="3"/>
  <c r="Q104" i="3"/>
  <c r="E104" i="3" s="1"/>
  <c r="F104" i="3" s="1"/>
  <c r="P104" i="3"/>
  <c r="O104" i="3"/>
  <c r="I104" i="3"/>
  <c r="AG103" i="3"/>
  <c r="R103" i="3"/>
  <c r="Q103" i="3"/>
  <c r="P103" i="3"/>
  <c r="O103" i="3"/>
  <c r="AG102" i="3"/>
  <c r="R102" i="3"/>
  <c r="Q102" i="3"/>
  <c r="H102" i="3" s="1"/>
  <c r="P102" i="3"/>
  <c r="O102" i="3"/>
  <c r="AG101" i="3"/>
  <c r="R101" i="3"/>
  <c r="Q101" i="3"/>
  <c r="H101" i="3" s="1"/>
  <c r="P101" i="3"/>
  <c r="O101" i="3"/>
  <c r="I101" i="3"/>
  <c r="AG100" i="3"/>
  <c r="R100" i="3"/>
  <c r="Q100" i="3"/>
  <c r="H100" i="3" s="1"/>
  <c r="P100" i="3"/>
  <c r="O100" i="3"/>
  <c r="AG99" i="3"/>
  <c r="R99" i="3"/>
  <c r="Q99" i="3"/>
  <c r="C99" i="3" s="1"/>
  <c r="D99" i="3" s="1"/>
  <c r="P99" i="3"/>
  <c r="O99" i="3"/>
  <c r="I99" i="3"/>
  <c r="AG98" i="3"/>
  <c r="R98" i="3"/>
  <c r="Q98" i="3"/>
  <c r="E98" i="3" s="1"/>
  <c r="F98" i="3" s="1"/>
  <c r="P98" i="3"/>
  <c r="O98" i="3"/>
  <c r="AG97" i="3"/>
  <c r="R97" i="3"/>
  <c r="Q97" i="3"/>
  <c r="H97" i="3" s="1"/>
  <c r="P97" i="3"/>
  <c r="O97" i="3"/>
  <c r="I97" i="3"/>
  <c r="AG96" i="3"/>
  <c r="R96" i="3"/>
  <c r="Q96" i="3"/>
  <c r="AH96" i="3" s="1"/>
  <c r="P96" i="3"/>
  <c r="O96" i="3"/>
  <c r="AG95" i="3"/>
  <c r="R95" i="3"/>
  <c r="Q95" i="3"/>
  <c r="P95" i="3"/>
  <c r="O95" i="3"/>
  <c r="AG94" i="3"/>
  <c r="R94" i="3"/>
  <c r="Q94" i="3"/>
  <c r="P94" i="3"/>
  <c r="O94" i="3"/>
  <c r="AG93" i="3"/>
  <c r="R93" i="3"/>
  <c r="Q93" i="3"/>
  <c r="AH93" i="3" s="1"/>
  <c r="P93" i="3"/>
  <c r="O93" i="3"/>
  <c r="I93" i="3"/>
  <c r="AG92" i="3"/>
  <c r="R92" i="3"/>
  <c r="Q92" i="3"/>
  <c r="C92" i="3" s="1"/>
  <c r="D92" i="3" s="1"/>
  <c r="P92" i="3"/>
  <c r="O92" i="3"/>
  <c r="AG91" i="3"/>
  <c r="R91" i="3"/>
  <c r="Q91" i="3"/>
  <c r="H91" i="3" s="1"/>
  <c r="P91" i="3"/>
  <c r="O91" i="3"/>
  <c r="I91" i="3"/>
  <c r="AG90" i="3"/>
  <c r="R90" i="3"/>
  <c r="Q90" i="3"/>
  <c r="H90" i="3" s="1"/>
  <c r="P90" i="3"/>
  <c r="O90" i="3"/>
  <c r="AG89" i="3"/>
  <c r="R89" i="3"/>
  <c r="Q89" i="3"/>
  <c r="P89" i="3"/>
  <c r="O89" i="3"/>
  <c r="AG88" i="3"/>
  <c r="R88" i="3"/>
  <c r="Q88" i="3"/>
  <c r="AH88" i="3" s="1"/>
  <c r="AL88" i="3" s="1"/>
  <c r="P88" i="3"/>
  <c r="O88" i="3"/>
  <c r="AG87" i="3"/>
  <c r="R87" i="3"/>
  <c r="Q87" i="3"/>
  <c r="AH87" i="3" s="1"/>
  <c r="P87" i="3"/>
  <c r="O87" i="3"/>
  <c r="AG86" i="3"/>
  <c r="R86" i="3"/>
  <c r="Q86" i="3"/>
  <c r="P86" i="3"/>
  <c r="O86" i="3"/>
  <c r="AG85" i="3"/>
  <c r="R85" i="3"/>
  <c r="Q85" i="3"/>
  <c r="E85" i="3" s="1"/>
  <c r="F85" i="3" s="1"/>
  <c r="P85" i="3"/>
  <c r="O85" i="3"/>
  <c r="AG84" i="3"/>
  <c r="R84" i="3"/>
  <c r="Q84" i="3"/>
  <c r="H84" i="3" s="1"/>
  <c r="P84" i="3"/>
  <c r="O84" i="3"/>
  <c r="AG83" i="3"/>
  <c r="R83" i="3"/>
  <c r="Q83" i="3"/>
  <c r="H83" i="3" s="1"/>
  <c r="P83" i="3"/>
  <c r="O83" i="3"/>
  <c r="AG82" i="3"/>
  <c r="R82" i="3"/>
  <c r="Q82" i="3"/>
  <c r="H82" i="3" s="1"/>
  <c r="P82" i="3"/>
  <c r="O82" i="3"/>
  <c r="AG81" i="3"/>
  <c r="R81" i="3"/>
  <c r="Q81" i="3"/>
  <c r="H81" i="3" s="1"/>
  <c r="P81" i="3"/>
  <c r="O81" i="3"/>
  <c r="I81" i="3"/>
  <c r="AG80" i="3"/>
  <c r="R80" i="3"/>
  <c r="Q80" i="3"/>
  <c r="P80" i="3"/>
  <c r="O80" i="3"/>
  <c r="AG79" i="3"/>
  <c r="R79" i="3"/>
  <c r="Q79" i="3"/>
  <c r="P79" i="3"/>
  <c r="O79" i="3"/>
  <c r="AG78" i="3"/>
  <c r="R78" i="3"/>
  <c r="Q78" i="3"/>
  <c r="P78" i="3"/>
  <c r="O78" i="3"/>
  <c r="AG77" i="3"/>
  <c r="R77" i="3"/>
  <c r="Q77" i="3"/>
  <c r="P77" i="3"/>
  <c r="O77" i="3"/>
  <c r="AG76" i="3"/>
  <c r="R76" i="3"/>
  <c r="Q76" i="3"/>
  <c r="C76" i="3" s="1"/>
  <c r="D76" i="3" s="1"/>
  <c r="P76" i="3"/>
  <c r="O76" i="3"/>
  <c r="I76" i="3"/>
  <c r="AG75" i="3"/>
  <c r="R75" i="3"/>
  <c r="Q75" i="3"/>
  <c r="H75" i="3" s="1"/>
  <c r="P75" i="3"/>
  <c r="O75" i="3"/>
  <c r="AG74" i="3"/>
  <c r="R74" i="3"/>
  <c r="Q74" i="3"/>
  <c r="P74" i="3"/>
  <c r="O74" i="3"/>
  <c r="AG73" i="3"/>
  <c r="R73" i="3"/>
  <c r="Q73" i="3"/>
  <c r="P73" i="3"/>
  <c r="O73" i="3"/>
  <c r="AG72" i="3"/>
  <c r="R72" i="3"/>
  <c r="Q72" i="3"/>
  <c r="C72" i="3" s="1"/>
  <c r="D72" i="3" s="1"/>
  <c r="P72" i="3"/>
  <c r="O72" i="3"/>
  <c r="AG71" i="3"/>
  <c r="R71" i="3"/>
  <c r="Q71" i="3"/>
  <c r="H71" i="3" s="1"/>
  <c r="P71" i="3"/>
  <c r="O71" i="3"/>
  <c r="I71" i="3"/>
  <c r="AG70" i="3"/>
  <c r="R70" i="3"/>
  <c r="Q70" i="3"/>
  <c r="C70" i="3" s="1"/>
  <c r="D70" i="3" s="1"/>
  <c r="P70" i="3"/>
  <c r="O70" i="3"/>
  <c r="AG69" i="3"/>
  <c r="R69" i="3"/>
  <c r="Q69" i="3"/>
  <c r="C69" i="3" s="1"/>
  <c r="D69" i="3" s="1"/>
  <c r="P69" i="3"/>
  <c r="O69" i="3"/>
  <c r="AG68" i="3"/>
  <c r="R68" i="3"/>
  <c r="Q68" i="3"/>
  <c r="P68" i="3"/>
  <c r="O68" i="3"/>
  <c r="AG67" i="3"/>
  <c r="R67" i="3"/>
  <c r="Q67" i="3"/>
  <c r="E67" i="3" s="1"/>
  <c r="F67" i="3" s="1"/>
  <c r="P67" i="3"/>
  <c r="O67" i="3"/>
  <c r="I67" i="3"/>
  <c r="AG66" i="3"/>
  <c r="R66" i="3"/>
  <c r="Q66" i="3"/>
  <c r="AH66" i="3" s="1"/>
  <c r="AJ66" i="3" s="1"/>
  <c r="P66" i="3"/>
  <c r="O66" i="3"/>
  <c r="AG65" i="3"/>
  <c r="R65" i="3"/>
  <c r="Q65" i="3"/>
  <c r="C65" i="3" s="1"/>
  <c r="D65" i="3" s="1"/>
  <c r="P65" i="3"/>
  <c r="O65" i="3"/>
  <c r="I65" i="3"/>
  <c r="AG64" i="3"/>
  <c r="R64" i="3"/>
  <c r="Q64" i="3"/>
  <c r="P64" i="3"/>
  <c r="O64" i="3"/>
  <c r="AG63" i="3"/>
  <c r="R63" i="3"/>
  <c r="Q63" i="3"/>
  <c r="H63" i="3" s="1"/>
  <c r="P63" i="3"/>
  <c r="O63" i="3"/>
  <c r="AG62" i="3"/>
  <c r="R62" i="3"/>
  <c r="Q62" i="3"/>
  <c r="AH62" i="3" s="1"/>
  <c r="P62" i="3"/>
  <c r="O62" i="3"/>
  <c r="I62" i="3"/>
  <c r="AG61" i="3"/>
  <c r="R61" i="3"/>
  <c r="Q61" i="3"/>
  <c r="AH61" i="3" s="1"/>
  <c r="P61" i="3"/>
  <c r="O61" i="3"/>
  <c r="AG60" i="3"/>
  <c r="R60" i="3"/>
  <c r="Q60" i="3"/>
  <c r="E60" i="3" s="1"/>
  <c r="F60" i="3" s="1"/>
  <c r="P60" i="3"/>
  <c r="O60" i="3"/>
  <c r="AG59" i="3"/>
  <c r="R59" i="3"/>
  <c r="Q59" i="3"/>
  <c r="C59" i="3" s="1"/>
  <c r="D59" i="3" s="1"/>
  <c r="P59" i="3"/>
  <c r="O59" i="3"/>
  <c r="AG58" i="3"/>
  <c r="R58" i="3"/>
  <c r="Q58" i="3"/>
  <c r="E58" i="3" s="1"/>
  <c r="F58" i="3" s="1"/>
  <c r="P58" i="3"/>
  <c r="O58" i="3"/>
  <c r="AG57" i="3"/>
  <c r="R57" i="3"/>
  <c r="Q57" i="3"/>
  <c r="H57" i="3" s="1"/>
  <c r="P57" i="3"/>
  <c r="O57" i="3"/>
  <c r="AG56" i="3"/>
  <c r="R56" i="3"/>
  <c r="Q56" i="3"/>
  <c r="H56" i="3" s="1"/>
  <c r="P56" i="3"/>
  <c r="O56" i="3"/>
  <c r="I56" i="3"/>
  <c r="AG55" i="3"/>
  <c r="R55" i="3"/>
  <c r="Q55" i="3"/>
  <c r="P55" i="3"/>
  <c r="O55" i="3"/>
  <c r="I55" i="3"/>
  <c r="AG54" i="3"/>
  <c r="R54" i="3"/>
  <c r="Q54" i="3"/>
  <c r="AH54" i="3" s="1"/>
  <c r="P54" i="3"/>
  <c r="O54" i="3"/>
  <c r="I54" i="3"/>
  <c r="AG53" i="3"/>
  <c r="R53" i="3"/>
  <c r="Q53" i="3"/>
  <c r="E53" i="3" s="1"/>
  <c r="F53" i="3" s="1"/>
  <c r="P53" i="3"/>
  <c r="O53" i="3"/>
  <c r="I53" i="3"/>
  <c r="AG52" i="3"/>
  <c r="R52" i="3"/>
  <c r="Q52" i="3"/>
  <c r="AH52" i="3" s="1"/>
  <c r="AJ52" i="3" s="1"/>
  <c r="P52" i="3"/>
  <c r="O52" i="3"/>
  <c r="AG51" i="3"/>
  <c r="R51" i="3"/>
  <c r="Q51" i="3"/>
  <c r="P51" i="3"/>
  <c r="O51" i="3"/>
  <c r="I51" i="3"/>
  <c r="AG50" i="3"/>
  <c r="R50" i="3"/>
  <c r="Q50" i="3"/>
  <c r="AH50" i="3" s="1"/>
  <c r="P50" i="3"/>
  <c r="O50" i="3"/>
  <c r="C50" i="3"/>
  <c r="D50" i="3" s="1"/>
  <c r="AG49" i="3"/>
  <c r="R49" i="3"/>
  <c r="Q49" i="3"/>
  <c r="H49" i="3" s="1"/>
  <c r="P49" i="3"/>
  <c r="O49" i="3"/>
  <c r="AG48" i="3"/>
  <c r="R48" i="3"/>
  <c r="Q48" i="3"/>
  <c r="AH48" i="3" s="1"/>
  <c r="P48" i="3"/>
  <c r="O48" i="3"/>
  <c r="AG47" i="3"/>
  <c r="R47" i="3"/>
  <c r="Q47" i="3"/>
  <c r="C47" i="3" s="1"/>
  <c r="D47" i="3" s="1"/>
  <c r="P47" i="3"/>
  <c r="O47" i="3"/>
  <c r="AG46" i="3"/>
  <c r="R46" i="3"/>
  <c r="Q46" i="3"/>
  <c r="C46" i="3" s="1"/>
  <c r="D46" i="3" s="1"/>
  <c r="P46" i="3"/>
  <c r="O46" i="3"/>
  <c r="AG45" i="3"/>
  <c r="R45" i="3"/>
  <c r="Q45" i="3"/>
  <c r="E45" i="3" s="1"/>
  <c r="F45" i="3" s="1"/>
  <c r="P45" i="3"/>
  <c r="O45" i="3"/>
  <c r="AG44" i="3"/>
  <c r="R44" i="3"/>
  <c r="Q44" i="3"/>
  <c r="P44" i="3"/>
  <c r="O44" i="3"/>
  <c r="AG43" i="3"/>
  <c r="R43" i="3"/>
  <c r="Q43" i="3"/>
  <c r="AH43" i="3" s="1"/>
  <c r="P43" i="3"/>
  <c r="O43" i="3"/>
  <c r="AG42" i="3"/>
  <c r="R42" i="3"/>
  <c r="Q42" i="3"/>
  <c r="C42" i="3" s="1"/>
  <c r="D42" i="3" s="1"/>
  <c r="P42" i="3"/>
  <c r="O42" i="3"/>
  <c r="AG41" i="3"/>
  <c r="R41" i="3"/>
  <c r="Q41" i="3"/>
  <c r="C41" i="3" s="1"/>
  <c r="D41" i="3" s="1"/>
  <c r="P41" i="3"/>
  <c r="O41" i="3"/>
  <c r="AG40" i="3"/>
  <c r="R40" i="3"/>
  <c r="Q40" i="3"/>
  <c r="AH40" i="3" s="1"/>
  <c r="P40" i="3"/>
  <c r="O40" i="3"/>
  <c r="AG39" i="3"/>
  <c r="R39" i="3"/>
  <c r="Q39" i="3"/>
  <c r="C39" i="3" s="1"/>
  <c r="D39" i="3" s="1"/>
  <c r="P39" i="3"/>
  <c r="O39" i="3"/>
  <c r="AG38" i="3"/>
  <c r="R38" i="3"/>
  <c r="Q38" i="3"/>
  <c r="C38" i="3" s="1"/>
  <c r="D38" i="3" s="1"/>
  <c r="P38" i="3"/>
  <c r="O38" i="3"/>
  <c r="AG37" i="3"/>
  <c r="R37" i="3"/>
  <c r="Q37" i="3"/>
  <c r="H37" i="3" s="1"/>
  <c r="P37" i="3"/>
  <c r="O37" i="3"/>
  <c r="I37" i="3"/>
  <c r="AG36" i="3"/>
  <c r="R36" i="3"/>
  <c r="Q36" i="3"/>
  <c r="AH36" i="3" s="1"/>
  <c r="P36" i="3"/>
  <c r="O36" i="3"/>
  <c r="AG35" i="3"/>
  <c r="R35" i="3"/>
  <c r="Q35" i="3"/>
  <c r="E35" i="3" s="1"/>
  <c r="F35" i="3" s="1"/>
  <c r="P35" i="3"/>
  <c r="O35" i="3"/>
  <c r="I35" i="3"/>
  <c r="AG34" i="3"/>
  <c r="R34" i="3"/>
  <c r="Q34" i="3"/>
  <c r="H34" i="3" s="1"/>
  <c r="P34" i="3"/>
  <c r="O34" i="3"/>
  <c r="AG33" i="3"/>
  <c r="R33" i="3"/>
  <c r="Q33" i="3"/>
  <c r="AH33" i="3" s="1"/>
  <c r="AJ33" i="3" s="1"/>
  <c r="P33" i="3"/>
  <c r="O33" i="3"/>
  <c r="I33" i="3"/>
  <c r="AG32" i="3"/>
  <c r="R32" i="3"/>
  <c r="Q32" i="3"/>
  <c r="C32" i="3" s="1"/>
  <c r="D32" i="3" s="1"/>
  <c r="P32" i="3"/>
  <c r="O32" i="3"/>
  <c r="AG31" i="3"/>
  <c r="R31" i="3"/>
  <c r="Q31" i="3"/>
  <c r="E31" i="3" s="1"/>
  <c r="F31" i="3" s="1"/>
  <c r="P31" i="3"/>
  <c r="O31" i="3"/>
  <c r="AG30" i="3"/>
  <c r="R30" i="3"/>
  <c r="Q30" i="3"/>
  <c r="H30" i="3" s="1"/>
  <c r="P30" i="3"/>
  <c r="O30" i="3"/>
  <c r="AG29" i="3"/>
  <c r="R29" i="3"/>
  <c r="Q29" i="3"/>
  <c r="P29" i="3"/>
  <c r="O29" i="3"/>
  <c r="AG28" i="3"/>
  <c r="R28" i="3"/>
  <c r="Q28" i="3"/>
  <c r="C28" i="3" s="1"/>
  <c r="D28" i="3" s="1"/>
  <c r="P28" i="3"/>
  <c r="O28" i="3"/>
  <c r="H28" i="3"/>
  <c r="AG27" i="3"/>
  <c r="R27" i="3"/>
  <c r="Q27" i="3"/>
  <c r="H27" i="3" s="1"/>
  <c r="P27" i="3"/>
  <c r="O27" i="3"/>
  <c r="AG26" i="3"/>
  <c r="R26" i="3"/>
  <c r="Q26" i="3"/>
  <c r="P26" i="3"/>
  <c r="O26" i="3"/>
  <c r="AG25" i="3"/>
  <c r="R25" i="3"/>
  <c r="Q25" i="3"/>
  <c r="C25" i="3" s="1"/>
  <c r="D25" i="3" s="1"/>
  <c r="P25" i="3"/>
  <c r="O25" i="3"/>
  <c r="AG24" i="3"/>
  <c r="R24" i="3"/>
  <c r="Q24" i="3"/>
  <c r="C24" i="3" s="1"/>
  <c r="D24" i="3" s="1"/>
  <c r="P24" i="3"/>
  <c r="O24" i="3"/>
  <c r="AG23" i="3"/>
  <c r="R23" i="3"/>
  <c r="Q23" i="3"/>
  <c r="E23" i="3" s="1"/>
  <c r="F23" i="3" s="1"/>
  <c r="P23" i="3"/>
  <c r="O23" i="3"/>
  <c r="AG22" i="3"/>
  <c r="R22" i="3"/>
  <c r="Q22" i="3"/>
  <c r="H22" i="3" s="1"/>
  <c r="P22" i="3"/>
  <c r="O22" i="3"/>
  <c r="AG21" i="3"/>
  <c r="R21" i="3"/>
  <c r="Q21" i="3"/>
  <c r="P21" i="3"/>
  <c r="O21" i="3"/>
  <c r="AG20" i="3"/>
  <c r="R20" i="3"/>
  <c r="Q20" i="3"/>
  <c r="P20" i="3"/>
  <c r="O20" i="3"/>
  <c r="AG19" i="3"/>
  <c r="R19" i="3"/>
  <c r="Q19" i="3"/>
  <c r="AH19" i="3" s="1"/>
  <c r="P19" i="3"/>
  <c r="O19" i="3"/>
  <c r="AG18" i="3"/>
  <c r="R18" i="3"/>
  <c r="Q18" i="3"/>
  <c r="E18" i="3" s="1"/>
  <c r="F18" i="3" s="1"/>
  <c r="P18" i="3"/>
  <c r="O18" i="3"/>
  <c r="I18" i="3"/>
  <c r="AG17" i="3"/>
  <c r="R17" i="3"/>
  <c r="Q17" i="3"/>
  <c r="E17" i="3" s="1"/>
  <c r="F17" i="3" s="1"/>
  <c r="P17" i="3"/>
  <c r="O17" i="3"/>
  <c r="I17" i="3"/>
  <c r="AG16" i="3"/>
  <c r="R16" i="3"/>
  <c r="Q16" i="3"/>
  <c r="E16" i="3" s="1"/>
  <c r="F16" i="3" s="1"/>
  <c r="P16" i="3"/>
  <c r="O16" i="3"/>
  <c r="AG15" i="3"/>
  <c r="R15" i="3"/>
  <c r="Q15" i="3"/>
  <c r="E15" i="3" s="1"/>
  <c r="F15" i="3" s="1"/>
  <c r="P15" i="3"/>
  <c r="O15" i="3"/>
  <c r="AG14" i="3"/>
  <c r="R14" i="3"/>
  <c r="Q14" i="3"/>
  <c r="AH14" i="3" s="1"/>
  <c r="AL14" i="3" s="1"/>
  <c r="P14" i="3"/>
  <c r="O14" i="3"/>
  <c r="C14" i="3"/>
  <c r="D14" i="3" s="1"/>
  <c r="AG13" i="3"/>
  <c r="R13" i="3"/>
  <c r="Q13" i="3"/>
  <c r="AH13" i="3" s="1"/>
  <c r="P13" i="3"/>
  <c r="O13" i="3"/>
  <c r="I13" i="3"/>
  <c r="AG12" i="3"/>
  <c r="R12" i="3"/>
  <c r="Q12" i="3"/>
  <c r="AH12" i="3" s="1"/>
  <c r="P12" i="3"/>
  <c r="O12" i="3"/>
  <c r="AG11" i="3"/>
  <c r="R11" i="3"/>
  <c r="Q11" i="3"/>
  <c r="C11" i="3" s="1"/>
  <c r="D11" i="3" s="1"/>
  <c r="P11" i="3"/>
  <c r="O11" i="3"/>
  <c r="AG10" i="3"/>
  <c r="R10" i="3"/>
  <c r="Q10" i="3"/>
  <c r="C10" i="3" s="1"/>
  <c r="D10" i="3" s="1"/>
  <c r="P10" i="3"/>
  <c r="O10" i="3"/>
  <c r="AG9" i="3"/>
  <c r="R9" i="3"/>
  <c r="Q9" i="3"/>
  <c r="C9" i="3" s="1"/>
  <c r="D9" i="3" s="1"/>
  <c r="P9" i="3"/>
  <c r="O9" i="3"/>
  <c r="AG8" i="3"/>
  <c r="R8" i="3"/>
  <c r="Q8" i="3"/>
  <c r="E8" i="3" s="1"/>
  <c r="F8" i="3" s="1"/>
  <c r="P8" i="3"/>
  <c r="O8" i="3"/>
  <c r="AG7" i="3"/>
  <c r="R7" i="3"/>
  <c r="Q7" i="3"/>
  <c r="H7" i="3" s="1"/>
  <c r="P7" i="3"/>
  <c r="O7" i="3"/>
  <c r="E14" i="3" l="1"/>
  <c r="F14" i="3" s="1"/>
  <c r="H162" i="3"/>
  <c r="AH413" i="3"/>
  <c r="AJ413" i="3" s="1"/>
  <c r="E413" i="3"/>
  <c r="F413" i="3" s="1"/>
  <c r="C152" i="3"/>
  <c r="D152" i="3" s="1"/>
  <c r="C315" i="3"/>
  <c r="D315" i="3" s="1"/>
  <c r="H454" i="3"/>
  <c r="E454" i="3"/>
  <c r="F454" i="3" s="1"/>
  <c r="H692" i="3"/>
  <c r="C768" i="3"/>
  <c r="D768" i="3" s="1"/>
  <c r="E1095" i="3"/>
  <c r="F1095" i="3" s="1"/>
  <c r="H1106" i="3"/>
  <c r="AH1483" i="3"/>
  <c r="C1483" i="3"/>
  <c r="D1483" i="3" s="1"/>
  <c r="H1212" i="3"/>
  <c r="H2020" i="3"/>
  <c r="E1939" i="3"/>
  <c r="F1939" i="3" s="1"/>
  <c r="AH272" i="3"/>
  <c r="C272" i="3"/>
  <c r="D272" i="3" s="1"/>
  <c r="H1760" i="3"/>
  <c r="E1760" i="3"/>
  <c r="F1760" i="3" s="1"/>
  <c r="E64" i="3"/>
  <c r="F64" i="3" s="1"/>
  <c r="H64" i="3"/>
  <c r="AH2105" i="3"/>
  <c r="H2105" i="3"/>
  <c r="E1869" i="3"/>
  <c r="F1869" i="3" s="1"/>
  <c r="H1869" i="3"/>
  <c r="C412" i="3"/>
  <c r="D412" i="3" s="1"/>
  <c r="E412" i="3"/>
  <c r="F412" i="3" s="1"/>
  <c r="AH1081" i="3"/>
  <c r="AL1081" i="3" s="1"/>
  <c r="H1081" i="3"/>
  <c r="AH1308" i="3"/>
  <c r="C1308" i="3"/>
  <c r="D1308" i="3" s="1"/>
  <c r="AH2223" i="3"/>
  <c r="H2223" i="3"/>
  <c r="E2223" i="3"/>
  <c r="F2223" i="3" s="1"/>
  <c r="C2223" i="3"/>
  <c r="D2223" i="3" s="1"/>
  <c r="E150" i="3"/>
  <c r="F150" i="3" s="1"/>
  <c r="C150" i="3"/>
  <c r="D150" i="3" s="1"/>
  <c r="E191" i="3"/>
  <c r="F191" i="3" s="1"/>
  <c r="C191" i="3"/>
  <c r="D191" i="3" s="1"/>
  <c r="AH1857" i="3"/>
  <c r="E1857" i="3"/>
  <c r="F1857" i="3" s="1"/>
  <c r="C320" i="3"/>
  <c r="D320" i="3" s="1"/>
  <c r="E355" i="3"/>
  <c r="F355" i="3" s="1"/>
  <c r="E579" i="3"/>
  <c r="F579" i="3" s="1"/>
  <c r="C844" i="3"/>
  <c r="D844" i="3" s="1"/>
  <c r="H1073" i="3"/>
  <c r="AH1808" i="3"/>
  <c r="AL1808" i="3" s="1"/>
  <c r="E1808" i="3"/>
  <c r="F1808" i="3" s="1"/>
  <c r="C542" i="3"/>
  <c r="D542" i="3" s="1"/>
  <c r="H637" i="3"/>
  <c r="H1840" i="3"/>
  <c r="AH1840" i="3"/>
  <c r="AJ1840" i="3" s="1"/>
  <c r="AH1022" i="3"/>
  <c r="AL1022" i="3" s="1"/>
  <c r="AH1706" i="3"/>
  <c r="C45" i="3"/>
  <c r="D45" i="3" s="1"/>
  <c r="H732" i="3"/>
  <c r="E1069" i="3"/>
  <c r="F1069" i="3" s="1"/>
  <c r="E1706" i="3"/>
  <c r="F1706" i="3" s="1"/>
  <c r="H45" i="3"/>
  <c r="H1706" i="3"/>
  <c r="C326" i="3"/>
  <c r="D326" i="3" s="1"/>
  <c r="C614" i="3"/>
  <c r="D614" i="3" s="1"/>
  <c r="C684" i="3"/>
  <c r="D684" i="3" s="1"/>
  <c r="C905" i="3"/>
  <c r="D905" i="3" s="1"/>
  <c r="E1618" i="3"/>
  <c r="F1618" i="3" s="1"/>
  <c r="H261" i="3"/>
  <c r="E326" i="3"/>
  <c r="F326" i="3" s="1"/>
  <c r="AH454" i="3"/>
  <c r="AJ454" i="3" s="1"/>
  <c r="C481" i="3"/>
  <c r="D481" i="3" s="1"/>
  <c r="E684" i="3"/>
  <c r="F684" i="3" s="1"/>
  <c r="E721" i="3"/>
  <c r="F721" i="3" s="1"/>
  <c r="H1061" i="3"/>
  <c r="C1358" i="3"/>
  <c r="D1358" i="3" s="1"/>
  <c r="C454" i="3"/>
  <c r="D454" i="3" s="1"/>
  <c r="H721" i="3"/>
  <c r="H793" i="3"/>
  <c r="AJ1130" i="3"/>
  <c r="C1552" i="3"/>
  <c r="D1552" i="3" s="1"/>
  <c r="AH64" i="3"/>
  <c r="AL64" i="3" s="1"/>
  <c r="E75" i="3"/>
  <c r="F75" i="3" s="1"/>
  <c r="E264" i="3"/>
  <c r="F264" i="3" s="1"/>
  <c r="H273" i="3"/>
  <c r="C281" i="3"/>
  <c r="D281" i="3" s="1"/>
  <c r="C343" i="3"/>
  <c r="D343" i="3" s="1"/>
  <c r="E348" i="3"/>
  <c r="F348" i="3" s="1"/>
  <c r="H486" i="3"/>
  <c r="E539" i="3"/>
  <c r="F539" i="3" s="1"/>
  <c r="C733" i="3"/>
  <c r="D733" i="3" s="1"/>
  <c r="H749" i="3"/>
  <c r="E790" i="3"/>
  <c r="F790" i="3" s="1"/>
  <c r="E1042" i="3"/>
  <c r="F1042" i="3" s="1"/>
  <c r="H1067" i="3"/>
  <c r="E1248" i="3"/>
  <c r="F1248" i="3" s="1"/>
  <c r="AH1309" i="3"/>
  <c r="AL1309" i="3" s="1"/>
  <c r="H1339" i="3"/>
  <c r="C1452" i="3"/>
  <c r="D1452" i="3" s="1"/>
  <c r="C2152" i="3"/>
  <c r="D2152" i="3" s="1"/>
  <c r="H2216" i="3"/>
  <c r="C2249" i="3"/>
  <c r="D2249" i="3" s="1"/>
  <c r="AL2255" i="3"/>
  <c r="C121" i="3"/>
  <c r="D121" i="3" s="1"/>
  <c r="H264" i="3"/>
  <c r="E343" i="3"/>
  <c r="F343" i="3" s="1"/>
  <c r="C347" i="3"/>
  <c r="D347" i="3" s="1"/>
  <c r="H539" i="3"/>
  <c r="E736" i="3"/>
  <c r="F736" i="3" s="1"/>
  <c r="E793" i="3"/>
  <c r="F793" i="3" s="1"/>
  <c r="E921" i="3"/>
  <c r="F921" i="3" s="1"/>
  <c r="C1426" i="3"/>
  <c r="D1426" i="3" s="1"/>
  <c r="E1452" i="3"/>
  <c r="F1452" i="3" s="1"/>
  <c r="H1789" i="3"/>
  <c r="C1878" i="3"/>
  <c r="D1878" i="3" s="1"/>
  <c r="H1889" i="3"/>
  <c r="H2107" i="3"/>
  <c r="H2132" i="3"/>
  <c r="C2061" i="3"/>
  <c r="D2061" i="3" s="1"/>
  <c r="AH507" i="3"/>
  <c r="AJ507" i="3" s="1"/>
  <c r="E1358" i="3"/>
  <c r="F1358" i="3" s="1"/>
  <c r="H145" i="3"/>
  <c r="H152" i="3"/>
  <c r="C169" i="3"/>
  <c r="D169" i="3" s="1"/>
  <c r="C202" i="3"/>
  <c r="D202" i="3" s="1"/>
  <c r="C319" i="3"/>
  <c r="D319" i="3" s="1"/>
  <c r="H320" i="3"/>
  <c r="E372" i="3"/>
  <c r="F372" i="3" s="1"/>
  <c r="C606" i="3"/>
  <c r="D606" i="3" s="1"/>
  <c r="AH1014" i="3"/>
  <c r="AL1014" i="3" s="1"/>
  <c r="C1357" i="3"/>
  <c r="D1357" i="3" s="1"/>
  <c r="C1620" i="3"/>
  <c r="D1620" i="3" s="1"/>
  <c r="C1665" i="3"/>
  <c r="D1665" i="3" s="1"/>
  <c r="E1957" i="3"/>
  <c r="F1957" i="3" s="1"/>
  <c r="C2059" i="3"/>
  <c r="D2059" i="3" s="1"/>
  <c r="E152" i="3"/>
  <c r="F152" i="3" s="1"/>
  <c r="E114" i="3"/>
  <c r="F114" i="3" s="1"/>
  <c r="H118" i="3"/>
  <c r="AH140" i="3"/>
  <c r="AL140" i="3" s="1"/>
  <c r="C423" i="3"/>
  <c r="D423" i="3" s="1"/>
  <c r="H760" i="3"/>
  <c r="E1007" i="3"/>
  <c r="F1007" i="3" s="1"/>
  <c r="E1665" i="3"/>
  <c r="F1665" i="3" s="1"/>
  <c r="C2129" i="3"/>
  <c r="D2129" i="3" s="1"/>
  <c r="C127" i="3"/>
  <c r="D127" i="3" s="1"/>
  <c r="E202" i="3"/>
  <c r="F202" i="3" s="1"/>
  <c r="H388" i="3"/>
  <c r="AH529" i="3"/>
  <c r="C540" i="3"/>
  <c r="D540" i="3" s="1"/>
  <c r="E931" i="3"/>
  <c r="F931" i="3" s="1"/>
  <c r="E999" i="3"/>
  <c r="F999" i="3" s="1"/>
  <c r="C1072" i="3"/>
  <c r="D1072" i="3" s="1"/>
  <c r="E161" i="3"/>
  <c r="F161" i="3" s="1"/>
  <c r="C201" i="3"/>
  <c r="D201" i="3" s="1"/>
  <c r="C348" i="3"/>
  <c r="D348" i="3" s="1"/>
  <c r="C539" i="3"/>
  <c r="D539" i="3" s="1"/>
  <c r="H677" i="3"/>
  <c r="C749" i="3"/>
  <c r="D749" i="3" s="1"/>
  <c r="H830" i="3"/>
  <c r="E1003" i="3"/>
  <c r="F1003" i="3" s="1"/>
  <c r="H1059" i="3"/>
  <c r="E1067" i="3"/>
  <c r="F1067" i="3" s="1"/>
  <c r="C1753" i="3"/>
  <c r="D1753" i="3" s="1"/>
  <c r="AH1966" i="3"/>
  <c r="AL2132" i="3"/>
  <c r="AN882" i="4"/>
  <c r="AM882" i="4"/>
  <c r="AH1602" i="3"/>
  <c r="AH1965" i="3"/>
  <c r="AL1965" i="3" s="1"/>
  <c r="C239" i="3"/>
  <c r="D239" i="3" s="1"/>
  <c r="AH1261" i="3"/>
  <c r="AL1261" i="3" s="1"/>
  <c r="AH1631" i="3"/>
  <c r="AH53" i="3"/>
  <c r="AL53" i="3" s="1"/>
  <c r="E314" i="3"/>
  <c r="F314" i="3" s="1"/>
  <c r="E394" i="3"/>
  <c r="F394" i="3" s="1"/>
  <c r="E886" i="3"/>
  <c r="F886" i="3" s="1"/>
  <c r="AH1141" i="3"/>
  <c r="AJ1141" i="3" s="1"/>
  <c r="AH1225" i="3"/>
  <c r="AL1225" i="3" s="1"/>
  <c r="E1610" i="3"/>
  <c r="F1610" i="3" s="1"/>
  <c r="C1731" i="3"/>
  <c r="D1731" i="3" s="1"/>
  <c r="AJ2121" i="3"/>
  <c r="E2258" i="3"/>
  <c r="F2258" i="3" s="1"/>
  <c r="E96" i="3"/>
  <c r="F96" i="3" s="1"/>
  <c r="C299" i="3"/>
  <c r="D299" i="3" s="1"/>
  <c r="H313" i="3"/>
  <c r="H394" i="3"/>
  <c r="E480" i="3"/>
  <c r="F480" i="3" s="1"/>
  <c r="H1128" i="3"/>
  <c r="C1396" i="3"/>
  <c r="D1396" i="3" s="1"/>
  <c r="E1531" i="3"/>
  <c r="F1531" i="3" s="1"/>
  <c r="E1617" i="3"/>
  <c r="F1617" i="3" s="1"/>
  <c r="H1726" i="3"/>
  <c r="C1820" i="3"/>
  <c r="D1820" i="3" s="1"/>
  <c r="C1942" i="3"/>
  <c r="D1942" i="3" s="1"/>
  <c r="C1988" i="3"/>
  <c r="D1988" i="3" s="1"/>
  <c r="E2014" i="3"/>
  <c r="F2014" i="3" s="1"/>
  <c r="E2121" i="3"/>
  <c r="F2121" i="3" s="1"/>
  <c r="C2122" i="3"/>
  <c r="D2122" i="3" s="1"/>
  <c r="AH2177" i="3"/>
  <c r="H52" i="3"/>
  <c r="C100" i="3"/>
  <c r="D100" i="3" s="1"/>
  <c r="C213" i="3"/>
  <c r="D213" i="3" s="1"/>
  <c r="C464" i="3"/>
  <c r="D464" i="3" s="1"/>
  <c r="C484" i="3"/>
  <c r="D484" i="3" s="1"/>
  <c r="C543" i="3"/>
  <c r="D543" i="3" s="1"/>
  <c r="C784" i="3"/>
  <c r="D784" i="3" s="1"/>
  <c r="AH956" i="3"/>
  <c r="AL956" i="3" s="1"/>
  <c r="C1141" i="3"/>
  <c r="D1141" i="3" s="1"/>
  <c r="C1171" i="3"/>
  <c r="D1171" i="3" s="1"/>
  <c r="C1342" i="3"/>
  <c r="D1342" i="3" s="1"/>
  <c r="C1609" i="3"/>
  <c r="D1609" i="3" s="1"/>
  <c r="H2062" i="3"/>
  <c r="H2121" i="3"/>
  <c r="AH2256" i="3"/>
  <c r="E2277" i="3"/>
  <c r="F2277" i="3" s="1"/>
  <c r="AL239" i="3"/>
  <c r="AJ314" i="3"/>
  <c r="C314" i="3"/>
  <c r="D314" i="3" s="1"/>
  <c r="C394" i="3"/>
  <c r="D394" i="3" s="1"/>
  <c r="AJ394" i="3"/>
  <c r="C1822" i="3"/>
  <c r="D1822" i="3" s="1"/>
  <c r="H238" i="3"/>
  <c r="H239" i="3"/>
  <c r="AH389" i="3"/>
  <c r="AL389" i="3" s="1"/>
  <c r="C1602" i="3"/>
  <c r="D1602" i="3" s="1"/>
  <c r="E29" i="3"/>
  <c r="F29" i="3" s="1"/>
  <c r="H464" i="3"/>
  <c r="H479" i="3"/>
  <c r="E677" i="3"/>
  <c r="F677" i="3" s="1"/>
  <c r="C1016" i="3"/>
  <c r="D1016" i="3" s="1"/>
  <c r="AH1100" i="3"/>
  <c r="AJ1100" i="3" s="1"/>
  <c r="AH1131" i="3"/>
  <c r="AJ1131" i="3" s="1"/>
  <c r="E1283" i="3"/>
  <c r="F1283" i="3" s="1"/>
  <c r="AH1340" i="3"/>
  <c r="AL1340" i="3" s="1"/>
  <c r="E1342" i="3"/>
  <c r="F1342" i="3" s="1"/>
  <c r="E1555" i="3"/>
  <c r="F1555" i="3" s="1"/>
  <c r="C1683" i="3"/>
  <c r="D1683" i="3" s="1"/>
  <c r="AH1810" i="3"/>
  <c r="AL1810" i="3" s="1"/>
  <c r="AH260" i="3"/>
  <c r="H260" i="3"/>
  <c r="AH224" i="3"/>
  <c r="AL224" i="3" s="1"/>
  <c r="AH1048" i="3"/>
  <c r="AL1048" i="3" s="1"/>
  <c r="E1186" i="3"/>
  <c r="F1186" i="3" s="1"/>
  <c r="H1186" i="3"/>
  <c r="AH103" i="3"/>
  <c r="C103" i="3"/>
  <c r="D103" i="3" s="1"/>
  <c r="H111" i="3"/>
  <c r="C186" i="3"/>
  <c r="D186" i="3" s="1"/>
  <c r="H287" i="3"/>
  <c r="C292" i="3"/>
  <c r="D292" i="3" s="1"/>
  <c r="E425" i="3"/>
  <c r="F425" i="3" s="1"/>
  <c r="AH449" i="3"/>
  <c r="AL449" i="3" s="1"/>
  <c r="E449" i="3"/>
  <c r="F449" i="3" s="1"/>
  <c r="E574" i="3"/>
  <c r="F574" i="3" s="1"/>
  <c r="C711" i="3"/>
  <c r="D711" i="3" s="1"/>
  <c r="H747" i="3"/>
  <c r="AH757" i="3"/>
  <c r="C1077" i="3"/>
  <c r="D1077" i="3" s="1"/>
  <c r="H1107" i="3"/>
  <c r="E1515" i="3"/>
  <c r="F1515" i="3" s="1"/>
  <c r="AH1515" i="3"/>
  <c r="C1530" i="3"/>
  <c r="D1530" i="3" s="1"/>
  <c r="C1600" i="3"/>
  <c r="D1600" i="3" s="1"/>
  <c r="H1631" i="3"/>
  <c r="E1631" i="3"/>
  <c r="F1631" i="3" s="1"/>
  <c r="C1808" i="3"/>
  <c r="D1808" i="3" s="1"/>
  <c r="C1939" i="3"/>
  <c r="D1939" i="3" s="1"/>
  <c r="E1949" i="3"/>
  <c r="F1949" i="3" s="1"/>
  <c r="AH2026" i="3"/>
  <c r="AL2026" i="3" s="1"/>
  <c r="H2072" i="3"/>
  <c r="H1586" i="3"/>
  <c r="C1586" i="3"/>
  <c r="D1586" i="3" s="1"/>
  <c r="H308" i="3"/>
  <c r="C308" i="3"/>
  <c r="D308" i="3" s="1"/>
  <c r="E542" i="3"/>
  <c r="F542" i="3" s="1"/>
  <c r="E599" i="3"/>
  <c r="F599" i="3" s="1"/>
  <c r="H684" i="3"/>
  <c r="E746" i="3"/>
  <c r="F746" i="3" s="1"/>
  <c r="E767" i="3"/>
  <c r="F767" i="3" s="1"/>
  <c r="C771" i="3"/>
  <c r="D771" i="3" s="1"/>
  <c r="AH795" i="3"/>
  <c r="H795" i="3"/>
  <c r="C841" i="3"/>
  <c r="D841" i="3" s="1"/>
  <c r="C846" i="3"/>
  <c r="D846" i="3" s="1"/>
  <c r="E846" i="3"/>
  <c r="F846" i="3" s="1"/>
  <c r="H944" i="3"/>
  <c r="H1007" i="3"/>
  <c r="E1011" i="3"/>
  <c r="F1011" i="3" s="1"/>
  <c r="H1041" i="3"/>
  <c r="AH1070" i="3"/>
  <c r="AL1070" i="3" s="1"/>
  <c r="H1070" i="3"/>
  <c r="AJ1077" i="3"/>
  <c r="AL1077" i="3"/>
  <c r="C1433" i="3"/>
  <c r="D1433" i="3" s="1"/>
  <c r="H1611" i="3"/>
  <c r="E1619" i="3"/>
  <c r="F1619" i="3" s="1"/>
  <c r="H1756" i="3"/>
  <c r="C1782" i="3"/>
  <c r="D1782" i="3" s="1"/>
  <c r="H1786" i="3"/>
  <c r="E2012" i="3"/>
  <c r="F2012" i="3" s="1"/>
  <c r="AJ443" i="3"/>
  <c r="AL443" i="3"/>
  <c r="H290" i="3"/>
  <c r="AH291" i="3"/>
  <c r="AJ291" i="3" s="1"/>
  <c r="E291" i="3"/>
  <c r="F291" i="3" s="1"/>
  <c r="E389" i="3"/>
  <c r="F389" i="3" s="1"/>
  <c r="H423" i="3"/>
  <c r="C541" i="3"/>
  <c r="D541" i="3" s="1"/>
  <c r="AH775" i="3"/>
  <c r="E775" i="3"/>
  <c r="F775" i="3" s="1"/>
  <c r="C1034" i="3"/>
  <c r="D1034" i="3" s="1"/>
  <c r="H1034" i="3"/>
  <c r="E1344" i="3"/>
  <c r="F1344" i="3" s="1"/>
  <c r="C1344" i="3"/>
  <c r="D1344" i="3" s="1"/>
  <c r="C1393" i="3"/>
  <c r="D1393" i="3" s="1"/>
  <c r="E1412" i="3"/>
  <c r="F1412" i="3" s="1"/>
  <c r="C1425" i="3"/>
  <c r="D1425" i="3" s="1"/>
  <c r="E1554" i="3"/>
  <c r="F1554" i="3" s="1"/>
  <c r="AH710" i="3"/>
  <c r="C710" i="3"/>
  <c r="D710" i="3" s="1"/>
  <c r="AH1033" i="3"/>
  <c r="E1033" i="3"/>
  <c r="F1033" i="3" s="1"/>
  <c r="C1413" i="3"/>
  <c r="D1413" i="3" s="1"/>
  <c r="AH1413" i="3"/>
  <c r="AJ1413" i="3" s="1"/>
  <c r="C1529" i="3"/>
  <c r="D1529" i="3" s="1"/>
  <c r="E1529" i="3"/>
  <c r="F1529" i="3" s="1"/>
  <c r="E1718" i="3"/>
  <c r="F1718" i="3" s="1"/>
  <c r="C1750" i="3"/>
  <c r="D1750" i="3" s="1"/>
  <c r="H1781" i="3"/>
  <c r="E94" i="3"/>
  <c r="F94" i="3" s="1"/>
  <c r="C94" i="3"/>
  <c r="D94" i="3" s="1"/>
  <c r="AH1190" i="3"/>
  <c r="C1190" i="3"/>
  <c r="D1190" i="3" s="1"/>
  <c r="AH1586" i="3"/>
  <c r="AH527" i="3"/>
  <c r="C527" i="3"/>
  <c r="D527" i="3" s="1"/>
  <c r="C783" i="3"/>
  <c r="D783" i="3" s="1"/>
  <c r="AH1386" i="3"/>
  <c r="H1512" i="3"/>
  <c r="E1512" i="3"/>
  <c r="F1512" i="3" s="1"/>
  <c r="AH618" i="3"/>
  <c r="H618" i="3"/>
  <c r="AH94" i="3"/>
  <c r="AL94" i="3" s="1"/>
  <c r="AH1032" i="3"/>
  <c r="E1032" i="3"/>
  <c r="F1032" i="3" s="1"/>
  <c r="H1528" i="3"/>
  <c r="AH1528" i="3"/>
  <c r="C180" i="3"/>
  <c r="D180" i="3" s="1"/>
  <c r="E180" i="3"/>
  <c r="F180" i="3" s="1"/>
  <c r="AL1041" i="3"/>
  <c r="AJ1041" i="3"/>
  <c r="AJ374" i="3"/>
  <c r="AH1572" i="3"/>
  <c r="C154" i="3"/>
  <c r="D154" i="3" s="1"/>
  <c r="C225" i="3"/>
  <c r="D225" i="3" s="1"/>
  <c r="C374" i="3"/>
  <c r="D374" i="3" s="1"/>
  <c r="E496" i="3"/>
  <c r="F496" i="3" s="1"/>
  <c r="E783" i="3"/>
  <c r="F783" i="3" s="1"/>
  <c r="AH783" i="3"/>
  <c r="H980" i="3"/>
  <c r="E1048" i="3"/>
  <c r="F1048" i="3" s="1"/>
  <c r="AH1319" i="3"/>
  <c r="C1354" i="3"/>
  <c r="D1354" i="3" s="1"/>
  <c r="C1506" i="3"/>
  <c r="D1506" i="3" s="1"/>
  <c r="AH1522" i="3"/>
  <c r="AL1522" i="3" s="1"/>
  <c r="E1913" i="3"/>
  <c r="F1913" i="3" s="1"/>
  <c r="H1913" i="3"/>
  <c r="AH1975" i="3"/>
  <c r="C40" i="3"/>
  <c r="D40" i="3" s="1"/>
  <c r="C90" i="3"/>
  <c r="D90" i="3" s="1"/>
  <c r="E115" i="3"/>
  <c r="F115" i="3" s="1"/>
  <c r="H154" i="3"/>
  <c r="C165" i="3"/>
  <c r="D165" i="3" s="1"/>
  <c r="H246" i="3"/>
  <c r="AH296" i="3"/>
  <c r="AL296" i="3" s="1"/>
  <c r="H354" i="3"/>
  <c r="E374" i="3"/>
  <c r="F374" i="3" s="1"/>
  <c r="E444" i="3"/>
  <c r="F444" i="3" s="1"/>
  <c r="AH492" i="3"/>
  <c r="AJ492" i="3" s="1"/>
  <c r="C492" i="3"/>
  <c r="D492" i="3" s="1"/>
  <c r="H496" i="3"/>
  <c r="C660" i="3"/>
  <c r="D660" i="3" s="1"/>
  <c r="E664" i="3"/>
  <c r="F664" i="3" s="1"/>
  <c r="H782" i="3"/>
  <c r="AH846" i="3"/>
  <c r="E975" i="3"/>
  <c r="F975" i="3" s="1"/>
  <c r="AH993" i="3"/>
  <c r="AJ993" i="3" s="1"/>
  <c r="C993" i="3"/>
  <c r="D993" i="3" s="1"/>
  <c r="AH1031" i="3"/>
  <c r="E1031" i="3"/>
  <c r="F1031" i="3" s="1"/>
  <c r="H1048" i="3"/>
  <c r="AH1126" i="3"/>
  <c r="AL1126" i="3" s="1"/>
  <c r="H1126" i="3"/>
  <c r="C1184" i="3"/>
  <c r="D1184" i="3" s="1"/>
  <c r="E1354" i="3"/>
  <c r="F1354" i="3" s="1"/>
  <c r="AJ1354" i="3"/>
  <c r="AL1355" i="3"/>
  <c r="E1475" i="3"/>
  <c r="F1475" i="3" s="1"/>
  <c r="H1475" i="3"/>
  <c r="E1506" i="3"/>
  <c r="F1506" i="3" s="1"/>
  <c r="AH1766" i="3"/>
  <c r="AL1766" i="3" s="1"/>
  <c r="AH1813" i="3"/>
  <c r="AL1813" i="3" s="1"/>
  <c r="H1860" i="3"/>
  <c r="C1860" i="3"/>
  <c r="D1860" i="3" s="1"/>
  <c r="H2083" i="3"/>
  <c r="E2179" i="3"/>
  <c r="F2179" i="3" s="1"/>
  <c r="AJ2191" i="3"/>
  <c r="AL2191" i="3"/>
  <c r="H94" i="3"/>
  <c r="E194" i="3"/>
  <c r="F194" i="3" s="1"/>
  <c r="E213" i="3"/>
  <c r="F213" i="3" s="1"/>
  <c r="AH213" i="3"/>
  <c r="AL213" i="3" s="1"/>
  <c r="H396" i="3"/>
  <c r="C443" i="3"/>
  <c r="D443" i="3" s="1"/>
  <c r="H444" i="3"/>
  <c r="AH523" i="3"/>
  <c r="E523" i="3"/>
  <c r="F523" i="3" s="1"/>
  <c r="E686" i="3"/>
  <c r="F686" i="3" s="1"/>
  <c r="H979" i="3"/>
  <c r="AH1003" i="3"/>
  <c r="AL1003" i="3" s="1"/>
  <c r="H1354" i="3"/>
  <c r="C1355" i="3"/>
  <c r="D1355" i="3" s="1"/>
  <c r="H1474" i="3"/>
  <c r="H1488" i="3"/>
  <c r="H1809" i="3"/>
  <c r="C1911" i="3"/>
  <c r="D1911" i="3" s="1"/>
  <c r="E1975" i="3"/>
  <c r="F1975" i="3" s="1"/>
  <c r="C2290" i="3"/>
  <c r="D2290" i="3" s="1"/>
  <c r="C2272" i="3"/>
  <c r="D2272" i="3" s="1"/>
  <c r="E2272" i="3"/>
  <c r="F2272" i="3" s="1"/>
  <c r="C2271" i="3"/>
  <c r="D2271" i="3" s="1"/>
  <c r="AH436" i="3"/>
  <c r="H436" i="3"/>
  <c r="H1117" i="3"/>
  <c r="E1117" i="3"/>
  <c r="F1117" i="3" s="1"/>
  <c r="C1117" i="3"/>
  <c r="D1117" i="3" s="1"/>
  <c r="AH1117" i="3"/>
  <c r="AL1117" i="3" s="1"/>
  <c r="AH2126" i="3"/>
  <c r="C2126" i="3"/>
  <c r="D2126" i="3" s="1"/>
  <c r="E857" i="3"/>
  <c r="F857" i="3" s="1"/>
  <c r="H857" i="3"/>
  <c r="AH1232" i="3"/>
  <c r="AJ1232" i="3" s="1"/>
  <c r="C1232" i="3"/>
  <c r="D1232" i="3" s="1"/>
  <c r="H1630" i="3"/>
  <c r="C1630" i="3"/>
  <c r="D1630" i="3" s="1"/>
  <c r="H1761" i="3"/>
  <c r="C1761" i="3"/>
  <c r="D1761" i="3" s="1"/>
  <c r="H2213" i="3"/>
  <c r="E2213" i="3"/>
  <c r="F2213" i="3" s="1"/>
  <c r="C2213" i="3"/>
  <c r="D2213" i="3" s="1"/>
  <c r="AH2213" i="3"/>
  <c r="AJ2213" i="3" s="1"/>
  <c r="AH2227" i="3"/>
  <c r="H2227" i="3"/>
  <c r="E2227" i="3"/>
  <c r="F2227" i="3" s="1"/>
  <c r="H123" i="3"/>
  <c r="C200" i="3"/>
  <c r="D200" i="3" s="1"/>
  <c r="H200" i="3"/>
  <c r="H299" i="3"/>
  <c r="AH340" i="3"/>
  <c r="H340" i="3"/>
  <c r="E340" i="3"/>
  <c r="F340" i="3" s="1"/>
  <c r="AH421" i="3"/>
  <c r="AJ421" i="3" s="1"/>
  <c r="E421" i="3"/>
  <c r="F421" i="3" s="1"/>
  <c r="E541" i="3"/>
  <c r="F541" i="3" s="1"/>
  <c r="H665" i="3"/>
  <c r="C665" i="3"/>
  <c r="D665" i="3" s="1"/>
  <c r="H678" i="3"/>
  <c r="AH678" i="3"/>
  <c r="AH682" i="3"/>
  <c r="E682" i="3"/>
  <c r="F682" i="3" s="1"/>
  <c r="C682" i="3"/>
  <c r="D682" i="3" s="1"/>
  <c r="AH741" i="3"/>
  <c r="E741" i="3"/>
  <c r="F741" i="3" s="1"/>
  <c r="C741" i="3"/>
  <c r="D741" i="3" s="1"/>
  <c r="H741" i="3"/>
  <c r="AL769" i="3"/>
  <c r="AJ769" i="3"/>
  <c r="C808" i="3"/>
  <c r="D808" i="3" s="1"/>
  <c r="AH808" i="3"/>
  <c r="E808" i="3"/>
  <c r="F808" i="3" s="1"/>
  <c r="AH849" i="3"/>
  <c r="C849" i="3"/>
  <c r="D849" i="3" s="1"/>
  <c r="AH996" i="3"/>
  <c r="AJ996" i="3" s="1"/>
  <c r="H996" i="3"/>
  <c r="AH1102" i="3"/>
  <c r="AL1102" i="3" s="1"/>
  <c r="H1102" i="3"/>
  <c r="C1102" i="3"/>
  <c r="D1102" i="3" s="1"/>
  <c r="H1276" i="3"/>
  <c r="C1276" i="3"/>
  <c r="D1276" i="3" s="1"/>
  <c r="AH1439" i="3"/>
  <c r="AJ1439" i="3" s="1"/>
  <c r="C1439" i="3"/>
  <c r="D1439" i="3" s="1"/>
  <c r="AH1541" i="3"/>
  <c r="H1541" i="3"/>
  <c r="C1880" i="3"/>
  <c r="D1880" i="3" s="1"/>
  <c r="E1952" i="3"/>
  <c r="F1952" i="3" s="1"/>
  <c r="C1952" i="3"/>
  <c r="D1952" i="3" s="1"/>
  <c r="H1962" i="3"/>
  <c r="AH1962" i="3"/>
  <c r="AH1804" i="3"/>
  <c r="H1804" i="3"/>
  <c r="E356" i="3"/>
  <c r="F356" i="3" s="1"/>
  <c r="AH356" i="3"/>
  <c r="AL356" i="3" s="1"/>
  <c r="C534" i="3"/>
  <c r="D534" i="3" s="1"/>
  <c r="E534" i="3"/>
  <c r="F534" i="3" s="1"/>
  <c r="E1922" i="3"/>
  <c r="F1922" i="3" s="1"/>
  <c r="AH1922" i="3"/>
  <c r="H1922" i="3"/>
  <c r="C1922" i="3"/>
  <c r="D1922" i="3" s="1"/>
  <c r="AJ88" i="3"/>
  <c r="AH108" i="3"/>
  <c r="AL108" i="3" s="1"/>
  <c r="AH181" i="3"/>
  <c r="E181" i="3"/>
  <c r="F181" i="3" s="1"/>
  <c r="AH206" i="3"/>
  <c r="E206" i="3"/>
  <c r="F206" i="3" s="1"/>
  <c r="AH284" i="3"/>
  <c r="AL284" i="3" s="1"/>
  <c r="H284" i="3"/>
  <c r="AH286" i="3"/>
  <c r="AH350" i="3"/>
  <c r="C350" i="3"/>
  <c r="D350" i="3" s="1"/>
  <c r="AH729" i="3"/>
  <c r="AJ729" i="3" s="1"/>
  <c r="E729" i="3"/>
  <c r="F729" i="3" s="1"/>
  <c r="AH815" i="3"/>
  <c r="AL815" i="3" s="1"/>
  <c r="H815" i="3"/>
  <c r="E815" i="3"/>
  <c r="F815" i="3" s="1"/>
  <c r="H873" i="3"/>
  <c r="AH873" i="3"/>
  <c r="AH930" i="3"/>
  <c r="AL930" i="3" s="1"/>
  <c r="H930" i="3"/>
  <c r="AH974" i="3"/>
  <c r="AL974" i="3" s="1"/>
  <c r="E974" i="3"/>
  <c r="F974" i="3" s="1"/>
  <c r="AH1116" i="3"/>
  <c r="H1116" i="3"/>
  <c r="C1116" i="3"/>
  <c r="D1116" i="3" s="1"/>
  <c r="H1125" i="3"/>
  <c r="AH1125" i="3"/>
  <c r="H1209" i="3"/>
  <c r="E1209" i="3"/>
  <c r="F1209" i="3" s="1"/>
  <c r="AH1453" i="3"/>
  <c r="E1545" i="3"/>
  <c r="F1545" i="3" s="1"/>
  <c r="H1545" i="3"/>
  <c r="AH1545" i="3"/>
  <c r="C1545" i="3"/>
  <c r="D1545" i="3" s="1"/>
  <c r="AH1604" i="3"/>
  <c r="H1604" i="3"/>
  <c r="E1659" i="3"/>
  <c r="F1659" i="3" s="1"/>
  <c r="H1659" i="3"/>
  <c r="AH1666" i="3"/>
  <c r="E1666" i="3"/>
  <c r="F1666" i="3" s="1"/>
  <c r="C1673" i="3"/>
  <c r="D1673" i="3" s="1"/>
  <c r="H1673" i="3"/>
  <c r="H1716" i="3"/>
  <c r="E1716" i="3"/>
  <c r="F1716" i="3" s="1"/>
  <c r="C1749" i="3"/>
  <c r="D1749" i="3" s="1"/>
  <c r="AH1749" i="3"/>
  <c r="C1818" i="3"/>
  <c r="D1818" i="3" s="1"/>
  <c r="H1818" i="3"/>
  <c r="E1818" i="3"/>
  <c r="F1818" i="3" s="1"/>
  <c r="H1876" i="3"/>
  <c r="C1876" i="3"/>
  <c r="D1876" i="3" s="1"/>
  <c r="AH1914" i="3"/>
  <c r="AL1914" i="3" s="1"/>
  <c r="E1914" i="3"/>
  <c r="F1914" i="3" s="1"/>
  <c r="H2064" i="3"/>
  <c r="C2064" i="3"/>
  <c r="D2064" i="3" s="1"/>
  <c r="AH2118" i="3"/>
  <c r="C2118" i="3"/>
  <c r="D2118" i="3" s="1"/>
  <c r="E427" i="3"/>
  <c r="F427" i="3" s="1"/>
  <c r="H427" i="3"/>
  <c r="H1546" i="3"/>
  <c r="AH1546" i="3"/>
  <c r="AL1546" i="3" s="1"/>
  <c r="AH1690" i="3"/>
  <c r="C1690" i="3"/>
  <c r="D1690" i="3" s="1"/>
  <c r="E693" i="3"/>
  <c r="F693" i="3" s="1"/>
  <c r="H693" i="3"/>
  <c r="C62" i="3"/>
  <c r="D62" i="3" s="1"/>
  <c r="C108" i="3"/>
  <c r="D108" i="3" s="1"/>
  <c r="C176" i="3"/>
  <c r="D176" i="3" s="1"/>
  <c r="H176" i="3"/>
  <c r="AH217" i="3"/>
  <c r="AJ217" i="3" s="1"/>
  <c r="C247" i="3"/>
  <c r="D247" i="3" s="1"/>
  <c r="E247" i="3"/>
  <c r="F247" i="3" s="1"/>
  <c r="E311" i="3"/>
  <c r="F311" i="3" s="1"/>
  <c r="H311" i="3"/>
  <c r="C311" i="3"/>
  <c r="D311" i="3" s="1"/>
  <c r="H513" i="3"/>
  <c r="E513" i="3"/>
  <c r="F513" i="3" s="1"/>
  <c r="AH573" i="3"/>
  <c r="H573" i="3"/>
  <c r="AL758" i="3"/>
  <c r="AJ758" i="3"/>
  <c r="C995" i="3"/>
  <c r="D995" i="3" s="1"/>
  <c r="H995" i="3"/>
  <c r="H1097" i="3"/>
  <c r="C1097" i="3"/>
  <c r="D1097" i="3" s="1"/>
  <c r="C1222" i="3"/>
  <c r="D1222" i="3" s="1"/>
  <c r="H1222" i="3"/>
  <c r="AH1222" i="3"/>
  <c r="AH1576" i="3"/>
  <c r="H1576" i="3"/>
  <c r="E1576" i="3"/>
  <c r="F1576" i="3" s="1"/>
  <c r="H1648" i="3"/>
  <c r="H1669" i="3"/>
  <c r="C1669" i="3"/>
  <c r="D1669" i="3" s="1"/>
  <c r="AL1840" i="3"/>
  <c r="H1903" i="3"/>
  <c r="E1912" i="3"/>
  <c r="F1912" i="3" s="1"/>
  <c r="AH1945" i="3"/>
  <c r="C1945" i="3"/>
  <c r="D1945" i="3" s="1"/>
  <c r="AH2005" i="3"/>
  <c r="H2005" i="3"/>
  <c r="E2005" i="3"/>
  <c r="F2005" i="3" s="1"/>
  <c r="C2005" i="3"/>
  <c r="D2005" i="3" s="1"/>
  <c r="AH2127" i="3"/>
  <c r="AH2200" i="3"/>
  <c r="C2200" i="3"/>
  <c r="D2200" i="3" s="1"/>
  <c r="H2200" i="3"/>
  <c r="H2204" i="3"/>
  <c r="C2204" i="3"/>
  <c r="D2204" i="3" s="1"/>
  <c r="H2242" i="3"/>
  <c r="AH2242" i="3"/>
  <c r="E861" i="3"/>
  <c r="F861" i="3" s="1"/>
  <c r="H861" i="3"/>
  <c r="H1542" i="3"/>
  <c r="AH1542" i="3"/>
  <c r="AL1542" i="3" s="1"/>
  <c r="C1542" i="3"/>
  <c r="D1542" i="3" s="1"/>
  <c r="AH1729" i="3"/>
  <c r="H1729" i="3"/>
  <c r="H1021" i="3"/>
  <c r="AH1021" i="3"/>
  <c r="AL1021" i="3" s="1"/>
  <c r="E108" i="3"/>
  <c r="F108" i="3" s="1"/>
  <c r="E109" i="3"/>
  <c r="F109" i="3" s="1"/>
  <c r="H205" i="3"/>
  <c r="AH205" i="3"/>
  <c r="AH280" i="3"/>
  <c r="AL280" i="3" s="1"/>
  <c r="E280" i="3"/>
  <c r="F280" i="3" s="1"/>
  <c r="E338" i="3"/>
  <c r="F338" i="3" s="1"/>
  <c r="C338" i="3"/>
  <c r="D338" i="3" s="1"/>
  <c r="C420" i="3"/>
  <c r="D420" i="3" s="1"/>
  <c r="AH420" i="3"/>
  <c r="AL420" i="3" s="1"/>
  <c r="H563" i="3"/>
  <c r="C563" i="3"/>
  <c r="D563" i="3" s="1"/>
  <c r="AH681" i="3"/>
  <c r="H681" i="3"/>
  <c r="C681" i="3"/>
  <c r="D681" i="3" s="1"/>
  <c r="H739" i="3"/>
  <c r="H952" i="3"/>
  <c r="C952" i="3"/>
  <c r="D952" i="3" s="1"/>
  <c r="AH1024" i="3"/>
  <c r="AJ1024" i="3" s="1"/>
  <c r="H1024" i="3"/>
  <c r="E1024" i="3"/>
  <c r="F1024" i="3" s="1"/>
  <c r="C1180" i="3"/>
  <c r="D1180" i="3" s="1"/>
  <c r="H1180" i="3"/>
  <c r="AH1180" i="3"/>
  <c r="AL1180" i="3" s="1"/>
  <c r="E1180" i="3"/>
  <c r="F1180" i="3" s="1"/>
  <c r="C1295" i="3"/>
  <c r="D1295" i="3" s="1"/>
  <c r="E1295" i="3"/>
  <c r="F1295" i="3" s="1"/>
  <c r="AH1313" i="3"/>
  <c r="AH1365" i="3"/>
  <c r="H1365" i="3"/>
  <c r="E1365" i="3"/>
  <c r="F1365" i="3" s="1"/>
  <c r="AH1487" i="3"/>
  <c r="AJ1487" i="3" s="1"/>
  <c r="H1487" i="3"/>
  <c r="AH1641" i="3"/>
  <c r="E1641" i="3"/>
  <c r="F1641" i="3" s="1"/>
  <c r="C1641" i="3"/>
  <c r="D1641" i="3" s="1"/>
  <c r="AH1645" i="3"/>
  <c r="H1645" i="3"/>
  <c r="E1645" i="3"/>
  <c r="F1645" i="3" s="1"/>
  <c r="C1645" i="3"/>
  <c r="D1645" i="3" s="1"/>
  <c r="E1867" i="3"/>
  <c r="F1867" i="3" s="1"/>
  <c r="H1867" i="3"/>
  <c r="C2013" i="3"/>
  <c r="D2013" i="3" s="1"/>
  <c r="C2056" i="3"/>
  <c r="D2056" i="3" s="1"/>
  <c r="E2056" i="3"/>
  <c r="F2056" i="3" s="1"/>
  <c r="AH2220" i="3"/>
  <c r="AL2220" i="3" s="1"/>
  <c r="H2220" i="3"/>
  <c r="C2220" i="3"/>
  <c r="D2220" i="3" s="1"/>
  <c r="C226" i="3"/>
  <c r="D226" i="3" s="1"/>
  <c r="AH226" i="3"/>
  <c r="AJ226" i="3" s="1"/>
  <c r="AH295" i="3"/>
  <c r="H295" i="3"/>
  <c r="C295" i="3"/>
  <c r="D295" i="3" s="1"/>
  <c r="E207" i="3"/>
  <c r="F207" i="3" s="1"/>
  <c r="C207" i="3"/>
  <c r="D207" i="3" s="1"/>
  <c r="AH865" i="3"/>
  <c r="H865" i="3"/>
  <c r="E34" i="3"/>
  <c r="F34" i="3" s="1"/>
  <c r="C49" i="3"/>
  <c r="D49" i="3" s="1"/>
  <c r="E62" i="3"/>
  <c r="F62" i="3" s="1"/>
  <c r="C83" i="3"/>
  <c r="D83" i="3" s="1"/>
  <c r="H109" i="3"/>
  <c r="C119" i="3"/>
  <c r="D119" i="3" s="1"/>
  <c r="C149" i="3"/>
  <c r="D149" i="3" s="1"/>
  <c r="H245" i="3"/>
  <c r="H366" i="3"/>
  <c r="E376" i="3"/>
  <c r="F376" i="3" s="1"/>
  <c r="C376" i="3"/>
  <c r="D376" i="3" s="1"/>
  <c r="AJ401" i="3"/>
  <c r="AH465" i="3"/>
  <c r="AJ465" i="3" s="1"/>
  <c r="AH480" i="3"/>
  <c r="C480" i="3"/>
  <c r="D480" i="3" s="1"/>
  <c r="AH504" i="3"/>
  <c r="AL504" i="3" s="1"/>
  <c r="H504" i="3"/>
  <c r="AH733" i="3"/>
  <c r="AL733" i="3" s="1"/>
  <c r="H733" i="3"/>
  <c r="C740" i="3"/>
  <c r="D740" i="3" s="1"/>
  <c r="E740" i="3"/>
  <c r="F740" i="3" s="1"/>
  <c r="AH740" i="3"/>
  <c r="C828" i="3"/>
  <c r="D828" i="3" s="1"/>
  <c r="AH973" i="3"/>
  <c r="C973" i="3"/>
  <c r="D973" i="3" s="1"/>
  <c r="C1192" i="3"/>
  <c r="D1192" i="3" s="1"/>
  <c r="E1338" i="3"/>
  <c r="F1338" i="3" s="1"/>
  <c r="C1338" i="3"/>
  <c r="D1338" i="3" s="1"/>
  <c r="E1345" i="3"/>
  <c r="F1345" i="3" s="1"/>
  <c r="AH1351" i="3"/>
  <c r="E1351" i="3"/>
  <c r="F1351" i="3" s="1"/>
  <c r="H1466" i="3"/>
  <c r="C1466" i="3"/>
  <c r="D1466" i="3" s="1"/>
  <c r="AH1466" i="3"/>
  <c r="AJ1466" i="3" s="1"/>
  <c r="AH1544" i="3"/>
  <c r="AL1544" i="3" s="1"/>
  <c r="H1544" i="3"/>
  <c r="E1544" i="3"/>
  <c r="F1544" i="3" s="1"/>
  <c r="C1544" i="3"/>
  <c r="D1544" i="3" s="1"/>
  <c r="C1575" i="3"/>
  <c r="D1575" i="3" s="1"/>
  <c r="H1575" i="3"/>
  <c r="AH1579" i="3"/>
  <c r="H1579" i="3"/>
  <c r="E1579" i="3"/>
  <c r="F1579" i="3" s="1"/>
  <c r="H1637" i="3"/>
  <c r="AH1989" i="3"/>
  <c r="AJ1989" i="3" s="1"/>
  <c r="C1989" i="3"/>
  <c r="D1989" i="3" s="1"/>
  <c r="E2013" i="3"/>
  <c r="F2013" i="3" s="1"/>
  <c r="H2045" i="3"/>
  <c r="E2045" i="3"/>
  <c r="F2045" i="3" s="1"/>
  <c r="H312" i="3"/>
  <c r="E312" i="3"/>
  <c r="F312" i="3" s="1"/>
  <c r="AH657" i="3"/>
  <c r="H657" i="3"/>
  <c r="C657" i="3"/>
  <c r="D657" i="3" s="1"/>
  <c r="H887" i="3"/>
  <c r="E887" i="3"/>
  <c r="F887" i="3" s="1"/>
  <c r="C1093" i="3"/>
  <c r="D1093" i="3" s="1"/>
  <c r="E1093" i="3"/>
  <c r="F1093" i="3" s="1"/>
  <c r="AH1157" i="3"/>
  <c r="H1157" i="3"/>
  <c r="E1157" i="3"/>
  <c r="F1157" i="3" s="1"/>
  <c r="E39" i="3"/>
  <c r="F39" i="3" s="1"/>
  <c r="AH117" i="3"/>
  <c r="AJ117" i="3" s="1"/>
  <c r="E119" i="3"/>
  <c r="F119" i="3" s="1"/>
  <c r="AH187" i="3"/>
  <c r="E193" i="3"/>
  <c r="F193" i="3" s="1"/>
  <c r="AH234" i="3"/>
  <c r="AL234" i="3" s="1"/>
  <c r="AJ253" i="3"/>
  <c r="C279" i="3"/>
  <c r="D279" i="3" s="1"/>
  <c r="E279" i="3"/>
  <c r="F279" i="3" s="1"/>
  <c r="E310" i="3"/>
  <c r="F310" i="3" s="1"/>
  <c r="H310" i="3"/>
  <c r="AH358" i="3"/>
  <c r="AL358" i="3" s="1"/>
  <c r="C358" i="3"/>
  <c r="D358" i="3" s="1"/>
  <c r="H373" i="3"/>
  <c r="C401" i="3"/>
  <c r="D401" i="3" s="1"/>
  <c r="AH467" i="3"/>
  <c r="AL467" i="3" s="1"/>
  <c r="E467" i="3"/>
  <c r="F467" i="3" s="1"/>
  <c r="H515" i="3"/>
  <c r="AH713" i="3"/>
  <c r="H713" i="3"/>
  <c r="C727" i="3"/>
  <c r="D727" i="3" s="1"/>
  <c r="C798" i="3"/>
  <c r="D798" i="3" s="1"/>
  <c r="E798" i="3"/>
  <c r="F798" i="3" s="1"/>
  <c r="E960" i="3"/>
  <c r="F960" i="3" s="1"/>
  <c r="H960" i="3"/>
  <c r="E981" i="3"/>
  <c r="F981" i="3" s="1"/>
  <c r="H990" i="3"/>
  <c r="E990" i="3"/>
  <c r="F990" i="3" s="1"/>
  <c r="AH1066" i="3"/>
  <c r="AJ1066" i="3" s="1"/>
  <c r="H1066" i="3"/>
  <c r="C1066" i="3"/>
  <c r="D1066" i="3" s="1"/>
  <c r="H1504" i="3"/>
  <c r="E1504" i="3"/>
  <c r="F1504" i="3" s="1"/>
  <c r="C1504" i="3"/>
  <c r="D1504" i="3" s="1"/>
  <c r="AH1504" i="3"/>
  <c r="AJ1504" i="3" s="1"/>
  <c r="H1703" i="3"/>
  <c r="E1703" i="3"/>
  <c r="F1703" i="3" s="1"/>
  <c r="C1703" i="3"/>
  <c r="D1703" i="3" s="1"/>
  <c r="H1850" i="3"/>
  <c r="C1850" i="3"/>
  <c r="D1850" i="3" s="1"/>
  <c r="AH1918" i="3"/>
  <c r="AL1918" i="3" s="1"/>
  <c r="H2091" i="3"/>
  <c r="C2091" i="3"/>
  <c r="D2091" i="3" s="1"/>
  <c r="C2199" i="3"/>
  <c r="D2199" i="3" s="1"/>
  <c r="E2199" i="3"/>
  <c r="F2199" i="3" s="1"/>
  <c r="H2199" i="3"/>
  <c r="AH853" i="3"/>
  <c r="E853" i="3"/>
  <c r="F853" i="3" s="1"/>
  <c r="C853" i="3"/>
  <c r="D853" i="3" s="1"/>
  <c r="E351" i="3"/>
  <c r="F351" i="3" s="1"/>
  <c r="AH351" i="3"/>
  <c r="AJ351" i="3" s="1"/>
  <c r="H1321" i="3"/>
  <c r="C1321" i="3"/>
  <c r="D1321" i="3" s="1"/>
  <c r="AH1321" i="3"/>
  <c r="AL1321" i="3" s="1"/>
  <c r="AH16" i="3"/>
  <c r="AL16" i="3" s="1"/>
  <c r="H62" i="3"/>
  <c r="C117" i="3"/>
  <c r="D117" i="3" s="1"/>
  <c r="H119" i="3"/>
  <c r="E226" i="3"/>
  <c r="F226" i="3" s="1"/>
  <c r="C253" i="3"/>
  <c r="D253" i="3" s="1"/>
  <c r="E401" i="3"/>
  <c r="F401" i="3" s="1"/>
  <c r="E465" i="3"/>
  <c r="F465" i="3" s="1"/>
  <c r="C475" i="3"/>
  <c r="D475" i="3" s="1"/>
  <c r="H475" i="3"/>
  <c r="AH649" i="3"/>
  <c r="H649" i="3"/>
  <c r="E652" i="3"/>
  <c r="F652" i="3" s="1"/>
  <c r="AH652" i="3"/>
  <c r="E658" i="3"/>
  <c r="F658" i="3" s="1"/>
  <c r="AH680" i="3"/>
  <c r="E680" i="3"/>
  <c r="F680" i="3" s="1"/>
  <c r="C680" i="3"/>
  <c r="D680" i="3" s="1"/>
  <c r="AH690" i="3"/>
  <c r="H690" i="3"/>
  <c r="AH1348" i="3"/>
  <c r="AJ1348" i="3" s="1"/>
  <c r="C1456" i="3"/>
  <c r="D1456" i="3" s="1"/>
  <c r="C1557" i="3"/>
  <c r="D1557" i="3" s="1"/>
  <c r="E1557" i="3"/>
  <c r="F1557" i="3" s="1"/>
  <c r="E38" i="3"/>
  <c r="F38" i="3" s="1"/>
  <c r="C82" i="3"/>
  <c r="D82" i="3" s="1"/>
  <c r="H117" i="3"/>
  <c r="E148" i="3"/>
  <c r="F148" i="3" s="1"/>
  <c r="C187" i="3"/>
  <c r="D187" i="3" s="1"/>
  <c r="AH189" i="3"/>
  <c r="AJ189" i="3" s="1"/>
  <c r="C189" i="3"/>
  <c r="D189" i="3" s="1"/>
  <c r="C216" i="3"/>
  <c r="D216" i="3" s="1"/>
  <c r="H234" i="3"/>
  <c r="E253" i="3"/>
  <c r="F253" i="3" s="1"/>
  <c r="C268" i="3"/>
  <c r="D268" i="3" s="1"/>
  <c r="AH269" i="3"/>
  <c r="E269" i="3"/>
  <c r="F269" i="3" s="1"/>
  <c r="AH333" i="3"/>
  <c r="E333" i="3"/>
  <c r="F333" i="3" s="1"/>
  <c r="E451" i="3"/>
  <c r="F451" i="3" s="1"/>
  <c r="H465" i="3"/>
  <c r="E712" i="3"/>
  <c r="F712" i="3" s="1"/>
  <c r="H712" i="3"/>
  <c r="AH712" i="3"/>
  <c r="H1137" i="3"/>
  <c r="E1137" i="3"/>
  <c r="F1137" i="3" s="1"/>
  <c r="AH1137" i="3"/>
  <c r="C1343" i="3"/>
  <c r="D1343" i="3" s="1"/>
  <c r="AH1350" i="3"/>
  <c r="E1350" i="3"/>
  <c r="F1350" i="3" s="1"/>
  <c r="H1456" i="3"/>
  <c r="AH1465" i="3"/>
  <c r="AL1465" i="3" s="1"/>
  <c r="C1465" i="3"/>
  <c r="D1465" i="3" s="1"/>
  <c r="H1498" i="3"/>
  <c r="H1644" i="3"/>
  <c r="E1644" i="3"/>
  <c r="F1644" i="3" s="1"/>
  <c r="H1771" i="3"/>
  <c r="AH1771" i="3"/>
  <c r="AL1771" i="3" s="1"/>
  <c r="C1771" i="3"/>
  <c r="D1771" i="3" s="1"/>
  <c r="H1972" i="3"/>
  <c r="C1972" i="3"/>
  <c r="D1972" i="3" s="1"/>
  <c r="AH1972" i="3"/>
  <c r="AL1972" i="3" s="1"/>
  <c r="AH1977" i="3"/>
  <c r="AL1977" i="3" s="1"/>
  <c r="C1977" i="3"/>
  <c r="D1977" i="3" s="1"/>
  <c r="H1977" i="3"/>
  <c r="E1977" i="3"/>
  <c r="F1977" i="3" s="1"/>
  <c r="E2126" i="3"/>
  <c r="F2126" i="3" s="1"/>
  <c r="AH2194" i="3"/>
  <c r="AL2194" i="3" s="1"/>
  <c r="C2194" i="3"/>
  <c r="D2194" i="3" s="1"/>
  <c r="C116" i="3"/>
  <c r="D116" i="3" s="1"/>
  <c r="H187" i="3"/>
  <c r="C267" i="3"/>
  <c r="D267" i="3" s="1"/>
  <c r="H274" i="3"/>
  <c r="AH274" i="3"/>
  <c r="AJ274" i="3" s="1"/>
  <c r="AL311" i="3"/>
  <c r="AJ311" i="3"/>
  <c r="H329" i="3"/>
  <c r="C329" i="3"/>
  <c r="D329" i="3" s="1"/>
  <c r="H351" i="3"/>
  <c r="AH488" i="3"/>
  <c r="H488" i="3"/>
  <c r="C488" i="3"/>
  <c r="D488" i="3" s="1"/>
  <c r="H493" i="3"/>
  <c r="E494" i="3"/>
  <c r="F494" i="3" s="1"/>
  <c r="H494" i="3"/>
  <c r="AH494" i="3"/>
  <c r="AL494" i="3" s="1"/>
  <c r="H642" i="3"/>
  <c r="E642" i="3"/>
  <c r="F642" i="3" s="1"/>
  <c r="C642" i="3"/>
  <c r="D642" i="3" s="1"/>
  <c r="AH777" i="3"/>
  <c r="C777" i="3"/>
  <c r="D777" i="3" s="1"/>
  <c r="H786" i="3"/>
  <c r="C786" i="3"/>
  <c r="D786" i="3" s="1"/>
  <c r="AH901" i="3"/>
  <c r="AJ901" i="3" s="1"/>
  <c r="H901" i="3"/>
  <c r="H1078" i="3"/>
  <c r="AH1078" i="3"/>
  <c r="AL1078" i="3" s="1"/>
  <c r="H1167" i="3"/>
  <c r="C1167" i="3"/>
  <c r="D1167" i="3" s="1"/>
  <c r="H1172" i="3"/>
  <c r="AH1172" i="3"/>
  <c r="E1337" i="3"/>
  <c r="F1337" i="3" s="1"/>
  <c r="AH1337" i="3"/>
  <c r="AJ1337" i="3" s="1"/>
  <c r="H1408" i="3"/>
  <c r="C1408" i="3"/>
  <c r="D1408" i="3" s="1"/>
  <c r="C1578" i="3"/>
  <c r="D1578" i="3" s="1"/>
  <c r="E1578" i="3"/>
  <c r="F1578" i="3" s="1"/>
  <c r="AH1633" i="3"/>
  <c r="E1633" i="3"/>
  <c r="F1633" i="3" s="1"/>
  <c r="C1633" i="3"/>
  <c r="D1633" i="3" s="1"/>
  <c r="E2159" i="3"/>
  <c r="F2159" i="3" s="1"/>
  <c r="H2159" i="3"/>
  <c r="AL52" i="3"/>
  <c r="E81" i="3"/>
  <c r="F81" i="3" s="1"/>
  <c r="H96" i="3"/>
  <c r="E177" i="3"/>
  <c r="F177" i="3" s="1"/>
  <c r="H186" i="3"/>
  <c r="H206" i="3"/>
  <c r="C305" i="3"/>
  <c r="D305" i="3" s="1"/>
  <c r="H305" i="3"/>
  <c r="H323" i="3"/>
  <c r="C323" i="3"/>
  <c r="D323" i="3" s="1"/>
  <c r="AH367" i="3"/>
  <c r="AL367" i="3" s="1"/>
  <c r="AH386" i="3"/>
  <c r="H386" i="3"/>
  <c r="E386" i="3"/>
  <c r="F386" i="3" s="1"/>
  <c r="C386" i="3"/>
  <c r="D386" i="3" s="1"/>
  <c r="H447" i="3"/>
  <c r="C447" i="3"/>
  <c r="D447" i="3" s="1"/>
  <c r="AH447" i="3"/>
  <c r="AL447" i="3" s="1"/>
  <c r="H492" i="3"/>
  <c r="C537" i="3"/>
  <c r="D537" i="3" s="1"/>
  <c r="AH615" i="3"/>
  <c r="E710" i="3"/>
  <c r="F710" i="3" s="1"/>
  <c r="AH773" i="3"/>
  <c r="AL773" i="3" s="1"/>
  <c r="C773" i="3"/>
  <c r="D773" i="3" s="1"/>
  <c r="E905" i="3"/>
  <c r="F905" i="3" s="1"/>
  <c r="AH906" i="3"/>
  <c r="C906" i="3"/>
  <c r="D906" i="3" s="1"/>
  <c r="C930" i="3"/>
  <c r="D930" i="3" s="1"/>
  <c r="E959" i="3"/>
  <c r="F959" i="3" s="1"/>
  <c r="AH959" i="3"/>
  <c r="AL959" i="3" s="1"/>
  <c r="C959" i="3"/>
  <c r="D959" i="3" s="1"/>
  <c r="C1086" i="3"/>
  <c r="D1086" i="3" s="1"/>
  <c r="AH1086" i="3"/>
  <c r="AL1086" i="3" s="1"/>
  <c r="C1170" i="3"/>
  <c r="D1170" i="3" s="1"/>
  <c r="E1276" i="3"/>
  <c r="F1276" i="3" s="1"/>
  <c r="E1277" i="3"/>
  <c r="F1277" i="3" s="1"/>
  <c r="AH1277" i="3"/>
  <c r="C1440" i="3"/>
  <c r="D1440" i="3" s="1"/>
  <c r="H1440" i="3"/>
  <c r="E1440" i="3"/>
  <c r="F1440" i="3" s="1"/>
  <c r="H1725" i="3"/>
  <c r="AH1725" i="3"/>
  <c r="E1725" i="3"/>
  <c r="F1725" i="3" s="1"/>
  <c r="C1725" i="3"/>
  <c r="D1725" i="3" s="1"/>
  <c r="E1750" i="3"/>
  <c r="F1750" i="3" s="1"/>
  <c r="AH1933" i="3"/>
  <c r="AL1933" i="3" s="1"/>
  <c r="H1933" i="3"/>
  <c r="E2118" i="3"/>
  <c r="F2118" i="3" s="1"/>
  <c r="E2131" i="3"/>
  <c r="F2131" i="3" s="1"/>
  <c r="C2132" i="3"/>
  <c r="D2132" i="3" s="1"/>
  <c r="AH190" i="3"/>
  <c r="AH191" i="3"/>
  <c r="AL191" i="3" s="1"/>
  <c r="AJ218" i="3"/>
  <c r="C229" i="3"/>
  <c r="D229" i="3" s="1"/>
  <c r="H326" i="3"/>
  <c r="E443" i="3"/>
  <c r="F443" i="3" s="1"/>
  <c r="E450" i="3"/>
  <c r="F450" i="3" s="1"/>
  <c r="E709" i="3"/>
  <c r="F709" i="3" s="1"/>
  <c r="H709" i="3"/>
  <c r="E715" i="3"/>
  <c r="F715" i="3" s="1"/>
  <c r="E821" i="3"/>
  <c r="F821" i="3" s="1"/>
  <c r="H821" i="3"/>
  <c r="H864" i="3"/>
  <c r="E864" i="3"/>
  <c r="F864" i="3" s="1"/>
  <c r="C864" i="3"/>
  <c r="D864" i="3" s="1"/>
  <c r="AH931" i="3"/>
  <c r="H931" i="3"/>
  <c r="C958" i="3"/>
  <c r="D958" i="3" s="1"/>
  <c r="AH1119" i="3"/>
  <c r="AJ1119" i="3" s="1"/>
  <c r="E1130" i="3"/>
  <c r="F1130" i="3" s="1"/>
  <c r="C1132" i="3"/>
  <c r="D1132" i="3" s="1"/>
  <c r="AH1132" i="3"/>
  <c r="AH1188" i="3"/>
  <c r="E1188" i="3"/>
  <c r="F1188" i="3" s="1"/>
  <c r="C1188" i="3"/>
  <c r="D1188" i="3" s="1"/>
  <c r="C1243" i="3"/>
  <c r="D1243" i="3" s="1"/>
  <c r="H1243" i="3"/>
  <c r="AH1320" i="3"/>
  <c r="AJ1320" i="3" s="1"/>
  <c r="H1320" i="3"/>
  <c r="E1320" i="3"/>
  <c r="F1320" i="3" s="1"/>
  <c r="E1410" i="3"/>
  <c r="F1410" i="3" s="1"/>
  <c r="H1410" i="3"/>
  <c r="C1810" i="3"/>
  <c r="D1810" i="3" s="1"/>
  <c r="E2044" i="3"/>
  <c r="F2044" i="3" s="1"/>
  <c r="AH2044" i="3"/>
  <c r="H2133" i="3"/>
  <c r="AH2133" i="3"/>
  <c r="AL2133" i="3" s="1"/>
  <c r="C2235" i="3"/>
  <c r="D2235" i="3" s="1"/>
  <c r="AH2235" i="3"/>
  <c r="AL2235" i="3" s="1"/>
  <c r="AH863" i="3"/>
  <c r="AL863" i="3" s="1"/>
  <c r="E863" i="3"/>
  <c r="F863" i="3" s="1"/>
  <c r="C863" i="3"/>
  <c r="D863" i="3" s="1"/>
  <c r="AH1019" i="3"/>
  <c r="H1019" i="3"/>
  <c r="E1019" i="3"/>
  <c r="F1019" i="3" s="1"/>
  <c r="E1110" i="3"/>
  <c r="F1110" i="3" s="1"/>
  <c r="H1110" i="3"/>
  <c r="E1131" i="3"/>
  <c r="F1131" i="3" s="1"/>
  <c r="C1131" i="3"/>
  <c r="D1131" i="3" s="1"/>
  <c r="H1169" i="3"/>
  <c r="C1169" i="3"/>
  <c r="D1169" i="3" s="1"/>
  <c r="AH1187" i="3"/>
  <c r="AJ1187" i="3" s="1"/>
  <c r="C1187" i="3"/>
  <c r="D1187" i="3" s="1"/>
  <c r="AH1234" i="3"/>
  <c r="E1234" i="3"/>
  <c r="F1234" i="3" s="1"/>
  <c r="C1353" i="3"/>
  <c r="D1353" i="3" s="1"/>
  <c r="E1353" i="3"/>
  <c r="F1353" i="3" s="1"/>
  <c r="E1380" i="3"/>
  <c r="F1380" i="3" s="1"/>
  <c r="C1380" i="3"/>
  <c r="D1380" i="3" s="1"/>
  <c r="H1380" i="3"/>
  <c r="E1467" i="3"/>
  <c r="F1467" i="3" s="1"/>
  <c r="H1467" i="3"/>
  <c r="C1493" i="3"/>
  <c r="D1493" i="3" s="1"/>
  <c r="E1493" i="3"/>
  <c r="F1493" i="3" s="1"/>
  <c r="H2230" i="3"/>
  <c r="C2230" i="3"/>
  <c r="D2230" i="3" s="1"/>
  <c r="E689" i="3"/>
  <c r="F689" i="3" s="1"/>
  <c r="H689" i="3"/>
  <c r="C831" i="3"/>
  <c r="D831" i="3" s="1"/>
  <c r="AH831" i="3"/>
  <c r="AH1006" i="3"/>
  <c r="E1006" i="3"/>
  <c r="F1006" i="3" s="1"/>
  <c r="C1080" i="3"/>
  <c r="D1080" i="3" s="1"/>
  <c r="H1080" i="3"/>
  <c r="AH1224" i="3"/>
  <c r="AJ1224" i="3" s="1"/>
  <c r="C1224" i="3"/>
  <c r="D1224" i="3" s="1"/>
  <c r="H1224" i="3"/>
  <c r="H1352" i="3"/>
  <c r="E1352" i="3"/>
  <c r="F1352" i="3" s="1"/>
  <c r="C1352" i="3"/>
  <c r="D1352" i="3" s="1"/>
  <c r="E1552" i="3"/>
  <c r="F1552" i="3" s="1"/>
  <c r="H1552" i="3"/>
  <c r="H1849" i="3"/>
  <c r="E1849" i="3"/>
  <c r="F1849" i="3" s="1"/>
  <c r="C1849" i="3"/>
  <c r="D1849" i="3" s="1"/>
  <c r="AH1849" i="3"/>
  <c r="E1995" i="3"/>
  <c r="F1995" i="3" s="1"/>
  <c r="H1995" i="3"/>
  <c r="C1995" i="3"/>
  <c r="D1995" i="3" s="1"/>
  <c r="AH1995" i="3"/>
  <c r="C2030" i="3"/>
  <c r="D2030" i="3" s="1"/>
  <c r="H2030" i="3"/>
  <c r="AH2167" i="3"/>
  <c r="AL2167" i="3" s="1"/>
  <c r="C2167" i="3"/>
  <c r="D2167" i="3" s="1"/>
  <c r="H699" i="3"/>
  <c r="AH699" i="3"/>
  <c r="C1027" i="3"/>
  <c r="D1027" i="3" s="1"/>
  <c r="AH1027" i="3"/>
  <c r="AJ1027" i="3" s="1"/>
  <c r="AH1088" i="3"/>
  <c r="AJ1088" i="3" s="1"/>
  <c r="E1088" i="3"/>
  <c r="F1088" i="3" s="1"/>
  <c r="AJ1107" i="3"/>
  <c r="AL1107" i="3"/>
  <c r="AH1120" i="3"/>
  <c r="H1120" i="3"/>
  <c r="H1144" i="3"/>
  <c r="C1144" i="3"/>
  <c r="D1144" i="3" s="1"/>
  <c r="E1294" i="3"/>
  <c r="F1294" i="3" s="1"/>
  <c r="C1294" i="3"/>
  <c r="D1294" i="3" s="1"/>
  <c r="E1643" i="3"/>
  <c r="F1643" i="3" s="1"/>
  <c r="AH1643" i="3"/>
  <c r="H2019" i="3"/>
  <c r="C2019" i="3"/>
  <c r="D2019" i="3" s="1"/>
  <c r="AH2086" i="3"/>
  <c r="H2086" i="3"/>
  <c r="E2086" i="3"/>
  <c r="F2086" i="3" s="1"/>
  <c r="C2086" i="3"/>
  <c r="D2086" i="3" s="1"/>
  <c r="H2151" i="3"/>
  <c r="E2151" i="3"/>
  <c r="F2151" i="3" s="1"/>
  <c r="E2156" i="3"/>
  <c r="F2156" i="3" s="1"/>
  <c r="AH2156" i="3"/>
  <c r="AJ2156" i="3" s="1"/>
  <c r="H2156" i="3"/>
  <c r="C2156" i="3"/>
  <c r="D2156" i="3" s="1"/>
  <c r="C523" i="3"/>
  <c r="D523" i="3" s="1"/>
  <c r="AH555" i="3"/>
  <c r="C721" i="3"/>
  <c r="D721" i="3" s="1"/>
  <c r="AL721" i="3"/>
  <c r="H862" i="3"/>
  <c r="E862" i="3"/>
  <c r="F862" i="3" s="1"/>
  <c r="AH862" i="3"/>
  <c r="AJ862" i="3" s="1"/>
  <c r="C862" i="3"/>
  <c r="D862" i="3" s="1"/>
  <c r="AH897" i="3"/>
  <c r="AL897" i="3" s="1"/>
  <c r="H897" i="3"/>
  <c r="AH1158" i="3"/>
  <c r="AL1158" i="3" s="1"/>
  <c r="E1158" i="3"/>
  <c r="F1158" i="3" s="1"/>
  <c r="C1223" i="3"/>
  <c r="D1223" i="3" s="1"/>
  <c r="H1223" i="3"/>
  <c r="H1233" i="3"/>
  <c r="C1233" i="3"/>
  <c r="D1233" i="3" s="1"/>
  <c r="AH1233" i="3"/>
  <c r="AL1233" i="3" s="1"/>
  <c r="C1461" i="3"/>
  <c r="D1461" i="3" s="1"/>
  <c r="AH1461" i="3"/>
  <c r="H1537" i="3"/>
  <c r="C1537" i="3"/>
  <c r="D1537" i="3" s="1"/>
  <c r="H1551" i="3"/>
  <c r="E1551" i="3"/>
  <c r="F1551" i="3" s="1"/>
  <c r="C1551" i="3"/>
  <c r="D1551" i="3" s="1"/>
  <c r="AH1565" i="3"/>
  <c r="E1565" i="3"/>
  <c r="F1565" i="3" s="1"/>
  <c r="H2090" i="3"/>
  <c r="AH2090" i="3"/>
  <c r="AL2090" i="3" s="1"/>
  <c r="E2259" i="3"/>
  <c r="F2259" i="3" s="1"/>
  <c r="H2259" i="3"/>
  <c r="E1317" i="3"/>
  <c r="F1317" i="3" s="1"/>
  <c r="AH1317" i="3"/>
  <c r="AL1317" i="3" s="1"/>
  <c r="AH1992" i="3"/>
  <c r="H1992" i="3"/>
  <c r="AH898" i="3"/>
  <c r="AJ898" i="3" s="1"/>
  <c r="C898" i="3"/>
  <c r="D898" i="3" s="1"/>
  <c r="E1107" i="3"/>
  <c r="F1107" i="3" s="1"/>
  <c r="C1107" i="3"/>
  <c r="D1107" i="3" s="1"/>
  <c r="AH1248" i="3"/>
  <c r="H1248" i="3"/>
  <c r="C2065" i="3"/>
  <c r="D2065" i="3" s="1"/>
  <c r="AH2065" i="3"/>
  <c r="AH916" i="3"/>
  <c r="AL916" i="3" s="1"/>
  <c r="C916" i="3"/>
  <c r="D916" i="3" s="1"/>
  <c r="AH1085" i="3"/>
  <c r="AL1085" i="3" s="1"/>
  <c r="E1085" i="3"/>
  <c r="F1085" i="3" s="1"/>
  <c r="AH1106" i="3"/>
  <c r="E1106" i="3"/>
  <c r="F1106" i="3" s="1"/>
  <c r="AH1956" i="3"/>
  <c r="AJ1956" i="3" s="1"/>
  <c r="C1956" i="3"/>
  <c r="D1956" i="3" s="1"/>
  <c r="C2053" i="3"/>
  <c r="D2053" i="3" s="1"/>
  <c r="AH2053" i="3"/>
  <c r="AH822" i="3"/>
  <c r="H822" i="3"/>
  <c r="AJ1308" i="3"/>
  <c r="AL1308" i="3"/>
  <c r="AH1441" i="3"/>
  <c r="AJ1441" i="3" s="1"/>
  <c r="E1441" i="3"/>
  <c r="F1441" i="3" s="1"/>
  <c r="AL1474" i="3"/>
  <c r="AJ1474" i="3"/>
  <c r="AH2261" i="3"/>
  <c r="AJ2261" i="3" s="1"/>
  <c r="H2261" i="3"/>
  <c r="E2261" i="3"/>
  <c r="F2261" i="3" s="1"/>
  <c r="C2261" i="3"/>
  <c r="D2261" i="3" s="1"/>
  <c r="C2289" i="3"/>
  <c r="D2289" i="3" s="1"/>
  <c r="C2255" i="3"/>
  <c r="D2255" i="3" s="1"/>
  <c r="C2284" i="3"/>
  <c r="D2284" i="3" s="1"/>
  <c r="C2288" i="3"/>
  <c r="D2288" i="3" s="1"/>
  <c r="E2271" i="3"/>
  <c r="F2271" i="3" s="1"/>
  <c r="E2288" i="3"/>
  <c r="F2288" i="3" s="1"/>
  <c r="C2260" i="3"/>
  <c r="D2260" i="3" s="1"/>
  <c r="C2262" i="3"/>
  <c r="D2262" i="3" s="1"/>
  <c r="H44" i="3"/>
  <c r="E44" i="3"/>
  <c r="F44" i="3" s="1"/>
  <c r="AH120" i="3"/>
  <c r="H120" i="3"/>
  <c r="E120" i="3"/>
  <c r="F120" i="3" s="1"/>
  <c r="E1217" i="3"/>
  <c r="F1217" i="3" s="1"/>
  <c r="H1217" i="3"/>
  <c r="AH110" i="3"/>
  <c r="AL110" i="3" s="1"/>
  <c r="C110" i="3"/>
  <c r="D110" i="3" s="1"/>
  <c r="AH390" i="3"/>
  <c r="H390" i="3"/>
  <c r="C390" i="3"/>
  <c r="D390" i="3" s="1"/>
  <c r="H1847" i="3"/>
  <c r="AH1847" i="3"/>
  <c r="AH1866" i="3"/>
  <c r="C1866" i="3"/>
  <c r="D1866" i="3" s="1"/>
  <c r="H1866" i="3"/>
  <c r="C1930" i="3"/>
  <c r="D1930" i="3" s="1"/>
  <c r="E1930" i="3"/>
  <c r="F1930" i="3" s="1"/>
  <c r="C26" i="3"/>
  <c r="D26" i="3" s="1"/>
  <c r="H26" i="3"/>
  <c r="AH199" i="3"/>
  <c r="AL199" i="3" s="1"/>
  <c r="H199" i="3"/>
  <c r="E307" i="3"/>
  <c r="F307" i="3" s="1"/>
  <c r="H307" i="3"/>
  <c r="C307" i="3"/>
  <c r="D307" i="3" s="1"/>
  <c r="AH307" i="3"/>
  <c r="AL307" i="3" s="1"/>
  <c r="H153" i="3"/>
  <c r="E153" i="3"/>
  <c r="F153" i="3" s="1"/>
  <c r="AH21" i="3"/>
  <c r="H21" i="3"/>
  <c r="E21" i="3"/>
  <c r="F21" i="3" s="1"/>
  <c r="C21" i="3"/>
  <c r="D21" i="3" s="1"/>
  <c r="H198" i="3"/>
  <c r="AH198" i="3"/>
  <c r="AL198" i="3" s="1"/>
  <c r="AJ486" i="3"/>
  <c r="AH532" i="3"/>
  <c r="H532" i="3"/>
  <c r="E532" i="3"/>
  <c r="F532" i="3" s="1"/>
  <c r="C532" i="3"/>
  <c r="D532" i="3" s="1"/>
  <c r="E77" i="3"/>
  <c r="F77" i="3" s="1"/>
  <c r="C77" i="3"/>
  <c r="D77" i="3" s="1"/>
  <c r="C301" i="3"/>
  <c r="D301" i="3" s="1"/>
  <c r="E301" i="3"/>
  <c r="F301" i="3" s="1"/>
  <c r="H402" i="3"/>
  <c r="AH402" i="3"/>
  <c r="H440" i="3"/>
  <c r="C440" i="3"/>
  <c r="D440" i="3" s="1"/>
  <c r="AH737" i="3"/>
  <c r="AL737" i="3" s="1"/>
  <c r="E737" i="3"/>
  <c r="F737" i="3" s="1"/>
  <c r="AH745" i="3"/>
  <c r="E745" i="3"/>
  <c r="F745" i="3" s="1"/>
  <c r="C745" i="3"/>
  <c r="D745" i="3" s="1"/>
  <c r="C20" i="3"/>
  <c r="D20" i="3" s="1"/>
  <c r="H20" i="3"/>
  <c r="E20" i="3"/>
  <c r="F20" i="3" s="1"/>
  <c r="C317" i="3"/>
  <c r="D317" i="3" s="1"/>
  <c r="H317" i="3"/>
  <c r="AH531" i="3"/>
  <c r="H531" i="3"/>
  <c r="E531" i="3"/>
  <c r="F531" i="3" s="1"/>
  <c r="C531" i="3"/>
  <c r="D531" i="3" s="1"/>
  <c r="H600" i="3"/>
  <c r="C600" i="3"/>
  <c r="D600" i="3" s="1"/>
  <c r="AH600" i="3"/>
  <c r="AH204" i="3"/>
  <c r="H204" i="3"/>
  <c r="E204" i="3"/>
  <c r="F204" i="3" s="1"/>
  <c r="C204" i="3"/>
  <c r="D204" i="3" s="1"/>
  <c r="E241" i="3"/>
  <c r="F241" i="3" s="1"/>
  <c r="H241" i="3"/>
  <c r="AH544" i="3"/>
  <c r="AL544" i="3" s="1"/>
  <c r="H544" i="3"/>
  <c r="C544" i="3"/>
  <c r="D544" i="3" s="1"/>
  <c r="AH321" i="3"/>
  <c r="AJ321" i="3" s="1"/>
  <c r="E321" i="3"/>
  <c r="F321" i="3" s="1"/>
  <c r="C321" i="3"/>
  <c r="D321" i="3" s="1"/>
  <c r="AH318" i="3"/>
  <c r="H318" i="3"/>
  <c r="E318" i="3"/>
  <c r="F318" i="3" s="1"/>
  <c r="C318" i="3"/>
  <c r="D318" i="3" s="1"/>
  <c r="E158" i="3"/>
  <c r="F158" i="3" s="1"/>
  <c r="H158" i="3"/>
  <c r="C158" i="3"/>
  <c r="D158" i="3" s="1"/>
  <c r="C240" i="3"/>
  <c r="D240" i="3" s="1"/>
  <c r="E240" i="3"/>
  <c r="F240" i="3" s="1"/>
  <c r="AH240" i="3"/>
  <c r="AL240" i="3" s="1"/>
  <c r="H33" i="3"/>
  <c r="AH34" i="3"/>
  <c r="AJ34" i="3" s="1"/>
  <c r="H36" i="3"/>
  <c r="E49" i="3"/>
  <c r="F49" i="3" s="1"/>
  <c r="AH49" i="3"/>
  <c r="C52" i="3"/>
  <c r="D52" i="3" s="1"/>
  <c r="H67" i="3"/>
  <c r="E99" i="3"/>
  <c r="F99" i="3" s="1"/>
  <c r="AH100" i="3"/>
  <c r="AJ100" i="3" s="1"/>
  <c r="H103" i="3"/>
  <c r="H104" i="3"/>
  <c r="H114" i="3"/>
  <c r="C143" i="3"/>
  <c r="D143" i="3" s="1"/>
  <c r="H150" i="3"/>
  <c r="E165" i="3"/>
  <c r="F165" i="3" s="1"/>
  <c r="E186" i="3"/>
  <c r="F186" i="3" s="1"/>
  <c r="E188" i="3"/>
  <c r="F188" i="3" s="1"/>
  <c r="E189" i="3"/>
  <c r="F189" i="3" s="1"/>
  <c r="H253" i="3"/>
  <c r="E294" i="3"/>
  <c r="F294" i="3" s="1"/>
  <c r="E295" i="3"/>
  <c r="F295" i="3" s="1"/>
  <c r="E296" i="3"/>
  <c r="F296" i="3" s="1"/>
  <c r="C310" i="3"/>
  <c r="D310" i="3" s="1"/>
  <c r="C312" i="3"/>
  <c r="D312" i="3" s="1"/>
  <c r="C427" i="3"/>
  <c r="D427" i="3" s="1"/>
  <c r="E447" i="3"/>
  <c r="F447" i="3" s="1"/>
  <c r="AJ449" i="3"/>
  <c r="H462" i="3"/>
  <c r="H499" i="3"/>
  <c r="AH503" i="3"/>
  <c r="AJ503" i="3" s="1"/>
  <c r="H507" i="3"/>
  <c r="C507" i="3"/>
  <c r="D507" i="3" s="1"/>
  <c r="C524" i="3"/>
  <c r="D524" i="3" s="1"/>
  <c r="AH543" i="3"/>
  <c r="AJ543" i="3" s="1"/>
  <c r="H543" i="3"/>
  <c r="E606" i="3"/>
  <c r="F606" i="3" s="1"/>
  <c r="E624" i="3"/>
  <c r="F624" i="3" s="1"/>
  <c r="H624" i="3"/>
  <c r="AH691" i="3"/>
  <c r="AH692" i="3"/>
  <c r="C714" i="3"/>
  <c r="D714" i="3" s="1"/>
  <c r="AH826" i="3"/>
  <c r="AL826" i="3" s="1"/>
  <c r="H826" i="3"/>
  <c r="E826" i="3"/>
  <c r="F826" i="3" s="1"/>
  <c r="C1020" i="3"/>
  <c r="D1020" i="3" s="1"/>
  <c r="AH1020" i="3"/>
  <c r="AL1020" i="3" s="1"/>
  <c r="C35" i="3"/>
  <c r="D35" i="3" s="1"/>
  <c r="AH67" i="3"/>
  <c r="AJ67" i="3" s="1"/>
  <c r="E100" i="3"/>
  <c r="F100" i="3" s="1"/>
  <c r="C101" i="3"/>
  <c r="D101" i="3" s="1"/>
  <c r="AH101" i="3"/>
  <c r="AL101" i="3" s="1"/>
  <c r="C113" i="3"/>
  <c r="D113" i="3" s="1"/>
  <c r="H148" i="3"/>
  <c r="E149" i="3"/>
  <c r="F149" i="3" s="1"/>
  <c r="C215" i="3"/>
  <c r="D215" i="3" s="1"/>
  <c r="E235" i="3"/>
  <c r="F235" i="3" s="1"/>
  <c r="C264" i="3"/>
  <c r="D264" i="3" s="1"/>
  <c r="E272" i="3"/>
  <c r="F272" i="3" s="1"/>
  <c r="AH273" i="3"/>
  <c r="AL273" i="3" s="1"/>
  <c r="AJ336" i="3"/>
  <c r="C380" i="3"/>
  <c r="D380" i="3" s="1"/>
  <c r="C382" i="3"/>
  <c r="D382" i="3" s="1"/>
  <c r="AH425" i="3"/>
  <c r="C448" i="3"/>
  <c r="D448" i="3" s="1"/>
  <c r="C449" i="3"/>
  <c r="D449" i="3" s="1"/>
  <c r="C496" i="3"/>
  <c r="D496" i="3" s="1"/>
  <c r="C504" i="3"/>
  <c r="D504" i="3" s="1"/>
  <c r="H520" i="3"/>
  <c r="AH520" i="3"/>
  <c r="E524" i="3"/>
  <c r="F524" i="3" s="1"/>
  <c r="C1076" i="3"/>
  <c r="D1076" i="3" s="1"/>
  <c r="H1076" i="3"/>
  <c r="AH1477" i="3"/>
  <c r="AJ1477" i="3" s="1"/>
  <c r="H1477" i="3"/>
  <c r="E1477" i="3"/>
  <c r="F1477" i="3" s="1"/>
  <c r="C1477" i="3"/>
  <c r="D1477" i="3" s="1"/>
  <c r="E52" i="3"/>
  <c r="F52" i="3" s="1"/>
  <c r="E56" i="3"/>
  <c r="F56" i="3" s="1"/>
  <c r="E101" i="3"/>
  <c r="F101" i="3" s="1"/>
  <c r="AH111" i="3"/>
  <c r="AL111" i="3" s="1"/>
  <c r="AH123" i="3"/>
  <c r="AL123" i="3" s="1"/>
  <c r="C134" i="3"/>
  <c r="D134" i="3" s="1"/>
  <c r="H149" i="3"/>
  <c r="C173" i="3"/>
  <c r="D173" i="3" s="1"/>
  <c r="E185" i="3"/>
  <c r="F185" i="3" s="1"/>
  <c r="E196" i="3"/>
  <c r="F196" i="3" s="1"/>
  <c r="AH212" i="3"/>
  <c r="AL212" i="3" s="1"/>
  <c r="H215" i="3"/>
  <c r="C266" i="3"/>
  <c r="D266" i="3" s="1"/>
  <c r="AH266" i="3"/>
  <c r="C269" i="3"/>
  <c r="D269" i="3" s="1"/>
  <c r="H272" i="3"/>
  <c r="E273" i="3"/>
  <c r="F273" i="3" s="1"/>
  <c r="E274" i="3"/>
  <c r="F274" i="3" s="1"/>
  <c r="C280" i="3"/>
  <c r="D280" i="3" s="1"/>
  <c r="E336" i="3"/>
  <c r="F336" i="3" s="1"/>
  <c r="H380" i="3"/>
  <c r="E382" i="3"/>
  <c r="F382" i="3" s="1"/>
  <c r="E426" i="3"/>
  <c r="F426" i="3" s="1"/>
  <c r="C428" i="3"/>
  <c r="D428" i="3" s="1"/>
  <c r="E428" i="3"/>
  <c r="F428" i="3" s="1"/>
  <c r="E504" i="3"/>
  <c r="F504" i="3" s="1"/>
  <c r="H524" i="3"/>
  <c r="C555" i="3"/>
  <c r="D555" i="3" s="1"/>
  <c r="AH582" i="3"/>
  <c r="H582" i="3"/>
  <c r="C582" i="3"/>
  <c r="D582" i="3" s="1"/>
  <c r="C612" i="3"/>
  <c r="D612" i="3" s="1"/>
  <c r="H654" i="3"/>
  <c r="C654" i="3"/>
  <c r="D654" i="3" s="1"/>
  <c r="C691" i="3"/>
  <c r="D691" i="3" s="1"/>
  <c r="AH694" i="3"/>
  <c r="C694" i="3"/>
  <c r="D694" i="3" s="1"/>
  <c r="AH845" i="3"/>
  <c r="H845" i="3"/>
  <c r="C845" i="3"/>
  <c r="D845" i="3" s="1"/>
  <c r="AJ1142" i="3"/>
  <c r="AL1142" i="3"/>
  <c r="H112" i="3"/>
  <c r="C132" i="3"/>
  <c r="D132" i="3" s="1"/>
  <c r="E172" i="3"/>
  <c r="F172" i="3" s="1"/>
  <c r="E173" i="3"/>
  <c r="F173" i="3" s="1"/>
  <c r="H196" i="3"/>
  <c r="C243" i="3"/>
  <c r="D243" i="3" s="1"/>
  <c r="C378" i="3"/>
  <c r="D378" i="3" s="1"/>
  <c r="AH409" i="3"/>
  <c r="E411" i="3"/>
  <c r="F411" i="3" s="1"/>
  <c r="H411" i="3"/>
  <c r="C415" i="3"/>
  <c r="D415" i="3" s="1"/>
  <c r="H433" i="3"/>
  <c r="AH433" i="3"/>
  <c r="AL433" i="3" s="1"/>
  <c r="C487" i="3"/>
  <c r="D487" i="3" s="1"/>
  <c r="E487" i="3"/>
  <c r="F487" i="3" s="1"/>
  <c r="H525" i="3"/>
  <c r="C525" i="3"/>
  <c r="D525" i="3" s="1"/>
  <c r="AL1029" i="3"/>
  <c r="AJ1029" i="3"/>
  <c r="H1046" i="3"/>
  <c r="C1046" i="3"/>
  <c r="D1046" i="3" s="1"/>
  <c r="AH1046" i="3"/>
  <c r="AL1046" i="3" s="1"/>
  <c r="AJ14" i="3"/>
  <c r="E28" i="3"/>
  <c r="F28" i="3" s="1"/>
  <c r="C29" i="3"/>
  <c r="D29" i="3" s="1"/>
  <c r="C96" i="3"/>
  <c r="D96" i="3" s="1"/>
  <c r="E134" i="3"/>
  <c r="F134" i="3" s="1"/>
  <c r="H173" i="3"/>
  <c r="C177" i="3"/>
  <c r="D177" i="3" s="1"/>
  <c r="AH183" i="3"/>
  <c r="AL183" i="3" s="1"/>
  <c r="AH194" i="3"/>
  <c r="AJ194" i="3" s="1"/>
  <c r="C206" i="3"/>
  <c r="D206" i="3" s="1"/>
  <c r="C214" i="3"/>
  <c r="D214" i="3" s="1"/>
  <c r="H250" i="3"/>
  <c r="E260" i="3"/>
  <c r="F260" i="3" s="1"/>
  <c r="C261" i="3"/>
  <c r="D261" i="3" s="1"/>
  <c r="C262" i="3"/>
  <c r="D262" i="3" s="1"/>
  <c r="E266" i="3"/>
  <c r="F266" i="3" s="1"/>
  <c r="E267" i="3"/>
  <c r="F267" i="3" s="1"/>
  <c r="H268" i="3"/>
  <c r="H269" i="3"/>
  <c r="C291" i="3"/>
  <c r="D291" i="3" s="1"/>
  <c r="AH353" i="3"/>
  <c r="AJ353" i="3" s="1"/>
  <c r="H370" i="3"/>
  <c r="E378" i="3"/>
  <c r="F378" i="3" s="1"/>
  <c r="H404" i="3"/>
  <c r="AH405" i="3"/>
  <c r="E405" i="3"/>
  <c r="F405" i="3" s="1"/>
  <c r="H415" i="3"/>
  <c r="E423" i="3"/>
  <c r="F423" i="3" s="1"/>
  <c r="E437" i="3"/>
  <c r="F437" i="3" s="1"/>
  <c r="H443" i="3"/>
  <c r="AH464" i="3"/>
  <c r="AL464" i="3" s="1"/>
  <c r="C513" i="3"/>
  <c r="D513" i="3" s="1"/>
  <c r="AH536" i="3"/>
  <c r="AH540" i="3"/>
  <c r="H540" i="3"/>
  <c r="H1121" i="3"/>
  <c r="C1121" i="3"/>
  <c r="D1121" i="3" s="1"/>
  <c r="H365" i="3"/>
  <c r="E369" i="3"/>
  <c r="F369" i="3" s="1"/>
  <c r="AH398" i="3"/>
  <c r="AL398" i="3" s="1"/>
  <c r="H398" i="3"/>
  <c r="H650" i="3"/>
  <c r="E650" i="3"/>
  <c r="F650" i="3" s="1"/>
  <c r="C650" i="3"/>
  <c r="D650" i="3" s="1"/>
  <c r="AH650" i="3"/>
  <c r="H291" i="3"/>
  <c r="C302" i="3"/>
  <c r="D302" i="3" s="1"/>
  <c r="AH342" i="3"/>
  <c r="AL342" i="3" s="1"/>
  <c r="AH515" i="3"/>
  <c r="C515" i="3"/>
  <c r="D515" i="3" s="1"/>
  <c r="E697" i="3"/>
  <c r="F697" i="3" s="1"/>
  <c r="H697" i="3"/>
  <c r="AL762" i="3"/>
  <c r="AJ762" i="3"/>
  <c r="E1147" i="3"/>
  <c r="F1147" i="3" s="1"/>
  <c r="C1147" i="3"/>
  <c r="D1147" i="3" s="1"/>
  <c r="AH1147" i="3"/>
  <c r="AL1147" i="3" s="1"/>
  <c r="AL1172" i="3"/>
  <c r="AJ1172" i="3"/>
  <c r="E342" i="3"/>
  <c r="F342" i="3" s="1"/>
  <c r="AH466" i="3"/>
  <c r="AL466" i="3" s="1"/>
  <c r="C466" i="3"/>
  <c r="D466" i="3" s="1"/>
  <c r="AH484" i="3"/>
  <c r="E484" i="3"/>
  <c r="F484" i="3" s="1"/>
  <c r="AH806" i="3"/>
  <c r="AL806" i="3" s="1"/>
  <c r="C806" i="3"/>
  <c r="D806" i="3" s="1"/>
  <c r="C985" i="3"/>
  <c r="D985" i="3" s="1"/>
  <c r="H985" i="3"/>
  <c r="AH985" i="3"/>
  <c r="AL985" i="3" s="1"/>
  <c r="AH633" i="3"/>
  <c r="E633" i="3"/>
  <c r="F633" i="3" s="1"/>
  <c r="H1324" i="3"/>
  <c r="AH1324" i="3"/>
  <c r="C33" i="3"/>
  <c r="D33" i="3" s="1"/>
  <c r="C148" i="3"/>
  <c r="D148" i="3" s="1"/>
  <c r="AJ191" i="3"/>
  <c r="E245" i="3"/>
  <c r="F245" i="3" s="1"/>
  <c r="C246" i="3"/>
  <c r="D246" i="3" s="1"/>
  <c r="AJ246" i="3"/>
  <c r="AH325" i="3"/>
  <c r="E373" i="3"/>
  <c r="F373" i="3" s="1"/>
  <c r="AH406" i="3"/>
  <c r="AJ406" i="3" s="1"/>
  <c r="AH428" i="3"/>
  <c r="C499" i="3"/>
  <c r="D499" i="3" s="1"/>
  <c r="AH519" i="3"/>
  <c r="AH525" i="3"/>
  <c r="AH563" i="3"/>
  <c r="AH627" i="3"/>
  <c r="AH641" i="3"/>
  <c r="C641" i="3"/>
  <c r="D641" i="3" s="1"/>
  <c r="E772" i="3"/>
  <c r="F772" i="3" s="1"/>
  <c r="AH772" i="3"/>
  <c r="AJ772" i="3" s="1"/>
  <c r="E33" i="3"/>
  <c r="F33" i="3" s="1"/>
  <c r="C37" i="3"/>
  <c r="D37" i="3" s="1"/>
  <c r="E66" i="3"/>
  <c r="F66" i="3" s="1"/>
  <c r="C67" i="3"/>
  <c r="D67" i="3" s="1"/>
  <c r="E88" i="3"/>
  <c r="F88" i="3" s="1"/>
  <c r="C106" i="3"/>
  <c r="D106" i="3" s="1"/>
  <c r="C115" i="3"/>
  <c r="D115" i="3" s="1"/>
  <c r="H116" i="3"/>
  <c r="E157" i="3"/>
  <c r="F157" i="3" s="1"/>
  <c r="H181" i="3"/>
  <c r="H190" i="3"/>
  <c r="H192" i="3"/>
  <c r="E201" i="3"/>
  <c r="F201" i="3" s="1"/>
  <c r="C220" i="3"/>
  <c r="D220" i="3" s="1"/>
  <c r="E225" i="3"/>
  <c r="F225" i="3" s="1"/>
  <c r="E246" i="3"/>
  <c r="F246" i="3" s="1"/>
  <c r="H276" i="3"/>
  <c r="E299" i="3"/>
  <c r="F299" i="3" s="1"/>
  <c r="AL299" i="3"/>
  <c r="H314" i="3"/>
  <c r="H352" i="3"/>
  <c r="E352" i="3"/>
  <c r="F352" i="3" s="1"/>
  <c r="H362" i="3"/>
  <c r="C372" i="3"/>
  <c r="D372" i="3" s="1"/>
  <c r="H384" i="3"/>
  <c r="AH452" i="3"/>
  <c r="AL452" i="3" s="1"/>
  <c r="H452" i="3"/>
  <c r="E499" i="3"/>
  <c r="F499" i="3" s="1"/>
  <c r="E1103" i="3"/>
  <c r="F1103" i="3" s="1"/>
  <c r="H1103" i="3"/>
  <c r="C1286" i="3"/>
  <c r="D1286" i="3" s="1"/>
  <c r="AH1286" i="3"/>
  <c r="AL1286" i="3" s="1"/>
  <c r="E756" i="3"/>
  <c r="F756" i="3" s="1"/>
  <c r="AJ760" i="3"/>
  <c r="C769" i="3"/>
  <c r="D769" i="3" s="1"/>
  <c r="AH840" i="3"/>
  <c r="AL840" i="3" s="1"/>
  <c r="E842" i="3"/>
  <c r="F842" i="3" s="1"/>
  <c r="C876" i="3"/>
  <c r="D876" i="3" s="1"/>
  <c r="C939" i="3"/>
  <c r="D939" i="3" s="1"/>
  <c r="H939" i="3"/>
  <c r="C947" i="3"/>
  <c r="D947" i="3" s="1"/>
  <c r="H967" i="3"/>
  <c r="H973" i="3"/>
  <c r="H974" i="3"/>
  <c r="AH977" i="3"/>
  <c r="AJ977" i="3" s="1"/>
  <c r="E977" i="3"/>
  <c r="F977" i="3" s="1"/>
  <c r="H1011" i="3"/>
  <c r="AH1037" i="3"/>
  <c r="AL1037" i="3" s="1"/>
  <c r="AH1039" i="3"/>
  <c r="AJ1039" i="3" s="1"/>
  <c r="H1039" i="3"/>
  <c r="E1062" i="3"/>
  <c r="F1062" i="3" s="1"/>
  <c r="E1082" i="3"/>
  <c r="F1082" i="3" s="1"/>
  <c r="H1088" i="3"/>
  <c r="C1124" i="3"/>
  <c r="D1124" i="3" s="1"/>
  <c r="E1144" i="3"/>
  <c r="F1144" i="3" s="1"/>
  <c r="H1207" i="3"/>
  <c r="C1208" i="3"/>
  <c r="D1208" i="3" s="1"/>
  <c r="E1242" i="3"/>
  <c r="F1242" i="3" s="1"/>
  <c r="H1242" i="3"/>
  <c r="C1261" i="3"/>
  <c r="D1261" i="3" s="1"/>
  <c r="H1285" i="3"/>
  <c r="AH1285" i="3"/>
  <c r="AL1285" i="3" s="1"/>
  <c r="H1295" i="3"/>
  <c r="H1311" i="3"/>
  <c r="E1321" i="3"/>
  <c r="F1321" i="3" s="1"/>
  <c r="H1376" i="3"/>
  <c r="AH1376" i="3"/>
  <c r="AJ1376" i="3" s="1"/>
  <c r="AH695" i="3"/>
  <c r="AH715" i="3"/>
  <c r="C760" i="3"/>
  <c r="D760" i="3" s="1"/>
  <c r="E776" i="3"/>
  <c r="F776" i="3" s="1"/>
  <c r="E786" i="3"/>
  <c r="F786" i="3" s="1"/>
  <c r="E834" i="3"/>
  <c r="F834" i="3" s="1"/>
  <c r="H905" i="3"/>
  <c r="E913" i="3"/>
  <c r="F913" i="3" s="1"/>
  <c r="C944" i="3"/>
  <c r="D944" i="3" s="1"/>
  <c r="AL944" i="3"/>
  <c r="E946" i="3"/>
  <c r="F946" i="3" s="1"/>
  <c r="E947" i="3"/>
  <c r="F947" i="3" s="1"/>
  <c r="E980" i="3"/>
  <c r="F980" i="3" s="1"/>
  <c r="E1052" i="3"/>
  <c r="F1052" i="3" s="1"/>
  <c r="E1053" i="3"/>
  <c r="F1053" i="3" s="1"/>
  <c r="C1054" i="3"/>
  <c r="D1054" i="3" s="1"/>
  <c r="E1061" i="3"/>
  <c r="F1061" i="3" s="1"/>
  <c r="H1062" i="3"/>
  <c r="AL1066" i="3"/>
  <c r="H1068" i="3"/>
  <c r="E1080" i="3"/>
  <c r="F1080" i="3" s="1"/>
  <c r="C1081" i="3"/>
  <c r="D1081" i="3" s="1"/>
  <c r="H1082" i="3"/>
  <c r="E1124" i="3"/>
  <c r="F1124" i="3" s="1"/>
  <c r="C1158" i="3"/>
  <c r="D1158" i="3" s="1"/>
  <c r="H1165" i="3"/>
  <c r="AH1167" i="3"/>
  <c r="E1167" i="3"/>
  <c r="F1167" i="3" s="1"/>
  <c r="H1176" i="3"/>
  <c r="H1261" i="3"/>
  <c r="H1290" i="3"/>
  <c r="C1290" i="3"/>
  <c r="D1290" i="3" s="1"/>
  <c r="C1304" i="3"/>
  <c r="D1304" i="3" s="1"/>
  <c r="H1316" i="3"/>
  <c r="E1316" i="3"/>
  <c r="F1316" i="3" s="1"/>
  <c r="E1371" i="3"/>
  <c r="F1371" i="3" s="1"/>
  <c r="H1371" i="3"/>
  <c r="E1386" i="3"/>
  <c r="F1386" i="3" s="1"/>
  <c r="H1386" i="3"/>
  <c r="H1460" i="3"/>
  <c r="E1460" i="3"/>
  <c r="F1460" i="3" s="1"/>
  <c r="H1730" i="3"/>
  <c r="E1730" i="3"/>
  <c r="F1730" i="3" s="1"/>
  <c r="H1779" i="3"/>
  <c r="AH1779" i="3"/>
  <c r="E637" i="3"/>
  <c r="F637" i="3" s="1"/>
  <c r="C649" i="3"/>
  <c r="D649" i="3" s="1"/>
  <c r="E660" i="3"/>
  <c r="F660" i="3" s="1"/>
  <c r="C754" i="3"/>
  <c r="D754" i="3" s="1"/>
  <c r="E760" i="3"/>
  <c r="F760" i="3" s="1"/>
  <c r="AH763" i="3"/>
  <c r="AJ763" i="3" s="1"/>
  <c r="H834" i="3"/>
  <c r="C865" i="3"/>
  <c r="D865" i="3" s="1"/>
  <c r="E891" i="3"/>
  <c r="F891" i="3" s="1"/>
  <c r="H932" i="3"/>
  <c r="E944" i="3"/>
  <c r="F944" i="3" s="1"/>
  <c r="H946" i="3"/>
  <c r="AH952" i="3"/>
  <c r="AH958" i="3"/>
  <c r="E982" i="3"/>
  <c r="F982" i="3" s="1"/>
  <c r="C1026" i="3"/>
  <c r="D1026" i="3" s="1"/>
  <c r="H1026" i="3"/>
  <c r="H1051" i="3"/>
  <c r="H1053" i="3"/>
  <c r="AH1122" i="3"/>
  <c r="AJ1122" i="3" s="1"/>
  <c r="H1150" i="3"/>
  <c r="E1166" i="3"/>
  <c r="F1166" i="3" s="1"/>
  <c r="C1166" i="3"/>
  <c r="D1166" i="3" s="1"/>
  <c r="C1172" i="3"/>
  <c r="D1172" i="3" s="1"/>
  <c r="AH1198" i="3"/>
  <c r="E1346" i="3"/>
  <c r="F1346" i="3" s="1"/>
  <c r="C1346" i="3"/>
  <c r="D1346" i="3" s="1"/>
  <c r="AH1360" i="3"/>
  <c r="AJ1360" i="3" s="1"/>
  <c r="C1360" i="3"/>
  <c r="D1360" i="3" s="1"/>
  <c r="C1455" i="3"/>
  <c r="D1455" i="3" s="1"/>
  <c r="E1455" i="3"/>
  <c r="F1455" i="3" s="1"/>
  <c r="AL847" i="3"/>
  <c r="AL968" i="3"/>
  <c r="AJ968" i="3"/>
  <c r="C1198" i="3"/>
  <c r="D1198" i="3" s="1"/>
  <c r="AH1204" i="3"/>
  <c r="AL1204" i="3" s="1"/>
  <c r="E1213" i="3"/>
  <c r="F1213" i="3" s="1"/>
  <c r="AH1238" i="3"/>
  <c r="E1241" i="3"/>
  <c r="F1241" i="3" s="1"/>
  <c r="AH1241" i="3"/>
  <c r="AL1241" i="3" s="1"/>
  <c r="C1241" i="3"/>
  <c r="D1241" i="3" s="1"/>
  <c r="AH1284" i="3"/>
  <c r="C1284" i="3"/>
  <c r="D1284" i="3" s="1"/>
  <c r="AH1328" i="3"/>
  <c r="E1328" i="3"/>
  <c r="F1328" i="3" s="1"/>
  <c r="H1328" i="3"/>
  <c r="C1328" i="3"/>
  <c r="D1328" i="3" s="1"/>
  <c r="AH1385" i="3"/>
  <c r="H1385" i="3"/>
  <c r="C1385" i="3"/>
  <c r="D1385" i="3" s="1"/>
  <c r="AJ1420" i="3"/>
  <c r="AL1420" i="3"/>
  <c r="C690" i="3"/>
  <c r="D690" i="3" s="1"/>
  <c r="AH711" i="3"/>
  <c r="H729" i="3"/>
  <c r="E749" i="3"/>
  <c r="F749" i="3" s="1"/>
  <c r="C767" i="3"/>
  <c r="D767" i="3" s="1"/>
  <c r="E774" i="3"/>
  <c r="F774" i="3" s="1"/>
  <c r="H814" i="3"/>
  <c r="H852" i="3"/>
  <c r="AH852" i="3"/>
  <c r="AL852" i="3" s="1"/>
  <c r="H860" i="3"/>
  <c r="E952" i="3"/>
  <c r="F952" i="3" s="1"/>
  <c r="H958" i="3"/>
  <c r="AL1002" i="3"/>
  <c r="H1029" i="3"/>
  <c r="AH1030" i="3"/>
  <c r="AL1030" i="3" s="1"/>
  <c r="C1041" i="3"/>
  <c r="D1041" i="3" s="1"/>
  <c r="AH1152" i="3"/>
  <c r="AL1152" i="3" s="1"/>
  <c r="H1152" i="3"/>
  <c r="C1238" i="3"/>
  <c r="D1238" i="3" s="1"/>
  <c r="AH1327" i="3"/>
  <c r="AL1327" i="3" s="1"/>
  <c r="E1327" i="3"/>
  <c r="F1327" i="3" s="1"/>
  <c r="C1327" i="3"/>
  <c r="D1327" i="3" s="1"/>
  <c r="E1379" i="3"/>
  <c r="F1379" i="3" s="1"/>
  <c r="AH1379" i="3"/>
  <c r="AL1379" i="3" s="1"/>
  <c r="H1379" i="3"/>
  <c r="C1379" i="3"/>
  <c r="D1379" i="3" s="1"/>
  <c r="C1472" i="3"/>
  <c r="D1472" i="3" s="1"/>
  <c r="E1472" i="3"/>
  <c r="F1472" i="3" s="1"/>
  <c r="E1497" i="3"/>
  <c r="F1497" i="3" s="1"/>
  <c r="AH1497" i="3"/>
  <c r="AJ1497" i="3" s="1"/>
  <c r="H1497" i="3"/>
  <c r="C1497" i="3"/>
  <c r="D1497" i="3" s="1"/>
  <c r="E1092" i="3"/>
  <c r="F1092" i="3" s="1"/>
  <c r="E1163" i="3"/>
  <c r="F1163" i="3" s="1"/>
  <c r="E1198" i="3"/>
  <c r="F1198" i="3" s="1"/>
  <c r="E1238" i="3"/>
  <c r="F1238" i="3" s="1"/>
  <c r="E1370" i="3"/>
  <c r="F1370" i="3" s="1"/>
  <c r="C1370" i="3"/>
  <c r="D1370" i="3" s="1"/>
  <c r="AH1370" i="3"/>
  <c r="AH1419" i="3"/>
  <c r="H1419" i="3"/>
  <c r="E1419" i="3"/>
  <c r="F1419" i="3" s="1"/>
  <c r="C1432" i="3"/>
  <c r="D1432" i="3" s="1"/>
  <c r="H1432" i="3"/>
  <c r="E883" i="3"/>
  <c r="F883" i="3" s="1"/>
  <c r="E993" i="3"/>
  <c r="F993" i="3" s="1"/>
  <c r="H993" i="3"/>
  <c r="H1003" i="3"/>
  <c r="E1040" i="3"/>
  <c r="F1040" i="3" s="1"/>
  <c r="H1042" i="3"/>
  <c r="H1085" i="3"/>
  <c r="AL1119" i="3"/>
  <c r="H1130" i="3"/>
  <c r="H1179" i="3"/>
  <c r="H1188" i="3"/>
  <c r="AH1196" i="3"/>
  <c r="AJ1196" i="3" s="1"/>
  <c r="C1226" i="3"/>
  <c r="D1226" i="3" s="1"/>
  <c r="E1308" i="3"/>
  <c r="F1308" i="3" s="1"/>
  <c r="H1310" i="3"/>
  <c r="C1310" i="3"/>
  <c r="D1310" i="3" s="1"/>
  <c r="E1326" i="3"/>
  <c r="F1326" i="3" s="1"/>
  <c r="H1326" i="3"/>
  <c r="C1326" i="3"/>
  <c r="D1326" i="3" s="1"/>
  <c r="AH1326" i="3"/>
  <c r="AJ1326" i="3" s="1"/>
  <c r="E1378" i="3"/>
  <c r="F1378" i="3" s="1"/>
  <c r="H1378" i="3"/>
  <c r="C1378" i="3"/>
  <c r="D1378" i="3" s="1"/>
  <c r="C1404" i="3"/>
  <c r="D1404" i="3" s="1"/>
  <c r="H1404" i="3"/>
  <c r="H1570" i="3"/>
  <c r="AH1570" i="3"/>
  <c r="C526" i="3"/>
  <c r="D526" i="3" s="1"/>
  <c r="E556" i="3"/>
  <c r="F556" i="3" s="1"/>
  <c r="C673" i="3"/>
  <c r="D673" i="3" s="1"/>
  <c r="H710" i="3"/>
  <c r="AJ771" i="3"/>
  <c r="C793" i="3"/>
  <c r="D793" i="3" s="1"/>
  <c r="H808" i="3"/>
  <c r="C900" i="3"/>
  <c r="D900" i="3" s="1"/>
  <c r="E927" i="3"/>
  <c r="F927" i="3" s="1"/>
  <c r="H940" i="3"/>
  <c r="H956" i="3"/>
  <c r="H977" i="3"/>
  <c r="AH981" i="3"/>
  <c r="H981" i="3"/>
  <c r="AH989" i="3"/>
  <c r="AH990" i="3"/>
  <c r="AL990" i="3" s="1"/>
  <c r="C1032" i="3"/>
  <c r="D1032" i="3" s="1"/>
  <c r="H1091" i="3"/>
  <c r="E1119" i="3"/>
  <c r="F1119" i="3" s="1"/>
  <c r="C1120" i="3"/>
  <c r="D1120" i="3" s="1"/>
  <c r="E1128" i="3"/>
  <c r="F1128" i="3" s="1"/>
  <c r="H1185" i="3"/>
  <c r="E1212" i="3"/>
  <c r="F1212" i="3" s="1"/>
  <c r="AH1212" i="3"/>
  <c r="AL1212" i="3" s="1"/>
  <c r="AH1223" i="3"/>
  <c r="AL1223" i="3" s="1"/>
  <c r="E1269" i="3"/>
  <c r="F1269" i="3" s="1"/>
  <c r="AH1269" i="3"/>
  <c r="AL1269" i="3" s="1"/>
  <c r="C1277" i="3"/>
  <c r="D1277" i="3" s="1"/>
  <c r="C1317" i="3"/>
  <c r="D1317" i="3" s="1"/>
  <c r="E978" i="3"/>
  <c r="F978" i="3" s="1"/>
  <c r="H978" i="3"/>
  <c r="E1204" i="3"/>
  <c r="F1204" i="3" s="1"/>
  <c r="H1204" i="3"/>
  <c r="C1298" i="3"/>
  <c r="D1298" i="3" s="1"/>
  <c r="E1298" i="3"/>
  <c r="F1298" i="3" s="1"/>
  <c r="AH1334" i="3"/>
  <c r="H1334" i="3"/>
  <c r="C1334" i="3"/>
  <c r="D1334" i="3" s="1"/>
  <c r="AH1369" i="3"/>
  <c r="E1369" i="3"/>
  <c r="F1369" i="3" s="1"/>
  <c r="AH1418" i="3"/>
  <c r="E1418" i="3"/>
  <c r="F1418" i="3" s="1"/>
  <c r="E1462" i="3"/>
  <c r="F1462" i="3" s="1"/>
  <c r="C1462" i="3"/>
  <c r="D1462" i="3" s="1"/>
  <c r="H1462" i="3"/>
  <c r="AJ1552" i="3"/>
  <c r="AL1552" i="3"/>
  <c r="AH1681" i="3"/>
  <c r="H1681" i="3"/>
  <c r="C1681" i="3"/>
  <c r="D1681" i="3" s="1"/>
  <c r="E1681" i="3"/>
  <c r="F1681" i="3" s="1"/>
  <c r="AH755" i="3"/>
  <c r="C797" i="3"/>
  <c r="D797" i="3" s="1"/>
  <c r="E844" i="3"/>
  <c r="F844" i="3" s="1"/>
  <c r="AH857" i="3"/>
  <c r="H895" i="3"/>
  <c r="C895" i="3"/>
  <c r="D895" i="3" s="1"/>
  <c r="AH902" i="3"/>
  <c r="C902" i="3"/>
  <c r="D902" i="3" s="1"/>
  <c r="AH975" i="3"/>
  <c r="AL975" i="3" s="1"/>
  <c r="C1126" i="3"/>
  <c r="D1126" i="3" s="1"/>
  <c r="E1146" i="3"/>
  <c r="F1146" i="3" s="1"/>
  <c r="C1152" i="3"/>
  <c r="D1152" i="3" s="1"/>
  <c r="AJ1233" i="3"/>
  <c r="H1302" i="3"/>
  <c r="AH1302" i="3"/>
  <c r="AH1307" i="3"/>
  <c r="AL1307" i="3" s="1"/>
  <c r="E1307" i="3"/>
  <c r="F1307" i="3" s="1"/>
  <c r="H1361" i="3"/>
  <c r="C1372" i="3"/>
  <c r="D1372" i="3" s="1"/>
  <c r="H1372" i="3"/>
  <c r="AH1448" i="3"/>
  <c r="H1448" i="3"/>
  <c r="E1448" i="3"/>
  <c r="F1448" i="3" s="1"/>
  <c r="C1448" i="3"/>
  <c r="D1448" i="3" s="1"/>
  <c r="C610" i="3"/>
  <c r="D610" i="3" s="1"/>
  <c r="E614" i="3"/>
  <c r="F614" i="3" s="1"/>
  <c r="AH642" i="3"/>
  <c r="AH665" i="3"/>
  <c r="C698" i="3"/>
  <c r="D698" i="3" s="1"/>
  <c r="AH732" i="3"/>
  <c r="AJ732" i="3" s="1"/>
  <c r="AJ733" i="3"/>
  <c r="C756" i="3"/>
  <c r="D756" i="3" s="1"/>
  <c r="C842" i="3"/>
  <c r="D842" i="3" s="1"/>
  <c r="AJ842" i="3"/>
  <c r="C857" i="3"/>
  <c r="D857" i="3" s="1"/>
  <c r="AH1011" i="3"/>
  <c r="AJ1062" i="3"/>
  <c r="E1070" i="3"/>
  <c r="F1070" i="3" s="1"/>
  <c r="AH1074" i="3"/>
  <c r="AL1074" i="3" s="1"/>
  <c r="C1088" i="3"/>
  <c r="D1088" i="3" s="1"/>
  <c r="E1126" i="3"/>
  <c r="F1126" i="3" s="1"/>
  <c r="AH1144" i="3"/>
  <c r="AL1144" i="3" s="1"/>
  <c r="E1152" i="3"/>
  <c r="F1152" i="3" s="1"/>
  <c r="AH1176" i="3"/>
  <c r="AJ1176" i="3" s="1"/>
  <c r="AH1207" i="3"/>
  <c r="H1232" i="3"/>
  <c r="C1234" i="3"/>
  <c r="D1234" i="3" s="1"/>
  <c r="E1290" i="3"/>
  <c r="F1290" i="3" s="1"/>
  <c r="AH1291" i="3"/>
  <c r="AL1291" i="3" s="1"/>
  <c r="C1291" i="3"/>
  <c r="D1291" i="3" s="1"/>
  <c r="AH1330" i="3"/>
  <c r="H1330" i="3"/>
  <c r="E1330" i="3"/>
  <c r="F1330" i="3" s="1"/>
  <c r="C1330" i="3"/>
  <c r="D1330" i="3" s="1"/>
  <c r="AJ1780" i="3"/>
  <c r="AL1780" i="3"/>
  <c r="AH1512" i="3"/>
  <c r="AH1569" i="3"/>
  <c r="C1569" i="3"/>
  <c r="D1569" i="3" s="1"/>
  <c r="AH1582" i="3"/>
  <c r="C1582" i="3"/>
  <c r="D1582" i="3" s="1"/>
  <c r="AH1705" i="3"/>
  <c r="H1705" i="3"/>
  <c r="H1846" i="3"/>
  <c r="C1846" i="3"/>
  <c r="D1846" i="3" s="1"/>
  <c r="C1508" i="3"/>
  <c r="D1508" i="3" s="1"/>
  <c r="E1508" i="3"/>
  <c r="F1508" i="3" s="1"/>
  <c r="AH1509" i="3"/>
  <c r="C1509" i="3"/>
  <c r="D1509" i="3" s="1"/>
  <c r="E1553" i="3"/>
  <c r="F1553" i="3" s="1"/>
  <c r="H1556" i="3"/>
  <c r="E1586" i="3"/>
  <c r="F1586" i="3" s="1"/>
  <c r="H1639" i="3"/>
  <c r="AH1639" i="3"/>
  <c r="AH1676" i="3"/>
  <c r="H1676" i="3"/>
  <c r="AH1944" i="3"/>
  <c r="AL1944" i="3" s="1"/>
  <c r="H1944" i="3"/>
  <c r="E1944" i="3"/>
  <c r="F1944" i="3" s="1"/>
  <c r="C1944" i="3"/>
  <c r="D1944" i="3" s="1"/>
  <c r="AH1454" i="3"/>
  <c r="C1454" i="3"/>
  <c r="D1454" i="3" s="1"/>
  <c r="AH1496" i="3"/>
  <c r="H1496" i="3"/>
  <c r="C1591" i="3"/>
  <c r="D1591" i="3" s="1"/>
  <c r="E1646" i="3"/>
  <c r="F1646" i="3" s="1"/>
  <c r="C1646" i="3"/>
  <c r="D1646" i="3" s="1"/>
  <c r="H1661" i="3"/>
  <c r="C1661" i="3"/>
  <c r="D1661" i="3" s="1"/>
  <c r="AH1680" i="3"/>
  <c r="E1680" i="3"/>
  <c r="F1680" i="3" s="1"/>
  <c r="AH1696" i="3"/>
  <c r="H1696" i="3"/>
  <c r="E1762" i="3"/>
  <c r="F1762" i="3" s="1"/>
  <c r="AH1762" i="3"/>
  <c r="AL1762" i="3" s="1"/>
  <c r="H1762" i="3"/>
  <c r="C1762" i="3"/>
  <c r="D1762" i="3" s="1"/>
  <c r="E1999" i="3"/>
  <c r="F1999" i="3" s="1"/>
  <c r="H1999" i="3"/>
  <c r="AH1411" i="3"/>
  <c r="AJ1411" i="3" s="1"/>
  <c r="H1411" i="3"/>
  <c r="AJ1527" i="3"/>
  <c r="AH1534" i="3"/>
  <c r="H1547" i="3"/>
  <c r="AH1547" i="3"/>
  <c r="E1591" i="3"/>
  <c r="F1591" i="3" s="1"/>
  <c r="H1657" i="3"/>
  <c r="E1657" i="3"/>
  <c r="F1657" i="3" s="1"/>
  <c r="C1322" i="3"/>
  <c r="D1322" i="3" s="1"/>
  <c r="E1322" i="3"/>
  <c r="F1322" i="3" s="1"/>
  <c r="AH1323" i="3"/>
  <c r="E1323" i="3"/>
  <c r="F1323" i="3" s="1"/>
  <c r="C1415" i="3"/>
  <c r="D1415" i="3" s="1"/>
  <c r="AJ1443" i="3"/>
  <c r="AH1495" i="3"/>
  <c r="AL1495" i="3" s="1"/>
  <c r="C1495" i="3"/>
  <c r="D1495" i="3" s="1"/>
  <c r="H1591" i="3"/>
  <c r="C1605" i="3"/>
  <c r="D1605" i="3" s="1"/>
  <c r="E1605" i="3"/>
  <c r="F1605" i="3" s="1"/>
  <c r="E1856" i="3"/>
  <c r="F1856" i="3" s="1"/>
  <c r="C1856" i="3"/>
  <c r="D1856" i="3" s="1"/>
  <c r="AH1961" i="3"/>
  <c r="AL1961" i="3" s="1"/>
  <c r="H1961" i="3"/>
  <c r="C1961" i="3"/>
  <c r="D1961" i="3" s="1"/>
  <c r="H2082" i="3"/>
  <c r="E2082" i="3"/>
  <c r="F2082" i="3" s="1"/>
  <c r="C2082" i="3"/>
  <c r="D2082" i="3" s="1"/>
  <c r="AH2082" i="3"/>
  <c r="AL2082" i="3" s="1"/>
  <c r="H1416" i="3"/>
  <c r="AH1416" i="3"/>
  <c r="AL1416" i="3" s="1"/>
  <c r="E1424" i="3"/>
  <c r="F1424" i="3" s="1"/>
  <c r="C1481" i="3"/>
  <c r="D1481" i="3" s="1"/>
  <c r="H1483" i="3"/>
  <c r="E1483" i="3"/>
  <c r="F1483" i="3" s="1"/>
  <c r="AH1513" i="3"/>
  <c r="C1513" i="3"/>
  <c r="D1513" i="3" s="1"/>
  <c r="E1603" i="3"/>
  <c r="F1603" i="3" s="1"/>
  <c r="H1609" i="3"/>
  <c r="AH1609" i="3"/>
  <c r="E1717" i="3"/>
  <c r="F1717" i="3" s="1"/>
  <c r="AH1717" i="3"/>
  <c r="C1717" i="3"/>
  <c r="D1717" i="3" s="1"/>
  <c r="H1753" i="3"/>
  <c r="E1753" i="3"/>
  <c r="F1753" i="3" s="1"/>
  <c r="H1902" i="3"/>
  <c r="C1902" i="3"/>
  <c r="D1902" i="3" s="1"/>
  <c r="AH1943" i="3"/>
  <c r="H1943" i="3"/>
  <c r="E1943" i="3"/>
  <c r="F1943" i="3" s="1"/>
  <c r="H1424" i="3"/>
  <c r="C1434" i="3"/>
  <c r="D1434" i="3" s="1"/>
  <c r="E1494" i="3"/>
  <c r="F1494" i="3" s="1"/>
  <c r="C1494" i="3"/>
  <c r="D1494" i="3" s="1"/>
  <c r="AH1637" i="3"/>
  <c r="E1637" i="3"/>
  <c r="F1637" i="3" s="1"/>
  <c r="C1656" i="3"/>
  <c r="D1656" i="3" s="1"/>
  <c r="AH1656" i="3"/>
  <c r="H1656" i="3"/>
  <c r="E1656" i="3"/>
  <c r="F1656" i="3" s="1"/>
  <c r="E1674" i="3"/>
  <c r="F1674" i="3" s="1"/>
  <c r="AH1689" i="3"/>
  <c r="H1689" i="3"/>
  <c r="E1689" i="3"/>
  <c r="F1689" i="3" s="1"/>
  <c r="C1362" i="3"/>
  <c r="D1362" i="3" s="1"/>
  <c r="E1393" i="3"/>
  <c r="F1393" i="3" s="1"/>
  <c r="AH1408" i="3"/>
  <c r="AJ1408" i="3" s="1"/>
  <c r="E1408" i="3"/>
  <c r="F1408" i="3" s="1"/>
  <c r="AH1563" i="3"/>
  <c r="AJ1563" i="3" s="1"/>
  <c r="C1563" i="3"/>
  <c r="D1563" i="3" s="1"/>
  <c r="E1569" i="3"/>
  <c r="F1569" i="3" s="1"/>
  <c r="E1582" i="3"/>
  <c r="F1582" i="3" s="1"/>
  <c r="H1602" i="3"/>
  <c r="AH1649" i="3"/>
  <c r="H1649" i="3"/>
  <c r="AH1716" i="3"/>
  <c r="C1716" i="3"/>
  <c r="D1716" i="3" s="1"/>
  <c r="E1747" i="3"/>
  <c r="F1747" i="3" s="1"/>
  <c r="H1749" i="3"/>
  <c r="AH1760" i="3"/>
  <c r="AL1760" i="3" s="1"/>
  <c r="C1760" i="3"/>
  <c r="D1760" i="3" s="1"/>
  <c r="AH1336" i="3"/>
  <c r="AJ1336" i="3" s="1"/>
  <c r="H1336" i="3"/>
  <c r="H1463" i="3"/>
  <c r="E1463" i="3"/>
  <c r="F1463" i="3" s="1"/>
  <c r="E1464" i="3"/>
  <c r="F1464" i="3" s="1"/>
  <c r="H1464" i="3"/>
  <c r="AH1467" i="3"/>
  <c r="E1522" i="3"/>
  <c r="F1522" i="3" s="1"/>
  <c r="H1522" i="3"/>
  <c r="H1568" i="3"/>
  <c r="H1569" i="3"/>
  <c r="AH1577" i="3"/>
  <c r="C1579" i="3"/>
  <c r="D1579" i="3" s="1"/>
  <c r="H1582" i="3"/>
  <c r="H1636" i="3"/>
  <c r="AH1636" i="3"/>
  <c r="C1636" i="3"/>
  <c r="D1636" i="3" s="1"/>
  <c r="C1639" i="3"/>
  <c r="D1639" i="3" s="1"/>
  <c r="AH1646" i="3"/>
  <c r="C1705" i="3"/>
  <c r="D1705" i="3" s="1"/>
  <c r="E1729" i="3"/>
  <c r="F1729" i="3" s="1"/>
  <c r="C1935" i="3"/>
  <c r="D1935" i="3" s="1"/>
  <c r="AH1935" i="3"/>
  <c r="H1935" i="3"/>
  <c r="E1935" i="3"/>
  <c r="F1935" i="3" s="1"/>
  <c r="H2081" i="3"/>
  <c r="C2081" i="3"/>
  <c r="D2081" i="3" s="1"/>
  <c r="AH2081" i="3"/>
  <c r="E1509" i="3"/>
  <c r="F1509" i="3" s="1"/>
  <c r="E1748" i="3"/>
  <c r="F1748" i="3" s="1"/>
  <c r="AH1748" i="3"/>
  <c r="H1748" i="3"/>
  <c r="C1748" i="3"/>
  <c r="D1748" i="3" s="1"/>
  <c r="C1774" i="3"/>
  <c r="D1774" i="3" s="1"/>
  <c r="E1774" i="3"/>
  <c r="F1774" i="3" s="1"/>
  <c r="H1780" i="3"/>
  <c r="E1780" i="3"/>
  <c r="F1780" i="3" s="1"/>
  <c r="C1780" i="3"/>
  <c r="D1780" i="3" s="1"/>
  <c r="AL1958" i="3"/>
  <c r="AJ1958" i="3"/>
  <c r="AH2011" i="3"/>
  <c r="C2011" i="3"/>
  <c r="D2011" i="3" s="1"/>
  <c r="H1318" i="3"/>
  <c r="AH1318" i="3"/>
  <c r="AL1318" i="3" s="1"/>
  <c r="C1335" i="3"/>
  <c r="D1335" i="3" s="1"/>
  <c r="E1335" i="3"/>
  <c r="F1335" i="3" s="1"/>
  <c r="AH1367" i="3"/>
  <c r="AL1367" i="3" s="1"/>
  <c r="C1411" i="3"/>
  <c r="D1411" i="3" s="1"/>
  <c r="C1412" i="3"/>
  <c r="D1412" i="3" s="1"/>
  <c r="E1454" i="3"/>
  <c r="F1454" i="3" s="1"/>
  <c r="E1461" i="3"/>
  <c r="F1461" i="3" s="1"/>
  <c r="H1461" i="3"/>
  <c r="AH1510" i="3"/>
  <c r="AL1510" i="3" s="1"/>
  <c r="E1510" i="3"/>
  <c r="F1510" i="3" s="1"/>
  <c r="AH1521" i="3"/>
  <c r="H1521" i="3"/>
  <c r="AH1554" i="3"/>
  <c r="AL1554" i="3" s="1"/>
  <c r="C1565" i="3"/>
  <c r="D1565" i="3" s="1"/>
  <c r="C1567" i="3"/>
  <c r="D1567" i="3" s="1"/>
  <c r="C1577" i="3"/>
  <c r="D1577" i="3" s="1"/>
  <c r="E1634" i="3"/>
  <c r="F1634" i="3" s="1"/>
  <c r="AH1662" i="3"/>
  <c r="C1662" i="3"/>
  <c r="D1662" i="3" s="1"/>
  <c r="C1680" i="3"/>
  <c r="D1680" i="3" s="1"/>
  <c r="C1825" i="3"/>
  <c r="D1825" i="3" s="1"/>
  <c r="E1860" i="3"/>
  <c r="F1860" i="3" s="1"/>
  <c r="E1895" i="3"/>
  <c r="F1895" i="3" s="1"/>
  <c r="E1911" i="3"/>
  <c r="F1911" i="3" s="1"/>
  <c r="H1914" i="3"/>
  <c r="AH1960" i="3"/>
  <c r="C1960" i="3"/>
  <c r="D1960" i="3" s="1"/>
  <c r="H1960" i="3"/>
  <c r="E1972" i="3"/>
  <c r="F1972" i="3" s="1"/>
  <c r="AH2004" i="3"/>
  <c r="AJ2004" i="3" s="1"/>
  <c r="E2004" i="3"/>
  <c r="F2004" i="3" s="1"/>
  <c r="AH2036" i="3"/>
  <c r="AJ2036" i="3" s="1"/>
  <c r="E2036" i="3"/>
  <c r="F2036" i="3" s="1"/>
  <c r="C2036" i="3"/>
  <c r="D2036" i="3" s="1"/>
  <c r="H2049" i="3"/>
  <c r="C2049" i="3"/>
  <c r="D2049" i="3" s="1"/>
  <c r="AH2088" i="3"/>
  <c r="AL2088" i="3" s="1"/>
  <c r="H2088" i="3"/>
  <c r="E2088" i="3"/>
  <c r="F2088" i="3" s="1"/>
  <c r="AH2117" i="3"/>
  <c r="H2117" i="3"/>
  <c r="C2149" i="3"/>
  <c r="D2149" i="3" s="1"/>
  <c r="E2149" i="3"/>
  <c r="F2149" i="3" s="1"/>
  <c r="H1810" i="3"/>
  <c r="H1817" i="3"/>
  <c r="C1817" i="3"/>
  <c r="D1817" i="3" s="1"/>
  <c r="C1859" i="3"/>
  <c r="D1859" i="3" s="1"/>
  <c r="C1889" i="3"/>
  <c r="D1889" i="3" s="1"/>
  <c r="AL1889" i="3"/>
  <c r="H1895" i="3"/>
  <c r="H1911" i="3"/>
  <c r="AJ1965" i="3"/>
  <c r="H2015" i="3"/>
  <c r="E2016" i="3"/>
  <c r="F2016" i="3" s="1"/>
  <c r="AH2045" i="3"/>
  <c r="AJ2045" i="3" s="1"/>
  <c r="C2068" i="3"/>
  <c r="D2068" i="3" s="1"/>
  <c r="AH1776" i="3"/>
  <c r="C1776" i="3"/>
  <c r="D1776" i="3" s="1"/>
  <c r="C1824" i="3"/>
  <c r="D1824" i="3" s="1"/>
  <c r="E1875" i="3"/>
  <c r="F1875" i="3" s="1"/>
  <c r="E1889" i="3"/>
  <c r="F1889" i="3" s="1"/>
  <c r="E1909" i="3"/>
  <c r="F1909" i="3" s="1"/>
  <c r="E1966" i="3"/>
  <c r="F1966" i="3" s="1"/>
  <c r="AH2101" i="3"/>
  <c r="H2101" i="3"/>
  <c r="E2101" i="3"/>
  <c r="F2101" i="3" s="1"/>
  <c r="AH2212" i="3"/>
  <c r="H2212" i="3"/>
  <c r="C2219" i="3"/>
  <c r="D2219" i="3" s="1"/>
  <c r="H2219" i="3"/>
  <c r="E2219" i="3"/>
  <c r="F2219" i="3" s="1"/>
  <c r="C1852" i="3"/>
  <c r="D1852" i="3" s="1"/>
  <c r="AH1852" i="3"/>
  <c r="AL1852" i="3" s="1"/>
  <c r="H1852" i="3"/>
  <c r="AH1854" i="3"/>
  <c r="E1854" i="3"/>
  <c r="F1854" i="3" s="1"/>
  <c r="C2045" i="3"/>
  <c r="D2045" i="3" s="1"/>
  <c r="E2046" i="3"/>
  <c r="F2046" i="3" s="1"/>
  <c r="AH1899" i="3"/>
  <c r="C1899" i="3"/>
  <c r="D1899" i="3" s="1"/>
  <c r="C1910" i="3"/>
  <c r="D1910" i="3" s="1"/>
  <c r="AH1910" i="3"/>
  <c r="AJ1910" i="3" s="1"/>
  <c r="E1910" i="3"/>
  <c r="F1910" i="3" s="1"/>
  <c r="AH2100" i="3"/>
  <c r="AL2100" i="3" s="1"/>
  <c r="H2100" i="3"/>
  <c r="C2100" i="3"/>
  <c r="D2100" i="3" s="1"/>
  <c r="AJ2129" i="3"/>
  <c r="AL2129" i="3"/>
  <c r="AH1859" i="3"/>
  <c r="AL1859" i="3" s="1"/>
  <c r="E1859" i="3"/>
  <c r="F1859" i="3" s="1"/>
  <c r="E1894" i="3"/>
  <c r="F1894" i="3" s="1"/>
  <c r="AH1894" i="3"/>
  <c r="E1958" i="3"/>
  <c r="F1958" i="3" s="1"/>
  <c r="C1958" i="3"/>
  <c r="D1958" i="3" s="1"/>
  <c r="AH2016" i="3"/>
  <c r="AJ2016" i="3" s="1"/>
  <c r="C2016" i="3"/>
  <c r="D2016" i="3" s="1"/>
  <c r="AH2039" i="3"/>
  <c r="AL2039" i="3" s="1"/>
  <c r="H2039" i="3"/>
  <c r="E2039" i="3"/>
  <c r="F2039" i="3" s="1"/>
  <c r="AL2152" i="3"/>
  <c r="AJ2152" i="3"/>
  <c r="AH2210" i="3"/>
  <c r="AJ2210" i="3" s="1"/>
  <c r="H2210" i="3"/>
  <c r="E2210" i="3"/>
  <c r="F2210" i="3" s="1"/>
  <c r="C2210" i="3"/>
  <c r="D2210" i="3" s="1"/>
  <c r="AH1789" i="3"/>
  <c r="AJ1789" i="3" s="1"/>
  <c r="E1789" i="3"/>
  <c r="F1789" i="3" s="1"/>
  <c r="H2205" i="3"/>
  <c r="E2205" i="3"/>
  <c r="F2205" i="3" s="1"/>
  <c r="C2205" i="3"/>
  <c r="D2205" i="3" s="1"/>
  <c r="AH2222" i="3"/>
  <c r="H2222" i="3"/>
  <c r="H2014" i="3"/>
  <c r="AH2014" i="3"/>
  <c r="H2036" i="3"/>
  <c r="AH2091" i="3"/>
  <c r="AJ2091" i="3" s="1"/>
  <c r="E2091" i="3"/>
  <c r="F2091" i="3" s="1"/>
  <c r="C1957" i="3"/>
  <c r="D1957" i="3" s="1"/>
  <c r="AH1957" i="3"/>
  <c r="H2004" i="3"/>
  <c r="H2078" i="3"/>
  <c r="E2078" i="3"/>
  <c r="F2078" i="3" s="1"/>
  <c r="AH2078" i="3"/>
  <c r="AH1658" i="3"/>
  <c r="E1658" i="3"/>
  <c r="F1658" i="3" s="1"/>
  <c r="H1727" i="3"/>
  <c r="C1727" i="3"/>
  <c r="D1727" i="3" s="1"/>
  <c r="C1785" i="3"/>
  <c r="D1785" i="3" s="1"/>
  <c r="AH1795" i="3"/>
  <c r="AJ1795" i="3" s="1"/>
  <c r="H1808" i="3"/>
  <c r="AJ1808" i="3"/>
  <c r="C1812" i="3"/>
  <c r="D1812" i="3" s="1"/>
  <c r="C1821" i="3"/>
  <c r="D1821" i="3" s="1"/>
  <c r="E1821" i="3"/>
  <c r="F1821" i="3" s="1"/>
  <c r="E1840" i="3"/>
  <c r="F1840" i="3" s="1"/>
  <c r="C1840" i="3"/>
  <c r="D1840" i="3" s="1"/>
  <c r="H1845" i="3"/>
  <c r="E1878" i="3"/>
  <c r="F1878" i="3" s="1"/>
  <c r="C1913" i="3"/>
  <c r="D1913" i="3" s="1"/>
  <c r="C1914" i="3"/>
  <c r="D1914" i="3" s="1"/>
  <c r="C1916" i="3"/>
  <c r="D1916" i="3" s="1"/>
  <c r="E1960" i="3"/>
  <c r="F1960" i="3" s="1"/>
  <c r="C2003" i="3"/>
  <c r="D2003" i="3" s="1"/>
  <c r="AH2136" i="3"/>
  <c r="AL2136" i="3" s="1"/>
  <c r="E2136" i="3"/>
  <c r="F2136" i="3" s="1"/>
  <c r="H2136" i="3"/>
  <c r="H2149" i="3"/>
  <c r="C2177" i="3"/>
  <c r="D2177" i="3" s="1"/>
  <c r="C2178" i="3"/>
  <c r="D2178" i="3" s="1"/>
  <c r="C2212" i="3"/>
  <c r="D2212" i="3" s="1"/>
  <c r="AL2213" i="3"/>
  <c r="AH1644" i="3"/>
  <c r="C1644" i="3"/>
  <c r="D1644" i="3" s="1"/>
  <c r="H1664" i="3"/>
  <c r="AH1805" i="3"/>
  <c r="H1820" i="3"/>
  <c r="E1820" i="3"/>
  <c r="F1820" i="3" s="1"/>
  <c r="AH1822" i="3"/>
  <c r="H1822" i="3"/>
  <c r="C1854" i="3"/>
  <c r="D1854" i="3" s="1"/>
  <c r="AH1860" i="3"/>
  <c r="AJ1860" i="3" s="1"/>
  <c r="H1878" i="3"/>
  <c r="AJ1914" i="3"/>
  <c r="AH2071" i="3"/>
  <c r="AL2071" i="3" s="1"/>
  <c r="H2089" i="3"/>
  <c r="C2089" i="3"/>
  <c r="D2089" i="3" s="1"/>
  <c r="H2129" i="3"/>
  <c r="E2129" i="3"/>
  <c r="F2129" i="3" s="1"/>
  <c r="E2150" i="3"/>
  <c r="F2150" i="3" s="1"/>
  <c r="C2150" i="3"/>
  <c r="D2150" i="3" s="1"/>
  <c r="E2154" i="3"/>
  <c r="F2154" i="3" s="1"/>
  <c r="H2176" i="3"/>
  <c r="E2177" i="3"/>
  <c r="F2177" i="3" s="1"/>
  <c r="C2188" i="3"/>
  <c r="D2188" i="3" s="1"/>
  <c r="H2188" i="3"/>
  <c r="AH1996" i="3"/>
  <c r="AJ1996" i="3" s="1"/>
  <c r="C1996" i="3"/>
  <c r="D1996" i="3" s="1"/>
  <c r="AH2107" i="3"/>
  <c r="AJ2107" i="3" s="1"/>
  <c r="E2107" i="3"/>
  <c r="F2107" i="3" s="1"/>
  <c r="H2118" i="3"/>
  <c r="H2131" i="3"/>
  <c r="E2132" i="3"/>
  <c r="F2132" i="3" s="1"/>
  <c r="C2133" i="3"/>
  <c r="D2133" i="3" s="1"/>
  <c r="E2200" i="3"/>
  <c r="F2200" i="3" s="1"/>
  <c r="E2220" i="3"/>
  <c r="F2220" i="3" s="1"/>
  <c r="AH2206" i="3"/>
  <c r="AJ2206" i="3" s="1"/>
  <c r="H2206" i="3"/>
  <c r="E2206" i="3"/>
  <c r="F2206" i="3" s="1"/>
  <c r="C2229" i="3"/>
  <c r="D2229" i="3" s="1"/>
  <c r="AH2229" i="3"/>
  <c r="AL2229" i="3" s="1"/>
  <c r="AH2230" i="3"/>
  <c r="E2230" i="3"/>
  <c r="F2230" i="3" s="1"/>
  <c r="AH2248" i="3"/>
  <c r="AJ2248" i="3" s="1"/>
  <c r="E2248" i="3"/>
  <c r="F2248" i="3" s="1"/>
  <c r="AH2228" i="3"/>
  <c r="H2228" i="3"/>
  <c r="C2228" i="3"/>
  <c r="D2228" i="3" s="1"/>
  <c r="C2084" i="3"/>
  <c r="D2084" i="3" s="1"/>
  <c r="AJ2084" i="3"/>
  <c r="AH1648" i="3"/>
  <c r="E1648" i="3"/>
  <c r="F1648" i="3" s="1"/>
  <c r="E1962" i="3"/>
  <c r="F1962" i="3" s="1"/>
  <c r="C1962" i="3"/>
  <c r="D1962" i="3" s="1"/>
  <c r="AH2062" i="3"/>
  <c r="AL2062" i="3" s="1"/>
  <c r="C2062" i="3"/>
  <c r="D2062" i="3" s="1"/>
  <c r="E2084" i="3"/>
  <c r="F2084" i="3" s="1"/>
  <c r="C2085" i="3"/>
  <c r="D2085" i="3" s="1"/>
  <c r="AH2085" i="3"/>
  <c r="AL2085" i="3" s="1"/>
  <c r="H2137" i="3"/>
  <c r="C2137" i="3"/>
  <c r="D2137" i="3" s="1"/>
  <c r="C2258" i="3"/>
  <c r="D2258" i="3" s="1"/>
  <c r="C2259" i="3"/>
  <c r="D2259" i="3" s="1"/>
  <c r="C2287" i="3"/>
  <c r="D2287" i="3" s="1"/>
  <c r="E2255" i="3"/>
  <c r="F2255" i="3" s="1"/>
  <c r="E2256" i="3"/>
  <c r="F2256" i="3" s="1"/>
  <c r="H2258" i="3"/>
  <c r="E2287" i="3"/>
  <c r="F2287" i="3" s="1"/>
  <c r="H2255" i="3"/>
  <c r="H2256" i="3"/>
  <c r="H2270" i="3"/>
  <c r="C2286" i="3"/>
  <c r="D2286" i="3" s="1"/>
  <c r="H2287" i="3"/>
  <c r="H2281" i="3"/>
  <c r="E2269" i="3"/>
  <c r="F2269" i="3" s="1"/>
  <c r="C2275" i="3"/>
  <c r="D2275" i="3" s="1"/>
  <c r="H2280" i="3"/>
  <c r="AH2249" i="3"/>
  <c r="AL2249" i="3" s="1"/>
  <c r="H2279" i="3"/>
  <c r="AJ12" i="3"/>
  <c r="AL12" i="3"/>
  <c r="AL19" i="3"/>
  <c r="AJ19" i="3"/>
  <c r="AJ50" i="3"/>
  <c r="AL50" i="3"/>
  <c r="C478" i="3"/>
  <c r="D478" i="3" s="1"/>
  <c r="AH478" i="3"/>
  <c r="AL478" i="3" s="1"/>
  <c r="AH55" i="3"/>
  <c r="E55" i="3"/>
  <c r="F55" i="3" s="1"/>
  <c r="AH429" i="3"/>
  <c r="E429" i="3"/>
  <c r="F429" i="3" s="1"/>
  <c r="C429" i="3"/>
  <c r="D429" i="3" s="1"/>
  <c r="AH73" i="3"/>
  <c r="AL73" i="3" s="1"/>
  <c r="E73" i="3"/>
  <c r="F73" i="3" s="1"/>
  <c r="E82" i="3"/>
  <c r="F82" i="3" s="1"/>
  <c r="E146" i="3"/>
  <c r="F146" i="3" s="1"/>
  <c r="H146" i="3"/>
  <c r="C146" i="3"/>
  <c r="D146" i="3" s="1"/>
  <c r="H477" i="3"/>
  <c r="AH477" i="3"/>
  <c r="C477" i="3"/>
  <c r="D477" i="3" s="1"/>
  <c r="E477" i="3"/>
  <c r="F477" i="3" s="1"/>
  <c r="C51" i="3"/>
  <c r="D51" i="3" s="1"/>
  <c r="E51" i="3"/>
  <c r="F51" i="3" s="1"/>
  <c r="E297" i="3"/>
  <c r="F297" i="3" s="1"/>
  <c r="AH297" i="3"/>
  <c r="AL297" i="3" s="1"/>
  <c r="AJ323" i="3"/>
  <c r="AL323" i="3"/>
  <c r="AH377" i="3"/>
  <c r="E377" i="3"/>
  <c r="F377" i="3" s="1"/>
  <c r="C17" i="3"/>
  <c r="D17" i="3" s="1"/>
  <c r="E50" i="3"/>
  <c r="F50" i="3" s="1"/>
  <c r="C54" i="3"/>
  <c r="D54" i="3" s="1"/>
  <c r="E70" i="3"/>
  <c r="F70" i="3" s="1"/>
  <c r="H70" i="3"/>
  <c r="H98" i="3"/>
  <c r="E498" i="3"/>
  <c r="F498" i="3" s="1"/>
  <c r="AH498" i="3"/>
  <c r="AL498" i="3" s="1"/>
  <c r="H498" i="3"/>
  <c r="C498" i="3"/>
  <c r="D498" i="3" s="1"/>
  <c r="H14" i="3"/>
  <c r="H16" i="3"/>
  <c r="C18" i="3"/>
  <c r="D18" i="3" s="1"/>
  <c r="AH18" i="3"/>
  <c r="AJ18" i="3" s="1"/>
  <c r="H35" i="3"/>
  <c r="E41" i="3"/>
  <c r="F41" i="3" s="1"/>
  <c r="H50" i="3"/>
  <c r="C55" i="3"/>
  <c r="D55" i="3" s="1"/>
  <c r="C61" i="3"/>
  <c r="D61" i="3" s="1"/>
  <c r="C66" i="3"/>
  <c r="D66" i="3" s="1"/>
  <c r="H69" i="3"/>
  <c r="E69" i="3"/>
  <c r="F69" i="3" s="1"/>
  <c r="AH83" i="3"/>
  <c r="E83" i="3"/>
  <c r="F83" i="3" s="1"/>
  <c r="AH107" i="3"/>
  <c r="AL107" i="3" s="1"/>
  <c r="E107" i="3"/>
  <c r="F107" i="3" s="1"/>
  <c r="C252" i="3"/>
  <c r="D252" i="3" s="1"/>
  <c r="E252" i="3"/>
  <c r="F252" i="3" s="1"/>
  <c r="C128" i="3"/>
  <c r="D128" i="3" s="1"/>
  <c r="AH128" i="3"/>
  <c r="AL128" i="3" s="1"/>
  <c r="H15" i="3"/>
  <c r="H18" i="3"/>
  <c r="C19" i="3"/>
  <c r="D19" i="3" s="1"/>
  <c r="AH37" i="3"/>
  <c r="AL37" i="3" s="1"/>
  <c r="AH41" i="3"/>
  <c r="E61" i="3"/>
  <c r="F61" i="3" s="1"/>
  <c r="AH80" i="3"/>
  <c r="AJ80" i="3" s="1"/>
  <c r="C80" i="3"/>
  <c r="D80" i="3" s="1"/>
  <c r="C105" i="3"/>
  <c r="D105" i="3" s="1"/>
  <c r="E105" i="3"/>
  <c r="F105" i="3" s="1"/>
  <c r="AH233" i="3"/>
  <c r="AL233" i="3" s="1"/>
  <c r="H233" i="3"/>
  <c r="E233" i="3"/>
  <c r="F233" i="3" s="1"/>
  <c r="C233" i="3"/>
  <c r="D233" i="3" s="1"/>
  <c r="H265" i="3"/>
  <c r="AH265" i="3"/>
  <c r="AL265" i="3" s="1"/>
  <c r="AJ357" i="3"/>
  <c r="AL357" i="3"/>
  <c r="AH497" i="3"/>
  <c r="AJ497" i="3" s="1"/>
  <c r="C497" i="3"/>
  <c r="D497" i="3" s="1"/>
  <c r="E19" i="3"/>
  <c r="F19" i="3" s="1"/>
  <c r="AH26" i="3"/>
  <c r="AJ26" i="3" s="1"/>
  <c r="C36" i="3"/>
  <c r="D36" i="3" s="1"/>
  <c r="H41" i="3"/>
  <c r="C75" i="3"/>
  <c r="D75" i="3" s="1"/>
  <c r="H130" i="3"/>
  <c r="E130" i="3"/>
  <c r="F130" i="3" s="1"/>
  <c r="C130" i="3"/>
  <c r="D130" i="3" s="1"/>
  <c r="AH11" i="3"/>
  <c r="AJ11" i="3" s="1"/>
  <c r="H19" i="3"/>
  <c r="H25" i="3"/>
  <c r="E26" i="3"/>
  <c r="F26" i="3" s="1"/>
  <c r="C27" i="3"/>
  <c r="D27" i="3" s="1"/>
  <c r="E36" i="3"/>
  <c r="F36" i="3" s="1"/>
  <c r="H55" i="3"/>
  <c r="H61" i="3"/>
  <c r="H66" i="3"/>
  <c r="AH75" i="3"/>
  <c r="AH81" i="3"/>
  <c r="C81" i="3"/>
  <c r="D81" i="3" s="1"/>
  <c r="AH92" i="3"/>
  <c r="E92" i="3"/>
  <c r="F92" i="3" s="1"/>
  <c r="H10" i="3"/>
  <c r="E11" i="3"/>
  <c r="F11" i="3" s="1"/>
  <c r="C12" i="3"/>
  <c r="D12" i="3" s="1"/>
  <c r="AH23" i="3"/>
  <c r="AL23" i="3" s="1"/>
  <c r="E27" i="3"/>
  <c r="F27" i="3" s="1"/>
  <c r="AH27" i="3"/>
  <c r="H51" i="3"/>
  <c r="C78" i="3"/>
  <c r="D78" i="3" s="1"/>
  <c r="AH78" i="3"/>
  <c r="AL78" i="3" s="1"/>
  <c r="H78" i="3"/>
  <c r="E79" i="3"/>
  <c r="F79" i="3" s="1"/>
  <c r="H79" i="3"/>
  <c r="C79" i="3"/>
  <c r="D79" i="3" s="1"/>
  <c r="H86" i="3"/>
  <c r="C86" i="3"/>
  <c r="D86" i="3" s="1"/>
  <c r="H92" i="3"/>
  <c r="C93" i="3"/>
  <c r="D93" i="3" s="1"/>
  <c r="C151" i="3"/>
  <c r="D151" i="3" s="1"/>
  <c r="AH151" i="3"/>
  <c r="C166" i="3"/>
  <c r="D166" i="3" s="1"/>
  <c r="H166" i="3"/>
  <c r="E166" i="3"/>
  <c r="F166" i="3" s="1"/>
  <c r="AL364" i="3"/>
  <c r="AJ364" i="3"/>
  <c r="AH431" i="3"/>
  <c r="AL431" i="3" s="1"/>
  <c r="C431" i="3"/>
  <c r="D431" i="3" s="1"/>
  <c r="H431" i="3"/>
  <c r="E431" i="3"/>
  <c r="F431" i="3" s="1"/>
  <c r="E445" i="3"/>
  <c r="F445" i="3" s="1"/>
  <c r="H445" i="3"/>
  <c r="AH445" i="3"/>
  <c r="AL445" i="3" s="1"/>
  <c r="C445" i="3"/>
  <c r="D445" i="3" s="1"/>
  <c r="AH8" i="3"/>
  <c r="AL8" i="3" s="1"/>
  <c r="H11" i="3"/>
  <c r="E12" i="3"/>
  <c r="F12" i="3" s="1"/>
  <c r="AH31" i="3"/>
  <c r="AL31" i="3" s="1"/>
  <c r="E42" i="3"/>
  <c r="F42" i="3" s="1"/>
  <c r="C56" i="3"/>
  <c r="D56" i="3" s="1"/>
  <c r="C73" i="3"/>
  <c r="D73" i="3" s="1"/>
  <c r="C91" i="3"/>
  <c r="D91" i="3" s="1"/>
  <c r="H12" i="3"/>
  <c r="H23" i="3"/>
  <c r="H42" i="3"/>
  <c r="AH42" i="3"/>
  <c r="C44" i="3"/>
  <c r="D44" i="3" s="1"/>
  <c r="AH45" i="3"/>
  <c r="AL45" i="3" s="1"/>
  <c r="E47" i="3"/>
  <c r="F47" i="3" s="1"/>
  <c r="C48" i="3"/>
  <c r="D48" i="3" s="1"/>
  <c r="C57" i="3"/>
  <c r="D57" i="3" s="1"/>
  <c r="H60" i="3"/>
  <c r="AH60" i="3"/>
  <c r="AJ60" i="3" s="1"/>
  <c r="C60" i="3"/>
  <c r="D60" i="3" s="1"/>
  <c r="AH77" i="3"/>
  <c r="AL77" i="3" s="1"/>
  <c r="H77" i="3"/>
  <c r="AH95" i="3"/>
  <c r="E95" i="3"/>
  <c r="F95" i="3" s="1"/>
  <c r="AH125" i="3"/>
  <c r="H125" i="3"/>
  <c r="E125" i="3"/>
  <c r="F125" i="3" s="1"/>
  <c r="C125" i="3"/>
  <c r="D125" i="3" s="1"/>
  <c r="AH156" i="3"/>
  <c r="AL156" i="3" s="1"/>
  <c r="H156" i="3"/>
  <c r="E156" i="3"/>
  <c r="F156" i="3" s="1"/>
  <c r="C156" i="3"/>
  <c r="D156" i="3" s="1"/>
  <c r="H237" i="3"/>
  <c r="AH237" i="3"/>
  <c r="E237" i="3"/>
  <c r="F237" i="3" s="1"/>
  <c r="C237" i="3"/>
  <c r="D237" i="3" s="1"/>
  <c r="E248" i="3"/>
  <c r="F248" i="3" s="1"/>
  <c r="C248" i="3"/>
  <c r="D248" i="3" s="1"/>
  <c r="H8" i="3"/>
  <c r="H31" i="3"/>
  <c r="E46" i="3"/>
  <c r="F46" i="3" s="1"/>
  <c r="AH82" i="3"/>
  <c r="AH254" i="3"/>
  <c r="AJ254" i="3" s="1"/>
  <c r="C254" i="3"/>
  <c r="D254" i="3" s="1"/>
  <c r="AH407" i="3"/>
  <c r="AL407" i="3" s="1"/>
  <c r="H407" i="3"/>
  <c r="E407" i="3"/>
  <c r="F407" i="3" s="1"/>
  <c r="C407" i="3"/>
  <c r="D407" i="3" s="1"/>
  <c r="AL436" i="3"/>
  <c r="AJ436" i="3"/>
  <c r="H185" i="3"/>
  <c r="H188" i="3"/>
  <c r="AH220" i="3"/>
  <c r="H240" i="3"/>
  <c r="H275" i="3"/>
  <c r="C276" i="3"/>
  <c r="D276" i="3" s="1"/>
  <c r="AH281" i="3"/>
  <c r="AL281" i="3" s="1"/>
  <c r="AH282" i="3"/>
  <c r="AL282" i="3" s="1"/>
  <c r="C284" i="3"/>
  <c r="D284" i="3" s="1"/>
  <c r="AH285" i="3"/>
  <c r="AJ285" i="3" s="1"/>
  <c r="C287" i="3"/>
  <c r="D287" i="3" s="1"/>
  <c r="H302" i="3"/>
  <c r="H303" i="3"/>
  <c r="E304" i="3"/>
  <c r="F304" i="3" s="1"/>
  <c r="H306" i="3"/>
  <c r="E308" i="3"/>
  <c r="F308" i="3" s="1"/>
  <c r="H309" i="3"/>
  <c r="H322" i="3"/>
  <c r="E323" i="3"/>
  <c r="F323" i="3" s="1"/>
  <c r="C354" i="3"/>
  <c r="D354" i="3" s="1"/>
  <c r="C356" i="3"/>
  <c r="D356" i="3" s="1"/>
  <c r="E357" i="3"/>
  <c r="F357" i="3" s="1"/>
  <c r="C362" i="3"/>
  <c r="D362" i="3" s="1"/>
  <c r="AJ366" i="3"/>
  <c r="C368" i="3"/>
  <c r="D368" i="3" s="1"/>
  <c r="H374" i="3"/>
  <c r="H382" i="3"/>
  <c r="E383" i="3"/>
  <c r="F383" i="3" s="1"/>
  <c r="C398" i="3"/>
  <c r="D398" i="3" s="1"/>
  <c r="AJ398" i="3"/>
  <c r="H401" i="3"/>
  <c r="C403" i="3"/>
  <c r="D403" i="3" s="1"/>
  <c r="AH404" i="3"/>
  <c r="C439" i="3"/>
  <c r="D439" i="3" s="1"/>
  <c r="H441" i="3"/>
  <c r="E442" i="3"/>
  <c r="F442" i="3" s="1"/>
  <c r="E446" i="3"/>
  <c r="F446" i="3" s="1"/>
  <c r="AH446" i="3"/>
  <c r="AJ446" i="3" s="1"/>
  <c r="H446" i="3"/>
  <c r="E448" i="3"/>
  <c r="F448" i="3" s="1"/>
  <c r="AH448" i="3"/>
  <c r="AH471" i="3"/>
  <c r="AL471" i="3" s="1"/>
  <c r="E473" i="3"/>
  <c r="F473" i="3" s="1"/>
  <c r="E489" i="3"/>
  <c r="F489" i="3" s="1"/>
  <c r="H490" i="3"/>
  <c r="E491" i="3"/>
  <c r="F491" i="3" s="1"/>
  <c r="C500" i="3"/>
  <c r="D500" i="3" s="1"/>
  <c r="C508" i="3"/>
  <c r="D508" i="3" s="1"/>
  <c r="E559" i="3"/>
  <c r="F559" i="3" s="1"/>
  <c r="AH559" i="3"/>
  <c r="AH567" i="3"/>
  <c r="E567" i="3"/>
  <c r="F567" i="3" s="1"/>
  <c r="E110" i="3"/>
  <c r="F110" i="3" s="1"/>
  <c r="C144" i="3"/>
  <c r="D144" i="3" s="1"/>
  <c r="C160" i="3"/>
  <c r="D160" i="3" s="1"/>
  <c r="C162" i="3"/>
  <c r="D162" i="3" s="1"/>
  <c r="H180" i="3"/>
  <c r="C181" i="3"/>
  <c r="D181" i="3" s="1"/>
  <c r="H189" i="3"/>
  <c r="C193" i="3"/>
  <c r="D193" i="3" s="1"/>
  <c r="AL193" i="3"/>
  <c r="H207" i="3"/>
  <c r="E214" i="3"/>
  <c r="F214" i="3" s="1"/>
  <c r="E215" i="3"/>
  <c r="F215" i="3" s="1"/>
  <c r="AJ215" i="3"/>
  <c r="E220" i="3"/>
  <c r="F220" i="3" s="1"/>
  <c r="H225" i="3"/>
  <c r="C228" i="3"/>
  <c r="D228" i="3" s="1"/>
  <c r="C230" i="3"/>
  <c r="D230" i="3" s="1"/>
  <c r="C257" i="3"/>
  <c r="D257" i="3" s="1"/>
  <c r="E276" i="3"/>
  <c r="F276" i="3" s="1"/>
  <c r="C277" i="3"/>
  <c r="D277" i="3" s="1"/>
  <c r="H280" i="3"/>
  <c r="E281" i="3"/>
  <c r="F281" i="3" s="1"/>
  <c r="C282" i="3"/>
  <c r="D282" i="3" s="1"/>
  <c r="C283" i="3"/>
  <c r="D283" i="3" s="1"/>
  <c r="E284" i="3"/>
  <c r="F284" i="3" s="1"/>
  <c r="E286" i="3"/>
  <c r="F286" i="3" s="1"/>
  <c r="C324" i="3"/>
  <c r="D324" i="3" s="1"/>
  <c r="AH324" i="3"/>
  <c r="AL324" i="3" s="1"/>
  <c r="C333" i="3"/>
  <c r="D333" i="3" s="1"/>
  <c r="AH337" i="3"/>
  <c r="H343" i="3"/>
  <c r="C352" i="3"/>
  <c r="D352" i="3" s="1"/>
  <c r="E354" i="3"/>
  <c r="F354" i="3" s="1"/>
  <c r="C355" i="3"/>
  <c r="D355" i="3" s="1"/>
  <c r="E362" i="3"/>
  <c r="F362" i="3" s="1"/>
  <c r="AJ362" i="3"/>
  <c r="E368" i="3"/>
  <c r="F368" i="3" s="1"/>
  <c r="H369" i="3"/>
  <c r="C370" i="3"/>
  <c r="D370" i="3" s="1"/>
  <c r="C397" i="3"/>
  <c r="D397" i="3" s="1"/>
  <c r="E404" i="3"/>
  <c r="F404" i="3" s="1"/>
  <c r="C437" i="3"/>
  <c r="D437" i="3" s="1"/>
  <c r="AH442" i="3"/>
  <c r="C452" i="3"/>
  <c r="D452" i="3" s="1"/>
  <c r="E471" i="3"/>
  <c r="F471" i="3" s="1"/>
  <c r="C472" i="3"/>
  <c r="D472" i="3" s="1"/>
  <c r="E492" i="3"/>
  <c r="F492" i="3" s="1"/>
  <c r="C493" i="3"/>
  <c r="D493" i="3" s="1"/>
  <c r="AH493" i="3"/>
  <c r="E518" i="3"/>
  <c r="F518" i="3" s="1"/>
  <c r="C522" i="3"/>
  <c r="D522" i="3" s="1"/>
  <c r="H557" i="3"/>
  <c r="H110" i="3"/>
  <c r="AH136" i="3"/>
  <c r="AL136" i="3" s="1"/>
  <c r="AH137" i="3"/>
  <c r="AJ137" i="3" s="1"/>
  <c r="AH155" i="3"/>
  <c r="C194" i="3"/>
  <c r="D194" i="3" s="1"/>
  <c r="C211" i="3"/>
  <c r="D211" i="3" s="1"/>
  <c r="H214" i="3"/>
  <c r="C222" i="3"/>
  <c r="D222" i="3" s="1"/>
  <c r="H226" i="3"/>
  <c r="C227" i="3"/>
  <c r="D227" i="3" s="1"/>
  <c r="H283" i="3"/>
  <c r="C285" i="3"/>
  <c r="D285" i="3" s="1"/>
  <c r="E287" i="3"/>
  <c r="F287" i="3" s="1"/>
  <c r="E325" i="3"/>
  <c r="F325" i="3" s="1"/>
  <c r="C336" i="3"/>
  <c r="D336" i="3" s="1"/>
  <c r="E365" i="3"/>
  <c r="F365" i="3" s="1"/>
  <c r="C366" i="3"/>
  <c r="D366" i="3" s="1"/>
  <c r="E398" i="3"/>
  <c r="F398" i="3" s="1"/>
  <c r="E403" i="3"/>
  <c r="F403" i="3" s="1"/>
  <c r="C405" i="3"/>
  <c r="D405" i="3" s="1"/>
  <c r="C411" i="3"/>
  <c r="D411" i="3" s="1"/>
  <c r="AH414" i="3"/>
  <c r="H442" i="3"/>
  <c r="E452" i="3"/>
  <c r="F452" i="3" s="1"/>
  <c r="AH476" i="3"/>
  <c r="AL476" i="3" s="1"/>
  <c r="H476" i="3"/>
  <c r="E476" i="3"/>
  <c r="F476" i="3" s="1"/>
  <c r="H509" i="3"/>
  <c r="AH566" i="3"/>
  <c r="H566" i="3"/>
  <c r="E566" i="3"/>
  <c r="F566" i="3" s="1"/>
  <c r="C566" i="3"/>
  <c r="D566" i="3" s="1"/>
  <c r="E137" i="3"/>
  <c r="F137" i="3" s="1"/>
  <c r="C138" i="3"/>
  <c r="D138" i="3" s="1"/>
  <c r="AL138" i="3"/>
  <c r="E144" i="3"/>
  <c r="F144" i="3" s="1"/>
  <c r="E160" i="3"/>
  <c r="F160" i="3" s="1"/>
  <c r="E221" i="3"/>
  <c r="F221" i="3" s="1"/>
  <c r="E222" i="3"/>
  <c r="F222" i="3" s="1"/>
  <c r="C223" i="3"/>
  <c r="D223" i="3" s="1"/>
  <c r="E227" i="3"/>
  <c r="F227" i="3" s="1"/>
  <c r="H228" i="3"/>
  <c r="E230" i="3"/>
  <c r="F230" i="3" s="1"/>
  <c r="AH230" i="3"/>
  <c r="E257" i="3"/>
  <c r="F257" i="3" s="1"/>
  <c r="E288" i="3"/>
  <c r="F288" i="3" s="1"/>
  <c r="AH288" i="3"/>
  <c r="AL288" i="3" s="1"/>
  <c r="E440" i="3"/>
  <c r="F440" i="3" s="1"/>
  <c r="AH440" i="3"/>
  <c r="AJ440" i="3" s="1"/>
  <c r="E456" i="3"/>
  <c r="F456" i="3" s="1"/>
  <c r="C514" i="3"/>
  <c r="D514" i="3" s="1"/>
  <c r="AH514" i="3"/>
  <c r="C517" i="3"/>
  <c r="D517" i="3" s="1"/>
  <c r="C553" i="3"/>
  <c r="D553" i="3" s="1"/>
  <c r="H553" i="3"/>
  <c r="E553" i="3"/>
  <c r="F553" i="3" s="1"/>
  <c r="AH553" i="3"/>
  <c r="E558" i="3"/>
  <c r="F558" i="3" s="1"/>
  <c r="AH558" i="3"/>
  <c r="C558" i="3"/>
  <c r="D558" i="3" s="1"/>
  <c r="C118" i="3"/>
  <c r="D118" i="3" s="1"/>
  <c r="AH127" i="3"/>
  <c r="AJ127" i="3" s="1"/>
  <c r="C131" i="3"/>
  <c r="D131" i="3" s="1"/>
  <c r="E138" i="3"/>
  <c r="F138" i="3" s="1"/>
  <c r="E141" i="3"/>
  <c r="F141" i="3" s="1"/>
  <c r="C142" i="3"/>
  <c r="D142" i="3" s="1"/>
  <c r="AH147" i="3"/>
  <c r="H168" i="3"/>
  <c r="E169" i="3"/>
  <c r="F169" i="3" s="1"/>
  <c r="H177" i="3"/>
  <c r="H193" i="3"/>
  <c r="AH195" i="3"/>
  <c r="E211" i="3"/>
  <c r="F211" i="3" s="1"/>
  <c r="H221" i="3"/>
  <c r="H222" i="3"/>
  <c r="C250" i="3"/>
  <c r="D250" i="3" s="1"/>
  <c r="AH251" i="3"/>
  <c r="H259" i="3"/>
  <c r="C289" i="3"/>
  <c r="D289" i="3" s="1"/>
  <c r="AH293" i="3"/>
  <c r="AL293" i="3" s="1"/>
  <c r="AH328" i="3"/>
  <c r="AH329" i="3"/>
  <c r="AL329" i="3" s="1"/>
  <c r="H333" i="3"/>
  <c r="C334" i="3"/>
  <c r="D334" i="3" s="1"/>
  <c r="H336" i="3"/>
  <c r="E337" i="3"/>
  <c r="F337" i="3" s="1"/>
  <c r="H338" i="3"/>
  <c r="AH338" i="3"/>
  <c r="AL338" i="3" s="1"/>
  <c r="AH339" i="3"/>
  <c r="AJ339" i="3" s="1"/>
  <c r="E358" i="3"/>
  <c r="F358" i="3" s="1"/>
  <c r="AH359" i="3"/>
  <c r="AL359" i="3" s="1"/>
  <c r="E409" i="3"/>
  <c r="F409" i="3" s="1"/>
  <c r="H412" i="3"/>
  <c r="AJ412" i="3"/>
  <c r="E415" i="3"/>
  <c r="F415" i="3" s="1"/>
  <c r="C419" i="3"/>
  <c r="D419" i="3" s="1"/>
  <c r="E420" i="3"/>
  <c r="F420" i="3" s="1"/>
  <c r="AJ420" i="3"/>
  <c r="H439" i="3"/>
  <c r="AH439" i="3"/>
  <c r="AJ439" i="3" s="1"/>
  <c r="AL454" i="3"/>
  <c r="AH489" i="3"/>
  <c r="C489" i="3"/>
  <c r="D489" i="3" s="1"/>
  <c r="E514" i="3"/>
  <c r="F514" i="3" s="1"/>
  <c r="C516" i="3"/>
  <c r="D516" i="3" s="1"/>
  <c r="H526" i="3"/>
  <c r="AH526" i="3"/>
  <c r="E131" i="3"/>
  <c r="F131" i="3" s="1"/>
  <c r="H138" i="3"/>
  <c r="H144" i="3"/>
  <c r="C145" i="3"/>
  <c r="D145" i="3" s="1"/>
  <c r="H160" i="3"/>
  <c r="H169" i="3"/>
  <c r="C195" i="3"/>
  <c r="D195" i="3" s="1"/>
  <c r="C199" i="3"/>
  <c r="D199" i="3" s="1"/>
  <c r="C234" i="3"/>
  <c r="D234" i="3" s="1"/>
  <c r="H257" i="3"/>
  <c r="AJ257" i="3"/>
  <c r="AH259" i="3"/>
  <c r="AL259" i="3" s="1"/>
  <c r="H288" i="3"/>
  <c r="E289" i="3"/>
  <c r="F289" i="3" s="1"/>
  <c r="AH289" i="3"/>
  <c r="C294" i="3"/>
  <c r="D294" i="3" s="1"/>
  <c r="C316" i="3"/>
  <c r="D316" i="3" s="1"/>
  <c r="AH316" i="3"/>
  <c r="C330" i="3"/>
  <c r="D330" i="3" s="1"/>
  <c r="AH330" i="3"/>
  <c r="AJ330" i="3" s="1"/>
  <c r="E334" i="3"/>
  <c r="F334" i="3" s="1"/>
  <c r="C346" i="3"/>
  <c r="D346" i="3" s="1"/>
  <c r="E347" i="3"/>
  <c r="F347" i="3" s="1"/>
  <c r="AH347" i="3"/>
  <c r="AJ347" i="3" s="1"/>
  <c r="C359" i="3"/>
  <c r="D359" i="3" s="1"/>
  <c r="C413" i="3"/>
  <c r="D413" i="3" s="1"/>
  <c r="AH417" i="3"/>
  <c r="H419" i="3"/>
  <c r="H420" i="3"/>
  <c r="C421" i="3"/>
  <c r="D421" i="3" s="1"/>
  <c r="E433" i="3"/>
  <c r="F433" i="3" s="1"/>
  <c r="E435" i="3"/>
  <c r="F435" i="3" s="1"/>
  <c r="H435" i="3"/>
  <c r="C436" i="3"/>
  <c r="D436" i="3" s="1"/>
  <c r="E436" i="3"/>
  <c r="F436" i="3" s="1"/>
  <c r="AH444" i="3"/>
  <c r="AJ444" i="3" s="1"/>
  <c r="H456" i="3"/>
  <c r="AH508" i="3"/>
  <c r="H508" i="3"/>
  <c r="E516" i="3"/>
  <c r="F516" i="3" s="1"/>
  <c r="E564" i="3"/>
  <c r="F564" i="3" s="1"/>
  <c r="C565" i="3"/>
  <c r="D565" i="3" s="1"/>
  <c r="H565" i="3"/>
  <c r="E118" i="3"/>
  <c r="F118" i="3" s="1"/>
  <c r="H127" i="3"/>
  <c r="AH131" i="3"/>
  <c r="H141" i="3"/>
  <c r="H142" i="3"/>
  <c r="H195" i="3"/>
  <c r="C197" i="3"/>
  <c r="D197" i="3" s="1"/>
  <c r="E199" i="3"/>
  <c r="F199" i="3" s="1"/>
  <c r="H211" i="3"/>
  <c r="E212" i="3"/>
  <c r="F212" i="3" s="1"/>
  <c r="E232" i="3"/>
  <c r="F232" i="3" s="1"/>
  <c r="C249" i="3"/>
  <c r="D249" i="3" s="1"/>
  <c r="E250" i="3"/>
  <c r="F250" i="3" s="1"/>
  <c r="E251" i="3"/>
  <c r="F251" i="3" s="1"/>
  <c r="C260" i="3"/>
  <c r="D260" i="3" s="1"/>
  <c r="H316" i="3"/>
  <c r="H346" i="3"/>
  <c r="H358" i="3"/>
  <c r="E359" i="3"/>
  <c r="F359" i="3" s="1"/>
  <c r="H392" i="3"/>
  <c r="E417" i="3"/>
  <c r="F417" i="3" s="1"/>
  <c r="C434" i="3"/>
  <c r="D434" i="3" s="1"/>
  <c r="E434" i="3"/>
  <c r="F434" i="3" s="1"/>
  <c r="AH500" i="3"/>
  <c r="AL500" i="3" s="1"/>
  <c r="H500" i="3"/>
  <c r="H516" i="3"/>
  <c r="C114" i="3"/>
  <c r="D114" i="3" s="1"/>
  <c r="E145" i="3"/>
  <c r="F145" i="3" s="1"/>
  <c r="C196" i="3"/>
  <c r="D196" i="3" s="1"/>
  <c r="C460" i="3"/>
  <c r="D460" i="3" s="1"/>
  <c r="E460" i="3"/>
  <c r="F460" i="3" s="1"/>
  <c r="C322" i="3"/>
  <c r="D322" i="3" s="1"/>
  <c r="H458" i="3"/>
  <c r="E458" i="3"/>
  <c r="F458" i="3" s="1"/>
  <c r="H459" i="3"/>
  <c r="E459" i="3"/>
  <c r="F459" i="3" s="1"/>
  <c r="H483" i="3"/>
  <c r="AH483" i="3"/>
  <c r="AJ483" i="3" s="1"/>
  <c r="E483" i="3"/>
  <c r="F483" i="3" s="1"/>
  <c r="AH593" i="3"/>
  <c r="E593" i="3"/>
  <c r="F593" i="3" s="1"/>
  <c r="C593" i="3"/>
  <c r="D593" i="3" s="1"/>
  <c r="AH300" i="3"/>
  <c r="AH308" i="3"/>
  <c r="AJ322" i="3"/>
  <c r="C341" i="3"/>
  <c r="D341" i="3" s="1"/>
  <c r="C351" i="3"/>
  <c r="D351" i="3" s="1"/>
  <c r="H528" i="3"/>
  <c r="AH528" i="3"/>
  <c r="AH586" i="3"/>
  <c r="H586" i="3"/>
  <c r="E586" i="3"/>
  <c r="F586" i="3" s="1"/>
  <c r="C586" i="3"/>
  <c r="D586" i="3" s="1"/>
  <c r="E103" i="3"/>
  <c r="F103" i="3" s="1"/>
  <c r="C112" i="3"/>
  <c r="D112" i="3" s="1"/>
  <c r="AH115" i="3"/>
  <c r="AJ115" i="3" s="1"/>
  <c r="C120" i="3"/>
  <c r="D120" i="3" s="1"/>
  <c r="H122" i="3"/>
  <c r="C171" i="3"/>
  <c r="D171" i="3" s="1"/>
  <c r="H172" i="3"/>
  <c r="E239" i="3"/>
  <c r="F239" i="3" s="1"/>
  <c r="C274" i="3"/>
  <c r="D274" i="3" s="1"/>
  <c r="AH278" i="3"/>
  <c r="AJ278" i="3" s="1"/>
  <c r="C300" i="3"/>
  <c r="D300" i="3" s="1"/>
  <c r="C303" i="3"/>
  <c r="D303" i="3" s="1"/>
  <c r="AH303" i="3"/>
  <c r="C306" i="3"/>
  <c r="D306" i="3" s="1"/>
  <c r="AJ307" i="3"/>
  <c r="H321" i="3"/>
  <c r="E322" i="3"/>
  <c r="F322" i="3" s="1"/>
  <c r="E341" i="3"/>
  <c r="F341" i="3" s="1"/>
  <c r="H378" i="3"/>
  <c r="E379" i="3"/>
  <c r="F379" i="3" s="1"/>
  <c r="C384" i="3"/>
  <c r="D384" i="3" s="1"/>
  <c r="E390" i="3"/>
  <c r="F390" i="3" s="1"/>
  <c r="C441" i="3"/>
  <c r="D441" i="3" s="1"/>
  <c r="C457" i="3"/>
  <c r="D457" i="3" s="1"/>
  <c r="E457" i="3"/>
  <c r="F457" i="3" s="1"/>
  <c r="E466" i="3"/>
  <c r="F466" i="3" s="1"/>
  <c r="AH479" i="3"/>
  <c r="AL479" i="3" s="1"/>
  <c r="E479" i="3"/>
  <c r="F479" i="3" s="1"/>
  <c r="E488" i="3"/>
  <c r="F488" i="3" s="1"/>
  <c r="H534" i="3"/>
  <c r="AH534" i="3"/>
  <c r="AJ852" i="3"/>
  <c r="E894" i="3"/>
  <c r="F894" i="3" s="1"/>
  <c r="H910" i="3"/>
  <c r="H921" i="3"/>
  <c r="C953" i="3"/>
  <c r="D953" i="3" s="1"/>
  <c r="E899" i="3"/>
  <c r="F899" i="3" s="1"/>
  <c r="C903" i="3"/>
  <c r="D903" i="3" s="1"/>
  <c r="AH917" i="3"/>
  <c r="AH935" i="3"/>
  <c r="AL935" i="3" s="1"/>
  <c r="H935" i="3"/>
  <c r="C935" i="3"/>
  <c r="D935" i="3" s="1"/>
  <c r="C949" i="3"/>
  <c r="D949" i="3" s="1"/>
  <c r="H949" i="3"/>
  <c r="AH964" i="3"/>
  <c r="AL964" i="3" s="1"/>
  <c r="E964" i="3"/>
  <c r="F964" i="3" s="1"/>
  <c r="C964" i="3"/>
  <c r="D964" i="3" s="1"/>
  <c r="E544" i="3"/>
  <c r="F544" i="3" s="1"/>
  <c r="AH561" i="3"/>
  <c r="AH572" i="3"/>
  <c r="C574" i="3"/>
  <c r="D574" i="3" s="1"/>
  <c r="C575" i="3"/>
  <c r="D575" i="3" s="1"/>
  <c r="AH575" i="3"/>
  <c r="E577" i="3"/>
  <c r="F577" i="3" s="1"/>
  <c r="C578" i="3"/>
  <c r="D578" i="3" s="1"/>
  <c r="AH579" i="3"/>
  <c r="C590" i="3"/>
  <c r="D590" i="3" s="1"/>
  <c r="C611" i="3"/>
  <c r="D611" i="3" s="1"/>
  <c r="C664" i="3"/>
  <c r="D664" i="3" s="1"/>
  <c r="C672" i="3"/>
  <c r="D672" i="3" s="1"/>
  <c r="H682" i="3"/>
  <c r="E694" i="3"/>
  <c r="F694" i="3" s="1"/>
  <c r="AH736" i="3"/>
  <c r="AJ736" i="3" s="1"/>
  <c r="AJ737" i="3"/>
  <c r="AH744" i="3"/>
  <c r="H758" i="3"/>
  <c r="E771" i="3"/>
  <c r="F771" i="3" s="1"/>
  <c r="H775" i="3"/>
  <c r="AH780" i="3"/>
  <c r="E797" i="3"/>
  <c r="F797" i="3" s="1"/>
  <c r="C826" i="3"/>
  <c r="D826" i="3" s="1"/>
  <c r="C832" i="3"/>
  <c r="D832" i="3" s="1"/>
  <c r="H863" i="3"/>
  <c r="H902" i="3"/>
  <c r="E903" i="3"/>
  <c r="F903" i="3" s="1"/>
  <c r="AH903" i="3"/>
  <c r="E916" i="3"/>
  <c r="F916" i="3" s="1"/>
  <c r="AH920" i="3"/>
  <c r="H920" i="3"/>
  <c r="E920" i="3"/>
  <c r="F920" i="3" s="1"/>
  <c r="AH934" i="3"/>
  <c r="AL934" i="3" s="1"/>
  <c r="E934" i="3"/>
  <c r="F934" i="3" s="1"/>
  <c r="H972" i="3"/>
  <c r="AH972" i="3"/>
  <c r="E972" i="3"/>
  <c r="F972" i="3" s="1"/>
  <c r="H505" i="3"/>
  <c r="C511" i="3"/>
  <c r="D511" i="3" s="1"/>
  <c r="AJ544" i="3"/>
  <c r="C546" i="3"/>
  <c r="D546" i="3" s="1"/>
  <c r="E561" i="3"/>
  <c r="F561" i="3" s="1"/>
  <c r="C572" i="3"/>
  <c r="D572" i="3" s="1"/>
  <c r="E573" i="3"/>
  <c r="F573" i="3" s="1"/>
  <c r="C576" i="3"/>
  <c r="D576" i="3" s="1"/>
  <c r="H577" i="3"/>
  <c r="C579" i="3"/>
  <c r="D579" i="3" s="1"/>
  <c r="E590" i="3"/>
  <c r="F590" i="3" s="1"/>
  <c r="AH596" i="3"/>
  <c r="C599" i="3"/>
  <c r="D599" i="3" s="1"/>
  <c r="E600" i="3"/>
  <c r="F600" i="3" s="1"/>
  <c r="E605" i="3"/>
  <c r="F605" i="3" s="1"/>
  <c r="AH609" i="3"/>
  <c r="AH611" i="3"/>
  <c r="C633" i="3"/>
  <c r="D633" i="3" s="1"/>
  <c r="E663" i="3"/>
  <c r="F663" i="3" s="1"/>
  <c r="H672" i="3"/>
  <c r="AH672" i="3"/>
  <c r="C695" i="3"/>
  <c r="D695" i="3" s="1"/>
  <c r="H696" i="3"/>
  <c r="AH696" i="3"/>
  <c r="E714" i="3"/>
  <c r="F714" i="3" s="1"/>
  <c r="C715" i="3"/>
  <c r="D715" i="3" s="1"/>
  <c r="E720" i="3"/>
  <c r="F720" i="3" s="1"/>
  <c r="C725" i="3"/>
  <c r="D725" i="3" s="1"/>
  <c r="C737" i="3"/>
  <c r="D737" i="3" s="1"/>
  <c r="E738" i="3"/>
  <c r="F738" i="3" s="1"/>
  <c r="E744" i="3"/>
  <c r="F744" i="3" s="1"/>
  <c r="E766" i="3"/>
  <c r="F766" i="3" s="1"/>
  <c r="H771" i="3"/>
  <c r="C781" i="3"/>
  <c r="D781" i="3" s="1"/>
  <c r="H791" i="3"/>
  <c r="H797" i="3"/>
  <c r="E831" i="3"/>
  <c r="F831" i="3" s="1"/>
  <c r="E849" i="3"/>
  <c r="F849" i="3" s="1"/>
  <c r="AH546" i="3"/>
  <c r="E569" i="3"/>
  <c r="F569" i="3" s="1"/>
  <c r="C570" i="3"/>
  <c r="D570" i="3" s="1"/>
  <c r="C571" i="3"/>
  <c r="D571" i="3" s="1"/>
  <c r="H572" i="3"/>
  <c r="E578" i="3"/>
  <c r="F578" i="3" s="1"/>
  <c r="AH587" i="3"/>
  <c r="AH595" i="3"/>
  <c r="C597" i="3"/>
  <c r="D597" i="3" s="1"/>
  <c r="E611" i="3"/>
  <c r="F611" i="3" s="1"/>
  <c r="AH723" i="3"/>
  <c r="AL723" i="3" s="1"/>
  <c r="C819" i="3"/>
  <c r="D819" i="3" s="1"/>
  <c r="AH943" i="3"/>
  <c r="AJ943" i="3" s="1"/>
  <c r="H943" i="3"/>
  <c r="AH951" i="3"/>
  <c r="C951" i="3"/>
  <c r="D951" i="3" s="1"/>
  <c r="AH955" i="3"/>
  <c r="H955" i="3"/>
  <c r="C955" i="3"/>
  <c r="D955" i="3" s="1"/>
  <c r="AL957" i="3"/>
  <c r="AJ957" i="3"/>
  <c r="H962" i="3"/>
  <c r="E962" i="3"/>
  <c r="F962" i="3" s="1"/>
  <c r="AH963" i="3"/>
  <c r="E963" i="3"/>
  <c r="F963" i="3" s="1"/>
  <c r="AH971" i="3"/>
  <c r="AL971" i="3" s="1"/>
  <c r="H971" i="3"/>
  <c r="E971" i="3"/>
  <c r="F971" i="3" s="1"/>
  <c r="H1000" i="3"/>
  <c r="E1000" i="3"/>
  <c r="F1000" i="3" s="1"/>
  <c r="AH1000" i="3"/>
  <c r="AL1000" i="3" s="1"/>
  <c r="C1000" i="3"/>
  <c r="D1000" i="3" s="1"/>
  <c r="H546" i="3"/>
  <c r="H561" i="3"/>
  <c r="E570" i="3"/>
  <c r="F570" i="3" s="1"/>
  <c r="H574" i="3"/>
  <c r="H575" i="3"/>
  <c r="H578" i="3"/>
  <c r="E585" i="3"/>
  <c r="F585" i="3" s="1"/>
  <c r="H590" i="3"/>
  <c r="H610" i="3"/>
  <c r="E612" i="3"/>
  <c r="F612" i="3" s="1"/>
  <c r="AH619" i="3"/>
  <c r="AH620" i="3"/>
  <c r="C628" i="3"/>
  <c r="D628" i="3" s="1"/>
  <c r="C629" i="3"/>
  <c r="D629" i="3" s="1"/>
  <c r="C630" i="3"/>
  <c r="D630" i="3" s="1"/>
  <c r="AH630" i="3"/>
  <c r="C635" i="3"/>
  <c r="D635" i="3" s="1"/>
  <c r="AH646" i="3"/>
  <c r="C653" i="3"/>
  <c r="D653" i="3" s="1"/>
  <c r="E654" i="3"/>
  <c r="F654" i="3" s="1"/>
  <c r="AH661" i="3"/>
  <c r="AH667" i="3"/>
  <c r="E673" i="3"/>
  <c r="F673" i="3" s="1"/>
  <c r="AH673" i="3"/>
  <c r="C675" i="3"/>
  <c r="D675" i="3" s="1"/>
  <c r="E698" i="3"/>
  <c r="F698" i="3" s="1"/>
  <c r="C699" i="3"/>
  <c r="D699" i="3" s="1"/>
  <c r="AH700" i="3"/>
  <c r="AH703" i="3"/>
  <c r="H714" i="3"/>
  <c r="C716" i="3"/>
  <c r="D716" i="3" s="1"/>
  <c r="AH716" i="3"/>
  <c r="C718" i="3"/>
  <c r="D718" i="3" s="1"/>
  <c r="AH718" i="3"/>
  <c r="AL718" i="3" s="1"/>
  <c r="H720" i="3"/>
  <c r="E725" i="3"/>
  <c r="F725" i="3" s="1"/>
  <c r="H737" i="3"/>
  <c r="H743" i="3"/>
  <c r="H745" i="3"/>
  <c r="E751" i="3"/>
  <c r="F751" i="3" s="1"/>
  <c r="C752" i="3"/>
  <c r="D752" i="3" s="1"/>
  <c r="C753" i="3"/>
  <c r="D753" i="3" s="1"/>
  <c r="H756" i="3"/>
  <c r="AL763" i="3"/>
  <c r="H766" i="3"/>
  <c r="H767" i="3"/>
  <c r="H768" i="3"/>
  <c r="C789" i="3"/>
  <c r="D789" i="3" s="1"/>
  <c r="C804" i="3"/>
  <c r="D804" i="3" s="1"/>
  <c r="AH823" i="3"/>
  <c r="AL824" i="3"/>
  <c r="AH828" i="3"/>
  <c r="AL828" i="3" s="1"/>
  <c r="C830" i="3"/>
  <c r="D830" i="3" s="1"/>
  <c r="C840" i="3"/>
  <c r="D840" i="3" s="1"/>
  <c r="H842" i="3"/>
  <c r="H844" i="3"/>
  <c r="E845" i="3"/>
  <c r="F845" i="3" s="1"/>
  <c r="C847" i="3"/>
  <c r="D847" i="3" s="1"/>
  <c r="H849" i="3"/>
  <c r="H853" i="3"/>
  <c r="C854" i="3"/>
  <c r="D854" i="3" s="1"/>
  <c r="C858" i="3"/>
  <c r="D858" i="3" s="1"/>
  <c r="E865" i="3"/>
  <c r="F865" i="3" s="1"/>
  <c r="AL1019" i="3"/>
  <c r="AJ1019" i="3"/>
  <c r="AJ1190" i="3"/>
  <c r="AL1190" i="3"/>
  <c r="H569" i="3"/>
  <c r="H585" i="3"/>
  <c r="C587" i="3"/>
  <c r="D587" i="3" s="1"/>
  <c r="C595" i="3"/>
  <c r="D595" i="3" s="1"/>
  <c r="E597" i="3"/>
  <c r="F597" i="3" s="1"/>
  <c r="C603" i="3"/>
  <c r="D603" i="3" s="1"/>
  <c r="H612" i="3"/>
  <c r="C618" i="3"/>
  <c r="D618" i="3" s="1"/>
  <c r="C620" i="3"/>
  <c r="D620" i="3" s="1"/>
  <c r="C621" i="3"/>
  <c r="D621" i="3" s="1"/>
  <c r="H622" i="3"/>
  <c r="E628" i="3"/>
  <c r="F628" i="3" s="1"/>
  <c r="E629" i="3"/>
  <c r="F629" i="3" s="1"/>
  <c r="E630" i="3"/>
  <c r="F630" i="3" s="1"/>
  <c r="H633" i="3"/>
  <c r="C645" i="3"/>
  <c r="D645" i="3" s="1"/>
  <c r="C646" i="3"/>
  <c r="D646" i="3" s="1"/>
  <c r="E653" i="3"/>
  <c r="F653" i="3" s="1"/>
  <c r="H664" i="3"/>
  <c r="E665" i="3"/>
  <c r="F665" i="3" s="1"/>
  <c r="E666" i="3"/>
  <c r="F666" i="3" s="1"/>
  <c r="H667" i="3"/>
  <c r="E674" i="3"/>
  <c r="F674" i="3" s="1"/>
  <c r="E675" i="3"/>
  <c r="F675" i="3" s="1"/>
  <c r="AH675" i="3"/>
  <c r="H698" i="3"/>
  <c r="H700" i="3"/>
  <c r="H701" i="3"/>
  <c r="C702" i="3"/>
  <c r="D702" i="3" s="1"/>
  <c r="AH704" i="3"/>
  <c r="E718" i="3"/>
  <c r="F718" i="3" s="1"/>
  <c r="H725" i="3"/>
  <c r="H735" i="3"/>
  <c r="E752" i="3"/>
  <c r="F752" i="3" s="1"/>
  <c r="AH761" i="3"/>
  <c r="AJ761" i="3" s="1"/>
  <c r="C764" i="3"/>
  <c r="D764" i="3" s="1"/>
  <c r="AH778" i="3"/>
  <c r="E789" i="3"/>
  <c r="F789" i="3" s="1"/>
  <c r="C801" i="3"/>
  <c r="D801" i="3" s="1"/>
  <c r="C802" i="3"/>
  <c r="D802" i="3" s="1"/>
  <c r="E819" i="3"/>
  <c r="F819" i="3" s="1"/>
  <c r="E828" i="3"/>
  <c r="F828" i="3" s="1"/>
  <c r="C836" i="3"/>
  <c r="D836" i="3" s="1"/>
  <c r="AH836" i="3"/>
  <c r="AL836" i="3" s="1"/>
  <c r="AH858" i="3"/>
  <c r="C866" i="3"/>
  <c r="D866" i="3" s="1"/>
  <c r="C870" i="3"/>
  <c r="D870" i="3" s="1"/>
  <c r="H570" i="3"/>
  <c r="C584" i="3"/>
  <c r="D584" i="3" s="1"/>
  <c r="E587" i="3"/>
  <c r="F587" i="3" s="1"/>
  <c r="C594" i="3"/>
  <c r="D594" i="3" s="1"/>
  <c r="E595" i="3"/>
  <c r="F595" i="3" s="1"/>
  <c r="H597" i="3"/>
  <c r="H603" i="3"/>
  <c r="E620" i="3"/>
  <c r="F620" i="3" s="1"/>
  <c r="H628" i="3"/>
  <c r="H629" i="3"/>
  <c r="H635" i="3"/>
  <c r="AH635" i="3"/>
  <c r="AH638" i="3"/>
  <c r="E645" i="3"/>
  <c r="F645" i="3" s="1"/>
  <c r="E646" i="3"/>
  <c r="F646" i="3" s="1"/>
  <c r="AH659" i="3"/>
  <c r="E668" i="3"/>
  <c r="F668" i="3" s="1"/>
  <c r="E669" i="3"/>
  <c r="F669" i="3" s="1"/>
  <c r="H674" i="3"/>
  <c r="E702" i="3"/>
  <c r="F702" i="3" s="1"/>
  <c r="C703" i="3"/>
  <c r="D703" i="3" s="1"/>
  <c r="H704" i="3"/>
  <c r="H705" i="3"/>
  <c r="C706" i="3"/>
  <c r="D706" i="3" s="1"/>
  <c r="H716" i="3"/>
  <c r="AH748" i="3"/>
  <c r="H751" i="3"/>
  <c r="H753" i="3"/>
  <c r="H762" i="3"/>
  <c r="E764" i="3"/>
  <c r="F764" i="3" s="1"/>
  <c r="C779" i="3"/>
  <c r="D779" i="3" s="1"/>
  <c r="H789" i="3"/>
  <c r="E801" i="3"/>
  <c r="F801" i="3" s="1"/>
  <c r="E804" i="3"/>
  <c r="F804" i="3" s="1"/>
  <c r="E805" i="3"/>
  <c r="F805" i="3" s="1"/>
  <c r="AH816" i="3"/>
  <c r="C824" i="3"/>
  <c r="D824" i="3" s="1"/>
  <c r="E829" i="3"/>
  <c r="F829" i="3" s="1"/>
  <c r="C837" i="3"/>
  <c r="D837" i="3" s="1"/>
  <c r="C838" i="3"/>
  <c r="D838" i="3" s="1"/>
  <c r="AJ838" i="3"/>
  <c r="E854" i="3"/>
  <c r="F854" i="3" s="1"/>
  <c r="C859" i="3"/>
  <c r="D859" i="3" s="1"/>
  <c r="AH859" i="3"/>
  <c r="AH866" i="3"/>
  <c r="C869" i="3"/>
  <c r="D869" i="3" s="1"/>
  <c r="C874" i="3"/>
  <c r="D874" i="3" s="1"/>
  <c r="C875" i="3"/>
  <c r="D875" i="3" s="1"/>
  <c r="H877" i="3"/>
  <c r="C878" i="3"/>
  <c r="D878" i="3" s="1"/>
  <c r="AH881" i="3"/>
  <c r="AL881" i="3" s="1"/>
  <c r="C941" i="3"/>
  <c r="D941" i="3" s="1"/>
  <c r="H941" i="3"/>
  <c r="AH953" i="3"/>
  <c r="E953" i="3"/>
  <c r="F953" i="3" s="1"/>
  <c r="AH954" i="3"/>
  <c r="AL954" i="3" s="1"/>
  <c r="H954" i="3"/>
  <c r="E954" i="3"/>
  <c r="F954" i="3" s="1"/>
  <c r="AH961" i="3"/>
  <c r="AL961" i="3" s="1"/>
  <c r="H961" i="3"/>
  <c r="C961" i="3"/>
  <c r="D961" i="3" s="1"/>
  <c r="E594" i="3"/>
  <c r="F594" i="3" s="1"/>
  <c r="E618" i="3"/>
  <c r="F618" i="3" s="1"/>
  <c r="E621" i="3"/>
  <c r="F621" i="3" s="1"/>
  <c r="C637" i="3"/>
  <c r="D637" i="3" s="1"/>
  <c r="C638" i="3"/>
  <c r="D638" i="3" s="1"/>
  <c r="H661" i="3"/>
  <c r="C677" i="3"/>
  <c r="D677" i="3" s="1"/>
  <c r="AH687" i="3"/>
  <c r="H702" i="3"/>
  <c r="E706" i="3"/>
  <c r="F706" i="3" s="1"/>
  <c r="AH707" i="3"/>
  <c r="C731" i="3"/>
  <c r="D731" i="3" s="1"/>
  <c r="E742" i="3"/>
  <c r="F742" i="3" s="1"/>
  <c r="H752" i="3"/>
  <c r="H764" i="3"/>
  <c r="E779" i="3"/>
  <c r="F779" i="3" s="1"/>
  <c r="H801" i="3"/>
  <c r="C810" i="3"/>
  <c r="D810" i="3" s="1"/>
  <c r="H819" i="3"/>
  <c r="C822" i="3"/>
  <c r="D822" i="3" s="1"/>
  <c r="E823" i="3"/>
  <c r="F823" i="3" s="1"/>
  <c r="E838" i="3"/>
  <c r="F838" i="3" s="1"/>
  <c r="E839" i="3"/>
  <c r="F839" i="3" s="1"/>
  <c r="H858" i="3"/>
  <c r="C860" i="3"/>
  <c r="D860" i="3" s="1"/>
  <c r="AH860" i="3"/>
  <c r="C867" i="3"/>
  <c r="D867" i="3" s="1"/>
  <c r="C868" i="3"/>
  <c r="D868" i="3" s="1"/>
  <c r="E870" i="3"/>
  <c r="F870" i="3" s="1"/>
  <c r="C871" i="3"/>
  <c r="D871" i="3" s="1"/>
  <c r="C882" i="3"/>
  <c r="D882" i="3" s="1"/>
  <c r="AL882" i="3"/>
  <c r="E906" i="3"/>
  <c r="F906" i="3" s="1"/>
  <c r="H907" i="3"/>
  <c r="AH913" i="3"/>
  <c r="C913" i="3"/>
  <c r="D913" i="3" s="1"/>
  <c r="AH938" i="3"/>
  <c r="AL938" i="3" s="1"/>
  <c r="H938" i="3"/>
  <c r="C938" i="3"/>
  <c r="D938" i="3" s="1"/>
  <c r="AH986" i="3"/>
  <c r="C986" i="3"/>
  <c r="D986" i="3" s="1"/>
  <c r="E602" i="3"/>
  <c r="F602" i="3" s="1"/>
  <c r="E638" i="3"/>
  <c r="F638" i="3" s="1"/>
  <c r="C707" i="3"/>
  <c r="D707" i="3" s="1"/>
  <c r="C729" i="3"/>
  <c r="D729" i="3" s="1"/>
  <c r="E734" i="3"/>
  <c r="F734" i="3" s="1"/>
  <c r="E748" i="3"/>
  <c r="F748" i="3" s="1"/>
  <c r="C787" i="3"/>
  <c r="D787" i="3" s="1"/>
  <c r="E794" i="3"/>
  <c r="F794" i="3" s="1"/>
  <c r="H809" i="3"/>
  <c r="C814" i="3"/>
  <c r="D814" i="3" s="1"/>
  <c r="C817" i="3"/>
  <c r="D817" i="3" s="1"/>
  <c r="H836" i="3"/>
  <c r="E837" i="3"/>
  <c r="F837" i="3" s="1"/>
  <c r="C852" i="3"/>
  <c r="D852" i="3" s="1"/>
  <c r="H859" i="3"/>
  <c r="C861" i="3"/>
  <c r="D861" i="3" s="1"/>
  <c r="H866" i="3"/>
  <c r="E867" i="3"/>
  <c r="F867" i="3" s="1"/>
  <c r="E871" i="3"/>
  <c r="F871" i="3" s="1"/>
  <c r="E875" i="3"/>
  <c r="F875" i="3" s="1"/>
  <c r="E878" i="3"/>
  <c r="F878" i="3" s="1"/>
  <c r="C879" i="3"/>
  <c r="D879" i="3" s="1"/>
  <c r="C883" i="3"/>
  <c r="D883" i="3" s="1"/>
  <c r="C884" i="3"/>
  <c r="D884" i="3" s="1"/>
  <c r="H885" i="3"/>
  <c r="C886" i="3"/>
  <c r="D886" i="3" s="1"/>
  <c r="AH889" i="3"/>
  <c r="AL889" i="3" s="1"/>
  <c r="H906" i="3"/>
  <c r="C909" i="3"/>
  <c r="D909" i="3" s="1"/>
  <c r="C910" i="3"/>
  <c r="D910" i="3" s="1"/>
  <c r="AH939" i="3"/>
  <c r="E939" i="3"/>
  <c r="F939" i="3" s="1"/>
  <c r="E951" i="3"/>
  <c r="F951" i="3" s="1"/>
  <c r="E679" i="3"/>
  <c r="F679" i="3" s="1"/>
  <c r="C687" i="3"/>
  <c r="D687" i="3" s="1"/>
  <c r="H688" i="3"/>
  <c r="AH688" i="3"/>
  <c r="H706" i="3"/>
  <c r="H708" i="3"/>
  <c r="AH708" i="3"/>
  <c r="H799" i="3"/>
  <c r="E814" i="3"/>
  <c r="F814" i="3" s="1"/>
  <c r="C815" i="3"/>
  <c r="D815" i="3" s="1"/>
  <c r="E816" i="3"/>
  <c r="F816" i="3" s="1"/>
  <c r="C834" i="3"/>
  <c r="D834" i="3" s="1"/>
  <c r="H838" i="3"/>
  <c r="AH861" i="3"/>
  <c r="E879" i="3"/>
  <c r="F879" i="3" s="1"/>
  <c r="C890" i="3"/>
  <c r="D890" i="3" s="1"/>
  <c r="C891" i="3"/>
  <c r="D891" i="3" s="1"/>
  <c r="C892" i="3"/>
  <c r="D892" i="3" s="1"/>
  <c r="H893" i="3"/>
  <c r="C894" i="3"/>
  <c r="D894" i="3" s="1"/>
  <c r="E909" i="3"/>
  <c r="F909" i="3" s="1"/>
  <c r="C921" i="3"/>
  <c r="D921" i="3" s="1"/>
  <c r="H922" i="3"/>
  <c r="E935" i="3"/>
  <c r="F935" i="3" s="1"/>
  <c r="E936" i="3"/>
  <c r="F936" i="3" s="1"/>
  <c r="H936" i="3"/>
  <c r="H964" i="3"/>
  <c r="C887" i="3"/>
  <c r="D887" i="3" s="1"/>
  <c r="C899" i="3"/>
  <c r="D899" i="3" s="1"/>
  <c r="H909" i="3"/>
  <c r="E910" i="3"/>
  <c r="F910" i="3" s="1"/>
  <c r="AH924" i="3"/>
  <c r="E924" i="3"/>
  <c r="F924" i="3" s="1"/>
  <c r="H951" i="3"/>
  <c r="H957" i="3"/>
  <c r="C963" i="3"/>
  <c r="D963" i="3" s="1"/>
  <c r="H965" i="3"/>
  <c r="AH965" i="3"/>
  <c r="E965" i="3"/>
  <c r="F965" i="3" s="1"/>
  <c r="C965" i="3"/>
  <c r="D965" i="3" s="1"/>
  <c r="AH967" i="3"/>
  <c r="AL967" i="3" s="1"/>
  <c r="E967" i="3"/>
  <c r="F967" i="3" s="1"/>
  <c r="H992" i="3"/>
  <c r="E995" i="3"/>
  <c r="F995" i="3" s="1"/>
  <c r="C996" i="3"/>
  <c r="D996" i="3" s="1"/>
  <c r="H1009" i="3"/>
  <c r="C1047" i="3"/>
  <c r="D1047" i="3" s="1"/>
  <c r="H1055" i="3"/>
  <c r="AH1146" i="3"/>
  <c r="C1146" i="3"/>
  <c r="D1146" i="3" s="1"/>
  <c r="C1153" i="3"/>
  <c r="D1153" i="3" s="1"/>
  <c r="AJ1180" i="3"/>
  <c r="AL1196" i="3"/>
  <c r="E1200" i="3"/>
  <c r="F1200" i="3" s="1"/>
  <c r="AH1200" i="3"/>
  <c r="AJ1200" i="3" s="1"/>
  <c r="AJ1313" i="3"/>
  <c r="AL1313" i="3"/>
  <c r="AH1377" i="3"/>
  <c r="H1377" i="3"/>
  <c r="E1377" i="3"/>
  <c r="F1377" i="3" s="1"/>
  <c r="C1377" i="3"/>
  <c r="D1377" i="3" s="1"/>
  <c r="C1583" i="3"/>
  <c r="D1583" i="3" s="1"/>
  <c r="E1583" i="3"/>
  <c r="F1583" i="3" s="1"/>
  <c r="H1101" i="3"/>
  <c r="AH1101" i="3"/>
  <c r="AH1139" i="3"/>
  <c r="C1139" i="3"/>
  <c r="D1139" i="3" s="1"/>
  <c r="C1155" i="3"/>
  <c r="D1155" i="3" s="1"/>
  <c r="AH1155" i="3"/>
  <c r="AL1155" i="3" s="1"/>
  <c r="H1155" i="3"/>
  <c r="AH1170" i="3"/>
  <c r="AL1170" i="3" s="1"/>
  <c r="H1170" i="3"/>
  <c r="H1368" i="3"/>
  <c r="E1368" i="3"/>
  <c r="F1368" i="3" s="1"/>
  <c r="C1395" i="3"/>
  <c r="D1395" i="3" s="1"/>
  <c r="E1395" i="3"/>
  <c r="F1395" i="3" s="1"/>
  <c r="AH1449" i="3"/>
  <c r="AJ1449" i="3" s="1"/>
  <c r="C1449" i="3"/>
  <c r="D1449" i="3" s="1"/>
  <c r="H1449" i="3"/>
  <c r="E1449" i="3"/>
  <c r="F1449" i="3" s="1"/>
  <c r="C977" i="3"/>
  <c r="D977" i="3" s="1"/>
  <c r="E996" i="3"/>
  <c r="F996" i="3" s="1"/>
  <c r="AH997" i="3"/>
  <c r="AL997" i="3" s="1"/>
  <c r="AH998" i="3"/>
  <c r="AL998" i="3" s="1"/>
  <c r="E1002" i="3"/>
  <c r="F1002" i="3" s="1"/>
  <c r="H1017" i="3"/>
  <c r="E1047" i="3"/>
  <c r="F1047" i="3" s="1"/>
  <c r="C1064" i="3"/>
  <c r="D1064" i="3" s="1"/>
  <c r="AH1087" i="3"/>
  <c r="AL1087" i="3" s="1"/>
  <c r="C1091" i="3"/>
  <c r="D1091" i="3" s="1"/>
  <c r="C1108" i="3"/>
  <c r="D1108" i="3" s="1"/>
  <c r="E1109" i="3"/>
  <c r="F1109" i="3" s="1"/>
  <c r="C1110" i="3"/>
  <c r="D1110" i="3" s="1"/>
  <c r="AH1110" i="3"/>
  <c r="AL1110" i="3" s="1"/>
  <c r="AH1136" i="3"/>
  <c r="AL1136" i="3" s="1"/>
  <c r="C1136" i="3"/>
  <c r="D1136" i="3" s="1"/>
  <c r="AH1173" i="3"/>
  <c r="AL1173" i="3" s="1"/>
  <c r="AH1186" i="3"/>
  <c r="C999" i="3"/>
  <c r="D999" i="3" s="1"/>
  <c r="H1002" i="3"/>
  <c r="AH1017" i="3"/>
  <c r="AL1017" i="3" s="1"/>
  <c r="C1040" i="3"/>
  <c r="D1040" i="3" s="1"/>
  <c r="AH1040" i="3"/>
  <c r="AL1040" i="3" s="1"/>
  <c r="AJ1047" i="3"/>
  <c r="AH1064" i="3"/>
  <c r="AL1064" i="3" s="1"/>
  <c r="E1072" i="3"/>
  <c r="F1072" i="3" s="1"/>
  <c r="C1073" i="3"/>
  <c r="D1073" i="3" s="1"/>
  <c r="E1076" i="3"/>
  <c r="F1076" i="3" s="1"/>
  <c r="E1077" i="3"/>
  <c r="F1077" i="3" s="1"/>
  <c r="E1091" i="3"/>
  <c r="F1091" i="3" s="1"/>
  <c r="C1095" i="3"/>
  <c r="D1095" i="3" s="1"/>
  <c r="H1109" i="3"/>
  <c r="H1151" i="3"/>
  <c r="AH1151" i="3"/>
  <c r="AL1151" i="3" s="1"/>
  <c r="E1151" i="3"/>
  <c r="F1151" i="3" s="1"/>
  <c r="C1151" i="3"/>
  <c r="D1151" i="3" s="1"/>
  <c r="C1186" i="3"/>
  <c r="D1186" i="3" s="1"/>
  <c r="AH1236" i="3"/>
  <c r="AL1236" i="3" s="1"/>
  <c r="C1236" i="3"/>
  <c r="D1236" i="3" s="1"/>
  <c r="H1306" i="3"/>
  <c r="AH1306" i="3"/>
  <c r="H1314" i="3"/>
  <c r="AH1314" i="3"/>
  <c r="AJ1314" i="3" s="1"/>
  <c r="E1314" i="3"/>
  <c r="F1314" i="3" s="1"/>
  <c r="C1314" i="3"/>
  <c r="D1314" i="3" s="1"/>
  <c r="E1402" i="3"/>
  <c r="F1402" i="3" s="1"/>
  <c r="AH1402" i="3"/>
  <c r="H1402" i="3"/>
  <c r="C1402" i="3"/>
  <c r="D1402" i="3" s="1"/>
  <c r="H1427" i="3"/>
  <c r="E1427" i="3"/>
  <c r="F1427" i="3" s="1"/>
  <c r="C1427" i="3"/>
  <c r="D1427" i="3" s="1"/>
  <c r="AH1520" i="3"/>
  <c r="C1520" i="3"/>
  <c r="D1520" i="3" s="1"/>
  <c r="E1018" i="3"/>
  <c r="F1018" i="3" s="1"/>
  <c r="H1047" i="3"/>
  <c r="AH1113" i="3"/>
  <c r="AL1113" i="3" s="1"/>
  <c r="E1113" i="3"/>
  <c r="F1113" i="3" s="1"/>
  <c r="AJ1132" i="3"/>
  <c r="AL1132" i="3"/>
  <c r="AH1135" i="3"/>
  <c r="AL1135" i="3" s="1"/>
  <c r="E1135" i="3"/>
  <c r="F1135" i="3" s="1"/>
  <c r="C1135" i="3"/>
  <c r="D1135" i="3" s="1"/>
  <c r="AH1161" i="3"/>
  <c r="H1161" i="3"/>
  <c r="E1161" i="3"/>
  <c r="F1161" i="3" s="1"/>
  <c r="AH1164" i="3"/>
  <c r="AL1164" i="3" s="1"/>
  <c r="E1164" i="3"/>
  <c r="F1164" i="3" s="1"/>
  <c r="E1181" i="3"/>
  <c r="F1181" i="3" s="1"/>
  <c r="H1181" i="3"/>
  <c r="AL1328" i="3"/>
  <c r="AJ1328" i="3"/>
  <c r="H966" i="3"/>
  <c r="H968" i="3"/>
  <c r="E973" i="3"/>
  <c r="F973" i="3" s="1"/>
  <c r="C974" i="3"/>
  <c r="D974" i="3" s="1"/>
  <c r="AH978" i="3"/>
  <c r="AL978" i="3" s="1"/>
  <c r="E985" i="3"/>
  <c r="F985" i="3" s="1"/>
  <c r="H999" i="3"/>
  <c r="C1019" i="3"/>
  <c r="D1019" i="3" s="1"/>
  <c r="E1039" i="3"/>
  <c r="F1039" i="3" s="1"/>
  <c r="E1041" i="3"/>
  <c r="F1041" i="3" s="1"/>
  <c r="C1062" i="3"/>
  <c r="D1062" i="3" s="1"/>
  <c r="H1064" i="3"/>
  <c r="E1066" i="3"/>
  <c r="F1066" i="3" s="1"/>
  <c r="C1069" i="3"/>
  <c r="D1069" i="3" s="1"/>
  <c r="C1070" i="3"/>
  <c r="D1070" i="3" s="1"/>
  <c r="H1072" i="3"/>
  <c r="E1073" i="3"/>
  <c r="F1073" i="3" s="1"/>
  <c r="C1074" i="3"/>
  <c r="D1074" i="3" s="1"/>
  <c r="H1077" i="3"/>
  <c r="E1078" i="3"/>
  <c r="F1078" i="3" s="1"/>
  <c r="H1079" i="3"/>
  <c r="C1085" i="3"/>
  <c r="D1085" i="3" s="1"/>
  <c r="AJ1085" i="3"/>
  <c r="H1095" i="3"/>
  <c r="AH1162" i="3"/>
  <c r="H1162" i="3"/>
  <c r="C1162" i="3"/>
  <c r="D1162" i="3" s="1"/>
  <c r="E1374" i="3"/>
  <c r="F1374" i="3" s="1"/>
  <c r="H1374" i="3"/>
  <c r="AH1374" i="3"/>
  <c r="AL1374" i="3" s="1"/>
  <c r="C1374" i="3"/>
  <c r="D1374" i="3" s="1"/>
  <c r="H1503" i="3"/>
  <c r="AH1503" i="3"/>
  <c r="AJ1503" i="3" s="1"/>
  <c r="E1503" i="3"/>
  <c r="F1503" i="3" s="1"/>
  <c r="C1503" i="3"/>
  <c r="D1503" i="3" s="1"/>
  <c r="E2074" i="3"/>
  <c r="F2074" i="3" s="1"/>
  <c r="H2074" i="3"/>
  <c r="C2074" i="3"/>
  <c r="D2074" i="3" s="1"/>
  <c r="AH2074" i="3"/>
  <c r="C1134" i="3"/>
  <c r="D1134" i="3" s="1"/>
  <c r="H1134" i="3"/>
  <c r="E1134" i="3"/>
  <c r="F1134" i="3" s="1"/>
  <c r="AH1300" i="3"/>
  <c r="AL1300" i="3" s="1"/>
  <c r="H1300" i="3"/>
  <c r="E1300" i="3"/>
  <c r="F1300" i="3" s="1"/>
  <c r="H1305" i="3"/>
  <c r="AH1305" i="3"/>
  <c r="E1305" i="3"/>
  <c r="F1305" i="3" s="1"/>
  <c r="AH1331" i="3"/>
  <c r="H1331" i="3"/>
  <c r="AJ1125" i="3"/>
  <c r="AL1125" i="3"/>
  <c r="H1210" i="3"/>
  <c r="E1210" i="3"/>
  <c r="F1210" i="3" s="1"/>
  <c r="AH1210" i="3"/>
  <c r="AL1210" i="3" s="1"/>
  <c r="C1210" i="3"/>
  <c r="D1210" i="3" s="1"/>
  <c r="C1292" i="3"/>
  <c r="D1292" i="3" s="1"/>
  <c r="H1292" i="3"/>
  <c r="E1292" i="3"/>
  <c r="F1292" i="3" s="1"/>
  <c r="AJ1020" i="3"/>
  <c r="AJ1022" i="3"/>
  <c r="AH1149" i="3"/>
  <c r="H1149" i="3"/>
  <c r="E1149" i="3"/>
  <c r="F1149" i="3" s="1"/>
  <c r="C1149" i="3"/>
  <c r="D1149" i="3" s="1"/>
  <c r="E1173" i="3"/>
  <c r="F1173" i="3" s="1"/>
  <c r="H1173" i="3"/>
  <c r="AH1373" i="3"/>
  <c r="C1373" i="3"/>
  <c r="D1373" i="3" s="1"/>
  <c r="H1373" i="3"/>
  <c r="E1373" i="3"/>
  <c r="F1373" i="3" s="1"/>
  <c r="E1016" i="3"/>
  <c r="F1016" i="3" s="1"/>
  <c r="AJ1016" i="3"/>
  <c r="AH1023" i="3"/>
  <c r="AJ1048" i="3"/>
  <c r="E1054" i="3"/>
  <c r="F1054" i="3" s="1"/>
  <c r="C1055" i="3"/>
  <c r="D1055" i="3" s="1"/>
  <c r="E1081" i="3"/>
  <c r="F1081" i="3" s="1"/>
  <c r="AJ1081" i="3"/>
  <c r="AH1103" i="3"/>
  <c r="AJ1103" i="3" s="1"/>
  <c r="AH1104" i="3"/>
  <c r="AL1104" i="3" s="1"/>
  <c r="H1132" i="3"/>
  <c r="E1132" i="3"/>
  <c r="F1132" i="3" s="1"/>
  <c r="H1139" i="3"/>
  <c r="E1148" i="3"/>
  <c r="F1148" i="3" s="1"/>
  <c r="C1148" i="3"/>
  <c r="D1148" i="3" s="1"/>
  <c r="AH1165" i="3"/>
  <c r="AL1165" i="3" s="1"/>
  <c r="AL1166" i="3"/>
  <c r="AJ1166" i="3"/>
  <c r="H1190" i="3"/>
  <c r="E1190" i="3"/>
  <c r="F1190" i="3" s="1"/>
  <c r="C1225" i="3"/>
  <c r="D1225" i="3" s="1"/>
  <c r="C982" i="3"/>
  <c r="D982" i="3" s="1"/>
  <c r="C992" i="3"/>
  <c r="D992" i="3" s="1"/>
  <c r="AJ992" i="3"/>
  <c r="E1009" i="3"/>
  <c r="F1009" i="3" s="1"/>
  <c r="H1016" i="3"/>
  <c r="H1054" i="3"/>
  <c r="E1055" i="3"/>
  <c r="F1055" i="3" s="1"/>
  <c r="C1082" i="3"/>
  <c r="D1082" i="3" s="1"/>
  <c r="C1100" i="3"/>
  <c r="D1100" i="3" s="1"/>
  <c r="E1102" i="3"/>
  <c r="F1102" i="3" s="1"/>
  <c r="C1103" i="3"/>
  <c r="D1103" i="3" s="1"/>
  <c r="E1105" i="3"/>
  <c r="F1105" i="3" s="1"/>
  <c r="AL1105" i="3"/>
  <c r="C1113" i="3"/>
  <c r="D1113" i="3" s="1"/>
  <c r="C1164" i="3"/>
  <c r="D1164" i="3" s="1"/>
  <c r="E1165" i="3"/>
  <c r="F1165" i="3" s="1"/>
  <c r="E1225" i="3"/>
  <c r="F1225" i="3" s="1"/>
  <c r="AH1381" i="3"/>
  <c r="C1381" i="3"/>
  <c r="D1381" i="3" s="1"/>
  <c r="H1381" i="3"/>
  <c r="H1422" i="3"/>
  <c r="AH1422" i="3"/>
  <c r="AJ1427" i="3"/>
  <c r="AL1427" i="3"/>
  <c r="AL1453" i="3"/>
  <c r="AJ1453" i="3"/>
  <c r="E992" i="3"/>
  <c r="F992" i="3" s="1"/>
  <c r="AH994" i="3"/>
  <c r="AL994" i="3" s="1"/>
  <c r="AH1009" i="3"/>
  <c r="C1017" i="3"/>
  <c r="D1017" i="3" s="1"/>
  <c r="AH1092" i="3"/>
  <c r="AL1092" i="3" s="1"/>
  <c r="H1092" i="3"/>
  <c r="E1140" i="3"/>
  <c r="F1140" i="3" s="1"/>
  <c r="AH1140" i="3"/>
  <c r="AL1140" i="3" s="1"/>
  <c r="AH1171" i="3"/>
  <c r="H1171" i="3"/>
  <c r="AH1181" i="3"/>
  <c r="AL1181" i="3" s="1"/>
  <c r="E1501" i="3"/>
  <c r="F1501" i="3" s="1"/>
  <c r="H1501" i="3"/>
  <c r="AH1501" i="3"/>
  <c r="AL1501" i="3" s="1"/>
  <c r="C1501" i="3"/>
  <c r="D1501" i="3" s="1"/>
  <c r="AH1596" i="3"/>
  <c r="H1596" i="3"/>
  <c r="E1596" i="3"/>
  <c r="F1596" i="3" s="1"/>
  <c r="C1596" i="3"/>
  <c r="D1596" i="3" s="1"/>
  <c r="H1638" i="3"/>
  <c r="E1638" i="3"/>
  <c r="F1638" i="3" s="1"/>
  <c r="AJ1150" i="3"/>
  <c r="C1168" i="3"/>
  <c r="D1168" i="3" s="1"/>
  <c r="C1191" i="3"/>
  <c r="D1191" i="3" s="1"/>
  <c r="AH1193" i="3"/>
  <c r="H1342" i="3"/>
  <c r="AH1358" i="3"/>
  <c r="AL1358" i="3" s="1"/>
  <c r="H1412" i="3"/>
  <c r="E1447" i="3"/>
  <c r="F1447" i="3" s="1"/>
  <c r="C1447" i="3"/>
  <c r="D1447" i="3" s="1"/>
  <c r="AH1471" i="3"/>
  <c r="AL1471" i="3" s="1"/>
  <c r="C1471" i="3"/>
  <c r="D1471" i="3" s="1"/>
  <c r="E1485" i="3"/>
  <c r="F1485" i="3" s="1"/>
  <c r="H1485" i="3"/>
  <c r="AH1485" i="3"/>
  <c r="AL1485" i="3" s="1"/>
  <c r="AH1492" i="3"/>
  <c r="H1492" i="3"/>
  <c r="E1492" i="3"/>
  <c r="F1492" i="3" s="1"/>
  <c r="C1492" i="3"/>
  <c r="D1492" i="3" s="1"/>
  <c r="E1505" i="3"/>
  <c r="F1505" i="3" s="1"/>
  <c r="AH1505" i="3"/>
  <c r="AH1538" i="3"/>
  <c r="H1538" i="3"/>
  <c r="E1538" i="3"/>
  <c r="F1538" i="3" s="1"/>
  <c r="C1538" i="3"/>
  <c r="D1538" i="3" s="1"/>
  <c r="AH1581" i="3"/>
  <c r="H1581" i="3"/>
  <c r="E1581" i="3"/>
  <c r="F1581" i="3" s="1"/>
  <c r="AH1697" i="3"/>
  <c r="H1697" i="3"/>
  <c r="E1697" i="3"/>
  <c r="F1697" i="3" s="1"/>
  <c r="C1707" i="3"/>
  <c r="D1707" i="3" s="1"/>
  <c r="E1707" i="3"/>
  <c r="F1707" i="3" s="1"/>
  <c r="AH1848" i="3"/>
  <c r="C1848" i="3"/>
  <c r="D1848" i="3" s="1"/>
  <c r="H1848" i="3"/>
  <c r="C1931" i="3"/>
  <c r="D1931" i="3" s="1"/>
  <c r="H1931" i="3"/>
  <c r="E1931" i="3"/>
  <c r="F1931" i="3" s="1"/>
  <c r="AH1931" i="3"/>
  <c r="AJ1931" i="3" s="1"/>
  <c r="AH1946" i="3"/>
  <c r="AL1946" i="3" s="1"/>
  <c r="C1946" i="3"/>
  <c r="D1946" i="3" s="1"/>
  <c r="E1121" i="3"/>
  <c r="F1121" i="3" s="1"/>
  <c r="E1133" i="3"/>
  <c r="F1133" i="3" s="1"/>
  <c r="E1150" i="3"/>
  <c r="F1150" i="3" s="1"/>
  <c r="E1168" i="3"/>
  <c r="F1168" i="3" s="1"/>
  <c r="C1179" i="3"/>
  <c r="D1179" i="3" s="1"/>
  <c r="E1191" i="3"/>
  <c r="F1191" i="3" s="1"/>
  <c r="C1201" i="3"/>
  <c r="D1201" i="3" s="1"/>
  <c r="E1208" i="3"/>
  <c r="F1208" i="3" s="1"/>
  <c r="C1214" i="3"/>
  <c r="D1214" i="3" s="1"/>
  <c r="AH1214" i="3"/>
  <c r="C1216" i="3"/>
  <c r="D1216" i="3" s="1"/>
  <c r="C1242" i="3"/>
  <c r="D1242" i="3" s="1"/>
  <c r="AH1242" i="3"/>
  <c r="AJ1242" i="3" s="1"/>
  <c r="C1289" i="3"/>
  <c r="D1289" i="3" s="1"/>
  <c r="C1296" i="3"/>
  <c r="D1296" i="3" s="1"/>
  <c r="C1297" i="3"/>
  <c r="D1297" i="3" s="1"/>
  <c r="E1343" i="3"/>
  <c r="F1343" i="3" s="1"/>
  <c r="C1350" i="3"/>
  <c r="D1350" i="3" s="1"/>
  <c r="H1360" i="3"/>
  <c r="C1365" i="3"/>
  <c r="D1365" i="3" s="1"/>
  <c r="C1375" i="3"/>
  <c r="D1375" i="3" s="1"/>
  <c r="H1393" i="3"/>
  <c r="E1394" i="3"/>
  <c r="F1394" i="3" s="1"/>
  <c r="C1400" i="3"/>
  <c r="D1400" i="3" s="1"/>
  <c r="AH1415" i="3"/>
  <c r="E1415" i="3"/>
  <c r="F1415" i="3" s="1"/>
  <c r="E1425" i="3"/>
  <c r="F1425" i="3" s="1"/>
  <c r="AH1446" i="3"/>
  <c r="AL1446" i="3" s="1"/>
  <c r="E1446" i="3"/>
  <c r="F1446" i="3" s="1"/>
  <c r="C1446" i="3"/>
  <c r="D1446" i="3" s="1"/>
  <c r="AH1481" i="3"/>
  <c r="E1481" i="3"/>
  <c r="F1481" i="3" s="1"/>
  <c r="AH1592" i="3"/>
  <c r="H1592" i="3"/>
  <c r="E1592" i="3"/>
  <c r="F1592" i="3" s="1"/>
  <c r="C1592" i="3"/>
  <c r="D1592" i="3" s="1"/>
  <c r="E1647" i="3"/>
  <c r="F1647" i="3" s="1"/>
  <c r="H1647" i="3"/>
  <c r="AH1647" i="3"/>
  <c r="AH1679" i="3"/>
  <c r="C1679" i="3"/>
  <c r="D1679" i="3" s="1"/>
  <c r="H1679" i="3"/>
  <c r="AH1797" i="3"/>
  <c r="H1797" i="3"/>
  <c r="E1797" i="3"/>
  <c r="F1797" i="3" s="1"/>
  <c r="C1797" i="3"/>
  <c r="D1797" i="3" s="1"/>
  <c r="H2201" i="3"/>
  <c r="E2201" i="3"/>
  <c r="F2201" i="3" s="1"/>
  <c r="C2201" i="3"/>
  <c r="D2201" i="3" s="1"/>
  <c r="C1185" i="3"/>
  <c r="D1185" i="3" s="1"/>
  <c r="C1194" i="3"/>
  <c r="D1194" i="3" s="1"/>
  <c r="E1201" i="3"/>
  <c r="F1201" i="3" s="1"/>
  <c r="H1208" i="3"/>
  <c r="AL1208" i="3"/>
  <c r="H1214" i="3"/>
  <c r="E1216" i="3"/>
  <c r="F1216" i="3" s="1"/>
  <c r="E1235" i="3"/>
  <c r="F1235" i="3" s="1"/>
  <c r="C1268" i="3"/>
  <c r="D1268" i="3" s="1"/>
  <c r="AH1270" i="3"/>
  <c r="AH1278" i="3"/>
  <c r="E1289" i="3"/>
  <c r="F1289" i="3" s="1"/>
  <c r="AH1289" i="3"/>
  <c r="H1296" i="3"/>
  <c r="AH1297" i="3"/>
  <c r="C1323" i="3"/>
  <c r="D1323" i="3" s="1"/>
  <c r="C1361" i="3"/>
  <c r="D1361" i="3" s="1"/>
  <c r="C1389" i="3"/>
  <c r="D1389" i="3" s="1"/>
  <c r="AH1398" i="3"/>
  <c r="C1401" i="3"/>
  <c r="D1401" i="3" s="1"/>
  <c r="E1403" i="3"/>
  <c r="F1403" i="3" s="1"/>
  <c r="C1403" i="3"/>
  <c r="D1403" i="3" s="1"/>
  <c r="E1407" i="3"/>
  <c r="F1407" i="3" s="1"/>
  <c r="C1418" i="3"/>
  <c r="D1418" i="3" s="1"/>
  <c r="E1432" i="3"/>
  <c r="F1432" i="3" s="1"/>
  <c r="H1458" i="3"/>
  <c r="E1458" i="3"/>
  <c r="F1458" i="3" s="1"/>
  <c r="AH1458" i="3"/>
  <c r="AH1460" i="3"/>
  <c r="C1460" i="3"/>
  <c r="D1460" i="3" s="1"/>
  <c r="AL1975" i="3"/>
  <c r="AJ1975" i="3"/>
  <c r="AL2197" i="3"/>
  <c r="AJ2197" i="3"/>
  <c r="E1179" i="3"/>
  <c r="F1179" i="3" s="1"/>
  <c r="AL1179" i="3"/>
  <c r="E1185" i="3"/>
  <c r="F1185" i="3" s="1"/>
  <c r="AJ1185" i="3"/>
  <c r="H1191" i="3"/>
  <c r="AJ1191" i="3"/>
  <c r="C1193" i="3"/>
  <c r="D1193" i="3" s="1"/>
  <c r="E1195" i="3"/>
  <c r="F1195" i="3" s="1"/>
  <c r="H1201" i="3"/>
  <c r="C1209" i="3"/>
  <c r="D1209" i="3" s="1"/>
  <c r="H1216" i="3"/>
  <c r="E1243" i="3"/>
  <c r="F1243" i="3" s="1"/>
  <c r="E1268" i="3"/>
  <c r="F1268" i="3" s="1"/>
  <c r="C1270" i="3"/>
  <c r="D1270" i="3" s="1"/>
  <c r="C1278" i="3"/>
  <c r="D1278" i="3" s="1"/>
  <c r="E1297" i="3"/>
  <c r="F1297" i="3" s="1"/>
  <c r="H1343" i="3"/>
  <c r="E1361" i="3"/>
  <c r="F1361" i="3" s="1"/>
  <c r="AJ1361" i="3"/>
  <c r="H1375" i="3"/>
  <c r="AH1375" i="3"/>
  <c r="AL1375" i="3" s="1"/>
  <c r="C1387" i="3"/>
  <c r="D1387" i="3" s="1"/>
  <c r="E1388" i="3"/>
  <c r="F1388" i="3" s="1"/>
  <c r="AJ1409" i="3"/>
  <c r="H1425" i="3"/>
  <c r="C1470" i="3"/>
  <c r="D1470" i="3" s="1"/>
  <c r="E1470" i="3"/>
  <c r="F1470" i="3" s="1"/>
  <c r="H1482" i="3"/>
  <c r="E1482" i="3"/>
  <c r="F1482" i="3" s="1"/>
  <c r="AH1490" i="3"/>
  <c r="C1490" i="3"/>
  <c r="D1490" i="3" s="1"/>
  <c r="C1491" i="3"/>
  <c r="D1491" i="3" s="1"/>
  <c r="H1491" i="3"/>
  <c r="AH1491" i="3"/>
  <c r="E1491" i="3"/>
  <c r="F1491" i="3" s="1"/>
  <c r="E1595" i="3"/>
  <c r="F1595" i="3" s="1"/>
  <c r="H1595" i="3"/>
  <c r="C1595" i="3"/>
  <c r="D1595" i="3" s="1"/>
  <c r="AH1626" i="3"/>
  <c r="C1626" i="3"/>
  <c r="D1626" i="3" s="1"/>
  <c r="H1626" i="3"/>
  <c r="H1635" i="3"/>
  <c r="E1635" i="3"/>
  <c r="F1635" i="3" s="1"/>
  <c r="C1635" i="3"/>
  <c r="D1635" i="3" s="1"/>
  <c r="AH1635" i="3"/>
  <c r="C1735" i="3"/>
  <c r="D1735" i="3" s="1"/>
  <c r="E1735" i="3"/>
  <c r="F1735" i="3" s="1"/>
  <c r="H1735" i="3"/>
  <c r="AH1735" i="3"/>
  <c r="E2146" i="3"/>
  <c r="F2146" i="3" s="1"/>
  <c r="AH2146" i="3"/>
  <c r="AL2146" i="3" s="1"/>
  <c r="H2146" i="3"/>
  <c r="AH1209" i="3"/>
  <c r="H1269" i="3"/>
  <c r="H1277" i="3"/>
  <c r="H1283" i="3"/>
  <c r="E1284" i="3"/>
  <c r="F1284" i="3" s="1"/>
  <c r="E1291" i="3"/>
  <c r="F1291" i="3" s="1"/>
  <c r="H1298" i="3"/>
  <c r="C1299" i="3"/>
  <c r="D1299" i="3" s="1"/>
  <c r="E1304" i="3"/>
  <c r="F1304" i="3" s="1"/>
  <c r="AH1304" i="3"/>
  <c r="H1323" i="3"/>
  <c r="C1351" i="3"/>
  <c r="D1351" i="3" s="1"/>
  <c r="C1367" i="3"/>
  <c r="D1367" i="3" s="1"/>
  <c r="H1390" i="3"/>
  <c r="C1409" i="3"/>
  <c r="D1409" i="3" s="1"/>
  <c r="H1418" i="3"/>
  <c r="C1419" i="3"/>
  <c r="D1419" i="3" s="1"/>
  <c r="E1434" i="3"/>
  <c r="F1434" i="3" s="1"/>
  <c r="C1438" i="3"/>
  <c r="D1438" i="3" s="1"/>
  <c r="C1442" i="3"/>
  <c r="D1442" i="3" s="1"/>
  <c r="E1453" i="3"/>
  <c r="F1453" i="3" s="1"/>
  <c r="AH1589" i="3"/>
  <c r="AL1589" i="3" s="1"/>
  <c r="H1589" i="3"/>
  <c r="E1589" i="3"/>
  <c r="F1589" i="3" s="1"/>
  <c r="C1589" i="3"/>
  <c r="D1589" i="3" s="1"/>
  <c r="H1613" i="3"/>
  <c r="C1613" i="3"/>
  <c r="D1613" i="3" s="1"/>
  <c r="AH1677" i="3"/>
  <c r="C1677" i="3"/>
  <c r="D1677" i="3" s="1"/>
  <c r="H1677" i="3"/>
  <c r="AJ1755" i="3"/>
  <c r="AL1755" i="3"/>
  <c r="H1991" i="3"/>
  <c r="E1991" i="3"/>
  <c r="F1991" i="3" s="1"/>
  <c r="AH1991" i="3"/>
  <c r="E1247" i="3"/>
  <c r="F1247" i="3" s="1"/>
  <c r="AH1247" i="3"/>
  <c r="H1284" i="3"/>
  <c r="C1285" i="3"/>
  <c r="D1285" i="3" s="1"/>
  <c r="H1291" i="3"/>
  <c r="E1299" i="3"/>
  <c r="F1299" i="3" s="1"/>
  <c r="E1301" i="3"/>
  <c r="F1301" i="3" s="1"/>
  <c r="AH1315" i="3"/>
  <c r="AL1315" i="3" s="1"/>
  <c r="H1409" i="3"/>
  <c r="H1431" i="3"/>
  <c r="E1431" i="3"/>
  <c r="F1431" i="3" s="1"/>
  <c r="C1431" i="3"/>
  <c r="D1431" i="3" s="1"/>
  <c r="H1453" i="3"/>
  <c r="E1479" i="3"/>
  <c r="F1479" i="3" s="1"/>
  <c r="AH1479" i="3"/>
  <c r="AL1479" i="3" s="1"/>
  <c r="AH1489" i="3"/>
  <c r="H1489" i="3"/>
  <c r="E1594" i="3"/>
  <c r="F1594" i="3" s="1"/>
  <c r="H1594" i="3"/>
  <c r="C1594" i="3"/>
  <c r="D1594" i="3" s="1"/>
  <c r="H1668" i="3"/>
  <c r="AH1668" i="3"/>
  <c r="AH1823" i="3"/>
  <c r="C1823" i="3"/>
  <c r="D1823" i="3" s="1"/>
  <c r="AH1985" i="3"/>
  <c r="C1985" i="3"/>
  <c r="D1985" i="3" s="1"/>
  <c r="H1985" i="3"/>
  <c r="E1985" i="3"/>
  <c r="F1985" i="3" s="1"/>
  <c r="H1247" i="3"/>
  <c r="H1301" i="3"/>
  <c r="AJ1335" i="3"/>
  <c r="AH1389" i="3"/>
  <c r="H1389" i="3"/>
  <c r="H1397" i="3"/>
  <c r="E1469" i="3"/>
  <c r="F1469" i="3" s="1"/>
  <c r="C1469" i="3"/>
  <c r="D1469" i="3" s="1"/>
  <c r="C1485" i="3"/>
  <c r="D1485" i="3" s="1"/>
  <c r="AL1497" i="3"/>
  <c r="AL1504" i="3"/>
  <c r="AH1524" i="3"/>
  <c r="AL1524" i="3" s="1"/>
  <c r="E1524" i="3"/>
  <c r="F1524" i="3" s="1"/>
  <c r="C1524" i="3"/>
  <c r="D1524" i="3" s="1"/>
  <c r="E1571" i="3"/>
  <c r="F1571" i="3" s="1"/>
  <c r="H1571" i="3"/>
  <c r="AH1571" i="3"/>
  <c r="C1571" i="3"/>
  <c r="D1571" i="3" s="1"/>
  <c r="H1624" i="3"/>
  <c r="AH1624" i="3"/>
  <c r="E1624" i="3"/>
  <c r="F1624" i="3" s="1"/>
  <c r="H1640" i="3"/>
  <c r="E1640" i="3"/>
  <c r="F1640" i="3" s="1"/>
  <c r="AH1640" i="3"/>
  <c r="C1640" i="3"/>
  <c r="D1640" i="3" s="1"/>
  <c r="C1119" i="3"/>
  <c r="D1119" i="3" s="1"/>
  <c r="AH1123" i="3"/>
  <c r="AL1123" i="3" s="1"/>
  <c r="C1128" i="3"/>
  <c r="D1128" i="3" s="1"/>
  <c r="C1130" i="3"/>
  <c r="D1130" i="3" s="1"/>
  <c r="H1166" i="3"/>
  <c r="H1187" i="3"/>
  <c r="E1211" i="3"/>
  <c r="F1211" i="3" s="1"/>
  <c r="H1230" i="3"/>
  <c r="E1232" i="3"/>
  <c r="F1232" i="3" s="1"/>
  <c r="AJ1240" i="3"/>
  <c r="H1294" i="3"/>
  <c r="AH1294" i="3"/>
  <c r="C1307" i="3"/>
  <c r="D1307" i="3" s="1"/>
  <c r="AH1310" i="3"/>
  <c r="H1317" i="3"/>
  <c r="AJ1317" i="3"/>
  <c r="C1320" i="3"/>
  <c r="D1320" i="3" s="1"/>
  <c r="H1327" i="3"/>
  <c r="AJ1327" i="3"/>
  <c r="H1335" i="3"/>
  <c r="C1336" i="3"/>
  <c r="D1336" i="3" s="1"/>
  <c r="H1351" i="3"/>
  <c r="H1367" i="3"/>
  <c r="C1369" i="3"/>
  <c r="D1369" i="3" s="1"/>
  <c r="AH1400" i="3"/>
  <c r="AL1400" i="3" s="1"/>
  <c r="E1400" i="3"/>
  <c r="F1400" i="3" s="1"/>
  <c r="AL1413" i="3"/>
  <c r="C1424" i="3"/>
  <c r="D1424" i="3" s="1"/>
  <c r="H1447" i="3"/>
  <c r="AH1447" i="3"/>
  <c r="AL1447" i="3" s="1"/>
  <c r="AH1473" i="3"/>
  <c r="AJ1473" i="3" s="1"/>
  <c r="H1473" i="3"/>
  <c r="E1473" i="3"/>
  <c r="F1473" i="3" s="1"/>
  <c r="AH1499" i="3"/>
  <c r="E1499" i="3"/>
  <c r="F1499" i="3" s="1"/>
  <c r="AL1533" i="3"/>
  <c r="AJ1533" i="3"/>
  <c r="H1885" i="3"/>
  <c r="C1885" i="3"/>
  <c r="D1885" i="3" s="1"/>
  <c r="AH1885" i="3"/>
  <c r="AH2032" i="3"/>
  <c r="E2032" i="3"/>
  <c r="F2032" i="3" s="1"/>
  <c r="H2032" i="3"/>
  <c r="C2032" i="3"/>
  <c r="D2032" i="3" s="1"/>
  <c r="AH1433" i="3"/>
  <c r="H1433" i="3"/>
  <c r="H1439" i="3"/>
  <c r="E1439" i="3"/>
  <c r="F1439" i="3" s="1"/>
  <c r="C1478" i="3"/>
  <c r="D1478" i="3" s="1"/>
  <c r="H1478" i="3"/>
  <c r="AH1478" i="3"/>
  <c r="AL1478" i="3" s="1"/>
  <c r="AH1593" i="3"/>
  <c r="H1593" i="3"/>
  <c r="E1593" i="3"/>
  <c r="F1593" i="3" s="1"/>
  <c r="C1593" i="3"/>
  <c r="D1593" i="3" s="1"/>
  <c r="AH1682" i="3"/>
  <c r="H1682" i="3"/>
  <c r="E1682" i="3"/>
  <c r="F1682" i="3" s="1"/>
  <c r="H1724" i="3"/>
  <c r="E1724" i="3"/>
  <c r="F1724" i="3" s="1"/>
  <c r="C1724" i="3"/>
  <c r="D1724" i="3" s="1"/>
  <c r="AH1724" i="3"/>
  <c r="AH1841" i="3"/>
  <c r="E1841" i="3"/>
  <c r="F1841" i="3" s="1"/>
  <c r="AH1855" i="3"/>
  <c r="C1855" i="3"/>
  <c r="D1855" i="3" s="1"/>
  <c r="H1855" i="3"/>
  <c r="AJ1883" i="3"/>
  <c r="AL1883" i="3"/>
  <c r="AJ2079" i="3"/>
  <c r="AL2079" i="3"/>
  <c r="AH1438" i="3"/>
  <c r="AL1438" i="3" s="1"/>
  <c r="H1438" i="3"/>
  <c r="E1486" i="3"/>
  <c r="F1486" i="3" s="1"/>
  <c r="AH1486" i="3"/>
  <c r="H1486" i="3"/>
  <c r="AH1523" i="3"/>
  <c r="AJ1523" i="3" s="1"/>
  <c r="H1523" i="3"/>
  <c r="E1523" i="3"/>
  <c r="F1523" i="3" s="1"/>
  <c r="AH1691" i="3"/>
  <c r="C1691" i="3"/>
  <c r="D1691" i="3" s="1"/>
  <c r="AH1752" i="3"/>
  <c r="E1752" i="3"/>
  <c r="F1752" i="3" s="1"/>
  <c r="C1752" i="3"/>
  <c r="D1752" i="3" s="1"/>
  <c r="H1752" i="3"/>
  <c r="AJ1781" i="3"/>
  <c r="AL1781" i="3"/>
  <c r="H2031" i="3"/>
  <c r="C2031" i="3"/>
  <c r="D2031" i="3" s="1"/>
  <c r="E2031" i="3"/>
  <c r="F2031" i="3" s="1"/>
  <c r="H1472" i="3"/>
  <c r="H1515" i="3"/>
  <c r="H1517" i="3"/>
  <c r="C1518" i="3"/>
  <c r="D1518" i="3" s="1"/>
  <c r="AH1555" i="3"/>
  <c r="C1555" i="3"/>
  <c r="D1555" i="3" s="1"/>
  <c r="H1557" i="3"/>
  <c r="C1562" i="3"/>
  <c r="D1562" i="3" s="1"/>
  <c r="AH1600" i="3"/>
  <c r="H1600" i="3"/>
  <c r="C1653" i="3"/>
  <c r="D1653" i="3" s="1"/>
  <c r="E1662" i="3"/>
  <c r="F1662" i="3" s="1"/>
  <c r="AH1667" i="3"/>
  <c r="C1670" i="3"/>
  <c r="D1670" i="3" s="1"/>
  <c r="AH1673" i="3"/>
  <c r="E1673" i="3"/>
  <c r="F1673" i="3" s="1"/>
  <c r="AH1685" i="3"/>
  <c r="E1693" i="3"/>
  <c r="F1693" i="3" s="1"/>
  <c r="AH1702" i="3"/>
  <c r="H1715" i="3"/>
  <c r="AH1715" i="3"/>
  <c r="C1715" i="3"/>
  <c r="D1715" i="3" s="1"/>
  <c r="E1728" i="3"/>
  <c r="F1728" i="3" s="1"/>
  <c r="H1728" i="3"/>
  <c r="C1728" i="3"/>
  <c r="D1728" i="3" s="1"/>
  <c r="C1732" i="3"/>
  <c r="D1732" i="3" s="1"/>
  <c r="AH1732" i="3"/>
  <c r="C1738" i="3"/>
  <c r="D1738" i="3" s="1"/>
  <c r="E1758" i="3"/>
  <c r="F1758" i="3" s="1"/>
  <c r="H1758" i="3"/>
  <c r="AH1765" i="3"/>
  <c r="AL1765" i="3" s="1"/>
  <c r="H1769" i="3"/>
  <c r="E1769" i="3"/>
  <c r="F1769" i="3" s="1"/>
  <c r="E1919" i="3"/>
  <c r="F1919" i="3" s="1"/>
  <c r="H1919" i="3"/>
  <c r="AH1919" i="3"/>
  <c r="H2029" i="3"/>
  <c r="E2029" i="3"/>
  <c r="F2029" i="3" s="1"/>
  <c r="C2029" i="3"/>
  <c r="D2029" i="3" s="1"/>
  <c r="AH2051" i="3"/>
  <c r="AL2051" i="3" s="1"/>
  <c r="C2051" i="3"/>
  <c r="D2051" i="3" s="1"/>
  <c r="E2051" i="3"/>
  <c r="F2051" i="3" s="1"/>
  <c r="H2051" i="3"/>
  <c r="H2069" i="3"/>
  <c r="AH2069" i="3"/>
  <c r="C2073" i="3"/>
  <c r="D2073" i="3" s="1"/>
  <c r="H2073" i="3"/>
  <c r="AL2109" i="3"/>
  <c r="AJ2109" i="3"/>
  <c r="E2158" i="3"/>
  <c r="F2158" i="3" s="1"/>
  <c r="H2158" i="3"/>
  <c r="H2240" i="3"/>
  <c r="E2240" i="3"/>
  <c r="F2240" i="3" s="1"/>
  <c r="C2240" i="3"/>
  <c r="D2240" i="3" s="1"/>
  <c r="C2245" i="3"/>
  <c r="D2245" i="3" s="1"/>
  <c r="H2245" i="3"/>
  <c r="E2245" i="3"/>
  <c r="F2245" i="3" s="1"/>
  <c r="AH2245" i="3"/>
  <c r="AL2245" i="3" s="1"/>
  <c r="C1500" i="3"/>
  <c r="D1500" i="3" s="1"/>
  <c r="C1543" i="3"/>
  <c r="D1543" i="3" s="1"/>
  <c r="H1543" i="3"/>
  <c r="AL1563" i="3"/>
  <c r="C1604" i="3"/>
  <c r="D1604" i="3" s="1"/>
  <c r="E1653" i="3"/>
  <c r="F1653" i="3" s="1"/>
  <c r="E1661" i="3"/>
  <c r="F1661" i="3" s="1"/>
  <c r="E1669" i="3"/>
  <c r="F1669" i="3" s="1"/>
  <c r="E1670" i="3"/>
  <c r="F1670" i="3" s="1"/>
  <c r="C1686" i="3"/>
  <c r="D1686" i="3" s="1"/>
  <c r="H1693" i="3"/>
  <c r="AH1698" i="3"/>
  <c r="C1698" i="3"/>
  <c r="D1698" i="3" s="1"/>
  <c r="C1704" i="3"/>
  <c r="D1704" i="3" s="1"/>
  <c r="C1714" i="3"/>
  <c r="D1714" i="3" s="1"/>
  <c r="E1714" i="3"/>
  <c r="F1714" i="3" s="1"/>
  <c r="H1736" i="3"/>
  <c r="E1737" i="3"/>
  <c r="F1737" i="3" s="1"/>
  <c r="AJ1753" i="3"/>
  <c r="C1765" i="3"/>
  <c r="D1765" i="3" s="1"/>
  <c r="H1872" i="3"/>
  <c r="E1872" i="3"/>
  <c r="F1872" i="3" s="1"/>
  <c r="C1872" i="3"/>
  <c r="D1872" i="3" s="1"/>
  <c r="AH1872" i="3"/>
  <c r="AL1872" i="3" s="1"/>
  <c r="AH1896" i="3"/>
  <c r="H1896" i="3"/>
  <c r="E1896" i="3"/>
  <c r="F1896" i="3" s="1"/>
  <c r="C1896" i="3"/>
  <c r="D1896" i="3" s="1"/>
  <c r="AH1947" i="3"/>
  <c r="C1947" i="3"/>
  <c r="D1947" i="3" s="1"/>
  <c r="C1980" i="3"/>
  <c r="D1980" i="3" s="1"/>
  <c r="E1980" i="3"/>
  <c r="F1980" i="3" s="1"/>
  <c r="H1980" i="3"/>
  <c r="E1998" i="3"/>
  <c r="F1998" i="3" s="1"/>
  <c r="AH1998" i="3"/>
  <c r="AL1998" i="3" s="1"/>
  <c r="H1998" i="3"/>
  <c r="E2002" i="3"/>
  <c r="F2002" i="3" s="1"/>
  <c r="C2002" i="3"/>
  <c r="D2002" i="3" s="1"/>
  <c r="AH2002" i="3"/>
  <c r="H2002" i="3"/>
  <c r="H2041" i="3"/>
  <c r="C2041" i="3"/>
  <c r="D2041" i="3" s="1"/>
  <c r="AH2041" i="3"/>
  <c r="AJ2041" i="3" s="1"/>
  <c r="E1498" i="3"/>
  <c r="F1498" i="3" s="1"/>
  <c r="E1500" i="3"/>
  <c r="F1500" i="3" s="1"/>
  <c r="AH1564" i="3"/>
  <c r="AL1564" i="3" s="1"/>
  <c r="AH1567" i="3"/>
  <c r="E1604" i="3"/>
  <c r="F1604" i="3" s="1"/>
  <c r="C1612" i="3"/>
  <c r="D1612" i="3" s="1"/>
  <c r="C1617" i="3"/>
  <c r="D1617" i="3" s="1"/>
  <c r="C1667" i="3"/>
  <c r="D1667" i="3" s="1"/>
  <c r="C1702" i="3"/>
  <c r="D1702" i="3" s="1"/>
  <c r="E1704" i="3"/>
  <c r="F1704" i="3" s="1"/>
  <c r="AH1708" i="3"/>
  <c r="H1708" i="3"/>
  <c r="C1708" i="3"/>
  <c r="D1708" i="3" s="1"/>
  <c r="AH1744" i="3"/>
  <c r="C1744" i="3"/>
  <c r="D1744" i="3" s="1"/>
  <c r="C1751" i="3"/>
  <c r="D1751" i="3" s="1"/>
  <c r="E1751" i="3"/>
  <c r="F1751" i="3" s="1"/>
  <c r="H1765" i="3"/>
  <c r="H1831" i="3"/>
  <c r="AH1831" i="3"/>
  <c r="E1831" i="3"/>
  <c r="F1831" i="3" s="1"/>
  <c r="AJ1912" i="3"/>
  <c r="AL1912" i="3"/>
  <c r="C2147" i="3"/>
  <c r="D2147" i="3" s="1"/>
  <c r="H2147" i="3"/>
  <c r="AH2147" i="3"/>
  <c r="C1568" i="3"/>
  <c r="D1568" i="3" s="1"/>
  <c r="E1611" i="3"/>
  <c r="F1611" i="3" s="1"/>
  <c r="E1612" i="3"/>
  <c r="F1612" i="3" s="1"/>
  <c r="AH1617" i="3"/>
  <c r="C1619" i="3"/>
  <c r="D1619" i="3" s="1"/>
  <c r="H1623" i="3"/>
  <c r="C1623" i="3"/>
  <c r="D1623" i="3" s="1"/>
  <c r="H1653" i="3"/>
  <c r="C1666" i="3"/>
  <c r="D1666" i="3" s="1"/>
  <c r="H1667" i="3"/>
  <c r="E1702" i="3"/>
  <c r="F1702" i="3" s="1"/>
  <c r="H1704" i="3"/>
  <c r="H1764" i="3"/>
  <c r="AH1787" i="3"/>
  <c r="AH1811" i="3"/>
  <c r="AJ1811" i="3" s="1"/>
  <c r="E1811" i="3"/>
  <c r="F1811" i="3" s="1"/>
  <c r="C1811" i="3"/>
  <c r="D1811" i="3" s="1"/>
  <c r="AH1837" i="3"/>
  <c r="H1837" i="3"/>
  <c r="C1837" i="3"/>
  <c r="D1837" i="3" s="1"/>
  <c r="AH1884" i="3"/>
  <c r="AL1884" i="3" s="1"/>
  <c r="C1884" i="3"/>
  <c r="D1884" i="3" s="1"/>
  <c r="H1884" i="3"/>
  <c r="E1884" i="3"/>
  <c r="F1884" i="3" s="1"/>
  <c r="AH1940" i="3"/>
  <c r="AL1940" i="3" s="1"/>
  <c r="E1940" i="3"/>
  <c r="F1940" i="3" s="1"/>
  <c r="C1940" i="3"/>
  <c r="D1940" i="3" s="1"/>
  <c r="E1979" i="3"/>
  <c r="F1979" i="3" s="1"/>
  <c r="H1979" i="3"/>
  <c r="AH1979" i="3"/>
  <c r="AH2028" i="3"/>
  <c r="E2028" i="3"/>
  <c r="F2028" i="3" s="1"/>
  <c r="C2028" i="3"/>
  <c r="D2028" i="3" s="1"/>
  <c r="AH2055" i="3"/>
  <c r="C2055" i="3"/>
  <c r="D2055" i="3" s="1"/>
  <c r="H2055" i="3"/>
  <c r="E2055" i="3"/>
  <c r="F2055" i="3" s="1"/>
  <c r="AH2096" i="3"/>
  <c r="H2096" i="3"/>
  <c r="C2096" i="3"/>
  <c r="D2096" i="3" s="1"/>
  <c r="E2096" i="3"/>
  <c r="F2096" i="3" s="1"/>
  <c r="AH2166" i="3"/>
  <c r="H2166" i="3"/>
  <c r="C2166" i="3"/>
  <c r="D2166" i="3" s="1"/>
  <c r="E2186" i="3"/>
  <c r="F2186" i="3" s="1"/>
  <c r="AH2186" i="3"/>
  <c r="C2186" i="3"/>
  <c r="D2186" i="3" s="1"/>
  <c r="H2186" i="3"/>
  <c r="C2218" i="3"/>
  <c r="D2218" i="3" s="1"/>
  <c r="H2218" i="3"/>
  <c r="AH2218" i="3"/>
  <c r="AH1537" i="3"/>
  <c r="E1537" i="3"/>
  <c r="F1537" i="3" s="1"/>
  <c r="H1554" i="3"/>
  <c r="C1597" i="3"/>
  <c r="D1597" i="3" s="1"/>
  <c r="H1619" i="3"/>
  <c r="AH1695" i="3"/>
  <c r="E1695" i="3"/>
  <c r="F1695" i="3" s="1"/>
  <c r="C1695" i="3"/>
  <c r="D1695" i="3" s="1"/>
  <c r="AH1737" i="3"/>
  <c r="C1737" i="3"/>
  <c r="D1737" i="3" s="1"/>
  <c r="C1816" i="3"/>
  <c r="D1816" i="3" s="1"/>
  <c r="E1816" i="3"/>
  <c r="F1816" i="3" s="1"/>
  <c r="AL1845" i="3"/>
  <c r="AJ1845" i="3"/>
  <c r="AH1851" i="3"/>
  <c r="H1851" i="3"/>
  <c r="E1851" i="3"/>
  <c r="F1851" i="3" s="1"/>
  <c r="E1905" i="3"/>
  <c r="F1905" i="3" s="1"/>
  <c r="H1905" i="3"/>
  <c r="AH1905" i="3"/>
  <c r="AH1967" i="3"/>
  <c r="H1967" i="3"/>
  <c r="C1967" i="3"/>
  <c r="D1967" i="3" s="1"/>
  <c r="E1967" i="3"/>
  <c r="F1967" i="3" s="1"/>
  <c r="AH2001" i="3"/>
  <c r="E2001" i="3"/>
  <c r="F2001" i="3" s="1"/>
  <c r="H2001" i="3"/>
  <c r="C2001" i="3"/>
  <c r="D2001" i="3" s="1"/>
  <c r="H2130" i="3"/>
  <c r="E2130" i="3"/>
  <c r="F2130" i="3" s="1"/>
  <c r="AJ2145" i="3"/>
  <c r="AL2145" i="3"/>
  <c r="E1564" i="3"/>
  <c r="F1564" i="3" s="1"/>
  <c r="C1564" i="3"/>
  <c r="D1564" i="3" s="1"/>
  <c r="AH1652" i="3"/>
  <c r="E1652" i="3"/>
  <c r="F1652" i="3" s="1"/>
  <c r="C1652" i="3"/>
  <c r="D1652" i="3" s="1"/>
  <c r="AH1686" i="3"/>
  <c r="E1686" i="3"/>
  <c r="F1686" i="3" s="1"/>
  <c r="E1734" i="3"/>
  <c r="F1734" i="3" s="1"/>
  <c r="H1734" i="3"/>
  <c r="C1783" i="3"/>
  <c r="D1783" i="3" s="1"/>
  <c r="E1783" i="3"/>
  <c r="F1783" i="3" s="1"/>
  <c r="AH1783" i="3"/>
  <c r="C1803" i="3"/>
  <c r="D1803" i="3" s="1"/>
  <c r="E1803" i="3"/>
  <c r="F1803" i="3" s="1"/>
  <c r="AH1835" i="3"/>
  <c r="AL1835" i="3" s="1"/>
  <c r="H1835" i="3"/>
  <c r="C1835" i="3"/>
  <c r="D1835" i="3" s="1"/>
  <c r="E1917" i="3"/>
  <c r="F1917" i="3" s="1"/>
  <c r="H1917" i="3"/>
  <c r="AH1917" i="3"/>
  <c r="AH2165" i="3"/>
  <c r="C2165" i="3"/>
  <c r="D2165" i="3" s="1"/>
  <c r="H2165" i="3"/>
  <c r="E1542" i="3"/>
  <c r="F1542" i="3" s="1"/>
  <c r="AH1773" i="3"/>
  <c r="H1773" i="3"/>
  <c r="C1773" i="3"/>
  <c r="D1773" i="3" s="1"/>
  <c r="C1781" i="3"/>
  <c r="D1781" i="3" s="1"/>
  <c r="E1781" i="3"/>
  <c r="F1781" i="3" s="1"/>
  <c r="C1796" i="3"/>
  <c r="D1796" i="3" s="1"/>
  <c r="H1796" i="3"/>
  <c r="E1796" i="3"/>
  <c r="F1796" i="3" s="1"/>
  <c r="AH1882" i="3"/>
  <c r="H1882" i="3"/>
  <c r="C1882" i="3"/>
  <c r="D1882" i="3" s="1"/>
  <c r="C2018" i="3"/>
  <c r="D2018" i="3" s="1"/>
  <c r="H2018" i="3"/>
  <c r="H2106" i="3"/>
  <c r="AH2106" i="3"/>
  <c r="AH1562" i="3"/>
  <c r="H1562" i="3"/>
  <c r="E1787" i="3"/>
  <c r="F1787" i="3" s="1"/>
  <c r="C1787" i="3"/>
  <c r="D1787" i="3" s="1"/>
  <c r="H1802" i="3"/>
  <c r="E1802" i="3"/>
  <c r="F1802" i="3" s="1"/>
  <c r="C1802" i="3"/>
  <c r="D1802" i="3" s="1"/>
  <c r="AH1874" i="3"/>
  <c r="H1874" i="3"/>
  <c r="E1874" i="3"/>
  <c r="F1874" i="3" s="1"/>
  <c r="C1874" i="3"/>
  <c r="D1874" i="3" s="1"/>
  <c r="AH2000" i="3"/>
  <c r="E2000" i="3"/>
  <c r="F2000" i="3" s="1"/>
  <c r="H2000" i="3"/>
  <c r="C2000" i="3"/>
  <c r="D2000" i="3" s="1"/>
  <c r="E2164" i="3"/>
  <c r="F2164" i="3" s="1"/>
  <c r="AH2164" i="3"/>
  <c r="H2164" i="3"/>
  <c r="C2164" i="3"/>
  <c r="D2164" i="3" s="1"/>
  <c r="AL2193" i="3"/>
  <c r="AJ2193" i="3"/>
  <c r="AH2214" i="3"/>
  <c r="AL2214" i="3" s="1"/>
  <c r="E2214" i="3"/>
  <c r="F2214" i="3" s="1"/>
  <c r="H2214" i="3"/>
  <c r="C2214" i="3"/>
  <c r="D2214" i="3" s="1"/>
  <c r="H2226" i="3"/>
  <c r="AH2226" i="3"/>
  <c r="AL2226" i="3" s="1"/>
  <c r="H1452" i="3"/>
  <c r="H1465" i="3"/>
  <c r="H1495" i="3"/>
  <c r="H1506" i="3"/>
  <c r="C1510" i="3"/>
  <c r="D1510" i="3" s="1"/>
  <c r="C1515" i="3"/>
  <c r="D1515" i="3" s="1"/>
  <c r="C1517" i="3"/>
  <c r="D1517" i="3" s="1"/>
  <c r="E1530" i="3"/>
  <c r="F1530" i="3" s="1"/>
  <c r="AJ1531" i="3"/>
  <c r="AH1557" i="3"/>
  <c r="AJ1557" i="3" s="1"/>
  <c r="H1641" i="3"/>
  <c r="H1646" i="3"/>
  <c r="E1649" i="3"/>
  <c r="F1649" i="3" s="1"/>
  <c r="E1690" i="3"/>
  <c r="F1690" i="3" s="1"/>
  <c r="H1718" i="3"/>
  <c r="H1732" i="3"/>
  <c r="H1733" i="3"/>
  <c r="AH1733" i="3"/>
  <c r="E1744" i="3"/>
  <c r="F1744" i="3" s="1"/>
  <c r="AH1790" i="3"/>
  <c r="E1790" i="3"/>
  <c r="F1790" i="3" s="1"/>
  <c r="H1795" i="3"/>
  <c r="C1795" i="3"/>
  <c r="D1795" i="3" s="1"/>
  <c r="AH1833" i="3"/>
  <c r="AJ1833" i="3" s="1"/>
  <c r="H1833" i="3"/>
  <c r="C1833" i="3"/>
  <c r="D1833" i="3" s="1"/>
  <c r="E1891" i="3"/>
  <c r="F1891" i="3" s="1"/>
  <c r="H1891" i="3"/>
  <c r="C1891" i="3"/>
  <c r="D1891" i="3" s="1"/>
  <c r="C1953" i="3"/>
  <c r="D1953" i="3" s="1"/>
  <c r="C2007" i="3"/>
  <c r="D2007" i="3" s="1"/>
  <c r="AH2007" i="3"/>
  <c r="E2047" i="3"/>
  <c r="F2047" i="3" s="1"/>
  <c r="H2047" i="3"/>
  <c r="H1509" i="3"/>
  <c r="H1513" i="3"/>
  <c r="E1517" i="3"/>
  <c r="F1517" i="3" s="1"/>
  <c r="C1527" i="3"/>
  <c r="D1527" i="3" s="1"/>
  <c r="H1530" i="3"/>
  <c r="C1531" i="3"/>
  <c r="D1531" i="3" s="1"/>
  <c r="E1623" i="3"/>
  <c r="F1623" i="3" s="1"/>
  <c r="AH1623" i="3"/>
  <c r="AH1630" i="3"/>
  <c r="E1630" i="3"/>
  <c r="F1630" i="3" s="1"/>
  <c r="H1633" i="3"/>
  <c r="H1690" i="3"/>
  <c r="C1692" i="3"/>
  <c r="D1692" i="3" s="1"/>
  <c r="C1693" i="3"/>
  <c r="D1693" i="3" s="1"/>
  <c r="AH1694" i="3"/>
  <c r="E1699" i="3"/>
  <c r="F1699" i="3" s="1"/>
  <c r="C1699" i="3"/>
  <c r="D1699" i="3" s="1"/>
  <c r="E1708" i="3"/>
  <c r="F1708" i="3" s="1"/>
  <c r="H1714" i="3"/>
  <c r="H1744" i="3"/>
  <c r="C1759" i="3"/>
  <c r="D1759" i="3" s="1"/>
  <c r="H1759" i="3"/>
  <c r="AH1767" i="3"/>
  <c r="AH1786" i="3"/>
  <c r="AL1786" i="3" s="1"/>
  <c r="E1786" i="3"/>
  <c r="F1786" i="3" s="1"/>
  <c r="AH1801" i="3"/>
  <c r="AJ1801" i="3" s="1"/>
  <c r="H1801" i="3"/>
  <c r="E1801" i="3"/>
  <c r="F1801" i="3" s="1"/>
  <c r="AH1839" i="3"/>
  <c r="H1839" i="3"/>
  <c r="C1839" i="3"/>
  <c r="D1839" i="3" s="1"/>
  <c r="AH1867" i="3"/>
  <c r="C1867" i="3"/>
  <c r="D1867" i="3" s="1"/>
  <c r="AH1873" i="3"/>
  <c r="C1873" i="3"/>
  <c r="D1873" i="3" s="1"/>
  <c r="E1873" i="3"/>
  <c r="F1873" i="3" s="1"/>
  <c r="E1881" i="3"/>
  <c r="F1881" i="3" s="1"/>
  <c r="C1881" i="3"/>
  <c r="D1881" i="3" s="1"/>
  <c r="E1924" i="3"/>
  <c r="F1924" i="3" s="1"/>
  <c r="H1924" i="3"/>
  <c r="AH1924" i="3"/>
  <c r="AL1924" i="3" s="1"/>
  <c r="C1924" i="3"/>
  <c r="D1924" i="3" s="1"/>
  <c r="E2006" i="3"/>
  <c r="F2006" i="3" s="1"/>
  <c r="H2006" i="3"/>
  <c r="C2006" i="3"/>
  <c r="D2006" i="3" s="1"/>
  <c r="E2147" i="3"/>
  <c r="F2147" i="3" s="1"/>
  <c r="AH1901" i="3"/>
  <c r="AL1901" i="3" s="1"/>
  <c r="E1901" i="3"/>
  <c r="F1901" i="3" s="1"/>
  <c r="H1925" i="3"/>
  <c r="AH1925" i="3"/>
  <c r="AL1925" i="3" s="1"/>
  <c r="C1925" i="3"/>
  <c r="D1925" i="3" s="1"/>
  <c r="AH1997" i="3"/>
  <c r="E1997" i="3"/>
  <c r="F1997" i="3" s="1"/>
  <c r="E2025" i="3"/>
  <c r="F2025" i="3" s="1"/>
  <c r="C2025" i="3"/>
  <c r="D2025" i="3" s="1"/>
  <c r="H2025" i="3"/>
  <c r="C2034" i="3"/>
  <c r="D2034" i="3" s="1"/>
  <c r="AH2034" i="3"/>
  <c r="AJ2065" i="3"/>
  <c r="AL2065" i="3"/>
  <c r="AH2125" i="3"/>
  <c r="E2125" i="3"/>
  <c r="F2125" i="3" s="1"/>
  <c r="AH2163" i="3"/>
  <c r="C2163" i="3"/>
  <c r="D2163" i="3" s="1"/>
  <c r="AH2169" i="3"/>
  <c r="AJ2169" i="3" s="1"/>
  <c r="E2169" i="3"/>
  <c r="F2169" i="3" s="1"/>
  <c r="H2169" i="3"/>
  <c r="H2190" i="3"/>
  <c r="AH2190" i="3"/>
  <c r="AH2208" i="3"/>
  <c r="E2208" i="3"/>
  <c r="F2208" i="3" s="1"/>
  <c r="C2208" i="3"/>
  <c r="D2208" i="3" s="1"/>
  <c r="E1726" i="3"/>
  <c r="F1726" i="3" s="1"/>
  <c r="AH1785" i="3"/>
  <c r="AJ1785" i="3" s="1"/>
  <c r="AH1902" i="3"/>
  <c r="E1902" i="3"/>
  <c r="F1902" i="3" s="1"/>
  <c r="H1912" i="3"/>
  <c r="C1912" i="3"/>
  <c r="D1912" i="3" s="1"/>
  <c r="AH1936" i="3"/>
  <c r="E1936" i="3"/>
  <c r="F1936" i="3" s="1"/>
  <c r="C1936" i="3"/>
  <c r="D1936" i="3" s="1"/>
  <c r="E2030" i="3"/>
  <c r="F2030" i="3" s="1"/>
  <c r="AH2030" i="3"/>
  <c r="AL2030" i="3" s="1"/>
  <c r="AH2058" i="3"/>
  <c r="AJ2058" i="3" s="1"/>
  <c r="C2058" i="3"/>
  <c r="D2058" i="3" s="1"/>
  <c r="AJ2090" i="3"/>
  <c r="E2119" i="3"/>
  <c r="F2119" i="3" s="1"/>
  <c r="AH2119" i="3"/>
  <c r="AH2239" i="3"/>
  <c r="AL2239" i="3" s="1"/>
  <c r="H2239" i="3"/>
  <c r="E2239" i="3"/>
  <c r="F2239" i="3" s="1"/>
  <c r="C2239" i="3"/>
  <c r="D2239" i="3" s="1"/>
  <c r="E1782" i="3"/>
  <c r="F1782" i="3" s="1"/>
  <c r="E1785" i="3"/>
  <c r="F1785" i="3" s="1"/>
  <c r="AH1952" i="3"/>
  <c r="H1952" i="3"/>
  <c r="C2008" i="3"/>
  <c r="D2008" i="3" s="1"/>
  <c r="C2017" i="3"/>
  <c r="D2017" i="3" s="1"/>
  <c r="AH2019" i="3"/>
  <c r="E2019" i="3"/>
  <c r="F2019" i="3" s="1"/>
  <c r="AH2099" i="3"/>
  <c r="H2099" i="3"/>
  <c r="C2099" i="3"/>
  <c r="D2099" i="3" s="1"/>
  <c r="E2099" i="3"/>
  <c r="F2099" i="3" s="1"/>
  <c r="H2109" i="3"/>
  <c r="E2109" i="3"/>
  <c r="F2109" i="3" s="1"/>
  <c r="C2109" i="3"/>
  <c r="D2109" i="3" s="1"/>
  <c r="AH2162" i="3"/>
  <c r="H2162" i="3"/>
  <c r="C2162" i="3"/>
  <c r="D2162" i="3" s="1"/>
  <c r="E1727" i="3"/>
  <c r="F1727" i="3" s="1"/>
  <c r="H1750" i="3"/>
  <c r="H1782" i="3"/>
  <c r="E1850" i="3"/>
  <c r="F1850" i="3" s="1"/>
  <c r="E1852" i="3"/>
  <c r="F1852" i="3" s="1"/>
  <c r="AH1916" i="3"/>
  <c r="AL1916" i="3" s="1"/>
  <c r="E1916" i="3"/>
  <c r="F1916" i="3" s="1"/>
  <c r="E1933" i="3"/>
  <c r="F1933" i="3" s="1"/>
  <c r="C1933" i="3"/>
  <c r="D1933" i="3" s="1"/>
  <c r="AH1951" i="3"/>
  <c r="E1951" i="3"/>
  <c r="F1951" i="3" s="1"/>
  <c r="C1951" i="3"/>
  <c r="D1951" i="3" s="1"/>
  <c r="E1963" i="3"/>
  <c r="F1963" i="3" s="1"/>
  <c r="AH1963" i="3"/>
  <c r="H1963" i="3"/>
  <c r="H1990" i="3"/>
  <c r="AH1990" i="3"/>
  <c r="AL1990" i="3" s="1"/>
  <c r="C1990" i="3"/>
  <c r="D1990" i="3" s="1"/>
  <c r="AH2093" i="3"/>
  <c r="H2093" i="3"/>
  <c r="C2093" i="3"/>
  <c r="D2093" i="3" s="1"/>
  <c r="AJ2113" i="3"/>
  <c r="AH2143" i="3"/>
  <c r="E2143" i="3"/>
  <c r="F2143" i="3" s="1"/>
  <c r="H2143" i="3"/>
  <c r="C2143" i="3"/>
  <c r="D2143" i="3" s="1"/>
  <c r="C2172" i="3"/>
  <c r="D2172" i="3" s="1"/>
  <c r="AH2172" i="3"/>
  <c r="AL2172" i="3" s="1"/>
  <c r="AJ2198" i="3"/>
  <c r="AL2198" i="3"/>
  <c r="H2233" i="3"/>
  <c r="AH2233" i="3"/>
  <c r="AL2233" i="3" s="1"/>
  <c r="C1696" i="3"/>
  <c r="D1696" i="3" s="1"/>
  <c r="C1729" i="3"/>
  <c r="D1729" i="3" s="1"/>
  <c r="AH1817" i="3"/>
  <c r="AH1827" i="3"/>
  <c r="C1845" i="3"/>
  <c r="D1845" i="3" s="1"/>
  <c r="AH1853" i="3"/>
  <c r="AH1890" i="3"/>
  <c r="AJ1898" i="3"/>
  <c r="AL1898" i="3"/>
  <c r="AH1923" i="3"/>
  <c r="AL1923" i="3" s="1"/>
  <c r="AH1932" i="3"/>
  <c r="AL1932" i="3" s="1"/>
  <c r="H1932" i="3"/>
  <c r="E1932" i="3"/>
  <c r="F1932" i="3" s="1"/>
  <c r="C1943" i="3"/>
  <c r="D1943" i="3" s="1"/>
  <c r="AH2023" i="3"/>
  <c r="C2023" i="3"/>
  <c r="D2023" i="3" s="1"/>
  <c r="H2023" i="3"/>
  <c r="E2075" i="3"/>
  <c r="F2075" i="3" s="1"/>
  <c r="H2075" i="3"/>
  <c r="C2075" i="3"/>
  <c r="D2075" i="3" s="1"/>
  <c r="AH2076" i="3"/>
  <c r="E2076" i="3"/>
  <c r="F2076" i="3" s="1"/>
  <c r="C2076" i="3"/>
  <c r="D2076" i="3" s="1"/>
  <c r="AH2108" i="3"/>
  <c r="AL2108" i="3" s="1"/>
  <c r="E2108" i="3"/>
  <c r="F2108" i="3" s="1"/>
  <c r="H2108" i="3"/>
  <c r="C1804" i="3"/>
  <c r="D1804" i="3" s="1"/>
  <c r="E1812" i="3"/>
  <c r="F1812" i="3" s="1"/>
  <c r="E1817" i="3"/>
  <c r="F1817" i="3" s="1"/>
  <c r="E1845" i="3"/>
  <c r="F1845" i="3" s="1"/>
  <c r="C1890" i="3"/>
  <c r="D1890" i="3" s="1"/>
  <c r="C1903" i="3"/>
  <c r="D1903" i="3" s="1"/>
  <c r="C1904" i="3"/>
  <c r="D1904" i="3" s="1"/>
  <c r="AH1920" i="3"/>
  <c r="AL1920" i="3" s="1"/>
  <c r="H1920" i="3"/>
  <c r="C1920" i="3"/>
  <c r="D1920" i="3" s="1"/>
  <c r="AH1948" i="3"/>
  <c r="C1948" i="3"/>
  <c r="D1948" i="3" s="1"/>
  <c r="E1948" i="3"/>
  <c r="F1948" i="3" s="1"/>
  <c r="AH1949" i="3"/>
  <c r="C1949" i="3"/>
  <c r="D1949" i="3" s="1"/>
  <c r="AH1981" i="3"/>
  <c r="C1981" i="3"/>
  <c r="D1981" i="3" s="1"/>
  <c r="E1981" i="3"/>
  <c r="F1981" i="3" s="1"/>
  <c r="C1997" i="3"/>
  <c r="D1997" i="3" s="1"/>
  <c r="AH2009" i="3"/>
  <c r="E2009" i="3"/>
  <c r="F2009" i="3" s="1"/>
  <c r="H2009" i="3"/>
  <c r="E2010" i="3"/>
  <c r="F2010" i="3" s="1"/>
  <c r="AH2010" i="3"/>
  <c r="C2010" i="3"/>
  <c r="D2010" i="3" s="1"/>
  <c r="AH2017" i="3"/>
  <c r="AL2017" i="3" s="1"/>
  <c r="H2017" i="3"/>
  <c r="C2097" i="3"/>
  <c r="D2097" i="3" s="1"/>
  <c r="AH2097" i="3"/>
  <c r="E2097" i="3"/>
  <c r="F2097" i="3" s="1"/>
  <c r="AH2188" i="3"/>
  <c r="E2188" i="3"/>
  <c r="F2188" i="3" s="1"/>
  <c r="AH2192" i="3"/>
  <c r="C2192" i="3"/>
  <c r="D2192" i="3" s="1"/>
  <c r="H2192" i="3"/>
  <c r="H1793" i="3"/>
  <c r="E1804" i="3"/>
  <c r="F1804" i="3" s="1"/>
  <c r="H1812" i="3"/>
  <c r="C1826" i="3"/>
  <c r="D1826" i="3" s="1"/>
  <c r="AL1826" i="3"/>
  <c r="E1866" i="3"/>
  <c r="F1866" i="3" s="1"/>
  <c r="C1877" i="3"/>
  <c r="D1877" i="3" s="1"/>
  <c r="H1883" i="3"/>
  <c r="E1883" i="3"/>
  <c r="F1883" i="3" s="1"/>
  <c r="C1883" i="3"/>
  <c r="D1883" i="3" s="1"/>
  <c r="H1890" i="3"/>
  <c r="AH1897" i="3"/>
  <c r="E1897" i="3"/>
  <c r="F1897" i="3" s="1"/>
  <c r="C1897" i="3"/>
  <c r="D1897" i="3" s="1"/>
  <c r="AH1900" i="3"/>
  <c r="AL1900" i="3" s="1"/>
  <c r="E1903" i="3"/>
  <c r="F1903" i="3" s="1"/>
  <c r="E1925" i="3"/>
  <c r="F1925" i="3" s="1"/>
  <c r="AH1986" i="3"/>
  <c r="H1986" i="3"/>
  <c r="C1986" i="3"/>
  <c r="D1986" i="3" s="1"/>
  <c r="AH2008" i="3"/>
  <c r="H2008" i="3"/>
  <c r="AH2038" i="3"/>
  <c r="AJ2038" i="3" s="1"/>
  <c r="E2038" i="3"/>
  <c r="F2038" i="3" s="1"/>
  <c r="C2038" i="3"/>
  <c r="D2038" i="3" s="1"/>
  <c r="AH2114" i="3"/>
  <c r="E2114" i="3"/>
  <c r="F2114" i="3" s="1"/>
  <c r="H2114" i="3"/>
  <c r="C2114" i="3"/>
  <c r="D2114" i="3" s="1"/>
  <c r="AH2098" i="3"/>
  <c r="H2098" i="3"/>
  <c r="H2157" i="3"/>
  <c r="C2157" i="3"/>
  <c r="D2157" i="3" s="1"/>
  <c r="E2189" i="3"/>
  <c r="F2189" i="3" s="1"/>
  <c r="AH2189" i="3"/>
  <c r="AJ2205" i="3"/>
  <c r="AL2205" i="3"/>
  <c r="H2211" i="3"/>
  <c r="AH2211" i="3"/>
  <c r="AH2244" i="3"/>
  <c r="AJ2244" i="3" s="1"/>
  <c r="H2244" i="3"/>
  <c r="E2244" i="3"/>
  <c r="F2244" i="3" s="1"/>
  <c r="C2244" i="3"/>
  <c r="D2244" i="3" s="1"/>
  <c r="C2253" i="3"/>
  <c r="D2253" i="3" s="1"/>
  <c r="AH2253" i="3"/>
  <c r="AH2024" i="3"/>
  <c r="H2024" i="3"/>
  <c r="C2024" i="3"/>
  <c r="D2024" i="3" s="1"/>
  <c r="AH2043" i="3"/>
  <c r="C2043" i="3"/>
  <c r="D2043" i="3" s="1"/>
  <c r="AJ2176" i="3"/>
  <c r="AL2176" i="3"/>
  <c r="H2209" i="3"/>
  <c r="AH2209" i="3"/>
  <c r="E2209" i="3"/>
  <c r="F2209" i="3" s="1"/>
  <c r="AL1878" i="3"/>
  <c r="AH1930" i="3"/>
  <c r="H1930" i="3"/>
  <c r="C1938" i="3"/>
  <c r="D1938" i="3" s="1"/>
  <c r="H1939" i="3"/>
  <c r="H1956" i="3"/>
  <c r="H1958" i="3"/>
  <c r="AH1973" i="3"/>
  <c r="AJ1973" i="3" s="1"/>
  <c r="C1973" i="3"/>
  <c r="D1973" i="3" s="1"/>
  <c r="AH1974" i="3"/>
  <c r="E1974" i="3"/>
  <c r="F1974" i="3" s="1"/>
  <c r="C1974" i="3"/>
  <c r="D1974" i="3" s="1"/>
  <c r="C2063" i="3"/>
  <c r="D2063" i="3" s="1"/>
  <c r="E2063" i="3"/>
  <c r="F2063" i="3" s="1"/>
  <c r="AH2115" i="3"/>
  <c r="H2187" i="3"/>
  <c r="E2187" i="3"/>
  <c r="F2187" i="3" s="1"/>
  <c r="E2198" i="3"/>
  <c r="F2198" i="3" s="1"/>
  <c r="C2198" i="3"/>
  <c r="D2198" i="3" s="1"/>
  <c r="H2198" i="3"/>
  <c r="C2215" i="3"/>
  <c r="D2215" i="3" s="1"/>
  <c r="E2215" i="3"/>
  <c r="F2215" i="3" s="1"/>
  <c r="C1968" i="3"/>
  <c r="D1968" i="3" s="1"/>
  <c r="AH1968" i="3"/>
  <c r="C1971" i="3"/>
  <c r="D1971" i="3" s="1"/>
  <c r="E1996" i="3"/>
  <c r="F1996" i="3" s="1"/>
  <c r="AH2003" i="3"/>
  <c r="AJ2003" i="3" s="1"/>
  <c r="E2059" i="3"/>
  <c r="F2059" i="3" s="1"/>
  <c r="C2072" i="3"/>
  <c r="D2072" i="3" s="1"/>
  <c r="AH2080" i="3"/>
  <c r="H2080" i="3"/>
  <c r="C2104" i="3"/>
  <c r="D2104" i="3" s="1"/>
  <c r="AH2142" i="3"/>
  <c r="AL2142" i="3" s="1"/>
  <c r="AH2144" i="3"/>
  <c r="C2148" i="3"/>
  <c r="D2148" i="3" s="1"/>
  <c r="AH2150" i="3"/>
  <c r="H2150" i="3"/>
  <c r="AH2184" i="3"/>
  <c r="H2184" i="3"/>
  <c r="E2184" i="3"/>
  <c r="F2184" i="3" s="1"/>
  <c r="E1968" i="3"/>
  <c r="F1968" i="3" s="1"/>
  <c r="E2021" i="3"/>
  <c r="F2021" i="3" s="1"/>
  <c r="C2021" i="3"/>
  <c r="D2021" i="3" s="1"/>
  <c r="E2043" i="3"/>
  <c r="F2043" i="3" s="1"/>
  <c r="AH2049" i="3"/>
  <c r="AL2049" i="3" s="1"/>
  <c r="AH2061" i="3"/>
  <c r="E2061" i="3"/>
  <c r="F2061" i="3" s="1"/>
  <c r="AH2064" i="3"/>
  <c r="AH2068" i="3"/>
  <c r="AJ2068" i="3" s="1"/>
  <c r="H2068" i="3"/>
  <c r="AH2092" i="3"/>
  <c r="E2092" i="3"/>
  <c r="F2092" i="3" s="1"/>
  <c r="C2092" i="3"/>
  <c r="D2092" i="3" s="1"/>
  <c r="E2100" i="3"/>
  <c r="F2100" i="3" s="1"/>
  <c r="E2104" i="3"/>
  <c r="F2104" i="3" s="1"/>
  <c r="AJ2104" i="3"/>
  <c r="E2144" i="3"/>
  <c r="F2144" i="3" s="1"/>
  <c r="E2148" i="3"/>
  <c r="F2148" i="3" s="1"/>
  <c r="AH2161" i="3"/>
  <c r="E2161" i="3"/>
  <c r="F2161" i="3" s="1"/>
  <c r="C2161" i="3"/>
  <c r="D2161" i="3" s="1"/>
  <c r="C2176" i="3"/>
  <c r="D2176" i="3" s="1"/>
  <c r="AH2204" i="3"/>
  <c r="E2204" i="3"/>
  <c r="F2204" i="3" s="1"/>
  <c r="H2231" i="3"/>
  <c r="E2231" i="3"/>
  <c r="F2231" i="3" s="1"/>
  <c r="C2231" i="3"/>
  <c r="D2231" i="3" s="1"/>
  <c r="H1965" i="3"/>
  <c r="C1965" i="3"/>
  <c r="D1965" i="3" s="1"/>
  <c r="E1983" i="3"/>
  <c r="F1983" i="3" s="1"/>
  <c r="H1983" i="3"/>
  <c r="AH1983" i="3"/>
  <c r="H1996" i="3"/>
  <c r="H2003" i="3"/>
  <c r="C2057" i="3"/>
  <c r="D2057" i="3" s="1"/>
  <c r="H2059" i="3"/>
  <c r="E2072" i="3"/>
  <c r="F2072" i="3" s="1"/>
  <c r="H2104" i="3"/>
  <c r="AH2122" i="3"/>
  <c r="H2122" i="3"/>
  <c r="AH2124" i="3"/>
  <c r="C2124" i="3"/>
  <c r="D2124" i="3" s="1"/>
  <c r="H2144" i="3"/>
  <c r="H2148" i="3"/>
  <c r="E2176" i="3"/>
  <c r="F2176" i="3" s="1"/>
  <c r="C2189" i="3"/>
  <c r="D2189" i="3" s="1"/>
  <c r="E2202" i="3"/>
  <c r="F2202" i="3" s="1"/>
  <c r="H2202" i="3"/>
  <c r="AH2237" i="3"/>
  <c r="H2237" i="3"/>
  <c r="E2237" i="3"/>
  <c r="F2237" i="3" s="1"/>
  <c r="C2241" i="3"/>
  <c r="D2241" i="3" s="1"/>
  <c r="AH2241" i="3"/>
  <c r="AJ2241" i="3" s="1"/>
  <c r="AH2020" i="3"/>
  <c r="E2020" i="3"/>
  <c r="F2020" i="3" s="1"/>
  <c r="AH2154" i="3"/>
  <c r="H2154" i="3"/>
  <c r="AJ2200" i="3"/>
  <c r="AL2200" i="3"/>
  <c r="AH2216" i="3"/>
  <c r="AJ2216" i="3" s="1"/>
  <c r="C2216" i="3"/>
  <c r="D2216" i="3" s="1"/>
  <c r="H2225" i="3"/>
  <c r="E2225" i="3"/>
  <c r="F2225" i="3" s="1"/>
  <c r="AH2225" i="3"/>
  <c r="C2225" i="3"/>
  <c r="D2225" i="3" s="1"/>
  <c r="H2238" i="3"/>
  <c r="E2238" i="3"/>
  <c r="F2238" i="3" s="1"/>
  <c r="C2238" i="3"/>
  <c r="D2238" i="3" s="1"/>
  <c r="AH2238" i="3"/>
  <c r="AL2238" i="3" s="1"/>
  <c r="C2252" i="3"/>
  <c r="D2252" i="3" s="1"/>
  <c r="H2252" i="3"/>
  <c r="E2252" i="3"/>
  <c r="F2252" i="3" s="1"/>
  <c r="E2053" i="3"/>
  <c r="F2053" i="3" s="1"/>
  <c r="H2053" i="3"/>
  <c r="H2054" i="3"/>
  <c r="E2054" i="3"/>
  <c r="F2054" i="3" s="1"/>
  <c r="AH2224" i="3"/>
  <c r="H2224" i="3"/>
  <c r="E2224" i="3"/>
  <c r="F2224" i="3" s="1"/>
  <c r="AH2251" i="3"/>
  <c r="H2251" i="3"/>
  <c r="E2251" i="3"/>
  <c r="F2251" i="3" s="1"/>
  <c r="C2251" i="3"/>
  <c r="D2251" i="3" s="1"/>
  <c r="C2285" i="3"/>
  <c r="D2285" i="3" s="1"/>
  <c r="E2284" i="3"/>
  <c r="F2284" i="3" s="1"/>
  <c r="E2285" i="3"/>
  <c r="F2285" i="3" s="1"/>
  <c r="H2288" i="3"/>
  <c r="E2289" i="3"/>
  <c r="F2289" i="3" s="1"/>
  <c r="C2269" i="3"/>
  <c r="D2269" i="3" s="1"/>
  <c r="C2270" i="3"/>
  <c r="D2270" i="3" s="1"/>
  <c r="H2285" i="3"/>
  <c r="H2289" i="3"/>
  <c r="C2282" i="3"/>
  <c r="D2282" i="3" s="1"/>
  <c r="H2248" i="3"/>
  <c r="E2249" i="3"/>
  <c r="F2249" i="3" s="1"/>
  <c r="AJ2249" i="3"/>
  <c r="H2269" i="3"/>
  <c r="H2272" i="3"/>
  <c r="C2279" i="3"/>
  <c r="D2279" i="3" s="1"/>
  <c r="C2280" i="3"/>
  <c r="D2280" i="3" s="1"/>
  <c r="E2262" i="3"/>
  <c r="F2262" i="3" s="1"/>
  <c r="E2266" i="3"/>
  <c r="F2266" i="3" s="1"/>
  <c r="C2267" i="3"/>
  <c r="D2267" i="3" s="1"/>
  <c r="C2277" i="3"/>
  <c r="D2277" i="3" s="1"/>
  <c r="C2263" i="3"/>
  <c r="D2263" i="3" s="1"/>
  <c r="E2267" i="3"/>
  <c r="F2267" i="3" s="1"/>
  <c r="E2278" i="3"/>
  <c r="F2278" i="3" s="1"/>
  <c r="C2227" i="3"/>
  <c r="D2227" i="3" s="1"/>
  <c r="H2262" i="3"/>
  <c r="H2267" i="3"/>
  <c r="H2277" i="3"/>
  <c r="H2278" i="3"/>
  <c r="C2264" i="3"/>
  <c r="D2264" i="3" s="1"/>
  <c r="H2263" i="3"/>
  <c r="C2274" i="3"/>
  <c r="D2274" i="3" s="1"/>
  <c r="AJ13" i="3"/>
  <c r="AL13" i="3"/>
  <c r="AL21" i="3"/>
  <c r="AJ21" i="3"/>
  <c r="H68" i="3"/>
  <c r="E68" i="3"/>
  <c r="F68" i="3" s="1"/>
  <c r="C68" i="3"/>
  <c r="D68" i="3" s="1"/>
  <c r="AJ143" i="3"/>
  <c r="AL143" i="3"/>
  <c r="AL43" i="3"/>
  <c r="AJ43" i="3"/>
  <c r="AL82" i="3"/>
  <c r="AJ82" i="3"/>
  <c r="AJ126" i="3"/>
  <c r="AL126" i="3"/>
  <c r="AJ73" i="3"/>
  <c r="AL75" i="3"/>
  <c r="AJ75" i="3"/>
  <c r="AJ87" i="3"/>
  <c r="AL87" i="3"/>
  <c r="H89" i="3"/>
  <c r="E89" i="3"/>
  <c r="F89" i="3" s="1"/>
  <c r="C89" i="3"/>
  <c r="D89" i="3" s="1"/>
  <c r="AL92" i="3"/>
  <c r="AJ92" i="3"/>
  <c r="AL62" i="3"/>
  <c r="AJ62" i="3"/>
  <c r="AJ93" i="3"/>
  <c r="AL93" i="3"/>
  <c r="AL124" i="3"/>
  <c r="AJ124" i="3"/>
  <c r="AH74" i="3"/>
  <c r="H74" i="3"/>
  <c r="E74" i="3"/>
  <c r="F74" i="3" s="1"/>
  <c r="C74" i="3"/>
  <c r="D74" i="3" s="1"/>
  <c r="AL132" i="3"/>
  <c r="AJ132" i="3"/>
  <c r="C13" i="3"/>
  <c r="D13" i="3" s="1"/>
  <c r="H13" i="3"/>
  <c r="E13" i="3"/>
  <c r="F13" i="3" s="1"/>
  <c r="C43" i="3"/>
  <c r="D43" i="3" s="1"/>
  <c r="H43" i="3"/>
  <c r="E43" i="3"/>
  <c r="F43" i="3" s="1"/>
  <c r="AJ95" i="3"/>
  <c r="AL95" i="3"/>
  <c r="AJ113" i="3"/>
  <c r="AL113" i="3"/>
  <c r="AL81" i="3"/>
  <c r="AJ81" i="3"/>
  <c r="AL83" i="3"/>
  <c r="AJ83" i="3"/>
  <c r="AL164" i="3"/>
  <c r="AJ164" i="3"/>
  <c r="AJ54" i="3"/>
  <c r="AL54" i="3"/>
  <c r="AH68" i="3"/>
  <c r="AL96" i="3"/>
  <c r="AJ96" i="3"/>
  <c r="AJ106" i="3"/>
  <c r="AL106" i="3"/>
  <c r="AL120" i="3"/>
  <c r="AJ120" i="3"/>
  <c r="AL36" i="3"/>
  <c r="AJ36" i="3"/>
  <c r="AJ40" i="3"/>
  <c r="AL40" i="3"/>
  <c r="AJ48" i="3"/>
  <c r="AL48" i="3"/>
  <c r="AJ192" i="3"/>
  <c r="AL192" i="3"/>
  <c r="AH89" i="3"/>
  <c r="AL184" i="3"/>
  <c r="AJ184" i="3"/>
  <c r="AL61" i="3"/>
  <c r="AJ61" i="3"/>
  <c r="AJ182" i="3"/>
  <c r="AL182" i="3"/>
  <c r="AH102" i="3"/>
  <c r="C135" i="3"/>
  <c r="D135" i="3" s="1"/>
  <c r="H135" i="3"/>
  <c r="AJ155" i="3"/>
  <c r="AL155" i="3"/>
  <c r="H159" i="3"/>
  <c r="E159" i="3"/>
  <c r="F159" i="3" s="1"/>
  <c r="AL171" i="3"/>
  <c r="AJ171" i="3"/>
  <c r="AL205" i="3"/>
  <c r="AJ205" i="3"/>
  <c r="AJ297" i="3"/>
  <c r="H9" i="3"/>
  <c r="E10" i="3"/>
  <c r="F10" i="3" s="1"/>
  <c r="H17" i="3"/>
  <c r="H24" i="3"/>
  <c r="E25" i="3"/>
  <c r="F25" i="3" s="1"/>
  <c r="H32" i="3"/>
  <c r="AL33" i="3"/>
  <c r="H38" i="3"/>
  <c r="H46" i="3"/>
  <c r="AH51" i="3"/>
  <c r="H53" i="3"/>
  <c r="E54" i="3"/>
  <c r="F54" i="3" s="1"/>
  <c r="AH56" i="3"/>
  <c r="H58" i="3"/>
  <c r="E59" i="3"/>
  <c r="F59" i="3" s="1"/>
  <c r="H65" i="3"/>
  <c r="AL66" i="3"/>
  <c r="E71" i="3"/>
  <c r="F71" i="3" s="1"/>
  <c r="E78" i="3"/>
  <c r="F78" i="3" s="1"/>
  <c r="H85" i="3"/>
  <c r="C87" i="3"/>
  <c r="D87" i="3" s="1"/>
  <c r="AH90" i="3"/>
  <c r="AJ101" i="3"/>
  <c r="E111" i="3"/>
  <c r="F111" i="3" s="1"/>
  <c r="AL115" i="3"/>
  <c r="AL117" i="3"/>
  <c r="AL119" i="3"/>
  <c r="H133" i="3"/>
  <c r="AH139" i="3"/>
  <c r="AL145" i="3"/>
  <c r="AJ167" i="3"/>
  <c r="AL179" i="3"/>
  <c r="AJ179" i="3"/>
  <c r="AH258" i="3"/>
  <c r="H258" i="3"/>
  <c r="E258" i="3"/>
  <c r="F258" i="3" s="1"/>
  <c r="C258" i="3"/>
  <c r="D258" i="3" s="1"/>
  <c r="AL291" i="3"/>
  <c r="AJ294" i="3"/>
  <c r="AL294" i="3"/>
  <c r="AJ495" i="3"/>
  <c r="AL495" i="3"/>
  <c r="AH7" i="3"/>
  <c r="AL11" i="3"/>
  <c r="AH15" i="3"/>
  <c r="AH22" i="3"/>
  <c r="AL26" i="3"/>
  <c r="AH30" i="3"/>
  <c r="C34" i="3"/>
  <c r="D34" i="3" s="1"/>
  <c r="AL34" i="3"/>
  <c r="H39" i="3"/>
  <c r="E40" i="3"/>
  <c r="F40" i="3" s="1"/>
  <c r="AH44" i="3"/>
  <c r="H47" i="3"/>
  <c r="E48" i="3"/>
  <c r="F48" i="3" s="1"/>
  <c r="AL60" i="3"/>
  <c r="AH63" i="3"/>
  <c r="AH69" i="3"/>
  <c r="E72" i="3"/>
  <c r="F72" i="3" s="1"/>
  <c r="E80" i="3"/>
  <c r="F80" i="3" s="1"/>
  <c r="E86" i="3"/>
  <c r="F86" i="3" s="1"/>
  <c r="E87" i="3"/>
  <c r="F87" i="3" s="1"/>
  <c r="C88" i="3"/>
  <c r="D88" i="3" s="1"/>
  <c r="E93" i="3"/>
  <c r="F93" i="3" s="1"/>
  <c r="C95" i="3"/>
  <c r="D95" i="3" s="1"/>
  <c r="AH97" i="3"/>
  <c r="H99" i="3"/>
  <c r="AL100" i="3"/>
  <c r="E106" i="3"/>
  <c r="F106" i="3" s="1"/>
  <c r="C107" i="3"/>
  <c r="D107" i="3" s="1"/>
  <c r="AH109" i="3"/>
  <c r="E113" i="3"/>
  <c r="F113" i="3" s="1"/>
  <c r="H164" i="3"/>
  <c r="AL222" i="3"/>
  <c r="AJ222" i="3"/>
  <c r="AL272" i="3"/>
  <c r="AJ272" i="3"/>
  <c r="AJ292" i="3"/>
  <c r="AL292" i="3"/>
  <c r="AJ395" i="3"/>
  <c r="AL395" i="3"/>
  <c r="H54" i="3"/>
  <c r="AH57" i="3"/>
  <c r="H59" i="3"/>
  <c r="AH76" i="3"/>
  <c r="AH84" i="3"/>
  <c r="C124" i="3"/>
  <c r="D124" i="3" s="1"/>
  <c r="H124" i="3"/>
  <c r="AH129" i="3"/>
  <c r="H163" i="3"/>
  <c r="E163" i="3"/>
  <c r="F163" i="3" s="1"/>
  <c r="AL216" i="3"/>
  <c r="AL219" i="3"/>
  <c r="AJ219" i="3"/>
  <c r="AJ223" i="3"/>
  <c r="AL223" i="3"/>
  <c r="H244" i="3"/>
  <c r="AH244" i="3"/>
  <c r="E244" i="3"/>
  <c r="F244" i="3" s="1"/>
  <c r="C244" i="3"/>
  <c r="D244" i="3" s="1"/>
  <c r="AJ387" i="3"/>
  <c r="AL387" i="3"/>
  <c r="I5" i="3"/>
  <c r="AH38" i="3"/>
  <c r="H40" i="3"/>
  <c r="AH46" i="3"/>
  <c r="H48" i="3"/>
  <c r="AH70" i="3"/>
  <c r="H72" i="3"/>
  <c r="H80" i="3"/>
  <c r="H87" i="3"/>
  <c r="AH91" i="3"/>
  <c r="H93" i="3"/>
  <c r="AH98" i="3"/>
  <c r="C102" i="3"/>
  <c r="D102" i="3" s="1"/>
  <c r="AH104" i="3"/>
  <c r="H106" i="3"/>
  <c r="H113" i="3"/>
  <c r="AH122" i="3"/>
  <c r="AJ151" i="3"/>
  <c r="AL151" i="3"/>
  <c r="AL152" i="3"/>
  <c r="AJ152" i="3"/>
  <c r="H167" i="3"/>
  <c r="E167" i="3"/>
  <c r="F167" i="3" s="1"/>
  <c r="C167" i="3"/>
  <c r="D167" i="3" s="1"/>
  <c r="AL173" i="3"/>
  <c r="AJ173" i="3"/>
  <c r="AL225" i="3"/>
  <c r="AJ225" i="3"/>
  <c r="H327" i="3"/>
  <c r="AH327" i="3"/>
  <c r="E327" i="3"/>
  <c r="F327" i="3" s="1"/>
  <c r="C327" i="3"/>
  <c r="D327" i="3" s="1"/>
  <c r="AJ345" i="3"/>
  <c r="AL345" i="3"/>
  <c r="H391" i="3"/>
  <c r="C391" i="3"/>
  <c r="D391" i="3" s="1"/>
  <c r="AH391" i="3"/>
  <c r="E391" i="3"/>
  <c r="F391" i="3" s="1"/>
  <c r="AH9" i="3"/>
  <c r="AH24" i="3"/>
  <c r="AH32" i="3"/>
  <c r="AH58" i="3"/>
  <c r="AH85" i="3"/>
  <c r="AJ123" i="3"/>
  <c r="C126" i="3"/>
  <c r="D126" i="3" s="1"/>
  <c r="AH133" i="3"/>
  <c r="C139" i="3"/>
  <c r="D139" i="3" s="1"/>
  <c r="H139" i="3"/>
  <c r="H155" i="3"/>
  <c r="E155" i="3"/>
  <c r="F155" i="3" s="1"/>
  <c r="AL160" i="3"/>
  <c r="AJ160" i="3"/>
  <c r="AL243" i="3"/>
  <c r="AJ243" i="3"/>
  <c r="AJ249" i="3"/>
  <c r="AL249" i="3"/>
  <c r="AL254" i="3"/>
  <c r="AL266" i="3"/>
  <c r="AJ266" i="3"/>
  <c r="AL295" i="3"/>
  <c r="AJ295" i="3"/>
  <c r="AJ332" i="3"/>
  <c r="AL332" i="3"/>
  <c r="AH408" i="3"/>
  <c r="E408" i="3"/>
  <c r="F408" i="3" s="1"/>
  <c r="C408" i="3"/>
  <c r="D408" i="3" s="1"/>
  <c r="H408" i="3"/>
  <c r="AJ8" i="3"/>
  <c r="AJ16" i="3"/>
  <c r="AH17" i="3"/>
  <c r="AJ23" i="3"/>
  <c r="AH39" i="3"/>
  <c r="AH47" i="3"/>
  <c r="AJ64" i="3"/>
  <c r="AH65" i="3"/>
  <c r="AH71" i="3"/>
  <c r="H73" i="3"/>
  <c r="AH79" i="3"/>
  <c r="AH86" i="3"/>
  <c r="H88" i="3"/>
  <c r="H95" i="3"/>
  <c r="C97" i="3"/>
  <c r="D97" i="3" s="1"/>
  <c r="E102" i="3"/>
  <c r="F102" i="3" s="1"/>
  <c r="AH105" i="3"/>
  <c r="H107" i="3"/>
  <c r="AH112" i="3"/>
  <c r="H121" i="3"/>
  <c r="E121" i="3"/>
  <c r="F121" i="3" s="1"/>
  <c r="AJ121" i="3"/>
  <c r="AJ128" i="3"/>
  <c r="E136" i="3"/>
  <c r="F136" i="3" s="1"/>
  <c r="C136" i="3"/>
  <c r="D136" i="3" s="1"/>
  <c r="AJ147" i="3"/>
  <c r="AL147" i="3"/>
  <c r="AL148" i="3"/>
  <c r="AJ148" i="3"/>
  <c r="AH159" i="3"/>
  <c r="AL175" i="3"/>
  <c r="AJ175" i="3"/>
  <c r="AL181" i="3"/>
  <c r="AJ181" i="3"/>
  <c r="AJ209" i="3"/>
  <c r="AL209" i="3"/>
  <c r="H219" i="3"/>
  <c r="E219" i="3"/>
  <c r="F219" i="3" s="1"/>
  <c r="C219" i="3"/>
  <c r="D219" i="3" s="1"/>
  <c r="AJ229" i="3"/>
  <c r="AL229" i="3"/>
  <c r="AJ271" i="3"/>
  <c r="AL287" i="3"/>
  <c r="AJ287" i="3"/>
  <c r="H344" i="3"/>
  <c r="AH344" i="3"/>
  <c r="E344" i="3"/>
  <c r="F344" i="3" s="1"/>
  <c r="C344" i="3"/>
  <c r="D344" i="3" s="1"/>
  <c r="C7" i="3"/>
  <c r="D7" i="3" s="1"/>
  <c r="AH10" i="3"/>
  <c r="C22" i="3"/>
  <c r="D22" i="3" s="1"/>
  <c r="AH25" i="3"/>
  <c r="C30" i="3"/>
  <c r="D30" i="3" s="1"/>
  <c r="AH59" i="3"/>
  <c r="C63" i="3"/>
  <c r="D63" i="3" s="1"/>
  <c r="AJ77" i="3"/>
  <c r="C84" i="3"/>
  <c r="D84" i="3" s="1"/>
  <c r="AH99" i="3"/>
  <c r="AJ110" i="3"/>
  <c r="E126" i="3"/>
  <c r="F126" i="3" s="1"/>
  <c r="H128" i="3"/>
  <c r="E128" i="3"/>
  <c r="F128" i="3" s="1"/>
  <c r="AL144" i="3"/>
  <c r="AJ144" i="3"/>
  <c r="E164" i="3"/>
  <c r="F164" i="3" s="1"/>
  <c r="C164" i="3"/>
  <c r="D164" i="3" s="1"/>
  <c r="AL204" i="3"/>
  <c r="AJ204" i="3"/>
  <c r="AJ214" i="3"/>
  <c r="AL214" i="3"/>
  <c r="AL260" i="3"/>
  <c r="AJ260" i="3"/>
  <c r="AJ361" i="3"/>
  <c r="AL361" i="3"/>
  <c r="C15" i="3"/>
  <c r="D15" i="3" s="1"/>
  <c r="AJ53" i="3"/>
  <c r="AH72" i="3"/>
  <c r="E76" i="3"/>
  <c r="F76" i="3" s="1"/>
  <c r="AJ78" i="3"/>
  <c r="E97" i="3"/>
  <c r="F97" i="3" s="1"/>
  <c r="C104" i="3"/>
  <c r="D104" i="3" s="1"/>
  <c r="AJ111" i="3"/>
  <c r="AH135" i="3"/>
  <c r="C159" i="3"/>
  <c r="D159" i="3" s="1"/>
  <c r="C182" i="3"/>
  <c r="D182" i="3" s="1"/>
  <c r="H182" i="3"/>
  <c r="E182" i="3"/>
  <c r="F182" i="3" s="1"/>
  <c r="AJ197" i="3"/>
  <c r="AL197" i="3"/>
  <c r="AL206" i="3"/>
  <c r="AJ206" i="3"/>
  <c r="AL231" i="3"/>
  <c r="AJ231" i="3"/>
  <c r="AL250" i="3"/>
  <c r="AJ250" i="3"/>
  <c r="AL276" i="3"/>
  <c r="AJ276" i="3"/>
  <c r="E7" i="3"/>
  <c r="F7" i="3" s="1"/>
  <c r="C8" i="3"/>
  <c r="D8" i="3" s="1"/>
  <c r="C16" i="3"/>
  <c r="D16" i="3" s="1"/>
  <c r="E22" i="3"/>
  <c r="F22" i="3" s="1"/>
  <c r="C23" i="3"/>
  <c r="D23" i="3" s="1"/>
  <c r="E30" i="3"/>
  <c r="F30" i="3" s="1"/>
  <c r="C31" i="3"/>
  <c r="D31" i="3" s="1"/>
  <c r="E37" i="3"/>
  <c r="F37" i="3" s="1"/>
  <c r="C53" i="3"/>
  <c r="D53" i="3" s="1"/>
  <c r="E57" i="3"/>
  <c r="F57" i="3" s="1"/>
  <c r="C58" i="3"/>
  <c r="D58" i="3" s="1"/>
  <c r="E63" i="3"/>
  <c r="F63" i="3" s="1"/>
  <c r="C64" i="3"/>
  <c r="D64" i="3" s="1"/>
  <c r="E84" i="3"/>
  <c r="F84" i="3" s="1"/>
  <c r="C85" i="3"/>
  <c r="D85" i="3" s="1"/>
  <c r="E90" i="3"/>
  <c r="F90" i="3" s="1"/>
  <c r="E91" i="3"/>
  <c r="F91" i="3" s="1"/>
  <c r="C98" i="3"/>
  <c r="D98" i="3" s="1"/>
  <c r="C122" i="3"/>
  <c r="D122" i="3" s="1"/>
  <c r="C123" i="3"/>
  <c r="D123" i="3" s="1"/>
  <c r="H126" i="3"/>
  <c r="E129" i="3"/>
  <c r="F129" i="3" s="1"/>
  <c r="H132" i="3"/>
  <c r="E132" i="3"/>
  <c r="F132" i="3" s="1"/>
  <c r="E135" i="3"/>
  <c r="F135" i="3" s="1"/>
  <c r="H137" i="3"/>
  <c r="H151" i="3"/>
  <c r="E151" i="3"/>
  <c r="F151" i="3" s="1"/>
  <c r="AL169" i="3"/>
  <c r="AJ169" i="3"/>
  <c r="H184" i="3"/>
  <c r="E184" i="3"/>
  <c r="F184" i="3" s="1"/>
  <c r="C184" i="3"/>
  <c r="D184" i="3" s="1"/>
  <c r="E192" i="3"/>
  <c r="F192" i="3" s="1"/>
  <c r="C192" i="3"/>
  <c r="D192" i="3" s="1"/>
  <c r="AL196" i="3"/>
  <c r="AJ196" i="3"/>
  <c r="AL211" i="3"/>
  <c r="AJ211" i="3"/>
  <c r="AJ256" i="3"/>
  <c r="AL256" i="3"/>
  <c r="AJ277" i="3"/>
  <c r="AL277" i="3"/>
  <c r="AL315" i="3"/>
  <c r="AJ315" i="3"/>
  <c r="AJ325" i="3"/>
  <c r="AL325" i="3"/>
  <c r="E360" i="3"/>
  <c r="F360" i="3" s="1"/>
  <c r="AH360" i="3"/>
  <c r="H360" i="3"/>
  <c r="C360" i="3"/>
  <c r="D360" i="3" s="1"/>
  <c r="E371" i="3"/>
  <c r="F371" i="3" s="1"/>
  <c r="C371" i="3"/>
  <c r="D371" i="3" s="1"/>
  <c r="AH371" i="3"/>
  <c r="H371" i="3"/>
  <c r="H76" i="3"/>
  <c r="E124" i="3"/>
  <c r="F124" i="3" s="1"/>
  <c r="H143" i="3"/>
  <c r="E143" i="3"/>
  <c r="F143" i="3" s="1"/>
  <c r="AL186" i="3"/>
  <c r="AJ186" i="3"/>
  <c r="AL264" i="3"/>
  <c r="AJ264" i="3"/>
  <c r="AJ399" i="3"/>
  <c r="AL399" i="3"/>
  <c r="E9" i="3"/>
  <c r="F9" i="3" s="1"/>
  <c r="AH20" i="3"/>
  <c r="E24" i="3"/>
  <c r="F24" i="3" s="1"/>
  <c r="AH28" i="3"/>
  <c r="E32" i="3"/>
  <c r="F32" i="3" s="1"/>
  <c r="AH35" i="3"/>
  <c r="E65" i="3"/>
  <c r="F65" i="3" s="1"/>
  <c r="C71" i="3"/>
  <c r="D71" i="3" s="1"/>
  <c r="AJ94" i="3"/>
  <c r="AJ114" i="3"/>
  <c r="AJ118" i="3"/>
  <c r="H129" i="3"/>
  <c r="E133" i="3"/>
  <c r="F133" i="3" s="1"/>
  <c r="E140" i="3"/>
  <c r="F140" i="3" s="1"/>
  <c r="C140" i="3"/>
  <c r="D140" i="3" s="1"/>
  <c r="AJ140" i="3"/>
  <c r="H147" i="3"/>
  <c r="E147" i="3"/>
  <c r="F147" i="3" s="1"/>
  <c r="AL149" i="3"/>
  <c r="C163" i="3"/>
  <c r="D163" i="3" s="1"/>
  <c r="AH163" i="3"/>
  <c r="AL177" i="3"/>
  <c r="AJ177" i="3"/>
  <c r="C231" i="3"/>
  <c r="D231" i="3" s="1"/>
  <c r="H231" i="3"/>
  <c r="E231" i="3"/>
  <c r="F231" i="3" s="1"/>
  <c r="AJ236" i="3"/>
  <c r="AH168" i="3"/>
  <c r="E170" i="3"/>
  <c r="F170" i="3" s="1"/>
  <c r="AH172" i="3"/>
  <c r="E174" i="3"/>
  <c r="F174" i="3" s="1"/>
  <c r="AH176" i="3"/>
  <c r="E178" i="3"/>
  <c r="F178" i="3" s="1"/>
  <c r="AH180" i="3"/>
  <c r="AH200" i="3"/>
  <c r="E203" i="3"/>
  <c r="F203" i="3" s="1"/>
  <c r="E208" i="3"/>
  <c r="F208" i="3" s="1"/>
  <c r="C209" i="3"/>
  <c r="D209" i="3" s="1"/>
  <c r="C217" i="3"/>
  <c r="D217" i="3" s="1"/>
  <c r="AL217" i="3"/>
  <c r="C236" i="3"/>
  <c r="D236" i="3" s="1"/>
  <c r="AH238" i="3"/>
  <c r="E242" i="3"/>
  <c r="F242" i="3" s="1"/>
  <c r="C255" i="3"/>
  <c r="D255" i="3" s="1"/>
  <c r="C256" i="3"/>
  <c r="D256" i="3" s="1"/>
  <c r="C270" i="3"/>
  <c r="D270" i="3" s="1"/>
  <c r="AH298" i="3"/>
  <c r="AL330" i="3"/>
  <c r="E335" i="3"/>
  <c r="F335" i="3" s="1"/>
  <c r="H375" i="3"/>
  <c r="C375" i="3"/>
  <c r="D375" i="3" s="1"/>
  <c r="C410" i="3"/>
  <c r="D410" i="3" s="1"/>
  <c r="H410" i="3"/>
  <c r="AH141" i="3"/>
  <c r="AH153" i="3"/>
  <c r="AH157" i="3"/>
  <c r="AH161" i="3"/>
  <c r="C175" i="3"/>
  <c r="D175" i="3" s="1"/>
  <c r="C179" i="3"/>
  <c r="D179" i="3" s="1"/>
  <c r="AH185" i="3"/>
  <c r="AL189" i="3"/>
  <c r="E197" i="3"/>
  <c r="F197" i="3" s="1"/>
  <c r="E216" i="3"/>
  <c r="F216" i="3" s="1"/>
  <c r="C218" i="3"/>
  <c r="D218" i="3" s="1"/>
  <c r="E223" i="3"/>
  <c r="F223" i="3" s="1"/>
  <c r="C224" i="3"/>
  <c r="D224" i="3" s="1"/>
  <c r="E229" i="3"/>
  <c r="F229" i="3" s="1"/>
  <c r="AH232" i="3"/>
  <c r="H235" i="3"/>
  <c r="AH245" i="3"/>
  <c r="E249" i="3"/>
  <c r="F249" i="3" s="1"/>
  <c r="E254" i="3"/>
  <c r="F254" i="3" s="1"/>
  <c r="E262" i="3"/>
  <c r="F262" i="3" s="1"/>
  <c r="AH267" i="3"/>
  <c r="C271" i="3"/>
  <c r="D271" i="3" s="1"/>
  <c r="E277" i="3"/>
  <c r="F277" i="3" s="1"/>
  <c r="C278" i="3"/>
  <c r="D278" i="3" s="1"/>
  <c r="AL278" i="3"/>
  <c r="E285" i="3"/>
  <c r="F285" i="3" s="1"/>
  <c r="AL285" i="3"/>
  <c r="E292" i="3"/>
  <c r="F292" i="3" s="1"/>
  <c r="C293" i="3"/>
  <c r="D293" i="3" s="1"/>
  <c r="E315" i="3"/>
  <c r="F315" i="3" s="1"/>
  <c r="C331" i="3"/>
  <c r="D331" i="3" s="1"/>
  <c r="E332" i="3"/>
  <c r="F332" i="3" s="1"/>
  <c r="AJ343" i="3"/>
  <c r="E361" i="3"/>
  <c r="F361" i="3" s="1"/>
  <c r="AL402" i="3"/>
  <c r="AJ402" i="3"/>
  <c r="AL542" i="3"/>
  <c r="AH130" i="3"/>
  <c r="AH165" i="3"/>
  <c r="H170" i="3"/>
  <c r="H174" i="3"/>
  <c r="H178" i="3"/>
  <c r="C183" i="3"/>
  <c r="D183" i="3" s="1"/>
  <c r="C190" i="3"/>
  <c r="D190" i="3" s="1"/>
  <c r="C198" i="3"/>
  <c r="D198" i="3" s="1"/>
  <c r="AH201" i="3"/>
  <c r="H203" i="3"/>
  <c r="H208" i="3"/>
  <c r="E209" i="3"/>
  <c r="F209" i="3" s="1"/>
  <c r="E210" i="3"/>
  <c r="F210" i="3" s="1"/>
  <c r="AH227" i="3"/>
  <c r="E236" i="3"/>
  <c r="F236" i="3" s="1"/>
  <c r="H242" i="3"/>
  <c r="H247" i="3"/>
  <c r="H248" i="3"/>
  <c r="AH252" i="3"/>
  <c r="E256" i="3"/>
  <c r="F256" i="3" s="1"/>
  <c r="E263" i="3"/>
  <c r="F263" i="3" s="1"/>
  <c r="E270" i="3"/>
  <c r="F270" i="3" s="1"/>
  <c r="E271" i="3"/>
  <c r="F271" i="3" s="1"/>
  <c r="AJ280" i="3"/>
  <c r="C286" i="3"/>
  <c r="D286" i="3" s="1"/>
  <c r="AH301" i="3"/>
  <c r="AH304" i="3"/>
  <c r="E319" i="3"/>
  <c r="F319" i="3" s="1"/>
  <c r="AJ326" i="3"/>
  <c r="E330" i="3"/>
  <c r="F330" i="3" s="1"/>
  <c r="H335" i="3"/>
  <c r="H337" i="3"/>
  <c r="C339" i="3"/>
  <c r="D339" i="3" s="1"/>
  <c r="H339" i="3"/>
  <c r="E349" i="3"/>
  <c r="F349" i="3" s="1"/>
  <c r="AH355" i="3"/>
  <c r="AJ370" i="3"/>
  <c r="E387" i="3"/>
  <c r="F387" i="3" s="1"/>
  <c r="C422" i="3"/>
  <c r="D422" i="3" s="1"/>
  <c r="H422" i="3"/>
  <c r="E422" i="3"/>
  <c r="F422" i="3" s="1"/>
  <c r="AJ423" i="3"/>
  <c r="C430" i="3"/>
  <c r="D430" i="3" s="1"/>
  <c r="H430" i="3"/>
  <c r="E430" i="3"/>
  <c r="F430" i="3" s="1"/>
  <c r="AH453" i="3"/>
  <c r="H453" i="3"/>
  <c r="E453" i="3"/>
  <c r="F453" i="3" s="1"/>
  <c r="C453" i="3"/>
  <c r="D453" i="3" s="1"/>
  <c r="AJ479" i="3"/>
  <c r="AH134" i="3"/>
  <c r="C168" i="3"/>
  <c r="D168" i="3" s="1"/>
  <c r="E171" i="3"/>
  <c r="F171" i="3" s="1"/>
  <c r="E175" i="3"/>
  <c r="F175" i="3" s="1"/>
  <c r="E179" i="3"/>
  <c r="F179" i="3" s="1"/>
  <c r="H197" i="3"/>
  <c r="H209" i="3"/>
  <c r="H216" i="3"/>
  <c r="H217" i="3"/>
  <c r="E218" i="3"/>
  <c r="F218" i="3" s="1"/>
  <c r="AH221" i="3"/>
  <c r="H223" i="3"/>
  <c r="H229" i="3"/>
  <c r="E243" i="3"/>
  <c r="F243" i="3" s="1"/>
  <c r="H249" i="3"/>
  <c r="H254" i="3"/>
  <c r="H255" i="3"/>
  <c r="AH268" i="3"/>
  <c r="AJ273" i="3"/>
  <c r="AH275" i="3"/>
  <c r="H277" i="3"/>
  <c r="E278" i="3"/>
  <c r="F278" i="3" s="1"/>
  <c r="AJ281" i="3"/>
  <c r="AH283" i="3"/>
  <c r="AJ288" i="3"/>
  <c r="AH290" i="3"/>
  <c r="H292" i="3"/>
  <c r="AH302" i="3"/>
  <c r="AH305" i="3"/>
  <c r="AH309" i="3"/>
  <c r="AH312" i="3"/>
  <c r="H315" i="3"/>
  <c r="AJ324" i="3"/>
  <c r="C328" i="3"/>
  <c r="D328" i="3" s="1"/>
  <c r="E329" i="3"/>
  <c r="F329" i="3" s="1"/>
  <c r="E331" i="3"/>
  <c r="F331" i="3" s="1"/>
  <c r="H345" i="3"/>
  <c r="AJ346" i="3"/>
  <c r="E353" i="3"/>
  <c r="F353" i="3" s="1"/>
  <c r="AJ359" i="3"/>
  <c r="C363" i="3"/>
  <c r="D363" i="3" s="1"/>
  <c r="E395" i="3"/>
  <c r="F395" i="3" s="1"/>
  <c r="E418" i="3"/>
  <c r="F418" i="3" s="1"/>
  <c r="AL425" i="3"/>
  <c r="AJ425" i="3"/>
  <c r="AH116" i="3"/>
  <c r="AH142" i="3"/>
  <c r="AH146" i="3"/>
  <c r="AH150" i="3"/>
  <c r="AH154" i="3"/>
  <c r="AH158" i="3"/>
  <c r="AH162" i="3"/>
  <c r="E183" i="3"/>
  <c r="F183" i="3" s="1"/>
  <c r="E198" i="3"/>
  <c r="F198" i="3" s="1"/>
  <c r="AH202" i="3"/>
  <c r="AH207" i="3"/>
  <c r="H210" i="3"/>
  <c r="AJ213" i="3"/>
  <c r="H224" i="3"/>
  <c r="H236" i="3"/>
  <c r="C238" i="3"/>
  <c r="D238" i="3" s="1"/>
  <c r="AH241" i="3"/>
  <c r="AH247" i="3"/>
  <c r="H256" i="3"/>
  <c r="AH261" i="3"/>
  <c r="H263" i="3"/>
  <c r="C265" i="3"/>
  <c r="D265" i="3" s="1"/>
  <c r="H271" i="3"/>
  <c r="AJ282" i="3"/>
  <c r="H293" i="3"/>
  <c r="C298" i="3"/>
  <c r="D298" i="3" s="1"/>
  <c r="AH306" i="3"/>
  <c r="AH310" i="3"/>
  <c r="AH313" i="3"/>
  <c r="AH319" i="3"/>
  <c r="AH320" i="3"/>
  <c r="H349" i="3"/>
  <c r="E363" i="3"/>
  <c r="F363" i="3" s="1"/>
  <c r="AH363" i="3"/>
  <c r="C381" i="3"/>
  <c r="D381" i="3" s="1"/>
  <c r="H381" i="3"/>
  <c r="E381" i="3"/>
  <c r="F381" i="3" s="1"/>
  <c r="C385" i="3"/>
  <c r="D385" i="3" s="1"/>
  <c r="AH385" i="3"/>
  <c r="C393" i="3"/>
  <c r="D393" i="3" s="1"/>
  <c r="C406" i="3"/>
  <c r="D406" i="3" s="1"/>
  <c r="H406" i="3"/>
  <c r="AH416" i="3"/>
  <c r="E416" i="3"/>
  <c r="F416" i="3" s="1"/>
  <c r="C416" i="3"/>
  <c r="D416" i="3" s="1"/>
  <c r="H604" i="3"/>
  <c r="AH604" i="3"/>
  <c r="E604" i="3"/>
  <c r="F604" i="3" s="1"/>
  <c r="C604" i="3"/>
  <c r="D604" i="3" s="1"/>
  <c r="C153" i="3"/>
  <c r="D153" i="3" s="1"/>
  <c r="C157" i="3"/>
  <c r="D157" i="3" s="1"/>
  <c r="C161" i="3"/>
  <c r="D161" i="3" s="1"/>
  <c r="AH166" i="3"/>
  <c r="H171" i="3"/>
  <c r="H175" i="3"/>
  <c r="H179" i="3"/>
  <c r="AH188" i="3"/>
  <c r="C205" i="3"/>
  <c r="D205" i="3" s="1"/>
  <c r="AH208" i="3"/>
  <c r="H218" i="3"/>
  <c r="AH228" i="3"/>
  <c r="C232" i="3"/>
  <c r="D232" i="3" s="1"/>
  <c r="H243" i="3"/>
  <c r="AH248" i="3"/>
  <c r="C251" i="3"/>
  <c r="D251" i="3" s="1"/>
  <c r="C259" i="3"/>
  <c r="D259" i="3" s="1"/>
  <c r="H279" i="3"/>
  <c r="H294" i="3"/>
  <c r="C296" i="3"/>
  <c r="D296" i="3" s="1"/>
  <c r="AH317" i="3"/>
  <c r="C325" i="3"/>
  <c r="D325" i="3" s="1"/>
  <c r="H328" i="3"/>
  <c r="AL339" i="3"/>
  <c r="H353" i="3"/>
  <c r="E385" i="3"/>
  <c r="F385" i="3" s="1"/>
  <c r="H387" i="3"/>
  <c r="C387" i="3"/>
  <c r="D387" i="3" s="1"/>
  <c r="E393" i="3"/>
  <c r="F393" i="3" s="1"/>
  <c r="AH393" i="3"/>
  <c r="E399" i="3"/>
  <c r="F399" i="3" s="1"/>
  <c r="E402" i="3"/>
  <c r="F402" i="3" s="1"/>
  <c r="C402" i="3"/>
  <c r="D402" i="3" s="1"/>
  <c r="AJ407" i="3"/>
  <c r="AL413" i="3"/>
  <c r="AJ414" i="3"/>
  <c r="AL414" i="3"/>
  <c r="AL437" i="3"/>
  <c r="AL458" i="3"/>
  <c r="AJ458" i="3"/>
  <c r="H521" i="3"/>
  <c r="AH521" i="3"/>
  <c r="E521" i="3"/>
  <c r="F521" i="3" s="1"/>
  <c r="C521" i="3"/>
  <c r="D521" i="3" s="1"/>
  <c r="AH170" i="3"/>
  <c r="AH174" i="3"/>
  <c r="AH178" i="3"/>
  <c r="AH235" i="3"/>
  <c r="AH255" i="3"/>
  <c r="AH262" i="3"/>
  <c r="E265" i="3"/>
  <c r="F265" i="3" s="1"/>
  <c r="AH270" i="3"/>
  <c r="C297" i="3"/>
  <c r="D297" i="3" s="1"/>
  <c r="E298" i="3"/>
  <c r="F298" i="3" s="1"/>
  <c r="AH331" i="3"/>
  <c r="AH335" i="3"/>
  <c r="AH349" i="3"/>
  <c r="C361" i="3"/>
  <c r="D361" i="3" s="1"/>
  <c r="H361" i="3"/>
  <c r="H395" i="3"/>
  <c r="C395" i="3"/>
  <c r="D395" i="3" s="1"/>
  <c r="C418" i="3"/>
  <c r="D418" i="3" s="1"/>
  <c r="H418" i="3"/>
  <c r="AH432" i="3"/>
  <c r="H432" i="3"/>
  <c r="E432" i="3"/>
  <c r="F432" i="3" s="1"/>
  <c r="C432" i="3"/>
  <c r="D432" i="3" s="1"/>
  <c r="AL545" i="3"/>
  <c r="AJ545" i="3"/>
  <c r="AH203" i="3"/>
  <c r="AH242" i="3"/>
  <c r="C332" i="3"/>
  <c r="D332" i="3" s="1"/>
  <c r="H332" i="3"/>
  <c r="E345" i="3"/>
  <c r="F345" i="3" s="1"/>
  <c r="C345" i="3"/>
  <c r="D345" i="3" s="1"/>
  <c r="AL409" i="3"/>
  <c r="AJ409" i="3"/>
  <c r="AH424" i="3"/>
  <c r="E424" i="3"/>
  <c r="F424" i="3" s="1"/>
  <c r="C424" i="3"/>
  <c r="D424" i="3" s="1"/>
  <c r="AL455" i="3"/>
  <c r="AJ455" i="3"/>
  <c r="AH210" i="3"/>
  <c r="AH263" i="3"/>
  <c r="H297" i="3"/>
  <c r="AJ354" i="3"/>
  <c r="AJ358" i="3"/>
  <c r="E375" i="3"/>
  <c r="F375" i="3" s="1"/>
  <c r="H399" i="3"/>
  <c r="C399" i="3"/>
  <c r="D399" i="3" s="1"/>
  <c r="H470" i="3"/>
  <c r="AH470" i="3"/>
  <c r="E470" i="3"/>
  <c r="F470" i="3" s="1"/>
  <c r="C470" i="3"/>
  <c r="D470" i="3" s="1"/>
  <c r="AJ496" i="3"/>
  <c r="AL496" i="3"/>
  <c r="E275" i="3"/>
  <c r="F275" i="3" s="1"/>
  <c r="AH279" i="3"/>
  <c r="E290" i="3"/>
  <c r="F290" i="3" s="1"/>
  <c r="E300" i="3"/>
  <c r="F300" i="3" s="1"/>
  <c r="E305" i="3"/>
  <c r="F305" i="3" s="1"/>
  <c r="H324" i="3"/>
  <c r="AJ329" i="3"/>
  <c r="H342" i="3"/>
  <c r="H356" i="3"/>
  <c r="AH375" i="3"/>
  <c r="E410" i="3"/>
  <c r="F410" i="3" s="1"/>
  <c r="AH410" i="3"/>
  <c r="AJ422" i="3"/>
  <c r="AL422" i="3"/>
  <c r="H535" i="3"/>
  <c r="E535" i="3"/>
  <c r="F535" i="3" s="1"/>
  <c r="AH535" i="3"/>
  <c r="C535" i="3"/>
  <c r="D535" i="3" s="1"/>
  <c r="AJ224" i="3"/>
  <c r="C241" i="3"/>
  <c r="D241" i="3" s="1"/>
  <c r="H252" i="3"/>
  <c r="H282" i="3"/>
  <c r="AJ293" i="3"/>
  <c r="H301" i="3"/>
  <c r="C304" i="3"/>
  <c r="D304" i="3" s="1"/>
  <c r="E309" i="3"/>
  <c r="F309" i="3" s="1"/>
  <c r="E313" i="3"/>
  <c r="F313" i="3" s="1"/>
  <c r="E317" i="3"/>
  <c r="F317" i="3" s="1"/>
  <c r="C357" i="3"/>
  <c r="D357" i="3" s="1"/>
  <c r="H357" i="3"/>
  <c r="E367" i="3"/>
  <c r="F367" i="3" s="1"/>
  <c r="C367" i="3"/>
  <c r="D367" i="3" s="1"/>
  <c r="C377" i="3"/>
  <c r="D377" i="3" s="1"/>
  <c r="H377" i="3"/>
  <c r="C389" i="3"/>
  <c r="D389" i="3" s="1"/>
  <c r="E397" i="3"/>
  <c r="F397" i="3" s="1"/>
  <c r="AH397" i="3"/>
  <c r="C414" i="3"/>
  <c r="D414" i="3" s="1"/>
  <c r="H414" i="3"/>
  <c r="AJ415" i="3"/>
  <c r="AH430" i="3"/>
  <c r="AH379" i="3"/>
  <c r="AH383" i="3"/>
  <c r="H400" i="3"/>
  <c r="AL440" i="3"/>
  <c r="AL441" i="3"/>
  <c r="C461" i="3"/>
  <c r="D461" i="3" s="1"/>
  <c r="AH469" i="3"/>
  <c r="E495" i="3"/>
  <c r="F495" i="3" s="1"/>
  <c r="C495" i="3"/>
  <c r="D495" i="3" s="1"/>
  <c r="H551" i="3"/>
  <c r="E551" i="3"/>
  <c r="F551" i="3" s="1"/>
  <c r="C551" i="3"/>
  <c r="D551" i="3" s="1"/>
  <c r="AH426" i="3"/>
  <c r="AH434" i="3"/>
  <c r="E438" i="3"/>
  <c r="F438" i="3" s="1"/>
  <c r="AJ452" i="3"/>
  <c r="H463" i="3"/>
  <c r="AH463" i="3"/>
  <c r="C463" i="3"/>
  <c r="D463" i="3" s="1"/>
  <c r="H474" i="3"/>
  <c r="E474" i="3"/>
  <c r="F474" i="3" s="1"/>
  <c r="E482" i="3"/>
  <c r="F482" i="3" s="1"/>
  <c r="H482" i="3"/>
  <c r="AH485" i="3"/>
  <c r="C485" i="3"/>
  <c r="D485" i="3" s="1"/>
  <c r="E512" i="3"/>
  <c r="F512" i="3" s="1"/>
  <c r="C512" i="3"/>
  <c r="D512" i="3" s="1"/>
  <c r="H538" i="3"/>
  <c r="E538" i="3"/>
  <c r="F538" i="3" s="1"/>
  <c r="C538" i="3"/>
  <c r="D538" i="3" s="1"/>
  <c r="H547" i="3"/>
  <c r="E547" i="3"/>
  <c r="F547" i="3" s="1"/>
  <c r="C552" i="3"/>
  <c r="D552" i="3" s="1"/>
  <c r="H552" i="3"/>
  <c r="AH552" i="3"/>
  <c r="E552" i="3"/>
  <c r="F552" i="3" s="1"/>
  <c r="H583" i="3"/>
  <c r="AH583" i="3"/>
  <c r="E583" i="3"/>
  <c r="F583" i="3" s="1"/>
  <c r="C583" i="3"/>
  <c r="D583" i="3" s="1"/>
  <c r="AH334" i="3"/>
  <c r="AH341" i="3"/>
  <c r="E346" i="3"/>
  <c r="F346" i="3" s="1"/>
  <c r="AH348" i="3"/>
  <c r="E350" i="3"/>
  <c r="F350" i="3" s="1"/>
  <c r="AH352" i="3"/>
  <c r="E366" i="3"/>
  <c r="F366" i="3" s="1"/>
  <c r="AH368" i="3"/>
  <c r="E370" i="3"/>
  <c r="F370" i="3" s="1"/>
  <c r="AH372" i="3"/>
  <c r="AH403" i="3"/>
  <c r="H405" i="3"/>
  <c r="H413" i="3"/>
  <c r="H421" i="3"/>
  <c r="H429" i="3"/>
  <c r="H437" i="3"/>
  <c r="H450" i="3"/>
  <c r="AH451" i="3"/>
  <c r="C455" i="3"/>
  <c r="D455" i="3" s="1"/>
  <c r="E461" i="3"/>
  <c r="F461" i="3" s="1"/>
  <c r="AH462" i="3"/>
  <c r="C471" i="3"/>
  <c r="D471" i="3" s="1"/>
  <c r="H472" i="3"/>
  <c r="AH473" i="3"/>
  <c r="E478" i="3"/>
  <c r="F478" i="3" s="1"/>
  <c r="H478" i="3"/>
  <c r="C501" i="3"/>
  <c r="D501" i="3" s="1"/>
  <c r="E502" i="3"/>
  <c r="F502" i="3" s="1"/>
  <c r="H502" i="3"/>
  <c r="AH505" i="3"/>
  <c r="AH509" i="3"/>
  <c r="E522" i="3"/>
  <c r="F522" i="3" s="1"/>
  <c r="AH562" i="3"/>
  <c r="H562" i="3"/>
  <c r="E562" i="3"/>
  <c r="F562" i="3" s="1"/>
  <c r="H591" i="3"/>
  <c r="E591" i="3"/>
  <c r="F591" i="3" s="1"/>
  <c r="C591" i="3"/>
  <c r="D591" i="3" s="1"/>
  <c r="E592" i="3"/>
  <c r="F592" i="3" s="1"/>
  <c r="AH592" i="3"/>
  <c r="H592" i="3"/>
  <c r="C592" i="3"/>
  <c r="D592" i="3" s="1"/>
  <c r="AH376" i="3"/>
  <c r="AH380" i="3"/>
  <c r="AH411" i="3"/>
  <c r="AH419" i="3"/>
  <c r="AH427" i="3"/>
  <c r="AH435" i="3"/>
  <c r="H438" i="3"/>
  <c r="AJ457" i="3"/>
  <c r="H460" i="3"/>
  <c r="C468" i="3"/>
  <c r="D468" i="3" s="1"/>
  <c r="H468" i="3"/>
  <c r="H487" i="3"/>
  <c r="H491" i="3"/>
  <c r="E497" i="3"/>
  <c r="F497" i="3" s="1"/>
  <c r="AL499" i="3"/>
  <c r="E517" i="3"/>
  <c r="F517" i="3" s="1"/>
  <c r="E520" i="3"/>
  <c r="F520" i="3" s="1"/>
  <c r="C520" i="3"/>
  <c r="D520" i="3" s="1"/>
  <c r="E528" i="3"/>
  <c r="F528" i="3" s="1"/>
  <c r="C528" i="3"/>
  <c r="D528" i="3" s="1"/>
  <c r="H530" i="3"/>
  <c r="E530" i="3"/>
  <c r="F530" i="3" s="1"/>
  <c r="H545" i="3"/>
  <c r="E545" i="3"/>
  <c r="F545" i="3" s="1"/>
  <c r="C545" i="3"/>
  <c r="D545" i="3" s="1"/>
  <c r="H548" i="3"/>
  <c r="E548" i="3"/>
  <c r="F548" i="3" s="1"/>
  <c r="C548" i="3"/>
  <c r="D548" i="3" s="1"/>
  <c r="E607" i="3"/>
  <c r="F607" i="3" s="1"/>
  <c r="C607" i="3"/>
  <c r="D607" i="3" s="1"/>
  <c r="AH625" i="3"/>
  <c r="H625" i="3"/>
  <c r="E625" i="3"/>
  <c r="F625" i="3" s="1"/>
  <c r="C625" i="3"/>
  <c r="D625" i="3" s="1"/>
  <c r="H636" i="3"/>
  <c r="AH636" i="3"/>
  <c r="E636" i="3"/>
  <c r="F636" i="3" s="1"/>
  <c r="C636" i="3"/>
  <c r="D636" i="3" s="1"/>
  <c r="C640" i="3"/>
  <c r="D640" i="3" s="1"/>
  <c r="H640" i="3"/>
  <c r="AH640" i="3"/>
  <c r="E640" i="3"/>
  <c r="F640" i="3" s="1"/>
  <c r="C671" i="3"/>
  <c r="D671" i="3" s="1"/>
  <c r="AH671" i="3"/>
  <c r="H671" i="3"/>
  <c r="E671" i="3"/>
  <c r="F671" i="3" s="1"/>
  <c r="C379" i="3"/>
  <c r="D379" i="3" s="1"/>
  <c r="C383" i="3"/>
  <c r="D383" i="3" s="1"/>
  <c r="AH384" i="3"/>
  <c r="AH388" i="3"/>
  <c r="AH392" i="3"/>
  <c r="AH396" i="3"/>
  <c r="AH400" i="3"/>
  <c r="H467" i="3"/>
  <c r="C467" i="3"/>
  <c r="D467" i="3" s="1"/>
  <c r="H497" i="3"/>
  <c r="E501" i="3"/>
  <c r="F501" i="3" s="1"/>
  <c r="AH501" i="3"/>
  <c r="AH517" i="3"/>
  <c r="AH598" i="3"/>
  <c r="H598" i="3"/>
  <c r="E598" i="3"/>
  <c r="F598" i="3" s="1"/>
  <c r="C598" i="3"/>
  <c r="D598" i="3" s="1"/>
  <c r="AH365" i="3"/>
  <c r="AH369" i="3"/>
  <c r="AH373" i="3"/>
  <c r="C409" i="3"/>
  <c r="D409" i="3" s="1"/>
  <c r="C417" i="3"/>
  <c r="D417" i="3" s="1"/>
  <c r="C425" i="3"/>
  <c r="D425" i="3" s="1"/>
  <c r="C433" i="3"/>
  <c r="D433" i="3" s="1"/>
  <c r="AH450" i="3"/>
  <c r="AJ456" i="3"/>
  <c r="C458" i="3"/>
  <c r="D458" i="3" s="1"/>
  <c r="AH461" i="3"/>
  <c r="AL468" i="3"/>
  <c r="AH472" i="3"/>
  <c r="AH481" i="3"/>
  <c r="H481" i="3"/>
  <c r="AH491" i="3"/>
  <c r="AL492" i="3"/>
  <c r="AH522" i="3"/>
  <c r="E536" i="3"/>
  <c r="F536" i="3" s="1"/>
  <c r="C536" i="3"/>
  <c r="D536" i="3" s="1"/>
  <c r="AL543" i="3"/>
  <c r="H550" i="3"/>
  <c r="AH554" i="3"/>
  <c r="H554" i="3"/>
  <c r="E554" i="3"/>
  <c r="F554" i="3" s="1"/>
  <c r="H589" i="3"/>
  <c r="C469" i="3"/>
  <c r="D469" i="3" s="1"/>
  <c r="AH487" i="3"/>
  <c r="C506" i="3"/>
  <c r="D506" i="3" s="1"/>
  <c r="H511" i="3"/>
  <c r="E511" i="3"/>
  <c r="F511" i="3" s="1"/>
  <c r="C533" i="3"/>
  <c r="D533" i="3" s="1"/>
  <c r="H549" i="3"/>
  <c r="E549" i="3"/>
  <c r="F549" i="3" s="1"/>
  <c r="C549" i="3"/>
  <c r="D549" i="3" s="1"/>
  <c r="E588" i="3"/>
  <c r="F588" i="3" s="1"/>
  <c r="H588" i="3"/>
  <c r="C588" i="3"/>
  <c r="D588" i="3" s="1"/>
  <c r="C601" i="3"/>
  <c r="D601" i="3" s="1"/>
  <c r="H601" i="3"/>
  <c r="AH601" i="3"/>
  <c r="E601" i="3"/>
  <c r="F601" i="3" s="1"/>
  <c r="AH438" i="3"/>
  <c r="H455" i="3"/>
  <c r="E455" i="3"/>
  <c r="F455" i="3" s="1"/>
  <c r="AH460" i="3"/>
  <c r="AH551" i="3"/>
  <c r="H567" i="3"/>
  <c r="C567" i="3"/>
  <c r="D567" i="3" s="1"/>
  <c r="C388" i="3"/>
  <c r="D388" i="3" s="1"/>
  <c r="C392" i="3"/>
  <c r="D392" i="3" s="1"/>
  <c r="C396" i="3"/>
  <c r="D396" i="3" s="1"/>
  <c r="C400" i="3"/>
  <c r="D400" i="3" s="1"/>
  <c r="E463" i="3"/>
  <c r="F463" i="3" s="1"/>
  <c r="H469" i="3"/>
  <c r="C474" i="3"/>
  <c r="D474" i="3" s="1"/>
  <c r="C482" i="3"/>
  <c r="D482" i="3" s="1"/>
  <c r="E485" i="3"/>
  <c r="F485" i="3" s="1"/>
  <c r="H495" i="3"/>
  <c r="H503" i="3"/>
  <c r="E503" i="3"/>
  <c r="F503" i="3" s="1"/>
  <c r="C510" i="3"/>
  <c r="D510" i="3" s="1"/>
  <c r="AH510" i="3"/>
  <c r="H519" i="3"/>
  <c r="E519" i="3"/>
  <c r="F519" i="3" s="1"/>
  <c r="E533" i="3"/>
  <c r="F533" i="3" s="1"/>
  <c r="AH547" i="3"/>
  <c r="E580" i="3"/>
  <c r="F580" i="3" s="1"/>
  <c r="H580" i="3"/>
  <c r="C580" i="3"/>
  <c r="D580" i="3" s="1"/>
  <c r="C613" i="3"/>
  <c r="D613" i="3" s="1"/>
  <c r="H613" i="3"/>
  <c r="AH613" i="3"/>
  <c r="E613" i="3"/>
  <c r="F613" i="3" s="1"/>
  <c r="AJ734" i="3"/>
  <c r="AL734" i="3"/>
  <c r="H426" i="3"/>
  <c r="H434" i="3"/>
  <c r="AJ445" i="3"/>
  <c r="E468" i="3"/>
  <c r="F468" i="3" s="1"/>
  <c r="AJ476" i="3"/>
  <c r="E486" i="3"/>
  <c r="F486" i="3" s="1"/>
  <c r="C486" i="3"/>
  <c r="D486" i="3" s="1"/>
  <c r="H506" i="3"/>
  <c r="AL507" i="3"/>
  <c r="E510" i="3"/>
  <c r="F510" i="3" s="1"/>
  <c r="H512" i="3"/>
  <c r="H527" i="3"/>
  <c r="E527" i="3"/>
  <c r="F527" i="3" s="1"/>
  <c r="H529" i="3"/>
  <c r="E529" i="3"/>
  <c r="F529" i="3" s="1"/>
  <c r="AH533" i="3"/>
  <c r="H537" i="3"/>
  <c r="E537" i="3"/>
  <c r="F537" i="3" s="1"/>
  <c r="AH538" i="3"/>
  <c r="C547" i="3"/>
  <c r="D547" i="3" s="1"/>
  <c r="E550" i="3"/>
  <c r="F550" i="3" s="1"/>
  <c r="C550" i="3"/>
  <c r="D550" i="3" s="1"/>
  <c r="H559" i="3"/>
  <c r="C559" i="3"/>
  <c r="D559" i="3" s="1"/>
  <c r="E568" i="3"/>
  <c r="F568" i="3" s="1"/>
  <c r="H568" i="3"/>
  <c r="C568" i="3"/>
  <c r="D568" i="3" s="1"/>
  <c r="H581" i="3"/>
  <c r="E581" i="3"/>
  <c r="F581" i="3" s="1"/>
  <c r="C581" i="3"/>
  <c r="D581" i="3" s="1"/>
  <c r="E589" i="3"/>
  <c r="F589" i="3" s="1"/>
  <c r="C589" i="3"/>
  <c r="D589" i="3" s="1"/>
  <c r="AH607" i="3"/>
  <c r="C616" i="3"/>
  <c r="D616" i="3" s="1"/>
  <c r="H616" i="3"/>
  <c r="AH616" i="3"/>
  <c r="C451" i="3"/>
  <c r="D451" i="3" s="1"/>
  <c r="H457" i="3"/>
  <c r="C462" i="3"/>
  <c r="D462" i="3" s="1"/>
  <c r="AL465" i="3"/>
  <c r="C473" i="3"/>
  <c r="D473" i="3" s="1"/>
  <c r="AH474" i="3"/>
  <c r="AH482" i="3"/>
  <c r="AL483" i="3"/>
  <c r="H485" i="3"/>
  <c r="C502" i="3"/>
  <c r="D502" i="3" s="1"/>
  <c r="AH502" i="3"/>
  <c r="E505" i="3"/>
  <c r="F505" i="3" s="1"/>
  <c r="AH506" i="3"/>
  <c r="E509" i="3"/>
  <c r="F509" i="3" s="1"/>
  <c r="C518" i="3"/>
  <c r="D518" i="3" s="1"/>
  <c r="AH518" i="3"/>
  <c r="C530" i="3"/>
  <c r="D530" i="3" s="1"/>
  <c r="C560" i="3"/>
  <c r="D560" i="3" s="1"/>
  <c r="H560" i="3"/>
  <c r="AH560" i="3"/>
  <c r="E560" i="3"/>
  <c r="F560" i="3" s="1"/>
  <c r="C562" i="3"/>
  <c r="D562" i="3" s="1"/>
  <c r="AJ632" i="3"/>
  <c r="AL632" i="3"/>
  <c r="AL735" i="3"/>
  <c r="AJ735" i="3"/>
  <c r="AJ738" i="3"/>
  <c r="AL738" i="3"/>
  <c r="C609" i="3"/>
  <c r="D609" i="3" s="1"/>
  <c r="H609" i="3"/>
  <c r="AH651" i="3"/>
  <c r="H651" i="3"/>
  <c r="C651" i="3"/>
  <c r="D651" i="3" s="1"/>
  <c r="E685" i="3"/>
  <c r="F685" i="3" s="1"/>
  <c r="C685" i="3"/>
  <c r="D685" i="3" s="1"/>
  <c r="AL725" i="3"/>
  <c r="AL739" i="3"/>
  <c r="AJ739" i="3"/>
  <c r="AJ759" i="3"/>
  <c r="AL759" i="3"/>
  <c r="H856" i="3"/>
  <c r="E856" i="3"/>
  <c r="F856" i="3" s="1"/>
  <c r="C856" i="3"/>
  <c r="D856" i="3" s="1"/>
  <c r="AH856" i="3"/>
  <c r="E631" i="3"/>
  <c r="F631" i="3" s="1"/>
  <c r="C631" i="3"/>
  <c r="D631" i="3" s="1"/>
  <c r="AH631" i="3"/>
  <c r="H631" i="3"/>
  <c r="AH644" i="3"/>
  <c r="H765" i="3"/>
  <c r="E765" i="3"/>
  <c r="F765" i="3" s="1"/>
  <c r="AH765" i="3"/>
  <c r="C765" i="3"/>
  <c r="D765" i="3" s="1"/>
  <c r="C456" i="3"/>
  <c r="D456" i="3" s="1"/>
  <c r="AH459" i="3"/>
  <c r="E475" i="3"/>
  <c r="F475" i="3" s="1"/>
  <c r="C494" i="3"/>
  <c r="D494" i="3" s="1"/>
  <c r="E555" i="3"/>
  <c r="F555" i="3" s="1"/>
  <c r="AH557" i="3"/>
  <c r="E563" i="3"/>
  <c r="F563" i="3" s="1"/>
  <c r="AH565" i="3"/>
  <c r="H571" i="3"/>
  <c r="AH571" i="3"/>
  <c r="H576" i="3"/>
  <c r="H593" i="3"/>
  <c r="AH608" i="3"/>
  <c r="C623" i="3"/>
  <c r="D623" i="3" s="1"/>
  <c r="AH643" i="3"/>
  <c r="H643" i="3"/>
  <c r="C643" i="3"/>
  <c r="D643" i="3" s="1"/>
  <c r="E656" i="3"/>
  <c r="F656" i="3" s="1"/>
  <c r="H717" i="3"/>
  <c r="E717" i="3"/>
  <c r="F717" i="3" s="1"/>
  <c r="C717" i="3"/>
  <c r="D717" i="3" s="1"/>
  <c r="AL722" i="3"/>
  <c r="AJ722" i="3"/>
  <c r="C724" i="3"/>
  <c r="D724" i="3" s="1"/>
  <c r="E724" i="3"/>
  <c r="F724" i="3" s="1"/>
  <c r="AH724" i="3"/>
  <c r="AH490" i="3"/>
  <c r="H542" i="3"/>
  <c r="H584" i="3"/>
  <c r="AH626" i="3"/>
  <c r="H626" i="3"/>
  <c r="C626" i="3"/>
  <c r="D626" i="3" s="1"/>
  <c r="H652" i="3"/>
  <c r="C652" i="3"/>
  <c r="D652" i="3" s="1"/>
  <c r="C655" i="3"/>
  <c r="D655" i="3" s="1"/>
  <c r="AH655" i="3"/>
  <c r="H655" i="3"/>
  <c r="E678" i="3"/>
  <c r="F678" i="3" s="1"/>
  <c r="C678" i="3"/>
  <c r="D678" i="3" s="1"/>
  <c r="E713" i="3"/>
  <c r="F713" i="3" s="1"/>
  <c r="C713" i="3"/>
  <c r="D713" i="3" s="1"/>
  <c r="AL726" i="3"/>
  <c r="AJ726" i="3"/>
  <c r="C728" i="3"/>
  <c r="D728" i="3" s="1"/>
  <c r="E728" i="3"/>
  <c r="F728" i="3" s="1"/>
  <c r="AH728" i="3"/>
  <c r="C770" i="3"/>
  <c r="D770" i="3" s="1"/>
  <c r="AH770" i="3"/>
  <c r="H770" i="3"/>
  <c r="E770" i="3"/>
  <c r="F770" i="3" s="1"/>
  <c r="AL814" i="3"/>
  <c r="AJ814" i="3"/>
  <c r="AL927" i="3"/>
  <c r="AJ927" i="3"/>
  <c r="AH576" i="3"/>
  <c r="E615" i="3"/>
  <c r="F615" i="3" s="1"/>
  <c r="C615" i="3"/>
  <c r="D615" i="3" s="1"/>
  <c r="E632" i="3"/>
  <c r="F632" i="3" s="1"/>
  <c r="E648" i="3"/>
  <c r="F648" i="3" s="1"/>
  <c r="C778" i="3"/>
  <c r="D778" i="3" s="1"/>
  <c r="E778" i="3"/>
  <c r="F778" i="3" s="1"/>
  <c r="AH872" i="3"/>
  <c r="H872" i="3"/>
  <c r="E872" i="3"/>
  <c r="F872" i="3" s="1"/>
  <c r="C872" i="3"/>
  <c r="D872" i="3" s="1"/>
  <c r="AJ909" i="3"/>
  <c r="AL909" i="3"/>
  <c r="AH541" i="3"/>
  <c r="C556" i="3"/>
  <c r="D556" i="3" s="1"/>
  <c r="H556" i="3"/>
  <c r="C564" i="3"/>
  <c r="D564" i="3" s="1"/>
  <c r="H564" i="3"/>
  <c r="AH577" i="3"/>
  <c r="AH584" i="3"/>
  <c r="AH585" i="3"/>
  <c r="C602" i="3"/>
  <c r="D602" i="3" s="1"/>
  <c r="H602" i="3"/>
  <c r="H644" i="3"/>
  <c r="C644" i="3"/>
  <c r="D644" i="3" s="1"/>
  <c r="C647" i="3"/>
  <c r="D647" i="3" s="1"/>
  <c r="AH647" i="3"/>
  <c r="H647" i="3"/>
  <c r="AL800" i="3"/>
  <c r="AJ800" i="3"/>
  <c r="AL817" i="3"/>
  <c r="C605" i="3"/>
  <c r="D605" i="3" s="1"/>
  <c r="H605" i="3"/>
  <c r="C608" i="3"/>
  <c r="D608" i="3" s="1"/>
  <c r="H608" i="3"/>
  <c r="C617" i="3"/>
  <c r="D617" i="3" s="1"/>
  <c r="AH617" i="3"/>
  <c r="H617" i="3"/>
  <c r="C639" i="3"/>
  <c r="D639" i="3" s="1"/>
  <c r="AH639" i="3"/>
  <c r="H639" i="3"/>
  <c r="C656" i="3"/>
  <c r="D656" i="3" s="1"/>
  <c r="H656" i="3"/>
  <c r="H658" i="3"/>
  <c r="AH658" i="3"/>
  <c r="AJ719" i="3"/>
  <c r="AL719" i="3"/>
  <c r="AL730" i="3"/>
  <c r="AJ730" i="3"/>
  <c r="AL761" i="3"/>
  <c r="E851" i="3"/>
  <c r="F851" i="3" s="1"/>
  <c r="AH851" i="3"/>
  <c r="H851" i="3"/>
  <c r="C851" i="3"/>
  <c r="D851" i="3" s="1"/>
  <c r="C596" i="3"/>
  <c r="D596" i="3" s="1"/>
  <c r="C619" i="3"/>
  <c r="D619" i="3" s="1"/>
  <c r="H623" i="3"/>
  <c r="E623" i="3"/>
  <c r="F623" i="3" s="1"/>
  <c r="E651" i="3"/>
  <c r="F651" i="3" s="1"/>
  <c r="H676" i="3"/>
  <c r="E676" i="3"/>
  <c r="F676" i="3" s="1"/>
  <c r="C676" i="3"/>
  <c r="D676" i="3" s="1"/>
  <c r="H803" i="3"/>
  <c r="E803" i="3"/>
  <c r="F803" i="3" s="1"/>
  <c r="C803" i="3"/>
  <c r="D803" i="3" s="1"/>
  <c r="AH803" i="3"/>
  <c r="AL820" i="3"/>
  <c r="AJ820" i="3"/>
  <c r="H835" i="3"/>
  <c r="E835" i="3"/>
  <c r="F835" i="3" s="1"/>
  <c r="C835" i="3"/>
  <c r="D835" i="3" s="1"/>
  <c r="AH835" i="3"/>
  <c r="AJ841" i="3"/>
  <c r="AL841" i="3"/>
  <c r="C632" i="3"/>
  <c r="D632" i="3" s="1"/>
  <c r="H632" i="3"/>
  <c r="C648" i="3"/>
  <c r="D648" i="3" s="1"/>
  <c r="H648" i="3"/>
  <c r="C662" i="3"/>
  <c r="D662" i="3" s="1"/>
  <c r="AH662" i="3"/>
  <c r="H662" i="3"/>
  <c r="E670" i="3"/>
  <c r="F670" i="3" s="1"/>
  <c r="AH670" i="3"/>
  <c r="H670" i="3"/>
  <c r="H683" i="3"/>
  <c r="E683" i="3"/>
  <c r="F683" i="3" s="1"/>
  <c r="C683" i="3"/>
  <c r="D683" i="3" s="1"/>
  <c r="H685" i="3"/>
  <c r="AH811" i="3"/>
  <c r="H811" i="3"/>
  <c r="E811" i="3"/>
  <c r="F811" i="3" s="1"/>
  <c r="C811" i="3"/>
  <c r="D811" i="3" s="1"/>
  <c r="AH475" i="3"/>
  <c r="C490" i="3"/>
  <c r="D490" i="3" s="1"/>
  <c r="E557" i="3"/>
  <c r="F557" i="3" s="1"/>
  <c r="E565" i="3"/>
  <c r="F565" i="3" s="1"/>
  <c r="H596" i="3"/>
  <c r="E619" i="3"/>
  <c r="F619" i="3" s="1"/>
  <c r="C624" i="3"/>
  <c r="D624" i="3" s="1"/>
  <c r="E627" i="3"/>
  <c r="F627" i="3" s="1"/>
  <c r="H627" i="3"/>
  <c r="AH634" i="3"/>
  <c r="E634" i="3"/>
  <c r="F634" i="3" s="1"/>
  <c r="C634" i="3"/>
  <c r="D634" i="3" s="1"/>
  <c r="E643" i="3"/>
  <c r="F643" i="3" s="1"/>
  <c r="C659" i="3"/>
  <c r="D659" i="3" s="1"/>
  <c r="H659" i="3"/>
  <c r="AH685" i="3"/>
  <c r="AH717" i="3"/>
  <c r="AH850" i="3"/>
  <c r="H850" i="3"/>
  <c r="E850" i="3"/>
  <c r="F850" i="3" s="1"/>
  <c r="C850" i="3"/>
  <c r="D850" i="3" s="1"/>
  <c r="H668" i="3"/>
  <c r="C674" i="3"/>
  <c r="D674" i="3" s="1"/>
  <c r="H686" i="3"/>
  <c r="E687" i="3"/>
  <c r="F687" i="3" s="1"/>
  <c r="E691" i="3"/>
  <c r="F691" i="3" s="1"/>
  <c r="E695" i="3"/>
  <c r="F695" i="3" s="1"/>
  <c r="E699" i="3"/>
  <c r="F699" i="3" s="1"/>
  <c r="E703" i="3"/>
  <c r="F703" i="3" s="1"/>
  <c r="E707" i="3"/>
  <c r="F707" i="3" s="1"/>
  <c r="E711" i="3"/>
  <c r="F711" i="3" s="1"/>
  <c r="C719" i="3"/>
  <c r="D719" i="3" s="1"/>
  <c r="AL720" i="3"/>
  <c r="AJ720" i="3"/>
  <c r="E722" i="3"/>
  <c r="F722" i="3" s="1"/>
  <c r="E726" i="3"/>
  <c r="F726" i="3" s="1"/>
  <c r="E730" i="3"/>
  <c r="F730" i="3" s="1"/>
  <c r="H736" i="3"/>
  <c r="H740" i="3"/>
  <c r="H744" i="3"/>
  <c r="H748" i="3"/>
  <c r="C750" i="3"/>
  <c r="D750" i="3" s="1"/>
  <c r="H763" i="3"/>
  <c r="C763" i="3"/>
  <c r="D763" i="3" s="1"/>
  <c r="C780" i="3"/>
  <c r="D780" i="3" s="1"/>
  <c r="H780" i="3"/>
  <c r="E785" i="3"/>
  <c r="F785" i="3" s="1"/>
  <c r="AJ806" i="3"/>
  <c r="AJ863" i="3"/>
  <c r="AJ924" i="3"/>
  <c r="AL924" i="3"/>
  <c r="AL952" i="3"/>
  <c r="AJ952" i="3"/>
  <c r="H970" i="3"/>
  <c r="E970" i="3"/>
  <c r="F970" i="3" s="1"/>
  <c r="C970" i="3"/>
  <c r="D970" i="3" s="1"/>
  <c r="AH970" i="3"/>
  <c r="C569" i="3"/>
  <c r="D569" i="3" s="1"/>
  <c r="C573" i="3"/>
  <c r="D573" i="3" s="1"/>
  <c r="AH594" i="3"/>
  <c r="AH599" i="3"/>
  <c r="E603" i="3"/>
  <c r="F603" i="3" s="1"/>
  <c r="AH606" i="3"/>
  <c r="E610" i="3"/>
  <c r="F610" i="3" s="1"/>
  <c r="AH614" i="3"/>
  <c r="AH621" i="3"/>
  <c r="E641" i="3"/>
  <c r="F641" i="3" s="1"/>
  <c r="AH645" i="3"/>
  <c r="E649" i="3"/>
  <c r="F649" i="3" s="1"/>
  <c r="AH653" i="3"/>
  <c r="E657" i="3"/>
  <c r="F657" i="3" s="1"/>
  <c r="AH660" i="3"/>
  <c r="H663" i="3"/>
  <c r="AH666" i="3"/>
  <c r="H669" i="3"/>
  <c r="H680" i="3"/>
  <c r="E681" i="3"/>
  <c r="F681" i="3" s="1"/>
  <c r="E759" i="3"/>
  <c r="F759" i="3" s="1"/>
  <c r="H774" i="3"/>
  <c r="E782" i="3"/>
  <c r="F782" i="3" s="1"/>
  <c r="H785" i="3"/>
  <c r="AH785" i="3"/>
  <c r="AJ815" i="3"/>
  <c r="AL822" i="3"/>
  <c r="AJ822" i="3"/>
  <c r="AL827" i="3"/>
  <c r="AJ827" i="3"/>
  <c r="AL849" i="3"/>
  <c r="AJ849" i="3"/>
  <c r="H855" i="3"/>
  <c r="E855" i="3"/>
  <c r="F855" i="3" s="1"/>
  <c r="C855" i="3"/>
  <c r="D855" i="3" s="1"/>
  <c r="AL900" i="3"/>
  <c r="AJ900" i="3"/>
  <c r="AL892" i="3"/>
  <c r="AJ892" i="3"/>
  <c r="AL915" i="3"/>
  <c r="AJ915" i="3"/>
  <c r="AH969" i="3"/>
  <c r="H969" i="3"/>
  <c r="E969" i="3"/>
  <c r="F969" i="3" s="1"/>
  <c r="C969" i="3"/>
  <c r="D969" i="3" s="1"/>
  <c r="AH622" i="3"/>
  <c r="AH669" i="3"/>
  <c r="AH679" i="3"/>
  <c r="AH689" i="3"/>
  <c r="AH693" i="3"/>
  <c r="AH697" i="3"/>
  <c r="AH701" i="3"/>
  <c r="AH705" i="3"/>
  <c r="AH709" i="3"/>
  <c r="C761" i="3"/>
  <c r="D761" i="3" s="1"/>
  <c r="H761" i="3"/>
  <c r="AL766" i="3"/>
  <c r="AJ766" i="3"/>
  <c r="AH782" i="3"/>
  <c r="H792" i="3"/>
  <c r="E792" i="3"/>
  <c r="F792" i="3" s="1"/>
  <c r="C792" i="3"/>
  <c r="D792" i="3" s="1"/>
  <c r="H843" i="3"/>
  <c r="E843" i="3"/>
  <c r="F843" i="3" s="1"/>
  <c r="C843" i="3"/>
  <c r="D843" i="3" s="1"/>
  <c r="AL861" i="3"/>
  <c r="AJ861" i="3"/>
  <c r="AL884" i="3"/>
  <c r="AJ884" i="3"/>
  <c r="AL901" i="3"/>
  <c r="AL941" i="3"/>
  <c r="AJ941" i="3"/>
  <c r="AJ1001" i="3"/>
  <c r="AL1001" i="3"/>
  <c r="C722" i="3"/>
  <c r="D722" i="3" s="1"/>
  <c r="H722" i="3"/>
  <c r="C726" i="3"/>
  <c r="D726" i="3" s="1"/>
  <c r="H726" i="3"/>
  <c r="C730" i="3"/>
  <c r="D730" i="3" s="1"/>
  <c r="H730" i="3"/>
  <c r="H754" i="3"/>
  <c r="E754" i="3"/>
  <c r="F754" i="3" s="1"/>
  <c r="AJ764" i="3"/>
  <c r="AH774" i="3"/>
  <c r="H796" i="3"/>
  <c r="E796" i="3"/>
  <c r="F796" i="3" s="1"/>
  <c r="C796" i="3"/>
  <c r="D796" i="3" s="1"/>
  <c r="AL834" i="3"/>
  <c r="AJ834" i="3"/>
  <c r="AL844" i="3"/>
  <c r="AJ844" i="3"/>
  <c r="AL893" i="3"/>
  <c r="AJ893" i="3"/>
  <c r="AJ967" i="3"/>
  <c r="H719" i="3"/>
  <c r="E719" i="3"/>
  <c r="F719" i="3" s="1"/>
  <c r="C734" i="3"/>
  <c r="D734" i="3" s="1"/>
  <c r="H734" i="3"/>
  <c r="C738" i="3"/>
  <c r="D738" i="3" s="1"/>
  <c r="H738" i="3"/>
  <c r="C742" i="3"/>
  <c r="D742" i="3" s="1"/>
  <c r="H742" i="3"/>
  <c r="C746" i="3"/>
  <c r="D746" i="3" s="1"/>
  <c r="H746" i="3"/>
  <c r="H750" i="3"/>
  <c r="E750" i="3"/>
  <c r="F750" i="3" s="1"/>
  <c r="H800" i="3"/>
  <c r="E800" i="3"/>
  <c r="F800" i="3" s="1"/>
  <c r="C800" i="3"/>
  <c r="D800" i="3" s="1"/>
  <c r="AL862" i="3"/>
  <c r="AL885" i="3"/>
  <c r="AJ885" i="3"/>
  <c r="AJ727" i="3"/>
  <c r="H759" i="3"/>
  <c r="C759" i="3"/>
  <c r="D759" i="3" s="1"/>
  <c r="C776" i="3"/>
  <c r="D776" i="3" s="1"/>
  <c r="H776" i="3"/>
  <c r="H807" i="3"/>
  <c r="E807" i="3"/>
  <c r="F807" i="3" s="1"/>
  <c r="C807" i="3"/>
  <c r="D807" i="3" s="1"/>
  <c r="H820" i="3"/>
  <c r="E820" i="3"/>
  <c r="F820" i="3" s="1"/>
  <c r="C820" i="3"/>
  <c r="D820" i="3" s="1"/>
  <c r="H827" i="3"/>
  <c r="E827" i="3"/>
  <c r="F827" i="3" s="1"/>
  <c r="C827" i="3"/>
  <c r="D827" i="3" s="1"/>
  <c r="AL845" i="3"/>
  <c r="AJ845" i="3"/>
  <c r="C622" i="3"/>
  <c r="D622" i="3" s="1"/>
  <c r="C661" i="3"/>
  <c r="D661" i="3" s="1"/>
  <c r="AH663" i="3"/>
  <c r="C667" i="3"/>
  <c r="D667" i="3" s="1"/>
  <c r="C689" i="3"/>
  <c r="D689" i="3" s="1"/>
  <c r="C693" i="3"/>
  <c r="D693" i="3" s="1"/>
  <c r="C697" i="3"/>
  <c r="D697" i="3" s="1"/>
  <c r="C701" i="3"/>
  <c r="D701" i="3" s="1"/>
  <c r="C705" i="3"/>
  <c r="D705" i="3" s="1"/>
  <c r="C709" i="3"/>
  <c r="D709" i="3" s="1"/>
  <c r="AJ731" i="3"/>
  <c r="AL767" i="3"/>
  <c r="AJ853" i="3"/>
  <c r="AL853" i="3"/>
  <c r="AL855" i="3"/>
  <c r="AJ855" i="3"/>
  <c r="AH896" i="3"/>
  <c r="H896" i="3"/>
  <c r="E896" i="3"/>
  <c r="F896" i="3" s="1"/>
  <c r="C896" i="3"/>
  <c r="D896" i="3" s="1"/>
  <c r="C668" i="3"/>
  <c r="D668" i="3" s="1"/>
  <c r="C686" i="3"/>
  <c r="D686" i="3" s="1"/>
  <c r="AL772" i="3"/>
  <c r="H788" i="3"/>
  <c r="E788" i="3"/>
  <c r="F788" i="3" s="1"/>
  <c r="C788" i="3"/>
  <c r="D788" i="3" s="1"/>
  <c r="AL801" i="3"/>
  <c r="AJ801" i="3"/>
  <c r="AL819" i="3"/>
  <c r="AJ819" i="3"/>
  <c r="AH888" i="3"/>
  <c r="H888" i="3"/>
  <c r="E888" i="3"/>
  <c r="F888" i="3" s="1"/>
  <c r="C888" i="3"/>
  <c r="D888" i="3" s="1"/>
  <c r="H666" i="3"/>
  <c r="C679" i="3"/>
  <c r="D679" i="3" s="1"/>
  <c r="C688" i="3"/>
  <c r="D688" i="3" s="1"/>
  <c r="C692" i="3"/>
  <c r="D692" i="3" s="1"/>
  <c r="C696" i="3"/>
  <c r="D696" i="3" s="1"/>
  <c r="C700" i="3"/>
  <c r="D700" i="3" s="1"/>
  <c r="C704" i="3"/>
  <c r="D704" i="3" s="1"/>
  <c r="C708" i="3"/>
  <c r="D708" i="3" s="1"/>
  <c r="C712" i="3"/>
  <c r="D712" i="3" s="1"/>
  <c r="H723" i="3"/>
  <c r="E723" i="3"/>
  <c r="F723" i="3" s="1"/>
  <c r="H727" i="3"/>
  <c r="E727" i="3"/>
  <c r="F727" i="3" s="1"/>
  <c r="H731" i="3"/>
  <c r="E731" i="3"/>
  <c r="F731" i="3" s="1"/>
  <c r="E732" i="3"/>
  <c r="F732" i="3" s="1"/>
  <c r="E755" i="3"/>
  <c r="F755" i="3" s="1"/>
  <c r="C755" i="3"/>
  <c r="D755" i="3" s="1"/>
  <c r="C757" i="3"/>
  <c r="D757" i="3" s="1"/>
  <c r="H757" i="3"/>
  <c r="C772" i="3"/>
  <c r="D772" i="3" s="1"/>
  <c r="H772" i="3"/>
  <c r="AH792" i="3"/>
  <c r="AJ802" i="3"/>
  <c r="AL802" i="3"/>
  <c r="AL832" i="3"/>
  <c r="AH843" i="3"/>
  <c r="AH880" i="3"/>
  <c r="H880" i="3"/>
  <c r="E880" i="3"/>
  <c r="F880" i="3" s="1"/>
  <c r="C880" i="3"/>
  <c r="D880" i="3" s="1"/>
  <c r="AL890" i="3"/>
  <c r="H914" i="3"/>
  <c r="E914" i="3"/>
  <c r="F914" i="3" s="1"/>
  <c r="AH914" i="3"/>
  <c r="C914" i="3"/>
  <c r="D914" i="3" s="1"/>
  <c r="AH945" i="3"/>
  <c r="H945" i="3"/>
  <c r="E945" i="3"/>
  <c r="F945" i="3" s="1"/>
  <c r="C945" i="3"/>
  <c r="D945" i="3" s="1"/>
  <c r="C735" i="3"/>
  <c r="D735" i="3" s="1"/>
  <c r="C739" i="3"/>
  <c r="D739" i="3" s="1"/>
  <c r="C743" i="3"/>
  <c r="D743" i="3" s="1"/>
  <c r="C747" i="3"/>
  <c r="D747" i="3" s="1"/>
  <c r="C758" i="3"/>
  <c r="D758" i="3" s="1"/>
  <c r="C762" i="3"/>
  <c r="D762" i="3" s="1"/>
  <c r="E769" i="3"/>
  <c r="F769" i="3" s="1"/>
  <c r="E787" i="3"/>
  <c r="F787" i="3" s="1"/>
  <c r="C791" i="3"/>
  <c r="D791" i="3" s="1"/>
  <c r="C795" i="3"/>
  <c r="D795" i="3" s="1"/>
  <c r="C799" i="3"/>
  <c r="D799" i="3" s="1"/>
  <c r="E802" i="3"/>
  <c r="F802" i="3" s="1"/>
  <c r="H805" i="3"/>
  <c r="AH821" i="3"/>
  <c r="E841" i="3"/>
  <c r="F841" i="3" s="1"/>
  <c r="H846" i="3"/>
  <c r="AH867" i="3"/>
  <c r="AH868" i="3"/>
  <c r="E876" i="3"/>
  <c r="F876" i="3" s="1"/>
  <c r="E884" i="3"/>
  <c r="F884" i="3" s="1"/>
  <c r="E892" i="3"/>
  <c r="F892" i="3" s="1"/>
  <c r="E900" i="3"/>
  <c r="F900" i="3" s="1"/>
  <c r="AJ910" i="3"/>
  <c r="H917" i="3"/>
  <c r="C917" i="3"/>
  <c r="D917" i="3" s="1"/>
  <c r="AL958" i="3"/>
  <c r="AJ958" i="3"/>
  <c r="AJ1006" i="3"/>
  <c r="AL1006" i="3"/>
  <c r="AH1010" i="3"/>
  <c r="H1010" i="3"/>
  <c r="E1010" i="3"/>
  <c r="F1010" i="3" s="1"/>
  <c r="C1010" i="3"/>
  <c r="D1010" i="3" s="1"/>
  <c r="C720" i="3"/>
  <c r="D720" i="3" s="1"/>
  <c r="C751" i="3"/>
  <c r="D751" i="3" s="1"/>
  <c r="C766" i="3"/>
  <c r="D766" i="3" s="1"/>
  <c r="E773" i="3"/>
  <c r="F773" i="3" s="1"/>
  <c r="E777" i="3"/>
  <c r="F777" i="3" s="1"/>
  <c r="AH779" i="3"/>
  <c r="E781" i="3"/>
  <c r="F781" i="3" s="1"/>
  <c r="E784" i="3"/>
  <c r="F784" i="3" s="1"/>
  <c r="H790" i="3"/>
  <c r="H794" i="3"/>
  <c r="H798" i="3"/>
  <c r="AH804" i="3"/>
  <c r="E806" i="3"/>
  <c r="F806" i="3" s="1"/>
  <c r="H816" i="3"/>
  <c r="E817" i="3"/>
  <c r="F817" i="3" s="1"/>
  <c r="E818" i="3"/>
  <c r="F818" i="3" s="1"/>
  <c r="H823" i="3"/>
  <c r="E824" i="3"/>
  <c r="F824" i="3" s="1"/>
  <c r="E825" i="3"/>
  <c r="F825" i="3" s="1"/>
  <c r="AH829" i="3"/>
  <c r="H831" i="3"/>
  <c r="E832" i="3"/>
  <c r="F832" i="3" s="1"/>
  <c r="E833" i="3"/>
  <c r="F833" i="3" s="1"/>
  <c r="AH837" i="3"/>
  <c r="H839" i="3"/>
  <c r="H840" i="3"/>
  <c r="E847" i="3"/>
  <c r="F847" i="3" s="1"/>
  <c r="E848" i="3"/>
  <c r="F848" i="3" s="1"/>
  <c r="AH869" i="3"/>
  <c r="AH870" i="3"/>
  <c r="E874" i="3"/>
  <c r="F874" i="3" s="1"/>
  <c r="H876" i="3"/>
  <c r="AH878" i="3"/>
  <c r="E882" i="3"/>
  <c r="F882" i="3" s="1"/>
  <c r="H884" i="3"/>
  <c r="AH886" i="3"/>
  <c r="E890" i="3"/>
  <c r="F890" i="3" s="1"/>
  <c r="H892" i="3"/>
  <c r="AH894" i="3"/>
  <c r="E898" i="3"/>
  <c r="F898" i="3" s="1"/>
  <c r="H900" i="3"/>
  <c r="AL939" i="3"/>
  <c r="AJ939" i="3"/>
  <c r="AL986" i="3"/>
  <c r="AJ986" i="3"/>
  <c r="E735" i="3"/>
  <c r="F735" i="3" s="1"/>
  <c r="E739" i="3"/>
  <c r="F739" i="3" s="1"/>
  <c r="E743" i="3"/>
  <c r="F743" i="3" s="1"/>
  <c r="E747" i="3"/>
  <c r="F747" i="3" s="1"/>
  <c r="E758" i="3"/>
  <c r="F758" i="3" s="1"/>
  <c r="E762" i="3"/>
  <c r="F762" i="3" s="1"/>
  <c r="H769" i="3"/>
  <c r="H787" i="3"/>
  <c r="E791" i="3"/>
  <c r="F791" i="3" s="1"/>
  <c r="E795" i="3"/>
  <c r="F795" i="3" s="1"/>
  <c r="E799" i="3"/>
  <c r="F799" i="3" s="1"/>
  <c r="H802" i="3"/>
  <c r="H810" i="3"/>
  <c r="H817" i="3"/>
  <c r="H824" i="3"/>
  <c r="H832" i="3"/>
  <c r="H841" i="3"/>
  <c r="H847" i="3"/>
  <c r="E877" i="3"/>
  <c r="F877" i="3" s="1"/>
  <c r="C877" i="3"/>
  <c r="D877" i="3" s="1"/>
  <c r="E885" i="3"/>
  <c r="F885" i="3" s="1"/>
  <c r="C885" i="3"/>
  <c r="D885" i="3" s="1"/>
  <c r="E893" i="3"/>
  <c r="F893" i="3" s="1"/>
  <c r="C893" i="3"/>
  <c r="D893" i="3" s="1"/>
  <c r="E901" i="3"/>
  <c r="F901" i="3" s="1"/>
  <c r="C901" i="3"/>
  <c r="D901" i="3" s="1"/>
  <c r="AH911" i="3"/>
  <c r="E915" i="3"/>
  <c r="F915" i="3" s="1"/>
  <c r="C915" i="3"/>
  <c r="D915" i="3" s="1"/>
  <c r="H915" i="3"/>
  <c r="AL949" i="3"/>
  <c r="AJ949" i="3"/>
  <c r="AL982" i="3"/>
  <c r="AJ982" i="3"/>
  <c r="H1049" i="3"/>
  <c r="E1049" i="3"/>
  <c r="F1049" i="3" s="1"/>
  <c r="C1049" i="3"/>
  <c r="D1049" i="3" s="1"/>
  <c r="AH1049" i="3"/>
  <c r="AL1050" i="3"/>
  <c r="AJ1050" i="3"/>
  <c r="AH753" i="3"/>
  <c r="AH768" i="3"/>
  <c r="H773" i="3"/>
  <c r="H777" i="3"/>
  <c r="H781" i="3"/>
  <c r="H784" i="3"/>
  <c r="AH786" i="3"/>
  <c r="H806" i="3"/>
  <c r="H818" i="3"/>
  <c r="H825" i="3"/>
  <c r="AH830" i="3"/>
  <c r="H833" i="3"/>
  <c r="AH839" i="3"/>
  <c r="H848" i="3"/>
  <c r="H874" i="3"/>
  <c r="H882" i="3"/>
  <c r="H890" i="3"/>
  <c r="H898" i="3"/>
  <c r="AL973" i="3"/>
  <c r="AJ973" i="3"/>
  <c r="AL983" i="3"/>
  <c r="AJ983" i="3"/>
  <c r="AL1012" i="3"/>
  <c r="AJ1012" i="3"/>
  <c r="C1057" i="3"/>
  <c r="D1057" i="3" s="1"/>
  <c r="H1057" i="3"/>
  <c r="E1057" i="3"/>
  <c r="F1057" i="3" s="1"/>
  <c r="AH1057" i="3"/>
  <c r="AH805" i="3"/>
  <c r="AH809" i="3"/>
  <c r="E948" i="3"/>
  <c r="F948" i="3" s="1"/>
  <c r="C948" i="3"/>
  <c r="D948" i="3" s="1"/>
  <c r="AH948" i="3"/>
  <c r="H948" i="3"/>
  <c r="AJ1115" i="3"/>
  <c r="AL1115" i="3"/>
  <c r="AH790" i="3"/>
  <c r="AH794" i="3"/>
  <c r="AH798" i="3"/>
  <c r="H924" i="3"/>
  <c r="C924" i="3"/>
  <c r="D924" i="3" s="1"/>
  <c r="H927" i="3"/>
  <c r="C927" i="3"/>
  <c r="D927" i="3" s="1"/>
  <c r="AL963" i="3"/>
  <c r="AJ963" i="3"/>
  <c r="AJ1112" i="3"/>
  <c r="AL1112" i="3"/>
  <c r="E911" i="3"/>
  <c r="F911" i="3" s="1"/>
  <c r="C911" i="3"/>
  <c r="D911" i="3" s="1"/>
  <c r="AL931" i="3"/>
  <c r="AJ931" i="3"/>
  <c r="C809" i="3"/>
  <c r="D809" i="3" s="1"/>
  <c r="AH818" i="3"/>
  <c r="AH825" i="3"/>
  <c r="AJ840" i="3"/>
  <c r="AH848" i="3"/>
  <c r="C1038" i="3"/>
  <c r="D1038" i="3" s="1"/>
  <c r="E1038" i="3"/>
  <c r="F1038" i="3" s="1"/>
  <c r="AH1038" i="3"/>
  <c r="H1038" i="3"/>
  <c r="AH810" i="3"/>
  <c r="AH833" i="3"/>
  <c r="E868" i="3"/>
  <c r="F868" i="3" s="1"/>
  <c r="E869" i="3"/>
  <c r="F869" i="3" s="1"/>
  <c r="E873" i="3"/>
  <c r="F873" i="3" s="1"/>
  <c r="C873" i="3"/>
  <c r="D873" i="3" s="1"/>
  <c r="E881" i="3"/>
  <c r="F881" i="3" s="1"/>
  <c r="C881" i="3"/>
  <c r="D881" i="3" s="1"/>
  <c r="E889" i="3"/>
  <c r="F889" i="3" s="1"/>
  <c r="C889" i="3"/>
  <c r="D889" i="3" s="1"/>
  <c r="E897" i="3"/>
  <c r="F897" i="3" s="1"/>
  <c r="C897" i="3"/>
  <c r="D897" i="3" s="1"/>
  <c r="AL953" i="3"/>
  <c r="AJ953" i="3"/>
  <c r="H829" i="3"/>
  <c r="AJ881" i="3"/>
  <c r="AJ897" i="3"/>
  <c r="C904" i="3"/>
  <c r="D904" i="3" s="1"/>
  <c r="H904" i="3"/>
  <c r="E904" i="3"/>
  <c r="F904" i="3" s="1"/>
  <c r="E907" i="3"/>
  <c r="F907" i="3" s="1"/>
  <c r="C907" i="3"/>
  <c r="D907" i="3" s="1"/>
  <c r="E908" i="3"/>
  <c r="F908" i="3" s="1"/>
  <c r="E912" i="3"/>
  <c r="F912" i="3" s="1"/>
  <c r="E919" i="3"/>
  <c r="F919" i="3" s="1"/>
  <c r="E923" i="3"/>
  <c r="F923" i="3" s="1"/>
  <c r="E926" i="3"/>
  <c r="F926" i="3" s="1"/>
  <c r="E929" i="3"/>
  <c r="F929" i="3" s="1"/>
  <c r="E933" i="3"/>
  <c r="F933" i="3" s="1"/>
  <c r="E937" i="3"/>
  <c r="F937" i="3" s="1"/>
  <c r="E941" i="3"/>
  <c r="F941" i="3" s="1"/>
  <c r="E942" i="3"/>
  <c r="F942" i="3" s="1"/>
  <c r="C943" i="3"/>
  <c r="D943" i="3" s="1"/>
  <c r="AH946" i="3"/>
  <c r="E949" i="3"/>
  <c r="F949" i="3" s="1"/>
  <c r="E950" i="3"/>
  <c r="F950" i="3" s="1"/>
  <c r="C956" i="3"/>
  <c r="D956" i="3" s="1"/>
  <c r="C957" i="3"/>
  <c r="D957" i="3" s="1"/>
  <c r="C968" i="3"/>
  <c r="D968" i="3" s="1"/>
  <c r="H975" i="3"/>
  <c r="H976" i="3"/>
  <c r="C978" i="3"/>
  <c r="D978" i="3" s="1"/>
  <c r="H983" i="3"/>
  <c r="H984" i="3"/>
  <c r="H987" i="3"/>
  <c r="E988" i="3"/>
  <c r="F988" i="3" s="1"/>
  <c r="C989" i="3"/>
  <c r="D989" i="3" s="1"/>
  <c r="C990" i="3"/>
  <c r="D990" i="3" s="1"/>
  <c r="E991" i="3"/>
  <c r="F991" i="3" s="1"/>
  <c r="C997" i="3"/>
  <c r="D997" i="3" s="1"/>
  <c r="C1006" i="3"/>
  <c r="D1006" i="3" s="1"/>
  <c r="H1020" i="3"/>
  <c r="E1020" i="3"/>
  <c r="F1020" i="3" s="1"/>
  <c r="C1045" i="3"/>
  <c r="D1045" i="3" s="1"/>
  <c r="AH1045" i="3"/>
  <c r="E1045" i="3"/>
  <c r="F1045" i="3" s="1"/>
  <c r="E1046" i="3"/>
  <c r="F1046" i="3" s="1"/>
  <c r="H1056" i="3"/>
  <c r="E1056" i="3"/>
  <c r="F1056" i="3" s="1"/>
  <c r="C1056" i="3"/>
  <c r="D1056" i="3" s="1"/>
  <c r="AH1056" i="3"/>
  <c r="AL1120" i="3"/>
  <c r="AJ1120" i="3"/>
  <c r="H1004" i="3"/>
  <c r="E1004" i="3"/>
  <c r="F1004" i="3" s="1"/>
  <c r="H1035" i="3"/>
  <c r="E1035" i="3"/>
  <c r="F1035" i="3" s="1"/>
  <c r="H1043" i="3"/>
  <c r="E1043" i="3"/>
  <c r="F1043" i="3" s="1"/>
  <c r="AJ1091" i="3"/>
  <c r="AL1091" i="3"/>
  <c r="AH854" i="3"/>
  <c r="AH864" i="3"/>
  <c r="AH871" i="3"/>
  <c r="AH875" i="3"/>
  <c r="AH879" i="3"/>
  <c r="AH883" i="3"/>
  <c r="AH887" i="3"/>
  <c r="AH891" i="3"/>
  <c r="AH895" i="3"/>
  <c r="AH899" i="3"/>
  <c r="H908" i="3"/>
  <c r="H912" i="3"/>
  <c r="H919" i="3"/>
  <c r="H923" i="3"/>
  <c r="H926" i="3"/>
  <c r="H929" i="3"/>
  <c r="H933" i="3"/>
  <c r="H937" i="3"/>
  <c r="H942" i="3"/>
  <c r="E943" i="3"/>
  <c r="F943" i="3" s="1"/>
  <c r="AH947" i="3"/>
  <c r="H950" i="3"/>
  <c r="E957" i="3"/>
  <c r="F957" i="3" s="1"/>
  <c r="E968" i="3"/>
  <c r="F968" i="3" s="1"/>
  <c r="AJ971" i="3"/>
  <c r="H982" i="3"/>
  <c r="H988" i="3"/>
  <c r="E989" i="3"/>
  <c r="F989" i="3" s="1"/>
  <c r="H991" i="3"/>
  <c r="E997" i="3"/>
  <c r="F997" i="3" s="1"/>
  <c r="H1006" i="3"/>
  <c r="C1014" i="3"/>
  <c r="D1014" i="3" s="1"/>
  <c r="E1022" i="3"/>
  <c r="F1022" i="3" s="1"/>
  <c r="H1022" i="3"/>
  <c r="C1033" i="3"/>
  <c r="D1033" i="3" s="1"/>
  <c r="AJ1138" i="3"/>
  <c r="AL1138" i="3"/>
  <c r="AH918" i="3"/>
  <c r="AH922" i="3"/>
  <c r="AH925" i="3"/>
  <c r="AH928" i="3"/>
  <c r="AH932" i="3"/>
  <c r="AH936" i="3"/>
  <c r="AH940" i="3"/>
  <c r="AH960" i="3"/>
  <c r="AH966" i="3"/>
  <c r="AJ1003" i="3"/>
  <c r="E1014" i="3"/>
  <c r="F1014" i="3" s="1"/>
  <c r="H1018" i="3"/>
  <c r="H1025" i="3"/>
  <c r="AH1025" i="3"/>
  <c r="C1025" i="3"/>
  <c r="D1025" i="3" s="1"/>
  <c r="E1028" i="3"/>
  <c r="F1028" i="3" s="1"/>
  <c r="C1028" i="3"/>
  <c r="D1028" i="3" s="1"/>
  <c r="AH1028" i="3"/>
  <c r="H1028" i="3"/>
  <c r="C1037" i="3"/>
  <c r="D1037" i="3" s="1"/>
  <c r="E1037" i="3"/>
  <c r="F1037" i="3" s="1"/>
  <c r="E1050" i="3"/>
  <c r="F1050" i="3" s="1"/>
  <c r="C1050" i="3"/>
  <c r="D1050" i="3" s="1"/>
  <c r="C983" i="3"/>
  <c r="D983" i="3" s="1"/>
  <c r="E983" i="3"/>
  <c r="F983" i="3" s="1"/>
  <c r="AH984" i="3"/>
  <c r="H1008" i="3"/>
  <c r="AH1008" i="3"/>
  <c r="AJ1037" i="3"/>
  <c r="AJ1046" i="3"/>
  <c r="AJ974" i="3"/>
  <c r="AH976" i="3"/>
  <c r="C979" i="3"/>
  <c r="D979" i="3" s="1"/>
  <c r="E979" i="3"/>
  <c r="F979" i="3" s="1"/>
  <c r="AH980" i="3"/>
  <c r="E986" i="3"/>
  <c r="F986" i="3" s="1"/>
  <c r="H986" i="3"/>
  <c r="AH987" i="3"/>
  <c r="AH995" i="3"/>
  <c r="C998" i="3"/>
  <c r="D998" i="3" s="1"/>
  <c r="E998" i="3"/>
  <c r="F998" i="3" s="1"/>
  <c r="E1001" i="3"/>
  <c r="F1001" i="3" s="1"/>
  <c r="C1001" i="3"/>
  <c r="D1001" i="3" s="1"/>
  <c r="H1001" i="3"/>
  <c r="H1012" i="3"/>
  <c r="C1012" i="3"/>
  <c r="D1012" i="3" s="1"/>
  <c r="E1012" i="3"/>
  <c r="F1012" i="3" s="1"/>
  <c r="AH1015" i="3"/>
  <c r="E1015" i="3"/>
  <c r="F1015" i="3" s="1"/>
  <c r="H1033" i="3"/>
  <c r="AL1054" i="3"/>
  <c r="AJ1054" i="3"/>
  <c r="AJ1064" i="3"/>
  <c r="AL1094" i="3"/>
  <c r="AJ1094" i="3"/>
  <c r="AH908" i="3"/>
  <c r="AH912" i="3"/>
  <c r="C918" i="3"/>
  <c r="D918" i="3" s="1"/>
  <c r="AH919" i="3"/>
  <c r="C925" i="3"/>
  <c r="D925" i="3" s="1"/>
  <c r="C928" i="3"/>
  <c r="D928" i="3" s="1"/>
  <c r="AH929" i="3"/>
  <c r="AH933" i="3"/>
  <c r="AH937" i="3"/>
  <c r="AH942" i="3"/>
  <c r="AH950" i="3"/>
  <c r="AJ975" i="3"/>
  <c r="AH988" i="3"/>
  <c r="AH991" i="3"/>
  <c r="C994" i="3"/>
  <c r="D994" i="3" s="1"/>
  <c r="E994" i="3"/>
  <c r="F994" i="3" s="1"/>
  <c r="AJ1007" i="3"/>
  <c r="AH1018" i="3"/>
  <c r="C1030" i="3"/>
  <c r="D1030" i="3" s="1"/>
  <c r="E1030" i="3"/>
  <c r="F1030" i="3" s="1"/>
  <c r="AJ1030" i="3"/>
  <c r="E1044" i="3"/>
  <c r="F1044" i="3" s="1"/>
  <c r="C1044" i="3"/>
  <c r="D1044" i="3" s="1"/>
  <c r="AH1044" i="3"/>
  <c r="H1044" i="3"/>
  <c r="AJ1061" i="3"/>
  <c r="AL1061" i="3"/>
  <c r="E1071" i="3"/>
  <c r="F1071" i="3" s="1"/>
  <c r="AH1071" i="3"/>
  <c r="H1071" i="3"/>
  <c r="C1071" i="3"/>
  <c r="D1071" i="3" s="1"/>
  <c r="C922" i="3"/>
  <c r="D922" i="3" s="1"/>
  <c r="AH923" i="3"/>
  <c r="AH926" i="3"/>
  <c r="C932" i="3"/>
  <c r="D932" i="3" s="1"/>
  <c r="C936" i="3"/>
  <c r="D936" i="3" s="1"/>
  <c r="C940" i="3"/>
  <c r="D940" i="3" s="1"/>
  <c r="C960" i="3"/>
  <c r="D960" i="3" s="1"/>
  <c r="AH962" i="3"/>
  <c r="AJ978" i="3"/>
  <c r="AJ979" i="3"/>
  <c r="AJ994" i="3"/>
  <c r="AJ999" i="3"/>
  <c r="AJ1000" i="3"/>
  <c r="C1004" i="3"/>
  <c r="D1004" i="3" s="1"/>
  <c r="C1035" i="3"/>
  <c r="D1035" i="3" s="1"/>
  <c r="AH1063" i="3"/>
  <c r="H1063" i="3"/>
  <c r="E1063" i="3"/>
  <c r="F1063" i="3" s="1"/>
  <c r="C1063" i="3"/>
  <c r="D1063" i="3" s="1"/>
  <c r="AJ1069" i="3"/>
  <c r="AL1069" i="3"/>
  <c r="AJ1095" i="3"/>
  <c r="AL1095" i="3"/>
  <c r="AJ1108" i="3"/>
  <c r="AL1108" i="3"/>
  <c r="E918" i="3"/>
  <c r="F918" i="3" s="1"/>
  <c r="E925" i="3"/>
  <c r="F925" i="3" s="1"/>
  <c r="E928" i="3"/>
  <c r="F928" i="3" s="1"/>
  <c r="C966" i="3"/>
  <c r="D966" i="3" s="1"/>
  <c r="C984" i="3"/>
  <c r="D984" i="3" s="1"/>
  <c r="C1013" i="3"/>
  <c r="D1013" i="3" s="1"/>
  <c r="AJ1014" i="3"/>
  <c r="H1027" i="3"/>
  <c r="E1027" i="3"/>
  <c r="F1027" i="3" s="1"/>
  <c r="E1036" i="3"/>
  <c r="F1036" i="3" s="1"/>
  <c r="C1036" i="3"/>
  <c r="D1036" i="3" s="1"/>
  <c r="AH1036" i="3"/>
  <c r="H1036" i="3"/>
  <c r="C1043" i="3"/>
  <c r="D1043" i="3" s="1"/>
  <c r="AJ1072" i="3"/>
  <c r="AL1072" i="3"/>
  <c r="AJ1098" i="3"/>
  <c r="AL1098" i="3"/>
  <c r="C1112" i="3"/>
  <c r="D1112" i="3" s="1"/>
  <c r="H1112" i="3"/>
  <c r="E1112" i="3"/>
  <c r="F1112" i="3" s="1"/>
  <c r="AL1263" i="3"/>
  <c r="AJ1263" i="3"/>
  <c r="C976" i="3"/>
  <c r="D976" i="3" s="1"/>
  <c r="C987" i="3"/>
  <c r="D987" i="3" s="1"/>
  <c r="C1008" i="3"/>
  <c r="D1008" i="3" s="1"/>
  <c r="AH1043" i="3"/>
  <c r="AJ1052" i="3"/>
  <c r="AL1052" i="3"/>
  <c r="AJ1055" i="3"/>
  <c r="AL1082" i="3"/>
  <c r="AJ1082" i="3"/>
  <c r="E1111" i="3"/>
  <c r="F1111" i="3" s="1"/>
  <c r="H1111" i="3"/>
  <c r="AH1111" i="3"/>
  <c r="C1111" i="3"/>
  <c r="D1111" i="3" s="1"/>
  <c r="H1115" i="3"/>
  <c r="E1115" i="3"/>
  <c r="F1115" i="3" s="1"/>
  <c r="C1115" i="3"/>
  <c r="D1115" i="3" s="1"/>
  <c r="AJ1145" i="3"/>
  <c r="AL1145" i="3"/>
  <c r="AH1004" i="3"/>
  <c r="E1005" i="3"/>
  <c r="F1005" i="3" s="1"/>
  <c r="C1005" i="3"/>
  <c r="D1005" i="3" s="1"/>
  <c r="H1005" i="3"/>
  <c r="AJ1005" i="3"/>
  <c r="H1013" i="3"/>
  <c r="AH1013" i="3"/>
  <c r="C1015" i="3"/>
  <c r="D1015" i="3" s="1"/>
  <c r="C1023" i="3"/>
  <c r="D1023" i="3" s="1"/>
  <c r="E1023" i="3"/>
  <c r="F1023" i="3" s="1"/>
  <c r="E1025" i="3"/>
  <c r="F1025" i="3" s="1"/>
  <c r="C1029" i="3"/>
  <c r="D1029" i="3" s="1"/>
  <c r="E1029" i="3"/>
  <c r="F1029" i="3" s="1"/>
  <c r="AL1032" i="3"/>
  <c r="AJ1032" i="3"/>
  <c r="AH1035" i="3"/>
  <c r="H1050" i="3"/>
  <c r="AL1083" i="3"/>
  <c r="AJ1083" i="3"/>
  <c r="C1002" i="3"/>
  <c r="D1002" i="3" s="1"/>
  <c r="C1007" i="3"/>
  <c r="D1007" i="3" s="1"/>
  <c r="C1024" i="3"/>
  <c r="D1024" i="3" s="1"/>
  <c r="AH1026" i="3"/>
  <c r="C1031" i="3"/>
  <c r="D1031" i="3" s="1"/>
  <c r="AH1034" i="3"/>
  <c r="C1039" i="3"/>
  <c r="D1039" i="3" s="1"/>
  <c r="AH1042" i="3"/>
  <c r="E1051" i="3"/>
  <c r="F1051" i="3" s="1"/>
  <c r="C1052" i="3"/>
  <c r="D1052" i="3" s="1"/>
  <c r="H1058" i="3"/>
  <c r="E1059" i="3"/>
  <c r="F1059" i="3" s="1"/>
  <c r="C1060" i="3"/>
  <c r="D1060" i="3" s="1"/>
  <c r="C1061" i="3"/>
  <c r="D1061" i="3" s="1"/>
  <c r="AJ1070" i="3"/>
  <c r="H1074" i="3"/>
  <c r="H1075" i="3"/>
  <c r="C1078" i="3"/>
  <c r="D1078" i="3" s="1"/>
  <c r="H1083" i="3"/>
  <c r="H1084" i="3"/>
  <c r="E1086" i="3"/>
  <c r="F1086" i="3" s="1"/>
  <c r="H1089" i="3"/>
  <c r="H1096" i="3"/>
  <c r="E1099" i="3"/>
  <c r="F1099" i="3" s="1"/>
  <c r="C1105" i="3"/>
  <c r="D1105" i="3" s="1"/>
  <c r="AJ1110" i="3"/>
  <c r="E1114" i="3"/>
  <c r="F1114" i="3" s="1"/>
  <c r="H1114" i="3"/>
  <c r="E1118" i="3"/>
  <c r="F1118" i="3" s="1"/>
  <c r="H1118" i="3"/>
  <c r="H1127" i="3"/>
  <c r="C1142" i="3"/>
  <c r="D1142" i="3" s="1"/>
  <c r="H1142" i="3"/>
  <c r="E1142" i="3"/>
  <c r="F1142" i="3" s="1"/>
  <c r="AJ1163" i="3"/>
  <c r="AL1163" i="3"/>
  <c r="AJ1168" i="3"/>
  <c r="AL1168" i="3"/>
  <c r="AJ1192" i="3"/>
  <c r="AL1192" i="3"/>
  <c r="AL1220" i="3"/>
  <c r="AJ1220" i="3"/>
  <c r="AH1250" i="3"/>
  <c r="H1250" i="3"/>
  <c r="E1250" i="3"/>
  <c r="F1250" i="3" s="1"/>
  <c r="C1250" i="3"/>
  <c r="D1250" i="3" s="1"/>
  <c r="E1287" i="3"/>
  <c r="F1287" i="3" s="1"/>
  <c r="H1287" i="3"/>
  <c r="C1287" i="3"/>
  <c r="D1287" i="3" s="1"/>
  <c r="AH1287" i="3"/>
  <c r="AH1065" i="3"/>
  <c r="H1093" i="3"/>
  <c r="E1097" i="3"/>
  <c r="F1097" i="3" s="1"/>
  <c r="H1098" i="3"/>
  <c r="AL1103" i="3"/>
  <c r="H1202" i="3"/>
  <c r="C1202" i="3"/>
  <c r="D1202" i="3" s="1"/>
  <c r="AH1202" i="3"/>
  <c r="E1202" i="3"/>
  <c r="F1202" i="3" s="1"/>
  <c r="AJ1212" i="3"/>
  <c r="AJ1266" i="3"/>
  <c r="AL1266" i="3"/>
  <c r="H1099" i="3"/>
  <c r="C1178" i="3"/>
  <c r="D1178" i="3" s="1"/>
  <c r="H1178" i="3"/>
  <c r="E1178" i="3"/>
  <c r="F1178" i="3" s="1"/>
  <c r="H1203" i="3"/>
  <c r="AH1203" i="3"/>
  <c r="E1203" i="3"/>
  <c r="F1203" i="3" s="1"/>
  <c r="C1203" i="3"/>
  <c r="D1203" i="3" s="1"/>
  <c r="H1052" i="3"/>
  <c r="H1060" i="3"/>
  <c r="AH1067" i="3"/>
  <c r="H1069" i="3"/>
  <c r="AH1075" i="3"/>
  <c r="C1087" i="3"/>
  <c r="D1087" i="3" s="1"/>
  <c r="E1087" i="3"/>
  <c r="F1087" i="3" s="1"/>
  <c r="AH1089" i="3"/>
  <c r="AH1093" i="3"/>
  <c r="E1100" i="3"/>
  <c r="F1100" i="3" s="1"/>
  <c r="H1105" i="3"/>
  <c r="E1120" i="3"/>
  <c r="F1120" i="3" s="1"/>
  <c r="AH1127" i="3"/>
  <c r="AJ1128" i="3"/>
  <c r="H1136" i="3"/>
  <c r="E1136" i="3"/>
  <c r="F1136" i="3" s="1"/>
  <c r="C1138" i="3"/>
  <c r="D1138" i="3" s="1"/>
  <c r="H1138" i="3"/>
  <c r="E1138" i="3"/>
  <c r="F1138" i="3" s="1"/>
  <c r="AL1171" i="3"/>
  <c r="AJ1171" i="3"/>
  <c r="AL1264" i="3"/>
  <c r="AJ1264" i="3"/>
  <c r="AL1265" i="3"/>
  <c r="AJ1265" i="3"/>
  <c r="AL1273" i="3"/>
  <c r="AJ1273" i="3"/>
  <c r="AH1058" i="3"/>
  <c r="AJ1073" i="3"/>
  <c r="C1083" i="3"/>
  <c r="D1083" i="3" s="1"/>
  <c r="E1083" i="3"/>
  <c r="F1083" i="3" s="1"/>
  <c r="AH1084" i="3"/>
  <c r="E1090" i="3"/>
  <c r="F1090" i="3" s="1"/>
  <c r="H1090" i="3"/>
  <c r="E1094" i="3"/>
  <c r="F1094" i="3" s="1"/>
  <c r="H1094" i="3"/>
  <c r="AH1097" i="3"/>
  <c r="AL1131" i="3"/>
  <c r="C1145" i="3"/>
  <c r="D1145" i="3" s="1"/>
  <c r="H1145" i="3"/>
  <c r="E1145" i="3"/>
  <c r="F1145" i="3" s="1"/>
  <c r="AL1293" i="3"/>
  <c r="AJ1293" i="3"/>
  <c r="AH1051" i="3"/>
  <c r="AH1059" i="3"/>
  <c r="C1065" i="3"/>
  <c r="D1065" i="3" s="1"/>
  <c r="AH1068" i="3"/>
  <c r="AJ1074" i="3"/>
  <c r="AH1076" i="3"/>
  <c r="C1079" i="3"/>
  <c r="D1079" i="3" s="1"/>
  <c r="E1079" i="3"/>
  <c r="F1079" i="3" s="1"/>
  <c r="AH1080" i="3"/>
  <c r="AJ1086" i="3"/>
  <c r="AJ1090" i="3"/>
  <c r="AH1096" i="3"/>
  <c r="C1122" i="3"/>
  <c r="D1122" i="3" s="1"/>
  <c r="E1122" i="3"/>
  <c r="F1122" i="3" s="1"/>
  <c r="AH1133" i="3"/>
  <c r="H1133" i="3"/>
  <c r="AL1275" i="3"/>
  <c r="AJ1275" i="3"/>
  <c r="AH1060" i="3"/>
  <c r="C1098" i="3"/>
  <c r="D1098" i="3" s="1"/>
  <c r="E1098" i="3"/>
  <c r="F1098" i="3" s="1"/>
  <c r="AL1122" i="3"/>
  <c r="AJ1126" i="3"/>
  <c r="AH1143" i="3"/>
  <c r="E1143" i="3"/>
  <c r="F1143" i="3" s="1"/>
  <c r="C1143" i="3"/>
  <c r="D1143" i="3" s="1"/>
  <c r="C1231" i="3"/>
  <c r="D1231" i="3" s="1"/>
  <c r="E1231" i="3"/>
  <c r="F1231" i="3" s="1"/>
  <c r="AH1231" i="3"/>
  <c r="H1231" i="3"/>
  <c r="AL1272" i="3"/>
  <c r="AJ1272" i="3"/>
  <c r="AJ1274" i="3"/>
  <c r="AL1274" i="3"/>
  <c r="AL1280" i="3"/>
  <c r="AJ1280" i="3"/>
  <c r="AJ1319" i="3"/>
  <c r="AL1319" i="3"/>
  <c r="E1065" i="3"/>
  <c r="F1065" i="3" s="1"/>
  <c r="AJ1078" i="3"/>
  <c r="AJ1079" i="3"/>
  <c r="AH1099" i="3"/>
  <c r="C1123" i="3"/>
  <c r="D1123" i="3" s="1"/>
  <c r="E1129" i="3"/>
  <c r="F1129" i="3" s="1"/>
  <c r="AJ1135" i="3"/>
  <c r="AJ1157" i="3"/>
  <c r="AL1157" i="3"/>
  <c r="AH1159" i="3"/>
  <c r="H1159" i="3"/>
  <c r="E1159" i="3"/>
  <c r="F1159" i="3" s="1"/>
  <c r="C1159" i="3"/>
  <c r="D1159" i="3" s="1"/>
  <c r="C1189" i="3"/>
  <c r="D1189" i="3" s="1"/>
  <c r="AH1189" i="3"/>
  <c r="H1189" i="3"/>
  <c r="E1189" i="3"/>
  <c r="F1189" i="3" s="1"/>
  <c r="AH1218" i="3"/>
  <c r="H1218" i="3"/>
  <c r="E1218" i="3"/>
  <c r="F1218" i="3" s="1"/>
  <c r="C1218" i="3"/>
  <c r="D1218" i="3" s="1"/>
  <c r="AJ1219" i="3"/>
  <c r="AL1219" i="3"/>
  <c r="AL1228" i="3"/>
  <c r="AJ1228" i="3"/>
  <c r="C1021" i="3"/>
  <c r="D1021" i="3" s="1"/>
  <c r="AH1053" i="3"/>
  <c r="C1058" i="3"/>
  <c r="D1058" i="3" s="1"/>
  <c r="C1084" i="3"/>
  <c r="D1084" i="3" s="1"/>
  <c r="C1089" i="3"/>
  <c r="D1089" i="3" s="1"/>
  <c r="C1096" i="3"/>
  <c r="D1096" i="3" s="1"/>
  <c r="C1101" i="3"/>
  <c r="D1101" i="3" s="1"/>
  <c r="E1101" i="3"/>
  <c r="F1101" i="3" s="1"/>
  <c r="E1104" i="3"/>
  <c r="F1104" i="3" s="1"/>
  <c r="H1104" i="3"/>
  <c r="E1123" i="3"/>
  <c r="F1123" i="3" s="1"/>
  <c r="H1129" i="3"/>
  <c r="AL1137" i="3"/>
  <c r="AJ1137" i="3"/>
  <c r="AH1178" i="3"/>
  <c r="C1227" i="3"/>
  <c r="D1227" i="3" s="1"/>
  <c r="H1227" i="3"/>
  <c r="AH1227" i="3"/>
  <c r="E1227" i="3"/>
  <c r="F1227" i="3" s="1"/>
  <c r="C1075" i="3"/>
  <c r="D1075" i="3" s="1"/>
  <c r="E1108" i="3"/>
  <c r="F1108" i="3" s="1"/>
  <c r="H1108" i="3"/>
  <c r="AH1109" i="3"/>
  <c r="AJ1177" i="3"/>
  <c r="AL1279" i="3"/>
  <c r="AJ1279" i="3"/>
  <c r="AL1281" i="3"/>
  <c r="AJ1281" i="3"/>
  <c r="E1021" i="3"/>
  <c r="F1021" i="3" s="1"/>
  <c r="C1068" i="3"/>
  <c r="D1068" i="3" s="1"/>
  <c r="C1090" i="3"/>
  <c r="D1090" i="3" s="1"/>
  <c r="C1094" i="3"/>
  <c r="D1094" i="3" s="1"/>
  <c r="AH1114" i="3"/>
  <c r="AH1118" i="3"/>
  <c r="C1125" i="3"/>
  <c r="D1125" i="3" s="1"/>
  <c r="E1125" i="3"/>
  <c r="F1125" i="3" s="1"/>
  <c r="E1127" i="3"/>
  <c r="F1127" i="3" s="1"/>
  <c r="AH1129" i="3"/>
  <c r="AJ1167" i="3"/>
  <c r="AL1167" i="3"/>
  <c r="AL1267" i="3"/>
  <c r="AJ1267" i="3"/>
  <c r="H1140" i="3"/>
  <c r="H1141" i="3"/>
  <c r="H1147" i="3"/>
  <c r="H1148" i="3"/>
  <c r="C1150" i="3"/>
  <c r="D1150" i="3" s="1"/>
  <c r="AJ1151" i="3"/>
  <c r="H1154" i="3"/>
  <c r="E1155" i="3"/>
  <c r="F1155" i="3" s="1"/>
  <c r="E1156" i="3"/>
  <c r="F1156" i="3" s="1"/>
  <c r="C1157" i="3"/>
  <c r="D1157" i="3" s="1"/>
  <c r="C1163" i="3"/>
  <c r="D1163" i="3" s="1"/>
  <c r="H1174" i="3"/>
  <c r="E1175" i="3"/>
  <c r="F1175" i="3" s="1"/>
  <c r="C1176" i="3"/>
  <c r="D1176" i="3" s="1"/>
  <c r="H1182" i="3"/>
  <c r="E1183" i="3"/>
  <c r="F1183" i="3" s="1"/>
  <c r="C1196" i="3"/>
  <c r="D1196" i="3" s="1"/>
  <c r="H1196" i="3"/>
  <c r="H1199" i="3"/>
  <c r="H1200" i="3"/>
  <c r="E1205" i="3"/>
  <c r="F1205" i="3" s="1"/>
  <c r="H1206" i="3"/>
  <c r="AH1217" i="3"/>
  <c r="E1222" i="3"/>
  <c r="F1222" i="3" s="1"/>
  <c r="C1228" i="3"/>
  <c r="D1228" i="3" s="1"/>
  <c r="E1230" i="3"/>
  <c r="F1230" i="3" s="1"/>
  <c r="AH1245" i="3"/>
  <c r="H1245" i="3"/>
  <c r="E1245" i="3"/>
  <c r="F1245" i="3" s="1"/>
  <c r="C1245" i="3"/>
  <c r="D1245" i="3" s="1"/>
  <c r="H1246" i="3"/>
  <c r="AH1246" i="3"/>
  <c r="E1246" i="3"/>
  <c r="F1246" i="3" s="1"/>
  <c r="C1246" i="3"/>
  <c r="D1246" i="3" s="1"/>
  <c r="H1258" i="3"/>
  <c r="E1258" i="3"/>
  <c r="F1258" i="3" s="1"/>
  <c r="C1258" i="3"/>
  <c r="D1258" i="3" s="1"/>
  <c r="AJ1309" i="3"/>
  <c r="AH1160" i="3"/>
  <c r="H1168" i="3"/>
  <c r="H1195" i="3"/>
  <c r="AH1195" i="3"/>
  <c r="E1215" i="3"/>
  <c r="F1215" i="3" s="1"/>
  <c r="H1220" i="3"/>
  <c r="E1220" i="3"/>
  <c r="F1220" i="3" s="1"/>
  <c r="H1244" i="3"/>
  <c r="E1244" i="3"/>
  <c r="F1244" i="3" s="1"/>
  <c r="C1244" i="3"/>
  <c r="D1244" i="3" s="1"/>
  <c r="C1251" i="3"/>
  <c r="D1251" i="3" s="1"/>
  <c r="H1251" i="3"/>
  <c r="E1251" i="3"/>
  <c r="F1251" i="3" s="1"/>
  <c r="H1252" i="3"/>
  <c r="E1252" i="3"/>
  <c r="F1252" i="3" s="1"/>
  <c r="C1252" i="3"/>
  <c r="D1252" i="3" s="1"/>
  <c r="H1253" i="3"/>
  <c r="E1253" i="3"/>
  <c r="F1253" i="3" s="1"/>
  <c r="C1253" i="3"/>
  <c r="D1253" i="3" s="1"/>
  <c r="AL1299" i="3"/>
  <c r="AJ1299" i="3"/>
  <c r="AH1153" i="3"/>
  <c r="H1156" i="3"/>
  <c r="H1175" i="3"/>
  <c r="C1177" i="3"/>
  <c r="D1177" i="3" s="1"/>
  <c r="H1183" i="3"/>
  <c r="AL1187" i="3"/>
  <c r="AJ1201" i="3"/>
  <c r="E1219" i="3"/>
  <c r="F1219" i="3" s="1"/>
  <c r="AJ1223" i="3"/>
  <c r="H1254" i="3"/>
  <c r="AH1254" i="3"/>
  <c r="E1254" i="3"/>
  <c r="F1254" i="3" s="1"/>
  <c r="C1254" i="3"/>
  <c r="D1254" i="3" s="1"/>
  <c r="C1259" i="3"/>
  <c r="D1259" i="3" s="1"/>
  <c r="H1259" i="3"/>
  <c r="E1259" i="3"/>
  <c r="F1259" i="3" s="1"/>
  <c r="H1260" i="3"/>
  <c r="E1260" i="3"/>
  <c r="F1260" i="3" s="1"/>
  <c r="C1260" i="3"/>
  <c r="D1260" i="3" s="1"/>
  <c r="H1262" i="3"/>
  <c r="E1262" i="3"/>
  <c r="F1262" i="3" s="1"/>
  <c r="C1262" i="3"/>
  <c r="D1262" i="3" s="1"/>
  <c r="AL1351" i="3"/>
  <c r="AJ1351" i="3"/>
  <c r="H1484" i="3"/>
  <c r="E1484" i="3"/>
  <c r="F1484" i="3" s="1"/>
  <c r="C1484" i="3"/>
  <c r="D1484" i="3" s="1"/>
  <c r="AH1484" i="3"/>
  <c r="AH1121" i="3"/>
  <c r="AH1124" i="3"/>
  <c r="H1135" i="3"/>
  <c r="AH1148" i="3"/>
  <c r="AH1154" i="3"/>
  <c r="H1163" i="3"/>
  <c r="E1169" i="3"/>
  <c r="F1169" i="3" s="1"/>
  <c r="E1184" i="3"/>
  <c r="F1184" i="3" s="1"/>
  <c r="E1192" i="3"/>
  <c r="F1192" i="3" s="1"/>
  <c r="E1193" i="3"/>
  <c r="F1193" i="3" s="1"/>
  <c r="C1197" i="3"/>
  <c r="D1197" i="3" s="1"/>
  <c r="AH1206" i="3"/>
  <c r="C1211" i="3"/>
  <c r="D1211" i="3" s="1"/>
  <c r="H1211" i="3"/>
  <c r="H1215" i="3"/>
  <c r="AH1230" i="3"/>
  <c r="C1263" i="3"/>
  <c r="D1263" i="3" s="1"/>
  <c r="H1263" i="3"/>
  <c r="E1263" i="3"/>
  <c r="F1263" i="3" s="1"/>
  <c r="AL1271" i="3"/>
  <c r="AJ1271" i="3"/>
  <c r="C1275" i="3"/>
  <c r="D1275" i="3" s="1"/>
  <c r="H1275" i="3"/>
  <c r="E1275" i="3"/>
  <c r="F1275" i="3" s="1"/>
  <c r="AL1277" i="3"/>
  <c r="AJ1277" i="3"/>
  <c r="AL1278" i="3"/>
  <c r="AJ1278" i="3"/>
  <c r="H1282" i="3"/>
  <c r="E1282" i="3"/>
  <c r="F1282" i="3" s="1"/>
  <c r="C1282" i="3"/>
  <c r="D1282" i="3" s="1"/>
  <c r="AL1302" i="3"/>
  <c r="AJ1302" i="3"/>
  <c r="AL1320" i="3"/>
  <c r="AH1174" i="3"/>
  <c r="E1177" i="3"/>
  <c r="F1177" i="3" s="1"/>
  <c r="AH1182" i="3"/>
  <c r="AH1199" i="3"/>
  <c r="AJ1216" i="3"/>
  <c r="AL1222" i="3"/>
  <c r="AJ1222" i="3"/>
  <c r="AH1226" i="3"/>
  <c r="H1226" i="3"/>
  <c r="H1228" i="3"/>
  <c r="E1228" i="3"/>
  <c r="F1228" i="3" s="1"/>
  <c r="AH1237" i="3"/>
  <c r="H1237" i="3"/>
  <c r="E1237" i="3"/>
  <c r="F1237" i="3" s="1"/>
  <c r="C1237" i="3"/>
  <c r="D1237" i="3" s="1"/>
  <c r="H1274" i="3"/>
  <c r="E1274" i="3"/>
  <c r="F1274" i="3" s="1"/>
  <c r="C1274" i="3"/>
  <c r="D1274" i="3" s="1"/>
  <c r="C1312" i="3"/>
  <c r="D1312" i="3" s="1"/>
  <c r="E1312" i="3"/>
  <c r="F1312" i="3" s="1"/>
  <c r="H1312" i="3"/>
  <c r="AH1312" i="3"/>
  <c r="AL1314" i="3"/>
  <c r="AH1134" i="3"/>
  <c r="AJ1140" i="3"/>
  <c r="AJ1173" i="3"/>
  <c r="H1177" i="3"/>
  <c r="H1192" i="3"/>
  <c r="H1197" i="3"/>
  <c r="AL1200" i="3"/>
  <c r="AL1211" i="3"/>
  <c r="AH1215" i="3"/>
  <c r="C1255" i="3"/>
  <c r="D1255" i="3" s="1"/>
  <c r="AH1255" i="3"/>
  <c r="H1255" i="3"/>
  <c r="E1255" i="3"/>
  <c r="F1255" i="3" s="1"/>
  <c r="H1264" i="3"/>
  <c r="E1264" i="3"/>
  <c r="F1264" i="3" s="1"/>
  <c r="C1264" i="3"/>
  <c r="D1264" i="3" s="1"/>
  <c r="AL1270" i="3"/>
  <c r="AJ1270" i="3"/>
  <c r="H1281" i="3"/>
  <c r="E1281" i="3"/>
  <c r="F1281" i="3" s="1"/>
  <c r="C1281" i="3"/>
  <c r="D1281" i="3" s="1"/>
  <c r="AH1156" i="3"/>
  <c r="E1160" i="3"/>
  <c r="F1160" i="3" s="1"/>
  <c r="AH1175" i="3"/>
  <c r="AH1205" i="3"/>
  <c r="C1205" i="3"/>
  <c r="D1205" i="3" s="1"/>
  <c r="C1219" i="3"/>
  <c r="D1219" i="3" s="1"/>
  <c r="H1219" i="3"/>
  <c r="AJ1256" i="3"/>
  <c r="AL1257" i="3"/>
  <c r="AJ1257" i="3"/>
  <c r="C1267" i="3"/>
  <c r="D1267" i="3" s="1"/>
  <c r="H1267" i="3"/>
  <c r="E1267" i="3"/>
  <c r="F1267" i="3" s="1"/>
  <c r="H1273" i="3"/>
  <c r="E1273" i="3"/>
  <c r="F1273" i="3" s="1"/>
  <c r="C1273" i="3"/>
  <c r="D1273" i="3" s="1"/>
  <c r="H1280" i="3"/>
  <c r="E1280" i="3"/>
  <c r="F1280" i="3" s="1"/>
  <c r="C1280" i="3"/>
  <c r="D1280" i="3" s="1"/>
  <c r="AJ1285" i="3"/>
  <c r="AL1288" i="3"/>
  <c r="AJ1288" i="3"/>
  <c r="AJ1155" i="3"/>
  <c r="AH1169" i="3"/>
  <c r="AH1183" i="3"/>
  <c r="AH1184" i="3"/>
  <c r="H1194" i="3"/>
  <c r="AH1194" i="3"/>
  <c r="AH1197" i="3"/>
  <c r="AH1244" i="3"/>
  <c r="AH1251" i="3"/>
  <c r="H1256" i="3"/>
  <c r="E1256" i="3"/>
  <c r="F1256" i="3" s="1"/>
  <c r="C1256" i="3"/>
  <c r="D1256" i="3" s="1"/>
  <c r="H1265" i="3"/>
  <c r="E1265" i="3"/>
  <c r="F1265" i="3" s="1"/>
  <c r="C1265" i="3"/>
  <c r="D1265" i="3" s="1"/>
  <c r="H1266" i="3"/>
  <c r="E1266" i="3"/>
  <c r="F1266" i="3" s="1"/>
  <c r="C1266" i="3"/>
  <c r="D1266" i="3" s="1"/>
  <c r="H1272" i="3"/>
  <c r="E1272" i="3"/>
  <c r="F1272" i="3" s="1"/>
  <c r="C1272" i="3"/>
  <c r="D1272" i="3" s="1"/>
  <c r="C1279" i="3"/>
  <c r="D1279" i="3" s="1"/>
  <c r="H1279" i="3"/>
  <c r="E1279" i="3"/>
  <c r="F1279" i="3" s="1"/>
  <c r="E1153" i="3"/>
  <c r="F1153" i="3" s="1"/>
  <c r="C1154" i="3"/>
  <c r="D1154" i="3" s="1"/>
  <c r="H1160" i="3"/>
  <c r="E1172" i="3"/>
  <c r="F1172" i="3" s="1"/>
  <c r="C1182" i="3"/>
  <c r="D1182" i="3" s="1"/>
  <c r="AJ1204" i="3"/>
  <c r="C1217" i="3"/>
  <c r="D1217" i="3" s="1"/>
  <c r="C1220" i="3"/>
  <c r="D1220" i="3" s="1"/>
  <c r="AJ1225" i="3"/>
  <c r="AL1253" i="3"/>
  <c r="AJ1253" i="3"/>
  <c r="AJ1258" i="3"/>
  <c r="AL1258" i="3"/>
  <c r="AJ1289" i="3"/>
  <c r="AL1289" i="3"/>
  <c r="H1303" i="3"/>
  <c r="AH1303" i="3"/>
  <c r="E1303" i="3"/>
  <c r="F1303" i="3" s="1"/>
  <c r="C1303" i="3"/>
  <c r="D1303" i="3" s="1"/>
  <c r="AL1428" i="3"/>
  <c r="AJ1428" i="3"/>
  <c r="C1199" i="3"/>
  <c r="D1199" i="3" s="1"/>
  <c r="E1207" i="3"/>
  <c r="F1207" i="3" s="1"/>
  <c r="AH1221" i="3"/>
  <c r="E1221" i="3"/>
  <c r="F1221" i="3" s="1"/>
  <c r="C1221" i="3"/>
  <c r="D1221" i="3" s="1"/>
  <c r="E1223" i="3"/>
  <c r="F1223" i="3" s="1"/>
  <c r="AH1249" i="3"/>
  <c r="H1249" i="3"/>
  <c r="E1249" i="3"/>
  <c r="F1249" i="3" s="1"/>
  <c r="C1249" i="3"/>
  <c r="D1249" i="3" s="1"/>
  <c r="AH1252" i="3"/>
  <c r="AH1262" i="3"/>
  <c r="C1271" i="3"/>
  <c r="D1271" i="3" s="1"/>
  <c r="H1271" i="3"/>
  <c r="E1271" i="3"/>
  <c r="F1271" i="3" s="1"/>
  <c r="AL1325" i="3"/>
  <c r="AJ1325" i="3"/>
  <c r="AL1383" i="3"/>
  <c r="AJ1383" i="3"/>
  <c r="E1174" i="3"/>
  <c r="F1174" i="3" s="1"/>
  <c r="AH1213" i="3"/>
  <c r="C1213" i="3"/>
  <c r="D1213" i="3" s="1"/>
  <c r="AH1229" i="3"/>
  <c r="E1229" i="3"/>
  <c r="F1229" i="3" s="1"/>
  <c r="C1229" i="3"/>
  <c r="D1229" i="3" s="1"/>
  <c r="H1257" i="3"/>
  <c r="E1257" i="3"/>
  <c r="F1257" i="3" s="1"/>
  <c r="C1257" i="3"/>
  <c r="D1257" i="3" s="1"/>
  <c r="AH1259" i="3"/>
  <c r="AH1260" i="3"/>
  <c r="AH1282" i="3"/>
  <c r="C1288" i="3"/>
  <c r="D1288" i="3" s="1"/>
  <c r="H1288" i="3"/>
  <c r="E1288" i="3"/>
  <c r="F1288" i="3" s="1"/>
  <c r="E1329" i="3"/>
  <c r="F1329" i="3" s="1"/>
  <c r="AH1329" i="3"/>
  <c r="H1329" i="3"/>
  <c r="C1329" i="3"/>
  <c r="D1329" i="3" s="1"/>
  <c r="H1234" i="3"/>
  <c r="C1240" i="3"/>
  <c r="D1240" i="3" s="1"/>
  <c r="AL1242" i="3"/>
  <c r="AH1268" i="3"/>
  <c r="AH1276" i="3"/>
  <c r="E1286" i="3"/>
  <c r="F1286" i="3" s="1"/>
  <c r="H1286" i="3"/>
  <c r="AH1290" i="3"/>
  <c r="C1305" i="3"/>
  <c r="D1305" i="3" s="1"/>
  <c r="C1306" i="3"/>
  <c r="D1306" i="3" s="1"/>
  <c r="H1308" i="3"/>
  <c r="H1309" i="3"/>
  <c r="E1309" i="3"/>
  <c r="F1309" i="3" s="1"/>
  <c r="E1325" i="3"/>
  <c r="F1325" i="3" s="1"/>
  <c r="H1359" i="3"/>
  <c r="C1359" i="3"/>
  <c r="D1359" i="3" s="1"/>
  <c r="AH1359" i="3"/>
  <c r="E1359" i="3"/>
  <c r="F1359" i="3" s="1"/>
  <c r="AJ1373" i="3"/>
  <c r="AL1373" i="3"/>
  <c r="H1235" i="3"/>
  <c r="E1236" i="3"/>
  <c r="F1236" i="3" s="1"/>
  <c r="E1240" i="3"/>
  <c r="F1240" i="3" s="1"/>
  <c r="AH1292" i="3"/>
  <c r="AH1295" i="3"/>
  <c r="H1299" i="3"/>
  <c r="AH1301" i="3"/>
  <c r="E1306" i="3"/>
  <c r="F1306" i="3" s="1"/>
  <c r="E1315" i="3"/>
  <c r="F1315" i="3" s="1"/>
  <c r="AH1316" i="3"/>
  <c r="AH1322" i="3"/>
  <c r="E1239" i="3"/>
  <c r="F1239" i="3" s="1"/>
  <c r="H1293" i="3"/>
  <c r="E1293" i="3"/>
  <c r="F1293" i="3" s="1"/>
  <c r="AH1296" i="3"/>
  <c r="H1315" i="3"/>
  <c r="H1319" i="3"/>
  <c r="C1319" i="3"/>
  <c r="D1319" i="3" s="1"/>
  <c r="AL1334" i="3"/>
  <c r="AJ1334" i="3"/>
  <c r="H1236" i="3"/>
  <c r="H1239" i="3"/>
  <c r="H1240" i="3"/>
  <c r="AH1298" i="3"/>
  <c r="C1311" i="3"/>
  <c r="D1311" i="3" s="1"/>
  <c r="AH1311" i="3"/>
  <c r="C1341" i="3"/>
  <c r="D1341" i="3" s="1"/>
  <c r="H1341" i="3"/>
  <c r="AH1341" i="3"/>
  <c r="E1341" i="3"/>
  <c r="F1341" i="3" s="1"/>
  <c r="AL1362" i="3"/>
  <c r="AJ1362" i="3"/>
  <c r="H1519" i="3"/>
  <c r="E1519" i="3"/>
  <c r="F1519" i="3" s="1"/>
  <c r="AH1519" i="3"/>
  <c r="C1519" i="3"/>
  <c r="D1519" i="3" s="1"/>
  <c r="AJ1300" i="3"/>
  <c r="H1332" i="3"/>
  <c r="C1332" i="3"/>
  <c r="D1332" i="3" s="1"/>
  <c r="AH1332" i="3"/>
  <c r="E1332" i="3"/>
  <c r="F1332" i="3" s="1"/>
  <c r="AL1339" i="3"/>
  <c r="AJ1339" i="3"/>
  <c r="AL1385" i="3"/>
  <c r="AJ1385" i="3"/>
  <c r="AH1235" i="3"/>
  <c r="H1325" i="3"/>
  <c r="C1325" i="3"/>
  <c r="D1325" i="3" s="1"/>
  <c r="AJ1364" i="3"/>
  <c r="AL1364" i="3"/>
  <c r="AH1239" i="3"/>
  <c r="AJ1321" i="3"/>
  <c r="C1347" i="3"/>
  <c r="D1347" i="3" s="1"/>
  <c r="AH1347" i="3"/>
  <c r="E1347" i="3"/>
  <c r="F1347" i="3" s="1"/>
  <c r="H1347" i="3"/>
  <c r="C1318" i="3"/>
  <c r="D1318" i="3" s="1"/>
  <c r="E1318" i="3"/>
  <c r="F1318" i="3" s="1"/>
  <c r="C1333" i="3"/>
  <c r="D1333" i="3" s="1"/>
  <c r="H1333" i="3"/>
  <c r="AH1333" i="3"/>
  <c r="AL1342" i="3"/>
  <c r="AJ1342" i="3"/>
  <c r="C1349" i="3"/>
  <c r="D1349" i="3" s="1"/>
  <c r="H1349" i="3"/>
  <c r="AH1349" i="3"/>
  <c r="E1349" i="3"/>
  <c r="F1349" i="3" s="1"/>
  <c r="AJ1407" i="3"/>
  <c r="AL1407" i="3"/>
  <c r="AH1243" i="3"/>
  <c r="E1270" i="3"/>
  <c r="F1270" i="3" s="1"/>
  <c r="E1278" i="3"/>
  <c r="F1278" i="3" s="1"/>
  <c r="E1285" i="3"/>
  <c r="F1285" i="3" s="1"/>
  <c r="C1293" i="3"/>
  <c r="D1293" i="3" s="1"/>
  <c r="C1302" i="3"/>
  <c r="D1302" i="3" s="1"/>
  <c r="C1316" i="3"/>
  <c r="D1316" i="3" s="1"/>
  <c r="C1324" i="3"/>
  <c r="D1324" i="3" s="1"/>
  <c r="E1324" i="3"/>
  <c r="F1324" i="3" s="1"/>
  <c r="AL1357" i="3"/>
  <c r="AJ1357" i="3"/>
  <c r="AH1283" i="3"/>
  <c r="H1313" i="3"/>
  <c r="C1313" i="3"/>
  <c r="D1313" i="3" s="1"/>
  <c r="C1339" i="3"/>
  <c r="D1339" i="3" s="1"/>
  <c r="E1339" i="3"/>
  <c r="F1339" i="3" s="1"/>
  <c r="E1364" i="3"/>
  <c r="F1364" i="3" s="1"/>
  <c r="H1421" i="3"/>
  <c r="E1421" i="3"/>
  <c r="F1421" i="3" s="1"/>
  <c r="C1421" i="3"/>
  <c r="D1421" i="3" s="1"/>
  <c r="AL1457" i="3"/>
  <c r="AJ1457" i="3"/>
  <c r="E1363" i="3"/>
  <c r="F1363" i="3" s="1"/>
  <c r="AH1363" i="3"/>
  <c r="H1363" i="3"/>
  <c r="C1363" i="3"/>
  <c r="D1363" i="3" s="1"/>
  <c r="AL1386" i="3"/>
  <c r="AJ1386" i="3"/>
  <c r="H1437" i="3"/>
  <c r="E1437" i="3"/>
  <c r="F1437" i="3" s="1"/>
  <c r="C1437" i="3"/>
  <c r="D1437" i="3" s="1"/>
  <c r="AH1437" i="3"/>
  <c r="H1344" i="3"/>
  <c r="AH1344" i="3"/>
  <c r="AJ1358" i="3"/>
  <c r="AL1423" i="3"/>
  <c r="AJ1423" i="3"/>
  <c r="AL1430" i="3"/>
  <c r="AJ1430" i="3"/>
  <c r="AJ1448" i="3"/>
  <c r="AL1448" i="3"/>
  <c r="C1451" i="3"/>
  <c r="D1451" i="3" s="1"/>
  <c r="H1451" i="3"/>
  <c r="E1451" i="3"/>
  <c r="F1451" i="3" s="1"/>
  <c r="AH1451" i="3"/>
  <c r="AJ1356" i="3"/>
  <c r="AL1356" i="3"/>
  <c r="AH1366" i="3"/>
  <c r="E1366" i="3"/>
  <c r="F1366" i="3" s="1"/>
  <c r="C1366" i="3"/>
  <c r="D1366" i="3" s="1"/>
  <c r="AH1382" i="3"/>
  <c r="H1382" i="3"/>
  <c r="E1382" i="3"/>
  <c r="F1382" i="3" s="1"/>
  <c r="C1382" i="3"/>
  <c r="D1382" i="3" s="1"/>
  <c r="AL1398" i="3"/>
  <c r="AJ1398" i="3"/>
  <c r="H1436" i="3"/>
  <c r="E1436" i="3"/>
  <c r="F1436" i="3" s="1"/>
  <c r="C1436" i="3"/>
  <c r="D1436" i="3" s="1"/>
  <c r="AH1436" i="3"/>
  <c r="H1364" i="3"/>
  <c r="C1364" i="3"/>
  <c r="D1364" i="3" s="1"/>
  <c r="E1383" i="3"/>
  <c r="F1383" i="3" s="1"/>
  <c r="H1383" i="3"/>
  <c r="C1383" i="3"/>
  <c r="D1383" i="3" s="1"/>
  <c r="AJ1392" i="3"/>
  <c r="AL1392" i="3"/>
  <c r="H1445" i="3"/>
  <c r="E1445" i="3"/>
  <c r="F1445" i="3" s="1"/>
  <c r="C1445" i="3"/>
  <c r="D1445" i="3" s="1"/>
  <c r="AH1445" i="3"/>
  <c r="AL1350" i="3"/>
  <c r="AJ1350" i="3"/>
  <c r="E1376" i="3"/>
  <c r="F1376" i="3" s="1"/>
  <c r="C1376" i="3"/>
  <c r="D1376" i="3" s="1"/>
  <c r="AJ1384" i="3"/>
  <c r="AL1384" i="3"/>
  <c r="H1414" i="3"/>
  <c r="E1414" i="3"/>
  <c r="F1414" i="3" s="1"/>
  <c r="C1414" i="3"/>
  <c r="D1414" i="3" s="1"/>
  <c r="AH1414" i="3"/>
  <c r="AL1483" i="3"/>
  <c r="AJ1483" i="3"/>
  <c r="AL1345" i="3"/>
  <c r="AJ1367" i="3"/>
  <c r="E1391" i="3"/>
  <c r="F1391" i="3" s="1"/>
  <c r="AH1391" i="3"/>
  <c r="H1391" i="3"/>
  <c r="AL1393" i="3"/>
  <c r="AJ1393" i="3"/>
  <c r="C1345" i="3"/>
  <c r="D1345" i="3" s="1"/>
  <c r="H1345" i="3"/>
  <c r="H1348" i="3"/>
  <c r="C1348" i="3"/>
  <c r="D1348" i="3" s="1"/>
  <c r="AL1417" i="3"/>
  <c r="AJ1417" i="3"/>
  <c r="AJ1434" i="3"/>
  <c r="AL1434" i="3"/>
  <c r="C1331" i="3"/>
  <c r="D1331" i="3" s="1"/>
  <c r="E1331" i="3"/>
  <c r="F1331" i="3" s="1"/>
  <c r="C1337" i="3"/>
  <c r="D1337" i="3" s="1"/>
  <c r="H1337" i="3"/>
  <c r="H1340" i="3"/>
  <c r="C1340" i="3"/>
  <c r="D1340" i="3" s="1"/>
  <c r="AJ1343" i="3"/>
  <c r="E1356" i="3"/>
  <c r="F1356" i="3" s="1"/>
  <c r="H1356" i="3"/>
  <c r="C1356" i="3"/>
  <c r="D1356" i="3" s="1"/>
  <c r="AJ1399" i="3"/>
  <c r="AL1399" i="3"/>
  <c r="AL1421" i="3"/>
  <c r="AJ1421" i="3"/>
  <c r="AL1521" i="3"/>
  <c r="AJ1521" i="3"/>
  <c r="H1338" i="3"/>
  <c r="H1346" i="3"/>
  <c r="AH1352" i="3"/>
  <c r="E1372" i="3"/>
  <c r="F1372" i="3" s="1"/>
  <c r="AH1387" i="3"/>
  <c r="E1390" i="3"/>
  <c r="F1390" i="3" s="1"/>
  <c r="C1392" i="3"/>
  <c r="D1392" i="3" s="1"/>
  <c r="AH1394" i="3"/>
  <c r="H1396" i="3"/>
  <c r="E1397" i="3"/>
  <c r="F1397" i="3" s="1"/>
  <c r="C1398" i="3"/>
  <c r="D1398" i="3" s="1"/>
  <c r="H1403" i="3"/>
  <c r="E1404" i="3"/>
  <c r="F1404" i="3" s="1"/>
  <c r="E1405" i="3"/>
  <c r="F1405" i="3" s="1"/>
  <c r="AH1406" i="3"/>
  <c r="H1407" i="3"/>
  <c r="C1407" i="3"/>
  <c r="D1407" i="3" s="1"/>
  <c r="AH1410" i="3"/>
  <c r="AL1411" i="3"/>
  <c r="E1416" i="3"/>
  <c r="F1416" i="3" s="1"/>
  <c r="C1420" i="3"/>
  <c r="D1420" i="3" s="1"/>
  <c r="AL1424" i="3"/>
  <c r="AL1499" i="3"/>
  <c r="AJ1499" i="3"/>
  <c r="AJ1547" i="3"/>
  <c r="AL1547" i="3"/>
  <c r="AJ1548" i="3"/>
  <c r="AL1548" i="3"/>
  <c r="AL1843" i="3"/>
  <c r="AJ1843" i="3"/>
  <c r="E1355" i="3"/>
  <c r="F1355" i="3" s="1"/>
  <c r="E1362" i="3"/>
  <c r="F1362" i="3" s="1"/>
  <c r="AH1368" i="3"/>
  <c r="AH1378" i="3"/>
  <c r="C1384" i="3"/>
  <c r="D1384" i="3" s="1"/>
  <c r="C1399" i="3"/>
  <c r="D1399" i="3" s="1"/>
  <c r="AH1401" i="3"/>
  <c r="AL1422" i="3"/>
  <c r="AJ1422" i="3"/>
  <c r="AJ1429" i="3"/>
  <c r="AL1444" i="3"/>
  <c r="AJ1444" i="3"/>
  <c r="AH1388" i="3"/>
  <c r="E1392" i="3"/>
  <c r="F1392" i="3" s="1"/>
  <c r="AH1395" i="3"/>
  <c r="E1398" i="3"/>
  <c r="F1398" i="3" s="1"/>
  <c r="AL1452" i="3"/>
  <c r="AJ1452" i="3"/>
  <c r="AL1526" i="3"/>
  <c r="AJ1526" i="3"/>
  <c r="H1532" i="3"/>
  <c r="E1532" i="3"/>
  <c r="F1532" i="3" s="1"/>
  <c r="C1532" i="3"/>
  <c r="D1532" i="3" s="1"/>
  <c r="AH1532" i="3"/>
  <c r="AL1545" i="3"/>
  <c r="AJ1545" i="3"/>
  <c r="AL1553" i="3"/>
  <c r="AJ1553" i="3"/>
  <c r="AJ1561" i="3"/>
  <c r="AL1561" i="3"/>
  <c r="AH1353" i="3"/>
  <c r="H1355" i="3"/>
  <c r="E1357" i="3"/>
  <c r="F1357" i="3" s="1"/>
  <c r="H1362" i="3"/>
  <c r="E1384" i="3"/>
  <c r="F1384" i="3" s="1"/>
  <c r="E1399" i="3"/>
  <c r="F1399" i="3" s="1"/>
  <c r="AH1405" i="3"/>
  <c r="AL1490" i="3"/>
  <c r="AJ1490" i="3"/>
  <c r="H1525" i="3"/>
  <c r="AH1525" i="3"/>
  <c r="E1525" i="3"/>
  <c r="F1525" i="3" s="1"/>
  <c r="C1525" i="3"/>
  <c r="D1525" i="3" s="1"/>
  <c r="AH1338" i="3"/>
  <c r="AH1346" i="3"/>
  <c r="AH1371" i="3"/>
  <c r="AH1380" i="3"/>
  <c r="AH1390" i="3"/>
  <c r="H1392" i="3"/>
  <c r="AH1396" i="3"/>
  <c r="AH1403" i="3"/>
  <c r="AL1418" i="3"/>
  <c r="AJ1418" i="3"/>
  <c r="E1422" i="3"/>
  <c r="F1422" i="3" s="1"/>
  <c r="C1422" i="3"/>
  <c r="D1422" i="3" s="1"/>
  <c r="AL1431" i="3"/>
  <c r="AJ1431" i="3"/>
  <c r="AL1433" i="3"/>
  <c r="AJ1433" i="3"/>
  <c r="C1444" i="3"/>
  <c r="D1444" i="3" s="1"/>
  <c r="H1444" i="3"/>
  <c r="E1444" i="3"/>
  <c r="F1444" i="3" s="1"/>
  <c r="AL1456" i="3"/>
  <c r="E1507" i="3"/>
  <c r="F1507" i="3" s="1"/>
  <c r="AH1507" i="3"/>
  <c r="H1507" i="3"/>
  <c r="C1507" i="3"/>
  <c r="D1507" i="3" s="1"/>
  <c r="AJ1512" i="3"/>
  <c r="AL1512" i="3"/>
  <c r="AJ1516" i="3"/>
  <c r="AL1516" i="3"/>
  <c r="H1357" i="3"/>
  <c r="C1368" i="3"/>
  <c r="D1368" i="3" s="1"/>
  <c r="H1384" i="3"/>
  <c r="C1394" i="3"/>
  <c r="D1394" i="3" s="1"/>
  <c r="AH1397" i="3"/>
  <c r="H1399" i="3"/>
  <c r="AH1404" i="3"/>
  <c r="H1413" i="3"/>
  <c r="E1413" i="3"/>
  <c r="F1413" i="3" s="1"/>
  <c r="AH1372" i="3"/>
  <c r="C1388" i="3"/>
  <c r="D1388" i="3" s="1"/>
  <c r="E1420" i="3"/>
  <c r="F1420" i="3" s="1"/>
  <c r="H1420" i="3"/>
  <c r="H1430" i="3"/>
  <c r="E1430" i="3"/>
  <c r="F1430" i="3" s="1"/>
  <c r="C1430" i="3"/>
  <c r="D1430" i="3" s="1"/>
  <c r="AL1454" i="3"/>
  <c r="AJ1454" i="3"/>
  <c r="AL1459" i="3"/>
  <c r="AJ1459" i="3"/>
  <c r="AL1487" i="3"/>
  <c r="AL1517" i="3"/>
  <c r="AJ1517" i="3"/>
  <c r="H1423" i="3"/>
  <c r="E1423" i="3"/>
  <c r="F1423" i="3" s="1"/>
  <c r="C1423" i="3"/>
  <c r="D1423" i="3" s="1"/>
  <c r="AL1528" i="3"/>
  <c r="AJ1528" i="3"/>
  <c r="AL1539" i="3"/>
  <c r="AJ1539" i="3"/>
  <c r="AL1541" i="3"/>
  <c r="AJ1541" i="3"/>
  <c r="H1387" i="3"/>
  <c r="E1401" i="3"/>
  <c r="F1401" i="3" s="1"/>
  <c r="C1406" i="3"/>
  <c r="D1406" i="3" s="1"/>
  <c r="H1417" i="3"/>
  <c r="E1417" i="3"/>
  <c r="F1417" i="3" s="1"/>
  <c r="C1417" i="3"/>
  <c r="D1417" i="3" s="1"/>
  <c r="AL1425" i="3"/>
  <c r="AJ1425" i="3"/>
  <c r="AJ1442" i="3"/>
  <c r="AL1468" i="3"/>
  <c r="AJ1468" i="3"/>
  <c r="H1353" i="3"/>
  <c r="C1371" i="3"/>
  <c r="D1371" i="3" s="1"/>
  <c r="H1395" i="3"/>
  <c r="C1405" i="3"/>
  <c r="D1405" i="3" s="1"/>
  <c r="E1406" i="3"/>
  <c r="F1406" i="3" s="1"/>
  <c r="C1410" i="3"/>
  <c r="D1410" i="3" s="1"/>
  <c r="AL1412" i="3"/>
  <c r="C1416" i="3"/>
  <c r="D1416" i="3" s="1"/>
  <c r="AL1441" i="3"/>
  <c r="C1459" i="3"/>
  <c r="D1459" i="3" s="1"/>
  <c r="H1459" i="3"/>
  <c r="E1459" i="3"/>
  <c r="F1459" i="3" s="1"/>
  <c r="E1511" i="3"/>
  <c r="F1511" i="3" s="1"/>
  <c r="AH1511" i="3"/>
  <c r="H1511" i="3"/>
  <c r="C1511" i="3"/>
  <c r="D1511" i="3" s="1"/>
  <c r="AL1523" i="3"/>
  <c r="E1409" i="3"/>
  <c r="F1409" i="3" s="1"/>
  <c r="H1426" i="3"/>
  <c r="C1428" i="3"/>
  <c r="D1428" i="3" s="1"/>
  <c r="C1429" i="3"/>
  <c r="D1429" i="3" s="1"/>
  <c r="C1435" i="3"/>
  <c r="D1435" i="3" s="1"/>
  <c r="H1455" i="3"/>
  <c r="E1456" i="3"/>
  <c r="F1456" i="3" s="1"/>
  <c r="C1457" i="3"/>
  <c r="D1457" i="3" s="1"/>
  <c r="E1466" i="3"/>
  <c r="F1466" i="3" s="1"/>
  <c r="C1467" i="3"/>
  <c r="D1467" i="3" s="1"/>
  <c r="E1468" i="3"/>
  <c r="F1468" i="3" s="1"/>
  <c r="E1471" i="3"/>
  <c r="F1471" i="3" s="1"/>
  <c r="C1476" i="3"/>
  <c r="D1476" i="3" s="1"/>
  <c r="AL1477" i="3"/>
  <c r="AH1480" i="3"/>
  <c r="E1488" i="3"/>
  <c r="F1488" i="3" s="1"/>
  <c r="E1489" i="3"/>
  <c r="F1489" i="3" s="1"/>
  <c r="E1490" i="3"/>
  <c r="F1490" i="3" s="1"/>
  <c r="H1493" i="3"/>
  <c r="AH1494" i="3"/>
  <c r="AH1500" i="3"/>
  <c r="AJ1501" i="3"/>
  <c r="E1526" i="3"/>
  <c r="F1526" i="3" s="1"/>
  <c r="E1528" i="3"/>
  <c r="F1528" i="3" s="1"/>
  <c r="C1528" i="3"/>
  <c r="D1528" i="3" s="1"/>
  <c r="AL1530" i="3"/>
  <c r="H1533" i="3"/>
  <c r="E1533" i="3"/>
  <c r="F1533" i="3" s="1"/>
  <c r="C1533" i="3"/>
  <c r="D1533" i="3" s="1"/>
  <c r="H1558" i="3"/>
  <c r="AH1558" i="3"/>
  <c r="E1558" i="3"/>
  <c r="F1558" i="3" s="1"/>
  <c r="C1558" i="3"/>
  <c r="D1558" i="3" s="1"/>
  <c r="E1601" i="3"/>
  <c r="F1601" i="3" s="1"/>
  <c r="C1601" i="3"/>
  <c r="D1601" i="3" s="1"/>
  <c r="H1601" i="3"/>
  <c r="AH1601" i="3"/>
  <c r="E1428" i="3"/>
  <c r="F1428" i="3" s="1"/>
  <c r="AH1432" i="3"/>
  <c r="H1434" i="3"/>
  <c r="H1441" i="3"/>
  <c r="E1442" i="3"/>
  <c r="F1442" i="3" s="1"/>
  <c r="C1443" i="3"/>
  <c r="D1443" i="3" s="1"/>
  <c r="C1450" i="3"/>
  <c r="D1450" i="3" s="1"/>
  <c r="H1469" i="3"/>
  <c r="H1470" i="3"/>
  <c r="H1471" i="3"/>
  <c r="C1474" i="3"/>
  <c r="D1474" i="3" s="1"/>
  <c r="AH1482" i="3"/>
  <c r="H1490" i="3"/>
  <c r="AH1493" i="3"/>
  <c r="C1499" i="3"/>
  <c r="D1499" i="3" s="1"/>
  <c r="AJ1506" i="3"/>
  <c r="H1508" i="3"/>
  <c r="AH1514" i="3"/>
  <c r="E1514" i="3"/>
  <c r="F1514" i="3" s="1"/>
  <c r="C1514" i="3"/>
  <c r="D1514" i="3" s="1"/>
  <c r="E1559" i="3"/>
  <c r="F1559" i="3" s="1"/>
  <c r="AH1559" i="3"/>
  <c r="H1559" i="3"/>
  <c r="C1559" i="3"/>
  <c r="D1559" i="3" s="1"/>
  <c r="H1585" i="3"/>
  <c r="E1585" i="3"/>
  <c r="F1585" i="3" s="1"/>
  <c r="AH1585" i="3"/>
  <c r="C1585" i="3"/>
  <c r="D1585" i="3" s="1"/>
  <c r="AL1752" i="3"/>
  <c r="AJ1752" i="3"/>
  <c r="E1429" i="3"/>
  <c r="F1429" i="3" s="1"/>
  <c r="E1435" i="3"/>
  <c r="F1435" i="3" s="1"/>
  <c r="E1457" i="3"/>
  <c r="F1457" i="3" s="1"/>
  <c r="AH1462" i="3"/>
  <c r="AH1463" i="3"/>
  <c r="C1475" i="3"/>
  <c r="D1475" i="3" s="1"/>
  <c r="E1476" i="3"/>
  <c r="F1476" i="3" s="1"/>
  <c r="E1502" i="3"/>
  <c r="F1502" i="3" s="1"/>
  <c r="H1516" i="3"/>
  <c r="C1516" i="3"/>
  <c r="D1516" i="3" s="1"/>
  <c r="E1535" i="3"/>
  <c r="F1535" i="3" s="1"/>
  <c r="H1535" i="3"/>
  <c r="C1535" i="3"/>
  <c r="D1535" i="3" s="1"/>
  <c r="AH1566" i="3"/>
  <c r="E1566" i="3"/>
  <c r="F1566" i="3" s="1"/>
  <c r="C1566" i="3"/>
  <c r="D1566" i="3" s="1"/>
  <c r="H1700" i="3"/>
  <c r="E1700" i="3"/>
  <c r="F1700" i="3" s="1"/>
  <c r="AH1700" i="3"/>
  <c r="C1700" i="3"/>
  <c r="D1700" i="3" s="1"/>
  <c r="H1428" i="3"/>
  <c r="AH1440" i="3"/>
  <c r="H1442" i="3"/>
  <c r="E1443" i="3"/>
  <c r="F1443" i="3" s="1"/>
  <c r="E1450" i="3"/>
  <c r="F1450" i="3" s="1"/>
  <c r="E1474" i="3"/>
  <c r="F1474" i="3" s="1"/>
  <c r="H1526" i="3"/>
  <c r="C1526" i="3"/>
  <c r="D1526" i="3" s="1"/>
  <c r="H1536" i="3"/>
  <c r="E1536" i="3"/>
  <c r="F1536" i="3" s="1"/>
  <c r="C1536" i="3"/>
  <c r="D1536" i="3" s="1"/>
  <c r="E1539" i="3"/>
  <c r="F1539" i="3" s="1"/>
  <c r="H1539" i="3"/>
  <c r="C1539" i="3"/>
  <c r="D1539" i="3" s="1"/>
  <c r="AL1540" i="3"/>
  <c r="AJ1540" i="3"/>
  <c r="E1546" i="3"/>
  <c r="F1546" i="3" s="1"/>
  <c r="C1546" i="3"/>
  <c r="D1546" i="3" s="1"/>
  <c r="H1548" i="3"/>
  <c r="E1548" i="3"/>
  <c r="F1548" i="3" s="1"/>
  <c r="C1548" i="3"/>
  <c r="D1548" i="3" s="1"/>
  <c r="H1429" i="3"/>
  <c r="H1443" i="3"/>
  <c r="AH1455" i="3"/>
  <c r="H1457" i="3"/>
  <c r="AH1464" i="3"/>
  <c r="AH1469" i="3"/>
  <c r="AH1470" i="3"/>
  <c r="C1496" i="3"/>
  <c r="D1496" i="3" s="1"/>
  <c r="H1499" i="3"/>
  <c r="H1502" i="3"/>
  <c r="AJ1524" i="3"/>
  <c r="C1550" i="3"/>
  <c r="D1550" i="3" s="1"/>
  <c r="AH1550" i="3"/>
  <c r="H1550" i="3"/>
  <c r="E1550" i="3"/>
  <c r="F1550" i="3" s="1"/>
  <c r="C1468" i="3"/>
  <c r="D1468" i="3" s="1"/>
  <c r="H1468" i="3"/>
  <c r="AH1508" i="3"/>
  <c r="AH1435" i="3"/>
  <c r="AJ1465" i="3"/>
  <c r="AH1472" i="3"/>
  <c r="AH1475" i="3"/>
  <c r="AH1476" i="3"/>
  <c r="AJ1478" i="3"/>
  <c r="C1480" i="3"/>
  <c r="D1480" i="3" s="1"/>
  <c r="AH1488" i="3"/>
  <c r="E1496" i="3"/>
  <c r="F1496" i="3" s="1"/>
  <c r="C1505" i="3"/>
  <c r="D1505" i="3" s="1"/>
  <c r="H1505" i="3"/>
  <c r="AL1515" i="3"/>
  <c r="AJ1515" i="3"/>
  <c r="E1521" i="3"/>
  <c r="F1521" i="3" s="1"/>
  <c r="C1521" i="3"/>
  <c r="D1521" i="3" s="1"/>
  <c r="H1529" i="3"/>
  <c r="AH1529" i="3"/>
  <c r="H1540" i="3"/>
  <c r="E1540" i="3"/>
  <c r="F1540" i="3" s="1"/>
  <c r="C1540" i="3"/>
  <c r="D1540" i="3" s="1"/>
  <c r="C1487" i="3"/>
  <c r="D1487" i="3" s="1"/>
  <c r="E1487" i="3"/>
  <c r="F1487" i="3" s="1"/>
  <c r="AL1557" i="3"/>
  <c r="H1671" i="3"/>
  <c r="E1671" i="3"/>
  <c r="F1671" i="3" s="1"/>
  <c r="C1671" i="3"/>
  <c r="D1671" i="3" s="1"/>
  <c r="AH1671" i="3"/>
  <c r="AH1450" i="3"/>
  <c r="AH1535" i="3"/>
  <c r="C1588" i="3"/>
  <c r="D1588" i="3" s="1"/>
  <c r="AH1588" i="3"/>
  <c r="E1588" i="3"/>
  <c r="F1588" i="3" s="1"/>
  <c r="C1479" i="3"/>
  <c r="D1479" i="3" s="1"/>
  <c r="H1480" i="3"/>
  <c r="AH1502" i="3"/>
  <c r="E1516" i="3"/>
  <c r="F1516" i="3" s="1"/>
  <c r="AJ1536" i="3"/>
  <c r="AL1536" i="3"/>
  <c r="E1541" i="3"/>
  <c r="F1541" i="3" s="1"/>
  <c r="C1541" i="3"/>
  <c r="D1541" i="3" s="1"/>
  <c r="H1510" i="3"/>
  <c r="E1518" i="3"/>
  <c r="F1518" i="3" s="1"/>
  <c r="H1524" i="3"/>
  <c r="H1531" i="3"/>
  <c r="AH1543" i="3"/>
  <c r="C1549" i="3"/>
  <c r="D1549" i="3" s="1"/>
  <c r="AH1556" i="3"/>
  <c r="AH1606" i="3"/>
  <c r="H1606" i="3"/>
  <c r="E1606" i="3"/>
  <c r="F1606" i="3" s="1"/>
  <c r="C1606" i="3"/>
  <c r="D1606" i="3" s="1"/>
  <c r="H1607" i="3"/>
  <c r="E1607" i="3"/>
  <c r="F1607" i="3" s="1"/>
  <c r="C1607" i="3"/>
  <c r="D1607" i="3" s="1"/>
  <c r="H1608" i="3"/>
  <c r="E1608" i="3"/>
  <c r="F1608" i="3" s="1"/>
  <c r="C1608" i="3"/>
  <c r="D1608" i="3" s="1"/>
  <c r="E1632" i="3"/>
  <c r="F1632" i="3" s="1"/>
  <c r="H1632" i="3"/>
  <c r="C1632" i="3"/>
  <c r="D1632" i="3" s="1"/>
  <c r="E1722" i="3"/>
  <c r="F1722" i="3" s="1"/>
  <c r="AH1722" i="3"/>
  <c r="H1722" i="3"/>
  <c r="C1722" i="3"/>
  <c r="D1722" i="3" s="1"/>
  <c r="C1547" i="3"/>
  <c r="D1547" i="3" s="1"/>
  <c r="H1572" i="3"/>
  <c r="C1572" i="3"/>
  <c r="D1572" i="3" s="1"/>
  <c r="E1598" i="3"/>
  <c r="F1598" i="3" s="1"/>
  <c r="AH1598" i="3"/>
  <c r="H1598" i="3"/>
  <c r="C1598" i="3"/>
  <c r="D1598" i="3" s="1"/>
  <c r="AH1614" i="3"/>
  <c r="H1614" i="3"/>
  <c r="E1614" i="3"/>
  <c r="F1614" i="3" s="1"/>
  <c r="C1614" i="3"/>
  <c r="D1614" i="3" s="1"/>
  <c r="H1616" i="3"/>
  <c r="E1616" i="3"/>
  <c r="F1616" i="3" s="1"/>
  <c r="C1616" i="3"/>
  <c r="D1616" i="3" s="1"/>
  <c r="C1534" i="3"/>
  <c r="D1534" i="3" s="1"/>
  <c r="AJ1544" i="3"/>
  <c r="E1547" i="3"/>
  <c r="F1547" i="3" s="1"/>
  <c r="C1553" i="3"/>
  <c r="D1553" i="3" s="1"/>
  <c r="H1553" i="3"/>
  <c r="C1560" i="3"/>
  <c r="D1560" i="3" s="1"/>
  <c r="H1561" i="3"/>
  <c r="AH1568" i="3"/>
  <c r="H1599" i="3"/>
  <c r="E1599" i="3"/>
  <c r="F1599" i="3" s="1"/>
  <c r="C1599" i="3"/>
  <c r="D1599" i="3" s="1"/>
  <c r="AH1498" i="3"/>
  <c r="E1520" i="3"/>
  <c r="F1520" i="3" s="1"/>
  <c r="E1527" i="3"/>
  <c r="F1527" i="3" s="1"/>
  <c r="E1534" i="3"/>
  <c r="F1534" i="3" s="1"/>
  <c r="H1563" i="3"/>
  <c r="AJ1564" i="3"/>
  <c r="C1573" i="3"/>
  <c r="D1573" i="3" s="1"/>
  <c r="H1584" i="3"/>
  <c r="E1584" i="3"/>
  <c r="F1584" i="3" s="1"/>
  <c r="C1584" i="3"/>
  <c r="D1584" i="3" s="1"/>
  <c r="H1721" i="3"/>
  <c r="AH1721" i="3"/>
  <c r="E1721" i="3"/>
  <c r="F1721" i="3" s="1"/>
  <c r="C1721" i="3"/>
  <c r="D1721" i="3" s="1"/>
  <c r="AH1518" i="3"/>
  <c r="C1556" i="3"/>
  <c r="D1556" i="3" s="1"/>
  <c r="H1560" i="3"/>
  <c r="E1573" i="3"/>
  <c r="F1573" i="3" s="1"/>
  <c r="H1520" i="3"/>
  <c r="H1527" i="3"/>
  <c r="AH1551" i="3"/>
  <c r="H1574" i="3"/>
  <c r="AH1574" i="3"/>
  <c r="E1574" i="3"/>
  <c r="F1574" i="3" s="1"/>
  <c r="AH1560" i="3"/>
  <c r="C1561" i="3"/>
  <c r="D1561" i="3" s="1"/>
  <c r="E1561" i="3"/>
  <c r="F1561" i="3" s="1"/>
  <c r="AH1573" i="3"/>
  <c r="E1650" i="3"/>
  <c r="F1650" i="3" s="1"/>
  <c r="AH1650" i="3"/>
  <c r="H1650" i="3"/>
  <c r="C1650" i="3"/>
  <c r="D1650" i="3" s="1"/>
  <c r="E1654" i="3"/>
  <c r="F1654" i="3" s="1"/>
  <c r="AH1654" i="3"/>
  <c r="H1654" i="3"/>
  <c r="C1654" i="3"/>
  <c r="D1654" i="3" s="1"/>
  <c r="H1549" i="3"/>
  <c r="AH1549" i="3"/>
  <c r="AH1580" i="3"/>
  <c r="H1580" i="3"/>
  <c r="E1580" i="3"/>
  <c r="F1580" i="3" s="1"/>
  <c r="C1580" i="3"/>
  <c r="D1580" i="3" s="1"/>
  <c r="AH1590" i="3"/>
  <c r="H1590" i="3"/>
  <c r="E1590" i="3"/>
  <c r="F1590" i="3" s="1"/>
  <c r="H1628" i="3"/>
  <c r="AH1628" i="3"/>
  <c r="E1628" i="3"/>
  <c r="F1628" i="3" s="1"/>
  <c r="C1628" i="3"/>
  <c r="D1628" i="3" s="1"/>
  <c r="E1660" i="3"/>
  <c r="F1660" i="3" s="1"/>
  <c r="C1660" i="3"/>
  <c r="D1660" i="3" s="1"/>
  <c r="AH1660" i="3"/>
  <c r="H1660" i="3"/>
  <c r="E1684" i="3"/>
  <c r="F1684" i="3" s="1"/>
  <c r="AH1684" i="3"/>
  <c r="H1684" i="3"/>
  <c r="C1684" i="3"/>
  <c r="D1684" i="3" s="1"/>
  <c r="E1570" i="3"/>
  <c r="F1570" i="3" s="1"/>
  <c r="C1570" i="3"/>
  <c r="D1570" i="3" s="1"/>
  <c r="AH1627" i="3"/>
  <c r="H1627" i="3"/>
  <c r="E1627" i="3"/>
  <c r="F1627" i="3" s="1"/>
  <c r="C1627" i="3"/>
  <c r="D1627" i="3" s="1"/>
  <c r="H1629" i="3"/>
  <c r="E1629" i="3"/>
  <c r="F1629" i="3" s="1"/>
  <c r="C1629" i="3"/>
  <c r="D1629" i="3" s="1"/>
  <c r="E1567" i="3"/>
  <c r="F1567" i="3" s="1"/>
  <c r="H1578" i="3"/>
  <c r="AH1587" i="3"/>
  <c r="AH1610" i="3"/>
  <c r="H1612" i="3"/>
  <c r="C1615" i="3"/>
  <c r="D1615" i="3" s="1"/>
  <c r="E1620" i="3"/>
  <c r="F1620" i="3" s="1"/>
  <c r="C1622" i="3"/>
  <c r="D1622" i="3" s="1"/>
  <c r="AH1634" i="3"/>
  <c r="AH1638" i="3"/>
  <c r="AH1642" i="3"/>
  <c r="C1647" i="3"/>
  <c r="D1647" i="3" s="1"/>
  <c r="C1659" i="3"/>
  <c r="D1659" i="3" s="1"/>
  <c r="AH1659" i="3"/>
  <c r="E1678" i="3"/>
  <c r="F1678" i="3" s="1"/>
  <c r="E1694" i="3"/>
  <c r="F1694" i="3" s="1"/>
  <c r="C1694" i="3"/>
  <c r="D1694" i="3" s="1"/>
  <c r="C1723" i="3"/>
  <c r="D1723" i="3" s="1"/>
  <c r="H1723" i="3"/>
  <c r="E1723" i="3"/>
  <c r="F1723" i="3" s="1"/>
  <c r="AL1756" i="3"/>
  <c r="AJ1756" i="3"/>
  <c r="C1770" i="3"/>
  <c r="D1770" i="3" s="1"/>
  <c r="H1770" i="3"/>
  <c r="AH1770" i="3"/>
  <c r="E1770" i="3"/>
  <c r="F1770" i="3" s="1"/>
  <c r="H1583" i="3"/>
  <c r="AH1594" i="3"/>
  <c r="E1597" i="3"/>
  <c r="F1597" i="3" s="1"/>
  <c r="AH1603" i="3"/>
  <c r="H1605" i="3"/>
  <c r="E1613" i="3"/>
  <c r="F1613" i="3" s="1"/>
  <c r="C1621" i="3"/>
  <c r="D1621" i="3" s="1"/>
  <c r="E1622" i="3"/>
  <c r="F1622" i="3" s="1"/>
  <c r="C1625" i="3"/>
  <c r="D1625" i="3" s="1"/>
  <c r="C1643" i="3"/>
  <c r="D1643" i="3" s="1"/>
  <c r="H1643" i="3"/>
  <c r="C1651" i="3"/>
  <c r="D1651" i="3" s="1"/>
  <c r="C1655" i="3"/>
  <c r="D1655" i="3" s="1"/>
  <c r="E1672" i="3"/>
  <c r="F1672" i="3" s="1"/>
  <c r="C1672" i="3"/>
  <c r="D1672" i="3" s="1"/>
  <c r="C1709" i="3"/>
  <c r="D1709" i="3" s="1"/>
  <c r="H1709" i="3"/>
  <c r="E1709" i="3"/>
  <c r="F1709" i="3" s="1"/>
  <c r="H1710" i="3"/>
  <c r="E1710" i="3"/>
  <c r="F1710" i="3" s="1"/>
  <c r="C1710" i="3"/>
  <c r="D1710" i="3" s="1"/>
  <c r="AL1825" i="3"/>
  <c r="AJ1825" i="3"/>
  <c r="AH1611" i="3"/>
  <c r="E1615" i="3"/>
  <c r="F1615" i="3" s="1"/>
  <c r="AH1618" i="3"/>
  <c r="H1620" i="3"/>
  <c r="E1621" i="3"/>
  <c r="F1621" i="3" s="1"/>
  <c r="E1664" i="3"/>
  <c r="F1664" i="3" s="1"/>
  <c r="C1664" i="3"/>
  <c r="D1664" i="3" s="1"/>
  <c r="H1675" i="3"/>
  <c r="E1675" i="3"/>
  <c r="F1675" i="3" s="1"/>
  <c r="C1675" i="3"/>
  <c r="D1675" i="3" s="1"/>
  <c r="H1685" i="3"/>
  <c r="E1685" i="3"/>
  <c r="F1685" i="3" s="1"/>
  <c r="AH1595" i="3"/>
  <c r="H1597" i="3"/>
  <c r="H1622" i="3"/>
  <c r="H1651" i="3"/>
  <c r="H1655" i="3"/>
  <c r="H1615" i="3"/>
  <c r="H1625" i="3"/>
  <c r="AH1651" i="3"/>
  <c r="AH1655" i="3"/>
  <c r="C1663" i="3"/>
  <c r="D1663" i="3" s="1"/>
  <c r="AH1663" i="3"/>
  <c r="E1668" i="3"/>
  <c r="F1668" i="3" s="1"/>
  <c r="C1668" i="3"/>
  <c r="D1668" i="3" s="1"/>
  <c r="H1688" i="3"/>
  <c r="H1701" i="3"/>
  <c r="E1701" i="3"/>
  <c r="F1701" i="3" s="1"/>
  <c r="C1701" i="3"/>
  <c r="D1701" i="3" s="1"/>
  <c r="H1711" i="3"/>
  <c r="E1711" i="3"/>
  <c r="F1711" i="3" s="1"/>
  <c r="C1711" i="3"/>
  <c r="D1711" i="3" s="1"/>
  <c r="AJ1757" i="3"/>
  <c r="AL1757" i="3"/>
  <c r="AL1772" i="3"/>
  <c r="AJ1772" i="3"/>
  <c r="AH1578" i="3"/>
  <c r="AH1583" i="3"/>
  <c r="C1603" i="3"/>
  <c r="D1603" i="3" s="1"/>
  <c r="AH1605" i="3"/>
  <c r="AH1613" i="3"/>
  <c r="H1663" i="3"/>
  <c r="E1676" i="3"/>
  <c r="F1676" i="3" s="1"/>
  <c r="C1676" i="3"/>
  <c r="D1676" i="3" s="1"/>
  <c r="C1678" i="3"/>
  <c r="D1678" i="3" s="1"/>
  <c r="H1678" i="3"/>
  <c r="AJ1589" i="3"/>
  <c r="C1610" i="3"/>
  <c r="D1610" i="3" s="1"/>
  <c r="AH1621" i="3"/>
  <c r="C1634" i="3"/>
  <c r="D1634" i="3" s="1"/>
  <c r="C1638" i="3"/>
  <c r="D1638" i="3" s="1"/>
  <c r="C1642" i="3"/>
  <c r="D1642" i="3" s="1"/>
  <c r="AH1712" i="3"/>
  <c r="E1712" i="3"/>
  <c r="F1712" i="3" s="1"/>
  <c r="C1712" i="3"/>
  <c r="D1712" i="3" s="1"/>
  <c r="H1713" i="3"/>
  <c r="E1713" i="3"/>
  <c r="F1713" i="3" s="1"/>
  <c r="C1713" i="3"/>
  <c r="D1713" i="3" s="1"/>
  <c r="AH1625" i="3"/>
  <c r="AH1687" i="3"/>
  <c r="E1687" i="3"/>
  <c r="F1687" i="3" s="1"/>
  <c r="C1687" i="3"/>
  <c r="D1687" i="3" s="1"/>
  <c r="AH1746" i="3"/>
  <c r="H1746" i="3"/>
  <c r="E1746" i="3"/>
  <c r="F1746" i="3" s="1"/>
  <c r="C1746" i="3"/>
  <c r="D1746" i="3" s="1"/>
  <c r="E1642" i="3"/>
  <c r="F1642" i="3" s="1"/>
  <c r="E1688" i="3"/>
  <c r="F1688" i="3" s="1"/>
  <c r="C1688" i="3"/>
  <c r="D1688" i="3" s="1"/>
  <c r="AH1745" i="3"/>
  <c r="H1745" i="3"/>
  <c r="E1745" i="3"/>
  <c r="F1745" i="3" s="1"/>
  <c r="C1745" i="3"/>
  <c r="D1745" i="3" s="1"/>
  <c r="AH1575" i="3"/>
  <c r="E1577" i="3"/>
  <c r="F1577" i="3" s="1"/>
  <c r="H1587" i="3"/>
  <c r="H1618" i="3"/>
  <c r="H1672" i="3"/>
  <c r="AH1675" i="3"/>
  <c r="AH1710" i="3"/>
  <c r="H1719" i="3"/>
  <c r="E1719" i="3"/>
  <c r="F1719" i="3" s="1"/>
  <c r="C1719" i="3"/>
  <c r="D1719" i="3" s="1"/>
  <c r="AH1720" i="3"/>
  <c r="E1720" i="3"/>
  <c r="F1720" i="3" s="1"/>
  <c r="C1720" i="3"/>
  <c r="D1720" i="3" s="1"/>
  <c r="AH1798" i="3"/>
  <c r="H1798" i="3"/>
  <c r="E1798" i="3"/>
  <c r="F1798" i="3" s="1"/>
  <c r="C1798" i="3"/>
  <c r="D1798" i="3" s="1"/>
  <c r="H1658" i="3"/>
  <c r="H1662" i="3"/>
  <c r="H1666" i="3"/>
  <c r="H1670" i="3"/>
  <c r="E1683" i="3"/>
  <c r="F1683" i="3" s="1"/>
  <c r="H1691" i="3"/>
  <c r="E1692" i="3"/>
  <c r="F1692" i="3" s="1"/>
  <c r="E1698" i="3"/>
  <c r="F1698" i="3" s="1"/>
  <c r="AH1703" i="3"/>
  <c r="AH1726" i="3"/>
  <c r="E1738" i="3"/>
  <c r="F1738" i="3" s="1"/>
  <c r="C1740" i="3"/>
  <c r="D1740" i="3" s="1"/>
  <c r="AH1758" i="3"/>
  <c r="E1761" i="3"/>
  <c r="F1761" i="3" s="1"/>
  <c r="AH1657" i="3"/>
  <c r="AH1661" i="3"/>
  <c r="AH1665" i="3"/>
  <c r="AH1669" i="3"/>
  <c r="H1674" i="3"/>
  <c r="H1707" i="3"/>
  <c r="C1739" i="3"/>
  <c r="D1739" i="3" s="1"/>
  <c r="C1742" i="3"/>
  <c r="D1742" i="3" s="1"/>
  <c r="E1756" i="3"/>
  <c r="F1756" i="3" s="1"/>
  <c r="C1756" i="3"/>
  <c r="D1756" i="3" s="1"/>
  <c r="AL1784" i="3"/>
  <c r="AJ1784" i="3"/>
  <c r="E1788" i="3"/>
  <c r="F1788" i="3" s="1"/>
  <c r="C1788" i="3"/>
  <c r="D1788" i="3" s="1"/>
  <c r="AH1788" i="3"/>
  <c r="AL1800" i="3"/>
  <c r="AJ1800" i="3"/>
  <c r="H1683" i="3"/>
  <c r="H1692" i="3"/>
  <c r="H1698" i="3"/>
  <c r="H1699" i="3"/>
  <c r="AH1730" i="3"/>
  <c r="H1738" i="3"/>
  <c r="E1739" i="3"/>
  <c r="F1739" i="3" s="1"/>
  <c r="E1740" i="3"/>
  <c r="F1740" i="3" s="1"/>
  <c r="E1741" i="3"/>
  <c r="F1741" i="3" s="1"/>
  <c r="E1743" i="3"/>
  <c r="F1743" i="3" s="1"/>
  <c r="C1754" i="3"/>
  <c r="D1754" i="3" s="1"/>
  <c r="C1772" i="3"/>
  <c r="D1772" i="3" s="1"/>
  <c r="AL1792" i="3"/>
  <c r="AJ1792" i="3"/>
  <c r="AJ1823" i="3"/>
  <c r="AL1823" i="3"/>
  <c r="H1740" i="3"/>
  <c r="E1742" i="3"/>
  <c r="F1742" i="3" s="1"/>
  <c r="AH1761" i="3"/>
  <c r="AJ1764" i="3"/>
  <c r="AH1768" i="3"/>
  <c r="H1768" i="3"/>
  <c r="C1768" i="3"/>
  <c r="D1768" i="3" s="1"/>
  <c r="H1731" i="3"/>
  <c r="AH1731" i="3"/>
  <c r="AH1736" i="3"/>
  <c r="H1739" i="3"/>
  <c r="H1741" i="3"/>
  <c r="H1742" i="3"/>
  <c r="H1743" i="3"/>
  <c r="H1754" i="3"/>
  <c r="AH1754" i="3"/>
  <c r="C1755" i="3"/>
  <c r="D1755" i="3" s="1"/>
  <c r="H1755" i="3"/>
  <c r="E1755" i="3"/>
  <c r="F1755" i="3" s="1"/>
  <c r="E1757" i="3"/>
  <c r="F1757" i="3" s="1"/>
  <c r="E1764" i="3"/>
  <c r="F1764" i="3" s="1"/>
  <c r="C1764" i="3"/>
  <c r="D1764" i="3" s="1"/>
  <c r="C1766" i="3"/>
  <c r="D1766" i="3" s="1"/>
  <c r="E1766" i="3"/>
  <c r="F1766" i="3" s="1"/>
  <c r="AH1674" i="3"/>
  <c r="AH1699" i="3"/>
  <c r="AH1707" i="3"/>
  <c r="C1730" i="3"/>
  <c r="D1730" i="3" s="1"/>
  <c r="AL1789" i="3"/>
  <c r="AL1820" i="3"/>
  <c r="AJ1820" i="3"/>
  <c r="C1794" i="3"/>
  <c r="D1794" i="3" s="1"/>
  <c r="AH1794" i="3"/>
  <c r="H1794" i="3"/>
  <c r="E1794" i="3"/>
  <c r="F1794" i="3" s="1"/>
  <c r="AH1741" i="3"/>
  <c r="H1772" i="3"/>
  <c r="E1772" i="3"/>
  <c r="F1772" i="3" s="1"/>
  <c r="AH1743" i="3"/>
  <c r="H1757" i="3"/>
  <c r="C1757" i="3"/>
  <c r="D1757" i="3" s="1"/>
  <c r="AL1793" i="3"/>
  <c r="AJ1793" i="3"/>
  <c r="AH1718" i="3"/>
  <c r="C1733" i="3"/>
  <c r="D1733" i="3" s="1"/>
  <c r="C1734" i="3"/>
  <c r="D1734" i="3" s="1"/>
  <c r="E1736" i="3"/>
  <c r="F1736" i="3" s="1"/>
  <c r="C1747" i="3"/>
  <c r="D1747" i="3" s="1"/>
  <c r="H1747" i="3"/>
  <c r="AH1751" i="3"/>
  <c r="AJ1765" i="3"/>
  <c r="H1767" i="3"/>
  <c r="C1767" i="3"/>
  <c r="D1767" i="3" s="1"/>
  <c r="AH1775" i="3"/>
  <c r="H1775" i="3"/>
  <c r="E1775" i="3"/>
  <c r="F1775" i="3" s="1"/>
  <c r="H1788" i="3"/>
  <c r="H1791" i="3"/>
  <c r="E1791" i="3"/>
  <c r="F1791" i="3" s="1"/>
  <c r="C1791" i="3"/>
  <c r="D1791" i="3" s="1"/>
  <c r="AH1791" i="3"/>
  <c r="H1815" i="3"/>
  <c r="E1815" i="3"/>
  <c r="F1815" i="3" s="1"/>
  <c r="C1815" i="3"/>
  <c r="D1815" i="3" s="1"/>
  <c r="C1829" i="3"/>
  <c r="D1829" i="3" s="1"/>
  <c r="AH1829" i="3"/>
  <c r="H1829" i="3"/>
  <c r="E1829" i="3"/>
  <c r="F1829" i="3" s="1"/>
  <c r="H1830" i="3"/>
  <c r="E1830" i="3"/>
  <c r="F1830" i="3" s="1"/>
  <c r="C1830" i="3"/>
  <c r="D1830" i="3" s="1"/>
  <c r="H1865" i="3"/>
  <c r="E1865" i="3"/>
  <c r="F1865" i="3" s="1"/>
  <c r="C1865" i="3"/>
  <c r="D1865" i="3" s="1"/>
  <c r="AH1865" i="3"/>
  <c r="AL1819" i="3"/>
  <c r="AJ1819" i="3"/>
  <c r="H1776" i="3"/>
  <c r="AL1779" i="3"/>
  <c r="AJ1779" i="3"/>
  <c r="E1799" i="3"/>
  <c r="F1799" i="3" s="1"/>
  <c r="AH1799" i="3"/>
  <c r="H1799" i="3"/>
  <c r="C1799" i="3"/>
  <c r="D1799" i="3" s="1"/>
  <c r="H1800" i="3"/>
  <c r="E1800" i="3"/>
  <c r="F1800" i="3" s="1"/>
  <c r="C1800" i="3"/>
  <c r="D1800" i="3" s="1"/>
  <c r="AJ1807" i="3"/>
  <c r="AL1807" i="3"/>
  <c r="H1864" i="3"/>
  <c r="C1864" i="3"/>
  <c r="D1864" i="3" s="1"/>
  <c r="AH1864" i="3"/>
  <c r="E1864" i="3"/>
  <c r="F1864" i="3" s="1"/>
  <c r="E1806" i="3"/>
  <c r="F1806" i="3" s="1"/>
  <c r="AH1806" i="3"/>
  <c r="H1806" i="3"/>
  <c r="C1806" i="3"/>
  <c r="D1806" i="3" s="1"/>
  <c r="AL1868" i="3"/>
  <c r="AJ1868" i="3"/>
  <c r="AL1899" i="3"/>
  <c r="AJ1899" i="3"/>
  <c r="AH1759" i="3"/>
  <c r="E1763" i="3"/>
  <c r="F1763" i="3" s="1"/>
  <c r="H1774" i="3"/>
  <c r="E1779" i="3"/>
  <c r="F1779" i="3" s="1"/>
  <c r="C1779" i="3"/>
  <c r="D1779" i="3" s="1"/>
  <c r="C1792" i="3"/>
  <c r="D1792" i="3" s="1"/>
  <c r="H1792" i="3"/>
  <c r="E1792" i="3"/>
  <c r="F1792" i="3" s="1"/>
  <c r="AL1841" i="3"/>
  <c r="AJ1841" i="3"/>
  <c r="H1807" i="3"/>
  <c r="E1807" i="3"/>
  <c r="F1807" i="3" s="1"/>
  <c r="C1807" i="3"/>
  <c r="D1807" i="3" s="1"/>
  <c r="AJ1813" i="3"/>
  <c r="C1843" i="3"/>
  <c r="D1843" i="3" s="1"/>
  <c r="H1843" i="3"/>
  <c r="E1843" i="3"/>
  <c r="F1843" i="3" s="1"/>
  <c r="AL1863" i="3"/>
  <c r="AJ1863" i="3"/>
  <c r="AL1886" i="3"/>
  <c r="AJ1886" i="3"/>
  <c r="H1763" i="3"/>
  <c r="AH1769" i="3"/>
  <c r="AJ1782" i="3"/>
  <c r="C1784" i="3"/>
  <c r="D1784" i="3" s="1"/>
  <c r="AH1830" i="3"/>
  <c r="AL1787" i="3"/>
  <c r="AJ1787" i="3"/>
  <c r="E1793" i="3"/>
  <c r="F1793" i="3" s="1"/>
  <c r="C1793" i="3"/>
  <c r="D1793" i="3" s="1"/>
  <c r="E1838" i="3"/>
  <c r="F1838" i="3" s="1"/>
  <c r="AH1838" i="3"/>
  <c r="H1838" i="3"/>
  <c r="C1838" i="3"/>
  <c r="D1838" i="3" s="1"/>
  <c r="H1844" i="3"/>
  <c r="AH1844" i="3"/>
  <c r="E1844" i="3"/>
  <c r="F1844" i="3" s="1"/>
  <c r="C1844" i="3"/>
  <c r="D1844" i="3" s="1"/>
  <c r="AJ1854" i="3"/>
  <c r="AL1854" i="3"/>
  <c r="AL1857" i="3"/>
  <c r="AJ1857" i="3"/>
  <c r="AH1774" i="3"/>
  <c r="C1777" i="3"/>
  <c r="D1777" i="3" s="1"/>
  <c r="H1778" i="3"/>
  <c r="E1778" i="3"/>
  <c r="F1778" i="3" s="1"/>
  <c r="C1778" i="3"/>
  <c r="D1778" i="3" s="1"/>
  <c r="E1879" i="3"/>
  <c r="F1879" i="3" s="1"/>
  <c r="C1879" i="3"/>
  <c r="D1879" i="3" s="1"/>
  <c r="AH1879" i="3"/>
  <c r="H1879" i="3"/>
  <c r="E1771" i="3"/>
  <c r="F1771" i="3" s="1"/>
  <c r="E1777" i="3"/>
  <c r="F1777" i="3" s="1"/>
  <c r="AH1777" i="3"/>
  <c r="AL1778" i="3"/>
  <c r="AL1801" i="3"/>
  <c r="AJ1812" i="3"/>
  <c r="AL1812" i="3"/>
  <c r="AH1815" i="3"/>
  <c r="AJ1862" i="3"/>
  <c r="AL1862" i="3"/>
  <c r="E1759" i="3"/>
  <c r="F1759" i="3" s="1"/>
  <c r="AH1763" i="3"/>
  <c r="E1784" i="3"/>
  <c r="F1784" i="3" s="1"/>
  <c r="H1784" i="3"/>
  <c r="AL1814" i="3"/>
  <c r="AJ1814" i="3"/>
  <c r="AL1831" i="3"/>
  <c r="AJ1831" i="3"/>
  <c r="H1790" i="3"/>
  <c r="H1803" i="3"/>
  <c r="AH1809" i="3"/>
  <c r="C1819" i="3"/>
  <c r="D1819" i="3" s="1"/>
  <c r="E1823" i="3"/>
  <c r="F1823" i="3" s="1"/>
  <c r="C1827" i="3"/>
  <c r="D1827" i="3" s="1"/>
  <c r="AH1832" i="3"/>
  <c r="AH1834" i="3"/>
  <c r="AH1836" i="3"/>
  <c r="AH1850" i="3"/>
  <c r="AH1856" i="3"/>
  <c r="H1856" i="3"/>
  <c r="H1892" i="3"/>
  <c r="AH1892" i="3"/>
  <c r="E1892" i="3"/>
  <c r="F1892" i="3" s="1"/>
  <c r="C1892" i="3"/>
  <c r="D1892" i="3" s="1"/>
  <c r="H1928" i="3"/>
  <c r="E1928" i="3"/>
  <c r="F1928" i="3" s="1"/>
  <c r="C1928" i="3"/>
  <c r="D1928" i="3" s="1"/>
  <c r="AH1928" i="3"/>
  <c r="C1805" i="3"/>
  <c r="D1805" i="3" s="1"/>
  <c r="C1813" i="3"/>
  <c r="D1813" i="3" s="1"/>
  <c r="AH1816" i="3"/>
  <c r="AH1821" i="3"/>
  <c r="E1825" i="3"/>
  <c r="F1825" i="3" s="1"/>
  <c r="E1826" i="3"/>
  <c r="F1826" i="3" s="1"/>
  <c r="C1828" i="3"/>
  <c r="D1828" i="3" s="1"/>
  <c r="H1842" i="3"/>
  <c r="AH1842" i="3"/>
  <c r="AJ1847" i="3"/>
  <c r="AL1847" i="3"/>
  <c r="AL1853" i="3"/>
  <c r="AJ1853" i="3"/>
  <c r="AH1802" i="3"/>
  <c r="C1814" i="3"/>
  <c r="D1814" i="3" s="1"/>
  <c r="E1819" i="3"/>
  <c r="F1819" i="3" s="1"/>
  <c r="H1823" i="3"/>
  <c r="H1824" i="3"/>
  <c r="H1825" i="3"/>
  <c r="E1827" i="3"/>
  <c r="F1827" i="3" s="1"/>
  <c r="AJ1835" i="3"/>
  <c r="AJ1859" i="3"/>
  <c r="AL1905" i="3"/>
  <c r="AJ1905" i="3"/>
  <c r="AH1796" i="3"/>
  <c r="E1805" i="3"/>
  <c r="F1805" i="3" s="1"/>
  <c r="E1813" i="3"/>
  <c r="F1813" i="3" s="1"/>
  <c r="E1814" i="3"/>
  <c r="F1814" i="3" s="1"/>
  <c r="H1826" i="3"/>
  <c r="E1828" i="3"/>
  <c r="F1828" i="3" s="1"/>
  <c r="H1841" i="3"/>
  <c r="C1841" i="3"/>
  <c r="D1841" i="3" s="1"/>
  <c r="C1847" i="3"/>
  <c r="D1847" i="3" s="1"/>
  <c r="E1847" i="3"/>
  <c r="F1847" i="3" s="1"/>
  <c r="E1853" i="3"/>
  <c r="F1853" i="3" s="1"/>
  <c r="C1853" i="3"/>
  <c r="D1853" i="3" s="1"/>
  <c r="C1858" i="3"/>
  <c r="D1858" i="3" s="1"/>
  <c r="AH1858" i="3"/>
  <c r="AJ1866" i="3"/>
  <c r="AL1866" i="3"/>
  <c r="H1887" i="3"/>
  <c r="E1887" i="3"/>
  <c r="F1887" i="3" s="1"/>
  <c r="AH1887" i="3"/>
  <c r="C1887" i="3"/>
  <c r="D1887" i="3" s="1"/>
  <c r="AL1888" i="3"/>
  <c r="AJ1888" i="3"/>
  <c r="C1927" i="3"/>
  <c r="D1927" i="3" s="1"/>
  <c r="AH1927" i="3"/>
  <c r="H1927" i="3"/>
  <c r="E1927" i="3"/>
  <c r="F1927" i="3" s="1"/>
  <c r="AJ1810" i="3"/>
  <c r="H1819" i="3"/>
  <c r="C1857" i="3"/>
  <c r="D1857" i="3" s="1"/>
  <c r="H1857" i="3"/>
  <c r="E1858" i="3"/>
  <c r="F1858" i="3" s="1"/>
  <c r="AH1803" i="3"/>
  <c r="H1814" i="3"/>
  <c r="AH1824" i="3"/>
  <c r="C1836" i="3"/>
  <c r="D1836" i="3" s="1"/>
  <c r="AH1846" i="3"/>
  <c r="E1846" i="3"/>
  <c r="F1846" i="3" s="1"/>
  <c r="C1809" i="3"/>
  <c r="D1809" i="3" s="1"/>
  <c r="AH1818" i="3"/>
  <c r="E1832" i="3"/>
  <c r="F1832" i="3" s="1"/>
  <c r="E1834" i="3"/>
  <c r="F1834" i="3" s="1"/>
  <c r="E1836" i="3"/>
  <c r="F1836" i="3" s="1"/>
  <c r="AJ1873" i="3"/>
  <c r="AL1873" i="3"/>
  <c r="E1861" i="3"/>
  <c r="F1861" i="3" s="1"/>
  <c r="AH1861" i="3"/>
  <c r="H1861" i="3"/>
  <c r="C1861" i="3"/>
  <c r="D1861" i="3" s="1"/>
  <c r="AL1867" i="3"/>
  <c r="AJ1867" i="3"/>
  <c r="AJ1882" i="3"/>
  <c r="AL1882" i="3"/>
  <c r="AJ1900" i="3"/>
  <c r="H1906" i="3"/>
  <c r="AH1906" i="3"/>
  <c r="E1906" i="3"/>
  <c r="F1906" i="3" s="1"/>
  <c r="C1906" i="3"/>
  <c r="D1906" i="3" s="1"/>
  <c r="AH1828" i="3"/>
  <c r="H1832" i="3"/>
  <c r="H1834" i="3"/>
  <c r="E1842" i="3"/>
  <c r="F1842" i="3" s="1"/>
  <c r="H1868" i="3"/>
  <c r="E1868" i="3"/>
  <c r="F1868" i="3" s="1"/>
  <c r="C1868" i="3"/>
  <c r="D1868" i="3" s="1"/>
  <c r="H1862" i="3"/>
  <c r="E1862" i="3"/>
  <c r="F1862" i="3" s="1"/>
  <c r="C1862" i="3"/>
  <c r="D1862" i="3" s="1"/>
  <c r="H1863" i="3"/>
  <c r="E1863" i="3"/>
  <c r="F1863" i="3" s="1"/>
  <c r="C1863" i="3"/>
  <c r="D1863" i="3" s="1"/>
  <c r="E1954" i="3"/>
  <c r="F1954" i="3" s="1"/>
  <c r="C1954" i="3"/>
  <c r="D1954" i="3" s="1"/>
  <c r="H1954" i="3"/>
  <c r="AH1954" i="3"/>
  <c r="AH1869" i="3"/>
  <c r="AH1870" i="3"/>
  <c r="AH1871" i="3"/>
  <c r="AH1877" i="3"/>
  <c r="H1880" i="3"/>
  <c r="AH1881" i="3"/>
  <c r="E1885" i="3"/>
  <c r="F1885" i="3" s="1"/>
  <c r="E1900" i="3"/>
  <c r="F1900" i="3" s="1"/>
  <c r="C1900" i="3"/>
  <c r="D1900" i="3" s="1"/>
  <c r="E1908" i="3"/>
  <c r="F1908" i="3" s="1"/>
  <c r="AH1908" i="3"/>
  <c r="C1908" i="3"/>
  <c r="D1908" i="3" s="1"/>
  <c r="AL1911" i="3"/>
  <c r="AJ1920" i="3"/>
  <c r="C1923" i="3"/>
  <c r="D1923" i="3" s="1"/>
  <c r="E1923" i="3"/>
  <c r="F1923" i="3" s="1"/>
  <c r="E1929" i="3"/>
  <c r="F1929" i="3" s="1"/>
  <c r="C1929" i="3"/>
  <c r="D1929" i="3" s="1"/>
  <c r="AL1962" i="3"/>
  <c r="AJ1962" i="3"/>
  <c r="H1875" i="3"/>
  <c r="AH1880" i="3"/>
  <c r="AL1921" i="3"/>
  <c r="AJ1921" i="3"/>
  <c r="H1886" i="3"/>
  <c r="E1886" i="3"/>
  <c r="F1886" i="3" s="1"/>
  <c r="H1888" i="3"/>
  <c r="C1893" i="3"/>
  <c r="D1893" i="3" s="1"/>
  <c r="AH1895" i="3"/>
  <c r="C1898" i="3"/>
  <c r="D1898" i="3" s="1"/>
  <c r="H1909" i="3"/>
  <c r="AJ1916" i="3"/>
  <c r="AL1930" i="3"/>
  <c r="AJ1930" i="3"/>
  <c r="AJ1947" i="3"/>
  <c r="AL1947" i="3"/>
  <c r="AH1875" i="3"/>
  <c r="E1893" i="3"/>
  <c r="F1893" i="3" s="1"/>
  <c r="AL1894" i="3"/>
  <c r="AJ1894" i="3"/>
  <c r="AH1915" i="3"/>
  <c r="H1915" i="3"/>
  <c r="E1915" i="3"/>
  <c r="F1915" i="3" s="1"/>
  <c r="AJ2066" i="3"/>
  <c r="AL2066" i="3"/>
  <c r="E1876" i="3"/>
  <c r="F1876" i="3" s="1"/>
  <c r="AH1876" i="3"/>
  <c r="H1899" i="3"/>
  <c r="E1899" i="3"/>
  <c r="F1899" i="3" s="1"/>
  <c r="C1869" i="3"/>
  <c r="D1869" i="3" s="1"/>
  <c r="AH1893" i="3"/>
  <c r="H1894" i="3"/>
  <c r="C1894" i="3"/>
  <c r="D1894" i="3" s="1"/>
  <c r="AH1904" i="3"/>
  <c r="H1904" i="3"/>
  <c r="AH1909" i="3"/>
  <c r="AJ1918" i="3"/>
  <c r="H1921" i="3"/>
  <c r="E1921" i="3"/>
  <c r="F1921" i="3" s="1"/>
  <c r="C1921" i="3"/>
  <c r="D1921" i="3" s="1"/>
  <c r="AL1957" i="3"/>
  <c r="AJ1957" i="3"/>
  <c r="AL1971" i="3"/>
  <c r="AJ1971" i="3"/>
  <c r="AJ1979" i="3"/>
  <c r="AL1979" i="3"/>
  <c r="C1870" i="3"/>
  <c r="D1870" i="3" s="1"/>
  <c r="AJ1903" i="3"/>
  <c r="AH1907" i="3"/>
  <c r="E1907" i="3"/>
  <c r="F1907" i="3" s="1"/>
  <c r="C1907" i="3"/>
  <c r="D1907" i="3" s="1"/>
  <c r="AL1922" i="3"/>
  <c r="AJ1922" i="3"/>
  <c r="AH1994" i="3"/>
  <c r="H1994" i="3"/>
  <c r="E1994" i="3"/>
  <c r="F1994" i="3" s="1"/>
  <c r="C1994" i="3"/>
  <c r="D1994" i="3" s="1"/>
  <c r="E1871" i="3"/>
  <c r="F1871" i="3" s="1"/>
  <c r="E1888" i="3"/>
  <c r="F1888" i="3" s="1"/>
  <c r="C1888" i="3"/>
  <c r="D1888" i="3" s="1"/>
  <c r="E1934" i="3"/>
  <c r="F1934" i="3" s="1"/>
  <c r="AH1934" i="3"/>
  <c r="H1934" i="3"/>
  <c r="C1934" i="3"/>
  <c r="D1934" i="3" s="1"/>
  <c r="H1941" i="3"/>
  <c r="AH1941" i="3"/>
  <c r="E1941" i="3"/>
  <c r="F1941" i="3" s="1"/>
  <c r="C1941" i="3"/>
  <c r="D1941" i="3" s="1"/>
  <c r="AL1945" i="3"/>
  <c r="AJ1945" i="3"/>
  <c r="E1969" i="3"/>
  <c r="F1969" i="3" s="1"/>
  <c r="C1969" i="3"/>
  <c r="D1969" i="3" s="1"/>
  <c r="AH1969" i="3"/>
  <c r="H1969" i="3"/>
  <c r="E1898" i="3"/>
  <c r="F1898" i="3" s="1"/>
  <c r="H1898" i="3"/>
  <c r="AJ1923" i="3"/>
  <c r="E1950" i="3"/>
  <c r="F1950" i="3" s="1"/>
  <c r="AH1950" i="3"/>
  <c r="H1950" i="3"/>
  <c r="C1950" i="3"/>
  <c r="D1950" i="3" s="1"/>
  <c r="AL1966" i="3"/>
  <c r="AJ1966" i="3"/>
  <c r="AJ1970" i="3"/>
  <c r="AL1970" i="3"/>
  <c r="C2040" i="3"/>
  <c r="D2040" i="3" s="1"/>
  <c r="AH2040" i="3"/>
  <c r="H2040" i="3"/>
  <c r="E2040" i="3"/>
  <c r="F2040" i="3" s="1"/>
  <c r="H1870" i="3"/>
  <c r="H1871" i="3"/>
  <c r="E1877" i="3"/>
  <c r="F1877" i="3" s="1"/>
  <c r="C1886" i="3"/>
  <c r="D1886" i="3" s="1"/>
  <c r="H1901" i="3"/>
  <c r="C1901" i="3"/>
  <c r="D1901" i="3" s="1"/>
  <c r="C1905" i="3"/>
  <c r="D1905" i="3" s="1"/>
  <c r="AH1926" i="3"/>
  <c r="E1926" i="3"/>
  <c r="F1926" i="3" s="1"/>
  <c r="C1926" i="3"/>
  <c r="D1926" i="3" s="1"/>
  <c r="AH1929" i="3"/>
  <c r="AJ1964" i="3"/>
  <c r="AL1964" i="3"/>
  <c r="AH1993" i="3"/>
  <c r="H1993" i="3"/>
  <c r="E1993" i="3"/>
  <c r="F1993" i="3" s="1"/>
  <c r="C1993" i="3"/>
  <c r="D1993" i="3" s="1"/>
  <c r="H1897" i="3"/>
  <c r="C1937" i="3"/>
  <c r="D1937" i="3" s="1"/>
  <c r="H1938" i="3"/>
  <c r="E1947" i="3"/>
  <c r="F1947" i="3" s="1"/>
  <c r="E1961" i="3"/>
  <c r="F1961" i="3" s="1"/>
  <c r="E1970" i="3"/>
  <c r="F1970" i="3" s="1"/>
  <c r="E1973" i="3"/>
  <c r="F1973" i="3" s="1"/>
  <c r="E1987" i="3"/>
  <c r="F1987" i="3" s="1"/>
  <c r="AH1987" i="3"/>
  <c r="H1987" i="3"/>
  <c r="AJ2027" i="3"/>
  <c r="AL2027" i="3"/>
  <c r="H2037" i="3"/>
  <c r="C2037" i="3"/>
  <c r="D2037" i="3" s="1"/>
  <c r="AH2037" i="3"/>
  <c r="E2037" i="3"/>
  <c r="F2037" i="3" s="1"/>
  <c r="H1945" i="3"/>
  <c r="E1945" i="3"/>
  <c r="F1945" i="3" s="1"/>
  <c r="AH1976" i="3"/>
  <c r="H1976" i="3"/>
  <c r="E1976" i="3"/>
  <c r="F1976" i="3" s="1"/>
  <c r="C1984" i="3"/>
  <c r="D1984" i="3" s="1"/>
  <c r="AH1984" i="3"/>
  <c r="H1984" i="3"/>
  <c r="H1989" i="3"/>
  <c r="E1989" i="3"/>
  <c r="F1989" i="3" s="1"/>
  <c r="H2022" i="3"/>
  <c r="E2022" i="3"/>
  <c r="F2022" i="3" s="1"/>
  <c r="AH2022" i="3"/>
  <c r="C2022" i="3"/>
  <c r="D2022" i="3" s="1"/>
  <c r="AH1891" i="3"/>
  <c r="C1918" i="3"/>
  <c r="D1918" i="3" s="1"/>
  <c r="C1919" i="3"/>
  <c r="D1919" i="3" s="1"/>
  <c r="E1920" i="3"/>
  <c r="F1920" i="3" s="1"/>
  <c r="AH1938" i="3"/>
  <c r="AJ1939" i="3"/>
  <c r="AL1939" i="3"/>
  <c r="AJ1940" i="3"/>
  <c r="E1959" i="3"/>
  <c r="F1959" i="3" s="1"/>
  <c r="C1964" i="3"/>
  <c r="D1964" i="3" s="1"/>
  <c r="H1971" i="3"/>
  <c r="E1971" i="3"/>
  <c r="F1971" i="3" s="1"/>
  <c r="AH1913" i="3"/>
  <c r="H1937" i="3"/>
  <c r="AH1953" i="3"/>
  <c r="H1953" i="3"/>
  <c r="E1955" i="3"/>
  <c r="F1955" i="3" s="1"/>
  <c r="AJ1961" i="3"/>
  <c r="E1918" i="3"/>
  <c r="F1918" i="3" s="1"/>
  <c r="AH1937" i="3"/>
  <c r="H1955" i="3"/>
  <c r="H1959" i="3"/>
  <c r="AJ1944" i="3"/>
  <c r="C1970" i="3"/>
  <c r="D1970" i="3" s="1"/>
  <c r="H1970" i="3"/>
  <c r="AH1955" i="3"/>
  <c r="C1982" i="3"/>
  <c r="D1982" i="3" s="1"/>
  <c r="AH1982" i="3"/>
  <c r="H1982" i="3"/>
  <c r="AL2060" i="3"/>
  <c r="AJ2060" i="3"/>
  <c r="AJ1935" i="3"/>
  <c r="AL1935" i="3"/>
  <c r="AL2080" i="3"/>
  <c r="AJ2080" i="3"/>
  <c r="AH1959" i="3"/>
  <c r="H1964" i="3"/>
  <c r="E1964" i="3"/>
  <c r="F1964" i="3" s="1"/>
  <c r="AL2028" i="3"/>
  <c r="AJ2028" i="3"/>
  <c r="H2052" i="3"/>
  <c r="E2052" i="3"/>
  <c r="F2052" i="3" s="1"/>
  <c r="C2052" i="3"/>
  <c r="D2052" i="3" s="1"/>
  <c r="AH2052" i="3"/>
  <c r="E1942" i="3"/>
  <c r="F1942" i="3" s="1"/>
  <c r="H1942" i="3"/>
  <c r="AJ1942" i="3"/>
  <c r="E1946" i="3"/>
  <c r="F1946" i="3" s="1"/>
  <c r="H1946" i="3"/>
  <c r="AJ1946" i="3"/>
  <c r="H1966" i="3"/>
  <c r="AL1967" i="3"/>
  <c r="AJ1967" i="3"/>
  <c r="C1976" i="3"/>
  <c r="D1976" i="3" s="1"/>
  <c r="AH1978" i="3"/>
  <c r="H1978" i="3"/>
  <c r="C1978" i="3"/>
  <c r="D1978" i="3" s="1"/>
  <c r="C1979" i="3"/>
  <c r="D1979" i="3" s="1"/>
  <c r="AL1988" i="3"/>
  <c r="H1975" i="3"/>
  <c r="AH1980" i="3"/>
  <c r="E1988" i="3"/>
  <c r="F1988" i="3" s="1"/>
  <c r="C1999" i="3"/>
  <c r="D1999" i="3" s="1"/>
  <c r="AJ2007" i="3"/>
  <c r="AL2007" i="3"/>
  <c r="AL2077" i="3"/>
  <c r="AJ2077" i="3"/>
  <c r="AL2110" i="3"/>
  <c r="AJ2110" i="3"/>
  <c r="H2111" i="3"/>
  <c r="E2111" i="3"/>
  <c r="F2111" i="3" s="1"/>
  <c r="C2111" i="3"/>
  <c r="D2111" i="3" s="1"/>
  <c r="AH2111" i="3"/>
  <c r="AJ2120" i="3"/>
  <c r="AL2120" i="3"/>
  <c r="H2035" i="3"/>
  <c r="E2035" i="3"/>
  <c r="F2035" i="3" s="1"/>
  <c r="AL2087" i="3"/>
  <c r="AJ2087" i="3"/>
  <c r="AL2119" i="3"/>
  <c r="AJ2119" i="3"/>
  <c r="H1988" i="3"/>
  <c r="C1991" i="3"/>
  <c r="D1991" i="3" s="1"/>
  <c r="E1992" i="3"/>
  <c r="F1992" i="3" s="1"/>
  <c r="C1998" i="3"/>
  <c r="D1998" i="3" s="1"/>
  <c r="AH2006" i="3"/>
  <c r="H2007" i="3"/>
  <c r="E2007" i="3"/>
  <c r="F2007" i="3" s="1"/>
  <c r="H2012" i="3"/>
  <c r="AH2015" i="3"/>
  <c r="C2027" i="3"/>
  <c r="D2027" i="3" s="1"/>
  <c r="H2027" i="3"/>
  <c r="E2027" i="3"/>
  <c r="F2027" i="3" s="1"/>
  <c r="AH2029" i="3"/>
  <c r="H2103" i="3"/>
  <c r="E2103" i="3"/>
  <c r="F2103" i="3" s="1"/>
  <c r="C2103" i="3"/>
  <c r="D2103" i="3" s="1"/>
  <c r="AH2103" i="3"/>
  <c r="C2033" i="3"/>
  <c r="D2033" i="3" s="1"/>
  <c r="AH2033" i="3"/>
  <c r="H2033" i="3"/>
  <c r="AJ2095" i="3"/>
  <c r="AL2095" i="3"/>
  <c r="C2102" i="3"/>
  <c r="D2102" i="3" s="1"/>
  <c r="E2102" i="3"/>
  <c r="F2102" i="3" s="1"/>
  <c r="H2102" i="3"/>
  <c r="AH2102" i="3"/>
  <c r="AL2105" i="3"/>
  <c r="AJ2105" i="3"/>
  <c r="AH2013" i="3"/>
  <c r="AL2016" i="3"/>
  <c r="AL2034" i="3"/>
  <c r="AJ2034" i="3"/>
  <c r="AL2044" i="3"/>
  <c r="AJ2044" i="3"/>
  <c r="AL2078" i="3"/>
  <c r="AJ2078" i="3"/>
  <c r="AH1999" i="3"/>
  <c r="AH2012" i="3"/>
  <c r="E2018" i="3"/>
  <c r="F2018" i="3" s="1"/>
  <c r="C2048" i="3"/>
  <c r="D2048" i="3" s="1"/>
  <c r="AH2048" i="3"/>
  <c r="H2048" i="3"/>
  <c r="AL2053" i="3"/>
  <c r="AJ2053" i="3"/>
  <c r="AJ2071" i="3"/>
  <c r="H2060" i="3"/>
  <c r="E2060" i="3"/>
  <c r="F2060" i="3" s="1"/>
  <c r="C2060" i="3"/>
  <c r="D2060" i="3" s="1"/>
  <c r="AJ1995" i="3"/>
  <c r="AL1995" i="3"/>
  <c r="H2011" i="3"/>
  <c r="E2011" i="3"/>
  <c r="F2011" i="3" s="1"/>
  <c r="C2015" i="3"/>
  <c r="D2015" i="3" s="1"/>
  <c r="AL2023" i="3"/>
  <c r="AJ2023" i="3"/>
  <c r="C2035" i="3"/>
  <c r="D2035" i="3" s="1"/>
  <c r="AH2035" i="3"/>
  <c r="H2044" i="3"/>
  <c r="C2044" i="3"/>
  <c r="D2044" i="3" s="1"/>
  <c r="AL2045" i="3"/>
  <c r="AJ2050" i="3"/>
  <c r="AL2050" i="3"/>
  <c r="AL2059" i="3"/>
  <c r="AJ2059" i="3"/>
  <c r="AL2061" i="3"/>
  <c r="AJ2061" i="3"/>
  <c r="AJ1998" i="3"/>
  <c r="AL2004" i="3"/>
  <c r="AH2018" i="3"/>
  <c r="AL2019" i="3"/>
  <c r="AJ2019" i="3"/>
  <c r="H2026" i="3"/>
  <c r="E2026" i="3"/>
  <c r="F2026" i="3" s="1"/>
  <c r="E2034" i="3"/>
  <c r="F2034" i="3" s="1"/>
  <c r="H2034" i="3"/>
  <c r="C2050" i="3"/>
  <c r="D2050" i="3" s="1"/>
  <c r="E2058" i="3"/>
  <c r="F2058" i="3" s="1"/>
  <c r="C2066" i="3"/>
  <c r="D2066" i="3" s="1"/>
  <c r="C2070" i="3"/>
  <c r="D2070" i="3" s="1"/>
  <c r="AJ2072" i="3"/>
  <c r="C2094" i="3"/>
  <c r="D2094" i="3" s="1"/>
  <c r="E2094" i="3"/>
  <c r="F2094" i="3" s="1"/>
  <c r="AH2094" i="3"/>
  <c r="AL2117" i="3"/>
  <c r="AJ2117" i="3"/>
  <c r="AL2123" i="3"/>
  <c r="AJ2123" i="3"/>
  <c r="AJ2142" i="3"/>
  <c r="AH2031" i="3"/>
  <c r="E2041" i="3"/>
  <c r="F2041" i="3" s="1"/>
  <c r="E2042" i="3"/>
  <c r="F2042" i="3" s="1"/>
  <c r="AH2046" i="3"/>
  <c r="E2049" i="3"/>
  <c r="F2049" i="3" s="1"/>
  <c r="AH2054" i="3"/>
  <c r="H2056" i="3"/>
  <c r="H2057" i="3"/>
  <c r="H2063" i="3"/>
  <c r="E2064" i="3"/>
  <c r="F2064" i="3" s="1"/>
  <c r="E2065" i="3"/>
  <c r="F2065" i="3" s="1"/>
  <c r="E2067" i="3"/>
  <c r="F2067" i="3" s="1"/>
  <c r="C2069" i="3"/>
  <c r="D2069" i="3" s="1"/>
  <c r="H2071" i="3"/>
  <c r="E2071" i="3"/>
  <c r="F2071" i="3" s="1"/>
  <c r="AH2075" i="3"/>
  <c r="H2087" i="3"/>
  <c r="H2095" i="3"/>
  <c r="AL2097" i="3"/>
  <c r="AJ2097" i="3"/>
  <c r="AL2116" i="3"/>
  <c r="AJ2116" i="3"/>
  <c r="AJ2124" i="3"/>
  <c r="AL2124" i="3"/>
  <c r="E2050" i="3"/>
  <c r="F2050" i="3" s="1"/>
  <c r="H2058" i="3"/>
  <c r="E2066" i="3"/>
  <c r="F2066" i="3" s="1"/>
  <c r="H2070" i="3"/>
  <c r="AH2070" i="3"/>
  <c r="E2080" i="3"/>
  <c r="F2080" i="3" s="1"/>
  <c r="C2080" i="3"/>
  <c r="D2080" i="3" s="1"/>
  <c r="AL2106" i="3"/>
  <c r="AJ2106" i="3"/>
  <c r="AH2021" i="3"/>
  <c r="AH2025" i="3"/>
  <c r="H2042" i="3"/>
  <c r="AH2047" i="3"/>
  <c r="AH2056" i="3"/>
  <c r="H2065" i="3"/>
  <c r="H2066" i="3"/>
  <c r="H2067" i="3"/>
  <c r="E2069" i="3"/>
  <c r="F2069" i="3" s="1"/>
  <c r="AL2139" i="3"/>
  <c r="AJ2139" i="3"/>
  <c r="H2050" i="3"/>
  <c r="AH2057" i="3"/>
  <c r="AH2063" i="3"/>
  <c r="E2073" i="3"/>
  <c r="F2073" i="3" s="1"/>
  <c r="AL2074" i="3"/>
  <c r="AJ2074" i="3"/>
  <c r="E2077" i="3"/>
  <c r="F2077" i="3" s="1"/>
  <c r="AL2083" i="3"/>
  <c r="AJ2083" i="3"/>
  <c r="AJ2085" i="3"/>
  <c r="C2087" i="3"/>
  <c r="D2087" i="3" s="1"/>
  <c r="E2087" i="3"/>
  <c r="F2087" i="3" s="1"/>
  <c r="AJ2089" i="3"/>
  <c r="C2141" i="3"/>
  <c r="D2141" i="3" s="1"/>
  <c r="H2141" i="3"/>
  <c r="E2141" i="3"/>
  <c r="F2141" i="3" s="1"/>
  <c r="AH2141" i="3"/>
  <c r="E2095" i="3"/>
  <c r="F2095" i="3" s="1"/>
  <c r="C2095" i="3"/>
  <c r="D2095" i="3" s="1"/>
  <c r="AL2098" i="3"/>
  <c r="AJ2098" i="3"/>
  <c r="AL2127" i="3"/>
  <c r="AJ2127" i="3"/>
  <c r="C2083" i="3"/>
  <c r="D2083" i="3" s="1"/>
  <c r="E2083" i="3"/>
  <c r="F2083" i="3" s="1"/>
  <c r="AL2091" i="3"/>
  <c r="E2105" i="3"/>
  <c r="F2105" i="3" s="1"/>
  <c r="C2105" i="3"/>
  <c r="D2105" i="3" s="1"/>
  <c r="AH2042" i="3"/>
  <c r="AH2073" i="3"/>
  <c r="H2079" i="3"/>
  <c r="E2079" i="3"/>
  <c r="F2079" i="3" s="1"/>
  <c r="C2079" i="3"/>
  <c r="D2079" i="3" s="1"/>
  <c r="AL2140" i="3"/>
  <c r="AJ2140" i="3"/>
  <c r="AH2067" i="3"/>
  <c r="H2077" i="3"/>
  <c r="C2077" i="3"/>
  <c r="D2077" i="3" s="1"/>
  <c r="AL2086" i="3"/>
  <c r="AJ2086" i="3"/>
  <c r="C2110" i="3"/>
  <c r="D2110" i="3" s="1"/>
  <c r="E2110" i="3"/>
  <c r="F2110" i="3" s="1"/>
  <c r="H2110" i="3"/>
  <c r="H2046" i="3"/>
  <c r="H2094" i="3"/>
  <c r="H2112" i="3"/>
  <c r="AH2112" i="3"/>
  <c r="E2112" i="3"/>
  <c r="F2112" i="3" s="1"/>
  <c r="C2112" i="3"/>
  <c r="D2112" i="3" s="1"/>
  <c r="AL2126" i="3"/>
  <c r="AJ2126" i="3"/>
  <c r="AH2128" i="3"/>
  <c r="H2128" i="3"/>
  <c r="E2128" i="3"/>
  <c r="F2128" i="3" s="1"/>
  <c r="C2128" i="3"/>
  <c r="D2128" i="3" s="1"/>
  <c r="AJ2135" i="3"/>
  <c r="AL2135" i="3"/>
  <c r="E2138" i="3"/>
  <c r="F2138" i="3" s="1"/>
  <c r="H2138" i="3"/>
  <c r="C2138" i="3"/>
  <c r="D2138" i="3" s="1"/>
  <c r="AH2138" i="3"/>
  <c r="E2081" i="3"/>
  <c r="F2081" i="3" s="1"/>
  <c r="H2084" i="3"/>
  <c r="E2085" i="3"/>
  <c r="F2085" i="3" s="1"/>
  <c r="E2089" i="3"/>
  <c r="F2089" i="3" s="1"/>
  <c r="H2097" i="3"/>
  <c r="C2106" i="3"/>
  <c r="D2106" i="3" s="1"/>
  <c r="E2106" i="3"/>
  <c r="F2106" i="3" s="1"/>
  <c r="C2115" i="3"/>
  <c r="D2115" i="3" s="1"/>
  <c r="C2116" i="3"/>
  <c r="D2116" i="3" s="1"/>
  <c r="E2120" i="3"/>
  <c r="F2120" i="3" s="1"/>
  <c r="C2120" i="3"/>
  <c r="D2120" i="3" s="1"/>
  <c r="H2120" i="3"/>
  <c r="E2124" i="3"/>
  <c r="F2124" i="3" s="1"/>
  <c r="H2126" i="3"/>
  <c r="E2134" i="3"/>
  <c r="F2134" i="3" s="1"/>
  <c r="C2134" i="3"/>
  <c r="D2134" i="3" s="1"/>
  <c r="AH2134" i="3"/>
  <c r="H2145" i="3"/>
  <c r="E2145" i="3"/>
  <c r="F2145" i="3" s="1"/>
  <c r="C2145" i="3"/>
  <c r="D2145" i="3" s="1"/>
  <c r="AH2153" i="3"/>
  <c r="H2153" i="3"/>
  <c r="E2153" i="3"/>
  <c r="F2153" i="3" s="1"/>
  <c r="C2153" i="3"/>
  <c r="D2153" i="3" s="1"/>
  <c r="C2175" i="3"/>
  <c r="D2175" i="3" s="1"/>
  <c r="H2175" i="3"/>
  <c r="AH2175" i="3"/>
  <c r="E2175" i="3"/>
  <c r="F2175" i="3" s="1"/>
  <c r="C2098" i="3"/>
  <c r="D2098" i="3" s="1"/>
  <c r="E2098" i="3"/>
  <c r="F2098" i="3" s="1"/>
  <c r="E2115" i="3"/>
  <c r="F2115" i="3" s="1"/>
  <c r="C2123" i="3"/>
  <c r="D2123" i="3" s="1"/>
  <c r="H2127" i="3"/>
  <c r="E2127" i="3"/>
  <c r="F2127" i="3" s="1"/>
  <c r="H2139" i="3"/>
  <c r="C2139" i="3"/>
  <c r="D2139" i="3" s="1"/>
  <c r="E2139" i="3"/>
  <c r="F2139" i="3" s="1"/>
  <c r="AL2171" i="3"/>
  <c r="AJ2171" i="3"/>
  <c r="C2117" i="3"/>
  <c r="D2117" i="3" s="1"/>
  <c r="E2117" i="3"/>
  <c r="F2117" i="3" s="1"/>
  <c r="AH2130" i="3"/>
  <c r="C2130" i="3"/>
  <c r="D2130" i="3" s="1"/>
  <c r="AJ2147" i="3"/>
  <c r="AL2147" i="3"/>
  <c r="C2090" i="3"/>
  <c r="D2090" i="3" s="1"/>
  <c r="E2090" i="3"/>
  <c r="F2090" i="3" s="1"/>
  <c r="C2142" i="3"/>
  <c r="D2142" i="3" s="1"/>
  <c r="H2142" i="3"/>
  <c r="AJ2151" i="3"/>
  <c r="AL2151" i="3"/>
  <c r="AL2154" i="3"/>
  <c r="AJ2154" i="3"/>
  <c r="AH2155" i="3"/>
  <c r="H2155" i="3"/>
  <c r="E2155" i="3"/>
  <c r="F2155" i="3" s="1"/>
  <c r="C2155" i="3"/>
  <c r="D2155" i="3" s="1"/>
  <c r="H2116" i="3"/>
  <c r="E2116" i="3"/>
  <c r="F2116" i="3" s="1"/>
  <c r="E2135" i="3"/>
  <c r="F2135" i="3" s="1"/>
  <c r="C2135" i="3"/>
  <c r="D2135" i="3" s="1"/>
  <c r="H2135" i="3"/>
  <c r="AJ2144" i="3"/>
  <c r="AL2144" i="3"/>
  <c r="AL2166" i="3"/>
  <c r="AJ2166" i="3"/>
  <c r="C2119" i="3"/>
  <c r="D2119" i="3" s="1"/>
  <c r="AH2137" i="3"/>
  <c r="E2137" i="3"/>
  <c r="F2137" i="3" s="1"/>
  <c r="E2140" i="3"/>
  <c r="F2140" i="3" s="1"/>
  <c r="C2140" i="3"/>
  <c r="D2140" i="3" s="1"/>
  <c r="H2140" i="3"/>
  <c r="AJ2148" i="3"/>
  <c r="AL2148" i="3"/>
  <c r="H2123" i="3"/>
  <c r="E2123" i="3"/>
  <c r="F2123" i="3" s="1"/>
  <c r="E2113" i="3"/>
  <c r="F2113" i="3" s="1"/>
  <c r="C2113" i="3"/>
  <c r="D2113" i="3" s="1"/>
  <c r="H2113" i="3"/>
  <c r="H2134" i="3"/>
  <c r="C2121" i="3"/>
  <c r="D2121" i="3" s="1"/>
  <c r="C2125" i="3"/>
  <c r="D2125" i="3" s="1"/>
  <c r="C2146" i="3"/>
  <c r="D2146" i="3" s="1"/>
  <c r="AH2159" i="3"/>
  <c r="C2160" i="3"/>
  <c r="D2160" i="3" s="1"/>
  <c r="H2160" i="3"/>
  <c r="H2170" i="3"/>
  <c r="AH2170" i="3"/>
  <c r="E2170" i="3"/>
  <c r="F2170" i="3" s="1"/>
  <c r="E2171" i="3"/>
  <c r="F2171" i="3" s="1"/>
  <c r="C2173" i="3"/>
  <c r="D2173" i="3" s="1"/>
  <c r="E2173" i="3"/>
  <c r="F2173" i="3" s="1"/>
  <c r="AH2173" i="3"/>
  <c r="C2196" i="3"/>
  <c r="D2196" i="3" s="1"/>
  <c r="AH2196" i="3"/>
  <c r="E2196" i="3"/>
  <c r="F2196" i="3" s="1"/>
  <c r="H2196" i="3"/>
  <c r="AL2208" i="3"/>
  <c r="AJ2208" i="3"/>
  <c r="AL2212" i="3"/>
  <c r="AJ2212" i="3"/>
  <c r="AL2163" i="3"/>
  <c r="AJ2163" i="3"/>
  <c r="AH2168" i="3"/>
  <c r="E2168" i="3"/>
  <c r="F2168" i="3" s="1"/>
  <c r="AJ2177" i="3"/>
  <c r="AL2177" i="3"/>
  <c r="E2190" i="3"/>
  <c r="F2190" i="3" s="1"/>
  <c r="C2190" i="3"/>
  <c r="D2190" i="3" s="1"/>
  <c r="E2194" i="3"/>
  <c r="F2194" i="3" s="1"/>
  <c r="H2194" i="3"/>
  <c r="AH2158" i="3"/>
  <c r="C2195" i="3"/>
  <c r="D2195" i="3" s="1"/>
  <c r="H2195" i="3"/>
  <c r="E2195" i="3"/>
  <c r="F2195" i="3" s="1"/>
  <c r="AH2195" i="3"/>
  <c r="C2203" i="3"/>
  <c r="D2203" i="3" s="1"/>
  <c r="H2203" i="3"/>
  <c r="E2203" i="3"/>
  <c r="F2203" i="3" s="1"/>
  <c r="AJ2211" i="3"/>
  <c r="AL2211" i="3"/>
  <c r="C2151" i="3"/>
  <c r="D2151" i="3" s="1"/>
  <c r="AH2157" i="3"/>
  <c r="C2174" i="3"/>
  <c r="D2174" i="3" s="1"/>
  <c r="E2174" i="3"/>
  <c r="F2174" i="3" s="1"/>
  <c r="AH2174" i="3"/>
  <c r="H2174" i="3"/>
  <c r="C2171" i="3"/>
  <c r="D2171" i="3" s="1"/>
  <c r="H2171" i="3"/>
  <c r="C2181" i="3"/>
  <c r="D2181" i="3" s="1"/>
  <c r="E2181" i="3"/>
  <c r="F2181" i="3" s="1"/>
  <c r="AH2181" i="3"/>
  <c r="AJ2179" i="3"/>
  <c r="AL2179" i="3"/>
  <c r="AJ2207" i="3"/>
  <c r="AL2207" i="3"/>
  <c r="E2133" i="3"/>
  <c r="F2133" i="3" s="1"/>
  <c r="AH2149" i="3"/>
  <c r="E2152" i="3"/>
  <c r="F2152" i="3" s="1"/>
  <c r="H2152" i="3"/>
  <c r="AL2156" i="3"/>
  <c r="C2158" i="3"/>
  <c r="D2158" i="3" s="1"/>
  <c r="C2159" i="3"/>
  <c r="D2159" i="3" s="1"/>
  <c r="C2168" i="3"/>
  <c r="D2168" i="3" s="1"/>
  <c r="AH2178" i="3"/>
  <c r="H2178" i="3"/>
  <c r="AL2190" i="3"/>
  <c r="AJ2190" i="3"/>
  <c r="E2182" i="3"/>
  <c r="F2182" i="3" s="1"/>
  <c r="C2182" i="3"/>
  <c r="D2182" i="3" s="1"/>
  <c r="AH2182" i="3"/>
  <c r="H2182" i="3"/>
  <c r="AJ2194" i="3"/>
  <c r="AH2131" i="3"/>
  <c r="AH2160" i="3"/>
  <c r="C2179" i="3"/>
  <c r="D2179" i="3" s="1"/>
  <c r="H2179" i="3"/>
  <c r="AH2203" i="3"/>
  <c r="E2172" i="3"/>
  <c r="F2172" i="3" s="1"/>
  <c r="H2172" i="3"/>
  <c r="AJ2172" i="3"/>
  <c r="E2180" i="3"/>
  <c r="F2180" i="3" s="1"/>
  <c r="H2180" i="3"/>
  <c r="C2183" i="3"/>
  <c r="D2183" i="3" s="1"/>
  <c r="H2183" i="3"/>
  <c r="E2183" i="3"/>
  <c r="F2183" i="3" s="1"/>
  <c r="AL2237" i="3"/>
  <c r="AJ2237" i="3"/>
  <c r="AJ2220" i="3"/>
  <c r="C2191" i="3"/>
  <c r="D2191" i="3" s="1"/>
  <c r="E2191" i="3"/>
  <c r="F2191" i="3" s="1"/>
  <c r="H2191" i="3"/>
  <c r="C2207" i="3"/>
  <c r="D2207" i="3" s="1"/>
  <c r="H2207" i="3"/>
  <c r="E2207" i="3"/>
  <c r="F2207" i="3" s="1"/>
  <c r="AH2185" i="3"/>
  <c r="H2185" i="3"/>
  <c r="E2185" i="3"/>
  <c r="F2185" i="3" s="1"/>
  <c r="C2187" i="3"/>
  <c r="D2187" i="3" s="1"/>
  <c r="AH2202" i="3"/>
  <c r="C2202" i="3"/>
  <c r="D2202" i="3" s="1"/>
  <c r="E2234" i="3"/>
  <c r="F2234" i="3" s="1"/>
  <c r="AH2234" i="3"/>
  <c r="H2234" i="3"/>
  <c r="AL2242" i="3"/>
  <c r="AJ2242" i="3"/>
  <c r="AJ2247" i="3"/>
  <c r="AL2247" i="3"/>
  <c r="E2163" i="3"/>
  <c r="F2163" i="3" s="1"/>
  <c r="H2163" i="3"/>
  <c r="C2193" i="3"/>
  <c r="D2193" i="3" s="1"/>
  <c r="H2193" i="3"/>
  <c r="E2193" i="3"/>
  <c r="F2193" i="3" s="1"/>
  <c r="E2221" i="3"/>
  <c r="F2221" i="3" s="1"/>
  <c r="AH2221" i="3"/>
  <c r="H2221" i="3"/>
  <c r="C2221" i="3"/>
  <c r="D2221" i="3" s="1"/>
  <c r="AJ2229" i="3"/>
  <c r="AH2180" i="3"/>
  <c r="AH2183" i="3"/>
  <c r="AH2187" i="3"/>
  <c r="C2211" i="3"/>
  <c r="D2211" i="3" s="1"/>
  <c r="E2211" i="3"/>
  <c r="F2211" i="3" s="1"/>
  <c r="H2217" i="3"/>
  <c r="AH2217" i="3"/>
  <c r="E2217" i="3"/>
  <c r="F2217" i="3" s="1"/>
  <c r="C2217" i="3"/>
  <c r="D2217" i="3" s="1"/>
  <c r="E2236" i="3"/>
  <c r="F2236" i="3" s="1"/>
  <c r="H2236" i="3"/>
  <c r="C2236" i="3"/>
  <c r="D2236" i="3" s="1"/>
  <c r="AH2236" i="3"/>
  <c r="AH2199" i="3"/>
  <c r="AL2210" i="3"/>
  <c r="AH2231" i="3"/>
  <c r="E2235" i="3"/>
  <c r="F2235" i="3" s="1"/>
  <c r="H2235" i="3"/>
  <c r="AL2253" i="3"/>
  <c r="AJ2253" i="3"/>
  <c r="AJ2214" i="3"/>
  <c r="C2243" i="3"/>
  <c r="D2243" i="3" s="1"/>
  <c r="H2243" i="3"/>
  <c r="E2243" i="3"/>
  <c r="F2243" i="3" s="1"/>
  <c r="AH2243" i="3"/>
  <c r="E2247" i="3"/>
  <c r="F2247" i="3" s="1"/>
  <c r="C2233" i="3"/>
  <c r="D2233" i="3" s="1"/>
  <c r="E2167" i="3"/>
  <c r="F2167" i="3" s="1"/>
  <c r="H2167" i="3"/>
  <c r="H2197" i="3"/>
  <c r="C2197" i="3"/>
  <c r="D2197" i="3" s="1"/>
  <c r="E2197" i="3"/>
  <c r="F2197" i="3" s="1"/>
  <c r="E2233" i="3"/>
  <c r="F2233" i="3" s="1"/>
  <c r="AJ2254" i="3"/>
  <c r="AL2254" i="3"/>
  <c r="C2247" i="3"/>
  <c r="D2247" i="3" s="1"/>
  <c r="H2247" i="3"/>
  <c r="C2237" i="3"/>
  <c r="D2237" i="3" s="1"/>
  <c r="E2242" i="3"/>
  <c r="F2242" i="3" s="1"/>
  <c r="C2242" i="3"/>
  <c r="D2242" i="3" s="1"/>
  <c r="AL2206" i="3"/>
  <c r="AH2219" i="3"/>
  <c r="H2232" i="3"/>
  <c r="E2232" i="3"/>
  <c r="F2232" i="3" s="1"/>
  <c r="AH2232" i="3"/>
  <c r="AH2215" i="3"/>
  <c r="C2226" i="3"/>
  <c r="D2226" i="3" s="1"/>
  <c r="E2226" i="3"/>
  <c r="F2226" i="3" s="1"/>
  <c r="E2246" i="3"/>
  <c r="F2246" i="3" s="1"/>
  <c r="AH2246" i="3"/>
  <c r="H2246" i="3"/>
  <c r="C2222" i="3"/>
  <c r="D2222" i="3" s="1"/>
  <c r="E2222" i="3"/>
  <c r="F2222" i="3" s="1"/>
  <c r="E2229" i="3"/>
  <c r="F2229" i="3" s="1"/>
  <c r="H2229" i="3"/>
  <c r="AL2241" i="3"/>
  <c r="C2250" i="3"/>
  <c r="D2250" i="3" s="1"/>
  <c r="E2250" i="3"/>
  <c r="F2250" i="3" s="1"/>
  <c r="E2254" i="3"/>
  <c r="F2254" i="3" s="1"/>
  <c r="AL2256" i="3"/>
  <c r="AJ2256" i="3"/>
  <c r="AL2273" i="3"/>
  <c r="AJ2273" i="3"/>
  <c r="AJ2287" i="3"/>
  <c r="AL2287" i="3"/>
  <c r="AL2288" i="3"/>
  <c r="AJ2288" i="3"/>
  <c r="C2254" i="3"/>
  <c r="D2254" i="3" s="1"/>
  <c r="H2254" i="3"/>
  <c r="AL2262" i="3"/>
  <c r="AJ2262" i="3"/>
  <c r="E2257" i="3"/>
  <c r="F2257" i="3" s="1"/>
  <c r="H2257" i="3"/>
  <c r="AH2257" i="3"/>
  <c r="AL2258" i="3"/>
  <c r="AJ2258" i="3"/>
  <c r="AH2201" i="3"/>
  <c r="E2241" i="3"/>
  <c r="F2241" i="3" s="1"/>
  <c r="H2241" i="3"/>
  <c r="AH2250" i="3"/>
  <c r="AJ2265" i="3"/>
  <c r="AL2265" i="3"/>
  <c r="AH2252" i="3"/>
  <c r="AL2277" i="3"/>
  <c r="AJ2277" i="3"/>
  <c r="AH2240" i="3"/>
  <c r="AL2284" i="3"/>
  <c r="AJ2284" i="3"/>
  <c r="AL2289" i="3"/>
  <c r="AJ2289" i="3"/>
  <c r="AL2266" i="3"/>
  <c r="AJ2266" i="3"/>
  <c r="AL2285" i="3"/>
  <c r="AJ2285" i="3"/>
  <c r="C2265" i="3"/>
  <c r="D2265" i="3" s="1"/>
  <c r="H2265" i="3"/>
  <c r="E2265" i="3"/>
  <c r="F2265" i="3" s="1"/>
  <c r="AJ2272" i="3"/>
  <c r="AL2272" i="3"/>
  <c r="AL2269" i="3"/>
  <c r="AJ2269" i="3"/>
  <c r="E2253" i="3"/>
  <c r="F2253" i="3" s="1"/>
  <c r="H2253" i="3"/>
  <c r="AL2267" i="3"/>
  <c r="AJ2267" i="3"/>
  <c r="AJ2280" i="3"/>
  <c r="AL2280" i="3"/>
  <c r="AH2259" i="3"/>
  <c r="AH2263" i="3"/>
  <c r="AH2270" i="3"/>
  <c r="AH2274" i="3"/>
  <c r="AH2281" i="3"/>
  <c r="E2283" i="3"/>
  <c r="F2283" i="3" s="1"/>
  <c r="H2268" i="3"/>
  <c r="C2273" i="3"/>
  <c r="D2273" i="3" s="1"/>
  <c r="E2276" i="3"/>
  <c r="F2276" i="3" s="1"/>
  <c r="H2286" i="3"/>
  <c r="H2290" i="3"/>
  <c r="C2266" i="3"/>
  <c r="D2266" i="3" s="1"/>
  <c r="AH2278" i="3"/>
  <c r="E2280" i="3"/>
  <c r="F2280" i="3" s="1"/>
  <c r="H2283" i="3"/>
  <c r="AH2260" i="3"/>
  <c r="AH2264" i="3"/>
  <c r="AH2271" i="3"/>
  <c r="E2273" i="3"/>
  <c r="F2273" i="3" s="1"/>
  <c r="H2276" i="3"/>
  <c r="C2281" i="3"/>
  <c r="D2281" i="3" s="1"/>
  <c r="AH2282" i="3"/>
  <c r="AH2275" i="3"/>
  <c r="AH2268" i="3"/>
  <c r="H2273" i="3"/>
  <c r="AH2279" i="3"/>
  <c r="AH2286" i="3"/>
  <c r="AH2290" i="3"/>
  <c r="H2266" i="3"/>
  <c r="E2274" i="3"/>
  <c r="F2274" i="3" s="1"/>
  <c r="H2284" i="3"/>
  <c r="AH2276" i="3"/>
  <c r="AH2283" i="3"/>
  <c r="E2260" i="3"/>
  <c r="F2260" i="3" s="1"/>
  <c r="E2264" i="3"/>
  <c r="F2264" i="3" s="1"/>
  <c r="C2268" i="3"/>
  <c r="D2268" i="3" s="1"/>
  <c r="E2275" i="3"/>
  <c r="F2275" i="3" s="1"/>
  <c r="E2282" i="3"/>
  <c r="F2282" i="3" s="1"/>
  <c r="AJ234" i="3" l="1"/>
  <c r="AH29" i="3"/>
  <c r="H29" i="3"/>
  <c r="AH1426" i="3"/>
  <c r="E1426" i="3"/>
  <c r="F1426" i="3" s="1"/>
  <c r="C212" i="3"/>
  <c r="D212" i="3" s="1"/>
  <c r="H212" i="3"/>
  <c r="C1206" i="3"/>
  <c r="D1206" i="3" s="1"/>
  <c r="E1206" i="3"/>
  <c r="F1206" i="3" s="1"/>
  <c r="E441" i="3"/>
  <c r="F441" i="3" s="1"/>
  <c r="C934" i="3"/>
  <c r="D934" i="3" s="1"/>
  <c r="AJ1307" i="3"/>
  <c r="AL1785" i="3"/>
  <c r="AL421" i="3"/>
  <c r="AJ1340" i="3"/>
  <c r="AJ938" i="3"/>
  <c r="AJ500" i="3"/>
  <c r="AJ1771" i="3"/>
  <c r="AJ1925" i="3"/>
  <c r="AJ2017" i="3"/>
  <c r="AL1973" i="3"/>
  <c r="AJ467" i="3"/>
  <c r="AJ107" i="3"/>
  <c r="AL226" i="3"/>
  <c r="AJ959" i="3"/>
  <c r="AJ447" i="3"/>
  <c r="AJ2223" i="3"/>
  <c r="AL2223" i="3"/>
  <c r="AJ1165" i="3"/>
  <c r="AJ108" i="3"/>
  <c r="AL1860" i="3"/>
  <c r="AJ1291" i="3"/>
  <c r="AJ1017" i="3"/>
  <c r="AL2041" i="3"/>
  <c r="AJ1400" i="3"/>
  <c r="AJ985" i="3"/>
  <c r="AL898" i="3"/>
  <c r="AJ1158" i="3"/>
  <c r="AJ990" i="3"/>
  <c r="AL1503" i="3"/>
  <c r="AJ1123" i="3"/>
  <c r="AL1100" i="3"/>
  <c r="AJ265" i="3"/>
  <c r="AL996" i="3"/>
  <c r="AJ1990" i="3"/>
  <c r="AL137" i="3"/>
  <c r="AL1336" i="3"/>
  <c r="AJ956" i="3"/>
  <c r="AJ2238" i="3"/>
  <c r="AL2068" i="3"/>
  <c r="AJ1261" i="3"/>
  <c r="AJ1147" i="3"/>
  <c r="AJ1113" i="3"/>
  <c r="AL1039" i="3"/>
  <c r="AJ37" i="3"/>
  <c r="AJ2082" i="3"/>
  <c r="AJ2226" i="3"/>
  <c r="AL2216" i="3"/>
  <c r="AJ1117" i="3"/>
  <c r="AJ389" i="3"/>
  <c r="AL1996" i="3"/>
  <c r="AL977" i="3"/>
  <c r="AJ2235" i="3"/>
  <c r="AJ1471" i="3"/>
  <c r="AJ1446" i="3"/>
  <c r="AJ1092" i="3"/>
  <c r="AJ1374" i="3"/>
  <c r="AJ889" i="3"/>
  <c r="AJ723" i="3"/>
  <c r="AJ478" i="3"/>
  <c r="AL353" i="3"/>
  <c r="AL80" i="3"/>
  <c r="AJ198" i="3"/>
  <c r="AJ1210" i="3"/>
  <c r="AJ1087" i="3"/>
  <c r="AL1088" i="3"/>
  <c r="AJ961" i="3"/>
  <c r="AJ338" i="3"/>
  <c r="AJ296" i="3"/>
  <c r="AL1176" i="3"/>
  <c r="AL1027" i="3"/>
  <c r="AL1224" i="3"/>
  <c r="AJ1164" i="3"/>
  <c r="AL194" i="3"/>
  <c r="AJ2133" i="3"/>
  <c r="AL1337" i="3"/>
  <c r="AL993" i="3"/>
  <c r="AL1141" i="3"/>
  <c r="AJ828" i="3"/>
  <c r="AL732" i="3"/>
  <c r="AJ431" i="3"/>
  <c r="AJ2026" i="3"/>
  <c r="AJ1546" i="3"/>
  <c r="AL2261" i="3"/>
  <c r="AJ1522" i="3"/>
  <c r="AJ1144" i="3"/>
  <c r="AL736" i="3"/>
  <c r="AL1833" i="3"/>
  <c r="AJ1495" i="3"/>
  <c r="AL1376" i="3"/>
  <c r="AL497" i="3"/>
  <c r="AJ464" i="3"/>
  <c r="AL351" i="3"/>
  <c r="AJ1766" i="3"/>
  <c r="AL2036" i="3"/>
  <c r="AL1910" i="3"/>
  <c r="AJ1510" i="3"/>
  <c r="AJ1379" i="3"/>
  <c r="AL439" i="3"/>
  <c r="AJ212" i="3"/>
  <c r="AJ1102" i="3"/>
  <c r="AJ504" i="3"/>
  <c r="AL1795" i="3"/>
  <c r="AL2107" i="3"/>
  <c r="AL1348" i="3"/>
  <c r="AL1956" i="3"/>
  <c r="AL1449" i="3"/>
  <c r="AJ1286" i="3"/>
  <c r="AJ836" i="3"/>
  <c r="AL503" i="3"/>
  <c r="AJ1021" i="3"/>
  <c r="AJ826" i="3"/>
  <c r="AL729" i="3"/>
  <c r="AJ1033" i="3"/>
  <c r="AL1033" i="3"/>
  <c r="AJ1031" i="3"/>
  <c r="AL1031" i="3"/>
  <c r="AJ103" i="3"/>
  <c r="AL103" i="3"/>
  <c r="AJ846" i="3"/>
  <c r="AL846" i="3"/>
  <c r="AJ2088" i="3"/>
  <c r="AJ1872" i="3"/>
  <c r="AJ1542" i="3"/>
  <c r="AL446" i="3"/>
  <c r="AJ356" i="3"/>
  <c r="AL321" i="3"/>
  <c r="AJ233" i="3"/>
  <c r="AL67" i="3"/>
  <c r="AL1365" i="3"/>
  <c r="AJ1365" i="3"/>
  <c r="AJ2030" i="3"/>
  <c r="AJ2039" i="3"/>
  <c r="AJ1554" i="3"/>
  <c r="AJ1447" i="3"/>
  <c r="AL1232" i="3"/>
  <c r="AJ1170" i="3"/>
  <c r="AJ367" i="3"/>
  <c r="AJ433" i="3"/>
  <c r="AL1326" i="3"/>
  <c r="AJ1234" i="3"/>
  <c r="AL1234" i="3"/>
  <c r="AJ269" i="3"/>
  <c r="AL269" i="3"/>
  <c r="AL2005" i="3"/>
  <c r="AJ2005" i="3"/>
  <c r="AJ2227" i="3"/>
  <c r="AL2227" i="3"/>
  <c r="AJ2100" i="3"/>
  <c r="AJ2245" i="3"/>
  <c r="AJ2062" i="3"/>
  <c r="AJ1104" i="3"/>
  <c r="AJ1136" i="3"/>
  <c r="AJ342" i="3"/>
  <c r="AL1466" i="3"/>
  <c r="AL274" i="3"/>
  <c r="AL1024" i="3"/>
  <c r="AL1248" i="3"/>
  <c r="AJ1248" i="3"/>
  <c r="AJ954" i="3"/>
  <c r="AJ1977" i="3"/>
  <c r="AJ998" i="3"/>
  <c r="AL1439" i="3"/>
  <c r="AL187" i="3"/>
  <c r="AJ187" i="3"/>
  <c r="AL2003" i="3"/>
  <c r="AJ1933" i="3"/>
  <c r="AJ1760" i="3"/>
  <c r="AL1408" i="3"/>
  <c r="AJ1269" i="3"/>
  <c r="AJ997" i="3"/>
  <c r="AJ1972" i="3"/>
  <c r="AJ2108" i="3"/>
  <c r="AJ773" i="3"/>
  <c r="AL406" i="3"/>
  <c r="AJ494" i="3"/>
  <c r="AJ240" i="3"/>
  <c r="AJ916" i="3"/>
  <c r="AJ1849" i="3"/>
  <c r="AL1849" i="3"/>
  <c r="AJ488" i="3"/>
  <c r="AL488" i="3"/>
  <c r="AL2038" i="3"/>
  <c r="AJ2136" i="3"/>
  <c r="AL1811" i="3"/>
  <c r="AJ2233" i="3"/>
  <c r="AJ2167" i="3"/>
  <c r="AJ1901" i="3"/>
  <c r="AJ1181" i="3"/>
  <c r="AJ1852" i="3"/>
  <c r="AJ284" i="3"/>
  <c r="AL1106" i="3"/>
  <c r="AJ1106" i="3"/>
  <c r="AL190" i="3"/>
  <c r="AJ190" i="3"/>
  <c r="AL480" i="3"/>
  <c r="AJ480" i="3"/>
  <c r="AL1116" i="3"/>
  <c r="AJ1116" i="3"/>
  <c r="AL340" i="3"/>
  <c r="AJ340" i="3"/>
  <c r="AJ333" i="3"/>
  <c r="AL333" i="3"/>
  <c r="AJ1932" i="3"/>
  <c r="AL2058" i="3"/>
  <c r="AJ1485" i="3"/>
  <c r="AJ1416" i="3"/>
  <c r="AL1989" i="3"/>
  <c r="AL1931" i="3"/>
  <c r="AJ1762" i="3"/>
  <c r="AJ1375" i="3"/>
  <c r="AJ1236" i="3"/>
  <c r="AJ1152" i="3"/>
  <c r="AJ930" i="3"/>
  <c r="AL350" i="3"/>
  <c r="AJ350" i="3"/>
  <c r="AJ466" i="3"/>
  <c r="AL2248" i="3"/>
  <c r="AJ1318" i="3"/>
  <c r="AJ156" i="3"/>
  <c r="AL1992" i="3"/>
  <c r="AJ1992" i="3"/>
  <c r="AL1188" i="3"/>
  <c r="AJ1188" i="3"/>
  <c r="AL286" i="3"/>
  <c r="AJ286" i="3"/>
  <c r="AJ1461" i="3"/>
  <c r="AL1461" i="3"/>
  <c r="AJ831" i="3"/>
  <c r="AL831" i="3"/>
  <c r="AL386" i="3"/>
  <c r="AJ386" i="3"/>
  <c r="AJ2118" i="3"/>
  <c r="AL2118" i="3"/>
  <c r="AL390" i="3"/>
  <c r="AJ390" i="3"/>
  <c r="AJ2014" i="3"/>
  <c r="AL2014" i="3"/>
  <c r="AL49" i="3"/>
  <c r="AJ49" i="3"/>
  <c r="AJ1943" i="3"/>
  <c r="AL1943" i="3"/>
  <c r="AL1513" i="3"/>
  <c r="AJ1513" i="3"/>
  <c r="AJ1323" i="3"/>
  <c r="AL1323" i="3"/>
  <c r="AL1330" i="3"/>
  <c r="AJ1330" i="3"/>
  <c r="AJ471" i="3"/>
  <c r="AJ183" i="3"/>
  <c r="AJ2101" i="3"/>
  <c r="AL2101" i="3"/>
  <c r="AL1238" i="3"/>
  <c r="AJ1238" i="3"/>
  <c r="AL318" i="3"/>
  <c r="AJ318" i="3"/>
  <c r="AL1360" i="3"/>
  <c r="AJ2228" i="3"/>
  <c r="AL2228" i="3"/>
  <c r="AL2222" i="3"/>
  <c r="AJ2222" i="3"/>
  <c r="AL1198" i="3"/>
  <c r="AJ1198" i="3"/>
  <c r="AJ1324" i="3"/>
  <c r="AL1324" i="3"/>
  <c r="AL484" i="3"/>
  <c r="AJ484" i="3"/>
  <c r="AJ1786" i="3"/>
  <c r="AJ1822" i="3"/>
  <c r="AL1822" i="3"/>
  <c r="AJ1960" i="3"/>
  <c r="AL1960" i="3"/>
  <c r="AJ1011" i="3"/>
  <c r="AL1011" i="3"/>
  <c r="AJ1369" i="3"/>
  <c r="AL1369" i="3"/>
  <c r="AL943" i="3"/>
  <c r="AJ1496" i="3"/>
  <c r="AL1496" i="3"/>
  <c r="AJ989" i="3"/>
  <c r="AL989" i="3"/>
  <c r="AJ498" i="3"/>
  <c r="AJ1241" i="3"/>
  <c r="AJ935" i="3"/>
  <c r="AL2230" i="3"/>
  <c r="AJ2230" i="3"/>
  <c r="AL1467" i="3"/>
  <c r="AJ1467" i="3"/>
  <c r="AJ1207" i="3"/>
  <c r="AL1207" i="3"/>
  <c r="AJ1419" i="3"/>
  <c r="AL1419" i="3"/>
  <c r="AJ405" i="3"/>
  <c r="AL405" i="3"/>
  <c r="AJ1509" i="3"/>
  <c r="AL1509" i="3"/>
  <c r="AJ1370" i="3"/>
  <c r="AL1370" i="3"/>
  <c r="AJ1479" i="3"/>
  <c r="AJ1776" i="3"/>
  <c r="AL1776" i="3"/>
  <c r="AJ2011" i="3"/>
  <c r="AL2011" i="3"/>
  <c r="AL1534" i="3"/>
  <c r="AJ1534" i="3"/>
  <c r="AJ199" i="3"/>
  <c r="AL2081" i="3"/>
  <c r="AJ2081" i="3"/>
  <c r="AL1284" i="3"/>
  <c r="AJ1284" i="3"/>
  <c r="AL1473" i="3"/>
  <c r="AL1389" i="3"/>
  <c r="AJ1389" i="3"/>
  <c r="AJ2146" i="3"/>
  <c r="AL18" i="3"/>
  <c r="AL2122" i="3"/>
  <c r="AJ2122" i="3"/>
  <c r="AJ1949" i="3"/>
  <c r="AL1949" i="3"/>
  <c r="AL1827" i="3"/>
  <c r="AJ1827" i="3"/>
  <c r="AJ1997" i="3"/>
  <c r="AL1997" i="3"/>
  <c r="AJ2165" i="3"/>
  <c r="AL2165" i="3"/>
  <c r="AL1294" i="3"/>
  <c r="AJ1294" i="3"/>
  <c r="AL1304" i="3"/>
  <c r="AJ1304" i="3"/>
  <c r="AJ1505" i="3"/>
  <c r="AL1505" i="3"/>
  <c r="AJ955" i="3"/>
  <c r="AL955" i="3"/>
  <c r="AL195" i="3"/>
  <c r="AJ195" i="3"/>
  <c r="AL125" i="3"/>
  <c r="AJ125" i="3"/>
  <c r="AL1848" i="3"/>
  <c r="AJ1848" i="3"/>
  <c r="AL1538" i="3"/>
  <c r="AJ1538" i="3"/>
  <c r="AJ1402" i="3"/>
  <c r="AL1402" i="3"/>
  <c r="AJ337" i="3"/>
  <c r="AL337" i="3"/>
  <c r="AJ964" i="3"/>
  <c r="AL347" i="3"/>
  <c r="AJ2114" i="3"/>
  <c r="AL2114" i="3"/>
  <c r="AJ1817" i="3"/>
  <c r="AL1817" i="3"/>
  <c r="AL2143" i="3"/>
  <c r="AJ2143" i="3"/>
  <c r="AJ1902" i="3"/>
  <c r="AL1902" i="3"/>
  <c r="AJ2164" i="3"/>
  <c r="AL2164" i="3"/>
  <c r="AL1917" i="3"/>
  <c r="AJ1917" i="3"/>
  <c r="AL1415" i="3"/>
  <c r="AJ1415" i="3"/>
  <c r="AL1381" i="3"/>
  <c r="AJ1381" i="3"/>
  <c r="AL1139" i="3"/>
  <c r="AJ1139" i="3"/>
  <c r="AJ716" i="3"/>
  <c r="AL716" i="3"/>
  <c r="AJ131" i="3"/>
  <c r="AL131" i="3"/>
  <c r="AJ42" i="3"/>
  <c r="AL42" i="3"/>
  <c r="AJ477" i="3"/>
  <c r="AL477" i="3"/>
  <c r="AJ1884" i="3"/>
  <c r="AJ2051" i="3"/>
  <c r="AJ1040" i="3"/>
  <c r="AJ259" i="3"/>
  <c r="AL2043" i="3"/>
  <c r="AJ2043" i="3"/>
  <c r="AL2010" i="3"/>
  <c r="AJ2010" i="3"/>
  <c r="AJ1951" i="3"/>
  <c r="AL1951" i="3"/>
  <c r="AL2162" i="3"/>
  <c r="AJ2162" i="3"/>
  <c r="AL1851" i="3"/>
  <c r="AJ1851" i="3"/>
  <c r="AL1837" i="3"/>
  <c r="AJ1837" i="3"/>
  <c r="AL2002" i="3"/>
  <c r="AJ2002" i="3"/>
  <c r="AJ1009" i="3"/>
  <c r="AL1009" i="3"/>
  <c r="AJ1023" i="3"/>
  <c r="AL1023" i="3"/>
  <c r="AJ1149" i="3"/>
  <c r="AL1149" i="3"/>
  <c r="AJ1101" i="3"/>
  <c r="AL1101" i="3"/>
  <c r="AL951" i="3"/>
  <c r="AJ951" i="3"/>
  <c r="AL328" i="3"/>
  <c r="AJ328" i="3"/>
  <c r="AL404" i="3"/>
  <c r="AJ404" i="3"/>
  <c r="AL41" i="3"/>
  <c r="AJ41" i="3"/>
  <c r="AL55" i="3"/>
  <c r="AJ55" i="3"/>
  <c r="AL1897" i="3"/>
  <c r="AJ1897" i="3"/>
  <c r="AJ1948" i="3"/>
  <c r="AL1948" i="3"/>
  <c r="AJ2125" i="3"/>
  <c r="AL2125" i="3"/>
  <c r="AL1919" i="3"/>
  <c r="AJ1919" i="3"/>
  <c r="AJ1489" i="3"/>
  <c r="AL1489" i="3"/>
  <c r="AJ913" i="3"/>
  <c r="AL913" i="3"/>
  <c r="AJ816" i="3"/>
  <c r="AL816" i="3"/>
  <c r="AL237" i="3"/>
  <c r="AJ237" i="3"/>
  <c r="AJ2225" i="3"/>
  <c r="AL2225" i="3"/>
  <c r="AL2244" i="3"/>
  <c r="AL2169" i="3"/>
  <c r="AJ2189" i="3"/>
  <c r="AL2189" i="3"/>
  <c r="AJ2001" i="3"/>
  <c r="AL2001" i="3"/>
  <c r="AJ1537" i="3"/>
  <c r="AL1537" i="3"/>
  <c r="AJ1896" i="3"/>
  <c r="AL1896" i="3"/>
  <c r="AJ1491" i="3"/>
  <c r="AL1491" i="3"/>
  <c r="AL1193" i="3"/>
  <c r="AJ1193" i="3"/>
  <c r="AJ1331" i="3"/>
  <c r="AL1331" i="3"/>
  <c r="AJ493" i="3"/>
  <c r="AL493" i="3"/>
  <c r="AJ45" i="3"/>
  <c r="AL2204" i="3"/>
  <c r="AJ2204" i="3"/>
  <c r="AL2092" i="3"/>
  <c r="AJ2092" i="3"/>
  <c r="AJ2115" i="3"/>
  <c r="AL2115" i="3"/>
  <c r="AJ2024" i="3"/>
  <c r="AL2024" i="3"/>
  <c r="AJ2192" i="3"/>
  <c r="AL2192" i="3"/>
  <c r="AJ2093" i="3"/>
  <c r="AL2093" i="3"/>
  <c r="AL1952" i="3"/>
  <c r="AJ1952" i="3"/>
  <c r="AJ1767" i="3"/>
  <c r="AL1767" i="3"/>
  <c r="AL1562" i="3"/>
  <c r="AJ1562" i="3"/>
  <c r="AL2218" i="3"/>
  <c r="AJ2218" i="3"/>
  <c r="AL1247" i="3"/>
  <c r="AJ1247" i="3"/>
  <c r="AJ1214" i="3"/>
  <c r="AL1214" i="3"/>
  <c r="AJ1492" i="3"/>
  <c r="AL1492" i="3"/>
  <c r="AL1520" i="3"/>
  <c r="AJ1520" i="3"/>
  <c r="AJ1306" i="3"/>
  <c r="AL1306" i="3"/>
  <c r="AL1186" i="3"/>
  <c r="AJ1186" i="3"/>
  <c r="AL316" i="3"/>
  <c r="AJ316" i="3"/>
  <c r="AL489" i="3"/>
  <c r="AJ489" i="3"/>
  <c r="AL230" i="3"/>
  <c r="AJ230" i="3"/>
  <c r="AL27" i="3"/>
  <c r="AJ27" i="3"/>
  <c r="AJ718" i="3"/>
  <c r="AL444" i="3"/>
  <c r="AJ2184" i="3"/>
  <c r="AL2184" i="3"/>
  <c r="AJ2008" i="3"/>
  <c r="AL2008" i="3"/>
  <c r="AL2009" i="3"/>
  <c r="AJ2009" i="3"/>
  <c r="AJ2000" i="3"/>
  <c r="AL2000" i="3"/>
  <c r="AL2096" i="3"/>
  <c r="AJ2096" i="3"/>
  <c r="AJ2069" i="3"/>
  <c r="AL2069" i="3"/>
  <c r="AJ1855" i="3"/>
  <c r="AL1855" i="3"/>
  <c r="AL2032" i="3"/>
  <c r="AJ2032" i="3"/>
  <c r="AJ1985" i="3"/>
  <c r="AL1985" i="3"/>
  <c r="AJ1305" i="3"/>
  <c r="AL1305" i="3"/>
  <c r="AJ1162" i="3"/>
  <c r="AL1162" i="3"/>
  <c r="AL1161" i="3"/>
  <c r="AJ1161" i="3"/>
  <c r="AJ308" i="3"/>
  <c r="AL308" i="3"/>
  <c r="AJ251" i="3"/>
  <c r="AL251" i="3"/>
  <c r="AJ448" i="3"/>
  <c r="AL448" i="3"/>
  <c r="AL1839" i="3"/>
  <c r="AJ1839" i="3"/>
  <c r="AJ1924" i="3"/>
  <c r="AJ1438" i="3"/>
  <c r="AJ934" i="3"/>
  <c r="AJ2251" i="3"/>
  <c r="AL2251" i="3"/>
  <c r="AJ2188" i="3"/>
  <c r="AL2188" i="3"/>
  <c r="AJ2076" i="3"/>
  <c r="AL2076" i="3"/>
  <c r="AJ1790" i="3"/>
  <c r="AL1790" i="3"/>
  <c r="AJ1885" i="3"/>
  <c r="AL1885" i="3"/>
  <c r="AL1991" i="3"/>
  <c r="AJ1991" i="3"/>
  <c r="AL1797" i="3"/>
  <c r="AJ1797" i="3"/>
  <c r="AL1481" i="3"/>
  <c r="AJ1481" i="3"/>
  <c r="AJ823" i="3"/>
  <c r="AL823" i="3"/>
  <c r="AL303" i="3"/>
  <c r="AJ303" i="3"/>
  <c r="AJ300" i="3"/>
  <c r="AL300" i="3"/>
  <c r="AJ31" i="3"/>
  <c r="AL1983" i="3"/>
  <c r="AJ1983" i="3"/>
  <c r="AJ2064" i="3"/>
  <c r="AL2064" i="3"/>
  <c r="AL2150" i="3"/>
  <c r="AJ2150" i="3"/>
  <c r="AL1968" i="3"/>
  <c r="AJ1968" i="3"/>
  <c r="AJ1773" i="3"/>
  <c r="AL1773" i="3"/>
  <c r="AL1486" i="3"/>
  <c r="AJ1486" i="3"/>
  <c r="AL1460" i="3"/>
  <c r="AJ1460" i="3"/>
  <c r="AL965" i="3"/>
  <c r="AJ965" i="3"/>
  <c r="AL972" i="3"/>
  <c r="AJ972" i="3"/>
  <c r="AJ289" i="3"/>
  <c r="AL289" i="3"/>
  <c r="AJ220" i="3"/>
  <c r="AL220" i="3"/>
  <c r="AJ2049" i="3"/>
  <c r="AJ1315" i="3"/>
  <c r="AJ2020" i="3"/>
  <c r="AL2020" i="3"/>
  <c r="AL2161" i="3"/>
  <c r="AJ2161" i="3"/>
  <c r="AL2209" i="3"/>
  <c r="AJ2209" i="3"/>
  <c r="AL1986" i="3"/>
  <c r="AJ1986" i="3"/>
  <c r="AJ1890" i="3"/>
  <c r="AL1890" i="3"/>
  <c r="AJ2099" i="3"/>
  <c r="AL2099" i="3"/>
  <c r="AJ1936" i="3"/>
  <c r="AL1936" i="3"/>
  <c r="AL1783" i="3"/>
  <c r="AJ1783" i="3"/>
  <c r="AL1209" i="3"/>
  <c r="AJ1209" i="3"/>
  <c r="AL1458" i="3"/>
  <c r="AJ1458" i="3"/>
  <c r="AJ1377" i="3"/>
  <c r="AL1377" i="3"/>
  <c r="AL1146" i="3"/>
  <c r="AJ1146" i="3"/>
  <c r="AJ508" i="3"/>
  <c r="AL508" i="3"/>
  <c r="AJ2239" i="3"/>
  <c r="AJ136" i="3"/>
  <c r="AL127" i="3"/>
  <c r="AL2224" i="3"/>
  <c r="AJ2224" i="3"/>
  <c r="AJ1974" i="3"/>
  <c r="AL1974" i="3"/>
  <c r="AL1981" i="3"/>
  <c r="AJ1981" i="3"/>
  <c r="AL1963" i="3"/>
  <c r="AJ1963" i="3"/>
  <c r="AJ1874" i="3"/>
  <c r="AL1874" i="3"/>
  <c r="AL2186" i="3"/>
  <c r="AJ2186" i="3"/>
  <c r="AL2055" i="3"/>
  <c r="AJ2055" i="3"/>
  <c r="AL1555" i="3"/>
  <c r="AJ1555" i="3"/>
  <c r="AL1310" i="3"/>
  <c r="AJ1310" i="3"/>
  <c r="AL1297" i="3"/>
  <c r="AJ1297" i="3"/>
  <c r="AJ442" i="3"/>
  <c r="AL442" i="3"/>
  <c r="AJ1955" i="3"/>
  <c r="AL1955" i="3"/>
  <c r="AL1864" i="3"/>
  <c r="AJ1864" i="3"/>
  <c r="AL1493" i="3"/>
  <c r="AJ1493" i="3"/>
  <c r="AL1432" i="3"/>
  <c r="AJ1432" i="3"/>
  <c r="AJ1397" i="3"/>
  <c r="AL1397" i="3"/>
  <c r="AJ1525" i="3"/>
  <c r="AL1525" i="3"/>
  <c r="AL1437" i="3"/>
  <c r="AJ1437" i="3"/>
  <c r="AL1197" i="3"/>
  <c r="AJ1197" i="3"/>
  <c r="AL1010" i="3"/>
  <c r="AJ1010" i="3"/>
  <c r="AJ334" i="3"/>
  <c r="AL334" i="3"/>
  <c r="AL279" i="3"/>
  <c r="AJ279" i="3"/>
  <c r="AJ2201" i="3"/>
  <c r="AL2201" i="3"/>
  <c r="AL2185" i="3"/>
  <c r="AJ2185" i="3"/>
  <c r="AJ2075" i="3"/>
  <c r="AL2075" i="3"/>
  <c r="AL2046" i="3"/>
  <c r="AJ2046" i="3"/>
  <c r="AJ1769" i="3"/>
  <c r="AL1769" i="3"/>
  <c r="AL1311" i="3"/>
  <c r="AJ1311" i="3"/>
  <c r="AL473" i="3"/>
  <c r="AJ473" i="3"/>
  <c r="AJ2283" i="3"/>
  <c r="AL2283" i="3"/>
  <c r="AJ2231" i="3"/>
  <c r="AL2231" i="3"/>
  <c r="AJ2170" i="3"/>
  <c r="AL2170" i="3"/>
  <c r="AL2137" i="3"/>
  <c r="AJ2137" i="3"/>
  <c r="AL1880" i="3"/>
  <c r="AJ1880" i="3"/>
  <c r="AJ1832" i="3"/>
  <c r="AL1832" i="3"/>
  <c r="AL1403" i="3"/>
  <c r="AJ1403" i="3"/>
  <c r="AL1036" i="3"/>
  <c r="AJ1036" i="3"/>
  <c r="AJ2276" i="3"/>
  <c r="AL2276" i="3"/>
  <c r="AJ2221" i="3"/>
  <c r="AL2221" i="3"/>
  <c r="AJ1774" i="3"/>
  <c r="AL1774" i="3"/>
  <c r="AL940" i="3"/>
  <c r="AJ940" i="3"/>
  <c r="AL376" i="3"/>
  <c r="AJ376" i="3"/>
  <c r="AJ2219" i="3"/>
  <c r="AL2219" i="3"/>
  <c r="AJ2199" i="3"/>
  <c r="AL2199" i="3"/>
  <c r="AL2138" i="3"/>
  <c r="AJ2138" i="3"/>
  <c r="AL2047" i="3"/>
  <c r="AJ2047" i="3"/>
  <c r="AJ2029" i="3"/>
  <c r="AL2029" i="3"/>
  <c r="AL1953" i="3"/>
  <c r="AJ1953" i="3"/>
  <c r="AL1984" i="3"/>
  <c r="AJ1984" i="3"/>
  <c r="AL1870" i="3"/>
  <c r="AJ1870" i="3"/>
  <c r="AL1387" i="3"/>
  <c r="AJ1387" i="3"/>
  <c r="AJ1322" i="3"/>
  <c r="AL1322" i="3"/>
  <c r="AJ1109" i="3"/>
  <c r="AL1109" i="3"/>
  <c r="AL434" i="3"/>
  <c r="AJ434" i="3"/>
  <c r="AJ2234" i="3"/>
  <c r="AL2234" i="3"/>
  <c r="AL2155" i="3"/>
  <c r="AJ2155" i="3"/>
  <c r="AJ2063" i="3"/>
  <c r="AL2063" i="3"/>
  <c r="AJ1858" i="3"/>
  <c r="AL1858" i="3"/>
  <c r="AJ1829" i="3"/>
  <c r="AL1829" i="3"/>
  <c r="AL1008" i="3"/>
  <c r="AJ1008" i="3"/>
  <c r="AJ770" i="3"/>
  <c r="AL770" i="3"/>
  <c r="AL2160" i="3"/>
  <c r="AJ2160" i="3"/>
  <c r="AL2033" i="3"/>
  <c r="AJ2033" i="3"/>
  <c r="AJ1987" i="3"/>
  <c r="AL1987" i="3"/>
  <c r="AL1798" i="3"/>
  <c r="AJ1798" i="3"/>
  <c r="AL1469" i="3"/>
  <c r="AJ1469" i="3"/>
  <c r="AL1093" i="3"/>
  <c r="AJ1093" i="3"/>
  <c r="AL946" i="3"/>
  <c r="AJ946" i="3"/>
  <c r="AJ438" i="3"/>
  <c r="AL438" i="3"/>
  <c r="AL2290" i="3"/>
  <c r="AJ2290" i="3"/>
  <c r="AL2260" i="3"/>
  <c r="AJ2260" i="3"/>
  <c r="AJ2018" i="3"/>
  <c r="AL2018" i="3"/>
  <c r="AL1980" i="3"/>
  <c r="AJ1980" i="3"/>
  <c r="AL1865" i="3"/>
  <c r="AJ1865" i="3"/>
  <c r="AL818" i="3"/>
  <c r="AJ818" i="3"/>
  <c r="AL2015" i="3"/>
  <c r="AJ2015" i="3"/>
  <c r="AJ1976" i="3"/>
  <c r="AL1976" i="3"/>
  <c r="AL1802" i="3"/>
  <c r="AJ1802" i="3"/>
  <c r="AJ1199" i="3"/>
  <c r="AL1199" i="3"/>
  <c r="AJ988" i="3"/>
  <c r="AL988" i="3"/>
  <c r="AL1816" i="3"/>
  <c r="AJ1816" i="3"/>
  <c r="AL1815" i="3"/>
  <c r="AJ1815" i="3"/>
  <c r="AL1830" i="3"/>
  <c r="AJ1830" i="3"/>
  <c r="AL976" i="3"/>
  <c r="AJ976" i="3"/>
  <c r="AJ2157" i="3"/>
  <c r="AL2157" i="3"/>
  <c r="AL2130" i="3"/>
  <c r="AJ2130" i="3"/>
  <c r="AJ2022" i="3"/>
  <c r="AL2022" i="3"/>
  <c r="AJ1818" i="3"/>
  <c r="AL1818" i="3"/>
  <c r="AJ1529" i="3"/>
  <c r="AL1529" i="3"/>
  <c r="AJ1388" i="3"/>
  <c r="AL1388" i="3"/>
  <c r="AL2182" i="3"/>
  <c r="AJ2182" i="3"/>
  <c r="AJ1076" i="3"/>
  <c r="AL1076" i="3"/>
  <c r="AL768" i="3"/>
  <c r="AJ768" i="3"/>
  <c r="AJ242" i="3"/>
  <c r="AL242" i="3"/>
  <c r="AJ235" i="3"/>
  <c r="AL235" i="3"/>
  <c r="AL310" i="3"/>
  <c r="AJ310" i="3"/>
  <c r="AL241" i="3"/>
  <c r="AJ241" i="3"/>
  <c r="AL154" i="3"/>
  <c r="AJ154" i="3"/>
  <c r="AL268" i="3"/>
  <c r="AJ268" i="3"/>
  <c r="AL130" i="3"/>
  <c r="AJ130" i="3"/>
  <c r="AJ153" i="3"/>
  <c r="AL153" i="3"/>
  <c r="AJ10" i="3"/>
  <c r="AL10" i="3"/>
  <c r="AJ71" i="3"/>
  <c r="AL71" i="3"/>
  <c r="AL408" i="3"/>
  <c r="AJ408" i="3"/>
  <c r="AL85" i="3"/>
  <c r="AJ85" i="3"/>
  <c r="AJ76" i="3"/>
  <c r="AL76" i="3"/>
  <c r="AL2286" i="3"/>
  <c r="AJ2286" i="3"/>
  <c r="AL2281" i="3"/>
  <c r="AJ2281" i="3"/>
  <c r="AL2131" i="3"/>
  <c r="AJ2131" i="3"/>
  <c r="AJ2149" i="3"/>
  <c r="AL2149" i="3"/>
  <c r="AJ2035" i="3"/>
  <c r="AL2035" i="3"/>
  <c r="AJ2013" i="3"/>
  <c r="AL2013" i="3"/>
  <c r="AJ2040" i="3"/>
  <c r="AL2040" i="3"/>
  <c r="AL1876" i="3"/>
  <c r="AJ1876" i="3"/>
  <c r="AL1906" i="3"/>
  <c r="AJ1906" i="3"/>
  <c r="AJ1838" i="3"/>
  <c r="AL1838" i="3"/>
  <c r="AL1768" i="3"/>
  <c r="AJ1768" i="3"/>
  <c r="AL1551" i="3"/>
  <c r="AJ1551" i="3"/>
  <c r="AL1464" i="3"/>
  <c r="AJ1464" i="3"/>
  <c r="AL1558" i="3"/>
  <c r="AJ1558" i="3"/>
  <c r="AL1396" i="3"/>
  <c r="AJ1396" i="3"/>
  <c r="AL1405" i="3"/>
  <c r="AJ1405" i="3"/>
  <c r="AL1414" i="3"/>
  <c r="AJ1414" i="3"/>
  <c r="AL1347" i="3"/>
  <c r="AJ1347" i="3"/>
  <c r="AL1296" i="3"/>
  <c r="AJ1296" i="3"/>
  <c r="AJ1316" i="3"/>
  <c r="AL1316" i="3"/>
  <c r="AL1194" i="3"/>
  <c r="AJ1194" i="3"/>
  <c r="AL1230" i="3"/>
  <c r="AJ1230" i="3"/>
  <c r="AJ1218" i="3"/>
  <c r="AL1218" i="3"/>
  <c r="AL1060" i="3"/>
  <c r="AJ1060" i="3"/>
  <c r="AL1089" i="3"/>
  <c r="AJ1089" i="3"/>
  <c r="AJ1042" i="3"/>
  <c r="AL1042" i="3"/>
  <c r="AL1063" i="3"/>
  <c r="AJ1063" i="3"/>
  <c r="AL1025" i="3"/>
  <c r="AJ1025" i="3"/>
  <c r="AL936" i="3"/>
  <c r="AJ936" i="3"/>
  <c r="AL854" i="3"/>
  <c r="AJ854" i="3"/>
  <c r="AL1057" i="3"/>
  <c r="AJ1057" i="3"/>
  <c r="AL839" i="3"/>
  <c r="AJ839" i="3"/>
  <c r="AJ203" i="3"/>
  <c r="AL203" i="3"/>
  <c r="AL416" i="3"/>
  <c r="AJ416" i="3"/>
  <c r="AJ363" i="3"/>
  <c r="AL363" i="3"/>
  <c r="AL306" i="3"/>
  <c r="AJ306" i="3"/>
  <c r="AL150" i="3"/>
  <c r="AJ150" i="3"/>
  <c r="AJ141" i="3"/>
  <c r="AL141" i="3"/>
  <c r="AL176" i="3"/>
  <c r="AJ176" i="3"/>
  <c r="AL105" i="3"/>
  <c r="AJ105" i="3"/>
  <c r="AJ65" i="3"/>
  <c r="AL65" i="3"/>
  <c r="AL58" i="3"/>
  <c r="AJ58" i="3"/>
  <c r="AL91" i="3"/>
  <c r="AJ91" i="3"/>
  <c r="AL97" i="3"/>
  <c r="AJ97" i="3"/>
  <c r="AL22" i="3"/>
  <c r="AJ22" i="3"/>
  <c r="AJ102" i="3"/>
  <c r="AL102" i="3"/>
  <c r="AL2279" i="3"/>
  <c r="AJ2279" i="3"/>
  <c r="AL2274" i="3"/>
  <c r="AJ2274" i="3"/>
  <c r="AL2181" i="3"/>
  <c r="AJ2181" i="3"/>
  <c r="AL2174" i="3"/>
  <c r="AJ2174" i="3"/>
  <c r="AJ2196" i="3"/>
  <c r="AL2196" i="3"/>
  <c r="AL2134" i="3"/>
  <c r="AJ2134" i="3"/>
  <c r="AL2025" i="3"/>
  <c r="AJ2025" i="3"/>
  <c r="AJ2111" i="3"/>
  <c r="AL2111" i="3"/>
  <c r="AL1993" i="3"/>
  <c r="AJ1993" i="3"/>
  <c r="AJ1893" i="3"/>
  <c r="AL1893" i="3"/>
  <c r="AL1861" i="3"/>
  <c r="AJ1861" i="3"/>
  <c r="AL1809" i="3"/>
  <c r="AJ1809" i="3"/>
  <c r="AL1775" i="3"/>
  <c r="AJ1775" i="3"/>
  <c r="AL1788" i="3"/>
  <c r="AJ1788" i="3"/>
  <c r="AJ1543" i="3"/>
  <c r="AL1543" i="3"/>
  <c r="AL1450" i="3"/>
  <c r="AJ1450" i="3"/>
  <c r="AJ1476" i="3"/>
  <c r="AL1476" i="3"/>
  <c r="AL1440" i="3"/>
  <c r="AJ1440" i="3"/>
  <c r="AL1482" i="3"/>
  <c r="AJ1482" i="3"/>
  <c r="AL1511" i="3"/>
  <c r="AJ1511" i="3"/>
  <c r="AJ1532" i="3"/>
  <c r="AL1532" i="3"/>
  <c r="AL1406" i="3"/>
  <c r="AJ1406" i="3"/>
  <c r="AL1436" i="3"/>
  <c r="AJ1436" i="3"/>
  <c r="AL1451" i="3"/>
  <c r="AJ1451" i="3"/>
  <c r="AL1298" i="3"/>
  <c r="AJ1298" i="3"/>
  <c r="AL1262" i="3"/>
  <c r="AJ1262" i="3"/>
  <c r="AL1221" i="3"/>
  <c r="AJ1221" i="3"/>
  <c r="AJ1182" i="3"/>
  <c r="AL1182" i="3"/>
  <c r="AL1096" i="3"/>
  <c r="AJ1096" i="3"/>
  <c r="AL1068" i="3"/>
  <c r="AJ1068" i="3"/>
  <c r="AJ1084" i="3"/>
  <c r="AL1084" i="3"/>
  <c r="AJ950" i="3"/>
  <c r="AL950" i="3"/>
  <c r="AJ984" i="3"/>
  <c r="AL984" i="3"/>
  <c r="AL932" i="3"/>
  <c r="AJ932" i="3"/>
  <c r="AL821" i="3"/>
  <c r="AJ821" i="3"/>
  <c r="AJ475" i="3"/>
  <c r="AL475" i="3"/>
  <c r="AL482" i="3"/>
  <c r="AJ482" i="3"/>
  <c r="AJ491" i="3"/>
  <c r="AL491" i="3"/>
  <c r="AL509" i="3"/>
  <c r="AJ509" i="3"/>
  <c r="AL403" i="3"/>
  <c r="AJ403" i="3"/>
  <c r="AL426" i="3"/>
  <c r="AJ426" i="3"/>
  <c r="AL263" i="3"/>
  <c r="AJ263" i="3"/>
  <c r="AJ349" i="3"/>
  <c r="AL349" i="3"/>
  <c r="AL166" i="3"/>
  <c r="AJ166" i="3"/>
  <c r="AL146" i="3"/>
  <c r="AJ146" i="3"/>
  <c r="AL267" i="3"/>
  <c r="AJ267" i="3"/>
  <c r="AL17" i="3"/>
  <c r="AJ17" i="3"/>
  <c r="AL32" i="3"/>
  <c r="AJ32" i="3"/>
  <c r="AJ391" i="3"/>
  <c r="AL391" i="3"/>
  <c r="AL258" i="3"/>
  <c r="AJ258" i="3"/>
  <c r="AL2278" i="3"/>
  <c r="AJ2278" i="3"/>
  <c r="AL2270" i="3"/>
  <c r="AJ2270" i="3"/>
  <c r="AJ2252" i="3"/>
  <c r="AL2252" i="3"/>
  <c r="AL2215" i="3"/>
  <c r="AJ2215" i="3"/>
  <c r="AL2236" i="3"/>
  <c r="AJ2236" i="3"/>
  <c r="AJ2187" i="3"/>
  <c r="AL2187" i="3"/>
  <c r="AL2175" i="3"/>
  <c r="AJ2175" i="3"/>
  <c r="AL2021" i="3"/>
  <c r="AJ2021" i="3"/>
  <c r="AJ2031" i="3"/>
  <c r="AL2031" i="3"/>
  <c r="AL2094" i="3"/>
  <c r="AJ2094" i="3"/>
  <c r="AL1913" i="3"/>
  <c r="AJ1913" i="3"/>
  <c r="AL1934" i="3"/>
  <c r="AJ1934" i="3"/>
  <c r="AL1887" i="3"/>
  <c r="AJ1887" i="3"/>
  <c r="AJ1796" i="3"/>
  <c r="AL1796" i="3"/>
  <c r="AL1928" i="3"/>
  <c r="AJ1928" i="3"/>
  <c r="AL1758" i="3"/>
  <c r="AJ1758" i="3"/>
  <c r="AL1475" i="3"/>
  <c r="AJ1475" i="3"/>
  <c r="AL1455" i="3"/>
  <c r="AJ1455" i="3"/>
  <c r="AL1507" i="3"/>
  <c r="AJ1507" i="3"/>
  <c r="AL1390" i="3"/>
  <c r="AJ1390" i="3"/>
  <c r="AL1363" i="3"/>
  <c r="AJ1363" i="3"/>
  <c r="AJ1282" i="3"/>
  <c r="AL1282" i="3"/>
  <c r="AJ1184" i="3"/>
  <c r="AL1184" i="3"/>
  <c r="AL1205" i="3"/>
  <c r="AJ1205" i="3"/>
  <c r="AL1215" i="3"/>
  <c r="AJ1215" i="3"/>
  <c r="AL1237" i="3"/>
  <c r="AJ1237" i="3"/>
  <c r="AL1254" i="3"/>
  <c r="AJ1254" i="3"/>
  <c r="AL1195" i="3"/>
  <c r="AJ1195" i="3"/>
  <c r="AL1118" i="3"/>
  <c r="AJ1118" i="3"/>
  <c r="AJ1053" i="3"/>
  <c r="AL1053" i="3"/>
  <c r="AJ926" i="3"/>
  <c r="AL926" i="3"/>
  <c r="AJ942" i="3"/>
  <c r="AL942" i="3"/>
  <c r="AL928" i="3"/>
  <c r="AJ928" i="3"/>
  <c r="AL830" i="3"/>
  <c r="AJ830" i="3"/>
  <c r="AJ774" i="3"/>
  <c r="AL774" i="3"/>
  <c r="AL969" i="3"/>
  <c r="AJ969" i="3"/>
  <c r="AL835" i="3"/>
  <c r="AJ835" i="3"/>
  <c r="AL490" i="3"/>
  <c r="AJ490" i="3"/>
  <c r="AL856" i="3"/>
  <c r="AJ856" i="3"/>
  <c r="AL400" i="3"/>
  <c r="AJ400" i="3"/>
  <c r="AL505" i="3"/>
  <c r="AJ505" i="3"/>
  <c r="AL372" i="3"/>
  <c r="AJ372" i="3"/>
  <c r="AJ375" i="3"/>
  <c r="AL375" i="3"/>
  <c r="AJ335" i="3"/>
  <c r="AL335" i="3"/>
  <c r="AJ178" i="3"/>
  <c r="AL178" i="3"/>
  <c r="AL248" i="3"/>
  <c r="AJ248" i="3"/>
  <c r="AL142" i="3"/>
  <c r="AJ142" i="3"/>
  <c r="AL290" i="3"/>
  <c r="AJ290" i="3"/>
  <c r="AL172" i="3"/>
  <c r="AJ172" i="3"/>
  <c r="AL24" i="3"/>
  <c r="AJ24" i="3"/>
  <c r="AL57" i="3"/>
  <c r="AJ57" i="3"/>
  <c r="AL15" i="3"/>
  <c r="AJ15" i="3"/>
  <c r="AL74" i="3"/>
  <c r="AJ74" i="3"/>
  <c r="AL2268" i="3"/>
  <c r="AJ2268" i="3"/>
  <c r="AL2263" i="3"/>
  <c r="AJ2263" i="3"/>
  <c r="AJ2250" i="3"/>
  <c r="AL2250" i="3"/>
  <c r="AJ2183" i="3"/>
  <c r="AL2183" i="3"/>
  <c r="AL2159" i="3"/>
  <c r="AJ2159" i="3"/>
  <c r="AL2141" i="3"/>
  <c r="AJ2141" i="3"/>
  <c r="AL2006" i="3"/>
  <c r="AJ2006" i="3"/>
  <c r="AL1938" i="3"/>
  <c r="AJ1938" i="3"/>
  <c r="AL2037" i="3"/>
  <c r="AJ2037" i="3"/>
  <c r="AL1969" i="3"/>
  <c r="AJ1969" i="3"/>
  <c r="AL1875" i="3"/>
  <c r="AJ1875" i="3"/>
  <c r="AL1881" i="3"/>
  <c r="AJ1881" i="3"/>
  <c r="AL1856" i="3"/>
  <c r="AJ1856" i="3"/>
  <c r="AL1799" i="3"/>
  <c r="AJ1799" i="3"/>
  <c r="AJ1472" i="3"/>
  <c r="AL1472" i="3"/>
  <c r="AJ1480" i="3"/>
  <c r="AL1480" i="3"/>
  <c r="AJ1380" i="3"/>
  <c r="AL1380" i="3"/>
  <c r="AL1352" i="3"/>
  <c r="AJ1352" i="3"/>
  <c r="AJ1382" i="3"/>
  <c r="AL1382" i="3"/>
  <c r="AL1349" i="3"/>
  <c r="AJ1349" i="3"/>
  <c r="AL1301" i="3"/>
  <c r="AJ1301" i="3"/>
  <c r="AL1290" i="3"/>
  <c r="AJ1290" i="3"/>
  <c r="AJ1183" i="3"/>
  <c r="AL1183" i="3"/>
  <c r="AJ1175" i="3"/>
  <c r="AL1175" i="3"/>
  <c r="AL1174" i="3"/>
  <c r="AJ1174" i="3"/>
  <c r="AL1154" i="3"/>
  <c r="AJ1154" i="3"/>
  <c r="AL1245" i="3"/>
  <c r="AJ1245" i="3"/>
  <c r="AL1114" i="3"/>
  <c r="AJ1114" i="3"/>
  <c r="AJ1059" i="3"/>
  <c r="AL1059" i="3"/>
  <c r="AJ1034" i="3"/>
  <c r="AL1034" i="3"/>
  <c r="AJ1043" i="3"/>
  <c r="AL1043" i="3"/>
  <c r="AJ937" i="3"/>
  <c r="AL937" i="3"/>
  <c r="AL925" i="3"/>
  <c r="AJ925" i="3"/>
  <c r="AJ899" i="3"/>
  <c r="AL899" i="3"/>
  <c r="AL1056" i="3"/>
  <c r="AJ1056" i="3"/>
  <c r="AL1049" i="3"/>
  <c r="AJ1049" i="3"/>
  <c r="AJ894" i="3"/>
  <c r="AL894" i="3"/>
  <c r="AJ474" i="3"/>
  <c r="AL474" i="3"/>
  <c r="AL481" i="3"/>
  <c r="AJ481" i="3"/>
  <c r="AJ373" i="3"/>
  <c r="AL373" i="3"/>
  <c r="AL396" i="3"/>
  <c r="AJ396" i="3"/>
  <c r="AL462" i="3"/>
  <c r="AJ462" i="3"/>
  <c r="AL331" i="3"/>
  <c r="AJ331" i="3"/>
  <c r="AJ174" i="3"/>
  <c r="AL174" i="3"/>
  <c r="AL116" i="3"/>
  <c r="AJ116" i="3"/>
  <c r="AL201" i="3"/>
  <c r="AJ201" i="3"/>
  <c r="AL371" i="3"/>
  <c r="AJ371" i="3"/>
  <c r="AJ72" i="3"/>
  <c r="AL72" i="3"/>
  <c r="AJ99" i="3"/>
  <c r="AL99" i="3"/>
  <c r="AL9" i="3"/>
  <c r="AJ9" i="3"/>
  <c r="AL2275" i="3"/>
  <c r="AJ2275" i="3"/>
  <c r="AL2259" i="3"/>
  <c r="AJ2259" i="3"/>
  <c r="AL2232" i="3"/>
  <c r="AJ2232" i="3"/>
  <c r="AL2180" i="3"/>
  <c r="AJ2180" i="3"/>
  <c r="AJ2202" i="3"/>
  <c r="AL2202" i="3"/>
  <c r="AJ2203" i="3"/>
  <c r="AL2203" i="3"/>
  <c r="AJ2178" i="3"/>
  <c r="AL2178" i="3"/>
  <c r="AL2195" i="3"/>
  <c r="AJ2195" i="3"/>
  <c r="AL2128" i="3"/>
  <c r="AJ2128" i="3"/>
  <c r="AL2073" i="3"/>
  <c r="AJ2073" i="3"/>
  <c r="AL1850" i="3"/>
  <c r="AJ1850" i="3"/>
  <c r="AL1777" i="3"/>
  <c r="AJ1777" i="3"/>
  <c r="AJ1791" i="3"/>
  <c r="AL1791" i="3"/>
  <c r="AJ1560" i="3"/>
  <c r="AL1560" i="3"/>
  <c r="AL1371" i="3"/>
  <c r="AJ1371" i="3"/>
  <c r="AL1519" i="3"/>
  <c r="AJ1519" i="3"/>
  <c r="AL1359" i="3"/>
  <c r="AJ1359" i="3"/>
  <c r="AL1229" i="3"/>
  <c r="AJ1229" i="3"/>
  <c r="AL1252" i="3"/>
  <c r="AJ1252" i="3"/>
  <c r="AJ1169" i="3"/>
  <c r="AL1169" i="3"/>
  <c r="AL1134" i="3"/>
  <c r="AJ1134" i="3"/>
  <c r="AL1148" i="3"/>
  <c r="AJ1148" i="3"/>
  <c r="AL1159" i="3"/>
  <c r="AJ1159" i="3"/>
  <c r="AL1143" i="3"/>
  <c r="AJ1143" i="3"/>
  <c r="AJ1051" i="3"/>
  <c r="AL1051" i="3"/>
  <c r="AL1075" i="3"/>
  <c r="AJ1075" i="3"/>
  <c r="AJ1203" i="3"/>
  <c r="AL1203" i="3"/>
  <c r="AJ1250" i="3"/>
  <c r="AL1250" i="3"/>
  <c r="AL1111" i="3"/>
  <c r="AJ1111" i="3"/>
  <c r="AJ933" i="3"/>
  <c r="AL933" i="3"/>
  <c r="AL995" i="3"/>
  <c r="AJ995" i="3"/>
  <c r="AL947" i="3"/>
  <c r="AJ947" i="3"/>
  <c r="AL895" i="3"/>
  <c r="AJ895" i="3"/>
  <c r="AL911" i="3"/>
  <c r="AJ911" i="3"/>
  <c r="AL896" i="3"/>
  <c r="AJ896" i="3"/>
  <c r="AL472" i="3"/>
  <c r="AJ472" i="3"/>
  <c r="AJ369" i="3"/>
  <c r="AL369" i="3"/>
  <c r="AL392" i="3"/>
  <c r="AJ392" i="3"/>
  <c r="AL368" i="3"/>
  <c r="AJ368" i="3"/>
  <c r="AL210" i="3"/>
  <c r="AJ210" i="3"/>
  <c r="AJ170" i="3"/>
  <c r="AL170" i="3"/>
  <c r="AJ283" i="3"/>
  <c r="AL283" i="3"/>
  <c r="AJ298" i="3"/>
  <c r="AL298" i="3"/>
  <c r="AL168" i="3"/>
  <c r="AJ168" i="3"/>
  <c r="AL35" i="3"/>
  <c r="AJ35" i="3"/>
  <c r="AL47" i="3"/>
  <c r="AJ47" i="3"/>
  <c r="AL122" i="3"/>
  <c r="AJ122" i="3"/>
  <c r="AL70" i="3"/>
  <c r="AJ70" i="3"/>
  <c r="AL44" i="3"/>
  <c r="AJ44" i="3"/>
  <c r="AL7" i="3"/>
  <c r="AJ7" i="3"/>
  <c r="AL56" i="3"/>
  <c r="AJ56" i="3"/>
  <c r="AL89" i="3"/>
  <c r="AJ89" i="3"/>
  <c r="AL2282" i="3"/>
  <c r="AJ2282" i="3"/>
  <c r="AJ2012" i="3"/>
  <c r="AL2012" i="3"/>
  <c r="AL2102" i="3"/>
  <c r="AJ2102" i="3"/>
  <c r="AJ1895" i="3"/>
  <c r="AL1895" i="3"/>
  <c r="AJ1877" i="3"/>
  <c r="AL1877" i="3"/>
  <c r="AJ1842" i="3"/>
  <c r="AL1842" i="3"/>
  <c r="AL1836" i="3"/>
  <c r="AJ1836" i="3"/>
  <c r="AJ1761" i="3"/>
  <c r="AL1761" i="3"/>
  <c r="AJ1549" i="3"/>
  <c r="AL1549" i="3"/>
  <c r="AL1435" i="3"/>
  <c r="AJ1435" i="3"/>
  <c r="AL1463" i="3"/>
  <c r="AJ1463" i="3"/>
  <c r="AL1346" i="3"/>
  <c r="AJ1346" i="3"/>
  <c r="AJ1401" i="3"/>
  <c r="AL1401" i="3"/>
  <c r="AJ1283" i="3"/>
  <c r="AL1283" i="3"/>
  <c r="AJ1341" i="3"/>
  <c r="AL1341" i="3"/>
  <c r="AL1295" i="3"/>
  <c r="AJ1295" i="3"/>
  <c r="AJ1156" i="3"/>
  <c r="AL1156" i="3"/>
  <c r="AJ1160" i="3"/>
  <c r="AL1160" i="3"/>
  <c r="AJ1178" i="3"/>
  <c r="AL1178" i="3"/>
  <c r="AJ1127" i="3"/>
  <c r="AL1127" i="3"/>
  <c r="AJ1026" i="3"/>
  <c r="AL1026" i="3"/>
  <c r="AL1004" i="3"/>
  <c r="AJ1004" i="3"/>
  <c r="AJ1018" i="3"/>
  <c r="AL1018" i="3"/>
  <c r="AJ929" i="3"/>
  <c r="AL929" i="3"/>
  <c r="AJ1015" i="3"/>
  <c r="AL1015" i="3"/>
  <c r="AL987" i="3"/>
  <c r="AJ987" i="3"/>
  <c r="AJ891" i="3"/>
  <c r="AL891" i="3"/>
  <c r="AL850" i="3"/>
  <c r="AJ850" i="3"/>
  <c r="AJ365" i="3"/>
  <c r="AL365" i="3"/>
  <c r="AL388" i="3"/>
  <c r="AJ388" i="3"/>
  <c r="AL463" i="3"/>
  <c r="AJ463" i="3"/>
  <c r="AJ397" i="3"/>
  <c r="AL397" i="3"/>
  <c r="AL228" i="3"/>
  <c r="AJ228" i="3"/>
  <c r="AL207" i="3"/>
  <c r="AJ207" i="3"/>
  <c r="AL252" i="3"/>
  <c r="AJ252" i="3"/>
  <c r="AJ86" i="3"/>
  <c r="AL86" i="3"/>
  <c r="AJ129" i="3"/>
  <c r="AL129" i="3"/>
  <c r="AL68" i="3"/>
  <c r="AJ68" i="3"/>
  <c r="AJ2243" i="3"/>
  <c r="AL2243" i="3"/>
  <c r="AL2173" i="3"/>
  <c r="AJ2173" i="3"/>
  <c r="AL2042" i="3"/>
  <c r="AJ2042" i="3"/>
  <c r="AJ1999" i="3"/>
  <c r="AL1999" i="3"/>
  <c r="AL1929" i="3"/>
  <c r="AJ1929" i="3"/>
  <c r="AL1871" i="3"/>
  <c r="AJ1871" i="3"/>
  <c r="AL1846" i="3"/>
  <c r="AJ1846" i="3"/>
  <c r="AJ1834" i="3"/>
  <c r="AL1834" i="3"/>
  <c r="AJ1763" i="3"/>
  <c r="AL1763" i="3"/>
  <c r="AJ1844" i="3"/>
  <c r="AL1844" i="3"/>
  <c r="AL1770" i="3"/>
  <c r="AJ1770" i="3"/>
  <c r="AL1518" i="3"/>
  <c r="AJ1518" i="3"/>
  <c r="AL1462" i="3"/>
  <c r="AJ1462" i="3"/>
  <c r="AL1514" i="3"/>
  <c r="AJ1514" i="3"/>
  <c r="AL1338" i="3"/>
  <c r="AJ1338" i="3"/>
  <c r="AJ1353" i="3"/>
  <c r="AL1353" i="3"/>
  <c r="AL1243" i="3"/>
  <c r="AJ1243" i="3"/>
  <c r="AL1292" i="3"/>
  <c r="AJ1292" i="3"/>
  <c r="AL1276" i="3"/>
  <c r="AJ1276" i="3"/>
  <c r="AJ1329" i="3"/>
  <c r="AL1329" i="3"/>
  <c r="AL1213" i="3"/>
  <c r="AJ1213" i="3"/>
  <c r="AL1303" i="3"/>
  <c r="AJ1303" i="3"/>
  <c r="AL1251" i="3"/>
  <c r="AJ1251" i="3"/>
  <c r="AJ1206" i="3"/>
  <c r="AL1206" i="3"/>
  <c r="AL1153" i="3"/>
  <c r="AJ1153" i="3"/>
  <c r="AJ1099" i="3"/>
  <c r="AL1099" i="3"/>
  <c r="AL1067" i="3"/>
  <c r="AJ1067" i="3"/>
  <c r="AL1044" i="3"/>
  <c r="AJ1044" i="3"/>
  <c r="AL887" i="3"/>
  <c r="AJ887" i="3"/>
  <c r="AJ833" i="3"/>
  <c r="AL833" i="3"/>
  <c r="AJ886" i="3"/>
  <c r="AL886" i="3"/>
  <c r="AJ837" i="3"/>
  <c r="AL837" i="3"/>
  <c r="AJ945" i="3"/>
  <c r="AL945" i="3"/>
  <c r="AL888" i="3"/>
  <c r="AJ888" i="3"/>
  <c r="AJ728" i="3"/>
  <c r="AL728" i="3"/>
  <c r="AL506" i="3"/>
  <c r="AJ506" i="3"/>
  <c r="AL384" i="3"/>
  <c r="AJ384" i="3"/>
  <c r="AL435" i="3"/>
  <c r="AJ435" i="3"/>
  <c r="AJ451" i="3"/>
  <c r="AL451" i="3"/>
  <c r="AL352" i="3"/>
  <c r="AJ352" i="3"/>
  <c r="AJ270" i="3"/>
  <c r="AL270" i="3"/>
  <c r="AJ393" i="3"/>
  <c r="AL393" i="3"/>
  <c r="AJ385" i="3"/>
  <c r="AL385" i="3"/>
  <c r="AL202" i="3"/>
  <c r="AJ202" i="3"/>
  <c r="AL245" i="3"/>
  <c r="AJ245" i="3"/>
  <c r="AL185" i="3"/>
  <c r="AJ185" i="3"/>
  <c r="AL28" i="3"/>
  <c r="AJ28" i="3"/>
  <c r="AL109" i="3"/>
  <c r="AJ109" i="3"/>
  <c r="AL1502" i="3"/>
  <c r="AJ1502" i="3"/>
  <c r="AL1535" i="3"/>
  <c r="AJ1535" i="3"/>
  <c r="AL1500" i="3"/>
  <c r="AJ1500" i="3"/>
  <c r="AJ1372" i="3"/>
  <c r="AL1372" i="3"/>
  <c r="AJ1344" i="3"/>
  <c r="AL1344" i="3"/>
  <c r="AL1239" i="3"/>
  <c r="AJ1239" i="3"/>
  <c r="AJ1235" i="3"/>
  <c r="AL1235" i="3"/>
  <c r="AL1332" i="3"/>
  <c r="AJ1332" i="3"/>
  <c r="AL1268" i="3"/>
  <c r="AJ1268" i="3"/>
  <c r="AL1260" i="3"/>
  <c r="AJ1260" i="3"/>
  <c r="AJ1312" i="3"/>
  <c r="AL1312" i="3"/>
  <c r="AL1226" i="3"/>
  <c r="AJ1226" i="3"/>
  <c r="AL1124" i="3"/>
  <c r="AJ1124" i="3"/>
  <c r="AL1217" i="3"/>
  <c r="AJ1217" i="3"/>
  <c r="AJ1227" i="3"/>
  <c r="AL1227" i="3"/>
  <c r="AJ1189" i="3"/>
  <c r="AL1189" i="3"/>
  <c r="AJ1080" i="3"/>
  <c r="AL1080" i="3"/>
  <c r="AL1058" i="3"/>
  <c r="AJ1058" i="3"/>
  <c r="AL1202" i="3"/>
  <c r="AJ1202" i="3"/>
  <c r="AJ962" i="3"/>
  <c r="AL962" i="3"/>
  <c r="AJ883" i="3"/>
  <c r="AL883" i="3"/>
  <c r="AL848" i="3"/>
  <c r="AJ848" i="3"/>
  <c r="AL970" i="3"/>
  <c r="AJ970" i="3"/>
  <c r="AL851" i="3"/>
  <c r="AJ851" i="3"/>
  <c r="AL460" i="3"/>
  <c r="AJ460" i="3"/>
  <c r="AJ487" i="3"/>
  <c r="AL487" i="3"/>
  <c r="AL461" i="3"/>
  <c r="AJ461" i="3"/>
  <c r="AJ383" i="3"/>
  <c r="AL383" i="3"/>
  <c r="AJ430" i="3"/>
  <c r="AL430" i="3"/>
  <c r="AJ470" i="3"/>
  <c r="AL470" i="3"/>
  <c r="AJ208" i="3"/>
  <c r="AL208" i="3"/>
  <c r="AL312" i="3"/>
  <c r="AJ312" i="3"/>
  <c r="AL200" i="3"/>
  <c r="AJ200" i="3"/>
  <c r="AJ59" i="3"/>
  <c r="AL59" i="3"/>
  <c r="AJ344" i="3"/>
  <c r="AL344" i="3"/>
  <c r="AL79" i="3"/>
  <c r="AJ79" i="3"/>
  <c r="AL39" i="3"/>
  <c r="AJ39" i="3"/>
  <c r="AL104" i="3"/>
  <c r="AJ104" i="3"/>
  <c r="AL46" i="3"/>
  <c r="AJ46" i="3"/>
  <c r="AL90" i="3"/>
  <c r="AJ90" i="3"/>
  <c r="AJ51" i="3"/>
  <c r="AL51" i="3"/>
  <c r="AJ1978" i="3"/>
  <c r="AL1978" i="3"/>
  <c r="AL1982" i="3"/>
  <c r="AJ1982" i="3"/>
  <c r="AL1891" i="3"/>
  <c r="AJ1891" i="3"/>
  <c r="AL1909" i="3"/>
  <c r="AJ1909" i="3"/>
  <c r="AL1908" i="3"/>
  <c r="AJ1908" i="3"/>
  <c r="AL1869" i="3"/>
  <c r="AJ1869" i="3"/>
  <c r="AL1828" i="3"/>
  <c r="AJ1828" i="3"/>
  <c r="AL1927" i="3"/>
  <c r="AJ1927" i="3"/>
  <c r="AL1892" i="3"/>
  <c r="AJ1892" i="3"/>
  <c r="AL1879" i="3"/>
  <c r="AJ1879" i="3"/>
  <c r="AL1794" i="3"/>
  <c r="AJ1794" i="3"/>
  <c r="AJ1378" i="3"/>
  <c r="AL1378" i="3"/>
  <c r="AL1394" i="3"/>
  <c r="AJ1394" i="3"/>
  <c r="AL1366" i="3"/>
  <c r="AJ1366" i="3"/>
  <c r="AL1259" i="3"/>
  <c r="AJ1259" i="3"/>
  <c r="AL1249" i="3"/>
  <c r="AJ1249" i="3"/>
  <c r="AL1244" i="3"/>
  <c r="AJ1244" i="3"/>
  <c r="AL1121" i="3"/>
  <c r="AJ1121" i="3"/>
  <c r="AJ1231" i="3"/>
  <c r="AL1231" i="3"/>
  <c r="AL1133" i="3"/>
  <c r="AJ1133" i="3"/>
  <c r="AL1097" i="3"/>
  <c r="AJ1097" i="3"/>
  <c r="AJ1065" i="3"/>
  <c r="AL1065" i="3"/>
  <c r="AJ980" i="3"/>
  <c r="AL980" i="3"/>
  <c r="AL1028" i="3"/>
  <c r="AJ1028" i="3"/>
  <c r="AJ459" i="3"/>
  <c r="AL459" i="3"/>
  <c r="AJ765" i="3"/>
  <c r="AL765" i="3"/>
  <c r="AL502" i="3"/>
  <c r="AJ502" i="3"/>
  <c r="AL501" i="3"/>
  <c r="AJ501" i="3"/>
  <c r="AL419" i="3"/>
  <c r="AJ419" i="3"/>
  <c r="AL348" i="3"/>
  <c r="AJ348" i="3"/>
  <c r="AL432" i="3"/>
  <c r="AJ432" i="3"/>
  <c r="AJ317" i="3"/>
  <c r="AL317" i="3"/>
  <c r="AL320" i="3"/>
  <c r="AJ320" i="3"/>
  <c r="AL261" i="3"/>
  <c r="AJ261" i="3"/>
  <c r="AL309" i="3"/>
  <c r="AJ309" i="3"/>
  <c r="AL221" i="3"/>
  <c r="AJ221" i="3"/>
  <c r="AL134" i="3"/>
  <c r="AJ134" i="3"/>
  <c r="AL453" i="3"/>
  <c r="AJ453" i="3"/>
  <c r="AL355" i="3"/>
  <c r="AJ355" i="3"/>
  <c r="AL20" i="3"/>
  <c r="AJ20" i="3"/>
  <c r="AJ133" i="3"/>
  <c r="AL133" i="3"/>
  <c r="AL327" i="3"/>
  <c r="AJ327" i="3"/>
  <c r="AL69" i="3"/>
  <c r="AJ69" i="3"/>
  <c r="AL2271" i="3"/>
  <c r="AJ2271" i="3"/>
  <c r="AL2257" i="3"/>
  <c r="AJ2257" i="3"/>
  <c r="AJ2153" i="3"/>
  <c r="AL2153" i="3"/>
  <c r="AL2112" i="3"/>
  <c r="AJ2112" i="3"/>
  <c r="AJ2067" i="3"/>
  <c r="AL2067" i="3"/>
  <c r="AL2057" i="3"/>
  <c r="AJ2057" i="3"/>
  <c r="AL2070" i="3"/>
  <c r="AJ2070" i="3"/>
  <c r="AJ2054" i="3"/>
  <c r="AL2054" i="3"/>
  <c r="AJ2048" i="3"/>
  <c r="AL2048" i="3"/>
  <c r="AJ2103" i="3"/>
  <c r="AL2103" i="3"/>
  <c r="AL2052" i="3"/>
  <c r="AJ2052" i="3"/>
  <c r="AJ1959" i="3"/>
  <c r="AL1959" i="3"/>
  <c r="AL1926" i="3"/>
  <c r="AJ1926" i="3"/>
  <c r="AL1954" i="3"/>
  <c r="AJ1954" i="3"/>
  <c r="AJ1824" i="3"/>
  <c r="AL1824" i="3"/>
  <c r="AL1759" i="3"/>
  <c r="AJ1759" i="3"/>
  <c r="AL1498" i="3"/>
  <c r="AJ1498" i="3"/>
  <c r="AL1556" i="3"/>
  <c r="AJ1556" i="3"/>
  <c r="AJ1550" i="3"/>
  <c r="AL1550" i="3"/>
  <c r="AL1494" i="3"/>
  <c r="AJ1494" i="3"/>
  <c r="AL1404" i="3"/>
  <c r="AJ1404" i="3"/>
  <c r="AJ1395" i="3"/>
  <c r="AL1395" i="3"/>
  <c r="AJ1368" i="3"/>
  <c r="AL1368" i="3"/>
  <c r="AL1410" i="3"/>
  <c r="AJ1410" i="3"/>
  <c r="AJ1391" i="3"/>
  <c r="AL1391" i="3"/>
  <c r="AL1445" i="3"/>
  <c r="AJ1445" i="3"/>
  <c r="AL1333" i="3"/>
  <c r="AJ1333" i="3"/>
  <c r="AL1484" i="3"/>
  <c r="AJ1484" i="3"/>
  <c r="AL1129" i="3"/>
  <c r="AJ1129" i="3"/>
  <c r="AL1287" i="3"/>
  <c r="AJ1287" i="3"/>
  <c r="AL1035" i="3"/>
  <c r="AJ1035" i="3"/>
  <c r="AL966" i="3"/>
  <c r="AJ966" i="3"/>
  <c r="AL843" i="3"/>
  <c r="AJ843" i="3"/>
  <c r="AJ717" i="3"/>
  <c r="AL717" i="3"/>
  <c r="AL411" i="3"/>
  <c r="AJ411" i="3"/>
  <c r="AL485" i="3"/>
  <c r="AJ485" i="3"/>
  <c r="AL410" i="3"/>
  <c r="AJ410" i="3"/>
  <c r="AL424" i="3"/>
  <c r="AJ424" i="3"/>
  <c r="AJ262" i="3"/>
  <c r="AL262" i="3"/>
  <c r="AL188" i="3"/>
  <c r="AJ188" i="3"/>
  <c r="AL319" i="3"/>
  <c r="AJ319" i="3"/>
  <c r="AL162" i="3"/>
  <c r="AJ162" i="3"/>
  <c r="AL305" i="3"/>
  <c r="AJ305" i="3"/>
  <c r="AL275" i="3"/>
  <c r="AJ275" i="3"/>
  <c r="AL304" i="3"/>
  <c r="AJ304" i="3"/>
  <c r="AL232" i="3"/>
  <c r="AJ232" i="3"/>
  <c r="AJ161" i="3"/>
  <c r="AL161" i="3"/>
  <c r="AL360" i="3"/>
  <c r="AJ360" i="3"/>
  <c r="AJ135" i="3"/>
  <c r="AL135" i="3"/>
  <c r="AJ25" i="3"/>
  <c r="AL25" i="3"/>
  <c r="AL98" i="3"/>
  <c r="AJ98" i="3"/>
  <c r="AL244" i="3"/>
  <c r="AJ244" i="3"/>
  <c r="AL139" i="3"/>
  <c r="AJ139" i="3"/>
  <c r="AL2264" i="3"/>
  <c r="AJ2264" i="3"/>
  <c r="AJ2240" i="3"/>
  <c r="AL2240" i="3"/>
  <c r="AL2246" i="3"/>
  <c r="AJ2246" i="3"/>
  <c r="AJ2217" i="3"/>
  <c r="AL2217" i="3"/>
  <c r="AL2158" i="3"/>
  <c r="AJ2158" i="3"/>
  <c r="AJ2168" i="3"/>
  <c r="AL2168" i="3"/>
  <c r="AL2056" i="3"/>
  <c r="AJ2056" i="3"/>
  <c r="AJ1937" i="3"/>
  <c r="AL1937" i="3"/>
  <c r="AL1950" i="3"/>
  <c r="AJ1950" i="3"/>
  <c r="AJ1941" i="3"/>
  <c r="AL1941" i="3"/>
  <c r="AL1994" i="3"/>
  <c r="AJ1994" i="3"/>
  <c r="AL1907" i="3"/>
  <c r="AJ1907" i="3"/>
  <c r="AL1904" i="3"/>
  <c r="AJ1904" i="3"/>
  <c r="AJ1915" i="3"/>
  <c r="AL1915" i="3"/>
  <c r="AL1821" i="3"/>
  <c r="AJ1821" i="3"/>
  <c r="AJ1754" i="3"/>
  <c r="AL1754" i="3"/>
  <c r="AL1488" i="3"/>
  <c r="AJ1488" i="3"/>
  <c r="AL1508" i="3"/>
  <c r="AJ1508" i="3"/>
  <c r="AL1470" i="3"/>
  <c r="AJ1470" i="3"/>
  <c r="AL1559" i="3"/>
  <c r="AJ1559" i="3"/>
  <c r="AL1255" i="3"/>
  <c r="AJ1255" i="3"/>
  <c r="AL1246" i="3"/>
  <c r="AJ1246" i="3"/>
  <c r="AL1013" i="3"/>
  <c r="AJ1013" i="3"/>
  <c r="AL1071" i="3"/>
  <c r="AJ1071" i="3"/>
  <c r="AL991" i="3"/>
  <c r="AJ991" i="3"/>
  <c r="AJ912" i="3"/>
  <c r="AL912" i="3"/>
  <c r="AJ960" i="3"/>
  <c r="AL960" i="3"/>
  <c r="AL1045" i="3"/>
  <c r="AJ1045" i="3"/>
  <c r="AJ1038" i="3"/>
  <c r="AL1038" i="3"/>
  <c r="AL825" i="3"/>
  <c r="AJ825" i="3"/>
  <c r="AL948" i="3"/>
  <c r="AJ948" i="3"/>
  <c r="AL829" i="3"/>
  <c r="AJ829" i="3"/>
  <c r="AL914" i="3"/>
  <c r="AJ914" i="3"/>
  <c r="AL803" i="3"/>
  <c r="AJ803" i="3"/>
  <c r="AL541" i="3"/>
  <c r="AJ541" i="3"/>
  <c r="AJ724" i="3"/>
  <c r="AL724" i="3"/>
  <c r="AL631" i="3"/>
  <c r="AJ631" i="3"/>
  <c r="AJ450" i="3"/>
  <c r="AL450" i="3"/>
  <c r="AL341" i="3"/>
  <c r="AJ341" i="3"/>
  <c r="AL469" i="3"/>
  <c r="AJ469" i="3"/>
  <c r="AL255" i="3"/>
  <c r="AJ255" i="3"/>
  <c r="AL313" i="3"/>
  <c r="AJ313" i="3"/>
  <c r="AL247" i="3"/>
  <c r="AJ247" i="3"/>
  <c r="AL158" i="3"/>
  <c r="AJ158" i="3"/>
  <c r="AL302" i="3"/>
  <c r="AJ302" i="3"/>
  <c r="AL301" i="3"/>
  <c r="AJ301" i="3"/>
  <c r="AL227" i="3"/>
  <c r="AJ227" i="3"/>
  <c r="AJ165" i="3"/>
  <c r="AL165" i="3"/>
  <c r="AJ157" i="3"/>
  <c r="AL157" i="3"/>
  <c r="AL238" i="3"/>
  <c r="AJ238" i="3"/>
  <c r="AL180" i="3"/>
  <c r="AJ180" i="3"/>
  <c r="AJ163" i="3"/>
  <c r="AL163" i="3"/>
  <c r="AJ159" i="3"/>
  <c r="AL159" i="3"/>
  <c r="AL112" i="3"/>
  <c r="AJ112" i="3"/>
  <c r="AL38" i="3"/>
  <c r="AJ38" i="3"/>
  <c r="AL84" i="3"/>
  <c r="AJ84" i="3"/>
  <c r="AL63" i="3"/>
  <c r="AJ63" i="3"/>
  <c r="AL30" i="3"/>
  <c r="AJ30" i="3"/>
  <c r="P911" i="4" a="1"/>
  <c r="R895" i="4" a="1"/>
  <c r="P879" i="4" a="1"/>
  <c r="R864" i="4" a="1"/>
  <c r="R849" i="4" a="1"/>
  <c r="AQ833" i="4" a="1"/>
  <c r="P818" i="4" a="1"/>
  <c r="N915" i="4" a="1"/>
  <c r="AQ899" i="4" a="1"/>
  <c r="N884" i="4" a="1"/>
  <c r="AQ867" i="4" a="1"/>
  <c r="AQ851" i="4" a="1"/>
  <c r="R835" i="4" a="1"/>
  <c r="N819" i="4" a="1"/>
  <c r="AQ912" i="4" a="1"/>
  <c r="N897" i="4" a="1"/>
  <c r="AQ879" i="4" a="1"/>
  <c r="P862" i="4" a="1"/>
  <c r="N848" i="4" a="1"/>
  <c r="R832" i="4" a="1"/>
  <c r="N816" i="4" a="1"/>
  <c r="P869" i="4" a="1"/>
  <c r="R807" i="4" a="1"/>
  <c r="N791" i="4" a="1"/>
  <c r="P914" i="4" a="1"/>
  <c r="P898" i="4" a="1"/>
  <c r="P883" i="4" a="1"/>
  <c r="N867" i="4" a="1"/>
  <c r="AQ852" i="4" a="1"/>
  <c r="P837" i="4" a="1"/>
  <c r="N821" i="4" a="1"/>
  <c r="R918" i="4" a="1"/>
  <c r="AQ902" i="4" a="1"/>
  <c r="AQ886" i="4" a="1"/>
  <c r="R871" i="4" a="1"/>
  <c r="R854" i="4" a="1"/>
  <c r="N838" i="4" a="1"/>
  <c r="AQ821" i="4" a="1"/>
  <c r="R916" i="4" a="1"/>
  <c r="R900" i="4" a="1"/>
  <c r="AQ882" i="4" a="1"/>
  <c r="R866" i="4" a="1"/>
  <c r="R850" i="4" a="1"/>
  <c r="P835" i="4" a="1"/>
  <c r="AQ818" i="4" a="1"/>
  <c r="P881" i="4" a="1"/>
  <c r="N811" i="4" a="1"/>
  <c r="R794" i="4" a="1"/>
  <c r="AQ777" i="4" a="1"/>
  <c r="R762" i="4" a="1"/>
  <c r="N747" i="4" a="1"/>
  <c r="R730" i="4" a="1"/>
  <c r="AQ893" i="4" a="1"/>
  <c r="AQ862" i="4" a="1"/>
  <c r="N832" i="4" a="1"/>
  <c r="N913" i="4" a="1"/>
  <c r="AQ881" i="4" a="1"/>
  <c r="P849" i="4" a="1"/>
  <c r="P816" i="4" a="1"/>
  <c r="N895" i="4" a="1"/>
  <c r="P860" i="4" a="1"/>
  <c r="R830" i="4" a="1"/>
  <c r="N853" i="4" a="1"/>
  <c r="N789" i="4" a="1"/>
  <c r="P765" i="4" a="1"/>
  <c r="R745" i="4" a="1"/>
  <c r="R723" i="4" a="1"/>
  <c r="P859" i="4" a="1"/>
  <c r="P806" i="4" a="1"/>
  <c r="AQ789" i="4" a="1"/>
  <c r="R774" i="4" a="1"/>
  <c r="AQ758" i="4" a="1"/>
  <c r="P743" i="4" a="1"/>
  <c r="N728" i="4" a="1"/>
  <c r="P867" i="4" a="1"/>
  <c r="AQ813" i="4" a="1"/>
  <c r="AQ796" i="4" a="1"/>
  <c r="N781" i="4" a="1"/>
  <c r="AQ763" i="4" a="1"/>
  <c r="N900" i="4" a="1"/>
  <c r="N869" i="4" a="1"/>
  <c r="P839" i="4" a="1"/>
  <c r="R920" i="4" a="1"/>
  <c r="AQ888" i="4" a="1"/>
  <c r="P856" i="4" a="1"/>
  <c r="R824" i="4" a="1"/>
  <c r="R902" i="4" a="1"/>
  <c r="R868" i="4" a="1"/>
  <c r="AQ836" i="4" a="1"/>
  <c r="P889" i="4" a="1"/>
  <c r="P796" i="4" a="1"/>
  <c r="P769" i="4" a="1"/>
  <c r="R749" i="4" a="1"/>
  <c r="P727" i="4" a="1"/>
  <c r="N872" i="4" a="1"/>
  <c r="P809" i="4" a="1"/>
  <c r="AQ792" i="4" a="1"/>
  <c r="R777" i="4" a="1"/>
  <c r="P762" i="4" a="1"/>
  <c r="P746" i="4" a="1"/>
  <c r="P731" i="4" a="1"/>
  <c r="R879" i="4" a="1"/>
  <c r="N824" i="4" a="1"/>
  <c r="R799" i="4" a="1"/>
  <c r="N784" i="4" a="1"/>
  <c r="P767" i="4" a="1"/>
  <c r="AQ750" i="4" a="1"/>
  <c r="R735" i="4" a="1"/>
  <c r="N870" i="4" a="1"/>
  <c r="P810" i="4" a="1"/>
  <c r="P913" i="4" a="1"/>
  <c r="N851" i="4" a="1"/>
  <c r="AQ901" i="4" a="1"/>
  <c r="N837" i="4" a="1"/>
  <c r="R881" i="4" a="1"/>
  <c r="N818" i="4" a="1"/>
  <c r="AQ778" i="4" a="1"/>
  <c r="N737" i="4" a="1"/>
  <c r="P832" i="4" a="1"/>
  <c r="P784" i="4" a="1"/>
  <c r="N753" i="4" a="1"/>
  <c r="N909" i="4" a="1"/>
  <c r="N806" i="4" a="1"/>
  <c r="N775" i="4" a="1"/>
  <c r="R748" i="4" a="1"/>
  <c r="P900" i="4" a="1"/>
  <c r="N813" i="4" a="1"/>
  <c r="N907" i="4" a="1"/>
  <c r="N888" i="4" a="1"/>
  <c r="N868" i="4" a="1"/>
  <c r="U845" i="4" a="1"/>
  <c r="AQ825" i="4" a="1"/>
  <c r="R919" i="4" a="1"/>
  <c r="P896" i="4" a="1"/>
  <c r="P876" i="4" a="1"/>
  <c r="R855" i="4" a="1"/>
  <c r="AQ830" i="4" a="1"/>
  <c r="AQ809" i="4" a="1"/>
  <c r="R901" i="4" a="1"/>
  <c r="N876" i="4" a="1"/>
  <c r="P855" i="4" a="1"/>
  <c r="P836" i="4" a="1"/>
  <c r="P917" i="4" a="1"/>
  <c r="R829" i="4" a="1"/>
  <c r="R795" i="4" a="1"/>
  <c r="P910" i="4" a="1"/>
  <c r="AQ890" i="4" a="1"/>
  <c r="AQ870" i="4" a="1"/>
  <c r="R848" i="4" a="1"/>
  <c r="P829" i="4" a="1"/>
  <c r="N810" i="4" a="1"/>
  <c r="N899" i="4" a="1"/>
  <c r="N879" i="4" a="1"/>
  <c r="N858" i="4" a="1"/>
  <c r="R834" i="4" a="1"/>
  <c r="P813" i="4" a="1"/>
  <c r="R904" i="4" a="1"/>
  <c r="AQ878" i="4" a="1"/>
  <c r="AQ857" i="4" a="1"/>
  <c r="AQ838" i="4" a="1"/>
  <c r="N815" i="4" a="1"/>
  <c r="R839" i="4" a="1"/>
  <c r="P798" i="4" a="1"/>
  <c r="AQ773" i="4" a="1"/>
  <c r="P755" i="4" a="1"/>
  <c r="R734" i="4" a="1"/>
  <c r="N886" i="4" a="1"/>
  <c r="R847" i="4" a="1"/>
  <c r="N809" i="4" a="1"/>
  <c r="P874" i="4" a="1"/>
  <c r="AQ832" i="4" a="1"/>
  <c r="R903" i="4" a="1"/>
  <c r="P853" i="4" a="1"/>
  <c r="N814" i="4" a="1"/>
  <c r="P797" i="4" a="1"/>
  <c r="N761" i="4" a="1"/>
  <c r="R733" i="4" a="1"/>
  <c r="AQ875" i="4" a="1"/>
  <c r="AQ800" i="4" a="1"/>
  <c r="P782" i="4" a="1"/>
  <c r="P763" i="4" a="1"/>
  <c r="AP739" i="4" a="1"/>
  <c r="P901" i="4" a="1"/>
  <c r="R827" i="4" a="1"/>
  <c r="P793" i="4" a="1"/>
  <c r="P773" i="4" a="1"/>
  <c r="AQ907" i="4" a="1"/>
  <c r="AQ861" i="4" a="1"/>
  <c r="AQ822" i="4" a="1"/>
  <c r="P897" i="4" a="1"/>
  <c r="P848" i="4" a="1"/>
  <c r="P918" i="4" a="1"/>
  <c r="AQ876" i="4" a="1"/>
  <c r="AQ828" i="4" a="1"/>
  <c r="AQ815" i="4" a="1"/>
  <c r="R775" i="4" a="1"/>
  <c r="R744" i="4" a="1"/>
  <c r="P902" i="4" a="1"/>
  <c r="P822" i="4" a="1"/>
  <c r="AQ788" i="4" a="1"/>
  <c r="N769" i="4" a="1"/>
  <c r="N750" i="4" a="1"/>
  <c r="N727" i="4" a="1"/>
  <c r="P851" i="4" a="1"/>
  <c r="P803" i="4" a="1"/>
  <c r="P780" i="4" a="1"/>
  <c r="R759" i="4" a="1"/>
  <c r="R739" i="4" a="1"/>
  <c r="R857" i="4" a="1"/>
  <c r="P801" i="4" a="1"/>
  <c r="N866" i="4" a="1"/>
  <c r="AQ885" i="4" a="1"/>
  <c r="AQ914" i="4" a="1"/>
  <c r="P834" i="4" a="1"/>
  <c r="R768" i="4" a="1"/>
  <c r="R898" i="4" a="1"/>
  <c r="AQ791" i="4" a="1"/>
  <c r="P745" i="4" a="1"/>
  <c r="AQ847" i="4" a="1"/>
  <c r="N783" i="4" a="1"/>
  <c r="N742" i="4" a="1"/>
  <c r="N860" i="4" a="1"/>
  <c r="AP795" i="4" a="1"/>
  <c r="N779" i="4" a="1"/>
  <c r="R764" i="4" a="1"/>
  <c r="P747" i="4" a="1"/>
  <c r="AQ730" i="4" a="1"/>
  <c r="R721" i="4" a="1"/>
  <c r="AQ704" i="4" a="1"/>
  <c r="N690" i="4" a="1"/>
  <c r="N674" i="4" a="1"/>
  <c r="R657" i="4" a="1"/>
  <c r="N642" i="4" a="1"/>
  <c r="AQ626" i="4" a="1"/>
  <c r="P610" i="4" a="1"/>
  <c r="N716" i="4" a="1"/>
  <c r="AQ700" i="4" a="1"/>
  <c r="P685" i="4" a="1"/>
  <c r="R865" i="4" a="1"/>
  <c r="AQ915" i="4" a="1"/>
  <c r="R852" i="4" a="1"/>
  <c r="AQ897" i="4" a="1"/>
  <c r="R833" i="4" a="1"/>
  <c r="N792" i="4" a="1"/>
  <c r="R746" i="4" a="1"/>
  <c r="N862" i="4" a="1"/>
  <c r="AQ790" i="4" a="1"/>
  <c r="AQ759" i="4" a="1"/>
  <c r="N729" i="4" a="1"/>
  <c r="AQ817" i="4" a="1"/>
  <c r="N782" i="4" a="1"/>
  <c r="AQ751" i="4" a="1"/>
  <c r="R914" i="4" a="1"/>
  <c r="P830" i="4" a="1"/>
  <c r="AQ918" i="4" a="1"/>
  <c r="AQ891" i="4" a="1"/>
  <c r="AQ860" i="4" a="1"/>
  <c r="P838" i="4" a="1"/>
  <c r="AQ810" i="4" a="1"/>
  <c r="R892" i="4" a="1"/>
  <c r="P864" i="4" a="1"/>
  <c r="N839" i="4" a="1"/>
  <c r="R917" i="4" a="1"/>
  <c r="R888" i="4" a="1"/>
  <c r="AQ858" i="4" a="1"/>
  <c r="AQ827" i="4" a="1"/>
  <c r="P885" i="4" a="1"/>
  <c r="N800" i="4" a="1"/>
  <c r="N906" i="4" a="1"/>
  <c r="P878" i="4" a="1"/>
  <c r="R856" i="4" a="1"/>
  <c r="AQ824" i="4" a="1"/>
  <c r="N910" i="4" a="1"/>
  <c r="N883" i="4" a="1"/>
  <c r="AQ850" i="4" a="1"/>
  <c r="R826" i="4" a="1"/>
  <c r="P908" i="4" a="1"/>
  <c r="N875" i="4" a="1"/>
  <c r="N847" i="4" a="1"/>
  <c r="P823" i="4" a="1"/>
  <c r="N826" i="4" a="1"/>
  <c r="P786" i="4" a="1"/>
  <c r="N759" i="4" a="1"/>
  <c r="N917" i="4" a="1"/>
  <c r="AQ869" i="4" a="1"/>
  <c r="R816" i="4" a="1"/>
  <c r="AQ865" i="4" a="1"/>
  <c r="P919" i="4" a="1"/>
  <c r="R869" i="4" a="1"/>
  <c r="N892" i="4" a="1"/>
  <c r="N776" i="4" a="1"/>
  <c r="AQ739" i="4" a="1"/>
  <c r="R838" i="4" a="1"/>
  <c r="R793" i="4" a="1"/>
  <c r="AP766" i="4" a="1"/>
  <c r="AQ735" i="4" a="1"/>
  <c r="N855" i="4" a="1"/>
  <c r="R800" i="4" a="1"/>
  <c r="N768" i="4" a="1"/>
  <c r="N885" i="4" a="1"/>
  <c r="N831" i="4" a="1"/>
  <c r="AQ880" i="4" a="1"/>
  <c r="AQ831" i="4" a="1"/>
  <c r="R885" i="4" a="1"/>
  <c r="R821" i="4" a="1"/>
  <c r="P788" i="4" a="1"/>
  <c r="P754" i="4" a="1"/>
  <c r="P888" i="4" a="1"/>
  <c r="AQ799" i="4" a="1"/>
  <c r="R773" i="4" a="1"/>
  <c r="P742" i="4" a="1"/>
  <c r="N894" i="4" a="1"/>
  <c r="N807" i="4" a="1"/>
  <c r="R776" i="4" a="1"/>
  <c r="R747" i="4" a="1"/>
  <c r="P886" i="4" a="1"/>
  <c r="R797" i="4" a="1"/>
  <c r="P820" i="4" a="1"/>
  <c r="AQ820" i="4" a="1"/>
  <c r="R877" i="4" a="1"/>
  <c r="N748" i="4" a="1"/>
  <c r="N799" i="4" a="1"/>
  <c r="AQ737" i="4" a="1"/>
  <c r="AQ798" i="4" a="1"/>
  <c r="AQ752" i="4" a="1"/>
  <c r="P840" i="4" a="1"/>
  <c r="R787" i="4" a="1"/>
  <c r="AQ767" i="4" a="1"/>
  <c r="AQ742" i="4" a="1"/>
  <c r="AQ722" i="4" a="1"/>
  <c r="P708" i="4" a="1"/>
  <c r="P686" i="4" a="1"/>
  <c r="AQ664" i="4" a="1"/>
  <c r="P645" i="4" a="1"/>
  <c r="R623" i="4" a="1"/>
  <c r="AQ726" i="4" a="1"/>
  <c r="R705" i="4" a="1"/>
  <c r="P912" i="4" a="1"/>
  <c r="AQ834" i="4" a="1"/>
  <c r="AQ868" i="4" a="1"/>
  <c r="R880" i="4" a="1"/>
  <c r="N873" i="4" a="1"/>
  <c r="P757" i="4" a="1"/>
  <c r="R828" i="4" a="1"/>
  <c r="P775" i="4" a="1"/>
  <c r="AQ736" i="4" a="1"/>
  <c r="R805" i="4" a="1"/>
  <c r="AQ764" i="4" a="1"/>
  <c r="R736" i="4" a="1"/>
  <c r="P811" i="4" a="1"/>
  <c r="P790" i="4" a="1"/>
  <c r="N774" i="4" a="1"/>
  <c r="AQ757" i="4" a="1"/>
  <c r="AQ741" i="4" a="1"/>
  <c r="AQ725" i="4" a="1"/>
  <c r="P715" i="4" a="1"/>
  <c r="N700" i="4" a="1"/>
  <c r="R685" i="4" a="1"/>
  <c r="R668" i="4" a="1"/>
  <c r="AQ651" i="4" a="1"/>
  <c r="R637" i="4" a="1"/>
  <c r="R622" i="4" a="1"/>
  <c r="AQ604" i="4" a="1"/>
  <c r="R711" i="4" a="1"/>
  <c r="N696" i="4" a="1"/>
  <c r="AQ873" i="4" a="1"/>
  <c r="R862" i="4" a="1"/>
  <c r="R842" i="4" a="1"/>
  <c r="P753" i="4" a="1"/>
  <c r="P795" i="4" a="1"/>
  <c r="P734" i="4" a="1"/>
  <c r="AQ786" i="4" a="1"/>
  <c r="AQ734" i="4" a="1"/>
  <c r="R798" i="4" a="1"/>
  <c r="R766" i="4" a="1"/>
  <c r="AQ732" i="4" a="1"/>
  <c r="AQ706" i="4" a="1"/>
  <c r="N676" i="4" a="1"/>
  <c r="R643" i="4" a="1"/>
  <c r="P612" i="4" a="1"/>
  <c r="R703" i="4" a="1"/>
  <c r="R678" i="4" a="1"/>
  <c r="N662" i="4" a="1"/>
  <c r="N646" i="4" a="1"/>
  <c r="R629" i="4" a="1"/>
  <c r="R729" i="4" a="1"/>
  <c r="AQ708" i="4" a="1"/>
  <c r="R691" i="4" a="1"/>
  <c r="R675" i="4" a="1"/>
  <c r="AQ659" i="4" a="1"/>
  <c r="AQ644" i="4" a="1"/>
  <c r="P628" i="4" a="1"/>
  <c r="AQ612" i="4" a="1"/>
  <c r="R710" i="4" a="1"/>
  <c r="R695" i="4" a="1"/>
  <c r="N678" i="4" a="1"/>
  <c r="R663" i="4" a="1"/>
  <c r="R647" i="4" a="1"/>
  <c r="AQ631" i="4" a="1"/>
  <c r="P616" i="4" a="1"/>
  <c r="N606" i="4" a="1"/>
  <c r="N589" i="4" a="1"/>
  <c r="P574" i="4" a="1"/>
  <c r="R558" i="4" a="1"/>
  <c r="P542" i="4" a="1"/>
  <c r="N526" i="4" a="1"/>
  <c r="P512" i="4" a="1"/>
  <c r="N496" i="4" a="1"/>
  <c r="R594" i="4" a="1"/>
  <c r="AQ575" i="4" a="1"/>
  <c r="P559" i="4" a="1"/>
  <c r="N543" i="4" a="1"/>
  <c r="AO528" i="4" a="1"/>
  <c r="N512" i="4" a="1"/>
  <c r="AO496" i="4" a="1"/>
  <c r="P596" i="4" a="1"/>
  <c r="R581" i="4" a="1"/>
  <c r="P565" i="4" a="1"/>
  <c r="P550" i="4" a="1"/>
  <c r="AQ532" i="4" a="1"/>
  <c r="AQ516" i="4" a="1"/>
  <c r="P501" i="4" a="1"/>
  <c r="AQ600" i="4" a="1"/>
  <c r="AQ585" i="4" a="1"/>
  <c r="R570" i="4" a="1"/>
  <c r="R555" i="4" a="1"/>
  <c r="AQ540" i="4" a="1"/>
  <c r="R525" i="4" a="1"/>
  <c r="N510" i="4" a="1"/>
  <c r="N843" i="4" a="1"/>
  <c r="N828" i="4" a="1"/>
  <c r="P903" i="4" a="1"/>
  <c r="AQ729" i="4" a="1"/>
  <c r="R779" i="4" a="1"/>
  <c r="P887" i="4" a="1"/>
  <c r="R770" i="4" a="1"/>
  <c r="P882" i="4" a="1"/>
  <c r="R788" i="4" a="1"/>
  <c r="N756" i="4" a="1"/>
  <c r="AQ723" i="4" a="1"/>
  <c r="P698" i="4" a="1"/>
  <c r="R666" i="4" a="1"/>
  <c r="R635" i="4" a="1"/>
  <c r="N730" i="4" a="1"/>
  <c r="N694" i="4" a="1"/>
  <c r="N673" i="4" a="1"/>
  <c r="P657" i="4" a="1"/>
  <c r="N640" i="4" a="1"/>
  <c r="N624" i="4" a="1"/>
  <c r="P915" i="4" a="1"/>
  <c r="P884" i="4" a="1"/>
  <c r="P857" i="4" a="1"/>
  <c r="N830" i="4" a="1"/>
  <c r="N911" i="4" a="1"/>
  <c r="AQ887" i="4" a="1"/>
  <c r="R860" i="4" a="1"/>
  <c r="N827" i="4" a="1"/>
  <c r="P909" i="4" a="1"/>
  <c r="AQ883" i="4" a="1"/>
  <c r="R851" i="4" a="1"/>
  <c r="P824" i="4" a="1"/>
  <c r="P843" i="4" a="1"/>
  <c r="P787" i="4" a="1"/>
  <c r="N902" i="4" a="1"/>
  <c r="R874" i="4" a="1"/>
  <c r="N845" i="4" a="1"/>
  <c r="R817" i="4" a="1"/>
  <c r="AQ906" i="4" a="1"/>
  <c r="P875" i="4" a="1"/>
  <c r="P846" i="4" a="1"/>
  <c r="P817" i="4" a="1"/>
  <c r="N896" i="4" a="1"/>
  <c r="P870" i="4" a="1"/>
  <c r="R843" i="4" a="1"/>
  <c r="R913" i="4" a="1"/>
  <c r="R806" i="4" a="1"/>
  <c r="R782" i="4" a="1"/>
  <c r="P751" i="4" a="1"/>
  <c r="AQ908" i="4" a="1"/>
  <c r="AQ855" i="4" a="1"/>
  <c r="AQ905" i="4" a="1"/>
  <c r="N857" i="4" a="1"/>
  <c r="AQ910" i="4" a="1"/>
  <c r="N846" i="4" a="1"/>
  <c r="R819" i="4" a="1"/>
  <c r="N771" i="4" a="1"/>
  <c r="P728" i="4" a="1"/>
  <c r="N825" i="4" a="1"/>
  <c r="N786" i="4" a="1"/>
  <c r="N755" i="4" a="1"/>
  <c r="P732" i="4" a="1"/>
  <c r="P841" i="4" a="1"/>
  <c r="R789" i="4" a="1"/>
  <c r="R760" i="4" a="1"/>
  <c r="R876" i="4" a="1"/>
  <c r="R815" i="4" a="1"/>
  <c r="R873" i="4" a="1"/>
  <c r="P815" i="4" a="1"/>
  <c r="R859" i="4" a="1"/>
  <c r="N920" i="4" a="1"/>
  <c r="AQ779" i="4" a="1"/>
  <c r="N738" i="4" a="1"/>
  <c r="N852" i="4" a="1"/>
  <c r="N796" i="4" a="1"/>
  <c r="N766" i="4" a="1"/>
  <c r="AQ738" i="4" a="1"/>
  <c r="AQ864" i="4" a="1"/>
  <c r="AQ795" i="4" a="1"/>
  <c r="R772" i="4" a="1"/>
  <c r="N743" i="4" a="1"/>
  <c r="P844" i="4" a="1"/>
  <c r="R897" i="4" a="1"/>
  <c r="AQ916" i="4" a="1"/>
  <c r="AQ898" i="4" a="1"/>
  <c r="R809" i="4" a="1"/>
  <c r="R725" i="4" a="1"/>
  <c r="AQ775" i="4" a="1"/>
  <c r="P730" i="4" a="1"/>
  <c r="R791" i="4" a="1"/>
  <c r="R737" i="4" a="1"/>
  <c r="AQ805" i="4" a="1"/>
  <c r="AQ782" i="4" a="1"/>
  <c r="P759" i="4" a="1"/>
  <c r="P739" i="4" a="1"/>
  <c r="N731" i="4" a="1"/>
  <c r="N701" i="4" a="1"/>
  <c r="AQ681" i="4" a="1"/>
  <c r="P661" i="4" a="1"/>
  <c r="R638" i="4" a="1"/>
  <c r="AQ618" i="4" a="1"/>
  <c r="N720" i="4" a="1"/>
  <c r="N697" i="4" a="1"/>
  <c r="R896" i="4" a="1"/>
  <c r="P819" i="4" a="1"/>
  <c r="R836" i="4" a="1"/>
  <c r="N864" i="4" a="1"/>
  <c r="R808" i="4" a="1"/>
  <c r="N736" i="4" a="1"/>
  <c r="P807" i="4" a="1"/>
  <c r="R767" i="4" a="1"/>
  <c r="P905" i="4" a="1"/>
  <c r="AQ797" i="4" a="1"/>
  <c r="AQ756" i="4" a="1"/>
  <c r="AQ896" i="4" a="1"/>
  <c r="AQ803" i="4" a="1"/>
  <c r="R786" i="4" a="1"/>
  <c r="P770" i="4" a="1"/>
  <c r="R754" i="4" a="1"/>
  <c r="P738" i="4" a="1"/>
  <c r="AQ721" i="4" a="1"/>
  <c r="AQ711" i="4" a="1"/>
  <c r="P696" i="4" a="1"/>
  <c r="AQ680" i="4" a="1"/>
  <c r="AQ663" i="4" a="1"/>
  <c r="P648" i="4" a="1"/>
  <c r="R633" i="4" a="1"/>
  <c r="N618" i="4" a="1"/>
  <c r="P724" i="4" a="1"/>
  <c r="N708" i="4" a="1"/>
  <c r="R692" i="4" a="1"/>
  <c r="N844" i="4" a="1"/>
  <c r="N829" i="4" a="1"/>
  <c r="U909" i="4" a="1"/>
  <c r="R731" i="4" a="1"/>
  <c r="R780" i="4" a="1"/>
  <c r="N890" i="4" a="1"/>
  <c r="R771" i="4" a="1"/>
  <c r="N893" i="4" a="1"/>
  <c r="P789" i="4" a="1"/>
  <c r="R757" i="4" a="1"/>
  <c r="AQ724" i="4" a="1"/>
  <c r="P699" i="4" a="1"/>
  <c r="R667" i="4" a="1"/>
  <c r="R636" i="4" a="1"/>
  <c r="N604" i="4" a="1"/>
  <c r="N695" i="4" a="1"/>
  <c r="N903" i="4" a="1"/>
  <c r="R875" i="4" a="1"/>
  <c r="AQ853" i="4" a="1"/>
  <c r="N822" i="4" a="1"/>
  <c r="R907" i="4" a="1"/>
  <c r="N880" i="4" a="1"/>
  <c r="P847" i="4" a="1"/>
  <c r="R823" i="4" a="1"/>
  <c r="R905" i="4" a="1"/>
  <c r="P871" i="4" a="1"/>
  <c r="R844" i="4" a="1"/>
  <c r="AQ819" i="4" a="1"/>
  <c r="AQ812" i="4" a="1"/>
  <c r="R783" i="4" a="1"/>
  <c r="R894" i="4" a="1"/>
  <c r="R863" i="4" a="1"/>
  <c r="N841" i="4" a="1"/>
  <c r="R813" i="4" a="1"/>
  <c r="P895" i="4" a="1"/>
  <c r="AQ866" i="4" a="1"/>
  <c r="AQ841" i="4" a="1"/>
  <c r="P920" i="4" a="1"/>
  <c r="P891" i="4" a="1"/>
  <c r="P861" i="4" a="1"/>
  <c r="R831" i="4" a="1"/>
  <c r="AQ895" i="4" a="1"/>
  <c r="AQ802" i="4" a="1"/>
  <c r="N770" i="4" a="1"/>
  <c r="R743" i="4" a="1"/>
  <c r="N901" i="4" a="1"/>
  <c r="N840" i="4" a="1"/>
  <c r="N898" i="4" a="1"/>
  <c r="AQ840" i="4" a="1"/>
  <c r="R886" i="4" a="1"/>
  <c r="AQ837" i="4" a="1"/>
  <c r="AP805" i="4" a="1"/>
  <c r="AQ755" i="4" a="1"/>
  <c r="P906" i="4" a="1"/>
  <c r="N812" i="4" a="1"/>
  <c r="R778" i="4" a="1"/>
  <c r="N751" i="4" a="1"/>
  <c r="R915" i="4" a="1"/>
  <c r="N808" i="4" a="1"/>
  <c r="N785" i="4" a="1"/>
  <c r="N916" i="4" a="1"/>
  <c r="AQ854" i="4" a="1"/>
  <c r="N912" i="4" a="1"/>
  <c r="P865" i="4" a="1"/>
  <c r="AQ909" i="4" a="1"/>
  <c r="P852" i="4" a="1"/>
  <c r="AQ845" i="4" a="1"/>
  <c r="P764" i="4" a="1"/>
  <c r="R732" i="4" a="1"/>
  <c r="N835" i="4" a="1"/>
  <c r="P785" i="4" a="1"/>
  <c r="P758" i="4" a="1"/>
  <c r="N735" i="4" a="1"/>
  <c r="R837" i="4" a="1"/>
  <c r="R792" i="4" a="1"/>
  <c r="N763" i="4" a="1"/>
  <c r="N732" i="4" a="1"/>
  <c r="R820" i="4" a="1"/>
  <c r="N882" i="4" a="1"/>
  <c r="R870" i="4" a="1"/>
  <c r="N865" i="4" a="1"/>
  <c r="AQ793" i="4" a="1"/>
  <c r="P868" i="4" a="1"/>
  <c r="P768" i="4" a="1"/>
  <c r="AQ874" i="4" a="1"/>
  <c r="AQ765" i="4" a="1"/>
  <c r="N733" i="4" a="1"/>
  <c r="P800" i="4" a="1"/>
  <c r="AQ774" i="4" a="1"/>
  <c r="R755" i="4" a="1"/>
  <c r="P735" i="4" a="1"/>
  <c r="N717" i="4" a="1"/>
  <c r="P697" i="4" a="1"/>
  <c r="AQ677" i="4" a="1"/>
  <c r="R653" i="4" a="1"/>
  <c r="R634" i="4" a="1"/>
  <c r="P614" i="4" a="1"/>
  <c r="R712" i="4" a="1"/>
  <c r="P693" i="4" a="1"/>
  <c r="N881" i="4" a="1"/>
  <c r="AQ900" i="4" a="1"/>
  <c r="N820" i="4" a="1"/>
  <c r="N849" i="4" a="1"/>
  <c r="AQ776" i="4" a="1"/>
  <c r="R724" i="4" a="1"/>
  <c r="N798" i="4" a="1"/>
  <c r="N752" i="4" a="1"/>
  <c r="N871" i="4" a="1"/>
  <c r="R790" i="4" a="1"/>
  <c r="N746" i="4" a="1"/>
  <c r="N874" i="4" a="1"/>
  <c r="P799" i="4" a="1"/>
  <c r="AQ781" i="4" a="1"/>
  <c r="N767" i="4" a="1"/>
  <c r="R750" i="4" a="1"/>
  <c r="AQ733" i="4" a="1"/>
  <c r="AQ727" i="4" a="1"/>
  <c r="R707" i="4" a="1"/>
  <c r="AQ692" i="4" a="1"/>
  <c r="N677" i="4" a="1"/>
  <c r="P660" i="4" a="1"/>
  <c r="P644" i="4" a="1"/>
  <c r="AQ629" i="4" a="1"/>
  <c r="P613" i="4" a="1"/>
  <c r="AQ718" i="4" a="1"/>
  <c r="R704" i="4" a="1"/>
  <c r="N688" i="4" a="1"/>
  <c r="R812" i="4" a="1"/>
  <c r="P907" i="4" a="1"/>
  <c r="N802" i="4" a="1"/>
  <c r="R884" i="4" a="1"/>
  <c r="N765" i="4" a="1"/>
  <c r="N834" i="4" a="1"/>
  <c r="P756" i="4" a="1"/>
  <c r="P850" i="4" a="1"/>
  <c r="AQ780" i="4" a="1"/>
  <c r="AQ748" i="4" a="1"/>
  <c r="N725" i="4" a="1"/>
  <c r="AQ691" i="4" a="1"/>
  <c r="P659" i="4" a="1"/>
  <c r="AQ628" i="4" a="1"/>
  <c r="AQ717" i="4" a="1"/>
  <c r="N687" i="4" a="1"/>
  <c r="P670" i="4" a="1"/>
  <c r="P654" i="4" a="1"/>
  <c r="P637" i="4" a="1"/>
  <c r="P621" i="4" a="1"/>
  <c r="R716" i="4" a="1"/>
  <c r="AQ698" i="4" a="1"/>
  <c r="P683" i="4" a="1"/>
  <c r="N668" i="4" a="1"/>
  <c r="P652" i="4" a="1"/>
  <c r="N637" i="4" a="1"/>
  <c r="P620" i="4" a="1"/>
  <c r="P718" i="4" a="1"/>
  <c r="N703" i="4" a="1"/>
  <c r="R686" i="4" a="1"/>
  <c r="AQ670" i="4" a="1"/>
  <c r="AQ654" i="4" a="1"/>
  <c r="R640" i="4" a="1"/>
  <c r="R624" i="4" a="1"/>
  <c r="R608" i="4" a="1"/>
  <c r="AQ596" i="4" a="1"/>
  <c r="AQ581" i="4" a="1"/>
  <c r="AQ565" i="4" a="1"/>
  <c r="AQ549" i="4" a="1"/>
  <c r="N534" i="4" a="1"/>
  <c r="N519" i="4" a="1"/>
  <c r="AQ503" i="4" a="1"/>
  <c r="N603" i="4" a="1"/>
  <c r="R584" i="4" a="1"/>
  <c r="R567" i="4" a="1"/>
  <c r="R551" i="4" a="1"/>
  <c r="R535" i="4" a="1"/>
  <c r="R520" i="4" a="1"/>
  <c r="R504" i="4" a="1"/>
  <c r="AQ603" i="4" a="1"/>
  <c r="AQ588" i="4" a="1"/>
  <c r="AQ572" i="4" a="1"/>
  <c r="N558" i="4" a="1"/>
  <c r="AQ541" i="4" a="1"/>
  <c r="N524" i="4" a="1"/>
  <c r="P508" i="4" a="1"/>
  <c r="N494" i="4" a="1"/>
  <c r="N593" i="4" a="1"/>
  <c r="P578" i="4" a="1"/>
  <c r="AQ562" i="4" a="1"/>
  <c r="N548" i="4" a="1"/>
  <c r="R532" i="4" a="1"/>
  <c r="P518" i="4" a="1"/>
  <c r="N904" i="4" a="1"/>
  <c r="R893" i="4" a="1"/>
  <c r="P872" i="4" a="1"/>
  <c r="N772" i="4" a="1"/>
  <c r="AQ814" i="4" a="1"/>
  <c r="AQ747" i="4" a="1"/>
  <c r="R801" i="4" a="1"/>
  <c r="N744" i="4" a="1"/>
  <c r="AQ806" i="4" a="1"/>
  <c r="P772" i="4" a="1"/>
  <c r="N740" i="4" a="1"/>
  <c r="AO713" i="4" a="1"/>
  <c r="AQ682" i="4" a="1"/>
  <c r="AQ649" i="4" a="1"/>
  <c r="AQ619" i="4" a="1"/>
  <c r="N710" i="4" a="1"/>
  <c r="R681" i="4" a="1"/>
  <c r="R665" i="4" a="1"/>
  <c r="AQ648" i="4" a="1"/>
  <c r="P632" i="4" a="1"/>
  <c r="N616" i="4" a="1"/>
  <c r="P712" i="4" a="1"/>
  <c r="AQ693" i="4" a="1"/>
  <c r="P678" i="4" a="1"/>
  <c r="AQ662" i="4" a="1"/>
  <c r="AQ647" i="4" a="1"/>
  <c r="N632" i="4" a="1"/>
  <c r="AQ615" i="4" a="1"/>
  <c r="N713" i="4" a="1"/>
  <c r="R698" i="4" a="1"/>
  <c r="N681" i="4" a="1"/>
  <c r="AQ665" i="4" a="1"/>
  <c r="N650" i="4" a="1"/>
  <c r="AQ634" i="4" a="1"/>
  <c r="N619" i="4" a="1"/>
  <c r="N612" i="4" a="1"/>
  <c r="N592" i="4" a="1"/>
  <c r="N577" i="4" a="1"/>
  <c r="R561" i="4" a="1"/>
  <c r="P545" i="4" a="1"/>
  <c r="AQ528" i="4" a="1"/>
  <c r="AQ514" i="4" a="1"/>
  <c r="R814" i="4" a="1"/>
  <c r="P814" i="4" a="1"/>
  <c r="R899" i="4" a="1"/>
  <c r="AQ859" i="4" a="1"/>
  <c r="P863" i="4" a="1"/>
  <c r="P854" i="4" a="1"/>
  <c r="P766" i="4" a="1"/>
  <c r="R890" i="4" a="1"/>
  <c r="R781" i="4" a="1"/>
  <c r="AQ769" i="4" a="1"/>
  <c r="P777" i="4" a="1"/>
  <c r="AQ839" i="4" a="1"/>
  <c r="N760" i="4" a="1"/>
  <c r="N754" i="4" a="1"/>
  <c r="AQ754" i="4" a="1"/>
  <c r="R853" i="4" a="1"/>
  <c r="AQ760" i="4" a="1"/>
  <c r="P791" i="4" a="1"/>
  <c r="AQ712" i="4" a="1"/>
  <c r="R630" i="4" a="1"/>
  <c r="N850" i="4" a="1"/>
  <c r="AQ766" i="4" a="1"/>
  <c r="P845" i="4" a="1"/>
  <c r="AQ794" i="4" a="1"/>
  <c r="P729" i="4" a="1"/>
  <c r="P673" i="4" a="1"/>
  <c r="P609" i="4" a="1"/>
  <c r="P894" i="4" a="1"/>
  <c r="P749" i="4" a="1"/>
  <c r="N773" i="4" a="1"/>
  <c r="AQ650" i="4" a="1"/>
  <c r="AQ673" i="4" a="1"/>
  <c r="N641" i="4" a="1"/>
  <c r="N721" i="4" a="1"/>
  <c r="AQ686" i="4" a="1"/>
  <c r="N656" i="4" a="1"/>
  <c r="AQ623" i="4" a="1"/>
  <c r="N707" i="4" a="1"/>
  <c r="P674" i="4" a="1"/>
  <c r="AQ643" i="4" a="1"/>
  <c r="R612" i="4" a="1"/>
  <c r="AO585" i="4" a="1"/>
  <c r="P554" i="4" a="1"/>
  <c r="AQ522" i="4" a="1"/>
  <c r="N609" i="4" a="1"/>
  <c r="N572" i="4" a="1"/>
  <c r="P539" i="4" a="1"/>
  <c r="R508" i="4" a="1"/>
  <c r="R592" i="4" a="1"/>
  <c r="N562" i="4" a="1"/>
  <c r="P529" i="4" a="1"/>
  <c r="P497" i="4" a="1"/>
  <c r="N582" i="4" a="1"/>
  <c r="AQ551" i="4" a="1"/>
  <c r="N522" i="4" a="1"/>
  <c r="AO811" i="4" a="1"/>
  <c r="N801" i="4" a="1"/>
  <c r="N764" i="4" a="1"/>
  <c r="AQ753" i="4" a="1"/>
  <c r="N780" i="4" a="1"/>
  <c r="N723" i="4" a="1"/>
  <c r="P658" i="4" a="1"/>
  <c r="AQ716" i="4" a="1"/>
  <c r="P669" i="4" a="1"/>
  <c r="P636" i="4" a="1"/>
  <c r="R719" i="4" a="1"/>
  <c r="AQ697" i="4" a="1"/>
  <c r="R674" i="4" a="1"/>
  <c r="N655" i="4" a="1"/>
  <c r="N636" i="4" a="1"/>
  <c r="AQ611" i="4" a="1"/>
  <c r="N706" i="4" a="1"/>
  <c r="AQ684" i="4" a="1"/>
  <c r="R662" i="4" a="1"/>
  <c r="N643" i="4" a="1"/>
  <c r="AQ622" i="4" a="1"/>
  <c r="P603" i="4" a="1"/>
  <c r="AQ584" i="4" a="1"/>
  <c r="AQ564" i="4" a="1"/>
  <c r="P541" i="4" a="1"/>
  <c r="AQ521" i="4" a="1"/>
  <c r="AQ502" i="4" a="1"/>
  <c r="P602" i="4" a="1"/>
  <c r="R583" i="4" a="1"/>
  <c r="R566" i="4" a="1"/>
  <c r="R550" i="4" a="1"/>
  <c r="R534" i="4" a="1"/>
  <c r="AQ518" i="4" a="1"/>
  <c r="R503" i="4" a="1"/>
  <c r="AQ602" i="4" a="1"/>
  <c r="AQ587" i="4" a="1"/>
  <c r="AQ571" i="4" a="1"/>
  <c r="N557" i="4" a="1"/>
  <c r="N540" i="4" a="1"/>
  <c r="P523" i="4" a="1"/>
  <c r="R507" i="4" a="1"/>
  <c r="N613" i="4" a="1"/>
  <c r="P592" i="4" a="1"/>
  <c r="P577" i="4" a="1"/>
  <c r="AQ561" i="4" a="1"/>
  <c r="P547" i="4" a="1"/>
  <c r="R531" i="4" a="1"/>
  <c r="R517" i="4" a="1"/>
  <c r="AQ889" i="4" a="1"/>
  <c r="AQ856" i="4" a="1"/>
  <c r="P804" i="4" a="1"/>
  <c r="N795" i="4" a="1"/>
  <c r="N803" i="4" a="1"/>
  <c r="P737" i="4" a="1"/>
  <c r="AQ679" i="4" a="1"/>
  <c r="N617" i="4" a="1"/>
  <c r="R680" i="4" a="1"/>
  <c r="N648" i="4" a="1"/>
  <c r="N615" i="4" a="1"/>
  <c r="N693" i="4" a="1"/>
  <c r="AQ661" i="4" a="1"/>
  <c r="N631" i="4" a="1"/>
  <c r="N712" i="4" a="1"/>
  <c r="N680" i="4" a="1"/>
  <c r="P649" i="4" a="1"/>
  <c r="P618" i="4" a="1"/>
  <c r="N591" i="4" a="1"/>
  <c r="R560" i="4" a="1"/>
  <c r="AQ527" i="4" a="1"/>
  <c r="AQ497" i="4" a="1"/>
  <c r="AQ577" i="4" a="1"/>
  <c r="N545" i="4" a="1"/>
  <c r="P899" i="4" a="1"/>
  <c r="AQ903" i="4" a="1"/>
  <c r="P892" i="4" a="1"/>
  <c r="R803" i="4" a="1"/>
  <c r="N833" i="4" a="1"/>
  <c r="AQ829" i="4" a="1"/>
  <c r="AQ826" i="4" a="1"/>
  <c r="N739" i="4" a="1"/>
  <c r="R825" i="4" a="1"/>
  <c r="P750" i="4" a="1"/>
  <c r="AQ746" i="4" a="1"/>
  <c r="AQ892" i="4" a="1"/>
  <c r="P893" i="4" a="1"/>
  <c r="N919" i="4" a="1"/>
  <c r="R911" i="4" a="1"/>
  <c r="P904" i="4" a="1"/>
  <c r="AQ849" i="4" a="1"/>
  <c r="P821" i="4" a="1"/>
  <c r="P771" i="4" a="1"/>
  <c r="R693" i="4" a="1"/>
  <c r="R606" i="4" a="1"/>
  <c r="AQ884" i="4" a="1"/>
  <c r="AQ894" i="4" a="1"/>
  <c r="P774" i="4" a="1"/>
  <c r="N778" i="4" a="1"/>
  <c r="P720" i="4" a="1"/>
  <c r="R656" i="4" a="1"/>
  <c r="N715" i="4" a="1"/>
  <c r="P873" i="4" a="1"/>
  <c r="R802" i="4" a="1"/>
  <c r="AQ740" i="4" a="1"/>
  <c r="R621" i="4" a="1"/>
  <c r="P666" i="4" a="1"/>
  <c r="P633" i="4" a="1"/>
  <c r="P713" i="4" a="1"/>
  <c r="P679" i="4" a="1"/>
  <c r="AP648" i="4" a="1"/>
  <c r="R616" i="4" a="1"/>
  <c r="R699" i="4" a="1"/>
  <c r="AQ666" i="4" a="1"/>
  <c r="AQ635" i="4" a="1"/>
  <c r="N605" i="4" a="1"/>
  <c r="N578" i="4" a="1"/>
  <c r="N546" i="4" a="1"/>
  <c r="AQ515" i="4" a="1"/>
  <c r="P599" i="4" a="1"/>
  <c r="P563" i="4" a="1"/>
  <c r="N532" i="4" a="1"/>
  <c r="R500" i="4" a="1"/>
  <c r="P585" i="4" a="1"/>
  <c r="AQ553" i="4" a="1"/>
  <c r="P520" i="4" a="1"/>
  <c r="P606" i="4" a="1"/>
  <c r="R574" i="4" a="1"/>
  <c r="R544" i="4" a="1"/>
  <c r="N514" i="4" a="1"/>
  <c r="R861" i="4" a="1"/>
  <c r="P752" i="4" a="1"/>
  <c r="P733" i="4" a="1"/>
  <c r="N734" i="4" a="1"/>
  <c r="R765" i="4" a="1"/>
  <c r="AQ705" i="4" a="1"/>
  <c r="AQ642" i="4" a="1"/>
  <c r="AQ701" i="4" a="1"/>
  <c r="N661" i="4" a="1"/>
  <c r="R628" i="4" a="1"/>
  <c r="AQ715" i="4" a="1"/>
  <c r="R690" i="4" a="1"/>
  <c r="N671" i="4" a="1"/>
  <c r="P651" i="4" a="1"/>
  <c r="P627" i="4" a="1"/>
  <c r="N722" i="4" a="1"/>
  <c r="P702" i="4" a="1"/>
  <c r="P677" i="4" a="1"/>
  <c r="R658" i="4" a="1"/>
  <c r="R639" i="4" a="1"/>
  <c r="R615" i="4" a="1"/>
  <c r="R599" i="4" a="1"/>
  <c r="N581" i="4" a="1"/>
  <c r="R557" i="4" a="1"/>
  <c r="R537" i="4" a="1"/>
  <c r="N518" i="4" a="1"/>
  <c r="AQ498" i="4" a="1"/>
  <c r="P598" i="4" a="1"/>
  <c r="AQ578" i="4" a="1"/>
  <c r="P562" i="4" a="1"/>
  <c r="AQ545" i="4" a="1"/>
  <c r="N531" i="4" a="1"/>
  <c r="R514" i="4" a="1"/>
  <c r="R499" i="4" a="1"/>
  <c r="N599" i="4" a="1"/>
  <c r="P584" i="4" a="1"/>
  <c r="P568" i="4" a="1"/>
  <c r="AQ552" i="4" a="1"/>
  <c r="P536" i="4" a="1"/>
  <c r="R519" i="4" a="1"/>
  <c r="P504" i="4" a="1"/>
  <c r="R604" i="4" a="1"/>
  <c r="R588" i="4" a="1"/>
  <c r="R573" i="4" a="1"/>
  <c r="AQ557" i="4" a="1"/>
  <c r="R543" i="4" a="1"/>
  <c r="P528" i="4" a="1"/>
  <c r="P513" i="4" a="1"/>
  <c r="P828" i="4" a="1"/>
  <c r="N836" i="4" a="1"/>
  <c r="AQ771" i="4" a="1"/>
  <c r="N762" i="4" a="1"/>
  <c r="AQ784" i="4" a="1"/>
  <c r="AQ720" i="4" a="1"/>
  <c r="P663" i="4" a="1"/>
  <c r="R722" i="4" a="1"/>
  <c r="P672" i="4" a="1"/>
  <c r="N639" i="4" a="1"/>
  <c r="R718" i="4" a="1"/>
  <c r="N685" i="4" a="1"/>
  <c r="N654" i="4" a="1"/>
  <c r="N622" i="4" a="1"/>
  <c r="N705" i="4" a="1"/>
  <c r="R672" i="4" a="1"/>
  <c r="P642" i="4" a="1"/>
  <c r="R610" i="4" a="1"/>
  <c r="AQ583" i="4" a="1"/>
  <c r="R552" i="4" a="1"/>
  <c r="AQ520" i="4" a="1"/>
  <c r="R605" i="4" a="1"/>
  <c r="R569" i="4" a="1"/>
  <c r="P537" i="4" a="1"/>
  <c r="N506" i="4" a="1"/>
  <c r="R590" i="4" a="1"/>
  <c r="N560" i="4" a="1"/>
  <c r="P527" i="4" a="1"/>
  <c r="AO495" i="4" a="1"/>
  <c r="P580" i="4" a="1"/>
  <c r="N550" i="4" a="1"/>
  <c r="N520" i="4" a="1"/>
  <c r="N488" i="4" a="1"/>
  <c r="N471" i="4" a="1"/>
  <c r="AQ455" i="4" a="1"/>
  <c r="P440" i="4" a="1"/>
  <c r="P424" i="4" a="1"/>
  <c r="R408" i="4" a="1"/>
  <c r="N394" i="4" a="1"/>
  <c r="R379" i="4" a="1"/>
  <c r="P362" i="4" a="1"/>
  <c r="R346" i="4" a="1"/>
  <c r="R331" i="4" a="1"/>
  <c r="R314" i="4" a="1"/>
  <c r="P298" i="4" a="1"/>
  <c r="R282" i="4" a="1"/>
  <c r="R491" i="4" a="1"/>
  <c r="AQ474" i="4" a="1"/>
  <c r="N459" i="4" a="1"/>
  <c r="R443" i="4" a="1"/>
  <c r="AQ426" i="4" a="1"/>
  <c r="N412" i="4" a="1"/>
  <c r="P396" i="4" a="1"/>
  <c r="P380" i="4" a="1"/>
  <c r="AQ365" i="4" a="1"/>
  <c r="N349" i="4" a="1"/>
  <c r="P333" i="4" a="1"/>
  <c r="AQ318" i="4" a="1"/>
  <c r="R303" i="4" a="1"/>
  <c r="R287" i="4" a="1"/>
  <c r="AQ485" i="4" a="1"/>
  <c r="R470" i="4" a="1"/>
  <c r="P455" i="4" a="1"/>
  <c r="AQ438" i="4" a="1"/>
  <c r="N877" i="4" a="1"/>
  <c r="AQ761" i="4" a="1"/>
  <c r="R740" i="4" a="1"/>
  <c r="R738" i="4" a="1"/>
  <c r="AQ768" i="4" a="1"/>
  <c r="P709" i="4" a="1"/>
  <c r="P646" i="4" a="1"/>
  <c r="R706" i="4" a="1"/>
  <c r="N663" i="4" a="1"/>
  <c r="P630" i="4" a="1"/>
  <c r="AQ709" i="4" a="1"/>
  <c r="R676" i="4" a="1"/>
  <c r="AQ645" i="4" a="1"/>
  <c r="AQ613" i="4" a="1"/>
  <c r="R696" i="4" a="1"/>
  <c r="N664" i="4" a="1"/>
  <c r="AQ632" i="4" a="1"/>
  <c r="AQ607" i="4" a="1"/>
  <c r="N575" i="4" a="1"/>
  <c r="P543" i="4" a="1"/>
  <c r="N513" i="4" a="1"/>
  <c r="R595" i="4" a="1"/>
  <c r="P560" i="4" a="1"/>
  <c r="R529" i="4" a="1"/>
  <c r="R497" i="4" a="1"/>
  <c r="P582" i="4" a="1"/>
  <c r="P551" i="4" a="1"/>
  <c r="AQ517" i="4" a="1"/>
  <c r="AQ601" i="4" a="1"/>
  <c r="R571" i="4" a="1"/>
  <c r="R541" i="4" a="1"/>
  <c r="R511" i="4" a="1"/>
  <c r="N482" i="4" a="1"/>
  <c r="N466" i="4" a="1"/>
  <c r="AQ450" i="4" a="1"/>
  <c r="R435" i="4" a="1"/>
  <c r="N419" i="4" a="1"/>
  <c r="R404" i="4" a="1"/>
  <c r="AP389" i="4" a="1"/>
  <c r="P373" i="4" a="1"/>
  <c r="AQ357" i="4" a="1"/>
  <c r="AQ341" i="4" a="1"/>
  <c r="R326" i="4" a="1"/>
  <c r="R309" i="4" a="1"/>
  <c r="R293" i="4" a="1"/>
  <c r="AQ275" i="4" a="1"/>
  <c r="N486" i="4" a="1"/>
  <c r="AQ469" i="4" a="1"/>
  <c r="R454" i="4" a="1"/>
  <c r="N438" i="4" a="1"/>
  <c r="P422" i="4" a="1"/>
  <c r="R407" i="4" a="1"/>
  <c r="AQ391" i="4" a="1"/>
  <c r="P376" i="4" a="1"/>
  <c r="R359" i="4" a="1"/>
  <c r="P344" i="4" a="1"/>
  <c r="AQ328" i="4" a="1"/>
  <c r="P314" i="4" a="1"/>
  <c r="N298" i="4" a="1"/>
  <c r="N859" i="4" a="1"/>
  <c r="P826" i="4" a="1"/>
  <c r="N788" i="4" a="1"/>
  <c r="P779" i="4" a="1"/>
  <c r="N793" i="4" a="1"/>
  <c r="R728" i="4" a="1"/>
  <c r="R671" i="4" a="1"/>
  <c r="P608" i="4" a="1"/>
  <c r="AQ675" i="4" a="1"/>
  <c r="P643" i="4" a="1"/>
  <c r="N724" i="4" a="1"/>
  <c r="AQ688" i="4" a="1"/>
  <c r="AQ657" i="4" a="1"/>
  <c r="P626" i="4" a="1"/>
  <c r="R708" i="4" a="1"/>
  <c r="P676" i="4" a="1"/>
  <c r="R645" i="4" a="1"/>
  <c r="R614" i="4" a="1"/>
  <c r="P587" i="4" a="1"/>
  <c r="N556" i="4" a="1"/>
  <c r="R524" i="4" a="1"/>
  <c r="R494" i="4" a="1"/>
  <c r="N574" i="4" a="1"/>
  <c r="N541" i="4" a="1"/>
  <c r="AQ871" i="4" a="1"/>
  <c r="R872" i="4" a="1"/>
  <c r="R867" i="4" a="1"/>
  <c r="AQ917" i="4" a="1"/>
  <c r="N914" i="4" a="1"/>
  <c r="AQ911" i="4" a="1"/>
  <c r="N863" i="4" a="1"/>
  <c r="P877" i="4" a="1"/>
  <c r="AQ877" i="4" a="1"/>
  <c r="N891" i="4" a="1"/>
  <c r="R883" i="4" a="1"/>
  <c r="R846" i="4" a="1"/>
  <c r="R845" i="4" a="1"/>
  <c r="AO805" i="4" a="1"/>
  <c r="AQ811" i="4" a="1"/>
  <c r="AQ804" i="4" a="1"/>
  <c r="R758" i="4" a="1"/>
  <c r="N758" i="4" a="1"/>
  <c r="R751" i="4" a="1"/>
  <c r="R669" i="4" a="1"/>
  <c r="N709" i="4" a="1"/>
  <c r="AQ913" i="4" a="1"/>
  <c r="P783" i="4" a="1"/>
  <c r="N741" i="4" a="1"/>
  <c r="AQ762" i="4" a="1"/>
  <c r="AQ703" i="4" a="1"/>
  <c r="P641" i="4" a="1"/>
  <c r="AQ699" i="4" a="1"/>
  <c r="AQ772" i="4" a="1"/>
  <c r="N745" i="4" a="1"/>
  <c r="R714" i="4" a="1"/>
  <c r="AQ710" i="4" a="1"/>
  <c r="N658" i="4" a="1"/>
  <c r="R625" i="4" a="1"/>
  <c r="P703" i="4" a="1"/>
  <c r="N672" i="4" a="1"/>
  <c r="AQ640" i="4" a="1"/>
  <c r="P723" i="4" a="1"/>
  <c r="P690" i="4" a="1"/>
  <c r="R659" i="4" a="1"/>
  <c r="N628" i="4" a="1"/>
  <c r="R600" i="4" a="1"/>
  <c r="P570" i="4" a="1"/>
  <c r="R538" i="4" a="1"/>
  <c r="AQ507" i="4" a="1"/>
  <c r="AQ589" i="4" a="1"/>
  <c r="N555" i="4" a="1"/>
  <c r="P524" i="4" a="1"/>
  <c r="P493" i="4" a="1"/>
  <c r="R577" i="4" a="1"/>
  <c r="R546" i="4" a="1"/>
  <c r="AQ511" i="4" a="1"/>
  <c r="N597" i="4" a="1"/>
  <c r="N567" i="4" a="1"/>
  <c r="AQ536" i="4" a="1"/>
  <c r="R506" i="4" a="1"/>
  <c r="R906" i="4" a="1"/>
  <c r="P880" i="4" a="1"/>
  <c r="P831" i="4" a="1"/>
  <c r="AQ846" i="4" a="1"/>
  <c r="P748" i="4" a="1"/>
  <c r="N691" i="4" a="1"/>
  <c r="AQ627" i="4" a="1"/>
  <c r="N686" i="4" a="1"/>
  <c r="P653" i="4" a="1"/>
  <c r="R620" i="4" a="1"/>
  <c r="P706" i="4" a="1"/>
  <c r="AQ685" i="4" a="1"/>
  <c r="N667" i="4" a="1"/>
  <c r="N644" i="4" a="1"/>
  <c r="N623" i="4" a="1"/>
  <c r="P717" i="4" a="1"/>
  <c r="R694" i="4" a="1"/>
  <c r="R673" i="4" a="1"/>
  <c r="AQ653" i="4" a="1"/>
  <c r="AQ630" i="4" a="1"/>
  <c r="R611" i="4" a="1"/>
  <c r="AQ595" i="4" a="1"/>
  <c r="P573" i="4" a="1"/>
  <c r="P553" i="4" a="1"/>
  <c r="P533" i="4" a="1"/>
  <c r="P511" i="4" a="1"/>
  <c r="P495" i="4" a="1"/>
  <c r="R593" i="4" a="1"/>
  <c r="AQ574" i="4" a="1"/>
  <c r="P558" i="4" a="1"/>
  <c r="N542" i="4" a="1"/>
  <c r="R527" i="4" a="1"/>
  <c r="N511" i="4" a="1"/>
  <c r="AQ495" i="4" a="1"/>
  <c r="P595" i="4" a="1"/>
  <c r="R580" i="4" a="1"/>
  <c r="R564" i="4" a="1"/>
  <c r="P549" i="4" a="1"/>
  <c r="AQ531" i="4" a="1"/>
  <c r="P515" i="4" a="1"/>
  <c r="P500" i="4" a="1"/>
  <c r="AQ599" i="4" a="1"/>
  <c r="N585" i="4" a="1"/>
  <c r="AQ569" i="4" a="1"/>
  <c r="R554" i="4" a="1"/>
  <c r="AQ539" i="4" a="1"/>
  <c r="AQ524" i="4" a="1"/>
  <c r="N509" i="4" a="1"/>
  <c r="N878" i="4" a="1"/>
  <c r="R763" i="4" a="1"/>
  <c r="P741" i="4" a="1"/>
  <c r="P740" i="4" a="1"/>
  <c r="R769" i="4" a="1"/>
  <c r="P710" i="4" a="1"/>
  <c r="P647" i="4" a="1"/>
  <c r="P707" i="4" a="1"/>
  <c r="R664" i="4" a="1"/>
  <c r="P631" i="4" a="1"/>
  <c r="P711" i="4" a="1"/>
  <c r="R677" i="4" a="1"/>
  <c r="AQ646" i="4" a="1"/>
  <c r="AQ614" i="4" a="1"/>
  <c r="R697" i="4" a="1"/>
  <c r="N665" i="4" a="1"/>
  <c r="AQ633" i="4" a="1"/>
  <c r="AQ609" i="4" a="1"/>
  <c r="N576" i="4" a="1"/>
  <c r="P544" i="4" a="1"/>
  <c r="AQ513" i="4" a="1"/>
  <c r="R596" i="4" a="1"/>
  <c r="P561" i="4" a="1"/>
  <c r="P530" i="4" a="1"/>
  <c r="R498" i="4" a="1"/>
  <c r="P583" i="4" a="1"/>
  <c r="N552" i="4" a="1"/>
  <c r="R518" i="4" a="1"/>
  <c r="R603" i="4" a="1"/>
  <c r="R572" i="4" a="1"/>
  <c r="R542" i="4" a="1"/>
  <c r="R512" i="4" a="1"/>
  <c r="AQ482" i="4" a="1"/>
  <c r="N467" i="4" a="1"/>
  <c r="AQ451" i="4" a="1"/>
  <c r="R436" i="4" a="1"/>
  <c r="AQ419" i="4" a="1"/>
  <c r="N405" i="4" a="1"/>
  <c r="R390" i="4" a="1"/>
  <c r="AQ373" i="4" a="1"/>
  <c r="AQ358" i="4" a="1"/>
  <c r="AQ342" i="4" a="1"/>
  <c r="P327" i="4" a="1"/>
  <c r="R310" i="4" a="1"/>
  <c r="R294" i="4" a="1"/>
  <c r="AQ276" i="4" a="1"/>
  <c r="N487" i="4" a="1"/>
  <c r="AQ470" i="4" a="1"/>
  <c r="R455" i="4" a="1"/>
  <c r="N439" i="4" a="1"/>
  <c r="N423" i="4" a="1"/>
  <c r="P408" i="4" a="1"/>
  <c r="AQ392" i="4" a="1"/>
  <c r="N377" i="4" a="1"/>
  <c r="N361" i="4" a="1"/>
  <c r="P345" i="4" a="1"/>
  <c r="R329" i="4" a="1"/>
  <c r="P315" i="4" a="1"/>
  <c r="N299" i="4" a="1"/>
  <c r="P282" i="4" a="1"/>
  <c r="R482" i="4" a="1"/>
  <c r="R466" i="4" a="1"/>
  <c r="P451" i="4" a="1"/>
  <c r="N435" i="4" a="1"/>
  <c r="R811" i="4" a="1"/>
  <c r="R912" i="4" a="1"/>
  <c r="R858" i="4" a="1"/>
  <c r="AQ863" i="4" a="1"/>
  <c r="R752" i="4" a="1"/>
  <c r="P694" i="4" a="1"/>
  <c r="R631" i="4" a="1"/>
  <c r="AQ689" i="4" a="1"/>
  <c r="P655" i="4" a="1"/>
  <c r="P622" i="4" a="1"/>
  <c r="R700" i="4" a="1"/>
  <c r="N669" i="4" a="1"/>
  <c r="N638" i="4" a="1"/>
  <c r="P719" i="4" a="1"/>
  <c r="R687" i="4" a="1"/>
  <c r="AQ655" i="4" a="1"/>
  <c r="N625" i="4" a="1"/>
  <c r="R597" i="4" a="1"/>
  <c r="AQ566" i="4" a="1"/>
  <c r="AQ534" i="4" a="1"/>
  <c r="AQ504" i="4" a="1"/>
  <c r="R585" i="4" a="1"/>
  <c r="P552" i="4" a="1"/>
  <c r="R521" i="4" a="1"/>
  <c r="P605" i="4" a="1"/>
  <c r="AQ573" i="4" a="1"/>
  <c r="AQ542" i="4" a="1"/>
  <c r="P509" i="4" a="1"/>
  <c r="N594" i="4" a="1"/>
  <c r="P564" i="4" a="1"/>
  <c r="R533" i="4" a="1"/>
  <c r="N499" i="4" a="1"/>
  <c r="N478" i="4" a="1"/>
  <c r="AQ461" i="4" a="1"/>
  <c r="P447" i="4" a="1"/>
  <c r="AQ430" i="4" a="1"/>
  <c r="N415" i="4" a="1"/>
  <c r="AQ399" i="4" a="1"/>
  <c r="N386" i="4" a="1"/>
  <c r="AQ368" i="4" a="1"/>
  <c r="AQ353" i="4" a="1"/>
  <c r="N338" i="4" a="1"/>
  <c r="AQ321" i="4" a="1"/>
  <c r="AQ304" i="4" a="1"/>
  <c r="AQ288" i="4" a="1"/>
  <c r="P272" i="4" a="1"/>
  <c r="AQ481" i="4" a="1"/>
  <c r="AQ465" i="4" a="1"/>
  <c r="R450" i="4" a="1"/>
  <c r="P434" i="4" a="1"/>
  <c r="AQ418" i="4" a="1"/>
  <c r="P403" i="4" a="1"/>
  <c r="AQ387" i="4" a="1"/>
  <c r="P372" i="4" a="1"/>
  <c r="R355" i="4" a="1"/>
  <c r="R340" i="4" a="1"/>
  <c r="P325" i="4" a="1"/>
  <c r="P310" i="4" a="1"/>
  <c r="P294" i="4" a="1"/>
  <c r="R909" i="4" a="1"/>
  <c r="R785" i="4" a="1"/>
  <c r="N757" i="4" a="1"/>
  <c r="AQ749" i="4" a="1"/>
  <c r="N777" i="4" a="1"/>
  <c r="N719" i="4" a="1"/>
  <c r="R655" i="4" a="1"/>
  <c r="P714" i="4" a="1"/>
  <c r="P668" i="4" a="1"/>
  <c r="P635" i="4" a="1"/>
  <c r="AQ714" i="4" a="1"/>
  <c r="P681" i="4" a="1"/>
  <c r="P650" i="4" a="1"/>
  <c r="R618" i="4" a="1"/>
  <c r="P701" i="4" a="1"/>
  <c r="AQ668" i="4" a="1"/>
  <c r="AQ637" i="4" a="1"/>
  <c r="AQ606" i="4" a="1"/>
  <c r="N580" i="4" a="1"/>
  <c r="AQ547" i="4" a="1"/>
  <c r="P517" i="4" a="1"/>
  <c r="N842" i="4" a="1"/>
  <c r="AQ842" i="4" a="1"/>
  <c r="R840" i="4" a="1"/>
  <c r="N887" i="4" a="1"/>
  <c r="R891" i="4" a="1"/>
  <c r="R887" i="4" a="1"/>
  <c r="N790" i="4" a="1"/>
  <c r="AQ823" i="4" a="1"/>
  <c r="R822" i="4" a="1"/>
  <c r="N797" i="4" a="1"/>
  <c r="N804" i="4" a="1"/>
  <c r="AQ904" i="4" a="1"/>
  <c r="R804" i="4" a="1"/>
  <c r="P781" i="4" a="1"/>
  <c r="AQ787" i="4" a="1"/>
  <c r="AQ835" i="4" a="1"/>
  <c r="P808" i="4" a="1"/>
  <c r="R878" i="4" a="1"/>
  <c r="R726" i="4" a="1"/>
  <c r="N649" i="4" a="1"/>
  <c r="N689" i="4" a="1"/>
  <c r="N817" i="4" a="1"/>
  <c r="P744" i="4" a="1"/>
  <c r="N854" i="4" a="1"/>
  <c r="AQ745" i="4" a="1"/>
  <c r="P689" i="4" a="1"/>
  <c r="AQ625" i="4" a="1"/>
  <c r="N905" i="4" a="1"/>
  <c r="R818" i="4" a="1"/>
  <c r="AQ807" i="4" a="1"/>
  <c r="R684" i="4" a="1"/>
  <c r="R682" i="4" a="1"/>
  <c r="R650" i="4" a="1"/>
  <c r="AQ616" i="4" a="1"/>
  <c r="AQ694" i="4" a="1"/>
  <c r="P664" i="4" a="1"/>
  <c r="N633" i="4" a="1"/>
  <c r="AQ713" i="4" a="1"/>
  <c r="N682" i="4" a="1"/>
  <c r="N651" i="4" a="1"/>
  <c r="N620" i="4" a="1"/>
  <c r="AQ592" i="4" a="1"/>
  <c r="R562" i="4" a="1"/>
  <c r="R530" i="4" a="1"/>
  <c r="AQ499" i="4" a="1"/>
  <c r="AQ579" i="4" a="1"/>
  <c r="AQ546" i="4" a="1"/>
  <c r="R515" i="4" a="1"/>
  <c r="N600" i="4" a="1"/>
  <c r="P569" i="4" a="1"/>
  <c r="N537" i="4" a="1"/>
  <c r="P505" i="4" a="1"/>
  <c r="P589" i="4" a="1"/>
  <c r="AQ558" i="4" a="1"/>
  <c r="N529" i="4" a="1"/>
  <c r="AQ872" i="4" a="1"/>
  <c r="R841" i="4" a="1"/>
  <c r="P794" i="4" a="1"/>
  <c r="AQ785" i="4" a="1"/>
  <c r="R796" i="4" a="1"/>
  <c r="AQ731" i="4" a="1"/>
  <c r="N675" i="4" a="1"/>
  <c r="P611" i="4" a="1"/>
  <c r="AQ676" i="4" a="1"/>
  <c r="N645" i="4" a="1"/>
  <c r="N726" i="4" a="1"/>
  <c r="R702" i="4" a="1"/>
  <c r="P682" i="4" a="1"/>
  <c r="AQ658" i="4" a="1"/>
  <c r="AQ639" i="4" a="1"/>
  <c r="P619" i="4" a="1"/>
  <c r="R709" i="4" a="1"/>
  <c r="R689" i="4" a="1"/>
  <c r="AQ669" i="4" a="1"/>
  <c r="R646" i="4" a="1"/>
  <c r="N627" i="4" a="1"/>
  <c r="R607" i="4" a="1"/>
  <c r="P588" i="4" a="1"/>
  <c r="AQ568" i="4" a="1"/>
  <c r="AQ548" i="4" a="1"/>
  <c r="P525" i="4" a="1"/>
  <c r="N507" i="4" a="1"/>
  <c r="N607" i="4" a="1"/>
  <c r="N588" i="4" a="1"/>
  <c r="N571" i="4" a="1"/>
  <c r="N554" i="4" a="1"/>
  <c r="P538" i="4" a="1"/>
  <c r="R523" i="4" a="1"/>
  <c r="AQ506" i="4" a="1"/>
  <c r="AQ610" i="4" a="1"/>
  <c r="R591" i="4" a="1"/>
  <c r="R576" i="4" a="1"/>
  <c r="N561" i="4" a="1"/>
  <c r="AQ544" i="4" a="1"/>
  <c r="R528" i="4" a="1"/>
  <c r="AQ510" i="4" a="1"/>
  <c r="R496" i="4" a="1"/>
  <c r="N596" i="4" a="1"/>
  <c r="P581" i="4" a="1"/>
  <c r="N566" i="4" a="1"/>
  <c r="N551" i="4" a="1"/>
  <c r="N536" i="4" a="1"/>
  <c r="N521" i="4" a="1"/>
  <c r="AP505" i="4" a="1"/>
  <c r="P812" i="4" a="1"/>
  <c r="P916" i="4" a="1"/>
  <c r="N861" i="4" a="1"/>
  <c r="P866" i="4" a="1"/>
  <c r="R753" i="4" a="1"/>
  <c r="P695" i="4" a="1"/>
  <c r="R632" i="4" a="1"/>
  <c r="AQ690" i="4" a="1"/>
  <c r="P656" i="4" a="1"/>
  <c r="P623" i="4" a="1"/>
  <c r="R701" i="4" a="1"/>
  <c r="N670" i="4" a="1"/>
  <c r="AQ638" i="4" a="1"/>
  <c r="R720" i="4" a="1"/>
  <c r="R688" i="4" a="1"/>
  <c r="AQ656" i="4" a="1"/>
  <c r="N626" i="4" a="1"/>
  <c r="R598" i="4" a="1"/>
  <c r="AQ567" i="4" a="1"/>
  <c r="AQ535" i="4" a="1"/>
  <c r="P506" i="4" a="1"/>
  <c r="N587" i="4" a="1"/>
  <c r="N553" i="4" a="1"/>
  <c r="R522" i="4" a="1"/>
  <c r="AQ608" i="4" a="1"/>
  <c r="R575" i="4" a="1"/>
  <c r="AQ543" i="4" a="1"/>
  <c r="P510" i="4" a="1"/>
  <c r="N595" i="4" a="1"/>
  <c r="N565" i="4" a="1"/>
  <c r="N535" i="4" a="1"/>
  <c r="N503" i="4" a="1"/>
  <c r="N479" i="4" a="1"/>
  <c r="AQ462" i="4" a="1"/>
  <c r="AQ447" i="4" a="1"/>
  <c r="AQ431" i="4" a="1"/>
  <c r="N416" i="4" a="1"/>
  <c r="AQ400" i="4" a="1"/>
  <c r="N387" i="4" a="1"/>
  <c r="AQ369" i="4" a="1"/>
  <c r="AQ354" i="4" a="1"/>
  <c r="N339" i="4" a="1"/>
  <c r="AQ322" i="4" a="1"/>
  <c r="AQ305" i="4" a="1"/>
  <c r="N290" i="4" a="1"/>
  <c r="P273" i="4" a="1"/>
  <c r="R483" i="4" a="1"/>
  <c r="AQ466" i="4" a="1"/>
  <c r="R451" i="4" a="1"/>
  <c r="P435" i="4" a="1"/>
  <c r="AP419" i="4" a="1"/>
  <c r="P404" i="4" a="1"/>
  <c r="R389" i="4" a="1"/>
  <c r="N373" i="4" a="1"/>
  <c r="R356" i="4" a="1"/>
  <c r="R341" i="4" a="1"/>
  <c r="P326" i="4" a="1"/>
  <c r="P311" i="4" a="1"/>
  <c r="P295" i="4" a="1"/>
  <c r="N497" i="4" a="1"/>
  <c r="R478" i="4" a="1"/>
  <c r="P463" i="4" a="1"/>
  <c r="AQ446" i="4" a="1"/>
  <c r="N889" i="4" a="1"/>
  <c r="N856" i="4" a="1"/>
  <c r="AQ801" i="4" a="1"/>
  <c r="N794" i="4" a="1"/>
  <c r="P802" i="4" a="1"/>
  <c r="P736" i="4" a="1"/>
  <c r="AQ678" i="4" a="1"/>
  <c r="P615" i="4" a="1"/>
  <c r="R679" i="4" a="1"/>
  <c r="N647" i="4" a="1"/>
  <c r="N614" i="4" a="1"/>
  <c r="P692" i="4" a="1"/>
  <c r="AQ660" i="4" a="1"/>
  <c r="P629" i="4" a="1"/>
  <c r="N711" i="4" a="1"/>
  <c r="N679" i="4" a="1"/>
  <c r="R648" i="4" a="1"/>
  <c r="P617" i="4" a="1"/>
  <c r="N590" i="4" a="1"/>
  <c r="R559" i="4" a="1"/>
  <c r="AQ526" i="4" a="1"/>
  <c r="AQ496" i="4" a="1"/>
  <c r="AQ576" i="4" a="1"/>
  <c r="N544" i="4" a="1"/>
  <c r="AQ512" i="4" a="1"/>
  <c r="P597" i="4" a="1"/>
  <c r="P566" i="4" a="1"/>
  <c r="P534" i="4" a="1"/>
  <c r="P502" i="4" a="1"/>
  <c r="R586" i="4" a="1"/>
  <c r="P556" i="4" a="1"/>
  <c r="P526" i="4" a="1"/>
  <c r="AQ490" i="4" a="1"/>
  <c r="N474" i="4" a="1"/>
  <c r="P458" i="4" a="1"/>
  <c r="AQ442" i="4" a="1"/>
  <c r="N427" i="4" a="1"/>
  <c r="P411" i="4" a="1"/>
  <c r="R396" i="4" a="1"/>
  <c r="R382" i="4" a="1"/>
  <c r="N365" i="4" a="1"/>
  <c r="N350" i="4" a="1"/>
  <c r="P334" i="4" a="1"/>
  <c r="N318" i="4" a="1"/>
  <c r="N301" i="4" a="1"/>
  <c r="P285" i="4" a="1"/>
  <c r="N498" i="4" a="1"/>
  <c r="AQ477" i="4" a="1"/>
  <c r="R462" i="4" a="1"/>
  <c r="P446" i="4" a="1"/>
  <c r="AQ429" i="4" a="1"/>
  <c r="AQ414" i="4" a="1"/>
  <c r="AQ398" i="4" a="1"/>
  <c r="P383" i="4" a="1"/>
  <c r="R368" i="4" a="1"/>
  <c r="R351" i="4" a="1"/>
  <c r="N336" i="4" a="1"/>
  <c r="R321" i="4" a="1"/>
  <c r="R306" i="4" a="1"/>
  <c r="AQ289" i="4" a="1"/>
  <c r="AQ844" i="4" a="1"/>
  <c r="R742" i="4" a="1"/>
  <c r="P726" i="4" a="1"/>
  <c r="R910" i="4" a="1"/>
  <c r="P761" i="4" a="1"/>
  <c r="AQ702" i="4" a="1"/>
  <c r="P640" i="4" a="1"/>
  <c r="N699" i="4" a="1"/>
  <c r="N660" i="4" a="1"/>
  <c r="R627" i="4" a="1"/>
  <c r="P705" i="4" a="1"/>
  <c r="AP673" i="4" a="1"/>
  <c r="R642" i="4" a="1"/>
  <c r="AQ728" i="4" a="1"/>
  <c r="N692" i="4" a="1"/>
  <c r="R661" i="4" a="1"/>
  <c r="N630" i="4" a="1"/>
  <c r="R602" i="4" a="1"/>
  <c r="P572" i="4" a="1"/>
  <c r="R540" i="4" a="1"/>
  <c r="AQ509" i="4" a="1"/>
  <c r="AQ591" i="4" a="1"/>
  <c r="AP513" i="4" a="1"/>
  <c r="P503" i="4" a="1"/>
  <c r="AQ491" i="4" a="1"/>
  <c r="N428" i="4" a="1"/>
  <c r="N366" i="4" a="1"/>
  <c r="AQ301" i="4" a="1"/>
  <c r="R463" i="4" a="1"/>
  <c r="R400" i="4" a="1"/>
  <c r="AQ336" i="4" a="1"/>
  <c r="P490" i="4" a="1"/>
  <c r="P827" i="4" a="1"/>
  <c r="AQ783" i="4" a="1"/>
  <c r="P671" i="4" a="1"/>
  <c r="N653" i="4" a="1"/>
  <c r="R641" i="4" a="1"/>
  <c r="AQ519" i="4" a="1"/>
  <c r="R505" i="4" a="1"/>
  <c r="AQ494" i="4" a="1"/>
  <c r="P487" i="4" a="1"/>
  <c r="P423" i="4" a="1"/>
  <c r="P361" i="4" a="1"/>
  <c r="P297" i="4" a="1"/>
  <c r="N458" i="4" a="1"/>
  <c r="R395" i="4" a="1"/>
  <c r="P332" i="4" a="1"/>
  <c r="P890" i="4" a="1"/>
  <c r="AQ744" i="4" a="1"/>
  <c r="R652" i="4" a="1"/>
  <c r="N635" i="4" a="1"/>
  <c r="AQ621" i="4" a="1"/>
  <c r="AQ501" i="4" a="1"/>
  <c r="P557" i="4" a="1"/>
  <c r="N517" i="4" a="1"/>
  <c r="N602" i="4" a="1"/>
  <c r="AQ570" i="4" a="1"/>
  <c r="N539" i="4" a="1"/>
  <c r="AO506" i="4" a="1"/>
  <c r="P591" i="4" a="1"/>
  <c r="AQ560" i="4" a="1"/>
  <c r="AP530" i="4" a="1"/>
  <c r="R784" i="4" a="1"/>
  <c r="N718" i="4" a="1"/>
  <c r="P634" i="4" a="1"/>
  <c r="R617" i="4" a="1"/>
  <c r="AQ605" i="4" a="1"/>
  <c r="P600" i="4" a="1"/>
  <c r="N586" i="4" a="1"/>
  <c r="P575" i="4" a="1"/>
  <c r="AQ483" i="4" a="1"/>
  <c r="AQ452" i="4" a="1"/>
  <c r="AQ420" i="4" a="1"/>
  <c r="P391" i="4" a="1"/>
  <c r="AQ359" i="4" a="1"/>
  <c r="P328" i="4" a="1"/>
  <c r="R295" i="4" a="1"/>
  <c r="AQ487" i="4" a="1"/>
  <c r="P456" i="4" a="1"/>
  <c r="N424" i="4" a="1"/>
  <c r="AQ393" i="4" a="1"/>
  <c r="N362" i="4" a="1"/>
  <c r="R330" i="4" a="1"/>
  <c r="N300" i="4" a="1"/>
  <c r="P489" i="4" a="1"/>
  <c r="R468" i="4" a="1"/>
  <c r="P448" i="4" a="1"/>
  <c r="R428" i="4" a="1"/>
  <c r="AQ410" i="4" a="1"/>
  <c r="R393" i="4" a="1"/>
  <c r="AQ376" i="4" a="1"/>
  <c r="AQ361" i="4" a="1"/>
  <c r="N346" i="4" a="1"/>
  <c r="P330" i="4" a="1"/>
  <c r="N313" i="4" a="1"/>
  <c r="AQ296" i="4" a="1"/>
  <c r="N504" i="4" a="1"/>
  <c r="P481" i="4" a="1"/>
  <c r="P465" i="4" a="1"/>
  <c r="N449" i="4" a="1"/>
  <c r="AQ432" i="4" a="1"/>
  <c r="P418" i="4" a="1"/>
  <c r="AQ403" i="4" a="1"/>
  <c r="N389" i="4" a="1"/>
  <c r="N374" i="4" a="1"/>
  <c r="N358" i="4" a="1"/>
  <c r="N341" i="4" a="1"/>
  <c r="AQ325" i="4" a="1"/>
  <c r="AQ309" i="4" a="1"/>
  <c r="AQ294" i="4" a="1"/>
  <c r="AQ280" i="4" a="1"/>
  <c r="R267" i="4" a="1"/>
  <c r="R251" i="4" a="1"/>
  <c r="AP235" i="4" a="1"/>
  <c r="AQ220" i="4" a="1"/>
  <c r="P205" i="4" a="1"/>
  <c r="AQ188" i="4" a="1"/>
  <c r="R173" i="4" a="1"/>
  <c r="N158" i="4" a="1"/>
  <c r="P143" i="4" a="1"/>
  <c r="P127" i="4" a="1"/>
  <c r="AQ112" i="4" a="1"/>
  <c r="N97" i="4" a="1"/>
  <c r="AQ269" i="4" a="1"/>
  <c r="N254" i="4" a="1"/>
  <c r="P239" i="4" a="1"/>
  <c r="N918" i="4" a="1"/>
  <c r="P639" i="4" a="1"/>
  <c r="P704" i="4" a="1"/>
  <c r="P691" i="4" a="1"/>
  <c r="P571" i="4" a="1"/>
  <c r="AQ555" i="4" a="1"/>
  <c r="R547" i="4" a="1"/>
  <c r="AQ537" i="4" a="1"/>
  <c r="N473" i="4" a="1"/>
  <c r="N442" i="4" a="1"/>
  <c r="P410" i="4" a="1"/>
  <c r="R381" i="4" a="1"/>
  <c r="R348" i="4" a="1"/>
  <c r="P317" i="4" a="1"/>
  <c r="R284" i="4" a="1"/>
  <c r="AQ476" i="4" a="1"/>
  <c r="P445" i="4" a="1"/>
  <c r="N414" i="4" a="1"/>
  <c r="P382" i="4" a="1"/>
  <c r="AQ350" i="4" a="1"/>
  <c r="R320" i="4" a="1"/>
  <c r="P289" i="4" a="1"/>
  <c r="P483" i="4" a="1"/>
  <c r="P462" i="4" a="1"/>
  <c r="AQ440" i="4" a="1"/>
  <c r="N422" i="4" a="1"/>
  <c r="R406" i="4" a="1"/>
  <c r="R388" i="4" a="1"/>
  <c r="N372" i="4" a="1"/>
  <c r="P357" i="4" a="1"/>
  <c r="P341" i="4" a="1"/>
  <c r="N324" i="4" a="1"/>
  <c r="N308" i="4" a="1"/>
  <c r="P292" i="4" a="1"/>
  <c r="N491" i="4" a="1"/>
  <c r="P476" i="4" a="1"/>
  <c r="R461" i="4" a="1"/>
  <c r="N444" i="4" a="1"/>
  <c r="P428" i="4" a="1"/>
  <c r="R413" i="4" a="1"/>
  <c r="P399" i="4" a="1"/>
  <c r="AQ384" i="4" a="1"/>
  <c r="N369" i="4" a="1"/>
  <c r="N353" i="4" a="1"/>
  <c r="R335" i="4" a="1"/>
  <c r="N321" i="4" a="1"/>
  <c r="N305" i="4" a="1"/>
  <c r="P290" i="4" a="1"/>
  <c r="N277" i="4" a="1"/>
  <c r="AQ261" i="4" a="1"/>
  <c r="AQ245" i="4" a="1"/>
  <c r="N231" i="4" a="1"/>
  <c r="P216" i="4" a="1"/>
  <c r="AQ200" i="4" a="1"/>
  <c r="AO183" i="4" a="1"/>
  <c r="R168" i="4" a="1"/>
  <c r="AQ153" i="4" a="1"/>
  <c r="P138" i="4" a="1"/>
  <c r="AQ121" i="4" a="1"/>
  <c r="AQ808" i="4" a="1"/>
  <c r="P624" i="4" a="1"/>
  <c r="AQ695" i="4" a="1"/>
  <c r="N683" i="4" a="1"/>
  <c r="R563" i="4" a="1"/>
  <c r="R548" i="4" a="1"/>
  <c r="N538" i="4" a="1"/>
  <c r="AQ529" i="4" a="1"/>
  <c r="N472" i="4" a="1"/>
  <c r="P441" i="4" a="1"/>
  <c r="P409" i="4" a="1"/>
  <c r="R380" i="4" a="1"/>
  <c r="R347" i="4" a="1"/>
  <c r="P316" i="4" a="1"/>
  <c r="R283" i="4" a="1"/>
  <c r="AQ475" i="4" a="1"/>
  <c r="R444" i="4" a="1"/>
  <c r="N413" i="4" a="1"/>
  <c r="P381" i="4" a="1"/>
  <c r="AQ349" i="4" a="1"/>
  <c r="AQ319" i="4" a="1"/>
  <c r="R288" i="4" a="1"/>
  <c r="R481" i="4" a="1"/>
  <c r="AQ460" i="4" a="1"/>
  <c r="AQ439" i="4" a="1"/>
  <c r="P421" i="4" a="1"/>
  <c r="R405" i="4" a="1"/>
  <c r="R387" i="4" a="1"/>
  <c r="N371" i="4" a="1"/>
  <c r="P356" i="4" a="1"/>
  <c r="P340" i="4" a="1"/>
  <c r="P323" i="4" a="1"/>
  <c r="P307" i="4" a="1"/>
  <c r="R291" i="4" a="1"/>
  <c r="N490" i="4" a="1"/>
  <c r="P475" i="4" a="1"/>
  <c r="R460" i="4" a="1"/>
  <c r="N443" i="4" a="1"/>
  <c r="P427" i="4" a="1"/>
  <c r="R412" i="4" a="1"/>
  <c r="P398" i="4" a="1"/>
  <c r="AQ383" i="4" a="1"/>
  <c r="N368" i="4" a="1"/>
  <c r="N352" i="4" a="1"/>
  <c r="R334" i="4" a="1"/>
  <c r="P319" i="4" a="1"/>
  <c r="N304" i="4" a="1"/>
  <c r="R289" i="4" a="1"/>
  <c r="R279" i="4" a="1"/>
  <c r="AQ260" i="4" a="1"/>
  <c r="AQ244" i="4" a="1"/>
  <c r="N230" i="4" a="1"/>
  <c r="P215" i="4" a="1"/>
  <c r="AQ199" i="4" a="1"/>
  <c r="AQ182" i="4" a="1"/>
  <c r="R167" i="4" a="1"/>
  <c r="AQ152" i="4" a="1"/>
  <c r="R137" i="4" a="1"/>
  <c r="N121" i="4" a="1"/>
  <c r="R107" i="4" a="1"/>
  <c r="N91" i="4" a="1"/>
  <c r="R264" i="4" a="1"/>
  <c r="P248" i="4" a="1"/>
  <c r="N787" i="4" a="1"/>
  <c r="P586" i="4" a="1"/>
  <c r="N477" i="4" a="1"/>
  <c r="AQ352" i="4" a="1"/>
  <c r="R449" i="4" a="1"/>
  <c r="P324" i="4" a="1"/>
  <c r="P444" i="4" a="1"/>
  <c r="P374" i="4" a="1"/>
  <c r="N310" i="4" a="1"/>
  <c r="N463" i="4" a="1"/>
  <c r="N401" i="4" a="1"/>
  <c r="P338" i="4" a="1"/>
  <c r="R278" i="4" a="1"/>
  <c r="N218" i="4" a="1"/>
  <c r="R155" i="4" a="1"/>
  <c r="R108" i="4" a="1"/>
  <c r="P265" i="4" a="1"/>
  <c r="R234" i="4" a="1"/>
  <c r="AQ217" i="4" a="1"/>
  <c r="N202" i="4" a="1"/>
  <c r="R187" i="4" a="1"/>
  <c r="P171" i="4" a="1"/>
  <c r="P155" i="4" a="1"/>
  <c r="N139" i="4" a="1"/>
  <c r="R123" i="4" a="1"/>
  <c r="P106" i="4" a="1"/>
  <c r="N89" i="4" a="1"/>
  <c r="N74" i="4" a="1"/>
  <c r="N58" i="4" a="1"/>
  <c r="N598" i="4" a="1"/>
  <c r="R587" i="4" a="1"/>
  <c r="N475" i="4" a="1"/>
  <c r="P412" i="4" a="1"/>
  <c r="N351" i="4" a="1"/>
  <c r="N286" i="4" a="1"/>
  <c r="N447" i="4" a="1"/>
  <c r="P384" i="4" a="1"/>
  <c r="R322" i="4" a="1"/>
  <c r="R474" i="4" a="1"/>
  <c r="P833" i="4" a="1"/>
  <c r="AQ719" i="4" a="1"/>
  <c r="P638" i="4" a="1"/>
  <c r="N621" i="4" a="1"/>
  <c r="R609" i="4" a="1"/>
  <c r="P604" i="4" a="1"/>
  <c r="R589" i="4" a="1"/>
  <c r="P579" i="4" a="1"/>
  <c r="N470" i="4" a="1"/>
  <c r="AO407" i="4" a="1"/>
  <c r="R345" i="4" a="1"/>
  <c r="R281" i="4" a="1"/>
  <c r="AQ441" i="4" a="1"/>
  <c r="P379" i="4" a="1"/>
  <c r="AQ317" i="4" a="1"/>
  <c r="AQ848" i="4" a="1"/>
  <c r="P688" i="4" a="1"/>
  <c r="R619" i="4" a="1"/>
  <c r="P716" i="4" a="1"/>
  <c r="AQ594" i="4" a="1"/>
  <c r="P601" i="4" a="1"/>
  <c r="R549" i="4" a="1"/>
  <c r="R510" i="4" a="1"/>
  <c r="P594" i="4" a="1"/>
  <c r="AP563" i="4" a="1"/>
  <c r="AQ530" i="4" a="1"/>
  <c r="P499" i="4" a="1"/>
  <c r="N584" i="4" a="1"/>
  <c r="R553" i="4" a="1"/>
  <c r="AQ523" i="4" a="1"/>
  <c r="R756" i="4" a="1"/>
  <c r="R654" i="4" a="1"/>
  <c r="N714" i="4" a="1"/>
  <c r="P700" i="4" a="1"/>
  <c r="N579" i="4" a="1"/>
  <c r="AQ563" i="4" a="1"/>
  <c r="AQ554" i="4" a="1"/>
  <c r="R545" i="4" a="1"/>
  <c r="N476" i="4" a="1"/>
  <c r="R445" i="4" a="1"/>
  <c r="P413" i="4" a="1"/>
  <c r="R384" i="4" a="1"/>
  <c r="AQ351" i="4" a="1"/>
  <c r="N320" i="4" a="1"/>
  <c r="AQ286" i="4" a="1"/>
  <c r="AQ479" i="4" a="1"/>
  <c r="R448" i="4" a="1"/>
  <c r="AQ416" i="4" a="1"/>
  <c r="N385" i="4" a="1"/>
  <c r="R353" i="4" a="1"/>
  <c r="R323" i="4" a="1"/>
  <c r="R292" i="4" a="1"/>
  <c r="P484" i="4" a="1"/>
  <c r="P464" i="4" a="1"/>
  <c r="R442" i="4" a="1"/>
  <c r="AQ423" i="4" a="1"/>
  <c r="P407" i="4" a="1"/>
  <c r="P389" i="4" a="1"/>
  <c r="AQ372" i="4" a="1"/>
  <c r="P358" i="4" a="1"/>
  <c r="P342" i="4" a="1"/>
  <c r="N325" i="4" a="1"/>
  <c r="N309" i="4" a="1"/>
  <c r="N293" i="4" a="1"/>
  <c r="N492" i="4" a="1"/>
  <c r="P477" i="4" a="1"/>
  <c r="N462" i="4" a="1"/>
  <c r="AQ444" i="4" a="1"/>
  <c r="P429" i="4" a="1"/>
  <c r="R414" i="4" a="1"/>
  <c r="N400" i="4" a="1"/>
  <c r="R385" i="4" a="1"/>
  <c r="N370" i="4" a="1"/>
  <c r="N354" i="4" a="1"/>
  <c r="P337" i="4" a="1"/>
  <c r="N322" i="4" a="1"/>
  <c r="N306" i="4" a="1"/>
  <c r="P291" i="4" a="1"/>
  <c r="AQ277" i="4" a="1"/>
  <c r="AQ262" i="4" a="1"/>
  <c r="AQ246" i="4" a="1"/>
  <c r="N232" i="4" a="1"/>
  <c r="N217" i="4" a="1"/>
  <c r="R201" i="4" a="1"/>
  <c r="R184" i="4" a="1"/>
  <c r="R169" i="4" a="1"/>
  <c r="AQ154" i="4" a="1"/>
  <c r="P139" i="4" a="1"/>
  <c r="AQ122" i="4" a="1"/>
  <c r="R109" i="4" a="1"/>
  <c r="R93" i="4" a="1"/>
  <c r="P266" i="4" a="1"/>
  <c r="P250" i="4" a="1"/>
  <c r="R235" i="4" a="1"/>
  <c r="N908" i="4" a="1"/>
  <c r="N698" i="4" a="1"/>
  <c r="AQ672" i="4" a="1"/>
  <c r="R660" i="4" a="1"/>
  <c r="R539" i="4" a="1"/>
  <c r="N525" i="4" a="1"/>
  <c r="R513" i="4" a="1"/>
  <c r="N508" i="4" a="1"/>
  <c r="N465" i="4" a="1"/>
  <c r="R434" i="4" a="1"/>
  <c r="R403" i="4" a="1"/>
  <c r="R371" i="4" a="1"/>
  <c r="AQ340" i="4" a="1"/>
  <c r="R308" i="4" a="1"/>
  <c r="N275" i="4" a="1"/>
  <c r="AQ468" i="4" a="1"/>
  <c r="P437" i="4" a="1"/>
  <c r="AQ405" i="4" a="1"/>
  <c r="R375" i="4" a="1"/>
  <c r="R343" i="4" a="1"/>
  <c r="P313" i="4" a="1"/>
  <c r="P283" i="4" a="1"/>
  <c r="R477" i="4" a="1"/>
  <c r="N457" i="4" a="1"/>
  <c r="N436" i="4" a="1"/>
  <c r="R418" i="4" a="1"/>
  <c r="P402" i="4" a="1"/>
  <c r="N384" i="4" a="1"/>
  <c r="P368" i="4" a="1"/>
  <c r="P353" i="4" a="1"/>
  <c r="R337" i="4" a="1"/>
  <c r="P320" i="4" a="1"/>
  <c r="P304" i="4" a="1"/>
  <c r="P287" i="4" a="1"/>
  <c r="R487" i="4" a="1"/>
  <c r="P472" i="4" a="1"/>
  <c r="AQ456" i="4" a="1"/>
  <c r="R440" i="4" a="1"/>
  <c r="R424" i="4" a="1"/>
  <c r="R409" i="4" a="1"/>
  <c r="N396" i="4" a="1"/>
  <c r="AQ380" i="4" a="1"/>
  <c r="P365" i="4" a="1"/>
  <c r="P349" i="4" a="1"/>
  <c r="AQ331" i="4" a="1"/>
  <c r="R316" i="4" a="1"/>
  <c r="P301" i="4" a="1"/>
  <c r="N287" i="4" a="1"/>
  <c r="P275" i="4" a="1"/>
  <c r="N258" i="4" a="1"/>
  <c r="P242" i="4" a="1"/>
  <c r="P227" i="4" a="1"/>
  <c r="P212" i="4" a="1"/>
  <c r="AQ196" i="4" a="1"/>
  <c r="P180" i="4" a="1"/>
  <c r="R164" i="4" a="1"/>
  <c r="N150" i="4" a="1"/>
  <c r="R134" i="4" a="1"/>
  <c r="AQ919" i="4" a="1"/>
  <c r="AQ816" i="4" a="1"/>
  <c r="R683" i="4" a="1"/>
  <c r="P665" i="4" a="1"/>
  <c r="N652" i="4" a="1"/>
  <c r="P531" i="4" a="1"/>
  <c r="P516" i="4" a="1"/>
  <c r="AQ505" i="4" a="1"/>
  <c r="P507" i="4" a="1"/>
  <c r="AQ463" i="4" a="1"/>
  <c r="R433" i="4" a="1"/>
  <c r="AQ401" i="4" a="1"/>
  <c r="AQ370" i="4" a="1"/>
  <c r="AQ339" i="4" a="1"/>
  <c r="AQ306" i="4" a="1"/>
  <c r="P274" i="4" a="1"/>
  <c r="AQ467" i="4" a="1"/>
  <c r="P436" i="4" a="1"/>
  <c r="AQ404" i="4" a="1"/>
  <c r="R374" i="4" a="1"/>
  <c r="R342" i="4" a="1"/>
  <c r="P312" i="4" a="1"/>
  <c r="P281" i="4" a="1"/>
  <c r="R476" i="4" a="1"/>
  <c r="N456" i="4" a="1"/>
  <c r="N434" i="4" a="1"/>
  <c r="R417" i="4" a="1"/>
  <c r="P401" i="4" a="1"/>
  <c r="N383" i="4" a="1"/>
  <c r="P367" i="4" a="1"/>
  <c r="P352" i="4" a="1"/>
  <c r="R336" i="4" a="1"/>
  <c r="R319" i="4" a="1"/>
  <c r="P303" i="4" a="1"/>
  <c r="R286" i="4" a="1"/>
  <c r="R486" i="4" a="1"/>
  <c r="P471" i="4" a="1"/>
  <c r="N455" i="4" a="1"/>
  <c r="R439" i="4" a="1"/>
  <c r="R423" i="4" a="1"/>
  <c r="AO408" i="4" a="1"/>
  <c r="N395" i="4" a="1"/>
  <c r="AQ379" i="4" a="1"/>
  <c r="P364" i="4" a="1"/>
  <c r="AQ347" i="4" a="1"/>
  <c r="AQ330" i="4" a="1"/>
  <c r="R315" i="4" a="1"/>
  <c r="R300" i="4" a="1"/>
  <c r="P286" i="4" a="1"/>
  <c r="N274" i="4" a="1"/>
  <c r="N257" i="4" a="1"/>
  <c r="P241" i="4" a="1"/>
  <c r="R226" i="4" a="1"/>
  <c r="R211" i="4" a="1"/>
  <c r="R195" i="4" a="1"/>
  <c r="P179" i="4" a="1"/>
  <c r="R163" i="4" a="1"/>
  <c r="N149" i="4" a="1"/>
  <c r="R133" i="4" a="1"/>
  <c r="N118" i="4" a="1"/>
  <c r="R103" i="4" a="1"/>
  <c r="R277" i="4" a="1"/>
  <c r="AQ259" i="4" a="1"/>
  <c r="AP244" i="4" a="1"/>
  <c r="R670" i="4" a="1"/>
  <c r="N573" i="4" a="1"/>
  <c r="R446" i="4" a="1"/>
  <c r="AQ320" i="4" a="1"/>
  <c r="AQ417" i="4" a="1"/>
  <c r="P293" i="4" a="1"/>
  <c r="AQ424" i="4" a="1"/>
  <c r="P359" i="4" a="1"/>
  <c r="N294" i="4" a="1"/>
  <c r="AQ445" i="4" a="1"/>
  <c r="P386" i="4" a="1"/>
  <c r="N323" i="4" a="1"/>
  <c r="AQ263" i="4" a="1"/>
  <c r="P202" i="4" a="1"/>
  <c r="P140" i="4" a="1"/>
  <c r="N100" i="4" a="1"/>
  <c r="AQ256" i="4" a="1"/>
  <c r="AQ229" i="4" a="1"/>
  <c r="N214" i="4" a="1"/>
  <c r="R198" i="4" a="1"/>
  <c r="R183" i="4" a="1"/>
  <c r="P167" i="4" a="1"/>
  <c r="AQ150" i="4" a="1"/>
  <c r="P135" i="4" a="1"/>
  <c r="AQ117" i="4" a="1"/>
  <c r="R102" i="4" a="1"/>
  <c r="P85" i="4" a="1"/>
  <c r="P69" i="4" a="1"/>
  <c r="P54" i="4" a="1"/>
  <c r="P567" i="4" a="1"/>
  <c r="AQ556" i="4" a="1"/>
  <c r="P459" i="4" a="1"/>
  <c r="P397" i="4" a="1"/>
  <c r="P335" i="4" a="1"/>
  <c r="N502" i="4" a="1"/>
  <c r="R431" i="4" a="1"/>
  <c r="R369" i="4" a="1"/>
  <c r="R307" i="4" a="1"/>
  <c r="AQ458" i="4" a="1"/>
  <c r="AQ770" i="4" a="1"/>
  <c r="P662" i="4" a="1"/>
  <c r="R717" i="4" a="1"/>
  <c r="N704" i="4" a="1"/>
  <c r="AQ582" i="4" a="1"/>
  <c r="R568" i="4" a="1"/>
  <c r="N559" i="4" a="1"/>
  <c r="N549" i="4" a="1"/>
  <c r="AQ454" i="4" a="1"/>
  <c r="N393" i="4" a="1"/>
  <c r="AO330" i="4" a="1"/>
  <c r="R490" i="4" a="1"/>
  <c r="AQ425" i="4" a="1"/>
  <c r="AQ364" i="4" a="1"/>
  <c r="R302" i="4" a="1"/>
  <c r="R810" i="4" a="1"/>
  <c r="AQ624" i="4" a="1"/>
  <c r="AQ696" i="4" a="1"/>
  <c r="AQ683" i="4" a="1"/>
  <c r="N564" i="4" a="1"/>
  <c r="R582" i="4" a="1"/>
  <c r="AQ533" i="4" a="1"/>
  <c r="R502" i="4" a="1"/>
  <c r="AQ586" i="4" a="1"/>
  <c r="R556" i="4" a="1"/>
  <c r="P522" i="4" a="1"/>
  <c r="N610" i="4" a="1"/>
  <c r="P576" i="4" a="1"/>
  <c r="P546" i="4" a="1"/>
  <c r="N516" i="4" a="1"/>
  <c r="N749" i="4" a="1"/>
  <c r="R713" i="4" a="1"/>
  <c r="P680" i="4" a="1"/>
  <c r="AQ667" i="4" a="1"/>
  <c r="N547" i="4" a="1"/>
  <c r="N533" i="4" a="1"/>
  <c r="P521" i="4" a="1"/>
  <c r="N515" i="4" a="1"/>
  <c r="N468" i="4" a="1"/>
  <c r="R437" i="4" a="1"/>
  <c r="N406" i="4" a="1"/>
  <c r="AQ374" i="4" a="1"/>
  <c r="AQ343" i="4" a="1"/>
  <c r="R311" i="4" a="1"/>
  <c r="AQ279" i="4" a="1"/>
  <c r="AQ471" i="4" a="1"/>
  <c r="N440" i="4" a="1"/>
  <c r="N409" i="4" a="1"/>
  <c r="AQ377" i="4" a="1"/>
  <c r="P346" i="4" a="1"/>
  <c r="N316" i="4" a="1"/>
  <c r="P284" i="4" a="1"/>
  <c r="R479" i="4" a="1"/>
  <c r="AQ457" i="4" a="1"/>
  <c r="N437" i="4" a="1"/>
  <c r="R419" i="4" a="1"/>
  <c r="N403" i="4" a="1"/>
  <c r="AQ385" i="4" a="1"/>
  <c r="P369" i="4" a="1"/>
  <c r="P354" i="4" a="1"/>
  <c r="R338" i="4" a="1"/>
  <c r="P321" i="4" a="1"/>
  <c r="P305" i="4" a="1"/>
  <c r="P288" i="4" a="1"/>
  <c r="P488" i="4" a="1"/>
  <c r="P473" i="4" a="1"/>
  <c r="R458" i="4" a="1"/>
  <c r="R441" i="4" a="1"/>
  <c r="R425" i="4" a="1"/>
  <c r="R410" i="4" a="1"/>
  <c r="AQ396" i="4" a="1"/>
  <c r="AQ381" i="4" a="1"/>
  <c r="P366" i="4" a="1"/>
  <c r="P350" i="4" a="1"/>
  <c r="AQ332" i="4" a="1"/>
  <c r="R317" i="4" a="1"/>
  <c r="N302" i="4" a="1"/>
  <c r="N288" i="4" a="1"/>
  <c r="P276" i="4" a="1"/>
  <c r="N259" i="4" a="1"/>
  <c r="P243" i="4" a="1"/>
  <c r="N228" i="4" a="1"/>
  <c r="P213" i="4" a="1"/>
  <c r="AQ197" i="4" a="1"/>
  <c r="N181" i="4" a="1"/>
  <c r="R165" i="4" a="1"/>
  <c r="N151" i="4" a="1"/>
  <c r="R135" i="4" a="1"/>
  <c r="AQ119" i="4" a="1"/>
  <c r="R105" i="4" a="1"/>
  <c r="P280" i="4" a="1"/>
  <c r="R262" i="4" a="1"/>
  <c r="R246" i="4" a="1"/>
  <c r="AQ843" i="4" a="1"/>
  <c r="P760" i="4" a="1"/>
  <c r="N659" i="4" a="1"/>
  <c r="AP641" i="4" a="1"/>
  <c r="N629" i="4" a="1"/>
  <c r="AQ508" i="4" a="1"/>
  <c r="P494" i="4" a="1"/>
  <c r="AQ597" i="4" a="1"/>
  <c r="AQ489" i="4" a="1"/>
  <c r="R457" i="4" a="1"/>
  <c r="N426" i="4" a="1"/>
  <c r="AQ395" i="4" a="1"/>
  <c r="N364" i="4" a="1"/>
  <c r="R333" i="4" a="1"/>
  <c r="P300" i="4" a="1"/>
  <c r="AQ493" i="4" a="1"/>
  <c r="N461" i="4" a="1"/>
  <c r="AQ428" i="4" a="1"/>
  <c r="AQ397" i="4" a="1"/>
  <c r="R367" i="4" a="1"/>
  <c r="N335" i="4" a="1"/>
  <c r="R305" i="4" a="1"/>
  <c r="R493" i="4" a="1"/>
  <c r="R472" i="4" a="1"/>
  <c r="P452" i="4" a="1"/>
  <c r="P431" i="4" a="1"/>
  <c r="AQ413" i="4" a="1"/>
  <c r="R398" i="4" a="1"/>
  <c r="N380" i="4" a="1"/>
  <c r="R364" i="4" a="1"/>
  <c r="AQ348" i="4" a="1"/>
  <c r="N333" i="4" a="1"/>
  <c r="AQ315" i="4" a="1"/>
  <c r="AQ299" i="4" a="1"/>
  <c r="N283" i="4" a="1"/>
  <c r="N484" i="4" a="1"/>
  <c r="P468" i="4" a="1"/>
  <c r="N452" i="4" a="1"/>
  <c r="AQ435" i="4" a="1"/>
  <c r="N421" i="4" a="1"/>
  <c r="P406" i="4" a="1"/>
  <c r="P392" i="4" a="1"/>
  <c r="R376" i="4" a="1"/>
  <c r="R361" i="4" a="1"/>
  <c r="AQ344" i="4" a="1"/>
  <c r="R328" i="4" a="1"/>
  <c r="AQ312" i="4" a="1"/>
  <c r="R297" i="4" a="1"/>
  <c r="AQ283" i="4" a="1"/>
  <c r="N270" i="4" a="1"/>
  <c r="P254" i="4" a="1"/>
  <c r="R238" i="4" a="1"/>
  <c r="AQ223" i="4" a="1"/>
  <c r="AQ207" i="4" a="1"/>
  <c r="AQ191" i="4" a="1"/>
  <c r="R176" i="4" a="1"/>
  <c r="R160" i="4" a="1"/>
  <c r="P146" i="4" a="1"/>
  <c r="AQ129" i="4" a="1"/>
  <c r="R889" i="4" a="1"/>
  <c r="AQ743" i="4" a="1"/>
  <c r="R651" i="4" a="1"/>
  <c r="N634" i="4" a="1"/>
  <c r="AQ620" i="4" a="1"/>
  <c r="AQ500" i="4" a="1"/>
  <c r="N601" i="4" a="1"/>
  <c r="P590" i="4" a="1"/>
  <c r="AQ488" i="4" a="1"/>
  <c r="R456" i="4" a="1"/>
  <c r="P425" i="4" a="1"/>
  <c r="AQ394" i="4" a="1"/>
  <c r="P363" i="4" a="1"/>
  <c r="R332" i="4" a="1"/>
  <c r="P299" i="4" a="1"/>
  <c r="R492" i="4" a="1"/>
  <c r="N460" i="4" a="1"/>
  <c r="AQ427" i="4" a="1"/>
  <c r="N397" i="4" a="1"/>
  <c r="AO366" i="4" a="1"/>
  <c r="N334" i="4" a="1"/>
  <c r="R304" i="4" a="1"/>
  <c r="P492" i="4" a="1"/>
  <c r="R471" i="4" a="1"/>
  <c r="P450" i="4" a="1"/>
  <c r="R430" i="4" a="1"/>
  <c r="AQ412" i="4" a="1"/>
  <c r="P395" i="4" a="1"/>
  <c r="N379" i="4" a="1"/>
  <c r="AQ363" i="4" a="1"/>
  <c r="N348" i="4" a="1"/>
  <c r="N332" i="4" a="1"/>
  <c r="N315" i="4" a="1"/>
  <c r="AQ298" i="4" a="1"/>
  <c r="N282" i="4" a="1"/>
  <c r="N483" i="4" a="1"/>
  <c r="P467" i="4" a="1"/>
  <c r="N451" i="4" a="1"/>
  <c r="AQ434" i="4" a="1"/>
  <c r="N420" i="4" a="1"/>
  <c r="P405" i="4" a="1"/>
  <c r="R391" i="4" a="1"/>
  <c r="AQ375" i="4" a="1"/>
  <c r="N360" i="4" a="1"/>
  <c r="N343" i="4" a="1"/>
  <c r="R327" i="4" a="1"/>
  <c r="AQ311" i="4" a="1"/>
  <c r="R296" i="4" a="1"/>
  <c r="AQ282" i="4" a="1"/>
  <c r="N269" i="4" a="1"/>
  <c r="P253" i="4" a="1"/>
  <c r="R237" i="4" a="1"/>
  <c r="AQ222" i="4" a="1"/>
  <c r="AQ206" i="4" a="1"/>
  <c r="AQ190" i="4" a="1"/>
  <c r="R175" i="4" a="1"/>
  <c r="R159" i="4" a="1"/>
  <c r="P145" i="4" a="1"/>
  <c r="N129" i="4" a="1"/>
  <c r="R114" i="4" a="1"/>
  <c r="N99" i="4" a="1"/>
  <c r="R272" i="4" a="1"/>
  <c r="N256" i="4" a="1"/>
  <c r="N241" i="4" a="1"/>
  <c r="P722" i="4" a="1"/>
  <c r="N563" i="4" a="1"/>
  <c r="P414" i="4" a="1"/>
  <c r="AQ287" i="4" a="1"/>
  <c r="AQ386" i="4" a="1"/>
  <c r="N485" i="4" a="1"/>
  <c r="N408" i="4" a="1"/>
  <c r="P343" i="4" a="1"/>
  <c r="N493" i="4" a="1"/>
  <c r="P430" i="4" a="1"/>
  <c r="AQ371" i="4" a="1"/>
  <c r="N307" i="4" a="1"/>
  <c r="R248" i="4" a="1"/>
  <c r="N186" i="4" a="1"/>
  <c r="AQ123" i="4" a="1"/>
  <c r="AQ92" i="4" a="1"/>
  <c r="P249" i="4" a="1"/>
  <c r="P226" i="4" a="1"/>
  <c r="P210" i="4" a="1"/>
  <c r="P195" i="4" a="1"/>
  <c r="N179" i="4" a="1"/>
  <c r="P163" i="4" a="1"/>
  <c r="N147" i="4" a="1"/>
  <c r="P131" i="4" a="1"/>
  <c r="P114" i="4" a="1"/>
  <c r="AQ98" i="4" a="1"/>
  <c r="P81" i="4" a="1"/>
  <c r="AQ65" i="4" a="1"/>
  <c r="R50" i="4" a="1"/>
  <c r="P535" i="4" a="1"/>
  <c r="N527" i="4" a="1"/>
  <c r="AQ443" i="4" a="1"/>
  <c r="R383" i="4" a="1"/>
  <c r="N319" i="4" a="1"/>
  <c r="AQ478" i="4" a="1"/>
  <c r="AQ415" i="4" a="1"/>
  <c r="R352" i="4" a="1"/>
  <c r="AQ290" i="4" a="1"/>
  <c r="P443" i="4" a="1"/>
  <c r="R761" i="4" a="1"/>
  <c r="P721" i="4" a="1"/>
  <c r="N684" i="4" a="1"/>
  <c r="AQ671" i="4" a="1"/>
  <c r="AQ550" i="4" a="1"/>
  <c r="R536" i="4" a="1"/>
  <c r="R526" i="4" a="1"/>
  <c r="P519" i="4" a="1"/>
  <c r="P439" i="4" a="1"/>
  <c r="AQ378" i="4" a="1"/>
  <c r="R313" i="4" a="1"/>
  <c r="AQ473" i="4" a="1"/>
  <c r="N411" i="4" a="1"/>
  <c r="P348" i="4" a="1"/>
  <c r="AQ920" i="4" a="1"/>
  <c r="N823" i="4" a="1"/>
  <c r="P684" i="4" a="1"/>
  <c r="N666" i="4" a="1"/>
  <c r="AQ652" i="4" a="1"/>
  <c r="P532" i="4" a="1"/>
  <c r="R565" i="4" a="1"/>
  <c r="AQ525" i="4" a="1"/>
  <c r="N495" i="4" a="1"/>
  <c r="R579" i="4" a="1"/>
  <c r="P548" i="4" a="1"/>
  <c r="P514" i="4" a="1"/>
  <c r="AQ598" i="4" a="1"/>
  <c r="N569" i="4" a="1"/>
  <c r="AQ538" i="4" a="1"/>
  <c r="R908" i="4" a="1"/>
  <c r="P776" i="4" a="1"/>
  <c r="P667" i="4" a="1"/>
  <c r="R649" i="4" a="1"/>
  <c r="AQ636" i="4" a="1"/>
  <c r="R516" i="4" a="1"/>
  <c r="R501" i="4" a="1"/>
  <c r="N608" i="4" a="1"/>
  <c r="AQ492" i="4" a="1"/>
  <c r="P460" i="4" a="1"/>
  <c r="N429" i="4" a="1"/>
  <c r="N398" i="4" a="1"/>
  <c r="AQ366" i="4" a="1"/>
  <c r="P336" i="4" a="1"/>
  <c r="AQ302" i="4" a="1"/>
  <c r="P270" i="4" a="1"/>
  <c r="R464" i="4" a="1"/>
  <c r="R432" i="4" a="1"/>
  <c r="R401" i="4" a="1"/>
  <c r="R370" i="4" a="1"/>
  <c r="AQ337" i="4" a="1"/>
  <c r="P308" i="4" a="1"/>
  <c r="N501" i="4" a="1"/>
  <c r="R473" i="4" a="1"/>
  <c r="P453" i="4" a="1"/>
  <c r="P432" i="4" a="1"/>
  <c r="R415" i="4" a="1"/>
  <c r="R399" i="4" a="1"/>
  <c r="N381" i="4" a="1"/>
  <c r="R365" i="4" a="1"/>
  <c r="R349" i="4" a="1"/>
  <c r="AQ334" i="4" a="1"/>
  <c r="AQ316" i="4" a="1"/>
  <c r="R301" i="4" a="1"/>
  <c r="N284" i="4" a="1"/>
  <c r="AQ484" i="4" a="1"/>
  <c r="P469" i="4" a="1"/>
  <c r="N453" i="4" a="1"/>
  <c r="AQ436" i="4" a="1"/>
  <c r="AQ421" i="4" a="1"/>
  <c r="N407" i="4" a="1"/>
  <c r="P393" i="4" a="1"/>
  <c r="R377" i="4" a="1"/>
  <c r="R362" i="4" a="1"/>
  <c r="AQ345" i="4" a="1"/>
  <c r="N329" i="4" a="1"/>
  <c r="AQ313" i="4" a="1"/>
  <c r="R298" i="4" a="1"/>
  <c r="AQ284" i="4" a="1"/>
  <c r="R271" i="4" a="1"/>
  <c r="P255" i="4" a="1"/>
  <c r="R239" i="4" a="1"/>
  <c r="AQ224" i="4" a="1"/>
  <c r="R209" i="4" a="1"/>
  <c r="P193" i="4" a="1"/>
  <c r="P177" i="4" a="1"/>
  <c r="R161" i="4" a="1"/>
  <c r="P147" i="4" a="1"/>
  <c r="R131" i="4" a="1"/>
  <c r="P116" i="4" a="1"/>
  <c r="N101" i="4" a="1"/>
  <c r="AQ274" i="4" a="1"/>
  <c r="AQ257" i="4" a="1"/>
  <c r="N243" i="4" a="1"/>
  <c r="R741" i="4" a="1"/>
  <c r="N702" i="4" a="1"/>
  <c r="R626" i="4" a="1"/>
  <c r="P725" i="4" a="1"/>
  <c r="R601" i="4" a="1"/>
  <c r="AQ590" i="4" a="1"/>
  <c r="R578" i="4" a="1"/>
  <c r="N568" i="4" a="1"/>
  <c r="N481" i="4" a="1"/>
  <c r="AQ449" i="4" a="1"/>
  <c r="N418" i="4" a="1"/>
  <c r="AQ388" i="4" a="1"/>
  <c r="AQ356" i="4" a="1"/>
  <c r="R325" i="4" a="1"/>
  <c r="AQ291" i="4" a="1"/>
  <c r="P485" i="4" a="1"/>
  <c r="R453" i="4" a="1"/>
  <c r="R421" i="4" a="1"/>
  <c r="N391" i="4" a="1"/>
  <c r="R358" i="4" a="1"/>
  <c r="N328" i="4" a="1"/>
  <c r="N297" i="4" a="1"/>
  <c r="R488" i="4" a="1"/>
  <c r="R467" i="4" a="1"/>
  <c r="N446" i="4" a="1"/>
  <c r="R427" i="4" a="1"/>
  <c r="AQ409" i="4" a="1"/>
  <c r="R392" i="4" a="1"/>
  <c r="N376" i="4" a="1"/>
  <c r="AQ360" i="4" a="1"/>
  <c r="N345" i="4" a="1"/>
  <c r="P329" i="4" a="1"/>
  <c r="N312" i="4" a="1"/>
  <c r="AQ295" i="4" a="1"/>
  <c r="N500" i="4" a="1"/>
  <c r="P480" i="4" a="1"/>
  <c r="AO464" i="4" a="1"/>
  <c r="N448" i="4" a="1"/>
  <c r="N432" i="4" a="1"/>
  <c r="P417" i="4" a="1"/>
  <c r="AQ402" i="4" a="1"/>
  <c r="P388" i="4" a="1"/>
  <c r="R373" i="4" a="1"/>
  <c r="N357" i="4" a="1"/>
  <c r="N340" i="4" a="1"/>
  <c r="AQ324" i="4" a="1"/>
  <c r="AQ308" i="4" a="1"/>
  <c r="AQ293" i="4" a="1"/>
  <c r="N280" i="4" a="1"/>
  <c r="R266" i="4" a="1"/>
  <c r="R250" i="4" a="1"/>
  <c r="AQ234" i="4" a="1"/>
  <c r="AQ219" i="4" a="1"/>
  <c r="P204" i="4" a="1"/>
  <c r="AQ187" i="4" a="1"/>
  <c r="R172" i="4" a="1"/>
  <c r="P157" i="4" a="1"/>
  <c r="P142" i="4" a="1"/>
  <c r="R126" i="4" a="1"/>
  <c r="P842" i="4" a="1"/>
  <c r="P687" i="4" a="1"/>
  <c r="AQ617" i="4" a="1"/>
  <c r="R715" i="4" a="1"/>
  <c r="AQ593" i="4" a="1"/>
  <c r="AQ580" i="4" a="1"/>
  <c r="N570" i="4" a="1"/>
  <c r="AQ559" i="4" a="1"/>
  <c r="N480" i="4" a="1"/>
  <c r="AQ448" i="4" a="1"/>
  <c r="N417" i="4" a="1"/>
  <c r="N388" i="4" a="1"/>
  <c r="AQ355" i="4" a="1"/>
  <c r="R324" i="4" a="1"/>
  <c r="N291" i="4" a="1"/>
  <c r="R484" i="4" a="1"/>
  <c r="R452" i="4" a="1"/>
  <c r="R420" i="4" a="1"/>
  <c r="P390" i="4" a="1"/>
  <c r="R357" i="4" a="1"/>
  <c r="N327" i="4" a="1"/>
  <c r="N296" i="4" a="1"/>
  <c r="AQ486" i="4" a="1"/>
  <c r="R465" i="4" a="1"/>
  <c r="N445" i="4" a="1"/>
  <c r="R426" i="4" a="1"/>
  <c r="AQ408" i="4" a="1"/>
  <c r="AQ390" i="4" a="1"/>
  <c r="P375" i="4" a="1"/>
  <c r="P360" i="4" a="1"/>
  <c r="N344" i="4" a="1"/>
  <c r="AQ327" i="4" a="1"/>
  <c r="N311" i="4" a="1"/>
  <c r="N295" i="4" a="1"/>
  <c r="P496" i="4" a="1"/>
  <c r="P479" i="4" a="1"/>
  <c r="N464" i="4" a="1"/>
  <c r="R447" i="4" a="1"/>
  <c r="N431" i="4" a="1"/>
  <c r="P416" i="4" a="1"/>
  <c r="N402" i="4" a="1"/>
  <c r="P387" i="4" a="1"/>
  <c r="R372" i="4" a="1"/>
  <c r="N356" i="4" a="1"/>
  <c r="P339" i="4" a="1"/>
  <c r="AQ323" i="4" a="1"/>
  <c r="AQ307" i="4" a="1"/>
  <c r="AQ292" i="4" a="1"/>
  <c r="P279" i="4" a="1"/>
  <c r="R265" i="4" a="1"/>
  <c r="R249" i="4" a="1"/>
  <c r="AQ233" i="4" a="1"/>
  <c r="N219" i="4" a="1"/>
  <c r="P203" i="4" a="1"/>
  <c r="AQ186" i="4" a="1"/>
  <c r="R171" i="4" a="1"/>
  <c r="P156" i="4" a="1"/>
  <c r="P141" i="4" a="1"/>
  <c r="AQ124" i="4" a="1"/>
  <c r="N111" i="4" a="1"/>
  <c r="N95" i="4" a="1"/>
  <c r="N268" i="4" a="1"/>
  <c r="P252" i="4" a="1"/>
  <c r="P237" i="4" a="1"/>
  <c r="AQ707" i="4" a="1"/>
  <c r="AO552" i="4" a="1"/>
  <c r="P385" i="4" a="1"/>
  <c r="AQ480" i="4" a="1"/>
  <c r="R354" i="4" a="1"/>
  <c r="AP464" i="4" a="1"/>
  <c r="N390" i="4" a="1"/>
  <c r="N326" i="4" a="1"/>
  <c r="P478" i="4" a="1"/>
  <c r="P415" i="4" a="1"/>
  <c r="N355" i="4" a="1"/>
  <c r="N292" i="4" a="1"/>
  <c r="N233" i="4" a="1"/>
  <c r="R170" i="4" a="1"/>
  <c r="R115" i="4" a="1"/>
  <c r="AQ273" i="4" a="1"/>
  <c r="N242" i="4" a="1"/>
  <c r="R222" i="4" a="1"/>
  <c r="AQ205" i="4" a="1"/>
  <c r="R191" i="4" a="1"/>
  <c r="P175" i="4" a="1"/>
  <c r="P159" i="4" a="1"/>
  <c r="N143" i="4" a="1"/>
  <c r="N127" i="4" a="1"/>
  <c r="P110" i="4" a="1"/>
  <c r="N94" i="4" a="1"/>
  <c r="R77" i="4" a="1"/>
  <c r="P62" i="4" a="1"/>
  <c r="AQ46" i="4" a="1"/>
  <c r="P277" i="4" a="1"/>
  <c r="R256" i="4" a="1"/>
  <c r="N224" i="4" a="1"/>
  <c r="N191" i="4" a="1"/>
  <c r="N159" i="4" a="1"/>
  <c r="AQ125" i="4" a="1"/>
  <c r="AQ93" i="4" a="1"/>
  <c r="N266" i="4" a="1"/>
  <c r="AQ235" i="4" a="1"/>
  <c r="N198" i="4" a="1"/>
  <c r="AQ168" i="4" a="1"/>
  <c r="AQ136" i="4" a="1"/>
  <c r="N104" i="4" a="1"/>
  <c r="P76" i="4" a="1"/>
  <c r="AQ55" i="4" a="1"/>
  <c r="R36" i="4" a="1"/>
  <c r="AQ20" i="4" a="1"/>
  <c r="P4" i="4" a="1"/>
  <c r="Y2277" i="3"/>
  <c r="R244" i="4" a="1"/>
  <c r="AQ213" i="4" a="1"/>
  <c r="N183" i="4" a="1"/>
  <c r="R149" i="4" a="1"/>
  <c r="R117" i="4" a="1"/>
  <c r="AQ89" i="4" a="1"/>
  <c r="AQ69" i="4" a="1"/>
  <c r="N47" i="4" a="1"/>
  <c r="N30" i="4" a="1"/>
  <c r="N15" i="4" a="1"/>
  <c r="U2288" i="3"/>
  <c r="Y2271" i="3"/>
  <c r="U2255" i="3"/>
  <c r="U2239" i="3"/>
  <c r="U2223" i="3"/>
  <c r="N197" i="4" a="1"/>
  <c r="AQ86" i="4" a="1"/>
  <c r="R41" i="4" a="1"/>
  <c r="AQ10" i="4" a="1"/>
  <c r="Y2266" i="3"/>
  <c r="Z2248" i="3"/>
  <c r="Z2232" i="3"/>
  <c r="Y2214" i="3"/>
  <c r="AQ687" i="4" a="1"/>
  <c r="N530" i="4" a="1"/>
  <c r="AQ406" i="4" a="1"/>
  <c r="R280" i="4" a="1"/>
  <c r="R378" i="4" a="1"/>
  <c r="R480" i="4" a="1"/>
  <c r="N404" i="4" a="1"/>
  <c r="R339" i="4" a="1"/>
  <c r="N489" i="4" a="1"/>
  <c r="P426" i="4" a="1"/>
  <c r="N367" i="4" a="1"/>
  <c r="N303" i="4" a="1"/>
  <c r="N244" i="4" a="1"/>
  <c r="N182" i="4" a="1"/>
  <c r="R120" i="4" a="1"/>
  <c r="N90" i="4" a="1"/>
  <c r="R247" i="4" a="1"/>
  <c r="R225" i="4" a="1"/>
  <c r="P209" i="4" a="1"/>
  <c r="AQ193" i="4" a="1"/>
  <c r="N178" i="4" a="1"/>
  <c r="P162" i="4" a="1"/>
  <c r="N146" i="4" a="1"/>
  <c r="R130" i="4" a="1"/>
  <c r="R113" i="4" a="1"/>
  <c r="AQ97" i="4" a="1"/>
  <c r="P80" i="4" a="1"/>
  <c r="AQ64" i="4" a="1"/>
  <c r="R49" i="4" a="1"/>
  <c r="R270" i="4" a="1"/>
  <c r="N236" i="4" a="1"/>
  <c r="R205" i="4" a="1"/>
  <c r="N173" i="4" a="1"/>
  <c r="AQ140" i="4" a="1"/>
  <c r="AQ106" i="4" a="1"/>
  <c r="R81" i="4" a="1"/>
  <c r="N248" i="4" a="1"/>
  <c r="R216" i="4" a="1"/>
  <c r="P182" i="4" a="1"/>
  <c r="P150" i="4" a="1"/>
  <c r="R116" i="4" a="1"/>
  <c r="R87" i="4" a="1"/>
  <c r="P65" i="4" a="1"/>
  <c r="N43" i="4" a="1"/>
  <c r="R28" i="4" a="1"/>
  <c r="R12" i="4" a="1"/>
  <c r="U2284" i="3"/>
  <c r="P257" i="4" a="1"/>
  <c r="AQ226" i="4" a="1"/>
  <c r="P197" i="4" a="1"/>
  <c r="N166" i="4" a="1"/>
  <c r="N132" i="4" a="1"/>
  <c r="P102" i="4" a="1"/>
  <c r="P78" i="4" a="1"/>
  <c r="R55" i="4" a="1"/>
  <c r="P36" i="4" a="1"/>
  <c r="R21" i="4" a="1"/>
  <c r="N7" i="4" a="1"/>
  <c r="U2278" i="3"/>
  <c r="Z2262" i="3"/>
  <c r="Z2246" i="3"/>
  <c r="U2230" i="3"/>
  <c r="AQ254" i="4" a="1"/>
  <c r="AQ133" i="4" a="1"/>
  <c r="N657" i="4" a="1"/>
  <c r="P498" i="4" a="1"/>
  <c r="N399" i="4" a="1"/>
  <c r="P271" i="4" a="1"/>
  <c r="P371" i="4" a="1"/>
  <c r="R475" i="4" a="1"/>
  <c r="P400" i="4" a="1"/>
  <c r="AQ335" i="4" a="1"/>
  <c r="R485" i="4" a="1"/>
  <c r="AQ422" i="4" a="1"/>
  <c r="R363" i="4" a="1"/>
  <c r="R299" i="4" a="1"/>
  <c r="P240" i="4" a="1"/>
  <c r="P178" i="4" a="1"/>
  <c r="N119" i="4" a="1"/>
  <c r="N279" i="4" a="1"/>
  <c r="R245" i="4" a="1"/>
  <c r="R224" i="4" a="1"/>
  <c r="R208" i="4" a="1"/>
  <c r="N193" i="4" a="1"/>
  <c r="N177" i="4" a="1"/>
  <c r="P161" i="4" a="1"/>
  <c r="N145" i="4" a="1"/>
  <c r="AQ128" i="4" a="1"/>
  <c r="R112" i="4" a="1"/>
  <c r="AQ96" i="4" a="1"/>
  <c r="P79" i="4" a="1"/>
  <c r="AQ63" i="4" a="1"/>
  <c r="AQ48" i="4" a="1"/>
  <c r="AQ266" i="4" a="1"/>
  <c r="P234" i="4" a="1"/>
  <c r="AQ203" i="4" a="1"/>
  <c r="N171" i="4" a="1"/>
  <c r="AQ138" i="4" a="1"/>
  <c r="AQ104" i="4" a="1"/>
  <c r="N80" i="4" a="1"/>
  <c r="N247" i="4" a="1"/>
  <c r="R214" i="4" a="1"/>
  <c r="R180" i="4" a="1"/>
  <c r="R148" i="4" a="1"/>
  <c r="AQ114" i="4" a="1"/>
  <c r="R86" i="4" a="1"/>
  <c r="N64" i="4" a="1"/>
  <c r="N42" i="4" a="1"/>
  <c r="R27" i="4" a="1"/>
  <c r="R11" i="4" a="1"/>
  <c r="U2283" i="3"/>
  <c r="R255" i="4" a="1"/>
  <c r="N225" i="4" a="1"/>
  <c r="AQ195" i="4" a="1"/>
  <c r="N164" i="4" a="1"/>
  <c r="P130" i="4" a="1"/>
  <c r="R100" i="4" a="1"/>
  <c r="P77" i="4" a="1"/>
  <c r="R54" i="4" a="1"/>
  <c r="R35" i="4" a="1"/>
  <c r="AP20" i="4" a="1"/>
  <c r="N6" i="4" a="1"/>
  <c r="U2277" i="3"/>
  <c r="AA2261" i="3"/>
  <c r="Z2245" i="3"/>
  <c r="Z2229" i="3"/>
  <c r="N249" i="4" a="1"/>
  <c r="R128" i="4" a="1"/>
  <c r="N54" i="4" a="1"/>
  <c r="N22" i="4" a="1"/>
  <c r="Z2272" i="3"/>
  <c r="Z2256" i="3"/>
  <c r="Y2238" i="3"/>
  <c r="U2220" i="3"/>
  <c r="P593" i="4" a="1"/>
  <c r="P491" i="4" a="1"/>
  <c r="AQ433" i="4" a="1"/>
  <c r="AQ189" i="4" a="1"/>
  <c r="N227" i="4" a="1"/>
  <c r="P164" i="4" a="1"/>
  <c r="AQ99" i="4" a="1"/>
  <c r="N267" i="4" a="1"/>
  <c r="AQ144" i="4" a="1"/>
  <c r="P221" i="4" a="1"/>
  <c r="P90" i="4" a="1"/>
  <c r="P14" i="4" a="1"/>
  <c r="N201" i="4" a="1"/>
  <c r="AQ80" i="4" a="1"/>
  <c r="AQ8" i="4" a="1"/>
  <c r="U2232" i="3"/>
  <c r="R56" i="4" a="1"/>
  <c r="Y2280" i="3"/>
  <c r="Y2239" i="3"/>
  <c r="Z2207" i="3"/>
  <c r="Z2190" i="3"/>
  <c r="Z2174" i="3"/>
  <c r="Z2148" i="3"/>
  <c r="AA2132" i="3"/>
  <c r="AA2115" i="3"/>
  <c r="U2097" i="3"/>
  <c r="U2079" i="3"/>
  <c r="Y2054" i="3"/>
  <c r="U2038" i="3"/>
  <c r="R240" i="4" a="1"/>
  <c r="P91" i="4" a="1"/>
  <c r="P43" i="4" a="1"/>
  <c r="N12" i="4" a="1"/>
  <c r="U2270" i="3"/>
  <c r="U2246" i="3"/>
  <c r="Y2207" i="3"/>
  <c r="Y2191" i="3"/>
  <c r="U2175" i="3"/>
  <c r="Z2157" i="3"/>
  <c r="Y2139" i="3"/>
  <c r="U2121" i="3"/>
  <c r="U2105" i="3"/>
  <c r="Z2086" i="3"/>
  <c r="N208" i="4" a="1"/>
  <c r="N69" i="4" a="1"/>
  <c r="AQ29" i="4" a="1"/>
  <c r="Z2284" i="3"/>
  <c r="Z2224" i="3"/>
  <c r="U2206" i="3"/>
  <c r="U2190" i="3"/>
  <c r="Z2172" i="3"/>
  <c r="U2154" i="3"/>
  <c r="U2138" i="3"/>
  <c r="Y2118" i="3"/>
  <c r="U2100" i="3"/>
  <c r="Z2084" i="3"/>
  <c r="Y2068" i="3"/>
  <c r="Z2048" i="3"/>
  <c r="AQ163" i="4" a="1"/>
  <c r="P64" i="4" a="1"/>
  <c r="R29" i="4" a="1"/>
  <c r="AA2288" i="3"/>
  <c r="AA2263" i="3"/>
  <c r="Y2245" i="3"/>
  <c r="Y2229" i="3"/>
  <c r="AA2213" i="3"/>
  <c r="Z2195" i="3"/>
  <c r="AA2174" i="3"/>
  <c r="U2157" i="3"/>
  <c r="Y2137" i="3"/>
  <c r="Z2120" i="3"/>
  <c r="AA2104" i="3"/>
  <c r="AA2088" i="3"/>
  <c r="U2063" i="3"/>
  <c r="Y2016" i="3"/>
  <c r="Z1997" i="3"/>
  <c r="U1980" i="3"/>
  <c r="U1938" i="3"/>
  <c r="Z1922" i="3"/>
  <c r="AA1903" i="3"/>
  <c r="AQ270" i="4" a="1"/>
  <c r="P247" i="4" a="1"/>
  <c r="AQ214" i="4" a="1"/>
  <c r="AQ183" i="4" a="1"/>
  <c r="R152" i="4" a="1"/>
  <c r="N120" i="4" a="1"/>
  <c r="AQ87" i="4" a="1"/>
  <c r="R257" i="4" a="1"/>
  <c r="R228" i="4" a="1"/>
  <c r="P190" i="4" a="1"/>
  <c r="AQ160" i="4" a="1"/>
  <c r="R129" i="4" a="1"/>
  <c r="P95" i="4" a="1"/>
  <c r="R71" i="4" a="1"/>
  <c r="R48" i="4" a="1"/>
  <c r="AQ32" i="4" a="1"/>
  <c r="P17" i="4" a="1"/>
  <c r="U2289" i="3"/>
  <c r="R268" i="4" a="1"/>
  <c r="N237" i="4" a="1"/>
  <c r="R206" i="4" a="1"/>
  <c r="N176" i="4" a="1"/>
  <c r="AQ141" i="4" a="1"/>
  <c r="P111" i="4" a="1"/>
  <c r="AQ84" i="4" a="1"/>
  <c r="R62" i="4" a="1"/>
  <c r="AQ41" i="4" a="1"/>
  <c r="P26" i="4" a="1"/>
  <c r="P11" i="4" a="1"/>
  <c r="AA2284" i="3"/>
  <c r="U2267" i="3"/>
  <c r="Y2251" i="3"/>
  <c r="U2235" i="3"/>
  <c r="Y2218" i="3"/>
  <c r="AQ169" i="4" a="1"/>
  <c r="R70" i="4" a="1"/>
  <c r="P34" i="4" a="1"/>
  <c r="AQ3" i="4" a="1"/>
  <c r="Y2262" i="3"/>
  <c r="Z2244" i="3"/>
  <c r="U2226" i="3"/>
  <c r="U2210" i="3"/>
  <c r="P675" i="4" a="1"/>
  <c r="N523" i="4" a="1"/>
  <c r="P377" i="4" a="1"/>
  <c r="AQ472" i="4" a="1"/>
  <c r="P347" i="4" a="1"/>
  <c r="AQ459" i="4" a="1"/>
  <c r="R386" i="4" a="1"/>
  <c r="P322" i="4" a="1"/>
  <c r="P474" i="4" a="1"/>
  <c r="R411" i="4" a="1"/>
  <c r="P351" i="4" a="1"/>
  <c r="N289" i="4" a="1"/>
  <c r="N229" i="4" a="1"/>
  <c r="R166" i="4" a="1"/>
  <c r="AQ113" i="4" a="1"/>
  <c r="N271" i="4" a="1"/>
  <c r="N240" i="4" a="1"/>
  <c r="R221" i="4" a="1"/>
  <c r="N205" i="4" a="1"/>
  <c r="R190" i="4" a="1"/>
  <c r="P174" i="4" a="1"/>
  <c r="AQ157" i="4" a="1"/>
  <c r="N142" i="4" a="1"/>
  <c r="P126" i="4" a="1"/>
  <c r="P109" i="4" a="1"/>
  <c r="R92" i="4" a="1"/>
  <c r="AQ76" i="4" a="1"/>
  <c r="R61" i="4" a="1"/>
  <c r="AQ45" i="4" a="1"/>
  <c r="P261" i="4" a="1"/>
  <c r="P229" i="4" a="1"/>
  <c r="P198" i="4" a="1"/>
  <c r="N165" i="4" a="1"/>
  <c r="N133" i="4" a="1"/>
  <c r="R99" i="4" a="1"/>
  <c r="R76" i="4" a="1"/>
  <c r="R241" i="4" a="1"/>
  <c r="N207" i="4" a="1"/>
  <c r="AQ174" i="4" a="1"/>
  <c r="R142" i="4" a="1"/>
  <c r="N110" i="4" a="1"/>
  <c r="R82" i="4" a="1"/>
  <c r="N59" i="4" a="1"/>
  <c r="P39" i="4" a="1"/>
  <c r="AQ23" i="4" a="1"/>
  <c r="P7" i="4" a="1"/>
  <c r="U2280" i="3"/>
  <c r="AQ249" i="4" a="1"/>
  <c r="R219" i="4" a="1"/>
  <c r="N190" i="4" a="1"/>
  <c r="N155" i="4" a="1"/>
  <c r="P125" i="4" a="1"/>
  <c r="AQ94" i="4" a="1"/>
  <c r="R73" i="4" a="1"/>
  <c r="AQ50" i="4" a="1"/>
  <c r="AP32" i="4" a="1"/>
  <c r="N18" i="4" a="1"/>
  <c r="P2" i="4" a="1"/>
  <c r="U2274" i="3"/>
  <c r="Y2258" i="3"/>
  <c r="Z2242" i="3"/>
  <c r="Y2226" i="3"/>
  <c r="P220" i="4" a="1"/>
  <c r="P858" i="4" a="1"/>
  <c r="R644" i="4" a="1"/>
  <c r="R495" i="4" a="1"/>
  <c r="AQ367" i="4" a="1"/>
  <c r="AQ464" i="4" a="1"/>
  <c r="AQ338" i="4" a="1"/>
  <c r="P454" i="4" a="1"/>
  <c r="N382" i="4" a="1"/>
  <c r="R318" i="4" a="1"/>
  <c r="P470" i="4" a="1"/>
  <c r="AQ407" i="4" a="1"/>
  <c r="AQ346" i="4" a="1"/>
  <c r="R285" i="4" a="1"/>
  <c r="AQ225" i="4" a="1"/>
  <c r="R162" i="4" a="1"/>
  <c r="AQ111" i="4" a="1"/>
  <c r="AQ268" i="4" a="1"/>
  <c r="P238" i="4" a="1"/>
  <c r="R220" i="4" a="1"/>
  <c r="N204" i="4" a="1"/>
  <c r="R189" i="4" a="1"/>
  <c r="P173" i="4" a="1"/>
  <c r="N157" i="4" a="1"/>
  <c r="N141" i="4" a="1"/>
  <c r="R125" i="4" a="1"/>
  <c r="P108" i="4" a="1"/>
  <c r="AQ91" i="4" a="1"/>
  <c r="AQ75" i="4" a="1"/>
  <c r="R60" i="4" a="1"/>
  <c r="N45" i="4" a="1"/>
  <c r="P260" i="4" a="1"/>
  <c r="R227" i="4" a="1"/>
  <c r="AQ194" i="4" a="1"/>
  <c r="N163" i="4" a="1"/>
  <c r="N131" i="4" a="1"/>
  <c r="R97" i="4" a="1"/>
  <c r="R75" i="4" a="1"/>
  <c r="AP239" i="4" a="1"/>
  <c r="R203" i="4" a="1"/>
  <c r="AQ172" i="4" a="1"/>
  <c r="R140" i="4" a="1"/>
  <c r="N108" i="4" a="1"/>
  <c r="N81" i="4" a="1"/>
  <c r="P58" i="4" a="1"/>
  <c r="P38" i="4" a="1"/>
  <c r="AQ22" i="4" a="1"/>
  <c r="P6" i="4" a="1"/>
  <c r="Y2279" i="3"/>
  <c r="AQ247" i="4" a="1"/>
  <c r="R217" i="4" a="1"/>
  <c r="N188" i="4" a="1"/>
  <c r="P153" i="4" a="1"/>
  <c r="P123" i="4" a="1"/>
  <c r="P93" i="4" a="1"/>
  <c r="P72" i="4" a="1"/>
  <c r="P49" i="4" a="1"/>
  <c r="N32" i="4" a="1"/>
  <c r="N17" i="4" a="1"/>
  <c r="Z2290" i="3"/>
  <c r="U2273" i="3"/>
  <c r="AA2257" i="3"/>
  <c r="Z2241" i="3"/>
  <c r="Z2225" i="3"/>
  <c r="N209" i="4" a="1"/>
  <c r="P100" i="4" a="1"/>
  <c r="P45" i="4" a="1"/>
  <c r="R14" i="4" a="1"/>
  <c r="Z2268" i="3"/>
  <c r="U2250" i="3"/>
  <c r="Y2234" i="3"/>
  <c r="U2216" i="3"/>
  <c r="R422" i="4" a="1"/>
  <c r="AQ411" i="4" a="1"/>
  <c r="N375" i="4" a="1"/>
  <c r="P128" i="4" a="1"/>
  <c r="P211" i="4" a="1"/>
  <c r="N148" i="4" a="1"/>
  <c r="P82" i="4" a="1"/>
  <c r="AQ239" i="4" a="1"/>
  <c r="P113" i="4" a="1"/>
  <c r="AQ184" i="4" a="1"/>
  <c r="AQ67" i="4" a="1"/>
  <c r="Z2286" i="3"/>
  <c r="N170" i="4" a="1"/>
  <c r="AQ58" i="4" a="1"/>
  <c r="AA2280" i="3"/>
  <c r="AA2215" i="3"/>
  <c r="AQ39" i="4" a="1"/>
  <c r="U2265" i="3"/>
  <c r="Y2231" i="3"/>
  <c r="Z2202" i="3"/>
  <c r="Z2186" i="3"/>
  <c r="U2170" i="3"/>
  <c r="U2144" i="3"/>
  <c r="Z2128" i="3"/>
  <c r="U2110" i="3"/>
  <c r="AA2093" i="3"/>
  <c r="Z2075" i="3"/>
  <c r="Z2050" i="3"/>
  <c r="U2034" i="3"/>
  <c r="N195" i="4" a="1"/>
  <c r="N72" i="4" a="1"/>
  <c r="N34" i="4" a="1"/>
  <c r="N3" i="4" a="1"/>
  <c r="U2263" i="3"/>
  <c r="Y2240" i="3"/>
  <c r="U2203" i="3"/>
  <c r="Y2187" i="3"/>
  <c r="Y2169" i="3"/>
  <c r="Z2153" i="3"/>
  <c r="U2135" i="3"/>
  <c r="U2117" i="3"/>
  <c r="U2101" i="3"/>
  <c r="Z2073" i="3"/>
  <c r="N153" i="4" a="1"/>
  <c r="AQ60" i="4" a="1"/>
  <c r="N21" i="4" a="1"/>
  <c r="Y2276" i="3"/>
  <c r="Z2220" i="3"/>
  <c r="U2202" i="3"/>
  <c r="U2186" i="3"/>
  <c r="U2168" i="3"/>
  <c r="Y2150" i="3"/>
  <c r="Z2131" i="3"/>
  <c r="AA2113" i="3"/>
  <c r="Z2096" i="3"/>
  <c r="Z2080" i="3"/>
  <c r="Y2060" i="3"/>
  <c r="P244" i="4" a="1"/>
  <c r="AQ135" i="4" a="1"/>
  <c r="AQ54" i="4" a="1"/>
  <c r="P22" i="4" a="1"/>
  <c r="Z2279" i="3"/>
  <c r="AA2259" i="3"/>
  <c r="Y2241" i="3"/>
  <c r="Y2225" i="3"/>
  <c r="Z2209" i="3"/>
  <c r="AA2191" i="3"/>
  <c r="Y2170" i="3"/>
  <c r="U2153" i="3"/>
  <c r="Z2133" i="3"/>
  <c r="Z2116" i="3"/>
  <c r="AA2100" i="3"/>
  <c r="Y2084" i="3"/>
  <c r="AA2048" i="3"/>
  <c r="Z2012" i="3"/>
  <c r="Y1993" i="3"/>
  <c r="Z1976" i="3"/>
  <c r="U1934" i="3"/>
  <c r="Y1917" i="3"/>
  <c r="R275" i="4" a="1"/>
  <c r="N238" i="4" a="1"/>
  <c r="P207" i="4" a="1"/>
  <c r="N175" i="4" a="1"/>
  <c r="AQ142" i="4" a="1"/>
  <c r="AQ108" i="4" a="1"/>
  <c r="AQ82" i="4" a="1"/>
  <c r="N250" i="4" a="1"/>
  <c r="P218" i="4" a="1"/>
  <c r="P183" i="4" a="1"/>
  <c r="P152" i="4" a="1"/>
  <c r="P118" i="4" a="1"/>
  <c r="AQ88" i="4" a="1"/>
  <c r="R66" i="4" a="1"/>
  <c r="N44" i="4" a="1"/>
  <c r="P29" i="4" a="1"/>
  <c r="R13" i="4" a="1"/>
  <c r="Z2285" i="3"/>
  <c r="P259" i="4" a="1"/>
  <c r="P228" i="4" a="1"/>
  <c r="P199" i="4" a="1"/>
  <c r="N168" i="4" a="1"/>
  <c r="N134" i="4" a="1"/>
  <c r="AQ103" i="4" a="1"/>
  <c r="R79" i="4" a="1"/>
  <c r="AQ56" i="4" a="1"/>
  <c r="N38" i="4" a="1"/>
  <c r="R22" i="4" a="1"/>
  <c r="AQ7" i="4" a="1"/>
  <c r="U2279" i="3"/>
  <c r="Y2263" i="3"/>
  <c r="U2247" i="3"/>
  <c r="U2231" i="3"/>
  <c r="N265" i="4" a="1"/>
  <c r="R141" i="4" a="1"/>
  <c r="P59" i="4" a="1"/>
  <c r="N25" i="4" a="1"/>
  <c r="U2281" i="3"/>
  <c r="U2258" i="3"/>
  <c r="Z2240" i="3"/>
  <c r="U2222" i="3"/>
  <c r="P778" i="4" a="1"/>
  <c r="P555" i="4" a="1"/>
  <c r="N469" i="4" a="1"/>
  <c r="R344" i="4" a="1"/>
  <c r="N441" i="4" a="1"/>
  <c r="N317" i="4" a="1"/>
  <c r="AQ437" i="4" a="1"/>
  <c r="P370" i="4" a="1"/>
  <c r="P306" i="4" a="1"/>
  <c r="R459" i="4" a="1"/>
  <c r="R397" i="4" a="1"/>
  <c r="AQ333" i="4" a="1"/>
  <c r="N278" i="4" a="1"/>
  <c r="P214" i="4" a="1"/>
  <c r="N152" i="4" a="1"/>
  <c r="R106" i="4" a="1"/>
  <c r="R263" i="4" a="1"/>
  <c r="AQ232" i="4" a="1"/>
  <c r="AQ216" i="4" a="1"/>
  <c r="P201" i="4" a="1"/>
  <c r="AQ185" i="4" a="1"/>
  <c r="P170" i="4" a="1"/>
  <c r="R154" i="4" a="1"/>
  <c r="N138" i="4" a="1"/>
  <c r="R122" i="4" a="1"/>
  <c r="P105" i="4" a="1"/>
  <c r="N88" i="4" a="1"/>
  <c r="N73" i="4" a="1"/>
  <c r="N57" i="4" a="1"/>
  <c r="R274" i="4" a="1"/>
  <c r="R254" i="4" a="1"/>
  <c r="N222" i="4" a="1"/>
  <c r="N189" i="4" a="1"/>
  <c r="P158" i="4" a="1"/>
  <c r="P124" i="4" a="1"/>
  <c r="P92" i="4" a="1"/>
  <c r="N263" i="4" a="1"/>
  <c r="N234" i="4" a="1"/>
  <c r="P196" i="4" a="1"/>
  <c r="AQ166" i="4" a="1"/>
  <c r="AQ134" i="4" a="1"/>
  <c r="P101" i="4" a="1"/>
  <c r="P75" i="4" a="1"/>
  <c r="P52" i="4" a="1"/>
  <c r="AQ35" i="4" a="1"/>
  <c r="AQ19" i="4" a="1"/>
  <c r="R3" i="4" a="1"/>
  <c r="AA2276" i="3"/>
  <c r="AQ242" i="4" a="1"/>
  <c r="AQ211" i="4" a="1"/>
  <c r="R181" i="4" a="1"/>
  <c r="AQ147" i="4" a="1"/>
  <c r="AQ115" i="4" a="1"/>
  <c r="R88" i="4" a="1"/>
  <c r="P66" i="4" a="1"/>
  <c r="R45" i="4" a="1"/>
  <c r="N29" i="4" a="1"/>
  <c r="N14" i="4" a="1"/>
  <c r="U2287" i="3"/>
  <c r="Z2270" i="3"/>
  <c r="U2254" i="3"/>
  <c r="Z2238" i="3"/>
  <c r="Y2222" i="3"/>
  <c r="R194" i="4" a="1"/>
  <c r="P792" i="4" a="1"/>
  <c r="AP523" i="4" a="1"/>
  <c r="P461" i="4" a="1"/>
  <c r="N337" i="4" a="1"/>
  <c r="P433" i="4" a="1"/>
  <c r="P309" i="4" a="1"/>
  <c r="N433" i="4" a="1"/>
  <c r="R366" i="4" a="1"/>
  <c r="P302" i="4" a="1"/>
  <c r="N454" i="4" a="1"/>
  <c r="P394" i="4" a="1"/>
  <c r="N330" i="4" a="1"/>
  <c r="AQ272" i="4" a="1"/>
  <c r="R210" i="4" a="1"/>
  <c r="P148" i="4" a="1"/>
  <c r="R104" i="4" a="1"/>
  <c r="R261" i="4" a="1"/>
  <c r="AQ231" i="4" a="1"/>
  <c r="N216" i="4" a="1"/>
  <c r="R200" i="4" a="1"/>
  <c r="N185" i="4" a="1"/>
  <c r="P169" i="4" a="1"/>
  <c r="R153" i="4" a="1"/>
  <c r="P137" i="4" a="1"/>
  <c r="AQ120" i="4" a="1"/>
  <c r="P104" i="4" a="1"/>
  <c r="N87" i="4" a="1"/>
  <c r="P71" i="4" a="1"/>
  <c r="N56" i="4" a="1"/>
  <c r="R273" i="4" a="1"/>
  <c r="AQ250" i="4" a="1"/>
  <c r="N220" i="4" a="1"/>
  <c r="N187" i="4" a="1"/>
  <c r="R156" i="4" a="1"/>
  <c r="P122" i="4" a="1"/>
  <c r="R90" i="4" a="1"/>
  <c r="N261" i="4" a="1"/>
  <c r="R232" i="4" a="1"/>
  <c r="R193" i="4" a="1"/>
  <c r="AQ164" i="4" a="1"/>
  <c r="AQ132" i="4" a="1"/>
  <c r="P99" i="4" a="1"/>
  <c r="AQ73" i="4" a="1"/>
  <c r="N51" i="4" a="1"/>
  <c r="AQ34" i="4" a="1"/>
  <c r="P19" i="4" a="1"/>
  <c r="R2" i="4" a="1"/>
  <c r="P278" i="4" a="1"/>
  <c r="AQ240" i="4" a="1"/>
  <c r="AQ209" i="4" a="1"/>
  <c r="AQ179" i="4" a="1"/>
  <c r="AQ145" i="4" a="1"/>
  <c r="N114" i="4" a="1"/>
  <c r="P87" i="4" a="1"/>
  <c r="N65" i="4" a="1"/>
  <c r="AQ43" i="4" a="1"/>
  <c r="P28" i="4" a="1"/>
  <c r="P13" i="4" a="1"/>
  <c r="Y2286" i="3"/>
  <c r="Z2269" i="3"/>
  <c r="U2253" i="3"/>
  <c r="Z2237" i="3"/>
  <c r="Z2221" i="3"/>
  <c r="P189" i="4" a="1"/>
  <c r="N77" i="4" a="1"/>
  <c r="AQ37" i="4" a="1"/>
  <c r="R7" i="4" a="1"/>
  <c r="Z2264" i="3"/>
  <c r="Y2246" i="3"/>
  <c r="U2229" i="3"/>
  <c r="AA2212" i="3"/>
  <c r="P296" i="4" a="1"/>
  <c r="N347" i="4" a="1"/>
  <c r="AQ310" i="4" a="1"/>
  <c r="P94" i="4" a="1"/>
  <c r="N196" i="4" a="1"/>
  <c r="P132" i="4" a="1"/>
  <c r="AQ66" i="4" a="1"/>
  <c r="AQ208" i="4" a="1"/>
  <c r="N84" i="4" a="1"/>
  <c r="N154" i="4" a="1"/>
  <c r="AQ44" i="4" a="1"/>
  <c r="P262" i="4" a="1"/>
  <c r="N136" i="4" a="1"/>
  <c r="N39" i="4" a="1"/>
  <c r="U2264" i="3"/>
  <c r="P149" i="4" a="1"/>
  <c r="N24" i="4" a="1"/>
  <c r="Y2257" i="3"/>
  <c r="U2221" i="3"/>
  <c r="Z2198" i="3"/>
  <c r="Z2182" i="3"/>
  <c r="Y2160" i="3"/>
  <c r="U2140" i="3"/>
  <c r="Z2124" i="3"/>
  <c r="U2106" i="3"/>
  <c r="Z2088" i="3"/>
  <c r="Y2065" i="3"/>
  <c r="Y2046" i="3"/>
  <c r="U2030" i="3"/>
  <c r="AQ167" i="4" a="1"/>
  <c r="P63" i="4" a="1"/>
  <c r="AQ26" i="4" a="1"/>
  <c r="Z2283" i="3"/>
  <c r="U2259" i="3"/>
  <c r="Y2232" i="3"/>
  <c r="U2199" i="3"/>
  <c r="U2183" i="3"/>
  <c r="Z2165" i="3"/>
  <c r="U2149" i="3"/>
  <c r="AA2131" i="3"/>
  <c r="U2113" i="3"/>
  <c r="AA2097" i="3"/>
  <c r="N264" i="4" a="1"/>
  <c r="P119" i="4" a="1"/>
  <c r="P46" i="4" a="1"/>
  <c r="AQ11" i="4" a="1"/>
  <c r="Z2254" i="3"/>
  <c r="AA2214" i="3"/>
  <c r="U2198" i="3"/>
  <c r="Y2181" i="3"/>
  <c r="Y2164" i="3"/>
  <c r="U2146" i="3"/>
  <c r="U2127" i="3"/>
  <c r="U2108" i="3"/>
  <c r="Y2092" i="3"/>
  <c r="Z2076" i="3"/>
  <c r="Z2056" i="3"/>
  <c r="P217" i="4" a="1"/>
  <c r="N107" i="4" a="1"/>
  <c r="P44" i="4" a="1"/>
  <c r="AQ14" i="4" a="1"/>
  <c r="AA2271" i="3"/>
  <c r="Z2255" i="3"/>
  <c r="Y2237" i="3"/>
  <c r="Y2221" i="3"/>
  <c r="Z2203" i="3"/>
  <c r="AA2182" i="3"/>
  <c r="U2165" i="3"/>
  <c r="Z2149" i="3"/>
  <c r="Y2129" i="3"/>
  <c r="Z2112" i="3"/>
  <c r="Y2096" i="3"/>
  <c r="Y2080" i="3"/>
  <c r="Y2026" i="3"/>
  <c r="Z2008" i="3"/>
  <c r="Z1989" i="3"/>
  <c r="Z1971" i="3"/>
  <c r="AA1930" i="3"/>
  <c r="Z1912" i="3"/>
  <c r="P263" i="4" a="1"/>
  <c r="P231" i="4" a="1"/>
  <c r="P200" i="4" a="1"/>
  <c r="N167" i="4" a="1"/>
  <c r="N135" i="4" a="1"/>
  <c r="R101" i="4" a="1"/>
  <c r="AQ77" i="4" a="1"/>
  <c r="R243" i="4" a="1"/>
  <c r="N210" i="4" a="1"/>
  <c r="AP176" i="4" a="1"/>
  <c r="R144" i="4" a="1"/>
  <c r="R111" i="4" a="1"/>
  <c r="AQ83" i="4" a="1"/>
  <c r="P60" i="4" a="1"/>
  <c r="P40" i="4" a="1"/>
  <c r="R25" i="4" a="1"/>
  <c r="N8" i="4" a="1"/>
  <c r="Z2281" i="3"/>
  <c r="AQ251" i="4" a="1"/>
  <c r="N221" i="4" a="1"/>
  <c r="N192" i="4" a="1"/>
  <c r="N160" i="4" a="1"/>
  <c r="AQ126" i="4" a="1"/>
  <c r="R96" i="4" a="1"/>
  <c r="AQ74" i="4" a="1"/>
  <c r="N52" i="4" a="1"/>
  <c r="R33" i="4" a="1"/>
  <c r="N19" i="4" a="1"/>
  <c r="P3" i="4" a="1"/>
  <c r="Z2275" i="3"/>
  <c r="Y2259" i="3"/>
  <c r="Y2243" i="3"/>
  <c r="U2227" i="3"/>
  <c r="N235" i="4" a="1"/>
  <c r="P120" i="4" a="1"/>
  <c r="N50" i="4" a="1"/>
  <c r="R18" i="4" a="1"/>
  <c r="Y2270" i="3"/>
  <c r="Z2252" i="3"/>
  <c r="Z2236" i="3"/>
  <c r="Z2218" i="3"/>
  <c r="P607" i="4" a="1"/>
  <c r="P540" i="4" a="1"/>
  <c r="P438" i="4" a="1"/>
  <c r="R312" i="4" a="1"/>
  <c r="N410" i="4" a="1"/>
  <c r="AQ285" i="4" a="1"/>
  <c r="P420" i="4" a="1"/>
  <c r="P355" i="4" a="1"/>
  <c r="R290" i="4" a="1"/>
  <c r="P442" i="4" a="1"/>
  <c r="AQ382" i="4" a="1"/>
  <c r="P318" i="4" a="1"/>
  <c r="N260" i="4" a="1"/>
  <c r="AQ198" i="4" a="1"/>
  <c r="R136" i="4" a="1"/>
  <c r="N98" i="4" a="1"/>
  <c r="N255" i="4" a="1"/>
  <c r="AQ228" i="4" a="1"/>
  <c r="N213" i="4" a="1"/>
  <c r="R197" i="4" a="1"/>
  <c r="AQ181" i="4" a="1"/>
  <c r="P166" i="4" a="1"/>
  <c r="AQ149" i="4" a="1"/>
  <c r="P134" i="4" a="1"/>
  <c r="AQ116" i="4" a="1"/>
  <c r="AQ101" i="4" a="1"/>
  <c r="P84" i="4" a="1"/>
  <c r="R68" i="4" a="1"/>
  <c r="R53" i="4" a="1"/>
  <c r="R269" i="4" a="1"/>
  <c r="P245" i="4" a="1"/>
  <c r="AQ212" i="4" a="1"/>
  <c r="R182" i="4" a="1"/>
  <c r="R150" i="4" a="1"/>
  <c r="R118" i="4" a="1"/>
  <c r="AO86" i="4" a="1"/>
  <c r="AQ255" i="4" a="1"/>
  <c r="P225" i="4" a="1"/>
  <c r="P188" i="4" a="1"/>
  <c r="R157" i="4" a="1"/>
  <c r="R127" i="4" a="1"/>
  <c r="AO93" i="4" a="1"/>
  <c r="N70" i="4" a="1"/>
  <c r="P47" i="4" a="1"/>
  <c r="P32" i="4" a="1"/>
  <c r="P16" i="4" a="1"/>
  <c r="Y2288" i="3"/>
  <c r="AQ265" i="4" a="1"/>
  <c r="P235" i="4" a="1"/>
  <c r="AQ204" i="4" a="1"/>
  <c r="N174" i="4" a="1"/>
  <c r="AQ139" i="4" a="1"/>
  <c r="AQ109" i="4" a="1"/>
  <c r="R83" i="4" a="1"/>
  <c r="P61" i="4" a="1"/>
  <c r="AQ40" i="4" a="1"/>
  <c r="P25" i="4" a="1"/>
  <c r="R10" i="4" a="1"/>
  <c r="Y2282" i="3"/>
  <c r="Z2266" i="3"/>
  <c r="Y2250" i="3"/>
  <c r="Z2234" i="3"/>
  <c r="Y2217" i="3"/>
  <c r="AQ161" i="4" a="1"/>
  <c r="AQ674" i="4" a="1"/>
  <c r="R509" i="4" a="1"/>
  <c r="N430" i="4" a="1"/>
  <c r="AQ303" i="4" a="1"/>
  <c r="R402" i="4" a="1"/>
  <c r="N505" i="4" a="1"/>
  <c r="R416" i="4" a="1"/>
  <c r="R350" i="4" a="1"/>
  <c r="N285" i="4" a="1"/>
  <c r="R438" i="4" a="1"/>
  <c r="N378" i="4" a="1"/>
  <c r="AQ314" i="4" a="1"/>
  <c r="P256" i="4" a="1"/>
  <c r="N194" i="4" a="1"/>
  <c r="R132" i="4" a="1"/>
  <c r="N96" i="4" a="1"/>
  <c r="N253" i="4" a="1"/>
  <c r="AQ227" i="4" a="1"/>
  <c r="N212" i="4" a="1"/>
  <c r="R196" i="4" a="1"/>
  <c r="AQ180" i="4" a="1"/>
  <c r="P165" i="4" a="1"/>
  <c r="AQ148" i="4" a="1"/>
  <c r="P133" i="4" a="1"/>
  <c r="N116" i="4" a="1"/>
  <c r="AQ100" i="4" a="1"/>
  <c r="P83" i="4" a="1"/>
  <c r="R67" i="4" a="1"/>
  <c r="R52" i="4" a="1"/>
  <c r="AQ267" i="4" a="1"/>
  <c r="AQ241" i="4" a="1"/>
  <c r="AQ210" i="4" a="1"/>
  <c r="AQ178" i="4" a="1"/>
  <c r="AQ146" i="4" a="1"/>
  <c r="N115" i="4" a="1"/>
  <c r="R85" i="4" a="1"/>
  <c r="AQ253" i="4" a="1"/>
  <c r="P223" i="4" a="1"/>
  <c r="R186" i="4" a="1"/>
  <c r="AQ155" i="4" a="1"/>
  <c r="N124" i="4" a="1"/>
  <c r="N92" i="4" a="1"/>
  <c r="AQ68" i="4" a="1"/>
  <c r="N46" i="4" a="1"/>
  <c r="P31" i="4" a="1"/>
  <c r="P15" i="4" a="1"/>
  <c r="Y2287" i="3"/>
  <c r="P264" i="4" a="1"/>
  <c r="P232" i="4" a="1"/>
  <c r="AQ202" i="4" a="1"/>
  <c r="N172" i="4" a="1"/>
  <c r="AQ137" i="4" a="1"/>
  <c r="AQ107" i="4" a="1"/>
  <c r="N82" i="4" a="1"/>
  <c r="N60" i="4" a="1"/>
  <c r="N40" i="4" a="1"/>
  <c r="R24" i="4" a="1"/>
  <c r="AQ9" i="4" a="1"/>
  <c r="Y2281" i="3"/>
  <c r="Z2265" i="3"/>
  <c r="AA2249" i="3"/>
  <c r="Z2233" i="3"/>
  <c r="Z2216" i="3"/>
  <c r="AQ156" i="4" a="1"/>
  <c r="N66" i="4" a="1"/>
  <c r="AQ28" i="4" a="1"/>
  <c r="Z2288" i="3"/>
  <c r="Z2260" i="3"/>
  <c r="Y2242" i="3"/>
  <c r="U2224" i="3"/>
  <c r="AQ641" i="4" a="1"/>
  <c r="AO394" i="4" a="1"/>
  <c r="N281" i="4" a="1"/>
  <c r="R252" i="4" a="1"/>
  <c r="P251" i="4" a="1"/>
  <c r="N180" i="4" a="1"/>
  <c r="P115" i="4" a="1"/>
  <c r="R51" i="4" a="1"/>
  <c r="AQ176" i="4" a="1"/>
  <c r="N252" i="4" a="1"/>
  <c r="N122" i="4" a="1"/>
  <c r="P30" i="4" a="1"/>
  <c r="P230" i="4" a="1"/>
  <c r="AQ105" i="4" a="1"/>
  <c r="R23" i="4" a="1"/>
  <c r="U2248" i="3"/>
  <c r="AQ81" i="4" a="1"/>
  <c r="R9" i="4" a="1"/>
  <c r="Y2247" i="3"/>
  <c r="Z2213" i="3"/>
  <c r="Z2194" i="3"/>
  <c r="Z2178" i="3"/>
  <c r="Y2155" i="3"/>
  <c r="Y2136" i="3"/>
  <c r="Y2120" i="3"/>
  <c r="U2102" i="3"/>
  <c r="U2083" i="3"/>
  <c r="AA2061" i="3"/>
  <c r="U2042" i="3"/>
  <c r="Z2026" i="3"/>
  <c r="AQ131" i="4" a="1"/>
  <c r="AQ53" i="4" a="1"/>
  <c r="AO19" i="4" a="1"/>
  <c r="AA2274" i="3"/>
  <c r="Y2252" i="3"/>
  <c r="Z2212" i="3"/>
  <c r="U2195" i="3"/>
  <c r="U2179" i="3"/>
  <c r="Z2161" i="3"/>
  <c r="AA2145" i="3"/>
  <c r="U2125" i="3"/>
  <c r="U2109" i="3"/>
  <c r="Z2092" i="3"/>
  <c r="R231" i="4" a="1"/>
  <c r="R84" i="4" a="1"/>
  <c r="N37" i="4" a="1"/>
  <c r="R4" i="4" a="1"/>
  <c r="Y2228" i="3"/>
  <c r="Z2210" i="3"/>
  <c r="U2194" i="3"/>
  <c r="Z2176" i="3"/>
  <c r="AA2160" i="3"/>
  <c r="U2142" i="3"/>
  <c r="Y2123" i="3"/>
  <c r="U2104" i="3"/>
  <c r="U2088" i="3"/>
  <c r="Y2072" i="3"/>
  <c r="U2052" i="3"/>
  <c r="P191" i="4" a="1"/>
  <c r="N78" i="4" a="1"/>
  <c r="AQ36" i="4" a="1"/>
  <c r="P8" i="4" a="1"/>
  <c r="Z2267" i="3"/>
  <c r="Z2249" i="3"/>
  <c r="Y2233" i="3"/>
  <c r="Z2217" i="3"/>
  <c r="Z2199" i="3"/>
  <c r="AA2178" i="3"/>
  <c r="U2161" i="3"/>
  <c r="AA2143" i="3"/>
  <c r="AA2124" i="3"/>
  <c r="AA2108" i="3"/>
  <c r="U2092" i="3"/>
  <c r="AA2075" i="3"/>
  <c r="Z2022" i="3"/>
  <c r="U2001" i="3"/>
  <c r="AA1984" i="3"/>
  <c r="AA1967" i="3"/>
  <c r="Y1926" i="3"/>
  <c r="Z1908" i="3"/>
  <c r="Y1897" i="3"/>
  <c r="Z1875" i="3"/>
  <c r="U1859" i="3"/>
  <c r="U1842" i="3"/>
  <c r="Y1824" i="3"/>
  <c r="U1806" i="3"/>
  <c r="AA1789" i="3"/>
  <c r="U1771" i="3"/>
  <c r="U1755" i="3"/>
  <c r="AA1739" i="3"/>
  <c r="Y1717" i="3"/>
  <c r="Y1695" i="3"/>
  <c r="Z1677" i="3"/>
  <c r="U1661" i="3"/>
  <c r="Z1633" i="3"/>
  <c r="Y1614" i="3"/>
  <c r="Y1586" i="3"/>
  <c r="Y1565" i="3"/>
  <c r="Y1549" i="3"/>
  <c r="Z1531" i="3"/>
  <c r="Y1513" i="3"/>
  <c r="Z1496" i="3"/>
  <c r="Z1478" i="3"/>
  <c r="Y2049" i="3"/>
  <c r="Z2031" i="3"/>
  <c r="U2015" i="3"/>
  <c r="Y1998" i="3"/>
  <c r="U1978" i="3"/>
  <c r="Z1961" i="3"/>
  <c r="Z1945" i="3"/>
  <c r="Y1922" i="3"/>
  <c r="Z1902" i="3"/>
  <c r="Z1886" i="3"/>
  <c r="AA1868" i="3"/>
  <c r="Y1848" i="3"/>
  <c r="Y1831" i="3"/>
  <c r="U1812" i="3"/>
  <c r="U1790" i="3"/>
  <c r="U1774" i="3"/>
  <c r="U1758" i="3"/>
  <c r="U1742" i="3"/>
  <c r="U1724" i="3"/>
  <c r="U1708" i="3"/>
  <c r="U1692" i="3"/>
  <c r="U1656" i="3"/>
  <c r="Y1640" i="3"/>
  <c r="U1622" i="3"/>
  <c r="U1606" i="3"/>
  <c r="N583" i="4" a="1"/>
  <c r="R469" i="4" a="1"/>
  <c r="P419" i="4" a="1"/>
  <c r="R174" i="4" a="1"/>
  <c r="R223" i="4" a="1"/>
  <c r="P160" i="4" a="1"/>
  <c r="AQ95" i="4" a="1"/>
  <c r="AQ264" i="4" a="1"/>
  <c r="N137" i="4" a="1"/>
  <c r="R212" i="4" a="1"/>
  <c r="N85" i="4" a="1"/>
  <c r="N9" i="4" a="1"/>
  <c r="AQ192" i="4" a="1"/>
  <c r="N76" i="4" a="1"/>
  <c r="N5" i="4" a="1"/>
  <c r="Z2228" i="3"/>
  <c r="AQ52" i="4" a="1"/>
  <c r="Z2271" i="3"/>
  <c r="U2237" i="3"/>
  <c r="Z2206" i="3"/>
  <c r="Z2189" i="3"/>
  <c r="AA2173" i="3"/>
  <c r="Z2147" i="3"/>
  <c r="U2131" i="3"/>
  <c r="Y2113" i="3"/>
  <c r="U2096" i="3"/>
  <c r="U2078" i="3"/>
  <c r="Z2053" i="3"/>
  <c r="Y2037" i="3"/>
  <c r="R233" i="4" a="1"/>
  <c r="AQ85" i="4" a="1"/>
  <c r="P41" i="4" a="1"/>
  <c r="P9" i="4" a="1"/>
  <c r="Y2268" i="3"/>
  <c r="Y2244" i="3"/>
  <c r="Y2206" i="3"/>
  <c r="Y2190" i="3"/>
  <c r="Y2174" i="3"/>
  <c r="Z2156" i="3"/>
  <c r="Y2138" i="3"/>
  <c r="U2120" i="3"/>
  <c r="Y2104" i="3"/>
  <c r="AA2085" i="3"/>
  <c r="R185" i="4" a="1"/>
  <c r="P67" i="4" a="1"/>
  <c r="N28" i="4" a="1"/>
  <c r="Y2283" i="3"/>
  <c r="AA2223" i="3"/>
  <c r="Y2205" i="3"/>
  <c r="U2189" i="3"/>
  <c r="Z2171" i="3"/>
  <c r="Y2153" i="3"/>
  <c r="Z2137" i="3"/>
  <c r="AA2117" i="3"/>
  <c r="Y2099" i="3"/>
  <c r="Z2083" i="3"/>
  <c r="Y2067" i="3"/>
  <c r="N262" i="4" a="1"/>
  <c r="R158" i="4" a="1"/>
  <c r="AQ61" i="4" a="1"/>
  <c r="AQ27" i="4" a="1"/>
  <c r="U2285" i="3"/>
  <c r="AA2262" i="3"/>
  <c r="AA2244" i="3"/>
  <c r="U2228" i="3"/>
  <c r="U2212" i="3"/>
  <c r="AA2194" i="3"/>
  <c r="U2173" i="3"/>
  <c r="U2156" i="3"/>
  <c r="Z2136" i="3"/>
  <c r="U2119" i="3"/>
  <c r="U2103" i="3"/>
  <c r="U2087" i="3"/>
  <c r="Z2059" i="3"/>
  <c r="Y2015" i="3"/>
  <c r="AA1996" i="3"/>
  <c r="Y1979" i="3"/>
  <c r="U1937" i="3"/>
  <c r="Z1921" i="3"/>
  <c r="Y1901" i="3"/>
  <c r="AA1878" i="3"/>
  <c r="Y1862" i="3"/>
  <c r="Y1845" i="3"/>
  <c r="Z1827" i="3"/>
  <c r="Y1809" i="3"/>
  <c r="U1792" i="3"/>
  <c r="Y1774" i="3"/>
  <c r="Y1758" i="3"/>
  <c r="Y1742" i="3"/>
  <c r="Y1720" i="3"/>
  <c r="Y1698" i="3"/>
  <c r="U1680" i="3"/>
  <c r="U1664" i="3"/>
  <c r="Z1636" i="3"/>
  <c r="Y1618" i="3"/>
  <c r="Z1589" i="3"/>
  <c r="Y1569" i="3"/>
  <c r="AA1552" i="3"/>
  <c r="Z1534" i="3"/>
  <c r="Z1518" i="3"/>
  <c r="U1499" i="3"/>
  <c r="Z1481" i="3"/>
  <c r="Z2054" i="3"/>
  <c r="AA2034" i="3"/>
  <c r="Z2018" i="3"/>
  <c r="AA2002" i="3"/>
  <c r="Z1984" i="3"/>
  <c r="U1964" i="3"/>
  <c r="Z1948" i="3"/>
  <c r="U1925" i="3"/>
  <c r="Z1906" i="3"/>
  <c r="U1889" i="3"/>
  <c r="Y1871" i="3"/>
  <c r="Y1852" i="3"/>
  <c r="Z1834" i="3"/>
  <c r="Z1815" i="3"/>
  <c r="Y1797" i="3"/>
  <c r="U1777" i="3"/>
  <c r="Y1761" i="3"/>
  <c r="Y1745" i="3"/>
  <c r="Y1728" i="3"/>
  <c r="U1711" i="3"/>
  <c r="U1695" i="3"/>
  <c r="U1659" i="3"/>
  <c r="Z1643" i="3"/>
  <c r="Z1625" i="3"/>
  <c r="U1609" i="3"/>
  <c r="Z1593" i="3"/>
  <c r="R360" i="4" a="1"/>
  <c r="P378" i="4" a="1"/>
  <c r="N342" i="4" a="1"/>
  <c r="R110" i="4" a="1"/>
  <c r="N203" i="4" a="1"/>
  <c r="N140" i="4" a="1"/>
  <c r="N75" i="4" a="1"/>
  <c r="N226" i="4" a="1"/>
  <c r="R95" i="4" a="1"/>
  <c r="AQ170" i="4" a="1"/>
  <c r="P57" i="4" a="1"/>
  <c r="Y2278" i="3"/>
  <c r="R151" i="4" a="1"/>
  <c r="P48" i="4" a="1"/>
  <c r="U2272" i="3"/>
  <c r="R204" i="4" a="1"/>
  <c r="AQ30" i="4" a="1"/>
  <c r="Y2261" i="3"/>
  <c r="U2225" i="3"/>
  <c r="U2200" i="3"/>
  <c r="U2184" i="3"/>
  <c r="Z2168" i="3"/>
  <c r="Z2142" i="3"/>
  <c r="U2126" i="3"/>
  <c r="Z2108" i="3"/>
  <c r="U2090" i="3"/>
  <c r="AA2073" i="3"/>
  <c r="U2048" i="3"/>
  <c r="Z2032" i="3"/>
  <c r="P181" i="4" a="1"/>
  <c r="N68" i="4" a="1"/>
  <c r="R30" i="4" a="1"/>
  <c r="Y2289" i="3"/>
  <c r="U2261" i="3"/>
  <c r="Y2236" i="3"/>
  <c r="Z2201" i="3"/>
  <c r="Z2185" i="3"/>
  <c r="Z2167" i="3"/>
  <c r="Z2151" i="3"/>
  <c r="U2133" i="3"/>
  <c r="Z2115" i="3"/>
  <c r="Z2099" i="3"/>
  <c r="Z2071" i="3"/>
  <c r="N130" i="4" a="1"/>
  <c r="P55" i="4" a="1"/>
  <c r="R17" i="4" a="1"/>
  <c r="Z2274" i="3"/>
  <c r="AA2216" i="3"/>
  <c r="Z2200" i="3"/>
  <c r="Z2184" i="3"/>
  <c r="Y2166" i="3"/>
  <c r="U2148" i="3"/>
  <c r="Z2129" i="3"/>
  <c r="Z2110" i="3"/>
  <c r="U2094" i="3"/>
  <c r="Z2078" i="3"/>
  <c r="Y2058" i="3"/>
  <c r="R229" i="4" a="1"/>
  <c r="P117" i="4" a="1"/>
  <c r="P50" i="4" a="1"/>
  <c r="AQ18" i="4" a="1"/>
  <c r="U2276" i="3"/>
  <c r="Z2257" i="3"/>
  <c r="Z2239" i="3"/>
  <c r="Z2223" i="3"/>
  <c r="U2205" i="3"/>
  <c r="Y2184" i="3"/>
  <c r="U2167" i="3"/>
  <c r="U2151" i="3"/>
  <c r="Y2131" i="3"/>
  <c r="U2114" i="3"/>
  <c r="U2098" i="3"/>
  <c r="Y2082" i="3"/>
  <c r="U2046" i="3"/>
  <c r="U2010" i="3"/>
  <c r="U1991" i="3"/>
  <c r="U1973" i="3"/>
  <c r="Y1932" i="3"/>
  <c r="Z1915" i="3"/>
  <c r="AA1895" i="3"/>
  <c r="Y1892" i="3"/>
  <c r="Z1871" i="3"/>
  <c r="Z1855" i="3"/>
  <c r="U1838" i="3"/>
  <c r="Z1819" i="3"/>
  <c r="U1802" i="3"/>
  <c r="Z1785" i="3"/>
  <c r="U1767" i="3"/>
  <c r="U1751" i="3"/>
  <c r="U1730" i="3"/>
  <c r="Y1713" i="3"/>
  <c r="AA1690" i="3"/>
  <c r="Z1673" i="3"/>
  <c r="Y1657" i="3"/>
  <c r="Z1629" i="3"/>
  <c r="Y1610" i="3"/>
  <c r="Z1582" i="3"/>
  <c r="U1561" i="3"/>
  <c r="AA1544" i="3"/>
  <c r="Y1527" i="3"/>
  <c r="U1509" i="3"/>
  <c r="AA1492" i="3"/>
  <c r="Y2076" i="3"/>
  <c r="Z2043" i="3"/>
  <c r="U2027" i="3"/>
  <c r="Y2011" i="3"/>
  <c r="U1993" i="3"/>
  <c r="Z1974" i="3"/>
  <c r="Z1957" i="3"/>
  <c r="Z1941" i="3"/>
  <c r="U1917" i="3"/>
  <c r="Z1898" i="3"/>
  <c r="AA1882" i="3"/>
  <c r="AA1864" i="3"/>
  <c r="U1844" i="3"/>
  <c r="AA1826" i="3"/>
  <c r="Y1808" i="3"/>
  <c r="Y1786" i="3"/>
  <c r="U1770" i="3"/>
  <c r="U1754" i="3"/>
  <c r="Z1738" i="3"/>
  <c r="U1720" i="3"/>
  <c r="Z1704" i="3"/>
  <c r="Y1677" i="3"/>
  <c r="Z1652" i="3"/>
  <c r="Y1636" i="3"/>
  <c r="U1618" i="3"/>
  <c r="Z1602" i="3"/>
  <c r="N392" i="4" a="1"/>
  <c r="R394" i="4" a="1"/>
  <c r="N359" i="4" a="1"/>
  <c r="N117" i="4" a="1"/>
  <c r="R207" i="4" a="1"/>
  <c r="N144" i="4" a="1"/>
  <c r="R78" i="4" a="1"/>
  <c r="P233" i="4" a="1"/>
  <c r="AQ102" i="4" a="1"/>
  <c r="R178" i="4" a="1"/>
  <c r="AQ62" i="4" a="1"/>
  <c r="Z2282" i="3"/>
  <c r="N162" i="4" a="1"/>
  <c r="P53" i="4" a="1"/>
  <c r="Z2276" i="3"/>
  <c r="R242" i="4" a="1"/>
  <c r="N36" i="4" a="1"/>
  <c r="Z2263" i="3"/>
  <c r="Y2227" i="3"/>
  <c r="AA2201" i="3"/>
  <c r="AA2185" i="3"/>
  <c r="Z2169" i="3"/>
  <c r="Z2143" i="3"/>
  <c r="Z2127" i="3"/>
  <c r="Y2109" i="3"/>
  <c r="U2091" i="3"/>
  <c r="Z2074" i="3"/>
  <c r="Z2049" i="3"/>
  <c r="Y2033" i="3"/>
  <c r="P187" i="4" a="1"/>
  <c r="R69" i="4" a="1"/>
  <c r="R32" i="4" a="1"/>
  <c r="Y2290" i="3"/>
  <c r="U2262" i="3"/>
  <c r="U2238" i="3"/>
  <c r="Y2202" i="3"/>
  <c r="Y2186" i="3"/>
  <c r="Y2168" i="3"/>
  <c r="Z2152" i="3"/>
  <c r="U2134" i="3"/>
  <c r="U2116" i="3"/>
  <c r="Y2100" i="3"/>
  <c r="Z2072" i="3"/>
  <c r="R145" i="4" a="1"/>
  <c r="AQ57" i="4" a="1"/>
  <c r="R19" i="4" a="1"/>
  <c r="U2275" i="3"/>
  <c r="Z2219" i="3"/>
  <c r="Y2201" i="3"/>
  <c r="Y2185" i="3"/>
  <c r="Y2167" i="3"/>
  <c r="AA2149" i="3"/>
  <c r="Z2130" i="3"/>
  <c r="Y2111" i="3"/>
  <c r="AA2095" i="3"/>
  <c r="Z2079" i="3"/>
  <c r="Y2059" i="3"/>
  <c r="AQ236" i="4" a="1"/>
  <c r="N125" i="4" a="1"/>
  <c r="N53" i="4" a="1"/>
  <c r="AO20" i="4" a="1"/>
  <c r="Z2277" i="3"/>
  <c r="Z2258" i="3"/>
  <c r="AA2240" i="3"/>
  <c r="Y2224" i="3"/>
  <c r="AA2208" i="3"/>
  <c r="U2185" i="3"/>
  <c r="AA2169" i="3"/>
  <c r="U2152" i="3"/>
  <c r="U2132" i="3"/>
  <c r="U2115" i="3"/>
  <c r="U2099" i="3"/>
  <c r="Y2083" i="3"/>
  <c r="Z2047" i="3"/>
  <c r="Z2011" i="3"/>
  <c r="AA1992" i="3"/>
  <c r="Z1975" i="3"/>
  <c r="Y1933" i="3"/>
  <c r="Y1916" i="3"/>
  <c r="Y1896" i="3"/>
  <c r="AA1874" i="3"/>
  <c r="U1858" i="3"/>
  <c r="Y1841" i="3"/>
  <c r="AA1823" i="3"/>
  <c r="Y1805" i="3"/>
  <c r="U1788" i="3"/>
  <c r="Y1770" i="3"/>
  <c r="Y1754" i="3"/>
  <c r="Y1737" i="3"/>
  <c r="Y1716" i="3"/>
  <c r="AA1694" i="3"/>
  <c r="Z1676" i="3"/>
  <c r="Y1660" i="3"/>
  <c r="U1632" i="3"/>
  <c r="Y1613" i="3"/>
  <c r="AA1585" i="3"/>
  <c r="Z1564" i="3"/>
  <c r="AA1548" i="3"/>
  <c r="AA1530" i="3"/>
  <c r="Z1512" i="3"/>
  <c r="U1495" i="3"/>
  <c r="Z1477" i="3"/>
  <c r="Y2048" i="3"/>
  <c r="AA2030" i="3"/>
  <c r="Y2014" i="3"/>
  <c r="Y1997" i="3"/>
  <c r="U1977" i="3"/>
  <c r="Z1960" i="3"/>
  <c r="Z1944" i="3"/>
  <c r="Y1921" i="3"/>
  <c r="U1901" i="3"/>
  <c r="Z1885" i="3"/>
  <c r="U1867" i="3"/>
  <c r="Y1847" i="3"/>
  <c r="Z1830" i="3"/>
  <c r="Z1811" i="3"/>
  <c r="Z1789" i="3"/>
  <c r="Y1773" i="3"/>
  <c r="Y1757" i="3"/>
  <c r="U1741" i="3"/>
  <c r="U1723" i="3"/>
  <c r="U1707" i="3"/>
  <c r="U1691" i="3"/>
  <c r="Z1655" i="3"/>
  <c r="Y1639" i="3"/>
  <c r="Z1621" i="3"/>
  <c r="U1605" i="3"/>
  <c r="P825" i="4" a="1"/>
  <c r="P457" i="4" a="1"/>
  <c r="N314" i="4" a="1"/>
  <c r="AQ281" i="4" a="1"/>
  <c r="P267" i="4" a="1"/>
  <c r="R188" i="4" a="1"/>
  <c r="R124" i="4" a="1"/>
  <c r="R59" i="4" a="1"/>
  <c r="P194" i="4" a="1"/>
  <c r="P269" i="4" a="1"/>
  <c r="R138" i="4" a="1"/>
  <c r="P37" i="4" a="1"/>
  <c r="P246" i="4" a="1"/>
  <c r="R119" i="4" a="1"/>
  <c r="N31" i="4" a="1"/>
  <c r="U2256" i="3"/>
  <c r="N105" i="4" a="1"/>
  <c r="R16" i="4" a="1"/>
  <c r="Z2251" i="3"/>
  <c r="U2217" i="3"/>
  <c r="U2196" i="3"/>
  <c r="Y2180" i="3"/>
  <c r="Y2158" i="3"/>
  <c r="Z2138" i="3"/>
  <c r="U2122" i="3"/>
  <c r="Z2104" i="3"/>
  <c r="U2085" i="3"/>
  <c r="Y2063" i="3"/>
  <c r="Z2044" i="3"/>
  <c r="Y2028" i="3"/>
  <c r="R147" i="4" a="1"/>
  <c r="R58" i="4" a="1"/>
  <c r="P23" i="4" a="1"/>
  <c r="Z2278" i="3"/>
  <c r="Y2256" i="3"/>
  <c r="U2214" i="3"/>
  <c r="Z2197" i="3"/>
  <c r="Z2181" i="3"/>
  <c r="Z2163" i="3"/>
  <c r="Y2147" i="3"/>
  <c r="Y2127" i="3"/>
  <c r="Z2111" i="3"/>
  <c r="Y2094" i="3"/>
  <c r="N246" i="4" a="1"/>
  <c r="P96" i="4" a="1"/>
  <c r="R42" i="4" a="1"/>
  <c r="R8" i="4" a="1"/>
  <c r="Z2230" i="3"/>
  <c r="Y2212" i="3"/>
  <c r="Z2196" i="3"/>
  <c r="U2178" i="3"/>
  <c r="Y2162" i="3"/>
  <c r="Z2144" i="3"/>
  <c r="AA2125" i="3"/>
  <c r="Z2106" i="3"/>
  <c r="Z2090" i="3"/>
  <c r="U2074" i="3"/>
  <c r="AA2054" i="3"/>
  <c r="P206" i="4" a="1"/>
  <c r="P88" i="4" a="1"/>
  <c r="R40" i="4" a="1"/>
  <c r="N11" i="4" a="1"/>
  <c r="Y2269" i="3"/>
  <c r="AA2251" i="3"/>
  <c r="Z2235" i="3"/>
  <c r="Y2219" i="3"/>
  <c r="U2201" i="3"/>
  <c r="Z2180" i="3"/>
  <c r="U2163" i="3"/>
  <c r="Y2145" i="3"/>
  <c r="Y2126" i="3"/>
  <c r="Y2110" i="3"/>
  <c r="AA2094" i="3"/>
  <c r="Y2078" i="3"/>
  <c r="Z2024" i="3"/>
  <c r="AA2006" i="3"/>
  <c r="Y1986" i="3"/>
  <c r="Y1969" i="3"/>
  <c r="U1928" i="3"/>
  <c r="U1910" i="3"/>
  <c r="Y1889" i="3"/>
  <c r="AA1887" i="3"/>
  <c r="Y1867" i="3"/>
  <c r="Z1851" i="3"/>
  <c r="Y1833" i="3"/>
  <c r="U1814" i="3"/>
  <c r="Z1797" i="3"/>
  <c r="Z1780" i="3"/>
  <c r="U1763" i="3"/>
  <c r="U1747" i="3"/>
  <c r="U1726" i="3"/>
  <c r="Y1708" i="3"/>
  <c r="U1685" i="3"/>
  <c r="U1669" i="3"/>
  <c r="Z1641" i="3"/>
  <c r="AA1625" i="3"/>
  <c r="Y1606" i="3"/>
  <c r="U1576" i="3"/>
  <c r="Y1557" i="3"/>
  <c r="U1539" i="3"/>
  <c r="U1523" i="3"/>
  <c r="U1505" i="3"/>
  <c r="U1487" i="3"/>
  <c r="Z2065" i="3"/>
  <c r="Z2039" i="3"/>
  <c r="Y2023" i="3"/>
  <c r="Y2007" i="3"/>
  <c r="Y1989" i="3"/>
  <c r="U1969" i="3"/>
  <c r="Z1953" i="3"/>
  <c r="U1932" i="3"/>
  <c r="Y1912" i="3"/>
  <c r="Z1894" i="3"/>
  <c r="AA1877" i="3"/>
  <c r="AA1860" i="3"/>
  <c r="Y1840" i="3"/>
  <c r="U1821" i="3"/>
  <c r="Y1804" i="3"/>
  <c r="U1782" i="3"/>
  <c r="U1766" i="3"/>
  <c r="U1750" i="3"/>
  <c r="Z1734" i="3"/>
  <c r="U1716" i="3"/>
  <c r="U1700" i="3"/>
  <c r="Y1673" i="3"/>
  <c r="Z1648" i="3"/>
  <c r="AA1632" i="3"/>
  <c r="U1614" i="3"/>
  <c r="Z1598" i="3"/>
  <c r="R489" i="4" a="1"/>
  <c r="N331" i="4" a="1"/>
  <c r="AO295" i="4" a="1"/>
  <c r="N276" i="4" a="1"/>
  <c r="R192" i="4" a="1"/>
  <c r="N128" i="4" a="1"/>
  <c r="N63" i="4" a="1"/>
  <c r="AQ201" i="4" a="1"/>
  <c r="AQ78" i="4" a="1"/>
  <c r="R146" i="4" a="1"/>
  <c r="N41" i="4" a="1"/>
  <c r="R253" i="4" a="1"/>
  <c r="P129" i="4" a="1"/>
  <c r="R34" i="4" a="1"/>
  <c r="U2260" i="3"/>
  <c r="N123" i="4" a="1"/>
  <c r="R20" i="4" a="1"/>
  <c r="Y2255" i="3"/>
  <c r="U2219" i="3"/>
  <c r="AA2197" i="3"/>
  <c r="AA2181" i="3"/>
  <c r="Y2159" i="3"/>
  <c r="Z2139" i="3"/>
  <c r="AA2123" i="3"/>
  <c r="Y2105" i="3"/>
  <c r="AA2087" i="3"/>
  <c r="Y2064" i="3"/>
  <c r="Y2045" i="3"/>
  <c r="Y2029" i="3"/>
  <c r="AQ159" i="4" a="1"/>
  <c r="N61" i="4" a="1"/>
  <c r="AQ24" i="4" a="1"/>
  <c r="AA2282" i="3"/>
  <c r="U2257" i="3"/>
  <c r="U2218" i="3"/>
  <c r="Y2198" i="3"/>
  <c r="Y2182" i="3"/>
  <c r="Z2164" i="3"/>
  <c r="Y2148" i="3"/>
  <c r="Y2128" i="3"/>
  <c r="U2112" i="3"/>
  <c r="U2095" i="3"/>
  <c r="R258" i="4" a="1"/>
  <c r="N109" i="4" a="1"/>
  <c r="R44" i="4" a="1"/>
  <c r="P10" i="4" a="1"/>
  <c r="Y2253" i="3"/>
  <c r="U2213" i="3"/>
  <c r="Y2197" i="3"/>
  <c r="AA2180" i="3"/>
  <c r="Y2163" i="3"/>
  <c r="Z2145" i="3"/>
  <c r="Z2126" i="3"/>
  <c r="Y2107" i="3"/>
  <c r="Z2091" i="3"/>
  <c r="U2075" i="3"/>
  <c r="Z2055" i="3"/>
  <c r="N211" i="4" a="1"/>
  <c r="R94" i="4" a="1"/>
  <c r="P42" i="4" a="1"/>
  <c r="N13" i="4" a="1"/>
  <c r="AA2270" i="3"/>
  <c r="Y2254" i="3"/>
  <c r="AA2236" i="3"/>
  <c r="Y2220" i="3"/>
  <c r="AA2202" i="3"/>
  <c r="U2181" i="3"/>
  <c r="U2164" i="3"/>
  <c r="AA2148" i="3"/>
  <c r="AA2128" i="3"/>
  <c r="U2111" i="3"/>
  <c r="Z2095" i="3"/>
  <c r="Y2079" i="3"/>
  <c r="Z2025" i="3"/>
  <c r="Z2007" i="3"/>
  <c r="AA1988" i="3"/>
  <c r="U1970" i="3"/>
  <c r="U1929" i="3"/>
  <c r="Z1911" i="3"/>
  <c r="AA1891" i="3"/>
  <c r="Z1870" i="3"/>
  <c r="U1854" i="3"/>
  <c r="U1837" i="3"/>
  <c r="U1817" i="3"/>
  <c r="Z1801" i="3"/>
  <c r="AA1784" i="3"/>
  <c r="Y1766" i="3"/>
  <c r="Y1750" i="3"/>
  <c r="Z1729" i="3"/>
  <c r="Y1712" i="3"/>
  <c r="U1688" i="3"/>
  <c r="Z1672" i="3"/>
  <c r="Y1656" i="3"/>
  <c r="U1628" i="3"/>
  <c r="Y1609" i="3"/>
  <c r="U1580" i="3"/>
  <c r="U1560" i="3"/>
  <c r="U1542" i="3"/>
  <c r="Z1526" i="3"/>
  <c r="Z1508" i="3"/>
  <c r="Y1490" i="3"/>
  <c r="U2072" i="3"/>
  <c r="AA2042" i="3"/>
  <c r="U2026" i="3"/>
  <c r="AA2010" i="3"/>
  <c r="Z1992" i="3"/>
  <c r="Y1972" i="3"/>
  <c r="Z1956" i="3"/>
  <c r="Z1940" i="3"/>
  <c r="U1916" i="3"/>
  <c r="U1897" i="3"/>
  <c r="U1880" i="3"/>
  <c r="U1863" i="3"/>
  <c r="Z1843" i="3"/>
  <c r="U1824" i="3"/>
  <c r="Z1807" i="3"/>
  <c r="Y1785" i="3"/>
  <c r="Y1769" i="3"/>
  <c r="Y1753" i="3"/>
  <c r="U1737" i="3"/>
  <c r="U1719" i="3"/>
  <c r="Z1703" i="3"/>
  <c r="Y1676" i="3"/>
  <c r="Z1651" i="3"/>
  <c r="Y1635" i="3"/>
  <c r="Z1617" i="3"/>
  <c r="Z1601" i="3"/>
  <c r="R613" i="4" a="1"/>
  <c r="P331" i="4" a="1"/>
  <c r="P466" i="4" a="1"/>
  <c r="AQ221" i="4" a="1"/>
  <c r="P236" i="4" a="1"/>
  <c r="P172" i="4" a="1"/>
  <c r="P107" i="4" a="1"/>
  <c r="AQ278" i="4" a="1"/>
  <c r="N161" i="4" a="1"/>
  <c r="AQ237" i="4" a="1"/>
  <c r="N106" i="4" a="1"/>
  <c r="AQ21" i="4" a="1"/>
  <c r="AQ215" i="4" a="1"/>
  <c r="R91" i="4" a="1"/>
  <c r="N16" i="4" a="1"/>
  <c r="U2240" i="3"/>
  <c r="P68" i="4" a="1"/>
  <c r="Z2289" i="3"/>
  <c r="Z2243" i="3"/>
  <c r="Y2209" i="3"/>
  <c r="Y2192" i="3"/>
  <c r="U2176" i="3"/>
  <c r="AA2153" i="3"/>
  <c r="Y2134" i="3"/>
  <c r="Y2117" i="3"/>
  <c r="Z2100" i="3"/>
  <c r="U2081" i="3"/>
  <c r="U2056" i="3"/>
  <c r="Y2040" i="3"/>
  <c r="R260" i="4" a="1"/>
  <c r="N103" i="4" a="1"/>
  <c r="N49" i="4" a="1"/>
  <c r="AQ15" i="4" a="1"/>
  <c r="Y2272" i="3"/>
  <c r="U2249" i="3"/>
  <c r="U2209" i="3"/>
  <c r="AA2193" i="3"/>
  <c r="Z2177" i="3"/>
  <c r="U2159" i="3"/>
  <c r="Y2142" i="3"/>
  <c r="Z2123" i="3"/>
  <c r="Z2107" i="3"/>
  <c r="Y2088" i="3"/>
  <c r="P219" i="4" a="1"/>
  <c r="P74" i="4" a="1"/>
  <c r="P33" i="4" a="1"/>
  <c r="U2290" i="3"/>
  <c r="AA2226" i="3"/>
  <c r="U2208" i="3"/>
  <c r="AA2192" i="3"/>
  <c r="U2174" i="3"/>
  <c r="Y2156" i="3"/>
  <c r="Z2140" i="3"/>
  <c r="AA2121" i="3"/>
  <c r="Z2102" i="3"/>
  <c r="Y2086" i="3"/>
  <c r="Y2070" i="3"/>
  <c r="U2050" i="3"/>
  <c r="R179" i="4" a="1"/>
  <c r="AQ70" i="4" a="1"/>
  <c r="N33" i="4" a="1"/>
  <c r="N4" i="4" a="1"/>
  <c r="Y2265" i="3"/>
  <c r="Z2247" i="3"/>
  <c r="Z2231" i="3"/>
  <c r="Y2215" i="3"/>
  <c r="U2197" i="3"/>
  <c r="Y2176" i="3"/>
  <c r="Z2159" i="3"/>
  <c r="Y2140" i="3"/>
  <c r="Y2122" i="3"/>
  <c r="Y2106" i="3"/>
  <c r="Y2090" i="3"/>
  <c r="U2068" i="3"/>
  <c r="Z2020" i="3"/>
  <c r="Z1999" i="3"/>
  <c r="U1982" i="3"/>
  <c r="Y1963" i="3"/>
  <c r="Z1924" i="3"/>
  <c r="U1905" i="3"/>
  <c r="Z1879" i="3"/>
  <c r="Y1863" i="3"/>
  <c r="U1846" i="3"/>
  <c r="Y1828" i="3"/>
  <c r="U1810" i="3"/>
  <c r="U1793" i="3"/>
  <c r="U1775" i="3"/>
  <c r="U1759" i="3"/>
  <c r="U1743" i="3"/>
  <c r="AA1722" i="3"/>
  <c r="Y1699" i="3"/>
  <c r="U1681" i="3"/>
  <c r="U1665" i="3"/>
  <c r="Z1637" i="3"/>
  <c r="Y1619" i="3"/>
  <c r="Y1590" i="3"/>
  <c r="AA1571" i="3"/>
  <c r="Z1553" i="3"/>
  <c r="Z1535" i="3"/>
  <c r="U1519" i="3"/>
  <c r="AA1500" i="3"/>
  <c r="U1482" i="3"/>
  <c r="Y2056" i="3"/>
  <c r="Z2035" i="3"/>
  <c r="Z2019" i="3"/>
  <c r="Z2003" i="3"/>
  <c r="U1985" i="3"/>
  <c r="Z1965" i="3"/>
  <c r="Z1949" i="3"/>
  <c r="U1926" i="3"/>
  <c r="Y1907" i="3"/>
  <c r="Z1890" i="3"/>
  <c r="AA1873" i="3"/>
  <c r="AA1854" i="3"/>
  <c r="Z1835" i="3"/>
  <c r="Y1816" i="3"/>
  <c r="Z1799" i="3"/>
  <c r="U1778" i="3"/>
  <c r="U1762" i="3"/>
  <c r="U1746" i="3"/>
  <c r="Y1729" i="3"/>
  <c r="U1712" i="3"/>
  <c r="U1696" i="3"/>
  <c r="U1660" i="3"/>
  <c r="Z1644" i="3"/>
  <c r="Y1626" i="3"/>
  <c r="U1610" i="3"/>
  <c r="P625" i="4" a="1"/>
  <c r="N363" i="4" a="1"/>
  <c r="P482" i="4" a="1"/>
  <c r="R236" i="4" a="1"/>
  <c r="AQ243" i="4" a="1"/>
  <c r="P176" i="4" a="1"/>
  <c r="AQ110" i="4" a="1"/>
  <c r="AQ47" i="4" a="1"/>
  <c r="N169" i="4" a="1"/>
  <c r="N245" i="4" a="1"/>
  <c r="N113" i="4" a="1"/>
  <c r="R26" i="4" a="1"/>
  <c r="N223" i="4" a="1"/>
  <c r="R98" i="4" a="1"/>
  <c r="AP19" i="4" a="1"/>
  <c r="U2244" i="3"/>
  <c r="AQ72" i="4" a="1"/>
  <c r="R5" i="4" a="1"/>
  <c r="U2245" i="3"/>
  <c r="U2211" i="3"/>
  <c r="U2193" i="3"/>
  <c r="AA2177" i="3"/>
  <c r="Z2154" i="3"/>
  <c r="Y2135" i="3"/>
  <c r="AA2119" i="3"/>
  <c r="Y2101" i="3"/>
  <c r="U2082" i="3"/>
  <c r="U2057" i="3"/>
  <c r="Y2041" i="3"/>
  <c r="R276" i="4" a="1"/>
  <c r="N126" i="4" a="1"/>
  <c r="AQ51" i="4" a="1"/>
  <c r="AQ17" i="4" a="1"/>
  <c r="Z2273" i="3"/>
  <c r="U2251" i="3"/>
  <c r="AA2211" i="3"/>
  <c r="Y2194" i="3"/>
  <c r="Y2178" i="3"/>
  <c r="U2160" i="3"/>
  <c r="Y2143" i="3"/>
  <c r="Y2124" i="3"/>
  <c r="Y2108" i="3"/>
  <c r="AA2091" i="3"/>
  <c r="P224" i="4" a="1"/>
  <c r="N79" i="4" a="1"/>
  <c r="P35" i="4" a="1"/>
  <c r="AQ2" i="4" a="1"/>
  <c r="AA2227" i="3"/>
  <c r="AA2209" i="3"/>
  <c r="Z2193" i="3"/>
  <c r="AA2175" i="3"/>
  <c r="Y2157" i="3"/>
  <c r="Z2141" i="3"/>
  <c r="Z2122" i="3"/>
  <c r="Y2103" i="3"/>
  <c r="Y2087" i="3"/>
  <c r="Y2071" i="3"/>
  <c r="U2051" i="3"/>
  <c r="N184" i="4" a="1"/>
  <c r="P73" i="4" a="1"/>
  <c r="N35" i="4" a="1"/>
  <c r="AQ5" i="4" a="1"/>
  <c r="AA2266" i="3"/>
  <c r="AA2248" i="3"/>
  <c r="AA2232" i="3"/>
  <c r="Y2216" i="3"/>
  <c r="AA2198" i="3"/>
  <c r="U2177" i="3"/>
  <c r="Z2160" i="3"/>
  <c r="Y2141" i="3"/>
  <c r="U2123" i="3"/>
  <c r="U2107" i="3"/>
  <c r="Y2091" i="3"/>
  <c r="Z2069" i="3"/>
  <c r="Z2021" i="3"/>
  <c r="Y2000" i="3"/>
  <c r="U1983" i="3"/>
  <c r="Y1964" i="3"/>
  <c r="Y1925" i="3"/>
  <c r="Z1907" i="3"/>
  <c r="U1882" i="3"/>
  <c r="Z1866" i="3"/>
  <c r="U1849" i="3"/>
  <c r="Y1832" i="3"/>
  <c r="Y1813" i="3"/>
  <c r="AA1796" i="3"/>
  <c r="Y1778" i="3"/>
  <c r="Y1762" i="3"/>
  <c r="Y1746" i="3"/>
  <c r="Y1725" i="3"/>
  <c r="Y1707" i="3"/>
  <c r="U1684" i="3"/>
  <c r="U1668" i="3"/>
  <c r="Z1640" i="3"/>
  <c r="Y1623" i="3"/>
  <c r="Y1605" i="3"/>
  <c r="Y1575" i="3"/>
  <c r="Y1556" i="3"/>
  <c r="Z1538" i="3"/>
  <c r="Z1522" i="3"/>
  <c r="Z1504" i="3"/>
  <c r="Y1486" i="3"/>
  <c r="U2064" i="3"/>
  <c r="AA2038" i="3"/>
  <c r="Y2022" i="3"/>
  <c r="Z2006" i="3"/>
  <c r="Z1988" i="3"/>
  <c r="U1968" i="3"/>
  <c r="Z1952" i="3"/>
  <c r="U1931" i="3"/>
  <c r="Y1911" i="3"/>
  <c r="U1893" i="3"/>
  <c r="U1876" i="3"/>
  <c r="U1857" i="3"/>
  <c r="Z1839" i="3"/>
  <c r="U1820" i="3"/>
  <c r="Z1803" i="3"/>
  <c r="Y1781" i="3"/>
  <c r="Y1765" i="3"/>
  <c r="Y1749" i="3"/>
  <c r="Z1733" i="3"/>
  <c r="U1715" i="3"/>
  <c r="U1699" i="3"/>
  <c r="Y1672" i="3"/>
  <c r="Z1647" i="3"/>
  <c r="Y1630" i="3"/>
  <c r="U1613" i="3"/>
  <c r="Z1597" i="3"/>
  <c r="P486" i="4" a="1"/>
  <c r="P449" i="4" a="1"/>
  <c r="AP404" i="4" a="1"/>
  <c r="AQ158" i="4" a="1"/>
  <c r="AQ218" i="4" a="1"/>
  <c r="N156" i="4" a="1"/>
  <c r="AQ90" i="4" a="1"/>
  <c r="P258" i="4" a="1"/>
  <c r="AQ127" i="4" a="1"/>
  <c r="N200" i="4" a="1"/>
  <c r="AQ79" i="4" a="1"/>
  <c r="P5" i="4" a="1"/>
  <c r="P186" i="4" a="1"/>
  <c r="N71" i="4" a="1"/>
  <c r="AA2289" i="3"/>
  <c r="AA2224" i="3"/>
  <c r="R47" i="4" a="1"/>
  <c r="U2269" i="3"/>
  <c r="Y2235" i="3"/>
  <c r="U2204" i="3"/>
  <c r="Z2188" i="3"/>
  <c r="U2172" i="3"/>
  <c r="Z2146" i="3"/>
  <c r="U2130" i="3"/>
  <c r="Y2112" i="3"/>
  <c r="Y2095" i="3"/>
  <c r="U2077" i="3"/>
  <c r="Z2052" i="3"/>
  <c r="Y2036" i="3"/>
  <c r="R215" i="4" a="1"/>
  <c r="R80" i="4" a="1"/>
  <c r="R39" i="4" a="1"/>
  <c r="AQ6" i="4" a="1"/>
  <c r="U2266" i="3"/>
  <c r="U2243" i="3"/>
  <c r="Z2205" i="3"/>
  <c r="Y2189" i="3"/>
  <c r="Z2173" i="3"/>
  <c r="U2155" i="3"/>
  <c r="AA2137" i="3"/>
  <c r="Z2119" i="3"/>
  <c r="Z2103" i="3"/>
  <c r="Y2075" i="3"/>
  <c r="AQ173" i="4" a="1"/>
  <c r="R64" i="4" a="1"/>
  <c r="N26" i="4" a="1"/>
  <c r="U2282" i="3"/>
  <c r="AA2222" i="3"/>
  <c r="Z2204" i="3"/>
  <c r="U2188" i="3"/>
  <c r="Z2170" i="3"/>
  <c r="Y2152" i="3"/>
  <c r="AA2136" i="3"/>
  <c r="Y2115" i="3"/>
  <c r="Y2098" i="3"/>
  <c r="Z2082" i="3"/>
  <c r="AA2066" i="3"/>
  <c r="AP256" i="4" a="1"/>
  <c r="P151" i="4" a="1"/>
  <c r="AQ59" i="4" a="1"/>
  <c r="AQ25" i="4" a="1"/>
  <c r="Y2284" i="3"/>
  <c r="Z2261" i="3"/>
  <c r="AA2243" i="3"/>
  <c r="Z2227" i="3"/>
  <c r="Y2211" i="3"/>
  <c r="Y2193" i="3"/>
  <c r="Y2172" i="3"/>
  <c r="Z2155" i="3"/>
  <c r="Z2135" i="3"/>
  <c r="U2118" i="3"/>
  <c r="Y2102" i="3"/>
  <c r="U2086" i="3"/>
  <c r="U2058" i="3"/>
  <c r="Z2014" i="3"/>
  <c r="U1995" i="3"/>
  <c r="Y1978" i="3"/>
  <c r="U1936" i="3"/>
  <c r="U1919" i="3"/>
  <c r="Z1900" i="3"/>
  <c r="U1881" i="3"/>
  <c r="AA1865" i="3"/>
  <c r="Z1848" i="3"/>
  <c r="Z1831" i="3"/>
  <c r="Y1812" i="3"/>
  <c r="U1795" i="3"/>
  <c r="Y1777" i="3"/>
  <c r="Z1761" i="3"/>
  <c r="Z1745" i="3"/>
  <c r="Y1724" i="3"/>
  <c r="AA1706" i="3"/>
  <c r="U1683" i="3"/>
  <c r="U1667" i="3"/>
  <c r="Z1639" i="3"/>
  <c r="Y1622" i="3"/>
  <c r="AA1604" i="3"/>
  <c r="Y1573" i="3"/>
  <c r="AA1555" i="3"/>
  <c r="Z1537" i="3"/>
  <c r="Z1521" i="3"/>
  <c r="Z1503" i="3"/>
  <c r="Y1485" i="3"/>
  <c r="Z2060" i="3"/>
  <c r="AA2037" i="3"/>
  <c r="Y2021" i="3"/>
  <c r="Z2005" i="3"/>
  <c r="Z1987" i="3"/>
  <c r="Z1967" i="3"/>
  <c r="Z1951" i="3"/>
  <c r="Z1930" i="3"/>
  <c r="AA1910" i="3"/>
  <c r="U1892" i="3"/>
  <c r="Y1875" i="3"/>
  <c r="Y1856" i="3"/>
  <c r="AA1838" i="3"/>
  <c r="Y1819" i="3"/>
  <c r="Y1801" i="3"/>
  <c r="Y1780" i="3"/>
  <c r="Z1764" i="3"/>
  <c r="Z1748" i="3"/>
  <c r="Z1732" i="3"/>
  <c r="U1714" i="3"/>
  <c r="U1698" i="3"/>
  <c r="Y1671" i="3"/>
  <c r="Z1646" i="3"/>
  <c r="Y1629" i="3"/>
  <c r="U1612" i="3"/>
  <c r="Z1596" i="3"/>
  <c r="AQ389" i="4" a="1"/>
  <c r="P86" i="4" a="1"/>
  <c r="R72" i="4" a="1"/>
  <c r="Y2285" i="3"/>
  <c r="U2233" i="3"/>
  <c r="U2145" i="3"/>
  <c r="U2076" i="3"/>
  <c r="R74" i="4" a="1"/>
  <c r="U2242" i="3"/>
  <c r="Y2154" i="3"/>
  <c r="Y2074" i="3"/>
  <c r="AA2279" i="3"/>
  <c r="U2169" i="3"/>
  <c r="Z2097" i="3"/>
  <c r="R143" i="4" a="1"/>
  <c r="AA2260" i="3"/>
  <c r="Z2192" i="3"/>
  <c r="Z2117" i="3"/>
  <c r="Z2013" i="3"/>
  <c r="Y1918" i="3"/>
  <c r="AA1843" i="3"/>
  <c r="AA1772" i="3"/>
  <c r="Y1696" i="3"/>
  <c r="Y1615" i="3"/>
  <c r="Y1532" i="3"/>
  <c r="Y2051" i="3"/>
  <c r="U1979" i="3"/>
  <c r="Z1903" i="3"/>
  <c r="U1832" i="3"/>
  <c r="AA1759" i="3"/>
  <c r="Z1693" i="3"/>
  <c r="U1607" i="3"/>
  <c r="Y1578" i="3"/>
  <c r="AA1561" i="3"/>
  <c r="Z1543" i="3"/>
  <c r="Y2044" i="3"/>
  <c r="U2028" i="3"/>
  <c r="U2008" i="3"/>
  <c r="Z1991" i="3"/>
  <c r="U1972" i="3"/>
  <c r="Y1954" i="3"/>
  <c r="Z1938" i="3"/>
  <c r="Z1919" i="3"/>
  <c r="Y1899" i="3"/>
  <c r="U1879" i="3"/>
  <c r="AA1863" i="3"/>
  <c r="AA1845" i="3"/>
  <c r="Z1825" i="3"/>
  <c r="Z1806" i="3"/>
  <c r="Y1789" i="3"/>
  <c r="Y1772" i="3"/>
  <c r="Y1756" i="3"/>
  <c r="Y1738" i="3"/>
  <c r="Y1709" i="3"/>
  <c r="Z1686" i="3"/>
  <c r="Z1670" i="3"/>
  <c r="Y1650" i="3"/>
  <c r="U1634" i="3"/>
  <c r="Y1616" i="3"/>
  <c r="U1589" i="3"/>
  <c r="AA1569" i="3"/>
  <c r="Y1548" i="3"/>
  <c r="AA1532" i="3"/>
  <c r="Y1515" i="3"/>
  <c r="AA1498" i="3"/>
  <c r="U1481" i="3"/>
  <c r="Z1465" i="3"/>
  <c r="AA2047" i="3"/>
  <c r="U2029" i="3"/>
  <c r="AA1999" i="3"/>
  <c r="Y1981" i="3"/>
  <c r="U1962" i="3"/>
  <c r="U1946" i="3"/>
  <c r="U1930" i="3"/>
  <c r="Y1909" i="3"/>
  <c r="Z1892" i="3"/>
  <c r="Z1876" i="3"/>
  <c r="Y1858" i="3"/>
  <c r="U1839" i="3"/>
  <c r="Z1821" i="3"/>
  <c r="AA1804" i="3"/>
  <c r="Y1788" i="3"/>
  <c r="Z1770" i="3"/>
  <c r="Z1754" i="3"/>
  <c r="U1738" i="3"/>
  <c r="U1721" i="3"/>
  <c r="U1705" i="3"/>
  <c r="U1689" i="3"/>
  <c r="Y1667" i="3"/>
  <c r="U1651" i="3"/>
  <c r="U1625" i="3"/>
  <c r="Z1609" i="3"/>
  <c r="Z1532" i="3"/>
  <c r="U1488" i="3"/>
  <c r="Z1460" i="3"/>
  <c r="U1444" i="3"/>
  <c r="U1424" i="3"/>
  <c r="Y1399" i="3"/>
  <c r="Y1380" i="3"/>
  <c r="Y1364" i="3"/>
  <c r="Z1347" i="3"/>
  <c r="Z1323" i="3"/>
  <c r="Z1307" i="3"/>
  <c r="Z1290" i="3"/>
  <c r="Z1271" i="3"/>
  <c r="Z1254" i="3"/>
  <c r="Y1238" i="3"/>
  <c r="Y1222" i="3"/>
  <c r="Z1206" i="3"/>
  <c r="Y1186" i="3"/>
  <c r="Z1165" i="3"/>
  <c r="Y1149" i="3"/>
  <c r="Y1130" i="3"/>
  <c r="Z1112" i="3"/>
  <c r="U1093" i="3"/>
  <c r="U1069" i="3"/>
  <c r="U1053" i="3"/>
  <c r="AA1036" i="3"/>
  <c r="Z1020" i="3"/>
  <c r="Y1004" i="3"/>
  <c r="Z987" i="3"/>
  <c r="Z969" i="3"/>
  <c r="U951" i="3"/>
  <c r="Z1558" i="3"/>
  <c r="Y1520" i="3"/>
  <c r="U1484" i="3"/>
  <c r="U1453" i="3"/>
  <c r="Z1437" i="3"/>
  <c r="N102" i="4" a="1"/>
  <c r="R218" i="4" a="1"/>
  <c r="N273" i="4" a="1"/>
  <c r="R177" i="4" a="1"/>
  <c r="Y2199" i="3"/>
  <c r="Y2125" i="3"/>
  <c r="Y2047" i="3"/>
  <c r="AO28" i="4" a="1"/>
  <c r="AA2200" i="3"/>
  <c r="Z2132" i="3"/>
  <c r="R121" i="4" a="1"/>
  <c r="Z2215" i="3"/>
  <c r="U2147" i="3"/>
  <c r="Z2077" i="3"/>
  <c r="N48" i="4" a="1"/>
  <c r="AA2238" i="3"/>
  <c r="U2166" i="3"/>
  <c r="Y2097" i="3"/>
  <c r="Y1990" i="3"/>
  <c r="Y1893" i="3"/>
  <c r="Y1820" i="3"/>
  <c r="AA1752" i="3"/>
  <c r="Z1674" i="3"/>
  <c r="Y1583" i="3"/>
  <c r="U1510" i="3"/>
  <c r="Z2028" i="3"/>
  <c r="Z1958" i="3"/>
  <c r="Z1883" i="3"/>
  <c r="U1809" i="3"/>
  <c r="Z1739" i="3"/>
  <c r="Z1653" i="3"/>
  <c r="U1590" i="3"/>
  <c r="U1572" i="3"/>
  <c r="U1554" i="3"/>
  <c r="Y1537" i="3"/>
  <c r="Y2039" i="3"/>
  <c r="U2021" i="3"/>
  <c r="Y2003" i="3"/>
  <c r="AA1986" i="3"/>
  <c r="Y1966" i="3"/>
  <c r="Y1949" i="3"/>
  <c r="AA1933" i="3"/>
  <c r="U1911" i="3"/>
  <c r="AA1893" i="3"/>
  <c r="Y1874" i="3"/>
  <c r="U1856" i="3"/>
  <c r="Y1839" i="3"/>
  <c r="Y1818" i="3"/>
  <c r="U1801" i="3"/>
  <c r="Y1784" i="3"/>
  <c r="Z1767" i="3"/>
  <c r="Z1751" i="3"/>
  <c r="Y1732" i="3"/>
  <c r="Y1703" i="3"/>
  <c r="Z1681" i="3"/>
  <c r="Z1665" i="3"/>
  <c r="Y1645" i="3"/>
  <c r="U1629" i="3"/>
  <c r="Y1601" i="3"/>
  <c r="U1582" i="3"/>
  <c r="U1563" i="3"/>
  <c r="Y1543" i="3"/>
  <c r="U1526" i="3"/>
  <c r="Z1509" i="3"/>
  <c r="U1493" i="3"/>
  <c r="U1476" i="3"/>
  <c r="Z2068" i="3"/>
  <c r="Y2042" i="3"/>
  <c r="Z2015" i="3"/>
  <c r="U1992" i="3"/>
  <c r="U1974" i="3"/>
  <c r="U1957" i="3"/>
  <c r="U1941" i="3"/>
  <c r="Z1925" i="3"/>
  <c r="U1903" i="3"/>
  <c r="U1887" i="3"/>
  <c r="AA1871" i="3"/>
  <c r="AA1852" i="3"/>
  <c r="U1834" i="3"/>
  <c r="U1815" i="3"/>
  <c r="U1877" i="3"/>
  <c r="AA1861" i="3"/>
  <c r="Y1844" i="3"/>
  <c r="U1826" i="3"/>
  <c r="Z1808" i="3"/>
  <c r="U1791" i="3"/>
  <c r="Z1773" i="3"/>
  <c r="Z1757" i="3"/>
  <c r="Y1741" i="3"/>
  <c r="Y1719" i="3"/>
  <c r="Y1697" i="3"/>
  <c r="U1679" i="3"/>
  <c r="U1663" i="3"/>
  <c r="Z1635" i="3"/>
  <c r="AA1617" i="3"/>
  <c r="AA1588" i="3"/>
  <c r="Y1568" i="3"/>
  <c r="U1551" i="3"/>
  <c r="U1533" i="3"/>
  <c r="AA1517" i="3"/>
  <c r="Y1498" i="3"/>
  <c r="Z1480" i="3"/>
  <c r="Y2053" i="3"/>
  <c r="AA2033" i="3"/>
  <c r="U2017" i="3"/>
  <c r="U2000" i="3"/>
  <c r="AA1983" i="3"/>
  <c r="U1963" i="3"/>
  <c r="Z1947" i="3"/>
  <c r="Y1924" i="3"/>
  <c r="U1904" i="3"/>
  <c r="U1888" i="3"/>
  <c r="Y1870" i="3"/>
  <c r="Y1851" i="3"/>
  <c r="U1833" i="3"/>
  <c r="AA1814" i="3"/>
  <c r="Z1796" i="3"/>
  <c r="Z1776" i="3"/>
  <c r="Z1760" i="3"/>
  <c r="Z1744" i="3"/>
  <c r="AA1727" i="3"/>
  <c r="Z1710" i="3"/>
  <c r="Z1694" i="3"/>
  <c r="U1658" i="3"/>
  <c r="U1642" i="3"/>
  <c r="Z1624" i="3"/>
  <c r="U1608" i="3"/>
  <c r="Z1592" i="3"/>
  <c r="P144" i="4" a="1"/>
  <c r="AQ248" i="4" a="1"/>
  <c r="AA2290" i="3"/>
  <c r="AA2220" i="3"/>
  <c r="Y2203" i="3"/>
  <c r="U2129" i="3"/>
  <c r="Z2051" i="3"/>
  <c r="R37" i="4" a="1"/>
  <c r="AA2204" i="3"/>
  <c r="U2136" i="3"/>
  <c r="AQ165" i="4" a="1"/>
  <c r="AA2221" i="3"/>
  <c r="Y2151" i="3"/>
  <c r="Z2081" i="3"/>
  <c r="R57" i="4" a="1"/>
  <c r="AA2242" i="3"/>
  <c r="Y2171" i="3"/>
  <c r="Z2101" i="3"/>
  <c r="U1994" i="3"/>
  <c r="AA1899" i="3"/>
  <c r="U1825" i="3"/>
  <c r="AA1756" i="3"/>
  <c r="U1678" i="3"/>
  <c r="U1587" i="3"/>
  <c r="Y1514" i="3"/>
  <c r="AA2032" i="3"/>
  <c r="Z1962" i="3"/>
  <c r="Z1887" i="3"/>
  <c r="U1813" i="3"/>
  <c r="AA1743" i="3"/>
  <c r="U1657" i="3"/>
  <c r="Z1594" i="3"/>
  <c r="U1573" i="3"/>
  <c r="Z1555" i="3"/>
  <c r="Y1538" i="3"/>
  <c r="U2040" i="3"/>
  <c r="U2022" i="3"/>
  <c r="Y2004" i="3"/>
  <c r="Y1987" i="3"/>
  <c r="Y1967" i="3"/>
  <c r="Y1950" i="3"/>
  <c r="Z1934" i="3"/>
  <c r="U1912" i="3"/>
  <c r="Y1894" i="3"/>
  <c r="U1875" i="3"/>
  <c r="Z1858" i="3"/>
  <c r="U1840" i="3"/>
  <c r="U1819" i="3"/>
  <c r="Z1802" i="3"/>
  <c r="U1785" i="3"/>
  <c r="Y1768" i="3"/>
  <c r="Y1752" i="3"/>
  <c r="Y1733" i="3"/>
  <c r="Y1704" i="3"/>
  <c r="Z1682" i="3"/>
  <c r="Z1666" i="3"/>
  <c r="Y1646" i="3"/>
  <c r="U1630" i="3"/>
  <c r="Y1602" i="3"/>
  <c r="Z1584" i="3"/>
  <c r="U1564" i="3"/>
  <c r="Y1544" i="3"/>
  <c r="AA1528" i="3"/>
  <c r="Z1510" i="3"/>
  <c r="Z1494" i="3"/>
  <c r="U1477" i="3"/>
  <c r="U2071" i="3"/>
  <c r="U2043" i="3"/>
  <c r="Z2016" i="3"/>
  <c r="Z1993" i="3"/>
  <c r="Z1977" i="3"/>
  <c r="U1958" i="3"/>
  <c r="U1942" i="3"/>
  <c r="Z1926" i="3"/>
  <c r="Z1904" i="3"/>
  <c r="Z1888" i="3"/>
  <c r="Y1872" i="3"/>
  <c r="Y1853" i="3"/>
  <c r="U1835" i="3"/>
  <c r="AA1816" i="3"/>
  <c r="U1800" i="3"/>
  <c r="U1783" i="3"/>
  <c r="Z1766" i="3"/>
  <c r="Z1750" i="3"/>
  <c r="U1734" i="3"/>
  <c r="Z1717" i="3"/>
  <c r="U1701" i="3"/>
  <c r="Y1685" i="3"/>
  <c r="Y1663" i="3"/>
  <c r="U1647" i="3"/>
  <c r="U1621" i="3"/>
  <c r="Y1591" i="3"/>
  <c r="AA1524" i="3"/>
  <c r="Y1480" i="3"/>
  <c r="Y1456" i="3"/>
  <c r="Z1440" i="3"/>
  <c r="U1420" i="3"/>
  <c r="Y1392" i="3"/>
  <c r="Y1376" i="3"/>
  <c r="Y1360" i="3"/>
  <c r="Z1343" i="3"/>
  <c r="Z1319" i="3"/>
  <c r="Z1303" i="3"/>
  <c r="Y1286" i="3"/>
  <c r="Z1266" i="3"/>
  <c r="Y1250" i="3"/>
  <c r="Y1234" i="3"/>
  <c r="Y1218" i="3"/>
  <c r="AA1202" i="3"/>
  <c r="Z1182" i="3"/>
  <c r="Z1161" i="3"/>
  <c r="Z1145" i="3"/>
  <c r="Y1125" i="3"/>
  <c r="U1107" i="3"/>
  <c r="Y1088" i="3"/>
  <c r="Y1065" i="3"/>
  <c r="U1049" i="3"/>
  <c r="Z1032" i="3"/>
  <c r="U1016" i="3"/>
  <c r="AA1000" i="3"/>
  <c r="Y983" i="3"/>
  <c r="U964" i="3"/>
  <c r="U1600" i="3"/>
  <c r="Z1549" i="3"/>
  <c r="Y1509" i="3"/>
  <c r="U1468" i="3"/>
  <c r="Y1449" i="3"/>
  <c r="AQ329" i="4" a="1"/>
  <c r="R199" i="4" a="1"/>
  <c r="P89" i="4" a="1"/>
  <c r="AQ143" i="4" a="1"/>
  <c r="N27" i="4" a="1"/>
  <c r="Y2183" i="3"/>
  <c r="AA2107" i="3"/>
  <c r="AA2031" i="3"/>
  <c r="U2286" i="3"/>
  <c r="AA2184" i="3"/>
  <c r="Z2114" i="3"/>
  <c r="P51" i="4" a="1"/>
  <c r="AA2199" i="3"/>
  <c r="U2128" i="3"/>
  <c r="Z2057" i="3"/>
  <c r="AQ16" i="4" a="1"/>
  <c r="Z2222" i="3"/>
  <c r="U2150" i="3"/>
  <c r="Y2081" i="3"/>
  <c r="Z1972" i="3"/>
  <c r="U1872" i="3"/>
  <c r="AA1803" i="3"/>
  <c r="AA1735" i="3"/>
  <c r="Y1658" i="3"/>
  <c r="Z1562" i="3"/>
  <c r="Z1493" i="3"/>
  <c r="Y2012" i="3"/>
  <c r="Z1942" i="3"/>
  <c r="Z1865" i="3"/>
  <c r="U1787" i="3"/>
  <c r="Z1721" i="3"/>
  <c r="Y1637" i="3"/>
  <c r="U1586" i="3"/>
  <c r="U1568" i="3"/>
  <c r="U1550" i="3"/>
  <c r="Z2066" i="3"/>
  <c r="Y2035" i="3"/>
  <c r="AA2017" i="3"/>
  <c r="U1999" i="3"/>
  <c r="Z1981" i="3"/>
  <c r="Y1961" i="3"/>
  <c r="Y1945" i="3"/>
  <c r="Z1927" i="3"/>
  <c r="U1907" i="3"/>
  <c r="Y1887" i="3"/>
  <c r="U1870" i="3"/>
  <c r="U1852" i="3"/>
  <c r="Y1834" i="3"/>
  <c r="Z1814" i="3"/>
  <c r="U1797" i="3"/>
  <c r="U1780" i="3"/>
  <c r="Z1763" i="3"/>
  <c r="Z1747" i="3"/>
  <c r="U1728" i="3"/>
  <c r="Y1694" i="3"/>
  <c r="U1677" i="3"/>
  <c r="Z1661" i="3"/>
  <c r="U1641" i="3"/>
  <c r="Y1625" i="3"/>
  <c r="Y1597" i="3"/>
  <c r="U1578" i="3"/>
  <c r="Z1559" i="3"/>
  <c r="Z1539" i="3"/>
  <c r="U1522" i="3"/>
  <c r="Z1505" i="3"/>
  <c r="U1489" i="3"/>
  <c r="U1472" i="3"/>
  <c r="U2062" i="3"/>
  <c r="U2037" i="3"/>
  <c r="U2006" i="3"/>
  <c r="U1988" i="3"/>
  <c r="Z1969" i="3"/>
  <c r="U1953" i="3"/>
  <c r="Y1937" i="3"/>
  <c r="Z1918" i="3"/>
  <c r="U1899" i="3"/>
  <c r="U1883" i="3"/>
  <c r="U1865" i="3"/>
  <c r="Y1846" i="3"/>
  <c r="Y1829" i="3"/>
  <c r="U1811" i="3"/>
  <c r="U1873" i="3"/>
  <c r="Y1857" i="3"/>
  <c r="Z1840" i="3"/>
  <c r="Y1821" i="3"/>
  <c r="Z1804" i="3"/>
  <c r="Y1787" i="3"/>
  <c r="Z1769" i="3"/>
  <c r="Z1753" i="3"/>
  <c r="Y1736" i="3"/>
  <c r="Y1715" i="3"/>
  <c r="Y1692" i="3"/>
  <c r="Z1675" i="3"/>
  <c r="Y1659" i="3"/>
  <c r="U1631" i="3"/>
  <c r="Y1612" i="3"/>
  <c r="U1584" i="3"/>
  <c r="Z1563" i="3"/>
  <c r="Y1546" i="3"/>
  <c r="U1529" i="3"/>
  <c r="Z1511" i="3"/>
  <c r="U1494" i="3"/>
  <c r="Z1476" i="3"/>
  <c r="U2047" i="3"/>
  <c r="AA2029" i="3"/>
  <c r="Y2013" i="3"/>
  <c r="Z1996" i="3"/>
  <c r="Y1976" i="3"/>
  <c r="Z1959" i="3"/>
  <c r="Z1943" i="3"/>
  <c r="Z1920" i="3"/>
  <c r="Y1900" i="3"/>
  <c r="Z1884" i="3"/>
  <c r="Y1866" i="3"/>
  <c r="AA1846" i="3"/>
  <c r="U1828" i="3"/>
  <c r="AA1810" i="3"/>
  <c r="AA1788" i="3"/>
  <c r="Z1772" i="3"/>
  <c r="Z1756" i="3"/>
  <c r="U1740" i="3"/>
  <c r="Z1722" i="3"/>
  <c r="Z1706" i="3"/>
  <c r="Z1690" i="3"/>
  <c r="Z1654" i="3"/>
  <c r="Y1638" i="3"/>
  <c r="Z1620" i="3"/>
  <c r="Z1604" i="3"/>
  <c r="AQ453" i="4" a="1"/>
  <c r="N215" i="4" a="1"/>
  <c r="P121" i="4" a="1"/>
  <c r="AQ177" i="4" a="1"/>
  <c r="R43" i="4" a="1"/>
  <c r="Z2187" i="3"/>
  <c r="AA2111" i="3"/>
  <c r="AA2035" i="3"/>
  <c r="AQ4" i="4" a="1"/>
  <c r="Y2188" i="3"/>
  <c r="Z2118" i="3"/>
  <c r="N62" i="4" a="1"/>
  <c r="AA2203" i="3"/>
  <c r="Y2132" i="3"/>
  <c r="Y2061" i="3"/>
  <c r="P24" i="4" a="1"/>
  <c r="Z2226" i="3"/>
  <c r="AA2154" i="3"/>
  <c r="Y2085" i="3"/>
  <c r="Y1977" i="3"/>
  <c r="Y1876" i="3"/>
  <c r="AA1807" i="3"/>
  <c r="Y1740" i="3"/>
  <c r="U1662" i="3"/>
  <c r="AA1567" i="3"/>
  <c r="Z1497" i="3"/>
  <c r="U2016" i="3"/>
  <c r="Z1946" i="3"/>
  <c r="Y1869" i="3"/>
  <c r="AA1795" i="3"/>
  <c r="U1725" i="3"/>
  <c r="Y1641" i="3"/>
  <c r="AA1587" i="3"/>
  <c r="U1569" i="3"/>
  <c r="AA1551" i="3"/>
  <c r="Z2067" i="3"/>
  <c r="U2036" i="3"/>
  <c r="Y2018" i="3"/>
  <c r="AA2000" i="3"/>
  <c r="Z1982" i="3"/>
  <c r="Y1962" i="3"/>
  <c r="Y1946" i="3"/>
  <c r="Z1928" i="3"/>
  <c r="U1908" i="3"/>
  <c r="AA1889" i="3"/>
  <c r="U1871" i="3"/>
  <c r="Z1853" i="3"/>
  <c r="Y1835" i="3"/>
  <c r="Y1815" i="3"/>
  <c r="Z1798" i="3"/>
  <c r="U1781" i="3"/>
  <c r="Y1764" i="3"/>
  <c r="Y1748" i="3"/>
  <c r="U1729" i="3"/>
  <c r="AA1700" i="3"/>
  <c r="Z1678" i="3"/>
  <c r="Z1662" i="3"/>
  <c r="AA1642" i="3"/>
  <c r="U1626" i="3"/>
  <c r="Y1598" i="3"/>
  <c r="U1579" i="3"/>
  <c r="Z1560" i="3"/>
  <c r="Y1540" i="3"/>
  <c r="Z1523" i="3"/>
  <c r="Z1506" i="3"/>
  <c r="AA1490" i="3"/>
  <c r="U1473" i="3"/>
  <c r="Z2063" i="3"/>
  <c r="Y2038" i="3"/>
  <c r="AA2008" i="3"/>
  <c r="AA1989" i="3"/>
  <c r="Y1970" i="3"/>
  <c r="U1954" i="3"/>
  <c r="Y1938" i="3"/>
  <c r="Y1919" i="3"/>
  <c r="AA1900" i="3"/>
  <c r="U1884" i="3"/>
  <c r="AA1866" i="3"/>
  <c r="AA1848" i="3"/>
  <c r="U1830" i="3"/>
  <c r="Z1812" i="3"/>
  <c r="U1796" i="3"/>
  <c r="Z1778" i="3"/>
  <c r="Z1762" i="3"/>
  <c r="Z1746" i="3"/>
  <c r="Y1730" i="3"/>
  <c r="Z1713" i="3"/>
  <c r="Z1697" i="3"/>
  <c r="Y1681" i="3"/>
  <c r="Z1659" i="3"/>
  <c r="U1643" i="3"/>
  <c r="U1617" i="3"/>
  <c r="U1574" i="3"/>
  <c r="U1514" i="3"/>
  <c r="Y1473" i="3"/>
  <c r="Y1452" i="3"/>
  <c r="Z1433" i="3"/>
  <c r="Y1415" i="3"/>
  <c r="Y1388" i="3"/>
  <c r="Y1372" i="3"/>
  <c r="U1356" i="3"/>
  <c r="Z1339" i="3"/>
  <c r="Z1315" i="3"/>
  <c r="Z1298" i="3"/>
  <c r="Y1280" i="3"/>
  <c r="Z1262" i="3"/>
  <c r="U1246" i="3"/>
  <c r="Y1230" i="3"/>
  <c r="Y1214" i="3"/>
  <c r="U1194" i="3"/>
  <c r="Y1178" i="3"/>
  <c r="Z1157" i="3"/>
  <c r="AA1140" i="3"/>
  <c r="Z1120" i="3"/>
  <c r="Y1103" i="3"/>
  <c r="Y1084" i="3"/>
  <c r="Y1061" i="3"/>
  <c r="Y1044" i="3"/>
  <c r="Z1028" i="3"/>
  <c r="Z1012" i="3"/>
  <c r="U995" i="3"/>
  <c r="Y979" i="3"/>
  <c r="U960" i="3"/>
  <c r="U1592" i="3"/>
  <c r="Y1539" i="3"/>
  <c r="AA1499" i="3"/>
  <c r="Y1462" i="3"/>
  <c r="Z1445" i="3"/>
  <c r="AQ362" i="4" a="1"/>
  <c r="P136" i="4" a="1"/>
  <c r="AQ162" i="4" a="1"/>
  <c r="AQ42" i="4" a="1"/>
  <c r="Z2259" i="3"/>
  <c r="AA2167" i="3"/>
  <c r="U2089" i="3"/>
  <c r="AQ175" i="4" a="1"/>
  <c r="Y2260" i="3"/>
  <c r="Z2166" i="3"/>
  <c r="Z2098" i="3"/>
  <c r="R15" i="4" a="1"/>
  <c r="U2182" i="3"/>
  <c r="AA2109" i="3"/>
  <c r="P222" i="4" a="1"/>
  <c r="Y2274" i="3"/>
  <c r="Y2204" i="3"/>
  <c r="Y2130" i="3"/>
  <c r="Z2027" i="3"/>
  <c r="Y1931" i="3"/>
  <c r="Z1856" i="3"/>
  <c r="Z1786" i="3"/>
  <c r="Y1714" i="3"/>
  <c r="Z1630" i="3"/>
  <c r="Z1545" i="3"/>
  <c r="Z1475" i="3"/>
  <c r="AA1995" i="3"/>
  <c r="U1918" i="3"/>
  <c r="U1845" i="3"/>
  <c r="AA1771" i="3"/>
  <c r="Z1705" i="3"/>
  <c r="U1619" i="3"/>
  <c r="Y1582" i="3"/>
  <c r="Y1564" i="3"/>
  <c r="U1546" i="3"/>
  <c r="U2060" i="3"/>
  <c r="Y2031" i="3"/>
  <c r="U2011" i="3"/>
  <c r="Z1995" i="3"/>
  <c r="U1975" i="3"/>
  <c r="Y1957" i="3"/>
  <c r="Y1941" i="3"/>
  <c r="U1922" i="3"/>
  <c r="Y1902" i="3"/>
  <c r="Y1883" i="3"/>
  <c r="U1866" i="3"/>
  <c r="U1848" i="3"/>
  <c r="Z1829" i="3"/>
  <c r="AA1809" i="3"/>
  <c r="Z1793" i="3"/>
  <c r="Z1775" i="3"/>
  <c r="Z1759" i="3"/>
  <c r="Z1743" i="3"/>
  <c r="Y1721" i="3"/>
  <c r="Y1689" i="3"/>
  <c r="U1673" i="3"/>
  <c r="Y1653" i="3"/>
  <c r="U1637" i="3"/>
  <c r="Y1620" i="3"/>
  <c r="Y1593" i="3"/>
  <c r="AA1573" i="3"/>
  <c r="Y1552" i="3"/>
  <c r="U1535" i="3"/>
  <c r="U1518" i="3"/>
  <c r="Z1501" i="3"/>
  <c r="Y1484" i="3"/>
  <c r="Z1468" i="3"/>
  <c r="Y2055" i="3"/>
  <c r="U2032" i="3"/>
  <c r="Y2002" i="3"/>
  <c r="U1984" i="3"/>
  <c r="U1965" i="3"/>
  <c r="U1949" i="3"/>
  <c r="Z1933" i="3"/>
  <c r="Y1913" i="3"/>
  <c r="U1895" i="3"/>
  <c r="AA1879" i="3"/>
  <c r="U1861" i="3"/>
  <c r="Y1842" i="3"/>
  <c r="Z1824" i="3"/>
  <c r="U1807" i="3"/>
  <c r="Z1869" i="3"/>
  <c r="U1853" i="3"/>
  <c r="Y1836" i="3"/>
  <c r="Z1816" i="3"/>
  <c r="AA1800" i="3"/>
  <c r="Y1782" i="3"/>
  <c r="Z1765" i="3"/>
  <c r="Z1749" i="3"/>
  <c r="Z1728" i="3"/>
  <c r="Y1711" i="3"/>
  <c r="U1687" i="3"/>
  <c r="Z1671" i="3"/>
  <c r="AA1655" i="3"/>
  <c r="U1627" i="3"/>
  <c r="Y1608" i="3"/>
  <c r="Z1579" i="3"/>
  <c r="U1559" i="3"/>
  <c r="Z1541" i="3"/>
  <c r="AA1525" i="3"/>
  <c r="Z1507" i="3"/>
  <c r="Z1489" i="3"/>
  <c r="Z2070" i="3"/>
  <c r="AA2041" i="3"/>
  <c r="Y2025" i="3"/>
  <c r="U2009" i="3"/>
  <c r="AA1991" i="3"/>
  <c r="Y1971" i="3"/>
  <c r="Z1955" i="3"/>
  <c r="Z1939" i="3"/>
  <c r="Y1915" i="3"/>
  <c r="U1896" i="3"/>
  <c r="Y1879" i="3"/>
  <c r="U1862" i="3"/>
  <c r="AA1842" i="3"/>
  <c r="Z1823" i="3"/>
  <c r="AA1806" i="3"/>
  <c r="Z1784" i="3"/>
  <c r="Z1768" i="3"/>
  <c r="Z1752" i="3"/>
  <c r="U1736" i="3"/>
  <c r="U1718" i="3"/>
  <c r="Z1702" i="3"/>
  <c r="Y1675" i="3"/>
  <c r="Z1650" i="3"/>
  <c r="Y1634" i="3"/>
  <c r="Z1616" i="3"/>
  <c r="Z1600" i="3"/>
  <c r="R429" i="4" a="1"/>
  <c r="AQ151" i="4" a="1"/>
  <c r="P192" i="4" a="1"/>
  <c r="AO63" i="4" a="1"/>
  <c r="Y2267" i="3"/>
  <c r="U2171" i="3"/>
  <c r="Z2094" i="3"/>
  <c r="R202" i="4" a="1"/>
  <c r="Y2264" i="3"/>
  <c r="AA2172" i="3"/>
  <c r="AA2102" i="3"/>
  <c r="N23" i="4" a="1"/>
  <c r="U2187" i="3"/>
  <c r="Y2114" i="3"/>
  <c r="N251" i="4" a="1"/>
  <c r="Z2280" i="3"/>
  <c r="Y2210" i="3"/>
  <c r="Z2134" i="3"/>
  <c r="AA2053" i="3"/>
  <c r="U1935" i="3"/>
  <c r="U1860" i="3"/>
  <c r="Y1790" i="3"/>
  <c r="Y1718" i="3"/>
  <c r="Z1634" i="3"/>
  <c r="Y1550" i="3"/>
  <c r="Z1479" i="3"/>
  <c r="Y1999" i="3"/>
  <c r="Y1923" i="3"/>
  <c r="Z1850" i="3"/>
  <c r="AA1775" i="3"/>
  <c r="Z1709" i="3"/>
  <c r="U1623" i="3"/>
  <c r="U1583" i="3"/>
  <c r="U1565" i="3"/>
  <c r="Z1547" i="3"/>
  <c r="Z2061" i="3"/>
  <c r="Y2032" i="3"/>
  <c r="U2012" i="3"/>
  <c r="Y1996" i="3"/>
  <c r="U1976" i="3"/>
  <c r="Y1958" i="3"/>
  <c r="Y1942" i="3"/>
  <c r="U1923" i="3"/>
  <c r="Y1903" i="3"/>
  <c r="Y1884" i="3"/>
  <c r="AA1867" i="3"/>
  <c r="Z1849" i="3"/>
  <c r="Y1830" i="3"/>
  <c r="Z1810" i="3"/>
  <c r="Z1794" i="3"/>
  <c r="Y1776" i="3"/>
  <c r="Y1760" i="3"/>
  <c r="Y1744" i="3"/>
  <c r="Y1722" i="3"/>
  <c r="Y1690" i="3"/>
  <c r="U1674" i="3"/>
  <c r="Y1654" i="3"/>
  <c r="U1638" i="3"/>
  <c r="Y1621" i="3"/>
  <c r="Y1594" i="3"/>
  <c r="Y1574" i="3"/>
  <c r="U1553" i="3"/>
  <c r="U1536" i="3"/>
  <c r="Z1519" i="3"/>
  <c r="Y1502" i="3"/>
  <c r="AA1486" i="3"/>
  <c r="Z1469" i="3"/>
  <c r="Y2057" i="3"/>
  <c r="U2033" i="3"/>
  <c r="U2003" i="3"/>
  <c r="Z1985" i="3"/>
  <c r="U1966" i="3"/>
  <c r="U1950" i="3"/>
  <c r="Y1934" i="3"/>
  <c r="U1914" i="3"/>
  <c r="Z1896" i="3"/>
  <c r="Z1880" i="3"/>
  <c r="Z1862" i="3"/>
  <c r="U1843" i="3"/>
  <c r="Y1825" i="3"/>
  <c r="AA1808" i="3"/>
  <c r="Y1792" i="3"/>
  <c r="Z1774" i="3"/>
  <c r="Z1758" i="3"/>
  <c r="Z1742" i="3"/>
  <c r="Z1725" i="3"/>
  <c r="U1709" i="3"/>
  <c r="U1693" i="3"/>
  <c r="AA1677" i="3"/>
  <c r="U1655" i="3"/>
  <c r="AA1630" i="3"/>
  <c r="Z1613" i="3"/>
  <c r="U1555" i="3"/>
  <c r="Y1497" i="3"/>
  <c r="Y1464" i="3"/>
  <c r="U1448" i="3"/>
  <c r="U1429" i="3"/>
  <c r="AA1410" i="3"/>
  <c r="Y1384" i="3"/>
  <c r="Z1368" i="3"/>
  <c r="Z1351" i="3"/>
  <c r="AA1327" i="3"/>
  <c r="U1311" i="3"/>
  <c r="Z1294" i="3"/>
  <c r="Y1275" i="3"/>
  <c r="Z1258" i="3"/>
  <c r="Y1242" i="3"/>
  <c r="Y1226" i="3"/>
  <c r="Z1210" i="3"/>
  <c r="Z1190" i="3"/>
  <c r="Z1169" i="3"/>
  <c r="Z1153" i="3"/>
  <c r="U1135" i="3"/>
  <c r="AA1116" i="3"/>
  <c r="Y1098" i="3"/>
  <c r="U1080" i="3"/>
  <c r="Y1057" i="3"/>
  <c r="U1040" i="3"/>
  <c r="Z1024" i="3"/>
  <c r="U1008" i="3"/>
  <c r="AA991" i="3"/>
  <c r="Y974" i="3"/>
  <c r="U956" i="3"/>
  <c r="Z1575" i="3"/>
  <c r="U1528" i="3"/>
  <c r="Z1490" i="3"/>
  <c r="U1457" i="3"/>
  <c r="Y1441" i="3"/>
  <c r="AQ326" i="4" a="1"/>
  <c r="P70" i="4" a="1"/>
  <c r="AQ49" i="4" a="1"/>
  <c r="U2268" i="3"/>
  <c r="Y2223" i="3"/>
  <c r="U2141" i="3"/>
  <c r="Y2066" i="3"/>
  <c r="R65" i="4" a="1"/>
  <c r="U2234" i="3"/>
  <c r="Z2150" i="3"/>
  <c r="AQ271" i="4" a="1"/>
  <c r="Y2273" i="3"/>
  <c r="Y2165" i="3"/>
  <c r="Y2093" i="3"/>
  <c r="N112" i="4" a="1"/>
  <c r="AA2256" i="3"/>
  <c r="Z2183" i="3"/>
  <c r="Z2113" i="3"/>
  <c r="Y2009" i="3"/>
  <c r="U1913" i="3"/>
  <c r="AA1839" i="3"/>
  <c r="AA1768" i="3"/>
  <c r="Y1691" i="3"/>
  <c r="Y1611" i="3"/>
  <c r="Y1528" i="3"/>
  <c r="AA2044" i="3"/>
  <c r="Y1975" i="3"/>
  <c r="Z1899" i="3"/>
  <c r="Y1827" i="3"/>
  <c r="AA1755" i="3"/>
  <c r="Z1689" i="3"/>
  <c r="Z1603" i="3"/>
  <c r="Z1577" i="3"/>
  <c r="U1558" i="3"/>
  <c r="Y1541" i="3"/>
  <c r="Y2043" i="3"/>
  <c r="U2025" i="3"/>
  <c r="U2007" i="3"/>
  <c r="AA1990" i="3"/>
  <c r="U1971" i="3"/>
  <c r="Y1953" i="3"/>
  <c r="Z1937" i="3"/>
  <c r="U1915" i="3"/>
  <c r="Y1898" i="3"/>
  <c r="Y1878" i="3"/>
  <c r="Y1861" i="3"/>
  <c r="Y1843" i="3"/>
  <c r="Y1823" i="3"/>
  <c r="AA1805" i="3"/>
  <c r="Z1788" i="3"/>
  <c r="Z1771" i="3"/>
  <c r="Z1755" i="3"/>
  <c r="AA1737" i="3"/>
  <c r="AA1708" i="3"/>
  <c r="Z1685" i="3"/>
  <c r="Z1669" i="3"/>
  <c r="Y1649" i="3"/>
  <c r="U1633" i="3"/>
  <c r="AA1615" i="3"/>
  <c r="Y1588" i="3"/>
  <c r="Y1567" i="3"/>
  <c r="Y1547" i="3"/>
  <c r="U1531" i="3"/>
  <c r="AA1514" i="3"/>
  <c r="U1497" i="3"/>
  <c r="U1480" i="3"/>
  <c r="Z1464" i="3"/>
  <c r="Z2046" i="3"/>
  <c r="U2019" i="3"/>
  <c r="U1996" i="3"/>
  <c r="Y1980" i="3"/>
  <c r="U1961" i="3"/>
  <c r="U1945" i="3"/>
  <c r="Y1929" i="3"/>
  <c r="AA1908" i="3"/>
  <c r="U1891" i="3"/>
  <c r="AA1875" i="3"/>
  <c r="Z1857" i="3"/>
  <c r="Y1838" i="3"/>
  <c r="Z1820" i="3"/>
  <c r="U1803" i="3"/>
  <c r="Z1787" i="3"/>
  <c r="AA1769" i="3"/>
  <c r="AA1753" i="3"/>
  <c r="Z1737" i="3"/>
  <c r="Z1720" i="3"/>
  <c r="U1704" i="3"/>
  <c r="Y1688" i="3"/>
  <c r="Y1666" i="3"/>
  <c r="U1650" i="3"/>
  <c r="U1624" i="3"/>
  <c r="Z1608" i="3"/>
  <c r="Y1531" i="3"/>
  <c r="Z1485" i="3"/>
  <c r="U1459" i="3"/>
  <c r="Y1443" i="3"/>
  <c r="Y1423" i="3"/>
  <c r="Y1398" i="3"/>
  <c r="Z1379" i="3"/>
  <c r="Z1363" i="3"/>
  <c r="AA1346" i="3"/>
  <c r="U1322" i="3"/>
  <c r="AA1306" i="3"/>
  <c r="AA1289" i="3"/>
  <c r="AA1270" i="3"/>
  <c r="AA1253" i="3"/>
  <c r="Z1237" i="3"/>
  <c r="Z1221" i="3"/>
  <c r="U1205" i="3"/>
  <c r="AA1185" i="3"/>
  <c r="Z1164" i="3"/>
  <c r="AA1148" i="3"/>
  <c r="Y1129" i="3"/>
  <c r="U1110" i="3"/>
  <c r="Y1092" i="3"/>
  <c r="Y1068" i="3"/>
  <c r="Y1052" i="3"/>
  <c r="U1035" i="3"/>
  <c r="Z1019" i="3"/>
  <c r="U1003" i="3"/>
  <c r="U986" i="3"/>
  <c r="U967" i="3"/>
  <c r="Z950" i="3"/>
  <c r="Z1556" i="3"/>
  <c r="AQ297" i="4" a="1"/>
  <c r="AQ118" i="4" a="1"/>
  <c r="AQ130" i="4" a="1"/>
  <c r="P27" i="4" a="1"/>
  <c r="Y2249" i="3"/>
  <c r="AA2157" i="3"/>
  <c r="U2084" i="3"/>
  <c r="R139" i="4" a="1"/>
  <c r="Z2253" i="3"/>
  <c r="Z2162" i="3"/>
  <c r="Z2093" i="3"/>
  <c r="R6" i="4" a="1"/>
  <c r="Y2177" i="3"/>
  <c r="AA2105" i="3"/>
  <c r="N199" i="4" a="1"/>
  <c r="AA2268" i="3"/>
  <c r="Y2200" i="3"/>
  <c r="Z2125" i="3"/>
  <c r="Z2023" i="3"/>
  <c r="U1927" i="3"/>
  <c r="Z1852" i="3"/>
  <c r="Z1781" i="3"/>
  <c r="AA1710" i="3"/>
  <c r="Z1626" i="3"/>
  <c r="AA1540" i="3"/>
  <c r="U2069" i="3"/>
  <c r="U1990" i="3"/>
  <c r="Z1914" i="3"/>
  <c r="U1841" i="3"/>
  <c r="AA1767" i="3"/>
  <c r="Z1701" i="3"/>
  <c r="U1615" i="3"/>
  <c r="Z1581" i="3"/>
  <c r="Y1563" i="3"/>
  <c r="Y1545" i="3"/>
  <c r="U2054" i="3"/>
  <c r="Z2030" i="3"/>
  <c r="Z2010" i="3"/>
  <c r="Z1994" i="3"/>
  <c r="Y1974" i="3"/>
  <c r="Y1956" i="3"/>
  <c r="Y1940" i="3"/>
  <c r="U1921" i="3"/>
  <c r="AA1901" i="3"/>
  <c r="Z1882" i="3"/>
  <c r="Y1865" i="3"/>
  <c r="U1847" i="3"/>
  <c r="U1827" i="3"/>
  <c r="U1808" i="3"/>
  <c r="Z1792" i="3"/>
  <c r="AA1774" i="3"/>
  <c r="AA1758" i="3"/>
  <c r="AA1742" i="3"/>
  <c r="AA1720" i="3"/>
  <c r="Z1688" i="3"/>
  <c r="U1672" i="3"/>
  <c r="Y1652" i="3"/>
  <c r="U1636" i="3"/>
  <c r="AA1619" i="3"/>
  <c r="Y1592" i="3"/>
  <c r="Y1571" i="3"/>
  <c r="Z1551" i="3"/>
  <c r="U1534" i="3"/>
  <c r="Y1517" i="3"/>
  <c r="Y1500" i="3"/>
  <c r="Y1483" i="3"/>
  <c r="Z1467" i="3"/>
  <c r="Y2052" i="3"/>
  <c r="U2031" i="3"/>
  <c r="Y2001" i="3"/>
  <c r="Y1983" i="3"/>
  <c r="Z1964" i="3"/>
  <c r="U1948" i="3"/>
  <c r="Z1932" i="3"/>
  <c r="AA1912" i="3"/>
  <c r="U1894" i="3"/>
  <c r="U1878" i="3"/>
  <c r="Y1860" i="3"/>
  <c r="Z1841" i="3"/>
  <c r="U1823" i="3"/>
  <c r="Y1806" i="3"/>
  <c r="Z1790" i="3"/>
  <c r="U1772" i="3"/>
  <c r="U1756" i="3"/>
  <c r="Z1740" i="3"/>
  <c r="Z1723" i="3"/>
  <c r="Z1707" i="3"/>
  <c r="Z1691" i="3"/>
  <c r="Y1669" i="3"/>
  <c r="U1653" i="3"/>
  <c r="Y1627" i="3"/>
  <c r="Z1611" i="3"/>
  <c r="AA1538" i="3"/>
  <c r="Y1493" i="3"/>
  <c r="Z1462" i="3"/>
  <c r="Y1446" i="3"/>
  <c r="Y1427" i="3"/>
  <c r="Z1406" i="3"/>
  <c r="AA1382" i="3"/>
  <c r="AA1366" i="3"/>
  <c r="U1349" i="3"/>
  <c r="U1325" i="3"/>
  <c r="Y1309" i="3"/>
  <c r="U1292" i="3"/>
  <c r="Z1273" i="3"/>
  <c r="U1256" i="3"/>
  <c r="AA1240" i="3"/>
  <c r="AA1224" i="3"/>
  <c r="U1208" i="3"/>
  <c r="U1188" i="3"/>
  <c r="U1167" i="3"/>
  <c r="U1151" i="3"/>
  <c r="Z1133" i="3"/>
  <c r="Y1114" i="3"/>
  <c r="Y1095" i="3"/>
  <c r="Z1078" i="3"/>
  <c r="Z1055" i="3"/>
  <c r="Y1038" i="3"/>
  <c r="U1022" i="3"/>
  <c r="Z1006" i="3"/>
  <c r="Y989" i="3"/>
  <c r="U971" i="3"/>
  <c r="Y954" i="3"/>
  <c r="Z1569" i="3"/>
  <c r="Y1524" i="3"/>
  <c r="Z1486" i="3"/>
  <c r="U1455" i="3"/>
  <c r="Z1439" i="3"/>
  <c r="AA1420" i="3"/>
  <c r="Z1403" i="3"/>
  <c r="N86" i="4" a="1"/>
  <c r="AQ252" i="4" a="1"/>
  <c r="AQ31" i="4" a="1"/>
  <c r="N2" i="4" a="1"/>
  <c r="AA1962" i="3"/>
  <c r="Z1638" i="3"/>
  <c r="AA1929" i="3"/>
  <c r="AA1628" i="3"/>
  <c r="Z2062" i="3"/>
  <c r="AA1979" i="3"/>
  <c r="Z1905" i="3"/>
  <c r="U1831" i="3"/>
  <c r="U1761" i="3"/>
  <c r="U1675" i="3"/>
  <c r="Y1595" i="3"/>
  <c r="Z1520" i="3"/>
  <c r="Z2058" i="3"/>
  <c r="U1967" i="3"/>
  <c r="Z1897" i="3"/>
  <c r="Y1826" i="3"/>
  <c r="Y1759" i="3"/>
  <c r="U1694" i="3"/>
  <c r="Z1614" i="3"/>
  <c r="Z1449" i="3"/>
  <c r="Y1369" i="3"/>
  <c r="Y1295" i="3"/>
  <c r="U1227" i="3"/>
  <c r="Y1154" i="3"/>
  <c r="AA1081" i="3"/>
  <c r="Y1009" i="3"/>
  <c r="U1581" i="3"/>
  <c r="AA1481" i="3"/>
  <c r="Z1436" i="3"/>
  <c r="Y1411" i="3"/>
  <c r="U1392" i="3"/>
  <c r="U1376" i="3"/>
  <c r="U1360" i="3"/>
  <c r="Y1343" i="3"/>
  <c r="AA1326" i="3"/>
  <c r="U1304" i="3"/>
  <c r="AA1288" i="3"/>
  <c r="Y1272" i="3"/>
  <c r="AA1256" i="3"/>
  <c r="Z1236" i="3"/>
  <c r="Z1220" i="3"/>
  <c r="U1204" i="3"/>
  <c r="U1187" i="3"/>
  <c r="Y1169" i="3"/>
  <c r="AA1151" i="3"/>
  <c r="U1134" i="3"/>
  <c r="Y1117" i="3"/>
  <c r="Z1100" i="3"/>
  <c r="U1083" i="3"/>
  <c r="AA1066" i="3"/>
  <c r="P12" i="4" a="1"/>
  <c r="P98" i="4" a="1"/>
  <c r="Z2287" i="3"/>
  <c r="AA2264" i="3"/>
  <c r="Z1923" i="3"/>
  <c r="AA1621" i="3"/>
  <c r="Y1908" i="3"/>
  <c r="U1611" i="3"/>
  <c r="Z2045" i="3"/>
  <c r="Z1973" i="3"/>
  <c r="U1900" i="3"/>
  <c r="Z1826" i="3"/>
  <c r="U1757" i="3"/>
  <c r="U1671" i="3"/>
  <c r="Z1591" i="3"/>
  <c r="Y1516" i="3"/>
  <c r="Y2050" i="3"/>
  <c r="Z1963" i="3"/>
  <c r="Z1893" i="3"/>
  <c r="U1822" i="3"/>
  <c r="Y1755" i="3"/>
  <c r="U1690" i="3"/>
  <c r="Z1610" i="3"/>
  <c r="AA1445" i="3"/>
  <c r="U1365" i="3"/>
  <c r="Y1291" i="3"/>
  <c r="U1223" i="3"/>
  <c r="Y1150" i="3"/>
  <c r="AA1077" i="3"/>
  <c r="U1005" i="3"/>
  <c r="AA1564" i="3"/>
  <c r="Y1469" i="3"/>
  <c r="U1434" i="3"/>
  <c r="Z1410" i="3"/>
  <c r="U1391" i="3"/>
  <c r="Y1375" i="3"/>
  <c r="U1359" i="3"/>
  <c r="Z1342" i="3"/>
  <c r="Y1324" i="3"/>
  <c r="Y1303" i="3"/>
  <c r="U1287" i="3"/>
  <c r="Y1271" i="3"/>
  <c r="U1255" i="3"/>
  <c r="AA1235" i="3"/>
  <c r="AA1219" i="3"/>
  <c r="U1203" i="3"/>
  <c r="U1186" i="3"/>
  <c r="Y1168" i="3"/>
  <c r="U1150" i="3"/>
  <c r="Y1133" i="3"/>
  <c r="Z1116" i="3"/>
  <c r="U1098" i="3"/>
  <c r="Y1082" i="3"/>
  <c r="U1065" i="3"/>
  <c r="AA1049" i="3"/>
  <c r="AA1030" i="3"/>
  <c r="Y1012" i="3"/>
  <c r="AA1522" i="3"/>
  <c r="U1486" i="3"/>
  <c r="Z1459" i="3"/>
  <c r="U1433" i="3"/>
  <c r="Y1417" i="3"/>
  <c r="Y1400" i="3"/>
  <c r="Z1381" i="3"/>
  <c r="Y1362" i="3"/>
  <c r="Z1345" i="3"/>
  <c r="Z1329" i="3"/>
  <c r="Z1313" i="3"/>
  <c r="Z1296" i="3"/>
  <c r="Y1277" i="3"/>
  <c r="Y1261" i="3"/>
  <c r="Z1245" i="3"/>
  <c r="Y1228" i="3"/>
  <c r="Y1212" i="3"/>
  <c r="Y1195" i="3"/>
  <c r="Y1177" i="3"/>
  <c r="U1161" i="3"/>
  <c r="Y1144" i="3"/>
  <c r="AA1126" i="3"/>
  <c r="AA1106" i="3"/>
  <c r="Y1089" i="3"/>
  <c r="Y1067" i="3"/>
  <c r="Y1046" i="3"/>
  <c r="AA1029" i="3"/>
  <c r="Z1010" i="3"/>
  <c r="AA993" i="3"/>
  <c r="U973" i="3"/>
  <c r="U1601" i="3"/>
  <c r="Z1550" i="3"/>
  <c r="Y1510" i="3"/>
  <c r="Y1467" i="3"/>
  <c r="Y1444" i="3"/>
  <c r="AA1426" i="3"/>
  <c r="U1410" i="3"/>
  <c r="U1394" i="3"/>
  <c r="U1378" i="3"/>
  <c r="Y1361" i="3"/>
  <c r="Z1344" i="3"/>
  <c r="AA1328" i="3"/>
  <c r="Z1309" i="3"/>
  <c r="U1293" i="3"/>
  <c r="U1277" i="3"/>
  <c r="AA1258" i="3"/>
  <c r="Z1242" i="3"/>
  <c r="Z1226" i="3"/>
  <c r="AA1210" i="3"/>
  <c r="Y1194" i="3"/>
  <c r="U1176" i="3"/>
  <c r="AA1157" i="3"/>
  <c r="U1140" i="3"/>
  <c r="U1123" i="3"/>
  <c r="Y1104" i="3"/>
  <c r="Z1086" i="3"/>
  <c r="U1070" i="3"/>
  <c r="Y1053" i="3"/>
  <c r="U1036" i="3"/>
  <c r="AA1020" i="3"/>
  <c r="Y1003" i="3"/>
  <c r="Y985" i="3"/>
  <c r="Y988" i="3"/>
  <c r="Z946" i="3"/>
  <c r="U930" i="3"/>
  <c r="Z913" i="3"/>
  <c r="Z897" i="3"/>
  <c r="Z881" i="3"/>
  <c r="AA864" i="3"/>
  <c r="U845" i="3"/>
  <c r="N206" i="4" a="1"/>
  <c r="Z2208" i="3"/>
  <c r="Y2208" i="3"/>
  <c r="AA2155" i="3"/>
  <c r="Z2175" i="3"/>
  <c r="U1829" i="3"/>
  <c r="U1520" i="3"/>
  <c r="Z1818" i="3"/>
  <c r="Z1574" i="3"/>
  <c r="U2023" i="3"/>
  <c r="Y1951" i="3"/>
  <c r="AA1876" i="3"/>
  <c r="Y1803" i="3"/>
  <c r="Y1734" i="3"/>
  <c r="Y1647" i="3"/>
  <c r="AA1565" i="3"/>
  <c r="Z1495" i="3"/>
  <c r="Z2017" i="3"/>
  <c r="U1943" i="3"/>
  <c r="Y1873" i="3"/>
  <c r="AA1801" i="3"/>
  <c r="U1735" i="3"/>
  <c r="Y1664" i="3"/>
  <c r="U1527" i="3"/>
  <c r="AA1421" i="3"/>
  <c r="Y1344" i="3"/>
  <c r="Y1267" i="3"/>
  <c r="Y1203" i="3"/>
  <c r="Y1126" i="3"/>
  <c r="Z1050" i="3"/>
  <c r="Y984" i="3"/>
  <c r="Z1525" i="3"/>
  <c r="U1456" i="3"/>
  <c r="Z1425" i="3"/>
  <c r="Z1402" i="3"/>
  <c r="Z1386" i="3"/>
  <c r="U1370" i="3"/>
  <c r="Z1353" i="3"/>
  <c r="Z1337" i="3"/>
  <c r="Y1318" i="3"/>
  <c r="Y1298" i="3"/>
  <c r="U1282" i="3"/>
  <c r="Y1266" i="3"/>
  <c r="Y1249" i="3"/>
  <c r="U1230" i="3"/>
  <c r="U1214" i="3"/>
  <c r="Z1198" i="3"/>
  <c r="AA1180" i="3"/>
  <c r="Y1161" i="3"/>
  <c r="Z1144" i="3"/>
  <c r="Z1128" i="3"/>
  <c r="Z1111" i="3"/>
  <c r="AA1093" i="3"/>
  <c r="Z1077" i="3"/>
  <c r="Y1060" i="3"/>
  <c r="Y1043" i="3"/>
  <c r="Y1024" i="3"/>
  <c r="U1567" i="3"/>
  <c r="AA1506" i="3"/>
  <c r="Y1475" i="3"/>
  <c r="Y1445" i="3"/>
  <c r="Z1428" i="3"/>
  <c r="U1411" i="3"/>
  <c r="Y1394" i="3"/>
  <c r="AA1376" i="3"/>
  <c r="Z1356" i="3"/>
  <c r="AA1340" i="3"/>
  <c r="U1324" i="3"/>
  <c r="U1307" i="3"/>
  <c r="AA1291" i="3"/>
  <c r="U1272" i="3"/>
  <c r="Z1256" i="3"/>
  <c r="Z1239" i="3"/>
  <c r="Z1223" i="3"/>
  <c r="AA1207" i="3"/>
  <c r="U1190" i="3"/>
  <c r="Y1172" i="3"/>
  <c r="Y1156" i="3"/>
  <c r="AA1138" i="3"/>
  <c r="Z1119" i="3"/>
  <c r="U1101" i="3"/>
  <c r="AA1079" i="3"/>
  <c r="Z1058" i="3"/>
  <c r="Z1041" i="3"/>
  <c r="U1024" i="3"/>
  <c r="Z1005" i="3"/>
  <c r="U987" i="3"/>
  <c r="Z967" i="3"/>
  <c r="Z1590" i="3"/>
  <c r="U1530" i="3"/>
  <c r="U1500" i="3"/>
  <c r="Z1456" i="3"/>
  <c r="U1437" i="3"/>
  <c r="U1421" i="3"/>
  <c r="U1405" i="3"/>
  <c r="Y1389" i="3"/>
  <c r="Y1373" i="3"/>
  <c r="AA1355" i="3"/>
  <c r="AA1339" i="3"/>
  <c r="Y1322" i="3"/>
  <c r="Z1304" i="3"/>
  <c r="Y1288" i="3"/>
  <c r="U1269" i="3"/>
  <c r="U1253" i="3"/>
  <c r="AA1237" i="3"/>
  <c r="AA1221" i="3"/>
  <c r="Y1205" i="3"/>
  <c r="Z1187" i="3"/>
  <c r="Y1171" i="3"/>
  <c r="Y1151" i="3"/>
  <c r="Y1135" i="3"/>
  <c r="AA1117" i="3"/>
  <c r="Z1098" i="3"/>
  <c r="U1081" i="3"/>
  <c r="Z1065" i="3"/>
  <c r="AA1047" i="3"/>
  <c r="U1031" i="3"/>
  <c r="Z1015" i="3"/>
  <c r="Z998" i="3"/>
  <c r="Y980" i="3"/>
  <c r="Y960" i="3"/>
  <c r="AA941" i="3"/>
  <c r="Y924" i="3"/>
  <c r="AA908" i="3"/>
  <c r="AA892" i="3"/>
  <c r="AA876" i="3"/>
  <c r="U858" i="3"/>
  <c r="U831" i="3"/>
  <c r="AQ230" i="4" a="1"/>
  <c r="Z2191" i="3"/>
  <c r="U2192" i="3"/>
  <c r="U2139" i="3"/>
  <c r="Z2158" i="3"/>
  <c r="AA1811" i="3"/>
  <c r="U1501" i="3"/>
  <c r="Z1800" i="3"/>
  <c r="Z1570" i="3"/>
  <c r="Y2019" i="3"/>
  <c r="Y1947" i="3"/>
  <c r="Z1872" i="3"/>
  <c r="Y1799" i="3"/>
  <c r="Z1730" i="3"/>
  <c r="Y1643" i="3"/>
  <c r="Z1561" i="3"/>
  <c r="Y1491" i="3"/>
  <c r="Z2009" i="3"/>
  <c r="U1939" i="3"/>
  <c r="Z1867" i="3"/>
  <c r="AA1797" i="3"/>
  <c r="U1731" i="3"/>
  <c r="Z1660" i="3"/>
  <c r="U1515" i="3"/>
  <c r="Y1416" i="3"/>
  <c r="Y1340" i="3"/>
  <c r="Y1263" i="3"/>
  <c r="Z1199" i="3"/>
  <c r="U1799" i="3"/>
  <c r="Z1782" i="3"/>
  <c r="AA1765" i="3"/>
  <c r="AA1749" i="3"/>
  <c r="U1733" i="3"/>
  <c r="Z1716" i="3"/>
  <c r="Z1700" i="3"/>
  <c r="Y1684" i="3"/>
  <c r="Y1662" i="3"/>
  <c r="U1646" i="3"/>
  <c r="U1620" i="3"/>
  <c r="Z1586" i="3"/>
  <c r="AA1520" i="3"/>
  <c r="Y1478" i="3"/>
  <c r="Y1455" i="3"/>
  <c r="AA1439" i="3"/>
  <c r="Z1419" i="3"/>
  <c r="Y1391" i="3"/>
  <c r="Z1375" i="3"/>
  <c r="Y1359" i="3"/>
  <c r="AA1342" i="3"/>
  <c r="Z1318" i="3"/>
  <c r="AA1302" i="3"/>
  <c r="AA1285" i="3"/>
  <c r="AA1265" i="3"/>
  <c r="Z1249" i="3"/>
  <c r="Z1233" i="3"/>
  <c r="Z1217" i="3"/>
  <c r="U1201" i="3"/>
  <c r="AA1181" i="3"/>
  <c r="Z1160" i="3"/>
  <c r="AA1144" i="3"/>
  <c r="Z1124" i="3"/>
  <c r="Y1106" i="3"/>
  <c r="Y1087" i="3"/>
  <c r="Y1064" i="3"/>
  <c r="U1048" i="3"/>
  <c r="AA1031" i="3"/>
  <c r="Y1015" i="3"/>
  <c r="Y998" i="3"/>
  <c r="Z982" i="3"/>
  <c r="U963" i="3"/>
  <c r="U1598" i="3"/>
  <c r="Z1546" i="3"/>
  <c r="P268" i="4" a="1"/>
  <c r="N55" i="4" a="1"/>
  <c r="AQ33" i="4" a="1"/>
  <c r="U2252" i="3"/>
  <c r="U2215" i="3"/>
  <c r="U2137" i="3"/>
  <c r="Y2062" i="3"/>
  <c r="P56" i="4" a="1"/>
  <c r="Y2213" i="3"/>
  <c r="Y2146" i="3"/>
  <c r="AQ238" i="4" a="1"/>
  <c r="AA2229" i="3"/>
  <c r="Y2161" i="3"/>
  <c r="Z2089" i="3"/>
  <c r="N83" i="4" a="1"/>
  <c r="Z2250" i="3"/>
  <c r="Z2179" i="3"/>
  <c r="Z2109" i="3"/>
  <c r="U2002" i="3"/>
  <c r="U1909" i="3"/>
  <c r="AA1835" i="3"/>
  <c r="AA1764" i="3"/>
  <c r="U1686" i="3"/>
  <c r="Y1607" i="3"/>
  <c r="U1524" i="3"/>
  <c r="Z2040" i="3"/>
  <c r="AA1970" i="3"/>
  <c r="Z1895" i="3"/>
  <c r="Z1822" i="3"/>
  <c r="AA1751" i="3"/>
  <c r="Y1674" i="3"/>
  <c r="Z1599" i="3"/>
  <c r="U1575" i="3"/>
  <c r="U1557" i="3"/>
  <c r="Z1540" i="3"/>
  <c r="Z2042" i="3"/>
  <c r="U2024" i="3"/>
  <c r="Y2006" i="3"/>
  <c r="U1989" i="3"/>
  <c r="Z1970" i="3"/>
  <c r="Y1952" i="3"/>
  <c r="Z1936" i="3"/>
  <c r="Y1914" i="3"/>
  <c r="AA1897" i="3"/>
  <c r="Z1877" i="3"/>
  <c r="Z1860" i="3"/>
  <c r="Z1842" i="3"/>
  <c r="Y1822" i="3"/>
  <c r="U1804" i="3"/>
  <c r="AA1787" i="3"/>
  <c r="AA1770" i="3"/>
  <c r="AA1754" i="3"/>
  <c r="Y1735" i="3"/>
  <c r="Y1706" i="3"/>
  <c r="Z1684" i="3"/>
  <c r="Z1668" i="3"/>
  <c r="Y1648" i="3"/>
  <c r="Z1632" i="3"/>
  <c r="Y1604" i="3"/>
  <c r="Z1587" i="3"/>
  <c r="Y1566" i="3"/>
  <c r="AA1546" i="3"/>
  <c r="Y1530" i="3"/>
  <c r="U1512" i="3"/>
  <c r="U1496" i="3"/>
  <c r="U1479" i="3"/>
  <c r="U1463" i="3"/>
  <c r="U2045" i="3"/>
  <c r="U2018" i="3"/>
  <c r="Y1995" i="3"/>
  <c r="Z1979" i="3"/>
  <c r="U1960" i="3"/>
  <c r="U1944" i="3"/>
  <c r="Y1928" i="3"/>
  <c r="U1906" i="3"/>
  <c r="U1890" i="3"/>
  <c r="U1874" i="3"/>
  <c r="AA1856" i="3"/>
  <c r="Y1837" i="3"/>
  <c r="U1818" i="3"/>
  <c r="Y1802" i="3"/>
  <c r="AA1786" i="3"/>
  <c r="U1768" i="3"/>
  <c r="U1752" i="3"/>
  <c r="Z1736" i="3"/>
  <c r="Z1719" i="3"/>
  <c r="U1703" i="3"/>
  <c r="Y1687" i="3"/>
  <c r="Y1665" i="3"/>
  <c r="U1649" i="3"/>
  <c r="Z1623" i="3"/>
  <c r="Z1607" i="3"/>
  <c r="Z1528" i="3"/>
  <c r="Z1484" i="3"/>
  <c r="U1458" i="3"/>
  <c r="Z1442" i="3"/>
  <c r="Z1422" i="3"/>
  <c r="AA1397" i="3"/>
  <c r="AA1378" i="3"/>
  <c r="AA1362" i="3"/>
  <c r="U1345" i="3"/>
  <c r="U1321" i="3"/>
  <c r="U1305" i="3"/>
  <c r="U1288" i="3"/>
  <c r="U1268" i="3"/>
  <c r="U1252" i="3"/>
  <c r="AA1236" i="3"/>
  <c r="AA1220" i="3"/>
  <c r="Y1204" i="3"/>
  <c r="U1184" i="3"/>
  <c r="U1163" i="3"/>
  <c r="U1147" i="3"/>
  <c r="AA1128" i="3"/>
  <c r="Y1109" i="3"/>
  <c r="Z1091" i="3"/>
  <c r="AA1067" i="3"/>
  <c r="Z1051" i="3"/>
  <c r="Y1034" i="3"/>
  <c r="Z1018" i="3"/>
  <c r="Y1002" i="3"/>
  <c r="U985" i="3"/>
  <c r="Y966" i="3"/>
  <c r="U1604" i="3"/>
  <c r="AA1553" i="3"/>
  <c r="U1516" i="3"/>
  <c r="Y1474" i="3"/>
  <c r="U1451" i="3"/>
  <c r="U1435" i="3"/>
  <c r="U1416" i="3"/>
  <c r="AQ300" i="4" a="1"/>
  <c r="AA2286" i="3"/>
  <c r="U2271" i="3"/>
  <c r="U2191" i="3"/>
  <c r="Z2214" i="3"/>
  <c r="U1864" i="3"/>
  <c r="Y1554" i="3"/>
  <c r="Y1855" i="3"/>
  <c r="AA1584" i="3"/>
  <c r="Z2033" i="3"/>
  <c r="Y1959" i="3"/>
  <c r="Y1885" i="3"/>
  <c r="Y1811" i="3"/>
  <c r="U1745" i="3"/>
  <c r="Y1655" i="3"/>
  <c r="Z1576" i="3"/>
  <c r="U1503" i="3"/>
  <c r="Y2034" i="3"/>
  <c r="U1951" i="3"/>
  <c r="Y1881" i="3"/>
  <c r="Z1809" i="3"/>
  <c r="Y1743" i="3"/>
  <c r="Y1678" i="3"/>
  <c r="Y1560" i="3"/>
  <c r="U1430" i="3"/>
  <c r="Y1352" i="3"/>
  <c r="U1276" i="3"/>
  <c r="Y1211" i="3"/>
  <c r="AA1136" i="3"/>
  <c r="U1058" i="3"/>
  <c r="Y992" i="3"/>
  <c r="AA1533" i="3"/>
  <c r="Y1461" i="3"/>
  <c r="U1427" i="3"/>
  <c r="Z1405" i="3"/>
  <c r="U1388" i="3"/>
  <c r="U1372" i="3"/>
  <c r="Y1355" i="3"/>
  <c r="Y1339" i="3"/>
  <c r="Y1320" i="3"/>
  <c r="AA1300" i="3"/>
  <c r="Z1284" i="3"/>
  <c r="AA1268" i="3"/>
  <c r="AA1252" i="3"/>
  <c r="Z1232" i="3"/>
  <c r="Z1216" i="3"/>
  <c r="U1200" i="3"/>
  <c r="Y1182" i="3"/>
  <c r="Y1164" i="3"/>
  <c r="AA1147" i="3"/>
  <c r="U1130" i="3"/>
  <c r="U1113" i="3"/>
  <c r="U1095" i="3"/>
  <c r="U1079" i="3"/>
  <c r="N450" i="4" a="1"/>
  <c r="U2241" i="3"/>
  <c r="Y2248" i="3"/>
  <c r="Y2173" i="3"/>
  <c r="Y2196" i="3"/>
  <c r="Z1847" i="3"/>
  <c r="Z1536" i="3"/>
  <c r="U1836" i="3"/>
  <c r="Y1579" i="3"/>
  <c r="Z2029" i="3"/>
  <c r="Y1955" i="3"/>
  <c r="Z1881" i="3"/>
  <c r="Y1807" i="3"/>
  <c r="Y1739" i="3"/>
  <c r="Y1651" i="3"/>
  <c r="Y1570" i="3"/>
  <c r="Z1499" i="3"/>
  <c r="Y2030" i="3"/>
  <c r="U1947" i="3"/>
  <c r="Y1877" i="3"/>
  <c r="Z1805" i="3"/>
  <c r="U1739" i="3"/>
  <c r="Y1668" i="3"/>
  <c r="Y1535" i="3"/>
  <c r="Z1426" i="3"/>
  <c r="Y1348" i="3"/>
  <c r="Z1272" i="3"/>
  <c r="Y1207" i="3"/>
  <c r="AA1132" i="3"/>
  <c r="AA1054" i="3"/>
  <c r="Z988" i="3"/>
  <c r="AA1529" i="3"/>
  <c r="AA1459" i="3"/>
  <c r="Y1426" i="3"/>
  <c r="Z1404" i="3"/>
  <c r="Y1387" i="3"/>
  <c r="U1371" i="3"/>
  <c r="Z1354" i="3"/>
  <c r="Z1338" i="3"/>
  <c r="Y1319" i="3"/>
  <c r="U1299" i="3"/>
  <c r="Z1283" i="3"/>
  <c r="U1267" i="3"/>
  <c r="U1250" i="3"/>
  <c r="AA1231" i="3"/>
  <c r="AA1215" i="3"/>
  <c r="Y1199" i="3"/>
  <c r="Z1181" i="3"/>
  <c r="AA1163" i="3"/>
  <c r="Y1145" i="3"/>
  <c r="U1129" i="3"/>
  <c r="Y1112" i="3"/>
  <c r="Z1094" i="3"/>
  <c r="Y1078" i="3"/>
  <c r="U1061" i="3"/>
  <c r="U1044" i="3"/>
  <c r="AA1026" i="3"/>
  <c r="U1570" i="3"/>
  <c r="AA1510" i="3"/>
  <c r="Y1477" i="3"/>
  <c r="AA1447" i="3"/>
  <c r="Z1429" i="3"/>
  <c r="AA1412" i="3"/>
  <c r="Y1395" i="3"/>
  <c r="Z1377" i="3"/>
  <c r="Z1357" i="3"/>
  <c r="Z1341" i="3"/>
  <c r="Z1325" i="3"/>
  <c r="AA1309" i="3"/>
  <c r="Z1292" i="3"/>
  <c r="U1273" i="3"/>
  <c r="Y1257" i="3"/>
  <c r="Y1240" i="3"/>
  <c r="Y1224" i="3"/>
  <c r="Z1208" i="3"/>
  <c r="U1191" i="3"/>
  <c r="Y1173" i="3"/>
  <c r="U1157" i="3"/>
  <c r="Y1139" i="3"/>
  <c r="U1120" i="3"/>
  <c r="U1102" i="3"/>
  <c r="Z1080" i="3"/>
  <c r="U1059" i="3"/>
  <c r="Y1042" i="3"/>
  <c r="Z1025" i="3"/>
  <c r="U1006" i="3"/>
  <c r="U988" i="3"/>
  <c r="Y968" i="3"/>
  <c r="U1593" i="3"/>
  <c r="AA1531" i="3"/>
  <c r="U1502" i="3"/>
  <c r="Z1457" i="3"/>
  <c r="U1438" i="3"/>
  <c r="AA1422" i="3"/>
  <c r="AA1406" i="3"/>
  <c r="U1390" i="3"/>
  <c r="U1374" i="3"/>
  <c r="Y1356" i="3"/>
  <c r="Z1340" i="3"/>
  <c r="AA1324" i="3"/>
  <c r="Y1305" i="3"/>
  <c r="U1289" i="3"/>
  <c r="U1270" i="3"/>
  <c r="AA1254" i="3"/>
  <c r="Z1238" i="3"/>
  <c r="Z1222" i="3"/>
  <c r="AA1206" i="3"/>
  <c r="Y1188" i="3"/>
  <c r="U1172" i="3"/>
  <c r="AA1153" i="3"/>
  <c r="U1136" i="3"/>
  <c r="Z1118" i="3"/>
  <c r="Y1099" i="3"/>
  <c r="AA1082" i="3"/>
  <c r="Y1066" i="3"/>
  <c r="Y1048" i="3"/>
  <c r="AA1032" i="3"/>
  <c r="Y1016" i="3"/>
  <c r="U999" i="3"/>
  <c r="U981" i="3"/>
  <c r="Y961" i="3"/>
  <c r="Z942" i="3"/>
  <c r="U925" i="3"/>
  <c r="Z909" i="3"/>
  <c r="Z893" i="3"/>
  <c r="Z877" i="3"/>
  <c r="Z860" i="3"/>
  <c r="U832" i="3"/>
  <c r="N272" i="4" a="1"/>
  <c r="Y2133" i="3"/>
  <c r="AA2141" i="3"/>
  <c r="Z2085" i="3"/>
  <c r="Z2105" i="3"/>
  <c r="AA1760" i="3"/>
  <c r="Z2036" i="3"/>
  <c r="AA1747" i="3"/>
  <c r="U1556" i="3"/>
  <c r="Y2005" i="3"/>
  <c r="Z1935" i="3"/>
  <c r="Z1859" i="3"/>
  <c r="U1786" i="3"/>
  <c r="Y1705" i="3"/>
  <c r="Z1631" i="3"/>
  <c r="U1545" i="3"/>
  <c r="U1478" i="3"/>
  <c r="Y1994" i="3"/>
  <c r="Y1927" i="3"/>
  <c r="Y1854" i="3"/>
  <c r="U1784" i="3"/>
  <c r="Z1718" i="3"/>
  <c r="U1648" i="3"/>
  <c r="U1483" i="3"/>
  <c r="Y1393" i="3"/>
  <c r="Z1320" i="3"/>
  <c r="U1251" i="3"/>
  <c r="U1183" i="3"/>
  <c r="Z1108" i="3"/>
  <c r="Y1033" i="3"/>
  <c r="AA965" i="3"/>
  <c r="Y1508" i="3"/>
  <c r="AA1448" i="3"/>
  <c r="Y1419" i="3"/>
  <c r="U1398" i="3"/>
  <c r="Z1382" i="3"/>
  <c r="Z1366" i="3"/>
  <c r="AA1349" i="3"/>
  <c r="Z1333" i="3"/>
  <c r="AA1313" i="3"/>
  <c r="Y1294" i="3"/>
  <c r="Z1278" i="3"/>
  <c r="Y1262" i="3"/>
  <c r="U1242" i="3"/>
  <c r="U1226" i="3"/>
  <c r="Y1210" i="3"/>
  <c r="AA1194" i="3"/>
  <c r="Z1176" i="3"/>
  <c r="Y1157" i="3"/>
  <c r="Z1140" i="3"/>
  <c r="Y1124" i="3"/>
  <c r="U1106" i="3"/>
  <c r="Z1089" i="3"/>
  <c r="Z1073" i="3"/>
  <c r="U1056" i="3"/>
  <c r="Y1037" i="3"/>
  <c r="Y1020" i="3"/>
  <c r="Y1542" i="3"/>
  <c r="Y1499" i="3"/>
  <c r="U1469" i="3"/>
  <c r="U1441" i="3"/>
  <c r="Z1424" i="3"/>
  <c r="Z1407" i="3"/>
  <c r="AA1388" i="3"/>
  <c r="AA1372" i="3"/>
  <c r="AA1352" i="3"/>
  <c r="Y1336" i="3"/>
  <c r="U1320" i="3"/>
  <c r="U1303" i="3"/>
  <c r="AA1287" i="3"/>
  <c r="Z1268" i="3"/>
  <c r="Z1252" i="3"/>
  <c r="Z1235" i="3"/>
  <c r="Z1219" i="3"/>
  <c r="Y1202" i="3"/>
  <c r="Y1185" i="3"/>
  <c r="U1168" i="3"/>
  <c r="U1152" i="3"/>
  <c r="AA1134" i="3"/>
  <c r="Z1115" i="3"/>
  <c r="Y1096" i="3"/>
  <c r="Y1075" i="3"/>
  <c r="Z1053" i="3"/>
  <c r="U1037" i="3"/>
  <c r="U1018" i="3"/>
  <c r="Y1000" i="3"/>
  <c r="Y981" i="3"/>
  <c r="U962" i="3"/>
  <c r="U1577" i="3"/>
  <c r="Y1522" i="3"/>
  <c r="Z1488" i="3"/>
  <c r="Z1452" i="3"/>
  <c r="AA1433" i="3"/>
  <c r="U1417" i="3"/>
  <c r="U1401" i="3"/>
  <c r="Y1385" i="3"/>
  <c r="Z1369" i="3"/>
  <c r="AA1351" i="3"/>
  <c r="U1335" i="3"/>
  <c r="Y1316" i="3"/>
  <c r="Y1300" i="3"/>
  <c r="U1284" i="3"/>
  <c r="U1265" i="3"/>
  <c r="AA1249" i="3"/>
  <c r="AA1233" i="3"/>
  <c r="AA1217" i="3"/>
  <c r="Y1201" i="3"/>
  <c r="Y1183" i="3"/>
  <c r="Y1166" i="3"/>
  <c r="Y1147" i="3"/>
  <c r="U1131" i="3"/>
  <c r="Z1113" i="3"/>
  <c r="Y1093" i="3"/>
  <c r="U1077" i="3"/>
  <c r="Z1061" i="3"/>
  <c r="AA1043" i="3"/>
  <c r="U1027" i="3"/>
  <c r="U1011" i="3"/>
  <c r="Z993" i="3"/>
  <c r="Y975" i="3"/>
  <c r="U953" i="3"/>
  <c r="U937" i="3"/>
  <c r="AA920" i="3"/>
  <c r="AA904" i="3"/>
  <c r="AA888" i="3"/>
  <c r="AA872" i="3"/>
  <c r="Z853" i="3"/>
  <c r="Z827" i="3"/>
  <c r="P154" i="4" a="1"/>
  <c r="Y2116" i="3"/>
  <c r="AA2122" i="3"/>
  <c r="Y2069" i="3"/>
  <c r="Y1795" i="3"/>
  <c r="Z1777" i="3"/>
  <c r="AA1761" i="3"/>
  <c r="AA1745" i="3"/>
  <c r="AA1729" i="3"/>
  <c r="Z1712" i="3"/>
  <c r="Z1696" i="3"/>
  <c r="Y1680" i="3"/>
  <c r="Z1658" i="3"/>
  <c r="Z1642" i="3"/>
  <c r="U1616" i="3"/>
  <c r="U1571" i="3"/>
  <c r="AA1508" i="3"/>
  <c r="U1471" i="3"/>
  <c r="Y1451" i="3"/>
  <c r="AA1432" i="3"/>
  <c r="AA1414" i="3"/>
  <c r="Z1387" i="3"/>
  <c r="Y1371" i="3"/>
  <c r="Z1355" i="3"/>
  <c r="AA1338" i="3"/>
  <c r="AA1314" i="3"/>
  <c r="AA1297" i="3"/>
  <c r="Z1279" i="3"/>
  <c r="AA1261" i="3"/>
  <c r="U1245" i="3"/>
  <c r="Z1229" i="3"/>
  <c r="Z1213" i="3"/>
  <c r="U1193" i="3"/>
  <c r="AA1177" i="3"/>
  <c r="AA1156" i="3"/>
  <c r="Y1138" i="3"/>
  <c r="U1119" i="3"/>
  <c r="Z1102" i="3"/>
  <c r="Y1083" i="3"/>
  <c r="Z1060" i="3"/>
  <c r="Z1043" i="3"/>
  <c r="AA1027" i="3"/>
  <c r="AA1011" i="3"/>
  <c r="Y994" i="3"/>
  <c r="Z978" i="3"/>
  <c r="U959" i="3"/>
  <c r="Y1587" i="3"/>
  <c r="R727" i="4" a="1"/>
  <c r="AQ258" i="4" a="1"/>
  <c r="P185" i="4" a="1"/>
  <c r="N239" i="4" a="1"/>
  <c r="N93" i="4" a="1"/>
  <c r="Y2195" i="3"/>
  <c r="Y2121" i="3"/>
  <c r="AA2043" i="3"/>
  <c r="P21" i="4" a="1"/>
  <c r="AA2196" i="3"/>
  <c r="AA2126" i="3"/>
  <c r="R89" i="4" a="1"/>
  <c r="Z2211" i="3"/>
  <c r="U2143" i="3"/>
  <c r="Y2073" i="3"/>
  <c r="R38" i="4" a="1"/>
  <c r="AA2234" i="3"/>
  <c r="U2162" i="3"/>
  <c r="U2093" i="3"/>
  <c r="Y1985" i="3"/>
  <c r="Y1888" i="3"/>
  <c r="AA1815" i="3"/>
  <c r="AA1748" i="3"/>
  <c r="U1670" i="3"/>
  <c r="Z1578" i="3"/>
  <c r="U1506" i="3"/>
  <c r="Y2024" i="3"/>
  <c r="Z1954" i="3"/>
  <c r="Z1878" i="3"/>
  <c r="U1805" i="3"/>
  <c r="Z1735" i="3"/>
  <c r="Z1649" i="3"/>
  <c r="Y1589" i="3"/>
  <c r="Z1571" i="3"/>
  <c r="Y1553" i="3"/>
  <c r="Y1536" i="3"/>
  <c r="Z2038" i="3"/>
  <c r="U2020" i="3"/>
  <c r="Z2002" i="3"/>
  <c r="Y1984" i="3"/>
  <c r="Y1965" i="3"/>
  <c r="Y1948" i="3"/>
  <c r="Y1930" i="3"/>
  <c r="Z1910" i="3"/>
  <c r="Y1891" i="3"/>
  <c r="Z1873" i="3"/>
  <c r="U1855" i="3"/>
  <c r="Z1838" i="3"/>
  <c r="Z1817" i="3"/>
  <c r="Y1800" i="3"/>
  <c r="Y1783" i="3"/>
  <c r="AA1766" i="3"/>
  <c r="AA1750" i="3"/>
  <c r="Y1731" i="3"/>
  <c r="Y1702" i="3"/>
  <c r="Z1680" i="3"/>
  <c r="Z1664" i="3"/>
  <c r="Y1644" i="3"/>
  <c r="Z1628" i="3"/>
  <c r="Y1600" i="3"/>
  <c r="Y1581" i="3"/>
  <c r="U1562" i="3"/>
  <c r="Z1542" i="3"/>
  <c r="Y1525" i="3"/>
  <c r="U1508" i="3"/>
  <c r="Y1492" i="3"/>
  <c r="U1475" i="3"/>
  <c r="U2067" i="3"/>
  <c r="U2041" i="3"/>
  <c r="Y2010" i="3"/>
  <c r="Y1991" i="3"/>
  <c r="Y1973" i="3"/>
  <c r="U1956" i="3"/>
  <c r="U1940" i="3"/>
  <c r="AA1924" i="3"/>
  <c r="U1902" i="3"/>
  <c r="U1886" i="3"/>
  <c r="Y1868" i="3"/>
  <c r="U1850" i="3"/>
  <c r="Z1833" i="3"/>
  <c r="Y1814" i="3"/>
  <c r="Y1798" i="3"/>
  <c r="AA1781" i="3"/>
  <c r="U1764" i="3"/>
  <c r="U1748" i="3"/>
  <c r="U1732" i="3"/>
  <c r="Z1715" i="3"/>
  <c r="Z1699" i="3"/>
  <c r="Y1683" i="3"/>
  <c r="Y1661" i="3"/>
  <c r="U1645" i="3"/>
  <c r="Z1619" i="3"/>
  <c r="Z1583" i="3"/>
  <c r="Z1516" i="3"/>
  <c r="Y1476" i="3"/>
  <c r="Y1454" i="3"/>
  <c r="Y1435" i="3"/>
  <c r="AA1418" i="3"/>
  <c r="AA1390" i="3"/>
  <c r="AA1374" i="3"/>
  <c r="Z1358" i="3"/>
  <c r="U1341" i="3"/>
  <c r="U1317" i="3"/>
  <c r="U1300" i="3"/>
  <c r="Y1282" i="3"/>
  <c r="U1264" i="3"/>
  <c r="AA1248" i="3"/>
  <c r="AA1232" i="3"/>
  <c r="AA1216" i="3"/>
  <c r="Y1200" i="3"/>
  <c r="U1180" i="3"/>
  <c r="U1159" i="3"/>
  <c r="Y1142" i="3"/>
  <c r="U1122" i="3"/>
  <c r="AA1105" i="3"/>
  <c r="Y1086" i="3"/>
  <c r="Y1063" i="3"/>
  <c r="Z1047" i="3"/>
  <c r="U1030" i="3"/>
  <c r="Y1014" i="3"/>
  <c r="Z997" i="3"/>
  <c r="AA981" i="3"/>
  <c r="Z962" i="3"/>
  <c r="U1596" i="3"/>
  <c r="U1544" i="3"/>
  <c r="Y1505" i="3"/>
  <c r="U1464" i="3"/>
  <c r="U1447" i="3"/>
  <c r="AA1431" i="3"/>
  <c r="U1412" i="3"/>
  <c r="P168" i="4" a="1"/>
  <c r="Y2175" i="3"/>
  <c r="AA2176" i="3"/>
  <c r="Y2119" i="3"/>
  <c r="AA2139" i="3"/>
  <c r="U1794" i="3"/>
  <c r="AA1484" i="3"/>
  <c r="Z1779" i="3"/>
  <c r="Z1566" i="3"/>
  <c r="U2013" i="3"/>
  <c r="Y1943" i="3"/>
  <c r="Z1868" i="3"/>
  <c r="Z1795" i="3"/>
  <c r="Z1726" i="3"/>
  <c r="U1639" i="3"/>
  <c r="AA1554" i="3"/>
  <c r="Z1487" i="3"/>
  <c r="U2004" i="3"/>
  <c r="Y1935" i="3"/>
  <c r="Z1863" i="3"/>
  <c r="Y1793" i="3"/>
  <c r="Y1726" i="3"/>
  <c r="Z1656" i="3"/>
  <c r="Z1498" i="3"/>
  <c r="Z1411" i="3"/>
  <c r="Z1328" i="3"/>
  <c r="Y1259" i="3"/>
  <c r="Z1191" i="3"/>
  <c r="Z1117" i="3"/>
  <c r="U1041" i="3"/>
  <c r="U975" i="3"/>
  <c r="Z1517" i="3"/>
  <c r="U1452" i="3"/>
  <c r="Y1422" i="3"/>
  <c r="Z1400" i="3"/>
  <c r="U1384" i="3"/>
  <c r="Y1368" i="3"/>
  <c r="Y1351" i="3"/>
  <c r="Z1335" i="3"/>
  <c r="Y1315" i="3"/>
  <c r="AA1296" i="3"/>
  <c r="U1280" i="3"/>
  <c r="AA1264" i="3"/>
  <c r="AA1247" i="3"/>
  <c r="Z1228" i="3"/>
  <c r="Z1212" i="3"/>
  <c r="Z1196" i="3"/>
  <c r="U1178" i="3"/>
  <c r="AA1159" i="3"/>
  <c r="U1142" i="3"/>
  <c r="U1126" i="3"/>
  <c r="Y1108" i="3"/>
  <c r="Y1091" i="3"/>
  <c r="Z1075" i="3"/>
  <c r="P103" i="4" a="1"/>
  <c r="Y2149" i="3"/>
  <c r="U2158" i="3"/>
  <c r="AA2101" i="3"/>
  <c r="Z2121" i="3"/>
  <c r="AA1776" i="3"/>
  <c r="U2059" i="3"/>
  <c r="AA1763" i="3"/>
  <c r="Y1562" i="3"/>
  <c r="AA2009" i="3"/>
  <c r="Y1939" i="3"/>
  <c r="Z1864" i="3"/>
  <c r="Z1791" i="3"/>
  <c r="Y1710" i="3"/>
  <c r="U1635" i="3"/>
  <c r="AA1550" i="3"/>
  <c r="Z1482" i="3"/>
  <c r="Z2000" i="3"/>
  <c r="Z1931" i="3"/>
  <c r="Y1859" i="3"/>
  <c r="U1789" i="3"/>
  <c r="U1722" i="3"/>
  <c r="U1652" i="3"/>
  <c r="AA1489" i="3"/>
  <c r="AA1405" i="3"/>
  <c r="Z1324" i="3"/>
  <c r="Y1255" i="3"/>
  <c r="Y1187" i="3"/>
  <c r="Y1113" i="3"/>
  <c r="Z1037" i="3"/>
  <c r="Y970" i="3"/>
  <c r="Y1512" i="3"/>
  <c r="U1450" i="3"/>
  <c r="Z1421" i="3"/>
  <c r="U1399" i="3"/>
  <c r="Y1383" i="3"/>
  <c r="Y1367" i="3"/>
  <c r="Z1350" i="3"/>
  <c r="Z1334" i="3"/>
  <c r="Z1314" i="3"/>
  <c r="U1295" i="3"/>
  <c r="Y1279" i="3"/>
  <c r="U1263" i="3"/>
  <c r="U1243" i="3"/>
  <c r="AA1227" i="3"/>
  <c r="U1211" i="3"/>
  <c r="Z1195" i="3"/>
  <c r="Z1177" i="3"/>
  <c r="U1158" i="3"/>
  <c r="U1141" i="3"/>
  <c r="U1125" i="3"/>
  <c r="AA1107" i="3"/>
  <c r="Z1090" i="3"/>
  <c r="Z1074" i="3"/>
  <c r="U1057" i="3"/>
  <c r="U1038" i="3"/>
  <c r="U1021" i="3"/>
  <c r="U1547" i="3"/>
  <c r="Z1500" i="3"/>
  <c r="Y1470" i="3"/>
  <c r="U1442" i="3"/>
  <c r="Y1425" i="3"/>
  <c r="Y1408" i="3"/>
  <c r="Z1389" i="3"/>
  <c r="Z1373" i="3"/>
  <c r="Y1353" i="3"/>
  <c r="Y1337" i="3"/>
  <c r="Z1321" i="3"/>
  <c r="AA1304" i="3"/>
  <c r="Z1288" i="3"/>
  <c r="Y1269" i="3"/>
  <c r="Y1253" i="3"/>
  <c r="Y1236" i="3"/>
  <c r="Y1220" i="3"/>
  <c r="AA1204" i="3"/>
  <c r="AA1187" i="3"/>
  <c r="U1169" i="3"/>
  <c r="U1153" i="3"/>
  <c r="Z1135" i="3"/>
  <c r="Y1116" i="3"/>
  <c r="U1097" i="3"/>
  <c r="Y1076" i="3"/>
  <c r="Y1054" i="3"/>
  <c r="AA1038" i="3"/>
  <c r="AA1021" i="3"/>
  <c r="AA1002" i="3"/>
  <c r="U982" i="3"/>
  <c r="Z963" i="3"/>
  <c r="AA1579" i="3"/>
  <c r="Y1523" i="3"/>
  <c r="U1492" i="3"/>
  <c r="Z1453" i="3"/>
  <c r="Z1434" i="3"/>
  <c r="U1418" i="3"/>
  <c r="U1402" i="3"/>
  <c r="U1386" i="3"/>
  <c r="Z1370" i="3"/>
  <c r="Z1352" i="3"/>
  <c r="U1336" i="3"/>
  <c r="Y1317" i="3"/>
  <c r="U1301" i="3"/>
  <c r="U1285" i="3"/>
  <c r="AA1266" i="3"/>
  <c r="Z1250" i="3"/>
  <c r="Z1234" i="3"/>
  <c r="Z1218" i="3"/>
  <c r="U1202" i="3"/>
  <c r="Y1184" i="3"/>
  <c r="Y1167" i="3"/>
  <c r="U1148" i="3"/>
  <c r="U1132" i="3"/>
  <c r="Z1114" i="3"/>
  <c r="U1094" i="3"/>
  <c r="AA1078" i="3"/>
  <c r="Z1062" i="3"/>
  <c r="Z1044" i="3"/>
  <c r="AA1028" i="3"/>
  <c r="AA1012" i="3"/>
  <c r="Z994" i="3"/>
  <c r="U976" i="3"/>
  <c r="U954" i="3"/>
  <c r="Z938" i="3"/>
  <c r="Z921" i="3"/>
  <c r="Z905" i="3"/>
  <c r="Z889" i="3"/>
  <c r="Z873" i="3"/>
  <c r="Y854" i="3"/>
  <c r="Y828" i="3"/>
  <c r="P18" i="4" a="1"/>
  <c r="U2055" i="3"/>
  <c r="R213" i="4" a="1"/>
  <c r="N67" i="4" a="1"/>
  <c r="Z1998" i="3"/>
  <c r="U1682" i="3"/>
  <c r="Z1966" i="3"/>
  <c r="AA1670" i="3"/>
  <c r="AA1539" i="3"/>
  <c r="Y1988" i="3"/>
  <c r="Z1913" i="3"/>
  <c r="AA1841" i="3"/>
  <c r="U1769" i="3"/>
  <c r="Z1683" i="3"/>
  <c r="Y1603" i="3"/>
  <c r="Z1529" i="3"/>
  <c r="U2073" i="3"/>
  <c r="Z1978" i="3"/>
  <c r="Y1905" i="3"/>
  <c r="Z1836" i="3"/>
  <c r="Y1767" i="3"/>
  <c r="U1702" i="3"/>
  <c r="Z1622" i="3"/>
  <c r="Y1457" i="3"/>
  <c r="U1377" i="3"/>
  <c r="Y1304" i="3"/>
  <c r="U1235" i="3"/>
  <c r="U1162" i="3"/>
  <c r="AA1090" i="3"/>
  <c r="AA1017" i="3"/>
  <c r="U1602" i="3"/>
  <c r="Y1489" i="3"/>
  <c r="Y1440" i="3"/>
  <c r="Z1414" i="3"/>
  <c r="Z1394" i="3"/>
  <c r="Z1378" i="3"/>
  <c r="Z1362" i="3"/>
  <c r="AA1345" i="3"/>
  <c r="Y1328" i="3"/>
  <c r="Z1306" i="3"/>
  <c r="Y1290" i="3"/>
  <c r="Y1274" i="3"/>
  <c r="Y1258" i="3"/>
  <c r="U1238" i="3"/>
  <c r="U1222" i="3"/>
  <c r="Y1206" i="3"/>
  <c r="Y1189" i="3"/>
  <c r="Z1172" i="3"/>
  <c r="Y1153" i="3"/>
  <c r="Z1136" i="3"/>
  <c r="AA1119" i="3"/>
  <c r="Y1102" i="3"/>
  <c r="U1085" i="3"/>
  <c r="U1068" i="3"/>
  <c r="U1052" i="3"/>
  <c r="U1033" i="3"/>
  <c r="AA1016" i="3"/>
  <c r="Y1529" i="3"/>
  <c r="U1491" i="3"/>
  <c r="U1462" i="3"/>
  <c r="Y1437" i="3"/>
  <c r="Z1420" i="3"/>
  <c r="Y1403" i="3"/>
  <c r="AA1384" i="3"/>
  <c r="Z1365" i="3"/>
  <c r="AA1348" i="3"/>
  <c r="Y1332" i="3"/>
  <c r="Z1316" i="3"/>
  <c r="AA1299" i="3"/>
  <c r="AA1282" i="3"/>
  <c r="Z1264" i="3"/>
  <c r="Y1248" i="3"/>
  <c r="Z1231" i="3"/>
  <c r="Z1215" i="3"/>
  <c r="Y1198" i="3"/>
  <c r="Y1181" i="3"/>
  <c r="U1164" i="3"/>
  <c r="Z1147" i="3"/>
  <c r="AA1130" i="3"/>
  <c r="Z1110" i="3"/>
  <c r="AA1092" i="3"/>
  <c r="Y1071" i="3"/>
  <c r="Z1049" i="3"/>
  <c r="U1032" i="3"/>
  <c r="AA1014" i="3"/>
  <c r="U996" i="3"/>
  <c r="U977" i="3"/>
  <c r="U957" i="3"/>
  <c r="Z1557" i="3"/>
  <c r="Z1514" i="3"/>
  <c r="Y1472" i="3"/>
  <c r="Z1447" i="3"/>
  <c r="Y1429" i="3"/>
  <c r="U1413" i="3"/>
  <c r="U1397" i="3"/>
  <c r="Y1381" i="3"/>
  <c r="Z1364" i="3"/>
  <c r="AA1347" i="3"/>
  <c r="U1331" i="3"/>
  <c r="Y1312" i="3"/>
  <c r="Y1296" i="3"/>
  <c r="Z1280" i="3"/>
  <c r="U1261" i="3"/>
  <c r="Y1245" i="3"/>
  <c r="AA1229" i="3"/>
  <c r="AA1213" i="3"/>
  <c r="U1197" i="3"/>
  <c r="Z1179" i="3"/>
  <c r="AA1161" i="3"/>
  <c r="U1143" i="3"/>
  <c r="U1127" i="3"/>
  <c r="Y1107" i="3"/>
  <c r="U1089" i="3"/>
  <c r="U1073" i="3"/>
  <c r="Z1056" i="3"/>
  <c r="Y1039" i="3"/>
  <c r="U1023" i="3"/>
  <c r="AA1007" i="3"/>
  <c r="Z989" i="3"/>
  <c r="Y1007" i="3"/>
  <c r="AA949" i="3"/>
  <c r="Y933" i="3"/>
  <c r="Z916" i="3"/>
  <c r="AA900" i="3"/>
  <c r="AA884" i="3"/>
  <c r="Z868" i="3"/>
  <c r="Y848" i="3"/>
  <c r="Z819" i="3"/>
  <c r="P208" i="4" a="1"/>
  <c r="AA2039" i="3"/>
  <c r="AQ71" i="4" a="1"/>
  <c r="R31" i="4" a="1"/>
  <c r="U1981" i="3"/>
  <c r="U1666" i="3"/>
  <c r="Z1950" i="3"/>
  <c r="Z1645" i="3"/>
  <c r="U2070" i="3"/>
  <c r="Z1983" i="3"/>
  <c r="Z1909" i="3"/>
  <c r="Z1837" i="3"/>
  <c r="U1765" i="3"/>
  <c r="Z1679" i="3"/>
  <c r="Y1599" i="3"/>
  <c r="Z1524" i="3"/>
  <c r="U2066" i="3"/>
  <c r="AA1972" i="3"/>
  <c r="Z1901" i="3"/>
  <c r="Z1832" i="3"/>
  <c r="Y1763" i="3"/>
  <c r="Z1698" i="3"/>
  <c r="Z1618" i="3"/>
  <c r="Y1453" i="3"/>
  <c r="U1373" i="3"/>
  <c r="Y1299" i="3"/>
  <c r="U1231" i="3"/>
  <c r="Y1158" i="3"/>
  <c r="Y1791" i="3"/>
  <c r="AA1773" i="3"/>
  <c r="AA1757" i="3"/>
  <c r="Z1741" i="3"/>
  <c r="Z1724" i="3"/>
  <c r="Z1708" i="3"/>
  <c r="Z1692" i="3"/>
  <c r="Y1670" i="3"/>
  <c r="U1654" i="3"/>
  <c r="Y1628" i="3"/>
  <c r="Z1612" i="3"/>
  <c r="U1548" i="3"/>
  <c r="Y1494" i="3"/>
  <c r="AA1463" i="3"/>
  <c r="Y1447" i="3"/>
  <c r="U1428" i="3"/>
  <c r="U1407" i="3"/>
  <c r="Z1383" i="3"/>
  <c r="Z1367" i="3"/>
  <c r="AA1350" i="3"/>
  <c r="U1326" i="3"/>
  <c r="U1310" i="3"/>
  <c r="AA1293" i="3"/>
  <c r="Z1274" i="3"/>
  <c r="AA1257" i="3"/>
  <c r="Z1241" i="3"/>
  <c r="Z1225" i="3"/>
  <c r="AA1209" i="3"/>
  <c r="Z1189" i="3"/>
  <c r="Z1168" i="3"/>
  <c r="Z1152" i="3"/>
  <c r="Y1134" i="3"/>
  <c r="U1115" i="3"/>
  <c r="Z1097" i="3"/>
  <c r="Y1079" i="3"/>
  <c r="Y1056" i="3"/>
  <c r="U1039" i="3"/>
  <c r="AA1023" i="3"/>
  <c r="Z1007" i="3"/>
  <c r="U990" i="3"/>
  <c r="Z973" i="3"/>
  <c r="Y955" i="3"/>
  <c r="Z1572" i="3"/>
  <c r="N425" i="4" a="1"/>
  <c r="P184" i="4" a="1"/>
  <c r="R259" i="4" a="1"/>
  <c r="P112" i="4" a="1"/>
  <c r="AQ12" i="4" a="1"/>
  <c r="Y2179" i="3"/>
  <c r="AA2103" i="3"/>
  <c r="Y2027" i="3"/>
  <c r="Y2275" i="3"/>
  <c r="U2180" i="3"/>
  <c r="AA2110" i="3"/>
  <c r="AQ38" i="4" a="1"/>
  <c r="AA2195" i="3"/>
  <c r="U2124" i="3"/>
  <c r="U2053" i="3"/>
  <c r="N10" i="4" a="1"/>
  <c r="AA2218" i="3"/>
  <c r="Y2144" i="3"/>
  <c r="Y2077" i="3"/>
  <c r="Y1968" i="3"/>
  <c r="U1868" i="3"/>
  <c r="U1798" i="3"/>
  <c r="U1727" i="3"/>
  <c r="Y1642" i="3"/>
  <c r="Y1558" i="3"/>
  <c r="AA1488" i="3"/>
  <c r="Y2008" i="3"/>
  <c r="U1933" i="3"/>
  <c r="Z1861" i="3"/>
  <c r="Z1783" i="3"/>
  <c r="U1717" i="3"/>
  <c r="Y1633" i="3"/>
  <c r="Z1585" i="3"/>
  <c r="Z1567" i="3"/>
  <c r="U1549" i="3"/>
  <c r="U2065" i="3"/>
  <c r="Z2034" i="3"/>
  <c r="U2014" i="3"/>
  <c r="U1998" i="3"/>
  <c r="Z1980" i="3"/>
  <c r="Y1960" i="3"/>
  <c r="Y1944" i="3"/>
  <c r="AA1926" i="3"/>
  <c r="Y1906" i="3"/>
  <c r="Y1886" i="3"/>
  <c r="U1869" i="3"/>
  <c r="U1851" i="3"/>
  <c r="AA1833" i="3"/>
  <c r="AA1813" i="3"/>
  <c r="Y1796" i="3"/>
  <c r="Y1779" i="3"/>
  <c r="AA1762" i="3"/>
  <c r="AA1746" i="3"/>
  <c r="Z1727" i="3"/>
  <c r="Y1693" i="3"/>
  <c r="U1676" i="3"/>
  <c r="AA1660" i="3"/>
  <c r="U1640" i="3"/>
  <c r="Y1624" i="3"/>
  <c r="Y1596" i="3"/>
  <c r="Y1577" i="3"/>
  <c r="Y1555" i="3"/>
  <c r="U1538" i="3"/>
  <c r="U1521" i="3"/>
  <c r="U1504" i="3"/>
  <c r="Y1488" i="3"/>
  <c r="Z1471" i="3"/>
  <c r="U2061" i="3"/>
  <c r="U2035" i="3"/>
  <c r="U2005" i="3"/>
  <c r="U1987" i="3"/>
  <c r="Z1968" i="3"/>
  <c r="U1952" i="3"/>
  <c r="Y1936" i="3"/>
  <c r="Z1917" i="3"/>
  <c r="U1898" i="3"/>
  <c r="Y1882" i="3"/>
  <c r="Y1864" i="3"/>
  <c r="Z1845" i="3"/>
  <c r="Z1828" i="3"/>
  <c r="Y1810" i="3"/>
  <c r="Y1794" i="3"/>
  <c r="U1776" i="3"/>
  <c r="U1760" i="3"/>
  <c r="U1744" i="3"/>
  <c r="Y1727" i="3"/>
  <c r="Z1711" i="3"/>
  <c r="Z1695" i="3"/>
  <c r="Y1679" i="3"/>
  <c r="Z1657" i="3"/>
  <c r="Y1632" i="3"/>
  <c r="Z1615" i="3"/>
  <c r="U1566" i="3"/>
  <c r="AA1504" i="3"/>
  <c r="Y1468" i="3"/>
  <c r="Y1450" i="3"/>
  <c r="U1431" i="3"/>
  <c r="Y1412" i="3"/>
  <c r="AA1386" i="3"/>
  <c r="Y1370" i="3"/>
  <c r="AA1354" i="3"/>
  <c r="U1329" i="3"/>
  <c r="U1313" i="3"/>
  <c r="U1296" i="3"/>
  <c r="AA1278" i="3"/>
  <c r="U1260" i="3"/>
  <c r="U1244" i="3"/>
  <c r="AA1228" i="3"/>
  <c r="AA1212" i="3"/>
  <c r="Y1192" i="3"/>
  <c r="U1171" i="3"/>
  <c r="U1155" i="3"/>
  <c r="Z1137" i="3"/>
  <c r="Y1118" i="3"/>
  <c r="Z1101" i="3"/>
  <c r="Z1082" i="3"/>
  <c r="Z1059" i="3"/>
  <c r="AA1042" i="3"/>
  <c r="U1026" i="3"/>
  <c r="U1010" i="3"/>
  <c r="Y993" i="3"/>
  <c r="Z977" i="3"/>
  <c r="Y958" i="3"/>
  <c r="Y1584" i="3"/>
  <c r="U1532" i="3"/>
  <c r="AA1495" i="3"/>
  <c r="Y1460" i="3"/>
  <c r="U1443" i="3"/>
  <c r="AA1424" i="3"/>
  <c r="Z1408" i="3"/>
  <c r="R230" i="4" a="1"/>
  <c r="AA2099" i="3"/>
  <c r="AA2106" i="3"/>
  <c r="U2049" i="3"/>
  <c r="Z2064" i="3"/>
  <c r="Y1723" i="3"/>
  <c r="Z2004" i="3"/>
  <c r="U1713" i="3"/>
  <c r="Z1548" i="3"/>
  <c r="U1997" i="3"/>
  <c r="U1924" i="3"/>
  <c r="Y1850" i="3"/>
  <c r="AA1778" i="3"/>
  <c r="AA1692" i="3"/>
  <c r="AA1623" i="3"/>
  <c r="U1537" i="3"/>
  <c r="Z1470" i="3"/>
  <c r="Z1986" i="3"/>
  <c r="Z1916" i="3"/>
  <c r="Z1844" i="3"/>
  <c r="Y1775" i="3"/>
  <c r="U1710" i="3"/>
  <c r="Y1631" i="3"/>
  <c r="U1467" i="3"/>
  <c r="U1385" i="3"/>
  <c r="U1312" i="3"/>
  <c r="Y1243" i="3"/>
  <c r="U1170" i="3"/>
  <c r="U1099" i="3"/>
  <c r="U1025" i="3"/>
  <c r="Z957" i="3"/>
  <c r="U1498" i="3"/>
  <c r="AA1444" i="3"/>
  <c r="Z1417" i="3"/>
  <c r="Z1396" i="3"/>
  <c r="U1380" i="3"/>
  <c r="U1364" i="3"/>
  <c r="Y1347" i="3"/>
  <c r="Z1331" i="3"/>
  <c r="U1308" i="3"/>
  <c r="AA1292" i="3"/>
  <c r="AA1276" i="3"/>
  <c r="AA1260" i="3"/>
  <c r="Z1240" i="3"/>
  <c r="Z1224" i="3"/>
  <c r="AA1208" i="3"/>
  <c r="Y1191" i="3"/>
  <c r="Z1174" i="3"/>
  <c r="AA1155" i="3"/>
  <c r="U1138" i="3"/>
  <c r="U1121" i="3"/>
  <c r="AA1104" i="3"/>
  <c r="U1087" i="3"/>
  <c r="Z1071" i="3"/>
  <c r="P97" i="4" a="1"/>
  <c r="U2080" i="3"/>
  <c r="Z2087" i="3"/>
  <c r="AQ171" i="4" a="1"/>
  <c r="Y2017" i="3"/>
  <c r="Y1700" i="3"/>
  <c r="U1986" i="3"/>
  <c r="U1697" i="3"/>
  <c r="Z1544" i="3"/>
  <c r="Y1992" i="3"/>
  <c r="Y1920" i="3"/>
  <c r="Z1846" i="3"/>
  <c r="U1773" i="3"/>
  <c r="Z1687" i="3"/>
  <c r="Y1617" i="3"/>
  <c r="Z1533" i="3"/>
  <c r="Z1466" i="3"/>
  <c r="Y1982" i="3"/>
  <c r="Y1910" i="3"/>
  <c r="AA1840" i="3"/>
  <c r="Y1771" i="3"/>
  <c r="U1706" i="3"/>
  <c r="AA1626" i="3"/>
  <c r="Z1461" i="3"/>
  <c r="U1381" i="3"/>
  <c r="Y1308" i="3"/>
  <c r="U1239" i="3"/>
  <c r="U1166" i="3"/>
  <c r="AA1094" i="3"/>
  <c r="Y1021" i="3"/>
  <c r="Z953" i="3"/>
  <c r="Z1491" i="3"/>
  <c r="Y1442" i="3"/>
  <c r="U1415" i="3"/>
  <c r="Z1395" i="3"/>
  <c r="Y1379" i="3"/>
  <c r="Y1363" i="3"/>
  <c r="Z1346" i="3"/>
  <c r="Z1330" i="3"/>
  <c r="Y1307" i="3"/>
  <c r="U1291" i="3"/>
  <c r="U1275" i="3"/>
  <c r="U1259" i="3"/>
  <c r="AA1239" i="3"/>
  <c r="AA1223" i="3"/>
  <c r="U1207" i="3"/>
  <c r="Y1190" i="3"/>
  <c r="Z1173" i="3"/>
  <c r="U1154" i="3"/>
  <c r="Y1137" i="3"/>
  <c r="Y1120" i="3"/>
  <c r="U1103" i="3"/>
  <c r="U1086" i="3"/>
  <c r="Z1070" i="3"/>
  <c r="AA1053" i="3"/>
  <c r="U1034" i="3"/>
  <c r="Z1017" i="3"/>
  <c r="Z1530" i="3"/>
  <c r="Z1492" i="3"/>
  <c r="Y1463" i="3"/>
  <c r="Y1438" i="3"/>
  <c r="Y1421" i="3"/>
  <c r="Y1404" i="3"/>
  <c r="Z1385" i="3"/>
  <c r="Y1366" i="3"/>
  <c r="Z1349" i="3"/>
  <c r="Y1333" i="3"/>
  <c r="Z1317" i="3"/>
  <c r="Z1300" i="3"/>
  <c r="Y1283" i="3"/>
  <c r="Y1265" i="3"/>
  <c r="U1249" i="3"/>
  <c r="Y1232" i="3"/>
  <c r="Y1216" i="3"/>
  <c r="U1199" i="3"/>
  <c r="U1182" i="3"/>
  <c r="U1165" i="3"/>
  <c r="Y1148" i="3"/>
  <c r="Y1131" i="3"/>
  <c r="Y1111" i="3"/>
  <c r="Z1093" i="3"/>
  <c r="Y1072" i="3"/>
  <c r="U1050" i="3"/>
  <c r="AA1034" i="3"/>
  <c r="AA1015" i="3"/>
  <c r="U997" i="3"/>
  <c r="U978" i="3"/>
  <c r="Z959" i="3"/>
  <c r="Z1565" i="3"/>
  <c r="Z1515" i="3"/>
  <c r="Z1473" i="3"/>
  <c r="Y1448" i="3"/>
  <c r="Y1430" i="3"/>
  <c r="U1414" i="3"/>
  <c r="Z1398" i="3"/>
  <c r="U1382" i="3"/>
  <c r="Y1365" i="3"/>
  <c r="Z1348" i="3"/>
  <c r="U1332" i="3"/>
  <c r="Y1313" i="3"/>
  <c r="U1297" i="3"/>
  <c r="Z1281" i="3"/>
  <c r="AA1262" i="3"/>
  <c r="Y1246" i="3"/>
  <c r="Z1230" i="3"/>
  <c r="Z1214" i="3"/>
  <c r="U1198" i="3"/>
  <c r="Y1180" i="3"/>
  <c r="Y1162" i="3"/>
  <c r="U1144" i="3"/>
  <c r="U1128" i="3"/>
  <c r="Z1109" i="3"/>
  <c r="U1090" i="3"/>
  <c r="U1074" i="3"/>
  <c r="Z1057" i="3"/>
  <c r="Y1040" i="3"/>
  <c r="AA1024" i="3"/>
  <c r="Y1008" i="3"/>
  <c r="Y990" i="3"/>
  <c r="Y971" i="3"/>
  <c r="AA950" i="3"/>
  <c r="AA934" i="3"/>
  <c r="Z917" i="3"/>
  <c r="Z901" i="3"/>
  <c r="Z885" i="3"/>
  <c r="Y869" i="3"/>
  <c r="U849" i="3"/>
  <c r="Z820" i="3"/>
  <c r="U2236" i="3"/>
  <c r="R46" i="4" a="1"/>
  <c r="AA2225" i="3"/>
  <c r="AA2246" i="3"/>
  <c r="Y1904" i="3"/>
  <c r="U1591" i="3"/>
  <c r="Z1891" i="3"/>
  <c r="Z1595" i="3"/>
  <c r="Z2041" i="3"/>
  <c r="AA1969" i="3"/>
  <c r="Y1895" i="3"/>
  <c r="AA1821" i="3"/>
  <c r="U1753" i="3"/>
  <c r="Z1667" i="3"/>
  <c r="Y1585" i="3"/>
  <c r="U1511" i="3"/>
  <c r="U2044" i="3"/>
  <c r="U1959" i="3"/>
  <c r="Z1889" i="3"/>
  <c r="Y1817" i="3"/>
  <c r="Y1751" i="3"/>
  <c r="Y1686" i="3"/>
  <c r="Z1606" i="3"/>
  <c r="Z1441" i="3"/>
  <c r="U1361" i="3"/>
  <c r="Y1287" i="3"/>
  <c r="U1219" i="3"/>
  <c r="U1146" i="3"/>
  <c r="U1066" i="3"/>
  <c r="Y1001" i="3"/>
  <c r="Y1551" i="3"/>
  <c r="Y1465" i="3"/>
  <c r="Y1433" i="3"/>
  <c r="Z1409" i="3"/>
  <c r="Z1390" i="3"/>
  <c r="Z1374" i="3"/>
  <c r="Y1358" i="3"/>
  <c r="AA1341" i="3"/>
  <c r="Y1323" i="3"/>
  <c r="Z1302" i="3"/>
  <c r="U1286" i="3"/>
  <c r="Z1270" i="3"/>
  <c r="Y1254" i="3"/>
  <c r="U1234" i="3"/>
  <c r="U1218" i="3"/>
  <c r="Z1202" i="3"/>
  <c r="Z1185" i="3"/>
  <c r="AA1167" i="3"/>
  <c r="U1149" i="3"/>
  <c r="Z1132" i="3"/>
  <c r="AA1115" i="3"/>
  <c r="Y1097" i="3"/>
  <c r="Z1081" i="3"/>
  <c r="U1064" i="3"/>
  <c r="Y1047" i="3"/>
  <c r="U1029" i="3"/>
  <c r="Z1011" i="3"/>
  <c r="AA1518" i="3"/>
  <c r="Y1482" i="3"/>
  <c r="Z1458" i="3"/>
  <c r="Y1432" i="3"/>
  <c r="AA1416" i="3"/>
  <c r="AA1399" i="3"/>
  <c r="AA1380" i="3"/>
  <c r="Z1361" i="3"/>
  <c r="AA1344" i="3"/>
  <c r="U1328" i="3"/>
  <c r="Z1312" i="3"/>
  <c r="AA1295" i="3"/>
  <c r="Z1276" i="3"/>
  <c r="Z1260" i="3"/>
  <c r="Z1244" i="3"/>
  <c r="Z1227" i="3"/>
  <c r="AA1211" i="3"/>
  <c r="Z1194" i="3"/>
  <c r="Y1176" i="3"/>
  <c r="U1160" i="3"/>
  <c r="Y1143" i="3"/>
  <c r="U1124" i="3"/>
  <c r="Y1105" i="3"/>
  <c r="AA1088" i="3"/>
  <c r="Z1066" i="3"/>
  <c r="Y1045" i="3"/>
  <c r="U1028" i="3"/>
  <c r="AA1009" i="3"/>
  <c r="Y991" i="3"/>
  <c r="Y972" i="3"/>
  <c r="U1599" i="3"/>
  <c r="AA1545" i="3"/>
  <c r="Y1507" i="3"/>
  <c r="U1466" i="3"/>
  <c r="Z1443" i="3"/>
  <c r="U1425" i="3"/>
  <c r="U1409" i="3"/>
  <c r="Z1393" i="3"/>
  <c r="Y1377" i="3"/>
  <c r="Z1360" i="3"/>
  <c r="AA1343" i="3"/>
  <c r="U1327" i="3"/>
  <c r="Z1308" i="3"/>
  <c r="Y1292" i="3"/>
  <c r="Y1276" i="3"/>
  <c r="U1257" i="3"/>
  <c r="AA1241" i="3"/>
  <c r="AA1225" i="3"/>
  <c r="U1209" i="3"/>
  <c r="Y1193" i="3"/>
  <c r="U1175" i="3"/>
  <c r="U1156" i="3"/>
  <c r="U1139" i="3"/>
  <c r="Y1122" i="3"/>
  <c r="Z1103" i="3"/>
  <c r="Z1085" i="3"/>
  <c r="Y1069" i="3"/>
  <c r="Z1052" i="3"/>
  <c r="Y1035" i="3"/>
  <c r="AA1019" i="3"/>
  <c r="Z1002" i="3"/>
  <c r="Z984" i="3"/>
  <c r="Z966" i="3"/>
  <c r="AA945" i="3"/>
  <c r="Y929" i="3"/>
  <c r="Z912" i="3"/>
  <c r="AA896" i="3"/>
  <c r="AA880" i="3"/>
  <c r="U863" i="3"/>
  <c r="Y844" i="3"/>
  <c r="N611" i="4" a="1"/>
  <c r="R63" i="4" a="1"/>
  <c r="AQ13" i="4" a="1"/>
  <c r="U2207" i="3"/>
  <c r="Y2230" i="3"/>
  <c r="Y1880" i="3"/>
  <c r="Y1572" i="3"/>
  <c r="Z1874" i="3"/>
  <c r="Z1588" i="3"/>
  <c r="Z2037" i="3"/>
  <c r="AA1964" i="3"/>
  <c r="Y1890" i="3"/>
  <c r="U1816" i="3"/>
  <c r="U1749" i="3"/>
  <c r="Z1663" i="3"/>
  <c r="Z1580" i="3"/>
  <c r="U1507" i="3"/>
  <c r="U2039" i="3"/>
  <c r="U1955" i="3"/>
  <c r="U1885" i="3"/>
  <c r="Z1813" i="3"/>
  <c r="Y1747" i="3"/>
  <c r="Y1682" i="3"/>
  <c r="Y1580" i="3"/>
  <c r="Y1434" i="3"/>
  <c r="U1357" i="3"/>
  <c r="Y1281" i="3"/>
  <c r="U1215" i="3"/>
  <c r="Y1141" i="3"/>
  <c r="Y2089" i="3"/>
  <c r="Z1552" i="3"/>
  <c r="AA1782" i="3"/>
  <c r="U1474" i="3"/>
  <c r="U1779" i="3"/>
  <c r="U1389" i="3"/>
  <c r="Y1121" i="3"/>
  <c r="AA1046" i="3"/>
  <c r="U980" i="3"/>
  <c r="Y1521" i="3"/>
  <c r="U1454" i="3"/>
  <c r="U1423" i="3"/>
  <c r="Z1401" i="3"/>
  <c r="AA1385" i="3"/>
  <c r="U1369" i="3"/>
  <c r="U1352" i="3"/>
  <c r="Z1336" i="3"/>
  <c r="AA1317" i="3"/>
  <c r="Z1297" i="3"/>
  <c r="U1281" i="3"/>
  <c r="Z1265" i="3"/>
  <c r="Z1248" i="3"/>
  <c r="Y1229" i="3"/>
  <c r="Y1213" i="3"/>
  <c r="Z1197" i="3"/>
  <c r="U1179" i="3"/>
  <c r="Y1160" i="3"/>
  <c r="Z1143" i="3"/>
  <c r="Z1127" i="3"/>
  <c r="U1109" i="3"/>
  <c r="U1092" i="3"/>
  <c r="Z1076" i="3"/>
  <c r="Y1059" i="3"/>
  <c r="Z1042" i="3"/>
  <c r="Z1023" i="3"/>
  <c r="Y1561" i="3"/>
  <c r="Z1502" i="3"/>
  <c r="Z1472" i="3"/>
  <c r="Z1444" i="3"/>
  <c r="AA1427" i="3"/>
  <c r="Y1410" i="3"/>
  <c r="AA1393" i="3"/>
  <c r="U1375" i="3"/>
  <c r="U1355" i="3"/>
  <c r="U1339" i="3"/>
  <c r="U1323" i="3"/>
  <c r="Y1306" i="3"/>
  <c r="U1290" i="3"/>
  <c r="U1271" i="3"/>
  <c r="AA1255" i="3"/>
  <c r="AA1238" i="3"/>
  <c r="AA1222" i="3"/>
  <c r="U1206" i="3"/>
  <c r="U1189" i="3"/>
  <c r="Z1171" i="3"/>
  <c r="Z1155" i="3"/>
  <c r="U1137" i="3"/>
  <c r="AA1118" i="3"/>
  <c r="Y1100" i="3"/>
  <c r="U1078" i="3"/>
  <c r="AA1057" i="3"/>
  <c r="Z1040" i="3"/>
  <c r="Y1023" i="3"/>
  <c r="AA1004" i="3"/>
  <c r="Z986" i="3"/>
  <c r="Y965" i="3"/>
  <c r="U1588" i="3"/>
  <c r="Z1527" i="3"/>
  <c r="AA1497" i="3"/>
  <c r="Z1455" i="3"/>
  <c r="U1436" i="3"/>
  <c r="Y1420" i="3"/>
  <c r="U1404" i="3"/>
  <c r="Z1388" i="3"/>
  <c r="Z1372" i="3"/>
  <c r="U1354" i="3"/>
  <c r="U1338" i="3"/>
  <c r="Y1321" i="3"/>
  <c r="AA1303" i="3"/>
  <c r="Z1287" i="3"/>
  <c r="Y1268" i="3"/>
  <c r="Y1252" i="3"/>
  <c r="U1236" i="3"/>
  <c r="U1220" i="3"/>
  <c r="Z1204" i="3"/>
  <c r="Z1186" i="3"/>
  <c r="Y1170" i="3"/>
  <c r="Z1150" i="3"/>
  <c r="Z1134" i="3"/>
  <c r="U1116" i="3"/>
  <c r="U1096" i="3"/>
  <c r="Y1080" i="3"/>
  <c r="Z1064" i="3"/>
  <c r="U1046" i="3"/>
  <c r="Y1030" i="3"/>
  <c r="Z1014" i="3"/>
  <c r="AA997" i="3"/>
  <c r="Z979" i="3"/>
  <c r="AA956" i="3"/>
  <c r="U940" i="3"/>
  <c r="AA923" i="3"/>
  <c r="U907" i="3"/>
  <c r="U891" i="3"/>
  <c r="U875" i="3"/>
  <c r="Y857" i="3"/>
  <c r="U830" i="3"/>
  <c r="Y809" i="3"/>
  <c r="Z793" i="3"/>
  <c r="Y777" i="3"/>
  <c r="Y749" i="3"/>
  <c r="Z733" i="3"/>
  <c r="Y1576" i="3"/>
  <c r="Z1430" i="3"/>
  <c r="U1358" i="3"/>
  <c r="Y1293" i="3"/>
  <c r="U1225" i="3"/>
  <c r="AA1158" i="3"/>
  <c r="Y1081" i="3"/>
  <c r="U1007" i="3"/>
  <c r="U1540" i="3"/>
  <c r="Z1423" i="3"/>
  <c r="Y1357" i="3"/>
  <c r="AA1290" i="3"/>
  <c r="Y1223" i="3"/>
  <c r="Z1154" i="3"/>
  <c r="Z1083" i="3"/>
  <c r="U1017" i="3"/>
  <c r="Y943" i="3"/>
  <c r="Y878" i="3"/>
  <c r="Z811" i="3"/>
  <c r="Z788" i="3"/>
  <c r="U755" i="3"/>
  <c r="Z734" i="3"/>
  <c r="AA715" i="3"/>
  <c r="AA699" i="3"/>
  <c r="U683" i="3"/>
  <c r="U667" i="3"/>
  <c r="Z651" i="3"/>
  <c r="Y635" i="3"/>
  <c r="U602" i="3"/>
  <c r="U575" i="3"/>
  <c r="Z559" i="3"/>
  <c r="Y982" i="3"/>
  <c r="Z949" i="3"/>
  <c r="U933" i="3"/>
  <c r="AA915" i="3"/>
  <c r="Y897" i="3"/>
  <c r="Y881" i="3"/>
  <c r="Y865" i="3"/>
  <c r="U844" i="3"/>
  <c r="Z824" i="3"/>
  <c r="Y803" i="3"/>
  <c r="Y785" i="3"/>
  <c r="Y767" i="3"/>
  <c r="U749" i="3"/>
  <c r="Y733" i="3"/>
  <c r="U716" i="3"/>
  <c r="Y700" i="3"/>
  <c r="Z684" i="3"/>
  <c r="Z668" i="3"/>
  <c r="Y647" i="3"/>
  <c r="U631" i="3"/>
  <c r="Z615" i="3"/>
  <c r="Y592" i="3"/>
  <c r="Y566" i="3"/>
  <c r="Z550" i="3"/>
  <c r="Y534" i="3"/>
  <c r="Y518" i="3"/>
  <c r="Y502" i="3"/>
  <c r="Y486" i="3"/>
  <c r="Z468" i="3"/>
  <c r="U451" i="3"/>
  <c r="Z434" i="3"/>
  <c r="Z418" i="3"/>
  <c r="AA1058" i="3"/>
  <c r="Y1501" i="3"/>
  <c r="Y1409" i="3"/>
  <c r="Y1338" i="3"/>
  <c r="Y1270" i="3"/>
  <c r="Z1205" i="3"/>
  <c r="Y1136" i="3"/>
  <c r="U1055" i="3"/>
  <c r="Z985" i="3"/>
  <c r="AA1493" i="3"/>
  <c r="U1403" i="3"/>
  <c r="U1337" i="3"/>
  <c r="Z1267" i="3"/>
  <c r="Z1203" i="3"/>
  <c r="AA1133" i="3"/>
  <c r="Z1063" i="3"/>
  <c r="Y995" i="3"/>
  <c r="Y922" i="3"/>
  <c r="AA856" i="3"/>
  <c r="Z803" i="3"/>
  <c r="U782" i="3"/>
  <c r="Z748" i="3"/>
  <c r="Y728" i="3"/>
  <c r="U710" i="3"/>
  <c r="U694" i="3"/>
  <c r="Y678" i="3"/>
  <c r="U662" i="3"/>
  <c r="Z646" i="3"/>
  <c r="Z630" i="3"/>
  <c r="U597" i="3"/>
  <c r="U570" i="3"/>
  <c r="Z554" i="3"/>
  <c r="Y967" i="3"/>
  <c r="AA944" i="3"/>
  <c r="U928" i="3"/>
  <c r="Y909" i="3"/>
  <c r="Z892" i="3"/>
  <c r="Z876" i="3"/>
  <c r="Z859" i="3"/>
  <c r="Z839" i="3"/>
  <c r="AA818" i="3"/>
  <c r="Y797" i="3"/>
  <c r="U779" i="3"/>
  <c r="Z762" i="3"/>
  <c r="Y744" i="3"/>
  <c r="U727" i="3"/>
  <c r="Z711" i="3"/>
  <c r="Z695" i="3"/>
  <c r="AA679" i="3"/>
  <c r="Y663" i="3"/>
  <c r="Y642" i="3"/>
  <c r="Z626" i="3"/>
  <c r="Z610" i="3"/>
  <c r="Z587" i="3"/>
  <c r="Y561" i="3"/>
  <c r="Y545" i="3"/>
  <c r="Y529" i="3"/>
  <c r="Y513" i="3"/>
  <c r="Z497" i="3"/>
  <c r="Y481" i="3"/>
  <c r="Y462" i="3"/>
  <c r="Z445" i="3"/>
  <c r="AA429" i="3"/>
  <c r="Y413" i="3"/>
  <c r="Z1054" i="3"/>
  <c r="Y1495" i="3"/>
  <c r="Y1405" i="3"/>
  <c r="Y1334" i="3"/>
  <c r="U1266" i="3"/>
  <c r="AA1200" i="3"/>
  <c r="Y1132" i="3"/>
  <c r="U1051" i="3"/>
  <c r="AA979" i="3"/>
  <c r="Z1483" i="3"/>
  <c r="Z1399" i="3"/>
  <c r="U1333" i="3"/>
  <c r="Z1263" i="3"/>
  <c r="AA1199" i="3"/>
  <c r="Z1129" i="3"/>
  <c r="Y1058" i="3"/>
  <c r="U991" i="3"/>
  <c r="U918" i="3"/>
  <c r="U850" i="3"/>
  <c r="U802" i="3"/>
  <c r="Y780" i="3"/>
  <c r="Z747" i="3"/>
  <c r="Y727" i="3"/>
  <c r="Y709" i="3"/>
  <c r="Y693" i="3"/>
  <c r="Z677" i="3"/>
  <c r="U661" i="3"/>
  <c r="Z645" i="3"/>
  <c r="AA629" i="3"/>
  <c r="Z596" i="3"/>
  <c r="U569" i="3"/>
  <c r="Z553" i="3"/>
  <c r="U966" i="3"/>
  <c r="U943" i="3"/>
  <c r="Y927" i="3"/>
  <c r="Z908" i="3"/>
  <c r="AA891" i="3"/>
  <c r="AA875" i="3"/>
  <c r="U857" i="3"/>
  <c r="Z838" i="3"/>
  <c r="Z813" i="3"/>
  <c r="Y796" i="3"/>
  <c r="U778" i="3"/>
  <c r="Z761" i="3"/>
  <c r="Y743" i="3"/>
  <c r="U726" i="3"/>
  <c r="AA710" i="3"/>
  <c r="AA694" i="3"/>
  <c r="U678" i="3"/>
  <c r="Y657" i="3"/>
  <c r="Y641" i="3"/>
  <c r="Z625" i="3"/>
  <c r="Z609" i="3"/>
  <c r="Z586" i="3"/>
  <c r="Y560" i="3"/>
  <c r="Z544" i="3"/>
  <c r="Y528" i="3"/>
  <c r="Y512" i="3"/>
  <c r="AA496" i="3"/>
  <c r="Z480" i="3"/>
  <c r="Z461" i="3"/>
  <c r="AA444" i="3"/>
  <c r="U428" i="3"/>
  <c r="Y1006" i="3"/>
  <c r="Y949" i="3"/>
  <c r="U1013" i="3"/>
  <c r="AA1435" i="3"/>
  <c r="U1363" i="3"/>
  <c r="Y1297" i="3"/>
  <c r="U1229" i="3"/>
  <c r="Z1162" i="3"/>
  <c r="Y1090" i="3"/>
  <c r="Y1011" i="3"/>
  <c r="U1552" i="3"/>
  <c r="Z1427" i="3"/>
  <c r="U1362" i="3"/>
  <c r="AA1294" i="3"/>
  <c r="Y1227" i="3"/>
  <c r="Z1158" i="3"/>
  <c r="Z1087" i="3"/>
  <c r="Z1021" i="3"/>
  <c r="Y947" i="3"/>
  <c r="Y882" i="3"/>
  <c r="AA812" i="3"/>
  <c r="Z790" i="3"/>
  <c r="U756" i="3"/>
  <c r="Z735" i="3"/>
  <c r="Y716" i="3"/>
  <c r="Z700" i="3"/>
  <c r="AA684" i="3"/>
  <c r="AA668" i="3"/>
  <c r="Z652" i="3"/>
  <c r="U636" i="3"/>
  <c r="U603" i="3"/>
  <c r="U576" i="3"/>
  <c r="Z560" i="3"/>
  <c r="U984" i="3"/>
  <c r="Y950" i="3"/>
  <c r="Z934" i="3"/>
  <c r="Y916" i="3"/>
  <c r="U898" i="3"/>
  <c r="U882" i="3"/>
  <c r="U866" i="3"/>
  <c r="Z846" i="3"/>
  <c r="Z825" i="3"/>
  <c r="Y804" i="3"/>
  <c r="Y787" i="3"/>
  <c r="Z769" i="3"/>
  <c r="U750" i="3"/>
  <c r="Y734" i="3"/>
  <c r="U717" i="3"/>
  <c r="U701" i="3"/>
  <c r="Y685" i="3"/>
  <c r="Y669" i="3"/>
  <c r="Y648" i="3"/>
  <c r="AA632" i="3"/>
  <c r="Z616" i="3"/>
  <c r="Y593" i="3"/>
  <c r="Z577" i="3"/>
  <c r="Y551" i="3"/>
  <c r="Y535" i="3"/>
  <c r="Y519" i="3"/>
  <c r="U503" i="3"/>
  <c r="U487" i="3"/>
  <c r="Y469" i="3"/>
  <c r="U452" i="3"/>
  <c r="Y435" i="3"/>
  <c r="Y419" i="3"/>
  <c r="Y969" i="3"/>
  <c r="Z940" i="3"/>
  <c r="AA922" i="3"/>
  <c r="AA939" i="3"/>
  <c r="U916" i="3"/>
  <c r="Y900" i="3"/>
  <c r="Y884" i="3"/>
  <c r="Y867" i="3"/>
  <c r="Z850" i="3"/>
  <c r="Z832" i="3"/>
  <c r="Z816" i="3"/>
  <c r="U798" i="3"/>
  <c r="Z782" i="3"/>
  <c r="Y759" i="3"/>
  <c r="U737" i="3"/>
  <c r="U712" i="3"/>
  <c r="U696" i="3"/>
  <c r="Y680" i="3"/>
  <c r="U663" i="3"/>
  <c r="U647" i="3"/>
  <c r="AA631" i="3"/>
  <c r="Y607" i="3"/>
  <c r="U591" i="3"/>
  <c r="Z575" i="3"/>
  <c r="U559" i="3"/>
  <c r="Z543" i="3"/>
  <c r="U527" i="3"/>
  <c r="U511" i="3"/>
  <c r="AA495" i="3"/>
  <c r="Z478" i="3"/>
  <c r="Z460" i="3"/>
  <c r="AA443" i="3"/>
  <c r="Y426" i="3"/>
  <c r="Y410" i="3"/>
  <c r="AA393" i="3"/>
  <c r="U377" i="3"/>
  <c r="U358" i="3"/>
  <c r="Z954" i="3"/>
  <c r="Z936" i="3"/>
  <c r="Y919" i="3"/>
  <c r="Z898" i="3"/>
  <c r="Z882" i="3"/>
  <c r="AA865" i="3"/>
  <c r="Z848" i="3"/>
  <c r="Y832" i="3"/>
  <c r="Y815" i="3"/>
  <c r="Y782" i="3"/>
  <c r="U763" i="3"/>
  <c r="Y730" i="3"/>
  <c r="Y714" i="3"/>
  <c r="Y698" i="3"/>
  <c r="Z682" i="3"/>
  <c r="Z666" i="3"/>
  <c r="U628" i="3"/>
  <c r="U612" i="3"/>
  <c r="U588" i="3"/>
  <c r="Y572" i="3"/>
  <c r="Y508" i="3"/>
  <c r="Y492" i="3"/>
  <c r="Z476" i="3"/>
  <c r="AA454" i="3"/>
  <c r="Y437" i="3"/>
  <c r="Y421" i="3"/>
  <c r="Z403" i="3"/>
  <c r="AA381" i="3"/>
  <c r="Y491" i="3"/>
  <c r="U453" i="3"/>
  <c r="Z386" i="3"/>
  <c r="AA357" i="3"/>
  <c r="U341" i="3"/>
  <c r="Y324" i="3"/>
  <c r="U306" i="3"/>
  <c r="Z289" i="3"/>
  <c r="AA272" i="3"/>
  <c r="Y256" i="3"/>
  <c r="Y240" i="3"/>
  <c r="AA222" i="3"/>
  <c r="Z205" i="3"/>
  <c r="U186" i="3"/>
  <c r="Y170" i="3"/>
  <c r="U147" i="3"/>
  <c r="U131" i="3"/>
  <c r="Y115" i="3"/>
  <c r="AA96" i="3"/>
  <c r="Z77" i="3"/>
  <c r="U61" i="3"/>
  <c r="Y43" i="3"/>
  <c r="AA27" i="3"/>
  <c r="U11" i="3"/>
  <c r="U25" i="3"/>
  <c r="Y22" i="3"/>
  <c r="Z526" i="3"/>
  <c r="Y432" i="3"/>
  <c r="U398" i="3"/>
  <c r="Y369" i="3"/>
  <c r="Z348" i="3"/>
  <c r="Y327" i="3"/>
  <c r="Z308" i="3"/>
  <c r="U290" i="3"/>
  <c r="Z272" i="3"/>
  <c r="Y254" i="3"/>
  <c r="U236" i="3"/>
  <c r="Z218" i="3"/>
  <c r="AA199" i="3"/>
  <c r="U180" i="3"/>
  <c r="Z164" i="3"/>
  <c r="U141" i="3"/>
  <c r="Z117" i="3"/>
  <c r="U101" i="3"/>
  <c r="AA85" i="3"/>
  <c r="Z69" i="3"/>
  <c r="AA51" i="3"/>
  <c r="U13" i="3"/>
  <c r="U488" i="3"/>
  <c r="Y452" i="3"/>
  <c r="AA388" i="3"/>
  <c r="Y358" i="3"/>
  <c r="Z341" i="3"/>
  <c r="U323" i="3"/>
  <c r="Z307" i="3"/>
  <c r="AA290" i="3"/>
  <c r="Y272" i="3"/>
  <c r="U255" i="3"/>
  <c r="Y234" i="3"/>
  <c r="AA216" i="3"/>
  <c r="Y200" i="3"/>
  <c r="U179" i="3"/>
  <c r="Y154" i="3"/>
  <c r="Z135" i="3"/>
  <c r="Y117" i="3"/>
  <c r="Y93" i="3"/>
  <c r="AA933" i="3"/>
  <c r="U911" i="3"/>
  <c r="Z895" i="3"/>
  <c r="Z879" i="3"/>
  <c r="Z862" i="3"/>
  <c r="AA844" i="3"/>
  <c r="U827" i="3"/>
  <c r="U811" i="3"/>
  <c r="U793" i="3"/>
  <c r="Y770" i="3"/>
  <c r="U748" i="3"/>
  <c r="U732" i="3"/>
  <c r="Y707" i="3"/>
  <c r="Z691" i="3"/>
  <c r="AA1744" i="3"/>
  <c r="Z2001" i="3"/>
  <c r="Y1701" i="3"/>
  <c r="Z1990" i="3"/>
  <c r="Z1714" i="3"/>
  <c r="U1316" i="3"/>
  <c r="U1104" i="3"/>
  <c r="Y1029" i="3"/>
  <c r="Z961" i="3"/>
  <c r="Y1504" i="3"/>
  <c r="U1446" i="3"/>
  <c r="Z1418" i="3"/>
  <c r="Z1397" i="3"/>
  <c r="AA1381" i="3"/>
  <c r="AA1365" i="3"/>
  <c r="U1348" i="3"/>
  <c r="Z1332" i="3"/>
  <c r="U1309" i="3"/>
  <c r="Z1293" i="3"/>
  <c r="Z1277" i="3"/>
  <c r="Z1261" i="3"/>
  <c r="Y1241" i="3"/>
  <c r="Y1225" i="3"/>
  <c r="Z1209" i="3"/>
  <c r="U1192" i="3"/>
  <c r="Z1175" i="3"/>
  <c r="Z1156" i="3"/>
  <c r="Z1139" i="3"/>
  <c r="Z1123" i="3"/>
  <c r="Z1105" i="3"/>
  <c r="U1088" i="3"/>
  <c r="Z1072" i="3"/>
  <c r="Y1055" i="3"/>
  <c r="Z1036" i="3"/>
  <c r="Y1019" i="3"/>
  <c r="Y1534" i="3"/>
  <c r="Y1496" i="3"/>
  <c r="Y1466" i="3"/>
  <c r="U1440" i="3"/>
  <c r="AA1423" i="3"/>
  <c r="U1406" i="3"/>
  <c r="U1387" i="3"/>
  <c r="U1368" i="3"/>
  <c r="U1351" i="3"/>
  <c r="Y1335" i="3"/>
  <c r="U1319" i="3"/>
  <c r="Y1302" i="3"/>
  <c r="Y1285" i="3"/>
  <c r="AA1267" i="3"/>
  <c r="Z1251" i="3"/>
  <c r="AA1234" i="3"/>
  <c r="AA1218" i="3"/>
  <c r="Z1201" i="3"/>
  <c r="Z1184" i="3"/>
  <c r="Z1167" i="3"/>
  <c r="Z1151" i="3"/>
  <c r="U1133" i="3"/>
  <c r="AA1114" i="3"/>
  <c r="AA1095" i="3"/>
  <c r="Y1074" i="3"/>
  <c r="AA1052" i="3"/>
  <c r="Y1036" i="3"/>
  <c r="Y1017" i="3"/>
  <c r="Y999" i="3"/>
  <c r="Z980" i="3"/>
  <c r="U961" i="3"/>
  <c r="Z1573" i="3"/>
  <c r="Y1519" i="3"/>
  <c r="Y1487" i="3"/>
  <c r="Z1451" i="3"/>
  <c r="U1432" i="3"/>
  <c r="Z1416" i="3"/>
  <c r="U1400" i="3"/>
  <c r="Z1384" i="3"/>
  <c r="AA1368" i="3"/>
  <c r="U1350" i="3"/>
  <c r="U1334" i="3"/>
  <c r="AA1315" i="3"/>
  <c r="Z1299" i="3"/>
  <c r="U1283" i="3"/>
  <c r="Y1264" i="3"/>
  <c r="U1248" i="3"/>
  <c r="U1232" i="3"/>
  <c r="U1216" i="3"/>
  <c r="Z1200" i="3"/>
  <c r="AA1182" i="3"/>
  <c r="AA1165" i="3"/>
  <c r="Y1146" i="3"/>
  <c r="Z1130" i="3"/>
  <c r="U1111" i="3"/>
  <c r="Z1092" i="3"/>
  <c r="U1076" i="3"/>
  <c r="AA1060" i="3"/>
  <c r="U1042" i="3"/>
  <c r="Y1026" i="3"/>
  <c r="Y1010" i="3"/>
  <c r="Z992" i="3"/>
  <c r="Z974" i="3"/>
  <c r="Y952" i="3"/>
  <c r="Y936" i="3"/>
  <c r="U919" i="3"/>
  <c r="U903" i="3"/>
  <c r="U887" i="3"/>
  <c r="U871" i="3"/>
  <c r="AA852" i="3"/>
  <c r="AA826" i="3"/>
  <c r="Y805" i="3"/>
  <c r="Z789" i="3"/>
  <c r="U768" i="3"/>
  <c r="Z745" i="3"/>
  <c r="U1062" i="3"/>
  <c r="Z1513" i="3"/>
  <c r="Y1413" i="3"/>
  <c r="Y1342" i="3"/>
  <c r="U1274" i="3"/>
  <c r="Y1209" i="3"/>
  <c r="Y1140" i="3"/>
  <c r="U1060" i="3"/>
  <c r="AA989" i="3"/>
  <c r="Y1503" i="3"/>
  <c r="Y1407" i="3"/>
  <c r="Y1341" i="3"/>
  <c r="AA1274" i="3"/>
  <c r="Z1207" i="3"/>
  <c r="AA1137" i="3"/>
  <c r="U1067" i="3"/>
  <c r="U1000" i="3"/>
  <c r="Z927" i="3"/>
  <c r="Z861" i="3"/>
  <c r="Z804" i="3"/>
  <c r="Z783" i="3"/>
  <c r="Y750" i="3"/>
  <c r="Y729" i="3"/>
  <c r="AA711" i="3"/>
  <c r="AA695" i="3"/>
  <c r="U679" i="3"/>
  <c r="Z663" i="3"/>
  <c r="Z647" i="3"/>
  <c r="Y631" i="3"/>
  <c r="U598" i="3"/>
  <c r="U571" i="3"/>
  <c r="Z555" i="3"/>
  <c r="Z968" i="3"/>
  <c r="Z945" i="3"/>
  <c r="U929" i="3"/>
  <c r="Y910" i="3"/>
  <c r="Y893" i="3"/>
  <c r="Y877" i="3"/>
  <c r="Y860" i="3"/>
  <c r="Z840" i="3"/>
  <c r="Y819" i="3"/>
  <c r="Y798" i="3"/>
  <c r="U780" i="3"/>
  <c r="Z763" i="3"/>
  <c r="Y745" i="3"/>
  <c r="U728" i="3"/>
  <c r="Y712" i="3"/>
  <c r="Y696" i="3"/>
  <c r="Z680" i="3"/>
  <c r="Y664" i="3"/>
  <c r="Y643" i="3"/>
  <c r="Z627" i="3"/>
  <c r="Z611" i="3"/>
  <c r="Z588" i="3"/>
  <c r="Y562" i="3"/>
  <c r="AA546" i="3"/>
  <c r="Y530" i="3"/>
  <c r="Y514" i="3"/>
  <c r="Y498" i="3"/>
  <c r="U482" i="3"/>
  <c r="Y463" i="3"/>
  <c r="Y446" i="3"/>
  <c r="Z430" i="3"/>
  <c r="Y414" i="3"/>
  <c r="AA1041" i="3"/>
  <c r="AA1471" i="3"/>
  <c r="Y1390" i="3"/>
  <c r="Z1322" i="3"/>
  <c r="U1254" i="3"/>
  <c r="Z1188" i="3"/>
  <c r="U1117" i="3"/>
  <c r="Z1039" i="3"/>
  <c r="Z964" i="3"/>
  <c r="Z1454" i="3"/>
  <c r="AA1387" i="3"/>
  <c r="AA1320" i="3"/>
  <c r="Y1251" i="3"/>
  <c r="U1185" i="3"/>
  <c r="Y1115" i="3"/>
  <c r="U1045" i="3"/>
  <c r="AA978" i="3"/>
  <c r="Y906" i="3"/>
  <c r="U829" i="3"/>
  <c r="Z798" i="3"/>
  <c r="Y776" i="3"/>
  <c r="Z743" i="3"/>
  <c r="Y724" i="3"/>
  <c r="U706" i="3"/>
  <c r="Y690" i="3"/>
  <c r="Y674" i="3"/>
  <c r="U658" i="3"/>
  <c r="Z642" i="3"/>
  <c r="Y622" i="3"/>
  <c r="Z593" i="3"/>
  <c r="Z566" i="3"/>
  <c r="Z548" i="3"/>
  <c r="Z958" i="3"/>
  <c r="AA940" i="3"/>
  <c r="Z923" i="3"/>
  <c r="Y905" i="3"/>
  <c r="Z888" i="3"/>
  <c r="Z872" i="3"/>
  <c r="U854" i="3"/>
  <c r="Z835" i="3"/>
  <c r="Z810" i="3"/>
  <c r="Y793" i="3"/>
  <c r="U775" i="3"/>
  <c r="Z758" i="3"/>
  <c r="Y740" i="3"/>
  <c r="U723" i="3"/>
  <c r="Z707" i="3"/>
  <c r="AA691" i="3"/>
  <c r="AA675" i="3"/>
  <c r="Y654" i="3"/>
  <c r="Y638" i="3"/>
  <c r="U622" i="3"/>
  <c r="Z606" i="3"/>
  <c r="Z583" i="3"/>
  <c r="Y557" i="3"/>
  <c r="Y541" i="3"/>
  <c r="Y525" i="3"/>
  <c r="Y509" i="3"/>
  <c r="Z493" i="3"/>
  <c r="U476" i="3"/>
  <c r="Y458" i="3"/>
  <c r="Z441" i="3"/>
  <c r="AA425" i="3"/>
  <c r="Z991" i="3"/>
  <c r="AA1035" i="3"/>
  <c r="U1465" i="3"/>
  <c r="Y1386" i="3"/>
  <c r="U1318" i="3"/>
  <c r="AA1250" i="3"/>
  <c r="Z1183" i="3"/>
  <c r="U1112" i="3"/>
  <c r="Z1035" i="3"/>
  <c r="Z960" i="3"/>
  <c r="Z1450" i="3"/>
  <c r="AA1383" i="3"/>
  <c r="U1314" i="3"/>
  <c r="Y1247" i="3"/>
  <c r="U1181" i="3"/>
  <c r="Y1110" i="3"/>
  <c r="Y1041" i="3"/>
  <c r="U972" i="3"/>
  <c r="U902" i="3"/>
  <c r="U821" i="3"/>
  <c r="Z796" i="3"/>
  <c r="Y775" i="3"/>
  <c r="Z742" i="3"/>
  <c r="Y723" i="3"/>
  <c r="Y705" i="3"/>
  <c r="Z689" i="3"/>
  <c r="Z673" i="3"/>
  <c r="Z657" i="3"/>
  <c r="Z641" i="3"/>
  <c r="Y621" i="3"/>
  <c r="Z592" i="3"/>
  <c r="Z565" i="3"/>
  <c r="AA1005" i="3"/>
  <c r="Y957" i="3"/>
  <c r="U939" i="3"/>
  <c r="U922" i="3"/>
  <c r="Z904" i="3"/>
  <c r="AA887" i="3"/>
  <c r="AA871" i="3"/>
  <c r="Y853" i="3"/>
  <c r="Z834" i="3"/>
  <c r="U809" i="3"/>
  <c r="Y792" i="3"/>
  <c r="Z774" i="3"/>
  <c r="Z757" i="3"/>
  <c r="Y739" i="3"/>
  <c r="U722" i="3"/>
  <c r="AA706" i="3"/>
  <c r="U690" i="3"/>
  <c r="U674" i="3"/>
  <c r="Y653" i="3"/>
  <c r="Y637" i="3"/>
  <c r="U621" i="3"/>
  <c r="Z605" i="3"/>
  <c r="Z582" i="3"/>
  <c r="Y556" i="3"/>
  <c r="Y540" i="3"/>
  <c r="Y524" i="3"/>
  <c r="AA508" i="3"/>
  <c r="AA492" i="3"/>
  <c r="U475" i="3"/>
  <c r="Z457" i="3"/>
  <c r="U440" i="3"/>
  <c r="U424" i="3"/>
  <c r="U989" i="3"/>
  <c r="Y945" i="3"/>
  <c r="U1525" i="3"/>
  <c r="Y1418" i="3"/>
  <c r="Y1346" i="3"/>
  <c r="Y1278" i="3"/>
  <c r="U1213" i="3"/>
  <c r="U1145" i="3"/>
  <c r="Z1069" i="3"/>
  <c r="AA994" i="3"/>
  <c r="Y1511" i="3"/>
  <c r="AA1411" i="3"/>
  <c r="Y1345" i="3"/>
  <c r="U1278" i="3"/>
  <c r="Z1211" i="3"/>
  <c r="Z1141" i="3"/>
  <c r="U1071" i="3"/>
  <c r="Z1004" i="3"/>
  <c r="AA931" i="3"/>
  <c r="Z865" i="3"/>
  <c r="U806" i="3"/>
  <c r="Z784" i="3"/>
  <c r="Y751" i="3"/>
  <c r="U730" i="3"/>
  <c r="Z712" i="3"/>
  <c r="Z696" i="3"/>
  <c r="AA680" i="3"/>
  <c r="Z664" i="3"/>
  <c r="Z648" i="3"/>
  <c r="U632" i="3"/>
  <c r="U599" i="3"/>
  <c r="U572" i="3"/>
  <c r="Z556" i="3"/>
  <c r="Z972" i="3"/>
  <c r="Y946" i="3"/>
  <c r="AA930" i="3"/>
  <c r="Y911" i="3"/>
  <c r="U894" i="3"/>
  <c r="U878" i="3"/>
  <c r="Y861" i="3"/>
  <c r="Z841" i="3"/>
  <c r="Y820" i="3"/>
  <c r="Y799" i="3"/>
  <c r="U781" i="3"/>
  <c r="Y764" i="3"/>
  <c r="Y746" i="3"/>
  <c r="U729" i="3"/>
  <c r="U713" i="3"/>
  <c r="U697" i="3"/>
  <c r="Y681" i="3"/>
  <c r="U665" i="3"/>
  <c r="Y644" i="3"/>
  <c r="Z628" i="3"/>
  <c r="Z612" i="3"/>
  <c r="Y589" i="3"/>
  <c r="Y563" i="3"/>
  <c r="Y547" i="3"/>
  <c r="Y531" i="3"/>
  <c r="Y515" i="3"/>
  <c r="U499" i="3"/>
  <c r="U483" i="3"/>
  <c r="Y464" i="3"/>
  <c r="AA448" i="3"/>
  <c r="Y431" i="3"/>
  <c r="Y415" i="3"/>
  <c r="Y959" i="3"/>
  <c r="AA936" i="3"/>
  <c r="Z918" i="3"/>
  <c r="Y934" i="3"/>
  <c r="U912" i="3"/>
  <c r="Y896" i="3"/>
  <c r="Y880" i="3"/>
  <c r="Z863" i="3"/>
  <c r="Z845" i="3"/>
  <c r="AA828" i="3"/>
  <c r="Y812" i="3"/>
  <c r="U794" i="3"/>
  <c r="Y771" i="3"/>
  <c r="Z755" i="3"/>
  <c r="U733" i="3"/>
  <c r="U708" i="3"/>
  <c r="U692" i="3"/>
  <c r="Y676" i="3"/>
  <c r="Z659" i="3"/>
  <c r="U643" i="3"/>
  <c r="Y627" i="3"/>
  <c r="Z603" i="3"/>
  <c r="Y587" i="3"/>
  <c r="Z571" i="3"/>
  <c r="U555" i="3"/>
  <c r="U539" i="3"/>
  <c r="U523" i="3"/>
  <c r="AA507" i="3"/>
  <c r="AA491" i="3"/>
  <c r="Z472" i="3"/>
  <c r="Z456" i="3"/>
  <c r="Y438" i="3"/>
  <c r="Y422" i="3"/>
  <c r="U406" i="3"/>
  <c r="Y389" i="3"/>
  <c r="AA373" i="3"/>
  <c r="U998" i="3"/>
  <c r="Y948" i="3"/>
  <c r="AA932" i="3"/>
  <c r="Y914" i="3"/>
  <c r="Z894" i="3"/>
  <c r="Z878" i="3"/>
  <c r="AA861" i="3"/>
  <c r="Z844" i="3"/>
  <c r="Z828" i="3"/>
  <c r="AA811" i="3"/>
  <c r="Z778" i="3"/>
  <c r="U759" i="3"/>
  <c r="Z726" i="3"/>
  <c r="Y710" i="3"/>
  <c r="Y694" i="3"/>
  <c r="Z678" i="3"/>
  <c r="Y660" i="3"/>
  <c r="Z624" i="3"/>
  <c r="U608" i="3"/>
  <c r="U584" i="3"/>
  <c r="Y568" i="3"/>
  <c r="Y504" i="3"/>
  <c r="Y488" i="3"/>
  <c r="Y472" i="3"/>
  <c r="AA450" i="3"/>
  <c r="Y433" i="3"/>
  <c r="Y417" i="3"/>
  <c r="Z398" i="3"/>
  <c r="AA377" i="3"/>
  <c r="Y483" i="3"/>
  <c r="AA410" i="3"/>
  <c r="Z377" i="3"/>
  <c r="Z353" i="3"/>
  <c r="U337" i="3"/>
  <c r="AA320" i="3"/>
  <c r="Z302" i="3"/>
  <c r="U285" i="3"/>
  <c r="AA268" i="3"/>
  <c r="U252" i="3"/>
  <c r="Y236" i="3"/>
  <c r="AA218" i="3"/>
  <c r="AA200" i="3"/>
  <c r="Z182" i="3"/>
  <c r="Y163" i="3"/>
  <c r="Y143" i="3"/>
  <c r="Z127" i="3"/>
  <c r="Y111" i="3"/>
  <c r="U89" i="3"/>
  <c r="Z73" i="3"/>
  <c r="Z57" i="3"/>
  <c r="Y39" i="3"/>
  <c r="AA23" i="3"/>
  <c r="U7" i="3"/>
  <c r="Y20" i="3"/>
  <c r="AA17" i="3"/>
  <c r="Z518" i="3"/>
  <c r="Y424" i="3"/>
  <c r="Y390" i="3"/>
  <c r="AA361" i="3"/>
  <c r="AA342" i="3"/>
  <c r="Y323" i="3"/>
  <c r="Y303" i="3"/>
  <c r="Y284" i="3"/>
  <c r="Z268" i="3"/>
  <c r="U249" i="3"/>
  <c r="U232" i="3"/>
  <c r="Y214" i="3"/>
  <c r="U195" i="3"/>
  <c r="U176" i="3"/>
  <c r="Y160" i="3"/>
  <c r="Z132" i="3"/>
  <c r="U113" i="3"/>
  <c r="U97" i="3"/>
  <c r="U81" i="3"/>
  <c r="AA65" i="3"/>
  <c r="AA47" i="3"/>
  <c r="AA14" i="3"/>
  <c r="AA480" i="3"/>
  <c r="Y412" i="3"/>
  <c r="U382" i="3"/>
  <c r="Z354" i="3"/>
  <c r="Z337" i="3"/>
  <c r="Z319" i="3"/>
  <c r="U302" i="3"/>
  <c r="Z286" i="3"/>
  <c r="Y268" i="3"/>
  <c r="Z251" i="3"/>
  <c r="U230" i="3"/>
  <c r="Z212" i="3"/>
  <c r="Y193" i="3"/>
  <c r="Y167" i="3"/>
  <c r="Z150" i="3"/>
  <c r="Z131" i="3"/>
  <c r="Y108" i="3"/>
  <c r="U958" i="3"/>
  <c r="Y926" i="3"/>
  <c r="Z907" i="3"/>
  <c r="Z891" i="3"/>
  <c r="Z875" i="3"/>
  <c r="Z858" i="3"/>
  <c r="Y839" i="3"/>
  <c r="Y823" i="3"/>
  <c r="AA805" i="3"/>
  <c r="U789" i="3"/>
  <c r="U766" i="3"/>
  <c r="U744" i="3"/>
  <c r="Y720" i="3"/>
  <c r="Y703" i="3"/>
  <c r="Z687" i="3"/>
  <c r="Y2020" i="3"/>
  <c r="Z1929" i="3"/>
  <c r="Z1627" i="3"/>
  <c r="U1920" i="3"/>
  <c r="U1644" i="3"/>
  <c r="U1247" i="3"/>
  <c r="Y1085" i="3"/>
  <c r="Y1013" i="3"/>
  <c r="U1594" i="3"/>
  <c r="U1485" i="3"/>
  <c r="Z1438" i="3"/>
  <c r="Z1413" i="3"/>
  <c r="U1393" i="3"/>
  <c r="AA1377" i="3"/>
  <c r="AA1361" i="3"/>
  <c r="U1344" i="3"/>
  <c r="Z1327" i="3"/>
  <c r="AA1305" i="3"/>
  <c r="Z1289" i="3"/>
  <c r="Y1273" i="3"/>
  <c r="Z1257" i="3"/>
  <c r="Y1237" i="3"/>
  <c r="Y1221" i="3"/>
  <c r="AA1205" i="3"/>
  <c r="AA1188" i="3"/>
  <c r="AA1171" i="3"/>
  <c r="Y1152" i="3"/>
  <c r="AA1135" i="3"/>
  <c r="U1118" i="3"/>
  <c r="Y1101" i="3"/>
  <c r="U1084" i="3"/>
  <c r="Z1067" i="3"/>
  <c r="Y1051" i="3"/>
  <c r="Y1032" i="3"/>
  <c r="U1014" i="3"/>
  <c r="AA1526" i="3"/>
  <c r="U1490" i="3"/>
  <c r="U1461" i="3"/>
  <c r="Y1436" i="3"/>
  <c r="U1419" i="3"/>
  <c r="Y1402" i="3"/>
  <c r="U1383" i="3"/>
  <c r="AA1364" i="3"/>
  <c r="U1347" i="3"/>
  <c r="Y1331" i="3"/>
  <c r="U1315" i="3"/>
  <c r="U1298" i="3"/>
  <c r="U1279" i="3"/>
  <c r="AA1263" i="3"/>
  <c r="Z1247" i="3"/>
  <c r="AA1230" i="3"/>
  <c r="AA1214" i="3"/>
  <c r="Y1197" i="3"/>
  <c r="Z1180" i="3"/>
  <c r="Z1163" i="3"/>
  <c r="Z1146" i="3"/>
  <c r="Y1128" i="3"/>
  <c r="U1108" i="3"/>
  <c r="U1091" i="3"/>
  <c r="Y1070" i="3"/>
  <c r="Z1048" i="3"/>
  <c r="Y1031" i="3"/>
  <c r="U1012" i="3"/>
  <c r="Z995" i="3"/>
  <c r="Y976" i="3"/>
  <c r="Z956" i="3"/>
  <c r="Z1554" i="3"/>
  <c r="U1513" i="3"/>
  <c r="Y1471" i="3"/>
  <c r="Z1446" i="3"/>
  <c r="Y1428" i="3"/>
  <c r="Z1412" i="3"/>
  <c r="U1396" i="3"/>
  <c r="Z1380" i="3"/>
  <c r="AA1363" i="3"/>
  <c r="U1346" i="3"/>
  <c r="U1330" i="3"/>
  <c r="Y1311" i="3"/>
  <c r="Z1295" i="3"/>
  <c r="AA1279" i="3"/>
  <c r="Y1260" i="3"/>
  <c r="Y1244" i="3"/>
  <c r="U1228" i="3"/>
  <c r="U1212" i="3"/>
  <c r="U1196" i="3"/>
  <c r="Z1178" i="3"/>
  <c r="Y1159" i="3"/>
  <c r="Z1142" i="3"/>
  <c r="Z1126" i="3"/>
  <c r="Z1106" i="3"/>
  <c r="Z1088" i="3"/>
  <c r="U1072" i="3"/>
  <c r="AA1055" i="3"/>
  <c r="Z1038" i="3"/>
  <c r="Y1022" i="3"/>
  <c r="Y1005" i="3"/>
  <c r="AA988" i="3"/>
  <c r="Z999" i="3"/>
  <c r="U948" i="3"/>
  <c r="Z932" i="3"/>
  <c r="U915" i="3"/>
  <c r="U899" i="3"/>
  <c r="U883" i="3"/>
  <c r="Y866" i="3"/>
  <c r="Z847" i="3"/>
  <c r="U818" i="3"/>
  <c r="U801" i="3"/>
  <c r="Z785" i="3"/>
  <c r="Z764" i="3"/>
  <c r="Z741" i="3"/>
  <c r="Z1045" i="3"/>
  <c r="Y1479" i="3"/>
  <c r="Y1396" i="3"/>
  <c r="Z1326" i="3"/>
  <c r="U1258" i="3"/>
  <c r="AA1192" i="3"/>
  <c r="Z1122" i="3"/>
  <c r="U1043" i="3"/>
  <c r="U969" i="3"/>
  <c r="Y1458" i="3"/>
  <c r="Z1391" i="3"/>
  <c r="Y1325" i="3"/>
  <c r="Z1255" i="3"/>
  <c r="AA1191" i="3"/>
  <c r="Y1119" i="3"/>
  <c r="Y1049" i="3"/>
  <c r="AA982" i="3"/>
  <c r="Z910" i="3"/>
  <c r="AA842" i="3"/>
  <c r="Z799" i="3"/>
  <c r="Y778" i="3"/>
  <c r="Z744" i="3"/>
  <c r="Y725" i="3"/>
  <c r="AA707" i="3"/>
  <c r="U691" i="3"/>
  <c r="U675" i="3"/>
  <c r="U659" i="3"/>
  <c r="Z643" i="3"/>
  <c r="Y623" i="3"/>
  <c r="Z594" i="3"/>
  <c r="U567" i="3"/>
  <c r="Z551" i="3"/>
  <c r="AA962" i="3"/>
  <c r="Z941" i="3"/>
  <c r="U924" i="3"/>
  <c r="U906" i="3"/>
  <c r="Y889" i="3"/>
  <c r="Y873" i="3"/>
  <c r="Z855" i="3"/>
  <c r="Z836" i="3"/>
  <c r="Y811" i="3"/>
  <c r="Y794" i="3"/>
  <c r="U776" i="3"/>
  <c r="Z759" i="3"/>
  <c r="Y741" i="3"/>
  <c r="U724" i="3"/>
  <c r="Y708" i="3"/>
  <c r="Y692" i="3"/>
  <c r="Z676" i="3"/>
  <c r="Y655" i="3"/>
  <c r="Y639" i="3"/>
  <c r="U623" i="3"/>
  <c r="Z607" i="3"/>
  <c r="Z584" i="3"/>
  <c r="Y558" i="3"/>
  <c r="U542" i="3"/>
  <c r="Y526" i="3"/>
  <c r="Y510" i="3"/>
  <c r="Y494" i="3"/>
  <c r="U477" i="3"/>
  <c r="U459" i="3"/>
  <c r="U442" i="3"/>
  <c r="Z426" i="3"/>
  <c r="AA995" i="3"/>
  <c r="AA1022" i="3"/>
  <c r="AA1443" i="3"/>
  <c r="Y1374" i="3"/>
  <c r="Z1305" i="3"/>
  <c r="U1237" i="3"/>
  <c r="Z1170" i="3"/>
  <c r="Z1099" i="3"/>
  <c r="Z1022" i="3"/>
  <c r="U1585" i="3"/>
  <c r="Z1435" i="3"/>
  <c r="Z1371" i="3"/>
  <c r="U1302" i="3"/>
  <c r="Y1235" i="3"/>
  <c r="AA1169" i="3"/>
  <c r="Z1095" i="3"/>
  <c r="Z1029" i="3"/>
  <c r="Z955" i="3"/>
  <c r="Y890" i="3"/>
  <c r="U815" i="3"/>
  <c r="Z792" i="3"/>
  <c r="Z766" i="3"/>
  <c r="Z738" i="3"/>
  <c r="AA720" i="3"/>
  <c r="U702" i="3"/>
  <c r="Y686" i="3"/>
  <c r="Y670" i="3"/>
  <c r="Z654" i="3"/>
  <c r="Z638" i="3"/>
  <c r="Y618" i="3"/>
  <c r="Z589" i="3"/>
  <c r="Z562" i="3"/>
  <c r="U993" i="3"/>
  <c r="U952" i="3"/>
  <c r="U936" i="3"/>
  <c r="AA919" i="3"/>
  <c r="Z900" i="3"/>
  <c r="Z884" i="3"/>
  <c r="Y868" i="3"/>
  <c r="U848" i="3"/>
  <c r="Y827" i="3"/>
  <c r="AA806" i="3"/>
  <c r="Y789" i="3"/>
  <c r="Z771" i="3"/>
  <c r="U752" i="3"/>
  <c r="Y736" i="3"/>
  <c r="Z719" i="3"/>
  <c r="Z703" i="3"/>
  <c r="AA687" i="3"/>
  <c r="AA671" i="3"/>
  <c r="Y650" i="3"/>
  <c r="Y634" i="3"/>
  <c r="U618" i="3"/>
  <c r="Y595" i="3"/>
  <c r="Z579" i="3"/>
  <c r="Y553" i="3"/>
  <c r="Y537" i="3"/>
  <c r="Y521" i="3"/>
  <c r="Z505" i="3"/>
  <c r="Z489" i="3"/>
  <c r="Y471" i="3"/>
  <c r="Y454" i="3"/>
  <c r="AA437" i="3"/>
  <c r="AA421" i="3"/>
  <c r="Y973" i="3"/>
  <c r="Y1018" i="3"/>
  <c r="Y1439" i="3"/>
  <c r="U1367" i="3"/>
  <c r="Y1301" i="3"/>
  <c r="U1233" i="3"/>
  <c r="Z1166" i="3"/>
  <c r="Y1094" i="3"/>
  <c r="Z1016" i="3"/>
  <c r="Z1568" i="3"/>
  <c r="Y1431" i="3"/>
  <c r="U1366" i="3"/>
  <c r="AA1298" i="3"/>
  <c r="Y1231" i="3"/>
  <c r="Y1163" i="3"/>
  <c r="AA1091" i="3"/>
  <c r="Y1025" i="3"/>
  <c r="Z951" i="3"/>
  <c r="Y886" i="3"/>
  <c r="AA813" i="3"/>
  <c r="Z791" i="3"/>
  <c r="Z765" i="3"/>
  <c r="Z736" i="3"/>
  <c r="Y717" i="3"/>
  <c r="Y701" i="3"/>
  <c r="Z685" i="3"/>
  <c r="Z669" i="3"/>
  <c r="Z653" i="3"/>
  <c r="Z637" i="3"/>
  <c r="Y617" i="3"/>
  <c r="AA588" i="3"/>
  <c r="Z561" i="3"/>
  <c r="AA986" i="3"/>
  <c r="Y951" i="3"/>
  <c r="Y935" i="3"/>
  <c r="Y917" i="3"/>
  <c r="AA899" i="3"/>
  <c r="AA883" i="3"/>
  <c r="Z867" i="3"/>
  <c r="Y847" i="3"/>
  <c r="Z826" i="3"/>
  <c r="U805" i="3"/>
  <c r="Y788" i="3"/>
  <c r="Z770" i="3"/>
  <c r="U751" i="3"/>
  <c r="Y735" i="3"/>
  <c r="Z718" i="3"/>
  <c r="AA702" i="3"/>
  <c r="U686" i="3"/>
  <c r="U670" i="3"/>
  <c r="Y649" i="3"/>
  <c r="Z633" i="3"/>
  <c r="U617" i="3"/>
  <c r="Y594" i="3"/>
  <c r="Z578" i="3"/>
  <c r="Y552" i="3"/>
  <c r="Y536" i="3"/>
  <c r="Y520" i="3"/>
  <c r="AA504" i="3"/>
  <c r="AA488" i="3"/>
  <c r="Y470" i="3"/>
  <c r="AA453" i="3"/>
  <c r="U436" i="3"/>
  <c r="U420" i="3"/>
  <c r="Z970" i="3"/>
  <c r="Y1050" i="3"/>
  <c r="AA1487" i="3"/>
  <c r="Y1401" i="3"/>
  <c r="Y1330" i="3"/>
  <c r="U1262" i="3"/>
  <c r="Y1196" i="3"/>
  <c r="Y1127" i="3"/>
  <c r="U1047" i="3"/>
  <c r="Z975" i="3"/>
  <c r="U1470" i="3"/>
  <c r="U1395" i="3"/>
  <c r="Y1329" i="3"/>
  <c r="Z1259" i="3"/>
  <c r="U1195" i="3"/>
  <c r="Z1125" i="3"/>
  <c r="U1054" i="3"/>
  <c r="Y986" i="3"/>
  <c r="U914" i="3"/>
  <c r="AA846" i="3"/>
  <c r="Z800" i="3"/>
  <c r="Y779" i="3"/>
  <c r="Z746" i="3"/>
  <c r="Y726" i="3"/>
  <c r="Z708" i="3"/>
  <c r="Z692" i="3"/>
  <c r="AA676" i="3"/>
  <c r="U660" i="3"/>
  <c r="Z644" i="3"/>
  <c r="Y624" i="3"/>
  <c r="Z595" i="3"/>
  <c r="U568" i="3"/>
  <c r="Z552" i="3"/>
  <c r="U965" i="3"/>
  <c r="Y942" i="3"/>
  <c r="Z926" i="3"/>
  <c r="AA907" i="3"/>
  <c r="U890" i="3"/>
  <c r="U874" i="3"/>
  <c r="Z856" i="3"/>
  <c r="Z837" i="3"/>
  <c r="Z812" i="3"/>
  <c r="Y795" i="3"/>
  <c r="U777" i="3"/>
  <c r="Z760" i="3"/>
  <c r="Y742" i="3"/>
  <c r="U725" i="3"/>
  <c r="U709" i="3"/>
  <c r="U693" i="3"/>
  <c r="Y677" i="3"/>
  <c r="Y656" i="3"/>
  <c r="Y640" i="3"/>
  <c r="U624" i="3"/>
  <c r="Z608" i="3"/>
  <c r="Z585" i="3"/>
  <c r="Y559" i="3"/>
  <c r="AA543" i="3"/>
  <c r="Y527" i="3"/>
  <c r="Y511" i="3"/>
  <c r="U495" i="3"/>
  <c r="AA479" i="3"/>
  <c r="AA460" i="3"/>
  <c r="U443" i="3"/>
  <c r="Y427" i="3"/>
  <c r="Z1000" i="3"/>
  <c r="Z948" i="3"/>
  <c r="U932" i="3"/>
  <c r="U968" i="3"/>
  <c r="AA929" i="3"/>
  <c r="Y908" i="3"/>
  <c r="Y892" i="3"/>
  <c r="Y876" i="3"/>
  <c r="Y859" i="3"/>
  <c r="Y840" i="3"/>
  <c r="Y824" i="3"/>
  <c r="Z806" i="3"/>
  <c r="U790" i="3"/>
  <c r="U767" i="3"/>
  <c r="U745" i="3"/>
  <c r="AA729" i="3"/>
  <c r="U704" i="3"/>
  <c r="Y688" i="3"/>
  <c r="Y672" i="3"/>
  <c r="U655" i="3"/>
  <c r="U639" i="3"/>
  <c r="Y615" i="3"/>
  <c r="Z599" i="3"/>
  <c r="Y583" i="3"/>
  <c r="Z567" i="3"/>
  <c r="U551" i="3"/>
  <c r="U535" i="3"/>
  <c r="U519" i="3"/>
  <c r="AA503" i="3"/>
  <c r="AA487" i="3"/>
  <c r="Y468" i="3"/>
  <c r="AA452" i="3"/>
  <c r="Y434" i="3"/>
  <c r="Y418" i="3"/>
  <c r="U402" i="3"/>
  <c r="U385" i="3"/>
  <c r="U366" i="3"/>
  <c r="Z981" i="3"/>
  <c r="Y944" i="3"/>
  <c r="Z928" i="3"/>
  <c r="Z906" i="3"/>
  <c r="Z890" i="3"/>
  <c r="Z874" i="3"/>
  <c r="U856" i="3"/>
  <c r="U840" i="3"/>
  <c r="U824" i="3"/>
  <c r="Z807" i="3"/>
  <c r="U774" i="3"/>
  <c r="Y755" i="3"/>
  <c r="Z722" i="3"/>
  <c r="Y706" i="3"/>
  <c r="Z690" i="3"/>
  <c r="Z674" i="3"/>
  <c r="Y636" i="3"/>
  <c r="Z620" i="3"/>
  <c r="U604" i="3"/>
  <c r="U580" i="3"/>
  <c r="U549" i="3"/>
  <c r="Y500" i="3"/>
  <c r="Y484" i="3"/>
  <c r="AA466" i="3"/>
  <c r="U445" i="3"/>
  <c r="Y429" i="3"/>
  <c r="AA411" i="3"/>
  <c r="Z393" i="3"/>
  <c r="Y507" i="3"/>
  <c r="Y475" i="3"/>
  <c r="Y403" i="3"/>
  <c r="Y371" i="3"/>
  <c r="Z349" i="3"/>
  <c r="U333" i="3"/>
  <c r="Z316" i="3"/>
  <c r="AA297" i="3"/>
  <c r="AA281" i="3"/>
  <c r="AA264" i="3"/>
  <c r="AA248" i="3"/>
  <c r="Z231" i="3"/>
  <c r="Z213" i="3"/>
  <c r="Y196" i="3"/>
  <c r="AA178" i="3"/>
  <c r="Z159" i="3"/>
  <c r="U139" i="3"/>
  <c r="Y123" i="3"/>
  <c r="Z106" i="3"/>
  <c r="U85" i="3"/>
  <c r="AA69" i="3"/>
  <c r="Y53" i="3"/>
  <c r="Z35" i="3"/>
  <c r="AA19" i="3"/>
  <c r="Z41" i="3"/>
  <c r="AA16" i="3"/>
  <c r="Y542" i="3"/>
  <c r="Z510" i="3"/>
  <c r="Y416" i="3"/>
  <c r="Y381" i="3"/>
  <c r="Z357" i="3"/>
  <c r="U336" i="3"/>
  <c r="AA319" i="3"/>
  <c r="U299" i="3"/>
  <c r="Z280" i="3"/>
  <c r="Z264" i="3"/>
  <c r="Y244" i="3"/>
  <c r="U227" i="3"/>
  <c r="Z210" i="3"/>
  <c r="U190" i="3"/>
  <c r="U172" i="3"/>
  <c r="Z156" i="3"/>
  <c r="Y128" i="3"/>
  <c r="Z109" i="3"/>
  <c r="Z93" i="3"/>
  <c r="Y77" i="3"/>
  <c r="AA61" i="3"/>
  <c r="U33" i="3"/>
  <c r="U504" i="3"/>
  <c r="Z469" i="3"/>
  <c r="U404" i="3"/>
  <c r="Z367" i="3"/>
  <c r="AA350" i="3"/>
  <c r="Z332" i="3"/>
  <c r="Y315" i="3"/>
  <c r="U298" i="3"/>
  <c r="U282" i="3"/>
  <c r="Y264" i="3"/>
  <c r="U244" i="3"/>
  <c r="Y225" i="3"/>
  <c r="Z208" i="3"/>
  <c r="Y187" i="3"/>
  <c r="AA163" i="3"/>
  <c r="Z146" i="3"/>
  <c r="U127" i="3"/>
  <c r="Y104" i="3"/>
  <c r="AA943" i="3"/>
  <c r="Y920" i="3"/>
  <c r="Z903" i="3"/>
  <c r="Z887" i="3"/>
  <c r="Z871" i="3"/>
  <c r="U853" i="3"/>
  <c r="Y835" i="3"/>
  <c r="U819" i="3"/>
  <c r="Z801" i="3"/>
  <c r="U785" i="3"/>
  <c r="Y762" i="3"/>
  <c r="U740" i="3"/>
  <c r="Y715" i="3"/>
  <c r="Z1731" i="3"/>
  <c r="Z1854" i="3"/>
  <c r="U1541" i="3"/>
  <c r="Y1849" i="3"/>
  <c r="Z1474" i="3"/>
  <c r="Y1179" i="3"/>
  <c r="Y1062" i="3"/>
  <c r="Z996" i="3"/>
  <c r="AA1541" i="3"/>
  <c r="Z1463" i="3"/>
  <c r="Z1432" i="3"/>
  <c r="Y1406" i="3"/>
  <c r="AA1389" i="3"/>
  <c r="AA1373" i="3"/>
  <c r="AA1357" i="3"/>
  <c r="U1340" i="3"/>
  <c r="AA1322" i="3"/>
  <c r="Z1301" i="3"/>
  <c r="Z1285" i="3"/>
  <c r="Z1269" i="3"/>
  <c r="Z1253" i="3"/>
  <c r="Y1233" i="3"/>
  <c r="Y1217" i="3"/>
  <c r="AA1201" i="3"/>
  <c r="AA1184" i="3"/>
  <c r="Y1165" i="3"/>
  <c r="Z1148" i="3"/>
  <c r="Z1131" i="3"/>
  <c r="U1114" i="3"/>
  <c r="Z1096" i="3"/>
  <c r="AA1080" i="3"/>
  <c r="U1063" i="3"/>
  <c r="Z1046" i="3"/>
  <c r="Y1028" i="3"/>
  <c r="Z1605" i="3"/>
  <c r="U1517" i="3"/>
  <c r="Y1481" i="3"/>
  <c r="U1449" i="3"/>
  <c r="Z1431" i="3"/>
  <c r="Y1414" i="3"/>
  <c r="Y1397" i="3"/>
  <c r="U1379" i="3"/>
  <c r="AA1360" i="3"/>
  <c r="U1343" i="3"/>
  <c r="Y1327" i="3"/>
  <c r="Z1311" i="3"/>
  <c r="U1294" i="3"/>
  <c r="AA1275" i="3"/>
  <c r="AA1259" i="3"/>
  <c r="AA1243" i="3"/>
  <c r="AA1226" i="3"/>
  <c r="U1210" i="3"/>
  <c r="Z1193" i="3"/>
  <c r="Y1175" i="3"/>
  <c r="Z1159" i="3"/>
  <c r="AA1142" i="3"/>
  <c r="Y1123" i="3"/>
  <c r="Z1104" i="3"/>
  <c r="U1082" i="3"/>
  <c r="AA1065" i="3"/>
  <c r="AA1044" i="3"/>
  <c r="Y1027" i="3"/>
  <c r="Z1008" i="3"/>
  <c r="Z990" i="3"/>
  <c r="Z971" i="3"/>
  <c r="U1597" i="3"/>
  <c r="U1543" i="3"/>
  <c r="Y1506" i="3"/>
  <c r="Y1459" i="3"/>
  <c r="AA1442" i="3"/>
  <c r="Y1424" i="3"/>
  <c r="U1408" i="3"/>
  <c r="Z1392" i="3"/>
  <c r="Z1376" i="3"/>
  <c r="Z1359" i="3"/>
  <c r="U1342" i="3"/>
  <c r="Y1326" i="3"/>
  <c r="AA1307" i="3"/>
  <c r="Z1291" i="3"/>
  <c r="Z1275" i="3"/>
  <c r="Y1256" i="3"/>
  <c r="U1240" i="3"/>
  <c r="U1224" i="3"/>
  <c r="Y1208" i="3"/>
  <c r="Z1192" i="3"/>
  <c r="U1174" i="3"/>
  <c r="Y1155" i="3"/>
  <c r="Z1138" i="3"/>
  <c r="Z1121" i="3"/>
  <c r="AA1102" i="3"/>
  <c r="Z1084" i="3"/>
  <c r="Z1068" i="3"/>
  <c r="AA1051" i="3"/>
  <c r="Z1034" i="3"/>
  <c r="AA1018" i="3"/>
  <c r="Z1001" i="3"/>
  <c r="Z983" i="3"/>
  <c r="Z965" i="3"/>
  <c r="U944" i="3"/>
  <c r="Y928" i="3"/>
  <c r="Z911" i="3"/>
  <c r="U895" i="3"/>
  <c r="U879" i="3"/>
  <c r="U862" i="3"/>
  <c r="Y843" i="3"/>
  <c r="U814" i="3"/>
  <c r="Z797" i="3"/>
  <c r="Y781" i="3"/>
  <c r="Y753" i="3"/>
  <c r="Z737" i="3"/>
  <c r="Z1027" i="3"/>
  <c r="Z1448" i="3"/>
  <c r="Y1378" i="3"/>
  <c r="Z1310" i="3"/>
  <c r="U1241" i="3"/>
  <c r="Y1174" i="3"/>
  <c r="AA1103" i="3"/>
  <c r="Z1026" i="3"/>
  <c r="U1595" i="3"/>
  <c r="U1439" i="3"/>
  <c r="AA1375" i="3"/>
  <c r="U1306" i="3"/>
  <c r="Y1239" i="3"/>
  <c r="U1173" i="3"/>
  <c r="U1100" i="3"/>
  <c r="Z1033" i="3"/>
  <c r="Y964" i="3"/>
  <c r="Y894" i="3"/>
  <c r="U816" i="3"/>
  <c r="Z794" i="3"/>
  <c r="Z767" i="3"/>
  <c r="Z739" i="3"/>
  <c r="Y721" i="3"/>
  <c r="AA703" i="3"/>
  <c r="U687" i="3"/>
  <c r="U671" i="3"/>
  <c r="Z655" i="3"/>
  <c r="Z639" i="3"/>
  <c r="Y619" i="3"/>
  <c r="Z590" i="3"/>
  <c r="Z563" i="3"/>
  <c r="Y997" i="3"/>
  <c r="U955" i="3"/>
  <c r="AA937" i="3"/>
  <c r="Z920" i="3"/>
  <c r="Y901" i="3"/>
  <c r="Y885" i="3"/>
  <c r="U869" i="3"/>
  <c r="Z851" i="3"/>
  <c r="U828" i="3"/>
  <c r="U807" i="3"/>
  <c r="Y790" i="3"/>
  <c r="Z772" i="3"/>
  <c r="U753" i="3"/>
  <c r="Y737" i="3"/>
  <c r="Z720" i="3"/>
  <c r="Y704" i="3"/>
  <c r="Z688" i="3"/>
  <c r="Z672" i="3"/>
  <c r="Y651" i="3"/>
  <c r="U635" i="3"/>
  <c r="U619" i="3"/>
  <c r="Y596" i="3"/>
  <c r="Z580" i="3"/>
  <c r="Y554" i="3"/>
  <c r="Y538" i="3"/>
  <c r="Y522" i="3"/>
  <c r="Y506" i="3"/>
  <c r="Y490" i="3"/>
  <c r="AA473" i="3"/>
  <c r="U455" i="3"/>
  <c r="Z438" i="3"/>
  <c r="Z422" i="3"/>
  <c r="Z976" i="3"/>
  <c r="Y1559" i="3"/>
  <c r="U1426" i="3"/>
  <c r="Y1354" i="3"/>
  <c r="Y1289" i="3"/>
  <c r="U1221" i="3"/>
  <c r="AA1154" i="3"/>
  <c r="Y1077" i="3"/>
  <c r="Z1003" i="3"/>
  <c r="Y1526" i="3"/>
  <c r="AA1419" i="3"/>
  <c r="U1353" i="3"/>
  <c r="Z1286" i="3"/>
  <c r="Y1219" i="3"/>
  <c r="Z1149" i="3"/>
  <c r="Z1079" i="3"/>
  <c r="Z1013" i="3"/>
  <c r="Y939" i="3"/>
  <c r="Y874" i="3"/>
  <c r="U808" i="3"/>
  <c r="Z787" i="3"/>
  <c r="Y754" i="3"/>
  <c r="Z732" i="3"/>
  <c r="U714" i="3"/>
  <c r="U698" i="3"/>
  <c r="Y682" i="3"/>
  <c r="Y666" i="3"/>
  <c r="Z650" i="3"/>
  <c r="Z634" i="3"/>
  <c r="U601" i="3"/>
  <c r="U574" i="3"/>
  <c r="Z558" i="3"/>
  <c r="AA980" i="3"/>
  <c r="AA948" i="3"/>
  <c r="Y932" i="3"/>
  <c r="Y913" i="3"/>
  <c r="Z896" i="3"/>
  <c r="Z880" i="3"/>
  <c r="Z864" i="3"/>
  <c r="U843" i="3"/>
  <c r="Z823" i="3"/>
  <c r="AA802" i="3"/>
  <c r="Y784" i="3"/>
  <c r="Y766" i="3"/>
  <c r="Y748" i="3"/>
  <c r="Y732" i="3"/>
  <c r="Z715" i="3"/>
  <c r="Z699" i="3"/>
  <c r="AA683" i="3"/>
  <c r="AA667" i="3"/>
  <c r="Y646" i="3"/>
  <c r="Y630" i="3"/>
  <c r="Z614" i="3"/>
  <c r="Y591" i="3"/>
  <c r="Y565" i="3"/>
  <c r="Z549" i="3"/>
  <c r="Y533" i="3"/>
  <c r="Y517" i="3"/>
  <c r="Z501" i="3"/>
  <c r="Z485" i="3"/>
  <c r="Y466" i="3"/>
  <c r="Y450" i="3"/>
  <c r="AA433" i="3"/>
  <c r="AA417" i="3"/>
  <c r="Y963" i="3"/>
  <c r="Y1533" i="3"/>
  <c r="U1422" i="3"/>
  <c r="Y1350" i="3"/>
  <c r="Y1284" i="3"/>
  <c r="U1217" i="3"/>
  <c r="AA1150" i="3"/>
  <c r="Y1073" i="3"/>
  <c r="AA998" i="3"/>
  <c r="Y1518" i="3"/>
  <c r="Z1415" i="3"/>
  <c r="Y1349" i="3"/>
  <c r="Z1282" i="3"/>
  <c r="Y1215" i="3"/>
  <c r="AA1145" i="3"/>
  <c r="U1075" i="3"/>
  <c r="Z1009" i="3"/>
  <c r="Z935" i="3"/>
  <c r="Y870" i="3"/>
  <c r="Y807" i="3"/>
  <c r="U786" i="3"/>
  <c r="Y752" i="3"/>
  <c r="U731" i="3"/>
  <c r="Y713" i="3"/>
  <c r="Y697" i="3"/>
  <c r="Z681" i="3"/>
  <c r="Y665" i="3"/>
  <c r="Z649" i="3"/>
  <c r="AA633" i="3"/>
  <c r="U600" i="3"/>
  <c r="U573" i="3"/>
  <c r="Z557" i="3"/>
  <c r="Y978" i="3"/>
  <c r="U947" i="3"/>
  <c r="Z931" i="3"/>
  <c r="Y912" i="3"/>
  <c r="AA895" i="3"/>
  <c r="AA879" i="3"/>
  <c r="AA863" i="3"/>
  <c r="Z842" i="3"/>
  <c r="Z822" i="3"/>
  <c r="Y800" i="3"/>
  <c r="Y783" i="3"/>
  <c r="Y765" i="3"/>
  <c r="Y747" i="3"/>
  <c r="AA731" i="3"/>
  <c r="AA714" i="3"/>
  <c r="AA698" i="3"/>
  <c r="U682" i="3"/>
  <c r="U666" i="3"/>
  <c r="Y645" i="3"/>
  <c r="Z629" i="3"/>
  <c r="Z613" i="3"/>
  <c r="Y590" i="3"/>
  <c r="Y564" i="3"/>
  <c r="Y548" i="3"/>
  <c r="Y532" i="3"/>
  <c r="Y516" i="3"/>
  <c r="AA500" i="3"/>
  <c r="AA484" i="3"/>
  <c r="Y465" i="3"/>
  <c r="Y449" i="3"/>
  <c r="U432" i="3"/>
  <c r="U416" i="3"/>
  <c r="Y962" i="3"/>
  <c r="Z1031" i="3"/>
  <c r="U1460" i="3"/>
  <c r="Y1382" i="3"/>
  <c r="Y1314" i="3"/>
  <c r="Z1246" i="3"/>
  <c r="AA1179" i="3"/>
  <c r="Z1107" i="3"/>
  <c r="Z1030" i="3"/>
  <c r="U1603" i="3"/>
  <c r="U1445" i="3"/>
  <c r="AA1379" i="3"/>
  <c r="Y1310" i="3"/>
  <c r="Z1243" i="3"/>
  <c r="U1177" i="3"/>
  <c r="U1105" i="3"/>
  <c r="AA1037" i="3"/>
  <c r="AA990" i="3"/>
  <c r="Y898" i="3"/>
  <c r="U817" i="3"/>
  <c r="Z795" i="3"/>
  <c r="AA774" i="3"/>
  <c r="Z740" i="3"/>
  <c r="Y722" i="3"/>
  <c r="Z704" i="3"/>
  <c r="AA688" i="3"/>
  <c r="AA672" i="3"/>
  <c r="Z656" i="3"/>
  <c r="Z640" i="3"/>
  <c r="Y620" i="3"/>
  <c r="Z591" i="3"/>
  <c r="Z564" i="3"/>
  <c r="U1002" i="3"/>
  <c r="Y956" i="3"/>
  <c r="Y938" i="3"/>
  <c r="Y921" i="3"/>
  <c r="AA903" i="3"/>
  <c r="U886" i="3"/>
  <c r="U870" i="3"/>
  <c r="Z852" i="3"/>
  <c r="Z833" i="3"/>
  <c r="AA808" i="3"/>
  <c r="Y791" i="3"/>
  <c r="Z773" i="3"/>
  <c r="U754" i="3"/>
  <c r="Y738" i="3"/>
  <c r="U721" i="3"/>
  <c r="U705" i="3"/>
  <c r="Y689" i="3"/>
  <c r="Y673" i="3"/>
  <c r="Y652" i="3"/>
  <c r="AA636" i="3"/>
  <c r="U620" i="3"/>
  <c r="Z604" i="3"/>
  <c r="Z581" i="3"/>
  <c r="Y555" i="3"/>
  <c r="Y539" i="3"/>
  <c r="Y523" i="3"/>
  <c r="U507" i="3"/>
  <c r="U491" i="3"/>
  <c r="Z474" i="3"/>
  <c r="AA456" i="3"/>
  <c r="Y439" i="3"/>
  <c r="Y423" i="3"/>
  <c r="Y987" i="3"/>
  <c r="Z944" i="3"/>
  <c r="U927" i="3"/>
  <c r="U946" i="3"/>
  <c r="U921" i="3"/>
  <c r="Y904" i="3"/>
  <c r="Y888" i="3"/>
  <c r="Y872" i="3"/>
  <c r="AA854" i="3"/>
  <c r="Y836" i="3"/>
  <c r="U820" i="3"/>
  <c r="Z802" i="3"/>
  <c r="Z786" i="3"/>
  <c r="Y763" i="3"/>
  <c r="U741" i="3"/>
  <c r="AA717" i="3"/>
  <c r="U700" i="3"/>
  <c r="Y684" i="3"/>
  <c r="Y668" i="3"/>
  <c r="U651" i="3"/>
  <c r="AA635" i="3"/>
  <c r="Y611" i="3"/>
  <c r="U595" i="3"/>
  <c r="Y579" i="3"/>
  <c r="U563" i="3"/>
  <c r="U547" i="3"/>
  <c r="U531" i="3"/>
  <c r="U515" i="3"/>
  <c r="AA499" i="3"/>
  <c r="AA483" i="3"/>
  <c r="U464" i="3"/>
  <c r="Z447" i="3"/>
  <c r="Y430" i="3"/>
  <c r="U414" i="3"/>
  <c r="U397" i="3"/>
  <c r="U381" i="3"/>
  <c r="Y362" i="3"/>
  <c r="U970" i="3"/>
  <c r="Y940" i="3"/>
  <c r="U923" i="3"/>
  <c r="Y902" i="3"/>
  <c r="Z886" i="3"/>
  <c r="Z870" i="3"/>
  <c r="U852" i="3"/>
  <c r="U836" i="3"/>
  <c r="AA820" i="3"/>
  <c r="Y802" i="3"/>
  <c r="U770" i="3"/>
  <c r="Z751" i="3"/>
  <c r="U718" i="3"/>
  <c r="Y702" i="3"/>
  <c r="Z686" i="3"/>
  <c r="Z670" i="3"/>
  <c r="Y632" i="3"/>
  <c r="U616" i="3"/>
  <c r="Y600" i="3"/>
  <c r="Y576" i="3"/>
  <c r="U544" i="3"/>
  <c r="Y496" i="3"/>
  <c r="U480" i="3"/>
  <c r="AA458" i="3"/>
  <c r="U441" i="3"/>
  <c r="Y425" i="3"/>
  <c r="Z407" i="3"/>
  <c r="Z387" i="3"/>
  <c r="Y499" i="3"/>
  <c r="AA461" i="3"/>
  <c r="AA394" i="3"/>
  <c r="AA365" i="3"/>
  <c r="U345" i="3"/>
  <c r="Y328" i="3"/>
  <c r="Z312" i="3"/>
  <c r="Z293" i="3"/>
  <c r="U276" i="3"/>
  <c r="Z260" i="3"/>
  <c r="Z244" i="3"/>
  <c r="Y227" i="3"/>
  <c r="U209" i="3"/>
  <c r="U191" i="3"/>
  <c r="Y174" i="3"/>
  <c r="U151" i="3"/>
  <c r="U135" i="3"/>
  <c r="U119" i="3"/>
  <c r="Y101" i="3"/>
  <c r="Y81" i="3"/>
  <c r="U65" i="3"/>
  <c r="U47" i="3"/>
  <c r="U31" i="3"/>
  <c r="Y15" i="3"/>
  <c r="Z37" i="3"/>
  <c r="Z8" i="3"/>
  <c r="Z534" i="3"/>
  <c r="Y440" i="3"/>
  <c r="U407" i="3"/>
  <c r="U373" i="3"/>
  <c r="Z352" i="3"/>
  <c r="U331" i="3"/>
  <c r="Y312" i="3"/>
  <c r="U294" i="3"/>
  <c r="AA276" i="3"/>
  <c r="AA259" i="3"/>
  <c r="U240" i="3"/>
  <c r="U223" i="3"/>
  <c r="Y204" i="3"/>
  <c r="AA186" i="3"/>
  <c r="U168" i="3"/>
  <c r="Z152" i="3"/>
  <c r="U123" i="3"/>
  <c r="Z105" i="3"/>
  <c r="AA89" i="3"/>
  <c r="Y73" i="3"/>
  <c r="U55" i="3"/>
  <c r="Y29" i="3"/>
  <c r="U496" i="3"/>
  <c r="U460" i="3"/>
  <c r="Z396" i="3"/>
  <c r="Z362" i="3"/>
  <c r="Z346" i="3"/>
  <c r="U327" i="3"/>
  <c r="U311" i="3"/>
  <c r="AA294" i="3"/>
  <c r="U278" i="3"/>
  <c r="U260" i="3"/>
  <c r="AA240" i="3"/>
  <c r="Z220" i="3"/>
  <c r="U204" i="3"/>
  <c r="U183" i="3"/>
  <c r="U158" i="3"/>
  <c r="Z139" i="3"/>
  <c r="Z121" i="3"/>
  <c r="AA98" i="3"/>
  <c r="U938" i="3"/>
  <c r="Z915" i="3"/>
  <c r="Z899" i="3"/>
  <c r="Z883" i="3"/>
  <c r="AA866" i="3"/>
  <c r="Z849" i="3"/>
  <c r="Z831" i="3"/>
  <c r="Z815" i="3"/>
  <c r="U797" i="3"/>
  <c r="Y774" i="3"/>
  <c r="Y758" i="3"/>
  <c r="U736" i="3"/>
  <c r="Y711" i="3"/>
  <c r="Y695" i="3"/>
  <c r="Y699" i="3"/>
  <c r="Z671" i="3"/>
  <c r="U654" i="3"/>
  <c r="U638" i="3"/>
  <c r="Y614" i="3"/>
  <c r="Z598" i="3"/>
  <c r="Y582" i="3"/>
  <c r="U566" i="3"/>
  <c r="Y550" i="3"/>
  <c r="U534" i="3"/>
  <c r="U518" i="3"/>
  <c r="U502" i="3"/>
  <c r="U486" i="3"/>
  <c r="Z467" i="3"/>
  <c r="U450" i="3"/>
  <c r="Z433" i="3"/>
  <c r="Z417" i="3"/>
  <c r="U401" i="3"/>
  <c r="U384" i="3"/>
  <c r="Y365" i="3"/>
  <c r="U979" i="3"/>
  <c r="Z943" i="3"/>
  <c r="U926" i="3"/>
  <c r="AA905" i="3"/>
  <c r="AA889" i="3"/>
  <c r="AA873" i="3"/>
  <c r="U855" i="3"/>
  <c r="U839" i="3"/>
  <c r="U823" i="3"/>
  <c r="Y806" i="3"/>
  <c r="U773" i="3"/>
  <c r="Z754" i="3"/>
  <c r="Z721" i="3"/>
  <c r="Z705" i="3"/>
  <c r="AA689" i="3"/>
  <c r="AA673" i="3"/>
  <c r="Z635" i="3"/>
  <c r="Z619" i="3"/>
  <c r="Y603" i="3"/>
  <c r="U579" i="3"/>
  <c r="AA548" i="3"/>
  <c r="Z499" i="3"/>
  <c r="Z483" i="3"/>
  <c r="U461" i="3"/>
  <c r="Y444" i="3"/>
  <c r="Z428" i="3"/>
  <c r="U410" i="3"/>
  <c r="AA392" i="3"/>
  <c r="AA505" i="3"/>
  <c r="Z470" i="3"/>
  <c r="Y402" i="3"/>
  <c r="Y370" i="3"/>
  <c r="AA348" i="3"/>
  <c r="U332" i="3"/>
  <c r="AA315" i="3"/>
  <c r="U296" i="3"/>
  <c r="Y279" i="3"/>
  <c r="U263" i="3"/>
  <c r="U247" i="3"/>
  <c r="Z230" i="3"/>
  <c r="U212" i="3"/>
  <c r="Y195" i="3"/>
  <c r="U177" i="3"/>
  <c r="Z158" i="3"/>
  <c r="U138" i="3"/>
  <c r="Z122" i="3"/>
  <c r="AA105" i="3"/>
  <c r="Y84" i="3"/>
  <c r="U68" i="3"/>
  <c r="AA52" i="3"/>
  <c r="U34" i="3"/>
  <c r="U18" i="3"/>
  <c r="AA40" i="3"/>
  <c r="U15" i="3"/>
  <c r="Z540" i="3"/>
  <c r="U473" i="3"/>
  <c r="Z414" i="3"/>
  <c r="Y378" i="3"/>
  <c r="Z356" i="3"/>
  <c r="U335" i="3"/>
  <c r="Y316" i="3"/>
  <c r="Y298" i="3"/>
  <c r="U279" i="3"/>
  <c r="AA263" i="3"/>
  <c r="Y243" i="3"/>
  <c r="Y226" i="3"/>
  <c r="AA209" i="3"/>
  <c r="U189" i="3"/>
  <c r="U171" i="3"/>
  <c r="Z155" i="3"/>
  <c r="Y127" i="3"/>
  <c r="Z108" i="3"/>
  <c r="U92" i="3"/>
  <c r="Y76" i="3"/>
  <c r="U58" i="3"/>
  <c r="Z32" i="3"/>
  <c r="Z502" i="3"/>
  <c r="Z466" i="3"/>
  <c r="Z401" i="3"/>
  <c r="Y366" i="3"/>
  <c r="U349" i="3"/>
  <c r="Y330" i="3"/>
  <c r="Z314" i="3"/>
  <c r="Y297" i="3"/>
  <c r="Y281" i="3"/>
  <c r="Z263" i="3"/>
  <c r="U243" i="3"/>
  <c r="AA224" i="3"/>
  <c r="Z207" i="3"/>
  <c r="Z186" i="3"/>
  <c r="U161" i="3"/>
  <c r="Z145" i="3"/>
  <c r="Z126" i="3"/>
  <c r="AA103" i="3"/>
  <c r="Y80" i="3"/>
  <c r="Y931" i="3"/>
  <c r="U910" i="3"/>
  <c r="AA894" i="3"/>
  <c r="AA878" i="3"/>
  <c r="U861" i="3"/>
  <c r="Y842" i="3"/>
  <c r="Y826" i="3"/>
  <c r="Y810" i="3"/>
  <c r="U792" i="3"/>
  <c r="Y769" i="3"/>
  <c r="U747" i="3"/>
  <c r="Z731" i="3"/>
  <c r="Z706" i="3"/>
  <c r="AA690" i="3"/>
  <c r="AA674" i="3"/>
  <c r="U657" i="3"/>
  <c r="U641" i="3"/>
  <c r="Y625" i="3"/>
  <c r="Z601" i="3"/>
  <c r="Y585" i="3"/>
  <c r="Z569" i="3"/>
  <c r="U553" i="3"/>
  <c r="U537" i="3"/>
  <c r="U521" i="3"/>
  <c r="Y505" i="3"/>
  <c r="Y489" i="3"/>
  <c r="U470" i="3"/>
  <c r="U454" i="3"/>
  <c r="AA436" i="3"/>
  <c r="AA420" i="3"/>
  <c r="Z404" i="3"/>
  <c r="AA387" i="3"/>
  <c r="U368" i="3"/>
  <c r="U992" i="3"/>
  <c r="AA946" i="3"/>
  <c r="Y930" i="3"/>
  <c r="U908" i="3"/>
  <c r="U892" i="3"/>
  <c r="U876" i="3"/>
  <c r="Y858" i="3"/>
  <c r="U842" i="3"/>
  <c r="U826" i="3"/>
  <c r="Z809" i="3"/>
  <c r="Z776" i="3"/>
  <c r="U757" i="3"/>
  <c r="Z724" i="3"/>
  <c r="AA708" i="3"/>
  <c r="AA692" i="3"/>
  <c r="U676" i="3"/>
  <c r="Y658" i="3"/>
  <c r="Z622" i="3"/>
  <c r="U606" i="3"/>
  <c r="U582" i="3"/>
  <c r="AA566" i="3"/>
  <c r="AA502" i="3"/>
  <c r="AA486" i="3"/>
  <c r="U468" i="3"/>
  <c r="Y447" i="3"/>
  <c r="AA431" i="3"/>
  <c r="AA415" i="3"/>
  <c r="U395" i="3"/>
  <c r="U374" i="3"/>
  <c r="U479" i="3"/>
  <c r="Y407" i="3"/>
  <c r="Y373" i="3"/>
  <c r="U351" i="3"/>
  <c r="Y335" i="3"/>
  <c r="U318" i="3"/>
  <c r="Y299" i="3"/>
  <c r="Z283" i="3"/>
  <c r="Y266" i="3"/>
  <c r="Y250" i="3"/>
  <c r="AA234" i="3"/>
  <c r="Z215" i="3"/>
  <c r="Y198" i="3"/>
  <c r="Y180" i="3"/>
  <c r="Z161" i="3"/>
  <c r="Y141" i="3"/>
  <c r="U125" i="3"/>
  <c r="AA109" i="3"/>
  <c r="Z87" i="3"/>
  <c r="U71" i="3"/>
  <c r="Y55" i="3"/>
  <c r="AA37" i="3"/>
  <c r="Y21" i="3"/>
  <c r="U43" i="3"/>
  <c r="AA18" i="3"/>
  <c r="U546" i="3"/>
  <c r="Z514" i="3"/>
  <c r="Y420" i="3"/>
  <c r="Y386" i="3"/>
  <c r="Y359" i="3"/>
  <c r="Y339" i="3"/>
  <c r="Y321" i="3"/>
  <c r="Z301" i="3"/>
  <c r="Y282" i="3"/>
  <c r="U266" i="3"/>
  <c r="AA247" i="3"/>
  <c r="Y230" i="3"/>
  <c r="AA212" i="3"/>
  <c r="Z193" i="3"/>
  <c r="U174" i="3"/>
  <c r="Y158" i="3"/>
  <c r="U130" i="3"/>
  <c r="U111" i="3"/>
  <c r="Z95" i="3"/>
  <c r="AA79" i="3"/>
  <c r="Y63" i="3"/>
  <c r="Z45" i="3"/>
  <c r="U508" i="3"/>
  <c r="Y476" i="3"/>
  <c r="U408" i="3"/>
  <c r="U378" i="3"/>
  <c r="Y352" i="3"/>
  <c r="U334" i="3"/>
  <c r="Z317" i="3"/>
  <c r="Y300" i="3"/>
  <c r="U284" i="3"/>
  <c r="AA266" i="3"/>
  <c r="U935" i="3"/>
  <c r="U913" i="3"/>
  <c r="U897" i="3"/>
  <c r="U881" i="3"/>
  <c r="Y864" i="3"/>
  <c r="Y846" i="3"/>
  <c r="Z829" i="3"/>
  <c r="Y813" i="3"/>
  <c r="U795" i="3"/>
  <c r="Y772" i="3"/>
  <c r="Z756" i="3"/>
  <c r="U734" i="3"/>
  <c r="AA709" i="3"/>
  <c r="AA693" i="3"/>
  <c r="U677" i="3"/>
  <c r="Z660" i="3"/>
  <c r="U644" i="3"/>
  <c r="Y628" i="3"/>
  <c r="Y604" i="3"/>
  <c r="Y588" i="3"/>
  <c r="Z572" i="3"/>
  <c r="U556" i="3"/>
  <c r="U540" i="3"/>
  <c r="U524" i="3"/>
  <c r="Z508" i="3"/>
  <c r="Z492" i="3"/>
  <c r="Z473" i="3"/>
  <c r="Y457" i="3"/>
  <c r="U439" i="3"/>
  <c r="U423" i="3"/>
  <c r="AA407" i="3"/>
  <c r="U390" i="3"/>
  <c r="Y374" i="3"/>
  <c r="U1001" i="3"/>
  <c r="U949" i="3"/>
  <c r="Z933" i="3"/>
  <c r="Y915" i="3"/>
  <c r="Y895" i="3"/>
  <c r="Y879" i="3"/>
  <c r="Y862" i="3"/>
  <c r="Y845" i="3"/>
  <c r="Y829" i="3"/>
  <c r="U812" i="3"/>
  <c r="Z779" i="3"/>
  <c r="U760" i="3"/>
  <c r="Z727" i="3"/>
  <c r="U711" i="3"/>
  <c r="U695" i="3"/>
  <c r="Y679" i="3"/>
  <c r="Y661" i="3"/>
  <c r="U625" i="3"/>
  <c r="U609" i="3"/>
  <c r="U585" i="3"/>
  <c r="Y569" i="3"/>
  <c r="U505" i="3"/>
  <c r="U489" i="3"/>
  <c r="Y473" i="3"/>
  <c r="Z451" i="3"/>
  <c r="U434" i="3"/>
  <c r="U418" i="3"/>
  <c r="Z399" i="3"/>
  <c r="Z378" i="3"/>
  <c r="AA485" i="3"/>
  <c r="U447" i="3"/>
  <c r="Z380" i="3"/>
  <c r="U354" i="3"/>
  <c r="U338" i="3"/>
  <c r="Z321" i="3"/>
  <c r="Z303" i="3"/>
  <c r="U286" i="3"/>
  <c r="Z269" i="3"/>
  <c r="Z253" i="3"/>
  <c r="U237" i="3"/>
  <c r="Z219" i="3"/>
  <c r="Z201" i="3"/>
  <c r="Z183" i="3"/>
  <c r="AA167" i="3"/>
  <c r="Y144" i="3"/>
  <c r="Z128" i="3"/>
  <c r="Y112" i="3"/>
  <c r="AA90" i="3"/>
  <c r="Y74" i="3"/>
  <c r="Y58" i="3"/>
  <c r="U40" i="3"/>
  <c r="Z24" i="3"/>
  <c r="AA8" i="3"/>
  <c r="U21" i="3"/>
  <c r="Y18" i="3"/>
  <c r="Z520" i="3"/>
  <c r="AA426" i="3"/>
  <c r="Z391" i="3"/>
  <c r="Z364" i="3"/>
  <c r="Y343" i="3"/>
  <c r="U324" i="3"/>
  <c r="U304" i="3"/>
  <c r="AA287" i="3"/>
  <c r="Y269" i="3"/>
  <c r="U250" i="3"/>
  <c r="Z233" i="3"/>
  <c r="Y215" i="3"/>
  <c r="U196" i="3"/>
  <c r="AA177" i="3"/>
  <c r="Y161" i="3"/>
  <c r="Y133" i="3"/>
  <c r="U114" i="3"/>
  <c r="U98" i="3"/>
  <c r="U82" i="3"/>
  <c r="Z66" i="3"/>
  <c r="Z48" i="3"/>
  <c r="U10" i="3"/>
  <c r="Y482" i="3"/>
  <c r="AA441" i="3"/>
  <c r="AA383" i="3"/>
  <c r="Z355" i="3"/>
  <c r="Z338" i="3"/>
  <c r="Y320" i="3"/>
  <c r="U303" i="3"/>
  <c r="Z287" i="3"/>
  <c r="U269" i="3"/>
  <c r="Z252" i="3"/>
  <c r="U231" i="3"/>
  <c r="U213" i="3"/>
  <c r="Y194" i="3"/>
  <c r="AA176" i="3"/>
  <c r="Z151" i="3"/>
  <c r="Y132" i="3"/>
  <c r="Y109" i="3"/>
  <c r="Z89" i="3"/>
  <c r="Z202" i="3"/>
  <c r="Z119" i="3"/>
  <c r="U73" i="3"/>
  <c r="U57" i="3"/>
  <c r="Y41" i="3"/>
  <c r="AA25" i="3"/>
  <c r="U9" i="3"/>
  <c r="Y7" i="3"/>
  <c r="Z515" i="3"/>
  <c r="Z427" i="3"/>
  <c r="Y396" i="3"/>
  <c r="Z368" i="3"/>
  <c r="Y346" i="3"/>
  <c r="AA327" i="3"/>
  <c r="Y307" i="3"/>
  <c r="AA289" i="3"/>
  <c r="Z270" i="3"/>
  <c r="Y251" i="3"/>
  <c r="AA231" i="3"/>
  <c r="AA211" i="3"/>
  <c r="U193" i="3"/>
  <c r="Z176" i="3"/>
  <c r="U155" i="3"/>
  <c r="Y139" i="3"/>
  <c r="Y121" i="3"/>
  <c r="U105" i="3"/>
  <c r="Y89" i="3"/>
  <c r="U72" i="3"/>
  <c r="Z53" i="3"/>
  <c r="Y34" i="3"/>
  <c r="U37" i="3"/>
  <c r="U253" i="3"/>
  <c r="Z177" i="3"/>
  <c r="Y90" i="3"/>
  <c r="Z68" i="3"/>
  <c r="Y52" i="3"/>
  <c r="AA36" i="3"/>
  <c r="U20" i="3"/>
  <c r="Y51" i="3"/>
  <c r="Z537" i="3"/>
  <c r="U472" i="3"/>
  <c r="U417" i="3"/>
  <c r="Z385" i="3"/>
  <c r="U361" i="3"/>
  <c r="AA340" i="3"/>
  <c r="U320" i="3"/>
  <c r="U301" i="3"/>
  <c r="U281" i="3"/>
  <c r="AA265" i="3"/>
  <c r="Y246" i="3"/>
  <c r="Z224" i="3"/>
  <c r="Z206" i="3"/>
  <c r="U188" i="3"/>
  <c r="Z171" i="3"/>
  <c r="Y150" i="3"/>
  <c r="Y134" i="3"/>
  <c r="Y116" i="3"/>
  <c r="U100" i="3"/>
  <c r="Z84" i="3"/>
  <c r="Z67" i="3"/>
  <c r="U41" i="3"/>
  <c r="Z228" i="3"/>
  <c r="Z148" i="3"/>
  <c r="Z79" i="3"/>
  <c r="U63" i="3"/>
  <c r="Z47" i="3"/>
  <c r="Z31" i="3"/>
  <c r="AA15" i="3"/>
  <c r="U27" i="3"/>
  <c r="Z527" i="3"/>
  <c r="Z439" i="3"/>
  <c r="Z406" i="3"/>
  <c r="Z376" i="3"/>
  <c r="U352" i="3"/>
  <c r="Y333" i="3"/>
  <c r="U315" i="3"/>
  <c r="Y296" i="3"/>
  <c r="Y276" i="3"/>
  <c r="Y259" i="3"/>
  <c r="Y237" i="3"/>
  <c r="AA219" i="3"/>
  <c r="Y199" i="3"/>
  <c r="AA183" i="3"/>
  <c r="U166" i="3"/>
  <c r="Y145" i="3"/>
  <c r="AA129" i="3"/>
  <c r="Z111" i="3"/>
  <c r="U95" i="3"/>
  <c r="Y79" i="3"/>
  <c r="Y59" i="3"/>
  <c r="Z36" i="3"/>
  <c r="Z185" i="3"/>
  <c r="Y100" i="3"/>
  <c r="U70" i="3"/>
  <c r="Y54" i="3"/>
  <c r="U38" i="3"/>
  <c r="Z22" i="3"/>
  <c r="Y60" i="3"/>
  <c r="Z541" i="3"/>
  <c r="Z509" i="3"/>
  <c r="U421" i="3"/>
  <c r="AA389" i="3"/>
  <c r="Z363" i="3"/>
  <c r="Y342" i="3"/>
  <c r="Z324" i="3"/>
  <c r="Z304" i="3"/>
  <c r="Y285" i="3"/>
  <c r="Y267" i="3"/>
  <c r="U248" i="3"/>
  <c r="Z227" i="3"/>
  <c r="Y208" i="3"/>
  <c r="Z190" i="3"/>
  <c r="Z173" i="3"/>
  <c r="U152" i="3"/>
  <c r="Y136" i="3"/>
  <c r="AA118" i="3"/>
  <c r="Z102" i="3"/>
  <c r="U86" i="3"/>
  <c r="U69" i="3"/>
  <c r="Y47" i="3"/>
  <c r="Z25" i="3"/>
  <c r="AO21" i="4" a="1"/>
  <c r="AP149" i="4" a="1"/>
  <c r="AO174" i="4" a="1"/>
  <c r="AP150" i="4" a="1"/>
  <c r="AP198" i="4" a="1"/>
  <c r="AO199" i="4" a="1"/>
  <c r="AP100" i="4" a="1"/>
  <c r="AO176" i="4" a="1"/>
  <c r="AO104" i="4" a="1"/>
  <c r="AP200" i="4" a="1"/>
  <c r="AP117" i="4" a="1"/>
  <c r="AO72" i="4" a="1"/>
  <c r="AO76" i="4" a="1"/>
  <c r="AO9" i="4" a="1"/>
  <c r="AP221" i="4" a="1"/>
  <c r="AP258" i="4" a="1"/>
  <c r="AP35" i="4" a="1"/>
  <c r="AO6" i="4" a="1"/>
  <c r="AP130" i="4" a="1"/>
  <c r="AP58" i="4" a="1"/>
  <c r="Z683" i="3"/>
  <c r="Z667" i="3"/>
  <c r="U650" i="3"/>
  <c r="U634" i="3"/>
  <c r="Y610" i="3"/>
  <c r="U594" i="3"/>
  <c r="Y578" i="3"/>
  <c r="U562" i="3"/>
  <c r="Z546" i="3"/>
  <c r="U530" i="3"/>
  <c r="U514" i="3"/>
  <c r="U498" i="3"/>
  <c r="U481" i="3"/>
  <c r="U463" i="3"/>
  <c r="U446" i="3"/>
  <c r="Z429" i="3"/>
  <c r="U413" i="3"/>
  <c r="U396" i="3"/>
  <c r="Y380" i="3"/>
  <c r="Z361" i="3"/>
  <c r="AA964" i="3"/>
  <c r="Z939" i="3"/>
  <c r="Z922" i="3"/>
  <c r="AA901" i="3"/>
  <c r="AA885" i="3"/>
  <c r="Z869" i="3"/>
  <c r="U851" i="3"/>
  <c r="U835" i="3"/>
  <c r="Y818" i="3"/>
  <c r="Y801" i="3"/>
  <c r="U769" i="3"/>
  <c r="Z750" i="3"/>
  <c r="Z717" i="3"/>
  <c r="Z701" i="3"/>
  <c r="AA685" i="3"/>
  <c r="AA669" i="3"/>
  <c r="Z631" i="3"/>
  <c r="U615" i="3"/>
  <c r="Y599" i="3"/>
  <c r="Y575" i="3"/>
  <c r="Y543" i="3"/>
  <c r="Z495" i="3"/>
  <c r="Y479" i="3"/>
  <c r="U457" i="3"/>
  <c r="Z440" i="3"/>
  <c r="Z424" i="3"/>
  <c r="AA406" i="3"/>
  <c r="AA386" i="3"/>
  <c r="AA497" i="3"/>
  <c r="Y459" i="3"/>
  <c r="U393" i="3"/>
  <c r="U363" i="3"/>
  <c r="Y344" i="3"/>
  <c r="Z327" i="3"/>
  <c r="Z311" i="3"/>
  <c r="Z292" i="3"/>
  <c r="Y275" i="3"/>
  <c r="U259" i="3"/>
  <c r="Z243" i="3"/>
  <c r="Z226" i="3"/>
  <c r="U208" i="3"/>
  <c r="Y190" i="3"/>
  <c r="Y173" i="3"/>
  <c r="U150" i="3"/>
  <c r="U134" i="3"/>
  <c r="Z118" i="3"/>
  <c r="AA100" i="3"/>
  <c r="AA80" i="3"/>
  <c r="Z64" i="3"/>
  <c r="Z46" i="3"/>
  <c r="Y30" i="3"/>
  <c r="Z14" i="3"/>
  <c r="Y35" i="3"/>
  <c r="AA7" i="3"/>
  <c r="Z532" i="3"/>
  <c r="AA438" i="3"/>
  <c r="AA404" i="3"/>
  <c r="U372" i="3"/>
  <c r="AA351" i="3"/>
  <c r="Z330" i="3"/>
  <c r="Y311" i="3"/>
  <c r="Y293" i="3"/>
  <c r="U275" i="3"/>
  <c r="U257" i="3"/>
  <c r="U239" i="3"/>
  <c r="Z222" i="3"/>
  <c r="Z203" i="3"/>
  <c r="Y183" i="3"/>
  <c r="Z167" i="3"/>
  <c r="U144" i="3"/>
  <c r="Y122" i="3"/>
  <c r="Z104" i="3"/>
  <c r="U88" i="3"/>
  <c r="Z72" i="3"/>
  <c r="Z54" i="3"/>
  <c r="AA28" i="3"/>
  <c r="Z494" i="3"/>
  <c r="Z458" i="3"/>
  <c r="Z395" i="3"/>
  <c r="Y361" i="3"/>
  <c r="Z345" i="3"/>
  <c r="Y326" i="3"/>
  <c r="Y310" i="3"/>
  <c r="U293" i="3"/>
  <c r="Y277" i="3"/>
  <c r="Z259" i="3"/>
  <c r="U238" i="3"/>
  <c r="U219" i="3"/>
  <c r="Y203" i="3"/>
  <c r="U182" i="3"/>
  <c r="U157" i="3"/>
  <c r="Z138" i="3"/>
  <c r="Z120" i="3"/>
  <c r="Y96" i="3"/>
  <c r="U950" i="3"/>
  <c r="Z925" i="3"/>
  <c r="AA906" i="3"/>
  <c r="AA890" i="3"/>
  <c r="AA874" i="3"/>
  <c r="Y856" i="3"/>
  <c r="Y838" i="3"/>
  <c r="Y822" i="3"/>
  <c r="U804" i="3"/>
  <c r="U788" i="3"/>
  <c r="U765" i="3"/>
  <c r="U743" i="3"/>
  <c r="Y719" i="3"/>
  <c r="Z702" i="3"/>
  <c r="AA686" i="3"/>
  <c r="AA670" i="3"/>
  <c r="U653" i="3"/>
  <c r="U637" i="3"/>
  <c r="Y613" i="3"/>
  <c r="Z597" i="3"/>
  <c r="Y581" i="3"/>
  <c r="U565" i="3"/>
  <c r="Y549" i="3"/>
  <c r="U533" i="3"/>
  <c r="U517" i="3"/>
  <c r="Y501" i="3"/>
  <c r="Y485" i="3"/>
  <c r="U466" i="3"/>
  <c r="U449" i="3"/>
  <c r="AA432" i="3"/>
  <c r="AA416" i="3"/>
  <c r="Z400" i="3"/>
  <c r="Z383" i="3"/>
  <c r="AA364" i="3"/>
  <c r="Y977" i="3"/>
  <c r="AA942" i="3"/>
  <c r="Y925" i="3"/>
  <c r="U904" i="3"/>
  <c r="U888" i="3"/>
  <c r="U872" i="3"/>
  <c r="Z854" i="3"/>
  <c r="U838" i="3"/>
  <c r="U822" i="3"/>
  <c r="Z805" i="3"/>
  <c r="U772" i="3"/>
  <c r="Z753" i="3"/>
  <c r="U720" i="3"/>
  <c r="AA704" i="3"/>
  <c r="U688" i="3"/>
  <c r="U672" i="3"/>
  <c r="AA634" i="3"/>
  <c r="Z618" i="3"/>
  <c r="Y602" i="3"/>
  <c r="U578" i="3"/>
  <c r="Y546" i="3"/>
  <c r="AA498" i="3"/>
  <c r="Z482" i="3"/>
  <c r="Y460" i="3"/>
  <c r="Z443" i="3"/>
  <c r="AA427" i="3"/>
  <c r="Y409" i="3"/>
  <c r="U389" i="3"/>
  <c r="Y503" i="3"/>
  <c r="Z465" i="3"/>
  <c r="Y398" i="3"/>
  <c r="Z369" i="3"/>
  <c r="U347" i="3"/>
  <c r="Y331" i="3"/>
  <c r="U314" i="3"/>
  <c r="U295" i="3"/>
  <c r="Z278" i="3"/>
  <c r="U262" i="3"/>
  <c r="U246" i="3"/>
  <c r="U229" i="3"/>
  <c r="Z211" i="3"/>
  <c r="AA194" i="3"/>
  <c r="Y176" i="3"/>
  <c r="Z157" i="3"/>
  <c r="U137" i="3"/>
  <c r="U121" i="3"/>
  <c r="Y103" i="3"/>
  <c r="Y83" i="3"/>
  <c r="Y67" i="3"/>
  <c r="U51" i="3"/>
  <c r="Y33" i="3"/>
  <c r="Z17" i="3"/>
  <c r="U39" i="3"/>
  <c r="Y14" i="3"/>
  <c r="Z538" i="3"/>
  <c r="AA445" i="3"/>
  <c r="Z411" i="3"/>
  <c r="Y377" i="3"/>
  <c r="AA355" i="3"/>
  <c r="Y334" i="3"/>
  <c r="Z315" i="3"/>
  <c r="Z297" i="3"/>
  <c r="Y278" i="3"/>
  <c r="Y261" i="3"/>
  <c r="Y242" i="3"/>
  <c r="Z225" i="3"/>
  <c r="U206" i="3"/>
  <c r="Z188" i="3"/>
  <c r="U170" i="3"/>
  <c r="Z154" i="3"/>
  <c r="AA126" i="3"/>
  <c r="U107" i="3"/>
  <c r="U91" i="3"/>
  <c r="AA75" i="3"/>
  <c r="Y57" i="3"/>
  <c r="AA31" i="3"/>
  <c r="U500" i="3"/>
  <c r="Z464" i="3"/>
  <c r="AA400" i="3"/>
  <c r="U365" i="3"/>
  <c r="Y348" i="3"/>
  <c r="Y329" i="3"/>
  <c r="U313" i="3"/>
  <c r="Z296" i="3"/>
  <c r="Y280" i="3"/>
  <c r="Z262" i="3"/>
  <c r="Z930" i="3"/>
  <c r="U909" i="3"/>
  <c r="U893" i="3"/>
  <c r="U877" i="3"/>
  <c r="U860" i="3"/>
  <c r="Y841" i="3"/>
  <c r="Y825" i="3"/>
  <c r="Z808" i="3"/>
  <c r="U791" i="3"/>
  <c r="Z768" i="3"/>
  <c r="U746" i="3"/>
  <c r="Z730" i="3"/>
  <c r="AA705" i="3"/>
  <c r="U689" i="3"/>
  <c r="U673" i="3"/>
  <c r="U656" i="3"/>
  <c r="U640" i="3"/>
  <c r="Y616" i="3"/>
  <c r="Z600" i="3"/>
  <c r="Y584" i="3"/>
  <c r="Z568" i="3"/>
  <c r="U552" i="3"/>
  <c r="U536" i="3"/>
  <c r="U520" i="3"/>
  <c r="Z504" i="3"/>
  <c r="Z488" i="3"/>
  <c r="U469" i="3"/>
  <c r="Z453" i="3"/>
  <c r="U435" i="3"/>
  <c r="U419" i="3"/>
  <c r="AA403" i="3"/>
  <c r="U386" i="3"/>
  <c r="U367" i="3"/>
  <c r="U983" i="3"/>
  <c r="U945" i="3"/>
  <c r="Z929" i="3"/>
  <c r="Y907" i="3"/>
  <c r="Y891" i="3"/>
  <c r="Y875" i="3"/>
  <c r="Z857" i="3"/>
  <c r="U841" i="3"/>
  <c r="U825" i="3"/>
  <c r="Y808" i="3"/>
  <c r="Z775" i="3"/>
  <c r="Y756" i="3"/>
  <c r="Z723" i="3"/>
  <c r="U707" i="3"/>
  <c r="Y691" i="3"/>
  <c r="Y675" i="3"/>
  <c r="AA657" i="3"/>
  <c r="Z621" i="3"/>
  <c r="U605" i="3"/>
  <c r="U581" i="3"/>
  <c r="U550" i="3"/>
  <c r="U501" i="3"/>
  <c r="U485" i="3"/>
  <c r="Y467" i="3"/>
  <c r="AA446" i="3"/>
  <c r="U430" i="3"/>
  <c r="Z412" i="3"/>
  <c r="Y394" i="3"/>
  <c r="Z373" i="3"/>
  <c r="Y477" i="3"/>
  <c r="Y406" i="3"/>
  <c r="Y372" i="3"/>
  <c r="Y350" i="3"/>
  <c r="Z334" i="3"/>
  <c r="U317" i="3"/>
  <c r="Z298" i="3"/>
  <c r="Z282" i="3"/>
  <c r="Z265" i="3"/>
  <c r="Y249" i="3"/>
  <c r="Y232" i="3"/>
  <c r="Z214" i="3"/>
  <c r="Y197" i="3"/>
  <c r="Z179" i="3"/>
  <c r="Z160" i="3"/>
  <c r="AA140" i="3"/>
  <c r="Y124" i="3"/>
  <c r="Y107" i="3"/>
  <c r="AA86" i="3"/>
  <c r="Z70" i="3"/>
  <c r="AA54" i="3"/>
  <c r="Y36" i="3"/>
  <c r="Z20" i="3"/>
  <c r="Y42" i="3"/>
  <c r="Y17" i="3"/>
  <c r="AA544" i="3"/>
  <c r="Z512" i="3"/>
  <c r="AA418" i="3"/>
  <c r="Y382" i="3"/>
  <c r="Z358" i="3"/>
  <c r="AA338" i="3"/>
  <c r="Z320" i="3"/>
  <c r="Z300" i="3"/>
  <c r="Z281" i="3"/>
  <c r="Y265" i="3"/>
  <c r="U245" i="3"/>
  <c r="AA229" i="3"/>
  <c r="Y211" i="3"/>
  <c r="AA192" i="3"/>
  <c r="U173" i="3"/>
  <c r="Y157" i="3"/>
  <c r="Y129" i="3"/>
  <c r="U110" i="3"/>
  <c r="Z94" i="3"/>
  <c r="U78" i="3"/>
  <c r="Y62" i="3"/>
  <c r="U36" i="3"/>
  <c r="Z506" i="3"/>
  <c r="Z471" i="3"/>
  <c r="AA405" i="3"/>
  <c r="AA375" i="3"/>
  <c r="Z351" i="3"/>
  <c r="Z333" i="3"/>
  <c r="U316" i="3"/>
  <c r="AA299" i="3"/>
  <c r="U283" i="3"/>
  <c r="U265" i="3"/>
  <c r="Z246" i="3"/>
  <c r="U226" i="3"/>
  <c r="Z209" i="3"/>
  <c r="Y188" i="3"/>
  <c r="Y164" i="3"/>
  <c r="Z147" i="3"/>
  <c r="U128" i="3"/>
  <c r="Y105" i="3"/>
  <c r="Z258" i="3"/>
  <c r="Z181" i="3"/>
  <c r="Y95" i="3"/>
  <c r="Y69" i="3"/>
  <c r="AA53" i="3"/>
  <c r="Y37" i="3"/>
  <c r="AA21" i="3"/>
  <c r="U52" i="3"/>
  <c r="Z539" i="3"/>
  <c r="AA474" i="3"/>
  <c r="Z419" i="3"/>
  <c r="U388" i="3"/>
  <c r="U362" i="3"/>
  <c r="Y341" i="3"/>
  <c r="AA323" i="3"/>
  <c r="AA303" i="3"/>
  <c r="AA284" i="3"/>
  <c r="Z266" i="3"/>
  <c r="Y247" i="3"/>
  <c r="U225" i="3"/>
  <c r="Y207" i="3"/>
  <c r="Z189" i="3"/>
  <c r="Z172" i="3"/>
  <c r="Y151" i="3"/>
  <c r="Y135" i="3"/>
  <c r="U117" i="3"/>
  <c r="Z101" i="3"/>
  <c r="Y85" i="3"/>
  <c r="Y68" i="3"/>
  <c r="AA46" i="3"/>
  <c r="AA24" i="3"/>
  <c r="Z33" i="3"/>
  <c r="AA232" i="3"/>
  <c r="Y152" i="3"/>
  <c r="AA84" i="3"/>
  <c r="U64" i="3"/>
  <c r="Y48" i="3"/>
  <c r="Y32" i="3"/>
  <c r="Z16" i="3"/>
  <c r="Y28" i="3"/>
  <c r="Z529" i="3"/>
  <c r="Y442" i="3"/>
  <c r="AA409" i="3"/>
  <c r="U379" i="3"/>
  <c r="AA353" i="3"/>
  <c r="Z335" i="3"/>
  <c r="AA316" i="3"/>
  <c r="U297" i="3"/>
  <c r="U277" i="3"/>
  <c r="AA261" i="3"/>
  <c r="Z239" i="3"/>
  <c r="Y220" i="3"/>
  <c r="U200" i="3"/>
  <c r="Y184" i="3"/>
  <c r="U167" i="3"/>
  <c r="Y146" i="3"/>
  <c r="Z130" i="3"/>
  <c r="Z112" i="3"/>
  <c r="U96" i="3"/>
  <c r="U80" i="3"/>
  <c r="Y61" i="3"/>
  <c r="AA20" i="3"/>
  <c r="Y210" i="3"/>
  <c r="U129" i="3"/>
  <c r="Z75" i="3"/>
  <c r="Z59" i="3"/>
  <c r="AA43" i="3"/>
  <c r="Y27" i="3"/>
  <c r="Z11" i="3"/>
  <c r="AA9" i="3"/>
  <c r="Z519" i="3"/>
  <c r="Z431" i="3"/>
  <c r="U400" i="3"/>
  <c r="Z370" i="3"/>
  <c r="U348" i="3"/>
  <c r="U329" i="3"/>
  <c r="U309" i="3"/>
  <c r="Y291" i="3"/>
  <c r="U272" i="3"/>
  <c r="AA255" i="3"/>
  <c r="U233" i="3"/>
  <c r="AA215" i="3"/>
  <c r="Z195" i="3"/>
  <c r="U178" i="3"/>
  <c r="Z162" i="3"/>
  <c r="Z141" i="3"/>
  <c r="Z123" i="3"/>
  <c r="Z107" i="3"/>
  <c r="Z91" i="3"/>
  <c r="Z74" i="3"/>
  <c r="Z55" i="3"/>
  <c r="U242" i="3"/>
  <c r="U160" i="3"/>
  <c r="Y86" i="3"/>
  <c r="Y66" i="3"/>
  <c r="U50" i="3"/>
  <c r="Z34" i="3"/>
  <c r="Z18" i="3"/>
  <c r="Y31" i="3"/>
  <c r="Z533" i="3"/>
  <c r="Z446" i="3"/>
  <c r="Z413" i="3"/>
  <c r="U383" i="3"/>
  <c r="Y355" i="3"/>
  <c r="Y337" i="3"/>
  <c r="Y318" i="3"/>
  <c r="Z299" i="3"/>
  <c r="Z279" i="3"/>
  <c r="Y263" i="3"/>
  <c r="Y241" i="3"/>
  <c r="U222" i="3"/>
  <c r="Y202" i="3"/>
  <c r="Z679" i="3"/>
  <c r="Z662" i="3"/>
  <c r="U646" i="3"/>
  <c r="U630" i="3"/>
  <c r="Y606" i="3"/>
  <c r="U590" i="3"/>
  <c r="Z574" i="3"/>
  <c r="U558" i="3"/>
  <c r="AA542" i="3"/>
  <c r="U526" i="3"/>
  <c r="U510" i="3"/>
  <c r="U494" i="3"/>
  <c r="AA477" i="3"/>
  <c r="AA459" i="3"/>
  <c r="Y441" i="3"/>
  <c r="Z425" i="3"/>
  <c r="Z409" i="3"/>
  <c r="U392" i="3"/>
  <c r="U376" i="3"/>
  <c r="Y357" i="3"/>
  <c r="Y953" i="3"/>
  <c r="AA935" i="3"/>
  <c r="Y918" i="3"/>
  <c r="AA897" i="3"/>
  <c r="AA881" i="3"/>
  <c r="U864" i="3"/>
  <c r="AA847" i="3"/>
  <c r="Y831" i="3"/>
  <c r="Y814" i="3"/>
  <c r="Z781" i="3"/>
  <c r="U762" i="3"/>
  <c r="Z729" i="3"/>
  <c r="Z713" i="3"/>
  <c r="Z697" i="3"/>
  <c r="AA681" i="3"/>
  <c r="Z665" i="3"/>
  <c r="U627" i="3"/>
  <c r="U611" i="3"/>
  <c r="U587" i="3"/>
  <c r="Y571" i="3"/>
  <c r="Z507" i="3"/>
  <c r="Z491" i="3"/>
  <c r="Z475" i="3"/>
  <c r="Y453" i="3"/>
  <c r="Z436" i="3"/>
  <c r="Z420" i="3"/>
  <c r="AA402" i="3"/>
  <c r="U380" i="3"/>
  <c r="AA489" i="3"/>
  <c r="Y451" i="3"/>
  <c r="Y385" i="3"/>
  <c r="AA356" i="3"/>
  <c r="Z340" i="3"/>
  <c r="Z323" i="3"/>
  <c r="Y305" i="3"/>
  <c r="Z288" i="3"/>
  <c r="U271" i="3"/>
  <c r="Z255" i="3"/>
  <c r="Y239" i="3"/>
  <c r="U221" i="3"/>
  <c r="Z204" i="3"/>
  <c r="U185" i="3"/>
  <c r="Y169" i="3"/>
  <c r="U146" i="3"/>
  <c r="Y130" i="3"/>
  <c r="Y114" i="3"/>
  <c r="Y92" i="3"/>
  <c r="Z76" i="3"/>
  <c r="U60" i="3"/>
  <c r="Z42" i="3"/>
  <c r="U26" i="3"/>
  <c r="Y10" i="3"/>
  <c r="Z23" i="3"/>
  <c r="Z21" i="3"/>
  <c r="Z524" i="3"/>
  <c r="AA430" i="3"/>
  <c r="AA395" i="3"/>
  <c r="Z366" i="3"/>
  <c r="AA347" i="3"/>
  <c r="Z326" i="3"/>
  <c r="AA307" i="3"/>
  <c r="Y289" i="3"/>
  <c r="AA271" i="3"/>
  <c r="Y253" i="3"/>
  <c r="U235" i="3"/>
  <c r="Z217" i="3"/>
  <c r="U198" i="3"/>
  <c r="Y179" i="3"/>
  <c r="U163" i="3"/>
  <c r="Z140" i="3"/>
  <c r="AA116" i="3"/>
  <c r="Z100" i="3"/>
  <c r="U84" i="3"/>
  <c r="AA68" i="3"/>
  <c r="Y50" i="3"/>
  <c r="Z12" i="3"/>
  <c r="Z486" i="3"/>
  <c r="Z450" i="3"/>
  <c r="U387" i="3"/>
  <c r="U357" i="3"/>
  <c r="U340" i="3"/>
  <c r="U322" i="3"/>
  <c r="Z306" i="3"/>
  <c r="U289" i="3"/>
  <c r="Z271" i="3"/>
  <c r="U254" i="3"/>
  <c r="Y233" i="3"/>
  <c r="U215" i="3"/>
  <c r="Z199" i="3"/>
  <c r="Y178" i="3"/>
  <c r="Y153" i="3"/>
  <c r="Z134" i="3"/>
  <c r="Z116" i="3"/>
  <c r="AA92" i="3"/>
  <c r="U942" i="3"/>
  <c r="Z919" i="3"/>
  <c r="Z902" i="3"/>
  <c r="AA886" i="3"/>
  <c r="AA870" i="3"/>
  <c r="Y852" i="3"/>
  <c r="Y834" i="3"/>
  <c r="Z818" i="3"/>
  <c r="U800" i="3"/>
  <c r="U784" i="3"/>
  <c r="Y761" i="3"/>
  <c r="U739" i="3"/>
  <c r="Z714" i="3"/>
  <c r="Z698" i="3"/>
  <c r="AA682" i="3"/>
  <c r="AA666" i="3"/>
  <c r="U649" i="3"/>
  <c r="Y633" i="3"/>
  <c r="Y609" i="3"/>
  <c r="U593" i="3"/>
  <c r="Y577" i="3"/>
  <c r="U561" i="3"/>
  <c r="U545" i="3"/>
  <c r="U529" i="3"/>
  <c r="U513" i="3"/>
  <c r="Y497" i="3"/>
  <c r="Y480" i="3"/>
  <c r="U462" i="3"/>
  <c r="Y445" i="3"/>
  <c r="AA428" i="3"/>
  <c r="AA412" i="3"/>
  <c r="Y395" i="3"/>
  <c r="Z379" i="3"/>
  <c r="Z360" i="3"/>
  <c r="AA960" i="3"/>
  <c r="AA938" i="3"/>
  <c r="AA921" i="3"/>
  <c r="U900" i="3"/>
  <c r="U884" i="3"/>
  <c r="U867" i="3"/>
  <c r="Y850" i="3"/>
  <c r="U834" i="3"/>
  <c r="Y817" i="3"/>
  <c r="AA800" i="3"/>
  <c r="Y768" i="3"/>
  <c r="Z749" i="3"/>
  <c r="Z716" i="3"/>
  <c r="AA700" i="3"/>
  <c r="U684" i="3"/>
  <c r="U668" i="3"/>
  <c r="AA630" i="3"/>
  <c r="U614" i="3"/>
  <c r="Y598" i="3"/>
  <c r="Y574" i="3"/>
  <c r="Z542" i="3"/>
  <c r="AA494" i="3"/>
  <c r="Y478" i="3"/>
  <c r="Y456" i="3"/>
  <c r="AA439" i="3"/>
  <c r="AA423" i="3"/>
  <c r="U405" i="3"/>
  <c r="Y383" i="3"/>
  <c r="Y495" i="3"/>
  <c r="AA457" i="3"/>
  <c r="Z390" i="3"/>
  <c r="Z359" i="3"/>
  <c r="Z343" i="3"/>
  <c r="AA326" i="3"/>
  <c r="AA310" i="3"/>
  <c r="U291" i="3"/>
  <c r="Y274" i="3"/>
  <c r="U258" i="3"/>
  <c r="Z242" i="3"/>
  <c r="Y224" i="3"/>
  <c r="U207" i="3"/>
  <c r="Y189" i="3"/>
  <c r="Y172" i="3"/>
  <c r="U149" i="3"/>
  <c r="Z133" i="3"/>
  <c r="AA117" i="3"/>
  <c r="Y98" i="3"/>
  <c r="U79" i="3"/>
  <c r="Z63" i="3"/>
  <c r="AA45" i="3"/>
  <c r="Z29" i="3"/>
  <c r="Y13" i="3"/>
  <c r="AA34" i="3"/>
  <c r="Z30" i="3"/>
  <c r="Z530" i="3"/>
  <c r="Y436" i="3"/>
  <c r="U403" i="3"/>
  <c r="U371" i="3"/>
  <c r="U350" i="3"/>
  <c r="Z329" i="3"/>
  <c r="Z310" i="3"/>
  <c r="Y292" i="3"/>
  <c r="U274" i="3"/>
  <c r="U256" i="3"/>
  <c r="Y238" i="3"/>
  <c r="AA221" i="3"/>
  <c r="Y201" i="3"/>
  <c r="Y182" i="3"/>
  <c r="Z166" i="3"/>
  <c r="U143" i="3"/>
  <c r="AA121" i="3"/>
  <c r="U103" i="3"/>
  <c r="Y87" i="3"/>
  <c r="AA71" i="3"/>
  <c r="U53" i="3"/>
  <c r="Z27" i="3"/>
  <c r="U492" i="3"/>
  <c r="U456" i="3"/>
  <c r="Z392" i="3"/>
  <c r="U360" i="3"/>
  <c r="U343" i="3"/>
  <c r="Z325" i="3"/>
  <c r="Y309" i="3"/>
  <c r="U292" i="3"/>
  <c r="Z276" i="3"/>
  <c r="AA947" i="3"/>
  <c r="Y923" i="3"/>
  <c r="U905" i="3"/>
  <c r="U889" i="3"/>
  <c r="U873" i="3"/>
  <c r="Y855" i="3"/>
  <c r="Y837" i="3"/>
  <c r="Z821" i="3"/>
  <c r="U803" i="3"/>
  <c r="U787" i="3"/>
  <c r="U764" i="3"/>
  <c r="U742" i="3"/>
  <c r="Y718" i="3"/>
  <c r="AA701" i="3"/>
  <c r="U685" i="3"/>
  <c r="U669" i="3"/>
  <c r="U652" i="3"/>
  <c r="Z636" i="3"/>
  <c r="Y612" i="3"/>
  <c r="U596" i="3"/>
  <c r="Y580" i="3"/>
  <c r="U564" i="3"/>
  <c r="U548" i="3"/>
  <c r="U532" i="3"/>
  <c r="U516" i="3"/>
  <c r="Z500" i="3"/>
  <c r="Z484" i="3"/>
  <c r="U465" i="3"/>
  <c r="Z448" i="3"/>
  <c r="U431" i="3"/>
  <c r="U415" i="3"/>
  <c r="AA399" i="3"/>
  <c r="AA382" i="3"/>
  <c r="Y363" i="3"/>
  <c r="U974" i="3"/>
  <c r="U941" i="3"/>
  <c r="Z924" i="3"/>
  <c r="Y903" i="3"/>
  <c r="Y887" i="3"/>
  <c r="Y871" i="3"/>
  <c r="AA853" i="3"/>
  <c r="U837" i="3"/>
  <c r="Y821" i="3"/>
  <c r="AA804" i="3"/>
  <c r="U771" i="3"/>
  <c r="Z752" i="3"/>
  <c r="U719" i="3"/>
  <c r="U703" i="3"/>
  <c r="Y687" i="3"/>
  <c r="Y671" i="3"/>
  <c r="U633" i="3"/>
  <c r="Z617" i="3"/>
  <c r="Y601" i="3"/>
  <c r="U577" i="3"/>
  <c r="AA545" i="3"/>
  <c r="U497" i="3"/>
  <c r="AA481" i="3"/>
  <c r="Z459" i="3"/>
  <c r="Z442" i="3"/>
  <c r="U426" i="3"/>
  <c r="Y408" i="3"/>
  <c r="Y388" i="3"/>
  <c r="AA501" i="3"/>
  <c r="Z463" i="3"/>
  <c r="Y397" i="3"/>
  <c r="Y368" i="3"/>
  <c r="U346" i="3"/>
  <c r="AA330" i="3"/>
  <c r="Z313" i="3"/>
  <c r="Y294" i="3"/>
  <c r="AA277" i="3"/>
  <c r="Z261" i="3"/>
  <c r="Y245" i="3"/>
  <c r="U228" i="3"/>
  <c r="AA210" i="3"/>
  <c r="U192" i="3"/>
  <c r="Y175" i="3"/>
  <c r="AA156" i="3"/>
  <c r="U136" i="3"/>
  <c r="U120" i="3"/>
  <c r="Y102" i="3"/>
  <c r="Y82" i="3"/>
  <c r="AA66" i="3"/>
  <c r="Z50" i="3"/>
  <c r="AA32" i="3"/>
  <c r="U16" i="3"/>
  <c r="Y38" i="3"/>
  <c r="Y9" i="3"/>
  <c r="Z536" i="3"/>
  <c r="Y443" i="3"/>
  <c r="Z410" i="3"/>
  <c r="Z374" i="3"/>
  <c r="Y353" i="3"/>
  <c r="AA333" i="3"/>
  <c r="Y313" i="3"/>
  <c r="AA296" i="3"/>
  <c r="Z277" i="3"/>
  <c r="Y260" i="3"/>
  <c r="AA241" i="3"/>
  <c r="U224" i="3"/>
  <c r="Y205" i="3"/>
  <c r="Z187" i="3"/>
  <c r="U169" i="3"/>
  <c r="Z153" i="3"/>
  <c r="U124" i="3"/>
  <c r="Y106" i="3"/>
  <c r="Z90" i="3"/>
  <c r="U74" i="3"/>
  <c r="Z56" i="3"/>
  <c r="U30" i="3"/>
  <c r="Z498" i="3"/>
  <c r="Z462" i="3"/>
  <c r="U399" i="3"/>
  <c r="Y364" i="3"/>
  <c r="Z347" i="3"/>
  <c r="AA328" i="3"/>
  <c r="U312" i="3"/>
  <c r="Z295" i="3"/>
  <c r="AA279" i="3"/>
  <c r="U261" i="3"/>
  <c r="Z241" i="3"/>
  <c r="Z221" i="3"/>
  <c r="U205" i="3"/>
  <c r="Z184" i="3"/>
  <c r="U159" i="3"/>
  <c r="Y140" i="3"/>
  <c r="U122" i="3"/>
  <c r="Y99" i="3"/>
  <c r="Z237" i="3"/>
  <c r="Y156" i="3"/>
  <c r="Z85" i="3"/>
  <c r="Z65" i="3"/>
  <c r="Y49" i="3"/>
  <c r="AA33" i="3"/>
  <c r="U17" i="3"/>
  <c r="AA29" i="3"/>
  <c r="Z531" i="3"/>
  <c r="U444" i="3"/>
  <c r="U412" i="3"/>
  <c r="AA380" i="3"/>
  <c r="Y354" i="3"/>
  <c r="Z336" i="3"/>
  <c r="Y317" i="3"/>
  <c r="AA298" i="3"/>
  <c r="AA278" i="3"/>
  <c r="Y262" i="3"/>
  <c r="Z240" i="3"/>
  <c r="Y221" i="3"/>
  <c r="AA201" i="3"/>
  <c r="Y185" i="3"/>
  <c r="Z168" i="3"/>
  <c r="Y147" i="3"/>
  <c r="Y131" i="3"/>
  <c r="Z113" i="3"/>
  <c r="Z97" i="3"/>
  <c r="Z81" i="3"/>
  <c r="AA64" i="3"/>
  <c r="AA42" i="3"/>
  <c r="Y11" i="3"/>
  <c r="Y40" i="3"/>
  <c r="U214" i="3"/>
  <c r="U133" i="3"/>
  <c r="U76" i="3"/>
  <c r="Z60" i="3"/>
  <c r="Z44" i="3"/>
  <c r="Z28" i="3"/>
  <c r="Y12" i="3"/>
  <c r="Z10" i="3"/>
  <c r="Z521" i="3"/>
  <c r="U433" i="3"/>
  <c r="Y401" i="3"/>
  <c r="Z371" i="3"/>
  <c r="AA349" i="3"/>
  <c r="U330" i="3"/>
  <c r="U310" i="3"/>
  <c r="AA293" i="3"/>
  <c r="Z273" i="3"/>
  <c r="Z256" i="3"/>
  <c r="U234" i="3"/>
  <c r="Z216" i="3"/>
  <c r="Z196" i="3"/>
  <c r="AA179" i="3"/>
  <c r="Z163" i="3"/>
  <c r="Z142" i="3"/>
  <c r="Z124" i="3"/>
  <c r="U108" i="3"/>
  <c r="Z92" i="3"/>
  <c r="Y75" i="3"/>
  <c r="U56" i="3"/>
  <c r="U32" i="3"/>
  <c r="Z191" i="3"/>
  <c r="U106" i="3"/>
  <c r="Z71" i="3"/>
  <c r="AA55" i="3"/>
  <c r="AA39" i="3"/>
  <c r="Y23" i="3"/>
  <c r="Z7" i="3"/>
  <c r="U543" i="3"/>
  <c r="Z511" i="3"/>
  <c r="Z423" i="3"/>
  <c r="Y392" i="3"/>
  <c r="U364" i="3"/>
  <c r="Z344" i="3"/>
  <c r="Y325" i="3"/>
  <c r="Z305" i="3"/>
  <c r="Y286" i="3"/>
  <c r="U268" i="3"/>
  <c r="Z249" i="3"/>
  <c r="Y228" i="3"/>
  <c r="Y209" i="3"/>
  <c r="Y191" i="3"/>
  <c r="Z174" i="3"/>
  <c r="U153" i="3"/>
  <c r="Y137" i="3"/>
  <c r="Y119" i="3"/>
  <c r="Z103" i="3"/>
  <c r="AA87" i="3"/>
  <c r="AA70" i="3"/>
  <c r="U48" i="3"/>
  <c r="Y222" i="3"/>
  <c r="AA144" i="3"/>
  <c r="AA78" i="3"/>
  <c r="U62" i="3"/>
  <c r="U46" i="3"/>
  <c r="AA30" i="3"/>
  <c r="U14" i="3"/>
  <c r="Y26" i="3"/>
  <c r="Z525" i="3"/>
  <c r="U437" i="3"/>
  <c r="Z405" i="3"/>
  <c r="Z375" i="3"/>
  <c r="Y351" i="3"/>
  <c r="Y332" i="3"/>
  <c r="Y314" i="3"/>
  <c r="Y295" i="3"/>
  <c r="Z275" i="3"/>
  <c r="Y258" i="3"/>
  <c r="Z236" i="3"/>
  <c r="U218" i="3"/>
  <c r="Z198" i="3"/>
  <c r="Y181" i="3"/>
  <c r="U165" i="3"/>
  <c r="Z144" i="3"/>
  <c r="Y126" i="3"/>
  <c r="Z110" i="3"/>
  <c r="U94" i="3"/>
  <c r="Z78" i="3"/>
  <c r="Z58" i="3"/>
  <c r="Z39" i="3"/>
  <c r="AP8" i="4" a="1"/>
  <c r="AP23" i="4" a="1"/>
  <c r="AP61" i="4" a="1"/>
  <c r="AP47" i="4" a="1"/>
  <c r="AO263" i="4" a="1"/>
  <c r="AP80" i="4" a="1"/>
  <c r="AO61" i="4" a="1"/>
  <c r="AO30" i="4" a="1"/>
  <c r="AO8" i="4" a="1"/>
  <c r="AO250" i="4" a="1"/>
  <c r="AP54" i="4" a="1"/>
  <c r="AO130" i="4" a="1"/>
  <c r="AP12" i="4" a="1"/>
  <c r="AP208" i="4" a="1"/>
  <c r="AP90" i="4" a="1"/>
  <c r="AO137" i="4" a="1"/>
  <c r="AP42" i="4" a="1"/>
  <c r="AO25" i="4" a="1"/>
  <c r="AO65" i="4" a="1"/>
  <c r="AP278" i="4" a="1"/>
  <c r="AO247" i="4" a="1"/>
  <c r="AP83" i="4" a="1"/>
  <c r="AP201" i="4" a="1"/>
  <c r="AO129" i="4" a="1"/>
  <c r="AP286" i="4" a="1"/>
  <c r="AO420" i="4" a="1"/>
  <c r="AO311" i="4" a="1"/>
  <c r="AP401" i="4" a="1"/>
  <c r="AO336" i="4" a="1"/>
  <c r="Z675" i="3"/>
  <c r="Z658" i="3"/>
  <c r="U642" i="3"/>
  <c r="Y626" i="3"/>
  <c r="Z602" i="3"/>
  <c r="Y586" i="3"/>
  <c r="Z570" i="3"/>
  <c r="U554" i="3"/>
  <c r="U538" i="3"/>
  <c r="U522" i="3"/>
  <c r="U506" i="3"/>
  <c r="U490" i="3"/>
  <c r="U471" i="3"/>
  <c r="AA455" i="3"/>
  <c r="Z437" i="3"/>
  <c r="Z421" i="3"/>
  <c r="Y405" i="3"/>
  <c r="Z388" i="3"/>
  <c r="U369" i="3"/>
  <c r="Y996" i="3"/>
  <c r="Z947" i="3"/>
  <c r="U931" i="3"/>
  <c r="AA913" i="3"/>
  <c r="AA893" i="3"/>
  <c r="AA877" i="3"/>
  <c r="U859" i="3"/>
  <c r="Z843" i="3"/>
  <c r="AA827" i="3"/>
  <c r="U810" i="3"/>
  <c r="Z777" i="3"/>
  <c r="U758" i="3"/>
  <c r="Z725" i="3"/>
  <c r="Z709" i="3"/>
  <c r="Z693" i="3"/>
  <c r="AA677" i="3"/>
  <c r="Y659" i="3"/>
  <c r="Z623" i="3"/>
  <c r="U607" i="3"/>
  <c r="U583" i="3"/>
  <c r="Y567" i="3"/>
  <c r="Z503" i="3"/>
  <c r="Z487" i="3"/>
  <c r="AA471" i="3"/>
  <c r="Y448" i="3"/>
  <c r="Z432" i="3"/>
  <c r="Z416" i="3"/>
  <c r="AA397" i="3"/>
  <c r="U375" i="3"/>
  <c r="Z481" i="3"/>
  <c r="U409" i="3"/>
  <c r="Y376" i="3"/>
  <c r="AA352" i="3"/>
  <c r="Y336" i="3"/>
  <c r="U319" i="3"/>
  <c r="AA301" i="3"/>
  <c r="Z284" i="3"/>
  <c r="U267" i="3"/>
  <c r="U251" i="3"/>
  <c r="Y235" i="3"/>
  <c r="Y216" i="3"/>
  <c r="U199" i="3"/>
  <c r="U181" i="3"/>
  <c r="Y162" i="3"/>
  <c r="Y142" i="3"/>
  <c r="U126" i="3"/>
  <c r="Y110" i="3"/>
  <c r="Y88" i="3"/>
  <c r="AA72" i="3"/>
  <c r="AA56" i="3"/>
  <c r="Z38" i="3"/>
  <c r="U22" i="3"/>
  <c r="AA44" i="3"/>
  <c r="Z19" i="3"/>
  <c r="Y16" i="3"/>
  <c r="Z516" i="3"/>
  <c r="AA422" i="3"/>
  <c r="Y387" i="3"/>
  <c r="Y360" i="3"/>
  <c r="Y340" i="3"/>
  <c r="Y322" i="3"/>
  <c r="Y302" i="3"/>
  <c r="Y283" i="3"/>
  <c r="AA267" i="3"/>
  <c r="Z248" i="3"/>
  <c r="Y231" i="3"/>
  <c r="Y213" i="3"/>
  <c r="Z194" i="3"/>
  <c r="U175" i="3"/>
  <c r="Y159" i="3"/>
  <c r="AA131" i="3"/>
  <c r="U112" i="3"/>
  <c r="Z96" i="3"/>
  <c r="Z80" i="3"/>
  <c r="Y64" i="3"/>
  <c r="Y46" i="3"/>
  <c r="Z547" i="3"/>
  <c r="U478" i="3"/>
  <c r="Y411" i="3"/>
  <c r="AA379" i="3"/>
  <c r="U353" i="3"/>
  <c r="AA336" i="3"/>
  <c r="Z318" i="3"/>
  <c r="Y301" i="3"/>
  <c r="Z285" i="3"/>
  <c r="Z267" i="3"/>
  <c r="Y248" i="3"/>
  <c r="Z229" i="3"/>
  <c r="U211" i="3"/>
  <c r="Z192" i="3"/>
  <c r="Y166" i="3"/>
  <c r="Z149" i="3"/>
  <c r="AA130" i="3"/>
  <c r="AA107" i="3"/>
  <c r="U87" i="3"/>
  <c r="Z937" i="3"/>
  <c r="Z914" i="3"/>
  <c r="AA898" i="3"/>
  <c r="AA882" i="3"/>
  <c r="U865" i="3"/>
  <c r="U847" i="3"/>
  <c r="Z830" i="3"/>
  <c r="Z814" i="3"/>
  <c r="U796" i="3"/>
  <c r="Y773" i="3"/>
  <c r="Y757" i="3"/>
  <c r="U735" i="3"/>
  <c r="Z710" i="3"/>
  <c r="Z694" i="3"/>
  <c r="AA678" i="3"/>
  <c r="Z661" i="3"/>
  <c r="U645" i="3"/>
  <c r="Y629" i="3"/>
  <c r="Y605" i="3"/>
  <c r="U589" i="3"/>
  <c r="Z573" i="3"/>
  <c r="U557" i="3"/>
  <c r="U541" i="3"/>
  <c r="U525" i="3"/>
  <c r="U509" i="3"/>
  <c r="Y493" i="3"/>
  <c r="Y474" i="3"/>
  <c r="U458" i="3"/>
  <c r="AA440" i="3"/>
  <c r="AA424" i="3"/>
  <c r="Z408" i="3"/>
  <c r="U391" i="3"/>
  <c r="Y375" i="3"/>
  <c r="AA1010" i="3"/>
  <c r="Z952" i="3"/>
  <c r="U934" i="3"/>
  <c r="AA917" i="3"/>
  <c r="U896" i="3"/>
  <c r="U880" i="3"/>
  <c r="Y863" i="3"/>
  <c r="U846" i="3"/>
  <c r="Y830" i="3"/>
  <c r="U813" i="3"/>
  <c r="Z780" i="3"/>
  <c r="U761" i="3"/>
  <c r="Z728" i="3"/>
  <c r="AA712" i="3"/>
  <c r="AA696" i="3"/>
  <c r="U680" i="3"/>
  <c r="Y662" i="3"/>
  <c r="U626" i="3"/>
  <c r="U610" i="3"/>
  <c r="U586" i="3"/>
  <c r="Y570" i="3"/>
  <c r="AA506" i="3"/>
  <c r="AA490" i="3"/>
  <c r="U474" i="3"/>
  <c r="Z452" i="3"/>
  <c r="AA435" i="3"/>
  <c r="AA419" i="3"/>
  <c r="Y400" i="3"/>
  <c r="Y379" i="3"/>
  <c r="Y487" i="3"/>
  <c r="Z449" i="3"/>
  <c r="Z381" i="3"/>
  <c r="U355" i="3"/>
  <c r="Z339" i="3"/>
  <c r="Z322" i="3"/>
  <c r="Y304" i="3"/>
  <c r="U287" i="3"/>
  <c r="Y270" i="3"/>
  <c r="Z254" i="3"/>
  <c r="Z238" i="3"/>
  <c r="U220" i="3"/>
  <c r="U202" i="3"/>
  <c r="U184" i="3"/>
  <c r="Y168" i="3"/>
  <c r="U145" i="3"/>
  <c r="Z129" i="3"/>
  <c r="Y113" i="3"/>
  <c r="Y91" i="3"/>
  <c r="U75" i="3"/>
  <c r="U59" i="3"/>
  <c r="AA41" i="3"/>
  <c r="Y25" i="3"/>
  <c r="Z9" i="3"/>
  <c r="AA22" i="3"/>
  <c r="U19" i="3"/>
  <c r="Z522" i="3"/>
  <c r="Y428" i="3"/>
  <c r="U394" i="3"/>
  <c r="Z365" i="3"/>
  <c r="U344" i="3"/>
  <c r="AA325" i="3"/>
  <c r="U305" i="3"/>
  <c r="Y288" i="3"/>
  <c r="U270" i="3"/>
  <c r="AA252" i="3"/>
  <c r="Z234" i="3"/>
  <c r="U216" i="3"/>
  <c r="U197" i="3"/>
  <c r="Z178" i="3"/>
  <c r="U162" i="3"/>
  <c r="AA139" i="3"/>
  <c r="U115" i="3"/>
  <c r="Z99" i="3"/>
  <c r="U83" i="3"/>
  <c r="U67" i="3"/>
  <c r="Z49" i="3"/>
  <c r="AA11" i="3"/>
  <c r="U484" i="3"/>
  <c r="U448" i="3"/>
  <c r="Z384" i="3"/>
  <c r="Y356" i="3"/>
  <c r="U339" i="3"/>
  <c r="U321" i="3"/>
  <c r="AA305" i="3"/>
  <c r="U288" i="3"/>
  <c r="AA270" i="3"/>
  <c r="Y941" i="3"/>
  <c r="U917" i="3"/>
  <c r="U901" i="3"/>
  <c r="U885" i="3"/>
  <c r="U868" i="3"/>
  <c r="Y851" i="3"/>
  <c r="Y833" i="3"/>
  <c r="Z817" i="3"/>
  <c r="U799" i="3"/>
  <c r="U783" i="3"/>
  <c r="Y760" i="3"/>
  <c r="U738" i="3"/>
  <c r="AA713" i="3"/>
  <c r="AA697" i="3"/>
  <c r="U681" i="3"/>
  <c r="U664" i="3"/>
  <c r="U648" i="3"/>
  <c r="Z632" i="3"/>
  <c r="Y608" i="3"/>
  <c r="U592" i="3"/>
  <c r="Z576" i="3"/>
  <c r="U560" i="3"/>
  <c r="Y544" i="3"/>
  <c r="U528" i="3"/>
  <c r="U512" i="3"/>
  <c r="Z496" i="3"/>
  <c r="Z479" i="3"/>
  <c r="Y461" i="3"/>
  <c r="Z444" i="3"/>
  <c r="U427" i="3"/>
  <c r="U411" i="3"/>
  <c r="Z394" i="3"/>
  <c r="AA378" i="3"/>
  <c r="AA359" i="3"/>
  <c r="AA955" i="3"/>
  <c r="Y937" i="3"/>
  <c r="U920" i="3"/>
  <c r="Y899" i="3"/>
  <c r="Y883" i="3"/>
  <c r="Z866" i="3"/>
  <c r="Y849" i="3"/>
  <c r="U833" i="3"/>
  <c r="Y816" i="3"/>
  <c r="Y786" i="3"/>
  <c r="AA767" i="3"/>
  <c r="Y731" i="3"/>
  <c r="U715" i="3"/>
  <c r="U699" i="3"/>
  <c r="Y683" i="3"/>
  <c r="Y667" i="3"/>
  <c r="U629" i="3"/>
  <c r="U613" i="3"/>
  <c r="Y597" i="3"/>
  <c r="Y573" i="3"/>
  <c r="AA541" i="3"/>
  <c r="U493" i="3"/>
  <c r="Z477" i="3"/>
  <c r="Z455" i="3"/>
  <c r="U438" i="3"/>
  <c r="U422" i="3"/>
  <c r="Y404" i="3"/>
  <c r="Z382" i="3"/>
  <c r="AA493" i="3"/>
  <c r="Y455" i="3"/>
  <c r="Z389" i="3"/>
  <c r="AA358" i="3"/>
  <c r="U342" i="3"/>
  <c r="U325" i="3"/>
  <c r="U307" i="3"/>
  <c r="Y290" i="3"/>
  <c r="Y273" i="3"/>
  <c r="Y257" i="3"/>
  <c r="U241" i="3"/>
  <c r="Y223" i="3"/>
  <c r="Y206" i="3"/>
  <c r="AA188" i="3"/>
  <c r="Y171" i="3"/>
  <c r="U148" i="3"/>
  <c r="AA132" i="3"/>
  <c r="U116" i="3"/>
  <c r="Y97" i="3"/>
  <c r="Y78" i="3"/>
  <c r="Z62" i="3"/>
  <c r="U44" i="3"/>
  <c r="U28" i="3"/>
  <c r="AA12" i="3"/>
  <c r="AA26" i="3"/>
  <c r="U23" i="3"/>
  <c r="Z528" i="3"/>
  <c r="AA434" i="3"/>
  <c r="Y399" i="3"/>
  <c r="U370" i="3"/>
  <c r="Y349" i="3"/>
  <c r="U328" i="3"/>
  <c r="Z309" i="3"/>
  <c r="AA291" i="3"/>
  <c r="U273" i="3"/>
  <c r="Y255" i="3"/>
  <c r="AA237" i="3"/>
  <c r="Y219" i="3"/>
  <c r="Z200" i="3"/>
  <c r="AA181" i="3"/>
  <c r="Z165" i="3"/>
  <c r="U142" i="3"/>
  <c r="Y118" i="3"/>
  <c r="U102" i="3"/>
  <c r="Z86" i="3"/>
  <c r="Y70" i="3"/>
  <c r="Z52" i="3"/>
  <c r="Y24" i="3"/>
  <c r="Z490" i="3"/>
  <c r="Z454" i="3"/>
  <c r="Y391" i="3"/>
  <c r="U359" i="3"/>
  <c r="Z342" i="3"/>
  <c r="AA324" i="3"/>
  <c r="Y308" i="3"/>
  <c r="Z291" i="3"/>
  <c r="AA275" i="3"/>
  <c r="AA257" i="3"/>
  <c r="AA236" i="3"/>
  <c r="Y217" i="3"/>
  <c r="U201" i="3"/>
  <c r="AA180" i="3"/>
  <c r="Y155" i="3"/>
  <c r="Z136" i="3"/>
  <c r="U118" i="3"/>
  <c r="Y94" i="3"/>
  <c r="Y218" i="3"/>
  <c r="Z137" i="3"/>
  <c r="U77" i="3"/>
  <c r="Z61" i="3"/>
  <c r="Y45" i="3"/>
  <c r="U29" i="3"/>
  <c r="AA13" i="3"/>
  <c r="Z13" i="3"/>
  <c r="Z523" i="3"/>
  <c r="Z435" i="3"/>
  <c r="Z402" i="3"/>
  <c r="Z372" i="3"/>
  <c r="Z350" i="3"/>
  <c r="Z331" i="3"/>
  <c r="AA313" i="3"/>
  <c r="Z294" i="3"/>
  <c r="Z274" i="3"/>
  <c r="Z257" i="3"/>
  <c r="Z235" i="3"/>
  <c r="U217" i="3"/>
  <c r="Z197" i="3"/>
  <c r="Z180" i="3"/>
  <c r="U164" i="3"/>
  <c r="Z143" i="3"/>
  <c r="Y125" i="3"/>
  <c r="U109" i="3"/>
  <c r="U93" i="3"/>
  <c r="AA77" i="3"/>
  <c r="AA57" i="3"/>
  <c r="AA38" i="3"/>
  <c r="U45" i="3"/>
  <c r="Z15" i="3"/>
  <c r="AA198" i="3"/>
  <c r="AA115" i="3"/>
  <c r="Y72" i="3"/>
  <c r="Y56" i="3"/>
  <c r="Z40" i="3"/>
  <c r="U24" i="3"/>
  <c r="Y8" i="3"/>
  <c r="Z545" i="3"/>
  <c r="Z513" i="3"/>
  <c r="U425" i="3"/>
  <c r="Y393" i="3"/>
  <c r="Y367" i="3"/>
  <c r="Y345" i="3"/>
  <c r="U326" i="3"/>
  <c r="Y306" i="3"/>
  <c r="Y287" i="3"/>
  <c r="AA269" i="3"/>
  <c r="Z250" i="3"/>
  <c r="Y229" i="3"/>
  <c r="U210" i="3"/>
  <c r="Y192" i="3"/>
  <c r="Z175" i="3"/>
  <c r="U154" i="3"/>
  <c r="Y138" i="3"/>
  <c r="Y120" i="3"/>
  <c r="U104" i="3"/>
  <c r="Z88" i="3"/>
  <c r="Y71" i="3"/>
  <c r="U49" i="3"/>
  <c r="Z247" i="3"/>
  <c r="Y165" i="3"/>
  <c r="AA88" i="3"/>
  <c r="AA67" i="3"/>
  <c r="Z51" i="3"/>
  <c r="U35" i="3"/>
  <c r="Y19" i="3"/>
  <c r="AA50" i="3"/>
  <c r="Z535" i="3"/>
  <c r="U467" i="3"/>
  <c r="Z415" i="3"/>
  <c r="Y384" i="3"/>
  <c r="U356" i="3"/>
  <c r="Y338" i="3"/>
  <c r="Y319" i="3"/>
  <c r="U300" i="3"/>
  <c r="U280" i="3"/>
  <c r="U264" i="3"/>
  <c r="Z245" i="3"/>
  <c r="Z223" i="3"/>
  <c r="U203" i="3"/>
  <c r="U187" i="3"/>
  <c r="Z170" i="3"/>
  <c r="Y149" i="3"/>
  <c r="AA133" i="3"/>
  <c r="Z115" i="3"/>
  <c r="U99" i="3"/>
  <c r="Z83" i="3"/>
  <c r="U66" i="3"/>
  <c r="Y44" i="3"/>
  <c r="AA206" i="3"/>
  <c r="Z125" i="3"/>
  <c r="AA74" i="3"/>
  <c r="AA58" i="3"/>
  <c r="U42" i="3"/>
  <c r="Z26" i="3"/>
  <c r="AA10" i="3"/>
  <c r="U8" i="3"/>
  <c r="Z517" i="3"/>
  <c r="U429" i="3"/>
  <c r="Z397" i="3"/>
  <c r="AA369" i="3"/>
  <c r="Y347" i="3"/>
  <c r="Z328" i="3"/>
  <c r="U308" i="3"/>
  <c r="Z290" i="3"/>
  <c r="Y271" i="3"/>
  <c r="Y252" i="3"/>
  <c r="Z232" i="3"/>
  <c r="Y212" i="3"/>
  <c r="U194" i="3"/>
  <c r="Y177" i="3"/>
  <c r="U156" i="3"/>
  <c r="U140" i="3"/>
  <c r="AA122" i="3"/>
  <c r="AA106" i="3"/>
  <c r="U90" i="3"/>
  <c r="AA73" i="3"/>
  <c r="U54" i="3"/>
  <c r="AA35" i="3"/>
  <c r="AO78" i="4" a="1"/>
  <c r="AP181" i="4" a="1"/>
  <c r="AP125" i="4" a="1"/>
  <c r="AO70" i="4" a="1"/>
  <c r="AP158" i="4" a="1"/>
  <c r="AO48" i="4" a="1"/>
  <c r="AP45" i="4" a="1"/>
  <c r="AP111" i="4" a="1"/>
  <c r="AO44" i="4" a="1"/>
  <c r="AO159" i="4" a="1"/>
  <c r="AO11" i="4" a="1"/>
  <c r="AO12" i="4" a="1"/>
  <c r="AO39" i="4" a="1"/>
  <c r="AP246" i="4" a="1"/>
  <c r="AO122" i="4" a="1"/>
  <c r="AP185" i="4" a="1"/>
  <c r="AO184" i="4" a="1"/>
  <c r="AP120" i="4" a="1"/>
  <c r="AP87" i="4" a="1"/>
  <c r="AP38" i="4" a="1"/>
  <c r="AP122" i="4" a="1"/>
  <c r="AP105" i="4" a="1"/>
  <c r="AP237" i="4" a="1"/>
  <c r="AP156" i="4" a="1"/>
  <c r="AO343" i="4" a="1"/>
  <c r="AO451" i="4" a="1"/>
  <c r="AP340" i="4" a="1"/>
  <c r="AP450" i="4" a="1"/>
  <c r="AP376" i="4" a="1"/>
  <c r="Y186" i="3"/>
  <c r="Z114" i="3"/>
  <c r="Z43" i="3"/>
  <c r="AP7" i="4" a="1"/>
  <c r="AP3" i="4" a="1"/>
  <c r="AP33" i="4" a="1"/>
  <c r="AO84" i="4" a="1"/>
  <c r="AO188" i="4" a="1"/>
  <c r="AO138" i="4" a="1"/>
  <c r="AO219" i="4" a="1"/>
  <c r="AP475" i="4" a="1"/>
  <c r="AP489" i="4" a="1"/>
  <c r="AP272" i="4" a="1"/>
  <c r="AP423" i="4" a="1"/>
  <c r="AP526" i="4" a="1"/>
  <c r="AP534" i="4" a="1"/>
  <c r="AO533" i="4" a="1"/>
  <c r="AO579" i="4" a="1"/>
  <c r="AP725" i="4" a="1"/>
  <c r="AO614" i="4" a="1"/>
  <c r="AO604" i="4" a="1"/>
  <c r="AP761" i="4" a="1"/>
  <c r="AO784" i="4" a="1"/>
  <c r="AO769" i="4" a="1"/>
  <c r="AO760" i="4" a="1"/>
  <c r="AO876" i="4" a="1"/>
  <c r="AP818" i="4" a="1"/>
  <c r="AO74" i="4" a="1"/>
  <c r="AP163" i="4" a="1"/>
  <c r="AO100" i="4" a="1"/>
  <c r="AO270" i="4" a="1"/>
  <c r="AP392" i="4" a="1"/>
  <c r="AO491" i="4" a="1"/>
  <c r="AP368" i="4" a="1"/>
  <c r="AP295" i="4" a="1"/>
  <c r="AO423" i="4" a="1"/>
  <c r="AP362" i="4" a="1"/>
  <c r="AO508" i="4" a="1"/>
  <c r="AP503" i="4" a="1"/>
  <c r="AO541" i="4" a="1"/>
  <c r="AO580" i="4" a="1"/>
  <c r="AO622" i="4" a="1"/>
  <c r="AP631" i="4" a="1"/>
  <c r="AP613" i="4" a="1"/>
  <c r="AP790" i="4" a="1"/>
  <c r="AO785" i="4" a="1"/>
  <c r="AO797" i="4" a="1"/>
  <c r="AO792" i="4" a="1"/>
  <c r="AP918" i="4" a="1"/>
  <c r="AP858" i="4" a="1"/>
  <c r="AP136" i="4" a="1"/>
  <c r="AO243" i="4" a="1"/>
  <c r="AP193" i="4" a="1"/>
  <c r="AP337" i="4" a="1"/>
  <c r="AP465" i="4" a="1"/>
  <c r="AP330" i="4" a="1"/>
  <c r="AP491" i="4" a="1"/>
  <c r="AO409" i="4" a="1"/>
  <c r="AO388" i="4" a="1"/>
  <c r="AO521" i="4" a="1"/>
  <c r="AP549" i="4" a="1"/>
  <c r="AP598" i="4" a="1"/>
  <c r="AO592" i="4" a="1"/>
  <c r="AO632" i="4" a="1"/>
  <c r="AO640" i="4" a="1"/>
  <c r="AO642" i="4" a="1"/>
  <c r="AO779" i="4" a="1"/>
  <c r="AP845" i="4" a="1"/>
  <c r="AP842" i="4" a="1"/>
  <c r="AP826" i="4" a="1"/>
  <c r="AO857" i="4" a="1"/>
  <c r="AO882" i="4" a="1"/>
  <c r="AP169" i="4" a="1"/>
  <c r="AP94" i="4" a="1"/>
  <c r="AO218" i="4" a="1"/>
  <c r="AP351" i="4" a="1"/>
  <c r="AP466" i="4" a="1"/>
  <c r="AO331" i="4" a="1"/>
  <c r="AP449" i="4" a="1"/>
  <c r="AO335" i="4" a="1"/>
  <c r="AP271" i="4" a="1"/>
  <c r="AP438" i="4" a="1"/>
  <c r="AP578" i="4" a="1"/>
  <c r="AO562" i="4" a="1"/>
  <c r="AO603" i="4" a="1"/>
  <c r="AO620" i="4" a="1"/>
  <c r="AO656" i="4" a="1"/>
  <c r="AO662" i="4" a="1"/>
  <c r="AP662" i="4" a="1"/>
  <c r="AP776" i="4" a="1"/>
  <c r="AO795" i="4" a="1"/>
  <c r="AP768" i="4" a="1"/>
  <c r="AO790" i="4" a="1"/>
  <c r="AP920" i="4" a="1"/>
  <c r="AP829" i="4" a="1"/>
  <c r="AP411" i="4" a="1"/>
  <c r="AP781" i="4" a="1"/>
  <c r="AP855" i="4" a="1"/>
  <c r="AO888" i="4" a="1"/>
  <c r="AP226" i="4" a="1"/>
  <c r="AP275" i="4" a="1"/>
  <c r="AO448" i="4" a="1"/>
  <c r="AP402" i="4" a="1"/>
  <c r="AP396" i="4" a="1"/>
  <c r="AO416" i="4" a="1"/>
  <c r="AP510" i="4" a="1"/>
  <c r="AO564" i="4" a="1"/>
  <c r="AO685" i="4" a="1"/>
  <c r="AO618" i="4" a="1"/>
  <c r="AP773" i="4" a="1"/>
  <c r="AO772" i="4" a="1"/>
  <c r="AP856" i="4" a="1"/>
  <c r="AO140" i="4" a="1"/>
  <c r="AP139" i="4" a="1"/>
  <c r="AP366" i="4" a="1"/>
  <c r="AP342" i="4" a="1"/>
  <c r="AO153" i="4" a="1"/>
  <c r="AP25" i="4" a="1"/>
  <c r="AP16" i="4" a="1"/>
  <c r="AP225" i="4" a="1"/>
  <c r="AP261" i="4" a="1"/>
  <c r="AO62" i="4" a="1"/>
  <c r="AP11" i="4" a="1"/>
  <c r="AO237" i="4" a="1"/>
  <c r="AO198" i="4" a="1"/>
  <c r="AP247" i="4" a="1"/>
  <c r="AP55" i="4" a="1"/>
  <c r="AO105" i="4" a="1"/>
  <c r="AO170" i="4" a="1"/>
  <c r="AO41" i="4" a="1"/>
  <c r="AP89" i="4" a="1"/>
  <c r="AO75" i="4" a="1"/>
  <c r="AP21" i="4" a="1"/>
  <c r="AO40" i="4" a="1"/>
  <c r="AO225" i="4" a="1"/>
  <c r="AO108" i="4" a="1"/>
  <c r="AO56" i="4" a="1"/>
  <c r="AP170" i="4" a="1"/>
  <c r="AO111" i="4" a="1"/>
  <c r="AO269" i="4" a="1"/>
  <c r="AO402" i="4" a="1"/>
  <c r="AO282" i="4" a="1"/>
  <c r="AO379" i="4" a="1"/>
  <c r="AP314" i="4" a="1"/>
  <c r="AO458" i="4" a="1"/>
  <c r="AO427" i="4" a="1"/>
  <c r="AO549" i="4" a="1"/>
  <c r="AO538" i="4" a="1"/>
  <c r="AP540" i="4" a="1"/>
  <c r="AP586" i="4" a="1"/>
  <c r="AO621" i="4" a="1"/>
  <c r="AP622" i="4" a="1"/>
  <c r="AP608" i="4" a="1"/>
  <c r="AO773" i="4" a="1"/>
  <c r="AP742" i="4" a="1"/>
  <c r="AP892" i="4" a="1"/>
  <c r="AP106" i="4" a="1"/>
  <c r="AP212" i="4" a="1"/>
  <c r="AO324" i="4" a="1"/>
  <c r="AP435" i="4" a="1"/>
  <c r="AP576" i="4" a="1"/>
  <c r="AP587" i="4" a="1"/>
  <c r="AP684" i="4" a="1"/>
  <c r="AP793" i="4" a="1"/>
  <c r="AP889" i="4" a="1"/>
  <c r="AP115" i="4" a="1"/>
  <c r="AP276" i="4" a="1"/>
  <c r="AO313" i="4" a="1"/>
  <c r="AO208" i="4" a="1"/>
  <c r="AO29" i="4" a="1"/>
  <c r="AP39" i="4" a="1"/>
  <c r="AO234" i="4" a="1"/>
  <c r="AO57" i="4" a="1"/>
  <c r="AP9" i="4" a="1"/>
  <c r="AO15" i="4" a="1"/>
  <c r="AP259" i="4" a="1"/>
  <c r="AO210" i="4" a="1"/>
  <c r="AP263" i="4" a="1"/>
  <c r="AP74" i="4" a="1"/>
  <c r="AP220" i="4" a="1"/>
  <c r="AP186" i="4" a="1"/>
  <c r="AP57" i="4" a="1"/>
  <c r="AP113" i="4" a="1"/>
  <c r="AO13" i="4" a="1"/>
  <c r="AP56" i="4" a="1"/>
  <c r="AP49" i="4" a="1"/>
  <c r="AP232" i="4" a="1"/>
  <c r="AO124" i="4" a="1"/>
  <c r="AP71" i="4" a="1"/>
  <c r="AP174" i="4" a="1"/>
  <c r="AO118" i="4" a="1"/>
  <c r="AO274" i="4" a="1"/>
  <c r="AP405" i="4" a="1"/>
  <c r="AP303" i="4" a="1"/>
  <c r="AO383" i="4" a="1"/>
  <c r="AP325" i="4" a="1"/>
  <c r="AO486" i="4" a="1"/>
  <c r="AO415" i="4" a="1"/>
  <c r="AP519" i="4" a="1"/>
  <c r="AP521" i="4" a="1"/>
  <c r="AP516" i="4" a="1"/>
  <c r="AP571" i="4" a="1"/>
  <c r="AO711" i="4" a="1"/>
  <c r="AO714" i="4" a="1"/>
  <c r="AP707" i="4" a="1"/>
  <c r="AO725" i="4" a="1"/>
  <c r="AP767" i="4" a="1"/>
  <c r="AP762" i="4" a="1"/>
  <c r="AO748" i="4" a="1"/>
  <c r="AP862" i="4" a="1"/>
  <c r="AO911" i="4" a="1"/>
  <c r="AP915" i="4" a="1"/>
  <c r="AP155" i="4" a="1"/>
  <c r="AO279" i="4" a="1"/>
  <c r="AP254" i="4" a="1"/>
  <c r="AO369" i="4" a="1"/>
  <c r="AP480" i="4" a="1"/>
  <c r="AP353" i="4" a="1"/>
  <c r="AO497" i="4" a="1"/>
  <c r="AP408" i="4" a="1"/>
  <c r="AO339" i="4" a="1"/>
  <c r="AO488" i="4" a="1"/>
  <c r="AO610" i="4" a="1"/>
  <c r="AO517" i="4" a="1"/>
  <c r="AP572" i="4" a="1"/>
  <c r="AO712" i="4" a="1"/>
  <c r="AO615" i="4" a="1"/>
  <c r="AP724" i="4" a="1"/>
  <c r="AO774" i="4" a="1"/>
  <c r="AP777" i="4" a="1"/>
  <c r="AP782" i="4" a="1"/>
  <c r="AO776" i="4" a="1"/>
  <c r="AP872" i="4" a="1"/>
  <c r="AO843" i="4" a="1"/>
  <c r="AO128" i="4" a="1"/>
  <c r="AO215" i="4" a="1"/>
  <c r="AP177" i="4" a="1"/>
  <c r="AO322" i="4" a="1"/>
  <c r="AO453" i="4" a="1"/>
  <c r="AP321" i="4" a="1"/>
  <c r="AO456" i="4" a="1"/>
  <c r="AP390" i="4" a="1"/>
  <c r="AP336" i="4" a="1"/>
  <c r="AO480" i="4" a="1"/>
  <c r="AP536" i="4" a="1"/>
  <c r="AO571" i="4" a="1"/>
  <c r="AO581" i="4" a="1"/>
  <c r="AO623" i="4" a="1"/>
  <c r="AP632" i="4" a="1"/>
  <c r="AP610" i="4" a="1"/>
  <c r="AP759" i="4" a="1"/>
  <c r="AO794" i="4" a="1"/>
  <c r="AO798" i="4" a="1"/>
  <c r="AO814" i="4" a="1"/>
  <c r="AO837" i="4" a="1"/>
  <c r="AO866" i="4" a="1"/>
  <c r="AP161" i="4" a="1"/>
  <c r="AO276" i="4" a="1"/>
  <c r="AO206" i="4" a="1"/>
  <c r="AP338" i="4" a="1"/>
  <c r="AO454" i="4" a="1"/>
  <c r="AP322" i="4" a="1"/>
  <c r="AO14" i="4" a="1"/>
  <c r="AO23" i="4" a="1"/>
  <c r="AP231" i="4" a="1"/>
  <c r="AP30" i="4" a="1"/>
  <c r="AP28" i="4" a="1"/>
  <c r="AP162" i="4" a="1"/>
  <c r="AO490" i="4" a="1"/>
  <c r="AO386" i="4" a="1"/>
  <c r="AP543" i="4" a="1"/>
  <c r="AP699" i="4" a="1"/>
  <c r="AP836" i="4" a="1"/>
  <c r="AO242" i="4" a="1"/>
  <c r="AO333" i="4" a="1"/>
  <c r="AO471" i="4" a="1"/>
  <c r="AO692" i="4" a="1"/>
  <c r="AP756" i="4" a="1"/>
  <c r="AP827" i="4" a="1"/>
  <c r="AP291" i="4" a="1"/>
  <c r="AP483" i="4" a="1"/>
  <c r="AP363" i="4" a="1"/>
  <c r="AO540" i="4" a="1"/>
  <c r="AP588" i="4" a="1"/>
  <c r="AP636" i="4" a="1"/>
  <c r="AP771" i="4" a="1"/>
  <c r="AP807" i="4" a="1"/>
  <c r="AP849" i="4" a="1"/>
  <c r="AP165" i="4" a="1"/>
  <c r="AP214" i="4" a="1"/>
  <c r="AO463" i="4" a="1"/>
  <c r="AO433" i="4" a="1"/>
  <c r="AO363" i="4" a="1"/>
  <c r="AP377" i="4" a="1"/>
  <c r="AO529" i="4" a="1"/>
  <c r="AP569" i="4" a="1"/>
  <c r="AO546" i="4" a="1"/>
  <c r="AP713" i="4" a="1"/>
  <c r="AP726" i="4" a="1"/>
  <c r="AP914" i="4" a="1"/>
  <c r="AO85" i="4" a="1"/>
  <c r="AP223" i="4" a="1"/>
  <c r="AP395" i="4" a="1"/>
  <c r="AP719" i="4" a="1"/>
  <c r="AP752" i="4" a="1"/>
  <c r="AO484" i="4" a="1"/>
  <c r="AP716" i="4" a="1"/>
  <c r="AO227" i="4" a="1"/>
  <c r="AP441" i="4" a="1"/>
  <c r="AP645" i="4" a="1"/>
  <c r="AO240" i="4" a="1"/>
  <c r="AO328" i="4" a="1"/>
  <c r="AP585" i="4" a="1"/>
  <c r="AP646" i="4" a="1"/>
  <c r="AO838" i="4" a="1"/>
  <c r="AO43" i="4" a="1"/>
  <c r="AP4" i="4" a="1"/>
  <c r="AP121" i="4" a="1"/>
  <c r="AP416" i="4" a="1"/>
  <c r="AP714" i="4" a="1"/>
  <c r="AP357" i="4" a="1"/>
  <c r="AP788" i="4" a="1"/>
  <c r="AO596" i="4" a="1"/>
  <c r="AP907" i="4" a="1"/>
  <c r="AP371" i="4" a="1"/>
  <c r="AO686" i="4" a="1"/>
  <c r="AO841" i="4" a="1"/>
  <c r="AP65" i="4" a="1"/>
  <c r="AO52" i="4" a="1"/>
  <c r="AO3" i="4" a="1"/>
  <c r="AO169" i="4" a="1"/>
  <c r="AP31" i="4" a="1"/>
  <c r="AO149" i="4" a="1"/>
  <c r="AO446" i="4" a="1"/>
  <c r="AP564" i="4" a="1"/>
  <c r="AP629" i="4" a="1"/>
  <c r="AO824" i="4" a="1"/>
  <c r="AP838" i="4" a="1"/>
  <c r="AO280" i="4" a="1"/>
  <c r="AP315" i="4" a="1"/>
  <c r="AP522" i="4" a="1"/>
  <c r="AP643" i="4" a="1"/>
  <c r="AO825" i="4" a="1"/>
  <c r="AO148" i="4" a="1"/>
  <c r="AP477" i="4" a="1"/>
  <c r="AO362" i="4" a="1"/>
  <c r="AO468" i="4" a="1"/>
  <c r="AO554" i="4" a="1"/>
  <c r="AP717" i="4" a="1"/>
  <c r="AO709" i="4" a="1"/>
  <c r="AP774" i="4" a="1"/>
  <c r="AO836" i="4" a="1"/>
  <c r="AO844" i="4" a="1"/>
  <c r="AO255" i="4" a="1"/>
  <c r="AO307" i="4" a="1"/>
  <c r="AP306" i="4" a="1"/>
  <c r="AO505" i="4" a="1"/>
  <c r="AP437" i="4" a="1"/>
  <c r="AO430" i="4" a="1"/>
  <c r="AP606" i="4" a="1"/>
  <c r="AP539" i="4" a="1"/>
  <c r="AP616" i="4" a="1"/>
  <c r="AP683" i="4" a="1"/>
  <c r="AP611" i="4" a="1"/>
  <c r="AP772" i="4" a="1"/>
  <c r="AO890" i="4" a="1"/>
  <c r="AO747" i="4" a="1"/>
  <c r="AP908" i="4" a="1"/>
  <c r="AO867" i="4" a="1"/>
  <c r="AP282" i="4" a="1"/>
  <c r="AP893" i="4" a="1"/>
  <c r="AP391" i="4" a="1"/>
  <c r="AP706" i="4" a="1"/>
  <c r="AP874" i="4" a="1"/>
  <c r="AP343" i="4" a="1"/>
  <c r="AO548" i="4" a="1"/>
  <c r="AP654" i="4" a="1"/>
  <c r="AO739" i="4" a="1"/>
  <c r="AO123" i="4" a="1"/>
  <c r="AO112" i="4" a="1"/>
  <c r="AO191" i="4" a="1"/>
  <c r="AP5" i="4" a="1"/>
  <c r="AO265" i="4" a="1"/>
  <c r="AP134" i="4" a="1"/>
  <c r="AP471" i="4" a="1"/>
  <c r="AO350" i="4" a="1"/>
  <c r="AP604" i="4" a="1"/>
  <c r="AP663" i="4" a="1"/>
  <c r="AP885" i="4" a="1"/>
  <c r="AP210" i="4" a="1"/>
  <c r="AO312" i="4" a="1"/>
  <c r="AO428" i="4" a="1"/>
  <c r="AP649" i="4" a="1"/>
  <c r="AO908" i="4" a="1"/>
  <c r="AO877" i="4" a="1"/>
  <c r="AP255" i="4" a="1"/>
  <c r="AP452" i="4" a="1"/>
  <c r="AP328" i="4" a="1"/>
  <c r="AP515" i="4" a="1"/>
  <c r="AO577" i="4" a="1"/>
  <c r="AO624" i="4" a="1"/>
  <c r="AP747" i="4" a="1"/>
  <c r="AP794" i="4" a="1"/>
  <c r="AO829" i="4" a="1"/>
  <c r="AO157" i="4" a="1"/>
  <c r="AP202" i="4" a="1"/>
  <c r="AO450" i="4" a="1"/>
  <c r="AO404" i="4" a="1"/>
  <c r="AP347" i="4" a="1"/>
  <c r="AO364" i="4" a="1"/>
  <c r="AP518" i="4" a="1"/>
  <c r="AP565" i="4" a="1"/>
  <c r="AP542" i="4" a="1"/>
  <c r="AP620" i="4" a="1"/>
  <c r="AP666" i="4" a="1"/>
  <c r="AO702" i="4" a="1"/>
  <c r="AO758" i="4" a="1"/>
  <c r="AP784" i="4" a="1"/>
  <c r="AP823" i="4" a="1"/>
  <c r="AO899" i="4" a="1"/>
  <c r="AO651" i="4" a="1"/>
  <c r="AP639" i="4" a="1"/>
  <c r="AO775" i="4" a="1"/>
  <c r="AP868" i="4" a="1"/>
  <c r="AP875" i="4" a="1"/>
  <c r="AO325" i="4" a="1"/>
  <c r="AP834" i="4" a="1"/>
  <c r="AO294" i="4" a="1"/>
  <c r="AP508" i="4" a="1"/>
  <c r="AP607" i="4" a="1"/>
  <c r="AP854" i="4" a="1"/>
  <c r="AP493" i="4" a="1"/>
  <c r="AO740" i="4" a="1"/>
  <c r="AP832" i="4" a="1"/>
  <c r="AP687" i="4" a="1"/>
  <c r="AP837" i="4" a="1"/>
  <c r="AO297" i="4" a="1"/>
  <c r="Z169" i="3"/>
  <c r="Z98" i="3"/>
  <c r="U12" i="3"/>
  <c r="AO207" i="4" a="1"/>
  <c r="AP228" i="4" a="1"/>
  <c r="AP68" i="4" a="1"/>
  <c r="AP70" i="4" a="1"/>
  <c r="AP99" i="4" a="1"/>
  <c r="AP166" i="4" a="1"/>
  <c r="AO257" i="4" a="1"/>
  <c r="AP496" i="4" a="1"/>
  <c r="AP310" i="4" a="1"/>
  <c r="AO318" i="4" a="1"/>
  <c r="AP458" i="4" a="1"/>
  <c r="AO568" i="4" a="1"/>
  <c r="AO563" i="4" a="1"/>
  <c r="AP560" i="4" a="1"/>
  <c r="AO625" i="4" a="1"/>
  <c r="AO634" i="4" a="1"/>
  <c r="AP638" i="4" a="1"/>
  <c r="AP640" i="4" a="1"/>
  <c r="AO793" i="4" a="1"/>
  <c r="AP851" i="4" a="1"/>
  <c r="AP809" i="4" a="1"/>
  <c r="AO800" i="4" a="1"/>
  <c r="AP814" i="4" a="1"/>
  <c r="AO842" i="4" a="1"/>
  <c r="AO94" i="4" a="1"/>
  <c r="AO179" i="4" a="1"/>
  <c r="AP146" i="4" a="1"/>
  <c r="AO287" i="4" a="1"/>
  <c r="AP417" i="4" a="1"/>
  <c r="AP292" i="4" a="1"/>
  <c r="AO384" i="4" a="1"/>
  <c r="AP326" i="4" a="1"/>
  <c r="AO459" i="4" a="1"/>
  <c r="AP412" i="4" a="1"/>
  <c r="AO535" i="4" a="1"/>
  <c r="AP527" i="4" a="1"/>
  <c r="AP561" i="4" a="1"/>
  <c r="AO626" i="4" a="1"/>
  <c r="AP650" i="4" a="1"/>
  <c r="AO648" i="4" a="1"/>
  <c r="AO677" i="4" a="1"/>
  <c r="AO860" i="4" a="1"/>
  <c r="AP841" i="4" a="1"/>
  <c r="AP859" i="4" a="1"/>
  <c r="AO873" i="4" a="1"/>
  <c r="AP848" i="4" a="1"/>
  <c r="AO889" i="4" a="1"/>
  <c r="AO156" i="4" a="1"/>
  <c r="AP280" i="4" a="1"/>
  <c r="AO228" i="4" a="1"/>
  <c r="AO358" i="4" a="1"/>
  <c r="AP481" i="4" a="1"/>
  <c r="AP358" i="4" a="1"/>
  <c r="AO300" i="4" a="1"/>
  <c r="AO440" i="4" a="1"/>
  <c r="AP409" i="4" a="1"/>
  <c r="AO551" i="4" a="1"/>
  <c r="AP584" i="4" a="1"/>
  <c r="AO507" i="4" a="1"/>
  <c r="AO627" i="4" a="1"/>
  <c r="AO655" i="4" a="1"/>
  <c r="AO661" i="4" a="1"/>
  <c r="AO674" i="4" a="1"/>
  <c r="AO813" i="4" a="1"/>
  <c r="AO918" i="4" a="1"/>
  <c r="AP750" i="4" a="1"/>
  <c r="AP860" i="4" a="1"/>
  <c r="AO898" i="4" a="1"/>
  <c r="AP913" i="4" a="1"/>
  <c r="AO193" i="4" a="1"/>
  <c r="AP128" i="4" a="1"/>
  <c r="AO244" i="4" a="1"/>
  <c r="AO375" i="4" a="1"/>
  <c r="AP482" i="4" a="1"/>
  <c r="AP359" i="4" a="1"/>
  <c r="AP492" i="4" a="1"/>
  <c r="AP382" i="4" a="1"/>
  <c r="AP317" i="4" a="1"/>
  <c r="AO469" i="4" a="1"/>
  <c r="AO597" i="4" a="1"/>
  <c r="AP596" i="4" a="1"/>
  <c r="AO526" i="4" a="1"/>
  <c r="AO678" i="4" a="1"/>
  <c r="AP679" i="4" a="1"/>
  <c r="AO694" i="4" a="1"/>
  <c r="AP694" i="4" a="1"/>
  <c r="AP840" i="4" a="1"/>
  <c r="AO861" i="4" a="1"/>
  <c r="AP804" i="4" a="1"/>
  <c r="AP881" i="4" a="1"/>
  <c r="AP846" i="4" a="1"/>
  <c r="AO845" i="4" a="1"/>
  <c r="AP886" i="4" a="1"/>
  <c r="AP888" i="4" a="1"/>
  <c r="AO819" i="4" a="1"/>
  <c r="AP81" i="4" a="1"/>
  <c r="AP265" i="4" a="1"/>
  <c r="AP290" i="4" a="1"/>
  <c r="AO500" i="4" a="1"/>
  <c r="AP490" i="4" a="1"/>
  <c r="AO487" i="4" a="1"/>
  <c r="AO479" i="4" a="1"/>
  <c r="AP567" i="4" a="1"/>
  <c r="AO630" i="4" a="1"/>
  <c r="AO724" i="4" a="1"/>
  <c r="AP720" i="4" a="1"/>
  <c r="AO855" i="4" a="1"/>
  <c r="AP796" i="4" a="1"/>
  <c r="AP839" i="4" a="1"/>
  <c r="AP160" i="4" a="1"/>
  <c r="AP205" i="4" a="1"/>
  <c r="AO449" i="4" a="1"/>
  <c r="AP22" i="4" a="1"/>
  <c r="AO49" i="4" a="1"/>
  <c r="AP66" i="4" a="1"/>
  <c r="AP52" i="4" a="1"/>
  <c r="AP92" i="4" a="1"/>
  <c r="AO2" i="4" a="1"/>
  <c r="AO126" i="4" a="1"/>
  <c r="AO38" i="4" a="1"/>
  <c r="AP17" i="4" a="1"/>
  <c r="AO266" i="4" a="1"/>
  <c r="AO58" i="4" a="1"/>
  <c r="AP219" i="4" a="1"/>
  <c r="AO16" i="4" a="1"/>
  <c r="AO223" i="4" a="1"/>
  <c r="AP97" i="4" a="1"/>
  <c r="AP154" i="4" a="1"/>
  <c r="AO53" i="4" a="1"/>
  <c r="AP34" i="4" a="1"/>
  <c r="AP72" i="4" a="1"/>
  <c r="AP6" i="4" a="1"/>
  <c r="AO261" i="4" a="1"/>
  <c r="AO87" i="4" a="1"/>
  <c r="AO205" i="4" a="1"/>
  <c r="AP141" i="4" a="1"/>
  <c r="AO304" i="4" a="1"/>
  <c r="AP427" i="4" a="1"/>
  <c r="AO315" i="4" a="1"/>
  <c r="AP421" i="4" a="1"/>
  <c r="AP344" i="4" a="1"/>
  <c r="AP285" i="4" a="1"/>
  <c r="AO466" i="4" a="1"/>
  <c r="AP575" i="4" a="1"/>
  <c r="AP566" i="4" a="1"/>
  <c r="AO573" i="4" a="1"/>
  <c r="AO629" i="4" a="1"/>
  <c r="AO638" i="4" a="1"/>
  <c r="AO647" i="4" a="1"/>
  <c r="AP647" i="4" a="1"/>
  <c r="AP801" i="4" a="1"/>
  <c r="AP822" i="4" a="1"/>
  <c r="AP864" i="4" a="1"/>
  <c r="AO147" i="4" a="1"/>
  <c r="AO340" i="4" a="1"/>
  <c r="AO372" i="4" a="1"/>
  <c r="AP335" i="4" a="1"/>
  <c r="AP535" i="4" a="1"/>
  <c r="AO705" i="4" a="1"/>
  <c r="AP689" i="4" a="1"/>
  <c r="AP732" i="4" a="1"/>
  <c r="AO864" i="4" a="1"/>
  <c r="AO180" i="4" a="1"/>
  <c r="AO341" i="4" a="1"/>
  <c r="AP44" i="4" a="1"/>
  <c r="AO68" i="4" a="1"/>
  <c r="AP78" i="4" a="1"/>
  <c r="AO59" i="4" a="1"/>
  <c r="AP124" i="4" a="1"/>
  <c r="AO10" i="4" a="1"/>
  <c r="AP187" i="4" a="1"/>
  <c r="AO47" i="4" a="1"/>
  <c r="AP29" i="4" a="1"/>
  <c r="AO120" i="4" a="1"/>
  <c r="AP62" i="4" a="1"/>
  <c r="AO246" i="4" a="1"/>
  <c r="AP27" i="4" a="1"/>
  <c r="AP230" i="4" a="1"/>
  <c r="AO106" i="4" a="1"/>
  <c r="AO161" i="4" a="1"/>
  <c r="AP73" i="4" a="1"/>
  <c r="AO50" i="4" a="1"/>
  <c r="AP77" i="4" a="1"/>
  <c r="AP15" i="4" a="1"/>
  <c r="AO80" i="4" a="1"/>
  <c r="AP84" i="4" a="1"/>
  <c r="AP209" i="4" a="1"/>
  <c r="AP145" i="4" a="1"/>
  <c r="AP319" i="4" a="1"/>
  <c r="AO431" i="4" a="1"/>
  <c r="AP323" i="4" a="1"/>
  <c r="AO434" i="4" a="1"/>
  <c r="AP348" i="4" a="1"/>
  <c r="AP297" i="4" a="1"/>
  <c r="AP439" i="4" a="1"/>
  <c r="AP556" i="4" a="1"/>
  <c r="AP551" i="4" a="1"/>
  <c r="AO544" i="4" a="1"/>
  <c r="AO590" i="4" a="1"/>
  <c r="AP625" i="4" a="1"/>
  <c r="AP630" i="4" a="1"/>
  <c r="AP612" i="4" a="1"/>
  <c r="AO777" i="4" a="1"/>
  <c r="AO807" i="4" a="1"/>
  <c r="AP785" i="4" a="1"/>
  <c r="AP787" i="4" a="1"/>
  <c r="AO897" i="4" a="1"/>
  <c r="AO830" i="4" a="1"/>
  <c r="AP85" i="4" a="1"/>
  <c r="AP171" i="4" a="1"/>
  <c r="AP138" i="4" a="1"/>
  <c r="AO277" i="4" a="1"/>
  <c r="AP399" i="4" a="1"/>
  <c r="AO283" i="4" a="1"/>
  <c r="AO376" i="4" a="1"/>
  <c r="AP311" i="4" a="1"/>
  <c r="AO439" i="4" a="1"/>
  <c r="AP397" i="4" a="1"/>
  <c r="AO520" i="4" a="1"/>
  <c r="AP514" i="4" a="1"/>
  <c r="AO553" i="4" a="1"/>
  <c r="AO591" i="4" a="1"/>
  <c r="AO631" i="4" a="1"/>
  <c r="AO639" i="4" a="1"/>
  <c r="AP644" i="4" a="1"/>
  <c r="AP811" i="4" a="1"/>
  <c r="AO804" i="4" a="1"/>
  <c r="AO812" i="4" a="1"/>
  <c r="AO801" i="4" a="1"/>
  <c r="AO820" i="4" a="1"/>
  <c r="AO881" i="4" a="1"/>
  <c r="AO144" i="4" a="1"/>
  <c r="AO254" i="4" a="1"/>
  <c r="AP213" i="4" a="1"/>
  <c r="AP350" i="4" a="1"/>
  <c r="AP473" i="4" a="1"/>
  <c r="AO346" i="4" a="1"/>
  <c r="AP283" i="4" a="1"/>
  <c r="AO424" i="4" a="1"/>
  <c r="AO398" i="4" a="1"/>
  <c r="AO536" i="4" a="1"/>
  <c r="AO561" i="4" a="1"/>
  <c r="AO607" i="4" a="1"/>
  <c r="AO612" i="4" a="1"/>
  <c r="AO644" i="4" a="1"/>
  <c r="AP653" i="4" a="1"/>
  <c r="AO649" i="4" a="1"/>
  <c r="AP799" i="4" a="1"/>
  <c r="AP887" i="4" a="1"/>
  <c r="AP880" i="4" a="1"/>
  <c r="AO846" i="4" a="1"/>
  <c r="AO878" i="4" a="1"/>
  <c r="AO901" i="4" a="1"/>
  <c r="AO177" i="4" a="1"/>
  <c r="AO102" i="4" a="1"/>
  <c r="AO233" i="4" a="1"/>
  <c r="AO359" i="4" a="1"/>
  <c r="AP474" i="4" a="1"/>
  <c r="AO347" i="4" a="1"/>
  <c r="AP257" i="4" a="1"/>
  <c r="AO249" i="4" a="1"/>
  <c r="AO26" i="4" a="1"/>
  <c r="AP269" i="4" a="1"/>
  <c r="AO172" i="4" a="1"/>
  <c r="AO95" i="4" a="1"/>
  <c r="AO371" i="4" a="1"/>
  <c r="AO499" i="4" a="1"/>
  <c r="AP691" i="4" a="1"/>
  <c r="AO732" i="4" a="1"/>
  <c r="AO880" i="4" a="1"/>
  <c r="AP227" i="4" a="1"/>
  <c r="AP455" i="4" a="1"/>
  <c r="AO584" i="4" a="1"/>
  <c r="AP705" i="4" a="1"/>
  <c r="AO751" i="4" a="1"/>
  <c r="AP103" i="4" a="1"/>
  <c r="AP418" i="4" a="1"/>
  <c r="AO316" i="4" a="1"/>
  <c r="AP425" i="4" a="1"/>
  <c r="AO511" i="4" a="1"/>
  <c r="AP677" i="4" a="1"/>
  <c r="AP685" i="4" a="1"/>
  <c r="AO734" i="4" a="1"/>
  <c r="AP769" i="4" a="1"/>
  <c r="AP820" i="4" a="1"/>
  <c r="AO216" i="4" a="1"/>
  <c r="AO278" i="4" a="1"/>
  <c r="AO281" i="4" a="1"/>
  <c r="AO457" i="4" a="1"/>
  <c r="AO414" i="4" a="1"/>
  <c r="AO418" i="4" a="1"/>
  <c r="AP589" i="4" a="1"/>
  <c r="AO512" i="4" a="1"/>
  <c r="AO606" i="4" a="1"/>
  <c r="AP721" i="4" a="1"/>
  <c r="AO759" i="4" a="1"/>
  <c r="AO73" i="4" a="1"/>
  <c r="AO35" i="4" a="1"/>
  <c r="AO178" i="4" a="1"/>
  <c r="AO498" i="4" a="1"/>
  <c r="AP722" i="4" a="1"/>
  <c r="AO915" i="4" a="1"/>
  <c r="AO412" i="4" a="1"/>
  <c r="AO778" i="4" a="1"/>
  <c r="AO462" i="4" a="1"/>
  <c r="AO557" i="4" a="1"/>
  <c r="AO745" i="4" a="1"/>
  <c r="AO229" i="4" a="1"/>
  <c r="AP300" i="4" a="1"/>
  <c r="AO519" i="4" a="1"/>
  <c r="AO742" i="4" a="1"/>
  <c r="AP898" i="4" a="1"/>
  <c r="AO248" i="4" a="1"/>
  <c r="AP277" i="4" a="1"/>
  <c r="AO60" i="4" a="1"/>
  <c r="AP332" i="4" a="1"/>
  <c r="AO766" i="4" a="1"/>
  <c r="AO351" i="4" a="1"/>
  <c r="AO181" i="4" a="1"/>
  <c r="AP603" i="4" a="1"/>
  <c r="AP133" i="4" a="1"/>
  <c r="AO426" i="4" a="1"/>
  <c r="AP760" i="4" a="1"/>
  <c r="AP64" i="4" a="1"/>
  <c r="AO133" i="4" a="1"/>
  <c r="AP40" i="4" a="1"/>
  <c r="AO31" i="4" a="1"/>
  <c r="AO125" i="4" a="1"/>
  <c r="AO115" i="4" a="1"/>
  <c r="AP339" i="4" a="1"/>
  <c r="AP372" i="4" a="1"/>
  <c r="AO559" i="4" a="1"/>
  <c r="AP634" i="4" a="1"/>
  <c r="AO796" i="4" a="1"/>
  <c r="AO89" i="4" a="1"/>
  <c r="AP406" i="4" a="1"/>
  <c r="AO447" i="4" a="1"/>
  <c r="AP557" i="4" a="1"/>
  <c r="AP660" i="4" a="1"/>
  <c r="AP833" i="4" a="1"/>
  <c r="AP266" i="4" a="1"/>
  <c r="AP354" i="4" a="1"/>
  <c r="AP436" i="4" a="1"/>
  <c r="AP547" i="4" a="1"/>
  <c r="AP495" i="4" a="1"/>
  <c r="AP651" i="4" a="1"/>
  <c r="AP661" i="4" a="1"/>
  <c r="AP905" i="4" a="1"/>
  <c r="AP853" i="4" a="1"/>
  <c r="AO905" i="4" a="1"/>
  <c r="AO117" i="4" a="1"/>
  <c r="AO367" i="4" a="1"/>
  <c r="AP355" i="4" a="1"/>
  <c r="AP309" i="4" a="1"/>
  <c r="AP485" i="4" a="1"/>
  <c r="AO473" i="4" a="1"/>
  <c r="AP520" i="4" a="1"/>
  <c r="AP599" i="4" a="1"/>
  <c r="AO682" i="4" a="1"/>
  <c r="AP633" i="4" a="1"/>
  <c r="AP658" i="4" a="1"/>
  <c r="AO854" i="4" a="1"/>
  <c r="AP741" i="4" a="1"/>
  <c r="AP786" i="4" a="1"/>
  <c r="AO858" i="4" a="1"/>
  <c r="AO902" i="4" a="1"/>
  <c r="AP499" i="4" a="1"/>
  <c r="AP132" i="4" a="1"/>
  <c r="AP528" i="4" a="1"/>
  <c r="AP708" i="4" a="1"/>
  <c r="AP173" i="4" a="1"/>
  <c r="AP484" i="4" a="1"/>
  <c r="AO532" i="4" a="1"/>
  <c r="AO691" i="4" a="1"/>
  <c r="AO896" i="4" a="1"/>
  <c r="AO166" i="4" a="1"/>
  <c r="AO77" i="4" a="1"/>
  <c r="AP88" i="4" a="1"/>
  <c r="AO200" i="4" a="1"/>
  <c r="AP123" i="4" a="1"/>
  <c r="AP252" i="4" a="1"/>
  <c r="AP352" i="4" a="1"/>
  <c r="AO474" i="4" a="1"/>
  <c r="AO664" i="4" a="1"/>
  <c r="AP844" i="4" a="1"/>
  <c r="AO839" i="4" a="1"/>
  <c r="AP180" i="4" a="1"/>
  <c r="AP431" i="4" a="1"/>
  <c r="AO565" i="4" a="1"/>
  <c r="AO670" i="4" a="1"/>
  <c r="AP901" i="4" a="1"/>
  <c r="AP912" i="4" a="1"/>
  <c r="AO374" i="4" a="1"/>
  <c r="AP308" i="4" a="1"/>
  <c r="AP413" i="4" a="1"/>
  <c r="AP595" i="4" a="1"/>
  <c r="AO643" i="4" a="1"/>
  <c r="AP669" i="4" a="1"/>
  <c r="AP830" i="4" a="1"/>
  <c r="AP754" i="4" a="1"/>
  <c r="AO913" i="4" a="1"/>
  <c r="AO204" i="4" a="1"/>
  <c r="AO260" i="4" a="1"/>
  <c r="AO489" i="4" a="1"/>
  <c r="AP453" i="4" a="1"/>
  <c r="AP410" i="4" a="1"/>
  <c r="AO578" i="4" a="1"/>
  <c r="AP664" i="4" a="1"/>
  <c r="AO668" i="4" a="1"/>
  <c r="AO883" i="4" a="1"/>
  <c r="Y148" i="3"/>
  <c r="Z82" i="3"/>
  <c r="AP119" i="4" a="1"/>
  <c r="AP245" i="4" a="1"/>
  <c r="AP190" i="4" a="1"/>
  <c r="AO162" i="4" a="1"/>
  <c r="AP224" i="4" a="1"/>
  <c r="AO187" i="4" a="1"/>
  <c r="AO256" i="4" a="1"/>
  <c r="AP364" i="4" a="1"/>
  <c r="AP356" i="4" a="1"/>
  <c r="AO411" i="4" a="1"/>
  <c r="AP361" i="4" a="1"/>
  <c r="AO478" i="4" a="1"/>
  <c r="AP590" i="4" a="1"/>
  <c r="AO586" i="4" a="1"/>
  <c r="AO611" i="4" a="1"/>
  <c r="AP675" i="4" a="1"/>
  <c r="AP665" i="4" a="1"/>
  <c r="AO663" i="4" a="1"/>
  <c r="AO676" i="4" a="1"/>
  <c r="AO870" i="4" a="1"/>
  <c r="AO735" i="4" a="1"/>
  <c r="AO872" i="4" a="1"/>
  <c r="AP917" i="4" a="1"/>
  <c r="AP847" i="4" a="1"/>
  <c r="AP884" i="4" a="1"/>
  <c r="AO127" i="4" a="1"/>
  <c r="AO214" i="4" a="1"/>
  <c r="AP204" i="4" a="1"/>
  <c r="AO321" i="4" a="1"/>
  <c r="AO444" i="4" a="1"/>
  <c r="AP320" i="4" a="1"/>
  <c r="AO435" i="4" a="1"/>
  <c r="AO361" i="4" a="1"/>
  <c r="AO286" i="4" a="1"/>
  <c r="AP440" i="4" a="1"/>
  <c r="AO569" i="4" a="1"/>
  <c r="AO560" i="4" a="1"/>
  <c r="AP506" i="4" a="1"/>
  <c r="AO665" i="4" a="1"/>
  <c r="AP681" i="4" a="1"/>
  <c r="AP672" i="4" a="1"/>
  <c r="AP715" i="4" a="1"/>
  <c r="AO733" i="4" a="1"/>
  <c r="AO728" i="4" a="1"/>
  <c r="AO737" i="4" a="1"/>
  <c r="AO817" i="4" a="1"/>
  <c r="AP897" i="4" a="1"/>
  <c r="AO916" i="4" a="1"/>
  <c r="AP172" i="4" a="1"/>
  <c r="AP127" i="4" a="1"/>
  <c r="AO259" i="4" a="1"/>
  <c r="AO389" i="4" a="1"/>
  <c r="AO284" i="4" a="1"/>
  <c r="AP407" i="4" a="1"/>
  <c r="AO327" i="4" a="1"/>
  <c r="AP274" i="4" a="1"/>
  <c r="AO429" i="4" a="1"/>
  <c r="AP592" i="4" a="1"/>
  <c r="AO531" i="4" a="1"/>
  <c r="AP533" i="4" a="1"/>
  <c r="AO681" i="4" a="1"/>
  <c r="AP682" i="4" a="1"/>
  <c r="AO689" i="4" a="1"/>
  <c r="AO701" i="4" a="1"/>
  <c r="AO741" i="4" a="1"/>
  <c r="AO752" i="4" a="1"/>
  <c r="AO789" i="4" a="1"/>
  <c r="AO895" i="4" a="1"/>
  <c r="AP828" i="4" a="1"/>
  <c r="AO116" i="4" a="1"/>
  <c r="AP236" i="4" a="1"/>
  <c r="AO152" i="4" a="1"/>
  <c r="AO289" i="4" a="1"/>
  <c r="AO401" i="4" a="1"/>
  <c r="AO285" i="4" a="1"/>
  <c r="AO382" i="4" a="1"/>
  <c r="AP293" i="4" a="1"/>
  <c r="AO425" i="4" a="1"/>
  <c r="AP385" i="4" a="1"/>
  <c r="AP486" i="4" a="1"/>
  <c r="AP501" i="4" a="1"/>
  <c r="AP524" i="4" a="1"/>
  <c r="AP554" i="4" a="1"/>
  <c r="AO707" i="4" a="1"/>
  <c r="AO721" i="4" a="1"/>
  <c r="AO730" i="4" a="1"/>
  <c r="AO718" i="4" a="1"/>
  <c r="AP900" i="4" a="1"/>
  <c r="AP730" i="4" a="1"/>
  <c r="AP916" i="4" a="1"/>
  <c r="AO847" i="4" a="1"/>
  <c r="AO879" i="4" a="1"/>
  <c r="AO887" i="4" a="1"/>
  <c r="AO894" i="4" a="1"/>
  <c r="AO771" i="4" a="1"/>
  <c r="AP896" i="4" a="1"/>
  <c r="AP131" i="4" a="1"/>
  <c r="AO150" i="4" a="1"/>
  <c r="AP365" i="4" a="1"/>
  <c r="AP304" i="4" a="1"/>
  <c r="AO299" i="4" a="1"/>
  <c r="AO290" i="4" a="1"/>
  <c r="AP546" i="4" a="1"/>
  <c r="AO602" i="4" a="1"/>
  <c r="AP676" i="4" a="1"/>
  <c r="AP656" i="4" a="1"/>
  <c r="AP802" i="4" a="1"/>
  <c r="AP763" i="4" a="1"/>
  <c r="AP825" i="4" a="1"/>
  <c r="AO869" i="4" a="1"/>
  <c r="AP211" i="4" a="1"/>
  <c r="AO232" i="4" a="1"/>
  <c r="AP469" i="4" a="1"/>
  <c r="AO107" i="4" a="1"/>
  <c r="AO27" i="4" a="1"/>
  <c r="AO132" i="4" a="1"/>
  <c r="AP75" i="4" a="1"/>
  <c r="AO165" i="4" a="1"/>
  <c r="AO67" i="4" a="1"/>
  <c r="AO54" i="4" a="1"/>
  <c r="AO134" i="4" a="1"/>
  <c r="AP60" i="4" a="1"/>
  <c r="AO167" i="4" a="1"/>
  <c r="AO33" i="4" a="1"/>
  <c r="AO34" i="4" a="1"/>
  <c r="AP48" i="4" a="1"/>
  <c r="AP262" i="4" a="1"/>
  <c r="AO154" i="4" a="1"/>
  <c r="AP194" i="4" a="1"/>
  <c r="AO211" i="4" a="1"/>
  <c r="AO197" i="4" a="1"/>
  <c r="AP93" i="4" a="1"/>
  <c r="AO42" i="4" a="1"/>
  <c r="AO131" i="4" a="1"/>
  <c r="AP109" i="4" a="1"/>
  <c r="AO241" i="4" a="1"/>
  <c r="AP179" i="4" a="1"/>
  <c r="AO352" i="4" a="1"/>
  <c r="AO455" i="4" a="1"/>
  <c r="AO344" i="4" a="1"/>
  <c r="AP454" i="4" a="1"/>
  <c r="AP379" i="4" a="1"/>
  <c r="AP334" i="4" a="1"/>
  <c r="AO482" i="4" a="1"/>
  <c r="AO594" i="4" a="1"/>
  <c r="AP593" i="4" a="1"/>
  <c r="AO513" i="4" a="1"/>
  <c r="AO679" i="4" a="1"/>
  <c r="AO669" i="4" a="1"/>
  <c r="AP667" i="4" a="1"/>
  <c r="AP688" i="4" a="1"/>
  <c r="AO763" i="4" a="1"/>
  <c r="AO736" i="4" a="1"/>
  <c r="AO822" i="4" a="1"/>
  <c r="AP195" i="4" a="1"/>
  <c r="AO421" i="4" a="1"/>
  <c r="AP443" i="4" a="1"/>
  <c r="AP459" i="4" a="1"/>
  <c r="AO545" i="4" a="1"/>
  <c r="AO654" i="4" a="1"/>
  <c r="AP770" i="4" a="1"/>
  <c r="AP806" i="4" a="1"/>
  <c r="AO912" i="4" a="1"/>
  <c r="AP250" i="4" a="1"/>
  <c r="AP393" i="4" a="1"/>
  <c r="AP191" i="4" a="1"/>
  <c r="AO36" i="4" a="1"/>
  <c r="AO155" i="4" a="1"/>
  <c r="AP101" i="4" a="1"/>
  <c r="AO173" i="4" a="1"/>
  <c r="AO83" i="4" a="1"/>
  <c r="AO66" i="4" a="1"/>
  <c r="AO160" i="4" a="1"/>
  <c r="AP76" i="4" a="1"/>
  <c r="AO175" i="4" a="1"/>
  <c r="AP50" i="4" a="1"/>
  <c r="AP43" i="4" a="1"/>
  <c r="AP53" i="4" a="1"/>
  <c r="AO273" i="4" a="1"/>
  <c r="AP192" i="4" a="1"/>
  <c r="AO226" i="4" a="1"/>
  <c r="AO262" i="4" a="1"/>
  <c r="AO235" i="4" a="1"/>
  <c r="AO114" i="4" a="1"/>
  <c r="AO46" i="4" a="1"/>
  <c r="AO163" i="4" a="1"/>
  <c r="AP126" i="4" a="1"/>
  <c r="AP248" i="4" a="1"/>
  <c r="AP203" i="4" a="1"/>
  <c r="AO356" i="4" a="1"/>
  <c r="AP467" i="4" a="1"/>
  <c r="AO348" i="4" a="1"/>
  <c r="AP462" i="4" a="1"/>
  <c r="AP383" i="4" a="1"/>
  <c r="AO338" i="4" a="1"/>
  <c r="AO470" i="4" a="1"/>
  <c r="AP579" i="4" a="1"/>
  <c r="AO570" i="4" a="1"/>
  <c r="AP600" i="4" a="1"/>
  <c r="AO652" i="4" a="1"/>
  <c r="AO653" i="4" a="1"/>
  <c r="AP655" i="4" a="1"/>
  <c r="AP659" i="4" a="1"/>
  <c r="AP810" i="4" a="1"/>
  <c r="AO727" i="4" a="1"/>
  <c r="AO835" i="4" a="1"/>
  <c r="AP869" i="4" a="1"/>
  <c r="AO827" i="4" a="1"/>
  <c r="AO868" i="4" a="1"/>
  <c r="AP110" i="4" a="1"/>
  <c r="AO202" i="4" a="1"/>
  <c r="AP157" i="4" a="1"/>
  <c r="AP301" i="4" a="1"/>
  <c r="AP428" i="4" a="1"/>
  <c r="AO308" i="4" a="1"/>
  <c r="AO422" i="4" a="1"/>
  <c r="AP345" i="4" a="1"/>
  <c r="AO502" i="4" a="1"/>
  <c r="AP424" i="4" a="1"/>
  <c r="AO550" i="4" a="1"/>
  <c r="AO539" i="4" a="1"/>
  <c r="AO587" i="4" a="1"/>
  <c r="AP642" i="4" a="1"/>
  <c r="AO666" i="4" a="1"/>
  <c r="AO660" i="4" a="1"/>
  <c r="AP696" i="4" a="1"/>
  <c r="AO893" i="4" a="1"/>
  <c r="AP867" i="4" a="1"/>
  <c r="AP906" i="4" a="1"/>
  <c r="AP903" i="4" a="1"/>
  <c r="AP865" i="4" a="1"/>
  <c r="AO904" i="4" a="1"/>
  <c r="AP164" i="4" a="1"/>
  <c r="AO101" i="4" a="1"/>
  <c r="AP243" i="4" a="1"/>
  <c r="AO370" i="4" a="1"/>
  <c r="AO492" i="4" a="1"/>
  <c r="AO381" i="4" a="1"/>
  <c r="AP312" i="4" a="1"/>
  <c r="AO460" i="4" a="1"/>
  <c r="AO417" i="4" a="1"/>
  <c r="AP577" i="4" a="1"/>
  <c r="AO599" i="4" a="1"/>
  <c r="AO518" i="4" a="1"/>
  <c r="AO650" i="4" a="1"/>
  <c r="AO671" i="4" a="1"/>
  <c r="AO673" i="4" a="1"/>
  <c r="AO690" i="4" a="1"/>
  <c r="AP850" i="4" a="1"/>
  <c r="AP733" i="4" a="1"/>
  <c r="AP765" i="4" a="1"/>
  <c r="AP873" i="4" a="1"/>
  <c r="AO809" i="4" a="1"/>
  <c r="AP104" i="4" a="1"/>
  <c r="AO212" i="4" a="1"/>
  <c r="AP144" i="4" a="1"/>
  <c r="AP268" i="4" a="1"/>
  <c r="AP386" i="4" a="1"/>
  <c r="AO493" i="4" a="1"/>
  <c r="AP374" i="4" a="1"/>
  <c r="AP196" i="4" a="1"/>
  <c r="AO221" i="4" a="1"/>
  <c r="AO24" i="4" a="1"/>
  <c r="AO55" i="4" a="1"/>
  <c r="AO92" i="4" a="1"/>
  <c r="AP253" i="4" a="1"/>
  <c r="AO298" i="4" a="1"/>
  <c r="AP498" i="4" a="1"/>
  <c r="AO684" i="4" a="1"/>
  <c r="AO750" i="4" a="1"/>
  <c r="AO903" i="4" a="1"/>
  <c r="AO353" i="4" a="1"/>
  <c r="AP380" i="4" a="1"/>
  <c r="AP594" i="4" a="1"/>
  <c r="AO696" i="4" a="1"/>
  <c r="AO761" i="4" a="1"/>
  <c r="AO196" i="4" a="1"/>
  <c r="AP305" i="4" a="1"/>
  <c r="AO397" i="4" a="1"/>
  <c r="AO509" i="4" a="1"/>
  <c r="AO588" i="4" a="1"/>
  <c r="AP627" i="4" a="1"/>
  <c r="AP614" i="4" a="1"/>
  <c r="AP831" i="4" a="1"/>
  <c r="AO818" i="4" a="1"/>
  <c r="AP877" i="4" a="1"/>
  <c r="AO90" i="4" a="1"/>
  <c r="AO342" i="4" a="1"/>
  <c r="AO326" i="4" a="1"/>
  <c r="AP289" i="4" a="1"/>
  <c r="AP457" i="4" a="1"/>
  <c r="AP461" i="4" a="1"/>
  <c r="AP497" i="4" a="1"/>
  <c r="AP559" i="4" a="1"/>
  <c r="AO703" i="4" a="1"/>
  <c r="AP709" i="4" a="1"/>
  <c r="AP891" i="4" a="1"/>
  <c r="AP218" i="4" a="1"/>
  <c r="AP98" i="4" a="1"/>
  <c r="AP279" i="4" a="1"/>
  <c r="AO523" i="4" a="1"/>
  <c r="AP737" i="4" a="1"/>
  <c r="AP159" i="4" a="1"/>
  <c r="AO503" i="4" a="1"/>
  <c r="AO786" i="4" a="1"/>
  <c r="AO501" i="4" a="1"/>
  <c r="AP541" i="4" a="1"/>
  <c r="AP797" i="4" a="1"/>
  <c r="AP470" i="4" a="1"/>
  <c r="AO465" i="4" a="1"/>
  <c r="AP718" i="4" a="1"/>
  <c r="AP734" i="4" a="1"/>
  <c r="AO264" i="4" a="1"/>
  <c r="AP41" i="4" a="1"/>
  <c r="AP96" i="4" a="1"/>
  <c r="AP79" i="4" a="1"/>
  <c r="AO419" i="4" a="1"/>
  <c r="AP871" i="4" a="1"/>
  <c r="AO576" i="4" a="1"/>
  <c r="AP432" i="4" a="1"/>
  <c r="AP693" i="4" a="1"/>
  <c r="AO292" i="4" a="1"/>
  <c r="AP550" i="4" a="1"/>
  <c r="AO757" i="4" a="1"/>
  <c r="AO103" i="4" a="1"/>
  <c r="AP24" i="4" a="1"/>
  <c r="AO135" i="4" a="1"/>
  <c r="AO239" i="4" a="1"/>
  <c r="AP59" i="4" a="1"/>
  <c r="AO88" i="4" a="1"/>
  <c r="AO443" i="4" a="1"/>
  <c r="AO301" i="4" a="1"/>
  <c r="AP552" i="4" a="1"/>
  <c r="AO617" i="4" a="1"/>
  <c r="AO791" i="4" a="1"/>
  <c r="AP175" i="4" a="1"/>
  <c r="AP287" i="4" a="1"/>
  <c r="AO405" i="4" a="1"/>
  <c r="AP618" i="4" a="1"/>
  <c r="AO823" i="4" a="1"/>
  <c r="AO828" i="4" a="1"/>
  <c r="AO217" i="4" a="1"/>
  <c r="AP444" i="4" a="1"/>
  <c r="AP316" i="4" a="1"/>
  <c r="AP500" i="4" a="1"/>
  <c r="AP553" i="4" a="1"/>
  <c r="AO726" i="4" a="1"/>
  <c r="AO731" i="4" a="1"/>
  <c r="AP783" i="4" a="1"/>
  <c r="AP812" i="4" a="1"/>
  <c r="AO141" i="4" a="1"/>
  <c r="AO186" i="4" a="1"/>
  <c r="AP430" i="4" a="1"/>
  <c r="AP400" i="4" a="1"/>
  <c r="AP331" i="4" a="1"/>
  <c r="AO337" i="4" a="1"/>
  <c r="AO514" i="4" a="1"/>
  <c r="AO558" i="4" a="1"/>
  <c r="AO534" i="4" a="1"/>
  <c r="AP723" i="4" a="1"/>
  <c r="AO658" i="4" a="1"/>
  <c r="AP698" i="4" a="1"/>
  <c r="AO746" i="4" a="1"/>
  <c r="AO765" i="4" a="1"/>
  <c r="AO815" i="4" a="1"/>
  <c r="AP895" i="4" a="1"/>
  <c r="AO530" i="4" a="1"/>
  <c r="AP623" i="4" a="1"/>
  <c r="AO329" i="4" a="1"/>
  <c r="AP602" i="4" a="1"/>
  <c r="AP791" i="4" a="1"/>
  <c r="AP178" i="4" a="1"/>
  <c r="AP433" i="4" a="1"/>
  <c r="AP570" i="4" a="1"/>
  <c r="AP800" i="4" a="1"/>
  <c r="AO810" i="4" a="1"/>
  <c r="AO110" i="4" a="1"/>
  <c r="AO168" i="4" a="1"/>
  <c r="AP63" i="4" a="1"/>
  <c r="AP233" i="4" a="1"/>
  <c r="AO51" i="4" a="1"/>
  <c r="AP215" i="4" a="1"/>
  <c r="AO485" i="4" a="1"/>
  <c r="AO583" i="4" a="1"/>
  <c r="AO657" i="4" a="1"/>
  <c r="AP731" i="4" a="1"/>
  <c r="AP879" i="4" a="1"/>
  <c r="AO305" i="4" a="1"/>
  <c r="AO349" i="4" a="1"/>
  <c r="AP548" i="4" a="1"/>
  <c r="AP668" i="4" a="1"/>
  <c r="AP728" i="4" a="1"/>
  <c r="AP168" i="4" a="1"/>
  <c r="AO504" i="4" a="1"/>
  <c r="AO385" i="4" a="1"/>
  <c r="AO476" i="4" a="1"/>
  <c r="AP562" i="4" a="1"/>
  <c r="AP619" i="4" a="1"/>
  <c r="AO720" i="4" a="1"/>
  <c r="AO782" i="4" a="1"/>
  <c r="AO892" i="4" a="1"/>
  <c r="AO859" i="4" a="1"/>
  <c r="AO271" i="4" a="1"/>
  <c r="AO323" i="4" a="1"/>
  <c r="AO314" i="4" a="1"/>
  <c r="AP284" i="4" a="1"/>
  <c r="AO441" i="4" a="1"/>
  <c r="AO442" i="4" a="1"/>
  <c r="AO494" i="4" a="1"/>
  <c r="AO543" i="4" a="1"/>
  <c r="AO628" i="4" a="1"/>
  <c r="AP703" i="4" a="1"/>
  <c r="AP615" i="4" a="1"/>
  <c r="AO780" i="4" a="1"/>
  <c r="AO909" i="4" a="1"/>
  <c r="AP751" i="4" a="1"/>
  <c r="AP813" i="4" a="1"/>
  <c r="AP878" i="4" a="1"/>
  <c r="AO646" i="4" a="1"/>
  <c r="AO756" i="4" a="1"/>
  <c r="AO753" i="4" a="1"/>
  <c r="AP835" i="4" a="1"/>
  <c r="AP883" i="4" a="1"/>
  <c r="AO645" i="4" a="1"/>
  <c r="AO98" i="4" a="1"/>
  <c r="AO461" i="4" a="1"/>
  <c r="AP674" i="4" a="1"/>
  <c r="AP779" i="4" a="1"/>
  <c r="AO582" i="4" a="1"/>
  <c r="AO806" i="4" a="1"/>
  <c r="AO833" i="4" a="1"/>
  <c r="AO826" i="4" a="1"/>
  <c r="AO886" i="4" a="1"/>
  <c r="AO723" i="4" a="1"/>
  <c r="U132" i="3"/>
  <c r="Y65" i="3"/>
  <c r="AO18" i="4" a="1"/>
  <c r="AP51" i="4" a="1"/>
  <c r="AO238" i="4" a="1"/>
  <c r="AP37" i="4" a="1"/>
  <c r="AO32" i="4" a="1"/>
  <c r="AO45" i="4" a="1"/>
  <c r="AO99" i="4" a="1"/>
  <c r="AP398" i="4" a="1"/>
  <c r="AP375" i="4" a="1"/>
  <c r="AP446" i="4" a="1"/>
  <c r="AO393" i="4" a="1"/>
  <c r="AP507" i="4" a="1"/>
  <c r="AP502" i="4" a="1"/>
  <c r="AP605" i="4" a="1"/>
  <c r="AO547" i="4" a="1"/>
  <c r="AP700" i="4" a="1"/>
  <c r="AP692" i="4" a="1"/>
  <c r="AO695" i="4" a="1"/>
  <c r="AP710" i="4" a="1"/>
  <c r="AO743" i="4" a="1"/>
  <c r="AO754" i="4" a="1"/>
  <c r="AP727" i="4" a="1"/>
  <c r="AO848" i="4" a="1"/>
  <c r="AO884" i="4" a="1"/>
  <c r="AO907" i="4" a="1"/>
  <c r="AO143" i="4" a="1"/>
  <c r="AO253" i="4" a="1"/>
  <c r="AO231" i="4" a="1"/>
  <c r="AO357" i="4" a="1"/>
  <c r="AP472" i="4" a="1"/>
  <c r="AP341" i="4" a="1"/>
  <c r="AP463" i="4" a="1"/>
  <c r="AP384" i="4" a="1"/>
  <c r="AP327" i="4" a="1"/>
  <c r="AO475" i="4" a="1"/>
  <c r="AP591" i="4" a="1"/>
  <c r="AO598" i="4" a="1"/>
  <c r="AO556" i="4" a="1"/>
  <c r="AP701" i="4" a="1"/>
  <c r="AP711" i="4" a="1"/>
  <c r="AO708" i="4" a="1"/>
  <c r="AO767" i="4" a="1"/>
  <c r="AO768" i="4" a="1"/>
  <c r="AO755" i="4" a="1"/>
  <c r="AP764" i="4" a="1"/>
  <c r="AO856" i="4" a="1"/>
  <c r="AO831" i="4" a="1"/>
  <c r="AP107" i="4" a="1"/>
  <c r="AO203" i="4" a="1"/>
  <c r="AO151" i="4" a="1"/>
  <c r="AO302" i="4" a="1"/>
  <c r="AP429" i="4" a="1"/>
  <c r="AO309" i="4" a="1"/>
  <c r="AP448" i="4" a="1"/>
  <c r="AP381" i="4" a="1"/>
  <c r="AO320" i="4" a="1"/>
  <c r="AO472" i="4" a="1"/>
  <c r="AP504" i="4" a="1"/>
  <c r="AP558" i="4" a="1"/>
  <c r="AP573" i="4" a="1"/>
  <c r="AO722" i="4" a="1"/>
  <c r="AO616" i="4" a="1"/>
  <c r="AO716" i="4" a="1"/>
  <c r="AP735" i="4" a="1"/>
  <c r="AP778" i="4" a="1"/>
  <c r="AO787" i="4" a="1"/>
  <c r="AO853" i="4" a="1"/>
  <c r="AP816" i="4" a="1"/>
  <c r="AO851" i="4" a="1"/>
  <c r="AO145" i="4" a="1"/>
  <c r="AP267" i="4" a="1"/>
  <c r="AO194" i="4" a="1"/>
  <c r="AP318" i="4" a="1"/>
  <c r="AP442" i="4" a="1"/>
  <c r="AO310" i="4" a="1"/>
  <c r="AP420" i="4" a="1"/>
  <c r="AO317" i="4" a="1"/>
  <c r="AP445" i="4" a="1"/>
  <c r="AP414" i="4" a="1"/>
  <c r="AO522" i="4" a="1"/>
  <c r="AP529" i="4" a="1"/>
  <c r="AO555" i="4" a="1"/>
  <c r="AO589" i="4" a="1"/>
  <c r="AP628" i="4" a="1"/>
  <c r="AO641" i="4" a="1"/>
  <c r="AP624" i="4" a="1"/>
  <c r="AP748" i="4" a="1"/>
  <c r="AO762" i="4" a="1"/>
  <c r="AP749" i="4" a="1"/>
  <c r="AP755" i="4" a="1"/>
  <c r="AO875" i="4" a="1"/>
  <c r="AO910" i="4" a="1"/>
  <c r="AP910" i="4" a="1"/>
  <c r="AP758" i="4" a="1"/>
  <c r="AP843" i="4" a="1"/>
  <c r="AP857" i="4" a="1"/>
  <c r="AP167" i="4" a="1"/>
  <c r="AP242" i="4" a="1"/>
  <c r="AO396" i="4" a="1"/>
  <c r="AO345" i="4" a="1"/>
  <c r="AO373" i="4" a="1"/>
  <c r="AO387" i="4" a="1"/>
  <c r="AO595" i="4" a="1"/>
  <c r="AO574" i="4" a="1"/>
  <c r="AP626" i="4" a="1"/>
  <c r="AO715" i="4" a="1"/>
  <c r="AP740" i="4" a="1"/>
  <c r="AO891" i="4" a="1"/>
  <c r="AP815" i="4" a="1"/>
  <c r="AP82" i="4" a="1"/>
  <c r="AO97" i="4" a="1"/>
  <c r="AO306" i="4" a="1"/>
  <c r="AP288" i="4" a="1"/>
  <c r="AO37" i="4" a="1"/>
  <c r="AP2" i="4" a="1"/>
  <c r="AO190" i="4" a="1"/>
  <c r="AP182" i="4" a="1"/>
  <c r="AO222" i="4" a="1"/>
  <c r="AP222" i="4" a="1"/>
  <c r="AP189" i="4" a="1"/>
  <c r="AO192" i="4" a="1"/>
  <c r="AP118" i="4" a="1"/>
  <c r="AP207" i="4" a="1"/>
  <c r="AP151" i="4" a="1"/>
  <c r="AP91" i="4" a="1"/>
  <c r="AP112" i="4" a="1"/>
  <c r="AP14" i="4" a="1"/>
  <c r="AO245" i="4" a="1"/>
  <c r="AO267" i="4" a="1"/>
  <c r="AP67" i="4" a="1"/>
  <c r="AP13" i="4" a="1"/>
  <c r="AP153" i="4" a="1"/>
  <c r="AO64" i="4" a="1"/>
  <c r="AO220" i="4" a="1"/>
  <c r="AO142" i="4" a="1"/>
  <c r="AO268" i="4" a="1"/>
  <c r="AO230" i="4" a="1"/>
  <c r="AO368" i="4" a="1"/>
  <c r="AP479" i="4" a="1"/>
  <c r="AP360" i="4" a="1"/>
  <c r="AP281" i="4" a="1"/>
  <c r="AP422" i="4" a="1"/>
  <c r="AO365" i="4" a="1"/>
  <c r="AO515" i="4" a="1"/>
  <c r="AP509" i="4" a="1"/>
  <c r="AP494" i="4" a="1"/>
  <c r="AP555" i="4" a="1"/>
  <c r="AO704" i="4" a="1"/>
  <c r="AP704" i="4" a="1"/>
  <c r="AO699" i="4" a="1"/>
  <c r="AO719" i="4" a="1"/>
  <c r="AP803" i="4" a="1"/>
  <c r="AO816" i="4" a="1"/>
  <c r="AP911" i="4" a="1"/>
  <c r="AO119" i="4" a="1"/>
  <c r="AP476" i="4" a="1"/>
  <c r="AP333" i="4" a="1"/>
  <c r="AO516" i="4" a="1"/>
  <c r="AP517" i="4" a="1"/>
  <c r="AP635" i="4" a="1"/>
  <c r="AO874" i="4" a="1"/>
  <c r="AP753" i="4" a="1"/>
  <c r="AO900" i="4" a="1"/>
  <c r="AO158" i="4" a="1"/>
  <c r="AP488" i="4" a="1"/>
  <c r="AP46" i="4" a="1"/>
  <c r="AO7" i="4" a="1"/>
  <c r="AP197" i="4" a="1"/>
  <c r="AP188" i="4" a="1"/>
  <c r="AP229" i="4" a="1"/>
  <c r="AO251" i="4" a="1"/>
  <c r="AO209" i="4" a="1"/>
  <c r="AP199" i="4" a="1"/>
  <c r="AP152" i="4" a="1"/>
  <c r="AO224" i="4" a="1"/>
  <c r="AP206" i="4" a="1"/>
  <c r="AO195" i="4" a="1"/>
  <c r="AP129" i="4" a="1"/>
  <c r="AP18" i="4" a="1"/>
  <c r="AO252" i="4" a="1"/>
  <c r="AO272" i="4" a="1"/>
  <c r="AO79" i="4" a="1"/>
  <c r="AO17" i="4" a="1"/>
  <c r="AO164" i="4" a="1"/>
  <c r="AO81" i="4" a="1"/>
  <c r="AP234" i="4" a="1"/>
  <c r="AO146" i="4" a="1"/>
  <c r="AO91" i="4" a="1"/>
  <c r="AP241" i="4" a="1"/>
  <c r="AP387" i="4" a="1"/>
  <c r="AO483" i="4" a="1"/>
  <c r="AP367" i="4" a="1"/>
  <c r="AP294" i="4" a="1"/>
  <c r="AP434" i="4" a="1"/>
  <c r="AP373" i="4" a="1"/>
  <c r="AP487" i="4" a="1"/>
  <c r="AO608" i="4" a="1"/>
  <c r="AP597" i="4" a="1"/>
  <c r="AP531" i="4" a="1"/>
  <c r="AO683" i="4" a="1"/>
  <c r="AP680" i="4" a="1"/>
  <c r="AP671" i="4" a="1"/>
  <c r="AP695" i="4" a="1"/>
  <c r="AP904" i="4" a="1"/>
  <c r="AP746" i="4" a="1"/>
  <c r="AP902" i="4" a="1"/>
  <c r="AP824" i="4" a="1"/>
  <c r="AP876" i="4" a="1"/>
  <c r="AP899" i="4" a="1"/>
  <c r="AP135" i="4" a="1"/>
  <c r="AP238" i="4" a="1"/>
  <c r="AP216" i="4" a="1"/>
  <c r="AP349" i="4" a="1"/>
  <c r="AO452" i="4" a="1"/>
  <c r="AP329" i="4" a="1"/>
  <c r="AP451" i="4" a="1"/>
  <c r="AO377" i="4" a="1"/>
  <c r="AP298" i="4" a="1"/>
  <c r="AO467" i="4" a="1"/>
  <c r="AP580" i="4" a="1"/>
  <c r="AP583" i="4" a="1"/>
  <c r="AP532" i="4" a="1"/>
  <c r="AO680" i="4" a="1"/>
  <c r="AO693" i="4" a="1"/>
  <c r="AO688" i="4" a="1"/>
  <c r="AP729" i="4" a="1"/>
  <c r="AO744" i="4" a="1"/>
  <c r="AP743" i="4" a="1"/>
  <c r="AP757" i="4" a="1"/>
  <c r="AO849" i="4" a="1"/>
  <c r="AP819" i="4" a="1"/>
  <c r="AP86" i="4" a="1"/>
  <c r="AP184" i="4" a="1"/>
  <c r="AP143" i="4" a="1"/>
  <c r="AO288" i="4" a="1"/>
  <c r="AO400" i="4" a="1"/>
  <c r="AO293" i="4" a="1"/>
  <c r="AO436" i="4" a="1"/>
  <c r="AP346" i="4" a="1"/>
  <c r="AP299" i="4" a="1"/>
  <c r="AP460" i="4" a="1"/>
  <c r="AO613" i="4" a="1"/>
  <c r="AO542" i="4" a="1"/>
  <c r="AP545" i="4" a="1"/>
  <c r="AO706" i="4" a="1"/>
  <c r="AP712" i="4" a="1"/>
  <c r="AO697" i="4" a="1"/>
  <c r="AO717" i="4" a="1"/>
  <c r="AO749" i="4" a="1"/>
  <c r="AP775" i="4" a="1"/>
  <c r="AO802" i="4" a="1"/>
  <c r="AP919" i="4" a="1"/>
  <c r="AO840" i="4" a="1"/>
  <c r="AP137" i="4" a="1"/>
  <c r="AP251" i="4" a="1"/>
  <c r="AO182" i="4" a="1"/>
  <c r="AO303" i="4" a="1"/>
  <c r="AP426" i="4" a="1"/>
  <c r="AP302" i="4" a="1"/>
  <c r="AO69" i="4" a="1"/>
  <c r="AO236" i="4" a="1"/>
  <c r="AP183" i="4" a="1"/>
  <c r="AO136" i="4" a="1"/>
  <c r="AO109" i="4" a="1"/>
  <c r="AP260" i="4" a="1"/>
  <c r="AO395" i="4" a="1"/>
  <c r="AO438" i="4" a="1"/>
  <c r="AO601" i="4" a="1"/>
  <c r="AO687" i="4" a="1"/>
  <c r="AO919" i="4" a="1"/>
  <c r="AO139" i="4" a="1"/>
  <c r="AP468" i="4" a="1"/>
  <c r="AO319" i="4" a="1"/>
  <c r="AP544" i="4" a="1"/>
  <c r="AP738" i="4" a="1"/>
  <c r="AP852" i="4" a="1"/>
  <c r="AP147" i="4" a="1"/>
  <c r="AO403" i="4" a="1"/>
  <c r="AP270" i="4" a="1"/>
  <c r="AP581" i="4" a="1"/>
  <c r="AP525" i="4" a="1"/>
  <c r="AP678" i="4" a="1"/>
  <c r="AP697" i="4" a="1"/>
  <c r="AP744" i="4" a="1"/>
  <c r="AP890" i="4" a="1"/>
  <c r="AP108" i="4" a="1"/>
  <c r="AP148" i="4" a="1"/>
  <c r="AP394" i="4" a="1"/>
  <c r="AP378" i="4" a="1"/>
  <c r="AP324" i="4" a="1"/>
  <c r="AP296" i="4" a="1"/>
  <c r="AO481" i="4" a="1"/>
  <c r="AO537" i="4" a="1"/>
  <c r="AP512" i="4" a="1"/>
  <c r="AO633" i="4" a="1"/>
  <c r="AP882" i="4" a="1"/>
  <c r="AO914" i="4" a="1"/>
  <c r="AO5" i="4" a="1"/>
  <c r="AP264" i="4" a="1"/>
  <c r="AP307" i="4" a="1"/>
  <c r="AO525" i="4" a="1"/>
  <c r="AP780" i="4" a="1"/>
  <c r="AO258" i="4" a="1"/>
  <c r="AP537" i="4" a="1"/>
  <c r="AO850" i="4" a="1"/>
  <c r="AO413" i="4" a="1"/>
  <c r="AO636" i="4" a="1"/>
  <c r="AO832" i="4" a="1"/>
  <c r="AO437" i="4" a="1"/>
  <c r="AO593" i="4" a="1"/>
  <c r="AP621" i="4" a="1"/>
  <c r="AO770" i="4" a="1"/>
  <c r="AP36" i="4" a="1"/>
  <c r="AP26" i="4" a="1"/>
  <c r="AO201" i="4" a="1"/>
  <c r="AO121" i="4" a="1"/>
  <c r="AO575" i="4" a="1"/>
  <c r="AO96" i="4" a="1"/>
  <c r="AP609" i="4" a="1"/>
  <c r="AO291" i="4" a="1"/>
  <c r="AO764" i="4" a="1"/>
  <c r="AO390" i="4" a="1"/>
  <c r="AO605" i="4" a="1"/>
  <c r="AO863" i="4" a="1"/>
  <c r="AP102" i="4" a="1"/>
  <c r="AO22" i="4" a="1"/>
  <c r="AO4" i="4" a="1"/>
  <c r="AO113" i="4" a="1"/>
  <c r="AO82" i="4" a="1"/>
  <c r="AO213" i="4" a="1"/>
  <c r="AO332" i="4" a="1"/>
  <c r="AP447" i="4" a="1"/>
  <c r="AP617" i="4" a="1"/>
  <c r="AP789" i="4" a="1"/>
  <c r="AP909" i="4" a="1"/>
  <c r="AP142" i="4" a="1"/>
  <c r="AO380" i="4" a="1"/>
  <c r="AO527" i="4" a="1"/>
  <c r="AO635" i="4" a="1"/>
  <c r="AO808" i="4" a="1"/>
  <c r="AO885" i="4" a="1"/>
  <c r="AO354" i="4" a="1"/>
  <c r="AO296" i="4" a="1"/>
  <c r="AO406" i="4" a="1"/>
  <c r="AP568" i="4" a="1"/>
  <c r="AO619" i="4" a="1"/>
  <c r="AP657" i="4" a="1"/>
  <c r="AO803" i="4" a="1"/>
  <c r="AO738" i="4" a="1"/>
  <c r="AP894" i="4" a="1"/>
  <c r="AO185" i="4" a="1"/>
  <c r="AP240" i="4" a="1"/>
  <c r="AP478" i="4" a="1"/>
  <c r="AO445" i="4" a="1"/>
  <c r="AO391" i="4" a="1"/>
  <c r="AO399" i="4" a="1"/>
  <c r="AO567" i="4" a="1"/>
  <c r="AO600" i="4" a="1"/>
  <c r="AP574" i="4" a="1"/>
  <c r="AP652" i="4" a="1"/>
  <c r="AO698" i="4" a="1"/>
  <c r="AP736" i="4" a="1"/>
  <c r="AO783" i="4" a="1"/>
  <c r="AP808" i="4" a="1"/>
  <c r="AP861" i="4" a="1"/>
  <c r="AO821" i="4" a="1"/>
  <c r="AP69" i="4" a="1"/>
  <c r="AO781" i="4" a="1"/>
  <c r="AO334" i="4" a="1"/>
  <c r="AP702" i="4" a="1"/>
  <c r="AO862" i="4" a="1"/>
  <c r="AP415" i="4" a="1"/>
  <c r="AO392" i="4" a="1"/>
  <c r="AO637" i="4" a="1"/>
  <c r="AO834" i="4" a="1"/>
  <c r="AP217" i="4" a="1"/>
  <c r="AO189" i="4" a="1"/>
  <c r="AP95" i="4" a="1"/>
  <c r="AO71" i="4" a="1"/>
  <c r="AP10" i="4" a="1"/>
  <c r="AO171" i="4" a="1"/>
  <c r="AO360" i="4" a="1"/>
  <c r="AP403" i="4" a="1"/>
  <c r="AP582" i="4" a="1"/>
  <c r="AO659" i="4" a="1"/>
  <c r="AO852" i="4" a="1"/>
  <c r="AP114" i="4" a="1"/>
  <c r="AO432" i="4" a="1"/>
  <c r="AP273" i="4" a="1"/>
  <c r="AP601" i="4" a="1"/>
  <c r="AO700" i="4" a="1"/>
  <c r="AO920" i="4" a="1"/>
  <c r="AP116" i="4" a="1"/>
  <c r="AP369" i="4" a="1"/>
  <c r="AP456" i="4" a="1"/>
  <c r="AO566" i="4" a="1"/>
  <c r="AP511" i="4" a="1"/>
  <c r="AO667" i="4" a="1"/>
  <c r="AP686" i="4" a="1"/>
  <c r="AO729" i="4" a="1"/>
  <c r="AO865" i="4" a="1"/>
  <c r="AO917" i="4" a="1"/>
  <c r="AP140" i="4" a="1"/>
  <c r="AO378" i="4" a="1"/>
  <c r="AP370" i="4" a="1"/>
  <c r="AP313" i="4" a="1"/>
  <c r="AO275" i="4" a="1"/>
  <c r="AO477" i="4" a="1"/>
  <c r="AO524" i="4" a="1"/>
  <c r="AO609" i="4" a="1"/>
  <c r="AP690" i="4" a="1"/>
  <c r="AP637" i="4" a="1"/>
  <c r="AO675" i="4" a="1"/>
  <c r="AP866" i="4" a="1"/>
  <c r="AP745" i="4" a="1"/>
  <c r="AP798" i="4" a="1"/>
  <c r="AP863" i="4" a="1"/>
  <c r="AO906" i="4" a="1"/>
  <c r="AP670" i="4" a="1"/>
  <c r="AP792" i="4" a="1"/>
  <c r="AO788" i="4" a="1"/>
  <c r="AP817" i="4" a="1"/>
  <c r="AP388" i="4" a="1"/>
  <c r="AO871" i="4" a="1"/>
  <c r="AO355" i="4" a="1"/>
  <c r="AO510" i="4" a="1"/>
  <c r="AO672" i="4" a="1"/>
  <c r="AO799" i="4" a="1"/>
  <c r="AO410" i="4" a="1"/>
  <c r="AO710" i="4" a="1"/>
  <c r="AP870" i="4" a="1"/>
  <c r="AP821" i="4" a="1"/>
  <c r="AP538" i="4" a="1"/>
  <c r="AO572" i="4" a="1"/>
  <c r="AO572" i="4" l="1"/>
  <c r="AP538" i="4"/>
  <c r="AP821" i="4"/>
  <c r="AP870" i="4"/>
  <c r="AO710" i="4"/>
  <c r="AO410" i="4"/>
  <c r="AO799" i="4"/>
  <c r="AO672" i="4"/>
  <c r="AO510" i="4"/>
  <c r="AO355" i="4"/>
  <c r="AO871" i="4"/>
  <c r="AP388" i="4"/>
  <c r="AP817" i="4"/>
  <c r="AO788" i="4"/>
  <c r="AP792" i="4"/>
  <c r="AP670" i="4"/>
  <c r="AO906" i="4"/>
  <c r="AP863" i="4"/>
  <c r="AP798" i="4"/>
  <c r="AP745" i="4"/>
  <c r="AP866" i="4"/>
  <c r="AO675" i="4"/>
  <c r="AP637" i="4"/>
  <c r="AP690" i="4"/>
  <c r="AO609" i="4"/>
  <c r="AO524" i="4"/>
  <c r="AO477" i="4"/>
  <c r="AO275" i="4"/>
  <c r="AP313" i="4"/>
  <c r="AP370" i="4"/>
  <c r="AO378" i="4"/>
  <c r="AP140" i="4"/>
  <c r="AO917" i="4"/>
  <c r="AO865" i="4"/>
  <c r="AO729" i="4"/>
  <c r="AP686" i="4"/>
  <c r="AO667" i="4"/>
  <c r="AP511" i="4"/>
  <c r="AO566" i="4"/>
  <c r="AP456" i="4"/>
  <c r="AP369" i="4"/>
  <c r="AP116" i="4"/>
  <c r="AO920" i="4"/>
  <c r="AO700" i="4"/>
  <c r="AP601" i="4"/>
  <c r="AP273" i="4"/>
  <c r="AO432" i="4"/>
  <c r="AP114" i="4"/>
  <c r="AO852" i="4"/>
  <c r="AO659" i="4"/>
  <c r="AP582" i="4"/>
  <c r="AP403" i="4"/>
  <c r="AO360" i="4"/>
  <c r="AO171" i="4"/>
  <c r="AP10" i="4"/>
  <c r="AO71" i="4"/>
  <c r="AP95" i="4"/>
  <c r="AO189" i="4"/>
  <c r="AP217" i="4"/>
  <c r="AO834" i="4"/>
  <c r="AO637" i="4"/>
  <c r="AO392" i="4"/>
  <c r="AP415" i="4"/>
  <c r="AO862" i="4"/>
  <c r="AP702" i="4"/>
  <c r="AO334" i="4"/>
  <c r="AO781" i="4"/>
  <c r="AP69" i="4"/>
  <c r="AO821" i="4"/>
  <c r="AP861" i="4"/>
  <c r="AP808" i="4"/>
  <c r="AO783" i="4"/>
  <c r="AP736" i="4"/>
  <c r="AO698" i="4"/>
  <c r="AP652" i="4"/>
  <c r="AP574" i="4"/>
  <c r="AO600" i="4"/>
  <c r="AO567" i="4"/>
  <c r="AO399" i="4"/>
  <c r="AO391" i="4"/>
  <c r="AO445" i="4"/>
  <c r="AP478" i="4"/>
  <c r="AP240" i="4"/>
  <c r="AO185" i="4"/>
  <c r="AP894" i="4"/>
  <c r="AO738" i="4"/>
  <c r="AO803" i="4"/>
  <c r="AP657" i="4"/>
  <c r="AO619" i="4"/>
  <c r="AP568" i="4"/>
  <c r="AO406" i="4"/>
  <c r="AO296" i="4"/>
  <c r="AO354" i="4"/>
  <c r="AO885" i="4"/>
  <c r="AO808" i="4"/>
  <c r="AO635" i="4"/>
  <c r="AO527" i="4"/>
  <c r="AO380" i="4"/>
  <c r="AP142" i="4"/>
  <c r="AP909" i="4"/>
  <c r="AP789" i="4"/>
  <c r="AP617" i="4"/>
  <c r="AP447" i="4"/>
  <c r="AO332" i="4"/>
  <c r="AO213" i="4"/>
  <c r="AO82" i="4"/>
  <c r="AO113" i="4"/>
  <c r="AO4" i="4"/>
  <c r="AO22" i="4"/>
  <c r="AP102" i="4"/>
  <c r="AO863" i="4"/>
  <c r="AO605" i="4"/>
  <c r="AO390" i="4"/>
  <c r="AO764" i="4"/>
  <c r="AO291" i="4"/>
  <c r="AP609" i="4"/>
  <c r="AO96" i="4"/>
  <c r="AO575" i="4"/>
  <c r="AO121" i="4"/>
  <c r="AO201" i="4"/>
  <c r="AP26" i="4"/>
  <c r="AP36" i="4"/>
  <c r="AO770" i="4"/>
  <c r="AP621" i="4"/>
  <c r="AO593" i="4"/>
  <c r="AO437" i="4"/>
  <c r="AO832" i="4"/>
  <c r="AO636" i="4"/>
  <c r="AO413" i="4"/>
  <c r="AO850" i="4"/>
  <c r="AP537" i="4"/>
  <c r="AO258" i="4"/>
  <c r="AP780" i="4"/>
  <c r="AO525" i="4"/>
  <c r="AP307" i="4"/>
  <c r="AP264" i="4"/>
  <c r="AO5" i="4"/>
  <c r="AO914" i="4"/>
  <c r="AP882" i="4"/>
  <c r="AO633" i="4"/>
  <c r="AP512" i="4"/>
  <c r="AO537" i="4"/>
  <c r="AO481" i="4"/>
  <c r="AP296" i="4"/>
  <c r="AP324" i="4"/>
  <c r="AP378" i="4"/>
  <c r="AP394" i="4"/>
  <c r="AP148" i="4"/>
  <c r="AP108" i="4"/>
  <c r="AP890" i="4"/>
  <c r="AP744" i="4"/>
  <c r="AP697" i="4"/>
  <c r="AP678" i="4"/>
  <c r="AP525" i="4"/>
  <c r="AP581" i="4"/>
  <c r="AP270" i="4"/>
  <c r="AO403" i="4"/>
  <c r="AP147" i="4"/>
  <c r="AP852" i="4"/>
  <c r="AP738" i="4"/>
  <c r="AP544" i="4"/>
  <c r="AO319" i="4"/>
  <c r="AP468" i="4"/>
  <c r="AO139" i="4"/>
  <c r="AO919" i="4"/>
  <c r="AO687" i="4"/>
  <c r="AO601" i="4"/>
  <c r="AO438" i="4"/>
  <c r="AO395" i="4"/>
  <c r="AP260" i="4"/>
  <c r="AO109" i="4"/>
  <c r="AO136" i="4"/>
  <c r="AP183" i="4"/>
  <c r="AO236" i="4"/>
  <c r="AO69" i="4"/>
  <c r="AP302" i="4"/>
  <c r="AP426" i="4"/>
  <c r="AO303" i="4"/>
  <c r="AO182" i="4"/>
  <c r="AP251" i="4"/>
  <c r="AP137" i="4"/>
  <c r="AO840" i="4"/>
  <c r="AP919" i="4"/>
  <c r="AO802" i="4"/>
  <c r="AP775" i="4"/>
  <c r="AO749" i="4"/>
  <c r="AO717" i="4"/>
  <c r="AO697" i="4"/>
  <c r="AP712" i="4"/>
  <c r="AO706" i="4"/>
  <c r="AP545" i="4"/>
  <c r="AO542" i="4"/>
  <c r="AO613" i="4"/>
  <c r="AP460" i="4"/>
  <c r="AP299" i="4"/>
  <c r="AP346" i="4"/>
  <c r="AO436" i="4"/>
  <c r="AO293" i="4"/>
  <c r="AO400" i="4"/>
  <c r="AO288" i="4"/>
  <c r="AP143" i="4"/>
  <c r="AP184" i="4"/>
  <c r="AP86" i="4"/>
  <c r="AP819" i="4"/>
  <c r="AO849" i="4"/>
  <c r="AP757" i="4"/>
  <c r="AP743" i="4"/>
  <c r="AO744" i="4"/>
  <c r="AP729" i="4"/>
  <c r="AO688" i="4"/>
  <c r="AO693" i="4"/>
  <c r="AO680" i="4"/>
  <c r="AP532" i="4"/>
  <c r="AP583" i="4"/>
  <c r="AP580" i="4"/>
  <c r="AO467" i="4"/>
  <c r="AP298" i="4"/>
  <c r="AO377" i="4"/>
  <c r="AP451" i="4"/>
  <c r="AP329" i="4"/>
  <c r="AO452" i="4"/>
  <c r="AP349" i="4"/>
  <c r="AP216" i="4"/>
  <c r="AP238" i="4"/>
  <c r="AP135" i="4"/>
  <c r="AP899" i="4"/>
  <c r="AP876" i="4"/>
  <c r="AP824" i="4"/>
  <c r="AP902" i="4"/>
  <c r="AP746" i="4"/>
  <c r="AP904" i="4"/>
  <c r="AP695" i="4"/>
  <c r="AP671" i="4"/>
  <c r="AP680" i="4"/>
  <c r="AO683" i="4"/>
  <c r="AP531" i="4"/>
  <c r="AP597" i="4"/>
  <c r="AO608" i="4"/>
  <c r="AP487" i="4"/>
  <c r="AP373" i="4"/>
  <c r="AP434" i="4"/>
  <c r="AP294" i="4"/>
  <c r="AP367" i="4"/>
  <c r="AO483" i="4"/>
  <c r="AP387" i="4"/>
  <c r="AP241" i="4"/>
  <c r="AO91" i="4"/>
  <c r="AO146" i="4"/>
  <c r="AP234" i="4"/>
  <c r="AO81" i="4"/>
  <c r="AO164" i="4"/>
  <c r="AO17" i="4"/>
  <c r="AO79" i="4"/>
  <c r="AO272" i="4"/>
  <c r="AO252" i="4"/>
  <c r="AP18" i="4"/>
  <c r="AP129" i="4"/>
  <c r="AO195" i="4"/>
  <c r="AP206" i="4"/>
  <c r="AO224" i="4"/>
  <c r="AP152" i="4"/>
  <c r="AP199" i="4"/>
  <c r="AO209" i="4"/>
  <c r="AO251" i="4"/>
  <c r="AP229" i="4"/>
  <c r="AP188" i="4"/>
  <c r="AP197" i="4"/>
  <c r="AO7" i="4"/>
  <c r="AP46" i="4"/>
  <c r="AP488" i="4"/>
  <c r="AO158" i="4"/>
  <c r="AO900" i="4"/>
  <c r="AP753" i="4"/>
  <c r="AO874" i="4"/>
  <c r="AP635" i="4"/>
  <c r="AP517" i="4"/>
  <c r="AO516" i="4"/>
  <c r="AP333" i="4"/>
  <c r="AP476" i="4"/>
  <c r="AO119" i="4"/>
  <c r="AP911" i="4"/>
  <c r="AO816" i="4"/>
  <c r="AP803" i="4"/>
  <c r="AO719" i="4"/>
  <c r="AO699" i="4"/>
  <c r="AP704" i="4"/>
  <c r="AO704" i="4"/>
  <c r="AP555" i="4"/>
  <c r="AP494" i="4"/>
  <c r="AP509" i="4"/>
  <c r="AO515" i="4"/>
  <c r="AO365" i="4"/>
  <c r="AP422" i="4"/>
  <c r="AP281" i="4"/>
  <c r="AP360" i="4"/>
  <c r="AP479" i="4"/>
  <c r="AO368" i="4"/>
  <c r="AO230" i="4"/>
  <c r="AO268" i="4"/>
  <c r="AO142" i="4"/>
  <c r="AO220" i="4"/>
  <c r="AO64" i="4"/>
  <c r="AP153" i="4"/>
  <c r="AP13" i="4"/>
  <c r="AP67" i="4"/>
  <c r="AO267" i="4"/>
  <c r="AO245" i="4"/>
  <c r="AP14" i="4"/>
  <c r="AP112" i="4"/>
  <c r="AP91" i="4"/>
  <c r="AP151" i="4"/>
  <c r="AP207" i="4"/>
  <c r="AP118" i="4"/>
  <c r="AO192" i="4"/>
  <c r="AP189" i="4"/>
  <c r="AP222" i="4"/>
  <c r="AO222" i="4"/>
  <c r="AP182" i="4"/>
  <c r="AO190" i="4"/>
  <c r="AP2" i="4"/>
  <c r="AO37" i="4"/>
  <c r="AP288" i="4"/>
  <c r="AO306" i="4"/>
  <c r="AO97" i="4"/>
  <c r="AP82" i="4"/>
  <c r="AP815" i="4"/>
  <c r="AO891" i="4"/>
  <c r="AP740" i="4"/>
  <c r="AO715" i="4"/>
  <c r="AP626" i="4"/>
  <c r="AO574" i="4"/>
  <c r="AO595" i="4"/>
  <c r="AO387" i="4"/>
  <c r="AO373" i="4"/>
  <c r="AO345" i="4"/>
  <c r="AO396" i="4"/>
  <c r="AP242" i="4"/>
  <c r="AP167" i="4"/>
  <c r="AP857" i="4"/>
  <c r="AP843" i="4"/>
  <c r="AP758" i="4"/>
  <c r="AP910" i="4"/>
  <c r="AO910" i="4"/>
  <c r="AO875" i="4"/>
  <c r="AP755" i="4"/>
  <c r="AP749" i="4"/>
  <c r="AO762" i="4"/>
  <c r="AP748" i="4"/>
  <c r="AP624" i="4"/>
  <c r="AO641" i="4"/>
  <c r="AP628" i="4"/>
  <c r="AO589" i="4"/>
  <c r="AO555" i="4"/>
  <c r="AP529" i="4"/>
  <c r="AO522" i="4"/>
  <c r="AP414" i="4"/>
  <c r="AP445" i="4"/>
  <c r="AO317" i="4"/>
  <c r="AP420" i="4"/>
  <c r="AO310" i="4"/>
  <c r="AP442" i="4"/>
  <c r="AP318" i="4"/>
  <c r="AO194" i="4"/>
  <c r="AP267" i="4"/>
  <c r="AO145" i="4"/>
  <c r="AO851" i="4"/>
  <c r="AP816" i="4"/>
  <c r="AO853" i="4"/>
  <c r="AO787" i="4"/>
  <c r="AP778" i="4"/>
  <c r="AP735" i="4"/>
  <c r="AO716" i="4"/>
  <c r="AO616" i="4"/>
  <c r="AO722" i="4"/>
  <c r="AP573" i="4"/>
  <c r="AP558" i="4"/>
  <c r="AP504" i="4"/>
  <c r="AO472" i="4"/>
  <c r="AO320" i="4"/>
  <c r="AP381" i="4"/>
  <c r="AP448" i="4"/>
  <c r="AO309" i="4"/>
  <c r="AP429" i="4"/>
  <c r="AO302" i="4"/>
  <c r="AO151" i="4"/>
  <c r="AO203" i="4"/>
  <c r="AP107" i="4"/>
  <c r="AO831" i="4"/>
  <c r="AO856" i="4"/>
  <c r="AP764" i="4"/>
  <c r="AO755" i="4"/>
  <c r="AO768" i="4"/>
  <c r="AO767" i="4"/>
  <c r="AO708" i="4"/>
  <c r="AP711" i="4"/>
  <c r="AP701" i="4"/>
  <c r="AO556" i="4"/>
  <c r="AO598" i="4"/>
  <c r="AP591" i="4"/>
  <c r="AO475" i="4"/>
  <c r="AP327" i="4"/>
  <c r="AP384" i="4"/>
  <c r="AP463" i="4"/>
  <c r="AP341" i="4"/>
  <c r="AP472" i="4"/>
  <c r="AO357" i="4"/>
  <c r="AO231" i="4"/>
  <c r="AO253" i="4"/>
  <c r="AO143" i="4"/>
  <c r="AO907" i="4"/>
  <c r="AO884" i="4"/>
  <c r="AO848" i="4"/>
  <c r="AP727" i="4"/>
  <c r="AO754" i="4"/>
  <c r="AO743" i="4"/>
  <c r="AP710" i="4"/>
  <c r="AO695" i="4"/>
  <c r="AP692" i="4"/>
  <c r="AP700" i="4"/>
  <c r="AO547" i="4"/>
  <c r="AP605" i="4"/>
  <c r="AP502" i="4"/>
  <c r="AP507" i="4"/>
  <c r="AO393" i="4"/>
  <c r="AP446" i="4"/>
  <c r="AP375" i="4"/>
  <c r="AP398" i="4"/>
  <c r="AO99" i="4"/>
  <c r="AO45" i="4"/>
  <c r="AO32" i="4"/>
  <c r="AP37" i="4"/>
  <c r="AO238" i="4"/>
  <c r="AP51" i="4"/>
  <c r="AO18" i="4"/>
  <c r="K65" i="3"/>
  <c r="AO723" i="4"/>
  <c r="AO886" i="4"/>
  <c r="AO826" i="4"/>
  <c r="AO833" i="4"/>
  <c r="AO806" i="4"/>
  <c r="AO582" i="4"/>
  <c r="AP779" i="4"/>
  <c r="AP674" i="4"/>
  <c r="AO461" i="4"/>
  <c r="AO98" i="4"/>
  <c r="AO645" i="4"/>
  <c r="AP883" i="4"/>
  <c r="AP835" i="4"/>
  <c r="AO753" i="4"/>
  <c r="AO756" i="4"/>
  <c r="AO646" i="4"/>
  <c r="AP878" i="4"/>
  <c r="AP813" i="4"/>
  <c r="AP751" i="4"/>
  <c r="AO909" i="4"/>
  <c r="AO780" i="4"/>
  <c r="AP615" i="4"/>
  <c r="AP703" i="4"/>
  <c r="AO628" i="4"/>
  <c r="AO543" i="4"/>
  <c r="AO494" i="4"/>
  <c r="AO442" i="4"/>
  <c r="AO441" i="4"/>
  <c r="AP284" i="4"/>
  <c r="AO314" i="4"/>
  <c r="AO323" i="4"/>
  <c r="AO271" i="4"/>
  <c r="AO859" i="4"/>
  <c r="AO892" i="4"/>
  <c r="AO782" i="4"/>
  <c r="AO720" i="4"/>
  <c r="AP619" i="4"/>
  <c r="AP562" i="4"/>
  <c r="AO476" i="4"/>
  <c r="AO385" i="4"/>
  <c r="AO504" i="4"/>
  <c r="AP168" i="4"/>
  <c r="AP728" i="4"/>
  <c r="AP668" i="4"/>
  <c r="AP548" i="4"/>
  <c r="AO349" i="4"/>
  <c r="AO305" i="4"/>
  <c r="AP879" i="4"/>
  <c r="AP731" i="4"/>
  <c r="AO657" i="4"/>
  <c r="AO583" i="4"/>
  <c r="AO485" i="4"/>
  <c r="AP215" i="4"/>
  <c r="AO51" i="4"/>
  <c r="AP233" i="4"/>
  <c r="AP63" i="4"/>
  <c r="AO168" i="4"/>
  <c r="AO110" i="4"/>
  <c r="AO810" i="4"/>
  <c r="AP800" i="4"/>
  <c r="AP570" i="4"/>
  <c r="AP433" i="4"/>
  <c r="AP178" i="4"/>
  <c r="AP791" i="4"/>
  <c r="AP602" i="4"/>
  <c r="AO329" i="4"/>
  <c r="AP623" i="4"/>
  <c r="AO530" i="4"/>
  <c r="AP895" i="4"/>
  <c r="AO815" i="4"/>
  <c r="AO765" i="4"/>
  <c r="AO746" i="4"/>
  <c r="AP698" i="4"/>
  <c r="AO658" i="4"/>
  <c r="AP723" i="4"/>
  <c r="AO534" i="4"/>
  <c r="AO558" i="4"/>
  <c r="AO514" i="4"/>
  <c r="AO337" i="4"/>
  <c r="AP331" i="4"/>
  <c r="AP400" i="4"/>
  <c r="AP430" i="4"/>
  <c r="AO186" i="4"/>
  <c r="AO141" i="4"/>
  <c r="AP812" i="4"/>
  <c r="AP783" i="4"/>
  <c r="AO731" i="4"/>
  <c r="AO726" i="4"/>
  <c r="AP553" i="4"/>
  <c r="AP500" i="4"/>
  <c r="AP316" i="4"/>
  <c r="AP444" i="4"/>
  <c r="AO217" i="4"/>
  <c r="AO828" i="4"/>
  <c r="AO823" i="4"/>
  <c r="AP618" i="4"/>
  <c r="AO405" i="4"/>
  <c r="AP287" i="4"/>
  <c r="AP175" i="4"/>
  <c r="AO791" i="4"/>
  <c r="AO617" i="4"/>
  <c r="AP552" i="4"/>
  <c r="AO301" i="4"/>
  <c r="AO443" i="4"/>
  <c r="AO88" i="4"/>
  <c r="AP59" i="4"/>
  <c r="AO239" i="4"/>
  <c r="AO135" i="4"/>
  <c r="AP24" i="4"/>
  <c r="AO103" i="4"/>
  <c r="AO757" i="4"/>
  <c r="AP550" i="4"/>
  <c r="AO292" i="4"/>
  <c r="AP693" i="4"/>
  <c r="AP432" i="4"/>
  <c r="AO576" i="4"/>
  <c r="AP871" i="4"/>
  <c r="AO419" i="4"/>
  <c r="AP79" i="4"/>
  <c r="AP96" i="4"/>
  <c r="AP41" i="4"/>
  <c r="AO264" i="4"/>
  <c r="AP734" i="4"/>
  <c r="AP718" i="4"/>
  <c r="AO465" i="4"/>
  <c r="AP470" i="4"/>
  <c r="AP797" i="4"/>
  <c r="AP541" i="4"/>
  <c r="AO501" i="4"/>
  <c r="AO786" i="4"/>
  <c r="AO503" i="4"/>
  <c r="AP159" i="4"/>
  <c r="AP737" i="4"/>
  <c r="AO523" i="4"/>
  <c r="AP279" i="4"/>
  <c r="AP98" i="4"/>
  <c r="AP218" i="4"/>
  <c r="AP891" i="4"/>
  <c r="AP709" i="4"/>
  <c r="AO703" i="4"/>
  <c r="AP559" i="4"/>
  <c r="AP497" i="4"/>
  <c r="AP461" i="4"/>
  <c r="AP457" i="4"/>
  <c r="AP289" i="4"/>
  <c r="AO326" i="4"/>
  <c r="AO342" i="4"/>
  <c r="AO90" i="4"/>
  <c r="AP877" i="4"/>
  <c r="AO818" i="4"/>
  <c r="AP831" i="4"/>
  <c r="AP614" i="4"/>
  <c r="AP627" i="4"/>
  <c r="AO588" i="4"/>
  <c r="AO509" i="4"/>
  <c r="AO397" i="4"/>
  <c r="AP305" i="4"/>
  <c r="AO196" i="4"/>
  <c r="AO761" i="4"/>
  <c r="AO696" i="4"/>
  <c r="AP594" i="4"/>
  <c r="AP380" i="4"/>
  <c r="AO353" i="4"/>
  <c r="AO903" i="4"/>
  <c r="AO750" i="4"/>
  <c r="AO684" i="4"/>
  <c r="AP498" i="4"/>
  <c r="AO298" i="4"/>
  <c r="AP253" i="4"/>
  <c r="AO92" i="4"/>
  <c r="AO55" i="4"/>
  <c r="AO24" i="4"/>
  <c r="AO221" i="4"/>
  <c r="AP196" i="4"/>
  <c r="AP374" i="4"/>
  <c r="AO493" i="4"/>
  <c r="AP386" i="4"/>
  <c r="AP268" i="4"/>
  <c r="AP144" i="4"/>
  <c r="AO212" i="4"/>
  <c r="AP104" i="4"/>
  <c r="AO809" i="4"/>
  <c r="AP873" i="4"/>
  <c r="AP765" i="4"/>
  <c r="AP733" i="4"/>
  <c r="AP850" i="4"/>
  <c r="AO690" i="4"/>
  <c r="AO673" i="4"/>
  <c r="AO671" i="4"/>
  <c r="AO650" i="4"/>
  <c r="AO518" i="4"/>
  <c r="AO599" i="4"/>
  <c r="AP577" i="4"/>
  <c r="AO417" i="4"/>
  <c r="AO460" i="4"/>
  <c r="AP312" i="4"/>
  <c r="AO381" i="4"/>
  <c r="AO492" i="4"/>
  <c r="AO370" i="4"/>
  <c r="AP243" i="4"/>
  <c r="AO101" i="4"/>
  <c r="AP164" i="4"/>
  <c r="AO904" i="4"/>
  <c r="AP865" i="4"/>
  <c r="AP903" i="4"/>
  <c r="AP906" i="4"/>
  <c r="AP867" i="4"/>
  <c r="AO893" i="4"/>
  <c r="AP696" i="4"/>
  <c r="AO660" i="4"/>
  <c r="AO666" i="4"/>
  <c r="AP642" i="4"/>
  <c r="AO587" i="4"/>
  <c r="AO539" i="4"/>
  <c r="AO550" i="4"/>
  <c r="AP424" i="4"/>
  <c r="AO502" i="4"/>
  <c r="AP345" i="4"/>
  <c r="AO422" i="4"/>
  <c r="AO308" i="4"/>
  <c r="AP428" i="4"/>
  <c r="AP301" i="4"/>
  <c r="AP157" i="4"/>
  <c r="AO202" i="4"/>
  <c r="AP110" i="4"/>
  <c r="AO868" i="4"/>
  <c r="AO827" i="4"/>
  <c r="AP869" i="4"/>
  <c r="AO835" i="4"/>
  <c r="AO727" i="4"/>
  <c r="AP810" i="4"/>
  <c r="AP659" i="4"/>
  <c r="AP655" i="4"/>
  <c r="AO653" i="4"/>
  <c r="AO652" i="4"/>
  <c r="AP600" i="4"/>
  <c r="AO570" i="4"/>
  <c r="AP579" i="4"/>
  <c r="AO470" i="4"/>
  <c r="AO338" i="4"/>
  <c r="AP383" i="4"/>
  <c r="AP462" i="4"/>
  <c r="AO348" i="4"/>
  <c r="AP467" i="4"/>
  <c r="AO356" i="4"/>
  <c r="AP203" i="4"/>
  <c r="AP248" i="4"/>
  <c r="AP126" i="4"/>
  <c r="AO163" i="4"/>
  <c r="AO46" i="4"/>
  <c r="AO114" i="4"/>
  <c r="AO235" i="4"/>
  <c r="AO262" i="4"/>
  <c r="AO226" i="4"/>
  <c r="AP192" i="4"/>
  <c r="AO273" i="4"/>
  <c r="AP53" i="4"/>
  <c r="AP43" i="4"/>
  <c r="AP50" i="4"/>
  <c r="AO175" i="4"/>
  <c r="AP76" i="4"/>
  <c r="AO160" i="4"/>
  <c r="AO66" i="4"/>
  <c r="AO83" i="4"/>
  <c r="AO173" i="4"/>
  <c r="AP101" i="4"/>
  <c r="AO155" i="4"/>
  <c r="AO36" i="4"/>
  <c r="AP191" i="4"/>
  <c r="AP393" i="4"/>
  <c r="AP250" i="4"/>
  <c r="AO912" i="4"/>
  <c r="AP806" i="4"/>
  <c r="AP770" i="4"/>
  <c r="AO654" i="4"/>
  <c r="AO545" i="4"/>
  <c r="AP459" i="4"/>
  <c r="AP443" i="4"/>
  <c r="AO421" i="4"/>
  <c r="AP195" i="4"/>
  <c r="AO822" i="4"/>
  <c r="AO736" i="4"/>
  <c r="AO763" i="4"/>
  <c r="AP688" i="4"/>
  <c r="AP667" i="4"/>
  <c r="AO669" i="4"/>
  <c r="AO679" i="4"/>
  <c r="AO513" i="4"/>
  <c r="AP593" i="4"/>
  <c r="AO594" i="4"/>
  <c r="AO482" i="4"/>
  <c r="AP334" i="4"/>
  <c r="AP379" i="4"/>
  <c r="AP454" i="4"/>
  <c r="AO344" i="4"/>
  <c r="AO455" i="4"/>
  <c r="AO352" i="4"/>
  <c r="AP179" i="4"/>
  <c r="AO241" i="4"/>
  <c r="AP109" i="4"/>
  <c r="AO131" i="4"/>
  <c r="AO42" i="4"/>
  <c r="AP93" i="4"/>
  <c r="AO197" i="4"/>
  <c r="AO211" i="4"/>
  <c r="AP194" i="4"/>
  <c r="AO154" i="4"/>
  <c r="AP262" i="4"/>
  <c r="AP48" i="4"/>
  <c r="AO34" i="4"/>
  <c r="AO33" i="4"/>
  <c r="AO167" i="4"/>
  <c r="AP60" i="4"/>
  <c r="AO134" i="4"/>
  <c r="AO54" i="4"/>
  <c r="AO67" i="4"/>
  <c r="AO165" i="4"/>
  <c r="AP75" i="4"/>
  <c r="AO132" i="4"/>
  <c r="AO27" i="4"/>
  <c r="AO107" i="4"/>
  <c r="AP469" i="4"/>
  <c r="AO232" i="4"/>
  <c r="AP211" i="4"/>
  <c r="AO869" i="4"/>
  <c r="AP825" i="4"/>
  <c r="AP763" i="4"/>
  <c r="AP802" i="4"/>
  <c r="AP656" i="4"/>
  <c r="AP676" i="4"/>
  <c r="AO602" i="4"/>
  <c r="AP546" i="4"/>
  <c r="AO290" i="4"/>
  <c r="AO299" i="4"/>
  <c r="AP304" i="4"/>
  <c r="AP365" i="4"/>
  <c r="AO150" i="4"/>
  <c r="AP131" i="4"/>
  <c r="AP896" i="4"/>
  <c r="AO771" i="4"/>
  <c r="AO894" i="4"/>
  <c r="AO887" i="4"/>
  <c r="AO879" i="4"/>
  <c r="AO847" i="4"/>
  <c r="AP916" i="4"/>
  <c r="AP730" i="4"/>
  <c r="AP900" i="4"/>
  <c r="AO718" i="4"/>
  <c r="AO730" i="4"/>
  <c r="AO721" i="4"/>
  <c r="AO707" i="4"/>
  <c r="AP554" i="4"/>
  <c r="AP524" i="4"/>
  <c r="AP501" i="4"/>
  <c r="AP486" i="4"/>
  <c r="AP385" i="4"/>
  <c r="AO425" i="4"/>
  <c r="AP293" i="4"/>
  <c r="AO382" i="4"/>
  <c r="AO285" i="4"/>
  <c r="AO401" i="4"/>
  <c r="AO289" i="4"/>
  <c r="AO152" i="4"/>
  <c r="AP236" i="4"/>
  <c r="AO116" i="4"/>
  <c r="AP828" i="4"/>
  <c r="AO895" i="4"/>
  <c r="AO789" i="4"/>
  <c r="AO752" i="4"/>
  <c r="AO741" i="4"/>
  <c r="AO701" i="4"/>
  <c r="AO689" i="4"/>
  <c r="AP682" i="4"/>
  <c r="AO681" i="4"/>
  <c r="AP533" i="4"/>
  <c r="AO531" i="4"/>
  <c r="AP592" i="4"/>
  <c r="AO429" i="4"/>
  <c r="AP274" i="4"/>
  <c r="AO327" i="4"/>
  <c r="AP407" i="4"/>
  <c r="AO284" i="4"/>
  <c r="AO389" i="4"/>
  <c r="AO259" i="4"/>
  <c r="AP127" i="4"/>
  <c r="AP172" i="4"/>
  <c r="AO916" i="4"/>
  <c r="AP897" i="4"/>
  <c r="AO817" i="4"/>
  <c r="AO737" i="4"/>
  <c r="AO728" i="4"/>
  <c r="AO733" i="4"/>
  <c r="AP715" i="4"/>
  <c r="AP672" i="4"/>
  <c r="AP681" i="4"/>
  <c r="AO665" i="4"/>
  <c r="AP506" i="4"/>
  <c r="AO560" i="4"/>
  <c r="AO569" i="4"/>
  <c r="AP440" i="4"/>
  <c r="AO286" i="4"/>
  <c r="AO361" i="4"/>
  <c r="AO435" i="4"/>
  <c r="AP320" i="4"/>
  <c r="AO444" i="4"/>
  <c r="AO321" i="4"/>
  <c r="AP204" i="4"/>
  <c r="AO214" i="4"/>
  <c r="AO127" i="4"/>
  <c r="AP884" i="4"/>
  <c r="AP847" i="4"/>
  <c r="AP917" i="4"/>
  <c r="AO872" i="4"/>
  <c r="AO735" i="4"/>
  <c r="AO870" i="4"/>
  <c r="AO676" i="4"/>
  <c r="AO663" i="4"/>
  <c r="AP665" i="4"/>
  <c r="AP675" i="4"/>
  <c r="AO611" i="4"/>
  <c r="AO586" i="4"/>
  <c r="AP590" i="4"/>
  <c r="AO478" i="4"/>
  <c r="AP361" i="4"/>
  <c r="AO411" i="4"/>
  <c r="AP356" i="4"/>
  <c r="AP364" i="4"/>
  <c r="AO256" i="4"/>
  <c r="AO187" i="4"/>
  <c r="AP224" i="4"/>
  <c r="AO162" i="4"/>
  <c r="AP190" i="4"/>
  <c r="AP245" i="4"/>
  <c r="AP119" i="4"/>
  <c r="K148" i="3"/>
  <c r="AO883" i="4"/>
  <c r="AO668" i="4"/>
  <c r="AP664" i="4"/>
  <c r="AO578" i="4"/>
  <c r="AP410" i="4"/>
  <c r="AP453" i="4"/>
  <c r="AO489" i="4"/>
  <c r="AO260" i="4"/>
  <c r="AO204" i="4"/>
  <c r="AO913" i="4"/>
  <c r="AP754" i="4"/>
  <c r="AP830" i="4"/>
  <c r="AP669" i="4"/>
  <c r="AO643" i="4"/>
  <c r="AP595" i="4"/>
  <c r="AP413" i="4"/>
  <c r="AP308" i="4"/>
  <c r="AO374" i="4"/>
  <c r="AP912" i="4"/>
  <c r="AP901" i="4"/>
  <c r="AO670" i="4"/>
  <c r="AO565" i="4"/>
  <c r="AP431" i="4"/>
  <c r="AP180" i="4"/>
  <c r="AO839" i="4"/>
  <c r="AP844" i="4"/>
  <c r="AO664" i="4"/>
  <c r="AO474" i="4"/>
  <c r="AP352" i="4"/>
  <c r="AP252" i="4"/>
  <c r="AP123" i="4"/>
  <c r="AO200" i="4"/>
  <c r="AP88" i="4"/>
  <c r="AO77" i="4"/>
  <c r="AO166" i="4"/>
  <c r="AO896" i="4"/>
  <c r="AO691" i="4"/>
  <c r="AO532" i="4"/>
  <c r="AP484" i="4"/>
  <c r="AP173" i="4"/>
  <c r="AP708" i="4"/>
  <c r="AP528" i="4"/>
  <c r="AP132" i="4"/>
  <c r="AP499" i="4"/>
  <c r="AO902" i="4"/>
  <c r="AO858" i="4"/>
  <c r="AP786" i="4"/>
  <c r="AP741" i="4"/>
  <c r="AO854" i="4"/>
  <c r="AP658" i="4"/>
  <c r="AP633" i="4"/>
  <c r="AO682" i="4"/>
  <c r="AP599" i="4"/>
  <c r="AP520" i="4"/>
  <c r="AO473" i="4"/>
  <c r="AP485" i="4"/>
  <c r="AP309" i="4"/>
  <c r="AP355" i="4"/>
  <c r="AO367" i="4"/>
  <c r="AO117" i="4"/>
  <c r="AO905" i="4"/>
  <c r="AP853" i="4"/>
  <c r="AP905" i="4"/>
  <c r="AP661" i="4"/>
  <c r="AP651" i="4"/>
  <c r="AP495" i="4"/>
  <c r="AP547" i="4"/>
  <c r="AP436" i="4"/>
  <c r="AP354" i="4"/>
  <c r="AP266" i="4"/>
  <c r="AP833" i="4"/>
  <c r="AP660" i="4"/>
  <c r="AP557" i="4"/>
  <c r="AO447" i="4"/>
  <c r="AP406" i="4"/>
  <c r="AO89" i="4"/>
  <c r="AO796" i="4"/>
  <c r="AP634" i="4"/>
  <c r="AO559" i="4"/>
  <c r="AP372" i="4"/>
  <c r="AP339" i="4"/>
  <c r="AO115" i="4"/>
  <c r="AO125" i="4"/>
  <c r="AO31" i="4"/>
  <c r="AP40" i="4"/>
  <c r="AO133" i="4"/>
  <c r="AP64" i="4"/>
  <c r="AP760" i="4"/>
  <c r="AO426" i="4"/>
  <c r="AP133" i="4"/>
  <c r="AP603" i="4"/>
  <c r="AO181" i="4"/>
  <c r="AO351" i="4"/>
  <c r="AO766" i="4"/>
  <c r="AP332" i="4"/>
  <c r="AO60" i="4"/>
  <c r="AP277" i="4"/>
  <c r="AO248" i="4"/>
  <c r="AP898" i="4"/>
  <c r="AO742" i="4"/>
  <c r="AO519" i="4"/>
  <c r="AP300" i="4"/>
  <c r="AO229" i="4"/>
  <c r="AO745" i="4"/>
  <c r="AO557" i="4"/>
  <c r="AO462" i="4"/>
  <c r="AO778" i="4"/>
  <c r="AO412" i="4"/>
  <c r="AO915" i="4"/>
  <c r="AP722" i="4"/>
  <c r="AO498" i="4"/>
  <c r="AO178" i="4"/>
  <c r="AO35" i="4"/>
  <c r="AO73" i="4"/>
  <c r="AO759" i="4"/>
  <c r="AP721" i="4"/>
  <c r="AO606" i="4"/>
  <c r="AO512" i="4"/>
  <c r="AP589" i="4"/>
  <c r="AO418" i="4"/>
  <c r="AO414" i="4"/>
  <c r="AO457" i="4"/>
  <c r="AO281" i="4"/>
  <c r="AO278" i="4"/>
  <c r="AO216" i="4"/>
  <c r="AP820" i="4"/>
  <c r="AP769" i="4"/>
  <c r="AO734" i="4"/>
  <c r="AP685" i="4"/>
  <c r="AP677" i="4"/>
  <c r="AO511" i="4"/>
  <c r="AP425" i="4"/>
  <c r="AO316" i="4"/>
  <c r="AP418" i="4"/>
  <c r="AP103" i="4"/>
  <c r="AO751" i="4"/>
  <c r="AP705" i="4"/>
  <c r="AO584" i="4"/>
  <c r="AP455" i="4"/>
  <c r="AP227" i="4"/>
  <c r="AO880" i="4"/>
  <c r="AO732" i="4"/>
  <c r="AP691" i="4"/>
  <c r="AO499" i="4"/>
  <c r="AO371" i="4"/>
  <c r="AO95" i="4"/>
  <c r="AO172" i="4"/>
  <c r="AP269" i="4"/>
  <c r="AO26" i="4"/>
  <c r="AO249" i="4"/>
  <c r="AP257" i="4"/>
  <c r="AO347" i="4"/>
  <c r="AP474" i="4"/>
  <c r="AO359" i="4"/>
  <c r="AO233" i="4"/>
  <c r="AO102" i="4"/>
  <c r="AO177" i="4"/>
  <c r="AO901" i="4"/>
  <c r="AO878" i="4"/>
  <c r="AO846" i="4"/>
  <c r="AP880" i="4"/>
  <c r="AP887" i="4"/>
  <c r="AP799" i="4"/>
  <c r="AO649" i="4"/>
  <c r="AP653" i="4"/>
  <c r="AO644" i="4"/>
  <c r="AO612" i="4"/>
  <c r="AO607" i="4"/>
  <c r="AO561" i="4"/>
  <c r="AO536" i="4"/>
  <c r="AO398" i="4"/>
  <c r="AO424" i="4"/>
  <c r="AP283" i="4"/>
  <c r="AO346" i="4"/>
  <c r="AP473" i="4"/>
  <c r="AP350" i="4"/>
  <c r="AP213" i="4"/>
  <c r="AO254" i="4"/>
  <c r="AO144" i="4"/>
  <c r="AO881" i="4"/>
  <c r="AO820" i="4"/>
  <c r="AO801" i="4"/>
  <c r="AO812" i="4"/>
  <c r="AO804" i="4"/>
  <c r="AP811" i="4"/>
  <c r="AP644" i="4"/>
  <c r="AO639" i="4"/>
  <c r="AO631" i="4"/>
  <c r="AO591" i="4"/>
  <c r="AO553" i="4"/>
  <c r="AP514" i="4"/>
  <c r="AO520" i="4"/>
  <c r="AP397" i="4"/>
  <c r="AO439" i="4"/>
  <c r="AP311" i="4"/>
  <c r="AO376" i="4"/>
  <c r="AO283" i="4"/>
  <c r="AP399" i="4"/>
  <c r="AO277" i="4"/>
  <c r="AP138" i="4"/>
  <c r="AP171" i="4"/>
  <c r="AP85" i="4"/>
  <c r="AO830" i="4"/>
  <c r="AO897" i="4"/>
  <c r="AP787" i="4"/>
  <c r="AP785" i="4"/>
  <c r="AO807" i="4"/>
  <c r="AO777" i="4"/>
  <c r="AP612" i="4"/>
  <c r="AP630" i="4"/>
  <c r="AP625" i="4"/>
  <c r="AO590" i="4"/>
  <c r="AO544" i="4"/>
  <c r="AP551" i="4"/>
  <c r="AP556" i="4"/>
  <c r="AP439" i="4"/>
  <c r="AP297" i="4"/>
  <c r="AP348" i="4"/>
  <c r="AO434" i="4"/>
  <c r="AP323" i="4"/>
  <c r="AO431" i="4"/>
  <c r="AP319" i="4"/>
  <c r="AP145" i="4"/>
  <c r="AP209" i="4"/>
  <c r="AP84" i="4"/>
  <c r="AO80" i="4"/>
  <c r="AP15" i="4"/>
  <c r="AP77" i="4"/>
  <c r="AO50" i="4"/>
  <c r="AP73" i="4"/>
  <c r="AO161" i="4"/>
  <c r="AO106" i="4"/>
  <c r="AP230" i="4"/>
  <c r="AP27" i="4"/>
  <c r="AO246" i="4"/>
  <c r="AP62" i="4"/>
  <c r="AO120" i="4"/>
  <c r="AP29" i="4"/>
  <c r="AO47" i="4"/>
  <c r="AP187" i="4"/>
  <c r="AO10" i="4"/>
  <c r="AP124" i="4"/>
  <c r="AO59" i="4"/>
  <c r="AP78" i="4"/>
  <c r="AO68" i="4"/>
  <c r="AP44" i="4"/>
  <c r="AO341" i="4"/>
  <c r="AO180" i="4"/>
  <c r="AO864" i="4"/>
  <c r="AP732" i="4"/>
  <c r="AP689" i="4"/>
  <c r="AO705" i="4"/>
  <c r="AP535" i="4"/>
  <c r="AP335" i="4"/>
  <c r="AO372" i="4"/>
  <c r="AO340" i="4"/>
  <c r="AO147" i="4"/>
  <c r="AP864" i="4"/>
  <c r="AP822" i="4"/>
  <c r="AP801" i="4"/>
  <c r="AP647" i="4"/>
  <c r="AO647" i="4"/>
  <c r="AO638" i="4"/>
  <c r="AO629" i="4"/>
  <c r="AO573" i="4"/>
  <c r="AP566" i="4"/>
  <c r="AP575" i="4"/>
  <c r="AO466" i="4"/>
  <c r="AP285" i="4"/>
  <c r="AP344" i="4"/>
  <c r="AP421" i="4"/>
  <c r="AO315" i="4"/>
  <c r="AP427" i="4"/>
  <c r="AO304" i="4"/>
  <c r="AP141" i="4"/>
  <c r="AO205" i="4"/>
  <c r="AO87" i="4"/>
  <c r="AO261" i="4"/>
  <c r="AP6" i="4"/>
  <c r="AP72" i="4"/>
  <c r="AP34" i="4"/>
  <c r="AO53" i="4"/>
  <c r="AP154" i="4"/>
  <c r="AP97" i="4"/>
  <c r="AO223" i="4"/>
  <c r="AO16" i="4"/>
  <c r="AP219" i="4"/>
  <c r="AO58" i="4"/>
  <c r="AO266" i="4"/>
  <c r="AP17" i="4"/>
  <c r="AO38" i="4"/>
  <c r="AO126" i="4"/>
  <c r="AO2" i="4"/>
  <c r="AP92" i="4"/>
  <c r="AP52" i="4"/>
  <c r="AP66" i="4"/>
  <c r="AO49" i="4"/>
  <c r="AP22" i="4"/>
  <c r="AO449" i="4"/>
  <c r="AP205" i="4"/>
  <c r="AP160" i="4"/>
  <c r="AP839" i="4"/>
  <c r="AP796" i="4"/>
  <c r="AO855" i="4"/>
  <c r="AP720" i="4"/>
  <c r="AO724" i="4"/>
  <c r="AO630" i="4"/>
  <c r="AP567" i="4"/>
  <c r="AO479" i="4"/>
  <c r="AO487" i="4"/>
  <c r="AP490" i="4"/>
  <c r="AO500" i="4"/>
  <c r="AP290" i="4"/>
  <c r="AP265" i="4"/>
  <c r="AP81" i="4"/>
  <c r="AO819" i="4"/>
  <c r="AP888" i="4"/>
  <c r="AP886" i="4"/>
  <c r="AO845" i="4"/>
  <c r="AP846" i="4"/>
  <c r="AP881" i="4"/>
  <c r="AP804" i="4"/>
  <c r="AO861" i="4"/>
  <c r="AP840" i="4"/>
  <c r="AP694" i="4"/>
  <c r="AO694" i="4"/>
  <c r="AP679" i="4"/>
  <c r="AO678" i="4"/>
  <c r="AO526" i="4"/>
  <c r="AP596" i="4"/>
  <c r="AO597" i="4"/>
  <c r="AO469" i="4"/>
  <c r="AP317" i="4"/>
  <c r="AP382" i="4"/>
  <c r="AP492" i="4"/>
  <c r="AP359" i="4"/>
  <c r="AP482" i="4"/>
  <c r="AO375" i="4"/>
  <c r="AO244" i="4"/>
  <c r="AP128" i="4"/>
  <c r="AO193" i="4"/>
  <c r="AP913" i="4"/>
  <c r="AO898" i="4"/>
  <c r="AP860" i="4"/>
  <c r="AP750" i="4"/>
  <c r="AO918" i="4"/>
  <c r="AO813" i="4"/>
  <c r="AO674" i="4"/>
  <c r="AO661" i="4"/>
  <c r="AO655" i="4"/>
  <c r="AO627" i="4"/>
  <c r="AO507" i="4"/>
  <c r="AP584" i="4"/>
  <c r="AO551" i="4"/>
  <c r="AP409" i="4"/>
  <c r="AO440" i="4"/>
  <c r="AO300" i="4"/>
  <c r="AP358" i="4"/>
  <c r="AP481" i="4"/>
  <c r="AO358" i="4"/>
  <c r="AO228" i="4"/>
  <c r="AP280" i="4"/>
  <c r="AO156" i="4"/>
  <c r="AO889" i="4"/>
  <c r="AP848" i="4"/>
  <c r="AO873" i="4"/>
  <c r="AP859" i="4"/>
  <c r="AP841" i="4"/>
  <c r="AO860" i="4"/>
  <c r="AO677" i="4"/>
  <c r="AO648" i="4"/>
  <c r="AP650" i="4"/>
  <c r="AO626" i="4"/>
  <c r="AP561" i="4"/>
  <c r="AP527" i="4"/>
  <c r="AO535" i="4"/>
  <c r="AP412" i="4"/>
  <c r="AO459" i="4"/>
  <c r="AP326" i="4"/>
  <c r="AO384" i="4"/>
  <c r="AP292" i="4"/>
  <c r="AP417" i="4"/>
  <c r="AO287" i="4"/>
  <c r="AP146" i="4"/>
  <c r="AO179" i="4"/>
  <c r="AO94" i="4"/>
  <c r="AO842" i="4"/>
  <c r="AP814" i="4"/>
  <c r="AO800" i="4"/>
  <c r="AP809" i="4"/>
  <c r="AP851" i="4"/>
  <c r="AO793" i="4"/>
  <c r="AP640" i="4"/>
  <c r="AP638" i="4"/>
  <c r="AO634" i="4"/>
  <c r="AO625" i="4"/>
  <c r="AP560" i="4"/>
  <c r="AO563" i="4"/>
  <c r="AO568" i="4"/>
  <c r="AP458" i="4"/>
  <c r="AO318" i="4"/>
  <c r="AP310" i="4"/>
  <c r="AP496" i="4"/>
  <c r="AO257" i="4"/>
  <c r="AP166" i="4"/>
  <c r="AP99" i="4"/>
  <c r="AP70" i="4"/>
  <c r="AP68" i="4"/>
  <c r="AP228" i="4"/>
  <c r="AO207" i="4"/>
  <c r="AO297" i="4"/>
  <c r="AP837" i="4"/>
  <c r="AP687" i="4"/>
  <c r="AP832" i="4"/>
  <c r="AO740" i="4"/>
  <c r="AP493" i="4"/>
  <c r="AP854" i="4"/>
  <c r="AP607" i="4"/>
  <c r="AP508" i="4"/>
  <c r="AO294" i="4"/>
  <c r="AP834" i="4"/>
  <c r="AO325" i="4"/>
  <c r="AP875" i="4"/>
  <c r="AP868" i="4"/>
  <c r="AO775" i="4"/>
  <c r="AP639" i="4"/>
  <c r="AO651" i="4"/>
  <c r="AO899" i="4"/>
  <c r="AP823" i="4"/>
  <c r="AP784" i="4"/>
  <c r="AO758" i="4"/>
  <c r="AO702" i="4"/>
  <c r="AP666" i="4"/>
  <c r="AP620" i="4"/>
  <c r="AP542" i="4"/>
  <c r="AP565" i="4"/>
  <c r="AP518" i="4"/>
  <c r="AO364" i="4"/>
  <c r="AP347" i="4"/>
  <c r="AO404" i="4"/>
  <c r="AO450" i="4"/>
  <c r="AP202" i="4"/>
  <c r="AO157" i="4"/>
  <c r="AO829" i="4"/>
  <c r="AP794" i="4"/>
  <c r="AP747" i="4"/>
  <c r="AO624" i="4"/>
  <c r="AO577" i="4"/>
  <c r="AP515" i="4"/>
  <c r="AP328" i="4"/>
  <c r="AP452" i="4"/>
  <c r="AP255" i="4"/>
  <c r="AO877" i="4"/>
  <c r="AO908" i="4"/>
  <c r="AP649" i="4"/>
  <c r="AO428" i="4"/>
  <c r="AO312" i="4"/>
  <c r="AP210" i="4"/>
  <c r="AP885" i="4"/>
  <c r="AP663" i="4"/>
  <c r="AP604" i="4"/>
  <c r="AO350" i="4"/>
  <c r="AP471" i="4"/>
  <c r="AP134" i="4"/>
  <c r="AO265" i="4"/>
  <c r="AP5" i="4"/>
  <c r="AO191" i="4"/>
  <c r="AO112" i="4"/>
  <c r="AO123" i="4"/>
  <c r="AO739" i="4"/>
  <c r="AP654" i="4"/>
  <c r="AO548" i="4"/>
  <c r="AP343" i="4"/>
  <c r="AP874" i="4"/>
  <c r="AP706" i="4"/>
  <c r="AP391" i="4"/>
  <c r="AP893" i="4"/>
  <c r="AP282" i="4"/>
  <c r="AO867" i="4"/>
  <c r="AP908" i="4"/>
  <c r="AO747" i="4"/>
  <c r="AO890" i="4"/>
  <c r="AP772" i="4"/>
  <c r="AP611" i="4"/>
  <c r="AP683" i="4"/>
  <c r="AP616" i="4"/>
  <c r="AP539" i="4"/>
  <c r="AP606" i="4"/>
  <c r="AO430" i="4"/>
  <c r="AP437" i="4"/>
  <c r="AO505" i="4"/>
  <c r="AP306" i="4"/>
  <c r="AO307" i="4"/>
  <c r="AO255" i="4"/>
  <c r="AO844" i="4"/>
  <c r="AO836" i="4"/>
  <c r="AP774" i="4"/>
  <c r="AO709" i="4"/>
  <c r="AP717" i="4"/>
  <c r="AO554" i="4"/>
  <c r="AO468" i="4"/>
  <c r="AO362" i="4"/>
  <c r="AP477" i="4"/>
  <c r="AO148" i="4"/>
  <c r="AO825" i="4"/>
  <c r="AP643" i="4"/>
  <c r="AP522" i="4"/>
  <c r="AP315" i="4"/>
  <c r="AO280" i="4"/>
  <c r="AP838" i="4"/>
  <c r="AO824" i="4"/>
  <c r="AP629" i="4"/>
  <c r="AP564" i="4"/>
  <c r="AO446" i="4"/>
  <c r="AO149" i="4"/>
  <c r="AP31" i="4"/>
  <c r="AO169" i="4"/>
  <c r="AO3" i="4"/>
  <c r="AO52" i="4"/>
  <c r="AP65" i="4"/>
  <c r="AO841" i="4"/>
  <c r="AO686" i="4"/>
  <c r="AP371" i="4"/>
  <c r="AP907" i="4"/>
  <c r="AO596" i="4"/>
  <c r="AP788" i="4"/>
  <c r="AP357" i="4"/>
  <c r="AP714" i="4"/>
  <c r="AP416" i="4"/>
  <c r="AP121" i="4"/>
  <c r="AP4" i="4"/>
  <c r="AO43" i="4"/>
  <c r="AO838" i="4"/>
  <c r="AP646" i="4"/>
  <c r="AP585" i="4"/>
  <c r="AO328" i="4"/>
  <c r="AO240" i="4"/>
  <c r="AP645" i="4"/>
  <c r="AP441" i="4"/>
  <c r="AO227" i="4"/>
  <c r="AP716" i="4"/>
  <c r="AO484" i="4"/>
  <c r="AP752" i="4"/>
  <c r="AP719" i="4"/>
  <c r="AP395" i="4"/>
  <c r="AP223" i="4"/>
  <c r="AO85" i="4"/>
  <c r="AP914" i="4"/>
  <c r="AP726" i="4"/>
  <c r="AP713" i="4"/>
  <c r="AO546" i="4"/>
  <c r="AP569" i="4"/>
  <c r="AO529" i="4"/>
  <c r="AP377" i="4"/>
  <c r="AO363" i="4"/>
  <c r="AO433" i="4"/>
  <c r="AO463" i="4"/>
  <c r="AP214" i="4"/>
  <c r="AP165" i="4"/>
  <c r="AP849" i="4"/>
  <c r="AP807" i="4"/>
  <c r="AP771" i="4"/>
  <c r="AP636" i="4"/>
  <c r="AP588" i="4"/>
  <c r="AO540" i="4"/>
  <c r="AP363" i="4"/>
  <c r="AP483" i="4"/>
  <c r="AP291" i="4"/>
  <c r="AP827" i="4"/>
  <c r="AP756" i="4"/>
  <c r="AO692" i="4"/>
  <c r="AO471" i="4"/>
  <c r="AO333" i="4"/>
  <c r="AO242" i="4"/>
  <c r="AP836" i="4"/>
  <c r="AP699" i="4"/>
  <c r="AP543" i="4"/>
  <c r="AO386" i="4"/>
  <c r="AO490" i="4"/>
  <c r="AP162" i="4"/>
  <c r="AP28" i="4"/>
  <c r="AP30" i="4"/>
  <c r="AP231" i="4"/>
  <c r="AO23" i="4"/>
  <c r="AO14" i="4"/>
  <c r="AP322" i="4"/>
  <c r="AO454" i="4"/>
  <c r="AP338" i="4"/>
  <c r="AO206" i="4"/>
  <c r="AO276" i="4"/>
  <c r="AP161" i="4"/>
  <c r="AO866" i="4"/>
  <c r="AO837" i="4"/>
  <c r="AO814" i="4"/>
  <c r="AO798" i="4"/>
  <c r="AO794" i="4"/>
  <c r="AP759" i="4"/>
  <c r="AP610" i="4"/>
  <c r="AP632" i="4"/>
  <c r="AO623" i="4"/>
  <c r="AO581" i="4"/>
  <c r="AO571" i="4"/>
  <c r="AP536" i="4"/>
  <c r="AO480" i="4"/>
  <c r="AP336" i="4"/>
  <c r="AP390" i="4"/>
  <c r="AO456" i="4"/>
  <c r="AP321" i="4"/>
  <c r="AO453" i="4"/>
  <c r="AO322" i="4"/>
  <c r="AP177" i="4"/>
  <c r="AO215" i="4"/>
  <c r="AO128" i="4"/>
  <c r="AO843" i="4"/>
  <c r="AP872" i="4"/>
  <c r="AO776" i="4"/>
  <c r="AP782" i="4"/>
  <c r="AP777" i="4"/>
  <c r="AO774" i="4"/>
  <c r="AP724" i="4"/>
  <c r="AO615" i="4"/>
  <c r="AO712" i="4"/>
  <c r="AP572" i="4"/>
  <c r="AO517" i="4"/>
  <c r="AO610" i="4"/>
  <c r="AO488" i="4"/>
  <c r="AO339" i="4"/>
  <c r="AP408" i="4"/>
  <c r="AO497" i="4"/>
  <c r="AP353" i="4"/>
  <c r="AP480" i="4"/>
  <c r="AO369" i="4"/>
  <c r="AP254" i="4"/>
  <c r="AO279" i="4"/>
  <c r="AP155" i="4"/>
  <c r="AP915" i="4"/>
  <c r="AO911" i="4"/>
  <c r="AP862" i="4"/>
  <c r="AO748" i="4"/>
  <c r="AP762" i="4"/>
  <c r="AP767" i="4"/>
  <c r="AO725" i="4"/>
  <c r="AP707" i="4"/>
  <c r="AO714" i="4"/>
  <c r="AO711" i="4"/>
  <c r="AP571" i="4"/>
  <c r="AP516" i="4"/>
  <c r="AP521" i="4"/>
  <c r="AP519" i="4"/>
  <c r="AO415" i="4"/>
  <c r="AO486" i="4"/>
  <c r="AP325" i="4"/>
  <c r="AO383" i="4"/>
  <c r="AP303" i="4"/>
  <c r="AP405" i="4"/>
  <c r="AO274" i="4"/>
  <c r="AO118" i="4"/>
  <c r="AP174" i="4"/>
  <c r="AP71" i="4"/>
  <c r="AO124" i="4"/>
  <c r="AP232" i="4"/>
  <c r="AP49" i="4"/>
  <c r="AP56" i="4"/>
  <c r="AO13" i="4"/>
  <c r="AP113" i="4"/>
  <c r="AP57" i="4"/>
  <c r="AP186" i="4"/>
  <c r="AP220" i="4"/>
  <c r="AP74" i="4"/>
  <c r="AP263" i="4"/>
  <c r="AO210" i="4"/>
  <c r="AP259" i="4"/>
  <c r="AO15" i="4"/>
  <c r="AP9" i="4"/>
  <c r="AO57" i="4"/>
  <c r="AO234" i="4"/>
  <c r="AP39" i="4"/>
  <c r="AO29" i="4"/>
  <c r="AO208" i="4"/>
  <c r="AO313" i="4"/>
  <c r="AP276" i="4"/>
  <c r="AP115" i="4"/>
  <c r="AP889" i="4"/>
  <c r="AP793" i="4"/>
  <c r="AP684" i="4"/>
  <c r="AP587" i="4"/>
  <c r="AP576" i="4"/>
  <c r="AP435" i="4"/>
  <c r="AO324" i="4"/>
  <c r="AP212" i="4"/>
  <c r="AP106" i="4"/>
  <c r="AP892" i="4"/>
  <c r="AP742" i="4"/>
  <c r="AO773" i="4"/>
  <c r="AP608" i="4"/>
  <c r="AP622" i="4"/>
  <c r="AO621" i="4"/>
  <c r="AP586" i="4"/>
  <c r="AP540" i="4"/>
  <c r="AO538" i="4"/>
  <c r="AO549" i="4"/>
  <c r="AO427" i="4"/>
  <c r="AO458" i="4"/>
  <c r="AP314" i="4"/>
  <c r="AO379" i="4"/>
  <c r="AO282" i="4"/>
  <c r="AO402" i="4"/>
  <c r="AO269" i="4"/>
  <c r="AO111" i="4"/>
  <c r="AP170" i="4"/>
  <c r="AO56" i="4"/>
  <c r="AO108" i="4"/>
  <c r="AO225" i="4"/>
  <c r="AO40" i="4"/>
  <c r="AP21" i="4"/>
  <c r="AO75" i="4"/>
  <c r="AP89" i="4"/>
  <c r="AO41" i="4"/>
  <c r="AO170" i="4"/>
  <c r="AO105" i="4"/>
  <c r="AP55" i="4"/>
  <c r="AP247" i="4"/>
  <c r="AO198" i="4"/>
  <c r="AO237" i="4"/>
  <c r="AP11" i="4"/>
  <c r="AO62" i="4"/>
  <c r="AP261" i="4"/>
  <c r="AP225" i="4"/>
  <c r="AP16" i="4"/>
  <c r="AP25" i="4"/>
  <c r="AO153" i="4"/>
  <c r="AP342" i="4"/>
  <c r="AP366" i="4"/>
  <c r="AP139" i="4"/>
  <c r="AO140" i="4"/>
  <c r="AP856" i="4"/>
  <c r="AO772" i="4"/>
  <c r="AP773" i="4"/>
  <c r="AO618" i="4"/>
  <c r="AO685" i="4"/>
  <c r="AO564" i="4"/>
  <c r="AP510" i="4"/>
  <c r="AO416" i="4"/>
  <c r="AP396" i="4"/>
  <c r="AP402" i="4"/>
  <c r="AO448" i="4"/>
  <c r="AP275" i="4"/>
  <c r="AP226" i="4"/>
  <c r="AO888" i="4"/>
  <c r="AP855" i="4"/>
  <c r="AP781" i="4"/>
  <c r="AP411" i="4"/>
  <c r="AP829" i="4"/>
  <c r="AP920" i="4"/>
  <c r="AO790" i="4"/>
  <c r="AP768" i="4"/>
  <c r="AO795" i="4"/>
  <c r="AP776" i="4"/>
  <c r="AP662" i="4"/>
  <c r="AO662" i="4"/>
  <c r="AO656" i="4"/>
  <c r="AO620" i="4"/>
  <c r="AO603" i="4"/>
  <c r="AO562" i="4"/>
  <c r="AP578" i="4"/>
  <c r="AP438" i="4"/>
  <c r="AP271" i="4"/>
  <c r="AO335" i="4"/>
  <c r="AP449" i="4"/>
  <c r="AO331" i="4"/>
  <c r="AP466" i="4"/>
  <c r="AP351" i="4"/>
  <c r="AO218" i="4"/>
  <c r="AP94" i="4"/>
  <c r="AP169" i="4"/>
  <c r="AO882" i="4"/>
  <c r="AO857" i="4"/>
  <c r="AP826" i="4"/>
  <c r="AP842" i="4"/>
  <c r="AP845" i="4"/>
  <c r="AO779" i="4"/>
  <c r="AO642" i="4"/>
  <c r="AO640" i="4"/>
  <c r="AO632" i="4"/>
  <c r="AO592" i="4"/>
  <c r="AP598" i="4"/>
  <c r="AP549" i="4"/>
  <c r="AO521" i="4"/>
  <c r="AO388" i="4"/>
  <c r="AO409" i="4"/>
  <c r="AP491" i="4"/>
  <c r="AP330" i="4"/>
  <c r="AP465" i="4"/>
  <c r="AP337" i="4"/>
  <c r="AP193" i="4"/>
  <c r="AO243" i="4"/>
  <c r="AP136" i="4"/>
  <c r="AP858" i="4"/>
  <c r="AP918" i="4"/>
  <c r="AO792" i="4"/>
  <c r="AO797" i="4"/>
  <c r="AO785" i="4"/>
  <c r="AP790" i="4"/>
  <c r="AP613" i="4"/>
  <c r="AP631" i="4"/>
  <c r="AO622" i="4"/>
  <c r="AO580" i="4"/>
  <c r="AO541" i="4"/>
  <c r="AP503" i="4"/>
  <c r="AO508" i="4"/>
  <c r="AP362" i="4"/>
  <c r="AO423" i="4"/>
  <c r="AP295" i="4"/>
  <c r="AP368" i="4"/>
  <c r="AO491" i="4"/>
  <c r="AP392" i="4"/>
  <c r="AO270" i="4"/>
  <c r="AO100" i="4"/>
  <c r="AP163" i="4"/>
  <c r="AO74" i="4"/>
  <c r="AP818" i="4"/>
  <c r="AO876" i="4"/>
  <c r="AO760" i="4"/>
  <c r="AO769" i="4"/>
  <c r="AO784" i="4"/>
  <c r="AP761" i="4"/>
  <c r="AO604" i="4"/>
  <c r="AO614" i="4"/>
  <c r="AP725" i="4"/>
  <c r="AO579" i="4"/>
  <c r="AO533" i="4"/>
  <c r="AP534" i="4"/>
  <c r="AP526" i="4"/>
  <c r="AP423" i="4"/>
  <c r="AP272" i="4"/>
  <c r="AP489" i="4"/>
  <c r="AP475" i="4"/>
  <c r="AO219" i="4"/>
  <c r="AO138" i="4"/>
  <c r="AO188" i="4"/>
  <c r="AO84" i="4"/>
  <c r="AP33" i="4"/>
  <c r="AP3" i="4"/>
  <c r="AP7" i="4"/>
  <c r="K186" i="3"/>
  <c r="AP376" i="4"/>
  <c r="AP450" i="4"/>
  <c r="AP340" i="4"/>
  <c r="AO451" i="4"/>
  <c r="AO343" i="4"/>
  <c r="AP156" i="4"/>
  <c r="AP237" i="4"/>
  <c r="AP105" i="4"/>
  <c r="AP122" i="4"/>
  <c r="AP38" i="4"/>
  <c r="AP87" i="4"/>
  <c r="AP120" i="4"/>
  <c r="AO184" i="4"/>
  <c r="AP185" i="4"/>
  <c r="AO122" i="4"/>
  <c r="AP246" i="4"/>
  <c r="AO39" i="4"/>
  <c r="AO12" i="4"/>
  <c r="AO11" i="4"/>
  <c r="AO159" i="4"/>
  <c r="AO44" i="4"/>
  <c r="AP111" i="4"/>
  <c r="AP45" i="4"/>
  <c r="AO48" i="4"/>
  <c r="AP158" i="4"/>
  <c r="AO70" i="4"/>
  <c r="AP125" i="4"/>
  <c r="AP181" i="4"/>
  <c r="AO78" i="4"/>
  <c r="AF35" i="3"/>
  <c r="AF73" i="3"/>
  <c r="AF106" i="3"/>
  <c r="AF122" i="3"/>
  <c r="K177" i="3"/>
  <c r="K212" i="3"/>
  <c r="K252" i="3"/>
  <c r="K271" i="3"/>
  <c r="K347" i="3"/>
  <c r="AF369" i="3"/>
  <c r="AF10" i="3"/>
  <c r="AF58" i="3"/>
  <c r="AF74" i="3"/>
  <c r="AF206" i="3"/>
  <c r="K44" i="3"/>
  <c r="AF133" i="3"/>
  <c r="K149" i="3"/>
  <c r="K319" i="3"/>
  <c r="K338" i="3"/>
  <c r="K384" i="3"/>
  <c r="AF50" i="3"/>
  <c r="K19" i="3"/>
  <c r="AF67" i="3"/>
  <c r="AF88" i="3"/>
  <c r="K165" i="3"/>
  <c r="K71" i="3"/>
  <c r="K120" i="3"/>
  <c r="K138" i="3"/>
  <c r="K192" i="3"/>
  <c r="K229" i="3"/>
  <c r="AF269" i="3"/>
  <c r="K287" i="3"/>
  <c r="K306" i="3"/>
  <c r="K345" i="3"/>
  <c r="K367" i="3"/>
  <c r="K393" i="3"/>
  <c r="K8" i="3"/>
  <c r="K56" i="3"/>
  <c r="K72" i="3"/>
  <c r="AF115" i="3"/>
  <c r="AF198" i="3"/>
  <c r="AF38" i="3"/>
  <c r="AF57" i="3"/>
  <c r="AF77" i="3"/>
  <c r="K125" i="3"/>
  <c r="AF313" i="3"/>
  <c r="AF13" i="3"/>
  <c r="K45" i="3"/>
  <c r="K218" i="3"/>
  <c r="K94" i="3"/>
  <c r="K155" i="3"/>
  <c r="AF180" i="3"/>
  <c r="K217" i="3"/>
  <c r="AF236" i="3"/>
  <c r="AF257" i="3"/>
  <c r="AF275" i="3"/>
  <c r="K308" i="3"/>
  <c r="AF324" i="3"/>
  <c r="K391" i="3"/>
  <c r="K24" i="3"/>
  <c r="K70" i="3"/>
  <c r="K118" i="3"/>
  <c r="AF181" i="3"/>
  <c r="K219" i="3"/>
  <c r="AF237" i="3"/>
  <c r="K255" i="3"/>
  <c r="AF291" i="3"/>
  <c r="K349" i="3"/>
  <c r="K399" i="3"/>
  <c r="AF434" i="3"/>
  <c r="AF26" i="3"/>
  <c r="AF12" i="3"/>
  <c r="K78" i="3"/>
  <c r="K97" i="3"/>
  <c r="AF132" i="3"/>
  <c r="K171" i="3"/>
  <c r="AF188" i="3"/>
  <c r="K206" i="3"/>
  <c r="K223" i="3"/>
  <c r="K257" i="3"/>
  <c r="K273" i="3"/>
  <c r="K290" i="3"/>
  <c r="AF358" i="3"/>
  <c r="K455" i="3"/>
  <c r="AF493" i="3"/>
  <c r="K404" i="3"/>
  <c r="AF541" i="3"/>
  <c r="K573" i="3"/>
  <c r="K597" i="3"/>
  <c r="K667" i="3"/>
  <c r="K683" i="3"/>
  <c r="K731" i="3"/>
  <c r="AF767" i="3"/>
  <c r="K786" i="3"/>
  <c r="K816" i="3"/>
  <c r="K849" i="3"/>
  <c r="K883" i="3"/>
  <c r="K899" i="3"/>
  <c r="K937" i="3"/>
  <c r="AF955" i="3"/>
  <c r="AF359" i="3"/>
  <c r="AF378" i="3"/>
  <c r="K461" i="3"/>
  <c r="K544" i="3"/>
  <c r="K608" i="3"/>
  <c r="AF697" i="3"/>
  <c r="AF713" i="3"/>
  <c r="K760" i="3"/>
  <c r="K833" i="3"/>
  <c r="K851" i="3"/>
  <c r="K941" i="3"/>
  <c r="AF270" i="3"/>
  <c r="AF305" i="3"/>
  <c r="K356" i="3"/>
  <c r="AF11" i="3"/>
  <c r="AF139" i="3"/>
  <c r="AF252" i="3"/>
  <c r="K288" i="3"/>
  <c r="AF325" i="3"/>
  <c r="K428" i="3"/>
  <c r="AF22" i="3"/>
  <c r="K25" i="3"/>
  <c r="AF41" i="3"/>
  <c r="K91" i="3"/>
  <c r="K113" i="3"/>
  <c r="K168" i="3"/>
  <c r="K270" i="3"/>
  <c r="K304" i="3"/>
  <c r="K487" i="3"/>
  <c r="K379" i="3"/>
  <c r="K400" i="3"/>
  <c r="AF419" i="3"/>
  <c r="AF435" i="3"/>
  <c r="AF490" i="3"/>
  <c r="AF506" i="3"/>
  <c r="K570" i="3"/>
  <c r="K662" i="3"/>
  <c r="AF696" i="3"/>
  <c r="AF712" i="3"/>
  <c r="K830" i="3"/>
  <c r="K863" i="3"/>
  <c r="AF917" i="3"/>
  <c r="AF1010" i="3"/>
  <c r="K375" i="3"/>
  <c r="AF424" i="3"/>
  <c r="AF440" i="3"/>
  <c r="K474" i="3"/>
  <c r="K493" i="3"/>
  <c r="K605" i="3"/>
  <c r="K629" i="3"/>
  <c r="AF678" i="3"/>
  <c r="K757" i="3"/>
  <c r="K773" i="3"/>
  <c r="AF882" i="3"/>
  <c r="AF898" i="3"/>
  <c r="AF107" i="3"/>
  <c r="AF130" i="3"/>
  <c r="K166" i="3"/>
  <c r="K248" i="3"/>
  <c r="K301" i="3"/>
  <c r="AF336" i="3"/>
  <c r="AF379" i="3"/>
  <c r="K411" i="3"/>
  <c r="K46" i="3"/>
  <c r="K64" i="3"/>
  <c r="AF131" i="3"/>
  <c r="K159" i="3"/>
  <c r="K213" i="3"/>
  <c r="K231" i="3"/>
  <c r="AF267" i="3"/>
  <c r="K283" i="3"/>
  <c r="K302" i="3"/>
  <c r="K322" i="3"/>
  <c r="K340" i="3"/>
  <c r="K360" i="3"/>
  <c r="K387" i="3"/>
  <c r="AF422" i="3"/>
  <c r="K16" i="3"/>
  <c r="AF44" i="3"/>
  <c r="AF56" i="3"/>
  <c r="AF72" i="3"/>
  <c r="K88" i="3"/>
  <c r="K110" i="3"/>
  <c r="K142" i="3"/>
  <c r="K162" i="3"/>
  <c r="K216" i="3"/>
  <c r="K235" i="3"/>
  <c r="AF301" i="3"/>
  <c r="K336" i="3"/>
  <c r="AF352" i="3"/>
  <c r="K376" i="3"/>
  <c r="AF397" i="3"/>
  <c r="K448" i="3"/>
  <c r="AF471" i="3"/>
  <c r="K567" i="3"/>
  <c r="K659" i="3"/>
  <c r="AF677" i="3"/>
  <c r="AF827" i="3"/>
  <c r="AF877" i="3"/>
  <c r="AF893" i="3"/>
  <c r="AF913" i="3"/>
  <c r="K996" i="3"/>
  <c r="K405" i="3"/>
  <c r="AF455" i="3"/>
  <c r="K586" i="3"/>
  <c r="K626" i="3"/>
  <c r="AO336" i="4"/>
  <c r="AP401" i="4"/>
  <c r="AO311" i="4"/>
  <c r="AO420" i="4"/>
  <c r="AP286" i="4"/>
  <c r="AO129" i="4"/>
  <c r="AP201" i="4"/>
  <c r="AP83" i="4"/>
  <c r="AO247" i="4"/>
  <c r="AP278" i="4"/>
  <c r="AO65" i="4"/>
  <c r="AO25" i="4"/>
  <c r="AP42" i="4"/>
  <c r="AO137" i="4"/>
  <c r="AP90" i="4"/>
  <c r="AP208" i="4"/>
  <c r="AP12" i="4"/>
  <c r="AO130" i="4"/>
  <c r="AP54" i="4"/>
  <c r="AO250" i="4"/>
  <c r="AO8" i="4"/>
  <c r="AO30" i="4"/>
  <c r="AO61" i="4"/>
  <c r="AP80" i="4"/>
  <c r="AO263" i="4"/>
  <c r="AP47" i="4"/>
  <c r="AP61" i="4"/>
  <c r="AP23" i="4"/>
  <c r="AP8" i="4"/>
  <c r="K126" i="3"/>
  <c r="K181" i="3"/>
  <c r="K258" i="3"/>
  <c r="K295" i="3"/>
  <c r="K314" i="3"/>
  <c r="K332" i="3"/>
  <c r="K351" i="3"/>
  <c r="K26" i="3"/>
  <c r="AF30" i="3"/>
  <c r="AF78" i="3"/>
  <c r="AF144" i="3"/>
  <c r="K222" i="3"/>
  <c r="AF70" i="3"/>
  <c r="AF87" i="3"/>
  <c r="K119" i="3"/>
  <c r="K137" i="3"/>
  <c r="K191" i="3"/>
  <c r="K209" i="3"/>
  <c r="K228" i="3"/>
  <c r="K286" i="3"/>
  <c r="K325" i="3"/>
  <c r="K392" i="3"/>
  <c r="K23" i="3"/>
  <c r="AF39" i="3"/>
  <c r="AF55" i="3"/>
  <c r="K75" i="3"/>
  <c r="AF179" i="3"/>
  <c r="AF293" i="3"/>
  <c r="AF349" i="3"/>
  <c r="K401" i="3"/>
  <c r="K12" i="3"/>
  <c r="K40" i="3"/>
  <c r="K11" i="3"/>
  <c r="AF42" i="3"/>
  <c r="AF64" i="3"/>
  <c r="K131" i="3"/>
  <c r="K147" i="3"/>
  <c r="K185" i="3"/>
  <c r="AF201" i="3"/>
  <c r="K221" i="3"/>
  <c r="K262" i="3"/>
  <c r="AF278" i="3"/>
  <c r="AF298" i="3"/>
  <c r="K317" i="3"/>
  <c r="K354" i="3"/>
  <c r="AF380" i="3"/>
  <c r="AF29" i="3"/>
  <c r="AF33" i="3"/>
  <c r="K49" i="3"/>
  <c r="K156" i="3"/>
  <c r="K99" i="3"/>
  <c r="K140" i="3"/>
  <c r="AF279" i="3"/>
  <c r="AF328" i="3"/>
  <c r="K364" i="3"/>
  <c r="K106" i="3"/>
  <c r="K205" i="3"/>
  <c r="AF241" i="3"/>
  <c r="K260" i="3"/>
  <c r="AF296" i="3"/>
  <c r="K313" i="3"/>
  <c r="AF333" i="3"/>
  <c r="K353" i="3"/>
  <c r="K443" i="3"/>
  <c r="K9" i="3"/>
  <c r="K38" i="3"/>
  <c r="AF32" i="3"/>
  <c r="AF66" i="3"/>
  <c r="K82" i="3"/>
  <c r="K102" i="3"/>
  <c r="AF156" i="3"/>
  <c r="K175" i="3"/>
  <c r="AF210" i="3"/>
  <c r="K245" i="3"/>
  <c r="AF277" i="3"/>
  <c r="K294" i="3"/>
  <c r="AF330" i="3"/>
  <c r="K368" i="3"/>
  <c r="K397" i="3"/>
  <c r="AF501" i="3"/>
  <c r="K388" i="3"/>
  <c r="K408" i="3"/>
  <c r="AF481" i="3"/>
  <c r="AF545" i="3"/>
  <c r="K601" i="3"/>
  <c r="K671" i="3"/>
  <c r="K687" i="3"/>
  <c r="AF804" i="3"/>
  <c r="K821" i="3"/>
  <c r="AF853" i="3"/>
  <c r="K871" i="3"/>
  <c r="K887" i="3"/>
  <c r="K903" i="3"/>
  <c r="K363" i="3"/>
  <c r="AF382" i="3"/>
  <c r="AF399" i="3"/>
  <c r="K580" i="3"/>
  <c r="K612" i="3"/>
  <c r="AF701" i="3"/>
  <c r="K718" i="3"/>
  <c r="K837" i="3"/>
  <c r="K855" i="3"/>
  <c r="K923" i="3"/>
  <c r="AF947" i="3"/>
  <c r="K309" i="3"/>
  <c r="AF71" i="3"/>
  <c r="K87" i="3"/>
  <c r="AF121" i="3"/>
  <c r="K182" i="3"/>
  <c r="K201" i="3"/>
  <c r="AF221" i="3"/>
  <c r="K238" i="3"/>
  <c r="K292" i="3"/>
  <c r="K436" i="3"/>
  <c r="AF34" i="3"/>
  <c r="K13" i="3"/>
  <c r="AF45" i="3"/>
  <c r="K98" i="3"/>
  <c r="AF117" i="3"/>
  <c r="K172" i="3"/>
  <c r="K189" i="3"/>
  <c r="K224" i="3"/>
  <c r="K274" i="3"/>
  <c r="AF310" i="3"/>
  <c r="AF326" i="3"/>
  <c r="AF457" i="3"/>
  <c r="K495" i="3"/>
  <c r="K383" i="3"/>
  <c r="AF423" i="3"/>
  <c r="AF439" i="3"/>
  <c r="K456" i="3"/>
  <c r="K478" i="3"/>
  <c r="AF494" i="3"/>
  <c r="K574" i="3"/>
  <c r="K598" i="3"/>
  <c r="AF630" i="3"/>
  <c r="AF700" i="3"/>
  <c r="K768" i="3"/>
  <c r="AF800" i="3"/>
  <c r="K817" i="3"/>
  <c r="K850" i="3"/>
  <c r="AF921" i="3"/>
  <c r="AF938" i="3"/>
  <c r="AF960" i="3"/>
  <c r="K395" i="3"/>
  <c r="AF412" i="3"/>
  <c r="AF428" i="3"/>
  <c r="K445" i="3"/>
  <c r="K480" i="3"/>
  <c r="K497" i="3"/>
  <c r="K577" i="3"/>
  <c r="K609" i="3"/>
  <c r="K633" i="3"/>
  <c r="AF666" i="3"/>
  <c r="AF682" i="3"/>
  <c r="K761" i="3"/>
  <c r="K834" i="3"/>
  <c r="K852" i="3"/>
  <c r="AF870" i="3"/>
  <c r="AF886" i="3"/>
  <c r="AF92" i="3"/>
  <c r="K153" i="3"/>
  <c r="K178" i="3"/>
  <c r="K233" i="3"/>
  <c r="K50" i="3"/>
  <c r="AF68" i="3"/>
  <c r="AF116" i="3"/>
  <c r="K179" i="3"/>
  <c r="K253" i="3"/>
  <c r="AF271" i="3"/>
  <c r="K289" i="3"/>
  <c r="AF307" i="3"/>
  <c r="AF347" i="3"/>
  <c r="AF395" i="3"/>
  <c r="AF430" i="3"/>
  <c r="K10" i="3"/>
  <c r="K92" i="3"/>
  <c r="K114" i="3"/>
  <c r="K130" i="3"/>
  <c r="K169" i="3"/>
  <c r="K239" i="3"/>
  <c r="K305" i="3"/>
  <c r="AF356" i="3"/>
  <c r="K385" i="3"/>
  <c r="K451" i="3"/>
  <c r="AF489" i="3"/>
  <c r="AF402" i="3"/>
  <c r="K453" i="3"/>
  <c r="K571" i="3"/>
  <c r="AF681" i="3"/>
  <c r="K814" i="3"/>
  <c r="K831" i="3"/>
  <c r="AF847" i="3"/>
  <c r="AF881" i="3"/>
  <c r="AF897" i="3"/>
  <c r="K918" i="3"/>
  <c r="AF935" i="3"/>
  <c r="K953" i="3"/>
  <c r="K357" i="3"/>
  <c r="K441" i="3"/>
  <c r="AF459" i="3"/>
  <c r="AF477" i="3"/>
  <c r="AF542" i="3"/>
  <c r="K606" i="3"/>
  <c r="K202" i="3"/>
  <c r="K241" i="3"/>
  <c r="K263" i="3"/>
  <c r="K318" i="3"/>
  <c r="K337" i="3"/>
  <c r="K355" i="3"/>
  <c r="K31" i="3"/>
  <c r="K66" i="3"/>
  <c r="K86" i="3"/>
  <c r="AF215" i="3"/>
  <c r="AF255" i="3"/>
  <c r="K291" i="3"/>
  <c r="AF9" i="3"/>
  <c r="K27" i="3"/>
  <c r="AF43" i="3"/>
  <c r="K210" i="3"/>
  <c r="AF20" i="3"/>
  <c r="K61" i="3"/>
  <c r="K146" i="3"/>
  <c r="K184" i="3"/>
  <c r="K220" i="3"/>
  <c r="AF261" i="3"/>
  <c r="AF316" i="3"/>
  <c r="AF353" i="3"/>
  <c r="AF409" i="3"/>
  <c r="K442" i="3"/>
  <c r="K28" i="3"/>
  <c r="K32" i="3"/>
  <c r="K48" i="3"/>
  <c r="AF84" i="3"/>
  <c r="K152" i="3"/>
  <c r="AF232" i="3"/>
  <c r="AF24" i="3"/>
  <c r="AF46" i="3"/>
  <c r="K68" i="3"/>
  <c r="K85" i="3"/>
  <c r="K135" i="3"/>
  <c r="K151" i="3"/>
  <c r="K207" i="3"/>
  <c r="K247" i="3"/>
  <c r="AF284" i="3"/>
  <c r="AF303" i="3"/>
  <c r="AF323" i="3"/>
  <c r="K341" i="3"/>
  <c r="AF474" i="3"/>
  <c r="AF21" i="3"/>
  <c r="K37" i="3"/>
  <c r="AF53" i="3"/>
  <c r="K69" i="3"/>
  <c r="K95" i="3"/>
  <c r="K105" i="3"/>
  <c r="K164" i="3"/>
  <c r="K188" i="3"/>
  <c r="AF299" i="3"/>
  <c r="AF375" i="3"/>
  <c r="AF405" i="3"/>
  <c r="K62" i="3"/>
  <c r="K129" i="3"/>
  <c r="K157" i="3"/>
  <c r="AF192" i="3"/>
  <c r="K211" i="3"/>
  <c r="AF229" i="3"/>
  <c r="K265" i="3"/>
  <c r="AF338" i="3"/>
  <c r="K382" i="3"/>
  <c r="AF418" i="3"/>
  <c r="AF544" i="3"/>
  <c r="K17" i="3"/>
  <c r="K42" i="3"/>
  <c r="K36" i="3"/>
  <c r="AF54" i="3"/>
  <c r="AF86" i="3"/>
  <c r="K107" i="3"/>
  <c r="K124" i="3"/>
  <c r="AF140" i="3"/>
  <c r="K197" i="3"/>
  <c r="K232" i="3"/>
  <c r="K249" i="3"/>
  <c r="K350" i="3"/>
  <c r="K372" i="3"/>
  <c r="K406" i="3"/>
  <c r="K477" i="3"/>
  <c r="K394" i="3"/>
  <c r="AF446" i="3"/>
  <c r="K467" i="3"/>
  <c r="AF657" i="3"/>
  <c r="K675" i="3"/>
  <c r="K691" i="3"/>
  <c r="K756" i="3"/>
  <c r="K808" i="3"/>
  <c r="K875" i="3"/>
  <c r="K891" i="3"/>
  <c r="K907" i="3"/>
  <c r="AF403" i="3"/>
  <c r="K584" i="3"/>
  <c r="K616" i="3"/>
  <c r="AF705" i="3"/>
  <c r="K825" i="3"/>
  <c r="K841" i="3"/>
  <c r="K280" i="3"/>
  <c r="K329" i="3"/>
  <c r="K348" i="3"/>
  <c r="AF400" i="3"/>
  <c r="AF31" i="3"/>
  <c r="K57" i="3"/>
  <c r="AF75" i="3"/>
  <c r="AF126" i="3"/>
  <c r="K242" i="3"/>
  <c r="K261" i="3"/>
  <c r="K278" i="3"/>
  <c r="K334" i="3"/>
  <c r="AF355" i="3"/>
  <c r="K377" i="3"/>
  <c r="AF445" i="3"/>
  <c r="K14" i="3"/>
  <c r="K33" i="3"/>
  <c r="K67" i="3"/>
  <c r="K83" i="3"/>
  <c r="K103" i="3"/>
  <c r="K176" i="3"/>
  <c r="AF194" i="3"/>
  <c r="K331" i="3"/>
  <c r="K398" i="3"/>
  <c r="K503" i="3"/>
  <c r="K409" i="3"/>
  <c r="AF427" i="3"/>
  <c r="K460" i="3"/>
  <c r="AF498" i="3"/>
  <c r="K546" i="3"/>
  <c r="K602" i="3"/>
  <c r="AF634" i="3"/>
  <c r="AF704" i="3"/>
  <c r="K925" i="3"/>
  <c r="AF942" i="3"/>
  <c r="K977" i="3"/>
  <c r="AF364" i="3"/>
  <c r="AF416" i="3"/>
  <c r="AF432" i="3"/>
  <c r="K485" i="3"/>
  <c r="K501" i="3"/>
  <c r="K549" i="3"/>
  <c r="K581" i="3"/>
  <c r="K613" i="3"/>
  <c r="AF686" i="3"/>
  <c r="K719" i="3"/>
  <c r="K822" i="3"/>
  <c r="K838" i="3"/>
  <c r="K856" i="3"/>
  <c r="AF874" i="3"/>
  <c r="AF890" i="3"/>
  <c r="AF906" i="3"/>
  <c r="K96" i="3"/>
  <c r="K203" i="3"/>
  <c r="K277" i="3"/>
  <c r="K310" i="3"/>
  <c r="K326" i="3"/>
  <c r="K361" i="3"/>
  <c r="AF28" i="3"/>
  <c r="K122" i="3"/>
  <c r="K183" i="3"/>
  <c r="K293" i="3"/>
  <c r="K311" i="3"/>
  <c r="AF351" i="3"/>
  <c r="AF404" i="3"/>
  <c r="AF438" i="3"/>
  <c r="AF7" i="3"/>
  <c r="K35" i="3"/>
  <c r="K30" i="3"/>
  <c r="AF80" i="3"/>
  <c r="AF100" i="3"/>
  <c r="K173" i="3"/>
  <c r="K190" i="3"/>
  <c r="K275" i="3"/>
  <c r="K344" i="3"/>
  <c r="K459" i="3"/>
  <c r="AF497" i="3"/>
  <c r="AF386" i="3"/>
  <c r="AF406" i="3"/>
  <c r="K479" i="3"/>
  <c r="K543" i="3"/>
  <c r="K575" i="3"/>
  <c r="K599" i="3"/>
  <c r="AF669" i="3"/>
  <c r="AF685" i="3"/>
  <c r="K801" i="3"/>
  <c r="K818" i="3"/>
  <c r="AF885" i="3"/>
  <c r="AF901" i="3"/>
  <c r="AF964" i="3"/>
  <c r="K380" i="3"/>
  <c r="K578" i="3"/>
  <c r="K610" i="3"/>
  <c r="AP58" i="4"/>
  <c r="AP130" i="4"/>
  <c r="AO6" i="4"/>
  <c r="AP35" i="4"/>
  <c r="AP258" i="4"/>
  <c r="AP221" i="4"/>
  <c r="AO9" i="4"/>
  <c r="AO76" i="4"/>
  <c r="AO72" i="4"/>
  <c r="AP117" i="4"/>
  <c r="AP200" i="4"/>
  <c r="AO104" i="4"/>
  <c r="AO176" i="4"/>
  <c r="AP100" i="4"/>
  <c r="AO199" i="4"/>
  <c r="AP198" i="4"/>
  <c r="AP150" i="4"/>
  <c r="AO174" i="4"/>
  <c r="AP149" i="4"/>
  <c r="AO21" i="4"/>
  <c r="K47" i="3"/>
  <c r="AF118" i="3"/>
  <c r="K136" i="3"/>
  <c r="K208" i="3"/>
  <c r="K267" i="3"/>
  <c r="K285" i="3"/>
  <c r="K342" i="3"/>
  <c r="AF389" i="3"/>
  <c r="K60" i="3"/>
  <c r="K54" i="3"/>
  <c r="K100" i="3"/>
  <c r="K59" i="3"/>
  <c r="K79" i="3"/>
  <c r="AF129" i="3"/>
  <c r="K145" i="3"/>
  <c r="AF183" i="3"/>
  <c r="K199" i="3"/>
  <c r="AF219" i="3"/>
  <c r="K237" i="3"/>
  <c r="K259" i="3"/>
  <c r="K276" i="3"/>
  <c r="K296" i="3"/>
  <c r="K333" i="3"/>
  <c r="AF15" i="3"/>
  <c r="K116" i="3"/>
  <c r="K134" i="3"/>
  <c r="K150" i="3"/>
  <c r="K246" i="3"/>
  <c r="AF265" i="3"/>
  <c r="AF340" i="3"/>
  <c r="K51" i="3"/>
  <c r="AF36" i="3"/>
  <c r="K52" i="3"/>
  <c r="K90" i="3"/>
  <c r="K34" i="3"/>
  <c r="K89" i="3"/>
  <c r="K121" i="3"/>
  <c r="K139" i="3"/>
  <c r="AF211" i="3"/>
  <c r="AF231" i="3"/>
  <c r="K251" i="3"/>
  <c r="AF289" i="3"/>
  <c r="K307" i="3"/>
  <c r="AF327" i="3"/>
  <c r="K346" i="3"/>
  <c r="K396" i="3"/>
  <c r="K7" i="3"/>
  <c r="AF25" i="3"/>
  <c r="K41" i="3"/>
  <c r="K109" i="3"/>
  <c r="K132" i="3"/>
  <c r="AF176" i="3"/>
  <c r="K194" i="3"/>
  <c r="K320" i="3"/>
  <c r="AF383" i="3"/>
  <c r="AF441" i="3"/>
  <c r="K482" i="3"/>
  <c r="K133" i="3"/>
  <c r="K161" i="3"/>
  <c r="AF177" i="3"/>
  <c r="K215" i="3"/>
  <c r="K269" i="3"/>
  <c r="AF287" i="3"/>
  <c r="K343" i="3"/>
  <c r="AF426" i="3"/>
  <c r="K18" i="3"/>
  <c r="AF8" i="3"/>
  <c r="K58" i="3"/>
  <c r="K74" i="3"/>
  <c r="AF90" i="3"/>
  <c r="K112" i="3"/>
  <c r="K144" i="3"/>
  <c r="AF167" i="3"/>
  <c r="AF485" i="3"/>
  <c r="K473" i="3"/>
  <c r="K569" i="3"/>
  <c r="K661" i="3"/>
  <c r="K679" i="3"/>
  <c r="K829" i="3"/>
  <c r="K845" i="3"/>
  <c r="K862" i="3"/>
  <c r="K879" i="3"/>
  <c r="K895" i="3"/>
  <c r="K915" i="3"/>
  <c r="K374" i="3"/>
  <c r="AF407" i="3"/>
  <c r="K457" i="3"/>
  <c r="K588" i="3"/>
  <c r="K604" i="3"/>
  <c r="K628" i="3"/>
  <c r="AF693" i="3"/>
  <c r="AF709" i="3"/>
  <c r="K772" i="3"/>
  <c r="K813" i="3"/>
  <c r="K846" i="3"/>
  <c r="K864" i="3"/>
  <c r="AF266" i="3"/>
  <c r="K300" i="3"/>
  <c r="K352" i="3"/>
  <c r="K476" i="3"/>
  <c r="K63" i="3"/>
  <c r="AF79" i="3"/>
  <c r="K158" i="3"/>
  <c r="AF212" i="3"/>
  <c r="K230" i="3"/>
  <c r="AF247" i="3"/>
  <c r="K282" i="3"/>
  <c r="K321" i="3"/>
  <c r="K339" i="3"/>
  <c r="K359" i="3"/>
  <c r="K386" i="3"/>
  <c r="K420" i="3"/>
  <c r="AF18" i="3"/>
  <c r="K21" i="3"/>
  <c r="AF37" i="3"/>
  <c r="K55" i="3"/>
  <c r="AF109" i="3"/>
  <c r="K141" i="3"/>
  <c r="K180" i="3"/>
  <c r="K198" i="3"/>
  <c r="AF234" i="3"/>
  <c r="K250" i="3"/>
  <c r="K266" i="3"/>
  <c r="K299" i="3"/>
  <c r="K335" i="3"/>
  <c r="K373" i="3"/>
  <c r="K407" i="3"/>
  <c r="AF415" i="3"/>
  <c r="AF431" i="3"/>
  <c r="K447" i="3"/>
  <c r="AF486" i="3"/>
  <c r="AF502" i="3"/>
  <c r="AF566" i="3"/>
  <c r="K658" i="3"/>
  <c r="AF692" i="3"/>
  <c r="AF708" i="3"/>
  <c r="K858" i="3"/>
  <c r="K930" i="3"/>
  <c r="AF946" i="3"/>
  <c r="AF387" i="3"/>
  <c r="AF420" i="3"/>
  <c r="AF436" i="3"/>
  <c r="K489" i="3"/>
  <c r="K505" i="3"/>
  <c r="K585" i="3"/>
  <c r="K625" i="3"/>
  <c r="AF690" i="3"/>
  <c r="K769" i="3"/>
  <c r="K810" i="3"/>
  <c r="K826" i="3"/>
  <c r="K842" i="3"/>
  <c r="AF878" i="3"/>
  <c r="AF894" i="3"/>
  <c r="K931" i="3"/>
  <c r="K80" i="3"/>
  <c r="AF103" i="3"/>
  <c r="AF224" i="3"/>
  <c r="K281" i="3"/>
  <c r="K297" i="3"/>
  <c r="K330" i="3"/>
  <c r="K366" i="3"/>
  <c r="K76" i="3"/>
  <c r="K127" i="3"/>
  <c r="AF209" i="3"/>
  <c r="K226" i="3"/>
  <c r="K243" i="3"/>
  <c r="AF263" i="3"/>
  <c r="K298" i="3"/>
  <c r="K316" i="3"/>
  <c r="K378" i="3"/>
  <c r="AF40" i="3"/>
  <c r="AF52" i="3"/>
  <c r="K84" i="3"/>
  <c r="AF105" i="3"/>
  <c r="K195" i="3"/>
  <c r="K279" i="3"/>
  <c r="AF315" i="3"/>
  <c r="AF348" i="3"/>
  <c r="K370" i="3"/>
  <c r="K402" i="3"/>
  <c r="AF505" i="3"/>
  <c r="AF392" i="3"/>
  <c r="K444" i="3"/>
  <c r="AF548" i="3"/>
  <c r="K603" i="3"/>
  <c r="AF689" i="3"/>
  <c r="K806" i="3"/>
  <c r="AF873" i="3"/>
  <c r="AF889" i="3"/>
  <c r="AF905" i="3"/>
  <c r="K365" i="3"/>
  <c r="K550" i="3"/>
  <c r="K582" i="3"/>
  <c r="K614" i="3"/>
  <c r="K699" i="3"/>
  <c r="K695" i="3"/>
  <c r="K711" i="3"/>
  <c r="K758" i="3"/>
  <c r="K774" i="3"/>
  <c r="AF866" i="3"/>
  <c r="AF98" i="3"/>
  <c r="AF240" i="3"/>
  <c r="AF294" i="3"/>
  <c r="K29" i="3"/>
  <c r="K73" i="3"/>
  <c r="AF89" i="3"/>
  <c r="AF186" i="3"/>
  <c r="K204" i="3"/>
  <c r="AF259" i="3"/>
  <c r="AF276" i="3"/>
  <c r="K312" i="3"/>
  <c r="K440" i="3"/>
  <c r="K15" i="3"/>
  <c r="K81" i="3"/>
  <c r="K101" i="3"/>
  <c r="K174" i="3"/>
  <c r="K227" i="3"/>
  <c r="K328" i="3"/>
  <c r="AF365" i="3"/>
  <c r="AF394" i="3"/>
  <c r="AF461" i="3"/>
  <c r="K499" i="3"/>
  <c r="K425" i="3"/>
  <c r="AF458" i="3"/>
  <c r="K496" i="3"/>
  <c r="K576" i="3"/>
  <c r="K600" i="3"/>
  <c r="K632" i="3"/>
  <c r="K702" i="3"/>
  <c r="K802" i="3"/>
  <c r="AF820" i="3"/>
  <c r="K902" i="3"/>
  <c r="K940" i="3"/>
  <c r="K362" i="3"/>
  <c r="K430" i="3"/>
  <c r="AF483" i="3"/>
  <c r="AF499" i="3"/>
  <c r="K579" i="3"/>
  <c r="K611" i="3"/>
  <c r="AF635" i="3"/>
  <c r="K668" i="3"/>
  <c r="K684" i="3"/>
  <c r="AF717" i="3"/>
  <c r="K763" i="3"/>
  <c r="K836" i="3"/>
  <c r="AF854" i="3"/>
  <c r="K872" i="3"/>
  <c r="K888" i="3"/>
  <c r="K904" i="3"/>
  <c r="K987" i="3"/>
  <c r="K423" i="3"/>
  <c r="K439" i="3"/>
  <c r="AF456" i="3"/>
  <c r="K523" i="3"/>
  <c r="K539" i="3"/>
  <c r="K555" i="3"/>
  <c r="AF636" i="3"/>
  <c r="K652" i="3"/>
  <c r="K673" i="3"/>
  <c r="K689" i="3"/>
  <c r="K738" i="3"/>
  <c r="K791" i="3"/>
  <c r="AF808" i="3"/>
  <c r="AF903" i="3"/>
  <c r="K921" i="3"/>
  <c r="K938" i="3"/>
  <c r="K956" i="3"/>
  <c r="K620" i="3"/>
  <c r="AF688" i="3"/>
  <c r="K722" i="3"/>
  <c r="AF774" i="3"/>
  <c r="K898" i="3"/>
  <c r="AF990" i="3"/>
  <c r="AF1037" i="3"/>
  <c r="K1310" i="3"/>
  <c r="AF1379" i="3"/>
  <c r="AF1179" i="3"/>
  <c r="K1314" i="3"/>
  <c r="K1382" i="3"/>
  <c r="K962" i="3"/>
  <c r="K449" i="3"/>
  <c r="K465" i="3"/>
  <c r="AF484" i="3"/>
  <c r="AF500" i="3"/>
  <c r="K516" i="3"/>
  <c r="K532" i="3"/>
  <c r="K548" i="3"/>
  <c r="K564" i="3"/>
  <c r="K590" i="3"/>
  <c r="K645" i="3"/>
  <c r="AF698" i="3"/>
  <c r="AF714" i="3"/>
  <c r="AF731" i="3"/>
  <c r="K747" i="3"/>
  <c r="K765" i="3"/>
  <c r="K783" i="3"/>
  <c r="K800" i="3"/>
  <c r="AF863" i="3"/>
  <c r="AF879" i="3"/>
  <c r="AF895" i="3"/>
  <c r="K912" i="3"/>
  <c r="K978" i="3"/>
  <c r="AF633" i="3"/>
  <c r="K665" i="3"/>
  <c r="K697" i="3"/>
  <c r="K713" i="3"/>
  <c r="K752" i="3"/>
  <c r="K807" i="3"/>
  <c r="K870" i="3"/>
  <c r="AF1145" i="3"/>
  <c r="K1215" i="3"/>
  <c r="K1349" i="3"/>
  <c r="K1518" i="3"/>
  <c r="AF998" i="3"/>
  <c r="K1073" i="3"/>
  <c r="AF1150" i="3"/>
  <c r="K1284" i="3"/>
  <c r="K1350" i="3"/>
  <c r="K1533" i="3"/>
  <c r="K963" i="3"/>
  <c r="AF417" i="3"/>
  <c r="AF433" i="3"/>
  <c r="K450" i="3"/>
  <c r="K466" i="3"/>
  <c r="K517" i="3"/>
  <c r="K533" i="3"/>
  <c r="K565" i="3"/>
  <c r="K591" i="3"/>
  <c r="K630" i="3"/>
  <c r="K646" i="3"/>
  <c r="AF683" i="3"/>
  <c r="K732" i="3"/>
  <c r="K748" i="3"/>
  <c r="K766" i="3"/>
  <c r="K784" i="3"/>
  <c r="AF802" i="3"/>
  <c r="K913" i="3"/>
  <c r="K932" i="3"/>
  <c r="AF948" i="3"/>
  <c r="AF980" i="3"/>
  <c r="K666" i="3"/>
  <c r="K682" i="3"/>
  <c r="K754" i="3"/>
  <c r="K874" i="3"/>
  <c r="K939" i="3"/>
  <c r="K1219" i="3"/>
  <c r="AF1419" i="3"/>
  <c r="K1526" i="3"/>
  <c r="K1077" i="3"/>
  <c r="AF1154" i="3"/>
  <c r="K1289" i="3"/>
  <c r="K1354" i="3"/>
  <c r="K1559" i="3"/>
  <c r="AF473" i="3"/>
  <c r="K490" i="3"/>
  <c r="K506" i="3"/>
  <c r="K522" i="3"/>
  <c r="K538" i="3"/>
  <c r="K554" i="3"/>
  <c r="K596" i="3"/>
  <c r="K651" i="3"/>
  <c r="K704" i="3"/>
  <c r="K737" i="3"/>
  <c r="K790" i="3"/>
  <c r="K885" i="3"/>
  <c r="K901" i="3"/>
  <c r="AF937" i="3"/>
  <c r="K997" i="3"/>
  <c r="K619" i="3"/>
  <c r="AF703" i="3"/>
  <c r="K721" i="3"/>
  <c r="K894" i="3"/>
  <c r="K964" i="3"/>
  <c r="K1239" i="3"/>
  <c r="AF1375" i="3"/>
  <c r="AF1103" i="3"/>
  <c r="K1174" i="3"/>
  <c r="K1378" i="3"/>
  <c r="K753" i="3"/>
  <c r="K781" i="3"/>
  <c r="K843" i="3"/>
  <c r="K928" i="3"/>
  <c r="AF1018" i="3"/>
  <c r="AF1051" i="3"/>
  <c r="AF1102" i="3"/>
  <c r="K1155" i="3"/>
  <c r="K1208" i="3"/>
  <c r="K1256" i="3"/>
  <c r="AF1307" i="3"/>
  <c r="K1326" i="3"/>
  <c r="K1424" i="3"/>
  <c r="AF1442" i="3"/>
  <c r="K1459" i="3"/>
  <c r="K1506" i="3"/>
  <c r="K1027" i="3"/>
  <c r="AF1044" i="3"/>
  <c r="AF1065" i="3"/>
  <c r="K1123" i="3"/>
  <c r="AF1142" i="3"/>
  <c r="K1175" i="3"/>
  <c r="AF1226" i="3"/>
  <c r="AF1243" i="3"/>
  <c r="AF1259" i="3"/>
  <c r="AF1275" i="3"/>
  <c r="K1327" i="3"/>
  <c r="AF1360" i="3"/>
  <c r="K1397" i="3"/>
  <c r="K1414" i="3"/>
  <c r="K1481" i="3"/>
  <c r="K1028" i="3"/>
  <c r="AF1080" i="3"/>
  <c r="K1165" i="3"/>
  <c r="AF1184" i="3"/>
  <c r="AF1201" i="3"/>
  <c r="K1217" i="3"/>
  <c r="K1233" i="3"/>
  <c r="AF1322" i="3"/>
  <c r="AF1357" i="3"/>
  <c r="AF1373" i="3"/>
  <c r="AF1389" i="3"/>
  <c r="K1406" i="3"/>
  <c r="AF1541" i="3"/>
  <c r="K1062" i="3"/>
  <c r="K1179" i="3"/>
  <c r="K1849" i="3"/>
  <c r="K715" i="3"/>
  <c r="K762" i="3"/>
  <c r="K835" i="3"/>
  <c r="K920" i="3"/>
  <c r="AF943" i="3"/>
  <c r="K104" i="3"/>
  <c r="AF163" i="3"/>
  <c r="K187" i="3"/>
  <c r="K225" i="3"/>
  <c r="K264" i="3"/>
  <c r="K315" i="3"/>
  <c r="AF350" i="3"/>
  <c r="AF61" i="3"/>
  <c r="K77" i="3"/>
  <c r="K128" i="3"/>
  <c r="K244" i="3"/>
  <c r="AF319" i="3"/>
  <c r="K381" i="3"/>
  <c r="K416" i="3"/>
  <c r="K542" i="3"/>
  <c r="AF16" i="3"/>
  <c r="AF19" i="3"/>
  <c r="K53" i="3"/>
  <c r="AF69" i="3"/>
  <c r="K123" i="3"/>
  <c r="AF178" i="3"/>
  <c r="K196" i="3"/>
  <c r="AF248" i="3"/>
  <c r="AF264" i="3"/>
  <c r="AF281" i="3"/>
  <c r="AF297" i="3"/>
  <c r="K371" i="3"/>
  <c r="K403" i="3"/>
  <c r="K475" i="3"/>
  <c r="K507" i="3"/>
  <c r="AF411" i="3"/>
  <c r="K429" i="3"/>
  <c r="AF466" i="3"/>
  <c r="K484" i="3"/>
  <c r="K500" i="3"/>
  <c r="K636" i="3"/>
  <c r="K706" i="3"/>
  <c r="K755" i="3"/>
  <c r="K944" i="3"/>
  <c r="K418" i="3"/>
  <c r="K434" i="3"/>
  <c r="AF452" i="3"/>
  <c r="K468" i="3"/>
  <c r="AF487" i="3"/>
  <c r="AF503" i="3"/>
  <c r="K583" i="3"/>
  <c r="K615" i="3"/>
  <c r="K672" i="3"/>
  <c r="K688" i="3"/>
  <c r="AF729" i="3"/>
  <c r="K824" i="3"/>
  <c r="K840" i="3"/>
  <c r="K859" i="3"/>
  <c r="K876" i="3"/>
  <c r="K892" i="3"/>
  <c r="K908" i="3"/>
  <c r="AF929" i="3"/>
  <c r="K427" i="3"/>
  <c r="AF460" i="3"/>
  <c r="AF479" i="3"/>
  <c r="K511" i="3"/>
  <c r="K527" i="3"/>
  <c r="AF543" i="3"/>
  <c r="K559" i="3"/>
  <c r="K640" i="3"/>
  <c r="K656" i="3"/>
  <c r="K677" i="3"/>
  <c r="K742" i="3"/>
  <c r="K795" i="3"/>
  <c r="AF907" i="3"/>
  <c r="K942" i="3"/>
  <c r="K624" i="3"/>
  <c r="AF676" i="3"/>
  <c r="K726" i="3"/>
  <c r="K779" i="3"/>
  <c r="AF846" i="3"/>
  <c r="K986" i="3"/>
  <c r="K1329" i="3"/>
  <c r="K1127" i="3"/>
  <c r="K1196" i="3"/>
  <c r="K1330" i="3"/>
  <c r="K1401" i="3"/>
  <c r="AF1487" i="3"/>
  <c r="K1050" i="3"/>
  <c r="AF453" i="3"/>
  <c r="K470" i="3"/>
  <c r="AF488" i="3"/>
  <c r="AF504" i="3"/>
  <c r="K520" i="3"/>
  <c r="K536" i="3"/>
  <c r="K552" i="3"/>
  <c r="K594" i="3"/>
  <c r="K649" i="3"/>
  <c r="AF702" i="3"/>
  <c r="K735" i="3"/>
  <c r="K788" i="3"/>
  <c r="K847" i="3"/>
  <c r="AF883" i="3"/>
  <c r="AF899" i="3"/>
  <c r="K917" i="3"/>
  <c r="K935" i="3"/>
  <c r="K951" i="3"/>
  <c r="AF986" i="3"/>
  <c r="AF588" i="3"/>
  <c r="K617" i="3"/>
  <c r="K701" i="3"/>
  <c r="K717" i="3"/>
  <c r="AF813" i="3"/>
  <c r="K886" i="3"/>
  <c r="K1025" i="3"/>
  <c r="AF1091" i="3"/>
  <c r="K1163" i="3"/>
  <c r="K1231" i="3"/>
  <c r="AF1298" i="3"/>
  <c r="K1431" i="3"/>
  <c r="K1094" i="3"/>
  <c r="K1301" i="3"/>
  <c r="K1439" i="3"/>
  <c r="K1018" i="3"/>
  <c r="K973" i="3"/>
  <c r="AF421" i="3"/>
  <c r="AF437" i="3"/>
  <c r="K454" i="3"/>
  <c r="K471" i="3"/>
  <c r="K521" i="3"/>
  <c r="K537" i="3"/>
  <c r="K553" i="3"/>
  <c r="K595" i="3"/>
  <c r="K634" i="3"/>
  <c r="K650" i="3"/>
  <c r="AF687" i="3"/>
  <c r="K736" i="3"/>
  <c r="K789" i="3"/>
  <c r="AF806" i="3"/>
  <c r="K827" i="3"/>
  <c r="K868" i="3"/>
  <c r="AF919" i="3"/>
  <c r="K618" i="3"/>
  <c r="K670" i="3"/>
  <c r="K686" i="3"/>
  <c r="AF720" i="3"/>
  <c r="K890" i="3"/>
  <c r="AF1169" i="3"/>
  <c r="K1235" i="3"/>
  <c r="K1374" i="3"/>
  <c r="AF1443" i="3"/>
  <c r="AF1022" i="3"/>
  <c r="AF995" i="3"/>
  <c r="K494" i="3"/>
  <c r="K510" i="3"/>
  <c r="K526" i="3"/>
  <c r="K558" i="3"/>
  <c r="K639" i="3"/>
  <c r="K655" i="3"/>
  <c r="K692" i="3"/>
  <c r="K708" i="3"/>
  <c r="K741" i="3"/>
  <c r="K794" i="3"/>
  <c r="K811" i="3"/>
  <c r="K873" i="3"/>
  <c r="K889" i="3"/>
  <c r="AF962" i="3"/>
  <c r="K623" i="3"/>
  <c r="AF707" i="3"/>
  <c r="K725" i="3"/>
  <c r="K778" i="3"/>
  <c r="AF842" i="3"/>
  <c r="AF982" i="3"/>
  <c r="K1049" i="3"/>
  <c r="K1119" i="3"/>
  <c r="AF1191" i="3"/>
  <c r="K1325" i="3"/>
  <c r="K1458" i="3"/>
  <c r="AF1192" i="3"/>
  <c r="K1396" i="3"/>
  <c r="K1479" i="3"/>
  <c r="K866" i="3"/>
  <c r="AF988" i="3"/>
  <c r="K1005" i="3"/>
  <c r="K1022" i="3"/>
  <c r="AF1055" i="3"/>
  <c r="K1159" i="3"/>
  <c r="K1244" i="3"/>
  <c r="K1260" i="3"/>
  <c r="AF1279" i="3"/>
  <c r="K1311" i="3"/>
  <c r="AF1363" i="3"/>
  <c r="K1428" i="3"/>
  <c r="K1471" i="3"/>
  <c r="K976" i="3"/>
  <c r="K1031" i="3"/>
  <c r="K1070" i="3"/>
  <c r="K1128" i="3"/>
  <c r="K1197" i="3"/>
  <c r="AF1214" i="3"/>
  <c r="AF1230" i="3"/>
  <c r="AF1263" i="3"/>
  <c r="K1331" i="3"/>
  <c r="AF1364" i="3"/>
  <c r="K1402" i="3"/>
  <c r="K1436" i="3"/>
  <c r="AF1526" i="3"/>
  <c r="K1032" i="3"/>
  <c r="K1051" i="3"/>
  <c r="K1101" i="3"/>
  <c r="AF1135" i="3"/>
  <c r="K1152" i="3"/>
  <c r="AF1171" i="3"/>
  <c r="AF1188" i="3"/>
  <c r="AF1205" i="3"/>
  <c r="K1221" i="3"/>
  <c r="K1237" i="3"/>
  <c r="K1273" i="3"/>
  <c r="AF1305" i="3"/>
  <c r="AF1361" i="3"/>
  <c r="AF1377" i="3"/>
  <c r="K1013" i="3"/>
  <c r="K1085" i="3"/>
  <c r="K2020" i="3"/>
  <c r="K703" i="3"/>
  <c r="K720" i="3"/>
  <c r="AF805" i="3"/>
  <c r="K823" i="3"/>
  <c r="K839" i="3"/>
  <c r="K926" i="3"/>
  <c r="K108" i="3"/>
  <c r="K167" i="3"/>
  <c r="K193" i="3"/>
  <c r="K268" i="3"/>
  <c r="K412" i="3"/>
  <c r="AF480" i="3"/>
  <c r="AF14" i="3"/>
  <c r="AF47" i="3"/>
  <c r="AF65" i="3"/>
  <c r="K160" i="3"/>
  <c r="K214" i="3"/>
  <c r="K284" i="3"/>
  <c r="K303" i="3"/>
  <c r="K323" i="3"/>
  <c r="AF342" i="3"/>
  <c r="AF361" i="3"/>
  <c r="K390" i="3"/>
  <c r="K424" i="3"/>
  <c r="AF17" i="3"/>
  <c r="K20" i="3"/>
  <c r="AF23" i="3"/>
  <c r="K39" i="3"/>
  <c r="K111" i="3"/>
  <c r="K143" i="3"/>
  <c r="K163" i="3"/>
  <c r="AF200" i="3"/>
  <c r="AF218" i="3"/>
  <c r="K236" i="3"/>
  <c r="AF268" i="3"/>
  <c r="AF320" i="3"/>
  <c r="AF410" i="3"/>
  <c r="K483" i="3"/>
  <c r="AF377" i="3"/>
  <c r="K417" i="3"/>
  <c r="K433" i="3"/>
  <c r="AF450" i="3"/>
  <c r="K472" i="3"/>
  <c r="K488" i="3"/>
  <c r="K504" i="3"/>
  <c r="K568" i="3"/>
  <c r="K660" i="3"/>
  <c r="K694" i="3"/>
  <c r="K710" i="3"/>
  <c r="AF811" i="3"/>
  <c r="AF861" i="3"/>
  <c r="K914" i="3"/>
  <c r="AF932" i="3"/>
  <c r="K948" i="3"/>
  <c r="AF373" i="3"/>
  <c r="K389" i="3"/>
  <c r="K422" i="3"/>
  <c r="K438" i="3"/>
  <c r="AF491" i="3"/>
  <c r="AF507" i="3"/>
  <c r="K587" i="3"/>
  <c r="K627" i="3"/>
  <c r="K676" i="3"/>
  <c r="K771" i="3"/>
  <c r="K812" i="3"/>
  <c r="AF828" i="3"/>
  <c r="K880" i="3"/>
  <c r="K896" i="3"/>
  <c r="K934" i="3"/>
  <c r="AF936" i="3"/>
  <c r="K959" i="3"/>
  <c r="K415" i="3"/>
  <c r="K431" i="3"/>
  <c r="AF448" i="3"/>
  <c r="K464" i="3"/>
  <c r="K515" i="3"/>
  <c r="K531" i="3"/>
  <c r="K547" i="3"/>
  <c r="K563" i="3"/>
  <c r="K589" i="3"/>
  <c r="K644" i="3"/>
  <c r="K681" i="3"/>
  <c r="K746" i="3"/>
  <c r="K764" i="3"/>
  <c r="K799" i="3"/>
  <c r="K820" i="3"/>
  <c r="K861" i="3"/>
  <c r="K911" i="3"/>
  <c r="AF930" i="3"/>
  <c r="K946" i="3"/>
  <c r="AF680" i="3"/>
  <c r="K751" i="3"/>
  <c r="AF931" i="3"/>
  <c r="K1345" i="3"/>
  <c r="AF1411" i="3"/>
  <c r="K1511" i="3"/>
  <c r="AF994" i="3"/>
  <c r="K1278" i="3"/>
  <c r="K1346" i="3"/>
  <c r="K1418" i="3"/>
  <c r="K945" i="3"/>
  <c r="AF492" i="3"/>
  <c r="AF508" i="3"/>
  <c r="K524" i="3"/>
  <c r="K540" i="3"/>
  <c r="K556" i="3"/>
  <c r="K637" i="3"/>
  <c r="K653" i="3"/>
  <c r="AF706" i="3"/>
  <c r="K739" i="3"/>
  <c r="K792" i="3"/>
  <c r="K853" i="3"/>
  <c r="AF871" i="3"/>
  <c r="AF887" i="3"/>
  <c r="K957" i="3"/>
  <c r="AF1005" i="3"/>
  <c r="K621" i="3"/>
  <c r="K705" i="3"/>
  <c r="K723" i="3"/>
  <c r="K775" i="3"/>
  <c r="K1041" i="3"/>
  <c r="K1110" i="3"/>
  <c r="K1247" i="3"/>
  <c r="AF1383" i="3"/>
  <c r="AF1250" i="3"/>
  <c r="K1386" i="3"/>
  <c r="AF1035" i="3"/>
  <c r="AF425" i="3"/>
  <c r="K458" i="3"/>
  <c r="K509" i="3"/>
  <c r="K525" i="3"/>
  <c r="K541" i="3"/>
  <c r="K557" i="3"/>
  <c r="K638" i="3"/>
  <c r="K654" i="3"/>
  <c r="AF675" i="3"/>
  <c r="AF691" i="3"/>
  <c r="K740" i="3"/>
  <c r="K793" i="3"/>
  <c r="K905" i="3"/>
  <c r="AF940" i="3"/>
  <c r="K622" i="3"/>
  <c r="K674" i="3"/>
  <c r="K690" i="3"/>
  <c r="K724" i="3"/>
  <c r="K776" i="3"/>
  <c r="K906" i="3"/>
  <c r="AF978" i="3"/>
  <c r="K1115" i="3"/>
  <c r="K1251" i="3"/>
  <c r="AF1320" i="3"/>
  <c r="AF1387" i="3"/>
  <c r="K1390" i="3"/>
  <c r="AF1471" i="3"/>
  <c r="AF1041" i="3"/>
  <c r="K414" i="3"/>
  <c r="K446" i="3"/>
  <c r="K463" i="3"/>
  <c r="K498" i="3"/>
  <c r="K514" i="3"/>
  <c r="K530" i="3"/>
  <c r="AF546" i="3"/>
  <c r="K562" i="3"/>
  <c r="K643" i="3"/>
  <c r="K664" i="3"/>
  <c r="K696" i="3"/>
  <c r="K712" i="3"/>
  <c r="K745" i="3"/>
  <c r="K798" i="3"/>
  <c r="K819" i="3"/>
  <c r="K860" i="3"/>
  <c r="K877" i="3"/>
  <c r="K893" i="3"/>
  <c r="K910" i="3"/>
  <c r="K631" i="3"/>
  <c r="AF695" i="3"/>
  <c r="AF711" i="3"/>
  <c r="K729" i="3"/>
  <c r="K750" i="3"/>
  <c r="AF1137" i="3"/>
  <c r="AF1274" i="3"/>
  <c r="K1341" i="3"/>
  <c r="K1407" i="3"/>
  <c r="K1503" i="3"/>
  <c r="AF989" i="3"/>
  <c r="K1140" i="3"/>
  <c r="K1209" i="3"/>
  <c r="K1342" i="3"/>
  <c r="K1413" i="3"/>
  <c r="K805" i="3"/>
  <c r="AF826" i="3"/>
  <c r="AF852" i="3"/>
  <c r="K936" i="3"/>
  <c r="K952" i="3"/>
  <c r="K1010" i="3"/>
  <c r="K1026" i="3"/>
  <c r="AF1060" i="3"/>
  <c r="K1146" i="3"/>
  <c r="AF1165" i="3"/>
  <c r="AF1182" i="3"/>
  <c r="K1264" i="3"/>
  <c r="AF1315" i="3"/>
  <c r="AF1368" i="3"/>
  <c r="K1487" i="3"/>
  <c r="K1519" i="3"/>
  <c r="K999" i="3"/>
  <c r="K1017" i="3"/>
  <c r="K1036" i="3"/>
  <c r="AF1052" i="3"/>
  <c r="K1074" i="3"/>
  <c r="AF1095" i="3"/>
  <c r="AF1114" i="3"/>
  <c r="AF1218" i="3"/>
  <c r="AF1234" i="3"/>
  <c r="AF1267" i="3"/>
  <c r="K1285" i="3"/>
  <c r="K1302" i="3"/>
  <c r="K1335" i="3"/>
  <c r="AF1423" i="3"/>
  <c r="K1466" i="3"/>
  <c r="K1496" i="3"/>
  <c r="K1534" i="3"/>
  <c r="K1019" i="3"/>
  <c r="K1055" i="3"/>
  <c r="K1225" i="3"/>
  <c r="K1241" i="3"/>
  <c r="AF1365" i="3"/>
  <c r="AF1381" i="3"/>
  <c r="K1504" i="3"/>
  <c r="K1029" i="3"/>
  <c r="K1701" i="3"/>
  <c r="AF1744" i="3"/>
  <c r="K707" i="3"/>
  <c r="K770" i="3"/>
  <c r="AF844" i="3"/>
  <c r="AF933" i="3"/>
  <c r="K93" i="3"/>
  <c r="K117" i="3"/>
  <c r="K154" i="3"/>
  <c r="K200" i="3"/>
  <c r="AF216" i="3"/>
  <c r="K234" i="3"/>
  <c r="K272" i="3"/>
  <c r="AF290" i="3"/>
  <c r="K358" i="3"/>
  <c r="AF388" i="3"/>
  <c r="K452" i="3"/>
  <c r="AF51" i="3"/>
  <c r="AF85" i="3"/>
  <c r="AF199" i="3"/>
  <c r="K254" i="3"/>
  <c r="K327" i="3"/>
  <c r="K369" i="3"/>
  <c r="K432" i="3"/>
  <c r="K22" i="3"/>
  <c r="AF27" i="3"/>
  <c r="K43" i="3"/>
  <c r="AF96" i="3"/>
  <c r="K115" i="3"/>
  <c r="K170" i="3"/>
  <c r="AF222" i="3"/>
  <c r="K240" i="3"/>
  <c r="K256" i="3"/>
  <c r="AF272" i="3"/>
  <c r="K324" i="3"/>
  <c r="AF357" i="3"/>
  <c r="K491" i="3"/>
  <c r="AF381" i="3"/>
  <c r="K421" i="3"/>
  <c r="K437" i="3"/>
  <c r="AF454" i="3"/>
  <c r="K492" i="3"/>
  <c r="K508" i="3"/>
  <c r="K572" i="3"/>
  <c r="K698" i="3"/>
  <c r="K714" i="3"/>
  <c r="K730" i="3"/>
  <c r="K782" i="3"/>
  <c r="K815" i="3"/>
  <c r="K832" i="3"/>
  <c r="AF865" i="3"/>
  <c r="K919" i="3"/>
  <c r="AF393" i="3"/>
  <c r="K410" i="3"/>
  <c r="K426" i="3"/>
  <c r="AF443" i="3"/>
  <c r="AF495" i="3"/>
  <c r="K607" i="3"/>
  <c r="AF631" i="3"/>
  <c r="K680" i="3"/>
  <c r="K759" i="3"/>
  <c r="K867" i="3"/>
  <c r="K884" i="3"/>
  <c r="K900" i="3"/>
  <c r="AF939" i="3"/>
  <c r="AF922" i="3"/>
  <c r="K969" i="3"/>
  <c r="K419" i="3"/>
  <c r="K435" i="3"/>
  <c r="K469" i="3"/>
  <c r="K519" i="3"/>
  <c r="K535" i="3"/>
  <c r="K551" i="3"/>
  <c r="K593" i="3"/>
  <c r="AF632" i="3"/>
  <c r="K648" i="3"/>
  <c r="K669" i="3"/>
  <c r="K685" i="3"/>
  <c r="K734" i="3"/>
  <c r="K787" i="3"/>
  <c r="K804" i="3"/>
  <c r="K916" i="3"/>
  <c r="K950" i="3"/>
  <c r="AF684" i="3"/>
  <c r="K716" i="3"/>
  <c r="AF812" i="3"/>
  <c r="K882" i="3"/>
  <c r="K947" i="3"/>
  <c r="K1227" i="3"/>
  <c r="AF1294" i="3"/>
  <c r="K1011" i="3"/>
  <c r="K1090" i="3"/>
  <c r="K1297" i="3"/>
  <c r="AF1435" i="3"/>
  <c r="K949" i="3"/>
  <c r="K1006" i="3"/>
  <c r="AF444" i="3"/>
  <c r="AF496" i="3"/>
  <c r="K512" i="3"/>
  <c r="K528" i="3"/>
  <c r="K560" i="3"/>
  <c r="K641" i="3"/>
  <c r="K657" i="3"/>
  <c r="AF694" i="3"/>
  <c r="AF710" i="3"/>
  <c r="K743" i="3"/>
  <c r="K796" i="3"/>
  <c r="AF875" i="3"/>
  <c r="AF891" i="3"/>
  <c r="K927" i="3"/>
  <c r="AF629" i="3"/>
  <c r="K693" i="3"/>
  <c r="K709" i="3"/>
  <c r="K727" i="3"/>
  <c r="K780" i="3"/>
  <c r="K1058" i="3"/>
  <c r="AF1199" i="3"/>
  <c r="AF979" i="3"/>
  <c r="K1132" i="3"/>
  <c r="AF1200" i="3"/>
  <c r="K1334" i="3"/>
  <c r="K1405" i="3"/>
  <c r="K1495" i="3"/>
  <c r="K413" i="3"/>
  <c r="AF429" i="3"/>
  <c r="K462" i="3"/>
  <c r="K481" i="3"/>
  <c r="K513" i="3"/>
  <c r="K529" i="3"/>
  <c r="K545" i="3"/>
  <c r="K561" i="3"/>
  <c r="K642" i="3"/>
  <c r="K663" i="3"/>
  <c r="AF679" i="3"/>
  <c r="K744" i="3"/>
  <c r="K797" i="3"/>
  <c r="AF818" i="3"/>
  <c r="K909" i="3"/>
  <c r="AF944" i="3"/>
  <c r="K967" i="3"/>
  <c r="K678" i="3"/>
  <c r="K728" i="3"/>
  <c r="AF856" i="3"/>
  <c r="K922" i="3"/>
  <c r="K995" i="3"/>
  <c r="AF1133" i="3"/>
  <c r="AF1493" i="3"/>
  <c r="K1136" i="3"/>
  <c r="K1270" i="3"/>
  <c r="K1338" i="3"/>
  <c r="K1409" i="3"/>
  <c r="K1501" i="3"/>
  <c r="AF1058" i="3"/>
  <c r="K486" i="3"/>
  <c r="K502" i="3"/>
  <c r="K518" i="3"/>
  <c r="K534" i="3"/>
  <c r="K566" i="3"/>
  <c r="K592" i="3"/>
  <c r="K647" i="3"/>
  <c r="K700" i="3"/>
  <c r="K733" i="3"/>
  <c r="K767" i="3"/>
  <c r="K785" i="3"/>
  <c r="K803" i="3"/>
  <c r="K865" i="3"/>
  <c r="K881" i="3"/>
  <c r="K897" i="3"/>
  <c r="AF915" i="3"/>
  <c r="K982" i="3"/>
  <c r="K635" i="3"/>
  <c r="AF699" i="3"/>
  <c r="AF715" i="3"/>
  <c r="K878" i="3"/>
  <c r="K943" i="3"/>
  <c r="K1223" i="3"/>
  <c r="AF1290" i="3"/>
  <c r="K1357" i="3"/>
  <c r="K1081" i="3"/>
  <c r="AF1158" i="3"/>
  <c r="K1293" i="3"/>
  <c r="K1576" i="3"/>
  <c r="K749" i="3"/>
  <c r="K777" i="3"/>
  <c r="K809" i="3"/>
  <c r="K857" i="3"/>
  <c r="AF923" i="3"/>
  <c r="AF956" i="3"/>
  <c r="AF997" i="3"/>
  <c r="K1030" i="3"/>
  <c r="K1080" i="3"/>
  <c r="K1170" i="3"/>
  <c r="K1252" i="3"/>
  <c r="K1268" i="3"/>
  <c r="AF1303" i="3"/>
  <c r="K1321" i="3"/>
  <c r="K1420" i="3"/>
  <c r="AF1497" i="3"/>
  <c r="K965" i="3"/>
  <c r="AF1004" i="3"/>
  <c r="K1023" i="3"/>
  <c r="AF1057" i="3"/>
  <c r="K1100" i="3"/>
  <c r="AF1118" i="3"/>
  <c r="AF1222" i="3"/>
  <c r="AF1238" i="3"/>
  <c r="AF1255" i="3"/>
  <c r="K1306" i="3"/>
  <c r="AF1393" i="3"/>
  <c r="K1410" i="3"/>
  <c r="AF1427" i="3"/>
  <c r="K1561" i="3"/>
  <c r="K1059" i="3"/>
  <c r="K1160" i="3"/>
  <c r="K1213" i="3"/>
  <c r="K1229" i="3"/>
  <c r="AF1317" i="3"/>
  <c r="AF1385" i="3"/>
  <c r="K1521" i="3"/>
  <c r="AF1046" i="3"/>
  <c r="K1121" i="3"/>
  <c r="AF1782" i="3"/>
  <c r="K2089" i="3"/>
  <c r="K1141" i="3"/>
  <c r="K1281" i="3"/>
  <c r="K1434" i="3"/>
  <c r="K1580" i="3"/>
  <c r="K1682" i="3"/>
  <c r="K1747" i="3"/>
  <c r="K1890" i="3"/>
  <c r="AF1964" i="3"/>
  <c r="K1572" i="3"/>
  <c r="K1880" i="3"/>
  <c r="K2230" i="3"/>
  <c r="AQ13" i="4"/>
  <c r="R63" i="4"/>
  <c r="N611" i="4"/>
  <c r="K844" i="3"/>
  <c r="AF880" i="3"/>
  <c r="AF896" i="3"/>
  <c r="K929" i="3"/>
  <c r="AF945" i="3"/>
  <c r="AF1019" i="3"/>
  <c r="K1035" i="3"/>
  <c r="K1069" i="3"/>
  <c r="K1122" i="3"/>
  <c r="K1193" i="3"/>
  <c r="AF1225" i="3"/>
  <c r="AF1241" i="3"/>
  <c r="K1276" i="3"/>
  <c r="K1292" i="3"/>
  <c r="AF1343" i="3"/>
  <c r="K1377" i="3"/>
  <c r="K1507" i="3"/>
  <c r="AF1545" i="3"/>
  <c r="K972" i="3"/>
  <c r="K991" i="3"/>
  <c r="AF1009" i="3"/>
  <c r="K1045" i="3"/>
  <c r="AF1088" i="3"/>
  <c r="K1105" i="3"/>
  <c r="K1143" i="3"/>
  <c r="K1176" i="3"/>
  <c r="AF1211" i="3"/>
  <c r="AF1295" i="3"/>
  <c r="AF1344" i="3"/>
  <c r="AF1380" i="3"/>
  <c r="AF1399" i="3"/>
  <c r="AF1416" i="3"/>
  <c r="K1432" i="3"/>
  <c r="K1482" i="3"/>
  <c r="AF1518" i="3"/>
  <c r="K1047" i="3"/>
  <c r="K1097" i="3"/>
  <c r="AF1115" i="3"/>
  <c r="AF1167" i="3"/>
  <c r="K1254" i="3"/>
  <c r="K1323" i="3"/>
  <c r="AF1341" i="3"/>
  <c r="K1358" i="3"/>
  <c r="K1433" i="3"/>
  <c r="K1465" i="3"/>
  <c r="K1551" i="3"/>
  <c r="K1001" i="3"/>
  <c r="K1287" i="3"/>
  <c r="K1686" i="3"/>
  <c r="K1751" i="3"/>
  <c r="K1817" i="3"/>
  <c r="K1585" i="3"/>
  <c r="AF1821" i="3"/>
  <c r="K1895" i="3"/>
  <c r="AF1969" i="3"/>
  <c r="K1904" i="3"/>
  <c r="AF2246" i="3"/>
  <c r="AF2225" i="3"/>
  <c r="R46" i="4"/>
  <c r="K869" i="3"/>
  <c r="AF934" i="3"/>
  <c r="AF950" i="3"/>
  <c r="K971" i="3"/>
  <c r="K990" i="3"/>
  <c r="K1008" i="3"/>
  <c r="AF1024" i="3"/>
  <c r="K1040" i="3"/>
  <c r="K1162" i="3"/>
  <c r="K1180" i="3"/>
  <c r="K1246" i="3"/>
  <c r="AF1262" i="3"/>
  <c r="K1313" i="3"/>
  <c r="K1365" i="3"/>
  <c r="K1430" i="3"/>
  <c r="K1448" i="3"/>
  <c r="AF1015" i="3"/>
  <c r="AF1034" i="3"/>
  <c r="K1072" i="3"/>
  <c r="K1111" i="3"/>
  <c r="K1131" i="3"/>
  <c r="K1148" i="3"/>
  <c r="K1216" i="3"/>
  <c r="K1232" i="3"/>
  <c r="K1265" i="3"/>
  <c r="K1283" i="3"/>
  <c r="K1333" i="3"/>
  <c r="K1366" i="3"/>
  <c r="K1404" i="3"/>
  <c r="K1421" i="3"/>
  <c r="K1438" i="3"/>
  <c r="K1463" i="3"/>
  <c r="AF1053" i="3"/>
  <c r="K1120" i="3"/>
  <c r="K1137" i="3"/>
  <c r="K1190" i="3"/>
  <c r="AF1223" i="3"/>
  <c r="AF1239" i="3"/>
  <c r="K1307" i="3"/>
  <c r="K1363" i="3"/>
  <c r="K1379" i="3"/>
  <c r="K1442" i="3"/>
  <c r="K1021" i="3"/>
  <c r="AF1094" i="3"/>
  <c r="K1308" i="3"/>
  <c r="AF1626" i="3"/>
  <c r="K1771" i="3"/>
  <c r="AF1840" i="3"/>
  <c r="K1910" i="3"/>
  <c r="K1982" i="3"/>
  <c r="K1617" i="3"/>
  <c r="K1920" i="3"/>
  <c r="K1992" i="3"/>
  <c r="K1700" i="3"/>
  <c r="K2017" i="3"/>
  <c r="AQ171" i="4"/>
  <c r="P97" i="4"/>
  <c r="AF1104" i="3"/>
  <c r="AF1155" i="3"/>
  <c r="K1191" i="3"/>
  <c r="AF1208" i="3"/>
  <c r="AF1260" i="3"/>
  <c r="AF1276" i="3"/>
  <c r="AF1292" i="3"/>
  <c r="K1347" i="3"/>
  <c r="AF1444" i="3"/>
  <c r="K1243" i="3"/>
  <c r="K1631" i="3"/>
  <c r="K1775" i="3"/>
  <c r="AF1623" i="3"/>
  <c r="AF1692" i="3"/>
  <c r="AF1778" i="3"/>
  <c r="K1850" i="3"/>
  <c r="K1723" i="3"/>
  <c r="AF2106" i="3"/>
  <c r="AF2099" i="3"/>
  <c r="R230" i="4"/>
  <c r="AF1424" i="3"/>
  <c r="K1460" i="3"/>
  <c r="AF1495" i="3"/>
  <c r="K1584" i="3"/>
  <c r="K958" i="3"/>
  <c r="K993" i="3"/>
  <c r="AF1042" i="3"/>
  <c r="K1118" i="3"/>
  <c r="K1192" i="3"/>
  <c r="AF1212" i="3"/>
  <c r="AF1228" i="3"/>
  <c r="AF1278" i="3"/>
  <c r="AF1354" i="3"/>
  <c r="K1370" i="3"/>
  <c r="AF1386" i="3"/>
  <c r="K1412" i="3"/>
  <c r="K1450" i="3"/>
  <c r="K1468" i="3"/>
  <c r="AF1504" i="3"/>
  <c r="K1632" i="3"/>
  <c r="K1679" i="3"/>
  <c r="K1727" i="3"/>
  <c r="K1794" i="3"/>
  <c r="K1810" i="3"/>
  <c r="K1864" i="3"/>
  <c r="K1882" i="3"/>
  <c r="K1936" i="3"/>
  <c r="K1488" i="3"/>
  <c r="K1555" i="3"/>
  <c r="K1577" i="3"/>
  <c r="K1596" i="3"/>
  <c r="K1624" i="3"/>
  <c r="AF1660" i="3"/>
  <c r="K1693" i="3"/>
  <c r="AF1746" i="3"/>
  <c r="AF1762" i="3"/>
  <c r="K1779" i="3"/>
  <c r="K1796" i="3"/>
  <c r="AF1813" i="3"/>
  <c r="AF1833" i="3"/>
  <c r="K1886" i="3"/>
  <c r="K1906" i="3"/>
  <c r="AF1926" i="3"/>
  <c r="K1944" i="3"/>
  <c r="K1960" i="3"/>
  <c r="K1633" i="3"/>
  <c r="K2008" i="3"/>
  <c r="AF1488" i="3"/>
  <c r="K1558" i="3"/>
  <c r="K1642" i="3"/>
  <c r="K1968" i="3"/>
  <c r="K2077" i="3"/>
  <c r="K2144" i="3"/>
  <c r="AF2218" i="3"/>
  <c r="N10" i="4"/>
  <c r="AF2195" i="3"/>
  <c r="AQ38" i="4"/>
  <c r="AF2110" i="3"/>
  <c r="K2275" i="3"/>
  <c r="K2027" i="3"/>
  <c r="AF2103" i="3"/>
  <c r="K2179" i="3"/>
  <c r="AQ12" i="4"/>
  <c r="P112" i="4"/>
  <c r="R259" i="4"/>
  <c r="P184" i="4"/>
  <c r="N425" i="4"/>
  <c r="K955" i="3"/>
  <c r="AF1023" i="3"/>
  <c r="K1056" i="3"/>
  <c r="K1079" i="3"/>
  <c r="K1134" i="3"/>
  <c r="AF1209" i="3"/>
  <c r="AF1257" i="3"/>
  <c r="AF1293" i="3"/>
  <c r="AF1350" i="3"/>
  <c r="K1447" i="3"/>
  <c r="AF1463" i="3"/>
  <c r="K1494" i="3"/>
  <c r="K1628" i="3"/>
  <c r="K1670" i="3"/>
  <c r="AF1757" i="3"/>
  <c r="AF1773" i="3"/>
  <c r="K1791" i="3"/>
  <c r="K1158" i="3"/>
  <c r="K1299" i="3"/>
  <c r="K1453" i="3"/>
  <c r="K1763" i="3"/>
  <c r="AF1972" i="3"/>
  <c r="K1599" i="3"/>
  <c r="R31" i="4"/>
  <c r="AQ71" i="4"/>
  <c r="AF2039" i="3"/>
  <c r="P208" i="4"/>
  <c r="K848" i="3"/>
  <c r="AF884" i="3"/>
  <c r="AF900" i="3"/>
  <c r="K933" i="3"/>
  <c r="AF949" i="3"/>
  <c r="K1007" i="3"/>
  <c r="AF1007" i="3"/>
  <c r="K1039" i="3"/>
  <c r="K1107" i="3"/>
  <c r="AF1161" i="3"/>
  <c r="AF1213" i="3"/>
  <c r="AF1229" i="3"/>
  <c r="K1245" i="3"/>
  <c r="K1296" i="3"/>
  <c r="K1312" i="3"/>
  <c r="AF1347" i="3"/>
  <c r="K1381" i="3"/>
  <c r="K1429" i="3"/>
  <c r="K1472" i="3"/>
  <c r="AF1014" i="3"/>
  <c r="K1071" i="3"/>
  <c r="AF1092" i="3"/>
  <c r="AF1130" i="3"/>
  <c r="K1181" i="3"/>
  <c r="K1198" i="3"/>
  <c r="K1248" i="3"/>
  <c r="AF1282" i="3"/>
  <c r="AF1299" i="3"/>
  <c r="K1332" i="3"/>
  <c r="AF1348" i="3"/>
  <c r="AF1384" i="3"/>
  <c r="K1403" i="3"/>
  <c r="K1437" i="3"/>
  <c r="K1529" i="3"/>
  <c r="AF1016" i="3"/>
  <c r="K1102" i="3"/>
  <c r="AF1119" i="3"/>
  <c r="K1153" i="3"/>
  <c r="K1189" i="3"/>
  <c r="K1206" i="3"/>
  <c r="K1258" i="3"/>
  <c r="K1274" i="3"/>
  <c r="K1290" i="3"/>
  <c r="K1328" i="3"/>
  <c r="AF1345" i="3"/>
  <c r="K1440" i="3"/>
  <c r="K1489" i="3"/>
  <c r="AF1017" i="3"/>
  <c r="AF1090" i="3"/>
  <c r="K1304" i="3"/>
  <c r="K1457" i="3"/>
  <c r="K1767" i="3"/>
  <c r="K1905" i="3"/>
  <c r="K1603" i="3"/>
  <c r="AF1841" i="3"/>
  <c r="K1988" i="3"/>
  <c r="AF1539" i="3"/>
  <c r="AF1670" i="3"/>
  <c r="N67" i="4"/>
  <c r="R213" i="4"/>
  <c r="P18" i="4"/>
  <c r="K828" i="3"/>
  <c r="K854" i="3"/>
  <c r="AF1012" i="3"/>
  <c r="AF1028" i="3"/>
  <c r="AF1078" i="3"/>
  <c r="K1167" i="3"/>
  <c r="K1184" i="3"/>
  <c r="AF1266" i="3"/>
  <c r="K1317" i="3"/>
  <c r="K1523" i="3"/>
  <c r="AF1579" i="3"/>
  <c r="AF1002" i="3"/>
  <c r="AF1021" i="3"/>
  <c r="AF1038" i="3"/>
  <c r="K1054" i="3"/>
  <c r="K1076" i="3"/>
  <c r="K1116" i="3"/>
  <c r="AF1187" i="3"/>
  <c r="AF1204" i="3"/>
  <c r="K1220" i="3"/>
  <c r="K1236" i="3"/>
  <c r="K1253" i="3"/>
  <c r="K1269" i="3"/>
  <c r="AF1304" i="3"/>
  <c r="K1337" i="3"/>
  <c r="K1353" i="3"/>
  <c r="K1408" i="3"/>
  <c r="K1425" i="3"/>
  <c r="K1470" i="3"/>
  <c r="AF1107" i="3"/>
  <c r="AF1227" i="3"/>
  <c r="K1279" i="3"/>
  <c r="K1367" i="3"/>
  <c r="K1383" i="3"/>
  <c r="K1512" i="3"/>
  <c r="K970" i="3"/>
  <c r="K1113" i="3"/>
  <c r="K1187" i="3"/>
  <c r="K1255" i="3"/>
  <c r="AF1405" i="3"/>
  <c r="AF1489" i="3"/>
  <c r="K1859" i="3"/>
  <c r="AF1550" i="3"/>
  <c r="K1710" i="3"/>
  <c r="K1939" i="3"/>
  <c r="AF2009" i="3"/>
  <c r="K1562" i="3"/>
  <c r="AF1763" i="3"/>
  <c r="AF1776" i="3"/>
  <c r="AF2101" i="3"/>
  <c r="K2149" i="3"/>
  <c r="P103" i="4"/>
  <c r="K1091" i="3"/>
  <c r="K1108" i="3"/>
  <c r="AF1159" i="3"/>
  <c r="AF1247" i="3"/>
  <c r="AF1264" i="3"/>
  <c r="AF1296" i="3"/>
  <c r="K1315" i="3"/>
  <c r="K1351" i="3"/>
  <c r="K1368" i="3"/>
  <c r="K1422" i="3"/>
  <c r="K1259" i="3"/>
  <c r="K1726" i="3"/>
  <c r="K1793" i="3"/>
  <c r="K1935" i="3"/>
  <c r="AF1554" i="3"/>
  <c r="K1943" i="3"/>
  <c r="AF1484" i="3"/>
  <c r="AF2139" i="3"/>
  <c r="K2119" i="3"/>
  <c r="AF2176" i="3"/>
  <c r="K2175" i="3"/>
  <c r="P168" i="4"/>
  <c r="AF1431" i="3"/>
  <c r="K1505" i="3"/>
  <c r="AF981" i="3"/>
  <c r="K1014" i="3"/>
  <c r="K1063" i="3"/>
  <c r="K1086" i="3"/>
  <c r="AF1105" i="3"/>
  <c r="K1142" i="3"/>
  <c r="K1200" i="3"/>
  <c r="AF1216" i="3"/>
  <c r="AF1232" i="3"/>
  <c r="AF1248" i="3"/>
  <c r="K1282" i="3"/>
  <c r="AF1374" i="3"/>
  <c r="AF1390" i="3"/>
  <c r="AF1418" i="3"/>
  <c r="K1435" i="3"/>
  <c r="K1454" i="3"/>
  <c r="K1476" i="3"/>
  <c r="K1661" i="3"/>
  <c r="K1683" i="3"/>
  <c r="AF1781" i="3"/>
  <c r="K1798" i="3"/>
  <c r="K1814" i="3"/>
  <c r="K1868" i="3"/>
  <c r="AF1924" i="3"/>
  <c r="K1973" i="3"/>
  <c r="K1991" i="3"/>
  <c r="K2010" i="3"/>
  <c r="K1492" i="3"/>
  <c r="K1525" i="3"/>
  <c r="K1581" i="3"/>
  <c r="K1600" i="3"/>
  <c r="K1644" i="3"/>
  <c r="K1702" i="3"/>
  <c r="K1731" i="3"/>
  <c r="AF1750" i="3"/>
  <c r="AF1766" i="3"/>
  <c r="K1783" i="3"/>
  <c r="K1800" i="3"/>
  <c r="K1891" i="3"/>
  <c r="K1930" i="3"/>
  <c r="K1948" i="3"/>
  <c r="K1965" i="3"/>
  <c r="K1984" i="3"/>
  <c r="K1536" i="3"/>
  <c r="K1553" i="3"/>
  <c r="K1589" i="3"/>
  <c r="K2024" i="3"/>
  <c r="AF1748" i="3"/>
  <c r="AF1815" i="3"/>
  <c r="K1888" i="3"/>
  <c r="K1985" i="3"/>
  <c r="AF2234" i="3"/>
  <c r="R38" i="4"/>
  <c r="K2073" i="3"/>
  <c r="R89" i="4"/>
  <c r="AF2126" i="3"/>
  <c r="AF2196" i="3"/>
  <c r="P21" i="4"/>
  <c r="AF2043" i="3"/>
  <c r="K2121" i="3"/>
  <c r="K2195" i="3"/>
  <c r="N93" i="4"/>
  <c r="N239" i="4"/>
  <c r="P185" i="4"/>
  <c r="AQ258" i="4"/>
  <c r="R727" i="4"/>
  <c r="K1587" i="3"/>
  <c r="K994" i="3"/>
  <c r="AF1011" i="3"/>
  <c r="AF1027" i="3"/>
  <c r="K1083" i="3"/>
  <c r="K1138" i="3"/>
  <c r="AF1156" i="3"/>
  <c r="AF1177" i="3"/>
  <c r="AF1261" i="3"/>
  <c r="AF1297" i="3"/>
  <c r="AF1314" i="3"/>
  <c r="AF1338" i="3"/>
  <c r="K1371" i="3"/>
  <c r="AF1414" i="3"/>
  <c r="AF1432" i="3"/>
  <c r="K1451" i="3"/>
  <c r="AF1508" i="3"/>
  <c r="K1680" i="3"/>
  <c r="AF1729" i="3"/>
  <c r="AF1745" i="3"/>
  <c r="AF1761" i="3"/>
  <c r="K1795" i="3"/>
  <c r="K2069" i="3"/>
  <c r="AF2122" i="3"/>
  <c r="K2116" i="3"/>
  <c r="P154" i="4"/>
  <c r="AF872" i="3"/>
  <c r="AF888" i="3"/>
  <c r="AF904" i="3"/>
  <c r="AF920" i="3"/>
  <c r="K975" i="3"/>
  <c r="AF1043" i="3"/>
  <c r="K1093" i="3"/>
  <c r="K1147" i="3"/>
  <c r="K1166" i="3"/>
  <c r="K1183" i="3"/>
  <c r="K1201" i="3"/>
  <c r="AF1217" i="3"/>
  <c r="AF1233" i="3"/>
  <c r="AF1249" i="3"/>
  <c r="K1300" i="3"/>
  <c r="K1316" i="3"/>
  <c r="AF1351" i="3"/>
  <c r="K1385" i="3"/>
  <c r="AF1433" i="3"/>
  <c r="K1522" i="3"/>
  <c r="K981" i="3"/>
  <c r="K1000" i="3"/>
  <c r="K1075" i="3"/>
  <c r="K1096" i="3"/>
  <c r="AF1134" i="3"/>
  <c r="K1185" i="3"/>
  <c r="K1202" i="3"/>
  <c r="AF1287" i="3"/>
  <c r="K1336" i="3"/>
  <c r="AF1352" i="3"/>
  <c r="AF1372" i="3"/>
  <c r="AF1388" i="3"/>
  <c r="K1499" i="3"/>
  <c r="K1542" i="3"/>
  <c r="K1020" i="3"/>
  <c r="K1037" i="3"/>
  <c r="K1124" i="3"/>
  <c r="K1157" i="3"/>
  <c r="AF1194" i="3"/>
  <c r="K1210" i="3"/>
  <c r="K1262" i="3"/>
  <c r="K1294" i="3"/>
  <c r="AF1313" i="3"/>
  <c r="AF1349" i="3"/>
  <c r="K1419" i="3"/>
  <c r="AF1448" i="3"/>
  <c r="K1508" i="3"/>
  <c r="AF965" i="3"/>
  <c r="K1033" i="3"/>
  <c r="K1393" i="3"/>
  <c r="K1854" i="3"/>
  <c r="K1927" i="3"/>
  <c r="K1994" i="3"/>
  <c r="K1705" i="3"/>
  <c r="K2005" i="3"/>
  <c r="AF1747" i="3"/>
  <c r="AF1760" i="3"/>
  <c r="AF2141" i="3"/>
  <c r="K2133" i="3"/>
  <c r="N272" i="4"/>
  <c r="K961" i="3"/>
  <c r="K1016" i="3"/>
  <c r="AF1032" i="3"/>
  <c r="K1048" i="3"/>
  <c r="K1066" i="3"/>
  <c r="AF1082" i="3"/>
  <c r="K1099" i="3"/>
  <c r="AF1153" i="3"/>
  <c r="K1188" i="3"/>
  <c r="AF1206" i="3"/>
  <c r="AF1254" i="3"/>
  <c r="K1305" i="3"/>
  <c r="AF1324" i="3"/>
  <c r="K1356" i="3"/>
  <c r="AF1406" i="3"/>
  <c r="AF1422" i="3"/>
  <c r="AF1531" i="3"/>
  <c r="K968" i="3"/>
  <c r="K1042" i="3"/>
  <c r="K1139" i="3"/>
  <c r="K1173" i="3"/>
  <c r="K1224" i="3"/>
  <c r="K1240" i="3"/>
  <c r="K1257" i="3"/>
  <c r="AF1309" i="3"/>
  <c r="K1395" i="3"/>
  <c r="AF1412" i="3"/>
  <c r="AF1447" i="3"/>
  <c r="K1477" i="3"/>
  <c r="AF1510" i="3"/>
  <c r="AF1026" i="3"/>
  <c r="K1078" i="3"/>
  <c r="K1112" i="3"/>
  <c r="K1145" i="3"/>
  <c r="AF1163" i="3"/>
  <c r="K1199" i="3"/>
  <c r="AF1215" i="3"/>
  <c r="AF1231" i="3"/>
  <c r="K1319" i="3"/>
  <c r="K1387" i="3"/>
  <c r="K1426" i="3"/>
  <c r="AF1459" i="3"/>
  <c r="AF1529" i="3"/>
  <c r="AF1054" i="3"/>
  <c r="AF1132" i="3"/>
  <c r="K1207" i="3"/>
  <c r="K1348" i="3"/>
  <c r="K1535" i="3"/>
  <c r="K1668" i="3"/>
  <c r="K1877" i="3"/>
  <c r="K2030" i="3"/>
  <c r="K1570" i="3"/>
  <c r="K1651" i="3"/>
  <c r="K1739" i="3"/>
  <c r="K1807" i="3"/>
  <c r="K1955" i="3"/>
  <c r="K1579" i="3"/>
  <c r="K2196" i="3"/>
  <c r="K2173" i="3"/>
  <c r="K2248" i="3"/>
  <c r="N450" i="4"/>
  <c r="AF1147" i="3"/>
  <c r="K1164" i="3"/>
  <c r="K1182" i="3"/>
  <c r="AF1252" i="3"/>
  <c r="AF1268" i="3"/>
  <c r="AF1300" i="3"/>
  <c r="K1320" i="3"/>
  <c r="K1339" i="3"/>
  <c r="K1355" i="3"/>
  <c r="K1461" i="3"/>
  <c r="AF1533" i="3"/>
  <c r="K992" i="3"/>
  <c r="AF1136" i="3"/>
  <c r="K1211" i="3"/>
  <c r="K1352" i="3"/>
  <c r="K1560" i="3"/>
  <c r="K1678" i="3"/>
  <c r="K1743" i="3"/>
  <c r="K1881" i="3"/>
  <c r="K2034" i="3"/>
  <c r="K1655" i="3"/>
  <c r="K1811" i="3"/>
  <c r="K1885" i="3"/>
  <c r="K1959" i="3"/>
  <c r="AF1584" i="3"/>
  <c r="K1855" i="3"/>
  <c r="K1554" i="3"/>
  <c r="AF2286" i="3"/>
  <c r="AQ300" i="4"/>
  <c r="K1474" i="3"/>
  <c r="AF1553" i="3"/>
  <c r="K966" i="3"/>
  <c r="K1002" i="3"/>
  <c r="K1034" i="3"/>
  <c r="AF1067" i="3"/>
  <c r="K1109" i="3"/>
  <c r="AF1128" i="3"/>
  <c r="K1204" i="3"/>
  <c r="AF1220" i="3"/>
  <c r="AF1236" i="3"/>
  <c r="AF1362" i="3"/>
  <c r="AF1378" i="3"/>
  <c r="AF1397" i="3"/>
  <c r="K1665" i="3"/>
  <c r="K1687" i="3"/>
  <c r="AF1786" i="3"/>
  <c r="K1802" i="3"/>
  <c r="K1837" i="3"/>
  <c r="AF1856" i="3"/>
  <c r="K1928" i="3"/>
  <c r="K1995" i="3"/>
  <c r="K1530" i="3"/>
  <c r="AF1546" i="3"/>
  <c r="K1566" i="3"/>
  <c r="K1604" i="3"/>
  <c r="K1648" i="3"/>
  <c r="K1706" i="3"/>
  <c r="K1735" i="3"/>
  <c r="AF1754" i="3"/>
  <c r="AF1770" i="3"/>
  <c r="AF1787" i="3"/>
  <c r="K1822" i="3"/>
  <c r="AF1897" i="3"/>
  <c r="K1914" i="3"/>
  <c r="K1952" i="3"/>
  <c r="K2006" i="3"/>
  <c r="K1674" i="3"/>
  <c r="AF1751" i="3"/>
  <c r="AF1970" i="3"/>
  <c r="K1607" i="3"/>
  <c r="AF1764" i="3"/>
  <c r="AF1835" i="3"/>
  <c r="N83" i="4"/>
  <c r="K2161" i="3"/>
  <c r="AF2229" i="3"/>
  <c r="AQ238" i="4"/>
  <c r="K2146" i="3"/>
  <c r="K2213" i="3"/>
  <c r="P56" i="4"/>
  <c r="K2062" i="3"/>
  <c r="AQ33" i="4"/>
  <c r="N55" i="4"/>
  <c r="P268" i="4"/>
  <c r="K998" i="3"/>
  <c r="K1015" i="3"/>
  <c r="AF1031" i="3"/>
  <c r="K1064" i="3"/>
  <c r="K1087" i="3"/>
  <c r="K1106" i="3"/>
  <c r="AF1144" i="3"/>
  <c r="AF1181" i="3"/>
  <c r="AF1265" i="3"/>
  <c r="AF1285" i="3"/>
  <c r="AF1302" i="3"/>
  <c r="AF1342" i="3"/>
  <c r="K1359" i="3"/>
  <c r="K1391" i="3"/>
  <c r="AF1439" i="3"/>
  <c r="K1455" i="3"/>
  <c r="K1478" i="3"/>
  <c r="AF1520" i="3"/>
  <c r="K1662" i="3"/>
  <c r="K1684" i="3"/>
  <c r="AF1749" i="3"/>
  <c r="AF1765" i="3"/>
  <c r="K1263" i="3"/>
  <c r="K1340" i="3"/>
  <c r="K1416" i="3"/>
  <c r="AF1797" i="3"/>
  <c r="K1491" i="3"/>
  <c r="K1643" i="3"/>
  <c r="K1799" i="3"/>
  <c r="K1947" i="3"/>
  <c r="K2019" i="3"/>
  <c r="AF1811" i="3"/>
  <c r="AQ230" i="4"/>
  <c r="AF876" i="3"/>
  <c r="AF892" i="3"/>
  <c r="AF908" i="3"/>
  <c r="K924" i="3"/>
  <c r="AF941" i="3"/>
  <c r="K960" i="3"/>
  <c r="K980" i="3"/>
  <c r="AF1047" i="3"/>
  <c r="AF1117" i="3"/>
  <c r="K1135" i="3"/>
  <c r="K1151" i="3"/>
  <c r="K1171" i="3"/>
  <c r="K1205" i="3"/>
  <c r="AF1221" i="3"/>
  <c r="AF1237" i="3"/>
  <c r="K1288" i="3"/>
  <c r="K1322" i="3"/>
  <c r="AF1339" i="3"/>
  <c r="AF1355" i="3"/>
  <c r="K1373" i="3"/>
  <c r="K1389" i="3"/>
  <c r="AF1079" i="3"/>
  <c r="AF1138" i="3"/>
  <c r="K1156" i="3"/>
  <c r="K1172" i="3"/>
  <c r="AF1207" i="3"/>
  <c r="AF1291" i="3"/>
  <c r="AF1340" i="3"/>
  <c r="AF1376" i="3"/>
  <c r="K1394" i="3"/>
  <c r="K1445" i="3"/>
  <c r="K1475" i="3"/>
  <c r="AF1506" i="3"/>
  <c r="K1024" i="3"/>
  <c r="K1043" i="3"/>
  <c r="K1060" i="3"/>
  <c r="AF1093" i="3"/>
  <c r="K1161" i="3"/>
  <c r="AF1180" i="3"/>
  <c r="K1249" i="3"/>
  <c r="K1266" i="3"/>
  <c r="K1298" i="3"/>
  <c r="K1318" i="3"/>
  <c r="K984" i="3"/>
  <c r="K1126" i="3"/>
  <c r="K1203" i="3"/>
  <c r="K1267" i="3"/>
  <c r="K1344" i="3"/>
  <c r="AF1421" i="3"/>
  <c r="K1664" i="3"/>
  <c r="AF1801" i="3"/>
  <c r="K1873" i="3"/>
  <c r="AF1565" i="3"/>
  <c r="K1647" i="3"/>
  <c r="K1734" i="3"/>
  <c r="K1803" i="3"/>
  <c r="AF1876" i="3"/>
  <c r="K1951" i="3"/>
  <c r="AF2155" i="3"/>
  <c r="K2208" i="3"/>
  <c r="N206" i="4"/>
  <c r="AF864" i="3"/>
  <c r="K988" i="3"/>
  <c r="K985" i="3"/>
  <c r="K1003" i="3"/>
  <c r="AF1020" i="3"/>
  <c r="K1053" i="3"/>
  <c r="K1104" i="3"/>
  <c r="AF1157" i="3"/>
  <c r="K1194" i="3"/>
  <c r="AF1210" i="3"/>
  <c r="AF1258" i="3"/>
  <c r="AF1328" i="3"/>
  <c r="K1361" i="3"/>
  <c r="AF1426" i="3"/>
  <c r="K1444" i="3"/>
  <c r="K1467" i="3"/>
  <c r="K1510" i="3"/>
  <c r="AF993" i="3"/>
  <c r="AF1029" i="3"/>
  <c r="K1046" i="3"/>
  <c r="K1067" i="3"/>
  <c r="K1089" i="3"/>
  <c r="AF1106" i="3"/>
  <c r="AF1126" i="3"/>
  <c r="K1144" i="3"/>
  <c r="K1177" i="3"/>
  <c r="K1195" i="3"/>
  <c r="K1212" i="3"/>
  <c r="K1228" i="3"/>
  <c r="K1261" i="3"/>
  <c r="K1277" i="3"/>
  <c r="K1362" i="3"/>
  <c r="K1400" i="3"/>
  <c r="K1417" i="3"/>
  <c r="AF1522" i="3"/>
  <c r="K1012" i="3"/>
  <c r="AF1030" i="3"/>
  <c r="AF1049" i="3"/>
  <c r="K1082" i="3"/>
  <c r="K1133" i="3"/>
  <c r="K1168" i="3"/>
  <c r="AF1219" i="3"/>
  <c r="AF1235" i="3"/>
  <c r="K1271" i="3"/>
  <c r="K1303" i="3"/>
  <c r="K1324" i="3"/>
  <c r="K1375" i="3"/>
  <c r="K1469" i="3"/>
  <c r="AF1564" i="3"/>
  <c r="AF1077" i="3"/>
  <c r="K1150" i="3"/>
  <c r="K1291" i="3"/>
  <c r="AF1445" i="3"/>
  <c r="K1755" i="3"/>
  <c r="K2050" i="3"/>
  <c r="K1516" i="3"/>
  <c r="K1908" i="3"/>
  <c r="AF1621" i="3"/>
  <c r="AF2264" i="3"/>
  <c r="P98" i="4"/>
  <c r="P12" i="4"/>
  <c r="AF1066" i="3"/>
  <c r="K1117" i="3"/>
  <c r="AF1151" i="3"/>
  <c r="K1169" i="3"/>
  <c r="AF1256" i="3"/>
  <c r="K1272" i="3"/>
  <c r="AF1288" i="3"/>
  <c r="AF1326" i="3"/>
  <c r="K1343" i="3"/>
  <c r="K1411" i="3"/>
  <c r="AF1481" i="3"/>
  <c r="K1009" i="3"/>
  <c r="AF1081" i="3"/>
  <c r="K1154" i="3"/>
  <c r="K1295" i="3"/>
  <c r="K1369" i="3"/>
  <c r="K1759" i="3"/>
  <c r="K1826" i="3"/>
  <c r="K1595" i="3"/>
  <c r="AF1979" i="3"/>
  <c r="AF1628" i="3"/>
  <c r="AF1929" i="3"/>
  <c r="AF1962" i="3"/>
  <c r="N2" i="4"/>
  <c r="AQ31" i="4"/>
  <c r="AQ252" i="4"/>
  <c r="N86" i="4"/>
  <c r="AF1420" i="3"/>
  <c r="K1524" i="3"/>
  <c r="K954" i="3"/>
  <c r="K989" i="3"/>
  <c r="K1038" i="3"/>
  <c r="K1095" i="3"/>
  <c r="K1114" i="3"/>
  <c r="AF1224" i="3"/>
  <c r="AF1240" i="3"/>
  <c r="K1309" i="3"/>
  <c r="AF1366" i="3"/>
  <c r="AF1382" i="3"/>
  <c r="K1427" i="3"/>
  <c r="K1446" i="3"/>
  <c r="K1493" i="3"/>
  <c r="AF1538" i="3"/>
  <c r="K1627" i="3"/>
  <c r="K1669" i="3"/>
  <c r="K1806" i="3"/>
  <c r="K1860" i="3"/>
  <c r="AF1912" i="3"/>
  <c r="K1983" i="3"/>
  <c r="K2001" i="3"/>
  <c r="K2052" i="3"/>
  <c r="K1483" i="3"/>
  <c r="K1500" i="3"/>
  <c r="K1517" i="3"/>
  <c r="K1571" i="3"/>
  <c r="K1592" i="3"/>
  <c r="AF1619" i="3"/>
  <c r="K1652" i="3"/>
  <c r="AF1720" i="3"/>
  <c r="AF1742" i="3"/>
  <c r="AF1758" i="3"/>
  <c r="AF1774" i="3"/>
  <c r="K1865" i="3"/>
  <c r="AF1901" i="3"/>
  <c r="K1940" i="3"/>
  <c r="K1956" i="3"/>
  <c r="K1974" i="3"/>
  <c r="K1545" i="3"/>
  <c r="K1563" i="3"/>
  <c r="AF1767" i="3"/>
  <c r="AF1540" i="3"/>
  <c r="AF1710" i="3"/>
  <c r="K2200" i="3"/>
  <c r="AF2268" i="3"/>
  <c r="N199" i="4"/>
  <c r="AF2105" i="3"/>
  <c r="K2177" i="3"/>
  <c r="R6" i="4"/>
  <c r="R139" i="4"/>
  <c r="AF2157" i="3"/>
  <c r="K2249" i="3"/>
  <c r="P27" i="4"/>
  <c r="AQ130" i="4"/>
  <c r="AQ118" i="4"/>
  <c r="AQ297" i="4"/>
  <c r="K1052" i="3"/>
  <c r="K1068" i="3"/>
  <c r="K1092" i="3"/>
  <c r="K1129" i="3"/>
  <c r="AF1148" i="3"/>
  <c r="AF1185" i="3"/>
  <c r="AF1253" i="3"/>
  <c r="AF1270" i="3"/>
  <c r="AF1289" i="3"/>
  <c r="AF1306" i="3"/>
  <c r="AF1346" i="3"/>
  <c r="K1398" i="3"/>
  <c r="K1423" i="3"/>
  <c r="K1443" i="3"/>
  <c r="K1531" i="3"/>
  <c r="K1666" i="3"/>
  <c r="K1688" i="3"/>
  <c r="AF1753" i="3"/>
  <c r="AF1769" i="3"/>
  <c r="K1838" i="3"/>
  <c r="AF1875" i="3"/>
  <c r="AF1908" i="3"/>
  <c r="K1929" i="3"/>
  <c r="K1980" i="3"/>
  <c r="AF1514" i="3"/>
  <c r="K1547" i="3"/>
  <c r="K1567" i="3"/>
  <c r="K1588" i="3"/>
  <c r="AF1615" i="3"/>
  <c r="K1649" i="3"/>
  <c r="AF1708" i="3"/>
  <c r="AF1737" i="3"/>
  <c r="AF1805" i="3"/>
  <c r="K1823" i="3"/>
  <c r="K1843" i="3"/>
  <c r="K1861" i="3"/>
  <c r="K1878" i="3"/>
  <c r="K1898" i="3"/>
  <c r="K1953" i="3"/>
  <c r="AF1990" i="3"/>
  <c r="K2043" i="3"/>
  <c r="K1541" i="3"/>
  <c r="AF1755" i="3"/>
  <c r="K1827" i="3"/>
  <c r="K1975" i="3"/>
  <c r="AF2044" i="3"/>
  <c r="K1528" i="3"/>
  <c r="K1611" i="3"/>
  <c r="K1691" i="3"/>
  <c r="AF1768" i="3"/>
  <c r="AF1839" i="3"/>
  <c r="K2009" i="3"/>
  <c r="AF2256" i="3"/>
  <c r="N112" i="4"/>
  <c r="K2093" i="3"/>
  <c r="K2165" i="3"/>
  <c r="K2273" i="3"/>
  <c r="AQ271" i="4"/>
  <c r="R65" i="4"/>
  <c r="K2066" i="3"/>
  <c r="K2223" i="3"/>
  <c r="AQ49" i="4"/>
  <c r="P70" i="4"/>
  <c r="AQ326" i="4"/>
  <c r="K1441" i="3"/>
  <c r="K974" i="3"/>
  <c r="AF991" i="3"/>
  <c r="K1057" i="3"/>
  <c r="K1098" i="3"/>
  <c r="AF1116" i="3"/>
  <c r="K1226" i="3"/>
  <c r="K1242" i="3"/>
  <c r="K1275" i="3"/>
  <c r="AF1327" i="3"/>
  <c r="K1384" i="3"/>
  <c r="AF1410" i="3"/>
  <c r="K1464" i="3"/>
  <c r="K1497" i="3"/>
  <c r="AF1630" i="3"/>
  <c r="AF1677" i="3"/>
  <c r="K1792" i="3"/>
  <c r="AF1808" i="3"/>
  <c r="K1825" i="3"/>
  <c r="K1934" i="3"/>
  <c r="K2057" i="3"/>
  <c r="AF1486" i="3"/>
  <c r="K1502" i="3"/>
  <c r="K1574" i="3"/>
  <c r="K1594" i="3"/>
  <c r="K1621" i="3"/>
  <c r="K1654" i="3"/>
  <c r="K1690" i="3"/>
  <c r="K1722" i="3"/>
  <c r="K1744" i="3"/>
  <c r="K1760" i="3"/>
  <c r="K1776" i="3"/>
  <c r="K1830" i="3"/>
  <c r="AF1867" i="3"/>
  <c r="K1884" i="3"/>
  <c r="K1903" i="3"/>
  <c r="K1942" i="3"/>
  <c r="K1958" i="3"/>
  <c r="K1996" i="3"/>
  <c r="K2032" i="3"/>
  <c r="AF1775" i="3"/>
  <c r="K1923" i="3"/>
  <c r="K1999" i="3"/>
  <c r="K1550" i="3"/>
  <c r="K1718" i="3"/>
  <c r="K1790" i="3"/>
  <c r="AF2053" i="3"/>
  <c r="K2210" i="3"/>
  <c r="N251" i="4"/>
  <c r="K2114" i="3"/>
  <c r="N23" i="4"/>
  <c r="AF2102" i="3"/>
  <c r="AF2172" i="3"/>
  <c r="K2264" i="3"/>
  <c r="R202" i="4"/>
  <c r="K2267" i="3"/>
  <c r="AO63" i="4"/>
  <c r="P192" i="4"/>
  <c r="AQ151" i="4"/>
  <c r="R429" i="4"/>
  <c r="K1634" i="3"/>
  <c r="K1675" i="3"/>
  <c r="AF1806" i="3"/>
  <c r="AF1842" i="3"/>
  <c r="K1879" i="3"/>
  <c r="K1915" i="3"/>
  <c r="K1971" i="3"/>
  <c r="AF1991" i="3"/>
  <c r="K2025" i="3"/>
  <c r="AF2041" i="3"/>
  <c r="AF1525" i="3"/>
  <c r="K1608" i="3"/>
  <c r="AF1655" i="3"/>
  <c r="K1711" i="3"/>
  <c r="K1782" i="3"/>
  <c r="AF1800" i="3"/>
  <c r="K1836" i="3"/>
  <c r="K1842" i="3"/>
  <c r="AF1879" i="3"/>
  <c r="K1913" i="3"/>
  <c r="K2002" i="3"/>
  <c r="K2055" i="3"/>
  <c r="K1484" i="3"/>
  <c r="K1552" i="3"/>
  <c r="AF1573" i="3"/>
  <c r="K1593" i="3"/>
  <c r="K1620" i="3"/>
  <c r="K1653" i="3"/>
  <c r="K1689" i="3"/>
  <c r="K1721" i="3"/>
  <c r="AF1809" i="3"/>
  <c r="K1883" i="3"/>
  <c r="K1902" i="3"/>
  <c r="K1941" i="3"/>
  <c r="K1957" i="3"/>
  <c r="K2031" i="3"/>
  <c r="K1564" i="3"/>
  <c r="K1582" i="3"/>
  <c r="AF1771" i="3"/>
  <c r="AF1995" i="3"/>
  <c r="K1714" i="3"/>
  <c r="K1931" i="3"/>
  <c r="K2130" i="3"/>
  <c r="K2204" i="3"/>
  <c r="K2274" i="3"/>
  <c r="P222" i="4"/>
  <c r="AF2109" i="3"/>
  <c r="R15" i="4"/>
  <c r="K2260" i="3"/>
  <c r="AQ175" i="4"/>
  <c r="AF2167" i="3"/>
  <c r="AQ42" i="4"/>
  <c r="AQ162" i="4"/>
  <c r="P136" i="4"/>
  <c r="AQ362" i="4"/>
  <c r="K1462" i="3"/>
  <c r="AF1499" i="3"/>
  <c r="K1539" i="3"/>
  <c r="K979" i="3"/>
  <c r="K1044" i="3"/>
  <c r="K1061" i="3"/>
  <c r="K1084" i="3"/>
  <c r="K1103" i="3"/>
  <c r="AF1140" i="3"/>
  <c r="K1178" i="3"/>
  <c r="K1214" i="3"/>
  <c r="K1230" i="3"/>
  <c r="K1280" i="3"/>
  <c r="K1372" i="3"/>
  <c r="K1388" i="3"/>
  <c r="K1415" i="3"/>
  <c r="K1452" i="3"/>
  <c r="K1473" i="3"/>
  <c r="K1681" i="3"/>
  <c r="K1730" i="3"/>
  <c r="AF1848" i="3"/>
  <c r="AF1866" i="3"/>
  <c r="AF1900" i="3"/>
  <c r="K1919" i="3"/>
  <c r="K1938" i="3"/>
  <c r="K1970" i="3"/>
  <c r="AF1989" i="3"/>
  <c r="AF2008" i="3"/>
  <c r="K2038" i="3"/>
  <c r="AF1490" i="3"/>
  <c r="K1540" i="3"/>
  <c r="K1598" i="3"/>
  <c r="AF1642" i="3"/>
  <c r="AF1700" i="3"/>
  <c r="K1748" i="3"/>
  <c r="K1764" i="3"/>
  <c r="K1815" i="3"/>
  <c r="K1835" i="3"/>
  <c r="AF1889" i="3"/>
  <c r="K1946" i="3"/>
  <c r="K1962" i="3"/>
  <c r="AF2000" i="3"/>
  <c r="K2018" i="3"/>
  <c r="AF1551" i="3"/>
  <c r="AF1587" i="3"/>
  <c r="K1641" i="3"/>
  <c r="AF1795" i="3"/>
  <c r="K1869" i="3"/>
  <c r="AF1567" i="3"/>
  <c r="K1740" i="3"/>
  <c r="AF1807" i="3"/>
  <c r="K1876" i="3"/>
  <c r="K1977" i="3"/>
  <c r="K2085" i="3"/>
  <c r="AF2154" i="3"/>
  <c r="P24" i="4"/>
  <c r="K2061" i="3"/>
  <c r="K2132" i="3"/>
  <c r="AF2203" i="3"/>
  <c r="N62" i="4"/>
  <c r="K2188" i="3"/>
  <c r="AQ4" i="4"/>
  <c r="AF2035" i="3"/>
  <c r="AF2111" i="3"/>
  <c r="R43" i="4"/>
  <c r="AQ177" i="4"/>
  <c r="P121" i="4"/>
  <c r="N215" i="4"/>
  <c r="AQ453" i="4"/>
  <c r="K1638" i="3"/>
  <c r="AF1788" i="3"/>
  <c r="AF1810" i="3"/>
  <c r="AF1846" i="3"/>
  <c r="K1866" i="3"/>
  <c r="K1900" i="3"/>
  <c r="K1976" i="3"/>
  <c r="K2013" i="3"/>
  <c r="AF2029" i="3"/>
  <c r="K1546" i="3"/>
  <c r="K1612" i="3"/>
  <c r="K1659" i="3"/>
  <c r="K1692" i="3"/>
  <c r="K1715" i="3"/>
  <c r="K1736" i="3"/>
  <c r="K1787" i="3"/>
  <c r="K1821" i="3"/>
  <c r="K1857" i="3"/>
  <c r="K1829" i="3"/>
  <c r="K1846" i="3"/>
  <c r="K1937" i="3"/>
  <c r="K1597" i="3"/>
  <c r="K1625" i="3"/>
  <c r="K1694" i="3"/>
  <c r="K1834" i="3"/>
  <c r="K1887" i="3"/>
  <c r="K1945" i="3"/>
  <c r="K1961" i="3"/>
  <c r="AF2017" i="3"/>
  <c r="K2035" i="3"/>
  <c r="K1637" i="3"/>
  <c r="K2012" i="3"/>
  <c r="K1658" i="3"/>
  <c r="AF1735" i="3"/>
  <c r="AF1803" i="3"/>
  <c r="K2081" i="3"/>
  <c r="AQ16" i="4"/>
  <c r="AF2199" i="3"/>
  <c r="P51" i="4"/>
  <c r="AF2184" i="3"/>
  <c r="AF2031" i="3"/>
  <c r="AF2107" i="3"/>
  <c r="K2183" i="3"/>
  <c r="N27" i="4"/>
  <c r="AQ143" i="4"/>
  <c r="P89" i="4"/>
  <c r="R199" i="4"/>
  <c r="AQ329" i="4"/>
  <c r="K1449" i="3"/>
  <c r="K1509" i="3"/>
  <c r="K983" i="3"/>
  <c r="AF1000" i="3"/>
  <c r="K1065" i="3"/>
  <c r="K1088" i="3"/>
  <c r="K1125" i="3"/>
  <c r="AF1202" i="3"/>
  <c r="K1218" i="3"/>
  <c r="K1234" i="3"/>
  <c r="K1250" i="3"/>
  <c r="K1286" i="3"/>
  <c r="K1360" i="3"/>
  <c r="K1376" i="3"/>
  <c r="K1392" i="3"/>
  <c r="K1456" i="3"/>
  <c r="K1480" i="3"/>
  <c r="AF1524" i="3"/>
  <c r="K1591" i="3"/>
  <c r="K1663" i="3"/>
  <c r="K1685" i="3"/>
  <c r="AF1816" i="3"/>
  <c r="K1853" i="3"/>
  <c r="K1872" i="3"/>
  <c r="AF1528" i="3"/>
  <c r="K1544" i="3"/>
  <c r="K1602" i="3"/>
  <c r="K1646" i="3"/>
  <c r="K1704" i="3"/>
  <c r="K1733" i="3"/>
  <c r="K1752" i="3"/>
  <c r="K1768" i="3"/>
  <c r="K1894" i="3"/>
  <c r="K1950" i="3"/>
  <c r="K1967" i="3"/>
  <c r="K1987" i="3"/>
  <c r="K2004" i="3"/>
  <c r="K1538" i="3"/>
  <c r="AF1743" i="3"/>
  <c r="AF2032" i="3"/>
  <c r="K1514" i="3"/>
  <c r="AF1756" i="3"/>
  <c r="AF1899" i="3"/>
  <c r="K2171" i="3"/>
  <c r="AF2242" i="3"/>
  <c r="R57" i="4"/>
  <c r="K2151" i="3"/>
  <c r="AF2221" i="3"/>
  <c r="AQ165" i="4"/>
  <c r="AF2204" i="3"/>
  <c r="R37" i="4"/>
  <c r="K2203" i="3"/>
  <c r="AF2220" i="3"/>
  <c r="AF2290" i="3"/>
  <c r="AQ248" i="4"/>
  <c r="P144" i="4"/>
  <c r="AF1727" i="3"/>
  <c r="AF1814" i="3"/>
  <c r="K1851" i="3"/>
  <c r="K1870" i="3"/>
  <c r="K1924" i="3"/>
  <c r="AF1983" i="3"/>
  <c r="AF2033" i="3"/>
  <c r="K2053" i="3"/>
  <c r="K1498" i="3"/>
  <c r="AF1517" i="3"/>
  <c r="K1568" i="3"/>
  <c r="AF1588" i="3"/>
  <c r="AF1617" i="3"/>
  <c r="K1697" i="3"/>
  <c r="K1719" i="3"/>
  <c r="K1741" i="3"/>
  <c r="K1844" i="3"/>
  <c r="AF1861" i="3"/>
  <c r="AF1852" i="3"/>
  <c r="AF1871" i="3"/>
  <c r="K2042" i="3"/>
  <c r="K1543" i="3"/>
  <c r="K1601" i="3"/>
  <c r="K1645" i="3"/>
  <c r="K1703" i="3"/>
  <c r="K1732" i="3"/>
  <c r="K1784" i="3"/>
  <c r="K1818" i="3"/>
  <c r="K1839" i="3"/>
  <c r="K1874" i="3"/>
  <c r="AF1893" i="3"/>
  <c r="AF1933" i="3"/>
  <c r="K1949" i="3"/>
  <c r="K1966" i="3"/>
  <c r="AF1986" i="3"/>
  <c r="K2003" i="3"/>
  <c r="K2039" i="3"/>
  <c r="K1537" i="3"/>
  <c r="K1583" i="3"/>
  <c r="AF1752" i="3"/>
  <c r="K1820" i="3"/>
  <c r="K1893" i="3"/>
  <c r="K1990" i="3"/>
  <c r="K2097" i="3"/>
  <c r="AF2238" i="3"/>
  <c r="N48" i="4"/>
  <c r="R121" i="4"/>
  <c r="AF2200" i="3"/>
  <c r="AO28" i="4"/>
  <c r="K2047" i="3"/>
  <c r="K2125" i="3"/>
  <c r="K2199" i="3"/>
  <c r="R177" i="4"/>
  <c r="N273" i="4"/>
  <c r="R218" i="4"/>
  <c r="N102" i="4"/>
  <c r="K1520" i="3"/>
  <c r="K1004" i="3"/>
  <c r="AF1036" i="3"/>
  <c r="K1130" i="3"/>
  <c r="K1149" i="3"/>
  <c r="K1186" i="3"/>
  <c r="K1222" i="3"/>
  <c r="K1238" i="3"/>
  <c r="K1364" i="3"/>
  <c r="K1380" i="3"/>
  <c r="K1399" i="3"/>
  <c r="K1667" i="3"/>
  <c r="K1788" i="3"/>
  <c r="AF1804" i="3"/>
  <c r="K1858" i="3"/>
  <c r="K1909" i="3"/>
  <c r="K1981" i="3"/>
  <c r="AF1999" i="3"/>
  <c r="AF2047" i="3"/>
  <c r="AF1498" i="3"/>
  <c r="K1515" i="3"/>
  <c r="AF1532" i="3"/>
  <c r="K1548" i="3"/>
  <c r="AF1569" i="3"/>
  <c r="K1616" i="3"/>
  <c r="K1650" i="3"/>
  <c r="K1709" i="3"/>
  <c r="K1738" i="3"/>
  <c r="K1756" i="3"/>
  <c r="K1772" i="3"/>
  <c r="K1789" i="3"/>
  <c r="AF1845" i="3"/>
  <c r="AF1863" i="3"/>
  <c r="K1899" i="3"/>
  <c r="K1954" i="3"/>
  <c r="K2044" i="3"/>
  <c r="AF1561" i="3"/>
  <c r="K1578" i="3"/>
  <c r="AF1759" i="3"/>
  <c r="K2051" i="3"/>
  <c r="K1532" i="3"/>
  <c r="K1615" i="3"/>
  <c r="K1696" i="3"/>
  <c r="AF1772" i="3"/>
  <c r="AF1843" i="3"/>
  <c r="K1918" i="3"/>
  <c r="AF2260" i="3"/>
  <c r="R143" i="4"/>
  <c r="AF2279" i="3"/>
  <c r="K2074" i="3"/>
  <c r="K2154" i="3"/>
  <c r="R74" i="4"/>
  <c r="K2285" i="3"/>
  <c r="R72" i="4"/>
  <c r="P86" i="4"/>
  <c r="AQ389" i="4"/>
  <c r="K1629" i="3"/>
  <c r="K1671" i="3"/>
  <c r="K1780" i="3"/>
  <c r="K1801" i="3"/>
  <c r="K1819" i="3"/>
  <c r="AF1838" i="3"/>
  <c r="K1856" i="3"/>
  <c r="K1875" i="3"/>
  <c r="AF1910" i="3"/>
  <c r="K2021" i="3"/>
  <c r="AF2037" i="3"/>
  <c r="K1485" i="3"/>
  <c r="AF1555" i="3"/>
  <c r="K1573" i="3"/>
  <c r="AF1604" i="3"/>
  <c r="K1622" i="3"/>
  <c r="AF1706" i="3"/>
  <c r="K1724" i="3"/>
  <c r="K1777" i="3"/>
  <c r="K1812" i="3"/>
  <c r="AF1865" i="3"/>
  <c r="K1978" i="3"/>
  <c r="K2102" i="3"/>
  <c r="K2172" i="3"/>
  <c r="K2193" i="3"/>
  <c r="K2211" i="3"/>
  <c r="AF2243" i="3"/>
  <c r="K2284" i="3"/>
  <c r="AQ25" i="4"/>
  <c r="AQ59" i="4"/>
  <c r="P151" i="4"/>
  <c r="AP256" i="4"/>
  <c r="AF2066" i="3"/>
  <c r="K2098" i="3"/>
  <c r="K2115" i="3"/>
  <c r="AF2136" i="3"/>
  <c r="K2152" i="3"/>
  <c r="AF2222" i="3"/>
  <c r="N26" i="4"/>
  <c r="R64" i="4"/>
  <c r="AQ173" i="4"/>
  <c r="K2075" i="3"/>
  <c r="AF2137" i="3"/>
  <c r="K2189" i="3"/>
  <c r="AQ6" i="4"/>
  <c r="R39" i="4"/>
  <c r="R80" i="4"/>
  <c r="R215" i="4"/>
  <c r="K2036" i="3"/>
  <c r="K2095" i="3"/>
  <c r="K2112" i="3"/>
  <c r="K2235" i="3"/>
  <c r="R47" i="4"/>
  <c r="AF2224" i="3"/>
  <c r="AF2289" i="3"/>
  <c r="N71" i="4"/>
  <c r="P186" i="4"/>
  <c r="P5" i="4"/>
  <c r="AQ79" i="4"/>
  <c r="N200" i="4"/>
  <c r="AQ127" i="4"/>
  <c r="P258" i="4"/>
  <c r="AQ90" i="4"/>
  <c r="N156" i="4"/>
  <c r="AQ218" i="4"/>
  <c r="AQ158" i="4"/>
  <c r="AP404" i="4"/>
  <c r="P449" i="4"/>
  <c r="P486" i="4"/>
  <c r="K1630" i="3"/>
  <c r="K1672" i="3"/>
  <c r="K1749" i="3"/>
  <c r="K1765" i="3"/>
  <c r="K1781" i="3"/>
  <c r="K1911" i="3"/>
  <c r="K2022" i="3"/>
  <c r="AF2038" i="3"/>
  <c r="K1486" i="3"/>
  <c r="K1556" i="3"/>
  <c r="K1575" i="3"/>
  <c r="K1605" i="3"/>
  <c r="K1623" i="3"/>
  <c r="K1707" i="3"/>
  <c r="K1725" i="3"/>
  <c r="K1746" i="3"/>
  <c r="K1762" i="3"/>
  <c r="K1778" i="3"/>
  <c r="AF1796" i="3"/>
  <c r="K1813" i="3"/>
  <c r="K1832" i="3"/>
  <c r="K1925" i="3"/>
  <c r="K1964" i="3"/>
  <c r="K2000" i="3"/>
  <c r="K2091" i="3"/>
  <c r="K2141" i="3"/>
  <c r="AF2198" i="3"/>
  <c r="K2216" i="3"/>
  <c r="AF2232" i="3"/>
  <c r="AF2248" i="3"/>
  <c r="AF2266" i="3"/>
  <c r="AQ5" i="4"/>
  <c r="N35" i="4"/>
  <c r="P73" i="4"/>
  <c r="N184" i="4"/>
  <c r="K2071" i="3"/>
  <c r="K2087" i="3"/>
  <c r="K2103" i="3"/>
  <c r="K2157" i="3"/>
  <c r="AF2175" i="3"/>
  <c r="AF2209" i="3"/>
  <c r="AF2227" i="3"/>
  <c r="AQ2" i="4"/>
  <c r="P35" i="4"/>
  <c r="N79" i="4"/>
  <c r="P224" i="4"/>
  <c r="AF2091" i="3"/>
  <c r="K2108" i="3"/>
  <c r="K2124" i="3"/>
  <c r="K2143" i="3"/>
  <c r="K2178" i="3"/>
  <c r="K2194" i="3"/>
  <c r="AF2211" i="3"/>
  <c r="AQ17" i="4"/>
  <c r="AQ51" i="4"/>
  <c r="N126" i="4"/>
  <c r="R276" i="4"/>
  <c r="K2041" i="3"/>
  <c r="K2101" i="3"/>
  <c r="AF2119" i="3"/>
  <c r="K2135" i="3"/>
  <c r="AF2177" i="3"/>
  <c r="R5" i="4"/>
  <c r="AQ72" i="4"/>
  <c r="AP19" i="4"/>
  <c r="R98" i="4"/>
  <c r="N223" i="4"/>
  <c r="R26" i="4"/>
  <c r="N113" i="4"/>
  <c r="N245" i="4"/>
  <c r="N169" i="4"/>
  <c r="AQ47" i="4"/>
  <c r="AQ110" i="4"/>
  <c r="P176" i="4"/>
  <c r="AQ243" i="4"/>
  <c r="R236" i="4"/>
  <c r="P482" i="4"/>
  <c r="N363" i="4"/>
  <c r="P625" i="4"/>
  <c r="K1626" i="3"/>
  <c r="K1729" i="3"/>
  <c r="K1816" i="3"/>
  <c r="AF1854" i="3"/>
  <c r="AF1873" i="3"/>
  <c r="K1907" i="3"/>
  <c r="K2056" i="3"/>
  <c r="AF1500" i="3"/>
  <c r="AF1571" i="3"/>
  <c r="K1590" i="3"/>
  <c r="K1619" i="3"/>
  <c r="K1699" i="3"/>
  <c r="AF1722" i="3"/>
  <c r="K1828" i="3"/>
  <c r="K1863" i="3"/>
  <c r="K1963" i="3"/>
  <c r="K2090" i="3"/>
  <c r="K2106" i="3"/>
  <c r="K2122" i="3"/>
  <c r="K2140" i="3"/>
  <c r="K2176" i="3"/>
  <c r="K2215" i="3"/>
  <c r="K2265" i="3"/>
  <c r="N4" i="4"/>
  <c r="N33" i="4"/>
  <c r="AQ70" i="4"/>
  <c r="R179" i="4"/>
  <c r="K2070" i="3"/>
  <c r="K2086" i="3"/>
  <c r="AF2121" i="3"/>
  <c r="K2156" i="3"/>
  <c r="AF2192" i="3"/>
  <c r="AF2226" i="3"/>
  <c r="P33" i="4"/>
  <c r="P74" i="4"/>
  <c r="P219" i="4"/>
  <c r="K2088" i="3"/>
  <c r="K2142" i="3"/>
  <c r="AF2193" i="3"/>
  <c r="K2272" i="3"/>
  <c r="AQ15" i="4"/>
  <c r="N49" i="4"/>
  <c r="N103" i="4"/>
  <c r="R260" i="4"/>
  <c r="K2040" i="3"/>
  <c r="K2117" i="3"/>
  <c r="K2134" i="3"/>
  <c r="AF2153" i="3"/>
  <c r="K2192" i="3"/>
  <c r="K2209" i="3"/>
  <c r="P68" i="4"/>
  <c r="N16" i="4"/>
  <c r="R91" i="4"/>
  <c r="AQ215" i="4"/>
  <c r="AQ21" i="4"/>
  <c r="N106" i="4"/>
  <c r="AQ237" i="4"/>
  <c r="N161" i="4"/>
  <c r="AQ278" i="4"/>
  <c r="P107" i="4"/>
  <c r="P172" i="4"/>
  <c r="P236" i="4"/>
  <c r="AQ221" i="4"/>
  <c r="P466" i="4"/>
  <c r="P331" i="4"/>
  <c r="R613" i="4"/>
  <c r="K1635" i="3"/>
  <c r="K1676" i="3"/>
  <c r="K1753" i="3"/>
  <c r="K1769" i="3"/>
  <c r="K1785" i="3"/>
  <c r="K1972" i="3"/>
  <c r="AF2010" i="3"/>
  <c r="AF2042" i="3"/>
  <c r="K1490" i="3"/>
  <c r="K1609" i="3"/>
  <c r="K1656" i="3"/>
  <c r="K1712" i="3"/>
  <c r="K1750" i="3"/>
  <c r="K1766" i="3"/>
  <c r="AF1784" i="3"/>
  <c r="AF1891" i="3"/>
  <c r="AF1988" i="3"/>
  <c r="K2079" i="3"/>
  <c r="AF2128" i="3"/>
  <c r="AF2148" i="3"/>
  <c r="AF2202" i="3"/>
  <c r="K2220" i="3"/>
  <c r="AF2236" i="3"/>
  <c r="K2254" i="3"/>
  <c r="AF2270" i="3"/>
  <c r="N13" i="4"/>
  <c r="P42" i="4"/>
  <c r="R94" i="4"/>
  <c r="N211" i="4"/>
  <c r="K2107" i="3"/>
  <c r="K2163" i="3"/>
  <c r="AF2180" i="3"/>
  <c r="K2197" i="3"/>
  <c r="K2253" i="3"/>
  <c r="P10" i="4"/>
  <c r="R44" i="4"/>
  <c r="N109" i="4"/>
  <c r="R258" i="4"/>
  <c r="K2128" i="3"/>
  <c r="K2148" i="3"/>
  <c r="K2182" i="3"/>
  <c r="K2198" i="3"/>
  <c r="AF2282" i="3"/>
  <c r="AQ24" i="4"/>
  <c r="N61" i="4"/>
  <c r="AQ159" i="4"/>
  <c r="K2029" i="3"/>
  <c r="K2045" i="3"/>
  <c r="K2064" i="3"/>
  <c r="AF2087" i="3"/>
  <c r="K2105" i="3"/>
  <c r="AF2123" i="3"/>
  <c r="K2159" i="3"/>
  <c r="AF2181" i="3"/>
  <c r="AF2197" i="3"/>
  <c r="K2255" i="3"/>
  <c r="R20" i="4"/>
  <c r="N123" i="4"/>
  <c r="R34" i="4"/>
  <c r="P129" i="4"/>
  <c r="R253" i="4"/>
  <c r="N41" i="4"/>
  <c r="R146" i="4"/>
  <c r="AQ78" i="4"/>
  <c r="AQ201" i="4"/>
  <c r="N63" i="4"/>
  <c r="N128" i="4"/>
  <c r="R192" i="4"/>
  <c r="N276" i="4"/>
  <c r="AO295" i="4"/>
  <c r="N331" i="4"/>
  <c r="R489" i="4"/>
  <c r="AF1632" i="3"/>
  <c r="K1673" i="3"/>
  <c r="K1804" i="3"/>
  <c r="K1840" i="3"/>
  <c r="AF1860" i="3"/>
  <c r="AF1877" i="3"/>
  <c r="K1912" i="3"/>
  <c r="K1989" i="3"/>
  <c r="K2007" i="3"/>
  <c r="K2023" i="3"/>
  <c r="K1557" i="3"/>
  <c r="K1606" i="3"/>
  <c r="AF1625" i="3"/>
  <c r="K1708" i="3"/>
  <c r="K1833" i="3"/>
  <c r="K1867" i="3"/>
  <c r="AF1887" i="3"/>
  <c r="K1889" i="3"/>
  <c r="K1969" i="3"/>
  <c r="K1986" i="3"/>
  <c r="AF2006" i="3"/>
  <c r="K2078" i="3"/>
  <c r="AF2094" i="3"/>
  <c r="K2110" i="3"/>
  <c r="K2126" i="3"/>
  <c r="K2145" i="3"/>
  <c r="K2219" i="3"/>
  <c r="AF2251" i="3"/>
  <c r="K2269" i="3"/>
  <c r="N11" i="4"/>
  <c r="R40" i="4"/>
  <c r="P88" i="4"/>
  <c r="P206" i="4"/>
  <c r="AF2054" i="3"/>
  <c r="AF2125" i="3"/>
  <c r="K2162" i="3"/>
  <c r="K2212" i="3"/>
  <c r="R8" i="4"/>
  <c r="R42" i="4"/>
  <c r="P96" i="4"/>
  <c r="N246" i="4"/>
  <c r="K2094" i="3"/>
  <c r="K2127" i="3"/>
  <c r="K2147" i="3"/>
  <c r="K2256" i="3"/>
  <c r="P23" i="4"/>
  <c r="R58" i="4"/>
  <c r="R147" i="4"/>
  <c r="K2028" i="3"/>
  <c r="K2063" i="3"/>
  <c r="K2158" i="3"/>
  <c r="K2180" i="3"/>
  <c r="R16" i="4"/>
  <c r="N105" i="4"/>
  <c r="N31" i="4"/>
  <c r="R119" i="4"/>
  <c r="P246" i="4"/>
  <c r="P37" i="4"/>
  <c r="R138" i="4"/>
  <c r="P269" i="4"/>
  <c r="P194" i="4"/>
  <c r="R59" i="4"/>
  <c r="R124" i="4"/>
  <c r="R188" i="4"/>
  <c r="P267" i="4"/>
  <c r="AQ281" i="4"/>
  <c r="N314" i="4"/>
  <c r="P457" i="4"/>
  <c r="P825" i="4"/>
  <c r="K1639" i="3"/>
  <c r="K1757" i="3"/>
  <c r="K1773" i="3"/>
  <c r="K1847" i="3"/>
  <c r="K1921" i="3"/>
  <c r="K1997" i="3"/>
  <c r="K2014" i="3"/>
  <c r="AF2030" i="3"/>
  <c r="K2048" i="3"/>
  <c r="AF1530" i="3"/>
  <c r="AF1548" i="3"/>
  <c r="AF1585" i="3"/>
  <c r="K1613" i="3"/>
  <c r="K1660" i="3"/>
  <c r="AF1694" i="3"/>
  <c r="K1716" i="3"/>
  <c r="K1737" i="3"/>
  <c r="K1754" i="3"/>
  <c r="K1770" i="3"/>
  <c r="K1805" i="3"/>
  <c r="AF1823" i="3"/>
  <c r="K1841" i="3"/>
  <c r="AF1874" i="3"/>
  <c r="K1896" i="3"/>
  <c r="K1916" i="3"/>
  <c r="K1933" i="3"/>
  <c r="AF1992" i="3"/>
  <c r="K2083" i="3"/>
  <c r="AF2169" i="3"/>
  <c r="AF2208" i="3"/>
  <c r="K2224" i="3"/>
  <c r="AF2240" i="3"/>
  <c r="AO20" i="4"/>
  <c r="N53" i="4"/>
  <c r="N125" i="4"/>
  <c r="AQ236" i="4"/>
  <c r="K2059" i="3"/>
  <c r="AF2095" i="3"/>
  <c r="K2111" i="3"/>
  <c r="AF2149" i="3"/>
  <c r="K2167" i="3"/>
  <c r="K2185" i="3"/>
  <c r="K2201" i="3"/>
  <c r="R19" i="4"/>
  <c r="AQ57" i="4"/>
  <c r="R145" i="4"/>
  <c r="K2100" i="3"/>
  <c r="K2168" i="3"/>
  <c r="K2186" i="3"/>
  <c r="K2202" i="3"/>
  <c r="K2290" i="3"/>
  <c r="R32" i="4"/>
  <c r="R69" i="4"/>
  <c r="P187" i="4"/>
  <c r="K2033" i="3"/>
  <c r="K2109" i="3"/>
  <c r="AF2185" i="3"/>
  <c r="AF2201" i="3"/>
  <c r="K2227" i="3"/>
  <c r="N36" i="4"/>
  <c r="R242" i="4"/>
  <c r="P53" i="4"/>
  <c r="N162" i="4"/>
  <c r="AQ62" i="4"/>
  <c r="R178" i="4"/>
  <c r="AQ102" i="4"/>
  <c r="P233" i="4"/>
  <c r="R78" i="4"/>
  <c r="N144" i="4"/>
  <c r="R207" i="4"/>
  <c r="N117" i="4"/>
  <c r="N359" i="4"/>
  <c r="R394" i="4"/>
  <c r="N392" i="4"/>
  <c r="K1636" i="3"/>
  <c r="K1677" i="3"/>
  <c r="K1786" i="3"/>
  <c r="K1808" i="3"/>
  <c r="AF1826" i="3"/>
  <c r="AF1864" i="3"/>
  <c r="AF1882" i="3"/>
  <c r="K2011" i="3"/>
  <c r="K2076" i="3"/>
  <c r="AF1492" i="3"/>
  <c r="K1527" i="3"/>
  <c r="AF1544" i="3"/>
  <c r="K1610" i="3"/>
  <c r="K1657" i="3"/>
  <c r="AF1690" i="3"/>
  <c r="K1713" i="3"/>
  <c r="K1892" i="3"/>
  <c r="AF1895" i="3"/>
  <c r="K1932" i="3"/>
  <c r="K2082" i="3"/>
  <c r="K2131" i="3"/>
  <c r="K2184" i="3"/>
  <c r="AQ18" i="4"/>
  <c r="P50" i="4"/>
  <c r="P117" i="4"/>
  <c r="R229" i="4"/>
  <c r="K2058" i="3"/>
  <c r="K2166" i="3"/>
  <c r="AF2216" i="3"/>
  <c r="R17" i="4"/>
  <c r="P55" i="4"/>
  <c r="N130" i="4"/>
  <c r="K2236" i="3"/>
  <c r="K2289" i="3"/>
  <c r="R30" i="4"/>
  <c r="N68" i="4"/>
  <c r="P181" i="4"/>
  <c r="AF2073" i="3"/>
  <c r="K2261" i="3"/>
  <c r="AQ30" i="4"/>
  <c r="R204" i="4"/>
  <c r="P48" i="4"/>
  <c r="R151" i="4"/>
  <c r="K2278" i="3"/>
  <c r="P57" i="4"/>
  <c r="AQ170" i="4"/>
  <c r="R95" i="4"/>
  <c r="N226" i="4"/>
  <c r="N75" i="4"/>
  <c r="N140" i="4"/>
  <c r="N203" i="4"/>
  <c r="R110" i="4"/>
  <c r="N342" i="4"/>
  <c r="P378" i="4"/>
  <c r="R360" i="4"/>
  <c r="K1728" i="3"/>
  <c r="K1745" i="3"/>
  <c r="K1761" i="3"/>
  <c r="K1797" i="3"/>
  <c r="K1852" i="3"/>
  <c r="K1871" i="3"/>
  <c r="AF2002" i="3"/>
  <c r="AF2034" i="3"/>
  <c r="AF1552" i="3"/>
  <c r="K1569" i="3"/>
  <c r="K1618" i="3"/>
  <c r="K1698" i="3"/>
  <c r="K1720" i="3"/>
  <c r="K1742" i="3"/>
  <c r="K1758" i="3"/>
  <c r="K1774" i="3"/>
  <c r="K1809" i="3"/>
  <c r="K1845" i="3"/>
  <c r="K1862" i="3"/>
  <c r="AF1878" i="3"/>
  <c r="K1901" i="3"/>
  <c r="K1979" i="3"/>
  <c r="AF1996" i="3"/>
  <c r="K2015" i="3"/>
  <c r="AF2194" i="3"/>
  <c r="AF2244" i="3"/>
  <c r="AF2262" i="3"/>
  <c r="AQ27" i="4"/>
  <c r="AQ61" i="4"/>
  <c r="R158" i="4"/>
  <c r="N262" i="4"/>
  <c r="K2067" i="3"/>
  <c r="K2099" i="3"/>
  <c r="AF2117" i="3"/>
  <c r="K2153" i="3"/>
  <c r="K2205" i="3"/>
  <c r="AF2223" i="3"/>
  <c r="K2283" i="3"/>
  <c r="N28" i="4"/>
  <c r="P67" i="4"/>
  <c r="R185" i="4"/>
  <c r="AF2085" i="3"/>
  <c r="K2104" i="3"/>
  <c r="K2138" i="3"/>
  <c r="K2174" i="3"/>
  <c r="K2190" i="3"/>
  <c r="K2206" i="3"/>
  <c r="K2244" i="3"/>
  <c r="K2268" i="3"/>
  <c r="P9" i="4"/>
  <c r="P41" i="4"/>
  <c r="AQ85" i="4"/>
  <c r="R233" i="4"/>
  <c r="K2037" i="3"/>
  <c r="K2113" i="3"/>
  <c r="AF2173" i="3"/>
  <c r="AQ52" i="4"/>
  <c r="N5" i="4"/>
  <c r="N76" i="4"/>
  <c r="AQ192" i="4"/>
  <c r="N9" i="4"/>
  <c r="N85" i="4"/>
  <c r="R212" i="4"/>
  <c r="N137" i="4"/>
  <c r="AQ264" i="4"/>
  <c r="AQ95" i="4"/>
  <c r="P160" i="4"/>
  <c r="R223" i="4"/>
  <c r="R174" i="4"/>
  <c r="P419" i="4"/>
  <c r="R469" i="4"/>
  <c r="N583" i="4"/>
  <c r="K1640" i="3"/>
  <c r="K1831" i="3"/>
  <c r="K1848" i="3"/>
  <c r="AF1868" i="3"/>
  <c r="K1922" i="3"/>
  <c r="K1998" i="3"/>
  <c r="K2049" i="3"/>
  <c r="K1513" i="3"/>
  <c r="K1549" i="3"/>
  <c r="K1565" i="3"/>
  <c r="K1586" i="3"/>
  <c r="K1614" i="3"/>
  <c r="K1695" i="3"/>
  <c r="K1717" i="3"/>
  <c r="AF1739" i="3"/>
  <c r="AF1789" i="3"/>
  <c r="K1824" i="3"/>
  <c r="K1897" i="3"/>
  <c r="K1926" i="3"/>
  <c r="AF1967" i="3"/>
  <c r="AF1984" i="3"/>
  <c r="AF2075" i="3"/>
  <c r="AF2108" i="3"/>
  <c r="AF2124" i="3"/>
  <c r="AF2143" i="3"/>
  <c r="AF2178" i="3"/>
  <c r="K2233" i="3"/>
  <c r="P8" i="4"/>
  <c r="AQ36" i="4"/>
  <c r="N78" i="4"/>
  <c r="P191" i="4"/>
  <c r="K2072" i="3"/>
  <c r="K2123" i="3"/>
  <c r="AF2160" i="3"/>
  <c r="K2228" i="3"/>
  <c r="R4" i="4"/>
  <c r="N37" i="4"/>
  <c r="R84" i="4"/>
  <c r="R231" i="4"/>
  <c r="AF2145" i="3"/>
  <c r="K2252" i="3"/>
  <c r="AF2274" i="3"/>
  <c r="AO19" i="4"/>
  <c r="AQ53" i="4"/>
  <c r="AQ131" i="4"/>
  <c r="AF2061" i="3"/>
  <c r="K2120" i="3"/>
  <c r="K2136" i="3"/>
  <c r="K2155" i="3"/>
  <c r="K2247" i="3"/>
  <c r="R9" i="4"/>
  <c r="AQ81" i="4"/>
  <c r="R23" i="4"/>
  <c r="AQ105" i="4"/>
  <c r="P230" i="4"/>
  <c r="P30" i="4"/>
  <c r="N122" i="4"/>
  <c r="N252" i="4"/>
  <c r="AQ176" i="4"/>
  <c r="R51" i="4"/>
  <c r="P115" i="4"/>
  <c r="N180" i="4"/>
  <c r="P251" i="4"/>
  <c r="R252" i="4"/>
  <c r="N281" i="4"/>
  <c r="AO394" i="4"/>
  <c r="AQ641" i="4"/>
  <c r="K2242" i="3"/>
  <c r="AQ28" i="4"/>
  <c r="N66" i="4"/>
  <c r="AQ156" i="4"/>
  <c r="AF2249" i="3"/>
  <c r="K2281" i="3"/>
  <c r="AQ9" i="4"/>
  <c r="R24" i="4"/>
  <c r="N40" i="4"/>
  <c r="N60" i="4"/>
  <c r="N82" i="4"/>
  <c r="AQ107" i="4"/>
  <c r="AQ137" i="4"/>
  <c r="N172" i="4"/>
  <c r="AQ202" i="4"/>
  <c r="P232" i="4"/>
  <c r="P264" i="4"/>
  <c r="K2287" i="3"/>
  <c r="P15" i="4"/>
  <c r="P31" i="4"/>
  <c r="N46" i="4"/>
  <c r="AQ68" i="4"/>
  <c r="N92" i="4"/>
  <c r="N124" i="4"/>
  <c r="AQ155" i="4"/>
  <c r="R186" i="4"/>
  <c r="P223" i="4"/>
  <c r="AQ253" i="4"/>
  <c r="R85" i="4"/>
  <c r="N115" i="4"/>
  <c r="AQ146" i="4"/>
  <c r="AQ178" i="4"/>
  <c r="AQ210" i="4"/>
  <c r="AQ241" i="4"/>
  <c r="AQ267" i="4"/>
  <c r="R52" i="4"/>
  <c r="R67" i="4"/>
  <c r="P83" i="4"/>
  <c r="AQ100" i="4"/>
  <c r="N116" i="4"/>
  <c r="P133" i="4"/>
  <c r="AQ148" i="4"/>
  <c r="P165" i="4"/>
  <c r="AQ180" i="4"/>
  <c r="R196" i="4"/>
  <c r="N212" i="4"/>
  <c r="AQ227" i="4"/>
  <c r="N253" i="4"/>
  <c r="N96" i="4"/>
  <c r="R132" i="4"/>
  <c r="N194" i="4"/>
  <c r="P256" i="4"/>
  <c r="AQ314" i="4"/>
  <c r="N378" i="4"/>
  <c r="R438" i="4"/>
  <c r="N285" i="4"/>
  <c r="R350" i="4"/>
  <c r="R416" i="4"/>
  <c r="N505" i="4"/>
  <c r="R402" i="4"/>
  <c r="AQ303" i="4"/>
  <c r="N430" i="4"/>
  <c r="R509" i="4"/>
  <c r="AQ674" i="4"/>
  <c r="AQ161" i="4"/>
  <c r="K2217" i="3"/>
  <c r="K2250" i="3"/>
  <c r="K2282" i="3"/>
  <c r="R10" i="4"/>
  <c r="P25" i="4"/>
  <c r="AQ40" i="4"/>
  <c r="P61" i="4"/>
  <c r="R83" i="4"/>
  <c r="AQ109" i="4"/>
  <c r="AQ139" i="4"/>
  <c r="N174" i="4"/>
  <c r="AQ204" i="4"/>
  <c r="P235" i="4"/>
  <c r="AQ265" i="4"/>
  <c r="K2288" i="3"/>
  <c r="P16" i="4"/>
  <c r="P32" i="4"/>
  <c r="P47" i="4"/>
  <c r="N70" i="4"/>
  <c r="AO93" i="4"/>
  <c r="R127" i="4"/>
  <c r="R157" i="4"/>
  <c r="P188" i="4"/>
  <c r="P225" i="4"/>
  <c r="AQ255" i="4"/>
  <c r="AO86" i="4"/>
  <c r="R118" i="4"/>
  <c r="R150" i="4"/>
  <c r="R182" i="4"/>
  <c r="AQ212" i="4"/>
  <c r="P245" i="4"/>
  <c r="R269" i="4"/>
  <c r="R53" i="4"/>
  <c r="R68" i="4"/>
  <c r="P84" i="4"/>
  <c r="AQ101" i="4"/>
  <c r="AQ116" i="4"/>
  <c r="P134" i="4"/>
  <c r="AQ149" i="4"/>
  <c r="P166" i="4"/>
  <c r="AQ181" i="4"/>
  <c r="R197" i="4"/>
  <c r="N213" i="4"/>
  <c r="AQ228" i="4"/>
  <c r="N255" i="4"/>
  <c r="N98" i="4"/>
  <c r="R136" i="4"/>
  <c r="AQ198" i="4"/>
  <c r="N260" i="4"/>
  <c r="P318" i="4"/>
  <c r="AQ382" i="4"/>
  <c r="P442" i="4"/>
  <c r="R290" i="4"/>
  <c r="P355" i="4"/>
  <c r="P420" i="4"/>
  <c r="AQ285" i="4"/>
  <c r="N410" i="4"/>
  <c r="R312" i="4"/>
  <c r="P438" i="4"/>
  <c r="P540" i="4"/>
  <c r="P607" i="4"/>
  <c r="K2270" i="3"/>
  <c r="R18" i="4"/>
  <c r="N50" i="4"/>
  <c r="P120" i="4"/>
  <c r="N235" i="4"/>
  <c r="K2243" i="3"/>
  <c r="K2259" i="3"/>
  <c r="P3" i="4"/>
  <c r="N19" i="4"/>
  <c r="R33" i="4"/>
  <c r="N52" i="4"/>
  <c r="AQ74" i="4"/>
  <c r="R96" i="4"/>
  <c r="AQ126" i="4"/>
  <c r="N160" i="4"/>
  <c r="N192" i="4"/>
  <c r="N221" i="4"/>
  <c r="AQ251" i="4"/>
  <c r="N8" i="4"/>
  <c r="R25" i="4"/>
  <c r="P40" i="4"/>
  <c r="P60" i="4"/>
  <c r="AQ83" i="4"/>
  <c r="R111" i="4"/>
  <c r="R144" i="4"/>
  <c r="AP176" i="4"/>
  <c r="N210" i="4"/>
  <c r="R243" i="4"/>
  <c r="AQ77" i="4"/>
  <c r="R101" i="4"/>
  <c r="N135" i="4"/>
  <c r="N167" i="4"/>
  <c r="P200" i="4"/>
  <c r="P231" i="4"/>
  <c r="P263" i="4"/>
  <c r="AF1930" i="3"/>
  <c r="K2026" i="3"/>
  <c r="K2080" i="3"/>
  <c r="K2096" i="3"/>
  <c r="K2129" i="3"/>
  <c r="AF2182" i="3"/>
  <c r="K2221" i="3"/>
  <c r="K2237" i="3"/>
  <c r="AF2271" i="3"/>
  <c r="AQ14" i="4"/>
  <c r="P44" i="4"/>
  <c r="N107" i="4"/>
  <c r="P217" i="4"/>
  <c r="K2092" i="3"/>
  <c r="K2164" i="3"/>
  <c r="K2181" i="3"/>
  <c r="AF2214" i="3"/>
  <c r="AQ11" i="4"/>
  <c r="P46" i="4"/>
  <c r="P119" i="4"/>
  <c r="N264" i="4"/>
  <c r="AF2097" i="3"/>
  <c r="AF2131" i="3"/>
  <c r="K2232" i="3"/>
  <c r="AQ26" i="4"/>
  <c r="P63" i="4"/>
  <c r="AQ167" i="4"/>
  <c r="K2046" i="3"/>
  <c r="K2065" i="3"/>
  <c r="K2160" i="3"/>
  <c r="K2257" i="3"/>
  <c r="N24" i="4"/>
  <c r="P149" i="4"/>
  <c r="N39" i="4"/>
  <c r="N136" i="4"/>
  <c r="P262" i="4"/>
  <c r="AQ44" i="4"/>
  <c r="N154" i="4"/>
  <c r="N84" i="4"/>
  <c r="AQ208" i="4"/>
  <c r="AQ66" i="4"/>
  <c r="P132" i="4"/>
  <c r="N196" i="4"/>
  <c r="P94" i="4"/>
  <c r="AQ310" i="4"/>
  <c r="N347" i="4"/>
  <c r="P296" i="4"/>
  <c r="AF2212" i="3"/>
  <c r="K2246" i="3"/>
  <c r="R7" i="4"/>
  <c r="AQ37" i="4"/>
  <c r="N77" i="4"/>
  <c r="P189" i="4"/>
  <c r="K2286" i="3"/>
  <c r="P13" i="4"/>
  <c r="P28" i="4"/>
  <c r="AQ43" i="4"/>
  <c r="N65" i="4"/>
  <c r="P87" i="4"/>
  <c r="N114" i="4"/>
  <c r="AQ145" i="4"/>
  <c r="AQ179" i="4"/>
  <c r="AQ209" i="4"/>
  <c r="AQ240" i="4"/>
  <c r="P278" i="4"/>
  <c r="R2" i="4"/>
  <c r="P19" i="4"/>
  <c r="AQ34" i="4"/>
  <c r="N51" i="4"/>
  <c r="AQ73" i="4"/>
  <c r="P99" i="4"/>
  <c r="AQ132" i="4"/>
  <c r="AQ164" i="4"/>
  <c r="R193" i="4"/>
  <c r="R232" i="4"/>
  <c r="N261" i="4"/>
  <c r="R90" i="4"/>
  <c r="P122" i="4"/>
  <c r="R156" i="4"/>
  <c r="N187" i="4"/>
  <c r="N220" i="4"/>
  <c r="AQ250" i="4"/>
  <c r="R273" i="4"/>
  <c r="N56" i="4"/>
  <c r="P71" i="4"/>
  <c r="N87" i="4"/>
  <c r="P104" i="4"/>
  <c r="AQ120" i="4"/>
  <c r="P137" i="4"/>
  <c r="R153" i="4"/>
  <c r="P169" i="4"/>
  <c r="N185" i="4"/>
  <c r="R200" i="4"/>
  <c r="N216" i="4"/>
  <c r="AQ231" i="4"/>
  <c r="R261" i="4"/>
  <c r="R104" i="4"/>
  <c r="P148" i="4"/>
  <c r="R210" i="4"/>
  <c r="AQ272" i="4"/>
  <c r="N330" i="4"/>
  <c r="P394" i="4"/>
  <c r="N454" i="4"/>
  <c r="P302" i="4"/>
  <c r="R366" i="4"/>
  <c r="N433" i="4"/>
  <c r="P309" i="4"/>
  <c r="P433" i="4"/>
  <c r="N337" i="4"/>
  <c r="P461" i="4"/>
  <c r="AP523" i="4"/>
  <c r="P792" i="4"/>
  <c r="R194" i="4"/>
  <c r="K2222" i="3"/>
  <c r="N14" i="4"/>
  <c r="N29" i="4"/>
  <c r="R45" i="4"/>
  <c r="P66" i="4"/>
  <c r="R88" i="4"/>
  <c r="AQ115" i="4"/>
  <c r="AQ147" i="4"/>
  <c r="R181" i="4"/>
  <c r="AQ211" i="4"/>
  <c r="AQ242" i="4"/>
  <c r="AF2276" i="3"/>
  <c r="R3" i="4"/>
  <c r="AQ19" i="4"/>
  <c r="AQ35" i="4"/>
  <c r="P52" i="4"/>
  <c r="P75" i="4"/>
  <c r="P101" i="4"/>
  <c r="AQ134" i="4"/>
  <c r="AQ166" i="4"/>
  <c r="P196" i="4"/>
  <c r="N234" i="4"/>
  <c r="N263" i="4"/>
  <c r="P92" i="4"/>
  <c r="P124" i="4"/>
  <c r="P158" i="4"/>
  <c r="N189" i="4"/>
  <c r="N222" i="4"/>
  <c r="R254" i="4"/>
  <c r="R274" i="4"/>
  <c r="N57" i="4"/>
  <c r="N73" i="4"/>
  <c r="N88" i="4"/>
  <c r="P105" i="4"/>
  <c r="R122" i="4"/>
  <c r="N138" i="4"/>
  <c r="R154" i="4"/>
  <c r="P170" i="4"/>
  <c r="AQ185" i="4"/>
  <c r="P201" i="4"/>
  <c r="AQ216" i="4"/>
  <c r="AQ232" i="4"/>
  <c r="R263" i="4"/>
  <c r="R106" i="4"/>
  <c r="N152" i="4"/>
  <c r="P214" i="4"/>
  <c r="N278" i="4"/>
  <c r="AQ333" i="4"/>
  <c r="R397" i="4"/>
  <c r="R459" i="4"/>
  <c r="P306" i="4"/>
  <c r="P370" i="4"/>
  <c r="AQ437" i="4"/>
  <c r="N317" i="4"/>
  <c r="N441" i="4"/>
  <c r="R344" i="4"/>
  <c r="N469" i="4"/>
  <c r="P555" i="4"/>
  <c r="P778" i="4"/>
  <c r="N25" i="4"/>
  <c r="P59" i="4"/>
  <c r="R141" i="4"/>
  <c r="N265" i="4"/>
  <c r="K2263" i="3"/>
  <c r="AQ7" i="4"/>
  <c r="R22" i="4"/>
  <c r="N38" i="4"/>
  <c r="AQ56" i="4"/>
  <c r="R79" i="4"/>
  <c r="AQ103" i="4"/>
  <c r="N134" i="4"/>
  <c r="N168" i="4"/>
  <c r="P199" i="4"/>
  <c r="P228" i="4"/>
  <c r="P259" i="4"/>
  <c r="R13" i="4"/>
  <c r="P29" i="4"/>
  <c r="N44" i="4"/>
  <c r="R66" i="4"/>
  <c r="AQ88" i="4"/>
  <c r="P118" i="4"/>
  <c r="P152" i="4"/>
  <c r="P183" i="4"/>
  <c r="P218" i="4"/>
  <c r="N250" i="4"/>
  <c r="AQ82" i="4"/>
  <c r="AQ108" i="4"/>
  <c r="AQ142" i="4"/>
  <c r="N175" i="4"/>
  <c r="P207" i="4"/>
  <c r="N238" i="4"/>
  <c r="R275" i="4"/>
  <c r="K1917" i="3"/>
  <c r="K1993" i="3"/>
  <c r="AF2048" i="3"/>
  <c r="K2084" i="3"/>
  <c r="AF2100" i="3"/>
  <c r="K2170" i="3"/>
  <c r="AF2191" i="3"/>
  <c r="K2225" i="3"/>
  <c r="K2241" i="3"/>
  <c r="AF2259" i="3"/>
  <c r="P22" i="4"/>
  <c r="AQ54" i="4"/>
  <c r="AQ135" i="4"/>
  <c r="P244" i="4"/>
  <c r="K2060" i="3"/>
  <c r="AF2113" i="3"/>
  <c r="K2150" i="3"/>
  <c r="K2276" i="3"/>
  <c r="N21" i="4"/>
  <c r="AQ60" i="4"/>
  <c r="N153" i="4"/>
  <c r="K2169" i="3"/>
  <c r="K2187" i="3"/>
  <c r="K2240" i="3"/>
  <c r="N3" i="4"/>
  <c r="N34" i="4"/>
  <c r="N72" i="4"/>
  <c r="N195" i="4"/>
  <c r="AF2093" i="3"/>
  <c r="K2231" i="3"/>
  <c r="AQ39" i="4"/>
  <c r="AF2215" i="3"/>
  <c r="AF2280" i="3"/>
  <c r="AQ58" i="4"/>
  <c r="N170" i="4"/>
  <c r="AQ67" i="4"/>
  <c r="AQ184" i="4"/>
  <c r="P113" i="4"/>
  <c r="AQ239" i="4"/>
  <c r="P82" i="4"/>
  <c r="N148" i="4"/>
  <c r="P211" i="4"/>
  <c r="P128" i="4"/>
  <c r="N375" i="4"/>
  <c r="AQ411" i="4"/>
  <c r="R422" i="4"/>
  <c r="K2234" i="3"/>
  <c r="R14" i="4"/>
  <c r="P45" i="4"/>
  <c r="P100" i="4"/>
  <c r="N209" i="4"/>
  <c r="AF2257" i="3"/>
  <c r="N17" i="4"/>
  <c r="N32" i="4"/>
  <c r="P49" i="4"/>
  <c r="P72" i="4"/>
  <c r="P93" i="4"/>
  <c r="P123" i="4"/>
  <c r="P153" i="4"/>
  <c r="N188" i="4"/>
  <c r="R217" i="4"/>
  <c r="AQ247" i="4"/>
  <c r="K2279" i="3"/>
  <c r="P6" i="4"/>
  <c r="AQ22" i="4"/>
  <c r="P38" i="4"/>
  <c r="P58" i="4"/>
  <c r="N81" i="4"/>
  <c r="N108" i="4"/>
  <c r="R140" i="4"/>
  <c r="AQ172" i="4"/>
  <c r="R203" i="4"/>
  <c r="AP239" i="4"/>
  <c r="R75" i="4"/>
  <c r="R97" i="4"/>
  <c r="N131" i="4"/>
  <c r="N163" i="4"/>
  <c r="AQ194" i="4"/>
  <c r="R227" i="4"/>
  <c r="P260" i="4"/>
  <c r="N45" i="4"/>
  <c r="R60" i="4"/>
  <c r="AQ75" i="4"/>
  <c r="AQ91" i="4"/>
  <c r="P108" i="4"/>
  <c r="R125" i="4"/>
  <c r="N141" i="4"/>
  <c r="N157" i="4"/>
  <c r="P173" i="4"/>
  <c r="R189" i="4"/>
  <c r="N204" i="4"/>
  <c r="R220" i="4"/>
  <c r="P238" i="4"/>
  <c r="AQ268" i="4"/>
  <c r="AQ111" i="4"/>
  <c r="R162" i="4"/>
  <c r="AQ225" i="4"/>
  <c r="R285" i="4"/>
  <c r="AQ346" i="4"/>
  <c r="AQ407" i="4"/>
  <c r="P470" i="4"/>
  <c r="R318" i="4"/>
  <c r="N382" i="4"/>
  <c r="P454" i="4"/>
  <c r="AQ338" i="4"/>
  <c r="AQ464" i="4"/>
  <c r="AQ367" i="4"/>
  <c r="R495" i="4"/>
  <c r="R644" i="4"/>
  <c r="P858" i="4"/>
  <c r="P220" i="4"/>
  <c r="K2226" i="3"/>
  <c r="K2258" i="3"/>
  <c r="P2" i="4"/>
  <c r="N18" i="4"/>
  <c r="AP32" i="4"/>
  <c r="AQ50" i="4"/>
  <c r="R73" i="4"/>
  <c r="AQ94" i="4"/>
  <c r="P125" i="4"/>
  <c r="N155" i="4"/>
  <c r="N190" i="4"/>
  <c r="R219" i="4"/>
  <c r="AQ249" i="4"/>
  <c r="P7" i="4"/>
  <c r="AQ23" i="4"/>
  <c r="P39" i="4"/>
  <c r="N59" i="4"/>
  <c r="R82" i="4"/>
  <c r="N110" i="4"/>
  <c r="R142" i="4"/>
  <c r="AQ174" i="4"/>
  <c r="N207" i="4"/>
  <c r="R241" i="4"/>
  <c r="R76" i="4"/>
  <c r="R99" i="4"/>
  <c r="N133" i="4"/>
  <c r="N165" i="4"/>
  <c r="P198" i="4"/>
  <c r="P229" i="4"/>
  <c r="P261" i="4"/>
  <c r="AQ45" i="4"/>
  <c r="R61" i="4"/>
  <c r="AQ76" i="4"/>
  <c r="R92" i="4"/>
  <c r="P109" i="4"/>
  <c r="P126" i="4"/>
  <c r="N142" i="4"/>
  <c r="AQ157" i="4"/>
  <c r="P174" i="4"/>
  <c r="R190" i="4"/>
  <c r="N205" i="4"/>
  <c r="R221" i="4"/>
  <c r="N240" i="4"/>
  <c r="N271" i="4"/>
  <c r="AQ113" i="4"/>
  <c r="R166" i="4"/>
  <c r="N229" i="4"/>
  <c r="N289" i="4"/>
  <c r="P351" i="4"/>
  <c r="R411" i="4"/>
  <c r="P474" i="4"/>
  <c r="P322" i="4"/>
  <c r="R386" i="4"/>
  <c r="AQ459" i="4"/>
  <c r="P347" i="4"/>
  <c r="AQ472" i="4"/>
  <c r="P377" i="4"/>
  <c r="N523" i="4"/>
  <c r="P675" i="4"/>
  <c r="K2262" i="3"/>
  <c r="AQ3" i="4"/>
  <c r="P34" i="4"/>
  <c r="R70" i="4"/>
  <c r="AQ169" i="4"/>
  <c r="K2218" i="3"/>
  <c r="K2251" i="3"/>
  <c r="AF2284" i="3"/>
  <c r="P11" i="4"/>
  <c r="P26" i="4"/>
  <c r="AQ41" i="4"/>
  <c r="R62" i="4"/>
  <c r="AQ84" i="4"/>
  <c r="P111" i="4"/>
  <c r="AQ141" i="4"/>
  <c r="N176" i="4"/>
  <c r="R206" i="4"/>
  <c r="N237" i="4"/>
  <c r="R268" i="4"/>
  <c r="P17" i="4"/>
  <c r="AQ32" i="4"/>
  <c r="R48" i="4"/>
  <c r="R71" i="4"/>
  <c r="P95" i="4"/>
  <c r="R129" i="4"/>
  <c r="AQ160" i="4"/>
  <c r="P190" i="4"/>
  <c r="R228" i="4"/>
  <c r="R257" i="4"/>
  <c r="AQ87" i="4"/>
  <c r="N120" i="4"/>
  <c r="R152" i="4"/>
  <c r="AQ183" i="4"/>
  <c r="AQ214" i="4"/>
  <c r="P247" i="4"/>
  <c r="AQ270" i="4"/>
  <c r="AF1903" i="3"/>
  <c r="K2016" i="3"/>
  <c r="AF2088" i="3"/>
  <c r="AF2104" i="3"/>
  <c r="K2137" i="3"/>
  <c r="AF2174" i="3"/>
  <c r="AF2213" i="3"/>
  <c r="K2229" i="3"/>
  <c r="K2245" i="3"/>
  <c r="AF2263" i="3"/>
  <c r="AF2288" i="3"/>
  <c r="R29" i="4"/>
  <c r="P64" i="4"/>
  <c r="AQ163" i="4"/>
  <c r="K2068" i="3"/>
  <c r="K2118" i="3"/>
  <c r="AQ29" i="4"/>
  <c r="N69" i="4"/>
  <c r="N208" i="4"/>
  <c r="K2139" i="3"/>
  <c r="K2191" i="3"/>
  <c r="K2207" i="3"/>
  <c r="N12" i="4"/>
  <c r="P43" i="4"/>
  <c r="P91" i="4"/>
  <c r="R240" i="4"/>
  <c r="K2054" i="3"/>
  <c r="AF2115" i="3"/>
  <c r="AF2132" i="3"/>
  <c r="K2239" i="3"/>
  <c r="K2280" i="3"/>
  <c r="R56" i="4"/>
  <c r="AQ8" i="4"/>
  <c r="AQ80" i="4"/>
  <c r="N201" i="4"/>
  <c r="P14" i="4"/>
  <c r="P90" i="4"/>
  <c r="P221" i="4"/>
  <c r="AQ144" i="4"/>
  <c r="N267" i="4"/>
  <c r="AQ99" i="4"/>
  <c r="P164" i="4"/>
  <c r="N227" i="4"/>
  <c r="AQ189" i="4"/>
  <c r="AQ433" i="4"/>
  <c r="P491" i="4"/>
  <c r="P593" i="4"/>
  <c r="K2238" i="3"/>
  <c r="N22" i="4"/>
  <c r="N54" i="4"/>
  <c r="R128" i="4"/>
  <c r="N249" i="4"/>
  <c r="AF2261" i="3"/>
  <c r="N6" i="4"/>
  <c r="AP20" i="4"/>
  <c r="R35" i="4"/>
  <c r="R54" i="4"/>
  <c r="P77" i="4"/>
  <c r="R100" i="4"/>
  <c r="P130" i="4"/>
  <c r="N164" i="4"/>
  <c r="AQ195" i="4"/>
  <c r="N225" i="4"/>
  <c r="R255" i="4"/>
  <c r="R11" i="4"/>
  <c r="R27" i="4"/>
  <c r="N42" i="4"/>
  <c r="N64" i="4"/>
  <c r="R86" i="4"/>
  <c r="AQ114" i="4"/>
  <c r="R148" i="4"/>
  <c r="R180" i="4"/>
  <c r="R214" i="4"/>
  <c r="N247" i="4"/>
  <c r="N80" i="4"/>
  <c r="AQ104" i="4"/>
  <c r="AQ138" i="4"/>
  <c r="N171" i="4"/>
  <c r="AQ203" i="4"/>
  <c r="P234" i="4"/>
  <c r="AQ266" i="4"/>
  <c r="AQ48" i="4"/>
  <c r="AQ63" i="4"/>
  <c r="P79" i="4"/>
  <c r="AQ96" i="4"/>
  <c r="R112" i="4"/>
  <c r="AQ128" i="4"/>
  <c r="N145" i="4"/>
  <c r="P161" i="4"/>
  <c r="N177" i="4"/>
  <c r="N193" i="4"/>
  <c r="R208" i="4"/>
  <c r="R224" i="4"/>
  <c r="R245" i="4"/>
  <c r="N279" i="4"/>
  <c r="N119" i="4"/>
  <c r="P178" i="4"/>
  <c r="P240" i="4"/>
  <c r="R299" i="4"/>
  <c r="R363" i="4"/>
  <c r="AQ422" i="4"/>
  <c r="R485" i="4"/>
  <c r="AQ335" i="4"/>
  <c r="P400" i="4"/>
  <c r="R475" i="4"/>
  <c r="P371" i="4"/>
  <c r="P271" i="4"/>
  <c r="N399" i="4"/>
  <c r="P498" i="4"/>
  <c r="N657" i="4"/>
  <c r="AQ133" i="4"/>
  <c r="AQ254" i="4"/>
  <c r="N7" i="4"/>
  <c r="R21" i="4"/>
  <c r="P36" i="4"/>
  <c r="R55" i="4"/>
  <c r="P78" i="4"/>
  <c r="P102" i="4"/>
  <c r="N132" i="4"/>
  <c r="N166" i="4"/>
  <c r="P197" i="4"/>
  <c r="AQ226" i="4"/>
  <c r="P257" i="4"/>
  <c r="R12" i="4"/>
  <c r="R28" i="4"/>
  <c r="N43" i="4"/>
  <c r="P65" i="4"/>
  <c r="R87" i="4"/>
  <c r="R116" i="4"/>
  <c r="P150" i="4"/>
  <c r="P182" i="4"/>
  <c r="R216" i="4"/>
  <c r="N248" i="4"/>
  <c r="R81" i="4"/>
  <c r="AQ106" i="4"/>
  <c r="AQ140" i="4"/>
  <c r="N173" i="4"/>
  <c r="R205" i="4"/>
  <c r="N236" i="4"/>
  <c r="R270" i="4"/>
  <c r="R49" i="4"/>
  <c r="AQ64" i="4"/>
  <c r="P80" i="4"/>
  <c r="AQ97" i="4"/>
  <c r="R113" i="4"/>
  <c r="R130" i="4"/>
  <c r="N146" i="4"/>
  <c r="P162" i="4"/>
  <c r="N178" i="4"/>
  <c r="AQ193" i="4"/>
  <c r="P209" i="4"/>
  <c r="R225" i="4"/>
  <c r="R247" i="4"/>
  <c r="N90" i="4"/>
  <c r="R120" i="4"/>
  <c r="N182" i="4"/>
  <c r="N244" i="4"/>
  <c r="N303" i="4"/>
  <c r="N367" i="4"/>
  <c r="P426" i="4"/>
  <c r="N489" i="4"/>
  <c r="R339" i="4"/>
  <c r="N404" i="4"/>
  <c r="R480" i="4"/>
  <c r="R378" i="4"/>
  <c r="R280" i="4"/>
  <c r="AQ406" i="4"/>
  <c r="N530" i="4"/>
  <c r="AQ687" i="4"/>
  <c r="K2214" i="3"/>
  <c r="K2266" i="3"/>
  <c r="AQ10" i="4"/>
  <c r="R41" i="4"/>
  <c r="AQ86" i="4"/>
  <c r="N197" i="4"/>
  <c r="K2271" i="3"/>
  <c r="N15" i="4"/>
  <c r="N30" i="4"/>
  <c r="N47" i="4"/>
  <c r="AQ69" i="4"/>
  <c r="AQ89" i="4"/>
  <c r="R117" i="4"/>
  <c r="R149" i="4"/>
  <c r="N183" i="4"/>
  <c r="AQ213" i="4"/>
  <c r="R244" i="4"/>
  <c r="K2277" i="3"/>
  <c r="P4" i="4"/>
  <c r="AQ20" i="4"/>
  <c r="R36" i="4"/>
  <c r="AQ55" i="4"/>
  <c r="P76" i="4"/>
  <c r="N104" i="4"/>
  <c r="AQ136" i="4"/>
  <c r="AQ168" i="4"/>
  <c r="N198" i="4"/>
  <c r="AQ235" i="4"/>
  <c r="N266" i="4"/>
  <c r="AQ93" i="4"/>
  <c r="AQ125" i="4"/>
  <c r="N159" i="4"/>
  <c r="N191" i="4"/>
  <c r="N224" i="4"/>
  <c r="R256" i="4"/>
  <c r="P277" i="4"/>
  <c r="AQ46" i="4"/>
  <c r="P62" i="4"/>
  <c r="R77" i="4"/>
  <c r="N94" i="4"/>
  <c r="P110" i="4"/>
  <c r="N127" i="4"/>
  <c r="N143" i="4"/>
  <c r="P159" i="4"/>
  <c r="P175" i="4"/>
  <c r="R191" i="4"/>
  <c r="AQ205" i="4"/>
  <c r="R222" i="4"/>
  <c r="N242" i="4"/>
  <c r="AQ273" i="4"/>
  <c r="R115" i="4"/>
  <c r="R170" i="4"/>
  <c r="N233" i="4"/>
  <c r="N292" i="4"/>
  <c r="N355" i="4"/>
  <c r="P415" i="4"/>
  <c r="P478" i="4"/>
  <c r="N326" i="4"/>
  <c r="N390" i="4"/>
  <c r="AP464" i="4"/>
  <c r="R354" i="4"/>
  <c r="AQ480" i="4"/>
  <c r="P385" i="4"/>
  <c r="AO552" i="4"/>
  <c r="AQ707" i="4"/>
  <c r="P237" i="4"/>
  <c r="P252" i="4"/>
  <c r="N268" i="4"/>
  <c r="N95" i="4"/>
  <c r="N111" i="4"/>
  <c r="AQ124" i="4"/>
  <c r="P141" i="4"/>
  <c r="P156" i="4"/>
  <c r="R171" i="4"/>
  <c r="AQ186" i="4"/>
  <c r="P203" i="4"/>
  <c r="N219" i="4"/>
  <c r="AQ233" i="4"/>
  <c r="R249" i="4"/>
  <c r="R265" i="4"/>
  <c r="P279" i="4"/>
  <c r="AQ292" i="4"/>
  <c r="AQ307" i="4"/>
  <c r="AQ323" i="4"/>
  <c r="P339" i="4"/>
  <c r="N356" i="4"/>
  <c r="R372" i="4"/>
  <c r="P387" i="4"/>
  <c r="N402" i="4"/>
  <c r="P416" i="4"/>
  <c r="N431" i="4"/>
  <c r="R447" i="4"/>
  <c r="N464" i="4"/>
  <c r="P479" i="4"/>
  <c r="P496" i="4"/>
  <c r="N295" i="4"/>
  <c r="N311" i="4"/>
  <c r="AQ327" i="4"/>
  <c r="N344" i="4"/>
  <c r="P360" i="4"/>
  <c r="P375" i="4"/>
  <c r="AQ390" i="4"/>
  <c r="AQ408" i="4"/>
  <c r="R426" i="4"/>
  <c r="N445" i="4"/>
  <c r="R465" i="4"/>
  <c r="AQ486" i="4"/>
  <c r="N296" i="4"/>
  <c r="N327" i="4"/>
  <c r="R357" i="4"/>
  <c r="P390" i="4"/>
  <c r="R420" i="4"/>
  <c r="R452" i="4"/>
  <c r="R484" i="4"/>
  <c r="N291" i="4"/>
  <c r="R324" i="4"/>
  <c r="AQ355" i="4"/>
  <c r="N388" i="4"/>
  <c r="N417" i="4"/>
  <c r="AQ448" i="4"/>
  <c r="N480" i="4"/>
  <c r="AQ559" i="4"/>
  <c r="N570" i="4"/>
  <c r="AQ580" i="4"/>
  <c r="AQ593" i="4"/>
  <c r="R715" i="4"/>
  <c r="AQ617" i="4"/>
  <c r="P687" i="4"/>
  <c r="P842" i="4"/>
  <c r="R126" i="4"/>
  <c r="P142" i="4"/>
  <c r="P157" i="4"/>
  <c r="R172" i="4"/>
  <c r="AQ187" i="4"/>
  <c r="P204" i="4"/>
  <c r="AQ219" i="4"/>
  <c r="AQ234" i="4"/>
  <c r="R250" i="4"/>
  <c r="R266" i="4"/>
  <c r="N280" i="4"/>
  <c r="AQ293" i="4"/>
  <c r="AQ308" i="4"/>
  <c r="AQ324" i="4"/>
  <c r="N340" i="4"/>
  <c r="N357" i="4"/>
  <c r="R373" i="4"/>
  <c r="P388" i="4"/>
  <c r="AQ402" i="4"/>
  <c r="P417" i="4"/>
  <c r="N432" i="4"/>
  <c r="N448" i="4"/>
  <c r="AO464" i="4"/>
  <c r="P480" i="4"/>
  <c r="N500" i="4"/>
  <c r="AQ295" i="4"/>
  <c r="N312" i="4"/>
  <c r="P329" i="4"/>
  <c r="N345" i="4"/>
  <c r="AQ360" i="4"/>
  <c r="N376" i="4"/>
  <c r="R392" i="4"/>
  <c r="AQ409" i="4"/>
  <c r="R427" i="4"/>
  <c r="N446" i="4"/>
  <c r="R467" i="4"/>
  <c r="R488" i="4"/>
  <c r="N297" i="4"/>
  <c r="N328" i="4"/>
  <c r="R358" i="4"/>
  <c r="N391" i="4"/>
  <c r="R421" i="4"/>
  <c r="R453" i="4"/>
  <c r="P485" i="4"/>
  <c r="AQ291" i="4"/>
  <c r="R325" i="4"/>
  <c r="AQ356" i="4"/>
  <c r="AQ388" i="4"/>
  <c r="N418" i="4"/>
  <c r="AQ449" i="4"/>
  <c r="N481" i="4"/>
  <c r="N568" i="4"/>
  <c r="R578" i="4"/>
  <c r="AQ590" i="4"/>
  <c r="R601" i="4"/>
  <c r="P725" i="4"/>
  <c r="R626" i="4"/>
  <c r="N702" i="4"/>
  <c r="R741" i="4"/>
  <c r="N243" i="4"/>
  <c r="AQ257" i="4"/>
  <c r="AQ274" i="4"/>
  <c r="N101" i="4"/>
  <c r="P116" i="4"/>
  <c r="R131" i="4"/>
  <c r="P147" i="4"/>
  <c r="R161" i="4"/>
  <c r="P177" i="4"/>
  <c r="P193" i="4"/>
  <c r="R209" i="4"/>
  <c r="AQ224" i="4"/>
  <c r="R239" i="4"/>
  <c r="P255" i="4"/>
  <c r="R271" i="4"/>
  <c r="AQ284" i="4"/>
  <c r="R298" i="4"/>
  <c r="AQ313" i="4"/>
  <c r="N329" i="4"/>
  <c r="AQ345" i="4"/>
  <c r="R362" i="4"/>
  <c r="R377" i="4"/>
  <c r="P393" i="4"/>
  <c r="N407" i="4"/>
  <c r="AQ421" i="4"/>
  <c r="AQ436" i="4"/>
  <c r="N453" i="4"/>
  <c r="P469" i="4"/>
  <c r="AQ484" i="4"/>
  <c r="N284" i="4"/>
  <c r="R301" i="4"/>
  <c r="AQ316" i="4"/>
  <c r="AQ334" i="4"/>
  <c r="R349" i="4"/>
  <c r="R365" i="4"/>
  <c r="N381" i="4"/>
  <c r="R399" i="4"/>
  <c r="R415" i="4"/>
  <c r="P432" i="4"/>
  <c r="P453" i="4"/>
  <c r="R473" i="4"/>
  <c r="N501" i="4"/>
  <c r="P308" i="4"/>
  <c r="AQ337" i="4"/>
  <c r="R370" i="4"/>
  <c r="R401" i="4"/>
  <c r="R432" i="4"/>
  <c r="R464" i="4"/>
  <c r="P270" i="4"/>
  <c r="AQ302" i="4"/>
  <c r="P336" i="4"/>
  <c r="AQ366" i="4"/>
  <c r="N398" i="4"/>
  <c r="N429" i="4"/>
  <c r="P460" i="4"/>
  <c r="AQ492" i="4"/>
  <c r="N608" i="4"/>
  <c r="R501" i="4"/>
  <c r="R516" i="4"/>
  <c r="AQ636" i="4"/>
  <c r="R649" i="4"/>
  <c r="P667" i="4"/>
  <c r="P776" i="4"/>
  <c r="R908" i="4"/>
  <c r="AQ538" i="4"/>
  <c r="N569" i="4"/>
  <c r="AQ598" i="4"/>
  <c r="P514" i="4"/>
  <c r="P548" i="4"/>
  <c r="R579" i="4"/>
  <c r="N495" i="4"/>
  <c r="AQ525" i="4"/>
  <c r="R565" i="4"/>
  <c r="P532" i="4"/>
  <c r="AQ652" i="4"/>
  <c r="N666" i="4"/>
  <c r="P684" i="4"/>
  <c r="N823" i="4"/>
  <c r="AQ920" i="4"/>
  <c r="P348" i="4"/>
  <c r="N411" i="4"/>
  <c r="AQ473" i="4"/>
  <c r="R313" i="4"/>
  <c r="AQ378" i="4"/>
  <c r="P439" i="4"/>
  <c r="P519" i="4"/>
  <c r="R526" i="4"/>
  <c r="R536" i="4"/>
  <c r="AQ550" i="4"/>
  <c r="AQ671" i="4"/>
  <c r="N684" i="4"/>
  <c r="P721" i="4"/>
  <c r="R761" i="4"/>
  <c r="P443" i="4"/>
  <c r="AQ290" i="4"/>
  <c r="R352" i="4"/>
  <c r="AQ415" i="4"/>
  <c r="AQ478" i="4"/>
  <c r="N319" i="4"/>
  <c r="R383" i="4"/>
  <c r="AQ443" i="4"/>
  <c r="N527" i="4"/>
  <c r="P535" i="4"/>
  <c r="R50" i="4"/>
  <c r="AQ65" i="4"/>
  <c r="P81" i="4"/>
  <c r="AQ98" i="4"/>
  <c r="P114" i="4"/>
  <c r="P131" i="4"/>
  <c r="N147" i="4"/>
  <c r="P163" i="4"/>
  <c r="N179" i="4"/>
  <c r="P195" i="4"/>
  <c r="P210" i="4"/>
  <c r="P226" i="4"/>
  <c r="P249" i="4"/>
  <c r="AQ92" i="4"/>
  <c r="AQ123" i="4"/>
  <c r="N186" i="4"/>
  <c r="R248" i="4"/>
  <c r="N307" i="4"/>
  <c r="AQ371" i="4"/>
  <c r="P430" i="4"/>
  <c r="N493" i="4"/>
  <c r="P343" i="4"/>
  <c r="N408" i="4"/>
  <c r="N485" i="4"/>
  <c r="AQ386" i="4"/>
  <c r="AQ287" i="4"/>
  <c r="P414" i="4"/>
  <c r="N563" i="4"/>
  <c r="P722" i="4"/>
  <c r="N241" i="4"/>
  <c r="N256" i="4"/>
  <c r="R272" i="4"/>
  <c r="N99" i="4"/>
  <c r="R114" i="4"/>
  <c r="N129" i="4"/>
  <c r="P145" i="4"/>
  <c r="R159" i="4"/>
  <c r="R175" i="4"/>
  <c r="AQ190" i="4"/>
  <c r="AQ206" i="4"/>
  <c r="AQ222" i="4"/>
  <c r="R237" i="4"/>
  <c r="P253" i="4"/>
  <c r="N269" i="4"/>
  <c r="AQ282" i="4"/>
  <c r="R296" i="4"/>
  <c r="AQ311" i="4"/>
  <c r="R327" i="4"/>
  <c r="N343" i="4"/>
  <c r="N360" i="4"/>
  <c r="AQ375" i="4"/>
  <c r="R391" i="4"/>
  <c r="P405" i="4"/>
  <c r="N420" i="4"/>
  <c r="AQ434" i="4"/>
  <c r="N451" i="4"/>
  <c r="P467" i="4"/>
  <c r="N483" i="4"/>
  <c r="N282" i="4"/>
  <c r="AQ298" i="4"/>
  <c r="N315" i="4"/>
  <c r="N332" i="4"/>
  <c r="N348" i="4"/>
  <c r="AQ363" i="4"/>
  <c r="N379" i="4"/>
  <c r="P395" i="4"/>
  <c r="AQ412" i="4"/>
  <c r="R430" i="4"/>
  <c r="P450" i="4"/>
  <c r="R471" i="4"/>
  <c r="P492" i="4"/>
  <c r="R304" i="4"/>
  <c r="N334" i="4"/>
  <c r="AO366" i="4"/>
  <c r="N397" i="4"/>
  <c r="AQ427" i="4"/>
  <c r="N460" i="4"/>
  <c r="R492" i="4"/>
  <c r="P299" i="4"/>
  <c r="R332" i="4"/>
  <c r="P363" i="4"/>
  <c r="AQ394" i="4"/>
  <c r="P425" i="4"/>
  <c r="R456" i="4"/>
  <c r="AQ488" i="4"/>
  <c r="P590" i="4"/>
  <c r="N601" i="4"/>
  <c r="AQ500" i="4"/>
  <c r="AQ620" i="4"/>
  <c r="N634" i="4"/>
  <c r="R651" i="4"/>
  <c r="AQ743" i="4"/>
  <c r="R889" i="4"/>
  <c r="AQ129" i="4"/>
  <c r="P146" i="4"/>
  <c r="R160" i="4"/>
  <c r="R176" i="4"/>
  <c r="AQ191" i="4"/>
  <c r="AQ207" i="4"/>
  <c r="AQ223" i="4"/>
  <c r="R238" i="4"/>
  <c r="P254" i="4"/>
  <c r="N270" i="4"/>
  <c r="AQ283" i="4"/>
  <c r="R297" i="4"/>
  <c r="AQ312" i="4"/>
  <c r="R328" i="4"/>
  <c r="AQ344" i="4"/>
  <c r="R361" i="4"/>
  <c r="R376" i="4"/>
  <c r="P392" i="4"/>
  <c r="P406" i="4"/>
  <c r="N421" i="4"/>
  <c r="AQ435" i="4"/>
  <c r="N452" i="4"/>
  <c r="P468" i="4"/>
  <c r="N484" i="4"/>
  <c r="N283" i="4"/>
  <c r="AQ299" i="4"/>
  <c r="AQ315" i="4"/>
  <c r="N333" i="4"/>
  <c r="AQ348" i="4"/>
  <c r="R364" i="4"/>
  <c r="N380" i="4"/>
  <c r="R398" i="4"/>
  <c r="AQ413" i="4"/>
  <c r="P431" i="4"/>
  <c r="P452" i="4"/>
  <c r="R472" i="4"/>
  <c r="R493" i="4"/>
  <c r="R305" i="4"/>
  <c r="N335" i="4"/>
  <c r="R367" i="4"/>
  <c r="AQ397" i="4"/>
  <c r="AQ428" i="4"/>
  <c r="N461" i="4"/>
  <c r="AQ493" i="4"/>
  <c r="P300" i="4"/>
  <c r="R333" i="4"/>
  <c r="N364" i="4"/>
  <c r="AQ395" i="4"/>
  <c r="N426" i="4"/>
  <c r="R457" i="4"/>
  <c r="AQ489" i="4"/>
  <c r="AQ597" i="4"/>
  <c r="P494" i="4"/>
  <c r="AQ508" i="4"/>
  <c r="N629" i="4"/>
  <c r="AP641" i="4"/>
  <c r="N659" i="4"/>
  <c r="P760" i="4"/>
  <c r="AQ843" i="4"/>
  <c r="R246" i="4"/>
  <c r="R262" i="4"/>
  <c r="P280" i="4"/>
  <c r="R105" i="4"/>
  <c r="AQ119" i="4"/>
  <c r="R135" i="4"/>
  <c r="N151" i="4"/>
  <c r="R165" i="4"/>
  <c r="N181" i="4"/>
  <c r="AQ197" i="4"/>
  <c r="P213" i="4"/>
  <c r="N228" i="4"/>
  <c r="P243" i="4"/>
  <c r="N259" i="4"/>
  <c r="P276" i="4"/>
  <c r="N288" i="4"/>
  <c r="N302" i="4"/>
  <c r="R317" i="4"/>
  <c r="AQ332" i="4"/>
  <c r="P350" i="4"/>
  <c r="P366" i="4"/>
  <c r="AQ381" i="4"/>
  <c r="AQ396" i="4"/>
  <c r="R410" i="4"/>
  <c r="R425" i="4"/>
  <c r="R441" i="4"/>
  <c r="R458" i="4"/>
  <c r="P473" i="4"/>
  <c r="P488" i="4"/>
  <c r="P288" i="4"/>
  <c r="P305" i="4"/>
  <c r="P321" i="4"/>
  <c r="R338" i="4"/>
  <c r="P354" i="4"/>
  <c r="P369" i="4"/>
  <c r="AQ385" i="4"/>
  <c r="N403" i="4"/>
  <c r="R419" i="4"/>
  <c r="N437" i="4"/>
  <c r="AQ457" i="4"/>
  <c r="R479" i="4"/>
  <c r="P284" i="4"/>
  <c r="N316" i="4"/>
  <c r="P346" i="4"/>
  <c r="AQ377" i="4"/>
  <c r="N409" i="4"/>
  <c r="N440" i="4"/>
  <c r="AQ471" i="4"/>
  <c r="AQ279" i="4"/>
  <c r="R311" i="4"/>
  <c r="AQ343" i="4"/>
  <c r="AQ374" i="4"/>
  <c r="N406" i="4"/>
  <c r="R437" i="4"/>
  <c r="N468" i="4"/>
  <c r="N515" i="4"/>
  <c r="P521" i="4"/>
  <c r="N533" i="4"/>
  <c r="N547" i="4"/>
  <c r="AQ667" i="4"/>
  <c r="P680" i="4"/>
  <c r="R713" i="4"/>
  <c r="N749" i="4"/>
  <c r="N516" i="4"/>
  <c r="P546" i="4"/>
  <c r="P576" i="4"/>
  <c r="N610" i="4"/>
  <c r="P522" i="4"/>
  <c r="R556" i="4"/>
  <c r="AQ586" i="4"/>
  <c r="R502" i="4"/>
  <c r="AQ533" i="4"/>
  <c r="R582" i="4"/>
  <c r="N564" i="4"/>
  <c r="AQ683" i="4"/>
  <c r="AQ696" i="4"/>
  <c r="AQ624" i="4"/>
  <c r="R810" i="4"/>
  <c r="R302" i="4"/>
  <c r="AQ364" i="4"/>
  <c r="AQ425" i="4"/>
  <c r="R490" i="4"/>
  <c r="AO330" i="4"/>
  <c r="N393" i="4"/>
  <c r="AQ454" i="4"/>
  <c r="N549" i="4"/>
  <c r="N559" i="4"/>
  <c r="R568" i="4"/>
  <c r="AQ582" i="4"/>
  <c r="N704" i="4"/>
  <c r="R717" i="4"/>
  <c r="P662" i="4"/>
  <c r="AQ770" i="4"/>
  <c r="AQ458" i="4"/>
  <c r="R307" i="4"/>
  <c r="R369" i="4"/>
  <c r="R431" i="4"/>
  <c r="N502" i="4"/>
  <c r="P335" i="4"/>
  <c r="P397" i="4"/>
  <c r="P459" i="4"/>
  <c r="AQ556" i="4"/>
  <c r="P567" i="4"/>
  <c r="P54" i="4"/>
  <c r="P69" i="4"/>
  <c r="P85" i="4"/>
  <c r="R102" i="4"/>
  <c r="AQ117" i="4"/>
  <c r="P135" i="4"/>
  <c r="AQ150" i="4"/>
  <c r="P167" i="4"/>
  <c r="R183" i="4"/>
  <c r="R198" i="4"/>
  <c r="N214" i="4"/>
  <c r="AQ229" i="4"/>
  <c r="AQ256" i="4"/>
  <c r="N100" i="4"/>
  <c r="P140" i="4"/>
  <c r="P202" i="4"/>
  <c r="AQ263" i="4"/>
  <c r="N323" i="4"/>
  <c r="P386" i="4"/>
  <c r="AQ445" i="4"/>
  <c r="N294" i="4"/>
  <c r="P359" i="4"/>
  <c r="AQ424" i="4"/>
  <c r="P293" i="4"/>
  <c r="AQ417" i="4"/>
  <c r="AQ320" i="4"/>
  <c r="R446" i="4"/>
  <c r="N573" i="4"/>
  <c r="R670" i="4"/>
  <c r="AP244" i="4"/>
  <c r="AQ259" i="4"/>
  <c r="R277" i="4"/>
  <c r="R103" i="4"/>
  <c r="N118" i="4"/>
  <c r="R133" i="4"/>
  <c r="N149" i="4"/>
  <c r="R163" i="4"/>
  <c r="P179" i="4"/>
  <c r="R195" i="4"/>
  <c r="R211" i="4"/>
  <c r="R226" i="4"/>
  <c r="P241" i="4"/>
  <c r="N257" i="4"/>
  <c r="N274" i="4"/>
  <c r="P286" i="4"/>
  <c r="R300" i="4"/>
  <c r="R315" i="4"/>
  <c r="AQ330" i="4"/>
  <c r="AQ347" i="4"/>
  <c r="P364" i="4"/>
  <c r="AQ379" i="4"/>
  <c r="N395" i="4"/>
  <c r="AO408" i="4"/>
  <c r="R423" i="4"/>
  <c r="R439" i="4"/>
  <c r="N455" i="4"/>
  <c r="P471" i="4"/>
  <c r="R486" i="4"/>
  <c r="R286" i="4"/>
  <c r="P303" i="4"/>
  <c r="R319" i="4"/>
  <c r="R336" i="4"/>
  <c r="P352" i="4"/>
  <c r="P367" i="4"/>
  <c r="N383" i="4"/>
  <c r="P401" i="4"/>
  <c r="R417" i="4"/>
  <c r="N434" i="4"/>
  <c r="N456" i="4"/>
  <c r="R476" i="4"/>
  <c r="P281" i="4"/>
  <c r="P312" i="4"/>
  <c r="R342" i="4"/>
  <c r="R374" i="4"/>
  <c r="AQ404" i="4"/>
  <c r="P436" i="4"/>
  <c r="AQ467" i="4"/>
  <c r="P274" i="4"/>
  <c r="AQ306" i="4"/>
  <c r="AQ339" i="4"/>
  <c r="AQ370" i="4"/>
  <c r="AQ401" i="4"/>
  <c r="R433" i="4"/>
  <c r="AQ463" i="4"/>
  <c r="P507" i="4"/>
  <c r="AQ505" i="4"/>
  <c r="P516" i="4"/>
  <c r="P531" i="4"/>
  <c r="N652" i="4"/>
  <c r="P665" i="4"/>
  <c r="R683" i="4"/>
  <c r="AQ816" i="4"/>
  <c r="AQ919" i="4"/>
  <c r="R134" i="4"/>
  <c r="N150" i="4"/>
  <c r="R164" i="4"/>
  <c r="P180" i="4"/>
  <c r="AQ196" i="4"/>
  <c r="P212" i="4"/>
  <c r="P227" i="4"/>
  <c r="P242" i="4"/>
  <c r="N258" i="4"/>
  <c r="P275" i="4"/>
  <c r="N287" i="4"/>
  <c r="P301" i="4"/>
  <c r="R316" i="4"/>
  <c r="AQ331" i="4"/>
  <c r="P349" i="4"/>
  <c r="P365" i="4"/>
  <c r="AQ380" i="4"/>
  <c r="N396" i="4"/>
  <c r="R409" i="4"/>
  <c r="R424" i="4"/>
  <c r="R440" i="4"/>
  <c r="AQ456" i="4"/>
  <c r="P472" i="4"/>
  <c r="R487" i="4"/>
  <c r="P287" i="4"/>
  <c r="P304" i="4"/>
  <c r="P320" i="4"/>
  <c r="R337" i="4"/>
  <c r="P353" i="4"/>
  <c r="P368" i="4"/>
  <c r="N384" i="4"/>
  <c r="P402" i="4"/>
  <c r="R418" i="4"/>
  <c r="N436" i="4"/>
  <c r="N457" i="4"/>
  <c r="R477" i="4"/>
  <c r="P283" i="4"/>
  <c r="P313" i="4"/>
  <c r="R343" i="4"/>
  <c r="R375" i="4"/>
  <c r="AQ405" i="4"/>
  <c r="P437" i="4"/>
  <c r="AQ468" i="4"/>
  <c r="N275" i="4"/>
  <c r="R308" i="4"/>
  <c r="AQ340" i="4"/>
  <c r="R371" i="4"/>
  <c r="R403" i="4"/>
  <c r="R434" i="4"/>
  <c r="N465" i="4"/>
  <c r="N508" i="4"/>
  <c r="R513" i="4"/>
  <c r="N525" i="4"/>
  <c r="R539" i="4"/>
  <c r="R660" i="4"/>
  <c r="AQ672" i="4"/>
  <c r="N698" i="4"/>
  <c r="N908" i="4"/>
  <c r="R235" i="4"/>
  <c r="P250" i="4"/>
  <c r="P266" i="4"/>
  <c r="R93" i="4"/>
  <c r="R109" i="4"/>
  <c r="AQ122" i="4"/>
  <c r="P139" i="4"/>
  <c r="AQ154" i="4"/>
  <c r="R169" i="4"/>
  <c r="R184" i="4"/>
  <c r="R201" i="4"/>
  <c r="N217" i="4"/>
  <c r="N232" i="4"/>
  <c r="AQ246" i="4"/>
  <c r="AQ262" i="4"/>
  <c r="AQ277" i="4"/>
  <c r="P291" i="4"/>
  <c r="N306" i="4"/>
  <c r="N322" i="4"/>
  <c r="P337" i="4"/>
  <c r="N354" i="4"/>
  <c r="N370" i="4"/>
  <c r="R385" i="4"/>
  <c r="N400" i="4"/>
  <c r="R414" i="4"/>
  <c r="P429" i="4"/>
  <c r="AQ444" i="4"/>
  <c r="N462" i="4"/>
  <c r="P477" i="4"/>
  <c r="N492" i="4"/>
  <c r="N293" i="4"/>
  <c r="N309" i="4"/>
  <c r="N325" i="4"/>
  <c r="P342" i="4"/>
  <c r="P358" i="4"/>
  <c r="AQ372" i="4"/>
  <c r="P389" i="4"/>
  <c r="P407" i="4"/>
  <c r="AQ423" i="4"/>
  <c r="R442" i="4"/>
  <c r="P464" i="4"/>
  <c r="P484" i="4"/>
  <c r="R292" i="4"/>
  <c r="R323" i="4"/>
  <c r="R353" i="4"/>
  <c r="N385" i="4"/>
  <c r="AQ416" i="4"/>
  <c r="R448" i="4"/>
  <c r="AQ479" i="4"/>
  <c r="AQ286" i="4"/>
  <c r="N320" i="4"/>
  <c r="AQ351" i="4"/>
  <c r="R384" i="4"/>
  <c r="P413" i="4"/>
  <c r="R445" i="4"/>
  <c r="N476" i="4"/>
  <c r="R545" i="4"/>
  <c r="AQ554" i="4"/>
  <c r="AQ563" i="4"/>
  <c r="N579" i="4"/>
  <c r="P700" i="4"/>
  <c r="N714" i="4"/>
  <c r="R654" i="4"/>
  <c r="R756" i="4"/>
  <c r="AQ523" i="4"/>
  <c r="R553" i="4"/>
  <c r="N584" i="4"/>
  <c r="P499" i="4"/>
  <c r="AQ530" i="4"/>
  <c r="AP563" i="4"/>
  <c r="P594" i="4"/>
  <c r="R510" i="4"/>
  <c r="R549" i="4"/>
  <c r="P601" i="4"/>
  <c r="AQ594" i="4"/>
  <c r="P716" i="4"/>
  <c r="R619" i="4"/>
  <c r="P688" i="4"/>
  <c r="AQ848" i="4"/>
  <c r="AQ317" i="4"/>
  <c r="P379" i="4"/>
  <c r="AQ441" i="4"/>
  <c r="R281" i="4"/>
  <c r="R345" i="4"/>
  <c r="AO407" i="4"/>
  <c r="N470" i="4"/>
  <c r="P579" i="4"/>
  <c r="R589" i="4"/>
  <c r="P604" i="4"/>
  <c r="R609" i="4"/>
  <c r="N621" i="4"/>
  <c r="P638" i="4"/>
  <c r="AQ719" i="4"/>
  <c r="P833" i="4"/>
  <c r="R474" i="4"/>
  <c r="R322" i="4"/>
  <c r="P384" i="4"/>
  <c r="N447" i="4"/>
  <c r="N286" i="4"/>
  <c r="N351" i="4"/>
  <c r="P412" i="4"/>
  <c r="N475" i="4"/>
  <c r="R587" i="4"/>
  <c r="N598" i="4"/>
  <c r="N58" i="4"/>
  <c r="N74" i="4"/>
  <c r="N89" i="4"/>
  <c r="P106" i="4"/>
  <c r="R123" i="4"/>
  <c r="N139" i="4"/>
  <c r="P155" i="4"/>
  <c r="P171" i="4"/>
  <c r="R187" i="4"/>
  <c r="N202" i="4"/>
  <c r="AQ217" i="4"/>
  <c r="R234" i="4"/>
  <c r="P265" i="4"/>
  <c r="R108" i="4"/>
  <c r="R155" i="4"/>
  <c r="N218" i="4"/>
  <c r="R278" i="4"/>
  <c r="P338" i="4"/>
  <c r="N401" i="4"/>
  <c r="N463" i="4"/>
  <c r="N310" i="4"/>
  <c r="P374" i="4"/>
  <c r="P444" i="4"/>
  <c r="P324" i="4"/>
  <c r="R449" i="4"/>
  <c r="AQ352" i="4"/>
  <c r="N477" i="4"/>
  <c r="P586" i="4"/>
  <c r="N787" i="4"/>
  <c r="P248" i="4"/>
  <c r="R264" i="4"/>
  <c r="N91" i="4"/>
  <c r="R107" i="4"/>
  <c r="N121" i="4"/>
  <c r="R137" i="4"/>
  <c r="AQ152" i="4"/>
  <c r="R167" i="4"/>
  <c r="AQ182" i="4"/>
  <c r="AQ199" i="4"/>
  <c r="P215" i="4"/>
  <c r="N230" i="4"/>
  <c r="AQ244" i="4"/>
  <c r="AQ260" i="4"/>
  <c r="R279" i="4"/>
  <c r="R289" i="4"/>
  <c r="N304" i="4"/>
  <c r="P319" i="4"/>
  <c r="R334" i="4"/>
  <c r="N352" i="4"/>
  <c r="N368" i="4"/>
  <c r="AQ383" i="4"/>
  <c r="P398" i="4"/>
  <c r="R412" i="4"/>
  <c r="P427" i="4"/>
  <c r="N443" i="4"/>
  <c r="R460" i="4"/>
  <c r="P475" i="4"/>
  <c r="N490" i="4"/>
  <c r="R291" i="4"/>
  <c r="P307" i="4"/>
  <c r="P323" i="4"/>
  <c r="P340" i="4"/>
  <c r="P356" i="4"/>
  <c r="N371" i="4"/>
  <c r="R387" i="4"/>
  <c r="R405" i="4"/>
  <c r="P421" i="4"/>
  <c r="AQ439" i="4"/>
  <c r="AQ460" i="4"/>
  <c r="R481" i="4"/>
  <c r="R288" i="4"/>
  <c r="AQ319" i="4"/>
  <c r="AQ349" i="4"/>
  <c r="P381" i="4"/>
  <c r="N413" i="4"/>
  <c r="R444" i="4"/>
  <c r="AQ475" i="4"/>
  <c r="R283" i="4"/>
  <c r="P316" i="4"/>
  <c r="R347" i="4"/>
  <c r="R380" i="4"/>
  <c r="P409" i="4"/>
  <c r="P441" i="4"/>
  <c r="N472" i="4"/>
  <c r="AQ529" i="4"/>
  <c r="N538" i="4"/>
  <c r="R548" i="4"/>
  <c r="R563" i="4"/>
  <c r="N683" i="4"/>
  <c r="AQ695" i="4"/>
  <c r="P624" i="4"/>
  <c r="AQ808" i="4"/>
  <c r="AQ121" i="4"/>
  <c r="P138" i="4"/>
  <c r="AQ153" i="4"/>
  <c r="R168" i="4"/>
  <c r="AO183" i="4"/>
  <c r="AQ200" i="4"/>
  <c r="P216" i="4"/>
  <c r="N231" i="4"/>
  <c r="AQ245" i="4"/>
  <c r="AQ261" i="4"/>
  <c r="N277" i="4"/>
  <c r="P290" i="4"/>
  <c r="N305" i="4"/>
  <c r="N321" i="4"/>
  <c r="R335" i="4"/>
  <c r="N353" i="4"/>
  <c r="N369" i="4"/>
  <c r="AQ384" i="4"/>
  <c r="P399" i="4"/>
  <c r="R413" i="4"/>
  <c r="P428" i="4"/>
  <c r="N444" i="4"/>
  <c r="R461" i="4"/>
  <c r="P476" i="4"/>
  <c r="N491" i="4"/>
  <c r="P292" i="4"/>
  <c r="N308" i="4"/>
  <c r="N324" i="4"/>
  <c r="P341" i="4"/>
  <c r="P357" i="4"/>
  <c r="N372" i="4"/>
  <c r="R388" i="4"/>
  <c r="R406" i="4"/>
  <c r="N422" i="4"/>
  <c r="AQ440" i="4"/>
  <c r="P462" i="4"/>
  <c r="P483" i="4"/>
  <c r="P289" i="4"/>
  <c r="R320" i="4"/>
  <c r="AQ350" i="4"/>
  <c r="P382" i="4"/>
  <c r="N414" i="4"/>
  <c r="P445" i="4"/>
  <c r="AQ476" i="4"/>
  <c r="R284" i="4"/>
  <c r="P317" i="4"/>
  <c r="R348" i="4"/>
  <c r="R381" i="4"/>
  <c r="P410" i="4"/>
  <c r="N442" i="4"/>
  <c r="N473" i="4"/>
  <c r="AQ537" i="4"/>
  <c r="R547" i="4"/>
  <c r="AQ555" i="4"/>
  <c r="P571" i="4"/>
  <c r="P691" i="4"/>
  <c r="P704" i="4"/>
  <c r="P639" i="4"/>
  <c r="N918" i="4"/>
  <c r="P239" i="4"/>
  <c r="N254" i="4"/>
  <c r="AQ269" i="4"/>
  <c r="N97" i="4"/>
  <c r="AQ112" i="4"/>
  <c r="P127" i="4"/>
  <c r="P143" i="4"/>
  <c r="N158" i="4"/>
  <c r="R173" i="4"/>
  <c r="AQ188" i="4"/>
  <c r="P205" i="4"/>
  <c r="AQ220" i="4"/>
  <c r="AP235" i="4"/>
  <c r="R251" i="4"/>
  <c r="R267" i="4"/>
  <c r="AQ280" i="4"/>
  <c r="AQ294" i="4"/>
  <c r="AQ309" i="4"/>
  <c r="AQ325" i="4"/>
  <c r="N341" i="4"/>
  <c r="N358" i="4"/>
  <c r="N374" i="4"/>
  <c r="N389" i="4"/>
  <c r="AQ403" i="4"/>
  <c r="P418" i="4"/>
  <c r="AQ432" i="4"/>
  <c r="N449" i="4"/>
  <c r="P465" i="4"/>
  <c r="P481" i="4"/>
  <c r="N504" i="4"/>
  <c r="AQ296" i="4"/>
  <c r="N313" i="4"/>
  <c r="P330" i="4"/>
  <c r="N346" i="4"/>
  <c r="AQ361" i="4"/>
  <c r="AQ376" i="4"/>
  <c r="R393" i="4"/>
  <c r="AQ410" i="4"/>
  <c r="R428" i="4"/>
  <c r="P448" i="4"/>
  <c r="R468" i="4"/>
  <c r="P489" i="4"/>
  <c r="N300" i="4"/>
  <c r="R330" i="4"/>
  <c r="N362" i="4"/>
  <c r="AQ393" i="4"/>
  <c r="N424" i="4"/>
  <c r="P456" i="4"/>
  <c r="AQ487" i="4"/>
  <c r="R295" i="4"/>
  <c r="P328" i="4"/>
  <c r="AQ359" i="4"/>
  <c r="P391" i="4"/>
  <c r="AQ420" i="4"/>
  <c r="AQ452" i="4"/>
  <c r="AQ483" i="4"/>
  <c r="P575" i="4"/>
  <c r="N586" i="4"/>
  <c r="P600" i="4"/>
  <c r="AQ605" i="4"/>
  <c r="R617" i="4"/>
  <c r="P634" i="4"/>
  <c r="N718" i="4"/>
  <c r="R784" i="4"/>
  <c r="AP530" i="4"/>
  <c r="AQ560" i="4"/>
  <c r="P591" i="4"/>
  <c r="AO506" i="4"/>
  <c r="N539" i="4"/>
  <c r="AQ570" i="4"/>
  <c r="N602" i="4"/>
  <c r="N517" i="4"/>
  <c r="P557" i="4"/>
  <c r="AQ501" i="4"/>
  <c r="AQ621" i="4"/>
  <c r="N635" i="4"/>
  <c r="R652" i="4"/>
  <c r="AQ744" i="4"/>
  <c r="P890" i="4"/>
  <c r="P332" i="4"/>
  <c r="R395" i="4"/>
  <c r="N458" i="4"/>
  <c r="P297" i="4"/>
  <c r="P361" i="4"/>
  <c r="P423" i="4"/>
  <c r="P487" i="4"/>
  <c r="AQ494" i="4"/>
  <c r="R505" i="4"/>
  <c r="AQ519" i="4"/>
  <c r="R641" i="4"/>
  <c r="N653" i="4"/>
  <c r="P671" i="4"/>
  <c r="AQ783" i="4"/>
  <c r="P827" i="4"/>
  <c r="P490" i="4"/>
  <c r="AQ336" i="4"/>
  <c r="R400" i="4"/>
  <c r="R463" i="4"/>
  <c r="AQ301" i="4"/>
  <c r="N366" i="4"/>
  <c r="N428" i="4"/>
  <c r="AQ491" i="4"/>
  <c r="P503" i="4"/>
  <c r="AP513" i="4"/>
  <c r="AQ591" i="4"/>
  <c r="AQ509" i="4"/>
  <c r="R540" i="4"/>
  <c r="P572" i="4"/>
  <c r="R602" i="4"/>
  <c r="N630" i="4"/>
  <c r="R661" i="4"/>
  <c r="N692" i="4"/>
  <c r="AQ728" i="4"/>
  <c r="R642" i="4"/>
  <c r="AP673" i="4"/>
  <c r="P705" i="4"/>
  <c r="R627" i="4"/>
  <c r="N660" i="4"/>
  <c r="N699" i="4"/>
  <c r="P640" i="4"/>
  <c r="AQ702" i="4"/>
  <c r="P761" i="4"/>
  <c r="R910" i="4"/>
  <c r="P726" i="4"/>
  <c r="R742" i="4"/>
  <c r="AQ844" i="4"/>
  <c r="AQ289" i="4"/>
  <c r="R306" i="4"/>
  <c r="R321" i="4"/>
  <c r="N336" i="4"/>
  <c r="R351" i="4"/>
  <c r="R368" i="4"/>
  <c r="P383" i="4"/>
  <c r="AQ398" i="4"/>
  <c r="AQ414" i="4"/>
  <c r="AQ429" i="4"/>
  <c r="P446" i="4"/>
  <c r="R462" i="4"/>
  <c r="AQ477" i="4"/>
  <c r="N498" i="4"/>
  <c r="P285" i="4"/>
  <c r="N301" i="4"/>
  <c r="N318" i="4"/>
  <c r="P334" i="4"/>
  <c r="N350" i="4"/>
  <c r="N365" i="4"/>
  <c r="R382" i="4"/>
  <c r="R396" i="4"/>
  <c r="P411" i="4"/>
  <c r="N427" i="4"/>
  <c r="AQ442" i="4"/>
  <c r="P458" i="4"/>
  <c r="N474" i="4"/>
  <c r="AQ490" i="4"/>
  <c r="P526" i="4"/>
  <c r="P556" i="4"/>
  <c r="R586" i="4"/>
  <c r="P502" i="4"/>
  <c r="P534" i="4"/>
  <c r="P566" i="4"/>
  <c r="P597" i="4"/>
  <c r="AQ512" i="4"/>
  <c r="N544" i="4"/>
  <c r="AQ576" i="4"/>
  <c r="AQ496" i="4"/>
  <c r="AQ526" i="4"/>
  <c r="R559" i="4"/>
  <c r="N590" i="4"/>
  <c r="P617" i="4"/>
  <c r="R648" i="4"/>
  <c r="N679" i="4"/>
  <c r="N711" i="4"/>
  <c r="P629" i="4"/>
  <c r="AQ660" i="4"/>
  <c r="P692" i="4"/>
  <c r="N614" i="4"/>
  <c r="N647" i="4"/>
  <c r="R679" i="4"/>
  <c r="P615" i="4"/>
  <c r="AQ678" i="4"/>
  <c r="P736" i="4"/>
  <c r="P802" i="4"/>
  <c r="N794" i="4"/>
  <c r="AQ801" i="4"/>
  <c r="N856" i="4"/>
  <c r="N889" i="4"/>
  <c r="AQ446" i="4"/>
  <c r="P463" i="4"/>
  <c r="R478" i="4"/>
  <c r="N497" i="4"/>
  <c r="P295" i="4"/>
  <c r="P311" i="4"/>
  <c r="P326" i="4"/>
  <c r="R341" i="4"/>
  <c r="R356" i="4"/>
  <c r="N373" i="4"/>
  <c r="R389" i="4"/>
  <c r="P404" i="4"/>
  <c r="AP419" i="4"/>
  <c r="P435" i="4"/>
  <c r="R451" i="4"/>
  <c r="AQ466" i="4"/>
  <c r="R483" i="4"/>
  <c r="P273" i="4"/>
  <c r="N290" i="4"/>
  <c r="AQ305" i="4"/>
  <c r="AQ322" i="4"/>
  <c r="N339" i="4"/>
  <c r="AQ354" i="4"/>
  <c r="AQ369" i="4"/>
  <c r="N387" i="4"/>
  <c r="AQ400" i="4"/>
  <c r="N416" i="4"/>
  <c r="AQ431" i="4"/>
  <c r="AQ447" i="4"/>
  <c r="AQ462" i="4"/>
  <c r="N479" i="4"/>
  <c r="N503" i="4"/>
  <c r="N535" i="4"/>
  <c r="N565" i="4"/>
  <c r="N595" i="4"/>
  <c r="P510" i="4"/>
  <c r="AQ543" i="4"/>
  <c r="R575" i="4"/>
  <c r="AQ608" i="4"/>
  <c r="R522" i="4"/>
  <c r="N553" i="4"/>
  <c r="N587" i="4"/>
  <c r="P506" i="4"/>
  <c r="AQ535" i="4"/>
  <c r="AQ567" i="4"/>
  <c r="R598" i="4"/>
  <c r="N626" i="4"/>
  <c r="AQ656" i="4"/>
  <c r="R688" i="4"/>
  <c r="R720" i="4"/>
  <c r="AQ638" i="4"/>
  <c r="N670" i="4"/>
  <c r="R701" i="4"/>
  <c r="P623" i="4"/>
  <c r="P656" i="4"/>
  <c r="AQ690" i="4"/>
  <c r="R632" i="4"/>
  <c r="P695" i="4"/>
  <c r="R753" i="4"/>
  <c r="P866" i="4"/>
  <c r="N861" i="4"/>
  <c r="P916" i="4"/>
  <c r="P812" i="4"/>
  <c r="AP505" i="4"/>
  <c r="N521" i="4"/>
  <c r="N536" i="4"/>
  <c r="N551" i="4"/>
  <c r="N566" i="4"/>
  <c r="P581" i="4"/>
  <c r="N596" i="4"/>
  <c r="R496" i="4"/>
  <c r="AQ510" i="4"/>
  <c r="R528" i="4"/>
  <c r="AQ544" i="4"/>
  <c r="N561" i="4"/>
  <c r="R576" i="4"/>
  <c r="R591" i="4"/>
  <c r="AQ610" i="4"/>
  <c r="AQ506" i="4"/>
  <c r="R523" i="4"/>
  <c r="P538" i="4"/>
  <c r="N554" i="4"/>
  <c r="N571" i="4"/>
  <c r="N588" i="4"/>
  <c r="N607" i="4"/>
  <c r="N507" i="4"/>
  <c r="P525" i="4"/>
  <c r="AQ548" i="4"/>
  <c r="AQ568" i="4"/>
  <c r="P588" i="4"/>
  <c r="R607" i="4"/>
  <c r="N627" i="4"/>
  <c r="R646" i="4"/>
  <c r="AQ669" i="4"/>
  <c r="R689" i="4"/>
  <c r="R709" i="4"/>
  <c r="P619" i="4"/>
  <c r="AQ639" i="4"/>
  <c r="AQ658" i="4"/>
  <c r="P682" i="4"/>
  <c r="R702" i="4"/>
  <c r="N726" i="4"/>
  <c r="N645" i="4"/>
  <c r="AQ676" i="4"/>
  <c r="P611" i="4"/>
  <c r="N675" i="4"/>
  <c r="AQ731" i="4"/>
  <c r="R796" i="4"/>
  <c r="AQ785" i="4"/>
  <c r="P794" i="4"/>
  <c r="R841" i="4"/>
  <c r="AQ872" i="4"/>
  <c r="N529" i="4"/>
  <c r="AQ558" i="4"/>
  <c r="P589" i="4"/>
  <c r="P505" i="4"/>
  <c r="N537" i="4"/>
  <c r="P569" i="4"/>
  <c r="N600" i="4"/>
  <c r="R515" i="4"/>
  <c r="AQ546" i="4"/>
  <c r="AQ579" i="4"/>
  <c r="AQ499" i="4"/>
  <c r="R530" i="4"/>
  <c r="R562" i="4"/>
  <c r="AQ592" i="4"/>
  <c r="N620" i="4"/>
  <c r="N651" i="4"/>
  <c r="N682" i="4"/>
  <c r="AQ713" i="4"/>
  <c r="N633" i="4"/>
  <c r="P664" i="4"/>
  <c r="AQ694" i="4"/>
  <c r="AQ616" i="4"/>
  <c r="R650" i="4"/>
  <c r="R682" i="4"/>
  <c r="R684" i="4"/>
  <c r="AQ807" i="4"/>
  <c r="R818" i="4"/>
  <c r="N905" i="4"/>
  <c r="AQ625" i="4"/>
  <c r="P689" i="4"/>
  <c r="AQ745" i="4"/>
  <c r="N854" i="4"/>
  <c r="P744" i="4"/>
  <c r="N817" i="4"/>
  <c r="N689" i="4"/>
  <c r="N649" i="4"/>
  <c r="R726" i="4"/>
  <c r="R878" i="4"/>
  <c r="P808" i="4"/>
  <c r="AQ835" i="4"/>
  <c r="AQ787" i="4"/>
  <c r="P781" i="4"/>
  <c r="R804" i="4"/>
  <c r="AQ904" i="4"/>
  <c r="N804" i="4"/>
  <c r="N797" i="4"/>
  <c r="R822" i="4"/>
  <c r="AQ823" i="4"/>
  <c r="N790" i="4"/>
  <c r="R887" i="4"/>
  <c r="R891" i="4"/>
  <c r="N887" i="4"/>
  <c r="R840" i="4"/>
  <c r="AQ842" i="4"/>
  <c r="N842" i="4"/>
  <c r="P517" i="4"/>
  <c r="AQ547" i="4"/>
  <c r="N580" i="4"/>
  <c r="AQ606" i="4"/>
  <c r="AQ637" i="4"/>
  <c r="AQ668" i="4"/>
  <c r="P701" i="4"/>
  <c r="R618" i="4"/>
  <c r="P650" i="4"/>
  <c r="P681" i="4"/>
  <c r="AQ714" i="4"/>
  <c r="P635" i="4"/>
  <c r="P668" i="4"/>
  <c r="P714" i="4"/>
  <c r="R655" i="4"/>
  <c r="N719" i="4"/>
  <c r="N777" i="4"/>
  <c r="AQ749" i="4"/>
  <c r="N757" i="4"/>
  <c r="R785" i="4"/>
  <c r="R909" i="4"/>
  <c r="P294" i="4"/>
  <c r="P310" i="4"/>
  <c r="P325" i="4"/>
  <c r="R340" i="4"/>
  <c r="R355" i="4"/>
  <c r="P372" i="4"/>
  <c r="AQ387" i="4"/>
  <c r="P403" i="4"/>
  <c r="AQ418" i="4"/>
  <c r="P434" i="4"/>
  <c r="R450" i="4"/>
  <c r="AQ465" i="4"/>
  <c r="AQ481" i="4"/>
  <c r="P272" i="4"/>
  <c r="AQ288" i="4"/>
  <c r="AQ304" i="4"/>
  <c r="AQ321" i="4"/>
  <c r="N338" i="4"/>
  <c r="AQ353" i="4"/>
  <c r="AQ368" i="4"/>
  <c r="N386" i="4"/>
  <c r="AQ399" i="4"/>
  <c r="N415" i="4"/>
  <c r="AQ430" i="4"/>
  <c r="P447" i="4"/>
  <c r="AQ461" i="4"/>
  <c r="N478" i="4"/>
  <c r="N499" i="4"/>
  <c r="R533" i="4"/>
  <c r="P564" i="4"/>
  <c r="N594" i="4"/>
  <c r="P509" i="4"/>
  <c r="AQ542" i="4"/>
  <c r="AQ573" i="4"/>
  <c r="P605" i="4"/>
  <c r="R521" i="4"/>
  <c r="P552" i="4"/>
  <c r="R585" i="4"/>
  <c r="AQ504" i="4"/>
  <c r="AQ534" i="4"/>
  <c r="AQ566" i="4"/>
  <c r="R597" i="4"/>
  <c r="N625" i="4"/>
  <c r="AQ655" i="4"/>
  <c r="R687" i="4"/>
  <c r="P719" i="4"/>
  <c r="N638" i="4"/>
  <c r="N669" i="4"/>
  <c r="R700" i="4"/>
  <c r="P622" i="4"/>
  <c r="P655" i="4"/>
  <c r="AQ689" i="4"/>
  <c r="R631" i="4"/>
  <c r="P694" i="4"/>
  <c r="R752" i="4"/>
  <c r="AQ863" i="4"/>
  <c r="R858" i="4"/>
  <c r="R912" i="4"/>
  <c r="R811" i="4"/>
  <c r="N435" i="4"/>
  <c r="P451" i="4"/>
  <c r="R466" i="4"/>
  <c r="R482" i="4"/>
  <c r="P282" i="4"/>
  <c r="N299" i="4"/>
  <c r="P315" i="4"/>
  <c r="R329" i="4"/>
  <c r="P345" i="4"/>
  <c r="N361" i="4"/>
  <c r="N377" i="4"/>
  <c r="AQ392" i="4"/>
  <c r="P408" i="4"/>
  <c r="N423" i="4"/>
  <c r="N439" i="4"/>
  <c r="R455" i="4"/>
  <c r="AQ470" i="4"/>
  <c r="N487" i="4"/>
  <c r="AQ276" i="4"/>
  <c r="R294" i="4"/>
  <c r="R310" i="4"/>
  <c r="P327" i="4"/>
  <c r="AQ342" i="4"/>
  <c r="AQ358" i="4"/>
  <c r="AQ373" i="4"/>
  <c r="R390" i="4"/>
  <c r="N405" i="4"/>
  <c r="AQ419" i="4"/>
  <c r="R436" i="4"/>
  <c r="AQ451" i="4"/>
  <c r="N467" i="4"/>
  <c r="AQ482" i="4"/>
  <c r="R512" i="4"/>
  <c r="R542" i="4"/>
  <c r="R572" i="4"/>
  <c r="R603" i="4"/>
  <c r="R518" i="4"/>
  <c r="N552" i="4"/>
  <c r="P583" i="4"/>
  <c r="R498" i="4"/>
  <c r="P530" i="4"/>
  <c r="P561" i="4"/>
  <c r="R596" i="4"/>
  <c r="AQ513" i="4"/>
  <c r="P544" i="4"/>
  <c r="N576" i="4"/>
  <c r="AQ609" i="4"/>
  <c r="AQ633" i="4"/>
  <c r="N665" i="4"/>
  <c r="R697" i="4"/>
  <c r="AQ614" i="4"/>
  <c r="AQ646" i="4"/>
  <c r="R677" i="4"/>
  <c r="P711" i="4"/>
  <c r="P631" i="4"/>
  <c r="R664" i="4"/>
  <c r="P707" i="4"/>
  <c r="P647" i="4"/>
  <c r="P710" i="4"/>
  <c r="R769" i="4"/>
  <c r="P740" i="4"/>
  <c r="P741" i="4"/>
  <c r="R763" i="4"/>
  <c r="N878" i="4"/>
  <c r="N509" i="4"/>
  <c r="AQ524" i="4"/>
  <c r="AQ539" i="4"/>
  <c r="R554" i="4"/>
  <c r="AQ569" i="4"/>
  <c r="N585" i="4"/>
  <c r="AQ599" i="4"/>
  <c r="P500" i="4"/>
  <c r="P515" i="4"/>
  <c r="AQ531" i="4"/>
  <c r="P549" i="4"/>
  <c r="R564" i="4"/>
  <c r="R580" i="4"/>
  <c r="P595" i="4"/>
  <c r="AQ495" i="4"/>
  <c r="N511" i="4"/>
  <c r="R527" i="4"/>
  <c r="N542" i="4"/>
  <c r="P558" i="4"/>
  <c r="AQ574" i="4"/>
  <c r="R593" i="4"/>
  <c r="P495" i="4"/>
  <c r="P511" i="4"/>
  <c r="P533" i="4"/>
  <c r="P553" i="4"/>
  <c r="P573" i="4"/>
  <c r="AQ595" i="4"/>
  <c r="R611" i="4"/>
  <c r="AQ630" i="4"/>
  <c r="AQ653" i="4"/>
  <c r="R673" i="4"/>
  <c r="R694" i="4"/>
  <c r="P717" i="4"/>
  <c r="N623" i="4"/>
  <c r="N644" i="4"/>
  <c r="N667" i="4"/>
  <c r="AQ685" i="4"/>
  <c r="P706" i="4"/>
  <c r="R620" i="4"/>
  <c r="P653" i="4"/>
  <c r="N686" i="4"/>
  <c r="AQ627" i="4"/>
  <c r="N691" i="4"/>
  <c r="P748" i="4"/>
  <c r="AQ846" i="4"/>
  <c r="P831" i="4"/>
  <c r="P880" i="4"/>
  <c r="R906" i="4"/>
  <c r="R506" i="4"/>
  <c r="AQ536" i="4"/>
  <c r="N567" i="4"/>
  <c r="N597" i="4"/>
  <c r="AQ511" i="4"/>
  <c r="R546" i="4"/>
  <c r="R577" i="4"/>
  <c r="P493" i="4"/>
  <c r="P524" i="4"/>
  <c r="N555" i="4"/>
  <c r="AQ589" i="4"/>
  <c r="AQ507" i="4"/>
  <c r="R538" i="4"/>
  <c r="P570" i="4"/>
  <c r="R600" i="4"/>
  <c r="N628" i="4"/>
  <c r="R659" i="4"/>
  <c r="P690" i="4"/>
  <c r="P723" i="4"/>
  <c r="AQ640" i="4"/>
  <c r="N672" i="4"/>
  <c r="P703" i="4"/>
  <c r="R625" i="4"/>
  <c r="N658" i="4"/>
  <c r="AQ710" i="4"/>
  <c r="R714" i="4"/>
  <c r="N745" i="4"/>
  <c r="AQ772" i="4"/>
  <c r="AQ699" i="4"/>
  <c r="P641" i="4"/>
  <c r="AQ703" i="4"/>
  <c r="AQ762" i="4"/>
  <c r="N741" i="4"/>
  <c r="P783" i="4"/>
  <c r="AQ913" i="4"/>
  <c r="N709" i="4"/>
  <c r="R669" i="4"/>
  <c r="R751" i="4"/>
  <c r="N758" i="4"/>
  <c r="R758" i="4"/>
  <c r="AQ804" i="4"/>
  <c r="AQ811" i="4"/>
  <c r="AO805" i="4"/>
  <c r="R845" i="4"/>
  <c r="R846" i="4"/>
  <c r="R883" i="4"/>
  <c r="N891" i="4"/>
  <c r="AQ877" i="4"/>
  <c r="P877" i="4"/>
  <c r="N863" i="4"/>
  <c r="AQ911" i="4"/>
  <c r="N914" i="4"/>
  <c r="AQ917" i="4"/>
  <c r="R867" i="4"/>
  <c r="R872" i="4"/>
  <c r="AQ871" i="4"/>
  <c r="N541" i="4"/>
  <c r="N574" i="4"/>
  <c r="R494" i="4"/>
  <c r="R524" i="4"/>
  <c r="N556" i="4"/>
  <c r="P587" i="4"/>
  <c r="R614" i="4"/>
  <c r="R645" i="4"/>
  <c r="P676" i="4"/>
  <c r="R708" i="4"/>
  <c r="P626" i="4"/>
  <c r="AQ657" i="4"/>
  <c r="AQ688" i="4"/>
  <c r="N724" i="4"/>
  <c r="P643" i="4"/>
  <c r="AQ675" i="4"/>
  <c r="P608" i="4"/>
  <c r="R671" i="4"/>
  <c r="R728" i="4"/>
  <c r="N793" i="4"/>
  <c r="P779" i="4"/>
  <c r="N788" i="4"/>
  <c r="P826" i="4"/>
  <c r="N859" i="4"/>
  <c r="N298" i="4"/>
  <c r="P314" i="4"/>
  <c r="AQ328" i="4"/>
  <c r="P344" i="4"/>
  <c r="R359" i="4"/>
  <c r="P376" i="4"/>
  <c r="AQ391" i="4"/>
  <c r="R407" i="4"/>
  <c r="P422" i="4"/>
  <c r="N438" i="4"/>
  <c r="R454" i="4"/>
  <c r="AQ469" i="4"/>
  <c r="N486" i="4"/>
  <c r="AQ275" i="4"/>
  <c r="R293" i="4"/>
  <c r="R309" i="4"/>
  <c r="R326" i="4"/>
  <c r="AQ341" i="4"/>
  <c r="AQ357" i="4"/>
  <c r="P373" i="4"/>
  <c r="AP389" i="4"/>
  <c r="R404" i="4"/>
  <c r="N419" i="4"/>
  <c r="R435" i="4"/>
  <c r="AQ450" i="4"/>
  <c r="N466" i="4"/>
  <c r="N482" i="4"/>
  <c r="R511" i="4"/>
  <c r="R541" i="4"/>
  <c r="R571" i="4"/>
  <c r="AQ601" i="4"/>
  <c r="AQ517" i="4"/>
  <c r="P551" i="4"/>
  <c r="P582" i="4"/>
  <c r="R497" i="4"/>
  <c r="R529" i="4"/>
  <c r="P560" i="4"/>
  <c r="R595" i="4"/>
  <c r="N513" i="4"/>
  <c r="P543" i="4"/>
  <c r="N575" i="4"/>
  <c r="AQ607" i="4"/>
  <c r="AQ632" i="4"/>
  <c r="N664" i="4"/>
  <c r="R696" i="4"/>
  <c r="AQ613" i="4"/>
  <c r="AQ645" i="4"/>
  <c r="R676" i="4"/>
  <c r="AQ709" i="4"/>
  <c r="P630" i="4"/>
  <c r="N663" i="4"/>
  <c r="R706" i="4"/>
  <c r="P646" i="4"/>
  <c r="P709" i="4"/>
  <c r="AQ768" i="4"/>
  <c r="R738" i="4"/>
  <c r="R740" i="4"/>
  <c r="AQ761" i="4"/>
  <c r="N877" i="4"/>
  <c r="AQ438" i="4"/>
  <c r="P455" i="4"/>
  <c r="R470" i="4"/>
  <c r="AQ485" i="4"/>
  <c r="R287" i="4"/>
  <c r="R303" i="4"/>
  <c r="AQ318" i="4"/>
  <c r="P333" i="4"/>
  <c r="N349" i="4"/>
  <c r="AQ365" i="4"/>
  <c r="P380" i="4"/>
  <c r="P396" i="4"/>
  <c r="N412" i="4"/>
  <c r="AQ426" i="4"/>
  <c r="R443" i="4"/>
  <c r="N459" i="4"/>
  <c r="AQ474" i="4"/>
  <c r="R491" i="4"/>
  <c r="R282" i="4"/>
  <c r="P298" i="4"/>
  <c r="R314" i="4"/>
  <c r="R331" i="4"/>
  <c r="R346" i="4"/>
  <c r="P362" i="4"/>
  <c r="R379" i="4"/>
  <c r="N394" i="4"/>
  <c r="R408" i="4"/>
  <c r="P424" i="4"/>
  <c r="P440" i="4"/>
  <c r="AQ455" i="4"/>
  <c r="N471" i="4"/>
  <c r="N488" i="4"/>
  <c r="N520" i="4"/>
  <c r="N550" i="4"/>
  <c r="P580" i="4"/>
  <c r="AO495" i="4"/>
  <c r="P527" i="4"/>
  <c r="N560" i="4"/>
  <c r="R590" i="4"/>
  <c r="N506" i="4"/>
  <c r="P537" i="4"/>
  <c r="R569" i="4"/>
  <c r="R605" i="4"/>
  <c r="AQ520" i="4"/>
  <c r="R552" i="4"/>
  <c r="AQ583" i="4"/>
  <c r="R610" i="4"/>
  <c r="P642" i="4"/>
  <c r="R672" i="4"/>
  <c r="N705" i="4"/>
  <c r="N622" i="4"/>
  <c r="N654" i="4"/>
  <c r="N685" i="4"/>
  <c r="R718" i="4"/>
  <c r="N639" i="4"/>
  <c r="P672" i="4"/>
  <c r="R722" i="4"/>
  <c r="P663" i="4"/>
  <c r="AQ720" i="4"/>
  <c r="AQ784" i="4"/>
  <c r="N762" i="4"/>
  <c r="AQ771" i="4"/>
  <c r="N836" i="4"/>
  <c r="P828" i="4"/>
  <c r="P513" i="4"/>
  <c r="P528" i="4"/>
  <c r="R543" i="4"/>
  <c r="AQ557" i="4"/>
  <c r="R573" i="4"/>
  <c r="R588" i="4"/>
  <c r="R604" i="4"/>
  <c r="P504" i="4"/>
  <c r="R519" i="4"/>
  <c r="P536" i="4"/>
  <c r="AQ552" i="4"/>
  <c r="P568" i="4"/>
  <c r="P584" i="4"/>
  <c r="N599" i="4"/>
  <c r="R499" i="4"/>
  <c r="R514" i="4"/>
  <c r="N531" i="4"/>
  <c r="AQ545" i="4"/>
  <c r="P562" i="4"/>
  <c r="AQ578" i="4"/>
  <c r="P598" i="4"/>
  <c r="AQ498" i="4"/>
  <c r="N518" i="4"/>
  <c r="R537" i="4"/>
  <c r="R557" i="4"/>
  <c r="N581" i="4"/>
  <c r="R599" i="4"/>
  <c r="R615" i="4"/>
  <c r="R639" i="4"/>
  <c r="R658" i="4"/>
  <c r="P677" i="4"/>
  <c r="P702" i="4"/>
  <c r="N722" i="4"/>
  <c r="P627" i="4"/>
  <c r="P651" i="4"/>
  <c r="N671" i="4"/>
  <c r="R690" i="4"/>
  <c r="AQ715" i="4"/>
  <c r="R628" i="4"/>
  <c r="N661" i="4"/>
  <c r="AQ701" i="4"/>
  <c r="AQ642" i="4"/>
  <c r="AQ705" i="4"/>
  <c r="R765" i="4"/>
  <c r="N734" i="4"/>
  <c r="P733" i="4"/>
  <c r="P752" i="4"/>
  <c r="R861" i="4"/>
  <c r="N514" i="4"/>
  <c r="R544" i="4"/>
  <c r="R574" i="4"/>
  <c r="P606" i="4"/>
  <c r="P520" i="4"/>
  <c r="AQ553" i="4"/>
  <c r="P585" i="4"/>
  <c r="R500" i="4"/>
  <c r="N532" i="4"/>
  <c r="P563" i="4"/>
  <c r="P599" i="4"/>
  <c r="AQ515" i="4"/>
  <c r="N546" i="4"/>
  <c r="N578" i="4"/>
  <c r="N605" i="4"/>
  <c r="AQ635" i="4"/>
  <c r="AQ666" i="4"/>
  <c r="R699" i="4"/>
  <c r="R616" i="4"/>
  <c r="AP648" i="4"/>
  <c r="P679" i="4"/>
  <c r="P713" i="4"/>
  <c r="P633" i="4"/>
  <c r="P666" i="4"/>
  <c r="R621" i="4"/>
  <c r="AQ740" i="4"/>
  <c r="R802" i="4"/>
  <c r="P873" i="4"/>
  <c r="N715" i="4"/>
  <c r="R656" i="4"/>
  <c r="P720" i="4"/>
  <c r="N778" i="4"/>
  <c r="P774" i="4"/>
  <c r="AQ894" i="4"/>
  <c r="AQ884" i="4"/>
  <c r="R606" i="4"/>
  <c r="R693" i="4"/>
  <c r="P771" i="4"/>
  <c r="P821" i="4"/>
  <c r="AQ849" i="4"/>
  <c r="P904" i="4"/>
  <c r="R911" i="4"/>
  <c r="N919" i="4"/>
  <c r="P893" i="4"/>
  <c r="AQ892" i="4"/>
  <c r="AQ746" i="4"/>
  <c r="P750" i="4"/>
  <c r="R825" i="4"/>
  <c r="N739" i="4"/>
  <c r="AQ826" i="4"/>
  <c r="AQ829" i="4"/>
  <c r="N833" i="4"/>
  <c r="R803" i="4"/>
  <c r="P892" i="4"/>
  <c r="AQ903" i="4"/>
  <c r="P899" i="4"/>
  <c r="N545" i="4"/>
  <c r="AQ577" i="4"/>
  <c r="AQ497" i="4"/>
  <c r="AQ527" i="4"/>
  <c r="R560" i="4"/>
  <c r="N591" i="4"/>
  <c r="P618" i="4"/>
  <c r="P649" i="4"/>
  <c r="N680" i="4"/>
  <c r="N712" i="4"/>
  <c r="N631" i="4"/>
  <c r="AQ661" i="4"/>
  <c r="N693" i="4"/>
  <c r="N615" i="4"/>
  <c r="N648" i="4"/>
  <c r="R680" i="4"/>
  <c r="N617" i="4"/>
  <c r="AQ679" i="4"/>
  <c r="P737" i="4"/>
  <c r="N803" i="4"/>
  <c r="N795" i="4"/>
  <c r="P804" i="4"/>
  <c r="AQ856" i="4"/>
  <c r="AQ889" i="4"/>
  <c r="R517" i="4"/>
  <c r="R531" i="4"/>
  <c r="P547" i="4"/>
  <c r="AQ561" i="4"/>
  <c r="P577" i="4"/>
  <c r="P592" i="4"/>
  <c r="N613" i="4"/>
  <c r="R507" i="4"/>
  <c r="P523" i="4"/>
  <c r="N540" i="4"/>
  <c r="N557" i="4"/>
  <c r="AQ571" i="4"/>
  <c r="AQ587" i="4"/>
  <c r="AQ602" i="4"/>
  <c r="R503" i="4"/>
  <c r="AQ518" i="4"/>
  <c r="R534" i="4"/>
  <c r="R550" i="4"/>
  <c r="R566" i="4"/>
  <c r="R583" i="4"/>
  <c r="P602" i="4"/>
  <c r="AQ502" i="4"/>
  <c r="AQ521" i="4"/>
  <c r="P541" i="4"/>
  <c r="AQ564" i="4"/>
  <c r="AQ584" i="4"/>
  <c r="P603" i="4"/>
  <c r="AQ622" i="4"/>
  <c r="N643" i="4"/>
  <c r="R662" i="4"/>
  <c r="AQ684" i="4"/>
  <c r="N706" i="4"/>
  <c r="AQ611" i="4"/>
  <c r="N636" i="4"/>
  <c r="N655" i="4"/>
  <c r="R674" i="4"/>
  <c r="AQ697" i="4"/>
  <c r="R719" i="4"/>
  <c r="P636" i="4"/>
  <c r="P669" i="4"/>
  <c r="AQ716" i="4"/>
  <c r="P658" i="4"/>
  <c r="N723" i="4"/>
  <c r="N780" i="4"/>
  <c r="AQ753" i="4"/>
  <c r="N764" i="4"/>
  <c r="N801" i="4"/>
  <c r="AO811" i="4"/>
  <c r="N522" i="4"/>
  <c r="AQ551" i="4"/>
  <c r="N582" i="4"/>
  <c r="P497" i="4"/>
  <c r="P529" i="4"/>
  <c r="N562" i="4"/>
  <c r="R592" i="4"/>
  <c r="R508" i="4"/>
  <c r="P539" i="4"/>
  <c r="N572" i="4"/>
  <c r="N609" i="4"/>
  <c r="AQ522" i="4"/>
  <c r="P554" i="4"/>
  <c r="AO585" i="4"/>
  <c r="R612" i="4"/>
  <c r="AQ643" i="4"/>
  <c r="P674" i="4"/>
  <c r="N707" i="4"/>
  <c r="AQ623" i="4"/>
  <c r="N656" i="4"/>
  <c r="AQ686" i="4"/>
  <c r="N721" i="4"/>
  <c r="N641" i="4"/>
  <c r="AQ673" i="4"/>
  <c r="AQ650" i="4"/>
  <c r="N773" i="4"/>
  <c r="P749" i="4"/>
  <c r="P894" i="4"/>
  <c r="P609" i="4"/>
  <c r="P673" i="4"/>
  <c r="P729" i="4"/>
  <c r="AQ794" i="4"/>
  <c r="P845" i="4"/>
  <c r="AQ766" i="4"/>
  <c r="N850" i="4"/>
  <c r="R630" i="4"/>
  <c r="AQ712" i="4"/>
  <c r="P791" i="4"/>
  <c r="AQ760" i="4"/>
  <c r="R853" i="4"/>
  <c r="AQ754" i="4"/>
  <c r="N754" i="4"/>
  <c r="N760" i="4"/>
  <c r="AQ839" i="4"/>
  <c r="P777" i="4"/>
  <c r="AQ769" i="4"/>
  <c r="R781" i="4"/>
  <c r="R890" i="4"/>
  <c r="P766" i="4"/>
  <c r="P854" i="4"/>
  <c r="P863" i="4"/>
  <c r="AQ859" i="4"/>
  <c r="R899" i="4"/>
  <c r="P814" i="4"/>
  <c r="R814" i="4"/>
  <c r="AQ514" i="4"/>
  <c r="AQ528" i="4"/>
  <c r="P545" i="4"/>
  <c r="R561" i="4"/>
  <c r="N577" i="4"/>
  <c r="N592" i="4"/>
  <c r="N612" i="4"/>
  <c r="N619" i="4"/>
  <c r="AQ634" i="4"/>
  <c r="N650" i="4"/>
  <c r="AQ665" i="4"/>
  <c r="N681" i="4"/>
  <c r="R698" i="4"/>
  <c r="N713" i="4"/>
  <c r="AQ615" i="4"/>
  <c r="N632" i="4"/>
  <c r="AQ647" i="4"/>
  <c r="AQ662" i="4"/>
  <c r="P678" i="4"/>
  <c r="AQ693" i="4"/>
  <c r="P712" i="4"/>
  <c r="N616" i="4"/>
  <c r="P632" i="4"/>
  <c r="AQ648" i="4"/>
  <c r="R665" i="4"/>
  <c r="R681" i="4"/>
  <c r="N710" i="4"/>
  <c r="AQ619" i="4"/>
  <c r="AQ649" i="4"/>
  <c r="AQ682" i="4"/>
  <c r="AO713" i="4"/>
  <c r="N740" i="4"/>
  <c r="P772" i="4"/>
  <c r="AQ806" i="4"/>
  <c r="N744" i="4"/>
  <c r="R801" i="4"/>
  <c r="AQ747" i="4"/>
  <c r="AQ814" i="4"/>
  <c r="N772" i="4"/>
  <c r="P872" i="4"/>
  <c r="R893" i="4"/>
  <c r="N904" i="4"/>
  <c r="P518" i="4"/>
  <c r="R532" i="4"/>
  <c r="N548" i="4"/>
  <c r="AQ562" i="4"/>
  <c r="P578" i="4"/>
  <c r="N593" i="4"/>
  <c r="N494" i="4"/>
  <c r="P508" i="4"/>
  <c r="N524" i="4"/>
  <c r="AQ541" i="4"/>
  <c r="N558" i="4"/>
  <c r="AQ572" i="4"/>
  <c r="AQ588" i="4"/>
  <c r="AQ603" i="4"/>
  <c r="R504" i="4"/>
  <c r="R520" i="4"/>
  <c r="R535" i="4"/>
  <c r="R551" i="4"/>
  <c r="R567" i="4"/>
  <c r="R584" i="4"/>
  <c r="N603" i="4"/>
  <c r="AQ503" i="4"/>
  <c r="N519" i="4"/>
  <c r="N534" i="4"/>
  <c r="AQ549" i="4"/>
  <c r="AQ565" i="4"/>
  <c r="AQ581" i="4"/>
  <c r="AQ596" i="4"/>
  <c r="R608" i="4"/>
  <c r="R624" i="4"/>
  <c r="R640" i="4"/>
  <c r="AQ654" i="4"/>
  <c r="AQ670" i="4"/>
  <c r="R686" i="4"/>
  <c r="N703" i="4"/>
  <c r="P718" i="4"/>
  <c r="P620" i="4"/>
  <c r="N637" i="4"/>
  <c r="P652" i="4"/>
  <c r="N668" i="4"/>
  <c r="P683" i="4"/>
  <c r="AQ698" i="4"/>
  <c r="R716" i="4"/>
  <c r="P621" i="4"/>
  <c r="P637" i="4"/>
  <c r="P654" i="4"/>
  <c r="P670" i="4"/>
  <c r="N687" i="4"/>
  <c r="AQ717" i="4"/>
  <c r="AQ628" i="4"/>
  <c r="P659" i="4"/>
  <c r="AQ691" i="4"/>
  <c r="N725" i="4"/>
  <c r="AQ748" i="4"/>
  <c r="AQ780" i="4"/>
  <c r="P850" i="4"/>
  <c r="P756" i="4"/>
  <c r="N834" i="4"/>
  <c r="N765" i="4"/>
  <c r="R884" i="4"/>
  <c r="N802" i="4"/>
  <c r="P907" i="4"/>
  <c r="R812" i="4"/>
  <c r="N688" i="4"/>
  <c r="R704" i="4"/>
  <c r="AQ718" i="4"/>
  <c r="P613" i="4"/>
  <c r="AQ629" i="4"/>
  <c r="P644" i="4"/>
  <c r="P660" i="4"/>
  <c r="N677" i="4"/>
  <c r="AQ692" i="4"/>
  <c r="R707" i="4"/>
  <c r="AQ727" i="4"/>
  <c r="AQ733" i="4"/>
  <c r="R750" i="4"/>
  <c r="N767" i="4"/>
  <c r="AQ781" i="4"/>
  <c r="P799" i="4"/>
  <c r="N874" i="4"/>
  <c r="N746" i="4"/>
  <c r="R790" i="4"/>
  <c r="N871" i="4"/>
  <c r="N752" i="4"/>
  <c r="N798" i="4"/>
  <c r="R724" i="4"/>
  <c r="AQ776" i="4"/>
  <c r="N849" i="4"/>
  <c r="N820" i="4"/>
  <c r="AQ900" i="4"/>
  <c r="N881" i="4"/>
  <c r="P693" i="4"/>
  <c r="R712" i="4"/>
  <c r="P614" i="4"/>
  <c r="R634" i="4"/>
  <c r="R653" i="4"/>
  <c r="AQ677" i="4"/>
  <c r="P697" i="4"/>
  <c r="N717" i="4"/>
  <c r="P735" i="4"/>
  <c r="R755" i="4"/>
  <c r="AQ774" i="4"/>
  <c r="P800" i="4"/>
  <c r="N733" i="4"/>
  <c r="AQ765" i="4"/>
  <c r="AQ874" i="4"/>
  <c r="P768" i="4"/>
  <c r="P868" i="4"/>
  <c r="AQ793" i="4"/>
  <c r="N865" i="4"/>
  <c r="R870" i="4"/>
  <c r="N882" i="4"/>
  <c r="R820" i="4"/>
  <c r="N732" i="4"/>
  <c r="N763" i="4"/>
  <c r="R792" i="4"/>
  <c r="R837" i="4"/>
  <c r="N735" i="4"/>
  <c r="P758" i="4"/>
  <c r="P785" i="4"/>
  <c r="N835" i="4"/>
  <c r="R732" i="4"/>
  <c r="P764" i="4"/>
  <c r="AQ845" i="4"/>
  <c r="P852" i="4"/>
  <c r="AQ909" i="4"/>
  <c r="P865" i="4"/>
  <c r="N912" i="4"/>
  <c r="AQ854" i="4"/>
  <c r="N916" i="4"/>
  <c r="N785" i="4"/>
  <c r="N808" i="4"/>
  <c r="R915" i="4"/>
  <c r="N751" i="4"/>
  <c r="R778" i="4"/>
  <c r="N812" i="4"/>
  <c r="P906" i="4"/>
  <c r="AQ755" i="4"/>
  <c r="AP805" i="4"/>
  <c r="AQ837" i="4"/>
  <c r="R886" i="4"/>
  <c r="AQ840" i="4"/>
  <c r="N898" i="4"/>
  <c r="N840" i="4"/>
  <c r="N901" i="4"/>
  <c r="R743" i="4"/>
  <c r="N770" i="4"/>
  <c r="AQ802" i="4"/>
  <c r="AQ895" i="4"/>
  <c r="R831" i="4"/>
  <c r="P861" i="4"/>
  <c r="P891" i="4"/>
  <c r="P920" i="4"/>
  <c r="AQ841" i="4"/>
  <c r="AQ866" i="4"/>
  <c r="P895" i="4"/>
  <c r="R813" i="4"/>
  <c r="N841" i="4"/>
  <c r="R863" i="4"/>
  <c r="R894" i="4"/>
  <c r="R783" i="4"/>
  <c r="AQ812" i="4"/>
  <c r="AQ819" i="4"/>
  <c r="R844" i="4"/>
  <c r="P871" i="4"/>
  <c r="R905" i="4"/>
  <c r="R823" i="4"/>
  <c r="P847" i="4"/>
  <c r="N880" i="4"/>
  <c r="R907" i="4"/>
  <c r="N822" i="4"/>
  <c r="AQ853" i="4"/>
  <c r="R875" i="4"/>
  <c r="N903" i="4"/>
  <c r="N695" i="4"/>
  <c r="N604" i="4"/>
  <c r="R636" i="4"/>
  <c r="R667" i="4"/>
  <c r="P699" i="4"/>
  <c r="AQ724" i="4"/>
  <c r="R757" i="4"/>
  <c r="P789" i="4"/>
  <c r="N893" i="4"/>
  <c r="R771" i="4"/>
  <c r="N890" i="4"/>
  <c r="R780" i="4"/>
  <c r="R731" i="4"/>
  <c r="U909" i="4"/>
  <c r="N829" i="4"/>
  <c r="N844" i="4"/>
  <c r="R692" i="4"/>
  <c r="N708" i="4"/>
  <c r="P724" i="4"/>
  <c r="N618" i="4"/>
  <c r="R633" i="4"/>
  <c r="P648" i="4"/>
  <c r="AQ663" i="4"/>
  <c r="AQ680" i="4"/>
  <c r="P696" i="4"/>
  <c r="AQ711" i="4"/>
  <c r="AQ721" i="4"/>
  <c r="P738" i="4"/>
  <c r="R754" i="4"/>
  <c r="P770" i="4"/>
  <c r="R786" i="4"/>
  <c r="AQ803" i="4"/>
  <c r="AQ896" i="4"/>
  <c r="AQ756" i="4"/>
  <c r="AQ797" i="4"/>
  <c r="P905" i="4"/>
  <c r="R767" i="4"/>
  <c r="P807" i="4"/>
  <c r="N736" i="4"/>
  <c r="R808" i="4"/>
  <c r="N864" i="4"/>
  <c r="R836" i="4"/>
  <c r="P819" i="4"/>
  <c r="R896" i="4"/>
  <c r="N697" i="4"/>
  <c r="N720" i="4"/>
  <c r="AQ618" i="4"/>
  <c r="R638" i="4"/>
  <c r="P661" i="4"/>
  <c r="AQ681" i="4"/>
  <c r="N701" i="4"/>
  <c r="N731" i="4"/>
  <c r="P739" i="4"/>
  <c r="P759" i="4"/>
  <c r="AQ782" i="4"/>
  <c r="AQ805" i="4"/>
  <c r="R737" i="4"/>
  <c r="R791" i="4"/>
  <c r="P730" i="4"/>
  <c r="AQ775" i="4"/>
  <c r="R725" i="4"/>
  <c r="R809" i="4"/>
  <c r="AQ898" i="4"/>
  <c r="AQ916" i="4"/>
  <c r="R897" i="4"/>
  <c r="P844" i="4"/>
  <c r="N743" i="4"/>
  <c r="R772" i="4"/>
  <c r="AQ795" i="4"/>
  <c r="AQ864" i="4"/>
  <c r="AQ738" i="4"/>
  <c r="N766" i="4"/>
  <c r="N796" i="4"/>
  <c r="N852" i="4"/>
  <c r="N738" i="4"/>
  <c r="AQ779" i="4"/>
  <c r="N920" i="4"/>
  <c r="R859" i="4"/>
  <c r="P815" i="4"/>
  <c r="R873" i="4"/>
  <c r="R815" i="4"/>
  <c r="R876" i="4"/>
  <c r="R760" i="4"/>
  <c r="R789" i="4"/>
  <c r="P841" i="4"/>
  <c r="P732" i="4"/>
  <c r="N755" i="4"/>
  <c r="N786" i="4"/>
  <c r="N825" i="4"/>
  <c r="P728" i="4"/>
  <c r="N771" i="4"/>
  <c r="R819" i="4"/>
  <c r="N846" i="4"/>
  <c r="AQ910" i="4"/>
  <c r="N857" i="4"/>
  <c r="AQ905" i="4"/>
  <c r="AQ855" i="4"/>
  <c r="AQ908" i="4"/>
  <c r="P751" i="4"/>
  <c r="R782" i="4"/>
  <c r="R806" i="4"/>
  <c r="R913" i="4"/>
  <c r="R843" i="4"/>
  <c r="P870" i="4"/>
  <c r="N896" i="4"/>
  <c r="P817" i="4"/>
  <c r="P846" i="4"/>
  <c r="P875" i="4"/>
  <c r="AQ906" i="4"/>
  <c r="R817" i="4"/>
  <c r="N845" i="4"/>
  <c r="R874" i="4"/>
  <c r="N902" i="4"/>
  <c r="P787" i="4"/>
  <c r="P843" i="4"/>
  <c r="P824" i="4"/>
  <c r="R851" i="4"/>
  <c r="AQ883" i="4"/>
  <c r="P909" i="4"/>
  <c r="N827" i="4"/>
  <c r="R860" i="4"/>
  <c r="AQ887" i="4"/>
  <c r="N911" i="4"/>
  <c r="N830" i="4"/>
  <c r="P857" i="4"/>
  <c r="P884" i="4"/>
  <c r="P915" i="4"/>
  <c r="N624" i="4"/>
  <c r="N640" i="4"/>
  <c r="P657" i="4"/>
  <c r="N673" i="4"/>
  <c r="N694" i="4"/>
  <c r="N730" i="4"/>
  <c r="R635" i="4"/>
  <c r="R666" i="4"/>
  <c r="P698" i="4"/>
  <c r="AQ723" i="4"/>
  <c r="N756" i="4"/>
  <c r="R788" i="4"/>
  <c r="P882" i="4"/>
  <c r="R770" i="4"/>
  <c r="P887" i="4"/>
  <c r="R779" i="4"/>
  <c r="AQ729" i="4"/>
  <c r="P903" i="4"/>
  <c r="N828" i="4"/>
  <c r="N843" i="4"/>
  <c r="N510" i="4"/>
  <c r="R525" i="4"/>
  <c r="AQ540" i="4"/>
  <c r="R555" i="4"/>
  <c r="R570" i="4"/>
  <c r="AQ585" i="4"/>
  <c r="AQ600" i="4"/>
  <c r="P501" i="4"/>
  <c r="AQ516" i="4"/>
  <c r="AQ532" i="4"/>
  <c r="P550" i="4"/>
  <c r="P565" i="4"/>
  <c r="R581" i="4"/>
  <c r="P596" i="4"/>
  <c r="AO496" i="4"/>
  <c r="N512" i="4"/>
  <c r="AO528" i="4"/>
  <c r="N543" i="4"/>
  <c r="P559" i="4"/>
  <c r="AQ575" i="4"/>
  <c r="R594" i="4"/>
  <c r="N496" i="4"/>
  <c r="P512" i="4"/>
  <c r="N526" i="4"/>
  <c r="P542" i="4"/>
  <c r="R558" i="4"/>
  <c r="P574" i="4"/>
  <c r="N589" i="4"/>
  <c r="N606" i="4"/>
  <c r="P616" i="4"/>
  <c r="AQ631" i="4"/>
  <c r="R647" i="4"/>
  <c r="R663" i="4"/>
  <c r="N678" i="4"/>
  <c r="R695" i="4"/>
  <c r="R710" i="4"/>
  <c r="AQ612" i="4"/>
  <c r="P628" i="4"/>
  <c r="AQ644" i="4"/>
  <c r="AQ659" i="4"/>
  <c r="R675" i="4"/>
  <c r="R691" i="4"/>
  <c r="AQ708" i="4"/>
  <c r="R729" i="4"/>
  <c r="R629" i="4"/>
  <c r="N646" i="4"/>
  <c r="N662" i="4"/>
  <c r="R678" i="4"/>
  <c r="R703" i="4"/>
  <c r="P612" i="4"/>
  <c r="R643" i="4"/>
  <c r="N676" i="4"/>
  <c r="AQ706" i="4"/>
  <c r="AQ732" i="4"/>
  <c r="R766" i="4"/>
  <c r="R798" i="4"/>
  <c r="AQ734" i="4"/>
  <c r="AQ786" i="4"/>
  <c r="P734" i="4"/>
  <c r="P795" i="4"/>
  <c r="P753" i="4"/>
  <c r="R842" i="4"/>
  <c r="R862" i="4"/>
  <c r="AQ873" i="4"/>
  <c r="N696" i="4"/>
  <c r="R711" i="4"/>
  <c r="AQ604" i="4"/>
  <c r="R622" i="4"/>
  <c r="R637" i="4"/>
  <c r="AQ651" i="4"/>
  <c r="R668" i="4"/>
  <c r="R685" i="4"/>
  <c r="N700" i="4"/>
  <c r="P715" i="4"/>
  <c r="AQ725" i="4"/>
  <c r="AQ741" i="4"/>
  <c r="AQ757" i="4"/>
  <c r="N774" i="4"/>
  <c r="P790" i="4"/>
  <c r="P811" i="4"/>
  <c r="R736" i="4"/>
  <c r="AQ764" i="4"/>
  <c r="R805" i="4"/>
  <c r="AQ736" i="4"/>
  <c r="P775" i="4"/>
  <c r="R828" i="4"/>
  <c r="P757" i="4"/>
  <c r="N873" i="4"/>
  <c r="R880" i="4"/>
  <c r="AQ868" i="4"/>
  <c r="AQ834" i="4"/>
  <c r="P912" i="4"/>
  <c r="R705" i="4"/>
  <c r="AQ726" i="4"/>
  <c r="R623" i="4"/>
  <c r="P645" i="4"/>
  <c r="AQ664" i="4"/>
  <c r="P686" i="4"/>
  <c r="P708" i="4"/>
  <c r="AQ722" i="4"/>
  <c r="AQ742" i="4"/>
  <c r="AQ767" i="4"/>
  <c r="R787" i="4"/>
  <c r="P840" i="4"/>
  <c r="AQ752" i="4"/>
  <c r="AQ798" i="4"/>
  <c r="AQ737" i="4"/>
  <c r="N799" i="4"/>
  <c r="N748" i="4"/>
  <c r="R877" i="4"/>
  <c r="AQ820" i="4"/>
  <c r="P820" i="4"/>
  <c r="R797" i="4"/>
  <c r="P886" i="4"/>
  <c r="R747" i="4"/>
  <c r="R776" i="4"/>
  <c r="N807" i="4"/>
  <c r="N894" i="4"/>
  <c r="P742" i="4"/>
  <c r="R773" i="4"/>
  <c r="AQ799" i="4"/>
  <c r="P888" i="4"/>
  <c r="P754" i="4"/>
  <c r="P788" i="4"/>
  <c r="R821" i="4"/>
  <c r="R885" i="4"/>
  <c r="AQ831" i="4"/>
  <c r="AQ880" i="4"/>
  <c r="N831" i="4"/>
  <c r="N885" i="4"/>
  <c r="N768" i="4"/>
  <c r="R800" i="4"/>
  <c r="N855" i="4"/>
  <c r="AQ735" i="4"/>
  <c r="AP766" i="4"/>
  <c r="R793" i="4"/>
  <c r="R838" i="4"/>
  <c r="AQ739" i="4"/>
  <c r="N776" i="4"/>
  <c r="N892" i="4"/>
  <c r="R869" i="4"/>
  <c r="P919" i="4"/>
  <c r="AQ865" i="4"/>
  <c r="R816" i="4"/>
  <c r="AQ869" i="4"/>
  <c r="N917" i="4"/>
  <c r="N759" i="4"/>
  <c r="P786" i="4"/>
  <c r="N826" i="4"/>
  <c r="P823" i="4"/>
  <c r="N847" i="4"/>
  <c r="N875" i="4"/>
  <c r="P908" i="4"/>
  <c r="R826" i="4"/>
  <c r="AQ850" i="4"/>
  <c r="N883" i="4"/>
  <c r="N910" i="4"/>
  <c r="AQ824" i="4"/>
  <c r="R856" i="4"/>
  <c r="P878" i="4"/>
  <c r="N906" i="4"/>
  <c r="N800" i="4"/>
  <c r="P885" i="4"/>
  <c r="AQ827" i="4"/>
  <c r="AQ858" i="4"/>
  <c r="R888" i="4"/>
  <c r="R917" i="4"/>
  <c r="N839" i="4"/>
  <c r="P864" i="4"/>
  <c r="R892" i="4"/>
  <c r="AQ810" i="4"/>
  <c r="P838" i="4"/>
  <c r="AQ860" i="4"/>
  <c r="AQ891" i="4"/>
  <c r="AQ918" i="4"/>
  <c r="P830" i="4"/>
  <c r="R914" i="4"/>
  <c r="AQ751" i="4"/>
  <c r="N782" i="4"/>
  <c r="AQ817" i="4"/>
  <c r="N729" i="4"/>
  <c r="AQ759" i="4"/>
  <c r="AQ790" i="4"/>
  <c r="N862" i="4"/>
  <c r="R746" i="4"/>
  <c r="N792" i="4"/>
  <c r="R833" i="4"/>
  <c r="AQ897" i="4"/>
  <c r="R852" i="4"/>
  <c r="AQ915" i="4"/>
  <c r="R865" i="4"/>
  <c r="P685" i="4"/>
  <c r="AQ700" i="4"/>
  <c r="N716" i="4"/>
  <c r="P610" i="4"/>
  <c r="AQ626" i="4"/>
  <c r="N642" i="4"/>
  <c r="R657" i="4"/>
  <c r="N674" i="4"/>
  <c r="N690" i="4"/>
  <c r="AQ704" i="4"/>
  <c r="R721" i="4"/>
  <c r="AQ730" i="4"/>
  <c r="P747" i="4"/>
  <c r="R764" i="4"/>
  <c r="N779" i="4"/>
  <c r="AP795" i="4"/>
  <c r="N860" i="4"/>
  <c r="N742" i="4"/>
  <c r="N783" i="4"/>
  <c r="AQ847" i="4"/>
  <c r="P745" i="4"/>
  <c r="AQ791" i="4"/>
  <c r="R898" i="4"/>
  <c r="R768" i="4"/>
  <c r="P834" i="4"/>
  <c r="AQ914" i="4"/>
  <c r="AQ885" i="4"/>
  <c r="N866" i="4"/>
  <c r="P801" i="4"/>
  <c r="R857" i="4"/>
  <c r="R739" i="4"/>
  <c r="R759" i="4"/>
  <c r="P780" i="4"/>
  <c r="P803" i="4"/>
  <c r="P851" i="4"/>
  <c r="N727" i="4"/>
  <c r="N750" i="4"/>
  <c r="N769" i="4"/>
  <c r="AQ788" i="4"/>
  <c r="P822" i="4"/>
  <c r="P902" i="4"/>
  <c r="R744" i="4"/>
  <c r="R775" i="4"/>
  <c r="AQ815" i="4"/>
  <c r="AQ828" i="4"/>
  <c r="AQ876" i="4"/>
  <c r="P918" i="4"/>
  <c r="P848" i="4"/>
  <c r="P897" i="4"/>
  <c r="AQ822" i="4"/>
  <c r="AQ861" i="4"/>
  <c r="AQ907" i="4"/>
  <c r="P773" i="4"/>
  <c r="P793" i="4"/>
  <c r="R827" i="4"/>
  <c r="P901" i="4"/>
  <c r="AP739" i="4"/>
  <c r="P763" i="4"/>
  <c r="P782" i="4"/>
  <c r="AQ800" i="4"/>
  <c r="AQ875" i="4"/>
  <c r="R733" i="4"/>
  <c r="N761" i="4"/>
  <c r="P797" i="4"/>
  <c r="N814" i="4"/>
  <c r="P853" i="4"/>
  <c r="R903" i="4"/>
  <c r="AQ832" i="4"/>
  <c r="P874" i="4"/>
  <c r="N809" i="4"/>
  <c r="R847" i="4"/>
  <c r="N886" i="4"/>
  <c r="R734" i="4"/>
  <c r="P755" i="4"/>
  <c r="AQ773" i="4"/>
  <c r="P798" i="4"/>
  <c r="R839" i="4"/>
  <c r="N815" i="4"/>
  <c r="AQ838" i="4"/>
  <c r="AQ857" i="4"/>
  <c r="AQ878" i="4"/>
  <c r="R904" i="4"/>
  <c r="P813" i="4"/>
  <c r="R834" i="4"/>
  <c r="N858" i="4"/>
  <c r="N879" i="4"/>
  <c r="N899" i="4"/>
  <c r="N810" i="4"/>
  <c r="P829" i="4"/>
  <c r="R848" i="4"/>
  <c r="AQ870" i="4"/>
  <c r="AQ890" i="4"/>
  <c r="P910" i="4"/>
  <c r="R795" i="4"/>
  <c r="R829" i="4"/>
  <c r="P917" i="4"/>
  <c r="P836" i="4"/>
  <c r="P855" i="4"/>
  <c r="N876" i="4"/>
  <c r="R901" i="4"/>
  <c r="AQ809" i="4"/>
  <c r="AQ830" i="4"/>
  <c r="R855" i="4"/>
  <c r="P876" i="4"/>
  <c r="P896" i="4"/>
  <c r="R919" i="4"/>
  <c r="AQ825" i="4"/>
  <c r="U845" i="4"/>
  <c r="N868" i="4"/>
  <c r="N888" i="4"/>
  <c r="N907" i="4"/>
  <c r="N813" i="4"/>
  <c r="P900" i="4"/>
  <c r="R748" i="4"/>
  <c r="N775" i="4"/>
  <c r="N806" i="4"/>
  <c r="N909" i="4"/>
  <c r="N753" i="4"/>
  <c r="P784" i="4"/>
  <c r="P832" i="4"/>
  <c r="N737" i="4"/>
  <c r="AQ778" i="4"/>
  <c r="N818" i="4"/>
  <c r="R881" i="4"/>
  <c r="N837" i="4"/>
  <c r="AQ901" i="4"/>
  <c r="N851" i="4"/>
  <c r="P913" i="4"/>
  <c r="P810" i="4"/>
  <c r="N870" i="4"/>
  <c r="R735" i="4"/>
  <c r="AQ750" i="4"/>
  <c r="P767" i="4"/>
  <c r="N784" i="4"/>
  <c r="R799" i="4"/>
  <c r="N824" i="4"/>
  <c r="R879" i="4"/>
  <c r="P731" i="4"/>
  <c r="P746" i="4"/>
  <c r="P762" i="4"/>
  <c r="R777" i="4"/>
  <c r="AQ792" i="4"/>
  <c r="P809" i="4"/>
  <c r="N872" i="4"/>
  <c r="P727" i="4"/>
  <c r="R749" i="4"/>
  <c r="P769" i="4"/>
  <c r="P796" i="4"/>
  <c r="P889" i="4"/>
  <c r="AQ836" i="4"/>
  <c r="R868" i="4"/>
  <c r="R902" i="4"/>
  <c r="R824" i="4"/>
  <c r="P856" i="4"/>
  <c r="AQ888" i="4"/>
  <c r="R920" i="4"/>
  <c r="P839" i="4"/>
  <c r="N869" i="4"/>
  <c r="N900" i="4"/>
  <c r="AQ763" i="4"/>
  <c r="N781" i="4"/>
  <c r="AQ796" i="4"/>
  <c r="AQ813" i="4"/>
  <c r="P867" i="4"/>
  <c r="N728" i="4"/>
  <c r="P743" i="4"/>
  <c r="AQ758" i="4"/>
  <c r="R774" i="4"/>
  <c r="AQ789" i="4"/>
  <c r="P806" i="4"/>
  <c r="P859" i="4"/>
  <c r="R723" i="4"/>
  <c r="R745" i="4"/>
  <c r="P765" i="4"/>
  <c r="N789" i="4"/>
  <c r="N853" i="4"/>
  <c r="R830" i="4"/>
  <c r="P860" i="4"/>
  <c r="N895" i="4"/>
  <c r="P816" i="4"/>
  <c r="P849" i="4"/>
  <c r="AQ881" i="4"/>
  <c r="N913" i="4"/>
  <c r="N832" i="4"/>
  <c r="AQ862" i="4"/>
  <c r="AQ893" i="4"/>
  <c r="R730" i="4"/>
  <c r="N747" i="4"/>
  <c r="R762" i="4"/>
  <c r="AQ777" i="4"/>
  <c r="R794" i="4"/>
  <c r="N811" i="4"/>
  <c r="P881" i="4"/>
  <c r="AQ818" i="4"/>
  <c r="P835" i="4"/>
  <c r="R850" i="4"/>
  <c r="R866" i="4"/>
  <c r="AQ882" i="4"/>
  <c r="R900" i="4"/>
  <c r="R916" i="4"/>
  <c r="AQ821" i="4"/>
  <c r="N838" i="4"/>
  <c r="R854" i="4"/>
  <c r="R871" i="4"/>
  <c r="AQ886" i="4"/>
  <c r="AQ902" i="4"/>
  <c r="R918" i="4"/>
  <c r="N821" i="4"/>
  <c r="P837" i="4"/>
  <c r="AQ852" i="4"/>
  <c r="N867" i="4"/>
  <c r="P883" i="4"/>
  <c r="P898" i="4"/>
  <c r="P914" i="4"/>
  <c r="N791" i="4"/>
  <c r="R807" i="4"/>
  <c r="P869" i="4"/>
  <c r="N816" i="4"/>
  <c r="R832" i="4"/>
  <c r="N848" i="4"/>
  <c r="P862" i="4"/>
  <c r="AQ879" i="4"/>
  <c r="N897" i="4"/>
  <c r="AQ912" i="4"/>
  <c r="N819" i="4"/>
  <c r="R835" i="4"/>
  <c r="AQ851" i="4"/>
  <c r="AQ867" i="4"/>
  <c r="N884" i="4"/>
  <c r="AQ899" i="4"/>
  <c r="N915" i="4"/>
  <c r="P818" i="4"/>
  <c r="AQ833" i="4"/>
  <c r="R849" i="4"/>
  <c r="R864" i="4"/>
  <c r="P879" i="4"/>
  <c r="R895" i="4"/>
  <c r="P911" i="4"/>
  <c r="AJ1426" i="3"/>
  <c r="AL1426" i="3"/>
  <c r="AL29" i="3"/>
  <c r="AJ29" i="3"/>
  <c r="AL487" i="4"/>
  <c r="AL909" i="4"/>
  <c r="AL845" i="4"/>
  <c r="AM487" i="4" l="1"/>
  <c r="AN487" i="4"/>
  <c r="AN845" i="4"/>
  <c r="AM845" i="4"/>
  <c r="AN909" i="4"/>
  <c r="AM909" i="4"/>
  <c r="AK2132" i="3" a="1"/>
  <c r="AI1856" i="3" a="1"/>
  <c r="AK1773" i="3" a="1"/>
  <c r="AI1422" i="3" a="1"/>
  <c r="AI1210" i="3" a="1"/>
  <c r="AI1382" i="3" a="1"/>
  <c r="AI892" i="3" a="1"/>
  <c r="AK683" i="3" a="1"/>
  <c r="AK291" i="3" a="1"/>
  <c r="AI11" i="3" a="1"/>
  <c r="AI221" i="3" a="1"/>
  <c r="AK1339" i="3" a="1"/>
  <c r="AI132" i="3" a="1"/>
  <c r="AI1341" i="3" a="1"/>
  <c r="AI2266" i="3" a="1"/>
  <c r="AK932" i="3" a="1"/>
  <c r="AI1899" i="3" a="1"/>
  <c r="AI1032" i="3" a="1"/>
  <c r="AI85" i="3" a="1"/>
  <c r="AK1270" i="3" a="1"/>
  <c r="AK132" i="3" a="1"/>
  <c r="AK1287" i="3" a="1"/>
  <c r="AI42" i="3" a="1"/>
  <c r="AK1191" i="3" a="1"/>
  <c r="AK2222" i="3" a="1"/>
  <c r="AI808" i="3" a="1"/>
  <c r="AI1962" i="3" a="1"/>
  <c r="AK505" i="3" a="1"/>
  <c r="AK1444" i="3" a="1"/>
  <c r="AK218" i="3" a="1"/>
  <c r="AI1292" i="3" a="1"/>
  <c r="AI38" i="3" a="1"/>
  <c r="AI1214" i="3" a="1"/>
  <c r="AI2148" i="3" a="1"/>
  <c r="AI1035" i="3" a="1"/>
  <c r="AI1770" i="3" a="1"/>
  <c r="AI1094" i="3" a="1"/>
  <c r="AI1179" i="3" a="1"/>
  <c r="AI2240" i="3" a="1"/>
  <c r="AI499" i="3" a="1"/>
  <c r="AI2238" i="3" a="1"/>
  <c r="AK2176" i="3" a="1"/>
  <c r="AK1875" i="3" a="1"/>
  <c r="AI1764" i="3" a="1"/>
  <c r="AI1421" i="3" a="1"/>
  <c r="AI1229" i="3" a="1"/>
  <c r="AI1095" i="3" a="1"/>
  <c r="AI945" i="3" a="1"/>
  <c r="AI688" i="3" a="1"/>
  <c r="AI453" i="3" a="1"/>
  <c r="AI296" i="3" a="1"/>
  <c r="AI74" i="3" a="1"/>
  <c r="AI1012" i="3" a="1"/>
  <c r="AK117" i="3" a="1"/>
  <c r="AI1103" i="3" a="1"/>
  <c r="AK2085" i="3" a="1"/>
  <c r="AK936" i="3" a="1"/>
  <c r="AK1524" i="3" a="1"/>
  <c r="AI880" i="3" a="1"/>
  <c r="AI15" i="3" a="1"/>
  <c r="AI1017" i="3" a="1"/>
  <c r="AK2136" i="3" a="1"/>
  <c r="AK1231" i="3" a="1"/>
  <c r="AK2193" i="3" a="1"/>
  <c r="AK804" i="3" a="1"/>
  <c r="AK2102" i="3" a="1"/>
  <c r="AK471" i="3" a="1"/>
  <c r="AK1552" i="3" a="1"/>
  <c r="AI229" i="3" a="1"/>
  <c r="AK1378" i="3" a="1"/>
  <c r="AI89" i="3" a="1"/>
  <c r="AK1058" i="3" a="1"/>
  <c r="AI2195" i="3" a="1"/>
  <c r="AI898" i="3" a="1"/>
  <c r="AI1879" i="3" a="1"/>
  <c r="AK979" i="3" a="1"/>
  <c r="AK774" i="3" a="1"/>
  <c r="AK1769" i="3" a="1"/>
  <c r="AI375" i="3" a="1"/>
  <c r="AI1161" i="3" a="1"/>
  <c r="AK2148" i="3" a="1"/>
  <c r="AK450" i="3" a="1"/>
  <c r="AK2208" i="3" a="1"/>
  <c r="AK1992" i="3" a="1"/>
  <c r="AI1757" i="3" a="1"/>
  <c r="AK1625" i="3" a="1"/>
  <c r="AK1256" i="3" a="1"/>
  <c r="AK1126" i="3" a="1"/>
  <c r="AK934" i="3" a="1"/>
  <c r="AI670" i="3" a="1"/>
  <c r="AK495" i="3" a="1"/>
  <c r="AI381" i="3" a="1"/>
  <c r="AK131" i="3" a="1"/>
  <c r="AK885" i="3" a="1"/>
  <c r="AK2100" i="3" a="1"/>
  <c r="AK1037" i="3" a="1"/>
  <c r="AK1860" i="3" a="1"/>
  <c r="AI411" i="3" a="1"/>
  <c r="AI1387" i="3" a="1"/>
  <c r="AK411" i="3" a="1"/>
  <c r="AI1471" i="3" a="1"/>
  <c r="AI874" i="3" a="1"/>
  <c r="AK1848" i="3" a="1"/>
  <c r="AK880" i="3" a="1"/>
  <c r="AK2034" i="3" a="1"/>
  <c r="AK699" i="3" a="1"/>
  <c r="AI2192" i="3" a="1"/>
  <c r="AI1864" i="3" a="1"/>
  <c r="AK1753" i="3" a="1"/>
  <c r="AI1385" i="3" a="1"/>
  <c r="AK1226" i="3" a="1"/>
  <c r="AI1049" i="3" a="1"/>
  <c r="AI936" i="3" a="1"/>
  <c r="AK546" i="3" a="1"/>
  <c r="AK448" i="3" a="1"/>
  <c r="AI33" i="3" a="1"/>
  <c r="AK352" i="3" a="1"/>
  <c r="AK1422" i="3" a="1"/>
  <c r="AK423" i="3" a="1"/>
  <c r="AK1294" i="3" a="1"/>
  <c r="AI21" i="3" a="1"/>
  <c r="AK940" i="3" a="1"/>
  <c r="AK1984" i="3" a="1"/>
  <c r="AK1060" i="3" a="1"/>
  <c r="AI496" i="3" a="1"/>
  <c r="AK1357" i="3" a="1"/>
  <c r="AI133" i="3" a="1"/>
  <c r="AK1393" i="3" a="1"/>
  <c r="AI489" i="3" a="1"/>
  <c r="AI1234" i="3" a="1"/>
  <c r="AK20" i="3" a="1"/>
  <c r="AI946" i="3" a="1"/>
  <c r="AK2044" i="3" a="1"/>
  <c r="AI711" i="3" a="1"/>
  <c r="AK1751" i="3" a="1"/>
  <c r="AK507" i="3" a="1"/>
  <c r="AI1378" i="3" a="1"/>
  <c r="AI56" i="3" a="1"/>
  <c r="AI1155" i="3" a="1"/>
  <c r="AK2276" i="3" a="1"/>
  <c r="AI2182" i="3" a="1"/>
  <c r="AK1722" i="3" a="1"/>
  <c r="AI2119" i="3" a="1"/>
  <c r="AK1250" i="3" a="1"/>
  <c r="AI1811" i="3" a="1"/>
  <c r="AI293" i="3" a="1"/>
  <c r="AK479" i="3" a="1"/>
  <c r="AK2178" i="3" a="1"/>
  <c r="AI1843" i="3" a="1"/>
  <c r="AK1720" i="3" a="1"/>
  <c r="AK1420" i="3" a="1"/>
  <c r="AI1163" i="3" a="1"/>
  <c r="AI1091" i="3" a="1"/>
  <c r="AK884" i="3" a="1"/>
  <c r="AI812" i="3" a="1"/>
  <c r="AI369" i="3" a="1"/>
  <c r="AI259" i="3" a="1"/>
  <c r="AI64" i="3" a="1"/>
  <c r="AI1117" i="3" a="1"/>
  <c r="AI198" i="3" a="1"/>
  <c r="AI1043" i="3" a="1"/>
  <c r="AI2107" i="3" a="1"/>
  <c r="AI682" i="3" a="1"/>
  <c r="AK1520" i="3" a="1"/>
  <c r="AI852" i="3" a="1"/>
  <c r="AK65" i="3" a="1"/>
  <c r="AI1138" i="3" a="1"/>
  <c r="AI2167" i="3" a="1"/>
  <c r="AI1148" i="3" a="1"/>
  <c r="AI2224" i="3" a="1"/>
  <c r="AI882" i="3" a="1"/>
  <c r="AI2101" i="3" a="1"/>
  <c r="AK711" i="3" a="1"/>
  <c r="AI1517" i="3" a="1"/>
  <c r="AK418" i="3" a="1"/>
  <c r="AK1421" i="3" a="1"/>
  <c r="AK56" i="3" a="1"/>
  <c r="AI1224" i="3" a="1"/>
  <c r="AI2202" i="3" a="1"/>
  <c r="AI873" i="3" a="1"/>
  <c r="AI2038" i="3" a="1"/>
  <c r="AI1445" i="3" a="1"/>
  <c r="AK1379" i="3" a="1"/>
  <c r="AI2041" i="3" a="1"/>
  <c r="AI828" i="3" a="1"/>
  <c r="AI1756" i="3" a="1"/>
  <c r="AI2259" i="3" a="1"/>
  <c r="AK955" i="3" a="1"/>
  <c r="AK2220" i="3" a="1"/>
  <c r="AK1996" i="3" a="1"/>
  <c r="AI1739" i="3" a="1"/>
  <c r="AK1500" i="3" a="1"/>
  <c r="AK1264" i="3" a="1"/>
  <c r="AI1282" i="3" a="1"/>
  <c r="AK938" i="3" a="1"/>
  <c r="AI679" i="3" a="1"/>
  <c r="AI543" i="3" a="1"/>
  <c r="AI432" i="3" a="1"/>
  <c r="AK181" i="3" a="1"/>
  <c r="AI937" i="3" a="1"/>
  <c r="AI2030" i="3" a="1"/>
  <c r="AK933" i="3" a="1"/>
  <c r="AI1823" i="3" a="1"/>
  <c r="AI364" i="3" a="1"/>
  <c r="AK1340" i="3" a="1"/>
  <c r="AK383" i="3" a="1"/>
  <c r="AI1492" i="3" a="1"/>
  <c r="AK991" i="3" a="1"/>
  <c r="AK1878" i="3" a="1"/>
  <c r="AI863" i="3" a="1"/>
  <c r="AI1989" i="3" a="1"/>
  <c r="AK473" i="3" a="1"/>
  <c r="AK1750" i="3" a="1"/>
  <c r="AI492" i="3" a="1"/>
  <c r="AK1260" i="3" a="1"/>
  <c r="AI86" i="3" a="1"/>
  <c r="AI1267" i="3" a="1"/>
  <c r="AI2229" i="3" a="1"/>
  <c r="AK897" i="3" a="1"/>
  <c r="AI1891" i="3" a="1"/>
  <c r="AI431" i="3" a="1"/>
  <c r="AK1771" i="3" a="1"/>
  <c r="AK333" i="3" a="1"/>
  <c r="AI1289" i="3" a="1"/>
  <c r="AI1642" i="3" a="1"/>
  <c r="AK8" i="3" a="1"/>
  <c r="AK410" i="3" a="1"/>
  <c r="AK1383" i="3" a="1"/>
  <c r="AK126" i="3" a="1"/>
  <c r="AI2218" i="3" a="1"/>
  <c r="AI2034" i="3" a="1"/>
  <c r="AK1838" i="3" a="1"/>
  <c r="AK1532" i="3" a="1"/>
  <c r="AK1297" i="3" a="1"/>
  <c r="AK1151" i="3" a="1"/>
  <c r="AI941" i="3" a="1"/>
  <c r="AK692" i="3" a="1"/>
  <c r="AI412" i="3" a="1"/>
  <c r="AI247" i="3" a="1"/>
  <c r="AK75" i="3" a="1"/>
  <c r="AI701" i="3" a="1"/>
  <c r="AK1823" i="3" a="1"/>
  <c r="AI698" i="3" a="1"/>
  <c r="AI1585" i="3" a="1"/>
  <c r="AK364" i="3" a="1"/>
  <c r="AK1326" i="3" a="1"/>
  <c r="AI340" i="3" a="1"/>
  <c r="AK1241" i="3" a="1"/>
  <c r="AI706" i="3" a="1"/>
  <c r="AI1510" i="3" a="1"/>
  <c r="AI491" i="3" a="1"/>
  <c r="AK1846" i="3" a="1"/>
  <c r="AI487" i="3" a="1"/>
  <c r="AK2229" i="3" a="1"/>
  <c r="AK1897" i="3" a="1"/>
  <c r="AI1722" i="3" a="1"/>
  <c r="AI1405" i="3" a="1"/>
  <c r="AK1167" i="3" a="1"/>
  <c r="AI1133" i="3" a="1"/>
  <c r="AK1043" i="3" a="1"/>
  <c r="AK676" i="3" a="1"/>
  <c r="AI353" i="3" a="1"/>
  <c r="AI272" i="3" a="1"/>
  <c r="AI315" i="3" a="1"/>
  <c r="AI1144" i="3" a="1"/>
  <c r="AK186" i="3" a="1"/>
  <c r="AK1150" i="3" a="1"/>
  <c r="AI2212" i="3" a="1"/>
  <c r="AI908" i="3" a="1"/>
  <c r="AI1873" i="3" a="1"/>
  <c r="AI818" i="3" a="1"/>
  <c r="AK9" i="3" a="1"/>
  <c r="AK1171" i="3" a="1"/>
  <c r="AI25" i="3" a="1"/>
  <c r="AK1153" i="3" a="1"/>
  <c r="AK25" i="3" a="1"/>
  <c r="AK1019" i="3" a="1"/>
  <c r="AK2232" i="3" a="1"/>
  <c r="AI687" i="3" a="1"/>
  <c r="AK1755" i="3" a="1"/>
  <c r="AK493" i="3" a="1"/>
  <c r="AK1540" i="3" a="1"/>
  <c r="AI281" i="3" a="1"/>
  <c r="AK1211" i="3" a="1"/>
  <c r="AK2240" i="3" a="1"/>
  <c r="AI1065" i="3" a="1"/>
  <c r="AI2117" i="3" a="1"/>
  <c r="AI2234" i="3" a="1"/>
  <c r="AK488" i="3" a="1"/>
  <c r="AI2249" i="3" a="1"/>
  <c r="AI566" i="3" a="1"/>
  <c r="AI1220" i="3" a="1"/>
  <c r="AI2035" i="3" a="1"/>
  <c r="AK236" i="3" a="1"/>
  <c r="AK2264" i="3" a="1"/>
  <c r="AI1991" i="3" a="1"/>
  <c r="AK1776" i="3" a="1"/>
  <c r="AK1706" i="3" a="1"/>
  <c r="AI1324" i="3" a="1"/>
  <c r="AK1208" i="3" a="1"/>
  <c r="AK965" i="3" a="1"/>
  <c r="AK700" i="3" a="1"/>
  <c r="AI428" i="3" a="1"/>
  <c r="AI313" i="3" a="1"/>
  <c r="AK278" i="3" a="1"/>
  <c r="AI452" i="3" a="1"/>
  <c r="AK1778" i="3" a="1"/>
  <c r="AI820" i="3" a="1"/>
  <c r="AI1524" i="3" a="1"/>
  <c r="AI54" i="3" a="1"/>
  <c r="AK1221" i="3" a="1"/>
  <c r="AI232" i="3" a="1"/>
  <c r="AI1192" i="3" a="1"/>
  <c r="AK844" i="3" a="1"/>
  <c r="AI1508" i="3" a="1"/>
  <c r="AK394" i="3" a="1"/>
  <c r="AI1748" i="3" a="1"/>
  <c r="AI457" i="3" a="1"/>
  <c r="AI1351" i="3" a="1"/>
  <c r="AI271" i="3" a="1"/>
  <c r="AK1215" i="3" a="1"/>
  <c r="AI2248" i="3" a="1"/>
  <c r="AK1012" i="3" a="1"/>
  <c r="AK2108" i="3" a="1"/>
  <c r="AI1030" i="3" a="1"/>
  <c r="AI1769" i="3" a="1"/>
  <c r="AI421" i="3" a="1"/>
  <c r="AK1439" i="3" a="1"/>
  <c r="AI433" i="3" a="1"/>
  <c r="AI1322" i="3" a="1"/>
  <c r="AI1604" i="3" a="1"/>
  <c r="AI1615" i="3" a="1"/>
  <c r="AK188" i="3" a="1"/>
  <c r="AI938" i="3" a="1"/>
  <c r="AI1573" i="3" a="1"/>
  <c r="AI1810" i="3" a="1"/>
  <c r="AK2212" i="3" a="1"/>
  <c r="AI1882" i="3" a="1"/>
  <c r="AK1700" i="3" a="1"/>
  <c r="AK1380" i="3" a="1"/>
  <c r="AI1206" i="3" a="1"/>
  <c r="AK994" i="3" a="1"/>
  <c r="AI673" i="3" a="1"/>
  <c r="AI460" i="3" a="1"/>
  <c r="AI349" i="3" a="1"/>
  <c r="AI105" i="3" a="1"/>
  <c r="AK438" i="3" a="1"/>
  <c r="AK1481" i="3" a="1"/>
  <c r="AI438" i="3" a="1"/>
  <c r="AK1274" i="3" a="1"/>
  <c r="AI52" i="3" a="1"/>
  <c r="AK1020" i="3" a="1"/>
  <c r="AI115" i="3" a="1"/>
  <c r="AK1313" i="3" a="1"/>
  <c r="AK377" i="3" a="1"/>
  <c r="AK1243" i="3" a="1"/>
  <c r="AK180" i="3" a="1"/>
  <c r="AI1532" i="3" a="1"/>
  <c r="AI144" i="3" a="1"/>
  <c r="AI1154" i="3" a="1"/>
  <c r="AK51" i="3" a="1"/>
  <c r="AK1011" i="3" a="1"/>
  <c r="AI2097" i="3" a="1"/>
  <c r="AK632" i="3" a="1"/>
  <c r="AK1809" i="3" a="1"/>
  <c r="AK210" i="3" a="1"/>
  <c r="AK1328" i="3" a="1"/>
  <c r="AI361" i="3" a="1"/>
  <c r="AK1289" i="3" a="1"/>
  <c r="AK2270" i="3" a="1"/>
  <c r="AI2286" i="3" a="1"/>
  <c r="AK2066" i="3" a="1"/>
  <c r="AK2249" i="3" a="1"/>
  <c r="AI1317" i="3" a="1"/>
  <c r="AK38" i="3" a="1"/>
  <c r="AK1180" i="3" a="1"/>
  <c r="AI2284" i="3" a="1"/>
  <c r="AI2145" i="3" a="1"/>
  <c r="AI1900" i="3" a="1"/>
  <c r="AK1744" i="3" a="1"/>
  <c r="AK1410" i="3" a="1"/>
  <c r="AI1249" i="3" a="1"/>
  <c r="AI1136" i="3" a="1"/>
  <c r="AI922" i="3" a="1"/>
  <c r="AI676" i="3" a="1"/>
  <c r="AK320" i="3" a="1"/>
  <c r="AI26" i="3" a="1"/>
  <c r="AK270" i="3" a="1"/>
  <c r="AK1341" i="3" a="1"/>
  <c r="AI270" i="3" a="1"/>
  <c r="AK1177" i="3" a="1"/>
  <c r="AK2263" i="3" a="1"/>
  <c r="AK870" i="3" a="1"/>
  <c r="AI1867" i="3" a="1"/>
  <c r="AK995" i="3" a="1"/>
  <c r="AK47" i="3" a="1"/>
  <c r="AK1276" i="3" a="1"/>
  <c r="AK88" i="3" a="1"/>
  <c r="AK1295" i="3" a="1"/>
  <c r="AK69" i="3" a="1"/>
  <c r="AK2218" i="3" a="1"/>
  <c r="AI2033" i="3" a="1"/>
  <c r="AI1806" i="3" a="1"/>
  <c r="AI1487" i="3" a="1"/>
  <c r="AI1233" i="3" a="1"/>
  <c r="AI1134" i="3" a="1"/>
  <c r="AK1054" i="3" a="1"/>
  <c r="AI887" i="3" a="1"/>
  <c r="AI477" i="3" a="1"/>
  <c r="AI355" i="3" a="1"/>
  <c r="AK35" i="3" a="1"/>
  <c r="AI685" i="3" a="1"/>
  <c r="AK1891" i="3" a="1"/>
  <c r="AK908" i="3" a="1"/>
  <c r="AK1795" i="3" a="1"/>
  <c r="AK313" i="3" a="1"/>
  <c r="AK1135" i="3" a="1"/>
  <c r="AK425" i="3" a="1"/>
  <c r="AK1388" i="3" a="1"/>
  <c r="AK863" i="3" a="1"/>
  <c r="AI1749" i="3" a="1"/>
  <c r="AI715" i="3" a="1"/>
  <c r="AK1893" i="3" a="1"/>
  <c r="AK402" i="3" a="1"/>
  <c r="AK1690" i="3" a="1"/>
  <c r="AI387" i="3" a="1"/>
  <c r="AI1165" i="3" a="1"/>
  <c r="AK22" i="3" a="1"/>
  <c r="AI1215" i="3" a="1"/>
  <c r="AK2195" i="3" a="1"/>
  <c r="AK861" i="3" a="1"/>
  <c r="AI1805" i="3" a="1"/>
  <c r="AK406" i="3" a="1"/>
  <c r="AK1459" i="3" a="1"/>
  <c r="AK221" i="3" a="1"/>
  <c r="AK2107" i="3" a="1"/>
  <c r="AK499" i="3" a="1"/>
  <c r="AK1766" i="3" a="1"/>
  <c r="AK2211" i="3" a="1"/>
  <c r="AK633" i="3" a="1"/>
  <c r="AI1383" i="3" a="1"/>
  <c r="AK2155" i="3" a="1"/>
  <c r="AI2174" i="3" a="1"/>
  <c r="AK1845" i="3" a="1"/>
  <c r="AI1720" i="3" a="1"/>
  <c r="AI1545" i="3" a="1"/>
  <c r="AI1368" i="3" a="1"/>
  <c r="AK1115" i="3" a="1"/>
  <c r="AK913" i="3" a="1"/>
  <c r="AI671" i="3" a="1"/>
  <c r="AK336" i="3" a="1"/>
  <c r="AI156" i="3" a="1"/>
  <c r="AI323" i="3" a="1"/>
  <c r="AI1140" i="3" a="1"/>
  <c r="AK323" i="3" a="1"/>
  <c r="AI1169" i="3" a="1"/>
  <c r="AK2174" i="3" a="1"/>
  <c r="AI767" i="3" a="1"/>
  <c r="AI1840" i="3" a="1"/>
  <c r="AI947" i="3" a="1"/>
  <c r="AK211" i="3" a="1"/>
  <c r="AI1153" i="3" a="1"/>
  <c r="AI41" i="3" a="1"/>
  <c r="AK1278" i="3" a="1"/>
  <c r="AI61" i="3" a="1"/>
  <c r="AK1067" i="3" a="1"/>
  <c r="AI2172" i="3" a="1"/>
  <c r="AI846" i="3" a="1"/>
  <c r="AI1765" i="3" a="1"/>
  <c r="AK353" i="3" a="1"/>
  <c r="AI1569" i="3" a="1"/>
  <c r="AK351" i="3" a="1"/>
  <c r="AI1201" i="3" a="1"/>
  <c r="AI2244" i="3" a="1"/>
  <c r="AI1009" i="3" a="1"/>
  <c r="AK2104" i="3" a="1"/>
  <c r="AK2274" i="3" a="1"/>
  <c r="AI997" i="3" a="1"/>
  <c r="AK2268" i="3" a="1"/>
  <c r="AI1053" i="3" a="1"/>
  <c r="AK2137" i="3" a="1"/>
  <c r="AI326" i="3" a="1"/>
  <c r="AI1216" i="3" a="1"/>
  <c r="AI2220" i="3" a="1"/>
  <c r="AK1995" i="3" a="1"/>
  <c r="AI1800" i="3" a="1"/>
  <c r="AK1546" i="3" a="1"/>
  <c r="AI1191" i="3" a="1"/>
  <c r="AI1077" i="3" a="1"/>
  <c r="AK805" i="3" a="1"/>
  <c r="AI704" i="3" a="1"/>
  <c r="AI548" i="3" a="1"/>
  <c r="AI342" i="3" a="1"/>
  <c r="AK11" i="3" a="1"/>
  <c r="AK1036" i="3" a="1"/>
  <c r="AI44" i="3" a="1"/>
  <c r="AI1020" i="3" a="1"/>
  <c r="AK2000" i="3" a="1"/>
  <c r="AK457" i="3" a="1"/>
  <c r="AK1419" i="3" a="1"/>
  <c r="AI677" i="3" a="1"/>
  <c r="AI1528" i="3" a="1"/>
  <c r="AI1002" i="3" a="1"/>
  <c r="AK2031" i="3" a="1"/>
  <c r="AI939" i="3" a="1"/>
  <c r="AI2200" i="3" a="1"/>
  <c r="AI919" i="3" a="1"/>
  <c r="AI2002" i="3" a="1"/>
  <c r="AI541" i="3" a="1"/>
  <c r="AI1377" i="3" a="1"/>
  <c r="AK281" i="3" a="1"/>
  <c r="AI1297" i="3" a="1"/>
  <c r="AK30" i="3" a="1"/>
  <c r="AI1015" i="3" a="1"/>
  <c r="AI2105" i="3" a="1"/>
  <c r="AK978" i="3" a="1"/>
  <c r="AI1815" i="3" a="1"/>
  <c r="AI461" i="3" a="1"/>
  <c r="AK2008" i="3" a="1"/>
  <c r="AI896" i="3" a="1"/>
  <c r="AI209" i="3" a="1"/>
  <c r="AI1058" i="3" a="1"/>
  <c r="AI1924" i="3" a="1"/>
  <c r="AI301" i="3" a="1"/>
  <c r="AI2242" i="3" a="1"/>
  <c r="AK1983" i="3" a="1"/>
  <c r="AK1754" i="3" a="1"/>
  <c r="AI1420" i="3" a="1"/>
  <c r="AI1347" i="3" a="1"/>
  <c r="AK1077" i="3" a="1"/>
  <c r="AK1009" i="3" a="1"/>
  <c r="AK712" i="3" a="1"/>
  <c r="AI481" i="3" a="1"/>
  <c r="AK265" i="3" a="1"/>
  <c r="AI7" i="3" a="1"/>
  <c r="AI675" i="3" a="1"/>
  <c r="AI2048" i="3" a="1"/>
  <c r="AK964" i="3" a="1"/>
  <c r="AK1781" i="3" a="1"/>
  <c r="AK444" i="3" a="1"/>
  <c r="AI1412" i="3" a="1"/>
  <c r="AI359" i="3" a="1"/>
  <c r="AK1529" i="3" a="1"/>
  <c r="AI1038" i="3" a="1"/>
  <c r="AK1747" i="3" a="1"/>
  <c r="AK826" i="3" a="1"/>
  <c r="AI1979" i="3" a="1"/>
  <c r="AK541" i="3" a="1"/>
  <c r="AK2194" i="3" a="1"/>
  <c r="AI1839" i="3" a="1"/>
  <c r="AI1751" i="3" a="1"/>
  <c r="AI1410" i="3" a="1"/>
  <c r="AI1278" i="3" a="1"/>
  <c r="AI1023" i="3" a="1"/>
  <c r="AK865" i="3" a="1"/>
  <c r="AI811" i="3" a="1"/>
  <c r="AK247" i="3" a="1"/>
  <c r="AK70" i="3" a="1"/>
  <c r="AK194" i="3" a="1"/>
  <c r="AI1327" i="3" a="1"/>
  <c r="AI194" i="3" a="1"/>
  <c r="AI1293" i="3" a="1"/>
  <c r="AK115" i="3" a="1"/>
  <c r="AI1037" i="3" a="1"/>
  <c r="AK1900" i="3" a="1"/>
  <c r="AI1011" i="3" a="1"/>
  <c r="AK201" i="3" a="1"/>
  <c r="AI1199" i="3" a="1"/>
  <c r="AK24" i="3" a="1"/>
  <c r="AI1240" i="3" a="1"/>
  <c r="AK252" i="3" a="1"/>
  <c r="AK1179" i="3" a="1"/>
  <c r="AI2280" i="3" a="1"/>
  <c r="AK888" i="3" a="1"/>
  <c r="AK1856" i="3" a="1"/>
  <c r="AK419" i="3" a="1"/>
  <c r="AK1660" i="3" a="1"/>
  <c r="AI291" i="3" a="1"/>
  <c r="AK1263" i="3" a="1"/>
  <c r="AK33" i="3" a="1"/>
  <c r="AK1279" i="3" a="1"/>
  <c r="AI2251" i="3" a="1"/>
  <c r="AI1797" i="3" a="1"/>
  <c r="AK417" i="3" a="1"/>
  <c r="AK1743" i="3" a="1"/>
  <c r="AI1021" i="3" a="1"/>
  <c r="AK1584" i="3" a="1"/>
  <c r="AK16" i="3" a="1"/>
  <c r="AI1447" i="3" a="1"/>
  <c r="AK2033" i="3" a="1"/>
  <c r="AK1866" i="3" a="1"/>
  <c r="AI1628" i="3" a="1"/>
  <c r="AI1393" i="3" a="1"/>
  <c r="AK1233" i="3" a="1"/>
  <c r="AI993" i="3" a="1"/>
  <c r="AK670" i="3" a="1"/>
  <c r="AK392" i="3" a="1"/>
  <c r="AI379" i="3" a="1"/>
  <c r="AI17" i="3" a="1"/>
  <c r="AI508" i="3" a="1"/>
  <c r="AK1763" i="3" a="1"/>
  <c r="AK508" i="3" a="1"/>
  <c r="AK1387" i="3" a="1"/>
  <c r="AK264" i="3" a="1"/>
  <c r="AI1116" i="3" a="1"/>
  <c r="AK71" i="3" a="1"/>
  <c r="AI1276" i="3" a="1"/>
  <c r="AI279" i="3" a="1"/>
  <c r="AI1529" i="3" a="1"/>
  <c r="AK431" i="3" a="1"/>
  <c r="AI1495" i="3" a="1"/>
  <c r="AK209" i="3" a="1"/>
  <c r="AK1247" i="3" a="1"/>
  <c r="AK43" i="3" a="1"/>
  <c r="AK1026" i="3" a="1"/>
  <c r="AI2204" i="3" a="1"/>
  <c r="AI931" i="3" a="1"/>
  <c r="AI1901" i="3" a="1"/>
  <c r="AI263" i="3" a="1"/>
  <c r="AK1555" i="3" a="1"/>
  <c r="AK319" i="3" a="1"/>
  <c r="AI1372" i="3" a="1"/>
  <c r="AK105" i="3" a="1"/>
  <c r="AI2009" i="3" a="1"/>
  <c r="AK904" i="3" a="1"/>
  <c r="AK1288" i="3" a="1"/>
  <c r="AK2266" i="3" a="1"/>
  <c r="AI503" i="3" a="1"/>
  <c r="AK1262" i="3" a="1"/>
  <c r="AK890" i="3" a="1"/>
  <c r="AI2113" i="3" a="1"/>
  <c r="AI1838" i="3" a="1"/>
  <c r="AI1745" i="3" a="1"/>
  <c r="AK1385" i="3" a="1"/>
  <c r="AI1194" i="3" a="1"/>
  <c r="AK1119" i="3" a="1"/>
  <c r="AI884" i="3" a="1"/>
  <c r="AK852" i="3" a="1"/>
  <c r="AK284" i="3" a="1"/>
  <c r="AK224" i="3" a="1"/>
  <c r="AK200" i="3" a="1"/>
  <c r="AK1315" i="3" a="1"/>
  <c r="AI200" i="3" a="1"/>
  <c r="AI1326" i="3" a="1"/>
  <c r="AK2286" i="3" a="1"/>
  <c r="AK1031" i="3" a="1"/>
  <c r="AK1930" i="3" a="1"/>
  <c r="AK1014" i="3" a="1"/>
  <c r="AK232" i="3" a="1"/>
  <c r="AK1368" i="3" a="1"/>
  <c r="AI218" i="3" a="1"/>
  <c r="AK1253" i="3" a="1"/>
  <c r="AK299" i="3" a="1"/>
  <c r="AI1200" i="3" a="1"/>
  <c r="AK2201" i="3" a="1"/>
  <c r="AK931" i="3" a="1"/>
  <c r="AK1796" i="3" a="1"/>
  <c r="AK544" i="3" a="1"/>
  <c r="AK1567" i="3" a="1"/>
  <c r="AI418" i="3" a="1"/>
  <c r="AK1216" i="3" a="1"/>
  <c r="AK106" i="3" a="1"/>
  <c r="AI1211" i="3" a="1"/>
  <c r="AK2192" i="3" a="1"/>
  <c r="AK1117" i="3" a="1"/>
  <c r="AI2160" i="3" a="1"/>
  <c r="AI1432" i="3" a="1"/>
  <c r="AK1156" i="3" a="1"/>
  <c r="AI2061" i="3" a="1"/>
  <c r="AI888" i="3" a="1"/>
  <c r="AK1729" i="3" a="1"/>
  <c r="AK2177" i="3" a="1"/>
  <c r="AK1969" i="3" a="1"/>
  <c r="AK1677" i="3" a="1"/>
  <c r="AK1435" i="3" a="1"/>
  <c r="AI1285" i="3" a="1"/>
  <c r="AK1304" i="3" a="1"/>
  <c r="AI899" i="3" a="1"/>
  <c r="AK935" i="3" a="1"/>
  <c r="AI328" i="3" a="1"/>
  <c r="AI219" i="3" a="1"/>
  <c r="AK12" i="3" a="1"/>
  <c r="AK1133" i="3" a="1"/>
  <c r="AI206" i="3" a="1"/>
  <c r="AK1116" i="3" a="1"/>
  <c r="AK2128" i="3" a="1"/>
  <c r="AK847" i="3" a="1"/>
  <c r="AI1625" i="3" a="1"/>
  <c r="AK872" i="3" a="1"/>
  <c r="AI88" i="3" a="1"/>
  <c r="AK1148" i="3" a="1"/>
  <c r="AK2234" i="3" a="1"/>
  <c r="AI1223" i="3" a="1"/>
  <c r="AK2284" i="3" a="1"/>
  <c r="AK2260" i="3" a="1"/>
  <c r="AI2104" i="3" a="1"/>
  <c r="AK1887" i="3" a="1"/>
  <c r="AK1579" i="3" a="1"/>
  <c r="AI1238" i="3" a="1"/>
  <c r="AK1212" i="3" a="1"/>
  <c r="AI979" i="3" a="1"/>
  <c r="AK704" i="3" a="1"/>
  <c r="AI436" i="3" a="1"/>
  <c r="AI320" i="3" a="1"/>
  <c r="AI46" i="3" a="1"/>
  <c r="AK566" i="3" a="1"/>
  <c r="AI1747" i="3" a="1"/>
  <c r="AI707" i="3" a="1"/>
  <c r="AK1411" i="3" a="1"/>
  <c r="AI352" i="3" a="1"/>
  <c r="AK1352" i="3" a="1"/>
  <c r="AI290" i="3" a="1"/>
  <c r="AI1250" i="3" a="1"/>
  <c r="AI689" i="3" a="1"/>
  <c r="AK1495" i="3" a="1"/>
  <c r="AI430" i="3" a="1"/>
  <c r="AK1746" i="3" a="1"/>
  <c r="AK399" i="3" a="1"/>
  <c r="AK1377" i="3" a="1"/>
  <c r="AK489" i="3" a="1"/>
  <c r="AI1184" i="3" a="1"/>
  <c r="AK2280" i="3" a="1"/>
  <c r="AI904" i="3" a="1"/>
  <c r="AK2053" i="3" a="1"/>
  <c r="AK480" i="3" a="1"/>
  <c r="AI1771" i="3" a="1"/>
  <c r="AK375" i="3" a="1"/>
  <c r="AI1386" i="3" a="1"/>
  <c r="AI275" i="3" a="1"/>
  <c r="AK1199" i="3" a="1"/>
  <c r="AK1344" i="3" a="1"/>
  <c r="AK1290" i="3" a="1"/>
  <c r="AK2039" i="3" a="1"/>
  <c r="AI234" i="3" a="1"/>
  <c r="AK1049" i="3" a="1"/>
  <c r="AI666" i="3" a="1"/>
  <c r="AK2167" i="3" a="1"/>
  <c r="AI1826" i="3" a="1"/>
  <c r="AK1748" i="3" a="1"/>
  <c r="AI1406" i="3" a="1"/>
  <c r="AI1265" i="3" a="1"/>
  <c r="AK993" i="3" a="1"/>
  <c r="AK906" i="3" a="1"/>
  <c r="AK629" i="3" a="1"/>
  <c r="AK241" i="3" a="1"/>
  <c r="AI66" i="3" a="1"/>
  <c r="AI333" i="3" a="1"/>
  <c r="AK1384" i="3" a="1"/>
  <c r="AK139" i="3" a="1"/>
  <c r="AI1221" i="3" a="1"/>
  <c r="AI29" i="3" a="1"/>
  <c r="AK960" i="3" a="1"/>
  <c r="AI1865" i="3" a="1"/>
  <c r="AK1138" i="3" a="1"/>
  <c r="AK298" i="3" a="1"/>
  <c r="AI1390" i="3" a="1"/>
  <c r="AI266" i="3" a="1"/>
  <c r="AI1243" i="3" a="1"/>
  <c r="AK32" i="3" a="1"/>
  <c r="AK1154" i="3" a="1"/>
  <c r="AK2289" i="3" a="1"/>
  <c r="AK945" i="3" a="1"/>
  <c r="AI1926" i="3" a="1"/>
  <c r="AI800" i="3" a="1"/>
  <c r="AK1756" i="3" a="1"/>
  <c r="AK407" i="3" a="1"/>
  <c r="AK1338" i="3" a="1"/>
  <c r="AI126" i="3" a="1"/>
  <c r="AK1302" i="3" a="1"/>
  <c r="AI2177" i="3" a="1"/>
  <c r="AI1759" i="3" a="1"/>
  <c r="AI978" i="3" a="1"/>
  <c r="AK1852" i="3" a="1"/>
  <c r="AK1448" i="3" a="1"/>
  <c r="AK361" i="3" a="1"/>
  <c r="AI684" i="3" a="1"/>
  <c r="AK2110" i="3" a="1"/>
  <c r="AI2169" i="3" a="1"/>
  <c r="AI1875" i="3" a="1"/>
  <c r="AI1700" i="3" a="1"/>
  <c r="AK1405" i="3" a="1"/>
  <c r="AI1287" i="3" a="1"/>
  <c r="AK1218" i="3" a="1"/>
  <c r="AK876" i="3" a="1"/>
  <c r="AK806" i="3" a="1"/>
  <c r="AK358" i="3" a="1"/>
  <c r="AI231" i="3" a="1"/>
  <c r="AK27" i="3" a="1"/>
  <c r="AK1034" i="3" a="1"/>
  <c r="AK41" i="3" a="1"/>
  <c r="AI956" i="3" a="1"/>
  <c r="AI2115" i="3" a="1"/>
  <c r="AK710" i="3" a="1"/>
  <c r="AK1585" i="3" a="1"/>
  <c r="AI864" i="3" a="1"/>
  <c r="AI71" i="3" a="1"/>
  <c r="AK1018" i="3" a="1"/>
  <c r="AI2214" i="3" a="1"/>
  <c r="AK1181" i="3" a="1"/>
  <c r="AI2279" i="3" a="1"/>
  <c r="AK946" i="3" a="1"/>
  <c r="AI2154" i="3" a="1"/>
  <c r="AI699" i="3" a="1"/>
  <c r="AI1567" i="3" a="1"/>
  <c r="AI474" i="3" a="1"/>
  <c r="AI1448" i="3" a="1"/>
  <c r="AI261" i="3" a="1"/>
  <c r="AK1161" i="3" a="1"/>
  <c r="AI2226" i="3" a="1"/>
  <c r="AK981" i="3" a="1"/>
  <c r="AI1995" i="3" a="1"/>
  <c r="AI1677" i="3" a="1"/>
  <c r="AI1746" i="3" a="1"/>
  <c r="AI2042" i="3" a="1"/>
  <c r="AI630" i="3" a="1"/>
  <c r="AK1320" i="3" a="1"/>
  <c r="AI2262" i="3" a="1"/>
  <c r="AK2149" i="3" a="1"/>
  <c r="AK2197" i="3" a="1"/>
  <c r="AK1991" i="3" a="1"/>
  <c r="AI1670" i="3" a="1"/>
  <c r="AK1510" i="3" a="1"/>
  <c r="AI1213" i="3" a="1"/>
  <c r="AK1095" i="3" a="1"/>
  <c r="AK891" i="3" a="1"/>
  <c r="AK715" i="3" a="1"/>
  <c r="AK453" i="3" a="1"/>
  <c r="AI394" i="3" a="1"/>
  <c r="AK34" i="3" a="1"/>
  <c r="AI878" i="3" a="1"/>
  <c r="AI2128" i="3" a="1"/>
  <c r="AI923" i="3" a="1"/>
  <c r="AK1899" i="3" a="1"/>
  <c r="AK498" i="3" a="1"/>
  <c r="AK1445" i="3" a="1"/>
  <c r="AK689" i="3" a="1"/>
  <c r="AI1416" i="3" a="1"/>
  <c r="AK947" i="3" a="1"/>
  <c r="AI1986" i="3" a="1"/>
  <c r="AI991" i="3" a="1"/>
  <c r="AK2154" i="3" a="1"/>
  <c r="AK828" i="3" a="1"/>
  <c r="AI2196" i="3" a="1"/>
  <c r="AK1772" i="3" a="1"/>
  <c r="AK1615" i="3" a="1"/>
  <c r="AI1426" i="3" a="1"/>
  <c r="AI1279" i="3" a="1"/>
  <c r="AK941" i="3" a="1"/>
  <c r="AI674" i="3" a="1"/>
  <c r="AK428" i="3" a="1"/>
  <c r="AK303" i="3" a="1"/>
  <c r="AK57" i="3" a="1"/>
  <c r="AK429" i="3" a="1"/>
  <c r="AK1493" i="3" a="1"/>
  <c r="AI440" i="3" a="1"/>
  <c r="AK1355" i="3" a="1"/>
  <c r="AI13" i="3" a="1"/>
  <c r="AI1102" i="3" a="1"/>
  <c r="AK15" i="3" a="1"/>
  <c r="AI1274" i="3" a="1"/>
  <c r="AI448" i="3" a="1"/>
  <c r="AK1343" i="3" a="1"/>
  <c r="AI298" i="3" a="1"/>
  <c r="AI1360" i="3" a="1"/>
  <c r="AI240" i="3" a="1"/>
  <c r="AI1204" i="3" a="1"/>
  <c r="AI79" i="3" a="1"/>
  <c r="AK874" i="3" a="1"/>
  <c r="AI2102" i="3" a="1"/>
  <c r="AK636" i="3" a="1"/>
  <c r="AK1962" i="3" a="1"/>
  <c r="AK445" i="3" a="1"/>
  <c r="AK1399" i="3" a="1"/>
  <c r="AI183" i="3" a="1"/>
  <c r="AK1282" i="3" a="1"/>
  <c r="AK2262" i="3" a="1"/>
  <c r="AK937" i="3" a="1"/>
  <c r="AK422" i="3" a="1"/>
  <c r="AK2288" i="3" a="1"/>
  <c r="AK1309" i="3" a="1"/>
  <c r="AK2029" i="3" a="1"/>
  <c r="AI507" i="3" a="1"/>
  <c r="AI2282" i="3" a="1"/>
  <c r="AK2224" i="3" a="1"/>
  <c r="AK1970" i="3" a="1"/>
  <c r="AI1772" i="3" a="1"/>
  <c r="AI1539" i="3" a="1"/>
  <c r="AI1253" i="3" a="1"/>
  <c r="AK1080" i="3" a="1"/>
  <c r="AI940" i="3" a="1"/>
  <c r="AI853" i="3" a="1"/>
  <c r="AK452" i="3" a="1"/>
  <c r="AI324" i="3" a="1"/>
  <c r="AK100" i="3" a="1"/>
  <c r="AK903" i="3" a="1"/>
  <c r="AI2123" i="3" a="1"/>
  <c r="AI1010" i="3" a="1"/>
  <c r="AI1816" i="3" a="1"/>
  <c r="AK588" i="3" a="1"/>
  <c r="AI1418" i="3" a="1"/>
  <c r="AI488" i="3" a="1"/>
  <c r="AK1522" i="3" a="1"/>
  <c r="AI962" i="3" a="1"/>
  <c r="AK1933" i="3" a="1"/>
  <c r="AK950" i="3" a="1"/>
  <c r="AI2087" i="3" a="1"/>
  <c r="AK630" i="3" a="1"/>
  <c r="AI1808" i="3" a="1"/>
  <c r="AK231" i="3" a="1"/>
  <c r="AK1254" i="3" a="1"/>
  <c r="AI43" i="3" a="1"/>
  <c r="AK1259" i="3" a="1"/>
  <c r="AI2211" i="3" a="1"/>
  <c r="AI1118" i="3" a="1"/>
  <c r="AI1990" i="3" a="1"/>
  <c r="AI893" i="3" a="1"/>
  <c r="AK1782" i="3" a="1"/>
  <c r="AI403" i="3" a="1"/>
  <c r="AI1497" i="3" a="1"/>
  <c r="AK2041" i="3" a="1"/>
  <c r="AI268" i="3" a="1"/>
  <c r="AI1207" i="3" a="1"/>
  <c r="AI1710" i="3" a="1"/>
  <c r="AK109" i="3" a="1"/>
  <c r="AK2248" i="3" a="1"/>
  <c r="AI2044" i="3" a="1"/>
  <c r="AI1807" i="3" a="1"/>
  <c r="AK1517" i="3" a="1"/>
  <c r="AI1339" i="3" a="1"/>
  <c r="AK1158" i="3" a="1"/>
  <c r="AI949" i="3" a="1"/>
  <c r="AK696" i="3" a="1"/>
  <c r="AI420" i="3" a="1"/>
  <c r="AI307" i="3" a="1"/>
  <c r="AI129" i="3" a="1"/>
  <c r="AK490" i="3" a="1"/>
  <c r="AI1821" i="3" a="1"/>
  <c r="AK703" i="3" a="1"/>
  <c r="AI1520" i="3" a="1"/>
  <c r="AK248" i="3" a="1"/>
  <c r="AI1268" i="3" a="1"/>
  <c r="AK140" i="3" a="1"/>
  <c r="AI1275" i="3" a="1"/>
  <c r="AI710" i="3" a="1"/>
  <c r="AK1553" i="3" a="1"/>
  <c r="AI471" i="3" a="1"/>
  <c r="AK1842" i="3" a="1"/>
  <c r="AK492" i="3" a="1"/>
  <c r="AI1498" i="3" a="1"/>
  <c r="AI9" i="3" a="1"/>
  <c r="AI1080" i="3" a="1"/>
  <c r="AI2289" i="3" a="1"/>
  <c r="AI1057" i="3" a="1"/>
  <c r="AK2035" i="3" a="1"/>
  <c r="AK680" i="3" a="1"/>
  <c r="AI1762" i="3" a="1"/>
  <c r="AK461" i="3" a="1"/>
  <c r="AI1488" i="3" a="1"/>
  <c r="AK61" i="3" a="1"/>
  <c r="AK1873" i="3" a="1"/>
  <c r="AK1803" i="3" a="1"/>
  <c r="AI1544" i="3" a="1"/>
  <c r="AI8" i="3" a="1"/>
  <c r="AK882" i="3" a="1"/>
  <c r="AK1877" i="3" a="1"/>
  <c r="AI2054" i="3" a="1"/>
  <c r="AK2122" i="3" a="1"/>
  <c r="AK1807" i="3" a="1"/>
  <c r="AI1694" i="3" a="1"/>
  <c r="AI1348" i="3" a="1"/>
  <c r="AK1324" i="3" a="1"/>
  <c r="AK1044" i="3" a="1"/>
  <c r="AI871" i="3" a="1"/>
  <c r="AK404" i="3" a="1"/>
  <c r="AK234" i="3" a="1"/>
  <c r="AI39" i="3" a="1"/>
  <c r="AI422" i="3" a="1"/>
  <c r="AK1588" i="3" a="1"/>
  <c r="AI327" i="3" a="1"/>
  <c r="AK1414" i="3" a="1"/>
  <c r="AI109" i="3" a="1"/>
  <c r="AI1018" i="3" a="1"/>
  <c r="AI55" i="3" a="1"/>
  <c r="AK1142" i="3" a="1"/>
  <c r="AI389" i="3" a="1"/>
  <c r="AI1427" i="3" a="1"/>
  <c r="AK167" i="3" a="1"/>
  <c r="AI1431" i="3" a="1"/>
  <c r="AI180" i="3" a="1"/>
  <c r="AK2173" i="3" a="1"/>
  <c r="AK1929" i="3" a="1"/>
  <c r="AK1768" i="3" a="1"/>
  <c r="AK1533" i="3" a="1"/>
  <c r="AI1185" i="3" a="1"/>
  <c r="AI1126" i="3" a="1"/>
  <c r="AK1005" i="3" a="1"/>
  <c r="AI696" i="3" a="1"/>
  <c r="AI495" i="3" a="1"/>
  <c r="AI325" i="3" a="1"/>
  <c r="AI35" i="3" a="1"/>
  <c r="AI955" i="3" a="1"/>
  <c r="AI23" i="3" a="1"/>
  <c r="AI943" i="3" a="1"/>
  <c r="AI2121" i="3" a="1"/>
  <c r="AK459" i="3" a="1"/>
  <c r="AK1463" i="3" a="1"/>
  <c r="AK853" i="3" a="1"/>
  <c r="AK73" i="3" a="1"/>
  <c r="AK1104" i="3" a="1"/>
  <c r="AK2087" i="3" a="1"/>
  <c r="AK962" i="3" a="1"/>
  <c r="AK2223" i="3" a="1"/>
  <c r="AK1024" i="3" a="1"/>
  <c r="AK2097" i="3" a="1"/>
  <c r="AK800" i="3" a="1"/>
  <c r="AI1531" i="3" a="1"/>
  <c r="AK177" i="3" a="1"/>
  <c r="AK1257" i="3" a="1"/>
  <c r="AK103" i="3" a="1"/>
  <c r="AI1115" i="3" a="1"/>
  <c r="AK2117" i="3" a="1"/>
  <c r="AI913" i="3" a="1"/>
  <c r="AK1879" i="3" a="1"/>
  <c r="AK380" i="3" a="1"/>
  <c r="AI2215" i="3" a="1"/>
  <c r="AI1439" i="3" a="1"/>
  <c r="AI19" i="3" a="1"/>
  <c r="AK477" i="3" a="1"/>
  <c r="AK1265" i="3" a="1"/>
  <c r="AK2213" i="3" a="1"/>
  <c r="AK2203" i="3" a="1"/>
  <c r="AK2139" i="3" a="1"/>
  <c r="AI1908" i="3" a="1"/>
  <c r="AI1548" i="3" a="1"/>
  <c r="AI1373" i="3" a="1"/>
  <c r="AI1266" i="3" a="1"/>
  <c r="AK1021" i="3" a="1"/>
  <c r="AK672" i="3" a="1"/>
  <c r="AK420" i="3" a="1"/>
  <c r="AI277" i="3" a="1"/>
  <c r="AI47" i="3" a="1"/>
  <c r="AK279" i="3" a="1"/>
  <c r="AI1571" i="3" a="1"/>
  <c r="AI544" i="3" a="1"/>
  <c r="AI1315" i="3" a="1"/>
  <c r="AK66" i="3" a="1"/>
  <c r="AI980" i="3" a="1"/>
  <c r="AK21" i="3" a="1"/>
  <c r="AI1130" i="3" a="1"/>
  <c r="AK405" i="3" a="1"/>
  <c r="AI1388" i="3" a="1"/>
  <c r="AK327" i="3" a="1"/>
  <c r="AK1382" i="3" a="1"/>
  <c r="AK395" i="3" a="1"/>
  <c r="AI1260" i="3" a="1"/>
  <c r="AI69" i="3" a="1"/>
  <c r="AK923" i="3" a="1"/>
  <c r="AK2126" i="3" a="1"/>
  <c r="AK690" i="3" a="1"/>
  <c r="AI1796" i="3" a="1"/>
  <c r="AK369" i="3" a="1"/>
  <c r="AI1365" i="3" a="1"/>
  <c r="AK433" i="3" a="1"/>
  <c r="AK1322" i="3" a="1"/>
  <c r="AI58" i="3" a="1"/>
  <c r="AI1389" i="3" a="1"/>
  <c r="AI406" i="3" a="1"/>
  <c r="AK1007" i="3" a="1"/>
  <c r="AK2009" i="3" a="1"/>
  <c r="AI409" i="3" a="1"/>
  <c r="AK1159" i="3" a="1"/>
  <c r="AI1737" i="3" a="1"/>
  <c r="AI2153" i="3" a="1"/>
  <c r="AK1826" i="3" a="1"/>
  <c r="AI1655" i="3" a="1"/>
  <c r="AK1538" i="3" a="1"/>
  <c r="AI1303" i="3" a="1"/>
  <c r="AI1261" i="3" a="1"/>
  <c r="AI932" i="3" a="1"/>
  <c r="AI720" i="3" a="1"/>
  <c r="AI330" i="3" a="1"/>
  <c r="AI34" i="3" a="1"/>
  <c r="AK178" i="3" a="1"/>
  <c r="AI1306" i="3" a="1"/>
  <c r="AK39" i="3" a="1"/>
  <c r="AI1151" i="3" a="1"/>
  <c r="AI2208" i="3" a="1"/>
  <c r="AK879" i="3" a="1"/>
  <c r="AK1867" i="3" a="1"/>
  <c r="AK1081" i="3" a="1"/>
  <c r="AK266" i="3" a="1"/>
  <c r="AK1375" i="3" a="1"/>
  <c r="AK84" i="3" a="1"/>
  <c r="AK1234" i="3" a="1"/>
  <c r="AK79" i="3" a="1"/>
  <c r="AI1181" i="3" a="1"/>
  <c r="AI2193" i="3" a="1"/>
  <c r="AI942" i="3" a="1"/>
  <c r="AK1742" i="3" a="1"/>
  <c r="AI445" i="3" a="1"/>
  <c r="AK1564" i="3" a="1"/>
  <c r="AI178" i="3" a="1"/>
  <c r="AK1206" i="3" a="1"/>
  <c r="AI2256" i="3" a="1"/>
  <c r="AK1094" i="3" a="1"/>
  <c r="AI2094" i="3" a="1"/>
  <c r="AK701" i="3" a="1"/>
  <c r="AK720" i="3" a="1"/>
  <c r="AK685" i="3" a="1"/>
  <c r="AI897" i="3" a="1"/>
  <c r="AI1789" i="3" a="1"/>
  <c r="AK373" i="3" a="1"/>
  <c r="AK2030" i="3" a="1"/>
  <c r="AK2196" i="3" a="1"/>
  <c r="AI1893" i="3" a="1"/>
  <c r="AK1694" i="3" a="1"/>
  <c r="AK1390" i="3" a="1"/>
  <c r="AK1210" i="3" a="1"/>
  <c r="AI1093" i="3" a="1"/>
  <c r="AK900" i="3" a="1"/>
  <c r="AI668" i="3" a="1"/>
  <c r="AK460" i="3" a="1"/>
  <c r="AK271" i="3" a="1"/>
  <c r="AI107" i="3" a="1"/>
  <c r="AI1078" i="3" a="1"/>
  <c r="AK52" i="3" a="1"/>
  <c r="AK1015" i="3" a="1"/>
  <c r="AK2054" i="3" a="1"/>
  <c r="AK802" i="3" a="1"/>
  <c r="AI1499" i="3" a="1"/>
  <c r="AK871" i="3" a="1"/>
  <c r="AK78" i="3" a="1"/>
  <c r="AK1103" i="3" a="1"/>
  <c r="AK2075" i="3" a="1"/>
  <c r="AK1105" i="3" a="1"/>
  <c r="AK2214" i="3" a="1"/>
  <c r="AI950" i="3" a="1"/>
  <c r="AI2093" i="3" a="1"/>
  <c r="AK1804" i="3" a="1"/>
  <c r="AK1621" i="3" a="1"/>
  <c r="AK1354" i="3" a="1"/>
  <c r="AK1237" i="3" a="1"/>
  <c r="AI1114" i="3" a="1"/>
  <c r="AK920" i="3" a="1"/>
  <c r="AI483" i="3" a="1"/>
  <c r="AI506" i="3" a="1"/>
  <c r="AI121" i="3" a="1"/>
  <c r="AI501" i="3" a="1"/>
  <c r="AK1797" i="3" a="1"/>
  <c r="AK705" i="3" a="1"/>
  <c r="AK1418" i="3" a="1"/>
  <c r="AI78" i="3" a="1"/>
  <c r="AI1079" i="3" a="1"/>
  <c r="AK255" i="3" a="1"/>
  <c r="AK1268" i="3" a="1"/>
  <c r="AI490" i="3" a="1"/>
  <c r="AI1381" i="3" a="1"/>
  <c r="AK456" i="3" a="1"/>
  <c r="AI1518" i="3" a="1"/>
  <c r="AK455" i="3" a="1"/>
  <c r="AK1416" i="3" a="1"/>
  <c r="AI176" i="3" a="1"/>
  <c r="AK1047" i="3" a="1"/>
  <c r="AI2232" i="3" a="1"/>
  <c r="AI890" i="3" a="1"/>
  <c r="AK2017" i="3" a="1"/>
  <c r="AK901" i="3" a="1"/>
  <c r="AK1565" i="3" a="1"/>
  <c r="AK403" i="3" a="1"/>
  <c r="AK1345" i="3" a="1"/>
  <c r="AI27" i="3" a="1"/>
  <c r="AK2290" i="3" a="1"/>
  <c r="AI1218" i="3" a="1"/>
  <c r="AI1105" i="3" a="1"/>
  <c r="AI1744" i="3" a="1"/>
  <c r="AI87" i="3" a="1"/>
  <c r="AK812" i="3" a="1"/>
  <c r="AI1345" i="3" a="1"/>
  <c r="AK2244" i="3" a="1"/>
  <c r="AK2172" i="3" a="1"/>
  <c r="AK1805" i="3" a="1"/>
  <c r="AI1442" i="3" a="1"/>
  <c r="AI1225" i="3" a="1"/>
  <c r="AI1119" i="3" a="1"/>
  <c r="AI1044" i="3" a="1"/>
  <c r="AI774" i="3" a="1"/>
  <c r="AI629" i="3" a="1"/>
  <c r="AK297" i="3" a="1"/>
  <c r="AI30" i="3" a="1"/>
  <c r="AI657" i="3" a="1"/>
  <c r="AI1887" i="3" a="1"/>
  <c r="AK878" i="3" a="1"/>
  <c r="AI1760" i="3" a="1"/>
  <c r="AI276" i="3" a="1"/>
  <c r="AI1300" i="3" a="1"/>
  <c r="AK237" i="3" a="1"/>
  <c r="AK1426" i="3" a="1"/>
  <c r="AK729" i="3" a="1"/>
  <c r="AK1775" i="3" a="1"/>
  <c r="AK827" i="3" a="1"/>
  <c r="AI1848" i="3" a="1"/>
  <c r="AK483" i="3" a="1"/>
  <c r="AI1522" i="3" a="1"/>
  <c r="AI455" i="3" a="1"/>
  <c r="AK1267" i="3" a="1"/>
  <c r="AI116" i="3" a="1"/>
  <c r="AK1224" i="3" a="1"/>
  <c r="AK2204" i="3" a="1"/>
  <c r="AK894" i="3" a="1"/>
  <c r="AK1786" i="3" a="1"/>
  <c r="AK503" i="3" a="1"/>
  <c r="AI1565" i="3" a="1"/>
  <c r="AK179" i="3" a="1"/>
  <c r="AI2108" i="3" a="1"/>
  <c r="AK494" i="3" a="1"/>
  <c r="AI2199" i="3" a="1"/>
  <c r="AK702" i="3" a="1"/>
  <c r="AK1229" i="3" a="1"/>
  <c r="AI2143" i="3" a="1"/>
  <c r="AI921" i="3" a="1"/>
  <c r="AI2110" i="3" a="1"/>
  <c r="AI1768" i="3" a="1"/>
  <c r="AK1710" i="3" a="1"/>
  <c r="AI1506" i="3" a="1"/>
  <c r="AK1202" i="3" a="1"/>
  <c r="AI990" i="3" a="1"/>
  <c r="AK669" i="3" a="1"/>
  <c r="AK388" i="3" a="1"/>
  <c r="AI269" i="3" a="1"/>
  <c r="AK397" i="3" a="1"/>
  <c r="AI417" i="3" a="1"/>
  <c r="AI1729" i="3" a="1"/>
  <c r="AI504" i="3" a="1"/>
  <c r="AK1489" i="3" a="1"/>
  <c r="AK199" i="3" a="1"/>
  <c r="AK1017" i="3" a="1"/>
  <c r="AK85" i="3" a="1"/>
  <c r="AI1352" i="3" a="1"/>
  <c r="AI357" i="3" a="1"/>
  <c r="AI1346" i="3" a="1"/>
  <c r="AK497" i="3" a="1"/>
  <c r="AI1553" i="3" a="1"/>
  <c r="AK310" i="3" a="1"/>
  <c r="AI1248" i="3" a="1"/>
  <c r="AI237" i="3" a="1"/>
  <c r="AK1029" i="3" a="1"/>
  <c r="AK2145" i="3" a="1"/>
  <c r="AK811" i="3" a="1"/>
  <c r="AI1889" i="3" a="1"/>
  <c r="AK381" i="3" a="1"/>
  <c r="AK1569" i="3" a="1"/>
  <c r="AI236" i="3" a="1"/>
  <c r="AI1328" i="3" a="1"/>
  <c r="AK64" i="3" a="1"/>
  <c r="AI2073" i="3" a="1"/>
  <c r="AI920" i="3" a="1"/>
  <c r="AK1291" i="3" a="1"/>
  <c r="AK1811" i="3" a="1"/>
  <c r="AK466" i="3" a="1"/>
  <c r="AI1551" i="3" a="1"/>
  <c r="AI2274" i="3" a="1"/>
  <c r="AI2124" i="3" a="1"/>
  <c r="AI1878" i="3" a="1"/>
  <c r="AK1692" i="3" a="1"/>
  <c r="AK1530" i="3" a="1"/>
  <c r="AI1230" i="3" a="1"/>
  <c r="AK989" i="3" a="1"/>
  <c r="AI948" i="3" a="1"/>
  <c r="AK717" i="3" a="1"/>
  <c r="AK215" i="3" a="1"/>
  <c r="AK46" i="3" a="1"/>
  <c r="AI423" i="3" a="1"/>
  <c r="AK1362" i="3" a="1"/>
  <c r="AK183" i="3" a="1"/>
  <c r="AI1227" i="3" a="1"/>
  <c r="AK77" i="3" a="1"/>
  <c r="AK1010" i="3" a="1"/>
  <c r="AK1972" i="3" a="1"/>
  <c r="AK1022" i="3" a="1"/>
  <c r="AI425" i="3" a="1"/>
  <c r="AK1307" i="3" a="1"/>
  <c r="AK267" i="3" a="1"/>
  <c r="AI1350" i="3" a="1"/>
  <c r="AK268" i="3" a="1"/>
  <c r="AK2191" i="3" a="1"/>
  <c r="AI1983" i="3" a="1"/>
  <c r="AK1735" i="3" a="1"/>
  <c r="AK1526" i="3" a="1"/>
  <c r="AI1363" i="3" a="1"/>
  <c r="AK1093" i="3" a="1"/>
  <c r="AK1032" i="3" a="1"/>
  <c r="AI669" i="3" a="1"/>
  <c r="AK485" i="3" a="1"/>
  <c r="AK325" i="3" a="1"/>
  <c r="AI163" i="3" a="1"/>
  <c r="AK877" i="3" a="1"/>
  <c r="AI2091" i="3" a="1"/>
  <c r="AI917" i="3" a="1"/>
  <c r="AK1840" i="3" a="1"/>
  <c r="AI383" i="3" a="1"/>
  <c r="AI1489" i="3" a="1"/>
  <c r="AI494" i="3" a="1"/>
  <c r="AI1419" i="3" a="1"/>
  <c r="AK1051" i="3" a="1"/>
  <c r="AK1895" i="3" a="1"/>
  <c r="AI944" i="3" a="1"/>
  <c r="AK2095" i="3" a="1"/>
  <c r="AI906" i="3" a="1"/>
  <c r="AI1846" i="3" a="1"/>
  <c r="AI211" i="3" a="1"/>
  <c r="AI1212" i="3" a="1"/>
  <c r="AI118" i="3" a="1"/>
  <c r="AK1292" i="3" a="1"/>
  <c r="AK2243" i="3" a="1"/>
  <c r="AI988" i="3" a="1"/>
  <c r="AK2038" i="3" a="1"/>
  <c r="AK695" i="3" a="1"/>
  <c r="AK1770" i="3" a="1"/>
  <c r="AI347" i="3" a="1"/>
  <c r="AK1488" i="3" a="1"/>
  <c r="AK1801" i="3" a="1"/>
  <c r="AK2200" i="3" a="1"/>
  <c r="AK54" i="3" a="1"/>
  <c r="AK1065" i="3" a="1"/>
  <c r="AI1787" i="3" a="1"/>
  <c r="AK1052" i="3" a="1"/>
  <c r="AK2091" i="3" a="1"/>
  <c r="AK1839" i="3" a="1"/>
  <c r="AI1530" i="3" a="1"/>
  <c r="AK1389" i="3" a="1"/>
  <c r="AI1226" i="3" a="1"/>
  <c r="AI1007" i="3" a="1"/>
  <c r="AI903" i="3" a="1"/>
  <c r="AI631" i="3" a="1"/>
  <c r="AK443" i="3" a="1"/>
  <c r="AI98" i="3" a="1"/>
  <c r="AI686" i="3" a="1"/>
  <c r="AI1803" i="3" a="1"/>
  <c r="AI802" i="3" a="1"/>
  <c r="AI1481" i="3" a="1"/>
  <c r="AI140" i="3" a="1"/>
  <c r="AI1147" i="3" a="1"/>
  <c r="AK359" i="3" a="1"/>
  <c r="AK1258" i="3" a="1"/>
  <c r="AK634" i="3" a="1"/>
  <c r="AI1343" i="3" a="1"/>
  <c r="AI336" i="3" a="1"/>
  <c r="AI1538" i="3" a="1"/>
  <c r="AK305" i="3" a="1"/>
  <c r="AK1350" i="3" a="1"/>
  <c r="AI252" i="3" a="1"/>
  <c r="AK1106" i="3" a="1"/>
  <c r="AK2198" i="3" a="1"/>
  <c r="AK1118" i="3" a="1"/>
  <c r="AK1989" i="3" a="1"/>
  <c r="AI546" i="3" a="1"/>
  <c r="AK1617" i="3" a="1"/>
  <c r="AK437" i="3" a="1"/>
  <c r="AK1365" i="3" a="1"/>
  <c r="AI12" i="3" a="1"/>
  <c r="AI635" i="3" a="1"/>
  <c r="AI1232" i="3" a="1"/>
  <c r="AI1349" i="3" a="1"/>
  <c r="AK277" i="3" a="1"/>
  <c r="AK684" i="3" a="1"/>
  <c r="AK1347" i="3" a="1"/>
  <c r="AK1999" i="3" a="1"/>
  <c r="AK2124" i="3" a="1"/>
  <c r="AI1929" i="3" a="1"/>
  <c r="AK1739" i="3" a="1"/>
  <c r="AK1443" i="3" a="1"/>
  <c r="AK1238" i="3" a="1"/>
  <c r="AK990" i="3" a="1"/>
  <c r="AK856" i="3" a="1"/>
  <c r="AK542" i="3" a="1"/>
  <c r="AK222" i="3" a="1"/>
  <c r="AK58" i="3" a="1"/>
  <c r="AK348" i="3" a="1"/>
  <c r="AI1376" i="3" a="1"/>
  <c r="AI454" i="3" a="1"/>
  <c r="AI1304" i="3" a="1"/>
  <c r="AK10" i="3" a="1"/>
  <c r="AK818" i="3" a="1"/>
  <c r="AI2000" i="3" a="1"/>
  <c r="AI1107" i="3" a="1"/>
  <c r="AI167" i="3" a="1"/>
  <c r="AK1252" i="3" a="1"/>
  <c r="AI177" i="3" a="1"/>
  <c r="AI1247" i="3" a="1"/>
  <c r="AK133" i="3" a="1"/>
  <c r="AK1266" i="3" a="1"/>
  <c r="AI2271" i="3" a="1"/>
  <c r="AK1004" i="3" a="1"/>
  <c r="AI1996" i="3" a="1"/>
  <c r="AI633" i="3" a="1"/>
  <c r="AK1765" i="3" a="1"/>
  <c r="AI305" i="3" a="1"/>
  <c r="AK1372" i="3" a="1"/>
  <c r="AK17" i="3" a="1"/>
  <c r="AK1192" i="3" a="1"/>
  <c r="AK2215" i="3" a="1"/>
  <c r="AK2047" i="3" a="1"/>
  <c r="AK1228" i="3" a="1"/>
  <c r="AK1986" i="3" a="1"/>
  <c r="AK1213" i="3" a="1"/>
  <c r="AK2199" i="3" a="1"/>
  <c r="AI935" i="3" a="1"/>
  <c r="AK1762" i="3" a="1"/>
  <c r="AI2243" i="3" a="1"/>
  <c r="AK1908" i="3" a="1"/>
  <c r="AK1752" i="3" a="1"/>
  <c r="AK1406" i="3" a="1"/>
  <c r="AK1240" i="3" a="1"/>
  <c r="AK1140" i="3" a="1"/>
  <c r="AI805" i="3" a="1"/>
  <c r="AK674" i="3" a="1"/>
  <c r="AI365" i="3" a="1"/>
  <c r="AI131" i="3" a="1"/>
  <c r="AK434" i="3" a="1"/>
  <c r="AI1060" i="3" a="1"/>
  <c r="AI103" i="3" a="1"/>
  <c r="AI1219" i="3" a="1"/>
  <c r="AI2184" i="3" a="1"/>
  <c r="AI915" i="3" a="1"/>
  <c r="AK1810" i="3" a="1"/>
  <c r="AK873" i="3" a="1"/>
  <c r="AI255" i="3" a="1"/>
  <c r="AI1137" i="3" a="1"/>
  <c r="AK14" i="3" a="1"/>
  <c r="AI1263" i="3" a="1"/>
  <c r="AI14" i="3" a="1"/>
  <c r="AK2246" i="3" a="1"/>
  <c r="AI1970" i="3" a="1"/>
  <c r="AI1776" i="3" a="1"/>
  <c r="AK1504" i="3" a="1"/>
  <c r="AK1342" i="3" a="1"/>
  <c r="AK1317" i="3" a="1"/>
  <c r="AI1042" i="3" a="1"/>
  <c r="AK688" i="3" a="1"/>
  <c r="AI404" i="3" a="1"/>
  <c r="AI241" i="3" a="1"/>
  <c r="AK68" i="3" a="1"/>
  <c r="AK697" i="3" a="1"/>
  <c r="AI1801" i="3" a="1"/>
  <c r="AK675" i="3" a="1"/>
  <c r="AI1588" i="3" a="1"/>
  <c r="AK198" i="3" a="1"/>
  <c r="AI1235" i="3" a="1"/>
  <c r="AI284" i="3" a="1"/>
  <c r="AI1357" i="3" a="1"/>
  <c r="AK678" i="3" a="1"/>
  <c r="AK1545" i="3" a="1"/>
  <c r="AI446" i="3" a="1"/>
  <c r="AK1814" i="3" a="1"/>
  <c r="AK441" i="3" a="1"/>
  <c r="AI1504" i="3" a="1"/>
  <c r="AI395" i="3" a="1"/>
  <c r="AK1200" i="3" a="1"/>
  <c r="AK28" i="3" a="1"/>
  <c r="AI1106" i="3" a="1"/>
  <c r="AK2105" i="3" a="1"/>
  <c r="AI702" i="3" a="1"/>
  <c r="AI1782" i="3" a="1"/>
  <c r="AI479" i="3" a="1"/>
  <c r="AK1447" i="3" a="1"/>
  <c r="AI316" i="3" a="1"/>
  <c r="AI1903" i="3" a="1"/>
  <c r="AI2221" i="3" a="1"/>
  <c r="AK1506" i="3" a="1"/>
  <c r="AK2181" i="3" a="1"/>
  <c r="AK421" i="3" a="1"/>
  <c r="AK1296" i="3" a="1"/>
  <c r="AI1296" i="3" a="1"/>
  <c r="AI2181" i="3" a="1"/>
  <c r="AI1876" i="3" a="1"/>
  <c r="AI1621" i="3" a="1"/>
  <c r="AI1354" i="3" a="1"/>
  <c r="AK1314" i="3" a="1"/>
  <c r="AI1159" i="3" a="1"/>
  <c r="AI883" i="3" a="1"/>
  <c r="AK667" i="3" a="1"/>
  <c r="AK382" i="3" a="1"/>
  <c r="AI192" i="3" a="1"/>
  <c r="AK287" i="3" a="1"/>
  <c r="AI1182" i="3" a="1"/>
  <c r="AI434" i="3" a="1"/>
  <c r="AK1130" i="3" a="1"/>
  <c r="AI2155" i="3" a="1"/>
  <c r="AK677" i="3" a="1"/>
  <c r="AK1760" i="3" a="1"/>
  <c r="AK1041" i="3" a="1"/>
  <c r="AI100" i="3" a="1"/>
  <c r="AI1313" i="3" a="1"/>
  <c r="AI75" i="3" a="1"/>
  <c r="AI1132" i="3" a="1"/>
  <c r="AI2288" i="3" a="1"/>
  <c r="AK1053" i="3" a="1"/>
  <c r="AI2157" i="3" a="1"/>
  <c r="AI681" i="3" a="1"/>
  <c r="AI1758" i="3" a="1"/>
  <c r="AK458" i="3" a="1"/>
  <c r="AK1531" i="3" a="1"/>
  <c r="AK50" i="3" a="1"/>
  <c r="AI1205" i="3" a="1"/>
  <c r="AK2209" i="3" a="1"/>
  <c r="AI1027" i="3" a="1"/>
  <c r="AK2103" i="3" a="1"/>
  <c r="AK2109" i="3" a="1"/>
  <c r="AI2085" i="3" a="1"/>
  <c r="AK2131" i="3" a="1"/>
  <c r="AK889" i="3" a="1"/>
  <c r="AK1865" i="3" a="1"/>
  <c r="AK90" i="3" a="1"/>
  <c r="AK1788" i="3" a="1"/>
  <c r="AK2221" i="3" a="1"/>
  <c r="AK2032" i="3" a="1"/>
  <c r="AI1754" i="3" a="1"/>
  <c r="AI1526" i="3" a="1"/>
  <c r="AK1225" i="3" a="1"/>
  <c r="AI1309" i="3" a="1"/>
  <c r="AK899" i="3" a="1"/>
  <c r="AI813" i="3" a="1"/>
  <c r="AK502" i="3" a="1"/>
  <c r="AI416" i="3" a="1"/>
  <c r="AK87" i="3" a="1"/>
  <c r="AK1023" i="3" a="1"/>
  <c r="AK2088" i="3" a="1"/>
  <c r="AI826" i="3" a="1"/>
  <c r="AK1871" i="3" a="1"/>
  <c r="AI484" i="3" a="1"/>
  <c r="AI1374" i="3" a="1"/>
  <c r="AI806" i="3" a="1"/>
  <c r="AI1463" i="3" a="1"/>
  <c r="AI889" i="3" a="1"/>
  <c r="AI1964" i="3" a="1"/>
  <c r="AK929" i="3" a="1"/>
  <c r="AK2099" i="3" a="1"/>
  <c r="AK713" i="3" a="1"/>
  <c r="AI1845" i="3" a="1"/>
  <c r="AK446" i="3" a="1"/>
  <c r="AK1249" i="3" a="1"/>
  <c r="AK261" i="3" a="1"/>
  <c r="AK1261" i="3" a="1"/>
  <c r="AK2259" i="3" a="1"/>
  <c r="AI1016" i="3" a="1"/>
  <c r="AI2053" i="3" a="1"/>
  <c r="AK895" i="3" a="1"/>
  <c r="AK1835" i="3" a="1"/>
  <c r="AI437" i="3" a="1"/>
  <c r="AK1550" i="3" a="1"/>
  <c r="AI2136" i="3" a="1"/>
  <c r="AI299" i="3" a="1"/>
  <c r="AK886" i="3" a="1"/>
  <c r="AK1759" i="3" a="1"/>
  <c r="AI24" i="3" a="1"/>
  <c r="AI2236" i="3" a="1"/>
  <c r="AI2006" i="3" a="1"/>
  <c r="AK1767" i="3" a="1"/>
  <c r="AK1499" i="3" a="1"/>
  <c r="AI1411" i="3" a="1"/>
  <c r="AK1137" i="3" a="1"/>
  <c r="AI960" i="3" a="1"/>
  <c r="AK668" i="3" a="1"/>
  <c r="AI388" i="3" a="1"/>
  <c r="AI424" i="3" a="1"/>
  <c r="AI37" i="3" a="1"/>
  <c r="AK820" i="3" a="1"/>
  <c r="AK1816" i="3" a="1"/>
  <c r="AI877" i="3" a="1"/>
  <c r="AI1727" i="3" a="1"/>
  <c r="AK491" i="3" a="1"/>
  <c r="AK1275" i="3" a="1"/>
  <c r="AI500" i="3" a="1"/>
  <c r="AI1241" i="3" a="1"/>
  <c r="AI854" i="3" a="1"/>
  <c r="AK1632" i="3" a="1"/>
  <c r="AI844" i="3" a="1"/>
  <c r="AI1863" i="3" a="1"/>
  <c r="AK342" i="3" a="1"/>
  <c r="AI2141" i="3" a="1"/>
  <c r="AK1864" i="3" a="1"/>
  <c r="AK1670" i="3" a="1"/>
  <c r="AI1444" i="3" a="1"/>
  <c r="AK1248" i="3" a="1"/>
  <c r="AI1128" i="3" a="1"/>
  <c r="AI900" i="3" a="1"/>
  <c r="AI714" i="3" a="1"/>
  <c r="AK307" i="3" a="1"/>
  <c r="AI18" i="3" a="1"/>
  <c r="AK72" i="3" a="1"/>
  <c r="AK1293" i="3" a="1"/>
  <c r="AI32" i="3" a="1"/>
  <c r="AK1147" i="3" a="1"/>
  <c r="AI2264" i="3" a="1"/>
  <c r="AK864" i="3" a="1"/>
  <c r="AK1874" i="3" a="1"/>
  <c r="AK1145" i="3" a="1"/>
  <c r="AI40" i="3" a="1"/>
  <c r="AK1134" i="3" a="1"/>
  <c r="AI31" i="3" a="1"/>
  <c r="AK1227" i="3" a="1"/>
  <c r="AI84" i="3" a="1"/>
  <c r="AK1088" i="3" a="1"/>
  <c r="AI2216" i="3" a="1"/>
  <c r="AI1024" i="3" a="1"/>
  <c r="AK1789" i="3" a="1"/>
  <c r="AI466" i="3" a="1"/>
  <c r="AI1554" i="3" a="1"/>
  <c r="AK326" i="3" a="1"/>
  <c r="AK1303" i="3" a="1"/>
  <c r="AK53" i="3" a="1"/>
  <c r="AI1228" i="3" a="1"/>
  <c r="AI2088" i="3" a="1"/>
  <c r="AI1090" i="3" a="1"/>
  <c r="AI1775" i="3" a="1"/>
  <c r="AK1046" i="3" a="1"/>
  <c r="AI804" i="3" a="1"/>
  <c r="AI1443" i="3" a="1"/>
  <c r="AK2251" i="3" a="1"/>
  <c r="AK1784" i="3" a="1"/>
  <c r="AI2246" i="3" a="1"/>
  <c r="AI1984" i="3" a="1"/>
  <c r="AK1901" i="3" a="1"/>
  <c r="AI1541" i="3" a="1"/>
  <c r="AI1307" i="3" a="1"/>
  <c r="AK1209" i="3" a="1"/>
  <c r="AI986" i="3" a="1"/>
  <c r="AI680" i="3" a="1"/>
  <c r="AI400" i="3" a="1"/>
  <c r="AI485" i="3" a="1"/>
  <c r="AI57" i="3" a="1"/>
  <c r="AK693" i="3" a="1"/>
  <c r="AI1860" i="3" a="1"/>
  <c r="AK694" i="3" a="1"/>
  <c r="AK1737" i="3" a="1"/>
  <c r="AK424" i="3" a="1"/>
  <c r="AK1299" i="3" a="1"/>
  <c r="AI181" i="3" a="1"/>
  <c r="AK1412" i="3" a="1"/>
  <c r="AK1107" i="3" a="1"/>
  <c r="AK1642" i="3" a="1"/>
  <c r="AI709" i="3" a="1"/>
  <c r="AK1808" i="3" a="1"/>
  <c r="AK357" i="3" a="1"/>
  <c r="AK1727" i="3" a="1"/>
  <c r="AI72" i="3" a="1"/>
  <c r="AI1046" i="3" a="1"/>
  <c r="AK121" i="3" a="1"/>
  <c r="AI1156" i="3" a="1"/>
  <c r="AK2111" i="3" a="1"/>
  <c r="AI690" i="3" a="1"/>
  <c r="AI1743" i="3" a="1"/>
  <c r="AI264" i="3" a="1"/>
  <c r="AI1555" i="3" a="1"/>
  <c r="AI92" i="3" a="1"/>
  <c r="AK1910" i="3" a="1"/>
  <c r="AI2276" i="3" a="1"/>
  <c r="AI2126" i="3" a="1"/>
  <c r="AI419" i="3" a="1"/>
  <c r="AI1157" i="3" a="1"/>
  <c r="AK1924" i="3" a="1"/>
  <c r="AI1897" i="3" a="1"/>
  <c r="AI2139" i="3" a="1"/>
  <c r="AK1843" i="3" a="1"/>
  <c r="AI1546" i="3" a="1"/>
  <c r="AK1361" i="3" a="1"/>
  <c r="AK1165" i="3" a="1"/>
  <c r="AK1144" i="3" a="1"/>
  <c r="AK671" i="3" a="1"/>
  <c r="AK412" i="3" a="1"/>
  <c r="AK240" i="3" a="1"/>
  <c r="AK45" i="3" a="1"/>
  <c r="AI380" i="3" a="1"/>
  <c r="AI1550" i="3" a="1"/>
  <c r="AI429" i="3" a="1"/>
  <c r="AK1386" i="3" a="1"/>
  <c r="AK216" i="3" a="1"/>
  <c r="AK1114" i="3" a="1"/>
  <c r="AI68" i="3" a="1"/>
  <c r="AI1171" i="3" a="1"/>
  <c r="AK430" i="3" a="1"/>
  <c r="AK1348" i="3" a="1"/>
  <c r="AI310" i="3" a="1"/>
  <c r="AK1497" i="3" a="1"/>
  <c r="AK272" i="3" a="1"/>
  <c r="AI1208" i="3" a="1"/>
  <c r="AK86" i="3" a="1"/>
  <c r="AK982" i="3" a="1"/>
  <c r="AI2111" i="3" a="1"/>
  <c r="AI894" i="3" a="1"/>
  <c r="AK1815" i="3" a="1"/>
  <c r="AI410" i="3" a="1"/>
  <c r="AK1363" i="3" a="1"/>
  <c r="AI289" i="3" a="1"/>
  <c r="AK1327" i="3" a="1"/>
  <c r="AK163" i="3" a="1"/>
  <c r="AK1628" i="3" a="1"/>
  <c r="AK691" i="3" a="1"/>
  <c r="AI1047" i="3" a="1"/>
  <c r="AI1690" i="3" a="1"/>
  <c r="AI393" i="3" a="1"/>
  <c r="AK1255" i="3" a="1"/>
  <c r="AI842" i="3" a="1"/>
  <c r="AK2202" i="3" a="1"/>
  <c r="AK1863" i="3" a="1"/>
  <c r="AK1630" i="3" a="1"/>
  <c r="AK1376" i="3" a="1"/>
  <c r="AI1302" i="3" a="1"/>
  <c r="AI1029" i="3" a="1"/>
  <c r="AI876" i="3" a="1"/>
  <c r="AK842" i="3" a="1"/>
  <c r="AK276" i="3" a="1"/>
  <c r="AK98" i="3" a="1"/>
  <c r="AI294" i="3" a="1"/>
  <c r="AI1379" i="3" a="1"/>
  <c r="AK92" i="3" a="1"/>
  <c r="AK1235" i="3" a="1"/>
  <c r="AK44" i="3" a="1"/>
  <c r="AI933" i="3" a="1"/>
  <c r="AI1912" i="3" a="1"/>
  <c r="AK1055" i="3" a="1"/>
  <c r="AK356" i="3" a="1"/>
  <c r="AK1285" i="3" a="1"/>
  <c r="AK42" i="3" a="1"/>
  <c r="AI1290" i="3" a="1"/>
  <c r="AK176" i="3" a="1"/>
  <c r="AK2225" i="3" a="1"/>
  <c r="AI1969" i="3" a="1"/>
  <c r="AI1753" i="3" a="1"/>
  <c r="AI1579" i="3" a="1"/>
  <c r="AK1346" i="3" a="1"/>
  <c r="AK1236" i="3" a="1"/>
  <c r="AI1022" i="3" a="1"/>
  <c r="AI895" i="3" a="1"/>
  <c r="AI473" i="3" a="1"/>
  <c r="AK212" i="3" a="1"/>
  <c r="AI287" i="3" a="1"/>
  <c r="AI691" i="3" a="1"/>
  <c r="AI2010" i="3" a="1"/>
  <c r="AK731" i="3" a="1"/>
  <c r="AI1750" i="3" a="1"/>
  <c r="AK263" i="3" a="1"/>
  <c r="AI1414" i="3" a="1"/>
  <c r="AI222" i="3" a="1"/>
  <c r="AK1381" i="3" a="1"/>
  <c r="AI1005" i="3" a="1"/>
  <c r="AK1764" i="3" a="1"/>
  <c r="AK919" i="3" a="1"/>
  <c r="AK1926" i="3" a="1"/>
  <c r="AI456" i="3" a="1"/>
  <c r="AI1708" i="3" a="1"/>
  <c r="AI399" i="3" a="1"/>
  <c r="AI1288" i="3" a="1"/>
  <c r="AK80" i="3" a="1"/>
  <c r="AK1201" i="3" a="1"/>
  <c r="AK2226" i="3" a="1"/>
  <c r="AK896" i="3" a="1"/>
  <c r="AI1868" i="3" a="1"/>
  <c r="AI901" i="3" a="1"/>
  <c r="AI1617" i="3" a="1"/>
  <c r="AK347" i="3" a="1"/>
  <c r="AI2290" i="3" a="1"/>
  <c r="AI1384" i="3" a="1"/>
  <c r="AK1979" i="3" a="1"/>
  <c r="AI139" i="3" a="1"/>
  <c r="AI965" i="3" a="1"/>
  <c r="AK1604" i="3" a="1"/>
  <c r="AK1306" i="3" a="1"/>
  <c r="AI2201" i="3" a="1"/>
  <c r="AK1903" i="3" a="1"/>
  <c r="AI1766" i="3" a="1"/>
  <c r="AI1484" i="3" a="1"/>
  <c r="AI1177" i="3" a="1"/>
  <c r="AK1128" i="3" a="1"/>
  <c r="AI1004" i="3" a="1"/>
  <c r="AI692" i="3" a="1"/>
  <c r="AI502" i="3" a="1"/>
  <c r="AI297" i="3" a="1"/>
  <c r="AI28" i="3" a="1"/>
  <c r="AK986" i="3" a="1"/>
  <c r="AI10" i="3" a="1"/>
  <c r="AK1102" i="3" a="1"/>
  <c r="AI2032" i="3" a="1"/>
  <c r="AI705" i="3" a="1"/>
  <c r="AI1490" i="3" a="1"/>
  <c r="AI731" i="3" a="1"/>
  <c r="AK7" i="3" a="1"/>
  <c r="AI1014" i="3" a="1"/>
  <c r="AI2099" i="3" a="1"/>
  <c r="AK998" i="3" a="1"/>
  <c r="AI2178" i="3" a="1"/>
  <c r="AK808" i="3" a="1"/>
  <c r="AK2037" i="3" a="1"/>
  <c r="AI683" i="3" a="1"/>
  <c r="AK1424" i="3" a="1"/>
  <c r="AI80" i="3" a="1"/>
  <c r="AK1239" i="3" a="1"/>
  <c r="AI20" i="3" a="1"/>
  <c r="AI1036" i="3" a="1"/>
  <c r="AI2132" i="3" a="1"/>
  <c r="AI1000" i="3" a="1"/>
  <c r="AI1877" i="3" a="1"/>
  <c r="AK686" i="3" a="1"/>
  <c r="AI2263" i="3" a="1"/>
  <c r="AK1571" i="3" a="1"/>
  <c r="AI588" i="3" a="1"/>
  <c r="AI1552" i="3" a="1"/>
  <c r="AK2106" i="3" a="1"/>
  <c r="AK1182" i="3" a="1"/>
  <c r="AK2238" i="3" a="1"/>
  <c r="AI1988" i="3" a="1"/>
  <c r="AK1757" i="3" a="1"/>
  <c r="AI1435" i="3" a="1"/>
  <c r="AI1459" i="3" a="1"/>
  <c r="AI1202" i="3" a="1"/>
  <c r="AI1034" i="3" a="1"/>
  <c r="AK767" i="3" a="1"/>
  <c r="AK543" i="3" a="1"/>
  <c r="AK296" i="3" a="1"/>
  <c r="AI22" i="3" a="1"/>
  <c r="AK698" i="3" a="1"/>
  <c r="AI1910" i="3" a="1"/>
  <c r="AI870" i="3" a="1"/>
  <c r="AI1833" i="3" a="1"/>
  <c r="AK439" i="3" a="1"/>
  <c r="AI1355" i="3" a="1"/>
  <c r="AK496" i="3" a="1"/>
  <c r="AK1374" i="3" a="1"/>
  <c r="AI865" i="3" a="1"/>
  <c r="AI1752" i="3" a="1"/>
  <c r="AI678" i="3" a="1"/>
  <c r="AI1895" i="3" a="1"/>
  <c r="AI498" i="3" a="1"/>
  <c r="AK1758" i="3" a="1"/>
  <c r="AK257" i="3" a="1"/>
  <c r="AI1291" i="3" a="1"/>
  <c r="AI51" i="3" a="1"/>
  <c r="AK1205" i="3" a="1"/>
  <c r="AI2198" i="3" a="1"/>
  <c r="AK887" i="3" a="1"/>
  <c r="AK1841" i="3" a="1"/>
  <c r="AI427" i="3" a="1"/>
  <c r="AI1619" i="3" a="1"/>
  <c r="AK293" i="3" a="1"/>
  <c r="AK2182" i="3" a="1"/>
  <c r="AI459" i="3" a="1"/>
  <c r="AI2175" i="3" a="1"/>
  <c r="AK301" i="3" a="1"/>
  <c r="AI1259" i="3" a="1"/>
  <c r="AK2257" i="3" a="1"/>
  <c r="AI2261" i="3" a="1"/>
  <c r="AI2131" i="3" a="1"/>
  <c r="AI1804" i="3" a="1"/>
  <c r="AK1539" i="3" a="1"/>
  <c r="AI1239" i="3" a="1"/>
  <c r="AI1217" i="3" a="1"/>
  <c r="AI994" i="3" a="1"/>
  <c r="AK708" i="3" a="1"/>
  <c r="AK481" i="3" a="1"/>
  <c r="AK350" i="3" a="1"/>
  <c r="AI70" i="3" a="1"/>
  <c r="AI486" i="3" a="1"/>
  <c r="AI1788" i="3" a="1"/>
  <c r="AI693" i="3" a="1"/>
  <c r="AK1490" i="3" a="1"/>
  <c r="AK156" i="3" a="1"/>
  <c r="AK1230" i="3" a="1"/>
  <c r="AI224" i="3" a="1"/>
  <c r="AI1299" i="3" a="1"/>
  <c r="AK714" i="3" a="1"/>
  <c r="AI1533" i="3" a="1"/>
  <c r="AI405" i="3" a="1"/>
  <c r="AI1584" i="3" a="1"/>
  <c r="AK379" i="3" a="1"/>
  <c r="AK2184" i="3" a="1"/>
  <c r="AI1933" i="3" a="1"/>
  <c r="AK1655" i="3" a="1"/>
  <c r="AI1361" i="3" a="1"/>
  <c r="AI1257" i="3" a="1"/>
  <c r="AI1254" i="3" a="1"/>
  <c r="AI891" i="3" a="1"/>
  <c r="AK681" i="3" a="1"/>
  <c r="AK269" i="3" a="1"/>
  <c r="AI212" i="3" a="1"/>
  <c r="AK74" i="3" a="1"/>
  <c r="AK1219" i="3" a="1"/>
  <c r="AI278" i="3" a="1"/>
  <c r="AK1188" i="3" a="1"/>
  <c r="AK2169" i="3" a="1"/>
  <c r="AI703" i="3" a="1"/>
  <c r="AI1795" i="3" a="1"/>
  <c r="AK1038" i="3" a="1"/>
  <c r="AK31" i="3" a="1"/>
  <c r="AK1223" i="3" a="1"/>
  <c r="AK2279" i="3" a="1"/>
  <c r="AK1079" i="3" a="1"/>
  <c r="AK2271" i="3" a="1"/>
  <c r="AI1231" i="3" a="1"/>
  <c r="AK2125" i="3" a="1"/>
  <c r="AI634" i="3" a="1"/>
  <c r="AI1626" i="3" a="1"/>
  <c r="AI407" i="3" a="1"/>
  <c r="AK1433" i="3" a="1"/>
  <c r="AI348" i="3" a="1"/>
  <c r="AK1169" i="3" a="1"/>
  <c r="AK2227" i="3" a="1"/>
  <c r="AK1042" i="3" a="1"/>
  <c r="AK2042" i="3" a="1"/>
  <c r="AI1835" i="3" a="1"/>
  <c r="AI1630" i="3" a="1"/>
  <c r="AK2119" i="3" a="1"/>
  <c r="AI441" i="3" a="1"/>
  <c r="AK1155" i="3" a="1"/>
  <c r="AK1787" i="3" a="1"/>
  <c r="AK315" i="3" a="1"/>
  <c r="AI2173" i="3" a="1"/>
  <c r="AK1967" i="3" a="1"/>
  <c r="AI1742" i="3" a="1"/>
  <c r="AI1540" i="3" a="1"/>
  <c r="AI1344" i="3" a="1"/>
  <c r="AK1163" i="3" a="1"/>
  <c r="AK944" i="3" a="1"/>
  <c r="AI861" i="3" a="1"/>
  <c r="AK545" i="3" a="1"/>
  <c r="AK454" i="3" a="1"/>
  <c r="AK229" i="3" a="1"/>
  <c r="AK635" i="3" a="1"/>
  <c r="AK2121" i="3" a="1"/>
  <c r="AI1031" i="3" a="1"/>
  <c r="AI1778" i="3" a="1"/>
  <c r="AI397" i="3" a="1"/>
  <c r="AI1366" i="3" a="1"/>
  <c r="AI444" i="3" a="1"/>
  <c r="AK1518" i="3" a="1"/>
  <c r="AK907" i="3" a="1"/>
  <c r="AI1813" i="3" a="1"/>
  <c r="AK1028" i="3" a="1"/>
  <c r="AK2002" i="3" a="1"/>
  <c r="AI545" i="3" a="1"/>
  <c r="AK1749" i="3" a="1"/>
  <c r="AI458" i="3" a="1"/>
  <c r="AI1135" i="3" a="1"/>
  <c r="AK89" i="3" a="1"/>
  <c r="AK1187" i="3" a="1"/>
  <c r="AI2227" i="3" a="1"/>
  <c r="AK1000" i="3" a="1"/>
  <c r="AK1889" i="3" a="1"/>
  <c r="AK435" i="3" a="1"/>
  <c r="AI1761" i="3" a="1"/>
  <c r="AK122" i="3" a="1"/>
  <c r="AI981" i="3" a="1"/>
  <c r="AK1551" i="3" a="1"/>
  <c r="AI67" i="3" a="1"/>
  <c r="AK1016" i="3" a="1"/>
  <c r="AK1484" i="3" a="1"/>
  <c r="AK2282" i="3" a="1"/>
  <c r="AI2268" i="3" a="1"/>
  <c r="AI2109" i="3" a="1"/>
  <c r="AI1814" i="3" a="1"/>
  <c r="AI1692" i="3" a="1"/>
  <c r="AK1298" i="3" a="1"/>
  <c r="AK1220" i="3" a="1"/>
  <c r="AI998" i="3" a="1"/>
  <c r="AI879" i="3" a="1"/>
  <c r="AK484" i="3" a="1"/>
  <c r="AK355" i="3" a="1"/>
  <c r="AI77" i="3" a="1"/>
  <c r="AK548" i="3" a="1"/>
  <c r="AI1784" i="3" a="1"/>
  <c r="AI697" i="3" a="1"/>
  <c r="AI1493" i="3" a="1"/>
  <c r="AK340" i="3" a="1"/>
  <c r="AK1132" i="3" a="1"/>
  <c r="AI338" i="3" a="1"/>
  <c r="AI1252" i="3" a="1"/>
  <c r="AK709" i="3" a="1"/>
  <c r="AK1431" i="3" a="1"/>
  <c r="AK487" i="3" a="1"/>
  <c r="AK1708" i="3" a="1"/>
  <c r="AI497" i="3" a="1"/>
  <c r="AK1397" i="3" a="1"/>
  <c r="AK432" i="3" a="1"/>
  <c r="AI1026" i="3" a="1"/>
  <c r="AI2222" i="3" a="1"/>
  <c r="AK956" i="3" a="1"/>
  <c r="AI2031" i="3" a="1"/>
  <c r="AK427" i="3" a="1"/>
  <c r="AK1761" i="3" a="1"/>
  <c r="AK504" i="3" a="1"/>
  <c r="AI1342" i="3" a="1"/>
  <c r="AI90" i="3" a="1"/>
  <c r="AI1180" i="3" a="1"/>
  <c r="AI1142" i="3" a="1"/>
  <c r="AI1264" i="3" a="1"/>
  <c r="AK2157" i="3" a="1"/>
  <c r="AK943" i="3" a="1"/>
  <c r="AK1774" i="3" a="1"/>
  <c r="AK2143" i="3" a="1"/>
  <c r="AI2137" i="3" a="1"/>
  <c r="AI1861" i="3" a="1"/>
  <c r="AK1623" i="3" a="1"/>
  <c r="AK1373" i="3" a="1"/>
  <c r="AI1167" i="3" a="1"/>
  <c r="AK949" i="3" a="1"/>
  <c r="AK673" i="3" a="1"/>
  <c r="AK436" i="3" a="1"/>
  <c r="AK316" i="3" a="1"/>
  <c r="AI65" i="3" a="1"/>
  <c r="AK365" i="3" a="1"/>
  <c r="AK1423" i="3" a="1"/>
  <c r="AI439" i="3" a="1"/>
  <c r="AK1300" i="3" a="1"/>
  <c r="AI130" i="3" a="1"/>
  <c r="AK948" i="3" a="1"/>
  <c r="AK29" i="3" a="1"/>
  <c r="AI1066" i="3" a="1"/>
  <c r="AI443" i="3" a="1"/>
  <c r="AI1314" i="3" a="1"/>
  <c r="AI201" i="3" a="1"/>
  <c r="AK1349" i="3" a="1"/>
  <c r="AI257" i="3" a="1"/>
  <c r="AI2185" i="3" a="1"/>
  <c r="AI2017" i="3" a="1"/>
  <c r="AI1755" i="3" a="1"/>
  <c r="AI1500" i="3" a="1"/>
  <c r="AI1209" i="3" a="1"/>
  <c r="AK1092" i="3" a="1"/>
  <c r="AK883" i="3" a="1"/>
  <c r="AI712" i="3" a="1"/>
  <c r="AK657" i="3" a="1"/>
  <c r="AK389" i="3" a="1"/>
  <c r="AK18" i="3" a="1"/>
  <c r="AI964" i="3" a="1"/>
  <c r="AI2213" i="3" a="1"/>
  <c r="AI881" i="3" a="1"/>
  <c r="AI1930" i="3" a="1"/>
  <c r="AK506" i="3" a="1"/>
  <c r="AK1492" i="3" a="1"/>
  <c r="AI847" i="3" a="1"/>
  <c r="AK1508" i="3" a="1"/>
  <c r="AK1002" i="3" a="1"/>
  <c r="AI2008" i="3" a="1"/>
  <c r="AK881" i="3" a="1"/>
  <c r="AI2043" i="3" a="1"/>
  <c r="AK687" i="3" a="1"/>
  <c r="AK2006" i="3" a="1"/>
  <c r="AI402" i="3" a="1"/>
  <c r="AI1397" i="3" a="1"/>
  <c r="AK144" i="3" a="1"/>
  <c r="AI1258" i="3" a="1"/>
  <c r="AK2256" i="3" a="1"/>
  <c r="AI930" i="3" a="1"/>
  <c r="AI1999" i="3" a="1"/>
  <c r="AK921" i="3" a="1"/>
  <c r="AK1813" i="3" a="1"/>
  <c r="AK378" i="3" a="1"/>
  <c r="AK1821" i="3" a="1"/>
  <c r="AI2100" i="3" a="1"/>
  <c r="AI2225" i="3" a="1"/>
  <c r="AK409" i="3" a="1"/>
  <c r="AK1136" i="3" a="1"/>
  <c r="AI2039" i="3" a="1"/>
  <c r="AK1078" i="3" a="1"/>
  <c r="AI2125" i="3" a="1"/>
  <c r="AK1861" i="3" a="1"/>
  <c r="AI1632" i="3" a="1"/>
  <c r="AI1340" i="3" a="1"/>
  <c r="AK1217" i="3" a="1"/>
  <c r="AI1041" i="3" a="1"/>
  <c r="AK930" i="3" a="1"/>
  <c r="AI542" i="3" a="1"/>
  <c r="AK440" i="3" a="1"/>
  <c r="AI199" i="3" a="1"/>
  <c r="AI350" i="3" a="1"/>
  <c r="AI1486" i="3" a="1"/>
  <c r="AI351" i="3" a="1"/>
  <c r="AI1237" i="3" a="1"/>
  <c r="AI117" i="3" a="1"/>
  <c r="AK939" i="3" a="1"/>
  <c r="AI73" i="3" a="1"/>
  <c r="AI1088" i="3" a="1"/>
  <c r="AK426" i="3" a="1"/>
  <c r="AI1236" i="3" a="1"/>
  <c r="AK259" i="3" a="1"/>
  <c r="AK1427" i="3" a="1"/>
  <c r="AI267" i="3" a="1"/>
  <c r="AI1295" i="3" a="1"/>
  <c r="AK116" i="3" a="1"/>
  <c r="AI907" i="3" a="1"/>
  <c r="AK2061" i="3" a="1"/>
  <c r="AK1030" i="3" a="1"/>
  <c r="AI1773" i="3" a="1"/>
  <c r="AI358" i="3" a="1"/>
  <c r="AI1320" i="3" a="1"/>
  <c r="AK275" i="3" a="1"/>
  <c r="AI1222" i="3" a="1"/>
  <c r="AK2261" i="3" a="1"/>
  <c r="AI2257" i="3" a="1"/>
  <c r="AK1964" i="3" a="1"/>
  <c r="AI2203" i="3" a="1"/>
  <c r="AI1706" i="3" a="1"/>
  <c r="AK289" i="3" a="1"/>
  <c r="AK988" i="3" a="1"/>
  <c r="AK2160" i="3" a="1"/>
  <c r="AK2236" i="3" a="1"/>
  <c r="AI1871" i="3" a="1"/>
  <c r="AK1619" i="3" a="1"/>
  <c r="AK1486" i="3" a="1"/>
  <c r="AI1270" i="3" a="1"/>
  <c r="AK1157" i="3" a="1"/>
  <c r="AI875" i="3" a="1"/>
  <c r="AI827" i="3" a="1"/>
  <c r="AI377" i="3" a="1"/>
  <c r="AI386" i="3" a="1"/>
  <c r="AK206" i="3" a="1"/>
  <c r="AK1232" i="3" a="1"/>
  <c r="AK67" i="3" a="1"/>
  <c r="AI1055" i="3" a="1"/>
  <c r="AI2176" i="3" a="1"/>
  <c r="AI694" i="3" a="1"/>
  <c r="AI1781" i="3" a="1"/>
  <c r="AI905" i="3" a="1"/>
  <c r="AK219" i="3" a="1"/>
  <c r="AI1067" i="3" a="1"/>
  <c r="AK36" i="3" a="1"/>
  <c r="AI1104" i="3" a="1"/>
  <c r="AI36" i="3" a="1"/>
  <c r="AK980" i="3" a="1"/>
  <c r="AK2113" i="3" a="1"/>
  <c r="AI713" i="3" a="1"/>
  <c r="AK1573" i="3" a="1"/>
  <c r="AK349" i="3" a="1"/>
  <c r="AI1424" i="3" a="1"/>
  <c r="AI215" i="3" a="1"/>
  <c r="AI1054" i="3" a="1"/>
  <c r="AK2216" i="3" a="1"/>
  <c r="AK1090" i="3" a="1"/>
  <c r="AI2106" i="3" a="1"/>
  <c r="AI2122" i="3" a="1"/>
  <c r="AK2123" i="3" a="1"/>
  <c r="AK2115" i="3" a="1"/>
  <c r="AI886" i="3" a="1"/>
  <c r="AK1525" i="3" a="1"/>
  <c r="AK129" i="3" a="1"/>
  <c r="AI2149" i="3" a="1"/>
  <c r="AI2197" i="3" a="1"/>
  <c r="AK1990" i="3" a="1"/>
  <c r="AI1786" i="3" a="1"/>
  <c r="AK1442" i="3" a="1"/>
  <c r="AI1188" i="3" a="1"/>
  <c r="AI1150" i="3" a="1"/>
  <c r="AK905" i="3" a="1"/>
  <c r="AI700" i="3" a="1"/>
  <c r="AK500" i="3" a="1"/>
  <c r="AK328" i="3" a="1"/>
  <c r="AI96" i="3" a="1"/>
  <c r="AK917" i="3" a="1"/>
  <c r="AK107" i="3" a="1"/>
  <c r="AK898" i="3" a="1"/>
  <c r="AI1972" i="3" a="1"/>
  <c r="AI866" i="3" a="1"/>
  <c r="AK1514" i="3" a="1"/>
  <c r="AK813" i="3" a="1"/>
  <c r="AK1587" i="3" a="1"/>
  <c r="AI1145" i="3" a="1"/>
  <c r="AI2095" i="3" a="1"/>
  <c r="AI856" i="3" a="1"/>
  <c r="AK2175" i="3" a="1"/>
  <c r="AK942" i="3" a="1"/>
  <c r="AI2066" i="3" a="1"/>
  <c r="AK1800" i="3" a="1"/>
  <c r="AI1660" i="3" a="1"/>
  <c r="AI1514" i="3" a="1"/>
  <c r="AK1305" i="3" a="1"/>
  <c r="AI995" i="3" a="1"/>
  <c r="AK679" i="3" a="1"/>
  <c r="AK400" i="3" a="1"/>
  <c r="AK393" i="3" a="1"/>
  <c r="AK37" i="3" a="1"/>
  <c r="AI450" i="3" a="1"/>
  <c r="AI1623" i="3" a="1"/>
  <c r="AK386" i="3" a="1"/>
  <c r="AK1366" i="3" a="1"/>
  <c r="AK338" i="3" a="1"/>
  <c r="AK1066" i="3" a="1"/>
  <c r="AK130" i="3" a="1"/>
  <c r="AI1375" i="3" a="1"/>
  <c r="AK416" i="3" a="1"/>
  <c r="AI1380" i="3" a="1"/>
  <c r="AK294" i="3" a="1"/>
  <c r="AK1498" i="3" a="1"/>
  <c r="AK330" i="3" a="1"/>
  <c r="AI1262" i="3" a="1"/>
  <c r="AK118" i="3" a="1"/>
  <c r="AK1057" i="3" a="1"/>
  <c r="AK2141" i="3" a="1"/>
  <c r="AI717" i="3" a="1"/>
  <c r="AK1854" i="3" a="1"/>
  <c r="AI415" i="3" a="1"/>
  <c r="AI1433" i="3" a="1"/>
  <c r="AI179" i="3" a="1"/>
  <c r="AK1432" i="3" a="1"/>
  <c r="AI16" i="3" a="1"/>
  <c r="AK1868" i="3" a="1"/>
  <c r="AK922" i="3" a="1"/>
  <c r="AI1082" i="3" a="1"/>
  <c r="AI1561" i="3" a="1"/>
  <c r="AI2209" i="3" a="1"/>
  <c r="AI480" i="3" a="1"/>
  <c r="AK1882" i="3" a="1"/>
  <c r="AI2191" i="3" a="1"/>
  <c r="AK2010" i="3" a="1"/>
  <c r="AI1735" i="3" a="1"/>
  <c r="AK1548" i="3" a="1"/>
  <c r="AK1204" i="3" a="1"/>
  <c r="AK1091" i="3" a="1"/>
  <c r="AK875" i="3" a="1"/>
  <c r="AI708" i="3" a="1"/>
  <c r="AI636" i="3" a="1"/>
  <c r="AI356" i="3" a="1"/>
  <c r="AK26" i="3" a="1"/>
  <c r="AK854" i="3" a="1"/>
  <c r="AK2180" i="3" a="1"/>
  <c r="AI934" i="3" a="1"/>
  <c r="AK1912" i="3" a="1"/>
  <c r="AK486" i="3" a="1"/>
  <c r="AK1471" i="3" a="1"/>
  <c r="AK706" i="3" a="1"/>
  <c r="AK1487" i="3" a="1"/>
  <c r="AI1081" i="3" a="1"/>
  <c r="AK1988" i="3" a="1"/>
  <c r="AI1051" i="3" a="1"/>
  <c r="AI2075" i="3" a="1"/>
  <c r="AK846" i="3" a="1"/>
  <c r="AI1992" i="3" a="1"/>
  <c r="AK501" i="3" a="1"/>
  <c r="AK1351" i="3" a="1"/>
  <c r="AK192" i="3" a="1"/>
  <c r="AI1338" i="3" a="1"/>
  <c r="AI2260" i="3" a="1"/>
  <c r="AI1028" i="3" a="1"/>
  <c r="AI2103" i="3" a="1"/>
  <c r="AK997" i="3" a="1"/>
  <c r="AI1841" i="3" a="1"/>
  <c r="AI382" i="3" a="1"/>
  <c r="AI1874" i="3" a="1"/>
  <c r="AI2180" i="3" a="1"/>
  <c r="AI186" i="3" a="1"/>
  <c r="AI1364" i="3" a="1"/>
  <c r="AI1854" i="3" a="1"/>
  <c r="AI319" i="3" a="1"/>
  <c r="AK2242" i="3" a="1"/>
  <c r="AI2029" i="3" a="1"/>
  <c r="AI1842" i="3" a="1"/>
  <c r="AI1525" i="3" a="1"/>
  <c r="AI1298" i="3" a="1"/>
  <c r="AK1185" i="3" a="1"/>
  <c r="AI982" i="3" a="1"/>
  <c r="AI672" i="3" a="1"/>
  <c r="AI392" i="3" a="1"/>
  <c r="AK324" i="3" a="1"/>
  <c r="AI45" i="3" a="1"/>
  <c r="AK707" i="3" a="1"/>
  <c r="AK1806" i="3" a="1"/>
  <c r="AI885" i="3" a="1"/>
  <c r="AI1763" i="3" a="1"/>
  <c r="AI378" i="3" a="1"/>
  <c r="AI1294" i="3" a="1"/>
  <c r="AI248" i="3" a="1"/>
  <c r="AI1256" i="3" a="1"/>
  <c r="AI872" i="3" a="1"/>
  <c r="AI1587" i="3" a="1"/>
  <c r="AK682" i="3" a="1"/>
  <c r="AI1767" i="3" a="1"/>
  <c r="AI210" i="3" a="1"/>
  <c r="AK1561" i="3" a="1"/>
  <c r="AK40" i="3" a="1"/>
  <c r="AK1207" i="3" a="1"/>
  <c r="AK96" i="3" a="1"/>
  <c r="AK1184" i="3" a="1"/>
  <c r="AK2073" i="3" a="1"/>
  <c r="AK893" i="3" a="1"/>
  <c r="AI1809" i="3" a="1"/>
  <c r="AK415" i="3" a="1"/>
  <c r="AK1541" i="3" a="1"/>
  <c r="AI303" i="3" a="1"/>
  <c r="AK2048" i="3" a="1"/>
  <c r="AI2270" i="3" a="1"/>
  <c r="AI1852" i="3" a="1"/>
  <c r="AK19" i="3" a="1"/>
  <c r="AK1214" i="3" a="1"/>
  <c r="AK2094" i="3" a="1"/>
  <c r="AI1774" i="3" a="1"/>
  <c r="AK2093" i="3" a="1"/>
  <c r="AI1866" i="3" a="1"/>
  <c r="AK1626" i="3" a="1"/>
  <c r="AK1364" i="3" a="1"/>
  <c r="AI1255" i="3" a="1"/>
  <c r="AI989" i="3" a="1"/>
  <c r="AK631" i="3" a="1"/>
  <c r="AI493" i="3" a="1"/>
  <c r="AI188" i="3" a="1"/>
  <c r="AI122" i="3" a="1"/>
  <c r="AI435" i="3" a="1"/>
  <c r="AK1833" i="3" a="1"/>
  <c r="AK866" i="3" a="1"/>
  <c r="AI1362" i="3" a="1"/>
  <c r="AK290" i="3" a="1"/>
  <c r="AI1305" i="3" a="1"/>
  <c r="AI216" i="3" a="1"/>
  <c r="AK1222" i="3" a="1"/>
  <c r="AI505" i="3" a="1"/>
  <c r="AK1360" i="3" a="1"/>
  <c r="AI426" i="3" a="1"/>
  <c r="AK1544" i="3" a="1"/>
  <c r="AK387" i="3" a="1"/>
  <c r="AK2185" i="3" a="1"/>
  <c r="AK1876" i="3" a="1"/>
  <c r="AK1745" i="3" a="1"/>
  <c r="AI1423" i="3" a="1"/>
  <c r="AK1194" i="3" a="1"/>
  <c r="AI1092" i="3" a="1"/>
  <c r="AK892" i="3" a="1"/>
  <c r="AI667" i="3" a="1"/>
  <c r="AI373" i="3" a="1"/>
  <c r="AI265" i="3" a="1"/>
  <c r="AK23" i="3" a="1"/>
  <c r="AI1052" i="3" a="1"/>
  <c r="AK13" i="3" a="1"/>
  <c r="AK1082" i="3" a="1"/>
  <c r="AI2047" i="3" a="1"/>
  <c r="AI632" i="3" a="1"/>
  <c r="AK1528" i="3" a="1"/>
  <c r="AI729" i="3" a="1"/>
  <c r="AK55" i="3" a="1"/>
  <c r="AK1027" i="3" a="1"/>
  <c r="AI2223" i="3" a="1"/>
  <c r="AI1019" i="3" a="1"/>
  <c r="AI2194" i="3" a="1"/>
  <c r="AI929" i="3" a="1"/>
  <c r="AK2101" i="3" a="1"/>
  <c r="AK666" i="3" a="1"/>
  <c r="AK1554" i="3" a="1"/>
  <c r="AK474" i="3" a="1"/>
  <c r="AI1399" i="3" a="1"/>
  <c r="AI50" i="3" a="1"/>
  <c r="AI1158" i="3" a="1"/>
  <c r="AK2153" i="3" a="1"/>
  <c r="AK915" i="3" a="1"/>
  <c r="AI1967" i="3" a="1"/>
  <c r="AI1187" i="3" a="1"/>
  <c r="AI695" i="3" a="1"/>
  <c r="AK2043" i="3" a="1"/>
  <c r="AI53" i="3" a="1"/>
  <c r="AK1035" i="3" a="1"/>
  <c r="AI1564" i="3" a="1"/>
  <c r="AI106" i="3" a="1"/>
  <c r="AI2037" i="3" a="1"/>
  <c r="AI2037" i="3" l="1"/>
  <c r="AD2037" i="3" s="1"/>
  <c r="AK2203" i="3"/>
  <c r="AB2203" i="3" s="1"/>
  <c r="AK1078" i="3"/>
  <c r="AB1078" i="3" s="1"/>
  <c r="AK1052" i="3"/>
  <c r="AB1052" i="3" s="1"/>
  <c r="AK1306" i="3"/>
  <c r="AB1306" i="3" s="1"/>
  <c r="AK2155" i="3"/>
  <c r="AB2155" i="3" s="1"/>
  <c r="AI1296" i="3"/>
  <c r="AD1296" i="3" s="1"/>
  <c r="AI666" i="3"/>
  <c r="AD666" i="3" s="1"/>
  <c r="AI1345" i="3"/>
  <c r="AD1345" i="3" s="1"/>
  <c r="AK1882" i="3"/>
  <c r="AB1882" i="3" s="1"/>
  <c r="AI2282" i="3"/>
  <c r="AD2282" i="3" s="1"/>
  <c r="AK479" i="3"/>
  <c r="AB479" i="3" s="1"/>
  <c r="AI1447" i="3"/>
  <c r="AD1447" i="3" s="1"/>
  <c r="AK1784" i="3"/>
  <c r="AB1784" i="3" s="1"/>
  <c r="AK236" i="3"/>
  <c r="AB236" i="3" s="1"/>
  <c r="AK315" i="3"/>
  <c r="AB315" i="3" s="1"/>
  <c r="AI106" i="3"/>
  <c r="AD106" i="3" s="1"/>
  <c r="AK2213" i="3"/>
  <c r="AB2213" i="3" s="1"/>
  <c r="AI2039" i="3"/>
  <c r="AD2039" i="3" s="1"/>
  <c r="AI1787" i="3"/>
  <c r="AD1787" i="3" s="1"/>
  <c r="AK1604" i="3"/>
  <c r="AI1383" i="3"/>
  <c r="AD1383" i="3" s="1"/>
  <c r="AK1296" i="3"/>
  <c r="AB1296" i="3" s="1"/>
  <c r="AK1049" i="3"/>
  <c r="AB1049" i="3" s="1"/>
  <c r="AK812" i="3"/>
  <c r="AI480" i="3"/>
  <c r="AD480" i="3" s="1"/>
  <c r="AI507" i="3"/>
  <c r="AD507" i="3" s="1"/>
  <c r="AI293" i="3"/>
  <c r="AD293" i="3" s="1"/>
  <c r="AK16" i="3"/>
  <c r="AB16" i="3" s="1"/>
  <c r="AK2251" i="3"/>
  <c r="AB2251" i="3" s="1"/>
  <c r="AI2035" i="3"/>
  <c r="AD2035" i="3" s="1"/>
  <c r="AK1787" i="3"/>
  <c r="AB1787" i="3" s="1"/>
  <c r="AI1564" i="3"/>
  <c r="AD1564" i="3" s="1"/>
  <c r="AK1265" i="3"/>
  <c r="AB1265" i="3" s="1"/>
  <c r="AK1136" i="3"/>
  <c r="AB1136" i="3" s="1"/>
  <c r="AK1065" i="3"/>
  <c r="AB1065" i="3" s="1"/>
  <c r="AI965" i="3"/>
  <c r="AD965" i="3" s="1"/>
  <c r="AK633" i="3"/>
  <c r="AK421" i="3"/>
  <c r="AB421" i="3" s="1"/>
  <c r="AI234" i="3"/>
  <c r="AD234" i="3" s="1"/>
  <c r="AI87" i="3"/>
  <c r="AD87" i="3" s="1"/>
  <c r="AI2209" i="3"/>
  <c r="AD2209" i="3" s="1"/>
  <c r="AK2029" i="3"/>
  <c r="AB2029" i="3" s="1"/>
  <c r="AI1811" i="3"/>
  <c r="AD1811" i="3" s="1"/>
  <c r="AK1584" i="3"/>
  <c r="AI1443" i="3"/>
  <c r="AD1443" i="3" s="1"/>
  <c r="AI1220" i="3"/>
  <c r="AD1220" i="3" s="1"/>
  <c r="AK1155" i="3"/>
  <c r="AB1155" i="3" s="1"/>
  <c r="AK1035" i="3"/>
  <c r="AB1035" i="3" s="1"/>
  <c r="AK477" i="3"/>
  <c r="AB477" i="3" s="1"/>
  <c r="AK409" i="3"/>
  <c r="AB409" i="3" s="1"/>
  <c r="AK54" i="3"/>
  <c r="AB54" i="3" s="1"/>
  <c r="AI139" i="3"/>
  <c r="AD139" i="3" s="1"/>
  <c r="AK2211" i="3"/>
  <c r="AB2211" i="3" s="1"/>
  <c r="AK2181" i="3"/>
  <c r="AB2181" i="3" s="1"/>
  <c r="AK2039" i="3"/>
  <c r="AB2039" i="3" s="1"/>
  <c r="AI1744" i="3"/>
  <c r="AD1744" i="3" s="1"/>
  <c r="AI1561" i="3"/>
  <c r="AD1561" i="3" s="1"/>
  <c r="AK1309" i="3"/>
  <c r="AB1309" i="3" s="1"/>
  <c r="AK1250" i="3"/>
  <c r="AB1250" i="3" s="1"/>
  <c r="AI1021" i="3"/>
  <c r="AD1021" i="3" s="1"/>
  <c r="AI804" i="3"/>
  <c r="AD804" i="3" s="1"/>
  <c r="AI566" i="3"/>
  <c r="AD566" i="3" s="1"/>
  <c r="AI441" i="3"/>
  <c r="AD441" i="3" s="1"/>
  <c r="AI53" i="3"/>
  <c r="AD53" i="3" s="1"/>
  <c r="AI19" i="3"/>
  <c r="AD19" i="3" s="1"/>
  <c r="AI2225" i="3"/>
  <c r="AD2225" i="3" s="1"/>
  <c r="AK2200" i="3"/>
  <c r="AB2200" i="3" s="1"/>
  <c r="AK1979" i="3"/>
  <c r="AB1979" i="3" s="1"/>
  <c r="AK1766" i="3"/>
  <c r="AB1766" i="3" s="1"/>
  <c r="AK1506" i="3"/>
  <c r="AB1506" i="3" s="1"/>
  <c r="AK1290" i="3"/>
  <c r="AB1290" i="3" s="1"/>
  <c r="AI1105" i="3"/>
  <c r="AD1105" i="3" s="1"/>
  <c r="AI1082" i="3"/>
  <c r="AD1082" i="3" s="1"/>
  <c r="AK2288" i="3"/>
  <c r="AB2288" i="3" s="1"/>
  <c r="AI2119" i="3"/>
  <c r="AD2119" i="3" s="1"/>
  <c r="AK1743" i="3"/>
  <c r="AK1046" i="3"/>
  <c r="AB1046" i="3" s="1"/>
  <c r="AI2249" i="3"/>
  <c r="AD2249" i="3" s="1"/>
  <c r="AK2119" i="3"/>
  <c r="AB2119" i="3" s="1"/>
  <c r="AK2043" i="3"/>
  <c r="AB2043" i="3" s="1"/>
  <c r="AI1439" i="3"/>
  <c r="AD1439" i="3" s="1"/>
  <c r="AI2100" i="3"/>
  <c r="AD2100" i="3" s="1"/>
  <c r="AK1801" i="3"/>
  <c r="AB1801" i="3" s="1"/>
  <c r="AI1384" i="3"/>
  <c r="AD1384" i="3" s="1"/>
  <c r="AK499" i="3"/>
  <c r="AB499" i="3" s="1"/>
  <c r="AI2221" i="3"/>
  <c r="AD2221" i="3" s="1"/>
  <c r="AK1344" i="3"/>
  <c r="AB1344" i="3" s="1"/>
  <c r="AI1218" i="3"/>
  <c r="AD1218" i="3" s="1"/>
  <c r="AK922" i="3"/>
  <c r="AK422" i="3"/>
  <c r="AB422" i="3" s="1"/>
  <c r="AK1722" i="3"/>
  <c r="AK417" i="3"/>
  <c r="AI1775" i="3"/>
  <c r="AD1775" i="3" s="1"/>
  <c r="AK488" i="3"/>
  <c r="AB488" i="3" s="1"/>
  <c r="AI1630" i="3"/>
  <c r="AD1630" i="3" s="1"/>
  <c r="AI695" i="3"/>
  <c r="AD695" i="3" s="1"/>
  <c r="AI2215" i="3"/>
  <c r="AD2215" i="3" s="1"/>
  <c r="AK1821" i="3"/>
  <c r="AB1821" i="3" s="1"/>
  <c r="AK1488" i="3"/>
  <c r="AB1488" i="3" s="1"/>
  <c r="AI2290" i="3"/>
  <c r="AD2290" i="3" s="1"/>
  <c r="AK2107" i="3"/>
  <c r="AB2107" i="3" s="1"/>
  <c r="AI1903" i="3"/>
  <c r="AD1903" i="3" s="1"/>
  <c r="AK1199" i="3"/>
  <c r="AB1199" i="3" s="1"/>
  <c r="AK2290" i="3"/>
  <c r="AB2290" i="3" s="1"/>
  <c r="AK1868" i="3"/>
  <c r="AB1868" i="3" s="1"/>
  <c r="AK937" i="3"/>
  <c r="AB937" i="3" s="1"/>
  <c r="AI2182" i="3"/>
  <c r="AD2182" i="3" s="1"/>
  <c r="AI1797" i="3"/>
  <c r="AD1797" i="3" s="1"/>
  <c r="AI1090" i="3"/>
  <c r="AD1090" i="3" s="1"/>
  <c r="AI2234" i="3"/>
  <c r="AD2234" i="3" s="1"/>
  <c r="AI1835" i="3"/>
  <c r="AD1835" i="3" s="1"/>
  <c r="AI1187" i="3"/>
  <c r="AD1187" i="3" s="1"/>
  <c r="AK380" i="3"/>
  <c r="AK378" i="3"/>
  <c r="AI347" i="3"/>
  <c r="AD347" i="3" s="1"/>
  <c r="AK347" i="3"/>
  <c r="AB347" i="3" s="1"/>
  <c r="AK221" i="3"/>
  <c r="AB221" i="3" s="1"/>
  <c r="AI316" i="3"/>
  <c r="AD316" i="3" s="1"/>
  <c r="AI275" i="3"/>
  <c r="AD275" i="3" s="1"/>
  <c r="AI27" i="3"/>
  <c r="AD27" i="3" s="1"/>
  <c r="AI16" i="3"/>
  <c r="AD16" i="3" s="1"/>
  <c r="AK2262" i="3"/>
  <c r="AB2262" i="3" s="1"/>
  <c r="AK2276" i="3"/>
  <c r="AB2276" i="3" s="1"/>
  <c r="AI2251" i="3"/>
  <c r="AD2251" i="3" s="1"/>
  <c r="AI2088" i="3"/>
  <c r="AD2088" i="3" s="1"/>
  <c r="AI2117" i="3"/>
  <c r="AD2117" i="3" s="1"/>
  <c r="AK2042" i="3"/>
  <c r="AB2042" i="3" s="1"/>
  <c r="AI1967" i="3"/>
  <c r="AD1967" i="3" s="1"/>
  <c r="AK1879" i="3"/>
  <c r="AB1879" i="3" s="1"/>
  <c r="AK1813" i="3"/>
  <c r="AB1813" i="3" s="1"/>
  <c r="AK1770" i="3"/>
  <c r="AB1770" i="3" s="1"/>
  <c r="AI1617" i="3"/>
  <c r="AD1617" i="3" s="1"/>
  <c r="AK1459" i="3"/>
  <c r="AB1459" i="3" s="1"/>
  <c r="AK1447" i="3"/>
  <c r="AB1447" i="3" s="1"/>
  <c r="AI1386" i="3"/>
  <c r="AD1386" i="3" s="1"/>
  <c r="AK1345" i="3"/>
  <c r="AB1345" i="3" s="1"/>
  <c r="AK1432" i="3"/>
  <c r="AB1432" i="3" s="1"/>
  <c r="AK1282" i="3"/>
  <c r="AB1282" i="3" s="1"/>
  <c r="AI1155" i="3"/>
  <c r="AD1155" i="3" s="1"/>
  <c r="AK1279" i="3"/>
  <c r="AB1279" i="3" s="1"/>
  <c r="AI1228" i="3"/>
  <c r="AD1228" i="3" s="1"/>
  <c r="AI1065" i="3"/>
  <c r="AD1065" i="3" s="1"/>
  <c r="AK1042" i="3"/>
  <c r="AB1042" i="3" s="1"/>
  <c r="AK915" i="3"/>
  <c r="AB915" i="3" s="1"/>
  <c r="AI913" i="3"/>
  <c r="AD913" i="3" s="1"/>
  <c r="AK921" i="3"/>
  <c r="AK695" i="3"/>
  <c r="AI901" i="3"/>
  <c r="AD901" i="3" s="1"/>
  <c r="AK406" i="3"/>
  <c r="AB406" i="3" s="1"/>
  <c r="AI479" i="3"/>
  <c r="AD479" i="3" s="1"/>
  <c r="AK375" i="3"/>
  <c r="AB375" i="3" s="1"/>
  <c r="AK403" i="3"/>
  <c r="AB403" i="3" s="1"/>
  <c r="AI179" i="3"/>
  <c r="AD179" i="3" s="1"/>
  <c r="AI183" i="3"/>
  <c r="AD183" i="3" s="1"/>
  <c r="AI56" i="3"/>
  <c r="AD56" i="3" s="1"/>
  <c r="AK33" i="3"/>
  <c r="AB33" i="3" s="1"/>
  <c r="AK53" i="3"/>
  <c r="AB53" i="3" s="1"/>
  <c r="AK2240" i="3"/>
  <c r="AB2240" i="3" s="1"/>
  <c r="AK2227" i="3"/>
  <c r="AB2227" i="3" s="1"/>
  <c r="AK2153" i="3"/>
  <c r="AB2153" i="3" s="1"/>
  <c r="AK2117" i="3"/>
  <c r="AB2117" i="3" s="1"/>
  <c r="AI1999" i="3"/>
  <c r="AD1999" i="3" s="1"/>
  <c r="AK2038" i="3"/>
  <c r="AB2038" i="3" s="1"/>
  <c r="AI1868" i="3"/>
  <c r="AD1868" i="3" s="1"/>
  <c r="AI1805" i="3"/>
  <c r="AD1805" i="3" s="1"/>
  <c r="AI1782" i="3"/>
  <c r="AD1782" i="3" s="1"/>
  <c r="AI1771" i="3"/>
  <c r="AD1771" i="3" s="1"/>
  <c r="AK1565" i="3"/>
  <c r="AI1433" i="3"/>
  <c r="AD1433" i="3" s="1"/>
  <c r="AK1399" i="3"/>
  <c r="AB1399" i="3" s="1"/>
  <c r="AI1378" i="3"/>
  <c r="AD1378" i="3" s="1"/>
  <c r="AK1263" i="3"/>
  <c r="AB1263" i="3" s="1"/>
  <c r="AK1303" i="3"/>
  <c r="AB1303" i="3" s="1"/>
  <c r="AK1211" i="3"/>
  <c r="AB1211" i="3" s="1"/>
  <c r="AK1169" i="3"/>
  <c r="AB1169" i="3" s="1"/>
  <c r="AI1158" i="3"/>
  <c r="AD1158" i="3" s="1"/>
  <c r="AI1115" i="3"/>
  <c r="AD1115" i="3" s="1"/>
  <c r="AI930" i="3"/>
  <c r="AD930" i="3" s="1"/>
  <c r="AI988" i="3"/>
  <c r="AD988" i="3" s="1"/>
  <c r="AK896" i="3"/>
  <c r="AB896" i="3" s="1"/>
  <c r="AK861" i="3"/>
  <c r="AB861" i="3" s="1"/>
  <c r="AI702" i="3"/>
  <c r="AD702" i="3" s="1"/>
  <c r="AK480" i="3"/>
  <c r="AB480" i="3" s="1"/>
  <c r="AK901" i="3"/>
  <c r="AB901" i="3" s="1"/>
  <c r="AI415" i="3"/>
  <c r="AD415" i="3" s="1"/>
  <c r="AK445" i="3"/>
  <c r="AB445" i="3" s="1"/>
  <c r="AK507" i="3"/>
  <c r="AB507" i="3" s="1"/>
  <c r="AI291" i="3"/>
  <c r="AD291" i="3" s="1"/>
  <c r="AK326" i="3"/>
  <c r="AB326" i="3" s="1"/>
  <c r="AI281" i="3"/>
  <c r="AD281" i="3" s="1"/>
  <c r="AI348" i="3"/>
  <c r="AD348" i="3" s="1"/>
  <c r="AI50" i="3"/>
  <c r="AD50" i="3" s="1"/>
  <c r="AK103" i="3"/>
  <c r="AB103" i="3" s="1"/>
  <c r="AK2256" i="3"/>
  <c r="AB2256" i="3" s="1"/>
  <c r="AK2243" i="3"/>
  <c r="AB2243" i="3" s="1"/>
  <c r="AK2226" i="3"/>
  <c r="AB2226" i="3" s="1"/>
  <c r="AK2195" i="3"/>
  <c r="AB2195" i="3" s="1"/>
  <c r="AK2105" i="3"/>
  <c r="AB2105" i="3" s="1"/>
  <c r="AK2053" i="3"/>
  <c r="AB2053" i="3" s="1"/>
  <c r="AK2017" i="3"/>
  <c r="AB2017" i="3" s="1"/>
  <c r="AK1854" i="3"/>
  <c r="AB1854" i="3" s="1"/>
  <c r="AK1962" i="3"/>
  <c r="AB1962" i="3" s="1"/>
  <c r="AK1751" i="3"/>
  <c r="AK1660" i="3"/>
  <c r="AI1554" i="3"/>
  <c r="AD1554" i="3" s="1"/>
  <c r="AK1540" i="3"/>
  <c r="AB1540" i="3" s="1"/>
  <c r="AK1433" i="3"/>
  <c r="AB1433" i="3" s="1"/>
  <c r="AI1399" i="3"/>
  <c r="AD1399" i="3" s="1"/>
  <c r="AK1257" i="3"/>
  <c r="AB1257" i="3" s="1"/>
  <c r="AI1258" i="3"/>
  <c r="AD1258" i="3" s="1"/>
  <c r="AK1292" i="3"/>
  <c r="AB1292" i="3" s="1"/>
  <c r="AK1201" i="3"/>
  <c r="AB1201" i="3" s="1"/>
  <c r="AI1215" i="3"/>
  <c r="AD1215" i="3" s="1"/>
  <c r="AI1106" i="3"/>
  <c r="AD1106" i="3" s="1"/>
  <c r="AI904" i="3"/>
  <c r="AD904" i="3" s="1"/>
  <c r="AI890" i="3"/>
  <c r="AD890" i="3" s="1"/>
  <c r="AI717" i="3"/>
  <c r="AD717" i="3" s="1"/>
  <c r="AK636" i="3"/>
  <c r="AI711" i="3"/>
  <c r="AD711" i="3" s="1"/>
  <c r="AK419" i="3"/>
  <c r="AB419" i="3" s="1"/>
  <c r="AI466" i="3"/>
  <c r="AD466" i="3" s="1"/>
  <c r="AK493" i="3"/>
  <c r="AB493" i="3" s="1"/>
  <c r="AI407" i="3"/>
  <c r="AD407" i="3" s="1"/>
  <c r="AK474" i="3"/>
  <c r="AB474" i="3" s="1"/>
  <c r="AK177" i="3"/>
  <c r="AB177" i="3" s="1"/>
  <c r="AK144" i="3"/>
  <c r="AB144" i="3" s="1"/>
  <c r="AI118" i="3"/>
  <c r="AD118" i="3" s="1"/>
  <c r="AK80" i="3"/>
  <c r="AB80" i="3" s="1"/>
  <c r="AK22" i="3"/>
  <c r="AB22" i="3" s="1"/>
  <c r="AK28" i="3"/>
  <c r="AB28" i="3" s="1"/>
  <c r="AK2280" i="3"/>
  <c r="AB2280" i="3" s="1"/>
  <c r="AI2232" i="3"/>
  <c r="AD2232" i="3" s="1"/>
  <c r="AK2141" i="3"/>
  <c r="AB2141" i="3" s="1"/>
  <c r="AI2102" i="3"/>
  <c r="AD2102" i="3" s="1"/>
  <c r="AK2044" i="3"/>
  <c r="AB2044" i="3" s="1"/>
  <c r="AK1856" i="3"/>
  <c r="AB1856" i="3" s="1"/>
  <c r="AK1789" i="3"/>
  <c r="AB1789" i="3" s="1"/>
  <c r="AK1755" i="3"/>
  <c r="AB1755" i="3" s="1"/>
  <c r="AI1626" i="3"/>
  <c r="AD1626" i="3" s="1"/>
  <c r="AK1554" i="3"/>
  <c r="AB1554" i="3" s="1"/>
  <c r="AI1531" i="3"/>
  <c r="AD1531" i="3" s="1"/>
  <c r="AI1397" i="3"/>
  <c r="AD1397" i="3" s="1"/>
  <c r="AI1212" i="3"/>
  <c r="AD1212" i="3" s="1"/>
  <c r="AI1288" i="3"/>
  <c r="AD1288" i="3" s="1"/>
  <c r="AI1165" i="3"/>
  <c r="AD1165" i="3" s="1"/>
  <c r="AK1200" i="3"/>
  <c r="AB1200" i="3" s="1"/>
  <c r="AI1184" i="3"/>
  <c r="AD1184" i="3" s="1"/>
  <c r="AK1047" i="3"/>
  <c r="AB1047" i="3" s="1"/>
  <c r="AK1057" i="3"/>
  <c r="AB1057" i="3" s="1"/>
  <c r="AK874" i="3"/>
  <c r="AI946" i="3"/>
  <c r="AD946" i="3" s="1"/>
  <c r="AK888" i="3"/>
  <c r="AB888" i="3" s="1"/>
  <c r="AI1024" i="3"/>
  <c r="AD1024" i="3" s="1"/>
  <c r="AI687" i="3"/>
  <c r="AD687" i="3" s="1"/>
  <c r="AI634" i="3"/>
  <c r="AD634" i="3" s="1"/>
  <c r="AK666" i="3"/>
  <c r="AK800" i="3"/>
  <c r="AB800" i="3" s="1"/>
  <c r="AI402" i="3"/>
  <c r="AD402" i="3" s="1"/>
  <c r="AI211" i="3"/>
  <c r="AD211" i="3" s="1"/>
  <c r="AI399" i="3"/>
  <c r="AD399" i="3" s="1"/>
  <c r="AI387" i="3"/>
  <c r="AD387" i="3" s="1"/>
  <c r="AI395" i="3"/>
  <c r="AD395" i="3" s="1"/>
  <c r="AK489" i="3"/>
  <c r="AB489" i="3" s="1"/>
  <c r="AI176" i="3"/>
  <c r="AD176" i="3" s="1"/>
  <c r="AK118" i="3"/>
  <c r="AB118" i="3" s="1"/>
  <c r="AI79" i="3"/>
  <c r="AD79" i="3" s="1"/>
  <c r="AK20" i="3"/>
  <c r="AB20" i="3" s="1"/>
  <c r="AI2280" i="3"/>
  <c r="AD2280" i="3" s="1"/>
  <c r="AI2216" i="3"/>
  <c r="AD2216" i="3" s="1"/>
  <c r="AK2232" i="3"/>
  <c r="AB2232" i="3" s="1"/>
  <c r="AK2125" i="3"/>
  <c r="AB2125" i="3" s="1"/>
  <c r="AK2101" i="3"/>
  <c r="AB2101" i="3" s="1"/>
  <c r="AK2097" i="3"/>
  <c r="AB2097" i="3" s="1"/>
  <c r="AK2006" i="3"/>
  <c r="AB2006" i="3" s="1"/>
  <c r="AI1846" i="3"/>
  <c r="AD1846" i="3" s="1"/>
  <c r="AI1708" i="3"/>
  <c r="AD1708" i="3" s="1"/>
  <c r="AK1690" i="3"/>
  <c r="AI1504" i="3"/>
  <c r="AD1504" i="3" s="1"/>
  <c r="AK1377" i="3"/>
  <c r="AB1377" i="3" s="1"/>
  <c r="AK1416" i="3"/>
  <c r="AB1416" i="3" s="1"/>
  <c r="AI1262" i="3"/>
  <c r="AD1262" i="3" s="1"/>
  <c r="AI1204" i="3"/>
  <c r="AD1204" i="3" s="1"/>
  <c r="AI1234" i="3"/>
  <c r="AD1234" i="3" s="1"/>
  <c r="AK1179" i="3"/>
  <c r="AB1179" i="3" s="1"/>
  <c r="AK1088" i="3"/>
  <c r="AB1088" i="3" s="1"/>
  <c r="AK1019" i="3"/>
  <c r="AB1019" i="3" s="1"/>
  <c r="AI1231" i="3"/>
  <c r="AD1231" i="3" s="1"/>
  <c r="AI929" i="3"/>
  <c r="AD929" i="3" s="1"/>
  <c r="AK1024" i="3"/>
  <c r="AB1024" i="3" s="1"/>
  <c r="AK687" i="3"/>
  <c r="AI906" i="3"/>
  <c r="AD906" i="3" s="1"/>
  <c r="AI456" i="3"/>
  <c r="AD456" i="3" s="1"/>
  <c r="AK402" i="3"/>
  <c r="AB402" i="3" s="1"/>
  <c r="AK441" i="3"/>
  <c r="AB441" i="3" s="1"/>
  <c r="AK399" i="3"/>
  <c r="AB399" i="3" s="1"/>
  <c r="AK455" i="3"/>
  <c r="AB455" i="3" s="1"/>
  <c r="AK330" i="3"/>
  <c r="AB330" i="3" s="1"/>
  <c r="AI240" i="3"/>
  <c r="AD240" i="3" s="1"/>
  <c r="AI489" i="3"/>
  <c r="AD489" i="3" s="1"/>
  <c r="AK252" i="3"/>
  <c r="AB252" i="3" s="1"/>
  <c r="AI84" i="3"/>
  <c r="AD84" i="3" s="1"/>
  <c r="AK25" i="3"/>
  <c r="AB25" i="3" s="1"/>
  <c r="AK2271" i="3"/>
  <c r="AB2271" i="3" s="1"/>
  <c r="AI2194" i="3"/>
  <c r="AD2194" i="3" s="1"/>
  <c r="AK2223" i="3"/>
  <c r="AB2223" i="3" s="1"/>
  <c r="AI2043" i="3"/>
  <c r="AD2043" i="3" s="1"/>
  <c r="AK2095" i="3"/>
  <c r="AB2095" i="3" s="1"/>
  <c r="AK1926" i="3"/>
  <c r="AB1926" i="3" s="1"/>
  <c r="AK1893" i="3"/>
  <c r="AB1893" i="3" s="1"/>
  <c r="AK1814" i="3"/>
  <c r="AB1814" i="3" s="1"/>
  <c r="AK1746" i="3"/>
  <c r="AI1518" i="3"/>
  <c r="AD1518" i="3" s="1"/>
  <c r="AK1498" i="3"/>
  <c r="AB1498" i="3" s="1"/>
  <c r="AI1360" i="3"/>
  <c r="AD1360" i="3" s="1"/>
  <c r="AK1393" i="3"/>
  <c r="AB1393" i="3" s="1"/>
  <c r="AI1240" i="3"/>
  <c r="AD1240" i="3" s="1"/>
  <c r="AK1227" i="3"/>
  <c r="AB1227" i="3" s="1"/>
  <c r="AK1153" i="3"/>
  <c r="AB1153" i="3" s="1"/>
  <c r="AK1079" i="3"/>
  <c r="AB1079" i="3" s="1"/>
  <c r="AI1019" i="3"/>
  <c r="AD1019" i="3" s="1"/>
  <c r="AK962" i="3"/>
  <c r="AB962" i="3" s="1"/>
  <c r="AK881" i="3"/>
  <c r="AB881" i="3" s="1"/>
  <c r="AI944" i="3"/>
  <c r="AD944" i="3" s="1"/>
  <c r="AK919" i="3"/>
  <c r="AI715" i="3"/>
  <c r="AD715" i="3" s="1"/>
  <c r="AI446" i="3"/>
  <c r="AD446" i="3" s="1"/>
  <c r="AI430" i="3"/>
  <c r="AD430" i="3" s="1"/>
  <c r="AK456" i="3"/>
  <c r="AB456" i="3" s="1"/>
  <c r="AK294" i="3"/>
  <c r="AB294" i="3" s="1"/>
  <c r="AI298" i="3"/>
  <c r="AD298" i="3" s="1"/>
  <c r="AI133" i="3"/>
  <c r="AD133" i="3" s="1"/>
  <c r="AK24" i="3"/>
  <c r="AB24" i="3" s="1"/>
  <c r="AI31" i="3"/>
  <c r="AD31" i="3" s="1"/>
  <c r="AI25" i="3"/>
  <c r="AD25" i="3" s="1"/>
  <c r="AK2279" i="3"/>
  <c r="AB2279" i="3" s="1"/>
  <c r="AI2223" i="3"/>
  <c r="AD2223" i="3" s="1"/>
  <c r="AK2087" i="3"/>
  <c r="AB2087" i="3" s="1"/>
  <c r="AI2008" i="3"/>
  <c r="AD2008" i="3" s="1"/>
  <c r="AK1895" i="3"/>
  <c r="AB1895" i="3" s="1"/>
  <c r="AK1764" i="3"/>
  <c r="AB1764" i="3" s="1"/>
  <c r="AI1749" i="3"/>
  <c r="AD1749" i="3" s="1"/>
  <c r="AK1545" i="3"/>
  <c r="AB1545" i="3" s="1"/>
  <c r="AK1495" i="3"/>
  <c r="AB1495" i="3" s="1"/>
  <c r="AI1381" i="3"/>
  <c r="AD1381" i="3" s="1"/>
  <c r="AI1380" i="3"/>
  <c r="AD1380" i="3" s="1"/>
  <c r="AK1343" i="3"/>
  <c r="AB1343" i="3" s="1"/>
  <c r="AK1357" i="3"/>
  <c r="AB1357" i="3" s="1"/>
  <c r="AI1199" i="3"/>
  <c r="AD1199" i="3" s="1"/>
  <c r="AK1134" i="3"/>
  <c r="AB1134" i="3" s="1"/>
  <c r="AK1171" i="3"/>
  <c r="AB1171" i="3" s="1"/>
  <c r="AK1223" i="3"/>
  <c r="AB1223" i="3" s="1"/>
  <c r="AK1027" i="3"/>
  <c r="AB1027" i="3" s="1"/>
  <c r="AK1104" i="3"/>
  <c r="AB1104" i="3" s="1"/>
  <c r="AK1002" i="3"/>
  <c r="AB1002" i="3" s="1"/>
  <c r="AK1051" i="3"/>
  <c r="AB1051" i="3" s="1"/>
  <c r="AI1005" i="3"/>
  <c r="AD1005" i="3" s="1"/>
  <c r="AK863" i="3"/>
  <c r="AB863" i="3" s="1"/>
  <c r="AK678" i="3"/>
  <c r="AI689" i="3"/>
  <c r="AD689" i="3" s="1"/>
  <c r="AI490" i="3"/>
  <c r="AD490" i="3" s="1"/>
  <c r="AK416" i="3"/>
  <c r="AB416" i="3" s="1"/>
  <c r="AI448" i="3"/>
  <c r="AD448" i="3" s="1"/>
  <c r="AI496" i="3"/>
  <c r="AD496" i="3" s="1"/>
  <c r="AK201" i="3"/>
  <c r="AB201" i="3" s="1"/>
  <c r="AI40" i="3"/>
  <c r="AD40" i="3" s="1"/>
  <c r="AK9" i="3"/>
  <c r="AB9" i="3" s="1"/>
  <c r="AK31" i="3"/>
  <c r="AB31" i="3" s="1"/>
  <c r="AK55" i="3"/>
  <c r="AB55" i="3" s="1"/>
  <c r="AK73" i="3"/>
  <c r="AB73" i="3" s="1"/>
  <c r="AK1508" i="3"/>
  <c r="AB1508" i="3" s="1"/>
  <c r="AI1419" i="3"/>
  <c r="AD1419" i="3" s="1"/>
  <c r="AK1381" i="3"/>
  <c r="AB1381" i="3" s="1"/>
  <c r="AK1388" i="3"/>
  <c r="AB1388" i="3" s="1"/>
  <c r="AI1357" i="3"/>
  <c r="AD1357" i="3" s="1"/>
  <c r="AI1250" i="3"/>
  <c r="AD1250" i="3" s="1"/>
  <c r="AK1268" i="3"/>
  <c r="AB1268" i="3" s="1"/>
  <c r="AI1375" i="3"/>
  <c r="AD1375" i="3" s="1"/>
  <c r="AI1274" i="3"/>
  <c r="AD1274" i="3" s="1"/>
  <c r="AK1060" i="3"/>
  <c r="AB1060" i="3" s="1"/>
  <c r="AI1011" i="3"/>
  <c r="AD1011" i="3" s="1"/>
  <c r="AK1145" i="3"/>
  <c r="AB1145" i="3" s="1"/>
  <c r="AI818" i="3"/>
  <c r="AD818" i="3" s="1"/>
  <c r="AK1038" i="3"/>
  <c r="AB1038" i="3" s="1"/>
  <c r="AI729" i="3"/>
  <c r="AD729" i="3" s="1"/>
  <c r="AK853" i="3"/>
  <c r="AB853" i="3" s="1"/>
  <c r="AI847" i="3"/>
  <c r="AD847" i="3" s="1"/>
  <c r="AI494" i="3"/>
  <c r="AD494" i="3" s="1"/>
  <c r="AI222" i="3"/>
  <c r="AD222" i="3" s="1"/>
  <c r="AK425" i="3"/>
  <c r="AB425" i="3" s="1"/>
  <c r="AI284" i="3"/>
  <c r="AD284" i="3" s="1"/>
  <c r="AI290" i="3"/>
  <c r="AD290" i="3" s="1"/>
  <c r="AK255" i="3"/>
  <c r="AB255" i="3" s="1"/>
  <c r="AK130" i="3"/>
  <c r="AB130" i="3" s="1"/>
  <c r="AK15" i="3"/>
  <c r="AB15" i="3" s="1"/>
  <c r="AK1984" i="3"/>
  <c r="AB1984" i="3" s="1"/>
  <c r="AK1900" i="3"/>
  <c r="AB1900" i="3" s="1"/>
  <c r="AK1874" i="3"/>
  <c r="AB1874" i="3" s="1"/>
  <c r="AI1873" i="3"/>
  <c r="AD1873" i="3" s="1"/>
  <c r="AI1795" i="3"/>
  <c r="AD1795" i="3" s="1"/>
  <c r="AK1528" i="3"/>
  <c r="AB1528" i="3" s="1"/>
  <c r="AK1463" i="3"/>
  <c r="AB1463" i="3" s="1"/>
  <c r="AK1492" i="3"/>
  <c r="AB1492" i="3" s="1"/>
  <c r="AI1489" i="3"/>
  <c r="AD1489" i="3" s="1"/>
  <c r="AI1414" i="3"/>
  <c r="AD1414" i="3" s="1"/>
  <c r="AK1135" i="3"/>
  <c r="AB1135" i="3" s="1"/>
  <c r="AI1235" i="3"/>
  <c r="AD1235" i="3" s="1"/>
  <c r="AK1352" i="3"/>
  <c r="AB1352" i="3" s="1"/>
  <c r="AI1079" i="3"/>
  <c r="AD1079" i="3" s="1"/>
  <c r="AK1066" i="3"/>
  <c r="AB1066" i="3" s="1"/>
  <c r="AI1102" i="3"/>
  <c r="AD1102" i="3" s="1"/>
  <c r="AK940" i="3"/>
  <c r="AB940" i="3" s="1"/>
  <c r="AI1037" i="3"/>
  <c r="AD1037" i="3" s="1"/>
  <c r="AK864" i="3"/>
  <c r="AI908" i="3"/>
  <c r="AD908" i="3" s="1"/>
  <c r="AI703" i="3"/>
  <c r="AD703" i="3" s="1"/>
  <c r="AI632" i="3"/>
  <c r="AD632" i="3" s="1"/>
  <c r="AK459" i="3"/>
  <c r="AB459" i="3" s="1"/>
  <c r="AK506" i="3"/>
  <c r="AB506" i="3" s="1"/>
  <c r="AI383" i="3"/>
  <c r="AD383" i="3" s="1"/>
  <c r="AK263" i="3"/>
  <c r="AB263" i="3" s="1"/>
  <c r="AK313" i="3"/>
  <c r="AB313" i="3" s="1"/>
  <c r="AK198" i="3"/>
  <c r="AB198" i="3" s="1"/>
  <c r="AI352" i="3"/>
  <c r="AD352" i="3" s="1"/>
  <c r="AI78" i="3"/>
  <c r="AD78" i="3" s="1"/>
  <c r="AK338" i="3"/>
  <c r="AB338" i="3" s="1"/>
  <c r="AI13" i="3"/>
  <c r="AD13" i="3" s="1"/>
  <c r="AI21" i="3"/>
  <c r="AD21" i="3" s="1"/>
  <c r="AK115" i="3"/>
  <c r="AB115" i="3" s="1"/>
  <c r="AI2264" i="3"/>
  <c r="AD2264" i="3" s="1"/>
  <c r="AI2212" i="3"/>
  <c r="AD2212" i="3" s="1"/>
  <c r="AK2169" i="3"/>
  <c r="AB2169" i="3" s="1"/>
  <c r="AI2047" i="3"/>
  <c r="AD2047" i="3" s="1"/>
  <c r="AI2121" i="3"/>
  <c r="AD2121" i="3" s="1"/>
  <c r="AI1930" i="3"/>
  <c r="AD1930" i="3" s="1"/>
  <c r="AK1840" i="3"/>
  <c r="AB1840" i="3" s="1"/>
  <c r="AI1750" i="3"/>
  <c r="AD1750" i="3" s="1"/>
  <c r="AK1795" i="3"/>
  <c r="AB1795" i="3" s="1"/>
  <c r="AI1588" i="3"/>
  <c r="AD1588" i="3" s="1"/>
  <c r="AK1411" i="3"/>
  <c r="AB1411" i="3" s="1"/>
  <c r="AK1418" i="3"/>
  <c r="AB1418" i="3" s="1"/>
  <c r="AK1366" i="3"/>
  <c r="AB1366" i="3" s="1"/>
  <c r="AK1355" i="3"/>
  <c r="AB1355" i="3" s="1"/>
  <c r="AK1294" i="3"/>
  <c r="AB1294" i="3" s="1"/>
  <c r="AI1293" i="3"/>
  <c r="AD1293" i="3" s="1"/>
  <c r="AK1147" i="3"/>
  <c r="AB1147" i="3" s="1"/>
  <c r="AK1150" i="3"/>
  <c r="AB1150" i="3" s="1"/>
  <c r="AK1188" i="3"/>
  <c r="AB1188" i="3" s="1"/>
  <c r="AK1082" i="3"/>
  <c r="AB1082" i="3" s="1"/>
  <c r="AI943" i="3"/>
  <c r="AD943" i="3" s="1"/>
  <c r="AI881" i="3"/>
  <c r="AD881" i="3" s="1"/>
  <c r="AI917" i="3"/>
  <c r="AD917" i="3" s="1"/>
  <c r="AK731" i="3"/>
  <c r="AB731" i="3" s="1"/>
  <c r="AK908" i="3"/>
  <c r="AK675" i="3"/>
  <c r="AI707" i="3"/>
  <c r="AD707" i="3" s="1"/>
  <c r="AK705" i="3"/>
  <c r="AK386" i="3"/>
  <c r="AB386" i="3" s="1"/>
  <c r="AI440" i="3"/>
  <c r="AD440" i="3" s="1"/>
  <c r="AK423" i="3"/>
  <c r="AB423" i="3" s="1"/>
  <c r="AI194" i="3"/>
  <c r="AD194" i="3" s="1"/>
  <c r="AI32" i="3"/>
  <c r="AD32" i="3" s="1"/>
  <c r="AK186" i="3"/>
  <c r="AB186" i="3" s="1"/>
  <c r="AI278" i="3"/>
  <c r="AD278" i="3" s="1"/>
  <c r="AK13" i="3"/>
  <c r="AB13" i="3" s="1"/>
  <c r="AI23" i="3"/>
  <c r="AD23" i="3" s="1"/>
  <c r="AI2213" i="3"/>
  <c r="AD2213" i="3" s="1"/>
  <c r="AI2091" i="3"/>
  <c r="AD2091" i="3" s="1"/>
  <c r="AI2010" i="3"/>
  <c r="AD2010" i="3" s="1"/>
  <c r="AK1891" i="3"/>
  <c r="AB1891" i="3" s="1"/>
  <c r="AI1801" i="3"/>
  <c r="AD1801" i="3" s="1"/>
  <c r="AI1747" i="3"/>
  <c r="AD1747" i="3" s="1"/>
  <c r="AK1797" i="3"/>
  <c r="AB1797" i="3" s="1"/>
  <c r="AI1623" i="3"/>
  <c r="AD1623" i="3" s="1"/>
  <c r="AK1493" i="3"/>
  <c r="AB1493" i="3" s="1"/>
  <c r="AK1422" i="3"/>
  <c r="AB1422" i="3" s="1"/>
  <c r="AI1327" i="3"/>
  <c r="AD1327" i="3" s="1"/>
  <c r="AK1293" i="3"/>
  <c r="AB1293" i="3" s="1"/>
  <c r="AI1144" i="3"/>
  <c r="AD1144" i="3" s="1"/>
  <c r="AK1219" i="3"/>
  <c r="AB1219" i="3" s="1"/>
  <c r="AI1052" i="3"/>
  <c r="AD1052" i="3" s="1"/>
  <c r="AI955" i="3"/>
  <c r="AD955" i="3" s="1"/>
  <c r="AI964" i="3"/>
  <c r="AD964" i="3" s="1"/>
  <c r="AK877" i="3"/>
  <c r="AI691" i="3"/>
  <c r="AD691" i="3" s="1"/>
  <c r="AI685" i="3"/>
  <c r="AD685" i="3" s="1"/>
  <c r="AK697" i="3"/>
  <c r="AK566" i="3"/>
  <c r="AI501" i="3"/>
  <c r="AD501" i="3" s="1"/>
  <c r="AI450" i="3"/>
  <c r="AD450" i="3" s="1"/>
  <c r="AK429" i="3"/>
  <c r="AK352" i="3"/>
  <c r="AB352" i="3" s="1"/>
  <c r="AK194" i="3"/>
  <c r="AB194" i="3" s="1"/>
  <c r="AK72" i="3"/>
  <c r="AB72" i="3" s="1"/>
  <c r="AI315" i="3"/>
  <c r="AD315" i="3" s="1"/>
  <c r="AK74" i="3"/>
  <c r="AB74" i="3" s="1"/>
  <c r="AK23" i="3"/>
  <c r="AB23" i="3" s="1"/>
  <c r="AI35" i="3"/>
  <c r="AD35" i="3" s="1"/>
  <c r="AK18" i="3"/>
  <c r="AB18" i="3" s="1"/>
  <c r="AI163" i="3"/>
  <c r="AD163" i="3" s="1"/>
  <c r="AI287" i="3"/>
  <c r="AD287" i="3" s="1"/>
  <c r="AK35" i="3"/>
  <c r="AB35" i="3" s="1"/>
  <c r="AK68" i="3"/>
  <c r="AB68" i="3" s="1"/>
  <c r="AI46" i="3"/>
  <c r="AD46" i="3" s="1"/>
  <c r="AI121" i="3"/>
  <c r="AD121" i="3" s="1"/>
  <c r="AK37" i="3"/>
  <c r="AB37" i="3" s="1"/>
  <c r="AK57" i="3"/>
  <c r="AB57" i="3" s="1"/>
  <c r="AI33" i="3"/>
  <c r="AD33" i="3" s="1"/>
  <c r="AK70" i="3"/>
  <c r="AB70" i="3" s="1"/>
  <c r="AI18" i="3"/>
  <c r="AD18" i="3" s="1"/>
  <c r="AI272" i="3"/>
  <c r="AD272" i="3" s="1"/>
  <c r="AI212" i="3"/>
  <c r="AD212" i="3" s="1"/>
  <c r="AI265" i="3"/>
  <c r="AD265" i="3" s="1"/>
  <c r="AI325" i="3"/>
  <c r="AD325" i="3" s="1"/>
  <c r="AK389" i="3"/>
  <c r="AB389" i="3" s="1"/>
  <c r="AK325" i="3"/>
  <c r="AB325" i="3" s="1"/>
  <c r="AK212" i="3"/>
  <c r="AB212" i="3" s="1"/>
  <c r="AI355" i="3"/>
  <c r="AD355" i="3" s="1"/>
  <c r="AI241" i="3"/>
  <c r="AD241" i="3" s="1"/>
  <c r="AI320" i="3"/>
  <c r="AD320" i="3" s="1"/>
  <c r="AI506" i="3"/>
  <c r="AD506" i="3" s="1"/>
  <c r="AK393" i="3"/>
  <c r="AB393" i="3" s="1"/>
  <c r="AK303" i="3"/>
  <c r="AB303" i="3" s="1"/>
  <c r="AK448" i="3"/>
  <c r="AB448" i="3" s="1"/>
  <c r="AK247" i="3"/>
  <c r="AB247" i="3" s="1"/>
  <c r="AK307" i="3"/>
  <c r="AB307" i="3" s="1"/>
  <c r="AI353" i="3"/>
  <c r="AD353" i="3" s="1"/>
  <c r="AK269" i="3"/>
  <c r="AB269" i="3" s="1"/>
  <c r="AI373" i="3"/>
  <c r="AD373" i="3" s="1"/>
  <c r="AI495" i="3"/>
  <c r="AD495" i="3" s="1"/>
  <c r="AK657" i="3"/>
  <c r="AK485" i="3"/>
  <c r="AB485" i="3" s="1"/>
  <c r="AI473" i="3"/>
  <c r="AD473" i="3" s="1"/>
  <c r="AI477" i="3"/>
  <c r="AD477" i="3" s="1"/>
  <c r="AI404" i="3"/>
  <c r="AD404" i="3" s="1"/>
  <c r="AI436" i="3"/>
  <c r="AD436" i="3" s="1"/>
  <c r="AI483" i="3"/>
  <c r="AD483" i="3" s="1"/>
  <c r="AK400" i="3"/>
  <c r="AB400" i="3" s="1"/>
  <c r="AK428" i="3"/>
  <c r="AK546" i="3"/>
  <c r="AI811" i="3"/>
  <c r="AD811" i="3" s="1"/>
  <c r="AI714" i="3"/>
  <c r="AD714" i="3" s="1"/>
  <c r="AK676" i="3"/>
  <c r="AK681" i="3"/>
  <c r="AI667" i="3"/>
  <c r="AD667" i="3" s="1"/>
  <c r="AI696" i="3"/>
  <c r="AD696" i="3" s="1"/>
  <c r="AI712" i="3"/>
  <c r="AD712" i="3" s="1"/>
  <c r="AI669" i="3"/>
  <c r="AD669" i="3" s="1"/>
  <c r="AI895" i="3"/>
  <c r="AD895" i="3" s="1"/>
  <c r="AI887" i="3"/>
  <c r="AD887" i="3" s="1"/>
  <c r="AK688" i="3"/>
  <c r="AK704" i="3"/>
  <c r="AK920" i="3"/>
  <c r="AK679" i="3"/>
  <c r="AI674" i="3"/>
  <c r="AD674" i="3" s="1"/>
  <c r="AI936" i="3"/>
  <c r="AD936" i="3" s="1"/>
  <c r="AK865" i="3"/>
  <c r="AI900" i="3"/>
  <c r="AD900" i="3" s="1"/>
  <c r="AK1043" i="3"/>
  <c r="AB1043" i="3" s="1"/>
  <c r="AI891" i="3"/>
  <c r="AD891" i="3" s="1"/>
  <c r="AK892" i="3"/>
  <c r="AB892" i="3" s="1"/>
  <c r="AK1005" i="3"/>
  <c r="AB1005" i="3" s="1"/>
  <c r="AK883" i="3"/>
  <c r="AB883" i="3" s="1"/>
  <c r="AK1032" i="3"/>
  <c r="AB1032" i="3" s="1"/>
  <c r="AI1022" i="3"/>
  <c r="AD1022" i="3" s="1"/>
  <c r="AK1054" i="3"/>
  <c r="AB1054" i="3" s="1"/>
  <c r="AI1042" i="3"/>
  <c r="AD1042" i="3" s="1"/>
  <c r="AI979" i="3"/>
  <c r="AD979" i="3" s="1"/>
  <c r="AI1114" i="3"/>
  <c r="AD1114" i="3" s="1"/>
  <c r="AI995" i="3"/>
  <c r="AD995" i="3" s="1"/>
  <c r="AK941" i="3"/>
  <c r="AB941" i="3" s="1"/>
  <c r="AI1049" i="3"/>
  <c r="AD1049" i="3" s="1"/>
  <c r="AI1023" i="3"/>
  <c r="AD1023" i="3" s="1"/>
  <c r="AI1128" i="3"/>
  <c r="AD1128" i="3" s="1"/>
  <c r="AI1133" i="3"/>
  <c r="AD1133" i="3" s="1"/>
  <c r="AI1254" i="3"/>
  <c r="AD1254" i="3" s="1"/>
  <c r="AI1092" i="3"/>
  <c r="AD1092" i="3" s="1"/>
  <c r="AI1126" i="3"/>
  <c r="AD1126" i="3" s="1"/>
  <c r="AK1092" i="3"/>
  <c r="AB1092" i="3" s="1"/>
  <c r="AK1093" i="3"/>
  <c r="AB1093" i="3" s="1"/>
  <c r="AK1236" i="3"/>
  <c r="AB1236" i="3" s="1"/>
  <c r="AI1134" i="3"/>
  <c r="AD1134" i="3" s="1"/>
  <c r="AK1317" i="3"/>
  <c r="AB1317" i="3" s="1"/>
  <c r="AK1212" i="3"/>
  <c r="AB1212" i="3" s="1"/>
  <c r="AK1237" i="3"/>
  <c r="AB1237" i="3" s="1"/>
  <c r="AK1305" i="3"/>
  <c r="AB1305" i="3" s="1"/>
  <c r="AI1279" i="3"/>
  <c r="AD1279" i="3" s="1"/>
  <c r="AK1226" i="3"/>
  <c r="AB1226" i="3" s="1"/>
  <c r="AI1278" i="3"/>
  <c r="AD1278" i="3" s="1"/>
  <c r="AK1248" i="3"/>
  <c r="AB1248" i="3" s="1"/>
  <c r="AK1167" i="3"/>
  <c r="AB1167" i="3" s="1"/>
  <c r="AI1257" i="3"/>
  <c r="AD1257" i="3" s="1"/>
  <c r="AK1194" i="3"/>
  <c r="AB1194" i="3" s="1"/>
  <c r="AI1185" i="3"/>
  <c r="AD1185" i="3" s="1"/>
  <c r="AI1209" i="3"/>
  <c r="AD1209" i="3" s="1"/>
  <c r="AI1363" i="3"/>
  <c r="AD1363" i="3" s="1"/>
  <c r="AK1346" i="3"/>
  <c r="AB1346" i="3" s="1"/>
  <c r="AI1233" i="3"/>
  <c r="AD1233" i="3" s="1"/>
  <c r="AK1342" i="3"/>
  <c r="AB1342" i="3" s="1"/>
  <c r="AI1238" i="3"/>
  <c r="AD1238" i="3" s="1"/>
  <c r="AK1354" i="3"/>
  <c r="AB1354" i="3" s="1"/>
  <c r="AI1514" i="3"/>
  <c r="AD1514" i="3" s="1"/>
  <c r="AI1426" i="3"/>
  <c r="AD1426" i="3" s="1"/>
  <c r="AI1385" i="3"/>
  <c r="AD1385" i="3" s="1"/>
  <c r="AI1410" i="3"/>
  <c r="AD1410" i="3" s="1"/>
  <c r="AI1444" i="3"/>
  <c r="AD1444" i="3" s="1"/>
  <c r="AI1405" i="3"/>
  <c r="AD1405" i="3" s="1"/>
  <c r="AI1361" i="3"/>
  <c r="AD1361" i="3" s="1"/>
  <c r="AI1423" i="3"/>
  <c r="AD1423" i="3" s="1"/>
  <c r="AK1533" i="3"/>
  <c r="AB1533" i="3" s="1"/>
  <c r="AI1500" i="3"/>
  <c r="AD1500" i="3" s="1"/>
  <c r="AK1526" i="3"/>
  <c r="AB1526" i="3" s="1"/>
  <c r="AI1579" i="3"/>
  <c r="AD1579" i="3" s="1"/>
  <c r="AI1487" i="3"/>
  <c r="AD1487" i="3" s="1"/>
  <c r="AK1504" i="3"/>
  <c r="AB1504" i="3" s="1"/>
  <c r="AK1579" i="3"/>
  <c r="AK1621" i="3"/>
  <c r="AI1660" i="3"/>
  <c r="AD1660" i="3" s="1"/>
  <c r="AK1615" i="3"/>
  <c r="AK1753" i="3"/>
  <c r="AB1753" i="3" s="1"/>
  <c r="AI1751" i="3"/>
  <c r="AD1751" i="3" s="1"/>
  <c r="AK1670" i="3"/>
  <c r="AI1722" i="3"/>
  <c r="AD1722" i="3" s="1"/>
  <c r="AK1655" i="3"/>
  <c r="AK1745" i="3"/>
  <c r="AK1768" i="3"/>
  <c r="AB1768" i="3" s="1"/>
  <c r="AI1755" i="3"/>
  <c r="AD1755" i="3" s="1"/>
  <c r="AK1735" i="3"/>
  <c r="AI1753" i="3"/>
  <c r="AD1753" i="3" s="1"/>
  <c r="AI1806" i="3"/>
  <c r="AD1806" i="3" s="1"/>
  <c r="AI1776" i="3"/>
  <c r="AD1776" i="3" s="1"/>
  <c r="AK1887" i="3"/>
  <c r="AB1887" i="3" s="1"/>
  <c r="AK1804" i="3"/>
  <c r="AK1800" i="3"/>
  <c r="AB1800" i="3" s="1"/>
  <c r="AK1772" i="3"/>
  <c r="AB1772" i="3" s="1"/>
  <c r="AI1864" i="3"/>
  <c r="AD1864" i="3" s="1"/>
  <c r="AI1839" i="3"/>
  <c r="AD1839" i="3" s="1"/>
  <c r="AK1864" i="3"/>
  <c r="AB1864" i="3" s="1"/>
  <c r="AK1897" i="3"/>
  <c r="AB1897" i="3" s="1"/>
  <c r="AI1933" i="3"/>
  <c r="AD1933" i="3" s="1"/>
  <c r="AK1876" i="3"/>
  <c r="AB1876" i="3" s="1"/>
  <c r="AK1929" i="3"/>
  <c r="AB1929" i="3" s="1"/>
  <c r="AI2017" i="3"/>
  <c r="AD2017" i="3" s="1"/>
  <c r="AI1983" i="3"/>
  <c r="AD1983" i="3" s="1"/>
  <c r="AI1969" i="3"/>
  <c r="AD1969" i="3" s="1"/>
  <c r="AI2033" i="3"/>
  <c r="AD2033" i="3" s="1"/>
  <c r="AI1970" i="3"/>
  <c r="AD1970" i="3" s="1"/>
  <c r="AI2104" i="3"/>
  <c r="AD2104" i="3" s="1"/>
  <c r="AI2093" i="3"/>
  <c r="AD2093" i="3" s="1"/>
  <c r="AI2066" i="3"/>
  <c r="AD2066" i="3" s="1"/>
  <c r="AI2196" i="3"/>
  <c r="AD2196" i="3" s="1"/>
  <c r="AI2192" i="3"/>
  <c r="AD2192" i="3" s="1"/>
  <c r="AK2194" i="3"/>
  <c r="AB2194" i="3" s="1"/>
  <c r="AI2141" i="3"/>
  <c r="AD2141" i="3" s="1"/>
  <c r="AK2229" i="3"/>
  <c r="AB2229" i="3" s="1"/>
  <c r="AK2184" i="3"/>
  <c r="AB2184" i="3" s="1"/>
  <c r="AK2185" i="3"/>
  <c r="AB2185" i="3" s="1"/>
  <c r="AK2173" i="3"/>
  <c r="AB2173" i="3" s="1"/>
  <c r="AI2185" i="3"/>
  <c r="AD2185" i="3" s="1"/>
  <c r="AK2191" i="3"/>
  <c r="AB2191" i="3" s="1"/>
  <c r="AK2225" i="3"/>
  <c r="AB2225" i="3" s="1"/>
  <c r="AK2218" i="3"/>
  <c r="AB2218" i="3" s="1"/>
  <c r="AK2246" i="3"/>
  <c r="AB2246" i="3" s="1"/>
  <c r="AK2260" i="3"/>
  <c r="AB2260" i="3" s="1"/>
  <c r="AI950" i="3"/>
  <c r="AD950" i="3" s="1"/>
  <c r="AK942" i="3"/>
  <c r="AB942" i="3" s="1"/>
  <c r="AK828" i="3"/>
  <c r="AB828" i="3" s="1"/>
  <c r="AK699" i="3"/>
  <c r="AK541" i="3"/>
  <c r="AB541" i="3" s="1"/>
  <c r="AK342" i="3"/>
  <c r="AB342" i="3" s="1"/>
  <c r="AI487" i="3"/>
  <c r="AD487" i="3" s="1"/>
  <c r="AK379" i="3"/>
  <c r="AK387" i="3"/>
  <c r="AB387" i="3" s="1"/>
  <c r="AI180" i="3"/>
  <c r="AD180" i="3" s="1"/>
  <c r="AI257" i="3"/>
  <c r="AD257" i="3" s="1"/>
  <c r="AK268" i="3"/>
  <c r="AB268" i="3" s="1"/>
  <c r="AK176" i="3"/>
  <c r="AB176" i="3" s="1"/>
  <c r="AK69" i="3"/>
  <c r="AB69" i="3" s="1"/>
  <c r="AI14" i="3"/>
  <c r="AD14" i="3" s="1"/>
  <c r="AK2284" i="3"/>
  <c r="AB2284" i="3" s="1"/>
  <c r="AK2214" i="3"/>
  <c r="AB2214" i="3" s="1"/>
  <c r="AK2175" i="3"/>
  <c r="AB2175" i="3" s="1"/>
  <c r="AK2154" i="3"/>
  <c r="AB2154" i="3" s="1"/>
  <c r="AK2034" i="3"/>
  <c r="AB2034" i="3" s="1"/>
  <c r="AI1979" i="3"/>
  <c r="AD1979" i="3" s="1"/>
  <c r="AI1863" i="3"/>
  <c r="AD1863" i="3" s="1"/>
  <c r="AK1846" i="3"/>
  <c r="AB1846" i="3" s="1"/>
  <c r="AI1584" i="3"/>
  <c r="AD1584" i="3" s="1"/>
  <c r="AK1544" i="3"/>
  <c r="AB1544" i="3" s="1"/>
  <c r="AI1431" i="3"/>
  <c r="AD1431" i="3" s="1"/>
  <c r="AK1349" i="3"/>
  <c r="AB1349" i="3" s="1"/>
  <c r="AI1350" i="3"/>
  <c r="AD1350" i="3" s="1"/>
  <c r="AI1290" i="3"/>
  <c r="AD1290" i="3" s="1"/>
  <c r="AK1295" i="3"/>
  <c r="AB1295" i="3" s="1"/>
  <c r="AI1263" i="3"/>
  <c r="AD1263" i="3" s="1"/>
  <c r="AI1223" i="3"/>
  <c r="AD1223" i="3" s="1"/>
  <c r="AK1105" i="3"/>
  <c r="AB1105" i="3" s="1"/>
  <c r="AI856" i="3"/>
  <c r="AD856" i="3" s="1"/>
  <c r="AI991" i="3"/>
  <c r="AD991" i="3" s="1"/>
  <c r="AK880" i="3"/>
  <c r="AK826" i="3"/>
  <c r="AB826" i="3" s="1"/>
  <c r="AI844" i="3"/>
  <c r="AD844" i="3" s="1"/>
  <c r="AI491" i="3"/>
  <c r="AD491" i="3" s="1"/>
  <c r="AI405" i="3"/>
  <c r="AD405" i="3" s="1"/>
  <c r="AI426" i="3"/>
  <c r="AD426" i="3" s="1"/>
  <c r="AK167" i="3"/>
  <c r="AB167" i="3" s="1"/>
  <c r="AI201" i="3"/>
  <c r="AD201" i="3" s="1"/>
  <c r="AK267" i="3"/>
  <c r="AB267" i="3" s="1"/>
  <c r="AK42" i="3"/>
  <c r="AB42" i="3" s="1"/>
  <c r="AK88" i="3"/>
  <c r="AB88" i="3" s="1"/>
  <c r="AK14" i="3"/>
  <c r="AB14" i="3" s="1"/>
  <c r="AK2234" i="3"/>
  <c r="AB2234" i="3" s="1"/>
  <c r="AK2075" i="3"/>
  <c r="AB2075" i="3" s="1"/>
  <c r="AI2095" i="3"/>
  <c r="AD2095" i="3" s="1"/>
  <c r="AI1986" i="3"/>
  <c r="AD1986" i="3" s="1"/>
  <c r="AK1848" i="3"/>
  <c r="AB1848" i="3" s="1"/>
  <c r="AK1747" i="3"/>
  <c r="AK1632" i="3"/>
  <c r="AI1510" i="3"/>
  <c r="AD1510" i="3" s="1"/>
  <c r="AI1533" i="3"/>
  <c r="AD1533" i="3" s="1"/>
  <c r="AK1360" i="3"/>
  <c r="AB1360" i="3" s="1"/>
  <c r="AI1427" i="3"/>
  <c r="AD1427" i="3" s="1"/>
  <c r="AI1314" i="3"/>
  <c r="AD1314" i="3" s="1"/>
  <c r="AK1307" i="3"/>
  <c r="AB1307" i="3" s="1"/>
  <c r="AK1285" i="3"/>
  <c r="AB1285" i="3" s="1"/>
  <c r="AK1276" i="3"/>
  <c r="AB1276" i="3" s="1"/>
  <c r="AI1137" i="3"/>
  <c r="AD1137" i="3" s="1"/>
  <c r="AK1148" i="3"/>
  <c r="AB1148" i="3" s="1"/>
  <c r="AK1103" i="3"/>
  <c r="AB1103" i="3" s="1"/>
  <c r="AI1145" i="3"/>
  <c r="AD1145" i="3" s="1"/>
  <c r="AK947" i="3"/>
  <c r="AB947" i="3" s="1"/>
  <c r="AI874" i="3"/>
  <c r="AD874" i="3" s="1"/>
  <c r="AI1038" i="3"/>
  <c r="AD1038" i="3" s="1"/>
  <c r="AI854" i="3"/>
  <c r="AD854" i="3" s="1"/>
  <c r="AI706" i="3"/>
  <c r="AD706" i="3" s="1"/>
  <c r="AK714" i="3"/>
  <c r="AI505" i="3"/>
  <c r="AD505" i="3" s="1"/>
  <c r="AI389" i="3"/>
  <c r="AD389" i="3" s="1"/>
  <c r="AI443" i="3"/>
  <c r="AD443" i="3" s="1"/>
  <c r="AI425" i="3"/>
  <c r="AD425" i="3" s="1"/>
  <c r="AK356" i="3"/>
  <c r="AB356" i="3" s="1"/>
  <c r="AK47" i="3"/>
  <c r="AB47" i="3" s="1"/>
  <c r="AI255" i="3"/>
  <c r="AD255" i="3" s="1"/>
  <c r="AI88" i="3"/>
  <c r="AD88" i="3" s="1"/>
  <c r="AK78" i="3"/>
  <c r="AB78" i="3" s="1"/>
  <c r="AK1587" i="3"/>
  <c r="AI1416" i="3"/>
  <c r="AD1416" i="3" s="1"/>
  <c r="AI1471" i="3"/>
  <c r="AD1471" i="3" s="1"/>
  <c r="AK1529" i="3"/>
  <c r="AB1529" i="3" s="1"/>
  <c r="AI1241" i="3"/>
  <c r="AD1241" i="3" s="1"/>
  <c r="AK1241" i="3"/>
  <c r="AB1241" i="3" s="1"/>
  <c r="AI1299" i="3"/>
  <c r="AD1299" i="3" s="1"/>
  <c r="AK1222" i="3"/>
  <c r="AB1222" i="3" s="1"/>
  <c r="AK1142" i="3"/>
  <c r="AB1142" i="3" s="1"/>
  <c r="AI1066" i="3"/>
  <c r="AD1066" i="3" s="1"/>
  <c r="AK1022" i="3"/>
  <c r="AB1022" i="3" s="1"/>
  <c r="AK1055" i="3"/>
  <c r="AB1055" i="3" s="1"/>
  <c r="AK995" i="3"/>
  <c r="AB995" i="3" s="1"/>
  <c r="AK873" i="3"/>
  <c r="AK872" i="3"/>
  <c r="AK871" i="3"/>
  <c r="AK813" i="3"/>
  <c r="AK689" i="3"/>
  <c r="AK411" i="3"/>
  <c r="AB411" i="3" s="1"/>
  <c r="AI359" i="3"/>
  <c r="AD359" i="3" s="1"/>
  <c r="AI500" i="3"/>
  <c r="AD500" i="3" s="1"/>
  <c r="AI340" i="3"/>
  <c r="AD340" i="3" s="1"/>
  <c r="AI224" i="3"/>
  <c r="AD224" i="3" s="1"/>
  <c r="AI216" i="3"/>
  <c r="AD216" i="3" s="1"/>
  <c r="AI55" i="3"/>
  <c r="AD55" i="3" s="1"/>
  <c r="AK29" i="3"/>
  <c r="AB29" i="3" s="1"/>
  <c r="AK1972" i="3"/>
  <c r="AB1972" i="3" s="1"/>
  <c r="AI1912" i="3"/>
  <c r="AD1912" i="3" s="1"/>
  <c r="AI1867" i="3"/>
  <c r="AD1867" i="3" s="1"/>
  <c r="AK1810" i="3"/>
  <c r="AB1810" i="3" s="1"/>
  <c r="AI1625" i="3"/>
  <c r="AD1625" i="3" s="1"/>
  <c r="AI1499" i="3"/>
  <c r="AD1499" i="3" s="1"/>
  <c r="AK1514" i="3"/>
  <c r="AB1514" i="3" s="1"/>
  <c r="AK1445" i="3"/>
  <c r="AB1445" i="3" s="1"/>
  <c r="AI1387" i="3"/>
  <c r="AD1387" i="3" s="1"/>
  <c r="AI1412" i="3"/>
  <c r="AD1412" i="3" s="1"/>
  <c r="AK1275" i="3"/>
  <c r="AB1275" i="3" s="1"/>
  <c r="AK1326" i="3"/>
  <c r="AB1326" i="3" s="1"/>
  <c r="AK1230" i="3"/>
  <c r="AB1230" i="3" s="1"/>
  <c r="AI1305" i="3"/>
  <c r="AD1305" i="3" s="1"/>
  <c r="AI1018" i="3"/>
  <c r="AD1018" i="3" s="1"/>
  <c r="AK948" i="3"/>
  <c r="AB948" i="3" s="1"/>
  <c r="AK1010" i="3"/>
  <c r="AB1010" i="3" s="1"/>
  <c r="AI933" i="3"/>
  <c r="AD933" i="3" s="1"/>
  <c r="AK870" i="3"/>
  <c r="AI915" i="3"/>
  <c r="AD915" i="3" s="1"/>
  <c r="AK847" i="3"/>
  <c r="AB847" i="3" s="1"/>
  <c r="AK802" i="3"/>
  <c r="AB802" i="3" s="1"/>
  <c r="AI866" i="3"/>
  <c r="AD866" i="3" s="1"/>
  <c r="AK498" i="3"/>
  <c r="AB498" i="3" s="1"/>
  <c r="AI411" i="3"/>
  <c r="AD411" i="3" s="1"/>
  <c r="AK444" i="3"/>
  <c r="AB444" i="3" s="1"/>
  <c r="AK491" i="3"/>
  <c r="AB491" i="3" s="1"/>
  <c r="AK364" i="3"/>
  <c r="AB364" i="3" s="1"/>
  <c r="AK156" i="3"/>
  <c r="AB156" i="3" s="1"/>
  <c r="AK290" i="3"/>
  <c r="AB290" i="3" s="1"/>
  <c r="AI109" i="3"/>
  <c r="AD109" i="3" s="1"/>
  <c r="AI130" i="3"/>
  <c r="AD130" i="3" s="1"/>
  <c r="AK77" i="3"/>
  <c r="AB77" i="3" s="1"/>
  <c r="AK44" i="3"/>
  <c r="AB44" i="3" s="1"/>
  <c r="AK2263" i="3"/>
  <c r="AB2263" i="3" s="1"/>
  <c r="AI2184" i="3"/>
  <c r="AD2184" i="3" s="1"/>
  <c r="AK2128" i="3"/>
  <c r="AB2128" i="3" s="1"/>
  <c r="AK2054" i="3"/>
  <c r="AB2054" i="3" s="1"/>
  <c r="AI1972" i="3"/>
  <c r="AD1972" i="3" s="1"/>
  <c r="AK1899" i="3"/>
  <c r="AB1899" i="3" s="1"/>
  <c r="AK1860" i="3"/>
  <c r="AB1860" i="3" s="1"/>
  <c r="AK1781" i="3"/>
  <c r="AB1781" i="3" s="1"/>
  <c r="AI1727" i="3"/>
  <c r="AD1727" i="3" s="1"/>
  <c r="AI1585" i="3"/>
  <c r="AD1585" i="3" s="1"/>
  <c r="AK1490" i="3"/>
  <c r="AB1490" i="3" s="1"/>
  <c r="AI1362" i="3"/>
  <c r="AD1362" i="3" s="1"/>
  <c r="AK1414" i="3"/>
  <c r="AB1414" i="3" s="1"/>
  <c r="AK1300" i="3"/>
  <c r="AB1300" i="3" s="1"/>
  <c r="AI1227" i="3"/>
  <c r="AD1227" i="3" s="1"/>
  <c r="AK1235" i="3"/>
  <c r="AB1235" i="3" s="1"/>
  <c r="AK1177" i="3"/>
  <c r="AB1177" i="3" s="1"/>
  <c r="AI1219" i="3"/>
  <c r="AD1219" i="3" s="1"/>
  <c r="AK1116" i="3"/>
  <c r="AB1116" i="3" s="1"/>
  <c r="AK1015" i="3"/>
  <c r="AB1015" i="3" s="1"/>
  <c r="AK898" i="3"/>
  <c r="AB898" i="3" s="1"/>
  <c r="AI923" i="3"/>
  <c r="AD923" i="3" s="1"/>
  <c r="AK1037" i="3"/>
  <c r="AB1037" i="3" s="1"/>
  <c r="AK964" i="3"/>
  <c r="AB964" i="3" s="1"/>
  <c r="AI877" i="3"/>
  <c r="AD877" i="3" s="1"/>
  <c r="AI698" i="3"/>
  <c r="AD698" i="3" s="1"/>
  <c r="AI693" i="3"/>
  <c r="AD693" i="3" s="1"/>
  <c r="AK866" i="3"/>
  <c r="AI327" i="3"/>
  <c r="AD327" i="3" s="1"/>
  <c r="AI439" i="3"/>
  <c r="AD439" i="3" s="1"/>
  <c r="AK183" i="3"/>
  <c r="AB183" i="3" s="1"/>
  <c r="AK92" i="3"/>
  <c r="AB92" i="3" s="1"/>
  <c r="AI270" i="3"/>
  <c r="AD270" i="3" s="1"/>
  <c r="AI103" i="3"/>
  <c r="AD103" i="3" s="1"/>
  <c r="AI206" i="3"/>
  <c r="AD206" i="3" s="1"/>
  <c r="AK52" i="3"/>
  <c r="AB52" i="3" s="1"/>
  <c r="AK107" i="3"/>
  <c r="AB107" i="3" s="1"/>
  <c r="AI2128" i="3"/>
  <c r="AD2128" i="3" s="1"/>
  <c r="AK2100" i="3"/>
  <c r="AB2100" i="3" s="1"/>
  <c r="AI2048" i="3"/>
  <c r="AD2048" i="3" s="1"/>
  <c r="AK1816" i="3"/>
  <c r="AB1816" i="3" s="1"/>
  <c r="AK1823" i="3"/>
  <c r="AB1823" i="3" s="1"/>
  <c r="AI1788" i="3"/>
  <c r="AD1788" i="3" s="1"/>
  <c r="AK1833" i="3"/>
  <c r="AB1833" i="3" s="1"/>
  <c r="AK1588" i="3"/>
  <c r="AK1423" i="3"/>
  <c r="AB1423" i="3" s="1"/>
  <c r="AK1362" i="3"/>
  <c r="AB1362" i="3" s="1"/>
  <c r="AI1379" i="3"/>
  <c r="AD1379" i="3" s="1"/>
  <c r="AK1341" i="3"/>
  <c r="AB1341" i="3" s="1"/>
  <c r="AI1060" i="3"/>
  <c r="AD1060" i="3" s="1"/>
  <c r="AK1133" i="3"/>
  <c r="AB1133" i="3" s="1"/>
  <c r="AI1078" i="3"/>
  <c r="AD1078" i="3" s="1"/>
  <c r="AK917" i="3"/>
  <c r="AI878" i="3"/>
  <c r="AD878" i="3" s="1"/>
  <c r="AK885" i="3"/>
  <c r="AB885" i="3" s="1"/>
  <c r="AI675" i="3"/>
  <c r="AD675" i="3" s="1"/>
  <c r="AK820" i="3"/>
  <c r="AB820" i="3" s="1"/>
  <c r="AI701" i="3"/>
  <c r="AD701" i="3" s="1"/>
  <c r="AI486" i="3"/>
  <c r="AD486" i="3" s="1"/>
  <c r="AI435" i="3"/>
  <c r="AD435" i="3" s="1"/>
  <c r="AI422" i="3"/>
  <c r="AD422" i="3" s="1"/>
  <c r="AK365" i="3"/>
  <c r="AB365" i="3" s="1"/>
  <c r="AI423" i="3"/>
  <c r="AD423" i="3" s="1"/>
  <c r="AI294" i="3"/>
  <c r="AD294" i="3" s="1"/>
  <c r="AK270" i="3"/>
  <c r="AB270" i="3" s="1"/>
  <c r="AK434" i="3"/>
  <c r="AB434" i="3" s="1"/>
  <c r="AK12" i="3"/>
  <c r="AB12" i="3" s="1"/>
  <c r="AI107" i="3"/>
  <c r="AD107" i="3" s="1"/>
  <c r="AI96" i="3"/>
  <c r="AD96" i="3" s="1"/>
  <c r="AK34" i="3"/>
  <c r="AB34" i="3" s="1"/>
  <c r="AK131" i="3"/>
  <c r="AB131" i="3" s="1"/>
  <c r="AI7" i="3"/>
  <c r="AD7" i="3" s="1"/>
  <c r="AI37" i="3"/>
  <c r="AD37" i="3" s="1"/>
  <c r="AK75" i="3"/>
  <c r="AB75" i="3" s="1"/>
  <c r="AI70" i="3"/>
  <c r="AD70" i="3" s="1"/>
  <c r="AI122" i="3"/>
  <c r="AD122" i="3" s="1"/>
  <c r="AI39" i="3"/>
  <c r="AD39" i="3" s="1"/>
  <c r="AI65" i="3"/>
  <c r="AD65" i="3" s="1"/>
  <c r="AK46" i="3"/>
  <c r="AB46" i="3" s="1"/>
  <c r="AK98" i="3"/>
  <c r="AB98" i="3" s="1"/>
  <c r="AI26" i="3"/>
  <c r="AD26" i="3" s="1"/>
  <c r="AI131" i="3"/>
  <c r="AD131" i="3" s="1"/>
  <c r="AI219" i="3"/>
  <c r="AD219" i="3" s="1"/>
  <c r="AK271" i="3"/>
  <c r="AB271" i="3" s="1"/>
  <c r="AK328" i="3"/>
  <c r="AB328" i="3" s="1"/>
  <c r="AI394" i="3"/>
  <c r="AD394" i="3" s="1"/>
  <c r="AI381" i="3"/>
  <c r="AD381" i="3" s="1"/>
  <c r="AK265" i="3"/>
  <c r="AB265" i="3" s="1"/>
  <c r="AI424" i="3"/>
  <c r="AD424" i="3" s="1"/>
  <c r="AI247" i="3"/>
  <c r="AD247" i="3" s="1"/>
  <c r="AK350" i="3"/>
  <c r="AB350" i="3" s="1"/>
  <c r="AI188" i="3"/>
  <c r="AD188" i="3" s="1"/>
  <c r="AK234" i="3"/>
  <c r="AB234" i="3" s="1"/>
  <c r="AK316" i="3"/>
  <c r="AB316" i="3" s="1"/>
  <c r="AK215" i="3"/>
  <c r="AB215" i="3" s="1"/>
  <c r="AK276" i="3"/>
  <c r="AB276" i="3" s="1"/>
  <c r="AK320" i="3"/>
  <c r="AB320" i="3" s="1"/>
  <c r="AI365" i="3"/>
  <c r="AD365" i="3" s="1"/>
  <c r="AI328" i="3"/>
  <c r="AD328" i="3" s="1"/>
  <c r="AK460" i="3"/>
  <c r="AB460" i="3" s="1"/>
  <c r="AK500" i="3"/>
  <c r="AB500" i="3" s="1"/>
  <c r="AK453" i="3"/>
  <c r="AB453" i="3" s="1"/>
  <c r="AK495" i="3"/>
  <c r="AB495" i="3" s="1"/>
  <c r="AI481" i="3"/>
  <c r="AD481" i="3" s="1"/>
  <c r="AI388" i="3"/>
  <c r="AD388" i="3" s="1"/>
  <c r="AI412" i="3"/>
  <c r="AD412" i="3" s="1"/>
  <c r="AK481" i="3"/>
  <c r="AB481" i="3" s="1"/>
  <c r="AI493" i="3"/>
  <c r="AD493" i="3" s="1"/>
  <c r="AK404" i="3"/>
  <c r="AB404" i="3" s="1"/>
  <c r="AK436" i="3"/>
  <c r="AB436" i="3" s="1"/>
  <c r="AK717" i="3"/>
  <c r="AB717" i="3" s="1"/>
  <c r="AK842" i="3"/>
  <c r="AB842" i="3" s="1"/>
  <c r="AI676" i="3"/>
  <c r="AD676" i="3" s="1"/>
  <c r="AK674" i="3"/>
  <c r="AK935" i="3"/>
  <c r="AB935" i="3" s="1"/>
  <c r="AI668" i="3"/>
  <c r="AD668" i="3" s="1"/>
  <c r="AI700" i="3"/>
  <c r="AD700" i="3" s="1"/>
  <c r="AK715" i="3"/>
  <c r="AI670" i="3"/>
  <c r="AD670" i="3" s="1"/>
  <c r="AK712" i="3"/>
  <c r="AK668" i="3"/>
  <c r="AK692" i="3"/>
  <c r="AK708" i="3"/>
  <c r="AK631" i="3"/>
  <c r="AB631" i="3" s="1"/>
  <c r="AI871" i="3"/>
  <c r="AD871" i="3" s="1"/>
  <c r="AK673" i="3"/>
  <c r="AI948" i="3"/>
  <c r="AD948" i="3" s="1"/>
  <c r="AI876" i="3"/>
  <c r="AD876" i="3" s="1"/>
  <c r="AI922" i="3"/>
  <c r="AD922" i="3" s="1"/>
  <c r="AI805" i="3"/>
  <c r="AD805" i="3" s="1"/>
  <c r="AI899" i="3"/>
  <c r="AD899" i="3" s="1"/>
  <c r="AK900" i="3"/>
  <c r="AB900" i="3" s="1"/>
  <c r="AK905" i="3"/>
  <c r="AK891" i="3"/>
  <c r="AB891" i="3" s="1"/>
  <c r="AK934" i="3"/>
  <c r="AB934" i="3" s="1"/>
  <c r="AK1009" i="3"/>
  <c r="AB1009" i="3" s="1"/>
  <c r="AI960" i="3"/>
  <c r="AD960" i="3" s="1"/>
  <c r="AI941" i="3"/>
  <c r="AD941" i="3" s="1"/>
  <c r="AI994" i="3"/>
  <c r="AD994" i="3" s="1"/>
  <c r="AI989" i="3"/>
  <c r="AD989" i="3" s="1"/>
  <c r="AK1044" i="3"/>
  <c r="AB1044" i="3" s="1"/>
  <c r="AK949" i="3"/>
  <c r="AB949" i="3" s="1"/>
  <c r="AK989" i="3"/>
  <c r="AB989" i="3" s="1"/>
  <c r="AI1029" i="3"/>
  <c r="AD1029" i="3" s="1"/>
  <c r="AI1136" i="3"/>
  <c r="AD1136" i="3" s="1"/>
  <c r="AK1140" i="3"/>
  <c r="AB1140" i="3" s="1"/>
  <c r="AK1304" i="3"/>
  <c r="AB1304" i="3" s="1"/>
  <c r="AI1093" i="3"/>
  <c r="AD1093" i="3" s="1"/>
  <c r="AI1150" i="3"/>
  <c r="AD1150" i="3" s="1"/>
  <c r="AK1095" i="3"/>
  <c r="AB1095" i="3" s="1"/>
  <c r="AK1126" i="3"/>
  <c r="AB1126" i="3" s="1"/>
  <c r="AK1077" i="3"/>
  <c r="AB1077" i="3" s="1"/>
  <c r="AK1137" i="3"/>
  <c r="AB1137" i="3" s="1"/>
  <c r="AK1151" i="3"/>
  <c r="AB1151" i="3" s="1"/>
  <c r="AI1217" i="3"/>
  <c r="AD1217" i="3" s="1"/>
  <c r="AI1255" i="3"/>
  <c r="AD1255" i="3" s="1"/>
  <c r="AK1324" i="3"/>
  <c r="AB1324" i="3" s="1"/>
  <c r="AI1167" i="3"/>
  <c r="AD1167" i="3" s="1"/>
  <c r="AI1230" i="3"/>
  <c r="AD1230" i="3" s="1"/>
  <c r="AI1302" i="3"/>
  <c r="AD1302" i="3" s="1"/>
  <c r="AI1249" i="3"/>
  <c r="AD1249" i="3" s="1"/>
  <c r="AK1240" i="3"/>
  <c r="AB1240" i="3" s="1"/>
  <c r="AI1285" i="3"/>
  <c r="AD1285" i="3" s="1"/>
  <c r="AK1210" i="3"/>
  <c r="AB1210" i="3" s="1"/>
  <c r="AI1188" i="3"/>
  <c r="AD1188" i="3" s="1"/>
  <c r="AI1213" i="3"/>
  <c r="AD1213" i="3" s="1"/>
  <c r="AK1256" i="3"/>
  <c r="AB1256" i="3" s="1"/>
  <c r="AI1347" i="3"/>
  <c r="AD1347" i="3" s="1"/>
  <c r="AI1411" i="3"/>
  <c r="AD1411" i="3" s="1"/>
  <c r="AK1297" i="3"/>
  <c r="AB1297" i="3" s="1"/>
  <c r="AI1239" i="3"/>
  <c r="AD1239" i="3" s="1"/>
  <c r="AK1364" i="3"/>
  <c r="AB1364" i="3" s="1"/>
  <c r="AI1348" i="3"/>
  <c r="AD1348" i="3" s="1"/>
  <c r="AK1373" i="3"/>
  <c r="AB1373" i="3" s="1"/>
  <c r="AK1530" i="3"/>
  <c r="AB1530" i="3" s="1"/>
  <c r="AK1376" i="3"/>
  <c r="AB1376" i="3" s="1"/>
  <c r="AK1410" i="3"/>
  <c r="AB1410" i="3" s="1"/>
  <c r="AK1406" i="3"/>
  <c r="AB1406" i="3" s="1"/>
  <c r="AK1435" i="3"/>
  <c r="AB1435" i="3" s="1"/>
  <c r="AK1390" i="3"/>
  <c r="AB1390" i="3" s="1"/>
  <c r="AK1442" i="3"/>
  <c r="AB1442" i="3" s="1"/>
  <c r="AK1510" i="3"/>
  <c r="AB1510" i="3" s="1"/>
  <c r="AK1625" i="3"/>
  <c r="AI1420" i="3"/>
  <c r="AD1420" i="3" s="1"/>
  <c r="AK1499" i="3"/>
  <c r="AB1499" i="3" s="1"/>
  <c r="AK1532" i="3"/>
  <c r="AB1532" i="3" s="1"/>
  <c r="AK1539" i="3"/>
  <c r="AB1539" i="3" s="1"/>
  <c r="AK1626" i="3"/>
  <c r="AI1694" i="3"/>
  <c r="AD1694" i="3" s="1"/>
  <c r="AK1623" i="3"/>
  <c r="AK1692" i="3"/>
  <c r="AK1630" i="3"/>
  <c r="AK1744" i="3"/>
  <c r="AK1752" i="3"/>
  <c r="AB1752" i="3" s="1"/>
  <c r="AK1677" i="3"/>
  <c r="AK1694" i="3"/>
  <c r="AI1786" i="3"/>
  <c r="AD1786" i="3" s="1"/>
  <c r="AI1670" i="3"/>
  <c r="AD1670" i="3" s="1"/>
  <c r="AI1757" i="3"/>
  <c r="AD1757" i="3" s="1"/>
  <c r="AK1754" i="3"/>
  <c r="AB1754" i="3" s="1"/>
  <c r="AK1767" i="3"/>
  <c r="AB1767" i="3" s="1"/>
  <c r="AK1838" i="3"/>
  <c r="AB1838" i="3" s="1"/>
  <c r="AI1804" i="3"/>
  <c r="AD1804" i="3" s="1"/>
  <c r="AI1866" i="3"/>
  <c r="AD1866" i="3" s="1"/>
  <c r="AK1807" i="3"/>
  <c r="AB1807" i="3" s="1"/>
  <c r="AI1861" i="3"/>
  <c r="AD1861" i="3" s="1"/>
  <c r="AI1878" i="3"/>
  <c r="AD1878" i="3" s="1"/>
  <c r="AK1863" i="3"/>
  <c r="AB1863" i="3" s="1"/>
  <c r="AI1900" i="3"/>
  <c r="AD1900" i="3" s="1"/>
  <c r="AK1908" i="3"/>
  <c r="AB1908" i="3" s="1"/>
  <c r="AK1969" i="3"/>
  <c r="AB1969" i="3" s="1"/>
  <c r="AI1893" i="3"/>
  <c r="AD1893" i="3" s="1"/>
  <c r="AK1990" i="3"/>
  <c r="AB1990" i="3" s="1"/>
  <c r="AK1991" i="3"/>
  <c r="AB1991" i="3" s="1"/>
  <c r="AK1992" i="3"/>
  <c r="AB1992" i="3" s="1"/>
  <c r="AK1983" i="3"/>
  <c r="AB1983" i="3" s="1"/>
  <c r="AI2006" i="3"/>
  <c r="AD2006" i="3" s="1"/>
  <c r="AI2034" i="3"/>
  <c r="AD2034" i="3" s="1"/>
  <c r="AI2131" i="3"/>
  <c r="AD2131" i="3" s="1"/>
  <c r="AK2093" i="3"/>
  <c r="AB2093" i="3" s="1"/>
  <c r="AK2122" i="3"/>
  <c r="AB2122" i="3" s="1"/>
  <c r="AI2137" i="3"/>
  <c r="AD2137" i="3" s="1"/>
  <c r="AI2124" i="3"/>
  <c r="AD2124" i="3" s="1"/>
  <c r="AK2202" i="3"/>
  <c r="AB2202" i="3" s="1"/>
  <c r="AI2145" i="3"/>
  <c r="AD2145" i="3" s="1"/>
  <c r="AI2243" i="3"/>
  <c r="AD2243" i="3" s="1"/>
  <c r="AK2177" i="3"/>
  <c r="AB2177" i="3" s="1"/>
  <c r="AK2196" i="3"/>
  <c r="AB2196" i="3" s="1"/>
  <c r="AI2197" i="3"/>
  <c r="AD2197" i="3" s="1"/>
  <c r="AK2197" i="3"/>
  <c r="AB2197" i="3" s="1"/>
  <c r="AK2208" i="3"/>
  <c r="AB2208" i="3" s="1"/>
  <c r="AI2242" i="3"/>
  <c r="AD2242" i="3" s="1"/>
  <c r="AI2236" i="3"/>
  <c r="AD2236" i="3" s="1"/>
  <c r="AI2218" i="3"/>
  <c r="AD2218" i="3" s="1"/>
  <c r="AI2261" i="3"/>
  <c r="AD2261" i="3" s="1"/>
  <c r="AI1774" i="3"/>
  <c r="AD1774" i="3" s="1"/>
  <c r="AI2054" i="3"/>
  <c r="AD2054" i="3" s="1"/>
  <c r="AK2143" i="3"/>
  <c r="AB2143" i="3" s="1"/>
  <c r="AI2274" i="3"/>
  <c r="AD2274" i="3" s="1"/>
  <c r="AI842" i="3"/>
  <c r="AD842" i="3" s="1"/>
  <c r="AI2284" i="3"/>
  <c r="AD2284" i="3" s="1"/>
  <c r="AK1762" i="3"/>
  <c r="AB1762" i="3" s="1"/>
  <c r="AK1729" i="3"/>
  <c r="AK2030" i="3"/>
  <c r="AB2030" i="3" s="1"/>
  <c r="AI2149" i="3"/>
  <c r="AD2149" i="3" s="1"/>
  <c r="AK2149" i="3"/>
  <c r="AB2149" i="3" s="1"/>
  <c r="AK450" i="3"/>
  <c r="AB450" i="3" s="1"/>
  <c r="AI301" i="3"/>
  <c r="AD301" i="3" s="1"/>
  <c r="AI24" i="3"/>
  <c r="AD24" i="3" s="1"/>
  <c r="AK126" i="3"/>
  <c r="AB126" i="3" s="1"/>
  <c r="AK2257" i="3"/>
  <c r="AB2257" i="3" s="1"/>
  <c r="AK2094" i="3"/>
  <c r="AB2094" i="3" s="1"/>
  <c r="AK1877" i="3"/>
  <c r="AB1877" i="3" s="1"/>
  <c r="AK1774" i="3"/>
  <c r="AB1774" i="3" s="1"/>
  <c r="AI1551" i="3"/>
  <c r="AD1551" i="3" s="1"/>
  <c r="AK1255" i="3"/>
  <c r="AB1255" i="3" s="1"/>
  <c r="AK1180" i="3"/>
  <c r="AB1180" i="3" s="1"/>
  <c r="AI935" i="3"/>
  <c r="AD935" i="3" s="1"/>
  <c r="AI888" i="3"/>
  <c r="AD888" i="3" s="1"/>
  <c r="AK373" i="3"/>
  <c r="AB373" i="3" s="1"/>
  <c r="AK129" i="3"/>
  <c r="AB129" i="3" s="1"/>
  <c r="AI2262" i="3"/>
  <c r="AD2262" i="3" s="1"/>
  <c r="AK2148" i="3"/>
  <c r="AB2148" i="3" s="1"/>
  <c r="AI1924" i="3"/>
  <c r="AD1924" i="3" s="1"/>
  <c r="AK1759" i="3"/>
  <c r="AB1759" i="3" s="1"/>
  <c r="AK1383" i="3"/>
  <c r="AB1383" i="3" s="1"/>
  <c r="AI1259" i="3"/>
  <c r="AD1259" i="3" s="1"/>
  <c r="AK1214" i="3"/>
  <c r="AB1214" i="3" s="1"/>
  <c r="AK882" i="3"/>
  <c r="AB882" i="3" s="1"/>
  <c r="AK943" i="3"/>
  <c r="AB943" i="3" s="1"/>
  <c r="AK466" i="3"/>
  <c r="AB466" i="3" s="1"/>
  <c r="AI393" i="3"/>
  <c r="AD393" i="3" s="1"/>
  <c r="AK38" i="3"/>
  <c r="AB38" i="3" s="1"/>
  <c r="AK2199" i="3"/>
  <c r="AB2199" i="3" s="1"/>
  <c r="AI2061" i="3"/>
  <c r="AD2061" i="3" s="1"/>
  <c r="AI1789" i="3"/>
  <c r="AD1789" i="3" s="1"/>
  <c r="AK1525" i="3"/>
  <c r="AB1525" i="3" s="1"/>
  <c r="AK1320" i="3"/>
  <c r="AB1320" i="3" s="1"/>
  <c r="AI1161" i="3"/>
  <c r="AD1161" i="3" s="1"/>
  <c r="AI1058" i="3"/>
  <c r="AD1058" i="3" s="1"/>
  <c r="AK886" i="3"/>
  <c r="AB886" i="3" s="1"/>
  <c r="AK410" i="3"/>
  <c r="AB410" i="3" s="1"/>
  <c r="AK301" i="3"/>
  <c r="AB301" i="3" s="1"/>
  <c r="AK19" i="3"/>
  <c r="AB19" i="3" s="1"/>
  <c r="AI8" i="3"/>
  <c r="AD8" i="3" s="1"/>
  <c r="AK2157" i="3"/>
  <c r="AB2157" i="3" s="1"/>
  <c r="AK1811" i="3"/>
  <c r="AB1811" i="3" s="1"/>
  <c r="AI1690" i="3"/>
  <c r="AD1690" i="3" s="1"/>
  <c r="AI1317" i="3"/>
  <c r="AD1317" i="3" s="1"/>
  <c r="AK1213" i="3"/>
  <c r="AB1213" i="3" s="1"/>
  <c r="AK1156" i="3"/>
  <c r="AB1156" i="3" s="1"/>
  <c r="AI897" i="3"/>
  <c r="AD897" i="3" s="1"/>
  <c r="AI886" i="3"/>
  <c r="AD886" i="3" s="1"/>
  <c r="AI630" i="3"/>
  <c r="AD630" i="3" s="1"/>
  <c r="AI375" i="3"/>
  <c r="AD375" i="3" s="1"/>
  <c r="AI209" i="3"/>
  <c r="AD209" i="3" s="1"/>
  <c r="AI299" i="3"/>
  <c r="AD299" i="3" s="1"/>
  <c r="AK8" i="3"/>
  <c r="AB8" i="3" s="1"/>
  <c r="AI2175" i="3"/>
  <c r="AD2175" i="3" s="1"/>
  <c r="AI1852" i="3"/>
  <c r="AD1852" i="3" s="1"/>
  <c r="AI1544" i="3"/>
  <c r="AD1544" i="3" s="1"/>
  <c r="AI1264" i="3"/>
  <c r="AD1264" i="3" s="1"/>
  <c r="AK1291" i="3"/>
  <c r="AB1291" i="3" s="1"/>
  <c r="AI1047" i="3"/>
  <c r="AD1047" i="3" s="1"/>
  <c r="AK2249" i="3"/>
  <c r="AB2249" i="3" s="1"/>
  <c r="AK1986" i="3"/>
  <c r="AB1986" i="3" s="1"/>
  <c r="AI1432" i="3"/>
  <c r="AD1432" i="3" s="1"/>
  <c r="AK685" i="3"/>
  <c r="AK2115" i="3"/>
  <c r="AB2115" i="3" s="1"/>
  <c r="AI2042" i="3"/>
  <c r="AD2042" i="3" s="1"/>
  <c r="AK1769" i="3"/>
  <c r="AB1769" i="3" s="1"/>
  <c r="AI896" i="3"/>
  <c r="AD896" i="3" s="1"/>
  <c r="AI2136" i="3"/>
  <c r="AD2136" i="3" s="1"/>
  <c r="AI1642" i="3"/>
  <c r="AD1642" i="3" s="1"/>
  <c r="AI459" i="3"/>
  <c r="AD459" i="3" s="1"/>
  <c r="AI2270" i="3"/>
  <c r="AD2270" i="3" s="1"/>
  <c r="AK1803" i="3"/>
  <c r="AI1142" i="3"/>
  <c r="AD1142" i="3" s="1"/>
  <c r="AI920" i="3"/>
  <c r="AD920" i="3" s="1"/>
  <c r="AK691" i="3"/>
  <c r="AK2066" i="3"/>
  <c r="AB2066" i="3" s="1"/>
  <c r="AK1228" i="3"/>
  <c r="AB1228" i="3" s="1"/>
  <c r="AI2160" i="3"/>
  <c r="AD2160" i="3" s="1"/>
  <c r="AK720" i="3"/>
  <c r="AB720" i="3" s="1"/>
  <c r="AK2123" i="3"/>
  <c r="AB2123" i="3" s="1"/>
  <c r="AI1746" i="3"/>
  <c r="AD1746" i="3" s="1"/>
  <c r="AK774" i="3"/>
  <c r="AB774" i="3" s="1"/>
  <c r="AK2008" i="3"/>
  <c r="AB2008" i="3" s="1"/>
  <c r="AK1550" i="3"/>
  <c r="AB1550" i="3" s="1"/>
  <c r="AI1289" i="3"/>
  <c r="AD1289" i="3" s="1"/>
  <c r="AK2182" i="3"/>
  <c r="AB2182" i="3" s="1"/>
  <c r="AK2048" i="3"/>
  <c r="AB2048" i="3" s="1"/>
  <c r="AK1873" i="3"/>
  <c r="AB1873" i="3" s="1"/>
  <c r="AI1180" i="3"/>
  <c r="AD1180" i="3" s="1"/>
  <c r="AI2073" i="3"/>
  <c r="AD2073" i="3" s="1"/>
  <c r="AK1628" i="3"/>
  <c r="AI2286" i="3"/>
  <c r="AD2286" i="3" s="1"/>
  <c r="AK2047" i="3"/>
  <c r="AB2047" i="3" s="1"/>
  <c r="AK1117" i="3"/>
  <c r="AB1117" i="3" s="1"/>
  <c r="AK701" i="3"/>
  <c r="AI2122" i="3"/>
  <c r="AD2122" i="3" s="1"/>
  <c r="AI1677" i="3"/>
  <c r="AD1677" i="3" s="1"/>
  <c r="AK979" i="3"/>
  <c r="AB979" i="3" s="1"/>
  <c r="AI461" i="3"/>
  <c r="AD461" i="3" s="1"/>
  <c r="AI437" i="3"/>
  <c r="AD437" i="3" s="1"/>
  <c r="AK333" i="3"/>
  <c r="AB333" i="3" s="1"/>
  <c r="AK293" i="3"/>
  <c r="AB293" i="3" s="1"/>
  <c r="AI303" i="3"/>
  <c r="AD303" i="3" s="1"/>
  <c r="AK61" i="3"/>
  <c r="AB61" i="3" s="1"/>
  <c r="AI90" i="3"/>
  <c r="AD90" i="3" s="1"/>
  <c r="AK64" i="3"/>
  <c r="AB64" i="3" s="1"/>
  <c r="AK163" i="3"/>
  <c r="AB163" i="3" s="1"/>
  <c r="AK2270" i="3"/>
  <c r="AB2270" i="3" s="1"/>
  <c r="AK2215" i="3"/>
  <c r="AB2215" i="3" s="1"/>
  <c r="AK2192" i="3"/>
  <c r="AB2192" i="3" s="1"/>
  <c r="AI2094" i="3"/>
  <c r="AD2094" i="3" s="1"/>
  <c r="AI2106" i="3"/>
  <c r="AD2106" i="3" s="1"/>
  <c r="AI1995" i="3"/>
  <c r="AD1995" i="3" s="1"/>
  <c r="AI1879" i="3"/>
  <c r="AD1879" i="3" s="1"/>
  <c r="AI1815" i="3"/>
  <c r="AD1815" i="3" s="1"/>
  <c r="AK1835" i="3"/>
  <c r="AB1835" i="3" s="1"/>
  <c r="AK1771" i="3"/>
  <c r="AB1771" i="3" s="1"/>
  <c r="AI1619" i="3"/>
  <c r="AD1619" i="3" s="1"/>
  <c r="AK1541" i="3"/>
  <c r="AB1541" i="3" s="1"/>
  <c r="AI1488" i="3"/>
  <c r="AD1488" i="3" s="1"/>
  <c r="AI1342" i="3"/>
  <c r="AD1342" i="3" s="1"/>
  <c r="AI1328" i="3"/>
  <c r="AD1328" i="3" s="1"/>
  <c r="AK1327" i="3"/>
  <c r="AB1327" i="3" s="1"/>
  <c r="AK1289" i="3"/>
  <c r="AB1289" i="3" s="1"/>
  <c r="AK1192" i="3"/>
  <c r="AB1192" i="3" s="1"/>
  <c r="AI1211" i="3"/>
  <c r="AD1211" i="3" s="1"/>
  <c r="AK1094" i="3"/>
  <c r="AB1094" i="3" s="1"/>
  <c r="AK1090" i="3"/>
  <c r="AB1090" i="3" s="1"/>
  <c r="AK981" i="3"/>
  <c r="AI898" i="3"/>
  <c r="AD898" i="3" s="1"/>
  <c r="AK978" i="3"/>
  <c r="AB978" i="3" s="1"/>
  <c r="AK895" i="3"/>
  <c r="AB895" i="3" s="1"/>
  <c r="AI431" i="3"/>
  <c r="AD431" i="3" s="1"/>
  <c r="AI427" i="3"/>
  <c r="AD427" i="3" s="1"/>
  <c r="AK415" i="3"/>
  <c r="AB415" i="3" s="1"/>
  <c r="AK461" i="3"/>
  <c r="AB461" i="3" s="1"/>
  <c r="AK504" i="3"/>
  <c r="AB504" i="3" s="1"/>
  <c r="AI236" i="3"/>
  <c r="AD236" i="3" s="1"/>
  <c r="AI289" i="3"/>
  <c r="AD289" i="3" s="1"/>
  <c r="AI361" i="3"/>
  <c r="AD361" i="3" s="1"/>
  <c r="AK17" i="3"/>
  <c r="AB17" i="3" s="1"/>
  <c r="AK106" i="3"/>
  <c r="AB106" i="3" s="1"/>
  <c r="AI2256" i="3"/>
  <c r="AD2256" i="3" s="1"/>
  <c r="AK2216" i="3"/>
  <c r="AB2216" i="3" s="1"/>
  <c r="AI2226" i="3"/>
  <c r="AD2226" i="3" s="1"/>
  <c r="AI2195" i="3"/>
  <c r="AD2195" i="3" s="1"/>
  <c r="AI2105" i="3"/>
  <c r="AD2105" i="3" s="1"/>
  <c r="AI2053" i="3"/>
  <c r="AD2053" i="3" s="1"/>
  <c r="AI1891" i="3"/>
  <c r="AD1891" i="3" s="1"/>
  <c r="AK1841" i="3"/>
  <c r="AB1841" i="3" s="1"/>
  <c r="AI1809" i="3"/>
  <c r="AD1809" i="3" s="1"/>
  <c r="AI1762" i="3"/>
  <c r="AD1762" i="3" s="1"/>
  <c r="AK1761" i="3"/>
  <c r="AB1761" i="3" s="1"/>
  <c r="AK1569" i="3"/>
  <c r="AK1363" i="3"/>
  <c r="AB1363" i="3" s="1"/>
  <c r="AK1328" i="3"/>
  <c r="AB1328" i="3" s="1"/>
  <c r="AK1372" i="3"/>
  <c r="AB1372" i="3" s="1"/>
  <c r="AK1216" i="3"/>
  <c r="AB1216" i="3" s="1"/>
  <c r="AK1206" i="3"/>
  <c r="AB1206" i="3" s="1"/>
  <c r="AI1054" i="3"/>
  <c r="AD1054" i="3" s="1"/>
  <c r="AK1161" i="3"/>
  <c r="AB1161" i="3" s="1"/>
  <c r="AK1058" i="3"/>
  <c r="AB1058" i="3" s="1"/>
  <c r="AI1015" i="3"/>
  <c r="AD1015" i="3" s="1"/>
  <c r="AI1016" i="3"/>
  <c r="AD1016" i="3" s="1"/>
  <c r="AK897" i="3"/>
  <c r="AB897" i="3" s="1"/>
  <c r="AK887" i="3"/>
  <c r="AB887" i="3" s="1"/>
  <c r="AK893" i="3"/>
  <c r="AB893" i="3" s="1"/>
  <c r="AK680" i="3"/>
  <c r="AK427" i="3"/>
  <c r="AK381" i="3"/>
  <c r="AI410" i="3"/>
  <c r="AD410" i="3" s="1"/>
  <c r="AK210" i="3"/>
  <c r="AB210" i="3" s="1"/>
  <c r="AI305" i="3"/>
  <c r="AD305" i="3" s="1"/>
  <c r="AI418" i="3"/>
  <c r="AD418" i="3" s="1"/>
  <c r="AI178" i="3"/>
  <c r="AD178" i="3" s="1"/>
  <c r="AI215" i="3"/>
  <c r="AD215" i="3" s="1"/>
  <c r="AI261" i="3"/>
  <c r="AD261" i="3" s="1"/>
  <c r="AI89" i="3"/>
  <c r="AD89" i="3" s="1"/>
  <c r="AK30" i="3"/>
  <c r="AB30" i="3" s="1"/>
  <c r="AK2259" i="3"/>
  <c r="AB2259" i="3" s="1"/>
  <c r="AI2229" i="3"/>
  <c r="AD2229" i="3" s="1"/>
  <c r="AI2198" i="3"/>
  <c r="AD2198" i="3" s="1"/>
  <c r="AK2073" i="3"/>
  <c r="AB2073" i="3" s="1"/>
  <c r="AK2035" i="3"/>
  <c r="AB2035" i="3" s="1"/>
  <c r="AI2031" i="3"/>
  <c r="AD2031" i="3" s="1"/>
  <c r="AI1889" i="3"/>
  <c r="AD1889" i="3" s="1"/>
  <c r="AK1815" i="3"/>
  <c r="AB1815" i="3" s="1"/>
  <c r="AK1809" i="3"/>
  <c r="AB1809" i="3" s="1"/>
  <c r="AK1765" i="3"/>
  <c r="AB1765" i="3" s="1"/>
  <c r="AK1567" i="3"/>
  <c r="AK1564" i="3"/>
  <c r="AB1564" i="3" s="1"/>
  <c r="AI1424" i="3"/>
  <c r="AD1424" i="3" s="1"/>
  <c r="AI1448" i="3"/>
  <c r="AD1448" i="3" s="1"/>
  <c r="AK1378" i="3"/>
  <c r="AB1378" i="3" s="1"/>
  <c r="AI1297" i="3"/>
  <c r="AD1297" i="3" s="1"/>
  <c r="AK1261" i="3"/>
  <c r="AB1261" i="3" s="1"/>
  <c r="AI1267" i="3"/>
  <c r="AD1267" i="3" s="1"/>
  <c r="AK1205" i="3"/>
  <c r="AB1205" i="3" s="1"/>
  <c r="AK1184" i="3"/>
  <c r="AB1184" i="3" s="1"/>
  <c r="AI1057" i="3"/>
  <c r="AD1057" i="3" s="1"/>
  <c r="AK956" i="3"/>
  <c r="AB956" i="3" s="1"/>
  <c r="AK811" i="3"/>
  <c r="AI894" i="3"/>
  <c r="AD894" i="3" s="1"/>
  <c r="AK632" i="3"/>
  <c r="AB632" i="3" s="1"/>
  <c r="AI633" i="3"/>
  <c r="AD633" i="3" s="1"/>
  <c r="AK544" i="3"/>
  <c r="AB544" i="3" s="1"/>
  <c r="AI445" i="3"/>
  <c r="AD445" i="3" s="1"/>
  <c r="AK349" i="3"/>
  <c r="AB349" i="3" s="1"/>
  <c r="AI474" i="3"/>
  <c r="AD474" i="3" s="1"/>
  <c r="AI229" i="3"/>
  <c r="AD229" i="3" s="1"/>
  <c r="AK281" i="3"/>
  <c r="AB281" i="3" s="1"/>
  <c r="AK261" i="3"/>
  <c r="AB261" i="3" s="1"/>
  <c r="AI86" i="3"/>
  <c r="AD86" i="3" s="1"/>
  <c r="AI51" i="3"/>
  <c r="AD51" i="3" s="1"/>
  <c r="AK96" i="3"/>
  <c r="AB96" i="3" s="1"/>
  <c r="AI2289" i="3"/>
  <c r="AD2289" i="3" s="1"/>
  <c r="AI2222" i="3"/>
  <c r="AD2222" i="3" s="1"/>
  <c r="AK2145" i="3"/>
  <c r="AB2145" i="3" s="1"/>
  <c r="AI2111" i="3"/>
  <c r="AD2111" i="3" s="1"/>
  <c r="AI2097" i="3"/>
  <c r="AD2097" i="3" s="1"/>
  <c r="AI1996" i="3"/>
  <c r="AD1996" i="3" s="1"/>
  <c r="AK1796" i="3"/>
  <c r="AB1796" i="3" s="1"/>
  <c r="AK1742" i="3"/>
  <c r="AK1573" i="3"/>
  <c r="AI1567" i="3"/>
  <c r="AD1567" i="3" s="1"/>
  <c r="AK1552" i="3"/>
  <c r="AB1552" i="3" s="1"/>
  <c r="AI1377" i="3"/>
  <c r="AD1377" i="3" s="1"/>
  <c r="AK1249" i="3"/>
  <c r="AB1249" i="3" s="1"/>
  <c r="AK1260" i="3"/>
  <c r="AB1260" i="3" s="1"/>
  <c r="AI1291" i="3"/>
  <c r="AD1291" i="3" s="1"/>
  <c r="AK1207" i="3"/>
  <c r="AB1207" i="3" s="1"/>
  <c r="AI1080" i="3"/>
  <c r="AD1080" i="3" s="1"/>
  <c r="AI1026" i="3"/>
  <c r="AD1026" i="3" s="1"/>
  <c r="AK1029" i="3"/>
  <c r="AB1029" i="3" s="1"/>
  <c r="AK982" i="3"/>
  <c r="AB982" i="3" s="1"/>
  <c r="AK1011" i="3"/>
  <c r="AB1011" i="3" s="1"/>
  <c r="AK1004" i="3"/>
  <c r="AB1004" i="3" s="1"/>
  <c r="AK931" i="3"/>
  <c r="AB931" i="3" s="1"/>
  <c r="AI942" i="3"/>
  <c r="AD942" i="3" s="1"/>
  <c r="AI713" i="3"/>
  <c r="AD713" i="3" s="1"/>
  <c r="AI699" i="3"/>
  <c r="AD699" i="3" s="1"/>
  <c r="AK471" i="3"/>
  <c r="AB471" i="3" s="1"/>
  <c r="AI541" i="3"/>
  <c r="AD541" i="3" s="1"/>
  <c r="AK446" i="3"/>
  <c r="AB446" i="3" s="1"/>
  <c r="AI492" i="3"/>
  <c r="AD492" i="3" s="1"/>
  <c r="AK257" i="3"/>
  <c r="AB257" i="3" s="1"/>
  <c r="AK40" i="3"/>
  <c r="AB40" i="3" s="1"/>
  <c r="AI9" i="3"/>
  <c r="AD9" i="3" s="1"/>
  <c r="AK432" i="3"/>
  <c r="AB432" i="3" s="1"/>
  <c r="AI237" i="3"/>
  <c r="AD237" i="3" s="1"/>
  <c r="AK86" i="3"/>
  <c r="AB86" i="3" s="1"/>
  <c r="AK51" i="3"/>
  <c r="AB51" i="3" s="1"/>
  <c r="AI2271" i="3"/>
  <c r="AD2271" i="3" s="1"/>
  <c r="AK2201" i="3"/>
  <c r="AB2201" i="3" s="1"/>
  <c r="AI2193" i="3"/>
  <c r="AD2193" i="3" s="1"/>
  <c r="AK2113" i="3"/>
  <c r="AB2113" i="3" s="1"/>
  <c r="AI2154" i="3"/>
  <c r="AD2154" i="3" s="1"/>
  <c r="AK2102" i="3"/>
  <c r="AB2102" i="3" s="1"/>
  <c r="AI2002" i="3"/>
  <c r="AD2002" i="3" s="1"/>
  <c r="AI1845" i="3"/>
  <c r="AD1845" i="3" s="1"/>
  <c r="AK1750" i="3"/>
  <c r="AK1758" i="3"/>
  <c r="AB1758" i="3" s="1"/>
  <c r="AK1561" i="3"/>
  <c r="AB1561" i="3" s="1"/>
  <c r="AI1498" i="3"/>
  <c r="AD1498" i="3" s="1"/>
  <c r="AK1397" i="3"/>
  <c r="AB1397" i="3" s="1"/>
  <c r="AI1248" i="3"/>
  <c r="AD1248" i="3" s="1"/>
  <c r="AI1208" i="3"/>
  <c r="AD1208" i="3" s="1"/>
  <c r="AI1154" i="3"/>
  <c r="AD1154" i="3" s="1"/>
  <c r="AK1266" i="3"/>
  <c r="AB1266" i="3" s="1"/>
  <c r="AI1200" i="3"/>
  <c r="AD1200" i="3" s="1"/>
  <c r="AI1181" i="3"/>
  <c r="AD1181" i="3" s="1"/>
  <c r="AK980" i="3"/>
  <c r="AB980" i="3" s="1"/>
  <c r="AK946" i="3"/>
  <c r="AB946" i="3" s="1"/>
  <c r="AK804" i="3"/>
  <c r="AI919" i="3"/>
  <c r="AD919" i="3" s="1"/>
  <c r="AK713" i="3"/>
  <c r="AK473" i="3"/>
  <c r="AB473" i="3" s="1"/>
  <c r="AI498" i="3"/>
  <c r="AD498" i="3" s="1"/>
  <c r="AI210" i="3"/>
  <c r="AD210" i="3" s="1"/>
  <c r="AK492" i="3"/>
  <c r="AB492" i="3" s="1"/>
  <c r="AI497" i="3"/>
  <c r="AD497" i="3" s="1"/>
  <c r="AK310" i="3"/>
  <c r="AB310" i="3" s="1"/>
  <c r="AK272" i="3"/>
  <c r="AB272" i="3" s="1"/>
  <c r="AI144" i="3"/>
  <c r="AD144" i="3" s="1"/>
  <c r="AK133" i="3"/>
  <c r="AB133" i="3" s="1"/>
  <c r="AK299" i="3"/>
  <c r="AB299" i="3" s="1"/>
  <c r="AK79" i="3"/>
  <c r="AB79" i="3" s="1"/>
  <c r="AI36" i="3"/>
  <c r="AD36" i="3" s="1"/>
  <c r="AI2279" i="3"/>
  <c r="AD2279" i="3" s="1"/>
  <c r="AK2193" i="3"/>
  <c r="AB2193" i="3" s="1"/>
  <c r="AI2200" i="3"/>
  <c r="AD2200" i="3" s="1"/>
  <c r="AK2099" i="3"/>
  <c r="AB2099" i="3" s="1"/>
  <c r="AI1989" i="3"/>
  <c r="AD1989" i="3" s="1"/>
  <c r="AI1895" i="3"/>
  <c r="AD1895" i="3" s="1"/>
  <c r="AI1767" i="3"/>
  <c r="AD1767" i="3" s="1"/>
  <c r="AK1842" i="3"/>
  <c r="AB1842" i="3" s="1"/>
  <c r="AK1708" i="3"/>
  <c r="AI1553" i="3"/>
  <c r="AD1553" i="3" s="1"/>
  <c r="AK1497" i="3"/>
  <c r="AB1497" i="3" s="1"/>
  <c r="AI1532" i="3"/>
  <c r="AD1532" i="3" s="1"/>
  <c r="AI1247" i="3"/>
  <c r="AD1247" i="3" s="1"/>
  <c r="AK1253" i="3"/>
  <c r="AB1253" i="3" s="1"/>
  <c r="AK1234" i="3"/>
  <c r="AB1234" i="3" s="1"/>
  <c r="AI1104" i="3"/>
  <c r="AD1104" i="3" s="1"/>
  <c r="AK1181" i="3"/>
  <c r="AB1181" i="3" s="1"/>
  <c r="AK1231" i="3"/>
  <c r="AB1231" i="3" s="1"/>
  <c r="AI939" i="3"/>
  <c r="AD939" i="3" s="1"/>
  <c r="AK929" i="3"/>
  <c r="AB929" i="3" s="1"/>
  <c r="AI863" i="3"/>
  <c r="AD863" i="3" s="1"/>
  <c r="AI678" i="3"/>
  <c r="AD678" i="3" s="1"/>
  <c r="AK682" i="3"/>
  <c r="AI471" i="3"/>
  <c r="AD471" i="3" s="1"/>
  <c r="AK487" i="3"/>
  <c r="AB487" i="3" s="1"/>
  <c r="AK497" i="3"/>
  <c r="AB497" i="3" s="1"/>
  <c r="AI310" i="3"/>
  <c r="AD310" i="3" s="1"/>
  <c r="AK180" i="3"/>
  <c r="AB180" i="3" s="1"/>
  <c r="AI177" i="3"/>
  <c r="AD177" i="3" s="1"/>
  <c r="AI218" i="3"/>
  <c r="AD218" i="3" s="1"/>
  <c r="AK84" i="3"/>
  <c r="AB84" i="3" s="1"/>
  <c r="AK36" i="3"/>
  <c r="AB36" i="3" s="1"/>
  <c r="AI2214" i="3"/>
  <c r="AD2214" i="3" s="1"/>
  <c r="AK2136" i="3"/>
  <c r="AB2136" i="3" s="1"/>
  <c r="AK2031" i="3"/>
  <c r="AB2031" i="3" s="1"/>
  <c r="AI1964" i="3"/>
  <c r="AD1964" i="3" s="1"/>
  <c r="AK1878" i="3"/>
  <c r="AB1878" i="3" s="1"/>
  <c r="AI1752" i="3"/>
  <c r="AD1752" i="3" s="1"/>
  <c r="AI1587" i="3"/>
  <c r="AD1587" i="3" s="1"/>
  <c r="AK1553" i="3"/>
  <c r="AB1553" i="3" s="1"/>
  <c r="AK1431" i="3"/>
  <c r="AB1431" i="3" s="1"/>
  <c r="AI1346" i="3"/>
  <c r="AD1346" i="3" s="1"/>
  <c r="AK1348" i="3"/>
  <c r="AB1348" i="3" s="1"/>
  <c r="AK1243" i="3"/>
  <c r="AB1243" i="3" s="1"/>
  <c r="AK1252" i="3"/>
  <c r="AB1252" i="3" s="1"/>
  <c r="AK1368" i="3"/>
  <c r="AB1368" i="3" s="1"/>
  <c r="AK1375" i="3"/>
  <c r="AB1375" i="3" s="1"/>
  <c r="AI1067" i="3"/>
  <c r="AD1067" i="3" s="1"/>
  <c r="AK1018" i="3"/>
  <c r="AB1018" i="3" s="1"/>
  <c r="AI1017" i="3"/>
  <c r="AD1017" i="3" s="1"/>
  <c r="AI1002" i="3"/>
  <c r="AD1002" i="3" s="1"/>
  <c r="AI889" i="3"/>
  <c r="AD889" i="3" s="1"/>
  <c r="AK991" i="3"/>
  <c r="AB991" i="3" s="1"/>
  <c r="AI865" i="3"/>
  <c r="AD865" i="3" s="1"/>
  <c r="AI872" i="3"/>
  <c r="AD872" i="3" s="1"/>
  <c r="AI710" i="3"/>
  <c r="AD710" i="3" s="1"/>
  <c r="AK709" i="3"/>
  <c r="AI357" i="3"/>
  <c r="AD357" i="3" s="1"/>
  <c r="AK430" i="3"/>
  <c r="AB430" i="3" s="1"/>
  <c r="AK377" i="3"/>
  <c r="AI167" i="3"/>
  <c r="AD167" i="3" s="1"/>
  <c r="AK232" i="3"/>
  <c r="AB232" i="3" s="1"/>
  <c r="AK266" i="3"/>
  <c r="AB266" i="3" s="1"/>
  <c r="AK219" i="3"/>
  <c r="AB219" i="3" s="1"/>
  <c r="AI71" i="3"/>
  <c r="AD71" i="3" s="1"/>
  <c r="AI15" i="3"/>
  <c r="AD15" i="3" s="1"/>
  <c r="AI1528" i="3"/>
  <c r="AD1528" i="3" s="1"/>
  <c r="AI1463" i="3"/>
  <c r="AD1463" i="3" s="1"/>
  <c r="AI1492" i="3"/>
  <c r="AD1492" i="3" s="1"/>
  <c r="AK1374" i="3"/>
  <c r="AB1374" i="3" s="1"/>
  <c r="AI1256" i="3"/>
  <c r="AD1256" i="3" s="1"/>
  <c r="AI1275" i="3"/>
  <c r="AD1275" i="3" s="1"/>
  <c r="AI1252" i="3"/>
  <c r="AD1252" i="3" s="1"/>
  <c r="AI1352" i="3"/>
  <c r="AD1352" i="3" s="1"/>
  <c r="AI1171" i="3"/>
  <c r="AD1171" i="3" s="1"/>
  <c r="AK1313" i="3"/>
  <c r="AB1313" i="3" s="1"/>
  <c r="AI1107" i="3"/>
  <c r="AD1107" i="3" s="1"/>
  <c r="AK1014" i="3"/>
  <c r="AB1014" i="3" s="1"/>
  <c r="AK1081" i="3"/>
  <c r="AB1081" i="3" s="1"/>
  <c r="AI905" i="3"/>
  <c r="AD905" i="3" s="1"/>
  <c r="AI864" i="3"/>
  <c r="AD864" i="3" s="1"/>
  <c r="AI880" i="3"/>
  <c r="AD880" i="3" s="1"/>
  <c r="AI677" i="3"/>
  <c r="AD677" i="3" s="1"/>
  <c r="AI806" i="3"/>
  <c r="AD806" i="3" s="1"/>
  <c r="AK383" i="3"/>
  <c r="AB383" i="3" s="1"/>
  <c r="AK496" i="3"/>
  <c r="AB496" i="3" s="1"/>
  <c r="AI248" i="3"/>
  <c r="AD248" i="3" s="1"/>
  <c r="AK140" i="3"/>
  <c r="AB140" i="3" s="1"/>
  <c r="AI338" i="3"/>
  <c r="AD338" i="3" s="1"/>
  <c r="AK85" i="3"/>
  <c r="AB85" i="3" s="1"/>
  <c r="AI68" i="3"/>
  <c r="AD68" i="3" s="1"/>
  <c r="AI115" i="3"/>
  <c r="AD115" i="3" s="1"/>
  <c r="AI2000" i="3"/>
  <c r="AD2000" i="3" s="1"/>
  <c r="AK1930" i="3"/>
  <c r="AB1930" i="3" s="1"/>
  <c r="AK1867" i="3"/>
  <c r="AB1867" i="3" s="1"/>
  <c r="AI1781" i="3"/>
  <c r="AD1781" i="3" s="1"/>
  <c r="AK1585" i="3"/>
  <c r="AK1524" i="3"/>
  <c r="AB1524" i="3" s="1"/>
  <c r="AK1419" i="3"/>
  <c r="AB1419" i="3" s="1"/>
  <c r="AI1374" i="3"/>
  <c r="AD1374" i="3" s="1"/>
  <c r="AK1340" i="3"/>
  <c r="AB1340" i="3" s="1"/>
  <c r="AI1355" i="3"/>
  <c r="AD1355" i="3" s="1"/>
  <c r="AI1294" i="3"/>
  <c r="AD1294" i="3" s="1"/>
  <c r="AI1268" i="3"/>
  <c r="AD1268" i="3" s="1"/>
  <c r="AK1132" i="3"/>
  <c r="AB1132" i="3" s="1"/>
  <c r="AK1017" i="3"/>
  <c r="AB1017" i="3" s="1"/>
  <c r="AK1114" i="3"/>
  <c r="AB1114" i="3" s="1"/>
  <c r="AK1020" i="3"/>
  <c r="AB1020" i="3" s="1"/>
  <c r="AK818" i="3"/>
  <c r="AB818" i="3" s="1"/>
  <c r="AK1031" i="3"/>
  <c r="AB1031" i="3" s="1"/>
  <c r="AK879" i="3"/>
  <c r="AI694" i="3"/>
  <c r="AD694" i="3" s="1"/>
  <c r="AK710" i="3"/>
  <c r="AK936" i="3"/>
  <c r="AB936" i="3" s="1"/>
  <c r="AK457" i="3"/>
  <c r="AB457" i="3" s="1"/>
  <c r="AI484" i="3"/>
  <c r="AD484" i="3" s="1"/>
  <c r="AI364" i="3"/>
  <c r="AD364" i="3" s="1"/>
  <c r="AK439" i="3"/>
  <c r="AB439" i="3" s="1"/>
  <c r="AI378" i="3"/>
  <c r="AD378" i="3" s="1"/>
  <c r="AK248" i="3"/>
  <c r="AB248" i="3" s="1"/>
  <c r="AK340" i="3"/>
  <c r="AB340" i="3" s="1"/>
  <c r="AK199" i="3"/>
  <c r="AB199" i="3" s="1"/>
  <c r="AK216" i="3"/>
  <c r="AB216" i="3" s="1"/>
  <c r="AI52" i="3"/>
  <c r="AD52" i="3" s="1"/>
  <c r="AK10" i="3"/>
  <c r="AB10" i="3" s="1"/>
  <c r="AK2286" i="3"/>
  <c r="AB2286" i="3" s="1"/>
  <c r="AI2208" i="3"/>
  <c r="AD2208" i="3" s="1"/>
  <c r="AI2176" i="3"/>
  <c r="AD2176" i="3" s="1"/>
  <c r="AI2115" i="3"/>
  <c r="AD2115" i="3" s="1"/>
  <c r="AK2085" i="3"/>
  <c r="AB2085" i="3" s="1"/>
  <c r="AK2000" i="3"/>
  <c r="AB2000" i="3" s="1"/>
  <c r="AK1871" i="3"/>
  <c r="AB1871" i="3" s="1"/>
  <c r="AI1823" i="3"/>
  <c r="AD1823" i="3" s="1"/>
  <c r="AI1833" i="3"/>
  <c r="AD1833" i="3" s="1"/>
  <c r="AI1763" i="3"/>
  <c r="AD1763" i="3" s="1"/>
  <c r="AI1520" i="3"/>
  <c r="AD1520" i="3" s="1"/>
  <c r="AI1493" i="3"/>
  <c r="AD1493" i="3" s="1"/>
  <c r="AK1489" i="3"/>
  <c r="AB1489" i="3" s="1"/>
  <c r="AK1386" i="3"/>
  <c r="AB1386" i="3" s="1"/>
  <c r="AK1274" i="3"/>
  <c r="AB1274" i="3" s="1"/>
  <c r="AI1304" i="3"/>
  <c r="AD1304" i="3" s="1"/>
  <c r="AI1326" i="3"/>
  <c r="AD1326" i="3" s="1"/>
  <c r="AI1151" i="3"/>
  <c r="AD1151" i="3" s="1"/>
  <c r="AI1055" i="3"/>
  <c r="AD1055" i="3" s="1"/>
  <c r="AI956" i="3"/>
  <c r="AD956" i="3" s="1"/>
  <c r="AI1103" i="3"/>
  <c r="AD1103" i="3" s="1"/>
  <c r="AI1020" i="3"/>
  <c r="AD1020" i="3" s="1"/>
  <c r="AI826" i="3"/>
  <c r="AD826" i="3" s="1"/>
  <c r="AK933" i="3"/>
  <c r="AB933" i="3" s="1"/>
  <c r="AI870" i="3"/>
  <c r="AD870" i="3" s="1"/>
  <c r="AI885" i="3"/>
  <c r="AD885" i="3" s="1"/>
  <c r="AK703" i="3"/>
  <c r="AI697" i="3"/>
  <c r="AD697" i="3" s="1"/>
  <c r="AI504" i="3"/>
  <c r="AD504" i="3" s="1"/>
  <c r="AI429" i="3"/>
  <c r="AD429" i="3" s="1"/>
  <c r="AI438" i="3"/>
  <c r="AD438" i="3" s="1"/>
  <c r="AI454" i="3"/>
  <c r="AD454" i="3" s="1"/>
  <c r="AI200" i="3"/>
  <c r="AD200" i="3" s="1"/>
  <c r="AK39" i="3"/>
  <c r="AB39" i="3" s="1"/>
  <c r="AK67" i="3"/>
  <c r="AB67" i="3" s="1"/>
  <c r="AK41" i="3"/>
  <c r="AB41" i="3" s="1"/>
  <c r="AK117" i="3"/>
  <c r="AB117" i="3" s="1"/>
  <c r="AI44" i="3"/>
  <c r="AD44" i="3" s="1"/>
  <c r="AK2088" i="3"/>
  <c r="AB2088" i="3" s="1"/>
  <c r="AI2030" i="3"/>
  <c r="AD2030" i="3" s="1"/>
  <c r="AI1910" i="3"/>
  <c r="AD1910" i="3" s="1"/>
  <c r="AK1806" i="3"/>
  <c r="AI1821" i="3"/>
  <c r="AD1821" i="3" s="1"/>
  <c r="AI1784" i="3"/>
  <c r="AD1784" i="3" s="1"/>
  <c r="AI1729" i="3"/>
  <c r="AD1729" i="3" s="1"/>
  <c r="AI1550" i="3"/>
  <c r="AD1550" i="3" s="1"/>
  <c r="AK1481" i="3"/>
  <c r="AB1481" i="3" s="1"/>
  <c r="AI1376" i="3"/>
  <c r="AD1376" i="3" s="1"/>
  <c r="AK1315" i="3"/>
  <c r="AB1315" i="3" s="1"/>
  <c r="AI1306" i="3"/>
  <c r="AD1306" i="3" s="1"/>
  <c r="AK1232" i="3"/>
  <c r="AB1232" i="3" s="1"/>
  <c r="AK1034" i="3"/>
  <c r="AB1034" i="3" s="1"/>
  <c r="AI1012" i="3"/>
  <c r="AD1012" i="3" s="1"/>
  <c r="AK1036" i="3"/>
  <c r="AB1036" i="3" s="1"/>
  <c r="AK1023" i="3"/>
  <c r="AB1023" i="3" s="1"/>
  <c r="AI937" i="3"/>
  <c r="AD937" i="3" s="1"/>
  <c r="AK698" i="3"/>
  <c r="AK707" i="3"/>
  <c r="AK490" i="3"/>
  <c r="AB490" i="3" s="1"/>
  <c r="AK548" i="3"/>
  <c r="AI417" i="3"/>
  <c r="AD417" i="3" s="1"/>
  <c r="AI380" i="3"/>
  <c r="AD380" i="3" s="1"/>
  <c r="AK438" i="3"/>
  <c r="AB438" i="3" s="1"/>
  <c r="AK348" i="3"/>
  <c r="AB348" i="3" s="1"/>
  <c r="AK200" i="3"/>
  <c r="AB200" i="3" s="1"/>
  <c r="AK178" i="3"/>
  <c r="AB178" i="3" s="1"/>
  <c r="AK206" i="3"/>
  <c r="AB206" i="3" s="1"/>
  <c r="AK27" i="3"/>
  <c r="AB27" i="3" s="1"/>
  <c r="AI74" i="3"/>
  <c r="AD74" i="3" s="1"/>
  <c r="AK11" i="3"/>
  <c r="AB11" i="3" s="1"/>
  <c r="AK87" i="3"/>
  <c r="AB87" i="3" s="1"/>
  <c r="AK181" i="3"/>
  <c r="AB181" i="3" s="1"/>
  <c r="AI22" i="3"/>
  <c r="AD22" i="3" s="1"/>
  <c r="AI45" i="3"/>
  <c r="AD45" i="3" s="1"/>
  <c r="AI129" i="3"/>
  <c r="AD129" i="3" s="1"/>
  <c r="AI77" i="3"/>
  <c r="AD77" i="3" s="1"/>
  <c r="AK397" i="3"/>
  <c r="AB397" i="3" s="1"/>
  <c r="AK45" i="3"/>
  <c r="AB45" i="3" s="1"/>
  <c r="AI105" i="3"/>
  <c r="AD105" i="3" s="1"/>
  <c r="AK58" i="3"/>
  <c r="AB58" i="3" s="1"/>
  <c r="AK224" i="3"/>
  <c r="AB224" i="3" s="1"/>
  <c r="AI34" i="3"/>
  <c r="AD34" i="3" s="1"/>
  <c r="AI386" i="3"/>
  <c r="AD386" i="3" s="1"/>
  <c r="AI231" i="3"/>
  <c r="AD231" i="3" s="1"/>
  <c r="AI296" i="3"/>
  <c r="AD296" i="3" s="1"/>
  <c r="AI342" i="3"/>
  <c r="AD342" i="3" s="1"/>
  <c r="AI416" i="3"/>
  <c r="AD416" i="3" s="1"/>
  <c r="AI432" i="3"/>
  <c r="AD432" i="3" s="1"/>
  <c r="AK296" i="3"/>
  <c r="AB296" i="3" s="1"/>
  <c r="AK324" i="3"/>
  <c r="AB324" i="3" s="1"/>
  <c r="AI307" i="3"/>
  <c r="AD307" i="3" s="1"/>
  <c r="AK355" i="3"/>
  <c r="AB355" i="3" s="1"/>
  <c r="AI269" i="3"/>
  <c r="AD269" i="3" s="1"/>
  <c r="AK240" i="3"/>
  <c r="AB240" i="3" s="1"/>
  <c r="AI349" i="3"/>
  <c r="AD349" i="3" s="1"/>
  <c r="AK222" i="3"/>
  <c r="AB222" i="3" s="1"/>
  <c r="AK284" i="3"/>
  <c r="AB284" i="3" s="1"/>
  <c r="AI330" i="3"/>
  <c r="AD330" i="3" s="1"/>
  <c r="AI377" i="3"/>
  <c r="AD377" i="3" s="1"/>
  <c r="AK358" i="3"/>
  <c r="AB358" i="3" s="1"/>
  <c r="AI453" i="3"/>
  <c r="AD453" i="3" s="1"/>
  <c r="AI548" i="3"/>
  <c r="AD548" i="3" s="1"/>
  <c r="AK502" i="3"/>
  <c r="AB502" i="3" s="1"/>
  <c r="AI543" i="3"/>
  <c r="AD543" i="3" s="1"/>
  <c r="AK543" i="3"/>
  <c r="AB543" i="3" s="1"/>
  <c r="AI392" i="3"/>
  <c r="AD392" i="3" s="1"/>
  <c r="AI420" i="3"/>
  <c r="AD420" i="3" s="1"/>
  <c r="AK484" i="3"/>
  <c r="AB484" i="3" s="1"/>
  <c r="AK388" i="3"/>
  <c r="AB388" i="3" s="1"/>
  <c r="AK412" i="3"/>
  <c r="AB412" i="3" s="1"/>
  <c r="AI460" i="3"/>
  <c r="AD460" i="3" s="1"/>
  <c r="AK542" i="3"/>
  <c r="AB542" i="3" s="1"/>
  <c r="AK852" i="3"/>
  <c r="AB852" i="3" s="1"/>
  <c r="AI720" i="3"/>
  <c r="AD720" i="3" s="1"/>
  <c r="AI827" i="3"/>
  <c r="AD827" i="3" s="1"/>
  <c r="AK806" i="3"/>
  <c r="AB806" i="3" s="1"/>
  <c r="AI688" i="3"/>
  <c r="AD688" i="3" s="1"/>
  <c r="AI704" i="3"/>
  <c r="AD704" i="3" s="1"/>
  <c r="AI813" i="3"/>
  <c r="AD813" i="3" s="1"/>
  <c r="AI679" i="3"/>
  <c r="AD679" i="3" s="1"/>
  <c r="AK767" i="3"/>
  <c r="AB767" i="3" s="1"/>
  <c r="AI672" i="3"/>
  <c r="AD672" i="3" s="1"/>
  <c r="AK696" i="3"/>
  <c r="AI879" i="3"/>
  <c r="AD879" i="3" s="1"/>
  <c r="AK669" i="3"/>
  <c r="AK671" i="3"/>
  <c r="AI673" i="3"/>
  <c r="AD673" i="3" s="1"/>
  <c r="AK856" i="3"/>
  <c r="AB856" i="3" s="1"/>
  <c r="AI884" i="3"/>
  <c r="AD884" i="3" s="1"/>
  <c r="AI932" i="3"/>
  <c r="AD932" i="3" s="1"/>
  <c r="AI875" i="3"/>
  <c r="AD875" i="3" s="1"/>
  <c r="AK876" i="3"/>
  <c r="AI945" i="3"/>
  <c r="AD945" i="3" s="1"/>
  <c r="AK805" i="3"/>
  <c r="AK899" i="3"/>
  <c r="AB899" i="3" s="1"/>
  <c r="AK938" i="3"/>
  <c r="AB938" i="3" s="1"/>
  <c r="AI1034" i="3"/>
  <c r="AD1034" i="3" s="1"/>
  <c r="AI982" i="3"/>
  <c r="AD982" i="3" s="1"/>
  <c r="AI949" i="3"/>
  <c r="AD949" i="3" s="1"/>
  <c r="AI998" i="3"/>
  <c r="AD998" i="3" s="1"/>
  <c r="AI990" i="3"/>
  <c r="AD990" i="3" s="1"/>
  <c r="AK1144" i="3"/>
  <c r="AB1144" i="3" s="1"/>
  <c r="AK994" i="3"/>
  <c r="AB994" i="3" s="1"/>
  <c r="AK990" i="3"/>
  <c r="AB990" i="3" s="1"/>
  <c r="AK1119" i="3"/>
  <c r="AB1119" i="3" s="1"/>
  <c r="AI1261" i="3"/>
  <c r="AD1261" i="3" s="1"/>
  <c r="AK1157" i="3"/>
  <c r="AB1157" i="3" s="1"/>
  <c r="AK1218" i="3"/>
  <c r="AB1218" i="3" s="1"/>
  <c r="AI1095" i="3"/>
  <c r="AD1095" i="3" s="1"/>
  <c r="AI1077" i="3"/>
  <c r="AD1077" i="3" s="1"/>
  <c r="AI1309" i="3"/>
  <c r="AD1309" i="3" s="1"/>
  <c r="AI1282" i="3"/>
  <c r="AD1282" i="3" s="1"/>
  <c r="AI1202" i="3"/>
  <c r="AD1202" i="3" s="1"/>
  <c r="AK1185" i="3"/>
  <c r="AB1185" i="3" s="1"/>
  <c r="AK1158" i="3"/>
  <c r="AB1158" i="3" s="1"/>
  <c r="AK1220" i="3"/>
  <c r="AB1220" i="3" s="1"/>
  <c r="AK1202" i="3"/>
  <c r="AB1202" i="3" s="1"/>
  <c r="AK1165" i="3"/>
  <c r="AB1165" i="3" s="1"/>
  <c r="AI1206" i="3"/>
  <c r="AD1206" i="3" s="1"/>
  <c r="AK1238" i="3"/>
  <c r="AB1238" i="3" s="1"/>
  <c r="AI1194" i="3"/>
  <c r="AD1194" i="3" s="1"/>
  <c r="AI1303" i="3"/>
  <c r="AD1303" i="3" s="1"/>
  <c r="AI1270" i="3"/>
  <c r="AD1270" i="3" s="1"/>
  <c r="AI1287" i="3"/>
  <c r="AD1287" i="3" s="1"/>
  <c r="AI1229" i="3"/>
  <c r="AD1229" i="3" s="1"/>
  <c r="AI1191" i="3"/>
  <c r="AD1191" i="3" s="1"/>
  <c r="AK1225" i="3"/>
  <c r="AB1225" i="3" s="1"/>
  <c r="AK1264" i="3"/>
  <c r="AB1264" i="3" s="1"/>
  <c r="AI1459" i="3"/>
  <c r="AD1459" i="3" s="1"/>
  <c r="AI1298" i="3"/>
  <c r="AD1298" i="3" s="1"/>
  <c r="AI1339" i="3"/>
  <c r="AD1339" i="3" s="1"/>
  <c r="AK1298" i="3"/>
  <c r="AB1298" i="3" s="1"/>
  <c r="AI1506" i="3"/>
  <c r="AD1506" i="3" s="1"/>
  <c r="AK1361" i="3"/>
  <c r="AB1361" i="3" s="1"/>
  <c r="AK1380" i="3"/>
  <c r="AB1380" i="3" s="1"/>
  <c r="AK1443" i="3"/>
  <c r="AB1443" i="3" s="1"/>
  <c r="AK1385" i="3"/>
  <c r="AB1385" i="3" s="1"/>
  <c r="AK1538" i="3"/>
  <c r="AB1538" i="3" s="1"/>
  <c r="AK1486" i="3"/>
  <c r="AB1486" i="3" s="1"/>
  <c r="AK1405" i="3"/>
  <c r="AB1405" i="3" s="1"/>
  <c r="AI1421" i="3"/>
  <c r="AD1421" i="3" s="1"/>
  <c r="AK1546" i="3"/>
  <c r="AB1546" i="3" s="1"/>
  <c r="AI1526" i="3"/>
  <c r="AD1526" i="3" s="1"/>
  <c r="AK1500" i="3"/>
  <c r="AB1500" i="3" s="1"/>
  <c r="AI1435" i="3"/>
  <c r="AD1435" i="3" s="1"/>
  <c r="AI1525" i="3"/>
  <c r="AD1525" i="3" s="1"/>
  <c r="AK1517" i="3"/>
  <c r="AB1517" i="3" s="1"/>
  <c r="AI1692" i="3"/>
  <c r="AD1692" i="3" s="1"/>
  <c r="AK1710" i="3"/>
  <c r="AI1546" i="3"/>
  <c r="AD1546" i="3" s="1"/>
  <c r="AK1700" i="3"/>
  <c r="AK1739" i="3"/>
  <c r="AI1745" i="3"/>
  <c r="AD1745" i="3" s="1"/>
  <c r="AI1655" i="3"/>
  <c r="AD1655" i="3" s="1"/>
  <c r="AK1619" i="3"/>
  <c r="AI1700" i="3"/>
  <c r="AD1700" i="3" s="1"/>
  <c r="AI1764" i="3"/>
  <c r="AD1764" i="3" s="1"/>
  <c r="AI1800" i="3"/>
  <c r="AD1800" i="3" s="1"/>
  <c r="AI1754" i="3"/>
  <c r="AD1754" i="3" s="1"/>
  <c r="AI1739" i="3"/>
  <c r="AD1739" i="3" s="1"/>
  <c r="AK1757" i="3"/>
  <c r="AB1757" i="3" s="1"/>
  <c r="AI1842" i="3"/>
  <c r="AD1842" i="3" s="1"/>
  <c r="AI1807" i="3"/>
  <c r="AD1807" i="3" s="1"/>
  <c r="AI1814" i="3"/>
  <c r="AD1814" i="3" s="1"/>
  <c r="AI1768" i="3"/>
  <c r="AD1768" i="3" s="1"/>
  <c r="AK1843" i="3"/>
  <c r="AB1843" i="3" s="1"/>
  <c r="AI1882" i="3"/>
  <c r="AD1882" i="3" s="1"/>
  <c r="AI1929" i="3"/>
  <c r="AD1929" i="3" s="1"/>
  <c r="AI1838" i="3"/>
  <c r="AD1838" i="3" s="1"/>
  <c r="AK1826" i="3"/>
  <c r="AB1826" i="3" s="1"/>
  <c r="AI1871" i="3"/>
  <c r="AD1871" i="3" s="1"/>
  <c r="AI1875" i="3"/>
  <c r="AD1875" i="3" s="1"/>
  <c r="AK1875" i="3"/>
  <c r="AB1875" i="3" s="1"/>
  <c r="AK1995" i="3"/>
  <c r="AB1995" i="3" s="1"/>
  <c r="AK2032" i="3"/>
  <c r="AB2032" i="3" s="1"/>
  <c r="AK1996" i="3"/>
  <c r="AB1996" i="3" s="1"/>
  <c r="AI1988" i="3"/>
  <c r="AD1988" i="3" s="1"/>
  <c r="AI2029" i="3"/>
  <c r="AD2029" i="3" s="1"/>
  <c r="AI2044" i="3"/>
  <c r="AD2044" i="3" s="1"/>
  <c r="AI2109" i="3"/>
  <c r="AD2109" i="3" s="1"/>
  <c r="AI2110" i="3"/>
  <c r="AD2110" i="3" s="1"/>
  <c r="AI2139" i="3"/>
  <c r="AD2139" i="3" s="1"/>
  <c r="AK2212" i="3"/>
  <c r="AB2212" i="3" s="1"/>
  <c r="AK2124" i="3"/>
  <c r="AB2124" i="3" s="1"/>
  <c r="AI2113" i="3"/>
  <c r="AD2113" i="3" s="1"/>
  <c r="AI2153" i="3"/>
  <c r="AD2153" i="3" s="1"/>
  <c r="AK2236" i="3"/>
  <c r="AB2236" i="3" s="1"/>
  <c r="AI2169" i="3"/>
  <c r="AD2169" i="3" s="1"/>
  <c r="AK2176" i="3"/>
  <c r="AB2176" i="3" s="1"/>
  <c r="AI2220" i="3"/>
  <c r="AD2220" i="3" s="1"/>
  <c r="AK2221" i="3"/>
  <c r="AB2221" i="3" s="1"/>
  <c r="AK2220" i="3"/>
  <c r="AB2220" i="3" s="1"/>
  <c r="AK2238" i="3"/>
  <c r="AB2238" i="3" s="1"/>
  <c r="AK2242" i="3"/>
  <c r="AB2242" i="3" s="1"/>
  <c r="AK2248" i="3"/>
  <c r="AB2248" i="3" s="1"/>
  <c r="AI2268" i="3"/>
  <c r="AD2268" i="3" s="1"/>
  <c r="AI921" i="3"/>
  <c r="AD921" i="3" s="1"/>
  <c r="AI1897" i="3"/>
  <c r="AD1897" i="3" s="1"/>
  <c r="AI1810" i="3"/>
  <c r="AD1810" i="3" s="1"/>
  <c r="AK1999" i="3"/>
  <c r="AB1999" i="3" s="1"/>
  <c r="AK890" i="3"/>
  <c r="AB890" i="3" s="1"/>
  <c r="AI1737" i="3"/>
  <c r="AD1737" i="3" s="1"/>
  <c r="AK2160" i="3"/>
  <c r="AB2160" i="3" s="1"/>
  <c r="AK2110" i="3"/>
  <c r="AB2110" i="3" s="1"/>
  <c r="AI2238" i="3"/>
  <c r="AD2238" i="3" s="1"/>
  <c r="AI1216" i="3"/>
  <c r="AD1216" i="3" s="1"/>
  <c r="AK1788" i="3"/>
  <c r="AB1788" i="3" s="1"/>
  <c r="AK955" i="3"/>
  <c r="AB955" i="3" s="1"/>
  <c r="AK1182" i="3"/>
  <c r="AB1182" i="3" s="1"/>
  <c r="AI319" i="3"/>
  <c r="AD319" i="3" s="1"/>
  <c r="AK109" i="3"/>
  <c r="AB109" i="3" s="1"/>
  <c r="AK2282" i="3"/>
  <c r="AB2282" i="3" s="1"/>
  <c r="AI2143" i="3"/>
  <c r="AD2143" i="3" s="1"/>
  <c r="AK1924" i="3"/>
  <c r="AB1924" i="3" s="1"/>
  <c r="AI1573" i="3"/>
  <c r="AD1573" i="3" s="1"/>
  <c r="AK1347" i="3"/>
  <c r="AB1347" i="3" s="1"/>
  <c r="AK1262" i="3"/>
  <c r="AB1262" i="3" s="1"/>
  <c r="AK1159" i="3"/>
  <c r="AB1159" i="3" s="1"/>
  <c r="AK988" i="3"/>
  <c r="AB988" i="3" s="1"/>
  <c r="AI684" i="3"/>
  <c r="AD684" i="3" s="1"/>
  <c r="AI499" i="3"/>
  <c r="AD499" i="3" s="1"/>
  <c r="AI326" i="3"/>
  <c r="AD326" i="3" s="1"/>
  <c r="AK90" i="3"/>
  <c r="AB90" i="3" s="1"/>
  <c r="AI2259" i="3"/>
  <c r="AD2259" i="3" s="1"/>
  <c r="AK2106" i="3"/>
  <c r="AB2106" i="3" s="1"/>
  <c r="AI1854" i="3"/>
  <c r="AD1854" i="3" s="1"/>
  <c r="AI1710" i="3"/>
  <c r="AD1710" i="3" s="1"/>
  <c r="AK1484" i="3"/>
  <c r="AB1484" i="3" s="1"/>
  <c r="AK1229" i="3"/>
  <c r="AB1229" i="3" s="1"/>
  <c r="AI1157" i="3"/>
  <c r="AD1157" i="3" s="1"/>
  <c r="AI938" i="3"/>
  <c r="AD938" i="3" s="1"/>
  <c r="AK684" i="3"/>
  <c r="AI503" i="3"/>
  <c r="AD503" i="3" s="1"/>
  <c r="AI409" i="3"/>
  <c r="AD409" i="3" s="1"/>
  <c r="AK289" i="3"/>
  <c r="AB289" i="3" s="1"/>
  <c r="AK361" i="3"/>
  <c r="AB361" i="3" s="1"/>
  <c r="AI2240" i="3"/>
  <c r="AD2240" i="3" s="1"/>
  <c r="AK2137" i="3"/>
  <c r="AB2137" i="3" s="1"/>
  <c r="AK1865" i="3"/>
  <c r="AB1865" i="3" s="1"/>
  <c r="AI1756" i="3"/>
  <c r="AD1756" i="3" s="1"/>
  <c r="AI1552" i="3"/>
  <c r="AD1552" i="3" s="1"/>
  <c r="AI1364" i="3"/>
  <c r="AD1364" i="3" s="1"/>
  <c r="AI1207" i="3"/>
  <c r="AD1207" i="3" s="1"/>
  <c r="AK1016" i="3"/>
  <c r="AB1016" i="3" s="1"/>
  <c r="AK702" i="3"/>
  <c r="AI419" i="3"/>
  <c r="AD419" i="3" s="1"/>
  <c r="AK188" i="3"/>
  <c r="AB188" i="3" s="1"/>
  <c r="AK277" i="3"/>
  <c r="AB277" i="3" s="1"/>
  <c r="AK2266" i="3"/>
  <c r="AB2266" i="3" s="1"/>
  <c r="AK2009" i="3"/>
  <c r="AB2009" i="3" s="1"/>
  <c r="AI1706" i="3"/>
  <c r="AD1706" i="3" s="1"/>
  <c r="AK1448" i="3"/>
  <c r="AB1448" i="3" s="1"/>
  <c r="AI1179" i="3"/>
  <c r="AD1179" i="3" s="1"/>
  <c r="AI1053" i="3"/>
  <c r="AD1053" i="3" s="1"/>
  <c r="AK889" i="3"/>
  <c r="AB889" i="3" s="1"/>
  <c r="AI828" i="3"/>
  <c r="AD828" i="3" s="1"/>
  <c r="AI588" i="3"/>
  <c r="AD588" i="3" s="1"/>
  <c r="AI186" i="3"/>
  <c r="AD186" i="3" s="1"/>
  <c r="AI268" i="3"/>
  <c r="AD268" i="3" s="1"/>
  <c r="AI67" i="3"/>
  <c r="AD67" i="3" s="1"/>
  <c r="AI2199" i="3"/>
  <c r="AD2199" i="3" s="1"/>
  <c r="AI2126" i="3"/>
  <c r="AD2126" i="3" s="1"/>
  <c r="AI1615" i="3"/>
  <c r="AD1615" i="3" s="1"/>
  <c r="AI1349" i="3"/>
  <c r="AD1349" i="3" s="1"/>
  <c r="AK1288" i="3"/>
  <c r="AB1288" i="3" s="1"/>
  <c r="AK1007" i="3"/>
  <c r="AB1007" i="3" s="1"/>
  <c r="AI2203" i="3"/>
  <c r="AD2203" i="3" s="1"/>
  <c r="AK1852" i="3"/>
  <c r="AB1852" i="3" s="1"/>
  <c r="AI1094" i="3"/>
  <c r="AD1094" i="3" s="1"/>
  <c r="AK2268" i="3"/>
  <c r="AB2268" i="3" s="1"/>
  <c r="AK2131" i="3"/>
  <c r="AB2131" i="3" s="1"/>
  <c r="AI2041" i="3"/>
  <c r="AD2041" i="3" s="1"/>
  <c r="AK1571" i="3"/>
  <c r="AI2180" i="3"/>
  <c r="AD2180" i="3" s="1"/>
  <c r="AK2041" i="3"/>
  <c r="AB2041" i="3" s="1"/>
  <c r="AK1551" i="3"/>
  <c r="AB1551" i="3" s="1"/>
  <c r="AK494" i="3"/>
  <c r="AB494" i="3" s="1"/>
  <c r="AI2276" i="3"/>
  <c r="AD2276" i="3" s="1"/>
  <c r="AI1604" i="3"/>
  <c r="AD1604" i="3" s="1"/>
  <c r="AI1232" i="3"/>
  <c r="AD1232" i="3" s="1"/>
  <c r="AK904" i="3"/>
  <c r="AI406" i="3"/>
  <c r="AD406" i="3" s="1"/>
  <c r="AK1964" i="3"/>
  <c r="AB1964" i="3" s="1"/>
  <c r="AI978" i="3"/>
  <c r="AD978" i="3" s="1"/>
  <c r="AI1770" i="3"/>
  <c r="AD1770" i="3" s="1"/>
  <c r="AI997" i="3"/>
  <c r="AD997" i="3" s="1"/>
  <c r="AI2085" i="3"/>
  <c r="AD2085" i="3" s="1"/>
  <c r="AK1379" i="3"/>
  <c r="AB1379" i="3" s="1"/>
  <c r="AI2263" i="3"/>
  <c r="AD2263" i="3" s="1"/>
  <c r="AI1874" i="3"/>
  <c r="AD1874" i="3" s="1"/>
  <c r="AI1497" i="3"/>
  <c r="AD1497" i="3" s="1"/>
  <c r="AI981" i="3"/>
  <c r="AD981" i="3" s="1"/>
  <c r="AI2108" i="3"/>
  <c r="AD2108" i="3" s="1"/>
  <c r="AK1910" i="3"/>
  <c r="AB1910" i="3" s="1"/>
  <c r="AI1322" i="3"/>
  <c r="AD1322" i="3" s="1"/>
  <c r="AI635" i="3"/>
  <c r="AD635" i="3" s="1"/>
  <c r="AI2009" i="3"/>
  <c r="AD2009" i="3" s="1"/>
  <c r="AI1389" i="3"/>
  <c r="AD1389" i="3" s="1"/>
  <c r="AI2257" i="3"/>
  <c r="AD2257" i="3" s="1"/>
  <c r="AI1759" i="3"/>
  <c r="AD1759" i="3" s="1"/>
  <c r="AI1035" i="3"/>
  <c r="AD1035" i="3" s="1"/>
  <c r="AK2274" i="3"/>
  <c r="AB2274" i="3" s="1"/>
  <c r="AK2109" i="3"/>
  <c r="AB2109" i="3" s="1"/>
  <c r="AI1445" i="3"/>
  <c r="AD1445" i="3" s="1"/>
  <c r="AK686" i="3"/>
  <c r="AI382" i="3"/>
  <c r="AD382" i="3" s="1"/>
  <c r="AI403" i="3"/>
  <c r="AD403" i="3" s="1"/>
  <c r="AK122" i="3"/>
  <c r="AB122" i="3" s="1"/>
  <c r="AK179" i="3"/>
  <c r="AB179" i="3" s="1"/>
  <c r="AI92" i="3"/>
  <c r="AD92" i="3" s="1"/>
  <c r="AI433" i="3"/>
  <c r="AD433" i="3" s="1"/>
  <c r="AI12" i="3"/>
  <c r="AD12" i="3" s="1"/>
  <c r="AK105" i="3"/>
  <c r="AB105" i="3" s="1"/>
  <c r="AI58" i="3"/>
  <c r="AD58" i="3" s="1"/>
  <c r="AK2261" i="3"/>
  <c r="AB2261" i="3" s="1"/>
  <c r="AI2177" i="3"/>
  <c r="AD2177" i="3" s="1"/>
  <c r="AI2148" i="3"/>
  <c r="AD2148" i="3" s="1"/>
  <c r="AK2104" i="3"/>
  <c r="AB2104" i="3" s="1"/>
  <c r="AK2103" i="3"/>
  <c r="AB2103" i="3" s="1"/>
  <c r="AI2038" i="3"/>
  <c r="AD2038" i="3" s="1"/>
  <c r="AI1877" i="3"/>
  <c r="AD1877" i="3" s="1"/>
  <c r="AI1841" i="3"/>
  <c r="AD1841" i="3" s="1"/>
  <c r="AK1782" i="3"/>
  <c r="AB1782" i="3" s="1"/>
  <c r="AI1761" i="3"/>
  <c r="AD1761" i="3" s="1"/>
  <c r="AI1565" i="3"/>
  <c r="AD1565" i="3" s="1"/>
  <c r="AI1555" i="3"/>
  <c r="AD1555" i="3" s="1"/>
  <c r="AK1439" i="3"/>
  <c r="AB1439" i="3" s="1"/>
  <c r="AK1365" i="3"/>
  <c r="AB1365" i="3" s="1"/>
  <c r="AI1372" i="3"/>
  <c r="AD1372" i="3" s="1"/>
  <c r="AK1322" i="3"/>
  <c r="AB1322" i="3" s="1"/>
  <c r="AI1222" i="3"/>
  <c r="AD1222" i="3" s="1"/>
  <c r="AK1302" i="3"/>
  <c r="AB1302" i="3" s="1"/>
  <c r="AI1214" i="3"/>
  <c r="AD1214" i="3" s="1"/>
  <c r="AI1009" i="3"/>
  <c r="AD1009" i="3" s="1"/>
  <c r="AI1027" i="3"/>
  <c r="AD1027" i="3" s="1"/>
  <c r="AI873" i="3"/>
  <c r="AD873" i="3" s="1"/>
  <c r="AI1000" i="3"/>
  <c r="AD1000" i="3" s="1"/>
  <c r="AK997" i="3"/>
  <c r="AB997" i="3" s="1"/>
  <c r="AI893" i="3"/>
  <c r="AD893" i="3" s="1"/>
  <c r="AK435" i="3"/>
  <c r="AB435" i="3" s="1"/>
  <c r="AK503" i="3"/>
  <c r="AB503" i="3" s="1"/>
  <c r="AI264" i="3"/>
  <c r="AD264" i="3" s="1"/>
  <c r="AI421" i="3"/>
  <c r="AD421" i="3" s="1"/>
  <c r="AK437" i="3"/>
  <c r="AB437" i="3" s="1"/>
  <c r="AK319" i="3"/>
  <c r="AB319" i="3" s="1"/>
  <c r="AK433" i="3"/>
  <c r="AB433" i="3" s="1"/>
  <c r="AK275" i="3"/>
  <c r="AB275" i="3" s="1"/>
  <c r="AI126" i="3"/>
  <c r="AD126" i="3" s="1"/>
  <c r="AI38" i="3"/>
  <c r="AD38" i="3" s="1"/>
  <c r="AI2244" i="3"/>
  <c r="AD2244" i="3" s="1"/>
  <c r="AK2209" i="3"/>
  <c r="AB2209" i="3" s="1"/>
  <c r="AI2202" i="3"/>
  <c r="AD2202" i="3" s="1"/>
  <c r="AI2132" i="3"/>
  <c r="AD2132" i="3" s="1"/>
  <c r="AI2103" i="3"/>
  <c r="AD2103" i="3" s="1"/>
  <c r="AI1990" i="3"/>
  <c r="AD1990" i="3" s="1"/>
  <c r="AK1889" i="3"/>
  <c r="AB1889" i="3" s="1"/>
  <c r="AK1786" i="3"/>
  <c r="AB1786" i="3" s="1"/>
  <c r="AI1743" i="3"/>
  <c r="AD1743" i="3" s="1"/>
  <c r="AI1769" i="3"/>
  <c r="AD1769" i="3" s="1"/>
  <c r="AK1617" i="3"/>
  <c r="AK1555" i="3"/>
  <c r="AB1555" i="3" s="1"/>
  <c r="AI1365" i="3"/>
  <c r="AD1365" i="3" s="1"/>
  <c r="AI1320" i="3"/>
  <c r="AD1320" i="3" s="1"/>
  <c r="AK1338" i="3"/>
  <c r="AB1338" i="3" s="1"/>
  <c r="AI1292" i="3"/>
  <c r="AD1292" i="3" s="1"/>
  <c r="AI1201" i="3"/>
  <c r="AD1201" i="3" s="1"/>
  <c r="AI1205" i="3"/>
  <c r="AD1205" i="3" s="1"/>
  <c r="AI1224" i="3"/>
  <c r="AD1224" i="3" s="1"/>
  <c r="AI1036" i="3"/>
  <c r="AD1036" i="3" s="1"/>
  <c r="AI1028" i="3"/>
  <c r="AD1028" i="3" s="1"/>
  <c r="AI1118" i="3"/>
  <c r="AD1118" i="3" s="1"/>
  <c r="AK1000" i="3"/>
  <c r="AB1000" i="3" s="1"/>
  <c r="AK894" i="3"/>
  <c r="AB894" i="3" s="1"/>
  <c r="AI690" i="3"/>
  <c r="AD690" i="3" s="1"/>
  <c r="AI1030" i="3"/>
  <c r="AD1030" i="3" s="1"/>
  <c r="AI546" i="3"/>
  <c r="AD546" i="3" s="1"/>
  <c r="AI263" i="3"/>
  <c r="AD263" i="3" s="1"/>
  <c r="AK369" i="3"/>
  <c r="AB369" i="3" s="1"/>
  <c r="AI358" i="3"/>
  <c r="AD358" i="3" s="1"/>
  <c r="AK407" i="3"/>
  <c r="AB407" i="3" s="1"/>
  <c r="AK218" i="3"/>
  <c r="AB218" i="3" s="1"/>
  <c r="AK351" i="3"/>
  <c r="AB351" i="3" s="1"/>
  <c r="AK50" i="3"/>
  <c r="AB50" i="3" s="1"/>
  <c r="AK56" i="3"/>
  <c r="AB56" i="3" s="1"/>
  <c r="AI20" i="3"/>
  <c r="AD20" i="3" s="1"/>
  <c r="AI2260" i="3"/>
  <c r="AD2260" i="3" s="1"/>
  <c r="AI2211" i="3"/>
  <c r="AD2211" i="3" s="1"/>
  <c r="AI2227" i="3"/>
  <c r="AD2227" i="3" s="1"/>
  <c r="AK2204" i="3"/>
  <c r="AB2204" i="3" s="1"/>
  <c r="AK2111" i="3"/>
  <c r="AB2111" i="3" s="1"/>
  <c r="AK2108" i="3"/>
  <c r="AB2108" i="3" s="1"/>
  <c r="AK1989" i="3"/>
  <c r="AB1989" i="3" s="1"/>
  <c r="AI1901" i="3"/>
  <c r="AD1901" i="3" s="1"/>
  <c r="AI1796" i="3"/>
  <c r="AD1796" i="3" s="1"/>
  <c r="AI1773" i="3"/>
  <c r="AD1773" i="3" s="1"/>
  <c r="AK1756" i="3"/>
  <c r="AB1756" i="3" s="1"/>
  <c r="AK1444" i="3"/>
  <c r="AB1444" i="3" s="1"/>
  <c r="AI1569" i="3"/>
  <c r="AD1569" i="3" s="1"/>
  <c r="AK1531" i="3"/>
  <c r="AB1531" i="3" s="1"/>
  <c r="AK1421" i="3"/>
  <c r="AB1421" i="3" s="1"/>
  <c r="AK1239" i="3"/>
  <c r="AB1239" i="3" s="1"/>
  <c r="AI1338" i="3"/>
  <c r="AD1338" i="3" s="1"/>
  <c r="AK1259" i="3"/>
  <c r="AB1259" i="3" s="1"/>
  <c r="AK1187" i="3"/>
  <c r="AB1187" i="3" s="1"/>
  <c r="AK1224" i="3"/>
  <c r="AB1224" i="3" s="1"/>
  <c r="AI1156" i="3"/>
  <c r="AD1156" i="3" s="1"/>
  <c r="AK1012" i="3"/>
  <c r="AB1012" i="3" s="1"/>
  <c r="AK1118" i="3"/>
  <c r="AB1118" i="3" s="1"/>
  <c r="AI931" i="3"/>
  <c r="AD931" i="3" s="1"/>
  <c r="AK690" i="3"/>
  <c r="AK1030" i="3"/>
  <c r="AB1030" i="3" s="1"/>
  <c r="AI800" i="3"/>
  <c r="AD800" i="3" s="1"/>
  <c r="AK505" i="3"/>
  <c r="AB505" i="3" s="1"/>
  <c r="AK353" i="3"/>
  <c r="AB353" i="3" s="1"/>
  <c r="AK458" i="3"/>
  <c r="AB458" i="3" s="1"/>
  <c r="AK418" i="3"/>
  <c r="AI80" i="3"/>
  <c r="AD80" i="3" s="1"/>
  <c r="AK192" i="3"/>
  <c r="AB192" i="3" s="1"/>
  <c r="AI43" i="3"/>
  <c r="AD43" i="3" s="1"/>
  <c r="AK89" i="3"/>
  <c r="AB89" i="3" s="1"/>
  <c r="AI116" i="3"/>
  <c r="AD116" i="3" s="1"/>
  <c r="AK121" i="3"/>
  <c r="AB121" i="3" s="1"/>
  <c r="AI2248" i="3"/>
  <c r="AD2248" i="3" s="1"/>
  <c r="AK2198" i="3"/>
  <c r="AB2198" i="3" s="1"/>
  <c r="AI2204" i="3"/>
  <c r="AD2204" i="3" s="1"/>
  <c r="AK2126" i="3"/>
  <c r="AB2126" i="3" s="1"/>
  <c r="AK2061" i="3"/>
  <c r="AB2061" i="3" s="1"/>
  <c r="AI1926" i="3"/>
  <c r="AD1926" i="3" s="1"/>
  <c r="AI1962" i="3"/>
  <c r="AD1962" i="3" s="1"/>
  <c r="AI1765" i="3"/>
  <c r="AD1765" i="3" s="1"/>
  <c r="AI1758" i="3"/>
  <c r="AD1758" i="3" s="1"/>
  <c r="AI1517" i="3"/>
  <c r="AD1517" i="3" s="1"/>
  <c r="AK1424" i="3"/>
  <c r="AB1424" i="3" s="1"/>
  <c r="AK1351" i="3"/>
  <c r="AB1351" i="3" s="1"/>
  <c r="AK1254" i="3"/>
  <c r="AB1254" i="3" s="1"/>
  <c r="AI1135" i="3"/>
  <c r="AD1135" i="3" s="1"/>
  <c r="AK1267" i="3"/>
  <c r="AB1267" i="3" s="1"/>
  <c r="AI1046" i="3"/>
  <c r="AD1046" i="3" s="1"/>
  <c r="AK1215" i="3"/>
  <c r="AB1215" i="3" s="1"/>
  <c r="AK1106" i="3"/>
  <c r="AB1106" i="3" s="1"/>
  <c r="AK1026" i="3"/>
  <c r="AB1026" i="3" s="1"/>
  <c r="AK923" i="3"/>
  <c r="AI907" i="3"/>
  <c r="AD907" i="3" s="1"/>
  <c r="AK945" i="3"/>
  <c r="AB945" i="3" s="1"/>
  <c r="AI808" i="3"/>
  <c r="AD808" i="3" s="1"/>
  <c r="AI846" i="3"/>
  <c r="AD846" i="3" s="1"/>
  <c r="AI681" i="3"/>
  <c r="AD681" i="3" s="1"/>
  <c r="AK711" i="3"/>
  <c r="AI683" i="3"/>
  <c r="AD683" i="3" s="1"/>
  <c r="AK501" i="3"/>
  <c r="AB501" i="3" s="1"/>
  <c r="AK231" i="3"/>
  <c r="AB231" i="3" s="1"/>
  <c r="AI458" i="3"/>
  <c r="AD458" i="3" s="1"/>
  <c r="AI455" i="3"/>
  <c r="AD455" i="3" s="1"/>
  <c r="AI72" i="3"/>
  <c r="AD72" i="3" s="1"/>
  <c r="AI271" i="3"/>
  <c r="AD271" i="3" s="1"/>
  <c r="AI252" i="3"/>
  <c r="AD252" i="3" s="1"/>
  <c r="AK43" i="3"/>
  <c r="AB43" i="3" s="1"/>
  <c r="AI69" i="3"/>
  <c r="AD69" i="3" s="1"/>
  <c r="AK116" i="3"/>
  <c r="AB116" i="3" s="1"/>
  <c r="AK2289" i="3"/>
  <c r="AB2289" i="3" s="1"/>
  <c r="AK2222" i="3"/>
  <c r="AB2222" i="3" s="1"/>
  <c r="AI2172" i="3"/>
  <c r="AD2172" i="3" s="1"/>
  <c r="AI2157" i="3"/>
  <c r="AD2157" i="3" s="1"/>
  <c r="AI2101" i="3"/>
  <c r="AD2101" i="3" s="1"/>
  <c r="AK2037" i="3"/>
  <c r="AB2037" i="3" s="1"/>
  <c r="AI1992" i="3"/>
  <c r="AD1992" i="3" s="1"/>
  <c r="AI1808" i="3"/>
  <c r="AD1808" i="3" s="1"/>
  <c r="AK1749" i="3"/>
  <c r="AI1522" i="3"/>
  <c r="AD1522" i="3" s="1"/>
  <c r="AK1727" i="3"/>
  <c r="AI1351" i="3"/>
  <c r="AD1351" i="3" s="1"/>
  <c r="AK1350" i="3"/>
  <c r="AB1350" i="3" s="1"/>
  <c r="AK1247" i="3"/>
  <c r="AB1247" i="3" s="1"/>
  <c r="AI1260" i="3"/>
  <c r="AD1260" i="3" s="1"/>
  <c r="AI1295" i="3"/>
  <c r="AD1295" i="3" s="1"/>
  <c r="AK1154" i="3"/>
  <c r="AB1154" i="3" s="1"/>
  <c r="AK1191" i="3"/>
  <c r="AB1191" i="3" s="1"/>
  <c r="AK1067" i="3"/>
  <c r="AB1067" i="3" s="1"/>
  <c r="AK1053" i="3"/>
  <c r="AB1053" i="3" s="1"/>
  <c r="AI882" i="3"/>
  <c r="AD882" i="3" s="1"/>
  <c r="AK808" i="3"/>
  <c r="AK846" i="3"/>
  <c r="AB846" i="3" s="1"/>
  <c r="AK630" i="3"/>
  <c r="AI545" i="3"/>
  <c r="AD545" i="3" s="1"/>
  <c r="AK483" i="3"/>
  <c r="AB483" i="3" s="1"/>
  <c r="AK357" i="3"/>
  <c r="AB357" i="3" s="1"/>
  <c r="AI457" i="3"/>
  <c r="AD457" i="3" s="1"/>
  <c r="AK305" i="3"/>
  <c r="AB305" i="3" s="1"/>
  <c r="AK209" i="3"/>
  <c r="AB209" i="3" s="1"/>
  <c r="AK395" i="3"/>
  <c r="AB395" i="3" s="1"/>
  <c r="AI267" i="3"/>
  <c r="AD267" i="3" s="1"/>
  <c r="AK32" i="3"/>
  <c r="AB32" i="3" s="1"/>
  <c r="AI42" i="3"/>
  <c r="AD42" i="3" s="1"/>
  <c r="AI61" i="3"/>
  <c r="AD61" i="3" s="1"/>
  <c r="AI2288" i="3"/>
  <c r="AD2288" i="3" s="1"/>
  <c r="AI2224" i="3"/>
  <c r="AD2224" i="3" s="1"/>
  <c r="AI2178" i="3"/>
  <c r="AD2178" i="3" s="1"/>
  <c r="AI2075" i="3"/>
  <c r="AD2075" i="3" s="1"/>
  <c r="AI2087" i="3"/>
  <c r="AD2087" i="3" s="1"/>
  <c r="AK2002" i="3"/>
  <c r="AB2002" i="3" s="1"/>
  <c r="AI1848" i="3"/>
  <c r="AD1848" i="3" s="1"/>
  <c r="AK1808" i="3"/>
  <c r="AB1808" i="3" s="1"/>
  <c r="AI1748" i="3"/>
  <c r="AD1748" i="3" s="1"/>
  <c r="AI1538" i="3"/>
  <c r="AD1538" i="3" s="1"/>
  <c r="AI1495" i="3"/>
  <c r="AD1495" i="3" s="1"/>
  <c r="AK1382" i="3"/>
  <c r="AB1382" i="3" s="1"/>
  <c r="AK1427" i="3"/>
  <c r="AB1427" i="3" s="1"/>
  <c r="AI1243" i="3"/>
  <c r="AD1243" i="3" s="1"/>
  <c r="AK1287" i="3"/>
  <c r="AB1287" i="3" s="1"/>
  <c r="AK1278" i="3"/>
  <c r="AB1278" i="3" s="1"/>
  <c r="AI1132" i="3"/>
  <c r="AD1132" i="3" s="1"/>
  <c r="AI1148" i="3"/>
  <c r="AD1148" i="3" s="1"/>
  <c r="AK998" i="3"/>
  <c r="AB998" i="3" s="1"/>
  <c r="AI1051" i="3"/>
  <c r="AD1051" i="3" s="1"/>
  <c r="AK950" i="3"/>
  <c r="AB950" i="3" s="1"/>
  <c r="AK1028" i="3"/>
  <c r="AB1028" i="3" s="1"/>
  <c r="AK827" i="3"/>
  <c r="AB827" i="3" s="1"/>
  <c r="AI709" i="3"/>
  <c r="AD709" i="3" s="1"/>
  <c r="AK394" i="3"/>
  <c r="AB394" i="3" s="1"/>
  <c r="AI336" i="3"/>
  <c r="AD336" i="3" s="1"/>
  <c r="AK431" i="3"/>
  <c r="AB431" i="3" s="1"/>
  <c r="AK327" i="3"/>
  <c r="AB327" i="3" s="1"/>
  <c r="AK259" i="3"/>
  <c r="AB259" i="3" s="1"/>
  <c r="AI266" i="3"/>
  <c r="AD266" i="3" s="1"/>
  <c r="AK132" i="3"/>
  <c r="AB132" i="3" s="1"/>
  <c r="AI41" i="3"/>
  <c r="AD41" i="3" s="1"/>
  <c r="AI75" i="3"/>
  <c r="AD75" i="3" s="1"/>
  <c r="AI2167" i="3"/>
  <c r="AD2167" i="3" s="1"/>
  <c r="AI2099" i="3"/>
  <c r="AD2099" i="3" s="1"/>
  <c r="AK1988" i="3"/>
  <c r="AB1988" i="3" s="1"/>
  <c r="AK1933" i="3"/>
  <c r="AB1933" i="3" s="1"/>
  <c r="AI1813" i="3"/>
  <c r="AD1813" i="3" s="1"/>
  <c r="AK1775" i="3"/>
  <c r="AB1775" i="3" s="1"/>
  <c r="AK1642" i="3"/>
  <c r="AI1508" i="3"/>
  <c r="AD1508" i="3" s="1"/>
  <c r="AI1343" i="3"/>
  <c r="AD1343" i="3" s="1"/>
  <c r="AI1529" i="3"/>
  <c r="AD1529" i="3" s="1"/>
  <c r="AI1388" i="3"/>
  <c r="AD1388" i="3" s="1"/>
  <c r="AI1236" i="3"/>
  <c r="AD1236" i="3" s="1"/>
  <c r="AI1390" i="3"/>
  <c r="AD1390" i="3" s="1"/>
  <c r="AK1270" i="3"/>
  <c r="AB1270" i="3" s="1"/>
  <c r="AI1153" i="3"/>
  <c r="AD1153" i="3" s="1"/>
  <c r="AI1313" i="3"/>
  <c r="AD1313" i="3" s="1"/>
  <c r="AI1138" i="3"/>
  <c r="AD1138" i="3" s="1"/>
  <c r="AI1014" i="3"/>
  <c r="AD1014" i="3" s="1"/>
  <c r="AI1081" i="3"/>
  <c r="AD1081" i="3" s="1"/>
  <c r="AI962" i="3"/>
  <c r="AD962" i="3" s="1"/>
  <c r="AK907" i="3"/>
  <c r="AK729" i="3"/>
  <c r="AB729" i="3" s="1"/>
  <c r="AK1107" i="3"/>
  <c r="AB1107" i="3" s="1"/>
  <c r="AK844" i="3"/>
  <c r="AB844" i="3" s="1"/>
  <c r="AK634" i="3"/>
  <c r="AI279" i="3"/>
  <c r="AD279" i="3" s="1"/>
  <c r="AK405" i="3"/>
  <c r="AB405" i="3" s="1"/>
  <c r="AK426" i="3"/>
  <c r="AB426" i="3" s="1"/>
  <c r="AK298" i="3"/>
  <c r="AB298" i="3" s="1"/>
  <c r="AI85" i="3"/>
  <c r="AD85" i="3" s="1"/>
  <c r="AK211" i="3"/>
  <c r="AB211" i="3" s="1"/>
  <c r="AI100" i="3"/>
  <c r="AD100" i="3" s="1"/>
  <c r="AK65" i="3"/>
  <c r="AB65" i="3" s="1"/>
  <c r="AK7" i="3"/>
  <c r="AB7" i="3" s="1"/>
  <c r="AK1487" i="3"/>
  <c r="AB1487" i="3" s="1"/>
  <c r="AK1522" i="3"/>
  <c r="AB1522" i="3" s="1"/>
  <c r="AK1518" i="3"/>
  <c r="AB1518" i="3" s="1"/>
  <c r="AK1426" i="3"/>
  <c r="AB1426" i="3" s="1"/>
  <c r="AK1412" i="3"/>
  <c r="AB1412" i="3" s="1"/>
  <c r="AI1192" i="3"/>
  <c r="AD1192" i="3" s="1"/>
  <c r="AK1258" i="3"/>
  <c r="AB1258" i="3" s="1"/>
  <c r="AI1276" i="3"/>
  <c r="AD1276" i="3" s="1"/>
  <c r="AI1130" i="3"/>
  <c r="AD1130" i="3" s="1"/>
  <c r="AI1088" i="3"/>
  <c r="AD1088" i="3" s="1"/>
  <c r="AK1138" i="3"/>
  <c r="AB1138" i="3" s="1"/>
  <c r="AI1032" i="3"/>
  <c r="AD1032" i="3" s="1"/>
  <c r="AI947" i="3"/>
  <c r="AD947" i="3" s="1"/>
  <c r="AK1041" i="3"/>
  <c r="AB1041" i="3" s="1"/>
  <c r="AI852" i="3"/>
  <c r="AD852" i="3" s="1"/>
  <c r="AI731" i="3"/>
  <c r="AD731" i="3" s="1"/>
  <c r="AK706" i="3"/>
  <c r="AI488" i="3"/>
  <c r="AD488" i="3" s="1"/>
  <c r="AI444" i="3"/>
  <c r="AD444" i="3" s="1"/>
  <c r="AK237" i="3"/>
  <c r="AB237" i="3" s="1"/>
  <c r="AI181" i="3"/>
  <c r="AD181" i="3" s="1"/>
  <c r="AI232" i="3"/>
  <c r="AD232" i="3" s="1"/>
  <c r="AK359" i="3"/>
  <c r="AB359" i="3" s="1"/>
  <c r="AK71" i="3"/>
  <c r="AB71" i="3" s="1"/>
  <c r="AK21" i="3"/>
  <c r="AB21" i="3" s="1"/>
  <c r="AI73" i="3"/>
  <c r="AD73" i="3" s="1"/>
  <c r="AI1865" i="3"/>
  <c r="AD1865" i="3" s="1"/>
  <c r="AI1899" i="3"/>
  <c r="AD1899" i="3" s="1"/>
  <c r="AI1840" i="3"/>
  <c r="AD1840" i="3" s="1"/>
  <c r="AK1760" i="3"/>
  <c r="AB1760" i="3" s="1"/>
  <c r="AK1520" i="3"/>
  <c r="AB1520" i="3" s="1"/>
  <c r="AI1490" i="3"/>
  <c r="AD1490" i="3" s="1"/>
  <c r="AK1471" i="3"/>
  <c r="AB1471" i="3" s="1"/>
  <c r="AI1418" i="3"/>
  <c r="AD1418" i="3" s="1"/>
  <c r="AI1366" i="3"/>
  <c r="AD1366" i="3" s="1"/>
  <c r="AI1300" i="3"/>
  <c r="AD1300" i="3" s="1"/>
  <c r="AK1299" i="3"/>
  <c r="AB1299" i="3" s="1"/>
  <c r="AK1221" i="3"/>
  <c r="AB1221" i="3" s="1"/>
  <c r="AI1147" i="3"/>
  <c r="AD1147" i="3" s="1"/>
  <c r="AI1116" i="3"/>
  <c r="AD1116" i="3" s="1"/>
  <c r="AI980" i="3"/>
  <c r="AD980" i="3" s="1"/>
  <c r="AK939" i="3"/>
  <c r="AB939" i="3" s="1"/>
  <c r="AK960" i="3"/>
  <c r="AB960" i="3" s="1"/>
  <c r="AK932" i="3"/>
  <c r="AB932" i="3" s="1"/>
  <c r="AI767" i="3"/>
  <c r="AD767" i="3" s="1"/>
  <c r="AK677" i="3"/>
  <c r="AI682" i="3"/>
  <c r="AD682" i="3" s="1"/>
  <c r="AI705" i="3"/>
  <c r="AD705" i="3" s="1"/>
  <c r="AK486" i="3"/>
  <c r="AB486" i="3" s="1"/>
  <c r="AK588" i="3"/>
  <c r="AI397" i="3"/>
  <c r="AD397" i="3" s="1"/>
  <c r="AI276" i="3"/>
  <c r="AD276" i="3" s="1"/>
  <c r="AK424" i="3"/>
  <c r="AB424" i="3" s="1"/>
  <c r="AI54" i="3"/>
  <c r="AD54" i="3" s="1"/>
  <c r="AI140" i="3"/>
  <c r="AD140" i="3" s="1"/>
  <c r="AK264" i="3"/>
  <c r="AB264" i="3" s="1"/>
  <c r="AK66" i="3"/>
  <c r="AB66" i="3" s="1"/>
  <c r="AI117" i="3"/>
  <c r="AD117" i="3" s="1"/>
  <c r="AI29" i="3"/>
  <c r="AD29" i="3" s="1"/>
  <c r="AI2266" i="3"/>
  <c r="AD2266" i="3" s="1"/>
  <c r="AK2174" i="3"/>
  <c r="AB2174" i="3" s="1"/>
  <c r="AI2155" i="3"/>
  <c r="AD2155" i="3" s="1"/>
  <c r="AI2107" i="3"/>
  <c r="AD2107" i="3" s="1"/>
  <c r="AI2032" i="3"/>
  <c r="AD2032" i="3" s="1"/>
  <c r="AK1912" i="3"/>
  <c r="AB1912" i="3" s="1"/>
  <c r="AI1816" i="3"/>
  <c r="AD1816" i="3" s="1"/>
  <c r="AI1778" i="3"/>
  <c r="AD1778" i="3" s="1"/>
  <c r="AI1760" i="3"/>
  <c r="AD1760" i="3" s="1"/>
  <c r="AK1737" i="3"/>
  <c r="AI1524" i="3"/>
  <c r="AD1524" i="3" s="1"/>
  <c r="AI1481" i="3"/>
  <c r="AD1481" i="3" s="1"/>
  <c r="AK1387" i="3"/>
  <c r="AB1387" i="3" s="1"/>
  <c r="AI1315" i="3"/>
  <c r="AD1315" i="3" s="1"/>
  <c r="AI1237" i="3"/>
  <c r="AD1237" i="3" s="1"/>
  <c r="AI1221" i="3"/>
  <c r="AD1221" i="3" s="1"/>
  <c r="AI1341" i="3"/>
  <c r="AD1341" i="3" s="1"/>
  <c r="AI1169" i="3"/>
  <c r="AD1169" i="3" s="1"/>
  <c r="AK1130" i="3"/>
  <c r="AB1130" i="3" s="1"/>
  <c r="AI1043" i="3"/>
  <c r="AD1043" i="3" s="1"/>
  <c r="AK1102" i="3"/>
  <c r="AB1102" i="3" s="1"/>
  <c r="AI934" i="3"/>
  <c r="AD934" i="3" s="1"/>
  <c r="AI1010" i="3"/>
  <c r="AD1010" i="3" s="1"/>
  <c r="AI1031" i="3"/>
  <c r="AD1031" i="3" s="1"/>
  <c r="AK878" i="3"/>
  <c r="AK694" i="3"/>
  <c r="AI820" i="3"/>
  <c r="AD820" i="3" s="1"/>
  <c r="AE820" i="3" s="1"/>
  <c r="AI802" i="3"/>
  <c r="AD802" i="3" s="1"/>
  <c r="AK508" i="3"/>
  <c r="AB508" i="3" s="1"/>
  <c r="AI544" i="3"/>
  <c r="AD544" i="3" s="1"/>
  <c r="AI351" i="3"/>
  <c r="AD351" i="3" s="1"/>
  <c r="AK139" i="3"/>
  <c r="AB139" i="3" s="1"/>
  <c r="AI132" i="3"/>
  <c r="AD132" i="3" s="1"/>
  <c r="AK323" i="3"/>
  <c r="AB323" i="3" s="1"/>
  <c r="AI434" i="3"/>
  <c r="AD434" i="3" s="1"/>
  <c r="AI198" i="3"/>
  <c r="AD198" i="3" s="1"/>
  <c r="AI10" i="3"/>
  <c r="AD10" i="3" s="1"/>
  <c r="AK2180" i="3"/>
  <c r="AB2180" i="3" s="1"/>
  <c r="AI2123" i="3"/>
  <c r="AD2123" i="3" s="1"/>
  <c r="AK2121" i="3"/>
  <c r="AB2121" i="3" s="1"/>
  <c r="AI1887" i="3"/>
  <c r="AD1887" i="3" s="1"/>
  <c r="AI1860" i="3"/>
  <c r="AD1860" i="3" s="1"/>
  <c r="AK1778" i="3"/>
  <c r="AB1778" i="3" s="1"/>
  <c r="AI1803" i="3"/>
  <c r="AD1803" i="3" s="1"/>
  <c r="AK1763" i="3"/>
  <c r="AB1763" i="3" s="1"/>
  <c r="AI1571" i="3"/>
  <c r="AD1571" i="3" s="1"/>
  <c r="AI1486" i="3"/>
  <c r="AD1486" i="3" s="1"/>
  <c r="AK1384" i="3"/>
  <c r="AB1384" i="3" s="1"/>
  <c r="AK1339" i="3"/>
  <c r="AB1339" i="3" s="1"/>
  <c r="AI1140" i="3"/>
  <c r="AD1140" i="3" s="1"/>
  <c r="AI1182" i="3"/>
  <c r="AD1182" i="3" s="1"/>
  <c r="AI1117" i="3"/>
  <c r="AD1117" i="3" s="1"/>
  <c r="AK986" i="3"/>
  <c r="AB986" i="3" s="1"/>
  <c r="AK854" i="3"/>
  <c r="AB854" i="3" s="1"/>
  <c r="AK903" i="3"/>
  <c r="AK635" i="3"/>
  <c r="AI657" i="3"/>
  <c r="AD657" i="3" s="1"/>
  <c r="AK693" i="3"/>
  <c r="AI452" i="3"/>
  <c r="AD452" i="3" s="1"/>
  <c r="AI686" i="3"/>
  <c r="AD686" i="3" s="1"/>
  <c r="AI508" i="3"/>
  <c r="AD508" i="3" s="1"/>
  <c r="AK279" i="3"/>
  <c r="AB279" i="3" s="1"/>
  <c r="AI350" i="3"/>
  <c r="AD350" i="3" s="1"/>
  <c r="AI333" i="3"/>
  <c r="AD333" i="3" s="1"/>
  <c r="AI221" i="3"/>
  <c r="AD221" i="3" s="1"/>
  <c r="AI323" i="3"/>
  <c r="AD323" i="3" s="1"/>
  <c r="AK287" i="3"/>
  <c r="AB287" i="3" s="1"/>
  <c r="AI64" i="3"/>
  <c r="AD64" i="3" s="1"/>
  <c r="AI28" i="3"/>
  <c r="AD28" i="3" s="1"/>
  <c r="AK26" i="3"/>
  <c r="AB26" i="3" s="1"/>
  <c r="AK100" i="3"/>
  <c r="AB100" i="3" s="1"/>
  <c r="AK229" i="3"/>
  <c r="AB229" i="3" s="1"/>
  <c r="AI30" i="3"/>
  <c r="AD30" i="3" s="1"/>
  <c r="AI57" i="3"/>
  <c r="AD57" i="3" s="1"/>
  <c r="AK278" i="3"/>
  <c r="AB278" i="3" s="1"/>
  <c r="AI98" i="3"/>
  <c r="AD98" i="3" s="1"/>
  <c r="AI17" i="3"/>
  <c r="AD17" i="3" s="1"/>
  <c r="AI47" i="3"/>
  <c r="AD47" i="3" s="1"/>
  <c r="AI199" i="3"/>
  <c r="AD199" i="3" s="1"/>
  <c r="AI66" i="3"/>
  <c r="AD66" i="3" s="1"/>
  <c r="AI11" i="3"/>
  <c r="AD11" i="3" s="1"/>
  <c r="AI156" i="3"/>
  <c r="AD156" i="3" s="1"/>
  <c r="AI192" i="3"/>
  <c r="AD192" i="3" s="1"/>
  <c r="AI259" i="3"/>
  <c r="AD259" i="3" s="1"/>
  <c r="AI297" i="3"/>
  <c r="AD297" i="3" s="1"/>
  <c r="AI356" i="3"/>
  <c r="AD356" i="3" s="1"/>
  <c r="AI324" i="3"/>
  <c r="AD324" i="3" s="1"/>
  <c r="AK454" i="3"/>
  <c r="AB454" i="3" s="1"/>
  <c r="AK297" i="3"/>
  <c r="AB297" i="3" s="1"/>
  <c r="AI485" i="3"/>
  <c r="AD485" i="3" s="1"/>
  <c r="AI313" i="3"/>
  <c r="AD313" i="3" s="1"/>
  <c r="AK443" i="3"/>
  <c r="AB443" i="3" s="1"/>
  <c r="AI379" i="3"/>
  <c r="AD379" i="3" s="1"/>
  <c r="AI277" i="3"/>
  <c r="AD277" i="3" s="1"/>
  <c r="AK440" i="3"/>
  <c r="AB440" i="3" s="1"/>
  <c r="AC440" i="3" s="1"/>
  <c r="AK241" i="3"/>
  <c r="AB241" i="3" s="1"/>
  <c r="AK291" i="3"/>
  <c r="AB291" i="3" s="1"/>
  <c r="AK336" i="3"/>
  <c r="AB336" i="3" s="1"/>
  <c r="AK382" i="3"/>
  <c r="AI369" i="3"/>
  <c r="AD369" i="3" s="1"/>
  <c r="AI502" i="3"/>
  <c r="AD502" i="3" s="1"/>
  <c r="AI636" i="3"/>
  <c r="AD636" i="3" s="1"/>
  <c r="AK452" i="3"/>
  <c r="AB452" i="3" s="1"/>
  <c r="AK545" i="3"/>
  <c r="AB545" i="3" s="1"/>
  <c r="AI629" i="3"/>
  <c r="AD629" i="3" s="1"/>
  <c r="AI400" i="3"/>
  <c r="AD400" i="3" s="1"/>
  <c r="AI428" i="3"/>
  <c r="AD428" i="3" s="1"/>
  <c r="AI631" i="3"/>
  <c r="AD631" i="3" s="1"/>
  <c r="AK392" i="3"/>
  <c r="AB392" i="3" s="1"/>
  <c r="AK420" i="3"/>
  <c r="AB420" i="3" s="1"/>
  <c r="AI542" i="3"/>
  <c r="AD542" i="3" s="1"/>
  <c r="AK629" i="3"/>
  <c r="AK683" i="3"/>
  <c r="AI671" i="3"/>
  <c r="AD671" i="3" s="1"/>
  <c r="AK667" i="3"/>
  <c r="AI812" i="3"/>
  <c r="AD812" i="3" s="1"/>
  <c r="AI692" i="3"/>
  <c r="AD692" i="3" s="1"/>
  <c r="AI708" i="3"/>
  <c r="AD708" i="3" s="1"/>
  <c r="AI853" i="3"/>
  <c r="AD853" i="3" s="1"/>
  <c r="AI861" i="3"/>
  <c r="AD861" i="3" s="1"/>
  <c r="AI774" i="3"/>
  <c r="AD774" i="3" s="1"/>
  <c r="AI680" i="3"/>
  <c r="AD680" i="3" s="1"/>
  <c r="AK700" i="3"/>
  <c r="AI903" i="3"/>
  <c r="AD903" i="3" s="1"/>
  <c r="AK670" i="3"/>
  <c r="AK672" i="3"/>
  <c r="AK930" i="3"/>
  <c r="AB930" i="3" s="1"/>
  <c r="AK906" i="3"/>
  <c r="AI892" i="3"/>
  <c r="AD892" i="3" s="1"/>
  <c r="AK913" i="3"/>
  <c r="AB913" i="3" s="1"/>
  <c r="AI883" i="3"/>
  <c r="AD883" i="3" s="1"/>
  <c r="AK884" i="3"/>
  <c r="AB884" i="3" s="1"/>
  <c r="AI1004" i="3"/>
  <c r="AD1004" i="3" s="1"/>
  <c r="AK875" i="3"/>
  <c r="AI940" i="3"/>
  <c r="AD940" i="3" s="1"/>
  <c r="AK944" i="3"/>
  <c r="AB944" i="3" s="1"/>
  <c r="AI1044" i="3"/>
  <c r="AD1044" i="3" s="1"/>
  <c r="AI986" i="3"/>
  <c r="AD986" i="3" s="1"/>
  <c r="AK965" i="3"/>
  <c r="AB965" i="3" s="1"/>
  <c r="AI1007" i="3"/>
  <c r="AD1007" i="3" s="1"/>
  <c r="AI993" i="3"/>
  <c r="AD993" i="3" s="1"/>
  <c r="AK1021" i="3"/>
  <c r="AB1021" i="3" s="1"/>
  <c r="AI1041" i="3"/>
  <c r="AD1041" i="3" s="1"/>
  <c r="AK993" i="3"/>
  <c r="AB993" i="3" s="1"/>
  <c r="AI1382" i="3"/>
  <c r="AD1382" i="3" s="1"/>
  <c r="AK1115" i="3"/>
  <c r="AB1115" i="3" s="1"/>
  <c r="AC1115" i="3" s="1"/>
  <c r="AI1159" i="3"/>
  <c r="AD1159" i="3" s="1"/>
  <c r="AI1091" i="3"/>
  <c r="AD1091" i="3" s="1"/>
  <c r="AK1128" i="3"/>
  <c r="AB1128" i="3" s="1"/>
  <c r="AK1091" i="3"/>
  <c r="AB1091" i="3" s="1"/>
  <c r="AK1080" i="3"/>
  <c r="AB1080" i="3" s="1"/>
  <c r="AK1163" i="3"/>
  <c r="AB1163" i="3" s="1"/>
  <c r="AI1119" i="3"/>
  <c r="AD1119" i="3" s="1"/>
  <c r="AK1209" i="3"/>
  <c r="AB1209" i="3" s="1"/>
  <c r="AK1208" i="3"/>
  <c r="AB1208" i="3" s="1"/>
  <c r="AC1208" i="3" s="1"/>
  <c r="AI1226" i="3"/>
  <c r="AD1226" i="3" s="1"/>
  <c r="AK1233" i="3"/>
  <c r="AB1233" i="3" s="1"/>
  <c r="AI1266" i="3"/>
  <c r="AD1266" i="3" s="1"/>
  <c r="AK1217" i="3"/>
  <c r="AB1217" i="3" s="1"/>
  <c r="AI1265" i="3"/>
  <c r="AD1265" i="3" s="1"/>
  <c r="AI1210" i="3"/>
  <c r="AD1210" i="3" s="1"/>
  <c r="AI1368" i="3"/>
  <c r="AD1368" i="3" s="1"/>
  <c r="AK1314" i="3"/>
  <c r="AB1314" i="3" s="1"/>
  <c r="AI1163" i="3"/>
  <c r="AD1163" i="3" s="1"/>
  <c r="AI1177" i="3"/>
  <c r="AD1177" i="3" s="1"/>
  <c r="AK1204" i="3"/>
  <c r="AB1204" i="3" s="1"/>
  <c r="AI1253" i="3"/>
  <c r="AD1253" i="3" s="1"/>
  <c r="AI1344" i="3"/>
  <c r="AD1344" i="3" s="1"/>
  <c r="AI1225" i="3"/>
  <c r="AD1225" i="3" s="1"/>
  <c r="AI1307" i="3"/>
  <c r="AD1307" i="3" s="1"/>
  <c r="AE1307" i="3" s="1"/>
  <c r="AI1324" i="3"/>
  <c r="AD1324" i="3" s="1"/>
  <c r="AK1389" i="3"/>
  <c r="AB1389" i="3" s="1"/>
  <c r="AI1393" i="3"/>
  <c r="AD1393" i="3" s="1"/>
  <c r="AI1373" i="3"/>
  <c r="AD1373" i="3" s="1"/>
  <c r="AI1340" i="3"/>
  <c r="AD1340" i="3" s="1"/>
  <c r="AI1406" i="3"/>
  <c r="AD1406" i="3" s="1"/>
  <c r="AI1422" i="3"/>
  <c r="AD1422" i="3" s="1"/>
  <c r="AI1545" i="3"/>
  <c r="AD1545" i="3" s="1"/>
  <c r="AI1354" i="3"/>
  <c r="AD1354" i="3" s="1"/>
  <c r="AK1420" i="3"/>
  <c r="AB1420" i="3" s="1"/>
  <c r="AI1484" i="3"/>
  <c r="AD1484" i="3" s="1"/>
  <c r="AK1548" i="3"/>
  <c r="AB1548" i="3" s="1"/>
  <c r="AI1539" i="3"/>
  <c r="AD1539" i="3" s="1"/>
  <c r="AI1540" i="3"/>
  <c r="AD1540" i="3" s="1"/>
  <c r="AI1442" i="3"/>
  <c r="AD1442" i="3" s="1"/>
  <c r="AI1541" i="3"/>
  <c r="AD1541" i="3" s="1"/>
  <c r="AK1706" i="3"/>
  <c r="AI1530" i="3"/>
  <c r="AD1530" i="3" s="1"/>
  <c r="AI1628" i="3"/>
  <c r="AD1628" i="3" s="1"/>
  <c r="AI1548" i="3"/>
  <c r="AD1548" i="3" s="1"/>
  <c r="AI1632" i="3"/>
  <c r="AD1632" i="3" s="1"/>
  <c r="AK1748" i="3"/>
  <c r="AK1773" i="3"/>
  <c r="AB1773" i="3" s="1"/>
  <c r="AI1720" i="3"/>
  <c r="AD1720" i="3" s="1"/>
  <c r="AI1621" i="3"/>
  <c r="AD1621" i="3" s="1"/>
  <c r="AK1720" i="3"/>
  <c r="AI1766" i="3"/>
  <c r="AD1766" i="3" s="1"/>
  <c r="AI1735" i="3"/>
  <c r="AD1735" i="3" s="1"/>
  <c r="AI1772" i="3"/>
  <c r="AD1772" i="3" s="1"/>
  <c r="AE1772" i="3" s="1"/>
  <c r="AI1742" i="3"/>
  <c r="AD1742" i="3" s="1"/>
  <c r="AK1805" i="3"/>
  <c r="AK1901" i="3"/>
  <c r="AB1901" i="3" s="1"/>
  <c r="AK1776" i="3"/>
  <c r="AB1776" i="3" s="1"/>
  <c r="AE1776" i="3" s="1"/>
  <c r="AK1839" i="3"/>
  <c r="AB1839" i="3" s="1"/>
  <c r="AK1866" i="3"/>
  <c r="AB1866" i="3" s="1"/>
  <c r="AI1908" i="3"/>
  <c r="AD1908" i="3" s="1"/>
  <c r="AK1861" i="3"/>
  <c r="AB1861" i="3" s="1"/>
  <c r="AI1826" i="3"/>
  <c r="AD1826" i="3" s="1"/>
  <c r="AI1856" i="3"/>
  <c r="AD1856" i="3" s="1"/>
  <c r="AK1845" i="3"/>
  <c r="AB1845" i="3" s="1"/>
  <c r="AI1876" i="3"/>
  <c r="AD1876" i="3" s="1"/>
  <c r="AE1876" i="3" s="1"/>
  <c r="AI1843" i="3"/>
  <c r="AD1843" i="3" s="1"/>
  <c r="AE1843" i="3" s="1"/>
  <c r="AK1903" i="3"/>
  <c r="AB1903" i="3" s="1"/>
  <c r="AK2010" i="3"/>
  <c r="AB2010" i="3" s="1"/>
  <c r="AK1970" i="3"/>
  <c r="AB1970" i="3" s="1"/>
  <c r="AK1967" i="3"/>
  <c r="AB1967" i="3" s="1"/>
  <c r="AK2172" i="3"/>
  <c r="AB2172" i="3" s="1"/>
  <c r="AI1984" i="3"/>
  <c r="AD1984" i="3" s="1"/>
  <c r="AI1991" i="3"/>
  <c r="AD1991" i="3" s="1"/>
  <c r="AK2091" i="3"/>
  <c r="AB2091" i="3" s="1"/>
  <c r="AK2033" i="3"/>
  <c r="AB2033" i="3" s="1"/>
  <c r="AK2139" i="3"/>
  <c r="AB2139" i="3" s="1"/>
  <c r="AI2125" i="3"/>
  <c r="AD2125" i="3" s="1"/>
  <c r="AK2167" i="3"/>
  <c r="AB2167" i="3" s="1"/>
  <c r="AC2167" i="3" s="1"/>
  <c r="AK2132" i="3"/>
  <c r="AB2132" i="3" s="1"/>
  <c r="AI2174" i="3"/>
  <c r="AD2174" i="3" s="1"/>
  <c r="AI2181" i="3"/>
  <c r="AD2181" i="3" s="1"/>
  <c r="AK2178" i="3"/>
  <c r="AB2178" i="3" s="1"/>
  <c r="AI2201" i="3"/>
  <c r="AD2201" i="3" s="1"/>
  <c r="AI2191" i="3"/>
  <c r="AD2191" i="3" s="1"/>
  <c r="AK2224" i="3"/>
  <c r="AB2224" i="3" s="1"/>
  <c r="AI2173" i="3"/>
  <c r="AD2173" i="3" s="1"/>
  <c r="AK2244" i="3"/>
  <c r="AB2244" i="3" s="1"/>
  <c r="AI2246" i="3"/>
  <c r="AD2246" i="3" s="1"/>
  <c r="AK2264" i="3"/>
  <c r="AB2264" i="3" s="1"/>
  <c r="AJ670" i="3"/>
  <c r="AJ907" i="3"/>
  <c r="AJ674" i="3"/>
  <c r="AJ865" i="3"/>
  <c r="AJ668" i="3"/>
  <c r="AJ981" i="3"/>
  <c r="AJ672" i="3"/>
  <c r="AJ667" i="3"/>
  <c r="AJ864" i="3"/>
  <c r="AJ673" i="3"/>
  <c r="AJ671" i="3"/>
  <c r="AJ919" i="3"/>
  <c r="AJ903" i="3"/>
  <c r="AJ866" i="3"/>
  <c r="AJ870" i="3"/>
  <c r="AE1999" i="3"/>
  <c r="AC1999" i="3"/>
  <c r="AC1762" i="3"/>
  <c r="AE1762" i="3"/>
  <c r="AE2030" i="3"/>
  <c r="AC2030" i="3"/>
  <c r="AC2149" i="3"/>
  <c r="AE2149" i="3"/>
  <c r="AE450" i="3"/>
  <c r="AC450" i="3"/>
  <c r="AE109" i="3"/>
  <c r="AC109" i="3"/>
  <c r="AC2282" i="3"/>
  <c r="AE2282" i="3"/>
  <c r="AE1924" i="3"/>
  <c r="AC1924" i="3"/>
  <c r="AE1774" i="3"/>
  <c r="AC1774" i="3"/>
  <c r="AC1255" i="3"/>
  <c r="AE1255" i="3"/>
  <c r="AE1180" i="3"/>
  <c r="AC1180" i="3"/>
  <c r="AE90" i="3"/>
  <c r="AC90" i="3"/>
  <c r="AE2106" i="3"/>
  <c r="AC2106" i="3"/>
  <c r="AE1383" i="3"/>
  <c r="AC1383" i="3"/>
  <c r="AE1229" i="3"/>
  <c r="AC1229" i="3"/>
  <c r="AC466" i="3"/>
  <c r="AE466" i="3"/>
  <c r="AE361" i="3"/>
  <c r="AC361" i="3"/>
  <c r="AE2137" i="3"/>
  <c r="AC2137" i="3"/>
  <c r="AE1865" i="3"/>
  <c r="AC1865" i="3"/>
  <c r="AE1016" i="3"/>
  <c r="AC1016" i="3"/>
  <c r="AE410" i="3"/>
  <c r="AC410" i="3"/>
  <c r="AC301" i="3"/>
  <c r="AE301" i="3"/>
  <c r="AC19" i="3"/>
  <c r="AE19" i="3"/>
  <c r="AC2266" i="3"/>
  <c r="AE2266" i="3"/>
  <c r="AE2157" i="3"/>
  <c r="AC2157" i="3"/>
  <c r="AE1811" i="3"/>
  <c r="AC1811" i="3"/>
  <c r="AE889" i="3"/>
  <c r="AC889" i="3"/>
  <c r="AE1766" i="3"/>
  <c r="AC1766" i="3"/>
  <c r="AE1506" i="3"/>
  <c r="AC1506" i="3"/>
  <c r="AC1290" i="3"/>
  <c r="AE1290" i="3"/>
  <c r="AE1007" i="3"/>
  <c r="AC1007" i="3"/>
  <c r="AC828" i="3"/>
  <c r="AE828" i="3"/>
  <c r="AE342" i="3"/>
  <c r="AC342" i="3"/>
  <c r="AE387" i="3"/>
  <c r="AC387" i="3"/>
  <c r="AC268" i="3"/>
  <c r="AE268" i="3"/>
  <c r="AE2175" i="3"/>
  <c r="AC2175" i="3"/>
  <c r="AE1349" i="3"/>
  <c r="AC1349" i="3"/>
  <c r="AC1295" i="3"/>
  <c r="AE1295" i="3"/>
  <c r="AE1105" i="3"/>
  <c r="AC1105" i="3"/>
  <c r="AE167" i="3"/>
  <c r="AC167" i="3"/>
  <c r="AC42" i="3"/>
  <c r="AE42" i="3"/>
  <c r="AC2234" i="3"/>
  <c r="AE2234" i="3"/>
  <c r="AC1360" i="3"/>
  <c r="AE1360" i="3"/>
  <c r="AC1307" i="3"/>
  <c r="AE47" i="3"/>
  <c r="AC47" i="3"/>
  <c r="AE78" i="3"/>
  <c r="AC78" i="3"/>
  <c r="AE1241" i="3"/>
  <c r="AC1241" i="3"/>
  <c r="AE1142" i="3"/>
  <c r="AC1142" i="3"/>
  <c r="AE1055" i="3"/>
  <c r="AC1055" i="3"/>
  <c r="AE1972" i="3"/>
  <c r="AC1972" i="3"/>
  <c r="AC1810" i="3"/>
  <c r="AE1810" i="3"/>
  <c r="AE1514" i="3"/>
  <c r="AC1514" i="3"/>
  <c r="AC1230" i="3"/>
  <c r="AE1230" i="3"/>
  <c r="AE948" i="3"/>
  <c r="AC948" i="3"/>
  <c r="AE802" i="3"/>
  <c r="AC802" i="3"/>
  <c r="AC364" i="3"/>
  <c r="AE364" i="3"/>
  <c r="AE44" i="3"/>
  <c r="AC44" i="3"/>
  <c r="AE2128" i="3"/>
  <c r="AC2128" i="3"/>
  <c r="AE1899" i="3"/>
  <c r="AC1899" i="3"/>
  <c r="AE898" i="3"/>
  <c r="AC898" i="3"/>
  <c r="AE964" i="3"/>
  <c r="AC964" i="3"/>
  <c r="AC52" i="3"/>
  <c r="AE52" i="3"/>
  <c r="AE2100" i="3"/>
  <c r="AC2100" i="3"/>
  <c r="AE1823" i="3"/>
  <c r="AC1823" i="3"/>
  <c r="AC1133" i="3"/>
  <c r="AE1133" i="3"/>
  <c r="AC820" i="3"/>
  <c r="AE434" i="3"/>
  <c r="AC434" i="3"/>
  <c r="AE87" i="3"/>
  <c r="AC87" i="3"/>
  <c r="AE397" i="3"/>
  <c r="AC397" i="3"/>
  <c r="AE58" i="3"/>
  <c r="AC58" i="3"/>
  <c r="AE296" i="3"/>
  <c r="AC296" i="3"/>
  <c r="AE355" i="3"/>
  <c r="AC355" i="3"/>
  <c r="AE412" i="3"/>
  <c r="AC412" i="3"/>
  <c r="AE852" i="3"/>
  <c r="AC852" i="3"/>
  <c r="AE806" i="3"/>
  <c r="AC806" i="3"/>
  <c r="AE856" i="3"/>
  <c r="AC856" i="3"/>
  <c r="AC994" i="3"/>
  <c r="AE994" i="3"/>
  <c r="AE1158" i="3"/>
  <c r="AC1158" i="3"/>
  <c r="AE1165" i="3"/>
  <c r="AC1165" i="3"/>
  <c r="AE1225" i="3"/>
  <c r="AC1225" i="3"/>
  <c r="AC1443" i="3"/>
  <c r="AE1443" i="3"/>
  <c r="AC1486" i="3"/>
  <c r="AE1486" i="3"/>
  <c r="AC1546" i="3"/>
  <c r="AE1546" i="3"/>
  <c r="AC1843" i="3"/>
  <c r="AE2032" i="3"/>
  <c r="AC2032" i="3"/>
  <c r="AC2124" i="3"/>
  <c r="AE2124" i="3"/>
  <c r="AC2236" i="3"/>
  <c r="AE2236" i="3"/>
  <c r="AE2238" i="3"/>
  <c r="AC2238" i="3"/>
  <c r="AC2249" i="3"/>
  <c r="AE2249" i="3"/>
  <c r="AC1769" i="3"/>
  <c r="AE1769" i="3"/>
  <c r="AE1550" i="3"/>
  <c r="AC1550" i="3"/>
  <c r="AE2048" i="3"/>
  <c r="AC2048" i="3"/>
  <c r="AE2047" i="3"/>
  <c r="AC2047" i="3"/>
  <c r="AE293" i="3"/>
  <c r="AC293" i="3"/>
  <c r="AE2270" i="3"/>
  <c r="AC2270" i="3"/>
  <c r="AC1771" i="3"/>
  <c r="AE1771" i="3"/>
  <c r="AC1327" i="3"/>
  <c r="AE1327" i="3"/>
  <c r="AE895" i="3"/>
  <c r="AC895" i="3"/>
  <c r="AE415" i="3"/>
  <c r="AC415" i="3"/>
  <c r="AE17" i="3"/>
  <c r="AC17" i="3"/>
  <c r="AE2216" i="3"/>
  <c r="AC2216" i="3"/>
  <c r="AC1841" i="3"/>
  <c r="AE1841" i="3"/>
  <c r="AE1761" i="3"/>
  <c r="AC1761" i="3"/>
  <c r="AE1328" i="3"/>
  <c r="AC1328" i="3"/>
  <c r="AC1206" i="3"/>
  <c r="AE1206" i="3"/>
  <c r="AE1058" i="3"/>
  <c r="AC1058" i="3"/>
  <c r="AE897" i="3"/>
  <c r="AC897" i="3"/>
  <c r="AE2259" i="3"/>
  <c r="AC2259" i="3"/>
  <c r="AE2073" i="3"/>
  <c r="AC2073" i="3"/>
  <c r="AC1765" i="3"/>
  <c r="AE1765" i="3"/>
  <c r="AE1205" i="3"/>
  <c r="AC1205" i="3"/>
  <c r="AE956" i="3"/>
  <c r="AC956" i="3"/>
  <c r="AC632" i="3"/>
  <c r="AE632" i="3"/>
  <c r="AE1796" i="3"/>
  <c r="AC1796" i="3"/>
  <c r="AE1249" i="3"/>
  <c r="AC1249" i="3"/>
  <c r="AE1207" i="3"/>
  <c r="AC1207" i="3"/>
  <c r="AC1029" i="3"/>
  <c r="AE1029" i="3"/>
  <c r="AE1004" i="3"/>
  <c r="AC1004" i="3"/>
  <c r="AE257" i="3"/>
  <c r="AC257" i="3"/>
  <c r="AE432" i="3"/>
  <c r="AC432" i="3"/>
  <c r="AE51" i="3"/>
  <c r="AC51" i="3"/>
  <c r="AE2102" i="3"/>
  <c r="AC2102" i="3"/>
  <c r="AE946" i="3"/>
  <c r="AC946" i="3"/>
  <c r="AE310" i="3"/>
  <c r="AC310" i="3"/>
  <c r="AE133" i="3"/>
  <c r="AC133" i="3"/>
  <c r="AC1234" i="3"/>
  <c r="AE1234" i="3"/>
  <c r="AE1231" i="3"/>
  <c r="AC1231" i="3"/>
  <c r="AE1252" i="3"/>
  <c r="AC1252" i="3"/>
  <c r="AE1014" i="3"/>
  <c r="AC1014" i="3"/>
  <c r="AE85" i="3"/>
  <c r="AC85" i="3"/>
  <c r="AE1419" i="3"/>
  <c r="AC1419" i="3"/>
  <c r="AC1132" i="3"/>
  <c r="AE1132" i="3"/>
  <c r="AE1020" i="3"/>
  <c r="AC1020" i="3"/>
  <c r="AC936" i="3"/>
  <c r="AE936" i="3"/>
  <c r="AE248" i="3"/>
  <c r="AC248" i="3"/>
  <c r="AE216" i="3"/>
  <c r="AC216" i="3"/>
  <c r="AE2286" i="3"/>
  <c r="AC2286" i="3"/>
  <c r="AE1871" i="3"/>
  <c r="AC1871" i="3"/>
  <c r="AE1489" i="3"/>
  <c r="AC1489" i="3"/>
  <c r="AE39" i="3"/>
  <c r="AC39" i="3"/>
  <c r="AE117" i="3"/>
  <c r="AC117" i="3"/>
  <c r="AC1315" i="3"/>
  <c r="AE1315" i="3"/>
  <c r="AE1034" i="3"/>
  <c r="AC1034" i="3"/>
  <c r="AE1023" i="3"/>
  <c r="AC1023" i="3"/>
  <c r="AC348" i="3"/>
  <c r="AE348" i="3"/>
  <c r="AC206" i="3"/>
  <c r="AE206" i="3"/>
  <c r="AE100" i="3"/>
  <c r="AC100" i="3"/>
  <c r="AE297" i="3"/>
  <c r="AC297" i="3"/>
  <c r="AC443" i="3"/>
  <c r="AE443" i="3"/>
  <c r="AE440" i="3"/>
  <c r="AE336" i="3"/>
  <c r="AC336" i="3"/>
  <c r="AE545" i="3"/>
  <c r="AC545" i="3"/>
  <c r="AE420" i="3"/>
  <c r="AC420" i="3"/>
  <c r="AE1115" i="3"/>
  <c r="AC1128" i="3"/>
  <c r="AE1128" i="3"/>
  <c r="AC1163" i="3"/>
  <c r="AE1208" i="3"/>
  <c r="AE1548" i="3"/>
  <c r="AC1548" i="3"/>
  <c r="AC1776" i="3"/>
  <c r="AE1970" i="3"/>
  <c r="AC1970" i="3"/>
  <c r="AE2033" i="3"/>
  <c r="AC2033" i="3"/>
  <c r="AC2244" i="3"/>
  <c r="AE2244" i="3"/>
  <c r="AE2268" i="3"/>
  <c r="AC2268" i="3"/>
  <c r="AE1551" i="3"/>
  <c r="AC1551" i="3"/>
  <c r="AC1379" i="3"/>
  <c r="AE1379" i="3"/>
  <c r="AC1910" i="3"/>
  <c r="AE1910" i="3"/>
  <c r="AC2109" i="3"/>
  <c r="AE2109" i="3"/>
  <c r="AE179" i="3"/>
  <c r="AC179" i="3"/>
  <c r="AE2261" i="3"/>
  <c r="AC2261" i="3"/>
  <c r="AC2104" i="3"/>
  <c r="AE2104" i="3"/>
  <c r="AC1439" i="3"/>
  <c r="AE1439" i="3"/>
  <c r="AE1322" i="3"/>
  <c r="AC1322" i="3"/>
  <c r="AE319" i="3"/>
  <c r="AC319" i="3"/>
  <c r="AE2209" i="3"/>
  <c r="AC2209" i="3"/>
  <c r="AE1786" i="3"/>
  <c r="AC1786" i="3"/>
  <c r="AE1000" i="3"/>
  <c r="AC1000" i="3"/>
  <c r="AE369" i="3"/>
  <c r="AC369" i="3"/>
  <c r="AE218" i="3"/>
  <c r="AC218" i="3"/>
  <c r="AE56" i="3"/>
  <c r="AC56" i="3"/>
  <c r="AE2111" i="3"/>
  <c r="AC2111" i="3"/>
  <c r="AE1756" i="3"/>
  <c r="AC1756" i="3"/>
  <c r="AE1531" i="3"/>
  <c r="AC1531" i="3"/>
  <c r="AC1224" i="3"/>
  <c r="AE1224" i="3"/>
  <c r="AE1118" i="3"/>
  <c r="AC1118" i="3"/>
  <c r="AE1030" i="3"/>
  <c r="AC1030" i="3"/>
  <c r="AE353" i="3"/>
  <c r="AC353" i="3"/>
  <c r="AE89" i="3"/>
  <c r="AC89" i="3"/>
  <c r="AE2126" i="3"/>
  <c r="AC2126" i="3"/>
  <c r="AC1254" i="3"/>
  <c r="AE1254" i="3"/>
  <c r="AE1026" i="3"/>
  <c r="AC1026" i="3"/>
  <c r="AC945" i="3"/>
  <c r="AE945" i="3"/>
  <c r="AE501" i="3"/>
  <c r="AC501" i="3"/>
  <c r="AE116" i="3"/>
  <c r="AC116" i="3"/>
  <c r="AE2037" i="3"/>
  <c r="AC2037" i="3"/>
  <c r="AE1191" i="3"/>
  <c r="AC1191" i="3"/>
  <c r="AE357" i="3"/>
  <c r="AC357" i="3"/>
  <c r="AC209" i="3"/>
  <c r="AE209" i="3"/>
  <c r="AE32" i="3"/>
  <c r="AC32" i="3"/>
  <c r="AE1427" i="3"/>
  <c r="AC1427" i="3"/>
  <c r="AC1278" i="3"/>
  <c r="AE1278" i="3"/>
  <c r="AE998" i="3"/>
  <c r="AC998" i="3"/>
  <c r="AE1028" i="3"/>
  <c r="AC1028" i="3"/>
  <c r="AC394" i="3"/>
  <c r="AE394" i="3"/>
  <c r="AE327" i="3"/>
  <c r="AC327" i="3"/>
  <c r="AC132" i="3"/>
  <c r="AE132" i="3"/>
  <c r="AE1933" i="3"/>
  <c r="AC1933" i="3"/>
  <c r="AC729" i="3"/>
  <c r="AE729" i="3"/>
  <c r="AE426" i="3"/>
  <c r="AC426" i="3"/>
  <c r="AE211" i="3"/>
  <c r="AC211" i="3"/>
  <c r="AC7" i="3"/>
  <c r="AE7" i="3"/>
  <c r="AC1518" i="3"/>
  <c r="AE1518" i="3"/>
  <c r="AE71" i="3"/>
  <c r="AC71" i="3"/>
  <c r="AE1760" i="3"/>
  <c r="AC1760" i="3"/>
  <c r="AC1471" i="3"/>
  <c r="AE1471" i="3"/>
  <c r="AE939" i="3"/>
  <c r="AC939" i="3"/>
  <c r="AE66" i="3"/>
  <c r="AC66" i="3"/>
  <c r="AE1387" i="3"/>
  <c r="AC1387" i="3"/>
  <c r="AE1130" i="3"/>
  <c r="AC1130" i="3"/>
  <c r="AE323" i="3"/>
  <c r="AC323" i="3"/>
  <c r="AE2121" i="3"/>
  <c r="AC2121" i="3"/>
  <c r="AE1778" i="3"/>
  <c r="AC1778" i="3"/>
  <c r="AE1339" i="3"/>
  <c r="AC1339" i="3"/>
  <c r="AE287" i="3"/>
  <c r="AC287" i="3"/>
  <c r="AE68" i="3"/>
  <c r="AC68" i="3"/>
  <c r="AE37" i="3"/>
  <c r="AC37" i="3"/>
  <c r="AC70" i="3"/>
  <c r="AE70" i="3"/>
  <c r="AE389" i="3"/>
  <c r="AC389" i="3"/>
  <c r="AE448" i="3"/>
  <c r="AC448" i="3"/>
  <c r="AE883" i="3"/>
  <c r="AC883" i="3"/>
  <c r="AE1054" i="3"/>
  <c r="AC1054" i="3"/>
  <c r="AE1236" i="3"/>
  <c r="AC1236" i="3"/>
  <c r="AE1212" i="3"/>
  <c r="AC1212" i="3"/>
  <c r="AE1248" i="3"/>
  <c r="AC1248" i="3"/>
  <c r="AE1194" i="3"/>
  <c r="AC1194" i="3"/>
  <c r="AC1342" i="3"/>
  <c r="AE1342" i="3"/>
  <c r="AE1753" i="3"/>
  <c r="AC1753" i="3"/>
  <c r="AE1768" i="3"/>
  <c r="AC1768" i="3"/>
  <c r="AC1887" i="3"/>
  <c r="AE1887" i="3"/>
  <c r="AC1772" i="3"/>
  <c r="AE1864" i="3"/>
  <c r="AC1864" i="3"/>
  <c r="AC1876" i="3"/>
  <c r="AE2194" i="3"/>
  <c r="AC2194" i="3"/>
  <c r="AE2184" i="3"/>
  <c r="AC2184" i="3"/>
  <c r="AC2218" i="3"/>
  <c r="AE2218" i="3"/>
  <c r="AC1344" i="3"/>
  <c r="AE1344" i="3"/>
  <c r="AE422" i="3"/>
  <c r="AC422" i="3"/>
  <c r="AE1488" i="3"/>
  <c r="AC1488" i="3"/>
  <c r="AE1868" i="3"/>
  <c r="AC1868" i="3"/>
  <c r="AC221" i="3"/>
  <c r="AE221" i="3"/>
  <c r="AE2276" i="3"/>
  <c r="AC2276" i="3"/>
  <c r="AE1879" i="3"/>
  <c r="AC1879" i="3"/>
  <c r="AC1282" i="3"/>
  <c r="AE1282" i="3"/>
  <c r="AE915" i="3"/>
  <c r="AC915" i="3"/>
  <c r="AE33" i="3"/>
  <c r="AC33" i="3"/>
  <c r="AE2227" i="3"/>
  <c r="AC2227" i="3"/>
  <c r="AC1211" i="3"/>
  <c r="AE1211" i="3"/>
  <c r="AE896" i="3"/>
  <c r="AC896" i="3"/>
  <c r="AE480" i="3"/>
  <c r="AC480" i="3"/>
  <c r="AE445" i="3"/>
  <c r="AC445" i="3"/>
  <c r="AE326" i="3"/>
  <c r="AC326" i="3"/>
  <c r="AE2243" i="3"/>
  <c r="AC2243" i="3"/>
  <c r="AC2105" i="3"/>
  <c r="AE2105" i="3"/>
  <c r="AC1854" i="3"/>
  <c r="AE1854" i="3"/>
  <c r="AE1433" i="3"/>
  <c r="AC1433" i="3"/>
  <c r="AE493" i="3"/>
  <c r="AC493" i="3"/>
  <c r="AC177" i="3"/>
  <c r="AE177" i="3"/>
  <c r="AE80" i="3"/>
  <c r="AC80" i="3"/>
  <c r="AE2280" i="3"/>
  <c r="AC2280" i="3"/>
  <c r="AE1789" i="3"/>
  <c r="AC1789" i="3"/>
  <c r="AC1554" i="3"/>
  <c r="AE1554" i="3"/>
  <c r="AE1200" i="3"/>
  <c r="AC1200" i="3"/>
  <c r="AC1057" i="3"/>
  <c r="AE1057" i="3"/>
  <c r="AE888" i="3"/>
  <c r="AC888" i="3"/>
  <c r="AE20" i="3"/>
  <c r="AC20" i="3"/>
  <c r="AC2232" i="3"/>
  <c r="AE2232" i="3"/>
  <c r="AC2097" i="3"/>
  <c r="AE2097" i="3"/>
  <c r="AE1377" i="3"/>
  <c r="AC1377" i="3"/>
  <c r="AC1088" i="3"/>
  <c r="AE1088" i="3"/>
  <c r="AC441" i="3"/>
  <c r="AE441" i="3"/>
  <c r="AE330" i="3"/>
  <c r="AC330" i="3"/>
  <c r="AC252" i="3"/>
  <c r="AE252" i="3"/>
  <c r="AC2271" i="3"/>
  <c r="AE2271" i="3"/>
  <c r="AC1893" i="3"/>
  <c r="AE1893" i="3"/>
  <c r="AC1393" i="3"/>
  <c r="AE1393" i="3"/>
  <c r="AC1153" i="3"/>
  <c r="AE1153" i="3"/>
  <c r="AE962" i="3"/>
  <c r="AC962" i="3"/>
  <c r="AC1895" i="3"/>
  <c r="AE1895" i="3"/>
  <c r="AE1545" i="3"/>
  <c r="AC1545" i="3"/>
  <c r="AE1223" i="3"/>
  <c r="AC1223" i="3"/>
  <c r="AC1002" i="3"/>
  <c r="AE1002" i="3"/>
  <c r="AE863" i="3"/>
  <c r="AC863" i="3"/>
  <c r="AE9" i="3"/>
  <c r="AC9" i="3"/>
  <c r="AE73" i="3"/>
  <c r="AC73" i="3"/>
  <c r="AE1381" i="3"/>
  <c r="AC1381" i="3"/>
  <c r="AE1145" i="3"/>
  <c r="AC1145" i="3"/>
  <c r="AE130" i="3"/>
  <c r="AC130" i="3"/>
  <c r="AC1900" i="3"/>
  <c r="AE1900" i="3"/>
  <c r="AE1492" i="3"/>
  <c r="AC1492" i="3"/>
  <c r="AE1135" i="3"/>
  <c r="AC1135" i="3"/>
  <c r="AC940" i="3"/>
  <c r="AE940" i="3"/>
  <c r="AE459" i="3"/>
  <c r="AC459" i="3"/>
  <c r="AE263" i="3"/>
  <c r="AC263" i="3"/>
  <c r="AE1840" i="3"/>
  <c r="AC1840" i="3"/>
  <c r="AE1366" i="3"/>
  <c r="AC1366" i="3"/>
  <c r="AC1188" i="3"/>
  <c r="AE1188" i="3"/>
  <c r="AE423" i="3"/>
  <c r="AC423" i="3"/>
  <c r="AC186" i="3"/>
  <c r="AE186" i="3"/>
  <c r="AE1493" i="3"/>
  <c r="AC1493" i="3"/>
  <c r="AC1293" i="3"/>
  <c r="AE1293" i="3"/>
  <c r="AE194" i="3"/>
  <c r="AC194" i="3"/>
  <c r="AE74" i="3"/>
  <c r="AC74" i="3"/>
  <c r="AE131" i="3"/>
  <c r="AC131" i="3"/>
  <c r="AC75" i="3"/>
  <c r="AE75" i="3"/>
  <c r="AC98" i="3"/>
  <c r="AE98" i="3"/>
  <c r="AE215" i="3"/>
  <c r="AC215" i="3"/>
  <c r="AE500" i="3"/>
  <c r="AC500" i="3"/>
  <c r="AE481" i="3"/>
  <c r="AC481" i="3"/>
  <c r="AE436" i="3"/>
  <c r="AC436" i="3"/>
  <c r="AE891" i="3"/>
  <c r="AC891" i="3"/>
  <c r="AE989" i="3"/>
  <c r="AC989" i="3"/>
  <c r="AE1140" i="3"/>
  <c r="AC1140" i="3"/>
  <c r="AE1077" i="3"/>
  <c r="AC1077" i="3"/>
  <c r="AC1210" i="3"/>
  <c r="AE1210" i="3"/>
  <c r="AE1256" i="3"/>
  <c r="AC1256" i="3"/>
  <c r="AC1297" i="3"/>
  <c r="AE1297" i="3"/>
  <c r="AC1376" i="3"/>
  <c r="AE1376" i="3"/>
  <c r="AE1435" i="3"/>
  <c r="AC1435" i="3"/>
  <c r="AE1510" i="3"/>
  <c r="AC1510" i="3"/>
  <c r="AE1499" i="3"/>
  <c r="AC1499" i="3"/>
  <c r="AE1752" i="3"/>
  <c r="AC1752" i="3"/>
  <c r="AC1754" i="3"/>
  <c r="AE1754" i="3"/>
  <c r="AE1992" i="3"/>
  <c r="AC1992" i="3"/>
  <c r="AE2122" i="3"/>
  <c r="AC2122" i="3"/>
  <c r="AC2202" i="3"/>
  <c r="AE2202" i="3"/>
  <c r="AE2177" i="3"/>
  <c r="AC2177" i="3"/>
  <c r="AC2197" i="3"/>
  <c r="AE2197" i="3"/>
  <c r="AE2203" i="3"/>
  <c r="AC2203" i="3"/>
  <c r="AC1078" i="3"/>
  <c r="AE1078" i="3"/>
  <c r="AC1052" i="3"/>
  <c r="AE1052" i="3"/>
  <c r="AE1306" i="3"/>
  <c r="AC1306" i="3"/>
  <c r="AE2155" i="3"/>
  <c r="AC2155" i="3"/>
  <c r="AC1882" i="3"/>
  <c r="AE1882" i="3"/>
  <c r="AC1788" i="3"/>
  <c r="AE1788" i="3"/>
  <c r="AE1784" i="3"/>
  <c r="AC1784" i="3"/>
  <c r="AE126" i="3"/>
  <c r="AC126" i="3"/>
  <c r="AC2257" i="3"/>
  <c r="AE2257" i="3"/>
  <c r="AC2094" i="3"/>
  <c r="AE2094" i="3"/>
  <c r="AC1877" i="3"/>
  <c r="AE1877" i="3"/>
  <c r="AE1347" i="3"/>
  <c r="AC1347" i="3"/>
  <c r="AC1262" i="3"/>
  <c r="AE1262" i="3"/>
  <c r="AC1159" i="3"/>
  <c r="AE1159" i="3"/>
  <c r="AE988" i="3"/>
  <c r="AC988" i="3"/>
  <c r="AE373" i="3"/>
  <c r="AC373" i="3"/>
  <c r="AC16" i="3"/>
  <c r="AE16" i="3"/>
  <c r="AC2251" i="3"/>
  <c r="AE2251" i="3"/>
  <c r="AE1787" i="3"/>
  <c r="AC1787" i="3"/>
  <c r="AE1265" i="3"/>
  <c r="AC1265" i="3"/>
  <c r="AE1136" i="3"/>
  <c r="AC1136" i="3"/>
  <c r="AE1065" i="3"/>
  <c r="AC1065" i="3"/>
  <c r="AC421" i="3"/>
  <c r="AE421" i="3"/>
  <c r="AE2029" i="3"/>
  <c r="AC2029" i="3"/>
  <c r="AC1155" i="3"/>
  <c r="AE1155" i="3"/>
  <c r="AE1035" i="3"/>
  <c r="AC1035" i="3"/>
  <c r="AE477" i="3"/>
  <c r="AC477" i="3"/>
  <c r="AC409" i="3"/>
  <c r="AE409" i="3"/>
  <c r="AE54" i="3"/>
  <c r="AC54" i="3"/>
  <c r="AC2211" i="3"/>
  <c r="AE2211" i="3"/>
  <c r="AC2039" i="3"/>
  <c r="AE2039" i="3"/>
  <c r="AC1309" i="3"/>
  <c r="AE1309" i="3"/>
  <c r="AC1250" i="3"/>
  <c r="AE1250" i="3"/>
  <c r="AC8" i="3"/>
  <c r="AE8" i="3"/>
  <c r="AC1979" i="3"/>
  <c r="AE1979" i="3"/>
  <c r="AE1288" i="3"/>
  <c r="AC1288" i="3"/>
  <c r="AE176" i="3"/>
  <c r="AC176" i="3"/>
  <c r="AE2284" i="3"/>
  <c r="AC2284" i="3"/>
  <c r="AE2154" i="3"/>
  <c r="AC2154" i="3"/>
  <c r="AE1544" i="3"/>
  <c r="AC1544" i="3"/>
  <c r="AE826" i="3"/>
  <c r="AC826" i="3"/>
  <c r="AE88" i="3"/>
  <c r="AC88" i="3"/>
  <c r="AC2075" i="3"/>
  <c r="AE2075" i="3"/>
  <c r="AC1848" i="3"/>
  <c r="AE1848" i="3"/>
  <c r="AE1285" i="3"/>
  <c r="AC1285" i="3"/>
  <c r="AC1148" i="3"/>
  <c r="AE1148" i="3"/>
  <c r="AC947" i="3"/>
  <c r="AE947" i="3"/>
  <c r="AE1529" i="3"/>
  <c r="AC1529" i="3"/>
  <c r="AE995" i="3"/>
  <c r="AC995" i="3"/>
  <c r="AC411" i="3"/>
  <c r="AE411" i="3"/>
  <c r="AE1445" i="3"/>
  <c r="AC1445" i="3"/>
  <c r="AE1275" i="3"/>
  <c r="AC1275" i="3"/>
  <c r="AE1010" i="3"/>
  <c r="AC1010" i="3"/>
  <c r="AE444" i="3"/>
  <c r="AC444" i="3"/>
  <c r="AC156" i="3"/>
  <c r="AE156" i="3"/>
  <c r="AE2263" i="3"/>
  <c r="AC2263" i="3"/>
  <c r="AC2054" i="3"/>
  <c r="AE2054" i="3"/>
  <c r="AE1860" i="3"/>
  <c r="AC1860" i="3"/>
  <c r="AE1414" i="3"/>
  <c r="AC1414" i="3"/>
  <c r="AE1235" i="3"/>
  <c r="AC1235" i="3"/>
  <c r="AE1116" i="3"/>
  <c r="AC1116" i="3"/>
  <c r="AE183" i="3"/>
  <c r="AC183" i="3"/>
  <c r="AE107" i="3"/>
  <c r="AC107" i="3"/>
  <c r="AE1423" i="3"/>
  <c r="AC1423" i="3"/>
  <c r="AE1341" i="3"/>
  <c r="AC1341" i="3"/>
  <c r="AC885" i="3"/>
  <c r="AE885" i="3"/>
  <c r="AC12" i="3"/>
  <c r="AE12" i="3"/>
  <c r="AC181" i="3"/>
  <c r="AE181" i="3"/>
  <c r="AC45" i="3"/>
  <c r="AE45" i="3"/>
  <c r="AE224" i="3"/>
  <c r="AC224" i="3"/>
  <c r="AE324" i="3"/>
  <c r="AC324" i="3"/>
  <c r="AE222" i="3"/>
  <c r="AC222" i="3"/>
  <c r="AE543" i="3"/>
  <c r="AC543" i="3"/>
  <c r="AC484" i="3"/>
  <c r="AE484" i="3"/>
  <c r="AE899" i="3"/>
  <c r="AC899" i="3"/>
  <c r="AC990" i="3"/>
  <c r="AE990" i="3"/>
  <c r="AE1157" i="3"/>
  <c r="AC1157" i="3"/>
  <c r="AE1220" i="3"/>
  <c r="AC1220" i="3"/>
  <c r="AE1264" i="3"/>
  <c r="AC1264" i="3"/>
  <c r="AC1361" i="3"/>
  <c r="AE1361" i="3"/>
  <c r="AC1385" i="3"/>
  <c r="AE1385" i="3"/>
  <c r="AE1405" i="3"/>
  <c r="AC1405" i="3"/>
  <c r="AC1757" i="3"/>
  <c r="AE1757" i="3"/>
  <c r="AE1826" i="3"/>
  <c r="AC1826" i="3"/>
  <c r="AE1875" i="3"/>
  <c r="AC1875" i="3"/>
  <c r="AE1996" i="3"/>
  <c r="AC1996" i="3"/>
  <c r="AC2221" i="3"/>
  <c r="AE2221" i="3"/>
  <c r="AE2242" i="3"/>
  <c r="AC2242" i="3"/>
  <c r="AJ1706" i="3"/>
  <c r="AJ1735" i="3"/>
  <c r="AJ1747" i="3"/>
  <c r="AJ1749" i="3"/>
  <c r="AJ1744" i="3"/>
  <c r="AL1739" i="3"/>
  <c r="AB1739" i="3" s="1"/>
  <c r="AJ1748" i="3"/>
  <c r="AJ1623" i="3"/>
  <c r="AJ1615" i="3"/>
  <c r="AJ1742" i="3"/>
  <c r="AJ1750" i="3"/>
  <c r="AL1567" i="3"/>
  <c r="AB1567" i="3" s="1"/>
  <c r="AL906" i="3"/>
  <c r="AB906" i="3" s="1"/>
  <c r="AL917" i="3"/>
  <c r="AL630" i="3"/>
  <c r="AB630" i="3" s="1"/>
  <c r="AL673" i="3"/>
  <c r="AB673" i="3" s="1"/>
  <c r="AL874" i="3"/>
  <c r="AB874" i="3" s="1"/>
  <c r="AL382" i="3"/>
  <c r="AL698" i="3"/>
  <c r="AB698" i="3" s="1"/>
  <c r="AL706" i="3"/>
  <c r="AB706" i="3" s="1"/>
  <c r="AL981" i="3"/>
  <c r="AB981" i="3" s="1"/>
  <c r="AL1584" i="3"/>
  <c r="AB1584" i="3" s="1"/>
  <c r="AL1604" i="3"/>
  <c r="AB1604" i="3" s="1"/>
  <c r="AL1569" i="3"/>
  <c r="AB1569" i="3" s="1"/>
  <c r="AL1579" i="3"/>
  <c r="AL378" i="3"/>
  <c r="AB378" i="3" s="1"/>
  <c r="AL678" i="3"/>
  <c r="AL704" i="3"/>
  <c r="AB704" i="3" s="1"/>
  <c r="AL813" i="3"/>
  <c r="AB813" i="3" s="1"/>
  <c r="AL633" i="3"/>
  <c r="AB633" i="3" s="1"/>
  <c r="AL812" i="3"/>
  <c r="AB812" i="3" s="1"/>
  <c r="AL1565" i="3"/>
  <c r="AB1565" i="3" s="1"/>
  <c r="AL1619" i="3"/>
  <c r="AB1619" i="3" s="1"/>
  <c r="AL1727" i="3"/>
  <c r="AB1727" i="3" s="1"/>
  <c r="AL1750" i="3"/>
  <c r="AB1750" i="3" s="1"/>
  <c r="AL548" i="3"/>
  <c r="AB548" i="3" s="1"/>
  <c r="AL429" i="3"/>
  <c r="AB429" i="3" s="1"/>
  <c r="AL700" i="3"/>
  <c r="AL696" i="3"/>
  <c r="AB696" i="3" s="1"/>
  <c r="AL711" i="3"/>
  <c r="AB711" i="3" s="1"/>
  <c r="AL920" i="3"/>
  <c r="AB920" i="3" s="1"/>
  <c r="AL921" i="3"/>
  <c r="AB921" i="3" s="1"/>
  <c r="AL1617" i="3"/>
  <c r="AB1617" i="3" s="1"/>
  <c r="AL1623" i="3"/>
  <c r="AB1623" i="3" s="1"/>
  <c r="AL1748" i="3"/>
  <c r="AB1748" i="3" s="1"/>
  <c r="AL1694" i="3"/>
  <c r="AL418" i="3"/>
  <c r="AB418" i="3" s="1"/>
  <c r="AL699" i="3"/>
  <c r="AB699" i="3" s="1"/>
  <c r="AL708" i="3"/>
  <c r="AB708" i="3" s="1"/>
  <c r="AL635" i="3"/>
  <c r="AL667" i="3"/>
  <c r="AB667" i="3" s="1"/>
  <c r="AL707" i="3"/>
  <c r="AB707" i="3" s="1"/>
  <c r="AL1626" i="3"/>
  <c r="AB1626" i="3" s="1"/>
  <c r="AL681" i="3"/>
  <c r="AB681" i="3" s="1"/>
  <c r="AL713" i="3"/>
  <c r="AB713" i="3" s="1"/>
  <c r="AL715" i="3"/>
  <c r="AB715" i="3" s="1"/>
  <c r="AL873" i="3"/>
  <c r="AB873" i="3" s="1"/>
  <c r="AL1615" i="3"/>
  <c r="AB1615" i="3" s="1"/>
  <c r="AL1737" i="3"/>
  <c r="AB1737" i="3" s="1"/>
  <c r="AL1747" i="3"/>
  <c r="AB1747" i="3" s="1"/>
  <c r="AL1805" i="3"/>
  <c r="AL381" i="3"/>
  <c r="AL672" i="3"/>
  <c r="AB672" i="3" s="1"/>
  <c r="AL675" i="3"/>
  <c r="AB675" i="3" s="1"/>
  <c r="AL674" i="3"/>
  <c r="AL692" i="3"/>
  <c r="AB692" i="3" s="1"/>
  <c r="AL710" i="3"/>
  <c r="AB710" i="3" s="1"/>
  <c r="AL808" i="3"/>
  <c r="AB808" i="3" s="1"/>
  <c r="AL877" i="3"/>
  <c r="AB877" i="3" s="1"/>
  <c r="AL1677" i="3"/>
  <c r="AB1677" i="3" s="1"/>
  <c r="AL1632" i="3"/>
  <c r="AB1632" i="3" s="1"/>
  <c r="AL1706" i="3"/>
  <c r="AB1706" i="3" s="1"/>
  <c r="AL417" i="3"/>
  <c r="AB417" i="3" s="1"/>
  <c r="AL680" i="3"/>
  <c r="AB680" i="3" s="1"/>
  <c r="AL657" i="3"/>
  <c r="AB657" i="3" s="1"/>
  <c r="AL629" i="3"/>
  <c r="AB629" i="3" s="1"/>
  <c r="AL904" i="3"/>
  <c r="AB904" i="3" s="1"/>
  <c r="AL1708" i="3"/>
  <c r="AB1708" i="3" s="1"/>
  <c r="AL566" i="3"/>
  <c r="AB566" i="3" s="1"/>
  <c r="AL676" i="3"/>
  <c r="AB676" i="3" s="1"/>
  <c r="AL903" i="3"/>
  <c r="AB903" i="3" s="1"/>
  <c r="AL1571" i="3"/>
  <c r="AB1571" i="3" s="1"/>
  <c r="AL1735" i="3"/>
  <c r="AB1735" i="3" s="1"/>
  <c r="AL702" i="3"/>
  <c r="AB702" i="3" s="1"/>
  <c r="AL712" i="3"/>
  <c r="AB712" i="3" s="1"/>
  <c r="AL684" i="3"/>
  <c r="AB684" i="3" s="1"/>
  <c r="AL691" i="3"/>
  <c r="AB691" i="3" s="1"/>
  <c r="AL682" i="3"/>
  <c r="AB682" i="3" s="1"/>
  <c r="AL714" i="3"/>
  <c r="AB714" i="3" s="1"/>
  <c r="AL1729" i="3"/>
  <c r="AB1729" i="3" s="1"/>
  <c r="AL1690" i="3"/>
  <c r="AB1690" i="3" s="1"/>
  <c r="AL1630" i="3"/>
  <c r="AB1630" i="3" s="1"/>
  <c r="AL1742" i="3"/>
  <c r="AL1804" i="3"/>
  <c r="AB1804" i="3" s="1"/>
  <c r="AL588" i="3"/>
  <c r="AB588" i="3" s="1"/>
  <c r="AL687" i="3"/>
  <c r="AB687" i="3" s="1"/>
  <c r="AL668" i="3"/>
  <c r="AB668" i="3" s="1"/>
  <c r="AL905" i="3"/>
  <c r="AL377" i="3"/>
  <c r="AB377" i="3" s="1"/>
  <c r="AL695" i="3"/>
  <c r="AB695" i="3" s="1"/>
  <c r="AL694" i="3"/>
  <c r="AB694" i="3" s="1"/>
  <c r="AL677" i="3"/>
  <c r="AB677" i="3" s="1"/>
  <c r="AL688" i="3"/>
  <c r="AB688" i="3" s="1"/>
  <c r="AL703" i="3"/>
  <c r="AB703" i="3" s="1"/>
  <c r="AL866" i="3"/>
  <c r="AB866" i="3" s="1"/>
  <c r="AL876" i="3"/>
  <c r="AB876" i="3" s="1"/>
  <c r="AL1670" i="3"/>
  <c r="AB1670" i="3" s="1"/>
  <c r="AL428" i="3"/>
  <c r="AB428" i="3" s="1"/>
  <c r="AL1749" i="3"/>
  <c r="AB1749" i="3" s="1"/>
  <c r="AL546" i="3"/>
  <c r="AL1692" i="3"/>
  <c r="AB1692" i="3" s="1"/>
  <c r="AL690" i="3"/>
  <c r="AB690" i="3" s="1"/>
  <c r="AL865" i="3"/>
  <c r="AB865" i="3" s="1"/>
  <c r="AL686" i="3"/>
  <c r="AB686" i="3" s="1"/>
  <c r="AL683" i="3"/>
  <c r="AB683" i="3" s="1"/>
  <c r="AL907" i="3"/>
  <c r="AB907" i="3" s="1"/>
  <c r="AL1744" i="3"/>
  <c r="AL634" i="3"/>
  <c r="AB634" i="3" s="1"/>
  <c r="AL880" i="3"/>
  <c r="AB880" i="3" s="1"/>
  <c r="AL1751" i="3"/>
  <c r="AB1751" i="3" s="1"/>
  <c r="AL1628" i="3"/>
  <c r="AB1628" i="3" s="1"/>
  <c r="AL870" i="3"/>
  <c r="AB870" i="3" s="1"/>
  <c r="AL709" i="3"/>
  <c r="AB709" i="3" s="1"/>
  <c r="AL1722" i="3"/>
  <c r="AB1722" i="3" s="1"/>
  <c r="AL923" i="3"/>
  <c r="AB923" i="3" s="1"/>
  <c r="AL697" i="3"/>
  <c r="AB697" i="3" s="1"/>
  <c r="AL1588" i="3"/>
  <c r="AB1588" i="3" s="1"/>
  <c r="AL875" i="3"/>
  <c r="AB875" i="3" s="1"/>
  <c r="AL1710" i="3"/>
  <c r="AB1710" i="3" s="1"/>
  <c r="AL1585" i="3"/>
  <c r="AB1585" i="3" s="1"/>
  <c r="AL922" i="3"/>
  <c r="AB922" i="3" s="1"/>
  <c r="AL669" i="3"/>
  <c r="AB669" i="3" s="1"/>
  <c r="AL871" i="3"/>
  <c r="AB871" i="3" s="1"/>
  <c r="AL908" i="3"/>
  <c r="AB908" i="3" s="1"/>
  <c r="AL1573" i="3"/>
  <c r="AB1573" i="3" s="1"/>
  <c r="AL701" i="3"/>
  <c r="AB701" i="3" s="1"/>
  <c r="AL1700" i="3"/>
  <c r="AB1700" i="3" s="1"/>
  <c r="AL864" i="3"/>
  <c r="AB864" i="3" s="1"/>
  <c r="AL666" i="3"/>
  <c r="AB666" i="3" s="1"/>
  <c r="AL1745" i="3"/>
  <c r="AB1745" i="3" s="1"/>
  <c r="AL671" i="3"/>
  <c r="AB671" i="3" s="1"/>
  <c r="AL804" i="3"/>
  <c r="AB804" i="3" s="1"/>
  <c r="AL427" i="3"/>
  <c r="AB427" i="3" s="1"/>
  <c r="AL879" i="3"/>
  <c r="AB879" i="3" s="1"/>
  <c r="AL380" i="3"/>
  <c r="AB380" i="3" s="1"/>
  <c r="AL1587" i="3"/>
  <c r="AB1587" i="3" s="1"/>
  <c r="AL705" i="3"/>
  <c r="AB705" i="3" s="1"/>
  <c r="AL1655" i="3"/>
  <c r="AB1655" i="3" s="1"/>
  <c r="AL805" i="3"/>
  <c r="AB805" i="3" s="1"/>
  <c r="AL670" i="3"/>
  <c r="AB670" i="3" s="1"/>
  <c r="AL1743" i="3"/>
  <c r="AL872" i="3"/>
  <c r="AB872" i="3" s="1"/>
  <c r="AL1746" i="3"/>
  <c r="AB1746" i="3" s="1"/>
  <c r="AL811" i="3"/>
  <c r="AB811" i="3" s="1"/>
  <c r="AL636" i="3"/>
  <c r="AB636" i="3" s="1"/>
  <c r="AL693" i="3"/>
  <c r="AB693" i="3" s="1"/>
  <c r="AL878" i="3"/>
  <c r="AB878" i="3" s="1"/>
  <c r="AL1621" i="3"/>
  <c r="AB1621" i="3" s="1"/>
  <c r="AL679" i="3"/>
  <c r="AB679" i="3" s="1"/>
  <c r="AL1625" i="3"/>
  <c r="AB1625" i="3" s="1"/>
  <c r="AL379" i="3"/>
  <c r="AB379" i="3" s="1"/>
  <c r="AL1642" i="3"/>
  <c r="AB1642" i="3" s="1"/>
  <c r="AL685" i="3"/>
  <c r="AB685" i="3" s="1"/>
  <c r="AL1806" i="3"/>
  <c r="AB1806" i="3" s="1"/>
  <c r="AL1720" i="3"/>
  <c r="AB1720" i="3" s="1"/>
  <c r="AL1660" i="3"/>
  <c r="AB1660" i="3" s="1"/>
  <c r="AL1803" i="3"/>
  <c r="AB1803" i="3" s="1"/>
  <c r="AL689" i="3"/>
  <c r="AB689" i="3" s="1"/>
  <c r="AL919" i="3"/>
  <c r="AB919" i="3" s="1"/>
  <c r="AJ546" i="3"/>
  <c r="AJ677" i="3"/>
  <c r="AJ629" i="3"/>
  <c r="AJ428" i="3"/>
  <c r="AJ683" i="3"/>
  <c r="AJ635" i="3"/>
  <c r="AJ1565" i="3"/>
  <c r="AJ1584" i="3"/>
  <c r="AJ1571" i="3"/>
  <c r="AJ678" i="3"/>
  <c r="AJ704" i="3"/>
  <c r="AJ813" i="3"/>
  <c r="AJ657" i="3"/>
  <c r="AJ812" i="3"/>
  <c r="AJ1737" i="3"/>
  <c r="AJ1727" i="3"/>
  <c r="AJ1670" i="3"/>
  <c r="AJ548" i="3"/>
  <c r="AJ681" i="3"/>
  <c r="AJ713" i="3"/>
  <c r="AJ700" i="3"/>
  <c r="AJ696" i="3"/>
  <c r="AJ710" i="3"/>
  <c r="AJ711" i="3"/>
  <c r="AJ1617" i="3"/>
  <c r="AJ1677" i="3"/>
  <c r="AJ418" i="3"/>
  <c r="AJ699" i="3"/>
  <c r="AJ708" i="3"/>
  <c r="AJ707" i="3"/>
  <c r="AJ1632" i="3"/>
  <c r="AJ714" i="3"/>
  <c r="AJ874" i="3"/>
  <c r="AJ686" i="3"/>
  <c r="AJ808" i="3"/>
  <c r="AJ1739" i="3"/>
  <c r="AJ692" i="3"/>
  <c r="AJ680" i="3"/>
  <c r="AJ690" i="3"/>
  <c r="AJ877" i="3"/>
  <c r="AJ873" i="3"/>
  <c r="AJ1692" i="3"/>
  <c r="AJ1626" i="3"/>
  <c r="AJ417" i="3"/>
  <c r="AJ630" i="3"/>
  <c r="AJ694" i="3"/>
  <c r="AJ1729" i="3"/>
  <c r="AJ1708" i="3"/>
  <c r="AJ566" i="3"/>
  <c r="AJ675" i="3"/>
  <c r="AJ676" i="3"/>
  <c r="AJ698" i="3"/>
  <c r="AJ712" i="3"/>
  <c r="AJ684" i="3"/>
  <c r="AJ691" i="3"/>
  <c r="AJ682" i="3"/>
  <c r="AJ715" i="3"/>
  <c r="AJ702" i="3"/>
  <c r="AJ1567" i="3"/>
  <c r="AJ1630" i="3"/>
  <c r="AJ429" i="3"/>
  <c r="AJ588" i="3"/>
  <c r="AJ687" i="3"/>
  <c r="AJ706" i="3"/>
  <c r="AJ1569" i="3"/>
  <c r="AJ1690" i="3"/>
  <c r="AJ695" i="3"/>
  <c r="AJ1619" i="3"/>
  <c r="AJ688" i="3"/>
  <c r="AJ703" i="3"/>
  <c r="AJ1694" i="3"/>
  <c r="AJ876" i="3"/>
  <c r="AJ1579" i="3"/>
  <c r="AJ1604" i="3"/>
  <c r="AJ633" i="3"/>
  <c r="AJ709" i="3"/>
  <c r="AJ1722" i="3"/>
  <c r="AJ697" i="3"/>
  <c r="AJ1588" i="3"/>
  <c r="AJ875" i="3"/>
  <c r="AJ634" i="3"/>
  <c r="AJ880" i="3"/>
  <c r="AJ1628" i="3"/>
  <c r="AJ1573" i="3"/>
  <c r="AJ701" i="3"/>
  <c r="AJ1700" i="3"/>
  <c r="AJ1710" i="3"/>
  <c r="AJ1585" i="3"/>
  <c r="AJ669" i="3"/>
  <c r="AJ871" i="3"/>
  <c r="AJ705" i="3"/>
  <c r="AJ1655" i="3"/>
  <c r="AJ666" i="3"/>
  <c r="AJ804" i="3"/>
  <c r="AJ427" i="3"/>
  <c r="AJ879" i="3"/>
  <c r="AJ1587" i="3"/>
  <c r="AJ636" i="3"/>
  <c r="AJ693" i="3"/>
  <c r="AJ878" i="3"/>
  <c r="AJ1621" i="3"/>
  <c r="AJ1743" i="3"/>
  <c r="AJ872" i="3"/>
  <c r="AJ811" i="3"/>
  <c r="AJ1660" i="3"/>
  <c r="AJ1625" i="3"/>
  <c r="AJ1642" i="3"/>
  <c r="AJ679" i="3"/>
  <c r="AJ685" i="3"/>
  <c r="AJ1720" i="3"/>
  <c r="AJ689" i="3"/>
  <c r="AE1986" i="3"/>
  <c r="AC1986" i="3"/>
  <c r="AE2115" i="3"/>
  <c r="AC2115" i="3"/>
  <c r="AC2066" i="3"/>
  <c r="AE2066" i="3"/>
  <c r="AE720" i="3"/>
  <c r="AC720" i="3"/>
  <c r="AE774" i="3"/>
  <c r="AC774" i="3"/>
  <c r="AC1873" i="3"/>
  <c r="AE1873" i="3"/>
  <c r="AE1117" i="3"/>
  <c r="AC1117" i="3"/>
  <c r="AC64" i="3"/>
  <c r="AE64" i="3"/>
  <c r="AE2215" i="3"/>
  <c r="AC2215" i="3"/>
  <c r="AE1289" i="3"/>
  <c r="AC1289" i="3"/>
  <c r="AC1094" i="3"/>
  <c r="AE1094" i="3"/>
  <c r="AE461" i="3"/>
  <c r="AC461" i="3"/>
  <c r="AE106" i="3"/>
  <c r="AC106" i="3"/>
  <c r="AE1372" i="3"/>
  <c r="AC1372" i="3"/>
  <c r="AE887" i="3"/>
  <c r="AC887" i="3"/>
  <c r="AE210" i="3"/>
  <c r="AC210" i="3"/>
  <c r="AE2035" i="3"/>
  <c r="AC2035" i="3"/>
  <c r="AE1815" i="3"/>
  <c r="AC1815" i="3"/>
  <c r="AE1261" i="3"/>
  <c r="AC1261" i="3"/>
  <c r="AE1184" i="3"/>
  <c r="AC1184" i="3"/>
  <c r="AE349" i="3"/>
  <c r="AC349" i="3"/>
  <c r="AE281" i="3"/>
  <c r="AC281" i="3"/>
  <c r="AB1742" i="3"/>
  <c r="AE1552" i="3"/>
  <c r="AC1552" i="3"/>
  <c r="AE1260" i="3"/>
  <c r="AC1260" i="3"/>
  <c r="AC982" i="3"/>
  <c r="AE982" i="3"/>
  <c r="AE931" i="3"/>
  <c r="AC931" i="3"/>
  <c r="AE446" i="3"/>
  <c r="AC446" i="3"/>
  <c r="AE40" i="3"/>
  <c r="AC40" i="3"/>
  <c r="AE2113" i="3"/>
  <c r="AC2113" i="3"/>
  <c r="AC1758" i="3"/>
  <c r="AE1758" i="3"/>
  <c r="AE1397" i="3"/>
  <c r="AC1397" i="3"/>
  <c r="AE473" i="3"/>
  <c r="AC473" i="3"/>
  <c r="AE492" i="3"/>
  <c r="AC492" i="3"/>
  <c r="AE272" i="3"/>
  <c r="AC272" i="3"/>
  <c r="AE299" i="3"/>
  <c r="AC299" i="3"/>
  <c r="AC2099" i="3"/>
  <c r="AE2099" i="3"/>
  <c r="AE487" i="3"/>
  <c r="AC487" i="3"/>
  <c r="AE180" i="3"/>
  <c r="AC180" i="3"/>
  <c r="AC84" i="3"/>
  <c r="AE84" i="3"/>
  <c r="AC2136" i="3"/>
  <c r="AE2136" i="3"/>
  <c r="AE1878" i="3"/>
  <c r="AC1878" i="3"/>
  <c r="AC1553" i="3"/>
  <c r="AE1553" i="3"/>
  <c r="AC1348" i="3"/>
  <c r="AE1348" i="3"/>
  <c r="AE1368" i="3"/>
  <c r="AC1368" i="3"/>
  <c r="AE1018" i="3"/>
  <c r="AC1018" i="3"/>
  <c r="AE219" i="3"/>
  <c r="AC219" i="3"/>
  <c r="AE1374" i="3"/>
  <c r="AC1374" i="3"/>
  <c r="AC1313" i="3"/>
  <c r="AE1313" i="3"/>
  <c r="AE1081" i="3"/>
  <c r="AC1081" i="3"/>
  <c r="AE383" i="3"/>
  <c r="AC383" i="3"/>
  <c r="AC140" i="3"/>
  <c r="AE140" i="3"/>
  <c r="AC1930" i="3"/>
  <c r="AE1930" i="3"/>
  <c r="AE1017" i="3"/>
  <c r="AC1017" i="3"/>
  <c r="AE818" i="3"/>
  <c r="AC818" i="3"/>
  <c r="AC457" i="3"/>
  <c r="AE457" i="3"/>
  <c r="AE439" i="3"/>
  <c r="AC439" i="3"/>
  <c r="AC340" i="3"/>
  <c r="AE340" i="3"/>
  <c r="AC2085" i="3"/>
  <c r="AE2085" i="3"/>
  <c r="AE1386" i="3"/>
  <c r="AC1386" i="3"/>
  <c r="AE67" i="3"/>
  <c r="AC67" i="3"/>
  <c r="AC1481" i="3"/>
  <c r="AE1481" i="3"/>
  <c r="AE490" i="3"/>
  <c r="AC490" i="3"/>
  <c r="AE200" i="3"/>
  <c r="AC200" i="3"/>
  <c r="AC27" i="3"/>
  <c r="AE27" i="3"/>
  <c r="AE229" i="3"/>
  <c r="AC229" i="3"/>
  <c r="AC278" i="3"/>
  <c r="AE278" i="3"/>
  <c r="AE241" i="3"/>
  <c r="AC241" i="3"/>
  <c r="AB382" i="3"/>
  <c r="AB700" i="3"/>
  <c r="AE884" i="3"/>
  <c r="AC884" i="3"/>
  <c r="AC993" i="3"/>
  <c r="AE993" i="3"/>
  <c r="AC1091" i="3"/>
  <c r="AE1091" i="3"/>
  <c r="AE1217" i="3"/>
  <c r="AC1217" i="3"/>
  <c r="AE1420" i="3"/>
  <c r="AC1420" i="3"/>
  <c r="AB1805" i="3"/>
  <c r="AE1839" i="3"/>
  <c r="AC1839" i="3"/>
  <c r="AE1861" i="3"/>
  <c r="AC1861" i="3"/>
  <c r="AE1845" i="3"/>
  <c r="AC1845" i="3"/>
  <c r="AE1903" i="3"/>
  <c r="AC1903" i="3"/>
  <c r="AE1967" i="3"/>
  <c r="AC1967" i="3"/>
  <c r="AE2139" i="3"/>
  <c r="AC2139" i="3"/>
  <c r="AE2132" i="3"/>
  <c r="AC2132" i="3"/>
  <c r="AC2178" i="3"/>
  <c r="AE2178" i="3"/>
  <c r="AE2224" i="3"/>
  <c r="AC2224" i="3"/>
  <c r="AJ378" i="3"/>
  <c r="AJ377" i="3"/>
  <c r="AJ904" i="3"/>
  <c r="AJ906" i="3"/>
  <c r="AJ905" i="3"/>
  <c r="AE1852" i="3"/>
  <c r="AC1852" i="3"/>
  <c r="AE2131" i="3"/>
  <c r="AC2131" i="3"/>
  <c r="AC494" i="3"/>
  <c r="AE494" i="3"/>
  <c r="AE1964" i="3"/>
  <c r="AC1964" i="3"/>
  <c r="AE105" i="3"/>
  <c r="AC105" i="3"/>
  <c r="AC2103" i="3"/>
  <c r="AE2103" i="3"/>
  <c r="AC1365" i="3"/>
  <c r="AE1365" i="3"/>
  <c r="AC435" i="3"/>
  <c r="AE435" i="3"/>
  <c r="AC433" i="3"/>
  <c r="AE433" i="3"/>
  <c r="AE1555" i="3"/>
  <c r="AC1555" i="3"/>
  <c r="AE1338" i="3"/>
  <c r="AC1338" i="3"/>
  <c r="AC894" i="3"/>
  <c r="AE894" i="3"/>
  <c r="AE351" i="3"/>
  <c r="AC351" i="3"/>
  <c r="AC2108" i="3"/>
  <c r="AE2108" i="3"/>
  <c r="AE1444" i="3"/>
  <c r="AC1444" i="3"/>
  <c r="AE1421" i="3"/>
  <c r="AC1421" i="3"/>
  <c r="AE1259" i="3"/>
  <c r="AC1259" i="3"/>
  <c r="AE458" i="3"/>
  <c r="AC458" i="3"/>
  <c r="AE192" i="3"/>
  <c r="AC192" i="3"/>
  <c r="AE2198" i="3"/>
  <c r="AC2198" i="3"/>
  <c r="AE2061" i="3"/>
  <c r="AC2061" i="3"/>
  <c r="AC1424" i="3"/>
  <c r="AE1424" i="3"/>
  <c r="AE1215" i="3"/>
  <c r="AC1215" i="3"/>
  <c r="AE231" i="3"/>
  <c r="AC231" i="3"/>
  <c r="AE43" i="3"/>
  <c r="AC43" i="3"/>
  <c r="AE2289" i="3"/>
  <c r="AC2289" i="3"/>
  <c r="AC1350" i="3"/>
  <c r="AE1350" i="3"/>
  <c r="AE1067" i="3"/>
  <c r="AC1067" i="3"/>
  <c r="AE395" i="3"/>
  <c r="AC395" i="3"/>
  <c r="AE1808" i="3"/>
  <c r="AC1808" i="3"/>
  <c r="AE827" i="3"/>
  <c r="AC827" i="3"/>
  <c r="AE259" i="3"/>
  <c r="AC259" i="3"/>
  <c r="AC1270" i="3"/>
  <c r="AE1270" i="3"/>
  <c r="AE1107" i="3"/>
  <c r="AC1107" i="3"/>
  <c r="AE298" i="3"/>
  <c r="AC298" i="3"/>
  <c r="AE1487" i="3"/>
  <c r="AC1487" i="3"/>
  <c r="AE1426" i="3"/>
  <c r="AC1426" i="3"/>
  <c r="AC1258" i="3"/>
  <c r="AE1258" i="3"/>
  <c r="AE21" i="3"/>
  <c r="AC21" i="3"/>
  <c r="AC1520" i="3"/>
  <c r="AE1520" i="3"/>
  <c r="AE1299" i="3"/>
  <c r="AC1299" i="3"/>
  <c r="AC960" i="3"/>
  <c r="AE960" i="3"/>
  <c r="AE486" i="3"/>
  <c r="AC486" i="3"/>
  <c r="AC2174" i="3"/>
  <c r="AE2174" i="3"/>
  <c r="AE508" i="3"/>
  <c r="AC508" i="3"/>
  <c r="AE139" i="3"/>
  <c r="AC139" i="3"/>
  <c r="AC2180" i="3"/>
  <c r="AE2180" i="3"/>
  <c r="AE986" i="3"/>
  <c r="AC986" i="3"/>
  <c r="AB635" i="3"/>
  <c r="AE279" i="3"/>
  <c r="AC279" i="3"/>
  <c r="AC57" i="3"/>
  <c r="AE57" i="3"/>
  <c r="AC325" i="3"/>
  <c r="AE325" i="3"/>
  <c r="AE393" i="3"/>
  <c r="AC393" i="3"/>
  <c r="AE247" i="3"/>
  <c r="AC247" i="3"/>
  <c r="AE269" i="3"/>
  <c r="AC269" i="3"/>
  <c r="AB546" i="3"/>
  <c r="AE892" i="3"/>
  <c r="AC892" i="3"/>
  <c r="AE1032" i="3"/>
  <c r="AC1032" i="3"/>
  <c r="AE1092" i="3"/>
  <c r="AC1092" i="3"/>
  <c r="AE1237" i="3"/>
  <c r="AC1237" i="3"/>
  <c r="AC1226" i="3"/>
  <c r="AE1226" i="3"/>
  <c r="AC1167" i="3"/>
  <c r="AE1167" i="3"/>
  <c r="AE1346" i="3"/>
  <c r="AC1346" i="3"/>
  <c r="AE1526" i="3"/>
  <c r="AC1526" i="3"/>
  <c r="AC1504" i="3"/>
  <c r="AE1504" i="3"/>
  <c r="AE1897" i="3"/>
  <c r="AC1897" i="3"/>
  <c r="AC1929" i="3"/>
  <c r="AE1929" i="3"/>
  <c r="AE2185" i="3"/>
  <c r="AC2185" i="3"/>
  <c r="AE2191" i="3"/>
  <c r="AC2191" i="3"/>
  <c r="AC2246" i="3"/>
  <c r="AE2246" i="3"/>
  <c r="AB1743" i="3"/>
  <c r="AE2119" i="3"/>
  <c r="AC2119" i="3"/>
  <c r="AE499" i="3"/>
  <c r="AC499" i="3"/>
  <c r="AC488" i="3"/>
  <c r="AE488" i="3"/>
  <c r="AE1199" i="3"/>
  <c r="AC1199" i="3"/>
  <c r="AE937" i="3"/>
  <c r="AC937" i="3"/>
  <c r="AE2042" i="3"/>
  <c r="AC2042" i="3"/>
  <c r="AE1813" i="3"/>
  <c r="AC1813" i="3"/>
  <c r="AE1459" i="3"/>
  <c r="AC1459" i="3"/>
  <c r="AC1345" i="3"/>
  <c r="AE1345" i="3"/>
  <c r="AE375" i="3"/>
  <c r="AC375" i="3"/>
  <c r="AE53" i="3"/>
  <c r="AC53" i="3"/>
  <c r="AC2153" i="3"/>
  <c r="AE2153" i="3"/>
  <c r="AE2038" i="3"/>
  <c r="AC2038" i="3"/>
  <c r="AC1263" i="3"/>
  <c r="AE1263" i="3"/>
  <c r="AE1169" i="3"/>
  <c r="AC1169" i="3"/>
  <c r="AE861" i="3"/>
  <c r="AC861" i="3"/>
  <c r="AC901" i="3"/>
  <c r="AE901" i="3"/>
  <c r="AE507" i="3"/>
  <c r="AC507" i="3"/>
  <c r="AE103" i="3"/>
  <c r="AC103" i="3"/>
  <c r="AE2226" i="3"/>
  <c r="AC2226" i="3"/>
  <c r="AE2053" i="3"/>
  <c r="AC2053" i="3"/>
  <c r="AE1962" i="3"/>
  <c r="AC1962" i="3"/>
  <c r="AE1292" i="3"/>
  <c r="AC1292" i="3"/>
  <c r="AC419" i="3"/>
  <c r="AE419" i="3"/>
  <c r="AC144" i="3"/>
  <c r="AE144" i="3"/>
  <c r="AC22" i="3"/>
  <c r="AE22" i="3"/>
  <c r="AE2044" i="3"/>
  <c r="AC2044" i="3"/>
  <c r="AE1755" i="3"/>
  <c r="AC1755" i="3"/>
  <c r="AE118" i="3"/>
  <c r="AC118" i="3"/>
  <c r="AE2125" i="3"/>
  <c r="AC2125" i="3"/>
  <c r="AE2006" i="3"/>
  <c r="AC2006" i="3"/>
  <c r="AE1416" i="3"/>
  <c r="AC1416" i="3"/>
  <c r="AC1019" i="3"/>
  <c r="AE1019" i="3"/>
  <c r="AC1024" i="3"/>
  <c r="AE1024" i="3"/>
  <c r="AE399" i="3"/>
  <c r="AC399" i="3"/>
  <c r="AE2095" i="3"/>
  <c r="AC2095" i="3"/>
  <c r="AE1814" i="3"/>
  <c r="AC1814" i="3"/>
  <c r="AE1498" i="3"/>
  <c r="AC1498" i="3"/>
  <c r="AE1079" i="3"/>
  <c r="AC1079" i="3"/>
  <c r="AE881" i="3"/>
  <c r="AC881" i="3"/>
  <c r="AC456" i="3"/>
  <c r="AE456" i="3"/>
  <c r="AE2087" i="3"/>
  <c r="AC2087" i="3"/>
  <c r="AE1764" i="3"/>
  <c r="AC1764" i="3"/>
  <c r="AE1495" i="3"/>
  <c r="AC1495" i="3"/>
  <c r="AE1343" i="3"/>
  <c r="AC1343" i="3"/>
  <c r="AC1134" i="3"/>
  <c r="AE1134" i="3"/>
  <c r="AE1027" i="3"/>
  <c r="AC1027" i="3"/>
  <c r="AE1051" i="3"/>
  <c r="AC1051" i="3"/>
  <c r="AB678" i="3"/>
  <c r="AE416" i="3"/>
  <c r="AC416" i="3"/>
  <c r="AC201" i="3"/>
  <c r="AE201" i="3"/>
  <c r="AC31" i="3"/>
  <c r="AE31" i="3"/>
  <c r="AE1508" i="3"/>
  <c r="AC1508" i="3"/>
  <c r="AC1388" i="3"/>
  <c r="AE1388" i="3"/>
  <c r="AC1268" i="3"/>
  <c r="AE1268" i="3"/>
  <c r="AE1060" i="3"/>
  <c r="AC1060" i="3"/>
  <c r="AE853" i="3"/>
  <c r="AC853" i="3"/>
  <c r="AE15" i="3"/>
  <c r="AC15" i="3"/>
  <c r="AE1874" i="3"/>
  <c r="AC1874" i="3"/>
  <c r="AE1528" i="3"/>
  <c r="AC1528" i="3"/>
  <c r="AC1066" i="3"/>
  <c r="AE1066" i="3"/>
  <c r="AE506" i="3"/>
  <c r="AC506" i="3"/>
  <c r="AE313" i="3"/>
  <c r="AC313" i="3"/>
  <c r="AE1411" i="3"/>
  <c r="AC1411" i="3"/>
  <c r="AE1355" i="3"/>
  <c r="AC1355" i="3"/>
  <c r="AE1147" i="3"/>
  <c r="AC1147" i="3"/>
  <c r="AC1082" i="3"/>
  <c r="AE1082" i="3"/>
  <c r="AC386" i="3"/>
  <c r="AE386" i="3"/>
  <c r="AC1891" i="3"/>
  <c r="AE1891" i="3"/>
  <c r="AE1797" i="3"/>
  <c r="AC1797" i="3"/>
  <c r="AE1422" i="3"/>
  <c r="AC1422" i="3"/>
  <c r="AE72" i="3"/>
  <c r="AC72" i="3"/>
  <c r="AC23" i="3"/>
  <c r="AE23" i="3"/>
  <c r="AE271" i="3"/>
  <c r="AC271" i="3"/>
  <c r="AC234" i="3"/>
  <c r="AE234" i="3"/>
  <c r="AE276" i="3"/>
  <c r="AC276" i="3"/>
  <c r="AE453" i="3"/>
  <c r="AC453" i="3"/>
  <c r="AE717" i="3"/>
  <c r="AC717" i="3"/>
  <c r="AB674" i="3"/>
  <c r="AE900" i="3"/>
  <c r="AC900" i="3"/>
  <c r="AE934" i="3"/>
  <c r="AC934" i="3"/>
  <c r="AE1044" i="3"/>
  <c r="AC1044" i="3"/>
  <c r="AE1304" i="3"/>
  <c r="AC1304" i="3"/>
  <c r="AC1095" i="3"/>
  <c r="AE1095" i="3"/>
  <c r="AC1137" i="3"/>
  <c r="AE1137" i="3"/>
  <c r="AE1240" i="3"/>
  <c r="AC1240" i="3"/>
  <c r="AE1373" i="3"/>
  <c r="AC1373" i="3"/>
  <c r="AE1410" i="3"/>
  <c r="AC1410" i="3"/>
  <c r="AE1390" i="3"/>
  <c r="AC1390" i="3"/>
  <c r="AE1532" i="3"/>
  <c r="AC1532" i="3"/>
  <c r="AE1767" i="3"/>
  <c r="AC1767" i="3"/>
  <c r="AE1908" i="3"/>
  <c r="AC1908" i="3"/>
  <c r="AE1990" i="3"/>
  <c r="AC1990" i="3"/>
  <c r="AC1983" i="3"/>
  <c r="AE1983" i="3"/>
  <c r="AC2196" i="3"/>
  <c r="AE2196" i="3"/>
  <c r="AE2208" i="3"/>
  <c r="AC2208" i="3"/>
  <c r="AJ920" i="3"/>
  <c r="AJ921" i="3"/>
  <c r="AJ923" i="3"/>
  <c r="AJ922" i="3"/>
  <c r="AE2143" i="3"/>
  <c r="AC2143" i="3"/>
  <c r="AE890" i="3"/>
  <c r="AC890" i="3"/>
  <c r="AE2160" i="3"/>
  <c r="AC2160" i="3"/>
  <c r="AE2110" i="3"/>
  <c r="AC2110" i="3"/>
  <c r="AC479" i="3"/>
  <c r="AE479" i="3"/>
  <c r="AE955" i="3"/>
  <c r="AC955" i="3"/>
  <c r="AE1182" i="3"/>
  <c r="AC1182" i="3"/>
  <c r="AE236" i="3"/>
  <c r="AC236" i="3"/>
  <c r="AE315" i="3"/>
  <c r="AC315" i="3"/>
  <c r="AC2213" i="3"/>
  <c r="AE2213" i="3"/>
  <c r="AE1296" i="3"/>
  <c r="AC1296" i="3"/>
  <c r="AE1049" i="3"/>
  <c r="AC1049" i="3"/>
  <c r="AC129" i="3"/>
  <c r="AE129" i="3"/>
  <c r="AC2148" i="3"/>
  <c r="AE2148" i="3"/>
  <c r="AE1759" i="3"/>
  <c r="AC1759" i="3"/>
  <c r="AE1484" i="3"/>
  <c r="AC1484" i="3"/>
  <c r="AC1214" i="3"/>
  <c r="AE1214" i="3"/>
  <c r="AE882" i="3"/>
  <c r="AC882" i="3"/>
  <c r="AE943" i="3"/>
  <c r="AC943" i="3"/>
  <c r="AC289" i="3"/>
  <c r="AE289" i="3"/>
  <c r="AC38" i="3"/>
  <c r="AE38" i="3"/>
  <c r="AC2199" i="3"/>
  <c r="AE2199" i="3"/>
  <c r="AE1525" i="3"/>
  <c r="AC1525" i="3"/>
  <c r="AC1320" i="3"/>
  <c r="AE1320" i="3"/>
  <c r="AC886" i="3"/>
  <c r="AE886" i="3"/>
  <c r="AE188" i="3"/>
  <c r="AC188" i="3"/>
  <c r="AE277" i="3"/>
  <c r="AC277" i="3"/>
  <c r="AE2181" i="3"/>
  <c r="AC2181" i="3"/>
  <c r="AE2009" i="3"/>
  <c r="AC2009" i="3"/>
  <c r="AE1448" i="3"/>
  <c r="AC1448" i="3"/>
  <c r="AE1213" i="3"/>
  <c r="AC1213" i="3"/>
  <c r="AE1156" i="3"/>
  <c r="AC1156" i="3"/>
  <c r="AE2200" i="3"/>
  <c r="AC2200" i="3"/>
  <c r="AC1291" i="3"/>
  <c r="AE1291" i="3"/>
  <c r="AE942" i="3"/>
  <c r="AC942" i="3"/>
  <c r="AE541" i="3"/>
  <c r="AC541" i="3"/>
  <c r="AE69" i="3"/>
  <c r="AC69" i="3"/>
  <c r="AC2214" i="3"/>
  <c r="AE2214" i="3"/>
  <c r="AE2034" i="3"/>
  <c r="AC2034" i="3"/>
  <c r="AC1846" i="3"/>
  <c r="AE1846" i="3"/>
  <c r="AE267" i="3"/>
  <c r="AC267" i="3"/>
  <c r="AE14" i="3"/>
  <c r="AC14" i="3"/>
  <c r="AC1276" i="3"/>
  <c r="AE1276" i="3"/>
  <c r="AE1103" i="3"/>
  <c r="AC1103" i="3"/>
  <c r="AC356" i="3"/>
  <c r="AE356" i="3"/>
  <c r="AC1222" i="3"/>
  <c r="AE1222" i="3"/>
  <c r="AE1022" i="3"/>
  <c r="AC1022" i="3"/>
  <c r="AE29" i="3"/>
  <c r="AC29" i="3"/>
  <c r="AC1326" i="3"/>
  <c r="AE1326" i="3"/>
  <c r="AC847" i="3"/>
  <c r="AE847" i="3"/>
  <c r="AC498" i="3"/>
  <c r="AE498" i="3"/>
  <c r="AE491" i="3"/>
  <c r="AC491" i="3"/>
  <c r="AC290" i="3"/>
  <c r="AE290" i="3"/>
  <c r="AE77" i="3"/>
  <c r="AC77" i="3"/>
  <c r="AE1781" i="3"/>
  <c r="AC1781" i="3"/>
  <c r="AC1490" i="3"/>
  <c r="AE1490" i="3"/>
  <c r="AE1300" i="3"/>
  <c r="AC1300" i="3"/>
  <c r="AC1177" i="3"/>
  <c r="AE1177" i="3"/>
  <c r="AC1015" i="3"/>
  <c r="AE1015" i="3"/>
  <c r="AC1037" i="3"/>
  <c r="AE1037" i="3"/>
  <c r="AE92" i="3"/>
  <c r="AC92" i="3"/>
  <c r="AC1816" i="3"/>
  <c r="AE1816" i="3"/>
  <c r="AC1833" i="3"/>
  <c r="AE1833" i="3"/>
  <c r="AE1362" i="3"/>
  <c r="AC1362" i="3"/>
  <c r="AB917" i="3"/>
  <c r="AE365" i="3"/>
  <c r="AC365" i="3"/>
  <c r="AE270" i="3"/>
  <c r="AC270" i="3"/>
  <c r="AE11" i="3"/>
  <c r="AC11" i="3"/>
  <c r="AE240" i="3"/>
  <c r="AC240" i="3"/>
  <c r="AE284" i="3"/>
  <c r="AC284" i="3"/>
  <c r="AE358" i="3"/>
  <c r="AC358" i="3"/>
  <c r="AE502" i="3"/>
  <c r="AC502" i="3"/>
  <c r="AE388" i="3"/>
  <c r="AC388" i="3"/>
  <c r="AE542" i="3"/>
  <c r="AC542" i="3"/>
  <c r="AE767" i="3"/>
  <c r="AC767" i="3"/>
  <c r="AE938" i="3"/>
  <c r="AC938" i="3"/>
  <c r="AC1144" i="3"/>
  <c r="AE1144" i="3"/>
  <c r="AE1119" i="3"/>
  <c r="AC1119" i="3"/>
  <c r="AC1218" i="3"/>
  <c r="AE1218" i="3"/>
  <c r="AE1185" i="3"/>
  <c r="AC1185" i="3"/>
  <c r="AE1202" i="3"/>
  <c r="AC1202" i="3"/>
  <c r="AC1238" i="3"/>
  <c r="AE1238" i="3"/>
  <c r="AE1298" i="3"/>
  <c r="AC1298" i="3"/>
  <c r="AE1380" i="3"/>
  <c r="AC1380" i="3"/>
  <c r="AE1538" i="3"/>
  <c r="AC1538" i="3"/>
  <c r="AC1500" i="3"/>
  <c r="AE1500" i="3"/>
  <c r="AE1517" i="3"/>
  <c r="AC1517" i="3"/>
  <c r="AE1995" i="3"/>
  <c r="AC1995" i="3"/>
  <c r="AC2212" i="3"/>
  <c r="AE2212" i="3"/>
  <c r="AC2176" i="3"/>
  <c r="AE2176" i="3"/>
  <c r="AC2220" i="3"/>
  <c r="AE2220" i="3"/>
  <c r="AC2248" i="3"/>
  <c r="AE2248" i="3"/>
  <c r="AJ917" i="3"/>
  <c r="AJ908" i="3"/>
  <c r="AJ805" i="3"/>
  <c r="AC1228" i="3"/>
  <c r="AE1228" i="3"/>
  <c r="AE2123" i="3"/>
  <c r="AC2123" i="3"/>
  <c r="AE2008" i="3"/>
  <c r="AC2008" i="3"/>
  <c r="AC2182" i="3"/>
  <c r="AE2182" i="3"/>
  <c r="AE979" i="3"/>
  <c r="AC979" i="3"/>
  <c r="AE333" i="3"/>
  <c r="AC333" i="3"/>
  <c r="AE61" i="3"/>
  <c r="AC61" i="3"/>
  <c r="AE163" i="3"/>
  <c r="AC163" i="3"/>
  <c r="AE2192" i="3"/>
  <c r="AC2192" i="3"/>
  <c r="AE1835" i="3"/>
  <c r="AC1835" i="3"/>
  <c r="AC1541" i="3"/>
  <c r="AE1541" i="3"/>
  <c r="AE1192" i="3"/>
  <c r="AC1192" i="3"/>
  <c r="AC1090" i="3"/>
  <c r="AE1090" i="3"/>
  <c r="AC978" i="3"/>
  <c r="AE978" i="3"/>
  <c r="AE504" i="3"/>
  <c r="AC504" i="3"/>
  <c r="AE1363" i="3"/>
  <c r="AC1363" i="3"/>
  <c r="AC1216" i="3"/>
  <c r="AE1216" i="3"/>
  <c r="AC1161" i="3"/>
  <c r="AE1161" i="3"/>
  <c r="AC893" i="3"/>
  <c r="AE893" i="3"/>
  <c r="AB381" i="3"/>
  <c r="AC30" i="3"/>
  <c r="AE30" i="3"/>
  <c r="AE1809" i="3"/>
  <c r="AC1809" i="3"/>
  <c r="AC1564" i="3"/>
  <c r="AE1564" i="3"/>
  <c r="AE1378" i="3"/>
  <c r="AC1378" i="3"/>
  <c r="AE544" i="3"/>
  <c r="AC544" i="3"/>
  <c r="AE261" i="3"/>
  <c r="AC261" i="3"/>
  <c r="AE96" i="3"/>
  <c r="AC96" i="3"/>
  <c r="AE2145" i="3"/>
  <c r="AC2145" i="3"/>
  <c r="AC1011" i="3"/>
  <c r="AE1011" i="3"/>
  <c r="AE471" i="3"/>
  <c r="AC471" i="3"/>
  <c r="AE86" i="3"/>
  <c r="AC86" i="3"/>
  <c r="AC2201" i="3"/>
  <c r="AE2201" i="3"/>
  <c r="AE1561" i="3"/>
  <c r="AC1561" i="3"/>
  <c r="AC1266" i="3"/>
  <c r="AE1266" i="3"/>
  <c r="AE980" i="3"/>
  <c r="AC980" i="3"/>
  <c r="AE79" i="3"/>
  <c r="AC79" i="3"/>
  <c r="AE2193" i="3"/>
  <c r="AC2193" i="3"/>
  <c r="AE1842" i="3"/>
  <c r="AC1842" i="3"/>
  <c r="AC1497" i="3"/>
  <c r="AE1497" i="3"/>
  <c r="AE1253" i="3"/>
  <c r="AC1253" i="3"/>
  <c r="AC1181" i="3"/>
  <c r="AE1181" i="3"/>
  <c r="AE929" i="3"/>
  <c r="AC929" i="3"/>
  <c r="AE497" i="3"/>
  <c r="AC497" i="3"/>
  <c r="AE36" i="3"/>
  <c r="AC36" i="3"/>
  <c r="AC2031" i="3"/>
  <c r="AE2031" i="3"/>
  <c r="AE1431" i="3"/>
  <c r="AC1431" i="3"/>
  <c r="AE1243" i="3"/>
  <c r="AC1243" i="3"/>
  <c r="AE1375" i="3"/>
  <c r="AC1375" i="3"/>
  <c r="AE991" i="3"/>
  <c r="AC991" i="3"/>
  <c r="AE430" i="3"/>
  <c r="AC430" i="3"/>
  <c r="AE232" i="3"/>
  <c r="AC232" i="3"/>
  <c r="AE496" i="3"/>
  <c r="AC496" i="3"/>
  <c r="AE1867" i="3"/>
  <c r="AC1867" i="3"/>
  <c r="AE1524" i="3"/>
  <c r="AC1524" i="3"/>
  <c r="AC1340" i="3"/>
  <c r="AE1340" i="3"/>
  <c r="AE1114" i="3"/>
  <c r="AC1114" i="3"/>
  <c r="AC1031" i="3"/>
  <c r="AE1031" i="3"/>
  <c r="AE199" i="3"/>
  <c r="AC199" i="3"/>
  <c r="AE10" i="3"/>
  <c r="AC10" i="3"/>
  <c r="AE2000" i="3"/>
  <c r="AC2000" i="3"/>
  <c r="AC1274" i="3"/>
  <c r="AE1274" i="3"/>
  <c r="AE933" i="3"/>
  <c r="AC933" i="3"/>
  <c r="AE41" i="3"/>
  <c r="AC41" i="3"/>
  <c r="AE2088" i="3"/>
  <c r="AC2088" i="3"/>
  <c r="AC1232" i="3"/>
  <c r="AE1232" i="3"/>
  <c r="AE1036" i="3"/>
  <c r="AC1036" i="3"/>
  <c r="AE438" i="3"/>
  <c r="AC438" i="3"/>
  <c r="AE178" i="3"/>
  <c r="AC178" i="3"/>
  <c r="AE26" i="3"/>
  <c r="AC26" i="3"/>
  <c r="AE454" i="3"/>
  <c r="AC454" i="3"/>
  <c r="AE291" i="3"/>
  <c r="AC291" i="3"/>
  <c r="AC452" i="3"/>
  <c r="AE452" i="3"/>
  <c r="AC392" i="3"/>
  <c r="AE392" i="3"/>
  <c r="AE930" i="3"/>
  <c r="AC930" i="3"/>
  <c r="AE913" i="3"/>
  <c r="AC913" i="3"/>
  <c r="AE944" i="3"/>
  <c r="AC944" i="3"/>
  <c r="AC965" i="3"/>
  <c r="AE965" i="3"/>
  <c r="AC1021" i="3"/>
  <c r="AE1021" i="3"/>
  <c r="AE1080" i="3"/>
  <c r="AC1080" i="3"/>
  <c r="AE1209" i="3"/>
  <c r="AC1209" i="3"/>
  <c r="AE1233" i="3"/>
  <c r="AC1233" i="3"/>
  <c r="AE1314" i="3"/>
  <c r="AC1314" i="3"/>
  <c r="AE1204" i="3"/>
  <c r="AC1204" i="3"/>
  <c r="AE1389" i="3"/>
  <c r="AC1389" i="3"/>
  <c r="AC1773" i="3"/>
  <c r="AE1773" i="3"/>
  <c r="AE1901" i="3"/>
  <c r="AC1901" i="3"/>
  <c r="AE1866" i="3"/>
  <c r="AC1866" i="3"/>
  <c r="AE2010" i="3"/>
  <c r="AC2010" i="3"/>
  <c r="AC2172" i="3"/>
  <c r="AE2172" i="3"/>
  <c r="AE2091" i="3"/>
  <c r="AC2091" i="3"/>
  <c r="AC2264" i="3"/>
  <c r="AE2264" i="3"/>
  <c r="AJ382" i="3"/>
  <c r="AJ381" i="3"/>
  <c r="AJ1745" i="3"/>
  <c r="AJ380" i="3"/>
  <c r="AJ1746" i="3"/>
  <c r="AJ379" i="3"/>
  <c r="AJ1804" i="3"/>
  <c r="AJ1805" i="3"/>
  <c r="AJ1751" i="3"/>
  <c r="AJ1806" i="3"/>
  <c r="AJ1803" i="3"/>
  <c r="AC2041" i="3"/>
  <c r="AE2041" i="3"/>
  <c r="AE2274" i="3"/>
  <c r="AC2274" i="3"/>
  <c r="AE122" i="3"/>
  <c r="AC122" i="3"/>
  <c r="AE1782" i="3"/>
  <c r="AC1782" i="3"/>
  <c r="AE1302" i="3"/>
  <c r="AC1302" i="3"/>
  <c r="AC997" i="3"/>
  <c r="AE997" i="3"/>
  <c r="AC503" i="3"/>
  <c r="AE503" i="3"/>
  <c r="AC437" i="3"/>
  <c r="AE437" i="3"/>
  <c r="AC275" i="3"/>
  <c r="AE275" i="3"/>
  <c r="AE1889" i="3"/>
  <c r="AC1889" i="3"/>
  <c r="AE407" i="3"/>
  <c r="AC407" i="3"/>
  <c r="AC50" i="3"/>
  <c r="AE50" i="3"/>
  <c r="AE2204" i="3"/>
  <c r="AC2204" i="3"/>
  <c r="AE1989" i="3"/>
  <c r="AC1989" i="3"/>
  <c r="AC1239" i="3"/>
  <c r="AE1239" i="3"/>
  <c r="AE1187" i="3"/>
  <c r="AC1187" i="3"/>
  <c r="AC1012" i="3"/>
  <c r="AE1012" i="3"/>
  <c r="AE505" i="3"/>
  <c r="AC505" i="3"/>
  <c r="AE121" i="3"/>
  <c r="AC121" i="3"/>
  <c r="AE1351" i="3"/>
  <c r="AC1351" i="3"/>
  <c r="AE1267" i="3"/>
  <c r="AC1267" i="3"/>
  <c r="AE1106" i="3"/>
  <c r="AC1106" i="3"/>
  <c r="AE2222" i="3"/>
  <c r="AC2222" i="3"/>
  <c r="AC1247" i="3"/>
  <c r="AE1247" i="3"/>
  <c r="AE1154" i="3"/>
  <c r="AC1154" i="3"/>
  <c r="AE1053" i="3"/>
  <c r="AC1053" i="3"/>
  <c r="AE846" i="3"/>
  <c r="AC846" i="3"/>
  <c r="AE483" i="3"/>
  <c r="AC483" i="3"/>
  <c r="AC305" i="3"/>
  <c r="AE305" i="3"/>
  <c r="AE2002" i="3"/>
  <c r="AC2002" i="3"/>
  <c r="AE1382" i="3"/>
  <c r="AC1382" i="3"/>
  <c r="AE1287" i="3"/>
  <c r="AC1287" i="3"/>
  <c r="AE950" i="3"/>
  <c r="AC950" i="3"/>
  <c r="AE431" i="3"/>
  <c r="AC431" i="3"/>
  <c r="AE1988" i="3"/>
  <c r="AC1988" i="3"/>
  <c r="AE1775" i="3"/>
  <c r="AC1775" i="3"/>
  <c r="AE844" i="3"/>
  <c r="AC844" i="3"/>
  <c r="AC405" i="3"/>
  <c r="AE405" i="3"/>
  <c r="AE65" i="3"/>
  <c r="AC65" i="3"/>
  <c r="AE1522" i="3"/>
  <c r="AC1522" i="3"/>
  <c r="AE1412" i="3"/>
  <c r="AC1412" i="3"/>
  <c r="AE1138" i="3"/>
  <c r="AC1138" i="3"/>
  <c r="AC1041" i="3"/>
  <c r="AE1041" i="3"/>
  <c r="AE237" i="3"/>
  <c r="AC237" i="3"/>
  <c r="AE359" i="3"/>
  <c r="AC359" i="3"/>
  <c r="AE1221" i="3"/>
  <c r="AC1221" i="3"/>
  <c r="AC932" i="3"/>
  <c r="AE932" i="3"/>
  <c r="AE424" i="3"/>
  <c r="AC424" i="3"/>
  <c r="AE264" i="3"/>
  <c r="AC264" i="3"/>
  <c r="AC1912" i="3"/>
  <c r="AE1912" i="3"/>
  <c r="AE1102" i="3"/>
  <c r="AC1102" i="3"/>
  <c r="AE1763" i="3"/>
  <c r="AC1763" i="3"/>
  <c r="AE1384" i="3"/>
  <c r="AC1384" i="3"/>
  <c r="AE854" i="3"/>
  <c r="AC854" i="3"/>
  <c r="AE18" i="3"/>
  <c r="AC18" i="3"/>
  <c r="AE35" i="3"/>
  <c r="AC35" i="3"/>
  <c r="AE212" i="3"/>
  <c r="AC212" i="3"/>
  <c r="AE303" i="3"/>
  <c r="AC303" i="3"/>
  <c r="AE307" i="3"/>
  <c r="AC307" i="3"/>
  <c r="AE485" i="3"/>
  <c r="AC485" i="3"/>
  <c r="AE400" i="3"/>
  <c r="AC400" i="3"/>
  <c r="AC1043" i="3"/>
  <c r="AE1043" i="3"/>
  <c r="AC1005" i="3"/>
  <c r="AE1005" i="3"/>
  <c r="AC941" i="3"/>
  <c r="AE941" i="3"/>
  <c r="AE1093" i="3"/>
  <c r="AC1093" i="3"/>
  <c r="AE1317" i="3"/>
  <c r="AC1317" i="3"/>
  <c r="AC1305" i="3"/>
  <c r="AE1305" i="3"/>
  <c r="AC1354" i="3"/>
  <c r="AE1354" i="3"/>
  <c r="AE1533" i="3"/>
  <c r="AC1533" i="3"/>
  <c r="AB1579" i="3"/>
  <c r="AC1800" i="3"/>
  <c r="AE1800" i="3"/>
  <c r="AE2229" i="3"/>
  <c r="AC2229" i="3"/>
  <c r="AE2173" i="3"/>
  <c r="AC2173" i="3"/>
  <c r="AC2225" i="3"/>
  <c r="AE2225" i="3"/>
  <c r="AC2260" i="3"/>
  <c r="AE2260" i="3"/>
  <c r="AE2288" i="3"/>
  <c r="AC2288" i="3"/>
  <c r="AE1046" i="3"/>
  <c r="AC1046" i="3"/>
  <c r="AE2043" i="3"/>
  <c r="AC2043" i="3"/>
  <c r="AE1801" i="3"/>
  <c r="AC1801" i="3"/>
  <c r="AC1821" i="3"/>
  <c r="AE1821" i="3"/>
  <c r="AE2107" i="3"/>
  <c r="AC2107" i="3"/>
  <c r="AE2290" i="3"/>
  <c r="AC2290" i="3"/>
  <c r="AE347" i="3"/>
  <c r="AC347" i="3"/>
  <c r="AE2262" i="3"/>
  <c r="AC2262" i="3"/>
  <c r="AE1770" i="3"/>
  <c r="AC1770" i="3"/>
  <c r="AC1447" i="3"/>
  <c r="AE1447" i="3"/>
  <c r="AC1432" i="3"/>
  <c r="AE1432" i="3"/>
  <c r="AC1279" i="3"/>
  <c r="AE1279" i="3"/>
  <c r="AE1042" i="3"/>
  <c r="AC1042" i="3"/>
  <c r="AE406" i="3"/>
  <c r="AC406" i="3"/>
  <c r="AC403" i="3"/>
  <c r="AE403" i="3"/>
  <c r="AC2240" i="3"/>
  <c r="AE2240" i="3"/>
  <c r="AC2117" i="3"/>
  <c r="AE2117" i="3"/>
  <c r="AE1399" i="3"/>
  <c r="AC1399" i="3"/>
  <c r="AC1303" i="3"/>
  <c r="AE1303" i="3"/>
  <c r="AE2256" i="3"/>
  <c r="AC2256" i="3"/>
  <c r="AE2195" i="3"/>
  <c r="AC2195" i="3"/>
  <c r="AC2017" i="3"/>
  <c r="AE2017" i="3"/>
  <c r="AC1540" i="3"/>
  <c r="AE1540" i="3"/>
  <c r="AE1257" i="3"/>
  <c r="AC1257" i="3"/>
  <c r="AC1201" i="3"/>
  <c r="AE1201" i="3"/>
  <c r="AC474" i="3"/>
  <c r="AE474" i="3"/>
  <c r="AE28" i="3"/>
  <c r="AC28" i="3"/>
  <c r="AC2141" i="3"/>
  <c r="AE2141" i="3"/>
  <c r="AC1856" i="3"/>
  <c r="AE1856" i="3"/>
  <c r="AE1047" i="3"/>
  <c r="AC1047" i="3"/>
  <c r="AE800" i="3"/>
  <c r="AC800" i="3"/>
  <c r="AE489" i="3"/>
  <c r="AC489" i="3"/>
  <c r="AC2101" i="3"/>
  <c r="AE2101" i="3"/>
  <c r="AE1179" i="3"/>
  <c r="AC1179" i="3"/>
  <c r="AE402" i="3"/>
  <c r="AC402" i="3"/>
  <c r="AC455" i="3"/>
  <c r="AE455" i="3"/>
  <c r="AE25" i="3"/>
  <c r="AC25" i="3"/>
  <c r="AE2223" i="3"/>
  <c r="AC2223" i="3"/>
  <c r="AC1926" i="3"/>
  <c r="AE1926" i="3"/>
  <c r="AE1227" i="3"/>
  <c r="AC1227" i="3"/>
  <c r="AE294" i="3"/>
  <c r="AC294" i="3"/>
  <c r="AE24" i="3"/>
  <c r="AC24" i="3"/>
  <c r="AE2279" i="3"/>
  <c r="AC2279" i="3"/>
  <c r="AE1357" i="3"/>
  <c r="AC1357" i="3"/>
  <c r="AE1171" i="3"/>
  <c r="AC1171" i="3"/>
  <c r="AE1104" i="3"/>
  <c r="AC1104" i="3"/>
  <c r="AE55" i="3"/>
  <c r="AC55" i="3"/>
  <c r="AE1038" i="3"/>
  <c r="AC1038" i="3"/>
  <c r="AC425" i="3"/>
  <c r="AE425" i="3"/>
  <c r="AE255" i="3"/>
  <c r="AC255" i="3"/>
  <c r="AC1984" i="3"/>
  <c r="AE1984" i="3"/>
  <c r="AE1463" i="3"/>
  <c r="AC1463" i="3"/>
  <c r="AC1352" i="3"/>
  <c r="AE1352" i="3"/>
  <c r="AE198" i="3"/>
  <c r="AC198" i="3"/>
  <c r="AC338" i="3"/>
  <c r="AE338" i="3"/>
  <c r="AE115" i="3"/>
  <c r="AC115" i="3"/>
  <c r="AE2169" i="3"/>
  <c r="AC2169" i="3"/>
  <c r="AC1795" i="3"/>
  <c r="AE1795" i="3"/>
  <c r="AC1418" i="3"/>
  <c r="AE1418" i="3"/>
  <c r="AC1294" i="3"/>
  <c r="AE1294" i="3"/>
  <c r="AE1150" i="3"/>
  <c r="AC1150" i="3"/>
  <c r="AC731" i="3"/>
  <c r="AE731" i="3"/>
  <c r="AE13" i="3"/>
  <c r="AC13" i="3"/>
  <c r="AC1219" i="3"/>
  <c r="AE1219" i="3"/>
  <c r="AC352" i="3"/>
  <c r="AE352" i="3"/>
  <c r="AE34" i="3"/>
  <c r="AC34" i="3"/>
  <c r="AC46" i="3"/>
  <c r="AE46" i="3"/>
  <c r="AE328" i="3"/>
  <c r="AC328" i="3"/>
  <c r="AE265" i="3"/>
  <c r="AC265" i="3"/>
  <c r="AE350" i="3"/>
  <c r="AC350" i="3"/>
  <c r="AC316" i="3"/>
  <c r="AE316" i="3"/>
  <c r="AE320" i="3"/>
  <c r="AC320" i="3"/>
  <c r="AE460" i="3"/>
  <c r="AC460" i="3"/>
  <c r="AE495" i="3"/>
  <c r="AC495" i="3"/>
  <c r="AE404" i="3"/>
  <c r="AC404" i="3"/>
  <c r="AE842" i="3"/>
  <c r="AC842" i="3"/>
  <c r="AE935" i="3"/>
  <c r="AC935" i="3"/>
  <c r="AE631" i="3"/>
  <c r="AC631" i="3"/>
  <c r="AB905" i="3"/>
  <c r="AE1009" i="3"/>
  <c r="AC1009" i="3"/>
  <c r="AC949" i="3"/>
  <c r="AE949" i="3"/>
  <c r="AC1126" i="3"/>
  <c r="AE1126" i="3"/>
  <c r="AE1151" i="3"/>
  <c r="AC1151" i="3"/>
  <c r="AE1324" i="3"/>
  <c r="AC1324" i="3"/>
  <c r="AE1364" i="3"/>
  <c r="AC1364" i="3"/>
  <c r="AC1530" i="3"/>
  <c r="AE1530" i="3"/>
  <c r="AC1406" i="3"/>
  <c r="AE1406" i="3"/>
  <c r="AE1442" i="3"/>
  <c r="AC1442" i="3"/>
  <c r="AE1539" i="3"/>
  <c r="AC1539" i="3"/>
  <c r="AB1744" i="3"/>
  <c r="AB1694" i="3"/>
  <c r="AE1838" i="3"/>
  <c r="AC1838" i="3"/>
  <c r="AC1807" i="3"/>
  <c r="AE1807" i="3"/>
  <c r="AC1863" i="3"/>
  <c r="AE1863" i="3"/>
  <c r="AC1969" i="3"/>
  <c r="AE1969" i="3"/>
  <c r="AE1991" i="3"/>
  <c r="AC1991" i="3"/>
  <c r="AC2093" i="3"/>
  <c r="AE2093" i="3"/>
  <c r="AE1163" i="3" l="1"/>
  <c r="AE2167" i="3"/>
  <c r="AE266" i="3"/>
  <c r="AE689" i="3"/>
  <c r="AC689" i="3"/>
  <c r="AE693" i="3"/>
  <c r="AC693" i="3"/>
  <c r="AE879" i="3"/>
  <c r="AC879" i="3"/>
  <c r="AE669" i="3"/>
  <c r="AC669" i="3"/>
  <c r="AE1751" i="3"/>
  <c r="AC1751" i="3"/>
  <c r="AE428" i="3"/>
  <c r="AC428" i="3"/>
  <c r="AE687" i="3"/>
  <c r="AC687" i="3"/>
  <c r="AE702" i="3"/>
  <c r="AC702" i="3"/>
  <c r="AC1706" i="3"/>
  <c r="AE1706" i="3"/>
  <c r="AE1747" i="3"/>
  <c r="AC1747" i="3"/>
  <c r="AE699" i="3"/>
  <c r="AC699" i="3"/>
  <c r="AC548" i="3"/>
  <c r="AE548" i="3"/>
  <c r="AE1569" i="3"/>
  <c r="AC1569" i="3"/>
  <c r="AC1567" i="3"/>
  <c r="AE1567" i="3"/>
  <c r="AE1803" i="3"/>
  <c r="AC1803" i="3"/>
  <c r="AE880" i="3"/>
  <c r="AC880" i="3"/>
  <c r="AE1632" i="3"/>
  <c r="AC1632" i="3"/>
  <c r="AC1750" i="3"/>
  <c r="AE1750" i="3"/>
  <c r="AE1660" i="3"/>
  <c r="AC1660" i="3"/>
  <c r="AE634" i="3"/>
  <c r="AC634" i="3"/>
  <c r="AE876" i="3"/>
  <c r="AC876" i="3"/>
  <c r="AE1571" i="3"/>
  <c r="AC1571" i="3"/>
  <c r="AE1584" i="3"/>
  <c r="AC1584" i="3"/>
  <c r="AC671" i="3"/>
  <c r="AE671" i="3"/>
  <c r="AE1710" i="3"/>
  <c r="AC1710" i="3"/>
  <c r="AE866" i="3"/>
  <c r="AC866" i="3"/>
  <c r="AC903" i="3"/>
  <c r="AE903" i="3"/>
  <c r="AC877" i="3"/>
  <c r="AE877" i="3"/>
  <c r="AE1619" i="3"/>
  <c r="AC1619" i="3"/>
  <c r="AE981" i="3"/>
  <c r="AC981" i="3"/>
  <c r="AE872" i="3"/>
  <c r="AC872" i="3"/>
  <c r="AE875" i="3"/>
  <c r="AC875" i="3"/>
  <c r="AE1565" i="3"/>
  <c r="AC1565" i="3"/>
  <c r="AC685" i="3"/>
  <c r="AE685" i="3"/>
  <c r="AC1588" i="3"/>
  <c r="AE1588" i="3"/>
  <c r="AE683" i="3"/>
  <c r="AC683" i="3"/>
  <c r="AC688" i="3"/>
  <c r="AE688" i="3"/>
  <c r="AC713" i="3"/>
  <c r="AE713" i="3"/>
  <c r="AC1617" i="3"/>
  <c r="AE1617" i="3"/>
  <c r="AE1642" i="3"/>
  <c r="AC1642" i="3"/>
  <c r="AE670" i="3"/>
  <c r="AC670" i="3"/>
  <c r="AE697" i="3"/>
  <c r="AC697" i="3"/>
  <c r="AE1729" i="3"/>
  <c r="AC1729" i="3"/>
  <c r="AE1708" i="3"/>
  <c r="AC1708" i="3"/>
  <c r="AC692" i="3"/>
  <c r="AE692" i="3"/>
  <c r="AC633" i="3"/>
  <c r="AE633" i="3"/>
  <c r="AE1739" i="3"/>
  <c r="AC1739" i="3"/>
  <c r="AE805" i="3"/>
  <c r="AC805" i="3"/>
  <c r="AE1700" i="3"/>
  <c r="AC1700" i="3"/>
  <c r="AE865" i="3"/>
  <c r="AC865" i="3"/>
  <c r="AE714" i="3"/>
  <c r="AC714" i="3"/>
  <c r="AE1626" i="3"/>
  <c r="AC1626" i="3"/>
  <c r="AE695" i="3"/>
  <c r="AC695" i="3"/>
  <c r="AE707" i="3"/>
  <c r="AC707" i="3"/>
  <c r="AE679" i="3"/>
  <c r="AC679" i="3"/>
  <c r="AE705" i="3"/>
  <c r="AC705" i="3"/>
  <c r="AE709" i="3"/>
  <c r="AC709" i="3"/>
  <c r="AE1692" i="3"/>
  <c r="AC1692" i="3"/>
  <c r="AE377" i="3"/>
  <c r="AC377" i="3"/>
  <c r="AE691" i="3"/>
  <c r="AC691" i="3"/>
  <c r="AC696" i="3"/>
  <c r="AE696" i="3"/>
  <c r="AE630" i="3"/>
  <c r="AC630" i="3"/>
  <c r="AE1621" i="3"/>
  <c r="AC1621" i="3"/>
  <c r="AE1587" i="3"/>
  <c r="AC1587" i="3"/>
  <c r="AC908" i="3"/>
  <c r="AE908" i="3"/>
  <c r="AC870" i="3"/>
  <c r="AE870" i="3"/>
  <c r="AE684" i="3"/>
  <c r="AC684" i="3"/>
  <c r="AC680" i="3"/>
  <c r="AE680" i="3"/>
  <c r="AC378" i="3"/>
  <c r="AE378" i="3"/>
  <c r="AE919" i="3"/>
  <c r="AC919" i="3"/>
  <c r="AC878" i="3"/>
  <c r="AE878" i="3"/>
  <c r="AE871" i="3"/>
  <c r="AC871" i="3"/>
  <c r="AE1749" i="3"/>
  <c r="AC1749" i="3"/>
  <c r="AE906" i="3"/>
  <c r="AC906" i="3"/>
  <c r="AE921" i="3"/>
  <c r="AC921" i="3"/>
  <c r="AE1670" i="3"/>
  <c r="AC1670" i="3"/>
  <c r="AE710" i="3"/>
  <c r="AC710" i="3"/>
  <c r="AE1573" i="3"/>
  <c r="AC1573" i="3"/>
  <c r="AE701" i="3"/>
  <c r="AC701" i="3"/>
  <c r="AC1655" i="3"/>
  <c r="AE1655" i="3"/>
  <c r="AE1615" i="3"/>
  <c r="AC1615" i="3"/>
  <c r="AE588" i="3"/>
  <c r="AC588" i="3"/>
  <c r="AC907" i="3"/>
  <c r="AE907" i="3"/>
  <c r="AE686" i="3"/>
  <c r="AC686" i="3"/>
  <c r="AE703" i="3"/>
  <c r="AC703" i="3"/>
  <c r="AC635" i="3"/>
  <c r="AE635" i="3"/>
  <c r="AE1579" i="3"/>
  <c r="AC1579" i="3"/>
  <c r="AC675" i="3"/>
  <c r="AE675" i="3"/>
  <c r="AC1690" i="3"/>
  <c r="AE1690" i="3"/>
  <c r="AC804" i="3"/>
  <c r="AE804" i="3"/>
  <c r="AE811" i="3"/>
  <c r="AC811" i="3"/>
  <c r="AC427" i="3"/>
  <c r="AE427" i="3"/>
  <c r="AC380" i="3"/>
  <c r="AE380" i="3"/>
  <c r="AE418" i="3"/>
  <c r="AC418" i="3"/>
  <c r="AE698" i="3"/>
  <c r="AC698" i="3"/>
  <c r="AC678" i="3"/>
  <c r="AE678" i="3"/>
  <c r="AE1722" i="3"/>
  <c r="AC1722" i="3"/>
  <c r="AE677" i="3"/>
  <c r="AC677" i="3"/>
  <c r="AE381" i="3"/>
  <c r="AC381" i="3"/>
  <c r="AC1746" i="3"/>
  <c r="AE1746" i="3"/>
  <c r="AE1727" i="3"/>
  <c r="AC1727" i="3"/>
  <c r="AE904" i="3"/>
  <c r="AC904" i="3"/>
  <c r="AE1604" i="3"/>
  <c r="AC1604" i="3"/>
  <c r="AC429" i="3"/>
  <c r="AE429" i="3"/>
  <c r="AC566" i="3"/>
  <c r="AE566" i="3"/>
  <c r="AE905" i="3"/>
  <c r="AC905" i="3"/>
  <c r="AE690" i="3"/>
  <c r="AC690" i="3"/>
  <c r="AC1694" i="3"/>
  <c r="AE1694" i="3"/>
  <c r="AE920" i="3"/>
  <c r="AC920" i="3"/>
  <c r="AE682" i="3"/>
  <c r="AC682" i="3"/>
  <c r="AC1677" i="3"/>
  <c r="AE1677" i="3"/>
  <c r="AC704" i="3"/>
  <c r="AE704" i="3"/>
  <c r="AE711" i="3"/>
  <c r="AC711" i="3"/>
  <c r="AC1585" i="3"/>
  <c r="AE1585" i="3"/>
  <c r="AE1744" i="3"/>
  <c r="AC1744" i="3"/>
  <c r="AE681" i="3"/>
  <c r="AC681" i="3"/>
  <c r="AE1720" i="3"/>
  <c r="AC1720" i="3"/>
  <c r="AE1806" i="3"/>
  <c r="AC1806" i="3"/>
  <c r="AE1630" i="3"/>
  <c r="AC1630" i="3"/>
  <c r="AE673" i="3"/>
  <c r="AC673" i="3"/>
  <c r="AE1743" i="3"/>
  <c r="AC1743" i="3"/>
  <c r="AE676" i="3"/>
  <c r="AC676" i="3"/>
  <c r="AC808" i="3"/>
  <c r="AE808" i="3"/>
  <c r="AE923" i="3"/>
  <c r="AC923" i="3"/>
  <c r="AE1805" i="3"/>
  <c r="AC1805" i="3"/>
  <c r="AE672" i="3"/>
  <c r="AC672" i="3"/>
  <c r="AE1623" i="3"/>
  <c r="AC1623" i="3"/>
  <c r="AE668" i="3"/>
  <c r="AC668" i="3"/>
  <c r="AE813" i="3"/>
  <c r="AC813" i="3"/>
  <c r="AC708" i="3"/>
  <c r="AE708" i="3"/>
  <c r="AC666" i="3"/>
  <c r="AE666" i="3"/>
  <c r="AE546" i="3"/>
  <c r="AC546" i="3"/>
  <c r="AE1748" i="3"/>
  <c r="AC1748" i="3"/>
  <c r="AC700" i="3"/>
  <c r="AE700" i="3"/>
  <c r="AC1742" i="3"/>
  <c r="AE1742" i="3"/>
  <c r="AE715" i="3"/>
  <c r="AC715" i="3"/>
  <c r="AE636" i="3"/>
  <c r="AC636" i="3"/>
  <c r="AC417" i="3"/>
  <c r="AE417" i="3"/>
  <c r="AC1735" i="3"/>
  <c r="AE1735" i="3"/>
  <c r="AE706" i="3"/>
  <c r="AC706" i="3"/>
  <c r="AE667" i="3"/>
  <c r="AC667" i="3"/>
  <c r="AE917" i="3"/>
  <c r="AC917" i="3"/>
  <c r="AE873" i="3"/>
  <c r="AC873" i="3"/>
  <c r="AE379" i="3"/>
  <c r="AC379" i="3"/>
  <c r="AC712" i="3"/>
  <c r="AE712" i="3"/>
  <c r="AE874" i="3"/>
  <c r="AC874" i="3"/>
  <c r="AE657" i="3"/>
  <c r="AC657" i="3"/>
  <c r="AE694" i="3"/>
  <c r="AC694" i="3"/>
  <c r="AC382" i="3"/>
  <c r="AE382" i="3"/>
  <c r="AE1628" i="3"/>
  <c r="AC1628" i="3"/>
  <c r="AE864" i="3"/>
  <c r="AC864" i="3"/>
  <c r="AC922" i="3"/>
  <c r="AE922" i="3"/>
  <c r="AE1745" i="3"/>
  <c r="AC1745" i="3"/>
  <c r="AC629" i="3"/>
  <c r="AE629" i="3"/>
  <c r="AE812" i="3"/>
  <c r="AC812" i="3"/>
  <c r="AE1625" i="3"/>
  <c r="AC1625" i="3"/>
  <c r="AC674" i="3"/>
  <c r="AE674" i="3"/>
  <c r="AE1804" i="3"/>
  <c r="AC1804" i="3"/>
  <c r="AE1737" i="3"/>
  <c r="AC1737" i="3"/>
  <c r="L5" i="3" l="1"/>
  <c r="K5" i="3" s="1"/>
  <c r="T869" i="4" a="1"/>
  <c r="T864" i="4" a="1"/>
  <c r="T743" i="4" a="1"/>
  <c r="T725" i="4" a="1"/>
  <c r="T617" i="4" a="1"/>
  <c r="T759" i="4" a="1"/>
  <c r="T661" i="4" a="1"/>
  <c r="T121" i="4" a="1"/>
  <c r="T77" i="4" a="1"/>
  <c r="T463" i="4" a="1"/>
  <c r="T290" i="4" a="1"/>
  <c r="T453" i="4" a="1"/>
  <c r="T3" i="4" a="1"/>
  <c r="T408" i="4" a="1"/>
  <c r="T264" i="4" a="1"/>
  <c r="AA244" i="3"/>
  <c r="AA2228" i="3"/>
  <c r="AA1688" i="3"/>
  <c r="AA1685" i="3"/>
  <c r="AA228" i="3"/>
  <c r="AA1646" i="3"/>
  <c r="AA1603" i="3"/>
  <c r="AA749" i="3"/>
  <c r="AA1458" i="3"/>
  <c r="AA482" i="3"/>
  <c r="AA593" i="3"/>
  <c r="T855" i="4" a="1"/>
  <c r="T804" i="4" a="1"/>
  <c r="T715" i="4" a="1"/>
  <c r="T686" i="4" a="1"/>
  <c r="T608" i="4" a="1"/>
  <c r="T726" i="4" a="1"/>
  <c r="T619" i="4" a="1"/>
  <c r="T116" i="4" a="1"/>
  <c r="T59" i="4" a="1"/>
  <c r="T452" i="4" a="1"/>
  <c r="T287" i="4" a="1"/>
  <c r="T305" i="4" a="1"/>
  <c r="T561" i="4" a="1"/>
  <c r="T259" i="4" a="1"/>
  <c r="T159" i="4" a="1"/>
  <c r="AA2230" i="3"/>
  <c r="AA220" i="3"/>
  <c r="AA1906" i="3"/>
  <c r="AA1696" i="3"/>
  <c r="AA225" i="3"/>
  <c r="AA1661" i="3"/>
  <c r="AA1620" i="3"/>
  <c r="AA187" i="3"/>
  <c r="AA161" i="3"/>
  <c r="AA467" i="3"/>
  <c r="AA585" i="3"/>
  <c r="T917" i="4" a="1"/>
  <c r="T851" i="4" a="1"/>
  <c r="T665" i="4" a="1"/>
  <c r="T861" i="4" a="1"/>
  <c r="T536" i="4" a="1"/>
  <c r="T589" i="4" a="1"/>
  <c r="T509" i="4" a="1"/>
  <c r="T103" i="4" a="1"/>
  <c r="T844" i="4" a="1"/>
  <c r="T307" i="4" a="1"/>
  <c r="T203" i="4" a="1"/>
  <c r="T226" i="4" a="1"/>
  <c r="T362" i="4" a="1"/>
  <c r="T615" i="4" a="1"/>
  <c r="T26" i="4" a="1"/>
  <c r="AA2112" i="3"/>
  <c r="AA1896" i="3"/>
  <c r="AA742" i="3"/>
  <c r="AA2016" i="3"/>
  <c r="AA1714" i="3"/>
  <c r="AA242" i="3"/>
  <c r="AA1711" i="3"/>
  <c r="AA512" i="3"/>
  <c r="AA1131" i="3"/>
  <c r="AA578" i="3"/>
  <c r="AA554" i="3"/>
  <c r="T874" i="4" a="1"/>
  <c r="T801" i="4" a="1"/>
  <c r="T770" i="4" a="1"/>
  <c r="T730" i="4" a="1"/>
  <c r="T250" i="4" a="1"/>
  <c r="T514" i="4" a="1"/>
  <c r="T434" i="4" a="1"/>
  <c r="T86" i="4" a="1"/>
  <c r="T586" i="4" a="1"/>
  <c r="T782" i="4" a="1"/>
  <c r="T136" i="4" a="1"/>
  <c r="T541" i="4" a="1"/>
  <c r="T111" i="4" a="1"/>
  <c r="T65" i="4" a="1"/>
  <c r="AA2058" i="3"/>
  <c r="AA778" i="3"/>
  <c r="AA2156" i="3"/>
  <c r="AA1818" i="3"/>
  <c r="AA1574" i="3"/>
  <c r="AA1676" i="3"/>
  <c r="AA1437" i="3"/>
  <c r="AA1914" i="3"/>
  <c r="AA1008" i="3"/>
  <c r="AA558" i="3"/>
  <c r="AA1460" i="3"/>
  <c r="AA515" i="3"/>
  <c r="U189" i="4" a="1"/>
  <c r="U594" i="4" a="1"/>
  <c r="U638" i="4" a="1"/>
  <c r="U551" i="4" a="1"/>
  <c r="U575" i="4" a="1"/>
  <c r="U454" i="4" a="1"/>
  <c r="U382" i="4" a="1"/>
  <c r="U833" i="4" a="1"/>
  <c r="U460" i="4" a="1"/>
  <c r="U55" i="4" a="1"/>
  <c r="U483" i="4" a="1"/>
  <c r="U732" i="4" a="1"/>
  <c r="U619" i="4" a="1"/>
  <c r="U231" i="4" a="1"/>
  <c r="U691" i="4" a="1"/>
  <c r="AI1602" i="3" a="1"/>
  <c r="AI2162" i="3" a="1"/>
  <c r="AA851" i="3"/>
  <c r="AI660" i="3" a="1"/>
  <c r="U860" i="4" a="1"/>
  <c r="U41" i="4" a="1"/>
  <c r="U815" i="4" a="1"/>
  <c r="U622" i="4" a="1"/>
  <c r="U157" i="4" a="1"/>
  <c r="U792" i="4" a="1"/>
  <c r="U117" i="4" a="1"/>
  <c r="U707" i="4" a="1"/>
  <c r="U601" i="4" a="1"/>
  <c r="U28" i="4" a="1"/>
  <c r="U348" i="4" a="1"/>
  <c r="U559" i="4" a="1"/>
  <c r="U133" i="4" a="1"/>
  <c r="AA1120" i="3"/>
  <c r="AK1025" i="3" a="1"/>
  <c r="AK111" i="3" a="1"/>
  <c r="AK610" i="3" a="1"/>
  <c r="U870" i="4" a="1"/>
  <c r="U553" i="4" a="1"/>
  <c r="U57" i="4" a="1"/>
  <c r="U316" i="4" a="1"/>
  <c r="U635" i="4" a="1"/>
  <c r="U375" i="4" a="1"/>
  <c r="U63" i="4" a="1"/>
  <c r="U914" i="4" a="1"/>
  <c r="U357" i="4" a="1"/>
  <c r="U493" i="4" a="1"/>
  <c r="U182" i="4" a="1"/>
  <c r="U258" i="4" a="1"/>
  <c r="U59" i="4" a="1"/>
  <c r="U267" i="4" a="1"/>
  <c r="U841" i="4" a="1"/>
  <c r="AA1062" i="3"/>
  <c r="AK213" i="3" a="1"/>
  <c r="AK262" i="3" a="1"/>
  <c r="AI138" i="3" a="1"/>
  <c r="U282" i="4" a="1"/>
  <c r="U916" i="4" a="1"/>
  <c r="U724" i="4" a="1"/>
  <c r="U695" i="4" a="1"/>
  <c r="U442" i="4" a="1"/>
  <c r="U650" i="4" a="1"/>
  <c r="U621" i="4" a="1"/>
  <c r="U770" i="4" a="1"/>
  <c r="U633" i="4" a="1"/>
  <c r="U373" i="4" a="1"/>
  <c r="U632" i="4" a="1"/>
  <c r="U66" i="4" a="1"/>
  <c r="U95" i="4" a="1"/>
  <c r="U61" i="4" a="1"/>
  <c r="AI1896" i="3" a="1"/>
  <c r="AK525" i="3" a="1"/>
  <c r="AK239" i="3" a="1"/>
  <c r="AI125" i="3" a="1"/>
  <c r="AK1583" i="3" a="1"/>
  <c r="AI2089" i="3" a="1"/>
  <c r="AK366" i="3" a="1"/>
  <c r="AI1575" i="3" a="1"/>
  <c r="AK1928" i="3" a="1"/>
  <c r="AI579" i="3" a="1"/>
  <c r="AK511" i="3" a="1"/>
  <c r="AK1574" i="3" a="1"/>
  <c r="AK2046" i="3" a="1"/>
  <c r="AK1907" i="3" a="1"/>
  <c r="AI331" i="3" a="1"/>
  <c r="AK661" i="3" a="1"/>
  <c r="AK1709" i="3" a="1"/>
  <c r="AK2022" i="3" a="1"/>
  <c r="AI983" i="3" a="1"/>
  <c r="AA1557" i="3"/>
  <c r="AK517" i="3" a="1"/>
  <c r="AI2013" i="3" a="1"/>
  <c r="AK1966" i="3" a="1"/>
  <c r="AK627" i="3" a="1"/>
  <c r="AK1639" i="3" a="1"/>
  <c r="AA233" i="3"/>
  <c r="AI639" i="3" a="1"/>
  <c r="AK1713" i="3" a="1"/>
  <c r="AI1583" i="3" a="1"/>
  <c r="AK1949" i="3" a="1"/>
  <c r="AI568" i="3" a="1"/>
  <c r="AI127" i="3" a="1"/>
  <c r="AK1680" i="3" a="1"/>
  <c r="AI559" i="3" a="1"/>
  <c r="AK746" i="3" a="1"/>
  <c r="AK1828" i="3" a="1"/>
  <c r="AK2023" i="3" a="1"/>
  <c r="AI1286" i="3" a="1"/>
  <c r="AK747" i="3" a="1"/>
  <c r="AK867" i="3" a="1"/>
  <c r="AK750" i="3" a="1"/>
  <c r="AK1659" i="3" a="1"/>
  <c r="AK530" i="3" a="1"/>
  <c r="AI2069" i="3" a="1"/>
  <c r="AK2158" i="3" a="1"/>
  <c r="AI618" i="3" a="1"/>
  <c r="AA924" i="3"/>
  <c r="AK2072" i="3" a="1"/>
  <c r="AI569" i="3" a="1"/>
  <c r="AA2064" i="3"/>
  <c r="AI244" i="3" a="1"/>
  <c r="AI306" i="3" a="1"/>
  <c r="AI1629" i="3" a="1"/>
  <c r="AI1589" i="3" a="1"/>
  <c r="AA190" i="3"/>
  <c r="AI317" i="3" a="1"/>
  <c r="AI1684" i="3" a="1"/>
  <c r="AK1959" i="3" a="1"/>
  <c r="AK1596" i="3" a="1"/>
  <c r="AK526" i="3" a="1"/>
  <c r="AK2265" i="3" a="1"/>
  <c r="AI112" i="3" a="1"/>
  <c r="AI1825" i="3" a="1"/>
  <c r="AK76" i="3" a="1"/>
  <c r="AI867" i="3" a="1"/>
  <c r="AK571" i="3" a="1"/>
  <c r="AI1738" i="3" a="1"/>
  <c r="AI2267" i="3" a="1"/>
  <c r="AI1006" i="3" a="1"/>
  <c r="AA1792" i="3"/>
  <c r="AI2018" i="3" a="1"/>
  <c r="AI282" i="3" a="1"/>
  <c r="AA2004" i="3"/>
  <c r="AI1547" i="3" a="1"/>
  <c r="AK341" i="3" a="1"/>
  <c r="AI789" i="3" a="1"/>
  <c r="AK607" i="3" a="1"/>
  <c r="AI821" i="3" a="1"/>
  <c r="AI1872" i="3" a="1"/>
  <c r="AI1673" i="3" a="1"/>
  <c r="AI376" i="3" a="1"/>
  <c r="AA1483" i="3"/>
  <c r="AA1509" i="3"/>
  <c r="T836" i="4" a="1"/>
  <c r="T897" i="4" a="1"/>
  <c r="T693" i="4" a="1"/>
  <c r="T660" i="4" a="1"/>
  <c r="T577" i="4" a="1"/>
  <c r="T631" i="4" a="1"/>
  <c r="T540" i="4" a="1"/>
  <c r="T109" i="4" a="1"/>
  <c r="T23" i="4" a="1"/>
  <c r="T374" i="4" a="1"/>
  <c r="T236" i="4" a="1"/>
  <c r="T235" i="4" a="1"/>
  <c r="T415" i="4" a="1"/>
  <c r="T16" i="4" a="1"/>
  <c r="T155" i="4" a="1"/>
  <c r="AA2116" i="3"/>
  <c r="AA2161" i="3"/>
  <c r="AA1566" i="3"/>
  <c r="AA1820" i="3"/>
  <c r="AA1730" i="3"/>
  <c r="AA1716" i="3"/>
  <c r="AA1678" i="3"/>
  <c r="AA787" i="3"/>
  <c r="AA592" i="3"/>
  <c r="AA535" i="3"/>
  <c r="AA567" i="3"/>
  <c r="T830" i="4" a="1"/>
  <c r="T859" i="4" a="1"/>
  <c r="T667" i="4" a="1"/>
  <c r="T908" i="4" a="1"/>
  <c r="T543" i="4" a="1"/>
  <c r="T629" i="4" a="1"/>
  <c r="T527" i="4" a="1"/>
  <c r="T104" i="4" a="1"/>
  <c r="T4" i="4" a="1"/>
  <c r="T343" i="4" a="1"/>
  <c r="T210" i="4" a="1"/>
  <c r="T228" i="4" a="1"/>
  <c r="T404" i="4" a="1"/>
  <c r="T751" i="4" a="1"/>
  <c r="T34" i="4" a="1"/>
  <c r="AA2118" i="3"/>
  <c r="AA1966" i="3"/>
  <c r="AA1045" i="3"/>
  <c r="AA2247" i="3"/>
  <c r="AA1721" i="3"/>
  <c r="AA1733" i="3"/>
  <c r="AA1693" i="3"/>
  <c r="AA1473" i="3"/>
  <c r="AA136" i="3"/>
  <c r="AA570" i="3"/>
  <c r="AA560" i="3"/>
  <c r="T879" i="4" a="1"/>
  <c r="T808" i="4" a="1"/>
  <c r="T777" i="4" a="1"/>
  <c r="T787" i="4" a="1"/>
  <c r="T256" i="4" a="1"/>
  <c r="T528" i="4" a="1"/>
  <c r="T466" i="4" a="1"/>
  <c r="T91" i="4" a="1"/>
  <c r="T650" i="4" a="1"/>
  <c r="T213" i="4" a="1"/>
  <c r="T147" i="4" a="1"/>
  <c r="T559" i="4" a="1"/>
  <c r="T123" i="4" a="1"/>
  <c r="T100" i="4" a="1"/>
  <c r="AA2052" i="3"/>
  <c r="AA789" i="3"/>
  <c r="AA2265" i="3"/>
  <c r="AA1635" i="3"/>
  <c r="AA858" i="3"/>
  <c r="AA1683" i="3"/>
  <c r="AA390" i="3"/>
  <c r="AA1825" i="3"/>
  <c r="AA195" i="3"/>
  <c r="AA524" i="3"/>
  <c r="AA366" i="3"/>
  <c r="AA521" i="3"/>
  <c r="T866" i="4" a="1"/>
  <c r="T687" i="4" a="1"/>
  <c r="T668" i="4" a="1"/>
  <c r="T587" i="4" a="1"/>
  <c r="T231" i="4" a="1"/>
  <c r="T454" i="4" a="1"/>
  <c r="T684" i="4" a="1"/>
  <c r="T74" i="4" a="1"/>
  <c r="T485" i="4" a="1"/>
  <c r="T611" i="4" a="1"/>
  <c r="T82" i="4" a="1"/>
  <c r="T294" i="4" a="1"/>
  <c r="T497" i="4" a="1"/>
  <c r="T320" i="4" a="1"/>
  <c r="AA2055" i="3"/>
  <c r="AA1938" i="3"/>
  <c r="AA1777" i="3"/>
  <c r="AA833" i="3"/>
  <c r="AA391" i="3"/>
  <c r="AA1649" i="3"/>
  <c r="AA1618" i="3"/>
  <c r="AA2076" i="3"/>
  <c r="AA807" i="3"/>
  <c r="AA1470" i="3"/>
  <c r="AA137" i="3"/>
  <c r="AA656" i="3"/>
  <c r="U423" i="4" a="1"/>
  <c r="U447" i="4" a="1"/>
  <c r="U324" i="4" a="1"/>
  <c r="U318" i="4" a="1"/>
  <c r="U199" i="4" a="1"/>
  <c r="U571" i="4" a="1"/>
  <c r="U422" i="4" a="1"/>
  <c r="U884" i="4" a="1"/>
  <c r="U336" i="4" a="1"/>
  <c r="U292" i="4" a="1"/>
  <c r="U37" i="4" a="1"/>
  <c r="U831" i="4" a="1"/>
  <c r="U407" i="4" a="1"/>
  <c r="U285" i="4" a="1"/>
  <c r="U614" i="4" a="1"/>
  <c r="AI1601" i="3" a="1"/>
  <c r="AK1717" i="3" a="1"/>
  <c r="AI1790" i="3" a="1"/>
  <c r="AK148" i="3" a="1"/>
  <c r="U400" i="4" a="1"/>
  <c r="U548" i="4" a="1"/>
  <c r="U763" i="4" a="1"/>
  <c r="U14" i="4" a="1"/>
  <c r="U540" i="4" a="1"/>
  <c r="U177" i="4" a="1"/>
  <c r="U29" i="4" a="1"/>
  <c r="U537" i="4" a="1"/>
  <c r="U766" i="4" a="1"/>
  <c r="U586" i="4" a="1"/>
  <c r="U92" i="4" a="1"/>
  <c r="U331" i="4" a="1"/>
  <c r="U533" i="4" a="1"/>
  <c r="AI1671" i="3" a="1"/>
  <c r="AK538" i="3" a="1"/>
  <c r="AA1537" i="3"/>
  <c r="AI1668" i="3" a="1"/>
  <c r="U790" i="4" a="1"/>
  <c r="U787" i="4" a="1"/>
  <c r="U662" i="4" a="1"/>
  <c r="U851" i="4" a="1"/>
  <c r="U319" i="4" a="1"/>
  <c r="U824" i="4" a="1"/>
  <c r="U418" i="4" a="1"/>
  <c r="U863" i="4" a="1"/>
  <c r="U745" i="4" a="1"/>
  <c r="U736" i="4" a="1"/>
  <c r="U30" i="4" a="1"/>
  <c r="U495" i="4" a="1"/>
  <c r="U713" i="4" a="1"/>
  <c r="U155" i="4" a="1"/>
  <c r="U144" i="4" a="1"/>
  <c r="AI656" i="3" a="1"/>
  <c r="AK1678" i="3" a="1"/>
  <c r="AA1189" i="3"/>
  <c r="AI584" i="3" a="1"/>
  <c r="U773" i="4" a="1"/>
  <c r="U520" i="4" a="1"/>
  <c r="U735" i="4" a="1"/>
  <c r="U584" i="4" a="1"/>
  <c r="U120" i="4" a="1"/>
  <c r="U450" i="4" a="1"/>
  <c r="U587" i="4" a="1"/>
  <c r="U359" i="4" a="1"/>
  <c r="U844" i="4" a="1"/>
  <c r="U752" i="4" a="1"/>
  <c r="U34" i="4" a="1"/>
  <c r="U389" i="4" a="1"/>
  <c r="U826" i="4" a="1"/>
  <c r="U260" i="4" a="1"/>
  <c r="AI553" i="3" a="1"/>
  <c r="AK1129" i="3" a="1"/>
  <c r="AK1723" i="3" a="1"/>
  <c r="AI520" i="3" a="1"/>
  <c r="AI1675" i="3" a="1"/>
  <c r="AK777" i="3" a="1"/>
  <c r="AK737" i="3" a="1"/>
  <c r="AK1661" i="3" a="1"/>
  <c r="AA1543" i="3"/>
  <c r="AK642" i="3" a="1"/>
  <c r="AI992" i="3" a="1"/>
  <c r="AI1685" i="3" a="1"/>
  <c r="AI735" i="3" a="1"/>
  <c r="AK2210" i="3" a="1"/>
  <c r="AK1323" i="3" a="1"/>
  <c r="AK552" i="3" a="1"/>
  <c r="AK390" i="3" a="1"/>
  <c r="AI251" i="3" a="1"/>
  <c r="AI2057" i="3" a="1"/>
  <c r="AK2069" i="3" a="1"/>
  <c r="AA722" i="3"/>
  <c r="AK226" i="3" a="1"/>
  <c r="AK790" i="3" a="1"/>
  <c r="AK601" i="3" a="1"/>
  <c r="AK242" i="3" a="1"/>
  <c r="AK1780" i="3" a="1"/>
  <c r="AI572" i="3" a="1"/>
  <c r="AI1704" i="3" a="1"/>
  <c r="AK1675" i="3" a="1"/>
  <c r="AK2112" i="3" a="1"/>
  <c r="AK334" i="3" a="1"/>
  <c r="AA1085" i="3"/>
  <c r="AI833" i="3" a="1"/>
  <c r="AA1468" i="3"/>
  <c r="AI136" i="3" a="1"/>
  <c r="AK1658" i="3" a="1"/>
  <c r="AK312" i="3" a="1"/>
  <c r="AI300" i="3" a="1"/>
  <c r="AK649" i="3" a="1"/>
  <c r="AI1851" i="3" a="1"/>
  <c r="AK751" i="3" a="1"/>
  <c r="AK550" i="3" a="1"/>
  <c r="AK151" i="3" a="1"/>
  <c r="AA816" i="3"/>
  <c r="AK2018" i="3" a="1"/>
  <c r="AK1033" i="3" a="1"/>
  <c r="AK2062" i="3" a="1"/>
  <c r="AK612" i="3" a="1"/>
  <c r="AI514" i="3" a="1"/>
  <c r="AI274" i="3" a="1"/>
  <c r="AA49" i="3"/>
  <c r="AK1641" i="3" a="1"/>
  <c r="AA1141" i="3"/>
  <c r="AA1395" i="3"/>
  <c r="AA1100" i="3"/>
  <c r="AK302" i="3" a="1"/>
  <c r="AI110" i="3" a="1"/>
  <c r="AI2118" i="3" a="1"/>
  <c r="AA2163" i="3"/>
  <c r="AI996" i="3" a="1"/>
  <c r="AK797" i="3" a="1"/>
  <c r="AI602" i="3" a="1"/>
  <c r="AK1647" i="3" a="1"/>
  <c r="AK335" i="3" a="1"/>
  <c r="AK1851" i="3" a="1"/>
  <c r="AA1455" i="3"/>
  <c r="AA2278" i="3"/>
  <c r="AI2092" i="3" a="1"/>
  <c r="AI153" i="3" a="1"/>
  <c r="AK1715" i="3" a="1"/>
  <c r="AI1917" i="3" a="1"/>
  <c r="AI659" i="3" a="1"/>
  <c r="AK1635" i="3" a="1"/>
  <c r="AA1425" i="3"/>
  <c r="AI1855" i="3" a="1"/>
  <c r="AA1971" i="3"/>
  <c r="AK574" i="3" a="1"/>
  <c r="AK1683" i="3" a="1"/>
  <c r="AI551" i="3" a="1"/>
  <c r="AK1736" i="3" a="1"/>
  <c r="AK1638" i="3" a="1"/>
  <c r="AA1086" i="3"/>
  <c r="AK814" i="3" a="1"/>
  <c r="T889" i="4" a="1"/>
  <c r="T840" i="4" a="1"/>
  <c r="T835" i="4" a="1"/>
  <c r="T761" i="4" a="1"/>
  <c r="T534" i="4" a="1"/>
  <c r="T565" i="4" a="1"/>
  <c r="T481" i="4" a="1"/>
  <c r="T97" i="4" a="1"/>
  <c r="T690" i="4" a="1"/>
  <c r="T263" i="4" a="1"/>
  <c r="T161" i="4" a="1"/>
  <c r="T199" i="4" a="1"/>
  <c r="T269" i="4" a="1"/>
  <c r="T241" i="4" a="1"/>
  <c r="AA1780" i="3"/>
  <c r="AA2114" i="3"/>
  <c r="AA1791" i="3"/>
  <c r="AA902" i="3"/>
  <c r="AA1911" i="3"/>
  <c r="AA1698" i="3"/>
  <c r="AA1915" i="3"/>
  <c r="AA227" i="3"/>
  <c r="AA311" i="3"/>
  <c r="AA1129" i="3"/>
  <c r="AA619" i="3"/>
  <c r="AA533" i="3"/>
  <c r="T880" i="4" a="1"/>
  <c r="T809" i="4" a="1"/>
  <c r="T831" i="4" a="1"/>
  <c r="T748" i="4" a="1"/>
  <c r="T262" i="4" a="1"/>
  <c r="T539" i="4" a="1"/>
  <c r="T476" i="4" a="1"/>
  <c r="T92" i="4" a="1"/>
  <c r="T670" i="4" a="1"/>
  <c r="T242" i="4" a="1"/>
  <c r="T153" i="4" a="1"/>
  <c r="T194" i="4" a="1"/>
  <c r="T234" i="4" a="1"/>
  <c r="T220" i="4" a="1"/>
  <c r="AA2084" i="3"/>
  <c r="AA1957" i="3"/>
  <c r="AA1918" i="3"/>
  <c r="AA860" i="3"/>
  <c r="AA478" i="3"/>
  <c r="AA1689" i="3"/>
  <c r="AA952" i="3"/>
  <c r="AA1894" i="3"/>
  <c r="AA1331" i="3"/>
  <c r="AA810" i="3"/>
  <c r="AA646" i="3"/>
  <c r="AA527" i="3"/>
  <c r="T867" i="4" a="1"/>
  <c r="T735" i="4" a="1"/>
  <c r="T711" i="4" a="1"/>
  <c r="T591" i="4" a="1"/>
  <c r="T237" i="4" a="1"/>
  <c r="T473" i="4" a="1"/>
  <c r="T736" i="4" a="1"/>
  <c r="T79" i="4" a="1"/>
  <c r="T521" i="4" a="1"/>
  <c r="T640" i="4" a="1"/>
  <c r="T93" i="4" a="1"/>
  <c r="T300" i="4" a="1"/>
  <c r="T15" i="4" a="1"/>
  <c r="T368" i="4" a="1"/>
  <c r="AA102" i="3"/>
  <c r="AA1944" i="3"/>
  <c r="AA2250" i="3"/>
  <c r="AA335" i="3"/>
  <c r="AA1723" i="3"/>
  <c r="AA1656" i="3"/>
  <c r="AA1602" i="3"/>
  <c r="AA1981" i="3"/>
  <c r="AA363" i="3"/>
  <c r="AA158" i="3"/>
  <c r="AA773" i="3"/>
  <c r="AA159" i="3"/>
  <c r="T885" i="4" a="1"/>
  <c r="T663" i="4" a="1"/>
  <c r="T914" i="4" a="1"/>
  <c r="T460" i="4" a="1"/>
  <c r="T854" i="4" a="1"/>
  <c r="T865" i="4" a="1"/>
  <c r="T573" i="4" a="1"/>
  <c r="T62" i="4" a="1"/>
  <c r="T388" i="4" a="1"/>
  <c r="T551" i="4" a="1"/>
  <c r="T11" i="4" a="1"/>
  <c r="T217" i="4" a="1"/>
  <c r="T673" i="4" a="1"/>
  <c r="T165" i="4" a="1"/>
  <c r="AA251" i="3"/>
  <c r="AA1950" i="3"/>
  <c r="AA258" i="3"/>
  <c r="AA862" i="3"/>
  <c r="AA855" i="3"/>
  <c r="AA1614" i="3"/>
  <c r="AA1691" i="3"/>
  <c r="AA1622" i="3"/>
  <c r="AA736" i="3"/>
  <c r="AA469" i="3"/>
  <c r="AA528" i="3"/>
  <c r="AA623" i="3"/>
  <c r="U634" i="4" a="1"/>
  <c r="U70" i="4" a="1"/>
  <c r="U437" i="4" a="1"/>
  <c r="U457" i="4" a="1"/>
  <c r="U505" i="4" a="1"/>
  <c r="U822" i="4" a="1"/>
  <c r="U572" i="4" a="1"/>
  <c r="U866" i="4" a="1"/>
  <c r="U130" i="4" a="1"/>
  <c r="U399" i="4" a="1"/>
  <c r="U733" i="4" a="1"/>
  <c r="U2" i="4" a="1"/>
  <c r="U459" i="4" a="1"/>
  <c r="U362" i="4" a="1"/>
  <c r="U478" i="4" a="1"/>
  <c r="AI1834" i="3" a="1"/>
  <c r="AI119" i="3" a="1"/>
  <c r="AA1183" i="3"/>
  <c r="AA1478" i="3"/>
  <c r="U213" i="4" a="1"/>
  <c r="U397" i="4" a="1"/>
  <c r="U900" i="4" a="1"/>
  <c r="U259" i="4" a="1"/>
  <c r="U458" i="4" a="1"/>
  <c r="U497" i="4" a="1"/>
  <c r="U338" i="4" a="1"/>
  <c r="U518" i="4" a="1"/>
  <c r="U591" i="4" a="1"/>
  <c r="U524" i="4" a="1"/>
  <c r="U595" i="4" a="1"/>
  <c r="U525" i="4" a="1"/>
  <c r="U376" i="4" a="1"/>
  <c r="AK2190" i="3" a="1"/>
  <c r="AK555" i="3" a="1"/>
  <c r="AI1703" i="3" a="1"/>
  <c r="AI1802" i="3" a="1"/>
  <c r="U675" i="4" a="1"/>
  <c r="U698" i="4" a="1"/>
  <c r="U536" i="4" a="1"/>
  <c r="U839" i="4" a="1"/>
  <c r="U415" i="4" a="1"/>
  <c r="U832" i="4" a="1"/>
  <c r="U620" i="4" a="1"/>
  <c r="U842" i="4" a="1"/>
  <c r="U99" i="4" a="1"/>
  <c r="U445" i="4" a="1"/>
  <c r="U368" i="4" a="1"/>
  <c r="U370" i="4" a="1"/>
  <c r="U264" i="4" a="1"/>
  <c r="U142" i="4" a="1"/>
  <c r="U327" i="4" a="1"/>
  <c r="AI567" i="3" a="1"/>
  <c r="AA2070" i="3"/>
  <c r="AK791" i="3" a="1"/>
  <c r="AI591" i="3" a="1"/>
  <c r="U156" i="4" a="1"/>
  <c r="U391" i="4" a="1"/>
  <c r="U797" i="4" a="1"/>
  <c r="U268" i="4" a="1"/>
  <c r="U192" i="4" a="1"/>
  <c r="U523" i="4" a="1"/>
  <c r="U737" i="4" a="1"/>
  <c r="U171" i="4" a="1"/>
  <c r="U428" i="4" a="1"/>
  <c r="U677" i="4" a="1"/>
  <c r="U248" i="4" a="1"/>
  <c r="U686" i="4" a="1"/>
  <c r="U786" i="4" a="1"/>
  <c r="U304" i="4" a="1"/>
  <c r="AI189" i="3" a="1"/>
  <c r="AK604" i="3" a="1"/>
  <c r="AA1515" i="3"/>
  <c r="AI467" i="3" a="1"/>
  <c r="AI462" i="3" a="1"/>
  <c r="AI1953" i="3" a="1"/>
  <c r="AA771" i="3"/>
  <c r="AK1280" i="3" a="1"/>
  <c r="AI149" i="3" a="1"/>
  <c r="AI563" i="3" a="1"/>
  <c r="AA1519" i="3"/>
  <c r="AK958" i="3" a="1"/>
  <c r="AA1502" i="3"/>
  <c r="AK1881" i="3" a="1"/>
  <c r="AI1906" i="3" a="1"/>
  <c r="AA1429" i="3"/>
  <c r="AK2074" i="3" a="1"/>
  <c r="AI586" i="3" a="1"/>
  <c r="AK557" i="3" a="1"/>
  <c r="AA815" i="3"/>
  <c r="AK2077" i="3" a="1"/>
  <c r="AK1653" i="3" a="1"/>
  <c r="AK1940" i="3" a="1"/>
  <c r="AA721" i="3"/>
  <c r="AK868" i="3" a="1"/>
  <c r="AK1831" i="3" a="1"/>
  <c r="AK472" i="3" a="1"/>
  <c r="AK902" i="3" a="1"/>
  <c r="AK462" i="3" a="1"/>
  <c r="AK1785" i="3" a="1"/>
  <c r="AA1273" i="3"/>
  <c r="AA1083" i="3"/>
  <c r="AI217" i="3" a="1"/>
  <c r="AK1716" i="3" a="1"/>
  <c r="AK157" i="3" a="1"/>
  <c r="AI1718" i="3" a="1"/>
  <c r="AA1069" i="3"/>
  <c r="AI332" i="3" a="1"/>
  <c r="AI792" i="3" a="1"/>
  <c r="AA836" i="3"/>
  <c r="AI162" i="3" a="1"/>
  <c r="AK1597" i="3" a="1"/>
  <c r="AK578" i="3" a="1"/>
  <c r="AA1793" i="3"/>
  <c r="AI517" i="3" a="1"/>
  <c r="AK556" i="3" a="1"/>
  <c r="AA113" i="3"/>
  <c r="AK645" i="3" a="1"/>
  <c r="AK558" i="3" a="1"/>
  <c r="AK2247" i="3" a="1"/>
  <c r="AI540" i="3" a="1"/>
  <c r="AI1981" i="3" a="1"/>
  <c r="AA1143" i="3"/>
  <c r="AI1975" i="3" a="1"/>
  <c r="AK1576" i="3" a="1"/>
  <c r="AA759" i="3"/>
  <c r="AK2067" i="3" a="1"/>
  <c r="AI1542" i="3" a="1"/>
  <c r="AK1779" i="3" a="1"/>
  <c r="AA725" i="3"/>
  <c r="AK665" i="3" a="1"/>
  <c r="AI532" i="3" a="1"/>
  <c r="AA83" i="3"/>
  <c r="AI1650" i="3" a="1"/>
  <c r="AA835" i="3"/>
  <c r="AA1451" i="3"/>
  <c r="AI101" i="3" a="1"/>
  <c r="AK2058" i="3" a="1"/>
  <c r="AI577" i="3" a="1"/>
  <c r="AI1586" i="3" a="1"/>
  <c r="AI385" i="3" a="1"/>
  <c r="AK523" i="3" a="1"/>
  <c r="AK1688" i="3" a="1"/>
  <c r="AA1242" i="3"/>
  <c r="AK1568" i="3" a="1"/>
  <c r="AK2036" i="3" a="1"/>
  <c r="AI564" i="3" a="1"/>
  <c r="AI1812" i="3" a="1"/>
  <c r="AI2024" i="3" a="1"/>
  <c r="AI2205" i="3" a="1"/>
  <c r="AK391" i="3" a="1"/>
  <c r="AK475" i="3" a="1"/>
  <c r="AK258" i="3" a="1"/>
  <c r="T873" i="4" a="1"/>
  <c r="T776" i="4" a="1"/>
  <c r="T741" i="4" a="1"/>
  <c r="T639" i="4" a="1"/>
  <c r="T249" i="4" a="1"/>
  <c r="T513" i="4" a="1"/>
  <c r="T430" i="4" a="1"/>
  <c r="T85" i="4" a="1"/>
  <c r="T558" i="4" a="1"/>
  <c r="T747" i="4" a="1"/>
  <c r="T107" i="4" a="1"/>
  <c r="T342" i="4" a="1"/>
  <c r="T21" i="4" a="1"/>
  <c r="T635" i="4" a="1"/>
  <c r="AA1982" i="3"/>
  <c r="AA662" i="3"/>
  <c r="AA2159" i="3"/>
  <c r="AA1880" i="3"/>
  <c r="AA1613" i="3"/>
  <c r="AA1669" i="3"/>
  <c r="AA1575" i="3"/>
  <c r="AA1961" i="3"/>
  <c r="AA562" i="3"/>
  <c r="AA1033" i="3"/>
  <c r="AA741" i="3"/>
  <c r="AA160" i="3"/>
  <c r="T868" i="4" a="1"/>
  <c r="T763" i="4" a="1"/>
  <c r="T719" i="4" a="1"/>
  <c r="T595" i="4" a="1"/>
  <c r="T243" i="4" a="1"/>
  <c r="T512" i="4" a="1"/>
  <c r="T798" i="4" a="1"/>
  <c r="T80" i="4" a="1"/>
  <c r="T532" i="4" a="1"/>
  <c r="T641" i="4" a="1"/>
  <c r="T99" i="4" a="1"/>
  <c r="T324" i="4" a="1"/>
  <c r="T19" i="4" a="1"/>
  <c r="T446" i="4" a="1"/>
  <c r="AA1932" i="3"/>
  <c r="AA1952" i="3"/>
  <c r="AA1790" i="3"/>
  <c r="AA1316" i="3"/>
  <c r="AA1888" i="3"/>
  <c r="AA1663" i="3"/>
  <c r="AA1583" i="3"/>
  <c r="AA2162" i="3"/>
  <c r="AA526" i="3"/>
  <c r="AA577" i="3"/>
  <c r="AA1284" i="3"/>
  <c r="AA317" i="3"/>
  <c r="T894" i="4" a="1"/>
  <c r="T669" i="4" a="1"/>
  <c r="T837" i="4" a="1"/>
  <c r="T537" i="4" a="1"/>
  <c r="T773" i="4" a="1"/>
  <c r="T399" i="4" a="1"/>
  <c r="T596" i="4" a="1"/>
  <c r="T67" i="4" a="1"/>
  <c r="T403" i="4" a="1"/>
  <c r="T562" i="4" a="1"/>
  <c r="T39" i="4" a="1"/>
  <c r="T221" i="4" a="1"/>
  <c r="T710" i="4" a="1"/>
  <c r="T189" i="4" a="1"/>
  <c r="AA2018" i="3"/>
  <c r="AA1953" i="3"/>
  <c r="AA2096" i="3"/>
  <c r="AA1704" i="3"/>
  <c r="AA832" i="3"/>
  <c r="AA1627" i="3"/>
  <c r="AA1668" i="3"/>
  <c r="AA1605" i="3"/>
  <c r="AA743" i="3"/>
  <c r="AA559" i="3"/>
  <c r="AA151" i="3"/>
  <c r="AA638" i="3"/>
  <c r="T916" i="4" a="1"/>
  <c r="T838" i="4" a="1"/>
  <c r="T758" i="4" a="1"/>
  <c r="T413" i="4" a="1"/>
  <c r="T755" i="4" a="1"/>
  <c r="T720" i="4" a="1"/>
  <c r="T550" i="4" a="1"/>
  <c r="T50" i="4" a="1"/>
  <c r="T295" i="4" a="1"/>
  <c r="T420" i="4" a="1"/>
  <c r="T765" i="4" a="1"/>
  <c r="T28" i="4" a="1"/>
  <c r="T288" i="4" a="1"/>
  <c r="T10" i="4" a="1"/>
  <c r="AA1927" i="3"/>
  <c r="AA1940" i="3"/>
  <c r="AA2011" i="3"/>
  <c r="AA954" i="3"/>
  <c r="AA1702" i="3"/>
  <c r="AA1580" i="3"/>
  <c r="AA1824" i="3"/>
  <c r="AA1695" i="3"/>
  <c r="AA624" i="3"/>
  <c r="AA370" i="3"/>
  <c r="AA516" i="3"/>
  <c r="AA596" i="3"/>
  <c r="U778" i="4" a="1"/>
  <c r="U67" i="4" a="1"/>
  <c r="U814" i="4" a="1"/>
  <c r="U151" i="4" a="1"/>
  <c r="U178" i="4" a="1"/>
  <c r="U506" i="4" a="1"/>
  <c r="U379" i="4" a="1"/>
  <c r="U420" i="4" a="1"/>
  <c r="U509" i="4" a="1"/>
  <c r="U589" i="4" a="1"/>
  <c r="U301" i="4" a="1"/>
  <c r="U19" i="4" a="1"/>
  <c r="U613" i="4" a="1"/>
  <c r="U43" i="4" a="1"/>
  <c r="U516" i="4" a="1"/>
  <c r="AI1921" i="3" a="1"/>
  <c r="AI1824" i="3" a="1"/>
  <c r="AI1937" i="3" a="1"/>
  <c r="AK617" i="3" a="1"/>
  <c r="U785" i="4" a="1"/>
  <c r="U711" i="4" a="1"/>
  <c r="U912" i="4" a="1"/>
  <c r="U173" i="4" a="1"/>
  <c r="U617" i="4" a="1"/>
  <c r="U246" i="4" a="1"/>
  <c r="U879" i="4" a="1"/>
  <c r="U441" i="4" a="1"/>
  <c r="U837" i="4" a="1"/>
  <c r="U756" i="4" a="1"/>
  <c r="U655" i="4" a="1"/>
  <c r="U291" i="4" a="1"/>
  <c r="U709" i="4" a="1"/>
  <c r="AA1428" i="3"/>
  <c r="AI1473" i="3" a="1"/>
  <c r="AI1829" i="3" a="1"/>
  <c r="AI626" i="3" a="1"/>
  <c r="U859" i="4" a="1"/>
  <c r="U716" i="4" a="1"/>
  <c r="U500" i="4" a="1"/>
  <c r="U532" i="4" a="1"/>
  <c r="U579" i="4" a="1"/>
  <c r="U789" i="4" a="1"/>
  <c r="U765" i="4" a="1"/>
  <c r="U872" i="4" a="1"/>
  <c r="U564" i="4" a="1"/>
  <c r="U625" i="4" a="1"/>
  <c r="U40" i="4" a="1"/>
  <c r="U490" i="4" a="1"/>
  <c r="U129" i="4" a="1"/>
  <c r="U58" i="4" a="1"/>
  <c r="U488" i="4" a="1"/>
  <c r="AI653" i="3" a="1"/>
  <c r="AA837" i="3"/>
  <c r="AI1945" i="3" a="1"/>
  <c r="AI1127" i="3" a="1"/>
  <c r="U546" i="4" a="1"/>
  <c r="U466" i="4" a="1"/>
  <c r="U894" i="4" a="1"/>
  <c r="U856" i="4" a="1"/>
  <c r="U303" i="4" a="1"/>
  <c r="U472" i="4" a="1"/>
  <c r="U740" i="4" a="1"/>
  <c r="U906" i="4" a="1"/>
  <c r="U91" i="4" a="1"/>
  <c r="U101" i="4" a="1"/>
  <c r="U172" i="4" a="1"/>
  <c r="U582" i="4" a="1"/>
  <c r="U901" i="4" a="1"/>
  <c r="U436" i="4" a="1"/>
  <c r="AA1123" i="3"/>
  <c r="AK147" i="3" a="1"/>
  <c r="AA1535" i="3"/>
  <c r="AI1689" i="3" a="1"/>
  <c r="AA2056" i="3"/>
  <c r="AK1965" i="3" a="1"/>
  <c r="AK1131" i="3" a="1"/>
  <c r="AA968" i="3"/>
  <c r="AI597" i="3" a="1"/>
  <c r="AK561" i="3" a="1"/>
  <c r="AI1620" i="3" a="1"/>
  <c r="AI1578" i="3" a="1"/>
  <c r="AI1318" i="3" a="1"/>
  <c r="AI859" i="3" a="1"/>
  <c r="AK587" i="3" a="1"/>
  <c r="AA1245" i="3"/>
  <c r="AA1402" i="3"/>
  <c r="AI372" i="3" a="1"/>
  <c r="AK611" i="3" a="1"/>
  <c r="AA1794" i="3"/>
  <c r="AK1947" i="3" a="1"/>
  <c r="AK1847" i="3" a="1"/>
  <c r="AA2217" i="3"/>
  <c r="AK137" i="3" a="1"/>
  <c r="AK1676" i="3" a="1"/>
  <c r="AK1818" i="3" a="1"/>
  <c r="AI1963" i="3" a="1"/>
  <c r="AK343" i="3" a="1"/>
  <c r="AA1396" i="3"/>
  <c r="AK1925" i="3" a="1"/>
  <c r="AI575" i="3" a="1"/>
  <c r="AK1904" i="3" a="1"/>
  <c r="AA1513" i="3"/>
  <c r="AK1916" i="3" a="1"/>
  <c r="AA1336" i="3"/>
  <c r="AI1702" i="3" a="1"/>
  <c r="AI2046" i="3" a="1"/>
  <c r="AA1403" i="3"/>
  <c r="AI1938" i="3" a="1"/>
  <c r="AK159" i="3" a="1"/>
  <c r="AA2254" i="3"/>
  <c r="AK1591" i="3" a="1"/>
  <c r="AK1006" i="3" a="1"/>
  <c r="AI1715" i="3" a="1"/>
  <c r="AA723" i="3"/>
  <c r="AK464" i="3" a="1"/>
  <c r="AK2016" i="3" a="1"/>
  <c r="AK2081" i="3" a="1"/>
  <c r="AK1458" i="3" a="1"/>
  <c r="AI2127" i="3" a="1"/>
  <c r="AK581" i="3" a="1"/>
  <c r="AI1193" i="3" a="1"/>
  <c r="AI1777" i="3" a="1"/>
  <c r="AA1164" i="3"/>
  <c r="AI225" i="3" a="1"/>
  <c r="AK754" i="3" a="1"/>
  <c r="AI1627" i="3" a="1"/>
  <c r="AI2059" i="3" a="1"/>
  <c r="AI573" i="3" a="1"/>
  <c r="AK1582" i="3" a="1"/>
  <c r="AK788" i="3" a="1"/>
  <c r="AI160" i="3" a="1"/>
  <c r="AI1725" i="3" a="1"/>
  <c r="AK1905" i="3" a="1"/>
  <c r="AI159" i="3" a="1"/>
  <c r="AK286" i="3" a="1"/>
  <c r="AI1644" i="3" a="1"/>
  <c r="AK227" i="3" a="1"/>
  <c r="AK185" i="3" a="1"/>
  <c r="AI1634" i="3" a="1"/>
  <c r="AK662" i="3" a="1"/>
  <c r="AI384" i="3" a="1"/>
  <c r="AK82" i="3" a="1"/>
  <c r="AK81" i="3" a="1"/>
  <c r="AI1667" i="3" a="1"/>
  <c r="AI1923" i="3" a="1"/>
  <c r="AK773" i="3" a="1"/>
  <c r="AA59" i="3"/>
  <c r="AA63" i="3"/>
  <c r="AK1045" i="3" a="1"/>
  <c r="AK2114" i="3" a="1"/>
  <c r="AA830" i="3"/>
  <c r="AK220" i="3" a="1"/>
  <c r="AI1892" i="3" a="1"/>
  <c r="T920" i="4" a="1"/>
  <c r="T681" i="4" a="1"/>
  <c r="T654" i="4" a="1"/>
  <c r="T576" i="4" a="1"/>
  <c r="T225" i="4" a="1"/>
  <c r="T436" i="4" a="1"/>
  <c r="T648" i="4" a="1"/>
  <c r="T73" i="4" a="1"/>
  <c r="T478" i="4" a="1"/>
  <c r="T585" i="4" a="1"/>
  <c r="T53" i="4" a="1"/>
  <c r="T252" i="4" a="1"/>
  <c r="T319" i="4" a="1"/>
  <c r="T255" i="4" a="1"/>
  <c r="AA2072" i="3"/>
  <c r="AA799" i="3"/>
  <c r="AA2014" i="3"/>
  <c r="AA973" i="3"/>
  <c r="AA1987" i="3"/>
  <c r="AA1643" i="3"/>
  <c r="AA1639" i="3"/>
  <c r="AA308" i="3"/>
  <c r="AA555" i="3"/>
  <c r="AA746" i="3"/>
  <c r="AA141" i="3"/>
  <c r="AA651" i="3"/>
  <c r="T900" i="4" a="1"/>
  <c r="T675" i="4" a="1"/>
  <c r="T652" i="4" a="1"/>
  <c r="T567" i="4" a="1"/>
  <c r="T219" i="4" a="1"/>
  <c r="T407" i="4" a="1"/>
  <c r="T602" i="4" a="1"/>
  <c r="T68" i="4" a="1"/>
  <c r="T432" i="4" a="1"/>
  <c r="T564" i="4" a="1"/>
  <c r="T45" i="4" a="1"/>
  <c r="T247" i="4" a="1"/>
  <c r="T283" i="4" a="1"/>
  <c r="T191" i="4" a="1"/>
  <c r="AA249" i="3"/>
  <c r="AA1955" i="3"/>
  <c r="AA208" i="3"/>
  <c r="AA1674" i="3"/>
  <c r="AA449" i="3"/>
  <c r="AA1636" i="3"/>
  <c r="AA1653" i="3"/>
  <c r="AA1582" i="3"/>
  <c r="AA735" i="3"/>
  <c r="AA525" i="3"/>
  <c r="AA149" i="3"/>
  <c r="AA644" i="3"/>
  <c r="T910" i="4" a="1"/>
  <c r="T645" i="4" a="1"/>
  <c r="T813" i="4" a="1"/>
  <c r="T425" i="4" a="1"/>
  <c r="T766" i="4" a="1"/>
  <c r="T800" i="4" a="1"/>
  <c r="T553" i="4" a="1"/>
  <c r="T55" i="4" a="1"/>
  <c r="T331" i="4" a="1"/>
  <c r="T467" i="4" a="1"/>
  <c r="T811" i="4" a="1"/>
  <c r="T40" i="4" a="1"/>
  <c r="T400" i="4" a="1"/>
  <c r="T64" i="4" a="1"/>
  <c r="AA1928" i="3"/>
  <c r="AA1942" i="3"/>
  <c r="AA260" i="3"/>
  <c r="AA1853" i="3"/>
  <c r="AA1672" i="3"/>
  <c r="AA957" i="3"/>
  <c r="AA354" i="3"/>
  <c r="AA1679" i="3"/>
  <c r="AA537" i="3"/>
  <c r="AA752" i="3"/>
  <c r="AA148" i="3"/>
  <c r="AA603" i="3"/>
  <c r="T819" i="4" a="1"/>
  <c r="T802" i="4" a="1"/>
  <c r="T680" i="4" a="1"/>
  <c r="T196" i="4" a="1"/>
  <c r="T695" i="4" a="1"/>
  <c r="T598" i="4" a="1"/>
  <c r="T482" i="4" a="1"/>
  <c r="T38" i="4" a="1"/>
  <c r="T666" i="4" a="1"/>
  <c r="T392" i="4" a="1"/>
  <c r="T554" i="4" a="1"/>
  <c r="T393" i="4" a="1"/>
  <c r="T418" i="4" a="1"/>
  <c r="T503" i="4" a="1"/>
  <c r="AA2063" i="3"/>
  <c r="AA792" i="3"/>
  <c r="AA1563" i="3"/>
  <c r="AA1651" i="3"/>
  <c r="AA1318" i="3"/>
  <c r="AA821" i="3"/>
  <c r="AA2138" i="3"/>
  <c r="AA1827" i="3"/>
  <c r="AA288" i="3"/>
  <c r="AA280" i="3"/>
  <c r="AA143" i="3"/>
  <c r="AA1461" i="3"/>
  <c r="U701" i="4" a="1"/>
  <c r="U471" i="4" a="1"/>
  <c r="U73" i="4" a="1"/>
  <c r="U237" i="4" a="1"/>
  <c r="U374" i="4" a="1"/>
  <c r="U160" i="4" a="1"/>
  <c r="U329" i="4" a="1"/>
  <c r="U170" i="4" a="1"/>
  <c r="U800" i="4" a="1"/>
  <c r="U256" i="4" a="1"/>
  <c r="U514" i="4" a="1"/>
  <c r="U247" i="4" a="1"/>
  <c r="U653" i="4" a="1"/>
  <c r="U528" i="4" a="1"/>
  <c r="U169" i="4" a="1"/>
  <c r="AA1310" i="3"/>
  <c r="AI1699" i="3" a="1"/>
  <c r="AK2269" i="3" a="1"/>
  <c r="AK807" i="3" a="1"/>
  <c r="U783" i="4" a="1"/>
  <c r="U179" i="4" a="1"/>
  <c r="U11" i="4" a="1"/>
  <c r="U350" i="4" a="1"/>
  <c r="U636" i="4" a="1"/>
  <c r="U580" i="4" a="1"/>
  <c r="U305" i="4" a="1"/>
  <c r="U630" i="4" a="1"/>
  <c r="U762" i="4" a="1"/>
  <c r="U574" i="4" a="1"/>
  <c r="U652" i="4" a="1"/>
  <c r="U813" i="4" a="1"/>
  <c r="U694" i="4" a="1"/>
  <c r="AA1369" i="3"/>
  <c r="AA768" i="3"/>
  <c r="AI742" i="3" a="1"/>
  <c r="AI536" i="3" a="1"/>
  <c r="U796" i="4" a="1"/>
  <c r="U159" i="4" a="1"/>
  <c r="U104" i="4" a="1"/>
  <c r="U118" i="4" a="1"/>
  <c r="U671" i="4" a="1"/>
  <c r="U864" i="4" a="1"/>
  <c r="U184" i="4" a="1"/>
  <c r="U347" i="4" a="1"/>
  <c r="U456" i="4" a="1"/>
  <c r="U377" i="4" a="1"/>
  <c r="U372" i="4" a="1"/>
  <c r="U629" i="4" a="1"/>
  <c r="U279" i="4" a="1"/>
  <c r="U241" i="4" a="1"/>
  <c r="U658" i="4" a="1"/>
  <c r="AI621" i="3" a="1"/>
  <c r="AA817" i="3"/>
  <c r="AI1950" i="3" a="1"/>
  <c r="U871" i="4" a="1"/>
  <c r="U140" i="4" a="1"/>
  <c r="U810" i="4" a="1"/>
  <c r="U25" i="4" a="1"/>
  <c r="U180" i="4" a="1"/>
  <c r="U557" i="4" a="1"/>
  <c r="U131" i="4" a="1"/>
  <c r="U294" i="4" a="1"/>
  <c r="U788" i="4" a="1"/>
  <c r="U208" i="4" a="1"/>
  <c r="U210" i="4" a="1"/>
  <c r="U220" i="4" a="1"/>
  <c r="U895" i="4" a="1"/>
  <c r="U18" i="4" a="1"/>
  <c r="U631" i="4" a="1"/>
  <c r="AK512" i="3" a="1"/>
  <c r="AK145" i="3" a="1"/>
  <c r="AI1606" i="3" a="1"/>
  <c r="AI451" i="3" a="1"/>
  <c r="AI1614" i="3" a="1"/>
  <c r="AK2086" i="3" a="1"/>
  <c r="AA1333" i="3"/>
  <c r="AA984" i="3"/>
  <c r="AI1915" i="3" a="1"/>
  <c r="AK614" i="3" a="1"/>
  <c r="AK1862" i="3" a="1"/>
  <c r="AA971" i="3"/>
  <c r="AK1958" i="3" a="1"/>
  <c r="AK954" i="3" a="1"/>
  <c r="AK529" i="3" a="1"/>
  <c r="AK1001" i="3" a="1"/>
  <c r="AK2028" i="3" a="1"/>
  <c r="AI957" i="3" a="1"/>
  <c r="AI537" i="3" a="1"/>
  <c r="AA1883" i="3"/>
  <c r="AA2144" i="3"/>
  <c r="AI1682" i="3" a="1"/>
  <c r="AA914" i="3"/>
  <c r="AK463" i="3" a="1"/>
  <c r="AK228" i="3" a="1"/>
  <c r="AI784" i="3" a="1"/>
  <c r="AK1711" i="3" a="1"/>
  <c r="AA1152" i="3"/>
  <c r="AI1705" i="3" a="1"/>
  <c r="AA191" i="3"/>
  <c r="AK608" i="3" a="1"/>
  <c r="AA1997" i="3"/>
  <c r="AI2156" i="3" a="1"/>
  <c r="AA963" i="3"/>
  <c r="AI526" i="3" a="1"/>
  <c r="AI1574" i="3" a="1"/>
  <c r="AK735" i="3" a="1"/>
  <c r="AI1603" i="3" a="1"/>
  <c r="AI1919" i="3" a="1"/>
  <c r="AK593" i="3" a="1"/>
  <c r="AA2255" i="3"/>
  <c r="AI1791" i="3" a="1"/>
  <c r="AK153" i="3" a="1"/>
  <c r="AK1586" i="3" a="1"/>
  <c r="AI2077" i="3" a="1"/>
  <c r="AK282" i="3" a="1"/>
  <c r="AI246" i="3" a="1"/>
  <c r="AA2281" i="3"/>
  <c r="AK329" i="3" a="1"/>
  <c r="AK1559" i="3" a="1"/>
  <c r="AI644" i="3" a="1"/>
  <c r="AI1960" i="3" a="1"/>
  <c r="AK782" i="3" a="1"/>
  <c r="AI2135" i="3" a="1"/>
  <c r="AI560" i="3" a="1"/>
  <c r="AI318" i="3" a="1"/>
  <c r="AI1714" i="3" a="1"/>
  <c r="AI1932" i="3" a="1"/>
  <c r="AI628" i="3" a="1"/>
  <c r="AI1914" i="3" a="1"/>
  <c r="AI799" i="3" a="1"/>
  <c r="AA1178" i="3"/>
  <c r="AA1358" i="3"/>
  <c r="AK1440" i="3" a="1"/>
  <c r="AK740" i="3" a="1"/>
  <c r="AK749" i="3" a="1"/>
  <c r="AK1657" i="3" a="1"/>
  <c r="AI1607" i="3" a="1"/>
  <c r="AI468" i="3" a="1"/>
  <c r="AI1911" i="3" a="1"/>
  <c r="AA2146" i="3"/>
  <c r="AA849" i="3"/>
  <c r="AA2188" i="3"/>
  <c r="AI510" i="3" a="1"/>
  <c r="AK1850" i="3" a="1"/>
  <c r="AK615" i="3" a="1"/>
  <c r="AK314" i="3" a="1"/>
  <c r="AI1319" i="3" a="1"/>
  <c r="AA1417" i="3"/>
  <c r="AK825" i="3" a="1"/>
  <c r="AA1430" i="3"/>
  <c r="AK1640" i="3" a="1"/>
  <c r="AI781" i="3" a="1"/>
  <c r="T799" i="4" a="1"/>
  <c r="T657" i="4" a="1"/>
  <c r="T824" i="4" a="1"/>
  <c r="T448" i="4" a="1"/>
  <c r="T841" i="4" a="1"/>
  <c r="T848" i="4" a="1"/>
  <c r="T566" i="4" a="1"/>
  <c r="T61" i="4" a="1"/>
  <c r="T378" i="4" a="1"/>
  <c r="T529" i="4" a="1"/>
  <c r="T5" i="4" a="1"/>
  <c r="T198" i="4" a="1"/>
  <c r="T607" i="4" a="1"/>
  <c r="T325" i="4" a="1"/>
  <c r="AA250" i="3"/>
  <c r="AA1948" i="3"/>
  <c r="AA262" i="3"/>
  <c r="AA223" i="3"/>
  <c r="AA1634" i="3"/>
  <c r="AA1608" i="3"/>
  <c r="AA1709" i="3"/>
  <c r="AA1641" i="3"/>
  <c r="AA282" i="3"/>
  <c r="AA514" i="3"/>
  <c r="AA547" i="3"/>
  <c r="AA615" i="3"/>
  <c r="T913" i="4" a="1"/>
  <c r="T651" i="4" a="1"/>
  <c r="T815" i="4" a="1"/>
  <c r="T437" i="4" a="1"/>
  <c r="T805" i="4" a="1"/>
  <c r="T843" i="4" a="1"/>
  <c r="T563" i="4" a="1"/>
  <c r="T56" i="4" a="1"/>
  <c r="T367" i="4" a="1"/>
  <c r="T501" i="4" a="1"/>
  <c r="T862" i="4" a="1"/>
  <c r="T94" i="4" a="1"/>
  <c r="T455" i="4" a="1"/>
  <c r="T172" i="4" a="1"/>
  <c r="AA2023" i="3"/>
  <c r="AA1946" i="3"/>
  <c r="AA1798" i="3"/>
  <c r="AA1844" i="3"/>
  <c r="AA1644" i="3"/>
  <c r="AA1601" i="3"/>
  <c r="AA1725" i="3"/>
  <c r="AA1664" i="3"/>
  <c r="AA597" i="3"/>
  <c r="AA983" i="3"/>
  <c r="AA563" i="3"/>
  <c r="AA609" i="3"/>
  <c r="T829" i="4" a="1"/>
  <c r="T814" i="4" a="1"/>
  <c r="T698" i="4" a="1"/>
  <c r="T377" i="4" a="1"/>
  <c r="T707" i="4" a="1"/>
  <c r="T634" i="4" a="1"/>
  <c r="T493" i="4" a="1"/>
  <c r="T43" i="4" a="1"/>
  <c r="T731" i="4" a="1"/>
  <c r="T402" i="4" a="1"/>
  <c r="T574" i="4" a="1"/>
  <c r="T423" i="4" a="1"/>
  <c r="T508" i="4" a="1"/>
  <c r="T18" i="4" a="1"/>
  <c r="AA1923" i="3"/>
  <c r="AA796" i="3"/>
  <c r="AA1440" i="3"/>
  <c r="AA1606" i="3"/>
  <c r="AA111" i="3"/>
  <c r="AA1203" i="3"/>
  <c r="AA1855" i="3"/>
  <c r="AA1904" i="3"/>
  <c r="AA538" i="3"/>
  <c r="AA625" i="3"/>
  <c r="AA81" i="3"/>
  <c r="AA576" i="3"/>
  <c r="T806" i="4" a="1"/>
  <c r="T768" i="4" a="1"/>
  <c r="T642" i="4" a="1"/>
  <c r="T174" i="4" a="1"/>
  <c r="T644" i="4" a="1"/>
  <c r="T464" i="4" a="1"/>
  <c r="T440" i="4" a="1"/>
  <c r="T887" i="4" a="1"/>
  <c r="T581" i="4" a="1"/>
  <c r="T349" i="4" a="1"/>
  <c r="T592" i="4" a="1"/>
  <c r="T205" i="4" a="1"/>
  <c r="T166" i="4" a="1"/>
  <c r="T504" i="4" a="1"/>
  <c r="AA2059" i="3"/>
  <c r="AA1937" i="3"/>
  <c r="AA1593" i="3"/>
  <c r="AA398" i="3"/>
  <c r="AA1611" i="3"/>
  <c r="AA953" i="3"/>
  <c r="AA1707" i="3"/>
  <c r="AA238" i="3"/>
  <c r="AA611" i="3"/>
  <c r="AA153" i="3"/>
  <c r="AA565" i="3"/>
  <c r="AA643" i="3"/>
  <c r="U455" i="4" a="1"/>
  <c r="U84" i="4" a="1"/>
  <c r="U738" i="4" a="1"/>
  <c r="U404" i="4" a="1"/>
  <c r="U49" i="4" a="1"/>
  <c r="U549" i="4" a="1"/>
  <c r="U167" i="4" a="1"/>
  <c r="U746" i="4" a="1"/>
  <c r="U36" i="4" a="1"/>
  <c r="U60" i="4" a="1"/>
  <c r="U618" i="4" a="1"/>
  <c r="U479" i="4" a="1"/>
  <c r="U667" i="4" a="1"/>
  <c r="U446" i="4" a="1"/>
  <c r="U430" i="4" a="1"/>
  <c r="AI595" i="3" a="1"/>
  <c r="AI1325" i="3" a="1"/>
  <c r="AI2283" i="3" a="1"/>
  <c r="AI787" i="3" a="1"/>
  <c r="U339" i="4" a="1"/>
  <c r="U757" i="4" a="1"/>
  <c r="U919" i="4" a="1"/>
  <c r="U42" i="4" a="1"/>
  <c r="U850" i="4" a="1"/>
  <c r="U136" i="4" a="1"/>
  <c r="U659" i="4" a="1"/>
  <c r="U317" i="4" a="1"/>
  <c r="U645" i="4" a="1"/>
  <c r="U424" i="4" a="1"/>
  <c r="U775" i="4" a="1"/>
  <c r="U616" i="4" a="1"/>
  <c r="U401" i="4" a="1"/>
  <c r="AK656" i="3" a="1"/>
  <c r="AA1197" i="3"/>
  <c r="AI253" i="3" a="1"/>
  <c r="AI1913" i="3" a="1"/>
  <c r="U729" i="4" a="1"/>
  <c r="U106" i="4" a="1"/>
  <c r="U827" i="4" a="1"/>
  <c r="U380" i="4" a="1"/>
  <c r="U414" i="4" a="1"/>
  <c r="U278" i="4" a="1"/>
  <c r="U392" i="4" a="1"/>
  <c r="U501" i="4" a="1"/>
  <c r="U449" i="4" a="1"/>
  <c r="U903" i="4" a="1"/>
  <c r="U496" i="4" a="1"/>
  <c r="U138" i="4" a="1"/>
  <c r="U741" i="4" a="1"/>
  <c r="U492" i="4" a="1"/>
  <c r="U693" i="4" a="1"/>
  <c r="AK531" i="3" a="1"/>
  <c r="AI1616" i="3" a="1"/>
  <c r="AI2233" i="3" a="1"/>
  <c r="U672" i="4" a="1"/>
  <c r="U162" i="4" a="1"/>
  <c r="U600" i="4" a="1"/>
  <c r="U804" i="4" a="1"/>
  <c r="U624" i="4" a="1"/>
  <c r="U835" i="4" a="1"/>
  <c r="U10" i="4" a="1"/>
  <c r="U663" i="4" a="1"/>
  <c r="U22" i="4" a="1"/>
  <c r="U364" i="4" a="1"/>
  <c r="U431" i="4" a="1"/>
  <c r="U355" i="4" a="1"/>
  <c r="U855" i="4" a="1"/>
  <c r="U187" i="4" a="1"/>
  <c r="U623" i="4" a="1"/>
  <c r="AI1693" i="3" a="1"/>
  <c r="AA1195" i="3"/>
  <c r="AI973" i="3" a="1"/>
  <c r="AI2250" i="3" a="1"/>
  <c r="AI2245" i="3" a="1"/>
  <c r="AA2080" i="3"/>
  <c r="AA1075" i="3"/>
  <c r="AI1613" i="3" a="1"/>
  <c r="AA2021" i="3"/>
  <c r="AI589" i="3" a="1"/>
  <c r="AI1662" i="3" a="1"/>
  <c r="AK1566" i="3" a="1"/>
  <c r="AA1173" i="3"/>
  <c r="AI1890" i="3" a="1"/>
  <c r="AI625" i="3" a="1"/>
  <c r="AI752" i="3" a="1"/>
  <c r="AK1611" i="3" a="1"/>
  <c r="AI230" i="3" a="1"/>
  <c r="AI195" i="3" a="1"/>
  <c r="AI1637" i="3" a="1"/>
  <c r="AI196" i="3" a="1"/>
  <c r="AK2237" i="3" a="1"/>
  <c r="AA916" i="3"/>
  <c r="AK569" i="3" a="1"/>
  <c r="AA2065" i="3"/>
  <c r="AK244" i="3" a="1"/>
  <c r="AI869" i="3" a="1"/>
  <c r="AI1593" i="3" a="1"/>
  <c r="AK1975" i="3" a="1"/>
  <c r="AK570" i="3" a="1"/>
  <c r="AK317" i="3" a="1"/>
  <c r="AK1684" i="3" a="1"/>
  <c r="AI795" i="3" a="1"/>
  <c r="AA2164" i="3"/>
  <c r="AK996" i="3" a="1"/>
  <c r="AK1685" i="3" a="1"/>
  <c r="AK1203" i="3" a="1"/>
  <c r="AI2207" i="3" a="1"/>
  <c r="AI2239" i="3" a="1"/>
  <c r="AA273" i="3"/>
  <c r="AA823" i="3"/>
  <c r="AK1939" i="3" a="1"/>
  <c r="AK577" i="3" a="1"/>
  <c r="AK1634" i="3" a="1"/>
  <c r="AI1947" i="3" a="1"/>
  <c r="AK659" i="3" a="1"/>
  <c r="AA2005" i="3"/>
  <c r="AI1936" i="3" a="1"/>
  <c r="AI311" i="3" a="1"/>
  <c r="AK860" i="3" a="1"/>
  <c r="AI554" i="3" a="1"/>
  <c r="AK1733" i="3" a="1"/>
  <c r="AK798" i="3" a="1"/>
  <c r="AK1741" i="3" a="1"/>
  <c r="AI1283" i="3" a="1"/>
  <c r="AA182" i="3"/>
  <c r="AI1819" i="3" a="1"/>
  <c r="AI304" i="3" a="1"/>
  <c r="AI1460" i="3" a="1"/>
  <c r="AK1662" i="3" a="1"/>
  <c r="AK2116" i="3" a="1"/>
  <c r="AK565" i="3" a="1"/>
  <c r="AK97" i="3" a="1"/>
  <c r="AI243" i="3" a="1"/>
  <c r="AI519" i="3" a="1"/>
  <c r="AI750" i="3" a="1"/>
  <c r="AI1665" i="3" a="1"/>
  <c r="AI756" i="3" a="1"/>
  <c r="AK1434" i="3" a="1"/>
  <c r="AA840" i="3"/>
  <c r="AK249" i="3" a="1"/>
  <c r="AA1400" i="3"/>
  <c r="AK776" i="3" a="1"/>
  <c r="AI360" i="3" a="1"/>
  <c r="AK2020" i="3" a="1"/>
  <c r="AI598" i="3" a="1"/>
  <c r="AI764" i="3" a="1"/>
  <c r="AI1820" i="3" a="1"/>
  <c r="AK1654" i="3" a="1"/>
  <c r="AI346" i="3" a="1"/>
  <c r="AA1246" i="3"/>
  <c r="AK2241" i="3" a="1"/>
  <c r="AK1955" i="3" a="1"/>
  <c r="T902" i="4" a="1"/>
  <c r="T825" i="4" a="1"/>
  <c r="T727" i="4" a="1"/>
  <c r="T401" i="4" a="1"/>
  <c r="T754" i="4" a="1"/>
  <c r="T674" i="4" a="1"/>
  <c r="T533" i="4" a="1"/>
  <c r="T49" i="4" a="1"/>
  <c r="T823" i="4" a="1"/>
  <c r="T412" i="4" a="1"/>
  <c r="T689" i="4" a="1"/>
  <c r="T774" i="4" a="1"/>
  <c r="T254" i="4" a="1"/>
  <c r="T337" i="4" a="1"/>
  <c r="AA1980" i="3"/>
  <c r="AA1936" i="3"/>
  <c r="AA1902" i="3"/>
  <c r="AA1680" i="3"/>
  <c r="AA1817" i="3"/>
  <c r="AA1581" i="3"/>
  <c r="AA1913" i="3"/>
  <c r="AA1712" i="3"/>
  <c r="AA590" i="3"/>
  <c r="AA371" i="3"/>
  <c r="AA529" i="3"/>
  <c r="AA589" i="3"/>
  <c r="T891" i="4" a="1"/>
  <c r="T821" i="4" a="1"/>
  <c r="T713" i="4" a="1"/>
  <c r="T389" i="4" a="1"/>
  <c r="T732" i="4" a="1"/>
  <c r="T659" i="4" a="1"/>
  <c r="T495" i="4" a="1"/>
  <c r="T44" i="4" a="1"/>
  <c r="T757" i="4" a="1"/>
  <c r="T409" i="4" a="1"/>
  <c r="T616" i="4" a="1"/>
  <c r="T656" i="4" a="1"/>
  <c r="T610" i="4" a="1"/>
  <c r="T223" i="4" a="1"/>
  <c r="AA2024" i="3"/>
  <c r="AA1935" i="3"/>
  <c r="AA1591" i="3"/>
  <c r="AA2205" i="3"/>
  <c r="AA2135" i="3"/>
  <c r="AA309" i="3"/>
  <c r="AA1960" i="3"/>
  <c r="AA1728" i="3"/>
  <c r="AA617" i="3"/>
  <c r="AA135" i="3"/>
  <c r="AA564" i="3"/>
  <c r="AA582" i="3"/>
  <c r="T807" i="4" a="1"/>
  <c r="T781" i="4" a="1"/>
  <c r="T649" i="4" a="1"/>
  <c r="T180" i="4" a="1"/>
  <c r="T662" i="4" a="1"/>
  <c r="T465" i="4" a="1"/>
  <c r="T450" i="4" a="1"/>
  <c r="T888" i="4" a="1"/>
  <c r="T603" i="4" a="1"/>
  <c r="T372" i="4" a="1"/>
  <c r="T728" i="4" a="1"/>
  <c r="T211" i="4" a="1"/>
  <c r="T171" i="4" a="1"/>
  <c r="T643" i="4" a="1"/>
  <c r="AA2098" i="3"/>
  <c r="AA777" i="3"/>
  <c r="AA1596" i="3"/>
  <c r="AA2046" i="3"/>
  <c r="AA1586" i="3"/>
  <c r="AA1323" i="3"/>
  <c r="AA1562" i="3"/>
  <c r="AA1963" i="3"/>
  <c r="AA124" i="3"/>
  <c r="AA645" i="3"/>
  <c r="AA552" i="3"/>
  <c r="AA650" i="3"/>
  <c r="T718" i="4" a="1"/>
  <c r="T833" i="4" a="1"/>
  <c r="T517" i="4" a="1"/>
  <c r="T150" i="4" a="1"/>
  <c r="T599" i="4" a="1"/>
  <c r="T421" i="4" a="1"/>
  <c r="T261" i="4" a="1"/>
  <c r="T708" i="4" a="1"/>
  <c r="T461" i="4" a="1"/>
  <c r="T232" i="4" a="1"/>
  <c r="T422" i="4" a="1"/>
  <c r="T135" i="4" a="1"/>
  <c r="T385" i="4" a="1"/>
  <c r="T112" i="4" a="1"/>
  <c r="AA104" i="3"/>
  <c r="AA790" i="3"/>
  <c r="AA1597" i="3"/>
  <c r="AA1681" i="3"/>
  <c r="AA239" i="3"/>
  <c r="AA2082" i="3"/>
  <c r="AA408" i="3"/>
  <c r="AA332" i="3"/>
  <c r="AA147" i="3"/>
  <c r="AA334" i="3"/>
  <c r="AA531" i="3"/>
  <c r="AA608" i="3"/>
  <c r="U76" i="4" a="1"/>
  <c r="U425" i="4" a="1"/>
  <c r="U892" i="4" a="1"/>
  <c r="U353" i="4" a="1"/>
  <c r="U280" i="4" a="1"/>
  <c r="U283" i="4" a="1"/>
  <c r="U708" i="4" a="1"/>
  <c r="U467" i="4" a="1"/>
  <c r="U215" i="4" a="1"/>
  <c r="U683" i="4" a="1"/>
  <c r="U335" i="4" a="1"/>
  <c r="U862" i="4" a="1"/>
  <c r="U750" i="4" a="1"/>
  <c r="U188" i="4" a="1"/>
  <c r="U661" i="4" a="1"/>
  <c r="AI1461" i="3" a="1"/>
  <c r="AI309" i="3" a="1"/>
  <c r="AK2027" i="3" a="1"/>
  <c r="AK155" i="3" a="1"/>
  <c r="U704" i="4" a="1"/>
  <c r="U176" i="4" a="1"/>
  <c r="U453" i="4" a="1"/>
  <c r="U821" i="4" a="1"/>
  <c r="U920" i="4" a="1"/>
  <c r="U627" i="4" a="1"/>
  <c r="U219" i="4" a="1"/>
  <c r="U64" i="4" a="1"/>
  <c r="U718" i="4" a="1"/>
  <c r="U426" i="4" a="1"/>
  <c r="U904" i="4" a="1"/>
  <c r="U44" i="4" a="1"/>
  <c r="U654" i="4" a="1"/>
  <c r="AK567" i="3" a="1"/>
  <c r="AI1605" i="3" a="1"/>
  <c r="AK1719" i="3" a="1"/>
  <c r="AI1059" i="3" a="1"/>
  <c r="U306" i="4" a="1"/>
  <c r="U148" i="4" a="1"/>
  <c r="U748" i="4" a="1"/>
  <c r="U531" i="4" a="1"/>
  <c r="U107" i="4" a="1"/>
  <c r="U874" i="4" a="1"/>
  <c r="U388" i="4" a="1"/>
  <c r="U406" i="4" a="1"/>
  <c r="U233" i="4" a="1"/>
  <c r="U829" i="4" a="1"/>
  <c r="U777" i="4" a="1"/>
  <c r="U321" i="4" a="1"/>
  <c r="U743" i="4" a="1"/>
  <c r="U356" i="4" a="1"/>
  <c r="U911" i="4" a="1"/>
  <c r="AK741" i="3" a="1"/>
  <c r="AI2082" i="3" a="1"/>
  <c r="AA344" i="3"/>
  <c r="U715" i="4" a="1"/>
  <c r="U897" i="4" a="1"/>
  <c r="U341" i="4" a="1"/>
  <c r="U123" i="4" a="1"/>
  <c r="U141" i="4" a="1"/>
  <c r="U825" i="4" a="1"/>
  <c r="U217" i="4" a="1"/>
  <c r="U299" i="4" a="1"/>
  <c r="U94" i="4" a="1"/>
  <c r="U465" i="4" a="1"/>
  <c r="U225" i="4" a="1"/>
  <c r="U265" i="4" a="1"/>
  <c r="U439" i="4" a="1"/>
  <c r="U194" i="4" a="1"/>
  <c r="U534" i="4" a="1"/>
  <c r="AK1602" i="3" a="1"/>
  <c r="AI213" i="3" a="1"/>
  <c r="AK1993" i="3" a="1"/>
  <c r="AI1980" i="3" a="1"/>
  <c r="AI1697" i="3" a="1"/>
  <c r="AA1098" i="3"/>
  <c r="AA1071" i="3"/>
  <c r="AI1696" i="3" a="1"/>
  <c r="AA1394" i="3"/>
  <c r="AA1449" i="3"/>
  <c r="AA1413" i="3"/>
  <c r="AK1799" i="3" a="1"/>
  <c r="AA1175" i="3"/>
  <c r="AI1441" i="3" a="1"/>
  <c r="AK288" i="3" a="1"/>
  <c r="AI158" i="3" a="1"/>
  <c r="AK1644" i="3" a="1"/>
  <c r="AA730" i="3"/>
  <c r="AI513" i="3" a="1"/>
  <c r="AI1438" i="3" a="1"/>
  <c r="AI143" i="3" a="1"/>
  <c r="AA972" i="3"/>
  <c r="AI2063" i="3" a="1"/>
  <c r="AK514" i="3" a="1"/>
  <c r="AK274" i="3" a="1"/>
  <c r="AA254" i="3"/>
  <c r="AA203" i="3"/>
  <c r="AI260" i="3" a="1"/>
  <c r="AK1697" i="3" a="1"/>
  <c r="AA1096" i="3"/>
  <c r="AI302" i="3" a="1"/>
  <c r="AK110" i="3" a="1"/>
  <c r="AI1959" i="3" a="1"/>
  <c r="AI1779" i="3" a="1"/>
  <c r="AA724" i="3"/>
  <c r="AI958" i="3" a="1"/>
  <c r="AK112" i="3" a="1"/>
  <c r="AK1562" i="3" a="1"/>
  <c r="AI250" i="3" a="1"/>
  <c r="AI661" i="3" a="1"/>
  <c r="AI1577" i="3" a="1"/>
  <c r="AK2235" i="3" a="1"/>
  <c r="AI185" i="3" a="1"/>
  <c r="AK1911" i="3" a="1"/>
  <c r="AI249" i="3" a="1"/>
  <c r="AI523" i="3" a="1"/>
  <c r="AI223" i="3" a="1"/>
  <c r="AI2052" i="3" a="1"/>
  <c r="AI238" i="3" a="1"/>
  <c r="AI1277" i="3" a="1"/>
  <c r="AI641" i="3" a="1"/>
  <c r="AK1652" i="3" a="1"/>
  <c r="AK1956" i="3" a="1"/>
  <c r="AI1837" i="3" a="1"/>
  <c r="AK951" i="3" a="1"/>
  <c r="AI142" i="3" a="1"/>
  <c r="AI1731" i="3" a="1"/>
  <c r="AA738" i="3"/>
  <c r="AI999" i="3" a="1"/>
  <c r="AI663" i="3" a="1"/>
  <c r="AK1976" i="3" a="1"/>
  <c r="AI619" i="3" a="1"/>
  <c r="AK1580" i="3" a="1"/>
  <c r="AI1534" i="3" a="1"/>
  <c r="AK637" i="3" a="1"/>
  <c r="AI751" i="3" a="1"/>
  <c r="AI207" i="3" a="1"/>
  <c r="AK613" i="3" a="1"/>
  <c r="AI1894" i="3" a="1"/>
  <c r="AI1853" i="3" a="1"/>
  <c r="AI655" i="3" a="1"/>
  <c r="AK2138" i="3" a="1"/>
  <c r="AK1951" i="3" a="1"/>
  <c r="AK322" i="3" a="1"/>
  <c r="AK1909" i="3" a="1"/>
  <c r="AI154" i="3" a="1"/>
  <c r="AI469" i="3" a="1"/>
  <c r="AI1592" i="3" a="1"/>
  <c r="AI2060" i="3" a="1"/>
  <c r="AK2089" i="3" a="1"/>
  <c r="AK1013" i="3" a="1"/>
  <c r="AI1707" i="3" a="1"/>
  <c r="AK1857" i="3" a="1"/>
  <c r="T818" i="4" a="1"/>
  <c r="T794" i="4" a="1"/>
  <c r="T658" i="4" a="1"/>
  <c r="T192" i="4" a="1"/>
  <c r="T688" i="4" a="1"/>
  <c r="T544" i="4" a="1"/>
  <c r="T477" i="4" a="1"/>
  <c r="T37" i="4" a="1"/>
  <c r="T614" i="4" a="1"/>
  <c r="T383" i="4" a="1"/>
  <c r="T483" i="4" a="1"/>
  <c r="T270" i="4" a="1"/>
  <c r="T395" i="4" a="1"/>
  <c r="T499" i="4" a="1"/>
  <c r="AA1978" i="3"/>
  <c r="AA788" i="3"/>
  <c r="AA346" i="3"/>
  <c r="AA1713" i="3"/>
  <c r="AA1319" i="3"/>
  <c r="AA868" i="3"/>
  <c r="AA1917" i="3"/>
  <c r="AA213" i="3"/>
  <c r="AA1301" i="3"/>
  <c r="AA569" i="3"/>
  <c r="AA517" i="3"/>
  <c r="AA664" i="3"/>
  <c r="T817" i="4" a="1"/>
  <c r="T790" i="4" a="1"/>
  <c r="T655" i="4" a="1"/>
  <c r="T186" i="4" a="1"/>
  <c r="T672" i="4" a="1"/>
  <c r="T490" i="4" a="1"/>
  <c r="T456" i="4" a="1"/>
  <c r="T32" i="4" a="1"/>
  <c r="T609" i="4" a="1"/>
  <c r="T381" i="4" a="1"/>
  <c r="T839" i="4" a="1"/>
  <c r="T239" i="4" a="1"/>
  <c r="T267" i="4" a="1"/>
  <c r="T222" i="4" a="1"/>
  <c r="AA2092" i="3"/>
  <c r="AA781" i="3"/>
  <c r="AA1599" i="3"/>
  <c r="AA1559" i="3"/>
  <c r="AA274" i="3"/>
  <c r="AA447" i="3"/>
  <c r="AA1577" i="3"/>
  <c r="AA1190" i="3"/>
  <c r="AA329" i="3"/>
  <c r="AA618" i="3"/>
  <c r="AA530" i="3"/>
  <c r="AA655" i="3"/>
  <c r="T724" i="4" a="1"/>
  <c r="T846" i="4" a="1"/>
  <c r="T523" i="4" a="1"/>
  <c r="T156" i="4" a="1"/>
  <c r="T601" i="4" a="1"/>
  <c r="T424" i="4" a="1"/>
  <c r="T391" i="4" a="1"/>
  <c r="T772" i="4" a="1"/>
  <c r="T496" i="4" a="1"/>
  <c r="T251" i="4" a="1"/>
  <c r="T451" i="4" a="1"/>
  <c r="T143" i="4" a="1"/>
  <c r="T510" i="4" a="1"/>
  <c r="T233" i="4" a="1"/>
  <c r="AA551" i="3"/>
  <c r="AA794" i="3"/>
  <c r="AA1594" i="3"/>
  <c r="AA1578" i="3"/>
  <c r="AA1731" i="3"/>
  <c r="AA2067" i="3"/>
  <c r="AA108" i="3"/>
  <c r="AA162" i="3"/>
  <c r="AA1127" i="3"/>
  <c r="AA318" i="3"/>
  <c r="AA518" i="3"/>
  <c r="AA614" i="3"/>
  <c r="T863" i="4" a="1"/>
  <c r="T756" i="4" a="1"/>
  <c r="T494" i="4" a="1"/>
  <c r="T126" i="4" a="1"/>
  <c r="T524" i="4" a="1"/>
  <c r="T386" i="4" a="1"/>
  <c r="T207" i="4" a="1"/>
  <c r="T597" i="4" a="1"/>
  <c r="T416" i="4" a="1"/>
  <c r="T184" i="4" a="1"/>
  <c r="T301" i="4" a="1"/>
  <c r="T75" i="4" a="1"/>
  <c r="T63" i="4" a="1"/>
  <c r="T302" i="4" a="1"/>
  <c r="AA987" i="3"/>
  <c r="AA649" i="3"/>
  <c r="AA1050" i="3"/>
  <c r="AA1056" i="3"/>
  <c r="AA2015" i="3"/>
  <c r="AA2237" i="3"/>
  <c r="AA663" i="3"/>
  <c r="AA306" i="3"/>
  <c r="AA744" i="3"/>
  <c r="AA322" i="3"/>
  <c r="AA312" i="3"/>
  <c r="AA581" i="3"/>
  <c r="U68" i="4" a="1"/>
  <c r="U791" i="4" a="1"/>
  <c r="U731" i="4" a="1"/>
  <c r="U152" i="4" a="1"/>
  <c r="U848" i="4" a="1"/>
  <c r="U560" i="4" a="1"/>
  <c r="U86" i="4" a="1"/>
  <c r="U253" i="4" a="1"/>
  <c r="U678" i="4" a="1"/>
  <c r="U846" i="4" a="1"/>
  <c r="U79" i="4" a="1"/>
  <c r="U326" i="4" a="1"/>
  <c r="U893" i="4" a="1"/>
  <c r="U346" i="4" a="1"/>
  <c r="U639" i="4" a="1"/>
  <c r="AK1472" i="3" a="1"/>
  <c r="AA2133" i="3"/>
  <c r="AI102" i="3" a="1"/>
  <c r="AI150" i="3" a="1"/>
  <c r="U751" i="4" a="1"/>
  <c r="U486" i="4" a="1"/>
  <c r="U823" i="4" a="1"/>
  <c r="U83" i="4" a="1"/>
  <c r="U918" i="4" a="1"/>
  <c r="U50" i="4" a="1"/>
  <c r="U255" i="4" a="1"/>
  <c r="U257" i="4" a="1"/>
  <c r="U203" i="4" a="1"/>
  <c r="U46" i="4" a="1"/>
  <c r="U905" i="4" a="1"/>
  <c r="U114" i="4" a="1"/>
  <c r="U853" i="4" a="1"/>
  <c r="AK653" i="3" a="1"/>
  <c r="AK2162" i="3" a="1"/>
  <c r="AA850" i="3"/>
  <c r="AI2120" i="3" a="1"/>
  <c r="U592" i="4" a="1"/>
  <c r="U438" i="4" a="1"/>
  <c r="U275" i="4" a="1"/>
  <c r="U334" i="4" a="1"/>
  <c r="U312" i="4" a="1"/>
  <c r="U726" i="4" a="1"/>
  <c r="U158" i="4" a="1"/>
  <c r="U314" i="4" a="1"/>
  <c r="U240" i="4" a="1"/>
  <c r="U867" i="4" a="1"/>
  <c r="U88" i="4" a="1"/>
  <c r="U480" i="4" a="1"/>
  <c r="U195" i="4" a="1"/>
  <c r="U281" i="4" a="1"/>
  <c r="U873" i="4" a="1"/>
  <c r="AI482" i="3" a="1"/>
  <c r="AI1608" i="3" a="1"/>
  <c r="AI1927" i="3" a="1"/>
  <c r="U717" i="4" a="1"/>
  <c r="U31" i="4" a="1"/>
  <c r="U396" i="4" a="1"/>
  <c r="U139" i="4" a="1"/>
  <c r="U183" i="4" a="1"/>
  <c r="U776" i="4" a="1"/>
  <c r="U209" i="4" a="1"/>
  <c r="U345" i="4" a="1"/>
  <c r="U608" i="4" a="1"/>
  <c r="U685" i="4" a="1"/>
  <c r="U302" i="4" a="1"/>
  <c r="U228" i="4" a="1"/>
  <c r="U204" i="4" a="1"/>
  <c r="U381" i="4" a="1"/>
  <c r="U72" i="4" a="1"/>
  <c r="AK1601" i="3" a="1"/>
  <c r="AI1678" i="3" a="1"/>
  <c r="AK1599" i="3" a="1"/>
  <c r="AK138" i="3" a="1"/>
  <c r="AA1160" i="3"/>
  <c r="AA1097" i="3"/>
  <c r="AA1112" i="3"/>
  <c r="AA1505" i="3"/>
  <c r="AK559" i="3" a="1"/>
  <c r="AI648" i="3" a="1"/>
  <c r="AI1646" i="3" a="1"/>
  <c r="AI401" i="3" a="1"/>
  <c r="AI1470" i="3" a="1"/>
  <c r="AK1918" i="3" a="1"/>
  <c r="AA2152" i="3"/>
  <c r="AA1453" i="3"/>
  <c r="AK478" i="3" a="1"/>
  <c r="AI2055" i="3" a="1"/>
  <c r="AI809" i="3" a="1"/>
  <c r="AI398" i="3" a="1"/>
  <c r="AK535" i="3" a="1"/>
  <c r="AI2062" i="3" a="1"/>
  <c r="AK2084" i="3" a="1"/>
  <c r="AI558" i="3" a="1"/>
  <c r="AI2247" i="3" a="1"/>
  <c r="AI1978" i="3" a="1"/>
  <c r="AI108" i="3" a="1"/>
  <c r="AK2161" i="3" a="1"/>
  <c r="AA1170" i="3"/>
  <c r="AI1576" i="3" a="1"/>
  <c r="AA758" i="3"/>
  <c r="AI2067" i="3" a="1"/>
  <c r="AK2118" i="3" a="1"/>
  <c r="AK573" i="3" a="1"/>
  <c r="AA1523" i="3"/>
  <c r="AK1578" i="3" a="1"/>
  <c r="AK602" i="3" a="1"/>
  <c r="AI1631" i="3" a="1"/>
  <c r="AI527" i="3" a="1"/>
  <c r="AI552" i="3" a="1"/>
  <c r="AI1709" i="3" a="1"/>
  <c r="AK2267" i="3" a="1"/>
  <c r="AK468" i="3" a="1"/>
  <c r="AA839" i="3"/>
  <c r="AK655" i="3" a="1"/>
  <c r="AK384" i="3" a="1"/>
  <c r="AI1612" i="3" a="1"/>
  <c r="AA1269" i="3"/>
  <c r="AK1726" i="3" a="1"/>
  <c r="AA1973" i="3"/>
  <c r="AI607" i="3" a="1"/>
  <c r="AK783" i="3" a="1"/>
  <c r="AK1957" i="3" a="1"/>
  <c r="AA967" i="3"/>
  <c r="AI1674" i="3" a="1"/>
  <c r="AI470" i="3" a="1"/>
  <c r="AI1817" i="3" a="1"/>
  <c r="AA164" i="3"/>
  <c r="AI585" i="3" a="1"/>
  <c r="AA974" i="3"/>
  <c r="AA2170" i="3"/>
  <c r="AI549" i="3" a="1"/>
  <c r="AK1643" i="3" a="1"/>
  <c r="AI1977" i="3" a="1"/>
  <c r="AK603" i="3" a="1"/>
  <c r="AK162" i="3" a="1"/>
  <c r="AI1316" i="3" a="1"/>
  <c r="AK810" i="3" a="1"/>
  <c r="AA2275" i="3"/>
  <c r="AA2129" i="3"/>
  <c r="AI623" i="3" a="1"/>
  <c r="AK959" i="3" a="1"/>
  <c r="AK778" i="3" a="1"/>
  <c r="AK522" i="3" a="1"/>
  <c r="AK449" i="3" a="1"/>
  <c r="AK2012" i="3" a="1"/>
  <c r="AA1480" i="3"/>
  <c r="AK2206" i="3" a="1"/>
  <c r="AI1724" i="3" a="1"/>
  <c r="AI777" i="3" a="1"/>
  <c r="AI366" i="3" a="1"/>
  <c r="AK1575" i="3" a="1"/>
  <c r="AK987" i="3" a="1"/>
  <c r="AK1391" i="3" a="1"/>
  <c r="T734" i="4" a="1"/>
  <c r="T907" i="4" a="1"/>
  <c r="T557" i="4" a="1"/>
  <c r="T168" i="4" a="1"/>
  <c r="T623" i="4" a="1"/>
  <c r="T458" i="4" a="1"/>
  <c r="T431" i="4" a="1"/>
  <c r="T886" i="4" a="1"/>
  <c r="T530" i="4" a="1"/>
  <c r="T313" i="4" a="1"/>
  <c r="T502" i="4" a="1"/>
  <c r="T200" i="4" a="1"/>
  <c r="T137" i="4" a="1"/>
  <c r="T390" i="4" a="1"/>
  <c r="AA1925" i="3"/>
  <c r="AA1958" i="3"/>
  <c r="AA1598" i="3"/>
  <c r="AA1321" i="3"/>
  <c r="AA1648" i="3"/>
  <c r="AA396" i="3"/>
  <c r="AA1724" i="3"/>
  <c r="AA2081" i="3"/>
  <c r="AA286" i="3"/>
  <c r="AA740" i="3"/>
  <c r="AA120" i="3"/>
  <c r="AA637" i="3"/>
  <c r="T729" i="4" a="1"/>
  <c r="T904" i="4" a="1"/>
  <c r="T545" i="4" a="1"/>
  <c r="T162" i="4" a="1"/>
  <c r="T613" i="4" a="1"/>
  <c r="T449" i="4" a="1"/>
  <c r="T406" i="4" a="1"/>
  <c r="T784" i="4" a="1"/>
  <c r="T518" i="4" a="1"/>
  <c r="T277" i="4" a="1"/>
  <c r="T491" i="4" a="1"/>
  <c r="T173" i="4" a="1"/>
  <c r="T714" i="4" a="1"/>
  <c r="T248" i="4" a="1"/>
  <c r="AA2027" i="3"/>
  <c r="AA1956" i="3"/>
  <c r="AA1595" i="3"/>
  <c r="AA859" i="3"/>
  <c r="AA1718" i="3"/>
  <c r="AA2210" i="3"/>
  <c r="AA230" i="3"/>
  <c r="AA652" i="3"/>
  <c r="AA1286" i="3"/>
  <c r="AA753" i="3"/>
  <c r="AA302" i="3"/>
  <c r="AA622" i="3"/>
  <c r="T828" i="4" a="1"/>
  <c r="T764" i="4" a="1"/>
  <c r="T500" i="4" a="1"/>
  <c r="T132" i="4" a="1"/>
  <c r="T525" i="4" a="1"/>
  <c r="T397" i="4" a="1"/>
  <c r="T208" i="4" a="1"/>
  <c r="T622" i="4" a="1"/>
  <c r="T433" i="4" a="1"/>
  <c r="T197" i="4" a="1"/>
  <c r="T336" i="4" a="1"/>
  <c r="T89" i="4" a="1"/>
  <c r="T224" i="4" a="1"/>
  <c r="T359" i="4" a="1"/>
  <c r="AA2239" i="3"/>
  <c r="AA775" i="3"/>
  <c r="AA550" i="3"/>
  <c r="AA2206" i="3"/>
  <c r="AA1909" i="3"/>
  <c r="AA1850" i="3"/>
  <c r="AA1994" i="3"/>
  <c r="AA536" i="3"/>
  <c r="AA1457" i="3"/>
  <c r="AA764" i="3"/>
  <c r="AA362" i="3"/>
  <c r="AA587" i="3"/>
  <c r="T816" i="4" a="1"/>
  <c r="T860" i="4" a="1"/>
  <c r="T468" i="4" a="1"/>
  <c r="T102" i="4" a="1"/>
  <c r="T470" i="4" a="1"/>
  <c r="T358" i="4" a="1"/>
  <c r="T182" i="4" a="1"/>
  <c r="T542" i="4" a="1"/>
  <c r="T329" i="4" a="1"/>
  <c r="T124" i="4" a="1"/>
  <c r="T752" i="4" a="1"/>
  <c r="T620" i="4" a="1"/>
  <c r="T20" i="4" a="1"/>
  <c r="T31" i="4" a="1"/>
  <c r="AA2158" i="3"/>
  <c r="AA1945" i="3"/>
  <c r="AA1629" i="3"/>
  <c r="AA76" i="3"/>
  <c r="AA1658" i="3"/>
  <c r="AA1589" i="3"/>
  <c r="AA1193" i="3"/>
  <c r="AA809" i="3"/>
  <c r="AA367" i="3"/>
  <c r="AA754" i="3"/>
  <c r="AA648" i="3"/>
  <c r="AA532" i="3"/>
  <c r="U476" i="4" a="1"/>
  <c r="U522" i="4" a="1"/>
  <c r="U714" i="4" a="1"/>
  <c r="U274" i="4" a="1"/>
  <c r="U565" i="4" a="1"/>
  <c r="U539" i="4" a="1"/>
  <c r="U684" i="4" a="1"/>
  <c r="U137" i="4" a="1"/>
  <c r="U100" i="4" a="1"/>
  <c r="U808" i="4" a="1"/>
  <c r="U604" i="4" a="1"/>
  <c r="U697" i="4" a="1"/>
  <c r="U103" i="4" a="1"/>
  <c r="U369" i="4" a="1"/>
  <c r="U657" i="4" a="1"/>
  <c r="AI476" i="3" a="1"/>
  <c r="AI239" i="3" a="1"/>
  <c r="AI610" i="3" a="1"/>
  <c r="AA1496" i="3"/>
  <c r="U803" i="4" a="1"/>
  <c r="U485" i="4" a="1"/>
  <c r="U513" i="4" a="1"/>
  <c r="U51" i="4" a="1"/>
  <c r="U288" i="4" a="1"/>
  <c r="U482" i="4" a="1"/>
  <c r="U263" i="4" a="1"/>
  <c r="U226" i="4" a="1"/>
  <c r="U521" i="4" a="1"/>
  <c r="U80" i="4" a="1"/>
  <c r="U728" i="4" a="1"/>
  <c r="U769" i="4" a="1"/>
  <c r="U907" i="4" a="1"/>
  <c r="AK621" i="3" a="1"/>
  <c r="AA838" i="3"/>
  <c r="AK1790" i="3" a="1"/>
  <c r="AK660" i="3" a="1"/>
  <c r="U542" i="4" a="1"/>
  <c r="U405" i="4" a="1"/>
  <c r="U768" i="4" a="1"/>
  <c r="U102" i="4" a="1"/>
  <c r="U530" i="4" a="1"/>
  <c r="U342" i="4" a="1"/>
  <c r="U207" i="4" a="1"/>
  <c r="U145" i="4" a="1"/>
  <c r="U15" i="4" a="1"/>
  <c r="U89" i="4" a="1"/>
  <c r="U475" i="4" a="1"/>
  <c r="U651" i="4" a="1"/>
  <c r="U673" i="4" a="1"/>
  <c r="U52" i="4" a="1"/>
  <c r="AI1695" i="3" a="1"/>
  <c r="AI193" i="3" a="1"/>
  <c r="AA834" i="3"/>
  <c r="AI650" i="3" a="1"/>
  <c r="U504" i="4" a="1"/>
  <c r="U165" i="4" a="1"/>
  <c r="U512" i="4" a="1"/>
  <c r="U499" i="4" a="1"/>
  <c r="U408" i="4" a="1"/>
  <c r="U818" i="4" a="1"/>
  <c r="U296" i="4" a="1"/>
  <c r="U417" i="4" a="1"/>
  <c r="U908" i="4" a="1"/>
  <c r="U132" i="4" a="1"/>
  <c r="U682" i="4" a="1"/>
  <c r="U712" i="4" a="1"/>
  <c r="U607" i="4" a="1"/>
  <c r="U367" i="4" a="1"/>
  <c r="U725" i="4" a="1"/>
  <c r="AK1834" i="3" a="1"/>
  <c r="AI1717" i="3" a="1"/>
  <c r="AI262" i="3" a="1"/>
  <c r="AK584" i="3" a="1"/>
  <c r="AA1162" i="3"/>
  <c r="AK1844" i="3" a="1"/>
  <c r="AI363" i="3" a="1"/>
  <c r="AA1511" i="3"/>
  <c r="AA1469" i="3"/>
  <c r="AI120" i="3" a="1"/>
  <c r="AI1922" i="3" a="1"/>
  <c r="AI2096" i="3" a="1"/>
  <c r="AK1286" i="3" a="1"/>
  <c r="AI747" i="3" a="1"/>
  <c r="AI1830" i="3" a="1"/>
  <c r="AA1039" i="3"/>
  <c r="AK1321" i="3" a="1"/>
  <c r="AI643" i="3" a="1"/>
  <c r="AK652" i="3" a="1"/>
  <c r="AI1880" i="3" a="1"/>
  <c r="AK1040" i="3" a="1"/>
  <c r="AA114" i="3"/>
  <c r="AI1572" i="3" a="1"/>
  <c r="AI1458" i="3" a="1"/>
  <c r="AK2127" i="3" a="1"/>
  <c r="AI728" i="3" a="1"/>
  <c r="AI1618" i="3" a="1"/>
  <c r="AI1946" i="3" a="1"/>
  <c r="AK2135" i="3" a="1"/>
  <c r="AK225" i="3" a="1"/>
  <c r="AI754" i="3" a="1"/>
  <c r="AK1627" i="3" a="1"/>
  <c r="AK1542" i="3" a="1"/>
  <c r="AK628" i="3" a="1"/>
  <c r="AK1620" i="3" a="1"/>
  <c r="AA970" i="3"/>
  <c r="AK532" i="3" a="1"/>
  <c r="AI1907" i="3" a="1"/>
  <c r="AK202" i="3" a="1"/>
  <c r="AA1311" i="3"/>
  <c r="AI390" i="3" a="1"/>
  <c r="AK2092" i="3" a="1"/>
  <c r="AI1434" i="3" a="1"/>
  <c r="AK1853" i="3" a="1"/>
  <c r="AK623" i="3" a="1"/>
  <c r="AI1679" i="3" a="1"/>
  <c r="AI1595" i="3" a="1"/>
  <c r="AI664" i="3" a="1"/>
  <c r="AA1353" i="3"/>
  <c r="AI794" i="3" a="1"/>
  <c r="AI574" i="3" a="1"/>
  <c r="AK821" i="3" a="1"/>
  <c r="AK1872" i="3" a="1"/>
  <c r="AK374" i="3" a="1"/>
  <c r="AI1798" i="3" a="1"/>
  <c r="AA1073" i="3"/>
  <c r="AK1645" i="3" a="1"/>
  <c r="AA1885" i="3"/>
  <c r="AA734" i="3"/>
  <c r="AI1437" i="3" a="1"/>
  <c r="AI2023" i="3" a="1"/>
  <c r="AK370" i="3" a="1"/>
  <c r="AK1730" i="3" a="1"/>
  <c r="AA94" i="3"/>
  <c r="AI515" i="3" a="1"/>
  <c r="AA2258" i="3"/>
  <c r="AA1281" i="3"/>
  <c r="AI368" i="3" a="1"/>
  <c r="AA172" i="3"/>
  <c r="AI1732" i="3" a="1"/>
  <c r="AI533" i="3" a="1"/>
  <c r="AI447" i="3" a="1"/>
  <c r="AK1920" i="3" a="1"/>
  <c r="AK755" i="3" a="1"/>
  <c r="AI256" i="3" a="1"/>
  <c r="AA2187" i="3"/>
  <c r="AI1301" i="3" a="1"/>
  <c r="AK1629" i="3" a="1"/>
  <c r="AK354" i="3" a="1"/>
  <c r="AK1953" i="3" a="1"/>
  <c r="AI737" i="3" a="1"/>
  <c r="AI1661" i="3" a="1"/>
  <c r="AI1928" i="3" a="1"/>
  <c r="T911" i="4" a="1"/>
  <c r="T789" i="4" a="1"/>
  <c r="T511" i="4" a="1"/>
  <c r="T144" i="4" a="1"/>
  <c r="T555" i="4" a="1"/>
  <c r="T410" i="4" a="1"/>
  <c r="T260" i="4" a="1"/>
  <c r="T692" i="4" a="1"/>
  <c r="T443" i="4" a="1"/>
  <c r="T218" i="4" a="1"/>
  <c r="T414" i="4" a="1"/>
  <c r="T129" i="4" a="1"/>
  <c r="T356" i="4" a="1"/>
  <c r="T6" i="4" a="1"/>
  <c r="AA2025" i="3"/>
  <c r="AA784" i="3"/>
  <c r="AA1441" i="3"/>
  <c r="AA1736" i="3"/>
  <c r="AA1834" i="3"/>
  <c r="AA2285" i="3"/>
  <c r="AA226" i="3"/>
  <c r="AA475" i="3"/>
  <c r="AA376" i="3"/>
  <c r="AA476" i="3"/>
  <c r="AA553" i="3"/>
  <c r="AA602" i="3"/>
  <c r="T895" i="4" a="1"/>
  <c r="T769" i="4" a="1"/>
  <c r="T506" i="4" a="1"/>
  <c r="T138" i="4" a="1"/>
  <c r="T526" i="4" a="1"/>
  <c r="T405" i="4" a="1"/>
  <c r="T258" i="4" a="1"/>
  <c r="T678" i="4" a="1"/>
  <c r="T438" i="4" a="1"/>
  <c r="T202" i="4" a="1"/>
  <c r="T353" i="4" a="1"/>
  <c r="T106" i="4" a="1"/>
  <c r="T355" i="4" a="1"/>
  <c r="T360" i="4" a="1"/>
  <c r="AA2022" i="3"/>
  <c r="AA779" i="3"/>
  <c r="AA401" i="3"/>
  <c r="AA1829" i="3"/>
  <c r="AA245" i="3"/>
  <c r="AA783" i="3"/>
  <c r="AA1831" i="3"/>
  <c r="AA150" i="3"/>
  <c r="AA152" i="3"/>
  <c r="AA189" i="3"/>
  <c r="AA574" i="3"/>
  <c r="AA595" i="3"/>
  <c r="T834" i="4" a="1"/>
  <c r="T701" i="4" a="1"/>
  <c r="T474" i="4" a="1"/>
  <c r="T108" i="4" a="1"/>
  <c r="T471" i="4" a="1"/>
  <c r="T364" i="4" a="1"/>
  <c r="T187" i="4" a="1"/>
  <c r="T548" i="4" a="1"/>
  <c r="T344" i="4" a="1"/>
  <c r="T130" i="4" a="1"/>
  <c r="T892" i="4" a="1"/>
  <c r="T637" i="4" a="1"/>
  <c r="T25" i="4" a="1"/>
  <c r="T204" i="4" a="1"/>
  <c r="AA2036" i="3"/>
  <c r="AA1949" i="3"/>
  <c r="AA1719" i="3"/>
  <c r="AA207" i="3"/>
  <c r="AA1590" i="3"/>
  <c r="AA97" i="3"/>
  <c r="AA119" i="3"/>
  <c r="AA610" i="3"/>
  <c r="AA321" i="3"/>
  <c r="AA748" i="3"/>
  <c r="AA654" i="3"/>
  <c r="AA519" i="3"/>
  <c r="T779" i="4" a="1"/>
  <c r="T737" i="4" a="1"/>
  <c r="T357" i="4" a="1"/>
  <c r="T78" i="4" a="1"/>
  <c r="T444" i="4" a="1"/>
  <c r="T334" i="4" a="1"/>
  <c r="T170" i="4" a="1"/>
  <c r="T371" i="4" a="1"/>
  <c r="T276" i="4" a="1"/>
  <c r="T33" i="4" a="1"/>
  <c r="T382" i="4" a="1"/>
  <c r="T380" i="4" a="1"/>
  <c r="T117" i="4" a="1"/>
  <c r="T177" i="4" a="1"/>
  <c r="AA1542" i="3"/>
  <c r="AA1951" i="3"/>
  <c r="AA1659" i="3"/>
  <c r="AA1703" i="3"/>
  <c r="AA2062" i="3"/>
  <c r="AA1667" i="3"/>
  <c r="AA1647" i="3"/>
  <c r="AA442" i="3"/>
  <c r="AA755" i="3"/>
  <c r="AA1040" i="3"/>
  <c r="AA613" i="3"/>
  <c r="AA520" i="3"/>
  <c r="U795" i="4" a="1"/>
  <c r="U484" i="4" a="1"/>
  <c r="U273" i="4" a="1"/>
  <c r="U858" i="4" a="1"/>
  <c r="U646" i="4" a="1"/>
  <c r="U243" i="4" a="1"/>
  <c r="U552" i="4" a="1"/>
  <c r="U361" i="4" a="1"/>
  <c r="U12" i="4" a="1"/>
  <c r="U749" i="4" a="1"/>
  <c r="U861" i="4" a="1"/>
  <c r="U202" i="4" a="1"/>
  <c r="U45" i="4" a="1"/>
  <c r="U81" i="4" a="1"/>
  <c r="AI1663" i="3" a="1"/>
  <c r="AI525" i="3" a="1"/>
  <c r="AI1723" i="3" a="1"/>
  <c r="AK1668" i="3" a="1"/>
  <c r="U606" i="4" a="1"/>
  <c r="U876" i="4" a="1"/>
  <c r="U251" i="4" a="1"/>
  <c r="U489" i="4" a="1"/>
  <c r="U198" i="4" a="1"/>
  <c r="U232" i="4" a="1"/>
  <c r="U358" i="4" a="1"/>
  <c r="U96" i="4" a="1"/>
  <c r="U451" i="4" a="1"/>
  <c r="U781" i="4" a="1"/>
  <c r="U186" i="4" a="1"/>
  <c r="U433" i="4" a="1"/>
  <c r="U390" i="4" a="1"/>
  <c r="U883" i="4" a="1"/>
  <c r="AI531" i="3" a="1"/>
  <c r="AA819" i="3"/>
  <c r="AI791" i="3" a="1"/>
  <c r="AI148" i="3" a="1"/>
  <c r="U753" i="4" a="1"/>
  <c r="U721" i="4" a="1"/>
  <c r="U419" i="4" a="1"/>
  <c r="U780" i="4" a="1"/>
  <c r="U378" i="4" a="1"/>
  <c r="U216" i="4" a="1"/>
  <c r="U286" i="4" a="1"/>
  <c r="U481" i="4" a="1"/>
  <c r="U221" i="4" a="1"/>
  <c r="U719" i="4" a="1"/>
  <c r="U610" i="4" a="1"/>
  <c r="U809" i="4" a="1"/>
  <c r="U349" i="4" a="1"/>
  <c r="U398" i="4" a="1"/>
  <c r="AA927" i="3"/>
  <c r="AI135" i="3" a="1"/>
  <c r="AK1849" i="3" a="1"/>
  <c r="AK125" i="3" a="1"/>
  <c r="U416" i="4" a="1"/>
  <c r="U47" i="4" a="1"/>
  <c r="U90" i="4" a="1"/>
  <c r="U744" i="4" a="1"/>
  <c r="U200" i="4" a="1"/>
  <c r="U538" i="4" a="1"/>
  <c r="U611" i="4" a="1"/>
  <c r="U674" i="4" a="1"/>
  <c r="U26" i="4" a="1"/>
  <c r="U315" i="4" a="1"/>
  <c r="U124" i="4" a="1"/>
  <c r="U201" i="4" a="1"/>
  <c r="U236" i="4" a="1"/>
  <c r="U526" i="4" a="1"/>
  <c r="U588" i="4" a="1"/>
  <c r="AK1921" i="3" a="1"/>
  <c r="AK119" i="3" a="1"/>
  <c r="AA1186" i="3"/>
  <c r="AK591" i="3" a="1"/>
  <c r="AI1888" i="3" a="1"/>
  <c r="AK376" i="3" a="1"/>
  <c r="AA1485" i="3"/>
  <c r="AI814" i="3" a="1"/>
  <c r="AK1190" i="3" a="1"/>
  <c r="AI786" i="3" a="1"/>
  <c r="AK1581" i="3" a="1"/>
  <c r="AI2228" i="3" a="1"/>
  <c r="AK300" i="3" a="1"/>
  <c r="AI649" i="3" a="1"/>
  <c r="AK1948" i="3" a="1"/>
  <c r="AI624" i="3" a="1"/>
  <c r="AK2071" i="3" a="1"/>
  <c r="AI609" i="3" a="1"/>
  <c r="AI1712" i="3" a="1"/>
  <c r="AI1558" i="3" a="1"/>
  <c r="AA1330" i="3"/>
  <c r="AI2016" i="3" a="1"/>
  <c r="AI855" i="3" a="1"/>
  <c r="AI329" i="3" a="1"/>
  <c r="AI1559" i="3" a="1"/>
  <c r="AA761" i="3"/>
  <c r="AK822" i="3" a="1"/>
  <c r="AI1858" i="3" a="1"/>
  <c r="AI1741" i="3" a="1"/>
  <c r="AK560" i="3" a="1"/>
  <c r="AK318" i="3" a="1"/>
  <c r="AK1714" i="3" a="1"/>
  <c r="AK2059" i="3" a="1"/>
  <c r="AK1460" i="3" a="1"/>
  <c r="AI1862" i="3" a="1"/>
  <c r="AI1566" i="3" a="1"/>
  <c r="AK160" i="3" a="1"/>
  <c r="AI2210" i="3" a="1"/>
  <c r="AK1832" i="3" a="1"/>
  <c r="AA1063" i="3"/>
  <c r="AI2074" i="3" a="1"/>
  <c r="AI2058" i="3" a="1"/>
  <c r="AK1894" i="3" a="1"/>
  <c r="AA2130" i="3"/>
  <c r="AK533" i="3" a="1"/>
  <c r="AA727" i="3"/>
  <c r="AI2011" i="3" a="1"/>
  <c r="AI638" i="3" a="1"/>
  <c r="AI1570" i="3" a="1"/>
  <c r="AK1942" i="3" a="1"/>
  <c r="AK564" i="3" a="1"/>
  <c r="AI1683" i="3" a="1"/>
  <c r="AK551" i="3" a="1"/>
  <c r="AI337" i="3" a="1"/>
  <c r="AI576" i="3" a="1"/>
  <c r="AA1108" i="3"/>
  <c r="AI1681" i="3" a="1"/>
  <c r="AK651" i="3" a="1"/>
  <c r="AK547" i="3" a="1"/>
  <c r="AA2040" i="3"/>
  <c r="AI312" i="3" a="1"/>
  <c r="AK658" i="3" a="1"/>
  <c r="AK1836" i="3" a="1"/>
  <c r="AA2051" i="3"/>
  <c r="AK600" i="3" a="1"/>
  <c r="AK292" i="3" a="1"/>
  <c r="AI1659" i="3" a="1"/>
  <c r="AK2285" i="3" a="1"/>
  <c r="AA174" i="3"/>
  <c r="AI1594" i="3" a="1"/>
  <c r="AK594" i="3" a="1"/>
  <c r="AK1669" i="3" a="1"/>
  <c r="AA918" i="3"/>
  <c r="AI1457" i="3" a="1"/>
  <c r="AK1056" i="3" a="1"/>
  <c r="AA214" i="3"/>
  <c r="AK306" i="3" a="1"/>
  <c r="AA1146" i="3"/>
  <c r="AK1589" i="3" a="1"/>
  <c r="AI1965" i="3" a="1"/>
  <c r="AA772" i="3"/>
  <c r="AI1280" i="3" a="1"/>
  <c r="AA1783" i="3"/>
  <c r="T850" i="4" a="1"/>
  <c r="T733" i="4" a="1"/>
  <c r="T488" i="4" a="1"/>
  <c r="T120" i="4" a="1"/>
  <c r="T489" i="4" a="1"/>
  <c r="T376" i="4" a="1"/>
  <c r="T206" i="4" a="1"/>
  <c r="T593" i="4" a="1"/>
  <c r="T365" i="4" a="1"/>
  <c r="T178" i="4" a="1"/>
  <c r="T245" i="4" a="1"/>
  <c r="T52" i="4" a="1"/>
  <c r="T51" i="4" a="1"/>
  <c r="T105" i="4" a="1"/>
  <c r="AA2086" i="3"/>
  <c r="AA665" i="3"/>
  <c r="AA814" i="3"/>
  <c r="AA246" i="3"/>
  <c r="AA1715" i="3"/>
  <c r="AA2069" i="3"/>
  <c r="AA110" i="3"/>
  <c r="AA134" i="3"/>
  <c r="AA372" i="3"/>
  <c r="AA95" i="3"/>
  <c r="AA1446" i="3"/>
  <c r="AA196" i="3"/>
  <c r="T847" i="4" a="1"/>
  <c r="T706" i="4" a="1"/>
  <c r="T480" i="4" a="1"/>
  <c r="T114" i="4" a="1"/>
  <c r="T486" i="4" a="1"/>
  <c r="T370" i="4" a="1"/>
  <c r="T188" i="4" a="1"/>
  <c r="T571" i="4" a="1"/>
  <c r="T348" i="4" a="1"/>
  <c r="T141" i="4" a="1"/>
  <c r="T148" i="4" a="1"/>
  <c r="T35" i="4" a="1"/>
  <c r="T46" i="4" a="1"/>
  <c r="T230" i="4" a="1"/>
  <c r="AA99" i="3"/>
  <c r="AA1959" i="3"/>
  <c r="AA337" i="3"/>
  <c r="AA1607" i="3"/>
  <c r="AA101" i="3"/>
  <c r="AA2074" i="3"/>
  <c r="AA1048" i="3"/>
  <c r="AA384" i="3"/>
  <c r="AA557" i="3"/>
  <c r="AA202" i="3"/>
  <c r="AA661" i="3"/>
  <c r="AA304" i="3"/>
  <c r="T791" i="4" a="1"/>
  <c r="T762" i="4" a="1"/>
  <c r="T363" i="4" a="1"/>
  <c r="T84" i="4" a="1"/>
  <c r="T445" i="4" a="1"/>
  <c r="T340" i="4" a="1"/>
  <c r="T175" i="4" a="1"/>
  <c r="T428" i="4" a="1"/>
  <c r="T293" i="4" a="1"/>
  <c r="T70" i="4" a="1"/>
  <c r="T462" i="4" a="1"/>
  <c r="T384" i="4" a="1"/>
  <c r="T338" i="4" a="1"/>
  <c r="T317" i="4" a="1"/>
  <c r="AA1976" i="3"/>
  <c r="AA1954" i="3"/>
  <c r="AA1558" i="3"/>
  <c r="AA1673" i="3"/>
  <c r="AA1849" i="3"/>
  <c r="AA1652" i="3"/>
  <c r="AA1633" i="3"/>
  <c r="AA992" i="3"/>
  <c r="AA604" i="3"/>
  <c r="AA463" i="3"/>
  <c r="AA621" i="3"/>
  <c r="AA1391" i="3"/>
  <c r="T740" i="4" a="1"/>
  <c r="T618" i="4" a="1"/>
  <c r="T333" i="4" a="1"/>
  <c r="T54" i="4" a="1"/>
  <c r="T826" i="4" a="1"/>
  <c r="T310" i="4" a="1"/>
  <c r="T158" i="4" a="1"/>
  <c r="T318" i="4" a="1"/>
  <c r="T700" i="4" a="1"/>
  <c r="T572" i="4" a="1"/>
  <c r="T569" i="4" a="1"/>
  <c r="T306" i="4" a="1"/>
  <c r="T9" i="4" a="1"/>
  <c r="T119" i="4" a="1"/>
  <c r="AA1872" i="3"/>
  <c r="AA747" i="3"/>
  <c r="AA825" i="3"/>
  <c r="AA1438" i="3"/>
  <c r="AA1985" i="3"/>
  <c r="AA1822" i="3"/>
  <c r="AA1717" i="3"/>
  <c r="AA331" i="3"/>
  <c r="AA658" i="3"/>
  <c r="AA549" i="3"/>
  <c r="AA586" i="3"/>
  <c r="U706" i="4" a="1"/>
  <c r="U681" i="4" a="1"/>
  <c r="U242" i="4" a="1"/>
  <c r="U593" i="4" a="1"/>
  <c r="U297" i="4" a="1"/>
  <c r="U555" i="4" a="1"/>
  <c r="U112" i="4" a="1"/>
  <c r="U464" i="4" a="1"/>
  <c r="U519" i="4" a="1"/>
  <c r="U508" i="4" a="1"/>
  <c r="U849" i="4" a="1"/>
  <c r="U360" i="4" a="1"/>
  <c r="U452" i="4" a="1"/>
  <c r="U16" i="4" a="1"/>
  <c r="U21" i="4" a="1"/>
  <c r="AK1896" i="3" a="1"/>
  <c r="AI1129" i="3" a="1"/>
  <c r="AA1516" i="3"/>
  <c r="AK1802" i="3" a="1"/>
  <c r="U913" i="4" a="1"/>
  <c r="U385" i="4" a="1"/>
  <c r="U191" i="4" a="1"/>
  <c r="U577" i="4" a="1"/>
  <c r="U689" i="4" a="1"/>
  <c r="U550" i="4" a="1"/>
  <c r="U126" i="4" a="1"/>
  <c r="U727" i="4" a="1"/>
  <c r="U323" i="4" a="1"/>
  <c r="U32" i="4" a="1"/>
  <c r="U545" i="4" a="1"/>
  <c r="U669" i="4" a="1"/>
  <c r="U252" i="4" a="1"/>
  <c r="U767" i="4" a="1"/>
  <c r="AI516" i="3" a="1"/>
  <c r="AK1616" i="3" a="1"/>
  <c r="AK1945" i="3" a="1"/>
  <c r="AA1479" i="3"/>
  <c r="U386" i="4" a="1"/>
  <c r="U734" i="4" a="1"/>
  <c r="U764" i="4" a="1"/>
  <c r="U758" i="4" a="1"/>
  <c r="U149" i="4" a="1"/>
  <c r="U223" i="4" a="1"/>
  <c r="U865" i="4" a="1"/>
  <c r="U761" i="4" a="1"/>
  <c r="U462" i="4" a="1"/>
  <c r="U87" i="4" a="1"/>
  <c r="U153" i="4" a="1"/>
  <c r="U891" i="4" a="1"/>
  <c r="U74" i="4" a="1"/>
  <c r="U218" i="4" a="1"/>
  <c r="AA1465" i="3"/>
  <c r="AI605" i="3" a="1"/>
  <c r="AI111" i="3" a="1"/>
  <c r="AK520" i="3" a="1"/>
  <c r="U261" i="4" a="1"/>
  <c r="U75" i="4" a="1"/>
  <c r="U722" i="4" a="1"/>
  <c r="U53" i="4" a="1"/>
  <c r="U383" i="4" a="1"/>
  <c r="U78" i="4" a="1"/>
  <c r="U581" i="4" a="1"/>
  <c r="U794" i="4" a="1"/>
  <c r="U289" i="4" a="1"/>
  <c r="U474" i="4" a="1"/>
  <c r="U38" i="4" a="1"/>
  <c r="U784" i="4" a="1"/>
  <c r="U313" i="4" a="1"/>
  <c r="U325" i="4" a="1"/>
  <c r="U840" i="4" a="1"/>
  <c r="AA1244" i="3"/>
  <c r="AK1824" i="3" a="1"/>
  <c r="AK1937" i="3" a="1"/>
  <c r="AK1127" i="3" a="1"/>
  <c r="AK1673" i="3" a="1"/>
  <c r="AI1638" i="3" a="1"/>
  <c r="AA1084" i="3"/>
  <c r="AI258" i="3" a="1"/>
  <c r="AK1892" i="3" a="1"/>
  <c r="AI748" i="3" a="1"/>
  <c r="AK1636" i="3" a="1"/>
  <c r="AK1859" i="3" a="1"/>
  <c r="AK332" i="3" a="1"/>
  <c r="AK792" i="3" a="1"/>
  <c r="AI622" i="3" a="1"/>
  <c r="AI1008" i="3" a="1"/>
  <c r="AA1198" i="3"/>
  <c r="AI521" i="3" a="1"/>
  <c r="AI308" i="3" a="1"/>
  <c r="AI208" i="3" a="1"/>
  <c r="AI161" i="3" a="1"/>
  <c r="AK246" i="3" a="1"/>
  <c r="AK1936" i="3" a="1"/>
  <c r="AK311" i="3" a="1"/>
  <c r="AI860" i="3" a="1"/>
  <c r="AI280" i="3" a="1"/>
  <c r="AA926" i="3"/>
  <c r="AK99" i="3" a="1"/>
  <c r="AK1837" i="3" a="1"/>
  <c r="AK1283" i="3" a="1"/>
  <c r="AA184" i="3"/>
  <c r="AK1819" i="3" a="1"/>
  <c r="AK1932" i="3" a="1"/>
  <c r="AK999" i="3" a="1"/>
  <c r="AA1491" i="3"/>
  <c r="AI1799" i="3" a="1"/>
  <c r="AA1172" i="3"/>
  <c r="AI1881" i="3" a="1"/>
  <c r="AA1407" i="3"/>
  <c r="AI1001" i="3" a="1"/>
  <c r="AA1401" i="3"/>
  <c r="AK586" i="3" a="1"/>
  <c r="AA2272" i="3"/>
  <c r="AK1594" i="3" a="1"/>
  <c r="AI620" i="3" a="1"/>
  <c r="AK2013" i="3" a="1"/>
  <c r="AI1966" i="3" a="1"/>
  <c r="AK539" i="3" a="1"/>
  <c r="AI408" i="3" a="1"/>
  <c r="AI2179" i="3" a="1"/>
  <c r="AI773" i="3" a="1"/>
  <c r="AK1812" i="3" a="1"/>
  <c r="AK2024" i="3" a="1"/>
  <c r="AI2159" i="3" a="1"/>
  <c r="AI518" i="3" a="1"/>
  <c r="AA1109" i="3"/>
  <c r="AI1680" i="3" a="1"/>
  <c r="AK1284" i="3" a="1"/>
  <c r="AI646" i="3" a="1"/>
  <c r="AK1985" i="3" a="1"/>
  <c r="AK1436" i="3" a="1"/>
  <c r="AK321" i="3" a="1"/>
  <c r="AK1590" i="3" a="1"/>
  <c r="AK527" i="3" a="1"/>
  <c r="AI197" i="3" a="1"/>
  <c r="AK1633" i="3" a="1"/>
  <c r="AI550" i="3" a="1"/>
  <c r="AK1651" i="3" a="1"/>
  <c r="AI1691" i="3" a="1"/>
  <c r="AI1902" i="3" a="1"/>
  <c r="AK362" i="3" a="1"/>
  <c r="AI2287" i="3" a="1"/>
  <c r="AA910" i="3"/>
  <c r="AK736" i="3" a="1"/>
  <c r="AK862" i="3" a="1"/>
  <c r="AA48" i="3"/>
  <c r="AI1641" i="3" a="1"/>
  <c r="AA1149" i="3"/>
  <c r="AK1614" i="3" a="1"/>
  <c r="AI2086" i="3" a="1"/>
  <c r="AI1131" i="3" a="1"/>
  <c r="AA969" i="3"/>
  <c r="AK149" i="3" a="1"/>
  <c r="T803" i="4" a="1"/>
  <c r="T853" i="4" a="1"/>
  <c r="T375" i="4" a="1"/>
  <c r="T96" i="4" a="1"/>
  <c r="T469" i="4" a="1"/>
  <c r="T352" i="4" a="1"/>
  <c r="T181" i="4" a="1"/>
  <c r="T516" i="4" a="1"/>
  <c r="T312" i="4" a="1"/>
  <c r="T87" i="4" a="1"/>
  <c r="T705" i="4" a="1"/>
  <c r="T575" i="4" a="1"/>
  <c r="T744" i="4" a="1"/>
  <c r="T58" i="4" a="1"/>
  <c r="AA2267" i="3"/>
  <c r="AA1941" i="3"/>
  <c r="AA1612" i="3"/>
  <c r="AA829" i="3"/>
  <c r="AA1686" i="3"/>
  <c r="AA1616" i="3"/>
  <c r="AA1570" i="3"/>
  <c r="AA751" i="3"/>
  <c r="AA470" i="3"/>
  <c r="AA193" i="3"/>
  <c r="AA642" i="3"/>
  <c r="AA561" i="3"/>
  <c r="T796" i="4" a="1"/>
  <c r="T775" i="4" a="1"/>
  <c r="T369" i="4" a="1"/>
  <c r="T90" i="4" a="1"/>
  <c r="T459" i="4" a="1"/>
  <c r="T346" i="4" a="1"/>
  <c r="T176" i="4" a="1"/>
  <c r="T498" i="4" a="1"/>
  <c r="T308" i="4" a="1"/>
  <c r="T76" i="4" a="1"/>
  <c r="T479" i="4" a="1"/>
  <c r="T556" i="4" a="1"/>
  <c r="T347" i="4" a="1"/>
  <c r="T2" i="4" a="1"/>
  <c r="AA1977" i="3"/>
  <c r="AA798" i="3"/>
  <c r="AA385" i="3"/>
  <c r="AA1645" i="3"/>
  <c r="AA1697" i="3"/>
  <c r="AA1638" i="3"/>
  <c r="AA1610" i="3"/>
  <c r="AA509" i="3"/>
  <c r="AA591" i="3"/>
  <c r="AA465" i="3"/>
  <c r="AA628" i="3"/>
  <c r="AA575" i="3"/>
  <c r="T749" i="4" a="1"/>
  <c r="T624" i="4" a="1"/>
  <c r="T339" i="4" a="1"/>
  <c r="T60" i="4" a="1"/>
  <c r="T426" i="4" a="1"/>
  <c r="T316" i="4" a="1"/>
  <c r="T163" i="4" a="1"/>
  <c r="T335" i="4" a="1"/>
  <c r="T703" i="4" a="1"/>
  <c r="T626" i="4" a="1"/>
  <c r="T584" i="4" a="1"/>
  <c r="T330" i="4" a="1"/>
  <c r="T12" i="4" a="1"/>
  <c r="T125" i="4" a="1"/>
  <c r="AA2120" i="3"/>
  <c r="AA1939" i="3"/>
  <c r="AA217" i="3"/>
  <c r="AA128" i="3"/>
  <c r="AA1881" i="3"/>
  <c r="AA339" i="3"/>
  <c r="AA1701" i="3"/>
  <c r="AA523" i="3"/>
  <c r="AA571" i="3"/>
  <c r="AA1001" i="3"/>
  <c r="AA594" i="3"/>
  <c r="T872" i="4" a="1"/>
  <c r="T722" i="4" a="1"/>
  <c r="T594" i="4" a="1"/>
  <c r="T309" i="4" a="1"/>
  <c r="T30" i="4" a="1"/>
  <c r="T746" i="4" a="1"/>
  <c r="T286" i="4" a="1"/>
  <c r="T146" i="4" a="1"/>
  <c r="T278" i="4" a="1"/>
  <c r="T627" i="4" a="1"/>
  <c r="T429" i="4" a="1"/>
  <c r="T439" i="4" a="1"/>
  <c r="T246" i="4" a="1"/>
  <c r="T682" i="4" a="1"/>
  <c r="T538" i="4" a="1"/>
  <c r="AA2231" i="3"/>
  <c r="AA791" i="3"/>
  <c r="AA1687" i="3"/>
  <c r="AA1837" i="3"/>
  <c r="AA2020" i="3"/>
  <c r="AA462" i="3"/>
  <c r="AA1832" i="3"/>
  <c r="AA511" i="3"/>
  <c r="AA522" i="3"/>
  <c r="AA1472" i="3"/>
  <c r="AA660" i="3"/>
  <c r="U875" i="4" a="1"/>
  <c r="U33" i="4" a="1"/>
  <c r="U322" i="4" a="1"/>
  <c r="U181" i="4" a="1"/>
  <c r="U6" i="4" a="1"/>
  <c r="U754" i="4" a="1"/>
  <c r="U65" i="4" a="1"/>
  <c r="U444" i="4" a="1"/>
  <c r="U443" i="4" a="1"/>
  <c r="U435" i="4" a="1"/>
  <c r="U643" i="4" a="1"/>
  <c r="U287" i="4" a="1"/>
  <c r="U609" i="4" a="1"/>
  <c r="U77" i="4" a="1"/>
  <c r="U270" i="4" a="1"/>
  <c r="AK553" i="3" a="1"/>
  <c r="AI604" i="3" a="1"/>
  <c r="AK1703" i="3" a="1"/>
  <c r="AK626" i="3" a="1"/>
  <c r="U880" i="4" a="1"/>
  <c r="U700" i="4" a="1"/>
  <c r="U896" i="4" a="1"/>
  <c r="U612" i="4" a="1"/>
  <c r="U290" i="4" a="1"/>
  <c r="U615" i="4" a="1"/>
  <c r="U309" i="4" a="1"/>
  <c r="U166" i="4" a="1"/>
  <c r="U626" i="4" a="1"/>
  <c r="U105" i="4" a="1"/>
  <c r="U17" i="4" a="1"/>
  <c r="U245" i="4" a="1"/>
  <c r="U502" i="4" a="1"/>
  <c r="AK1695" i="3" a="1"/>
  <c r="AI741" i="3" a="1"/>
  <c r="AK2082" i="3" a="1"/>
  <c r="AK1950" i="3" a="1"/>
  <c r="AI617" i="3" a="1"/>
  <c r="U470" i="4" a="1"/>
  <c r="U799" i="4" a="1"/>
  <c r="U834" i="4" a="1"/>
  <c r="U125" i="4" a="1"/>
  <c r="U121" i="4" a="1"/>
  <c r="U570" i="4" a="1"/>
  <c r="U664" i="4" a="1"/>
  <c r="U69" i="4" a="1"/>
  <c r="U147" i="4" a="1"/>
  <c r="U590" i="4" a="1"/>
  <c r="U409" i="4" a="1"/>
  <c r="U868" i="4" a="1"/>
  <c r="U440" i="4" a="1"/>
  <c r="U747" i="4" a="1"/>
  <c r="AA1122" i="3"/>
  <c r="AI1025" i="3" a="1"/>
  <c r="AA1536" i="3"/>
  <c r="AK467" i="3" a="1"/>
  <c r="U854" i="4" a="1"/>
  <c r="U666" i="4" a="1"/>
  <c r="U885" i="4" a="1"/>
  <c r="U529" i="4" a="1"/>
  <c r="U605" i="4" a="1"/>
  <c r="U910" i="4" a="1"/>
  <c r="U793" i="4" a="1"/>
  <c r="U154" i="4" a="1"/>
  <c r="U224" i="4" a="1"/>
  <c r="U649" i="4" a="1"/>
  <c r="U193" i="4" a="1"/>
  <c r="U164" i="4" a="1"/>
  <c r="U566" i="4" a="1"/>
  <c r="U254" i="4" a="1"/>
  <c r="U902" i="4" a="1"/>
  <c r="AK595" i="3" a="1"/>
  <c r="AK1699" i="3" a="1"/>
  <c r="AI2269" i="3" a="1"/>
  <c r="AK442" i="3" a="1"/>
  <c r="AI1736" i="3" a="1"/>
  <c r="AI391" i="3" a="1"/>
  <c r="AI475" i="3" a="1"/>
  <c r="AI220" i="3" a="1"/>
  <c r="AI1941" i="3" a="1"/>
  <c r="AI753" i="3" a="1"/>
  <c r="AK1721" i="3" a="1"/>
  <c r="AA2168" i="3"/>
  <c r="AA1404" i="3"/>
  <c r="AK1938" i="3" a="1"/>
  <c r="AI596" i="3" a="1"/>
  <c r="AI1728" i="3" a="1"/>
  <c r="AK1934" i="3" a="1"/>
  <c r="AK606" i="3" a="1"/>
  <c r="AA841" i="3"/>
  <c r="AI616" i="3" a="1"/>
  <c r="AI744" i="3" a="1"/>
  <c r="AA2001" i="3"/>
  <c r="AK2052" i="3" a="1"/>
  <c r="AK238" i="3" a="1"/>
  <c r="AK1277" i="3" a="1"/>
  <c r="AK524" i="3" a="1"/>
  <c r="AI1931" i="3" a="1"/>
  <c r="AA62" i="3"/>
  <c r="AA966" i="3"/>
  <c r="AI951" i="3" a="1"/>
  <c r="AK142" i="3" a="1"/>
  <c r="AI1686" i="3" a="1"/>
  <c r="AK304" i="3" a="1"/>
  <c r="AK585" i="3" a="1"/>
  <c r="AK1646" i="3" a="1"/>
  <c r="AK401" i="3" a="1"/>
  <c r="AI565" i="3" a="1"/>
  <c r="AK859" i="3" a="1"/>
  <c r="AK1906" i="3" a="1"/>
  <c r="AK752" i="3" a="1"/>
  <c r="AI2028" i="3" a="1"/>
  <c r="AK372" i="3" a="1"/>
  <c r="AI1610" i="3" a="1"/>
  <c r="AK1902" i="3" a="1"/>
  <c r="AI594" i="3" a="1"/>
  <c r="AI226" i="3" a="1"/>
  <c r="AI790" i="3" a="1"/>
  <c r="AI627" i="3" a="1"/>
  <c r="AI1639" i="3" a="1"/>
  <c r="AK1923" i="3" a="1"/>
  <c r="AI314" i="3" a="1"/>
  <c r="AA60" i="3"/>
  <c r="AK1827" i="3" a="1"/>
  <c r="AI793" i="3" a="1"/>
  <c r="AK568" i="3" a="1"/>
  <c r="AK127" i="3" a="1"/>
  <c r="AK833" i="3" a="1"/>
  <c r="AA1467" i="3"/>
  <c r="AI770" i="3" a="1"/>
  <c r="AK829" i="3" a="1"/>
  <c r="AK647" i="3" a="1"/>
  <c r="AK590" i="3" a="1"/>
  <c r="AK1648" i="3" a="1"/>
  <c r="AI202" i="3" a="1"/>
  <c r="AA1370" i="3"/>
  <c r="AA2140" i="3"/>
  <c r="AI1597" i="3" a="1"/>
  <c r="AK785" i="3" a="1"/>
  <c r="AK952" i="3" a="1"/>
  <c r="AI1898" i="3" a="1"/>
  <c r="AK141" i="3" a="1"/>
  <c r="AI2015" i="3" a="1"/>
  <c r="AI104" i="3" a="1"/>
  <c r="AK583" i="3" a="1"/>
  <c r="AK1687" i="3" a="1"/>
  <c r="AK540" i="3" a="1"/>
  <c r="AK1981" i="3" a="1"/>
  <c r="AK1777" i="3" a="1"/>
  <c r="AK1705" i="3" a="1"/>
  <c r="AA2090" i="3"/>
  <c r="AA1332" i="3"/>
  <c r="AA985" i="3"/>
  <c r="T767" i="4" a="1"/>
  <c r="T636" i="4" a="1"/>
  <c r="T351" i="4" a="1"/>
  <c r="T72" i="4" a="1"/>
  <c r="T442" i="4" a="1"/>
  <c r="T328" i="4" a="1"/>
  <c r="T169" i="4" a="1"/>
  <c r="T354" i="4" a="1"/>
  <c r="T272" i="4" a="1"/>
  <c r="T27" i="4" a="1"/>
  <c r="T671" i="4" a="1"/>
  <c r="T361" i="4" a="1"/>
  <c r="T81" i="4" a="1"/>
  <c r="T83" i="4" a="1"/>
  <c r="AA1785" i="3"/>
  <c r="AA1947" i="3"/>
  <c r="AA1905" i="3"/>
  <c r="AA1830" i="3"/>
  <c r="AA2077" i="3"/>
  <c r="AA1682" i="3"/>
  <c r="AA1662" i="3"/>
  <c r="AA472" i="3"/>
  <c r="AA464" i="3"/>
  <c r="AA125" i="3"/>
  <c r="AA607" i="3"/>
  <c r="AA540" i="3"/>
  <c r="T750" i="4" a="1"/>
  <c r="T630" i="4" a="1"/>
  <c r="T345" i="4" a="1"/>
  <c r="T66" i="4" a="1"/>
  <c r="T441" i="4" a="1"/>
  <c r="T322" i="4" a="1"/>
  <c r="T164" i="4" a="1"/>
  <c r="T350" i="4" a="1"/>
  <c r="T896" i="4" a="1"/>
  <c r="T697" i="4" a="1"/>
  <c r="T632" i="4" a="1"/>
  <c r="T341" i="4" a="1"/>
  <c r="T17" i="4" a="1"/>
  <c r="T14" i="4" a="1"/>
  <c r="AA2283" i="3"/>
  <c r="AA1943" i="3"/>
  <c r="AA857" i="3"/>
  <c r="AA2127" i="3"/>
  <c r="AA2028" i="3"/>
  <c r="AA1572" i="3"/>
  <c r="AA1684" i="3"/>
  <c r="AA640" i="3"/>
  <c r="AA468" i="3"/>
  <c r="AA1006" i="3"/>
  <c r="AA601" i="3"/>
  <c r="T878" i="4" a="1"/>
  <c r="T723" i="4" a="1"/>
  <c r="T600" i="4" a="1"/>
  <c r="T315" i="4" a="1"/>
  <c r="T36" i="4" a="1"/>
  <c r="T778" i="4" a="1"/>
  <c r="T292" i="4" a="1"/>
  <c r="T151" i="4" a="1"/>
  <c r="T282" i="4" a="1"/>
  <c r="T633" i="4" a="1"/>
  <c r="T457" i="4" a="1"/>
  <c r="T447" i="4" a="1"/>
  <c r="T257" i="4" a="1"/>
  <c r="T742" i="4" a="1"/>
  <c r="T13" i="4" a="1"/>
  <c r="AA1549" i="3"/>
  <c r="AA793" i="3"/>
  <c r="AA343" i="3"/>
  <c r="AA958" i="3"/>
  <c r="AA1931" i="3"/>
  <c r="AA1280" i="3"/>
  <c r="AA2013" i="3"/>
  <c r="AA300" i="3"/>
  <c r="AA1003" i="3"/>
  <c r="AA568" i="3"/>
  <c r="AA1013" i="3"/>
  <c r="T877" i="4" a="1"/>
  <c r="T919" i="4" a="1"/>
  <c r="T898" i="4" a="1"/>
  <c r="T285" i="4" a="1"/>
  <c r="T696" i="4" a="1"/>
  <c r="T664" i="4" a="1"/>
  <c r="T193" i="4" a="1"/>
  <c r="T134" i="4" a="1"/>
  <c r="T167" i="4" a="1"/>
  <c r="T760" i="4" a="1"/>
  <c r="T366" i="4" a="1"/>
  <c r="T580" i="4" a="1"/>
  <c r="T154" i="4" a="1"/>
  <c r="T411" i="4" a="1"/>
  <c r="T214" i="4" a="1"/>
  <c r="AA1965" i="3"/>
  <c r="AA776" i="3"/>
  <c r="AA1799" i="3"/>
  <c r="AA1600" i="3"/>
  <c r="AA1828" i="3"/>
  <c r="AA1568" i="3"/>
  <c r="AA2060" i="3"/>
  <c r="AA572" i="3"/>
  <c r="AA142" i="3"/>
  <c r="AA534" i="3"/>
  <c r="AA627" i="3"/>
  <c r="U111" i="4" a="1"/>
  <c r="U98" i="4" a="1"/>
  <c r="U543" i="4" a="1"/>
  <c r="U8" i="4" a="1"/>
  <c r="U337" i="4" a="1"/>
  <c r="U48" i="4" a="1"/>
  <c r="U227" i="4" a="1"/>
  <c r="U676" i="4" a="1"/>
  <c r="U688" i="4" a="1"/>
  <c r="U811" i="4" a="1"/>
  <c r="U175" i="4" a="1"/>
  <c r="U343" i="4" a="1"/>
  <c r="U432" i="4" a="1"/>
  <c r="U109" i="4" a="1"/>
  <c r="U235" i="4" a="1"/>
  <c r="AK189" i="3" a="1"/>
  <c r="AI147" i="3" a="1"/>
  <c r="AK1829" i="3" a="1"/>
  <c r="AK536" i="3" a="1"/>
  <c r="U547" i="4" a="1"/>
  <c r="U887" i="4" a="1"/>
  <c r="U723" i="4" a="1"/>
  <c r="U503" i="4" a="1"/>
  <c r="U585" i="4" a="1"/>
  <c r="U394" i="4" a="1"/>
  <c r="U852" i="4" a="1"/>
  <c r="U802" i="4" a="1"/>
  <c r="U603" i="4" a="1"/>
  <c r="U269" i="4" a="1"/>
  <c r="U561" i="4" a="1"/>
  <c r="U272" i="4" a="1"/>
  <c r="U161" i="4" a="1"/>
  <c r="AA976" i="3"/>
  <c r="AK482" i="3" a="1"/>
  <c r="AK1608" i="3" a="1"/>
  <c r="AK2233" i="3" a="1"/>
  <c r="AI807" i="3" a="1"/>
  <c r="U680" i="4" a="1"/>
  <c r="U889" i="4" a="1"/>
  <c r="U847" i="4" a="1"/>
  <c r="U742" i="4" a="1"/>
  <c r="U477" i="4" a="1"/>
  <c r="U116" i="4" a="1"/>
  <c r="U599" i="4" a="1"/>
  <c r="U541" i="4" a="1"/>
  <c r="U344" i="4" a="1"/>
  <c r="U558" i="4" a="1"/>
  <c r="U641" i="4" a="1"/>
  <c r="U890" i="4" a="1"/>
  <c r="U93" i="4" a="1"/>
  <c r="U23" i="4" a="1"/>
  <c r="AA1121" i="3"/>
  <c r="AI538" i="3" a="1"/>
  <c r="AK1606" i="3" a="1"/>
  <c r="AK1689" i="3" a="1"/>
  <c r="U696" i="4" a="1"/>
  <c r="U310" i="4" a="1"/>
  <c r="U915" i="4" a="1"/>
  <c r="U511" i="4" a="1"/>
  <c r="U85" i="4" a="1"/>
  <c r="U222" i="4" a="1"/>
  <c r="U371" i="4" a="1"/>
  <c r="U271" i="4" a="1"/>
  <c r="U637" i="4" a="1"/>
  <c r="U665" i="4" a="1"/>
  <c r="U517" i="4" a="1"/>
  <c r="U298" i="4" a="1"/>
  <c r="U410" i="4" a="1"/>
  <c r="U3" i="4" a="1"/>
  <c r="U869" i="4" a="1"/>
  <c r="AK1461" i="3" a="1"/>
  <c r="AK1325" i="3" a="1"/>
  <c r="AK2283" i="3" a="1"/>
  <c r="AI442" i="3" a="1"/>
  <c r="AK2205" i="3" a="1"/>
  <c r="AI2114" i="3" a="1"/>
  <c r="AA831" i="3"/>
  <c r="AK781" i="3" a="1"/>
  <c r="AA2165" i="3"/>
  <c r="AA1335" i="3"/>
  <c r="AI1828" i="3" a="1"/>
  <c r="AI2098" i="3" a="1"/>
  <c r="AK1603" i="3" a="1"/>
  <c r="AK1919" i="3" a="1"/>
  <c r="AI654" i="3" a="1"/>
  <c r="AA285" i="3"/>
  <c r="AK775" i="3" a="1"/>
  <c r="AI580" i="3" a="1"/>
  <c r="AK1610" i="3" a="1"/>
  <c r="AI1943" i="3" a="1"/>
  <c r="AI124" i="3" a="1"/>
  <c r="AK223" i="3" a="1"/>
  <c r="AA1308" i="3"/>
  <c r="AI1726" i="3" a="1"/>
  <c r="AA1968" i="3"/>
  <c r="AI757" i="3" a="1"/>
  <c r="AI245" i="3" a="1"/>
  <c r="AI1827" i="3" a="1"/>
  <c r="AI374" i="3" a="1"/>
  <c r="AK1674" i="3" a="1"/>
  <c r="AK470" i="3" a="1"/>
  <c r="AK1731" i="3" a="1"/>
  <c r="AA739" i="3"/>
  <c r="AA733" i="3"/>
  <c r="AK1922" i="3" a="1"/>
  <c r="AK2096" i="3" a="1"/>
  <c r="AK619" i="3" a="1"/>
  <c r="AI954" i="3" a="1"/>
  <c r="AI587" i="3" a="1"/>
  <c r="AK158" i="3" a="1"/>
  <c r="AI1611" i="3" a="1"/>
  <c r="AK957" i="3" a="1"/>
  <c r="AK1994" i="3" a="1"/>
  <c r="AK1898" i="3" a="1"/>
  <c r="AI362" i="3" a="1"/>
  <c r="AI1653" i="3" a="1"/>
  <c r="AI1940" i="3" a="1"/>
  <c r="AI601" i="3" a="1"/>
  <c r="AI242" i="3" a="1"/>
  <c r="AI1780" i="3" a="1"/>
  <c r="AK764" i="3" a="1"/>
  <c r="AK1319" i="3" a="1"/>
  <c r="AI1654" i="3" a="1"/>
  <c r="AI1949" i="3" a="1"/>
  <c r="AI334" i="3" a="1"/>
  <c r="AA1089" i="3"/>
  <c r="AK217" i="3" a="1"/>
  <c r="AK1734" i="3" a="1"/>
  <c r="AI746" i="3" a="1"/>
  <c r="AA414" i="3"/>
  <c r="AK465" i="3" a="1"/>
  <c r="AI562" i="3" a="1"/>
  <c r="AK1672" i="3" a="1"/>
  <c r="AI1832" i="3" a="1"/>
  <c r="AK599" i="3" a="1"/>
  <c r="AK1609" i="3" a="1"/>
  <c r="AI1591" i="3" a="1"/>
  <c r="AA235" i="3"/>
  <c r="AK339" i="3" a="1"/>
  <c r="AK779" i="3" a="1"/>
  <c r="AK95" i="3" a="1"/>
  <c r="AK832" i="3" a="1"/>
  <c r="AI2072" i="3" a="1"/>
  <c r="AK640" i="3" a="1"/>
  <c r="AK1598" i="3" a="1"/>
  <c r="AI581" i="3" a="1"/>
  <c r="AK1193" i="3" a="1"/>
  <c r="AI782" i="3" a="1"/>
  <c r="AK2245" i="3" a="1"/>
  <c r="AI570" i="3" a="1"/>
  <c r="AA1076" i="3"/>
  <c r="AK1686" i="3" a="1"/>
  <c r="T899" i="4" a="1"/>
  <c r="T739" i="4" a="1"/>
  <c r="T612" i="4" a="1"/>
  <c r="T327" i="4" a="1"/>
  <c r="T48" i="4" a="1"/>
  <c r="T820" i="4" a="1"/>
  <c r="T304" i="4" a="1"/>
  <c r="T157" i="4" a="1"/>
  <c r="T314" i="4" a="1"/>
  <c r="T691" i="4" a="1"/>
  <c r="T505" i="4" a="1"/>
  <c r="T519" i="4" a="1"/>
  <c r="T281" i="4" a="1"/>
  <c r="T7" i="4" a="1"/>
  <c r="T253" i="4" a="1"/>
  <c r="AA2179" i="3"/>
  <c r="AA797" i="3"/>
  <c r="AA1993" i="3"/>
  <c r="AA1665" i="3"/>
  <c r="AA1975" i="3"/>
  <c r="AA1907" i="3"/>
  <c r="AA1734" i="3"/>
  <c r="AA513" i="3"/>
  <c r="AA157" i="3"/>
  <c r="AA786" i="3"/>
  <c r="AA580" i="3"/>
  <c r="T893" i="4" a="1"/>
  <c r="T738" i="4" a="1"/>
  <c r="T606" i="4" a="1"/>
  <c r="T321" i="4" a="1"/>
  <c r="T42" i="4" a="1"/>
  <c r="T795" i="4" a="1"/>
  <c r="T298" i="4" a="1"/>
  <c r="T152" i="4" a="1"/>
  <c r="T299" i="4" a="1"/>
  <c r="T647" i="4" a="1"/>
  <c r="T472" i="4" a="1"/>
  <c r="T484" i="4" a="1"/>
  <c r="T265" i="4" a="1"/>
  <c r="T745" i="4" a="1"/>
  <c r="T179" i="4" a="1"/>
  <c r="AA1547" i="3"/>
  <c r="AA795" i="3"/>
  <c r="AA1059" i="3"/>
  <c r="AA1740" i="3"/>
  <c r="AA1851" i="3"/>
  <c r="AA1922" i="3"/>
  <c r="AA341" i="3"/>
  <c r="AA750" i="3"/>
  <c r="AA1025" i="3"/>
  <c r="AA737" i="3"/>
  <c r="AA197" i="3"/>
  <c r="T881" i="4" a="1"/>
  <c r="T716" i="4" a="1"/>
  <c r="T857" i="4" a="1"/>
  <c r="T291" i="4" a="1"/>
  <c r="T783" i="4" a="1"/>
  <c r="T685" i="4" a="1"/>
  <c r="T268" i="4" a="1"/>
  <c r="T139" i="4" a="1"/>
  <c r="T185" i="4" a="1"/>
  <c r="T906" i="4" a="1"/>
  <c r="T394" i="4" a="1"/>
  <c r="T628" i="4" a="1"/>
  <c r="T160" i="4" a="1"/>
  <c r="T419" i="4" a="1"/>
  <c r="T289" i="4" a="1"/>
  <c r="AA1857" i="3"/>
  <c r="AA780" i="3"/>
  <c r="AA1650" i="3"/>
  <c r="AA256" i="3"/>
  <c r="AA1836" i="3"/>
  <c r="AA822" i="3"/>
  <c r="AA2241" i="3"/>
  <c r="AA368" i="3"/>
  <c r="AA146" i="3"/>
  <c r="AA360" i="3"/>
  <c r="AA641" i="3"/>
  <c r="T870" i="4" a="1"/>
  <c r="T884" i="4" a="1"/>
  <c r="T786" i="4" a="1"/>
  <c r="T771" i="4" a="1"/>
  <c r="T621" i="4" a="1"/>
  <c r="T812" i="4" a="1"/>
  <c r="T753" i="4" a="1"/>
  <c r="T122" i="4" a="1"/>
  <c r="T95" i="4" a="1"/>
  <c r="T515" i="4" a="1"/>
  <c r="T296" i="4" a="1"/>
  <c r="T531" i="4" a="1"/>
  <c r="T47" i="4" a="1"/>
  <c r="T227" i="4" a="1"/>
  <c r="T69" i="4" a="1"/>
  <c r="AA1920" i="3"/>
  <c r="AA243" i="3"/>
  <c r="AA1277" i="3"/>
  <c r="AA1666" i="3"/>
  <c r="AA1812" i="3"/>
  <c r="AA1631" i="3"/>
  <c r="AA292" i="3"/>
  <c r="AA1434" i="3"/>
  <c r="AA757" i="3"/>
  <c r="AA138" i="3"/>
  <c r="AA600" i="3"/>
  <c r="U366" i="4" a="1"/>
  <c r="U434" i="4" a="1"/>
  <c r="U816" i="4" a="1"/>
  <c r="U448" i="4" a="1"/>
  <c r="U7" i="4" a="1"/>
  <c r="U739" i="4" a="1"/>
  <c r="U9" i="4" a="1"/>
  <c r="U468" i="4" a="1"/>
  <c r="U320" i="4" a="1"/>
  <c r="U197" i="4" a="1"/>
  <c r="U230" i="4" a="1"/>
  <c r="U670" i="4" a="1"/>
  <c r="U4" i="4" a="1"/>
  <c r="U135" i="4" a="1"/>
  <c r="U705" i="4" a="1"/>
  <c r="AA1124" i="3"/>
  <c r="AI145" i="3" a="1"/>
  <c r="AK742" i="3" a="1"/>
  <c r="AK1913" i="3" a="1"/>
  <c r="U515" i="4" a="1"/>
  <c r="U13" i="4" a="1"/>
  <c r="U807" i="4" a="1"/>
  <c r="U812" i="4" a="1"/>
  <c r="U690" i="4" a="1"/>
  <c r="U656" i="4" a="1"/>
  <c r="U838" i="4" a="1"/>
  <c r="U143" i="4" a="1"/>
  <c r="U772" i="4" a="1"/>
  <c r="U759" i="4" a="1"/>
  <c r="U35" i="4" a="1"/>
  <c r="U820" i="4" a="1"/>
  <c r="U412" i="4" a="1"/>
  <c r="AK1624" i="3" a="1"/>
  <c r="AK193" i="3" a="1"/>
  <c r="AI1698" i="3" a="1"/>
  <c r="AA345" i="3"/>
  <c r="AK787" i="3" a="1"/>
  <c r="U39" i="4" a="1"/>
  <c r="U190" i="4" a="1"/>
  <c r="U817" i="4" a="1"/>
  <c r="U384" i="4" a="1"/>
  <c r="U249" i="4" a="1"/>
  <c r="U527" i="4" a="1"/>
  <c r="U250" i="4" a="1"/>
  <c r="U554" i="4" a="1"/>
  <c r="U403" i="4" a="1"/>
  <c r="U328" i="4" a="1"/>
  <c r="U647" i="4" a="1"/>
  <c r="U330" i="4" a="1"/>
  <c r="U562" i="4" a="1"/>
  <c r="U97" i="4" a="1"/>
  <c r="AK1671" i="3" a="1"/>
  <c r="AI555" i="3" a="1"/>
  <c r="AK973" i="3" a="1"/>
  <c r="AK451" i="3" a="1"/>
  <c r="U413" i="4" a="1"/>
  <c r="U535" i="4" a="1"/>
  <c r="U411" i="4" a="1"/>
  <c r="U461" i="4" a="1"/>
  <c r="U206" i="4" a="1"/>
  <c r="U563" i="4" a="1"/>
  <c r="U122" i="4" a="1"/>
  <c r="U146" i="4" a="1"/>
  <c r="U211" i="4" a="1"/>
  <c r="U857" i="4" a="1"/>
  <c r="U710" i="4" a="1"/>
  <c r="U702" i="4" a="1"/>
  <c r="U24" i="4" a="1"/>
  <c r="U5" i="4" a="1"/>
  <c r="U899" i="4" a="1"/>
  <c r="AK516" i="3" a="1"/>
  <c r="AK309" i="3" a="1"/>
  <c r="AI2027" i="3" a="1"/>
  <c r="AK1961" i="3" a="1"/>
  <c r="AI1045" i="3" a="1"/>
  <c r="AA1371" i="3"/>
  <c r="AI1640" i="3" a="1"/>
  <c r="AI1955" i="3" a="1"/>
  <c r="AI1391" i="3" a="1"/>
  <c r="AK146" i="3" a="1"/>
  <c r="AI1658" i="3" a="1"/>
  <c r="AI1982" i="3" a="1"/>
  <c r="AK2207" i="3" a="1"/>
  <c r="AK2239" i="3" a="1"/>
  <c r="AI528" i="3" a="1"/>
  <c r="AA2253" i="3"/>
  <c r="AI796" i="3" a="1"/>
  <c r="AI1446" i="3" a="1"/>
  <c r="AI1994" i="3" a="1"/>
  <c r="AK1952" i="3" a="1"/>
  <c r="AK1331" i="3" a="1"/>
  <c r="AK1612" i="3" a="1"/>
  <c r="AK664" i="3" a="1"/>
  <c r="AA1356" i="3"/>
  <c r="AK794" i="3" a="1"/>
  <c r="AK1003" i="3" a="1"/>
  <c r="AI1987" i="3" a="1"/>
  <c r="AI1961" i="3" a="1"/>
  <c r="AK337" i="3" a="1"/>
  <c r="AK1798" i="3" a="1"/>
  <c r="AA1074" i="3"/>
  <c r="AK1817" i="3" a="1"/>
  <c r="AA166" i="3"/>
  <c r="AI547" i="3" a="1"/>
  <c r="AI1581" i="3" a="1"/>
  <c r="AK2228" i="3" a="1"/>
  <c r="AK549" i="3" a="1"/>
  <c r="AK1890" i="3" a="1"/>
  <c r="AI529" i="3" a="1"/>
  <c r="AA1452" i="3"/>
  <c r="AI478" i="3" a="1"/>
  <c r="AK230" i="3" a="1"/>
  <c r="AA171" i="3"/>
  <c r="AI779" i="3" a="1"/>
  <c r="AI141" i="3" a="1"/>
  <c r="AI1847" i="3" a="1"/>
  <c r="AA2219" i="3"/>
  <c r="AA719" i="3"/>
  <c r="AI868" i="3" a="1"/>
  <c r="AI1831" i="3" a="1"/>
  <c r="AK469" i="3" a="1"/>
  <c r="AK1820" i="3" a="1"/>
  <c r="AK2060" i="3" a="1"/>
  <c r="AI2112" i="3" a="1"/>
  <c r="AA1312" i="3"/>
  <c r="AA1087" i="3"/>
  <c r="AA1512" i="3"/>
  <c r="AI1716" i="3" a="1"/>
  <c r="AK136" i="3" a="1"/>
  <c r="AI857" i="3" a="1"/>
  <c r="AI1622" i="3" a="1"/>
  <c r="AI187" i="3" a="1"/>
  <c r="AK858" i="3" a="1"/>
  <c r="AA1408" i="3"/>
  <c r="AA801" i="3"/>
  <c r="AK1822" i="3" a="1"/>
  <c r="AK1791" i="3" a="1"/>
  <c r="AA718" i="3"/>
  <c r="AK953" i="3" a="1"/>
  <c r="AI1935" i="3" a="1"/>
  <c r="AI1033" i="3" a="1"/>
  <c r="AK1600" i="3" a="1"/>
  <c r="AI645" i="3" a="1"/>
  <c r="AI134" i="3" a="1"/>
  <c r="AK2014" i="3" a="1"/>
  <c r="AK644" i="3" a="1"/>
  <c r="AK1960" i="3" a="1"/>
  <c r="AI798" i="3" a="1"/>
  <c r="AA1166" i="3"/>
  <c r="AA1101" i="3"/>
  <c r="AA1072" i="3"/>
  <c r="AK1613" i="3" a="1"/>
  <c r="T918" i="4" a="1"/>
  <c r="T721" i="4" a="1"/>
  <c r="T588" i="4" a="1"/>
  <c r="T303" i="4" a="1"/>
  <c r="T24" i="4" a="1"/>
  <c r="T709" i="4" a="1"/>
  <c r="T280" i="4" a="1"/>
  <c r="T145" i="4" a="1"/>
  <c r="T238" i="4" a="1"/>
  <c r="T605" i="4" a="1"/>
  <c r="T417" i="4" a="1"/>
  <c r="T398" i="4" a="1"/>
  <c r="T229" i="4" a="1"/>
  <c r="T679" i="4" a="1"/>
  <c r="T142" i="4" a="1"/>
  <c r="AA1919" i="3"/>
  <c r="AA785" i="3"/>
  <c r="AA82" i="3"/>
  <c r="AA451" i="3"/>
  <c r="AA2287" i="3"/>
  <c r="AA1325" i="3"/>
  <c r="AA2207" i="3"/>
  <c r="AA155" i="3"/>
  <c r="AA556" i="3"/>
  <c r="AA1283" i="3"/>
  <c r="AA653" i="3"/>
  <c r="T912" i="4" a="1"/>
  <c r="T717" i="4" a="1"/>
  <c r="T582" i="4" a="1"/>
  <c r="T297" i="4" a="1"/>
  <c r="T822" i="4" a="1"/>
  <c r="T702" i="4" a="1"/>
  <c r="T274" i="4" a="1"/>
  <c r="T140" i="4" a="1"/>
  <c r="T201" i="4" a="1"/>
  <c r="T570" i="4" a="1"/>
  <c r="T396" i="4" a="1"/>
  <c r="T712" i="4" a="1"/>
  <c r="T215" i="4" a="1"/>
  <c r="T522" i="4" a="1"/>
  <c r="T88" i="4" a="1"/>
  <c r="AA1859" i="3"/>
  <c r="AA782" i="3"/>
  <c r="AA1732" i="3"/>
  <c r="AA1592" i="3"/>
  <c r="AA2012" i="3"/>
  <c r="AA867" i="3"/>
  <c r="AA1862" i="3"/>
  <c r="AA145" i="3"/>
  <c r="AA2057" i="3"/>
  <c r="AA314" i="3"/>
  <c r="AA647" i="3"/>
  <c r="T871" i="4" a="1"/>
  <c r="T903" i="4" a="1"/>
  <c r="T788" i="4" a="1"/>
  <c r="T810" i="4" a="1"/>
  <c r="T625" i="4" a="1"/>
  <c r="T856" i="4" a="1"/>
  <c r="T785" i="4" a="1"/>
  <c r="T127" i="4" a="1"/>
  <c r="T113" i="4" a="1"/>
  <c r="T520" i="4" a="1"/>
  <c r="T323" i="4" a="1"/>
  <c r="T549" i="4" a="1"/>
  <c r="T57" i="4" a="1"/>
  <c r="T240" i="4" a="1"/>
  <c r="T212" i="4" a="1"/>
  <c r="AA1858" i="3"/>
  <c r="AA1934" i="3"/>
  <c r="AA1671" i="3"/>
  <c r="AA1657" i="3"/>
  <c r="AA1916" i="3"/>
  <c r="AA1609" i="3"/>
  <c r="AA1576" i="3"/>
  <c r="AA154" i="3"/>
  <c r="AA626" i="3"/>
  <c r="AA770" i="3"/>
  <c r="AA606" i="3"/>
  <c r="T842" i="4" a="1"/>
  <c r="T901" i="4" a="1"/>
  <c r="T699" i="4" a="1"/>
  <c r="T676" i="4" a="1"/>
  <c r="T578" i="4" a="1"/>
  <c r="T638" i="4" a="1"/>
  <c r="T552" i="4" a="1"/>
  <c r="T110" i="4" a="1"/>
  <c r="T29" i="4" a="1"/>
  <c r="T379" i="4" a="1"/>
  <c r="T244" i="4" a="1"/>
  <c r="T275" i="4" a="1"/>
  <c r="T427" i="4" a="1"/>
  <c r="T195" i="4" a="1"/>
  <c r="T373" i="4" a="1"/>
  <c r="AA1534" i="3"/>
  <c r="AA2190" i="3"/>
  <c r="AA1890" i="3"/>
  <c r="AA1892" i="3"/>
  <c r="AA1738" i="3"/>
  <c r="AA1699" i="3"/>
  <c r="AA1654" i="3"/>
  <c r="AA127" i="3"/>
  <c r="AA185" i="3"/>
  <c r="AA510" i="3"/>
  <c r="AA573" i="3"/>
  <c r="U62" i="4" a="1"/>
  <c r="U644" i="4" a="1"/>
  <c r="U806" i="4" a="1"/>
  <c r="U20" i="4" a="1"/>
  <c r="U395" i="4" a="1"/>
  <c r="U836" i="4" a="1"/>
  <c r="U427" i="4" a="1"/>
  <c r="U642" i="4" a="1"/>
  <c r="U429" i="4" a="1"/>
  <c r="U402" i="4" a="1"/>
  <c r="U679" i="4" a="1"/>
  <c r="U602" i="4" a="1"/>
  <c r="U128" i="4" a="1"/>
  <c r="U569" i="4" a="1"/>
  <c r="U332" i="4" a="1"/>
  <c r="AI512" i="3" a="1"/>
  <c r="AA1196" i="3"/>
  <c r="AK253" i="3" a="1"/>
  <c r="AK1059" i="3" a="1"/>
  <c r="U771" i="4" a="1"/>
  <c r="U510" i="4" a="1"/>
  <c r="U917" i="4" a="1"/>
  <c r="U687" i="4" a="1"/>
  <c r="U354" i="4" a="1"/>
  <c r="U277" i="4" a="1"/>
  <c r="U801" i="4" a="1"/>
  <c r="U113" i="4" a="1"/>
  <c r="U163" i="4" a="1"/>
  <c r="U351" i="4" a="1"/>
  <c r="U239" i="4" a="1"/>
  <c r="U421" i="4" a="1"/>
  <c r="U463" i="4" a="1"/>
  <c r="AA1466" i="3"/>
  <c r="AK135" i="3" a="1"/>
  <c r="AA1556" i="3"/>
  <c r="AK1927" i="3" a="1"/>
  <c r="AI155" i="3" a="1"/>
  <c r="U703" i="4" a="1"/>
  <c r="U598" i="4" a="1"/>
  <c r="U830" i="4" a="1"/>
  <c r="U363" i="4" a="1"/>
  <c r="U576" i="4" a="1"/>
  <c r="U567" i="4" a="1"/>
  <c r="U54" i="4" a="1"/>
  <c r="U295" i="4" a="1"/>
  <c r="U185" i="4" a="1"/>
  <c r="U168" i="4" a="1"/>
  <c r="U498" i="4" a="1"/>
  <c r="U473" i="4" a="1"/>
  <c r="U340" i="4" a="1"/>
  <c r="U544" i="4" a="1"/>
  <c r="AI2190" i="3" a="1"/>
  <c r="AK1473" i="3" a="1"/>
  <c r="AI1993" i="3" a="1"/>
  <c r="AK2250" i="3" a="1"/>
  <c r="U699" i="4" a="1"/>
  <c r="U730" i="4" a="1"/>
  <c r="U782" i="4" a="1"/>
  <c r="U110" i="4" a="1"/>
  <c r="U648" i="4" a="1"/>
  <c r="U212" i="4" a="1"/>
  <c r="U568" i="4" a="1"/>
  <c r="U507" i="4" a="1"/>
  <c r="U628" i="4" a="1"/>
  <c r="U828" i="4" a="1"/>
  <c r="U596" i="4" a="1"/>
  <c r="U805" i="4" a="1"/>
  <c r="U119" i="4" a="1"/>
  <c r="U238" i="4" a="1"/>
  <c r="AK1663" i="3" a="1"/>
  <c r="AI1472" i="3" a="1"/>
  <c r="AK1698" i="3" a="1"/>
  <c r="AK102" i="3" a="1"/>
  <c r="AK1701" i="3" a="1"/>
  <c r="AI825" i="3" a="1"/>
  <c r="AA1064" i="3"/>
  <c r="AI2241" i="3" a="1"/>
  <c r="AI1857" i="3" a="1"/>
  <c r="AI371" i="3" a="1"/>
  <c r="AI367" i="3" a="1"/>
  <c r="AK1718" i="3" a="1"/>
  <c r="AK745" i="3" a="1"/>
  <c r="AI1562" i="3" a="1"/>
  <c r="AK250" i="3" a="1"/>
  <c r="AI295" i="3" a="1"/>
  <c r="AA824" i="3"/>
  <c r="AI1944" i="3" a="1"/>
  <c r="AA1474" i="3"/>
  <c r="AA175" i="3"/>
  <c r="AI1549" i="3" a="1"/>
  <c r="AK1679" i="3" a="1"/>
  <c r="AK1595" i="3" a="1"/>
  <c r="AK638" i="3" a="1"/>
  <c r="AK1570" i="3" a="1"/>
  <c r="AI1942" i="3" a="1"/>
  <c r="AI152" i="3" a="1"/>
  <c r="AK1592" i="3" a="1"/>
  <c r="AI1701" i="3" a="1"/>
  <c r="AK2159" i="3" a="1"/>
  <c r="AK576" i="3" a="1"/>
  <c r="AA1111" i="3"/>
  <c r="AI1645" i="3" a="1"/>
  <c r="AA1886" i="3"/>
  <c r="AK646" i="3" a="1"/>
  <c r="AI1636" i="3" a="1"/>
  <c r="AI1859" i="3" a="1"/>
  <c r="AI370" i="3" a="1"/>
  <c r="AK1441" i="3" a="1"/>
  <c r="AK625" i="3" a="1"/>
  <c r="AI286" i="3" a="1"/>
  <c r="AI1321" i="3" a="1"/>
  <c r="AA732" i="3"/>
  <c r="AA169" i="3"/>
  <c r="AK1935" i="3" a="1"/>
  <c r="AK534" i="3" a="1"/>
  <c r="AK1682" i="3" a="1"/>
  <c r="AA909" i="3"/>
  <c r="AI137" i="3" a="1"/>
  <c r="AI1676" i="3" a="1"/>
  <c r="AI1818" i="3" a="1"/>
  <c r="AA1482" i="3"/>
  <c r="AI2206" i="3" a="1"/>
  <c r="AK1724" i="3" a="1"/>
  <c r="AI1785" i="3" a="1"/>
  <c r="AK575" i="3" a="1"/>
  <c r="AI1904" i="3" a="1"/>
  <c r="AK2156" i="3" a="1"/>
  <c r="AI1916" i="3" a="1"/>
  <c r="AI157" i="3" a="1"/>
  <c r="AI1050" i="3" a="1"/>
  <c r="AA1501" i="3"/>
  <c r="AK509" i="3" a="1"/>
  <c r="AK1666" i="3" a="1"/>
  <c r="AA1494" i="3"/>
  <c r="AA1477" i="3"/>
  <c r="AK396" i="3" a="1"/>
  <c r="AI1939" i="3" a="1"/>
  <c r="AI530" i="3" a="1"/>
  <c r="AK1656" i="3" a="1"/>
  <c r="AI2230" i="3" a="1"/>
  <c r="AI556" i="3" a="1"/>
  <c r="AK128" i="3" a="1"/>
  <c r="AI2081" i="3" a="1"/>
  <c r="AK1664" i="3" a="1"/>
  <c r="AK780" i="3" a="1"/>
  <c r="AK554" i="3" a="1"/>
  <c r="AI1652" i="3" a="1"/>
  <c r="AI1956" i="3" a="1"/>
  <c r="AA1168" i="3"/>
  <c r="AA1099" i="3"/>
  <c r="AA1113" i="3"/>
  <c r="AK1696" i="3" a="1"/>
  <c r="T876" i="4" a="1"/>
  <c r="T883" i="4" a="1"/>
  <c r="T832" i="4" a="1"/>
  <c r="T279" i="4" a="1"/>
  <c r="T694" i="4" a="1"/>
  <c r="T646" i="4" a="1"/>
  <c r="T8" i="4" a="1"/>
  <c r="T133" i="4" a="1"/>
  <c r="T149" i="4" a="1"/>
  <c r="T590" i="4" a="1"/>
  <c r="T332" i="4" a="1"/>
  <c r="T579" i="4" a="1"/>
  <c r="T118" i="4" a="1"/>
  <c r="T492" i="4" a="1"/>
  <c r="T183" i="4" a="1"/>
  <c r="AA2233" i="3"/>
  <c r="AA756" i="3"/>
  <c r="AA374" i="3"/>
  <c r="AA1624" i="3"/>
  <c r="AA1819" i="3"/>
  <c r="AA959" i="3"/>
  <c r="AA951" i="3"/>
  <c r="AA583" i="3"/>
  <c r="AA584" i="3"/>
  <c r="AA598" i="3"/>
  <c r="AA620" i="3"/>
  <c r="T875" i="4" a="1"/>
  <c r="T905" i="4" a="1"/>
  <c r="T792" i="4" a="1"/>
  <c r="T273" i="4" a="1"/>
  <c r="T653" i="4" a="1"/>
  <c r="T858" i="4" a="1"/>
  <c r="T827" i="4" a="1"/>
  <c r="T128" i="4" a="1"/>
  <c r="T131" i="4" a="1"/>
  <c r="T546" i="4" a="1"/>
  <c r="T326" i="4" a="1"/>
  <c r="T560" i="4" a="1"/>
  <c r="T101" i="4" a="1"/>
  <c r="T475" i="4" a="1"/>
  <c r="T22" i="4" a="1"/>
  <c r="AA1921" i="3"/>
  <c r="AA616" i="3"/>
  <c r="AA253" i="3"/>
  <c r="AA1637" i="3"/>
  <c r="AA2245" i="3"/>
  <c r="AA1436" i="3"/>
  <c r="AA869" i="3"/>
  <c r="AA659" i="3"/>
  <c r="AA605" i="3"/>
  <c r="AA295" i="3"/>
  <c r="AA612" i="3"/>
  <c r="T849" i="4" a="1"/>
  <c r="T797" i="4" a="1"/>
  <c r="T704" i="4" a="1"/>
  <c r="T683" i="4" a="1"/>
  <c r="T604" i="4" a="1"/>
  <c r="T677" i="4" a="1"/>
  <c r="T583" i="4" a="1"/>
  <c r="T115" i="4" a="1"/>
  <c r="T41" i="4" a="1"/>
  <c r="T387" i="4" a="1"/>
  <c r="T266" i="4" a="1"/>
  <c r="T284" i="4" a="1"/>
  <c r="T435" i="4" a="1"/>
  <c r="T216" i="4" a="1"/>
  <c r="T71" i="4" a="1"/>
  <c r="AA2235" i="3"/>
  <c r="AA2089" i="3"/>
  <c r="AA2071" i="3"/>
  <c r="AA1741" i="3"/>
  <c r="AA1560" i="3"/>
  <c r="AA1675" i="3"/>
  <c r="AA1640" i="3"/>
  <c r="AA996" i="3"/>
  <c r="AA745" i="3"/>
  <c r="AA728" i="3"/>
  <c r="AA579" i="3"/>
  <c r="T915" i="4" a="1"/>
  <c r="T890" i="4" a="1"/>
  <c r="T852" i="4" a="1"/>
  <c r="T780" i="4" a="1"/>
  <c r="T535" i="4" a="1"/>
  <c r="T568" i="4" a="1"/>
  <c r="T507" i="4" a="1"/>
  <c r="T98" i="4" a="1"/>
  <c r="T793" i="4" a="1"/>
  <c r="T271" i="4" a="1"/>
  <c r="T190" i="4" a="1"/>
  <c r="T209" i="4" a="1"/>
  <c r="T311" i="4" a="1"/>
  <c r="T547" i="4" a="1"/>
  <c r="AA1779" i="3"/>
  <c r="AA2269" i="3"/>
  <c r="AA1898" i="3"/>
  <c r="AA112" i="3"/>
  <c r="AA1802" i="3"/>
  <c r="AA1705" i="3"/>
  <c r="AA1847" i="3"/>
  <c r="AA1726" i="3"/>
  <c r="AA639" i="3"/>
  <c r="AA999" i="3"/>
  <c r="AA599" i="3"/>
  <c r="AA539" i="3"/>
  <c r="U779" i="4" a="1"/>
  <c r="U333" i="4" a="1"/>
  <c r="U877" i="4" a="1"/>
  <c r="U82" i="4" a="1"/>
  <c r="U229" i="4" a="1"/>
  <c r="U393" i="4" a="1"/>
  <c r="U205" i="4" a="1"/>
  <c r="U898" i="4" a="1"/>
  <c r="U597" i="4" a="1"/>
  <c r="U387" i="4" a="1"/>
  <c r="U774" i="4" a="1"/>
  <c r="U843" i="4" a="1"/>
  <c r="U798" i="4" a="1"/>
  <c r="U276" i="4" a="1"/>
  <c r="U27" i="4" a="1"/>
  <c r="AK1693" i="3" a="1"/>
  <c r="AK1605" i="3" a="1"/>
  <c r="AI1719" i="3" a="1"/>
  <c r="AK2120" i="3" a="1"/>
  <c r="U494" i="4" a="1"/>
  <c r="U300" i="4" a="1"/>
  <c r="U881" i="4" a="1"/>
  <c r="U293" i="4" a="1"/>
  <c r="U692" i="4" a="1"/>
  <c r="U307" i="4" a="1"/>
  <c r="U819" i="4" a="1"/>
  <c r="U115" i="4" a="1"/>
  <c r="U583" i="4" a="1"/>
  <c r="U311" i="4" a="1"/>
  <c r="U491" i="4" a="1"/>
  <c r="U174" i="4" a="1"/>
  <c r="U365" i="4" a="1"/>
  <c r="AA1125" i="3"/>
  <c r="AK605" i="3" a="1"/>
  <c r="AI1849" i="3" a="1"/>
  <c r="AA2083" i="3"/>
  <c r="AK150" i="3" a="1"/>
  <c r="U888" i="4" a="1"/>
  <c r="U150" i="4" a="1"/>
  <c r="U71" i="4" a="1"/>
  <c r="U308" i="4" a="1"/>
  <c r="U660" i="4" a="1"/>
  <c r="U214" i="4" a="1"/>
  <c r="U196" i="4" a="1"/>
  <c r="U578" i="4" a="1"/>
  <c r="U127" i="4" a="1"/>
  <c r="U760" i="4" a="1"/>
  <c r="U56" i="4" a="1"/>
  <c r="U234" i="4" a="1"/>
  <c r="U108" i="4" a="1"/>
  <c r="U469" i="4" a="1"/>
  <c r="AA1271" i="3"/>
  <c r="AA769" i="3"/>
  <c r="AI1599" i="3" a="1"/>
  <c r="AK1980" i="3" a="1"/>
  <c r="U284" i="4" a="1"/>
  <c r="U668" i="4" a="1"/>
  <c r="U134" i="4" a="1"/>
  <c r="U573" i="4" a="1"/>
  <c r="U352" i="4" a="1"/>
  <c r="U266" i="4" a="1"/>
  <c r="U755" i="4" a="1"/>
  <c r="U720" i="4" a="1"/>
  <c r="U640" i="4" a="1"/>
  <c r="U878" i="4" a="1"/>
  <c r="U556" i="4" a="1"/>
  <c r="U262" i="4" a="1"/>
  <c r="U244" i="4" a="1"/>
  <c r="U886" i="4" a="1"/>
  <c r="AI1624" i="3" a="1"/>
  <c r="AK476" i="3" a="1"/>
  <c r="AA2134" i="3"/>
  <c r="AK650" i="3" a="1"/>
  <c r="AK1048" i="3" a="1"/>
  <c r="AK346" i="3" a="1"/>
  <c r="AI1013" i="3" a="1"/>
  <c r="AK1707" i="3" a="1"/>
  <c r="AI987" i="3" a="1"/>
  <c r="AI582" i="3" a="1"/>
  <c r="AA763" i="3"/>
  <c r="AK1702" i="3" a="1"/>
  <c r="AA1070" i="3"/>
  <c r="AK1631" i="3" a="1"/>
  <c r="AA2049" i="3"/>
  <c r="AI603" i="3" a="1"/>
  <c r="AK1577" i="3" a="1"/>
  <c r="AK2231" i="3" a="1"/>
  <c r="AA1462" i="3"/>
  <c r="AA170" i="3"/>
  <c r="AI2025" i="3" a="1"/>
  <c r="AA726" i="3"/>
  <c r="AK2011" i="3" a="1"/>
  <c r="AI539" i="3" a="1"/>
  <c r="AK408" i="3" a="1"/>
  <c r="AK2179" i="3" a="1"/>
  <c r="AK743" i="3" a="1"/>
  <c r="AA1869" i="3"/>
  <c r="AI1048" i="3" a="1"/>
  <c r="AK793" i="3" a="1"/>
  <c r="AK518" i="3" a="1"/>
  <c r="AA1110" i="3"/>
  <c r="AK1681" i="3" a="1"/>
  <c r="AA1392" i="3"/>
  <c r="AK770" i="3" a="1"/>
  <c r="AI1721" i="3" a="1"/>
  <c r="AA2171" i="3"/>
  <c r="AA2079" i="3"/>
  <c r="AI1918" i="3" a="1"/>
  <c r="AI288" i="3" a="1"/>
  <c r="AI749" i="3" a="1"/>
  <c r="AI2071" i="3" a="1"/>
  <c r="AA716" i="3"/>
  <c r="AA845" i="3"/>
  <c r="AK2230" i="3" a="1"/>
  <c r="AI95" i="3" a="1"/>
  <c r="AI2237" i="3" a="1"/>
  <c r="AK104" i="3" a="1"/>
  <c r="AI463" i="3" a="1"/>
  <c r="AI228" i="3" a="1"/>
  <c r="AK784" i="3" a="1"/>
  <c r="AK1301" i="3" a="1"/>
  <c r="AI902" i="3" a="1"/>
  <c r="AI354" i="3" a="1"/>
  <c r="AI1925" i="3" a="1"/>
  <c r="AI608" i="3" a="1"/>
  <c r="AA1998" i="3"/>
  <c r="AK795" i="3" a="1"/>
  <c r="AA961" i="3"/>
  <c r="AA1337" i="3"/>
  <c r="AK1563" i="3" a="1"/>
  <c r="AI1203" i="3" a="1"/>
  <c r="AA928" i="3"/>
  <c r="AI1740" i="3" a="1"/>
  <c r="AA2150" i="3"/>
  <c r="AK592" i="3" a="1"/>
  <c r="AK1649" i="3" a="1"/>
  <c r="AI2235" i="3" a="1"/>
  <c r="AI151" i="3" a="1"/>
  <c r="AK1560" i="3" a="1"/>
  <c r="AI2158" i="3" a="1"/>
  <c r="AI464" i="3" a="1"/>
  <c r="AA2019" i="3"/>
  <c r="AA766" i="3"/>
  <c r="AK2076" i="3" a="1"/>
  <c r="AI1954" i="3" a="1"/>
  <c r="AK641" i="3" a="1"/>
  <c r="AI783" i="3" a="1"/>
  <c r="AI1957" i="3" a="1"/>
  <c r="AK1888" i="3" a="1"/>
  <c r="AI1844" i="3" a="1"/>
  <c r="AK363" i="3" a="1"/>
  <c r="AA1507" i="3"/>
  <c r="AI651" i="3" a="1"/>
  <c r="AK597" i="3" a="1"/>
  <c r="AI146" i="3" a="1"/>
  <c r="AK1050" i="3" a="1"/>
  <c r="AK1622" i="3" a="1"/>
  <c r="AA91" i="3"/>
  <c r="AK1650" i="3" a="1"/>
  <c r="AK596" i="3" a="1"/>
  <c r="AI571" i="3" a="1"/>
  <c r="AA2277" i="3"/>
  <c r="AK1607" i="3" a="1"/>
  <c r="AA1475" i="3"/>
  <c r="AA173" i="3"/>
  <c r="AK1943" i="3" a="1"/>
  <c r="AA1329" i="3"/>
  <c r="AI128" i="3" a="1"/>
  <c r="AK1572" i="3" a="1"/>
  <c r="AK134" i="3" a="1"/>
  <c r="AI2014" i="3" a="1"/>
  <c r="AK280" i="3" a="1"/>
  <c r="AI822" i="3" a="1"/>
  <c r="AK59" i="3" a="1"/>
  <c r="AI911" i="3" a="1"/>
  <c r="AI1329" i="3" a="1"/>
  <c r="AI2005" i="3" a="1"/>
  <c r="AI2079" i="3" a="1"/>
  <c r="AK283" i="3" a="1"/>
  <c r="AK2051" i="3" a="1"/>
  <c r="AK2168" i="3" a="1"/>
  <c r="AK2165" i="3" a="1"/>
  <c r="AK1783" i="3" a="1"/>
  <c r="AK1072" i="3" a="1"/>
  <c r="AI1146" i="3" a="1"/>
  <c r="AK2003" i="3" a="1"/>
  <c r="AI2004" i="3" a="1"/>
  <c r="AI971" i="3" a="1"/>
  <c r="AI724" i="3" a="1"/>
  <c r="AI1396" i="3" a="1"/>
  <c r="AK205" i="3" a="1"/>
  <c r="AI916" i="3" a="1"/>
  <c r="AI2142" i="3" a="1"/>
  <c r="AI2258" i="3" a="1"/>
  <c r="AI1070" i="3" a="1"/>
  <c r="AI1198" i="3" a="1"/>
  <c r="AI1456" i="3" a="1"/>
  <c r="AK1885" i="3" a="1"/>
  <c r="AK1176" i="3" a="1"/>
  <c r="AK1178" i="3" a="1"/>
  <c r="AK1333" i="3" a="1"/>
  <c r="AK1870" i="3" a="1"/>
  <c r="AI1556" i="3" a="1"/>
  <c r="AI2080" i="3" a="1"/>
  <c r="AI968" i="3" a="1"/>
  <c r="AK1509" i="3" a="1"/>
  <c r="AK1096" i="3" a="1"/>
  <c r="AK1125" i="3" a="1"/>
  <c r="AI1869" i="3" a="1"/>
  <c r="AI2070" i="3" a="1"/>
  <c r="AI1108" i="3" a="1"/>
  <c r="AI851" i="3" a="1"/>
  <c r="AK254" i="3" a="1"/>
  <c r="AK63" i="3" a="1"/>
  <c r="AI972" i="3" a="1"/>
  <c r="AK165" i="3" a="1"/>
  <c r="AI977" i="3" a="1"/>
  <c r="AK716" i="3" a="1"/>
  <c r="AK1915" i="3" a="1"/>
  <c r="AK563" i="3" a="1"/>
  <c r="AA1521" i="3"/>
  <c r="AI788" i="3" a="1"/>
  <c r="AA1176" i="3"/>
  <c r="AI1643" i="3" a="1"/>
  <c r="AK1977" i="3" a="1"/>
  <c r="AI740" i="3" a="1"/>
  <c r="AK1728" i="3" a="1"/>
  <c r="AK1316" i="3" a="1"/>
  <c r="AI2285" i="3" a="1"/>
  <c r="AI611" i="3" a="1"/>
  <c r="AI1656" i="3" a="1"/>
  <c r="AK1917" i="3" a="1"/>
  <c r="AA2026" i="3"/>
  <c r="AI82" i="3" a="1"/>
  <c r="AA1061" i="3"/>
  <c r="AI1568" i="3" a="1"/>
  <c r="AI2036" i="3" a="1"/>
  <c r="AI743" i="3" a="1"/>
  <c r="AA1870" i="3"/>
  <c r="AK2079" i="3" a="1"/>
  <c r="AI2277" i="3" a="1"/>
  <c r="AK2171" i="3" a="1"/>
  <c r="AK734" i="3" a="1"/>
  <c r="AI1997" i="3" a="1"/>
  <c r="AI2166" i="3" a="1"/>
  <c r="AK2163" i="3" a="1"/>
  <c r="AK850" i="3" a="1"/>
  <c r="AI1141" i="3" a="1"/>
  <c r="AK918" i="3" a="1"/>
  <c r="AK2272" i="3" a="1"/>
  <c r="AK1402" i="3" a="1"/>
  <c r="AI2150" i="3" a="1"/>
  <c r="AI1467" i="3" a="1"/>
  <c r="AI759" i="3" a="1"/>
  <c r="AK851" i="3" a="1"/>
  <c r="AI2019" i="3" a="1"/>
  <c r="AK2068" i="3" a="1"/>
  <c r="AI2253" i="3" a="1"/>
  <c r="AK1112" i="3" a="1"/>
  <c r="AI961" i="3" a="1"/>
  <c r="AK345" i="3" a="1"/>
  <c r="AK1074" i="3" a="1"/>
  <c r="AK1099" i="3" a="1"/>
  <c r="AK1162" i="3" a="1"/>
  <c r="AK1168" i="3" a="1"/>
  <c r="AI1516" i="3" a="1"/>
  <c r="AK910" i="3" a="1"/>
  <c r="AK722" i="3" a="1"/>
  <c r="AK1061" i="3" a="1"/>
  <c r="AK1482" i="3" a="1"/>
  <c r="AK62" i="3" a="1"/>
  <c r="AI1189" i="3" a="1"/>
  <c r="AK214" i="3" a="1"/>
  <c r="AI2252" i="3" a="1"/>
  <c r="AK1455" i="3" a="1"/>
  <c r="AK727" i="3" a="1"/>
  <c r="AI2217" i="3" a="1"/>
  <c r="AI2026" i="3" a="1"/>
  <c r="AK1400" i="3" a="1"/>
  <c r="AI2068" i="3" a="1"/>
  <c r="AI1098" i="3" a="1"/>
  <c r="AI1170" i="3" a="1"/>
  <c r="AK164" i="3" a="1"/>
  <c r="AI1174" i="3" a="1"/>
  <c r="AI1190" i="3" a="1"/>
  <c r="AK648" i="3" a="1"/>
  <c r="AK1437" i="3" a="1"/>
  <c r="AK1982" i="3" a="1"/>
  <c r="AK562" i="3" a="1"/>
  <c r="AI1672" i="3" a="1"/>
  <c r="AA1409" i="3"/>
  <c r="AK197" i="3" a="1"/>
  <c r="AA2142" i="3"/>
  <c r="AK1944" i="3" a="1"/>
  <c r="AK609" i="3" a="1"/>
  <c r="AI652" i="3" a="1"/>
  <c r="AK398" i="3" a="1"/>
  <c r="AK620" i="3" a="1"/>
  <c r="AK447" i="3" a="1"/>
  <c r="AI1920" i="3" a="1"/>
  <c r="AI522" i="3" a="1"/>
  <c r="AI449" i="3" a="1"/>
  <c r="AI2012" i="3" a="1"/>
  <c r="AI1711" i="3" a="1"/>
  <c r="AK1593" i="3" a="1"/>
  <c r="AK1513" i="3" a="1"/>
  <c r="AI1519" i="3" a="1"/>
  <c r="AK1430" i="3" a="1"/>
  <c r="AK769" i="3" a="1"/>
  <c r="AK1141" i="3" a="1"/>
  <c r="AI766" i="3" a="1"/>
  <c r="AI1195" i="3" a="1"/>
  <c r="AK1794" i="3" a="1"/>
  <c r="AI283" i="3" a="1"/>
  <c r="AI1370" i="3" a="1"/>
  <c r="AK725" i="3" a="1"/>
  <c r="AI1513" i="3" a="1"/>
  <c r="AK1485" i="3" a="1"/>
  <c r="AK2281" i="3" a="1"/>
  <c r="AK2217" i="3" a="1"/>
  <c r="AI1251" i="3" a="1"/>
  <c r="AI738" i="3" a="1"/>
  <c r="AK83" i="3" a="1"/>
  <c r="AK967" i="3" a="1"/>
  <c r="AK926" i="3" a="1"/>
  <c r="AI1870" i="3" a="1"/>
  <c r="AK1480" i="3" a="1"/>
  <c r="AK768" i="3" a="1"/>
  <c r="AK2064" i="3" a="1"/>
  <c r="AK2065" i="3" a="1"/>
  <c r="AK2147" i="3" a="1"/>
  <c r="AK1454" i="3" a="1"/>
  <c r="AI1359" i="3" a="1"/>
  <c r="AK1070" i="3" a="1"/>
  <c r="AI1429" i="3" a="1"/>
  <c r="AI168" i="3" a="1"/>
  <c r="AK1451" i="3" a="1"/>
  <c r="AI113" i="3" a="1"/>
  <c r="AI1403" i="3" a="1"/>
  <c r="AK1084" i="3" a="1"/>
  <c r="AK1086" i="3" a="1"/>
  <c r="AK1063" i="3" a="1"/>
  <c r="AK724" i="3" a="1"/>
  <c r="AI763" i="3" a="1"/>
  <c r="AK762" i="3" a="1"/>
  <c r="AK739" i="3" a="1"/>
  <c r="AK1143" i="3" a="1"/>
  <c r="AK1353" i="3" a="1"/>
  <c r="AI834" i="3" a="1"/>
  <c r="AK1271" i="3" a="1"/>
  <c r="AA2166" i="3"/>
  <c r="AA1334" i="3"/>
  <c r="AK857" i="3" a="1"/>
  <c r="AI465" i="3" a="1"/>
  <c r="AI1647" i="3" a="1"/>
  <c r="AI335" i="3" a="1"/>
  <c r="AK622" i="3" a="1"/>
  <c r="AI592" i="3" a="1"/>
  <c r="AK1738" i="3" a="1"/>
  <c r="AI227" i="3" a="1"/>
  <c r="AI578" i="3" a="1"/>
  <c r="AA168" i="3"/>
  <c r="AK616" i="3" a="1"/>
  <c r="AK618" i="3" a="1"/>
  <c r="AI1600" i="3" a="1"/>
  <c r="AI612" i="3" a="1"/>
  <c r="AI640" i="3" a="1"/>
  <c r="AI1598" i="3" a="1"/>
  <c r="AA760" i="3"/>
  <c r="AI1733" i="3" a="1"/>
  <c r="AI99" i="3" a="1"/>
  <c r="AK1971" i="3" a="1"/>
  <c r="AK766" i="3" a="1"/>
  <c r="AI2219" i="3" a="1"/>
  <c r="AK2151" i="3" a="1"/>
  <c r="AI1475" i="3" a="1"/>
  <c r="AI836" i="3" a="1"/>
  <c r="AK1502" i="3" a="1"/>
  <c r="AK1491" i="3" a="1"/>
  <c r="AK2166" i="3" a="1"/>
  <c r="AI830" i="3" a="1"/>
  <c r="AI191" i="3" a="1"/>
  <c r="AK911" i="3" a="1"/>
  <c r="AI2188" i="3" a="1"/>
  <c r="AK273" i="3" a="1"/>
  <c r="AK1415" i="3" a="1"/>
  <c r="AI1099" i="3" a="1"/>
  <c r="AI63" i="3" a="1"/>
  <c r="AI1367" i="3" a="1"/>
  <c r="AI1464" i="3" a="1"/>
  <c r="AK718" i="3" a="1"/>
  <c r="AK928" i="3" a="1"/>
  <c r="AI2045" i="3" a="1"/>
  <c r="AK168" i="3" a="1"/>
  <c r="AK91" i="3" a="1"/>
  <c r="AI83" i="3" a="1"/>
  <c r="AI1409" i="3" a="1"/>
  <c r="AI1084" i="3" a="1"/>
  <c r="AI817" i="3" a="1"/>
  <c r="AI345" i="3" a="1"/>
  <c r="AK758" i="3" a="1"/>
  <c r="AK1511" i="3" a="1"/>
  <c r="AI1885" i="3" a="1"/>
  <c r="AK1087" i="3" a="1"/>
  <c r="AI2133" i="3" a="1"/>
  <c r="AK1152" i="3" a="1"/>
  <c r="AK834" i="3" a="1"/>
  <c r="AI1998" i="3" a="1"/>
  <c r="AK1417" i="3" a="1"/>
  <c r="AK1535" i="3" a="1"/>
  <c r="AK2056" i="3" a="1"/>
  <c r="AK1367" i="3" a="1"/>
  <c r="AK1172" i="3" a="1"/>
  <c r="AK1407" i="3" a="1"/>
  <c r="AI1793" i="3" a="1"/>
  <c r="Z194" i="4"/>
  <c r="Y510" i="4"/>
  <c r="Y376" i="4"/>
  <c r="Y730" i="4"/>
  <c r="Y18" i="4"/>
  <c r="Y748" i="4"/>
  <c r="Y758" i="4"/>
  <c r="Y746" i="4"/>
  <c r="Z447" i="4"/>
  <c r="Z748" i="4"/>
  <c r="Y194" i="4"/>
  <c r="AI642" i="3" a="1"/>
  <c r="AK992" i="3" a="1"/>
  <c r="AI665" i="3" a="1"/>
  <c r="AA1174" i="3"/>
  <c r="AI1580" i="3" a="1"/>
  <c r="AK1534" i="3" a="1"/>
  <c r="AK295" i="3" a="1"/>
  <c r="AK1008" i="3" a="1"/>
  <c r="AK207" i="3" a="1"/>
  <c r="AK368" i="3" a="1"/>
  <c r="AI557" i="3" a="1"/>
  <c r="AI953" i="3" a="1"/>
  <c r="AA2068" i="3"/>
  <c r="AI1331" i="3" a="1"/>
  <c r="AI1688" i="3" a="1"/>
  <c r="AA1367" i="3"/>
  <c r="AK1855" i="3" a="1"/>
  <c r="AA1974" i="3"/>
  <c r="AK152" i="3" a="1"/>
  <c r="AK1987" i="3" a="1"/>
  <c r="AI2151" i="3" a="1"/>
  <c r="AI2273" i="3" a="1"/>
  <c r="AK836" i="3" a="1"/>
  <c r="AI974" i="3" a="1"/>
  <c r="AI2165" i="3" a="1"/>
  <c r="AK414" i="3" a="1"/>
  <c r="AK1521" i="3" a="1"/>
  <c r="AK182" i="3" a="1"/>
  <c r="AI1197" i="3" a="1"/>
  <c r="AK203" i="3" a="1"/>
  <c r="AK845" i="3" a="1"/>
  <c r="AK1474" i="3" a="1"/>
  <c r="AI1272" i="3" a="1"/>
  <c r="AK925" i="3" a="1"/>
  <c r="AI1073" i="3" a="1"/>
  <c r="AI1417" i="3" a="1"/>
  <c r="AI1973" i="3" a="1"/>
  <c r="AI2144" i="3" a="1"/>
  <c r="AK235" i="3" a="1"/>
  <c r="AI1505" i="3" a="1"/>
  <c r="AK1450" i="3" a="1"/>
  <c r="AK1166" i="3" a="1"/>
  <c r="AI1394" i="3" a="1"/>
  <c r="AI1075" i="3" a="1"/>
  <c r="AK1100" i="3" a="1"/>
  <c r="AI1096" i="3" a="1"/>
  <c r="AI967" i="3" a="1"/>
  <c r="AI761" i="3" a="1"/>
  <c r="AI727" i="3" a="1"/>
  <c r="AI2187" i="3" a="1"/>
  <c r="AI1466" i="3" a="1"/>
  <c r="AK1124" i="3" a="1"/>
  <c r="AI1162" i="3" a="1"/>
  <c r="AI1122" i="3" a="1"/>
  <c r="AI840" i="3" a="1"/>
  <c r="AK2140" i="3" a="1"/>
  <c r="AK909" i="3" a="1"/>
  <c r="AI48" i="3" a="1"/>
  <c r="AK49" i="3" a="1"/>
  <c r="AK2019" i="3" a="1"/>
  <c r="AK2144" i="3" a="1"/>
  <c r="AI1110" i="3" a="1"/>
  <c r="AI966" i="3" a="1"/>
  <c r="AK961" i="3" a="1"/>
  <c r="AI2049" i="3" a="1"/>
  <c r="AI1284" i="3" a="1"/>
  <c r="AA1450" i="3"/>
  <c r="AA925" i="3"/>
  <c r="AK2098" i="3" a="1"/>
  <c r="AI590" i="3" a="1"/>
  <c r="AI1648" i="3" a="1"/>
  <c r="AI1323" i="3" a="1"/>
  <c r="AI600" i="3" a="1"/>
  <c r="AI1633" i="3" a="1"/>
  <c r="AK796" i="3" a="1"/>
  <c r="AK643" i="3" a="1"/>
  <c r="AK809" i="3" a="1"/>
  <c r="AK1438" i="3" a="1"/>
  <c r="AK196" i="3" a="1"/>
  <c r="AI959" i="3" a="1"/>
  <c r="AI778" i="3" a="1"/>
  <c r="AI322" i="3" a="1"/>
  <c r="AI1909" i="3" a="1"/>
  <c r="AK154" i="3" a="1"/>
  <c r="AK1963" i="3" a="1"/>
  <c r="AA1139" i="3"/>
  <c r="AK1543" i="3" a="1"/>
  <c r="AI1413" i="3" a="1"/>
  <c r="AI1483" i="3" a="1"/>
  <c r="AK838" i="3" a="1"/>
  <c r="AK1428" i="3" a="1"/>
  <c r="AI1196" i="3" a="1"/>
  <c r="AK2083" i="3" a="1"/>
  <c r="AI726" i="3" a="1"/>
  <c r="AK1475" i="3" a="1"/>
  <c r="AK2275" i="3" a="1"/>
  <c r="AK971" i="3" a="1"/>
  <c r="AI1543" i="3" a="1"/>
  <c r="AI1783" i="3" a="1"/>
  <c r="AK204" i="3" a="1"/>
  <c r="AK48" i="3" a="1"/>
  <c r="AI843" i="3" a="1"/>
  <c r="AK1175" i="3" a="1"/>
  <c r="AK94" i="3" a="1"/>
  <c r="AK1110" i="3" a="1"/>
  <c r="AK1310" i="3" a="1"/>
  <c r="AK1244" i="3" a="1"/>
  <c r="AI1465" i="3" a="1"/>
  <c r="AK1183" i="3" a="1"/>
  <c r="AI62" i="3" a="1"/>
  <c r="AI205" i="3" a="1"/>
  <c r="AK114" i="3" a="1"/>
  <c r="AK2252" i="3" a="1"/>
  <c r="AK2258" i="3" a="1"/>
  <c r="AI928" i="3" a="1"/>
  <c r="AK1039" i="3" a="1"/>
  <c r="AK2026" i="3" a="1"/>
  <c r="AK172" i="3" a="1"/>
  <c r="AI1308" i="3" a="1"/>
  <c r="AK1453" i="3" a="1"/>
  <c r="AI165" i="3" a="1"/>
  <c r="AI1507" i="3" a="1"/>
  <c r="AI2254" i="3" a="1"/>
  <c r="AK1503" i="3" a="1"/>
  <c r="AI1501" i="3" a="1"/>
  <c r="AI1175" i="3" a="1"/>
  <c r="AI94" i="3" a="1"/>
  <c r="AI1125" i="3" a="1"/>
  <c r="AI926" i="3" a="1"/>
  <c r="AK1246" i="3" a="1"/>
  <c r="AK1108" i="3" a="1"/>
  <c r="AK1941" i="3" a="1"/>
  <c r="AK753" i="3" a="1"/>
  <c r="AA413" i="3"/>
  <c r="AI647" i="3" a="1"/>
  <c r="AK1825" i="3" a="1"/>
  <c r="AI76" i="3" a="1"/>
  <c r="AI1948" i="3" a="1"/>
  <c r="AA1476" i="3"/>
  <c r="AI1649" i="3" a="1"/>
  <c r="AA2045" i="3"/>
  <c r="AK1446" i="3" a="1"/>
  <c r="AA2273" i="3"/>
  <c r="AK208" i="3" a="1"/>
  <c r="AI1040" i="3" a="1"/>
  <c r="AI832" i="3" a="1"/>
  <c r="AI2084" i="3" a="1"/>
  <c r="AI583" i="3" a="1"/>
  <c r="AI1687" i="3" a="1"/>
  <c r="AK728" i="3" a="1"/>
  <c r="AK1618" i="3" a="1"/>
  <c r="AK1858" i="3" a="1"/>
  <c r="AK60" i="3" a="1"/>
  <c r="AK2078" i="3" a="1"/>
  <c r="AI2281" i="3" a="1"/>
  <c r="AK1245" i="3" a="1"/>
  <c r="AK2273" i="3" a="1"/>
  <c r="AK1477" i="3" a="1"/>
  <c r="AK1311" i="3" a="1"/>
  <c r="AK413" i="3" a="1"/>
  <c r="AI414" i="3" a="1"/>
  <c r="AK1467" i="3" a="1"/>
  <c r="AK759" i="3" a="1"/>
  <c r="AI1971" i="3" a="1"/>
  <c r="AI918" i="3" a="1"/>
  <c r="AI823" i="3" a="1"/>
  <c r="AI824" i="3" a="1"/>
  <c r="AK1075" i="3" a="1"/>
  <c r="AI2056" i="3" a="1"/>
  <c r="AI1149" i="3" a="1"/>
  <c r="AI1425" i="3" a="1"/>
  <c r="AK1792" i="3" a="1"/>
  <c r="AK2049" i="3" a="1"/>
  <c r="AK841" i="3" a="1"/>
  <c r="AK1398" i="3" a="1"/>
  <c r="AK93" i="3" a="1"/>
  <c r="AK2255" i="3" a="1"/>
  <c r="AK2253" i="3" a="1"/>
  <c r="AK1449" i="3" a="1"/>
  <c r="AI344" i="3" a="1"/>
  <c r="AI1166" i="3" a="1"/>
  <c r="AI1074" i="3" a="1"/>
  <c r="AI1527" i="3" a="1"/>
  <c r="AI762" i="3" a="1"/>
  <c r="AI739" i="3" a="1"/>
  <c r="AI1164" i="3" a="1"/>
  <c r="AI1515" i="3" a="1"/>
  <c r="AK344" i="3" a="1"/>
  <c r="AI166" i="3" a="1"/>
  <c r="AK1097" i="3" a="1"/>
  <c r="AI1496" i="3" a="1"/>
  <c r="AK2090" i="3" a="1"/>
  <c r="AI214" i="3" a="1"/>
  <c r="AK2142" i="3" a="1"/>
  <c r="AI1455" i="3" a="1"/>
  <c r="AI1356" i="3" a="1"/>
  <c r="AK123" i="3" a="1"/>
  <c r="AK579" i="3" a="1"/>
  <c r="AI511" i="3" a="1"/>
  <c r="AI797" i="3" a="1"/>
  <c r="AI1958" i="3" a="1"/>
  <c r="AI97" i="3" a="1"/>
  <c r="AK243" i="3" a="1"/>
  <c r="AK528" i="3" a="1"/>
  <c r="AK624" i="3" a="1"/>
  <c r="AK1665" i="3" a="1"/>
  <c r="AI810" i="3" a="1"/>
  <c r="AK2057" i="3" a="1"/>
  <c r="AI339" i="3" a="1"/>
  <c r="AK2025" i="3" a="1"/>
  <c r="AK124" i="3" a="1"/>
  <c r="AI1635" i="3" a="1"/>
  <c r="AK1547" i="3" a="1"/>
  <c r="AI341" i="3" a="1"/>
  <c r="AK789" i="3" a="1"/>
  <c r="AI1003" i="3" a="1"/>
  <c r="AK245" i="3" a="1"/>
  <c r="AK285" i="3" a="1"/>
  <c r="AK2129" i="3" a="1"/>
  <c r="AI1477" i="3" a="1"/>
  <c r="AI2168" i="3" a="1"/>
  <c r="AI1523" i="3" a="1"/>
  <c r="AI2050" i="3" a="1"/>
  <c r="AK2040" i="3" a="1"/>
  <c r="AK1392" i="3" a="1"/>
  <c r="AI1479" i="3" a="1"/>
  <c r="AI1478" i="3" a="1"/>
  <c r="AK2186" i="3" a="1"/>
  <c r="AI170" i="3" a="1"/>
  <c r="AK2277" i="3" a="1"/>
  <c r="AK1370" i="3" a="1"/>
  <c r="AI1468" i="3" a="1"/>
  <c r="AI1097" i="3" a="1"/>
  <c r="AI233" i="3" a="1"/>
  <c r="AI924" i="3" a="1"/>
  <c r="AK1462" i="3" a="1"/>
  <c r="AI1449" i="3" a="1"/>
  <c r="AK1173" i="3" a="1"/>
  <c r="AK1089" i="3" a="1"/>
  <c r="AI1415" i="3" a="1"/>
  <c r="AK984" i="3" a="1"/>
  <c r="AK1076" i="3" a="1"/>
  <c r="AK1109" i="3" a="1"/>
  <c r="AK1083" i="3" a="1"/>
  <c r="AK1869" i="3" a="1"/>
  <c r="AI909" i="3" a="1"/>
  <c r="AI1480" i="3" a="1"/>
  <c r="AI768" i="3" a="1"/>
  <c r="AI1535" i="3" a="1"/>
  <c r="AI1100" i="3" a="1"/>
  <c r="AI1062" i="3" a="1"/>
  <c r="AI2146" i="3" a="1"/>
  <c r="AI839" i="3" a="1"/>
  <c r="AK1356" i="3" a="1"/>
  <c r="AK927" i="3" a="1"/>
  <c r="AI1482" i="3" a="1"/>
  <c r="AI719" i="3" a="1"/>
  <c r="AK924" i="3" a="1"/>
  <c r="AK1403" i="3" a="1"/>
  <c r="AK1064" i="3" a="1"/>
  <c r="AI1450" i="3" a="1"/>
  <c r="AI2152" i="3" a="1"/>
  <c r="Y715" i="4"/>
  <c r="Z758" i="4"/>
  <c r="Y447" i="4"/>
  <c r="Y756" i="4"/>
  <c r="Z510" i="4"/>
  <c r="Y19" i="4"/>
  <c r="Y578" i="4"/>
  <c r="Z192" i="4"/>
  <c r="Y461" i="4"/>
  <c r="Y755" i="4"/>
  <c r="AK589" i="3" a="1"/>
  <c r="AK663" i="3" a="1"/>
  <c r="AI1976" i="3" a="1"/>
  <c r="AI321" i="3" a="1"/>
  <c r="AI1590" i="3" a="1"/>
  <c r="AK331" i="3" a="1"/>
  <c r="AK515" i="3" a="1"/>
  <c r="AI292" i="3" a="1"/>
  <c r="AI775" i="3" a="1"/>
  <c r="AK2055" i="3" a="1"/>
  <c r="AK513" i="3" a="1"/>
  <c r="AK1637" i="3" a="1"/>
  <c r="AA2147" i="3"/>
  <c r="AI2138" i="3" a="1"/>
  <c r="AI1951" i="3" a="1"/>
  <c r="AK360" i="3" a="1"/>
  <c r="AI2020" i="3" a="1"/>
  <c r="AK598" i="3" a="1"/>
  <c r="AI472" i="3" a="1"/>
  <c r="AI343" i="3" a="1"/>
  <c r="AK1523" i="3" a="1"/>
  <c r="AI2170" i="3" a="1"/>
  <c r="AI2163" i="3" a="1"/>
  <c r="AI850" i="3" a="1"/>
  <c r="AK1197" i="3" a="1"/>
  <c r="AK1478" i="3" a="1"/>
  <c r="AK190" i="3" a="1"/>
  <c r="AK1974" i="3" a="1"/>
  <c r="AI173" i="3" a="1"/>
  <c r="AI2130" i="3" a="1"/>
  <c r="AI1502" i="3" a="1"/>
  <c r="AI1491" i="3" a="1"/>
  <c r="AK1519" i="3" a="1"/>
  <c r="AI837" i="3" a="1"/>
  <c r="AI927" i="3" a="1"/>
  <c r="AI1398" i="3" a="1"/>
  <c r="AI1281" i="3" a="1"/>
  <c r="AK1452" i="3" a="1"/>
  <c r="AK2021" i="3" a="1"/>
  <c r="AK2134" i="3" a="1"/>
  <c r="AK817" i="3" a="1"/>
  <c r="AI769" i="3" a="1"/>
  <c r="AK1395" i="3" a="1"/>
  <c r="AI1124" i="3" a="1"/>
  <c r="AK1123" i="3" a="1"/>
  <c r="AK916" i="3" a="1"/>
  <c r="AK840" i="3" a="1"/>
  <c r="AI1792" i="3" a="1"/>
  <c r="AK1358" i="3" a="1"/>
  <c r="AK1198" i="3" a="1"/>
  <c r="AI2007" i="3" a="1"/>
  <c r="AI1269" i="3" a="1"/>
  <c r="AK1968" i="3" a="1"/>
  <c r="AI1884" i="3" a="1"/>
  <c r="AI1335" i="3" a="1"/>
  <c r="AI1334" i="3" a="1"/>
  <c r="AI716" i="3" a="1"/>
  <c r="AK824" i="3" a="1"/>
  <c r="AK803" i="3" a="1"/>
  <c r="AI1451" i="3" a="1"/>
  <c r="AI1452" i="3" a="1"/>
  <c r="AK1369" i="3" a="1"/>
  <c r="AI1152" i="3" a="1"/>
  <c r="AI1332" i="3" a="1"/>
  <c r="AK1998" i="3" a="1"/>
  <c r="AI1596" i="3" a="1"/>
  <c r="AK748" i="3" a="1"/>
  <c r="AI829" i="3" a="1"/>
  <c r="AI1436" i="3" a="1"/>
  <c r="AA977" i="3"/>
  <c r="AK1740" i="3" a="1"/>
  <c r="AK1830" i="3" a="1"/>
  <c r="AA803" i="3"/>
  <c r="AI396" i="3" a="1"/>
  <c r="AK251" i="3" a="1"/>
  <c r="AK580" i="3" a="1"/>
  <c r="AA843" i="3"/>
  <c r="AK1558" i="3" a="1"/>
  <c r="AI534" i="3" a="1"/>
  <c r="AK2015" i="3" a="1"/>
  <c r="AK2063" i="3" a="1"/>
  <c r="AI736" i="3" a="1"/>
  <c r="AI862" i="3" a="1"/>
  <c r="AK1978" i="3" a="1"/>
  <c r="AK108" i="3" a="1"/>
  <c r="AK1946" i="3" a="1"/>
  <c r="AI1428" i="3" a="1"/>
  <c r="AK1196" i="3" a="1"/>
  <c r="AI204" i="3" a="1"/>
  <c r="AK726" i="3" a="1"/>
  <c r="AK1330" i="3" a="1"/>
  <c r="AI174" i="3" a="1"/>
  <c r="AK171" i="3" a="1"/>
  <c r="AI1245" i="3" a="1"/>
  <c r="AK2050" i="3" a="1"/>
  <c r="AI1521" i="3" a="1"/>
  <c r="AK1073" i="3" a="1"/>
  <c r="AI60" i="3" a="1"/>
  <c r="AI2078" i="3" a="1"/>
  <c r="AI2272" i="3" a="1"/>
  <c r="AK2045" i="3" a="1"/>
  <c r="AI984" i="3" a="1"/>
  <c r="AI2090" i="3" a="1"/>
  <c r="AI1109" i="3" a="1"/>
  <c r="AI1143" i="3" a="1"/>
  <c r="AI849" i="3" a="1"/>
  <c r="AI1401" i="3" a="1"/>
  <c r="AI1557" i="3" a="1"/>
  <c r="AK2007" i="3" a="1"/>
  <c r="AK801" i="3" a="1"/>
  <c r="AK816" i="3" a="1"/>
  <c r="AI235" i="3" a="1"/>
  <c r="AK1335" i="3" a="1"/>
  <c r="AK1160" i="3" a="1"/>
  <c r="AK1312" i="3" a="1"/>
  <c r="AI1469" i="3" a="1"/>
  <c r="AK763" i="3" a="1"/>
  <c r="AI91" i="3" a="1"/>
  <c r="AI1337" i="3" a="1"/>
  <c r="AK1098" i="3" a="1"/>
  <c r="AK1170" i="3" a="1"/>
  <c r="AI1160" i="3" a="1"/>
  <c r="AK1174" i="3" a="1"/>
  <c r="AK184" i="3" a="1"/>
  <c r="AK771" i="3" a="1"/>
  <c r="AK772" i="3" a="1"/>
  <c r="AK1062" i="3" a="1"/>
  <c r="AK1464" i="3" a="1"/>
  <c r="AI2140" i="3" a="1"/>
  <c r="AI1139" i="3" a="1"/>
  <c r="AI123" i="3" a="1"/>
  <c r="AK582" i="3" a="1"/>
  <c r="AA762" i="3"/>
  <c r="AI2265" i="3" a="1"/>
  <c r="AK1318" i="3" a="1"/>
  <c r="AA1359" i="3"/>
  <c r="AI1440" i="3" a="1"/>
  <c r="AK654" i="3" a="1"/>
  <c r="AA1456" i="3"/>
  <c r="AI1657" i="3" a="1"/>
  <c r="AI613" i="3" a="1"/>
  <c r="AK983" i="3" a="1"/>
  <c r="AI952" i="3" a="1"/>
  <c r="AK1549" i="3" a="1"/>
  <c r="AK744" i="3" a="1"/>
  <c r="AA2003" i="3"/>
  <c r="AA765" i="3"/>
  <c r="AI2076" i="3" a="1"/>
  <c r="AK1954" i="3" a="1"/>
  <c r="AK757" i="3" a="1"/>
  <c r="AK1931" i="3" a="1"/>
  <c r="AI1402" i="3" a="1"/>
  <c r="AI1330" i="3" a="1"/>
  <c r="AI2278" i="3" a="1"/>
  <c r="AI273" i="3" a="1"/>
  <c r="AI2183" i="3" a="1"/>
  <c r="AK835" i="3" a="1"/>
  <c r="AI970" i="3" a="1"/>
  <c r="AI734" i="3" a="1"/>
  <c r="AK1111" i="3" a="1"/>
  <c r="AI1071" i="3" a="1"/>
  <c r="AK837" i="3" a="1"/>
  <c r="AI1794" i="3" a="1"/>
  <c r="AK173" i="3" a="1"/>
  <c r="AK2278" i="3" a="1"/>
  <c r="AK2164" i="3" a="1"/>
  <c r="AI184" i="3" a="1"/>
  <c r="AI254" i="3" a="1"/>
  <c r="AK721" i="3" a="1"/>
  <c r="AI815" i="3" a="1"/>
  <c r="AI1172" i="3" a="1"/>
  <c r="AK1359" i="3" a="1"/>
  <c r="AI1512" i="3" a="1"/>
  <c r="AK1429" i="3" a="1"/>
  <c r="AK1527" i="3" a="1"/>
  <c r="AI969" i="3" a="1"/>
  <c r="AI1886" i="3" a="1"/>
  <c r="AI2021" i="3" a="1"/>
  <c r="AK1515" i="3" a="1"/>
  <c r="AI760" i="3" a="1"/>
  <c r="AK1465" i="3" a="1"/>
  <c r="AI1183" i="3" a="1"/>
  <c r="AK1496" i="3" a="1"/>
  <c r="AI1076" i="3" a="1"/>
  <c r="AI1537" i="3" a="1"/>
  <c r="AK848" i="3" a="1"/>
  <c r="AK723" i="3" a="1"/>
  <c r="AK760" i="3" a="1"/>
  <c r="AK1121" i="3" a="1"/>
  <c r="AK976" i="3" a="1"/>
  <c r="AK1973" i="3" a="1"/>
  <c r="AI721" i="3" a="1"/>
  <c r="AI1453" i="3" a="1"/>
  <c r="AI1112" i="3" a="1"/>
  <c r="AK1334" i="3" a="1"/>
  <c r="AI1063" i="3" a="1"/>
  <c r="AA1527" i="3"/>
  <c r="AI614" i="3" a="1"/>
  <c r="AK1914" i="3" a="1"/>
  <c r="AI2116" i="3" a="1"/>
  <c r="AI658" i="3" a="1"/>
  <c r="AI1836" i="3" a="1"/>
  <c r="AA2050" i="3"/>
  <c r="AI637" i="3" a="1"/>
  <c r="AA2252" i="3"/>
  <c r="AI1934" i="3" a="1"/>
  <c r="AI785" i="3" a="1"/>
  <c r="AK195" i="3" a="1"/>
  <c r="AA1884" i="3"/>
  <c r="AI662" i="3" a="1"/>
  <c r="AA1398" i="3"/>
  <c r="AI776" i="3" a="1"/>
  <c r="AK510" i="3" a="1"/>
  <c r="AI1850" i="3" a="1"/>
  <c r="AI615" i="3" a="1"/>
  <c r="AK572" i="3" a="1"/>
  <c r="AK1704" i="3" a="1"/>
  <c r="AK2183" i="3" a="1"/>
  <c r="AK2150" i="3" a="1"/>
  <c r="AI925" i="3" a="1"/>
  <c r="AI182" i="3" a="1"/>
  <c r="AK1479" i="3" a="1"/>
  <c r="AK1071" i="3" a="1"/>
  <c r="AI1430" i="3" a="1"/>
  <c r="AK1146" i="3" a="1"/>
  <c r="AK2189" i="3" a="1"/>
  <c r="AK2004" i="3" a="1"/>
  <c r="AI1311" i="3" a="1"/>
  <c r="AI413" i="3" a="1"/>
  <c r="AK1413" i="3" a="1"/>
  <c r="AI1072" i="3" a="1"/>
  <c r="AI1121" i="3" a="1"/>
  <c r="AI976" i="3" a="1"/>
  <c r="AK732" i="3" a="1"/>
  <c r="AI730" i="3" a="1"/>
  <c r="AK1336" i="3" a="1"/>
  <c r="AK1101" i="3" a="1"/>
  <c r="AK1113" i="3" a="1"/>
  <c r="AK819" i="3" a="1"/>
  <c r="AK2080" i="3" a="1"/>
  <c r="AK1186" i="3" a="1"/>
  <c r="AK1536" i="3" a="1"/>
  <c r="AK1149" i="3" a="1"/>
  <c r="AK912" i="3" a="1"/>
  <c r="AK839" i="3" a="1"/>
  <c r="AK2254" i="3" a="1"/>
  <c r="AI841" i="3" a="1"/>
  <c r="AK1242" i="3" a="1"/>
  <c r="AK719" i="3" a="1"/>
  <c r="AI1123" i="3" a="1"/>
  <c r="AI2147" i="3" a="1"/>
  <c r="AK1408" i="3" a="1"/>
  <c r="AI1069" i="3" a="1"/>
  <c r="AK169" i="3" a="1"/>
  <c r="AI175" i="3" a="1"/>
  <c r="AK1251" i="3" a="1"/>
  <c r="AK1281" i="3" a="1"/>
  <c r="AK730" i="3" a="1"/>
  <c r="AK2133" i="3" a="1"/>
  <c r="AI1310" i="3" a="1"/>
  <c r="AI1086" i="3" a="1"/>
  <c r="AK1512" i="3" a="1"/>
  <c r="Y883" i="4"/>
  <c r="Z461" i="4"/>
  <c r="Y805" i="4"/>
  <c r="Y891" i="4"/>
  <c r="Y192" i="4"/>
  <c r="Y903" i="4"/>
  <c r="Z756" i="4"/>
  <c r="Y734" i="4"/>
  <c r="Y526" i="4"/>
  <c r="Y918" i="4"/>
  <c r="AK786" i="3" a="1"/>
  <c r="AI1985" i="3" a="1"/>
  <c r="AA1068" i="3"/>
  <c r="AI509" i="3" a="1"/>
  <c r="AI1666" i="3" a="1"/>
  <c r="AA2151" i="3"/>
  <c r="AI599" i="3" a="1"/>
  <c r="AI1822" i="3" a="1"/>
  <c r="AI2022" i="3" a="1"/>
  <c r="AI606" i="3" a="1"/>
  <c r="AK308" i="3" a="1"/>
  <c r="AK1732" i="3" a="1"/>
  <c r="AI535" i="3" a="1"/>
  <c r="AK2287" i="3" a="1"/>
  <c r="AA912" i="3"/>
  <c r="AK1457" i="3" a="1"/>
  <c r="AI1056" i="3" a="1"/>
  <c r="AA205" i="3"/>
  <c r="AA204" i="3"/>
  <c r="AI2161" i="3" a="1"/>
  <c r="AI1273" i="3" a="1"/>
  <c r="AK1371" i="3" a="1"/>
  <c r="AK1195" i="3" a="1"/>
  <c r="AK914" i="3" a="1"/>
  <c r="AI2189" i="3" a="1"/>
  <c r="AK2130" i="3" a="1"/>
  <c r="AK2219" i="3" a="1"/>
  <c r="AI1474" i="3" a="1"/>
  <c r="AI835" i="3" a="1"/>
  <c r="AI2040" i="3" a="1"/>
  <c r="AK1468" i="3" a="1"/>
  <c r="AK1273" i="3" a="1"/>
  <c r="AI203" i="3" a="1"/>
  <c r="AI845" i="3" a="1"/>
  <c r="AK175" i="3" a="1"/>
  <c r="AK1494" i="3" a="1"/>
  <c r="AI772" i="3" a="1"/>
  <c r="AK1886" i="3" a="1"/>
  <c r="AI1369" i="3" a="1"/>
  <c r="AI1353" i="3" a="1"/>
  <c r="AK1793" i="3" a="1"/>
  <c r="AI1061" i="3" a="1"/>
  <c r="AI1242" i="3" a="1"/>
  <c r="AI732" i="3" a="1"/>
  <c r="AK113" i="3" a="1"/>
  <c r="AI1462" i="3" a="1"/>
  <c r="AI1404" i="3" a="1"/>
  <c r="AI1113" i="3" a="1"/>
  <c r="AI1089" i="3" a="1"/>
  <c r="AI733" i="3" a="1"/>
  <c r="AK1501" i="3" a="1"/>
  <c r="AI93" i="3" a="1"/>
  <c r="AI2255" i="3" a="1"/>
  <c r="AI1083" i="3" a="1"/>
  <c r="AK966" i="3" a="1"/>
  <c r="AI1246" i="3" a="1"/>
  <c r="AI1358" i="3" a="1"/>
  <c r="AK1469" i="3" a="1"/>
  <c r="AK968" i="3" a="1"/>
  <c r="AK985" i="3" a="1"/>
  <c r="AK1537" i="3" a="1"/>
  <c r="AK2146" i="3" a="1"/>
  <c r="AI718" i="3" a="1"/>
  <c r="AI1244" i="3" a="1"/>
  <c r="AA123" i="3"/>
  <c r="AK371" i="3" a="1"/>
  <c r="AK367" i="3" a="1"/>
  <c r="AI1563" i="3" a="1"/>
  <c r="AA1503" i="3"/>
  <c r="AK1725" i="3" a="1"/>
  <c r="AI1905" i="3" a="1"/>
  <c r="AI593" i="3" a="1"/>
  <c r="AA1454" i="3"/>
  <c r="AK101" i="3" a="1"/>
  <c r="AK756" i="3" a="1"/>
  <c r="AA1464" i="3"/>
  <c r="AK1691" i="3" a="1"/>
  <c r="AI1952" i="3" a="1"/>
  <c r="AK161" i="3" a="1"/>
  <c r="AA2007" i="3"/>
  <c r="AK855" i="3" a="1"/>
  <c r="AI1664" i="3" a="1"/>
  <c r="AI780" i="3" a="1"/>
  <c r="AI524" i="3" a="1"/>
  <c r="AA975" i="3"/>
  <c r="AI914" i="3" a="1"/>
  <c r="AI2003" i="3" a="1"/>
  <c r="AK174" i="3" a="1"/>
  <c r="AI171" i="3" a="1"/>
  <c r="AI1068" i="3" a="1"/>
  <c r="AK1476" i="3" a="1"/>
  <c r="AI2171" i="3" a="1"/>
  <c r="AI725" i="3" a="1"/>
  <c r="AK1997" i="3" a="1"/>
  <c r="AI831" i="3" a="1"/>
  <c r="AI2083" i="3" a="1"/>
  <c r="AI1974" i="3" a="1"/>
  <c r="AI2129" i="3" a="1"/>
  <c r="AI2275" i="3" a="1"/>
  <c r="AK974" i="3" a="1"/>
  <c r="AK1394" i="3" a="1"/>
  <c r="AI1186" i="3" a="1"/>
  <c r="AI2065" i="3" a="1"/>
  <c r="AI114" i="3" a="1"/>
  <c r="AK1404" i="3" a="1"/>
  <c r="AI1407" i="3" a="1"/>
  <c r="AI963" i="3" a="1"/>
  <c r="AI1039" i="3" a="1"/>
  <c r="AI1494" i="3" a="1"/>
  <c r="AI1509" i="3" a="1"/>
  <c r="AK1337" i="3" a="1"/>
  <c r="AI1336" i="3" a="1"/>
  <c r="AI1101" i="3" a="1"/>
  <c r="AI975" i="3" a="1"/>
  <c r="AI819" i="3" a="1"/>
  <c r="AI1395" i="3" a="1"/>
  <c r="AI771" i="3" a="1"/>
  <c r="AK969" i="3" a="1"/>
  <c r="AI1168" i="3" a="1"/>
  <c r="AI912" i="3" a="1"/>
  <c r="AI910" i="3" a="1"/>
  <c r="AK1139" i="3" a="1"/>
  <c r="AI1312" i="3" a="1"/>
  <c r="AK1120" i="3" a="1"/>
  <c r="AK233" i="3" a="1"/>
  <c r="AI1968" i="3" a="1"/>
  <c r="AK1884" i="3" a="1"/>
  <c r="AK1505" i="3" a="1"/>
  <c r="AK1069" i="3" a="1"/>
  <c r="AK1401" i="3" a="1"/>
  <c r="AA165" i="3"/>
  <c r="AI561" i="3" a="1"/>
  <c r="AI1582" i="3" a="1"/>
  <c r="AK799" i="3" a="1"/>
  <c r="AK1470" i="3" a="1"/>
  <c r="AI1730" i="3" a="1"/>
  <c r="AA93" i="3"/>
  <c r="AK519" i="3" a="1"/>
  <c r="AA283" i="3"/>
  <c r="AA1251" i="3"/>
  <c r="AI1651" i="3" a="1"/>
  <c r="AK537" i="3" a="1"/>
  <c r="AI1560" i="3" a="1"/>
  <c r="AK385" i="3" a="1"/>
  <c r="AA848" i="3"/>
  <c r="AA2189" i="3"/>
  <c r="AI81" i="3" a="1"/>
  <c r="AK1667" i="3" a="1"/>
  <c r="AA2078" i="3"/>
  <c r="AK639" i="3" a="1"/>
  <c r="AI1713" i="3" a="1"/>
  <c r="AK1068" i="3" a="1"/>
  <c r="AK1272" i="3" a="1"/>
  <c r="AK970" i="3" a="1"/>
  <c r="AI1392" i="3" a="1"/>
  <c r="AI1111" i="3" a="1"/>
  <c r="AK831" i="3" a="1"/>
  <c r="AK1483" i="3" a="1"/>
  <c r="AI838" i="3" a="1"/>
  <c r="AK765" i="3" a="1"/>
  <c r="AK2188" i="3" a="1"/>
  <c r="AK823" i="3" a="1"/>
  <c r="AI285" i="3" a="1"/>
  <c r="AK2170" i="3" a="1"/>
  <c r="AK830" i="3" a="1"/>
  <c r="AK191" i="3" a="1"/>
  <c r="AI1120" i="3" a="1"/>
  <c r="AI1400" i="3" a="1"/>
  <c r="AK1883" i="3" a="1"/>
  <c r="AK1409" i="3" a="1"/>
  <c r="AI1064" i="3" a="1"/>
  <c r="AI164" i="3" a="1"/>
  <c r="AK1556" i="3" a="1"/>
  <c r="AI758" i="3" a="1"/>
  <c r="AK1396" i="3" a="1"/>
  <c r="AK1189" i="3" a="1"/>
  <c r="AK1122" i="3" a="1"/>
  <c r="AK1425" i="3" a="1"/>
  <c r="AI723" i="3" a="1"/>
  <c r="AI169" i="3" a="1"/>
  <c r="AK1557" i="3" a="1"/>
  <c r="AI49" i="3" a="1"/>
  <c r="AI2064" i="3" a="1"/>
  <c r="AI1536" i="3" a="1"/>
  <c r="AK972" i="3" a="1"/>
  <c r="AI1454" i="3" a="1"/>
  <c r="AK977" i="3" a="1"/>
  <c r="AI722" i="3" a="1"/>
  <c r="AK2001" i="3" a="1"/>
  <c r="AK843" i="3" a="1"/>
  <c r="AI172" i="3" a="1"/>
  <c r="AI1883" i="3" a="1"/>
  <c r="AK1164" i="3" a="1"/>
  <c r="AI2134" i="3" a="1"/>
  <c r="AK1507" i="3" a="1"/>
  <c r="AK963" i="3" a="1"/>
  <c r="AI1734" i="3" a="1"/>
  <c r="AK120" i="3" a="1"/>
  <c r="AA2183" i="3"/>
  <c r="AI745" i="3" a="1"/>
  <c r="AK187" i="3" a="1"/>
  <c r="AI858" i="3" a="1"/>
  <c r="AA1415" i="3"/>
  <c r="AA1272" i="3"/>
  <c r="AI1609" i="3" a="1"/>
  <c r="AI2231" i="3" a="1"/>
  <c r="AK521" i="3" a="1"/>
  <c r="AK1712" i="3" a="1"/>
  <c r="AK1880" i="3" a="1"/>
  <c r="AK143" i="3" a="1"/>
  <c r="AI1669" i="3" a="1"/>
  <c r="AA911" i="3"/>
  <c r="AI755" i="3" a="1"/>
  <c r="AK256" i="3" a="1"/>
  <c r="AA2186" i="3"/>
  <c r="AK869" i="3" a="1"/>
  <c r="AK260" i="3" a="1"/>
  <c r="AI1085" i="3" a="1"/>
  <c r="AI1485" i="3" a="1"/>
  <c r="AI190" i="3" a="1"/>
  <c r="AI59" i="3" a="1"/>
  <c r="AI765" i="3" a="1"/>
  <c r="AK1329" i="3" a="1"/>
  <c r="AI2186" i="3" a="1"/>
  <c r="AK170" i="3" a="1"/>
  <c r="AI1476" i="3" a="1"/>
  <c r="AI2051" i="3" a="1"/>
  <c r="AI2164" i="3" a="1"/>
  <c r="AK1085" i="3" a="1"/>
  <c r="AI1371" i="3" a="1"/>
  <c r="AK2005" i="3" a="1"/>
  <c r="AI2001" i="3" a="1"/>
  <c r="AI803" i="3" a="1"/>
  <c r="AI985" i="3" a="1"/>
  <c r="AI1176" i="3" a="1"/>
  <c r="AK1516" i="3" a="1"/>
  <c r="AK761" i="3" a="1"/>
  <c r="AK975" i="3" a="1"/>
  <c r="AK2187" i="3" a="1"/>
  <c r="AK1466" i="3" a="1"/>
  <c r="AK1269" i="3" a="1"/>
  <c r="AK1308" i="3" a="1"/>
  <c r="AK815" i="3" a="1"/>
  <c r="AI1408" i="3" a="1"/>
  <c r="AI1173" i="3" a="1"/>
  <c r="AK166" i="3" a="1"/>
  <c r="AI1503" i="3" a="1"/>
  <c r="AK1456" i="3" a="1"/>
  <c r="AI801" i="3" a="1"/>
  <c r="AI816" i="3" a="1"/>
  <c r="AI1178" i="3" a="1"/>
  <c r="AI1333" i="3" a="1"/>
  <c r="AK1332" i="3" a="1"/>
  <c r="AK2152" i="3" a="1"/>
  <c r="AK733" i="3" a="1"/>
  <c r="AI1511" i="3" a="1"/>
  <c r="AK738" i="3" a="1"/>
  <c r="AI1087" i="3" a="1"/>
  <c r="AI848" i="3" a="1"/>
  <c r="AK849" i="3" a="1"/>
  <c r="AK2070" i="3" a="1"/>
  <c r="AI1271" i="3" a="1"/>
  <c r="Y729" i="4"/>
  <c r="Z755" i="4"/>
  <c r="Z746" i="4"/>
  <c r="Z757" i="4"/>
  <c r="Y484" i="4"/>
  <c r="Y726" i="4"/>
  <c r="Y462" i="4"/>
  <c r="Y21" i="4"/>
  <c r="Y757" i="4"/>
  <c r="Y725" i="4"/>
  <c r="AK757" i="4" l="1"/>
  <c r="AI757" i="4"/>
  <c r="AH757" i="4" s="1"/>
  <c r="AK746" i="4"/>
  <c r="AI746" i="4"/>
  <c r="AH746" i="4" s="1"/>
  <c r="AK755" i="4"/>
  <c r="AI755" i="4"/>
  <c r="AH755" i="4" s="1"/>
  <c r="AI1271" i="3"/>
  <c r="AD1271" i="3" s="1"/>
  <c r="AK2070" i="3"/>
  <c r="AB2070" i="3" s="1"/>
  <c r="AK849" i="3"/>
  <c r="AB849" i="3" s="1"/>
  <c r="AI848" i="3"/>
  <c r="AD848" i="3" s="1"/>
  <c r="AI1087" i="3"/>
  <c r="AD1087" i="3" s="1"/>
  <c r="AK738" i="3"/>
  <c r="AB738" i="3" s="1"/>
  <c r="AI1511" i="3"/>
  <c r="AD1511" i="3" s="1"/>
  <c r="AK733" i="3"/>
  <c r="AB733" i="3" s="1"/>
  <c r="AK2152" i="3"/>
  <c r="AB2152" i="3" s="1"/>
  <c r="AK1332" i="3"/>
  <c r="AB1332" i="3" s="1"/>
  <c r="AI1333" i="3"/>
  <c r="AD1333" i="3" s="1"/>
  <c r="AI1178" i="3"/>
  <c r="AD1178" i="3" s="1"/>
  <c r="AI816" i="3"/>
  <c r="AD816" i="3" s="1"/>
  <c r="AI801" i="3"/>
  <c r="AD801" i="3" s="1"/>
  <c r="AK1456" i="3"/>
  <c r="AB1456" i="3" s="1"/>
  <c r="AI1503" i="3"/>
  <c r="AD1503" i="3" s="1"/>
  <c r="AK166" i="3"/>
  <c r="AB166" i="3" s="1"/>
  <c r="AI1173" i="3"/>
  <c r="AD1173" i="3" s="1"/>
  <c r="AI1408" i="3"/>
  <c r="AD1408" i="3" s="1"/>
  <c r="AK815" i="3"/>
  <c r="AB815" i="3" s="1"/>
  <c r="AK1308" i="3"/>
  <c r="AB1308" i="3" s="1"/>
  <c r="AK1269" i="3"/>
  <c r="AB1269" i="3" s="1"/>
  <c r="AK1466" i="3"/>
  <c r="AB1466" i="3" s="1"/>
  <c r="AK2187" i="3"/>
  <c r="AB2187" i="3" s="1"/>
  <c r="AK975" i="3"/>
  <c r="AB975" i="3" s="1"/>
  <c r="AK761" i="3"/>
  <c r="AB761" i="3" s="1"/>
  <c r="AK1516" i="3"/>
  <c r="AB1516" i="3" s="1"/>
  <c r="AI1176" i="3"/>
  <c r="AD1176" i="3" s="1"/>
  <c r="AI985" i="3"/>
  <c r="AD985" i="3" s="1"/>
  <c r="AI803" i="3"/>
  <c r="AD803" i="3" s="1"/>
  <c r="AI2001" i="3"/>
  <c r="AD2001" i="3" s="1"/>
  <c r="AK2005" i="3"/>
  <c r="AB2005" i="3" s="1"/>
  <c r="AI1371" i="3"/>
  <c r="AD1371" i="3" s="1"/>
  <c r="AK1085" i="3"/>
  <c r="AB1085" i="3" s="1"/>
  <c r="AI2164" i="3"/>
  <c r="AD2164" i="3" s="1"/>
  <c r="AI2051" i="3"/>
  <c r="AD2051" i="3" s="1"/>
  <c r="AI1476" i="3"/>
  <c r="AD1476" i="3" s="1"/>
  <c r="AK170" i="3"/>
  <c r="AB170" i="3" s="1"/>
  <c r="AI2186" i="3"/>
  <c r="AD2186" i="3" s="1"/>
  <c r="AK1329" i="3"/>
  <c r="AB1329" i="3" s="1"/>
  <c r="AI765" i="3"/>
  <c r="AD765" i="3" s="1"/>
  <c r="AI59" i="3"/>
  <c r="AD59" i="3" s="1"/>
  <c r="AI190" i="3"/>
  <c r="AD190" i="3" s="1"/>
  <c r="AI1485" i="3"/>
  <c r="AD1485" i="3" s="1"/>
  <c r="AI1085" i="3"/>
  <c r="AD1085" i="3" s="1"/>
  <c r="AK260" i="3"/>
  <c r="AB260" i="3" s="1"/>
  <c r="AK869" i="3"/>
  <c r="AB869" i="3" s="1"/>
  <c r="AC869" i="3" s="1"/>
  <c r="AF2186" i="3"/>
  <c r="AK256" i="3"/>
  <c r="AB256" i="3" s="1"/>
  <c r="AI755" i="3"/>
  <c r="AD755" i="3" s="1"/>
  <c r="AF911" i="3"/>
  <c r="AI1669" i="3"/>
  <c r="AD1669" i="3" s="1"/>
  <c r="AK143" i="3"/>
  <c r="AB143" i="3" s="1"/>
  <c r="AK1880" i="3"/>
  <c r="AB1880" i="3" s="1"/>
  <c r="AK1712" i="3"/>
  <c r="AB1712" i="3" s="1"/>
  <c r="AK521" i="3"/>
  <c r="AB521" i="3" s="1"/>
  <c r="AI2231" i="3"/>
  <c r="AD2231" i="3" s="1"/>
  <c r="AI1609" i="3"/>
  <c r="AD1609" i="3" s="1"/>
  <c r="AF1272" i="3"/>
  <c r="AF1415" i="3"/>
  <c r="AI858" i="3"/>
  <c r="AD858" i="3" s="1"/>
  <c r="AK187" i="3"/>
  <c r="AB187" i="3" s="1"/>
  <c r="AI745" i="3"/>
  <c r="AD745" i="3" s="1"/>
  <c r="AF2183" i="3"/>
  <c r="AK120" i="3"/>
  <c r="AB120" i="3" s="1"/>
  <c r="AI1734" i="3"/>
  <c r="AD1734" i="3" s="1"/>
  <c r="AK963" i="3"/>
  <c r="AB963" i="3" s="1"/>
  <c r="AK1507" i="3"/>
  <c r="AB1507" i="3" s="1"/>
  <c r="AI2134" i="3"/>
  <c r="AD2134" i="3" s="1"/>
  <c r="AK1164" i="3"/>
  <c r="AB1164" i="3" s="1"/>
  <c r="AI1883" i="3"/>
  <c r="AD1883" i="3" s="1"/>
  <c r="AI172" i="3"/>
  <c r="AD172" i="3" s="1"/>
  <c r="AK843" i="3"/>
  <c r="AB843" i="3" s="1"/>
  <c r="AK2001" i="3"/>
  <c r="AB2001" i="3" s="1"/>
  <c r="AI722" i="3"/>
  <c r="AD722" i="3" s="1"/>
  <c r="AK977" i="3"/>
  <c r="AB977" i="3" s="1"/>
  <c r="AI1454" i="3"/>
  <c r="AD1454" i="3" s="1"/>
  <c r="AK972" i="3"/>
  <c r="AB972" i="3" s="1"/>
  <c r="AI1536" i="3"/>
  <c r="AD1536" i="3" s="1"/>
  <c r="AI2064" i="3"/>
  <c r="AD2064" i="3" s="1"/>
  <c r="AI49" i="3"/>
  <c r="AD49" i="3" s="1"/>
  <c r="AK1557" i="3"/>
  <c r="AB1557" i="3" s="1"/>
  <c r="AI169" i="3"/>
  <c r="AD169" i="3" s="1"/>
  <c r="AI723" i="3"/>
  <c r="AD723" i="3" s="1"/>
  <c r="AK1425" i="3"/>
  <c r="AB1425" i="3" s="1"/>
  <c r="AK1122" i="3"/>
  <c r="AB1122" i="3" s="1"/>
  <c r="AK1189" i="3"/>
  <c r="AB1189" i="3" s="1"/>
  <c r="AK1396" i="3"/>
  <c r="AB1396" i="3" s="1"/>
  <c r="AI758" i="3"/>
  <c r="AD758" i="3" s="1"/>
  <c r="AK1556" i="3"/>
  <c r="AB1556" i="3" s="1"/>
  <c r="AI164" i="3"/>
  <c r="AD164" i="3" s="1"/>
  <c r="AI1064" i="3"/>
  <c r="AD1064" i="3" s="1"/>
  <c r="AK1409" i="3"/>
  <c r="AB1409" i="3" s="1"/>
  <c r="AK1883" i="3"/>
  <c r="AB1883" i="3" s="1"/>
  <c r="AI1400" i="3"/>
  <c r="AD1400" i="3" s="1"/>
  <c r="AI1120" i="3"/>
  <c r="AD1120" i="3" s="1"/>
  <c r="AK191" i="3"/>
  <c r="AB191" i="3" s="1"/>
  <c r="AK830" i="3"/>
  <c r="AB830" i="3" s="1"/>
  <c r="AK2170" i="3"/>
  <c r="AB2170" i="3" s="1"/>
  <c r="AI285" i="3"/>
  <c r="AD285" i="3" s="1"/>
  <c r="AK823" i="3"/>
  <c r="AB823" i="3" s="1"/>
  <c r="AK2188" i="3"/>
  <c r="AB2188" i="3" s="1"/>
  <c r="AK765" i="3"/>
  <c r="AB765" i="3" s="1"/>
  <c r="AI838" i="3"/>
  <c r="AD838" i="3" s="1"/>
  <c r="AK1483" i="3"/>
  <c r="AB1483" i="3" s="1"/>
  <c r="AK831" i="3"/>
  <c r="AB831" i="3" s="1"/>
  <c r="AI1111" i="3"/>
  <c r="AD1111" i="3" s="1"/>
  <c r="AI1392" i="3"/>
  <c r="AD1392" i="3" s="1"/>
  <c r="AK970" i="3"/>
  <c r="AB970" i="3" s="1"/>
  <c r="AK1272" i="3"/>
  <c r="AB1272" i="3" s="1"/>
  <c r="AK1068" i="3"/>
  <c r="AB1068" i="3" s="1"/>
  <c r="AI1713" i="3"/>
  <c r="AD1713" i="3" s="1"/>
  <c r="AK639" i="3"/>
  <c r="AB639" i="3" s="1"/>
  <c r="AF2078" i="3"/>
  <c r="AK1667" i="3"/>
  <c r="AB1667" i="3" s="1"/>
  <c r="AI81" i="3"/>
  <c r="AD81" i="3" s="1"/>
  <c r="AF2189" i="3"/>
  <c r="AF848" i="3"/>
  <c r="AK385" i="3"/>
  <c r="AB385" i="3" s="1"/>
  <c r="AI1560" i="3"/>
  <c r="AD1560" i="3" s="1"/>
  <c r="AK537" i="3"/>
  <c r="AB537" i="3" s="1"/>
  <c r="AI1651" i="3"/>
  <c r="AD1651" i="3" s="1"/>
  <c r="AF1251" i="3"/>
  <c r="AF283" i="3"/>
  <c r="AK519" i="3"/>
  <c r="AB519" i="3" s="1"/>
  <c r="AF93" i="3"/>
  <c r="AI1730" i="3"/>
  <c r="AD1730" i="3" s="1"/>
  <c r="AK1470" i="3"/>
  <c r="AB1470" i="3" s="1"/>
  <c r="AK799" i="3"/>
  <c r="AB799" i="3" s="1"/>
  <c r="AI1582" i="3"/>
  <c r="AD1582" i="3" s="1"/>
  <c r="AI561" i="3"/>
  <c r="AD561" i="3" s="1"/>
  <c r="AF165" i="3"/>
  <c r="AK1401" i="3"/>
  <c r="AB1401" i="3" s="1"/>
  <c r="AK1069" i="3"/>
  <c r="AB1069" i="3" s="1"/>
  <c r="AK1505" i="3"/>
  <c r="AB1505" i="3" s="1"/>
  <c r="AK1884" i="3"/>
  <c r="AB1884" i="3" s="1"/>
  <c r="AI1968" i="3"/>
  <c r="AD1968" i="3" s="1"/>
  <c r="AK233" i="3"/>
  <c r="AB233" i="3" s="1"/>
  <c r="AK1120" i="3"/>
  <c r="AB1120" i="3" s="1"/>
  <c r="AI1312" i="3"/>
  <c r="AD1312" i="3" s="1"/>
  <c r="AK1139" i="3"/>
  <c r="AB1139" i="3" s="1"/>
  <c r="AI910" i="3"/>
  <c r="AD910" i="3" s="1"/>
  <c r="AI912" i="3"/>
  <c r="AD912" i="3" s="1"/>
  <c r="AI1168" i="3"/>
  <c r="AD1168" i="3" s="1"/>
  <c r="AK969" i="3"/>
  <c r="AB969" i="3" s="1"/>
  <c r="AI771" i="3"/>
  <c r="AD771" i="3" s="1"/>
  <c r="AI1395" i="3"/>
  <c r="AD1395" i="3" s="1"/>
  <c r="AI819" i="3"/>
  <c r="AD819" i="3" s="1"/>
  <c r="AI975" i="3"/>
  <c r="AD975" i="3" s="1"/>
  <c r="AI1101" i="3"/>
  <c r="AD1101" i="3" s="1"/>
  <c r="AI1336" i="3"/>
  <c r="AD1336" i="3" s="1"/>
  <c r="AK1337" i="3"/>
  <c r="AB1337" i="3" s="1"/>
  <c r="AI1509" i="3"/>
  <c r="AD1509" i="3" s="1"/>
  <c r="AI1494" i="3"/>
  <c r="AD1494" i="3" s="1"/>
  <c r="AI1039" i="3"/>
  <c r="AD1039" i="3" s="1"/>
  <c r="AI963" i="3"/>
  <c r="AD963" i="3" s="1"/>
  <c r="AI1407" i="3"/>
  <c r="AD1407" i="3" s="1"/>
  <c r="AK1404" i="3"/>
  <c r="AB1404" i="3" s="1"/>
  <c r="AI114" i="3"/>
  <c r="AD114" i="3" s="1"/>
  <c r="AI2065" i="3"/>
  <c r="AD2065" i="3" s="1"/>
  <c r="AI1186" i="3"/>
  <c r="AD1186" i="3" s="1"/>
  <c r="AK1394" i="3"/>
  <c r="AB1394" i="3" s="1"/>
  <c r="AK974" i="3"/>
  <c r="AB974" i="3" s="1"/>
  <c r="AI2275" i="3"/>
  <c r="AD2275" i="3" s="1"/>
  <c r="AI2129" i="3"/>
  <c r="AD2129" i="3" s="1"/>
  <c r="AI1974" i="3"/>
  <c r="AD1974" i="3" s="1"/>
  <c r="AI2083" i="3"/>
  <c r="AD2083" i="3" s="1"/>
  <c r="AI831" i="3"/>
  <c r="AD831" i="3" s="1"/>
  <c r="AK1997" i="3"/>
  <c r="AB1997" i="3" s="1"/>
  <c r="AI725" i="3"/>
  <c r="AD725" i="3" s="1"/>
  <c r="AI2171" i="3"/>
  <c r="AD2171" i="3" s="1"/>
  <c r="AK1476" i="3"/>
  <c r="AB1476" i="3" s="1"/>
  <c r="AI1068" i="3"/>
  <c r="AD1068" i="3" s="1"/>
  <c r="AI171" i="3"/>
  <c r="AD171" i="3" s="1"/>
  <c r="AK174" i="3"/>
  <c r="AB174" i="3" s="1"/>
  <c r="AI2003" i="3"/>
  <c r="AD2003" i="3" s="1"/>
  <c r="AI914" i="3"/>
  <c r="AD914" i="3" s="1"/>
  <c r="AF975" i="3"/>
  <c r="AI524" i="3"/>
  <c r="AD524" i="3" s="1"/>
  <c r="AI780" i="3"/>
  <c r="AD780" i="3" s="1"/>
  <c r="AI1664" i="3"/>
  <c r="AD1664" i="3" s="1"/>
  <c r="AK855" i="3"/>
  <c r="AB855" i="3" s="1"/>
  <c r="AF2007" i="3"/>
  <c r="AK161" i="3"/>
  <c r="AB161" i="3" s="1"/>
  <c r="AI1952" i="3"/>
  <c r="AD1952" i="3" s="1"/>
  <c r="AK1691" i="3"/>
  <c r="AB1691" i="3" s="1"/>
  <c r="AF1464" i="3"/>
  <c r="AK756" i="3"/>
  <c r="AB756" i="3" s="1"/>
  <c r="AC756" i="3" s="1"/>
  <c r="AK101" i="3"/>
  <c r="AB101" i="3" s="1"/>
  <c r="AF1454" i="3"/>
  <c r="AI593" i="3"/>
  <c r="AD593" i="3" s="1"/>
  <c r="AI1905" i="3"/>
  <c r="AD1905" i="3" s="1"/>
  <c r="AK1725" i="3"/>
  <c r="AB1725" i="3" s="1"/>
  <c r="AF1503" i="3"/>
  <c r="AI1563" i="3"/>
  <c r="AD1563" i="3" s="1"/>
  <c r="AK367" i="3"/>
  <c r="AB367" i="3" s="1"/>
  <c r="AK371" i="3"/>
  <c r="AB371" i="3" s="1"/>
  <c r="AF123" i="3"/>
  <c r="AI1244" i="3"/>
  <c r="AD1244" i="3" s="1"/>
  <c r="AI718" i="3"/>
  <c r="AD718" i="3" s="1"/>
  <c r="AK2146" i="3"/>
  <c r="AB2146" i="3" s="1"/>
  <c r="AK1537" i="3"/>
  <c r="AB1537" i="3" s="1"/>
  <c r="AK985" i="3"/>
  <c r="AB985" i="3" s="1"/>
  <c r="AK968" i="3"/>
  <c r="AB968" i="3" s="1"/>
  <c r="AK1469" i="3"/>
  <c r="AB1469" i="3" s="1"/>
  <c r="AI1358" i="3"/>
  <c r="AD1358" i="3" s="1"/>
  <c r="AI1246" i="3"/>
  <c r="AD1246" i="3" s="1"/>
  <c r="AK966" i="3"/>
  <c r="AB966" i="3" s="1"/>
  <c r="AI1083" i="3"/>
  <c r="AD1083" i="3" s="1"/>
  <c r="AI2255" i="3"/>
  <c r="AD2255" i="3" s="1"/>
  <c r="AI93" i="3"/>
  <c r="AD93" i="3" s="1"/>
  <c r="AK1501" i="3"/>
  <c r="AB1501" i="3" s="1"/>
  <c r="AI733" i="3"/>
  <c r="AD733" i="3" s="1"/>
  <c r="AI1089" i="3"/>
  <c r="AD1089" i="3" s="1"/>
  <c r="AI1113" i="3"/>
  <c r="AD1113" i="3" s="1"/>
  <c r="AI1404" i="3"/>
  <c r="AD1404" i="3" s="1"/>
  <c r="AI1462" i="3"/>
  <c r="AD1462" i="3" s="1"/>
  <c r="AK113" i="3"/>
  <c r="AB113" i="3" s="1"/>
  <c r="AI732" i="3"/>
  <c r="AD732" i="3" s="1"/>
  <c r="AI1242" i="3"/>
  <c r="AD1242" i="3" s="1"/>
  <c r="AI1061" i="3"/>
  <c r="AD1061" i="3" s="1"/>
  <c r="AK1793" i="3"/>
  <c r="AB1793" i="3" s="1"/>
  <c r="AI1353" i="3"/>
  <c r="AD1353" i="3" s="1"/>
  <c r="AI1369" i="3"/>
  <c r="AD1369" i="3" s="1"/>
  <c r="AK1886" i="3"/>
  <c r="AB1886" i="3" s="1"/>
  <c r="AI772" i="3"/>
  <c r="AD772" i="3" s="1"/>
  <c r="AK1494" i="3"/>
  <c r="AB1494" i="3" s="1"/>
  <c r="AK175" i="3"/>
  <c r="AB175" i="3" s="1"/>
  <c r="AI845" i="3"/>
  <c r="AD845" i="3" s="1"/>
  <c r="AI203" i="3"/>
  <c r="AD203" i="3" s="1"/>
  <c r="AK1273" i="3"/>
  <c r="AB1273" i="3" s="1"/>
  <c r="AK1468" i="3"/>
  <c r="AB1468" i="3" s="1"/>
  <c r="AI2040" i="3"/>
  <c r="AD2040" i="3" s="1"/>
  <c r="AI835" i="3"/>
  <c r="AD835" i="3" s="1"/>
  <c r="AI1474" i="3"/>
  <c r="AD1474" i="3" s="1"/>
  <c r="AK2219" i="3"/>
  <c r="AB2219" i="3" s="1"/>
  <c r="AK2130" i="3"/>
  <c r="AB2130" i="3" s="1"/>
  <c r="AI2189" i="3"/>
  <c r="AD2189" i="3" s="1"/>
  <c r="AK914" i="3"/>
  <c r="AB914" i="3" s="1"/>
  <c r="AK1195" i="3"/>
  <c r="AB1195" i="3" s="1"/>
  <c r="AK1371" i="3"/>
  <c r="AB1371" i="3" s="1"/>
  <c r="AI1273" i="3"/>
  <c r="AD1273" i="3" s="1"/>
  <c r="AI2161" i="3"/>
  <c r="AD2161" i="3" s="1"/>
  <c r="AF204" i="3"/>
  <c r="AF205" i="3"/>
  <c r="AI1056" i="3"/>
  <c r="AD1056" i="3" s="1"/>
  <c r="AK1457" i="3"/>
  <c r="AB1457" i="3" s="1"/>
  <c r="AF912" i="3"/>
  <c r="AK2287" i="3"/>
  <c r="AB2287" i="3" s="1"/>
  <c r="AI535" i="3"/>
  <c r="AD535" i="3" s="1"/>
  <c r="AK1732" i="3"/>
  <c r="AB1732" i="3" s="1"/>
  <c r="AK308" i="3"/>
  <c r="AB308" i="3" s="1"/>
  <c r="AI606" i="3"/>
  <c r="AD606" i="3" s="1"/>
  <c r="AI2022" i="3"/>
  <c r="AD2022" i="3" s="1"/>
  <c r="AI1822" i="3"/>
  <c r="AD1822" i="3" s="1"/>
  <c r="AI599" i="3"/>
  <c r="AD599" i="3" s="1"/>
  <c r="AF2151" i="3"/>
  <c r="AI1666" i="3"/>
  <c r="AD1666" i="3" s="1"/>
  <c r="AI509" i="3"/>
  <c r="AD509" i="3" s="1"/>
  <c r="AF1068" i="3"/>
  <c r="AI1985" i="3"/>
  <c r="AD1985" i="3" s="1"/>
  <c r="AK786" i="3"/>
  <c r="AB786" i="3" s="1"/>
  <c r="AK756" i="4"/>
  <c r="AI756" i="4"/>
  <c r="AH756" i="4" s="1"/>
  <c r="AK461" i="4"/>
  <c r="AI461" i="4"/>
  <c r="AH461" i="4" s="1"/>
  <c r="AK1512" i="3"/>
  <c r="AB1512" i="3" s="1"/>
  <c r="AI1086" i="3"/>
  <c r="AD1086" i="3" s="1"/>
  <c r="AI1310" i="3"/>
  <c r="AD1310" i="3" s="1"/>
  <c r="AK2133" i="3"/>
  <c r="AB2133" i="3" s="1"/>
  <c r="AK730" i="3"/>
  <c r="AB730" i="3" s="1"/>
  <c r="AK1281" i="3"/>
  <c r="AB1281" i="3" s="1"/>
  <c r="AK1251" i="3"/>
  <c r="AB1251" i="3" s="1"/>
  <c r="AI175" i="3"/>
  <c r="AD175" i="3" s="1"/>
  <c r="AK169" i="3"/>
  <c r="AB169" i="3" s="1"/>
  <c r="AI1069" i="3"/>
  <c r="AD1069" i="3" s="1"/>
  <c r="AK1408" i="3"/>
  <c r="AB1408" i="3" s="1"/>
  <c r="AI2147" i="3"/>
  <c r="AD2147" i="3" s="1"/>
  <c r="AI1123" i="3"/>
  <c r="AD1123" i="3" s="1"/>
  <c r="AK719" i="3"/>
  <c r="AB719" i="3" s="1"/>
  <c r="AK1242" i="3"/>
  <c r="AB1242" i="3" s="1"/>
  <c r="AI841" i="3"/>
  <c r="AD841" i="3" s="1"/>
  <c r="AK2254" i="3"/>
  <c r="AB2254" i="3" s="1"/>
  <c r="AK839" i="3"/>
  <c r="AB839" i="3" s="1"/>
  <c r="AK912" i="3"/>
  <c r="AB912" i="3" s="1"/>
  <c r="AK1149" i="3"/>
  <c r="AB1149" i="3" s="1"/>
  <c r="AK1536" i="3"/>
  <c r="AB1536" i="3" s="1"/>
  <c r="AK1186" i="3"/>
  <c r="AB1186" i="3" s="1"/>
  <c r="AK2080" i="3"/>
  <c r="AB2080" i="3" s="1"/>
  <c r="AK819" i="3"/>
  <c r="AB819" i="3" s="1"/>
  <c r="AK1113" i="3"/>
  <c r="AB1113" i="3" s="1"/>
  <c r="AK1101" i="3"/>
  <c r="AB1101" i="3" s="1"/>
  <c r="AK1336" i="3"/>
  <c r="AB1336" i="3" s="1"/>
  <c r="AI730" i="3"/>
  <c r="AD730" i="3" s="1"/>
  <c r="AK732" i="3"/>
  <c r="AB732" i="3" s="1"/>
  <c r="AI976" i="3"/>
  <c r="AD976" i="3" s="1"/>
  <c r="AI1121" i="3"/>
  <c r="AD1121" i="3" s="1"/>
  <c r="AI1072" i="3"/>
  <c r="AD1072" i="3" s="1"/>
  <c r="AK1413" i="3"/>
  <c r="AB1413" i="3" s="1"/>
  <c r="AI413" i="3"/>
  <c r="AD413" i="3" s="1"/>
  <c r="AI1311" i="3"/>
  <c r="AD1311" i="3" s="1"/>
  <c r="AK2004" i="3"/>
  <c r="AB2004" i="3" s="1"/>
  <c r="AK2189" i="3"/>
  <c r="AB2189" i="3" s="1"/>
  <c r="AK1146" i="3"/>
  <c r="AB1146" i="3" s="1"/>
  <c r="AI1430" i="3"/>
  <c r="AD1430" i="3" s="1"/>
  <c r="AK1071" i="3"/>
  <c r="AB1071" i="3" s="1"/>
  <c r="AK1479" i="3"/>
  <c r="AB1479" i="3" s="1"/>
  <c r="AI182" i="3"/>
  <c r="AD182" i="3" s="1"/>
  <c r="AI925" i="3"/>
  <c r="AD925" i="3" s="1"/>
  <c r="AK2150" i="3"/>
  <c r="AB2150" i="3" s="1"/>
  <c r="AK2183" i="3"/>
  <c r="AB2183" i="3" s="1"/>
  <c r="AK1704" i="3"/>
  <c r="AB1704" i="3" s="1"/>
  <c r="AK572" i="3"/>
  <c r="AB572" i="3" s="1"/>
  <c r="AI615" i="3"/>
  <c r="AD615" i="3" s="1"/>
  <c r="AI1850" i="3"/>
  <c r="AD1850" i="3" s="1"/>
  <c r="AK510" i="3"/>
  <c r="AB510" i="3" s="1"/>
  <c r="AI776" i="3"/>
  <c r="AD776" i="3" s="1"/>
  <c r="AF1398" i="3"/>
  <c r="AI662" i="3"/>
  <c r="AD662" i="3" s="1"/>
  <c r="AF1884" i="3"/>
  <c r="AK195" i="3"/>
  <c r="AB195" i="3" s="1"/>
  <c r="AI785" i="3"/>
  <c r="AD785" i="3" s="1"/>
  <c r="AI1934" i="3"/>
  <c r="AD1934" i="3" s="1"/>
  <c r="AF2252" i="3"/>
  <c r="AI637" i="3"/>
  <c r="AD637" i="3" s="1"/>
  <c r="AF2050" i="3"/>
  <c r="AI1836" i="3"/>
  <c r="AD1836" i="3" s="1"/>
  <c r="AI658" i="3"/>
  <c r="AD658" i="3" s="1"/>
  <c r="AI2116" i="3"/>
  <c r="AD2116" i="3" s="1"/>
  <c r="AK1914" i="3"/>
  <c r="AB1914" i="3" s="1"/>
  <c r="AI614" i="3"/>
  <c r="AD614" i="3" s="1"/>
  <c r="AF1527" i="3"/>
  <c r="AI1063" i="3"/>
  <c r="AD1063" i="3" s="1"/>
  <c r="AK1334" i="3"/>
  <c r="AB1334" i="3" s="1"/>
  <c r="AI1112" i="3"/>
  <c r="AD1112" i="3" s="1"/>
  <c r="AI1453" i="3"/>
  <c r="AD1453" i="3" s="1"/>
  <c r="AI721" i="3"/>
  <c r="AD721" i="3" s="1"/>
  <c r="AK1973" i="3"/>
  <c r="AB1973" i="3" s="1"/>
  <c r="AK976" i="3"/>
  <c r="AB976" i="3" s="1"/>
  <c r="AK1121" i="3"/>
  <c r="AB1121" i="3" s="1"/>
  <c r="AK760" i="3"/>
  <c r="AB760" i="3" s="1"/>
  <c r="AK723" i="3"/>
  <c r="AB723" i="3" s="1"/>
  <c r="AK848" i="3"/>
  <c r="AB848" i="3" s="1"/>
  <c r="AI1537" i="3"/>
  <c r="AD1537" i="3" s="1"/>
  <c r="AI1076" i="3"/>
  <c r="AD1076" i="3" s="1"/>
  <c r="AK1496" i="3"/>
  <c r="AB1496" i="3" s="1"/>
  <c r="AI1183" i="3"/>
  <c r="AD1183" i="3" s="1"/>
  <c r="AK1465" i="3"/>
  <c r="AB1465" i="3" s="1"/>
  <c r="AI760" i="3"/>
  <c r="AD760" i="3" s="1"/>
  <c r="AK1515" i="3"/>
  <c r="AB1515" i="3" s="1"/>
  <c r="AI2021" i="3"/>
  <c r="AD2021" i="3" s="1"/>
  <c r="AI1886" i="3"/>
  <c r="AD1886" i="3" s="1"/>
  <c r="AI969" i="3"/>
  <c r="AD969" i="3" s="1"/>
  <c r="AK1527" i="3"/>
  <c r="AB1527" i="3" s="1"/>
  <c r="AK1429" i="3"/>
  <c r="AB1429" i="3" s="1"/>
  <c r="AI1512" i="3"/>
  <c r="AD1512" i="3" s="1"/>
  <c r="AK1359" i="3"/>
  <c r="AB1359" i="3" s="1"/>
  <c r="AI1172" i="3"/>
  <c r="AD1172" i="3" s="1"/>
  <c r="AI815" i="3"/>
  <c r="AD815" i="3" s="1"/>
  <c r="AK721" i="3"/>
  <c r="AB721" i="3" s="1"/>
  <c r="AI254" i="3"/>
  <c r="AD254" i="3" s="1"/>
  <c r="AI184" i="3"/>
  <c r="AD184" i="3" s="1"/>
  <c r="AK2164" i="3"/>
  <c r="AB2164" i="3" s="1"/>
  <c r="AK2278" i="3"/>
  <c r="AB2278" i="3" s="1"/>
  <c r="AK173" i="3"/>
  <c r="AB173" i="3" s="1"/>
  <c r="AI1794" i="3"/>
  <c r="AD1794" i="3" s="1"/>
  <c r="AK837" i="3"/>
  <c r="AB837" i="3" s="1"/>
  <c r="AI1071" i="3"/>
  <c r="AD1071" i="3" s="1"/>
  <c r="AK1111" i="3"/>
  <c r="AB1111" i="3" s="1"/>
  <c r="AI734" i="3"/>
  <c r="AD734" i="3" s="1"/>
  <c r="AI970" i="3"/>
  <c r="AD970" i="3" s="1"/>
  <c r="AK835" i="3"/>
  <c r="AB835" i="3" s="1"/>
  <c r="AI2183" i="3"/>
  <c r="AD2183" i="3" s="1"/>
  <c r="AI273" i="3"/>
  <c r="AD273" i="3" s="1"/>
  <c r="AI2278" i="3"/>
  <c r="AD2278" i="3" s="1"/>
  <c r="AI1330" i="3"/>
  <c r="AD1330" i="3" s="1"/>
  <c r="AI1402" i="3"/>
  <c r="AD1402" i="3" s="1"/>
  <c r="AK1931" i="3"/>
  <c r="AB1931" i="3" s="1"/>
  <c r="AK757" i="3"/>
  <c r="AB757" i="3" s="1"/>
  <c r="AK1954" i="3"/>
  <c r="AB1954" i="3" s="1"/>
  <c r="AI2076" i="3"/>
  <c r="AD2076" i="3" s="1"/>
  <c r="AF765" i="3"/>
  <c r="AF2003" i="3"/>
  <c r="AK744" i="3"/>
  <c r="AB744" i="3" s="1"/>
  <c r="AK1549" i="3"/>
  <c r="AB1549" i="3" s="1"/>
  <c r="AI952" i="3"/>
  <c r="AD952" i="3" s="1"/>
  <c r="AK983" i="3"/>
  <c r="AB983" i="3" s="1"/>
  <c r="AI613" i="3"/>
  <c r="AD613" i="3" s="1"/>
  <c r="AI1657" i="3"/>
  <c r="AD1657" i="3" s="1"/>
  <c r="AF1456" i="3"/>
  <c r="AK654" i="3"/>
  <c r="AB654" i="3" s="1"/>
  <c r="AI1440" i="3"/>
  <c r="AD1440" i="3" s="1"/>
  <c r="AF1359" i="3"/>
  <c r="AK1318" i="3"/>
  <c r="AB1318" i="3" s="1"/>
  <c r="AI2265" i="3"/>
  <c r="AD2265" i="3" s="1"/>
  <c r="AF762" i="3"/>
  <c r="AK582" i="3"/>
  <c r="AB582" i="3" s="1"/>
  <c r="AI123" i="3"/>
  <c r="AD123" i="3" s="1"/>
  <c r="AI1139" i="3"/>
  <c r="AD1139" i="3" s="1"/>
  <c r="AI2140" i="3"/>
  <c r="AD2140" i="3" s="1"/>
  <c r="AK1464" i="3"/>
  <c r="AB1464" i="3" s="1"/>
  <c r="AK1062" i="3"/>
  <c r="AB1062" i="3" s="1"/>
  <c r="AK772" i="3"/>
  <c r="AB772" i="3" s="1"/>
  <c r="AK771" i="3"/>
  <c r="AB771" i="3" s="1"/>
  <c r="AK184" i="3"/>
  <c r="AB184" i="3" s="1"/>
  <c r="AK1174" i="3"/>
  <c r="AB1174" i="3" s="1"/>
  <c r="AI1160" i="3"/>
  <c r="AD1160" i="3" s="1"/>
  <c r="AK1170" i="3"/>
  <c r="AB1170" i="3" s="1"/>
  <c r="AK1098" i="3"/>
  <c r="AB1098" i="3" s="1"/>
  <c r="AI1337" i="3"/>
  <c r="AD1337" i="3" s="1"/>
  <c r="AI91" i="3"/>
  <c r="AD91" i="3" s="1"/>
  <c r="AK763" i="3"/>
  <c r="AB763" i="3" s="1"/>
  <c r="AI1469" i="3"/>
  <c r="AD1469" i="3" s="1"/>
  <c r="AK1312" i="3"/>
  <c r="AB1312" i="3" s="1"/>
  <c r="AK1160" i="3"/>
  <c r="AB1160" i="3" s="1"/>
  <c r="AK1335" i="3"/>
  <c r="AB1335" i="3" s="1"/>
  <c r="AI235" i="3"/>
  <c r="AD235" i="3" s="1"/>
  <c r="AK816" i="3"/>
  <c r="AB816" i="3" s="1"/>
  <c r="AK801" i="3"/>
  <c r="AB801" i="3" s="1"/>
  <c r="AK2007" i="3"/>
  <c r="AB2007" i="3" s="1"/>
  <c r="AI1557" i="3"/>
  <c r="AD1557" i="3" s="1"/>
  <c r="AI1401" i="3"/>
  <c r="AD1401" i="3" s="1"/>
  <c r="AI849" i="3"/>
  <c r="AD849" i="3" s="1"/>
  <c r="AI1143" i="3"/>
  <c r="AD1143" i="3" s="1"/>
  <c r="AI1109" i="3"/>
  <c r="AD1109" i="3" s="1"/>
  <c r="AI2090" i="3"/>
  <c r="AD2090" i="3" s="1"/>
  <c r="AI984" i="3"/>
  <c r="AD984" i="3" s="1"/>
  <c r="AK2045" i="3"/>
  <c r="AB2045" i="3" s="1"/>
  <c r="AI2272" i="3"/>
  <c r="AD2272" i="3" s="1"/>
  <c r="AI2078" i="3"/>
  <c r="AD2078" i="3" s="1"/>
  <c r="AI60" i="3"/>
  <c r="AD60" i="3" s="1"/>
  <c r="AK1073" i="3"/>
  <c r="AB1073" i="3" s="1"/>
  <c r="AI1521" i="3"/>
  <c r="AD1521" i="3" s="1"/>
  <c r="AK2050" i="3"/>
  <c r="AB2050" i="3" s="1"/>
  <c r="AI1245" i="3"/>
  <c r="AD1245" i="3" s="1"/>
  <c r="AK171" i="3"/>
  <c r="AB171" i="3" s="1"/>
  <c r="AI174" i="3"/>
  <c r="AD174" i="3" s="1"/>
  <c r="AK1330" i="3"/>
  <c r="AB1330" i="3" s="1"/>
  <c r="AK726" i="3"/>
  <c r="AB726" i="3" s="1"/>
  <c r="AI204" i="3"/>
  <c r="AD204" i="3" s="1"/>
  <c r="AK1196" i="3"/>
  <c r="AB1196" i="3" s="1"/>
  <c r="AI1428" i="3"/>
  <c r="AD1428" i="3" s="1"/>
  <c r="AK1946" i="3"/>
  <c r="AB1946" i="3" s="1"/>
  <c r="AK108" i="3"/>
  <c r="AB108" i="3" s="1"/>
  <c r="AK1978" i="3"/>
  <c r="AB1978" i="3" s="1"/>
  <c r="AI862" i="3"/>
  <c r="AD862" i="3" s="1"/>
  <c r="AI736" i="3"/>
  <c r="AD736" i="3" s="1"/>
  <c r="AK2063" i="3"/>
  <c r="AB2063" i="3" s="1"/>
  <c r="AK2015" i="3"/>
  <c r="AB2015" i="3" s="1"/>
  <c r="AI534" i="3"/>
  <c r="AD534" i="3" s="1"/>
  <c r="AK1558" i="3"/>
  <c r="AB1558" i="3" s="1"/>
  <c r="AF843" i="3"/>
  <c r="AK580" i="3"/>
  <c r="AB580" i="3" s="1"/>
  <c r="AK251" i="3"/>
  <c r="AB251" i="3" s="1"/>
  <c r="AI396" i="3"/>
  <c r="AD396" i="3" s="1"/>
  <c r="AF803" i="3"/>
  <c r="AK1830" i="3"/>
  <c r="AB1830" i="3" s="1"/>
  <c r="AK1740" i="3"/>
  <c r="AB1740" i="3" s="1"/>
  <c r="AF977" i="3"/>
  <c r="AI1436" i="3"/>
  <c r="AD1436" i="3" s="1"/>
  <c r="AI829" i="3"/>
  <c r="AD829" i="3" s="1"/>
  <c r="AK748" i="3"/>
  <c r="AB748" i="3" s="1"/>
  <c r="AI1596" i="3"/>
  <c r="AD1596" i="3" s="1"/>
  <c r="AK1998" i="3"/>
  <c r="AB1998" i="3" s="1"/>
  <c r="AI1332" i="3"/>
  <c r="AD1332" i="3" s="1"/>
  <c r="AI1152" i="3"/>
  <c r="AD1152" i="3" s="1"/>
  <c r="AK1369" i="3"/>
  <c r="AB1369" i="3" s="1"/>
  <c r="AI1452" i="3"/>
  <c r="AD1452" i="3" s="1"/>
  <c r="AI1451" i="3"/>
  <c r="AD1451" i="3" s="1"/>
  <c r="AK803" i="3"/>
  <c r="AB803" i="3" s="1"/>
  <c r="AK824" i="3"/>
  <c r="AB824" i="3" s="1"/>
  <c r="AI716" i="3"/>
  <c r="AD716" i="3" s="1"/>
  <c r="AI1334" i="3"/>
  <c r="AD1334" i="3" s="1"/>
  <c r="AI1335" i="3"/>
  <c r="AD1335" i="3" s="1"/>
  <c r="AI1884" i="3"/>
  <c r="AD1884" i="3" s="1"/>
  <c r="AK1968" i="3"/>
  <c r="AB1968" i="3" s="1"/>
  <c r="AI1269" i="3"/>
  <c r="AD1269" i="3" s="1"/>
  <c r="AI2007" i="3"/>
  <c r="AD2007" i="3" s="1"/>
  <c r="AK1198" i="3"/>
  <c r="AB1198" i="3" s="1"/>
  <c r="AK1358" i="3"/>
  <c r="AB1358" i="3" s="1"/>
  <c r="AI1792" i="3"/>
  <c r="AD1792" i="3" s="1"/>
  <c r="AK840" i="3"/>
  <c r="AB840" i="3" s="1"/>
  <c r="AK916" i="3"/>
  <c r="AB916" i="3" s="1"/>
  <c r="AK1123" i="3"/>
  <c r="AB1123" i="3" s="1"/>
  <c r="AI1124" i="3"/>
  <c r="AD1124" i="3" s="1"/>
  <c r="AK1395" i="3"/>
  <c r="AB1395" i="3" s="1"/>
  <c r="AI769" i="3"/>
  <c r="AD769" i="3" s="1"/>
  <c r="AK817" i="3"/>
  <c r="AB817" i="3" s="1"/>
  <c r="AK2134" i="3"/>
  <c r="AB2134" i="3" s="1"/>
  <c r="AK2021" i="3"/>
  <c r="AB2021" i="3" s="1"/>
  <c r="AK1452" i="3"/>
  <c r="AB1452" i="3" s="1"/>
  <c r="AI1281" i="3"/>
  <c r="AD1281" i="3" s="1"/>
  <c r="AI1398" i="3"/>
  <c r="AD1398" i="3" s="1"/>
  <c r="AI927" i="3"/>
  <c r="AD927" i="3" s="1"/>
  <c r="AI837" i="3"/>
  <c r="AD837" i="3" s="1"/>
  <c r="AK1519" i="3"/>
  <c r="AB1519" i="3" s="1"/>
  <c r="AI1491" i="3"/>
  <c r="AD1491" i="3" s="1"/>
  <c r="AI1502" i="3"/>
  <c r="AD1502" i="3" s="1"/>
  <c r="AI2130" i="3"/>
  <c r="AD2130" i="3" s="1"/>
  <c r="AI173" i="3"/>
  <c r="AD173" i="3" s="1"/>
  <c r="AK1974" i="3"/>
  <c r="AB1974" i="3" s="1"/>
  <c r="AK190" i="3"/>
  <c r="AB190" i="3" s="1"/>
  <c r="AK1478" i="3"/>
  <c r="AB1478" i="3" s="1"/>
  <c r="AK1197" i="3"/>
  <c r="AB1197" i="3" s="1"/>
  <c r="AI850" i="3"/>
  <c r="AD850" i="3" s="1"/>
  <c r="AI2163" i="3"/>
  <c r="AD2163" i="3" s="1"/>
  <c r="AI2170" i="3"/>
  <c r="AD2170" i="3" s="1"/>
  <c r="AK1523" i="3"/>
  <c r="AB1523" i="3" s="1"/>
  <c r="AI343" i="3"/>
  <c r="AD343" i="3" s="1"/>
  <c r="AI472" i="3"/>
  <c r="AD472" i="3" s="1"/>
  <c r="AK598" i="3"/>
  <c r="AB598" i="3" s="1"/>
  <c r="AI2020" i="3"/>
  <c r="AD2020" i="3" s="1"/>
  <c r="AK360" i="3"/>
  <c r="AB360" i="3" s="1"/>
  <c r="AI1951" i="3"/>
  <c r="AD1951" i="3" s="1"/>
  <c r="AI2138" i="3"/>
  <c r="AD2138" i="3" s="1"/>
  <c r="AF2147" i="3"/>
  <c r="AK1637" i="3"/>
  <c r="AB1637" i="3" s="1"/>
  <c r="AK513" i="3"/>
  <c r="AB513" i="3" s="1"/>
  <c r="AK2055" i="3"/>
  <c r="AB2055" i="3" s="1"/>
  <c r="AI775" i="3"/>
  <c r="AD775" i="3" s="1"/>
  <c r="AI292" i="3"/>
  <c r="AD292" i="3" s="1"/>
  <c r="AK515" i="3"/>
  <c r="AB515" i="3" s="1"/>
  <c r="AK331" i="3"/>
  <c r="AB331" i="3" s="1"/>
  <c r="AI1590" i="3"/>
  <c r="AD1590" i="3" s="1"/>
  <c r="AI321" i="3"/>
  <c r="AD321" i="3" s="1"/>
  <c r="AI1976" i="3"/>
  <c r="AD1976" i="3" s="1"/>
  <c r="AK663" i="3"/>
  <c r="AB663" i="3" s="1"/>
  <c r="AK589" i="3"/>
  <c r="AB589" i="3" s="1"/>
  <c r="AK192" i="4"/>
  <c r="AI192" i="4"/>
  <c r="AH192" i="4" s="1"/>
  <c r="AK510" i="4"/>
  <c r="AI510" i="4"/>
  <c r="AH510" i="4" s="1"/>
  <c r="AI758" i="4"/>
  <c r="AH758" i="4" s="1"/>
  <c r="AK758" i="4"/>
  <c r="AI2152" i="3"/>
  <c r="AD2152" i="3" s="1"/>
  <c r="AI1450" i="3"/>
  <c r="AD1450" i="3" s="1"/>
  <c r="AK1064" i="3"/>
  <c r="AB1064" i="3" s="1"/>
  <c r="AK1403" i="3"/>
  <c r="AB1403" i="3" s="1"/>
  <c r="AK924" i="3"/>
  <c r="AB924" i="3" s="1"/>
  <c r="AI719" i="3"/>
  <c r="AD719" i="3" s="1"/>
  <c r="AI1482" i="3"/>
  <c r="AD1482" i="3" s="1"/>
  <c r="AK927" i="3"/>
  <c r="AB927" i="3" s="1"/>
  <c r="AK1356" i="3"/>
  <c r="AB1356" i="3" s="1"/>
  <c r="AI839" i="3"/>
  <c r="AD839" i="3" s="1"/>
  <c r="AI2146" i="3"/>
  <c r="AD2146" i="3" s="1"/>
  <c r="AI1062" i="3"/>
  <c r="AD1062" i="3" s="1"/>
  <c r="AI1100" i="3"/>
  <c r="AD1100" i="3" s="1"/>
  <c r="AI1535" i="3"/>
  <c r="AD1535" i="3" s="1"/>
  <c r="AI768" i="3"/>
  <c r="AD768" i="3" s="1"/>
  <c r="AI1480" i="3"/>
  <c r="AD1480" i="3" s="1"/>
  <c r="AI909" i="3"/>
  <c r="AD909" i="3" s="1"/>
  <c r="AK1869" i="3"/>
  <c r="AB1869" i="3" s="1"/>
  <c r="AK1083" i="3"/>
  <c r="AB1083" i="3" s="1"/>
  <c r="AK1109" i="3"/>
  <c r="AB1109" i="3" s="1"/>
  <c r="AK1076" i="3"/>
  <c r="AB1076" i="3" s="1"/>
  <c r="AK984" i="3"/>
  <c r="AB984" i="3" s="1"/>
  <c r="AI1415" i="3"/>
  <c r="AD1415" i="3" s="1"/>
  <c r="AK1089" i="3"/>
  <c r="AB1089" i="3" s="1"/>
  <c r="AK1173" i="3"/>
  <c r="AB1173" i="3" s="1"/>
  <c r="AI1449" i="3"/>
  <c r="AD1449" i="3" s="1"/>
  <c r="AK1462" i="3"/>
  <c r="AB1462" i="3" s="1"/>
  <c r="AI924" i="3"/>
  <c r="AD924" i="3" s="1"/>
  <c r="AI233" i="3"/>
  <c r="AD233" i="3" s="1"/>
  <c r="AI1097" i="3"/>
  <c r="AD1097" i="3" s="1"/>
  <c r="AI1468" i="3"/>
  <c r="AD1468" i="3" s="1"/>
  <c r="AK1370" i="3"/>
  <c r="AB1370" i="3" s="1"/>
  <c r="AK2277" i="3"/>
  <c r="AB2277" i="3" s="1"/>
  <c r="AI170" i="3"/>
  <c r="AD170" i="3" s="1"/>
  <c r="AK2186" i="3"/>
  <c r="AB2186" i="3" s="1"/>
  <c r="AI1478" i="3"/>
  <c r="AD1478" i="3" s="1"/>
  <c r="AI1479" i="3"/>
  <c r="AD1479" i="3" s="1"/>
  <c r="AK1392" i="3"/>
  <c r="AB1392" i="3" s="1"/>
  <c r="AK2040" i="3"/>
  <c r="AB2040" i="3" s="1"/>
  <c r="AI2050" i="3"/>
  <c r="AD2050" i="3" s="1"/>
  <c r="AI1523" i="3"/>
  <c r="AD1523" i="3" s="1"/>
  <c r="AI2168" i="3"/>
  <c r="AD2168" i="3" s="1"/>
  <c r="AI1477" i="3"/>
  <c r="AD1477" i="3" s="1"/>
  <c r="AK2129" i="3"/>
  <c r="AB2129" i="3" s="1"/>
  <c r="AK285" i="3"/>
  <c r="AB285" i="3" s="1"/>
  <c r="AK245" i="3"/>
  <c r="AB245" i="3" s="1"/>
  <c r="AI1003" i="3"/>
  <c r="AD1003" i="3" s="1"/>
  <c r="AK789" i="3"/>
  <c r="AB789" i="3" s="1"/>
  <c r="AI341" i="3"/>
  <c r="AD341" i="3" s="1"/>
  <c r="AK1547" i="3"/>
  <c r="AB1547" i="3" s="1"/>
  <c r="AI1635" i="3"/>
  <c r="AD1635" i="3" s="1"/>
  <c r="AK124" i="3"/>
  <c r="AB124" i="3" s="1"/>
  <c r="AK2025" i="3"/>
  <c r="AB2025" i="3" s="1"/>
  <c r="AI339" i="3"/>
  <c r="AD339" i="3" s="1"/>
  <c r="AK2057" i="3"/>
  <c r="AB2057" i="3" s="1"/>
  <c r="AI810" i="3"/>
  <c r="AD810" i="3" s="1"/>
  <c r="AK1665" i="3"/>
  <c r="AB1665" i="3" s="1"/>
  <c r="AK624" i="3"/>
  <c r="AB624" i="3" s="1"/>
  <c r="AK528" i="3"/>
  <c r="AB528" i="3" s="1"/>
  <c r="AC528" i="3" s="1"/>
  <c r="AK243" i="3"/>
  <c r="AB243" i="3" s="1"/>
  <c r="AI97" i="3"/>
  <c r="AD97" i="3" s="1"/>
  <c r="AI1958" i="3"/>
  <c r="AD1958" i="3" s="1"/>
  <c r="AI797" i="3"/>
  <c r="AD797" i="3" s="1"/>
  <c r="AI511" i="3"/>
  <c r="AD511" i="3" s="1"/>
  <c r="AK579" i="3"/>
  <c r="AB579" i="3" s="1"/>
  <c r="AK123" i="3"/>
  <c r="AB123" i="3" s="1"/>
  <c r="AI1356" i="3"/>
  <c r="AD1356" i="3" s="1"/>
  <c r="AI1455" i="3"/>
  <c r="AD1455" i="3" s="1"/>
  <c r="AK2142" i="3"/>
  <c r="AB2142" i="3" s="1"/>
  <c r="AI214" i="3"/>
  <c r="AD214" i="3" s="1"/>
  <c r="AK2090" i="3"/>
  <c r="AB2090" i="3" s="1"/>
  <c r="AI1496" i="3"/>
  <c r="AD1496" i="3" s="1"/>
  <c r="AK1097" i="3"/>
  <c r="AB1097" i="3" s="1"/>
  <c r="AI166" i="3"/>
  <c r="AD166" i="3" s="1"/>
  <c r="AK344" i="3"/>
  <c r="AB344" i="3" s="1"/>
  <c r="AI1515" i="3"/>
  <c r="AD1515" i="3" s="1"/>
  <c r="AI1164" i="3"/>
  <c r="AD1164" i="3" s="1"/>
  <c r="AI739" i="3"/>
  <c r="AD739" i="3" s="1"/>
  <c r="AI762" i="3"/>
  <c r="AD762" i="3" s="1"/>
  <c r="AI1527" i="3"/>
  <c r="AD1527" i="3" s="1"/>
  <c r="AI1074" i="3"/>
  <c r="AD1074" i="3" s="1"/>
  <c r="AI1166" i="3"/>
  <c r="AD1166" i="3" s="1"/>
  <c r="AI344" i="3"/>
  <c r="AD344" i="3" s="1"/>
  <c r="AK1449" i="3"/>
  <c r="AB1449" i="3" s="1"/>
  <c r="AK2253" i="3"/>
  <c r="AB2253" i="3" s="1"/>
  <c r="AK2255" i="3"/>
  <c r="AB2255" i="3" s="1"/>
  <c r="AK93" i="3"/>
  <c r="AB93" i="3" s="1"/>
  <c r="AK1398" i="3"/>
  <c r="AB1398" i="3" s="1"/>
  <c r="AK841" i="3"/>
  <c r="AB841" i="3" s="1"/>
  <c r="AK2049" i="3"/>
  <c r="AB2049" i="3" s="1"/>
  <c r="AK1792" i="3"/>
  <c r="AB1792" i="3" s="1"/>
  <c r="AI1425" i="3"/>
  <c r="AD1425" i="3" s="1"/>
  <c r="AI1149" i="3"/>
  <c r="AD1149" i="3" s="1"/>
  <c r="AI2056" i="3"/>
  <c r="AD2056" i="3" s="1"/>
  <c r="AK1075" i="3"/>
  <c r="AB1075" i="3" s="1"/>
  <c r="AI824" i="3"/>
  <c r="AD824" i="3" s="1"/>
  <c r="AI823" i="3"/>
  <c r="AD823" i="3" s="1"/>
  <c r="AI918" i="3"/>
  <c r="AD918" i="3" s="1"/>
  <c r="AI1971" i="3"/>
  <c r="AD1971" i="3" s="1"/>
  <c r="AK759" i="3"/>
  <c r="AB759" i="3" s="1"/>
  <c r="AK1467" i="3"/>
  <c r="AB1467" i="3" s="1"/>
  <c r="AI414" i="3"/>
  <c r="AD414" i="3" s="1"/>
  <c r="AK413" i="3"/>
  <c r="AB413" i="3" s="1"/>
  <c r="AK1311" i="3"/>
  <c r="AB1311" i="3" s="1"/>
  <c r="AK1477" i="3"/>
  <c r="AB1477" i="3" s="1"/>
  <c r="AK2273" i="3"/>
  <c r="AB2273" i="3" s="1"/>
  <c r="AK1245" i="3"/>
  <c r="AB1245" i="3" s="1"/>
  <c r="AI2281" i="3"/>
  <c r="AD2281" i="3" s="1"/>
  <c r="AK2078" i="3"/>
  <c r="AB2078" i="3" s="1"/>
  <c r="AK60" i="3"/>
  <c r="AB60" i="3" s="1"/>
  <c r="AK1858" i="3"/>
  <c r="AB1858" i="3" s="1"/>
  <c r="AK1618" i="3"/>
  <c r="AB1618" i="3" s="1"/>
  <c r="AK728" i="3"/>
  <c r="AB728" i="3" s="1"/>
  <c r="AI1687" i="3"/>
  <c r="AD1687" i="3" s="1"/>
  <c r="AI583" i="3"/>
  <c r="AD583" i="3" s="1"/>
  <c r="AI2084" i="3"/>
  <c r="AD2084" i="3" s="1"/>
  <c r="AI832" i="3"/>
  <c r="AD832" i="3" s="1"/>
  <c r="AI1040" i="3"/>
  <c r="AD1040" i="3" s="1"/>
  <c r="AK208" i="3"/>
  <c r="AB208" i="3" s="1"/>
  <c r="AF2273" i="3"/>
  <c r="AK1446" i="3"/>
  <c r="AB1446" i="3" s="1"/>
  <c r="AF2045" i="3"/>
  <c r="AI1649" i="3"/>
  <c r="AD1649" i="3" s="1"/>
  <c r="AF1476" i="3"/>
  <c r="AI1948" i="3"/>
  <c r="AD1948" i="3" s="1"/>
  <c r="AI76" i="3"/>
  <c r="AD76" i="3" s="1"/>
  <c r="AK1825" i="3"/>
  <c r="AB1825" i="3" s="1"/>
  <c r="AI647" i="3"/>
  <c r="AD647" i="3" s="1"/>
  <c r="AF413" i="3"/>
  <c r="AK753" i="3"/>
  <c r="AB753" i="3" s="1"/>
  <c r="AK1941" i="3"/>
  <c r="AB1941" i="3" s="1"/>
  <c r="AK1108" i="3"/>
  <c r="AB1108" i="3" s="1"/>
  <c r="AK1246" i="3"/>
  <c r="AB1246" i="3" s="1"/>
  <c r="AI926" i="3"/>
  <c r="AD926" i="3" s="1"/>
  <c r="AI1125" i="3"/>
  <c r="AD1125" i="3" s="1"/>
  <c r="AI94" i="3"/>
  <c r="AD94" i="3" s="1"/>
  <c r="AI1175" i="3"/>
  <c r="AD1175" i="3" s="1"/>
  <c r="AI1501" i="3"/>
  <c r="AD1501" i="3" s="1"/>
  <c r="AK1503" i="3"/>
  <c r="AB1503" i="3" s="1"/>
  <c r="AI2254" i="3"/>
  <c r="AD2254" i="3" s="1"/>
  <c r="AI1507" i="3"/>
  <c r="AD1507" i="3" s="1"/>
  <c r="AI165" i="3"/>
  <c r="AD165" i="3" s="1"/>
  <c r="AK1453" i="3"/>
  <c r="AB1453" i="3" s="1"/>
  <c r="AI1308" i="3"/>
  <c r="AD1308" i="3" s="1"/>
  <c r="AK172" i="3"/>
  <c r="AB172" i="3" s="1"/>
  <c r="AK2026" i="3"/>
  <c r="AB2026" i="3" s="1"/>
  <c r="AK1039" i="3"/>
  <c r="AB1039" i="3" s="1"/>
  <c r="AI928" i="3"/>
  <c r="AD928" i="3" s="1"/>
  <c r="AK2258" i="3"/>
  <c r="AB2258" i="3" s="1"/>
  <c r="AK2252" i="3"/>
  <c r="AB2252" i="3" s="1"/>
  <c r="AK114" i="3"/>
  <c r="AB114" i="3" s="1"/>
  <c r="AI205" i="3"/>
  <c r="AD205" i="3" s="1"/>
  <c r="AI62" i="3"/>
  <c r="AD62" i="3" s="1"/>
  <c r="AK1183" i="3"/>
  <c r="AB1183" i="3" s="1"/>
  <c r="AI1465" i="3"/>
  <c r="AD1465" i="3" s="1"/>
  <c r="AK1244" i="3"/>
  <c r="AB1244" i="3" s="1"/>
  <c r="AK1310" i="3"/>
  <c r="AB1310" i="3" s="1"/>
  <c r="AK1110" i="3"/>
  <c r="AB1110" i="3" s="1"/>
  <c r="AK94" i="3"/>
  <c r="AB94" i="3" s="1"/>
  <c r="AK1175" i="3"/>
  <c r="AB1175" i="3" s="1"/>
  <c r="AI843" i="3"/>
  <c r="AD843" i="3" s="1"/>
  <c r="AK48" i="3"/>
  <c r="AB48" i="3" s="1"/>
  <c r="AK204" i="3"/>
  <c r="AB204" i="3" s="1"/>
  <c r="AI1783" i="3"/>
  <c r="AD1783" i="3" s="1"/>
  <c r="AI1543" i="3"/>
  <c r="AD1543" i="3" s="1"/>
  <c r="AK971" i="3"/>
  <c r="AB971" i="3" s="1"/>
  <c r="AK2275" i="3"/>
  <c r="AB2275" i="3" s="1"/>
  <c r="AK1475" i="3"/>
  <c r="AB1475" i="3" s="1"/>
  <c r="AI726" i="3"/>
  <c r="AD726" i="3" s="1"/>
  <c r="AK2083" i="3"/>
  <c r="AB2083" i="3" s="1"/>
  <c r="AI1196" i="3"/>
  <c r="AD1196" i="3" s="1"/>
  <c r="AK1428" i="3"/>
  <c r="AB1428" i="3" s="1"/>
  <c r="AK838" i="3"/>
  <c r="AB838" i="3" s="1"/>
  <c r="AI1483" i="3"/>
  <c r="AD1483" i="3" s="1"/>
  <c r="AI1413" i="3"/>
  <c r="AD1413" i="3" s="1"/>
  <c r="AK1543" i="3"/>
  <c r="AB1543" i="3" s="1"/>
  <c r="AF1139" i="3"/>
  <c r="AK1963" i="3"/>
  <c r="AB1963" i="3" s="1"/>
  <c r="AK154" i="3"/>
  <c r="AB154" i="3" s="1"/>
  <c r="AI1909" i="3"/>
  <c r="AD1909" i="3" s="1"/>
  <c r="AI322" i="3"/>
  <c r="AD322" i="3" s="1"/>
  <c r="AI778" i="3"/>
  <c r="AD778" i="3" s="1"/>
  <c r="AI959" i="3"/>
  <c r="AD959" i="3" s="1"/>
  <c r="AK196" i="3"/>
  <c r="AB196" i="3" s="1"/>
  <c r="AK1438" i="3"/>
  <c r="AB1438" i="3" s="1"/>
  <c r="AK809" i="3"/>
  <c r="AB809" i="3" s="1"/>
  <c r="AK643" i="3"/>
  <c r="AB643" i="3" s="1"/>
  <c r="AK796" i="3"/>
  <c r="AB796" i="3" s="1"/>
  <c r="AI1633" i="3"/>
  <c r="AD1633" i="3" s="1"/>
  <c r="AI600" i="3"/>
  <c r="AD600" i="3" s="1"/>
  <c r="AI1323" i="3"/>
  <c r="AD1323" i="3" s="1"/>
  <c r="AI1648" i="3"/>
  <c r="AD1648" i="3" s="1"/>
  <c r="AI590" i="3"/>
  <c r="AD590" i="3" s="1"/>
  <c r="AK2098" i="3"/>
  <c r="AB2098" i="3" s="1"/>
  <c r="AF925" i="3"/>
  <c r="AF1450" i="3"/>
  <c r="AI1284" i="3"/>
  <c r="AD1284" i="3" s="1"/>
  <c r="AI2049" i="3"/>
  <c r="AD2049" i="3" s="1"/>
  <c r="AK961" i="3"/>
  <c r="AB961" i="3" s="1"/>
  <c r="AI966" i="3"/>
  <c r="AD966" i="3" s="1"/>
  <c r="AI1110" i="3"/>
  <c r="AD1110" i="3" s="1"/>
  <c r="AK2144" i="3"/>
  <c r="AB2144" i="3" s="1"/>
  <c r="AK2019" i="3"/>
  <c r="AB2019" i="3" s="1"/>
  <c r="AK49" i="3"/>
  <c r="AB49" i="3" s="1"/>
  <c r="AI48" i="3"/>
  <c r="AD48" i="3" s="1"/>
  <c r="AK909" i="3"/>
  <c r="AB909" i="3" s="1"/>
  <c r="AK2140" i="3"/>
  <c r="AB2140" i="3" s="1"/>
  <c r="AI840" i="3"/>
  <c r="AD840" i="3" s="1"/>
  <c r="AI1122" i="3"/>
  <c r="AD1122" i="3" s="1"/>
  <c r="AI1162" i="3"/>
  <c r="AD1162" i="3" s="1"/>
  <c r="AK1124" i="3"/>
  <c r="AB1124" i="3" s="1"/>
  <c r="AI1466" i="3"/>
  <c r="AD1466" i="3" s="1"/>
  <c r="AI2187" i="3"/>
  <c r="AD2187" i="3" s="1"/>
  <c r="AI727" i="3"/>
  <c r="AD727" i="3" s="1"/>
  <c r="AI761" i="3"/>
  <c r="AD761" i="3" s="1"/>
  <c r="AI967" i="3"/>
  <c r="AD967" i="3" s="1"/>
  <c r="AI1096" i="3"/>
  <c r="AD1096" i="3" s="1"/>
  <c r="AK1100" i="3"/>
  <c r="AB1100" i="3" s="1"/>
  <c r="AI1075" i="3"/>
  <c r="AD1075" i="3" s="1"/>
  <c r="AI1394" i="3"/>
  <c r="AD1394" i="3" s="1"/>
  <c r="AK1166" i="3"/>
  <c r="AB1166" i="3" s="1"/>
  <c r="AK1450" i="3"/>
  <c r="AB1450" i="3" s="1"/>
  <c r="AI1505" i="3"/>
  <c r="AD1505" i="3" s="1"/>
  <c r="AK235" i="3"/>
  <c r="AB235" i="3" s="1"/>
  <c r="AI2144" i="3"/>
  <c r="AD2144" i="3" s="1"/>
  <c r="AI1973" i="3"/>
  <c r="AD1973" i="3" s="1"/>
  <c r="AI1417" i="3"/>
  <c r="AD1417" i="3" s="1"/>
  <c r="AI1073" i="3"/>
  <c r="AD1073" i="3" s="1"/>
  <c r="AK925" i="3"/>
  <c r="AB925" i="3" s="1"/>
  <c r="AI1272" i="3"/>
  <c r="AD1272" i="3" s="1"/>
  <c r="AK1474" i="3"/>
  <c r="AB1474" i="3" s="1"/>
  <c r="AK845" i="3"/>
  <c r="AB845" i="3" s="1"/>
  <c r="AK203" i="3"/>
  <c r="AB203" i="3" s="1"/>
  <c r="AI1197" i="3"/>
  <c r="AD1197" i="3" s="1"/>
  <c r="AK182" i="3"/>
  <c r="AB182" i="3" s="1"/>
  <c r="AK1521" i="3"/>
  <c r="AB1521" i="3" s="1"/>
  <c r="AK414" i="3"/>
  <c r="AB414" i="3" s="1"/>
  <c r="AI2165" i="3"/>
  <c r="AD2165" i="3" s="1"/>
  <c r="AI974" i="3"/>
  <c r="AD974" i="3" s="1"/>
  <c r="AK836" i="3"/>
  <c r="AB836" i="3" s="1"/>
  <c r="AI2273" i="3"/>
  <c r="AD2273" i="3" s="1"/>
  <c r="AI2151" i="3"/>
  <c r="AD2151" i="3" s="1"/>
  <c r="AK1987" i="3"/>
  <c r="AB1987" i="3" s="1"/>
  <c r="AK152" i="3"/>
  <c r="AB152" i="3" s="1"/>
  <c r="AF1974" i="3"/>
  <c r="AK1855" i="3"/>
  <c r="AB1855" i="3" s="1"/>
  <c r="AF1367" i="3"/>
  <c r="AI1688" i="3"/>
  <c r="AD1688" i="3" s="1"/>
  <c r="AI1331" i="3"/>
  <c r="AD1331" i="3" s="1"/>
  <c r="AF2068" i="3"/>
  <c r="AI953" i="3"/>
  <c r="AD953" i="3" s="1"/>
  <c r="AI557" i="3"/>
  <c r="AD557" i="3" s="1"/>
  <c r="AK368" i="3"/>
  <c r="AB368" i="3" s="1"/>
  <c r="AK207" i="3"/>
  <c r="AB207" i="3" s="1"/>
  <c r="AK1008" i="3"/>
  <c r="AB1008" i="3" s="1"/>
  <c r="AK295" i="3"/>
  <c r="AB295" i="3" s="1"/>
  <c r="AK1534" i="3"/>
  <c r="AB1534" i="3" s="1"/>
  <c r="AI1580" i="3"/>
  <c r="AD1580" i="3" s="1"/>
  <c r="AF1174" i="3"/>
  <c r="AI665" i="3"/>
  <c r="AD665" i="3" s="1"/>
  <c r="AK992" i="3"/>
  <c r="AB992" i="3" s="1"/>
  <c r="AI642" i="3"/>
  <c r="AD642" i="3" s="1"/>
  <c r="AK748" i="4"/>
  <c r="AI748" i="4"/>
  <c r="AH748" i="4" s="1"/>
  <c r="AK447" i="4"/>
  <c r="AI447" i="4"/>
  <c r="AH447" i="4" s="1"/>
  <c r="AI194" i="4"/>
  <c r="AH194" i="4" s="1"/>
  <c r="AK194" i="4"/>
  <c r="AI1793" i="3"/>
  <c r="AD1793" i="3" s="1"/>
  <c r="AK1407" i="3"/>
  <c r="AB1407" i="3" s="1"/>
  <c r="AK1172" i="3"/>
  <c r="AB1172" i="3" s="1"/>
  <c r="AK1367" i="3"/>
  <c r="AB1367" i="3" s="1"/>
  <c r="AK2056" i="3"/>
  <c r="AB2056" i="3" s="1"/>
  <c r="AK1535" i="3"/>
  <c r="AB1535" i="3" s="1"/>
  <c r="AK1417" i="3"/>
  <c r="AB1417" i="3" s="1"/>
  <c r="AI1998" i="3"/>
  <c r="AD1998" i="3" s="1"/>
  <c r="AK834" i="3"/>
  <c r="AB834" i="3" s="1"/>
  <c r="AK1152" i="3"/>
  <c r="AB1152" i="3" s="1"/>
  <c r="AI2133" i="3"/>
  <c r="AD2133" i="3" s="1"/>
  <c r="AK1087" i="3"/>
  <c r="AB1087" i="3" s="1"/>
  <c r="AI1885" i="3"/>
  <c r="AD1885" i="3" s="1"/>
  <c r="AK1511" i="3"/>
  <c r="AB1511" i="3" s="1"/>
  <c r="AK758" i="3"/>
  <c r="AB758" i="3" s="1"/>
  <c r="AI345" i="3"/>
  <c r="AD345" i="3" s="1"/>
  <c r="AI817" i="3"/>
  <c r="AD817" i="3" s="1"/>
  <c r="AI1084" i="3"/>
  <c r="AD1084" i="3" s="1"/>
  <c r="AI1409" i="3"/>
  <c r="AD1409" i="3" s="1"/>
  <c r="AI83" i="3"/>
  <c r="AD83" i="3" s="1"/>
  <c r="AK91" i="3"/>
  <c r="AB91" i="3" s="1"/>
  <c r="AK168" i="3"/>
  <c r="AB168" i="3" s="1"/>
  <c r="AI2045" i="3"/>
  <c r="AD2045" i="3" s="1"/>
  <c r="AK928" i="3"/>
  <c r="AB928" i="3" s="1"/>
  <c r="AK718" i="3"/>
  <c r="AB718" i="3" s="1"/>
  <c r="AI1464" i="3"/>
  <c r="AD1464" i="3" s="1"/>
  <c r="AI1367" i="3"/>
  <c r="AD1367" i="3" s="1"/>
  <c r="AI63" i="3"/>
  <c r="AD63" i="3" s="1"/>
  <c r="AI1099" i="3"/>
  <c r="AD1099" i="3" s="1"/>
  <c r="AK1415" i="3"/>
  <c r="AB1415" i="3" s="1"/>
  <c r="AK273" i="3"/>
  <c r="AB273" i="3" s="1"/>
  <c r="AI2188" i="3"/>
  <c r="AD2188" i="3" s="1"/>
  <c r="AK911" i="3"/>
  <c r="AB911" i="3" s="1"/>
  <c r="AI191" i="3"/>
  <c r="AD191" i="3" s="1"/>
  <c r="AI830" i="3"/>
  <c r="AD830" i="3" s="1"/>
  <c r="AK2166" i="3"/>
  <c r="AB2166" i="3" s="1"/>
  <c r="AK1491" i="3"/>
  <c r="AB1491" i="3" s="1"/>
  <c r="AK1502" i="3"/>
  <c r="AB1502" i="3" s="1"/>
  <c r="AI836" i="3"/>
  <c r="AD836" i="3" s="1"/>
  <c r="AI1475" i="3"/>
  <c r="AD1475" i="3" s="1"/>
  <c r="AK2151" i="3"/>
  <c r="AB2151" i="3" s="1"/>
  <c r="AI2219" i="3"/>
  <c r="AD2219" i="3" s="1"/>
  <c r="AK766" i="3"/>
  <c r="AB766" i="3" s="1"/>
  <c r="AK1971" i="3"/>
  <c r="AB1971" i="3" s="1"/>
  <c r="AI99" i="3"/>
  <c r="AD99" i="3" s="1"/>
  <c r="AI1733" i="3"/>
  <c r="AD1733" i="3" s="1"/>
  <c r="AF760" i="3"/>
  <c r="AI1598" i="3"/>
  <c r="AD1598" i="3" s="1"/>
  <c r="AI640" i="3"/>
  <c r="AD640" i="3" s="1"/>
  <c r="AI612" i="3"/>
  <c r="AD612" i="3" s="1"/>
  <c r="AI1600" i="3"/>
  <c r="AD1600" i="3" s="1"/>
  <c r="AK618" i="3"/>
  <c r="AB618" i="3" s="1"/>
  <c r="AK616" i="3"/>
  <c r="AB616" i="3" s="1"/>
  <c r="AF168" i="3"/>
  <c r="AI578" i="3"/>
  <c r="AD578" i="3" s="1"/>
  <c r="AI227" i="3"/>
  <c r="AD227" i="3" s="1"/>
  <c r="AK1738" i="3"/>
  <c r="AB1738" i="3" s="1"/>
  <c r="AC1738" i="3" s="1"/>
  <c r="AI592" i="3"/>
  <c r="AD592" i="3" s="1"/>
  <c r="AK622" i="3"/>
  <c r="AB622" i="3" s="1"/>
  <c r="AI335" i="3"/>
  <c r="AD335" i="3" s="1"/>
  <c r="AI1647" i="3"/>
  <c r="AD1647" i="3" s="1"/>
  <c r="AI465" i="3"/>
  <c r="AD465" i="3" s="1"/>
  <c r="AK857" i="3"/>
  <c r="AB857" i="3" s="1"/>
  <c r="AF1334" i="3"/>
  <c r="AF2166" i="3"/>
  <c r="AK1271" i="3"/>
  <c r="AB1271" i="3" s="1"/>
  <c r="AI834" i="3"/>
  <c r="AD834" i="3" s="1"/>
  <c r="AK1353" i="3"/>
  <c r="AB1353" i="3" s="1"/>
  <c r="AK1143" i="3"/>
  <c r="AB1143" i="3" s="1"/>
  <c r="AK739" i="3"/>
  <c r="AB739" i="3" s="1"/>
  <c r="AK762" i="3"/>
  <c r="AB762" i="3" s="1"/>
  <c r="AI763" i="3"/>
  <c r="AD763" i="3" s="1"/>
  <c r="AK724" i="3"/>
  <c r="AB724" i="3" s="1"/>
  <c r="AK1063" i="3"/>
  <c r="AB1063" i="3" s="1"/>
  <c r="AK1086" i="3"/>
  <c r="AB1086" i="3" s="1"/>
  <c r="AK1084" i="3"/>
  <c r="AB1084" i="3" s="1"/>
  <c r="AI1403" i="3"/>
  <c r="AD1403" i="3" s="1"/>
  <c r="AI113" i="3"/>
  <c r="AD113" i="3" s="1"/>
  <c r="AK1451" i="3"/>
  <c r="AB1451" i="3" s="1"/>
  <c r="AI168" i="3"/>
  <c r="AD168" i="3" s="1"/>
  <c r="AI1429" i="3"/>
  <c r="AD1429" i="3" s="1"/>
  <c r="AK1070" i="3"/>
  <c r="AB1070" i="3" s="1"/>
  <c r="AI1359" i="3"/>
  <c r="AD1359" i="3" s="1"/>
  <c r="AK1454" i="3"/>
  <c r="AB1454" i="3" s="1"/>
  <c r="AK2147" i="3"/>
  <c r="AB2147" i="3" s="1"/>
  <c r="AK2065" i="3"/>
  <c r="AB2065" i="3" s="1"/>
  <c r="AK2064" i="3"/>
  <c r="AB2064" i="3" s="1"/>
  <c r="AK768" i="3"/>
  <c r="AB768" i="3" s="1"/>
  <c r="AK1480" i="3"/>
  <c r="AB1480" i="3" s="1"/>
  <c r="AI1870" i="3"/>
  <c r="AD1870" i="3" s="1"/>
  <c r="AK926" i="3"/>
  <c r="AB926" i="3" s="1"/>
  <c r="AK967" i="3"/>
  <c r="AB967" i="3" s="1"/>
  <c r="AK83" i="3"/>
  <c r="AB83" i="3" s="1"/>
  <c r="AI738" i="3"/>
  <c r="AD738" i="3" s="1"/>
  <c r="AI1251" i="3"/>
  <c r="AD1251" i="3" s="1"/>
  <c r="AK2217" i="3"/>
  <c r="AB2217" i="3" s="1"/>
  <c r="AK2281" i="3"/>
  <c r="AB2281" i="3" s="1"/>
  <c r="AK1485" i="3"/>
  <c r="AB1485" i="3" s="1"/>
  <c r="AI1513" i="3"/>
  <c r="AD1513" i="3" s="1"/>
  <c r="AK725" i="3"/>
  <c r="AB725" i="3" s="1"/>
  <c r="AI1370" i="3"/>
  <c r="AD1370" i="3" s="1"/>
  <c r="AI283" i="3"/>
  <c r="AD283" i="3" s="1"/>
  <c r="AK1794" i="3"/>
  <c r="AB1794" i="3" s="1"/>
  <c r="AI1195" i="3"/>
  <c r="AD1195" i="3" s="1"/>
  <c r="AI766" i="3"/>
  <c r="AD766" i="3" s="1"/>
  <c r="AK1141" i="3"/>
  <c r="AB1141" i="3" s="1"/>
  <c r="AK769" i="3"/>
  <c r="AB769" i="3" s="1"/>
  <c r="AK1430" i="3"/>
  <c r="AB1430" i="3" s="1"/>
  <c r="AI1519" i="3"/>
  <c r="AD1519" i="3" s="1"/>
  <c r="AK1513" i="3"/>
  <c r="AB1513" i="3" s="1"/>
  <c r="AK1593" i="3"/>
  <c r="AB1593" i="3" s="1"/>
  <c r="AI1711" i="3"/>
  <c r="AD1711" i="3" s="1"/>
  <c r="AI2012" i="3"/>
  <c r="AD2012" i="3" s="1"/>
  <c r="AI449" i="3"/>
  <c r="AD449" i="3" s="1"/>
  <c r="AI522" i="3"/>
  <c r="AD522" i="3" s="1"/>
  <c r="AI1920" i="3"/>
  <c r="AD1920" i="3" s="1"/>
  <c r="AK447" i="3"/>
  <c r="AB447" i="3" s="1"/>
  <c r="AK620" i="3"/>
  <c r="AB620" i="3" s="1"/>
  <c r="AK398" i="3"/>
  <c r="AB398" i="3" s="1"/>
  <c r="AI652" i="3"/>
  <c r="AD652" i="3" s="1"/>
  <c r="AK609" i="3"/>
  <c r="AB609" i="3" s="1"/>
  <c r="AK1944" i="3"/>
  <c r="AB1944" i="3" s="1"/>
  <c r="AF2142" i="3"/>
  <c r="AK197" i="3"/>
  <c r="AB197" i="3" s="1"/>
  <c r="AF1409" i="3"/>
  <c r="AI1672" i="3"/>
  <c r="AD1672" i="3" s="1"/>
  <c r="AK562" i="3"/>
  <c r="AB562" i="3" s="1"/>
  <c r="AK1982" i="3"/>
  <c r="AB1982" i="3" s="1"/>
  <c r="AK1437" i="3"/>
  <c r="AB1437" i="3" s="1"/>
  <c r="AK648" i="3"/>
  <c r="AB648" i="3" s="1"/>
  <c r="AI1190" i="3"/>
  <c r="AD1190" i="3" s="1"/>
  <c r="AI1174" i="3"/>
  <c r="AD1174" i="3" s="1"/>
  <c r="AK164" i="3"/>
  <c r="AB164" i="3" s="1"/>
  <c r="AI1170" i="3"/>
  <c r="AD1170" i="3" s="1"/>
  <c r="AI1098" i="3"/>
  <c r="AD1098" i="3" s="1"/>
  <c r="AI2068" i="3"/>
  <c r="AD2068" i="3" s="1"/>
  <c r="AK1400" i="3"/>
  <c r="AB1400" i="3" s="1"/>
  <c r="AI2026" i="3"/>
  <c r="AD2026" i="3" s="1"/>
  <c r="AI2217" i="3"/>
  <c r="AD2217" i="3" s="1"/>
  <c r="AK727" i="3"/>
  <c r="AB727" i="3" s="1"/>
  <c r="AK1455" i="3"/>
  <c r="AB1455" i="3" s="1"/>
  <c r="AI2252" i="3"/>
  <c r="AD2252" i="3" s="1"/>
  <c r="AK214" i="3"/>
  <c r="AB214" i="3" s="1"/>
  <c r="AI1189" i="3"/>
  <c r="AD1189" i="3" s="1"/>
  <c r="AK62" i="3"/>
  <c r="AB62" i="3" s="1"/>
  <c r="AK1482" i="3"/>
  <c r="AB1482" i="3" s="1"/>
  <c r="AK1061" i="3"/>
  <c r="AB1061" i="3" s="1"/>
  <c r="AK722" i="3"/>
  <c r="AB722" i="3" s="1"/>
  <c r="AK910" i="3"/>
  <c r="AB910" i="3" s="1"/>
  <c r="AI1516" i="3"/>
  <c r="AD1516" i="3" s="1"/>
  <c r="AK1168" i="3"/>
  <c r="AB1168" i="3" s="1"/>
  <c r="AK1162" i="3"/>
  <c r="AB1162" i="3" s="1"/>
  <c r="AK1099" i="3"/>
  <c r="AB1099" i="3" s="1"/>
  <c r="AK1074" i="3"/>
  <c r="AB1074" i="3" s="1"/>
  <c r="AK345" i="3"/>
  <c r="AB345" i="3" s="1"/>
  <c r="AI961" i="3"/>
  <c r="AD961" i="3" s="1"/>
  <c r="AK1112" i="3"/>
  <c r="AB1112" i="3" s="1"/>
  <c r="AI2253" i="3"/>
  <c r="AD2253" i="3" s="1"/>
  <c r="AK2068" i="3"/>
  <c r="AB2068" i="3" s="1"/>
  <c r="AI2019" i="3"/>
  <c r="AD2019" i="3" s="1"/>
  <c r="AK851" i="3"/>
  <c r="AB851" i="3" s="1"/>
  <c r="AI759" i="3"/>
  <c r="AD759" i="3" s="1"/>
  <c r="AI1467" i="3"/>
  <c r="AD1467" i="3" s="1"/>
  <c r="AI2150" i="3"/>
  <c r="AD2150" i="3" s="1"/>
  <c r="AK1402" i="3"/>
  <c r="AB1402" i="3" s="1"/>
  <c r="AK2272" i="3"/>
  <c r="AB2272" i="3" s="1"/>
  <c r="AK918" i="3"/>
  <c r="AB918" i="3" s="1"/>
  <c r="AI1141" i="3"/>
  <c r="AD1141" i="3" s="1"/>
  <c r="AK850" i="3"/>
  <c r="AB850" i="3" s="1"/>
  <c r="AK2163" i="3"/>
  <c r="AB2163" i="3" s="1"/>
  <c r="AI2166" i="3"/>
  <c r="AD2166" i="3" s="1"/>
  <c r="AI1997" i="3"/>
  <c r="AD1997" i="3" s="1"/>
  <c r="AK734" i="3"/>
  <c r="AB734" i="3" s="1"/>
  <c r="AK2171" i="3"/>
  <c r="AB2171" i="3" s="1"/>
  <c r="AI2277" i="3"/>
  <c r="AD2277" i="3" s="1"/>
  <c r="AK2079" i="3"/>
  <c r="AB2079" i="3" s="1"/>
  <c r="AF1870" i="3"/>
  <c r="AI743" i="3"/>
  <c r="AD743" i="3" s="1"/>
  <c r="AI2036" i="3"/>
  <c r="AD2036" i="3" s="1"/>
  <c r="AI1568" i="3"/>
  <c r="AD1568" i="3" s="1"/>
  <c r="AF1061" i="3"/>
  <c r="AI82" i="3"/>
  <c r="AD82" i="3" s="1"/>
  <c r="AF2026" i="3"/>
  <c r="AK1917" i="3"/>
  <c r="AB1917" i="3" s="1"/>
  <c r="AI1656" i="3"/>
  <c r="AD1656" i="3" s="1"/>
  <c r="AI611" i="3"/>
  <c r="AD611" i="3" s="1"/>
  <c r="AI2285" i="3"/>
  <c r="AD2285" i="3" s="1"/>
  <c r="AK1316" i="3"/>
  <c r="AB1316" i="3" s="1"/>
  <c r="AK1728" i="3"/>
  <c r="AB1728" i="3" s="1"/>
  <c r="AI740" i="3"/>
  <c r="AD740" i="3" s="1"/>
  <c r="AK1977" i="3"/>
  <c r="AB1977" i="3" s="1"/>
  <c r="AI1643" i="3"/>
  <c r="AD1643" i="3" s="1"/>
  <c r="AF1176" i="3"/>
  <c r="AI788" i="3"/>
  <c r="AD788" i="3" s="1"/>
  <c r="AF1521" i="3"/>
  <c r="AK563" i="3"/>
  <c r="AB563" i="3" s="1"/>
  <c r="AK1915" i="3"/>
  <c r="AB1915" i="3" s="1"/>
  <c r="AK716" i="3"/>
  <c r="AB716" i="3" s="1"/>
  <c r="AI977" i="3"/>
  <c r="AD977" i="3" s="1"/>
  <c r="AK165" i="3"/>
  <c r="AB165" i="3" s="1"/>
  <c r="AI972" i="3"/>
  <c r="AD972" i="3" s="1"/>
  <c r="AK63" i="3"/>
  <c r="AB63" i="3" s="1"/>
  <c r="AK254" i="3"/>
  <c r="AB254" i="3" s="1"/>
  <c r="AI851" i="3"/>
  <c r="AD851" i="3" s="1"/>
  <c r="AI1108" i="3"/>
  <c r="AD1108" i="3" s="1"/>
  <c r="AI2070" i="3"/>
  <c r="AD2070" i="3" s="1"/>
  <c r="AI1869" i="3"/>
  <c r="AD1869" i="3" s="1"/>
  <c r="AK1125" i="3"/>
  <c r="AB1125" i="3" s="1"/>
  <c r="AK1096" i="3"/>
  <c r="AB1096" i="3" s="1"/>
  <c r="AK1509" i="3"/>
  <c r="AB1509" i="3" s="1"/>
  <c r="AI968" i="3"/>
  <c r="AD968" i="3" s="1"/>
  <c r="AI2080" i="3"/>
  <c r="AD2080" i="3" s="1"/>
  <c r="AI1556" i="3"/>
  <c r="AD1556" i="3" s="1"/>
  <c r="AK1870" i="3"/>
  <c r="AB1870" i="3" s="1"/>
  <c r="AK1333" i="3"/>
  <c r="AB1333" i="3" s="1"/>
  <c r="AK1178" i="3"/>
  <c r="AB1178" i="3" s="1"/>
  <c r="AK1176" i="3"/>
  <c r="AB1176" i="3" s="1"/>
  <c r="AK1885" i="3"/>
  <c r="AB1885" i="3" s="1"/>
  <c r="AI1456" i="3"/>
  <c r="AD1456" i="3" s="1"/>
  <c r="AI1198" i="3"/>
  <c r="AD1198" i="3" s="1"/>
  <c r="AI1070" i="3"/>
  <c r="AD1070" i="3" s="1"/>
  <c r="AI2258" i="3"/>
  <c r="AD2258" i="3" s="1"/>
  <c r="AI2142" i="3"/>
  <c r="AD2142" i="3" s="1"/>
  <c r="AI916" i="3"/>
  <c r="AD916" i="3" s="1"/>
  <c r="AK205" i="3"/>
  <c r="AB205" i="3" s="1"/>
  <c r="AI1396" i="3"/>
  <c r="AD1396" i="3" s="1"/>
  <c r="AI724" i="3"/>
  <c r="AD724" i="3" s="1"/>
  <c r="AI971" i="3"/>
  <c r="AD971" i="3" s="1"/>
  <c r="AI2004" i="3"/>
  <c r="AD2004" i="3" s="1"/>
  <c r="AK2003" i="3"/>
  <c r="AB2003" i="3" s="1"/>
  <c r="AI1146" i="3"/>
  <c r="AD1146" i="3" s="1"/>
  <c r="AK1072" i="3"/>
  <c r="AB1072" i="3" s="1"/>
  <c r="AK1783" i="3"/>
  <c r="AB1783" i="3" s="1"/>
  <c r="AK2165" i="3"/>
  <c r="AB2165" i="3" s="1"/>
  <c r="AK2168" i="3"/>
  <c r="AB2168" i="3" s="1"/>
  <c r="AK2051" i="3"/>
  <c r="AB2051" i="3" s="1"/>
  <c r="AK283" i="3"/>
  <c r="AB283" i="3" s="1"/>
  <c r="AI2079" i="3"/>
  <c r="AD2079" i="3" s="1"/>
  <c r="AI2005" i="3"/>
  <c r="AD2005" i="3" s="1"/>
  <c r="AI1329" i="3"/>
  <c r="AD1329" i="3" s="1"/>
  <c r="AI911" i="3"/>
  <c r="AD911" i="3" s="1"/>
  <c r="AK59" i="3"/>
  <c r="AB59" i="3" s="1"/>
  <c r="AI822" i="3"/>
  <c r="AD822" i="3" s="1"/>
  <c r="AK280" i="3"/>
  <c r="AB280" i="3" s="1"/>
  <c r="AI2014" i="3"/>
  <c r="AD2014" i="3" s="1"/>
  <c r="AK134" i="3"/>
  <c r="AB134" i="3" s="1"/>
  <c r="AK1572" i="3"/>
  <c r="AB1572" i="3" s="1"/>
  <c r="AI128" i="3"/>
  <c r="AD128" i="3" s="1"/>
  <c r="AF1329" i="3"/>
  <c r="AK1943" i="3"/>
  <c r="AB1943" i="3" s="1"/>
  <c r="AF173" i="3"/>
  <c r="AF1475" i="3"/>
  <c r="AK1607" i="3"/>
  <c r="AB1607" i="3" s="1"/>
  <c r="AF2277" i="3"/>
  <c r="AI571" i="3"/>
  <c r="AD571" i="3" s="1"/>
  <c r="AK596" i="3"/>
  <c r="AB596" i="3" s="1"/>
  <c r="AK1650" i="3"/>
  <c r="AB1650" i="3" s="1"/>
  <c r="AF91" i="3"/>
  <c r="AK1622" i="3"/>
  <c r="AB1622" i="3" s="1"/>
  <c r="AK1050" i="3"/>
  <c r="AB1050" i="3" s="1"/>
  <c r="AI146" i="3"/>
  <c r="AD146" i="3" s="1"/>
  <c r="AK597" i="3"/>
  <c r="AB597" i="3" s="1"/>
  <c r="AC597" i="3" s="1"/>
  <c r="AI651" i="3"/>
  <c r="AD651" i="3" s="1"/>
  <c r="AF1507" i="3"/>
  <c r="AK363" i="3"/>
  <c r="AB363" i="3" s="1"/>
  <c r="AI1844" i="3"/>
  <c r="AD1844" i="3" s="1"/>
  <c r="AK1888" i="3"/>
  <c r="AB1888" i="3" s="1"/>
  <c r="AI1957" i="3"/>
  <c r="AD1957" i="3" s="1"/>
  <c r="AI783" i="3"/>
  <c r="AD783" i="3" s="1"/>
  <c r="AK641" i="3"/>
  <c r="AB641" i="3" s="1"/>
  <c r="AI1954" i="3"/>
  <c r="AD1954" i="3" s="1"/>
  <c r="AK2076" i="3"/>
  <c r="AB2076" i="3" s="1"/>
  <c r="AF766" i="3"/>
  <c r="AF2019" i="3"/>
  <c r="AI464" i="3"/>
  <c r="AD464" i="3" s="1"/>
  <c r="AI2158" i="3"/>
  <c r="AD2158" i="3" s="1"/>
  <c r="AK1560" i="3"/>
  <c r="AB1560" i="3" s="1"/>
  <c r="AI151" i="3"/>
  <c r="AD151" i="3" s="1"/>
  <c r="AI2235" i="3"/>
  <c r="AD2235" i="3" s="1"/>
  <c r="AK1649" i="3"/>
  <c r="AB1649" i="3" s="1"/>
  <c r="AK592" i="3"/>
  <c r="AB592" i="3" s="1"/>
  <c r="AF2150" i="3"/>
  <c r="AI1740" i="3"/>
  <c r="AD1740" i="3" s="1"/>
  <c r="AF928" i="3"/>
  <c r="AI1203" i="3"/>
  <c r="AD1203" i="3" s="1"/>
  <c r="AK1563" i="3"/>
  <c r="AB1563" i="3" s="1"/>
  <c r="AF1337" i="3"/>
  <c r="AF961" i="3"/>
  <c r="AK795" i="3"/>
  <c r="AB795" i="3" s="1"/>
  <c r="AF1998" i="3"/>
  <c r="AI608" i="3"/>
  <c r="AD608" i="3" s="1"/>
  <c r="AI1925" i="3"/>
  <c r="AD1925" i="3" s="1"/>
  <c r="AI354" i="3"/>
  <c r="AD354" i="3" s="1"/>
  <c r="AI902" i="3"/>
  <c r="AD902" i="3" s="1"/>
  <c r="AK1301" i="3"/>
  <c r="AB1301" i="3" s="1"/>
  <c r="AK784" i="3"/>
  <c r="AB784" i="3" s="1"/>
  <c r="AI228" i="3"/>
  <c r="AD228" i="3" s="1"/>
  <c r="AI463" i="3"/>
  <c r="AD463" i="3" s="1"/>
  <c r="AK104" i="3"/>
  <c r="AB104" i="3" s="1"/>
  <c r="AI2237" i="3"/>
  <c r="AD2237" i="3" s="1"/>
  <c r="AI95" i="3"/>
  <c r="AD95" i="3" s="1"/>
  <c r="AK2230" i="3"/>
  <c r="AB2230" i="3" s="1"/>
  <c r="AF845" i="3"/>
  <c r="AF716" i="3"/>
  <c r="AI2071" i="3"/>
  <c r="AD2071" i="3" s="1"/>
  <c r="AI749" i="3"/>
  <c r="AD749" i="3" s="1"/>
  <c r="AI288" i="3"/>
  <c r="AD288" i="3" s="1"/>
  <c r="AI1918" i="3"/>
  <c r="AD1918" i="3" s="1"/>
  <c r="AF2079" i="3"/>
  <c r="AF2171" i="3"/>
  <c r="AI1721" i="3"/>
  <c r="AD1721" i="3" s="1"/>
  <c r="AK770" i="3"/>
  <c r="AB770" i="3" s="1"/>
  <c r="AF1392" i="3"/>
  <c r="AK1681" i="3"/>
  <c r="AB1681" i="3" s="1"/>
  <c r="AF1110" i="3"/>
  <c r="AK518" i="3"/>
  <c r="AB518" i="3" s="1"/>
  <c r="AK793" i="3"/>
  <c r="AB793" i="3" s="1"/>
  <c r="AI1048" i="3"/>
  <c r="AD1048" i="3" s="1"/>
  <c r="AF1869" i="3"/>
  <c r="AK743" i="3"/>
  <c r="AB743" i="3" s="1"/>
  <c r="AK2179" i="3"/>
  <c r="AB2179" i="3" s="1"/>
  <c r="AK408" i="3"/>
  <c r="AB408" i="3" s="1"/>
  <c r="AI539" i="3"/>
  <c r="AD539" i="3" s="1"/>
  <c r="AK2011" i="3"/>
  <c r="AB2011" i="3" s="1"/>
  <c r="AF726" i="3"/>
  <c r="AI2025" i="3"/>
  <c r="AD2025" i="3" s="1"/>
  <c r="AF170" i="3"/>
  <c r="AF1462" i="3"/>
  <c r="AK2231" i="3"/>
  <c r="AB2231" i="3" s="1"/>
  <c r="AK1577" i="3"/>
  <c r="AB1577" i="3" s="1"/>
  <c r="AI603" i="3"/>
  <c r="AD603" i="3" s="1"/>
  <c r="AF2049" i="3"/>
  <c r="AK1631" i="3"/>
  <c r="AB1631" i="3" s="1"/>
  <c r="AF1070" i="3"/>
  <c r="AK1702" i="3"/>
  <c r="AB1702" i="3" s="1"/>
  <c r="AF763" i="3"/>
  <c r="AI582" i="3"/>
  <c r="AD582" i="3" s="1"/>
  <c r="AI987" i="3"/>
  <c r="AD987" i="3" s="1"/>
  <c r="AK1707" i="3"/>
  <c r="AB1707" i="3" s="1"/>
  <c r="AI1013" i="3"/>
  <c r="AD1013" i="3" s="1"/>
  <c r="AK346" i="3"/>
  <c r="AB346" i="3" s="1"/>
  <c r="AK1048" i="3"/>
  <c r="AB1048" i="3" s="1"/>
  <c r="AK650" i="3"/>
  <c r="AB650" i="3" s="1"/>
  <c r="AF2134" i="3"/>
  <c r="AK476" i="3"/>
  <c r="AB476" i="3" s="1"/>
  <c r="AI1624" i="3"/>
  <c r="AD1624" i="3" s="1"/>
  <c r="U886" i="4"/>
  <c r="U244" i="4"/>
  <c r="U262" i="4"/>
  <c r="U556" i="4"/>
  <c r="U878" i="4"/>
  <c r="U640" i="4"/>
  <c r="U720" i="4"/>
  <c r="U755" i="4"/>
  <c r="U266" i="4"/>
  <c r="U352" i="4"/>
  <c r="U573" i="4"/>
  <c r="U134" i="4"/>
  <c r="U668" i="4"/>
  <c r="U284" i="4"/>
  <c r="AK1980" i="3"/>
  <c r="AB1980" i="3" s="1"/>
  <c r="AI1599" i="3"/>
  <c r="AD1599" i="3" s="1"/>
  <c r="AF769" i="3"/>
  <c r="AF1271" i="3"/>
  <c r="U469" i="4"/>
  <c r="U108" i="4"/>
  <c r="U234" i="4"/>
  <c r="U56" i="4"/>
  <c r="U760" i="4"/>
  <c r="U127" i="4"/>
  <c r="U578" i="4"/>
  <c r="U196" i="4"/>
  <c r="U214" i="4"/>
  <c r="U660" i="4"/>
  <c r="U308" i="4"/>
  <c r="U71" i="4"/>
  <c r="U150" i="4"/>
  <c r="U888" i="4"/>
  <c r="AK150" i="3"/>
  <c r="AB150" i="3" s="1"/>
  <c r="AF2083" i="3"/>
  <c r="AI1849" i="3"/>
  <c r="AD1849" i="3" s="1"/>
  <c r="AK605" i="3"/>
  <c r="AB605" i="3" s="1"/>
  <c r="AF1125" i="3"/>
  <c r="U365" i="4"/>
  <c r="U174" i="4"/>
  <c r="U491" i="4"/>
  <c r="U311" i="4"/>
  <c r="U583" i="4"/>
  <c r="U115" i="4"/>
  <c r="U819" i="4"/>
  <c r="U307" i="4"/>
  <c r="U692" i="4"/>
  <c r="U293" i="4"/>
  <c r="U881" i="4"/>
  <c r="U300" i="4"/>
  <c r="U494" i="4"/>
  <c r="AK2120" i="3"/>
  <c r="AB2120" i="3" s="1"/>
  <c r="AI1719" i="3"/>
  <c r="AD1719" i="3" s="1"/>
  <c r="AK1605" i="3"/>
  <c r="AB1605" i="3" s="1"/>
  <c r="AK1693" i="3"/>
  <c r="AB1693" i="3" s="1"/>
  <c r="U27" i="4"/>
  <c r="U276" i="4"/>
  <c r="U798" i="4"/>
  <c r="U843" i="4"/>
  <c r="U774" i="4"/>
  <c r="U387" i="4"/>
  <c r="U597" i="4"/>
  <c r="U898" i="4"/>
  <c r="U205" i="4"/>
  <c r="U393" i="4"/>
  <c r="U229" i="4"/>
  <c r="U82" i="4"/>
  <c r="U877" i="4"/>
  <c r="U333" i="4"/>
  <c r="U779" i="4"/>
  <c r="AF539" i="3"/>
  <c r="AF599" i="3"/>
  <c r="AF999" i="3"/>
  <c r="AF639" i="3"/>
  <c r="AF1726" i="3"/>
  <c r="AF1847" i="3"/>
  <c r="AF1705" i="3"/>
  <c r="AF1802" i="3"/>
  <c r="AF112" i="3"/>
  <c r="AF1898" i="3"/>
  <c r="AF2269" i="3"/>
  <c r="AF1779" i="3"/>
  <c r="T547" i="4"/>
  <c r="T311" i="4"/>
  <c r="T209" i="4"/>
  <c r="T190" i="4"/>
  <c r="T271" i="4"/>
  <c r="T793" i="4"/>
  <c r="T98" i="4"/>
  <c r="T507" i="4"/>
  <c r="T568" i="4"/>
  <c r="T535" i="4"/>
  <c r="T780" i="4"/>
  <c r="T852" i="4"/>
  <c r="T890" i="4"/>
  <c r="T915" i="4"/>
  <c r="AF579" i="3"/>
  <c r="AF728" i="3"/>
  <c r="AF745" i="3"/>
  <c r="AF996" i="3"/>
  <c r="AF1640" i="3"/>
  <c r="AF1675" i="3"/>
  <c r="AF1560" i="3"/>
  <c r="AF1741" i="3"/>
  <c r="AF2071" i="3"/>
  <c r="AF2089" i="3"/>
  <c r="AF2235" i="3"/>
  <c r="T71" i="4"/>
  <c r="T216" i="4"/>
  <c r="T435" i="4"/>
  <c r="T284" i="4"/>
  <c r="T266" i="4"/>
  <c r="T387" i="4"/>
  <c r="T41" i="4"/>
  <c r="T115" i="4"/>
  <c r="T583" i="4"/>
  <c r="T677" i="4"/>
  <c r="T604" i="4"/>
  <c r="T683" i="4"/>
  <c r="T704" i="4"/>
  <c r="T797" i="4"/>
  <c r="T849" i="4"/>
  <c r="AF612" i="3"/>
  <c r="AF295" i="3"/>
  <c r="AF605" i="3"/>
  <c r="AF659" i="3"/>
  <c r="AF869" i="3"/>
  <c r="AF1436" i="3"/>
  <c r="AF2245" i="3"/>
  <c r="AF1637" i="3"/>
  <c r="AF253" i="3"/>
  <c r="AF616" i="3"/>
  <c r="AF1921" i="3"/>
  <c r="T22" i="4"/>
  <c r="T475" i="4"/>
  <c r="T101" i="4"/>
  <c r="T560" i="4"/>
  <c r="T326" i="4"/>
  <c r="T546" i="4"/>
  <c r="T131" i="4"/>
  <c r="T128" i="4"/>
  <c r="T827" i="4"/>
  <c r="T858" i="4"/>
  <c r="T653" i="4"/>
  <c r="T273" i="4"/>
  <c r="T792" i="4"/>
  <c r="T905" i="4"/>
  <c r="T875" i="4"/>
  <c r="AF620" i="3"/>
  <c r="AF598" i="3"/>
  <c r="AF584" i="3"/>
  <c r="AF583" i="3"/>
  <c r="AF951" i="3"/>
  <c r="AF959" i="3"/>
  <c r="AF1819" i="3"/>
  <c r="AF1624" i="3"/>
  <c r="AF374" i="3"/>
  <c r="AF756" i="3"/>
  <c r="AF2233" i="3"/>
  <c r="T183" i="4"/>
  <c r="T492" i="4"/>
  <c r="T118" i="4"/>
  <c r="T579" i="4"/>
  <c r="T332" i="4"/>
  <c r="T590" i="4"/>
  <c r="T149" i="4"/>
  <c r="T133" i="4"/>
  <c r="T8" i="4"/>
  <c r="T646" i="4"/>
  <c r="T694" i="4"/>
  <c r="T279" i="4"/>
  <c r="T832" i="4"/>
  <c r="T883" i="4"/>
  <c r="T876" i="4"/>
  <c r="AK1696" i="3"/>
  <c r="AB1696" i="3" s="1"/>
  <c r="AC1696" i="3" s="1"/>
  <c r="AF1113" i="3"/>
  <c r="AF1099" i="3"/>
  <c r="AF1168" i="3"/>
  <c r="AI1956" i="3"/>
  <c r="AD1956" i="3" s="1"/>
  <c r="AI1652" i="3"/>
  <c r="AD1652" i="3" s="1"/>
  <c r="AK554" i="3"/>
  <c r="AB554" i="3" s="1"/>
  <c r="AK780" i="3"/>
  <c r="AB780" i="3" s="1"/>
  <c r="AK1664" i="3"/>
  <c r="AB1664" i="3" s="1"/>
  <c r="AI2081" i="3"/>
  <c r="AD2081" i="3" s="1"/>
  <c r="AK128" i="3"/>
  <c r="AB128" i="3" s="1"/>
  <c r="AI556" i="3"/>
  <c r="AD556" i="3" s="1"/>
  <c r="AI2230" i="3"/>
  <c r="AD2230" i="3" s="1"/>
  <c r="AK1656" i="3"/>
  <c r="AB1656" i="3" s="1"/>
  <c r="AI530" i="3"/>
  <c r="AD530" i="3" s="1"/>
  <c r="AI1939" i="3"/>
  <c r="AD1939" i="3" s="1"/>
  <c r="AK396" i="3"/>
  <c r="AB396" i="3" s="1"/>
  <c r="AF1477" i="3"/>
  <c r="AF1494" i="3"/>
  <c r="AK1666" i="3"/>
  <c r="AB1666" i="3" s="1"/>
  <c r="AK509" i="3"/>
  <c r="AB509" i="3" s="1"/>
  <c r="AF1501" i="3"/>
  <c r="AI1050" i="3"/>
  <c r="AD1050" i="3" s="1"/>
  <c r="AI157" i="3"/>
  <c r="AD157" i="3" s="1"/>
  <c r="AI1916" i="3"/>
  <c r="AD1916" i="3" s="1"/>
  <c r="AK2156" i="3"/>
  <c r="AB2156" i="3" s="1"/>
  <c r="AI1904" i="3"/>
  <c r="AD1904" i="3" s="1"/>
  <c r="AK575" i="3"/>
  <c r="AB575" i="3" s="1"/>
  <c r="AI1785" i="3"/>
  <c r="AD1785" i="3" s="1"/>
  <c r="AK1724" i="3"/>
  <c r="AB1724" i="3" s="1"/>
  <c r="AI2206" i="3"/>
  <c r="AD2206" i="3" s="1"/>
  <c r="AF1482" i="3"/>
  <c r="AI1818" i="3"/>
  <c r="AD1818" i="3" s="1"/>
  <c r="AI1676" i="3"/>
  <c r="AD1676" i="3" s="1"/>
  <c r="AI137" i="3"/>
  <c r="AD137" i="3" s="1"/>
  <c r="AF909" i="3"/>
  <c r="AK1682" i="3"/>
  <c r="AB1682" i="3" s="1"/>
  <c r="AK534" i="3"/>
  <c r="AB534" i="3" s="1"/>
  <c r="AK1935" i="3"/>
  <c r="AB1935" i="3" s="1"/>
  <c r="AF169" i="3"/>
  <c r="AF732" i="3"/>
  <c r="AI1321" i="3"/>
  <c r="AD1321" i="3" s="1"/>
  <c r="AI286" i="3"/>
  <c r="AD286" i="3" s="1"/>
  <c r="AK625" i="3"/>
  <c r="AB625" i="3" s="1"/>
  <c r="AK1441" i="3"/>
  <c r="AB1441" i="3" s="1"/>
  <c r="AI370" i="3"/>
  <c r="AD370" i="3" s="1"/>
  <c r="AI1859" i="3"/>
  <c r="AD1859" i="3" s="1"/>
  <c r="AI1636" i="3"/>
  <c r="AD1636" i="3" s="1"/>
  <c r="AK646" i="3"/>
  <c r="AB646" i="3" s="1"/>
  <c r="AF1886" i="3"/>
  <c r="AI1645" i="3"/>
  <c r="AD1645" i="3" s="1"/>
  <c r="AF1111" i="3"/>
  <c r="AK576" i="3"/>
  <c r="AB576" i="3" s="1"/>
  <c r="AK2159" i="3"/>
  <c r="AB2159" i="3" s="1"/>
  <c r="AI1701" i="3"/>
  <c r="AD1701" i="3" s="1"/>
  <c r="AK1592" i="3"/>
  <c r="AB1592" i="3" s="1"/>
  <c r="AI152" i="3"/>
  <c r="AD152" i="3" s="1"/>
  <c r="AI1942" i="3"/>
  <c r="AD1942" i="3" s="1"/>
  <c r="AK1570" i="3"/>
  <c r="AB1570" i="3" s="1"/>
  <c r="AK638" i="3"/>
  <c r="AB638" i="3" s="1"/>
  <c r="AK1595" i="3"/>
  <c r="AB1595" i="3" s="1"/>
  <c r="AK1679" i="3"/>
  <c r="AB1679" i="3" s="1"/>
  <c r="AI1549" i="3"/>
  <c r="AD1549" i="3" s="1"/>
  <c r="AF175" i="3"/>
  <c r="AF1474" i="3"/>
  <c r="AI1944" i="3"/>
  <c r="AD1944" i="3" s="1"/>
  <c r="AF824" i="3"/>
  <c r="AI295" i="3"/>
  <c r="AD295" i="3" s="1"/>
  <c r="AK250" i="3"/>
  <c r="AB250" i="3" s="1"/>
  <c r="AI1562" i="3"/>
  <c r="AD1562" i="3" s="1"/>
  <c r="AK745" i="3"/>
  <c r="AB745" i="3" s="1"/>
  <c r="AK1718" i="3"/>
  <c r="AB1718" i="3" s="1"/>
  <c r="AI367" i="3"/>
  <c r="AD367" i="3" s="1"/>
  <c r="AI371" i="3"/>
  <c r="AD371" i="3" s="1"/>
  <c r="AI1857" i="3"/>
  <c r="AD1857" i="3" s="1"/>
  <c r="AI2241" i="3"/>
  <c r="AD2241" i="3" s="1"/>
  <c r="AF1064" i="3"/>
  <c r="AI825" i="3"/>
  <c r="AD825" i="3" s="1"/>
  <c r="AK1701" i="3"/>
  <c r="AB1701" i="3" s="1"/>
  <c r="AK102" i="3"/>
  <c r="AB102" i="3" s="1"/>
  <c r="AK1698" i="3"/>
  <c r="AB1698" i="3" s="1"/>
  <c r="AI1472" i="3"/>
  <c r="AD1472" i="3" s="1"/>
  <c r="AK1663" i="3"/>
  <c r="AB1663" i="3" s="1"/>
  <c r="U238" i="4"/>
  <c r="U119" i="4"/>
  <c r="U805" i="4"/>
  <c r="U596" i="4"/>
  <c r="U828" i="4"/>
  <c r="U628" i="4"/>
  <c r="U507" i="4"/>
  <c r="U568" i="4"/>
  <c r="U212" i="4"/>
  <c r="U648" i="4"/>
  <c r="U110" i="4"/>
  <c r="U782" i="4"/>
  <c r="U730" i="4"/>
  <c r="U699" i="4"/>
  <c r="AK2250" i="3"/>
  <c r="AB2250" i="3" s="1"/>
  <c r="AI1993" i="3"/>
  <c r="AD1993" i="3" s="1"/>
  <c r="AK1473" i="3"/>
  <c r="AB1473" i="3" s="1"/>
  <c r="AI2190" i="3"/>
  <c r="AD2190" i="3" s="1"/>
  <c r="U544" i="4"/>
  <c r="U340" i="4"/>
  <c r="U473" i="4"/>
  <c r="U498" i="4"/>
  <c r="U168" i="4"/>
  <c r="U185" i="4"/>
  <c r="U295" i="4"/>
  <c r="U54" i="4"/>
  <c r="U567" i="4"/>
  <c r="U576" i="4"/>
  <c r="U363" i="4"/>
  <c r="U830" i="4"/>
  <c r="U598" i="4"/>
  <c r="U703" i="4"/>
  <c r="AI155" i="3"/>
  <c r="AD155" i="3" s="1"/>
  <c r="AK1927" i="3"/>
  <c r="AB1927" i="3" s="1"/>
  <c r="AF1556" i="3"/>
  <c r="AK135" i="3"/>
  <c r="AB135" i="3" s="1"/>
  <c r="AF1466" i="3"/>
  <c r="U463" i="4"/>
  <c r="U421" i="4"/>
  <c r="U239" i="4"/>
  <c r="U351" i="4"/>
  <c r="U163" i="4"/>
  <c r="U113" i="4"/>
  <c r="U801" i="4"/>
  <c r="U277" i="4"/>
  <c r="U354" i="4"/>
  <c r="U687" i="4"/>
  <c r="U917" i="4"/>
  <c r="U510" i="4"/>
  <c r="U771" i="4"/>
  <c r="AK1059" i="3"/>
  <c r="AB1059" i="3" s="1"/>
  <c r="AK253" i="3"/>
  <c r="AB253" i="3" s="1"/>
  <c r="AF1196" i="3"/>
  <c r="AI512" i="3"/>
  <c r="AD512" i="3" s="1"/>
  <c r="U332" i="4"/>
  <c r="U569" i="4"/>
  <c r="U128" i="4"/>
  <c r="U602" i="4"/>
  <c r="U679" i="4"/>
  <c r="U402" i="4"/>
  <c r="U429" i="4"/>
  <c r="U642" i="4"/>
  <c r="U427" i="4"/>
  <c r="U836" i="4"/>
  <c r="U395" i="4"/>
  <c r="U20" i="4"/>
  <c r="U806" i="4"/>
  <c r="U644" i="4"/>
  <c r="U62" i="4"/>
  <c r="AF573" i="3"/>
  <c r="AF510" i="3"/>
  <c r="AF185" i="3"/>
  <c r="AF127" i="3"/>
  <c r="AF1654" i="3"/>
  <c r="AF1699" i="3"/>
  <c r="AF1738" i="3"/>
  <c r="AF1892" i="3"/>
  <c r="AF1890" i="3"/>
  <c r="AF2190" i="3"/>
  <c r="AF1534" i="3"/>
  <c r="T373" i="4"/>
  <c r="T195" i="4"/>
  <c r="T427" i="4"/>
  <c r="T275" i="4"/>
  <c r="T244" i="4"/>
  <c r="T379" i="4"/>
  <c r="T29" i="4"/>
  <c r="T110" i="4"/>
  <c r="T552" i="4"/>
  <c r="T638" i="4"/>
  <c r="T578" i="4"/>
  <c r="T676" i="4"/>
  <c r="T699" i="4"/>
  <c r="T901" i="4"/>
  <c r="T842" i="4"/>
  <c r="AF606" i="3"/>
  <c r="AF770" i="3"/>
  <c r="AF626" i="3"/>
  <c r="AF154" i="3"/>
  <c r="AF1576" i="3"/>
  <c r="AF1609" i="3"/>
  <c r="AF1916" i="3"/>
  <c r="AF1657" i="3"/>
  <c r="AF1671" i="3"/>
  <c r="AF1934" i="3"/>
  <c r="AF1858" i="3"/>
  <c r="T212" i="4"/>
  <c r="T240" i="4"/>
  <c r="T57" i="4"/>
  <c r="T549" i="4"/>
  <c r="T323" i="4"/>
  <c r="T520" i="4"/>
  <c r="T113" i="4"/>
  <c r="T127" i="4"/>
  <c r="T785" i="4"/>
  <c r="T856" i="4"/>
  <c r="T625" i="4"/>
  <c r="T810" i="4"/>
  <c r="T788" i="4"/>
  <c r="T903" i="4"/>
  <c r="T871" i="4"/>
  <c r="AF647" i="3"/>
  <c r="AF314" i="3"/>
  <c r="AF2057" i="3"/>
  <c r="AF145" i="3"/>
  <c r="AF1862" i="3"/>
  <c r="AF867" i="3"/>
  <c r="AF2012" i="3"/>
  <c r="AF1592" i="3"/>
  <c r="AF1732" i="3"/>
  <c r="AF782" i="3"/>
  <c r="AF1859" i="3"/>
  <c r="T88" i="4"/>
  <c r="T522" i="4"/>
  <c r="T215" i="4"/>
  <c r="T712" i="4"/>
  <c r="T396" i="4"/>
  <c r="T570" i="4"/>
  <c r="T201" i="4"/>
  <c r="T140" i="4"/>
  <c r="T274" i="4"/>
  <c r="T702" i="4"/>
  <c r="T822" i="4"/>
  <c r="T297" i="4"/>
  <c r="T582" i="4"/>
  <c r="T717" i="4"/>
  <c r="T912" i="4"/>
  <c r="AF653" i="3"/>
  <c r="AF1283" i="3"/>
  <c r="AF556" i="3"/>
  <c r="AF155" i="3"/>
  <c r="AF2207" i="3"/>
  <c r="AF1325" i="3"/>
  <c r="AF2287" i="3"/>
  <c r="AF451" i="3"/>
  <c r="AF82" i="3"/>
  <c r="AF785" i="3"/>
  <c r="AF1919" i="3"/>
  <c r="T142" i="4"/>
  <c r="T679" i="4"/>
  <c r="T229" i="4"/>
  <c r="T398" i="4"/>
  <c r="T417" i="4"/>
  <c r="T605" i="4"/>
  <c r="T238" i="4"/>
  <c r="T145" i="4"/>
  <c r="T280" i="4"/>
  <c r="T709" i="4"/>
  <c r="T24" i="4"/>
  <c r="T303" i="4"/>
  <c r="T588" i="4"/>
  <c r="T721" i="4"/>
  <c r="T918" i="4"/>
  <c r="AK1613" i="3"/>
  <c r="AB1613" i="3" s="1"/>
  <c r="AF1072" i="3"/>
  <c r="AF1101" i="3"/>
  <c r="AF1166" i="3"/>
  <c r="AI798" i="3"/>
  <c r="AD798" i="3" s="1"/>
  <c r="AK1960" i="3"/>
  <c r="AB1960" i="3" s="1"/>
  <c r="AK644" i="3"/>
  <c r="AB644" i="3" s="1"/>
  <c r="AK2014" i="3"/>
  <c r="AB2014" i="3" s="1"/>
  <c r="AI134" i="3"/>
  <c r="AD134" i="3" s="1"/>
  <c r="AI645" i="3"/>
  <c r="AD645" i="3" s="1"/>
  <c r="AK1600" i="3"/>
  <c r="AB1600" i="3" s="1"/>
  <c r="AI1033" i="3"/>
  <c r="AD1033" i="3" s="1"/>
  <c r="AI1935" i="3"/>
  <c r="AD1935" i="3" s="1"/>
  <c r="AK953" i="3"/>
  <c r="AB953" i="3" s="1"/>
  <c r="AF718" i="3"/>
  <c r="AK1791" i="3"/>
  <c r="AB1791" i="3" s="1"/>
  <c r="AK1822" i="3"/>
  <c r="AB1822" i="3" s="1"/>
  <c r="AF801" i="3"/>
  <c r="AF1408" i="3"/>
  <c r="AK858" i="3"/>
  <c r="AB858" i="3" s="1"/>
  <c r="AI187" i="3"/>
  <c r="AD187" i="3" s="1"/>
  <c r="AI1622" i="3"/>
  <c r="AD1622" i="3" s="1"/>
  <c r="AI857" i="3"/>
  <c r="AD857" i="3" s="1"/>
  <c r="AK136" i="3"/>
  <c r="AB136" i="3" s="1"/>
  <c r="AI1716" i="3"/>
  <c r="AD1716" i="3" s="1"/>
  <c r="AF1512" i="3"/>
  <c r="AF1087" i="3"/>
  <c r="AF1312" i="3"/>
  <c r="AI2112" i="3"/>
  <c r="AD2112" i="3" s="1"/>
  <c r="AK2060" i="3"/>
  <c r="AB2060" i="3" s="1"/>
  <c r="AK1820" i="3"/>
  <c r="AB1820" i="3" s="1"/>
  <c r="AK469" i="3"/>
  <c r="AB469" i="3" s="1"/>
  <c r="AI1831" i="3"/>
  <c r="AD1831" i="3" s="1"/>
  <c r="AI868" i="3"/>
  <c r="AD868" i="3" s="1"/>
  <c r="AF719" i="3"/>
  <c r="AF2219" i="3"/>
  <c r="AI1847" i="3"/>
  <c r="AD1847" i="3" s="1"/>
  <c r="AI141" i="3"/>
  <c r="AD141" i="3" s="1"/>
  <c r="AI779" i="3"/>
  <c r="AD779" i="3" s="1"/>
  <c r="AF171" i="3"/>
  <c r="AK230" i="3"/>
  <c r="AB230" i="3" s="1"/>
  <c r="AI478" i="3"/>
  <c r="AD478" i="3" s="1"/>
  <c r="AF1452" i="3"/>
  <c r="AI529" i="3"/>
  <c r="AD529" i="3" s="1"/>
  <c r="AK1890" i="3"/>
  <c r="AB1890" i="3" s="1"/>
  <c r="AK549" i="3"/>
  <c r="AB549" i="3" s="1"/>
  <c r="AK2228" i="3"/>
  <c r="AB2228" i="3" s="1"/>
  <c r="AI1581" i="3"/>
  <c r="AD1581" i="3" s="1"/>
  <c r="AI547" i="3"/>
  <c r="AD547" i="3" s="1"/>
  <c r="AF166" i="3"/>
  <c r="AK1817" i="3"/>
  <c r="AB1817" i="3" s="1"/>
  <c r="AF1074" i="3"/>
  <c r="AK1798" i="3"/>
  <c r="AB1798" i="3" s="1"/>
  <c r="AK337" i="3"/>
  <c r="AB337" i="3" s="1"/>
  <c r="AI1961" i="3"/>
  <c r="AD1961" i="3" s="1"/>
  <c r="AI1987" i="3"/>
  <c r="AD1987" i="3" s="1"/>
  <c r="AK1003" i="3"/>
  <c r="AB1003" i="3" s="1"/>
  <c r="AK794" i="3"/>
  <c r="AB794" i="3" s="1"/>
  <c r="AF1356" i="3"/>
  <c r="AK664" i="3"/>
  <c r="AB664" i="3" s="1"/>
  <c r="AK1612" i="3"/>
  <c r="AB1612" i="3" s="1"/>
  <c r="AK1331" i="3"/>
  <c r="AB1331" i="3" s="1"/>
  <c r="AK1952" i="3"/>
  <c r="AB1952" i="3" s="1"/>
  <c r="AI1994" i="3"/>
  <c r="AD1994" i="3" s="1"/>
  <c r="AI1446" i="3"/>
  <c r="AD1446" i="3" s="1"/>
  <c r="AI796" i="3"/>
  <c r="AD796" i="3" s="1"/>
  <c r="AF2253" i="3"/>
  <c r="AI528" i="3"/>
  <c r="AD528" i="3" s="1"/>
  <c r="AE528" i="3" s="1"/>
  <c r="AK2239" i="3"/>
  <c r="AB2239" i="3" s="1"/>
  <c r="AK2207" i="3"/>
  <c r="AB2207" i="3" s="1"/>
  <c r="AI1982" i="3"/>
  <c r="AD1982" i="3" s="1"/>
  <c r="AI1658" i="3"/>
  <c r="AD1658" i="3" s="1"/>
  <c r="AK146" i="3"/>
  <c r="AB146" i="3" s="1"/>
  <c r="AI1391" i="3"/>
  <c r="AD1391" i="3" s="1"/>
  <c r="AI1955" i="3"/>
  <c r="AD1955" i="3" s="1"/>
  <c r="AI1640" i="3"/>
  <c r="AD1640" i="3" s="1"/>
  <c r="AF1371" i="3"/>
  <c r="AI1045" i="3"/>
  <c r="AD1045" i="3" s="1"/>
  <c r="AK1961" i="3"/>
  <c r="AB1961" i="3" s="1"/>
  <c r="AI2027" i="3"/>
  <c r="AD2027" i="3" s="1"/>
  <c r="AK309" i="3"/>
  <c r="AB309" i="3" s="1"/>
  <c r="AK516" i="3"/>
  <c r="AB516" i="3" s="1"/>
  <c r="U899" i="4"/>
  <c r="U5" i="4"/>
  <c r="U24" i="4"/>
  <c r="U702" i="4"/>
  <c r="U710" i="4"/>
  <c r="U857" i="4"/>
  <c r="U211" i="4"/>
  <c r="U146" i="4"/>
  <c r="U122" i="4"/>
  <c r="U563" i="4"/>
  <c r="U206" i="4"/>
  <c r="U461" i="4"/>
  <c r="U411" i="4"/>
  <c r="U535" i="4"/>
  <c r="U413" i="4"/>
  <c r="AK451" i="3"/>
  <c r="AB451" i="3" s="1"/>
  <c r="AK973" i="3"/>
  <c r="AB973" i="3" s="1"/>
  <c r="AI555" i="3"/>
  <c r="AD555" i="3" s="1"/>
  <c r="AK1671" i="3"/>
  <c r="AB1671" i="3" s="1"/>
  <c r="U97" i="4"/>
  <c r="U562" i="4"/>
  <c r="U330" i="4"/>
  <c r="U647" i="4"/>
  <c r="U328" i="4"/>
  <c r="U403" i="4"/>
  <c r="U554" i="4"/>
  <c r="U250" i="4"/>
  <c r="U527" i="4"/>
  <c r="U249" i="4"/>
  <c r="U384" i="4"/>
  <c r="U817" i="4"/>
  <c r="U190" i="4"/>
  <c r="U39" i="4"/>
  <c r="AK787" i="3"/>
  <c r="AB787" i="3" s="1"/>
  <c r="AF345" i="3"/>
  <c r="AI1698" i="3"/>
  <c r="AD1698" i="3" s="1"/>
  <c r="AK193" i="3"/>
  <c r="AB193" i="3" s="1"/>
  <c r="AK1624" i="3"/>
  <c r="AB1624" i="3" s="1"/>
  <c r="U412" i="4"/>
  <c r="U820" i="4"/>
  <c r="U35" i="4"/>
  <c r="U759" i="4"/>
  <c r="U772" i="4"/>
  <c r="U143" i="4"/>
  <c r="U838" i="4"/>
  <c r="U656" i="4"/>
  <c r="U690" i="4"/>
  <c r="U812" i="4"/>
  <c r="U807" i="4"/>
  <c r="U13" i="4"/>
  <c r="U515" i="4"/>
  <c r="AK1913" i="3"/>
  <c r="AB1913" i="3" s="1"/>
  <c r="AK742" i="3"/>
  <c r="AB742" i="3" s="1"/>
  <c r="AI145" i="3"/>
  <c r="AD145" i="3" s="1"/>
  <c r="AF1124" i="3"/>
  <c r="U705" i="4"/>
  <c r="U135" i="4"/>
  <c r="U4" i="4"/>
  <c r="U670" i="4"/>
  <c r="U230" i="4"/>
  <c r="U197" i="4"/>
  <c r="U320" i="4"/>
  <c r="U468" i="4"/>
  <c r="U9" i="4"/>
  <c r="U739" i="4"/>
  <c r="U7" i="4"/>
  <c r="U448" i="4"/>
  <c r="U816" i="4"/>
  <c r="U434" i="4"/>
  <c r="U366" i="4"/>
  <c r="AF600" i="3"/>
  <c r="AF138" i="3"/>
  <c r="AF757" i="3"/>
  <c r="AF1434" i="3"/>
  <c r="AF292" i="3"/>
  <c r="AF1631" i="3"/>
  <c r="AF1812" i="3"/>
  <c r="AF1666" i="3"/>
  <c r="AF1277" i="3"/>
  <c r="AF243" i="3"/>
  <c r="AF1920" i="3"/>
  <c r="T69" i="4"/>
  <c r="T227" i="4"/>
  <c r="T47" i="4"/>
  <c r="T531" i="4"/>
  <c r="T296" i="4"/>
  <c r="T515" i="4"/>
  <c r="T95" i="4"/>
  <c r="T122" i="4"/>
  <c r="T753" i="4"/>
  <c r="T812" i="4"/>
  <c r="T621" i="4"/>
  <c r="T771" i="4"/>
  <c r="T786" i="4"/>
  <c r="T884" i="4"/>
  <c r="T870" i="4"/>
  <c r="AF641" i="3"/>
  <c r="AF360" i="3"/>
  <c r="AF146" i="3"/>
  <c r="AF368" i="3"/>
  <c r="AF2241" i="3"/>
  <c r="AF822" i="3"/>
  <c r="AF1836" i="3"/>
  <c r="AF256" i="3"/>
  <c r="AF1650" i="3"/>
  <c r="AF780" i="3"/>
  <c r="AF1857" i="3"/>
  <c r="T289" i="4"/>
  <c r="T419" i="4"/>
  <c r="T160" i="4"/>
  <c r="T628" i="4"/>
  <c r="T394" i="4"/>
  <c r="T906" i="4"/>
  <c r="T185" i="4"/>
  <c r="T139" i="4"/>
  <c r="T268" i="4"/>
  <c r="T685" i="4"/>
  <c r="T783" i="4"/>
  <c r="T291" i="4"/>
  <c r="T857" i="4"/>
  <c r="T716" i="4"/>
  <c r="T881" i="4"/>
  <c r="AF197" i="3"/>
  <c r="AF737" i="3"/>
  <c r="AF1025" i="3"/>
  <c r="AF750" i="3"/>
  <c r="AF341" i="3"/>
  <c r="AF1922" i="3"/>
  <c r="AF1851" i="3"/>
  <c r="AF1740" i="3"/>
  <c r="AF1059" i="3"/>
  <c r="AF795" i="3"/>
  <c r="AF1547" i="3"/>
  <c r="T179" i="4"/>
  <c r="T745" i="4"/>
  <c r="T265" i="4"/>
  <c r="T484" i="4"/>
  <c r="T472" i="4"/>
  <c r="T647" i="4"/>
  <c r="T299" i="4"/>
  <c r="T152" i="4"/>
  <c r="T298" i="4"/>
  <c r="T795" i="4"/>
  <c r="T42" i="4"/>
  <c r="T321" i="4"/>
  <c r="T606" i="4"/>
  <c r="T738" i="4"/>
  <c r="T893" i="4"/>
  <c r="AF580" i="3"/>
  <c r="AF786" i="3"/>
  <c r="AF157" i="3"/>
  <c r="AF513" i="3"/>
  <c r="AF1734" i="3"/>
  <c r="AF1907" i="3"/>
  <c r="AF1975" i="3"/>
  <c r="AF1665" i="3"/>
  <c r="AF1993" i="3"/>
  <c r="AF797" i="3"/>
  <c r="AF2179" i="3"/>
  <c r="T253" i="4"/>
  <c r="T7" i="4"/>
  <c r="T281" i="4"/>
  <c r="T519" i="4"/>
  <c r="T505" i="4"/>
  <c r="T691" i="4"/>
  <c r="T314" i="4"/>
  <c r="T157" i="4"/>
  <c r="T304" i="4"/>
  <c r="T820" i="4"/>
  <c r="T48" i="4"/>
  <c r="T327" i="4"/>
  <c r="T612" i="4"/>
  <c r="T739" i="4"/>
  <c r="T899" i="4"/>
  <c r="AK1686" i="3"/>
  <c r="AB1686" i="3" s="1"/>
  <c r="AF1076" i="3"/>
  <c r="AI570" i="3"/>
  <c r="AD570" i="3" s="1"/>
  <c r="AK2245" i="3"/>
  <c r="AB2245" i="3" s="1"/>
  <c r="AI782" i="3"/>
  <c r="AD782" i="3" s="1"/>
  <c r="AK1193" i="3"/>
  <c r="AB1193" i="3" s="1"/>
  <c r="AI581" i="3"/>
  <c r="AD581" i="3" s="1"/>
  <c r="AK1598" i="3"/>
  <c r="AB1598" i="3" s="1"/>
  <c r="AK640" i="3"/>
  <c r="AB640" i="3" s="1"/>
  <c r="AI2072" i="3"/>
  <c r="AD2072" i="3" s="1"/>
  <c r="AK832" i="3"/>
  <c r="AB832" i="3" s="1"/>
  <c r="AK95" i="3"/>
  <c r="AB95" i="3" s="1"/>
  <c r="AK779" i="3"/>
  <c r="AB779" i="3" s="1"/>
  <c r="AK339" i="3"/>
  <c r="AB339" i="3" s="1"/>
  <c r="AF235" i="3"/>
  <c r="AI1591" i="3"/>
  <c r="AD1591" i="3" s="1"/>
  <c r="AK1609" i="3"/>
  <c r="AB1609" i="3" s="1"/>
  <c r="AK599" i="3"/>
  <c r="AB599" i="3" s="1"/>
  <c r="AI1832" i="3"/>
  <c r="AD1832" i="3" s="1"/>
  <c r="AK1672" i="3"/>
  <c r="AB1672" i="3" s="1"/>
  <c r="AI562" i="3"/>
  <c r="AD562" i="3" s="1"/>
  <c r="AK465" i="3"/>
  <c r="AB465" i="3" s="1"/>
  <c r="AF414" i="3"/>
  <c r="AI746" i="3"/>
  <c r="AD746" i="3" s="1"/>
  <c r="AK1734" i="3"/>
  <c r="AB1734" i="3" s="1"/>
  <c r="AK217" i="3"/>
  <c r="AB217" i="3" s="1"/>
  <c r="AF1089" i="3"/>
  <c r="AI334" i="3"/>
  <c r="AD334" i="3" s="1"/>
  <c r="AI1949" i="3"/>
  <c r="AD1949" i="3" s="1"/>
  <c r="AI1654" i="3"/>
  <c r="AD1654" i="3" s="1"/>
  <c r="AK1319" i="3"/>
  <c r="AB1319" i="3" s="1"/>
  <c r="AK764" i="3"/>
  <c r="AB764" i="3" s="1"/>
  <c r="AI1780" i="3"/>
  <c r="AD1780" i="3" s="1"/>
  <c r="AI242" i="3"/>
  <c r="AD242" i="3" s="1"/>
  <c r="AI601" i="3"/>
  <c r="AD601" i="3" s="1"/>
  <c r="AI1940" i="3"/>
  <c r="AD1940" i="3" s="1"/>
  <c r="AI1653" i="3"/>
  <c r="AD1653" i="3" s="1"/>
  <c r="AI362" i="3"/>
  <c r="AD362" i="3" s="1"/>
  <c r="AK1898" i="3"/>
  <c r="AB1898" i="3" s="1"/>
  <c r="AK1994" i="3"/>
  <c r="AB1994" i="3" s="1"/>
  <c r="AK957" i="3"/>
  <c r="AB957" i="3" s="1"/>
  <c r="AI1611" i="3"/>
  <c r="AD1611" i="3" s="1"/>
  <c r="AK158" i="3"/>
  <c r="AB158" i="3" s="1"/>
  <c r="AI587" i="3"/>
  <c r="AD587" i="3" s="1"/>
  <c r="AI954" i="3"/>
  <c r="AD954" i="3" s="1"/>
  <c r="AK619" i="3"/>
  <c r="AB619" i="3" s="1"/>
  <c r="AK2096" i="3"/>
  <c r="AB2096" i="3" s="1"/>
  <c r="AK1922" i="3"/>
  <c r="AB1922" i="3" s="1"/>
  <c r="AF733" i="3"/>
  <c r="AF739" i="3"/>
  <c r="AK1731" i="3"/>
  <c r="AB1731" i="3" s="1"/>
  <c r="AK470" i="3"/>
  <c r="AB470" i="3" s="1"/>
  <c r="AK1674" i="3"/>
  <c r="AB1674" i="3" s="1"/>
  <c r="AI374" i="3"/>
  <c r="AD374" i="3" s="1"/>
  <c r="AI1827" i="3"/>
  <c r="AD1827" i="3" s="1"/>
  <c r="AI245" i="3"/>
  <c r="AD245" i="3" s="1"/>
  <c r="AI757" i="3"/>
  <c r="AD757" i="3" s="1"/>
  <c r="AF1968" i="3"/>
  <c r="AI1726" i="3"/>
  <c r="AD1726" i="3" s="1"/>
  <c r="AF1308" i="3"/>
  <c r="AK223" i="3"/>
  <c r="AB223" i="3" s="1"/>
  <c r="AI124" i="3"/>
  <c r="AD124" i="3" s="1"/>
  <c r="AI1943" i="3"/>
  <c r="AD1943" i="3" s="1"/>
  <c r="AK1610" i="3"/>
  <c r="AB1610" i="3" s="1"/>
  <c r="AI580" i="3"/>
  <c r="AD580" i="3" s="1"/>
  <c r="AK775" i="3"/>
  <c r="AB775" i="3" s="1"/>
  <c r="AF285" i="3"/>
  <c r="AI654" i="3"/>
  <c r="AD654" i="3" s="1"/>
  <c r="AK1919" i="3"/>
  <c r="AB1919" i="3" s="1"/>
  <c r="AK1603" i="3"/>
  <c r="AB1603" i="3" s="1"/>
  <c r="AI2098" i="3"/>
  <c r="AD2098" i="3" s="1"/>
  <c r="AI1828" i="3"/>
  <c r="AD1828" i="3" s="1"/>
  <c r="AF1335" i="3"/>
  <c r="AF2165" i="3"/>
  <c r="AK781" i="3"/>
  <c r="AB781" i="3" s="1"/>
  <c r="AF831" i="3"/>
  <c r="AI2114" i="3"/>
  <c r="AD2114" i="3" s="1"/>
  <c r="AK2205" i="3"/>
  <c r="AB2205" i="3" s="1"/>
  <c r="AI442" i="3"/>
  <c r="AD442" i="3" s="1"/>
  <c r="AK2283" i="3"/>
  <c r="AB2283" i="3" s="1"/>
  <c r="AK1325" i="3"/>
  <c r="AB1325" i="3" s="1"/>
  <c r="AK1461" i="3"/>
  <c r="AB1461" i="3" s="1"/>
  <c r="U869" i="4"/>
  <c r="U3" i="4"/>
  <c r="U410" i="4"/>
  <c r="U298" i="4"/>
  <c r="U517" i="4"/>
  <c r="U665" i="4"/>
  <c r="U637" i="4"/>
  <c r="U271" i="4"/>
  <c r="U371" i="4"/>
  <c r="U222" i="4"/>
  <c r="U85" i="4"/>
  <c r="U511" i="4"/>
  <c r="U915" i="4"/>
  <c r="U310" i="4"/>
  <c r="U696" i="4"/>
  <c r="AK1689" i="3"/>
  <c r="AB1689" i="3" s="1"/>
  <c r="AK1606" i="3"/>
  <c r="AB1606" i="3" s="1"/>
  <c r="AI538" i="3"/>
  <c r="AD538" i="3" s="1"/>
  <c r="AF1121" i="3"/>
  <c r="U23" i="4"/>
  <c r="U93" i="4"/>
  <c r="U890" i="4"/>
  <c r="U641" i="4"/>
  <c r="U558" i="4"/>
  <c r="U344" i="4"/>
  <c r="U541" i="4"/>
  <c r="U599" i="4"/>
  <c r="U116" i="4"/>
  <c r="U477" i="4"/>
  <c r="U742" i="4"/>
  <c r="U847" i="4"/>
  <c r="U889" i="4"/>
  <c r="U680" i="4"/>
  <c r="AI807" i="3"/>
  <c r="AD807" i="3" s="1"/>
  <c r="AK2233" i="3"/>
  <c r="AB2233" i="3" s="1"/>
  <c r="AK1608" i="3"/>
  <c r="AB1608" i="3" s="1"/>
  <c r="AK482" i="3"/>
  <c r="AB482" i="3" s="1"/>
  <c r="AF976" i="3"/>
  <c r="U161" i="4"/>
  <c r="U272" i="4"/>
  <c r="U561" i="4"/>
  <c r="U269" i="4"/>
  <c r="U603" i="4"/>
  <c r="U802" i="4"/>
  <c r="U852" i="4"/>
  <c r="U394" i="4"/>
  <c r="U585" i="4"/>
  <c r="U503" i="4"/>
  <c r="U723" i="4"/>
  <c r="U887" i="4"/>
  <c r="U547" i="4"/>
  <c r="AK536" i="3"/>
  <c r="AB536" i="3" s="1"/>
  <c r="AK1829" i="3"/>
  <c r="AB1829" i="3" s="1"/>
  <c r="AI147" i="3"/>
  <c r="AD147" i="3" s="1"/>
  <c r="AK189" i="3"/>
  <c r="AB189" i="3" s="1"/>
  <c r="U235" i="4"/>
  <c r="U109" i="4"/>
  <c r="U432" i="4"/>
  <c r="U343" i="4"/>
  <c r="U175" i="4"/>
  <c r="U811" i="4"/>
  <c r="U688" i="4"/>
  <c r="U676" i="4"/>
  <c r="U227" i="4"/>
  <c r="U48" i="4"/>
  <c r="U337" i="4"/>
  <c r="U8" i="4"/>
  <c r="U543" i="4"/>
  <c r="U98" i="4"/>
  <c r="U111" i="4"/>
  <c r="AF627" i="3"/>
  <c r="AF534" i="3"/>
  <c r="AF142" i="3"/>
  <c r="AF572" i="3"/>
  <c r="AF2060" i="3"/>
  <c r="AF1568" i="3"/>
  <c r="AF1828" i="3"/>
  <c r="AF1600" i="3"/>
  <c r="AF1799" i="3"/>
  <c r="AF776" i="3"/>
  <c r="AF1965" i="3"/>
  <c r="T214" i="4"/>
  <c r="T411" i="4"/>
  <c r="T154" i="4"/>
  <c r="T580" i="4"/>
  <c r="T366" i="4"/>
  <c r="T760" i="4"/>
  <c r="T167" i="4"/>
  <c r="T134" i="4"/>
  <c r="T193" i="4"/>
  <c r="T664" i="4"/>
  <c r="T696" i="4"/>
  <c r="T285" i="4"/>
  <c r="T898" i="4"/>
  <c r="T919" i="4"/>
  <c r="T877" i="4"/>
  <c r="AF1013" i="3"/>
  <c r="AF568" i="3"/>
  <c r="AF1003" i="3"/>
  <c r="AF300" i="3"/>
  <c r="AF2013" i="3"/>
  <c r="AF1280" i="3"/>
  <c r="AF1931" i="3"/>
  <c r="AF958" i="3"/>
  <c r="AF343" i="3"/>
  <c r="AF793" i="3"/>
  <c r="AF1549" i="3"/>
  <c r="T13" i="4"/>
  <c r="T742" i="4"/>
  <c r="T257" i="4"/>
  <c r="T447" i="4"/>
  <c r="T457" i="4"/>
  <c r="T633" i="4"/>
  <c r="T282" i="4"/>
  <c r="T151" i="4"/>
  <c r="T292" i="4"/>
  <c r="T778" i="4"/>
  <c r="T36" i="4"/>
  <c r="T315" i="4"/>
  <c r="T600" i="4"/>
  <c r="T723" i="4"/>
  <c r="T878" i="4"/>
  <c r="AF601" i="3"/>
  <c r="AF1006" i="3"/>
  <c r="AF468" i="3"/>
  <c r="AF640" i="3"/>
  <c r="AF1684" i="3"/>
  <c r="AF1572" i="3"/>
  <c r="AF2028" i="3"/>
  <c r="AF2127" i="3"/>
  <c r="AF857" i="3"/>
  <c r="AF1943" i="3"/>
  <c r="AF2283" i="3"/>
  <c r="T14" i="4"/>
  <c r="T17" i="4"/>
  <c r="T341" i="4"/>
  <c r="T632" i="4"/>
  <c r="T697" i="4"/>
  <c r="T896" i="4"/>
  <c r="T350" i="4"/>
  <c r="T164" i="4"/>
  <c r="T322" i="4"/>
  <c r="T441" i="4"/>
  <c r="T66" i="4"/>
  <c r="T345" i="4"/>
  <c r="T630" i="4"/>
  <c r="T750" i="4"/>
  <c r="AF540" i="3"/>
  <c r="AF607" i="3"/>
  <c r="AF125" i="3"/>
  <c r="AF464" i="3"/>
  <c r="AF472" i="3"/>
  <c r="AF1662" i="3"/>
  <c r="AF1682" i="3"/>
  <c r="AF2077" i="3"/>
  <c r="AF1830" i="3"/>
  <c r="AF1905" i="3"/>
  <c r="AF1947" i="3"/>
  <c r="AF1785" i="3"/>
  <c r="T83" i="4"/>
  <c r="T81" i="4"/>
  <c r="T361" i="4"/>
  <c r="T671" i="4"/>
  <c r="T27" i="4"/>
  <c r="T272" i="4"/>
  <c r="T354" i="4"/>
  <c r="T169" i="4"/>
  <c r="T328" i="4"/>
  <c r="T442" i="4"/>
  <c r="T72" i="4"/>
  <c r="T351" i="4"/>
  <c r="T636" i="4"/>
  <c r="T767" i="4"/>
  <c r="AF985" i="3"/>
  <c r="AF1332" i="3"/>
  <c r="AF2090" i="3"/>
  <c r="AK1705" i="3"/>
  <c r="AB1705" i="3" s="1"/>
  <c r="AK1777" i="3"/>
  <c r="AB1777" i="3" s="1"/>
  <c r="AK1981" i="3"/>
  <c r="AB1981" i="3" s="1"/>
  <c r="AK540" i="3"/>
  <c r="AB540" i="3" s="1"/>
  <c r="AK1687" i="3"/>
  <c r="AB1687" i="3" s="1"/>
  <c r="AK583" i="3"/>
  <c r="AB583" i="3" s="1"/>
  <c r="AI104" i="3"/>
  <c r="AD104" i="3" s="1"/>
  <c r="AI2015" i="3"/>
  <c r="AD2015" i="3" s="1"/>
  <c r="AK141" i="3"/>
  <c r="AB141" i="3" s="1"/>
  <c r="AI1898" i="3"/>
  <c r="AD1898" i="3" s="1"/>
  <c r="AK952" i="3"/>
  <c r="AB952" i="3" s="1"/>
  <c r="AK785" i="3"/>
  <c r="AB785" i="3" s="1"/>
  <c r="AI1597" i="3"/>
  <c r="AD1597" i="3" s="1"/>
  <c r="AF2140" i="3"/>
  <c r="AF1370" i="3"/>
  <c r="AI202" i="3"/>
  <c r="AD202" i="3" s="1"/>
  <c r="AK1648" i="3"/>
  <c r="AB1648" i="3" s="1"/>
  <c r="AK590" i="3"/>
  <c r="AB590" i="3" s="1"/>
  <c r="AK647" i="3"/>
  <c r="AB647" i="3" s="1"/>
  <c r="AK829" i="3"/>
  <c r="AB829" i="3" s="1"/>
  <c r="AI770" i="3"/>
  <c r="AD770" i="3" s="1"/>
  <c r="AF1467" i="3"/>
  <c r="AK833" i="3"/>
  <c r="AB833" i="3" s="1"/>
  <c r="AK127" i="3"/>
  <c r="AB127" i="3" s="1"/>
  <c r="AK568" i="3"/>
  <c r="AB568" i="3" s="1"/>
  <c r="AI793" i="3"/>
  <c r="AD793" i="3" s="1"/>
  <c r="AK1827" i="3"/>
  <c r="AB1827" i="3" s="1"/>
  <c r="AF60" i="3"/>
  <c r="AI314" i="3"/>
  <c r="AD314" i="3" s="1"/>
  <c r="AK1923" i="3"/>
  <c r="AB1923" i="3" s="1"/>
  <c r="AI1639" i="3"/>
  <c r="AD1639" i="3" s="1"/>
  <c r="AI627" i="3"/>
  <c r="AD627" i="3" s="1"/>
  <c r="AI790" i="3"/>
  <c r="AD790" i="3" s="1"/>
  <c r="AI226" i="3"/>
  <c r="AD226" i="3" s="1"/>
  <c r="AI594" i="3"/>
  <c r="AD594" i="3" s="1"/>
  <c r="AK1902" i="3"/>
  <c r="AB1902" i="3" s="1"/>
  <c r="AI1610" i="3"/>
  <c r="AD1610" i="3" s="1"/>
  <c r="AK372" i="3"/>
  <c r="AB372" i="3" s="1"/>
  <c r="AI2028" i="3"/>
  <c r="AD2028" i="3" s="1"/>
  <c r="AK752" i="3"/>
  <c r="AB752" i="3" s="1"/>
  <c r="AK1906" i="3"/>
  <c r="AB1906" i="3" s="1"/>
  <c r="AK859" i="3"/>
  <c r="AB859" i="3" s="1"/>
  <c r="AI565" i="3"/>
  <c r="AD565" i="3" s="1"/>
  <c r="AK401" i="3"/>
  <c r="AB401" i="3" s="1"/>
  <c r="AK1646" i="3"/>
  <c r="AB1646" i="3" s="1"/>
  <c r="AK585" i="3"/>
  <c r="AB585" i="3" s="1"/>
  <c r="AK304" i="3"/>
  <c r="AB304" i="3" s="1"/>
  <c r="AI1686" i="3"/>
  <c r="AD1686" i="3" s="1"/>
  <c r="AK142" i="3"/>
  <c r="AB142" i="3" s="1"/>
  <c r="AI951" i="3"/>
  <c r="AD951" i="3" s="1"/>
  <c r="AF966" i="3"/>
  <c r="AF62" i="3"/>
  <c r="AI1931" i="3"/>
  <c r="AD1931" i="3" s="1"/>
  <c r="AK524" i="3"/>
  <c r="AB524" i="3" s="1"/>
  <c r="AK1277" i="3"/>
  <c r="AB1277" i="3" s="1"/>
  <c r="AK238" i="3"/>
  <c r="AB238" i="3" s="1"/>
  <c r="AK2052" i="3"/>
  <c r="AB2052" i="3" s="1"/>
  <c r="AF2001" i="3"/>
  <c r="AI744" i="3"/>
  <c r="AD744" i="3" s="1"/>
  <c r="AI616" i="3"/>
  <c r="AD616" i="3" s="1"/>
  <c r="AF841" i="3"/>
  <c r="AK606" i="3"/>
  <c r="AB606" i="3" s="1"/>
  <c r="AK1934" i="3"/>
  <c r="AB1934" i="3" s="1"/>
  <c r="AI1728" i="3"/>
  <c r="AD1728" i="3" s="1"/>
  <c r="AI596" i="3"/>
  <c r="AD596" i="3" s="1"/>
  <c r="AK1938" i="3"/>
  <c r="AB1938" i="3" s="1"/>
  <c r="AF1404" i="3"/>
  <c r="AF2168" i="3"/>
  <c r="AK1721" i="3"/>
  <c r="AB1721" i="3" s="1"/>
  <c r="AI753" i="3"/>
  <c r="AD753" i="3" s="1"/>
  <c r="AI1941" i="3"/>
  <c r="AD1941" i="3" s="1"/>
  <c r="AI220" i="3"/>
  <c r="AD220" i="3" s="1"/>
  <c r="AI475" i="3"/>
  <c r="AD475" i="3" s="1"/>
  <c r="AI391" i="3"/>
  <c r="AD391" i="3" s="1"/>
  <c r="AI1736" i="3"/>
  <c r="AD1736" i="3" s="1"/>
  <c r="AK442" i="3"/>
  <c r="AB442" i="3" s="1"/>
  <c r="AI2269" i="3"/>
  <c r="AD2269" i="3" s="1"/>
  <c r="AK1699" i="3"/>
  <c r="AB1699" i="3" s="1"/>
  <c r="AK595" i="3"/>
  <c r="AB595" i="3" s="1"/>
  <c r="U902" i="4"/>
  <c r="U254" i="4"/>
  <c r="U566" i="4"/>
  <c r="U164" i="4"/>
  <c r="U193" i="4"/>
  <c r="U649" i="4"/>
  <c r="U224" i="4"/>
  <c r="U154" i="4"/>
  <c r="U793" i="4"/>
  <c r="U910" i="4"/>
  <c r="U605" i="4"/>
  <c r="U529" i="4"/>
  <c r="U885" i="4"/>
  <c r="U666" i="4"/>
  <c r="U854" i="4"/>
  <c r="AK467" i="3"/>
  <c r="AB467" i="3" s="1"/>
  <c r="AF1536" i="3"/>
  <c r="AI1025" i="3"/>
  <c r="AD1025" i="3" s="1"/>
  <c r="AF1122" i="3"/>
  <c r="U747" i="4"/>
  <c r="U440" i="4"/>
  <c r="U868" i="4"/>
  <c r="U409" i="4"/>
  <c r="U590" i="4"/>
  <c r="U147" i="4"/>
  <c r="U69" i="4"/>
  <c r="U664" i="4"/>
  <c r="U570" i="4"/>
  <c r="U121" i="4"/>
  <c r="U125" i="4"/>
  <c r="U834" i="4"/>
  <c r="U799" i="4"/>
  <c r="U470" i="4"/>
  <c r="AI617" i="3"/>
  <c r="AD617" i="3" s="1"/>
  <c r="AK1950" i="3"/>
  <c r="AB1950" i="3" s="1"/>
  <c r="AK2082" i="3"/>
  <c r="AB2082" i="3" s="1"/>
  <c r="AI741" i="3"/>
  <c r="AD741" i="3" s="1"/>
  <c r="AK1695" i="3"/>
  <c r="AB1695" i="3" s="1"/>
  <c r="U502" i="4"/>
  <c r="U245" i="4"/>
  <c r="U17" i="4"/>
  <c r="U105" i="4"/>
  <c r="U626" i="4"/>
  <c r="U166" i="4"/>
  <c r="U309" i="4"/>
  <c r="U615" i="4"/>
  <c r="U290" i="4"/>
  <c r="U612" i="4"/>
  <c r="U896" i="4"/>
  <c r="U700" i="4"/>
  <c r="U880" i="4"/>
  <c r="AK626" i="3"/>
  <c r="AB626" i="3" s="1"/>
  <c r="AK1703" i="3"/>
  <c r="AB1703" i="3" s="1"/>
  <c r="AI604" i="3"/>
  <c r="AD604" i="3" s="1"/>
  <c r="AK553" i="3"/>
  <c r="AB553" i="3" s="1"/>
  <c r="U270" i="4"/>
  <c r="U77" i="4"/>
  <c r="U609" i="4"/>
  <c r="U287" i="4"/>
  <c r="U643" i="4"/>
  <c r="U435" i="4"/>
  <c r="U443" i="4"/>
  <c r="U444" i="4"/>
  <c r="U65" i="4"/>
  <c r="U754" i="4"/>
  <c r="U6" i="4"/>
  <c r="U181" i="4"/>
  <c r="U322" i="4"/>
  <c r="U33" i="4"/>
  <c r="U875" i="4"/>
  <c r="AF660" i="3"/>
  <c r="AF1472" i="3"/>
  <c r="AF522" i="3"/>
  <c r="AF511" i="3"/>
  <c r="AF1832" i="3"/>
  <c r="AF462" i="3"/>
  <c r="AF2020" i="3"/>
  <c r="AF1837" i="3"/>
  <c r="AF1687" i="3"/>
  <c r="AF791" i="3"/>
  <c r="AF2231" i="3"/>
  <c r="T538" i="4"/>
  <c r="T682" i="4"/>
  <c r="T246" i="4"/>
  <c r="T439" i="4"/>
  <c r="T429" i="4"/>
  <c r="T627" i="4"/>
  <c r="T278" i="4"/>
  <c r="T146" i="4"/>
  <c r="T286" i="4"/>
  <c r="T746" i="4"/>
  <c r="T30" i="4"/>
  <c r="T309" i="4"/>
  <c r="T594" i="4"/>
  <c r="T722" i="4"/>
  <c r="T872" i="4"/>
  <c r="AF594" i="3"/>
  <c r="AF1001" i="3"/>
  <c r="AF571" i="3"/>
  <c r="AF523" i="3"/>
  <c r="AF1701" i="3"/>
  <c r="AF339" i="3"/>
  <c r="AF1881" i="3"/>
  <c r="AF128" i="3"/>
  <c r="AF217" i="3"/>
  <c r="AF1939" i="3"/>
  <c r="AF2120" i="3"/>
  <c r="T125" i="4"/>
  <c r="T12" i="4"/>
  <c r="T330" i="4"/>
  <c r="T584" i="4"/>
  <c r="T626" i="4"/>
  <c r="T703" i="4"/>
  <c r="T335" i="4"/>
  <c r="T163" i="4"/>
  <c r="T316" i="4"/>
  <c r="T426" i="4"/>
  <c r="T60" i="4"/>
  <c r="T339" i="4"/>
  <c r="T624" i="4"/>
  <c r="T749" i="4"/>
  <c r="AF575" i="3"/>
  <c r="AF628" i="3"/>
  <c r="AF465" i="3"/>
  <c r="AF591" i="3"/>
  <c r="AF509" i="3"/>
  <c r="AF1610" i="3"/>
  <c r="AF1638" i="3"/>
  <c r="AF1697" i="3"/>
  <c r="AF1645" i="3"/>
  <c r="AF385" i="3"/>
  <c r="AF798" i="3"/>
  <c r="AF1977" i="3"/>
  <c r="T2" i="4"/>
  <c r="T347" i="4"/>
  <c r="T556" i="4"/>
  <c r="T479" i="4"/>
  <c r="T76" i="4"/>
  <c r="T308" i="4"/>
  <c r="T498" i="4"/>
  <c r="T176" i="4"/>
  <c r="T346" i="4"/>
  <c r="T459" i="4"/>
  <c r="T90" i="4"/>
  <c r="T369" i="4"/>
  <c r="T775" i="4"/>
  <c r="T796" i="4"/>
  <c r="AF561" i="3"/>
  <c r="AF642" i="3"/>
  <c r="AF193" i="3"/>
  <c r="AF470" i="3"/>
  <c r="AF751" i="3"/>
  <c r="AF1570" i="3"/>
  <c r="AF1616" i="3"/>
  <c r="AF1686" i="3"/>
  <c r="AF829" i="3"/>
  <c r="AF1612" i="3"/>
  <c r="AF1941" i="3"/>
  <c r="AF2267" i="3"/>
  <c r="T58" i="4"/>
  <c r="T744" i="4"/>
  <c r="T575" i="4"/>
  <c r="T705" i="4"/>
  <c r="T87" i="4"/>
  <c r="T312" i="4"/>
  <c r="T516" i="4"/>
  <c r="T181" i="4"/>
  <c r="T352" i="4"/>
  <c r="T469" i="4"/>
  <c r="T96" i="4"/>
  <c r="T375" i="4"/>
  <c r="T853" i="4"/>
  <c r="T803" i="4"/>
  <c r="AK149" i="3"/>
  <c r="AB149" i="3" s="1"/>
  <c r="AF969" i="3"/>
  <c r="AI1131" i="3"/>
  <c r="AD1131" i="3" s="1"/>
  <c r="AI2086" i="3"/>
  <c r="AD2086" i="3" s="1"/>
  <c r="AK1614" i="3"/>
  <c r="AB1614" i="3" s="1"/>
  <c r="AF1149" i="3"/>
  <c r="AI1641" i="3"/>
  <c r="AD1641" i="3" s="1"/>
  <c r="AF48" i="3"/>
  <c r="AK862" i="3"/>
  <c r="AB862" i="3" s="1"/>
  <c r="AK736" i="3"/>
  <c r="AB736" i="3" s="1"/>
  <c r="AF910" i="3"/>
  <c r="AI2287" i="3"/>
  <c r="AD2287" i="3" s="1"/>
  <c r="AK362" i="3"/>
  <c r="AB362" i="3" s="1"/>
  <c r="AI1902" i="3"/>
  <c r="AD1902" i="3" s="1"/>
  <c r="AI1691" i="3"/>
  <c r="AD1691" i="3" s="1"/>
  <c r="AK1651" i="3"/>
  <c r="AB1651" i="3" s="1"/>
  <c r="AI550" i="3"/>
  <c r="AD550" i="3" s="1"/>
  <c r="AK1633" i="3"/>
  <c r="AB1633" i="3" s="1"/>
  <c r="AI197" i="3"/>
  <c r="AD197" i="3" s="1"/>
  <c r="AK527" i="3"/>
  <c r="AB527" i="3" s="1"/>
  <c r="AK1590" i="3"/>
  <c r="AB1590" i="3" s="1"/>
  <c r="AK321" i="3"/>
  <c r="AB321" i="3" s="1"/>
  <c r="AK1436" i="3"/>
  <c r="AB1436" i="3" s="1"/>
  <c r="AK1985" i="3"/>
  <c r="AB1985" i="3" s="1"/>
  <c r="AI646" i="3"/>
  <c r="AD646" i="3" s="1"/>
  <c r="AK1284" i="3"/>
  <c r="AB1284" i="3" s="1"/>
  <c r="AI1680" i="3"/>
  <c r="AD1680" i="3" s="1"/>
  <c r="AF1109" i="3"/>
  <c r="AI518" i="3"/>
  <c r="AD518" i="3" s="1"/>
  <c r="AI2159" i="3"/>
  <c r="AD2159" i="3" s="1"/>
  <c r="AK2024" i="3"/>
  <c r="AB2024" i="3" s="1"/>
  <c r="AK1812" i="3"/>
  <c r="AB1812" i="3" s="1"/>
  <c r="AI773" i="3"/>
  <c r="AD773" i="3" s="1"/>
  <c r="AI2179" i="3"/>
  <c r="AD2179" i="3" s="1"/>
  <c r="AI408" i="3"/>
  <c r="AD408" i="3" s="1"/>
  <c r="AK539" i="3"/>
  <c r="AB539" i="3" s="1"/>
  <c r="AI1966" i="3"/>
  <c r="AD1966" i="3" s="1"/>
  <c r="AK2013" i="3"/>
  <c r="AB2013" i="3" s="1"/>
  <c r="AI620" i="3"/>
  <c r="AD620" i="3" s="1"/>
  <c r="AK1594" i="3"/>
  <c r="AB1594" i="3" s="1"/>
  <c r="AF2272" i="3"/>
  <c r="AK586" i="3"/>
  <c r="AB586" i="3" s="1"/>
  <c r="AF1401" i="3"/>
  <c r="AI1001" i="3"/>
  <c r="AD1001" i="3" s="1"/>
  <c r="AF1407" i="3"/>
  <c r="AI1881" i="3"/>
  <c r="AD1881" i="3" s="1"/>
  <c r="AF1172" i="3"/>
  <c r="AI1799" i="3"/>
  <c r="AD1799" i="3" s="1"/>
  <c r="AF1491" i="3"/>
  <c r="AK999" i="3"/>
  <c r="AB999" i="3" s="1"/>
  <c r="AK1932" i="3"/>
  <c r="AB1932" i="3" s="1"/>
  <c r="AK1819" i="3"/>
  <c r="AB1819" i="3" s="1"/>
  <c r="AF184" i="3"/>
  <c r="AK1283" i="3"/>
  <c r="AB1283" i="3" s="1"/>
  <c r="AK1837" i="3"/>
  <c r="AB1837" i="3" s="1"/>
  <c r="AK99" i="3"/>
  <c r="AB99" i="3" s="1"/>
  <c r="AF926" i="3"/>
  <c r="AI280" i="3"/>
  <c r="AD280" i="3" s="1"/>
  <c r="AI860" i="3"/>
  <c r="AD860" i="3" s="1"/>
  <c r="AK311" i="3"/>
  <c r="AB311" i="3" s="1"/>
  <c r="AK1936" i="3"/>
  <c r="AB1936" i="3" s="1"/>
  <c r="AK246" i="3"/>
  <c r="AB246" i="3" s="1"/>
  <c r="AI161" i="3"/>
  <c r="AD161" i="3" s="1"/>
  <c r="AI208" i="3"/>
  <c r="AD208" i="3" s="1"/>
  <c r="AI308" i="3"/>
  <c r="AD308" i="3" s="1"/>
  <c r="AI521" i="3"/>
  <c r="AD521" i="3" s="1"/>
  <c r="AF1198" i="3"/>
  <c r="AI1008" i="3"/>
  <c r="AD1008" i="3" s="1"/>
  <c r="AI622" i="3"/>
  <c r="AD622" i="3" s="1"/>
  <c r="AK792" i="3"/>
  <c r="AB792" i="3" s="1"/>
  <c r="AK332" i="3"/>
  <c r="AB332" i="3" s="1"/>
  <c r="AK1859" i="3"/>
  <c r="AB1859" i="3" s="1"/>
  <c r="AK1636" i="3"/>
  <c r="AB1636" i="3" s="1"/>
  <c r="AI748" i="3"/>
  <c r="AD748" i="3" s="1"/>
  <c r="AK1892" i="3"/>
  <c r="AB1892" i="3" s="1"/>
  <c r="AI258" i="3"/>
  <c r="AD258" i="3" s="1"/>
  <c r="AF1084" i="3"/>
  <c r="AI1638" i="3"/>
  <c r="AD1638" i="3" s="1"/>
  <c r="AK1673" i="3"/>
  <c r="AB1673" i="3" s="1"/>
  <c r="AK1127" i="3"/>
  <c r="AB1127" i="3" s="1"/>
  <c r="AK1937" i="3"/>
  <c r="AB1937" i="3" s="1"/>
  <c r="AK1824" i="3"/>
  <c r="AB1824" i="3" s="1"/>
  <c r="AF1244" i="3"/>
  <c r="U840" i="4"/>
  <c r="U325" i="4"/>
  <c r="U313" i="4"/>
  <c r="U784" i="4"/>
  <c r="U38" i="4"/>
  <c r="U474" i="4"/>
  <c r="U289" i="4"/>
  <c r="U794" i="4"/>
  <c r="U581" i="4"/>
  <c r="U78" i="4"/>
  <c r="U383" i="4"/>
  <c r="U53" i="4"/>
  <c r="U722" i="4"/>
  <c r="U75" i="4"/>
  <c r="U261" i="4"/>
  <c r="AK520" i="3"/>
  <c r="AB520" i="3" s="1"/>
  <c r="AI111" i="3"/>
  <c r="AD111" i="3" s="1"/>
  <c r="AI605" i="3"/>
  <c r="AD605" i="3" s="1"/>
  <c r="AF1465" i="3"/>
  <c r="U218" i="4"/>
  <c r="U74" i="4"/>
  <c r="U891" i="4"/>
  <c r="U153" i="4"/>
  <c r="U87" i="4"/>
  <c r="U462" i="4"/>
  <c r="U761" i="4"/>
  <c r="U865" i="4"/>
  <c r="U223" i="4"/>
  <c r="U149" i="4"/>
  <c r="U758" i="4"/>
  <c r="U764" i="4"/>
  <c r="U734" i="4"/>
  <c r="U386" i="4"/>
  <c r="AF1479" i="3"/>
  <c r="AK1945" i="3"/>
  <c r="AB1945" i="3" s="1"/>
  <c r="AK1616" i="3"/>
  <c r="AB1616" i="3" s="1"/>
  <c r="AI516" i="3"/>
  <c r="AD516" i="3" s="1"/>
  <c r="U767" i="4"/>
  <c r="U252" i="4"/>
  <c r="U669" i="4"/>
  <c r="U545" i="4"/>
  <c r="U32" i="4"/>
  <c r="U323" i="4"/>
  <c r="U727" i="4"/>
  <c r="U126" i="4"/>
  <c r="U550" i="4"/>
  <c r="U689" i="4"/>
  <c r="U577" i="4"/>
  <c r="U191" i="4"/>
  <c r="U385" i="4"/>
  <c r="U913" i="4"/>
  <c r="AK1802" i="3"/>
  <c r="AB1802" i="3" s="1"/>
  <c r="AF1516" i="3"/>
  <c r="AI1129" i="3"/>
  <c r="AD1129" i="3" s="1"/>
  <c r="AK1896" i="3"/>
  <c r="AB1896" i="3" s="1"/>
  <c r="U21" i="4"/>
  <c r="U16" i="4"/>
  <c r="U452" i="4"/>
  <c r="U360" i="4"/>
  <c r="U849" i="4"/>
  <c r="U508" i="4"/>
  <c r="U519" i="4"/>
  <c r="U464" i="4"/>
  <c r="U112" i="4"/>
  <c r="U555" i="4"/>
  <c r="U297" i="4"/>
  <c r="U593" i="4"/>
  <c r="U242" i="4"/>
  <c r="U681" i="4"/>
  <c r="U706" i="4"/>
  <c r="AF586" i="3"/>
  <c r="AF549" i="3"/>
  <c r="AF658" i="3"/>
  <c r="AF331" i="3"/>
  <c r="AF1717" i="3"/>
  <c r="AF1822" i="3"/>
  <c r="AF1985" i="3"/>
  <c r="AF1438" i="3"/>
  <c r="AF825" i="3"/>
  <c r="AF747" i="3"/>
  <c r="AF1872" i="3"/>
  <c r="T119" i="4"/>
  <c r="T9" i="4"/>
  <c r="T306" i="4"/>
  <c r="T569" i="4"/>
  <c r="T572" i="4"/>
  <c r="T700" i="4"/>
  <c r="T318" i="4"/>
  <c r="T158" i="4"/>
  <c r="T310" i="4"/>
  <c r="T826" i="4"/>
  <c r="T54" i="4"/>
  <c r="T333" i="4"/>
  <c r="T618" i="4"/>
  <c r="T740" i="4"/>
  <c r="AF1391" i="3"/>
  <c r="AF621" i="3"/>
  <c r="AF463" i="3"/>
  <c r="AF604" i="3"/>
  <c r="AF992" i="3"/>
  <c r="AF1633" i="3"/>
  <c r="AF1652" i="3"/>
  <c r="AF1849" i="3"/>
  <c r="AF1673" i="3"/>
  <c r="AF1558" i="3"/>
  <c r="AF1954" i="3"/>
  <c r="AF1976" i="3"/>
  <c r="T317" i="4"/>
  <c r="T338" i="4"/>
  <c r="T384" i="4"/>
  <c r="T462" i="4"/>
  <c r="T70" i="4"/>
  <c r="T293" i="4"/>
  <c r="T428" i="4"/>
  <c r="T175" i="4"/>
  <c r="T340" i="4"/>
  <c r="T445" i="4"/>
  <c r="T84" i="4"/>
  <c r="T363" i="4"/>
  <c r="T762" i="4"/>
  <c r="T791" i="4"/>
  <c r="AF304" i="3"/>
  <c r="AF661" i="3"/>
  <c r="AF202" i="3"/>
  <c r="AF557" i="3"/>
  <c r="AF384" i="3"/>
  <c r="AF1048" i="3"/>
  <c r="AF2074" i="3"/>
  <c r="AF101" i="3"/>
  <c r="AF1607" i="3"/>
  <c r="AF337" i="3"/>
  <c r="AF1959" i="3"/>
  <c r="AF99" i="3"/>
  <c r="T230" i="4"/>
  <c r="T46" i="4"/>
  <c r="T35" i="4"/>
  <c r="T148" i="4"/>
  <c r="T141" i="4"/>
  <c r="T348" i="4"/>
  <c r="T571" i="4"/>
  <c r="T188" i="4"/>
  <c r="T370" i="4"/>
  <c r="T486" i="4"/>
  <c r="T114" i="4"/>
  <c r="T480" i="4"/>
  <c r="T706" i="4"/>
  <c r="T847" i="4"/>
  <c r="AF196" i="3"/>
  <c r="AF1446" i="3"/>
  <c r="AF95" i="3"/>
  <c r="AF372" i="3"/>
  <c r="AF134" i="3"/>
  <c r="AF110" i="3"/>
  <c r="AF2069" i="3"/>
  <c r="AF1715" i="3"/>
  <c r="AF246" i="3"/>
  <c r="AF814" i="3"/>
  <c r="AF665" i="3"/>
  <c r="AF2086" i="3"/>
  <c r="T105" i="4"/>
  <c r="T51" i="4"/>
  <c r="T52" i="4"/>
  <c r="T245" i="4"/>
  <c r="T178" i="4"/>
  <c r="T365" i="4"/>
  <c r="T593" i="4"/>
  <c r="T206" i="4"/>
  <c r="T376" i="4"/>
  <c r="T489" i="4"/>
  <c r="T120" i="4"/>
  <c r="T488" i="4"/>
  <c r="T733" i="4"/>
  <c r="T850" i="4"/>
  <c r="AF1783" i="3"/>
  <c r="AI1280" i="3"/>
  <c r="AD1280" i="3" s="1"/>
  <c r="AF772" i="3"/>
  <c r="AI1965" i="3"/>
  <c r="AD1965" i="3" s="1"/>
  <c r="AK1589" i="3"/>
  <c r="AB1589" i="3" s="1"/>
  <c r="AF1146" i="3"/>
  <c r="AK306" i="3"/>
  <c r="AB306" i="3" s="1"/>
  <c r="AF214" i="3"/>
  <c r="AK1056" i="3"/>
  <c r="AB1056" i="3" s="1"/>
  <c r="AI1457" i="3"/>
  <c r="AD1457" i="3" s="1"/>
  <c r="AF918" i="3"/>
  <c r="AK1669" i="3"/>
  <c r="AB1669" i="3" s="1"/>
  <c r="AK594" i="3"/>
  <c r="AB594" i="3" s="1"/>
  <c r="AI1594" i="3"/>
  <c r="AD1594" i="3" s="1"/>
  <c r="AF174" i="3"/>
  <c r="AK2285" i="3"/>
  <c r="AB2285" i="3" s="1"/>
  <c r="AI1659" i="3"/>
  <c r="AD1659" i="3" s="1"/>
  <c r="AK292" i="3"/>
  <c r="AB292" i="3" s="1"/>
  <c r="AK600" i="3"/>
  <c r="AB600" i="3" s="1"/>
  <c r="AF2051" i="3"/>
  <c r="AK1836" i="3"/>
  <c r="AB1836" i="3" s="1"/>
  <c r="AK658" i="3"/>
  <c r="AB658" i="3" s="1"/>
  <c r="AI312" i="3"/>
  <c r="AD312" i="3" s="1"/>
  <c r="AF2040" i="3"/>
  <c r="AK547" i="3"/>
  <c r="AB547" i="3" s="1"/>
  <c r="AC547" i="3" s="1"/>
  <c r="AK651" i="3"/>
  <c r="AB651" i="3" s="1"/>
  <c r="AI1681" i="3"/>
  <c r="AD1681" i="3" s="1"/>
  <c r="AF1108" i="3"/>
  <c r="AI576" i="3"/>
  <c r="AD576" i="3" s="1"/>
  <c r="AI337" i="3"/>
  <c r="AD337" i="3" s="1"/>
  <c r="AK551" i="3"/>
  <c r="AB551" i="3" s="1"/>
  <c r="AI1683" i="3"/>
  <c r="AD1683" i="3" s="1"/>
  <c r="AK564" i="3"/>
  <c r="AB564" i="3" s="1"/>
  <c r="AK1942" i="3"/>
  <c r="AB1942" i="3" s="1"/>
  <c r="AI1570" i="3"/>
  <c r="AD1570" i="3" s="1"/>
  <c r="AI638" i="3"/>
  <c r="AD638" i="3" s="1"/>
  <c r="AI2011" i="3"/>
  <c r="AD2011" i="3" s="1"/>
  <c r="AF727" i="3"/>
  <c r="AK533" i="3"/>
  <c r="AB533" i="3" s="1"/>
  <c r="AF2130" i="3"/>
  <c r="AK1894" i="3"/>
  <c r="AB1894" i="3" s="1"/>
  <c r="AI2058" i="3"/>
  <c r="AD2058" i="3" s="1"/>
  <c r="AI2074" i="3"/>
  <c r="AD2074" i="3" s="1"/>
  <c r="AF1063" i="3"/>
  <c r="AK1832" i="3"/>
  <c r="AB1832" i="3" s="1"/>
  <c r="AI2210" i="3"/>
  <c r="AD2210" i="3" s="1"/>
  <c r="AK160" i="3"/>
  <c r="AB160" i="3" s="1"/>
  <c r="AI1566" i="3"/>
  <c r="AD1566" i="3" s="1"/>
  <c r="AI1862" i="3"/>
  <c r="AD1862" i="3" s="1"/>
  <c r="AK1460" i="3"/>
  <c r="AB1460" i="3" s="1"/>
  <c r="AK2059" i="3"/>
  <c r="AB2059" i="3" s="1"/>
  <c r="AK1714" i="3"/>
  <c r="AB1714" i="3" s="1"/>
  <c r="AK318" i="3"/>
  <c r="AB318" i="3" s="1"/>
  <c r="AK560" i="3"/>
  <c r="AB560" i="3" s="1"/>
  <c r="AI1741" i="3"/>
  <c r="AD1741" i="3" s="1"/>
  <c r="AI1858" i="3"/>
  <c r="AD1858" i="3" s="1"/>
  <c r="AK822" i="3"/>
  <c r="AB822" i="3" s="1"/>
  <c r="AF761" i="3"/>
  <c r="AI1559" i="3"/>
  <c r="AD1559" i="3" s="1"/>
  <c r="AI329" i="3"/>
  <c r="AD329" i="3" s="1"/>
  <c r="AI855" i="3"/>
  <c r="AD855" i="3" s="1"/>
  <c r="AI2016" i="3"/>
  <c r="AD2016" i="3" s="1"/>
  <c r="AF1330" i="3"/>
  <c r="AI1558" i="3"/>
  <c r="AD1558" i="3" s="1"/>
  <c r="AI1712" i="3"/>
  <c r="AD1712" i="3" s="1"/>
  <c r="AI609" i="3"/>
  <c r="AD609" i="3" s="1"/>
  <c r="AK2071" i="3"/>
  <c r="AB2071" i="3" s="1"/>
  <c r="AI624" i="3"/>
  <c r="AD624" i="3" s="1"/>
  <c r="AK1948" i="3"/>
  <c r="AB1948" i="3" s="1"/>
  <c r="AI649" i="3"/>
  <c r="AD649" i="3" s="1"/>
  <c r="AK300" i="3"/>
  <c r="AB300" i="3" s="1"/>
  <c r="AI2228" i="3"/>
  <c r="AD2228" i="3" s="1"/>
  <c r="AK1581" i="3"/>
  <c r="AB1581" i="3" s="1"/>
  <c r="AI786" i="3"/>
  <c r="AD786" i="3" s="1"/>
  <c r="AK1190" i="3"/>
  <c r="AB1190" i="3" s="1"/>
  <c r="AI814" i="3"/>
  <c r="AD814" i="3" s="1"/>
  <c r="AF1485" i="3"/>
  <c r="AK376" i="3"/>
  <c r="AB376" i="3" s="1"/>
  <c r="AI1888" i="3"/>
  <c r="AD1888" i="3" s="1"/>
  <c r="AK591" i="3"/>
  <c r="AB591" i="3" s="1"/>
  <c r="AF1186" i="3"/>
  <c r="AK119" i="3"/>
  <c r="AB119" i="3" s="1"/>
  <c r="AK1921" i="3"/>
  <c r="AB1921" i="3" s="1"/>
  <c r="U588" i="4"/>
  <c r="U526" i="4"/>
  <c r="U236" i="4"/>
  <c r="U201" i="4"/>
  <c r="U124" i="4"/>
  <c r="U315" i="4"/>
  <c r="U26" i="4"/>
  <c r="U674" i="4"/>
  <c r="U611" i="4"/>
  <c r="U538" i="4"/>
  <c r="U200" i="4"/>
  <c r="U744" i="4"/>
  <c r="U90" i="4"/>
  <c r="U47" i="4"/>
  <c r="U416" i="4"/>
  <c r="AK125" i="3"/>
  <c r="AB125" i="3" s="1"/>
  <c r="AK1849" i="3"/>
  <c r="AB1849" i="3" s="1"/>
  <c r="AI135" i="3"/>
  <c r="AD135" i="3" s="1"/>
  <c r="AF927" i="3"/>
  <c r="U398" i="4"/>
  <c r="U349" i="4"/>
  <c r="U809" i="4"/>
  <c r="U610" i="4"/>
  <c r="U719" i="4"/>
  <c r="U221" i="4"/>
  <c r="U481" i="4"/>
  <c r="U286" i="4"/>
  <c r="U216" i="4"/>
  <c r="U378" i="4"/>
  <c r="U780" i="4"/>
  <c r="U419" i="4"/>
  <c r="U721" i="4"/>
  <c r="U753" i="4"/>
  <c r="AI148" i="3"/>
  <c r="AD148" i="3" s="1"/>
  <c r="AI791" i="3"/>
  <c r="AD791" i="3" s="1"/>
  <c r="AF819" i="3"/>
  <c r="AI531" i="3"/>
  <c r="AD531" i="3" s="1"/>
  <c r="U883" i="4"/>
  <c r="U390" i="4"/>
  <c r="U433" i="4"/>
  <c r="U186" i="4"/>
  <c r="U781" i="4"/>
  <c r="U451" i="4"/>
  <c r="U96" i="4"/>
  <c r="U358" i="4"/>
  <c r="U232" i="4"/>
  <c r="U198" i="4"/>
  <c r="U489" i="4"/>
  <c r="U251" i="4"/>
  <c r="U876" i="4"/>
  <c r="U606" i="4"/>
  <c r="AK1668" i="3"/>
  <c r="AB1668" i="3" s="1"/>
  <c r="AI1723" i="3"/>
  <c r="AD1723" i="3" s="1"/>
  <c r="AI525" i="3"/>
  <c r="AD525" i="3" s="1"/>
  <c r="AI1663" i="3"/>
  <c r="AD1663" i="3" s="1"/>
  <c r="U81" i="4"/>
  <c r="U45" i="4"/>
  <c r="U202" i="4"/>
  <c r="U861" i="4"/>
  <c r="U749" i="4"/>
  <c r="U12" i="4"/>
  <c r="U361" i="4"/>
  <c r="U552" i="4"/>
  <c r="U243" i="4"/>
  <c r="U646" i="4"/>
  <c r="U858" i="4"/>
  <c r="U273" i="4"/>
  <c r="U484" i="4"/>
  <c r="U795" i="4"/>
  <c r="AF520" i="3"/>
  <c r="AF613" i="3"/>
  <c r="AF1040" i="3"/>
  <c r="AF755" i="3"/>
  <c r="AF442" i="3"/>
  <c r="AF1647" i="3"/>
  <c r="AF1667" i="3"/>
  <c r="AF2062" i="3"/>
  <c r="AF1703" i="3"/>
  <c r="AF1659" i="3"/>
  <c r="AF1951" i="3"/>
  <c r="AF1542" i="3"/>
  <c r="T177" i="4"/>
  <c r="T117" i="4"/>
  <c r="T380" i="4"/>
  <c r="T382" i="4"/>
  <c r="T33" i="4"/>
  <c r="T276" i="4"/>
  <c r="T371" i="4"/>
  <c r="T170" i="4"/>
  <c r="T334" i="4"/>
  <c r="T444" i="4"/>
  <c r="T78" i="4"/>
  <c r="T357" i="4"/>
  <c r="T737" i="4"/>
  <c r="T779" i="4"/>
  <c r="AF519" i="3"/>
  <c r="AF654" i="3"/>
  <c r="AF748" i="3"/>
  <c r="AF321" i="3"/>
  <c r="AF610" i="3"/>
  <c r="AF119" i="3"/>
  <c r="AF97" i="3"/>
  <c r="AF1590" i="3"/>
  <c r="AF207" i="3"/>
  <c r="AF1719" i="3"/>
  <c r="AF1949" i="3"/>
  <c r="AF2036" i="3"/>
  <c r="T204" i="4"/>
  <c r="T25" i="4"/>
  <c r="T637" i="4"/>
  <c r="T892" i="4"/>
  <c r="T130" i="4"/>
  <c r="T344" i="4"/>
  <c r="T548" i="4"/>
  <c r="T187" i="4"/>
  <c r="T364" i="4"/>
  <c r="T471" i="4"/>
  <c r="T108" i="4"/>
  <c r="T474" i="4"/>
  <c r="T701" i="4"/>
  <c r="T834" i="4"/>
  <c r="AF595" i="3"/>
  <c r="AF574" i="3"/>
  <c r="AF189" i="3"/>
  <c r="AF152" i="3"/>
  <c r="AF150" i="3"/>
  <c r="AF1831" i="3"/>
  <c r="AF783" i="3"/>
  <c r="AF245" i="3"/>
  <c r="AF1829" i="3"/>
  <c r="AF401" i="3"/>
  <c r="AF779" i="3"/>
  <c r="AF2022" i="3"/>
  <c r="T360" i="4"/>
  <c r="T355" i="4"/>
  <c r="T106" i="4"/>
  <c r="T353" i="4"/>
  <c r="T202" i="4"/>
  <c r="T438" i="4"/>
  <c r="T678" i="4"/>
  <c r="T258" i="4"/>
  <c r="T405" i="4"/>
  <c r="T526" i="4"/>
  <c r="T138" i="4"/>
  <c r="T506" i="4"/>
  <c r="T769" i="4"/>
  <c r="T895" i="4"/>
  <c r="AF602" i="3"/>
  <c r="AF553" i="3"/>
  <c r="AF476" i="3"/>
  <c r="AF376" i="3"/>
  <c r="AF475" i="3"/>
  <c r="AF226" i="3"/>
  <c r="AF2285" i="3"/>
  <c r="AF1834" i="3"/>
  <c r="AF1736" i="3"/>
  <c r="AF1441" i="3"/>
  <c r="AF784" i="3"/>
  <c r="AF2025" i="3"/>
  <c r="T6" i="4"/>
  <c r="T356" i="4"/>
  <c r="T129" i="4"/>
  <c r="T414" i="4"/>
  <c r="T218" i="4"/>
  <c r="T443" i="4"/>
  <c r="T692" i="4"/>
  <c r="T260" i="4"/>
  <c r="T410" i="4"/>
  <c r="T555" i="4"/>
  <c r="T144" i="4"/>
  <c r="T511" i="4"/>
  <c r="T789" i="4"/>
  <c r="T911" i="4"/>
  <c r="AI1928" i="3"/>
  <c r="AD1928" i="3" s="1"/>
  <c r="AI1661" i="3"/>
  <c r="AD1661" i="3" s="1"/>
  <c r="AI737" i="3"/>
  <c r="AD737" i="3" s="1"/>
  <c r="AK1953" i="3"/>
  <c r="AB1953" i="3" s="1"/>
  <c r="AK354" i="3"/>
  <c r="AB354" i="3" s="1"/>
  <c r="AK1629" i="3"/>
  <c r="AB1629" i="3" s="1"/>
  <c r="AI1301" i="3"/>
  <c r="AD1301" i="3" s="1"/>
  <c r="AF2187" i="3"/>
  <c r="AI256" i="3"/>
  <c r="AD256" i="3" s="1"/>
  <c r="AK755" i="3"/>
  <c r="AB755" i="3" s="1"/>
  <c r="AK1920" i="3"/>
  <c r="AB1920" i="3" s="1"/>
  <c r="AI447" i="3"/>
  <c r="AD447" i="3" s="1"/>
  <c r="AI533" i="3"/>
  <c r="AD533" i="3" s="1"/>
  <c r="AI1732" i="3"/>
  <c r="AD1732" i="3" s="1"/>
  <c r="AF172" i="3"/>
  <c r="AI368" i="3"/>
  <c r="AD368" i="3" s="1"/>
  <c r="AF1281" i="3"/>
  <c r="AF2258" i="3"/>
  <c r="AI515" i="3"/>
  <c r="AD515" i="3" s="1"/>
  <c r="AF94" i="3"/>
  <c r="AK1730" i="3"/>
  <c r="AB1730" i="3" s="1"/>
  <c r="AK370" i="3"/>
  <c r="AB370" i="3" s="1"/>
  <c r="AI2023" i="3"/>
  <c r="AD2023" i="3" s="1"/>
  <c r="AI1437" i="3"/>
  <c r="AD1437" i="3" s="1"/>
  <c r="AF734" i="3"/>
  <c r="AF1885" i="3"/>
  <c r="AK1645" i="3"/>
  <c r="AB1645" i="3" s="1"/>
  <c r="AF1073" i="3"/>
  <c r="AI1798" i="3"/>
  <c r="AD1798" i="3" s="1"/>
  <c r="AK374" i="3"/>
  <c r="AB374" i="3" s="1"/>
  <c r="AK1872" i="3"/>
  <c r="AB1872" i="3" s="1"/>
  <c r="AK821" i="3"/>
  <c r="AB821" i="3" s="1"/>
  <c r="AI574" i="3"/>
  <c r="AD574" i="3" s="1"/>
  <c r="AI794" i="3"/>
  <c r="AD794" i="3" s="1"/>
  <c r="AF1353" i="3"/>
  <c r="AI664" i="3"/>
  <c r="AD664" i="3" s="1"/>
  <c r="AI1595" i="3"/>
  <c r="AD1595" i="3" s="1"/>
  <c r="AI1679" i="3"/>
  <c r="AD1679" i="3" s="1"/>
  <c r="AK623" i="3"/>
  <c r="AB623" i="3" s="1"/>
  <c r="AK1853" i="3"/>
  <c r="AB1853" i="3" s="1"/>
  <c r="AI1434" i="3"/>
  <c r="AD1434" i="3" s="1"/>
  <c r="AK2092" i="3"/>
  <c r="AB2092" i="3" s="1"/>
  <c r="AI390" i="3"/>
  <c r="AD390" i="3" s="1"/>
  <c r="AF1311" i="3"/>
  <c r="AK202" i="3"/>
  <c r="AB202" i="3" s="1"/>
  <c r="AI1907" i="3"/>
  <c r="AD1907" i="3" s="1"/>
  <c r="AK532" i="3"/>
  <c r="AB532" i="3" s="1"/>
  <c r="AF970" i="3"/>
  <c r="AK1620" i="3"/>
  <c r="AB1620" i="3" s="1"/>
  <c r="AK628" i="3"/>
  <c r="AB628" i="3" s="1"/>
  <c r="AK1542" i="3"/>
  <c r="AB1542" i="3" s="1"/>
  <c r="AK1627" i="3"/>
  <c r="AB1627" i="3" s="1"/>
  <c r="AI754" i="3"/>
  <c r="AD754" i="3" s="1"/>
  <c r="AK225" i="3"/>
  <c r="AB225" i="3" s="1"/>
  <c r="AK2135" i="3"/>
  <c r="AB2135" i="3" s="1"/>
  <c r="AI1946" i="3"/>
  <c r="AD1946" i="3" s="1"/>
  <c r="AI1618" i="3"/>
  <c r="AD1618" i="3" s="1"/>
  <c r="AI728" i="3"/>
  <c r="AD728" i="3" s="1"/>
  <c r="AK2127" i="3"/>
  <c r="AB2127" i="3" s="1"/>
  <c r="AI1458" i="3"/>
  <c r="AD1458" i="3" s="1"/>
  <c r="AI1572" i="3"/>
  <c r="AD1572" i="3" s="1"/>
  <c r="AF114" i="3"/>
  <c r="AK1040" i="3"/>
  <c r="AB1040" i="3" s="1"/>
  <c r="AI1880" i="3"/>
  <c r="AD1880" i="3" s="1"/>
  <c r="AK652" i="3"/>
  <c r="AB652" i="3" s="1"/>
  <c r="AI643" i="3"/>
  <c r="AD643" i="3" s="1"/>
  <c r="AK1321" i="3"/>
  <c r="AB1321" i="3" s="1"/>
  <c r="AF1039" i="3"/>
  <c r="AI1830" i="3"/>
  <c r="AD1830" i="3" s="1"/>
  <c r="AI747" i="3"/>
  <c r="AD747" i="3" s="1"/>
  <c r="AK1286" i="3"/>
  <c r="AB1286" i="3" s="1"/>
  <c r="AI2096" i="3"/>
  <c r="AD2096" i="3" s="1"/>
  <c r="AI1922" i="3"/>
  <c r="AD1922" i="3" s="1"/>
  <c r="AI120" i="3"/>
  <c r="AD120" i="3" s="1"/>
  <c r="AF1469" i="3"/>
  <c r="AF1511" i="3"/>
  <c r="AI363" i="3"/>
  <c r="AD363" i="3" s="1"/>
  <c r="AK1844" i="3"/>
  <c r="AB1844" i="3" s="1"/>
  <c r="AF1162" i="3"/>
  <c r="AK584" i="3"/>
  <c r="AB584" i="3" s="1"/>
  <c r="AI262" i="3"/>
  <c r="AD262" i="3" s="1"/>
  <c r="AI1717" i="3"/>
  <c r="AD1717" i="3" s="1"/>
  <c r="AK1834" i="3"/>
  <c r="AB1834" i="3" s="1"/>
  <c r="U725" i="4"/>
  <c r="U367" i="4"/>
  <c r="U607" i="4"/>
  <c r="U712" i="4"/>
  <c r="U682" i="4"/>
  <c r="U132" i="4"/>
  <c r="U908" i="4"/>
  <c r="U417" i="4"/>
  <c r="U296" i="4"/>
  <c r="U818" i="4"/>
  <c r="U408" i="4"/>
  <c r="U499" i="4"/>
  <c r="U512" i="4"/>
  <c r="U165" i="4"/>
  <c r="U504" i="4"/>
  <c r="AI650" i="3"/>
  <c r="AD650" i="3" s="1"/>
  <c r="AF834" i="3"/>
  <c r="AI193" i="3"/>
  <c r="AD193" i="3" s="1"/>
  <c r="AI1695" i="3"/>
  <c r="AD1695" i="3" s="1"/>
  <c r="U52" i="4"/>
  <c r="U673" i="4"/>
  <c r="U651" i="4"/>
  <c r="U475" i="4"/>
  <c r="U89" i="4"/>
  <c r="U15" i="4"/>
  <c r="U145" i="4"/>
  <c r="U207" i="4"/>
  <c r="U342" i="4"/>
  <c r="U530" i="4"/>
  <c r="U102" i="4"/>
  <c r="U768" i="4"/>
  <c r="U405" i="4"/>
  <c r="U542" i="4"/>
  <c r="AK660" i="3"/>
  <c r="AB660" i="3" s="1"/>
  <c r="AK1790" i="3"/>
  <c r="AB1790" i="3" s="1"/>
  <c r="AF838" i="3"/>
  <c r="AK621" i="3"/>
  <c r="AB621" i="3" s="1"/>
  <c r="U907" i="4"/>
  <c r="U769" i="4"/>
  <c r="U728" i="4"/>
  <c r="U80" i="4"/>
  <c r="U521" i="4"/>
  <c r="U226" i="4"/>
  <c r="U263" i="4"/>
  <c r="U482" i="4"/>
  <c r="U288" i="4"/>
  <c r="U51" i="4"/>
  <c r="U513" i="4"/>
  <c r="U485" i="4"/>
  <c r="U803" i="4"/>
  <c r="AF1496" i="3"/>
  <c r="AI610" i="3"/>
  <c r="AD610" i="3" s="1"/>
  <c r="AI239" i="3"/>
  <c r="AD239" i="3" s="1"/>
  <c r="AI476" i="3"/>
  <c r="AD476" i="3" s="1"/>
  <c r="U657" i="4"/>
  <c r="U369" i="4"/>
  <c r="U103" i="4"/>
  <c r="U697" i="4"/>
  <c r="U604" i="4"/>
  <c r="U808" i="4"/>
  <c r="U100" i="4"/>
  <c r="U137" i="4"/>
  <c r="U684" i="4"/>
  <c r="U539" i="4"/>
  <c r="U565" i="4"/>
  <c r="U274" i="4"/>
  <c r="U714" i="4"/>
  <c r="U522" i="4"/>
  <c r="U476" i="4"/>
  <c r="AF532" i="3"/>
  <c r="AF648" i="3"/>
  <c r="AF754" i="3"/>
  <c r="AF367" i="3"/>
  <c r="AF809" i="3"/>
  <c r="AF1193" i="3"/>
  <c r="AF1589" i="3"/>
  <c r="AF1658" i="3"/>
  <c r="AF76" i="3"/>
  <c r="AF1629" i="3"/>
  <c r="AF1945" i="3"/>
  <c r="AF2158" i="3"/>
  <c r="T31" i="4"/>
  <c r="T20" i="4"/>
  <c r="T620" i="4"/>
  <c r="T752" i="4"/>
  <c r="T124" i="4"/>
  <c r="T329" i="4"/>
  <c r="T542" i="4"/>
  <c r="T182" i="4"/>
  <c r="T358" i="4"/>
  <c r="T470" i="4"/>
  <c r="T102" i="4"/>
  <c r="T468" i="4"/>
  <c r="T860" i="4"/>
  <c r="T816" i="4"/>
  <c r="AF587" i="3"/>
  <c r="AF362" i="3"/>
  <c r="AF764" i="3"/>
  <c r="AF1457" i="3"/>
  <c r="AF536" i="3"/>
  <c r="AF1994" i="3"/>
  <c r="AF1850" i="3"/>
  <c r="AF1909" i="3"/>
  <c r="AF2206" i="3"/>
  <c r="AF550" i="3"/>
  <c r="AF775" i="3"/>
  <c r="AF2239" i="3"/>
  <c r="T359" i="4"/>
  <c r="T224" i="4"/>
  <c r="T89" i="4"/>
  <c r="T336" i="4"/>
  <c r="T197" i="4"/>
  <c r="T433" i="4"/>
  <c r="T622" i="4"/>
  <c r="T208" i="4"/>
  <c r="T397" i="4"/>
  <c r="T525" i="4"/>
  <c r="T132" i="4"/>
  <c r="T500" i="4"/>
  <c r="T764" i="4"/>
  <c r="T828" i="4"/>
  <c r="AF622" i="3"/>
  <c r="AF302" i="3"/>
  <c r="AF753" i="3"/>
  <c r="AF1286" i="3"/>
  <c r="AF652" i="3"/>
  <c r="AF230" i="3"/>
  <c r="AF2210" i="3"/>
  <c r="AF1718" i="3"/>
  <c r="AF859" i="3"/>
  <c r="AF1595" i="3"/>
  <c r="AF1956" i="3"/>
  <c r="AF2027" i="3"/>
  <c r="T248" i="4"/>
  <c r="T714" i="4"/>
  <c r="T173" i="4"/>
  <c r="T491" i="4"/>
  <c r="T277" i="4"/>
  <c r="T518" i="4"/>
  <c r="T784" i="4"/>
  <c r="T406" i="4"/>
  <c r="T449" i="4"/>
  <c r="T613" i="4"/>
  <c r="T162" i="4"/>
  <c r="T545" i="4"/>
  <c r="T904" i="4"/>
  <c r="T729" i="4"/>
  <c r="AF637" i="3"/>
  <c r="AF120" i="3"/>
  <c r="AF740" i="3"/>
  <c r="AF286" i="3"/>
  <c r="AF2081" i="3"/>
  <c r="AF1724" i="3"/>
  <c r="AF396" i="3"/>
  <c r="AF1648" i="3"/>
  <c r="AF1321" i="3"/>
  <c r="AF1598" i="3"/>
  <c r="AF1958" i="3"/>
  <c r="AF1925" i="3"/>
  <c r="T390" i="4"/>
  <c r="T137" i="4"/>
  <c r="T200" i="4"/>
  <c r="T502" i="4"/>
  <c r="T313" i="4"/>
  <c r="T530" i="4"/>
  <c r="T886" i="4"/>
  <c r="T431" i="4"/>
  <c r="T458" i="4"/>
  <c r="T623" i="4"/>
  <c r="T168" i="4"/>
  <c r="T557" i="4"/>
  <c r="T907" i="4"/>
  <c r="T734" i="4"/>
  <c r="AK1391" i="3"/>
  <c r="AB1391" i="3" s="1"/>
  <c r="AK987" i="3"/>
  <c r="AB987" i="3" s="1"/>
  <c r="AK1575" i="3"/>
  <c r="AB1575" i="3" s="1"/>
  <c r="AI366" i="3"/>
  <c r="AD366" i="3" s="1"/>
  <c r="AI777" i="3"/>
  <c r="AD777" i="3" s="1"/>
  <c r="AI1724" i="3"/>
  <c r="AD1724" i="3" s="1"/>
  <c r="AK2206" i="3"/>
  <c r="AB2206" i="3" s="1"/>
  <c r="AF1480" i="3"/>
  <c r="AK2012" i="3"/>
  <c r="AB2012" i="3" s="1"/>
  <c r="AK449" i="3"/>
  <c r="AB449" i="3" s="1"/>
  <c r="AK522" i="3"/>
  <c r="AB522" i="3" s="1"/>
  <c r="AK778" i="3"/>
  <c r="AB778" i="3" s="1"/>
  <c r="AK959" i="3"/>
  <c r="AB959" i="3" s="1"/>
  <c r="AI623" i="3"/>
  <c r="AD623" i="3" s="1"/>
  <c r="AF2129" i="3"/>
  <c r="AF2275" i="3"/>
  <c r="AK810" i="3"/>
  <c r="AB810" i="3" s="1"/>
  <c r="AI1316" i="3"/>
  <c r="AD1316" i="3" s="1"/>
  <c r="AK162" i="3"/>
  <c r="AB162" i="3" s="1"/>
  <c r="AK603" i="3"/>
  <c r="AB603" i="3" s="1"/>
  <c r="AI1977" i="3"/>
  <c r="AD1977" i="3" s="1"/>
  <c r="AK1643" i="3"/>
  <c r="AB1643" i="3" s="1"/>
  <c r="AI549" i="3"/>
  <c r="AD549" i="3" s="1"/>
  <c r="AF2170" i="3"/>
  <c r="AF974" i="3"/>
  <c r="AI585" i="3"/>
  <c r="AD585" i="3" s="1"/>
  <c r="AF164" i="3"/>
  <c r="AI1817" i="3"/>
  <c r="AD1817" i="3" s="1"/>
  <c r="AI470" i="3"/>
  <c r="AD470" i="3" s="1"/>
  <c r="AI1674" i="3"/>
  <c r="AD1674" i="3" s="1"/>
  <c r="AF967" i="3"/>
  <c r="AK1957" i="3"/>
  <c r="AB1957" i="3" s="1"/>
  <c r="AK783" i="3"/>
  <c r="AB783" i="3" s="1"/>
  <c r="AI607" i="3"/>
  <c r="AD607" i="3" s="1"/>
  <c r="AF1973" i="3"/>
  <c r="AK1726" i="3"/>
  <c r="AB1726" i="3" s="1"/>
  <c r="AF1269" i="3"/>
  <c r="AI1612" i="3"/>
  <c r="AD1612" i="3" s="1"/>
  <c r="AK384" i="3"/>
  <c r="AB384" i="3" s="1"/>
  <c r="AK655" i="3"/>
  <c r="AB655" i="3" s="1"/>
  <c r="AF839" i="3"/>
  <c r="AK468" i="3"/>
  <c r="AB468" i="3" s="1"/>
  <c r="AK2267" i="3"/>
  <c r="AB2267" i="3" s="1"/>
  <c r="AI1709" i="3"/>
  <c r="AD1709" i="3" s="1"/>
  <c r="AI552" i="3"/>
  <c r="AD552" i="3" s="1"/>
  <c r="AI527" i="3"/>
  <c r="AD527" i="3" s="1"/>
  <c r="AI1631" i="3"/>
  <c r="AD1631" i="3" s="1"/>
  <c r="AK602" i="3"/>
  <c r="AB602" i="3" s="1"/>
  <c r="AK1578" i="3"/>
  <c r="AB1578" i="3" s="1"/>
  <c r="AF1523" i="3"/>
  <c r="AK573" i="3"/>
  <c r="AB573" i="3" s="1"/>
  <c r="AK2118" i="3"/>
  <c r="AB2118" i="3" s="1"/>
  <c r="AI2067" i="3"/>
  <c r="AD2067" i="3" s="1"/>
  <c r="AF758" i="3"/>
  <c r="AI1576" i="3"/>
  <c r="AD1576" i="3" s="1"/>
  <c r="AF1170" i="3"/>
  <c r="AK2161" i="3"/>
  <c r="AB2161" i="3" s="1"/>
  <c r="AI108" i="3"/>
  <c r="AD108" i="3" s="1"/>
  <c r="AI1978" i="3"/>
  <c r="AD1978" i="3" s="1"/>
  <c r="AI2247" i="3"/>
  <c r="AD2247" i="3" s="1"/>
  <c r="AI558" i="3"/>
  <c r="AD558" i="3" s="1"/>
  <c r="AK2084" i="3"/>
  <c r="AB2084" i="3" s="1"/>
  <c r="AI2062" i="3"/>
  <c r="AD2062" i="3" s="1"/>
  <c r="AK535" i="3"/>
  <c r="AB535" i="3" s="1"/>
  <c r="AI398" i="3"/>
  <c r="AD398" i="3" s="1"/>
  <c r="AI809" i="3"/>
  <c r="AD809" i="3" s="1"/>
  <c r="AI2055" i="3"/>
  <c r="AD2055" i="3" s="1"/>
  <c r="AK478" i="3"/>
  <c r="AB478" i="3" s="1"/>
  <c r="AF1453" i="3"/>
  <c r="AF2152" i="3"/>
  <c r="AK1918" i="3"/>
  <c r="AB1918" i="3" s="1"/>
  <c r="AI1470" i="3"/>
  <c r="AD1470" i="3" s="1"/>
  <c r="AI401" i="3"/>
  <c r="AD401" i="3" s="1"/>
  <c r="AI1646" i="3"/>
  <c r="AD1646" i="3" s="1"/>
  <c r="AI648" i="3"/>
  <c r="AD648" i="3" s="1"/>
  <c r="AK559" i="3"/>
  <c r="AB559" i="3" s="1"/>
  <c r="AF1505" i="3"/>
  <c r="AF1112" i="3"/>
  <c r="AF1097" i="3"/>
  <c r="AF1160" i="3"/>
  <c r="AK138" i="3"/>
  <c r="AB138" i="3" s="1"/>
  <c r="AK1599" i="3"/>
  <c r="AB1599" i="3" s="1"/>
  <c r="AI1678" i="3"/>
  <c r="AD1678" i="3" s="1"/>
  <c r="AK1601" i="3"/>
  <c r="AB1601" i="3" s="1"/>
  <c r="U72" i="4"/>
  <c r="U381" i="4"/>
  <c r="U204" i="4"/>
  <c r="U228" i="4"/>
  <c r="U302" i="4"/>
  <c r="U685" i="4"/>
  <c r="U608" i="4"/>
  <c r="U345" i="4"/>
  <c r="U209" i="4"/>
  <c r="U776" i="4"/>
  <c r="U183" i="4"/>
  <c r="U139" i="4"/>
  <c r="U396" i="4"/>
  <c r="U31" i="4"/>
  <c r="U717" i="4"/>
  <c r="AI1927" i="3"/>
  <c r="AD1927" i="3" s="1"/>
  <c r="AI1608" i="3"/>
  <c r="AD1608" i="3" s="1"/>
  <c r="AI482" i="3"/>
  <c r="AD482" i="3" s="1"/>
  <c r="U873" i="4"/>
  <c r="U281" i="4"/>
  <c r="U195" i="4"/>
  <c r="U480" i="4"/>
  <c r="U88" i="4"/>
  <c r="U867" i="4"/>
  <c r="U240" i="4"/>
  <c r="U314" i="4"/>
  <c r="U158" i="4"/>
  <c r="U726" i="4"/>
  <c r="U312" i="4"/>
  <c r="U334" i="4"/>
  <c r="U275" i="4"/>
  <c r="U438" i="4"/>
  <c r="U592" i="4"/>
  <c r="AI2120" i="3"/>
  <c r="AD2120" i="3" s="1"/>
  <c r="AF850" i="3"/>
  <c r="AK2162" i="3"/>
  <c r="AB2162" i="3" s="1"/>
  <c r="AK653" i="3"/>
  <c r="AB653" i="3" s="1"/>
  <c r="U853" i="4"/>
  <c r="U114" i="4"/>
  <c r="U905" i="4"/>
  <c r="U46" i="4"/>
  <c r="U203" i="4"/>
  <c r="U257" i="4"/>
  <c r="U255" i="4"/>
  <c r="U50" i="4"/>
  <c r="U918" i="4"/>
  <c r="U83" i="4"/>
  <c r="U823" i="4"/>
  <c r="U486" i="4"/>
  <c r="U751" i="4"/>
  <c r="AI150" i="3"/>
  <c r="AD150" i="3" s="1"/>
  <c r="AI102" i="3"/>
  <c r="AD102" i="3" s="1"/>
  <c r="AF2133" i="3"/>
  <c r="AK1472" i="3"/>
  <c r="AB1472" i="3" s="1"/>
  <c r="U639" i="4"/>
  <c r="U346" i="4"/>
  <c r="U893" i="4"/>
  <c r="U326" i="4"/>
  <c r="U79" i="4"/>
  <c r="U846" i="4"/>
  <c r="U678" i="4"/>
  <c r="U253" i="4"/>
  <c r="U86" i="4"/>
  <c r="U560" i="4"/>
  <c r="U848" i="4"/>
  <c r="U152" i="4"/>
  <c r="U731" i="4"/>
  <c r="U791" i="4"/>
  <c r="U68" i="4"/>
  <c r="AF581" i="3"/>
  <c r="AF312" i="3"/>
  <c r="AF322" i="3"/>
  <c r="AF744" i="3"/>
  <c r="AF306" i="3"/>
  <c r="AF663" i="3"/>
  <c r="AF2237" i="3"/>
  <c r="AF2015" i="3"/>
  <c r="AF1056" i="3"/>
  <c r="AF1050" i="3"/>
  <c r="AF649" i="3"/>
  <c r="AF987" i="3"/>
  <c r="T302" i="4"/>
  <c r="T63" i="4"/>
  <c r="T75" i="4"/>
  <c r="T301" i="4"/>
  <c r="T184" i="4"/>
  <c r="T416" i="4"/>
  <c r="T597" i="4"/>
  <c r="T207" i="4"/>
  <c r="T386" i="4"/>
  <c r="T524" i="4"/>
  <c r="T126" i="4"/>
  <c r="T494" i="4"/>
  <c r="T756" i="4"/>
  <c r="T863" i="4"/>
  <c r="AF614" i="3"/>
  <c r="AF518" i="3"/>
  <c r="AF318" i="3"/>
  <c r="AF1127" i="3"/>
  <c r="AF162" i="3"/>
  <c r="AF108" i="3"/>
  <c r="AF2067" i="3"/>
  <c r="AF1731" i="3"/>
  <c r="AF1578" i="3"/>
  <c r="AF1594" i="3"/>
  <c r="AF794" i="3"/>
  <c r="AF551" i="3"/>
  <c r="T233" i="4"/>
  <c r="T510" i="4"/>
  <c r="T143" i="4"/>
  <c r="T451" i="4"/>
  <c r="T251" i="4"/>
  <c r="T496" i="4"/>
  <c r="T772" i="4"/>
  <c r="T391" i="4"/>
  <c r="T424" i="4"/>
  <c r="T601" i="4"/>
  <c r="T156" i="4"/>
  <c r="T523" i="4"/>
  <c r="T846" i="4"/>
  <c r="T724" i="4"/>
  <c r="AF655" i="3"/>
  <c r="AF530" i="3"/>
  <c r="AF618" i="3"/>
  <c r="AF329" i="3"/>
  <c r="AF1190" i="3"/>
  <c r="AF1577" i="3"/>
  <c r="AF447" i="3"/>
  <c r="AF274" i="3"/>
  <c r="AF1559" i="3"/>
  <c r="AF1599" i="3"/>
  <c r="AF781" i="3"/>
  <c r="AF2092" i="3"/>
  <c r="T222" i="4"/>
  <c r="T267" i="4"/>
  <c r="T239" i="4"/>
  <c r="T839" i="4"/>
  <c r="T381" i="4"/>
  <c r="T609" i="4"/>
  <c r="T32" i="4"/>
  <c r="T456" i="4"/>
  <c r="T490" i="4"/>
  <c r="T672" i="4"/>
  <c r="T186" i="4"/>
  <c r="T655" i="4"/>
  <c r="T790" i="4"/>
  <c r="T817" i="4"/>
  <c r="AF664" i="3"/>
  <c r="AF517" i="3"/>
  <c r="AF569" i="3"/>
  <c r="AF1301" i="3"/>
  <c r="AF213" i="3"/>
  <c r="AF1917" i="3"/>
  <c r="AF868" i="3"/>
  <c r="AF1319" i="3"/>
  <c r="AF1713" i="3"/>
  <c r="AF346" i="3"/>
  <c r="AF788" i="3"/>
  <c r="AF1978" i="3"/>
  <c r="T499" i="4"/>
  <c r="T395" i="4"/>
  <c r="T270" i="4"/>
  <c r="T483" i="4"/>
  <c r="T383" i="4"/>
  <c r="T614" i="4"/>
  <c r="T37" i="4"/>
  <c r="T477" i="4"/>
  <c r="T544" i="4"/>
  <c r="T688" i="4"/>
  <c r="T192" i="4"/>
  <c r="T658" i="4"/>
  <c r="T794" i="4"/>
  <c r="T818" i="4"/>
  <c r="AK1857" i="3"/>
  <c r="AB1857" i="3" s="1"/>
  <c r="AI1707" i="3"/>
  <c r="AD1707" i="3" s="1"/>
  <c r="AK1013" i="3"/>
  <c r="AB1013" i="3" s="1"/>
  <c r="AK2089" i="3"/>
  <c r="AB2089" i="3" s="1"/>
  <c r="AI2060" i="3"/>
  <c r="AD2060" i="3" s="1"/>
  <c r="AI1592" i="3"/>
  <c r="AD1592" i="3" s="1"/>
  <c r="AI469" i="3"/>
  <c r="AD469" i="3" s="1"/>
  <c r="AI154" i="3"/>
  <c r="AD154" i="3" s="1"/>
  <c r="AK1909" i="3"/>
  <c r="AB1909" i="3" s="1"/>
  <c r="AK322" i="3"/>
  <c r="AB322" i="3" s="1"/>
  <c r="AK1951" i="3"/>
  <c r="AB1951" i="3" s="1"/>
  <c r="AK2138" i="3"/>
  <c r="AB2138" i="3" s="1"/>
  <c r="AI655" i="3"/>
  <c r="AD655" i="3" s="1"/>
  <c r="AI1853" i="3"/>
  <c r="AD1853" i="3" s="1"/>
  <c r="AI1894" i="3"/>
  <c r="AD1894" i="3" s="1"/>
  <c r="AK613" i="3"/>
  <c r="AB613" i="3" s="1"/>
  <c r="AI207" i="3"/>
  <c r="AD207" i="3" s="1"/>
  <c r="AI751" i="3"/>
  <c r="AD751" i="3" s="1"/>
  <c r="AK637" i="3"/>
  <c r="AB637" i="3" s="1"/>
  <c r="AI1534" i="3"/>
  <c r="AD1534" i="3" s="1"/>
  <c r="AK1580" i="3"/>
  <c r="AB1580" i="3" s="1"/>
  <c r="AI619" i="3"/>
  <c r="AD619" i="3" s="1"/>
  <c r="AK1976" i="3"/>
  <c r="AB1976" i="3" s="1"/>
  <c r="AI663" i="3"/>
  <c r="AD663" i="3" s="1"/>
  <c r="AI999" i="3"/>
  <c r="AD999" i="3" s="1"/>
  <c r="AF738" i="3"/>
  <c r="AI1731" i="3"/>
  <c r="AD1731" i="3" s="1"/>
  <c r="AI142" i="3"/>
  <c r="AD142" i="3" s="1"/>
  <c r="AK951" i="3"/>
  <c r="AB951" i="3" s="1"/>
  <c r="AI1837" i="3"/>
  <c r="AD1837" i="3" s="1"/>
  <c r="AK1956" i="3"/>
  <c r="AB1956" i="3" s="1"/>
  <c r="AK1652" i="3"/>
  <c r="AB1652" i="3" s="1"/>
  <c r="AI641" i="3"/>
  <c r="AD641" i="3" s="1"/>
  <c r="AI1277" i="3"/>
  <c r="AD1277" i="3" s="1"/>
  <c r="AI238" i="3"/>
  <c r="AD238" i="3" s="1"/>
  <c r="AI2052" i="3"/>
  <c r="AD2052" i="3" s="1"/>
  <c r="AI223" i="3"/>
  <c r="AD223" i="3" s="1"/>
  <c r="AI523" i="3"/>
  <c r="AD523" i="3" s="1"/>
  <c r="AI249" i="3"/>
  <c r="AD249" i="3" s="1"/>
  <c r="AK1911" i="3"/>
  <c r="AB1911" i="3" s="1"/>
  <c r="AI185" i="3"/>
  <c r="AD185" i="3" s="1"/>
  <c r="AK2235" i="3"/>
  <c r="AB2235" i="3" s="1"/>
  <c r="AI1577" i="3"/>
  <c r="AD1577" i="3" s="1"/>
  <c r="AI661" i="3"/>
  <c r="AD661" i="3" s="1"/>
  <c r="AI250" i="3"/>
  <c r="AD250" i="3" s="1"/>
  <c r="AK1562" i="3"/>
  <c r="AB1562" i="3" s="1"/>
  <c r="AK112" i="3"/>
  <c r="AB112" i="3" s="1"/>
  <c r="AI958" i="3"/>
  <c r="AD958" i="3" s="1"/>
  <c r="AF724" i="3"/>
  <c r="AI1779" i="3"/>
  <c r="AD1779" i="3" s="1"/>
  <c r="AI1959" i="3"/>
  <c r="AD1959" i="3" s="1"/>
  <c r="AK110" i="3"/>
  <c r="AB110" i="3" s="1"/>
  <c r="AI302" i="3"/>
  <c r="AD302" i="3" s="1"/>
  <c r="AF1096" i="3"/>
  <c r="AK1697" i="3"/>
  <c r="AB1697" i="3" s="1"/>
  <c r="AI260" i="3"/>
  <c r="AD260" i="3" s="1"/>
  <c r="AF203" i="3"/>
  <c r="AF254" i="3"/>
  <c r="AK274" i="3"/>
  <c r="AB274" i="3" s="1"/>
  <c r="AK514" i="3"/>
  <c r="AB514" i="3" s="1"/>
  <c r="AI2063" i="3"/>
  <c r="AD2063" i="3" s="1"/>
  <c r="AF972" i="3"/>
  <c r="AI143" i="3"/>
  <c r="AD143" i="3" s="1"/>
  <c r="AI1438" i="3"/>
  <c r="AD1438" i="3" s="1"/>
  <c r="AI513" i="3"/>
  <c r="AD513" i="3" s="1"/>
  <c r="AF730" i="3"/>
  <c r="AK1644" i="3"/>
  <c r="AB1644" i="3" s="1"/>
  <c r="AI158" i="3"/>
  <c r="AD158" i="3" s="1"/>
  <c r="AK288" i="3"/>
  <c r="AB288" i="3" s="1"/>
  <c r="AI1441" i="3"/>
  <c r="AD1441" i="3" s="1"/>
  <c r="AF1175" i="3"/>
  <c r="AK1799" i="3"/>
  <c r="AB1799" i="3" s="1"/>
  <c r="AF1413" i="3"/>
  <c r="AF1449" i="3"/>
  <c r="AF1394" i="3"/>
  <c r="AI1696" i="3"/>
  <c r="AD1696" i="3" s="1"/>
  <c r="AE1696" i="3" s="1"/>
  <c r="AF1071" i="3"/>
  <c r="AF1098" i="3"/>
  <c r="AI1697" i="3"/>
  <c r="AD1697" i="3" s="1"/>
  <c r="AI1980" i="3"/>
  <c r="AD1980" i="3" s="1"/>
  <c r="AK1993" i="3"/>
  <c r="AB1993" i="3" s="1"/>
  <c r="AI213" i="3"/>
  <c r="AD213" i="3" s="1"/>
  <c r="AK1602" i="3"/>
  <c r="AB1602" i="3" s="1"/>
  <c r="U534" i="4"/>
  <c r="U194" i="4"/>
  <c r="U439" i="4"/>
  <c r="U265" i="4"/>
  <c r="U225" i="4"/>
  <c r="U465" i="4"/>
  <c r="U94" i="4"/>
  <c r="U299" i="4"/>
  <c r="U217" i="4"/>
  <c r="U825" i="4"/>
  <c r="U141" i="4"/>
  <c r="U123" i="4"/>
  <c r="U341" i="4"/>
  <c r="U897" i="4"/>
  <c r="U715" i="4"/>
  <c r="AF344" i="3"/>
  <c r="AI2082" i="3"/>
  <c r="AD2082" i="3" s="1"/>
  <c r="AK741" i="3"/>
  <c r="AB741" i="3" s="1"/>
  <c r="U911" i="4"/>
  <c r="U356" i="4"/>
  <c r="U743" i="4"/>
  <c r="U321" i="4"/>
  <c r="U777" i="4"/>
  <c r="U829" i="4"/>
  <c r="U233" i="4"/>
  <c r="U406" i="4"/>
  <c r="U388" i="4"/>
  <c r="U874" i="4"/>
  <c r="U107" i="4"/>
  <c r="U531" i="4"/>
  <c r="U748" i="4"/>
  <c r="U148" i="4"/>
  <c r="U306" i="4"/>
  <c r="AI1059" i="3"/>
  <c r="AD1059" i="3" s="1"/>
  <c r="AK1719" i="3"/>
  <c r="AB1719" i="3" s="1"/>
  <c r="AI1605" i="3"/>
  <c r="AD1605" i="3" s="1"/>
  <c r="AK567" i="3"/>
  <c r="AB567" i="3" s="1"/>
  <c r="U654" i="4"/>
  <c r="U44" i="4"/>
  <c r="U904" i="4"/>
  <c r="U426" i="4"/>
  <c r="U718" i="4"/>
  <c r="U64" i="4"/>
  <c r="U219" i="4"/>
  <c r="U627" i="4"/>
  <c r="U920" i="4"/>
  <c r="U821" i="4"/>
  <c r="U453" i="4"/>
  <c r="U176" i="4"/>
  <c r="U704" i="4"/>
  <c r="AK155" i="3"/>
  <c r="AB155" i="3" s="1"/>
  <c r="AK2027" i="3"/>
  <c r="AB2027" i="3" s="1"/>
  <c r="AI309" i="3"/>
  <c r="AD309" i="3" s="1"/>
  <c r="AI1461" i="3"/>
  <c r="AD1461" i="3" s="1"/>
  <c r="U661" i="4"/>
  <c r="U188" i="4"/>
  <c r="U750" i="4"/>
  <c r="U862" i="4"/>
  <c r="U335" i="4"/>
  <c r="U683" i="4"/>
  <c r="U215" i="4"/>
  <c r="U467" i="4"/>
  <c r="U708" i="4"/>
  <c r="U283" i="4"/>
  <c r="U280" i="4"/>
  <c r="U353" i="4"/>
  <c r="U892" i="4"/>
  <c r="U425" i="4"/>
  <c r="U76" i="4"/>
  <c r="AF608" i="3"/>
  <c r="AF531" i="3"/>
  <c r="AF334" i="3"/>
  <c r="AF147" i="3"/>
  <c r="AF332" i="3"/>
  <c r="AF408" i="3"/>
  <c r="AF2082" i="3"/>
  <c r="AF239" i="3"/>
  <c r="AF1681" i="3"/>
  <c r="AF1597" i="3"/>
  <c r="AF790" i="3"/>
  <c r="AF104" i="3"/>
  <c r="T112" i="4"/>
  <c r="T385" i="4"/>
  <c r="T135" i="4"/>
  <c r="T422" i="4"/>
  <c r="T232" i="4"/>
  <c r="T461" i="4"/>
  <c r="T708" i="4"/>
  <c r="T261" i="4"/>
  <c r="T421" i="4"/>
  <c r="T599" i="4"/>
  <c r="T150" i="4"/>
  <c r="T517" i="4"/>
  <c r="T833" i="4"/>
  <c r="T718" i="4"/>
  <c r="AF650" i="3"/>
  <c r="AF552" i="3"/>
  <c r="AF645" i="3"/>
  <c r="AF124" i="3"/>
  <c r="AF1963" i="3"/>
  <c r="AF1562" i="3"/>
  <c r="AF1323" i="3"/>
  <c r="AF1586" i="3"/>
  <c r="AF2046" i="3"/>
  <c r="AF1596" i="3"/>
  <c r="AF777" i="3"/>
  <c r="AF2098" i="3"/>
  <c r="T643" i="4"/>
  <c r="T171" i="4"/>
  <c r="T211" i="4"/>
  <c r="T728" i="4"/>
  <c r="T372" i="4"/>
  <c r="T603" i="4"/>
  <c r="T888" i="4"/>
  <c r="T450" i="4"/>
  <c r="T465" i="4"/>
  <c r="T662" i="4"/>
  <c r="T180" i="4"/>
  <c r="T649" i="4"/>
  <c r="T781" i="4"/>
  <c r="T807" i="4"/>
  <c r="AF582" i="3"/>
  <c r="AF564" i="3"/>
  <c r="AF135" i="3"/>
  <c r="AF617" i="3"/>
  <c r="AF1728" i="3"/>
  <c r="AF1960" i="3"/>
  <c r="AF309" i="3"/>
  <c r="AF2135" i="3"/>
  <c r="AF2205" i="3"/>
  <c r="AF1591" i="3"/>
  <c r="AF1935" i="3"/>
  <c r="AF2024" i="3"/>
  <c r="T223" i="4"/>
  <c r="T610" i="4"/>
  <c r="T656" i="4"/>
  <c r="T616" i="4"/>
  <c r="T409" i="4"/>
  <c r="T757" i="4"/>
  <c r="T44" i="4"/>
  <c r="T495" i="4"/>
  <c r="T659" i="4"/>
  <c r="T732" i="4"/>
  <c r="T389" i="4"/>
  <c r="T713" i="4"/>
  <c r="T821" i="4"/>
  <c r="T891" i="4"/>
  <c r="AF589" i="3"/>
  <c r="AF529" i="3"/>
  <c r="AF371" i="3"/>
  <c r="AF590" i="3"/>
  <c r="AF1712" i="3"/>
  <c r="AF1913" i="3"/>
  <c r="AF1581" i="3"/>
  <c r="AF1817" i="3"/>
  <c r="AF1680" i="3"/>
  <c r="AF1902" i="3"/>
  <c r="AF1936" i="3"/>
  <c r="AF1980" i="3"/>
  <c r="T337" i="4"/>
  <c r="T254" i="4"/>
  <c r="T774" i="4"/>
  <c r="T689" i="4"/>
  <c r="T412" i="4"/>
  <c r="T823" i="4"/>
  <c r="T49" i="4"/>
  <c r="T533" i="4"/>
  <c r="T674" i="4"/>
  <c r="T754" i="4"/>
  <c r="T401" i="4"/>
  <c r="T727" i="4"/>
  <c r="T825" i="4"/>
  <c r="T902" i="4"/>
  <c r="AK1955" i="3"/>
  <c r="AB1955" i="3" s="1"/>
  <c r="AK2241" i="3"/>
  <c r="AB2241" i="3" s="1"/>
  <c r="AF1246" i="3"/>
  <c r="AI346" i="3"/>
  <c r="AD346" i="3" s="1"/>
  <c r="AK1654" i="3"/>
  <c r="AB1654" i="3" s="1"/>
  <c r="AI1820" i="3"/>
  <c r="AD1820" i="3" s="1"/>
  <c r="AI764" i="3"/>
  <c r="AD764" i="3" s="1"/>
  <c r="AI598" i="3"/>
  <c r="AD598" i="3" s="1"/>
  <c r="AK2020" i="3"/>
  <c r="AB2020" i="3" s="1"/>
  <c r="AI360" i="3"/>
  <c r="AD360" i="3" s="1"/>
  <c r="AK776" i="3"/>
  <c r="AB776" i="3" s="1"/>
  <c r="AF1400" i="3"/>
  <c r="AK249" i="3"/>
  <c r="AB249" i="3" s="1"/>
  <c r="AF840" i="3"/>
  <c r="AK1434" i="3"/>
  <c r="AB1434" i="3" s="1"/>
  <c r="AI756" i="3"/>
  <c r="AD756" i="3" s="1"/>
  <c r="AE756" i="3" s="1"/>
  <c r="AI1665" i="3"/>
  <c r="AD1665" i="3" s="1"/>
  <c r="AI750" i="3"/>
  <c r="AD750" i="3" s="1"/>
  <c r="AI519" i="3"/>
  <c r="AD519" i="3" s="1"/>
  <c r="AI243" i="3"/>
  <c r="AD243" i="3" s="1"/>
  <c r="AK97" i="3"/>
  <c r="AB97" i="3" s="1"/>
  <c r="AK565" i="3"/>
  <c r="AB565" i="3" s="1"/>
  <c r="AK2116" i="3"/>
  <c r="AB2116" i="3" s="1"/>
  <c r="AK1662" i="3"/>
  <c r="AB1662" i="3" s="1"/>
  <c r="AI1460" i="3"/>
  <c r="AD1460" i="3" s="1"/>
  <c r="AI304" i="3"/>
  <c r="AD304" i="3" s="1"/>
  <c r="AI1819" i="3"/>
  <c r="AD1819" i="3" s="1"/>
  <c r="AF182" i="3"/>
  <c r="AI1283" i="3"/>
  <c r="AD1283" i="3" s="1"/>
  <c r="AK1741" i="3"/>
  <c r="AB1741" i="3" s="1"/>
  <c r="AK798" i="3"/>
  <c r="AB798" i="3" s="1"/>
  <c r="AK1733" i="3"/>
  <c r="AB1733" i="3" s="1"/>
  <c r="AI554" i="3"/>
  <c r="AD554" i="3" s="1"/>
  <c r="AK860" i="3"/>
  <c r="AB860" i="3" s="1"/>
  <c r="AI311" i="3"/>
  <c r="AD311" i="3" s="1"/>
  <c r="AI1936" i="3"/>
  <c r="AD1936" i="3" s="1"/>
  <c r="AF2005" i="3"/>
  <c r="AK659" i="3"/>
  <c r="AB659" i="3" s="1"/>
  <c r="AI1947" i="3"/>
  <c r="AD1947" i="3" s="1"/>
  <c r="AK1634" i="3"/>
  <c r="AB1634" i="3" s="1"/>
  <c r="AK577" i="3"/>
  <c r="AB577" i="3" s="1"/>
  <c r="AK1939" i="3"/>
  <c r="AB1939" i="3" s="1"/>
  <c r="AF823" i="3"/>
  <c r="AF273" i="3"/>
  <c r="AI2239" i="3"/>
  <c r="AD2239" i="3" s="1"/>
  <c r="AI2207" i="3"/>
  <c r="AD2207" i="3" s="1"/>
  <c r="AK1203" i="3"/>
  <c r="AB1203" i="3" s="1"/>
  <c r="AK1685" i="3"/>
  <c r="AB1685" i="3" s="1"/>
  <c r="AK996" i="3"/>
  <c r="AB996" i="3" s="1"/>
  <c r="AF2164" i="3"/>
  <c r="AI795" i="3"/>
  <c r="AD795" i="3" s="1"/>
  <c r="AK1684" i="3"/>
  <c r="AB1684" i="3" s="1"/>
  <c r="AK317" i="3"/>
  <c r="AB317" i="3" s="1"/>
  <c r="AK570" i="3"/>
  <c r="AB570" i="3" s="1"/>
  <c r="AK1975" i="3"/>
  <c r="AB1975" i="3" s="1"/>
  <c r="AI1593" i="3"/>
  <c r="AD1593" i="3" s="1"/>
  <c r="AI869" i="3"/>
  <c r="AD869" i="3" s="1"/>
  <c r="AE869" i="3" s="1"/>
  <c r="AK244" i="3"/>
  <c r="AB244" i="3" s="1"/>
  <c r="AF2065" i="3"/>
  <c r="AK569" i="3"/>
  <c r="AB569" i="3" s="1"/>
  <c r="AF916" i="3"/>
  <c r="AK2237" i="3"/>
  <c r="AB2237" i="3" s="1"/>
  <c r="AI196" i="3"/>
  <c r="AD196" i="3" s="1"/>
  <c r="AI1637" i="3"/>
  <c r="AD1637" i="3" s="1"/>
  <c r="AI195" i="3"/>
  <c r="AD195" i="3" s="1"/>
  <c r="AI230" i="3"/>
  <c r="AD230" i="3" s="1"/>
  <c r="AK1611" i="3"/>
  <c r="AB1611" i="3" s="1"/>
  <c r="AI752" i="3"/>
  <c r="AD752" i="3" s="1"/>
  <c r="AI625" i="3"/>
  <c r="AD625" i="3" s="1"/>
  <c r="AI1890" i="3"/>
  <c r="AD1890" i="3" s="1"/>
  <c r="AF1173" i="3"/>
  <c r="AK1566" i="3"/>
  <c r="AB1566" i="3" s="1"/>
  <c r="AI1662" i="3"/>
  <c r="AD1662" i="3" s="1"/>
  <c r="AI589" i="3"/>
  <c r="AD589" i="3" s="1"/>
  <c r="AF2021" i="3"/>
  <c r="AI1613" i="3"/>
  <c r="AD1613" i="3" s="1"/>
  <c r="AF1075" i="3"/>
  <c r="AF2080" i="3"/>
  <c r="AI2245" i="3"/>
  <c r="AD2245" i="3" s="1"/>
  <c r="AI2250" i="3"/>
  <c r="AD2250" i="3" s="1"/>
  <c r="AI973" i="3"/>
  <c r="AD973" i="3" s="1"/>
  <c r="AF1195" i="3"/>
  <c r="AI1693" i="3"/>
  <c r="AD1693" i="3" s="1"/>
  <c r="U623" i="4"/>
  <c r="U187" i="4"/>
  <c r="U855" i="4"/>
  <c r="U355" i="4"/>
  <c r="U431" i="4"/>
  <c r="U364" i="4"/>
  <c r="U22" i="4"/>
  <c r="U663" i="4"/>
  <c r="U10" i="4"/>
  <c r="U835" i="4"/>
  <c r="U624" i="4"/>
  <c r="U804" i="4"/>
  <c r="U600" i="4"/>
  <c r="U162" i="4"/>
  <c r="U672" i="4"/>
  <c r="AI2233" i="3"/>
  <c r="AD2233" i="3" s="1"/>
  <c r="AI1616" i="3"/>
  <c r="AD1616" i="3" s="1"/>
  <c r="AK531" i="3"/>
  <c r="AB531" i="3" s="1"/>
  <c r="AC531" i="3" s="1"/>
  <c r="U693" i="4"/>
  <c r="U492" i="4"/>
  <c r="U741" i="4"/>
  <c r="U138" i="4"/>
  <c r="U496" i="4"/>
  <c r="U903" i="4"/>
  <c r="U449" i="4"/>
  <c r="U501" i="4"/>
  <c r="U392" i="4"/>
  <c r="U278" i="4"/>
  <c r="U414" i="4"/>
  <c r="U380" i="4"/>
  <c r="U827" i="4"/>
  <c r="U106" i="4"/>
  <c r="U729" i="4"/>
  <c r="AI1913" i="3"/>
  <c r="AD1913" i="3" s="1"/>
  <c r="AI253" i="3"/>
  <c r="AD253" i="3" s="1"/>
  <c r="AF1197" i="3"/>
  <c r="AK656" i="3"/>
  <c r="AB656" i="3" s="1"/>
  <c r="U401" i="4"/>
  <c r="U616" i="4"/>
  <c r="U775" i="4"/>
  <c r="U424" i="4"/>
  <c r="U645" i="4"/>
  <c r="U317" i="4"/>
  <c r="U659" i="4"/>
  <c r="U136" i="4"/>
  <c r="U850" i="4"/>
  <c r="U42" i="4"/>
  <c r="U919" i="4"/>
  <c r="U757" i="4"/>
  <c r="U339" i="4"/>
  <c r="AI787" i="3"/>
  <c r="AD787" i="3" s="1"/>
  <c r="AI2283" i="3"/>
  <c r="AD2283" i="3" s="1"/>
  <c r="AI1325" i="3"/>
  <c r="AD1325" i="3" s="1"/>
  <c r="AI595" i="3"/>
  <c r="AD595" i="3" s="1"/>
  <c r="U430" i="4"/>
  <c r="U446" i="4"/>
  <c r="U667" i="4"/>
  <c r="U479" i="4"/>
  <c r="U618" i="4"/>
  <c r="U60" i="4"/>
  <c r="U36" i="4"/>
  <c r="U746" i="4"/>
  <c r="U167" i="4"/>
  <c r="U549" i="4"/>
  <c r="U49" i="4"/>
  <c r="U404" i="4"/>
  <c r="U738" i="4"/>
  <c r="U84" i="4"/>
  <c r="U455" i="4"/>
  <c r="AF643" i="3"/>
  <c r="AF565" i="3"/>
  <c r="AF153" i="3"/>
  <c r="AF611" i="3"/>
  <c r="AF238" i="3"/>
  <c r="AF1707" i="3"/>
  <c r="AF953" i="3"/>
  <c r="AF1611" i="3"/>
  <c r="AF398" i="3"/>
  <c r="AF1593" i="3"/>
  <c r="AF1937" i="3"/>
  <c r="AF2059" i="3"/>
  <c r="T504" i="4"/>
  <c r="T166" i="4"/>
  <c r="T205" i="4"/>
  <c r="T592" i="4"/>
  <c r="T349" i="4"/>
  <c r="T581" i="4"/>
  <c r="T887" i="4"/>
  <c r="T440" i="4"/>
  <c r="T464" i="4"/>
  <c r="T644" i="4"/>
  <c r="T174" i="4"/>
  <c r="T642" i="4"/>
  <c r="T768" i="4"/>
  <c r="T806" i="4"/>
  <c r="AF576" i="3"/>
  <c r="AF81" i="3"/>
  <c r="AF625" i="3"/>
  <c r="AF538" i="3"/>
  <c r="AF1904" i="3"/>
  <c r="AF1855" i="3"/>
  <c r="AF1203" i="3"/>
  <c r="AF111" i="3"/>
  <c r="AF1606" i="3"/>
  <c r="AF1440" i="3"/>
  <c r="AF796" i="3"/>
  <c r="AF1923" i="3"/>
  <c r="T18" i="4"/>
  <c r="T508" i="4"/>
  <c r="T423" i="4"/>
  <c r="T574" i="4"/>
  <c r="T402" i="4"/>
  <c r="T731" i="4"/>
  <c r="T43" i="4"/>
  <c r="T493" i="4"/>
  <c r="T634" i="4"/>
  <c r="T707" i="4"/>
  <c r="T377" i="4"/>
  <c r="T698" i="4"/>
  <c r="T814" i="4"/>
  <c r="T829" i="4"/>
  <c r="AF609" i="3"/>
  <c r="AF563" i="3"/>
  <c r="AF983" i="3"/>
  <c r="AF597" i="3"/>
  <c r="AF1664" i="3"/>
  <c r="AF1725" i="3"/>
  <c r="AF1601" i="3"/>
  <c r="AF1644" i="3"/>
  <c r="AF1844" i="3"/>
  <c r="AF1798" i="3"/>
  <c r="AF1946" i="3"/>
  <c r="AF2023" i="3"/>
  <c r="T172" i="4"/>
  <c r="T455" i="4"/>
  <c r="T94" i="4"/>
  <c r="T862" i="4"/>
  <c r="T501" i="4"/>
  <c r="T367" i="4"/>
  <c r="T56" i="4"/>
  <c r="T563" i="4"/>
  <c r="T843" i="4"/>
  <c r="T805" i="4"/>
  <c r="T437" i="4"/>
  <c r="T815" i="4"/>
  <c r="T651" i="4"/>
  <c r="T913" i="4"/>
  <c r="AF615" i="3"/>
  <c r="AF547" i="3"/>
  <c r="AF514" i="3"/>
  <c r="AF282" i="3"/>
  <c r="AF1641" i="3"/>
  <c r="AF1709" i="3"/>
  <c r="AF1608" i="3"/>
  <c r="AF1634" i="3"/>
  <c r="AF223" i="3"/>
  <c r="AF262" i="3"/>
  <c r="AF1948" i="3"/>
  <c r="AF250" i="3"/>
  <c r="T325" i="4"/>
  <c r="T607" i="4"/>
  <c r="T198" i="4"/>
  <c r="T5" i="4"/>
  <c r="T529" i="4"/>
  <c r="T378" i="4"/>
  <c r="T61" i="4"/>
  <c r="T566" i="4"/>
  <c r="T848" i="4"/>
  <c r="T841" i="4"/>
  <c r="T448" i="4"/>
  <c r="T824" i="4"/>
  <c r="T657" i="4"/>
  <c r="T799" i="4"/>
  <c r="AI781" i="3"/>
  <c r="AD781" i="3" s="1"/>
  <c r="AK1640" i="3"/>
  <c r="AB1640" i="3" s="1"/>
  <c r="AF1430" i="3"/>
  <c r="AK825" i="3"/>
  <c r="AB825" i="3" s="1"/>
  <c r="AF1417" i="3"/>
  <c r="AI1319" i="3"/>
  <c r="AD1319" i="3" s="1"/>
  <c r="AK314" i="3"/>
  <c r="AB314" i="3" s="1"/>
  <c r="AK615" i="3"/>
  <c r="AB615" i="3" s="1"/>
  <c r="AK1850" i="3"/>
  <c r="AB1850" i="3" s="1"/>
  <c r="AI510" i="3"/>
  <c r="AD510" i="3" s="1"/>
  <c r="AF2188" i="3"/>
  <c r="AF849" i="3"/>
  <c r="AF2146" i="3"/>
  <c r="AI1911" i="3"/>
  <c r="AD1911" i="3" s="1"/>
  <c r="AI468" i="3"/>
  <c r="AD468" i="3" s="1"/>
  <c r="AI1607" i="3"/>
  <c r="AD1607" i="3" s="1"/>
  <c r="AK1657" i="3"/>
  <c r="AB1657" i="3" s="1"/>
  <c r="AK749" i="3"/>
  <c r="AB749" i="3" s="1"/>
  <c r="AK740" i="3"/>
  <c r="AB740" i="3" s="1"/>
  <c r="AK1440" i="3"/>
  <c r="AB1440" i="3" s="1"/>
  <c r="AF1358" i="3"/>
  <c r="AF1178" i="3"/>
  <c r="AI799" i="3"/>
  <c r="AD799" i="3" s="1"/>
  <c r="AI1914" i="3"/>
  <c r="AD1914" i="3" s="1"/>
  <c r="AI628" i="3"/>
  <c r="AD628" i="3" s="1"/>
  <c r="AI1932" i="3"/>
  <c r="AD1932" i="3" s="1"/>
  <c r="AI1714" i="3"/>
  <c r="AD1714" i="3" s="1"/>
  <c r="AI318" i="3"/>
  <c r="AD318" i="3" s="1"/>
  <c r="AI560" i="3"/>
  <c r="AD560" i="3" s="1"/>
  <c r="AI2135" i="3"/>
  <c r="AD2135" i="3" s="1"/>
  <c r="AK782" i="3"/>
  <c r="AB782" i="3" s="1"/>
  <c r="AI1960" i="3"/>
  <c r="AD1960" i="3" s="1"/>
  <c r="AI644" i="3"/>
  <c r="AD644" i="3" s="1"/>
  <c r="AK1559" i="3"/>
  <c r="AB1559" i="3" s="1"/>
  <c r="AK329" i="3"/>
  <c r="AB329" i="3" s="1"/>
  <c r="AF2281" i="3"/>
  <c r="AI246" i="3"/>
  <c r="AD246" i="3" s="1"/>
  <c r="AK282" i="3"/>
  <c r="AB282" i="3" s="1"/>
  <c r="AI2077" i="3"/>
  <c r="AD2077" i="3" s="1"/>
  <c r="AK1586" i="3"/>
  <c r="AB1586" i="3" s="1"/>
  <c r="AK153" i="3"/>
  <c r="AB153" i="3" s="1"/>
  <c r="AI1791" i="3"/>
  <c r="AD1791" i="3" s="1"/>
  <c r="AF2255" i="3"/>
  <c r="AK593" i="3"/>
  <c r="AB593" i="3" s="1"/>
  <c r="AI1919" i="3"/>
  <c r="AD1919" i="3" s="1"/>
  <c r="AI1603" i="3"/>
  <c r="AD1603" i="3" s="1"/>
  <c r="AK735" i="3"/>
  <c r="AB735" i="3" s="1"/>
  <c r="AI1574" i="3"/>
  <c r="AD1574" i="3" s="1"/>
  <c r="AI526" i="3"/>
  <c r="AD526" i="3" s="1"/>
  <c r="AF963" i="3"/>
  <c r="AI2156" i="3"/>
  <c r="AD2156" i="3" s="1"/>
  <c r="AF1997" i="3"/>
  <c r="AK608" i="3"/>
  <c r="AB608" i="3" s="1"/>
  <c r="AF191" i="3"/>
  <c r="AI1705" i="3"/>
  <c r="AD1705" i="3" s="1"/>
  <c r="AF1152" i="3"/>
  <c r="AK1711" i="3"/>
  <c r="AB1711" i="3" s="1"/>
  <c r="AI784" i="3"/>
  <c r="AD784" i="3" s="1"/>
  <c r="AK228" i="3"/>
  <c r="AB228" i="3" s="1"/>
  <c r="AK463" i="3"/>
  <c r="AB463" i="3" s="1"/>
  <c r="AF914" i="3"/>
  <c r="AI1682" i="3"/>
  <c r="AD1682" i="3" s="1"/>
  <c r="AF2144" i="3"/>
  <c r="AF1883" i="3"/>
  <c r="AI537" i="3"/>
  <c r="AD537" i="3" s="1"/>
  <c r="AI957" i="3"/>
  <c r="AD957" i="3" s="1"/>
  <c r="AK2028" i="3"/>
  <c r="AB2028" i="3" s="1"/>
  <c r="AK1001" i="3"/>
  <c r="AB1001" i="3" s="1"/>
  <c r="AK529" i="3"/>
  <c r="AB529" i="3" s="1"/>
  <c r="AK954" i="3"/>
  <c r="AB954" i="3" s="1"/>
  <c r="AK1958" i="3"/>
  <c r="AB1958" i="3" s="1"/>
  <c r="AF971" i="3"/>
  <c r="AK1862" i="3"/>
  <c r="AB1862" i="3" s="1"/>
  <c r="AK614" i="3"/>
  <c r="AB614" i="3" s="1"/>
  <c r="AI1915" i="3"/>
  <c r="AD1915" i="3" s="1"/>
  <c r="AF984" i="3"/>
  <c r="AF1333" i="3"/>
  <c r="AK2086" i="3"/>
  <c r="AB2086" i="3" s="1"/>
  <c r="AI1614" i="3"/>
  <c r="AD1614" i="3" s="1"/>
  <c r="AI451" i="3"/>
  <c r="AD451" i="3" s="1"/>
  <c r="AI1606" i="3"/>
  <c r="AD1606" i="3" s="1"/>
  <c r="AK145" i="3"/>
  <c r="AB145" i="3" s="1"/>
  <c r="AK512" i="3"/>
  <c r="AB512" i="3" s="1"/>
  <c r="U631" i="4"/>
  <c r="U18" i="4"/>
  <c r="U895" i="4"/>
  <c r="U220" i="4"/>
  <c r="U210" i="4"/>
  <c r="U208" i="4"/>
  <c r="U788" i="4"/>
  <c r="U294" i="4"/>
  <c r="U131" i="4"/>
  <c r="U557" i="4"/>
  <c r="U180" i="4"/>
  <c r="U25" i="4"/>
  <c r="U810" i="4"/>
  <c r="U140" i="4"/>
  <c r="U871" i="4"/>
  <c r="AI1950" i="3"/>
  <c r="AD1950" i="3" s="1"/>
  <c r="AF817" i="3"/>
  <c r="AI621" i="3"/>
  <c r="AD621" i="3" s="1"/>
  <c r="U658" i="4"/>
  <c r="U241" i="4"/>
  <c r="U279" i="4"/>
  <c r="U629" i="4"/>
  <c r="U372" i="4"/>
  <c r="U377" i="4"/>
  <c r="U456" i="4"/>
  <c r="U347" i="4"/>
  <c r="U184" i="4"/>
  <c r="U864" i="4"/>
  <c r="U671" i="4"/>
  <c r="U118" i="4"/>
  <c r="U104" i="4"/>
  <c r="U159" i="4"/>
  <c r="U796" i="4"/>
  <c r="AI536" i="3"/>
  <c r="AD536" i="3" s="1"/>
  <c r="AI742" i="3"/>
  <c r="AD742" i="3" s="1"/>
  <c r="AF768" i="3"/>
  <c r="AF1369" i="3"/>
  <c r="U694" i="4"/>
  <c r="U813" i="4"/>
  <c r="U652" i="4"/>
  <c r="U574" i="4"/>
  <c r="U762" i="4"/>
  <c r="U630" i="4"/>
  <c r="U305" i="4"/>
  <c r="U580" i="4"/>
  <c r="U636" i="4"/>
  <c r="U350" i="4"/>
  <c r="U11" i="4"/>
  <c r="U179" i="4"/>
  <c r="U783" i="4"/>
  <c r="AK807" i="3"/>
  <c r="AB807" i="3" s="1"/>
  <c r="AK2269" i="3"/>
  <c r="AB2269" i="3" s="1"/>
  <c r="AI1699" i="3"/>
  <c r="AD1699" i="3" s="1"/>
  <c r="AF1310" i="3"/>
  <c r="U169" i="4"/>
  <c r="U528" i="4"/>
  <c r="U653" i="4"/>
  <c r="U247" i="4"/>
  <c r="U514" i="4"/>
  <c r="U256" i="4"/>
  <c r="U800" i="4"/>
  <c r="U170" i="4"/>
  <c r="U329" i="4"/>
  <c r="U160" i="4"/>
  <c r="U374" i="4"/>
  <c r="U237" i="4"/>
  <c r="U73" i="4"/>
  <c r="U471" i="4"/>
  <c r="U701" i="4"/>
  <c r="AF1461" i="3"/>
  <c r="AF143" i="3"/>
  <c r="AF280" i="3"/>
  <c r="AF288" i="3"/>
  <c r="AF1827" i="3"/>
  <c r="AF2138" i="3"/>
  <c r="AF821" i="3"/>
  <c r="AF1318" i="3"/>
  <c r="AF1651" i="3"/>
  <c r="AF1563" i="3"/>
  <c r="AF792" i="3"/>
  <c r="AF2063" i="3"/>
  <c r="T503" i="4"/>
  <c r="T418" i="4"/>
  <c r="T393" i="4"/>
  <c r="T554" i="4"/>
  <c r="T392" i="4"/>
  <c r="T666" i="4"/>
  <c r="T38" i="4"/>
  <c r="T482" i="4"/>
  <c r="T598" i="4"/>
  <c r="T695" i="4"/>
  <c r="T196" i="4"/>
  <c r="T680" i="4"/>
  <c r="T802" i="4"/>
  <c r="T819" i="4"/>
  <c r="AF603" i="3"/>
  <c r="AF148" i="3"/>
  <c r="AF752" i="3"/>
  <c r="AF537" i="3"/>
  <c r="AF1679" i="3"/>
  <c r="AF354" i="3"/>
  <c r="AF957" i="3"/>
  <c r="AF1672" i="3"/>
  <c r="AF1853" i="3"/>
  <c r="AF260" i="3"/>
  <c r="AF1942" i="3"/>
  <c r="AF1928" i="3"/>
  <c r="T64" i="4"/>
  <c r="T400" i="4"/>
  <c r="T40" i="4"/>
  <c r="T811" i="4"/>
  <c r="T467" i="4"/>
  <c r="T331" i="4"/>
  <c r="T55" i="4"/>
  <c r="T553" i="4"/>
  <c r="T800" i="4"/>
  <c r="T766" i="4"/>
  <c r="T425" i="4"/>
  <c r="T813" i="4"/>
  <c r="T645" i="4"/>
  <c r="T910" i="4"/>
  <c r="AF644" i="3"/>
  <c r="AF149" i="3"/>
  <c r="AF525" i="3"/>
  <c r="AF735" i="3"/>
  <c r="AF1582" i="3"/>
  <c r="AF1653" i="3"/>
  <c r="AF1636" i="3"/>
  <c r="AF449" i="3"/>
  <c r="AF1674" i="3"/>
  <c r="AF208" i="3"/>
  <c r="AF1955" i="3"/>
  <c r="AF249" i="3"/>
  <c r="T191" i="4"/>
  <c r="T283" i="4"/>
  <c r="T247" i="4"/>
  <c r="T45" i="4"/>
  <c r="T564" i="4"/>
  <c r="T432" i="4"/>
  <c r="T68" i="4"/>
  <c r="T602" i="4"/>
  <c r="T407" i="4"/>
  <c r="T219" i="4"/>
  <c r="T567" i="4"/>
  <c r="T652" i="4"/>
  <c r="T675" i="4"/>
  <c r="T900" i="4"/>
  <c r="AF651" i="3"/>
  <c r="AF141" i="3"/>
  <c r="AF746" i="3"/>
  <c r="AF555" i="3"/>
  <c r="AF308" i="3"/>
  <c r="AF1639" i="3"/>
  <c r="AF1643" i="3"/>
  <c r="AF1987" i="3"/>
  <c r="AF973" i="3"/>
  <c r="AF2014" i="3"/>
  <c r="AF799" i="3"/>
  <c r="AF2072" i="3"/>
  <c r="T255" i="4"/>
  <c r="T319" i="4"/>
  <c r="T252" i="4"/>
  <c r="T53" i="4"/>
  <c r="T585" i="4"/>
  <c r="T478" i="4"/>
  <c r="T73" i="4"/>
  <c r="T648" i="4"/>
  <c r="T436" i="4"/>
  <c r="T225" i="4"/>
  <c r="T576" i="4"/>
  <c r="T654" i="4"/>
  <c r="T681" i="4"/>
  <c r="T920" i="4"/>
  <c r="AI1892" i="3"/>
  <c r="AD1892" i="3" s="1"/>
  <c r="AK220" i="3"/>
  <c r="AB220" i="3" s="1"/>
  <c r="AF830" i="3"/>
  <c r="AK2114" i="3"/>
  <c r="AB2114" i="3" s="1"/>
  <c r="AK1045" i="3"/>
  <c r="AB1045" i="3" s="1"/>
  <c r="AF63" i="3"/>
  <c r="AF59" i="3"/>
  <c r="AK773" i="3"/>
  <c r="AB773" i="3" s="1"/>
  <c r="AI1923" i="3"/>
  <c r="AD1923" i="3" s="1"/>
  <c r="AI1667" i="3"/>
  <c r="AD1667" i="3" s="1"/>
  <c r="AK81" i="3"/>
  <c r="AB81" i="3" s="1"/>
  <c r="AK82" i="3"/>
  <c r="AB82" i="3" s="1"/>
  <c r="AI384" i="3"/>
  <c r="AD384" i="3" s="1"/>
  <c r="AK662" i="3"/>
  <c r="AB662" i="3" s="1"/>
  <c r="AI1634" i="3"/>
  <c r="AD1634" i="3" s="1"/>
  <c r="AK185" i="3"/>
  <c r="AB185" i="3" s="1"/>
  <c r="AK227" i="3"/>
  <c r="AB227" i="3" s="1"/>
  <c r="AI1644" i="3"/>
  <c r="AD1644" i="3" s="1"/>
  <c r="AK286" i="3"/>
  <c r="AB286" i="3" s="1"/>
  <c r="AI159" i="3"/>
  <c r="AD159" i="3" s="1"/>
  <c r="AK1905" i="3"/>
  <c r="AB1905" i="3" s="1"/>
  <c r="AI1725" i="3"/>
  <c r="AD1725" i="3" s="1"/>
  <c r="AI160" i="3"/>
  <c r="AD160" i="3" s="1"/>
  <c r="AK788" i="3"/>
  <c r="AB788" i="3" s="1"/>
  <c r="AK1582" i="3"/>
  <c r="AB1582" i="3" s="1"/>
  <c r="AI573" i="3"/>
  <c r="AD573" i="3" s="1"/>
  <c r="AI2059" i="3"/>
  <c r="AD2059" i="3" s="1"/>
  <c r="AI1627" i="3"/>
  <c r="AD1627" i="3" s="1"/>
  <c r="AK754" i="3"/>
  <c r="AB754" i="3" s="1"/>
  <c r="AI225" i="3"/>
  <c r="AD225" i="3" s="1"/>
  <c r="AF1164" i="3"/>
  <c r="AI1777" i="3"/>
  <c r="AD1777" i="3" s="1"/>
  <c r="AI1193" i="3"/>
  <c r="AD1193" i="3" s="1"/>
  <c r="AK581" i="3"/>
  <c r="AB581" i="3" s="1"/>
  <c r="AI2127" i="3"/>
  <c r="AD2127" i="3" s="1"/>
  <c r="AK1458" i="3"/>
  <c r="AB1458" i="3" s="1"/>
  <c r="AK2081" i="3"/>
  <c r="AB2081" i="3" s="1"/>
  <c r="AK2016" i="3"/>
  <c r="AB2016" i="3" s="1"/>
  <c r="AK464" i="3"/>
  <c r="AB464" i="3" s="1"/>
  <c r="AF723" i="3"/>
  <c r="AI1715" i="3"/>
  <c r="AD1715" i="3" s="1"/>
  <c r="AK1006" i="3"/>
  <c r="AB1006" i="3" s="1"/>
  <c r="AK1591" i="3"/>
  <c r="AB1591" i="3" s="1"/>
  <c r="AF2254" i="3"/>
  <c r="AK159" i="3"/>
  <c r="AB159" i="3" s="1"/>
  <c r="AI1938" i="3"/>
  <c r="AD1938" i="3" s="1"/>
  <c r="AF1403" i="3"/>
  <c r="AI2046" i="3"/>
  <c r="AD2046" i="3" s="1"/>
  <c r="AI1702" i="3"/>
  <c r="AD1702" i="3" s="1"/>
  <c r="AF1336" i="3"/>
  <c r="AK1916" i="3"/>
  <c r="AB1916" i="3" s="1"/>
  <c r="AF1513" i="3"/>
  <c r="AK1904" i="3"/>
  <c r="AB1904" i="3" s="1"/>
  <c r="AI575" i="3"/>
  <c r="AD575" i="3" s="1"/>
  <c r="AK1925" i="3"/>
  <c r="AB1925" i="3" s="1"/>
  <c r="AF1396" i="3"/>
  <c r="AK343" i="3"/>
  <c r="AB343" i="3" s="1"/>
  <c r="AI1963" i="3"/>
  <c r="AD1963" i="3" s="1"/>
  <c r="AK1818" i="3"/>
  <c r="AB1818" i="3" s="1"/>
  <c r="AK1676" i="3"/>
  <c r="AB1676" i="3" s="1"/>
  <c r="AK137" i="3"/>
  <c r="AB137" i="3" s="1"/>
  <c r="AF2217" i="3"/>
  <c r="AK1847" i="3"/>
  <c r="AB1847" i="3" s="1"/>
  <c r="AK1947" i="3"/>
  <c r="AB1947" i="3" s="1"/>
  <c r="AF1794" i="3"/>
  <c r="AK611" i="3"/>
  <c r="AB611" i="3" s="1"/>
  <c r="AI372" i="3"/>
  <c r="AD372" i="3" s="1"/>
  <c r="AF1402" i="3"/>
  <c r="AF1245" i="3"/>
  <c r="AK587" i="3"/>
  <c r="AB587" i="3" s="1"/>
  <c r="AI859" i="3"/>
  <c r="AD859" i="3" s="1"/>
  <c r="AI1318" i="3"/>
  <c r="AD1318" i="3" s="1"/>
  <c r="AI1578" i="3"/>
  <c r="AD1578" i="3" s="1"/>
  <c r="AI1620" i="3"/>
  <c r="AD1620" i="3" s="1"/>
  <c r="AK561" i="3"/>
  <c r="AB561" i="3" s="1"/>
  <c r="AI597" i="3"/>
  <c r="AD597" i="3" s="1"/>
  <c r="AE597" i="3" s="1"/>
  <c r="AF968" i="3"/>
  <c r="AK1131" i="3"/>
  <c r="AB1131" i="3" s="1"/>
  <c r="AK1965" i="3"/>
  <c r="AB1965" i="3" s="1"/>
  <c r="AF2056" i="3"/>
  <c r="AI1689" i="3"/>
  <c r="AD1689" i="3" s="1"/>
  <c r="AF1535" i="3"/>
  <c r="AK147" i="3"/>
  <c r="AB147" i="3" s="1"/>
  <c r="AF1123" i="3"/>
  <c r="U436" i="4"/>
  <c r="U901" i="4"/>
  <c r="U582" i="4"/>
  <c r="U172" i="4"/>
  <c r="U101" i="4"/>
  <c r="U91" i="4"/>
  <c r="U906" i="4"/>
  <c r="U740" i="4"/>
  <c r="U472" i="4"/>
  <c r="U303" i="4"/>
  <c r="U856" i="4"/>
  <c r="U894" i="4"/>
  <c r="U466" i="4"/>
  <c r="U546" i="4"/>
  <c r="AI1127" i="3"/>
  <c r="AD1127" i="3" s="1"/>
  <c r="AI1945" i="3"/>
  <c r="AD1945" i="3" s="1"/>
  <c r="AF837" i="3"/>
  <c r="AI653" i="3"/>
  <c r="AD653" i="3" s="1"/>
  <c r="U488" i="4"/>
  <c r="U58" i="4"/>
  <c r="U129" i="4"/>
  <c r="U490" i="4"/>
  <c r="U40" i="4"/>
  <c r="U625" i="4"/>
  <c r="U564" i="4"/>
  <c r="U872" i="4"/>
  <c r="U765" i="4"/>
  <c r="U789" i="4"/>
  <c r="U579" i="4"/>
  <c r="U532" i="4"/>
  <c r="U500" i="4"/>
  <c r="U716" i="4"/>
  <c r="U859" i="4"/>
  <c r="AI626" i="3"/>
  <c r="AD626" i="3" s="1"/>
  <c r="AI1829" i="3"/>
  <c r="AD1829" i="3" s="1"/>
  <c r="AI1473" i="3"/>
  <c r="AD1473" i="3" s="1"/>
  <c r="AF1428" i="3"/>
  <c r="U709" i="4"/>
  <c r="U291" i="4"/>
  <c r="U655" i="4"/>
  <c r="U756" i="4"/>
  <c r="U837" i="4"/>
  <c r="U441" i="4"/>
  <c r="U879" i="4"/>
  <c r="U246" i="4"/>
  <c r="U617" i="4"/>
  <c r="U173" i="4"/>
  <c r="U912" i="4"/>
  <c r="U711" i="4"/>
  <c r="U785" i="4"/>
  <c r="AK617" i="3"/>
  <c r="AB617" i="3" s="1"/>
  <c r="AI1937" i="3"/>
  <c r="AD1937" i="3" s="1"/>
  <c r="AI1824" i="3"/>
  <c r="AD1824" i="3" s="1"/>
  <c r="AI1921" i="3"/>
  <c r="AD1921" i="3" s="1"/>
  <c r="U516" i="4"/>
  <c r="U43" i="4"/>
  <c r="U613" i="4"/>
  <c r="U19" i="4"/>
  <c r="U301" i="4"/>
  <c r="U589" i="4"/>
  <c r="U509" i="4"/>
  <c r="U420" i="4"/>
  <c r="U379" i="4"/>
  <c r="U506" i="4"/>
  <c r="U178" i="4"/>
  <c r="U151" i="4"/>
  <c r="U814" i="4"/>
  <c r="U67" i="4"/>
  <c r="U778" i="4"/>
  <c r="AF596" i="3"/>
  <c r="AF516" i="3"/>
  <c r="AF370" i="3"/>
  <c r="AF624" i="3"/>
  <c r="AF1695" i="3"/>
  <c r="AF1824" i="3"/>
  <c r="AF1580" i="3"/>
  <c r="AF1702" i="3"/>
  <c r="AF954" i="3"/>
  <c r="AF2011" i="3"/>
  <c r="AF1940" i="3"/>
  <c r="AF1927" i="3"/>
  <c r="T10" i="4"/>
  <c r="T288" i="4"/>
  <c r="T28" i="4"/>
  <c r="T765" i="4"/>
  <c r="T420" i="4"/>
  <c r="T295" i="4"/>
  <c r="T50" i="4"/>
  <c r="T550" i="4"/>
  <c r="T720" i="4"/>
  <c r="T755" i="4"/>
  <c r="T413" i="4"/>
  <c r="T758" i="4"/>
  <c r="T838" i="4"/>
  <c r="T916" i="4"/>
  <c r="AF638" i="3"/>
  <c r="AF151" i="3"/>
  <c r="AF559" i="3"/>
  <c r="AF743" i="3"/>
  <c r="AF1605" i="3"/>
  <c r="AF1668" i="3"/>
  <c r="AF1627" i="3"/>
  <c r="AF832" i="3"/>
  <c r="AF1704" i="3"/>
  <c r="AF2096" i="3"/>
  <c r="AF1953" i="3"/>
  <c r="AF2018" i="3"/>
  <c r="T189" i="4"/>
  <c r="T710" i="4"/>
  <c r="T221" i="4"/>
  <c r="T39" i="4"/>
  <c r="T562" i="4"/>
  <c r="T403" i="4"/>
  <c r="T67" i="4"/>
  <c r="T596" i="4"/>
  <c r="T399" i="4"/>
  <c r="T773" i="4"/>
  <c r="T537" i="4"/>
  <c r="T837" i="4"/>
  <c r="T669" i="4"/>
  <c r="T894" i="4"/>
  <c r="AF317" i="3"/>
  <c r="AF1284" i="3"/>
  <c r="AF577" i="3"/>
  <c r="AF526" i="3"/>
  <c r="AF2162" i="3"/>
  <c r="AF1583" i="3"/>
  <c r="AF1663" i="3"/>
  <c r="AF1888" i="3"/>
  <c r="AF1316" i="3"/>
  <c r="AF1790" i="3"/>
  <c r="AF1952" i="3"/>
  <c r="AF1932" i="3"/>
  <c r="T446" i="4"/>
  <c r="T19" i="4"/>
  <c r="T324" i="4"/>
  <c r="T99" i="4"/>
  <c r="T641" i="4"/>
  <c r="T532" i="4"/>
  <c r="T80" i="4"/>
  <c r="T798" i="4"/>
  <c r="T512" i="4"/>
  <c r="T243" i="4"/>
  <c r="T595" i="4"/>
  <c r="T719" i="4"/>
  <c r="T763" i="4"/>
  <c r="T868" i="4"/>
  <c r="AF160" i="3"/>
  <c r="AF741" i="3"/>
  <c r="AF1033" i="3"/>
  <c r="AF562" i="3"/>
  <c r="AF1961" i="3"/>
  <c r="AF1575" i="3"/>
  <c r="AF1669" i="3"/>
  <c r="AF1613" i="3"/>
  <c r="AF1880" i="3"/>
  <c r="AF2159" i="3"/>
  <c r="AF662" i="3"/>
  <c r="AF1982" i="3"/>
  <c r="T635" i="4"/>
  <c r="T21" i="4"/>
  <c r="T342" i="4"/>
  <c r="T107" i="4"/>
  <c r="T747" i="4"/>
  <c r="T558" i="4"/>
  <c r="T85" i="4"/>
  <c r="T430" i="4"/>
  <c r="T513" i="4"/>
  <c r="T249" i="4"/>
  <c r="T639" i="4"/>
  <c r="T741" i="4"/>
  <c r="T776" i="4"/>
  <c r="T873" i="4"/>
  <c r="AK258" i="3"/>
  <c r="AB258" i="3" s="1"/>
  <c r="AK475" i="3"/>
  <c r="AB475" i="3" s="1"/>
  <c r="AK391" i="3"/>
  <c r="AB391" i="3" s="1"/>
  <c r="AI2205" i="3"/>
  <c r="AD2205" i="3" s="1"/>
  <c r="AI2024" i="3"/>
  <c r="AD2024" i="3" s="1"/>
  <c r="AI1812" i="3"/>
  <c r="AD1812" i="3" s="1"/>
  <c r="AI564" i="3"/>
  <c r="AD564" i="3" s="1"/>
  <c r="AK2036" i="3"/>
  <c r="AB2036" i="3" s="1"/>
  <c r="AK1568" i="3"/>
  <c r="AB1568" i="3" s="1"/>
  <c r="AF1242" i="3"/>
  <c r="AK1688" i="3"/>
  <c r="AB1688" i="3" s="1"/>
  <c r="AK523" i="3"/>
  <c r="AB523" i="3" s="1"/>
  <c r="AI385" i="3"/>
  <c r="AD385" i="3" s="1"/>
  <c r="AI1586" i="3"/>
  <c r="AD1586" i="3" s="1"/>
  <c r="AI577" i="3"/>
  <c r="AD577" i="3" s="1"/>
  <c r="AK2058" i="3"/>
  <c r="AB2058" i="3" s="1"/>
  <c r="AI101" i="3"/>
  <c r="AD101" i="3" s="1"/>
  <c r="AF1451" i="3"/>
  <c r="AF835" i="3"/>
  <c r="AI1650" i="3"/>
  <c r="AD1650" i="3" s="1"/>
  <c r="AF83" i="3"/>
  <c r="AI532" i="3"/>
  <c r="AD532" i="3" s="1"/>
  <c r="AK665" i="3"/>
  <c r="AB665" i="3" s="1"/>
  <c r="AF725" i="3"/>
  <c r="AK1779" i="3"/>
  <c r="AB1779" i="3" s="1"/>
  <c r="AI1542" i="3"/>
  <c r="AD1542" i="3" s="1"/>
  <c r="AK2067" i="3"/>
  <c r="AB2067" i="3" s="1"/>
  <c r="AF759" i="3"/>
  <c r="AK1576" i="3"/>
  <c r="AB1576" i="3" s="1"/>
  <c r="AI1975" i="3"/>
  <c r="AD1975" i="3" s="1"/>
  <c r="AF1143" i="3"/>
  <c r="AI1981" i="3"/>
  <c r="AD1981" i="3" s="1"/>
  <c r="AI540" i="3"/>
  <c r="AD540" i="3" s="1"/>
  <c r="AK2247" i="3"/>
  <c r="AB2247" i="3" s="1"/>
  <c r="AK558" i="3"/>
  <c r="AB558" i="3" s="1"/>
  <c r="AK645" i="3"/>
  <c r="AB645" i="3" s="1"/>
  <c r="AF113" i="3"/>
  <c r="AK556" i="3"/>
  <c r="AB556" i="3" s="1"/>
  <c r="AI517" i="3"/>
  <c r="AD517" i="3" s="1"/>
  <c r="AF1793" i="3"/>
  <c r="AK578" i="3"/>
  <c r="AB578" i="3" s="1"/>
  <c r="AK1597" i="3"/>
  <c r="AB1597" i="3" s="1"/>
  <c r="AI162" i="3"/>
  <c r="AD162" i="3" s="1"/>
  <c r="AF836" i="3"/>
  <c r="AI792" i="3"/>
  <c r="AD792" i="3" s="1"/>
  <c r="AI332" i="3"/>
  <c r="AD332" i="3" s="1"/>
  <c r="AF1069" i="3"/>
  <c r="AI1718" i="3"/>
  <c r="AD1718" i="3" s="1"/>
  <c r="AK157" i="3"/>
  <c r="AB157" i="3" s="1"/>
  <c r="AK1716" i="3"/>
  <c r="AB1716" i="3" s="1"/>
  <c r="AI217" i="3"/>
  <c r="AD217" i="3" s="1"/>
  <c r="AF1083" i="3"/>
  <c r="AF1273" i="3"/>
  <c r="AK1785" i="3"/>
  <c r="AB1785" i="3" s="1"/>
  <c r="AK462" i="3"/>
  <c r="AB462" i="3" s="1"/>
  <c r="AK902" i="3"/>
  <c r="AB902" i="3" s="1"/>
  <c r="AK472" i="3"/>
  <c r="AB472" i="3" s="1"/>
  <c r="AK1831" i="3"/>
  <c r="AB1831" i="3" s="1"/>
  <c r="AK868" i="3"/>
  <c r="AB868" i="3" s="1"/>
  <c r="AF721" i="3"/>
  <c r="AK1940" i="3"/>
  <c r="AB1940" i="3" s="1"/>
  <c r="AK1653" i="3"/>
  <c r="AB1653" i="3" s="1"/>
  <c r="AK2077" i="3"/>
  <c r="AB2077" i="3" s="1"/>
  <c r="AF815" i="3"/>
  <c r="AK557" i="3"/>
  <c r="AB557" i="3" s="1"/>
  <c r="AI586" i="3"/>
  <c r="AD586" i="3" s="1"/>
  <c r="AK2074" i="3"/>
  <c r="AB2074" i="3" s="1"/>
  <c r="AF1429" i="3"/>
  <c r="AI1906" i="3"/>
  <c r="AD1906" i="3" s="1"/>
  <c r="AK1881" i="3"/>
  <c r="AB1881" i="3" s="1"/>
  <c r="AF1502" i="3"/>
  <c r="AK958" i="3"/>
  <c r="AB958" i="3" s="1"/>
  <c r="AF1519" i="3"/>
  <c r="AI563" i="3"/>
  <c r="AD563" i="3" s="1"/>
  <c r="AI149" i="3"/>
  <c r="AD149" i="3" s="1"/>
  <c r="AK1280" i="3"/>
  <c r="AB1280" i="3" s="1"/>
  <c r="AF771" i="3"/>
  <c r="AI1953" i="3"/>
  <c r="AD1953" i="3" s="1"/>
  <c r="AI462" i="3"/>
  <c r="AD462" i="3" s="1"/>
  <c r="AI467" i="3"/>
  <c r="AD467" i="3" s="1"/>
  <c r="AF1515" i="3"/>
  <c r="AK604" i="3"/>
  <c r="AB604" i="3" s="1"/>
  <c r="AI189" i="3"/>
  <c r="AD189" i="3" s="1"/>
  <c r="U304" i="4"/>
  <c r="U786" i="4"/>
  <c r="U686" i="4"/>
  <c r="U248" i="4"/>
  <c r="U677" i="4"/>
  <c r="U428" i="4"/>
  <c r="U171" i="4"/>
  <c r="U737" i="4"/>
  <c r="U523" i="4"/>
  <c r="U192" i="4"/>
  <c r="U268" i="4"/>
  <c r="U797" i="4"/>
  <c r="U391" i="4"/>
  <c r="U156" i="4"/>
  <c r="AI591" i="3"/>
  <c r="AD591" i="3" s="1"/>
  <c r="AK791" i="3"/>
  <c r="AB791" i="3" s="1"/>
  <c r="AF2070" i="3"/>
  <c r="AI567" i="3"/>
  <c r="AD567" i="3" s="1"/>
  <c r="U327" i="4"/>
  <c r="U142" i="4"/>
  <c r="U264" i="4"/>
  <c r="U370" i="4"/>
  <c r="U368" i="4"/>
  <c r="U445" i="4"/>
  <c r="U99" i="4"/>
  <c r="U842" i="4"/>
  <c r="U620" i="4"/>
  <c r="U832" i="4"/>
  <c r="U415" i="4"/>
  <c r="U839" i="4"/>
  <c r="U536" i="4"/>
  <c r="U698" i="4"/>
  <c r="U675" i="4"/>
  <c r="AI1802" i="3"/>
  <c r="AD1802" i="3" s="1"/>
  <c r="AI1703" i="3"/>
  <c r="AD1703" i="3" s="1"/>
  <c r="AK555" i="3"/>
  <c r="AB555" i="3" s="1"/>
  <c r="AK2190" i="3"/>
  <c r="AB2190" i="3" s="1"/>
  <c r="U376" i="4"/>
  <c r="U525" i="4"/>
  <c r="U595" i="4"/>
  <c r="U524" i="4"/>
  <c r="U591" i="4"/>
  <c r="U518" i="4"/>
  <c r="U338" i="4"/>
  <c r="U497" i="4"/>
  <c r="U458" i="4"/>
  <c r="U259" i="4"/>
  <c r="U900" i="4"/>
  <c r="U397" i="4"/>
  <c r="U213" i="4"/>
  <c r="AF1478" i="3"/>
  <c r="AF1183" i="3"/>
  <c r="AI119" i="3"/>
  <c r="AD119" i="3" s="1"/>
  <c r="AI1834" i="3"/>
  <c r="AD1834" i="3" s="1"/>
  <c r="U478" i="4"/>
  <c r="U362" i="4"/>
  <c r="U459" i="4"/>
  <c r="U2" i="4"/>
  <c r="U733" i="4"/>
  <c r="U399" i="4"/>
  <c r="U130" i="4"/>
  <c r="U866" i="4"/>
  <c r="U572" i="4"/>
  <c r="U822" i="4"/>
  <c r="U505" i="4"/>
  <c r="U457" i="4"/>
  <c r="U437" i="4"/>
  <c r="U70" i="4"/>
  <c r="U634" i="4"/>
  <c r="AF623" i="3"/>
  <c r="AF528" i="3"/>
  <c r="AF469" i="3"/>
  <c r="AF736" i="3"/>
  <c r="AF1622" i="3"/>
  <c r="AF1691" i="3"/>
  <c r="AF1614" i="3"/>
  <c r="AF855" i="3"/>
  <c r="AF862" i="3"/>
  <c r="AF258" i="3"/>
  <c r="AF1950" i="3"/>
  <c r="AF251" i="3"/>
  <c r="T165" i="4"/>
  <c r="T673" i="4"/>
  <c r="T217" i="4"/>
  <c r="T11" i="4"/>
  <c r="T551" i="4"/>
  <c r="T388" i="4"/>
  <c r="T62" i="4"/>
  <c r="T573" i="4"/>
  <c r="T865" i="4"/>
  <c r="T854" i="4"/>
  <c r="T460" i="4"/>
  <c r="T914" i="4"/>
  <c r="T663" i="4"/>
  <c r="T885" i="4"/>
  <c r="AF159" i="3"/>
  <c r="AF773" i="3"/>
  <c r="AF158" i="3"/>
  <c r="AF363" i="3"/>
  <c r="AF1981" i="3"/>
  <c r="AF1602" i="3"/>
  <c r="AF1656" i="3"/>
  <c r="AF1723" i="3"/>
  <c r="AF335" i="3"/>
  <c r="AF2250" i="3"/>
  <c r="AF1944" i="3"/>
  <c r="AF102" i="3"/>
  <c r="T368" i="4"/>
  <c r="T15" i="4"/>
  <c r="T300" i="4"/>
  <c r="T93" i="4"/>
  <c r="T640" i="4"/>
  <c r="T521" i="4"/>
  <c r="T79" i="4"/>
  <c r="T736" i="4"/>
  <c r="T473" i="4"/>
  <c r="T237" i="4"/>
  <c r="T591" i="4"/>
  <c r="T711" i="4"/>
  <c r="T735" i="4"/>
  <c r="T867" i="4"/>
  <c r="AF527" i="3"/>
  <c r="AF646" i="3"/>
  <c r="AF810" i="3"/>
  <c r="AF1331" i="3"/>
  <c r="AF1894" i="3"/>
  <c r="AF952" i="3"/>
  <c r="AF1689" i="3"/>
  <c r="AF478" i="3"/>
  <c r="AF860" i="3"/>
  <c r="AF1918" i="3"/>
  <c r="AF1957" i="3"/>
  <c r="AF2084" i="3"/>
  <c r="T220" i="4"/>
  <c r="T234" i="4"/>
  <c r="T194" i="4"/>
  <c r="T153" i="4"/>
  <c r="T242" i="4"/>
  <c r="T670" i="4"/>
  <c r="T92" i="4"/>
  <c r="T476" i="4"/>
  <c r="T539" i="4"/>
  <c r="T262" i="4"/>
  <c r="T748" i="4"/>
  <c r="T831" i="4"/>
  <c r="T809" i="4"/>
  <c r="T880" i="4"/>
  <c r="AF533" i="3"/>
  <c r="AF619" i="3"/>
  <c r="AF1129" i="3"/>
  <c r="AF311" i="3"/>
  <c r="AF227" i="3"/>
  <c r="AF1915" i="3"/>
  <c r="AF1698" i="3"/>
  <c r="AF1911" i="3"/>
  <c r="AF902" i="3"/>
  <c r="AF1791" i="3"/>
  <c r="AF2114" i="3"/>
  <c r="AF1780" i="3"/>
  <c r="T241" i="4"/>
  <c r="T269" i="4"/>
  <c r="T199" i="4"/>
  <c r="T161" i="4"/>
  <c r="T263" i="4"/>
  <c r="T690" i="4"/>
  <c r="T97" i="4"/>
  <c r="T481" i="4"/>
  <c r="T565" i="4"/>
  <c r="T534" i="4"/>
  <c r="T761" i="4"/>
  <c r="T835" i="4"/>
  <c r="T840" i="4"/>
  <c r="T889" i="4"/>
  <c r="AK814" i="3"/>
  <c r="AB814" i="3" s="1"/>
  <c r="AF1086" i="3"/>
  <c r="AK1638" i="3"/>
  <c r="AB1638" i="3" s="1"/>
  <c r="AK1736" i="3"/>
  <c r="AB1736" i="3" s="1"/>
  <c r="AI551" i="3"/>
  <c r="AD551" i="3" s="1"/>
  <c r="AK1683" i="3"/>
  <c r="AB1683" i="3" s="1"/>
  <c r="AK574" i="3"/>
  <c r="AB574" i="3" s="1"/>
  <c r="AF1971" i="3"/>
  <c r="AI1855" i="3"/>
  <c r="AD1855" i="3" s="1"/>
  <c r="AF1425" i="3"/>
  <c r="AK1635" i="3"/>
  <c r="AB1635" i="3" s="1"/>
  <c r="AI659" i="3"/>
  <c r="AD659" i="3" s="1"/>
  <c r="AI1917" i="3"/>
  <c r="AD1917" i="3" s="1"/>
  <c r="AK1715" i="3"/>
  <c r="AB1715" i="3" s="1"/>
  <c r="AI153" i="3"/>
  <c r="AD153" i="3" s="1"/>
  <c r="AI2092" i="3"/>
  <c r="AD2092" i="3" s="1"/>
  <c r="AF2278" i="3"/>
  <c r="AF1455" i="3"/>
  <c r="AK1851" i="3"/>
  <c r="AB1851" i="3" s="1"/>
  <c r="AK335" i="3"/>
  <c r="AB335" i="3" s="1"/>
  <c r="AK1647" i="3"/>
  <c r="AB1647" i="3" s="1"/>
  <c r="AI602" i="3"/>
  <c r="AD602" i="3" s="1"/>
  <c r="AK797" i="3"/>
  <c r="AB797" i="3" s="1"/>
  <c r="AI996" i="3"/>
  <c r="AD996" i="3" s="1"/>
  <c r="AF2163" i="3"/>
  <c r="AI2118" i="3"/>
  <c r="AD2118" i="3" s="1"/>
  <c r="AI110" i="3"/>
  <c r="AD110" i="3" s="1"/>
  <c r="AK302" i="3"/>
  <c r="AB302" i="3" s="1"/>
  <c r="AF1100" i="3"/>
  <c r="AF1395" i="3"/>
  <c r="AF1141" i="3"/>
  <c r="AK1641" i="3"/>
  <c r="AB1641" i="3" s="1"/>
  <c r="AF49" i="3"/>
  <c r="AI274" i="3"/>
  <c r="AD274" i="3" s="1"/>
  <c r="AI514" i="3"/>
  <c r="AD514" i="3" s="1"/>
  <c r="AK612" i="3"/>
  <c r="AB612" i="3" s="1"/>
  <c r="AK2062" i="3"/>
  <c r="AB2062" i="3" s="1"/>
  <c r="AK1033" i="3"/>
  <c r="AB1033" i="3" s="1"/>
  <c r="AK2018" i="3"/>
  <c r="AB2018" i="3" s="1"/>
  <c r="AF816" i="3"/>
  <c r="AK151" i="3"/>
  <c r="AB151" i="3" s="1"/>
  <c r="AK550" i="3"/>
  <c r="AB550" i="3" s="1"/>
  <c r="AK751" i="3"/>
  <c r="AB751" i="3" s="1"/>
  <c r="AI1851" i="3"/>
  <c r="AD1851" i="3" s="1"/>
  <c r="AK649" i="3"/>
  <c r="AB649" i="3" s="1"/>
  <c r="AI300" i="3"/>
  <c r="AD300" i="3" s="1"/>
  <c r="AK312" i="3"/>
  <c r="AB312" i="3" s="1"/>
  <c r="AK1658" i="3"/>
  <c r="AB1658" i="3" s="1"/>
  <c r="AI136" i="3"/>
  <c r="AD136" i="3" s="1"/>
  <c r="AF1468" i="3"/>
  <c r="AI833" i="3"/>
  <c r="AD833" i="3" s="1"/>
  <c r="AF1085" i="3"/>
  <c r="AK334" i="3"/>
  <c r="AB334" i="3" s="1"/>
  <c r="AK2112" i="3"/>
  <c r="AB2112" i="3" s="1"/>
  <c r="AK1675" i="3"/>
  <c r="AB1675" i="3" s="1"/>
  <c r="AI1704" i="3"/>
  <c r="AD1704" i="3" s="1"/>
  <c r="AI572" i="3"/>
  <c r="AD572" i="3" s="1"/>
  <c r="AK1780" i="3"/>
  <c r="AB1780" i="3" s="1"/>
  <c r="AK242" i="3"/>
  <c r="AB242" i="3" s="1"/>
  <c r="AK601" i="3"/>
  <c r="AB601" i="3" s="1"/>
  <c r="AK790" i="3"/>
  <c r="AB790" i="3" s="1"/>
  <c r="AK226" i="3"/>
  <c r="AB226" i="3" s="1"/>
  <c r="AF722" i="3"/>
  <c r="AK2069" i="3"/>
  <c r="AB2069" i="3" s="1"/>
  <c r="AI2057" i="3"/>
  <c r="AD2057" i="3" s="1"/>
  <c r="AI251" i="3"/>
  <c r="AD251" i="3" s="1"/>
  <c r="AK390" i="3"/>
  <c r="AB390" i="3" s="1"/>
  <c r="AK552" i="3"/>
  <c r="AB552" i="3" s="1"/>
  <c r="AK1323" i="3"/>
  <c r="AB1323" i="3" s="1"/>
  <c r="AK2210" i="3"/>
  <c r="AB2210" i="3" s="1"/>
  <c r="AI735" i="3"/>
  <c r="AD735" i="3" s="1"/>
  <c r="AI1685" i="3"/>
  <c r="AD1685" i="3" s="1"/>
  <c r="AI992" i="3"/>
  <c r="AD992" i="3" s="1"/>
  <c r="AK642" i="3"/>
  <c r="AB642" i="3" s="1"/>
  <c r="AF1543" i="3"/>
  <c r="AK1661" i="3"/>
  <c r="AB1661" i="3" s="1"/>
  <c r="AK737" i="3"/>
  <c r="AB737" i="3" s="1"/>
  <c r="AK777" i="3"/>
  <c r="AB777" i="3" s="1"/>
  <c r="AI1675" i="3"/>
  <c r="AD1675" i="3" s="1"/>
  <c r="AI520" i="3"/>
  <c r="AD520" i="3" s="1"/>
  <c r="AK1723" i="3"/>
  <c r="AB1723" i="3" s="1"/>
  <c r="AK1129" i="3"/>
  <c r="AB1129" i="3" s="1"/>
  <c r="AI553" i="3"/>
  <c r="AD553" i="3" s="1"/>
  <c r="U260" i="4"/>
  <c r="U826" i="4"/>
  <c r="U389" i="4"/>
  <c r="U34" i="4"/>
  <c r="U752" i="4"/>
  <c r="U844" i="4"/>
  <c r="U359" i="4"/>
  <c r="U587" i="4"/>
  <c r="U450" i="4"/>
  <c r="U120" i="4"/>
  <c r="U584" i="4"/>
  <c r="U735" i="4"/>
  <c r="U520" i="4"/>
  <c r="U773" i="4"/>
  <c r="AI584" i="3"/>
  <c r="AD584" i="3" s="1"/>
  <c r="AF1189" i="3"/>
  <c r="AK1678" i="3"/>
  <c r="AB1678" i="3" s="1"/>
  <c r="AI656" i="3"/>
  <c r="AD656" i="3" s="1"/>
  <c r="U144" i="4"/>
  <c r="U155" i="4"/>
  <c r="U713" i="4"/>
  <c r="U495" i="4"/>
  <c r="U30" i="4"/>
  <c r="U736" i="4"/>
  <c r="U745" i="4"/>
  <c r="U863" i="4"/>
  <c r="U418" i="4"/>
  <c r="U824" i="4"/>
  <c r="U319" i="4"/>
  <c r="U851" i="4"/>
  <c r="U662" i="4"/>
  <c r="U787" i="4"/>
  <c r="U790" i="4"/>
  <c r="AI1668" i="3"/>
  <c r="AD1668" i="3" s="1"/>
  <c r="AF1537" i="3"/>
  <c r="AK538" i="3"/>
  <c r="AB538" i="3" s="1"/>
  <c r="AI1671" i="3"/>
  <c r="AD1671" i="3" s="1"/>
  <c r="U533" i="4"/>
  <c r="U331" i="4"/>
  <c r="U92" i="4"/>
  <c r="U586" i="4"/>
  <c r="U766" i="4"/>
  <c r="U537" i="4"/>
  <c r="U29" i="4"/>
  <c r="U177" i="4"/>
  <c r="U540" i="4"/>
  <c r="U14" i="4"/>
  <c r="U763" i="4"/>
  <c r="U548" i="4"/>
  <c r="U400" i="4"/>
  <c r="AK148" i="3"/>
  <c r="AB148" i="3" s="1"/>
  <c r="AI1790" i="3"/>
  <c r="AD1790" i="3" s="1"/>
  <c r="AK1717" i="3"/>
  <c r="AB1717" i="3" s="1"/>
  <c r="AI1601" i="3"/>
  <c r="AD1601" i="3" s="1"/>
  <c r="U614" i="4"/>
  <c r="U285" i="4"/>
  <c r="U407" i="4"/>
  <c r="U831" i="4"/>
  <c r="U37" i="4"/>
  <c r="U292" i="4"/>
  <c r="U336" i="4"/>
  <c r="U884" i="4"/>
  <c r="U422" i="4"/>
  <c r="U571" i="4"/>
  <c r="U199" i="4"/>
  <c r="U318" i="4"/>
  <c r="U324" i="4"/>
  <c r="U447" i="4"/>
  <c r="U423" i="4"/>
  <c r="AF656" i="3"/>
  <c r="AF137" i="3"/>
  <c r="AF1470" i="3"/>
  <c r="AF807" i="3"/>
  <c r="AF2076" i="3"/>
  <c r="AF1618" i="3"/>
  <c r="AF1649" i="3"/>
  <c r="AF391" i="3"/>
  <c r="AF833" i="3"/>
  <c r="AF1777" i="3"/>
  <c r="AF1938" i="3"/>
  <c r="AF2055" i="3"/>
  <c r="T320" i="4"/>
  <c r="T497" i="4"/>
  <c r="T294" i="4"/>
  <c r="T82" i="4"/>
  <c r="T611" i="4"/>
  <c r="T485" i="4"/>
  <c r="T74" i="4"/>
  <c r="T684" i="4"/>
  <c r="T454" i="4"/>
  <c r="T231" i="4"/>
  <c r="T587" i="4"/>
  <c r="T668" i="4"/>
  <c r="T687" i="4"/>
  <c r="T866" i="4"/>
  <c r="AF521" i="3"/>
  <c r="AF366" i="3"/>
  <c r="AF524" i="3"/>
  <c r="AF195" i="3"/>
  <c r="AF1825" i="3"/>
  <c r="AF390" i="3"/>
  <c r="AF1683" i="3"/>
  <c r="AF858" i="3"/>
  <c r="AF1635" i="3"/>
  <c r="AF2265" i="3"/>
  <c r="AF789" i="3"/>
  <c r="AF2052" i="3"/>
  <c r="T100" i="4"/>
  <c r="T123" i="4"/>
  <c r="T559" i="4"/>
  <c r="T147" i="4"/>
  <c r="T213" i="4"/>
  <c r="T650" i="4"/>
  <c r="T91" i="4"/>
  <c r="T466" i="4"/>
  <c r="T528" i="4"/>
  <c r="T256" i="4"/>
  <c r="T787" i="4"/>
  <c r="T777" i="4"/>
  <c r="T808" i="4"/>
  <c r="T879" i="4"/>
  <c r="AF560" i="3"/>
  <c r="AF570" i="3"/>
  <c r="AF136" i="3"/>
  <c r="AF1473" i="3"/>
  <c r="AF1693" i="3"/>
  <c r="AF1733" i="3"/>
  <c r="AF1721" i="3"/>
  <c r="AF2247" i="3"/>
  <c r="AF1045" i="3"/>
  <c r="AF1966" i="3"/>
  <c r="AF2118" i="3"/>
  <c r="T34" i="4"/>
  <c r="T751" i="4"/>
  <c r="T404" i="4"/>
  <c r="T228" i="4"/>
  <c r="T210" i="4"/>
  <c r="T343" i="4"/>
  <c r="T4" i="4"/>
  <c r="T104" i="4"/>
  <c r="T527" i="4"/>
  <c r="T629" i="4"/>
  <c r="T543" i="4"/>
  <c r="T908" i="4"/>
  <c r="T667" i="4"/>
  <c r="T859" i="4"/>
  <c r="T830" i="4"/>
  <c r="AF567" i="3"/>
  <c r="AF535" i="3"/>
  <c r="AF592" i="3"/>
  <c r="AF787" i="3"/>
  <c r="AF1678" i="3"/>
  <c r="AF1716" i="3"/>
  <c r="AF1730" i="3"/>
  <c r="AF1820" i="3"/>
  <c r="AF1566" i="3"/>
  <c r="AF2161" i="3"/>
  <c r="AF2116" i="3"/>
  <c r="T155" i="4"/>
  <c r="T16" i="4"/>
  <c r="T415" i="4"/>
  <c r="T235" i="4"/>
  <c r="T236" i="4"/>
  <c r="T374" i="4"/>
  <c r="T23" i="4"/>
  <c r="T109" i="4"/>
  <c r="T540" i="4"/>
  <c r="T631" i="4"/>
  <c r="T577" i="4"/>
  <c r="T660" i="4"/>
  <c r="T693" i="4"/>
  <c r="T897" i="4"/>
  <c r="T836" i="4"/>
  <c r="AF1509" i="3"/>
  <c r="AF1483" i="3"/>
  <c r="AI376" i="3"/>
  <c r="AD376" i="3" s="1"/>
  <c r="AI1673" i="3"/>
  <c r="AD1673" i="3" s="1"/>
  <c r="AI1872" i="3"/>
  <c r="AD1872" i="3" s="1"/>
  <c r="AI821" i="3"/>
  <c r="AD821" i="3" s="1"/>
  <c r="AK607" i="3"/>
  <c r="AB607" i="3" s="1"/>
  <c r="AI789" i="3"/>
  <c r="AD789" i="3" s="1"/>
  <c r="AK341" i="3"/>
  <c r="AB341" i="3" s="1"/>
  <c r="AI1547" i="3"/>
  <c r="AD1547" i="3" s="1"/>
  <c r="AF2004" i="3"/>
  <c r="AI282" i="3"/>
  <c r="AD282" i="3" s="1"/>
  <c r="AI2018" i="3"/>
  <c r="AD2018" i="3" s="1"/>
  <c r="AF1792" i="3"/>
  <c r="AI1006" i="3"/>
  <c r="AD1006" i="3" s="1"/>
  <c r="AI2267" i="3"/>
  <c r="AD2267" i="3" s="1"/>
  <c r="AI1738" i="3"/>
  <c r="AD1738" i="3" s="1"/>
  <c r="AE1738" i="3" s="1"/>
  <c r="AK571" i="3"/>
  <c r="AB571" i="3" s="1"/>
  <c r="AI867" i="3"/>
  <c r="AD867" i="3" s="1"/>
  <c r="AK76" i="3"/>
  <c r="AB76" i="3" s="1"/>
  <c r="AI1825" i="3"/>
  <c r="AD1825" i="3" s="1"/>
  <c r="AI112" i="3"/>
  <c r="AD112" i="3" s="1"/>
  <c r="AK2265" i="3"/>
  <c r="AB2265" i="3" s="1"/>
  <c r="AK526" i="3"/>
  <c r="AB526" i="3" s="1"/>
  <c r="AK1596" i="3"/>
  <c r="AB1596" i="3" s="1"/>
  <c r="AK1959" i="3"/>
  <c r="AB1959" i="3" s="1"/>
  <c r="AI1684" i="3"/>
  <c r="AD1684" i="3" s="1"/>
  <c r="AI317" i="3"/>
  <c r="AD317" i="3" s="1"/>
  <c r="AF190" i="3"/>
  <c r="AI1589" i="3"/>
  <c r="AD1589" i="3" s="1"/>
  <c r="AI1629" i="3"/>
  <c r="AD1629" i="3" s="1"/>
  <c r="AI306" i="3"/>
  <c r="AD306" i="3" s="1"/>
  <c r="AI244" i="3"/>
  <c r="AD244" i="3" s="1"/>
  <c r="AF2064" i="3"/>
  <c r="AI569" i="3"/>
  <c r="AD569" i="3" s="1"/>
  <c r="AK2072" i="3"/>
  <c r="AB2072" i="3" s="1"/>
  <c r="AF924" i="3"/>
  <c r="AI618" i="3"/>
  <c r="AD618" i="3" s="1"/>
  <c r="AK2158" i="3"/>
  <c r="AB2158" i="3" s="1"/>
  <c r="AI2069" i="3"/>
  <c r="AD2069" i="3" s="1"/>
  <c r="AK530" i="3"/>
  <c r="AB530" i="3" s="1"/>
  <c r="AK1659" i="3"/>
  <c r="AB1659" i="3" s="1"/>
  <c r="AK750" i="3"/>
  <c r="AB750" i="3" s="1"/>
  <c r="AK867" i="3"/>
  <c r="AB867" i="3" s="1"/>
  <c r="AK747" i="3"/>
  <c r="AB747" i="3" s="1"/>
  <c r="AI1286" i="3"/>
  <c r="AD1286" i="3" s="1"/>
  <c r="AK2023" i="3"/>
  <c r="AB2023" i="3" s="1"/>
  <c r="AK1828" i="3"/>
  <c r="AB1828" i="3" s="1"/>
  <c r="AK746" i="3"/>
  <c r="AB746" i="3" s="1"/>
  <c r="AI559" i="3"/>
  <c r="AD559" i="3" s="1"/>
  <c r="AK1680" i="3"/>
  <c r="AB1680" i="3" s="1"/>
  <c r="AI127" i="3"/>
  <c r="AD127" i="3" s="1"/>
  <c r="AI568" i="3"/>
  <c r="AD568" i="3" s="1"/>
  <c r="AK1949" i="3"/>
  <c r="AB1949" i="3" s="1"/>
  <c r="AI1583" i="3"/>
  <c r="AD1583" i="3" s="1"/>
  <c r="AK1713" i="3"/>
  <c r="AB1713" i="3" s="1"/>
  <c r="AI639" i="3"/>
  <c r="AD639" i="3" s="1"/>
  <c r="AF233" i="3"/>
  <c r="AK1639" i="3"/>
  <c r="AB1639" i="3" s="1"/>
  <c r="AK627" i="3"/>
  <c r="AB627" i="3" s="1"/>
  <c r="AK1966" i="3"/>
  <c r="AB1966" i="3" s="1"/>
  <c r="AI2013" i="3"/>
  <c r="AD2013" i="3" s="1"/>
  <c r="AK517" i="3"/>
  <c r="AB517" i="3" s="1"/>
  <c r="AF1557" i="3"/>
  <c r="AI983" i="3"/>
  <c r="AD983" i="3" s="1"/>
  <c r="AK2022" i="3"/>
  <c r="AB2022" i="3" s="1"/>
  <c r="AK1709" i="3"/>
  <c r="AB1709" i="3" s="1"/>
  <c r="AK661" i="3"/>
  <c r="AB661" i="3" s="1"/>
  <c r="AI331" i="3"/>
  <c r="AD331" i="3" s="1"/>
  <c r="AK1907" i="3"/>
  <c r="AB1907" i="3" s="1"/>
  <c r="AK2046" i="3"/>
  <c r="AB2046" i="3" s="1"/>
  <c r="AK1574" i="3"/>
  <c r="AB1574" i="3" s="1"/>
  <c r="AK511" i="3"/>
  <c r="AB511" i="3" s="1"/>
  <c r="AI579" i="3"/>
  <c r="AD579" i="3" s="1"/>
  <c r="AK1928" i="3"/>
  <c r="AB1928" i="3" s="1"/>
  <c r="AI1575" i="3"/>
  <c r="AD1575" i="3" s="1"/>
  <c r="AK366" i="3"/>
  <c r="AB366" i="3" s="1"/>
  <c r="AI2089" i="3"/>
  <c r="AD2089" i="3" s="1"/>
  <c r="AK1583" i="3"/>
  <c r="AB1583" i="3" s="1"/>
  <c r="AI125" i="3"/>
  <c r="AD125" i="3" s="1"/>
  <c r="AK239" i="3"/>
  <c r="AB239" i="3" s="1"/>
  <c r="AK525" i="3"/>
  <c r="AB525" i="3" s="1"/>
  <c r="AI1896" i="3"/>
  <c r="AD1896" i="3" s="1"/>
  <c r="U61" i="4"/>
  <c r="U95" i="4"/>
  <c r="U66" i="4"/>
  <c r="U632" i="4"/>
  <c r="U373" i="4"/>
  <c r="U633" i="4"/>
  <c r="U770" i="4"/>
  <c r="U621" i="4"/>
  <c r="U650" i="4"/>
  <c r="U442" i="4"/>
  <c r="U695" i="4"/>
  <c r="U724" i="4"/>
  <c r="U916" i="4"/>
  <c r="U282" i="4"/>
  <c r="AI138" i="3"/>
  <c r="AD138" i="3" s="1"/>
  <c r="AK262" i="3"/>
  <c r="AB262" i="3" s="1"/>
  <c r="AK213" i="3"/>
  <c r="AB213" i="3" s="1"/>
  <c r="AF1062" i="3"/>
  <c r="U841" i="4"/>
  <c r="U267" i="4"/>
  <c r="U59" i="4"/>
  <c r="U258" i="4"/>
  <c r="U182" i="4"/>
  <c r="U493" i="4"/>
  <c r="U357" i="4"/>
  <c r="U914" i="4"/>
  <c r="U63" i="4"/>
  <c r="U375" i="4"/>
  <c r="U635" i="4"/>
  <c r="U316" i="4"/>
  <c r="U57" i="4"/>
  <c r="U553" i="4"/>
  <c r="U870" i="4"/>
  <c r="AK610" i="3"/>
  <c r="AB610" i="3" s="1"/>
  <c r="AK111" i="3"/>
  <c r="AB111" i="3" s="1"/>
  <c r="AK1025" i="3"/>
  <c r="AB1025" i="3" s="1"/>
  <c r="AF1120" i="3"/>
  <c r="U133" i="4"/>
  <c r="U559" i="4"/>
  <c r="U348" i="4"/>
  <c r="U28" i="4"/>
  <c r="U601" i="4"/>
  <c r="U707" i="4"/>
  <c r="U117" i="4"/>
  <c r="U792" i="4"/>
  <c r="U157" i="4"/>
  <c r="U622" i="4"/>
  <c r="U815" i="4"/>
  <c r="U41" i="4"/>
  <c r="U860" i="4"/>
  <c r="AI660" i="3"/>
  <c r="AD660" i="3" s="1"/>
  <c r="AF851" i="3"/>
  <c r="AI2162" i="3"/>
  <c r="AD2162" i="3" s="1"/>
  <c r="AI1602" i="3"/>
  <c r="AD1602" i="3" s="1"/>
  <c r="U691" i="4"/>
  <c r="U231" i="4"/>
  <c r="U619" i="4"/>
  <c r="U732" i="4"/>
  <c r="U483" i="4"/>
  <c r="U55" i="4"/>
  <c r="U460" i="4"/>
  <c r="U833" i="4"/>
  <c r="U382" i="4"/>
  <c r="U454" i="4"/>
  <c r="U575" i="4"/>
  <c r="U551" i="4"/>
  <c r="U638" i="4"/>
  <c r="U594" i="4"/>
  <c r="U189" i="4"/>
  <c r="AF515" i="3"/>
  <c r="AF1460" i="3"/>
  <c r="AF558" i="3"/>
  <c r="AF1008" i="3"/>
  <c r="AF1914" i="3"/>
  <c r="AF1437" i="3"/>
  <c r="AF1676" i="3"/>
  <c r="AF1574" i="3"/>
  <c r="AF1818" i="3"/>
  <c r="AF2156" i="3"/>
  <c r="AF778" i="3"/>
  <c r="AF2058" i="3"/>
  <c r="T65" i="4"/>
  <c r="T111" i="4"/>
  <c r="T541" i="4"/>
  <c r="T136" i="4"/>
  <c r="T782" i="4"/>
  <c r="T586" i="4"/>
  <c r="T86" i="4"/>
  <c r="T434" i="4"/>
  <c r="T514" i="4"/>
  <c r="T250" i="4"/>
  <c r="T730" i="4"/>
  <c r="T770" i="4"/>
  <c r="T801" i="4"/>
  <c r="T874" i="4"/>
  <c r="AF554" i="3"/>
  <c r="AF578" i="3"/>
  <c r="AF1131" i="3"/>
  <c r="AF512" i="3"/>
  <c r="AF1711" i="3"/>
  <c r="AF242" i="3"/>
  <c r="AF1714" i="3"/>
  <c r="AF2016" i="3"/>
  <c r="AF742" i="3"/>
  <c r="AF1896" i="3"/>
  <c r="AF2112" i="3"/>
  <c r="T26" i="4"/>
  <c r="T615" i="4"/>
  <c r="T362" i="4"/>
  <c r="T226" i="4"/>
  <c r="T203" i="4"/>
  <c r="T307" i="4"/>
  <c r="T844" i="4"/>
  <c r="T103" i="4"/>
  <c r="T509" i="4"/>
  <c r="T589" i="4"/>
  <c r="T536" i="4"/>
  <c r="T861" i="4"/>
  <c r="T665" i="4"/>
  <c r="T851" i="4"/>
  <c r="T917" i="4"/>
  <c r="AF585" i="3"/>
  <c r="AF467" i="3"/>
  <c r="AF161" i="3"/>
  <c r="AF187" i="3"/>
  <c r="AF1620" i="3"/>
  <c r="AF1661" i="3"/>
  <c r="AF225" i="3"/>
  <c r="AF1696" i="3"/>
  <c r="AF1906" i="3"/>
  <c r="AF220" i="3"/>
  <c r="AF2230" i="3"/>
  <c r="T159" i="4"/>
  <c r="T259" i="4"/>
  <c r="T561" i="4"/>
  <c r="T305" i="4"/>
  <c r="T287" i="4"/>
  <c r="T452" i="4"/>
  <c r="T59" i="4"/>
  <c r="T116" i="4"/>
  <c r="T619" i="4"/>
  <c r="T726" i="4"/>
  <c r="T608" i="4"/>
  <c r="T686" i="4"/>
  <c r="T715" i="4"/>
  <c r="T804" i="4"/>
  <c r="T855" i="4"/>
  <c r="AF593" i="3"/>
  <c r="AF482" i="3"/>
  <c r="AF1458" i="3"/>
  <c r="AF749" i="3"/>
  <c r="AF1603" i="3"/>
  <c r="AF1646" i="3"/>
  <c r="AF228" i="3"/>
  <c r="AF1685" i="3"/>
  <c r="AF1688" i="3"/>
  <c r="AF2228" i="3"/>
  <c r="AF244" i="3"/>
  <c r="T264" i="4"/>
  <c r="T408" i="4"/>
  <c r="T3" i="4"/>
  <c r="T453" i="4"/>
  <c r="T290" i="4"/>
  <c r="T463" i="4"/>
  <c r="T77" i="4"/>
  <c r="T121" i="4"/>
  <c r="T661" i="4"/>
  <c r="T759" i="4"/>
  <c r="T617" i="4"/>
  <c r="T725" i="4"/>
  <c r="T743" i="4"/>
  <c r="T864" i="4"/>
  <c r="T869" i="4"/>
  <c r="V619" i="4" l="1"/>
  <c r="AL619" i="4"/>
  <c r="AJ1696" i="3"/>
  <c r="AL1696" i="3"/>
  <c r="V917" i="4"/>
  <c r="AL917" i="4"/>
  <c r="V844" i="4"/>
  <c r="AL844" i="4"/>
  <c r="AL578" i="3"/>
  <c r="AJ578" i="3"/>
  <c r="AC213" i="3"/>
  <c r="AE213" i="3"/>
  <c r="AJ1603" i="3"/>
  <c r="AL1603" i="3"/>
  <c r="V307" i="4"/>
  <c r="AL307" i="4"/>
  <c r="AJ742" i="3"/>
  <c r="AL742" i="3"/>
  <c r="AJ1711" i="3"/>
  <c r="AL1711" i="3"/>
  <c r="V730" i="4"/>
  <c r="AL730" i="4"/>
  <c r="AL86" i="4"/>
  <c r="V86" i="4"/>
  <c r="V541" i="4"/>
  <c r="AL541" i="4"/>
  <c r="AL1676" i="3"/>
  <c r="AJ1676" i="3"/>
  <c r="AE262" i="3"/>
  <c r="AC262" i="3"/>
  <c r="AC1583" i="3"/>
  <c r="AE1583" i="3"/>
  <c r="AE2046" i="3"/>
  <c r="AC2046" i="3"/>
  <c r="AE517" i="3"/>
  <c r="AC517" i="3"/>
  <c r="AC1680" i="3"/>
  <c r="AE1680" i="3"/>
  <c r="V631" i="4"/>
  <c r="AL631" i="4"/>
  <c r="V374" i="4"/>
  <c r="AL374" i="4"/>
  <c r="AJ1678" i="3"/>
  <c r="AL1678" i="3"/>
  <c r="AL908" i="4"/>
  <c r="V908" i="4"/>
  <c r="AL1721" i="3"/>
  <c r="AJ1721" i="3"/>
  <c r="AJ1635" i="3"/>
  <c r="AL1635" i="3"/>
  <c r="AL587" i="4"/>
  <c r="V587" i="4"/>
  <c r="AL661" i="4"/>
  <c r="V661" i="4"/>
  <c r="V290" i="4"/>
  <c r="AL290" i="4"/>
  <c r="V264" i="4"/>
  <c r="AL264" i="4"/>
  <c r="AJ1685" i="3"/>
  <c r="AL1685" i="3"/>
  <c r="V855" i="4"/>
  <c r="AL855" i="4"/>
  <c r="V608" i="4"/>
  <c r="AL608" i="4"/>
  <c r="V561" i="4"/>
  <c r="AL561" i="4"/>
  <c r="AL665" i="4"/>
  <c r="V665" i="4"/>
  <c r="V509" i="4"/>
  <c r="AL509" i="4"/>
  <c r="V203" i="4"/>
  <c r="AL203" i="4"/>
  <c r="AL26" i="4"/>
  <c r="V26" i="4"/>
  <c r="AL874" i="4"/>
  <c r="V874" i="4"/>
  <c r="V250" i="4"/>
  <c r="AL250" i="4"/>
  <c r="V586" i="4"/>
  <c r="AL586" i="4"/>
  <c r="AE111" i="3"/>
  <c r="AC111" i="3"/>
  <c r="AE525" i="3"/>
  <c r="AC525" i="3"/>
  <c r="AC1949" i="3"/>
  <c r="AE1949" i="3"/>
  <c r="AE1959" i="3"/>
  <c r="AC1959" i="3"/>
  <c r="AC571" i="3"/>
  <c r="AE571" i="3"/>
  <c r="V693" i="4"/>
  <c r="AL693" i="4"/>
  <c r="V540" i="4"/>
  <c r="AL540" i="4"/>
  <c r="AL236" i="4"/>
  <c r="V236" i="4"/>
  <c r="V155" i="4"/>
  <c r="AL155" i="4"/>
  <c r="AL787" i="3"/>
  <c r="AJ787" i="3"/>
  <c r="V830" i="4"/>
  <c r="AL830" i="4"/>
  <c r="V543" i="4"/>
  <c r="AL543" i="4"/>
  <c r="AL4" i="4"/>
  <c r="V4" i="4"/>
  <c r="V404" i="4"/>
  <c r="AL404" i="4"/>
  <c r="AJ570" i="3"/>
  <c r="AL570" i="3"/>
  <c r="V777" i="4"/>
  <c r="AL777" i="4"/>
  <c r="V466" i="4"/>
  <c r="AL466" i="4"/>
  <c r="V147" i="4"/>
  <c r="AL147" i="4"/>
  <c r="AL866" i="4"/>
  <c r="V866" i="4"/>
  <c r="AL231" i="4"/>
  <c r="V231" i="4"/>
  <c r="V485" i="4"/>
  <c r="AL485" i="4"/>
  <c r="AL497" i="4"/>
  <c r="V497" i="4"/>
  <c r="AC148" i="3"/>
  <c r="AE148" i="3"/>
  <c r="AC1129" i="3"/>
  <c r="AE1129" i="3"/>
  <c r="AC642" i="3"/>
  <c r="AE642" i="3"/>
  <c r="AC1780" i="3"/>
  <c r="AE1780" i="3"/>
  <c r="AC1033" i="3"/>
  <c r="AE1033" i="3"/>
  <c r="AJ646" i="3"/>
  <c r="AL646" i="3"/>
  <c r="V725" i="4"/>
  <c r="AL725" i="4"/>
  <c r="V121" i="4"/>
  <c r="AL121" i="4"/>
  <c r="AL453" i="4"/>
  <c r="V453" i="4"/>
  <c r="AL804" i="4"/>
  <c r="V804" i="4"/>
  <c r="AL726" i="4"/>
  <c r="V726" i="4"/>
  <c r="AL452" i="4"/>
  <c r="V452" i="4"/>
  <c r="AL259" i="4"/>
  <c r="V259" i="4"/>
  <c r="AJ1620" i="3"/>
  <c r="AL1620" i="3"/>
  <c r="AL585" i="3"/>
  <c r="AJ585" i="3"/>
  <c r="AL861" i="4"/>
  <c r="V861" i="4"/>
  <c r="V103" i="4"/>
  <c r="AL103" i="4"/>
  <c r="V226" i="4"/>
  <c r="AL226" i="4"/>
  <c r="AL1714" i="3"/>
  <c r="AJ1714" i="3"/>
  <c r="AL801" i="4"/>
  <c r="V801" i="4"/>
  <c r="V514" i="4"/>
  <c r="AL514" i="4"/>
  <c r="AL782" i="4"/>
  <c r="V782" i="4"/>
  <c r="AL65" i="4"/>
  <c r="V65" i="4"/>
  <c r="AJ515" i="3"/>
  <c r="AL515" i="3"/>
  <c r="AC610" i="3"/>
  <c r="AE610" i="3"/>
  <c r="AC239" i="3"/>
  <c r="AE239" i="3"/>
  <c r="AC366" i="3"/>
  <c r="AE366" i="3"/>
  <c r="AC511" i="3"/>
  <c r="AE511" i="3"/>
  <c r="AC1966" i="3"/>
  <c r="AE1966" i="3"/>
  <c r="AE746" i="3"/>
  <c r="AC746" i="3"/>
  <c r="AC747" i="3"/>
  <c r="AE747" i="3"/>
  <c r="AE530" i="3"/>
  <c r="AC530" i="3"/>
  <c r="AC1596" i="3"/>
  <c r="AE1596" i="3"/>
  <c r="AC341" i="3"/>
  <c r="AE341" i="3"/>
  <c r="V660" i="4"/>
  <c r="AL660" i="4"/>
  <c r="V109" i="4"/>
  <c r="AL109" i="4"/>
  <c r="V235" i="4"/>
  <c r="AL235" i="4"/>
  <c r="AJ1730" i="3"/>
  <c r="AL1730" i="3"/>
  <c r="AL592" i="3"/>
  <c r="AJ592" i="3"/>
  <c r="AL859" i="4"/>
  <c r="V859" i="4"/>
  <c r="V629" i="4"/>
  <c r="AL629" i="4"/>
  <c r="V343" i="4"/>
  <c r="AL343" i="4"/>
  <c r="AL751" i="4"/>
  <c r="V751" i="4"/>
  <c r="AL1693" i="3"/>
  <c r="AJ1693" i="3"/>
  <c r="AJ560" i="3"/>
  <c r="AL560" i="3"/>
  <c r="AL787" i="4"/>
  <c r="V787" i="4"/>
  <c r="V91" i="4"/>
  <c r="AL91" i="4"/>
  <c r="V559" i="4"/>
  <c r="AL559" i="4"/>
  <c r="AL789" i="3"/>
  <c r="AJ789" i="3"/>
  <c r="AJ1683" i="3"/>
  <c r="AL1683" i="3"/>
  <c r="AL524" i="3"/>
  <c r="AJ524" i="3"/>
  <c r="V687" i="4"/>
  <c r="AL687" i="4"/>
  <c r="V454" i="4"/>
  <c r="AL454" i="4"/>
  <c r="V611" i="4"/>
  <c r="AL611" i="4"/>
  <c r="AL320" i="4"/>
  <c r="V320" i="4"/>
  <c r="AJ656" i="3"/>
  <c r="AL656" i="3"/>
  <c r="AC1723" i="3"/>
  <c r="AE1723" i="3"/>
  <c r="AE737" i="3"/>
  <c r="AC737" i="3"/>
  <c r="AE1323" i="3"/>
  <c r="AC1323" i="3"/>
  <c r="AC790" i="3"/>
  <c r="AE790" i="3"/>
  <c r="AC334" i="3"/>
  <c r="AE334" i="3"/>
  <c r="AC649" i="3"/>
  <c r="AE649" i="3"/>
  <c r="AC151" i="3"/>
  <c r="AE151" i="3"/>
  <c r="AC2062" i="3"/>
  <c r="AE2062" i="3"/>
  <c r="AC1647" i="3"/>
  <c r="AE1647" i="3"/>
  <c r="AE814" i="3"/>
  <c r="AC814" i="3"/>
  <c r="AL761" i="4"/>
  <c r="V761" i="4"/>
  <c r="V97" i="4"/>
  <c r="AL97" i="4"/>
  <c r="V199" i="4"/>
  <c r="AL199" i="4"/>
  <c r="AJ1698" i="3"/>
  <c r="AL1698" i="3"/>
  <c r="V809" i="4"/>
  <c r="AL809" i="4"/>
  <c r="AL539" i="4"/>
  <c r="V539" i="4"/>
  <c r="AL242" i="4"/>
  <c r="V242" i="4"/>
  <c r="V220" i="4"/>
  <c r="AL220" i="4"/>
  <c r="AL860" i="3"/>
  <c r="AJ860" i="3"/>
  <c r="AJ527" i="3"/>
  <c r="AL527" i="3"/>
  <c r="V591" i="4"/>
  <c r="AL591" i="4"/>
  <c r="V79" i="4"/>
  <c r="AL79" i="4"/>
  <c r="AL300" i="4"/>
  <c r="V300" i="4"/>
  <c r="AJ1656" i="3"/>
  <c r="AL1656" i="3"/>
  <c r="AL663" i="4"/>
  <c r="V663" i="4"/>
  <c r="AL865" i="4"/>
  <c r="V865" i="4"/>
  <c r="AL551" i="4"/>
  <c r="V551" i="4"/>
  <c r="V165" i="4"/>
  <c r="AL165" i="4"/>
  <c r="AJ1622" i="3"/>
  <c r="AL1622" i="3"/>
  <c r="AJ623" i="3"/>
  <c r="AL623" i="3"/>
  <c r="AE557" i="3"/>
  <c r="AC557" i="3"/>
  <c r="AC1940" i="3"/>
  <c r="AE1940" i="3"/>
  <c r="AE472" i="3"/>
  <c r="AC472" i="3"/>
  <c r="AE157" i="3"/>
  <c r="AC157" i="3"/>
  <c r="AE578" i="3"/>
  <c r="AC578" i="3"/>
  <c r="AE1576" i="3"/>
  <c r="AC1576" i="3"/>
  <c r="AE1779" i="3"/>
  <c r="AC1779" i="3"/>
  <c r="AE1568" i="3"/>
  <c r="AC1568" i="3"/>
  <c r="AE258" i="3"/>
  <c r="AC258" i="3"/>
  <c r="AL639" i="4"/>
  <c r="V639" i="4"/>
  <c r="AL85" i="4"/>
  <c r="V85" i="4"/>
  <c r="AL342" i="4"/>
  <c r="V342" i="4"/>
  <c r="AJ662" i="3"/>
  <c r="AL662" i="3"/>
  <c r="AL1669" i="3"/>
  <c r="AJ1669" i="3"/>
  <c r="AL763" i="4"/>
  <c r="V763" i="4"/>
  <c r="V512" i="4"/>
  <c r="AL512" i="4"/>
  <c r="AL641" i="4"/>
  <c r="V641" i="4"/>
  <c r="AL446" i="4"/>
  <c r="V446" i="4"/>
  <c r="V537" i="4"/>
  <c r="AL537" i="4"/>
  <c r="V67" i="4"/>
  <c r="AL67" i="4"/>
  <c r="AL221" i="4"/>
  <c r="V221" i="4"/>
  <c r="AJ1627" i="3"/>
  <c r="AL1627" i="3"/>
  <c r="AL559" i="3"/>
  <c r="AJ559" i="3"/>
  <c r="AL838" i="4"/>
  <c r="V838" i="4"/>
  <c r="V720" i="4"/>
  <c r="AL720" i="4"/>
  <c r="AL420" i="4"/>
  <c r="V420" i="4"/>
  <c r="V10" i="4"/>
  <c r="AL10" i="4"/>
  <c r="AJ1695" i="3"/>
  <c r="AL1695" i="3"/>
  <c r="AJ596" i="3"/>
  <c r="AL596" i="3"/>
  <c r="AE1131" i="3"/>
  <c r="AC1131" i="3"/>
  <c r="AC587" i="3"/>
  <c r="AE587" i="3"/>
  <c r="AE611" i="3"/>
  <c r="AC611" i="3"/>
  <c r="AE1006" i="3"/>
  <c r="AC1006" i="3"/>
  <c r="AE2016" i="3"/>
  <c r="AC2016" i="3"/>
  <c r="AC581" i="3"/>
  <c r="AE581" i="3"/>
  <c r="AC662" i="3"/>
  <c r="AE662" i="3"/>
  <c r="AC220" i="3"/>
  <c r="AE220" i="3"/>
  <c r="AL654" i="4"/>
  <c r="V654" i="4"/>
  <c r="V648" i="4"/>
  <c r="AL648" i="4"/>
  <c r="V53" i="4"/>
  <c r="AL53" i="4"/>
  <c r="AJ555" i="3"/>
  <c r="AL555" i="3"/>
  <c r="V900" i="4"/>
  <c r="AL900" i="4"/>
  <c r="AL219" i="4"/>
  <c r="V219" i="4"/>
  <c r="AL432" i="4"/>
  <c r="V432" i="4"/>
  <c r="AL283" i="4"/>
  <c r="V283" i="4"/>
  <c r="AL1653" i="3"/>
  <c r="AJ1653" i="3"/>
  <c r="V813" i="4"/>
  <c r="AL813" i="4"/>
  <c r="V553" i="4"/>
  <c r="AL553" i="4"/>
  <c r="AL811" i="4"/>
  <c r="V811" i="4"/>
  <c r="AL1672" i="3"/>
  <c r="AJ1672" i="3"/>
  <c r="AJ537" i="3"/>
  <c r="AL537" i="3"/>
  <c r="AL819" i="4"/>
  <c r="V819" i="4"/>
  <c r="V695" i="4"/>
  <c r="AL695" i="4"/>
  <c r="AL666" i="4"/>
  <c r="V666" i="4"/>
  <c r="AL418" i="4"/>
  <c r="V418" i="4"/>
  <c r="AE807" i="3"/>
  <c r="AC807" i="3"/>
  <c r="AC145" i="3"/>
  <c r="AE145" i="3"/>
  <c r="AE2086" i="3"/>
  <c r="AC2086" i="3"/>
  <c r="AC614" i="3"/>
  <c r="AE614" i="3"/>
  <c r="AE954" i="3"/>
  <c r="AC954" i="3"/>
  <c r="AC282" i="3"/>
  <c r="AE282" i="3"/>
  <c r="AE1559" i="3"/>
  <c r="AC1559" i="3"/>
  <c r="AE749" i="3"/>
  <c r="AC749" i="3"/>
  <c r="AC1640" i="3"/>
  <c r="AE1640" i="3"/>
  <c r="V824" i="4"/>
  <c r="AL824" i="4"/>
  <c r="V566" i="4"/>
  <c r="AL566" i="4"/>
  <c r="V5" i="4"/>
  <c r="AL5" i="4"/>
  <c r="AJ1634" i="3"/>
  <c r="AL1634" i="3"/>
  <c r="AL913" i="4"/>
  <c r="V913" i="4"/>
  <c r="AL805" i="4"/>
  <c r="V805" i="4"/>
  <c r="AL367" i="4"/>
  <c r="V367" i="4"/>
  <c r="V455" i="4"/>
  <c r="AL455" i="4"/>
  <c r="AL1725" i="3"/>
  <c r="AJ1725" i="3"/>
  <c r="AL563" i="3"/>
  <c r="AJ563" i="3"/>
  <c r="V698" i="4"/>
  <c r="AL698" i="4"/>
  <c r="AL493" i="4"/>
  <c r="V493" i="4"/>
  <c r="V574" i="4"/>
  <c r="AL574" i="4"/>
  <c r="AJ538" i="3"/>
  <c r="AL538" i="3"/>
  <c r="AL806" i="4"/>
  <c r="V806" i="4"/>
  <c r="V644" i="4"/>
  <c r="AL644" i="4"/>
  <c r="V581" i="4"/>
  <c r="AL581" i="4"/>
  <c r="AL166" i="4"/>
  <c r="V166" i="4"/>
  <c r="AJ1593" i="3"/>
  <c r="AL1593" i="3"/>
  <c r="AJ1707" i="3"/>
  <c r="AL1707" i="3"/>
  <c r="AJ565" i="3"/>
  <c r="AL565" i="3"/>
  <c r="AE2237" i="3"/>
  <c r="AC2237" i="3"/>
  <c r="AE244" i="3"/>
  <c r="AC244" i="3"/>
  <c r="AE570" i="3"/>
  <c r="AC570" i="3"/>
  <c r="AE1939" i="3"/>
  <c r="AC1939" i="3"/>
  <c r="AC659" i="3"/>
  <c r="AE659" i="3"/>
  <c r="AC860" i="3"/>
  <c r="AE860" i="3"/>
  <c r="AC1741" i="3"/>
  <c r="AE1741" i="3"/>
  <c r="AE565" i="3"/>
  <c r="AC565" i="3"/>
  <c r="AC2241" i="3"/>
  <c r="AE2241" i="3"/>
  <c r="AL727" i="4"/>
  <c r="V727" i="4"/>
  <c r="AL533" i="4"/>
  <c r="V533" i="4"/>
  <c r="AL689" i="4"/>
  <c r="V689" i="4"/>
  <c r="AL590" i="3"/>
  <c r="AJ590" i="3"/>
  <c r="AL891" i="4"/>
  <c r="V891" i="4"/>
  <c r="V732" i="4"/>
  <c r="AL732" i="4"/>
  <c r="V757" i="4"/>
  <c r="AL757" i="4"/>
  <c r="V610" i="4"/>
  <c r="AL610" i="4"/>
  <c r="AJ1591" i="3"/>
  <c r="AL1591" i="3"/>
  <c r="AJ564" i="3"/>
  <c r="AL564" i="3"/>
  <c r="AL649" i="4"/>
  <c r="V649" i="4"/>
  <c r="AL450" i="4"/>
  <c r="V450" i="4"/>
  <c r="V728" i="4"/>
  <c r="AL728" i="4"/>
  <c r="AJ1586" i="3"/>
  <c r="AL1586" i="3"/>
  <c r="V718" i="4"/>
  <c r="AL718" i="4"/>
  <c r="AL599" i="4"/>
  <c r="V599" i="4"/>
  <c r="AL461" i="4"/>
  <c r="V461" i="4"/>
  <c r="V385" i="4"/>
  <c r="AL385" i="4"/>
  <c r="AJ1597" i="3"/>
  <c r="AL1597" i="3"/>
  <c r="AL531" i="3"/>
  <c r="AJ531" i="3"/>
  <c r="AE155" i="3"/>
  <c r="AC155" i="3"/>
  <c r="AC1719" i="3"/>
  <c r="AE1719" i="3"/>
  <c r="AE1562" i="3"/>
  <c r="AC1562" i="3"/>
  <c r="AC2235" i="3"/>
  <c r="AE2235" i="3"/>
  <c r="AE322" i="3"/>
  <c r="AC322" i="3"/>
  <c r="AL658" i="4"/>
  <c r="V658" i="4"/>
  <c r="V477" i="4"/>
  <c r="AL477" i="4"/>
  <c r="AL483" i="4"/>
  <c r="V483" i="4"/>
  <c r="AL817" i="4"/>
  <c r="V817" i="4"/>
  <c r="AL672" i="4"/>
  <c r="V672" i="4"/>
  <c r="V609" i="4"/>
  <c r="AL609" i="4"/>
  <c r="V267" i="4"/>
  <c r="AL267" i="4"/>
  <c r="AJ1599" i="3"/>
  <c r="AL1599" i="3"/>
  <c r="AL1577" i="3"/>
  <c r="AJ1577" i="3"/>
  <c r="AJ530" i="3"/>
  <c r="AL530" i="3"/>
  <c r="V523" i="4"/>
  <c r="AL523" i="4"/>
  <c r="V391" i="4"/>
  <c r="AL391" i="4"/>
  <c r="AL451" i="4"/>
  <c r="V451" i="4"/>
  <c r="AJ551" i="3"/>
  <c r="AL551" i="3"/>
  <c r="AJ1731" i="3"/>
  <c r="AL1731" i="3"/>
  <c r="V863" i="4"/>
  <c r="AL863" i="4"/>
  <c r="V524" i="4"/>
  <c r="AL524" i="4"/>
  <c r="V416" i="4"/>
  <c r="AL416" i="4"/>
  <c r="V63" i="4"/>
  <c r="AL63" i="4"/>
  <c r="AJ663" i="3"/>
  <c r="AL663" i="3"/>
  <c r="AC1918" i="3"/>
  <c r="AE1918" i="3"/>
  <c r="AE573" i="3"/>
  <c r="AC573" i="3"/>
  <c r="AC2267" i="3"/>
  <c r="AE2267" i="3"/>
  <c r="AE384" i="3"/>
  <c r="AC384" i="3"/>
  <c r="AE162" i="3"/>
  <c r="AC162" i="3"/>
  <c r="AE522" i="3"/>
  <c r="AC522" i="3"/>
  <c r="AC2206" i="3"/>
  <c r="AE2206" i="3"/>
  <c r="AC1575" i="3"/>
  <c r="AE1575" i="3"/>
  <c r="V907" i="4"/>
  <c r="AL907" i="4"/>
  <c r="AL458" i="4"/>
  <c r="V458" i="4"/>
  <c r="V313" i="4"/>
  <c r="AL313" i="4"/>
  <c r="V390" i="4"/>
  <c r="AL390" i="4"/>
  <c r="AL637" i="3"/>
  <c r="AJ637" i="3"/>
  <c r="AL162" i="4"/>
  <c r="V162" i="4"/>
  <c r="V784" i="4"/>
  <c r="AL784" i="4"/>
  <c r="AL173" i="4"/>
  <c r="V173" i="4"/>
  <c r="AJ753" i="3"/>
  <c r="AL753" i="3"/>
  <c r="V764" i="4"/>
  <c r="AL764" i="4"/>
  <c r="V397" i="4"/>
  <c r="AL397" i="4"/>
  <c r="V197" i="4"/>
  <c r="AL197" i="4"/>
  <c r="V359" i="4"/>
  <c r="AL359" i="4"/>
  <c r="AJ536" i="3"/>
  <c r="AL536" i="3"/>
  <c r="AL587" i="3"/>
  <c r="AJ587" i="3"/>
  <c r="AL102" i="4"/>
  <c r="V102" i="4"/>
  <c r="AL542" i="4"/>
  <c r="V542" i="4"/>
  <c r="AL620" i="4"/>
  <c r="V620" i="4"/>
  <c r="AL754" i="3"/>
  <c r="AJ754" i="3"/>
  <c r="AE1834" i="3"/>
  <c r="AC1834" i="3"/>
  <c r="AC1286" i="3"/>
  <c r="AE1286" i="3"/>
  <c r="AE1321" i="3"/>
  <c r="AC1321" i="3"/>
  <c r="AE1040" i="3"/>
  <c r="AC1040" i="3"/>
  <c r="AC2127" i="3"/>
  <c r="AE2127" i="3"/>
  <c r="AE2135" i="3"/>
  <c r="AC2135" i="3"/>
  <c r="AE1542" i="3"/>
  <c r="AC1542" i="3"/>
  <c r="AC532" i="3"/>
  <c r="AE532" i="3"/>
  <c r="AE623" i="3"/>
  <c r="AC623" i="3"/>
  <c r="AC1872" i="3"/>
  <c r="AE1872" i="3"/>
  <c r="AC1645" i="3"/>
  <c r="AE1645" i="3"/>
  <c r="AC1920" i="3"/>
  <c r="AE1920" i="3"/>
  <c r="AL789" i="4"/>
  <c r="V789" i="4"/>
  <c r="V410" i="4"/>
  <c r="AL410" i="4"/>
  <c r="AL218" i="4"/>
  <c r="V218" i="4"/>
  <c r="V6" i="4"/>
  <c r="AL6" i="4"/>
  <c r="AJ1736" i="3"/>
  <c r="AL1736" i="3"/>
  <c r="AJ602" i="3"/>
  <c r="AL602" i="3"/>
  <c r="AL138" i="4"/>
  <c r="V138" i="4"/>
  <c r="AL678" i="4"/>
  <c r="V678" i="4"/>
  <c r="AL106" i="4"/>
  <c r="V106" i="4"/>
  <c r="AJ779" i="3"/>
  <c r="AL779" i="3"/>
  <c r="AJ783" i="3"/>
  <c r="AL783" i="3"/>
  <c r="V701" i="4"/>
  <c r="AL701" i="4"/>
  <c r="V364" i="4"/>
  <c r="AL364" i="4"/>
  <c r="AL130" i="4"/>
  <c r="V130" i="4"/>
  <c r="V204" i="4"/>
  <c r="AL204" i="4"/>
  <c r="AJ610" i="3"/>
  <c r="AL610" i="3"/>
  <c r="AL519" i="3"/>
  <c r="AJ519" i="3"/>
  <c r="V78" i="4"/>
  <c r="AL78" i="4"/>
  <c r="AL371" i="4"/>
  <c r="V371" i="4"/>
  <c r="V380" i="4"/>
  <c r="AL380" i="4"/>
  <c r="AJ1667" i="3"/>
  <c r="AL1667" i="3"/>
  <c r="AC1668" i="3"/>
  <c r="AE1668" i="3"/>
  <c r="AC125" i="3"/>
  <c r="AE125" i="3"/>
  <c r="AC1921" i="3"/>
  <c r="AE1921" i="3"/>
  <c r="AC1190" i="3"/>
  <c r="AE1190" i="3"/>
  <c r="AC300" i="3"/>
  <c r="AE300" i="3"/>
  <c r="AC2071" i="3"/>
  <c r="AE2071" i="3"/>
  <c r="AC2059" i="3"/>
  <c r="AE2059" i="3"/>
  <c r="AC160" i="3"/>
  <c r="AE160" i="3"/>
  <c r="AE533" i="3"/>
  <c r="AC533" i="3"/>
  <c r="AC551" i="3"/>
  <c r="AE551" i="3"/>
  <c r="AE600" i="3"/>
  <c r="AC600" i="3"/>
  <c r="AL918" i="3"/>
  <c r="AJ918" i="3"/>
  <c r="AC306" i="3"/>
  <c r="AE306" i="3"/>
  <c r="V733" i="4"/>
  <c r="AL733" i="4"/>
  <c r="AL376" i="4"/>
  <c r="V376" i="4"/>
  <c r="V178" i="4"/>
  <c r="AL178" i="4"/>
  <c r="AL105" i="4"/>
  <c r="V105" i="4"/>
  <c r="AL114" i="4"/>
  <c r="V114" i="4"/>
  <c r="V571" i="4"/>
  <c r="AL571" i="4"/>
  <c r="V35" i="4"/>
  <c r="AL35" i="4"/>
  <c r="AL762" i="4"/>
  <c r="V762" i="4"/>
  <c r="AL340" i="4"/>
  <c r="V340" i="4"/>
  <c r="AL70" i="4"/>
  <c r="V70" i="4"/>
  <c r="V317" i="4"/>
  <c r="AL317" i="4"/>
  <c r="AL1673" i="3"/>
  <c r="AJ1673" i="3"/>
  <c r="AL54" i="4"/>
  <c r="V54" i="4"/>
  <c r="AL318" i="4"/>
  <c r="V318" i="4"/>
  <c r="AL306" i="4"/>
  <c r="V306" i="4"/>
  <c r="AL747" i="3"/>
  <c r="AJ747" i="3"/>
  <c r="AL549" i="3"/>
  <c r="AJ549" i="3"/>
  <c r="AE1802" i="3"/>
  <c r="AC1802" i="3"/>
  <c r="AC1616" i="3"/>
  <c r="AE1616" i="3"/>
  <c r="AC520" i="3"/>
  <c r="AE520" i="3"/>
  <c r="AC1673" i="3"/>
  <c r="AE1673" i="3"/>
  <c r="AC1892" i="3"/>
  <c r="AE1892" i="3"/>
  <c r="AC332" i="3"/>
  <c r="AE332" i="3"/>
  <c r="AE1837" i="3"/>
  <c r="AC1837" i="3"/>
  <c r="AC1932" i="3"/>
  <c r="AE1932" i="3"/>
  <c r="AC2024" i="3"/>
  <c r="AE2024" i="3"/>
  <c r="AC1436" i="3"/>
  <c r="AE1436" i="3"/>
  <c r="AL853" i="4"/>
  <c r="V853" i="4"/>
  <c r="AL352" i="4"/>
  <c r="V352" i="4"/>
  <c r="V87" i="4"/>
  <c r="AL87" i="4"/>
  <c r="AL58" i="4"/>
  <c r="V58" i="4"/>
  <c r="AJ751" i="3"/>
  <c r="AL751" i="3"/>
  <c r="AJ561" i="3"/>
  <c r="AL561" i="3"/>
  <c r="V90" i="4"/>
  <c r="AL90" i="4"/>
  <c r="AL498" i="4"/>
  <c r="V498" i="4"/>
  <c r="V556" i="4"/>
  <c r="AL556" i="4"/>
  <c r="AL798" i="3"/>
  <c r="AJ798" i="3"/>
  <c r="AJ1638" i="3"/>
  <c r="AL1638" i="3"/>
  <c r="AL624" i="4"/>
  <c r="V624" i="4"/>
  <c r="AL316" i="4"/>
  <c r="V316" i="4"/>
  <c r="V626" i="4"/>
  <c r="AL626" i="4"/>
  <c r="V125" i="4"/>
  <c r="AL125" i="4"/>
  <c r="AL523" i="3"/>
  <c r="AJ523" i="3"/>
  <c r="AL872" i="4"/>
  <c r="V872" i="4"/>
  <c r="V30" i="4"/>
  <c r="AL30" i="4"/>
  <c r="V278" i="4"/>
  <c r="AL278" i="4"/>
  <c r="AL246" i="4"/>
  <c r="V246" i="4"/>
  <c r="AJ791" i="3"/>
  <c r="AL791" i="3"/>
  <c r="AC626" i="3"/>
  <c r="AE626" i="3"/>
  <c r="AC2082" i="3"/>
  <c r="AE2082" i="3"/>
  <c r="AE467" i="3"/>
  <c r="AC467" i="3"/>
  <c r="AC595" i="3"/>
  <c r="AE595" i="3"/>
  <c r="AC1934" i="3"/>
  <c r="AE1934" i="3"/>
  <c r="AE1277" i="3"/>
  <c r="AC1277" i="3"/>
  <c r="AE304" i="3"/>
  <c r="AC304" i="3"/>
  <c r="AE1827" i="3"/>
  <c r="AC1827" i="3"/>
  <c r="AC833" i="3"/>
  <c r="AE833" i="3"/>
  <c r="AE647" i="3"/>
  <c r="AC647" i="3"/>
  <c r="AC952" i="3"/>
  <c r="AE952" i="3"/>
  <c r="AC1981" i="3"/>
  <c r="AE1981" i="3"/>
  <c r="AL351" i="4"/>
  <c r="V351" i="4"/>
  <c r="V169" i="4"/>
  <c r="AL169" i="4"/>
  <c r="V671" i="4"/>
  <c r="AL671" i="4"/>
  <c r="AL750" i="4"/>
  <c r="V750" i="4"/>
  <c r="V441" i="4"/>
  <c r="AL441" i="4"/>
  <c r="V896" i="4"/>
  <c r="AL896" i="4"/>
  <c r="AL17" i="4"/>
  <c r="V17" i="4"/>
  <c r="AL857" i="3"/>
  <c r="AJ857" i="3"/>
  <c r="AJ1684" i="3"/>
  <c r="AL1684" i="3"/>
  <c r="AL601" i="3"/>
  <c r="AJ601" i="3"/>
  <c r="AL315" i="4"/>
  <c r="V315" i="4"/>
  <c r="V151" i="4"/>
  <c r="AL151" i="4"/>
  <c r="AL447" i="4"/>
  <c r="V447" i="4"/>
  <c r="AL919" i="4"/>
  <c r="V919" i="4"/>
  <c r="AL664" i="4"/>
  <c r="V664" i="4"/>
  <c r="AL760" i="4"/>
  <c r="V760" i="4"/>
  <c r="V411" i="4"/>
  <c r="AL411" i="4"/>
  <c r="AL627" i="3"/>
  <c r="AJ627" i="3"/>
  <c r="AE189" i="3"/>
  <c r="AC189" i="3"/>
  <c r="AE2233" i="3"/>
  <c r="AC2233" i="3"/>
  <c r="AE1325" i="3"/>
  <c r="AC1325" i="3"/>
  <c r="AE1919" i="3"/>
  <c r="AC1919" i="3"/>
  <c r="AC223" i="3"/>
  <c r="AE223" i="3"/>
  <c r="AE1674" i="3"/>
  <c r="AC1674" i="3"/>
  <c r="AE957" i="3"/>
  <c r="AC957" i="3"/>
  <c r="AC1734" i="3"/>
  <c r="AE1734" i="3"/>
  <c r="AC1609" i="3"/>
  <c r="AE1609" i="3"/>
  <c r="AE779" i="3"/>
  <c r="AC779" i="3"/>
  <c r="AC640" i="3"/>
  <c r="AE640" i="3"/>
  <c r="AC1686" i="3"/>
  <c r="AE1686" i="3"/>
  <c r="AL327" i="4"/>
  <c r="V327" i="4"/>
  <c r="V157" i="4"/>
  <c r="AL157" i="4"/>
  <c r="AL519" i="4"/>
  <c r="V519" i="4"/>
  <c r="AL738" i="4"/>
  <c r="V738" i="4"/>
  <c r="AL795" i="4"/>
  <c r="V795" i="4"/>
  <c r="V647" i="4"/>
  <c r="AL647" i="4"/>
  <c r="AL745" i="4"/>
  <c r="V745" i="4"/>
  <c r="V291" i="4"/>
  <c r="AL291" i="4"/>
  <c r="AL139" i="4"/>
  <c r="V139" i="4"/>
  <c r="V628" i="4"/>
  <c r="AL628" i="4"/>
  <c r="AL884" i="4"/>
  <c r="V884" i="4"/>
  <c r="V812" i="4"/>
  <c r="AL812" i="4"/>
  <c r="AL515" i="4"/>
  <c r="V515" i="4"/>
  <c r="AL227" i="4"/>
  <c r="V227" i="4"/>
  <c r="AJ600" i="3"/>
  <c r="AL600" i="3"/>
  <c r="AE1671" i="3"/>
  <c r="AC1671" i="3"/>
  <c r="AE309" i="3"/>
  <c r="AC309" i="3"/>
  <c r="AC146" i="3"/>
  <c r="AE146" i="3"/>
  <c r="AC2239" i="3"/>
  <c r="AE2239" i="3"/>
  <c r="AC1612" i="3"/>
  <c r="AE1612" i="3"/>
  <c r="AC1003" i="3"/>
  <c r="AE1003" i="3"/>
  <c r="AE1798" i="3"/>
  <c r="AC1798" i="3"/>
  <c r="AE547" i="3"/>
  <c r="AE1890" i="3"/>
  <c r="AC1890" i="3"/>
  <c r="AC230" i="3"/>
  <c r="AE230" i="3"/>
  <c r="AE1822" i="3"/>
  <c r="AC1822" i="3"/>
  <c r="AC1613" i="3"/>
  <c r="AE1613" i="3"/>
  <c r="AL303" i="4"/>
  <c r="V303" i="4"/>
  <c r="AL145" i="4"/>
  <c r="V145" i="4"/>
  <c r="V398" i="4"/>
  <c r="AL398" i="4"/>
  <c r="AL556" i="3"/>
  <c r="AJ556" i="3"/>
  <c r="AL717" i="4"/>
  <c r="V717" i="4"/>
  <c r="AL702" i="4"/>
  <c r="V702" i="4"/>
  <c r="V570" i="4"/>
  <c r="AL570" i="4"/>
  <c r="AL522" i="4"/>
  <c r="V522" i="4"/>
  <c r="AJ1732" i="3"/>
  <c r="AL1732" i="3"/>
  <c r="AL647" i="3"/>
  <c r="AJ647" i="3"/>
  <c r="V810" i="4"/>
  <c r="AL810" i="4"/>
  <c r="AL127" i="4"/>
  <c r="V127" i="4"/>
  <c r="V549" i="4"/>
  <c r="AL549" i="4"/>
  <c r="AL626" i="3"/>
  <c r="AJ626" i="3"/>
  <c r="V901" i="4"/>
  <c r="AL901" i="4"/>
  <c r="V638" i="4"/>
  <c r="AL638" i="4"/>
  <c r="AL379" i="4"/>
  <c r="V379" i="4"/>
  <c r="V195" i="4"/>
  <c r="AL195" i="4"/>
  <c r="AL1654" i="3"/>
  <c r="AJ1654" i="3"/>
  <c r="AL573" i="3"/>
  <c r="AJ573" i="3"/>
  <c r="AE1927" i="3"/>
  <c r="AC1927" i="3"/>
  <c r="AC1698" i="3"/>
  <c r="AE1698" i="3"/>
  <c r="AC250" i="3"/>
  <c r="AE250" i="3"/>
  <c r="AE1595" i="3"/>
  <c r="AC1595" i="3"/>
  <c r="AE576" i="3"/>
  <c r="AC576" i="3"/>
  <c r="AC646" i="3"/>
  <c r="AE646" i="3"/>
  <c r="AC1441" i="3"/>
  <c r="AE1441" i="3"/>
  <c r="AC1682" i="3"/>
  <c r="AE1682" i="3"/>
  <c r="AE509" i="3"/>
  <c r="AC509" i="3"/>
  <c r="AC396" i="3"/>
  <c r="AE396" i="3"/>
  <c r="AC1664" i="3"/>
  <c r="AE1664" i="3"/>
  <c r="V279" i="4"/>
  <c r="AL279" i="4"/>
  <c r="AL133" i="4"/>
  <c r="V133" i="4"/>
  <c r="AL579" i="4"/>
  <c r="V579" i="4"/>
  <c r="AJ584" i="3"/>
  <c r="AL584" i="3"/>
  <c r="V905" i="4"/>
  <c r="AL905" i="4"/>
  <c r="AL858" i="4"/>
  <c r="V858" i="4"/>
  <c r="AL546" i="4"/>
  <c r="V546" i="4"/>
  <c r="AL475" i="4"/>
  <c r="V475" i="4"/>
  <c r="AJ869" i="3"/>
  <c r="AL869" i="3"/>
  <c r="AJ612" i="3"/>
  <c r="AL612" i="3"/>
  <c r="V683" i="4"/>
  <c r="AL683" i="4"/>
  <c r="V115" i="4"/>
  <c r="AL115" i="4"/>
  <c r="AL284" i="4"/>
  <c r="V284" i="4"/>
  <c r="AJ745" i="3"/>
  <c r="AL745" i="3"/>
  <c r="V890" i="4"/>
  <c r="AL890" i="4"/>
  <c r="V568" i="4"/>
  <c r="AL568" i="4"/>
  <c r="AL271" i="4"/>
  <c r="V271" i="4"/>
  <c r="V547" i="4"/>
  <c r="AL547" i="4"/>
  <c r="AJ1726" i="3"/>
  <c r="AL1726" i="3"/>
  <c r="AJ539" i="3"/>
  <c r="AL539" i="3"/>
  <c r="AE1693" i="3"/>
  <c r="AC1693" i="3"/>
  <c r="AC2011" i="3"/>
  <c r="AE2011" i="3"/>
  <c r="AC743" i="3"/>
  <c r="AE743" i="3"/>
  <c r="AE518" i="3"/>
  <c r="AC518" i="3"/>
  <c r="AC770" i="3"/>
  <c r="AE770" i="3"/>
  <c r="AE784" i="3"/>
  <c r="AC784" i="3"/>
  <c r="AE1649" i="3"/>
  <c r="AC1649" i="3"/>
  <c r="AC2076" i="3"/>
  <c r="AE2076" i="3"/>
  <c r="AC1050" i="3"/>
  <c r="AE1050" i="3"/>
  <c r="AC596" i="3"/>
  <c r="AE596" i="3"/>
  <c r="AE280" i="3"/>
  <c r="AC280" i="3"/>
  <c r="AE2051" i="3"/>
  <c r="AC2051" i="3"/>
  <c r="AE1072" i="3"/>
  <c r="AC1072" i="3"/>
  <c r="AC1178" i="3"/>
  <c r="AE1178" i="3"/>
  <c r="AE1125" i="3"/>
  <c r="AC1125" i="3"/>
  <c r="AC165" i="3"/>
  <c r="AE165" i="3"/>
  <c r="AC563" i="3"/>
  <c r="AE563" i="3"/>
  <c r="AC1316" i="3"/>
  <c r="AE1316" i="3"/>
  <c r="AE1917" i="3"/>
  <c r="AC1917" i="3"/>
  <c r="AC2079" i="3"/>
  <c r="AE2079" i="3"/>
  <c r="AE1162" i="3"/>
  <c r="AC1162" i="3"/>
  <c r="AE722" i="3"/>
  <c r="AC722" i="3"/>
  <c r="AE727" i="3"/>
  <c r="AC727" i="3"/>
  <c r="AE1982" i="3"/>
  <c r="AC1982" i="3"/>
  <c r="AC197" i="3"/>
  <c r="AE197" i="3"/>
  <c r="AE1430" i="3"/>
  <c r="AC1430" i="3"/>
  <c r="AE725" i="3"/>
  <c r="AC725" i="3"/>
  <c r="AE2217" i="3"/>
  <c r="AC2217" i="3"/>
  <c r="AC967" i="3"/>
  <c r="AE967" i="3"/>
  <c r="AE768" i="3"/>
  <c r="AC768" i="3"/>
  <c r="AC1454" i="3"/>
  <c r="AE1454" i="3"/>
  <c r="AE1084" i="3"/>
  <c r="AC1084" i="3"/>
  <c r="AE1353" i="3"/>
  <c r="AC1353" i="3"/>
  <c r="AC618" i="3"/>
  <c r="AE618" i="3"/>
  <c r="AC1971" i="3"/>
  <c r="AE1971" i="3"/>
  <c r="AE2166" i="3"/>
  <c r="AC2166" i="3"/>
  <c r="AC928" i="3"/>
  <c r="AE928" i="3"/>
  <c r="AC1087" i="3"/>
  <c r="AE1087" i="3"/>
  <c r="AE1367" i="3"/>
  <c r="AC1367" i="3"/>
  <c r="AE295" i="3"/>
  <c r="AC295" i="3"/>
  <c r="AC152" i="3"/>
  <c r="AE152" i="3"/>
  <c r="AE836" i="3"/>
  <c r="AC836" i="3"/>
  <c r="AC1521" i="3"/>
  <c r="AE1521" i="3"/>
  <c r="AC845" i="3"/>
  <c r="AE845" i="3"/>
  <c r="AE235" i="3"/>
  <c r="AC235" i="3"/>
  <c r="AC49" i="3"/>
  <c r="AE49" i="3"/>
  <c r="AE796" i="3"/>
  <c r="AC796" i="3"/>
  <c r="AC196" i="3"/>
  <c r="AE196" i="3"/>
  <c r="AE1543" i="3"/>
  <c r="AC1543" i="3"/>
  <c r="AC1428" i="3"/>
  <c r="AE1428" i="3"/>
  <c r="AC1475" i="3"/>
  <c r="AE1475" i="3"/>
  <c r="AE1175" i="3"/>
  <c r="AC1175" i="3"/>
  <c r="AE1244" i="3"/>
  <c r="AC1244" i="3"/>
  <c r="AC1108" i="3"/>
  <c r="AE1108" i="3"/>
  <c r="AC1618" i="3"/>
  <c r="AE1618" i="3"/>
  <c r="AE1311" i="3"/>
  <c r="AC1311" i="3"/>
  <c r="AE759" i="3"/>
  <c r="AC759" i="3"/>
  <c r="AE1398" i="3"/>
  <c r="AC1398" i="3"/>
  <c r="AE1449" i="3"/>
  <c r="AC1449" i="3"/>
  <c r="AC243" i="3"/>
  <c r="AE243" i="3"/>
  <c r="AC124" i="3"/>
  <c r="AE124" i="3"/>
  <c r="AE789" i="3"/>
  <c r="AC789" i="3"/>
  <c r="AC2129" i="3"/>
  <c r="AE2129" i="3"/>
  <c r="AE1370" i="3"/>
  <c r="AC1370" i="3"/>
  <c r="AC1089" i="3"/>
  <c r="AE1089" i="3"/>
  <c r="AC1109" i="3"/>
  <c r="AE1109" i="3"/>
  <c r="AE927" i="3"/>
  <c r="AC927" i="3"/>
  <c r="AE1403" i="3"/>
  <c r="AC1403" i="3"/>
  <c r="AE515" i="3"/>
  <c r="AC515" i="3"/>
  <c r="AC513" i="3"/>
  <c r="AE513" i="3"/>
  <c r="AE190" i="3"/>
  <c r="AC190" i="3"/>
  <c r="AE2021" i="3"/>
  <c r="AC2021" i="3"/>
  <c r="AE1395" i="3"/>
  <c r="AC1395" i="3"/>
  <c r="AC840" i="3"/>
  <c r="AE840" i="3"/>
  <c r="AC803" i="3"/>
  <c r="AE803" i="3"/>
  <c r="AE748" i="3"/>
  <c r="AC748" i="3"/>
  <c r="AE1740" i="3"/>
  <c r="AC1740" i="3"/>
  <c r="AE251" i="3"/>
  <c r="AC251" i="3"/>
  <c r="AC1330" i="3"/>
  <c r="AE1330" i="3"/>
  <c r="AE2050" i="3"/>
  <c r="AC2050" i="3"/>
  <c r="AE816" i="3"/>
  <c r="AC816" i="3"/>
  <c r="AC1312" i="3"/>
  <c r="AE1312" i="3"/>
  <c r="AE1174" i="3"/>
  <c r="AC1174" i="3"/>
  <c r="AE1062" i="3"/>
  <c r="AC1062" i="3"/>
  <c r="AC1318" i="3"/>
  <c r="AE1318" i="3"/>
  <c r="AE1931" i="3"/>
  <c r="AC1931" i="3"/>
  <c r="AC1527" i="3"/>
  <c r="AE1527" i="3"/>
  <c r="AE1515" i="3"/>
  <c r="AC1515" i="3"/>
  <c r="AC1496" i="3"/>
  <c r="AE1496" i="3"/>
  <c r="AE723" i="3"/>
  <c r="AC723" i="3"/>
  <c r="AE1973" i="3"/>
  <c r="AC1973" i="3"/>
  <c r="AE1334" i="3"/>
  <c r="AC1334" i="3"/>
  <c r="AE1914" i="3"/>
  <c r="AC1914" i="3"/>
  <c r="AC2150" i="3"/>
  <c r="AE2150" i="3"/>
  <c r="AC1071" i="3"/>
  <c r="AE1071" i="3"/>
  <c r="AE2004" i="3"/>
  <c r="AC2004" i="3"/>
  <c r="AE819" i="3"/>
  <c r="AC819" i="3"/>
  <c r="AC1149" i="3"/>
  <c r="AE1149" i="3"/>
  <c r="AC2133" i="3"/>
  <c r="AE2133" i="3"/>
  <c r="AC786" i="3"/>
  <c r="AE786" i="3"/>
  <c r="AE1793" i="3"/>
  <c r="AC1793" i="3"/>
  <c r="AE113" i="3"/>
  <c r="AC113" i="3"/>
  <c r="AC1537" i="3"/>
  <c r="AE1537" i="3"/>
  <c r="AC1691" i="3"/>
  <c r="AE1691" i="3"/>
  <c r="AC855" i="3"/>
  <c r="AE855" i="3"/>
  <c r="AE1394" i="3"/>
  <c r="AC1394" i="3"/>
  <c r="AE1404" i="3"/>
  <c r="AC1404" i="3"/>
  <c r="AC233" i="3"/>
  <c r="AE233" i="3"/>
  <c r="AE1069" i="3"/>
  <c r="AC1069" i="3"/>
  <c r="AE1272" i="3"/>
  <c r="AC1272" i="3"/>
  <c r="AE831" i="3"/>
  <c r="AC831" i="3"/>
  <c r="AE2188" i="3"/>
  <c r="AC2188" i="3"/>
  <c r="AE830" i="3"/>
  <c r="AC830" i="3"/>
  <c r="AC1883" i="3"/>
  <c r="AE1883" i="3"/>
  <c r="AE1556" i="3"/>
  <c r="AC1556" i="3"/>
  <c r="AE1122" i="3"/>
  <c r="AC1122" i="3"/>
  <c r="AE1557" i="3"/>
  <c r="AC1557" i="3"/>
  <c r="AC972" i="3"/>
  <c r="AE972" i="3"/>
  <c r="AC2001" i="3"/>
  <c r="AE2001" i="3"/>
  <c r="AE1164" i="3"/>
  <c r="AC1164" i="3"/>
  <c r="AC187" i="3"/>
  <c r="AE187" i="3"/>
  <c r="AC1880" i="3"/>
  <c r="AE1880" i="3"/>
  <c r="AC260" i="3"/>
  <c r="AE260" i="3"/>
  <c r="AC170" i="3"/>
  <c r="AE170" i="3"/>
  <c r="AC1085" i="3"/>
  <c r="AE1085" i="3"/>
  <c r="AC761" i="3"/>
  <c r="AE761" i="3"/>
  <c r="AE1269" i="3"/>
  <c r="AC1269" i="3"/>
  <c r="AC1332" i="3"/>
  <c r="AE1332" i="3"/>
  <c r="AE738" i="3"/>
  <c r="AC738" i="3"/>
  <c r="AE2070" i="3"/>
  <c r="AC2070" i="3"/>
  <c r="V617" i="4"/>
  <c r="AL617" i="4"/>
  <c r="AL715" i="4"/>
  <c r="V715" i="4"/>
  <c r="AJ1574" i="3"/>
  <c r="AL1574" i="3"/>
  <c r="AE1574" i="3"/>
  <c r="AC1574" i="3"/>
  <c r="AC661" i="3"/>
  <c r="AE661" i="3"/>
  <c r="AC627" i="3"/>
  <c r="AE627" i="3"/>
  <c r="AC1713" i="3"/>
  <c r="AE1713" i="3"/>
  <c r="AE1828" i="3"/>
  <c r="AC1828" i="3"/>
  <c r="AC867" i="3"/>
  <c r="AE867" i="3"/>
  <c r="AE2072" i="3"/>
  <c r="AC2072" i="3"/>
  <c r="AE526" i="3"/>
  <c r="AC526" i="3"/>
  <c r="AE76" i="3"/>
  <c r="AC76" i="3"/>
  <c r="AL836" i="4"/>
  <c r="V836" i="4"/>
  <c r="V577" i="4"/>
  <c r="AL577" i="4"/>
  <c r="AL23" i="4"/>
  <c r="V23" i="4"/>
  <c r="AL415" i="4"/>
  <c r="V415" i="4"/>
  <c r="AL1716" i="3"/>
  <c r="AJ1716" i="3"/>
  <c r="AJ535" i="3"/>
  <c r="AL535" i="3"/>
  <c r="AL667" i="4"/>
  <c r="V667" i="4"/>
  <c r="V527" i="4"/>
  <c r="AL527" i="4"/>
  <c r="AL210" i="4"/>
  <c r="V210" i="4"/>
  <c r="V34" i="4"/>
  <c r="AL34" i="4"/>
  <c r="V879" i="4"/>
  <c r="AL879" i="4"/>
  <c r="AL256" i="4"/>
  <c r="V256" i="4"/>
  <c r="AL650" i="4"/>
  <c r="V650" i="4"/>
  <c r="AL123" i="4"/>
  <c r="V123" i="4"/>
  <c r="AL668" i="4"/>
  <c r="V668" i="4"/>
  <c r="V684" i="4"/>
  <c r="AL684" i="4"/>
  <c r="V82" i="4"/>
  <c r="AL82" i="4"/>
  <c r="AJ807" i="3"/>
  <c r="AL807" i="3"/>
  <c r="AE1717" i="3"/>
  <c r="AC1717" i="3"/>
  <c r="AE1678" i="3"/>
  <c r="AC1678" i="3"/>
  <c r="AC1661" i="3"/>
  <c r="AE1661" i="3"/>
  <c r="AC552" i="3"/>
  <c r="AE552" i="3"/>
  <c r="AE2069" i="3"/>
  <c r="AC2069" i="3"/>
  <c r="AC601" i="3"/>
  <c r="AE601" i="3"/>
  <c r="AC1658" i="3"/>
  <c r="AE1658" i="3"/>
  <c r="AE612" i="3"/>
  <c r="AC612" i="3"/>
  <c r="AE1641" i="3"/>
  <c r="AC1641" i="3"/>
  <c r="AE302" i="3"/>
  <c r="AC302" i="3"/>
  <c r="AE335" i="3"/>
  <c r="AC335" i="3"/>
  <c r="AE1736" i="3"/>
  <c r="AC1736" i="3"/>
  <c r="AL889" i="4"/>
  <c r="V889" i="4"/>
  <c r="V534" i="4"/>
  <c r="AL534" i="4"/>
  <c r="AL690" i="4"/>
  <c r="V690" i="4"/>
  <c r="AL269" i="4"/>
  <c r="V269" i="4"/>
  <c r="AL619" i="3"/>
  <c r="AJ619" i="3"/>
  <c r="V831" i="4"/>
  <c r="AL831" i="4"/>
  <c r="V476" i="4"/>
  <c r="AL476" i="4"/>
  <c r="AL153" i="4"/>
  <c r="V153" i="4"/>
  <c r="AL867" i="4"/>
  <c r="V867" i="4"/>
  <c r="AL237" i="4"/>
  <c r="V237" i="4"/>
  <c r="V521" i="4"/>
  <c r="AL521" i="4"/>
  <c r="V15" i="4"/>
  <c r="AL15" i="4"/>
  <c r="AL1602" i="3"/>
  <c r="AJ1602" i="3"/>
  <c r="V914" i="4"/>
  <c r="AL914" i="4"/>
  <c r="AL573" i="4"/>
  <c r="V573" i="4"/>
  <c r="V11" i="4"/>
  <c r="AL11" i="4"/>
  <c r="AE2190" i="3"/>
  <c r="AC2190" i="3"/>
  <c r="AC1280" i="3"/>
  <c r="AE1280" i="3"/>
  <c r="AC958" i="3"/>
  <c r="AE958" i="3"/>
  <c r="AE902" i="3"/>
  <c r="AC902" i="3"/>
  <c r="AC645" i="3"/>
  <c r="AE645" i="3"/>
  <c r="AE2058" i="3"/>
  <c r="AC2058" i="3"/>
  <c r="AC523" i="3"/>
  <c r="AE523" i="3"/>
  <c r="AE2036" i="3"/>
  <c r="AC2036" i="3"/>
  <c r="V873" i="4"/>
  <c r="AL873" i="4"/>
  <c r="V249" i="4"/>
  <c r="AL249" i="4"/>
  <c r="V558" i="4"/>
  <c r="AL558" i="4"/>
  <c r="AL21" i="4"/>
  <c r="V21" i="4"/>
  <c r="AL1575" i="3"/>
  <c r="AJ1575" i="3"/>
  <c r="AL741" i="3"/>
  <c r="AJ741" i="3"/>
  <c r="AL719" i="4"/>
  <c r="V719" i="4"/>
  <c r="AL798" i="4"/>
  <c r="V798" i="4"/>
  <c r="AL99" i="4"/>
  <c r="V99" i="4"/>
  <c r="AJ526" i="3"/>
  <c r="AL526" i="3"/>
  <c r="V894" i="4"/>
  <c r="AL894" i="4"/>
  <c r="V773" i="4"/>
  <c r="AL773" i="4"/>
  <c r="AL403" i="4"/>
  <c r="V403" i="4"/>
  <c r="AL710" i="4"/>
  <c r="V710" i="4"/>
  <c r="AL1668" i="3"/>
  <c r="AJ1668" i="3"/>
  <c r="AL758" i="4"/>
  <c r="V758" i="4"/>
  <c r="AL550" i="4"/>
  <c r="V550" i="4"/>
  <c r="AL765" i="4"/>
  <c r="V765" i="4"/>
  <c r="AL1702" i="3"/>
  <c r="AJ1702" i="3"/>
  <c r="AJ624" i="3"/>
  <c r="AL624" i="3"/>
  <c r="AC137" i="3"/>
  <c r="AE137" i="3"/>
  <c r="AE343" i="3"/>
  <c r="AC343" i="3"/>
  <c r="AC1904" i="3"/>
  <c r="AE1904" i="3"/>
  <c r="AE159" i="3"/>
  <c r="AC159" i="3"/>
  <c r="AE2081" i="3"/>
  <c r="AC2081" i="3"/>
  <c r="AE754" i="3"/>
  <c r="AC754" i="3"/>
  <c r="AC1582" i="3"/>
  <c r="AE1582" i="3"/>
  <c r="AC1905" i="3"/>
  <c r="AE1905" i="3"/>
  <c r="AC227" i="3"/>
  <c r="AE227" i="3"/>
  <c r="AC1045" i="3"/>
  <c r="AE1045" i="3"/>
  <c r="V576" i="4"/>
  <c r="AL576" i="4"/>
  <c r="V73" i="4"/>
  <c r="AL73" i="4"/>
  <c r="AL252" i="4"/>
  <c r="V252" i="4"/>
  <c r="AJ799" i="3"/>
  <c r="AL799" i="3"/>
  <c r="AJ1643" i="3"/>
  <c r="AL1643" i="3"/>
  <c r="AL746" i="3"/>
  <c r="AJ746" i="3"/>
  <c r="AL675" i="4"/>
  <c r="V675" i="4"/>
  <c r="AL407" i="4"/>
  <c r="V407" i="4"/>
  <c r="V564" i="4"/>
  <c r="AL564" i="4"/>
  <c r="AL191" i="4"/>
  <c r="V191" i="4"/>
  <c r="AL1674" i="3"/>
  <c r="AJ1674" i="3"/>
  <c r="AL1582" i="3"/>
  <c r="AJ1582" i="3"/>
  <c r="AJ644" i="3"/>
  <c r="AL644" i="3"/>
  <c r="AL425" i="4"/>
  <c r="V425" i="4"/>
  <c r="V55" i="4"/>
  <c r="AL55" i="4"/>
  <c r="V40" i="4"/>
  <c r="AL40" i="4"/>
  <c r="AJ752" i="3"/>
  <c r="AL752" i="3"/>
  <c r="V802" i="4"/>
  <c r="AL802" i="4"/>
  <c r="V598" i="4"/>
  <c r="AL598" i="4"/>
  <c r="AL392" i="4"/>
  <c r="V392" i="4"/>
  <c r="V503" i="4"/>
  <c r="AL503" i="4"/>
  <c r="AJ1651" i="3"/>
  <c r="AL1651" i="3"/>
  <c r="AC1862" i="3"/>
  <c r="AE1862" i="3"/>
  <c r="AE529" i="3"/>
  <c r="AC529" i="3"/>
  <c r="AE1711" i="3"/>
  <c r="AC1711" i="3"/>
  <c r="AE608" i="3"/>
  <c r="AC608" i="3"/>
  <c r="AE153" i="3"/>
  <c r="AC153" i="3"/>
  <c r="AE1657" i="3"/>
  <c r="AC1657" i="3"/>
  <c r="AE1850" i="3"/>
  <c r="AC1850" i="3"/>
  <c r="V448" i="4"/>
  <c r="AL448" i="4"/>
  <c r="AL61" i="4"/>
  <c r="V61" i="4"/>
  <c r="V198" i="4"/>
  <c r="AL198" i="4"/>
  <c r="AJ1608" i="3"/>
  <c r="AL1608" i="3"/>
  <c r="AJ514" i="3"/>
  <c r="AL514" i="3"/>
  <c r="AL651" i="4"/>
  <c r="V651" i="4"/>
  <c r="V843" i="4"/>
  <c r="AL843" i="4"/>
  <c r="AL501" i="4"/>
  <c r="V501" i="4"/>
  <c r="AL172" i="4"/>
  <c r="V172" i="4"/>
  <c r="AJ1664" i="3"/>
  <c r="AL1664" i="3"/>
  <c r="AL609" i="3"/>
  <c r="AJ609" i="3"/>
  <c r="AL377" i="4"/>
  <c r="V377" i="4"/>
  <c r="AL43" i="4"/>
  <c r="V43" i="4"/>
  <c r="AL423" i="4"/>
  <c r="V423" i="4"/>
  <c r="AJ796" i="3"/>
  <c r="AL796" i="3"/>
  <c r="AJ625" i="3"/>
  <c r="AL625" i="3"/>
  <c r="V768" i="4"/>
  <c r="AL768" i="4"/>
  <c r="V464" i="4"/>
  <c r="AL464" i="4"/>
  <c r="V349" i="4"/>
  <c r="AL349" i="4"/>
  <c r="V504" i="4"/>
  <c r="AL504" i="4"/>
  <c r="AJ643" i="3"/>
  <c r="AL643" i="3"/>
  <c r="AC317" i="3"/>
  <c r="AE317" i="3"/>
  <c r="AC996" i="3"/>
  <c r="AE996" i="3"/>
  <c r="AC577" i="3"/>
  <c r="AE577" i="3"/>
  <c r="AC97" i="3"/>
  <c r="AE97" i="3"/>
  <c r="AE249" i="3"/>
  <c r="AC249" i="3"/>
  <c r="AC2020" i="3"/>
  <c r="AE2020" i="3"/>
  <c r="AE1654" i="3"/>
  <c r="AC1654" i="3"/>
  <c r="AC1955" i="3"/>
  <c r="AE1955" i="3"/>
  <c r="V401" i="4"/>
  <c r="AL401" i="4"/>
  <c r="V49" i="4"/>
  <c r="AL49" i="4"/>
  <c r="AL774" i="4"/>
  <c r="V774" i="4"/>
  <c r="AJ1581" i="3"/>
  <c r="AL1581" i="3"/>
  <c r="V821" i="4"/>
  <c r="AL821" i="4"/>
  <c r="AL659" i="4"/>
  <c r="V659" i="4"/>
  <c r="V409" i="4"/>
  <c r="AL409" i="4"/>
  <c r="V223" i="4"/>
  <c r="AL223" i="4"/>
  <c r="AJ1728" i="3"/>
  <c r="AL1728" i="3"/>
  <c r="AL582" i="3"/>
  <c r="AJ582" i="3"/>
  <c r="V180" i="4"/>
  <c r="AL180" i="4"/>
  <c r="AL888" i="4"/>
  <c r="V888" i="4"/>
  <c r="V211" i="4"/>
  <c r="AL211" i="4"/>
  <c r="AL777" i="3"/>
  <c r="AJ777" i="3"/>
  <c r="AL645" i="3"/>
  <c r="AJ645" i="3"/>
  <c r="AL833" i="4"/>
  <c r="V833" i="4"/>
  <c r="V421" i="4"/>
  <c r="AL421" i="4"/>
  <c r="V232" i="4"/>
  <c r="AL232" i="4"/>
  <c r="V112" i="4"/>
  <c r="AL112" i="4"/>
  <c r="AL1681" i="3"/>
  <c r="AJ1681" i="3"/>
  <c r="AJ608" i="3"/>
  <c r="AL608" i="3"/>
  <c r="AC741" i="3"/>
  <c r="AE741" i="3"/>
  <c r="AE1993" i="3"/>
  <c r="AC1993" i="3"/>
  <c r="AE288" i="3"/>
  <c r="AC288" i="3"/>
  <c r="AE951" i="3"/>
  <c r="AC951" i="3"/>
  <c r="AE1580" i="3"/>
  <c r="AC1580" i="3"/>
  <c r="AE1909" i="3"/>
  <c r="AC1909" i="3"/>
  <c r="AE1857" i="3"/>
  <c r="AC1857" i="3"/>
  <c r="V192" i="4"/>
  <c r="AL192" i="4"/>
  <c r="V37" i="4"/>
  <c r="AL37" i="4"/>
  <c r="AL270" i="4"/>
  <c r="V270" i="4"/>
  <c r="AL788" i="3"/>
  <c r="AJ788" i="3"/>
  <c r="AJ868" i="3"/>
  <c r="AL868" i="3"/>
  <c r="AL569" i="3"/>
  <c r="AJ569" i="3"/>
  <c r="V790" i="4"/>
  <c r="AL790" i="4"/>
  <c r="AL490" i="4"/>
  <c r="V490" i="4"/>
  <c r="V381" i="4"/>
  <c r="AL381" i="4"/>
  <c r="AL222" i="4"/>
  <c r="V222" i="4"/>
  <c r="AL655" i="3"/>
  <c r="AJ655" i="3"/>
  <c r="V156" i="4"/>
  <c r="AL156" i="4"/>
  <c r="AL772" i="4"/>
  <c r="V772" i="4"/>
  <c r="V143" i="4"/>
  <c r="AL143" i="4"/>
  <c r="AJ794" i="3"/>
  <c r="AL794" i="3"/>
  <c r="AL756" i="4"/>
  <c r="V756" i="4"/>
  <c r="V386" i="4"/>
  <c r="AL386" i="4"/>
  <c r="V184" i="4"/>
  <c r="AL184" i="4"/>
  <c r="V302" i="4"/>
  <c r="AL302" i="4"/>
  <c r="AJ581" i="3"/>
  <c r="AL581" i="3"/>
  <c r="AE1472" i="3"/>
  <c r="AC1472" i="3"/>
  <c r="AE1599" i="3"/>
  <c r="AC1599" i="3"/>
  <c r="AE2084" i="3"/>
  <c r="AC2084" i="3"/>
  <c r="AC468" i="3"/>
  <c r="AE468" i="3"/>
  <c r="AE1643" i="3"/>
  <c r="AC1643" i="3"/>
  <c r="AC449" i="3"/>
  <c r="AE449" i="3"/>
  <c r="AE987" i="3"/>
  <c r="AC987" i="3"/>
  <c r="V557" i="4"/>
  <c r="AL557" i="4"/>
  <c r="V431" i="4"/>
  <c r="AL431" i="4"/>
  <c r="AL502" i="4"/>
  <c r="V502" i="4"/>
  <c r="AJ1648" i="3"/>
  <c r="AL1648" i="3"/>
  <c r="V729" i="4"/>
  <c r="AL729" i="4"/>
  <c r="V613" i="4"/>
  <c r="AL613" i="4"/>
  <c r="V518" i="4"/>
  <c r="AL518" i="4"/>
  <c r="V714" i="4"/>
  <c r="AL714" i="4"/>
  <c r="AL1595" i="3"/>
  <c r="AJ1595" i="3"/>
  <c r="AL500" i="4"/>
  <c r="V500" i="4"/>
  <c r="V208" i="4"/>
  <c r="AL208" i="4"/>
  <c r="AL336" i="4"/>
  <c r="V336" i="4"/>
  <c r="V816" i="4"/>
  <c r="AL816" i="4"/>
  <c r="AL470" i="4"/>
  <c r="V470" i="4"/>
  <c r="V329" i="4"/>
  <c r="AL329" i="4"/>
  <c r="V20" i="4"/>
  <c r="AL20" i="4"/>
  <c r="AJ1629" i="3"/>
  <c r="AL1629" i="3"/>
  <c r="AJ648" i="3"/>
  <c r="AL648" i="3"/>
  <c r="AE1790" i="3"/>
  <c r="AC1790" i="3"/>
  <c r="AE1844" i="3"/>
  <c r="AC1844" i="3"/>
  <c r="AE225" i="3"/>
  <c r="AC225" i="3"/>
  <c r="AC628" i="3"/>
  <c r="AE628" i="3"/>
  <c r="AC2092" i="3"/>
  <c r="AE2092" i="3"/>
  <c r="AE374" i="3"/>
  <c r="AC374" i="3"/>
  <c r="AE370" i="3"/>
  <c r="AC370" i="3"/>
  <c r="AE755" i="3"/>
  <c r="AC755" i="3"/>
  <c r="AE1629" i="3"/>
  <c r="AC1629" i="3"/>
  <c r="AL511" i="4"/>
  <c r="V511" i="4"/>
  <c r="AL260" i="4"/>
  <c r="V260" i="4"/>
  <c r="AL414" i="4"/>
  <c r="V414" i="4"/>
  <c r="AL895" i="4"/>
  <c r="V895" i="4"/>
  <c r="AL526" i="4"/>
  <c r="V526" i="4"/>
  <c r="V438" i="4"/>
  <c r="AL438" i="4"/>
  <c r="V355" i="4"/>
  <c r="AL355" i="4"/>
  <c r="AJ574" i="3"/>
  <c r="AL574" i="3"/>
  <c r="AL474" i="4"/>
  <c r="V474" i="4"/>
  <c r="V187" i="4"/>
  <c r="AL187" i="4"/>
  <c r="AL892" i="4"/>
  <c r="V892" i="4"/>
  <c r="AJ1590" i="3"/>
  <c r="AL1590" i="3"/>
  <c r="AL779" i="4"/>
  <c r="V779" i="4"/>
  <c r="V444" i="4"/>
  <c r="AL444" i="4"/>
  <c r="V276" i="4"/>
  <c r="AL276" i="4"/>
  <c r="V117" i="4"/>
  <c r="AL117" i="4"/>
  <c r="AJ1659" i="3"/>
  <c r="AL1659" i="3"/>
  <c r="AL1647" i="3"/>
  <c r="AJ1647" i="3"/>
  <c r="AJ613" i="3"/>
  <c r="AL613" i="3"/>
  <c r="AE119" i="3"/>
  <c r="AC119" i="3"/>
  <c r="AC376" i="3"/>
  <c r="AE376" i="3"/>
  <c r="AC560" i="3"/>
  <c r="AE560" i="3"/>
  <c r="AC1460" i="3"/>
  <c r="AE1460" i="3"/>
  <c r="AE1942" i="3"/>
  <c r="AC1942" i="3"/>
  <c r="AC651" i="3"/>
  <c r="AE651" i="3"/>
  <c r="AE658" i="3"/>
  <c r="AC658" i="3"/>
  <c r="AE292" i="3"/>
  <c r="AC292" i="3"/>
  <c r="V488" i="4"/>
  <c r="AL488" i="4"/>
  <c r="AL206" i="4"/>
  <c r="V206" i="4"/>
  <c r="V245" i="4"/>
  <c r="AL245" i="4"/>
  <c r="AL1715" i="3"/>
  <c r="AJ1715" i="3"/>
  <c r="V847" i="4"/>
  <c r="AL847" i="4"/>
  <c r="V486" i="4"/>
  <c r="AL486" i="4"/>
  <c r="V348" i="4"/>
  <c r="AL348" i="4"/>
  <c r="V46" i="4"/>
  <c r="AL46" i="4"/>
  <c r="AJ661" i="3"/>
  <c r="AL661" i="3"/>
  <c r="V363" i="4"/>
  <c r="AL363" i="4"/>
  <c r="V175" i="4"/>
  <c r="AL175" i="4"/>
  <c r="AL462" i="4"/>
  <c r="V462" i="4"/>
  <c r="AL604" i="3"/>
  <c r="AJ604" i="3"/>
  <c r="AL740" i="4"/>
  <c r="V740" i="4"/>
  <c r="AL826" i="4"/>
  <c r="V826" i="4"/>
  <c r="AL700" i="4"/>
  <c r="V700" i="4"/>
  <c r="AL9" i="4"/>
  <c r="V9" i="4"/>
  <c r="AJ1717" i="3"/>
  <c r="AL1717" i="3"/>
  <c r="AL586" i="3"/>
  <c r="AJ586" i="3"/>
  <c r="AE1896" i="3"/>
  <c r="AC1896" i="3"/>
  <c r="AE1945" i="3"/>
  <c r="AC1945" i="3"/>
  <c r="AC1824" i="3"/>
  <c r="AE1824" i="3"/>
  <c r="AC792" i="3"/>
  <c r="AE792" i="3"/>
  <c r="AE246" i="3"/>
  <c r="AC246" i="3"/>
  <c r="AC1283" i="3"/>
  <c r="AE1283" i="3"/>
  <c r="AE999" i="3"/>
  <c r="AC999" i="3"/>
  <c r="AE586" i="3"/>
  <c r="AC586" i="3"/>
  <c r="AE2013" i="3"/>
  <c r="AC2013" i="3"/>
  <c r="AE1284" i="3"/>
  <c r="AC1284" i="3"/>
  <c r="AE321" i="3"/>
  <c r="AC321" i="3"/>
  <c r="AC1633" i="3"/>
  <c r="AE1633" i="3"/>
  <c r="AE736" i="3"/>
  <c r="AC736" i="3"/>
  <c r="AL375" i="4"/>
  <c r="V375" i="4"/>
  <c r="AL181" i="4"/>
  <c r="V181" i="4"/>
  <c r="V705" i="4"/>
  <c r="AL705" i="4"/>
  <c r="AJ1686" i="3"/>
  <c r="AL1686" i="3"/>
  <c r="V796" i="4"/>
  <c r="AL796" i="4"/>
  <c r="V459" i="4"/>
  <c r="AL459" i="4"/>
  <c r="V308" i="4"/>
  <c r="AL308" i="4"/>
  <c r="AL347" i="4"/>
  <c r="V347" i="4"/>
  <c r="AL1610" i="3"/>
  <c r="AJ1610" i="3"/>
  <c r="AL628" i="3"/>
  <c r="AJ628" i="3"/>
  <c r="AL339" i="4"/>
  <c r="V339" i="4"/>
  <c r="AL163" i="4"/>
  <c r="V163" i="4"/>
  <c r="V584" i="4"/>
  <c r="AL584" i="4"/>
  <c r="AL571" i="3"/>
  <c r="AJ571" i="3"/>
  <c r="V722" i="4"/>
  <c r="AL722" i="4"/>
  <c r="AL746" i="4"/>
  <c r="V746" i="4"/>
  <c r="V627" i="4"/>
  <c r="AL627" i="4"/>
  <c r="V682" i="4"/>
  <c r="AL682" i="4"/>
  <c r="AL1687" i="3"/>
  <c r="AJ1687" i="3"/>
  <c r="AL660" i="3"/>
  <c r="AJ660" i="3"/>
  <c r="AC553" i="3"/>
  <c r="AE553" i="3"/>
  <c r="AC1950" i="3"/>
  <c r="AE1950" i="3"/>
  <c r="AC1699" i="3"/>
  <c r="AE1699" i="3"/>
  <c r="AE1938" i="3"/>
  <c r="AC1938" i="3"/>
  <c r="AC606" i="3"/>
  <c r="AE606" i="3"/>
  <c r="AC524" i="3"/>
  <c r="AE524" i="3"/>
  <c r="AE585" i="3"/>
  <c r="AC585" i="3"/>
  <c r="AE859" i="3"/>
  <c r="AC859" i="3"/>
  <c r="AE372" i="3"/>
  <c r="AC372" i="3"/>
  <c r="AC1923" i="3"/>
  <c r="AE1923" i="3"/>
  <c r="AC590" i="3"/>
  <c r="AE590" i="3"/>
  <c r="AE583" i="3"/>
  <c r="AC583" i="3"/>
  <c r="AC1777" i="3"/>
  <c r="AE1777" i="3"/>
  <c r="AL72" i="4"/>
  <c r="V72" i="4"/>
  <c r="AL354" i="4"/>
  <c r="V354" i="4"/>
  <c r="AL361" i="4"/>
  <c r="V361" i="4"/>
  <c r="AJ1682" i="3"/>
  <c r="AL1682" i="3"/>
  <c r="V630" i="4"/>
  <c r="AL630" i="4"/>
  <c r="V322" i="4"/>
  <c r="AL322" i="4"/>
  <c r="V697" i="4"/>
  <c r="AL697" i="4"/>
  <c r="V14" i="4"/>
  <c r="AL14" i="4"/>
  <c r="AJ640" i="3"/>
  <c r="AL640" i="3"/>
  <c r="V878" i="4"/>
  <c r="AL878" i="4"/>
  <c r="V36" i="4"/>
  <c r="AL36" i="4"/>
  <c r="AL282" i="4"/>
  <c r="V282" i="4"/>
  <c r="V257" i="4"/>
  <c r="AL257" i="4"/>
  <c r="AJ793" i="3"/>
  <c r="AL793" i="3"/>
  <c r="AL568" i="3"/>
  <c r="AJ568" i="3"/>
  <c r="AL898" i="4"/>
  <c r="V898" i="4"/>
  <c r="AL193" i="4"/>
  <c r="V193" i="4"/>
  <c r="AL366" i="4"/>
  <c r="V366" i="4"/>
  <c r="V214" i="4"/>
  <c r="AL214" i="4"/>
  <c r="AL1600" i="3"/>
  <c r="AJ1600" i="3"/>
  <c r="AJ572" i="3"/>
  <c r="AL572" i="3"/>
  <c r="AE2283" i="3"/>
  <c r="AC2283" i="3"/>
  <c r="AE1610" i="3"/>
  <c r="AC1610" i="3"/>
  <c r="AE470" i="3"/>
  <c r="AC470" i="3"/>
  <c r="AC1922" i="3"/>
  <c r="AE1922" i="3"/>
  <c r="AE1994" i="3"/>
  <c r="AC1994" i="3"/>
  <c r="AC764" i="3"/>
  <c r="AE764" i="3"/>
  <c r="AE1672" i="3"/>
  <c r="AC1672" i="3"/>
  <c r="AE95" i="3"/>
  <c r="AC95" i="3"/>
  <c r="AC1598" i="3"/>
  <c r="AE1598" i="3"/>
  <c r="AC2245" i="3"/>
  <c r="AE2245" i="3"/>
  <c r="AL899" i="4"/>
  <c r="V899" i="4"/>
  <c r="AL48" i="4"/>
  <c r="V48" i="4"/>
  <c r="V314" i="4"/>
  <c r="AL314" i="4"/>
  <c r="V281" i="4"/>
  <c r="AL281" i="4"/>
  <c r="AL797" i="3"/>
  <c r="AJ797" i="3"/>
  <c r="AL786" i="3"/>
  <c r="AJ786" i="3"/>
  <c r="V606" i="4"/>
  <c r="AL606" i="4"/>
  <c r="V298" i="4"/>
  <c r="AL298" i="4"/>
  <c r="V472" i="4"/>
  <c r="AL472" i="4"/>
  <c r="AL179" i="4"/>
  <c r="V179" i="4"/>
  <c r="AJ1740" i="3"/>
  <c r="AL1740" i="3"/>
  <c r="AJ750" i="3"/>
  <c r="AL750" i="3"/>
  <c r="V881" i="4"/>
  <c r="AL881" i="4"/>
  <c r="AL783" i="4"/>
  <c r="V783" i="4"/>
  <c r="V185" i="4"/>
  <c r="AL185" i="4"/>
  <c r="V160" i="4"/>
  <c r="AL160" i="4"/>
  <c r="AL780" i="3"/>
  <c r="AJ780" i="3"/>
  <c r="V786" i="4"/>
  <c r="AL786" i="4"/>
  <c r="AL753" i="4"/>
  <c r="V753" i="4"/>
  <c r="V296" i="4"/>
  <c r="AL296" i="4"/>
  <c r="AL69" i="4"/>
  <c r="V69" i="4"/>
  <c r="AL1666" i="3"/>
  <c r="AJ1666" i="3"/>
  <c r="AE1624" i="3"/>
  <c r="AC1624" i="3"/>
  <c r="AE787" i="3"/>
  <c r="AC787" i="3"/>
  <c r="AC664" i="3"/>
  <c r="AE664" i="3"/>
  <c r="AE469" i="3"/>
  <c r="AC469" i="3"/>
  <c r="AE136" i="3"/>
  <c r="AC136" i="3"/>
  <c r="AC858" i="3"/>
  <c r="AE858" i="3"/>
  <c r="AE1791" i="3"/>
  <c r="AC1791" i="3"/>
  <c r="AE2014" i="3"/>
  <c r="AC2014" i="3"/>
  <c r="V918" i="4"/>
  <c r="AL918" i="4"/>
  <c r="V24" i="4"/>
  <c r="AL24" i="4"/>
  <c r="AL238" i="4"/>
  <c r="V238" i="4"/>
  <c r="AL229" i="4"/>
  <c r="V229" i="4"/>
  <c r="AJ785" i="3"/>
  <c r="AL785" i="3"/>
  <c r="AL582" i="4"/>
  <c r="V582" i="4"/>
  <c r="V274" i="4"/>
  <c r="AL274" i="4"/>
  <c r="V396" i="4"/>
  <c r="AL396" i="4"/>
  <c r="V88" i="4"/>
  <c r="AL88" i="4"/>
  <c r="AJ1592" i="3"/>
  <c r="AL1592" i="3"/>
  <c r="AL871" i="4"/>
  <c r="V871" i="4"/>
  <c r="V625" i="4"/>
  <c r="AL625" i="4"/>
  <c r="V113" i="4"/>
  <c r="AL113" i="4"/>
  <c r="AL57" i="4"/>
  <c r="V57" i="4"/>
  <c r="AJ1609" i="3"/>
  <c r="AL1609" i="3"/>
  <c r="AL699" i="4"/>
  <c r="V699" i="4"/>
  <c r="V552" i="4"/>
  <c r="AL552" i="4"/>
  <c r="V244" i="4"/>
  <c r="AL244" i="4"/>
  <c r="AL373" i="4"/>
  <c r="V373" i="4"/>
  <c r="AE1473" i="3"/>
  <c r="AC1473" i="3"/>
  <c r="AC102" i="3"/>
  <c r="AE102" i="3"/>
  <c r="AC1718" i="3"/>
  <c r="AE1718" i="3"/>
  <c r="AC638" i="3"/>
  <c r="AE638" i="3"/>
  <c r="AC1592" i="3"/>
  <c r="AE1592" i="3"/>
  <c r="AC625" i="3"/>
  <c r="AE625" i="3"/>
  <c r="AE575" i="3"/>
  <c r="AC575" i="3"/>
  <c r="AC1666" i="3"/>
  <c r="AE1666" i="3"/>
  <c r="AC780" i="3"/>
  <c r="AE780" i="3"/>
  <c r="AL876" i="4"/>
  <c r="V876" i="4"/>
  <c r="V694" i="4"/>
  <c r="AL694" i="4"/>
  <c r="V149" i="4"/>
  <c r="AL149" i="4"/>
  <c r="V118" i="4"/>
  <c r="AL118" i="4"/>
  <c r="AJ756" i="3"/>
  <c r="AL756" i="3"/>
  <c r="AJ598" i="3"/>
  <c r="AL598" i="3"/>
  <c r="V792" i="4"/>
  <c r="AL792" i="4"/>
  <c r="AL827" i="4"/>
  <c r="V827" i="4"/>
  <c r="V326" i="4"/>
  <c r="AL326" i="4"/>
  <c r="V22" i="4"/>
  <c r="AL22" i="4"/>
  <c r="AL1637" i="3"/>
  <c r="AJ1637" i="3"/>
  <c r="AJ659" i="3"/>
  <c r="AL659" i="3"/>
  <c r="AL849" i="4"/>
  <c r="V849" i="4"/>
  <c r="V604" i="4"/>
  <c r="AL604" i="4"/>
  <c r="AL41" i="4"/>
  <c r="V41" i="4"/>
  <c r="AL435" i="4"/>
  <c r="V435" i="4"/>
  <c r="AL1675" i="3"/>
  <c r="AJ1675" i="3"/>
  <c r="V852" i="4"/>
  <c r="AL852" i="4"/>
  <c r="V507" i="4"/>
  <c r="AL507" i="4"/>
  <c r="V190" i="4"/>
  <c r="AL190" i="4"/>
  <c r="AJ639" i="3"/>
  <c r="AL639" i="3"/>
  <c r="AC1605" i="3"/>
  <c r="AE1605" i="3"/>
  <c r="AE150" i="3"/>
  <c r="AC150" i="3"/>
  <c r="AE650" i="3"/>
  <c r="AC650" i="3"/>
  <c r="AE1707" i="3"/>
  <c r="AC1707" i="3"/>
  <c r="AC1702" i="3"/>
  <c r="AE1702" i="3"/>
  <c r="AC104" i="3"/>
  <c r="AE104" i="3"/>
  <c r="AC1301" i="3"/>
  <c r="AE1301" i="3"/>
  <c r="AE1888" i="3"/>
  <c r="AC1888" i="3"/>
  <c r="AC1622" i="3"/>
  <c r="AE1622" i="3"/>
  <c r="AE1572" i="3"/>
  <c r="AC1572" i="3"/>
  <c r="AC2168" i="3"/>
  <c r="AE2168" i="3"/>
  <c r="AE1333" i="3"/>
  <c r="AC1333" i="3"/>
  <c r="AC254" i="3"/>
  <c r="AE254" i="3"/>
  <c r="AE1977" i="3"/>
  <c r="AC1977" i="3"/>
  <c r="AC918" i="3"/>
  <c r="AE918" i="3"/>
  <c r="AE2068" i="3"/>
  <c r="AC2068" i="3"/>
  <c r="AE345" i="3"/>
  <c r="AC345" i="3"/>
  <c r="AC1168" i="3"/>
  <c r="AE1168" i="3"/>
  <c r="AE1061" i="3"/>
  <c r="AC1061" i="3"/>
  <c r="AE214" i="3"/>
  <c r="AC214" i="3"/>
  <c r="AC562" i="3"/>
  <c r="AE562" i="3"/>
  <c r="AC398" i="3"/>
  <c r="AE398" i="3"/>
  <c r="AC1593" i="3"/>
  <c r="AE1593" i="3"/>
  <c r="AE769" i="3"/>
  <c r="AC769" i="3"/>
  <c r="AE1794" i="3"/>
  <c r="AC1794" i="3"/>
  <c r="AC926" i="3"/>
  <c r="AE926" i="3"/>
  <c r="AE2064" i="3"/>
  <c r="AC2064" i="3"/>
  <c r="AE1451" i="3"/>
  <c r="AC1451" i="3"/>
  <c r="AC1086" i="3"/>
  <c r="AE1086" i="3"/>
  <c r="AE762" i="3"/>
  <c r="AC762" i="3"/>
  <c r="AC857" i="3"/>
  <c r="AE857" i="3"/>
  <c r="AE622" i="3"/>
  <c r="AC622" i="3"/>
  <c r="AC766" i="3"/>
  <c r="AE766" i="3"/>
  <c r="AE273" i="3"/>
  <c r="AC273" i="3"/>
  <c r="AC758" i="3"/>
  <c r="AE758" i="3"/>
  <c r="AC1417" i="3"/>
  <c r="AE1417" i="3"/>
  <c r="AC1172" i="3"/>
  <c r="AE1172" i="3"/>
  <c r="AE1008" i="3"/>
  <c r="AC1008" i="3"/>
  <c r="AE1987" i="3"/>
  <c r="AC1987" i="3"/>
  <c r="AE182" i="3"/>
  <c r="AC182" i="3"/>
  <c r="AE1474" i="3"/>
  <c r="AC1474" i="3"/>
  <c r="AC1124" i="3"/>
  <c r="AE1124" i="3"/>
  <c r="AE2140" i="3"/>
  <c r="AC2140" i="3"/>
  <c r="AC2019" i="3"/>
  <c r="AE2019" i="3"/>
  <c r="AC961" i="3"/>
  <c r="AE961" i="3"/>
  <c r="AE643" i="3"/>
  <c r="AC643" i="3"/>
  <c r="AC154" i="3"/>
  <c r="AE154" i="3"/>
  <c r="AE2275" i="3"/>
  <c r="AC2275" i="3"/>
  <c r="AC204" i="3"/>
  <c r="AE204" i="3"/>
  <c r="AC94" i="3"/>
  <c r="AE94" i="3"/>
  <c r="AE114" i="3"/>
  <c r="AC114" i="3"/>
  <c r="AC1039" i="3"/>
  <c r="AE1039" i="3"/>
  <c r="AC1453" i="3"/>
  <c r="AE1453" i="3"/>
  <c r="AC1503" i="3"/>
  <c r="AE1503" i="3"/>
  <c r="AC1941" i="3"/>
  <c r="AE1941" i="3"/>
  <c r="AC1825" i="3"/>
  <c r="AE1825" i="3"/>
  <c r="AE208" i="3"/>
  <c r="AC208" i="3"/>
  <c r="AE1858" i="3"/>
  <c r="AC1858" i="3"/>
  <c r="AC1245" i="3"/>
  <c r="AE1245" i="3"/>
  <c r="AC413" i="3"/>
  <c r="AE413" i="3"/>
  <c r="AC1075" i="3"/>
  <c r="AE1075" i="3"/>
  <c r="AE1792" i="3"/>
  <c r="AC1792" i="3"/>
  <c r="AE93" i="3"/>
  <c r="AC93" i="3"/>
  <c r="AE344" i="3"/>
  <c r="AC344" i="3"/>
  <c r="AC2090" i="3"/>
  <c r="AE2090" i="3"/>
  <c r="AC2057" i="3"/>
  <c r="AE2057" i="3"/>
  <c r="AC2040" i="3"/>
  <c r="AE2040" i="3"/>
  <c r="AE2186" i="3"/>
  <c r="AC2186" i="3"/>
  <c r="AE1462" i="3"/>
  <c r="AC1462" i="3"/>
  <c r="AC1083" i="3"/>
  <c r="AE1083" i="3"/>
  <c r="AC1064" i="3"/>
  <c r="AE1064" i="3"/>
  <c r="AC1637" i="3"/>
  <c r="AE1637" i="3"/>
  <c r="AE360" i="3"/>
  <c r="AC360" i="3"/>
  <c r="AC1974" i="3"/>
  <c r="AE1974" i="3"/>
  <c r="AC2134" i="3"/>
  <c r="AE2134" i="3"/>
  <c r="AE1830" i="3"/>
  <c r="AC1830" i="3"/>
  <c r="AC580" i="3"/>
  <c r="AE580" i="3"/>
  <c r="AE2015" i="3"/>
  <c r="AC2015" i="3"/>
  <c r="AE1978" i="3"/>
  <c r="AC1978" i="3"/>
  <c r="AC1196" i="3"/>
  <c r="AE1196" i="3"/>
  <c r="AE1098" i="3"/>
  <c r="AC1098" i="3"/>
  <c r="AE184" i="3"/>
  <c r="AC184" i="3"/>
  <c r="AE1464" i="3"/>
  <c r="AC1464" i="3"/>
  <c r="AC582" i="3"/>
  <c r="AE582" i="3"/>
  <c r="AE1549" i="3"/>
  <c r="AC1549" i="3"/>
  <c r="AE1111" i="3"/>
  <c r="AC1111" i="3"/>
  <c r="AC173" i="3"/>
  <c r="AE173" i="3"/>
  <c r="AE1359" i="3"/>
  <c r="AC1359" i="3"/>
  <c r="AE760" i="3"/>
  <c r="AC760" i="3"/>
  <c r="AE195" i="3"/>
  <c r="AC195" i="3"/>
  <c r="AE572" i="3"/>
  <c r="AC572" i="3"/>
  <c r="AE1336" i="3"/>
  <c r="AC1336" i="3"/>
  <c r="AC2080" i="3"/>
  <c r="AE2080" i="3"/>
  <c r="AE912" i="3"/>
  <c r="AC912" i="3"/>
  <c r="AE1242" i="3"/>
  <c r="AC1242" i="3"/>
  <c r="AE1408" i="3"/>
  <c r="AC1408" i="3"/>
  <c r="AC1251" i="3"/>
  <c r="AE1251" i="3"/>
  <c r="AE2287" i="3"/>
  <c r="AC2287" i="3"/>
  <c r="AC1371" i="3"/>
  <c r="AE1371" i="3"/>
  <c r="AC2130" i="3"/>
  <c r="AE2130" i="3"/>
  <c r="AC1886" i="3"/>
  <c r="AE1886" i="3"/>
  <c r="AE1469" i="3"/>
  <c r="AC1469" i="3"/>
  <c r="AE2146" i="3"/>
  <c r="AC2146" i="3"/>
  <c r="AC371" i="3"/>
  <c r="AE371" i="3"/>
  <c r="AC1725" i="3"/>
  <c r="AE1725" i="3"/>
  <c r="AE101" i="3"/>
  <c r="AC101" i="3"/>
  <c r="AC1997" i="3"/>
  <c r="AE1997" i="3"/>
  <c r="AE969" i="3"/>
  <c r="AC969" i="3"/>
  <c r="AC1139" i="3"/>
  <c r="AE1139" i="3"/>
  <c r="AE1401" i="3"/>
  <c r="AC1401" i="3"/>
  <c r="AC799" i="3"/>
  <c r="AE799" i="3"/>
  <c r="AC519" i="3"/>
  <c r="AE519" i="3"/>
  <c r="AC537" i="3"/>
  <c r="AE537" i="3"/>
  <c r="AE639" i="3"/>
  <c r="AC639" i="3"/>
  <c r="AE970" i="3"/>
  <c r="AC970" i="3"/>
  <c r="AC1483" i="3"/>
  <c r="AE1483" i="3"/>
  <c r="AC823" i="3"/>
  <c r="AE823" i="3"/>
  <c r="AE191" i="3"/>
  <c r="AC191" i="3"/>
  <c r="AC1409" i="3"/>
  <c r="AE1409" i="3"/>
  <c r="AC1425" i="3"/>
  <c r="AE1425" i="3"/>
  <c r="AE843" i="3"/>
  <c r="AC843" i="3"/>
  <c r="AC120" i="3"/>
  <c r="AE120" i="3"/>
  <c r="AC143" i="3"/>
  <c r="AE143" i="3"/>
  <c r="AC256" i="3"/>
  <c r="AE256" i="3"/>
  <c r="AE975" i="3"/>
  <c r="AC975" i="3"/>
  <c r="AE1308" i="3"/>
  <c r="AC1308" i="3"/>
  <c r="AE166" i="3"/>
  <c r="AC166" i="3"/>
  <c r="AE2152" i="3"/>
  <c r="AC2152" i="3"/>
  <c r="AL1646" i="3"/>
  <c r="AJ1646" i="3"/>
  <c r="V362" i="4"/>
  <c r="AL362" i="4"/>
  <c r="AL770" i="4"/>
  <c r="V770" i="4"/>
  <c r="AL1688" i="3"/>
  <c r="AJ1688" i="3"/>
  <c r="V305" i="4"/>
  <c r="AL305" i="4"/>
  <c r="V589" i="4"/>
  <c r="AL589" i="4"/>
  <c r="AJ778" i="3"/>
  <c r="AL778" i="3"/>
  <c r="AE1709" i="3"/>
  <c r="AC1709" i="3"/>
  <c r="AE1639" i="3"/>
  <c r="AC1639" i="3"/>
  <c r="AC750" i="3"/>
  <c r="AE750" i="3"/>
  <c r="AE2265" i="3"/>
  <c r="AC2265" i="3"/>
  <c r="AE607" i="3"/>
  <c r="AC607" i="3"/>
  <c r="AL16" i="4"/>
  <c r="V16" i="4"/>
  <c r="AL213" i="4"/>
  <c r="V213" i="4"/>
  <c r="AJ521" i="3"/>
  <c r="AL521" i="3"/>
  <c r="AL74" i="4"/>
  <c r="V74" i="4"/>
  <c r="AJ1649" i="3"/>
  <c r="AL1649" i="3"/>
  <c r="AC538" i="3"/>
  <c r="AE538" i="3"/>
  <c r="AE390" i="3"/>
  <c r="AC390" i="3"/>
  <c r="AE242" i="3"/>
  <c r="AC242" i="3"/>
  <c r="AC1675" i="3"/>
  <c r="AE1675" i="3"/>
  <c r="AE312" i="3"/>
  <c r="AC312" i="3"/>
  <c r="AC751" i="3"/>
  <c r="AE751" i="3"/>
  <c r="AE2018" i="3"/>
  <c r="AC2018" i="3"/>
  <c r="AE797" i="3"/>
  <c r="AC797" i="3"/>
  <c r="AE1851" i="3"/>
  <c r="AC1851" i="3"/>
  <c r="AC1635" i="3"/>
  <c r="AE1635" i="3"/>
  <c r="AC574" i="3"/>
  <c r="AE574" i="3"/>
  <c r="AC1638" i="3"/>
  <c r="AE1638" i="3"/>
  <c r="V840" i="4"/>
  <c r="AL840" i="4"/>
  <c r="V565" i="4"/>
  <c r="AL565" i="4"/>
  <c r="V263" i="4"/>
  <c r="AL263" i="4"/>
  <c r="AL241" i="4"/>
  <c r="V241" i="4"/>
  <c r="AL902" i="3"/>
  <c r="AJ902" i="3"/>
  <c r="AJ533" i="3"/>
  <c r="AL533" i="3"/>
  <c r="AL748" i="4"/>
  <c r="V748" i="4"/>
  <c r="V92" i="4"/>
  <c r="AL92" i="4"/>
  <c r="AL194" i="4"/>
  <c r="V194" i="4"/>
  <c r="AL1689" i="3"/>
  <c r="AJ1689" i="3"/>
  <c r="AL810" i="3"/>
  <c r="AJ810" i="3"/>
  <c r="AL735" i="4"/>
  <c r="V735" i="4"/>
  <c r="AL473" i="4"/>
  <c r="V473" i="4"/>
  <c r="AL640" i="4"/>
  <c r="V640" i="4"/>
  <c r="AL368" i="4"/>
  <c r="V368" i="4"/>
  <c r="V460" i="4"/>
  <c r="AL460" i="4"/>
  <c r="AL62" i="4"/>
  <c r="V62" i="4"/>
  <c r="V217" i="4"/>
  <c r="AL217" i="4"/>
  <c r="AJ1614" i="3"/>
  <c r="AL1614" i="3"/>
  <c r="AC555" i="3"/>
  <c r="AE555" i="3"/>
  <c r="AC791" i="3"/>
  <c r="AE791" i="3"/>
  <c r="AC2074" i="3"/>
  <c r="AE2074" i="3"/>
  <c r="AE2077" i="3"/>
  <c r="AC2077" i="3"/>
  <c r="AC868" i="3"/>
  <c r="AE868" i="3"/>
  <c r="AE462" i="3"/>
  <c r="AC462" i="3"/>
  <c r="AC558" i="3"/>
  <c r="AE558" i="3"/>
  <c r="AE2067" i="3"/>
  <c r="AC2067" i="3"/>
  <c r="AC665" i="3"/>
  <c r="AE665" i="3"/>
  <c r="AE1688" i="3"/>
  <c r="AC1688" i="3"/>
  <c r="AC391" i="3"/>
  <c r="AE391" i="3"/>
  <c r="AL776" i="4"/>
  <c r="V776" i="4"/>
  <c r="V513" i="4"/>
  <c r="AL513" i="4"/>
  <c r="V747" i="4"/>
  <c r="AL747" i="4"/>
  <c r="V635" i="4"/>
  <c r="AL635" i="4"/>
  <c r="V595" i="4"/>
  <c r="AL595" i="4"/>
  <c r="V80" i="4"/>
  <c r="AL80" i="4"/>
  <c r="AL324" i="4"/>
  <c r="V324" i="4"/>
  <c r="AJ1663" i="3"/>
  <c r="AL1663" i="3"/>
  <c r="AL577" i="3"/>
  <c r="AJ577" i="3"/>
  <c r="AL669" i="4"/>
  <c r="V669" i="4"/>
  <c r="AL399" i="4"/>
  <c r="V399" i="4"/>
  <c r="V562" i="4"/>
  <c r="AL562" i="4"/>
  <c r="V189" i="4"/>
  <c r="AL189" i="4"/>
  <c r="AJ1704" i="3"/>
  <c r="AL1704" i="3"/>
  <c r="AJ1605" i="3"/>
  <c r="AL1605" i="3"/>
  <c r="AL638" i="3"/>
  <c r="AJ638" i="3"/>
  <c r="V413" i="4"/>
  <c r="AL413" i="4"/>
  <c r="AL50" i="4"/>
  <c r="V50" i="4"/>
  <c r="V28" i="4"/>
  <c r="AL28" i="4"/>
  <c r="AL1580" i="3"/>
  <c r="AJ1580" i="3"/>
  <c r="AC1947" i="3"/>
  <c r="AE1947" i="3"/>
  <c r="AC1676" i="3"/>
  <c r="AE1676" i="3"/>
  <c r="AE1458" i="3"/>
  <c r="AC1458" i="3"/>
  <c r="AE788" i="3"/>
  <c r="AC788" i="3"/>
  <c r="AE185" i="3"/>
  <c r="AC185" i="3"/>
  <c r="AC82" i="3"/>
  <c r="AE82" i="3"/>
  <c r="AE773" i="3"/>
  <c r="AC773" i="3"/>
  <c r="AE2114" i="3"/>
  <c r="AC2114" i="3"/>
  <c r="AL920" i="4"/>
  <c r="V920" i="4"/>
  <c r="AL225" i="4"/>
  <c r="V225" i="4"/>
  <c r="AL478" i="4"/>
  <c r="V478" i="4"/>
  <c r="V319" i="4"/>
  <c r="AL319" i="4"/>
  <c r="AL1639" i="3"/>
  <c r="AJ1639" i="3"/>
  <c r="V652" i="4"/>
  <c r="AL652" i="4"/>
  <c r="V602" i="4"/>
  <c r="AL602" i="4"/>
  <c r="AL45" i="4"/>
  <c r="V45" i="4"/>
  <c r="V910" i="4"/>
  <c r="AL910" i="4"/>
  <c r="V766" i="4"/>
  <c r="AL766" i="4"/>
  <c r="V331" i="4"/>
  <c r="AL331" i="4"/>
  <c r="AL400" i="4"/>
  <c r="V400" i="4"/>
  <c r="AL680" i="4"/>
  <c r="V680" i="4"/>
  <c r="AL482" i="4"/>
  <c r="V482" i="4"/>
  <c r="AL554" i="4"/>
  <c r="V554" i="4"/>
  <c r="AE1001" i="3"/>
  <c r="AC1001" i="3"/>
  <c r="AE463" i="3"/>
  <c r="AC463" i="3"/>
  <c r="AC593" i="3"/>
  <c r="AE593" i="3"/>
  <c r="AC1586" i="3"/>
  <c r="AE1586" i="3"/>
  <c r="AE1440" i="3"/>
  <c r="AC1440" i="3"/>
  <c r="AE615" i="3"/>
  <c r="AC615" i="3"/>
  <c r="AC825" i="3"/>
  <c r="AE825" i="3"/>
  <c r="AL799" i="4"/>
  <c r="V799" i="4"/>
  <c r="AL841" i="4"/>
  <c r="V841" i="4"/>
  <c r="V378" i="4"/>
  <c r="AL378" i="4"/>
  <c r="AL607" i="4"/>
  <c r="V607" i="4"/>
  <c r="AJ1709" i="3"/>
  <c r="AL1709" i="3"/>
  <c r="AJ547" i="3"/>
  <c r="AL547" i="3"/>
  <c r="AL815" i="4"/>
  <c r="V815" i="4"/>
  <c r="V563" i="4"/>
  <c r="AL563" i="4"/>
  <c r="V862" i="4"/>
  <c r="AL862" i="4"/>
  <c r="AJ1644" i="3"/>
  <c r="AL1644" i="3"/>
  <c r="AJ597" i="3"/>
  <c r="AL597" i="3"/>
  <c r="V829" i="4"/>
  <c r="AL829" i="4"/>
  <c r="V707" i="4"/>
  <c r="AL707" i="4"/>
  <c r="V731" i="4"/>
  <c r="AL731" i="4"/>
  <c r="V508" i="4"/>
  <c r="AL508" i="4"/>
  <c r="AL642" i="4"/>
  <c r="V642" i="4"/>
  <c r="AL440" i="4"/>
  <c r="V440" i="4"/>
  <c r="V592" i="4"/>
  <c r="AL592" i="4"/>
  <c r="AL1611" i="3"/>
  <c r="AJ1611" i="3"/>
  <c r="AJ611" i="3"/>
  <c r="AL611" i="3"/>
  <c r="AC656" i="3"/>
  <c r="AE656" i="3"/>
  <c r="AC1566" i="3"/>
  <c r="AE1566" i="3"/>
  <c r="AC569" i="3"/>
  <c r="AE569" i="3"/>
  <c r="AC1684" i="3"/>
  <c r="AE1684" i="3"/>
  <c r="AE1685" i="3"/>
  <c r="AC1685" i="3"/>
  <c r="AC1634" i="3"/>
  <c r="AE1634" i="3"/>
  <c r="AC1733" i="3"/>
  <c r="AE1733" i="3"/>
  <c r="AC1662" i="3"/>
  <c r="AE1662" i="3"/>
  <c r="AL902" i="4"/>
  <c r="V902" i="4"/>
  <c r="V754" i="4"/>
  <c r="AL754" i="4"/>
  <c r="AL823" i="4"/>
  <c r="V823" i="4"/>
  <c r="V254" i="4"/>
  <c r="AL254" i="4"/>
  <c r="AJ529" i="3"/>
  <c r="AL529" i="3"/>
  <c r="V713" i="4"/>
  <c r="AL713" i="4"/>
  <c r="AL495" i="4"/>
  <c r="V495" i="4"/>
  <c r="V616" i="4"/>
  <c r="AL616" i="4"/>
  <c r="AJ617" i="3"/>
  <c r="AL617" i="3"/>
  <c r="AL807" i="4"/>
  <c r="V807" i="4"/>
  <c r="AL662" i="4"/>
  <c r="V662" i="4"/>
  <c r="V603" i="4"/>
  <c r="AL603" i="4"/>
  <c r="AL171" i="4"/>
  <c r="V171" i="4"/>
  <c r="AJ1596" i="3"/>
  <c r="AL1596" i="3"/>
  <c r="AL552" i="3"/>
  <c r="AJ552" i="3"/>
  <c r="V517" i="4"/>
  <c r="AL517" i="4"/>
  <c r="V261" i="4"/>
  <c r="AL261" i="4"/>
  <c r="V422" i="4"/>
  <c r="AL422" i="4"/>
  <c r="AC567" i="3"/>
  <c r="AE567" i="3"/>
  <c r="AE1799" i="3"/>
  <c r="AC1799" i="3"/>
  <c r="AE514" i="3"/>
  <c r="AC514" i="3"/>
  <c r="AC110" i="3"/>
  <c r="AE110" i="3"/>
  <c r="AE1911" i="3"/>
  <c r="AC1911" i="3"/>
  <c r="AC1652" i="3"/>
  <c r="AE1652" i="3"/>
  <c r="AE613" i="3"/>
  <c r="AC613" i="3"/>
  <c r="AE2138" i="3"/>
  <c r="AC2138" i="3"/>
  <c r="AE2089" i="3"/>
  <c r="AC2089" i="3"/>
  <c r="AL818" i="4"/>
  <c r="V818" i="4"/>
  <c r="AL688" i="4"/>
  <c r="V688" i="4"/>
  <c r="V614" i="4"/>
  <c r="AL614" i="4"/>
  <c r="AL395" i="4"/>
  <c r="V395" i="4"/>
  <c r="AJ517" i="3"/>
  <c r="AL517" i="3"/>
  <c r="V655" i="4"/>
  <c r="AL655" i="4"/>
  <c r="V456" i="4"/>
  <c r="AL456" i="4"/>
  <c r="V839" i="4"/>
  <c r="AL839" i="4"/>
  <c r="AL724" i="4"/>
  <c r="V724" i="4"/>
  <c r="V601" i="4"/>
  <c r="AL601" i="4"/>
  <c r="V496" i="4"/>
  <c r="AL496" i="4"/>
  <c r="V510" i="4"/>
  <c r="AL510" i="4"/>
  <c r="AJ1594" i="3"/>
  <c r="AL1594" i="3"/>
  <c r="AL518" i="3"/>
  <c r="AJ518" i="3"/>
  <c r="V494" i="4"/>
  <c r="AL494" i="4"/>
  <c r="V207" i="4"/>
  <c r="AL207" i="4"/>
  <c r="AL301" i="4"/>
  <c r="V301" i="4"/>
  <c r="AJ744" i="3"/>
  <c r="AL744" i="3"/>
  <c r="AC653" i="3"/>
  <c r="AE653" i="3"/>
  <c r="AC138" i="3"/>
  <c r="AE138" i="3"/>
  <c r="AE2161" i="3"/>
  <c r="AC2161" i="3"/>
  <c r="AE1578" i="3"/>
  <c r="AC1578" i="3"/>
  <c r="AE783" i="3"/>
  <c r="AC783" i="3"/>
  <c r="AC810" i="3"/>
  <c r="AE810" i="3"/>
  <c r="AE959" i="3"/>
  <c r="AC959" i="3"/>
  <c r="AC2012" i="3"/>
  <c r="AE2012" i="3"/>
  <c r="AE1391" i="3"/>
  <c r="AC1391" i="3"/>
  <c r="AL168" i="4"/>
  <c r="V168" i="4"/>
  <c r="AL886" i="4"/>
  <c r="V886" i="4"/>
  <c r="V200" i="4"/>
  <c r="AL200" i="4"/>
  <c r="AJ740" i="3"/>
  <c r="AL740" i="3"/>
  <c r="AL904" i="4"/>
  <c r="V904" i="4"/>
  <c r="AL449" i="4"/>
  <c r="V449" i="4"/>
  <c r="V277" i="4"/>
  <c r="AL277" i="4"/>
  <c r="AL248" i="4"/>
  <c r="V248" i="4"/>
  <c r="AL859" i="3"/>
  <c r="AJ859" i="3"/>
  <c r="AJ652" i="3"/>
  <c r="AL652" i="3"/>
  <c r="AL622" i="3"/>
  <c r="AJ622" i="3"/>
  <c r="AL132" i="4"/>
  <c r="V132" i="4"/>
  <c r="V622" i="4"/>
  <c r="AL622" i="4"/>
  <c r="V89" i="4"/>
  <c r="AL89" i="4"/>
  <c r="AJ775" i="3"/>
  <c r="AL775" i="3"/>
  <c r="V860" i="4"/>
  <c r="AL860" i="4"/>
  <c r="AL358" i="4"/>
  <c r="V358" i="4"/>
  <c r="AL124" i="4"/>
  <c r="V124" i="4"/>
  <c r="V31" i="4"/>
  <c r="AL31" i="4"/>
  <c r="AJ809" i="3"/>
  <c r="AL809" i="3"/>
  <c r="AL532" i="3"/>
  <c r="AJ532" i="3"/>
  <c r="AC660" i="3"/>
  <c r="AE660" i="3"/>
  <c r="AC652" i="3"/>
  <c r="AE652" i="3"/>
  <c r="AC1620" i="3"/>
  <c r="AE1620" i="3"/>
  <c r="AC202" i="3"/>
  <c r="AE202" i="3"/>
  <c r="AC1730" i="3"/>
  <c r="AE1730" i="3"/>
  <c r="AC354" i="3"/>
  <c r="AE354" i="3"/>
  <c r="AL144" i="4"/>
  <c r="V144" i="4"/>
  <c r="V692" i="4"/>
  <c r="AL692" i="4"/>
  <c r="AL129" i="4"/>
  <c r="V129" i="4"/>
  <c r="AL784" i="3"/>
  <c r="AJ784" i="3"/>
  <c r="V769" i="4"/>
  <c r="AL769" i="4"/>
  <c r="V405" i="4"/>
  <c r="AL405" i="4"/>
  <c r="V202" i="4"/>
  <c r="AL202" i="4"/>
  <c r="V360" i="4"/>
  <c r="AL360" i="4"/>
  <c r="AL595" i="3"/>
  <c r="AJ595" i="3"/>
  <c r="AL108" i="4"/>
  <c r="V108" i="4"/>
  <c r="V548" i="4"/>
  <c r="AL548" i="4"/>
  <c r="V637" i="4"/>
  <c r="AL637" i="4"/>
  <c r="AJ748" i="3"/>
  <c r="AL748" i="3"/>
  <c r="AL737" i="4"/>
  <c r="V737" i="4"/>
  <c r="V334" i="4"/>
  <c r="AL334" i="4"/>
  <c r="AL33" i="4"/>
  <c r="V33" i="4"/>
  <c r="AL177" i="4"/>
  <c r="V177" i="4"/>
  <c r="AJ1703" i="3"/>
  <c r="AL1703" i="3"/>
  <c r="AL520" i="3"/>
  <c r="AJ520" i="3"/>
  <c r="AE1581" i="3"/>
  <c r="AC1581" i="3"/>
  <c r="AE1948" i="3"/>
  <c r="AC1948" i="3"/>
  <c r="AE822" i="3"/>
  <c r="AC822" i="3"/>
  <c r="AC318" i="3"/>
  <c r="AE318" i="3"/>
  <c r="AE1832" i="3"/>
  <c r="AC1832" i="3"/>
  <c r="AE1894" i="3"/>
  <c r="AC1894" i="3"/>
  <c r="AE564" i="3"/>
  <c r="AC564" i="3"/>
  <c r="AE1836" i="3"/>
  <c r="AC1836" i="3"/>
  <c r="AC594" i="3"/>
  <c r="AE594" i="3"/>
  <c r="AC1056" i="3"/>
  <c r="AE1056" i="3"/>
  <c r="AE1589" i="3"/>
  <c r="AC1589" i="3"/>
  <c r="AL120" i="4"/>
  <c r="V120" i="4"/>
  <c r="V593" i="4"/>
  <c r="AL593" i="4"/>
  <c r="AL52" i="4"/>
  <c r="V52" i="4"/>
  <c r="AJ665" i="3"/>
  <c r="AL665" i="3"/>
  <c r="AL706" i="4"/>
  <c r="V706" i="4"/>
  <c r="V370" i="4"/>
  <c r="AL370" i="4"/>
  <c r="V141" i="4"/>
  <c r="AL141" i="4"/>
  <c r="AL230" i="4"/>
  <c r="V230" i="4"/>
  <c r="AL1607" i="3"/>
  <c r="AJ1607" i="3"/>
  <c r="V84" i="4"/>
  <c r="AL84" i="4"/>
  <c r="AL428" i="4"/>
  <c r="V428" i="4"/>
  <c r="V384" i="4"/>
  <c r="AL384" i="4"/>
  <c r="AL1652" i="3"/>
  <c r="AJ1652" i="3"/>
  <c r="V618" i="4"/>
  <c r="AL618" i="4"/>
  <c r="V310" i="4"/>
  <c r="AL310" i="4"/>
  <c r="V572" i="4"/>
  <c r="AL572" i="4"/>
  <c r="AL119" i="4"/>
  <c r="V119" i="4"/>
  <c r="AE1937" i="3"/>
  <c r="AC1937" i="3"/>
  <c r="AC1636" i="3"/>
  <c r="AE1636" i="3"/>
  <c r="AE1936" i="3"/>
  <c r="AC1936" i="3"/>
  <c r="AC1590" i="3"/>
  <c r="AE1590" i="3"/>
  <c r="AC362" i="3"/>
  <c r="AE362" i="3"/>
  <c r="AE862" i="3"/>
  <c r="AC862" i="3"/>
  <c r="AC1614" i="3"/>
  <c r="AE1614" i="3"/>
  <c r="AE149" i="3"/>
  <c r="AC149" i="3"/>
  <c r="AL96" i="4"/>
  <c r="V96" i="4"/>
  <c r="AL516" i="4"/>
  <c r="V516" i="4"/>
  <c r="AL575" i="4"/>
  <c r="V575" i="4"/>
  <c r="AL1616" i="3"/>
  <c r="AJ1616" i="3"/>
  <c r="V775" i="4"/>
  <c r="AL775" i="4"/>
  <c r="AL346" i="4"/>
  <c r="V346" i="4"/>
  <c r="AL76" i="4"/>
  <c r="V76" i="4"/>
  <c r="V2" i="4"/>
  <c r="AL2" i="4"/>
  <c r="AJ1645" i="3"/>
  <c r="AL1645" i="3"/>
  <c r="AL575" i="3"/>
  <c r="AJ575" i="3"/>
  <c r="AL60" i="4"/>
  <c r="V60" i="4"/>
  <c r="V335" i="4"/>
  <c r="AL335" i="4"/>
  <c r="V330" i="4"/>
  <c r="AL330" i="4"/>
  <c r="V594" i="4"/>
  <c r="AL594" i="4"/>
  <c r="AL286" i="4"/>
  <c r="V286" i="4"/>
  <c r="V429" i="4"/>
  <c r="AL429" i="4"/>
  <c r="AL538" i="4"/>
  <c r="V538" i="4"/>
  <c r="AJ511" i="3"/>
  <c r="AL511" i="3"/>
  <c r="AC1695" i="3"/>
  <c r="AE1695" i="3"/>
  <c r="AE1721" i="3"/>
  <c r="AC1721" i="3"/>
  <c r="AE2052" i="3"/>
  <c r="AC2052" i="3"/>
  <c r="AE142" i="3"/>
  <c r="AC142" i="3"/>
  <c r="AC1646" i="3"/>
  <c r="AE1646" i="3"/>
  <c r="AC1906" i="3"/>
  <c r="AE1906" i="3"/>
  <c r="AC568" i="3"/>
  <c r="AE568" i="3"/>
  <c r="AE1648" i="3"/>
  <c r="AC1648" i="3"/>
  <c r="AC141" i="3"/>
  <c r="AE141" i="3"/>
  <c r="AE1687" i="3"/>
  <c r="AC1687" i="3"/>
  <c r="AC1705" i="3"/>
  <c r="AE1705" i="3"/>
  <c r="V767" i="4"/>
  <c r="AL767" i="4"/>
  <c r="AL442" i="4"/>
  <c r="V442" i="4"/>
  <c r="V272" i="4"/>
  <c r="AL272" i="4"/>
  <c r="AL81" i="4"/>
  <c r="V81" i="4"/>
  <c r="AL1662" i="3"/>
  <c r="AJ1662" i="3"/>
  <c r="AJ607" i="3"/>
  <c r="AL607" i="3"/>
  <c r="AL345" i="4"/>
  <c r="V345" i="4"/>
  <c r="V164" i="4"/>
  <c r="AL164" i="4"/>
  <c r="AL632" i="4"/>
  <c r="V632" i="4"/>
  <c r="V723" i="4"/>
  <c r="AL723" i="4"/>
  <c r="V778" i="4"/>
  <c r="AL778" i="4"/>
  <c r="AL633" i="4"/>
  <c r="V633" i="4"/>
  <c r="AL742" i="4"/>
  <c r="V742" i="4"/>
  <c r="AL285" i="4"/>
  <c r="V285" i="4"/>
  <c r="V134" i="4"/>
  <c r="AL134" i="4"/>
  <c r="V580" i="4"/>
  <c r="AL580" i="4"/>
  <c r="AC1829" i="3"/>
  <c r="AE1829" i="3"/>
  <c r="AC482" i="3"/>
  <c r="AE482" i="3"/>
  <c r="AC1606" i="3"/>
  <c r="AE1606" i="3"/>
  <c r="AE781" i="3"/>
  <c r="AC781" i="3"/>
  <c r="AC1731" i="3"/>
  <c r="AE1731" i="3"/>
  <c r="AC2096" i="3"/>
  <c r="AE2096" i="3"/>
  <c r="AE158" i="3"/>
  <c r="AC158" i="3"/>
  <c r="AC1898" i="3"/>
  <c r="AE1898" i="3"/>
  <c r="AC1319" i="3"/>
  <c r="AE1319" i="3"/>
  <c r="AC832" i="3"/>
  <c r="AE832" i="3"/>
  <c r="AL739" i="4"/>
  <c r="V739" i="4"/>
  <c r="AL820" i="4"/>
  <c r="V820" i="4"/>
  <c r="AL691" i="4"/>
  <c r="V691" i="4"/>
  <c r="AL7" i="4"/>
  <c r="V7" i="4"/>
  <c r="AL1734" i="3"/>
  <c r="AJ1734" i="3"/>
  <c r="AJ580" i="3"/>
  <c r="AL580" i="3"/>
  <c r="V321" i="4"/>
  <c r="AL321" i="4"/>
  <c r="AL152" i="4"/>
  <c r="V152" i="4"/>
  <c r="V484" i="4"/>
  <c r="AL484" i="4"/>
  <c r="AL716" i="4"/>
  <c r="V716" i="4"/>
  <c r="V685" i="4"/>
  <c r="AL685" i="4"/>
  <c r="V906" i="4"/>
  <c r="AL906" i="4"/>
  <c r="V419" i="4"/>
  <c r="AL419" i="4"/>
  <c r="AJ1650" i="3"/>
  <c r="AL1650" i="3"/>
  <c r="AL641" i="3"/>
  <c r="AJ641" i="3"/>
  <c r="V771" i="4"/>
  <c r="AL771" i="4"/>
  <c r="V122" i="4"/>
  <c r="AL122" i="4"/>
  <c r="V531" i="4"/>
  <c r="AL531" i="4"/>
  <c r="AJ757" i="3"/>
  <c r="AL757" i="3"/>
  <c r="AE742" i="3"/>
  <c r="AC742" i="3"/>
  <c r="AC193" i="3"/>
  <c r="AE193" i="3"/>
  <c r="AC973" i="3"/>
  <c r="AE973" i="3"/>
  <c r="AE1961" i="3"/>
  <c r="AC1961" i="3"/>
  <c r="AE1952" i="3"/>
  <c r="AC1952" i="3"/>
  <c r="AE1817" i="3"/>
  <c r="AC1817" i="3"/>
  <c r="AE2228" i="3"/>
  <c r="AC2228" i="3"/>
  <c r="AC1820" i="3"/>
  <c r="AE1820" i="3"/>
  <c r="AE1600" i="3"/>
  <c r="AC1600" i="3"/>
  <c r="AC644" i="3"/>
  <c r="AE644" i="3"/>
  <c r="AL721" i="4"/>
  <c r="V721" i="4"/>
  <c r="V709" i="4"/>
  <c r="AL709" i="4"/>
  <c r="V605" i="4"/>
  <c r="AL605" i="4"/>
  <c r="V679" i="4"/>
  <c r="AL679" i="4"/>
  <c r="AL653" i="3"/>
  <c r="AJ653" i="3"/>
  <c r="AL297" i="4"/>
  <c r="V297" i="4"/>
  <c r="AL140" i="4"/>
  <c r="V140" i="4"/>
  <c r="AL712" i="4"/>
  <c r="V712" i="4"/>
  <c r="AL903" i="4"/>
  <c r="V903" i="4"/>
  <c r="AL856" i="4"/>
  <c r="V856" i="4"/>
  <c r="V520" i="4"/>
  <c r="AL520" i="4"/>
  <c r="AL240" i="4"/>
  <c r="V240" i="4"/>
  <c r="AJ1671" i="3"/>
  <c r="AL1671" i="3"/>
  <c r="AJ1576" i="3"/>
  <c r="AL1576" i="3"/>
  <c r="AL606" i="3"/>
  <c r="AJ606" i="3"/>
  <c r="AL676" i="4"/>
  <c r="V676" i="4"/>
  <c r="V110" i="4"/>
  <c r="AL110" i="4"/>
  <c r="AL275" i="4"/>
  <c r="V275" i="4"/>
  <c r="AJ1738" i="3"/>
  <c r="AL1738" i="3"/>
  <c r="AE253" i="3"/>
  <c r="AC253" i="3"/>
  <c r="AE135" i="3"/>
  <c r="AC135" i="3"/>
  <c r="AC1663" i="3"/>
  <c r="AE1663" i="3"/>
  <c r="AE1701" i="3"/>
  <c r="AC1701" i="3"/>
  <c r="AC745" i="3"/>
  <c r="AE745" i="3"/>
  <c r="AE1570" i="3"/>
  <c r="AC1570" i="3"/>
  <c r="AE1935" i="3"/>
  <c r="AC1935" i="3"/>
  <c r="AE128" i="3"/>
  <c r="AC128" i="3"/>
  <c r="AE554" i="3"/>
  <c r="AC554" i="3"/>
  <c r="AL883" i="4"/>
  <c r="V883" i="4"/>
  <c r="AL646" i="4"/>
  <c r="V646" i="4"/>
  <c r="AL590" i="4"/>
  <c r="V590" i="4"/>
  <c r="V492" i="4"/>
  <c r="AL492" i="4"/>
  <c r="AJ620" i="3"/>
  <c r="AL620" i="3"/>
  <c r="AL273" i="4"/>
  <c r="V273" i="4"/>
  <c r="AL128" i="4"/>
  <c r="V128" i="4"/>
  <c r="AL560" i="4"/>
  <c r="V560" i="4"/>
  <c r="AL605" i="3"/>
  <c r="AJ605" i="3"/>
  <c r="V797" i="4"/>
  <c r="AL797" i="4"/>
  <c r="V677" i="4"/>
  <c r="AL677" i="4"/>
  <c r="AL387" i="4"/>
  <c r="V387" i="4"/>
  <c r="V216" i="4"/>
  <c r="AL216" i="4"/>
  <c r="AJ1640" i="3"/>
  <c r="AL1640" i="3"/>
  <c r="AL579" i="3"/>
  <c r="AJ579" i="3"/>
  <c r="AL780" i="4"/>
  <c r="V780" i="4"/>
  <c r="AL98" i="4"/>
  <c r="V98" i="4"/>
  <c r="V209" i="4"/>
  <c r="AL209" i="4"/>
  <c r="AJ1705" i="3"/>
  <c r="AL1705" i="3"/>
  <c r="AE605" i="3"/>
  <c r="AC605" i="3"/>
  <c r="AC1048" i="3"/>
  <c r="AE1048" i="3"/>
  <c r="AC1577" i="3"/>
  <c r="AE1577" i="3"/>
  <c r="AC408" i="3"/>
  <c r="AE408" i="3"/>
  <c r="AE1681" i="3"/>
  <c r="AC1681" i="3"/>
  <c r="AC2230" i="3"/>
  <c r="AE2230" i="3"/>
  <c r="AC1563" i="3"/>
  <c r="AE1563" i="3"/>
  <c r="AC641" i="3"/>
  <c r="AE641" i="3"/>
  <c r="AC1943" i="3"/>
  <c r="AE1943" i="3"/>
  <c r="AC134" i="3"/>
  <c r="AE134" i="3"/>
  <c r="AC59" i="3"/>
  <c r="AE59" i="3"/>
  <c r="AE2165" i="3"/>
  <c r="AC2165" i="3"/>
  <c r="AC2003" i="3"/>
  <c r="AE2003" i="3"/>
  <c r="AE1885" i="3"/>
  <c r="AC1885" i="3"/>
  <c r="AE1870" i="3"/>
  <c r="AC1870" i="3"/>
  <c r="AE1509" i="3"/>
  <c r="AC1509" i="3"/>
  <c r="AC63" i="3"/>
  <c r="AE63" i="3"/>
  <c r="AE716" i="3"/>
  <c r="AC716" i="3"/>
  <c r="AC2171" i="3"/>
  <c r="AE2171" i="3"/>
  <c r="AC2163" i="3"/>
  <c r="AE2163" i="3"/>
  <c r="AC2272" i="3"/>
  <c r="AE2272" i="3"/>
  <c r="AC1074" i="3"/>
  <c r="AE1074" i="3"/>
  <c r="AC1482" i="3"/>
  <c r="AE1482" i="3"/>
  <c r="AE648" i="3"/>
  <c r="AC648" i="3"/>
  <c r="AE1944" i="3"/>
  <c r="AC1944" i="3"/>
  <c r="AE620" i="3"/>
  <c r="AC620" i="3"/>
  <c r="AC1513" i="3"/>
  <c r="AE1513" i="3"/>
  <c r="AE1141" i="3"/>
  <c r="AC1141" i="3"/>
  <c r="AC1485" i="3"/>
  <c r="AE1485" i="3"/>
  <c r="AE2065" i="3"/>
  <c r="AC2065" i="3"/>
  <c r="AE1070" i="3"/>
  <c r="AC1070" i="3"/>
  <c r="AE1063" i="3"/>
  <c r="AC1063" i="3"/>
  <c r="AE739" i="3"/>
  <c r="AC739" i="3"/>
  <c r="AC1271" i="3"/>
  <c r="AE1271" i="3"/>
  <c r="AC1502" i="3"/>
  <c r="AE1502" i="3"/>
  <c r="AE1415" i="3"/>
  <c r="AC1415" i="3"/>
  <c r="AE168" i="3"/>
  <c r="AC168" i="3"/>
  <c r="AC1511" i="3"/>
  <c r="AE1511" i="3"/>
  <c r="AE1152" i="3"/>
  <c r="AC1152" i="3"/>
  <c r="AE1535" i="3"/>
  <c r="AC1535" i="3"/>
  <c r="AC1407" i="3"/>
  <c r="AE1407" i="3"/>
  <c r="AE207" i="3"/>
  <c r="AC207" i="3"/>
  <c r="AE1855" i="3"/>
  <c r="AC1855" i="3"/>
  <c r="AC1450" i="3"/>
  <c r="AE1450" i="3"/>
  <c r="AE1100" i="3"/>
  <c r="AC1100" i="3"/>
  <c r="AC909" i="3"/>
  <c r="AE909" i="3"/>
  <c r="AE2144" i="3"/>
  <c r="AC2144" i="3"/>
  <c r="AE2098" i="3"/>
  <c r="AC2098" i="3"/>
  <c r="AE809" i="3"/>
  <c r="AC809" i="3"/>
  <c r="AE1963" i="3"/>
  <c r="AC1963" i="3"/>
  <c r="AE2083" i="3"/>
  <c r="AC2083" i="3"/>
  <c r="AC971" i="3"/>
  <c r="AE971" i="3"/>
  <c r="AC48" i="3"/>
  <c r="AE48" i="3"/>
  <c r="AE1110" i="3"/>
  <c r="AC1110" i="3"/>
  <c r="AC1183" i="3"/>
  <c r="AE1183" i="3"/>
  <c r="AE2252" i="3"/>
  <c r="AC2252" i="3"/>
  <c r="AC2026" i="3"/>
  <c r="AE2026" i="3"/>
  <c r="AE753" i="3"/>
  <c r="AC753" i="3"/>
  <c r="AE60" i="3"/>
  <c r="AC60" i="3"/>
  <c r="AE2273" i="3"/>
  <c r="AC2273" i="3"/>
  <c r="AC2049" i="3"/>
  <c r="AE2049" i="3"/>
  <c r="AE2255" i="3"/>
  <c r="AC2255" i="3"/>
  <c r="AC123" i="3"/>
  <c r="AE123" i="3"/>
  <c r="AE624" i="3"/>
  <c r="AC624" i="3"/>
  <c r="AE1547" i="3"/>
  <c r="AC1547" i="3"/>
  <c r="AE245" i="3"/>
  <c r="AC245" i="3"/>
  <c r="AC1392" i="3"/>
  <c r="AE1392" i="3"/>
  <c r="AE984" i="3"/>
  <c r="AC984" i="3"/>
  <c r="AE1869" i="3"/>
  <c r="AC1869" i="3"/>
  <c r="AE589" i="3"/>
  <c r="AC589" i="3"/>
  <c r="AE1523" i="3"/>
  <c r="AC1523" i="3"/>
  <c r="AE1197" i="3"/>
  <c r="AC1197" i="3"/>
  <c r="AC1519" i="3"/>
  <c r="AE1519" i="3"/>
  <c r="AE817" i="3"/>
  <c r="AC817" i="3"/>
  <c r="AC1123" i="3"/>
  <c r="AE1123" i="3"/>
  <c r="AC1358" i="3"/>
  <c r="AE1358" i="3"/>
  <c r="AC1968" i="3"/>
  <c r="AE1968" i="3"/>
  <c r="AE1998" i="3"/>
  <c r="AC1998" i="3"/>
  <c r="AC2063" i="3"/>
  <c r="AE2063" i="3"/>
  <c r="AC108" i="3"/>
  <c r="AE108" i="3"/>
  <c r="AC171" i="3"/>
  <c r="AE171" i="3"/>
  <c r="AC1073" i="3"/>
  <c r="AE1073" i="3"/>
  <c r="AC2045" i="3"/>
  <c r="AE2045" i="3"/>
  <c r="AE2007" i="3"/>
  <c r="AC2007" i="3"/>
  <c r="AC1335" i="3"/>
  <c r="AE1335" i="3"/>
  <c r="AC763" i="3"/>
  <c r="AE763" i="3"/>
  <c r="AE1170" i="3"/>
  <c r="AC1170" i="3"/>
  <c r="AE771" i="3"/>
  <c r="AC771" i="3"/>
  <c r="AC744" i="3"/>
  <c r="AE744" i="3"/>
  <c r="AE1954" i="3"/>
  <c r="AC1954" i="3"/>
  <c r="AC835" i="3"/>
  <c r="AE835" i="3"/>
  <c r="AE2278" i="3"/>
  <c r="AC2278" i="3"/>
  <c r="AE721" i="3"/>
  <c r="AC721" i="3"/>
  <c r="AC1465" i="3"/>
  <c r="AE1465" i="3"/>
  <c r="AC1121" i="3"/>
  <c r="AE1121" i="3"/>
  <c r="AC510" i="3"/>
  <c r="AE510" i="3"/>
  <c r="AE1704" i="3"/>
  <c r="AC1704" i="3"/>
  <c r="AC1146" i="3"/>
  <c r="AE1146" i="3"/>
  <c r="AE1101" i="3"/>
  <c r="AC1101" i="3"/>
  <c r="AC1186" i="3"/>
  <c r="AE1186" i="3"/>
  <c r="AC839" i="3"/>
  <c r="AE839" i="3"/>
  <c r="AC719" i="3"/>
  <c r="AE719" i="3"/>
  <c r="AE1281" i="3"/>
  <c r="AC1281" i="3"/>
  <c r="AE308" i="3"/>
  <c r="AC308" i="3"/>
  <c r="AE1195" i="3"/>
  <c r="AC1195" i="3"/>
  <c r="AE2219" i="3"/>
  <c r="AC2219" i="3"/>
  <c r="AE1468" i="3"/>
  <c r="AC1468" i="3"/>
  <c r="AC175" i="3"/>
  <c r="AE175" i="3"/>
  <c r="AC1501" i="3"/>
  <c r="AE1501" i="3"/>
  <c r="AC966" i="3"/>
  <c r="AE966" i="3"/>
  <c r="AC968" i="3"/>
  <c r="AE968" i="3"/>
  <c r="AE367" i="3"/>
  <c r="AC367" i="3"/>
  <c r="AC161" i="3"/>
  <c r="AE161" i="3"/>
  <c r="AC1476" i="3"/>
  <c r="AE1476" i="3"/>
  <c r="AC1337" i="3"/>
  <c r="AE1337" i="3"/>
  <c r="AC1884" i="3"/>
  <c r="AE1884" i="3"/>
  <c r="AC1470" i="3"/>
  <c r="AE1470" i="3"/>
  <c r="AC1396" i="3"/>
  <c r="AE1396" i="3"/>
  <c r="AC977" i="3"/>
  <c r="AE977" i="3"/>
  <c r="AC1507" i="3"/>
  <c r="AE1507" i="3"/>
  <c r="AC521" i="3"/>
  <c r="AE521" i="3"/>
  <c r="AE1329" i="3"/>
  <c r="AC1329" i="3"/>
  <c r="AE2005" i="3"/>
  <c r="AC2005" i="3"/>
  <c r="AE2187" i="3"/>
  <c r="AC2187" i="3"/>
  <c r="AE815" i="3"/>
  <c r="AC815" i="3"/>
  <c r="AE733" i="3"/>
  <c r="AC733" i="3"/>
  <c r="AL869" i="4"/>
  <c r="V869" i="4"/>
  <c r="V77" i="4"/>
  <c r="AL77" i="4"/>
  <c r="AL3" i="4"/>
  <c r="V3" i="4"/>
  <c r="V287" i="4"/>
  <c r="AL287" i="4"/>
  <c r="V159" i="4"/>
  <c r="AL159" i="4"/>
  <c r="AL536" i="4"/>
  <c r="V536" i="4"/>
  <c r="AL434" i="4"/>
  <c r="V434" i="4"/>
  <c r="V136" i="4"/>
  <c r="AL136" i="4"/>
  <c r="V864" i="4"/>
  <c r="AL864" i="4"/>
  <c r="V759" i="4"/>
  <c r="AL759" i="4"/>
  <c r="AL463" i="4"/>
  <c r="V463" i="4"/>
  <c r="V408" i="4"/>
  <c r="AL408" i="4"/>
  <c r="AL593" i="3"/>
  <c r="AJ593" i="3"/>
  <c r="V686" i="4"/>
  <c r="AL686" i="4"/>
  <c r="AL116" i="4"/>
  <c r="V116" i="4"/>
  <c r="V851" i="4"/>
  <c r="AL851" i="4"/>
  <c r="AL615" i="4"/>
  <c r="V615" i="4"/>
  <c r="AJ554" i="3"/>
  <c r="AL554" i="3"/>
  <c r="AL558" i="3"/>
  <c r="AJ558" i="3"/>
  <c r="AC1025" i="3"/>
  <c r="AE1025" i="3"/>
  <c r="AE1928" i="3"/>
  <c r="AC1928" i="3"/>
  <c r="AE2023" i="3"/>
  <c r="AC2023" i="3"/>
  <c r="AC2158" i="3"/>
  <c r="AE2158" i="3"/>
  <c r="V897" i="4"/>
  <c r="AL897" i="4"/>
  <c r="AL1566" i="3"/>
  <c r="AJ1566" i="3"/>
  <c r="AL567" i="3"/>
  <c r="AJ567" i="3"/>
  <c r="V104" i="4"/>
  <c r="AL104" i="4"/>
  <c r="V228" i="4"/>
  <c r="AL228" i="4"/>
  <c r="AL808" i="4"/>
  <c r="V808" i="4"/>
  <c r="AL528" i="4"/>
  <c r="V528" i="4"/>
  <c r="V100" i="4"/>
  <c r="AL100" i="4"/>
  <c r="V294" i="4"/>
  <c r="AL294" i="4"/>
  <c r="AL743" i="4"/>
  <c r="V743" i="4"/>
  <c r="AL749" i="3"/>
  <c r="AJ749" i="3"/>
  <c r="AL59" i="4"/>
  <c r="V59" i="4"/>
  <c r="AJ1661" i="3"/>
  <c r="AL1661" i="3"/>
  <c r="AL512" i="3"/>
  <c r="AJ512" i="3"/>
  <c r="AL111" i="4"/>
  <c r="V111" i="4"/>
  <c r="AC1907" i="3"/>
  <c r="AE1907" i="3"/>
  <c r="AC2022" i="3"/>
  <c r="AE2022" i="3"/>
  <c r="AC1659" i="3"/>
  <c r="AE1659" i="3"/>
  <c r="AJ1733" i="3"/>
  <c r="AL1733" i="3"/>
  <c r="AJ858" i="3"/>
  <c r="AL858" i="3"/>
  <c r="AL1618" i="3"/>
  <c r="AJ1618" i="3"/>
  <c r="AC777" i="3"/>
  <c r="AE777" i="3"/>
  <c r="AE2210" i="3"/>
  <c r="AC2210" i="3"/>
  <c r="AC226" i="3"/>
  <c r="AE226" i="3"/>
  <c r="AE2112" i="3"/>
  <c r="AC2112" i="3"/>
  <c r="AC550" i="3"/>
  <c r="AE550" i="3"/>
  <c r="AC1715" i="3"/>
  <c r="AE1715" i="3"/>
  <c r="AC1683" i="3"/>
  <c r="AE1683" i="3"/>
  <c r="V835" i="4"/>
  <c r="AL835" i="4"/>
  <c r="V481" i="4"/>
  <c r="AL481" i="4"/>
  <c r="V161" i="4"/>
  <c r="AL161" i="4"/>
  <c r="V880" i="4"/>
  <c r="AL880" i="4"/>
  <c r="AL262" i="4"/>
  <c r="V262" i="4"/>
  <c r="AL670" i="4"/>
  <c r="V670" i="4"/>
  <c r="V234" i="4"/>
  <c r="AL234" i="4"/>
  <c r="V711" i="4"/>
  <c r="AL711" i="4"/>
  <c r="AL736" i="4"/>
  <c r="V736" i="4"/>
  <c r="V93" i="4"/>
  <c r="AL93" i="4"/>
  <c r="AJ1723" i="3"/>
  <c r="AL1723" i="3"/>
  <c r="V885" i="4"/>
  <c r="AL885" i="4"/>
  <c r="AL854" i="4"/>
  <c r="V854" i="4"/>
  <c r="V388" i="4"/>
  <c r="AL388" i="4"/>
  <c r="V673" i="4"/>
  <c r="AL673" i="4"/>
  <c r="AL1691" i="3"/>
  <c r="AJ1691" i="3"/>
  <c r="AJ528" i="3"/>
  <c r="AL528" i="3"/>
  <c r="AC604" i="3"/>
  <c r="AE604" i="3"/>
  <c r="AC1881" i="3"/>
  <c r="AE1881" i="3"/>
  <c r="AC1653" i="3"/>
  <c r="AE1653" i="3"/>
  <c r="AE1831" i="3"/>
  <c r="AC1831" i="3"/>
  <c r="AC1785" i="3"/>
  <c r="AE1785" i="3"/>
  <c r="AC1716" i="3"/>
  <c r="AE1716" i="3"/>
  <c r="AC1597" i="3"/>
  <c r="AE1597" i="3"/>
  <c r="AE556" i="3"/>
  <c r="AC556" i="3"/>
  <c r="AE2247" i="3"/>
  <c r="AC2247" i="3"/>
  <c r="AC475" i="3"/>
  <c r="AE475" i="3"/>
  <c r="AL741" i="4"/>
  <c r="V741" i="4"/>
  <c r="AL430" i="4"/>
  <c r="V430" i="4"/>
  <c r="V107" i="4"/>
  <c r="AL107" i="4"/>
  <c r="AJ1613" i="3"/>
  <c r="AL1613" i="3"/>
  <c r="AL562" i="3"/>
  <c r="AJ562" i="3"/>
  <c r="V868" i="4"/>
  <c r="AL868" i="4"/>
  <c r="AL243" i="4"/>
  <c r="V243" i="4"/>
  <c r="V532" i="4"/>
  <c r="AL532" i="4"/>
  <c r="V19" i="4"/>
  <c r="AL19" i="4"/>
  <c r="AJ1583" i="3"/>
  <c r="AL1583" i="3"/>
  <c r="AL837" i="4"/>
  <c r="V837" i="4"/>
  <c r="AL596" i="4"/>
  <c r="V596" i="4"/>
  <c r="V39" i="4"/>
  <c r="AL39" i="4"/>
  <c r="AL743" i="3"/>
  <c r="AJ743" i="3"/>
  <c r="AL916" i="4"/>
  <c r="V916" i="4"/>
  <c r="AL755" i="4"/>
  <c r="V755" i="4"/>
  <c r="V295" i="4"/>
  <c r="AL295" i="4"/>
  <c r="V288" i="4"/>
  <c r="AL288" i="4"/>
  <c r="AL516" i="3"/>
  <c r="AJ516" i="3"/>
  <c r="AE617" i="3"/>
  <c r="AC617" i="3"/>
  <c r="AC147" i="3"/>
  <c r="AE147" i="3"/>
  <c r="AE1965" i="3"/>
  <c r="AC1965" i="3"/>
  <c r="AE561" i="3"/>
  <c r="AC561" i="3"/>
  <c r="AE1847" i="3"/>
  <c r="AC1847" i="3"/>
  <c r="AE1818" i="3"/>
  <c r="AC1818" i="3"/>
  <c r="AC1925" i="3"/>
  <c r="AE1925" i="3"/>
  <c r="AE1916" i="3"/>
  <c r="AC1916" i="3"/>
  <c r="AC1591" i="3"/>
  <c r="AE1591" i="3"/>
  <c r="AE464" i="3"/>
  <c r="AC464" i="3"/>
  <c r="AE286" i="3"/>
  <c r="AC286" i="3"/>
  <c r="AC81" i="3"/>
  <c r="AE81" i="3"/>
  <c r="V681" i="4"/>
  <c r="AL681" i="4"/>
  <c r="V436" i="4"/>
  <c r="AL436" i="4"/>
  <c r="AL585" i="4"/>
  <c r="V585" i="4"/>
  <c r="AL255" i="4"/>
  <c r="V255" i="4"/>
  <c r="AJ651" i="3"/>
  <c r="AL651" i="3"/>
  <c r="AL567" i="4"/>
  <c r="V567" i="4"/>
  <c r="V68" i="4"/>
  <c r="AL68" i="4"/>
  <c r="AL247" i="4"/>
  <c r="V247" i="4"/>
  <c r="AL1636" i="3"/>
  <c r="AJ1636" i="3"/>
  <c r="AL525" i="3"/>
  <c r="AJ525" i="3"/>
  <c r="AL645" i="4"/>
  <c r="V645" i="4"/>
  <c r="AL800" i="4"/>
  <c r="V800" i="4"/>
  <c r="AL467" i="4"/>
  <c r="V467" i="4"/>
  <c r="AL64" i="4"/>
  <c r="V64" i="4"/>
  <c r="AL1679" i="3"/>
  <c r="AJ1679" i="3"/>
  <c r="AL603" i="3"/>
  <c r="AJ603" i="3"/>
  <c r="AL196" i="4"/>
  <c r="V196" i="4"/>
  <c r="AL38" i="4"/>
  <c r="V38" i="4"/>
  <c r="AL393" i="4"/>
  <c r="V393" i="4"/>
  <c r="AL792" i="3"/>
  <c r="AJ792" i="3"/>
  <c r="AC2269" i="3"/>
  <c r="AE2269" i="3"/>
  <c r="AC512" i="3"/>
  <c r="AE512" i="3"/>
  <c r="AE1958" i="3"/>
  <c r="AC1958" i="3"/>
  <c r="AC2028" i="3"/>
  <c r="AE2028" i="3"/>
  <c r="AE228" i="3"/>
  <c r="AC228" i="3"/>
  <c r="AC735" i="3"/>
  <c r="AE735" i="3"/>
  <c r="AC329" i="3"/>
  <c r="AE329" i="3"/>
  <c r="AC782" i="3"/>
  <c r="AE782" i="3"/>
  <c r="AC740" i="3"/>
  <c r="AE740" i="3"/>
  <c r="AE314" i="3"/>
  <c r="AC314" i="3"/>
  <c r="AL657" i="4"/>
  <c r="V657" i="4"/>
  <c r="AL848" i="4"/>
  <c r="V848" i="4"/>
  <c r="V529" i="4"/>
  <c r="AL529" i="4"/>
  <c r="V325" i="4"/>
  <c r="AL325" i="4"/>
  <c r="AL1641" i="3"/>
  <c r="AJ1641" i="3"/>
  <c r="AL615" i="3"/>
  <c r="AJ615" i="3"/>
  <c r="V437" i="4"/>
  <c r="AL437" i="4"/>
  <c r="AL56" i="4"/>
  <c r="V56" i="4"/>
  <c r="AL94" i="4"/>
  <c r="V94" i="4"/>
  <c r="AJ1601" i="3"/>
  <c r="AL1601" i="3"/>
  <c r="V814" i="4"/>
  <c r="AL814" i="4"/>
  <c r="V634" i="4"/>
  <c r="AL634" i="4"/>
  <c r="V402" i="4"/>
  <c r="AL402" i="4"/>
  <c r="V18" i="4"/>
  <c r="AL18" i="4"/>
  <c r="AJ1606" i="3"/>
  <c r="AL1606" i="3"/>
  <c r="AJ576" i="3"/>
  <c r="AL576" i="3"/>
  <c r="AL174" i="4"/>
  <c r="V174" i="4"/>
  <c r="V887" i="4"/>
  <c r="AL887" i="4"/>
  <c r="AL205" i="4"/>
  <c r="V205" i="4"/>
  <c r="AE1611" i="3"/>
  <c r="AC1611" i="3"/>
  <c r="AE1975" i="3"/>
  <c r="AC1975" i="3"/>
  <c r="AC1203" i="3"/>
  <c r="AE1203" i="3"/>
  <c r="AC798" i="3"/>
  <c r="AE798" i="3"/>
  <c r="AE2116" i="3"/>
  <c r="AC2116" i="3"/>
  <c r="AE1434" i="3"/>
  <c r="AC1434" i="3"/>
  <c r="AE776" i="3"/>
  <c r="AC776" i="3"/>
  <c r="V825" i="4"/>
  <c r="AL825" i="4"/>
  <c r="AL674" i="4"/>
  <c r="V674" i="4"/>
  <c r="V412" i="4"/>
  <c r="AL412" i="4"/>
  <c r="AL337" i="4"/>
  <c r="V337" i="4"/>
  <c r="AL1680" i="3"/>
  <c r="AJ1680" i="3"/>
  <c r="AL1712" i="3"/>
  <c r="AJ1712" i="3"/>
  <c r="AJ589" i="3"/>
  <c r="AL589" i="3"/>
  <c r="AL389" i="4"/>
  <c r="V389" i="4"/>
  <c r="AL44" i="4"/>
  <c r="V44" i="4"/>
  <c r="V656" i="4"/>
  <c r="AL656" i="4"/>
  <c r="AL781" i="4"/>
  <c r="V781" i="4"/>
  <c r="AL465" i="4"/>
  <c r="V465" i="4"/>
  <c r="V372" i="4"/>
  <c r="AL372" i="4"/>
  <c r="V643" i="4"/>
  <c r="AL643" i="4"/>
  <c r="AJ650" i="3"/>
  <c r="AL650" i="3"/>
  <c r="V150" i="4"/>
  <c r="AL150" i="4"/>
  <c r="V708" i="4"/>
  <c r="AL708" i="4"/>
  <c r="V135" i="4"/>
  <c r="AL135" i="4"/>
  <c r="AJ790" i="3"/>
  <c r="AL790" i="3"/>
  <c r="AC2027" i="3"/>
  <c r="AE2027" i="3"/>
  <c r="AE1602" i="3"/>
  <c r="AC1602" i="3"/>
  <c r="AE1644" i="3"/>
  <c r="AC1644" i="3"/>
  <c r="AC274" i="3"/>
  <c r="AE274" i="3"/>
  <c r="AE1697" i="3"/>
  <c r="AC1697" i="3"/>
  <c r="AC112" i="3"/>
  <c r="AE112" i="3"/>
  <c r="AE1956" i="3"/>
  <c r="AC1956" i="3"/>
  <c r="AC1976" i="3"/>
  <c r="AE1976" i="3"/>
  <c r="AC637" i="3"/>
  <c r="AE637" i="3"/>
  <c r="AE1951" i="3"/>
  <c r="AC1951" i="3"/>
  <c r="AC1013" i="3"/>
  <c r="AE1013" i="3"/>
  <c r="V794" i="4"/>
  <c r="AL794" i="4"/>
  <c r="V544" i="4"/>
  <c r="AL544" i="4"/>
  <c r="V383" i="4"/>
  <c r="AL383" i="4"/>
  <c r="AL499" i="4"/>
  <c r="V499" i="4"/>
  <c r="AJ1713" i="3"/>
  <c r="AL1713" i="3"/>
  <c r="AL664" i="3"/>
  <c r="AJ664" i="3"/>
  <c r="AL186" i="4"/>
  <c r="V186" i="4"/>
  <c r="AL32" i="4"/>
  <c r="V32" i="4"/>
  <c r="V239" i="4"/>
  <c r="AL239" i="4"/>
  <c r="AL781" i="3"/>
  <c r="AJ781" i="3"/>
  <c r="AJ618" i="3"/>
  <c r="AL618" i="3"/>
  <c r="V846" i="4"/>
  <c r="AL846" i="4"/>
  <c r="V424" i="4"/>
  <c r="AL424" i="4"/>
  <c r="V251" i="4"/>
  <c r="AL251" i="4"/>
  <c r="V233" i="4"/>
  <c r="AL233" i="4"/>
  <c r="AJ1578" i="3"/>
  <c r="AL1578" i="3"/>
  <c r="AJ614" i="3"/>
  <c r="AL614" i="3"/>
  <c r="AL126" i="4"/>
  <c r="V126" i="4"/>
  <c r="AL597" i="4"/>
  <c r="V597" i="4"/>
  <c r="V75" i="4"/>
  <c r="AL75" i="4"/>
  <c r="AJ649" i="3"/>
  <c r="AL649" i="3"/>
  <c r="AE2162" i="3"/>
  <c r="AC2162" i="3"/>
  <c r="AC1601" i="3"/>
  <c r="AE1601" i="3"/>
  <c r="AE559" i="3"/>
  <c r="AC559" i="3"/>
  <c r="AE478" i="3"/>
  <c r="AC478" i="3"/>
  <c r="AC535" i="3"/>
  <c r="AE535" i="3"/>
  <c r="AE2118" i="3"/>
  <c r="AC2118" i="3"/>
  <c r="AC602" i="3"/>
  <c r="AE602" i="3"/>
  <c r="AC655" i="3"/>
  <c r="AE655" i="3"/>
  <c r="AC1726" i="3"/>
  <c r="AE1726" i="3"/>
  <c r="AC1957" i="3"/>
  <c r="AE1957" i="3"/>
  <c r="AC603" i="3"/>
  <c r="AE603" i="3"/>
  <c r="AC778" i="3"/>
  <c r="AE778" i="3"/>
  <c r="AL734" i="4"/>
  <c r="V734" i="4"/>
  <c r="V623" i="4"/>
  <c r="AL623" i="4"/>
  <c r="AL530" i="4"/>
  <c r="V530" i="4"/>
  <c r="AL137" i="4"/>
  <c r="V137" i="4"/>
  <c r="AL1598" i="3"/>
  <c r="AJ1598" i="3"/>
  <c r="AL1724" i="3"/>
  <c r="AJ1724" i="3"/>
  <c r="V545" i="4"/>
  <c r="AL545" i="4"/>
  <c r="V406" i="4"/>
  <c r="AL406" i="4"/>
  <c r="V491" i="4"/>
  <c r="AL491" i="4"/>
  <c r="AL1718" i="3"/>
  <c r="AJ1718" i="3"/>
  <c r="AL828" i="4"/>
  <c r="V828" i="4"/>
  <c r="V525" i="4"/>
  <c r="AL525" i="4"/>
  <c r="V433" i="4"/>
  <c r="AL433" i="4"/>
  <c r="AL224" i="4"/>
  <c r="V224" i="4"/>
  <c r="AL550" i="3"/>
  <c r="AJ550" i="3"/>
  <c r="AL468" i="4"/>
  <c r="V468" i="4"/>
  <c r="V182" i="4"/>
  <c r="AL182" i="4"/>
  <c r="AL752" i="4"/>
  <c r="V752" i="4"/>
  <c r="AJ1658" i="3"/>
  <c r="AL1658" i="3"/>
  <c r="AC621" i="3"/>
  <c r="AE621" i="3"/>
  <c r="AE584" i="3"/>
  <c r="AC584" i="3"/>
  <c r="AC1627" i="3"/>
  <c r="AE1627" i="3"/>
  <c r="AC1853" i="3"/>
  <c r="AE1853" i="3"/>
  <c r="AE821" i="3"/>
  <c r="AC821" i="3"/>
  <c r="AC1953" i="3"/>
  <c r="AE1953" i="3"/>
  <c r="AL911" i="4"/>
  <c r="V911" i="4"/>
  <c r="V555" i="4"/>
  <c r="AL555" i="4"/>
  <c r="V443" i="4"/>
  <c r="AL443" i="4"/>
  <c r="AL356" i="4"/>
  <c r="V356" i="4"/>
  <c r="AJ553" i="3"/>
  <c r="AL553" i="3"/>
  <c r="AL506" i="4"/>
  <c r="V506" i="4"/>
  <c r="V258" i="4"/>
  <c r="AL258" i="4"/>
  <c r="AL353" i="4"/>
  <c r="V353" i="4"/>
  <c r="V834" i="4"/>
  <c r="AL834" i="4"/>
  <c r="AL471" i="4"/>
  <c r="V471" i="4"/>
  <c r="AL344" i="4"/>
  <c r="V344" i="4"/>
  <c r="V25" i="4"/>
  <c r="AL25" i="4"/>
  <c r="AJ1719" i="3"/>
  <c r="AL1719" i="3"/>
  <c r="AL654" i="3"/>
  <c r="AJ654" i="3"/>
  <c r="AL357" i="4"/>
  <c r="V357" i="4"/>
  <c r="AL170" i="4"/>
  <c r="V170" i="4"/>
  <c r="V382" i="4"/>
  <c r="AL382" i="4"/>
  <c r="AJ755" i="3"/>
  <c r="AL755" i="3"/>
  <c r="AE531" i="3"/>
  <c r="AC1849" i="3"/>
  <c r="AE1849" i="3"/>
  <c r="AE591" i="3"/>
  <c r="AC591" i="3"/>
  <c r="AC1714" i="3"/>
  <c r="AE1714" i="3"/>
  <c r="AE2285" i="3"/>
  <c r="AC2285" i="3"/>
  <c r="AC1669" i="3"/>
  <c r="AE1669" i="3"/>
  <c r="AL850" i="4"/>
  <c r="V850" i="4"/>
  <c r="V489" i="4"/>
  <c r="AL489" i="4"/>
  <c r="AL365" i="4"/>
  <c r="V365" i="4"/>
  <c r="AL51" i="4"/>
  <c r="V51" i="4"/>
  <c r="V480" i="4"/>
  <c r="AL480" i="4"/>
  <c r="AL188" i="4"/>
  <c r="V188" i="4"/>
  <c r="AL148" i="4"/>
  <c r="V148" i="4"/>
  <c r="AL557" i="3"/>
  <c r="AJ557" i="3"/>
  <c r="AL791" i="4"/>
  <c r="V791" i="4"/>
  <c r="V445" i="4"/>
  <c r="AL445" i="4"/>
  <c r="V293" i="4"/>
  <c r="AL293" i="4"/>
  <c r="V338" i="4"/>
  <c r="AL338" i="4"/>
  <c r="AL1633" i="3"/>
  <c r="AJ1633" i="3"/>
  <c r="AJ621" i="3"/>
  <c r="AL621" i="3"/>
  <c r="V333" i="4"/>
  <c r="AL333" i="4"/>
  <c r="V158" i="4"/>
  <c r="AL158" i="4"/>
  <c r="AL569" i="4"/>
  <c r="V569" i="4"/>
  <c r="AL658" i="3"/>
  <c r="AJ658" i="3"/>
  <c r="AE1127" i="3"/>
  <c r="AC1127" i="3"/>
  <c r="AE1859" i="3"/>
  <c r="AC1859" i="3"/>
  <c r="AE311" i="3"/>
  <c r="AC311" i="3"/>
  <c r="AC99" i="3"/>
  <c r="AE99" i="3"/>
  <c r="AC1819" i="3"/>
  <c r="AE1819" i="3"/>
  <c r="AC1594" i="3"/>
  <c r="AE1594" i="3"/>
  <c r="AC539" i="3"/>
  <c r="AE539" i="3"/>
  <c r="AC1812" i="3"/>
  <c r="AE1812" i="3"/>
  <c r="AC1985" i="3"/>
  <c r="AE1985" i="3"/>
  <c r="AE527" i="3"/>
  <c r="AC527" i="3"/>
  <c r="AC1651" i="3"/>
  <c r="AE1651" i="3"/>
  <c r="V803" i="4"/>
  <c r="AL803" i="4"/>
  <c r="AL469" i="4"/>
  <c r="V469" i="4"/>
  <c r="AL312" i="4"/>
  <c r="V312" i="4"/>
  <c r="V744" i="4"/>
  <c r="AL744" i="4"/>
  <c r="AJ1612" i="3"/>
  <c r="AL1612" i="3"/>
  <c r="AL1570" i="3"/>
  <c r="AJ1570" i="3"/>
  <c r="AL642" i="3"/>
  <c r="AJ642" i="3"/>
  <c r="V369" i="4"/>
  <c r="AL369" i="4"/>
  <c r="V176" i="4"/>
  <c r="AL176" i="4"/>
  <c r="V479" i="4"/>
  <c r="AL479" i="4"/>
  <c r="AJ1697" i="3"/>
  <c r="AL1697" i="3"/>
  <c r="AL591" i="3"/>
  <c r="AJ591" i="3"/>
  <c r="V749" i="4"/>
  <c r="AL749" i="4"/>
  <c r="AL426" i="4"/>
  <c r="V426" i="4"/>
  <c r="AL703" i="4"/>
  <c r="V703" i="4"/>
  <c r="AL12" i="4"/>
  <c r="V12" i="4"/>
  <c r="AJ1701" i="3"/>
  <c r="AL1701" i="3"/>
  <c r="AL594" i="3"/>
  <c r="AJ594" i="3"/>
  <c r="V309" i="4"/>
  <c r="AL309" i="4"/>
  <c r="AL146" i="4"/>
  <c r="V146" i="4"/>
  <c r="V439" i="4"/>
  <c r="AL439" i="4"/>
  <c r="AL522" i="3"/>
  <c r="AJ522" i="3"/>
  <c r="AE1703" i="3"/>
  <c r="AC1703" i="3"/>
  <c r="AC442" i="3"/>
  <c r="AE442" i="3"/>
  <c r="AC238" i="3"/>
  <c r="AE238" i="3"/>
  <c r="AE401" i="3"/>
  <c r="AC401" i="3"/>
  <c r="AC752" i="3"/>
  <c r="AE752" i="3"/>
  <c r="AE1902" i="3"/>
  <c r="AC1902" i="3"/>
  <c r="AE127" i="3"/>
  <c r="AC127" i="3"/>
  <c r="AC829" i="3"/>
  <c r="AE829" i="3"/>
  <c r="AC785" i="3"/>
  <c r="AE785" i="3"/>
  <c r="AC540" i="3"/>
  <c r="AE540" i="3"/>
  <c r="AL636" i="4"/>
  <c r="V636" i="4"/>
  <c r="AL328" i="4"/>
  <c r="V328" i="4"/>
  <c r="V27" i="4"/>
  <c r="AL27" i="4"/>
  <c r="AL83" i="4"/>
  <c r="V83" i="4"/>
  <c r="AL540" i="3"/>
  <c r="AJ540" i="3"/>
  <c r="AL66" i="4"/>
  <c r="V66" i="4"/>
  <c r="V350" i="4"/>
  <c r="AL350" i="4"/>
  <c r="V341" i="4"/>
  <c r="AL341" i="4"/>
  <c r="AL1572" i="3"/>
  <c r="AJ1572" i="3"/>
  <c r="V600" i="4"/>
  <c r="AL600" i="4"/>
  <c r="V292" i="4"/>
  <c r="AL292" i="4"/>
  <c r="V457" i="4"/>
  <c r="AL457" i="4"/>
  <c r="V13" i="4"/>
  <c r="AL13" i="4"/>
  <c r="AL877" i="4"/>
  <c r="V877" i="4"/>
  <c r="V696" i="4"/>
  <c r="AL696" i="4"/>
  <c r="V167" i="4"/>
  <c r="AL167" i="4"/>
  <c r="AL154" i="4"/>
  <c r="V154" i="4"/>
  <c r="AJ776" i="3"/>
  <c r="AL776" i="3"/>
  <c r="AL1568" i="3"/>
  <c r="AJ1568" i="3"/>
  <c r="AL534" i="3"/>
  <c r="AJ534" i="3"/>
  <c r="AC536" i="3"/>
  <c r="AE536" i="3"/>
  <c r="AC1608" i="3"/>
  <c r="AE1608" i="3"/>
  <c r="AE1689" i="3"/>
  <c r="AC1689" i="3"/>
  <c r="AC1461" i="3"/>
  <c r="AE1461" i="3"/>
  <c r="AC2205" i="3"/>
  <c r="AE2205" i="3"/>
  <c r="AE1603" i="3"/>
  <c r="AC1603" i="3"/>
  <c r="AE775" i="3"/>
  <c r="AC775" i="3"/>
  <c r="AE619" i="3"/>
  <c r="AC619" i="3"/>
  <c r="AC217" i="3"/>
  <c r="AE217" i="3"/>
  <c r="AC465" i="3"/>
  <c r="AE465" i="3"/>
  <c r="AC599" i="3"/>
  <c r="AE599" i="3"/>
  <c r="AC339" i="3"/>
  <c r="AE339" i="3"/>
  <c r="AC1193" i="3"/>
  <c r="AE1193" i="3"/>
  <c r="V612" i="4"/>
  <c r="AL612" i="4"/>
  <c r="AL304" i="4"/>
  <c r="V304" i="4"/>
  <c r="V505" i="4"/>
  <c r="AL505" i="4"/>
  <c r="V253" i="4"/>
  <c r="AL253" i="4"/>
  <c r="AL1665" i="3"/>
  <c r="AJ1665" i="3"/>
  <c r="AJ513" i="3"/>
  <c r="AL513" i="3"/>
  <c r="AL893" i="4"/>
  <c r="V893" i="4"/>
  <c r="V42" i="4"/>
  <c r="AL42" i="4"/>
  <c r="V299" i="4"/>
  <c r="AL299" i="4"/>
  <c r="AL265" i="4"/>
  <c r="V265" i="4"/>
  <c r="AJ795" i="3"/>
  <c r="AL795" i="3"/>
  <c r="V857" i="4"/>
  <c r="AL857" i="4"/>
  <c r="AL268" i="4"/>
  <c r="V268" i="4"/>
  <c r="AL394" i="4"/>
  <c r="V394" i="4"/>
  <c r="V289" i="4"/>
  <c r="AL289" i="4"/>
  <c r="V870" i="4"/>
  <c r="AL870" i="4"/>
  <c r="V621" i="4"/>
  <c r="AL621" i="4"/>
  <c r="AL95" i="4"/>
  <c r="V95" i="4"/>
  <c r="AL47" i="4"/>
  <c r="V47" i="4"/>
  <c r="AL1631" i="3"/>
  <c r="AJ1631" i="3"/>
  <c r="AC1913" i="3"/>
  <c r="AE1913" i="3"/>
  <c r="AE451" i="3"/>
  <c r="AC451" i="3"/>
  <c r="AC516" i="3"/>
  <c r="AE516" i="3"/>
  <c r="AE2207" i="3"/>
  <c r="AC2207" i="3"/>
  <c r="AE1331" i="3"/>
  <c r="AC1331" i="3"/>
  <c r="AC794" i="3"/>
  <c r="AE794" i="3"/>
  <c r="AC337" i="3"/>
  <c r="AE337" i="3"/>
  <c r="AE549" i="3"/>
  <c r="AC549" i="3"/>
  <c r="AC2060" i="3"/>
  <c r="AE2060" i="3"/>
  <c r="AE953" i="3"/>
  <c r="AC953" i="3"/>
  <c r="AE1960" i="3"/>
  <c r="AC1960" i="3"/>
  <c r="V588" i="4"/>
  <c r="AL588" i="4"/>
  <c r="V280" i="4"/>
  <c r="AL280" i="4"/>
  <c r="AL417" i="4"/>
  <c r="V417" i="4"/>
  <c r="V142" i="4"/>
  <c r="AL142" i="4"/>
  <c r="V912" i="4"/>
  <c r="AL912" i="4"/>
  <c r="V822" i="4"/>
  <c r="AL822" i="4"/>
  <c r="AL201" i="4"/>
  <c r="V201" i="4"/>
  <c r="AL215" i="4"/>
  <c r="V215" i="4"/>
  <c r="AJ782" i="3"/>
  <c r="AL782" i="3"/>
  <c r="AJ867" i="3"/>
  <c r="AL867" i="3"/>
  <c r="V788" i="4"/>
  <c r="AL788" i="4"/>
  <c r="AL785" i="4"/>
  <c r="V785" i="4"/>
  <c r="AL323" i="4"/>
  <c r="V323" i="4"/>
  <c r="AL212" i="4"/>
  <c r="V212" i="4"/>
  <c r="AJ1657" i="3"/>
  <c r="AL1657" i="3"/>
  <c r="AL842" i="4"/>
  <c r="V842" i="4"/>
  <c r="V578" i="4"/>
  <c r="AL578" i="4"/>
  <c r="AL29" i="4"/>
  <c r="V29" i="4"/>
  <c r="AL427" i="4"/>
  <c r="V427" i="4"/>
  <c r="AJ1699" i="3"/>
  <c r="AL1699" i="3"/>
  <c r="AJ510" i="3"/>
  <c r="AL510" i="3"/>
  <c r="AC1059" i="3"/>
  <c r="AE1059" i="3"/>
  <c r="AC2250" i="3"/>
  <c r="AE2250" i="3"/>
  <c r="AE1679" i="3"/>
  <c r="AC1679" i="3"/>
  <c r="AE2159" i="3"/>
  <c r="AC2159" i="3"/>
  <c r="AC534" i="3"/>
  <c r="AE534" i="3"/>
  <c r="AC1724" i="3"/>
  <c r="AE1724" i="3"/>
  <c r="AE2156" i="3"/>
  <c r="AC2156" i="3"/>
  <c r="AC1656" i="3"/>
  <c r="AE1656" i="3"/>
  <c r="AL832" i="4"/>
  <c r="V832" i="4"/>
  <c r="V8" i="4"/>
  <c r="AL8" i="4"/>
  <c r="V332" i="4"/>
  <c r="AL332" i="4"/>
  <c r="V183" i="4"/>
  <c r="AL183" i="4"/>
  <c r="AJ1624" i="3"/>
  <c r="AL1624" i="3"/>
  <c r="AL583" i="3"/>
  <c r="AJ583" i="3"/>
  <c r="V875" i="4"/>
  <c r="AL875" i="4"/>
  <c r="V653" i="4"/>
  <c r="AL653" i="4"/>
  <c r="V131" i="4"/>
  <c r="AL131" i="4"/>
  <c r="AL101" i="4"/>
  <c r="V101" i="4"/>
  <c r="AL616" i="3"/>
  <c r="AJ616" i="3"/>
  <c r="AL704" i="4"/>
  <c r="V704" i="4"/>
  <c r="V583" i="4"/>
  <c r="AL583" i="4"/>
  <c r="AL266" i="4"/>
  <c r="V266" i="4"/>
  <c r="AL71" i="4"/>
  <c r="V71" i="4"/>
  <c r="AL1741" i="3"/>
  <c r="AJ1741" i="3"/>
  <c r="AL915" i="4"/>
  <c r="V915" i="4"/>
  <c r="V535" i="4"/>
  <c r="AL535" i="4"/>
  <c r="AL793" i="4"/>
  <c r="V793" i="4"/>
  <c r="V311" i="4"/>
  <c r="AL311" i="4"/>
  <c r="AL599" i="3"/>
  <c r="AJ599" i="3"/>
  <c r="AE2120" i="3"/>
  <c r="AC2120" i="3"/>
  <c r="AE1980" i="3"/>
  <c r="AC1980" i="3"/>
  <c r="AC476" i="3"/>
  <c r="AE476" i="3"/>
  <c r="AC346" i="3"/>
  <c r="AE346" i="3"/>
  <c r="AE1631" i="3"/>
  <c r="AC1631" i="3"/>
  <c r="AE2231" i="3"/>
  <c r="AC2231" i="3"/>
  <c r="AE2179" i="3"/>
  <c r="AC2179" i="3"/>
  <c r="AC793" i="3"/>
  <c r="AE793" i="3"/>
  <c r="AC795" i="3"/>
  <c r="AE795" i="3"/>
  <c r="AC592" i="3"/>
  <c r="AE592" i="3"/>
  <c r="AC1560" i="3"/>
  <c r="AE1560" i="3"/>
  <c r="AC363" i="3"/>
  <c r="AE363" i="3"/>
  <c r="AC1650" i="3"/>
  <c r="AE1650" i="3"/>
  <c r="AC1607" i="3"/>
  <c r="AE1607" i="3"/>
  <c r="AC283" i="3"/>
  <c r="AE283" i="3"/>
  <c r="AC1783" i="3"/>
  <c r="AE1783" i="3"/>
  <c r="AC205" i="3"/>
  <c r="AE205" i="3"/>
  <c r="AC1176" i="3"/>
  <c r="AE1176" i="3"/>
  <c r="AE1096" i="3"/>
  <c r="AC1096" i="3"/>
  <c r="AC1915" i="3"/>
  <c r="AE1915" i="3"/>
  <c r="AC1728" i="3"/>
  <c r="AE1728" i="3"/>
  <c r="AE734" i="3"/>
  <c r="AC734" i="3"/>
  <c r="AC850" i="3"/>
  <c r="AE850" i="3"/>
  <c r="AE1402" i="3"/>
  <c r="AC1402" i="3"/>
  <c r="AC851" i="3"/>
  <c r="AE851" i="3"/>
  <c r="AC1112" i="3"/>
  <c r="AE1112" i="3"/>
  <c r="AC1099" i="3"/>
  <c r="AE1099" i="3"/>
  <c r="AC910" i="3"/>
  <c r="AE910" i="3"/>
  <c r="AE62" i="3"/>
  <c r="AC62" i="3"/>
  <c r="AE1455" i="3"/>
  <c r="AC1455" i="3"/>
  <c r="AE1400" i="3"/>
  <c r="AC1400" i="3"/>
  <c r="AC164" i="3"/>
  <c r="AE164" i="3"/>
  <c r="AE1437" i="3"/>
  <c r="AC1437" i="3"/>
  <c r="AC609" i="3"/>
  <c r="AE609" i="3"/>
  <c r="AE447" i="3"/>
  <c r="AC447" i="3"/>
  <c r="AC2281" i="3"/>
  <c r="AE2281" i="3"/>
  <c r="AE83" i="3"/>
  <c r="AC83" i="3"/>
  <c r="AE1480" i="3"/>
  <c r="AC1480" i="3"/>
  <c r="AC2147" i="3"/>
  <c r="AE2147" i="3"/>
  <c r="AE724" i="3"/>
  <c r="AC724" i="3"/>
  <c r="AE1143" i="3"/>
  <c r="AC1143" i="3"/>
  <c r="AE616" i="3"/>
  <c r="AC616" i="3"/>
  <c r="AE2151" i="3"/>
  <c r="AC2151" i="3"/>
  <c r="AC1491" i="3"/>
  <c r="AE1491" i="3"/>
  <c r="AE911" i="3"/>
  <c r="AC911" i="3"/>
  <c r="AC718" i="3"/>
  <c r="AE718" i="3"/>
  <c r="AC91" i="3"/>
  <c r="AE91" i="3"/>
  <c r="AE834" i="3"/>
  <c r="AC834" i="3"/>
  <c r="AE2056" i="3"/>
  <c r="AC2056" i="3"/>
  <c r="AC992" i="3"/>
  <c r="AE992" i="3"/>
  <c r="AC1534" i="3"/>
  <c r="AE1534" i="3"/>
  <c r="AC368" i="3"/>
  <c r="AE368" i="3"/>
  <c r="AE414" i="3"/>
  <c r="AC414" i="3"/>
  <c r="AC203" i="3"/>
  <c r="AE203" i="3"/>
  <c r="AC925" i="3"/>
  <c r="AE925" i="3"/>
  <c r="AC1166" i="3"/>
  <c r="AE1166" i="3"/>
  <c r="AE1438" i="3"/>
  <c r="AC1438" i="3"/>
  <c r="AC838" i="3"/>
  <c r="AE838" i="3"/>
  <c r="AE1310" i="3"/>
  <c r="AC1310" i="3"/>
  <c r="AE2258" i="3"/>
  <c r="AC2258" i="3"/>
  <c r="AE172" i="3"/>
  <c r="AC172" i="3"/>
  <c r="AC1246" i="3"/>
  <c r="AE1246" i="3"/>
  <c r="AC1446" i="3"/>
  <c r="AE1446" i="3"/>
  <c r="AC728" i="3"/>
  <c r="AE728" i="3"/>
  <c r="AE2078" i="3"/>
  <c r="AC2078" i="3"/>
  <c r="AC1477" i="3"/>
  <c r="AE1477" i="3"/>
  <c r="AE1467" i="3"/>
  <c r="AC1467" i="3"/>
  <c r="AC841" i="3"/>
  <c r="AE841" i="3"/>
  <c r="AE2253" i="3"/>
  <c r="AC2253" i="3"/>
  <c r="AE1097" i="3"/>
  <c r="AC1097" i="3"/>
  <c r="AE2142" i="3"/>
  <c r="AC2142" i="3"/>
  <c r="AE579" i="3"/>
  <c r="AC579" i="3"/>
  <c r="AE1665" i="3"/>
  <c r="AC1665" i="3"/>
  <c r="AE2025" i="3"/>
  <c r="AC2025" i="3"/>
  <c r="AC285" i="3"/>
  <c r="AE285" i="3"/>
  <c r="AE2277" i="3"/>
  <c r="AC2277" i="3"/>
  <c r="AE1173" i="3"/>
  <c r="AC1173" i="3"/>
  <c r="AC1076" i="3"/>
  <c r="AE1076" i="3"/>
  <c r="AC1356" i="3"/>
  <c r="AE1356" i="3"/>
  <c r="AE924" i="3"/>
  <c r="AC924" i="3"/>
  <c r="AE663" i="3"/>
  <c r="AC663" i="3"/>
  <c r="AC331" i="3"/>
  <c r="AE331" i="3"/>
  <c r="AC2055" i="3"/>
  <c r="AE2055" i="3"/>
  <c r="AE598" i="3"/>
  <c r="AC598" i="3"/>
  <c r="AC1478" i="3"/>
  <c r="AE1478" i="3"/>
  <c r="AC1452" i="3"/>
  <c r="AE1452" i="3"/>
  <c r="AE916" i="3"/>
  <c r="AC916" i="3"/>
  <c r="AC1198" i="3"/>
  <c r="AE1198" i="3"/>
  <c r="AE824" i="3"/>
  <c r="AC824" i="3"/>
  <c r="AE1369" i="3"/>
  <c r="AC1369" i="3"/>
  <c r="AE1558" i="3"/>
  <c r="AC1558" i="3"/>
  <c r="AE1946" i="3"/>
  <c r="AC1946" i="3"/>
  <c r="AC726" i="3"/>
  <c r="AE726" i="3"/>
  <c r="AC801" i="3"/>
  <c r="AE801" i="3"/>
  <c r="AE1160" i="3"/>
  <c r="AC1160" i="3"/>
  <c r="AC772" i="3"/>
  <c r="AE772" i="3"/>
  <c r="AE654" i="3"/>
  <c r="AC654" i="3"/>
  <c r="AE983" i="3"/>
  <c r="AC983" i="3"/>
  <c r="AE757" i="3"/>
  <c r="AC757" i="3"/>
  <c r="AE837" i="3"/>
  <c r="AC837" i="3"/>
  <c r="AE2164" i="3"/>
  <c r="AC2164" i="3"/>
  <c r="AE1429" i="3"/>
  <c r="AC1429" i="3"/>
  <c r="AC848" i="3"/>
  <c r="AE848" i="3"/>
  <c r="AE976" i="3"/>
  <c r="AC976" i="3"/>
  <c r="AE2183" i="3"/>
  <c r="AC2183" i="3"/>
  <c r="AE1479" i="3"/>
  <c r="AC1479" i="3"/>
  <c r="AE2189" i="3"/>
  <c r="AC2189" i="3"/>
  <c r="AC1413" i="3"/>
  <c r="AE1413" i="3"/>
  <c r="AC732" i="3"/>
  <c r="AE732" i="3"/>
  <c r="AC1113" i="3"/>
  <c r="AE1113" i="3"/>
  <c r="AE1536" i="3"/>
  <c r="AC1536" i="3"/>
  <c r="AC2254" i="3"/>
  <c r="AE2254" i="3"/>
  <c r="AE169" i="3"/>
  <c r="AC169" i="3"/>
  <c r="AE730" i="3"/>
  <c r="AC730" i="3"/>
  <c r="AC1512" i="3"/>
  <c r="AE1512" i="3"/>
  <c r="AC1732" i="3"/>
  <c r="AE1732" i="3"/>
  <c r="AC1457" i="3"/>
  <c r="AE1457" i="3"/>
  <c r="AE914" i="3"/>
  <c r="AC914" i="3"/>
  <c r="AE1273" i="3"/>
  <c r="AC1273" i="3"/>
  <c r="AC1494" i="3"/>
  <c r="AE1494" i="3"/>
  <c r="AC985" i="3"/>
  <c r="AE985" i="3"/>
  <c r="AE174" i="3"/>
  <c r="AC174" i="3"/>
  <c r="AE974" i="3"/>
  <c r="AC974" i="3"/>
  <c r="AC1120" i="3"/>
  <c r="AE1120" i="3"/>
  <c r="AC1505" i="3"/>
  <c r="AE1505" i="3"/>
  <c r="AE385" i="3"/>
  <c r="AC385" i="3"/>
  <c r="AC1667" i="3"/>
  <c r="AE1667" i="3"/>
  <c r="AE1068" i="3"/>
  <c r="AC1068" i="3"/>
  <c r="AC765" i="3"/>
  <c r="AE765" i="3"/>
  <c r="AC2170" i="3"/>
  <c r="AE2170" i="3"/>
  <c r="AE1189" i="3"/>
  <c r="AC1189" i="3"/>
  <c r="AE963" i="3"/>
  <c r="AC963" i="3"/>
  <c r="AE1712" i="3"/>
  <c r="AC1712" i="3"/>
  <c r="AE1516" i="3"/>
  <c r="AC1516" i="3"/>
  <c r="AC1466" i="3"/>
  <c r="AE1466" i="3"/>
  <c r="AE1456" i="3"/>
  <c r="AC1456" i="3"/>
  <c r="AC849" i="3"/>
  <c r="AE849" i="3"/>
  <c r="AM793" i="4" l="1"/>
  <c r="AN793" i="4"/>
  <c r="AM915" i="4"/>
  <c r="AN915" i="4"/>
  <c r="AM832" i="4"/>
  <c r="AN832" i="4"/>
  <c r="AN29" i="4"/>
  <c r="AM29" i="4"/>
  <c r="AN212" i="4"/>
  <c r="AM212" i="4"/>
  <c r="AM785" i="4"/>
  <c r="AN785" i="4"/>
  <c r="AN215" i="4"/>
  <c r="AM215" i="4"/>
  <c r="AM268" i="4"/>
  <c r="AN268" i="4"/>
  <c r="AN893" i="4"/>
  <c r="AM893" i="4"/>
  <c r="AM311" i="4"/>
  <c r="AN311" i="4"/>
  <c r="AM535" i="4"/>
  <c r="AN535" i="4"/>
  <c r="AM653" i="4"/>
  <c r="AN653" i="4"/>
  <c r="AM183" i="4"/>
  <c r="AN183" i="4"/>
  <c r="AM8" i="4"/>
  <c r="AN8" i="4"/>
  <c r="AM578" i="4"/>
  <c r="AN578" i="4"/>
  <c r="AN788" i="4"/>
  <c r="AM788" i="4"/>
  <c r="AN912" i="4"/>
  <c r="AM912" i="4"/>
  <c r="AM588" i="4"/>
  <c r="AN588" i="4"/>
  <c r="AN870" i="4"/>
  <c r="AM870" i="4"/>
  <c r="AM857" i="4"/>
  <c r="AN857" i="4"/>
  <c r="AN42" i="4"/>
  <c r="AM42" i="4"/>
  <c r="AM253" i="4"/>
  <c r="AN253" i="4"/>
  <c r="AM696" i="4"/>
  <c r="AN696" i="4"/>
  <c r="AN13" i="4"/>
  <c r="AM13" i="4"/>
  <c r="AN292" i="4"/>
  <c r="AM292" i="4"/>
  <c r="AN350" i="4"/>
  <c r="AM350" i="4"/>
  <c r="AN27" i="4"/>
  <c r="AM27" i="4"/>
  <c r="AN439" i="4"/>
  <c r="AM439" i="4"/>
  <c r="AN309" i="4"/>
  <c r="AM309" i="4"/>
  <c r="AN749" i="4"/>
  <c r="AM749" i="4"/>
  <c r="AM176" i="4"/>
  <c r="AN176" i="4"/>
  <c r="AM803" i="4"/>
  <c r="AN803" i="4"/>
  <c r="AM158" i="4"/>
  <c r="AN158" i="4"/>
  <c r="AM338" i="4"/>
  <c r="AN338" i="4"/>
  <c r="AN445" i="4"/>
  <c r="AM445" i="4"/>
  <c r="AN489" i="4"/>
  <c r="AM489" i="4"/>
  <c r="AN170" i="4"/>
  <c r="AM170" i="4"/>
  <c r="AN471" i="4"/>
  <c r="AM471" i="4"/>
  <c r="AM353" i="4"/>
  <c r="AN353" i="4"/>
  <c r="AN506" i="4"/>
  <c r="AM506" i="4"/>
  <c r="AN356" i="4"/>
  <c r="AM356" i="4"/>
  <c r="AM828" i="4"/>
  <c r="AN828" i="4"/>
  <c r="AM530" i="4"/>
  <c r="AN530" i="4"/>
  <c r="AM734" i="4"/>
  <c r="AN734" i="4"/>
  <c r="AN126" i="4"/>
  <c r="AM126" i="4"/>
  <c r="AM32" i="4"/>
  <c r="AN32" i="4"/>
  <c r="AM499" i="4"/>
  <c r="AN499" i="4"/>
  <c r="AM465" i="4"/>
  <c r="AN465" i="4"/>
  <c r="AM389" i="4"/>
  <c r="AN389" i="4"/>
  <c r="AM337" i="4"/>
  <c r="AN337" i="4"/>
  <c r="AM674" i="4"/>
  <c r="AN674" i="4"/>
  <c r="AN56" i="4"/>
  <c r="AM56" i="4"/>
  <c r="AN848" i="4"/>
  <c r="AM848" i="4"/>
  <c r="AM38" i="4"/>
  <c r="AN38" i="4"/>
  <c r="AN64" i="4"/>
  <c r="AM64" i="4"/>
  <c r="AM800" i="4"/>
  <c r="AN800" i="4"/>
  <c r="AM247" i="4"/>
  <c r="AN247" i="4"/>
  <c r="AN567" i="4"/>
  <c r="AM567" i="4"/>
  <c r="AN255" i="4"/>
  <c r="AM255" i="4"/>
  <c r="AN916" i="4"/>
  <c r="AM916" i="4"/>
  <c r="AM837" i="4"/>
  <c r="AN837" i="4"/>
  <c r="AN243" i="4"/>
  <c r="AM243" i="4"/>
  <c r="AM741" i="4"/>
  <c r="AN741" i="4"/>
  <c r="AM670" i="4"/>
  <c r="AN670" i="4"/>
  <c r="AN59" i="4"/>
  <c r="AM59" i="4"/>
  <c r="AN743" i="4"/>
  <c r="AM743" i="4"/>
  <c r="AN808" i="4"/>
  <c r="AM808" i="4"/>
  <c r="AM615" i="4"/>
  <c r="AN615" i="4"/>
  <c r="AN116" i="4"/>
  <c r="AM116" i="4"/>
  <c r="AM463" i="4"/>
  <c r="AN463" i="4"/>
  <c r="AM434" i="4"/>
  <c r="AN434" i="4"/>
  <c r="AM3" i="4"/>
  <c r="AN3" i="4"/>
  <c r="AM869" i="4"/>
  <c r="AN869" i="4"/>
  <c r="AN780" i="4"/>
  <c r="AM780" i="4"/>
  <c r="AM387" i="4"/>
  <c r="AN387" i="4"/>
  <c r="AN560" i="4"/>
  <c r="AM560" i="4"/>
  <c r="AN273" i="4"/>
  <c r="AM273" i="4"/>
  <c r="AM646" i="4"/>
  <c r="AN646" i="4"/>
  <c r="AN275" i="4"/>
  <c r="AM275" i="4"/>
  <c r="AN676" i="4"/>
  <c r="AM676" i="4"/>
  <c r="AM240" i="4"/>
  <c r="AN240" i="4"/>
  <c r="AM856" i="4"/>
  <c r="AN856" i="4"/>
  <c r="AM712" i="4"/>
  <c r="AN712" i="4"/>
  <c r="AN297" i="4"/>
  <c r="AM297" i="4"/>
  <c r="AN691" i="4"/>
  <c r="AM691" i="4"/>
  <c r="AN739" i="4"/>
  <c r="AM739" i="4"/>
  <c r="AM742" i="4"/>
  <c r="AN742" i="4"/>
  <c r="AN632" i="4"/>
  <c r="AM632" i="4"/>
  <c r="AM345" i="4"/>
  <c r="AN345" i="4"/>
  <c r="AN346" i="4"/>
  <c r="AM346" i="4"/>
  <c r="AN516" i="4"/>
  <c r="AM516" i="4"/>
  <c r="AN119" i="4"/>
  <c r="AM119" i="4"/>
  <c r="AN428" i="4"/>
  <c r="AM428" i="4"/>
  <c r="AM706" i="4"/>
  <c r="AN706" i="4"/>
  <c r="AN52" i="4"/>
  <c r="AM52" i="4"/>
  <c r="AM120" i="4"/>
  <c r="AN120" i="4"/>
  <c r="AN177" i="4"/>
  <c r="AM177" i="4"/>
  <c r="AN129" i="4"/>
  <c r="AM129" i="4"/>
  <c r="AM144" i="4"/>
  <c r="AN144" i="4"/>
  <c r="AN124" i="4"/>
  <c r="AM124" i="4"/>
  <c r="AM132" i="4"/>
  <c r="AN132" i="4"/>
  <c r="AM248" i="4"/>
  <c r="AN248" i="4"/>
  <c r="AM449" i="4"/>
  <c r="AN449" i="4"/>
  <c r="AN886" i="4"/>
  <c r="AM886" i="4"/>
  <c r="AM301" i="4"/>
  <c r="AN301" i="4"/>
  <c r="AM724" i="4"/>
  <c r="AN724" i="4"/>
  <c r="AM818" i="4"/>
  <c r="AN818" i="4"/>
  <c r="AM807" i="4"/>
  <c r="AN807" i="4"/>
  <c r="AM642" i="4"/>
  <c r="AN642" i="4"/>
  <c r="AM607" i="4"/>
  <c r="AN607" i="4"/>
  <c r="AM841" i="4"/>
  <c r="AN841" i="4"/>
  <c r="AM482" i="4"/>
  <c r="AN482" i="4"/>
  <c r="AN400" i="4"/>
  <c r="AM400" i="4"/>
  <c r="AN45" i="4"/>
  <c r="AM45" i="4"/>
  <c r="AN225" i="4"/>
  <c r="AM225" i="4"/>
  <c r="AM50" i="4"/>
  <c r="AN50" i="4"/>
  <c r="AM669" i="4"/>
  <c r="AN669" i="4"/>
  <c r="AN640" i="4"/>
  <c r="AM640" i="4"/>
  <c r="AN735" i="4"/>
  <c r="AM735" i="4"/>
  <c r="AN241" i="4"/>
  <c r="AM241" i="4"/>
  <c r="AN16" i="4"/>
  <c r="AM16" i="4"/>
  <c r="AN770" i="4"/>
  <c r="AM770" i="4"/>
  <c r="AM435" i="4"/>
  <c r="AN435" i="4"/>
  <c r="AN827" i="4"/>
  <c r="AM827" i="4"/>
  <c r="AM699" i="4"/>
  <c r="AN699" i="4"/>
  <c r="AN57" i="4"/>
  <c r="AM57" i="4"/>
  <c r="AM582" i="4"/>
  <c r="AN582" i="4"/>
  <c r="AM229" i="4"/>
  <c r="AN229" i="4"/>
  <c r="AN783" i="4"/>
  <c r="AM783" i="4"/>
  <c r="AN179" i="4"/>
  <c r="AM179" i="4"/>
  <c r="AN48" i="4"/>
  <c r="AM48" i="4"/>
  <c r="AN193" i="4"/>
  <c r="AM193" i="4"/>
  <c r="AN361" i="4"/>
  <c r="AM361" i="4"/>
  <c r="AN72" i="4"/>
  <c r="AM72" i="4"/>
  <c r="AM746" i="4"/>
  <c r="AN746" i="4"/>
  <c r="AN163" i="4"/>
  <c r="AM163" i="4"/>
  <c r="AM347" i="4"/>
  <c r="AN347" i="4"/>
  <c r="AM181" i="4"/>
  <c r="AN181" i="4"/>
  <c r="AM700" i="4"/>
  <c r="AN700" i="4"/>
  <c r="AN740" i="4"/>
  <c r="AM740" i="4"/>
  <c r="AM462" i="4"/>
  <c r="AN462" i="4"/>
  <c r="AN206" i="4"/>
  <c r="AM206" i="4"/>
  <c r="AN779" i="4"/>
  <c r="AM779" i="4"/>
  <c r="AM892" i="4"/>
  <c r="AN892" i="4"/>
  <c r="AM474" i="4"/>
  <c r="AN474" i="4"/>
  <c r="AN526" i="4"/>
  <c r="AM526" i="4"/>
  <c r="AN414" i="4"/>
  <c r="AM414" i="4"/>
  <c r="AM511" i="4"/>
  <c r="AN511" i="4"/>
  <c r="AN470" i="4"/>
  <c r="AM470" i="4"/>
  <c r="AM336" i="4"/>
  <c r="AN336" i="4"/>
  <c r="AM500" i="4"/>
  <c r="AN500" i="4"/>
  <c r="AN772" i="4"/>
  <c r="AM772" i="4"/>
  <c r="AM270" i="4"/>
  <c r="AN270" i="4"/>
  <c r="AM774" i="4"/>
  <c r="AN774" i="4"/>
  <c r="AM423" i="4"/>
  <c r="AN423" i="4"/>
  <c r="AM377" i="4"/>
  <c r="AN377" i="4"/>
  <c r="AN501" i="4"/>
  <c r="AM501" i="4"/>
  <c r="AN651" i="4"/>
  <c r="AM651" i="4"/>
  <c r="AN61" i="4"/>
  <c r="AM61" i="4"/>
  <c r="AM675" i="4"/>
  <c r="AN675" i="4"/>
  <c r="AM252" i="4"/>
  <c r="AN252" i="4"/>
  <c r="AM550" i="4"/>
  <c r="AN550" i="4"/>
  <c r="AN403" i="4"/>
  <c r="AM403" i="4"/>
  <c r="AM99" i="4"/>
  <c r="AN99" i="4"/>
  <c r="AN719" i="4"/>
  <c r="AM719" i="4"/>
  <c r="AN573" i="4"/>
  <c r="AM573" i="4"/>
  <c r="AN867" i="4"/>
  <c r="AM867" i="4"/>
  <c r="AN690" i="4"/>
  <c r="AM690" i="4"/>
  <c r="AM889" i="4"/>
  <c r="AN889" i="4"/>
  <c r="AN668" i="4"/>
  <c r="AM668" i="4"/>
  <c r="AN650" i="4"/>
  <c r="AM650" i="4"/>
  <c r="AM210" i="4"/>
  <c r="AN210" i="4"/>
  <c r="AN667" i="4"/>
  <c r="AM667" i="4"/>
  <c r="AN23" i="4"/>
  <c r="AM23" i="4"/>
  <c r="AM836" i="4"/>
  <c r="AN836" i="4"/>
  <c r="AN271" i="4"/>
  <c r="AM271" i="4"/>
  <c r="AN284" i="4"/>
  <c r="AM284" i="4"/>
  <c r="AN546" i="4"/>
  <c r="AM546" i="4"/>
  <c r="AN579" i="4"/>
  <c r="AM579" i="4"/>
  <c r="AN127" i="4"/>
  <c r="AM127" i="4"/>
  <c r="AM522" i="4"/>
  <c r="AN522" i="4"/>
  <c r="AM702" i="4"/>
  <c r="AN702" i="4"/>
  <c r="AN145" i="4"/>
  <c r="AM145" i="4"/>
  <c r="AM812" i="4"/>
  <c r="AN812" i="4"/>
  <c r="AM628" i="4"/>
  <c r="AN628" i="4"/>
  <c r="AM291" i="4"/>
  <c r="AN291" i="4"/>
  <c r="AN647" i="4"/>
  <c r="AM647" i="4"/>
  <c r="AM157" i="4"/>
  <c r="AN157" i="4"/>
  <c r="AN151" i="4"/>
  <c r="AM151" i="4"/>
  <c r="AN896" i="4"/>
  <c r="AM896" i="4"/>
  <c r="AN169" i="4"/>
  <c r="AM169" i="4"/>
  <c r="AN278" i="4"/>
  <c r="AM278" i="4"/>
  <c r="AM125" i="4"/>
  <c r="AN125" i="4"/>
  <c r="AM556" i="4"/>
  <c r="AN556" i="4"/>
  <c r="AN90" i="4"/>
  <c r="AM90" i="4"/>
  <c r="AN87" i="4"/>
  <c r="AM87" i="4"/>
  <c r="AN571" i="4"/>
  <c r="AM571" i="4"/>
  <c r="AN380" i="4"/>
  <c r="AM380" i="4"/>
  <c r="AM78" i="4"/>
  <c r="AN78" i="4"/>
  <c r="AN701" i="4"/>
  <c r="AM701" i="4"/>
  <c r="AM6" i="4"/>
  <c r="AN6" i="4"/>
  <c r="AM410" i="4"/>
  <c r="AN410" i="4"/>
  <c r="AN359" i="4"/>
  <c r="AM359" i="4"/>
  <c r="AM397" i="4"/>
  <c r="AN397" i="4"/>
  <c r="AM784" i="4"/>
  <c r="AN784" i="4"/>
  <c r="AM313" i="4"/>
  <c r="AN313" i="4"/>
  <c r="AM907" i="4"/>
  <c r="AN907" i="4"/>
  <c r="AM63" i="4"/>
  <c r="AN63" i="4"/>
  <c r="AM524" i="4"/>
  <c r="AN524" i="4"/>
  <c r="AM523" i="4"/>
  <c r="AN523" i="4"/>
  <c r="AN267" i="4"/>
  <c r="AM267" i="4"/>
  <c r="AN385" i="4"/>
  <c r="AM385" i="4"/>
  <c r="AM610" i="4"/>
  <c r="AN610" i="4"/>
  <c r="AM732" i="4"/>
  <c r="AN732" i="4"/>
  <c r="AN644" i="4"/>
  <c r="AM644" i="4"/>
  <c r="AN455" i="4"/>
  <c r="AM455" i="4"/>
  <c r="AN566" i="4"/>
  <c r="AM566" i="4"/>
  <c r="AN553" i="4"/>
  <c r="AM553" i="4"/>
  <c r="AN900" i="4"/>
  <c r="AM900" i="4"/>
  <c r="AM53" i="4"/>
  <c r="AN53" i="4"/>
  <c r="AN67" i="4"/>
  <c r="AM67" i="4"/>
  <c r="AN512" i="4"/>
  <c r="AM512" i="4"/>
  <c r="AN165" i="4"/>
  <c r="AM165" i="4"/>
  <c r="AN79" i="4"/>
  <c r="AM79" i="4"/>
  <c r="AN220" i="4"/>
  <c r="AM220" i="4"/>
  <c r="AM97" i="4"/>
  <c r="AN97" i="4"/>
  <c r="AN611" i="4"/>
  <c r="AM611" i="4"/>
  <c r="AM687" i="4"/>
  <c r="AN687" i="4"/>
  <c r="AN559" i="4"/>
  <c r="AM559" i="4"/>
  <c r="AM343" i="4"/>
  <c r="AN343" i="4"/>
  <c r="AN109" i="4"/>
  <c r="AM109" i="4"/>
  <c r="AM226" i="4"/>
  <c r="AN226" i="4"/>
  <c r="AM121" i="4"/>
  <c r="AN121" i="4"/>
  <c r="AN147" i="4"/>
  <c r="AM147" i="4"/>
  <c r="AM777" i="4"/>
  <c r="AN777" i="4"/>
  <c r="AM404" i="4"/>
  <c r="AN404" i="4"/>
  <c r="AM543" i="4"/>
  <c r="AN543" i="4"/>
  <c r="AM693" i="4"/>
  <c r="AN693" i="4"/>
  <c r="AN586" i="4"/>
  <c r="AM586" i="4"/>
  <c r="AM203" i="4"/>
  <c r="AN203" i="4"/>
  <c r="AM608" i="4"/>
  <c r="AN608" i="4"/>
  <c r="AM290" i="4"/>
  <c r="AN290" i="4"/>
  <c r="AN631" i="4"/>
  <c r="AM631" i="4"/>
  <c r="AM307" i="4"/>
  <c r="AN307" i="4"/>
  <c r="AN844" i="4"/>
  <c r="AM844" i="4"/>
  <c r="AM266" i="4"/>
  <c r="AN266" i="4"/>
  <c r="AN704" i="4"/>
  <c r="AM704" i="4"/>
  <c r="AN101" i="4"/>
  <c r="AM101" i="4"/>
  <c r="AN427" i="4"/>
  <c r="AM427" i="4"/>
  <c r="AN323" i="4"/>
  <c r="AM323" i="4"/>
  <c r="AN201" i="4"/>
  <c r="AM201" i="4"/>
  <c r="AN417" i="4"/>
  <c r="AM417" i="4"/>
  <c r="AN95" i="4"/>
  <c r="AM95" i="4"/>
  <c r="AM394" i="4"/>
  <c r="AN394" i="4"/>
  <c r="AN265" i="4"/>
  <c r="AM265" i="4"/>
  <c r="AM304" i="4"/>
  <c r="AN304" i="4"/>
  <c r="AN154" i="4"/>
  <c r="AM154" i="4"/>
  <c r="AM636" i="4"/>
  <c r="AN636" i="4"/>
  <c r="AM703" i="4"/>
  <c r="AN703" i="4"/>
  <c r="AN312" i="4"/>
  <c r="AM312" i="4"/>
  <c r="AN188" i="4"/>
  <c r="AM188" i="4"/>
  <c r="AN51" i="4"/>
  <c r="AM51" i="4"/>
  <c r="AN382" i="4"/>
  <c r="AM382" i="4"/>
  <c r="AN834" i="4"/>
  <c r="AM834" i="4"/>
  <c r="AM258" i="4"/>
  <c r="AN258" i="4"/>
  <c r="AM443" i="4"/>
  <c r="AN443" i="4"/>
  <c r="AN525" i="4"/>
  <c r="AM525" i="4"/>
  <c r="AM406" i="4"/>
  <c r="AN406" i="4"/>
  <c r="AN623" i="4"/>
  <c r="AM623" i="4"/>
  <c r="AN233" i="4"/>
  <c r="AM233" i="4"/>
  <c r="AN424" i="4"/>
  <c r="AM424" i="4"/>
  <c r="AN239" i="4"/>
  <c r="AM239" i="4"/>
  <c r="AM383" i="4"/>
  <c r="AN383" i="4"/>
  <c r="AM794" i="4"/>
  <c r="AN794" i="4"/>
  <c r="AN708" i="4"/>
  <c r="AM708" i="4"/>
  <c r="AM372" i="4"/>
  <c r="AN372" i="4"/>
  <c r="AN412" i="4"/>
  <c r="AM412" i="4"/>
  <c r="AN825" i="4"/>
  <c r="AM825" i="4"/>
  <c r="AN402" i="4"/>
  <c r="AM402" i="4"/>
  <c r="AM814" i="4"/>
  <c r="AN814" i="4"/>
  <c r="AM437" i="4"/>
  <c r="AN437" i="4"/>
  <c r="AM529" i="4"/>
  <c r="AN529" i="4"/>
  <c r="AN68" i="4"/>
  <c r="AM68" i="4"/>
  <c r="AM681" i="4"/>
  <c r="AN681" i="4"/>
  <c r="AM288" i="4"/>
  <c r="AN288" i="4"/>
  <c r="AN532" i="4"/>
  <c r="AM532" i="4"/>
  <c r="AN868" i="4"/>
  <c r="AM868" i="4"/>
  <c r="AN673" i="4"/>
  <c r="AM673" i="4"/>
  <c r="AM234" i="4"/>
  <c r="AN234" i="4"/>
  <c r="AN161" i="4"/>
  <c r="AM161" i="4"/>
  <c r="AN835" i="4"/>
  <c r="AM835" i="4"/>
  <c r="AN294" i="4"/>
  <c r="AM294" i="4"/>
  <c r="AM228" i="4"/>
  <c r="AN228" i="4"/>
  <c r="AN897" i="4"/>
  <c r="AM897" i="4"/>
  <c r="AM851" i="4"/>
  <c r="AN851" i="4"/>
  <c r="AN686" i="4"/>
  <c r="AM686" i="4"/>
  <c r="AN408" i="4"/>
  <c r="AM408" i="4"/>
  <c r="AM759" i="4"/>
  <c r="AN759" i="4"/>
  <c r="AN136" i="4"/>
  <c r="AM136" i="4"/>
  <c r="AM287" i="4"/>
  <c r="AN287" i="4"/>
  <c r="AN77" i="4"/>
  <c r="AM77" i="4"/>
  <c r="AM216" i="4"/>
  <c r="AN216" i="4"/>
  <c r="AN677" i="4"/>
  <c r="AM677" i="4"/>
  <c r="AM110" i="4"/>
  <c r="AN110" i="4"/>
  <c r="AM520" i="4"/>
  <c r="AN520" i="4"/>
  <c r="AM605" i="4"/>
  <c r="AN605" i="4"/>
  <c r="AN531" i="4"/>
  <c r="AM531" i="4"/>
  <c r="AN771" i="4"/>
  <c r="AM771" i="4"/>
  <c r="AN906" i="4"/>
  <c r="AM906" i="4"/>
  <c r="AN580" i="4"/>
  <c r="AM580" i="4"/>
  <c r="AN723" i="4"/>
  <c r="AM723" i="4"/>
  <c r="AN164" i="4"/>
  <c r="AM164" i="4"/>
  <c r="AN330" i="4"/>
  <c r="AM330" i="4"/>
  <c r="AM775" i="4"/>
  <c r="AN775" i="4"/>
  <c r="AM572" i="4"/>
  <c r="AN572" i="4"/>
  <c r="AN618" i="4"/>
  <c r="AM618" i="4"/>
  <c r="AM384" i="4"/>
  <c r="AN384" i="4"/>
  <c r="AN84" i="4"/>
  <c r="AM84" i="4"/>
  <c r="AM370" i="4"/>
  <c r="AN370" i="4"/>
  <c r="AM593" i="4"/>
  <c r="AN593" i="4"/>
  <c r="AM637" i="4"/>
  <c r="AN637" i="4"/>
  <c r="AN360" i="4"/>
  <c r="AM360" i="4"/>
  <c r="AN405" i="4"/>
  <c r="AM405" i="4"/>
  <c r="AN692" i="4"/>
  <c r="AM692" i="4"/>
  <c r="AM31" i="4"/>
  <c r="AN31" i="4"/>
  <c r="AM622" i="4"/>
  <c r="AN622" i="4"/>
  <c r="AN277" i="4"/>
  <c r="AM277" i="4"/>
  <c r="AN200" i="4"/>
  <c r="AM200" i="4"/>
  <c r="AM207" i="4"/>
  <c r="AN207" i="4"/>
  <c r="AN510" i="4"/>
  <c r="AM510" i="4"/>
  <c r="AN601" i="4"/>
  <c r="AM601" i="4"/>
  <c r="AM839" i="4"/>
  <c r="AN839" i="4"/>
  <c r="AM655" i="4"/>
  <c r="AN655" i="4"/>
  <c r="AM261" i="4"/>
  <c r="AN261" i="4"/>
  <c r="AN508" i="4"/>
  <c r="AM508" i="4"/>
  <c r="AM707" i="4"/>
  <c r="AN707" i="4"/>
  <c r="AM862" i="4"/>
  <c r="AN862" i="4"/>
  <c r="AM378" i="4"/>
  <c r="AN378" i="4"/>
  <c r="AN331" i="4"/>
  <c r="AM331" i="4"/>
  <c r="AM910" i="4"/>
  <c r="AN910" i="4"/>
  <c r="AN602" i="4"/>
  <c r="AM602" i="4"/>
  <c r="AN28" i="4"/>
  <c r="AM28" i="4"/>
  <c r="AN413" i="4"/>
  <c r="AM413" i="4"/>
  <c r="AM189" i="4"/>
  <c r="AN189" i="4"/>
  <c r="AM595" i="4"/>
  <c r="AN595" i="4"/>
  <c r="AN747" i="4"/>
  <c r="AM747" i="4"/>
  <c r="AM263" i="4"/>
  <c r="AN263" i="4"/>
  <c r="AM840" i="4"/>
  <c r="AN840" i="4"/>
  <c r="AM589" i="4"/>
  <c r="AN589" i="4"/>
  <c r="AN362" i="4"/>
  <c r="AM362" i="4"/>
  <c r="AN507" i="4"/>
  <c r="AM507" i="4"/>
  <c r="AN326" i="4"/>
  <c r="AM326" i="4"/>
  <c r="AN792" i="4"/>
  <c r="AM792" i="4"/>
  <c r="AM149" i="4"/>
  <c r="AN149" i="4"/>
  <c r="AM552" i="4"/>
  <c r="AN552" i="4"/>
  <c r="AN113" i="4"/>
  <c r="AM113" i="4"/>
  <c r="AN88" i="4"/>
  <c r="AM88" i="4"/>
  <c r="AN274" i="4"/>
  <c r="AM274" i="4"/>
  <c r="AM918" i="4"/>
  <c r="AN918" i="4"/>
  <c r="AN185" i="4"/>
  <c r="AM185" i="4"/>
  <c r="AN881" i="4"/>
  <c r="AM881" i="4"/>
  <c r="AN472" i="4"/>
  <c r="AM472" i="4"/>
  <c r="AN606" i="4"/>
  <c r="AM606" i="4"/>
  <c r="AN314" i="4"/>
  <c r="AM314" i="4"/>
  <c r="AM878" i="4"/>
  <c r="AN878" i="4"/>
  <c r="AN14" i="4"/>
  <c r="AM14" i="4"/>
  <c r="AM322" i="4"/>
  <c r="AN322" i="4"/>
  <c r="AM627" i="4"/>
  <c r="AN627" i="4"/>
  <c r="AM722" i="4"/>
  <c r="AN722" i="4"/>
  <c r="AM584" i="4"/>
  <c r="AN584" i="4"/>
  <c r="AN308" i="4"/>
  <c r="AM308" i="4"/>
  <c r="AN796" i="4"/>
  <c r="AM796" i="4"/>
  <c r="AN705" i="4"/>
  <c r="AM705" i="4"/>
  <c r="AN175" i="4"/>
  <c r="AM175" i="4"/>
  <c r="AN348" i="4"/>
  <c r="AM348" i="4"/>
  <c r="AM847" i="4"/>
  <c r="AN847" i="4"/>
  <c r="AN245" i="4"/>
  <c r="AM245" i="4"/>
  <c r="AM488" i="4"/>
  <c r="AN488" i="4"/>
  <c r="AN117" i="4"/>
  <c r="AM117" i="4"/>
  <c r="AN444" i="4"/>
  <c r="AM444" i="4"/>
  <c r="AM187" i="4"/>
  <c r="AN187" i="4"/>
  <c r="AM438" i="4"/>
  <c r="AN438" i="4"/>
  <c r="AM329" i="4"/>
  <c r="AN329" i="4"/>
  <c r="AM816" i="4"/>
  <c r="AN816" i="4"/>
  <c r="AM208" i="4"/>
  <c r="AN208" i="4"/>
  <c r="AN518" i="4"/>
  <c r="AM518" i="4"/>
  <c r="AN729" i="4"/>
  <c r="AM729" i="4"/>
  <c r="AN557" i="4"/>
  <c r="AM557" i="4"/>
  <c r="AN184" i="4"/>
  <c r="AM184" i="4"/>
  <c r="AM143" i="4"/>
  <c r="AN143" i="4"/>
  <c r="AN156" i="4"/>
  <c r="AM156" i="4"/>
  <c r="AN37" i="4"/>
  <c r="AM37" i="4"/>
  <c r="AM232" i="4"/>
  <c r="AN232" i="4"/>
  <c r="AM223" i="4"/>
  <c r="AN223" i="4"/>
  <c r="AM49" i="4"/>
  <c r="AN49" i="4"/>
  <c r="AN349" i="4"/>
  <c r="AM349" i="4"/>
  <c r="AM768" i="4"/>
  <c r="AN768" i="4"/>
  <c r="AM843" i="4"/>
  <c r="AN843" i="4"/>
  <c r="AM198" i="4"/>
  <c r="AN198" i="4"/>
  <c r="AM448" i="4"/>
  <c r="AN448" i="4"/>
  <c r="AM802" i="4"/>
  <c r="AN802" i="4"/>
  <c r="AN40" i="4"/>
  <c r="AM40" i="4"/>
  <c r="AN73" i="4"/>
  <c r="AM73" i="4"/>
  <c r="AN773" i="4"/>
  <c r="AM773" i="4"/>
  <c r="AN249" i="4"/>
  <c r="AM249" i="4"/>
  <c r="AM11" i="4"/>
  <c r="AN11" i="4"/>
  <c r="AM914" i="4"/>
  <c r="AN914" i="4"/>
  <c r="AM15" i="4"/>
  <c r="AN15" i="4"/>
  <c r="AN831" i="4"/>
  <c r="AM831" i="4"/>
  <c r="AM534" i="4"/>
  <c r="AN534" i="4"/>
  <c r="AM684" i="4"/>
  <c r="AN684" i="4"/>
  <c r="AM34" i="4"/>
  <c r="AN34" i="4"/>
  <c r="AN527" i="4"/>
  <c r="AM527" i="4"/>
  <c r="AM577" i="4"/>
  <c r="AN577" i="4"/>
  <c r="AN547" i="4"/>
  <c r="AM547" i="4"/>
  <c r="AM568" i="4"/>
  <c r="AN568" i="4"/>
  <c r="AN115" i="4"/>
  <c r="AM115" i="4"/>
  <c r="AN901" i="4"/>
  <c r="AM901" i="4"/>
  <c r="AN549" i="4"/>
  <c r="AM549" i="4"/>
  <c r="AN810" i="4"/>
  <c r="AM810" i="4"/>
  <c r="AM570" i="4"/>
  <c r="AN570" i="4"/>
  <c r="AM398" i="4"/>
  <c r="AN398" i="4"/>
  <c r="AM227" i="4"/>
  <c r="AN227" i="4"/>
  <c r="AM738" i="4"/>
  <c r="AN738" i="4"/>
  <c r="AM760" i="4"/>
  <c r="AN760" i="4"/>
  <c r="AM919" i="4"/>
  <c r="AN919" i="4"/>
  <c r="AN750" i="4"/>
  <c r="AM750" i="4"/>
  <c r="AM872" i="4"/>
  <c r="AN872" i="4"/>
  <c r="AM316" i="4"/>
  <c r="AN316" i="4"/>
  <c r="AM853" i="4"/>
  <c r="AN853" i="4"/>
  <c r="AM318" i="4"/>
  <c r="AN318" i="4"/>
  <c r="AM70" i="4"/>
  <c r="AN70" i="4"/>
  <c r="AM762" i="4"/>
  <c r="AN762" i="4"/>
  <c r="AN105" i="4"/>
  <c r="AM105" i="4"/>
  <c r="AN376" i="4"/>
  <c r="AM376" i="4"/>
  <c r="AN130" i="4"/>
  <c r="AM130" i="4"/>
  <c r="AM678" i="4"/>
  <c r="AN678" i="4"/>
  <c r="AM542" i="4"/>
  <c r="AN542" i="4"/>
  <c r="AM451" i="4"/>
  <c r="AN451" i="4"/>
  <c r="AN672" i="4"/>
  <c r="AM672" i="4"/>
  <c r="AM483" i="4"/>
  <c r="AN483" i="4"/>
  <c r="AM658" i="4"/>
  <c r="AN658" i="4"/>
  <c r="AM599" i="4"/>
  <c r="AN599" i="4"/>
  <c r="AN450" i="4"/>
  <c r="AM450" i="4"/>
  <c r="AM533" i="4"/>
  <c r="AN533" i="4"/>
  <c r="AM166" i="4"/>
  <c r="AN166" i="4"/>
  <c r="AN493" i="4"/>
  <c r="AM493" i="4"/>
  <c r="AM805" i="4"/>
  <c r="AN805" i="4"/>
  <c r="AN666" i="4"/>
  <c r="AM666" i="4"/>
  <c r="AM819" i="4"/>
  <c r="AN819" i="4"/>
  <c r="AN432" i="4"/>
  <c r="AM432" i="4"/>
  <c r="AM654" i="4"/>
  <c r="AN654" i="4"/>
  <c r="AN420" i="4"/>
  <c r="AM420" i="4"/>
  <c r="AN838" i="4"/>
  <c r="AM838" i="4"/>
  <c r="AN446" i="4"/>
  <c r="AM446" i="4"/>
  <c r="AN342" i="4"/>
  <c r="AM342" i="4"/>
  <c r="AN639" i="4"/>
  <c r="AM639" i="4"/>
  <c r="AN865" i="4"/>
  <c r="AM865" i="4"/>
  <c r="AN539" i="4"/>
  <c r="AM539" i="4"/>
  <c r="AN787" i="4"/>
  <c r="AM787" i="4"/>
  <c r="AN859" i="4"/>
  <c r="AM859" i="4"/>
  <c r="AM782" i="4"/>
  <c r="AN782" i="4"/>
  <c r="AN801" i="4"/>
  <c r="AM801" i="4"/>
  <c r="AN861" i="4"/>
  <c r="AM861" i="4"/>
  <c r="AN452" i="4"/>
  <c r="AM452" i="4"/>
  <c r="AN804" i="4"/>
  <c r="AM804" i="4"/>
  <c r="AM497" i="4"/>
  <c r="AN497" i="4"/>
  <c r="AM231" i="4"/>
  <c r="AN231" i="4"/>
  <c r="AN236" i="4"/>
  <c r="AM236" i="4"/>
  <c r="AM874" i="4"/>
  <c r="AN874" i="4"/>
  <c r="AM665" i="4"/>
  <c r="AN665" i="4"/>
  <c r="AN587" i="4"/>
  <c r="AM587" i="4"/>
  <c r="AN86" i="4"/>
  <c r="AM86" i="4"/>
  <c r="AN583" i="4"/>
  <c r="AM583" i="4"/>
  <c r="AN131" i="4"/>
  <c r="AM131" i="4"/>
  <c r="AM875" i="4"/>
  <c r="AN875" i="4"/>
  <c r="AM332" i="4"/>
  <c r="AN332" i="4"/>
  <c r="AN822" i="4"/>
  <c r="AM822" i="4"/>
  <c r="AM142" i="4"/>
  <c r="AN142" i="4"/>
  <c r="AN280" i="4"/>
  <c r="AM280" i="4"/>
  <c r="AN621" i="4"/>
  <c r="AM621" i="4"/>
  <c r="AM289" i="4"/>
  <c r="AN289" i="4"/>
  <c r="AN299" i="4"/>
  <c r="AM299" i="4"/>
  <c r="AM505" i="4"/>
  <c r="AN505" i="4"/>
  <c r="AN612" i="4"/>
  <c r="AM612" i="4"/>
  <c r="AN167" i="4"/>
  <c r="AM167" i="4"/>
  <c r="AN457" i="4"/>
  <c r="AM457" i="4"/>
  <c r="AN600" i="4"/>
  <c r="AM600" i="4"/>
  <c r="AN341" i="4"/>
  <c r="AM341" i="4"/>
  <c r="AN479" i="4"/>
  <c r="AM479" i="4"/>
  <c r="AN369" i="4"/>
  <c r="AM369" i="4"/>
  <c r="AN744" i="4"/>
  <c r="AM744" i="4"/>
  <c r="AN333" i="4"/>
  <c r="AM333" i="4"/>
  <c r="AM293" i="4"/>
  <c r="AN293" i="4"/>
  <c r="AM480" i="4"/>
  <c r="AN480" i="4"/>
  <c r="AN357" i="4"/>
  <c r="AM357" i="4"/>
  <c r="AM344" i="4"/>
  <c r="AN344" i="4"/>
  <c r="AN911" i="4"/>
  <c r="AM911" i="4"/>
  <c r="AM752" i="4"/>
  <c r="AN752" i="4"/>
  <c r="AM468" i="4"/>
  <c r="AN468" i="4"/>
  <c r="AM224" i="4"/>
  <c r="AN224" i="4"/>
  <c r="AN137" i="4"/>
  <c r="AM137" i="4"/>
  <c r="AN597" i="4"/>
  <c r="AM597" i="4"/>
  <c r="AN186" i="4"/>
  <c r="AM186" i="4"/>
  <c r="AM781" i="4"/>
  <c r="AN781" i="4"/>
  <c r="AN44" i="4"/>
  <c r="AM44" i="4"/>
  <c r="AM205" i="4"/>
  <c r="AN205" i="4"/>
  <c r="AN174" i="4"/>
  <c r="AM174" i="4"/>
  <c r="AM94" i="4"/>
  <c r="AN94" i="4"/>
  <c r="AN657" i="4"/>
  <c r="AM657" i="4"/>
  <c r="AN393" i="4"/>
  <c r="AM393" i="4"/>
  <c r="AM196" i="4"/>
  <c r="AN196" i="4"/>
  <c r="AM467" i="4"/>
  <c r="AN467" i="4"/>
  <c r="AN645" i="4"/>
  <c r="AM645" i="4"/>
  <c r="AN585" i="4"/>
  <c r="AM585" i="4"/>
  <c r="AN755" i="4"/>
  <c r="AM755" i="4"/>
  <c r="AN596" i="4"/>
  <c r="AM596" i="4"/>
  <c r="AN430" i="4"/>
  <c r="AM430" i="4"/>
  <c r="AM854" i="4"/>
  <c r="AN854" i="4"/>
  <c r="AM736" i="4"/>
  <c r="AN736" i="4"/>
  <c r="AN262" i="4"/>
  <c r="AM262" i="4"/>
  <c r="AN111" i="4"/>
  <c r="AM111" i="4"/>
  <c r="AM528" i="4"/>
  <c r="AN528" i="4"/>
  <c r="AM536" i="4"/>
  <c r="AN536" i="4"/>
  <c r="AM98" i="4"/>
  <c r="AN98" i="4"/>
  <c r="AN128" i="4"/>
  <c r="AM128" i="4"/>
  <c r="AM590" i="4"/>
  <c r="AN590" i="4"/>
  <c r="AM883" i="4"/>
  <c r="AN883" i="4"/>
  <c r="AM903" i="4"/>
  <c r="AN903" i="4"/>
  <c r="AM140" i="4"/>
  <c r="AN140" i="4"/>
  <c r="AN721" i="4"/>
  <c r="AM721" i="4"/>
  <c r="AN716" i="4"/>
  <c r="AM716" i="4"/>
  <c r="AM152" i="4"/>
  <c r="AN152" i="4"/>
  <c r="AN7" i="4"/>
  <c r="AM7" i="4"/>
  <c r="AN820" i="4"/>
  <c r="AM820" i="4"/>
  <c r="AN285" i="4"/>
  <c r="AM285" i="4"/>
  <c r="AN633" i="4"/>
  <c r="AM633" i="4"/>
  <c r="AN81" i="4"/>
  <c r="AM81" i="4"/>
  <c r="AN442" i="4"/>
  <c r="AM442" i="4"/>
  <c r="AN538" i="4"/>
  <c r="AM538" i="4"/>
  <c r="AM286" i="4"/>
  <c r="AN286" i="4"/>
  <c r="AM60" i="4"/>
  <c r="AN60" i="4"/>
  <c r="AM76" i="4"/>
  <c r="AN76" i="4"/>
  <c r="AM575" i="4"/>
  <c r="AN575" i="4"/>
  <c r="AN96" i="4"/>
  <c r="AM96" i="4"/>
  <c r="AN230" i="4"/>
  <c r="AM230" i="4"/>
  <c r="AM33" i="4"/>
  <c r="AN33" i="4"/>
  <c r="AN737" i="4"/>
  <c r="AM737" i="4"/>
  <c r="AN108" i="4"/>
  <c r="AM108" i="4"/>
  <c r="AN358" i="4"/>
  <c r="AM358" i="4"/>
  <c r="AN904" i="4"/>
  <c r="AM904" i="4"/>
  <c r="AM168" i="4"/>
  <c r="AN168" i="4"/>
  <c r="AN395" i="4"/>
  <c r="AM395" i="4"/>
  <c r="AN688" i="4"/>
  <c r="AM688" i="4"/>
  <c r="AM171" i="4"/>
  <c r="AN171" i="4"/>
  <c r="AN662" i="4"/>
  <c r="AM662" i="4"/>
  <c r="AN495" i="4"/>
  <c r="AM495" i="4"/>
  <c r="AM823" i="4"/>
  <c r="AN823" i="4"/>
  <c r="AN902" i="4"/>
  <c r="AM902" i="4"/>
  <c r="AN440" i="4"/>
  <c r="AM440" i="4"/>
  <c r="AM815" i="4"/>
  <c r="AN815" i="4"/>
  <c r="AM799" i="4"/>
  <c r="AN799" i="4"/>
  <c r="AN554" i="4"/>
  <c r="AM554" i="4"/>
  <c r="AM680" i="4"/>
  <c r="AN680" i="4"/>
  <c r="AM478" i="4"/>
  <c r="AN478" i="4"/>
  <c r="AM920" i="4"/>
  <c r="AN920" i="4"/>
  <c r="AN399" i="4"/>
  <c r="AM399" i="4"/>
  <c r="AN324" i="4"/>
  <c r="AM324" i="4"/>
  <c r="AM776" i="4"/>
  <c r="AN776" i="4"/>
  <c r="AN62" i="4"/>
  <c r="AM62" i="4"/>
  <c r="AN368" i="4"/>
  <c r="AM368" i="4"/>
  <c r="AN473" i="4"/>
  <c r="AM473" i="4"/>
  <c r="AM194" i="4"/>
  <c r="AN194" i="4"/>
  <c r="AM748" i="4"/>
  <c r="AN748" i="4"/>
  <c r="AN74" i="4"/>
  <c r="AM74" i="4"/>
  <c r="AM213" i="4"/>
  <c r="AN213" i="4"/>
  <c r="AN41" i="4"/>
  <c r="AM41" i="4"/>
  <c r="AN849" i="4"/>
  <c r="AM849" i="4"/>
  <c r="AN876" i="4"/>
  <c r="AM876" i="4"/>
  <c r="AM373" i="4"/>
  <c r="AN373" i="4"/>
  <c r="AN871" i="4"/>
  <c r="AM871" i="4"/>
  <c r="AM238" i="4"/>
  <c r="AN238" i="4"/>
  <c r="AM69" i="4"/>
  <c r="AN69" i="4"/>
  <c r="AN753" i="4"/>
  <c r="AM753" i="4"/>
  <c r="AM899" i="4"/>
  <c r="AN899" i="4"/>
  <c r="AM366" i="4"/>
  <c r="AN366" i="4"/>
  <c r="AM898" i="4"/>
  <c r="AN898" i="4"/>
  <c r="AN282" i="4"/>
  <c r="AM282" i="4"/>
  <c r="AM354" i="4"/>
  <c r="AN354" i="4"/>
  <c r="AM339" i="4"/>
  <c r="AN339" i="4"/>
  <c r="AM375" i="4"/>
  <c r="AN375" i="4"/>
  <c r="AN9" i="4"/>
  <c r="AM9" i="4"/>
  <c r="AN826" i="4"/>
  <c r="AM826" i="4"/>
  <c r="AN895" i="4"/>
  <c r="AM895" i="4"/>
  <c r="AN260" i="4"/>
  <c r="AM260" i="4"/>
  <c r="AM502" i="4"/>
  <c r="AN502" i="4"/>
  <c r="AM756" i="4"/>
  <c r="AN756" i="4"/>
  <c r="AM222" i="4"/>
  <c r="AN222" i="4"/>
  <c r="AM490" i="4"/>
  <c r="AN490" i="4"/>
  <c r="AM833" i="4"/>
  <c r="AN833" i="4"/>
  <c r="AN888" i="4"/>
  <c r="AM888" i="4"/>
  <c r="AN659" i="4"/>
  <c r="AM659" i="4"/>
  <c r="AM43" i="4"/>
  <c r="AN43" i="4"/>
  <c r="AN172" i="4"/>
  <c r="AM172" i="4"/>
  <c r="AN392" i="4"/>
  <c r="AM392" i="4"/>
  <c r="AM425" i="4"/>
  <c r="AN425" i="4"/>
  <c r="AM191" i="4"/>
  <c r="AN191" i="4"/>
  <c r="AN407" i="4"/>
  <c r="AM407" i="4"/>
  <c r="AN765" i="4"/>
  <c r="AM765" i="4"/>
  <c r="AM758" i="4"/>
  <c r="AN758" i="4"/>
  <c r="AN710" i="4"/>
  <c r="AM710" i="4"/>
  <c r="AM798" i="4"/>
  <c r="AN798" i="4"/>
  <c r="AM21" i="4"/>
  <c r="AN21" i="4"/>
  <c r="AN237" i="4"/>
  <c r="AM237" i="4"/>
  <c r="AN153" i="4"/>
  <c r="AM153" i="4"/>
  <c r="AM269" i="4"/>
  <c r="AN269" i="4"/>
  <c r="AM123" i="4"/>
  <c r="AN123" i="4"/>
  <c r="AN256" i="4"/>
  <c r="AM256" i="4"/>
  <c r="AN415" i="4"/>
  <c r="AM415" i="4"/>
  <c r="AN715" i="4"/>
  <c r="AM715" i="4"/>
  <c r="AN475" i="4"/>
  <c r="AM475" i="4"/>
  <c r="AM858" i="4"/>
  <c r="AN858" i="4"/>
  <c r="AN133" i="4"/>
  <c r="AM133" i="4"/>
  <c r="AN379" i="4"/>
  <c r="AM379" i="4"/>
  <c r="AM717" i="4"/>
  <c r="AN717" i="4"/>
  <c r="AM303" i="4"/>
  <c r="AN303" i="4"/>
  <c r="AM411" i="4"/>
  <c r="AN411" i="4"/>
  <c r="AM441" i="4"/>
  <c r="AN441" i="4"/>
  <c r="AM671" i="4"/>
  <c r="AN671" i="4"/>
  <c r="AM30" i="4"/>
  <c r="AN30" i="4"/>
  <c r="AN626" i="4"/>
  <c r="AM626" i="4"/>
  <c r="AN317" i="4"/>
  <c r="AM317" i="4"/>
  <c r="AM35" i="4"/>
  <c r="AN35" i="4"/>
  <c r="AM178" i="4"/>
  <c r="AN178" i="4"/>
  <c r="AN733" i="4"/>
  <c r="AM733" i="4"/>
  <c r="AN204" i="4"/>
  <c r="AM204" i="4"/>
  <c r="AM364" i="4"/>
  <c r="AN364" i="4"/>
  <c r="AM197" i="4"/>
  <c r="AN197" i="4"/>
  <c r="AN764" i="4"/>
  <c r="AM764" i="4"/>
  <c r="AM390" i="4"/>
  <c r="AN390" i="4"/>
  <c r="AN416" i="4"/>
  <c r="AM416" i="4"/>
  <c r="AN863" i="4"/>
  <c r="AM863" i="4"/>
  <c r="AM391" i="4"/>
  <c r="AN391" i="4"/>
  <c r="AN609" i="4"/>
  <c r="AM609" i="4"/>
  <c r="AN477" i="4"/>
  <c r="AM477" i="4"/>
  <c r="AM718" i="4"/>
  <c r="AN718" i="4"/>
  <c r="AN728" i="4"/>
  <c r="AM728" i="4"/>
  <c r="AN757" i="4"/>
  <c r="AM757" i="4"/>
  <c r="AN581" i="4"/>
  <c r="AM581" i="4"/>
  <c r="AN574" i="4"/>
  <c r="AM574" i="4"/>
  <c r="AM698" i="4"/>
  <c r="AN698" i="4"/>
  <c r="AN5" i="4"/>
  <c r="AM5" i="4"/>
  <c r="AN824" i="4"/>
  <c r="AM824" i="4"/>
  <c r="AM695" i="4"/>
  <c r="AN695" i="4"/>
  <c r="AM813" i="4"/>
  <c r="AN813" i="4"/>
  <c r="AN648" i="4"/>
  <c r="AM648" i="4"/>
  <c r="AM10" i="4"/>
  <c r="AN10" i="4"/>
  <c r="AN720" i="4"/>
  <c r="AM720" i="4"/>
  <c r="AM537" i="4"/>
  <c r="AN537" i="4"/>
  <c r="AM591" i="4"/>
  <c r="AN591" i="4"/>
  <c r="AM809" i="4"/>
  <c r="AN809" i="4"/>
  <c r="AM199" i="4"/>
  <c r="AN199" i="4"/>
  <c r="AM454" i="4"/>
  <c r="AN454" i="4"/>
  <c r="AN91" i="4"/>
  <c r="AM91" i="4"/>
  <c r="AM629" i="4"/>
  <c r="AN629" i="4"/>
  <c r="AN235" i="4"/>
  <c r="AM235" i="4"/>
  <c r="AN660" i="4"/>
  <c r="AM660" i="4"/>
  <c r="AN514" i="4"/>
  <c r="AM514" i="4"/>
  <c r="AN103" i="4"/>
  <c r="AM103" i="4"/>
  <c r="AN725" i="4"/>
  <c r="AM725" i="4"/>
  <c r="AN485" i="4"/>
  <c r="AM485" i="4"/>
  <c r="AM466" i="4"/>
  <c r="AN466" i="4"/>
  <c r="AM830" i="4"/>
  <c r="AN830" i="4"/>
  <c r="AN155" i="4"/>
  <c r="AM155" i="4"/>
  <c r="AN540" i="4"/>
  <c r="AM540" i="4"/>
  <c r="AN250" i="4"/>
  <c r="AM250" i="4"/>
  <c r="AN509" i="4"/>
  <c r="AM509" i="4"/>
  <c r="AM561" i="4"/>
  <c r="AN561" i="4"/>
  <c r="AN855" i="4"/>
  <c r="AM855" i="4"/>
  <c r="AM264" i="4"/>
  <c r="AN264" i="4"/>
  <c r="AM374" i="4"/>
  <c r="AN374" i="4"/>
  <c r="AM541" i="4"/>
  <c r="AN541" i="4"/>
  <c r="AM730" i="4"/>
  <c r="AN730" i="4"/>
  <c r="AN917" i="4"/>
  <c r="AM917" i="4"/>
  <c r="AM619" i="4"/>
  <c r="AN619" i="4"/>
  <c r="AN71" i="4"/>
  <c r="AM71" i="4"/>
  <c r="AN842" i="4"/>
  <c r="AM842" i="4"/>
  <c r="AN47" i="4"/>
  <c r="AM47" i="4"/>
  <c r="AM877" i="4"/>
  <c r="AN877" i="4"/>
  <c r="AN66" i="4"/>
  <c r="AM66" i="4"/>
  <c r="AN83" i="4"/>
  <c r="AM83" i="4"/>
  <c r="AM328" i="4"/>
  <c r="AN328" i="4"/>
  <c r="AM146" i="4"/>
  <c r="AN146" i="4"/>
  <c r="AM12" i="4"/>
  <c r="AN12" i="4"/>
  <c r="AM426" i="4"/>
  <c r="AN426" i="4"/>
  <c r="AM469" i="4"/>
  <c r="AN469" i="4"/>
  <c r="AM569" i="4"/>
  <c r="AN569" i="4"/>
  <c r="AM791" i="4"/>
  <c r="AN791" i="4"/>
  <c r="AN148" i="4"/>
  <c r="AM148" i="4"/>
  <c r="AN365" i="4"/>
  <c r="AM365" i="4"/>
  <c r="AN850" i="4"/>
  <c r="AM850" i="4"/>
  <c r="AN25" i="4"/>
  <c r="AM25" i="4"/>
  <c r="AN555" i="4"/>
  <c r="AM555" i="4"/>
  <c r="AN182" i="4"/>
  <c r="AM182" i="4"/>
  <c r="AM433" i="4"/>
  <c r="AN433" i="4"/>
  <c r="AM491" i="4"/>
  <c r="AN491" i="4"/>
  <c r="AN545" i="4"/>
  <c r="AM545" i="4"/>
  <c r="AN75" i="4"/>
  <c r="AM75" i="4"/>
  <c r="AM251" i="4"/>
  <c r="AN251" i="4"/>
  <c r="AM846" i="4"/>
  <c r="AN846" i="4"/>
  <c r="AN544" i="4"/>
  <c r="AM544" i="4"/>
  <c r="AM135" i="4"/>
  <c r="AN135" i="4"/>
  <c r="AM150" i="4"/>
  <c r="AN150" i="4"/>
  <c r="AM643" i="4"/>
  <c r="AN643" i="4"/>
  <c r="AM656" i="4"/>
  <c r="AN656" i="4"/>
  <c r="AN887" i="4"/>
  <c r="AM887" i="4"/>
  <c r="AM18" i="4"/>
  <c r="AN18" i="4"/>
  <c r="AM634" i="4"/>
  <c r="AN634" i="4"/>
  <c r="AM325" i="4"/>
  <c r="AN325" i="4"/>
  <c r="AN436" i="4"/>
  <c r="AM436" i="4"/>
  <c r="AN295" i="4"/>
  <c r="AM295" i="4"/>
  <c r="AN39" i="4"/>
  <c r="AM39" i="4"/>
  <c r="AM19" i="4"/>
  <c r="AN19" i="4"/>
  <c r="AM107" i="4"/>
  <c r="AN107" i="4"/>
  <c r="AN388" i="4"/>
  <c r="AM388" i="4"/>
  <c r="AM885" i="4"/>
  <c r="AN885" i="4"/>
  <c r="AN93" i="4"/>
  <c r="AM93" i="4"/>
  <c r="AM711" i="4"/>
  <c r="AN711" i="4"/>
  <c r="AN880" i="4"/>
  <c r="AM880" i="4"/>
  <c r="AM481" i="4"/>
  <c r="AN481" i="4"/>
  <c r="AM100" i="4"/>
  <c r="AN100" i="4"/>
  <c r="AN104" i="4"/>
  <c r="AM104" i="4"/>
  <c r="AM864" i="4"/>
  <c r="AN864" i="4"/>
  <c r="AN159" i="4"/>
  <c r="AM159" i="4"/>
  <c r="AM209" i="4"/>
  <c r="AN209" i="4"/>
  <c r="AM797" i="4"/>
  <c r="AN797" i="4"/>
  <c r="AM492" i="4"/>
  <c r="AN492" i="4"/>
  <c r="AM679" i="4"/>
  <c r="AN679" i="4"/>
  <c r="AM709" i="4"/>
  <c r="AN709" i="4"/>
  <c r="AM122" i="4"/>
  <c r="AN122" i="4"/>
  <c r="AM419" i="4"/>
  <c r="AN419" i="4"/>
  <c r="AM685" i="4"/>
  <c r="AN685" i="4"/>
  <c r="AM484" i="4"/>
  <c r="AN484" i="4"/>
  <c r="AM321" i="4"/>
  <c r="AN321" i="4"/>
  <c r="AM134" i="4"/>
  <c r="AN134" i="4"/>
  <c r="AN778" i="4"/>
  <c r="AM778" i="4"/>
  <c r="AM272" i="4"/>
  <c r="AN272" i="4"/>
  <c r="AN767" i="4"/>
  <c r="AM767" i="4"/>
  <c r="AM429" i="4"/>
  <c r="AN429" i="4"/>
  <c r="AN594" i="4"/>
  <c r="AM594" i="4"/>
  <c r="AM335" i="4"/>
  <c r="AN335" i="4"/>
  <c r="AN2" i="4"/>
  <c r="AM2" i="4"/>
  <c r="AM310" i="4"/>
  <c r="AN310" i="4"/>
  <c r="AN141" i="4"/>
  <c r="AM141" i="4"/>
  <c r="AM334" i="4"/>
  <c r="AN334" i="4"/>
  <c r="AN548" i="4"/>
  <c r="AM548" i="4"/>
  <c r="AN202" i="4"/>
  <c r="AM202" i="4"/>
  <c r="AM769" i="4"/>
  <c r="AN769" i="4"/>
  <c r="AN860" i="4"/>
  <c r="AM860" i="4"/>
  <c r="AM89" i="4"/>
  <c r="AN89" i="4"/>
  <c r="AM494" i="4"/>
  <c r="AN494" i="4"/>
  <c r="AN496" i="4"/>
  <c r="AM496" i="4"/>
  <c r="AN456" i="4"/>
  <c r="AM456" i="4"/>
  <c r="AN614" i="4"/>
  <c r="AM614" i="4"/>
  <c r="AN422" i="4"/>
  <c r="AM422" i="4"/>
  <c r="AM517" i="4"/>
  <c r="AN517" i="4"/>
  <c r="AM603" i="4"/>
  <c r="AN603" i="4"/>
  <c r="AN616" i="4"/>
  <c r="AM616" i="4"/>
  <c r="AM713" i="4"/>
  <c r="AN713" i="4"/>
  <c r="AN254" i="4"/>
  <c r="AM254" i="4"/>
  <c r="AN754" i="4"/>
  <c r="AM754" i="4"/>
  <c r="AN592" i="4"/>
  <c r="AM592" i="4"/>
  <c r="AN731" i="4"/>
  <c r="AM731" i="4"/>
  <c r="AM829" i="4"/>
  <c r="AN829" i="4"/>
  <c r="AN563" i="4"/>
  <c r="AM563" i="4"/>
  <c r="AN766" i="4"/>
  <c r="AM766" i="4"/>
  <c r="AM652" i="4"/>
  <c r="AN652" i="4"/>
  <c r="AM319" i="4"/>
  <c r="AN319" i="4"/>
  <c r="AM562" i="4"/>
  <c r="AN562" i="4"/>
  <c r="AM80" i="4"/>
  <c r="AN80" i="4"/>
  <c r="AM635" i="4"/>
  <c r="AN635" i="4"/>
  <c r="AM513" i="4"/>
  <c r="AN513" i="4"/>
  <c r="AM217" i="4"/>
  <c r="AN217" i="4"/>
  <c r="AN460" i="4"/>
  <c r="AM460" i="4"/>
  <c r="AM92" i="4"/>
  <c r="AN92" i="4"/>
  <c r="AM565" i="4"/>
  <c r="AN565" i="4"/>
  <c r="AM305" i="4"/>
  <c r="AN305" i="4"/>
  <c r="AN190" i="4"/>
  <c r="AM190" i="4"/>
  <c r="AM852" i="4"/>
  <c r="AN852" i="4"/>
  <c r="AM604" i="4"/>
  <c r="AN604" i="4"/>
  <c r="AM22" i="4"/>
  <c r="AN22" i="4"/>
  <c r="AM118" i="4"/>
  <c r="AN118" i="4"/>
  <c r="AN694" i="4"/>
  <c r="AM694" i="4"/>
  <c r="AM244" i="4"/>
  <c r="AN244" i="4"/>
  <c r="AN625" i="4"/>
  <c r="AM625" i="4"/>
  <c r="AN396" i="4"/>
  <c r="AM396" i="4"/>
  <c r="AN24" i="4"/>
  <c r="AM24" i="4"/>
  <c r="AM296" i="4"/>
  <c r="AN296" i="4"/>
  <c r="AM786" i="4"/>
  <c r="AN786" i="4"/>
  <c r="AN160" i="4"/>
  <c r="AM160" i="4"/>
  <c r="AM298" i="4"/>
  <c r="AN298" i="4"/>
  <c r="AM281" i="4"/>
  <c r="AN281" i="4"/>
  <c r="AN214" i="4"/>
  <c r="AM214" i="4"/>
  <c r="AM257" i="4"/>
  <c r="AN257" i="4"/>
  <c r="AN36" i="4"/>
  <c r="AM36" i="4"/>
  <c r="AN697" i="4"/>
  <c r="AM697" i="4"/>
  <c r="AN630" i="4"/>
  <c r="AM630" i="4"/>
  <c r="AM682" i="4"/>
  <c r="AN682" i="4"/>
  <c r="AN459" i="4"/>
  <c r="AM459" i="4"/>
  <c r="AM363" i="4"/>
  <c r="AN363" i="4"/>
  <c r="AN46" i="4"/>
  <c r="AM46" i="4"/>
  <c r="AM486" i="4"/>
  <c r="AN486" i="4"/>
  <c r="AN276" i="4"/>
  <c r="AM276" i="4"/>
  <c r="AM355" i="4"/>
  <c r="AN355" i="4"/>
  <c r="AM20" i="4"/>
  <c r="AN20" i="4"/>
  <c r="AM714" i="4"/>
  <c r="AN714" i="4"/>
  <c r="AN613" i="4"/>
  <c r="AM613" i="4"/>
  <c r="AM431" i="4"/>
  <c r="AN431" i="4"/>
  <c r="AN302" i="4"/>
  <c r="AM302" i="4"/>
  <c r="AM386" i="4"/>
  <c r="AN386" i="4"/>
  <c r="AM381" i="4"/>
  <c r="AN381" i="4"/>
  <c r="AN790" i="4"/>
  <c r="AM790" i="4"/>
  <c r="AM192" i="4"/>
  <c r="AN192" i="4"/>
  <c r="AN112" i="4"/>
  <c r="AM112" i="4"/>
  <c r="AN421" i="4"/>
  <c r="AM421" i="4"/>
  <c r="AM211" i="4"/>
  <c r="AN211" i="4"/>
  <c r="AN180" i="4"/>
  <c r="AM180" i="4"/>
  <c r="AM409" i="4"/>
  <c r="AN409" i="4"/>
  <c r="AN821" i="4"/>
  <c r="AM821" i="4"/>
  <c r="AM401" i="4"/>
  <c r="AN401" i="4"/>
  <c r="AN504" i="4"/>
  <c r="AM504" i="4"/>
  <c r="AN464" i="4"/>
  <c r="AM464" i="4"/>
  <c r="AM503" i="4"/>
  <c r="AN503" i="4"/>
  <c r="AM598" i="4"/>
  <c r="AN598" i="4"/>
  <c r="AN55" i="4"/>
  <c r="AM55" i="4"/>
  <c r="AM564" i="4"/>
  <c r="AN564" i="4"/>
  <c r="AM576" i="4"/>
  <c r="AN576" i="4"/>
  <c r="AN894" i="4"/>
  <c r="AM894" i="4"/>
  <c r="AM558" i="4"/>
  <c r="AN558" i="4"/>
  <c r="AM873" i="4"/>
  <c r="AN873" i="4"/>
  <c r="AN521" i="4"/>
  <c r="AM521" i="4"/>
  <c r="AN476" i="4"/>
  <c r="AM476" i="4"/>
  <c r="AN82" i="4"/>
  <c r="AM82" i="4"/>
  <c r="AN879" i="4"/>
  <c r="AM879" i="4"/>
  <c r="AM617" i="4"/>
  <c r="AN617" i="4"/>
  <c r="AM890" i="4"/>
  <c r="AN890" i="4"/>
  <c r="AN683" i="4"/>
  <c r="AM683" i="4"/>
  <c r="AM905" i="4"/>
  <c r="AN905" i="4"/>
  <c r="AN279" i="4"/>
  <c r="AM279" i="4"/>
  <c r="AM195" i="4"/>
  <c r="AN195" i="4"/>
  <c r="AM638" i="4"/>
  <c r="AN638" i="4"/>
  <c r="AM515" i="4"/>
  <c r="AN515" i="4"/>
  <c r="AM884" i="4"/>
  <c r="AN884" i="4"/>
  <c r="AM139" i="4"/>
  <c r="AN139" i="4"/>
  <c r="AN745" i="4"/>
  <c r="AM745" i="4"/>
  <c r="AM795" i="4"/>
  <c r="AN795" i="4"/>
  <c r="AN519" i="4"/>
  <c r="AM519" i="4"/>
  <c r="AN327" i="4"/>
  <c r="AM327" i="4"/>
  <c r="AN664" i="4"/>
  <c r="AM664" i="4"/>
  <c r="AM447" i="4"/>
  <c r="AN447" i="4"/>
  <c r="AN315" i="4"/>
  <c r="AM315" i="4"/>
  <c r="AN17" i="4"/>
  <c r="AM17" i="4"/>
  <c r="AM351" i="4"/>
  <c r="AN351" i="4"/>
  <c r="AM246" i="4"/>
  <c r="AN246" i="4"/>
  <c r="AM624" i="4"/>
  <c r="AN624" i="4"/>
  <c r="AM498" i="4"/>
  <c r="AN498" i="4"/>
  <c r="AN58" i="4"/>
  <c r="AM58" i="4"/>
  <c r="AM352" i="4"/>
  <c r="AN352" i="4"/>
  <c r="AM306" i="4"/>
  <c r="AN306" i="4"/>
  <c r="AN54" i="4"/>
  <c r="AM54" i="4"/>
  <c r="AN340" i="4"/>
  <c r="AM340" i="4"/>
  <c r="AM114" i="4"/>
  <c r="AN114" i="4"/>
  <c r="AM371" i="4"/>
  <c r="AN371" i="4"/>
  <c r="AN106" i="4"/>
  <c r="AM106" i="4"/>
  <c r="AN138" i="4"/>
  <c r="AM138" i="4"/>
  <c r="AN218" i="4"/>
  <c r="AM218" i="4"/>
  <c r="AN789" i="4"/>
  <c r="AM789" i="4"/>
  <c r="AN620" i="4"/>
  <c r="AM620" i="4"/>
  <c r="AN102" i="4"/>
  <c r="AM102" i="4"/>
  <c r="AM173" i="4"/>
  <c r="AN173" i="4"/>
  <c r="AM162" i="4"/>
  <c r="AN162" i="4"/>
  <c r="AN458" i="4"/>
  <c r="AM458" i="4"/>
  <c r="AN817" i="4"/>
  <c r="AM817" i="4"/>
  <c r="AM461" i="4"/>
  <c r="AN461" i="4"/>
  <c r="AN649" i="4"/>
  <c r="AM649" i="4"/>
  <c r="AM891" i="4"/>
  <c r="AN891" i="4"/>
  <c r="AM689" i="4"/>
  <c r="AN689" i="4"/>
  <c r="AM727" i="4"/>
  <c r="AN727" i="4"/>
  <c r="AN806" i="4"/>
  <c r="AM806" i="4"/>
  <c r="AN367" i="4"/>
  <c r="AM367" i="4"/>
  <c r="AM913" i="4"/>
  <c r="AN913" i="4"/>
  <c r="AN418" i="4"/>
  <c r="AM418" i="4"/>
  <c r="AM811" i="4"/>
  <c r="AN811" i="4"/>
  <c r="AM283" i="4"/>
  <c r="AN283" i="4"/>
  <c r="AN219" i="4"/>
  <c r="AM219" i="4"/>
  <c r="AM221" i="4"/>
  <c r="AN221" i="4"/>
  <c r="AN641" i="4"/>
  <c r="AM641" i="4"/>
  <c r="AN763" i="4"/>
  <c r="AM763" i="4"/>
  <c r="AM85" i="4"/>
  <c r="AN85" i="4"/>
  <c r="AN551" i="4"/>
  <c r="AM551" i="4"/>
  <c r="AN663" i="4"/>
  <c r="AM663" i="4"/>
  <c r="AM300" i="4"/>
  <c r="AN300" i="4"/>
  <c r="AM242" i="4"/>
  <c r="AN242" i="4"/>
  <c r="AN761" i="4"/>
  <c r="AM761" i="4"/>
  <c r="AM320" i="4"/>
  <c r="AN320" i="4"/>
  <c r="AM751" i="4"/>
  <c r="AN751" i="4"/>
  <c r="AN65" i="4"/>
  <c r="AM65" i="4"/>
  <c r="AN259" i="4"/>
  <c r="AM259" i="4"/>
  <c r="AM726" i="4"/>
  <c r="AN726" i="4"/>
  <c r="AN453" i="4"/>
  <c r="AM453" i="4"/>
  <c r="AN866" i="4"/>
  <c r="AM866" i="4"/>
  <c r="AM4" i="4"/>
  <c r="AN4" i="4"/>
  <c r="AM26" i="4"/>
  <c r="AN26" i="4"/>
  <c r="AM661" i="4"/>
  <c r="AN661" i="4"/>
  <c r="AM908" i="4"/>
  <c r="AN908" i="4"/>
</calcChain>
</file>

<file path=xl/comments1.xml><?xml version="1.0" encoding="utf-8"?>
<comments xmlns="http://schemas.openxmlformats.org/spreadsheetml/2006/main">
  <authors>
    <author>Fabián Arroyave Sánchez</author>
    <author>Luisa Fernanda Gaviria Cano</author>
  </authors>
  <commentList>
    <comment ref="I5" authorId="0" shapeId="0">
      <text>
        <r>
          <rPr>
            <b/>
            <sz val="9"/>
            <color indexed="81"/>
            <rFont val="Tahoma"/>
            <family val="2"/>
          </rPr>
          <t>Fabián Arroyave Sánchez:</t>
        </r>
        <r>
          <rPr>
            <sz val="9"/>
            <color indexed="81"/>
            <rFont val="Tahoma"/>
            <family val="2"/>
          </rPr>
          <t xml:space="preserve">
Valor total PAA incluye incorporaciones</t>
        </r>
      </text>
    </comment>
    <comment ref="J5" authorId="0" shapeId="0">
      <text>
        <r>
          <rPr>
            <b/>
            <sz val="9"/>
            <color indexed="81"/>
            <rFont val="Tahoma"/>
            <family val="2"/>
          </rPr>
          <t>Fabián Arroyave Sánchez:</t>
        </r>
        <r>
          <rPr>
            <sz val="9"/>
            <color indexed="81"/>
            <rFont val="Tahoma"/>
            <family val="2"/>
          </rPr>
          <t xml:space="preserve">
Valor PPTO</t>
        </r>
      </text>
    </comment>
    <comment ref="K5" authorId="0" shapeId="0">
      <text>
        <r>
          <rPr>
            <b/>
            <sz val="9"/>
            <color indexed="81"/>
            <rFont val="Tahoma"/>
            <family val="2"/>
          </rPr>
          <t>Fabián Arroyave Sánchez:</t>
        </r>
        <r>
          <rPr>
            <sz val="9"/>
            <color indexed="81"/>
            <rFont val="Tahoma"/>
            <family val="2"/>
          </rPr>
          <t xml:space="preserve">
Validación valor total PAA (0 correcto &lt;&gt; 0, verificar)</t>
        </r>
      </text>
    </comment>
    <comment ref="N5" authorId="1" shapeId="0">
      <text>
        <r>
          <rPr>
            <b/>
            <sz val="9"/>
            <color indexed="81"/>
            <rFont val="Tahoma"/>
            <family val="2"/>
          </rPr>
          <t>Luisa Fernanda Gaviria Cano:</t>
        </r>
        <r>
          <rPr>
            <sz val="9"/>
            <color indexed="81"/>
            <rFont val="Tahoma"/>
            <family val="2"/>
          </rPr>
          <t xml:space="preserve">
Incorporación al ppto decreto 202207004912 secretaria de mujeres
</t>
        </r>
      </text>
    </comment>
    <comment ref="P5" authorId="1" shapeId="0">
      <text>
        <r>
          <rPr>
            <b/>
            <sz val="9"/>
            <color indexed="81"/>
            <rFont val="Tahoma"/>
            <family val="2"/>
          </rPr>
          <t>Luisa Fernanda Gaviria Cano:</t>
        </r>
        <r>
          <rPr>
            <sz val="9"/>
            <color indexed="81"/>
            <rFont val="Tahoma"/>
            <family val="2"/>
          </rPr>
          <t xml:space="preserve">
incorporación Decreto 2022070004860</t>
        </r>
      </text>
    </comment>
    <comment ref="Q6" authorId="1" shapeId="0">
      <text>
        <r>
          <rPr>
            <b/>
            <sz val="9"/>
            <color indexed="81"/>
            <rFont val="Tahoma"/>
            <family val="2"/>
          </rPr>
          <t>Luisa Fernanda Gaviria Cano:</t>
        </r>
        <r>
          <rPr>
            <sz val="9"/>
            <color indexed="81"/>
            <rFont val="Tahoma"/>
            <family val="2"/>
          </rPr>
          <t xml:space="preserve">
LO EXTRAE EL FORMATO DE LA COLUMNA RUBRO 
</t>
        </r>
      </text>
    </comment>
    <comment ref="R6" authorId="1" shapeId="0">
      <text>
        <r>
          <rPr>
            <b/>
            <sz val="9"/>
            <color indexed="81"/>
            <rFont val="Tahoma"/>
            <family val="2"/>
          </rPr>
          <t>Luisa Fernanda Gaviria Cano:</t>
        </r>
        <r>
          <rPr>
            <sz val="9"/>
            <color indexed="81"/>
            <rFont val="Tahoma"/>
            <family val="2"/>
          </rPr>
          <t xml:space="preserve">
LO EXTRAE EL FORMATO DE LA COLUMNA RUBRO 
</t>
        </r>
      </text>
    </comment>
    <comment ref="S6" authorId="1" shapeId="0">
      <text>
        <r>
          <rPr>
            <b/>
            <sz val="9"/>
            <color indexed="81"/>
            <rFont val="Tahoma"/>
            <family val="2"/>
          </rPr>
          <t>Luisa Fernanda Gaviria Cano:</t>
        </r>
        <r>
          <rPr>
            <sz val="9"/>
            <color indexed="81"/>
            <rFont val="Tahoma"/>
            <family val="2"/>
          </rPr>
          <t xml:space="preserve">
CANTIDAD DE TIEMPO </t>
        </r>
      </text>
    </comment>
    <comment ref="T6" authorId="1" shapeId="0">
      <text>
        <r>
          <rPr>
            <b/>
            <sz val="9"/>
            <color indexed="81"/>
            <rFont val="Tahoma"/>
            <family val="2"/>
          </rPr>
          <t>Luisa Fernanda Gaviria Cano:</t>
        </r>
        <r>
          <rPr>
            <sz val="9"/>
            <color indexed="81"/>
            <rFont val="Tahoma"/>
            <family val="2"/>
          </rPr>
          <t xml:space="preserve">
UNIDAD DE MEDIDA DEL TIEMPO 
</t>
        </r>
      </text>
    </comment>
    <comment ref="U6" authorId="1" shapeId="0">
      <text>
        <r>
          <rPr>
            <b/>
            <sz val="9"/>
            <color indexed="81"/>
            <rFont val="Tahoma"/>
            <family val="2"/>
          </rPr>
          <t>Luisa Fernanda Gaviria Cano:</t>
        </r>
        <r>
          <rPr>
            <sz val="9"/>
            <color indexed="81"/>
            <rFont val="Tahoma"/>
            <family val="2"/>
          </rPr>
          <t xml:space="preserve">
UNIDAD DE MEDIDA DEL TIEMPO 
</t>
        </r>
      </text>
    </comment>
  </commentList>
</comments>
</file>

<file path=xl/comments2.xml><?xml version="1.0" encoding="utf-8"?>
<comments xmlns="http://schemas.openxmlformats.org/spreadsheetml/2006/main">
  <authors>
    <author>tc={BD8AD76D-643A-469F-96B5-1745BADE1AD2}</author>
    <author>tc={A2EC7B99-5B7D-4EBD-B526-1F41D63048AD}</author>
    <author>tc={2359FF5F-CD47-4D21-A9BE-D77963C5CA6F}</author>
    <author>AMV</author>
    <author>tc={F4A2037E-ED3B-475E-9274-CFBCFAE7E02E}</author>
    <author>tc={9111ACFE-C213-418B-BD70-72438A8F3CDF}</author>
    <author>tc={3A74379E-DBFB-4D98-8F88-A1DEEA80CB5A}</author>
    <author>tc={53CE45AA-9EA8-430B-AA2A-7A0BBD2559AF}</author>
    <author>tc={249E7A31-A678-46C1-8478-0DE101F794C5}</author>
    <author>tc={13319309-3E04-485D-8045-A083522C7FD8}</author>
    <author>tc={316090FD-16CC-4340-9B64-BB88EC9D80A6}</author>
    <author>tc={DB853EE6-CB4A-46F7-8C1A-80E2EF6D577E}</author>
    <author>tc={49FF13A7-4828-4049-BBF7-C2853C9DA301}</author>
    <author>tc={8D76E615-13FD-4B34-A966-81888D93C9B4}</author>
    <author>tc={1617243B-A1FF-4370-863F-3101A7CA498D}</author>
    <author>tc={1C02ED58-710B-4692-934A-4F6EC0967638}</author>
    <author>tc={6017FCDE-DF9C-499F-B87B-746923B7BAD2}</author>
    <author>tc={5A540864-12F5-4EAA-B95A-27748979330B}</author>
    <author>tc={96AB3DF4-A4CD-44B5-860D-896ECE8EC472}</author>
    <author>Fabián Arroyave Sánchez</author>
  </authors>
  <commentList>
    <comment ref="E1" authorId="0"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Cuadro de lista hoja supervisores</t>
        </r>
      </text>
    </comment>
    <comment ref="F1" authorId="1"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Cuadro lista hoja supervisores</t>
        </r>
      </text>
    </comment>
    <comment ref="S1" authorId="2"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AUTOMATIZAR CELDAS VERDES DE RCP PAGOS</t>
        </r>
      </text>
    </comment>
    <comment ref="AC1" authorId="3" shapeId="0">
      <text>
        <r>
          <rPr>
            <b/>
            <sz val="9"/>
            <color indexed="81"/>
            <rFont val="Tahoma"/>
            <family val="2"/>
          </rPr>
          <t>AMV: se diligencia la</t>
        </r>
        <r>
          <rPr>
            <sz val="9"/>
            <color indexed="81"/>
            <rFont val="Tahoma"/>
            <family val="2"/>
          </rPr>
          <t xml:space="preserve">
fecha final de la prorroga </t>
        </r>
      </text>
    </comment>
    <comment ref="AE1" authorId="4" shapeId="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Lista si o no </t>
        </r>
      </text>
    </comment>
    <comment ref="H449" authorId="5" shapeId="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Cédula de Extranjeria No. 7975527
</t>
        </r>
      </text>
    </comment>
    <comment ref="H478" authorId="6"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Cédula de Extranjería 1203364</t>
        </r>
      </text>
    </comment>
    <comment ref="H493" authorId="7"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Cédula de Extranjeria: 7997820</t>
        </r>
      </text>
    </comment>
    <comment ref="H494" authorId="8" shapeId="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Cédula de Extranjeria: 7998138
</t>
        </r>
      </text>
    </comment>
    <comment ref="H495" authorId="9"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Cédula de Extranjeria: 7998173</t>
        </r>
      </text>
    </comment>
    <comment ref="H496" authorId="10"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Cédula de Extranjeria: 7997821</t>
        </r>
      </text>
    </comment>
    <comment ref="H497" authorId="11" shapeId="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Cedula de Extranjería: 7997878
</t>
        </r>
      </text>
    </comment>
    <comment ref="H498" authorId="12" shapeId="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Cedula de Extranjería: 7998183
</t>
        </r>
      </text>
    </comment>
    <comment ref="H499" authorId="13" shapeId="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Cedula de Extranjería: 7998148
</t>
        </r>
      </text>
    </comment>
    <comment ref="H633" authorId="14" shapeId="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CC 2000009732
</t>
        </r>
      </text>
    </comment>
    <comment ref="H638" authorId="15"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PPT  530415</t>
        </r>
      </text>
    </comment>
    <comment ref="H648" authorId="16"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CE 635014</t>
        </r>
      </text>
    </comment>
    <comment ref="H692" authorId="17"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C.E. 523298</t>
        </r>
      </text>
    </comment>
    <comment ref="H712" authorId="18"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CE 8001230</t>
        </r>
      </text>
    </comment>
    <comment ref="J923" authorId="19" shapeId="0">
      <text>
        <r>
          <rPr>
            <b/>
            <sz val="9"/>
            <color indexed="81"/>
            <rFont val="Tahoma"/>
            <family val="2"/>
          </rPr>
          <t>Fabián Arroyave Sánchez:</t>
        </r>
        <r>
          <rPr>
            <sz val="9"/>
            <color indexed="81"/>
            <rFont val="Tahoma"/>
            <family val="2"/>
          </rPr>
          <t xml:space="preserve">
Valor total PAA incluye incorporaciones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<sst xmlns="http://schemas.openxmlformats.org/spreadsheetml/2006/main" count="33925" uniqueCount="3382">
  <si>
    <t>PLAN ANUAL DE ADQUISICIONES</t>
  </si>
  <si>
    <t xml:space="preserve">PPTOTOTAL </t>
  </si>
  <si>
    <t xml:space="preserve">PPTO INICIAL </t>
  </si>
  <si>
    <t>CELDA DE VALIDACIÓN</t>
  </si>
  <si>
    <t xml:space="preserve">INCORPORACIONES </t>
  </si>
  <si>
    <t xml:space="preserve"> </t>
  </si>
  <si>
    <t>ITEM</t>
  </si>
  <si>
    <t>Código UNSPSC (Manual)</t>
  </si>
  <si>
    <t>UNIDAD DE CONTRATACION (formulado)</t>
  </si>
  <si>
    <t>Funci/ inversion (formulado)</t>
  </si>
  <si>
    <t>Nombre Proyecto  (formulado)</t>
  </si>
  <si>
    <t>Código BPIN (FORMULADO)</t>
  </si>
  <si>
    <t>Actividad3</t>
  </si>
  <si>
    <t>Proyecto (formulado)</t>
  </si>
  <si>
    <t>Valor definitivo (manual)</t>
  </si>
  <si>
    <t>Descripción - Objeto del Contrato (manual)</t>
  </si>
  <si>
    <t>ESTADO (formulado)</t>
  </si>
  <si>
    <t>MODALIDAD DE CONTRATACION (manual)</t>
  </si>
  <si>
    <t>TIPO DE CONTRATACION (Manual)</t>
  </si>
  <si>
    <t>RUBRO(BASEDEINFORMACION)MANUAL</t>
  </si>
  <si>
    <t>PROYECTO (formulado)2</t>
  </si>
  <si>
    <t>FONDO (formulado)</t>
  </si>
  <si>
    <t>PLAZO (manual)</t>
  </si>
  <si>
    <t>MES DIA O AÑO (manual)</t>
  </si>
  <si>
    <t>CDP (manual)</t>
  </si>
  <si>
    <t>¿Se requieren vigencias futuras? (MANUAL)</t>
  </si>
  <si>
    <t>Fecha estimada de inicio de proceso de selección (mes) (manual)</t>
  </si>
  <si>
    <t>Fecha estimada de presentación de ofertas (mes) (manual)</t>
  </si>
  <si>
    <t>NUMERO CONTRATO</t>
  </si>
  <si>
    <t>CONTRATISTA</t>
  </si>
  <si>
    <t>NUMERO COMPROMISO -RCP</t>
  </si>
  <si>
    <t>COMPROMETIDO</t>
  </si>
  <si>
    <t>VALOR A LIBERAR</t>
  </si>
  <si>
    <t>PAGADO</t>
  </si>
  <si>
    <t>FALTANTE POR PAGAR</t>
  </si>
  <si>
    <t>RCP-RUBRO</t>
  </si>
  <si>
    <t>INDICADOR</t>
  </si>
  <si>
    <t>BOLSA</t>
  </si>
  <si>
    <t>Pago por Contrato</t>
  </si>
  <si>
    <t>Pago por bolsa</t>
  </si>
  <si>
    <t>Comprometido Contrato</t>
  </si>
  <si>
    <t>Comprometido Bolsa</t>
  </si>
  <si>
    <t>N/A</t>
  </si>
  <si>
    <t>999999 Funcionamiento</t>
  </si>
  <si>
    <t xml:space="preserve">RESOLUCIÓN </t>
  </si>
  <si>
    <t>1.00.0000.00.0-205616.2.1.1.01.01.001.01.</t>
  </si>
  <si>
    <t>MESES</t>
  </si>
  <si>
    <t xml:space="preserve">NO </t>
  </si>
  <si>
    <t xml:space="preserve">ENERO </t>
  </si>
  <si>
    <t>1.00.0000.00.0-205616.2.1.1.01.01.001.02.</t>
  </si>
  <si>
    <t>1.00.0000.00.0-205616.2.1.1.01.01.001.06.</t>
  </si>
  <si>
    <t>1.00.0000.00.0-205616.2.1.1.01.01.001.07.</t>
  </si>
  <si>
    <t>1.00.0000.00.0-205616.2.1.1.01.01.001.08.02</t>
  </si>
  <si>
    <t>1.00.0000.00.0-205616.2.1.1.01.01.001.10.</t>
  </si>
  <si>
    <t>1.00.0000.00.0-205616.2.1.1.01.02.001.</t>
  </si>
  <si>
    <t>1.00.0000.00.0-205616.2.1.1.01.02.002.</t>
  </si>
  <si>
    <t>1.00.0000.00.0-205616.2.1.1.01.02.003.</t>
  </si>
  <si>
    <t>1.00.0000.00.0-205616.2.1.1.01.02.004.</t>
  </si>
  <si>
    <t>1.00.0000.00.0-205616.2.1.1.01.02.005.</t>
  </si>
  <si>
    <t>1.00.0000.00.0-205616.2.1.1.01.02.006.</t>
  </si>
  <si>
    <t>1.00.0000.00.0-205616.2.1.1.01.02.007.</t>
  </si>
  <si>
    <t>1.00.0000.00.0-205616.2.1.1.01.03.001.01.</t>
  </si>
  <si>
    <t>1.00.0000.00.0-205616.2.1.1.01.03.001.02.</t>
  </si>
  <si>
    <t>1.00.0000.00.0-205616.2.1.1.01.03.001.03.</t>
  </si>
  <si>
    <t>1.00.0000.00.0-205616.2.1.3.07.02.010.01.</t>
  </si>
  <si>
    <t>1.00.0000.00.0-205616.2.1.3.07.02.010.02.</t>
  </si>
  <si>
    <t>1.00.0000.00.0-205616.2.1.6.01.04.004.</t>
  </si>
  <si>
    <t>1.00.0000.00.0-205616.2.1.1.01.01.001.08.01</t>
  </si>
  <si>
    <t>1.00.0000.00.0-205616.2.1.8.01.52.</t>
  </si>
  <si>
    <t>1.00.0000.00.0-205616.2.1.8.04.01.</t>
  </si>
  <si>
    <t>1.00.0000.00.0-205616.2.1.2.02.02.006.02.</t>
  </si>
  <si>
    <t>1.00.0000.00.0-205616.2.1.2.02.02.008.03.</t>
  </si>
  <si>
    <t>1.00.0000.00.0-205616.2.1.2.02.02.006.01.</t>
  </si>
  <si>
    <t>1.00.0000.00.0-205616.2.1.2.02.02.007.01.</t>
  </si>
  <si>
    <t>1.00.0000.00.0-205616.2.1.2.02.02.008.02.</t>
  </si>
  <si>
    <t>1.00.0000.00.0-205616.2.1.2.02.01.003.02.</t>
  </si>
  <si>
    <t>1.00.0000.00.0-205616.2.1.2.02.02.009.02.</t>
  </si>
  <si>
    <t>84131600;84131500</t>
  </si>
  <si>
    <t xml:space="preserve">MODIFICACIÓN </t>
  </si>
  <si>
    <t>SEGUROS</t>
  </si>
  <si>
    <t>1.00.0000.00.0-205616.2.1.2.02.02.007.02.</t>
  </si>
  <si>
    <t>DIAS</t>
  </si>
  <si>
    <t>D</t>
  </si>
  <si>
    <t>ENERO</t>
  </si>
  <si>
    <t>1.00.0000.00.0-205616.2.1.1.01.03.110.</t>
  </si>
  <si>
    <t>1.00.0000.00.0-205616.2.1.1.01.03.111.01.</t>
  </si>
  <si>
    <t>1.00.0000.00.0-205616.2.1.1.01.03.111.02.</t>
  </si>
  <si>
    <t>1.00.0000.00.0-205616.2.1.1.01.03.113.</t>
  </si>
  <si>
    <t xml:space="preserve">MINIMA CUANTIA </t>
  </si>
  <si>
    <t>PRESTACIÓN DE SERVICIOS</t>
  </si>
  <si>
    <t>1.00.0000.00.0-205616.2.1.2.02.02.008.01.</t>
  </si>
  <si>
    <t>FEBRERO</t>
  </si>
  <si>
    <t xml:space="preserve">FEBRERO </t>
  </si>
  <si>
    <t xml:space="preserve">PAGOS COMISION NACIONAL DEL SERVICIO CIVIL </t>
  </si>
  <si>
    <t>DIRECTA</t>
  </si>
  <si>
    <t>NO</t>
  </si>
  <si>
    <t>MARZO</t>
  </si>
  <si>
    <t>ADICIÓN</t>
  </si>
  <si>
    <t xml:space="preserve">SELECCIÓN ABREVIADA MEDIANTE SUBASTA INVERSA </t>
  </si>
  <si>
    <t>47131701;47131702;47131703;47131704;47131705;47131706;47131707;47131709;47131710;47131711;50201706</t>
  </si>
  <si>
    <t>SUMINISTRO DE ARTÍCULOS DE ASEO Y CAFETERÍA CON DESTINO A LAS DEPENDENCIAS FÍSICAS DE INDEPORTES ANTIOQUIA (CAFETERIA)</t>
  </si>
  <si>
    <t>1.00.0000.00.0-205616.2.1.2.02.01.002.01.</t>
  </si>
  <si>
    <t xml:space="preserve">ABRIL </t>
  </si>
  <si>
    <t>SUMINISTRO DE ARTÍCULOS DE ASEO Y CAFETERÍA CON DESTINO A LAS DEPENDENCIAS FÍSICAS DE INDEPORTES ANTIOQUIA (ASEO)</t>
  </si>
  <si>
    <t>1.00.0000.00.0-205616.2.1.2.02.01.003.01.</t>
  </si>
  <si>
    <t>44121600;44121700;44121900;44122000;14111500;44103100</t>
  </si>
  <si>
    <t>SUMINISTRO DE ARTÍCULOS DE PAPELERÍA, ÚTILES, ELEMENTOS DE OFICINA Y TÓNERES, CON DESTINO A LAS DEPENDENCIAS FÍSICAS DE INDEPORTES ANTIOQUIA</t>
  </si>
  <si>
    <t xml:space="preserve">SUMINISTRO </t>
  </si>
  <si>
    <t>15101505; 15101506</t>
  </si>
  <si>
    <t>SUMINISTRO DE COMBUSTIBLE PARA LOS VEHÍCULOS Y MOTOS DE PROPIEDAD DEL INSTITUTO DEPARTAMENTAL DE DEPORTES DE ANTIOQUIA Y PARA AQUELLOS VEHÍCULOS  QUE POR VÍNCULO CONTRACTUAL ESTÉN AL SERVICIO DE LA ENTIDAD</t>
  </si>
  <si>
    <t>SELECCIÓN ABREVIADA MEDIANTE ACUERDO MARCO DE PRECIOS</t>
  </si>
  <si>
    <t xml:space="preserve">DISPONIBLE COMBUSTIBLE </t>
  </si>
  <si>
    <t>39131714
31211501
31211502
47131702
12191502
27111918
30181701
30191501
39121721
47131604
13111010
31211904
39121402
72152701
15121501
15121521
23101510
24101507
27111919
27112001
27112002
30103203
30111601
30181804
31151904
31161508
39122106
39131709
40183002
47121602
47121610
13111209
26111701
31121107
31161505
31161833
30161702
31162402
31201503
31201610
43191631
20121602
31201500
31241501
46181704
46182001
46182002
31211906
46181504
46181604
47131824
30191617</t>
  </si>
  <si>
    <t xml:space="preserve">SELECCIÓN ABREVIADA MEDIANTE ACUERDO MARCO DE PRECIOS </t>
  </si>
  <si>
    <t>1.00.0000.00.0-205616.2.1.2.02.02.009.01.</t>
  </si>
  <si>
    <t>1.00.0000.00.0-205616.2.1.2.02.02.005.01.</t>
  </si>
  <si>
    <t>PRESTACIÓN DEL SERVICIO DE ASEO, OFICIOS VARIOS, MANTENIMIENTOS Y OTROS  PARA  INDEPORTES ANTIOQUIA</t>
  </si>
  <si>
    <t xml:space="preserve">LICITACIÓN PÚBLICA </t>
  </si>
  <si>
    <t>PRESTACIÓN DE SERVICIOS PROFESIONALES DE APOYO Y ACOMPAÑAMIENTO A LOS PROCESOS ADMINISTRATIVOS  DE INDEPORTES ANTIOQUIA</t>
  </si>
  <si>
    <t>MAYO</t>
  </si>
  <si>
    <t>DÍAS</t>
  </si>
  <si>
    <t>84131600;
93141800;
85101500;
85101600;
85121500</t>
  </si>
  <si>
    <t>ABRIL</t>
  </si>
  <si>
    <t>84131600
93141800
85101500
85101600
85121500</t>
  </si>
  <si>
    <t>MENOR CUANTIA</t>
  </si>
  <si>
    <t>SELECCIÓN ABREVIADA DE MENOR CUANTÍA</t>
  </si>
  <si>
    <t>DISPONIBLE PRESTACIÓN DE SERVICIOS</t>
  </si>
  <si>
    <t>CONTRATO DE PRESTACIÓN DE SERVICIOS DE APOYO A LA GESTIÓN  EN LA ADMINISTRACIÓN DE LOS BIENES  DE INDEPORTES ANTIOQUIA</t>
  </si>
  <si>
    <t>PRESTACIÓN DE SERVICIOS DE APOYO A LA GESTIÓN EN LAS ACTIVIDADES RELACIONADAS CON LA GESTIÓN ADMINISTRATIVA DE LOS RECURSOS Y EL PLAN DE MANTENIMIENTO DE INDEPORTES ANTIOQUIA</t>
  </si>
  <si>
    <t>CONTRATO DE PRESTACIÓN DE SERVICIOS PROFESIONALES PARA APOYAR LOS PROCEDIMIENTOS FINANCIEROS Y CONTABLES EN EL PROCESO DE ADMINISTRACIÓN DE BIENES DE INDEPORTES ANTIOQUIA</t>
  </si>
  <si>
    <t>PRESTACIÓN DE SERVICIOS PROFESIONALES ESPECIALIZADOS APOYANDO LA REVISIÓN DE LOS DATOS  FINANCIEROS Y CONTABLES Y CONSOLIDACIÓN Y VALIDACIÓN DE LA INFORMACIÓN  EN EL MARCO DE LA PROCEDIMIENTOS QUE REALIZA  LA OFICINA DE CONTROL INTERNO DE INDEPORTES ANTIOQUIA</t>
  </si>
  <si>
    <t>PRESTACIÓN DE SERVICIOS PROFESIONALES PARA EL ACOMPAÑAMIENTO JURIDICO A LOS PROCESOS  QUE REALIZA LA OFICINA DE CONTROL INTERNO DE INDEPORTES ANTIOQUIA.</t>
  </si>
  <si>
    <t>PRESTACIÓN DE SERVICIOS DE APOYO EN LA ORGANIZACIÓN Y ACTUALIZACIÓN DE LOS EXPEDIENTES DE ACUERDO CON LOS LINEAMIENTOS DE GESTIÓN DOCUMENTAL DE INDEPORTES ANTIOQUIA</t>
  </si>
  <si>
    <t>PRESTACIÓN DE SERVICIOS DE APOYO A LA GESTIÓN EN LOS PROCESOS FINANCIEROS DE INDEPORTES ANTIOQUIA</t>
  </si>
  <si>
    <t>PRESTACIÓN DE SERVICIOS PROFESIONALES APOYANDO EL PROCESO CONTABLE DE INDEPORTES ANTIOQUIA</t>
  </si>
  <si>
    <t>PRESTACIÓN DE SERVICIOS DE APOYO EN LA ORGANIZACIÓN Y ACTUALIZACIÓN DE LOS EXPEDIENTES DE ACUERDO CON LOS LINEAMIENTOS DE GETIÓN DOCUMENTAL DE INDEPORTES ANTIOQUIA</t>
  </si>
  <si>
    <t xml:space="preserve">CONTRATO DE PRESTACIÓN DE SERVICIOS PROFESIONALES PARA REPRESENTAR JUDICIAL Y EXTRAJUDICIALMENTE A INDEPORTES ANTIOQUIA Y BRINDAR ASESORIA JURIDICA </t>
  </si>
  <si>
    <t>Febrero</t>
  </si>
  <si>
    <t>PRESTACIÓN DE SERVICIOS PROFESIONALES PARA EL ACOMPAÑAMIENTO EN LA PLANIFICACIÓN, APLICACIÓN, EVALUACIÓN, AUDITORIA Y ACCIONES DE MEJORA DEL SG-SST Y SISTEMA DE GESTIÓN AMBIENTAL</t>
  </si>
  <si>
    <t>PRESTACIÓN DE SERVICIOS PROFESIONALES ESPECIALIZADOS EN MATERIA JURÍDICA PARA APOYAR LO PROCESOS DE INDEPORTES ANTIOQUIA</t>
  </si>
  <si>
    <t>PRESTACIÓN DE SERVICIOS PROFESIONALES PARA EL ACOMPAÑAMIENTO A LA OFICINA DE TALENTO HUMANO DE INDEPORTES ANTIOQUIA EN LA IMPLEMENTACIÓN DEL MODELO INTEGRADO DE PLANEACIÓN Y GESTIÓN - MIPG Y LOS PROCEDIMIENTOS ADMINISTRATIVOS Y/O FINANCIEROS QUE SE REQUIERAN</t>
  </si>
  <si>
    <t>PRESTACIÓN DE SERVICIOS PROFESIONALES  EN MATERIA JURÍDICA PARA APOYAR LO PROCESOS JURIDICOS DE LA OFICINA DE TALENTO HUMANO DE   INDEPORTES ANTIOQUIA</t>
  </si>
  <si>
    <t>80141607,
81141600,
78111800,
80111600,
90101600,
53102900,
49221500,
80111500,
90141600</t>
  </si>
  <si>
    <t>44021011-Participar Fase Nacional Intercolegiados</t>
  </si>
  <si>
    <t>3.43.4301.51.0-205128.2.3.2.02.02.009.11.</t>
  </si>
  <si>
    <t>3.43.4301.51.0-205400.2.3.2.02.02.009.12.</t>
  </si>
  <si>
    <t>CONTRATO DE PRESTACIÓN DE SERVICIOS PROFESIONALES PARA REPRESENTAR JUDICIAL Y EXTRAJUDICIALMENTE A INDEPORTES ANTIOQUIA Y BRINDAR ASESORIA Y RENDIR CONCEPTOS JURIDICOS.</t>
  </si>
  <si>
    <t xml:space="preserve">Directa </t>
  </si>
  <si>
    <t>8 MESES 12 DÍAS</t>
  </si>
  <si>
    <t xml:space="preserve">4 MEESE Y 11 DÍAS </t>
  </si>
  <si>
    <t>84131600;
84131500</t>
  </si>
  <si>
    <t xml:space="preserve">MÍNIMA CUANTÍA </t>
  </si>
  <si>
    <t>84131500;
80101510;
84131600</t>
  </si>
  <si>
    <t>CONCURSO DE MÉRITOS</t>
  </si>
  <si>
    <t>JUNIO</t>
  </si>
  <si>
    <t>1.00.0000.00.4-205616.2.1.2.02.02.008.04.</t>
  </si>
  <si>
    <t xml:space="preserve">REALIZAR EL MANTENIMIENTO PREVENTIVO Y CORRECTIVO DE LOS ASCENSORES DE INDEPORTES ANTIOQUIA </t>
  </si>
  <si>
    <t>41080114-Implementar Plan de medios</t>
  </si>
  <si>
    <t>1.43.4302.92.0-101024.2.3.2.02.02.008.01.</t>
  </si>
  <si>
    <t>52161500
52161600
80161500
82101500
82101600
82141600
90101800
90101600</t>
  </si>
  <si>
    <t>41080113-Apoyar eventos del sector</t>
  </si>
  <si>
    <t>CONTRATO INTERADMINISTRATIVO</t>
  </si>
  <si>
    <t>1.43.4302.92.0-271130.2.3.2.02.02.009.02.</t>
  </si>
  <si>
    <t>1.43.4302.92.0-101024.2.3.2.02.02.009.01.</t>
  </si>
  <si>
    <t>80111600 - 80141607 -80141902- 90141502-90141701- 90141502-90141701-</t>
  </si>
  <si>
    <t xml:space="preserve">80111600 - 80141607 -80141902- 90141502-90141701- 90141502-90141701-- </t>
  </si>
  <si>
    <t>1.43.4302.92.4-271130.2.3.2.02.02.008.23.</t>
  </si>
  <si>
    <t>41080114-Diseñar e implementar estrategias comun</t>
  </si>
  <si>
    <t>1.43.4302.92.4-271130.2.3.2.02.02.009.24.</t>
  </si>
  <si>
    <t>82101902
80111600 
80141607
80141902
90141502
90141701
90141502
90141701</t>
  </si>
  <si>
    <t>1.43.4302.92.0-271130.2.3.2.02.02.008.16.</t>
  </si>
  <si>
    <t>41080302-Mejorar sistema información observatorio</t>
  </si>
  <si>
    <t>1.45.4599.54.0-101024.2.3.2.02.02.008.02.</t>
  </si>
  <si>
    <t>41080302- Realizar seguimiento y evaluación a la gestión.</t>
  </si>
  <si>
    <t xml:space="preserve">DISPONIBLE PRESTACIÓN DE SERVICIOS </t>
  </si>
  <si>
    <t>PRESTACION DE SERVICIOS PROFESIONALES ESPECIALIZADOS APOYANDO EL SEGUIMIENTO A LOS PROYECTOS, PLANES, PROGRAMAS  Y POLITICAS DE INDEPORTES ANTIOQUIA</t>
  </si>
  <si>
    <t>PRESTACIÓN DE SERVICIOS PROFESIONALES ESPECIALIZADOS PARA LA GESTION, ADMINSITRACIÓN,  Y CONSOLIDACIÓN DE INFORMACION INSTITUCIONAL  PARA REALIZAR LA ANALITICA DE DATOS DEL OBSERVATORIO DEL DEPORTE DE ANTIOQUIA.</t>
  </si>
  <si>
    <t>41080302-Realizar seguimiento y monitoreo a las políticas</t>
  </si>
  <si>
    <t>1.45.4599.54.4-101124.2.3.2.02.02.008.21.</t>
  </si>
  <si>
    <t>41080302-Actualizar sistema de gestión de Calidad</t>
  </si>
  <si>
    <t>41080301-Mejorar y potencializar los sistemas</t>
  </si>
  <si>
    <t>1.45.4599.90.0-101024.2.3.2.02.02.008.03.</t>
  </si>
  <si>
    <t>41080301-Mejorar la plataforma de software</t>
  </si>
  <si>
    <t>41080301-Estructurar Políticas Sistem Información</t>
  </si>
  <si>
    <t>DISPONIBLE PRESTACION SERVICIOS SISTEMAS</t>
  </si>
  <si>
    <t>41080301-Mejorar la plataforma hardware</t>
  </si>
  <si>
    <t>81111800; 81111811;43231602</t>
  </si>
  <si>
    <t>meses</t>
  </si>
  <si>
    <t>81111800; 81161801;81112101</t>
  </si>
  <si>
    <t>41080301-Fortalecer Sistema de Gestión Documental</t>
  </si>
  <si>
    <t xml:space="preserve">43233200;81111801  </t>
  </si>
  <si>
    <t>COMPRAVENTA</t>
  </si>
  <si>
    <t>1.45.4599.90.4-101124.2.3.2.02.02.008.17.</t>
  </si>
  <si>
    <t>JULIO</t>
  </si>
  <si>
    <t>AGOSTO</t>
  </si>
  <si>
    <t>44103125;81101707</t>
  </si>
  <si>
    <t>Servicio de mantenimiento a equipos de impresión, escáneres y multimedia de INDEPORTES ANTIOQUIA</t>
  </si>
  <si>
    <t xml:space="preserve">SELECCIÓN ABREVIADA </t>
  </si>
  <si>
    <t>92121700;81101700;72151700;46171600</t>
  </si>
  <si>
    <t>1.45.4599.90.4-101124.2.3.2.02.01.004.03.</t>
  </si>
  <si>
    <t>NOVIEMBRE</t>
  </si>
  <si>
    <t>DICIEMBRE</t>
  </si>
  <si>
    <t xml:space="preserve">72103302;
81111803 </t>
  </si>
  <si>
    <t>SEPTIEMBRE</t>
  </si>
  <si>
    <t>OCTUBRE</t>
  </si>
  <si>
    <t xml:space="preserve">81111820 ; 81111808 </t>
  </si>
  <si>
    <t>1.45.4599.90.0-101024.2.3.2.02.01.004.01.</t>
  </si>
  <si>
    <t>41080103-Realizar control médico esp a atletas</t>
  </si>
  <si>
    <t>PRESTACIÓN DE SERVICIOS PROFESIONALES EN LA ATENCIÓN FISIOTERAPEUTICA DEPORTIVA DE LOS ATLETAS QUE APOYA INDEPORTES ANTIOQUIA</t>
  </si>
  <si>
    <t>2.43.4302.91.0-205400.2.3.2.02.02.009.05.</t>
  </si>
  <si>
    <t xml:space="preserve">DISPONIBLE PRESTACIÓN DE SERVICIOS MEDICINA DEPORTIVA </t>
  </si>
  <si>
    <t>PRESTACIÓN DE SERVICIOS PROFESIONALES PARA LA ATENCIÓN FISIOTERAPEUTICA DE LOS PARA - ATLETAS QUE APOYA INDEPORTES ANTIOQUIA</t>
  </si>
  <si>
    <t>41080108-Realizar control médico esp para-atletas</t>
  </si>
  <si>
    <t>91</t>
  </si>
  <si>
    <t>PRESTACIÓN DE SERVICIOS PROFESIONALES PARA APOYAR LOS PROCESOS DE PSICOLOGIA CLINICA A LOS DEPORTISTA  APOYADOS POR LA ENTIDAD  Y EN LOS PROCESOS ACADÉMICOS E INVESTIGATIVOS DE LA OFICINA DE MEDICINA DEPORTIVA.</t>
  </si>
  <si>
    <t>PRESTACIÓN DE SERVICIOS DE APOYO A LA GESTIÓN PARA EL ACOMPAÑAMIENTO EN LA RECUPERACIÓN DE LA FATIGA POS-CARGA DEL ENTRENAMIENTO Y REHABILITACIÓN DE LAS LESIONES DEPORTIVAS DE LOS ATLETAS Y PARA - ATLETAS APOYADOS POR INDEPORTES ANTIOQUIA</t>
  </si>
  <si>
    <t>41080105-Entregar apoyo alimentación a los atletas</t>
  </si>
  <si>
    <t>2.43.4302.22.0-205128.2.3.3.08.06.</t>
  </si>
  <si>
    <t>41080102-Entregar apoyo económico a los atletas</t>
  </si>
  <si>
    <t>2.43.4302.22.0-205400.2.3.3.08.06.</t>
  </si>
  <si>
    <t>41080104-Entregar apoyo educativo a los atletas</t>
  </si>
  <si>
    <t>41080111-Apoyar proyectos especiales</t>
  </si>
  <si>
    <t xml:space="preserve">CONVENIO DE APOYO </t>
  </si>
  <si>
    <t>2.43.4302.20.0-205400.2.3.3.09.17.</t>
  </si>
  <si>
    <t>41080111-Participar en eventos deportiv Nal e Int</t>
  </si>
  <si>
    <t>2.43.4302.20.4-101124.2.3.3.09.17.</t>
  </si>
  <si>
    <t xml:space="preserve">JUNIO </t>
  </si>
  <si>
    <t>41080112-Operar centro de desarrollo de Ciclismo</t>
  </si>
  <si>
    <t>2.43.4302.21.0-205400.2.3.3.09.17.</t>
  </si>
  <si>
    <t>41080112-Operar centro de desarrollo de Pesas</t>
  </si>
  <si>
    <t>41080112-Operar centro de desarrollo de Canotaje</t>
  </si>
  <si>
    <t>41080112-Operar centro de desarrollo de Atletismo</t>
  </si>
  <si>
    <t xml:space="preserve">41080112-Operar centro de desarrollo de Actividades Subacúaticas </t>
  </si>
  <si>
    <t>41080112-Operar centro de desarrollo de Lucha</t>
  </si>
  <si>
    <t>41080112-Operar centro de desarrollo de  Arquería</t>
  </si>
  <si>
    <t>41080111-Implementar Estrategia Deportiva</t>
  </si>
  <si>
    <t>PRESTACIÓN DE SERVICIOS PROFESIONALES ESPECIALIZADOS APOYANDO LOS PROCESOS METODOLOGICOS PARA LOS DEPORTES DE DISCAPACIDAD QUE APOYA INDEPORTES ANTIOQUIA</t>
  </si>
  <si>
    <t>2.43.4302.20.0-205400.2.3.2.02.02.009.03.</t>
  </si>
  <si>
    <t xml:space="preserve">9 MESES Y 15 DÍAS </t>
  </si>
  <si>
    <t>41080101-Brindar apoyo técnico a atletas</t>
  </si>
  <si>
    <t>2.43.4302.22.0-205400.2.3.2.02.02.009.04.</t>
  </si>
  <si>
    <t>41080106-Brindar apoyo técnico a para-atletas</t>
  </si>
  <si>
    <t xml:space="preserve">MAYO </t>
  </si>
  <si>
    <t>3.43.4301.46.4-101124.2.3.2.02.02.009.35.</t>
  </si>
  <si>
    <t>PRESTACIÓN DE SERVICIOS PROFESIONALES ESPECIALIZADOS EN LA GESTIÓN DE RECURSOS ADMINISTRATIVOS  Y FINANCIEROS DE LOS DIFERENTES PROYECTOS DE LA SUBGERENCIA DE DEPORTE ASOCIADO Y ALTOS LOGROS</t>
  </si>
  <si>
    <t>2.43.4302.20.0-205400.2.3.2.02.02.008.04.</t>
  </si>
  <si>
    <t>2.43.4302.21.0-205400.2.3.2.02.02.008.05.</t>
  </si>
  <si>
    <t xml:space="preserve">PRESTACIÓN DE SERVICIOS PROFESIONALES ESPECIALIZADOS EN MATERIA JURIDICA A LA SUBGERENCIA DE DEPORTE ASOCIADO Y ALTOS LOGROS </t>
  </si>
  <si>
    <t xml:space="preserve">DISPOONIBLE SEDES </t>
  </si>
  <si>
    <t>PRESTACIÓN DE SERVICIOS PROFESIONALES ESPECIALIZADOS EN EL PLANEACIÓN Y  SEGUMIMIENTO  DE LOS DIFERENTES CONVENIOS Y CONTRATOS DE LA SUBGERENCIA DE DEPORTE ASOCIADO Y ALTOS LOGROS</t>
  </si>
  <si>
    <t>dias</t>
  </si>
  <si>
    <t xml:space="preserve">8 meses y  8 días </t>
  </si>
  <si>
    <t xml:space="preserve">8 meses y 6 días </t>
  </si>
  <si>
    <t xml:space="preserve">8 meses y 5 días </t>
  </si>
  <si>
    <t>22</t>
  </si>
  <si>
    <t>CONVENIO INTERADMINISTRATIVO</t>
  </si>
  <si>
    <t>41080101-Entregar póliza a los atletas</t>
  </si>
  <si>
    <t>2.43.4302.22.4-101124.2.3.2.02.02.007.01.</t>
  </si>
  <si>
    <t>AÑO</t>
  </si>
  <si>
    <t>41080106-Entregar póliza a para-atletas</t>
  </si>
  <si>
    <t>2.43.4302.22.4-101124.2.3.2.02.02.009.25.</t>
  </si>
  <si>
    <t>2.43.4302.22.4-205400.2.3.3.08.06.</t>
  </si>
  <si>
    <t>41080109-Entregar apoyo educativo a para-atletas</t>
  </si>
  <si>
    <t xml:space="preserve">41080101-Adquirir insumos para el apoyo social tipo alojamiento </t>
  </si>
  <si>
    <t>SUBASTA INVERSA</t>
  </si>
  <si>
    <t>2.43.4302.22.4-101124.2.3.2.02.01.003.05.</t>
  </si>
  <si>
    <t>41080101-Realizar Control Técnico</t>
  </si>
  <si>
    <t>2.43.4302.22.4-101124.2.3.2.02.02.006.09.</t>
  </si>
  <si>
    <t>41080102-Entregar apoyo económico a los atletas- medalleria</t>
  </si>
  <si>
    <t>2.43.4302.22.4-205128.2.3.3.08.06.</t>
  </si>
  <si>
    <t>41080107-Entregar apoyo económico a para-atletas medalleria</t>
  </si>
  <si>
    <t>2.43.4302.22.4-101124.2.3.3.08.06.</t>
  </si>
  <si>
    <t>41080107-Entregar apoyo económico a para-atletas</t>
  </si>
  <si>
    <t>41080112-Realizar seguimiento</t>
  </si>
  <si>
    <t>2.43.4302.21.4-101124.2.3.2.02.02.008.20.</t>
  </si>
  <si>
    <t>2.43.4302.21.4-101124.2.3.3.09.17.</t>
  </si>
  <si>
    <t>2.43.4302.21.4-205128.2.3.3.09.17.</t>
  </si>
  <si>
    <t>2.43.4302.91.4-101124.2.3.2.02.02.009.22.</t>
  </si>
  <si>
    <t>2.43.4302.20.4-101124.2.3.2.02.02.008.18.</t>
  </si>
  <si>
    <t>2.43.4302.91.4-101124.2.3.2.02.01.003.04.</t>
  </si>
  <si>
    <t>41080103-Mantenimiento y calibraciones de equipos</t>
  </si>
  <si>
    <t>2.43.4302.91.4-101124.2.3.2.02.02.008.19.</t>
  </si>
  <si>
    <t>2.43.4302.22.0-205400.2.3.2.02.02.008.06.</t>
  </si>
  <si>
    <t>43010901-Realizar Interventoría a Infraestructura</t>
  </si>
  <si>
    <t xml:space="preserve">INTERVENTORIA </t>
  </si>
  <si>
    <t>4.43.4301.64.0-202029.2.3.2.02.02.008.14.</t>
  </si>
  <si>
    <t>43010901-Realizar inventario escenarios deportivo</t>
  </si>
  <si>
    <t>4.43.4301.64.0-101024.2.3.2.02.02.008.13.</t>
  </si>
  <si>
    <t>43010901-Realizar seguimiento a los programas</t>
  </si>
  <si>
    <t>DISPONIBLE APOYO INGENIERO CIVIL</t>
  </si>
  <si>
    <t/>
  </si>
  <si>
    <t>PRESTACIÓN DE SERVICIOS PROFESIONALES APOYANDO LAS EVALUACIONES Y SEGUIMIENTO TECNICO EN EL MARCO DE LAS POLITICAS DE VIGILANCIA Y CONTROL  IMPLEMENTADAS POR LA OFICINA DE CONTROL INTERNO  A LOS PROCESOS DE CONFINACIÓN E INFRAESTRUCTA DE LA SUBGERENCIA DE ESCENARIOS DEPORTIVOS Y EQUIPAMIENTO</t>
  </si>
  <si>
    <t>4.43.4301.64.0-205128.2.3.2.02.02.008.15.</t>
  </si>
  <si>
    <t xml:space="preserve">DISPONIBLE APOYO TECNICO EN CIVIL ESCENARIOS </t>
  </si>
  <si>
    <t>DISPONIBLE PS ESCENARIOS</t>
  </si>
  <si>
    <t>43010901- Adquirir insumos y servicios conexos a obras de infraestructura</t>
  </si>
  <si>
    <t>DISPONIBLE VIGILANCIA</t>
  </si>
  <si>
    <t>ADMINISTRACION DELEGADA</t>
  </si>
  <si>
    <t xml:space="preserve">DISPONIBLE APOYO TECNICO </t>
  </si>
  <si>
    <t>DISPONIBLE APOYO JURIDICO</t>
  </si>
  <si>
    <t xml:space="preserve">PRESTACIÓN DE SERVICIOS PROFESIONALES ESPECIALIZADOS APOYANDO LOS PROCESOS ADMINISTRATIVOS Y FINANCIEROS DERIVADOS DE LOS PROYECTOS DE INFRAESTRUCTURA DE LA SUBGERENCIA DE ESCENARIOS DEPORTIVOS Y EQUIPAMIENTO </t>
  </si>
  <si>
    <t xml:space="preserve">DISPONIBLE APOYO ADTIVO Y FINANCIERO </t>
  </si>
  <si>
    <t>4.43.4301.64.0-101024.2.3.2.02.01.004.02.</t>
  </si>
  <si>
    <t>4.43.4301.64.0-101024.2.3.2.02.02.006.07.</t>
  </si>
  <si>
    <t>DISPONIBLE VEHICULOS</t>
  </si>
  <si>
    <t>4.43.4301.64.0-205128.2.3.2.02.02.006.08.</t>
  </si>
  <si>
    <t>SERVICIO DE ARRENDAMIENTO DE VEHÍCULOS PARA INDEPORTES ANTIOQUIA.</t>
  </si>
  <si>
    <t>INTERADMINISTRATIVO</t>
  </si>
  <si>
    <t>4.43.4301.64.0-202029.2.3.2.02.02.005.01.</t>
  </si>
  <si>
    <t>43010901-Cofinanciar infraestructura deportiva</t>
  </si>
  <si>
    <t>OBRA</t>
  </si>
  <si>
    <t>43010901- Construir Parque Metropolitano Tulio Ospina Fase 3</t>
  </si>
  <si>
    <t>4.43.4301.64.0-205128.2.3.2.02.02.005.02.</t>
  </si>
  <si>
    <t>PRESTACIÓN DE SERVICIOS PROFESIONALES COMO INGENIERO CIVIL PARA INDEPORTES ANTIOQUIA</t>
  </si>
  <si>
    <t>4.43.4301.64.0-202029.2.3.4.04.</t>
  </si>
  <si>
    <t>DISPONIBLE LICENCIAMIENTO ARCGIS</t>
  </si>
  <si>
    <t>DISPONIBLE CONSTRUCCIÓN DE ESCENARIOS DEPORTIVOS Y EQUIPAMIENTOS</t>
  </si>
  <si>
    <t>4.43.4301.64.4-202029.2.3.4.04.</t>
  </si>
  <si>
    <t>4.43.4301.64.0-205128.2.3.4.04.</t>
  </si>
  <si>
    <t>49201600
49201500
49211800
41111600
41111500
52161500</t>
  </si>
  <si>
    <t>44021002-Adquirir implementación actividad física</t>
  </si>
  <si>
    <t xml:space="preserve">SUMINISTRO DE KITS PARA LOS PROGRAMAS DE INDEPORTES ANTIOQUIA </t>
  </si>
  <si>
    <t>3.43.4301.45.0-205128.2.3.2.02.01.003.01.</t>
  </si>
  <si>
    <t>95122306
49201611</t>
  </si>
  <si>
    <t xml:space="preserve">SUMINISTRO E INSTALACIÓN DE CENTROS DE PROMOCIÓN DE LA SALUD EN EL DEPARTAMENTO DE ANTIOQUIA </t>
  </si>
  <si>
    <t xml:space="preserve">SELECCIÓN ABREVIADA MEDIANTE SUBASTA INVERSA PRESENCIAL </t>
  </si>
  <si>
    <t>44021001-Realizar Seguimiento al Programa</t>
  </si>
  <si>
    <t>3.43.4301.45.0-205128.2.3.2.02.02.006.01.</t>
  </si>
  <si>
    <t>PRESTACIÓN DE SERVICIOS PROFESIONALES PARA APOYAR LOS PROCEDIMIENTOS ADMINISTRATIVOS Y FINANCIEROS DE LOS PROYECTOS DE LA SUBGERENCIA DE FOMENTO Y DESARROLLO DEPORTIVO</t>
  </si>
  <si>
    <t>3.43.4301.45.0-205128.2.3.2.02.02.008.07.</t>
  </si>
  <si>
    <t>PRESTACIÓN DE SERVICIOS PROFESIONALES COMO APOYO A LA GESTIÓN TÉCNICA Y ADMINISTRATIVA DE LOS PROYECTOS DE LA SUBGERENCIA DE FOMENTO Y DESARROLLO DEPORTIVO</t>
  </si>
  <si>
    <t>PRESTACIÓN DE SERVICIOS PROFESIONALES DE APOYO A LA GESTIÓN ESTRATEGICA, TÁCTICA Y A LOS PLANES INDICATIVOS DE ACCIÓN DE LOS PROYECTOS DE LA SUBGERENCIA DE FOMENTO Y DESARROLLO DEPORTIVO </t>
  </si>
  <si>
    <t>PRESTACIÓN DE SERVICIOS COMO APOYO A LA GESTIÓN PARA LA PARAMETRIZACIÓN Y SISTEMATIZACIÓN DE LA INFORMACIÓN PRODUCTO DEL ACOMPAÑAMIENTO INSTITUCIONAL DE LA SUBGERENCIA DE FOMENTO Y DESARROLLO DEPORTIVO.</t>
  </si>
  <si>
    <t>44021007-Realizar seguimiento a los programas</t>
  </si>
  <si>
    <t>3.43.4301.46.0-205128.2.3.2.02.02.008.08.</t>
  </si>
  <si>
    <t>44021004-Realizar seguimiento a los programas</t>
  </si>
  <si>
    <t>3.43.4301.47.0-205128.2.3.2.02.02.008.09.</t>
  </si>
  <si>
    <t>41080201-Realizar seguimiento a los programas</t>
  </si>
  <si>
    <t>PRESTACIÓN DE SERVICIOS PROFESIONALES PARA APOYAR LOS REQUERIMIENTOS DE GESTIÓN ADMINISTRATIVA Y FINANCIERA DE LA SUBGERENCIA DE FOMENTO Y DESARROLLO DEPORTIVO</t>
  </si>
  <si>
    <t>3.43.4302.48.0-205128.2.3.2.02.02.008.12.</t>
  </si>
  <si>
    <t>44021011-Realizar seguimiento al programa</t>
  </si>
  <si>
    <t>3.43.4301.51.0-205128.2.3.2.02.02.008.11.</t>
  </si>
  <si>
    <t>44021010-Realizar seguimiento a los programas</t>
  </si>
  <si>
    <t>3.43.4301.50.0-205128.2.3.2.02.02.008.10.</t>
  </si>
  <si>
    <t>NA</t>
  </si>
  <si>
    <t>PRESTACIÓN DE SERVICIOS PROFESIONALES COMO PROFESIONAL EN DEPORTE PARA LA ENTIDAD</t>
  </si>
  <si>
    <t xml:space="preserve">PRESTACIÓN DE SERVICIOS PROFESIONALES COMO PROFESIONAL EN CIENCIAS SOCIALES Y HUMANAS </t>
  </si>
  <si>
    <t>PRESTACIÓN DE SERVICIOS PROFESIONALES COMO ADMINISTRADOR PARA LA ENTIDAD</t>
  </si>
  <si>
    <t>PRESTACIÓN DE SERVICIOS PROFESIONALES COMO LICENCIADO EN EDUCACIÓN FISICA RECREACIÓN Y DEPORTE PARA LA ENTIDAD</t>
  </si>
  <si>
    <t>3.43.4302.48.0-205128.2.3.2.02.02.009.13.</t>
  </si>
  <si>
    <t>44021001- Promover el uso de la bicicleta en Antioquia</t>
  </si>
  <si>
    <t>PRESTACIÓN DE SERVICIOS PROFESIONALES COMO LICENCIADO EN EDUCACIÓN FISICA PARA LA ENTIDAD</t>
  </si>
  <si>
    <t>3.43.4301.45.0-205128.2.3.2.02.02.009.07.</t>
  </si>
  <si>
    <t>44021004-Implementar programa institucional</t>
  </si>
  <si>
    <t>PRESTACIÓN DE SERVICIOS PROFESIONALES COMO LICENCIADO EN EDUCACIÓN FÍSICA, RECREACIÓN Y DEPORTES PARA LA ENTIDAD</t>
  </si>
  <si>
    <t>3.43.4301.47.0-205128.2.3.2.02.02.009.09.</t>
  </si>
  <si>
    <t xml:space="preserve">DISPONIBLE APOYO FINANCIERO  Y ADMINISTRATIVO FOMENTO </t>
  </si>
  <si>
    <t>DISPONIBLE PS APOYO JURÍDICO</t>
  </si>
  <si>
    <t>PRESTACIÓN DE SERVICIOS PROFESIONALES ESPECIALIZADOS EN MATERIA JURÍDICA A LA SUBGERENCIA DE FOMENTO Y DESARROLLO DEPORTIVO</t>
  </si>
  <si>
    <t>44021003-Realizar eventos masivos</t>
  </si>
  <si>
    <t>3.43.4301.45.0-205128.2.3.2.02.02.009.06.</t>
  </si>
  <si>
    <t>49171500
49221500
49161500
49211800
49161700
49141600
49201500
49161600
27111800
42181500
42182700
42182800</t>
  </si>
  <si>
    <t>44021008-Adquirir implementación deportiva</t>
  </si>
  <si>
    <t>3.43.4301.46.0-205128.2.3.2.02.01.003.02.</t>
  </si>
  <si>
    <t>PRESTACIÓN DE SERVICIOS DE APOYO A LA GESTIÓN PARA CAPACITAR A LOS GERENTES, DIRECTORES Y/O COORDINADORES DE LOS ENTES DEPORTIVOS MUNICIPALES</t>
  </si>
  <si>
    <t>44021009-Realizar festivales recreo deportivos</t>
  </si>
  <si>
    <t>3.43.4301.46.0-205128.2.3.2.02.02.009.08.</t>
  </si>
  <si>
    <t>44021006-Realizar festivales y tomas recreativas</t>
  </si>
  <si>
    <t>REALIZAR LA LOGÍSTICA Y LA ORGANIZACIÓN DE LOS ENCUENTROS SUBREGIONALES DRAF (DEPORTE, RECREACIÓN Y ACTIVIDAD FÍSICA) Y EL ENCUENTRO DEPARTAMENTAL INTERSECTORIAL DE DEPORTE, SALUD Y EDUCACIÓN.</t>
  </si>
  <si>
    <t>44021001-Promover actividad física en Antioquia</t>
  </si>
  <si>
    <t>DISPONIBLE PS XSSMP</t>
  </si>
  <si>
    <t>PRESTACIÓN DE SERVICIOS PROFESIONALES COMO LICENCIADO EN EDUCACIÓN FISICA RECREACIÓN Y DEPORTE O PROFESIONAL EN DEPORTE PARA LA ENTIDAD</t>
  </si>
  <si>
    <t>DISPONIBLE PP BICILETA</t>
  </si>
  <si>
    <t>3.43.4301.46.0-205128.2.3.2.02.02.006.02.</t>
  </si>
  <si>
    <t xml:space="preserve">DISPONIBLE APOYO ESTRATEGICO FOMENTO </t>
  </si>
  <si>
    <t>DISPONIBLE EVENTOS EDF</t>
  </si>
  <si>
    <t>44021007 -Promover escuelas de deporte formativo</t>
  </si>
  <si>
    <t>DISPONIBLE PS EDF</t>
  </si>
  <si>
    <t>44021007-Cofinanciar monitores deportivos</t>
  </si>
  <si>
    <t>3.43.4301.47.0-205128.2.3.2.02.02.006.03.</t>
  </si>
  <si>
    <t>24102200
49201500
49211700
60104700
60141000
60141100
60141200</t>
  </si>
  <si>
    <t>44021005-Adquirir implementación recreativa</t>
  </si>
  <si>
    <t>3.43.4301.47.0-205128.2.3.2.02.01.003.03.</t>
  </si>
  <si>
    <t>DISPONIBLE EVENTOS RECREACIÓN</t>
  </si>
  <si>
    <t>INVITACIÓN PÚBLICA</t>
  </si>
  <si>
    <t>PRESTACIÓN DE SERVICIOS DE APOYO A LA GESTIÓN PARA REALIZAR LAS CAPACITACIONES DE CAMPISTAS DEL PROGRAMA CAMPAMENTOS JUVENILES DE RECREACIÓN DE LA SUBGERENCIA DE FOMENTO Y DESARROLLO DEPORTIVO</t>
  </si>
  <si>
    <t>PRESTACIÓN DE SERVICIOS PROFESIONALES COMO APOYO A LA GESTIÓN PARA LA PROMOCIÓN Y EJECUCIÓN DEL COMPONENTE DE DISCAPACIDAD DEL PROGRAMA DE RECREACIÓN EN EL DEPARTAMENTO DE ANTIOQUIA</t>
  </si>
  <si>
    <t>PRESTACIÓN DE SERVICIOS PROFESIONALES COMO APOYO A LA GESTIÓN PARA LA PROMOCIÓN Y EJECUCIÓN DEL COMPONENTE DE FUERZA EN EL CICLO VITAL DEL PROGRAMA "POR SU SALUD, MUÉVASE PUES" EN EL DEPARTAMENTO DE ANTIOQUIA.</t>
  </si>
  <si>
    <t>PRESTACIÓN DE SERVICIOS COMO APOYO A LA GESTIÓN PARA LA PROMOCIÓN Y EJECUCIÓN DEL COMPONENTE DE LA RUMBA AERÓBICA DEL PROGRAMA "POR SU SALUD, MUÉVASE PUES" EN EL DEPARTAMENTO DE ANTIOQUIA.</t>
  </si>
  <si>
    <t>44021004-Cofinanciar monitores recreativos</t>
  </si>
  <si>
    <t>PRESTACIÓN DE SERVICIOS PROFESIONALES COMO APOYO A LA GESTIÓN PARA LA PROMOCIÓN Y EJECUCIÓN DEL COMPONENTE DE PERSONA MAYOR DEL PROGRAMA DE RECREACIÓN EN EL DEPARTAMENTO DE ANTIOQUIA</t>
  </si>
  <si>
    <t>DISPONIBLE PS RECREACIÓN</t>
  </si>
  <si>
    <t>3.43.4301.50.0-205128.2.3.2.02.02.006.04.</t>
  </si>
  <si>
    <t>80141607;
84101600</t>
  </si>
  <si>
    <t>44021010-Ejecutar fase zonales y final Camp y Ver</t>
  </si>
  <si>
    <t>CONVENIO INTERADMINISTRATIVO PARA EL APOYO EN EL DESARROLLO DE LOS JUEGOS DEPORTIVOS CAMPESINOS DE INDEPORTES ANTIOQUIA, EN LA SUBREGIÓN DEL NORTE Y BAJO CAUCA QUE TENDRÁ COMO SEDE EL MUNICIPIO DE TOLEDO, ANTIOQUIA</t>
  </si>
  <si>
    <t>3.43.4301.50.0-205128.2.3.2.02.02.009.10.</t>
  </si>
  <si>
    <t>CONVENIO INTERADMINISTRATIVO PARA EL APOYO EN EL DESARROLLO DE LOS JUEGOS DEPORTIVOS CAMPESINOS DE INDEPORTES ANTIOQUIA, EN LA SUBREGIÓN DEL NORDESTE Y MAGDALENA MEDIO QUE TENDRÁ COMO SEDE EL MUNICIPIO DE SAN ROQUE, ANTIOQUIA</t>
  </si>
  <si>
    <t>CONVENIO INTERADMINISTRATIVO PARA EL APOYO EN EL DESARROLLO DE LOS JUEGOS DEPORTIVOS CAMPESINOS DE INDEPORTES ANTIOQUIA, EN LA SUBREGIÓN DEL ORIENTE QUE TENDRÁ COMO SEDE EL MUNICIPIO DE SAN LUIS, ANTIOQUIA</t>
  </si>
  <si>
    <t>CONVENIO INTERADMINISTRATIVO PARA EL APOYO EN EL DESARROLLO DE LOS JUEGOS DEPORTIVOS CAMPESINOS DE INDEPORTES ANTIOQUIA, EN LA SUBREGIÓN DEL OCCIDENTE QUE TENDRÁ COMO SEDE EL MUNICIPIO DE FRONTINO, ANTIOQUIA</t>
  </si>
  <si>
    <t>CONVENIO INTERADMINISTRATIVO PARA EL APOYO EN EL DESARROLLO DE LOS JUEGOS DEPORTIVOS CAMPESINOS DE INDEPORTES ANTIOQUIA, EN LA SUBREGIÓN DEL SUROESTE QUE TENDRÁ COMO SEDE EL MUNICIPIO DE SALGAR, ANTIOQUIA</t>
  </si>
  <si>
    <t>CONVENIO INTERADMINISTRATIVO PARA EL APOYO EN EL DESARROLLO DE LOS JUEGOS DEPORTIVOS CAMPESINOS DE INDEPORTES ANTIOQUIA, EN LA SUBREGIÓN DEL URABA QUE TENDRÁ COMO SEDE EL MUNICIPIO DE SAN JUAN DE URABÁ, ANTIOQUIA</t>
  </si>
  <si>
    <t>DISPONIBLE JUEGOS JSC</t>
  </si>
  <si>
    <t>DISPONIBLE PS PLATAFORMA JSC</t>
  </si>
  <si>
    <t>PRESTACIÓN DE SERVICIOS ASISTENCIALES COMO APOYO A LA GESTIÓN PARA EL DESARROLLO Y EJECUCIÓN DE LOS JUEGOS DEPORTIVOS INSTITUCIONALES</t>
  </si>
  <si>
    <t>PRESTACIÓN DE SERVICIOS PROFESIONALES COMO APOYO A LA GESTIÓN PARA EL SEGUIMIENTO Y EVALUACIÓN DE LAS CAPACITACIONES EN DEPORTE, RECREACIÓN Y ACTIVIDAD FÍSICA DE INDEPORTES ANTIOQUIA</t>
  </si>
  <si>
    <t>PRESTACION DE SERVICIOS PROFESIONALES COMO APOYO A LA GESTIÓN PARA LA PLANEACIÓN, EJECUCIÓN Y ACOMPAÑAMIENTO A LOS MUNICIPIOS EN EL DESARROLLO DE LOS JUEGOS DEPORTIVOS INSTITUCIONALES EN LAS SUBREGIONES DEL NORDESTE Y DEL MAGDALENA MEDIO EN EL DEPARTAMENTO DE ANTIOQUIA</t>
  </si>
  <si>
    <t>PRESTACION DE SERVICIOS PROFESIONALES COMO APOYO A LA GESTIÓN PARA LA PLANEACIÓN, EJECUCIÓN Y ACOMPAÑAMIENTO A LOS MUNICIPIOS EN EL DESARROLLO DE LOS JUEGOS DEPORTIVOS INSTITUCIONALES EN LAS SUBREGIONES DEL NORTE Y DEL BAJO CAUCA DEL EN EL DEPARTAMENTO DE ANTIOQUIA</t>
  </si>
  <si>
    <t>PRESTACIÓN DE SERVICIOS DE APOYO A LA GESTION PARA LA CONFIGURACIÓN DE LOS SISTEMAS DE INFORMACIÓN REQUERIDOS PARA LA EJECUCIÓN, PARAMETRIZACIÓN Y PUESTA EN MARCHA DE LOS JUEGOS DEPORTIVOS INSTITUCIONALES EN EL DEPARTAMENTO DE ANTIOQUIA</t>
  </si>
  <si>
    <t>DISPONIBLE PS JSC</t>
  </si>
  <si>
    <t>ADICIÓN AL CONTRATO 285 DE 2024 CUYO OBJETO ES: CONTRATO INTERADMINISTRATIVO DE MANDATO SIN REPRESENTACIÓN PARA LA OPERACIÓN LOGÍSTICA DE EVENTOS Y LA PRODUCCIÓN AUDIOVISUAL RELACIONADA CON EL FORTALECIMIENTO DE LA IMAGEN INSTITUCIONAL DE INDEPORTES ANTIOQUIA.</t>
  </si>
  <si>
    <t>44021010-Ejecutar fase zonales y finales Deptales</t>
  </si>
  <si>
    <t>44021011-Ejecutar fases zonales y final Escolares</t>
  </si>
  <si>
    <t>44021011-Ejecutar zonal y finales Intercolegiados</t>
  </si>
  <si>
    <t>PRESTACIÓN DE SERVICIOS PARA LA PREPARACIÓN LOGISTICA DE LOS JUEGOS DEPORTIVOS INSTITUCIONALES DE INDEPORTES ANTIOQUIA</t>
  </si>
  <si>
    <t>PRESTACIÓN DE SERVICIOS  PARA EL APOYO TERRITORIAL DE LOS JUEGOS DEPORTIVOS INSTITUCIONALES  DE INDEPORTES ANTIOQUIA</t>
  </si>
  <si>
    <t>3.43.4301.51.0-205128.2.3.2.02.02.006.05.</t>
  </si>
  <si>
    <t>CONTRATO INTERADMINISTRATIVO DE MANDATO SIN REPRESENTACIÓN PARA EL APOYO EN LA OPERACIÓN LOGÍSTICA REQUERIDA PARA LA PARTICIPACIÓN DEL EQUIPO INDEPORTES EN EL EVENTO FESTIVAL DE FESTIVALES 2024</t>
  </si>
  <si>
    <t>PRIMERA TRANSFERENCIA DE LA VIGENCIA 2024 DE LOS RECURSOS DE CONFORMIDAD CON LO DISPUESTO EN LA LEY 1289 DE 2009 A LOS MUNICIPIOS Y ENTES DEPORTIVOS DESCENTRALIZADOS</t>
  </si>
  <si>
    <t>3.43.4301.53.0-205617.2.3.3.09.17.</t>
  </si>
  <si>
    <t>DISPONIBLE APOYO A MUNICIPIOS LEY DEL CIGARRILLO</t>
  </si>
  <si>
    <t>3.43.4302.48.0-205128.2.3.2.02.02.006.06.</t>
  </si>
  <si>
    <t>41080201-Realizar capacitac presencial y virtual</t>
  </si>
  <si>
    <t>PRESTACIÓN DE SERVICIOS PARA LA ACTUALIZACIÓN TÉCNICA Y METODOLÓGICA EN ATLETISMO, DIRIGIDO A INSTRUCTORES Y ENTRENADORES ADSCRITOS A LOS ORGANISMOS DEPORTIVOS DEL DEPARTAMENTO DE ANTIOQUIA.</t>
  </si>
  <si>
    <t>DISPONIBLE CAPACITACIONES SDC</t>
  </si>
  <si>
    <t>DISPONIBLE PS SDC</t>
  </si>
  <si>
    <t>APOYO AL PROCESO DE PLANEACIÓN Y DE EJECUCIÓN DEL SISTEMA DE CAPACITACIÓN DE INDEPORTES ANTIOQUIA MEDIANTE EL ACOMPAÑAMIENTO Y SEGUIMIENTO DEL PLAN Y AGENDA DE CAPACITACIÓN PARA EL AÑO 2024</t>
  </si>
  <si>
    <t>PRESTACIÓN DE SERVICIOS PROFESIONALES ESPECIALIZADOS COMO APOYO A LA GESTIÓN PARA LA PROMOCIÓN Y EJECUCIÓN DE LOS JUEGOS DEPORTIVOS INSTITUCIONALES EN EL DEPARTAMENTO DE ANTIOQUIA</t>
  </si>
  <si>
    <t>PRESTACIÓN DE SERVICIOS PROFESIONALES COMO APOYO A LA GESTIÓN PARA LA PROMOCIÓN Y EJECUCIÓN DEL PROGRAMA DE ESCUELAS DE DEPORTE FORMATIVO EN LAS  SUBREGIONES DEL DEPARTAMENTO DE ANTIOQUIA, ENFATIZANDO EN LA PLANEACIÓN DEL ENTRENAMIENTO DEPORTIVO EN EDADES TEMPRANAS.</t>
  </si>
  <si>
    <t>PRESTACIÓN DE SERVICIOS PROFESIONALES COMO APOYO A LA GESTIÓN PARA LA PROMOCIÓN Y EJECUCIÓN DEL PROGRAMA DE ESCUELAS DE DEPORTE FORMATIVO EN LAS SUBREGIONES DEL DEPARTAMENTO DE ANTIOQUIA, ENFATIZANDO EN LA PLANEACIÓN DEL ENTRENAMIENTO DE LA FUERZA EN EDADES TEMPRANAS.</t>
  </si>
  <si>
    <t>PRESTACIÓN DE SERVICIOS ASISTENCIALES COMO APOYO A LA GESTIÓN PARA LA ACTIVACIÓN EN TERRITORIO DEL PROGRAMA DE RECREACIÓN DE LA SUBGERENCIA DE FOMENTO Y DESARROLLO DEPORTIVO.</t>
  </si>
  <si>
    <t>PRESTACIÓN DE SERVICIOS PROFESIONALES COMO APOYO A LA GESTIÓN PARA LA PROMOCIÓN Y EJECUCIÓN DEL COMPONENTE DE NUTRICIÓN DEL PROGRAMA "POR SU SALUD, MUÉVASE PUES" EN EL DEPARTAMENTO DE ANTIOQUIA.</t>
  </si>
  <si>
    <t>PRESTACION DE SERVICIOS PROFESIONALES COMO APOYO A LA GESTIÓN PARA LA PLANEACIÓN, EJECUCIÓN Y ACOMPAÑAMIENTO A LOS MUNICIPIOS EN EL DESARROLLO DE LOS JUEGOS DEPORTIVOS INSTITUCIONALES EN LA SUBREGIÓN DEL ORIENTE EN EL DEPARTAMENTO DE ANTIOQUIA</t>
  </si>
  <si>
    <t>PRESTACION DE SERVICIOS PROFESIONALES COMO APOYO A LA GESTIÓN PARA LA PLANEACIÓN, EJECUCIÓN Y ACOMPAÑAMIENTO A LOS MUNICIPIOS EN EL DESARROLLO DE LOS JUEGOS DEPORTIVOS INSTITUCIONALES EN LA SUBREGION DEL SUROESTE EN EL DEPARTAMENTO DE ANTIOQUIA</t>
  </si>
  <si>
    <t>PRESTACIÓN DE SERVICIOS COMO APOYO PROFESIONAL PARA LA PLANEACIÓN TÉCNICA Y EJECUCIÓN DE PROYECTOS MISIONALES DE ACOMPAÑAMIENTO INSTITUCIONAL DE LA SUBGERENCIA DE FOMENTO Y DESARROLLO DEPORTIVO DE INDEPORTES ANTIOQUIA.</t>
  </si>
  <si>
    <t>PRESTACIÓN DE SERVICIOS DE APOYO A LA GESTIÓN PARA LA LOGÍSTICA Y PARTICIPACIÓN EN LA ACTIVACIÓN TERRITORIAL DEL PROGRAMA DE RECREACIÓN DE LA SUBGERENCIA DE FOMENTO Y DESARROLLO DEPORTIVO.</t>
  </si>
  <si>
    <t>PRESTACIÓN DE SERVICIOS DE APOYO A LA GESTIÓN PARA EL ALISTAMIENTO Y DESARROLLO DE LAS ACTIVIDADES DEL PROGRAMA DE RECREACIÓN EN LOS MUNICIPIOS DEL DEPARTAMENTO DE ANTIOQUIA</t>
  </si>
  <si>
    <t>PRESTACIÓN DE SERVICIOS PROFESIONALES COMO APOYO A LA GESTIÓN PARA LA PROMOCIÓN Y EJECUCIÓN DEL COMPONENTE DE LA GESTACIÓN Y PRIMERA INFANCIA DEL PROGRAMA "POR SU SALUD, MUÉVASE PUES" EN EL DEPARTAMENTO DE ANTIOQUIA.</t>
  </si>
  <si>
    <t>PRESTACIÓN DE SERVICIOS PROFESIONALES DE APOYO A LA GESTIÓN ADMINISTRATIVA Y FINANCIERA EN EL PROGRAMA JUEGOS DEPORTIVOS INSTITUCIONALES DE LA SUBGERENCIA DE FOMENTO Y DESARROLLO DEPORTIVO</t>
  </si>
  <si>
    <t>PRESTACION DE SERVICIOS PROFESIONALES COMO APOYO A LA GESTIÓN PARA LA PLANEACIÓN, EJECUCIÓN Y ACOMPAÑAMIENTO A LOS MUNICIPIOS EN EL DESARROLLO DE LOS JUEGOS DEPORTIVOS INSTITUCIONALES EN LA SUBREGION DEL OCCIDENTE EN EL DEPARTAMENTO DE ANTIOQUIA</t>
  </si>
  <si>
    <t>PRESTACION DE SERVICIOS PROFESIONALES DE APOYO A LA GESTIÓN PARA PARAMETRIZACIÓN Y MANEJO DE LA PLATAFORMA PARA LA EJECUCIÓN DE LOS JUEGOS DEPORTIVOS INSTITUCIONALES DE LA SUBGERENCIA DE FOMENTO Y DESARROLLO DEPORTIVO</t>
  </si>
  <si>
    <t>PRESTACIÓN DE SERVICIOS DE APOYO A LA GESTIÓN PARA LA PREPARACIÓN LOGISTICA Y EJECUCIÓN DE LOS JUEGOS DEPORTIVOS INSTITUCIONALES DE LA SUBGERENCIA DE FOMENTO Y DESARROLLO DEPORTIVO</t>
  </si>
  <si>
    <t>PRESTACIÓN DE SERVICIOS DE APOYO A LA GESTIÓN PARA EL MANEJO DE LA PLATAFORMA DE INSCRIPCION Y ACREDITACIÓN, Y EN LA EJECUCIÓN DE LOS JUEGOS DEPORTIVOS INSTITUCIONALES DE LA SUBGERENCIA DE FOMENTO Y DESARROLLO DEPORTIVO</t>
  </si>
  <si>
    <t>DISPONIBLE PP BICICLETA</t>
  </si>
  <si>
    <t>3.43.4301.45.4-205128.2.3.2.02.02.009.21.</t>
  </si>
  <si>
    <t>3.43.4301.51.4-205400.2.3.2.02.02.009.18.</t>
  </si>
  <si>
    <t>DISPONIBLE JUEGOS INTERCOLEGIADOS</t>
  </si>
  <si>
    <t>CONTRATO DE ADMINISTRACIÓN DELEGADA DE RECURSOS PARA LA OPERACIÓN LOGÍSTICA DEL FESTIVAL DEPORTIVO ESCOLAR EN EL VALLE DE ABURRÁ Y LA LOGÍSTICA DE LA PREMIACIÓN PARA LOS JUEGOS ESCOLARES Y CAMPESINOS DE LAS SUBREGIONES DEL DEPARTAMENTO DE ANTIOQUIA (TASA PRODEPORTE)</t>
  </si>
  <si>
    <t>CONTRATO DE ADMINISTRACIÓN DELEGADA DE RECURSOS PARA LA OPERACIÓN LOGÍSTICA DEL FESTIVAL DEPORTIVO ESCOLAR EN EL VALLE DE ABURRÁ Y LA LOGÍSTICA DE LA PREMIACIÓN PARA LOS JUEGOS ESCOLARES Y CAMPESINOS DE LAS SUBREGIONES DEL DEPARTAMENTO DE ANTIOQUIA</t>
  </si>
  <si>
    <t>3.43.4301.51.4-271130.2.3.2.02.02.009.19.</t>
  </si>
  <si>
    <t>44021007-Transferir recursos a 125 municipios</t>
  </si>
  <si>
    <t>3.43.4301.53.4-205617.2.3.3.09.17.</t>
  </si>
  <si>
    <t>DISPONIBLE JUEGOS DEPARTAMENTALES</t>
  </si>
  <si>
    <t>3.43.4301.50.4-271130.2.3.2.02.02.009.20.</t>
  </si>
  <si>
    <t>LINEA PAA</t>
  </si>
  <si>
    <t>CONTRATO</t>
  </si>
  <si>
    <t>OBJETO</t>
  </si>
  <si>
    <t xml:space="preserve">DEPENDENCIA </t>
  </si>
  <si>
    <t xml:space="preserve">MODALIDAD DE CONTRATACIÓN </t>
  </si>
  <si>
    <t xml:space="preserve">TIPO DE CONTRATO </t>
  </si>
  <si>
    <t>CÉDULA O NIT</t>
  </si>
  <si>
    <t xml:space="preserve">HONORARIOS MES </t>
  </si>
  <si>
    <t>VALOR CONTRATO</t>
  </si>
  <si>
    <t xml:space="preserve">OBSERVACIONES </t>
  </si>
  <si>
    <t>NÚMERO COMITÉ</t>
  </si>
  <si>
    <t>SUPERVISOR TITULAR</t>
  </si>
  <si>
    <t xml:space="preserve">DOCUMENTO </t>
  </si>
  <si>
    <t xml:space="preserve">SUPERVISOR SUPLENTE </t>
  </si>
  <si>
    <t>DOCUMENTO</t>
  </si>
  <si>
    <t>CDP</t>
  </si>
  <si>
    <t>FECHA CDP</t>
  </si>
  <si>
    <t>VALOR CDP</t>
  </si>
  <si>
    <t>RCP</t>
  </si>
  <si>
    <t>FECHA RCP</t>
  </si>
  <si>
    <t>VALOR RCP</t>
  </si>
  <si>
    <t xml:space="preserve">FECHA DE FIRMA </t>
  </si>
  <si>
    <t xml:space="preserve">FECHA APROBACIÓN POLIZA </t>
  </si>
  <si>
    <t>FECHA DE INICIO</t>
  </si>
  <si>
    <t xml:space="preserve">FECHA TERMINACIÓN </t>
  </si>
  <si>
    <t>LINK DE PUBLICACIÓN</t>
  </si>
  <si>
    <t xml:space="preserve">PLAZO </t>
  </si>
  <si>
    <t>Prorroga</t>
  </si>
  <si>
    <t>EXPEDIENTE</t>
  </si>
  <si>
    <t xml:space="preserve">RENDIDO </t>
  </si>
  <si>
    <t>Contrato2</t>
  </si>
  <si>
    <t>CONTRATO3DIG</t>
  </si>
  <si>
    <t>Tiempo entre FT y hoy (meses)</t>
  </si>
  <si>
    <t>Fecha Proyectada liquidación</t>
  </si>
  <si>
    <t xml:space="preserve">Fecha Real de liquiidación </t>
  </si>
  <si>
    <t>Estado</t>
  </si>
  <si>
    <t>Pagos</t>
  </si>
  <si>
    <t>%</t>
  </si>
  <si>
    <t>Valor pendiente de ejecutar</t>
  </si>
  <si>
    <t>SUBGERENCIA ADMINISTRATIVA Y FINANCIERA</t>
  </si>
  <si>
    <t xml:space="preserve">PRESTACIÓN DE SERVICIOS </t>
  </si>
  <si>
    <t>EMPRESA PARA LA SEGURIDAD Y SOLUCIONES URBANAS – ESU</t>
  </si>
  <si>
    <t>020</t>
  </si>
  <si>
    <t>HECTOR FABIAN ARROYAVE SANCHEZ</t>
  </si>
  <si>
    <t>DIGNA EMERITA MARTINEZ GARCIA</t>
  </si>
  <si>
    <t>ASEAR SA ESP</t>
  </si>
  <si>
    <t>2 MESES</t>
  </si>
  <si>
    <t xml:space="preserve">EMERMEDICA S.A SERVICIOS DE AMBULANCIA PREPAGADO </t>
  </si>
  <si>
    <t>JOHANNA MARCELA POSADA LLANO</t>
  </si>
  <si>
    <t>LUCY AUDREY BELTRAN ZAMBRANO</t>
  </si>
  <si>
    <t>MAPFRE SEGUROS GENERALES DE COLOMBIA S.A</t>
  </si>
  <si>
    <t>SANDRA MILENA IBARRA  HEREDIA</t>
  </si>
  <si>
    <t>POSITIVA COMPAÑÍA DE SEGUROS S.A</t>
  </si>
  <si>
    <t>025</t>
  </si>
  <si>
    <t>ASEGURADORA SOLIDARIA DE COLOMBIA ENTIDAD COOPERATIVA</t>
  </si>
  <si>
    <t xml:space="preserve">131 DÍAS </t>
  </si>
  <si>
    <t>SUBGERENCIA DE ESCENARIOS DEPORTIVOS Y EQUIPAMIENTOS</t>
  </si>
  <si>
    <t>INTEVENTORIA</t>
  </si>
  <si>
    <t>MUNICIPIOS UNIDOS DEL SUR MUSA</t>
  </si>
  <si>
    <t>026</t>
  </si>
  <si>
    <t>GLORIA CECILIA MONTOYA MONTOYA</t>
  </si>
  <si>
    <t>SUBGERENCIA DE FOMENTO Y DESARROLLO DEPORTIVO</t>
  </si>
  <si>
    <t>EMPRESA DE PARQUES Y EVENTOS DE ANTIOQUIA- ACTIVA</t>
  </si>
  <si>
    <t>Administración delegada recurso a administrar $138,740,378</t>
  </si>
  <si>
    <t>001</t>
  </si>
  <si>
    <t>JUAN MANUEL RAMIREZ  CARDENAS</t>
  </si>
  <si>
    <t>HECTOR HERNAN ARIAS MUNERA</t>
  </si>
  <si>
    <t>https://community.secop.gov.co/Public/Tendering/ContractNoticePhases/View?PPI=CO1.PPI.29147391&amp;isFromPublicArea=True&amp;isModal=False</t>
  </si>
  <si>
    <t xml:space="preserve">12 dias </t>
  </si>
  <si>
    <t>SI</t>
  </si>
  <si>
    <t xml:space="preserve">BRAVO RESTREPO </t>
  </si>
  <si>
    <t>003</t>
  </si>
  <si>
    <t>DIANA MARCELA DULCEY GUTIERREZ</t>
  </si>
  <si>
    <t>GABRIEL  GUILLERMO SIERRA RESTREPO</t>
  </si>
  <si>
    <t>https://community.secop.gov.co/Public/Tendering/ContractNoticePhases/View?PPI=CO1.PPI.29267355&amp;isFromPublicArea=True&amp;isModal=False</t>
  </si>
  <si>
    <t>3 MESES</t>
  </si>
  <si>
    <t xml:space="preserve">ADRIANA MARIA PATIÑO CAMPUZANO </t>
  </si>
  <si>
    <t>VERONICA URREA GALLO</t>
  </si>
  <si>
    <t>FABIAN DARIO ARANGO LOPEZ</t>
  </si>
  <si>
    <t>https://community.secop.gov.co/Public/Tendering/ContractNoticePhases/View?PPI=CO1.PPI.29273866&amp;isFromPublicArea=True&amp;isModal=False</t>
  </si>
  <si>
    <t xml:space="preserve">SORAIDA SOSA GOEZ </t>
  </si>
  <si>
    <t>https://community.secop.gov.co/Public/Tendering/ContractNoticePhases/View?PPI=CO1.PPI.29274316&amp;isFromPublicArea=True&amp;isModal=False</t>
  </si>
  <si>
    <t>OFICINA ASESORA DE PLANEACIÓN</t>
  </si>
  <si>
    <t xml:space="preserve">YANET ADRIANA PENAGOS </t>
  </si>
  <si>
    <t>LUISA FERNANDA GAVIRIA CANO</t>
  </si>
  <si>
    <t>CLAUDIA JANNET SALAZAR ARANGO</t>
  </si>
  <si>
    <t>https://community.secop.gov.co/Public/Tendering/ContractNoticePhases/View?PPI=CO1.PPI.29273482&amp;isFromPublicArea=True&amp;isModal=False</t>
  </si>
  <si>
    <t>ANDRÉS MAURICIO VALENCIA RUIZ</t>
  </si>
  <si>
    <t>https://community.secop.gov.co/Public/Tendering/ContractNoticePhases/View?PPI=CO1.PPI.29273408&amp;isFromPublicArea</t>
  </si>
  <si>
    <t xml:space="preserve">JUAN MANUEL GALVIS </t>
  </si>
  <si>
    <t>ILDA BIBIANA ALVAREZ RUEDA</t>
  </si>
  <si>
    <t>ANDRES FELIPE SALAZAR LOPEZ</t>
  </si>
  <si>
    <t>https://community.secop.gov.co/Public/Tendering/ContractNoticePhases/View?PPI=CO1.PPI.29280616&amp;isFromPublicArea=True&amp;isModal=False</t>
  </si>
  <si>
    <t>PRESTACIÓN DE SERVICIOS PROFESIONALES DE APOYO A LA GESTIÓN ESTRATEGICA, TÁCTICA Y A LOS PLANES INDICATIVOS Y DE ACCIÓN DE LOS PROYECTOS DE LA SUBGERENCIA DE FOMENTO Y DESARROLLO DEPORTIVO.</t>
  </si>
  <si>
    <t xml:space="preserve">HAROLD PULGARIN </t>
  </si>
  <si>
    <t>MONICA MARIA ARENAS SOSA</t>
  </si>
  <si>
    <t>LEIDY SANDRIT ARIZA ZAPATA</t>
  </si>
  <si>
    <t>https://community.secop.gov.co/Public/Tendering/ContractNoticePhases/View?PPI=CO1.PPI.29286435&amp;isFromPublicArea=True&amp;isModal=False</t>
  </si>
  <si>
    <t>VANESSA KAMMERER GUTIERREZ</t>
  </si>
  <si>
    <t>https://community.secop.gov.co/Public/Tendering/ContractNoticePhases/View?PPI=CO1.PPI.29361435&amp;isFromPublicArea=True&amp;isModal=False</t>
  </si>
  <si>
    <t>MANUEL HUMBERTO LOZANO GARCIA</t>
  </si>
  <si>
    <t>https://community.secop.gov.co/Public/Tendering/ContractNoticePhases/View?PPI=CO1.PPI.29359392&amp;isFromPublicArea=True&amp;isModal=False</t>
  </si>
  <si>
    <t>OFICINA DE SISTEMAS E INFORMÁTICA</t>
  </si>
  <si>
    <t>UNE EPM TELECOMUNICACIONES S.A</t>
  </si>
  <si>
    <t>004</t>
  </si>
  <si>
    <t>JULIANA BERMUDEZ HENAO</t>
  </si>
  <si>
    <t>JUAN DIEGO LONDOÑO  TORO</t>
  </si>
  <si>
    <t>https://community.secop.gov.co/Public/Tendering/ContractNoticePhases/View?PPI=CO1.PPI.29344996&amp;isFromPublicArea=True&amp;isModal=False</t>
  </si>
  <si>
    <t>7 meses y 19 dias calendarios</t>
  </si>
  <si>
    <t xml:space="preserve">MAURICIO ALONSO PATIÑO ZAPATA </t>
  </si>
  <si>
    <t>JUAN CARLOS JOHNSON ARISTIZABAL</t>
  </si>
  <si>
    <t>CLAUDIA LILIANA DIAZ OSORIO</t>
  </si>
  <si>
    <t>https://community.secop.gov.co/Public/Tendering/ContractNoticePhases/View?PPI=CO1.PPI.29359516&amp;isFromPublicArea=True&amp;isModal=False</t>
  </si>
  <si>
    <t xml:space="preserve">ZARAH KAMILA LOPEZ VALLEJO </t>
  </si>
  <si>
    <t>MARTA CECILIA GARCIA FRANCO</t>
  </si>
  <si>
    <t>JAIDER ANDRES LONDOÑO  VANEGAS</t>
  </si>
  <si>
    <t>https://community.secop.gov.co/Public/Tendering/ContractNoticePhases/View?PPI=CO1.PPI.29401108&amp;isFromPublicArea=True&amp;isModal=False</t>
  </si>
  <si>
    <t xml:space="preserve">NANCY DEL SOCORRO PALACIO RAMIREZ </t>
  </si>
  <si>
    <t>https://community.secop.gov.co/Public/Tendering/ContractNoticePhases/View?PPI=CO1.PPI.29359614&amp;isFromPublicArea=True&amp;isModal=False</t>
  </si>
  <si>
    <t>SANTIAGO ZAPATA  MARIN</t>
  </si>
  <si>
    <t>ALFONSO NEIRA CASTRO</t>
  </si>
  <si>
    <t>https://community.secop.gov.co/Public/Tendering/ContractNoticePhases/View?PPI=CO1.PPI.29363339&amp;isFromPublicArea=True&amp;isModal=False</t>
  </si>
  <si>
    <t>GINA MARIA LONDOÑO GONZALEZ</t>
  </si>
  <si>
    <t>MARY LUZ ARENAS FORONDA</t>
  </si>
  <si>
    <t>https://community.secop.gov.co/Public/Tendering/ContractNoticePhases/View?PPI=CO1.PPI.29359365&amp;isFromPublicArea=True&amp;isModal=False</t>
  </si>
  <si>
    <t xml:space="preserve">ADRIANA MARIA TABORDA ZAPATA </t>
  </si>
  <si>
    <t>LIBIER DARIO JIMENEZ PEÑA</t>
  </si>
  <si>
    <t>https://community.secop.gov.co/Public/Tendering/ContractNoticePhases/View?PPI=CO1.PPI.29359311&amp;isFromPublicArea=True&amp;isModal=False</t>
  </si>
  <si>
    <t>PRESTACIÓN DE SERVICIOS PROFESIONALES ESPECIALIZADOS EN MATERIA JURIDICA A LA SUBGERENCIA DE DEPORTE ASOCIADO Y ALTOS LOGROS</t>
  </si>
  <si>
    <t>SUBGERENCIA DE DEPORTES ASOCIADO Y ALTOS LOGROS</t>
  </si>
  <si>
    <t>MAURICIO VELASQUEZ CUADROS</t>
  </si>
  <si>
    <t>SEBASTIAN OCAMPO VARGAS</t>
  </si>
  <si>
    <t>ANDRES ROBERTO GOMEZ CASTAÑO</t>
  </si>
  <si>
    <t>https://community.secop.gov.co/Public/Tendering/ContractNoticePhases/View?PPI=CO1.PPI.29366013&amp;isFromPublicArea=True&amp;isModal=False</t>
  </si>
  <si>
    <t xml:space="preserve">ASTRID ELENA CASTAÑO ALZATE </t>
  </si>
  <si>
    <t>JAIRO DE JESUS JIMENEZ MORENO</t>
  </si>
  <si>
    <t>https://community.secop.gov.co/Public/Tendering/ContractNoticePhases/View?PPI=CO1.PPI.29362265&amp;isFromPublicArea=True&amp;isModal=False</t>
  </si>
  <si>
    <t xml:space="preserve">ANDRES FELIPE SANCHEZ </t>
  </si>
  <si>
    <t>ALEJANDRO   NAVARRO RINCON</t>
  </si>
  <si>
    <t>https://community.secop.gov.co/Public/Tendering/ContractNoticePhases/View?PPI=CO1.PPI.29400331&amp;isFromPublicArea=True&amp;isModal=False</t>
  </si>
  <si>
    <t>MIRIAM DEL SOCORRO GOMEZ JIMENEZ</t>
  </si>
  <si>
    <t>https://community.secop.gov.co/Public/Tendering/ContractNoticePhases/View?PPI=CO1.PPI.29397701&amp;isFromPublicArea=True&amp;isModal=False</t>
  </si>
  <si>
    <t xml:space="preserve">VICTOR HUGO SIERRA </t>
  </si>
  <si>
    <t>IVAN DARIO GRAJALES VELEZ</t>
  </si>
  <si>
    <t>https://community.secop.gov.co/Public/Tendering/ContractNoticePhases/View?PPI=CO1.PPI.29398164&amp;isFromPublicArea=True&amp;isModal=False}</t>
  </si>
  <si>
    <t>ANDRES FELIPE MUÑOZ</t>
  </si>
  <si>
    <t>DAVID TORRES MUÑOZ</t>
  </si>
  <si>
    <t>https://community.secop.gov.co/Public/Tendering/ContractNoticePhases/View?PPI=CO1.PPI.29417632&amp;isFromPublicArea=True&amp;isModal=False</t>
  </si>
  <si>
    <t>OFICINA DE MEDICINA DEPORTIVA</t>
  </si>
  <si>
    <t>ANA MARIA CASTAÑO OCHOA</t>
  </si>
  <si>
    <t>JULIANA PELAEZ GONZALEZ</t>
  </si>
  <si>
    <t>OSCAR MARIO CARDONA ARENAS</t>
  </si>
  <si>
    <t>https://community.secop.gov.co/Public/Tendering/ContractNoticePhases/View?PPI=CO1.PPI.29446956&amp;isFromPublicArea=True&amp;isModal=False</t>
  </si>
  <si>
    <t xml:space="preserve">ADICIÓN Y PRORROGA </t>
  </si>
  <si>
    <t>023</t>
  </si>
  <si>
    <t>LAURA VICTORIA COLORADO</t>
  </si>
  <si>
    <t>NICANOR ALONSO MUÑOZ AGUIRRE</t>
  </si>
  <si>
    <t>https://community.secop.gov.co/Public/Tendering/ContractNoticePhases/View?PPI=CO1.PPI.29447818&amp;isFromPublicArea=True&amp;isModal=False</t>
  </si>
  <si>
    <t xml:space="preserve">PABLO ANDRES URIBE CALLE </t>
  </si>
  <si>
    <t>MANUEL ANTONIO RODRIGUEZ PEREZ</t>
  </si>
  <si>
    <t>https://community.secop.gov.co/Public/Tendering/ContractNoticePhases/View?PPI=CO1.PPI.29446487&amp;isFromPublicArea=True&amp;isModal=False</t>
  </si>
  <si>
    <t>ADA S.A.S</t>
  </si>
  <si>
    <t>006</t>
  </si>
  <si>
    <t>https://community.secop.gov.co/Public/Tendering/OpportunityDetail/Index?noticeUID=CO1.NTC.5547650&amp;isFromPublicArea=True&amp;isModal=False</t>
  </si>
  <si>
    <t>7 MESES</t>
  </si>
  <si>
    <t>JOHANA PATRICIA RAMIREZ ARGUMEDO</t>
  </si>
  <si>
    <t>https://community.secop.gov.co/Public/Tendering/ContractNoticePhases/Vi ew?PPI=CO1.PPI.29591164&amp;isFromPublicArea=True&amp;isModal=False</t>
  </si>
  <si>
    <t>GABRIEL ANTONIO MONSALVE CASTRILLON</t>
  </si>
  <si>
    <t>https://community.secop.gov.co/Public/Tendering/OpportunityDetail/Index?noticeUID=CO1.NTC.5557839&amp;isFromPublicArea=True&amp;isModal=False</t>
  </si>
  <si>
    <t>OFICINA ASESORA DE COMUNICACIONES</t>
  </si>
  <si>
    <t xml:space="preserve">LAURA QUIÑONES VILLEGAS </t>
  </si>
  <si>
    <t>Gastos de desplazamiento de $4,552,064</t>
  </si>
  <si>
    <t>ANDRES ESTEBAN MARIN MARIN</t>
  </si>
  <si>
    <t>https://community.secop.gov.co/Public/Tendering/ContractNoticePhases/View?PPI=CO1.PPI.29575324&amp;isFromPublicArea=True&amp;isModal=False</t>
  </si>
  <si>
    <t>11 MESES</t>
  </si>
  <si>
    <t>SANTIAGO AGUILAR RIOS</t>
  </si>
  <si>
    <t>https://community.secop.gov.co/Public/Tendering/OpportunityDetail/Index?noticeUID=CO1.NTC.5566202&amp;isFromPublicArea=True&amp;isModal=False</t>
  </si>
  <si>
    <t xml:space="preserve">OFICINA DE SISTEMAS E INFORMÁTICA </t>
  </si>
  <si>
    <t xml:space="preserve">SERVISOFT S.A. </t>
  </si>
  <si>
    <t>009</t>
  </si>
  <si>
    <t>WANNER   MILLER MORENO</t>
  </si>
  <si>
    <t>https://community.secop.gov.co/Public/Tendering/ContractNoticePh ases/View?PPI=CO1.PPI.29803067&amp;isFromPublicArea=True&amp;isModa l=False</t>
  </si>
  <si>
    <t>10 MESES Y 24 DIAS</t>
  </si>
  <si>
    <t>PRESTACIÓN DE SERVICIOS PROFESIONALES PARA ACOMPAÑAR LA GESTIÓN ADMINISTRATIVA DE LOS PROCESOS TÉCNICO, METODOLÓGICO DE LA SUBGERENCIA DE DEPORTE ASOCIADO Y ALTOS LOGROS</t>
  </si>
  <si>
    <t xml:space="preserve">LEONARDO ALEXIS HIGUITA HERNANDEZ </t>
  </si>
  <si>
    <t>https://community.secop.gov.co/Public/Tendering/ContractNoticePhases/View?PPI=CO1.PPI.29808498&amp;isFromPublicArea=True&amp;isModal=False</t>
  </si>
  <si>
    <t>6 MESES</t>
  </si>
  <si>
    <t>PRESTACIÓN DE SERVICIOS PROFESIONALES PARA EL ACOMPAÑAMIENTO ADMINISTRATIVO Y FINANCIERO EN EL SEGUIMIENTO DE LOS PROGRAMAS, PROYECTOS, CONTRATOS Y/O CONVENIOS SUSCRITOS POR LA SUBGERENCIA DE DEPORTE ASOCIADO Y ALTOS LOGROS</t>
  </si>
  <si>
    <t>https://community.secop.gov.co/Public/Tendering/ContractNoticePhases/View?PPI=CO1.PPI.29809056&amp;isFromPublicArea=True&amp;isModal=False</t>
  </si>
  <si>
    <t>PRESTACIÓN DE SERVICIOS DE APOYO A LA GESTIÓN DE INFORMACIÓN DE LOS ATLETAS Y PARA ATLETAS APOYADOS A TRAVÉS DE LOS DIFERENTES PROGRAMAS DE LA SUBGERENCIA DE DEPORTE ASOCIADO Y ALTOS LOGROS.</t>
  </si>
  <si>
    <t xml:space="preserve">DARLIN VANESA OTALVARO MONTOYA </t>
  </si>
  <si>
    <t>BETSY JOHANNA OCAMPO MILLAN</t>
  </si>
  <si>
    <t>LUZ VERONICA ARBOLEDA GOMEZ</t>
  </si>
  <si>
    <t>https://community.secop.gov.co/Public/Tendering/ContractNoticePhases/View?PPI=CO1.PPI.29809482&amp;isFromPublicArea=True&amp;isModal=False</t>
  </si>
  <si>
    <t>PRESTACIÓN DE SERVICIOS DE APOYO A LA GESTIÓN PARA EL ACOMPAÑAMIENTO ADMINISTRATIVO EN LA GESTIÓN DE LA INFORMACIÓN EN LAS DIFERENTES PLATAFORMAS UTILIZADAS EN LA SUBGERENCIA DE DEPORTE ASOCIADO Y ALTOS LOGROS.</t>
  </si>
  <si>
    <t>https://community.secop.gov.co/Public/Tendering/ContractNoticePhases/View?PPI=CO1.PPI.29809566&amp;isFromPublicArea=True&amp;isModal=False</t>
  </si>
  <si>
    <t xml:space="preserve">LUIS MIGUEL CUENCA MONTOYA </t>
  </si>
  <si>
    <t>https://community.secop.gov.co/Public/Tendering/ContractNoticePhases/View?PPI=CO1.PPI.29844060&amp;isFromPublicArea=True&amp;isModal=False</t>
  </si>
  <si>
    <t xml:space="preserve">RICARDO PINZON MUÑOZ </t>
  </si>
  <si>
    <t>https://community.secop.gov.co/Public/Tendering/ContractNoticePhases/View?PPI=CO1.PPI.29849604&amp;isFromPublicArea=True&amp;isModal=False</t>
  </si>
  <si>
    <t xml:space="preserve">LUIS FERNANDO LOPERA MORALES </t>
  </si>
  <si>
    <t>JUAN DAVID MARIN OSSA</t>
  </si>
  <si>
    <t xml:space="preserve">ANA MARIA LOPERA RINCON </t>
  </si>
  <si>
    <t xml:space="preserve">DEISY VERONICA MAZO GARCES </t>
  </si>
  <si>
    <t xml:space="preserve">MÓNICA VIVIANA OSPINA OROZCO </t>
  </si>
  <si>
    <t xml:space="preserve">JUAN DAVID CASTAÑEDA TOBÓN </t>
  </si>
  <si>
    <t xml:space="preserve">DAVID ALONSO SANCHEZ POSADA </t>
  </si>
  <si>
    <t xml:space="preserve">JAIME ORLANDO HOYOS ISAZA </t>
  </si>
  <si>
    <t xml:space="preserve">WILMAR JADER VALENCIA MONSALVE </t>
  </si>
  <si>
    <t xml:space="preserve">JORGE IGNACIO RUIZ GUTIERREZ </t>
  </si>
  <si>
    <t>EDWIN JOVANNY MENESES QUINTERO</t>
  </si>
  <si>
    <t xml:space="preserve">DIEGO ALBERTO MONTOYA GOMEZ </t>
  </si>
  <si>
    <t>JOHN ALEXANDER ALCARAZ CERON</t>
  </si>
  <si>
    <t xml:space="preserve">JUAN CARLOS OSPINA RUIZ </t>
  </si>
  <si>
    <t xml:space="preserve">JUAN DAVID ACEVEDO FLOREZ </t>
  </si>
  <si>
    <t xml:space="preserve">IVAN HUMBERTO GERMAN ALVAREZ </t>
  </si>
  <si>
    <t>https://community.secop.gov.co/Public/Tendering/OpportunityDetail/Index?noticeUID=CO1.NTC.5641606&amp;isFromPublicArea=True&amp;isModal=False</t>
  </si>
  <si>
    <t xml:space="preserve">RUBEN DARIO ARROYAVE RESTREPO </t>
  </si>
  <si>
    <t>JUAN DIEGO DIEZ GONZALEZ</t>
  </si>
  <si>
    <t xml:space="preserve">OSCAR ALONSO ZULUAGA HERNANDEZ </t>
  </si>
  <si>
    <t xml:space="preserve">EDGAR MOSQUERA PALACIOS </t>
  </si>
  <si>
    <t xml:space="preserve">JOHANA MARCELA ARAQUE MEJIA </t>
  </si>
  <si>
    <t xml:space="preserve">DIONI ESTEBAN SÁNCHEZ DIOSA </t>
  </si>
  <si>
    <t xml:space="preserve">JUAN CARLOS MUÑOZ AGUDELO </t>
  </si>
  <si>
    <t xml:space="preserve">JUAN PABLO PEREZ MEDINA </t>
  </si>
  <si>
    <t>MARIA PATRICIA HENAO ECHEVERRI</t>
  </si>
  <si>
    <t xml:space="preserve">MONICA MARIA CORTINEZ BEDOYA </t>
  </si>
  <si>
    <t>SERGIO HERNANDEZ URANGO</t>
  </si>
  <si>
    <t>WILLIAM ALONSO OSORIO SOSA</t>
  </si>
  <si>
    <t xml:space="preserve">MANUEL ARTURO MONCADA BETANCUR </t>
  </si>
  <si>
    <t xml:space="preserve">JEISSON STIVEN OCAMPO VANEGAS </t>
  </si>
  <si>
    <t>LUZ ADRIANA GOMEZ ARBELAEZ</t>
  </si>
  <si>
    <t xml:space="preserve">105 DÍAS </t>
  </si>
  <si>
    <t>ANGEL HORACIO BARRIOS HERNANDEZ</t>
  </si>
  <si>
    <t xml:space="preserve">CESIÓN DE CONTRATO </t>
  </si>
  <si>
    <t>028</t>
  </si>
  <si>
    <t xml:space="preserve">75 DÍAS </t>
  </si>
  <si>
    <t>YEISON ALEJANDRO  HINESTROZA PARRA</t>
  </si>
  <si>
    <t xml:space="preserve">CRISTINA RAMIREZ MORALES </t>
  </si>
  <si>
    <t xml:space="preserve">DIEGO ALEXANDER LOPERA GIRALDO </t>
  </si>
  <si>
    <t>CARLOS JOVANNY GARCIA CORDOBA</t>
  </si>
  <si>
    <t>DANIEL CHAVERRA CHANCY</t>
  </si>
  <si>
    <t xml:space="preserve">LUIS JHONLEY MOSQUERA MURILLO </t>
  </si>
  <si>
    <t xml:space="preserve">LIBARDO ANTONIO HOYOS CARMONA </t>
  </si>
  <si>
    <t>NASLI PEREA</t>
  </si>
  <si>
    <t xml:space="preserve">RAUL DIAZ QUEJADA </t>
  </si>
  <si>
    <t xml:space="preserve">REGLA SANDRINO IZQUIERDO </t>
  </si>
  <si>
    <t xml:space="preserve">HERNAN ALONSO OSORIO ESTRADA </t>
  </si>
  <si>
    <t xml:space="preserve">LUIS ALFONSO VARELA </t>
  </si>
  <si>
    <t xml:space="preserve">YEFFERSON CORREA CANO </t>
  </si>
  <si>
    <t xml:space="preserve">JOHN ALEXANDER HOYOS OCAMPO </t>
  </si>
  <si>
    <t xml:space="preserve">CESAR AUGUSTO ARIAS TORO </t>
  </si>
  <si>
    <t>MOISES ALFREDO REQUEÑA PINA</t>
  </si>
  <si>
    <t xml:space="preserve">EMANUEL HOYOS VICTORIA </t>
  </si>
  <si>
    <t xml:space="preserve">IVAN DE JESUS  DUQUE ARANGO </t>
  </si>
  <si>
    <t>JOSE MIGUEL DUQUE ARANGO</t>
  </si>
  <si>
    <t>JONATHAN NICOLAS SIERRA RAMIREZ</t>
  </si>
  <si>
    <t>https://community.secop.gov.co/Public/Tendering/ContractNoticePhases/View?PPI=CO1.PPI.29849604&amp;isFromPublicArea</t>
  </si>
  <si>
    <t xml:space="preserve">JUAN DAVID CORTES AGUDELO </t>
  </si>
  <si>
    <t>OSCAR WILLINTONG ORTIZ VELASQUEZ</t>
  </si>
  <si>
    <t>ABELARDO PARRA LEMOS</t>
  </si>
  <si>
    <t>BEIBIS ANTONIO MENDOZA POLO</t>
  </si>
  <si>
    <t>VICTOR MANUEL ALBORNOZ MENA</t>
  </si>
  <si>
    <t>CAROLINA ACEVEDO JIMENEZ</t>
  </si>
  <si>
    <t>JULIO YOANDI PEREZ MARTINEZ</t>
  </si>
  <si>
    <t>SHARA STEFANIA MUNERA PULGARIN</t>
  </si>
  <si>
    <t xml:space="preserve">DIANA MARIA URAN SALAZAR </t>
  </si>
  <si>
    <t>DIEGO FERNANDO GOMEZ VANEGAS</t>
  </si>
  <si>
    <t>JUAN FERNANDO MESA RIVERA</t>
  </si>
  <si>
    <t>CESAR ARNOLFO DELGADO ALARCON</t>
  </si>
  <si>
    <t>JOSE NEBER ARIAS MENDEZ</t>
  </si>
  <si>
    <t>DIANA CAROLINA SALDARRIAGA BUSTAMANTE</t>
  </si>
  <si>
    <t xml:space="preserve">MAURICIO GIRALDO VILLA </t>
  </si>
  <si>
    <t xml:space="preserve">RICHARD LEON VIZCAYA </t>
  </si>
  <si>
    <t>VISA HASTA EL 25 DE ABRIL DE 2024</t>
  </si>
  <si>
    <t>2 MESES Y 10 DIAS</t>
  </si>
  <si>
    <t>WALTER SALDARRIAGA MONSALVE</t>
  </si>
  <si>
    <t xml:space="preserve">TATIANA LEON VALENCIA </t>
  </si>
  <si>
    <t xml:space="preserve">DIEGO ANDRÉS POSADA GIRALDO </t>
  </si>
  <si>
    <t xml:space="preserve">JUAN SEBASTIAN GIRALDO RAMIREZ </t>
  </si>
  <si>
    <t>DAVID ORLANDO JARAMILLO GOMEZ</t>
  </si>
  <si>
    <t xml:space="preserve">YEFREY ALEJANDRO JARAMILLO CEBALLOS </t>
  </si>
  <si>
    <t xml:space="preserve">PEDRO MANUEL HERNANDEZ </t>
  </si>
  <si>
    <t xml:space="preserve">JAIRO ANIBAL COSSIO ZAPATA </t>
  </si>
  <si>
    <t xml:space="preserve">JUAN FRANCISCO RUIZ MORELOS </t>
  </si>
  <si>
    <t xml:space="preserve">LUIS CARLOS SANTAMARIA OSUNA </t>
  </si>
  <si>
    <t xml:space="preserve">MARTHA CECILIA PEMBERTY </t>
  </si>
  <si>
    <t xml:space="preserve">JONATHAN ALBERTO OJEDA LEÓN </t>
  </si>
  <si>
    <t>RONALD LUNA PARTERNINA</t>
  </si>
  <si>
    <t>BENJAMIN DE JESUS LAVERDE SEGURO</t>
  </si>
  <si>
    <t xml:space="preserve">CESAR AUGUSTO ACEVEDO ARANGO </t>
  </si>
  <si>
    <t xml:space="preserve">HECTOR HERNANDO PEREZ MUÑOZ </t>
  </si>
  <si>
    <t>JOHN JAIME GONZALEZ JIMENEZ</t>
  </si>
  <si>
    <t xml:space="preserve">JORGE WILSON JARAMILLO CEBALLOS </t>
  </si>
  <si>
    <t xml:space="preserve">CARLOS ALBERTO OROZCO SÁNCHEZ </t>
  </si>
  <si>
    <t>CLAUDIA ANDREA ARENAS CASTAÑO</t>
  </si>
  <si>
    <t>OSCAR ALIRIO URREGO CARTAGENA</t>
  </si>
  <si>
    <t>FREDY JOSE BARON MUÑOZ</t>
  </si>
  <si>
    <t xml:space="preserve">MONICA MARIA PICON VALENCIA </t>
  </si>
  <si>
    <t>JAIME ALONSO RESTREPO ESTRADA</t>
  </si>
  <si>
    <t>ANGEL AUGUSTO ARRIETA ARTEAGA</t>
  </si>
  <si>
    <t xml:space="preserve">EMMANUEL VELÁSQUEZ ALZATE </t>
  </si>
  <si>
    <t xml:space="preserve">MARIA CAMILA CRESPO SALAZAR </t>
  </si>
  <si>
    <t xml:space="preserve">JOSE FERNANDO GOMEZ GIRALDO </t>
  </si>
  <si>
    <t>https://community.secop.gov.co/Public/Tendering/ContractNoticePhases/View?PPI=CO1.PPI.22840093&amp;isFromPublicArea=True&amp;isModal=False</t>
  </si>
  <si>
    <t xml:space="preserve">ALVARO DUBAN MUÑOZ ECHEVERRI </t>
  </si>
  <si>
    <t>JUAN RUEDA VARGAS</t>
  </si>
  <si>
    <t xml:space="preserve">URIEL GIL RENDON </t>
  </si>
  <si>
    <t xml:space="preserve">JOHN ALEJANDRO MACIAS GIL </t>
  </si>
  <si>
    <t>MIGUEL ANGEL ORTIZ MORENO</t>
  </si>
  <si>
    <t xml:space="preserve">JAIR MANUEL GIL DIAZ </t>
  </si>
  <si>
    <t xml:space="preserve">DIEGO ALEJANDRO MEDINA GOMEZ </t>
  </si>
  <si>
    <t>KATISH HIDARI RECALDE CAMPOS</t>
  </si>
  <si>
    <t xml:space="preserve">LAISY FONSECA RAMIREZ </t>
  </si>
  <si>
    <t xml:space="preserve">LEONARDO FABIO GONZALEZ GARCIA </t>
  </si>
  <si>
    <t xml:space="preserve">JUAN CARLOS MONTOYA URIBE </t>
  </si>
  <si>
    <t>DAVID FELIPE CONTRERAS CONTRERAS</t>
  </si>
  <si>
    <t xml:space="preserve">JUAN CAMILO CARDENAS ZAPATA </t>
  </si>
  <si>
    <t xml:space="preserve">ANYELA MARCELA RIVAS MORENO </t>
  </si>
  <si>
    <t>LUIS ESTEBAN AGUIRRE ESTRADA</t>
  </si>
  <si>
    <t xml:space="preserve">HENRY JOHNADER PANESSO RIVERA </t>
  </si>
  <si>
    <t xml:space="preserve">ESTEBAN ALBERTO VALDERRAMA QUICEÑO </t>
  </si>
  <si>
    <t>DAVID ARENAS VANEGAS</t>
  </si>
  <si>
    <t>JUAN CARLOS BARCO CARDONA</t>
  </si>
  <si>
    <t>JUAN FRANCISCO MENDEZ PARDO</t>
  </si>
  <si>
    <t xml:space="preserve">IVAN ALEJANDRO VARGAS LOPERA </t>
  </si>
  <si>
    <t>si</t>
  </si>
  <si>
    <t xml:space="preserve">ADICIÓN AL CONTRATO </t>
  </si>
  <si>
    <t xml:space="preserve">OSCAR ALEJANDRO RIVERA BUITRAGO </t>
  </si>
  <si>
    <t xml:space="preserve">SEBASTIAN MONTOYA ARANGO </t>
  </si>
  <si>
    <t>https://community.secop.gov.co/Public/Tendering/OpportunityDetail/Index?noticeUID=CO1.NTC.5641195&amp;isFromPublicArea=True&amp;isModal=False</t>
  </si>
  <si>
    <t>SULMA SHIRLEY LAGUAN CUBIDES</t>
  </si>
  <si>
    <t xml:space="preserve">SANTIAGO MONTOYA ARTEAGA </t>
  </si>
  <si>
    <t>https://community.secop.gov.co/Public/Tendering/ContractNoticePhases/View?PPI=CO1.PPI.29844060&amp;isFromPublicArea</t>
  </si>
  <si>
    <t>FREDY ALEXANDER URIBE HENAO</t>
  </si>
  <si>
    <t>DIEGO ALEJANCRO TORRES TORRES</t>
  </si>
  <si>
    <t xml:space="preserve">SERGIO ANDRES GIRALDO ARISTIZABAL </t>
  </si>
  <si>
    <t xml:space="preserve">CARLOS ENRIQUE PLATA BUSTAMANTE </t>
  </si>
  <si>
    <t xml:space="preserve">DIANA MARCELA AGUASACO RABA </t>
  </si>
  <si>
    <t>PRESTACIÓN DE SERVICIOS PROFESIONALES ESPECIALIZADOS EN MATERIA JURÍDICA PARA APOYAR LOS PROCESOS DE INDEPORTES ANTIOQUIA</t>
  </si>
  <si>
    <t>ESPERANZA PEÑARANDA PINEDA</t>
  </si>
  <si>
    <t>MARIA TERESA DE GUADALUPE MUÑOZ JARAMILLO</t>
  </si>
  <si>
    <t>JAINE ESTHER TOVAR AMADOR</t>
  </si>
  <si>
    <t>https://community.secop.gov.co/Public/Tendering/ContractNoticePhases/View?PPI=CO1.PPI.29875682&amp;isFromPublicArea=True&amp;isModal=False</t>
  </si>
  <si>
    <t xml:space="preserve">ANDRES JULIAN LONDOÑO </t>
  </si>
  <si>
    <t>CLAUDIA  PATRICIA VELEZ ESCOBAR</t>
  </si>
  <si>
    <t>https://community.secop.gov.co/Public/Tendering/ContractNoticePhases/View?PPI=CO1.PPI.29926597&amp;isFromPublicArea=True&amp;isModal=False</t>
  </si>
  <si>
    <t xml:space="preserve">FEDERICO SERNA CARDONA </t>
  </si>
  <si>
    <t>https://community.secop.gov.co/Public/Tendering/ContractNoticePhases/View?PPI=CO1.PPI.29906724&amp;isFromPublicArea=True&amp;isModal=False</t>
  </si>
  <si>
    <t>PRESTACIÓN DE SERVICIOS PROFESIONALES COMO APOYO A LA GESTIÓN AMBIENTAL DE LOS PROYECTOS DE LA SUBGERENCIA DE ESCENARIOS DEPORTIVOS Y EQUIPAMIENTOS DE INDEPORTES ANTIOQUIA.</t>
  </si>
  <si>
    <t>MARIA ALEJANDRA RENDON CORREA</t>
  </si>
  <si>
    <t>https://community.secop.gov.co/Public/Tendering/ContractNoticePhases/View?PPI=CO1.PPI.30029097&amp;isFromPublicArea=True&amp;isModal=False</t>
  </si>
  <si>
    <t xml:space="preserve">ADICIÓN AL CONTRATO
Desplazamiento  </t>
  </si>
  <si>
    <t>027</t>
  </si>
  <si>
    <t>APOYO AL PROCESO DE PLANEACIÓN Y DE EJECUCIÓN DEL SISTEMA DE CAPACITACIÓN DE INDEPORTES ANTIOQUIA MEDIANTE EL ACOMPAÑAMIENTO Y SEGUIMIENTO DEL PLAN Y AGENDA DE CAPACITACIÓN PARA EL AÑO 2024.</t>
  </si>
  <si>
    <t xml:space="preserve">LENIS SORELY SUAREZ TOBON </t>
  </si>
  <si>
    <t>gastos de desplazamiento de $4,500,000</t>
  </si>
  <si>
    <t>https://community.secop.gov.co/Public/Tendering/ContractNoticePhases/View?PPI=CO1.PPI.30232655&amp;isFromPublicArea=True&amp;isModal=False</t>
  </si>
  <si>
    <t xml:space="preserve">JUAN DANIEL MOSQUERA PALACIO </t>
  </si>
  <si>
    <t xml:space="preserve">TERMINADO ANTICIPADAMENTE </t>
  </si>
  <si>
    <t>MARTHA CECILIA CARMONA GALLEGO</t>
  </si>
  <si>
    <t xml:space="preserve">JHON MARIO NONSOQUE GARCIA </t>
  </si>
  <si>
    <t>https://community.secop.gov.co/Public/Tendering/ContractNoticePhases/View?PPI=CO1.PPI.30060302&amp;isFromPublicArea=True&amp;isModal=False</t>
  </si>
  <si>
    <t xml:space="preserve">MARIA CRISTINA OSORIO FRANCO </t>
  </si>
  <si>
    <t>CATALINA VASQUEZ RAMIREZ</t>
  </si>
  <si>
    <t>https://community.secop.gov.co/Public/Tendering/ContractNoticePhases/View?PPI=CO1.PPI.29982289&amp;isFromPublicArea=True&amp;isModal=False</t>
  </si>
  <si>
    <t xml:space="preserve">JULIAN DAVID OSPINA OSPINA </t>
  </si>
  <si>
    <t>gastos de desplazamiento $5,000,0000</t>
  </si>
  <si>
    <t>LUZ ELENA MARIN OCAMPO</t>
  </si>
  <si>
    <t>HECTOR ABAD CUERVO CAÑOLA</t>
  </si>
  <si>
    <t>https://community.secop.gov.co/Public/Tendering/ContractNoticePhases/View?PPI=CO1.PPI.30060263&amp;isFromPublicArea=True&amp;isModal=False</t>
  </si>
  <si>
    <t>JUAN CAMILO VARGAS BERMUDEZ</t>
  </si>
  <si>
    <t>https://community.secop.gov.co/Public/Tendering/ContractNoticePhases/View?PPI=CO1.PPI.29996749&amp;isFromPublicArea=True&amp;isModal=False</t>
  </si>
  <si>
    <t>SEBASTIAN MOLINA BERMUDEZ</t>
  </si>
  <si>
    <t>BEATRIZ ELENA RESTREPO VASQUEZ</t>
  </si>
  <si>
    <t>https://community.secop.gov.co/Public/Tendering/ContractNoticePhases/View?PPI=CO1.PPI.30070787&amp;isFromPublicArea=True&amp;isModal=False</t>
  </si>
  <si>
    <t xml:space="preserve">OSCAR ALEJANDRO OSPINA BOHORQUEZ </t>
  </si>
  <si>
    <t>gastos de desplazamiento $12,000,000</t>
  </si>
  <si>
    <t>https://community.secop.gov.co/Public/Tendering/OpportunityDetail/Index?noticeUID=CO1.NTC.5752811&amp;isFromPublicArea=True&amp;isModal=False</t>
  </si>
  <si>
    <t xml:space="preserve">PRESTACIÓN DE SERVICIOS PROFESIONALES ESPECIALIZDOS COMO APOYO A LA GESTION PARA LA PROMOCIÓN Y EJECUCIÓN DE LOS JUEGOS DEPORTIVOS INSTITUCIONALES EN EL DEPARTAMENTO DE ANTIOQUIA </t>
  </si>
  <si>
    <t xml:space="preserve">TATIANA LEANY GOMEZ JARAMILLO </t>
  </si>
  <si>
    <t>gastos de desplazamiento $10,000,000</t>
  </si>
  <si>
    <t>CESAR AUGUSTO FRANCO LONDOÑO</t>
  </si>
  <si>
    <t>https://community.secop.gov.co/Public/Tendering/ContractNoticePhases/View?PPI=CO1.PPI.30069120&amp;isFromPublicArea=True&amp;isModal=False</t>
  </si>
  <si>
    <t>ANA MILENA BERNAL GOMEZ</t>
  </si>
  <si>
    <t>https://community.secop.gov.co/Public/Tendering/ContractNoticePhases/View?PPI=CO1.PPI.30084179&amp;isFromPublicArea=True&amp;isModal=False</t>
  </si>
  <si>
    <t xml:space="preserve">SANDRA MABEL SALAZAR ACEVEDO </t>
  </si>
  <si>
    <t>gastos de desplazamiento $14,000,000</t>
  </si>
  <si>
    <t>https://community.secop.gov.co/Public/Tendering/ContractNoticePhases/View?PPI=CO1.PPI.30214224&amp;isFro mPublicArea=True&amp;isModal=False</t>
  </si>
  <si>
    <t>JOHN JAIRO GUZMAN BENITEZ</t>
  </si>
  <si>
    <t>OSCAR MAURICIO BADILLO LIZARRALDE</t>
  </si>
  <si>
    <t>https://community.secop.gov.co/Public/Tendering/ContractNoticePhases/View?PPI=CO1.PPI.30085191&amp;isFromPublicArea=True&amp;isModal=False</t>
  </si>
  <si>
    <t>6 meses</t>
  </si>
  <si>
    <t>GLADIS MARGOT VADOS CORAL</t>
  </si>
  <si>
    <t>https://community.secop.gov.co/Public/Tendering/ContractNoticePhases/View?PPI=CO1.PPI.30090741&amp;isFromPublicArea=True&amp;isModal=False</t>
  </si>
  <si>
    <t>PRESTACIÓN DE SERVICIOS PROFESIONALES COMO APOYO A LA GESTIÓN PARA LA PROMOCIÓN Y EJECUCIÓN DEL COMPONENTE DE NUTRICIÓN DEL PROGRAMA "POR SU SALUD MUEVASE PUES"+C187</t>
  </si>
  <si>
    <t>DORA NANCY MARULANDA DIAZ</t>
  </si>
  <si>
    <t>Gastos de desplazamiento 
$12,000,000</t>
  </si>
  <si>
    <t>JOSE RAMIRO PALACIO ARANGO</t>
  </si>
  <si>
    <t>JHON JAIRO VELASQUEZ BORJA</t>
  </si>
  <si>
    <t>https://community.secop.gov.co/Public/Tendering/OpportunityDetail/Index?noticeUID=CO1.NTC.5730533&amp;isFromPublicArea=True&amp;isModal=False</t>
  </si>
  <si>
    <t>7 meses</t>
  </si>
  <si>
    <t xml:space="preserve">CECILIA ALZATE GOMEZ </t>
  </si>
  <si>
    <t>https://community.secop.gov.co/Public/Tendering/ContractNoticePhases/View?PPI=CO1.PPI.30099373&amp;isFromPublicArea=True&amp;isModal=False</t>
  </si>
  <si>
    <t xml:space="preserve">RENTING DE ANTIOQUIA </t>
  </si>
  <si>
    <t>013</t>
  </si>
  <si>
    <t>https://community.secop.gov.co/Public/Tendering/OpportunityDetail/Index?noticeUID=CO1.NTC.5759383&amp;isFromPublicArea=True&amp;isModal=False</t>
  </si>
  <si>
    <t>10 MESES</t>
  </si>
  <si>
    <t>ANA MARIA SERNA SORA</t>
  </si>
  <si>
    <t>https://community.secop.gov.co/Public/Tendering/ContractNoticePhases/View?PPI=CO1.PPI.30154945&amp;isFromPublicArea=True&amp;isModal=False</t>
  </si>
  <si>
    <t>PRESTACIÓN DE SERVICIOS PROFESIONALES COMO APOYO A LA GESTIÓN PARA LA PROMOCIÓN Y EJECUCIÓN DEL PROGRAMA DE ESCUELAS DE DEPORTE FORMATIVO EN LAS SUBREGIONES DEL DEPARTAMENTO DE ANTIOQUIA, ENFATIZANDO EN LA PLANEACIÓN DEL ENTRENAMIENTO DE LA FUERZA EN EDADES TEMPRANAS</t>
  </si>
  <si>
    <t xml:space="preserve">ALEJANDRO RODRIGUEZ HENAO </t>
  </si>
  <si>
    <t>gastos de desplazamiento $9,800,000</t>
  </si>
  <si>
    <t>NELSON AUGUSTO HERNANDEZ DIAZ</t>
  </si>
  <si>
    <t>https://community.secop.gov.co/Public/Tendering/OpportunityDetail/Index?noticeUID=CO1.NTC.5747426&amp;isFromPublicArea=True&amp;isModal=False</t>
  </si>
  <si>
    <t xml:space="preserve">MARISOL CABALLERO FONTECHA </t>
  </si>
  <si>
    <t>https://community.secop.gov.co/Public/Tendering/OpportunityDetail/Index?noticeUID=CO1.NTC.5770438&amp;isFromPublicArea=True&amp;isModal=False</t>
  </si>
  <si>
    <t>PRESTACION DE SERVICIOS PROFESIONALES COMO APOYO A LA GESTIÓN PARA LA PLANEACIÓN, EJECUCIÓN Y ACOMPAÑAMIENTO A LOS MUNICIPIOS EN EL DESARROLLO DE LOS JUEGOS DEPORTIVOS INSTITUCIONALES EN LA SUBREGION DEL ORIENTE EN EL DEPARTAMENTO DE ANTIOQUIA</t>
  </si>
  <si>
    <t>EDWIN ALBERTO SALAZAR HERRERA</t>
  </si>
  <si>
    <t>https://community.secop.gov.co/Public/Tendering/ContractNoticePh ases/View?PPI=CO1.PPI.30308814&amp;isFromPublicArea=True&amp;isModa l=False</t>
  </si>
  <si>
    <t>9 MESES</t>
  </si>
  <si>
    <t xml:space="preserve">LEIDY GALLEGO GALLEGO </t>
  </si>
  <si>
    <t>https://community.secop.gov.co/Public/Tendering/OpportunityDetail/Index?noticeUID=CO1.NTC.5761646&amp;isFromPublicArea=True&amp;isModal=False</t>
  </si>
  <si>
    <t>029</t>
  </si>
  <si>
    <t>1 MES</t>
  </si>
  <si>
    <t>LUIS ADONIS DURAN PEREIRA</t>
  </si>
  <si>
    <t>MARTHA NURY BOLIVAR</t>
  </si>
  <si>
    <t>https://community.secop.gov.co/Public/Tendering/OpportunityDetail/Index?noticeUID=CO1.NTC.5773262&amp;isFromPublicArea=True&amp;isModal=False</t>
  </si>
  <si>
    <t>PRESTACIÓN DE SERVICIOS PROFESIONALES COMO APOYO A LA GESTIÓN PARA LA PROMOCIÓN Y EJECUCIÓN DEL PROGRAMA DE ESCUELAS DE DEPORTE FORMATIVO EN LAS SUBREGIONES DEL DEPARTAMENTO DE ANTIOQUIA, ENFATIZANDO EN LA PLANEACIÓN DEL ENTRENAMIENTO DEPORTIVO EN EDADES TEMPRANAS.</t>
  </si>
  <si>
    <t>JULIAN DAVID ARANGO VASCO</t>
  </si>
  <si>
    <t>gastos de desplazamiento $9.800.000</t>
  </si>
  <si>
    <t>https://community.secop.gov.co/Public/Tendering/ContractNoticePhases/View?PPI=CO1.PPI.30320017&amp;isFromPublicArea=True&amp;isModal=False</t>
  </si>
  <si>
    <t>ANULADO</t>
  </si>
  <si>
    <t xml:space="preserve">ANULADO </t>
  </si>
  <si>
    <t xml:space="preserve">JULIANA JARAMILLO BETANCUR </t>
  </si>
  <si>
    <t>gastos de desplazamiento $12.000.000</t>
  </si>
  <si>
    <t>https://community.secop.gov.co/Public/Tendering/OpportunityDetail/Index?noticeUID=CO1.NTC.5817558&amp;isFromPublicArea=True&amp;isModal=False</t>
  </si>
  <si>
    <t>JUAN CAMILO DUQUE HIDALGO</t>
  </si>
  <si>
    <t>gastos de desplazamiento $11.000.000</t>
  </si>
  <si>
    <t>SANDRA YULIETH PALACIO ARANGO</t>
  </si>
  <si>
    <t>ORFILIA DEL SOCORRO VALENCIA RENDON</t>
  </si>
  <si>
    <t>https://community.secop.gov.co/Public/Tendering/ContractNoticePhases/View?PPI=CO1.PPI.30366904&amp;isFromPublicArea=True&amp;isModal=False</t>
  </si>
  <si>
    <t>LIGA DE ATLETISMO DE ANTIOQUIA</t>
  </si>
  <si>
    <t>https://community.secop.gov.co/Public/Tendering/ContractNoticePhases/View?PPI=CO1.PPI.30312889&amp;isFromPublicArea=True&amp;isModal=False</t>
  </si>
  <si>
    <t xml:space="preserve">DIRECTA </t>
  </si>
  <si>
    <t>SEBASTIAN LOPEZ HERNANDEZ</t>
  </si>
  <si>
    <t>https://community.secop.gov.co/Public/Tendering/ContractNoticePhases/View?PPI=CO1.PPI.30348221&amp;isFro mPublicArea=True&amp;isModal=False</t>
  </si>
  <si>
    <t>MANUEL STEFANO GOMEZ CASTAÑO</t>
  </si>
  <si>
    <t>https://community.secop.gov.co/Public/Tendering/OpportunityDetail/Index?noticeUID=CO1.NTC.5782412&amp;isFromPublicArea=True&amp;isModal=False</t>
  </si>
  <si>
    <t xml:space="preserve">KAREN TATIANA RIVERA MUÑOZ </t>
  </si>
  <si>
    <t>https://community.secop.gov.co/Public/Tendering/OpportunityDetail/Index?noticeUID=CO1.NTC.5814557&amp;isFromPublicArea=True&amp;isModal=False</t>
  </si>
  <si>
    <t>SEBASTIAN VALENCIA AGUIRRE</t>
  </si>
  <si>
    <t>CARLOS MARIO FLOREZ PEREIRA</t>
  </si>
  <si>
    <t>https://community.secop.gov.co/Public/Tendering/OpportunityDetail/Index?noticeUID=CO1.NTC.5800166&amp;isFromPublicArea=True&amp;isModal=False</t>
  </si>
  <si>
    <t xml:space="preserve">EDER ALEISO SANDOVAL VALENCIA </t>
  </si>
  <si>
    <t>gastos de desplazamiento $3.500.000</t>
  </si>
  <si>
    <t>SANTIAGO ALFONSO PADILLA LOPEZ</t>
  </si>
  <si>
    <t>https://community.secop.gov.co/Public/Tendering/ContractNoticePhases/View?PPI=CO1.PPI.30407881&amp;isFromPublicArea=True&amp;isModal=False</t>
  </si>
  <si>
    <t>ESTEBAN SANDOVAL VALENCIA</t>
  </si>
  <si>
    <t>https://community.secop.gov.co/Public/Tendering/OpportunityDetail/Index?noticeUID=CO1.NTC.5800439&amp;isFromPublicArea=True&amp;isModal=False</t>
  </si>
  <si>
    <t>LEDY JULIETH ECHEVERRI ESCOBAR</t>
  </si>
  <si>
    <t>https://community.secop.gov.co/Public/Tendering/OpportunityDetail/Index?noticeUID=CO1.NTC.5797560&amp;isFromPublicArea=True&amp;isModal=False</t>
  </si>
  <si>
    <t xml:space="preserve">JUAN DAVID JARAMILLO RESTREPO </t>
  </si>
  <si>
    <t>https://community.secop.gov.co/Public/Tendering/ContractNoticePhases/View?PPI=CO1.PPI.30425729&amp;isFro mPublicArea=True&amp;isModal=False</t>
  </si>
  <si>
    <t>ERASMO HUMBERTO MUÑOZ GIRALDO</t>
  </si>
  <si>
    <t>gastos de desplazamiento $10.000.000</t>
  </si>
  <si>
    <t>https://community.secop.gov.co/Public/Tendering/ContractNoticePhases/View?PPI=CO1.PPI.30558542&amp;isFromPublicArea=True&amp;isModal=False</t>
  </si>
  <si>
    <t>ASCENSORES SCHINDLER DE COLOMBIA S.A.S.</t>
  </si>
  <si>
    <t>018</t>
  </si>
  <si>
    <t>https://community.secop.gov.co/Public/Tendering/ContractNoticePhases/View?PPI=CO1.PPI.30457735&amp;isFromPublicArea=True&amp;isModal=False</t>
  </si>
  <si>
    <t xml:space="preserve">FUNDACIÓN MONICA URIBE POR AMOR </t>
  </si>
  <si>
    <t>BEATRIZ ELENA QUICENO GIL</t>
  </si>
  <si>
    <t>https://community.secop.gov.co/Public/Tendering/ContractNoticePhases/View?PPI=CO1.PPI.30421744&amp;isFro mPublicArea=True&amp;isModal=False</t>
  </si>
  <si>
    <t>53 DIAS</t>
  </si>
  <si>
    <t>YEYSON NOLBERTO HENAO</t>
  </si>
  <si>
    <t>https://community.secop.gov.co/Public/Tendering/ContractNoticePhases/View?PPI=CO1.PPI.30589771&amp;isFromPublicArea=True&amp;isModal=False</t>
  </si>
  <si>
    <t xml:space="preserve">5 MESES 
17 DÍAS </t>
  </si>
  <si>
    <t xml:space="preserve">CARLOS ANDRES FRANCO SANCHEZ </t>
  </si>
  <si>
    <t>https://community.secop.gov.co/Public/Tendering/OpportunityDetail/Index?noticeUID=CO1.NTC.5840384&amp;isFromPublicArea=True&amp;isModal=False</t>
  </si>
  <si>
    <t xml:space="preserve">ESRI COLOMBIA </t>
  </si>
  <si>
    <t>017</t>
  </si>
  <si>
    <t>https://www.colombiacompra.gov.co/tienda-virtual-del-estado-colombiano/ordenes-compra/125769</t>
  </si>
  <si>
    <t xml:space="preserve">30 DIAS </t>
  </si>
  <si>
    <t xml:space="preserve">DIANA MARCELA GALLO GIRALDO </t>
  </si>
  <si>
    <t>https://community.secop.gov.co/Public/Tendering/ContractNoticePhases/View?PPI=CO1.PPI.30464039&amp;isFromPublicArea=True&amp;isModal=False</t>
  </si>
  <si>
    <t xml:space="preserve">JOSE JOANY TAMAYO </t>
  </si>
  <si>
    <t xml:space="preserve">CHARICK ALVAREZ TORRES </t>
  </si>
  <si>
    <t>JOSE JULIAN SALDARRIGA ZAPATA</t>
  </si>
  <si>
    <t xml:space="preserve">LINA FERNADA VARGAS ALZATE </t>
  </si>
  <si>
    <t xml:space="preserve">JUAN MANUEL LOPEZ CUERVO </t>
  </si>
  <si>
    <t xml:space="preserve">ESTEBAN SERNA MORENO </t>
  </si>
  <si>
    <t>MONICA URREGO MONTOYA</t>
  </si>
  <si>
    <t xml:space="preserve">HECTOR DARIO CARDENAS BEDOYA </t>
  </si>
  <si>
    <t xml:space="preserve">DIEGO ALEJANDRO CUERVO PUERTA </t>
  </si>
  <si>
    <t>GIOVANNY RIOS SARMIENTO</t>
  </si>
  <si>
    <t xml:space="preserve">JOHN FREDY ARANGO PANIAGUA </t>
  </si>
  <si>
    <t xml:space="preserve">ALEJANDRO ESTEBAN VALENCIA CALDERON </t>
  </si>
  <si>
    <t>LIZETH TATIANA MUÑOZ LONDOÑO</t>
  </si>
  <si>
    <t xml:space="preserve">GEINER ENRIQUE FRIAS GALLO </t>
  </si>
  <si>
    <t>DAVID MOSQUERA MENA</t>
  </si>
  <si>
    <t>CAMILO PEÑA MORA</t>
  </si>
  <si>
    <t>https://community.secop.gov.co/Public/Tendering/ContractNoticePhases/View?PPI=CO1.PPI.30672020&amp;isFromPublicArea=True&amp;isModal=False</t>
  </si>
  <si>
    <t>gastos de desplazamiento $10.357.405</t>
  </si>
  <si>
    <t>https://community.secop.gov.co/Public/Tendering/ContractNoticePhases/View?PPI=CO1.PPI.30605709&amp;isFromPublicArea=True&amp;isModal=False</t>
  </si>
  <si>
    <t>ANYI DANIELA RODRIGUEZ</t>
  </si>
  <si>
    <t>https://community.secop.gov.co/Public/Tendering/ContractNoticePhases/View?PPI=CO1.PPI.30619885&amp;isFromPublicArea=True&amp;isModal=False</t>
  </si>
  <si>
    <t>019</t>
  </si>
  <si>
    <t>https://community.secop.gov.co/Public/Tendering/ContractNoticePhases/View?PPI=CO1.PPI.30562403&amp;isFro mPublicArea=True&amp;isModal=False</t>
  </si>
  <si>
    <t>FRANCISCO HERNANDO ALVAREZ LONDOÑO</t>
  </si>
  <si>
    <t>https://community.secop.gov.co/Public/Tendering/ContractNoticePhases/View?PPI=CO1.PPI.30672041&amp;isFromPublicArea=True&amp;isModal=False</t>
  </si>
  <si>
    <t>6.5 MESES</t>
  </si>
  <si>
    <t>JONATHAN ESTIVEN GOMEZ</t>
  </si>
  <si>
    <t>https://community.secop.gov.co/Public/Tendering/ContractNoticePhases/View?PPI=CO1.PPI.31023347&amp;isFromPublicArea=True&amp;isModal=False</t>
  </si>
  <si>
    <t>SARA HENRIQUEZ ARANGO</t>
  </si>
  <si>
    <t>gastos de desplazamiento $7.751.632</t>
  </si>
  <si>
    <t>HERBERT MARTINEZ RESTREPO</t>
  </si>
  <si>
    <t>https://community.secop.gov.co/Public/Tendering/ContractNoticePhases/View?PPI=CO1.PPI.30661416&amp;isFromPublicArea=True&amp;isModal=False</t>
  </si>
  <si>
    <t>ALVARO FERNANDO ORTEGA MONROY</t>
  </si>
  <si>
    <t>https://community.secop.gov.co/Public/Tendering/ContractNoticePhases/View?PPI=CO1.PPI.30912925&amp;isFromPublicArea=True&amp;isModal=False</t>
  </si>
  <si>
    <t>JESSICA ALEJANDRA ATEHORTUA HINCAPIE</t>
  </si>
  <si>
    <t>https://community.secop.gov.co/Public/Tendering/ContractNoticePhases/View?PPI=CO1.PPI.30840667&amp;isFromPublicArea=True&amp;isModal=False</t>
  </si>
  <si>
    <t xml:space="preserve">JAVIER FELIPE PEREZ FORERO </t>
  </si>
  <si>
    <t>(https://community.secop.gov.co/Public/Tendering/ContractNoticePhases/View?PPI=CO1.PPI.30963284&amp;isFromPublicArea=True&amp;isModal=False</t>
  </si>
  <si>
    <t>ANDREA FERNANDA ARIAS CORENA</t>
  </si>
  <si>
    <t>gastos de desplazamiento $11.025.396</t>
  </si>
  <si>
    <t>https://community.secop.gov.co/Public/Tendering/ContractNoticePhases/View?PPI=CO1.PPI.30842089&amp;isFromPublicArea=True&amp;isModal=False</t>
  </si>
  <si>
    <t xml:space="preserve">9 MESES Y 11 DÍAS </t>
  </si>
  <si>
    <t xml:space="preserve">LUIS DANIEL AGUDELO BETANCUR </t>
  </si>
  <si>
    <t>https://community.secop.gov.co/Public/Tendering/ContractNoticePhases/View?PPI=CO1.PPI.30841482&amp;isFromPublicArea=True&amp;isModal=False</t>
  </si>
  <si>
    <t xml:space="preserve">GABRIEL JAIME URIBE CADAVID </t>
  </si>
  <si>
    <t>HUGO ALEXANDER OSORIO JARAMILLO</t>
  </si>
  <si>
    <t>https://community.secop.gov.co/Public/Tendering/ContractNoticePhases/View?PPI=CO1.PPI.30845290&amp;isFromPublicArea=True&amp;isModal=False</t>
  </si>
  <si>
    <t>JUAN FELIPE GIRALDO CARDONA</t>
  </si>
  <si>
    <t>https://community.secop.gov.co/Public/Tendering/ContractNoticePhases/View?PPI=CO1.PPI.30845931&amp;isFromPublicArea=True&amp;isModal=False</t>
  </si>
  <si>
    <t>CARLOS ALBERTO HENAO MESA</t>
  </si>
  <si>
    <t>021</t>
  </si>
  <si>
    <t>https://community.secop.gov.co/Public/Tendering/ContractNoticePhases/View?PPI=CO1.PPI.30963988&amp;isFromPublicArea=True&amp;isModal=False</t>
  </si>
  <si>
    <t>HEIMAR PACHECO TAPIAS</t>
  </si>
  <si>
    <t>https://community.secop.gov.co/Public/Tendering/ContractNoticePhases/View?PPI=CO1.PPI.31004137&amp;isFromPublicArea=True&amp;isModal=False</t>
  </si>
  <si>
    <t xml:space="preserve">DIANA PATRICIA SUAREZ ARENAS </t>
  </si>
  <si>
    <t>https://community.secop.gov.co/Public/Tendering/ContractNoticePhases/View?PPI=CO1.PPI.31001993&amp;isFromPublicArea=True&amp;isModal=False</t>
  </si>
  <si>
    <t xml:space="preserve">LIGA DE CICLISMO DE ANTIOQUIA          </t>
  </si>
  <si>
    <t>https://community.secop.gov.co/Public/Tendering/ContractNoticePhases/View?PPI=CO1.PPI.30862945&amp;isFromPublicArea=True&amp;isModal=False</t>
  </si>
  <si>
    <t>9.5 MESES</t>
  </si>
  <si>
    <t xml:space="preserve">CLUB ESCUELA DE CICLISMO ORGULLO PAISA </t>
  </si>
  <si>
    <t>https://community.secop.gov.co/Public/Tendering/ContractNoticePhases/View?PPI=CO1.PPI.30864505&amp;isFromPublicArea=True&amp;isModal=False</t>
  </si>
  <si>
    <t>4 MESES</t>
  </si>
  <si>
    <t>WILMAR ANDRES RUEDA LONDOÑO</t>
  </si>
  <si>
    <t>https://community.secop.gov.co/Public/Tendering/ContractNoticePhases/View?PPI=CO1.PPI.30958778&amp;isFromPublicArea=True&amp;isModal=False</t>
  </si>
  <si>
    <t xml:space="preserve">ALEXANDER OCAMPO ZULUAGA </t>
  </si>
  <si>
    <t>ROBERTO GARCIA PANTOJA</t>
  </si>
  <si>
    <t>JOSE ALIRIO RODRIGUEZ</t>
  </si>
  <si>
    <t>DANIEL JOSE CONTRERAS NAVARRO</t>
  </si>
  <si>
    <t>EDISON UREY CARDONA GONZALEZ</t>
  </si>
  <si>
    <t>JACKSON DAVID PEREZ BOTERO</t>
  </si>
  <si>
    <t>JOSE MILLER CABANZO ACOSTA</t>
  </si>
  <si>
    <t>JUAN ESTEBAN AGUDELO ZEA</t>
  </si>
  <si>
    <t>SEBASTIAN QUINTO RUIZ</t>
  </si>
  <si>
    <t>WILBER OXFANDER QUINTERO ROJAS</t>
  </si>
  <si>
    <t>JORGE MARIO ARBELAEZ AGUILAR</t>
  </si>
  <si>
    <t>MIGUEL MAURICIO MACIAS</t>
  </si>
  <si>
    <t>MARIA ISABEL SANCHEZ PATIÑO</t>
  </si>
  <si>
    <t>FABIAN ALBERTO DIAZ BEDOYA</t>
  </si>
  <si>
    <t>JUAN CAMILO BERRIO CARDONA</t>
  </si>
  <si>
    <t xml:space="preserve">ANGEL SALCEDO GOMEZ </t>
  </si>
  <si>
    <t>DARLYS PAOLA PEREZ BEGAMBRE</t>
  </si>
  <si>
    <t>LUIS ALBERTO GARCES CARVAJALINO</t>
  </si>
  <si>
    <t>SEBASTIAN PARRA BEDOYA</t>
  </si>
  <si>
    <t>DAVID RIVERA CASTRO</t>
  </si>
  <si>
    <t>OSCAR ALEXANDER RAMOS GARCIA</t>
  </si>
  <si>
    <t xml:space="preserve">JOSE ESTEBAN MUÑOZ MARIN </t>
  </si>
  <si>
    <t>JUAN CAMILO ZAPATA HERNANDEZ</t>
  </si>
  <si>
    <t>MARGARITA ROSA CASTAÑO MURILLO</t>
  </si>
  <si>
    <t xml:space="preserve">KAREN LORENA ESCOBAR ZAPATA </t>
  </si>
  <si>
    <t xml:space="preserve">JESSICA ALEJANDRA ESTRADA RESTREPO </t>
  </si>
  <si>
    <t>GUSTAVO ADOLFO MOJICA MARTINEZ</t>
  </si>
  <si>
    <t>JHON FREDDY GOMEZ GARZON</t>
  </si>
  <si>
    <t>JUAN FERNANDO LOPERA MALO</t>
  </si>
  <si>
    <t>https://community.secop.gov.co/Public/Tendering/ContractNoticePhases/View?PPI=CO1.PPI.31032535&amp;isFromPublicArea=True&amp;isModal=False</t>
  </si>
  <si>
    <t xml:space="preserve">ROBINSON DE JESUS RAMIREZ RAMIREZ </t>
  </si>
  <si>
    <t>https://community.secop.gov.co/Public/Tendering/ContractNoticePhases/View?PPI=CO1.PPI.31015630&amp;isFromPublicArea=True&amp;isModal=False</t>
  </si>
  <si>
    <t>LICETH CATALINA CANO GONZALEZ</t>
  </si>
  <si>
    <t>https://community.secop.gov.co/Public/Tendering/ContractNoticePhases/View?PPI=CO1.PPI.31018351&amp;isFromPublicArea=True&amp;isModal=False</t>
  </si>
  <si>
    <t>8 MESES</t>
  </si>
  <si>
    <t>LUDWING ORLANDO LOZANO MUÑOZ</t>
  </si>
  <si>
    <t>LUIS FERNANDO FRANCISCO BEGUE TRUJILLO</t>
  </si>
  <si>
    <t>https://community.secop.gov.co/Public/Tendering/ContractNoticePhases/View?PPI=CO1.PPI.30986682&amp;isFromPublicArea=True&amp;isModal=False</t>
  </si>
  <si>
    <t>5 MESES</t>
  </si>
  <si>
    <t>CATALINA SOTO ALVAREZ</t>
  </si>
  <si>
    <t>gastos de desplazamiento $9.500.000</t>
  </si>
  <si>
    <t>022</t>
  </si>
  <si>
    <t>SIN PÓLIZA</t>
  </si>
  <si>
    <t>https://community.secop.gov.co/Public/Tendering/ContractNoticePhases/View?PPI=CO1.PPI.31150120&amp;isFromPublicArea=True&amp;isModal=False</t>
  </si>
  <si>
    <t>RAUL ALBERTO MEJIA HINCAPIE</t>
  </si>
  <si>
    <t>https://community.secop.gov.co/Public/Tendering/ContractNoticePhases/View?PPI=CO1.PPI.31155459&amp;isFromPublicArea=True&amp;isModal=False</t>
  </si>
  <si>
    <t>MIGUEL ANGEL RAMIREZ VELEZ</t>
  </si>
  <si>
    <t>gastos de desplazamiento $8.845.235</t>
  </si>
  <si>
    <t>https://community.secop.gov.co/Public/Tendering/ContractNoticePhases/View?PPI=CO1.PPI.31046394&amp;isFromPublicArea=True&amp;isModal=False</t>
  </si>
  <si>
    <t>MARIBEL CASTRILLON MONTOYA</t>
  </si>
  <si>
    <t>https://community.secop.gov.co/Public/Tendering/ContractNoticePhases/View?PPI=CO1.PPI.31257621&amp;isFromPublicArea=True&amp;isModal=False</t>
  </si>
  <si>
    <t>7 MESES Y 6 DÍAS (216 DÍAS)</t>
  </si>
  <si>
    <t>ITSEC SAS</t>
  </si>
  <si>
    <t xml:space="preserve">PAGO UNICO </t>
  </si>
  <si>
    <t>https://community.secop.gov.co/Public/Tendering/ContractNoticePhases/View?PPI=CO1.PPI.30742992&amp;isFromPublicArea=True&amp;isModal=False</t>
  </si>
  <si>
    <t xml:space="preserve">JUAN PABLO ZAPATA MONTOYA </t>
  </si>
  <si>
    <t>https://community.secop.gov.co/Public/Tendering/ContractNoticePhases/View?PPI=CO1.PPI.31094414&amp;isFromPublicArea=True&amp;isModa</t>
  </si>
  <si>
    <t>ANDRES FELIPE MUÑOZ PRIETO</t>
  </si>
  <si>
    <t>GASTOS DE DESPLAZAMIENTO
15.000.000</t>
  </si>
  <si>
    <t>https://community.secop.gov.co/Public/Tendering/ContractNoticePhases/View?PPI=CO1.PPI.31391173&amp;isFromPublicArea=True&amp;isModal=False</t>
  </si>
  <si>
    <t>https://community.secop.gov.co/Public/Tendering/ContractNoticePhases/View?PPI=CO1.PPI.31112109&amp;isFromPublicArea=True&amp;isModal=False</t>
  </si>
  <si>
    <t xml:space="preserve">ANDRES FELIPE SANCHEZ PALACIO </t>
  </si>
  <si>
    <t>https://community.secop.gov.co/Public/Tendering/ContractNoticePhases/View?PPI=CO1.PPI.31390324&amp;isFromPublicArea=True&amp;isModal=False</t>
  </si>
  <si>
    <t>8 meses y 5 días 
(245 DÍAS)</t>
  </si>
  <si>
    <t xml:space="preserve">MATEO MEJIA HERRERA </t>
  </si>
  <si>
    <t>LIGA ANTIOQUEÑA DE LEVANTAMIENTO DE PESAS</t>
  </si>
  <si>
    <t>https://community.secop.gov.co/Public/Tendering/ContractNoticePhases/View?PPI=CO1.PPI.31104239&amp;isFromPublicArea=True&amp;isModal=False</t>
  </si>
  <si>
    <t>https://community.secop.gov.co/Public/Tendering/ContractNoticePhases/View?PPI=CO1.PPI.31366697&amp;isFromPublicArea=True&amp;isModal=False</t>
  </si>
  <si>
    <t>8 meses y 6 días 
(246 DÍAS)</t>
  </si>
  <si>
    <t>ESTEFANIA PINEDA VASQUEZ</t>
  </si>
  <si>
    <t>gastos de desplazamiento $7.939.541</t>
  </si>
  <si>
    <t>LUZ ADRIANA VALENCIA CARMONA</t>
  </si>
  <si>
    <t>https://community.secop.gov.co/Public/Tendering/ContractNoticePhases/View?PPI=CO1.PPI.31145895&amp;isFromPublicArea=True&amp;isModal=False</t>
  </si>
  <si>
    <t>VANESSA GOMEZ ARROYAVE</t>
  </si>
  <si>
    <t>https://community.secop.gov.co/Public/Tendering/ContractNoticePhases/View?PPI=CO1.PPI.31148986&amp;isFromPublicArea=True&amp;isModal=False</t>
  </si>
  <si>
    <t>https://community.secop.gov.co/Public/Tendering/ContractNoticePhases/View?PPI=CO1.PPI.31323354&amp;isFromPublicArea=True&amp;isModal=False</t>
  </si>
  <si>
    <t>38 DIAS</t>
  </si>
  <si>
    <t>WALTER FLORO RIVERA</t>
  </si>
  <si>
    <t>https://community.secop.gov.co/Public/Tendering/ContractNoticePhases/View?PPI=CO1.PPI.31303663&amp;isFromPublicArea=True&amp;isModal=False</t>
  </si>
  <si>
    <t>DANIEL ALEJANDRO CUERVO ARANGO</t>
  </si>
  <si>
    <t>https://community.secop.gov.co/Public/Tendering/ContractNoticePhases/View?PPI=CO1.PPI.31233657&amp;isFromPublicArea=True&amp;isModal=False</t>
  </si>
  <si>
    <t>DIEGO FERNANDO OSORIO JARAMILLO</t>
  </si>
  <si>
    <t>https://community.secop.gov.co/Public/Tendering/ContractNoticePhases/View?PPI=CO1.PPI.31234518&amp;isFromPublicArea=True&amp;isModal=False</t>
  </si>
  <si>
    <t>MARÍA ALEJANDRA VALDERRAMA GONZALEZ</t>
  </si>
  <si>
    <t>OLGA LUCIA QUIROZ BASTIDAS</t>
  </si>
  <si>
    <t>https://community.secop.gov.co/Public/Tendering/ContractNoticePhases/View?PPI=CO1.PPI.31237210&amp;isFromPublicArea=True&amp;isModal=False</t>
  </si>
  <si>
    <t xml:space="preserve">MELIZA MUNERA LOPEZ </t>
  </si>
  <si>
    <t xml:space="preserve"> https://community.secop.gov.co/Public/Tendering/ContractNoticePhases/View?PPI=CO1.PPI.31187812&amp;isFromPublicArea=True&amp;isModa l=False</t>
  </si>
  <si>
    <t>MONCADA &amp; BARRERO ABOGADO S.A.S</t>
  </si>
  <si>
    <t>https://community.secop.gov.co/Public/Tendering/ContractNoticePhases/View?PPI=CO1.PPI.31248416&amp;isFromPublicArea=True&amp;isModal=False</t>
  </si>
  <si>
    <t xml:space="preserve">8 MESES Y 12 DÍAS </t>
  </si>
  <si>
    <t>024</t>
  </si>
  <si>
    <t>https://community.secop.gov.co/Public/Tendering/ContractNoticePhases/View?PPI=CO1.PPI.31419684&amp;isFromPublicArea=True&amp;isModal=False</t>
  </si>
  <si>
    <t>LITIGIOVIRTUAL.COM S.A.S.</t>
  </si>
  <si>
    <t xml:space="preserve"> https://community.secop.gov.co/Public/Tendering/ContractNoticePhases/View?PPI=CO1.PPI.31249910&amp;isFromPublicArea=True&amp;isModa l=False</t>
  </si>
  <si>
    <t>EMPRESA DE DESARROLLO URBANO DE LA CEJA</t>
  </si>
  <si>
    <t>https://community.secop.gov.co/Public/Tendering/ContractNoticePhases/View?PPI=CO1.PPI.31245950&amp;isFromPublicArea=True&amp;isModal=False</t>
  </si>
  <si>
    <t xml:space="preserve">MONICA ISABEL ALZATE VALENCIA </t>
  </si>
  <si>
    <t>https://community.secop.gov.co/Public/Tendering/ContractNoticePhases/View?PPI=CO1.PPI.31270029&amp;isFromPublicArea=True&amp;isModal=False</t>
  </si>
  <si>
    <t>MARIA ALEJANDRA GARCES FLOREZ</t>
  </si>
  <si>
    <t>https://community.secop.gov.co/Public/Tendering/ContractNoticePhases/View?PPI=CO1.PPI.31452664&amp;isFromPublicArea=True&amp;isModal=False</t>
  </si>
  <si>
    <t>SANTIAGO ZAPATA MARIN</t>
  </si>
  <si>
    <t>https://community.secop.gov.co/Public/Tendering/ContractNoticePhases/View?PPI=CO1.PPI.31420275&amp;isFromPublicArea=True&amp;isModal=False</t>
  </si>
  <si>
    <t xml:space="preserve">8 MESES Y 7 DÍAS </t>
  </si>
  <si>
    <t>ALEJANDRO MEJIA CASTAÑEDA</t>
  </si>
  <si>
    <t>https://community.secop.gov.co/Public/Tendering/ContractNoticePhases/View?PPI=CO1.PPI.31453658&amp;isFromPublicArea=True&amp;isModal=False</t>
  </si>
  <si>
    <t>https://community.secop.gov.co/Public/Tendering/ContractNoticePhases/View?PPI=CO1.PPI.31295595&amp;isFromPublicArea=True&amp;isModal=False</t>
  </si>
  <si>
    <t>8 MESES Y 8 DÍAS</t>
  </si>
  <si>
    <t>ANDERSON DE JESUS CASTAÑO CATAÑO</t>
  </si>
  <si>
    <t>https://community.secop.gov.co/Public/Tendering/ContractNoticePhases/View?PPI=CO1.PPI.31448165&amp;isFromPublicArea=True&amp;isModal=False</t>
  </si>
  <si>
    <t>https://community.secop.gov.co/Public/Tendering/ContractNoticePhases/View?PPI=CO1.PPI.31273712&amp;isFromPublicArea=True&amp;isModal=False</t>
  </si>
  <si>
    <t>8 MESES Y 13 DÍAS</t>
  </si>
  <si>
    <t>SANDY VIVIANA RUIZ CARVAJAL</t>
  </si>
  <si>
    <t>https://community.secop.gov.co/Public/Tendering/ContractNoticePhases/View?PPI=CO1.PPI.31421134&amp;isFromPublicArea=True&amp;isModal=False</t>
  </si>
  <si>
    <t>https://community.secop.gov.co/Public/Tendering/ContractNoticePhases/View?PPI=CO1.PPI.31443578&amp;isFromPublicArea=True&amp;isModal=False</t>
  </si>
  <si>
    <t>246 DIAS</t>
  </si>
  <si>
    <t xml:space="preserve">FRANQUIN LEON TAMAYO </t>
  </si>
  <si>
    <t>https://community.secop.gov.co/Public/Tendering/ContractNoticePhases/View?PPI=CO1.PPI.31453509&amp;isFromPublicArea=True&amp;isModal=False</t>
  </si>
  <si>
    <t>7 MESES Y 29 DÍAS</t>
  </si>
  <si>
    <t>https://community.secop.gov.co/Public/Tendering/ContractNoticePhases/View?PPI=CO1.PPI.31454167&amp;isFromPublicArea=True&amp;isModal=False</t>
  </si>
  <si>
    <t>MARIA MONICA PUERTA JARAMILLO</t>
  </si>
  <si>
    <t>HERNAN MAURICIO VELEZ ALVAREZ</t>
  </si>
  <si>
    <t>https://community.secop.gov.co/Public/Tendering/ContractNoticePhases/View?PPI=CO1.PPI.31452830&amp;isFromPublicArea=True&amp;isModal=False</t>
  </si>
  <si>
    <t>GLADYS PATRICIA GOMEZ BERNAL</t>
  </si>
  <si>
    <t>https://community.secop.gov.co/Public/Tendering/ContractNoticePhases/View?PPI=CO1.PPI.31451596&amp;isFromPublicArea=True&amp;isModal=False</t>
  </si>
  <si>
    <t xml:space="preserve">MAGDALENA ROLDAN ESPINAL </t>
  </si>
  <si>
    <t>LUIS FERNANDO LOPEZ VALENCIA</t>
  </si>
  <si>
    <t>https://community.secop.gov.co/Public/Tendering/ContractNoticePhases/View?PPI=CO1.PPI.31453631&amp;isFromPublicArea=True&amp;isModal=False</t>
  </si>
  <si>
    <t>https://community.secop.gov.co/Public/Tendering/ContractNoticePhases/View?PPI=CO1.PPI.31456845&amp;isFromPublicArea=True&amp;isModal=False</t>
  </si>
  <si>
    <t>https://community.secop.gov.co/Public/Tendering/ContractNoticePhases/View?PPI=CO1.PPI.31446379&amp;isFromPublicArea=True&amp;isModal=False</t>
  </si>
  <si>
    <t xml:space="preserve">SEBASTIAN BEDOYA GIRALDO </t>
  </si>
  <si>
    <t>https://community.secop.gov.co/Public/Tendering/ContractNoticePhases/View?PPI=CO1.PPI.31478142&amp;isFromPublicArea=True&amp;isModal=False</t>
  </si>
  <si>
    <t xml:space="preserve">6 MESES Y 3 DÍAS </t>
  </si>
  <si>
    <t>https://community.secop.gov.co/Public/Tendering/ContractNoticePhases/View?PPI=CO1.PPI.31422438&amp;isFromPublicArea=True&amp;isModal=False</t>
  </si>
  <si>
    <t xml:space="preserve">8 MESES Y 6 DÍAS </t>
  </si>
  <si>
    <t>HAROLD PULGARIN RAMIREZ</t>
  </si>
  <si>
    <t>https://community.secop.gov.co/Public/Tendering/ContractNoticePhases/View?PPI=CO1.PPI.31328913&amp;isFromPublicArea=True&amp;isModal=False</t>
  </si>
  <si>
    <t xml:space="preserve">8 MESES Y 9 DÍAS </t>
  </si>
  <si>
    <t xml:space="preserve">JUAN MANUEL GALVIS MUÑOZ </t>
  </si>
  <si>
    <t>https://community.secop.gov.co/Public/Tendering/ContractNoticePhases/View?PPI=CO1.PPI.31338073&amp;isFromPublicArea=True&amp;isModal=False</t>
  </si>
  <si>
    <t>VICTOR HUGO SIERRA DUQUE</t>
  </si>
  <si>
    <t>https://community.secop.gov.co/Public/Tendering/ContractNoticePhases/View?PPI=CO1.PPI.31418783&amp;isFromPublicArea=True&amp;isModal=False</t>
  </si>
  <si>
    <t xml:space="preserve">8 MESES Y 8 DÍAS </t>
  </si>
  <si>
    <t>gastos de desplazamiento $7.000.000</t>
  </si>
  <si>
    <t>https://community.secop.gov.co/Public/Tendering/ContractNoticePhases/View?PPI=CO1.PPI.31367372&amp;isFromPublicArea=True&amp;isModal=False</t>
  </si>
  <si>
    <t>https://community.secop.gov.co/Public/Tendering/ContractNoticePhases/View?PPI=CO1.PPI.31424855&amp;isFromPublicArea=True&amp;isModal=False</t>
  </si>
  <si>
    <t xml:space="preserve">MARIA ALEJANDRA PAREJO ORTIZ </t>
  </si>
  <si>
    <t>https://community.secop.gov.co/Public/Tendering/ContractNoticePhases/View?PPI=CO1.PPI.31396993&amp;isFromPublicArea=True&amp;isModal=False</t>
  </si>
  <si>
    <t>JUAN ESTEBAN SILVA ORDOÑEZ</t>
  </si>
  <si>
    <t>https://community.secop.gov.co/Public/Tendering/ContractNoticePhases/View?PPI=CO1.PPI.31608930&amp;isFromPublicArea=True&amp;isModal=False</t>
  </si>
  <si>
    <t xml:space="preserve">LIGA ANTIOQUEÑA DE ARQUERIA </t>
  </si>
  <si>
    <t xml:space="preserve">SARA AGUDELO AGUDELO </t>
  </si>
  <si>
    <t>GUSTAVO LEON SANCHEZ CADAVID</t>
  </si>
  <si>
    <t>https://community.secop.gov.co/Public/Tendering/ContractNoticePhases/View?PPI=CO1.PPI.31631362&amp;isFromPublicArea=True&amp;isModal=False</t>
  </si>
  <si>
    <t xml:space="preserve">JUAN CAMILO HERRERA CANO </t>
  </si>
  <si>
    <t>https://community.secop.gov.co/Public/Tendering/ContractNoticePhases/View?PPI=CO1.PPI.31607677&amp;isFromPublicArea=True&amp;isModal=False</t>
  </si>
  <si>
    <t xml:space="preserve">239 DÍAS </t>
  </si>
  <si>
    <t>DISTRACOM S.A.</t>
  </si>
  <si>
    <t>https://www.colombiacompra.gov.co/tienda-virtual-del-estado-colombiano/ordenes-compra/127577</t>
  </si>
  <si>
    <t xml:space="preserve">JUAN PABLO ROBLEDO PEÑA </t>
  </si>
  <si>
    <t>https://community.secop.gov.co/Public/Tendering/ContractNoticePhases/View?PPI=CO1.PPI.31695943&amp;isFromPublicArea=True&amp;isModal=False</t>
  </si>
  <si>
    <t>7 MESES Y 4 DÍAS</t>
  </si>
  <si>
    <t>GABRIEL MENA MARTINEZ</t>
  </si>
  <si>
    <t xml:space="preserve">LUIS FELIPE LAVERDE JIMENEZ </t>
  </si>
  <si>
    <t>LEOCADIO DE JESUS VELEZ LOPEZ</t>
  </si>
  <si>
    <t>CESAR AUGUSTO LAVERDE RUEDA</t>
  </si>
  <si>
    <t xml:space="preserve">SEBASTIAN ANTONIO LOPERA CANO </t>
  </si>
  <si>
    <t>JUAN CAMILO GIRALDO ALVAREZ</t>
  </si>
  <si>
    <t xml:space="preserve">LUIS ANTONIO JIMENEZ VASQUEZ </t>
  </si>
  <si>
    <t>7 MESES Y 2 DÍAS</t>
  </si>
  <si>
    <t>CRISTIAN CAMILO HIGUITA ALVAREZ</t>
  </si>
  <si>
    <t xml:space="preserve">SEBASTIAN GONZALEZ TAMAYO </t>
  </si>
  <si>
    <t>CORPORACIÓN CARIBA</t>
  </si>
  <si>
    <t>https://community.secop.gov.co/Public/Tendering/ContractNoticePhases/View?PPI=CO1.PPI.31827342&amp;isFromPublicArea=True&amp;isModal=False</t>
  </si>
  <si>
    <t xml:space="preserve">SELECCIÓN ABREVIADA MENDIANTE SUBASTA INVERSA </t>
  </si>
  <si>
    <t>SUMINISTROS Y ELEMENTOS EMPRESARIALES S.A.S</t>
  </si>
  <si>
    <t>https://community.secop.gov.co/Public/Tendering/ContractNoticePhases/View?PPI=CO1.PPI.30962660&amp;isFromPublicArea=True&amp;isModal=False</t>
  </si>
  <si>
    <t>7.5 MESES</t>
  </si>
  <si>
    <t>AVOLAR VIAJES Y TURISMO LTDA</t>
  </si>
  <si>
    <t>https://community.secop.gov.co/Public/Tendering/ContractNoticePhases/View?PPI=CO1.PPI.31056611&amp;isFromPublicArea=True&amp;isModal=False</t>
  </si>
  <si>
    <t xml:space="preserve">VERONICA GONZALEZ ALEMAN </t>
  </si>
  <si>
    <t>KARINA   SALAZAR ZULUAGA</t>
  </si>
  <si>
    <t>ESMERALDA SOLEDAD ROSAS RESTREPO</t>
  </si>
  <si>
    <t>https://community.secop.gov.co/Public/Tendering/ContractNoticePhases/View?PPI=CO1.PPI.31827310&amp;isFromPublicArea=True&amp;isModal=False</t>
  </si>
  <si>
    <t>LIGA DEPORTIVA DE PERSONAS SORDAS DE ANTIOQUIA</t>
  </si>
  <si>
    <t>https://community.secop.gov.co/Public/Tendering/ContractNoticePhases/View?PPI=CO1.PPI.31854895&amp;isFromPublicArea=True&amp;isModal=False</t>
  </si>
  <si>
    <t>225 DÍAS</t>
  </si>
  <si>
    <t>MONICA PATRICIA ROMAN GARCES</t>
  </si>
  <si>
    <t>https://community.secop.gov.co/Public/Tendering/ContractNoticePhases/View?PPI=CO1.PPI.31889985&amp;isFromPublicArea=True&amp;isModal=False</t>
  </si>
  <si>
    <t xml:space="preserve">JULIAN ESTEBAN ARBELAEZ ZAPATA </t>
  </si>
  <si>
    <t>https://community.secop.gov.co/Public/Tendering/ContractNoticePhases/View?PPI=CO1.PPI.31857403&amp;isFromPublicArea=True&amp;isModal=False</t>
  </si>
  <si>
    <t xml:space="preserve">7 MESES
11 DÍAS </t>
  </si>
  <si>
    <t>JORGE LUCIANO FARIAS</t>
  </si>
  <si>
    <t>https://community.secop.gov.co/Public/Tendering/ContractNoticePhases/View?PPI=CO1.PPI.31854842&amp;isFromPublicArea=True&amp;isModal=False</t>
  </si>
  <si>
    <t>206 DÍAS</t>
  </si>
  <si>
    <t xml:space="preserve">EDER LEANDRE GARRIDO GUISAO </t>
  </si>
  <si>
    <t>https://community.secop.gov.co/Public/Tendering/ContractNoticePhases/View?PPI=CO1.PPI.31837338&amp;isFromPublicArea=True&amp;isModal=False</t>
  </si>
  <si>
    <t>ASOCIACIÓN DE ENTES DEPORTIVOS DEL SUROESTE ANTIOQUEÑO - ASDESA -</t>
  </si>
  <si>
    <t>https://community.secop.gov.co/Public/Tendering/ContractNoticePhases/View?PPI=CO1.PPI.32018162&amp;isFromPublicArea=True&amp;isModal=False</t>
  </si>
  <si>
    <t>LIGA ANTIOQUEÑA DE BALONCESTO</t>
  </si>
  <si>
    <t>DIEGO ARMANDO RENDÓN PARRA</t>
  </si>
  <si>
    <t>MARIA MERCEDES BECERRA MARTINEZ</t>
  </si>
  <si>
    <t>HUGO HERNANDO HOYOS GARCIA</t>
  </si>
  <si>
    <t>https://community.secop.gov.co/Public/Tendering/ContractNoticePhases/View?PPI=CO1.PPI.31962846&amp;isFromPublicArea=True&amp;isModal=False</t>
  </si>
  <si>
    <t>DIEGO RAFAEL ECHAVARRIA MUÑOZ</t>
  </si>
  <si>
    <t>https://community.secop.gov.co/Public/Tendering/ContractNoticePhases/View?PPI=CO1.PPI.31928330&amp;isFromPublicArea=True&amp;isModal=False</t>
  </si>
  <si>
    <t xml:space="preserve">220 DÍAS </t>
  </si>
  <si>
    <t>MUNICIPIO DE TOLEDO</t>
  </si>
  <si>
    <t>https://community.secop.gov.co/Public/Tendering/ContractNoticePhases/View?PPI=CO1.PPI.31982938&amp;isFromPublicArea=True&amp;isModal=False</t>
  </si>
  <si>
    <t xml:space="preserve">MUNICIPIO DE SAN ROQUE </t>
  </si>
  <si>
    <t>https://community.secop.gov.co/Public/Tendering/ContractNoticePhases/View?PPI=CO1.PPI.31980300&amp;isFromPublicArea=True&amp;isModal=False</t>
  </si>
  <si>
    <t>https://community.secop.gov.co/Public/Tendering/ContractNoticePhases/View?PPI=CO1.PPI.32115208&amp;isFromPublicArea=True&amp;isModal=False</t>
  </si>
  <si>
    <t>LIGA ANTIOQUEÑA DE RUGBY FUTBOL</t>
  </si>
  <si>
    <t>https://community.secop.gov.co/Public/Tendering/ContractNoticePhases/View?PPI=CO1.PPI.32113746&amp;isFromPublicArea=True&amp;isModal=False</t>
  </si>
  <si>
    <t>PRESTACIÓN DE SERVICIOS PROFESIONALES COMO INGENIERO CIVIL PARA INDEPORTES ANTIOQUIA.</t>
  </si>
  <si>
    <t>JUAN CAMILO VALENCIA GALVIS</t>
  </si>
  <si>
    <t>AUTOAMERICA S.A.</t>
  </si>
  <si>
    <t>LIGA ANTIOQUEÑA DE KARATE DO</t>
  </si>
  <si>
    <t>https://community.secop.gov.co/Public/Tendering/ContractNoticePhases/View?PPI=CO1.PPI.32115267&amp;isFromPublicArea=True&amp;isModal=False</t>
  </si>
  <si>
    <t>LIGA DE LIMITACIÓN MENTAL DE ANTIOQUIA</t>
  </si>
  <si>
    <t xml:space="preserve">SEISO S.A.S </t>
  </si>
  <si>
    <t xml:space="preserve">207 DÍAS </t>
  </si>
  <si>
    <t>030</t>
  </si>
  <si>
    <t>200 DÍAS</t>
  </si>
  <si>
    <t xml:space="preserve">LAURA VICTORIA COLORADO NAVARRO </t>
  </si>
  <si>
    <t>Gastos de Desplazamiento $5.169.047</t>
  </si>
  <si>
    <t>197 DÍAS</t>
  </si>
  <si>
    <t>Gastos de Desplazamiento $8.687.908</t>
  </si>
  <si>
    <t>184 DÍAS</t>
  </si>
  <si>
    <t>SOLUCIONES EN SEGURIDAD INFORMÁTICA S.A.S</t>
  </si>
  <si>
    <t>Rubro Corto (Formulado)</t>
  </si>
  <si>
    <t>NOMBRE RUBRO (Formulado)</t>
  </si>
  <si>
    <t>SUELDO BASICO</t>
  </si>
  <si>
    <t>RESOLUCIÓN</t>
  </si>
  <si>
    <t>1.00.0000.00.0-101024.2.1.1.01.01.001.01.</t>
  </si>
  <si>
    <t xml:space="preserve"> HORAS EXTRAS, DOMINICALES, FESTIVOS Y RECARGOS </t>
  </si>
  <si>
    <t>1.00.0000.00.0-101024.2.1.1.01.01.001.02.</t>
  </si>
  <si>
    <t xml:space="preserve">PRIMA DE SERVICIO </t>
  </si>
  <si>
    <t>1.00.0000.00.0-101024.2.1.1.01.01.001.06.</t>
  </si>
  <si>
    <t>BONIFICACIÓN POR SERVICIOS PRESTADOS. SE TRASLADO  RES 23 DE DENERO DE 2023 ($7,066,146)</t>
  </si>
  <si>
    <t>BONIFICACIÓN POR SERVICIOS PRESTADOS</t>
  </si>
  <si>
    <t>1.00.0000.00.0-101024.2.1.1.01.01.001.07.</t>
  </si>
  <si>
    <t xml:space="preserve">PRIMA DE VACACIONES </t>
  </si>
  <si>
    <t>1.00.0000.00.0-101024.2.1.1.01.01.001.08.02</t>
  </si>
  <si>
    <t xml:space="preserve">GASTOS DE VIAJES Y COMISIONES DE SERVIDORES PÚBLICOS Y MIEMBROS DE LA JUNTA DIRECTIVA </t>
  </si>
  <si>
    <t>1.00.0000.00.0-101024.2.1.1.01.01.001.10.</t>
  </si>
  <si>
    <t xml:space="preserve">APORTES A LA SEGURIDAD SOCIAL EN PENSIONES </t>
  </si>
  <si>
    <t>1.00.0000.00.0-101024.2.1.1.01.02.001.</t>
  </si>
  <si>
    <t xml:space="preserve"> APORTES A LA SEGURIDAD SOCIAL EN PENSIONES </t>
  </si>
  <si>
    <t xml:space="preserve"> APORTES A LA SEGURIDAD SOCIAL EN SALUD </t>
  </si>
  <si>
    <t>1.00.0000.00.0-101024.2.1.1.01.02.002.</t>
  </si>
  <si>
    <t xml:space="preserve"> APORTES DE CESANTÍAS  </t>
  </si>
  <si>
    <t>1.00.0000.00.0-101024.2.1.1.01.02.003.</t>
  </si>
  <si>
    <t xml:space="preserve"> APORTES A CAJAS DE COMPENSACIÓN FAMILIAR </t>
  </si>
  <si>
    <t>1.00.0000.00.0-101024.2.1.1.01.02.004.</t>
  </si>
  <si>
    <t xml:space="preserve"> APORTES GENERALES AL SISTEMA DE RIESGOS LABORALES </t>
  </si>
  <si>
    <t>1.00.0000.00.0-101024.2.1.1.01.02.005.</t>
  </si>
  <si>
    <t xml:space="preserve"> APORTES AL ICBF </t>
  </si>
  <si>
    <t>1.00.0000.00.0-101024.2.1.1.01.02.006.</t>
  </si>
  <si>
    <t xml:space="preserve"> APORTES AL SENA </t>
  </si>
  <si>
    <t>1.00.0000.00.0-101024.2.1.1.01.02.007.</t>
  </si>
  <si>
    <t xml:space="preserve"> VACACIONES -  SE TRASLADO  RES 23 DE DENERO DE 2023 ($9,968,339)</t>
  </si>
  <si>
    <t>VACACIONES</t>
  </si>
  <si>
    <t>1.00.0000.00.0-101024.2.1.1.01.03.001.01.</t>
  </si>
  <si>
    <t xml:space="preserve"> INDEMNIZACIÓN POR VACACIONES - SE TRASLADO  RES 23 DE DENERO DE 2023 ($31,619,580)</t>
  </si>
  <si>
    <t xml:space="preserve"> INDEMNIZACIÓN POR VACACIONES</t>
  </si>
  <si>
    <t>1.00.0000.00.0-101024.2.1.1.01.03.001.02.</t>
  </si>
  <si>
    <t xml:space="preserve"> BONIFICACIÓN ESPECIAL DE RECREACIÓN SE TRASLADO  RES 23 DE DENERO DE 2023 ($1,345,935)</t>
  </si>
  <si>
    <t xml:space="preserve"> BONIFICACIÓN ESPECIAL DE RECREACIÓN</t>
  </si>
  <si>
    <t>1.00.0000.00.0-101024.2.1.1.01.03.001.03.</t>
  </si>
  <si>
    <t xml:space="preserve"> INCAPACIDADES (NO DE PENSIONES) </t>
  </si>
  <si>
    <t>1.00.0000.00.0-101024.2.1.3.07.02.010.01.</t>
  </si>
  <si>
    <t xml:space="preserve"> LICENCIAS DE MATERNIDAD Y PATERNIDAD (NO DE PENSIONES) </t>
  </si>
  <si>
    <t>1.00.0000.00.0-101024.2.1.3.07.02.010.02.</t>
  </si>
  <si>
    <t xml:space="preserve">PRESTAMOS DE CALAMIDAD  </t>
  </si>
  <si>
    <t>PRIMA DE NAVIDAD</t>
  </si>
  <si>
    <t xml:space="preserve"> IMPUESTO PREDIAL UNIFICADO </t>
  </si>
  <si>
    <t xml:space="preserve"> CUOTA DE FISCALIZACIÓN Y AUDITAJE </t>
  </si>
  <si>
    <t>1.00.0000.00.0-101024.2.1.1.01.01.001.08.01</t>
  </si>
  <si>
    <t>MODIFICACION NO. 6  AL  CONTRATO: 552-2020/CONTRATO INTERADMINISTRATIVO DE ADMINISTRACIÓN DELEGADA PARA PRESTACIÓN DE LOS SERVICIOS DE VIGILANCIA Y SEGURIDAD PRIVADA REQUERIDOS PARA EL PERSONAL DE INDEPORTES ANTIOQUIA, SUS SEDES Y LOS CONTENIDOS DE ESTAS.</t>
  </si>
  <si>
    <t>1.00.0000.00.0-101024.2.1.2.02.02.008.05.</t>
  </si>
  <si>
    <t xml:space="preserve">SERVICIOS PÚBLICOS - ENERGÍA, ACUEDUCTO, ALCANTARILLADO, GAS Y AGUA </t>
  </si>
  <si>
    <t>1.00.0000.00.0-101024.2.1.2.02.02.006.03.</t>
  </si>
  <si>
    <t xml:space="preserve">SERVICIOS PÚBLICOS - TELECOMUNICACIONES (TV, CELULAR, INTERNET) </t>
  </si>
  <si>
    <t xml:space="preserve">CAJA MENOR, SERVICIOS DE SUMINISTRO DE COMIDAS Y BEBIDAS; SERVICIOS DE TRANSPORTE </t>
  </si>
  <si>
    <t xml:space="preserve">CAJA MENOR INTERESES Y SEGUROS </t>
  </si>
  <si>
    <t xml:space="preserve">CAJA MENOR SERVICIOS PRESTADOS A LAS EMPRESAS Y SERVICIOS DE PRODUCCIÓN  </t>
  </si>
  <si>
    <t xml:space="preserve">CAJA MENOR CAJA MENOR OTROS BIENES TRANSPORTABLES (EXCEPTO PRODUCTOS METÁLICOS, MAQUINARIA Y EQUIPO) </t>
  </si>
  <si>
    <t>SERVICIOS PARA LA COMUNIDAD, SOCIALES Y PERSONALES - APOYOS, APROVECHAMIENTO Y CAPACITACIÓN  (CAPACITACON X DEMANDA $25MM; APOYO SALUD Y LENTES: $42; TIEMPO LIBRE; $28MM; SEGUNDA LENGUA; 10MM)- SE TRASLADA A RUBROS ESPECIFICOS RES DEL 23 DE ENERO DE 2024</t>
  </si>
  <si>
    <t>ADICION Y PRÓRROGA 1 AL CONTRATO 514 DE 2022: CONTRATAR UNA COMPAÑÍA DE SEGUROS PARA LA ADQUISICIÓN DE LA PÓLIZA DE VIDA PARA LOS FUNCIONARIOS DE INDEPORTES ANTIOQUIA, EN EL MARCO DEL PLAN DE BIENESTAR LABORAL.</t>
  </si>
  <si>
    <t>77115000 </t>
  </si>
  <si>
    <t>SERVICIO DE COMPENSACIÓN DE HUELLA DE CARBONO PARA INDEPORTES ANTIOQUIA.</t>
  </si>
  <si>
    <t>DISPONIBLE LIBERACIÓN SUBGERENCIA ADMINISTRATIVA Y FINANCIERA 31 DE DICIEMBRE DE 2025</t>
  </si>
  <si>
    <t>MODIFICACIÓN No. 1 AL CONTRATO 350 DE 2024 CUYO OBJETO ES PRESTACIÓN DE SERVICIOS PROFESIONALES COMO ABOGADO PARA INDEPORTES ANTIOQUIA</t>
  </si>
  <si>
    <t>PRESTACIÓN DE SERVICIOS PROFESIONALES Y DE APOYO A LA GESTIÓN</t>
  </si>
  <si>
    <t>DISPONIBLE LIBERACIÓN SUBGERENCIA ADMINISTRATIVA Y FINANCIERA (202401018602 DEL 9 DE DICIEMBRE DE 2024)</t>
  </si>
  <si>
    <t>ADICION Y PRÓRROGA 1 AL CONTRATO 544 DE 2022: 	CONTRATAR UNA COMPAÑÍA DE SEGUROS PARA LA ADQUISICIÓN DE LA PÓLIZA DE EXEQUIAS PARA LOS FUNCIONARIOS DE INDEPORTES ANTIOQUIA, EN EL MARCO DEL PLAN DE BIENESTAR LABORAL.</t>
  </si>
  <si>
    <t xml:space="preserve">DISPONIBLE SEGUROS </t>
  </si>
  <si>
    <t>1.00.0000.00.4-205616.2.1.1.01.01.001.10.</t>
  </si>
  <si>
    <t>APOYO SALUD Y LENTES</t>
  </si>
  <si>
    <t>1.00.0000.00.4-205616.2.1.1.01.03.110.</t>
  </si>
  <si>
    <t>CAPACITACIÓN POR DEMANDA</t>
  </si>
  <si>
    <t>1.00.0000.00.0-101024.2.1.1.01.03.111.01.</t>
  </si>
  <si>
    <t>APOYO PARA EL APRENDIZAJE DE LA SEGUNDA LENGUA</t>
  </si>
  <si>
    <t xml:space="preserve">APROVECHAMIENTO DEL TIEMPO LIBRE </t>
  </si>
  <si>
    <t>1.00.0000.00.4-205616.2.1.1.01.03.113.</t>
  </si>
  <si>
    <t>DISPONIBLE LIBERACIÓN SUBGERENCIA ADMINISTRATIVA Y FINANCIERA (202401018602 DEL 9 DE DICIEMBRE DE 2024</t>
  </si>
  <si>
    <t>MANTENIMIENTO PREVENTIVO Y CORRECTIVO DE LOS VEHÍCULOS DE INDEPORTES ANTIOQUIA.</t>
  </si>
  <si>
    <t>ACUERDO SINDICAL BICICLETA PRESTAMOS REEMBOLSABLES</t>
  </si>
  <si>
    <t>1.00.0000.00.0-205616.2.1.6.01.04.010.</t>
  </si>
  <si>
    <t>DISPONIBLE LIBERACIÓN SUBGERENCIA ADMINISTRATIVA Y FINANCIERA 202401020441 DEL 26 DE DICIEMBRE DE 2024</t>
  </si>
  <si>
    <t>MODIFICACIÓN CONTRATO 442-2021/CONTRATACIÓN DE UNA EMPRESA QUE SUMINISTRE EL PERSONAL NECESARIO PARA LA PRESTACIÓN DE LOS SERVICIOS DE ASEO, OFICIOS VARIOS, MANTENIMIENTOS, PORTERÍA, RECEPCIONISTA, CAMARERÍA, SEGÚN CORRESPONDA, EN LAS INSTALACIONES DE INDEPORTES ANTIOQUIA Y SUS DIFERENTES SEDES</t>
  </si>
  <si>
    <t>PRESTACIÓN DE SERVICIOS PARA LA ADQUISICIÓN DE TIQUETES AEREOS NACIONALES E INTERNACIONALES PARA  LOS FUNCIONARIOS Y MIEMBROS DE LA JUNTA DIRECTIVA DE INDEPORTES ANTIOQUIA</t>
  </si>
  <si>
    <t>DISPONIBLE LIBERACIÓN SUBGERENCIA ADMINISTRATIVA Y FINANCIERA 20240102466 DEL 26 DE DICIEMBRE DE 2024</t>
  </si>
  <si>
    <t>1.00.0000.00.4-205616.2.1.2.02.01.003.03.</t>
  </si>
  <si>
    <t>COMPRA DE MATERIALES DE FERRETERÍA Y EQUIPOS ELÉCTRICOS Y ELECTRÓNICOS PARA INDEPORTES ANTIOQUIA.</t>
  </si>
  <si>
    <t>85101600; 80111500</t>
  </si>
  <si>
    <t>PRESTACIÓN DE SERVICIOS PARA EJECUTAR LOS PROGRAMAS, ACTIVIDADES Y EVENTOS CORRESPONDIENTES AL PLAN DE BIENESTAR DE INDEPORTES ANTIOQUIA.</t>
  </si>
  <si>
    <t>DISPONIBLE REALIZAR LA ADECUACIÓN,  MANTENIMIENTO PREVENTIVO,CORRECTIVO DEL SISTEMA DE AIRE ACONDICIONADO DE LA SEDE PRINCIPAL DE INDEPORTES ANTIOQUIA</t>
  </si>
  <si>
    <t>MODIFICACIÓN No 1. AL CONTRATO 297 DE 2024 CUYO OBJETO ES PRESTACIÓN DE SERVICIOS PROFESIONALES DE UN ABOGADO PARA INDEPORTES ANTIOQUIA</t>
  </si>
  <si>
    <t>DISPONIBLE LIBERACIÓN SUBGERENCIA ADMINISTRATIVA Y FINANCIERA 202401020577 DEL 26 DE DICIEMBRE DE 2024</t>
  </si>
  <si>
    <t>1262A</t>
  </si>
  <si>
    <t>DISPONIBLE LIBERACIÓN SUBGERENCIA ADMINISTRATIVA Y FINANCIERA</t>
  </si>
  <si>
    <t>DISPONIBLE LIBERACIÓN SUBGERENCIA ADMINISTRATIVA Y FINANCIERA 202401020640 DEL 27 DE DICIEMBRE DE 2025</t>
  </si>
  <si>
    <t>PRESTACIÓN DE SERVICIOS DE APOYO PARA LA GESTIÓN ADMINISTRATIVA DE LOS RECURSOS Y EL PLAN DE MANTENIMIENTO DE INDEPORTES ANTIOQUIA.</t>
  </si>
  <si>
    <t>PRESTACIÓN DE SERVICIOS PROFESIONALES COMO ABOGADO PARA INDEPORTES ANTIOQUIA</t>
  </si>
  <si>
    <t>CONTRATO INTERADMINISTRATIVO PARA DESARROLLAR ESTUDIO TÉCNICO SEGÚN LA METODOLOGÍA DEL DEPARTAMENTO ADMINISTRATIVO DE LA FUNCIÓN PÚBLICA PARA EL PROCESO DE MODERNIZACIÓN DE INDEPORTES ANTIOQUIA, SU ESTRUCTURA ORGANIZACIONAL Y ACOMPAÑAMIENTO EN LA IMPLEMENTACIÓN.</t>
  </si>
  <si>
    <t xml:space="preserve">CONTRATO INTERADMINISTRATIVO PARA DESARROLLAR ESTUDIO TÉCNICO SEGÚN LA METODOLOGÍA DEL DEPARTAMENTO ADMINISTRATIVO DE LA FUNCIÓN PÚBLICA PARA EL PROCESO DE MODERNIZACIÓN DE INDEPORTES ANTIOQUIA, SU ESTRUCTURA ORGANIZACIONAL Y ACOMPAÑAMIENTO EN LA IMPLEMENTACIÓN. </t>
  </si>
  <si>
    <t>DISPONIBLE LIBERACIÓN SUBGERENCIA ADMINISTRATIVA Y FINANCIERA DEL 31 DE DICIEMBRE DE 2024</t>
  </si>
  <si>
    <t>DESARROLLAR EL PLAN INSTITUCIONAL DE CAPACITACIONES PARA LOS FUNCIONARIOS DE INDEPORTES ANTIOQUIA</t>
  </si>
  <si>
    <t>ADICION Y PRÓRROGA 1 AL CONTRATO  424 DEL 2023: CONTRATAR UN PRESTADOR DE SERVICIOS PRE-HOSPITALARIOS PARA LAS SEDES DE INDEPORTES ANTIOQUIA UBICADAS EN EL MUNICIPIO DE MEDELLÍN</t>
  </si>
  <si>
    <t>1.00.0000.00.0-205616.2.1.2.02.02.009.03.</t>
  </si>
  <si>
    <t>DISPONIBLE LIBERACIÓN PRE HOSPITALARIOS</t>
  </si>
  <si>
    <t>CONTRATAR UN PRESTADOR DE SERVICIOS PRE HOSPITALARIOS PARA LAS SEDES DE INDEPORTES ANTIOQUIA EN EL MUNICIPIO DE MEDELLIN</t>
  </si>
  <si>
    <t>MODIFICACION AL  CONTRATO: 552-2020/CONTRATO INTERADMINISTRATIVO DE ADMINISTRACIÓN DELEGADA PARA PRESTACIÓN DE LOS SERVICIOS DE VIGILANCIA Y SEGURIDAD PRIVADA REQUERIDOS PARA EL PERSONAL DE INDEPORTES ANTIOQUIA, SUS SEDES Y LOS CONTENIDOS DE ESTAS.</t>
  </si>
  <si>
    <t>PRESTACION DE SERVICIOS DE APOYO A LA GESTIÓN EN TEMAS DE ARCHIVO DE INDEPORTES ANTIOQUIA</t>
  </si>
  <si>
    <t>CONTRATO DE PRESTACIÓN DE SERVICIOS DE APOYO A LA GESTIÓN ADMINISTRATIVA DE  INDEPORTES ANTIOQUIA.</t>
  </si>
  <si>
    <t>DISPONIBLE LIBERACIÓN SUBGERENCIA ADMINISTRATIVA Y FINANCIERA 202401020335 DEL 23 DE DICIEMBRE DE 2024</t>
  </si>
  <si>
    <t>CONTRATO DE PRESTACIÓN DE SERVICIOS PROFESIONALES COMO CONTADOR PARA INDEPORTES ANTIOQUIA.</t>
  </si>
  <si>
    <t>DISPONIBLE LIBERACIÓN SUBGERENCIA ADMINISTRATIVA Y FINANCIERA 202401020364 DEL 24 DE DICIEMBRE DE 2024</t>
  </si>
  <si>
    <t>PRESTACIÓN DE SERVICIOS DE APOYO  COMO TECNOLOGA EN ADMINISTRACIÓN DOCUMENTAL DE INDEPORTES ANTIOQUIA</t>
  </si>
  <si>
    <t>PRESTACIÓN DE SERVICIOS DE APOYO A LA GESTIÓN COMO TÉCNICA EN ASISTENCIA DE ORGANIZACIÓN DE ARCHIVOS EN INDEPORTES ANTIOQUIA</t>
  </si>
  <si>
    <t>PRESTACIÓN DE SERVICIOS DE APOYO A LA GESTIÓN EN LOS PROCESOS FINANCIEROS DE INDEPORTES ANTIOQUIA.</t>
  </si>
  <si>
    <t>CONTRATO DE PRESTACIÓN DE SERVICIOS PROFESIONALES COMO ABOGADA PARA INDEPORTES ANTIOQUIA.</t>
  </si>
  <si>
    <t>PRESTACIÓN DE SERVICIOS PROFESIONALES ESPECIALIZADOS PARA EL ACOMPAÑAMIENTO A LOS PROCESOS ADMINISTRATIVOS Y FINANCIEROS DE INDEPORTES ANTIOQUIA.</t>
  </si>
  <si>
    <t>PRESTACIÓN DE SERVICIOS DE APOYO A LA GESTIÓN EN LAS ACTIVIDADES DERIVADAS DE LOS PROGRAMAS QUE REALIZA LA OFICINA DE TALENTO HUMANO DE INDEPORTES ANTIOQUIA</t>
  </si>
  <si>
    <t>PRESTACIÓN DE SERVICIOS DE APOYO EN LA ORGANIZACIÓN DEL ARCHIVO DE GESTIÓN DE LAS DIFERENTES DEPENDENCIAS DE INDEPORTES ANTIOQUIA</t>
  </si>
  <si>
    <t>PRESTACIÓN DE SERVICIOS PROFESIONALES DE UN ABOGADO PARA INDEPORTES ANTIOQUIA</t>
  </si>
  <si>
    <t>PRESTACIÓN DE SERVICIOS  DE APOYO A LA GESTIÓN ADMINISTRATIVA EN LA SUBGERENCIA ADMINISTRATIVA Y FINANCIERA DE  INDEPORTES ANTIOQUIA</t>
  </si>
  <si>
    <t>PRESTACIÓN DE SERVICIOS PROFESIONALES PARA APOYAR EN LOS DIFERENTES PROCESOS DE LA SUBGERENCIA ADMINISTRATIVA Y FINANCIERA</t>
  </si>
  <si>
    <t>52010703-Ejecutar Juegos Deportivos Departamentales</t>
  </si>
  <si>
    <t>DISPONIBLE LIBERACIÓN SUBGERENCIA DE FOMENTO Y DESARROLLO DEPORTIVO 202401020725 31/12/2024</t>
  </si>
  <si>
    <t>3.43.4301.73.0-492231.2.3.2.02.02.009.59.</t>
  </si>
  <si>
    <t>CONVENIO INTERADMINISTRATIVO PARA EL DESARROLLO Y PROMOCIÓN DEL DEPORTE SOCIAL COMUNITARIO Y EL APOYO EN LA REALIZACIÓN DE LA FINAL DE LOS JUEGOS DEPORTIVOS DEPARTAMENTALES 2024 QUE TENDRÁ COMO SEDE ANDES ANTIOQUIA.</t>
  </si>
  <si>
    <t>3.43.4301.73.0-205128.2.3.2.02.02.009.43.</t>
  </si>
  <si>
    <t>52010702-Realizar apoyo al desarrollo deportivo municipal</t>
  </si>
  <si>
    <t>3.43.4301.01.0-101024.2.3.2.02.02.009.39.</t>
  </si>
  <si>
    <t>DISPONIBLE LIBERACIÓN SUBGERENCIA DE FOMENTO Y DESARROLLO DEPORTIVO 202401020608</t>
  </si>
  <si>
    <t>CONVENIO INTERADMINISTRATIVO PARA EL DESARROLLO Y PROMOCIÓN DEL DEPORTE SOCIAL COMUNITARIO Y EL APOYO EN LA REALIZACIÓN DE LA FINAL DE LOS JUEGOS DEPORTIVOS DEPARTAMENTALES 2024 QUE TENDRÁ COMO SEDE JARDIN ANTIOQUIA.</t>
  </si>
  <si>
    <t>3.43.4301.73.0-101024.2.3.2.02.02.009.42.</t>
  </si>
  <si>
    <t>3.43.4301.73.0-205400.2.3.2.02.02.009.52.</t>
  </si>
  <si>
    <t>3.43.4301.73.4-205400.2.3.2.02.02.009.45.</t>
  </si>
  <si>
    <t>3.43.4301.73.4-271130.2.3.2.02.02.009.46.</t>
  </si>
  <si>
    <t>3.43.4301.73.0-205128.2.3.2.02.02.009.50.</t>
  </si>
  <si>
    <t>3.43.4301.01.0-205400.2.3.2.02.02.009.58.</t>
  </si>
  <si>
    <t>DISPONIBLE LIBERACIÓN SUBGERENCIA DE FOMENTO Y DESARROLLO DEPORTIVO 202401020392 DEL 24 DE DICIEMBRE DE 2024</t>
  </si>
  <si>
    <t>CONTRATO INTERADMINISTRATIVO DE MANDATO SIN REPRESENTACIÓN PARA LO OPERACIÓN LOGÍSTICA RELACIONADA CON LAS FASES ZONAL REGIONAL Y FINAL NACIONAL DE LOS JUEGOS INTERCOLEGIADOS 2023, EN EL MARCO DEL PROYECTO "FORTALECIMIENTO DE LOS JUEGOS DEL SECTOR EDUCATIVO EN EL DEPARTAMENTO DE ANTIOQUIA".</t>
  </si>
  <si>
    <t>CONTRATO INTERADMINISTRATIVO DE MANDATO SIN REPRESENTACIÓN PARA LO OPERACIÓN LOGÍSTICA RELACIONADA CON LAS FASES ZONAL REGIONAL Y FINAL NACIONAL DE LOS JUEGOS INTERCOLEGIADOS 2023, EN EL MARCO DEL PROYECTO "FORTALECIMIENTO DE LOS JUEGOS DEL SECTOR EDUCATIVO EN EL DEPARTAMENTO DE ANTIOQUIA".(TASA PRODEPORTE)</t>
  </si>
  <si>
    <t>PRESTACIÓN DE SERVICIOS DE APOYO A LA IMPLEMENTACIÓN DEL PROCESO DE SERVICIO AL CIUDADANO A CARGO DE LA SUBGERENCIA ADMINISTRATIVA Y FINANCIERA.</t>
  </si>
  <si>
    <t>PRESTACIÓN DE SERVICIOS DE APOYO EN LA ORGANIZACIÓN DEL ARCHIVO DE GESTIÓN DE LAS DIFERENTES DEPENDENCIAS DE INDEPORTES ANTIOQUIA.</t>
  </si>
  <si>
    <t>DISPONIBLE LIBERACIÓN SUBGERENCIA ADMINISTRATIVA Y FINANCIERA 202401020360 DEL 24 DE DICIEMBRE DE 2024</t>
  </si>
  <si>
    <t>PRESTACIÓN DE SERVICIOS DE CONSULTA, SEGUIMIENTO DIARIO A LOS PROCESOS JUDICIALES Y NOTIFICACIÓN DE LAS ACTUACIONES QUE SE GENEREN EN LOS PROCESOS EN LOS QUE SEA PARTE INDEPORTES ANTIOQUIA.</t>
  </si>
  <si>
    <t>MODIFICACIÓN No. 1 AL CONTRATO 347 DE 2024 CUYO OBJETO ES PRESTACIÓN DE SERVICIOS PROFESIONALES COMO ABOGADO PARA INDEPORTES ANTIOQUIA</t>
  </si>
  <si>
    <t xml:space="preserve">PRESTACIÓN DE SERVICIOS PROFESIONALES Y DE APOYO A LA GESTIÓN  </t>
  </si>
  <si>
    <t>DISPONIBLE LIBERACIÓN SUBGERENCIA ADMINISTRATIVA Y FINANCIERA 202401020361 DEL 24 DE DICIEMBRE DE 2024</t>
  </si>
  <si>
    <t>ADICION Y PRÓRROGA 2 AL CONTRATO 514 DE 2022: CONTRATAR UNA COMPAÑÍA DE SEGUROS PARA LA ADQUISICIÓN DE LA PÓLIZA DE VIDA PARA LOS FUNCIONARIOS DE INDEPORTES ANTIOQUIA, EN EL MARCO DEL PLAN DE BIENESTAR LABORAL.</t>
  </si>
  <si>
    <t>ADICION Y PRÓRROGA 2 AL CONTRATO 544 DE 2022: 	CONTRATAR UNA COMPAÑÍA DE SEGUROS PARA LA ADQUISICIÓN DE LA PÓLIZA DE EXEQUIAS PARA LOS FUNCIONARIOS DE INDEPORTES ANTIOQUIA, EN EL MARCO DEL PLAN DE BIENESTAR LABORAL.</t>
  </si>
  <si>
    <t>DISPONIBLE LIBERACIÓN SUBGERENCIA ADMINISTRATIVA Y FINANCIERA 202401020579 DEL 26 DE DICIEMBRE DE 2024</t>
  </si>
  <si>
    <t>1.00.0000.00.0-101024.2.1.2.02.01.003.04.</t>
  </si>
  <si>
    <t>1.00.0000.00.4-205616.2.1.2.02.02.007.03.</t>
  </si>
  <si>
    <t>ADICION Y PRÓRROGA 1 AL CONTRATO 357 DE 2023: CONTRATAR LA ADQUISICIÓN DE LAS PÓLIZAS DE SEGUROS REQUERIDAS PARA AMPARAR Y PROTEGER LAS PERSONAS, LOS ACTIVOS E INTERESES PATRIMONIALES, LOS BIENES MUEBLES E INMUEBLES DE INDEPORTES ANTIOQUIA Y DE AQUELLOS POR LOS QUE SEA O LLEGARE A SER LEGALMENTE RESPONSABLE, O LE CORRESPONDA ASEGURAR EN VIRTUD DE DISPOSICIÓN LEGAL O CONTRACTUAL GRUPO I, GRUPO II Y GRUPO III.</t>
  </si>
  <si>
    <t>SERVICIO DE FUMIGACIÓN Y CONTROL DE INSECTOS (RASTREROS Y VOLADORES), ROEDORES. CONTROL DE CHINCHES, DESINFECCIÓN AMBIENTAL EN LAS SEDES DE INDEPORTES ANTIOQUIA.</t>
  </si>
  <si>
    <t>COLABORACIÓN Y APOYO A LA GESTIÓN ADMINISTRATIVA DEL INSTITUTO DEPARTAMENTAL DE DEPORTES DE ANTIOQUIA PARA INCLUIR SUS BIENES E INTERESES PATRIMONIALES EN EL PROCESO DE SELECCIÓN QUE ADELANTA EL DEPARTAMENTO DE ANTIOQUIA PARA CONTRATAR EL PROGRAMA DE SEGUROS PARA LA VIGENCIA 2024 – 2025.</t>
  </si>
  <si>
    <t>MODIFICACION NO. 5  AL  CONTRATO: 552-2020/CONTRATO INTERADMINISTRATIVO DE ADMINISTRACIÓN DELEGADA PARA PRESTACIÓN DE LOS SERVICIOS DE VIGILANCIA Y SEGURIDAD PRIVADA REQUERIDOS PARA EL PERSONAL DE INDEPORTES ANTIOQUIA, SUS SEDES Y LOS CONTENIDOS DE ESTAS.</t>
  </si>
  <si>
    <t>REALIZAR EL MANTENIMIENTO PREVENTIVO Y CORRECTIVO DE LAS TRAMPAS DE GRASA Y DE LOS SISTEMAS DE AGUAS RESIDUALES DE LAS SEDES DE INDEPORTES ANTIOQUIA</t>
  </si>
  <si>
    <t>DISPONIBLE LIBERACIÓN SUBGERENCIA ADMINISTRATIVA Y FINANCIERA 202401020458 DEL 26 DE DICIEMBRE DE 2024</t>
  </si>
  <si>
    <t>PRESTACIÓN DE SERVICIOS PROFESIONALES COMO ABOGADA PARA INDEPORTES ANTIOQUIA</t>
  </si>
  <si>
    <t>837A</t>
  </si>
  <si>
    <t>PRESTACIÓN DE SERVICIOS DE APOYO A LA GESTIÓN EN LAS ACTIVIDADES RELACIONADAS CON EL ARCHIVO Y GESTIÓN DOCUMENTAL DE LA ENTIDAD</t>
  </si>
  <si>
    <t>DISPONIBLE LIBERACIÓN SUBGERENCIA ADMINISTRATIVA Y FINANCIERA 202401020430 DEL 26 DE DICIEMBRE DE 2024</t>
  </si>
  <si>
    <t>CONTRATO DE PRESTACIÓN DE SERVICIOS PROFESIONALES ESPECIALIZADOS EN MATERIA JURÍDICA PARA INDEPORTES ANTIOQUIA</t>
  </si>
  <si>
    <t>PRESTACIÓN DE SERVICIOS PROFESIONALES ESPECIALIZADOS  PARA EL ACOMPAÑAMIENTO DE LOS PROCESOS ADMINISTRATIVOS DE INDEPORTES ANTIOQUIA</t>
  </si>
  <si>
    <t>PRESTACIÓN DE SERVICIOS DE APOYO A LA GESTIÓN ADMINISTRATIVA, JURÍDICA Y CONTRACTUAL EN INDEPORTES ANTIOQUIA</t>
  </si>
  <si>
    <t>PRESTACIÓN DE SERVICIOS DE APOYO A LA IMPLEMENTACIÓN DEL PROCESO DE SERVICIO AL CIUDADANO DE INDEPORTES ANTIOQUIA</t>
  </si>
  <si>
    <t>DISPONIBLE REPOSICIÓN ELEMENTOS DE BOTIQUIENES</t>
  </si>
  <si>
    <t>46182205;
56112104</t>
  </si>
  <si>
    <t>SUMINISTRO DE MOBILIARIO DE OFICINA PARA LOS PUESTOS DE TRABAJO DE INDEPORTES ANTIOQUIA.</t>
  </si>
  <si>
    <t xml:space="preserve">OCTUBRE </t>
  </si>
  <si>
    <t>SUMINISTRO Y RECARGA DE EXTINTORES Y SUS ELEMENTOS COMPLEMENTARIOS PARA TODAS LAS SEDES DE INDEPORTES ANTIOQUIA</t>
  </si>
  <si>
    <t>DISPONIBLE LIBERACIÓN SUBGERENCIA ADMINISTRATIVA Y FINANCIERA (202401016228 DEL 05 DE NOVIEMBRE DE 2024)</t>
  </si>
  <si>
    <t>DISPONIBLE LIBERACIÓN SUBGERENCIA ADMINISTRATIVA Y FINANCIERA 202401020495 DEL 26 DE DICIEMBRE DE 2024</t>
  </si>
  <si>
    <t>PRESTACIÓN DE SERVICIOS PROFESIONALES PARA APOYAR LA IMPLEMENTACIÓN DE PROCEDIMIENTOS ADMINISTRATIVOS Y/O FINANCIEROS DE LA OFICINA DE TALENTO HUMANO</t>
  </si>
  <si>
    <t>PRESTACIÓN DE SERVICIOS DE APOYO PARA INDEPORTES ANTIOQUIA</t>
  </si>
  <si>
    <t>DISPONIBLE LIBERACIÓN OFICINA DE TALENTO HUMANO 2024011020057 DEL 19 DE DICIEMBRE DE 2024</t>
  </si>
  <si>
    <t xml:space="preserve">CONTRATO DE PRESTACIÓN DE SERVICIOS PROFESIONALES Y DE APOYO A LA GESTIÓN PARA LA REALIZACIÓN DE AUDITORÍAS EXTERNAS. </t>
  </si>
  <si>
    <t>ADICIÓN 1 AL CONTRATO 362 DE 2024 CUYO OBJETO ES: MANTENIMIENTO PREVENTIVO Y CORRECTIVO DE LOS VEHÍCULOS DE INDEPORTES ANTIOQUIA.</t>
  </si>
  <si>
    <t>PRESTACIÓN DE SERVICIOS DE APOYO PARA INDEPORTES ANTIOQUIA.</t>
  </si>
  <si>
    <t>740A</t>
  </si>
  <si>
    <t>CONTRATO INTERADMINISTRATIVO DE MANDATO SIN REPRESENTACIÓN BAJO LA MODALIDAD DE ADMINISTRACIÓN DELEGADA DE RECURSOS, PARA LA PRESTACIÓN DE SERVICIOS DE TRANSPORTE PARA EL DESARROLLO DE LAS ACTIVIDADES DE INDEPORTES ANTIOQUIA</t>
  </si>
  <si>
    <t>ADQUIRIR EL PROGRAMA DE SEGUROS REQUERIDO PARA LA ADECUADA PROTECCIÓN DE LOS BIENES E INTERESES PATRIMONIALES DEL DEPARTAMENTO DE ANTIOQUIA Y LAS DEMÁS ENTIDADES PÚBLICAS VINCULADAS AL PROCESO, ASÍ COMO DE AQUELLOS POR LOS QUE SEA O FUERE LEGALMENTE RESPONSABLE O LE CORRESPONDA ASEGURAR EN VIRTUD DE LA DISPOSICIÓN LEGAL O CONTRACTUAL.</t>
  </si>
  <si>
    <t xml:space="preserve">N/A                     </t>
  </si>
  <si>
    <t xml:space="preserve">SENTENCIAS, CONCILIACIONES Y FALLOS </t>
  </si>
  <si>
    <t>1.00.0000.00.4-205616.2.1.3.13.01.001.</t>
  </si>
  <si>
    <t>PRESTACIÓN DE SERVICIOS PROFESIONALES COMO ADMINISTRADORA PÚBLICA PARA INDEPORTES ANTIOQUIA</t>
  </si>
  <si>
    <t>CONTRATO DE COMODATO CON LA LIGA ANTIOQUEÑA DE LEVANTAMIENTO DE PESAS PARA EL USO DE LA CASA DEL DEPORTE NEIVA 80.</t>
  </si>
  <si>
    <t xml:space="preserve">DISPONIBLE PARA TRASLADO (SEGUROS) </t>
  </si>
  <si>
    <t>ADICION Y PRÓRROGA 2 AL CONTRATO 357 DE 2023: CONTRATAR LA ADQUISICIÓN DE LAS PÓLIZAS DE SEGUROS REQUERIDAS PARA AMPARAR Y PROTEGER LAS PERSONAS, LOS ACTIVOS E INTERESES PATRIMONIALES, LOS BIENES MUEBLES E INMUEBLES DE INDEPORTES ANTIOQUIA Y DE AQUELLOS POR LOS QUE SEA O LLEGARE A SER LEGALMENTE RESPONSABLE, O LE CORRESPONDA ASEGURAR EN VIRTUD DE DISPOSICIÓN LEGAL O CONTRACTUAL GRUPO I, GRUPO II Y GRUPO III.</t>
  </si>
  <si>
    <t>1.00.0000.00.0-101024.2.1.2.02.02.007.04.</t>
  </si>
  <si>
    <t>DISPONIBLE LIBERACIÓN SUBGERENCIA ADMINISTRATIVA Y FINANCIERA (202401013607 DEL 24 DE SEPTIEMBRE DE 2024)</t>
  </si>
  <si>
    <t>ADICION Y PRÓRROGA 3 AL CONTRATO 544 DE 2022: 	CONTRATAR UNA COMPAÑÍA DE SEGUROS PARA LA ADQUISICIÓN DE LA PÓLIZA DE EXEQUIAS PARA LOS FUNCIONARIOS DE INDEPORTES ANTIOQUIA, EN EL MARCO DEL PLAN DE BIENESTAR LABORAL.</t>
  </si>
  <si>
    <t>ADICION Y PRÓRROGA 3 AL CONTRATO 514 DE 2022: CONTRATAR UNA COMPAÑÍA DE SEGUROS PARA LA ADQUISICIÓN DE LA PÓLIZA DE VIDA PARA LOS FUNCIONARIOS DE INDEPORTES ANTIOQUIA, EN EL MARCO DEL PLAN DE BIENESTAR LABORAL.</t>
  </si>
  <si>
    <t>OTROSÍ NO. 1 MODIFICATORIO AL CONTRATO DE COMODATO NO. 437 DE 2024 SUSCRITO CON LA LIGA ANTIOQUEÑA DE LEVANTAMIENTO DE PESAS PARA EL USO DE LA CASA DEL DEPORTE NEIVA 80.</t>
  </si>
  <si>
    <t>1.00.0000.00.0-101024.2.1.8.04.01.</t>
  </si>
  <si>
    <t xml:space="preserve">DISPONIBLE PARA TRASLADO </t>
  </si>
  <si>
    <t>1.00.0000.00.0-101024.2.1.2.02.02.009.04.</t>
  </si>
  <si>
    <t>1.00.0000.00.0-101024.2.1.1.01.03.113.</t>
  </si>
  <si>
    <t>1.00.0000.00.0-101024.2.1.1.01.03.110.</t>
  </si>
  <si>
    <t xml:space="preserve">ACUERDO FONDO DE EDUCACIÓN </t>
  </si>
  <si>
    <t>1.00.0000.00.0-101024.2.1.1.01.03.111.03.</t>
  </si>
  <si>
    <t>1.00.0000.00.0-101024.2.1.2.02.01.004.01.</t>
  </si>
  <si>
    <t>RECONOMICIENTOS PLAN DE BIENESTAR - INCENTIVOS MEJORES FUNCIONARIOS</t>
  </si>
  <si>
    <t>1.00.0000.00.0-101024.2.1.2.02.02.009.05.</t>
  </si>
  <si>
    <t>PRESTACIÓN DE SERVICIOS PROFESIONALES COMO ADMINISTRADOR DE EMPRESAS PARA INDEPORTES ANTIOQUIA</t>
  </si>
  <si>
    <t xml:space="preserve">52011001-Implementar plan de medios. </t>
  </si>
  <si>
    <t>1.43.4599.77.4-271130.2.3.2.02.02.008.26.</t>
  </si>
  <si>
    <t xml:space="preserve">PRESTACIÓN DE SERVICIOS PROFESIONALES PARA APOYAR LAS ACTIVIDADES COMUNICATIVAS Y PERIODISTICAS QUE CONTRIBUYAN AL FORTALECIMIENTO DE LA IMAGEN INSTITUCIONAL DE INDEPORTES ANTIOQUIA </t>
  </si>
  <si>
    <t xml:space="preserve">CONTRATO INTERADMINISTRATIVO DE MANDATO SIN REPRESENTACIÓN PARA LA OPERACIÓN LOGÍSTICA DE EVENTOS Y LA PRODUCCIÓN AUDIOVISUAL RELACIONADA CON EL FORTALECIMIENTO DE LA IMAGEN INSTITUCIONAL DE INDEPORTES ANTIOQUIA. </t>
  </si>
  <si>
    <t xml:space="preserve">
82101901; 82101902; 82101903; 82101905;</t>
  </si>
  <si>
    <t>CONTRATO INTERADMINISTRATIVO DE MANDATO, SIN REPRESENTACIÓN, PARA EL DESARROLLO Y LA EJECUCIÓN DEL PLAN DE MEDIOS Y LAS ESTRATEGIAS COMUNICACIONALES DE INDEPORTES ANTIOQUIA</t>
  </si>
  <si>
    <t>DISPONIBLE LIBERACIÓN SUBGERENCIA ADMINISTRATIVA Y FINANCIERA 202401020696 DEL 30 DE DICIEMBRE DE 2024</t>
  </si>
  <si>
    <t>PROMOVER LA IMAGEN INSTITUCIONAL DE INDEPORTES ANTIOQUIA, EN LA CARRERA RECREATIVA POR LA INCLUSIÓN SOCIAL "CORRE POR AMOR" VERSIÓN 2024.</t>
  </si>
  <si>
    <t>PRESTACIÓN DE SERVICIOS PROFESIONALES PARA APOYAR LAS ACTIVIDADES COMUNICATIVAS Y PERIODÍSTICAS QUE CONTRIBUYAN A LA DIVULGACIÓN DE LAS ACCIONES MISIONALES DE INDEPORTES ANTIOQUIA.</t>
  </si>
  <si>
    <t>DISPONIBLE COMUNICACIONES</t>
  </si>
  <si>
    <t xml:space="preserve">DISPONIBLE PARA PLAN DE MEDIOS </t>
  </si>
  <si>
    <t>DISPONIBLE LIBERACIÓN SUBGERENCIA ADMINISTRATIVA Y FINANCIERA 202401020625 DEL 27 DE DICIEMBRE DE 2024</t>
  </si>
  <si>
    <t>PRESTACIÓN DE SERVICIOS COMO TÉCNICO EN DISEÑO GRÁFICO Y PRODUCCIÓN AUDIO VISUAL PARA INDEPORTES ANTIOQUIA.</t>
  </si>
  <si>
    <t xml:space="preserve">DISPONIBLE PRESTACIÓN DE SERVICIOS PROFESIONALES Y DE APOYO A LA GESTIÓN </t>
  </si>
  <si>
    <t xml:space="preserve">DISPONIBLE APOYO A EVENTOS </t>
  </si>
  <si>
    <t>CONTRATO INTERADMINISTRATIVO  PARA LA EMISIÓN DEL MAGAZÍN DEPORTIVO PRODUCIDO POR INDEPORTES ANTIOQUIA</t>
  </si>
  <si>
    <t>DISPONIBLE LIBERACIÓN SUBGERENCIA ADMINISTRATIVA Y FINANCIERA 202401020575 DEL 26 DE DICIEMBRE DE 2024</t>
  </si>
  <si>
    <t xml:space="preserve">52011001-Realizar seguimiento y monitoreo a las políticas </t>
  </si>
  <si>
    <t>1.45.4599.77.0-205128.2.3.2.02.02.008.28.</t>
  </si>
  <si>
    <t>52011001-Actualizar sistema de gestión de calidad</t>
  </si>
  <si>
    <t xml:space="preserve">52011001-Mejorar sistema información observatorio </t>
  </si>
  <si>
    <t>PRESTACIÓN DE SERVICIOS PROFESIONALES ESPECIALIZADOS EN ANALÍTICA DE DATOS PARA INDEPORTES ANTIOQUIA</t>
  </si>
  <si>
    <t xml:space="preserve">DISPONIBLE APOYO ESTRATEGICO PLANEACIÓN </t>
  </si>
  <si>
    <t xml:space="preserve">DISPONIBLE APOYO ANALISIS DE DATOS PLANEACIÓN </t>
  </si>
  <si>
    <t>PRESTACIÓN DE SERVICIOS PROFESIONALES ESPECIALIZADOS PARA ACOMPAÑAR EL SEGUIMIENTO A LAS POLÍTICAS PÚBLICAS Y PLANES INSTITUCIONALES INDEPORTES ANTIOQUIA.</t>
  </si>
  <si>
    <t>DISPONIBLE POLITICAS PUBLICAS</t>
  </si>
  <si>
    <t>PRESTACIÓN DE SERVICIOS COMO INGENIERA INDUSTRIAL PARA INDEPORTES ANTIOQUIA</t>
  </si>
  <si>
    <t>CONTRATO INTERADMINISTRATIVO PARA REALIZAR AUDITORÍAS INTERNAS AL SISTEMA INTEGRAL DE GESTIÓN Y FORTALECER CAPACIDADES DE LOS AUDITORES INTERNOS Y SERVIDORES QUE PARTICIPAN EN EL PROCESO.</t>
  </si>
  <si>
    <t xml:space="preserve">DISPONIBLE SISTEMAS DE GESTIÓN </t>
  </si>
  <si>
    <t>PRESTACIÓN DE SERVICIOS PROFESIONALES PARA EL APOYO EN EL MODELO INTEGRADO DE PLANEACIÓN Y GESTIÓN  Y LOS SISTEMAS DE GESTIÓN DE INDEPORTES ANTIOQUIA.</t>
  </si>
  <si>
    <t>PRESTACIÓN DE SERVICIOS DE APOYO A LA GESTIÓN PARA LA ADMINISTRACIÓN DEL SISTEMA DEPORTESANT</t>
  </si>
  <si>
    <t>DISPONIBLE LIBERACIÓN OFICINA DE SISTEMA 202401020624 DEL 27 DE DICIEMBRE DE 2025</t>
  </si>
  <si>
    <t>PRESTACIÓN DE SERVICIOS PROFESIONALES COMO INGENIERA DE SISTEMAS PARA INDEPORTES ANTIOQUIA.</t>
  </si>
  <si>
    <t xml:space="preserve">DISPONIBLE LIBERACIÓN OFICINA DE SISTEMAS </t>
  </si>
  <si>
    <t>PRESTACIÓN DE SERVICIOS PROFESIONALES COMO DESARROLLADOR WEB DE INDEPORTES ANTIOQUIA.</t>
  </si>
  <si>
    <t>PRESTACIÓN DE SERVICIOS PROFESIONALES DE APOYO PARA LA EJECUCIÓN DE ACTIVIDADES RELACIONADAS CON LA PÁGINA WEB Y CON DESARROLLOS WEB DE INDEPORTES ANTIOQUIA</t>
  </si>
  <si>
    <t>PRESTACIÓN DE SERVICIOS PROFESIONALES DE SOPORTE TÉCNICO Y APOYO A LA GESTIÓN DE LA OFICINA DE SISTEMAS E INFORMÁTICA DE INDEPORTES ANTIOQUIA.</t>
  </si>
  <si>
    <t>PRESTACIÓN DE SERVICIOS COMO TÉCNOLOGO EN SISTEMAS PARA INDEPORTES ANTIOQUIA</t>
  </si>
  <si>
    <t>DISPONIBLE LIBERACIÓN OFICINA DE SISTEMAS 202401020723 DEL 31 DE DICIEMBRE DE 2024</t>
  </si>
  <si>
    <t>PRESTACIÓN DE SERVICIOS DE SICOF ERP EN MODALIDAD CLOUD COMPUTING, SOPORTE Y MANTENIMIENTO, ACOMPAÑAMIENTO EN SITIO Y HORAS DE DESARROLLO</t>
  </si>
  <si>
    <t>PRESTACIÓN DE SERVICIOS DE INFRAESTRUCTURA TECNOLÓGICA PARA INDEPORTES ANTIOQUIA</t>
  </si>
  <si>
    <t>SOPORTE TÉCNICO, ACTUALIZACIÓN Y MANTENIMIENTO DEL SISTEMA DE GESTIÓN DOCUMENTAL MERCURIO</t>
  </si>
  <si>
    <t xml:space="preserve">RENOVACIÓN LICENCIAMIENTO DE SOFTWARE DE MESA DE AYUDA SYSAID PARA INDEPORTES ANTIOQUIA EN MODALIDAD DE SOFTWARE COMO SERVICIO (SAAS). </t>
  </si>
  <si>
    <t>PRESTACIÓN DE SERVICIOS DE SEGURIDAD DE LA INFORMACIÓN PARA INDEPORTES ANTIOQUIA</t>
  </si>
  <si>
    <t>ELIMINAR ITEM</t>
  </si>
  <si>
    <t>PRESTACIÓN DE SERVICIOS DE INFRAESTRUCTURA TECNOLÓGICA PARA INDEPORTES ANTIOQUIA.</t>
  </si>
  <si>
    <t>SERVICIO DE MANTENIMIENTO A EQUIPOS DE IMPRESIÓN, ESCÁNERES Y MULTIMEDIA DE INDEPORTES ANTIOQUIA</t>
  </si>
  <si>
    <t>ADQUISICIÓN E IMPLEMENTACIÓN DE SOLUCIÓN DE BACKUP EN LA NUBE PARA OFFICE 365 PARA INDEPORTES ANTIOQUIA</t>
  </si>
  <si>
    <t>MANTENIMIENTO CORRECTIVO A LOS SISTEMAS DE SEGURIDAD FÍSICA DE INDEPORTES ANTIOQUIA</t>
  </si>
  <si>
    <t>CONTRATO INTERADMINISTRATIVO DE MANDATO, SIN REPRESENTACIÓN, PARA REALIZAR LA MIGRACIÓN DE IPV4 A IPV6 DE INDEPORTES ANTIOQUIA</t>
  </si>
  <si>
    <t>RENOVACIÓN DEL LICENCIAMIENTO DEL SOFTWARE HÉRCULES PARA LA GESTIÓN DEPORTIVA DE INDEPORTES ANTIOQUIA, BAJO LA MODALIDAD SAAS</t>
  </si>
  <si>
    <t>PRESTACIÓN DE SERVICIOS PARA EL MANTENIMIENTO DE LA RED LAN Y WLAN DE INDEPORTES ANTIOQUIA.</t>
  </si>
  <si>
    <t xml:space="preserve">MODIFICACIÓN NO. 1 AL CONTRATO 240 DE 2024 </t>
  </si>
  <si>
    <t>PRESTACIÓN DE SERVICIOS PROFESIONALES COMO DESARROLLADOR PARA INDEPORTES ANTIOQUIA.</t>
  </si>
  <si>
    <t xml:space="preserve"> PRESTACIÓN DE SERVICIOS COMO INGENIERO DE SISTEMAS DE INDEPORTES ANTIOQUIA.</t>
  </si>
  <si>
    <t>PRESTACIÓN DE SERVICIOS PARA LA ADMINISTRACIÓN DEL SISTEMA DEPORTESANT DE INDEPORTES ANTIOQUIA</t>
  </si>
  <si>
    <t xml:space="preserve">MODIFICACION NO. 1 AL CONTRATO 318 DE 2024 </t>
  </si>
  <si>
    <t>DISPONIBLE PRESTACION DE SERVICIOS</t>
  </si>
  <si>
    <t>RENOVACIÓN DEL LICENCIAMIENTO DE OFFICE 365 PARA INDEPORTES ANTIOQUIA</t>
  </si>
  <si>
    <t>PRESTACIÓN DE SERVICIOS PROFESIONALES EN LA ATENCIÓN DE LA SALUD BUCODENTAL  DEPORTIVA DE LOS ATLETAS Y PARA ATLETAS QUE APOYA INDEPORTES ANTIOQUIA</t>
  </si>
  <si>
    <t>PRESTACIÓN DE SERVICIOS PROFESIONALES EN LA ATENCIÓN FISIOTERAPÉUTICA DEPORTIVA DE LOS ATLETAS Y PARA-ATLETAS QUE APOYA INDEPORTES ANTIOQUIA</t>
  </si>
  <si>
    <t>PRESTACIÓN DE SERVICIOS PROFESIONALES COMO FISIOTERAPEUTA PARA INDEPORTES ANTIOQUIA.</t>
  </si>
  <si>
    <t>PRESTACIÓN DE SERVICIOS PROFESIONALES EN LA ATENCIÓN DE AYUDAS DIAGNOSTICAS ECOGRÁFICAS A LOS ATLETAS Y PARA ATLETAS QUE APOYA INDEPORTES ANTIOQUIA</t>
  </si>
  <si>
    <t>PRESTACIÓN DE SERVICIOS PROFESIONALES EN LA ATENCIÓN Y DIAGNÓSTICO DE LA ORTOPEDIA Y TRAUMATOLOGÍA A LOS ATLETAS Y PARA ATLETAS QUE APOYA INDEPORTES ANTIOQUIA</t>
  </si>
  <si>
    <t>PRESTACIÓN DE SERVICIOS DE APOYO A LA GESTIÓN EN EL ÁREA DE ODONTOLOGÍA DE INDEPORTES ANTIOQUIA</t>
  </si>
  <si>
    <t xml:space="preserve">APOYO TIPO ALIMENTACIÓN A LOS ATLETAS Y PARA-ATLETAS </t>
  </si>
  <si>
    <t xml:space="preserve">APOYO TIPO  ECONOMICO A LOS ATLETAS Y PARA-ATLETAS </t>
  </si>
  <si>
    <t>APOYO EDUCATIVO PARA ATLETAS, PARA-ATLETAS Y ENTRENADORES</t>
  </si>
  <si>
    <t>CONVENIO CON EL CLUB ESCUELA DE CICLISMO ORGULLO PAISA, PARA LA PREPARACIÓN Y PARTICIPACIÓN DEL EQUIPO DE MASCULINO EN EL CALENDARIO COMPETITIVO 2024, CON PROYECCIÓN AL ALTO RENDIMIENTO EN LAS CATEGORÍAS SUB 23 Y ELITES, PARA EL FORTALECIMIENTO DEL LIDERAZGO DEPORTIVO EN EL DEPARTAMENTO DE ANTIOQUIA.</t>
  </si>
  <si>
    <t>CONVENIO CON LA LIGA DE ATLETISMO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</si>
  <si>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LUCHA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</si>
  <si>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FÚTBOL DE SALÓN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</si>
  <si>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KARATE DO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</si>
  <si>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BALONCESTO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</si>
  <si>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TAEKWONDO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</si>
  <si>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RUGBY FÚTBOL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</si>
  <si>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BOXEO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</si>
  <si>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DISPONIBLE LIBERACIÓN SUBGERENCIA DE ALTOS LOGROS Y DEPORTE ASOCIADO 202401020652 DEL 27 DE DICIEMBRE DE 2025</t>
  </si>
  <si>
    <t xml:space="preserve">52010805-Realizar seguimiento a la operación de los centros de desarrollo </t>
  </si>
  <si>
    <t>2.43.4302.87.0-205400.2.3.3.09.17.</t>
  </si>
  <si>
    <t>52010801-Asignar recursos economicos a las ligas u organizaciones deportivas para la preparacion y participacion de los atletas y para atletas</t>
  </si>
  <si>
    <t>2.43.4301.02.0-205400.2.3.3.09.17.</t>
  </si>
  <si>
    <t xml:space="preserve">52010802-Gestionar la operación administrativa y técnica para la preparacion y participacion de atletas y para atletas </t>
  </si>
  <si>
    <t>2.43.4302.84.0-205400.2.3.2.02.02.009.30.</t>
  </si>
  <si>
    <t>2.43.4301.02.4-101124.2.3.3.09.17.</t>
  </si>
  <si>
    <t xml:space="preserve">52010801-Asignar recursos economicos a las ligas u organizaciones deportivas para la preparacion y participacion de los atletas y para atletas </t>
  </si>
  <si>
    <t>2.43.4301.02.0-101024.2.3.3.09.17.</t>
  </si>
  <si>
    <t>CONVENIO CON LA LIGA ANTIOQUEÑA DE ARQUERÍA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</si>
  <si>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BILLAR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</si>
  <si>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DEPORTIVA DE PERSONAS SORDAS DE ANTIOQUIA LISANT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</si>
  <si>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LIMITACIÓN MENTAL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</si>
  <si>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PARAATLETISMO.</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</si>
  <si>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DEL CLUB DEPORTIVO ANDESIR (PARA-NATACIÓN)</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</si>
  <si>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DE LIDEFIANT</t>
  </si>
  <si>
    <t xml:space="preserve">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DEL CLUB DEPORTIVO FURIOUS BALONCESTO EN SILLA DE RUEDAS </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</si>
  <si>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DEL CLUB DEPORTIVO DE PARAPOWERLIFTING LOS PAISAS</t>
  </si>
  <si>
    <t>CONVENIO PARA CONTRIBUIR AL DESARROLLO DEL PROGRAMA DE ALTOS LOGROS Y LIDERAZGO DEPORTIVO CON LA PARTICIPACIÓN DE LOS DEPORTISTAS QUE CONFORMAN LA SELECCIÓN DE ANTIOQUIA  EN PREPARACIÓN Y COMPETENCIAS DEPORTIVAS DE CARÁCTER NACIONAL E INTERNACIONAL DE ACUERDO AL DEPORTE DE RUGBY EN SILLA DE RUEDAS  DEL CLUB NUTABES CLUB</t>
  </si>
  <si>
    <t xml:space="preserve">DISPONIBLE PARA APOYO ESPECIAL A DEPORTISTAS PARA EVENTOS POR RESOLUCIÓN </t>
  </si>
  <si>
    <t>CONVENIO PARA CONTRIBUIR AL DESARROLLO DEL PROGRAMA DE ALTOS LOGROS Y LIDERAZGO DEPORTIVO CON LA PARTICIPACIÓN DE LOS DEPORTISTAS QUE CONFORMAN LA SELECCIÓN DE ANTIOQUIA  EN PREPARACIÓN Y COMPETENCIAS DEPORTIVAS DE CARÁCTER NACIONAL E INTERNACIONAL DE ACUERDO AL DEPORTE DE VOLEIBOL SENTADO DEL CLUB DEPORTIVO DE PARAVOLEIBOL HEROES DE VIDA</t>
  </si>
  <si>
    <t>PRESTACIÓN DE SERVICIOS PROFESIONALES COMO ADMINISTRADOR EN SALUD PARA INDEPORTES ANTIOQUIA.</t>
  </si>
  <si>
    <t>PRESTACIÓN DE SERVICIOS PROFESIONALES COMO PSICÓLOGA PARA INDEPORTES ANTIOQUIA.</t>
  </si>
  <si>
    <t>PRESTACIÓN DE SERVICIOS PROFESIONALES COMO NUTRICIONISTA PARA INDEPORTES ANTIOQUIA.</t>
  </si>
  <si>
    <t>PRESTACIÓN DE SERVICIOS PROFESIONALES ESPECIALIZADO PARA APOYAR LA REALIZACIÓN DE EVALUACIONES, CONSULTAS MÉDICAS Y PROGRAMAS DE MONITORIZACIÓN A LOS DEPORTISTAS DE RENDIMIENTO APOYADOS POR INDEPORTES ANTIOQUIA</t>
  </si>
  <si>
    <t xml:space="preserve">ADICIÓN 1 AL CONTRATO NO. 026 DE 2024 CUYO OBJETO ES: PRESTACIÓN DE SERVICIOS PROFESIONALES EN LA ATENCIÓN FISIOTERAPÉUTICA DEPORTIVA DE LOS ATLETAS QUE APOYA INDEPORTES ANTIOQUIA </t>
  </si>
  <si>
    <t>ADICIÓN 1 AL CONTROATO NO. 024 DE 2024 CUYO OBJETO ES: PRESTACIÓN DE SERVICIOS PROFESIONALES PARA LA ATENCIÓN FISIOTERAPÉUTICA DE LOS PARA ATLETAS QUE APOYA INDEPORTES ANTIOQUIA.</t>
  </si>
  <si>
    <t>ADICIÓN 1 AL CONTROATO NO. 025 DE 2024 CUYO OBJETO ES: PRESTACIÓN DE SERVICIOS PROFESIONALES PARA APOYAR LOS PROCESOS DE PSICOLOGÍA CLÍNICA A LOS DEPORTISTAS APOYADOS POR LA ENTIDAD Y EN LOS PROCESOS ACADÉMICOS E INVESTIGATIVOS DE LA OFICINA DE MEDICINA DEPORTIVA.</t>
  </si>
  <si>
    <t>ADICIÓN 1 AL CONTROATO NO. 028 DE 2024 CUYO OBJETO ES: PRESTACIÓN DE SERVICIOS DE APOYO A LA GESTIÓN PARA EL ACOMPAÑAMIENTO EN LA RECUPERACIÓN DE LA FATIGA POS-CARGA DEL ENTRENAMIENTO Y REHABILITACIÓN DE LAS LESIONES DEPORTIVAS DE LOS ATLETAS Y PARA - ATLETAS APOYADOS POR
INDEPORTES ANTIOQUIA</t>
  </si>
  <si>
    <t>PRESTACIÓN DE SERVICIOS DE APOYO A LA GESTIÓN EN EL ÁREA DE MASOTERAPIA DE INDEPORTES ANTIOQUIA</t>
  </si>
  <si>
    <t>CONVENIO CON LA LIGA DE CICLISMO DE ANTIOQUIA, PARA EL FORTALECIMIENTO DEL POTENCIAL DEPORTIVO EN EL DEPARTAMENTO DE ANTIOQUIA PARA LAS MODALIDADES DE BMX, MTB, PISTA Y RUTA PARA INCREMENTAR LA RESERVA DEPORTIVA.</t>
  </si>
  <si>
    <t>CONVENIO CON LA LIGA ANTIOQUEÑA DE LEVANTAMIENTO DE PESAS, PARA EL FORTALECIMIENTO DEL POTENCIAL  Y LA CONSOLIDACIÓN DE LA RESERVA DEPORTIVA EN EL DEPARTAMENTO DE ANTIOQUIA</t>
  </si>
  <si>
    <t>CONVENIO CON LA LIGA DE ATLETISMO DE ANTIOQUIA, PARA EL FORTALECIMIENTO DEL POTENCIAL Y LA CONSOLIDACIÓN DE LA RESERVA DEPORTIVA EN EL DEPARTAMENTO DE ANTIOQUIA.</t>
  </si>
  <si>
    <t>DISPONIBLE LIBERACIÓN SUBGERENCIA DE ALTOS LOGROS Y DEPORTE ASOCIADO 202401020467 DEL 26 DE DICIEMBRE DE 2025</t>
  </si>
  <si>
    <t xml:space="preserve">52010805-Gestionar la operación administrativa y técnica para la operacion de los centros de desarrollo </t>
  </si>
  <si>
    <t>2.43.4302.87.0-205400.2.3.2.02.02.008.49.</t>
  </si>
  <si>
    <t xml:space="preserve">52010801-Gestionar la operación administrativa para el apoyo a la elaboracion, ejecucion y liquidacion de convenio o contratos que se suscriban con las ligas u organizaciones deportivas </t>
  </si>
  <si>
    <t>2.43.4301.02.4-101124.2.3.2.02.02.008.36.</t>
  </si>
  <si>
    <t>PRESTACIÓN DE SERVICIOS PROFESIONALES PARA APOYAR LOS PROCESOS DESARROLLADOS POR EL ÁREA PSICOSOCIAL Y ACOMPAÑAMIENTO EN LA REALIZACION DE LA CLASIFICACIÓN FUNCIONAL DE LOS PARA-ATLETAS ATENDIDOS POR LA SUBGERENCIA DE DEPORTE ASOCIADO Y ALTOS LOGROS.</t>
  </si>
  <si>
    <t>PRESTACIÓN DE SERVICIOS DE UN ENTRENADOR PRINCIPAL PARA LA REALIZACIÓN DEL PROCESO DE SELECCIÓN, ENTRENAMIENTO DEPORTIVO Y PARTICIPACIÓN EN COMPETENCIAS EN LA LIGA  ANTIOQUEÑA DE BALONCESTO,  EN LA RAMA FEMENINA, EN CATEGORÍAS DE JUEGOS NACIONALES.</t>
  </si>
  <si>
    <t>PRESTACIÓN DE SERVICIOS DE UN ENTRENADOR ASISTENTE  PARA LA REALIZACIÓN DEL PROCESO SELECCIÓN, ENTRENAMIENTO DEPORTIVO Y PARTICIPACIÓN EN COMPETENCIAS EN LA LIGA  ANTIOQUEÑA DE BALONCESTO, EN LA RAMA FEMENINA, EN CATEGORÍAS DE JUEGOS NACIONALES.</t>
  </si>
  <si>
    <t>PRESTACIÓN DE SERVICIOS DE UN ENTRENADOR PRINCIPAL PARA LA REALIZACIÓN DEL PROCESO DE SELECCIÓN, ENTRENAMIENTO DEPORTIVO Y PARTICIPACIÓN EN COMPETENCIAS EN LA LIGA  ANTIOQUEÑA DE BALONCESTO,   RAMA MASCULINA, EN CATEGORÍAS DE JUEGOS NACIONALES.</t>
  </si>
  <si>
    <t>PRESTACIÓN DE SERVICIOS DE UN ENTRENADOR ASISTENTE  PARA LA REALIZACIÓN DEL PROCESO SELECCIÓN, ENTRENAMIENTO DEPORTIVO Y PARTICIPACIÓN EN COMPETENCIAS EN LA LIGA  ANTIOQUEÑA DE BALONCESTO, EN LA RAMA MASCULINA, EN CATEGORÍAS DE JUEGOS NACIONALES.</t>
  </si>
  <si>
    <t>PRESTACIÓN DE SERVICIOS DE UN ENTRENADOR PRINCIPAL PARA LA REALIZACIÓN DEL PROCESO DE SELECCIÓN, ENTRENAMIENTO DEPORTIVO Y PARTICIPACIÓN EN COMPETENCIAS EN LA LIGA ANTIOQUEÑA DE BALONMANO,  EN LA RAMA MASCULINA, EN CATEGORÍAS DE JUEGOS NACIONALES.</t>
  </si>
  <si>
    <t>PRESTACIÓN DE SERVICIOS DE UN ENTRENADOR ASISTENTE  PARA LA REALIZACIÓN DEL PROCESO SELECCIÓN, ENTRENAMIENTO DEPORTIVO Y PARTICIPACIÓN EN COMPETENCIAS EN LA LIGA ANTIOQUEÑA DE BALONMANO, EN LA RAMA FEMENINA, EN CATEGORÍAS DE JUEGOS NACIONALES.</t>
  </si>
  <si>
    <t>PRESTACIÓN DE SERVICIOS DE UN ENTRENADOR PRINCIPAL PARA LA REALIZACIÓN DEL PROCESO DE SELECCIÓN, ENTRENAMIENTO DEPORTIVO Y PARTICIPACIÓN EN COMPETENCIAS EN LA LIGA ANTIOQUEÑA DE BALONMANO,  EN LA RAMA FEMENINA, EN CATEGORÍAS DE JUEGOS NACIONALES.</t>
  </si>
  <si>
    <t>PRESTACIÓN DE SERVICIOS DE UN ENTRENADOR ASISTENTE  PARA LA REALIZACIÓN DEL PROCESO SELECCIÓN, ENTRENAMIENTO DEPORTIVO Y PARTICIPACIÓN EN COMPETENCIAS EN LA LIGA ANTIOQUEÑA DE BALONMANO, EN LA RAMA MASCULINA, EN CATEGORÍAS DE JUEGOS NACIONALES.</t>
  </si>
  <si>
    <t>PRESTACIÓN DE SERVICIOS DE UN ENTRENADOR PRINCIPAL PARA LA REALIZACIÓN DEL PROCESO DE SELECCIÓN, ENTRENAMIENTO DEPORTIVO Y PARTICIPACIÓN EN COMPETENCIAS EN LALIGA ANTIOQUEÑA DE FÚTBOL,  EN LA MODALIDAD FÚTBOL SALA EN LAS RAMAS FEMENINA Y MASCULINA, EN CATEGORÍAS DE JUEGOS NACIONALES.</t>
  </si>
  <si>
    <t>PRESTACIÓN DE SERVICIOS DE UN ENTRENADOR PRINCIPAL PARA LA REALIZACIÓN DEL PROCESO DE SELECCIÓN, ENTRENAMIENTO DEPORTIVO Y PARTICIPACIÓN EN COMPETENCIAS EN LA LIGA ANTIOQUEÑA DE FÚTBOL,  EN LA MODALIDAD FÚTBOL CESPED RAMA FEMENINA, EN CATEGORÍAS DE JUEGOS NACIONALES.</t>
  </si>
  <si>
    <t>PRESTACIÓN DE SERVICIOS DE UN ENTRENADOR PRINCIPAL PARA LA REALIZACIÓN DEL PROCESO DE SELECCIÓN, ENTRENAMIENTO DEPORTIVO Y PARTICIPACIÓN EN COMPETENCIAS EN LA LIGA ANTIOQUEÑA DE FÚTBOL,  EN LA MODALIDAD FÚTBOL CESPED RAMA MASCULINA, EN CATEGORÍAS DE JUEGOS NACIONALES.</t>
  </si>
  <si>
    <t>PRESTACIÓN DE SERVICIOS DE UN ENTRENADOR ASISTENTE  PARA LA REALIZACIÓN DEL PROCESO SELECCIÓN, ENTRENAMIENTO DEPORTIVO Y PARTICIPACIÓN EN COMPETENCIAS EN LA LIGA ANTIOQUEÑA DE FÚTBOL, EN LA MODALIDAD FÚTBO CESPED, RAMA FEMENINA, EN CATEGORÍAS DE JUEGOS NACIONALES.</t>
  </si>
  <si>
    <t>PRESTACIÓN DE SERVICIOS DE UN ENTRENADOR ASISTENTE  PARA LA REALIZACIÓN DEL PROCESO SELECCIÓN, ENTRENAMIENTO DEPORTIVO Y PARTICIPACIÓN EN COMPETENCIAS EN LA LIGA ANTIOQUEÑA DE FÚTBOL, EN LA MODALIDAD FÚTBO CESPED, RAMA MASCULINA, EN CATEGORÍAS DE JUEGOS NACIONALES.</t>
  </si>
  <si>
    <t>PRESTACIÓN DE SERVICIOS DE UN ENTRENADOR PRINCIPAL PARA LA REALIZACIÓN DEL PROCESO DE SELECCIÓN, ENTRENAMIENTO DEPORTIVO Y PARTICIPACIÓN EN COMPETENCIAS EN LA  LIGA ANTIOQUEÑA DE FUTBOL DE SALÓN,  EN LA RAMA FEMENINA, EN CATEGORÍAS DE JUEGOS NACIONALES.</t>
  </si>
  <si>
    <t>PRESTACIÓN DE SERVICIOS DE UN ENTRENADOR ASISTENTE  PARA LA REALIZACIÓN DEL PROCESO SELECCIÓN, ENTRENAMIENTO DEPORTIVO Y PARTICIPACIÓN EN COMPETENCIAS EN LA LIGA  ANTIOQUEÑA DE FUTBOL DE SALÓN, EN LA RAMA FEMENINA, EN CATEGORÍAS DE JUEGOS NACIONALES.</t>
  </si>
  <si>
    <t>PRESTACIÓN DE SERVICIOS DE UN ENTRENADOR ASISTENTE  PARA LA REALIZACIÓN DEL PROCESO SELECCIÓN, ENTRENAMIENTO DEPORTIVO Y PARTICIPACIÓN EN COMPETENCIAS EN LA LIGA  ANTIOQUEÑA DE FUTBOL DE SALÓN, EN LA RAMA MASCULINA, EN CATEGORÍAS DE JUEGOS NACIONALES.</t>
  </si>
  <si>
    <t>PRESTACIÓN DE SERVICIOS DE UN ENTRENADOR PRINCIPAL PARA LA REALIZACIÓN DEL PROCESO DE SELECCIÓN, ENTRENAMIENTO DEPORTIVO Y PARTICIPACIÓN EN COMPETENCIAS EN LA  LIGA ANTIOQUEÑA DE FUTBOL DE SALÓN,  EN LA RAMA MASCULINA, EN CATEGORÍAS DE JUEGOS NACIONALES.</t>
  </si>
  <si>
    <t>PRESTACIÓN DE SERVICIOS DE UN ENTRENADOR ASISTENTE  PARA LA REALIZACIÓN DEL PROCESO SELECCIÓN, ENTRENAMIENTO DEPORTIVO Y PARTICIPACIÓN EN COMPETENCIAS EN LA LIGA ANTIOQUEÑA DE SQUASH, EN LOS DEPORTES Y CATEGORÍAS DE JUEGOS NACIONALES.</t>
  </si>
  <si>
    <t>PRESTACIÓN DE SERVICIOS DE UN ENTRENADOR PRINCIPAL PARA LA REALIZACIÓN DEL PROCESO DE SELECCIÓN, ENTRENAMIENTO DEPORTIVO Y PARTICIPACIÓN EN COMPETENCIAS EN LA LIGA ANTIOQUEÑA DE SQUASH, EN CATEGORÍAS DE JUEGOS NACIONALES.</t>
  </si>
  <si>
    <t>PRESTACIÓN DE SERVICIOS DE UN ENTRENADOR ASISTENTE  PARA LA REALIZACIÓN DEL PROCESO SELECCIÓN, ENTRENAMIENTO DEPORTIVO Y PARTICIPACIÓN EN COMPETENCIAS EN LA LIGA DE TENIS DE MESA DE ANTIOQUIA, EN LAS CATEGORÍAS DE FORMACIÓN DEPORTIVA Y CATEGORÍAS DE JUEGOS NACIONALES.</t>
  </si>
  <si>
    <t>PRESTACIÓN DE SERVICIOS DE UN ENTRENADOR ASISTENTE  PARA LA REALIZACIÓN DEL PROCESO SELECCIÓN, ENTRENAMIENTO DEPORTIVO Y PARTICIPACIÓN EN COMPETENCIAS EN LA LIGA DE TENIS DE MESA DE ANTIOQUIA, EN LOS DEPORTES Y CATEGORÍAS DE JUEGOS NACIONALES.</t>
  </si>
  <si>
    <t>PRESTACIÓN DE SERVICIOS DE UN ENTRENADOR PRINCIPAL PARA LA REALIZACIÓN DEL PROCESO DE SELECCIÓN, ENTRENAMIENTO DEPORTIVO Y PARTICIPACIÓN EN COMPETENCIAS EN LA LIGA DE TENIS DE MESA DE ANTIOQUIA,  EN LA MODALIDAD PARA-TENIS DE MESA DISCAPACIDAD FÍSICA, EN  CATEGORÍAS DE JUEGOS PARANACIONALES.</t>
  </si>
  <si>
    <t>PRESTACIÓN DE SERVICIOS DE UN ENTRENADOR PRINCIPAL PARA LA REALIZACIÓN DEL PROCESO DE SELECCIÓN, ENTRENAMIENTO DEPORTIVO Y PARTICIPACIÓN EN COMPETENCIAS EN LA LIGA DEPORTIVA DE PERSONAS SORDAS DE ANTIOQUIA,  EN LA MODALIDAD PARA-ATLETISMO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</si>
  <si>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PARA-FÚTBOL  SALA RAMA MASCULINA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</si>
  <si>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PARA-FÚTBOL  SALA RAMA FEMENINA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</si>
  <si>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PARA-TENIS DE MESA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</si>
  <si>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PARA-NATACIÓN CARRERAS CON DISCAPACIDAD AUDITIVA, EN CATEGORÍAS DE JUEGOS PARANACIONALES.</t>
  </si>
  <si>
    <t>PRESTACIÓN DE SERVICIOS DE UN ENTRENADOR ASISTENTE  PARA LA REALIZACIÓN DEL PROCESO DE SELECCIÓN, ENTRENAMIENTO DEPORTIVO Y PARTICIPACIÓN EN COMPETENCIAS, EN LA MODALIDAD DE PARA-ATLETISMO EN LAS DIFERENTES DISCAPACIDADES EN LA SUBREGIÓN DE URABÁ EN CATEGORÍAS DE JUEGOS PARANACIONALES.</t>
  </si>
  <si>
    <t>PRESTACIÓN DE SERVICIOS DE UN ENTRENADOR PRINCIPAL PARA LA REALIZACIÓN DEL PROCESO DE SELECCIÓN, ENTRENAMIENTO DEPORTIVO Y PARTICIPACIÓN EN COMPETENCIAS EN LA LIGA DEPORTIVA DE PERSONAS SORDAS DE ANTIOQUIA,  EN LA MODALIDAD PARA-FÚTBOL   RAMA MASCULINA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</si>
  <si>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PARA-BALONCESTO CON DISCAPACIDAD AUDITIVA, EN CATEGORÍAS DE JUEGOS PARANACIONALES.</t>
  </si>
  <si>
    <t>52010803-Otorgar estimulos economicos a los atletas y para atletas por los resultados obtenidos en competencias oficiales</t>
  </si>
  <si>
    <t xml:space="preserve">APOYO TIPO ECONÓMICO A LOS ATLETAS Y PARA-ATLETAS </t>
  </si>
  <si>
    <t>2.43.4302.85.0-205400.2.3.3.08.06.</t>
  </si>
  <si>
    <t>DISPONIBLE LIBERACIÓN DE ALTOS LOGROS</t>
  </si>
  <si>
    <t>PRESTACIÓN DE SERVICIOS DE UN ENTRENADOR PRINCIPAL PARA LA REALIZACIÓN DEL PROCESO DE SELECCIÓN, ENTRENAMIENTO DEPORTIVO Y PARTICIPACIÓN EN COMPETENCIAS EN LA LIGA ANTIOQUEÑA DE ARQUERÍA,  EN LAS PRUEBAS DE DISCAPACIDAD, EN DEPORTES Y CATEGORÍAS DE JUEGOS NACIONALES.</t>
  </si>
  <si>
    <t>PRESTACIÓN DE SERVICIOS DE UN ENTRENADOR DE LEVANTAMIENTO DE PESAS PARA INDEPORTES ANTIOQUIA</t>
  </si>
  <si>
    <t>166A</t>
  </si>
  <si>
    <t>PRESTACIÓN DE SERVICIOS DE UN ENTRENADOR PRINCIPAL PARA LA REALIZACIÓN DEL PROCESO DE SELECCIÓN, ENTRENAMIENTO DEPORTIVO Y PARTICIPACIÓN EN COMPETENCIAS EN LA LIGA ANTIOQUEÑA DE ARQUERÍA,  EN LA MODALIDAD ARCO COMPUESTO, EN CATEGORÍAS DE JUEGOS NACIONALES.</t>
  </si>
  <si>
    <t>PRESTACIÓN DE SERVICIOS DE UN ENTRENADOR ASISTENTE  PARA LA REALIZACIÓN DEL PROCESO SELECCIÓN, ENTRENAMIENTO DEPORTIVO Y PARTICIPACIÓN EN COMPETENCIAS EN LA LIGA ANTIOQUEÑA DE ARQUERÍA, EN LAS MODALIDADES ARCO RECURCO Y COMPUESTO, EN CATEGORÍAS DE JUEGOS NACIONALES.</t>
  </si>
  <si>
    <t>PRESTACIÓN DE SERVICIOS DE UN ENTRENADOR ASISTENTE  PARA LA REALIZACIÓN DEL PROCESO SELECCIÓN, ENTRENAMIENTO DEPORTIVO Y PARTICIPACIÓN EN COMPETENCIAS EN LA LIGA ANTIOQUEÑA DE BÁDMINTON, EN CATEGORÍAS DE JUEGOS NACIONALES.</t>
  </si>
  <si>
    <t>PRESTACIÓN DE SERVICIOS DE UN ENTRENADOR PRINCIPAL PARA LA REALIZACIÓN DEL PROCESO DE SELECCIÓN, ENTRENAMIENTO DEPORTIVO Y PARTICIPACIÓN EN COMPETENCIAS EN LA LIGA ANTIOQUEÑA DE BÁDMINTON,  EN CATEGORÍAS DE JUEGOS NACIONALES.</t>
  </si>
  <si>
    <t>PRESTACIÓN DE SERVICIOS DE UN ENTRENADOR PRINCIPAL PARA LA REALIZACIÓN DEL PROCESO DE SELECCIÓN, ENTRENAMIENTO DEPORTIVO Y PARTICIPACIÓN EN COMPETENCIAS EN LA LIGA DE ATLETISMO DE ANTIOQUIA,  EN LAS MODALIDADES DE LANZAMIENTOS, EN CATEGORÍAS DE JUEGOS NACIONALES.</t>
  </si>
  <si>
    <t>PRESTACIÓN DE SERVICIOS DE UN ENTRENADOR ASISTENTE  PARA LA REALIZACIÓN DEL PROCESO SELECCIÓN, ENTRENAMIENTO DEPORTIVO Y PARTICIPACIÓN EN COMPETENCIAS EN LA LIGA DE ATLETISMO DE ANTIOQUIA, EN LAS MODALIDADES FONDO, SEMIFONDO Y MARCHA, EN CATEGORÍAS DE JUEGOS NACIONALES.</t>
  </si>
  <si>
    <t>PRESTACIÓN DE SERVICIOS DE UN ENTRENADOR ASISTENTE  PARA LA REALIZACIÓN DEL PROCESO SELECCIÓN, ENTRENAMIENTO DEPORTIVO Y PARTICIPACIÓN EN COMPETENCIAS EN LA LIGA DE ATLETISMO DE ANTIOQUIA, EN LA MODALIDAD VELOCIDAD, EN CATEGORÍAS DE JUEGOS NACIONALES.</t>
  </si>
  <si>
    <t>PRESTACIÓN DE SERVICIOS DE UN ENTRENADOR PRINCIPAL PARA LA REALIZACIÓN DEL PROCESO DE SELECCIÓN, ENTRENAMIENTO DEPORTIVO Y PARTICIPACIÓN EN COMPETENCIAS EN LA LIGA DE ATLETISMO DE ANTIOQUIA,  EN LAS MODALIDADES FONDO, SEMIFONDO Y MARCHA, EN CATEGORÍAS DE JUEGOS NACIONALES.</t>
  </si>
  <si>
    <t>PRESTACIÓN DE SERVICIOS DE UN ENTRENADOR PRINCIPAL PARA LA REALIZACIÓN DEL PROCESO DE SELECCIÓN, ENTRENAMIENTO DEPORTIVO Y PARTICIPACIÓN EN COMPETENCIAS EN LA LIGA DE ATLETISMO DE ANTIOQUIA,  EN LA MODALIDAD DE PRUEBAS MÚLTIPLES, EN CATEGORÍAS DE JUEGOS NACIONALES.</t>
  </si>
  <si>
    <t>PRESTACIÓN DE SERVICIOS DE UN ENTRENADOR PRINCIPAL PARA LA REALIZACIÓN DEL PROCESO DE SELECCIÓN, ENTRENAMIENTO DEPORTIVO Y PARTICIPACIÓN EN COMPETENCIAS EN LA LIGA DE ATLETISMO DE ANTIOQUIA,  EN LA MODALIDAD DE VELOCIDAD, EN CATEGORÍAS DE JUEGOS NACIONALES.</t>
  </si>
  <si>
    <t>PRESTACIÓN DE SERVICIOS DE UN ENTRENADOR PRINCIPAL PARA LA REALIZACIÓN DEL PROCESO DE SELECCIÓN, ENTRENAMIENTO DEPORTIVO Y PARTICIPACIÓN EN COMPETENCIAS EN LA LIGA DE ATLETISMO DE ANTIOQUIA,  EN LAS MODALIDADES DE SALTOS, EN CATEGORÍAS DE JUEGOS NACIONALES.</t>
  </si>
  <si>
    <t>PRESTACIÓN DE SERVICIOS DE UN ENTRENADOR PRINCIPAL PARA LA REALIZACIÓN DEL PROCESO DE SELECCIÓN, ENTRENAMIENTO DEPORTIVO Y PARTICIPACIÓN EN COMPETENCIAS EN LA LIGA ANTIOQUEÑA DE VOLEIBOL,  EN LA MODALIDAD VOLEIBOL PISO RAMA MASCULINA, EN CATEGORÍAS DE JUEGOS NACIONALES.</t>
  </si>
  <si>
    <t>PRESTACIÓN DE SERVICIOS DE UN ENTRENADOR PRINCIPAL PARA LA REALIZACIÓN DEL PROCESO DE SELECCIÓN, ENTRENAMIENTO DEPORTIVO Y PARTICIPACIÓN EN COMPETENCIAS EN LA LIGA ANTIOQUEÑA DE VOLEIBOL,  EN LA MODALIDAD VOLEIBOL PISO, EN CATEGORÍAS DE JUEGOS NACIONALES.</t>
  </si>
  <si>
    <t>PRESTACIÓN DE SERVICIOS DE UN ENTRENADOR ASISTENTE  PARA LA REALIZACIÓN DEL PROCESO SELECCIÓN, ENTRENAMIENTO DEPORTIVO Y PARTICIPACIÓN EN COMPETENCIAS EN LA LIGA ANTIOQUEÑA DE  VOLEIBOL, EN LA MODALIDAD VOLEIBOL PISO, RAMA MASCULINA, EN CATEGORÍAS DE JUEGOS NACIONALES.</t>
  </si>
  <si>
    <t>PRESTACIÓN DE SERVICIOS DE UN ENTRENADOR ASISTENTE  PARA LA REALIZACIÓN DEL PROCESO SELECCIÓN, ENTRENAMIENTO DEPORTIVO Y PARTICIPACIÓN EN COMPETENCIAS EN LA LIGA ANTIOQUEÑA DE  VOLEIBOL, EN LA MODALIDAD VOLEIBOL PISO, RAMA FEMENINA, EN CATEGORÍAS DE JUEGOS NACIONALES.</t>
  </si>
  <si>
    <t xml:space="preserve">PRESTACIÓN DE SERVICIOS DE UN ENTRENADOR PRINCIPAL PARA LA REALIZACIÓN DEL PROCESO DE SELECCIÓN, ENTRENAMIENTO DEPORTIVO Y PARTICIPACIÓN EN COMPETENCIAS EN LA  LIGA  ANTIOQUEÑA DE ESGRIMA,  EN LA MODALIDAD SABLE, EN CATEGORÍAS DE JUEGOS NACIONALES.
</t>
  </si>
  <si>
    <t xml:space="preserve">PRESTACIÓN DE SERVICIOS DE UN ENTRENADOR PRINCIPAL PARA LA REALIZACIÓN DEL PROCESO DE SELECCIÓN, ENTRENAMIENTO DEPORTIVO Y PARTICIPACIÓN EN COMPETENCIAS EN LA  LIGA  ANTIOQUEÑA DE ESGRIMA,  EN LA MODALIDAD FLORETE, EN CATEGORÍAS DE JUEGOS NACIONALES.
</t>
  </si>
  <si>
    <t xml:space="preserve">PRESTACIÓN DE SERVICIOS DE UN ENTRENADOR PRINCIPAL PARA LA REALIZACIÓN DEL PROCESO DE SELECCIÓN, ENTRENAMIENTO DEPORTIVO Y PARTICIPACIÓN EN COMPETENCIAS EN LA  LIGA  ANTIOQUEÑA DE ESGRIMA,  EN LA MODALIDAD ESPADA, EN CATEGORÍAS DE JUEGOS NACIONALES.
</t>
  </si>
  <si>
    <t xml:space="preserve">PRESTACIÓN DE SERVICIOS DE UN ENTRENADOR PRINCIPAL PARA LA REALIZACIÓN DEL PROCESO DE SELECCIÓN, ENTRENAMIENTO DEPORTIVO Y PARTICIPACIÓN EN COMPETENCIAS EN LA  LIGA ANTIOQUEÑA DE LUCHA MODALIDAD GRECO, EN CATEGORÍAS DE JUEGOS NACIONALES.
</t>
  </si>
  <si>
    <t xml:space="preserve">PRESTACIÓN DE SERVICIOS DE UN ENTRENADOR PRINCIPAL PARA LA REALIZACIÓN DEL PROCESO DE SELECCIÓN, ENTRENAMIENTO DEPORTIVO Y PARTICIPACIÓN EN COMPETENCIAS EN LA  LIGA ANTIOQUEÑA DE LUCHA MODALIDAD LIBRE, EN CATEGORÍAS DE JUEGOS NACIONALES.
</t>
  </si>
  <si>
    <t xml:space="preserve">PRESTACIÓN DE SERVICIOS DE UN ENTRENADOR ASISTENTE PARA LA REALIZACIÓN DEL PROCESO DE SELECCIÓN, ENTRENAMIENTO DEPORTIVO Y PARTICIPACIÓN EN COMPETENCIAS EN LA  LIGA ANTIOQUEÑA DE LUCHA MODALIDAD LIBRE Y GRECO, EN CATEGORÍAS DE JUEGOS NACIONALES.
</t>
  </si>
  <si>
    <t>PRESTACIÓN DE SERVICIOS DE UN ENTRENADOR PRINCIPAL PARA LA REALIZACIÓN DEL PROCESO DE SELECCIÓN, ENTRENAMIENTO DEPORTIVO Y PARTICIPACIÓN EN COMPETENCIAS EN LA LIGA ANTIOQUEÑA DE PARAATLETISMO DE LOS DEPORTISTAS CON PARÁLISIS CEREBRAL EN CATEGORÍAS DE JUEGOS PARANACIONALES.</t>
  </si>
  <si>
    <t xml:space="preserve">PRESTACIÓN DE SERVICIOS DE UN ENTRENADOR PRINCIPAL PARA LA REALIZACIÓN DEL PROCESO DE SELECCIÓN, ENTRENAMIENTO DEPORTIVO Y PARTICIPACIÓN EN COMPETENCIAS EN LA  LIGA ANTIOQUEÑA DE TAEKWONDO,  EN LA MODALIDAD POMMSAES, EN CATEGORÍAS DE JUEGOS NACIONALES.
</t>
  </si>
  <si>
    <t xml:space="preserve">PRESTACIÓN DE SERVICIOS DE UN ENTRENADOR PRINCIPAL PARA LA REALIZACIÓN DEL PROCESO DE SELECCIÓN, ENTRENAMIENTO DEPORTIVO Y PARTICIPACIÓN EN COMPETENCIAS EN LA  LIGA DE BOXEO DE ANTIOQUIA, EN CATEGORÍAS DE JUEGOS NACIONALES.
</t>
  </si>
  <si>
    <t>PRESTACIÓN DE SERVICIOS DE UN ENTRENADOR ASISTENTE PARA LA REALIZACIÓN DEL PROCESO SELECCIÓN, ENTRENAMIENTO DEPORTIVO Y PARTICIPACIÓN EN COMPETENCIAS, EN LA LIGA DE BOXEO DE ANTIOQUIA, EN CATEGORÍAS DE JUEGOS NACIONALES.</t>
  </si>
  <si>
    <t>PRESTACIÓN DE SERVICIOS DE UN ENTRENADOR ASISTENTE DE LA SUBREGIÓN DE URABÁ PARA LA REALIZACIÓN DEL PROCESO SELECCIÓN, ENTRENAMIENTO DEPORTIVO Y PARTICIPACIÓN EN COMPETENCIAS, EN LA LIGA DE BOXEO DE ANTIOQUIA, EN CATEGORÍAS DE JUEGOS NACIONALES.</t>
  </si>
  <si>
    <t>PRESTACIÓN DE SERVICIOS DE UN ENTRENADOR ASISTENTE  PARA LA REALIZACIÓN DEL PROCESO SELECCIÓN, ENTRENAMIENTO DEPORTIVO Y PARTICIPACIÓN EN COMPETENCIAS EN LA LIGA DE NATACIÓN DE  ANTIOQUIA, EN LA MODALIDAD ARTÍSTICA, EN CATEGORÍAS DE JUEGOS NACIONALES.</t>
  </si>
  <si>
    <t>PRESTACIÓN DE SERVICIOS DE UN ENTRENADOR ASISTENTE  PARA LA REALIZACIÓN DEL PROCESO SELECCIÓN, ENTRENAMIENTO DEPORTIVO Y PARTICIPACIÓN EN COMPETENCIAS EN LA LIGA DE NATACIÓN DE  ANTIOQUIA, EN LA MODALIDAD CARRERAS, EN CATEGORÍAS DE JUEGOS NACIONALES.</t>
  </si>
  <si>
    <t>PRESTACIÓN DE SERVICIOS DE UN ENTRENADOR PRINCIPAL PARA LA REALIZACIÓN DEL PROCESO DE SELECCIÓN, ENTRENAMIENTO DEPORTIVO Y PARTICIPACIÓN EN COMPETENCIAS EN LA LIGA DE NATACIÓN DE  ANTIOQUIA,  EN LA MODALIDAD DE NATACIÓN ARTÍSTICA, EN CATEGORÍAS DE JUEGOS NACIONALES</t>
  </si>
  <si>
    <t>PRESTACIÓN DE SERVICIOS DE UN ENTRENADOR ASISTENTE  PARA LA REALIZACIÓN DEL PROCESO SELECCIÓN, ENTRENAMIENTO DEPORTIVO Y PARTICIPACIÓN EN COMPETENCIAS EN LA LIGA DE NATACIÓN DE  ANTIOQUIA, EN LA MODALIDAD CLAVADOS, EN CATEGORÍAS DE JUEGOS NACIONALES.</t>
  </si>
  <si>
    <t>PRESTACIÓN DE SERVICIOS DE UN ENTRENADOR ASISTENTE  PARA LA REALIZACIÓN DEL PROCESO SELECCIÓN, ENTRENAMIENTO DEPORTIVO Y PARTICIPACIÓN EN COMPETENCIAS EN LA LIGA DE NATACIÓN DE  ANTIOQUIA, EN LA MODALIDAD POLO ACUÁTICO, EN CATEGORÍAS DE JUEGOS NACIONALES.</t>
  </si>
  <si>
    <t>PRESTACIÓN DE SERVICIOS DE UN ENTRENADOR ASISTENTE  PARA LA REALIZACIÓN DEL PROCESO SELECCIÓN Y RECLUTAMIENTO DE ATLETAS, ENTRENAMIENTO DEPORTIVO Y PARTICIPACIÓN EN COMPETENCIAS EN LA LIGA DE NATACIÓN DE  ANTIOQUIA, EN LA MODALIDAD POLO ACUÁTICO, EN CATEGORÍAS DE JUEGOS NACIONALES.</t>
  </si>
  <si>
    <t>PRESTACIÓN DE SERVICIOS DE UN ENTRENADOR PRINCIPAL PARA LA REALIZACIÓN DEL PROCESO DE SELECCIÓN, ENTRENAMIENTO DEPORTIVO Y PARTICIPACIÓN EN COMPETENCIAS EN LA LIGA DE NATACIÓN DE  ANTIOQUIA,  EN LA MODALIDAD NATACIÓN CARRERAS SEMIFONDO, EN CATEGORÍAS DE JUEGOS NACIONALES</t>
  </si>
  <si>
    <t xml:space="preserve">PRESTACIÓN DE SERVICIOS DE UN ENTRENADOR PRINCIPAL PARA LA REALIZACIÓN DEL PROCESO DE SELECCIÓN, ENTRENAMIENTO DEPORTIVO Y PARTICIPACIÓN EN COMPETENCIAS EN LA LIGA DE NATACIÓN DE  ANTIOQUIA,  EN LA MODALIDAD NATACIÓN CARRERAS FONDO, EN CATEGORÍAS DE JUEGOS NACIONALES Y REALIZAR LA FORMACIÓN ESPECÍFICA EN EL DEPARTAMENTO DE ANTIOQUIA. </t>
  </si>
  <si>
    <t>PRESTACIÓN DE SERVICIOS DE UN ENTRENADOR PRINCIPAL PARA LA REALIZACIÓN DEL PROCESO DE SELECCIÓN, ENTRENAMIENTO DEPORTIVO Y PARTICIPACIÓN EN COMPETENCIAS EN LA LIGA DE NATACIÓN DE  ANTIOQUIA,  EN LA MODALIDAD DE NATACIÓN CLAVADOS, EN CATEGORÍAS DE JUEGOS NACIONALES</t>
  </si>
  <si>
    <t>PRESTACIÓN DE SERVICIOS DE UN ENTRENADOR PRINCIPAL PARA LA REALIZACIÓN DEL PROCESO DE SELECCIÓN, ENTRENAMIENTO DEPORTIVO Y PARTICIPACIÓN EN COMPETENCIAS EN LA LIGA ANTIOQUEÑA DE BOCCIA LABC,  EN LAS CATEGORÍAS DE JUEGOS PARANACIONALES.</t>
  </si>
  <si>
    <t>PRESTACIÓN DE SERVICIOS DE UN ENTRENADOR PRINCIPAL PARA LA REALIZACIÓN DEL PROCESO DE SELECCIÓN, ENTRENAMIENTO DEPORTIVO Y PARTICIPACIÓN EN COMPETENCIAS EN LA LIGA ANTIOQUEÑA DE JUDO,  EN LA MODALIDAD COMBATE, EN CATEGORÍAS DE JUEGOS NACIONALES.</t>
  </si>
  <si>
    <t>PRESTACIÓN DE SERVICIOS DE UN ENTRENADOR PRINCIPAL PARA LA REALIZACIÓN DEL PROCESO DE SELECCIÓN, ENTRENAMIENTO DEPORTIVO Y PARTICIPACIÓN EN COMPETENCIAS EN LA LIGA ANTIOQUEÑA DE TAEKWONDO,  EN LA MODALIDAD COMBATE, EN CATEGORÍAS DE JUEGOS NACIONALES.</t>
  </si>
  <si>
    <t>PRESTACIÓN DE SERVICIOS DE UN ENTRENADOR ASISTENTE  PARA LA REALIZACIÓN DEL PROCESO SELECCIÓN, ENTRENAMIENTO DEPORTIVO Y PARTICIPACIÓN EN COMPETENCIAS EN LA LIGA ANTIOQUEÑA DE TAEKWONDO, EN LA MODALIDAD POOMSAES, EN CATEGORÍAS DE JUEGOS NACIONALES.</t>
  </si>
  <si>
    <t>PRESTACIÓN DE SERVICIOS DE UN ENTRENADOR ASISTENTE PARA LA REALIZACIÓN DEL PROCESO DE SELECCIÓN, ENTRENAMIENTO DEPORTIVO Y PARTICIPACIÓN EN COMPETENCIAS EN LA LIGA ANTIOQUEÑA DE TAEKWONDO,   MODALIDAD COMBATE, EN CATEGORÍAS DE JUEGOS NACIONALES.</t>
  </si>
  <si>
    <t>PRESTACIÓN DE SERVICIOS DE UN ENTRENADOR ASISTENTE PARA LA REALIZACIÓN DEL PROCESO SELECCIÓN, ENTRENAMIENTO DEPORTIVO Y PARTICIPACIÓN EN COMPETENCIAS, EN LA LIGA ANTIOQUEÑA DE RUGBY EN LAS MODALIDADES DE SEVENS Y QUINCES, EN CATEGORÍAS DE JUEGOS NACIONALES.</t>
  </si>
  <si>
    <t xml:space="preserve">PRESTACIÓN DE SERVICIOS DE UN ENTRENADOR PRINCIPAL PARA LA REALIZACIÓN DEL PROCESO DE SELECCIÓN, ENTRENAMIENTO DEPORTIVO Y PARTICIPACIÓN EN COMPETENCIAS EN LA  LIGA ANTIOQUEÑA DE RUGBY,  EN LA MODALIDAD SEVENS Y QUINCES RAMA FEMENINA, EN CATEGORÍAS DE JUEGOS NACIONALES.
</t>
  </si>
  <si>
    <t xml:space="preserve">PRESTACIÓN DE SERVICIOS DE UN ENTRENADOR PRINCIPAL PARA LA REALIZACIÓN DEL PROCESO DE SELECCIÓN, ENTRENAMIENTO DEPORTIVO Y PARTICIPACIÓN EN COMPETENCIAS EN LA  LIGA ANTIOQUEÑA DE RUGBY,  EN LA MODALIDAD SEVENS Y QUINCES RAMA MASCULINA, EN CATEGORÍAS DE JUEGOS NACIONALES.
</t>
  </si>
  <si>
    <t>PRESTACIÓN DE SERVICIOS DE UN ENTRENADOR PRINCIPAL PARA LA REALIZACIÓN DEL PROCESO DE SELECCIÓN, ENTRENAMIENTO DEPORTIVO Y PARTICIPACIÓN EN COMPETENCIAS DE LOS ATLETAS DE PARA- FÚTBOL 7 CON  PARÁLISIS CEREBRAL, EN CATEGORÍAS DE JUEGOS PARANACIONALES.</t>
  </si>
  <si>
    <t xml:space="preserve">PRESTACIÓN DE SERVICIOS DE UN ENTRENADOR DE CICLISMO PARA INDEPORTES ANTIOQUIA </t>
  </si>
  <si>
    <t>PRESTACIÓN DE SERVICIOS DE UN ENTRENADOR PRINCIPAL PARA LA REALIZACIÓN DEL PROCESO DE SELECCIÓN, ENTRENAMIENTO DEPORTIVO Y PARTICIPACIÓN EN COMPETENCIAS EN LA LIGA DE SÓFTBOL DE ANTIOQUIA,  RAMA MASCULINA, EN DEPORTES Y CATEGORÍAS DE JUEGOS NACIONALES.</t>
  </si>
  <si>
    <t>PRESTACIÓN DE SERVICIOS DE UN ENTRENADOR ASISTENTE  PARA LA REALIZACIÓN DEL PROCESO SELECCIÓN, ENTRENAMIENTO DEPORTIVO Y PARTICIPACIÓN EN COMPETENCIAS EN LA LIGA ANTIOQUEÑA DE LEVANTAMIENTO DE PESAS, RAMA MASCULINA, EN LOS DEPORTES Y CATEGORÍAS DE JUEGOS NACIONALES.</t>
  </si>
  <si>
    <t>PRESTACIÓN DE SERVICIOS DE UN ENTRENADOR PRINCIPAL PARA LA REALIZACIÓN DEL PROCESO DE SELECCIÓN, ENTRENAMIENTO DEPORTIVO Y PARTICIPACIÓN EN COMPETENCIAS EN LA LIGA ANTIOQUEÑA DE LEVANTAMIENTO DE PESAS,  RAMA MASCULINA, EN DEPORTES Y CATEGORÍAS DE JUEGOS NACIONALES.</t>
  </si>
  <si>
    <t>PRESTACIÓN DE SERVICIOS DE UN ENTRENADOR ASISTENTE  PARA LA REALIZACIÓN DEL PROCESO SELECCIÓN, ENTRENAMIENTO DEPORTIVO Y PARTICIPACIÓN EN COMPETENCIAS EN LA LIGA ANTIOQUEÑA DE LEVANTAMIENTO DE PESAS, RAMA FEMENINA, EN LOS DEPORTES Y CATEGORÍAS DE JUEGOS NACIONALES.</t>
  </si>
  <si>
    <t>PRESTACIÓN DE SERVICIOS DE UN ENTRENADOR ASISTENTE  PARA LA REALIZACIÓN DEL PROCESO SELECCIÓN, ENTRENAMIENTO DEPORTIVO Y PARTICIPACIÓN EN COMPETENCIAS EN LA LIGA ANTIOQUEÑA DE TRIATLÓN, EN LA MODALIDADES, DEPORTES Y CATEGORIAS DE JUEGOS NACIONALES.</t>
  </si>
  <si>
    <t>PRESTACIÓN DE SERVICIOS DE UN ENTRENADOR ASISTENTE  PARA LA REALIZACIÓN DEL PROCESO SELECCIÓN, ENTRENAMIENTO DEPORTIVO Y PARTICIPACIÓN EN COMPETENCIAS EN LA LIGA ANTIOQUEÑA DE BÉISBOL, EN  LOS DEPORTES Y CATEGORÍAS DE JUEGOS NACIONALES.</t>
  </si>
  <si>
    <t>PRESTACIÓN DE SERVICIOS DE UN ENTRENADOR PRINCIPAL PARA LA REALIZACIÓN DEL PROCESO DE SELECCIÓN, ENTRENAMIENTO DEPORTIVO Y PARTICIPACIÓN EN COMPETENCIAS EN LA LIGA DE  ANTIOQUEÑA DE BÉISBOL,  EN DEPORTES Y CATEGORÍAS DE JUEGOS NACIONALES.</t>
  </si>
  <si>
    <t>PRESTACIÓN DE SERVICIOS DE UN ENTRENADOR PRINCIPAL PARA LA REALIZACIÓN DEL PROCESO DE SELECCIÓN, ENTRENAMIENTO DEPORTIVO Y PARTICIPACIÓN EN COMPETENCIAS EN LA LIGA DE CICLISMO DE ANTIOQUIA,  EN LA MODALIDAD PISTA, FONDO Y SEMIFONDO, EN DEPORTES Y CATEGORÍAS DE JUEGOS NACIONALES.</t>
  </si>
  <si>
    <t>PRESTACIÓN DE SERVICIOS DE UN ENTRENADOR ASISTENTE  PARA LA REALIZACIÓN DEL PROCESO SELECCIÓN, ENTRENAMIENTO DEPORTIVO Y PARTICIPACIÓN EN COMPETENCIAS EN LALIGA DE CICLISMO DE ANTIOQUIA, EN LA MODALIDAD BMX, EN LOS DEPORTES Y CATEGORÍAS DE JUEGOS NACIONALES.</t>
  </si>
  <si>
    <t>PRESTACIÓN DE SERVICIOS DE UN ENTRENADOR PRINCIPAL PARA LA REALIZACIÓN DEL PROCESO DE SELECCIÓN, ENTRENAMIENTO DEPORTIVO Y PARTICIPACIÓN EN COMPETENCIAS EN LA LIGA DE CICLISMO DE ANTIOQUIA,  EN LA MODALIDAD MTB, EN DEPORTES Y CATEGORÍAS DE JUEGOS NACIONALES.</t>
  </si>
  <si>
    <t>PRESTACIÓN DE SERVICIOS DE UN ENTRENADOR PRINCIPAL PARA LA REALIZACIÓN DEL PROCESO DE SELECCIÓN, ENTRENAMIENTO DEPORTIVO Y PARTICIPACIÓN EN COMPETENCIAS EN LA LIGA DE CICLISMO DE ANTIOQUIA,  EN LA MODALIDAD PISTA VELOCIDAD, EN DEPORTES Y CATEGORÍAS DE JUEGOS NACIONALES.</t>
  </si>
  <si>
    <t>PRESTACIÓN DE SERVICIOS DE UN ENTRENADOR PRINCIPAL PARA LA REALIZACIÓN DEL PROCESO DE SELECCIÓN, ENTRENAMIENTO DEPORTIVO Y PARTICIPACIÓN EN COMPETENCIAS EN LA LIGA DE CICLISMO DE ANTIOQUIA,  EN LA MODALIDAD BMX, EN DEPORTES Y CATEGORÍAS DE JUEGOS NACIONALES.</t>
  </si>
  <si>
    <t>PRESTACIÓN DE SERVICIOS DE UN ENTRENADOR PRINCIPAL PARA LA REALIZACIÓN DEL PROCESO DE SELECCIÓN, ENTRENAMIENTO DEPORTIVO Y PARTICIPACIÓN EN COMPETENCIAS EN LA LIGA DE LIMITACIÓN MENTAL DE ANTIOQUIA - LIDIMANT,  EN LA MODALIDAD PARA-CYCLING,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</si>
  <si>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PARA-NATACIÓN CARRERAS,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</si>
  <si>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PARA-ATLETISMO, EN CATEGORÍAS DE JUEGOS PARANACIONALES.</t>
  </si>
  <si>
    <t>PRESTACIÓN DE SERVICIOS DE UN ENTRENADOR PRINCIPAL PARA LA REALIZACIÓN DEL PROCESO DE SELECCIÓN, ENTRENAMIENTO DEPORTIVO Y PARTICIPACIÓN EN COMPETENCIAS EN LA LIGA DE SÓFTBOL DE ANTIOQUIA,  EN LA RAMA FEMENINA, EN DEPORTES Y CATEGORÍAS DE JUEGOS NACIONALES.</t>
  </si>
  <si>
    <t>PRESTACIÓN DE SERVICIOS DE UN ENTRENADOR PRINCIPAL PARA LA REALIZACIÓN DEL PROCESO DE SELECCIÓN, ENTRENAMIENTO DEPORTIVO Y PARTICIPACIÓN EN COMPETENCIAS EN LA LIGA ANTIOQUEÑA DE LEVANTAMIENTO DE PESAS,  EN LA RAMA FEMENINA, EN DEPORTES Y CATEGORÍAS DE JUEGOS NACIONALES.</t>
  </si>
  <si>
    <t>PRESTACIÓN DE SERVICIOS DE UN ENTRENADOR PRINCIPAL PARA LA REALIZACIÓN DEL PROCESO DE SELECCIÓN, ENTRENAMIENTO DEPORTIVO Y PARTICIPACIÓN EN COMPETENCIAS EN LA LIGA ANTIOQUEÑA DE TENIS DE CAMPO, EN DEPORTES Y CATEGORÍAS DE JUEGOS NACIONALES.</t>
  </si>
  <si>
    <t>PRESTACIÓN DE SERVICIOS DE UN ENTRENADOR PRINCIPAL PARA LA REALIZACIÓN DEL PROCESO DE SELECCIÓN, ENTRENAMIENTO DEPORTIVO Y PARTICIPACIÓN EN COMPETENCIAS DE ESQUÍ NÁUTICO, EN DEPORTES Y CATEGORÍAS DE JUEGOS NACIONALES.</t>
  </si>
  <si>
    <t>PRESTACIÓN DE SERVICIOS DE UN ENTRENADOR ASISTENTE  PARA LA REALIZACIÓN DEL PROCESO SELECCIÓN, ENTRENAMIENTO DEPORTIVO EN LA SUBREGIÓN DE URABÁ Y PARTICIPACIÓN EN COMPETENCIAS EN LA LIGA ANTIOQUEÑA DE BÉISBOL, EN LOS DEPORTES Y CATEGORÍAS DE JUEGOS NACIONALES.</t>
  </si>
  <si>
    <t>PRESTACIÓN DE SERVICIOS DE UN ENTRENADOR PRINCIPAL PARA LA REALIZACIÓN DEL PROCESO DE SELECCIÓN, ENTRENAMIENTO DEPORTIVO Y PARTICIPACIÓN EN COMPETENCIAS EN LA LIGA DE LIMITACIÓN MENTAL DE ANTIOQUIA - LIDIMANT,  EN LA MODALIDAD PARA-BALONCESTO, EN CATEGORÍAS DE JUEGOS PARANACIONALES.</t>
  </si>
  <si>
    <t>PRESTACIÓN DE SERVICIOS DE UN ENTRENADOR ASISTENTE  PARA LA REALIZACIÓN DEL PROCESO SELECCIÓN, ENTRENAMIENTO DEPORTIVO Y PARTICIPACIÓN EN COMPETENCIAS EN LA  LIGA DE VELA DE ANTIOQUIA, EN LA MODALIDAD BARCOS,  EN LOS DEPORTES Y CATEGORÍAS DE JUEGOS NACIONALES.</t>
  </si>
  <si>
    <t>PRESTACIÓN DE SERVICIOS DE UN ENTRENADOR PRINCIPAL PARA LA REALIZACIÓN DEL PROCESO DE SELECCIÓN, ENTRENAMIENTO DEPORTIVO Y PARTICIPACIÓN EN COMPETENCIAS EN LA LIGA  DE VELA DE ANTIOQUIA,  EN LA MODALIDAD DE TABLAS Y COMETA, EN DEPORTES Y CATEGORÍAS DE JUEGOS NACIONALES.</t>
  </si>
  <si>
    <t>PRESTACIÓN DE SERVICIOS DE UN ENTRENADOR PRINCIPAL PARA LA REALIZACIÓN DEL PROCESO SELECCIÓN, ENTRENAMIENTO DEPORTIVO Y PARTICIPACIÓN EN COMPETENCIAS EN LA LIGA ANTIOQUEÑA DE TIRO DEPORTIVO, EN LA MODALIDAD RIFLE, EN CATEGORÍAS DE JUEGOS NACIONALES.</t>
  </si>
  <si>
    <t>PRESTACIÓN DE SERVICIOS DE UN ENTRENADOR ASISTENTE  PARA LA REALIZACIÓN DEL PROCESO SELECCIÓN, ENTRENAMIENTO DEPORTIVO Y PARTICIPACIÓN EN COMPETENCIAS EN LA LIGA ANTIOQUEÑA DE TIRO DEPORTIVO, EN LA MODALIDAD PISTOLA, EN CATEGORÍAS DE JUEGOS NACIONALES.</t>
  </si>
  <si>
    <t>PRESTACIÓN DE SERVICIOS DE UN ENTRENADOR PRINCIPAL PARA LA REALIZACIÓN DEL PROCESO DE SELECCIÓN, ENTRENAMIENTO DEPORTIVO Y PARTICIPACIÓN EN COMPETENCIAS DE LOS ATLETAS DE TIRO PARA-DEPORTIVO CON  DISCAPACIDAD FÍSICA, EN CATEGORÍAS DE JUEGOS PARANACIONALES.</t>
  </si>
  <si>
    <t>PRESTACIÓN DE SERVICIOS DE UN ENTRENADOR PRINCIPAL PARA LA REALIZACIÓN DEL PROCESO DE SELECCIÓN, ENTRENAMIENTO DEPORTIVO Y PARTICIPACIÓN EN COMPETENCIAS DE LOS ATLETAS DE PARA-NATACIÓN CARRERAS  CON  DISCAPACIDAD VISUAL, EN CATEGORÍAS DE JUEGOS PARANACIONALES.</t>
  </si>
  <si>
    <t>PRESTACIÓN DE SERVICIOS DE UN ENTRENADOR PRINCIPAL PARA LA REALIZACIÓN DEL PROCESO DE SELECCIÓN, ENTRENAMIENTO DEPORTIVO Y PARTICIPACIÓN EN COMPETENCIAS DE LOS ATLETAS DE VOLEIBOL SENTADO CON  DISCAPACIDAD FÍSICA, EN CATEGORÍAS DE JUEGOS PARANACIONALES.</t>
  </si>
  <si>
    <t>PRESTACIÓN DE SERVICIOS DE UN ENTRENADOR DE INICIACIÓN Y DESARROLLO PARA LA REALIZACIÓN DEL PROCESO DE SELECCIÓN, ENTRENAMIENTO DEPORTIVO Y PARTICIPACIÓN EN COMPETENCIAS DE LA LIGA ANTIOQUEÑA DE BOLO, EN CATEGORÍAS MENORES.</t>
  </si>
  <si>
    <t>DISPONIBLE LIBERACIÓN SUBGERENCIA DE ALTOS LOGROS Y DEPORTE ASOCIADO 31 DE DICIEMBRE DE 2025</t>
  </si>
  <si>
    <t>PRESTACIÓN DE SERVICIOS DE UN ENTRENADOR PRINCIPAL PARA LA REALIZACIÓN DEL PROCESO DE SELECCIÓN, ENTRENAMIENTO DEPORTIVO Y PARTICIPACIÓN EN COMPETENCIAS EN LA LIGA ANTIOQUEÑA DE GIMNASIA,  EN LA MODALIDAD ARTÍSTICA FEMENINA, EN CATEGORÍAS DE JUEGOS NACIONALES.</t>
  </si>
  <si>
    <t>PRESTACIÓN DE SERVICIOS DE UN ENTRENADOR PRINCIPAL PARA LA REALIZACIÓN DEL PROCESO DE SELECCIÓN, ENTRENAMIENTO DEPORTIVO Y PARTICIPACIÓN EN COMPETENCIAS EN LA LIGA ANTIOQUEÑA DE GIMNASIA,   MODALIDAD TRAMPOLÍN, EN CATEGORÍAS DE JUEGOS NACIONALES.</t>
  </si>
  <si>
    <t xml:space="preserve">PRESTACIÓN DE SERVICIOS DE UN ENTRENADOR PRINCIPAL PARA LA REALIZACIÓN DEL PROCESO DE SELECCIÓN, ENTRENAMIENTO DEPORTIVO Y PARTICIPACIÓN EN COMPETENCIAS EN LA LIGA ANTIOQUEÑA DE GIMNASIA,  EN LA MODALIDAD ARTÍSTICA FEMENINA Y COREOGRAFÍA, EN CATEGORÍAS DE JUEGOS NACIONALES.
</t>
  </si>
  <si>
    <t>PRESTACIÓN DE SERVICIOS DE UN ENTRENADOR PRINCIPAL PARA LA REALIZACIÓN DEL PROCESO DE SELECCIÓN, ENTRENAMIENTO DEPORTIVO Y PARTICIPACIÓN EN COMPETENCIAS EN LA LIGA ANTIOQUEÑA DE GIMNASIA,   MODALIDAD ARTÍSICA MASCULINA, EN CATEGORÍAS DE JUEGOS NACIONALES.</t>
  </si>
  <si>
    <t>PRESTACIÓN DE SERVICIOS DE UN ENTRENADOR ASISTENTE  PARA LA REALIZACIÓN DEL PROCESO SELECCIÓN, ENTRENAMIENTO DEPORTIVO Y PARTICIPACIÓN EN COMPETENCIAS EN LA LIGA ANTIOQUEÑA DE GIMNASIA, EN LA MODALIDAD RÍTMICA Y COREOGRAFÍA, EN CATEGORÍAS DE JUEGOS NACIONALES.</t>
  </si>
  <si>
    <t>PRESTACIÓN DE SERVICIOS DE UN ENTRENADOR PRINCIPAL PARA LA REALIZACIÓN DEL PROCESO DE SELECCIÓN, ENTRENAMIENTO DEPORTIVO Y PARTICIPACIÓN EN COMPETENCIAS EN LA LIGA ANTIOQUEÑA DE  KARATE -DO,   MODALIDAD KATA JUVENILES Y MAYORES, EN CATEGORÍAS DE JUEGOS NACIONALES.</t>
  </si>
  <si>
    <t>PRESTACIÓN DE SERVICIOS DE UN ENTRENADOR PRINCIPAL PARA LA REALIZACIÓN DEL PROCESO DE SELECCIÓN, ENTRENAMIENTO DEPORTIVO Y PARTICIPACIÓN EN COMPETENCIAS EN LA LIGA ANTIOQUEÑA DE  KARATE -DO,   MODALIDAD COMBATE CON JUNIORS,  JUVENILES Y MAYORES, CATEGORÍAS DE JUEGOS NACIONALES.</t>
  </si>
  <si>
    <t>PRESTACIÓN DE SERVICIOS DE UN ENTRENADOR PRINCIPAL PARA LA REALIZACIÓN DEL PROCESO DE SELECCIÓN, ENTRENAMIENTO DEPORTIVO Y PARTICIPACIÓN EN COMPETENCIAS EN LA LIGA ANTIOQUEÑA DE PARAATLETISMO DE LOS DEPORTISTAS CON DISCAPACIDAD FÍSICA EN CATEGORÍAS DE JUEGOS PARANACIONALES.</t>
  </si>
  <si>
    <t>PRESTACIÓN DE SERVICIOS DE UN ENTRENADOR PRINCIPAL PARA LA REALIZACIÓN DEL PROCESO DE SELECCIÓN, ENTRENAMIENTO DEPORTIVO Y PARTICIPACIÓN EN COMPETENCIAS EN LA LIGA ANTIOQUEÑA DE PARAATLETISMO DE LOS DEPORTISTAS CON DISCAPACIDAD VISUAL EN CATEGORÍAS DE JUEGOS PARANACIONALES.</t>
  </si>
  <si>
    <t>PRESTACIÓN DE SERVICIOS DE UN ENTRENADOR DE INICIACIÓN Y DESARROLLO PARA LA REALIZACIÓN DEL PROCESO DE SELECCIÓN, ENTRENAMIENTO DEPORTIVO Y PARTICIPACIÓN EN COMPETENCIAS DE LA LIGA DE AJEDREZ DE ANTIOQUIA, EN CATEGORÍAS MENORES.</t>
  </si>
  <si>
    <t>PRESTACIÓN DE SERVICIOS DE UN ENTRENADOR PRINCIPAL PARA LA REALIZACIÓN DEL PROCESO DE SELECCIÓN, ENTRENAMIENTO DEPORTIVO Y PARTICIPACIÓN EN COMPETENCIAS EN LA LIGA DE AJEDREZ DE ANTIOQUIA,   EN LA RAMA FEMENINA, EN CATEGORÍAS DE JUEGOS NACIONALES.</t>
  </si>
  <si>
    <t>PRESTACIÓN DE SERVICIOS DE UN ENTRENADOR PRINCIPAL PARA LA REALIZACIÓN DEL PROCESO DE SELECCIÓN, ENTRENAMIENTO DEPORTIVO Y PARTICIPACIÓN EN COMPETENCIAS EN LA LIGA DE AJEDREZ DE ANTIOQUIA,   EN LA RAMA MASCULINA, EN CATEGORÍAS DE JUEGOS NACIONALES.</t>
  </si>
  <si>
    <t>PRESTACIÓN DE SERVICIOS DE UN ENTRENADOR ASISTENTE PARA LA REALIZACIÓN DEL PROCESO DE SELECCIÓN, ENTRENAMIENTO DEPORTIVO Y PARTICIPACIÓN EN COMPETENCIAS EN LA LIGA DE AJEDREZ DE ANTIOQUIA, EN CATEGORÍAS DE JUEGOS NACIONALES.</t>
  </si>
  <si>
    <t>PRESTACIÓN DE SERVICIOS DE UN ENTRENADOR PRINCIPAL PARA LA REALIZACIÓN DEL PROCESO DE SELECCIÓN, ENTRENAMIENTO DEPORTIVO Y PARTICIPACIÓN EN COMPETENCIAS EN LA LIGA DE DEPORTISTAS CON DISCAPACIDAD VISUAL DE ANTIOQUIA -DIVISA,  EN LA MODALIDAD PARA-AJEDREZ,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</si>
  <si>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PARA-BOWLING, EN CATEGORÍAS DE JUEGOS PARANACIONALES.</t>
  </si>
  <si>
    <t>PRESTACIÓN DE SERVICIOS DE UN ENTRENADOR PRINCIPAL PARA LA REALIZACIÓN DEL PROCESO DE SELECCIÓN, ENTRENAMIENTO DEPORTIVO Y PARTICIPACIÓN EN COMPETENCIAS EN LA LIGA DE PATINAJE DE ANTIOQUIA,   MODALIDAD VELOCIDAD, EN CATEGORÍAS DE JUEGOS NACIONALES.</t>
  </si>
  <si>
    <t>PRESTACIÓN DE SERVICIOS DE UN ENTRENADOR PRINCIPAL PARA LA REALIZACIÓN DEL PROCESO DE SELECCIÓN, ENTRENAMIENTO DEPORTIVO Y PARTICIPACIÓN EN COMPETENCIAS EN LA LIGA DE PATINAJE DE ANTIOQUIA,   MODALIDAD ARTÍSTICA, EN CATEGORÍAS DE JUEGOS NACIONALES.</t>
  </si>
  <si>
    <t>PRESTACIÓN DE SERVICIOS DE UN ENTRENADOR PRINCIPAL PARA LA REALIZACIÓN DEL PROCESO DE SELECCIÓN, ENTRENAMIENTO DEPORTIVO Y PARTICIPACIÓN EN COMPETENCIAS EN LA LIGA DE PATINAJE DE ANTIOQUIA,   MODALIDAD SKATEBOARDING, EN CATEGORÍAS DE JUEGOS NACIONALES.</t>
  </si>
  <si>
    <t>PRESTACIÓN DE SERVICIOS DE UN ENTRENADOR PRINCIPAL PARA LA REALIZACIÓN DEL PROCESO DE SELECCIÓN, ENTRENAMIENTO DEPORTIVO Y PARTICIPACIÓN EN COMPETENCIAS EN LA LIGA DE PATINAJE DE ANTIOQUIA,   MODALIDAD ARTÍSTICO DANZA, EN CATEGORÍAS DE JUEGOS NACIONALES.</t>
  </si>
  <si>
    <t>PRESTACIÓN DE SERVICIOS DE UN ENTRENADOR PRINCIPAL PARA LA REALIZACIÓN DEL PROCESO DE SELECCIÓN, ENTRENAMIENTO DEPORTIVO Y PARTICIPACIÓN EN COMPETENCIAS DE LOS ATLETAS DE RUGBY EN SILLA DE RUEDAS CON  DISCAPACIDAD FÍSICA, EN CATEGORÍAS DE JUEGOS PARANACIONALES.</t>
  </si>
  <si>
    <t>PRESTACIÓN DE SERVICIOS DE UN ENTRENADOR PRINCIPAL PARA LA REALIZACIÓN DEL PROCESO DE SELECCIÓN, ENTRENAMIENTO DEPORTIVO Y PARTICIPACIÓN EN COMPETENCIAS DE LOS ATLETAS DE  PARA-POWERLIFTING CON  DISCAPACIDAD FÍSICA, EN CATEGORÍAS DE JUEGOS PARANACIONALES.</t>
  </si>
  <si>
    <t>PRESTACIÓN DE SERVICIOS DE UN ENTRENADOR PRINCIPAL PARA LA REALIZACIÓN DEL PROCESO DE SELECCIÓN, ENTRENAMIENTO DEPORTIVO Y PARTICIPACIÓN EN COMPETENCIAS DE LOS ATLETAS DE BALONCESTO EN SILLA DE RUEDAS CON  DISCAPACIDAD FÍSICA,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</si>
  <si>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PARA-FÚTBOL 5, EN CATEGORÍAS DE JUEGOS PARANACIONALES.</t>
  </si>
  <si>
    <t>PRESTACIÓN DE SERVICIOS DE UN ENTRENADOR DE INICIACIÓN Y DESARROLLO EN BILLAR Y PARA-BILLAR PARA LA REALIZACIÓN DEL PROCESO DE SELECCIÓN, ENTRENAMIENTO DEPORTIVO  Y PARTICIPACIÓN EN COMPETENCIAS DE LA LIGA DE BILLAR DE ANTIOQUIA.</t>
  </si>
  <si>
    <t>PRESTACIÓN DE SERVICIOS DE UN ENTRENADOR DE INICIACIÓN Y DESARROLLO DEPORTIVO EN LA SUBREGIÓN DE URABÁ PARA LA CONSECUCIÓN DE NUEVOS TALENTOS PARA LA LIGA ANTIOQUEÑA DE JUDO, EN CATEGORÍAS DE JUEGOS NACIONALES.</t>
  </si>
  <si>
    <t>PRESTACIÓN DE SERVICIOS DE UN ENTRENADOR DE TRIATLÓN PARA INDEPORTES ANTIOQUIA</t>
  </si>
  <si>
    <t>PRESTACIÓN DE SERVICIOS DE UN ENTRENADOR PRINCIPAL PARA LA REALIZACIÓN DEL PROCESO DE SELECCIÓN, ENTRENAMIENTO DEPORTIVO Y PARTICIPACIÓN EN COMPETENCIAS EN LA LIGA ANTIOQUEÑA DE TEJO,   EN LA RAMA FEMENINA, EN CATEGORÍAS DE JUEGOS NACIONALES.</t>
  </si>
  <si>
    <t>PRESTACIÓN DE SERVICIOS DE UN ENTRENADOR PRINCIPAL PARA LA REALIZACIÓN DEL PROCESO SELECCIÓN, ENTRENAMIENTO DEPORTIVO Y PARTICIPACIÓN EN COMPETENCIAS EN LA LIGA DE CANOTAJE DE ANTIOQUIA, EN LA MODALIDAD CANOA, EN CATEGORÍAS DE JUEGOS NACIONALES.</t>
  </si>
  <si>
    <t xml:space="preserve">DISPONIBLE CONTRATACIÓN ENTRENADORES </t>
  </si>
  <si>
    <t>PRESTACIÓN DE SERVICIOS DE APOYO A LA GESTIÓN PARA EL ACOMPAÑAMIENTO ADMINISTRATIVO Y FINANCIERO EN EL SEGUIMIENTO DE LOS PROGRAMAS, PROYECTOS, CONTRATOS Y/O CONVENIOS SUSCRITOS POR LA SUBGERENCIA DE DEPORTE ASOCIADO Y ALTOS LOGROS.</t>
  </si>
  <si>
    <t>PRESTACIÓN DE SERVICIOS DE APOYO A LA GESTIÓN EN LOS PROCESOS ADMINISTRATIVOS NECESARIOS PARA EL FUNCIONAMIENTO DE LAS DIFERENTES SEDES DE INDEPORTES ANTIOQUIA</t>
  </si>
  <si>
    <t>PRESTACIÓN DE SERVICIOS DE APOYO A LA GESTIÓN EN LOS PROCESOS ADMINISTRATIVOS DE LA SUBGERENCIA DE DEPORTE ASOCIADO Y ALTOS LOGROS, NECESARIOS PARA ACOMPAÑAR LA OPERACIÓN Y DESARROLLO DE LAS ACTIVIDADES EN EL CEDEP DE URABÁ.</t>
  </si>
  <si>
    <t>PRESTACIÓN DE SERVICIOS DE APOYO A LA GESTIÓN EN LOS PROCESOS ADMINISTRATIVOS DE LA SUBGERENCIA DE DEPORTE ASOCIADO Y ALTOS LOGROS, NECESARIOS PARA ACOMPAÑAR LA OPERACIÓN Y DESARROLLO DE LAS ACTIVIDADES EN LAS INSTALACIONES DEPORTIVAS DE LA VILLA NÁUTICA EN GUATAPÉ.</t>
  </si>
  <si>
    <t>PRESTACIÓN DE SERVICIOS DE APOYO A LA GESTIÓN PARA EL ACOMPAÑAMIENTO ADMINISTRATIVO EN LA GESTIÓN DE LA INFORMACIÓN EN LAS DIFERENTES PLATAFORMAS UTILIZADAS EN LA SUBGERENCIA DE DEPORTE ASOCIADO Y ALTOS LOGROS</t>
  </si>
  <si>
    <t>PRESTACIÓN DE SERVICIOS DE UN ENTRENADOR PARA LA REALIZACIÓN DEL PROCESO DE PREPARACIÓN FÍSICA Y CONDICIONAL EN DEPORTES DE BOLO, SOFTBOL Y TEJO EN LAS MODALIDADES Y CATEGORÍAS DE JUEGOS NACIONALES.</t>
  </si>
  <si>
    <t>PRESTACIÓN DE SERVICIOS DE UN ENTRENADOR PARA LA REALIZACIÓN DEL PROCESO DE PREPARACIÓN FÍSICA Y CONDICIONAL EN DEPORTES DE NATACIÓN CLAVADOS EN LAS MODALIDADES Y CATEGORÍAS DE JUEGOS NACIONALES.</t>
  </si>
  <si>
    <t>PRESTACIÓN DE SERVICIOS DE UN ENTRENADOR PARA LA REALIZACIÓN DEL PROCESO DE PREPARACIÓN FÍSICA Y CONDICIONAL EN DEPORTES DE NATACIÓN CARRERAS Y POLO ACUÁTICO EN LAS MODALIDADES Y CATEGORÍAS DE JUEGOS NACIONALES.</t>
  </si>
  <si>
    <t>PRESTACIÓN DE SERVICIOS DE UN ENTRENADOR PARA LA REALIZACIÓN DEL PROCESO DE PREPARACIÓN FÍSICA Y CONDICIONAL EN DEPORTES DE NATACIÓN ARTÍSTICA EN LAS MODALIDADES Y CATEGORÍAS DE JUEGOS NACIONALES.</t>
  </si>
  <si>
    <t>PRESTACIÓN DE SERVICIOS DE UN ENTRENADOR PARA LA REALIZACIÓN DEL PROCESO DE PREPARACIÓN FÍSICA Y CONDICIONAL EN DEPORTES DE TAEKWONDO Y PATINAJE EN LAS MODALIDADES Y CATEGORÍAS DE JUEGOS NACIONALES.</t>
  </si>
  <si>
    <t>PRESTACIÓN DE SERVICIOS DE UN ENTRENADOR PARA LA REALIZACIÓN DEL PROCESO DE PREPARACIÓN FÍSICA Y CONDICIONAL EN DEPORTES DE BALONCESTO, VOLEIBOL Y VOLEIBOL PLAYA EN LAS MODALIDADES Y CATEGORÍAS DE JUEGOS NACIONALES.</t>
  </si>
  <si>
    <t>PRESTACIÓN DE SERVICIOS DE UN ENTRENADOR PARA LA REALIZACIÓN DEL PROCESO DE PREPARACIÓN FÍSICA Y CONDICIONAL EN DEPORTES DE BÁDMINTON, GIMNASIA EN LAS MODALIDADES Y CATEGORÍAS DE JUEGOS NACIONALES.</t>
  </si>
  <si>
    <t>PRESTACIÓN DE SERVICIOS DE UN ENTRENADOR PARA LA REALIZACIÓN DEL PROCESO DE PREPARACIÓN FÍSICA Y CONDICIONAL EN DEPORTES DE RUGBY, FUTBOL DE SALÓN Y SQUASH EN LAS MODALIDADES Y CATEGORÍAS DE JUEGOS NACIONALES.</t>
  </si>
  <si>
    <t>PRESTACIÓN DE SERVICIOS DE UN ENTRENADOR PARA LA REALIZACIÓN DEL PROCESO DE PREPARACIÓN FÍSICA Y CONDICIONAL EN DEPORTES DE CICLISMO, PESAS Y CANOTAJE EN LAS MODALIDADES Y CATEGORÍAS DE JUEGOS NACIONALES.</t>
  </si>
  <si>
    <t>PRESTACIÓN DE SERVICIOS DE UN ENTRENADOR PARA LA REALIZACIÓN DEL PROCESO DE PREPARACIÓN FÍSICA Y CONDICIONAL EN DEPORTES DE KARATE, LUCHA Y JUDO EN LAS MODALIDADES Y CATEGORÍAS DE JUEGOS NACIONALES.</t>
  </si>
  <si>
    <t>PRESTACIÓN DE SERVICIOS DE UN ENTRENADOR PARA LA REALIZACIÓN DEL PROCESO DE PREPARACIÓN FÍSICA Y CONDICIONAL EN DEPORTES DE PARA-FUTBOL SALA, PARA-BALONCESTO Y RUGBY EN SILLA DE RUEDAS EN LAS MODALIDADES Y CATEGORÍAS DE JUEGOS PARANACIONALES.</t>
  </si>
  <si>
    <t>PRESTACIÓN DE SERVICIOS DE UN ENTRENADOR PARA LA REALIZACIÓN DEL PROCESO DE PREPARACIÓN FÍSICA Y CONDICIONAL EN DEPORTES DE PARA-POWERLIFTING, TIRO PARA-DEPORTIVO Y PARA-TENIS DE MESA  EN LAS MODALIDADES Y CATEGORÍAS DE JUEGOS PARANACIONALES.</t>
  </si>
  <si>
    <t>PRESTACIÓN DE SERVICIOS DE UN ENTRENADOR PARA LA REALIZACIÓN DEL PROCESO DE PREPARACIÓN FÍSICA Y CONDICIONAL EN DEPORTES DE PARA-ATLETISMO EN LAS MODALIDADES Y CATEGORÍAS DE JUEGOS PARANACIONALES.</t>
  </si>
  <si>
    <t>PRESTACIÓN DE SERVICIOS DE UN ENTRENADOR PARA LA REALIZACIÓN DEL PROCESO DE PREPARACIÓN FÍSICA Y CONDICIONAL EN DEPORTES DE PARA-NATACIÓN Y PARA-AJEDREZ EN LAS MODALIDADES Y CATEGORÍAS DE JUEGOS PARANACIONALES.</t>
  </si>
  <si>
    <t>PRESTACIÓN DE SERVICIOS DE UN ENTRENADOR PARA LA REALIZACIÓN DEL PROCESO DE PREPARACIÓN FÍSICA Y CONDICIONAL EN DEPORTES DE ACTIVIDADES SUBACUÁTICAS Y TRIATLÓN EN LAS MODALIDADES Y CATEGORÍAS DE JUEGOS NACIONALES.</t>
  </si>
  <si>
    <t>PRESTACIÓN DE SERVICIOS DE UN ENTRENADOR PARA LA REALIZACIÓN DEL PROCESO DE PREPARACIÓN FÍSICA Y CONDICIONAL EN DEPORTES DE TIRO DEPORTIVO, BÉISBOL Y AJEDREZ EN LAS MODALIDADES Y CATEGORÍAS DE JUEGOS NACIONALES.</t>
  </si>
  <si>
    <t>PRESTACIÓN DE SERVICIOS DE UN ENTRENADOR PARA LA REALIZACIÓN DEL PROCESO DE PREPARACIÓN FÍSICA Y CONDICIONAL EN DEPORTES DE ATLETISMO Y BALONMANO EN LAS MODALIDADES Y CATEGORÍAS DE JUEGOS NACIONALES.</t>
  </si>
  <si>
    <t>ADICIÓN 1 AL CONTRATO NO. 154 DE 2024 CUYO OBJETO ES:  PRESTACIÓN DE SERVICIOS DE UN ENTRENADOR PRINCIPAL PARA LA REALIZACIÓN DEL PROCESO DE SELECCIÓN, ENTRENAMIENTO DEPORTIVO Y PARTICIPACIÓN EN COMPETENCIAS EN LA LIGA DE PATINAJE DE ANTIOQUIA,   MODALIDAD VELOCIDAD, EN CATEGORÍAS DE JUEGOS NACIONALES.</t>
  </si>
  <si>
    <t>PRESTACIÓN DE SERVICIOS COMO ABOGADO ESPECIALIZADO PARA INDEPORTES ANTIOQUIA</t>
  </si>
  <si>
    <t>PRESTACIÓN DE SERVICIOS COMO CONTADORA PÚBLICA ESPECIALIZADA PARA INDEPORTES ANTIOQUIA.</t>
  </si>
  <si>
    <t>PRESTACIÓN DE SERVICIOS COMO ADMINISTRADOR DE NEGOCIOS ESPECIALIZADO PARA INDEPORTES ANTIOQUIA</t>
  </si>
  <si>
    <t>MODIFICACIÓN 1 AL CONTRATO NO. 188 DE 2024 CUYO OBJETO ES:  PRESTACIÓN DE SERVICIOS DE APOYO A LA GESTIÓN PARA EL ACOMPAÑAMIENTO ADMINISTRATIVO Y FINANCIERO EN EL SEGUIMIENTO DE LOS PROGRAMAS, PROYECTOS, CONTRATOS Y/O CONVENIOS SUSCRITOS POR LA SUBGERENCIA DE DEPORTE ASOCIADO Y ALTOS LOGROS.</t>
  </si>
  <si>
    <t>PRESTACIÓN DE SERVICIOS COMO PROFESIONAL EN DEPORTES ESPECIALIZADO PARA INDEPORTES ANTIOQUIA</t>
  </si>
  <si>
    <t>PRESTACIÓN DE SERVICIOS COMO PROFESIONAL EN DEPORTES  PARA INDEPORTES ANTIOQUIA</t>
  </si>
  <si>
    <t xml:space="preserve">PRESTACIÓN DE SERVICIOS PROFESIONALES COMO ABOGADO DE INDEPORTES ANTIOQUIA </t>
  </si>
  <si>
    <t xml:space="preserve">PRESTACIÓN DE SERVICIOS PROFESIONALES EN MATERIA JURÍDICA PARA LA ATENCIÓN DE SOLICITUDES REQUERIDAS POR LOS ORGANISMOS DEPORTIVOS.
</t>
  </si>
  <si>
    <t>PRESTACIÓN DE SERVICIOS DE UN ENTRENADOR PRINCIPAL PARA LA REALIZACIÓN DEL PROCESO SELECCIÓN, ENTRENAMIENTO DEPORTIVO Y PARTICIPACIÓN EN COMPETENCIAS EN LA LIGA DE CANOTAJE DE ANTIOQUIA, EN LA MODALIDAD KAYAK, EN CATEGORÍAS DE JUEGOS NACIONALES.</t>
  </si>
  <si>
    <t>PRESTACIÓN DE SERVICIOS DE UN ENTRENADOR PRINCIPAL PARA LA REALIZACIÓN DEL PROCESO DE SELECCIÓN, ENTRENAMIENTO DEPORTIVO Y PARTICIPACIÓN EN COMPETENCIAS DE LOS ATLETAS DE PARA-NATACIÓN CARRERAS  CON  DISCAPACIDAD FÍSICA,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</si>
  <si>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GOALLBALL,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</si>
  <si>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PARA-FÚTBOL SALA,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</si>
  <si>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PARA-JUDO, EN CATEGORÍAS DE JUEGOS PARANACIONALES.</t>
  </si>
  <si>
    <t>PRESTACIÓN DE SERVICIOS DE UN ENTRENADOR ASISTENTE PARA LA REALIZACIÓN DEL PROCESO DE SELECCIÓN, ENTRENAMIENTO DEPORTIVO Y PARTICIPACIÓN EN COMPETENCIAS EN LA LIGA DE DEPORTISTAS CON DISCAPACIDAD VISUAL DE ANTIOQUIA -DIVISA,  EN LA MODALIDAD PARA-JUDO, EN CATEGORÍAS DE JUEGOS PARANACIONALES.</t>
  </si>
  <si>
    <t>PRESTACIÓN DE SERVICIOS DE UN INTÉRPRETE EN LENGUA DE SEÑAS PARA APOYAR A LOS PARA-ATLETAS DE LA LIGA DEPORTIVA DE PERSONAS SORDAS DE ANTIOQUIA LISANT, EN LOS ENTRENAMIENTOS, LAS COMPETENCIAS Y ACOMPAÑAMIENTO EN EVENTOS PROPIOS DE LOS DEPORTISTAS.</t>
  </si>
  <si>
    <t xml:space="preserve">PRESTACIÓN DE SERVICIOS DE UN ENTRENADOR PRINCIPAL PARA LA REALIZACIÓN Y PREPARACIÓN DE LOS ATLETAS DE LAS CATEGORÍAS JUNIOR, PREJUVENILES Y JUVENILES DE LA LIGA DE PATINAJE DE ANTIOQUIA EN LA MODALIDAD VELOCIDAD.  </t>
  </si>
  <si>
    <t>PRESTACIÓN DE SERVICIOS DE UN ENTRENADOR PRINCIPAL PARA LA REALIZACIÓN DEL PROCESO DE SELECCIÓN, ENTRENAMIENTO DEPORTIVO Y PARTICIPACIÓN EN COMPETENCIAS EN LA LIGA DE ATLETISMO DE ANTIOQUIA,  EN LAS MODALIDADES DE LANZAMIENTOS EN LAS CATEGORÍAS JUNIOR, JUVENILES Y MAYORES DE JUEGOS NACIONALES.</t>
  </si>
  <si>
    <t>PRESTACIÓN DE SERVICIOS DE UN ENTRENADOR DE TENIS DE MESA PARA INDEPORTES ANTIOQUIA</t>
  </si>
  <si>
    <t>PRESTACIÓN DE SERVICIOS DE UN ENTRENADOR DE ARQUERÍA PARA INDEPORTES ANTIOQUIA</t>
  </si>
  <si>
    <t>PRESTACIÓN DE SERVICIOS DE UN ENTRENADOR ASISTENTE PARA LA REALIZACIÓN DEL PROCESO DE SELECCIÓN, ENTRENAMIENTO DEPORTIVO Y PARTICIPACIÓN EN COMPETENCIAS EN LA LIGA DE SOFTBOL DE ANTIOQUIA, EN LA RAMA FEMENINA EN CATEGORÍAS DE JUEGOS NACIONALES.</t>
  </si>
  <si>
    <t>PRESTACIÓN DE SERVICIOS DE UN ENTRENADOR ASISTENTE PARA LA REALIZACIÓN DEL PROCESO DE SELECCIÓN, ENTRENAMIENTO DEPORTIVO Y PARTICIPACIÓN EN COMPETENCIAS EN LA LIGA DE SOFTBOL DE ANTIOQUIA, EN LA RAMA MASCULINA EN CATEGORÍAS DE JUEGOS NACIONALES.</t>
  </si>
  <si>
    <t>PRESTACIÓN DE SERVICIOS DE UN ENTRENADOR ASISTENTE PARA LA REALIZACIÓN DEL PROCESO DE SELECCIÓN, RESERVA DEPORTIVA,  ENTRENAMIENTO Y PARTICIPACIÓN EN COMPETENCIAS EN LA LIGA DE TENIS DE CAMPO DE ANTIOQUIA, EN CATEGORÍAS DE JUEGOS NACIONALES.</t>
  </si>
  <si>
    <t>PRESTACIÓN DE SERVICIOS DE UN ENTRENADOR PRINCIPAL PARA LA REALIZACIÓN DEL PROCESO DE SELECCIÓN, ENTRENAMIENTO DEPORTIVO Y PARTICIPACIÓN EN COMPETENCIAS EN LA LIGA ANTIOQUEÑA DE BOLO, EN LAS CATEGORÍAS JUVENILES Y MAYORES DE JUEGOS NACIONALES.</t>
  </si>
  <si>
    <t>PRESTACIÓN DE SERVICIOS DE UN ENTRENADOR PRINCIPAL PARA LA REALIZACIÓN DEL PROCESO DE SELECCIÓN, ENTRENAMIENTO DEPORTIVO Y PARTICIPACIÓN EN COMPETENCIAS EN LA LIGA ANTIOQUEÑA DE  KARATE -DO,   MODALIDAD COMBATE CON  JUVENILES Y MAYORES, EN CATEGORÍAS DE JUEGOS NACIONALES.</t>
  </si>
  <si>
    <t xml:space="preserve">PRESTACIÓN DE SERVICIOS DE UN ENTRENADOR DE INICIACIÓN Y DESARROLLO DEPORTIVO EN LA SUBREGIÓN DE URABÁ PARA LA CONSECUCIÓN DE NUEVOS TALENTOS PARA LA LIGA ANTIOQUEÑA DE JUDO, EN CATEGORÍAS DE JUEGOS NACIONALES.
</t>
  </si>
  <si>
    <t>PRESTACIÓN DE SERVICIOS DE UN ENTRENADOR ASISTENTE  PARA LA REALIZACIÓN DEL PROCESO SELECCIÓN, ENTRENAMIENTO DEPORTIVO Y PARTICIPACIÓN EN COMPETENCIAS DE LA LIGA ANTIOQUEÑA DE JUDO, EN LA MODALIDAD COMBATE, EN CATEGORÍAS DE JUEGOS NACIONALES.</t>
  </si>
  <si>
    <t>PRESTACIÓN DE SERVICIOS DE UN ENTRENADOR PRINCIPAL PARA LA REALIZACIÓN DEL PROCESO SELECCIÓN, ENTRENAMIENTO DEPORTIVO Y PARTICIPACIÓN EN COMPETENCIAS DE LA LIGA ANTIOQUEÑA DE JUDO, EN LA MODALIDAD KATAS, EN CATEGORÍAS DE JUEGOS NACIONALES.</t>
  </si>
  <si>
    <t xml:space="preserve">PRESTACIÓN DE SERVICIOS DE UN ENTRENADOR DE INICIACIÓN Y DESARROLLO DEPORTIVO EN LA SUBREGIÓN DE URABÁ PARA LA CONSECUCIÓN DE NUEVOS TALENTOS PARA LA  LIGA ANTIOQUEÑA DE RUGBY FÚTBOL, EN CATEGORÍAS DE JUEGOS NACIONALES.
</t>
  </si>
  <si>
    <t>PRESTACIÓN DE SERVICIOS DE UN ENTRENADOR ASISTENTE  PARA LA REALIZACIÓN DEL PROCESO SELECCIÓN, ENTRENAMIENTO DEPORTIVO Y PARTICIPACIÓN EN COMPETENCIAS DE LA LIGA ANTIOQUEÑA DE TAEKWONDO, EN LA MODALIDAD COMBATE, EN CATEGORÍAS DE JUEGOS NACIONALES.</t>
  </si>
  <si>
    <t xml:space="preserve">PRESTACIÓN DE SERVICIOS DE UN ENTRENADOR DE INICIACIÓN Y DESARROLLO DEPORTIVO PARA LA CONSECUCIÓN DE NUEVOS TALENTOS PARA LA LIGA ANTIOQUEÑA DE ESGRIMA, EN CATEGORÍAS DE JUEGOS NACIONALES.
</t>
  </si>
  <si>
    <t>PRESTACIÓN DE SERVICIOS DE UN ENTRENADOR DE INICIACIÓN Y DESARROLLO DEPORTIVO PARA LA CONSECUCIÓN DE NUEVOS TALENTOS PARA LA LIGA DE TENIS DE CAMPO DE ANTIOQUIA, EN CATEGORÍAS DE JUEGOS NACIONALES.</t>
  </si>
  <si>
    <t>PRESTACIÓN DE SERVICIOS COMO APOYO A LA GESTIÓN ADMINISTRATIVA Y FINANCIERA DE LOS PROYECTOS DE LA SUBGERENCIA DE DEPORTE ASOCIADO Y ALTOS LOGROS.</t>
  </si>
  <si>
    <t>DISPONIBLE LIBERACIÓN SUBGERENCIA DE ALTOS LOGROS Y DEPORTE ASOCIADO 31 DE DICIEMBRE DE 2024</t>
  </si>
  <si>
    <t xml:space="preserve">52010803-Realizar eventos para el posicionamiento de los atletas y para atletas de Antioquia </t>
  </si>
  <si>
    <t>2.43.4302.85.0-101024.2.3.2.02.02.009.53.</t>
  </si>
  <si>
    <t xml:space="preserve">PRESTACIÓN DE SERVICIOS DE UN ENTRENADOR DE PREPARACIÓN FÍSICA PARA INDEPORTES ANTIOQUIA. </t>
  </si>
  <si>
    <t>PRESTACIÓN DE SERVICIOS DE UN ENTRENADOR DE FÚTBOL DE SALÓN PARA INDEPORTES ANTIOQUIA</t>
  </si>
  <si>
    <t>CONVENIO CON LA LIGA ANTIOQUEÑA DE BALONMANO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</si>
  <si>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AJEDREZ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</si>
  <si>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LEVANTAMIENTO DE PESAS   PARA CONTRIBUIR AL DESARROLLO DEL PROGRAMA DE ALTOS LOGROS Y LIDERAZGO DEPORTIVO PARA LA PREPARACIÓN Y PARTICIPACIÓN  EN COMPETENCIAS DEPORTIVAS DE CARÁCTER NACIONAL E INTERNACIONAL DE LOS DEPORTISTAS QUE CONFORMAN LA SELECCIÓN  ANTIOQUIA PARA JUEGOS NACIONALES.</t>
  </si>
  <si>
    <t>DISPONIBLE LIBERACIÓN SUBGERENCIA DE ALTOS LOGROS Y DEPORTE ASOCIADO 202401020703 DEL 30 DE DICIEMBRE DE 2024</t>
  </si>
  <si>
    <t>CONVENIO CON LA LIGA DE CICLISMO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</si>
  <si>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TIRO DEPORTIVO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</si>
  <si>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CANOTAJE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</si>
  <si>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NATACIÓN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</si>
  <si>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PATINAJE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</si>
  <si>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ESGRIMA     PARA CONTRIBUIR AL DESARROLLO DEL PROGRAMA DE ALTOS LOGROS Y LIDERAZGO DEPORTIVO PARA LA PREPARACIÓN Y PARTICIPACIÓN  EN COMPETENCIAS DEPORTIVAS DE CARÁCTER NACIONAL E INTERNACIONAL DE LOS DEPORTISTAS QUE CONFORMAN LA SELECCIÓN  ANTIOQUIA PARA JUEGOS NACIONALES.</t>
  </si>
  <si>
    <t xml:space="preserve">CONVENIO CON LA LIGA ANTIOQUEÑA DE BALONCESTO PARA CONTRIBUIR A LA PREPARACIÓN DE LOS ATLETAS QUE CONFORMAN LA SELECCIÓN ANTIOQUIA PARA LA PARTICIPACIÓN EN LOS JUEGOS NACIONALES DEPORTIVOS JUVENILES 2024. </t>
  </si>
  <si>
    <t>CONVENIO CON LA  LIGA ANTIOQUEÑA DE GIMNASIA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</si>
  <si>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JUDO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</si>
  <si>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DE APOYO</t>
  </si>
  <si>
    <t>CONVENIO CON LA LIGA ANTIOQUEÑA DE FÚTBOL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</si>
  <si>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SOFTBOL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</si>
  <si>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BOLO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</si>
  <si>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BÉISBOL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</si>
  <si>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TENIS DE CAMPO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</si>
  <si>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 xml:space="preserve">DISPONIBLE APOYOS ESPECIALES POR RESOLUCIÓN </t>
  </si>
  <si>
    <t>CONVENIO CON LA  LIGA ANTIOQUEÑA DE VOLEIBOL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</si>
  <si>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DEPORTISTAS CON DISCAPACIDAD VISUAL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</si>
  <si>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PRESTACIÓN DE SERVICIOS EN ALTA GERENCIA PARA INDEPORTES ANTIOQUIA</t>
  </si>
  <si>
    <t xml:space="preserve">PRESTACIÓN DE SERVICIOS COMO ENTRENADOR INTERNACIONAL PARA COMPONENTES TÉCNICOS Y METODOLÓGICOS DE INDEPORTES ANTIOQUIA </t>
  </si>
  <si>
    <t>DISPONIBLE LIBERACIÓN ALTOS LOGROS (202401015040 DEL 22 DE OCTUBRE)</t>
  </si>
  <si>
    <t xml:space="preserve">CONVENIO CON EL CLUB ESCUELA DE CICLISMO ORGULLO PAISA, PARA EL AFIANZAMIENTO Y CONSOLIDACIÓN DEL EQUIPO MASCULINO, CON PROYECCIÓN AL ALTO RENDIMIENTO EN LAS CATEGORÍAS SUB 23 Y ÉLITES PARA CONTINUAR EN LA PREPARACIÓN Y PARTICIPACIÓN  EN EL CALENDARIO COMPETITIVO DEL SEGUNDO SEMESTRE DE 2024.  </t>
  </si>
  <si>
    <t>PRESTACIÓN DE SERVICIOS DE UN ENTRENADOR INTERNACIONAL DE LUCHA PARA INDEPORTES ANTIOQUIA</t>
  </si>
  <si>
    <t>PRESTACIÓN DE SERVICIOS DE UN ENTRENADOR INTERNACIONAL DE CANOTAJE PARA INDEPORTES ANTIOQUIA</t>
  </si>
  <si>
    <t>PRESTACIÓN DE SERVICIOS DE UN ENTRENADOR INTERNACIONAL DE VOLEIBOL PARA INDEPORTES ANTIOQUIA</t>
  </si>
  <si>
    <t>DISPONIBLE LIBERACIÓN SUBGERENCIA DE ALTOS LOGROS Y DEPORTE ASOCIADO202401020403 DEL 24 DE DICIEMBRE DE 2024</t>
  </si>
  <si>
    <t>PRESTACIÓN DE SERVICIOS DE UN ENTRENADOR INTERNACIONAL DE JUDO PARA INDEPORTES ANTIOQUIA</t>
  </si>
  <si>
    <t>DISPONIBLE LIBERACIÓN SUBGERENCIA DE FOMENTO Y DESARROLLO DEPORTIVO 202401020668 DEL 27 DE DICIEMBRE DE 2024</t>
  </si>
  <si>
    <t>PRESTACIÓN DE SERVICIOS PROFESIONALES COMO INGENIERO  PARA INDEPORTES ANTIOQUIA</t>
  </si>
  <si>
    <t xml:space="preserve">PRESTACIÓN DE SERVICIOS PROFESIONALES PARA APOYAR LA GESTIÓN ADMINISTRATIVA PARA INDEPORTES ANTIOQUIA. </t>
  </si>
  <si>
    <t>PRESTACIÓN DE SERVICIOS COMO CONTADOR PÚBLICO PARA INDEPORTES ANTIOQUIA.</t>
  </si>
  <si>
    <t>PRESTACIÓN DE SERVICIOS DE APOYO A LA GESTIÓN EN LOS PROCESOS ADMINISTRATIVOS DE INDEPORTES ANTIOQUIA</t>
  </si>
  <si>
    <t xml:space="preserve">PRESTACIÓN DE SERVICIOS COMO ADMINISTRADOR DE EMPRESAS PARA INDEPORTES ANTIOQUIA. </t>
  </si>
  <si>
    <t>DISPONIBLE LIBERACIÓN OFICINA DE MEDICINA DEPORTIVA 202401020487 DEL 26 DE DICIEMBRE DE 2024</t>
  </si>
  <si>
    <t>2.43.4302.91.0-205128.2.3.2.02.02.009.23.</t>
  </si>
  <si>
    <t xml:space="preserve">52010804-Gestionar la operación administrativa, del área médica y ciencias aplicadas </t>
  </si>
  <si>
    <t>2.43.4302.03.0-205128.2.3.2.02.02.009.32.</t>
  </si>
  <si>
    <t>2.43.4302.03.0-205128.2.3.2.02.02.008.38.</t>
  </si>
  <si>
    <t>2.43.4302.03.4-101124.2.3.2.02.02.009.34.</t>
  </si>
  <si>
    <t xml:space="preserve">PRESTACIÓN DE SERVICIOS PROFESIONALES COMO PSICÓLOGA CLÍNICA PARA INDEPORTES ANTIOQUIA. </t>
  </si>
  <si>
    <t>PRESTACIÓN DE SERVICIOS PROFESIONALES COMO PSICÓLOGO PARA INDEPORTES ANTIOQUIA.</t>
  </si>
  <si>
    <t xml:space="preserve">PRESTAR SERVICIOS PROFESIONALES COMO FISIOTERAPEUTA PARA INDEPORTES ANTIOQUIA </t>
  </si>
  <si>
    <t>PRESTACIÓN DE SERVICIOS DE APOYO A LA GESTIÓN EN EL ÁREA DE MASOTERAPIA DE INDEPORTES ANTIOQUIA.</t>
  </si>
  <si>
    <t>PRESTACIÓN DE SERVICIOS DE APOYO A LA GESTIÓN OPERATIVA Y DE MANTENIMIENTO DE LA SEDE VILLA DEPORTIVA DE INDEPORTES ANTIOQUIA</t>
  </si>
  <si>
    <t xml:space="preserve">PRESTACIÓN DE SERVICIOS COMO ADMINISTRADORA DE NEGOCIOS  PARA INDEPORTES ANTIOQUIA </t>
  </si>
  <si>
    <t xml:space="preserve">PRESTACIÓN DE SERVICIOS COMO CONTADORA PÚBLICA PARA INDEPORTES ANTIOQUIA. </t>
  </si>
  <si>
    <t>PRESTACIÓN DE SERVICIOS DE APOYO A LA GESTIÓN PARA LOS DIFERENTES PROGRAMAS DE INDEPORTES ANTIOQUIA</t>
  </si>
  <si>
    <t>41080103 Compra de equipos y suministros médicos</t>
  </si>
  <si>
    <t xml:space="preserve">INTERVENTORÍA, TÉCNICA, ADMINISTRATIVA, FINANCIERA, LEGAL Y AMBIENTAL PARA EL  MANTENIMIENTO PREVENTIVO Y CORRECTIVO DEL PISO Y TERRAZAS DE  LA SEDE VILLA NÁUTICA EN GUATAPÉ Y GENERAL DE LA INFRAESTRUCTURA FÍSICA DE LA VILLA DEPORTIVA. </t>
  </si>
  <si>
    <t>RENOVACIÓN DE LICENCIAMIENTO DE ARCGIS PARA INDEPORTES ANTIOQUIA.</t>
  </si>
  <si>
    <t>CONTRATO DE ADMINISTRACIÓN DELEGADA DE RECURSOS PARA REALIZAR DIAGNÓSTICO DEL ESTADO DEL CONTRATO N°418 DE 2019</t>
  </si>
  <si>
    <t>DISPONIBLE LIBERACIÓN SUBGERENCIA DE ESCENARIOS DEPORTIVOS Y EQUIPAMENTOS 202401020673 DEL 27 DE DICIEMBRE DE 2025</t>
  </si>
  <si>
    <t>1210A</t>
  </si>
  <si>
    <t>PRESTACIÓN DE SERVICIOS PROFESIONALES COMO APOYO A LA GESTIÓN DE LA EVALUACIÓN, SEGUIMIENTO Y EJECUCIÓN DE LOS PROYECTOS DE LA SUBGERENCIA DE ESCENARIOS DEPORTIVOS Y EQUIPAMIENTOS DE INDEPORTES ANTIOQUIA. </t>
  </si>
  <si>
    <t>CONTRATO DE PRESTACIÓN DE SERVICIOS PROFESIONALES COMO APOYO A LA GESTIÓN Y EJECUCIÓN DE LOS PROYECTOS DE LA SUBGERENCIA DE ESCENARIOS DEPORTIVOS Y EQUIPAMIENTOS DE INDEPORTES ANTIOQUIA</t>
  </si>
  <si>
    <t>DISPONIBLE LIBERACIÓN SUBGERENCIA DE ESCENARIOS DEPORTIVOS Y EQUIPAMENTOS 202401020742 DEL 31 DE DICIEMBRE DE 2025</t>
  </si>
  <si>
    <t>PRESTACIÓN DE SERVICIOS PROFESIONALES PARA LA EVALUACIÓN, SEGUIMIENTO Y EJECUCIÓN DE LOS PROYECTOS DE LA SUBGERENCIA DE ESCENARIOS DEPORTIVOS Y EQUIPAMIENTOS DE INDEPORTES ANTIOQUIA</t>
  </si>
  <si>
    <t>DISPONIBLE LIBERACIÓN SUBGERENCIA DE ESCENARIOS DEPORTIVOS Y EQUIPAMENTOS 202401020392 DEL 24 DE DICIEMBRE DE 2024</t>
  </si>
  <si>
    <t>DISPONIBLE LIBERACIÓN SUBGERENCIA DE ESCENARIOS DEPORTIVOS Y EQUIPAMENTOS 31 DE DICIEMBRE DE 2024</t>
  </si>
  <si>
    <t>PRESTACIÓN DE SERVICIOS PROFESIONALES APOYANDO LAS EVALUACIONES Y SEGUIMIENTO TÉCNICO EN EL MARCO DE LAS POLÍTICAS DE VIGILANCIA Y CONTROL  IMPLEMENTADAS POR LA OFICINA DE CONTROL INTERNO  A LOS PROCESOS DE CONFINACIÓN E INFRAESTRUCTURA DE LA SUBGERENCIA DE ESCENARIOS DEPORTIVOS Y EQUIPAMIENTOS</t>
  </si>
  <si>
    <t>DISPONIBLE LIBERACIÓN SUBGERENCIA DE ESCENARIOS DEPORTIVOS Y EQUIPAMENTOS 202401020741 DEL 31 DE DICIEMRBE DE 2024</t>
  </si>
  <si>
    <t>PRESTACIÓN DE SERVICIOS PROFESIONALES PARA LA REVISIÓN, EVALUACIÓN, SEGUIMIENTO Y LIQUIDACIÓN DE LOS PROYECTOS A CARGO DE LA SUBGERENCIA DE ESCENARIOS DEPORTIVOS Y EQUIPAMIENTOS DE INDEPORTES ANTIOQUIA</t>
  </si>
  <si>
    <t>PRESTACIÓN DE SERVICIOS PROFESIONALES COMO APOYO A LA GESTIÓN Y EJECUCIÓN DE LOS PROYECTOS DE INFRAESTRUCTURA DEPORTIVA Y RECREATIVA EN EL DEPARTAMENTO DE ANTIOQUIA</t>
  </si>
  <si>
    <t>ADICION1 AL CONTRATO NO. 012 CUYO OBJETO ES: CONTRATO PRESTACIÓN DE SERVICIOS PROFESIONALES APOYANDO LAS EVALUACIONES Y SEGUIMIENTO TÉCNICO EN EL MARCO DE LAS POLÍTICAS DE VIGILANCIA Y CONTROL  IMPLEMENTADAS POR LA OFICINA DE CONTROL INTERNO  A LOS PROCESOS DE CONFINACIÓN E INFRAESTRUCTURA DE LA SUBGERENCIA DE ESCENARIOS DEPORTIVOS Y EQUIPAMIENTOS</t>
  </si>
  <si>
    <t>PRESTACIÓN DE SERVICIOS PROFESIONALES COMO INGENIERO CIVIL PARA LA ENTIDAD</t>
  </si>
  <si>
    <t>PRESTACIÓN DE SERVICIOS PROFESIONALES COMO ECONOMISTA ESPECIALIZADO PARA LA ENTIDAD</t>
  </si>
  <si>
    <t>PRESTACIÓN DE SERVICIOS PROFESIONALES COMO APOYO A LA GESTIÓN, SEGUIMIENTO Y EJECUCIÓN DE LOS PROYECTOS DE LA SUBGERENCIA DE ESCENARIOS DEPORTIVOS Y EQUIPAMIENTOS DE INDEPORTES ANTIOQUIA</t>
  </si>
  <si>
    <t>PRESTACIÓN DE SERVICIOS PROFESIONALES COMO APOYO A LA GESTIÓN EN LOS PRESUPUESTOS, LA REVISIÓN Y LA EJECUCIÓN DE LOS PROYECTOS DE INFRAESTRUCTURA DEPORTIVA Y RECREATIVA EN EL DEPARTAMENTO DE ANTIOQUIA</t>
  </si>
  <si>
    <t>PRESTACIÓN DE SERVICIOS PROFESIONALES COMO APOYO A LA GESTIÓN EN EL DISEÑO DE ESCENARIOS Y LA EJECUCIÓN DE LOS PROYECTOS DE LA SUBGERENCIA DE ESCENARIOS DEPORTIVOS Y EQUIPAMIENTOS DE INDEPORTES ANTIOQUIA</t>
  </si>
  <si>
    <t>PRESTACIÓN DE SERVICIOS PROFESIONALES COMO APOYO A LA GESTIÓN AMBIENTAL DE LOS PROYECTOS DE LA SUBGERENCIA DE ESCENARIOS DEPORTIVOS Y EQUIPAMIENTOS DE INDEPORTES ANTIOQUIA</t>
  </si>
  <si>
    <t>PRESTACIÓN DE SERVICIOS PROFESIONALES COMO APOYO A LA GESTIÓN SOCIAL Y COMUNICACIONAL DE LOS PROYECTOS DE LA SUBGERENCIA DE ESCENARIOS DEPORTIVOS Y EQUIPAMIENTOS DE INDEPORTES ANTIOQUIA</t>
  </si>
  <si>
    <t>PRESTACIÓN DE SERVICIOS PROFESIONALES COMO APOYO A LA GESTIÓN DE LOS PROCESOS SOCIALES DE LOS PROYECTOS DE INFRAESTRUCTURA DEPORTIVA Y RECREATIVA DE INDEPORTES ANTIOQUIA.</t>
  </si>
  <si>
    <t>PRESTACIÓN DE SERVICIOS DE APOYO PROFESIONAL DE SALUD OCUPACIONAL Y SEGURIDAD INDUSTRIAL EN LOS PROCESOS Y PROYECTOS DE LA SUBGERENCIA DE ESCENARIOS DEPORTIVOS Y EQUIPAMIENTOS DE INDEPORTES ANTIOQUIA.</t>
  </si>
  <si>
    <t>MODIFICACION AL  CONTRATO: 552-2020/CONTRATO INTERADMINISTRATIVO DE ADMINISTRACIÓN DELEGADA PARA PRESTACIÓN DE LOS SERVICIOS DE VIGILANCIA Y SEGURIDAD PRIVADA REQUERIDOS PARA EL PERSONAL DE INDEPORTES ANTIOQUIA, SUS SEDES Y LOS CONTENIDOS DE ESTAS.</t>
  </si>
  <si>
    <t>PRESTACIÓN DE SERVICIOS PROFESIONALES COMO APOYO A LA GESTIÓN CONTRACTUAL DE LOS PROYECTOS DE LA SUBGERENCIA DE ESCENARIOS DEPORTIVOS Y EQUIPAMIENTOS DE INDEPORTES ANTIOQUIA</t>
  </si>
  <si>
    <t>PRESTACIÓN DE SERVICIOS PROFESIONALES DE APOYO A LA GESTIÓN FINANCIERA Y DE LIQUIDACIÓN DE CONTRATOS DE LA SUBGERENCIA DE ESCENARIOS DEPORTIVOS Y EQUIPAMIENTOS Y PROYECTOS DE INFRAESTRUCTURA APOYADOS POR INDEPORTES ANTIOQUIA.</t>
  </si>
  <si>
    <t>PRESTACIÓN DE SERVICIOS PROFESIONALES DE APOYO A LA GESTIÓN FINANCIERA Y DE LIQUIDACIÓN DE CONTRATOS DE LA SUBGERENCIA DE ESCENARIOS DEPORTIVOS Y EQUIPAMIENTOS Y PROYECTOS DE INFRAESTRUCTURA APOYADOS POR INDEPORTES.</t>
  </si>
  <si>
    <t>PRESTACIÓN DE SERVICIOS PROFESIONALES DE APOYO A LA GESTIÓN DE GEORREFERENCIACIÓN, INVENTARIO DE LOS ESCENARIOS DEPORTIVOS DEL DEPARTAMENTO DE ANTIOQUIA Y EN LA REVISIÓN, GESTIÓN Y EVALUACIÓN DE LOS PROYECTOS DE INFRAESTRUCTURA DEPORTIVA</t>
  </si>
  <si>
    <t xml:space="preserve">ADQUISICIÓN DE LICENCIAS DE AUTOCAD ELD PARA INDEPORTES ANTIOQUIA </t>
  </si>
  <si>
    <t xml:space="preserve">ALQUILER DE VEHÍCULOS PARA LA ASESORÍA, SEGUIMIENTO Y APOYO A LA SUPERVISIÓN DE LOS PROYECTOS DE INFRAESTRUCTURA DEPORTIVA Y RECREATIVA EN EL DEPARTAMENTO DE ANTIOQUIA. </t>
  </si>
  <si>
    <t>CONTRATO DE MANDATO PARA LA INTERVENTORÍA TÉCNICA, AMBIENTAL, ADMINISTRATIVA, FINANCIERA, SOCIAL, DE SEGURIDAD EN EL TRABAJO Y LEGAL AL CONTRATO PARA LA CONSTRUCCIÓN DE LA FASE II DE LAS OBRAS DE   CICLO INFRAESTRUCTURA CONEXIÓN RIONEGRO - GUARNE, ANTIOQUIA</t>
  </si>
  <si>
    <t xml:space="preserve">MANTENIMIENTO PREVENTIVO Y CORRECTIVO DEL PISO Y TERRAZAS DE  LA SEDE VILLA NÁUTICA EN GUATAPÉ Y GENERAL DE LA INFRAESTRUCTURA FÍSICA DE LA VILLA DEPORTIVA. </t>
  </si>
  <si>
    <t>FASE DE IMPLEMENTACIÓN DEL PLAN DE MANEJO ARQUEOLÓGICO GENERAL Y LAS NUEVAS EXPLORACIONES DE OBRA EN SUS ETAPAS DE CAMPO Y LABORATORIOS ANTE EL ICANH</t>
  </si>
  <si>
    <t>ASIGNACIÓN DE NOMENCLATURA DE 24  LOCALES COMERCIALES CENTRO DE EVENTOS "CENTRAL PARK"</t>
  </si>
  <si>
    <t>52010902-Obra física</t>
  </si>
  <si>
    <t>4.43.4302.76.0-205128.2.3.2.02.02.005.09.</t>
  </si>
  <si>
    <t>CONTRATO INTERADMINISTRATIVO PARA LAS OBRAS COMPLEMENTARIAS EN EL PARQUE METROPOLITANO DE DEPORTES TULIO OSPINA DEL MUNICIPIO DE BELLO, ANTIOQUIA Y LA INTERVENTORÍA TÉCNICA, ADMINISTRATIVA, AMBIENTAL, FINANCIERA, SOCIAL, SEGURIDAD EN EL TRABAJO Y LEGAL DE LAS OBRAS COMPLEMENTARIAS EN EL PARQUE METROPOLITANO DE DEPORTES TULIO OSPINA DEL MUNICIPIO DE BELLO, ANTIOQUIA.</t>
  </si>
  <si>
    <t xml:space="preserve">DISPONIBLE LIBERACIÓN ESCENARIOS </t>
  </si>
  <si>
    <t>DISPONIBLE LIBERACIÓN CDP 467 DE 2024</t>
  </si>
  <si>
    <t>MODIFICACION AL CONTRATO NO 882 DE 2023, CUYO OBEJETO ES: REALIZAR INTERVENTORÍA TÉCNICA, AMBIENTAL, ADMINISTRATIVA, FINANCIERA, SOCIAL, JURÍDICA Y EN MATERIA DE SEGURIDAD Y SALUD EN EL TRABAJO, AL CONTRATO DE OBRA PÚBLICA CUYO OBJETO ES LA ADECUACIÓN DE LA CANCHA DE FÚTBOL UBICADA EN EL PREDIO CARRERA 11 NO. 12-153 CON MATRÍCULA NO. 028-13509, DEL CORREGIMIENTO DE PUERTO VENUS DEL MUNICIPIO DE NARIÑO – ANTIOQUIA</t>
  </si>
  <si>
    <t>CONVENIOS INTERADMINISTRATIVOS DE COFINANCIACIÓN DE ESCENARIOS DEPORTIVOS CON LOS MUNICIPIOS DEL DEPARTAMENTO DE ANTIOQUIA.</t>
  </si>
  <si>
    <t>634C</t>
  </si>
  <si>
    <t>DISPONIBLE LIBERACIÓN FOMENTO</t>
  </si>
  <si>
    <t>DISPONIBLE LIBERACIÓN SUBGERENCIA DE FOMENTO Y DESARROLLO DEPORTIVO 202401020309 DEL 23 DE DICIEMBRE DE 2024</t>
  </si>
  <si>
    <t xml:space="preserve">DISPONIBLE LIBERACIÓN SUBGERENCIA DE FOMENTO 202401019799 DEL 17 DE DICIEMBRE DE 2024 </t>
  </si>
  <si>
    <t>DISPONIBLE LIBERACIÓN SUBGERENCIA DE FOMENTO Y DESARROLLO DEPORTIVO 202401020608 DEL 27 DE DICIEMBRE DE 2024</t>
  </si>
  <si>
    <t>PRESTACIÓN DE SERVICIOS PROFESIONALES COMO ABOGADO PARA INDEPORTES ANTIOQUIA.</t>
  </si>
  <si>
    <t>DISPONIBLE LIBERACIÓN FOMENTO 202401018142 DEL 2/12/2024</t>
  </si>
  <si>
    <t>PRESTACIÓN DE SERVICIOS PROFESIONALES ESPECIALIZADOS COMO ABOGADO PARA INDEPORTES ANTIOQUIA.</t>
  </si>
  <si>
    <t>DISPONIBLE LIBERACIÓN SUBGERENCIA ADMINISTRATIVA Y FINANCIERA 202401020358 DEL 24 DE DICIEMBRE DE 2024</t>
  </si>
  <si>
    <t>DISPONIBLE LIBERACIÓN FOMENTO 202401017952 DEL 27/11/2024</t>
  </si>
  <si>
    <t>REALIZACIÓN DE LOS MEGA EVENTOS DE LOS PROGRAMAS DE DEPORTE FORMATIVO, RECREACIÓN Y ACTIVIDAD FÍSICA - VIGENCIA 2024.</t>
  </si>
  <si>
    <t>3.43.4301.46.0-205400.2.3.2.02.02.009.14.</t>
  </si>
  <si>
    <t>CONVENIO INTERADMINISTRATIVO PARA LA REALIZACIÓN DE LA EDICIÓN 13° DEL EVENTO "POR SU SALUD MAESTRO, MUÉVASE PUES" EN EL MUNICIPIO DE ARBOLETES.</t>
  </si>
  <si>
    <t>REALIZACIÓN DE MEGAEVENTOS DE ACTVIDAD FÍSICA: CARRERA DE LA FAMILIA, "POR SU SALUD, MAESTRO MUÉVAES PUES" ;" POR SU SALUD, BAILÉLO PUES"; ENCUENTRO DE CLUBES DE LA SALUD Y ADULOT MAYOR, OLA DEL MOVIMEINTO ESTUDIANTIL, DÍA MUNDIAL DE LA ACTIVDAD FÍSICA., ENTRE OTROS</t>
  </si>
  <si>
    <t>634A</t>
  </si>
  <si>
    <t>PRESTACIÓN DE SERVICIOS COMO APOYO A LA GESTIÓN PARA LA SISTEMATIZACIÓN Y PROMOCIÓN DEL PROGRAMA “POR SU SALUD, MUÉVASE PUES" DE LA SUBGERENCIA DE FOMENTO Y DESARROLLO DEPORTIVO.</t>
  </si>
  <si>
    <t>PRESTACIÓN DE SERVICIOS COMO APOYO A LA GESTIÓN PARA LA PROMOCIÓN Y EJECUCIÓN DEL PROGRAMA DE "POR SU SALUD, MUÉVASE PUES" EN LAS SUBREGIONES DEL DEPARTAMENTO DE ANTIOQUIA</t>
  </si>
  <si>
    <t>PRESTACIÓN DE SERVICIOS COMO APOYO A LA GESTIÓN PARA LA PROMOCIÓN Y EJECUCIÓN DEL COMPONENTE DE NUTRICIÓN EN EL PROGRAMA “POR SU SALUD, MUÉVASE PUES" EN EL DEPARTAMENTO DE ANTIOQUIA.</t>
  </si>
  <si>
    <t>PRESTACIÓN DE SERVICIOS COMO APOYO A LA GESTIÓN PARA LA PROMOCIÓN Y EJECUCIÓN DEL PROGRAMA "POR SU SALUD, MUÉVASE PUES" EN EL DEPARTAMENTO DE ANTIOQUIA.</t>
  </si>
  <si>
    <t>PRESTACIÓN DE SERVICIOS COMO APOYO A LA GESTIÓN PARA LA PROMOCIÓN Y EJECUCIÓN DEL PROGRAMA DE ESCUELAS DE DEPORTE FORMATIVO EN LAS SUBREGIONES DEL DEPARTAMENTO DE ANTIOQUIA. </t>
  </si>
  <si>
    <t>634B</t>
  </si>
  <si>
    <t>PRESTACIÓN DE SERVICIOS PROFESIONALES PARA EL ACOMPAÑAMIENTO DESDE  EL ÁREA DE  PSICOLOGÍA EN LA ACTIVIDAD DE PSICOESTIMULACIÓN DEL PROGRAMA DE RECREACIÓN DE INDEPORTES ANTIOQUIA</t>
  </si>
  <si>
    <t>DISPONIBLE LIBERACIÓN SUBGERENCIA DE FOMENTO 202401019504 DEL 13 DE DICIEMBRE DE 2024</t>
  </si>
  <si>
    <t>DISPONIBLE LIBERACIÓN SUBGERENCIA DE FOMENTO 202401019921 DEL 18 DE DICIEMBRE DE 2024</t>
  </si>
  <si>
    <t>DISPONIBLE LIBERACIÓN SUBGERENCIA DE FOMENTO 202401019658 DEL 16 DE DICIEMBRE DE 2024</t>
  </si>
  <si>
    <t>DISPONIBLE LIBERACIÓN SUBGERENCIA DE FOMENTO 202401020163 DEL 20 DE DICIEMBRE DE 2024</t>
  </si>
  <si>
    <t>PRESTACIÓN DE SERVICIOS TÉCNICOS COMO APOYO A LA GESTIÓN PARA EL DESARROLLO DEL PROGRAMA JUEGOS DEPORTIVOS INSTITUCIONALES</t>
  </si>
  <si>
    <t>PRESTACIÓN DE SERVICIOS COMO APOYO A LA GESTIÓN PARA LA PROMOCIÓN Y EJECUCIÓN DE LOS JUEGOS DEPORTIVOS INSTITUCIONALES EN EL DEPARTAMENTO DE ANTIOQUIA</t>
  </si>
  <si>
    <t>PRESTACIÓN DE SERVICIOS DE APOYO A LA GESTIÓN PARA LA PARAMETRIZACIÓN Y PROGRAMACIÓN DE LOS JUEGOS DEPORTIVOS INSTITUCIONALES DE LA SUBGERENCIA DE FOMENTO Y DESARROLLO DEPORTIVO EN LAS PLATAFORMAS INSTITUCIONALES DE INDEPORTES ANTIOQUIA</t>
  </si>
  <si>
    <t xml:space="preserve">44021011-Realizar Festivales Talento Deportivo </t>
  </si>
  <si>
    <t>CONVENIO INTERADMINISTRATIVO PARA EL APOYO EN EL DESARROLLO DE LOS FESTIVALES DEPORTIVOS ESCOLARES DE INDEPORTES ANTIOQUIA, EN LA SUBREGIÓN DEL ORIENTE, QUE TENDRÁ COMO SEDE EL MUNICIPIO DE COCORNÁ, ANTIOQUIA.</t>
  </si>
  <si>
    <t>CONVENIO INTERADMINISTRATIVO PARA EL APOYO EN EL DESARROLLO DE LOS FESTIVALES DEPORTIVOS ESCOLARES DE INDEPORTES ANTIOQUIA, EN LA SUBREGIÓN DEL ORIENTE, QUE TENDRÁ COMO SEDE EL MUNICIPIO DE COCORNÁ, ANTIOQUIA. (TASA PRODEPORTE)</t>
  </si>
  <si>
    <t>CONVENIO INTERADMINISTRATIVO PARA EL APOYO EN EL DESARROLLO DE LOS FESTIVALES DEPORTIVOS ESCOLARES DE INDEPORTES ANTIOQUIA, EN LA SUBREGIÓN DEL OCCIDENTE, QUE TENDRÁ COMO SEDE EL MUNICIPIO DE SABANALARGA, ANTIOQUIA.</t>
  </si>
  <si>
    <t>CONVENIO INTERADMINISTRATIVO PARA EL APOYO EN EL DESARROLLO DE LOS FESTIVALES DEPORTIVOS ESCOLARES DE INDEPORTES ANTIOQUIA, EN LA SUBREGIÓN DEL OCCIDENTE, QUE TENDRÁ COMO SEDE EL MUNICIPIO DE SABANALARGA, ANTIOQUIA. (TASA PRODEPORTE)</t>
  </si>
  <si>
    <t>CONVENIO INTERADMINISTRATIVO PARA EL APOYO EN EL DESARROLLO DE LOS FESTIVALES DEPORTIVOS ESCOLARES DE INDEPORTES ANTIOQUIA, EN LA SUBREGIÓN DEL SUROESTE, QUE TENDRÁ COMO SEDE EL MUNICIPIO DE JERICÓ, ANTIOQUIA.</t>
  </si>
  <si>
    <t>CONVENIO INTERADMINISTRATIVO PARA EL APOYO EN EL DESARROLLO DE LOS FESTIVALES DEPORTIVOS ESCOLARES DE INDEPORTES ANTIOQUIA, EN LA SUBREGIÓN DEL SUROESTE, QUE TENDRÁ COMO SEDE EL MUNICIPIO DE JERICÓ, ANTIOQUIA. (TASA PRODEPORTE)</t>
  </si>
  <si>
    <t>CONVENIO INTERADMINISTRATIVO PARA EL APOYO EN EL DESARROLLO DE LOS FESTIVALES DEPORTIVOS ESCOLARES DE INDEPORTES ANTIOQUIA, EN LA SUBREGIÓN DEL URABÁ, QUE TENDRÁ COMO SEDE EL MUNICIPIO DE CAREPA, ANTIOQUIA.</t>
  </si>
  <si>
    <t>CONVENIO INTERADMINISTRATIVO PARA EL APOYO EN EL DESARROLLO DE LOS FESTIVALES DEPORTIVOS ESCOLARES DE INDEPORTES ANTIOQUIA, EN LA SUBREGIÓN DEL URABÁ, QUE TENDRÁ COMO SEDE EL MUNICIPIO DE CAREPA, ANTIOQUIA. (TASA PRODEPORTE)</t>
  </si>
  <si>
    <t>CONVENIO INTERADMINISTRATIVO PARA EL APOYO EN EL DESARROLLO DE LOS FESTIVALES DEPORTIVOS ESCOLARES DE INDEPORTES ANTIOQUIA, EN LA SUBREGIÓN DEL NORDESTE Y MAGDALENA MEDIO, QUE TENDRÁ COMO SEDE EL MUNICIPIO DE CISNEROS, ANTIOQUIA.</t>
  </si>
  <si>
    <t>CONVENIO INTERADMINISTRATIVO PARA EL APOYO EN EL DESARROLLO DE LOS FESTIVALES DEPORTIVOS ESCOLARES DE INDEPORTES ANTIOQUIA, EN LA SUBREGIÓN DEL NORDESTE Y MAGDALENA MEDIO, QUE TENDRÁ COMO SEDE EL MUNICIPIO DE CISNEROS, ANTIOQUIA. (TASA PRODEPORTE)</t>
  </si>
  <si>
    <t>CONVENIO INTERADMINISTRATIVO PARA EL APOYO EN EL DESARROLLO DE LOS FESTIVALES DEPORTIVOS ESCOLARES DE INDEPORTES ANTIOQUIA, EN LA SUBREGIÓN DEL NORTE Y BAJO CAUCA, QUE TENDRÁ COMO SEDE EL MUNICIPIO DE CAROLINA DEL PRÍNCIPE, ANTIOQUIA.</t>
  </si>
  <si>
    <t>CONVENIO INTERADMINISTRATIVO PARA EL APOYO EN EL DESARROLLO DE LOS FESTIVALES DEPORTIVOS ESCOLARES DE INDEPORTES ANTIOQUIA, EN LA SUBREGIÓN DEL NORTE Y BAJO CAUCA, QUE TENDRÁ COMO SEDE EL MUNICIPIO DE CAROLINA DEL PRÍNCIPE, ANTIOQUIA. (TASA PRODEPORTE)</t>
  </si>
  <si>
    <t>CONVENIO INTERADMINISTRATIVO PARA EL APOYO EN EL DESARROLLO DE LOS JUEGOS INTERCOLEGIADOS 2024 PARA LA FASE SUBREGIONAL DEL ORIENTE, QUE TENDRÁ COMO SEDE AL MUNICIPIO DE LA CEJA, ANTIOQUIA (TASA PRODEPORTE)</t>
  </si>
  <si>
    <t>CONVENIO INTERADMINISTRATIVO PARA EL APOYO EN EL DESARROLLO DE LOS JUEGOS INTERCOLEGIADOS 2024 PARA LA FASE SUBREGIONAL DEL NORDESTE Y MAGDALENA MEDIO, QUE TENDRÁ COMO SEDE AL MUNICIPIO DE SAN ROQUE, ANTIOQUIA (TASA PRODEPORTE)</t>
  </si>
  <si>
    <t>CONVENIO INTERADMINISTRATIVO PARA EL APOYO EN EL DESARROLLO DE LOS JUEGOS INTERCOLEGIADOS 2024 PARA LA FASE SUBREGIONAL DEL NORDESTE Y MAGDALENA MEDIO, QUE TENDRÁ COMO SUBSEDE AL MUNICIPIO DE CISNEROS, ANTIOQUIA (TASA PRODEPORTE)</t>
  </si>
  <si>
    <t xml:space="preserve">CONVENIO INTERADMINISTRATIVO </t>
  </si>
  <si>
    <t xml:space="preserve">PRESTACIÓN DE SERVICIOS PARA CAPACITACIONES EN ADMINITRACION, MÁRKETING, GESTIÓN Y PLANIFICACIÓN DEPORTIVA </t>
  </si>
  <si>
    <t>PRESTACIÓN DE SERVICIOS PARA CAPACITACIONES EN DESARROLLO HUMANO Y COMPETENCIAS PARA LOS ACTORES DEL SECTOR DEPORTE, RECREACIÓN Y ACTIVIDAD FÍSICA EN EL DEPARTAMENTO DE ANTIOQUIA</t>
  </si>
  <si>
    <t>PRESTACIÓN DE SERVICIOS DE CAPACITACIÓN EN NUEVAS TENDENCIAS DEPORTIVAS PARA LA SUBREGIÓN DEL OCCIDENTE DEL DEPARTAMENTO DE ANTIOQUIA</t>
  </si>
  <si>
    <t>PRESTACIÓN DE SERVICIOS PARA CAPACITACIONES EN INICIACIÓN Y DESARROLLO DEPORTIVO, MOTRICIDAD  Y NUTRICIÓN EN EL DEPARTAMENTO DE ANTIOQUIA</t>
  </si>
  <si>
    <t>PRESTACIÓN DE SERVICIOS DE CAPACITACIÓN EN PRIMER RESPONDIENTE PARA ENTRENADORES DEPORTIVOS DEL DEPARTAMENTO DE ANTIOQUIA</t>
  </si>
  <si>
    <t>PRESTACIÓN DE SERVICIOS DE CAPACITACIÓN PARA ACTUALIZACIÓN TÉCNICA EN LA NUEVA REGLAMENTACIÓN DE LA WORLD ATHLETICS DIRIGIDA A LOS ENTRENADORES DE ATLETISMO DEL DEPARTAMENTO</t>
  </si>
  <si>
    <t xml:space="preserve">PRESTACIÓN DE SERVICIOS PARA APOYAR LA GESTIÓN DEL SISTEMA DE CAPACITACIÓN EN EL DEPARTAMENTO DE ANTIOQUIA. </t>
  </si>
  <si>
    <t>CONVENIO INTERADMINISTRATIVO PARA EL APOYO EN EL DESARROLLO DE LOS JUEGOS INTERCOLEGIADOS 2024 PARA LA FASE SUBREGIONAL DEL ORIENTE, QUE TENDRÁ COMO SEDE AL MUNICIPIO DE LA CEJA, ANTIOQUIA</t>
  </si>
  <si>
    <t xml:space="preserve">CONVENIO INTERADMINISTRATIVO PARA EL APOYO EN EL DESARROLLO DE LOS JUEGOS INTERCOLEGIADOS 2024 PARA LA FASE SUBREGIONAL DEL NORDESTE Y MAGDALENA MEDIO, QUE TENDRÁ COMO SEDE AL MUNICIPIO DE SAN ROQUE, ANTIOQUIA </t>
  </si>
  <si>
    <t>CONVENIO INTERADMINISTRATIVO PARA EL APOYO EN EL DESARROLLO DE LOS JUEGOS INTERCOLEGIADOS 2024 PARA LA FASE SUBREGIONAL DEL NORDESTE Y MAGDALENA MEDIO, QUE TENDRÁ COMO SUBSEDE AL MUNICIPIO DE CISNEROS, ANTIOQUIA</t>
  </si>
  <si>
    <t>CONVENIO INTERADMINISTRATIVO PARA EL APOYO EN EL DESARROLLO DE LOS JUEGOS INTERCOLEGIADOS 2024 PARA LA FASE SUBREGIONAL DEL NORTE Y BAJO CAUCA, QUE TENDRÁ COMO SEDE AL MUNICIPIO DE YARUMAL, ANTIOQUIA</t>
  </si>
  <si>
    <t>CONVENIO INTERADMINISTRATIVO PARA EL APOYO EN EL DESARROLLO DE LOS JUEGOS INTERCOLEGIADOS 2024 PARA LA FASE SUBREGIONAL DEL NORTE Y BAJO CAUCA, QUE TENDRÁ COMO SEDE AL MUNICIPIO DE YARUMAL, ANTIOQUIA (TASA PRODEPORTE)</t>
  </si>
  <si>
    <t>CONVENIO INTERADMINISTRATIVO PARA EL APOYO EN EL DESARROLLO DE LOS JUEGOS INTERCOLEGIADOS 2024 PARA LA FASE SUBREGIONAL DEL VALLE DE ABURRÁ, QUE TENDRÁ COMO SEDE AL MUNICIPIO DE BELLO, ANTIOQUIA</t>
  </si>
  <si>
    <t>CONVENIO INTERADMINISTRATIVO PARA EL APOYO EN EL DESARROLLO DE LOS JUEGOS INTERCOLEGIADOS 2024 PARA LA FASE SUBREGIONAL DEL VALLE DE ABURRÁ, QUE TENDRÁ COMO SEDE AL MUNICIPIO DE BELLO, ANTIOQUIA (TASA PRODEPORTE)</t>
  </si>
  <si>
    <t>CONVENIO INTERADMINISTRATIVO PARA EL APOYO EN EL DESARROLLO DE LOS JUEGOS INTERCOLEGIADOS 2024 PARA LA FASE SUBREGIONAL DEL OCCIDENTE, QUE TENDRÁ COMO SEDE AL MUNICIPIO DE LIBORINA, ANTIOQUIA</t>
  </si>
  <si>
    <t>CONVENIO INTERADMINISTRATIVO PARA EL APOYO EN EL DESARROLLO DE LOS JUEGOS INTERCOLEGIADOS 2024 PARA LA FASE SUBREGIONAL DEL OCCIDENTE, QUE TENDRÁ COMO SEDE AL MUNICIPIO DE LIBORINA, ANTIOQUIA (TASA PRODEPORTE)</t>
  </si>
  <si>
    <t>CONVENIO INTERADMINISTRATIVO PARA EL APOYO EN EL DESARROLLO DE LOS JUEGOS INTERCOLEGIADOS 2024 PARA LA FASE SUBREGIONAL DEL SUROESTE, QUE TENDRÁ COMO SEDE AL MUNICIPIO DE CIUDAD BOLÍVAR, ANTIOQUIA</t>
  </si>
  <si>
    <t>CONVENIO INTERADMINISTRATIVO PARA EL APOYO EN EL DESARROLLO DE LOS JUEGOS INTERCOLEGIADOS 2024 PARA LA FASE SUBREGIONAL DEL SUROESTE, QUE TENDRÁ COMO SEDE AL MUNICIPIO DE CIUDAD BOLÍVAR, ANTIOQUIA (TASA PRODEPORTE)</t>
  </si>
  <si>
    <t>DISPONIBLE LIBERACIÓN FOMENTO 202401018221 DEL 3/12/2024</t>
  </si>
  <si>
    <t>CONVENIO INTERADMINISTRATIVO PARA EL APOYO EN EL DESARROLLO DE LOS JUEGOS INTERCOLEGIADOS 2024 PARA LA FASE SUBREGIONAL DEL URABÁ, QUE TENDRÁ COMO SEDE AL MUNICIPIO DE CHIGORODÓ, ANTIOQUIA</t>
  </si>
  <si>
    <t>3.43.4301.51.0-101024.2.3.2.02.02.009.16.</t>
  </si>
  <si>
    <t>CONVENIO INTERADMINISTRATIVO PARA EL APOYO EN EL DESARROLLO DE LOS JUEGOS INTERCOLEGIADOS 2024 PARA LA FASE SUBREGIONAL DEL URABÁ, QUE TENDRÁ COMO SEDE AL MUNICIPIO DE CHIGORODÓ, ANTIOQUIA (TASA PRODEPORTE)</t>
  </si>
  <si>
    <t>111218;
411133;
421322;
421425;
421515;
421516;
421518;
421519;
421520;
421524;
421525;
422816;
422818;
423115;
423122;
461820;
531315;
411160;
411218;
121715;
411032;
411041;
411130;
411161;
411162;
411216;
411218;
411226;
411227;
421322;
421415;
421425;
421426;
422816;
423115;
511027;
511916;
49171500;
49201600;
49201500;
42140000;851615</t>
  </si>
  <si>
    <t>52011001-Adquirir insumos y servicios para la investigación (incluye hardware (10 tables) y software)</t>
  </si>
  <si>
    <t>CONTRATO INTERADMINISTRATIVO DE MANDATO SIN  REPRESENTACIÓN PARA EL SUMINISTRO, INSTALACIÓN, MANTENIMIENTO Y CALIBRACIÓN DE EQUIPOS TECNOLÓGICOS; PROVISIÓN DE INSUMOS Y ELEMENTOS COMPLEMENTARIOS PARA LA OFICINA DE MEDICINA DEPORTIVA DE INDEPORTES.</t>
  </si>
  <si>
    <t>1.45.4599.77.0-101024.2.3.2.01.01.003.02.08</t>
  </si>
  <si>
    <t xml:space="preserve">52011001-Publicar material científico </t>
  </si>
  <si>
    <t xml:space="preserve">DISPONIBLE PROYECTO </t>
  </si>
  <si>
    <t>1.45.4599.77.0-101024.2.3.2.02.02.008.54.</t>
  </si>
  <si>
    <t>52011001-Transferir conocimiento a las comunidades</t>
  </si>
  <si>
    <t xml:space="preserve">52011001-Mejorar y potencializar los sistemas </t>
  </si>
  <si>
    <t>1.45.4599.77.0-101024.2.3.2.02.02.008.30.</t>
  </si>
  <si>
    <t>ADICIÓN NO. 1 Y PRORROGA NO. 1 AL CONTRATO 240 DE 2024 CUYO OBJETO ES "PRESTACIÓN DE SERVICIOS PROFESIONALES DE APOYO PARA LA EJECUCIÓN DE ACTIVIDADES RELACIONADAS CON LA PÁGINA WEB Y CON DESARROLLOS WEB DE INDEPORTES ANTIOQUIA."</t>
  </si>
  <si>
    <t>1.45.4599.77.4-101124.2.3.2.02.02.008.31.</t>
  </si>
  <si>
    <t xml:space="preserve">52011001-Mejorar_potencializar_sistemas </t>
  </si>
  <si>
    <t>1.45.4599.77.0-205128.2.3.2.02.02.008.55.</t>
  </si>
  <si>
    <t>DISPONIBLE LIBERACIÓN OFICINA DE SISTEMAS 202401019616 DEL 16 DE DICIEMBRE DE 2024</t>
  </si>
  <si>
    <t>43231500; 43233500; 43233700; 81161600; 81112501</t>
  </si>
  <si>
    <t>SELECCIÓN ABREVIADA POR SUBASTA INVERSA</t>
  </si>
  <si>
    <t>SELECCIÓN ABREVIADA ACUERDO MARCO DE PRECIOS</t>
  </si>
  <si>
    <t>ADICIÓN NO. 1 Y PRORROGA NO. 1 AL CONTRATO 318 DE 2024 CUYO OBJETO ES "PRESTACIÓN DE SERVICIOS COMO TECNÓLOGO EN SISTEMAS PARA INDEPORTES ANTIOQUIA"</t>
  </si>
  <si>
    <t>RENOVACION DEL LICENCIAMIENTO DE ADOBE PARA INDEPORTES ANTIOQUIA</t>
  </si>
  <si>
    <t>43231500; 43233500; 43233700; 81161600; 81112500</t>
  </si>
  <si>
    <t xml:space="preserve">52011001-Mejorar la plataforma de hardware y software </t>
  </si>
  <si>
    <t>SELECCIÓN ABREVIADA</t>
  </si>
  <si>
    <t>PRESTACIÓN DE SERVICIOS COMO INGENIERO DE SISTEMAS DE INDEPORTES ANTIOQUIA</t>
  </si>
  <si>
    <t>PRESTACIÓN DE SERVICIOS PROFESIONALES COMO INGENIERO INFORMÁTICO PARA INDEPORTES ANTIOQUIA.</t>
  </si>
  <si>
    <t>DISPONIBLE PROYECTO</t>
  </si>
  <si>
    <t>DISPONIBLE PROYECTOS</t>
  </si>
  <si>
    <t>1.45.4599.54.0-205128.2.3.2.02.02.008.22.</t>
  </si>
  <si>
    <t xml:space="preserve">DISPONIBLE ADICIÓN ACTIVA </t>
  </si>
  <si>
    <t xml:space="preserve">Resolución </t>
  </si>
  <si>
    <t xml:space="preserve">CONVENIO CON LA LIGA ANTIOQUEÑA DE ARQUERÍA PARA CONTRIBUIR A LA PREPARACIÓN DE LOS ATLETAS QUE CONFORMAN LA SELECCIÓN ANTIOQUIA PARA LA PARTICIPACIÓN EN LOS JUEGOS NACIONALES DEPORTIVOS JUVENILES 2024. </t>
  </si>
  <si>
    <t>CONVENIO CON LA  LIGA ECUESTRE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</si>
  <si>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 xml:space="preserve">CONVENIO CON LA LIGA DE PATINAJE DE ANTIOQUIA PARA CONTRIBUIR A LA PREPARACIÓN DE LOS ATLETAS QUE CONFORMAN LA SELECCIÓN ANTIOQUIA PARA LA PARTICIPACIÓN EN LOS JUEGOS NACIONALES DEPORTIVOS JUVENILES 2024. </t>
  </si>
  <si>
    <t>CONVENIO CON LA  LIGA DE TENIS DE MESA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</si>
  <si>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 xml:space="preserve">CONVENIO CON LA LIGA ANTIOQUEÑA DE KARATE DO PARA CONTRIBUIR A LA PREPARACIÓN DE LOS ATLETAS QUE CONFORMAN LA SELECCIÓN ANTIOQUIA PARA LA PARTICIPACIÓN EN LOS JUEGOS NACIONALES DEPORTIVOS JUVENILES 2024. </t>
  </si>
  <si>
    <t>DISPONIBLE LIBERACIÓN ALTOS LOGROS 202401020336 DEL 23 DE DICIEMBRE DE 2024</t>
  </si>
  <si>
    <t>PRESTACIÓN DE SERVICIOS DE UN ENTRENADOR DE ATLETISMO PARA INDEPORTES ANTIOQUIA</t>
  </si>
  <si>
    <t>PRESTACIÓN DE SERVICIOS DE UN ENTRENADOR DE ESGRIMA PARA INDEPORTES ANTIOQUIA</t>
  </si>
  <si>
    <t xml:space="preserve">PRESTACIÓN DE SERVICIOS DE UN ENTRENADOR DE ARQUERÍA PARA INDEPORTES ANTIOQUIA </t>
  </si>
  <si>
    <t>PRESTACIÓN DE SERVICIOS DE UN ENTRENADOR DE HAPKIDO PARA INDEPORTES ANTIOQUIA</t>
  </si>
  <si>
    <t>PRESTACIÓN DE SERVICIOS DE UN ENTRENADOR DE ACTIVIDADES SUBACUÁTICAS PARA INDEPORTES ANTIOQUIA</t>
  </si>
  <si>
    <t>PRESTACIÓN DE SERVICIOS DE UN ENTRENADOR DE TENIS EN SILLAS DE RUEDAS PARA INDEPORTES ANTIOQUIA</t>
  </si>
  <si>
    <t>PRESTACIÓN DE SERVICIOS DE UN ENTRENADOR DE TEJO PARA INDEPORTES ANTIOQUIA</t>
  </si>
  <si>
    <t>PRESTACIÓN DE SERVICIOS DE UN ENTRENADOR DE REMO PARA INDEPORTES ANTIOQUIA</t>
  </si>
  <si>
    <t>PRESTACIÓN DE SERVICIOS DE UN ENTRENADOR DE BOXEO PARA INDEPORTES ANTIOQUIA</t>
  </si>
  <si>
    <t>DISPONIBLE NECESIDAD POR MAYOR VALOR ITEM 820 DE 2024</t>
  </si>
  <si>
    <t>PRESTACIÓN DE SERVICIOS DE UN ENTRENADOR DE FÚTBOL PARA INDEPORTES ANTIOQUIA</t>
  </si>
  <si>
    <t>833A</t>
  </si>
  <si>
    <t>41080111-Postular Candidatura de los juegos Nacionales 2027</t>
  </si>
  <si>
    <t>CONTRATO INTERADMINISTRATIVO PARA EL ACOMPAÑAMIENTO A LA CANDIDATURA DE ANTIOQUIA COMO SEDE DE LOS JUEGOS NACIONALES Y PARA-NACIONALES 2027</t>
  </si>
  <si>
    <t>PRESTACIÓN DE SERVICIOS DE UN ENTRENADOR DE AJEDREZ PARA INDEPORTES ANTIOQUIA</t>
  </si>
  <si>
    <t>PRESTACIÓN DE SERVICIOS DE UN ENTRENADOR DE BÉISBOL PARA INDEPORTES ANTIOQUIA</t>
  </si>
  <si>
    <t xml:space="preserve">PRESTACIÓN DE SERVICIOS DE UN ENTRENADOR DE BALONCESTO PARA INDEPORTES ANTIOQUIA </t>
  </si>
  <si>
    <t>días</t>
  </si>
  <si>
    <t>Julio</t>
  </si>
  <si>
    <t>Agosto</t>
  </si>
  <si>
    <t xml:space="preserve">PRESTACIÓN DE SERVICIOS DE UN ENTRENADOR DE BALONMANO PARA INDEPORTES ANTIOQUIA </t>
  </si>
  <si>
    <t xml:space="preserve">PRESTACIÓN DE SERVICIOS DE UN ENTRENADOR DE FÚTBOL PARA INDEPORTES ANTIOQUIA </t>
  </si>
  <si>
    <t xml:space="preserve">PRESTACIÓN DE SERVICIOS DE UN ENTRENADOR DE FÚTBOL DE SALÓN PARA INDEPORTES ANTIOQUIA </t>
  </si>
  <si>
    <t xml:space="preserve">PRESTACIÓN DE SERVICIOS DE UN ENTRENADOR DE SQUASH PARA INDEPORTES ANTIOQUIA </t>
  </si>
  <si>
    <t xml:space="preserve">PRESTACIÓN DE SERVICIOS DE UN ENTRENADOR DE TENIS DE MESA PARA INDEPORTES ANTIOQUIA </t>
  </si>
  <si>
    <t xml:space="preserve">PRESTACIÓN DE SERVICIOS DE UN ENTRENADOR DE PARA-TENIS DE MESA  PARA INDEPORTES ANTIOQUIA </t>
  </si>
  <si>
    <t xml:space="preserve">PRESTACIÓN DE SERVICIOS DE UN ENTRENADOR DE PARA-ATLETISMO PARA INDEPORTES ANTIOQUIA </t>
  </si>
  <si>
    <t xml:space="preserve">PRESTACIÓN DE SERVICIOS DE UN ENTRENADOR DE PARA-FÚTBOL SALA PARA INDEPORTES ANTIOQUIA </t>
  </si>
  <si>
    <t xml:space="preserve">PRESTACIÓN DE SERVICIOS DE UN ENTRENADOR DE PARA-TENIS DE MESA PARA INDEPORTES ANTIOQUIA </t>
  </si>
  <si>
    <t>882A</t>
  </si>
  <si>
    <t xml:space="preserve">PRESTACIÓN DE SERVICIOS DE UN ENTRENADOR DE PARA-NATACIÓN PARA INDEPORTES ANTIOQUIA </t>
  </si>
  <si>
    <t xml:space="preserve">PRESTACIÓN DE SERVICIOS DE UN ENTRENADOR DE PARA- FÚTBOL 11 PARA INDEPORTES ANTIOQUIA </t>
  </si>
  <si>
    <t xml:space="preserve">PRESTACIÓN DE SERVICIOS DE UN ENTRENADOR DE PARA-BALONCESTO PARA INDEPORTES ANTIOQUIA </t>
  </si>
  <si>
    <t xml:space="preserve">PRESTACIÓN DE SERVICIOS DE UN ENTRENADOR DE BÁDMINTON PARA INDEPORTES ANTIOQUIA </t>
  </si>
  <si>
    <t xml:space="preserve">PRESTACIÓN DE SERVICIOS DE UN ENTRENADOR DE ATLETISMO PARA INDEPORTES ANTIOQUIA </t>
  </si>
  <si>
    <t xml:space="preserve">PRESTACIÓN DE SERVICIOS DE UN ENTRENADOR DE VOLEIBOL PARA INDEPORTES ANTIOQUIA </t>
  </si>
  <si>
    <t xml:space="preserve">PRESTACIÓN DE SERVICIOS DE UN ENTRENADOR DE ESGRIMA PARA INDEPORTES ANTIOQUIA </t>
  </si>
  <si>
    <t xml:space="preserve">PRESTACIÓN DE SERVICIOS DE UN ENTRENADOR DE LUCHA PARA INDEPORTES ANTIOQUIA </t>
  </si>
  <si>
    <t xml:space="preserve">PRESTACIÓN DE SERVICIOS DE UN ENTRENADOR DE TAEKWONDO PARA INDEPORTES ANTIOQUIA </t>
  </si>
  <si>
    <t xml:space="preserve">PRESTACIÓN DE SERVICIOS DE UN ENTRENADOR DE BOXEO PARA INDEPORTES ANTIOQUIA </t>
  </si>
  <si>
    <t xml:space="preserve">PRESTACIÓN DE SERVICIOS DE UN ENTRENADOR DE NATACIÓN PARA INDEPORTES ANTIOQUIA </t>
  </si>
  <si>
    <t xml:space="preserve">PRESTACIÓN DE SERVICIOS DE UN ENTRENADOR DE BOCCIA PARA INDEPORTES ANTIOQUIA </t>
  </si>
  <si>
    <t xml:space="preserve">PRESTACIÓN DE SERVICIOS DE UN ENTRENADOR DE RUGBY PARA INDEPORTES ANTIOQUIA </t>
  </si>
  <si>
    <t xml:space="preserve">PRESTACIÓN DE SERVICIOS DE UN ENTRENADOR DE PARA-FÚTBOL 7 PARA INDEPORTES ANTIOQUIA </t>
  </si>
  <si>
    <t xml:space="preserve">PRESTACIÓN DE SERVICIOS DE UN ENTRENADOR DE SOFTBOL PARA INDEPORTES ANTIOQUIA </t>
  </si>
  <si>
    <t xml:space="preserve">PRESTACIÓN DE SERVICIOS DE UN ENTRENADOR DE LEVANTAMIENTO DE PESAS PARA INDEPORTES ANTIOQUIA </t>
  </si>
  <si>
    <t xml:space="preserve">PRESTACIÓN DE SERVICIOS DE UN ENTRENADOR DE TRIATLÓN PARA INDEPORTES ANTIOQUIA </t>
  </si>
  <si>
    <t xml:space="preserve">PRESTACIÓN DE SERVICIOS DE UN ENTRENADOR DE BÉISBOL PARA INDEPORTES ANTIOQUIA </t>
  </si>
  <si>
    <t xml:space="preserve">PRESTACIÓN DE SERVICIOS DE UN ENTRENADOR DE PARACYCLING PARA INDEPORTES ANTIOQUIA </t>
  </si>
  <si>
    <t xml:space="preserve">PRESTACIÓN DE SERVICIOS DE UN ENTRENADOR DE PARA-NATACIÓN  PARA INDEPORTES ANTIOQUIA </t>
  </si>
  <si>
    <t xml:space="preserve">PRESTACIÓN DE SERVICIOS DE UN ENTRENADOR DE TENIS DE CAMPO PARA INDEPORTES ANTIOQUIA </t>
  </si>
  <si>
    <t xml:space="preserve">PRESTACIÓN DE SERVICIOS DE UN ENTRENADOR DE VELA PARA INDEPORTES ANTIOQUIA </t>
  </si>
  <si>
    <t xml:space="preserve">PRESTACIÓN DE SERVICIOS DE UN ENTRENADOR DE TIRO DEPORTIVO PARA INDEPORTES ANTIOQUIA </t>
  </si>
  <si>
    <t xml:space="preserve">PRESTACIÓN DE SERVICIOS DE UN ENTRENADOR DE PARA-TIRO DEPORTIVO PARA INDEPORTES ANTIOQUIA </t>
  </si>
  <si>
    <t xml:space="preserve">PRESTACIÓN DE SERVICIOS DE UN ENTRENADOR DE VOLEIBOL SENTADO PARA INDEPORTES ANTIOQUIA </t>
  </si>
  <si>
    <t xml:space="preserve">PRESTACIÓN DE SERVICIOS DE UN ENTRENADOR DE BOWLING  PARA INDEPORTES ANTIOQUIA </t>
  </si>
  <si>
    <t xml:space="preserve">PRESTACIÓN DE SERVICIOS DE UN ENTRENADOR DE GIMNASIA PARA INDEPORTES ANTIOQUIA </t>
  </si>
  <si>
    <t xml:space="preserve">PRESTACIÓN DE SERVICIOS DE UN ENTRENADOR DE KARATE DO PARA INDEPORTES ANTIOQUIA </t>
  </si>
  <si>
    <t xml:space="preserve">PRESTACIÓN DE SERVICIOS DE UN ENTRENADOR DE AJEDREZ PARA INDEPORTES ANTIOQUIA </t>
  </si>
  <si>
    <t xml:space="preserve">PRESTACIÓN DE SERVICIOS DE UN ENTRENADOR DE PARA-AJEDREZ PARA INDEPORTES ANTIOQUIA </t>
  </si>
  <si>
    <t xml:space="preserve">PRESTACIÓN DE SERVICIOS DE UN ENTRENADOR DE PARA- BOWLING PARA INDEPORTES ANTIOQUIA </t>
  </si>
  <si>
    <t xml:space="preserve">PRESTACIÓN DE SERVICIOS DE UN ENTRENADOR DE PATINAJE PARA INDEPORTES ANTIOQUIA </t>
  </si>
  <si>
    <t xml:space="preserve">PRESTACIÓN DE SERVICIOS DE UN ENTRENADOR DE RUGBY EN SILLA DE RUEDAS PARA INDEPORTES ANTIOQUIA </t>
  </si>
  <si>
    <t xml:space="preserve">PRESTACIÓN DE SERVICIOS DE UN ENTRENADOR DE BALONCESTO EN SILLA DE RUEDAS PARA INDEPORTES ANTIOQUIA </t>
  </si>
  <si>
    <t xml:space="preserve">PRESTACIÓN DE SERVICIOS DE UN ENTRENADOR DE PARA-FÚTBOL 5 PARA INDEPORTES ANTIOQUIA </t>
  </si>
  <si>
    <t xml:space="preserve">PRESTACIÓN DE SERVICIOS DE UN ENTRENADOR DE BILLAR PARA INDEPORTES ANTIOQUIA </t>
  </si>
  <si>
    <t xml:space="preserve">DISPONIBLE PRESTACIÓN DE SERVICIOS ENTRENADORES </t>
  </si>
  <si>
    <t>2.43.4302.22.0-101024.2.3.3.08.06.</t>
  </si>
  <si>
    <t>72101500;
40101700 </t>
  </si>
  <si>
    <t>52011002-Realizar mantenimiento de aires acondicionados</t>
  </si>
  <si>
    <t>CONTRATO INTERADMINISTRATIVO DE MANDATO SIN REPRESENTACIÓN PARA EL MANTENIMIENTO PREVENTIVO Y CORRECTIVO DEL AIRE ACONDICIONADO DEL INSTITUTO DEPARTAMENTAL DE DEPORTES DE ANTIOQUIA – INDEPORTES </t>
  </si>
  <si>
    <t>1.45.4501.04.0-205618.2.3.2.02.02.005.10.</t>
  </si>
  <si>
    <t>72101500;
72103300;
72141700;
72152700;
81101500;
81141500;
80101500;
80101600</t>
  </si>
  <si>
    <t>52011002-Realizar mantenimiento preventivo y/o correctivo a las sedes de Indeportes Antioquia</t>
  </si>
  <si>
    <t>ADMINISTRACIÓN DELEGADA PARA LA INTERVENTORÍA Y MANTENIMIENTO PREVENTIVO Y CORRECTIVO DE LOS INMUEBLES DE INDEPORTES ANTIOQUIA Y LOS QUE ESTÉN BAJO SU RESPONSABILIDAD</t>
  </si>
  <si>
    <t>MANTENIMIENTO DE LA INFRAESTRUCTURA DE LAS SEDES OPERATIVAS PARA LA PRESTACIÓN DE SERVICIOS DEPORTIVOS, RECREATIVOS Y DE ACTIVIDAD FÍSICA EN LAS REGIONES DE ANTIOQUIA</t>
  </si>
  <si>
    <t>52011002-Realizar mantenimiento preventivo pozo séptico</t>
  </si>
  <si>
    <t>1.45.4501.04.0-202029.2.3.2.02.02.005.05.</t>
  </si>
  <si>
    <t>52011002-Realizar mantenimiento preventivo y limpieza-deterioro y acumulación de basura de árboles en techos,canoas y terrazas, Domo con ajuste, impermeabilización de las juntas y pegado de láminas de vidrio templado, domo techo y domo paso peatonal.</t>
  </si>
  <si>
    <t>52011002-Reparar bomba de hidroflow, reparación de tanque, de tuberías y de tablero eléctrico</t>
  </si>
  <si>
    <t>52011002-Realizar mantenimiento preventivo y correctivo de baños y lavamanos por filtraciones de agua, mesones, manijas de vaciado y empaque de llaves de paso de agua.</t>
  </si>
  <si>
    <t>52011002-Cambiar tanque calentador solar, por deterioro y filtración.</t>
  </si>
  <si>
    <t>52011002-Realizar mantenimiento preventivo a lavadoras semi industrial marca LG y WASCOMAT e industrial marca IPSO, y  mantenimiento preventivo a 2 secadoras semi industriales marca LG y otra industrial marca CISSELL a Gas.</t>
  </si>
  <si>
    <t>52011002-Reponer y realizar mantenimiento de mallas de cerramiento de la sede.</t>
  </si>
  <si>
    <t>52011002-Realizar mantenimiento correctivo de chapas, Cerraduras, ventanería, puertas y cerramientos en general por avería en deslizamiento y cerrado.</t>
  </si>
  <si>
    <t>52011002-Recargar y revisar extintores,  5 unidades de Codigo: 109030006, tipo A color gris de 2,5 Lb y 6 Unidades de Codigo: 109030006, Multipropósito Amarillo de 10 Lb</t>
  </si>
  <si>
    <t>52011002-Reponer y realizar mantenimiento a Televisores obsoletos que se encuentran en deterioro y se requiere su cambio, ya que tienen fallas electrónicas y físicas.</t>
  </si>
  <si>
    <t>52011002-Reponer y realizar mantenimiento correctivo de mesas y sillas de comedor</t>
  </si>
  <si>
    <t>52011002-Realizar mantenimiento a desplazamiento de muro, apertura, undimiento de piso, goteras en techo, problema en canoas y en boquilla de bajantes.</t>
  </si>
  <si>
    <t xml:space="preserve">52011001-Adquirir insumos y servicios para la comunicación (incluye hardware y software). </t>
  </si>
  <si>
    <t>ADQUISICIÓN DE INSUMOS Y SERVICIOS PARA EL FORTALECIMIENTO DE LA COMUNICACIÓN INSTITUCIONAL.</t>
  </si>
  <si>
    <t>1.43.4599.77.0-101024.2.3.2.02.02.009.26.</t>
  </si>
  <si>
    <t>52161500;
52161600;
80161500;
82101500;
82101600;
82141600;
90101800;
90101600"</t>
  </si>
  <si>
    <t xml:space="preserve">52011001-Apoyar eventos internos y externos de actividad física, recreación y deporte. </t>
  </si>
  <si>
    <t>CONTRATO INTERADMINISTRATIVO DE MANDATO SIN REPRESENTACIÓN PARA LA PRODUCCIÓN DE IMAGEN INSTITUCIONAL Y LA VINCULACIÓN PUBLICITARIA DE LAS MARCAS DE INDEPORTES ANTIOQUIA EN LOS EVENTOS DEPORTIVOS DEL DEPARTAMENTO.</t>
  </si>
  <si>
    <t>DISPONIBLE ADQUIRIR INSUMOS</t>
  </si>
  <si>
    <t>FORTALECIMIENTO DE LOS SISTEMAS DE INFORMACIÓN Y LA GESTIÓN ESTRATÉGICA PARA EL DEPORTE, LA RECREACIÓN Y LA ACTIVIDAD FÍSICA DE ANTIOQUIA- COMUNICACIONES</t>
  </si>
  <si>
    <t>1.43.4599.77.0-271130.2.3.2.02.02.009.27.</t>
  </si>
  <si>
    <t>MODIFICACIÓN 1 AL CONTRATO 231 DE 2024 CUYO OBJETO ES: PRESTACIÓN DE SERVICIOS PROFESIONALES PARA APOYAR LAS ACTIVIDADES COMUNICATIVAS Y PERIODÍSTICAS QUE CONTRIBUYAN A LA DIVULGACIÓN DE LAS ACCIONES MISIONALES DE INDEPORTES ANTIOQUIA.</t>
  </si>
  <si>
    <t>DISPONIBLE LIBERACIÓN SUBGERENCIA ADMINISTRATIVA Y FINANCIERA 202401020735 DEL 31 DE DICIEMBRE DE 2024</t>
  </si>
  <si>
    <t>MODIFICACIÓN 1 AL CONTRATO 396 DE 2024, CUYO OBJETO ES “PRESTACIÓN DE SERVICIOS PROFESIONALES COMO ADMINISTRADORA DE EMPRESAS PARA INDEPORTES ANTIOQUIA</t>
  </si>
  <si>
    <t>MODIFICACIÓN 2 AL CONTRATO 231 DE 2024, CUYO OBJETO ES “PRESTACIÓN DE SERVICIOS PROFESIONALES PARA APOYAR LAS ACTIVIDADES COMUNICATIVAS Y PERIODÍSTICAS QUE CONTRIBUYAN A LA DIVULGACIÓN DE LAS ACCIONES MISIONALES DE INDEPORTES ANTIOQUIA</t>
  </si>
  <si>
    <t>DISPONIBLE LIBERACIÓN OFICINA DE SISTEMAS 202401020583 DEL 26 DE DICIEMBRE DE 2024</t>
  </si>
  <si>
    <t xml:space="preserve">52011001-Diseñar e implementar estrategias de comunicación interna y externa. </t>
  </si>
  <si>
    <t>52161500;
52161600;
80161500;
82101500;
82101600;
82141600;
90101800;
90101600</t>
  </si>
  <si>
    <t>MODIFICACIÓN AL CONTRATO 285 DE 2024, CUYO OBJETO ES: "CONTRATO INTERADMINISTRATIVO DE MANDATO SIN REPRESENTACIÓN PARA LA OPERACIÓN LOGÍSTICA DE EVENTOS Y LA PRODUCCIÓN AUDIOVISUAL RELACIONADA CON EL FORTALECIMIENTO DE LA IMAGEN INSTITUCIONAL DE INDEPORTES ANTIOQUIA."</t>
  </si>
  <si>
    <t>1.43.4599.77.4-271130.2.3.2.02.02.009.28.</t>
  </si>
  <si>
    <t>52011001-Fortalecer el modelo integrado de planeación y gestión MIPG</t>
  </si>
  <si>
    <t>FORTALECIMIENTO DE LOS SISTEMAS DE INFORMACIÓN Y LA GESTIÓN ESTRATÉGICA PARA EL DEPORTE, LA RECREACIÓN Y LA ACTIVIDAD FÍSICA DE ANTIOQUIA- PLANEACION</t>
  </si>
  <si>
    <t>1.45.4599.77.0-101024.2.3.2.02.02.008.27.</t>
  </si>
  <si>
    <t>52011001-Fortalecer los sistemas de información para la planeación y gestión organizacional</t>
  </si>
  <si>
    <t>PRESTACIÓN DE SERVICIOS DE SOFTWARE PARA ADMINISTRACIÓN DEL SISTEMA INTEGRADO DE GESTIÓN DE INDEPORTES ANTIOQUIA EN MODALIDAD SAAS</t>
  </si>
  <si>
    <t>ADICIÓN Y PRORROGA 1 AL CONTRATO 241 DE 2024; PRESTACIÓN DE SERVICIOS DE APOYO EN LA ORGANIZACIÓN DEL ARCHIVO DE GESTIÓN DE LAS DIFERENTES DEPENDENCIAS DE INDEPORTES ANTIOQUIA.</t>
  </si>
  <si>
    <t>ADICIÓN Y PRORROGA 1 AL CONTRATO 242 DE 2024; PRESTACIÓN DE SERVICIOS DE APOYO EN LA ORGANIZACIÓN DEL ARCHIVO DE GESTIÓN DE LAS DIFERENTES DEPENDENCIAS DE INDEPORTES ANTIOQUIA.</t>
  </si>
  <si>
    <t xml:space="preserve">52011001-Elaborar, aprobar y convalidar las Tablas de Retención Documental </t>
  </si>
  <si>
    <t>PRESTACIÓN DE SERVICIOS PARA EL FORTALECIMIENTO DE LA GESTIÓN DOCUMENTAL DE INDEPORTES ANTIOQUIA</t>
  </si>
  <si>
    <t>1.45.4599.77.0-101024.2.3.2.02.02.008.53.</t>
  </si>
  <si>
    <t xml:space="preserve">52011001-Implementar cuadro de clasificación documental </t>
  </si>
  <si>
    <t xml:space="preserve">52011001-Elaborar, aprobar, convalidar y aplicar las Tablas de Valoración Documental </t>
  </si>
  <si>
    <t xml:space="preserve">PRESTACION DE SERVICIOS PROFESIONALES ESPECIALIZADOS COMO POLITILOGO PARA INDEPORTES ANTIOQUIA </t>
  </si>
  <si>
    <t>PRESTACIÓN DE SERVICIOS PROFESIONALES COMO PROFESIONAL EN PLANEACIÓN Y DESARROLLO PARA INDEPORTES ANTIOQUIA</t>
  </si>
  <si>
    <t>ADICIÓN 1 AL CONTRATO No. 308 de 2024 CUYO OBJETO ES: PRESTACIÓN DE SERVICIOS PROFESIONALES ESPECIALIZADOS PARA LA ANALÍTICA DE DATOS EN INDEPORTES DE ANTIOQUIA</t>
  </si>
  <si>
    <t>PRESTACIÓN DE SERVICIOS PROFESIONALES EN EL ANÁLISIS DE LA INFORMACIÓN ESTADISTICA DE INDEPORTES ANTIOQUIA</t>
  </si>
  <si>
    <t>41080110-Entregar apoyo alimentación a para-atletas</t>
  </si>
  <si>
    <t>PRESTACIÓN DE SERVICIOS COMO PROFESIONAL EN DEPORTES PARA INDEPORTES ANTIOQUIA</t>
  </si>
  <si>
    <t>PRESTACIÓN DE SERVICIOS DE UN ENTRENADOR PARA LA PREPARACIÓN FÍSICA PARA INDEPORTES ANTIOQUIA</t>
  </si>
  <si>
    <t xml:space="preserve">DISPONIBLE LIBERACIÓN ALTOS LOGROS (202401015040 DEL 22 DE OCTUBRE) CONTRATO ENTRENADOR SALE POR PROYECTO DIFERENTE </t>
  </si>
  <si>
    <t xml:space="preserve">PRESTACIÓN DE SERVICIOS DE UN ENTRENADOR DE TEJO PARA INDEPORTES ANTIOQUIA </t>
  </si>
  <si>
    <t xml:space="preserve">PRESTACIÓN DE SERVICIOS DE UN ENTRENADOR DE CANOTAJE PARA INDEPORTES ANTIOQUIA </t>
  </si>
  <si>
    <t xml:space="preserve">PRESTACIÓN DE SERVICIOS DE UN ENTRENADOR DE PATINAJE  PARA INDEPORTES ANTIOQUIA </t>
  </si>
  <si>
    <t>DISPONIBLE LIBERACIÓN SUBGERENCIA DE ALTOS LOGROS Y DEPORTE ASOCIADO 202401020607 DEL 27 DE DICIEMBRE DE 2025</t>
  </si>
  <si>
    <t xml:space="preserve">52010803-Realizar dotación de insumos y elementos para otorgar el estimulo de alojamiento de atletas y para atletas </t>
  </si>
  <si>
    <t>2.43.4302.85.4-101124.2.3.2.02.01.003.07.</t>
  </si>
  <si>
    <t xml:space="preserve">PRESTACIÓN DE SERVICIOS DE UN ENTRENADOR DE GIMNASIA  PARA INDEPORTES ANTIOQUIA </t>
  </si>
  <si>
    <t xml:space="preserve">PRESTACIÓN DE SERVICIOS DE UN ENTRENADOR DE TIRO CON ARCO  PARA INDEPORTES ANTIOQUIA </t>
  </si>
  <si>
    <t xml:space="preserve">PRESTACIÓN DE SERVICIOS DE UN ENTRENADOR DE FÚTBOL DE SALÓN  PARA INDEPORTES ANTIOQUIA </t>
  </si>
  <si>
    <t xml:space="preserve">PRESTACIÓN DE SERVICIOS DE UN ENTRENADOR DE CANOTAJE  PARA INDEPORTES ANTIOQUIA </t>
  </si>
  <si>
    <t xml:space="preserve">PRESTACIÓN DE SERVICIOS DE UN ENTRENADOR DE VOLEIBOL  PARA INDEPORTES ANTIOQUIA </t>
  </si>
  <si>
    <t>CONVENIO CON LA LIGA DE VELA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</si>
  <si>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ACTIVIDADES SUBACUÁTICAS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</si>
  <si>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1 AL CONTRATO 210 DE 2024 CUYO OBJETO ES:  PRESTACIÓN DE SERVICIOS DE UN ENTRENADOR PARA LA REALIZACIÓN DEL PROCESO DE PREPARACIÓN FÍSICA Y CONDICIONAL EN DEPORTES DE BOLO, SOFTBOL Y TEJO EN LAS MODALIDADES Y CATEGORÍAS DE JUEGOS NACIONALES.</t>
  </si>
  <si>
    <t>ADICIÓN 1 AL CONTRATO 363 DE 2024 CUYO OBJETO ES: CONVENIO CON LA LIGA ANTIOQUEÑA DE KARATE DO PARA CONTRIBUIR AL DESARROLLO DEL PROGRAMA DE ALTOS LOGROS Y LIDERAZGO DEPORTIVO PARA LA PREPARACIÓN Y PARTICIPACIÓN  EN COMPETENCIAS DEPORTIVAS DE CARÁCTER NACIONAL E INTERNACIONAL DE LOS DEPORTISTAS QUE CONFORMAN LA SELECCIÓN  ANTIOQUIA PARA JUEGOS NACIONALES.</t>
  </si>
  <si>
    <t xml:space="preserve">ADICIÓN 1 AL CONTRATO 457 DE 2024 CUYO OBJETO ES: CONVENIO CON LA LIGA ANTIOQUEÑA DE KARATE DO PARA CONTRIBUIR A LA PREPARACIÓN DE LOS ATLETAS QUE CONFORMAN LA SELECCIÓN ANTIOQUIA PARA LA PARTICIPACIÓN EN LOS JUEGOS NACIONALES DEPORTIVOS JUVENILES 2024. </t>
  </si>
  <si>
    <t xml:space="preserve">DISPONIBLE CENTRO DE DESARROLLOS </t>
  </si>
  <si>
    <t>2.43.4302.87.4-205128.2.3.3.09.17.</t>
  </si>
  <si>
    <t xml:space="preserve">52010803-Otorgar estimulos de alimentacion a los atletas, para atletas </t>
  </si>
  <si>
    <t>RESOUCIÓN</t>
  </si>
  <si>
    <t>2.43.4302.85.0-101024.2.3.3.08.06.</t>
  </si>
  <si>
    <t>2.43.4302.84.4-101124.2.3.2.02.02.009.48.</t>
  </si>
  <si>
    <t>2.43.4302.84.0-205400.2.3.2.02.02.008.32.</t>
  </si>
  <si>
    <t>52010802-Realizar desplazamientos para el seguimiento y control de atletas y para atletas en las sesiones de entrenamiento y/o competencia.</t>
  </si>
  <si>
    <t xml:space="preserve">DISPONIBLE </t>
  </si>
  <si>
    <t>2.43.4302.84.4-101124.2.3.2.02.02.006.10.</t>
  </si>
  <si>
    <t>CONVENIO CON LA LIGA DE CANOTAJE DE ANTIOQUIA, PARA EL FORTALECIMIENTO DEL POTENCIAL Y LA CONSOLIDACIÓN DE LA RESERVA DEPORTIVA EN EL DEPARTAMENTO DE ANTIOQUIA.</t>
  </si>
  <si>
    <t>ADICIÓN 1 AL CONVENIO 288 DE 2024 CUYO OBJETO ES: CONVENIO CON LA LIGA ANTIOQUEÑA DE LEVANTAMIENTO DE PESAS, PARA EL FORTALECIMIENTO DEL POTENCIAL Y LA CONSOLIDACIÓN DE LA RESERVA DEPORTIVA EN EL DEPARTAMENTO DE ANTIOQUIA</t>
  </si>
  <si>
    <t xml:space="preserve">DISPONIBLE CENTROS DE DESARROLLO </t>
  </si>
  <si>
    <t>2.43.4302.87.4-101124.2.3.3.09.17.</t>
  </si>
  <si>
    <t>2.43.4302.87.4-101124.2.3.2.02.02.008.39.</t>
  </si>
  <si>
    <t>81101706;
41116500;
41116004</t>
  </si>
  <si>
    <t xml:space="preserve">52010804-Realizar mantenimiento preventivo, correctivo y calibración de equipos de medicina y ciencias aplicadas </t>
  </si>
  <si>
    <t>SUMINISTRO</t>
  </si>
  <si>
    <t>2.43.4302.03.4-101124.2.3.2.02.02.008.40.</t>
  </si>
  <si>
    <t xml:space="preserve">81101706;
41116500;
41116004
</t>
  </si>
  <si>
    <t>52010804-Realizar dotacion de equipos (tecnologia), suministros (insumos) e implementos médicos y de ciencias aplicadas</t>
  </si>
  <si>
    <t>2.43.4302.03.4-101124.2.3.2.02.01.003.08.</t>
  </si>
  <si>
    <t>CONVENIO CON LA LIGA ANTIOQUEÑA DE LUCHA PARA APOYAR ESTE DEPORTE EN EL DEPARTAMENTO A TRAVÉS DE IMPLEMENTACIÓN DEPORTIVA.</t>
  </si>
  <si>
    <t>ADICIÓN AL CONVENIO 451  DE 2024 CUYO OBJETO ES:  CONVENIO CON LA  LIGA DE TENIS DE MESA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</si>
  <si>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RECONOCIMIENTO POR LOGROS OBTENIDOS DENTRO DEL PROGRAMA ANTIOQUIA FIRME POR EL DEPORTE REGLAMENTADO EN LA RESOLUCIÓN 835 DE 2024</t>
  </si>
  <si>
    <t>CONVENIO INTERADMINISTRATIVO DE COOPERACION PARA AUNAR ESFUERZOS Y OTORGAR EL RECONOCIMIENTO DE UNA VIVIENDA TIPO VIS, A LA MEDALLISTA DE LOS JUEGOS PARALIMPICOS DE PARIS 2024</t>
  </si>
  <si>
    <t>2.43.4302.85.0-492448.2.3.3.08.06.</t>
  </si>
  <si>
    <t>PRESTACIÓN DE SERVICIOS PROFESIONALES COMO MÉDICO ESPECIALIZADO PARA INDEPORTES ANTIOQUIA.</t>
  </si>
  <si>
    <t xml:space="preserve">PRESTACIÓN DE SERVICIOS PROFESIONALES COMO NUTRICIONISTA PARA INDEPORTES ANTIOQUIA. </t>
  </si>
  <si>
    <t>PRESTACIÓN DE SERVICIOS DE APOYO A LA GESTIÓN EN EL ÁREA DE ODONTOLOGÍA DE INDEPORTES DE ANTIOQUIA</t>
  </si>
  <si>
    <t>PRESTACIÓN DE SERVICIOS COMO ADMINISTRADOR EN SALUD EN INDEPORTES ANTIOQUIA</t>
  </si>
  <si>
    <t>ADICIÓN 1 AL CONTRATO 238 DE 2024 CUYO OBJETO ES: PRESTACIÓN DE SERVICIOS PROFESIONALES EN LA ATENCIÓN Y DIAGNÓSTICO DE LA ORTOPEDIA Y TRAUMATOLOGÍA A LOS ATLETAS Y PARA ATLETAS QUE APOYA INDEPORTES ANTIOQUIA.</t>
  </si>
  <si>
    <t>ADICIÓN 1 AL CONTRATO 239 DE 2024 CUYO OBJETO ES: PRESTACIÓN DE SERVICIOS PROFESIONALES EN LA ATENCIÓN DE AYUDAS DIAGNOSTICAS ECOGRÁFICAS A LOS ATLETAS Y PARA ATLETAS QUE APOYA INDEPORTES ANTIOQUIA.</t>
  </si>
  <si>
    <t>2.43.4302.03.0-205400.2.3.2.02.02.009.33.</t>
  </si>
  <si>
    <t>PRESTACIÓN DE SERVICIOS PROFESIONALES COMO ODONTÓLOGA PARA INDEPORTES ANTIOQUIA.</t>
  </si>
  <si>
    <t xml:space="preserve">PRESTACIÓN DE SERVICIOS DE UN ENTRENADOR DE CICLISMO  PARA INDEPORTES ANTIOQUIA </t>
  </si>
  <si>
    <t xml:space="preserve">DISPONIBLE LIBERACIÓN ALTOS LOGROS 202401018630 DEL 9 DE DICIEMBRE </t>
  </si>
  <si>
    <t xml:space="preserve">PRESTACIÓN DE SERVICIOS DE UN ENTRENADOR DE BEISBOL  PARA INDEPORTES ANTIOQUIA </t>
  </si>
  <si>
    <t xml:space="preserve">PRESTACIÓN DE SERVICIOS DE UN ENTRENADOR DE BOXEO  PARA INDEPORTES ANTIOQUIA </t>
  </si>
  <si>
    <t>CONVENIO CON LA LIGA ANTIOQUEÑA DE TEJO PARA CONTRIBUIR AL DESARROLLO DEL PROGRAMA DE ALTOS LOGROS Y LIDERAZGO DEPORTIVO PARA LA PREPARACIÓN Y PARTICIPACIÓN EN COMPETENCIAS DEPORTIVAS DE CARÁCTER NACIONAL E INTERNACIONAL DE LOS DEPORTISTAS QUE CONFORMAN LA SELECCIÓN ANTIOQUIA PARA JUEGOS NACIONALES.</t>
  </si>
  <si>
    <t>PRESTACIÓN DE SERVICIOS DE APOYO A LA GESTIÓN PARA INDEPORTES ANTIOQUIA</t>
  </si>
  <si>
    <t>ADICIÓN 1 AL COVENIO 443 DE 2024 CUYO OBJETO ES: CONVENIO CON LA LIGA DE DEPORTISTAS CON DISCAPACIDAD VISUAL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</si>
  <si>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1 AL COVENIO 364 DE 2024 CUYO OBJETO ES: CONVENIO CON LA LIGA DE LIMITACIÓN MENTAL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</si>
  <si>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1 AL COVENIO 346 DE 2024 CUYO OBJETO ES: CONVENIO CON LA LIGA DEPORTIVA DE PERSONAS SORDAS DE ANTIOQUIA LISANT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</si>
  <si>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1 AL COVENIO 380 DE 2024 CUYO OBJETO ES: CONVENIO CON LA LIGA ANTIOQUEÑA DE LUCHA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</si>
  <si>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1 AL COVENIO 379 DE 2024 CUYO OBJETO ES: CONVENIO CON LA LIGA DE BOXEO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</si>
  <si>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CICLISMO DE ANTIOQUIA  PARA APOYAR LA PREPARACIÓN DE LOS ATLETAS QUE CONFORMAN LA SELECCIÓN ANTIOQUIA EN LA PARTICIPACIÓN DE LOS I JUEGOS DEPORTIVOS NACIONALES JUVENILES, EJE CAFETERO 2024, SECTOR CONVENCIONAL Y PARALÍMPICO.</t>
  </si>
  <si>
    <t>CONVENIO CON LA LIGA DE ORIENTACIÓN DE ANTIOQUIA PARA APOYAR EL FORTALECIMIENTO DEL DEPORTE ASOCIADO EN EL DEPARTAMENTO.</t>
  </si>
  <si>
    <t>DISPONIBLE ORGANISMOS DEPORTIVOS</t>
  </si>
  <si>
    <t>ADICIÓN 1 AL CONVENIO 431 DE 2024 CUYO OBJETO ES: CONVENIO CON LA LIGA ANTIOQUEÑA DE BALONMANO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</si>
  <si>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1 AL CONVENIO 378 DE 2024 CUYO OBJETO ES: CONVENIO CON LA  LIGA DE PATINAJE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</si>
  <si>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 xml:space="preserve">ADICIÓN 1 AL CONVENIO 589 DE 2024 CUYO OBJETO ES: CONVENIO CON LA LIGA ANTIOQUEÑA DE VOLEIBOL PARA CONTRIBUIR AL DESARROLLO DEL PROGRAMA DE ALTOS LOGROS Y LIDERAZGO DEPORTIVO PARA LA PREPARACIÓN Y PARTICIPACIÓN EN COMPETENCIAS DEPORTIVAS DE CARÁCTER NACIONAL E INTERNACIONAL DE LOS DEPORTISTAS QUE CONFORMAN LA SELECCIÓN ANTIOQUIA PARA JUEGOS NACIONALES. </t>
  </si>
  <si>
    <t>MODIFICACIÓN</t>
  </si>
  <si>
    <t>ADICIÓN 1 AL CONVENIO 600 DE 2024 CUYO OBJETO ES: CONVENIO CON LA LIGA DE SOFTBOL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</si>
  <si>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52010801-Gestionar la operación administrativa para el apoyo a la elaboracion, ejecucion y liquidacion de convenio o contratos que se suscriban con las ligas u organizaciones deportivas</t>
  </si>
  <si>
    <t>2.43.4301.02.0-205400.2.3.2.02.02.009.49.</t>
  </si>
  <si>
    <t>CONVENIO CON LA LIGA ANTIOQUEÑA DE SQUASH PARA CONTRIBUIR AL  FORTALECIMIENTO, PREPARACIÓN Y PARTICIPACIÓN  EN COMPETENCIAS DEPORTIVAS DE CARÁCTER NACIONAL E INTERNACIONAL DE LOS ATLETAS QUE CONFORMAN LA SELECCIÓN  ANTIOQUIA PARA JUEGOS NACIONALES.</t>
  </si>
  <si>
    <t>ADICIÓN 1 AL CONVENIO 366 DE 2024 CUYO OBJETO ES:  CONVENIO CON LA LIGA DE NATACIÓN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</si>
  <si>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 xml:space="preserve">ADICIÓN 1 AL CONVENIO 449 DE 2024 CUYO OBJETO ES: CONVENIO CON LA LIGA ANTIOQUEÑA DE ARQUERÍA PARA CONTRIBUIR A LA PREPARACIÓN DE LOS ATLETAS QUE CONFORMAN LA SELECCIÓN ANTIOQUIA PARA LA PARTICIPACIÓN EN LOS JUEGOS NACIONALES DEPORTIVOS JUVENILES 2024. </t>
  </si>
  <si>
    <t>ADICIÓN 1 AL CONTRATO 245 DE 2024 CUYO OBJETO ES: PRESTACIÓN DE SERVICIOS DE UN ENTRENADOR ASISTENTE PARA LA REALIZACIÓN DEL PROCESO DE SELECCIÓN, ENTRENAMIENTO DEPORTIVO Y PARTICIPACIÓN EN COMPETENCIAS EN LA LIGA ANTIOQUEÑA DE TAEKWONDO,   MODALIDAD COMBATE, EN CATEGORÍAS DE JUEGOS NACIONALES.</t>
  </si>
  <si>
    <t>ADICIÓN 1 AL CONTRATO 246 DE 2024 CUYO OBJETO ES: PRESTACIÓN DE SERVICIOS DE UN ENTRENADOR PRINCIPAL PARA LA REALIZACIÓN DEL PROCESO DE SELECCIÓN, ENTRENAMIENTO DEPORTIVO Y PARTICIPACIÓN EN COMPETENCIAS DE ESQUÍ NÁUTICO, EN DEPORTES Y CATEGORÍAS DE JUEGOS NACIONALES.</t>
  </si>
  <si>
    <t>ADICIÓN 1 AL CONTRATO 247 DE 2024 CUYO OBJETO ES: PRESTACIÓN DE SERVICIOS DE UN ENTRENADOR ASISTENTE PARA LA REALIZACIÓN DEL PROCESO DE SELECCIÓN, ENTRENAMIENTO DEPORTIVO Y PARTICIPACIÓN EN COMPETENCIAS EN LA LIGA DE AJEDREZ DE ANTIOQUIA, EN CATEGORÍAS DE JUEGOS NACIONALES.</t>
  </si>
  <si>
    <t>ADICIÓN 1 AL CONTRATO 249 DE 2024 CUYO OBJETO ES: PRESTACIÓN DE SERVICIOS DE UN ENTRENADOR PRINCIPAL PARA LA REALIZACIÓN DEL PROCESO SELECCIÓN, ENTRENAMIENTO DEPORTIVO Y PARTICIPACIÓN EN COMPETENCIAS EN LA LIGA DE CANOTAJE DE ANTIOQUIA, EN LA MODALIDAD CANOA, EN CATEGORÍAS DE JUEGOS NACIONALES.</t>
  </si>
  <si>
    <t>ADICIÓN 1 AL CONTRATO 252 DE 2024 CUYO OBJETO ES: PRESTACIÓN DE SERVICIOS DE UN ENTRENADOR PRINCIPAL PARA LA REALIZACIÓN DEL PROCESO SELECCIÓN, ENTRENAMIENTO DEPORTIVO Y PARTICIPACIÓN EN COMPETENCIAS EN LA LIGA DE CANOTAJE DE ANTIOQUIA, EN LA MODALIDAD KAYAK, EN CATEGORÍAS DE JUEGOS NACIONALES.</t>
  </si>
  <si>
    <t>ADICIÓN 1 AL CONTRATO 253 DE 2024 CUYO OBJETO ES: PRESTACIÓN DE SERVICIOS DE UN ENTRENADOR PRINCIPAL PARA LA REALIZACIÓN DEL PROCESO DE SELECCIÓN, ENTRENAMIENTO DEPORTIVO Y PARTICIPACIÓN EN COMPETENCIAS DE LOS ATLETAS DE PARA-NATACIÓN CARRERAS  CON  DISCAPACIDAD FÍSICA, EN CATEGORÍAS DE JUEGOS PARANACIONALES.</t>
  </si>
  <si>
    <t>ADICIÓN 1 AL CONTRATO 254 DE 2024 CUYO OBJETO ES: PRESTACIÓN DE SERVICIOS DE UN ENTRENADOR PRINCIPAL PARA LA REALIZACIÓN DEL PROCESO DE SELECCIÓN, ENTRENAMIENTO DEPORTIVO Y PARTICIPACIÓN EN COMPETENCIAS EN LA LIGA DE DEPORTISTAS CON DISCAPACIDAD VISUAL DE ANTIOQUIA -DIVISA,  EN LA MODALIDAD GOALLBALL, EN CATEGORÍAS DE JUEGOS PARANACIONALES.</t>
  </si>
  <si>
    <t>ADICIÓN 1 AL CONTRATO 255 DE 2024 CUYO OBJETO ES: PRESTACIÓN DE SERVICIOS DE UN ENTRENADOR PRINCIPAL PARA LA REALIZACIÓN DEL PROCESO DE SELECCIÓN, ENTRENAMIENTO DEPORTIVO Y PARTICIPACIÓN EN COMPETENCIAS EN LA LIGA DE LIMITACIÓN MENTAL DE ANTIOQUIA - LIDIMANT,  EN LA MODALIDAD PARA-FÚTBOL SALA, EN CATEGORÍAS DE JUEGOS PARANACIONALES.</t>
  </si>
  <si>
    <t>ADICIÓN 1 AL CONTRATO 256 DE 2024 CUYO OBJETO ES: PRESTACIÓN DE SERVICIOS DE UN ENTRENADOR PRINCIPAL PARA LA REALIZACIÓN DEL PROCESO DE SELECCIÓN, ENTRENAMIENTO DEPORTIVO Y PARTICIPACIÓN EN COMPETENCIAS EN LA LIGA DE DEPORTISTAS CON DISCAPACIDAD VISUAL DE ANTIOQUIA -DIVISA,  EN LA MODALIDAD PARA-JUDO, EN CATEGORÍAS DE JUEGOS PARANACIONALES.</t>
  </si>
  <si>
    <t>ADICIÓN 1 AL CONTRATO 257 DE 2024 CUYO OBJETO ES: PRESTACIÓN DE SERVICIOS DE UN ENTRENADOR ASISTENTE PARA LA REALIZACIÓN DEL PROCESO DE SELECCIÓN, ENTRENAMIENTO DEPORTIVO Y PARTICIPACIÓN EN COMPETENCIAS EN LA LIGA DE DEPORTISTAS CON DISCAPACIDAD VISUAL DE ANTIOQUIA -DIVISA,  EN LA MODALIDAD PARA-JUDO, EN CATEGORÍAS DE JUEGOS PARANACIONALES.</t>
  </si>
  <si>
    <t>ADICIÓN 1 AL CONTRATO 258 DE 2024 CUYO OBJETO ES: PRESTACIÓN DE SERVICIOS DE UN INTÉRPRETE EN LENGUA DE SEÑAS PARA APOYAR A LOS PARA-ATLETAS DE LA LIGA DEPORTIVA DE PERSONAS SORDAS DE ANTIOQUIA LISANT, EN LOS ENTRENAMIENTOS, LAS COMPETENCIAS Y ACOMPAÑAMIENTO EN EVENTOS PROPIOS DE LOS DEPORTISTAS.</t>
  </si>
  <si>
    <t>ADICIÓN 1 AL CONTRATO 259 DE 2024 CUYO OBJETO ES: PRESTACIÓN DE SERVICIOS DE UN ENTRENADOR PRINCIPAL PARA LA REALIZACIÓN DEL PROCESO DE SELECCIÓN, ENTRENAMIENTO DEPORTIVO Y PARTICIPACIÓN EN COMPETENCIAS DE LOS ATLETAS DE  PARA-POWERLIFTING CON  DISCAPACIDAD FÍSICA, EN CATEGORÍAS DE JUEGOS PARANACIONALES.</t>
  </si>
  <si>
    <t xml:space="preserve">ADICIÓN 1 AL CONTRATO 260 DE 2024 CUYO OBJETO ES: PRESTACIÓN DE SERVICIOS DE UN ENTRENADOR PRINCIPAL PARA LA REALIZACIÓN Y PREPARACIÓN DE LOS ATLETAS DE LAS CATEGORÍAS JUNIOR, PREJUVENILES Y JUVENILES DE LA LIGA DE PATINAJE DE ANTIOQUIA EN LA MODALIDAD VELOCIDAD.  </t>
  </si>
  <si>
    <t>ADICIÓN 1 AL CONTRATO 261 DE 2024 CUYO OBJETO ES: PRESTACIÓN DE SERVICIOS DE UN ENTRENADOR PRINCIPAL PARA LA REALIZACIÓN DEL PROCESO DE SELECCIÓN, ENTRENAMIENTO DEPORTIVO Y PARTICIPACIÓN EN COMPETENCIAS EN LA LIGA DE ATLETISMO DE ANTIOQUIA,  EN LAS MODALIDADES DE LANZAMIENTOS EN LAS CATEGORÍAS JUNIOR, JUVENILES Y MAYORES DE JUEGOS NACIONALES.</t>
  </si>
  <si>
    <t>ADICIÓN 1 AL CONTRATO 262 DE 2024 CUYO OBJETO ES: PRESTACIÓN DE SERVICIOS DE UN ENTRENADOR ASISTENTE PARA LA REALIZACIÓN DEL PROCESO DE SELECCIÓN, ENTRENAMIENTO DEPORTIVO Y PARTICIPACIÓN EN COMPETENCIAS EN LA LIGA DE SOFTBOL DE ANTIOQUIA, EN LA RAMA FEMENINA EN CATEGORÍAS DE JUEGOS NACIONALES.</t>
  </si>
  <si>
    <t>ADICIÓN 1 AL CONTRATO 263 DE 2024 CUYO OBJETO ES: PRESTACIÓN DE SERVICIOS DE UN ENTRENADOR ASISTENTE PARA LA REALIZACIÓN DEL PROCESO DE SELECCIÓN, ENTRENAMIENTO DEPORTIVO Y PARTICIPACIÓN EN COMPETENCIAS EN LA LIGA DE SOFTBOL DE ANTIOQUIA, EN LA RAMA MASCULINA EN CATEGORÍAS DE JUEGOS NACIONALES.</t>
  </si>
  <si>
    <t>ADICIÓN 1 AL CONTRATO 264 DE 2024 CUYO OBJETO ES: PRESTACIÓN DE SERVICIOS DE UN ENTRENADOR ASISTENTE PARA LA REALIZACIÓN DEL PROCESO DE SELECCIÓN, RESERVA DEPORTIVA,  ENTRENAMIENTO Y PARTICIPACIÓN EN COMPETENCIAS EN LA LIGA DE TENIS DE CAMPO DE ANTIOQUIA, EN CATEGORÍAS DE JUEGOS NACIONALES.</t>
  </si>
  <si>
    <t>ADICIÓN 1 AL CONTRATO 265 DE 2024 CUYO OBJETO ES: PRESTACIÓN DE SERVICIOS DE UN ENTRENADOR PRINCIPAL PARA LA REALIZACIÓN DEL PROCESO DE SELECCIÓN, ENTRENAMIENTO DEPORTIVO Y PARTICIPACIÓN EN COMPETENCIAS EN LA LIGA ANTIOQUEÑA DE BOLO, EN LAS CATEGORÍAS JUVENILES Y MAYORES DE JUEGOS NACIONALES.</t>
  </si>
  <si>
    <t>ADICIÓN 1 AL CONTRATO 266 DE 2024 CUYO OBJETO ES: PRESTACIÓN DE SERVICIOS DE UN ENTRENADOR PRINCIPAL PARA LA REALIZACIÓN DEL PROCESO DE SELECCIÓN, ENTRENAMIENTO DEPORTIVO Y PARTICIPACIÓN EN COMPETENCIAS EN LA LIGA ANTIOQUEÑA DE  KARATE -DO,   MODALIDAD COMBATE CON  JUVENILES Y MAYORES, EN CATEGORÍAS DE JUEGOS NACIONALES.</t>
  </si>
  <si>
    <t>ADICIÓN 1 AL CONTRATO 268 DE 2024 CUYO OBJETO ES: PRESTACIÓN DE SERVICIOS DE UN ENTRENADOR ASISTENTE  PARA LA REALIZACIÓN DEL PROCESO SELECCIÓN, ENTRENAMIENTO DEPORTIVO Y PARTICIPACIÓN EN COMPETENCIAS DE LA LIGA ANTIOQUEÑA DE JUDO, EN LA MODALIDAD COMBATE, EN CATEGORÍAS DE JUEGOS NACIONALES.</t>
  </si>
  <si>
    <t>ADICIÓN 1 AL CONTRATO 269 DE 2024 CUYO OBJETO ES: PRESTACIÓN DE SERVICIOS DE UN ENTRENADOR PRINCIPAL PARA LA REALIZACIÓN DEL PROCESO SELECCIÓN, ENTRENAMIENTO DEPORTIVO Y PARTICIPACIÓN EN COMPETENCIAS DE LA LIGA ANTIOQUEÑA DE JUDO, EN LA MODALIDAD KATAS, EN CATEGORÍAS DE JUEGOS NACIONALES.</t>
  </si>
  <si>
    <t xml:space="preserve">ADICIÓN 1 AL CONTRATO 270 DE 2024 CUYO OBJETO ES: PRESTACIÓN DE SERVICIOS DE UN ENTRENADOR DE INICIACIÓN Y DESARROLLO DEPORTIVO EN LA SUBREGIÓN DE URABÁ PARA LA CONSECUCIÓN DE NUEVOS TALENTOS PARA LA  LIGA ANTIOQUEÑA DE RUGBY FÚTBOL, EN CATEGORÍAS DE JUEGOS NACIONALES.
</t>
  </si>
  <si>
    <t xml:space="preserve">ADICIÓN 1 AL CONTRATO 272 DE 2024 CUYO OBJETO ES: PRESTACIÓN DE SERVICIOS DE UN ENTRENADOR DE INICIACIÓN Y DESARROLLO DEPORTIVO PARA LA CONSECUCIÓN DE NUEVOS TALENTOS PARA LA LIGA ANTIOQUEÑA DE ESGRIMA, EN CATEGORÍAS DE JUEGOS NACIONALES.
</t>
  </si>
  <si>
    <t xml:space="preserve">ADICIÓN 1 AL CONTRATO 273 DE 2024 CUYO OBJETO ES: PRESTACIÓN DE SERVICIOS DE UN ENTRENADOR DE INICIACIÓN Y DESARROLLO DEPORTIVO PARA LA CONSECUCIÓN DE NUEVOS TALENTOS PARA LA LIGA DE TENIS DE CAMPO DE ANTIOQUIA, EN CATEGORÍAS DE JUEGOS NACIONALES.
</t>
  </si>
  <si>
    <t>ADICIÓN 1 AL CONTRATO 251 DE 2024 CUYO OBJETO ES: PRESTACIÓN DE SERVICIOS DE UN ENTRENADOR PARA LA REALIZACIÓN DEL PROCESO DE PREPARACIÓN FÍSICA Y CONDICIONAL EN DEPORTES DE ATLETISMO Y BALONMANO EN LAS MODALIDADES Y CATEGORÍAS DE JUEGOS NACIONALES.</t>
  </si>
  <si>
    <t>ADICIÓN 1 AL CONTRATO 267 DE 2024 CUYO OBJETO ES: PRESTACIÓN DE SERVICIOS DE UN ENTRENADOR PARA LA REALIZACIÓN DEL PROCESO DE PREPARACIÓN FÍSICA Y CONDICIONAL EN DEPORTES DE ATLETISMO Y BALONMANO EN LAS MODALIDADES Y CATEGORÍAS DE JUEGOS NACIONALES.</t>
  </si>
  <si>
    <t xml:space="preserve">PRESTACIÓN DE SERVICIOS DE UN ENTRENADOR DE FÚTBOL  PARA INDEPORTES ANTIOQUIA </t>
  </si>
  <si>
    <t>52010802-Gestionar la operación administrativa y técnica para la preparacion y participacion de atletas y para atletas</t>
  </si>
  <si>
    <t>ADICIÓN 1 AL CONTRATO 294 DE 2024 CUYO OBJETO ES:  PRESTACIÓN DE SERVICIOS COMO PROFESIONAL EN DEPORTES PARA INDEPORTES ANTIOQUIA</t>
  </si>
  <si>
    <t>ADICIÓN 1 AL CONTRATO 237 DE 2024 CUYO OBJETO ES: PRESTACIÓN DE SERVICIOS DE APOYO A LA GESTIÓN EN LOS PROCESOS ADMINISTRATIVOS DE LA SUBGERENCIA DE DEPORTE ASOCIADO Y ALTOS LOGROS, NECESARIOS PARA ACOMPAÑAR LA OPERACIÓN Y DESARROLLO DE LAS ACTIVIDADES EN LAS INSTALACIONES DEPORTIVAS DE LA VILLA NÁUTICA EN GUATAPÉ.</t>
  </si>
  <si>
    <t>ADICIÓN 1 AL CONTRATO 234 DE 2024 CUYO OBJETO ES: PRESTACIÓN DE SERVICIOS COMO APOYO A LA GESTIÓN ADMINISTRATIVA Y FINANCIERA DE LOS PROYECTOS DE LA SUBGERENCIA DE DEPORTE ASOCIADO Y ALTOS LOGROS.</t>
  </si>
  <si>
    <t>ADICIÓN 1 AL CONTRATO 293 DE 2024 CUYO OBJETO ES: PRESTACIÓN DE SERVICIOS PROFESIONALES COMO ABOGADO DE INDEPORTES ANTIOQUIA</t>
  </si>
  <si>
    <t>ADICIÓN AL CONVENIO 450 DE 2024 CUYO OBJETO ES:  CONVENIO CON LA LIGA ANTIOQUEÑA DE TAEKWONDO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</si>
  <si>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AL CONVENIO 327 DE 2024 CUYO OBJETO ES:  CONVENIO CON LA LIGA ANTIOQUEÑA DE ARQUERÍA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</si>
  <si>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AL CONVENIO 395 DE 2024 CUYO OBJETO ES: CONVENIO CON LA  LIGA ANTIOQUEÑA DE GIMNASIA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</si>
  <si>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AL CONVENIO 627 DE 2024 CUYO OBJETO ES: CONVENIO CON LA LIGA ANTIOQUEÑA DE GIMNASIA PARA CONTRIBUIR A LA PREPARACIÓN DE LOS ATLETAS QUE CONFORMAN LA SELECCIÓN ANTIOQUIA PARA LA PARTICIPACIÓN EN LOS JUEGOS NACIONALES DEPORTIVOS JUVENILES 2024.</t>
  </si>
  <si>
    <t>ADICIÓN AL CONVENIO 360 DE 2024 CUYO OBJETO ES:  CONVENIO CON LA LIGA ANTIOQUEÑA DE RUGBY FÚTBOL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</si>
  <si>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AL CONVENIO 393 DE 2024 CUYO OBJETO ES: CONVENIO CON LA LIGA DE CICLISMO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</si>
  <si>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AL CONVENIO 452 DE 2024 CUYO OBJETO ES: CONVENIO CON LA LIGA ANTIOQUEÑA DE LEVANTAMIENTO DE PESAS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</si>
  <si>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BALONCESTO PARA APOYAR LA REALIZACIÓN DEL EVENTO “FINAL FOUR DE LA WBLA”, CONTRIBUYENDO AL POSICIONAMIENTO DEL DEPORTE ANTIOQUEÑO A NIVEL NACIONAL E INTERNACIONAL.</t>
  </si>
  <si>
    <t>2.43.4301.02.0-205400.2.3.2.02.02.008.33.</t>
  </si>
  <si>
    <t>2.43.4302.85.0-101024.2.3.2.02.02.006.16.</t>
  </si>
  <si>
    <t>1034A</t>
  </si>
  <si>
    <t>AUNAR ESFUERZOS TÉCNICOS, ADMINISTRATIVOS Y FINANCIEROS PARA CONTRIBUIR AL MEJORAMIENTO DE LA SEGURIDAD ALIMENTARIA Y NUTRICIONAL MEDIANTE EL APORTE DE LOS INSUMOS, LA PREPARACIÓN Y LA DISTRIBUCIÓN DE LA ALIMENTACIÓN REQUERIDA POR LOS ATLETAS RESIDENTES Y NO RESIDENTES DE LA VILLA DEPORTIVA ANTONIO ROLDÁN BETANCUR DE INDEPORTES ANTIOQUIA.
LOTE 1 - INSUMOS REQUERIDOS PARA LA PREPARACIÓN DE LA ALIMENTACIÓN.</t>
  </si>
  <si>
    <t>PROCESO COMPETITIVO</t>
  </si>
  <si>
    <t>1034B</t>
  </si>
  <si>
    <t>AUNAR ESFUERZOS TÉCNICOS, ADMINISTRATIVOS Y FINANCIEROS PARA CONTRIBUIR AL MEJORAMIENTO DE LA SEGURIDAD ALIMENTARIA Y NUTRICIONAL MEDIANTE EL APORTE DE LOS INSUMOS, LA PREPARACIÓN Y LA DISTRIBUCIÓN DE LA ALIMENTACIÓN REQUERIDA POR LOS ATLETAS RESIDENTES Y NO RESIDENTES DE LA VILLA DEPORTIVA ANTONIO ROLDÁN BETANCUR DE INDEPORTES ANTIOQUIA.
LOTE 2 – PREPARACIÓN Y DISTRIBUCIÓN DE LA ALIMENTACIÓN</t>
  </si>
  <si>
    <t>52010803-Otorgar estimulos de educacion a los atletas y para atletas y/o entrenadores</t>
  </si>
  <si>
    <t xml:space="preserve">VINCULACIÓN DEL INSTITUTO PARA EL DESARROLLO DE
ANTIOQUIA -IDEA- CON LAS ACTIVIDADES DEPORTIVAS QUE REALICE EL INSTITUTO DEPARTAMENTAL DE DEPORTES ANTIOQUIA -INDEPORTES- ENMARCADAS EN RECONOCIMIENTOS POR LOGROS OBTENIDOS POR LOS DEPORTISTAS (RECURSO UTILIZADO PARA APOYO TIPO ECONÓMICO DE LOS ATLETAS) </t>
  </si>
  <si>
    <t>2.43.4302.85.0-492015.2.3.3.08.06.</t>
  </si>
  <si>
    <t>CONVENIO INTERADMINISTRATIVO DE COOPERACION PARA AUNAR ESFUERZOS Y OTROGAR EL RECONOCIMIENTO DE UNA VIVIENDA TIPO VIS A LA MEDALLISTA OLIMPICA DE LOS JUEGOS OLIMPICOS DE PARIS 2024.</t>
  </si>
  <si>
    <t>2.43.4302.85.0-492148.2.3.3.08.06.</t>
  </si>
  <si>
    <t>52010803-Otorgar estímulos a los atletas y para-atletas para la participación en eventos</t>
  </si>
  <si>
    <t xml:space="preserve">APOYO A LOS ATLETAS PARA LA PARTICIPACIÓN EN EVENTOS POR RESOLUCIÓN </t>
  </si>
  <si>
    <t xml:space="preserve">78111800;
80111600;
90101600;
53102900;
49221500;
80111500;
90141600;
90111603;
50192100;
50202308;
82151704;
90101603;
50202301;
50202308;
50201708;
49101602;
80111620;
82131604;
80141902;
90121702;
82101600;
90121501;
82151703;
49101704;
25101703;
53131622;
44121804;
44121804
</t>
  </si>
  <si>
    <t>CONTRATO INTERADMINISTRATIVO DE MANDATO SIN REPRESENTACIÓN PARA LA OPERACIÓN LOGÍSTICA, Y EL DESARROLLO DE LAS NECESIDADES TÉCNICAS Y OPERATIVAS DE LOS DIFERENTES PROGRAMAS Y ACTIVIDADES DE LA SUBGERENCIA DE DEPORTE ASOCIADO Y ALTOS LOGROS.</t>
  </si>
  <si>
    <t>2.43.4302.85.0-205128.2.3.3.08.06.</t>
  </si>
  <si>
    <t>2.43.4302.85.0-205400.2.3.2.02.02.009.56.</t>
  </si>
  <si>
    <t>2.43.4302.85.4-205400.2.3.3.08.06.</t>
  </si>
  <si>
    <t>2.43.4302.85.4-101124.2.3.2.02.02.009.54.</t>
  </si>
  <si>
    <t xml:space="preserve">DISPONIBLE APOYO ALIMENTACIÓN </t>
  </si>
  <si>
    <t xml:space="preserve">52010803-Otorgar estimulos de aseguramiento a los atletas y para atletas </t>
  </si>
  <si>
    <t xml:space="preserve">DISPONIBLE PÓLIZA </t>
  </si>
  <si>
    <t>2.43.4302.85.4-101124.2.3.2.02.02.007.02.</t>
  </si>
  <si>
    <t>ADICIÓN AL CONTRATO 806 DE 2023 CUYO OBJETO ES: CONTRATAR LA ADQUISICIÓN DE LA PÓLIZA DE ACCIDENTES PERSONALES REQUERIDA PARA AMPARAR Y PROTEGER LA INTEGRIDAD FÍSICA DE LOS ATLETAS Y PARA-ATLETAS DE ALTO RENDIMIENTO DE LAS DIFERENTES DISCIPLINAS, VINCULADOS A LOS ORGANISMOS DEPORTIVOS QUE REPRESENTAN AL DEPARTAMENTO DE ANTIOQUIA Y AL PAÍS EN LOS EVENTOS DE CARÁCTER NACIONAL E INTERNACIONAL</t>
  </si>
  <si>
    <t>CONVENIO CON LA LIGA DE NATACIÓN DE ANTIOQUIA PARA CONTRIBUIR A LA PREPARACIÓN DE LOS ATLETAS QUE CONFORMAN LA SELECCIÓN ANTIOQUIA PARA LA PARTICIPACIÓN EN LOS JUEGOS NACIONALES DEPORTIVOS JUVENILES 2024.</t>
  </si>
  <si>
    <t>CONVENIO CON LA LIGA ANTIOQUEÑA DE GIMNASIA PARA CONTRIBUIR A LA PREPARACIÓN DE LOS ATLETAS QUE CONFORMAN LA SELECCIÓN ANTIOQUIA PARA LA PARTICIPACIÓN EN LOS JUEGOS NACIONALES DEPORTIVOS JUVENILES 2024.</t>
  </si>
  <si>
    <t>CONVENIO CON LA LIGA ANTIOQUEÑA DE TRIATLÓN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</si>
  <si>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BÁDMINTON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</si>
  <si>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ANTIOQUEÑA DE HAPKIDO PARA CONTRIBUIR AL DESARROLLO DEL PROGRAMA DE ALTOS LOGROS Y LIDERAZGO DEPORTIVO PARA LA PREPARACIÓN Y PARTICIPACIÓN EN COMPETENCIAS DEPORTIVAS DE CARÁCTER NACIONAL E INTERNACIONAL DE LOS DEPORTISTAS QUE CONFORMAN LA SELECCIÓN ANTIOQUIA PARA JUEGOS NACIONALES.</t>
  </si>
  <si>
    <t>2.43.4302.85.4-205128.2.3.2.02.02.009.55.</t>
  </si>
  <si>
    <t>VINCULACIÓN DEL INSTITUTO PARA EL DESARROLLO DE ANTIOQUIA -IDEA- CON LAS ACTIVIDADES DEPORTIVAS QUE REALICE EL INSTITUTO DEPARTAMENTAL DE DEPORTES ANTIOQUIA -INDEPORTES- ENMARCADAS EN RECONOCIMIENTOS POR LOGROS OBTENIDOS POR LOS DEPORTISTAS.</t>
  </si>
  <si>
    <t>2.43.4302.03.0-101024.2.3.2.01.01.003.02.08</t>
  </si>
  <si>
    <t>ADICIÓN 1 AL CONVENIO 441 DE 2024 CUYO OBJETO ES: CONVENIO CON LA LIGA ANTIOQUEÑA DE BÉISBOL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</si>
  <si>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1 AL CONVENIO 591 DE 2024 CUYO OBJETO ES: CONVENIO CON LA  LIGA ECUESTRE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</si>
  <si>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1 AL CONVENIO 442 DE 2024 CUYO OBJETO ES: CONVENIO CON LA LIGA DE AJEDREZ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</si>
  <si>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ADICIÓN 1 AL CONVENIO 458 DE 2024 CUYO OBJETO ES: CONVENIO CON LA LIGA DE TENIS DE CAMPO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</si>
  <si>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CONVENIO CON LA LIGA DE TENIS DE CAMPO DE ANTIOQUIA PARA APOYAR LA PARTICIPACIÓN DE LOS DEPORTISTAS ANTIOQUEÑOS EN EL EVENTO TENIS FEST</t>
  </si>
  <si>
    <t>ADICIÓN 1 AL CONVENIO 358 DE 2024 CUYO OBJETO ES: CONVENIO CON LA LIGA DE ATLETISMO DE ANTIOQUIA PARA CONTRIBUIR AL DESARROLLO DEL PROGRAMA DE ALTOS LOGROS Y LIDERAZGO DEPORTIVO PARA LA PREPARACIÓN Y PARTICIPACIÓN EN COMPETENCIAS DEPORTIVAS DE CARÁCTER NACIONAL E INTERNACIONAL DE LOS DEPORTISTAS QUE CONFORMAN LA SELECCIÓN ANTIOQUIA PARA JUEGOS NACIONALES Y PARANACIONALES</t>
  </si>
  <si>
    <t>CONVENIO CON LA LIGA ANTIOQUEÑA DE TAEKWONDO PARA APOYAR LA PARTICIPACIÓN DE LOS DEPORTISTAS ANTIOQUEÑOS EN EL EVENTO XII CAMPEONATO DEPARTAMENTAL DE TAEKWONDO COPA NAVIDAD 2024</t>
  </si>
  <si>
    <t>14120000
141115000
44110000</t>
  </si>
  <si>
    <t>52010803-Realizar dotación de insumos y suministros para actividades psicosociales y  pruebas</t>
  </si>
  <si>
    <t xml:space="preserve">SUMINISTRO DE PRUEBAS PSICOLÓGICAS Y MATERIAL DE INTERVENCIÓN PSICOSOCIAL PARA ATLETAS Y PARATLETAS DE ALTO RENDIMIENTO DEL DEPARTAMENTO DE ANTIOQUIA
</t>
  </si>
  <si>
    <t>2.43.4302.85.0-101024.2.3.2.02.01.003.11.</t>
  </si>
  <si>
    <t xml:space="preserve">DISPONIBLE PARA ESTÍMULOS ECONÓMICOS A LOS ATLETAS Y PARA- ATLETAS </t>
  </si>
  <si>
    <t xml:space="preserve">DISPONIBLE PARA ESTÍMULOS DE ALIMENTACIÓN A LOS ATLETAS Y PARA- ATLETAS </t>
  </si>
  <si>
    <t xml:space="preserve">DISPONIBLE PARA ESTÍMULOS EDUCATIVOS A LOS ATLETAS Y PARA- ATLETAS </t>
  </si>
  <si>
    <t>52010803-Otorgar estimulos a atletas y para atletas por proyeccion, talento, reserva deportiva</t>
  </si>
  <si>
    <t xml:space="preserve">DISPONIBLE PARA ESTÍMULOS ECONÓMICOS A LOS ATLETAS Y PARA- ATLETAS  RESERVA DEPORTIVA </t>
  </si>
  <si>
    <t>1035A</t>
  </si>
  <si>
    <t>"78111800;
80111600;
90101600;
53102900;
49221500;
80111500;
90141600;
90111603;
50192100;
50202308;
82151704;
90101603;
50202301;
50202308;
50201708;
49101602;
80111620;
82131604;
80141902;
90121702;
82101600;
90121501;
82151703;
49101704;
25101703;
53131622;
44121804;
44121804
"</t>
  </si>
  <si>
    <t xml:space="preserve">DISPONIBLE AXULIO DE MARCHA ATLETAS Y PARA-ATLETAS JUEGOS NACIONALES JUVENILES </t>
  </si>
  <si>
    <t xml:space="preserve">56101508;
52121504;
52121500;
52121509;
56101515
</t>
  </si>
  <si>
    <t>ADQUISICIÓN DE DOTACIÓN PARA LAS SEDES DE INDEPORTES ANTIOQUIA.</t>
  </si>
  <si>
    <t>43010901-Realizar interventoría a infraestructura</t>
  </si>
  <si>
    <t>DISPONIBLE INTERVENTORIA</t>
  </si>
  <si>
    <t>43010901-Realizar Interventoría a las obras Parque Metropolitano de Deportes a Motor Tulio Ospina</t>
  </si>
  <si>
    <t xml:space="preserve">DISPONIBLE INTERVENTORIA TULIO OSPINA CENTRAL PARK </t>
  </si>
  <si>
    <t>DISPONIBLE PROYECTO MANTENIMIENTO, ADECUACION, MEJORA DE ESCENARIOS DEPORTIVOS O EQUIPAMIENTOS EN EL DEPARTAMENTO DE ANTIOQUIA</t>
  </si>
  <si>
    <t>4.43.4302.75.0-205128.2.3.2.02.02.008.48.</t>
  </si>
  <si>
    <t>ADECUACIÓN DE INFRAESTRUCTURA DEPORTIVA - COLISEO DEL MUNICIPIO DE SANTO DOMINGO</t>
  </si>
  <si>
    <t>CONVENIO INTERADMINISTRATIVA</t>
  </si>
  <si>
    <t>4.43.4302.75.4-202029.2.3.4.04.</t>
  </si>
  <si>
    <t>ADECUACIÓN DE LA INFRAESTRUCTURA FÍSICA DEL ESCENARIO DEPORTIVO URBANO ETAPA I DEL MUNICIPIO DE SALGAR, ANTIQUIA.</t>
  </si>
  <si>
    <t>4.43.4302.75.0-101024.2.3.4.04.</t>
  </si>
  <si>
    <t>MODIFICACIÓN 2, Y ADICIÓN 1  AL CONTRATO 653 DE 2023 CON OBJETO: AUNAR ESFUERZOS PARA COFINANCIAR LAS OBRAS DE ADECUACIÓN DE LA PISCINA Y EL COLISEO MUNICIPAL EN EL MUNICIPIO DE SAN ANDRÉS DE CUERQUIA, ANTIOQUIA</t>
  </si>
  <si>
    <t xml:space="preserve">ADECUACION DE CUBIERTA EN EL COLISEO DE LA UNIDAD DEPORTIVA DEL MUNICIPIO DE SAN JUAN DE URABÁ ANTIOQUIA </t>
  </si>
  <si>
    <t>4.43.4302.75.0-205128.2.3.4.04.</t>
  </si>
  <si>
    <t>ADECUACIÓN DE LA CANCHA DE FÚTBOL DEL CORREGIMIENTO DE PALOCABILDO EN EL MUNICIPIO DE JERICÓ</t>
  </si>
  <si>
    <t>ADECUACIÓN DEL COLISEO DARLEY PEREZ DEL MUNICIPIO DE SAN PEDRO DE URABÁ</t>
  </si>
  <si>
    <t>4.43.4302.75.0-202029.2.3.4.04.</t>
  </si>
  <si>
    <t>ADECUACIÓN DE LA PISCINA DEL INSTITUTO DE DEPORTES (ZONA SUR) DEL MUNICIPIO DE SABANETA-ANTIOQUIA</t>
  </si>
  <si>
    <t>ADECUACIÓN Y MEJORAMIENTO DEL POLIDEPORTIVO PLAN MAESTRO DEL DEPORTE EN EL MUNICIPIO DE EL SANTUARIO, ANTIOQUIA</t>
  </si>
  <si>
    <t>MANTENIMENTO Y ADECUACIÓN DEL POLIDEPORTIVO DEL MUNICIPIO DE ARMENIA – ANTIOQUIA</t>
  </si>
  <si>
    <t xml:space="preserve">ADECUACIÓN DE LA PLACA POLIDEPORTIVA VEREDA LA MESETA EN EL MUNICIPIO DEL PEÑOL ANTIOQUIA                                  </t>
  </si>
  <si>
    <t xml:space="preserve">ADECUACIÓN DE LA PISTA DE PATINAJE EN EL MUNICIPIO DE EL RETIRO </t>
  </si>
  <si>
    <t xml:space="preserve">ADECUACIÓN DEL ESCENARIO DEPORTIVO RAFAEL ANTONIO LUJAN UBICADO EN BARRIO SAN JUDAS.                                          </t>
  </si>
  <si>
    <t>ADECUACIÓN Y MANTENIMIENTO DEL COLISEO MUNICIPAL FRANCISCO ANTONIO CUARTAS MUÑOZ DEL MUNICIPIO DE TÁMESIS</t>
  </si>
  <si>
    <t>ADECUACIÓN DE LA PLACA POLIDEPORTIVA DE LA VEREDA LOS PINOS DEL MUNICIPIO DE MONTEBELLO - ANTIOQUIA</t>
  </si>
  <si>
    <t xml:space="preserve">MEJORAMIENTO DE INFRAESTRUCTURA DEL COLISEO MUNICIPAL DE SAN RAFAEL ANTIOQUIA </t>
  </si>
  <si>
    <t>ADECUACIÓN DE LA PLACA POLIDEPORTIVA DE LA VEREDA LA QUIEBRA EN EL MUNICIPIO DE ANZÁ, ANTIOQUIA</t>
  </si>
  <si>
    <t xml:space="preserve">ADECUACION Y MANTENIMIENTO DEL COLISEO CUBIERTO DEL CORREGIMIENTO DE SANTA ANA DEL MUNICIPIO DE GRANADA </t>
  </si>
  <si>
    <t>ADECUACIÓN DE LA PLACA POLIDEPORTIVA DE LA VEREDA SANTA BARBARA SECTOR EL PAJONAL DEL MUNICIPIO DE ANGELÓPOLIS-ANTIOQUIA</t>
  </si>
  <si>
    <t>ADECUACIÓN Y MANTENIMIENTO DE LA CANCHA DE FÚTBOL EN LA UNIDAD DEPORTIVA IVÁN VALLEJO DUQUE, ZONA URBANA DEL MUNICIPIO DE YOLOMBÓ - ANTIOQUIA</t>
  </si>
  <si>
    <t xml:space="preserve">MANTENIMIENTO Y ADECUACIÓN DE LA PISCINA PUBLICA MUNICIPIO DE ABRIAQUÍ </t>
  </si>
  <si>
    <t xml:space="preserve">ADECUACIÓN  DE LA CANCHA SINTÉTICA UBICADA EN EL COLISEO MUNCIPAL DE HISPANIA ANTIOQUIA </t>
  </si>
  <si>
    <t xml:space="preserve">ADECUACIÓN DE LA PLACA POLIDEPORTIVA EL RINCÓN DEL MUNICIPIO DE SAN JERÓNIMO </t>
  </si>
  <si>
    <t>MANTENIMIENTO INTEGRAL A LA PLACA POLIDEPORTIVA "LA VERDE" DEL MUNICIPIO DE ENVIGADO</t>
  </si>
  <si>
    <t>ADECUACIÓN DEL COLISEO MUNICIPAL DEL MUNICIPIO DE LIBORINA</t>
  </si>
  <si>
    <t>MANTENIMIENTO DE LA INFRAESTRUCTURA FISICA DEL COLISEO MUNICIPAL CARLOS ALBERTO "EL POLLO GALEANO", UBICADO EN EL MUNICIPIO DE CONCORDIA, ANTIOQUIA</t>
  </si>
  <si>
    <t xml:space="preserve">MEJORAMIENTO DE LA INFRAESTRUCTURA DEPORTIVA EN EL MUNICIPIO DE TARSO </t>
  </si>
  <si>
    <t xml:space="preserve">MANTENIMEINTO DE LA INFRAESTRUCTURA FÍSICA DEL COLISEO, CENTENARIO DEL MUNICIPIO DE MACEO </t>
  </si>
  <si>
    <t>ADECUACIÓN PLACA POLIDEPORTIVA VEREDA SAN CRISTÓBAL PENÁ EN EL MUNICIPIO DE SABANALARGA</t>
  </si>
  <si>
    <t>ADECUACIÓN DE LA PLACA POLIDEPORTIVA DE LA VEREDA EL PITAL DEL MUNICIPIO DE ARGELIA-ANTIOQUIA</t>
  </si>
  <si>
    <t>ADECUACIONES DE LA PLACA CUBIERTA TIPO A BARRIO EL DEPARTAMENTO . MUNICIPIO DE VEGACHÍ ANTIOQUIA</t>
  </si>
  <si>
    <t xml:space="preserve">ADECUACIÓN DE CANCHA POLIDEPORTIVA CUATRO ESQUINAS "LA LELA" DEL MUNICIPIO DE RIONEGRO ANTIOQUIA </t>
  </si>
  <si>
    <t>MODIFICACIÓN 2 AL CONTRATO NO 882 DE 2023, CUYO OBEJETO ES: REALIZAR INTERVENTORÍA TÉCNICA, AMBIENTAL, ADMINISTRATIVA, FINANCIERA, SOCIAL, JURÍDICA Y EN MATERIA DE SEGURIDAD Y SALUD EN EL TRABAJO, AL CONTRATO DE OBRA PÚBLICA CUYO OBJETO ES LA ADECUACIÓN DE LA CANCHA DE FÚTBOL UBICADA EN EL PREDIO CARRERA 11 NO. 12-153 CON MATRÍCULA NO. 028-13509, DEL CORREGIMIENTO DE PUERTO VENUS DEL MUNICIPIO DE NARIÑO – ANTIOQUIAN/A</t>
  </si>
  <si>
    <t>DISPONIBLE LIBERACIÓN SUBGERENCIA DE ESCENARIOS DEPORTIVOS Y EQUIPAMENTOS 202401020700 DEL 30 DE DICIEMBRE DE 2024</t>
  </si>
  <si>
    <t>4.43.4302.75.0-202029.2.3.2.02.02.005.03.</t>
  </si>
  <si>
    <t>1209A</t>
  </si>
  <si>
    <t>MODIFICACIÓN 2 AL CONTRATO NO 882 DE 2023, CUYO OBEJETO ES: REALIZAR INTERVENTORÍA TÉCNICA, AMBIENTAL, ADMINISTRATIVA, FINANCIERA, SOCIAL, JURÍDICA Y EN MATERIA DE SEGURIDAD Y SALUD EN EL TRABAJO, AL CONTRATO DE OBRA PÚBLICA CUYO OBJETO ES LA ADECUACIÓN DE LA CANCHA DE FÚTBOL UBICADA EN EL PREDIO CARRERA 11 NO. 12-153 CON MATRÍCULA NO. 028-13509, DEL CORREGIMIENTO DE PUERTO VENUS DEL MUNICIPIO DE NARIÑO – ANTIOQUIA</t>
  </si>
  <si>
    <t>CONTRATO INTERADMINISTRATIVO DE MANDATO SIN REPRESENTACIÓN PARA LA INTERVENTORÍA TÉCNICA, ADMINISTRATIVA, SOCIAL, FINANCIERA, AMBIENTAL Y LEGAL PARA LOS CONTRATOS DE OBRA, QUE SE DERIVEN DE LOS CONVENIOS CELEBRADOS ENTRE INDEPORTES ANTIOQUIA Y LOS MUNICIPIOS VIABILIZADOS MEDIANTE LA CONVOCATORIA REALIZADA EN LA VIGENCIA 2024 PARA LA ADECUACIÓN Y MANTENIMIENTO DE ESCENARIOS DEPORTIVOS, EN EL DEPARTAMENTO DE ANTIOQUIA.</t>
  </si>
  <si>
    <t>ADICION Y PRORROGA N°1 AL CONTRATO 301 DE 2024 CUYO OBJETO ES: CONTRATO DE MANDATO PARA LA INTERVENTORÍA TÉCNICA, AMBIENTAL, ADMINISTRATIVA, FINANCIERA, SOCIAL, DE SEGURIDAD EN EL TRABAJO Y LEGAL AL CONTRATO PARA LA CONSTRUCCIÓN DE LA FASE II DE LAS OBRAS DE CICLO INFRAESTRUCTURA CONEXIÓN RIONEGRO - GUARNE, ANTIOQUIA</t>
  </si>
  <si>
    <t>4.43.4302.75.0-205128.2.3.2.02.02.005.04.</t>
  </si>
  <si>
    <t>4.43.4302.75.0-101024.2.3.2.02.01.004.06.</t>
  </si>
  <si>
    <t>52010902-Apoyo a la superversión</t>
  </si>
  <si>
    <t>4.43.4302.75.0-205128.2.3.2.02.02.006.15.</t>
  </si>
  <si>
    <t>ADICIÓN N°2, PRÓRROGA N°1 AL CONTRATO NO. 167 DE 2024 CON OBJETO: PRESTACIÓN DE SERVICIOS PROFESIONALES COMO APOYO A LA GESTIÓN AMBIENTAL DE LOS PROYECTOS DE LA SUBGERENCIA DE ESCENARIOS DEPORTIVOS Y EQUIPAMIENTOS DE INDEPORTES ANTIOQUIA</t>
  </si>
  <si>
    <t>4.43.4302.75.0-101024.2.3.2.02.02.008.46.</t>
  </si>
  <si>
    <t>CONTRATO DE PRESTACIÓN DE SERVICIOS PROFESIONALES COMO ABOGADO PARA INDEPORTES ANTIOQUIA</t>
  </si>
  <si>
    <t>PRESTACIÓN DE SERVICIOS PROFESIONALES COMO INGENIERA AMBIENTAL PARA INDEPORTES ANTIOQUIA</t>
  </si>
  <si>
    <t>4.43.4302.75.0-101024.2.3.2.02.02.006.14.</t>
  </si>
  <si>
    <t xml:space="preserve">DISPONIBLE CONSTRUCCIÓN TULIO OSPINA CENTRAL PARK </t>
  </si>
  <si>
    <t>DISPONIBLE FESTIVALES ESCOLARES</t>
  </si>
  <si>
    <t>6.5</t>
  </si>
  <si>
    <t>DISPONIBLE JUEGOS INTERCOLEGIADOS (TASA PRODEPORTE)</t>
  </si>
  <si>
    <t>DISPONIBLE PS JSE</t>
  </si>
  <si>
    <t>DISPONIBLE EVENTOS RECRACIÓN</t>
  </si>
  <si>
    <t>ADICIÓN Y PRÓRROGA N°1 AL CONTRATO 193 DE 2024 CUYO OBJETO ES: PRESTACIÓN DE SERVICIOS ASISTENCIALES COMO APOYO A LA GESTIÓN PARA LA ACTIVACIÓN EN TERRITORIO DEL PROGRAMA DE RECREACIÓN DE LA SUBGERENCIA DE FOMENTO Y DESARROLLO DEPORTIVO.</t>
  </si>
  <si>
    <t>ADICIÓN Y PRÓRROGA N°1 AL CONTRATO 197 DE 2024 CUYO OBJETO ES: PRESTACIÓN DE SERVICIOS DE APOYO A LA GESTION PARAEL ALISTAMIENTO Y DESARROLLO DE LAS ACTIVIDADES DEL PROGRAMA DE RECREACIÓN EN LOS MUNICIPIOS DEL DEPARTAMENTO DE ANTIOQUIA</t>
  </si>
  <si>
    <t>ADICIÓN Y PRÓRROGA N°1 AL CONTRATO 198 DE 2024 CUYO OBJETO ES: PRESTACIÓN DE SERVICIOS DE APOYO A LA GESTIÓN PARA LA LOGISTICA Y PARTICIPACION EN LA ACTIVACIÓN TERRITORIAL DEL PROGRAMA DE RECREACIÓN DE LA SUBGERENCIA DE FOMENTO Y DESARROLLO DEPORTIVO.</t>
  </si>
  <si>
    <t>52010702-Promover la recreación en Antioquia.</t>
  </si>
  <si>
    <t>ADICIÓN Y PRÓRROGA N°1 AL CONTRATO 279 DE 2024 CUYO OBJETO ES: PRESTACIÓN DE SERVICIOS PROFESIONALES COMO APOYO A LA GESTIÓN PARA LA PROMOCIÓN Y EJECUCIÓN DEL COMPONENTE DE PERSONA MAYOR DEL PROGRAMA DE RECREACIÓN EN EL DEPARTAMENTO DE ANTIOQUIA</t>
  </si>
  <si>
    <t>ADICIÓN Y PRÓRROGA N°1 AL CONTRATO 233 DE 2024 CUYO OBJETO ES: PRESTACIÓN DE SERVICIOS PROFESIONALES COMO APOYO A LA GESTIÓN PARA LA PROMOCIÓN Y EJECUCIÓN DEL COMPONENTE DE DISCAPACIDAD DEL PROGRAMA DE RECREACIÓN EN EL DEPARTAMENTO DE ANTIOQUIA</t>
  </si>
  <si>
    <t>3.43.4301.46.0-101024.2.3.2.02.02.009.17.</t>
  </si>
  <si>
    <t>3.43.4301.73.0-101024.2.3.2.02.02.009.51.</t>
  </si>
  <si>
    <t>CONVENIO INTERADMINISTRATIVO PARA EL APOYO EN EL DESARROLLO DE LOS JUEGOS DEPORTIVOS DEPARTAMENTALES 2024 QUE TENDRÁ COMO SEDE LA SUBREGIÓN DEL NORDESTE Y MAGDALENA MEDIO, ANTIOQUIA</t>
  </si>
  <si>
    <t>CONVENIO INTERADMINISTRATIVO PARA EL APOYO EN EL DESARROLLO DE LOS JUEGOS DEPORTIVOS DEPARTAMENTALES 2024 QUE TENDRÁ COMO SEDE LA SUBREGIÓN DE OCCIDENTE, ANTIOQUIA</t>
  </si>
  <si>
    <t>52010703-Ejecutar Juegos Deportivos Intercolegiados</t>
  </si>
  <si>
    <t>DISPONIBLE LIBERACIÓN SUBGERENCIA DE FOMENTO Y DESARROLLO DEPORTIVO  DEL 31 DE DICIEMBRE DE 2024</t>
  </si>
  <si>
    <t>3.43.4301.73.0-205400.2.3.2.02.02.009.44.</t>
  </si>
  <si>
    <t>81141600; 81141600; 80111600; 90101600; 53102900;49221500;80111500;90141600</t>
  </si>
  <si>
    <t>CONTRATO INTERADMINISTRATIVO DE MANDATO SIN REPRESENTACIÓN PARA LA OPERACIÓN LOGÍSTICA RELACIONADA CON LAS FASES ZONAL REGIONAL Y FINAL NACIONAL DE LOS JUEGOS INTERCOLEGIADOS 2024, EN EL MARCO DEL PROYECTO "FORTALECIMIENTO DE LOS JUEGOS DEPORTIVOS INSTITUCIONALES EN LOS MUNICIPIOS DEL DEPARTAMENTO DE ANTIOQUIA".</t>
  </si>
  <si>
    <t>52010701-Adquirir implementación para actividad física</t>
  </si>
  <si>
    <t>DONACIÓN EQUIPOS DE GIMNASIO AL AIRE LIBRE</t>
  </si>
  <si>
    <t>DONACIÓN</t>
  </si>
  <si>
    <t>3.43.4301.74.0-205128.2.3.2.02.01.003.09.</t>
  </si>
  <si>
    <t>52010701-Adquirir implementación para deporte formativo</t>
  </si>
  <si>
    <t>CONVENIO INTERADMINISTRATIVO PARA EL APOYO EN EL DESARROLLO DE LOS JUEGOS DEPORTIVOS DEPARTAMENTALES 2024 QUE TENDRÁ COMO SEDE LA SUBREGIÓN DEL NORTE Y BAJO CAUCA, ANTIOQUIA</t>
  </si>
  <si>
    <t>CONVENIO INTERADMINISTRATIVO PARA EL APOYO EN EL DESARROLLO DE LOS JUEGOS DEPORTIVOS DEPARTAMENTALES 2024 QUE TENDRÁ COMO SEDE LA SUBREGIÓN DE URABÁ, ANTIOQUIA</t>
  </si>
  <si>
    <t>CONVENIO INTERADMINISTRATIVO PARA EL APOYO EN EL DESARROLLO DE LOS JUEGOS DEPORTIVOS DEPARTAMENTALES 2024 QUE TENDRÁ COMO SEDE LA SUBREGIÓN DEL SUROESTE, ANTIOQUIA</t>
  </si>
  <si>
    <t>CONVENIO INTERADMINISTRATIVO PARA EL APOYO EN EL DESARROLLO DE LOS JUEGOS DEPORTIVOS DEPARTAMENTALES 2024 QUE TENDRÁ COMO SEDE LA SUBREGIÓN DEL ORIENTE, ANTIOQUIA</t>
  </si>
  <si>
    <t>52010705-Gestionar operación técnica y administrativa de la asesoría a entes municipales</t>
  </si>
  <si>
    <t>3.43.4301.10.0-205400.2.3.2.02.02.008.51.</t>
  </si>
  <si>
    <t>ADICIÓN Y PRÓRROGA N°1 AL CONTRATO 178 DE 2024 CUYO OBJETO ES: PRESTACIÓN DE SERVICIOS COMO APOYO PROFESIONAL PARA LA PLANEACIÓN TÉCNICA Y EJECUCIÓN DE PROYECTOS MISIONALES DE ACOMPAÑAMIENTO INSTITUCIONAL DE LA SUBGERENCIA DE FOMENTO Y DESARROLLO DEPORTIVO DE INDEPORTES ANTIOQUIA.</t>
  </si>
  <si>
    <t>ADICIÓN Y PRÓRROGA N°1 AL CONTRATO 274 DE 2024 CUYO OBJETO ES: PRESTACIÓN DE SERVICIOS COMO APOYO A LA GESTIÓN PARA LA PARAMETRIZACIÓN Y SISTEMATIZACIÓN DE LA INFORMACIÓN PRODUCTO DEL ACOMPAÑAMIENTO INSTITUCIONAL DE LA SUBGERENCIA DE FOMENTO Y DESARROLLO DEPORTIVO..</t>
  </si>
  <si>
    <t>52010702-Promover el deporte formativo en Antioquia.</t>
  </si>
  <si>
    <t>ADICIÓN Y PRÓRROGA N°1 AL CONTRATO 185 DE 2024 CUYO OBJETO ES: PRESTACIÓN DE SERVICIOS PROFESIONALES COMO APOYO A LA GESTIÓN PARA LA PROMOCIÓN Y EJECUCIÓN DEL PROGRAMA DE ESCUELAS DE DEPORTE FORMATIVO EN LAS SUBREGIONES DEL DEPARTAMENTO DE ANTIOQUIA, ENFATIZANDO EN LA PLANEACIÓN DEL ENTRENAMIENTO DE LA FUERZA EN EDADES TEMPRANAS.</t>
  </si>
  <si>
    <t>ADICIÓN Y PRÓRROGA N°1 AL CONTRATO 190 DE 2024 CUYO OBJETO ES: PRESTACIÓN DE SERVICIOS PROFESIONALES COMO APOYO A LA GESTIÓN PARA LA PROMOCIÓN Y EJECUCIÓN DEL PROGRAMA DE ESCUELAS DE DEPORTE FORMATIVO EN LAS  SUBREGIONES DEL DEPARTAMENTO DE ANTIOQUIA, ENFATIZANDO EN LA PLANEACIÓN DEL ENTRENAMIENTO DEPORTIVO EN EDADES TEMPRANAS.</t>
  </si>
  <si>
    <t>52010704-Realizar capacitaciones virtuales y presenciales</t>
  </si>
  <si>
    <t>CONVENIO INTERADMINISTRATIVO PARA LA PARTICIPACIÓN EN EXPOMOTRICIDAD 2024</t>
  </si>
  <si>
    <t>3.43.4301.72.0-205128.2.3.2.02.02.009.47.</t>
  </si>
  <si>
    <t>ADICIÓN Y PRÓRROGA N°1 AL CONTRATO 302 DE 2024 CUYO OBJETO ES: PRESTACIÓN DE SERVICIOS PROFESIONALES PARA APOYAR LOS REQUERIMIENTOS DE GESTION ADMINISTRATIVA Y FINANCIERA DE LA SUBGERENCIA DE FOMENTO Y DESARROLLO DEPORTIVO</t>
  </si>
  <si>
    <t>52010702-Gestionar operación técnica y administrativa de la oferta institucional.</t>
  </si>
  <si>
    <t>3.43.4301.01.0-101024.2.3.2.02.02.008.52.</t>
  </si>
  <si>
    <t>52010704-Gestionar la operación técnica y administrativa de las capacitaciones</t>
  </si>
  <si>
    <t>3.43.4301.72.0-205128.2.3.2.02.02.008.45.</t>
  </si>
  <si>
    <t>52010703-Gestionar operación técnica y administrativa de los Juegos deportivos Institucionales.</t>
  </si>
  <si>
    <t>3.43.4301.73.0-205128.2.3.2.02.02.008.44.</t>
  </si>
  <si>
    <t>52010702-Realizar encuentros de articulación institucional</t>
  </si>
  <si>
    <t>ADICIÓN Y PRÓRROGA N°1 AL CONTRATO 351 DE 2024 CUYO OBJETO ES: REALIZAR LA LOGÍSTICA Y LA ORGANIZACIÓN DE LOS ENCUENTROS SUBREGIONALES DRAF (DEPORTE, RECREACIÓN Y ACTIVIDAD FÍSICA) Y EL ENCUENTRO DEPARTAMENTAL INTERSECTORIAL DE DEPORTE, SALUD Y EDUCACIÓN.</t>
  </si>
  <si>
    <t>3.43.4301.01.0-205128.2.3.2.02.02.009.35.</t>
  </si>
  <si>
    <t>DISPONIBLE DEPORTE FORMATIVO</t>
  </si>
  <si>
    <t>DISPONIBLE PS DEPORTE FORMATIVO</t>
  </si>
  <si>
    <t>DISPONIBLE LIBERACIÓN SUBGERENCIA DE FOMENTO 202401019937 DEL 18 DE DICIEMBRE DE 2024</t>
  </si>
  <si>
    <t>MES</t>
  </si>
  <si>
    <t>DISPONIBLE PS TRANSVERSALES DEPORTE FORMATIVO</t>
  </si>
  <si>
    <t>ADICIÓN N°1 AL CONTRATO 446 DE 2024 CUYO OBJETO ES: PRESTACIÓN DE SERVICIOS PARA CAPACITACIONES EN ADMINISTRACIÓN, MÁRKETING, GESTIÓN Y PLANIFICACIÓN DEPORTIVA</t>
  </si>
  <si>
    <t>PRESTACIÓN DE SERVICIOS PROFESIONALES Y DE APOYO  A  LA GESTIÓN - PERSONA JURÍDICA</t>
  </si>
  <si>
    <t>PRESTACIÓN DE SERVICIOS DE CAPACITACIÓN PARA EL FORTALECIMIENTO DE LAS CAPACIDADES Y HABILIDADES DE LOS ACTORES DEL DEPORTE EN EL DEPARTAMENTO DE ANTIOQUIA</t>
  </si>
  <si>
    <t>PRESTACIÓN DE SERVICIOS Y APOYO A LA GESTIÓN PARA ACTUALIZACIÓN EN LAS REGLAS FIBA 2024, DIRIGIDA A LOS ENTRENADORES Y ACTORES DEPORTIVOS DEL BALONCESTO EN EL DEPARTAMENTO</t>
  </si>
  <si>
    <t>PRESTACIÓN DE SERVICIOS DE CAPACITACIÓN PARA LA ACTUALIZACIÓN TÉCNICA EN TIRO CON ARCO</t>
  </si>
  <si>
    <t>ADICIÓN N°1 AL CONTRATO 618 DE 2024 CUYO OBJETO ES: CONVENIO INTERADMINISTRATIVO PARA EL APOYO EN EL DESARROLLO DE LOS JUEGOS INTERCOLEGIADOS 2024 PARA LA FASE SUBREGIONAL DEL SUROESTE, QUE TENDRÁ COMO SEDE AL MUNICIPIO DE CIUDAD BOLÍVAR, ANTIOQUIA. (TASA PRODEPORTE)</t>
  </si>
  <si>
    <t>ADICIÓN N°1 AL CONTRATO 618 DE 2024 CUYO OBJETO ES: CONVENIO INTERADMINISTRATIVO PARA EL APOYO EN EL DESARROLLO DE LOS JUEGOS INTERCOLEGIADOS 2024 PARA LA FASE SUBREGIONAL DEL SUROESTE, QUE TENDRÁ COMO SEDE AL MUNICIPIO DE CIUDAD BOLÍVAR, ANTIOQUIA.</t>
  </si>
  <si>
    <t>ADICIÓN N°1 AL CONTRATO 617 DE 2024 CUYO OBJETO ES: CONVENIO INTERADMINISTRATIVO PARA EL APOYO EN EL DESARROLLO DE LOS JUEGOS INTERCOLEGIADOS 2024 PARA LA FASE SUBREGIONAL DEL NORTE Y BAJO CAUCA, QUE TENDRÁ COMO SEDE AL MUNICIPIO DE YARUMAL, ANTIOQUIA (TASA PRODEPORTE)</t>
  </si>
  <si>
    <t xml:space="preserve">ADICIÓN N°1 AL CONTRATO 617 DE 2024 CUYO OBJETO ES: CONVENIO INTERADMINISTRATIVO PARA EL APOYO EN EL DESARROLLO DE LOS JUEGOS INTERCOLEGIADOS 2024 PARA LA FASE SUBREGIONAL DEL NORTE Y BAJO CAUCA, QUE TENDRÁ COMO SEDE AL MUNICIPIO DE YARUMAL, ANTIOQUIA </t>
  </si>
  <si>
    <t xml:space="preserve">52010704-Promover procesos de educación informal en Antioquia </t>
  </si>
  <si>
    <t>ADICION Y PRÓRROGA N°1 AL CONTRATO 226 DE 2024 CUYO OBJETO ES: PRESTACIÓN DE SERVICIOS PROFESIONALES COMO APOYO A LA GESTIÓN PARA EL SEGUIMIENTO Y EVALUACIÓN DE LAS CAPACITACIONES EN DEPORTE, RECREACIÓN Y ACTIVIDAD FÍSICA DE INDEPORTES ANTIOQUIA</t>
  </si>
  <si>
    <t>52010705-Transferir recursos impuesto cigarrillo (Ley 1289 de 2009)</t>
  </si>
  <si>
    <t xml:space="preserve">TRANSFERENCIA RECURSOS LEY DEL CIGARRILLO: BALANCE 2023 - INDEPORTES ANTIOQUIA </t>
  </si>
  <si>
    <t>3.43.4301.10.4-205617.2.3.3.09.17.</t>
  </si>
  <si>
    <t>3.43.4301.10.0-205617.2.3.3.09.17.</t>
  </si>
  <si>
    <t>SEGUNDA TRANSFERENCIA DE LA VIGENCIA 2024 DE LOS RECURSOS DE CONFORMIDAD CON LO DISPUESTO EN LA LEY 1289 DE 2009 A LOS MUNICIPIOS Y ENTES DEPORTIVOS DESCENTRALIZADOS</t>
  </si>
  <si>
    <t>QUINTA TRANSFERENCIA DE LA VIGENCIA 2024 DE LOS RECURSOS DE CONFORMIDAD CON LO DISPUESTO EN LA LEY 1289 DE 2009 A LOS MUNICIPIOS Y ENTES DEPORTIVOS DESCENTRALIZADOS</t>
  </si>
  <si>
    <t>SEXTA TRANSFERENCIA DE LA VIGENCIA 2024 DE LOS RECURSOS DE CONFORMIDAD CON LO DISPUESTO EN LA LEY 1289 DE 2009 A LOS MUNICIPIOS Y ENTES DEPORTIVOS DESCENTRALIZADOS</t>
  </si>
  <si>
    <t>52010702-Realizar eventos de recreación</t>
  </si>
  <si>
    <t>3.43.4301.01.0-205128.2.3.2.02.02.009.37.</t>
  </si>
  <si>
    <t>DISPONIBLE PS TRANSVERSALES RECREACIÓN</t>
  </si>
  <si>
    <t>3.43.4301.01.0-205128.2.3.2.02.02.008.43.</t>
  </si>
  <si>
    <t>52010702-Promover la actividad física en Antioquia.</t>
  </si>
  <si>
    <t>52010702-Realizar eventos de actividad física</t>
  </si>
  <si>
    <t>1115A</t>
  </si>
  <si>
    <t>CONVENIO INTERADMINISTRATIVO PARA APOYAR LA REALIZACIÓN DEL XXI "ENCUENTRO DEPARTAMENTAL DE CLUBES DE LA SALUD Y DEL ADULTO MAYOR" EN EL MUNICIPIO DE FRONTINO.</t>
  </si>
  <si>
    <t>DISPONIBLE EVENTOS XSSMP</t>
  </si>
  <si>
    <t>52010702-Promover uso de la bicicleta en Antioquia.</t>
  </si>
  <si>
    <t>PRESTACIÓN DE SERVICIOS DE APOYO PARA EL FOMENTO DEL USO DE LA BICICLETA Y LA PRÁCTICA DEL CICLISMO EN EL DEPARTAMENTO DE ANTIOQUIA</t>
  </si>
  <si>
    <t>3.43.4301.01.0-205128.2.3.2.02.02.009.36.</t>
  </si>
  <si>
    <t>3.43.4301.01.4-205128.2.3.2.02.02.009.38.</t>
  </si>
  <si>
    <t>DISPONIBLE PS TRANSVERSALES XSSMP</t>
  </si>
  <si>
    <t>3.43.4301.01.0-205128.2.3.2.02.02.008.41.</t>
  </si>
  <si>
    <t>52010703-Realizar desplazamientos para el seguimiento delos juegos</t>
  </si>
  <si>
    <t>3.43.4301.73.0-205128.2.3.2.02.02.006.12.</t>
  </si>
  <si>
    <t>CONTRATO DE ADMINISTRACIÓN DELEGADA DE RECURSOS PARA LA OPERACIÓN LOGÍSTICA DE LOS JUEGOS DEPORTIVOS INTERCOLEGIADOS 2024 EN LAS DISCIPLINAS DE BOCCIA, CICLISMO, GIMNASIA Y ESGRIMA. (TASA PRODEPORTE)</t>
  </si>
  <si>
    <t>CONTRATO DE ADMINISTRACIÓN DELEGADA DE RECURSOS PARA LA OPERACIÓN LOGÍSTICA DE LOS JUEGOS DEPORTIVOS INTERCOLEGIADOS 2024 EN LAS DISCIPLINAS DE BOCCIA, CICLISMO, GIMNASIA Y ESGRIMA.</t>
  </si>
  <si>
    <t>52010703-Promover el deporte escolar y el deporte social comunitario en Antioquia</t>
  </si>
  <si>
    <t>DISPONIBLE PS JDI</t>
  </si>
  <si>
    <t>ADICIÓN Y PRÓRROGA N°1 AL CONTRATO 175 DE 2024 CUYO OBJETO ES: PRESTACION DE SERVICIOS PROFESIONALES COMO APOYO A LA GESTIÓN PARA LA PLANEACIÓN, EJECUCIÓN Y ACOMPAÑAMIENTO A LOS MUNICIPIOS EN EL DESARROLLO DE LOS JUEGOS DEPORTIVOS INSTITUCIONALES EN LA SUBREGION DEL SUROESTE EN EL DEPARTAMENTO DE ANTIOQUIA</t>
  </si>
  <si>
    <t xml:space="preserve">ADICIÓN Y PRÓRROGA N°1 AL CONTRATO 192 DE 2024 CUYO OBJETO ES: PRESTACION DE SERVICIOS PROFESIONALES COMO APOYO A LA GESTIÓN PARA  LA PLANEACIÓN,  EJECUCIÓN  Y ACOMPAÑAMIENTO A LOS MUNICIPIOS EN EL DESARROLLO DE LOS JUEGOS DEPORTIVOS INSTITUCIONALES EN LA SUBREGION DEL OCCIDENTE EN EL DEPARTAMENTO DE ANTIOQUIA </t>
  </si>
  <si>
    <t>ADICIÓN Y PRÓRROGA N°1 AL CONTRATO 208 DE 2024 CUYO OBJETO ES: PRESTACION DE SERVICIOS PROFESIONALES COMO APOYO A LA GESTIÓN PARA LA PLANEACIÓN, EJECUCIÓN Y ACOMPAÑAMIENTO A LOS MUNICIPIOS EN EL DESARROLLO DE LOS JUEGOS DEPORTIVOS INSTITUCIONALES EN LAS SUBREGIONES DEL NORDESTE Y DEL MAGDALENA MEDIO EN EL DEPARTAMENTO DE ANTIOQUIA</t>
  </si>
  <si>
    <t>ADICIÓN Y PRÓRROGA N°1 AL CONTRATO 204 DE 2024 CUYO OBJETO ES: PRESTACIÓN DE SERVICIOS PROFESIONALES DE APOYO A LA GESTIÓN ADMINISTRATIVA Y FINANCIERA  EN EL PROGRAMA JUEGOS DEPORTIVOS INSTITUCIONALES DE LA SUBGERENCIA DE FOMENTO Y DESARROLLO DEPORTIVO</t>
  </si>
  <si>
    <t>ADICIÓN Y PRÓRROGA N°1 AL CONTRATO 275 DE 2024 CUYO OBJETO ES: PRESTACION DE SERVICIOS PROFESIONALES COMO APOYO A LA GESTIÓN PARA LA PLANEACIÓN, EJECUCIÓN Y ACOMPAÑAMIENTO A LOS MUNICIPIOS EN EL DESARROLLO DE LOS JUEGOS DEPORTIVOS INSTITUCIONALES EN LAS SUBREGIONES DEL NORTE Y DEL BAJO CAUCA DEL EN EL DEPARTAMENTO DE ANTIOQUIA</t>
  </si>
  <si>
    <t>ADICIÓN Y PRÓRROGA N°1 AL CONTRATO 235 DE 2024 CUYO OBJETO ES: PRESTACION DE SERVICIOS PROFESIONALES DE APOYO A LA GESTIÓN PARA PARAMETRIZACIÓN Y MANEJO DE LA PLATAFORMA PARA LA EJECUCIÓN DE LOS JUEGOS DEPORTIVOS INSTITUCIONALES DE LA SUBGERENCIA DE FOMENTO Y DESARROLLO DEPORTIVO</t>
  </si>
  <si>
    <t>ADICIÓN Y PRÓRROGA N°1 AL CONTRATO 278 DE 2024 CUYO OBJETO ES: PRESTACIÓN DE SERVICIOS DE APOYO A LA GESTION PARA LA CONFIGURACIÓN DE LOS SISTEMAS DE INFORMACIÓN REQUERIDOS PARA LA EJECUCIÓN, PARAMETRIZACIÓN Y PUESTA EN MARCHA DE LOS JUEGOS DEPORTIVOS INSTITUCIONALES EN EL DEPARTAMENTO DE ANTIOQUIA</t>
  </si>
  <si>
    <t>PRESTACIÓN DE SERVICIOS PROFESIONALES DE APOYO EN EL DESARROLLO DE LOS JUEGOS DEPORTIVOS INSTITUCIONALES</t>
  </si>
  <si>
    <t>PRESTACIÓN DE SERVICIOS PROFESIONALES COMO LICENCIADA EN PEDAGOGÍA PARA INDEPORTES ANTIOQUIA</t>
  </si>
  <si>
    <t>PRESTACIÓN DE SERVICIOS PROFESIONALES ESPECIALIZADOS EN ADMINISTRACIÓN DEPORTIVA</t>
  </si>
  <si>
    <t>PRESTACIÓN DE SERVICIOS DE APOYO A INDEPORTES ANTIOQUIA</t>
  </si>
  <si>
    <t>PRESTACIÓN DE SERVICIOS PROFESIONALES ESPECIALIZADOS COMO ABOGADO PARA INDEPORTES ANTIOQUIA</t>
  </si>
  <si>
    <t>ADICIÓN Y PRÓRROGA N°1 AL CONTRATO 181 DE 2024 CUYO OBJETO ES: PRESTACIÓN DE SERVICIOS PROFESIONALES COMO APOYO A LA GESTIÓN PARA LA PROMOCIÓN Y EJECUCIÓN DEL COMPONENTE DE NUTRICIÓN DEL PROGRAMA "POR SU SALUD, MUÉVASE PUES" EN EL DEPARTAMENTO DE ANTIOQUIA.</t>
  </si>
  <si>
    <t>ADICIÓN Y PRÓRROGA N°1 AL CONTRATO 225 DE 2024 CUYO OBJETO ES: PRESTACIÓN DE SERVICIOS PROFESIONALES COMO APOYO A LA GESTIÓN PARA LA PROMOCIÓN Y EJECUCIÓN DEL COMPONENTE DE LA GESTACIÓN Y PRIMERA INFANCIA DEL PROGRAMA "POR SU SALUD, MUÉVASE PUES" EN EL DEPARTAMENTO DE ANTIOQUIA.</t>
  </si>
  <si>
    <t>ADICIÓN Y PRÓRROGA N°1 AL CONTRATO 229 DE 2024 CUYO OBJETO ES: PRESTACIÓN DE SERVICIOS PROFESIONALES COMO APOYO A LA GESTIÓN PARA LA PROMOCIÓN Y EJECUCIÓN DEL COMPONENTE DE FUERZA EN EL CICLO VITAL DEL PROGRAMA "POR SU SALUD, MUÉVASE PUES" EN EL DEPARTAMENTO DE ANTIOQUIA.</t>
  </si>
  <si>
    <t>CONVENIO INTERADMINISTRATIVO PARA EL APOYO EN EL DESARROLLO DE LOS JUEGOS INTERCOLEGIADOS 2024 FASE FINAL DEPARTAMENTAL DE LA CATEGORÍA JUVENIL Y ALGUNAS DISCIPLINAS DE LA CATEGORÍA PREJUVENIL, QUE TENDRÁN COMO SEDE EL MUNICIPIO DE APARTADÓ, ANTIOQUIA.</t>
  </si>
  <si>
    <t>DISPONIBLE LIBERACIÓN FOMENTO 202401018221 DEL 3/12/2024 (TASA PRODEPORTE)</t>
  </si>
  <si>
    <t>CONVENIO INTERADMINISTRATIVO PARA EL APOYO EN EL DESARROLLO DE LOS JUEGOS INTERCOLEGIADOS 2024 FASE FINAL DEPARTAMENTAL DE LA CATEGORÍA JUVENIL Y ALGUNAS DISCIPLINAS DE LA CATEGORÍA PREJUVENIL, QUE TENDRÁN COMO SEDE EL MUNICIPIO DE APARTADÓ, ANTIOQUIA. (TASA PRODEPORTE)</t>
  </si>
  <si>
    <t>CONVENIO INTERADMINISTRATIVO PARA EL APOYO EN EL DESARROLLO DE LOS JUEGOS INTERCOLEGIADOS 2024 FASE FINAL DEPARTAMENTAL DE LA CATEGORÍA PREJUVENIL Y ALGUNAS DISCIPLINAS DE LA CATEGORÍA JUVENIL, QUE TENDRÁ COMO SEDE EL MUNICIPIO DE CAREPA, ANTIOQUIA.</t>
  </si>
  <si>
    <t>CONVENIO INTERADMINISTRATIVO PARA EL APOYO EN EL DESARROLLO DE LOS JUEGOS INTERCOLEGIADOS 2024 FASE FINAL DEPARTAMENTAL DE LA CATEGORÍA PREJUVENIL Y ALGUNAS DISCIPLINAS DE LA CATEGORÍA JUVENIL, QUE TENDRÁ COMO SEDE EL MUNICIPIO DE CAREPA, ANTIOQUIA. (TASA PRODEPORTE)</t>
  </si>
  <si>
    <t>80141607
84101600</t>
  </si>
  <si>
    <t>CONVENIO INTERADMINISTRATIVO PARA EL APOYO EN EL DESARROLLO DE LOS JUEGOS DEPORTIVOS DEPARTAMENTALES 2024 QUE TENDRÁ COMO SEDE EL ÁREA METROPOLITANA DEL VALLE DE ABURRÁ, ANTIOQUIA</t>
  </si>
  <si>
    <t>IMPUTACIÓN PRESUPUESTAL DE LAS TASAS E IMPUESTOS ATRIBUIBLES A LA EJECUCIÓN DEL CONTRATO INTERADMINISTRATIVO DE VINCULACIÓN
 NO. 4600017531 DE 2024, SUSCRITO CON LA FLA</t>
  </si>
  <si>
    <t>ADICIÓN 1 AL CONTRATO 344 DE 2024 CUYO OBJETO ES: PRESTACIÓN DE SERVICIOS PARA LA ADQUISICIÓN DE TIQUETES AEREOS NACIONALES E INTERNACIONALES PARA  LOS FUNCIONARIOS Y MIEMBROS DE LA JUNTA DIRECTIVA DE INDEPORTES ANTIOQUIA</t>
  </si>
  <si>
    <t>DISPONIBLE LLIBERACIÓN SUBGERENCIA ADMINISTRATIVA Y FINANCIERA (202401018602 DEL 9 DE DICIEMBRE DE 2024)</t>
  </si>
  <si>
    <t>PRESTACIÓN DE SERVICIOS DE APOYO EN GESTIÓN DOCUMENTAL PARA EL ARCHIVO DERIVADO DE LA GESTIÓN CONTRACTUAL EN INDEPORTES ANTIOQUIA</t>
  </si>
  <si>
    <t>IMPUESTO DE SEMAFORIZACIÓN</t>
  </si>
  <si>
    <t>1.00.0000.00.0-101024.2.1.8.01.51.</t>
  </si>
  <si>
    <t>DAR EN COMODATO EL BIEN INMUEBLE PROPIEDAD DEL MUNICIPIO DE GUATAPÉ DENOMINADO LA VILLA NÁUTICA, IDENTIFICADO CON FICHA CATASTRAL NÚMERO 11801458 Y MATRICULA INMOBILIARIA NÚMERO 018184637 DE LA OFICINA DE REGISTRO E INSTRUMENTOS PÚBLICOS DE MARINILLA.</t>
  </si>
  <si>
    <t>DISPONIBLE POSICIONAMIENTO DE MARCA</t>
  </si>
  <si>
    <t>3.43.4301.73.0-271130.2.3.2.02.02.009.60.</t>
  </si>
  <si>
    <t>3.43.4301.50.0-101024.2.3.2.02.02.009.15.</t>
  </si>
  <si>
    <t xml:space="preserve">                                                                                                                                     </t>
  </si>
  <si>
    <t>Correo supervisor</t>
  </si>
  <si>
    <t>Correo suplente</t>
  </si>
  <si>
    <t>Correo ordenador del gasto</t>
  </si>
  <si>
    <t>CONTRATO INTERADMINISTRATIVO DE ADMINISTRACIÓN DELEGADA PARA PRESTACIÓN DE LOS SERVICIOS DE VIGILANCIA Y SEGURIDAD PRIVADA REQUERIDOS PARA EL PERSONAL DE INDEPORTES ANTIOQUIA, SUS SEDES Y LOS CONTENIDOS DE ÉSTAS</t>
  </si>
  <si>
    <t>Adición y prorroga hasta el 14 de julio de 2024</t>
  </si>
  <si>
    <t>https://www.contratos.gov.co/consultas/detalleProceso.do?numConstancia=20-12-11435214&amp;g-recaptcha-response=03AGdBq27B0MzxDA0hxhkgMV8TN-aOukUOR2AMH5GaFn5Lz_ftbf6riVWQc7QAIAYuP_XmCoQDKNRGiDUsZoM-HPave0RK9qqkE8iuJ-MOfoMmsfOwKW4UJu73pc-svgBN4g3hZjjh0itxxQ8MKlxjnWDhuUw6hFSQXWj175ZF5ukUYnSeexfGT29BFYzgKfQxd1xa9BIUf9x9wx-9JL6VMrWCpSOKquU71JqTBCja0ZwYHIZPRGzcITI5ff3Mpvk2CHm7LsZW2T8pvLcdNX5Z73kEbWc4tbal9UnIIGGcvOV9ZR-cb3mF7IHaLPyRXKS_e4W11a_1Z83b8-dnITERe_G6GwGHcV3R2fo9Y8XZ84V51047NLIPTkdv6XNja8_WqjIinhPfJvGtIt0kEsvSE8wGu1-TB-2z5h6PYIiDgPL9RJPp-A-tRNFsQTJ_LcUs3wIgnMjtwwRnVwCHInwj0ItNY-lBYYPGQg</t>
  </si>
  <si>
    <t xml:space="preserve">7 MESES Y 13 DÍAS </t>
  </si>
  <si>
    <t>NO -SIA</t>
  </si>
  <si>
    <t>Adición y prorroga hasta el 30 de noviemrbe de 2024</t>
  </si>
  <si>
    <t>035</t>
  </si>
  <si>
    <t>4.5 MESES</t>
  </si>
  <si>
    <t>055</t>
  </si>
  <si>
    <t>15 DÍAS</t>
  </si>
  <si>
    <t xml:space="preserve">CONTRATACIÓN DE UNA EMPRESA QUE SUMINISTRE EL PERSONAL NECESARIO PARA LA PRESTACIÓN DE LOS SERVICIOS DE ASEO, OFICIOS VARIOS, MANTENIMIENTOS, PORTERÍA, RECEPCIONISTA, CAMARERÍA, SEGÚN CORRESPONDA, EN LAS INSTALACIONES DE INDEPORTES ANTIOQUIA Y SUS DIFERENTES SEDES.  </t>
  </si>
  <si>
    <t>Adición y prorroga hasta el 31 de mayo de 2024</t>
  </si>
  <si>
    <t>https://www.secop.gov.co/CO1ContractsManagement/Tendering/ProcurementContractEdit/ViewdocUniqueIdentifier=CO1.PCCNTR.2917532&amp;prevCtxUrl=https%3a%2f%2fwww.secop.gov.co%3a443%2fCO1ContractsManagement%2fTendering%2fProcurementContractManagement%2fIndprevCtxLbl=Procurement+Contracts+Management</t>
  </si>
  <si>
    <t>Adición y prorroga hasta el 24 de junio de 2024</t>
  </si>
  <si>
    <t>https://www.secop.gov.co/CO1ContractsManagement/Tendering/ProcurementContractEdit/ViewdocUniqueIdentifier=CO1.PCCNTR.4884809&amp;prevCtxUrl=https%3a%2f%2fwww.secop.gov.co%3a443%2fCO1ContractsManagement%2fTendering%2fProcurementContractManagement%2fInde&amp;prevCtxLbl=Procurement+Contracts+Management</t>
  </si>
  <si>
    <t>https://www.secop.gov.co/CO1ContractsManagement/Tendering/ProcurementContractEdit/View?docUniqueIdentifier=CO1.PCCNTR.4780218&amp;prevCtxUrl=https%3a%2f%2fwww.secop.gov.co%3a443%2fCO1ContractsManagement%2fTendering%2fProcurementContractManagement%2fIndex&amp;prevCtxLbl=Contratos+</t>
  </si>
  <si>
    <t>4 MESES Y 9DIAS</t>
  </si>
  <si>
    <t>046</t>
  </si>
  <si>
    <t>ADICION Y PRÓRROGA 2 AL CONTRATO 544 DE 2022: CONTRATAR UNA COMPAÑÍA DE SEGUROS PARA LA ADQUISICIÓN DE LA PÓLIZA DE EXEQUIAS PARA LOS FUNCIONARIOS DE INDEPORTES ANTIOQUIA, EN EL MARCO DEL PLAN DE BIENESTAR LABORAL.</t>
  </si>
  <si>
    <t>https://www.secop.gov.co/CO1ContractsManagement/Tendering/ProcurementContractEdit/View?docUniqueIdentifier=CO1.PCCNTR.4025999&amp;prevCtxUrl=https%3a%2f%2fwww.secop.gov.co%3a443%2fCO1ContractsManagement%2fTendering%2fProcurementContractManagement%2fIndex&amp;prevCtxLbl=Contratos+</t>
  </si>
  <si>
    <t xml:space="preserve"> 4 MESES Y 10 DIAS</t>
  </si>
  <si>
    <t>2.332.655</t>
  </si>
  <si>
    <t>https://www.secop.gov.co/CO1ContractsManagement/Tendering/ProcurementContractEdit/View?docUniqueIdentifier=CO1.PCCNTR.3942093&amp;prevCtxUrl=https%3a%2f%2fwww.secop.gov.co%3a443%2fCO1ContractsManagement%2fTendering%2fProcurementContractManagement%2fIndex&amp;prevCtxLbl=Contratos+</t>
  </si>
  <si>
    <t>20/092024</t>
  </si>
  <si>
    <t>https://www.secop.gov.co/CO1ContractsManagement/Tendering/ProcurementContractEdit/View?docUniqueIdentifier=CO1.PCCNTR.5685302&amp;prevCtxUrl=https%3a%2f%2fwww.secop.gov.co%3a443%2fCO1ContractsManagement%2fTendering%2fProcurementContractManagement%2fIndex&amp;prevCtxLbl=Contratos+</t>
  </si>
  <si>
    <t>048</t>
  </si>
  <si>
    <t>CONTRATO DE PRESTACIÓN DE SERVICIOS DE INTERMEDIACIÓN COMERCIAL PARA LA VENTA DE BIENES MUEBLES DE PROPIEDAD DE INDEPORTES ANTIOQUIA, CON ACOMPAÑAMIENTO DE INTERMEDIARIO PARA EL PROCESO DE ENAJENACIÓN Y REGISTRO</t>
  </si>
  <si>
    <t>BANCO POPULAR S.A</t>
  </si>
  <si>
    <t>032</t>
  </si>
  <si>
    <t>AUNAR ESFUERZOS PARA COFINANCIAR LA CONSTRUCCIÓN DE LA UNIDAD DEPORTIVA EN EL CORREGIMIENTO DE BIJAGUAL ZONA RURAL DEL MUNICIPIO DE NECHÍ DEPARTAMENTO DE ANTIOQUIA.</t>
  </si>
  <si>
    <t>MUNICIPIO DE NECHI</t>
  </si>
  <si>
    <t xml:space="preserve"> NA </t>
  </si>
  <si>
    <t>031</t>
  </si>
  <si>
    <t>CONVENIO INTERADMINISTRATIVO PARA AUNAR ESFUERZOS PARA LA CONSTRUCCIÓN DE LA CUBIERTA Y ADECUACIÓN DE LA PLACA MULTIFUNCIONAL DE LA VEREDA QUEBRADORA ABAJO EN EL MUNICIPIO DE GRANADA, ANTIOQUIA.</t>
  </si>
  <si>
    <t xml:space="preserve">MUNICIPIO DE GRANADA </t>
  </si>
  <si>
    <t>90.887.222 Aportes Municipio</t>
  </si>
  <si>
    <t>036</t>
  </si>
  <si>
    <t>ecop.gov.co/CO1ContractsManagement/Tendering/ProcurementContractEdit/View?docUniqueIdentifier=CO1.PCCNTR.5390461&amp;prevCtxUrl=https%3a%2f%2fwww.secop.gov.co%3a443%2fCO1ContractsManagement%2fTendering%2fProcurementContractManagement%2fIndex&amp;prevCtxLbl=Contratos+</t>
  </si>
  <si>
    <t>64 DÍAS</t>
  </si>
  <si>
    <t>MUNICIPIO DE SAN ANDRES DE CUERQUIA</t>
  </si>
  <si>
    <t>063</t>
  </si>
  <si>
    <t>CONTRATO INTERADMINISTRATIVO DE MANDATO SIN REPRESENTACIÓN PARA EL APOYO EN LA OPERACIÓN LOGÍSTICA REQUERIDA PARA LA PARTICIPACIÓN DEL EQUIPO INDEPORTES EN EL EVENTO FESTIVAL DE FESTIVALES 2024.</t>
  </si>
  <si>
    <t>CONTRATO DE PRESTACIÓN DE SERVICIOS PROFESIONALES PARA REPRESENTAR JUDICIAL Y EXTRAJUDICIALMENTE A INDEPORTES ANTIOQUIA Y BRINDAR ASESORÍA JURÍDICA</t>
  </si>
  <si>
    <t>GABRIEL GUILLERMO SIERRA RESTREPO</t>
  </si>
  <si>
    <t>VERONICA   URREA GALLO</t>
  </si>
  <si>
    <t>CONTRATO DE PRESTACIÓN DE SERVICIOS PROFESIONALES PARA APOYAR LOS PROCEDIMIENTOS FINANCIEROS Y CONTABLES EN EL PROCESO DE ADMINISTRACIÓN DE BIENES DE INDEPORTES ANTIOQUIA.</t>
  </si>
  <si>
    <t>PRESTACIÓN DE SERVICIOS PROFESIONALES ESPECIALIZADOS APOYANDO EL SEGUIMIENTO A LOS PROYECTOS, PLANES, PROGRAMAS Y POLÍTICAS DE INDEPORTES ANTIOQUIA</t>
  </si>
  <si>
    <t>PRESTACIÓN DE SERVICIOS PROFESIONALES ESPECIALIZADOS PARA LA GESTIÓN, ADMINISTRACIÓN, Y CONSOLIDACIÓN DE INFORMACIÓN INSTITUCIONAL PARA REALIZAR LA ANALÍTICA DE DATOS DEL OBSERVATORIO DEL DEPORTE DE ANTIOQUIA.</t>
  </si>
  <si>
    <t>CONTRATO DE PRESTACIÓN DE SERVICIOS DE APOYO A LA GESTIÓN EN LA ADMINISTRACIÓN DE LOS BIENES DE INDEPORTES ANTIOQUIA.</t>
  </si>
  <si>
    <t>SANDRA MILENA IBARRA HEREDIA</t>
  </si>
  <si>
    <t>JUAN DIEGO LONDOÑO TORO</t>
  </si>
  <si>
    <t>PRESTACIÓN DE SERVICIOS PROFESIONALES APOYANDO LAS EVALUACIONES Y SEGUIMIENTO TÉCNICO EN EL MARCO DE LAS POLÍTICAS DE VIGILANCIA Y CONTROL IMPLEMENTADAS POR LA OFICINA DE CONTROL INTERNO A LOS PROCESOS DE COFINANCIACIÓN E INFRAESTRUCTURA DE LA SUBGERENCIA DE ESCENARIOS DEPORTIVOS Y EQUIPAMIENTOS</t>
  </si>
  <si>
    <t>JAIDER ANDRES LONDOÑO VANEGAS</t>
  </si>
  <si>
    <t>PRESTACIÓN DE SERVICIOS PROFESIONALES PARA APOYAR LOS PROCEDIMIENTOS ADMINISTRATIVOS Y FINANCIEROS DE LOS PROYECTOS DE LA SUBGERENCIA DE FOMENTO Y DESARROLLO DEPORTIVO.</t>
  </si>
  <si>
    <t>PRESTACIÓN DE SERVICIOS PROFESIONALES APOYANDO EL PROCESO CONTABLE DE INDEPORTES ANTIOQUIA.</t>
  </si>
  <si>
    <t>PRESTACIÓN DE SERVICIOS PROFESIONALES ESPECIALIZADOS APOYANDO LA REVISIÓN DE LOS DATOS FINANCIEROS Y CONTABLES Y CONSOLIDACIÓN Y VALIDACIÓN DE LA INFORMACIÓN EN EL MARCO DE LOS PROCEDIMIENTOS QUE REALIZA LA OFICINA DE CONTROL INTERNO DE INDEPORTES ANTIOQUIA</t>
  </si>
  <si>
    <t>PRESTACIÓN DE SERVICIOS PROFESIONALES ESPECIALIZADOS EN LA GESTIÓN DE RECURSOS ADMINISTRATIVOS Y FINANCIEROS DE LOS DIFERENTES PROYECTOS DE LA SUBGERENCIA DE DEPORTE ASOCIADO Y ALTOS LOGROS.</t>
  </si>
  <si>
    <t>PRESTACIÓN DE SERVICIOS PROFESIONALES ESPECIALIZADOS EN EL PLANEACIÓN Y SEGUIMIENTO DE LOS DIFERENTES CONVENIOS Y CONTRATOS DE LA SUBGERENCIA DE DEPORTE ASOCIADO Y ALTOS LOGROS.</t>
  </si>
  <si>
    <t>ALEJANDRO NAVARRO RINCON</t>
  </si>
  <si>
    <t>PRESTACIÓN DE SERVICIOS PROFESIONALES PARA EL ACOMPAÑAMIENTO JURÍDICO A LOS PROCESOS QUE REALIZA LA OFICINA DE CONTROL INTERNO DE INDEPORTES ANTIOQUIA</t>
  </si>
  <si>
    <t>PRESTACIÓN DE SERVICIOS PROFESIONALES ESPECIALIZADOS APOYANDO LOS PROCESOS ADMINISTRATIVOS Y FINANCIEROS DERIVADOS DE LOS PROYECTOS DE INFRAESTRUCTURA DE LA SUBGERENCIA DE ESCENARIOS DEPORTIVOS Y EQUIPAMIENTO</t>
  </si>
  <si>
    <t>PRESTACIÓN DE SERVICIOS PROFESIONALES ESPECIALIZADOS APOYANDO LOS PROCESOS METODOLÓGICOS PARA LOS DEPORTES DE DISCAPACIDAD QUE APOYA INDEPORTES ANTIOQUIA</t>
  </si>
  <si>
    <t>PRESTACIÓN DE SERVICIOS PROFESIONALES PARA LA ATENCIÓN FISIOTERAPÉUTICA DE LOS PARA-ATLETAS QUE APOYA INDEPORTES ANTIOQUIA</t>
  </si>
  <si>
    <t>46 DÍAS</t>
  </si>
  <si>
    <t>PRESTACIÓN DE SERVICIOS PROFESIONALES PARA APOYAR LOS PROCESOS DE PSICOLOGÍA CLÍNICA A LOS DEPORTISTAS APOYADOS POR LA ENTIDAD Y EN LOS PROCESOS ACADÉMICOS E INVESTIGATIVOS DE LA OFICINA DE MEDICINA DEPORTIVA</t>
  </si>
  <si>
    <t>PRESTACIÓN DE SERVICIOS PROFESIONALES EN LA ATENCIÓN FISIOTERAPÉUTICA DEPORTIVA DE LOS ATLETAS QUE APOYA INDEPORTES ANTIOQUIA</t>
  </si>
  <si>
    <t xml:space="preserve">ADICIÓN 1 AL CONTROATO NO. 026 DE 2024 CUYO OBJETO ES: PRESTACIÓN DE SERVICIOS PROFESIONALES EN LA ATENCIÓN FISIOTERAPÉUTICA DEPORTIVA DE LOS ATLETAS QUE APOYA INDEPORTES ANTIOQUIA </t>
  </si>
  <si>
    <t>JULIANA   BERMUDEZ HENAO</t>
  </si>
  <si>
    <t>PRESTACIÓN DE SERVICIOS DE APOYO A LA GESTIÓN PARA EL ACOMPAÑAMIENTO EN LA RECUPERACIÓN DE LA FATIGA POS-CARGA DEL ENTRENAMIENTO Y REHABILITACIÓN DE LAS LESIONES DEPORTIVAS DE LOS ATLETAS Y PARA - ATLETAS APOYADOS POR INDEPORTES ANTIOQUIA.</t>
  </si>
  <si>
    <t>https://community.secop.gov.co/Public/Tendering/ContractNoticePhases/View?PPI=CO1.PPI.29591164&amp;isFromPublicArea=True&amp;isModal=False</t>
  </si>
  <si>
    <t>PRESTACIÓN DE SERVICIOS DE APOYO A LA GESTIÓN EN LAS ACTIVIDADES RELACIONADAS CON LA GESTIÓN ADMINISTRATIVA DE LOS RECURSOS Y EL PLAN DE MANTENIMIENTO DE INDEPORTES ANTIOQUIA.</t>
  </si>
  <si>
    <t>PRESTACIÓN DE SERVICIOS PROFESIONALES PARA APOYAR LAS ACTIVIDADES COMUNICATIVAS Y PERIODÍSTICAS QUE CONTRIBUYAN AL FORTALECIMIENTO DE LA IMAGEN INSTITUCIONAL DE INDEPORTES ANTIOQUIA</t>
  </si>
  <si>
    <t>SOPORTE TÉCNICO, ACTUALIZACIÓN Y MANTENIMIENTO DEL SISTEMA DE GESTIÓN DOCUMENTAL MERCURIO.</t>
  </si>
  <si>
    <t xml:space="preserve">JOHAN STEVEN HOLGUIN FRANCO </t>
  </si>
  <si>
    <t>SARA LUCIANA URREGO VILLA</t>
  </si>
  <si>
    <t>PRESTACIÓN DE SERVICIOS DE UN ENTRENADOR PRINCIPAL PARA LA REALIZACIÓN DEL PROCESO DE SELECCIÓN, ENTRENAMIENTO DEPORTIVO Y PARTICIPACIÓN EN COMPETENCIAS EN LA LIGA ANTIOQUEÑA DE FÚTBOL,  EN LA MODALIDAD FÚTBOL CÉSPED RAMA FEMENINA, EN CATEGORÍAS DE JUEGOS NACIONALES.</t>
  </si>
  <si>
    <t>PRESTACIÓN DE SERVICIOS DE UN ENTRENADOR PRINCIPAL PARA LA REALIZACIÓN DEL PROCESO DE SELECCIÓN, ENTRENAMIENTO DEPORTIVO Y PARTICIPACIÓN EN COMPETENCIAS EN LA LIGA ANTIOQUEÑA DE FÚTBOL,  EN LA MODALIDAD FÚTBOL CÉSPED RAMA MASCULINA, EN CATEGORÍAS DE JUEGOS NACIONALES.</t>
  </si>
  <si>
    <t>PRESTACIÓN DE SERVICIOS DE UN ENTRENADOR ASISTENTE  PARA LA REALIZACIÓN DEL PROCESO SELECCIÓN, ENTRENAMIENTO DEPORTIVO Y PARTICIPACIÓN EN COMPETENCIAS EN LA LIGA ANTIOQUEÑA DE FÚTBOL, EN LA MODALIDAD FÚTBOL CÉSPED, RAMA FEMENINA, EN CATEGORÍAS DE JUEGOS NACIONALES.</t>
  </si>
  <si>
    <t>PRESTACIÓN DE SERVICIOS DE UN ENTRENADOR ASISTENTE  PARA LA REALIZACIÓN DEL PROCESO SELECCIÓN, ENTRENAMIENTO DEPORTIVO Y PARTICIPACIÓN EN COMPETENCIAS EN LA LIGA ANTIOQUEÑA DE FÚTBOL, EN LA MODALIDAD FÚTBOL CÉSPED, RAMA MASCULINA, EN CATEGORÍAS DE JUEGOS NACIONALES.</t>
  </si>
  <si>
    <t>69A</t>
  </si>
  <si>
    <t>PRESTACIÓN DE SERVICIOS DE UN ENTRENADOR ASISTENTE  PARA LA REALIZACIÓN DEL PROCESO SELECCIÓN, ENTRENAMIENTO DEPORTIVO Y PARTICIPACIÓN EN COMPETENCIAS EN LA LIGA ANTIOQUEÑA DE ARQUERÍA, EN LAS MODALIDADES ARCO RECURVO Y COMPUESTO, EN CATEGORÍAS DE JUEGOS NACIONALES.</t>
  </si>
  <si>
    <t>PRESTACIÓN DE SERVICIOS DE UN ENTRENADOR PRINCIPAL PARA LA REALIZACIÓN DEL PROCESO DE SELECCIÓN, ENTRENAMIENTO DEPORTIVO Y PARTICIPACIÓN EN COMPETENCIAS EN LA  LIGA  ANTIOQUEÑA DE ESGRIMA,  EN LA MODALIDAD SABLE, EN CATEGORÍAS DE JUEGOS NACIONALES.</t>
  </si>
  <si>
    <t>PRESTACIÓN DE SERVICIOS DE UN ENTRENADOR PRINCIPAL PARA LA REALIZACIÓN DEL PROCESO DE SELECCIÓN, ENTRENAMIENTO DEPORTIVO Y PARTICIPACIÓN EN COMPETENCIAS EN LA  LIGA  ANTIOQUEÑA DE ESGRIMA,  EN LA MODALIDAD FLORETE, EN CATEGORÍAS DE JUEGOS NACIONALES.</t>
  </si>
  <si>
    <t>PRESTACIÓN DE SERVICIOS DE UN ENTRENADOR PRINCIPAL PARA LA REALIZACIÓN DEL PROCESO DE SELECCIÓN, ENTRENAMIENTO DEPORTIVO Y PARTICIPACIÓN EN COMPETENCIAS EN LA  LIGA  ANTIOQUEÑA DE ESGRIMA,  EN LA MODALIDAD ESPADA, EN CATEGORÍAS DE JUEGOS NACIONALES.</t>
  </si>
  <si>
    <t>PRESTACIÓN DE SERVICIOS DE UN ENTRENADOR PRINCIPAL PARA LA REALIZACIÓN DEL PROCESO DE SELECCIÓN, ENTRENAMIENTO DEPORTIVO Y PARTICIPACIÓN EN COMPETENCIAS EN LA  LIGA ANTIOQUEÑA DE LUCHA MODALIDAD GRECO, EN CATEGORÍAS DE JUEGOS NACIONALES.</t>
  </si>
  <si>
    <t>PRESTACIÓN DE SERVICIOS DE UN ENTRENADOR PRINCIPAL PARA LA REALIZACIÓN DEL PROCESO DE SELECCIÓN, ENTRENAMIENTO DEPORTIVO Y PARTICIPACIÓN EN COMPETENCIAS EN LA  LIGA ANTIOQUEÑA DE LUCHA MODALIDAD LIBRE, EN CATEGORÍAS DE JUEGOS NACIONALES.</t>
  </si>
  <si>
    <t>PRESTACIÓN DE SERVICIOS DE UN ENTRENADOR ASISTENTE PARA LA REALIZACIÓN DEL PROCESO DE SELECCIÓN, ENTRENAMIENTO DEPORTIVO Y PARTICIPACIÓN EN COMPETENCIAS EN LA  LIGA ANTIOQUEÑA DE LUCHA MODALIDAD LIBRE Y GRECO, EN CATEGORÍAS DE JUEGOS NACIONALES.</t>
  </si>
  <si>
    <t>PRESTACIÓN DE SERVICIOS DE UN ENTRENADOR PRINCIPAL PARA LA REALIZACIÓN DEL PROCESO DE SELECCIÓN, ENTRENAMIENTO DEPORTIVO Y PARTICIPACIÓN EN COMPETENCIAS EN LA  LIGA ANTIOQUEÑA DE TAEKWONDO,  EN LA MODALIDAD POMMSAES, EN CATEGORÍAS DE JUEGOS NACIONALES.</t>
  </si>
  <si>
    <t>PRESTACIÓN DE SERVICIOS DE UN ENTRENADOR PRINCIPAL PARA LA REALIZACIÓN DEL PROCESO DE SELECCIÓN, ENTRENAMIENTO DEPORTIVO Y PARTICIPACIÓN EN COMPETENCIAS EN LA  LIGA DE BOXEO DE ANTIOQUIA, EN CATEGORÍAS DE JUEGOS NACIONALES.</t>
  </si>
  <si>
    <t xml:space="preserve">PRESTACIÓN DE SERVICIOS DE UN ENTRENADOR PRINCIPAL PARA LA REALIZACIÓN DEL PROCESO DE SELECCIÓN, ENTRENAMIENTO DEPORTIVO Y PARTICIPACIÓN EN COMPETENCIAS EN LA LIGA DE NATACIÓN DE ANTIOQUIA, EN LA MODALIDAD NATACIÓN CARRERAS FONDO, EN CATEGORÍAS DE JUEGOS NACIONALES Y REALIZAR LA FORMACIÓN ESPECÍFICA EN EL DEPARTAMENTO DE ANTIOQUIA. </t>
  </si>
  <si>
    <t>PRESTACIÓN DE SERVICIOS DE UN ENTRENADOR PRINCIPAL PARA LA REALIZACIÓN DEL PROCESO DE SELECCIÓN, ENTRENAMIENTO DEPORTIVO Y PARTICIPACIÓN EN COMPETENCIAS EN LA  LIGA ANTIOQUEÑA DE RUGBY,  EN LA MODALIDAD SEVENS Y QUINCES RAMA FEMENINA, EN CATEGORÍAS DE JUEGOS NACIONALES.</t>
  </si>
  <si>
    <t>PRESTACIÓN DE SERVICIOS DE UN ENTRENADOR PRINCIPAL PARA LA REALIZACIÓN DEL PROCESO DE SELECCIÓN, ENTRENAMIENTO DEPORTIVO Y PARTICIPACIÓN EN COMPETENCIAS EN LA  LIGA ANTIOQUEÑA DE RUGBY,  EN LA MODALIDAD SEVENS Y QUINCES RAMA MASCULINA, EN CATEGORÍAS DE JUEGOS NACIONALES.</t>
  </si>
  <si>
    <t>PRESTACIÓN DE SERVICIOS DE UN ENTRENADOR ASISTENTE  PARA LA REALIZACIÓN DEL PROCESO SELECCIÓN, ENTRENAMIENTO DEPORTIVO Y PARTICIPACIÓN EN COMPETENCIAS EN LA LIGA ANTIOQUEÑA DE TRIATLÓN, EN LA MODALIDADES, DEPORTES Y CATEGORÍAS DE JUEGOS NACIONALES.</t>
  </si>
  <si>
    <t>PRESTACIÓN DE SERVICIOS DE UN ENTRENADOR ASISTENTE  PARA LA REALIZACIÓN DEL PROCESO SELECCIÓN, ENTRENAMIENTO DEPORTIVO Y PARTICIPACIÓN EN COMPETENCIAS EN LA LIGA DE CICLISMO DE ANTIOQUIA, EN LA MODALIDAD BMX, EN LOS DEPORTES Y CATEGORÍAS DE JUEGOS NACIONALES.</t>
  </si>
  <si>
    <t>PRESTACIÓN DE SERVICIOS DE UN ENTRENADOR PRINCIPAL PARA LA REALIZACIÓN DEL PROCESO DE SELECCIÓN, ENTRENAMIENTO DEPORTIVO Y PARTICIPACIÓN EN COMPETENCIAS EN LA LIGA ANTIOQUEÑA DE GIMNASIA,  EN LA MODALIDAD ARTÍSTICA FEMENINA Y COREOGRAFÍA, EN CATEGORÍAS DE JUEGOS NACIONALES.</t>
  </si>
  <si>
    <t>PRESTACIÓN DE SERVICIOS DE UN ENTRENADOR PRINCIPAL PARA LA REALIZACIÓN DEL PROCESO DE SELECCIÓN, ENTRENAMIENTO DEPORTIVO Y PARTICIPACIÓN EN COMPETENCIAS EN LA LIGA ANTIOQUEÑA DE GIMNASIA,   MODALIDAD ARTÍSTICA MASCULINA, EN CATEGORÍAS DE JUEGOS NACIONALES.</t>
  </si>
  <si>
    <t>MODIFICACIÓN  - CESIÓN</t>
  </si>
  <si>
    <t>LILIANA PATRICIA JIMENEZ OCAMPO</t>
  </si>
  <si>
    <t>PRESTACIÓN DE SERVICIOS DE APOYO A LA GESTIÓN EN LAS ACTIVIDADES DERIVADAS DE LOS PROGRAMAS QUE REALIZA LA OFICINA DE TALENTO HUMANO DE INDEPORTES ANTIOQUIA.</t>
  </si>
  <si>
    <t>CLAUDIA PATRICIA VELEZ ESCOBAR</t>
  </si>
  <si>
    <t xml:space="preserve">WALTER ANDRES AGUDELO TOBÓN </t>
  </si>
  <si>
    <t>PRESTACIÓN DE SERVICIOS PROFESIONALES EN LA ATENCIÓN FISIOTERAPÉUTICA DEPORTIVA DE LOS ATLETAS Y PARA-ATLETAS QUE APOYA INDEPORTES ANTIOQUIA.</t>
  </si>
  <si>
    <t>ADICION1: AL CONTRATO NO. 167 CON OBJETO:  PRESTACIÓN DE SERVICIOS PROFESIONALES COMO APOYO A LA GESTIÓN AMBIENTAL DE LOS PROYECTOS DE LA SUBGERENCIA DE ESCENARIOS DEPORTIVOS Y EQUIPAMIENTOS DE INDEPORTES ANTIOQUIA</t>
  </si>
  <si>
    <t>ADICIÓN Y PRROROGA</t>
  </si>
  <si>
    <t>045</t>
  </si>
  <si>
    <t>104 DÍAS</t>
  </si>
  <si>
    <t>PRESTACIÓN DE SERVICIOS DE APOYO A LA GESTIÓN PARA LA ADMINISTRACIÓN DEL SISTEMA DEPORTESANT.</t>
  </si>
  <si>
    <t>gastos de desplazamiento $8.100.000</t>
  </si>
  <si>
    <t xml:space="preserve">88 DÍAS </t>
  </si>
  <si>
    <t>JUAN MANUEL RAMIREZ CARDENAS</t>
  </si>
  <si>
    <t>gastos de desplazamiento $2,000,000</t>
  </si>
  <si>
    <t>047</t>
  </si>
  <si>
    <t>91 DÍAS</t>
  </si>
  <si>
    <t>PRESTACIÓN DE SERVICIOS PROFESIONALES EN LA ATENCIÓN DE LA SALUD BUCODENTAL DEPORTIVA DE LOS ATLETAS Y PARA ATLETAS QUE APOYA INDEPORTES ANTIOQUIA.</t>
  </si>
  <si>
    <t>CLAUDIA ELENA MOLINA GONZALEZ</t>
  </si>
  <si>
    <t>Gastos de desplazamiento 
$4.000.000</t>
  </si>
  <si>
    <t>PRESTACIÓN DE SERVICIOS PROFESIONALES PARA APOYAR EN LOS DIFERENTES PROCESOS DE LA SUBGERENCIA ADMINISTRATIVA Y FINANCIERA.</t>
  </si>
  <si>
    <t>PRESTACIÓN DE SERVICIOS DE APOYO A LA GESTIÓN ADMINISTRATIVA EN LA SUBGERENCIA ADMINISTRATIVA Y FINANCIERA DE INDEPORTES ANTIOQUIA</t>
  </si>
  <si>
    <t>LISSINIA AIDE CASTRO VELASQUEZ</t>
  </si>
  <si>
    <t>gastos de desplazamiento $4.200.003</t>
  </si>
  <si>
    <t xml:space="preserve">91 DÍAS </t>
  </si>
  <si>
    <t>PRESTACIÓN DE SERVICIOS PROFESIONALES PARA EL ACOMPAÑAMIENTO EN LA PLANIFICACIÓN, APLICACIÓN, EVALUACIÓN, AUDITORIA Y ACCIONES DE MEJORA DEL SG-SST Y SISTEMA DE GESTIÓN AMBIENTAL.</t>
  </si>
  <si>
    <t>PRESTACIÓN DE SERVICIOS DE APOYO A LA GESTIÓN PARA EL ACOMPAÑAMIENTO ADMINISTRATIVO Y FINANCIERO EN EL SEGUIMIENTO DE LOS PROGRAMAS, PROYECTOS, CONTRATOS Y/O CONVENIOS SUSCRITOS POR LA SUBGERENCIA DE DEPORTE ASOCIADO Y ALTOS LOGROS</t>
  </si>
  <si>
    <t>31 DÍAS</t>
  </si>
  <si>
    <t>gastos de desplazamiento 
$3.966.670</t>
  </si>
  <si>
    <t>86 DÍAS</t>
  </si>
  <si>
    <t>-</t>
  </si>
  <si>
    <t>050</t>
  </si>
  <si>
    <t>79 DÍAS</t>
  </si>
  <si>
    <t>gastos de desplazamiento $2.000.000</t>
  </si>
  <si>
    <t>81 DÍAS</t>
  </si>
  <si>
    <t xml:space="preserve">PRESTACIÓN DE SERVICIOS PROFESIONALES EN MATERIA JURÍDICA PARA APOYAR LOS PROCESOS JURÍDICOS DE LA OFICINA DE TALENTO HUMANO DE INDEPORTES ANTIOQUIA. </t>
  </si>
  <si>
    <t>gastos de desplazamiento $5.000.000</t>
  </si>
  <si>
    <t>052</t>
  </si>
  <si>
    <t>74 DÍAS</t>
  </si>
  <si>
    <t>=BUSCARX([@DOCUMENTO];PERSONAL_ACTIVO_2024[[#Todo];[Documento identidad]];PERSONAL_ACTIVO_2024[[#Todo];[Mail ]];0;0)</t>
  </si>
  <si>
    <t>77 DÍAS</t>
  </si>
  <si>
    <t>RENOVACIÓN LICENCIAMIENTO ARCGIS PARA INDEPORTES ANTIOQUIA.</t>
  </si>
  <si>
    <t>94 DÍAS</t>
  </si>
  <si>
    <t>PRESTACIÓN DE SERVICIOS DE UN ENTRENADOR PARA LA REALIZACIÓN DEL PROCESO DE PREPARACIÓN FÍSICA Y CONDICIONAL EN DEPORTES DE PARA-POWERLIFTING, TIRO PARA-DEPORTIVO Y PARA-TENIS DE MESA EN LAS MODALIDADES Y CATEGORÍAS DE JUEGOS PARANACIONALES.</t>
  </si>
  <si>
    <t>gastos de desplazamiento $3.000.000</t>
  </si>
  <si>
    <t>053</t>
  </si>
  <si>
    <t>56 DÍAS</t>
  </si>
  <si>
    <t>gastos de desplazamiento $1.300.000</t>
  </si>
  <si>
    <t>73 DÍAS</t>
  </si>
  <si>
    <t xml:space="preserve">Gastos de desplazamiento </t>
  </si>
  <si>
    <t>9 DÍAS</t>
  </si>
  <si>
    <t>gastos de desplazamiento $1.000.000</t>
  </si>
  <si>
    <t>68 DÍAS</t>
  </si>
  <si>
    <t>52 DÍAS</t>
  </si>
  <si>
    <t>89 DÍAS</t>
  </si>
  <si>
    <t>84 DÍAS</t>
  </si>
  <si>
    <t>82 DÍAS</t>
  </si>
  <si>
    <t>76 DÍAS</t>
  </si>
  <si>
    <t>70 DÍAS</t>
  </si>
  <si>
    <t xml:space="preserve">PRESTACIÓN DE SERVICIOS DE UN ENTRENADOR DE INICIACIÓN Y DESARROLLO DEPORTIVO PARA LA CONSECUCIÓN DE NUEVOS TALENTOS PARA LA LIGA ANTIOQUEÑA DE TEJO, QUE PUEDAN LLEGAR A LAS SELECCIONES DE ANTIOQUIA. </t>
  </si>
  <si>
    <t>69 DIAS</t>
  </si>
  <si>
    <t>60 DÍAS</t>
  </si>
  <si>
    <t>054</t>
  </si>
  <si>
    <t>49 DÍAS</t>
  </si>
  <si>
    <t>51 DÍAS</t>
  </si>
  <si>
    <t xml:space="preserve">SOCIEDAD DE TELEVISION DE ANTIOQUIA LIMITADA - TELEANTIOQUIA </t>
  </si>
  <si>
    <t>058</t>
  </si>
  <si>
    <t>44 DÍAS</t>
  </si>
  <si>
    <t>43 DÍAS</t>
  </si>
  <si>
    <t>ALEJANDRO ZULUAGA MORA</t>
  </si>
  <si>
    <t>DAVID CENDOYA OCAMPO</t>
  </si>
  <si>
    <t xml:space="preserve">69 DÍAS </t>
  </si>
  <si>
    <t>061</t>
  </si>
  <si>
    <t>059</t>
  </si>
  <si>
    <t>136 DÍAS</t>
  </si>
  <si>
    <t>38 DÍAS</t>
  </si>
  <si>
    <t>FRANCY STELLA QUICENO BERRIO</t>
  </si>
  <si>
    <t>55 DÍAS</t>
  </si>
  <si>
    <t>https://community.secop.gov.co/Public/Tendering/ContractNoticePhases/View?PPI=CO1.PPI.31520054&amp;isFromPublicArea=True&amp;isModal=False</t>
  </si>
  <si>
    <t>020
062</t>
  </si>
  <si>
    <t>1 AÑO</t>
  </si>
  <si>
    <t>CONTRATO RESCILIADO</t>
  </si>
  <si>
    <t>SUMINISTRO DE ARTÍCULOS DE ASEO Y CAFETERÍA CON DESTINO A LAS DEPENDENCIAS FÍSICAS DE INDEPORTES ANTIOQUIA</t>
  </si>
  <si>
    <t>062</t>
  </si>
  <si>
    <t xml:space="preserve">6 DÍAS </t>
  </si>
  <si>
    <t>CATALINA   VASQUEZ RAMIREZ</t>
  </si>
  <si>
    <t>10 DÍAS</t>
  </si>
  <si>
    <t>https://community.secop.gov.co/Public/Tendering/ContractNoticePhases/View?PPI=CO1.PPI.32008332&amp;isFromPublicArea=True&amp;isModal=False</t>
  </si>
  <si>
    <t>https://community.secop.gov.co/Public/Tendering/ContractNoticePhases/View?PPI=CO1.PPI.32006686&amp;isFromPublicArea=True&amp;isModal=False</t>
  </si>
  <si>
    <t>CONSECUTIVO ASIGNADO PERO NO UTILIZADO</t>
  </si>
  <si>
    <t>ADICIÓN AL CONVENIO 360 DE 2024 CUYO OBJETO ES:  CONVENIO CON LA LIGA ANTIOQUEÑA DE RUGBY FÚTBOL PARA CONTRIBUIR AL DESARROLLO DEL PROGRAMA DE ALTOS LOGROS Y LIDERAZGO DEPORTIVO PARA LA PREPARACIÓN Y PARTICIPACIÓN EN COMPETENCIAS DEPORTIVAS DE CARÁCTER NACIONAL E INTERNACIONAL DE LOS DEPORTISTAS QUE CONFORMAN LA SELECCIÓN ANTIOQUIA PARA JUEGOS NACIONALES Y PARANACIONALES</t>
  </si>
  <si>
    <t>ANDRES RENE HIGUITA ECHEVERRI</t>
  </si>
  <si>
    <t>https://community.secop.gov.co/Public/Tendering/ContractNoticePhases/View?PPI=CO1.PPI.32269691&amp;isFromPublicArea=True&amp;isModal=False</t>
  </si>
  <si>
    <t>https://community.secop.gov.co/Public/Tendering/ContractNoticePhases/View?PPI=CO1.PPI.31770656&amp;isFromPublicArea=True&amp;isModal=False</t>
  </si>
  <si>
    <t>https://community.secop.gov.co/Public/Tendering/ContractNoticePhases/View?PPI=CO1.PPI.32115289&amp;isFromPublicArea=True&amp;isModal=False</t>
  </si>
  <si>
    <t>https://community.secop.gov.co/Public/Tendering/ContractNoticePhases/View?PPI=CO1.PPI.31036057&amp;isFromPublicArea=True&amp;isModal=False</t>
  </si>
  <si>
    <t>LIGA DE NATACIÓN DE ANTIOQUIA</t>
  </si>
  <si>
    <t>https://community.secop.gov.co/Public/Tendering/ContractNoticePhases/View?PPI=CO1.PPI.32185941&amp;isFromPublicArea=True&amp;isModal=False</t>
  </si>
  <si>
    <t>https://community.secop.gov.co/Public/Tendering/ContractNoticePhases/View?PPI=CO1.PPI.32466849&amp;isFromPublicArea=True&amp;isModal=False</t>
  </si>
  <si>
    <t>https://community.secop.gov.co/Public/Tendering/ContractNoticePhases/View?PPI=CO1.PPI.32465403&amp;isFromPublicArea=True&amp;isModal=False</t>
  </si>
  <si>
    <t>https://community.secop.gov.co/Public/Tendering/ContractNoticePhases/View?PPI=CO1.PPI.32458804&amp;isFromPublicArea=True&amp;isModal=False</t>
  </si>
  <si>
    <t>https://community.secop.gov.co/Public/Tendering/ContractNoticePhases/View?PPI=CO1.PPI.32435246&amp;isFromPublicArea=True&amp;isModal=False</t>
  </si>
  <si>
    <t>https://community.secop.gov.co/Public/Tendering/ContractNoticePhases/View?PPI=CO1.PPI.32135518&amp;isFromPublicArea=True&amp;isModal=False</t>
  </si>
  <si>
    <t>MUNICIPIO DE SAN LUIS</t>
  </si>
  <si>
    <t>WILLIAM FERNANDO GOMEZ CORREA</t>
  </si>
  <si>
    <t>https://community.secop.gov.co/Public/Tendering/ContractNoticePhases/View?PPI=CO1.PPI.32415079&amp;isFromPublicArea=True&amp;isModal=False</t>
  </si>
  <si>
    <t>MUNICIPIO DE SAN JUAN DE URABÁ</t>
  </si>
  <si>
    <t>https://community.secop.gov.co/Public/Tendering/ContractNoticePhases/View?PPI=CO1.PPI.32426487&amp;isFromPublicArea=True&amp;isModal=False</t>
  </si>
  <si>
    <t>UNIVERSIDAD DE ANTIOQUIA</t>
  </si>
  <si>
    <t>https://community.secop.gov.co/Public/Tendering/ContractNoticePhases/View?PPI=CO1.PPI.32638565&amp;isFromPublicArea=True&amp;isModal=False</t>
  </si>
  <si>
    <t>MUNICIPIO DE SALGAR</t>
  </si>
  <si>
    <t>https://community.secop.gov.co/Public/Tendering/ContractNoticePhases/View?PPI=CO1.PPI.32425615&amp;isFromPublicArea=True&amp;isModal=False</t>
  </si>
  <si>
    <t>CONTRATO NO FUE APROBADO POR EL COMITÉ DE CONTRATACIÓN</t>
  </si>
  <si>
    <t>0</t>
  </si>
  <si>
    <t>JUNTA MUNICIPAL DE DEPORTES</t>
  </si>
  <si>
    <t>https://community.secop.gov.co/Public/Tendering/ContractNoticePhases/View?PPI=CO1.PPI.32414226&amp;isFromPublicArea=True&amp;isModal=False</t>
  </si>
  <si>
    <t>LIGA DE PATINAJE DE ANTIOQUIA</t>
  </si>
  <si>
    <t>https://community.secop.gov.co/Public/Tendering/ContractNoticePhases/View?PPI=CO1.PPI.32468939&amp;isFromPublicArea=True&amp;isModal=False</t>
  </si>
  <si>
    <t>6 MESES Y 15 DÍAS</t>
  </si>
  <si>
    <t>LIGA DE BOXEO DE ANTIOQUIA</t>
  </si>
  <si>
    <t>https://community.secop.gov.co/Public/Tendering/ContractNoticePhases/View?PPI=CO1.PPI.32468983&amp;isFromPublicArea=True&amp;isModal=False</t>
  </si>
  <si>
    <t>205 DÍAS</t>
  </si>
  <si>
    <t>LIGA ANTIOQUEÑA DE LUCHA</t>
  </si>
  <si>
    <t>https://community.secop.gov.co/Public/Tendering/ContractNoticePhases/View?PPI=CO1.PPI.32469786&amp;isFromPublicArea=True&amp;isModal=False</t>
  </si>
  <si>
    <t xml:space="preserve">195 DÍAS </t>
  </si>
  <si>
    <t>LIGA DE BILLAR DE ANTIOQUIA - LIDEBIAN</t>
  </si>
  <si>
    <t>033</t>
  </si>
  <si>
    <t>https://community.secop.gov.co/Public/Tendering/ContractNoticePhases/View?PPI=CO1.PPI.32544913&amp;isFromPublicArea=True&amp;isModal=False</t>
  </si>
  <si>
    <t>PRESTACIÓN DE SERVICIOS COMO ENTRENADOR INTERNACIONAL PARA COMPONENTES TÉCNICOS Y METODOLÓGICOS DE INDEPORTES ANTIOQUIA</t>
  </si>
  <si>
    <t>ALEXI LEIVA PAJAN</t>
  </si>
  <si>
    <t>https://community.secop.gov.co/Public/Tendering/ContractNoticePhases/View?PPI=CO1.PPI.32462800&amp;isFromPublicArea=True&amp;isModal=False</t>
  </si>
  <si>
    <t>LAZARO ALBERTO PASTOR CHIRINO</t>
  </si>
  <si>
    <t xml:space="preserve">YANISEL PEREZ ACUÑA </t>
  </si>
  <si>
    <t>YOSDANY NAVARRO MUÑOZ</t>
  </si>
  <si>
    <t>JUAN EUGENIO DAUDINOT CABALLERO</t>
  </si>
  <si>
    <t>RAYNEL LEÓN VILLAFAÑA</t>
  </si>
  <si>
    <t>MIGUEL ANGEL MUÑOZ SANCHEZ</t>
  </si>
  <si>
    <t xml:space="preserve">CAMILA GOMEZ MARIN </t>
  </si>
  <si>
    <t>https://community.secop.gov.co/Public/Tendering/ContractNoticePhases/View?PPI=CO1.PPI.32438056&amp;isFromPublicArea=True&amp;isModal=False</t>
  </si>
  <si>
    <t xml:space="preserve">6 MESES 14 DÍAS </t>
  </si>
  <si>
    <t xml:space="preserve">SELECCIÓN ABREVIADA MEDIANTE 
SUBASTA INVERSA PRESENCIAL </t>
  </si>
  <si>
    <t>CONSORCIO FORMA INVERAIZ INDEPORTES 2024</t>
  </si>
  <si>
    <t>https://community.secop.gov.co/Public/Tendering/ContractNoticePhases/View?PPI=CO1.PPI.31490283&amp;isFromPublicArea=True&amp;isModal=False</t>
  </si>
  <si>
    <t>Gastos de Desplazamiento $8.139.716</t>
  </si>
  <si>
    <t>https://community.secop.gov.co/Public/Tendering/ContractNoticePhases/View?PPI=CO1.PPI.32496082&amp;isFromPublicArea=True&amp;isModal=False</t>
  </si>
  <si>
    <t>194 días</t>
  </si>
  <si>
    <t>034</t>
  </si>
  <si>
    <t>https://community.secop.gov.co/Public/Tendering/ContractNoticePhases/View?PPI=CO1.PPI.32546002&amp;isFromPublicArea=True&amp;isModal=False</t>
  </si>
  <si>
    <t>190 DÍAS</t>
  </si>
  <si>
    <t>https://community.secop.gov.co/Public/Tendering/ContractNoticePhases/View?PPI=CO1.PPI.32548244&amp;isFromPublicArea=True&amp;isModal=False</t>
  </si>
  <si>
    <t>056</t>
  </si>
  <si>
    <t>https://community.secop.gov.co/Public/Tendering/ContractNoticePhases/View?PPI=CO1.PPI.32573881&amp;isFromPublicArea=True&amp;isModal=False</t>
  </si>
  <si>
    <t>LIGA ANTIOQUEÑA DE GIMNASIA - LIANGIMNASIA</t>
  </si>
  <si>
    <t>https://community.secop.gov.co/Public/Tendering/ContractNoticePhases/View?PPI=CO1.PPI.32754038&amp;isFromPublicArea=True&amp;isModal=False</t>
  </si>
  <si>
    <t>060</t>
  </si>
  <si>
    <t>VIVIANA VASQUEZ SILVA</t>
  </si>
  <si>
    <t>https://community.secop.gov.co/Public/Tendering/ContractNoticePhases/View?PPI=CO1.PPI.32759681&amp;isFromPublicArea=True&amp;isModal=False</t>
  </si>
  <si>
    <t>8 DÍAS</t>
  </si>
  <si>
    <t>LUISA FERNANDA MARTINEZ CABRA</t>
  </si>
  <si>
    <t>https://community.secop.gov.co/Public/Tendering/ContractNoticePhases/View?PPI=CO1.PPI.32577516&amp;isFromPublicArea=True&amp;isModal=False</t>
  </si>
  <si>
    <t xml:space="preserve">187 DÍAS </t>
  </si>
  <si>
    <t>SANDRA JANETH GARCIA ZABALA</t>
  </si>
  <si>
    <t>https://community.secop.gov.co/Public/Tendering/ContractNoticePhases/View?PPI=CO1.PPI.32707290&amp;isFromPublicArea=True&amp;isModal=False</t>
  </si>
  <si>
    <t>LUIS ALEJANDRO BEDOYA CONTRERAS</t>
  </si>
  <si>
    <t>https://community.secop.gov.co/Public/Tendering/ContractNoticePhases/View?PPI=CO1.PPI.32682809&amp;isFromPublicArea=True&amp;isModal=False</t>
  </si>
  <si>
    <t>6 MESES Y 14 DÍAS</t>
  </si>
  <si>
    <t>https://community.secop.gov.co/Public/Tendering/ContractNoticePhases/View?PPI=CO1.PPI.32905187&amp;isFromPublicArea=True&amp;isModal=False</t>
  </si>
  <si>
    <t>6 MESES Y 7 DÍAS</t>
  </si>
  <si>
    <t>https://community.secop.gov.co/Public/Tendering/ContractNoticePhases/View?PPI=CO1.PPI.32885710&amp;isFromPublicArea=True&amp;isModal=False</t>
  </si>
  <si>
    <t>https://community.secop.gov.co/Public/Tendering/ContractNoticePhases/View?PPI=CO1.PPI.32824122&amp;isFromPublicArea=True&amp;isModal=False</t>
  </si>
  <si>
    <t>OMAR JOSE VANEGAS TANGARIFE</t>
  </si>
  <si>
    <t>https://community.secop.gov.co/Public/Tendering/ContractNoticePhases/View?PPI=CO1.PPI.32687739&amp;isFromPublicArea=True&amp;isModal=False</t>
  </si>
  <si>
    <t>https://community.secop.gov.co/Public/Tendering/ContractNoticePhases/View?PPI=CO1.PPI.32984341&amp;isFromPublicArea=True&amp;isModal=False</t>
  </si>
  <si>
    <t>https://community.secop.gov.co/Public/Tendering/ContractNoticePhases/View?PPI=CO1.PPI.32785639&amp;isFro mPublicArea=True&amp;isModal=False</t>
  </si>
  <si>
    <t>LIGA ANTIOQUEÑA DE TIRO DEPORTIVO</t>
  </si>
  <si>
    <t>https://community.secop.gov.co/Public/Tendering/ContractNoticePhases/View?PPI=CO1.PPI.32754571&amp;isFromPublicArea=True&amp;isModal=False</t>
  </si>
  <si>
    <t xml:space="preserve">175 DÍAS </t>
  </si>
  <si>
    <t>INVERSIONES BLUCHER SAS</t>
  </si>
  <si>
    <t>https://community.secop.gov.co/Public/Tendering/ContractNoticePhases/View?PPI=CO1.PPI.31666044&amp;isFromPublicArea=True&amp;isModal=False</t>
  </si>
  <si>
    <t>LA CASA DEL DIDACTICO Y TECNOLOGICA S.A.S</t>
  </si>
  <si>
    <t xml:space="preserve">MUNICIPIO DE COCORNÁ </t>
  </si>
  <si>
    <t>Aporte municipio en especie $122.500.000
Valor total contrato $844.687.275</t>
  </si>
  <si>
    <t>https://community.secop.gov.co/Public/Tendering/ContractNoticePhases/View?PPI=CO1.PPI.32764107&amp;isFromPublicArea=True&amp;isModal=False</t>
  </si>
  <si>
    <t>MUNICIPIO DE SABANALARGA</t>
  </si>
  <si>
    <t>Aporte municipio en especie $50.700.000
Valor total contrato $348.215.045</t>
  </si>
  <si>
    <t>https://community.secop.gov.co/Public/Tendering/ContractNoticePhases/View?PPI=CO1.PPI.32768408&amp;isFromPublicArea=True&amp;isModal=False</t>
  </si>
  <si>
    <t>2  MESES</t>
  </si>
  <si>
    <t>Contrato resciliado, mensaje proceso SECOP</t>
  </si>
  <si>
    <t>Universidad Católica de Oriente – UCO</t>
  </si>
  <si>
    <t>https://community.secop.gov.co/Public/Tendering/ContractNoticePhases/View?PPI=CO1.PPI.32984966&amp;isFromPublicArea=True&amp;isModal=False</t>
  </si>
  <si>
    <t>JOHN ALBERTO BETANCUR MAYA</t>
  </si>
  <si>
    <t>https://community.secop.gov.co/Public/Tendering/ContractNoticePhases/View?PPI=CO1.PPI.32892250&amp;isFromPublicArea=True&amp;isModal=False</t>
  </si>
  <si>
    <t>MUNICIPIO DE CISNEROS</t>
  </si>
  <si>
    <t>218020000
Aportes Municipio</t>
  </si>
  <si>
    <t>https://community.secop.gov.co/Public/Tendering/ContractNoticePhases/View?PPI=CO1.PPI.32987591&amp;isFromPublicArea=True&amp;isModal=False</t>
  </si>
  <si>
    <t>LEIDY JOHANA GALLEGO GALLEGO</t>
  </si>
  <si>
    <t>SIN POLIZA</t>
  </si>
  <si>
    <t>https://community.secop.gov.co/Public/Tendering/ContractNoticePhases/View?PPI=CO1.PPI.32879528&amp;isFromPublicArea=True&amp;isModal=False</t>
  </si>
  <si>
    <t>5 MESES 26 DÍAS</t>
  </si>
  <si>
    <t>PRESTACIÓN DE SERVICIOS COMO ADMINISTRADORA DE NEGOCIOS PARA INDEPORTES ANTIOQUIA</t>
  </si>
  <si>
    <t>CATALINA QUINTERO GARCÍA</t>
  </si>
  <si>
    <t>GASTOS DE 
DESPLAZAMIENTO
$4.356.752</t>
  </si>
  <si>
    <t>https://community.secop.gov.co/Public/Tendering/ContractNoticePhases/View?PPI=CO1.PPI.32900840&amp;isFromPublicArea=True&amp;isModal=False</t>
  </si>
  <si>
    <r>
      <rPr>
        <sz val="12"/>
        <color rgb="FF000000"/>
        <rFont val="Aptos Narrow"/>
        <family val="2"/>
        <scheme val="minor"/>
      </rPr>
      <t xml:space="preserve">5 MESES </t>
    </r>
    <r>
      <rPr>
        <sz val="12"/>
        <color rgb="FFFF0000"/>
        <rFont val="Aptos Narrow"/>
        <family val="2"/>
        <scheme val="minor"/>
      </rPr>
      <t>26 DÍAS</t>
    </r>
  </si>
  <si>
    <t>PRINCESA MARIA OLIVEROS BOHORQUEZ</t>
  </si>
  <si>
    <t xml:space="preserve">39311632
</t>
  </si>
  <si>
    <t xml:space="preserve">   4,908,936.00</t>
  </si>
  <si>
    <t>https://community.secop.gov.co/Public/Tendering/ContractNoticePhases/View?PPI=CO1.PPI.32905762&amp;isFromPublicArea=True&amp;isModal=False</t>
  </si>
  <si>
    <t>160 días</t>
  </si>
  <si>
    <t>NORALDO PALACIOS RIVAS</t>
  </si>
  <si>
    <t>MANUEL ARTURO OREJUELA MOSQUERA</t>
  </si>
  <si>
    <t>JORGE LUIS VIVAS PALACIOS</t>
  </si>
  <si>
    <t xml:space="preserve">   3,952,382.00</t>
  </si>
  <si>
    <t>WILSON ALEXANDER GARCÍA ARBOLEDA</t>
  </si>
  <si>
    <t xml:space="preserve">   2,574,842.00</t>
  </si>
  <si>
    <t>159 días</t>
  </si>
  <si>
    <t>JUAN FERNANDO BONILLA SERNA</t>
  </si>
  <si>
    <t>VALENTINA HIDALGO LÓPEZ,</t>
  </si>
  <si>
    <t>Yonathan Uribe Pérez</t>
  </si>
  <si>
    <t>Yonier Uribe Pérez</t>
  </si>
  <si>
    <t xml:space="preserve">   6,920,169.00</t>
  </si>
  <si>
    <t>Zulay Tatiana Gil Aristizábal</t>
  </si>
  <si>
    <t>DAVID SANTIAGO SANCHEZ PUERTA</t>
  </si>
  <si>
    <t>MUNICIPIO DE CAROLINA DEL PRINCIPE</t>
  </si>
  <si>
    <t>Aportes Municipio $94.655.800</t>
  </si>
  <si>
    <t>https://community.secop.gov.co/Public/Tendering/ContractNoticePhases/View?PPI=CO1.PPI.33113518&amp;isFromPublicArea=True&amp;isModal=False</t>
  </si>
  <si>
    <t>2 meses</t>
  </si>
  <si>
    <t>LIGA ANTIOQUEÑA DE BALONMANO</t>
  </si>
  <si>
    <t>https://community.secop.gov.co/Public/Tendering/ContractNoticePhases/View?PPI=CO1.PPI.32933159&amp;isFromPublicArea=True&amp;isModal=False</t>
  </si>
  <si>
    <t>5 MESES Y 15 DÍAS</t>
  </si>
  <si>
    <t>JUAN SEBASTIAN MALDONADO ALVAREZ</t>
  </si>
  <si>
    <t>https://community.secop.gov.co/Public/Tendering/ContractNoticePhases/View?PPI=CO1.PPI.32916508&amp;isFromPublicArea=True&amp;isModal=False</t>
  </si>
  <si>
    <t>5 MESES Y 26 DÍAS</t>
  </si>
  <si>
    <t>MUNICIPIO DE JERICÓ</t>
  </si>
  <si>
    <t>Aportes Municipio
$ 49.400.000</t>
  </si>
  <si>
    <t>037</t>
  </si>
  <si>
    <t>https://community.secop.gov.co/Public/Tendering/ContractNoticePhases/View?PPI=CO1.PPI.32995621&amp;isFromPublicArea=True&amp;isModal=False</t>
  </si>
  <si>
    <t>JUAN FERNANDO ORTIZ ARANGO</t>
  </si>
  <si>
    <t>GASTOS DE DESPLAZAMIENTO POR
$8,000,000</t>
  </si>
  <si>
    <t>https://community.secop.gov.co/Public/Tendering/ContractNoticePhases/View?PPI=CO1.PPI.32985147&amp;isFromPublicArea=True&amp;isModal=False</t>
  </si>
  <si>
    <t>170 DIAS</t>
  </si>
  <si>
    <t>CONVENIO INTERADMINISTRATIVO PARA EL APOYO EN EL DESARROLLO DE LOS FESTIVALES DEPORTIVOS ESCOLARES DE INDEPORTES ANTIOQUIA, EN LA SUBREGIÓN DEL URABÁ, QUE TENDRÁ COMO SEDE EL MUNICIPIO DE CAREPA, ANTIOQUIA</t>
  </si>
  <si>
    <t>INSTITUTO MUNICIPAL DE DEPORTES DEL MUNICIPIO DE CAREPA</t>
  </si>
  <si>
    <t>Aportes Instituto $100.670.000</t>
  </si>
  <si>
    <t>https://community.secop.gov.co/Public/Tendering/ContractNoticePhases/View?PPI=CO1.PPI.33022643&amp;isFromPublicArea=True&amp;isModal=False</t>
  </si>
  <si>
    <t>LIGA DE ATLETISMO DE ANTIOQUIA - LIGATLE_x000D_</t>
  </si>
  <si>
    <t>https://community.secop.gov.co/Public/Tendering/ContractNoticePhases/ViewPPI=CO1.PPI.32994197&amp;isFromPublicArea=True&amp;isModal=False</t>
  </si>
  <si>
    <t>1 mes</t>
  </si>
  <si>
    <t>COMODATO</t>
  </si>
  <si>
    <t>Avaluo bienes $ 4.456.774.138</t>
  </si>
  <si>
    <t>https://community.secop.gov.co/Public/Tendering/ContractNoticePhases/View?PPI=CO1.PPI.33039372&amp;isFromPublicArea=True&amp;isModal=False</t>
  </si>
  <si>
    <t>3 AÑOS Y 6 MESES</t>
  </si>
  <si>
    <t>YENIFER ALZATE VALENCIA</t>
  </si>
  <si>
    <t>https://community.secop.gov.co/Public/Tendering/ContractNoticePhases/View?PPI=CO1.PPI.33236315&amp;isFromPublicArea=True&amp;isModal=False</t>
  </si>
  <si>
    <t>154 DIAS</t>
  </si>
  <si>
    <t>PRESTACIÓN DE SERVICIOS DE UN ENTRENADOR DE ACTIVIDADES SUBACUÁTICAS PARA INDEPORTES ANTIOQUIA.</t>
  </si>
  <si>
    <t>YESICA ALEJANDRA SALZAR SOLORZANO</t>
  </si>
  <si>
    <t>https://community.secop.gov.co/Public/Tendering/ContractNoticePhases/View?PPI=CO1.PPI.33019536&amp;isFromPublicArea=True&amp;isModal=False</t>
  </si>
  <si>
    <t>PRESTACIÓN DE SERVICIOS DE UN ENTRENADOR DE BOXEO PARA INDEPORTES ANTIOQUIA.</t>
  </si>
  <si>
    <t>WILFRIDO DANIEL BALDOVINO ACOSTA</t>
  </si>
  <si>
    <t>https://community.secop.gov.co/Public/Tendering/ContractNoticePhases/View?PPI=CO1.PPI.33020055&amp;isFromPublicArea=True&amp;isModal=False</t>
  </si>
  <si>
    <t>CONVENIO CON LA LIGA DE BEISBOL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</si>
  <si>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LIGA DE BEISBOL DE ANTIOQUIA</t>
  </si>
  <si>
    <t>https://community.secop.gov.co/Public/Tendering/ContractNoticePhases/View?PPI=CO1.PPI.33021192&amp;isFromPublicArea=True&amp;isModal=False</t>
  </si>
  <si>
    <t>160 DIAS</t>
  </si>
  <si>
    <t xml:space="preserve">CONVENIO CON LA LIGA DE AJEDREZ DE ANTIOQUIA PARA CONTRIBUIR AL DESARROLLO DEL PROGRAMA DE ALTOS LOGROS Y LIDERAZGO DEPORTIVO PARA LA PREPARACIÓN Y PARTICIPACIÓN EN COMPETENCIAS DEPORTIVAS DE CARÁCTER NACIONAL E INTERNACIONAL DE LOS DEPORTISTAS QUE CONFORMAN LA SELECCIÓN ANTIOQUIA PARA JUEGOS NACIONALES.
</t>
  </si>
  <si>
    <t>LIGA DE AJEDREZ DE ANTIOQUIA</t>
  </si>
  <si>
    <t>https://community.secop.gov.co/Public/Tendering/ContractNoticePhases/View?PPI=CO1.PPI.33021517&amp;isFromPublicArea=True&amp;isModal=False</t>
  </si>
  <si>
    <t>CONVENIO CON LA LIGA DE DEPORTISTAS CON DISCAPACIDAD VISUAL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</si>
  <si>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LIGA DE DEPORTISTAS CON DISCAPACIDAD VISUAL DE ANTIOQUIA</t>
  </si>
  <si>
    <t>https://community.secop.gov.co/Public/Tendering/ContractNoticePhases/View?PPI=CO1.PPI.33021596&amp;isFromPublicArea=True&amp;isModal=False</t>
  </si>
  <si>
    <t>160 DÍAS</t>
  </si>
  <si>
    <t>CONTRATO INTERADMINISTRATIVO DE MANDATO SIN REPRESENTACIÓN BAJO LA MODALIDAD DE ADMINISTRACIÓN DELEGADA DE RECURSOS PARA LA PRESTACIÓN DE SERVICIOS DE TRANSPORTE PARA EL DESARROLLO DE LAS ACTIVIDADES DE INDEPORTES ANTIOQUIA.</t>
  </si>
  <si>
    <t xml:space="preserve">RENTING DE ANTIOQUIA  </t>
  </si>
  <si>
    <t>YENIFER MARCELA AVENDAÑO BERNAL</t>
  </si>
  <si>
    <t>155 DIAS</t>
  </si>
  <si>
    <t>CORPORACION ACCIONES INNOVADORAS</t>
  </si>
  <si>
    <t>https://community.secop.gov.co/Public/Tendering/ContractNoticePhases/View?PPI=CO1.PPI.33378524&amp;isFromPublicArea=True&amp;isModal=False</t>
  </si>
  <si>
    <t>PRESTACIÓN DE SERVICIOS PARA CAPACITACIONES EN ADMINISTRACIÓN, MÁRKETING, GESTIÓN Y PLANIFICACIÓN DEPORTIVA</t>
  </si>
  <si>
    <t>UNIVERSIDAD AUTONOMA LATINOAMERICANA UNAULA</t>
  </si>
  <si>
    <t>https://community.secop.gov.co/Public/Tendering/ContractNoticePhases/View?PPI=CO1.PPI.33371298&amp;isFromPublicArea=True&amp;isModal=False</t>
  </si>
  <si>
    <t>GASTOS DE DESPLAZAMIENTO $4.400.000</t>
  </si>
  <si>
    <t>038</t>
  </si>
  <si>
    <t>https://community.secop.gov.co/Public/Tendering/ContractNoticePhases/View?PPI=CO1.PPI.33145543&amp;isFromPublicArea=True&amp;isModal=False</t>
  </si>
  <si>
    <t>158 DIAS</t>
  </si>
  <si>
    <t>CONVENIO CON LA LIGA ANTIOQUEÑA DE ESGRIMA PARA CONTRIBUIR AL DESARROLLO DEL PROGRAMA DE ALTOS LOGROS Y LIDERAZGO DEPORTIVO PARA LA PREPARACIÓN Y PARTICIPACIÓN EN COMPETENCIAS DEPORTIVAS DE CARÁCTER NACIONAL E INTERNACIONAL DE LOS DEPORTISTAS QUE CONFORMAN LA SELECCIÓN ANTIOQUIA PARA JUEGOS NACIONALES.</t>
  </si>
  <si>
    <t>LIGA ANTIOQUEÑA DE ESGRIMA</t>
  </si>
  <si>
    <t>https://community.secop.gov.co/Public/Tendering/ContractNoticePhases/View?PPI=CO1.PPI.33204605&amp;isFromPublicArea=True&amp;isModal=False</t>
  </si>
  <si>
    <t>CONVENIO CON LA LIGA ANTIOQUEÑA DE ARQUERÍA PARA CONTRIBUIR A LA PREPARACIÓN DE LOS ATLETAS QUE CONFORMAN LA SELECCIÓN ANTIOQUIA PARA LA PARTICIPACIÓN EN LOS JUEGOS NACIONALES DEPORTIVOS JUVENILES 2024.</t>
  </si>
  <si>
    <t>LIGA ANTIOQUEÑA DE ARQUERIA</t>
  </si>
  <si>
    <t>https://community.secop.gov.co/Public/Tendering/ContractNoticePhases/View?PPI=CO1.PPI.33205929&amp;isFromPublicArea=True&amp;isModal=False</t>
  </si>
  <si>
    <t>CONVENIO CON LA LIGA ANTIOQUEÑA DE TAEKWONDO PARA CONTRIBUIR AL DESARROLLO DEL PROGRAMA DE ALTOS LOGROS Y LIDERAZGO DEPORTIVO PARA LA PREPARACIÓN Y PARTICIPACIÓN EN COMPETENCIAS DEPORTIVAS DE CARÁCTER NACIONAL E INTERNACIONAL DE LOS DEPORTISTAS QUE CONFORMAN LA SELECCIÓN ANTIOQUIA PARA JUEGOS NACIONALES</t>
  </si>
  <si>
    <t>LIGA ANTIOQUEÑA DE TAEKWONDO</t>
  </si>
  <si>
    <t>https://community.secop.gov.co/Public/Tendering/ContractNoticePhases/View?PPI=CO1.PPI.33203487&amp;isFromPublicArea=True&amp;isModal=False</t>
  </si>
  <si>
    <t>CONVENIO CON LA LIGA DE TENIS DE MESA DE ANTIOQUIA PARA CONTRIBUIR AL DESARROLLO DEL PROGRAMA DE ALTOS LOGROS Y LIDERAZGO DEPORTIVO PARA LA PREPARACIÓN Y PARTICIPACIÓN EN COMPETENCIAS DEPORTIVAS DE CARÁCTER NACIONAL E INTERNACIONAL DE LOS DEPORTISTAS QUE CONFORMAN LA SELECCIÓN ANTIOQUIA PARA JUEGOS NACIONALES.</t>
  </si>
  <si>
    <t>LIGA DE TENIS DE MESA DE ANTIOQUIA</t>
  </si>
  <si>
    <t xml:space="preserve">  NA  </t>
  </si>
  <si>
    <t>https://community.secop.gov.co/Public/Tendering/ContractNoticePhases/View?PPI=CO1.PPI.33206089&amp;isFromPublicArea=True&amp;isModal=False</t>
  </si>
  <si>
    <t>CONVENIO CON LA LIGA ANTIOQUEÑA DE LEVANTAMIENTO DE PESAS PARA CONTRIBUIR AL DESARROLLO DEL PROGRAMA DE ALTOS LOGROS Y LIDERAZGO DEPORTIVO PARA LA PREPARACIÓN Y PARTICIPACIÓN EN COMPETENCIAS DEPORTIVAS DE CARÁCTER NACIONAL E INTERNACIONAL DE LOS DEPORTISTAS QUE CONFORMAN LA SELECCIÓN ANTIOQUIA PARA JUEGOS NACIONALES.</t>
  </si>
  <si>
    <t>https://community.secop.gov.co/Public/Tendering/ContractNoticePhases/View?PPI=CO1.PPI.33207058&amp;isFromPublicArea=True&amp;isModal=False</t>
  </si>
  <si>
    <t>PRESTACIÓN DE SERVICIOS PROFESIONALES COMO INGENIERO PARA INDEPORTES ANTIOQUIA.</t>
  </si>
  <si>
    <t>GUILLERMO LEÓN RENDÓN RENDÓN</t>
  </si>
  <si>
    <t>https://community.secop.gov.co/Public/Tendering/ContractNoticePhases/View?PPI=CO1.PPI.33299039&amp;isFromPublicArea=True&amp;isModal=False</t>
  </si>
  <si>
    <t>SINDICATO ANTIOQUIEÑO DE ANESTESIOLOGIA - ANESTECIAR</t>
  </si>
  <si>
    <t>https://community.secop.gov.co/Public/Tendering/ContractNoticePhases/View?PPI=CO1.PPI.33642110&amp;isFromPublicArea=True&amp;isModal=False</t>
  </si>
  <si>
    <t>134 DÍAS</t>
  </si>
  <si>
    <t>CARLOS ALBERTO OJEDA MEJÍA</t>
  </si>
  <si>
    <t>https://community.secop.gov.co/Public/Tendering/ContractNoticePhases/View?PPI=CO1.PPI.33149908&amp;isFromPublicArea=True&amp;isModal=False</t>
  </si>
  <si>
    <t>145 DIAS</t>
  </si>
  <si>
    <t>039</t>
  </si>
  <si>
    <t>https://community.secop.gov.co/Public/Tendering/ContractNoticePhases/View?PPI=CO1.PPI.33344261&amp;isFromPublicArea=True&amp;isModal=False</t>
  </si>
  <si>
    <t xml:space="preserve">4 MESES Y 25 DÍAS </t>
  </si>
  <si>
    <t>LIGA DE TENIS CAMPO DE ANTIOQUIA - L.A.T.</t>
  </si>
  <si>
    <t>https://community.secop.gov.co/Public/Tendering/ContractNoticePhases/View?PPI=CO1.PPI.33345212&amp;isFromPublicArea=True&amp;isModal=False</t>
  </si>
  <si>
    <t>SIMÓN PINEDA DUQUE</t>
  </si>
  <si>
    <t>ARACELLY ARREDONDO PALACIO</t>
  </si>
  <si>
    <t>https://community.secop.gov.co/Public/Tendering/ContractNoticePhases/View?PPI=CO1.PPI.33377937&amp;isFro mPublicArea=True&amp;isModal=False</t>
  </si>
  <si>
    <t xml:space="preserve">149 DÍAS </t>
  </si>
  <si>
    <t>Aportes Municipio
$193.120.000
Total Contrato $399.279.191</t>
  </si>
  <si>
    <t>https://community.secop.gov.co/Public/Tendering/ContractNoticePhases/View?PPI=CO1.PPI.33797673&amp;isFromPublicArea=True&amp;isModal=False</t>
  </si>
  <si>
    <t>DARLYN VANESA OTALVARO MONTOYA</t>
  </si>
  <si>
    <t>Gastos de Desplazamiento $3.000.000</t>
  </si>
  <si>
    <t>040</t>
  </si>
  <si>
    <t>https://community.secop.gov.co/Public/Tendering/ContractNoticePhases/View?PPI=CO1.PPI.33452158&amp;isFromPublicArea=True&amp;isModal=False</t>
  </si>
  <si>
    <t xml:space="preserve">4 MESES Y 19 DÍAS </t>
  </si>
  <si>
    <t>DEIVY JOHAN MEJIA TORRES</t>
  </si>
  <si>
    <t>https://community.secop.gov.co/Public/Tendering/ContractNoticePhases/View?PPI=CO1.PPI.33446639&amp;isFromPublicArea=True&amp;isModal=False</t>
  </si>
  <si>
    <t xml:space="preserve">4 MESES Y 17 DÍAS </t>
  </si>
  <si>
    <t>Gastos de Desplazamiento $9.000.000</t>
  </si>
  <si>
    <t>https://community.secop.gov.co/Public/Tendering/ContractNoticePhases/View?PPI=CO1.PPI.33483625&amp;isFromPublicArea=True&amp;isModal=False</t>
  </si>
  <si>
    <t>Gastos de Desplazamiento $4.000.000</t>
  </si>
  <si>
    <t>https://community.secop.gov.co/Public/Tendering/ContractNoticePhases/View?PPI=CO1.PPI.33481920&amp;isFromPublicArea=True&amp;isModal=False</t>
  </si>
  <si>
    <t>Gastos de Desplazamiento $8.000.000</t>
  </si>
  <si>
    <t>https://community.secop.gov.co/Public/Tendering/ContractNoticePhases/View?PPI=CO1.PPI.33484853&amp;isFromPublicArea=True&amp;isModal=False</t>
  </si>
  <si>
    <t>Aportes Municipio
$39.400.000
Total Contrato $265.364.521</t>
  </si>
  <si>
    <t>https://community.secop.gov.co/Public/Tendering/ContractNoticePhases/View?PPI=CO1.PPI.33797355&amp;isFromPublicArea=True&amp;isModal=False</t>
  </si>
  <si>
    <t>LUIS MIGUEL CUENCA MONTOYA</t>
  </si>
  <si>
    <t>https://community.secop.gov.co/Public/Tendering/ContractNoticePhases/View?PPI=CO1.PPI.33510066&amp;isFromPublicArea=True&amp;isModal=False</t>
  </si>
  <si>
    <t>4 MESES Y 2 DÍAS</t>
  </si>
  <si>
    <t>RICARDO PINZON MUÑOZ</t>
  </si>
  <si>
    <t>https://community.secop.gov.co/Public/Tendering/ContractNoticePhases/View?PPI=CO1.PPI.33514264&amp;isFromPublicArea=True&amp;isModal=False</t>
  </si>
  <si>
    <t>LUIS FERNANDO LOPERA MORALES</t>
  </si>
  <si>
    <t>https://community.secop.gov.co/Public/Tendering/ContractNo ticePhases/View?PPI=CO1.PPI.33514264&amp;isFromPublicArea=Tr ue&amp;isModal=False</t>
  </si>
  <si>
    <t>ANA MARIA LOPERA RINCON</t>
  </si>
  <si>
    <t>https://community.secop.gov.co/Public/Tendering/ContractNo ticePhases/View?PPI=CO1.PPI.33510066&amp;isFromPublicArea=Tr ue&amp;isModal=False</t>
  </si>
  <si>
    <t>DEISY VERONICA MAZO GARCES</t>
  </si>
  <si>
    <t>MONICA VIVIANA OSPINA OROZCO</t>
  </si>
  <si>
    <t>JUAN DAVID CASTAÑEDA TOBON</t>
  </si>
  <si>
    <t>DAVID ALONSO SANCHEZ POSADA</t>
  </si>
  <si>
    <t>JAIME ORLANDO HOYOS ISAZA</t>
  </si>
  <si>
    <t xml:space="preserve">EDWIN JOVANNY MENESES QUINTERO </t>
  </si>
  <si>
    <t>https://community.secop.gov.co/Public/Tendering/ContractNoticePhases/View?PPI=CO1.PPI.33515683&amp;isFromPublicArea=True&amp;isModal=False</t>
  </si>
  <si>
    <t>DIEGO ALBERTO MONTOYA GOMEZ</t>
  </si>
  <si>
    <t>JUAN CARLOS OSPINA RUIZ</t>
  </si>
  <si>
    <t>JUAN DAVID ACEVEDO FLOREZ</t>
  </si>
  <si>
    <t>IVAN HUMBERTO GERMAN ALVAREZ</t>
  </si>
  <si>
    <t>RUBEN DARIO ARROYAVE RESTREPO</t>
  </si>
  <si>
    <t>https://community.secop.gov.co/Public/Tendering/ContractNohttps://community.secop.gov.co/Public/Tendering/ContractNoticePhases/View?PPI=CO1.PPI.33510066&amp;isFromPublicArea=True&amp;isModal=False</t>
  </si>
  <si>
    <t>https://community.secop.gov.co/Public/Tendering/ContractNoticePhases/View?PPI=CO1.PPI.33510066&amp;isFromPublicArea=Tr
ue&amp;isModal=False</t>
  </si>
  <si>
    <t>OSCAR ALONSO ZULUAGA HERNANDEZ</t>
  </si>
  <si>
    <t>EDGAR MOSQUERA PALACIO</t>
  </si>
  <si>
    <t>JOHANA MARCELA ARAQUE MEJIA</t>
  </si>
  <si>
    <t>DIONI ESTEBAN SANCHEZ DIOSA</t>
  </si>
  <si>
    <t>JUAN CARLOS MUÑOZ AGUDELO</t>
  </si>
  <si>
    <t>JUAN PABLO PEREZ MEDINA</t>
  </si>
  <si>
    <t>MONICA MARIA CORTINEZ BEDOYA</t>
  </si>
  <si>
    <t>3 MESES Y 29 DÍAS</t>
  </si>
  <si>
    <t xml:space="preserve">ANGEL HORACIO BARRIOS HERNANDEZ </t>
  </si>
  <si>
    <t>https://community.secop.gov.co/Public/Tendering/ContractNoticePhases/View?PPI=CO1.PPI.33510066&amp;isFromPublicArea=TrticePhases/View?PPI=CO1.PPI.33510066&amp;isFromPublicArea=Tr</t>
  </si>
  <si>
    <t>YEISON ALEJANDRO HINESTROZA PARRA</t>
  </si>
  <si>
    <t>CRISTINA RAMIREZ MORALES</t>
  </si>
  <si>
    <t>DIEGO ALEXANDER LOPERA GIRALDO</t>
  </si>
  <si>
    <t>4 MESES Y 22 DÍAS</t>
  </si>
  <si>
    <t>LUIS JHONLEY MOSQUERA MURILLO</t>
  </si>
  <si>
    <t>LIBARDO ANTONIO HOYOS CARMONA</t>
  </si>
  <si>
    <t>RAUL DIAZ QUEJADA</t>
  </si>
  <si>
    <t>https://community.secop.gov.co/Public/Tendering/ContractNoticePhases/View?PPI=CO1.PPI.33510066&amp;isFromPublicArea=Tr ue&amp;isModal=False</t>
  </si>
  <si>
    <t>REGLA SANDRINO IZQUIERDO</t>
  </si>
  <si>
    <t>HERNAN ALONSO OSORIO ESTRADA</t>
  </si>
  <si>
    <t>https://community.secop.gov.co/Public/Tendering/ContractNo ticePhases/View?PPI=CO1.PPI.33510066&amp;isFromPublicArea=ue&amp;isModal=False</t>
  </si>
  <si>
    <t>LUIS ALFONSO VARELA</t>
  </si>
  <si>
    <t>YEFERSON CORREA CANO</t>
  </si>
  <si>
    <t>JOHN ALEXANDER HOYOS OCAMPO</t>
  </si>
  <si>
    <t>MOISES ALFREDO REQUENA PIÑA</t>
  </si>
  <si>
    <t>ENMANUEL HOYOS VICTORIA</t>
  </si>
  <si>
    <t>IVAN DE JESUS DUQUE ARANGO</t>
  </si>
  <si>
    <t>JUAN DAVID CORTES AGUDELO</t>
  </si>
  <si>
    <t>OSCAR WILLINGTON ORTIZ VELASQUEZ</t>
  </si>
  <si>
    <t xml:space="preserve">https://community.secop.gov.co/Public/Tendering/ContractNo ticePhases/View?PPI=CO1.PPI.33514264&amp;isFromPublicArea=Tr  ticePhases/View?PPI=CO1.PPI.33514264&amp;isFromPublicArea=Tr </t>
  </si>
  <si>
    <t>JULIO YOANDY PEREZ MARTINEZ</t>
  </si>
  <si>
    <t>DIANA MARCELA URAN SALAZAR</t>
  </si>
  <si>
    <t>MAURICIO GIRALDO VILLA</t>
  </si>
  <si>
    <t>TATIANA LEON VALENCIA</t>
  </si>
  <si>
    <t>https://community.secop.gov.co/Public/Tendering/ContractNoticePhases/View?PPI=CO1.PPI.33514264&amp;isFromPublicArea=TrticePhases/View?PPI=CO1.PPI.33514264&amp;isFromPublicArea=Tr</t>
  </si>
  <si>
    <t>DIEGO ANDRES POSADA GIRALDO</t>
  </si>
  <si>
    <t>JUAN SEBASTIAN GIRALDO RAMIREZ</t>
  </si>
  <si>
    <t>YEFREY ALEXANDER JARAMILLO CEBALLOS</t>
  </si>
  <si>
    <t>PEDRO MANUEL HERNANDEZ LUNA</t>
  </si>
  <si>
    <t>JAIRO ANIBAL COSSIO ZAPATA</t>
  </si>
  <si>
    <t>JUAN FRANCISCO RUIZ MORELOS</t>
  </si>
  <si>
    <t>LUIS CARLOS SANTAMARIA OSUNA</t>
  </si>
  <si>
    <t>MARTHA CECILIA PEMBERTY MAZO</t>
  </si>
  <si>
    <t>JHONATAN ALBERTO OJEDA LEON</t>
  </si>
  <si>
    <t>CESAR AUGUSTO ACEVEDO ARANGO</t>
  </si>
  <si>
    <t>HECTOR HERNANDO PEREZ MUÑOZ</t>
  </si>
  <si>
    <t>JORGE WILSON JARAMILLO CEBALLOS</t>
  </si>
  <si>
    <t>CARLOS ALBERTO OROZCO SANCHEZ</t>
  </si>
  <si>
    <t>MONICA MARIA PICON VALENCIA</t>
  </si>
  <si>
    <t xml:space="preserve">https://community.secop.gov.co/Public/Tendering/ContractNo ticePhases/View?PPI=CO1.PPI.33510066&amp;isFromPublicArea=Tr  ticePhases/View?PPI=CO1.PPI.33510066&amp;isFromPublicArea=Tr </t>
  </si>
  <si>
    <t>EMMANUEL VELASQUEZ ALZATE</t>
  </si>
  <si>
    <t>MARIA CAMILA CRESPO SALAZAR</t>
  </si>
  <si>
    <t>JOSE FERNANDO GOMEZ GIRALDO</t>
  </si>
  <si>
    <t>ALVARO DUBAN MUÑOZ ECHEVERRI</t>
  </si>
  <si>
    <t>JUANA RUEDA VARGAS</t>
  </si>
  <si>
    <t>URIEL GIL RENDON</t>
  </si>
  <si>
    <t>JOHN ALEJANDRO MACIAS GIL</t>
  </si>
  <si>
    <t>JAIR MANUEL GIL DIAZ</t>
  </si>
  <si>
    <t>DIEGO ALEJANDRO MEDINA GOMEZ</t>
  </si>
  <si>
    <t>LAISY FONSECA RAMIREZ</t>
  </si>
  <si>
    <t>LEONARDO FABIO GONZALEZ GARCIA</t>
  </si>
  <si>
    <t>JUAN CARLOS MONTOYA URIBE</t>
  </si>
  <si>
    <t>JUAN CAMILO CARDENAS ZAPATA</t>
  </si>
  <si>
    <t>ANYELA MARCELA RIVAS MORENO</t>
  </si>
  <si>
    <t>HENRY JHONHADER PANESSO RIVERA</t>
  </si>
  <si>
    <t>ESTEBAN ALBERTO VALDERRAMA QUICENO</t>
  </si>
  <si>
    <t>IVAN ALEJANDRO VARGAS LOPERA</t>
  </si>
  <si>
    <t>OSCAR ALEJANDRO RIVERA BUITRAGO</t>
  </si>
  <si>
    <t>SEBASTIAN MONTOYA ARANGO</t>
  </si>
  <si>
    <t>SULMA SHIRLEY LAGUNA CUBIDES</t>
  </si>
  <si>
    <t>SANTIAGO MONTOYA ARTEAGA</t>
  </si>
  <si>
    <t>DIEGO ALEJANDRO TORRES TORRES</t>
  </si>
  <si>
    <t>SERGIO ANDRES GIRALDO ARISTIZABAL</t>
  </si>
  <si>
    <t>CARLOS ENRIQUE PLATA BUSTAMANTE</t>
  </si>
  <si>
    <t>DAYLON GILBERTO DIAZ ACOSTA</t>
  </si>
  <si>
    <t>INSTITUTO CEJEÑO DE LA RECREACIÓN Y EL DEPORTE</t>
  </si>
  <si>
    <t>Aportes Municipio
$96.350.0000
Total Contrato  $790.968.894</t>
  </si>
  <si>
    <t>https://community.secop.gov.co/Public/Tendering/ContractNoticePhases/View?PPI=CO1.PPI.33783782&amp;isFromPublicArea=True&amp;isModal=False</t>
  </si>
  <si>
    <t>LIGA ANTIOQUEÑA DE VOLEIBOL</t>
  </si>
  <si>
    <t>MARYLUZ   RODRIGUEZ URIBE</t>
  </si>
  <si>
    <t>https://community.secop.gov.co/Public/Tendering/ContractNoticePhases/View?PPI=CO1.PPI.33451111&amp;isFromPublicArea=True&amp;isModal=False</t>
  </si>
  <si>
    <t xml:space="preserve">145 DÍAS </t>
  </si>
  <si>
    <t>https://community.secop.gov.co/Public/Tendering/ContractNoticePhases/View?PPI=CO1.PPI.33451197&amp;isFromPublicArea=True&amp;isModal=False</t>
  </si>
  <si>
    <t>LIGA ECUESTRE DE ANTIOQUIA</t>
  </si>
  <si>
    <t>https://community.secop.gov.co/Public/Tendering/ContractNoticePhases/View?PPI=CO1.PPI.33452590&amp;isFromPublicArea=True&amp;isModal=False</t>
  </si>
  <si>
    <t>ADICIÓN 1 AL CONVENIO 591 DE 2024 CUYO OBJETO ES: CONVENIO CON LA LIGA ECUESTRE DE ANTIOQUIA PARA CONTRIBUIR AL DESARROLLO DEL PROGRAMA DE ALTOS LOGROS Y LIDERAZGO DEPORTIVO PARA LA PREPARACIÓN Y PARTICIPACIÓN EN COMPETENCIAS DEPORTIVAS DE CARÁCTER NACIONAL E INTERNACIONAL DE LOS DEPORTISTAS QUE CONFORMAN LA SELECCIÓN ANTIOQUIA PARA JUEGOS NACIONALES Y PARANACIONALES.</t>
  </si>
  <si>
    <t>LIGA ANTIOQUEÑA DE BOLO</t>
  </si>
  <si>
    <t>https://community.secop.gov.co/Public/Tendering/ContractNoticePhases/View?PPI=CO1.PPI.33453003&amp;isFromPublicArea=True&amp;isModal=False</t>
  </si>
  <si>
    <t>https://community.secop.gov.co/Public/Tendering/ContractNoticePhases/View?PPI=CO1.PPI.33479639&amp;isFromPublicArea=True&amp;isModal=False</t>
  </si>
  <si>
    <t>148 DÍAS</t>
  </si>
  <si>
    <t>UT SOLUCIÓN FERRETERIA PARA COLOMBIA</t>
  </si>
  <si>
    <t>https://www.colombiacompra.gov.co/tienda-virtual-del-estado-colombiano/ordenes-compra/131349</t>
  </si>
  <si>
    <t xml:space="preserve">4 MESES Y 24 DÍAS </t>
  </si>
  <si>
    <t>Servicio de fumigación y control de insectos (rastreros y voladores). Roedores. Control de chinches, desinfección ambiental en las sedes de INDEPORTES ANTIOQUIA.</t>
  </si>
  <si>
    <t>FUMIGACIONES INDUSTRIALES LTDA</t>
  </si>
  <si>
    <t>https://community.secop.gov.co/Public/Tendering/ContractNoticePhases/View?PPI=CO1.PPI.33340239&amp;isFromPublicArea=True&amp;isModal=False</t>
  </si>
  <si>
    <t>151 DÍAS</t>
  </si>
  <si>
    <t>041</t>
  </si>
  <si>
    <t>https://community.secop.gov.co/Public/Tendering/ContractNoticePhases/View?PPI=CO1.PPI.33783708&amp;isFromPublicArea=True&amp;isModal=False</t>
  </si>
  <si>
    <t xml:space="preserve">4 MESES Y 10 DÍAS </t>
  </si>
  <si>
    <t>https://community.secop.gov.co/Public/Tendering/ContractNoticePhases/View?PPI=CO1.PPI.33608815&amp;isFromPublicArea=True&amp;isModal=False</t>
  </si>
  <si>
    <t xml:space="preserve">4 MESES Y 12 DÍAS </t>
  </si>
  <si>
    <t>LIGA DE SOFTBOL DE ANTIOQUIA</t>
  </si>
  <si>
    <t>https://community.secop.gov.co/Public/Tendering/ContractNoticePhases/View?PPI=CO1.PPI.33608710&amp;isFromPublicArea=True&amp;isModal=False</t>
  </si>
  <si>
    <t>130 DÍAS</t>
  </si>
  <si>
    <t>https://community.secop.gov.co/Public/Tendering/ContractNoticePhases/View?PPI=CO1.PPI.33695610&amp;isFromPublicArea=True&amp;isModal=False</t>
  </si>
  <si>
    <t>DIANA LORENA LLANOS RINCON</t>
  </si>
  <si>
    <t>https://community.secop.gov.co/Public/Tendering/ContractNoticePhases/View?PPI=CO1.PPI.33752083&amp;isFromPublicArea=True&amp;isModal=False</t>
  </si>
  <si>
    <t>128 DÍAS</t>
  </si>
  <si>
    <t>https://community.secop.gov.co/Public/Tendering/ContractNoticePhases/View?PPI=CO1.PPI.33829059&amp;isFromPublicArea=True&amp;isModal=False</t>
  </si>
  <si>
    <t>042</t>
  </si>
  <si>
    <t>https://community.secop.gov.co/Public/Tendering/ContractNoticePhases/View?PPI=CO1.PPI.33810527&amp;isFromPublicArea=True&amp;isModal=False</t>
  </si>
  <si>
    <t>127 DÍAS</t>
  </si>
  <si>
    <t>https://community.secop.gov.co/Public/Tendering/ContractNoticePhases/View?PPI=CO1.PPI.33857469&amp;isFromPublicArea=True&amp;isModal=False</t>
  </si>
  <si>
    <t xml:space="preserve">4 MESES Y 5 DÍAS </t>
  </si>
  <si>
    <t>https://community.secop.gov.co/Public/Tendering/ContractNoticePhases/View?PPI=CO1.PPI.33866832&amp;isFromPublicArea=True&amp;isModal=False</t>
  </si>
  <si>
    <t>124 DÍAS</t>
  </si>
  <si>
    <t>https://community.secop.gov.co/Public/Tendering/ContractNoticePhases/View?PPI=CO1.PPI.33798704&amp;isFromPublicArea=True&amp;isModal=False</t>
  </si>
  <si>
    <t>OFICINA DE TALENTO HUMANO</t>
  </si>
  <si>
    <t>ANA CECILIA JIMENEZ RENGIFO</t>
  </si>
  <si>
    <t>https://www.secop.gov.co/CO1BusinessLine/Tendering/BuyerWorkArea/Index?DocUniqueIdentifier=CO1.BDOS.6579504</t>
  </si>
  <si>
    <t>https://community.secop.gov.co/Public/Tendering/ContractNoticePhases/View?PPI=CO1.PPI.34009020&amp;isFromPublicArea=True&amp;isModal=False</t>
  </si>
  <si>
    <t>VALOR + S.A.S.</t>
  </si>
  <si>
    <t>https://community.secop.gov.co/Public/Tendering/ContractNoticePhases/View?PPI=CO1.PPI.34233493&amp;isFromPublicArea=True&amp;isModal=False</t>
  </si>
  <si>
    <t>199 DÍAS</t>
  </si>
  <si>
    <t>EQUIPARO SAS</t>
  </si>
  <si>
    <t>LIGA ANTIOQUEÑA DE FUTBOL DE SALÓN</t>
  </si>
  <si>
    <t>043</t>
  </si>
  <si>
    <t>https://community.secop.gov.co/Public/Tendering/ContractNoticePhases/View?PPI=CO1.PPI.33898812&amp;isFromPublicArea=True&amp;isModal=False</t>
  </si>
  <si>
    <t xml:space="preserve">INSTITUTO MUNICIPAL DE DEPORTES Y RECREACIÓN DE BELLO </t>
  </si>
  <si>
    <t>Aportes INDERBELLO
$126.560.000
Total Contrato  $513.415.619</t>
  </si>
  <si>
    <t>https://community.secop.gov.co/Public/Tendering/ContractNoticePhases/View?PPI=CO1.PPI.33958249&amp;isFromPublicArea=True&amp;isModal=False</t>
  </si>
  <si>
    <t>INSTITUTO DEL DEPORTE LA RECREACIÓN Y EL APROVECHAMIENTO DEL TIEMPO LIBRE "INDERYAL"</t>
  </si>
  <si>
    <t>Aportes INDERYAL
$167.200.000
Total Contrato  $771.169.155</t>
  </si>
  <si>
    <t>https://community.secop.gov.co/Public/Tendering/ContractNoticePhases/View?PPI=CO1.PPI.33964434&amp;isFromPublicArea=True&amp;isModal=False</t>
  </si>
  <si>
    <t>MUNICIPIO DE CIUDAD BOLIVAR</t>
  </si>
  <si>
    <t>Aportes MUNICIPIO
$50,500.000
Total Contrato  $484.047.933</t>
  </si>
  <si>
    <t>https://community.secop.gov.co/Public/Tendering/ContractNoticePhases/View?PPI=CO1.PPI.33965662&amp;isFromPublicArea=True&amp;isModal=False</t>
  </si>
  <si>
    <t>https://community.secop.gov.co/Public/Tendering/ContractNoticePhases/View?PPI=CO1.PPI.34052201&amp;isFromPublicArea=True&amp;isModal=False</t>
  </si>
  <si>
    <t>https://community.secop.gov.co/Public/Tendering/ContractNoticePhases/View?PPI=CO1.PPI.34057342&amp;isFromPublicArea=True&amp;isModal=False</t>
  </si>
  <si>
    <t>125 DÍAS</t>
  </si>
  <si>
    <t>https://community.secop.gov.co/Public/Tendering/ContractNoticePhases/View?PPI=CO1.PPI.34118776&amp;isFromPublicArea=True&amp;isModal=False</t>
  </si>
  <si>
    <t>122 DÍAS</t>
  </si>
  <si>
    <t>INSTITUTO MUNICIPAL DE DEPORTES Y RECREACIÓN IMDER</t>
  </si>
  <si>
    <t>Aportes IMDER CHIGORODÓ
$154.210.000
Total Contrato  $792.817.603</t>
  </si>
  <si>
    <t>https://community.secop.gov.co/Public/Tendering/ContractNoticePhases/View?PPI=CO1.PPI.34038652&amp;isFromPublicArea=True&amp;isModal=False</t>
  </si>
  <si>
    <t>MUNICIPIO DE LIBORINA</t>
  </si>
  <si>
    <t>Aporte Municipio de Liborina
$55.000.000
Total Contrato  $485.967.771</t>
  </si>
  <si>
    <t>https://community.secop.gov.co/Public/Tendering/ContractNoticePhases/View?PPI=CO1.PPI.34083836&amp;isFromPublicArea=True&amp;isModal=False</t>
  </si>
  <si>
    <t>DEPARTAMENTO DE ANTIOQUIA</t>
  </si>
  <si>
    <t>044</t>
  </si>
  <si>
    <t>https://community.secop.gov.co/Public/Tendering/OpportunityDetail/Index?noticeUID=CO1.NTC.6617855&amp;isFromPublicArea=True&amp;isModal=true&amp;asPopupView=true</t>
  </si>
  <si>
    <t>624A</t>
  </si>
  <si>
    <t>624B</t>
  </si>
  <si>
    <t>624C</t>
  </si>
  <si>
    <t>624D</t>
  </si>
  <si>
    <t>https://community.secop.gov.co/Public/Tendering/ContractNoticePhases/View?PPI=CO1.PPI.34197669&amp;isFromPublicArea=True&amp;isModal=False</t>
  </si>
  <si>
    <t>116 DÍAS</t>
  </si>
  <si>
    <t>https://community.secop.gov.co/Public/Tendering/ContractNoticePhases/View?PPI=CO1.PPI.34250801&amp;isFromPublicArea=True&amp;isModal=False</t>
  </si>
  <si>
    <t>108 DÍAS</t>
  </si>
  <si>
    <t>https://community.secop.gov.co/Public/Tendering/ContractNoticePhases/View?PPI=CO1.PPI.34187465&amp;isFromPublicArea=True&amp;isModal=False</t>
  </si>
  <si>
    <t>LIGA ANTIOQUEÑA DE TRIATLON "LIATLON"</t>
  </si>
  <si>
    <t>https://community.secop.gov.co/Public/Tendering/ContractNoticePhases/View?PPI=CO1.PPI.34187908&amp;isFromPublicArea=True&amp;isModal=False</t>
  </si>
  <si>
    <t>LIGA ANTIOQUEÑA DE FUTBOL</t>
  </si>
  <si>
    <t>https://community.secop.gov.co/Public/Tendering/ContractNoticePhases/View?PPI=CO1.PPI.34187943&amp;isFromPublicArea=True&amp;isModal=False</t>
  </si>
  <si>
    <t>https://community.secop.gov.co/Public/Tendering/ContractNoticePhases/View?PPI=CO1.PPI.34205501&amp;isFromPublicArea=True&amp;isModal=False</t>
  </si>
  <si>
    <t xml:space="preserve">3 MEESES Y 22 DÍAS </t>
  </si>
  <si>
    <t>LIGA ANTIOQUEÑA DE JUDO - LIANJUDO</t>
  </si>
  <si>
    <t>https://community.secop.gov.co/Public/Tendering/ContractNoticePhases/View?PPI=CO1.PPI.34187959&amp;isFromPublicArea=True&amp;isModal=False</t>
  </si>
  <si>
    <t>https://community.secop.gov.co/Public/Tendering/ContractNoticePhases/View?PPI=CO1.PPI.34265332&amp;isFromPublicArea=True&amp;isModal=False</t>
  </si>
  <si>
    <t xml:space="preserve">3 MESES Y 11 DÍAS </t>
  </si>
  <si>
    <t>https://community.secop.gov.co/Public/Tendering/ContractNoticePhases/View?PPI=CO1.PPI.34239928&amp;isFromPublicArea=True&amp;isModal=False</t>
  </si>
  <si>
    <t xml:space="preserve">3 MESES Y 22 DÍAS </t>
  </si>
  <si>
    <t>045
048</t>
  </si>
  <si>
    <t>https://community.secop.gov.co/Public/Tendering/ContractNoticePhases/View?PPI=CO1.PPI.34397126&amp;isFromPublicArea=True&amp;isModal=False</t>
  </si>
  <si>
    <t>101 DÍAS</t>
  </si>
  <si>
    <t>https://community.secop.gov.co/Public/Tendering/ContractNoticePhases/View?PPI=CO1.PPI.34315448&amp;isFromPublicArea=True&amp;isModal=False</t>
  </si>
  <si>
    <t>123 DÍAS</t>
  </si>
  <si>
    <t>https://community.secop.gov.co/Public/Tendering/ContractNoticePhases/View?PPI=CO1.PPI.34363616&amp;isFromPublicArea=True&amp;isModal=False</t>
  </si>
  <si>
    <t>https://community.secop.gov.co/Public/Tendering/ContractNoticePhases/View?PPI=CO1.PPI.34390441&amp;isFromPublicArea=True&amp;isModal=False</t>
  </si>
  <si>
    <t>103 DÍAS</t>
  </si>
  <si>
    <t>YEISON NOLBERTO HENAO</t>
  </si>
  <si>
    <t>https://community.secop.gov.co/Public/Tendering/ContractNoticePhases/View?PPI=CO1.PPI.34506407&amp;isFromPublicArea=True&amp;isModal=False</t>
  </si>
  <si>
    <t>98 DÍAS</t>
  </si>
  <si>
    <t>https://community.secop.gov.co/Public/Tendering/ContractNoticePhases/View?PPI=CO1.PPI.34383668&amp;isFromPublicArea=True&amp;isModal=False</t>
  </si>
  <si>
    <t>https://community.secop.gov.co/Public/Tendering/ContractNoticePhases/View?PPI=CO1.PPI.34396147&amp;isFromPublicArea=True&amp;isModal=False</t>
  </si>
  <si>
    <t>https://community.secop.gov.co/Public/Tendering/ContractNoticePhases/View?PPI=CO1.PPI.34353713&amp;isFromPublicArea=True&amp;isModal=False</t>
  </si>
  <si>
    <t xml:space="preserve">3 MESES Y 3 DÍAS </t>
  </si>
  <si>
    <t>CHARICK ALVAREZ TORRES</t>
  </si>
  <si>
    <t xml:space="preserve">JOSE JULIAN SALDARRIAGA ZAPATA </t>
  </si>
  <si>
    <t xml:space="preserve">LINA FERNANDA VARGAS ALZATE </t>
  </si>
  <si>
    <t>JUAN MANUEL LOPEZ CUERVO</t>
  </si>
  <si>
    <t xml:space="preserve">MÓNICA URREGO MONTOYA </t>
  </si>
  <si>
    <t xml:space="preserve">GIOVANNY RIOS SARMIENTO </t>
  </si>
  <si>
    <t>GEINER ENRIQUE FRIAS GALLO</t>
  </si>
  <si>
    <t>DIANA MARCELA AGUASACO RABA</t>
  </si>
  <si>
    <t xml:space="preserve">ARTURO ENRIQUE HOLGUIN VALDERRAMA </t>
  </si>
  <si>
    <t xml:space="preserve">JONATHAN ARLEY NARANJO HURTADO </t>
  </si>
  <si>
    <t>DIEGO ARMANDO ZULUAGA COGOLLO</t>
  </si>
  <si>
    <t xml:space="preserve">MATEO OTALVARO VAHOZ </t>
  </si>
  <si>
    <t xml:space="preserve">MANUEL ENRIQUE ARBOLEDA PEREZ </t>
  </si>
  <si>
    <t xml:space="preserve">CAMILO ARTURO HINCAPIE HERNANDEZ </t>
  </si>
  <si>
    <t>https://community.secop.gov.co/Public/Tendering/ContractNoticePhases/View?PPI=CO1.PPI.34486020&amp;isFromPublicArea=True&amp;isModal=False</t>
  </si>
  <si>
    <t>97 DÍAS</t>
  </si>
  <si>
    <t>https://community.secop.gov.co/Public/Tendering/ContractNoticePhases/View?PPI=CO1.PPI.34432846&amp;isFromPublicArea=True&amp;isModal=False</t>
  </si>
  <si>
    <t>https://community.secop.gov.co/Public/Tendering/ContractNoticePhases/View?PPI=CO1.PPI.34421639&amp;isFromPublicArea=True&amp;isModal=False</t>
  </si>
  <si>
    <t xml:space="preserve">PROCESO COMPETITIVO </t>
  </si>
  <si>
    <t>CORPORACIÓN UNIDAD SOCIAL</t>
  </si>
  <si>
    <t>https://community.secop.gov.co/Public/Tendering/ContractNoticePhases/View?PPI=CO1.PPI.34125553&amp;isFromPublicArea=True&amp;isModal=False</t>
  </si>
  <si>
    <t>75 DÍAS</t>
  </si>
  <si>
    <t>CORPORACIÓN GLOBAL DE SERVICIOS DEPORTIVOS</t>
  </si>
  <si>
    <t>INSTITUTO MUNICIPAL DE DEPORTES Y RECREACIÓN DE APARTADÓ</t>
  </si>
  <si>
    <t>Aporte Instituto Municipal de Deportes y Recreación de Apartadó
$216.660.000
Total Contrato  $2.469.594.785</t>
  </si>
  <si>
    <t>https://community.secop.gov.co/Public/Tendering/ContractNoticePhases/View?PPI=CO1.PPI.34527392&amp;isFromPublicArea=True&amp;isModal=False</t>
  </si>
  <si>
    <t>Aporte IINSTITUTO MUNICIPAL DE DEPORTES DEL MUNICIPIO DE CAREPA
$100.670.000
Total Contrato  $1.555.910.709</t>
  </si>
  <si>
    <t>https://community.secop.gov.co/Public/Tendering/ContractNoticePhases/View?PPI=CO1.PPI.34642240&amp;isFromPublicArea=True&amp;isModal=False</t>
  </si>
  <si>
    <t>JGBP INGENIERIA S.A.S</t>
  </si>
  <si>
    <t>https://community.secop.gov.co/Public/Tendering/ContractNoticePhases/View?PPI=CO1.PPI.34264614&amp;isFromPublicArea=True&amp;isModal=False</t>
  </si>
  <si>
    <t xml:space="preserve">JULIANA GIRALDO JARAMILLO </t>
  </si>
  <si>
    <t>https://community.secop.gov.co/Public/Tendering/ContractNoticePhases/View?PPI=CO1.PPI.34544648&amp;isFromPublicArea=True&amp;isModal=False</t>
  </si>
  <si>
    <t xml:space="preserve">85 DÍAS </t>
  </si>
  <si>
    <t>LIGA ANTIOQUEÑA DE HAP KI DO</t>
  </si>
  <si>
    <t>https://community.secop.gov.co/Public/Tendering/ContractNoticePhases/View?PPI=CO1.PPI.34545958&amp;isFromPublicArea=True&amp;isModal=False</t>
  </si>
  <si>
    <t xml:space="preserve">90 DÍAS </t>
  </si>
  <si>
    <t>https://community.secop.gov.co/Public/Tendering/ContractNoticePhases/View?PPI=CO1.PPI.34928659&amp;isFromPublicArea=True&amp;isModal=False</t>
  </si>
  <si>
    <t xml:space="preserve">3 MESES Y 15 DÍAS </t>
  </si>
  <si>
    <t>INSTITUTO COLOMBIANO DE NORMAS TÉCNICAS Y CERTIFICACIÓN ICONTEC</t>
  </si>
  <si>
    <t>https://community.secop.gov.co/Public/Tendering/ContractNoticePhases/View?PPI=CO1.PPI.34700641&amp;isFromPublicArea=True&amp;isModal=False</t>
  </si>
  <si>
    <t>https://community.secop.gov.co/Public/Tendering/ContractNoticePhases/View?PPI=CO1.PPI.34857251&amp;isFromPublicArea=True&amp;isModal=False</t>
  </si>
  <si>
    <t>82 DÍAS
+
120 DÍAS</t>
  </si>
  <si>
    <t>https://community.secop.gov.co/Public/Tendering/ContractNoticePhases/View?PPI=CO1.PPI.34712415&amp;isFromPublicArea=True&amp;isModal=False</t>
  </si>
  <si>
    <t>https://community.secop.gov.co/Public/Tendering/ContractNoticePhases/View?PPI=CO1.PPI.34644126&amp;isFromPublicArea=True&amp;isModal=False</t>
  </si>
  <si>
    <t xml:space="preserve">3 MESES Y 21 DÍAS </t>
  </si>
  <si>
    <t>LIGA DE CANOTAJE DE ANTIOQUIA</t>
  </si>
  <si>
    <t>https://community.secop.gov.co/Public/Tendering/ContractNoticePhases/View?PPI=CO1.PPI.34757039&amp;isFromPublicArea=True&amp;isModal=False</t>
  </si>
  <si>
    <t>DORA ALEJANDRA FORERO RAMIREZ</t>
  </si>
  <si>
    <t>https://community.secop.gov.co/Public/Tendering/ContractNoticePhases/View?PPI=CO1.PPI.34685757&amp;isFromPublicArea=True&amp;isModal=False</t>
  </si>
  <si>
    <t>2 MESES Y 17 DÍAS</t>
  </si>
  <si>
    <t>MANUEL SEBASTIAN ARENAS DIAZ</t>
  </si>
  <si>
    <t>https://community.secop.gov.co/Public/Tendering/ContractNoticePhases/View?PPI=CO1.PPI.34706473&amp;isFromPublicArea=True&amp;isModal=False</t>
  </si>
  <si>
    <t>https://community.secop.gov.co/Public/Tendering/ContractNoticePhases/View?PPI=CO1.PPI.34755371&amp;isFromPublicArea=True&amp;isModal=False</t>
  </si>
  <si>
    <t>85 DÍAS</t>
  </si>
  <si>
    <t>EMPRESA DE VIVIENDA DE ANTIOQUIA</t>
  </si>
  <si>
    <t>Aporte Empresa de Vivienda de Antioquia -VIVA $65.000.000
Total Contrato  $195.000.000</t>
  </si>
  <si>
    <t>community.secop.gov.co/Public/Tendering/OpportunityDetail/Index?noticeUID=CO1.NTC.6872714&amp;isFromPublicArea=True&amp;isModal=False </t>
  </si>
  <si>
    <t>INSTITUTO MUNICIPAL DE DEPORTES Y RECREACIÓN DE ARBOLETES - IMDERAR</t>
  </si>
  <si>
    <t>https://community.secop.gov.co/Public/Tendering/ContractNoticePhases/View?PPI=CO1.PPI.34814335&amp;isFromPublicArea=True&amp;isModal=False</t>
  </si>
  <si>
    <t>https://community.secop.gov.co/Public/Tendering/ContractNoticePhases/View?PPI=CO1.PPI.34747080&amp;isFromPublicArea=True&amp;isModal=False</t>
  </si>
  <si>
    <t>MUNICIPIO DE GUATAPE</t>
  </si>
  <si>
    <t xml:space="preserve">	COMODATO001-2024</t>
  </si>
  <si>
    <t>2 AÑOS</t>
  </si>
  <si>
    <t>https://community.secop.gov.co/Public/Tendering/ContractNoticePhases/View?PPI=CO1.PPI.34747132&amp;isFromPublicArea=True&amp;isModal=False</t>
  </si>
  <si>
    <t>SARA MARTINEZ RENDÓN</t>
  </si>
  <si>
    <t>https://community.secop.gov.co/Public/Tendering/ContractNoticePhases/View?PPI=CO1.PPI.34731990&amp;isFromPublicArea=True&amp;isModal=False</t>
  </si>
  <si>
    <t>049</t>
  </si>
  <si>
    <t>https://community.secop.gov.co/Public/Tendering/ContractNoticePhases/View?PPI=CO1.PPI.34797554&amp;isFromPublicArea=True&amp;isModal=False</t>
  </si>
  <si>
    <t>REDCOMPUTO LIMITADA</t>
  </si>
  <si>
    <t>https://community.secop.gov.co/Public/Tendering/ContractNoticePhases/View?PPI=CO1.PPI.34534198&amp;isFromPublicArea=True&amp;isModal=False</t>
  </si>
  <si>
    <t xml:space="preserve">LILIANA PATRICIA MARTINEZ </t>
  </si>
  <si>
    <t>https://community.secop.gov.co/Public/Tendering/ContractNoticePhases/View?PPI=CO1.PPI.34953535&amp;isFromPublicArea=True&amp;isModal=False</t>
  </si>
  <si>
    <t xml:space="preserve">INSTITUTO PARA EL DESARROLLO DE ANTIOQUIA IDEA </t>
  </si>
  <si>
    <t>106 DÍAS</t>
  </si>
  <si>
    <t>DAVID   TORRES MUÑOZ</t>
  </si>
  <si>
    <t>https://community.secop.gov.co/Public/Tendering/ContractNoticePhases/View?PPI=CO1.PPI.34838536&amp;isFromPublicArea=True&amp;isModal=False</t>
  </si>
  <si>
    <t>2 MESES Y 9 DÍAS</t>
  </si>
  <si>
    <t>JESSICA ALEJANDRA ESTRADA RESTREPO</t>
  </si>
  <si>
    <t xml:space="preserve">VICENTE DE LA CRUZ CUELLAR </t>
  </si>
  <si>
    <t>PRESTACIÓN DE SERVICIOS DE UN ENTRENADOR DE BEISBOL PARA INDEPORTES ANTIOQUIA</t>
  </si>
  <si>
    <t xml:space="preserve">ALEJANDRO VEGA OSORIO </t>
  </si>
  <si>
    <t>JOHANY ALEJANDRO VERGARA CASTAÑO</t>
  </si>
  <si>
    <t>LIGA ANTIOQUEÑA DE SQUASH</t>
  </si>
  <si>
    <t>https://community.secop.gov.co/Public/Tendering/ContractNoticePhases/View?PPI=CO1.PPI.34837304&amp;isFromPublicArea=True&amp;isModal=False</t>
  </si>
  <si>
    <t>LIGA ANTIOQUEÑA DE TEJO</t>
  </si>
  <si>
    <t>https://community.secop.gov.co/Public/Tendering/ContractNoticePhases/View?PPI=CO1.PPI.34837814&amp;isFromPublicArea=True&amp;isModal=False</t>
  </si>
  <si>
    <t>SUBGERENCIA DE FOMENTO Y DESARROLLO</t>
  </si>
  <si>
    <t>Aporte JUNTA MUNICIPAL DE DEPORTES $146.100.000
Total Contrato  $181.100.000</t>
  </si>
  <si>
    <t>https://community.secop.gov.co/Public/Tendering/ContractNoticePhases/View?PPI=CO1.PPI.34930435&amp;isFromPublicArea=True&amp;isModal=False</t>
  </si>
  <si>
    <t>SUBGERENCIA DE ALTOS LOGROS Y DEPORTE ASOCIADO</t>
  </si>
  <si>
    <t>MARIA ALEJANDRA VALDERRAMA GONZALEZ</t>
  </si>
  <si>
    <t>https://community.secop.gov.co/Public/Tendering/ContractNoticePhases/View?PPI=CO1.PPI.34932677&amp;isFromPublicArea=True&amp;isModal=False</t>
  </si>
  <si>
    <t>INSTITUTO MUNICIPAL PARA EL DEPORTE Y LA RECREACIÓN DE AMALFÍ</t>
  </si>
  <si>
    <t>Aporte INSTITUTO MUNICIPAL PARA EL DEPORTE Y LA RECREACIÓN DE AMALFI $224.350.000
Total Contrato  $663.164.288</t>
  </si>
  <si>
    <t>051</t>
  </si>
  <si>
    <t>https://community.secop.gov.co/Public/Tendering/ContractNoticePhases/View?PPI=CO1.PPI.35027266&amp;isFromPublicArea=True&amp;isModal=False</t>
  </si>
  <si>
    <t>2 MESES Y 15 DÍAS</t>
  </si>
  <si>
    <t>DIANA MARCELA RIOS ARCILA</t>
  </si>
  <si>
    <t>https://community.secop.gov.co/Public/Tendering/ContractNoticePhases/View?PPI=CO1.PPI.35002228&amp;isFromPublicArea=True&amp;isModal=False</t>
  </si>
  <si>
    <t>2 MESES Y 3 DÍAS</t>
  </si>
  <si>
    <t>JORGE LEONARDO PALENCIA CORREA</t>
  </si>
  <si>
    <t>https://community.secop.gov.co/Public/Tendering/ContractNoticePhases/View?PPI=CO1.PPI.35004262&amp;isFromPublicArea=True&amp;isModal=False</t>
  </si>
  <si>
    <t>NATHALIA LUCRECIA LOPEZ ACEVEDO</t>
  </si>
  <si>
    <t>https://community.secop.gov.co/Public/Tendering/ContractNoticePhases/View?PPI=CO1.PPI.35006805&amp;isFromPublicArea=True&amp;isModal=False</t>
  </si>
  <si>
    <t>LIGA DE VELA DE ANTIOQUIA</t>
  </si>
  <si>
    <t>https://community.secop.gov.co/Public/Tendering/ContractNoticePhases/View?PPI=CO1.PPI.35061013&amp;isFromPublicArea=True&amp;isModal=False</t>
  </si>
  <si>
    <t>https://community.secop.gov.co/Public/Tendering/ContractNoticePhases/View?PPI=CO1.PPI.35007723&amp;isFromPublicArea=True&amp;isModal=False</t>
  </si>
  <si>
    <t>MARIA CAMILA TORO ECHEVERRI</t>
  </si>
  <si>
    <t>https://community.secop.gov.co/Public/Tendering/ContractNoticePhases/View?PPI=CO1.PPI.35165386&amp;isFromPublicArea=True&amp;isModal=False</t>
  </si>
  <si>
    <t>MUNICIPIO DE SOPETRAN</t>
  </si>
  <si>
    <t>Aporte MUNICIPIO DE SOPETRAN $224.350.000
Total Contrato  $641.288.001</t>
  </si>
  <si>
    <t>https://community.secop.gov.co/Public/Tendering/ContractNoticePhases/View?PPI=CO1.PPI.35034836&amp;isFromPublicArea=True&amp;isModal=False</t>
  </si>
  <si>
    <t>https://community.secop.gov.co/Public/Tendering/ContractNoticePhases/View?PPI=CO1.PPI.35105406&amp;isFromPublicArea=True&amp;isModal=False</t>
  </si>
  <si>
    <t>FORMA EQUIPOS PARA GIMNASIO S.A.S.</t>
  </si>
  <si>
    <t>https://community.secop.gov.co/Public/Tendering/ContractNoticePhases/View?PPI=CO1.PPI.35453854&amp;isFromPublicArea=True&amp;isModal=False</t>
  </si>
  <si>
    <t>ASOCIACIÓN DIRIGENTES DEPORTIVOS DE ANTIOQUIA</t>
  </si>
  <si>
    <t>https://community.secop.gov.co/Public/Tendering/ContractNoticePhases/View?PPI=CO1.PPI.35374969&amp;isFromPublicArea=True&amp;isModal=False</t>
  </si>
  <si>
    <t>MARIA ADELAYDA PUERTA ZAPATA</t>
  </si>
  <si>
    <t>https://community.secop.gov.co/Public/Tendering/ContractNoticePhases/View?PPI=CO1.PPI.35154300&amp;isFromPublicArea=True&amp;isModal=False</t>
  </si>
  <si>
    <t>2 MESES Y 16 DÍAS</t>
  </si>
  <si>
    <t>ANA MARIA RIVERA HENAO</t>
  </si>
  <si>
    <t>https://community.secop.gov.co/Public/Tendering/ContractNoticePhases/View?PPI=CO1.PPI.35194847&amp;isFromPublicArea=True&amp;isModal=False</t>
  </si>
  <si>
    <t xml:space="preserve">63 DÍAS </t>
  </si>
  <si>
    <t>CORPORACIÓN LAS TABLAS</t>
  </si>
  <si>
    <t>https://community.secop.gov.co/Public/Tendering/ContractNoticePhases/View?PPI=CO1.PPI.34254608&amp;isFromPublicArea=True&amp;isModal=False</t>
  </si>
  <si>
    <t>https://community.secop.gov.co/Public/Tendering/ContractNoticePhases/View?PPI=CO1.PPI.35164512&amp;isFromPublicArea=True&amp;isModal=False</t>
  </si>
  <si>
    <t>67 DÍAS</t>
  </si>
  <si>
    <t>SANTIAGO TORO SIERRA</t>
  </si>
  <si>
    <t>https://community.secop.gov.co/Public/Tendering/ContractNoticePhases/View?PPI=CO1.PPI.35247785&amp;isFromPublicArea=True&amp;isModal=False</t>
  </si>
  <si>
    <t>65 DÍAS</t>
  </si>
  <si>
    <t xml:space="preserve">SET INTEGRAL SAS </t>
  </si>
  <si>
    <t>https://community.secop.gov.co/Public/Tendering/ContractNoticePhases/View?PPI=CO1.PPI.34361134&amp;isFromPublicArea=True&amp;isModal=False</t>
  </si>
  <si>
    <t>MUNICIPIO DE ENTRERRIOS</t>
  </si>
  <si>
    <t>Aporte MUNICIPIO DE ENTRERRIOS $57.900.000
Total Contrato  $587.969.493</t>
  </si>
  <si>
    <t>https://community.secop.gov.co/Public/Tendering/ContractNoticePhases/View?PPI=CO1.PPI.35251768&amp;isFromPublicArea=True&amp;isModal=False</t>
  </si>
  <si>
    <t>66 DÍAS</t>
  </si>
  <si>
    <t>INSTITUTO DE DEPORTES Y RECREACIÓN DE MARINILLA</t>
  </si>
  <si>
    <t>Aporte Instituto de Deportes y Recreación de Marinilla - INDERMA $135.534.000
Total Contrato  $823.330.274</t>
  </si>
  <si>
    <t>https://community.secop.gov.co/Public/Tendering/ContractNoticePhases/View?PPI=CO1.PPI.35282266&amp;isFromPublicArea=True&amp;isModal=False</t>
  </si>
  <si>
    <t>62 DÍAS</t>
  </si>
  <si>
    <t>MUNICIPIO DE ANDES</t>
  </si>
  <si>
    <t>Aporte MUNICIPIO DE ANDES $47.400.000
Total Contrato  $535.411.583</t>
  </si>
  <si>
    <t>https://community.secop.gov.co/Public/Tendering/ContractNoticePhases/View?PPI=CO1.PPI.35282267&amp;isFromPublicArea=True&amp;isModal=False</t>
  </si>
  <si>
    <t>https://community.secop.gov.co/Public/Tendering/ContractNoticePhases/View?PPI=CO1.PPI.35268948&amp;isFromPublicArea=True&amp;isModal=False</t>
  </si>
  <si>
    <t>EDILBERTO JORDAN SALGADO</t>
  </si>
  <si>
    <t>https://community.secop.gov.co/Public/Tendering/ContractNoticePhases/View?PPI=CO1.PPI.35328377&amp;isFromPublicArea=True&amp;isModal=FalseN</t>
  </si>
  <si>
    <t xml:space="preserve">1 MES Y 19 DÍAS </t>
  </si>
  <si>
    <t>EMMANUEL URREGO CUARTAS</t>
  </si>
  <si>
    <t>https://community.secop.gov.co/Public/Tendering/ContractNoticePhases/View?PPI=CO1.PPI.35508793&amp;isFromPublicArea=True&amp;isModal=False</t>
  </si>
  <si>
    <t>53 DÍAS</t>
  </si>
  <si>
    <t>Aporte Instituto Municipal de Deportes y Recreación de Apartadó (IMDER - APARTADÓ) $120.660.000
Total Contrato  $907.106.024</t>
  </si>
  <si>
    <t>https://community.secop.gov.co/Public/Tendering/ContractNoticePhases/View?PPI=CO1.PPI.35478213&amp;isFromPublicArea=True&amp;isModal=False</t>
  </si>
  <si>
    <t>CARLOS ALBERTO POSADA ZAPATA</t>
  </si>
  <si>
    <t>GASTOS DE DESPLAZAMIENTO $2.600.000</t>
  </si>
  <si>
    <t>https://community.secop.gov.co/Public/Tendering/ContractNoticePhases/View?PPI=CO1.PPI.35479356&amp;isFromPublicArea=True&amp;isModal=False</t>
  </si>
  <si>
    <t>CARLOS ALBERTO CARDONA ALVAREZ</t>
  </si>
  <si>
    <t>https://community.secop.gov.co/Public/Tendering/ContractNoticePhases/View?PPI=CO1.PPI.35506940&amp;isFromPublicArea=True&amp;isModal=False</t>
  </si>
  <si>
    <t>JOHN CADAVID OBANDO</t>
  </si>
  <si>
    <t>https://community.secop.gov.co/Public/Tendering/ContractNoticePhases/View?PPI=CO1.PPI.35507512&amp;isFromPublicArea=True&amp;isModal=False</t>
  </si>
  <si>
    <t>LIGA ANTIOQUENA DE LUCHA</t>
  </si>
  <si>
    <t>https://community.secop.gov.co/Public/Tendering/ContractNoticePhases/View?PPI=CO1.PPI.35568147&amp;isFromPublicArea=True&amp;isModal=False</t>
  </si>
  <si>
    <t>45 DÍAS</t>
  </si>
  <si>
    <t>CLUB ESCUELA DE CICLISMO ORGULLO PAISA</t>
  </si>
  <si>
    <t>https://community.secop.gov.co/Public/Tendering/ContractNoticePhases/View?PPI=CO1.PPI.35644969&amp;isFromPublicArea=True&amp;isModal=False</t>
  </si>
  <si>
    <t>INSTITUTO PARA EL DEPORTE Y LA RECREACIÓN DE SABANETA</t>
  </si>
  <si>
    <t>Aporte en especie Instituto para el Deporte y la Recreación de Sabaneta – INDESA$231.555.166
Total Contrato  $660.184.184</t>
  </si>
  <si>
    <t>057</t>
  </si>
  <si>
    <t>https://community.secop.gov.co/Public/Tendering/ContractNoticePhases/View?PPI=CO1.PPI.35625415&amp;isFromPublicArea=True&amp;isModal=False</t>
  </si>
  <si>
    <t>47 DÍAS</t>
  </si>
  <si>
    <t>DISTRIBUIDORA DIBADY</t>
  </si>
  <si>
    <t xml:space="preserve">19 DÍAS </t>
  </si>
  <si>
    <t>DANIEL ERNEY OCAMPO BOTERO- TAPICERIA APOLO OCAMPO</t>
  </si>
  <si>
    <t>https://community.secop.gov.co/Public/Tendering/OpportunityDetail/Index?noticeUID=CO1.NTC.7002492&amp;isFromPublicArea=True&amp;isModal=False</t>
  </si>
  <si>
    <t>41 DÍAS</t>
  </si>
  <si>
    <t>ÁLVARO ENRIQUE RAMÍREZ ECHAVARRÍA</t>
  </si>
  <si>
    <t>https://community.secop.gov.co/Public/Tendering/ContractNoticePhases/View?PPI=CO1.PPI.34758072&amp;isFromPublicArea=True&amp;isModal=False</t>
  </si>
  <si>
    <t>COMPREBUCE S.A.S.</t>
  </si>
  <si>
    <t>https://community.secop.gov.co/Public/Tendering/ContractNoticePhases/View?PPI=CO1.PPI.35659955&amp;isFromPublicArea=True&amp;isModal=False</t>
  </si>
  <si>
    <t>https://community.secop.gov.co/Public/Tendering/ContractNoticePhases/View?PPI=CO1.PPI.35911792&amp;isFromPublicArea=True&amp;isModal=False</t>
  </si>
  <si>
    <t>LIGA DE TENIS DE CAMPO DE ANTIOQUIA L.A.T.</t>
  </si>
  <si>
    <t>https://community.secop.gov.co/Public/Tendering/ContractNoticePhases/View?PPI=CO1.PPI.35954373&amp;isFromPublicArea=True&amp;isModal=False</t>
  </si>
  <si>
    <t>LIGA ANTIOQUEÑA DE BADMINTON</t>
  </si>
  <si>
    <t>https://community.secop.gov.co/Public/Tendering/ContractNoticePhases/View?PPI=CO1.PPI.35956186&amp;isFromPublicArea=True&amp;isModal=False</t>
  </si>
  <si>
    <t>https://community.secop.gov.co/Public/Tendering/ContractNoticePhases/View?PPI=CO1.PPI.35958526&amp;isFromPublicArea=True&amp;isModal=False</t>
  </si>
  <si>
    <t>Aporte en especie Municipio de Andes $60.420.000
Total Contrato $2.626.663.472</t>
  </si>
  <si>
    <t>https://community.secop.gov.co/Public/Tendering/ContractNoticePhases/View?PPI=CO1.PPI.35916882&amp;isFromPublicArea=True&amp;isModal=False</t>
  </si>
  <si>
    <t xml:space="preserve">MUNICIPIO DE JARDIN </t>
  </si>
  <si>
    <t>Aporte en especie Municipio de Jardin $34.400.000
Total Contrato $1.105.395.057</t>
  </si>
  <si>
    <t>https://community.secop.gov.co/Public/Tendering/ContractNoticePhases/View?PPI=CO1.PPI.35955666&amp;isFromPublicArea=True&amp;isModal=False</t>
  </si>
  <si>
    <t>Aporte empresa VIVA $65.000.000
Total Contrato $195.000.000</t>
  </si>
  <si>
    <t>https://community.secop.gov.co/Public/Tendering/ContractNoticePhases/View?PPI=CO1.PPI.36201809&amp;isFromPublicArea=True&amp;isModal=False</t>
  </si>
  <si>
    <t>https://community.secop.gov.co/Public/Tendering/ContractNoticePhases/View?PPI=CO1.PPI.36101435&amp;isFromPublicArea=True&amp;isModal=False</t>
  </si>
  <si>
    <t>26 DÍAS</t>
  </si>
  <si>
    <t xml:space="preserve">MUNICIPIO DE TARSO </t>
  </si>
  <si>
    <t>Aporte MUNICIPIO DE TARSO $26.045.878
Total Contrato $70.398.781</t>
  </si>
  <si>
    <t>053
058</t>
  </si>
  <si>
    <t>DAVID   CENDOYA OCAMPO</t>
  </si>
  <si>
    <t>https://community.secop.gov.co/Public/Tendering/ContractNoticePhases/View?PPI=CO1.PPI.36218212&amp;isFromPublicArea=True&amp;isModal=False</t>
  </si>
  <si>
    <t>MUNICIPIO DE EL PEÑOL</t>
  </si>
  <si>
    <t>Aporte MUNICIPIO DEL PEÑOL $63.374.594
Total Contrato $150.668.323</t>
  </si>
  <si>
    <t>https://community.secop.gov.co/Public/Tendering/ContractNoticePhases/View?PPI=CO1.PPI.36338742&amp;isFromPublicArea=True&amp;isModal=False</t>
  </si>
  <si>
    <t xml:space="preserve">MUNICIPIO DE SAN RAFAEL </t>
  </si>
  <si>
    <t xml:space="preserve">Aporte MUNICIPIO SAN RAFAEL $56.136.210
Total Contrato $187.120.701 </t>
  </si>
  <si>
    <t>https://community.secop.gov.co/Public/Tendering/ContractNoticePhases/View?PPI=CO1.PPI.36327378&amp;isFromPublicArea=True&amp;isModal=False</t>
  </si>
  <si>
    <t>EMPRESA AUTONOMA DEL MUNICIPIO DE GUATAPE</t>
  </si>
  <si>
    <r>
      <rPr>
        <b/>
        <sz val="8"/>
        <color rgb="FFFF0000"/>
        <rFont val="Arial"/>
        <family val="2"/>
      </rPr>
      <t xml:space="preserve">Supervisores Principales: </t>
    </r>
    <r>
      <rPr>
        <sz val="8"/>
        <color theme="1"/>
        <rFont val="Arial"/>
        <family val="2"/>
      </rPr>
      <t xml:space="preserve">
Jaine Esther Tovar 
Fabian Arroyave
</t>
    </r>
    <r>
      <rPr>
        <b/>
        <sz val="8"/>
        <color rgb="FFFF0000"/>
        <rFont val="Arial"/>
        <family val="2"/>
      </rPr>
      <t>Supervisores Suplentes:</t>
    </r>
    <r>
      <rPr>
        <sz val="8"/>
        <color theme="1"/>
        <rFont val="Arial"/>
        <family val="2"/>
      </rPr>
      <t xml:space="preserve">
Digna Martinez
Maria Teresa Muñoz</t>
    </r>
  </si>
  <si>
    <t>25/11/2024 10:08</t>
  </si>
  <si>
    <t>https://community.secop.gov.co/Public/Tendering/ContractNoticePhases/View?PPI=CO1.PPI.36237619&amp;isFromPublicArea=True&amp;isModal=False</t>
  </si>
  <si>
    <t>PRESTACIÓN DE SERVICIOS DE UN ABOGADO PARA INDEPORTES ANTIOQUIA</t>
  </si>
  <si>
    <t>MUNICIPIO DE SAN PEDRO DE LOS MILAGROS</t>
  </si>
  <si>
    <t>Aporte MUNICIPIO DE SAN PEDRO DE LOS MILAGROS $27.184.780
Total Contrato $90.615.934</t>
  </si>
  <si>
    <t>https://community.secop.gov.co/Public/Tendering/ContractNoticePhases/View?PPI=CO1.PPI.36199826&amp;isFromPublicArea=True&amp;isModal=False</t>
  </si>
  <si>
    <t>LIGA DE ORIENTACIÓN DE ANTIOQUIA</t>
  </si>
  <si>
    <t>https://community.secop.gov.co/Public/Tendering/ContractNoticePhases/View?PPI=CO1.PPI.36099235&amp;isFromPublicArea=True&amp;isModal=False</t>
  </si>
  <si>
    <t>15 DIAS</t>
  </si>
  <si>
    <t>MUNICIPIO DE TAMESIS</t>
  </si>
  <si>
    <t>Aporte MUNICIPIO DE TAMESIS $187.307.549
Total Contrato $581.470.897</t>
  </si>
  <si>
    <t>https://community.secop.gov.co/Public/Tendering/ContractNoticePhases/View?PPI=CO1.PPI.36264277&amp;isFromPublicArea=True&amp;isModal=False</t>
  </si>
  <si>
    <t xml:space="preserve">MUNICIPIO DE YOLOMBO </t>
  </si>
  <si>
    <t>Aporte MUNICIPIO DE YOLOMBÓ $88.027.711
Total Contrato $282.140.100</t>
  </si>
  <si>
    <t>https://community.secop.gov.co/Public/Tendering/ContractNoticePhases/View?PPI=CO1.PPI.36273264&amp;isFromPublicArea=True&amp;isModal=False</t>
  </si>
  <si>
    <t>MUNICIPIO DE SABANETA</t>
  </si>
  <si>
    <t>Aporte MUNICIPIO DE SABANETA $270.591.758
Total Contrato $484.821.022</t>
  </si>
  <si>
    <t>https://community.secop.gov.co/Public/Tendering/ContractNoticePhases/View?PPI=CO1.PPI.36324020&amp;isFromPublicArea=True&amp;isModal=False</t>
  </si>
  <si>
    <t>Aporte MUNICIPIO DE GRANADA $48.276.083
Total Contrato $144.006.149</t>
  </si>
  <si>
    <t>https://community.secop.gov.co/Public/Tendering/ContractNoticePhases/View?PPI=CO1.PPI.36356854&amp;isFromPublicArea=True&amp;isModal=False</t>
  </si>
  <si>
    <t>Aporte MUNICIPIO DE GRANADA $47.000.000
Total Contrato $140.734.589</t>
  </si>
  <si>
    <t>https://community.secop.gov.co/Public/Tendering/ContractNoticePhases/View?PPI=CO1.PPI.36329672&amp;isFromPublicArea=True&amp;isModal=False</t>
  </si>
  <si>
    <t>MUNICIPIO DE ENVIGADO</t>
  </si>
  <si>
    <t>Aporte MUNICIPIO DE ENVIGADO $92.682.529 Total Contrato $159.544.607</t>
  </si>
  <si>
    <t>https://community.secop.gov.co/Public/Tendering/ContractNoticePhases/View?PPI=CO1.PPI.36220936&amp;isFromPublicArea=True&amp;isModal=False</t>
  </si>
  <si>
    <t>Aporte MUNICIPIO DE SABANALARGA $96.668.481 Total Contrato $288.382.603</t>
  </si>
  <si>
    <t>https://community.secop.gov.co/Public/Tendering/ContractNoticePhases/View?PPI=CO1.PPI.36339116&amp;isFromPublicArea=True&amp;isModal=False</t>
  </si>
  <si>
    <t>MUNICIPIO DE SANTO DOMINGO</t>
  </si>
  <si>
    <t>Aporte MUNICIPIO DE SANTO DOMINGO $100.806.741 Total Contrato $458.468.452</t>
  </si>
  <si>
    <t>https://community.secop.gov.co/Public/Tendering/ContractNoticePhases/View?PPI=CO1.PPI.36347150&amp;isFromPublicArea=True&amp;isModal=False</t>
  </si>
  <si>
    <t>EMPRESA DE DESARROLLO SOSTENIBLE DEL ORIENTE "EDESO"</t>
  </si>
  <si>
    <t>https://community.secop.gov.co/Public/Tendering/ContractNoticePhases/View?PPI=CO1.PPI.36220752&amp;isFromPublicArea=True&amp;isModal=False</t>
  </si>
  <si>
    <t>MUNICIPIO DE SAN JERONIMO</t>
  </si>
  <si>
    <t>Aporte MUNICIPIO DE SAN JERONIMO $152.299.187 Total Contrato $ 478.564.955</t>
  </si>
  <si>
    <t>https://community.secop.gov.co/Public/Tendering/ContractNoticePhases/View?PPI=CO1.PPI.36289597&amp;isFromPublicArea=True&amp;isModal=False</t>
  </si>
  <si>
    <t>MUNICIPIO DE EL SANTUARIO</t>
  </si>
  <si>
    <t>Aporte MUNICIPIO DE EL SANTUARIO $156.000.000 Total Contrato $ 435.332.363</t>
  </si>
  <si>
    <t>https://community.secop.gov.co/Public/Tendering/ContractNoticePhases/View?PPI=CO1.PPI.36355402&amp;isFromPublicArea=True&amp;isModal=False</t>
  </si>
  <si>
    <t>MUNICIPIO EL RETIRO</t>
  </si>
  <si>
    <t>Aporte MUNICIPIO DE EL RETIRO $232.150.844Total Contrato $436.654.600</t>
  </si>
  <si>
    <t>https://community.secop.gov.co/Public/Tendering/ContractNoticePhases/View?PPI=CO1.PPI.36317498&amp;isFromPublicArea=True&amp;isModal=False</t>
  </si>
  <si>
    <t>MARGARITA MARIA DIAZ ESCOBAR</t>
  </si>
  <si>
    <t xml:space="preserve">https://community.secop.gov.co/Public/Tendering/ContractNoticePhases/ViewPPI=CO1.PPI.36238417&amp;isFromPublicArea=True&amp;isModal=False </t>
  </si>
  <si>
    <t>INFORMACIÓN DE NEGOCIOSY PROCESOS INP LTDA</t>
  </si>
  <si>
    <t>https://community.secop.gov.co/Public/Tendering/ContractNoticePhases/View?PPI=CO1.PPI.36243707&amp;isFromPublicArea=True&amp;isModal=False</t>
  </si>
  <si>
    <t>18 DÍAS (El licenciamiento es por 1 año)</t>
  </si>
  <si>
    <t>MUNICIPIO DE ABRIAQUI</t>
  </si>
  <si>
    <t>Aporte MUNICIPIO DE ABRIAQUÍ $63.057.888 Total Contrato $210.192.960</t>
  </si>
  <si>
    <t>https://community.secop.gov.co/Public/Tendering/ContractNoticePhases/View?PPI=CO1.PPI.36330784&amp;isFromPublicArea=True&amp;isModal=False</t>
  </si>
  <si>
    <t>MUNICIPIO DE CONCORDIA</t>
  </si>
  <si>
    <t>Aporte MUNICIPIO DE CONCORDIA $80.972.253 Total Contrato $269.907.509</t>
  </si>
  <si>
    <t>https://community.secop.gov.co/Public/Tendering/ContractNoticePhases/View?PPI=CO1.PPI.36356457&amp;isFromPublicArea=True&amp;isModal=False</t>
  </si>
  <si>
    <t>MUNICIPIO DE MONTEBELLO</t>
  </si>
  <si>
    <t>Aporte MUNICIPIO DE MONTEBELLO $111.307.615 Total Contrato $503.002.242</t>
  </si>
  <si>
    <t>https://community.secop.gov.co/Public/Tendering/ContractNoticePhases/View?PPI=CO1.PPI.36343871&amp;isFromPublicArea=True&amp;isModal=False</t>
  </si>
  <si>
    <t>MUNICIPIO DE ANGELOPOLIS</t>
  </si>
  <si>
    <t>Aporte MUNICIPIO DE ANGELÓPOLIS $117.001.050 Total Contrato $ 547.262.975</t>
  </si>
  <si>
    <t>https://community.secop.gov.co/Public/Tendering/ContractNoticePhases/View?PPI=CO1.PPI.36324748&amp;isFromPublicArea=True&amp;isModal=False</t>
  </si>
  <si>
    <t>Aporte MMUNICIPIO DE SALGAR $110.000.000 Total Contrato $ 332.996.997</t>
  </si>
  <si>
    <t>https://community.secop.gov.co/Public/Tendering/ContractNoticePhases/View?PPI=CO1.PPI.36329673&amp;isFromPublicArea=True&amp;isModal=False</t>
  </si>
  <si>
    <t>MUNICIPIO DE SAN PEDRO DE URABA</t>
  </si>
  <si>
    <t>Aporte MUNICIPIO DE SAN PEDRO DE URABÁ $$ 174.098.113 Total Contrato $541.718.723</t>
  </si>
  <si>
    <t>https://community.secop.gov.co/Public/Tendering/ContractNoticePhases/View?PPI=CO1.PPI.36356845&amp;isFromPublicArea=True&amp;isModal=False</t>
  </si>
  <si>
    <t>MUNICIPIO DE MACEO</t>
  </si>
  <si>
    <t>Aporte MUNICIPIO DE MACEO $40.000.000 Total Contrato $123.128.547</t>
  </si>
  <si>
    <t>https://community.secop.gov.co/Public/Tendering/ContractNoticePhases/View?PPI=CO1.PPI.36359601&amp;isFromPublicArea=True&amp;isModal=False</t>
  </si>
  <si>
    <t>NIMBUTECH S.A.S.</t>
  </si>
  <si>
    <t>https://community.secop.gov.co/Public/Tendering/ContractNoticePhases/View?PPI=CO1.PPI.35731406&amp;isFromPublicArea=True&amp;isModal=False</t>
  </si>
  <si>
    <t>MUNICIPIO DE ARMENIA</t>
  </si>
  <si>
    <t>Aporte MUNICIPIO DE ARMENIA $62.500.000 Total Contrato $ 330.147.494</t>
  </si>
  <si>
    <t>https://community.secop.gov.co/Public/Tendering/ContractNoticePhases/View?PPI=CO1.PPI.36359634&amp;isFromPublicArea=True&amp;isModal=False</t>
  </si>
  <si>
    <t>MUNICIPIO DE VEGACHÍ</t>
  </si>
  <si>
    <t>Aporte MUNICIPIO DE VEGACHÍ $99.593.801 Total Contrato $308.765.425</t>
  </si>
  <si>
    <t>https://community.secop.gov.co/Public/Tendering/ContractNoticePhases/View?PPI=CO1.PPI.36338343&amp;isFromPublicArea=True&amp;isModal=False</t>
  </si>
  <si>
    <t>Aporte MUNICIPIO DE SAN JUAN DE URABÁ $295.509.267 Total Contrato $870.975.256</t>
  </si>
  <si>
    <t>https://community.secop.gov.co/Public/Tendering/ContractNoticePhases/View?PPI=CO1.PPI.36356456&amp;isFromPublicArea=True&amp;isModal=False</t>
  </si>
  <si>
    <t>MUNICIPIO DE ANZA</t>
  </si>
  <si>
    <t>Aporte MUNICIPIO DE ANZÁ $150.958.430 Total Contrato $470.879.505</t>
  </si>
  <si>
    <t>https://community.secop.gov.co/Public/Tendering/ContractNoticePhases/View?PPI=CO1.PPI.36359035&amp;isFromPublicArea=True&amp;isModal=False</t>
  </si>
  <si>
    <t>Aporte MUNICIPIO DE JERICÓ $150.000.000 Total Contrato $448.491.692</t>
  </si>
  <si>
    <t>https://community.secop.gov.co/Public/Tendering/ContractNoticePhases/View?PPI=CO1.PPI.36359057&amp;isFromPublicArea=True&amp;isModal=False</t>
  </si>
  <si>
    <t>MUNICIPIO DE RIONEGRO ANTIOQUIA</t>
  </si>
  <si>
    <t>Aporte MUNICIPIO DE RIONEGRO $709.932.160 Total Contrato $1.266.937.333</t>
  </si>
  <si>
    <t>https://community.secop.gov.co/Public/Tendering/ContractNoticePhases/View?PPI=CO1.PPI.36355009&amp;isFromPublicArea=True&amp;isModal=False</t>
  </si>
  <si>
    <t>MUNICIPIO DE ARGELIA</t>
  </si>
  <si>
    <t>Aporte MUNICIPIO DE ARGELIA $187.293.049 Total Contrato $584.032.088</t>
  </si>
  <si>
    <t>https://community.secop.gov.co/Public/Tendering/ContractNoticePhases/ViewPPI=CO1.PPI.36347106&amp;isFromPublicArea=True&amp;isModal=False</t>
  </si>
  <si>
    <t>CORPORACIÓN PARA EL MANEJO SOSTENIBLE DE LOS BOSQUES MASBOSQUES</t>
  </si>
  <si>
    <t>https://community.secop.gov.co/Public/Tendering/ContractNoticePhases/View?PPI=CO1.PPI.36358702&amp;isFromPublicArea=True&amp;isModal=False</t>
  </si>
  <si>
    <t>5 DÍAS</t>
  </si>
  <si>
    <t>RENOVACIÓN DEL LICENCIAMIENTO DE ADOBE PARA INDEPORTES ANTIOQUIA.</t>
  </si>
  <si>
    <t xml:space="preserve">ACUERDO MARCO DE PRECIOS </t>
  </si>
  <si>
    <t>CONSORCIO IAD DINAMICO SOFTWAREONE</t>
  </si>
  <si>
    <t>https://www.colombiacompra.gov.co/tienda-virtual-del-estado-colombiano/ordenes-compra/140140</t>
  </si>
  <si>
    <t>MARTHA LUCIA ORREGO LONDOÑO</t>
  </si>
  <si>
    <t>https://community.secop.gov.co/Public/Tendering/ContractNoticePhases/View?PPI=CO1.PPI.36389602&amp;isFromPublicArea=True&amp;isModal=False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</si>
</sst>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8" formatCode="&quot;$&quot;\ #,##0.00;[Red]\-&quot;$&quot;\ #,##0.00"/>
    <numFmt numFmtId="44" formatCode="_-&quot;$&quot;\ * #,##0.00_-;\-&quot;$&quot;\ * #,##0.00_-;_-&quot;$&quot;\ * &quot;-&quot;??_-;_-@_-"/>
    <numFmt numFmtId="43" formatCode="_-* #,##0.00_-;\-* #,##0.00_-;_-* &quot;-&quot;??_-;_-@_-"/>
    <numFmt numFmtId="164" formatCode="&quot;$&quot;\ #,##0"/>
    <numFmt numFmtId="165" formatCode="_(* #,##0_);_(* \(#,##0\);_(* &quot;-&quot;_);_(@_)"/>
    <numFmt numFmtId="166" formatCode="_-* #,##0.0000_-;\-* #,##0.0000_-;_-* &quot;-&quot;_-;_-@_-"/>
    <numFmt numFmtId="167" formatCode="_(&quot;$&quot;* #,##0.00_);_(&quot;$&quot;* \(#,##0.00\);_(&quot;$&quot;* &quot;-&quot;??_);_(@_)"/>
    <numFmt numFmtId="168" formatCode="dd/mm/yyyy;@"/>
    <numFmt numFmtId="169" formatCode="0.0"/>
    <numFmt numFmtId="170" formatCode="&quot;$&quot;\ #,##0.00"/>
    <numFmt numFmtId="171" formatCode="000"/>
    <numFmt numFmtId="172" formatCode="_(&quot;$&quot;\ * #,##0.00_);_(&quot;$&quot;\ * \(#,##0.00\);_(&quot;$&quot;\ * &quot;-&quot;??_);_(@_)"/>
    <numFmt numFmtId="173" formatCode="_ &quot;$&quot;\ * #,##0.0_ ;_ &quot;$&quot;\ * \-#,##0.0_ ;_ &quot;$&quot;\ * &quot;-&quot;??_ ;_ @_ "/>
    <numFmt numFmtId="174" formatCode="_(* #,##0.00_);_(* \(#,##0.00\);_(* &quot;-&quot;??_);_(@_)"/>
    <numFmt numFmtId="175" formatCode="#,##0\ _€"/>
    <numFmt numFmtId="176" formatCode="d/mm/yyyy;@"/>
    <numFmt numFmtId="177" formatCode="dd/mm/yy;@"/>
    <numFmt numFmtId="178" formatCode="m/d/yyyy"/>
  </numFmts>
  <fonts count="61">
    <font>
      <sz val="11"/>
      <color theme="1"/>
      <name val="Aptos Narrow"/>
      <family val="2"/>
      <scheme val="minor"/>
    </font>
    <font>
      <sz val="11"/>
      <color theme="1"/>
      <name val="Aptos Narrow"/>
      <family val="2"/>
      <scheme val="minor"/>
    </font>
    <font>
      <b/>
      <sz val="11"/>
      <color theme="1"/>
      <name val="Aptos Narrow"/>
      <family val="2"/>
      <scheme val="minor"/>
    </font>
    <font>
      <b/>
      <sz val="22"/>
      <color theme="1"/>
      <name val="Aptos Narrow"/>
      <family val="2"/>
      <scheme val="minor"/>
    </font>
    <font>
      <b/>
      <sz val="22"/>
      <name val="Aptos Narrow"/>
      <family val="2"/>
      <scheme val="minor"/>
    </font>
    <font>
      <sz val="9"/>
      <color theme="1"/>
      <name val="Aptos Narrow"/>
      <family val="2"/>
      <scheme val="minor"/>
    </font>
    <font>
      <b/>
      <sz val="9"/>
      <color theme="1"/>
      <name val="Aptos Narrow"/>
      <family val="2"/>
      <scheme val="minor"/>
    </font>
    <font>
      <b/>
      <sz val="9"/>
      <name val="Aptos Narrow"/>
      <family val="2"/>
      <scheme val="minor"/>
    </font>
    <font>
      <b/>
      <sz val="9"/>
      <color rgb="FF000000"/>
      <name val="Aptos Narrow"/>
      <family val="2"/>
      <scheme val="minor"/>
    </font>
    <font>
      <sz val="9"/>
      <name val="Aptos Narrow"/>
      <family val="2"/>
      <scheme val="minor"/>
    </font>
    <font>
      <b/>
      <sz val="12"/>
      <color theme="1"/>
      <name val="Aptos Narrow"/>
      <family val="2"/>
      <scheme val="minor"/>
    </font>
    <font>
      <b/>
      <sz val="11"/>
      <color theme="1"/>
      <name val="Arial"/>
      <family val="2"/>
    </font>
    <font>
      <sz val="11"/>
      <name val="Aptos Narrow"/>
      <family val="2"/>
      <scheme val="minor"/>
    </font>
    <font>
      <b/>
      <sz val="11"/>
      <name val="Arial"/>
      <family val="2"/>
    </font>
    <font>
      <sz val="11"/>
      <color rgb="FF000000"/>
      <name val="Aptos Narrow"/>
      <family val="2"/>
      <scheme val="minor"/>
    </font>
    <font>
      <sz val="10"/>
      <name val="Aptos Narrow"/>
      <family val="2"/>
      <scheme val="minor"/>
    </font>
    <font>
      <sz val="12"/>
      <color theme="1"/>
      <name val="Aptos Narrow"/>
      <family val="2"/>
      <scheme val="minor"/>
    </font>
    <font>
      <sz val="11"/>
      <name val="Arial"/>
      <family val="2"/>
    </font>
    <font>
      <sz val="11"/>
      <color theme="1"/>
      <name val="Arial"/>
      <family val="2"/>
    </font>
    <font>
      <sz val="11"/>
      <color rgb="FF000000"/>
      <name val="Arial"/>
      <family val="2"/>
    </font>
    <font>
      <sz val="11"/>
      <color theme="1"/>
      <name val="Arial Narrow"/>
      <family val="2"/>
    </font>
    <font>
      <sz val="10"/>
      <name val="Arial"/>
      <family val="2"/>
    </font>
    <font>
      <b/>
      <sz val="9"/>
      <color indexed="81"/>
      <name val="Tahoma"/>
      <family val="2"/>
    </font>
    <font>
      <sz val="9"/>
      <color indexed="81"/>
      <name val="Tahoma"/>
      <family val="2"/>
    </font>
    <font>
      <u/>
      <sz val="11"/>
      <color theme="10"/>
      <name val="Aptos Narrow"/>
      <family val="2"/>
      <scheme val="minor"/>
    </font>
    <font>
      <b/>
      <sz val="12"/>
      <name val="Arial"/>
      <family val="2"/>
    </font>
    <font>
      <b/>
      <sz val="11"/>
      <name val="Aptos Narrow"/>
      <family val="2"/>
      <scheme val="minor"/>
    </font>
    <font>
      <b/>
      <sz val="12"/>
      <color theme="1"/>
      <name val="Arial"/>
      <family val="2"/>
    </font>
    <font>
      <sz val="11"/>
      <color indexed="8"/>
      <name val="Aptos Narrow"/>
      <family val="2"/>
      <scheme val="minor"/>
    </font>
    <font>
      <b/>
      <sz val="11"/>
      <name val="Calibri"/>
      <family val="2"/>
    </font>
    <font>
      <sz val="12"/>
      <color theme="1"/>
      <name val="Arial"/>
      <family val="2"/>
    </font>
    <font>
      <sz val="12"/>
      <name val="Arial"/>
      <family val="2"/>
    </font>
    <font>
      <sz val="10"/>
      <color rgb="FF000000"/>
      <name val="Calibri"/>
      <family val="2"/>
      <charset val="1"/>
    </font>
    <font>
      <sz val="12"/>
      <color rgb="FF000000"/>
      <name val="Arial"/>
      <family val="2"/>
    </font>
    <font>
      <sz val="12"/>
      <color rgb="FF000000"/>
      <name val="Aptos Narrow"/>
      <family val="2"/>
      <scheme val="minor"/>
    </font>
    <font>
      <sz val="11"/>
      <color theme="4"/>
      <name val="Aptos Narrow"/>
      <family val="2"/>
      <scheme val="minor"/>
    </font>
    <font>
      <sz val="11"/>
      <color rgb="FF0070C0"/>
      <name val="Aptos Narrow"/>
      <family val="2"/>
      <scheme val="minor"/>
    </font>
    <font>
      <sz val="12"/>
      <color theme="1"/>
      <name val="Arial"/>
    </font>
    <font>
      <u/>
      <sz val="11"/>
      <color theme="8" tint="-0.249977111117893"/>
      <name val="Aptos Narrow"/>
      <family val="2"/>
      <scheme val="minor"/>
    </font>
    <font>
      <sz val="11"/>
      <color rgb="FF0000FF"/>
      <name val="Aptos Narrow"/>
      <family val="2"/>
      <scheme val="minor"/>
    </font>
    <font>
      <u/>
      <sz val="11"/>
      <color theme="4"/>
      <name val="Aptos Narrow"/>
      <family val="2"/>
      <scheme val="minor"/>
    </font>
    <font>
      <b/>
      <sz val="9"/>
      <color theme="8" tint="-0.249977111117893"/>
      <name val="Arial"/>
      <family val="2"/>
      <charset val="1"/>
    </font>
    <font>
      <sz val="11"/>
      <color theme="8" tint="-0.249977111117893"/>
      <name val="Aptos Narrow"/>
      <family val="2"/>
      <scheme val="minor"/>
    </font>
    <font>
      <u/>
      <sz val="11"/>
      <color theme="1"/>
      <name val="Aptos Narrow"/>
      <family val="2"/>
      <scheme val="minor"/>
    </font>
    <font>
      <sz val="10"/>
      <color rgb="FF000000"/>
      <name val="Arial"/>
      <family val="2"/>
    </font>
    <font>
      <sz val="10"/>
      <color theme="1"/>
      <name val="Arial"/>
      <family val="2"/>
    </font>
    <font>
      <sz val="9"/>
      <color rgb="FF000000"/>
      <name val="Arial"/>
      <family val="2"/>
    </font>
    <font>
      <sz val="11"/>
      <color theme="0"/>
      <name val="Aptos Narrow"/>
      <family val="2"/>
      <scheme val="minor"/>
    </font>
    <font>
      <sz val="11"/>
      <color rgb="FF000000"/>
      <name val="Calibri"/>
      <family val="2"/>
    </font>
    <font>
      <sz val="11"/>
      <color theme="0"/>
      <name val="Arial"/>
      <family val="2"/>
    </font>
    <font>
      <sz val="12"/>
      <name val="Aptos Narrow"/>
      <family val="2"/>
      <scheme val="minor"/>
    </font>
    <font>
      <b/>
      <sz val="9"/>
      <color theme="4"/>
      <name val="Arial"/>
      <family val="2"/>
    </font>
    <font>
      <sz val="12"/>
      <color rgb="FFFF0000"/>
      <name val="Aptos Narrow"/>
      <family val="2"/>
      <scheme val="minor"/>
    </font>
    <font>
      <sz val="12"/>
      <name val="Arial"/>
    </font>
    <font>
      <sz val="11"/>
      <color theme="1"/>
      <name val="Arial"/>
    </font>
    <font>
      <sz val="12"/>
      <color theme="0"/>
      <name val="Arial"/>
      <family val="2"/>
    </font>
    <font>
      <sz val="12"/>
      <color theme="0"/>
      <name val="Aptos Narrow"/>
      <family val="2"/>
      <scheme val="minor"/>
    </font>
    <font>
      <u/>
      <sz val="11"/>
      <color rgb="FF0070C0"/>
      <name val="Aptos Narrow"/>
      <family val="2"/>
      <scheme val="minor"/>
    </font>
    <font>
      <sz val="8"/>
      <color theme="1"/>
      <name val="Arial"/>
      <family val="2"/>
    </font>
    <font>
      <b/>
      <sz val="8"/>
      <color rgb="FFFF0000"/>
      <name val="Arial"/>
      <family val="2"/>
    </font>
    <font>
      <b/>
      <sz val="9"/>
      <color theme="4"/>
      <name val="Arial"/>
      <family val="2"/>
      <charset val="1"/>
    </font>
  </fonts>
  <fills count="18">
    <fill>
      <patternFill patternType="none"/>
    </fill>
    <fill>
      <patternFill patternType="gray125"/>
    </fill>
    <fill>
      <patternFill patternType="solid">
        <fgColor theme="4" tint="0.79998168889431442"/>
        <bgColor theme="4" tint="0.79998168889431442"/>
      </patternFill>
    </fill>
    <fill>
      <patternFill patternType="solid">
        <fgColor rgb="FFFFCC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FFFFCC"/>
        <bgColor indexed="64"/>
      </patternFill>
    </fill>
    <fill>
      <patternFill patternType="solid">
        <fgColor rgb="FFCC99FF"/>
        <bgColor indexed="64"/>
      </patternFill>
    </fill>
    <fill>
      <patternFill patternType="solid">
        <fgColor rgb="FFCCCCFF"/>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F0000"/>
        <bgColor indexed="64"/>
      </patternFill>
    </fill>
    <fill>
      <patternFill patternType="solid">
        <fgColor rgb="FF66FFFF"/>
        <bgColor indexed="64"/>
      </patternFill>
    </fill>
  </fills>
  <borders count="27">
    <border>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rgb="FF000000"/>
      </right>
      <top style="thin">
        <color rgb="FF000000"/>
      </top>
      <bottom style="thin">
        <color rgb="FF000000"/>
      </bottom>
      <diagonal/>
    </border>
    <border>
      <left/>
      <right style="thin">
        <color indexed="64"/>
      </right>
      <top/>
      <bottom style="thin">
        <color indexed="64"/>
      </bottom>
      <diagonal/>
    </border>
    <border>
      <left/>
      <right style="thin">
        <color rgb="FF000000"/>
      </right>
      <top/>
      <bottom style="thin">
        <color rgb="FF000000"/>
      </bottom>
      <diagonal/>
    </border>
  </borders>
  <cellStyleXfs count="14">
    <xf numFmtId="0" fontId="0" fillId="0" borderId="0"/>
    <xf numFmtId="165"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0" borderId="0"/>
    <xf numFmtId="0" fontId="21" fillId="0" borderId="0"/>
    <xf numFmtId="0" fontId="24" fillId="0" borderId="0" applyNumberFormat="0" applyFill="0" applyBorder="0" applyAlignment="0" applyProtection="0"/>
    <xf numFmtId="0" fontId="21" fillId="0" borderId="0"/>
    <xf numFmtId="172" fontId="21" fillId="0" borderId="0" applyFont="0" applyFill="0" applyBorder="0" applyAlignment="0" applyProtection="0"/>
    <xf numFmtId="174" fontId="1" fillId="0" borderId="0" applyFont="0" applyFill="0" applyBorder="0" applyAlignment="0" applyProtection="0"/>
    <xf numFmtId="0" fontId="28" fillId="0" borderId="0"/>
    <xf numFmtId="0" fontId="24" fillId="0" borderId="0" applyNumberFormat="0" applyFill="0" applyBorder="0" applyAlignment="0" applyProtection="0"/>
    <xf numFmtId="167" fontId="1" fillId="0" borderId="0" applyFont="0" applyFill="0" applyBorder="0" applyAlignment="0" applyProtection="0"/>
  </cellStyleXfs>
  <cellXfs count="606">
    <xf numFmtId="0" fontId="0" fillId="0" borderId="0" xfId="0"/>
    <xf numFmtId="0" fontId="3" fillId="0" borderId="0" xfId="0" applyFont="1" applyAlignment="1" applyProtection="1">
      <alignment horizontal="center" vertical="center" wrapText="1"/>
      <protection locked="0"/>
    </xf>
    <xf numFmtId="0" fontId="3" fillId="0" borderId="0" xfId="0" applyFont="1" applyAlignment="1">
      <alignment horizontal="center" vertical="center" wrapText="1"/>
    </xf>
    <xf numFmtId="164" fontId="3" fillId="0" borderId="0" xfId="0" applyNumberFormat="1" applyFont="1" applyAlignment="1" applyProtection="1">
      <alignment horizontal="right" vertical="center" wrapText="1"/>
      <protection locked="0"/>
    </xf>
    <xf numFmtId="49" fontId="3" fillId="0" borderId="0" xfId="0" applyNumberFormat="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1" xfId="0" applyFont="1" applyBorder="1" applyAlignment="1">
      <alignment horizontal="center" vertical="center" wrapText="1"/>
    </xf>
    <xf numFmtId="164" fontId="6" fillId="0" borderId="1" xfId="0" applyNumberFormat="1" applyFont="1" applyBorder="1" applyAlignment="1" applyProtection="1">
      <alignment horizontal="right" vertical="center" wrapText="1"/>
      <protection locked="0"/>
    </xf>
    <xf numFmtId="49" fontId="6"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protection locked="0"/>
    </xf>
    <xf numFmtId="0" fontId="8" fillId="0" borderId="3" xfId="0" applyFont="1" applyBorder="1" applyAlignment="1" applyProtection="1">
      <alignment horizontal="center" vertical="center" wrapText="1"/>
      <protection locked="0"/>
    </xf>
    <xf numFmtId="0" fontId="0" fillId="2" borderId="4" xfId="0" applyFill="1" applyBorder="1" applyAlignment="1">
      <alignment horizontal="left" vertical="justify"/>
    </xf>
    <xf numFmtId="0" fontId="5" fillId="0" borderId="0" xfId="0" applyFont="1" applyAlignment="1" applyProtection="1">
      <alignment horizontal="left" vertical="justify"/>
      <protection locked="0"/>
    </xf>
    <xf numFmtId="0" fontId="9" fillId="0" borderId="0" xfId="0" applyFont="1" applyAlignment="1" applyProtection="1">
      <alignment horizontal="left" vertical="justify"/>
      <protection locked="0"/>
    </xf>
    <xf numFmtId="164" fontId="5" fillId="0" borderId="0" xfId="0" applyNumberFormat="1" applyFont="1" applyAlignment="1" applyProtection="1">
      <alignment horizontal="left" vertical="justify"/>
      <protection locked="0"/>
    </xf>
    <xf numFmtId="0" fontId="0" fillId="0" borderId="0" xfId="0" applyAlignment="1" applyProtection="1">
      <alignment horizontal="left" vertical="center"/>
      <protection locked="0"/>
    </xf>
    <xf numFmtId="165" fontId="0" fillId="0" borderId="0" xfId="0" applyNumberFormat="1" applyAlignment="1" applyProtection="1">
      <alignment horizontal="left" vertical="center"/>
      <protection locked="0"/>
    </xf>
    <xf numFmtId="165" fontId="0" fillId="0" borderId="0" xfId="1" applyFont="1" applyFill="1" applyAlignment="1" applyProtection="1">
      <alignment horizontal="left" vertical="center"/>
      <protection locked="0"/>
    </xf>
    <xf numFmtId="165" fontId="10" fillId="0" borderId="0" xfId="1" applyFont="1" applyAlignment="1" applyProtection="1">
      <alignment horizontal="left" vertical="center"/>
    </xf>
    <xf numFmtId="165" fontId="10" fillId="0" borderId="0" xfId="1" applyFont="1" applyAlignment="1" applyProtection="1">
      <alignment horizontal="left" vertical="center"/>
      <protection locked="0"/>
    </xf>
    <xf numFmtId="164" fontId="10" fillId="0" borderId="0" xfId="1" applyNumberFormat="1" applyFont="1" applyAlignment="1" applyProtection="1">
      <alignment horizontal="right" vertical="center"/>
      <protection locked="0"/>
    </xf>
    <xf numFmtId="166" fontId="11" fillId="0" borderId="4" xfId="4" applyNumberFormat="1" applyFont="1" applyFill="1" applyBorder="1" applyAlignment="1" applyProtection="1">
      <alignment horizontal="left" vertical="center" wrapText="1"/>
      <protection locked="0"/>
    </xf>
    <xf numFmtId="165" fontId="0" fillId="3" borderId="0" xfId="1" applyFont="1" applyFill="1" applyAlignment="1" applyProtection="1">
      <alignment horizontal="left" vertical="center"/>
      <protection locked="0"/>
    </xf>
    <xf numFmtId="165" fontId="11" fillId="0" borderId="4" xfId="4" applyFont="1" applyFill="1" applyBorder="1" applyAlignment="1" applyProtection="1">
      <alignment horizontal="left" vertical="center"/>
      <protection locked="0"/>
    </xf>
    <xf numFmtId="49" fontId="2" fillId="0" borderId="4" xfId="1" applyNumberFormat="1" applyFont="1" applyBorder="1" applyAlignment="1" applyProtection="1">
      <alignment horizontal="left" vertical="center"/>
      <protection locked="0"/>
    </xf>
    <xf numFmtId="165" fontId="2" fillId="0" borderId="0" xfId="1" applyFont="1" applyBorder="1" applyAlignment="1" applyProtection="1">
      <alignment horizontal="left" vertical="center"/>
      <protection locked="0"/>
    </xf>
    <xf numFmtId="0" fontId="12" fillId="0" borderId="0" xfId="0" applyFont="1" applyAlignment="1" applyProtection="1">
      <alignment horizontal="left" vertical="center"/>
      <protection locked="0"/>
    </xf>
    <xf numFmtId="1" fontId="0" fillId="0" borderId="0" xfId="0" applyNumberFormat="1" applyAlignment="1" applyProtection="1">
      <alignment horizontal="left" vertical="center"/>
      <protection locked="0"/>
    </xf>
    <xf numFmtId="0" fontId="11" fillId="4" borderId="5" xfId="1" applyNumberFormat="1" applyFont="1" applyFill="1" applyBorder="1" applyAlignment="1" applyProtection="1">
      <alignment vertical="center" wrapText="1"/>
      <protection locked="0"/>
    </xf>
    <xf numFmtId="0" fontId="11" fillId="5" borderId="5" xfId="1" applyNumberFormat="1" applyFont="1" applyFill="1" applyBorder="1" applyAlignment="1" applyProtection="1">
      <alignment vertical="center" wrapText="1"/>
      <protection locked="0"/>
    </xf>
    <xf numFmtId="164" fontId="0" fillId="0" borderId="0" xfId="0" applyNumberFormat="1" applyAlignment="1" applyProtection="1">
      <alignment horizontal="left" vertical="center"/>
      <protection locked="0"/>
    </xf>
    <xf numFmtId="0" fontId="11" fillId="6" borderId="6" xfId="1" applyNumberFormat="1" applyFont="1" applyFill="1" applyBorder="1" applyAlignment="1" applyProtection="1">
      <alignment horizontal="center" vertical="center" wrapText="1"/>
      <protection locked="0"/>
    </xf>
    <xf numFmtId="0" fontId="11" fillId="6" borderId="7" xfId="1" applyNumberFormat="1" applyFont="1" applyFill="1" applyBorder="1" applyAlignment="1" applyProtection="1">
      <alignment horizontal="center" vertical="center" wrapText="1"/>
      <protection locked="0"/>
    </xf>
    <xf numFmtId="1" fontId="11" fillId="6" borderId="7" xfId="1" applyNumberFormat="1" applyFont="1" applyFill="1" applyBorder="1" applyAlignment="1">
      <alignment horizontal="center" vertical="center" wrapText="1"/>
    </xf>
    <xf numFmtId="1" fontId="11" fillId="6" borderId="7" xfId="1" applyNumberFormat="1" applyFont="1" applyFill="1" applyBorder="1" applyAlignment="1" applyProtection="1">
      <alignment horizontal="center" vertical="center" wrapText="1"/>
      <protection locked="0"/>
    </xf>
    <xf numFmtId="164" fontId="11" fillId="6" borderId="7" xfId="1" applyNumberFormat="1" applyFont="1" applyFill="1" applyBorder="1" applyAlignment="1" applyProtection="1">
      <alignment horizontal="center" vertical="center" wrapText="1"/>
      <protection locked="0"/>
    </xf>
    <xf numFmtId="49" fontId="11" fillId="6" borderId="7" xfId="1" applyNumberFormat="1" applyFont="1" applyFill="1" applyBorder="1" applyAlignment="1" applyProtection="1">
      <alignment horizontal="center" vertical="center" wrapText="1"/>
      <protection locked="0"/>
    </xf>
    <xf numFmtId="0" fontId="13" fillId="6" borderId="7" xfId="1" applyNumberFormat="1" applyFont="1" applyFill="1" applyBorder="1" applyAlignment="1" applyProtection="1">
      <alignment horizontal="center" vertical="center" wrapText="1"/>
      <protection locked="0"/>
    </xf>
    <xf numFmtId="14" fontId="11" fillId="6" borderId="7" xfId="1" applyNumberFormat="1" applyFont="1" applyFill="1" applyBorder="1" applyAlignment="1" applyProtection="1">
      <alignment horizontal="center" vertical="center" wrapText="1"/>
      <protection locked="0"/>
    </xf>
    <xf numFmtId="165" fontId="11" fillId="6" borderId="7" xfId="1" applyFont="1" applyFill="1" applyBorder="1" applyAlignment="1" applyProtection="1">
      <alignment horizontal="center" vertical="center" wrapText="1"/>
      <protection locked="0"/>
    </xf>
    <xf numFmtId="0" fontId="0" fillId="6" borderId="0" xfId="0" applyFill="1" applyAlignment="1" applyProtection="1">
      <alignment horizontal="center" vertical="center"/>
      <protection locked="0"/>
    </xf>
    <xf numFmtId="164" fontId="0" fillId="6" borderId="0" xfId="0" applyNumberForma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9" xfId="0" applyBorder="1" applyAlignment="1" applyProtection="1">
      <alignment horizontal="left" vertical="center"/>
      <protection locked="0"/>
    </xf>
    <xf numFmtId="1" fontId="0" fillId="0" borderId="9" xfId="0" applyNumberFormat="1" applyBorder="1" applyAlignment="1">
      <alignment horizontal="left" vertical="center" wrapText="1"/>
    </xf>
    <xf numFmtId="1" fontId="0" fillId="0" borderId="9" xfId="0" applyNumberFormat="1" applyBorder="1" applyAlignment="1" applyProtection="1">
      <alignment horizontal="left" vertical="center" wrapText="1"/>
      <protection locked="0"/>
    </xf>
    <xf numFmtId="167" fontId="0" fillId="0" borderId="9" xfId="2" applyFont="1" applyFill="1" applyBorder="1" applyAlignment="1" applyProtection="1">
      <alignment horizontal="right" vertical="center"/>
      <protection locked="0"/>
    </xf>
    <xf numFmtId="0" fontId="0" fillId="0" borderId="9" xfId="0" applyBorder="1" applyAlignment="1" applyProtection="1">
      <alignment horizontal="left" vertical="center" wrapText="1"/>
      <protection locked="0"/>
    </xf>
    <xf numFmtId="49" fontId="0" fillId="0" borderId="9" xfId="0" applyNumberFormat="1" applyBorder="1" applyAlignment="1" applyProtection="1">
      <alignment horizontal="left" vertical="center" wrapText="1"/>
      <protection locked="0"/>
    </xf>
    <xf numFmtId="0" fontId="14" fillId="0" borderId="9" xfId="0" applyFont="1" applyBorder="1" applyAlignment="1" applyProtection="1">
      <alignment horizontal="left" vertical="center" wrapText="1"/>
      <protection locked="0"/>
    </xf>
    <xf numFmtId="0" fontId="12" fillId="0" borderId="9" xfId="0" applyFont="1" applyBorder="1" applyAlignment="1" applyProtection="1">
      <alignment horizontal="left" vertical="center"/>
      <protection locked="0"/>
    </xf>
    <xf numFmtId="165" fontId="0" fillId="0" borderId="9" xfId="1" applyFont="1" applyFill="1" applyBorder="1" applyAlignment="1" applyProtection="1">
      <alignment horizontal="left" vertical="center"/>
      <protection locked="0"/>
    </xf>
    <xf numFmtId="164" fontId="0" fillId="0" borderId="9" xfId="0" applyNumberFormat="1" applyBorder="1" applyAlignment="1" applyProtection="1">
      <alignment horizontal="left" vertical="center"/>
      <protection locked="0"/>
    </xf>
    <xf numFmtId="168" fontId="15" fillId="0" borderId="9" xfId="5" applyNumberFormat="1" applyFont="1" applyBorder="1" applyAlignment="1" applyProtection="1">
      <alignment vertical="center"/>
      <protection locked="0"/>
    </xf>
    <xf numFmtId="0" fontId="0" fillId="0" borderId="9" xfId="0" applyBorder="1" applyAlignment="1">
      <alignment vertical="center"/>
    </xf>
    <xf numFmtId="0" fontId="1" fillId="0" borderId="9" xfId="5" applyBorder="1" applyAlignment="1">
      <alignment vertical="center"/>
    </xf>
    <xf numFmtId="0" fontId="0" fillId="0" borderId="9" xfId="0" applyBorder="1" applyAlignment="1" applyProtection="1">
      <alignment vertical="center" wrapText="1"/>
      <protection locked="0"/>
    </xf>
    <xf numFmtId="0" fontId="0" fillId="0" borderId="9" xfId="0" applyBorder="1" applyAlignment="1" applyProtection="1">
      <alignment vertical="center"/>
      <protection locked="0"/>
    </xf>
    <xf numFmtId="49" fontId="0" fillId="0" borderId="9" xfId="0" applyNumberFormat="1" applyBorder="1" applyAlignment="1" applyProtection="1">
      <alignment vertical="center" wrapText="1"/>
      <protection locked="0"/>
    </xf>
    <xf numFmtId="0" fontId="0" fillId="0" borderId="9" xfId="5" applyFont="1" applyBorder="1" applyAlignment="1">
      <alignment vertical="center"/>
    </xf>
    <xf numFmtId="14" fontId="0" fillId="0" borderId="9" xfId="0" applyNumberFormat="1" applyBorder="1" applyAlignment="1" applyProtection="1">
      <alignment horizontal="left" vertical="center"/>
      <protection locked="0"/>
    </xf>
    <xf numFmtId="0" fontId="14" fillId="0" borderId="9" xfId="0" applyFont="1" applyBorder="1" applyAlignment="1" applyProtection="1">
      <alignment horizontal="left" vertical="center"/>
      <protection locked="0"/>
    </xf>
    <xf numFmtId="1" fontId="14" fillId="0" borderId="9" xfId="0" applyNumberFormat="1" applyFont="1" applyBorder="1" applyAlignment="1">
      <alignment horizontal="left" vertical="center" wrapText="1"/>
    </xf>
    <xf numFmtId="1" fontId="14" fillId="0" borderId="9" xfId="0" applyNumberFormat="1" applyFont="1" applyBorder="1" applyAlignment="1" applyProtection="1">
      <alignment horizontal="left" vertical="center" wrapText="1"/>
      <protection locked="0"/>
    </xf>
    <xf numFmtId="167" fontId="14" fillId="0" borderId="9" xfId="2" applyFont="1" applyFill="1" applyBorder="1" applyAlignment="1" applyProtection="1">
      <alignment horizontal="right" vertical="center"/>
      <protection locked="0"/>
    </xf>
    <xf numFmtId="165" fontId="14" fillId="0" borderId="9" xfId="1" applyFont="1" applyFill="1" applyBorder="1" applyAlignment="1" applyProtection="1">
      <alignment horizontal="left" vertical="center"/>
      <protection locked="0"/>
    </xf>
    <xf numFmtId="0" fontId="0" fillId="0" borderId="9" xfId="0" applyBorder="1" applyAlignment="1" applyProtection="1">
      <alignment horizontal="justify" vertical="center" wrapText="1"/>
      <protection locked="0"/>
    </xf>
    <xf numFmtId="17" fontId="0" fillId="0" borderId="9" xfId="0" applyNumberFormat="1" applyBorder="1" applyAlignment="1" applyProtection="1">
      <alignment horizontal="left" vertical="center"/>
      <protection locked="0"/>
    </xf>
    <xf numFmtId="0" fontId="0" fillId="0" borderId="9" xfId="0" applyBorder="1" applyAlignment="1">
      <alignment horizontal="left" vertical="center" wrapText="1"/>
    </xf>
    <xf numFmtId="0" fontId="20" fillId="0" borderId="9" xfId="0" applyFont="1" applyBorder="1" applyAlignment="1">
      <alignment horizontal="left" vertical="center" wrapText="1"/>
    </xf>
    <xf numFmtId="0" fontId="17" fillId="0" borderId="9" xfId="2" applyNumberFormat="1" applyFont="1" applyFill="1" applyBorder="1" applyAlignment="1">
      <alignment horizontal="left" vertical="center" wrapText="1"/>
    </xf>
    <xf numFmtId="0" fontId="17" fillId="0" borderId="9" xfId="2" applyNumberFormat="1" applyFont="1" applyFill="1" applyBorder="1" applyAlignment="1">
      <alignment horizontal="center" vertical="center" wrapText="1"/>
    </xf>
    <xf numFmtId="0" fontId="12" fillId="0" borderId="9" xfId="0" applyFont="1" applyBorder="1" applyAlignment="1">
      <alignment horizontal="left" vertical="center" wrapText="1"/>
    </xf>
    <xf numFmtId="0" fontId="15" fillId="0" borderId="9" xfId="6" applyFont="1" applyBorder="1" applyAlignment="1" applyProtection="1">
      <alignment horizontal="justify" vertical="center" wrapText="1"/>
      <protection locked="0"/>
    </xf>
    <xf numFmtId="167" fontId="17" fillId="0" borderId="9" xfId="2" applyFont="1" applyFill="1" applyBorder="1" applyAlignment="1">
      <alignment horizontal="right" vertical="center" wrapText="1"/>
    </xf>
    <xf numFmtId="49" fontId="12" fillId="0" borderId="9" xfId="0" applyNumberFormat="1" applyFont="1" applyBorder="1" applyAlignment="1" applyProtection="1">
      <alignment horizontal="left" vertical="center" wrapText="1"/>
      <protection locked="0"/>
    </xf>
    <xf numFmtId="0" fontId="0" fillId="0" borderId="0" xfId="0" applyAlignment="1" applyProtection="1">
      <alignment horizontal="left" vertical="justify"/>
      <protection locked="0"/>
    </xf>
    <xf numFmtId="1" fontId="0" fillId="0" borderId="0" xfId="0" applyNumberFormat="1" applyAlignment="1">
      <alignment horizontal="left" vertical="justify" wrapText="1"/>
    </xf>
    <xf numFmtId="1" fontId="0" fillId="0" borderId="0" xfId="0" applyNumberFormat="1" applyAlignment="1" applyProtection="1">
      <alignment horizontal="left" vertical="justify" wrapText="1"/>
      <protection locked="0"/>
    </xf>
    <xf numFmtId="167" fontId="0" fillId="0" borderId="0" xfId="1" applyNumberFormat="1" applyFont="1" applyFill="1" applyAlignment="1" applyProtection="1">
      <alignment horizontal="right" vertical="justify"/>
      <protection locked="0"/>
    </xf>
    <xf numFmtId="0" fontId="0" fillId="0" borderId="0" xfId="0" applyAlignment="1" applyProtection="1">
      <alignment horizontal="left" vertical="justify" wrapText="1"/>
      <protection locked="0"/>
    </xf>
    <xf numFmtId="49" fontId="0" fillId="0" borderId="0" xfId="0" applyNumberFormat="1" applyAlignment="1" applyProtection="1">
      <alignment horizontal="left" vertical="justify" wrapText="1"/>
      <protection locked="0"/>
    </xf>
    <xf numFmtId="0" fontId="0" fillId="0" borderId="0" xfId="0" applyAlignment="1" applyProtection="1">
      <alignment horizontal="left"/>
      <protection locked="0"/>
    </xf>
    <xf numFmtId="0" fontId="12" fillId="0" borderId="0" xfId="0" applyFont="1" applyAlignment="1" applyProtection="1">
      <alignment horizontal="left"/>
      <protection locked="0"/>
    </xf>
    <xf numFmtId="165" fontId="0" fillId="0" borderId="0" xfId="1" applyFont="1" applyFill="1" applyAlignment="1" applyProtection="1">
      <alignment horizontal="left" vertical="justify"/>
      <protection locked="0"/>
    </xf>
    <xf numFmtId="0" fontId="12" fillId="0" borderId="0" xfId="0" applyFont="1" applyAlignment="1" applyProtection="1">
      <alignment horizontal="left" vertical="justify"/>
      <protection locked="0"/>
    </xf>
    <xf numFmtId="164" fontId="0" fillId="0" borderId="0" xfId="0" applyNumberFormat="1" applyAlignment="1" applyProtection="1">
      <alignment horizontal="left" vertical="justify"/>
      <protection locked="0"/>
    </xf>
    <xf numFmtId="0" fontId="0" fillId="10" borderId="0" xfId="0" applyFill="1" applyAlignment="1" applyProtection="1">
      <alignment horizontal="left" vertical="justify"/>
      <protection locked="0"/>
    </xf>
    <xf numFmtId="1" fontId="0" fillId="10" borderId="0" xfId="0" applyNumberFormat="1" applyFill="1" applyAlignment="1">
      <alignment horizontal="left" vertical="justify" wrapText="1"/>
    </xf>
    <xf numFmtId="1" fontId="0" fillId="10" borderId="0" xfId="0" applyNumberFormat="1" applyFill="1" applyAlignment="1" applyProtection="1">
      <alignment horizontal="left" vertical="center"/>
      <protection locked="0"/>
    </xf>
    <xf numFmtId="1" fontId="0" fillId="10" borderId="0" xfId="0" applyNumberFormat="1" applyFill="1" applyAlignment="1" applyProtection="1">
      <alignment horizontal="left" vertical="justify" wrapText="1"/>
      <protection locked="0"/>
    </xf>
    <xf numFmtId="0" fontId="0" fillId="10" borderId="0" xfId="0" applyFill="1" applyAlignment="1" applyProtection="1">
      <alignment horizontal="left" vertical="justify" wrapText="1"/>
      <protection locked="0"/>
    </xf>
    <xf numFmtId="0" fontId="0" fillId="10" borderId="0" xfId="0" applyFill="1" applyAlignment="1" applyProtection="1">
      <alignment horizontal="left"/>
      <protection locked="0"/>
    </xf>
    <xf numFmtId="165" fontId="0" fillId="10" borderId="0" xfId="1" applyFont="1" applyFill="1" applyAlignment="1" applyProtection="1">
      <alignment horizontal="left" vertical="justify"/>
      <protection locked="0"/>
    </xf>
    <xf numFmtId="49" fontId="0" fillId="10" borderId="0" xfId="0" applyNumberFormat="1" applyFill="1" applyAlignment="1" applyProtection="1">
      <alignment horizontal="left" vertical="justify" wrapText="1"/>
      <protection locked="0"/>
    </xf>
    <xf numFmtId="164" fontId="0" fillId="10" borderId="0" xfId="1" applyNumberFormat="1" applyFont="1" applyFill="1" applyAlignment="1" applyProtection="1">
      <alignment horizontal="right" vertical="justify"/>
      <protection locked="0"/>
    </xf>
    <xf numFmtId="171" fontId="25" fillId="10" borderId="4" xfId="8" applyNumberFormat="1" applyFont="1" applyFill="1" applyBorder="1" applyAlignment="1" applyProtection="1">
      <alignment horizontal="center" vertical="center" wrapText="1"/>
      <protection locked="0"/>
    </xf>
    <xf numFmtId="0" fontId="25" fillId="10" borderId="4" xfId="8" applyFont="1" applyFill="1" applyBorder="1" applyAlignment="1" applyProtection="1">
      <alignment horizontal="center" vertical="center" wrapText="1"/>
      <protection locked="0"/>
    </xf>
    <xf numFmtId="171" fontId="25" fillId="0" borderId="4" xfId="8" applyNumberFormat="1" applyFont="1" applyBorder="1" applyAlignment="1" applyProtection="1">
      <alignment horizontal="center" vertical="center" wrapText="1"/>
      <protection locked="0"/>
    </xf>
    <xf numFmtId="173" fontId="25" fillId="10" borderId="4" xfId="9" applyNumberFormat="1" applyFont="1" applyFill="1" applyBorder="1" applyAlignment="1" applyProtection="1">
      <alignment horizontal="center" vertical="center" wrapText="1"/>
      <protection locked="0"/>
    </xf>
    <xf numFmtId="175" fontId="25" fillId="10" borderId="4" xfId="10" applyNumberFormat="1" applyFont="1" applyFill="1" applyBorder="1" applyAlignment="1" applyProtection="1">
      <alignment horizontal="center" vertical="center" wrapText="1"/>
      <protection locked="0"/>
    </xf>
    <xf numFmtId="174" fontId="25" fillId="10" borderId="4" xfId="10" applyFont="1" applyFill="1" applyBorder="1" applyAlignment="1" applyProtection="1">
      <alignment horizontal="center" vertical="center" wrapText="1"/>
      <protection locked="0"/>
    </xf>
    <xf numFmtId="174" fontId="25" fillId="10" borderId="4" xfId="10" applyFont="1" applyFill="1" applyBorder="1" applyAlignment="1" applyProtection="1">
      <alignment horizontal="right" vertical="center" wrapText="1"/>
      <protection locked="0"/>
    </xf>
    <xf numFmtId="49" fontId="25" fillId="10" borderId="4" xfId="1" applyNumberFormat="1" applyFont="1" applyFill="1" applyBorder="1" applyAlignment="1" applyProtection="1">
      <alignment horizontal="right" vertical="center" wrapText="1"/>
      <protection locked="0"/>
    </xf>
    <xf numFmtId="165" fontId="25" fillId="11" borderId="4" xfId="1" applyFont="1" applyFill="1" applyBorder="1" applyAlignment="1" applyProtection="1">
      <alignment horizontal="center" vertical="center" wrapText="1"/>
      <protection locked="0"/>
    </xf>
    <xf numFmtId="1" fontId="25" fillId="10" borderId="4" xfId="1" applyNumberFormat="1" applyFont="1" applyFill="1" applyBorder="1" applyAlignment="1" applyProtection="1">
      <alignment horizontal="center" vertical="center" wrapText="1"/>
      <protection locked="0"/>
    </xf>
    <xf numFmtId="165" fontId="25" fillId="12" borderId="4" xfId="1" applyFont="1" applyFill="1" applyBorder="1" applyAlignment="1" applyProtection="1">
      <alignment horizontal="center" vertical="center" wrapText="1"/>
      <protection locked="0"/>
    </xf>
    <xf numFmtId="174" fontId="25" fillId="12" borderId="4" xfId="10" applyFont="1" applyFill="1" applyBorder="1" applyAlignment="1" applyProtection="1">
      <alignment horizontal="center" vertical="center" wrapText="1"/>
      <protection locked="0"/>
    </xf>
    <xf numFmtId="14" fontId="25" fillId="12" borderId="4" xfId="1" applyNumberFormat="1" applyFont="1" applyFill="1" applyBorder="1" applyAlignment="1" applyProtection="1">
      <alignment horizontal="center" vertical="center" wrapText="1"/>
      <protection locked="0"/>
    </xf>
    <xf numFmtId="3" fontId="25" fillId="12" borderId="4" xfId="1" applyNumberFormat="1" applyFont="1" applyFill="1" applyBorder="1" applyAlignment="1" applyProtection="1">
      <alignment horizontal="center" vertical="center" wrapText="1"/>
      <protection locked="0"/>
    </xf>
    <xf numFmtId="165" fontId="25" fillId="0" borderId="4" xfId="1" applyFont="1" applyFill="1" applyBorder="1" applyAlignment="1" applyProtection="1">
      <alignment horizontal="center" vertical="center" wrapText="1"/>
      <protection locked="0"/>
    </xf>
    <xf numFmtId="176" fontId="25" fillId="13" borderId="4" xfId="1" applyNumberFormat="1" applyFont="1" applyFill="1" applyBorder="1" applyAlignment="1" applyProtection="1">
      <alignment horizontal="center" vertical="center" wrapText="1"/>
      <protection locked="0"/>
    </xf>
    <xf numFmtId="165" fontId="25" fillId="13" borderId="4" xfId="1" applyFont="1" applyFill="1" applyBorder="1" applyAlignment="1" applyProtection="1">
      <alignment horizontal="center" vertical="center" wrapText="1"/>
      <protection locked="0"/>
    </xf>
    <xf numFmtId="165" fontId="26" fillId="0" borderId="4" xfId="1" applyFont="1" applyFill="1" applyBorder="1" applyAlignment="1" applyProtection="1">
      <alignment horizontal="center" vertical="center" wrapText="1"/>
      <protection locked="0"/>
    </xf>
    <xf numFmtId="0" fontId="27" fillId="0" borderId="4" xfId="0" applyFont="1" applyBorder="1" applyAlignment="1">
      <alignment horizontal="center" vertical="center"/>
    </xf>
    <xf numFmtId="0" fontId="28" fillId="0" borderId="5" xfId="11" applyBorder="1" applyAlignment="1">
      <alignment horizontal="center" vertical="center"/>
    </xf>
    <xf numFmtId="0" fontId="29" fillId="0" borderId="5" xfId="11" applyFont="1" applyBorder="1" applyAlignment="1">
      <alignment horizontal="center" vertical="center"/>
    </xf>
    <xf numFmtId="0" fontId="30" fillId="0" borderId="8" xfId="0" applyFont="1" applyBorder="1" applyAlignment="1">
      <alignment horizontal="center" vertical="center" wrapText="1"/>
    </xf>
    <xf numFmtId="14" fontId="30" fillId="0" borderId="8" xfId="0" applyNumberFormat="1" applyFont="1" applyBorder="1" applyAlignment="1">
      <alignment horizontal="center" vertical="center" wrapText="1"/>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0" fillId="0" borderId="7" xfId="0" applyFont="1" applyBorder="1" applyAlignment="1">
      <alignment horizontal="right" vertical="center"/>
    </xf>
    <xf numFmtId="0" fontId="16" fillId="0" borderId="7" xfId="0" applyFont="1" applyBorder="1" applyAlignment="1">
      <alignment vertical="center" wrapText="1"/>
    </xf>
    <xf numFmtId="0" fontId="16" fillId="0" borderId="7" xfId="0" applyFont="1" applyBorder="1" applyAlignment="1">
      <alignment vertical="center"/>
    </xf>
    <xf numFmtId="171" fontId="16" fillId="0" borderId="7" xfId="8" applyNumberFormat="1" applyFont="1" applyBorder="1" applyAlignment="1" applyProtection="1">
      <alignment vertical="center" wrapText="1"/>
      <protection locked="0"/>
    </xf>
    <xf numFmtId="0" fontId="30" fillId="0" borderId="0" xfId="0" applyFont="1" applyAlignment="1">
      <alignment horizontal="left" vertical="center"/>
    </xf>
    <xf numFmtId="174" fontId="30" fillId="10" borderId="9" xfId="10" applyFont="1" applyFill="1" applyBorder="1" applyAlignment="1" applyProtection="1">
      <alignment horizontal="right" vertical="center"/>
      <protection locked="0"/>
    </xf>
    <xf numFmtId="0" fontId="30" fillId="0" borderId="9" xfId="0" applyFont="1" applyBorder="1" applyAlignment="1">
      <alignment horizontal="right" vertical="center" wrapText="1"/>
    </xf>
    <xf numFmtId="49" fontId="30" fillId="10" borderId="9" xfId="1" applyNumberFormat="1" applyFont="1" applyFill="1" applyBorder="1" applyAlignment="1" applyProtection="1">
      <alignment horizontal="right" vertical="center"/>
      <protection locked="0"/>
    </xf>
    <xf numFmtId="0" fontId="31" fillId="11" borderId="9" xfId="1" applyNumberFormat="1" applyFont="1" applyFill="1" applyBorder="1" applyAlignment="1" applyProtection="1">
      <alignment vertical="center" wrapText="1"/>
      <protection locked="0"/>
    </xf>
    <xf numFmtId="49" fontId="30" fillId="11" borderId="9" xfId="1" applyNumberFormat="1" applyFont="1" applyFill="1" applyBorder="1" applyAlignment="1" applyProtection="1">
      <alignment horizontal="center" vertical="center" wrapText="1"/>
      <protection locked="0"/>
    </xf>
    <xf numFmtId="0" fontId="30" fillId="11" borderId="9" xfId="1" applyNumberFormat="1" applyFont="1" applyFill="1" applyBorder="1" applyAlignment="1" applyProtection="1">
      <alignment vertical="center" wrapText="1"/>
      <protection locked="0"/>
    </xf>
    <xf numFmtId="1" fontId="30" fillId="10" borderId="9" xfId="1" applyNumberFormat="1" applyFont="1" applyFill="1" applyBorder="1" applyAlignment="1" applyProtection="1">
      <alignment vertical="center"/>
      <protection locked="0"/>
    </xf>
    <xf numFmtId="168" fontId="30" fillId="12" borderId="9" xfId="1" applyNumberFormat="1" applyFont="1" applyFill="1" applyBorder="1" applyAlignment="1" applyProtection="1">
      <alignment horizontal="right" vertical="center"/>
      <protection locked="0"/>
    </xf>
    <xf numFmtId="174" fontId="30" fillId="12" borderId="9" xfId="10" applyFont="1" applyFill="1" applyBorder="1" applyAlignment="1" applyProtection="1">
      <alignment horizontal="right" vertical="center"/>
      <protection locked="0"/>
    </xf>
    <xf numFmtId="0" fontId="30" fillId="12" borderId="9" xfId="1" applyNumberFormat="1" applyFont="1" applyFill="1" applyBorder="1" applyAlignment="1" applyProtection="1">
      <alignment horizontal="right" vertical="center"/>
      <protection locked="0"/>
    </xf>
    <xf numFmtId="178" fontId="30" fillId="12" borderId="9" xfId="1" applyNumberFormat="1" applyFont="1" applyFill="1" applyBorder="1" applyAlignment="1" applyProtection="1">
      <alignment horizontal="right" vertical="center"/>
      <protection locked="0"/>
    </xf>
    <xf numFmtId="3" fontId="30" fillId="12" borderId="9" xfId="1" applyNumberFormat="1" applyFont="1" applyFill="1" applyBorder="1" applyAlignment="1" applyProtection="1">
      <alignment horizontal="right" vertical="center"/>
      <protection locked="0"/>
    </xf>
    <xf numFmtId="165" fontId="16" fillId="0" borderId="9" xfId="1" applyFont="1" applyFill="1" applyBorder="1" applyAlignment="1" applyProtection="1">
      <alignment vertical="center" wrapText="1"/>
      <protection locked="0"/>
    </xf>
    <xf numFmtId="176" fontId="16" fillId="13" borderId="9" xfId="0" applyNumberFormat="1" applyFont="1" applyFill="1" applyBorder="1" applyAlignment="1">
      <alignment vertical="center"/>
    </xf>
    <xf numFmtId="165" fontId="30" fillId="13" borderId="9" xfId="1" applyFont="1" applyFill="1" applyBorder="1" applyAlignment="1" applyProtection="1">
      <alignment horizontal="left" vertical="center" wrapText="1"/>
      <protection locked="0"/>
    </xf>
    <xf numFmtId="165" fontId="16" fillId="0" borderId="7" xfId="1" applyFont="1" applyFill="1" applyBorder="1" applyAlignment="1" applyProtection="1">
      <alignment horizontal="center" vertical="center" wrapText="1"/>
      <protection locked="0"/>
    </xf>
    <xf numFmtId="165" fontId="1" fillId="0" borderId="9" xfId="1" applyFont="1" applyFill="1" applyBorder="1" applyAlignment="1" applyProtection="1">
      <alignment horizontal="center" vertical="center" wrapText="1"/>
      <protection locked="0"/>
    </xf>
    <xf numFmtId="0" fontId="30" fillId="0" borderId="9" xfId="0" applyFont="1" applyBorder="1" applyAlignment="1">
      <alignment horizontal="right" vertical="center"/>
    </xf>
    <xf numFmtId="0" fontId="30" fillId="0" borderId="0" xfId="11" applyFont="1" applyAlignment="1">
      <alignment horizontal="right" vertical="center"/>
    </xf>
    <xf numFmtId="2" fontId="30" fillId="0" borderId="0" xfId="0" applyNumberFormat="1" applyFont="1" applyAlignment="1">
      <alignment horizontal="right" vertical="center"/>
    </xf>
    <xf numFmtId="178" fontId="30" fillId="0" borderId="0" xfId="0" applyNumberFormat="1" applyFont="1" applyAlignment="1">
      <alignment horizontal="right" vertical="center"/>
    </xf>
    <xf numFmtId="0" fontId="30" fillId="0" borderId="0" xfId="0" applyFont="1" applyAlignment="1">
      <alignment horizontal="right" vertical="center"/>
    </xf>
    <xf numFmtId="14" fontId="30" fillId="0" borderId="0" xfId="0" applyNumberFormat="1" applyFont="1" applyAlignment="1">
      <alignment horizontal="right" vertical="center"/>
    </xf>
    <xf numFmtId="167" fontId="30" fillId="0" borderId="0" xfId="2" applyFont="1" applyAlignment="1">
      <alignment horizontal="right" vertical="center"/>
    </xf>
    <xf numFmtId="10" fontId="30" fillId="0" borderId="0" xfId="0" applyNumberFormat="1" applyFont="1" applyAlignment="1">
      <alignment horizontal="right" vertical="center"/>
    </xf>
    <xf numFmtId="167" fontId="30" fillId="0" borderId="0" xfId="0" applyNumberFormat="1" applyFont="1" applyAlignment="1">
      <alignment horizontal="center" vertical="center"/>
    </xf>
    <xf numFmtId="0" fontId="30" fillId="0" borderId="0" xfId="0" applyFont="1" applyAlignment="1">
      <alignment horizontal="center" vertical="center"/>
    </xf>
    <xf numFmtId="171" fontId="16" fillId="0" borderId="13" xfId="8" applyNumberFormat="1" applyFont="1" applyBorder="1" applyAlignment="1" applyProtection="1">
      <alignment vertical="center" wrapText="1"/>
      <protection locked="0"/>
    </xf>
    <xf numFmtId="173" fontId="30" fillId="10" borderId="9" xfId="9" applyNumberFormat="1" applyFont="1" applyFill="1" applyBorder="1" applyAlignment="1" applyProtection="1">
      <alignment horizontal="left" vertical="center" wrapText="1"/>
      <protection locked="0"/>
    </xf>
    <xf numFmtId="173" fontId="30" fillId="0" borderId="7" xfId="9" applyNumberFormat="1" applyFont="1" applyFill="1" applyBorder="1" applyAlignment="1" applyProtection="1">
      <alignment horizontal="left" vertical="center" wrapText="1"/>
      <protection locked="0"/>
    </xf>
    <xf numFmtId="14" fontId="16" fillId="0" borderId="9" xfId="0" applyNumberFormat="1" applyFont="1" applyBorder="1" applyAlignment="1">
      <alignment horizontal="right" vertical="center"/>
    </xf>
    <xf numFmtId="14" fontId="16" fillId="0" borderId="9" xfId="0" applyNumberFormat="1" applyFont="1" applyBorder="1" applyAlignment="1">
      <alignment vertical="center"/>
    </xf>
    <xf numFmtId="0" fontId="30" fillId="0" borderId="9" xfId="0" applyFont="1" applyBorder="1" applyAlignment="1">
      <alignment horizontal="justify" vertical="center" wrapText="1"/>
    </xf>
    <xf numFmtId="0" fontId="16" fillId="0" borderId="13" xfId="0" applyFont="1" applyBorder="1" applyAlignment="1">
      <alignment vertical="center" wrapText="1"/>
    </xf>
    <xf numFmtId="165" fontId="31" fillId="0" borderId="9" xfId="1" applyFont="1" applyFill="1" applyBorder="1" applyAlignment="1">
      <alignment horizontal="left" vertical="center" wrapText="1"/>
    </xf>
    <xf numFmtId="174" fontId="30" fillId="0" borderId="9" xfId="10" applyFont="1" applyFill="1" applyBorder="1" applyAlignment="1">
      <alignment horizontal="right" vertical="center"/>
    </xf>
    <xf numFmtId="49" fontId="30" fillId="0" borderId="9" xfId="0" applyNumberFormat="1" applyFont="1" applyBorder="1" applyAlignment="1">
      <alignment horizontal="right" vertical="center"/>
    </xf>
    <xf numFmtId="0" fontId="32" fillId="11" borderId="0" xfId="0" applyFont="1" applyFill="1" applyAlignment="1">
      <alignment vertical="center"/>
    </xf>
    <xf numFmtId="49" fontId="30" fillId="11" borderId="7" xfId="1" applyNumberFormat="1" applyFont="1" applyFill="1" applyBorder="1" applyAlignment="1" applyProtection="1">
      <alignment horizontal="center" vertical="center" wrapText="1"/>
      <protection locked="0"/>
    </xf>
    <xf numFmtId="0" fontId="30" fillId="11" borderId="9" xfId="0" applyFont="1" applyFill="1" applyBorder="1" applyAlignment="1">
      <alignment vertical="center" wrapText="1"/>
    </xf>
    <xf numFmtId="1" fontId="30" fillId="0" borderId="9" xfId="0" applyNumberFormat="1" applyFont="1" applyBorder="1" applyAlignment="1">
      <alignment vertical="center"/>
    </xf>
    <xf numFmtId="165" fontId="24" fillId="13" borderId="9" xfId="12" applyNumberFormat="1" applyFill="1" applyBorder="1" applyAlignment="1">
      <alignment horizontal="left" vertical="center" wrapText="1"/>
    </xf>
    <xf numFmtId="0" fontId="16" fillId="0" borderId="9" xfId="0" applyFont="1" applyBorder="1" applyAlignment="1">
      <alignment vertical="center"/>
    </xf>
    <xf numFmtId="0" fontId="16" fillId="0" borderId="0" xfId="0" applyFont="1" applyAlignment="1">
      <alignment vertical="center"/>
    </xf>
    <xf numFmtId="1" fontId="12" fillId="0" borderId="14" xfId="0" applyNumberFormat="1" applyFont="1" applyBorder="1" applyAlignment="1">
      <alignment horizontal="center" vertical="center" wrapText="1"/>
    </xf>
    <xf numFmtId="167" fontId="30" fillId="0" borderId="0" xfId="0" applyNumberFormat="1" applyFont="1" applyAlignment="1">
      <alignment horizontal="right" vertical="center"/>
    </xf>
    <xf numFmtId="165" fontId="30" fillId="0" borderId="9" xfId="1" applyFont="1" applyFill="1" applyBorder="1" applyAlignment="1">
      <alignment horizontal="left" vertical="center" wrapText="1"/>
    </xf>
    <xf numFmtId="0" fontId="31" fillId="11" borderId="9" xfId="0" applyFont="1" applyFill="1" applyBorder="1" applyAlignment="1">
      <alignment horizontal="center" vertical="center" wrapText="1"/>
    </xf>
    <xf numFmtId="49" fontId="30" fillId="11" borderId="7" xfId="0" applyNumberFormat="1" applyFont="1" applyFill="1" applyBorder="1" applyAlignment="1">
      <alignment horizontal="center" vertical="center" wrapText="1"/>
    </xf>
    <xf numFmtId="1" fontId="12" fillId="10" borderId="14" xfId="0" applyNumberFormat="1" applyFont="1" applyFill="1" applyBorder="1" applyAlignment="1">
      <alignment horizontal="center" vertical="center" wrapText="1"/>
    </xf>
    <xf numFmtId="1" fontId="12" fillId="14" borderId="14" xfId="0" applyNumberFormat="1" applyFont="1" applyFill="1" applyBorder="1" applyAlignment="1">
      <alignment horizontal="center" vertical="center" wrapText="1"/>
    </xf>
    <xf numFmtId="0" fontId="30" fillId="11" borderId="7" xfId="0" applyFont="1" applyFill="1" applyBorder="1" applyAlignment="1">
      <alignment vertical="center" wrapText="1"/>
    </xf>
    <xf numFmtId="1" fontId="30" fillId="0" borderId="7" xfId="0" applyNumberFormat="1" applyFont="1" applyBorder="1" applyAlignment="1">
      <alignment vertical="center"/>
    </xf>
    <xf numFmtId="165" fontId="24" fillId="13" borderId="9" xfId="7" applyNumberFormat="1" applyFill="1" applyBorder="1" applyAlignment="1">
      <alignment horizontal="left" vertical="center" wrapText="1"/>
    </xf>
    <xf numFmtId="174" fontId="30" fillId="0" borderId="0" xfId="0" applyNumberFormat="1" applyFont="1" applyAlignment="1">
      <alignment horizontal="right" vertical="center"/>
    </xf>
    <xf numFmtId="165" fontId="30" fillId="11" borderId="7" xfId="1" applyFont="1" applyFill="1" applyBorder="1" applyAlignment="1" applyProtection="1">
      <alignment vertical="center" wrapText="1"/>
      <protection locked="0"/>
    </xf>
    <xf numFmtId="1" fontId="30" fillId="10" borderId="7" xfId="1" applyNumberFormat="1" applyFont="1" applyFill="1" applyBorder="1" applyAlignment="1" applyProtection="1">
      <alignment vertical="center"/>
      <protection locked="0"/>
    </xf>
    <xf numFmtId="14" fontId="16" fillId="0" borderId="7" xfId="0" applyNumberFormat="1" applyFont="1" applyBorder="1" applyAlignment="1">
      <alignment vertical="center"/>
    </xf>
    <xf numFmtId="174" fontId="30" fillId="0" borderId="9" xfId="10" applyFont="1" applyBorder="1" applyAlignment="1">
      <alignment horizontal="right" vertical="center"/>
    </xf>
    <xf numFmtId="0" fontId="16" fillId="0" borderId="0" xfId="0" applyFont="1" applyAlignment="1">
      <alignment vertical="center" wrapText="1"/>
    </xf>
    <xf numFmtId="0" fontId="33" fillId="0" borderId="9" xfId="0" applyFont="1" applyBorder="1" applyAlignment="1">
      <alignment horizontal="left" vertical="center" wrapText="1"/>
    </xf>
    <xf numFmtId="174" fontId="33" fillId="0" borderId="9" xfId="10" applyFont="1" applyBorder="1" applyAlignment="1">
      <alignment horizontal="center" vertical="center"/>
    </xf>
    <xf numFmtId="49" fontId="31" fillId="11" borderId="9" xfId="0" applyNumberFormat="1" applyFont="1" applyFill="1" applyBorder="1" applyAlignment="1">
      <alignment vertical="center" wrapText="1"/>
    </xf>
    <xf numFmtId="165" fontId="24" fillId="13" borderId="7" xfId="7" applyNumberFormat="1" applyFill="1" applyBorder="1" applyAlignment="1">
      <alignment horizontal="left" vertical="center" wrapText="1"/>
    </xf>
    <xf numFmtId="49" fontId="30" fillId="11" borderId="9" xfId="0" applyNumberFormat="1" applyFont="1" applyFill="1" applyBorder="1" applyAlignment="1">
      <alignment horizontal="center" vertical="center" wrapText="1"/>
    </xf>
    <xf numFmtId="0" fontId="31" fillId="11" borderId="9" xfId="0" applyFont="1" applyFill="1" applyBorder="1" applyAlignment="1">
      <alignment vertical="center" wrapText="1"/>
    </xf>
    <xf numFmtId="165" fontId="30" fillId="11" borderId="9" xfId="1" applyFont="1" applyFill="1" applyBorder="1" applyAlignment="1" applyProtection="1">
      <alignment vertical="center" wrapText="1"/>
      <protection locked="0"/>
    </xf>
    <xf numFmtId="14" fontId="30" fillId="0" borderId="9" xfId="0" applyNumberFormat="1" applyFont="1" applyBorder="1" applyAlignment="1">
      <alignment vertical="center"/>
    </xf>
    <xf numFmtId="167" fontId="30" fillId="0" borderId="9" xfId="0" applyNumberFormat="1" applyFont="1" applyBorder="1" applyAlignment="1">
      <alignment horizontal="right" vertical="center"/>
    </xf>
    <xf numFmtId="177" fontId="30" fillId="0" borderId="9" xfId="0" applyNumberFormat="1" applyFont="1" applyBorder="1" applyAlignment="1">
      <alignment horizontal="right" vertical="center"/>
    </xf>
    <xf numFmtId="0" fontId="33" fillId="10" borderId="9" xfId="0" applyFont="1" applyFill="1" applyBorder="1" applyAlignment="1">
      <alignment horizontal="justify" vertical="center" wrapText="1"/>
    </xf>
    <xf numFmtId="1" fontId="1" fillId="10" borderId="14" xfId="0" applyNumberFormat="1" applyFont="1" applyFill="1" applyBorder="1" applyAlignment="1">
      <alignment horizontal="center" vertical="center"/>
    </xf>
    <xf numFmtId="49" fontId="30" fillId="0" borderId="9" xfId="0" applyNumberFormat="1" applyFont="1" applyBorder="1" applyAlignment="1">
      <alignment horizontal="right" vertical="center" wrapText="1"/>
    </xf>
    <xf numFmtId="165" fontId="30" fillId="13" borderId="9" xfId="12" applyNumberFormat="1" applyFont="1" applyFill="1" applyBorder="1" applyAlignment="1">
      <alignment horizontal="left" vertical="center" wrapText="1"/>
    </xf>
    <xf numFmtId="1" fontId="1" fillId="10" borderId="9" xfId="0" applyNumberFormat="1" applyFont="1" applyFill="1" applyBorder="1" applyAlignment="1">
      <alignment horizontal="center" vertical="center"/>
    </xf>
    <xf numFmtId="165" fontId="24" fillId="13" borderId="7" xfId="12" applyNumberFormat="1" applyFill="1" applyBorder="1" applyAlignment="1">
      <alignment horizontal="left" vertical="center" wrapText="1"/>
    </xf>
    <xf numFmtId="1" fontId="1" fillId="14" borderId="14" xfId="0" applyNumberFormat="1" applyFont="1" applyFill="1" applyBorder="1" applyAlignment="1">
      <alignment horizontal="center" vertical="center"/>
    </xf>
    <xf numFmtId="1" fontId="1" fillId="14" borderId="9" xfId="0" applyNumberFormat="1" applyFont="1" applyFill="1" applyBorder="1" applyAlignment="1">
      <alignment horizontal="center" vertical="center"/>
    </xf>
    <xf numFmtId="1" fontId="16" fillId="0" borderId="9" xfId="0" applyNumberFormat="1" applyFont="1" applyBorder="1" applyAlignment="1">
      <alignment vertical="center"/>
    </xf>
    <xf numFmtId="14" fontId="16" fillId="0" borderId="0" xfId="0" applyNumberFormat="1" applyFont="1" applyAlignment="1">
      <alignment vertical="center"/>
    </xf>
    <xf numFmtId="1" fontId="1" fillId="0" borderId="14" xfId="0" applyNumberFormat="1" applyFont="1" applyBorder="1" applyAlignment="1">
      <alignment horizontal="center" vertical="center"/>
    </xf>
    <xf numFmtId="1" fontId="1" fillId="0" borderId="9" xfId="0" applyNumberFormat="1" applyFont="1" applyBorder="1" applyAlignment="1">
      <alignment horizontal="center" vertical="center"/>
    </xf>
    <xf numFmtId="0" fontId="16" fillId="0" borderId="9" xfId="0" applyFont="1" applyBorder="1" applyAlignment="1">
      <alignment horizontal="right" vertical="center" wrapText="1"/>
    </xf>
    <xf numFmtId="0" fontId="35" fillId="13" borderId="0" xfId="0" applyFont="1" applyFill="1" applyAlignment="1">
      <alignment vertical="center"/>
    </xf>
    <xf numFmtId="1" fontId="1" fillId="0" borderId="15" xfId="0" applyNumberFormat="1" applyFont="1" applyBorder="1" applyAlignment="1">
      <alignment horizontal="center" vertical="center"/>
    </xf>
    <xf numFmtId="165" fontId="30" fillId="13" borderId="9" xfId="0" applyNumberFormat="1" applyFont="1" applyFill="1" applyBorder="1" applyAlignment="1">
      <alignment horizontal="left" vertical="center" wrapText="1"/>
    </xf>
    <xf numFmtId="0" fontId="33" fillId="10" borderId="9" xfId="0" applyFont="1" applyFill="1" applyBorder="1" applyAlignment="1">
      <alignment horizontal="left" vertical="center" wrapText="1"/>
    </xf>
    <xf numFmtId="14" fontId="0" fillId="0" borderId="9" xfId="0" applyNumberFormat="1" applyBorder="1" applyAlignment="1">
      <alignment vertical="center"/>
    </xf>
    <xf numFmtId="1" fontId="1" fillId="0" borderId="9" xfId="0" applyNumberFormat="1" applyFont="1" applyBorder="1" applyAlignment="1">
      <alignment horizontal="center" vertical="center" wrapText="1"/>
    </xf>
    <xf numFmtId="0" fontId="36" fillId="13" borderId="0" xfId="0" applyFont="1" applyFill="1" applyAlignment="1">
      <alignment vertical="center"/>
    </xf>
    <xf numFmtId="165" fontId="24" fillId="13" borderId="8" xfId="12" applyNumberFormat="1" applyFill="1" applyBorder="1" applyAlignment="1">
      <alignment horizontal="left" vertical="center" wrapText="1"/>
    </xf>
    <xf numFmtId="1" fontId="0" fillId="0" borderId="14" xfId="0" applyNumberFormat="1" applyBorder="1" applyAlignment="1">
      <alignment horizontal="center" vertical="center"/>
    </xf>
    <xf numFmtId="1" fontId="30" fillId="0" borderId="9" xfId="10" applyNumberFormat="1" applyFont="1" applyBorder="1" applyAlignment="1">
      <alignment vertical="center"/>
    </xf>
    <xf numFmtId="174" fontId="16" fillId="0" borderId="9" xfId="10" applyFont="1" applyBorder="1" applyAlignment="1">
      <alignment horizontal="left" vertical="center"/>
    </xf>
    <xf numFmtId="49" fontId="37" fillId="11" borderId="9" xfId="0" applyNumberFormat="1" applyFont="1" applyFill="1" applyBorder="1" applyAlignment="1">
      <alignment horizontal="center" vertical="center" wrapText="1"/>
    </xf>
    <xf numFmtId="165" fontId="30" fillId="13" borderId="9" xfId="7" applyNumberFormat="1" applyFont="1" applyFill="1" applyBorder="1" applyAlignment="1">
      <alignment horizontal="left" vertical="center" wrapText="1"/>
    </xf>
    <xf numFmtId="174" fontId="16" fillId="0" borderId="9" xfId="10" applyFont="1" applyBorder="1" applyAlignment="1">
      <alignment vertical="center"/>
    </xf>
    <xf numFmtId="0" fontId="16" fillId="0" borderId="9" xfId="0" applyFont="1" applyBorder="1" applyAlignment="1">
      <alignment vertical="center" wrapText="1"/>
    </xf>
    <xf numFmtId="0" fontId="38" fillId="13" borderId="0" xfId="0" applyFont="1" applyFill="1" applyAlignment="1">
      <alignment vertical="center"/>
    </xf>
    <xf numFmtId="176" fontId="16" fillId="0" borderId="9" xfId="0" applyNumberFormat="1" applyFont="1" applyBorder="1" applyAlignment="1">
      <alignment vertical="center"/>
    </xf>
    <xf numFmtId="0" fontId="39" fillId="13" borderId="0" xfId="0" applyFont="1" applyFill="1" applyAlignment="1">
      <alignment vertical="center"/>
    </xf>
    <xf numFmtId="0" fontId="24" fillId="13" borderId="9" xfId="7" applyFill="1" applyBorder="1" applyAlignment="1">
      <alignment horizontal="left" vertical="center"/>
    </xf>
    <xf numFmtId="14" fontId="24" fillId="0" borderId="9" xfId="12" applyNumberFormat="1" applyBorder="1" applyAlignment="1">
      <alignment vertical="center"/>
    </xf>
    <xf numFmtId="1" fontId="24" fillId="0" borderId="9" xfId="12" applyNumberFormat="1" applyBorder="1" applyAlignment="1">
      <alignment horizontal="center" vertical="center"/>
    </xf>
    <xf numFmtId="1" fontId="30" fillId="0" borderId="9" xfId="0" applyNumberFormat="1" applyFont="1" applyBorder="1" applyAlignment="1">
      <alignment horizontal="right" vertical="center"/>
    </xf>
    <xf numFmtId="14" fontId="16" fillId="8" borderId="9" xfId="0" applyNumberFormat="1" applyFont="1" applyFill="1" applyBorder="1" applyAlignment="1">
      <alignment vertical="center"/>
    </xf>
    <xf numFmtId="0" fontId="40" fillId="13" borderId="0" xfId="0" applyFont="1" applyFill="1" applyAlignment="1">
      <alignment vertical="center"/>
    </xf>
    <xf numFmtId="0" fontId="41" fillId="13" borderId="16" xfId="0" applyFont="1" applyFill="1" applyBorder="1" applyAlignment="1">
      <alignment vertical="center"/>
    </xf>
    <xf numFmtId="14" fontId="16" fillId="0" borderId="8" xfId="0" applyNumberFormat="1" applyFont="1" applyBorder="1" applyAlignment="1">
      <alignment vertical="center"/>
    </xf>
    <xf numFmtId="165" fontId="24" fillId="13" borderId="4" xfId="7" applyNumberFormat="1" applyFill="1" applyBorder="1" applyAlignment="1">
      <alignment horizontal="left" vertical="center" wrapText="1"/>
    </xf>
    <xf numFmtId="0" fontId="42" fillId="13" borderId="16" xfId="0" applyFont="1" applyFill="1" applyBorder="1" applyAlignment="1">
      <alignment vertical="center"/>
    </xf>
    <xf numFmtId="49" fontId="30" fillId="0" borderId="9" xfId="0" applyNumberFormat="1" applyFont="1" applyBorder="1" applyAlignment="1">
      <alignment horizontal="left" vertical="center"/>
    </xf>
    <xf numFmtId="49" fontId="30" fillId="11" borderId="9" xfId="0" applyNumberFormat="1" applyFont="1" applyFill="1" applyBorder="1" applyAlignment="1">
      <alignment horizontal="left" vertical="center" wrapText="1"/>
    </xf>
    <xf numFmtId="0" fontId="31" fillId="11" borderId="9" xfId="0" applyFont="1" applyFill="1" applyBorder="1" applyAlignment="1">
      <alignment horizontal="left" vertical="center" wrapText="1"/>
    </xf>
    <xf numFmtId="165" fontId="30" fillId="11" borderId="9" xfId="1" applyFont="1" applyFill="1" applyBorder="1" applyAlignment="1" applyProtection="1">
      <alignment horizontal="left" vertical="center" wrapText="1"/>
      <protection locked="0"/>
    </xf>
    <xf numFmtId="14" fontId="16" fillId="0" borderId="9" xfId="0" applyNumberFormat="1" applyFont="1" applyBorder="1" applyAlignment="1">
      <alignment horizontal="left" vertical="center"/>
    </xf>
    <xf numFmtId="0" fontId="30" fillId="0" borderId="9" xfId="0" applyFont="1" applyBorder="1" applyAlignment="1">
      <alignment horizontal="left" vertical="center"/>
    </xf>
    <xf numFmtId="167" fontId="30" fillId="0" borderId="9" xfId="0" applyNumberFormat="1" applyFont="1" applyBorder="1" applyAlignment="1">
      <alignment horizontal="left" vertical="center"/>
    </xf>
    <xf numFmtId="1" fontId="16" fillId="0" borderId="9" xfId="0" applyNumberFormat="1" applyFont="1" applyBorder="1" applyAlignment="1">
      <alignment horizontal="right" vertical="center"/>
    </xf>
    <xf numFmtId="0" fontId="42" fillId="13" borderId="0" xfId="0" applyFont="1" applyFill="1" applyAlignment="1">
      <alignment vertical="center"/>
    </xf>
    <xf numFmtId="0" fontId="42" fillId="13" borderId="17" xfId="0" applyFont="1" applyFill="1" applyBorder="1" applyAlignment="1">
      <alignment vertical="center"/>
    </xf>
    <xf numFmtId="0" fontId="42" fillId="13" borderId="18" xfId="0" applyFont="1" applyFill="1" applyBorder="1" applyAlignment="1">
      <alignment vertical="center"/>
    </xf>
    <xf numFmtId="0" fontId="42" fillId="13" borderId="19" xfId="0" applyFont="1" applyFill="1" applyBorder="1" applyAlignment="1">
      <alignment vertical="center"/>
    </xf>
    <xf numFmtId="174" fontId="30" fillId="14" borderId="9" xfId="10" applyFont="1" applyFill="1" applyBorder="1" applyAlignment="1">
      <alignment horizontal="right" vertical="center"/>
    </xf>
    <xf numFmtId="165" fontId="24" fillId="13" borderId="12" xfId="7" applyNumberFormat="1" applyFill="1" applyBorder="1" applyAlignment="1">
      <alignment horizontal="left" vertical="center" wrapText="1"/>
    </xf>
    <xf numFmtId="165" fontId="24" fillId="13" borderId="12" xfId="12" applyNumberFormat="1" applyFill="1" applyBorder="1" applyAlignment="1">
      <alignment horizontal="left" vertical="center" wrapText="1"/>
    </xf>
    <xf numFmtId="174" fontId="30" fillId="2" borderId="9" xfId="10" applyFont="1" applyFill="1" applyBorder="1" applyAlignment="1">
      <alignment horizontal="right" vertical="center"/>
    </xf>
    <xf numFmtId="174" fontId="30" fillId="13" borderId="4" xfId="10" applyFont="1" applyFill="1" applyBorder="1" applyAlignment="1">
      <alignment horizontal="right" vertical="center"/>
    </xf>
    <xf numFmtId="174" fontId="33" fillId="0" borderId="9" xfId="10" applyFont="1" applyBorder="1" applyAlignment="1">
      <alignment horizontal="right" vertical="center"/>
    </xf>
    <xf numFmtId="0" fontId="36" fillId="13" borderId="16" xfId="0" applyFont="1" applyFill="1" applyBorder="1" applyAlignment="1">
      <alignment vertical="center"/>
    </xf>
    <xf numFmtId="14" fontId="16" fillId="0" borderId="9" xfId="0" applyNumberFormat="1" applyFont="1" applyBorder="1" applyAlignment="1">
      <alignment vertical="center" wrapText="1"/>
    </xf>
    <xf numFmtId="167" fontId="30" fillId="0" borderId="9" xfId="0" applyNumberFormat="1" applyFont="1" applyBorder="1" applyAlignment="1">
      <alignment horizontal="right" vertical="center" wrapText="1"/>
    </xf>
    <xf numFmtId="14" fontId="16" fillId="13" borderId="9" xfId="0" applyNumberFormat="1" applyFont="1" applyFill="1" applyBorder="1" applyAlignment="1">
      <alignment vertical="center"/>
    </xf>
    <xf numFmtId="1" fontId="0" fillId="0" borderId="9" xfId="0" applyNumberFormat="1" applyBorder="1" applyAlignment="1">
      <alignment horizontal="center" vertical="center"/>
    </xf>
    <xf numFmtId="1" fontId="16" fillId="0" borderId="9" xfId="0" applyNumberFormat="1" applyFont="1" applyBorder="1" applyAlignment="1">
      <alignment vertical="center" wrapText="1"/>
    </xf>
    <xf numFmtId="1" fontId="0" fillId="0" borderId="9" xfId="0" applyNumberFormat="1" applyBorder="1" applyAlignment="1">
      <alignment horizontal="center" vertical="center" wrapText="1"/>
    </xf>
    <xf numFmtId="0" fontId="31" fillId="10" borderId="9" xfId="8" applyFont="1" applyFill="1" applyBorder="1" applyAlignment="1">
      <alignment horizontal="center" vertical="center" wrapText="1"/>
    </xf>
    <xf numFmtId="2" fontId="30" fillId="0" borderId="0" xfId="0" applyNumberFormat="1" applyFont="1" applyAlignment="1">
      <alignment horizontal="right" vertical="center" wrapText="1"/>
    </xf>
    <xf numFmtId="14" fontId="30" fillId="0" borderId="0" xfId="0" applyNumberFormat="1" applyFont="1" applyAlignment="1">
      <alignment horizontal="right" vertical="center" wrapText="1"/>
    </xf>
    <xf numFmtId="0" fontId="30" fillId="0" borderId="9" xfId="0" applyFont="1" applyBorder="1" applyAlignment="1">
      <alignment vertical="center"/>
    </xf>
    <xf numFmtId="1" fontId="30" fillId="0" borderId="9" xfId="0" applyNumberFormat="1" applyFont="1" applyBorder="1"/>
    <xf numFmtId="0" fontId="16" fillId="0" borderId="9" xfId="0" applyFont="1" applyBorder="1"/>
    <xf numFmtId="0" fontId="30" fillId="0" borderId="9" xfId="0" applyFont="1" applyBorder="1" applyAlignment="1">
      <alignment horizontal="right"/>
    </xf>
    <xf numFmtId="174" fontId="30" fillId="0" borderId="9" xfId="10" applyFont="1" applyBorder="1" applyAlignment="1">
      <alignment vertical="center"/>
    </xf>
    <xf numFmtId="14" fontId="16" fillId="15" borderId="9" xfId="0" applyNumberFormat="1" applyFont="1" applyFill="1" applyBorder="1" applyAlignment="1">
      <alignment vertical="center"/>
    </xf>
    <xf numFmtId="167" fontId="30" fillId="0" borderId="7" xfId="0" applyNumberFormat="1" applyFont="1" applyBorder="1" applyAlignment="1">
      <alignment horizontal="right" vertical="center"/>
    </xf>
    <xf numFmtId="1" fontId="1" fillId="0" borderId="7" xfId="0" applyNumberFormat="1" applyFont="1" applyBorder="1" applyAlignment="1">
      <alignment horizontal="center" vertical="center"/>
    </xf>
    <xf numFmtId="0" fontId="30" fillId="0" borderId="16" xfId="0" applyFont="1" applyBorder="1" applyAlignment="1">
      <alignment horizontal="right" vertical="center"/>
    </xf>
    <xf numFmtId="167" fontId="30" fillId="0" borderId="16" xfId="0" applyNumberFormat="1" applyFont="1" applyBorder="1" applyAlignment="1">
      <alignment horizontal="right" vertical="center"/>
    </xf>
    <xf numFmtId="0" fontId="16" fillId="15" borderId="9" xfId="0" applyFont="1" applyFill="1" applyBorder="1"/>
    <xf numFmtId="0" fontId="16" fillId="15" borderId="9" xfId="0" applyFont="1" applyFill="1" applyBorder="1" applyAlignment="1">
      <alignment vertical="center"/>
    </xf>
    <xf numFmtId="0" fontId="30" fillId="0" borderId="9" xfId="0" applyFont="1" applyBorder="1" applyAlignment="1">
      <alignment horizontal="left" vertical="center" wrapText="1"/>
    </xf>
    <xf numFmtId="3" fontId="30" fillId="0" borderId="9" xfId="0" applyNumberFormat="1" applyFont="1" applyBorder="1" applyAlignment="1">
      <alignment horizontal="right" vertical="center"/>
    </xf>
    <xf numFmtId="0" fontId="30" fillId="0" borderId="9" xfId="0" applyFont="1" applyBorder="1" applyAlignment="1">
      <alignment horizontal="right" wrapText="1"/>
    </xf>
    <xf numFmtId="174" fontId="30" fillId="0" borderId="9" xfId="10" applyFont="1" applyBorder="1" applyAlignment="1">
      <alignment horizontal="center" vertical="center"/>
    </xf>
    <xf numFmtId="0" fontId="44" fillId="0" borderId="9" xfId="0" applyFont="1" applyBorder="1" applyAlignment="1">
      <alignment vertical="center"/>
    </xf>
    <xf numFmtId="0" fontId="44" fillId="0" borderId="9" xfId="0" applyFont="1" applyBorder="1" applyAlignment="1">
      <alignment vertical="center" wrapText="1"/>
    </xf>
    <xf numFmtId="0" fontId="30" fillId="0" borderId="0" xfId="0" applyFont="1" applyAlignment="1">
      <alignment horizontal="justify" vertical="center" wrapText="1"/>
    </xf>
    <xf numFmtId="0" fontId="1" fillId="0" borderId="9" xfId="0" applyFont="1" applyBorder="1" applyAlignment="1">
      <alignment horizontal="center" vertical="center"/>
    </xf>
    <xf numFmtId="0" fontId="30" fillId="0" borderId="7" xfId="0" applyFont="1" applyBorder="1" applyAlignment="1">
      <alignment horizontal="left" vertical="center" wrapText="1"/>
    </xf>
    <xf numFmtId="0" fontId="30" fillId="0" borderId="16" xfId="0" applyFont="1" applyBorder="1" applyAlignment="1">
      <alignment horizontal="left" vertical="center" wrapText="1"/>
    </xf>
    <xf numFmtId="0" fontId="16" fillId="0" borderId="16" xfId="0" applyFont="1" applyBorder="1" applyAlignment="1">
      <alignment vertical="center"/>
    </xf>
    <xf numFmtId="1" fontId="1" fillId="0" borderId="16" xfId="0" applyNumberFormat="1" applyFont="1" applyBorder="1" applyAlignment="1">
      <alignment horizontal="center" vertical="center"/>
    </xf>
    <xf numFmtId="0" fontId="30" fillId="0" borderId="4" xfId="0" applyFont="1" applyBorder="1" applyAlignment="1">
      <alignment horizontal="right" vertical="center"/>
    </xf>
    <xf numFmtId="167" fontId="30" fillId="0" borderId="4" xfId="0" applyNumberFormat="1" applyFont="1" applyBorder="1" applyAlignment="1">
      <alignment horizontal="right" vertical="center"/>
    </xf>
    <xf numFmtId="0" fontId="16" fillId="0" borderId="4" xfId="0" applyFont="1" applyBorder="1" applyAlignment="1">
      <alignment vertical="center" wrapText="1"/>
    </xf>
    <xf numFmtId="0" fontId="30" fillId="0" borderId="4" xfId="0" applyFont="1" applyBorder="1" applyAlignment="1">
      <alignment horizontal="left" vertical="center" wrapText="1"/>
    </xf>
    <xf numFmtId="1" fontId="30" fillId="0" borderId="4" xfId="0" applyNumberFormat="1" applyFont="1" applyBorder="1" applyAlignment="1">
      <alignment vertical="center"/>
    </xf>
    <xf numFmtId="0" fontId="16" fillId="0" borderId="4" xfId="0" applyFont="1" applyBorder="1" applyAlignment="1">
      <alignment vertical="center"/>
    </xf>
    <xf numFmtId="1" fontId="1" fillId="0" borderId="4" xfId="0" applyNumberFormat="1" applyFont="1" applyBorder="1" applyAlignment="1">
      <alignment horizontal="center" vertical="center"/>
    </xf>
    <xf numFmtId="0" fontId="30" fillId="0" borderId="0" xfId="0" applyFont="1" applyAlignment="1">
      <alignment horizontal="left" vertical="center" wrapText="1"/>
    </xf>
    <xf numFmtId="1" fontId="30" fillId="0" borderId="9" xfId="0" applyNumberFormat="1" applyFont="1" applyBorder="1" applyAlignment="1">
      <alignment vertical="center" wrapText="1"/>
    </xf>
    <xf numFmtId="1" fontId="30" fillId="15" borderId="9" xfId="0" applyNumberFormat="1" applyFont="1" applyFill="1" applyBorder="1" applyAlignment="1">
      <alignment vertical="center"/>
    </xf>
    <xf numFmtId="0" fontId="16" fillId="0" borderId="9" xfId="0" applyFont="1" applyBorder="1" applyAlignment="1">
      <alignment horizontal="right" vertical="center"/>
    </xf>
    <xf numFmtId="0" fontId="0" fillId="0" borderId="9" xfId="0" applyBorder="1" applyAlignment="1">
      <alignment horizontal="left" vertical="center"/>
    </xf>
    <xf numFmtId="14" fontId="30" fillId="0" borderId="9" xfId="0" applyNumberFormat="1" applyFont="1" applyBorder="1" applyAlignment="1">
      <alignment horizontal="right" vertical="center"/>
    </xf>
    <xf numFmtId="0" fontId="30" fillId="0" borderId="0" xfId="0" applyFont="1" applyAlignment="1">
      <alignment horizontal="right" vertical="center" wrapText="1"/>
    </xf>
    <xf numFmtId="0" fontId="16" fillId="0" borderId="9" xfId="0" applyFont="1" applyBorder="1" applyAlignment="1">
      <alignment horizontal="left" vertical="center"/>
    </xf>
    <xf numFmtId="174" fontId="30" fillId="0" borderId="7" xfId="10" applyFont="1" applyBorder="1" applyAlignment="1">
      <alignment vertical="center"/>
    </xf>
    <xf numFmtId="174" fontId="30" fillId="0" borderId="9" xfId="10" applyFont="1" applyFill="1" applyBorder="1" applyAlignment="1">
      <alignment vertical="center"/>
    </xf>
    <xf numFmtId="0" fontId="30" fillId="13" borderId="9" xfId="0" applyFont="1" applyFill="1" applyBorder="1" applyAlignment="1">
      <alignment horizontal="center" vertical="center"/>
    </xf>
    <xf numFmtId="3" fontId="30" fillId="0" borderId="7" xfId="0" applyNumberFormat="1" applyFont="1" applyBorder="1" applyAlignment="1">
      <alignment vertical="center"/>
    </xf>
    <xf numFmtId="174" fontId="30" fillId="0" borderId="0" xfId="10" applyFont="1" applyFill="1" applyBorder="1" applyAlignment="1">
      <alignment horizontal="right" vertical="center"/>
    </xf>
    <xf numFmtId="1" fontId="30" fillId="0" borderId="0" xfId="0" applyNumberFormat="1" applyFont="1" applyAlignment="1">
      <alignment vertical="center"/>
    </xf>
    <xf numFmtId="0" fontId="1" fillId="0" borderId="0" xfId="0" applyFont="1" applyAlignment="1">
      <alignment horizontal="center" vertical="center"/>
    </xf>
    <xf numFmtId="0" fontId="30" fillId="0" borderId="0" xfId="0" applyFont="1" applyAlignment="1">
      <alignment horizontal="justify" vertical="center"/>
    </xf>
    <xf numFmtId="49" fontId="30" fillId="0" borderId="0" xfId="0" applyNumberFormat="1" applyFont="1" applyAlignment="1">
      <alignment horizontal="right" vertical="center"/>
    </xf>
    <xf numFmtId="49" fontId="30" fillId="0" borderId="0" xfId="0" applyNumberFormat="1" applyFont="1" applyAlignment="1">
      <alignment horizontal="right" vertical="center" wrapText="1"/>
    </xf>
    <xf numFmtId="49" fontId="31" fillId="0" borderId="0" xfId="0" applyNumberFormat="1" applyFont="1" applyAlignment="1">
      <alignment vertical="center" wrapText="1"/>
    </xf>
    <xf numFmtId="0" fontId="30" fillId="0" borderId="0" xfId="0" applyFont="1" applyAlignment="1">
      <alignment vertical="center" wrapText="1"/>
    </xf>
    <xf numFmtId="0" fontId="16" fillId="0" borderId="0" xfId="0" applyFont="1" applyAlignment="1">
      <alignment horizontal="right" vertical="center"/>
    </xf>
    <xf numFmtId="176" fontId="16" fillId="0" borderId="0" xfId="0" applyNumberFormat="1" applyFont="1" applyAlignment="1">
      <alignment vertical="center"/>
    </xf>
    <xf numFmtId="0" fontId="3" fillId="0" borderId="0" xfId="0" applyFont="1" applyAlignment="1" applyProtection="1">
      <alignment horizontal="right" vertical="center" wrapText="1"/>
      <protection locked="0"/>
    </xf>
    <xf numFmtId="166" fontId="3" fillId="0" borderId="0" xfId="0" applyNumberFormat="1" applyFont="1" applyAlignment="1" applyProtection="1">
      <alignment horizontal="center" vertical="center" wrapText="1"/>
      <protection locked="0"/>
    </xf>
    <xf numFmtId="0" fontId="6" fillId="0" borderId="1" xfId="0" applyFont="1" applyBorder="1" applyAlignment="1" applyProtection="1">
      <alignment horizontal="right" vertical="center" wrapText="1"/>
      <protection locked="0"/>
    </xf>
    <xf numFmtId="0" fontId="0" fillId="0" borderId="0" xfId="0" applyAlignment="1" applyProtection="1">
      <alignment horizontal="right" vertical="center"/>
      <protection locked="0"/>
    </xf>
    <xf numFmtId="0" fontId="0" fillId="0" borderId="9" xfId="1" applyNumberFormat="1" applyFont="1" applyFill="1" applyBorder="1" applyAlignment="1" applyProtection="1">
      <alignment horizontal="right" vertical="center"/>
      <protection locked="0"/>
    </xf>
    <xf numFmtId="165" fontId="12" fillId="0" borderId="9" xfId="1" applyFont="1" applyFill="1" applyBorder="1" applyAlignment="1">
      <alignment vertical="center" wrapText="1"/>
    </xf>
    <xf numFmtId="165" fontId="0" fillId="0" borderId="9" xfId="1" applyFont="1" applyFill="1" applyBorder="1" applyAlignment="1">
      <alignment vertical="center" wrapText="1"/>
    </xf>
    <xf numFmtId="0" fontId="12" fillId="0" borderId="9" xfId="5" applyFont="1" applyBorder="1" applyAlignment="1">
      <alignment vertical="center"/>
    </xf>
    <xf numFmtId="0" fontId="12" fillId="0" borderId="9" xfId="0" applyFont="1" applyBorder="1" applyAlignment="1" applyProtection="1">
      <alignment horizontal="left" vertical="center" wrapText="1"/>
      <protection locked="0"/>
    </xf>
    <xf numFmtId="1" fontId="12" fillId="0" borderId="9" xfId="0" applyNumberFormat="1" applyFont="1" applyBorder="1" applyAlignment="1">
      <alignment horizontal="left" vertical="center" wrapText="1"/>
    </xf>
    <xf numFmtId="1" fontId="12" fillId="0" borderId="9" xfId="0" applyNumberFormat="1" applyFont="1" applyBorder="1" applyAlignment="1" applyProtection="1">
      <alignment horizontal="left" vertical="center" wrapText="1"/>
      <protection locked="0"/>
    </xf>
    <xf numFmtId="167" fontId="12" fillId="0" borderId="9" xfId="2" applyFont="1" applyFill="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12" fillId="0" borderId="9" xfId="1" applyNumberFormat="1" applyFont="1" applyFill="1" applyBorder="1" applyAlignment="1" applyProtection="1">
      <alignment horizontal="right" vertical="center"/>
      <protection locked="0"/>
    </xf>
    <xf numFmtId="165" fontId="12" fillId="0" borderId="9" xfId="1" applyFont="1" applyFill="1" applyBorder="1" applyAlignment="1" applyProtection="1">
      <alignment horizontal="left" vertical="center"/>
      <protection locked="0"/>
    </xf>
    <xf numFmtId="164" fontId="12" fillId="0" borderId="9" xfId="0" applyNumberFormat="1" applyFont="1" applyBorder="1" applyAlignment="1" applyProtection="1">
      <alignment horizontal="left" vertical="center"/>
      <protection locked="0"/>
    </xf>
    <xf numFmtId="0" fontId="0" fillId="9" borderId="0" xfId="0" applyFill="1" applyAlignment="1" applyProtection="1">
      <alignment horizontal="left" vertical="center"/>
      <protection locked="0"/>
    </xf>
    <xf numFmtId="0" fontId="12" fillId="0" borderId="9" xfId="0" applyFont="1" applyBorder="1" applyAlignment="1" applyProtection="1">
      <alignment horizontal="center" vertical="center"/>
      <protection locked="0"/>
    </xf>
    <xf numFmtId="0" fontId="0" fillId="0" borderId="9" xfId="0" applyBorder="1" applyAlignment="1">
      <alignment horizontal="justify" vertical="center" wrapText="1"/>
    </xf>
    <xf numFmtId="165" fontId="0" fillId="0" borderId="9" xfId="1" applyFont="1" applyFill="1" applyBorder="1" applyAlignment="1" applyProtection="1">
      <alignment horizontal="right" vertical="center"/>
      <protection locked="0"/>
    </xf>
    <xf numFmtId="1" fontId="17" fillId="0" borderId="9" xfId="0" applyNumberFormat="1" applyFont="1" applyBorder="1" applyAlignment="1">
      <alignment horizontal="center" vertical="center" wrapText="1"/>
    </xf>
    <xf numFmtId="14" fontId="18" fillId="0" borderId="9" xfId="0" applyNumberFormat="1" applyFont="1" applyBorder="1" applyAlignment="1">
      <alignment vertical="center"/>
    </xf>
    <xf numFmtId="0" fontId="48" fillId="0" borderId="9" xfId="0" applyFont="1" applyBorder="1" applyAlignment="1">
      <alignment vertical="center" wrapText="1"/>
    </xf>
    <xf numFmtId="0" fontId="14" fillId="0" borderId="9" xfId="1" applyNumberFormat="1" applyFont="1" applyFill="1" applyBorder="1" applyAlignment="1" applyProtection="1">
      <alignment horizontal="right" vertical="center"/>
      <protection locked="0"/>
    </xf>
    <xf numFmtId="0" fontId="34" fillId="0" borderId="9" xfId="0" applyFont="1" applyBorder="1" applyAlignment="1">
      <alignment horizontal="left" vertical="center"/>
    </xf>
    <xf numFmtId="8" fontId="34" fillId="0" borderId="9" xfId="10" applyNumberFormat="1" applyFont="1" applyFill="1" applyBorder="1" applyAlignment="1">
      <alignment horizontal="right" vertical="center"/>
    </xf>
    <xf numFmtId="0" fontId="34" fillId="0" borderId="9" xfId="0" applyFont="1" applyBorder="1" applyAlignment="1">
      <alignment horizontal="justify" vertical="center"/>
    </xf>
    <xf numFmtId="167" fontId="0" fillId="0" borderId="9" xfId="2" applyFont="1" applyFill="1" applyBorder="1" applyAlignment="1">
      <alignment horizontal="right"/>
    </xf>
    <xf numFmtId="0" fontId="14" fillId="0" borderId="9" xfId="0" applyFont="1" applyBorder="1" applyAlignment="1" applyProtection="1">
      <alignment horizontal="center" vertical="center"/>
      <protection locked="0"/>
    </xf>
    <xf numFmtId="0" fontId="14" fillId="0" borderId="9" xfId="0" applyFont="1" applyBorder="1" applyAlignment="1">
      <alignment horizontal="justify" vertical="center"/>
    </xf>
    <xf numFmtId="0" fontId="0" fillId="0" borderId="9" xfId="0" applyBorder="1" applyAlignment="1">
      <alignment horizontal="justify" vertical="center"/>
    </xf>
    <xf numFmtId="1" fontId="18" fillId="0" borderId="9" xfId="0" applyNumberFormat="1" applyFont="1" applyBorder="1" applyAlignment="1">
      <alignment horizontal="center" vertical="center" wrapText="1"/>
    </xf>
    <xf numFmtId="0" fontId="18" fillId="0" borderId="9" xfId="5" applyFont="1" applyBorder="1" applyAlignment="1">
      <alignment vertical="center"/>
    </xf>
    <xf numFmtId="0" fontId="48" fillId="0" borderId="9" xfId="0" applyFont="1" applyBorder="1" applyAlignment="1">
      <alignment wrapText="1"/>
    </xf>
    <xf numFmtId="0" fontId="19" fillId="0" borderId="9" xfId="0" applyFont="1" applyBorder="1" applyAlignment="1">
      <alignment horizontal="justify" vertical="center" wrapText="1"/>
    </xf>
    <xf numFmtId="1" fontId="17" fillId="0" borderId="9" xfId="0" applyNumberFormat="1" applyFont="1" applyBorder="1" applyAlignment="1">
      <alignment horizontal="left" vertical="center" wrapText="1"/>
    </xf>
    <xf numFmtId="169" fontId="17" fillId="0" borderId="9" xfId="0" applyNumberFormat="1" applyFont="1" applyBorder="1" applyAlignment="1">
      <alignment horizontal="left" vertical="center" wrapText="1"/>
    </xf>
    <xf numFmtId="169" fontId="17" fillId="0" borderId="9" xfId="0" applyNumberFormat="1" applyFont="1" applyBorder="1" applyAlignment="1">
      <alignment horizontal="center" vertical="center" wrapText="1"/>
    </xf>
    <xf numFmtId="0" fontId="17" fillId="0" borderId="9" xfId="5" applyFont="1" applyBorder="1" applyAlignment="1">
      <alignment vertical="center"/>
    </xf>
    <xf numFmtId="0" fontId="14" fillId="0" borderId="9" xfId="0" applyFont="1" applyBorder="1" applyAlignment="1">
      <alignment horizontal="left" vertical="center" wrapText="1"/>
    </xf>
    <xf numFmtId="0" fontId="17" fillId="0" borderId="9" xfId="2" applyNumberFormat="1" applyFont="1" applyFill="1" applyBorder="1" applyAlignment="1">
      <alignment vertical="center" wrapText="1"/>
    </xf>
    <xf numFmtId="0" fontId="15" fillId="0" borderId="9" xfId="1" applyNumberFormat="1" applyFont="1" applyFill="1" applyBorder="1" applyAlignment="1" applyProtection="1">
      <alignment horizontal="right" vertical="center"/>
      <protection locked="0"/>
    </xf>
    <xf numFmtId="0" fontId="17" fillId="0" borderId="9" xfId="0" applyFont="1" applyBorder="1" applyAlignment="1">
      <alignment horizontal="center" vertical="center" wrapText="1"/>
    </xf>
    <xf numFmtId="0" fontId="17" fillId="0" borderId="9" xfId="0" applyFont="1" applyBorder="1" applyAlignment="1">
      <alignment horizontal="left" vertical="center" wrapText="1"/>
    </xf>
    <xf numFmtId="0" fontId="0" fillId="0" borderId="9" xfId="0" applyBorder="1" applyAlignment="1">
      <alignment vertical="center" wrapText="1"/>
    </xf>
    <xf numFmtId="1" fontId="17" fillId="0" borderId="9" xfId="0" applyNumberFormat="1" applyFont="1" applyBorder="1" applyAlignment="1" applyProtection="1">
      <alignment horizontal="left" vertical="center" wrapText="1"/>
      <protection locked="0"/>
    </xf>
    <xf numFmtId="49" fontId="17" fillId="0" borderId="9" xfId="0" applyNumberFormat="1" applyFont="1" applyBorder="1" applyAlignment="1" applyProtection="1">
      <alignment horizontal="left" vertical="center" wrapText="1"/>
      <protection locked="0"/>
    </xf>
    <xf numFmtId="0" fontId="17" fillId="0" borderId="9" xfId="0" applyFont="1" applyBorder="1" applyAlignment="1" applyProtection="1">
      <alignment horizontal="left" vertical="center"/>
      <protection locked="0"/>
    </xf>
    <xf numFmtId="0" fontId="18" fillId="0" borderId="9" xfId="0" applyFont="1" applyBorder="1" applyAlignment="1" applyProtection="1">
      <alignment horizontal="left" vertical="center"/>
      <protection locked="0"/>
    </xf>
    <xf numFmtId="1" fontId="48" fillId="0" borderId="9" xfId="0" applyNumberFormat="1" applyFont="1" applyBorder="1" applyAlignment="1" applyProtection="1">
      <alignment horizontal="left" vertical="center" wrapText="1"/>
      <protection locked="0"/>
    </xf>
    <xf numFmtId="0" fontId="48" fillId="0" borderId="9" xfId="0" applyFont="1" applyBorder="1" applyAlignment="1">
      <alignment vertical="center"/>
    </xf>
    <xf numFmtId="0" fontId="19" fillId="0" borderId="9" xfId="0" applyFont="1" applyBorder="1" applyAlignment="1">
      <alignment vertical="center"/>
    </xf>
    <xf numFmtId="167" fontId="48" fillId="0" borderId="9" xfId="2" applyFont="1" applyFill="1" applyBorder="1" applyAlignment="1">
      <alignment horizontal="right" vertical="center" wrapText="1"/>
    </xf>
    <xf numFmtId="0" fontId="18" fillId="0" borderId="9" xfId="0" applyFont="1" applyBorder="1" applyAlignment="1">
      <alignment vertical="center"/>
    </xf>
    <xf numFmtId="0" fontId="0" fillId="16" borderId="0" xfId="0" applyFill="1" applyAlignment="1" applyProtection="1">
      <alignment horizontal="left" vertical="center"/>
      <protection locked="0"/>
    </xf>
    <xf numFmtId="0" fontId="0" fillId="8" borderId="0" xfId="0" applyFill="1" applyAlignment="1" applyProtection="1">
      <alignment horizontal="left" vertical="center"/>
      <protection locked="0"/>
    </xf>
    <xf numFmtId="0" fontId="47" fillId="0" borderId="9" xfId="0" applyFont="1" applyBorder="1" applyAlignment="1" applyProtection="1">
      <alignment horizontal="left" vertical="center"/>
      <protection locked="0"/>
    </xf>
    <xf numFmtId="1" fontId="47" fillId="0" borderId="9" xfId="0" applyNumberFormat="1" applyFont="1" applyBorder="1" applyAlignment="1">
      <alignment horizontal="left" vertical="center" wrapText="1"/>
    </xf>
    <xf numFmtId="1" fontId="47" fillId="0" borderId="9" xfId="0" applyNumberFormat="1" applyFont="1" applyBorder="1" applyAlignment="1" applyProtection="1">
      <alignment horizontal="left" vertical="center" wrapText="1"/>
      <protection locked="0"/>
    </xf>
    <xf numFmtId="167" fontId="49" fillId="0" borderId="9" xfId="2" applyFont="1" applyFill="1" applyBorder="1" applyAlignment="1">
      <alignment horizontal="right" vertical="center" wrapText="1"/>
    </xf>
    <xf numFmtId="0" fontId="47" fillId="0" borderId="9" xfId="0" applyFont="1" applyBorder="1" applyAlignment="1" applyProtection="1">
      <alignment horizontal="left" vertical="center" wrapText="1"/>
      <protection locked="0"/>
    </xf>
    <xf numFmtId="49" fontId="47" fillId="0" borderId="9" xfId="0" applyNumberFormat="1" applyFont="1" applyBorder="1" applyAlignment="1" applyProtection="1">
      <alignment horizontal="left" vertical="center" wrapText="1"/>
      <protection locked="0"/>
    </xf>
    <xf numFmtId="0" fontId="47" fillId="0" borderId="9" xfId="0" applyFont="1" applyBorder="1" applyAlignment="1" applyProtection="1">
      <alignment horizontal="center" vertical="center"/>
      <protection locked="0"/>
    </xf>
    <xf numFmtId="0" fontId="47" fillId="0" borderId="9" xfId="1" applyNumberFormat="1" applyFont="1" applyFill="1" applyBorder="1" applyAlignment="1" applyProtection="1">
      <alignment horizontal="right" vertical="center"/>
      <protection locked="0"/>
    </xf>
    <xf numFmtId="165" fontId="47" fillId="0" borderId="9" xfId="1" applyFont="1" applyFill="1" applyBorder="1" applyAlignment="1" applyProtection="1">
      <alignment horizontal="left" vertical="center"/>
      <protection locked="0"/>
    </xf>
    <xf numFmtId="164" fontId="47" fillId="0" borderId="9" xfId="0" applyNumberFormat="1" applyFont="1" applyBorder="1" applyAlignment="1" applyProtection="1">
      <alignment horizontal="left" vertical="center"/>
      <protection locked="0"/>
    </xf>
    <xf numFmtId="0" fontId="18" fillId="0" borderId="9" xfId="0" applyFont="1" applyBorder="1" applyAlignment="1" applyProtection="1">
      <alignment horizontal="center" vertical="center"/>
      <protection locked="0"/>
    </xf>
    <xf numFmtId="0" fontId="12" fillId="0" borderId="9" xfId="5" applyFont="1" applyBorder="1" applyAlignment="1">
      <alignment horizontal="left" vertical="center"/>
    </xf>
    <xf numFmtId="0" fontId="1" fillId="0" borderId="9" xfId="5" applyBorder="1" applyAlignment="1">
      <alignment horizontal="left" vertical="center"/>
    </xf>
    <xf numFmtId="0" fontId="0" fillId="0" borderId="9" xfId="5" applyFont="1" applyBorder="1" applyAlignment="1">
      <alignment horizontal="left" vertical="center"/>
    </xf>
    <xf numFmtId="0" fontId="0" fillId="0" borderId="9" xfId="5" applyFont="1" applyBorder="1" applyAlignment="1">
      <alignment horizontal="center" vertical="center"/>
    </xf>
    <xf numFmtId="0" fontId="1" fillId="0" borderId="9" xfId="5" applyBorder="1" applyAlignment="1">
      <alignment horizontal="center" vertical="center"/>
    </xf>
    <xf numFmtId="44" fontId="17" fillId="0" borderId="9" xfId="2" applyNumberFormat="1" applyFont="1" applyFill="1" applyBorder="1" applyAlignment="1">
      <alignment horizontal="right" vertical="center" wrapText="1"/>
    </xf>
    <xf numFmtId="43" fontId="0" fillId="0" borderId="0" xfId="0" applyNumberFormat="1" applyAlignment="1" applyProtection="1">
      <alignment horizontal="left" vertical="center"/>
      <protection locked="0"/>
    </xf>
    <xf numFmtId="0" fontId="0" fillId="0" borderId="0" xfId="0" applyAlignment="1" applyProtection="1">
      <alignment horizontal="right" vertical="justify"/>
      <protection locked="0"/>
    </xf>
    <xf numFmtId="164" fontId="0" fillId="0" borderId="0" xfId="1" applyNumberFormat="1" applyFont="1" applyFill="1" applyBorder="1" applyAlignment="1" applyProtection="1">
      <alignment horizontal="right" vertical="justify"/>
      <protection locked="0"/>
    </xf>
    <xf numFmtId="8" fontId="0" fillId="0" borderId="0" xfId="0" applyNumberFormat="1" applyAlignment="1" applyProtection="1">
      <alignment horizontal="left" vertical="justify" wrapText="1"/>
      <protection locked="0"/>
    </xf>
    <xf numFmtId="8" fontId="0" fillId="0" borderId="0" xfId="0" applyNumberFormat="1" applyAlignment="1" applyProtection="1">
      <alignment horizontal="left" vertical="justify"/>
      <protection locked="0"/>
    </xf>
    <xf numFmtId="44" fontId="0" fillId="0" borderId="0" xfId="0" applyNumberFormat="1" applyAlignment="1" applyProtection="1">
      <alignment horizontal="left" vertical="justify"/>
      <protection locked="0"/>
    </xf>
    <xf numFmtId="0" fontId="46" fillId="0" borderId="0" xfId="0" applyFont="1"/>
    <xf numFmtId="170" fontId="0" fillId="0" borderId="0" xfId="1" applyNumberFormat="1" applyFont="1" applyFill="1" applyAlignment="1" applyProtection="1">
      <alignment horizontal="right" vertical="justify"/>
      <protection locked="0"/>
    </xf>
    <xf numFmtId="165" fontId="0" fillId="0" borderId="0" xfId="0" applyNumberFormat="1" applyAlignment="1" applyProtection="1">
      <alignment horizontal="left" vertical="justify"/>
      <protection locked="0"/>
    </xf>
    <xf numFmtId="164" fontId="0" fillId="0" borderId="0" xfId="1" applyNumberFormat="1" applyFont="1" applyFill="1" applyAlignment="1" applyProtection="1">
      <alignment horizontal="right" vertical="justify"/>
      <protection locked="0"/>
    </xf>
    <xf numFmtId="167" fontId="0" fillId="0" borderId="0" xfId="2" applyFont="1" applyAlignment="1" applyProtection="1">
      <alignment horizontal="left" vertical="justify"/>
      <protection locked="0"/>
    </xf>
    <xf numFmtId="0" fontId="0" fillId="10" borderId="0" xfId="0" applyFill="1" applyAlignment="1" applyProtection="1">
      <alignment horizontal="left" vertical="center"/>
      <protection locked="0"/>
    </xf>
    <xf numFmtId="0" fontId="0" fillId="10" borderId="0" xfId="0" applyFill="1" applyAlignment="1" applyProtection="1">
      <alignment horizontal="right" vertical="justify"/>
      <protection locked="0"/>
    </xf>
    <xf numFmtId="14" fontId="25" fillId="13" borderId="4" xfId="1" applyNumberFormat="1" applyFont="1" applyFill="1" applyBorder="1" applyAlignment="1" applyProtection="1">
      <alignment vertical="center" wrapText="1"/>
      <protection locked="0"/>
    </xf>
    <xf numFmtId="0" fontId="30" fillId="0" borderId="20" xfId="0" applyFont="1" applyBorder="1" applyAlignment="1">
      <alignment horizontal="center" vertical="center"/>
    </xf>
    <xf numFmtId="175" fontId="30" fillId="0" borderId="9" xfId="10" applyNumberFormat="1" applyFont="1" applyFill="1" applyBorder="1" applyAlignment="1" applyProtection="1">
      <alignment vertical="center"/>
      <protection locked="0"/>
    </xf>
    <xf numFmtId="174" fontId="30" fillId="0" borderId="9" xfId="10" applyFont="1" applyFill="1" applyBorder="1" applyAlignment="1" applyProtection="1">
      <alignment vertical="center"/>
      <protection locked="0"/>
    </xf>
    <xf numFmtId="174" fontId="30" fillId="0" borderId="10" xfId="10" applyFont="1" applyFill="1" applyBorder="1" applyAlignment="1" applyProtection="1">
      <alignment horizontal="right" vertical="center"/>
      <protection locked="0"/>
    </xf>
    <xf numFmtId="174" fontId="30" fillId="0" borderId="9" xfId="10" applyFont="1" applyBorder="1" applyAlignment="1" applyProtection="1">
      <alignment horizontal="right" vertical="center"/>
      <protection locked="0"/>
    </xf>
    <xf numFmtId="49" fontId="30" fillId="0" borderId="8" xfId="1" applyNumberFormat="1" applyFont="1" applyFill="1" applyBorder="1" applyAlignment="1" applyProtection="1">
      <alignment horizontal="right" vertical="center"/>
      <protection locked="0"/>
    </xf>
    <xf numFmtId="14" fontId="16" fillId="0" borderId="9" xfId="1" applyNumberFormat="1" applyFont="1" applyBorder="1" applyAlignment="1" applyProtection="1">
      <alignment vertical="center" wrapText="1"/>
      <protection locked="0"/>
    </xf>
    <xf numFmtId="0" fontId="24" fillId="13" borderId="0" xfId="7" applyFill="1" applyAlignment="1">
      <alignment vertical="center"/>
    </xf>
    <xf numFmtId="175" fontId="30" fillId="10" borderId="9" xfId="10" applyNumberFormat="1" applyFont="1" applyFill="1" applyBorder="1" applyAlignment="1" applyProtection="1">
      <alignment vertical="center"/>
      <protection locked="0"/>
    </xf>
    <xf numFmtId="174" fontId="30" fillId="0" borderId="9" xfId="10" applyFont="1" applyBorder="1" applyAlignment="1" applyProtection="1">
      <alignment vertical="center"/>
      <protection locked="0"/>
    </xf>
    <xf numFmtId="174" fontId="30" fillId="10" borderId="10" xfId="10" applyFont="1" applyFill="1" applyBorder="1" applyAlignment="1" applyProtection="1">
      <alignment horizontal="right" vertical="center"/>
      <protection locked="0"/>
    </xf>
    <xf numFmtId="49" fontId="30" fillId="10" borderId="8" xfId="1" applyNumberFormat="1" applyFont="1" applyFill="1" applyBorder="1" applyAlignment="1" applyProtection="1">
      <alignment horizontal="right" vertical="center"/>
      <protection locked="0"/>
    </xf>
    <xf numFmtId="165" fontId="0" fillId="0" borderId="9" xfId="1" applyFont="1" applyFill="1" applyBorder="1" applyAlignment="1" applyProtection="1">
      <alignment horizontal="center" vertical="center" wrapText="1"/>
      <protection locked="0"/>
    </xf>
    <xf numFmtId="14" fontId="16" fillId="0" borderId="9" xfId="1" applyNumberFormat="1" applyFont="1" applyBorder="1" applyAlignment="1" applyProtection="1">
      <alignment horizontal="right" vertical="center" wrapText="1"/>
      <protection locked="0"/>
    </xf>
    <xf numFmtId="165" fontId="24" fillId="13" borderId="9" xfId="12" applyNumberFormat="1" applyFill="1" applyBorder="1" applyAlignment="1" applyProtection="1">
      <alignment horizontal="left" vertical="center" wrapText="1"/>
      <protection locked="0"/>
    </xf>
    <xf numFmtId="0" fontId="24" fillId="13" borderId="9" xfId="12" applyNumberFormat="1" applyFill="1" applyBorder="1" applyAlignment="1" applyProtection="1">
      <alignment horizontal="left" vertical="center" wrapText="1"/>
      <protection locked="0"/>
    </xf>
    <xf numFmtId="1" fontId="18" fillId="0" borderId="16" xfId="0" applyNumberFormat="1" applyFont="1" applyBorder="1" applyAlignment="1">
      <alignment horizontal="center" vertical="center"/>
    </xf>
    <xf numFmtId="14" fontId="16" fillId="0" borderId="9" xfId="1" applyNumberFormat="1" applyFont="1" applyFill="1" applyBorder="1" applyAlignment="1" applyProtection="1">
      <alignment vertical="center" wrapText="1"/>
      <protection locked="0"/>
    </xf>
    <xf numFmtId="1" fontId="30" fillId="8" borderId="9" xfId="1" applyNumberFormat="1" applyFont="1" applyFill="1" applyBorder="1" applyAlignment="1" applyProtection="1">
      <alignment vertical="center"/>
      <protection locked="0"/>
    </xf>
    <xf numFmtId="0" fontId="30" fillId="7" borderId="9" xfId="0" applyFont="1" applyFill="1" applyBorder="1" applyAlignment="1">
      <alignment horizontal="right" vertical="center"/>
    </xf>
    <xf numFmtId="0" fontId="30" fillId="7" borderId="9" xfId="0" applyFont="1" applyFill="1" applyBorder="1" applyAlignment="1">
      <alignment horizontal="center" vertical="center"/>
    </xf>
    <xf numFmtId="0" fontId="16" fillId="7" borderId="9" xfId="0" applyFont="1" applyFill="1" applyBorder="1" applyAlignment="1">
      <alignment vertical="center" wrapText="1"/>
    </xf>
    <xf numFmtId="173" fontId="30" fillId="7" borderId="7" xfId="9" applyNumberFormat="1" applyFont="1" applyFill="1" applyBorder="1" applyAlignment="1" applyProtection="1">
      <alignment horizontal="left" vertical="center" wrapText="1"/>
      <protection locked="0"/>
    </xf>
    <xf numFmtId="175" fontId="30" fillId="7" borderId="9" xfId="10" applyNumberFormat="1" applyFont="1" applyFill="1" applyBorder="1" applyAlignment="1" applyProtection="1">
      <alignment vertical="center"/>
      <protection locked="0"/>
    </xf>
    <xf numFmtId="174" fontId="30" fillId="7" borderId="9" xfId="10" applyFont="1" applyFill="1" applyBorder="1" applyAlignment="1" applyProtection="1">
      <alignment vertical="center"/>
      <protection locked="0"/>
    </xf>
    <xf numFmtId="174" fontId="30" fillId="7" borderId="10" xfId="10" applyFont="1" applyFill="1" applyBorder="1" applyAlignment="1" applyProtection="1">
      <alignment horizontal="right" vertical="center"/>
      <protection locked="0"/>
    </xf>
    <xf numFmtId="49" fontId="30" fillId="7" borderId="8" xfId="1" applyNumberFormat="1" applyFont="1" applyFill="1" applyBorder="1" applyAlignment="1" applyProtection="1">
      <alignment horizontal="right" vertical="center"/>
      <protection locked="0"/>
    </xf>
    <xf numFmtId="3" fontId="30" fillId="0" borderId="9" xfId="0" applyNumberFormat="1" applyFont="1" applyBorder="1" applyAlignment="1">
      <alignment vertical="center"/>
    </xf>
    <xf numFmtId="174" fontId="30" fillId="0" borderId="10" xfId="10" applyFont="1" applyBorder="1" applyAlignment="1">
      <alignment horizontal="right" vertical="center"/>
    </xf>
    <xf numFmtId="49" fontId="30" fillId="0" borderId="8" xfId="0" applyNumberFormat="1" applyFont="1" applyBorder="1" applyAlignment="1">
      <alignment horizontal="right" vertical="center"/>
    </xf>
    <xf numFmtId="0" fontId="30" fillId="0" borderId="10" xfId="0" applyFont="1" applyBorder="1" applyAlignment="1">
      <alignment horizontal="right" vertical="center"/>
    </xf>
    <xf numFmtId="171" fontId="16" fillId="0" borderId="9" xfId="8" applyNumberFormat="1" applyFont="1" applyBorder="1" applyAlignment="1" applyProtection="1">
      <alignment vertical="center" wrapText="1"/>
      <protection locked="0"/>
    </xf>
    <xf numFmtId="173" fontId="30" fillId="0" borderId="7" xfId="9" applyNumberFormat="1" applyFont="1" applyBorder="1" applyAlignment="1" applyProtection="1">
      <alignment horizontal="left" vertical="center" wrapText="1"/>
      <protection locked="0"/>
    </xf>
    <xf numFmtId="175" fontId="30" fillId="0" borderId="9" xfId="10" applyNumberFormat="1" applyFont="1" applyBorder="1" applyAlignment="1" applyProtection="1">
      <alignment vertical="center"/>
      <protection locked="0"/>
    </xf>
    <xf numFmtId="175" fontId="30" fillId="0" borderId="9" xfId="10" applyNumberFormat="1" applyFont="1" applyBorder="1" applyAlignment="1" applyProtection="1">
      <alignment horizontal="right" vertical="center"/>
      <protection locked="0"/>
    </xf>
    <xf numFmtId="0" fontId="30" fillId="0" borderId="8" xfId="0" applyFont="1" applyBorder="1" applyAlignment="1">
      <alignment vertical="center"/>
    </xf>
    <xf numFmtId="174" fontId="30" fillId="0" borderId="10" xfId="10" applyFont="1" applyFill="1" applyBorder="1" applyAlignment="1">
      <alignment horizontal="right" vertical="center"/>
    </xf>
    <xf numFmtId="0" fontId="24" fillId="13" borderId="0" xfId="7" applyFill="1" applyBorder="1" applyAlignment="1">
      <alignment horizontal="left" vertical="center"/>
    </xf>
    <xf numFmtId="3" fontId="33" fillId="0" borderId="9" xfId="0" applyNumberFormat="1" applyFont="1" applyBorder="1" applyAlignment="1">
      <alignment vertical="center"/>
    </xf>
    <xf numFmtId="174" fontId="30" fillId="0" borderId="7" xfId="10" applyFont="1" applyFill="1" applyBorder="1" applyAlignment="1">
      <alignment vertical="center"/>
    </xf>
    <xf numFmtId="174" fontId="30" fillId="0" borderId="13" xfId="10" applyFont="1" applyFill="1" applyBorder="1" applyAlignment="1">
      <alignment horizontal="right" vertical="center"/>
    </xf>
    <xf numFmtId="49" fontId="30" fillId="10" borderId="6" xfId="1" applyNumberFormat="1" applyFont="1" applyFill="1" applyBorder="1" applyAlignment="1" applyProtection="1">
      <alignment horizontal="right" vertical="center"/>
      <protection locked="0"/>
    </xf>
    <xf numFmtId="0" fontId="30" fillId="10" borderId="6" xfId="10" applyNumberFormat="1" applyFont="1" applyFill="1" applyBorder="1" applyAlignment="1" applyProtection="1">
      <alignment vertical="center" wrapText="1"/>
      <protection locked="0"/>
    </xf>
    <xf numFmtId="174" fontId="30" fillId="10" borderId="13" xfId="10" applyFont="1" applyFill="1" applyBorder="1" applyAlignment="1" applyProtection="1">
      <alignment horizontal="right" vertical="center"/>
      <protection locked="0"/>
    </xf>
    <xf numFmtId="0" fontId="30" fillId="0" borderId="6" xfId="0" applyFont="1" applyBorder="1" applyAlignment="1">
      <alignment vertical="center"/>
    </xf>
    <xf numFmtId="49" fontId="30" fillId="0" borderId="6" xfId="0" applyNumberFormat="1" applyFont="1" applyBorder="1" applyAlignment="1">
      <alignment horizontal="right" vertical="center"/>
    </xf>
    <xf numFmtId="174" fontId="33" fillId="0" borderId="9" xfId="10" applyFont="1" applyBorder="1" applyAlignment="1">
      <alignment vertical="center"/>
    </xf>
    <xf numFmtId="174" fontId="33" fillId="0" borderId="10" xfId="10" applyFont="1" applyBorder="1" applyAlignment="1">
      <alignment horizontal="center" vertical="center"/>
    </xf>
    <xf numFmtId="0" fontId="33" fillId="10" borderId="9" xfId="0" applyFont="1" applyFill="1" applyBorder="1" applyAlignment="1">
      <alignment vertical="center" wrapText="1"/>
    </xf>
    <xf numFmtId="174" fontId="16" fillId="0" borderId="7" xfId="10" applyFont="1" applyBorder="1" applyAlignment="1">
      <alignment vertical="center"/>
    </xf>
    <xf numFmtId="165" fontId="16" fillId="13" borderId="4" xfId="7" applyNumberFormat="1" applyFont="1" applyFill="1" applyBorder="1" applyAlignment="1">
      <alignment horizontal="left" vertical="center" wrapText="1"/>
    </xf>
    <xf numFmtId="0" fontId="30" fillId="0" borderId="10" xfId="0" applyFont="1" applyBorder="1" applyAlignment="1">
      <alignment horizontal="left" vertical="center"/>
    </xf>
    <xf numFmtId="167" fontId="16" fillId="0" borderId="7" xfId="2" applyFont="1" applyBorder="1" applyAlignment="1">
      <alignment vertical="center"/>
    </xf>
    <xf numFmtId="0" fontId="24" fillId="0" borderId="9" xfId="7" applyBorder="1" applyAlignment="1">
      <alignment horizontal="right" vertical="center"/>
    </xf>
    <xf numFmtId="167" fontId="16" fillId="0" borderId="9" xfId="2" applyFont="1" applyBorder="1" applyAlignment="1">
      <alignment vertical="center"/>
    </xf>
    <xf numFmtId="167" fontId="16" fillId="0" borderId="9" xfId="0" applyNumberFormat="1" applyFont="1" applyBorder="1" applyAlignment="1">
      <alignment vertical="center"/>
    </xf>
    <xf numFmtId="174" fontId="33" fillId="0" borderId="9" xfId="10" applyFont="1" applyFill="1" applyBorder="1" applyAlignment="1">
      <alignment vertical="center"/>
    </xf>
    <xf numFmtId="0" fontId="30" fillId="0" borderId="10" xfId="0" applyFont="1" applyBorder="1" applyAlignment="1">
      <alignment horizontal="right" vertical="center" wrapText="1"/>
    </xf>
    <xf numFmtId="0" fontId="16" fillId="0" borderId="10" xfId="0" applyFont="1" applyBorder="1" applyAlignment="1">
      <alignment horizontal="center" vertical="center" wrapText="1"/>
    </xf>
    <xf numFmtId="0" fontId="33" fillId="10" borderId="0" xfId="0" applyFont="1" applyFill="1" applyAlignment="1">
      <alignment horizontal="center" vertical="center" wrapText="1"/>
    </xf>
    <xf numFmtId="3" fontId="33" fillId="0" borderId="0" xfId="0" applyNumberFormat="1" applyFont="1" applyAlignment="1">
      <alignment horizontal="center" vertical="center" wrapText="1"/>
    </xf>
    <xf numFmtId="174" fontId="33" fillId="0" borderId="0" xfId="10" applyFont="1" applyBorder="1" applyAlignment="1">
      <alignment horizontal="center" vertical="center" wrapText="1"/>
    </xf>
    <xf numFmtId="49" fontId="30" fillId="11" borderId="0" xfId="0" applyNumberFormat="1" applyFont="1" applyFill="1" applyAlignment="1">
      <alignment horizontal="center" vertical="center" wrapText="1"/>
    </xf>
    <xf numFmtId="0" fontId="31" fillId="11" borderId="0" xfId="0" applyFont="1" applyFill="1" applyAlignment="1">
      <alignment horizontal="center" vertical="center" wrapText="1"/>
    </xf>
    <xf numFmtId="165" fontId="30" fillId="11" borderId="0" xfId="1" applyFont="1" applyFill="1" applyBorder="1" applyAlignment="1" applyProtection="1">
      <alignment vertical="center" wrapText="1"/>
      <protection locked="0"/>
    </xf>
    <xf numFmtId="1" fontId="16" fillId="0" borderId="0" xfId="0" applyNumberFormat="1" applyFont="1" applyAlignment="1">
      <alignment vertical="center" wrapText="1"/>
    </xf>
    <xf numFmtId="14" fontId="30" fillId="12" borderId="0" xfId="1" applyNumberFormat="1" applyFont="1" applyFill="1" applyBorder="1" applyAlignment="1" applyProtection="1">
      <alignment horizontal="right" vertical="center" wrapText="1"/>
      <protection locked="0"/>
    </xf>
    <xf numFmtId="174" fontId="30" fillId="12" borderId="0" xfId="10" applyFont="1" applyFill="1" applyBorder="1" applyAlignment="1" applyProtection="1">
      <alignment horizontal="right" vertical="center" wrapText="1"/>
      <protection locked="0"/>
    </xf>
    <xf numFmtId="0" fontId="16" fillId="12" borderId="0" xfId="0" applyFont="1" applyFill="1" applyAlignment="1">
      <alignment vertical="center" wrapText="1"/>
    </xf>
    <xf numFmtId="3" fontId="30" fillId="12" borderId="0" xfId="1" applyNumberFormat="1" applyFont="1" applyFill="1" applyBorder="1" applyAlignment="1" applyProtection="1">
      <alignment horizontal="right" vertical="center" wrapText="1"/>
      <protection locked="0"/>
    </xf>
    <xf numFmtId="14" fontId="16" fillId="0" borderId="0" xfId="0" applyNumberFormat="1" applyFont="1" applyAlignment="1">
      <alignment horizontal="right" vertical="center" wrapText="1"/>
    </xf>
    <xf numFmtId="14" fontId="16" fillId="0" borderId="0" xfId="0" applyNumberFormat="1" applyFont="1" applyAlignment="1">
      <alignment vertical="center" wrapText="1"/>
    </xf>
    <xf numFmtId="176" fontId="16" fillId="13" borderId="0" xfId="0" applyNumberFormat="1" applyFont="1" applyFill="1" applyAlignment="1">
      <alignment vertical="center" wrapText="1"/>
    </xf>
    <xf numFmtId="165" fontId="24" fillId="13" borderId="0" xfId="7" applyNumberFormat="1" applyFill="1" applyBorder="1" applyAlignment="1">
      <alignment horizontal="left" vertical="center" wrapText="1"/>
    </xf>
    <xf numFmtId="1" fontId="0" fillId="0" borderId="0" xfId="0" applyNumberFormat="1" applyAlignment="1">
      <alignment horizontal="center" vertical="center" wrapText="1"/>
    </xf>
    <xf numFmtId="1" fontId="30" fillId="0" borderId="0" xfId="0" applyNumberFormat="1" applyFont="1" applyAlignment="1">
      <alignment horizontal="center" vertical="center" wrapText="1"/>
    </xf>
    <xf numFmtId="10" fontId="30" fillId="0" borderId="0" xfId="3" applyNumberFormat="1" applyFont="1" applyBorder="1" applyAlignment="1">
      <alignment horizontal="right" vertical="center" wrapText="1"/>
    </xf>
    <xf numFmtId="0" fontId="31" fillId="10" borderId="0" xfId="8" applyFont="1" applyFill="1" applyAlignment="1">
      <alignment horizontal="center" vertical="center" wrapText="1"/>
    </xf>
    <xf numFmtId="0" fontId="33" fillId="10" borderId="0" xfId="0" applyFont="1" applyFill="1" applyAlignment="1">
      <alignment horizontal="justify" vertical="center" wrapText="1"/>
    </xf>
    <xf numFmtId="0" fontId="16" fillId="0" borderId="0" xfId="0" applyFont="1" applyAlignment="1">
      <alignment horizontal="center" vertical="center" wrapText="1"/>
    </xf>
    <xf numFmtId="171" fontId="16" fillId="0" borderId="0" xfId="8" applyNumberFormat="1" applyFont="1" applyAlignment="1" applyProtection="1">
      <alignment horizontal="left" vertical="center" wrapText="1"/>
      <protection locked="0"/>
    </xf>
    <xf numFmtId="174" fontId="33" fillId="0" borderId="10" xfId="10" applyFont="1" applyFill="1" applyBorder="1" applyAlignment="1">
      <alignment horizontal="center" vertical="center"/>
    </xf>
    <xf numFmtId="43" fontId="30" fillId="0" borderId="9" xfId="0" applyNumberFormat="1" applyFont="1" applyBorder="1" applyAlignment="1">
      <alignment horizontal="right" vertical="center"/>
    </xf>
    <xf numFmtId="0" fontId="31" fillId="0" borderId="9" xfId="0" applyFont="1" applyBorder="1" applyAlignment="1">
      <alignment horizontal="right" vertical="center"/>
    </xf>
    <xf numFmtId="0" fontId="31" fillId="0" borderId="9" xfId="0" applyFont="1" applyBorder="1" applyAlignment="1">
      <alignment horizontal="center" vertical="center"/>
    </xf>
    <xf numFmtId="0" fontId="31" fillId="0" borderId="9" xfId="0" applyFont="1" applyBorder="1" applyAlignment="1">
      <alignment horizontal="justify" vertical="center" wrapText="1"/>
    </xf>
    <xf numFmtId="0" fontId="50" fillId="0" borderId="9" xfId="0" applyFont="1" applyBorder="1" applyAlignment="1">
      <alignment vertical="center" wrapText="1"/>
    </xf>
    <xf numFmtId="0" fontId="30" fillId="0" borderId="13" xfId="0" applyFont="1" applyBorder="1" applyAlignment="1">
      <alignment horizontal="right" vertical="center"/>
    </xf>
    <xf numFmtId="1" fontId="16" fillId="0" borderId="7" xfId="0" applyNumberFormat="1" applyFont="1" applyBorder="1" applyAlignment="1">
      <alignment vertical="center"/>
    </xf>
    <xf numFmtId="0" fontId="30" fillId="0" borderId="21" xfId="0" applyFont="1" applyBorder="1" applyAlignment="1">
      <alignment horizontal="right" vertical="center"/>
    </xf>
    <xf numFmtId="0" fontId="30" fillId="17" borderId="9" xfId="0" applyFont="1" applyFill="1" applyBorder="1" applyAlignment="1">
      <alignment horizontal="center" vertical="center"/>
    </xf>
    <xf numFmtId="14" fontId="16" fillId="8" borderId="9" xfId="1" applyNumberFormat="1" applyFont="1" applyFill="1" applyBorder="1" applyAlignment="1" applyProtection="1">
      <alignment vertical="center" wrapText="1"/>
      <protection locked="0"/>
    </xf>
    <xf numFmtId="176" fontId="16" fillId="8" borderId="9" xfId="0" applyNumberFormat="1" applyFont="1" applyFill="1" applyBorder="1" applyAlignment="1">
      <alignment vertical="center"/>
    </xf>
    <xf numFmtId="1" fontId="14" fillId="0" borderId="22" xfId="0" applyNumberFormat="1" applyFont="1" applyBorder="1" applyAlignment="1">
      <alignment horizontal="center" vertical="center" wrapText="1"/>
    </xf>
    <xf numFmtId="1" fontId="12" fillId="0" borderId="23" xfId="0" applyNumberFormat="1" applyFont="1" applyBorder="1" applyAlignment="1">
      <alignment horizontal="center" vertical="center" wrapText="1"/>
    </xf>
    <xf numFmtId="0" fontId="43" fillId="0" borderId="9" xfId="7" applyFont="1" applyBorder="1" applyAlignment="1">
      <alignment vertical="center"/>
    </xf>
    <xf numFmtId="174" fontId="30" fillId="0" borderId="10" xfId="10" applyFont="1" applyBorder="1" applyAlignment="1">
      <alignment horizontal="center" vertical="center"/>
    </xf>
    <xf numFmtId="49" fontId="30" fillId="0" borderId="8" xfId="0" applyNumberFormat="1" applyFont="1" applyBorder="1" applyAlignment="1">
      <alignment horizontal="right" vertical="center" wrapText="1"/>
    </xf>
    <xf numFmtId="174" fontId="30" fillId="15" borderId="9" xfId="10" applyFont="1" applyFill="1" applyBorder="1" applyAlignment="1">
      <alignment vertical="center"/>
    </xf>
    <xf numFmtId="0" fontId="16" fillId="8" borderId="9" xfId="0" applyFont="1" applyFill="1" applyBorder="1" applyAlignment="1">
      <alignment vertical="center" wrapText="1"/>
    </xf>
    <xf numFmtId="1" fontId="1" fillId="0" borderId="0" xfId="0" applyNumberFormat="1" applyFont="1" applyAlignment="1">
      <alignment horizontal="center" vertical="center"/>
    </xf>
    <xf numFmtId="171" fontId="50" fillId="0" borderId="9" xfId="8" applyNumberFormat="1" applyFont="1" applyBorder="1" applyAlignment="1" applyProtection="1">
      <alignment vertical="center" wrapText="1"/>
      <protection locked="0"/>
    </xf>
    <xf numFmtId="174" fontId="30" fillId="0" borderId="10" xfId="10" applyFont="1" applyFill="1" applyBorder="1" applyAlignment="1">
      <alignment horizontal="center" vertical="center"/>
    </xf>
    <xf numFmtId="174" fontId="30" fillId="0" borderId="13" xfId="10" applyFont="1" applyBorder="1" applyAlignment="1">
      <alignment horizontal="center" vertical="center"/>
    </xf>
    <xf numFmtId="49" fontId="30" fillId="0" borderId="24" xfId="0" applyNumberFormat="1" applyFont="1" applyBorder="1" applyAlignment="1">
      <alignment horizontal="right" vertical="center"/>
    </xf>
    <xf numFmtId="0" fontId="30" fillId="0" borderId="11" xfId="0" applyFont="1" applyBorder="1" applyAlignment="1">
      <alignment horizontal="right" vertical="center"/>
    </xf>
    <xf numFmtId="174" fontId="30" fillId="0" borderId="11" xfId="10" applyFont="1" applyBorder="1" applyAlignment="1">
      <alignment horizontal="center" vertical="center"/>
    </xf>
    <xf numFmtId="49" fontId="30" fillId="0" borderId="25" xfId="0" applyNumberFormat="1" applyFont="1" applyBorder="1" applyAlignment="1">
      <alignment horizontal="right" vertical="center"/>
    </xf>
    <xf numFmtId="174" fontId="30" fillId="0" borderId="9" xfId="10" applyFont="1" applyFill="1" applyBorder="1" applyAlignment="1">
      <alignment horizontal="left" vertical="center"/>
    </xf>
    <xf numFmtId="0" fontId="16" fillId="0" borderId="9" xfId="0" applyFont="1" applyBorder="1" applyAlignment="1" applyProtection="1">
      <alignment vertical="center"/>
      <protection locked="0"/>
    </xf>
    <xf numFmtId="0" fontId="51" fillId="13" borderId="0" xfId="0" applyFont="1" applyFill="1" applyAlignment="1">
      <alignment horizontal="left" vertical="center"/>
    </xf>
    <xf numFmtId="49" fontId="0" fillId="0" borderId="10" xfId="0" applyNumberFormat="1" applyBorder="1" applyAlignment="1" applyProtection="1">
      <alignment vertical="center" wrapText="1"/>
      <protection locked="0"/>
    </xf>
    <xf numFmtId="174" fontId="30" fillId="0" borderId="20" xfId="10" applyFont="1" applyBorder="1" applyAlignment="1">
      <alignment horizontal="right" vertical="center"/>
    </xf>
    <xf numFmtId="0" fontId="16" fillId="0" borderId="10" xfId="0" applyFont="1" applyBorder="1" applyAlignment="1">
      <alignment vertical="center" wrapText="1"/>
    </xf>
    <xf numFmtId="174" fontId="30" fillId="0" borderId="4" xfId="10" applyFont="1" applyBorder="1" applyAlignment="1">
      <alignment vertical="center"/>
    </xf>
    <xf numFmtId="0" fontId="33" fillId="11" borderId="0" xfId="0" applyFont="1" applyFill="1" applyAlignment="1">
      <alignment horizontal="center" vertical="center"/>
    </xf>
    <xf numFmtId="0" fontId="34" fillId="0" borderId="9" xfId="0" applyFont="1" applyBorder="1" applyAlignment="1">
      <alignment vertical="center"/>
    </xf>
    <xf numFmtId="3" fontId="30" fillId="0" borderId="9" xfId="0" applyNumberFormat="1" applyFont="1" applyBorder="1" applyAlignment="1">
      <alignment vertical="center" wrapText="1"/>
    </xf>
    <xf numFmtId="0" fontId="50" fillId="0" borderId="9" xfId="0" applyFont="1" applyBorder="1" applyAlignment="1">
      <alignment vertical="center"/>
    </xf>
    <xf numFmtId="49" fontId="30" fillId="0" borderId="8" xfId="0" applyNumberFormat="1" applyFont="1" applyBorder="1" applyAlignment="1">
      <alignment horizontal="right"/>
    </xf>
    <xf numFmtId="0" fontId="16" fillId="15" borderId="7" xfId="0" applyFont="1" applyFill="1" applyBorder="1" applyAlignment="1">
      <alignment vertical="center"/>
    </xf>
    <xf numFmtId="1" fontId="30" fillId="0" borderId="9" xfId="0" applyNumberFormat="1" applyFont="1" applyBorder="1" applyAlignment="1">
      <alignment horizontal="right" vertical="center" wrapText="1"/>
    </xf>
    <xf numFmtId="0" fontId="30" fillId="0" borderId="10" xfId="0" applyFont="1" applyBorder="1" applyAlignment="1">
      <alignment horizontal="justify" vertical="center" wrapText="1"/>
    </xf>
    <xf numFmtId="3" fontId="30" fillId="0" borderId="0" xfId="0" applyNumberFormat="1" applyFont="1" applyAlignment="1">
      <alignment horizontal="right" vertical="center"/>
    </xf>
    <xf numFmtId="174" fontId="30" fillId="0" borderId="0" xfId="10" applyFont="1" applyBorder="1" applyAlignment="1">
      <alignment horizontal="right" vertical="center"/>
    </xf>
    <xf numFmtId="174" fontId="30" fillId="0" borderId="0" xfId="10" applyFont="1" applyBorder="1" applyAlignment="1">
      <alignment horizontal="center" vertical="center"/>
    </xf>
    <xf numFmtId="168" fontId="30" fillId="12" borderId="0" xfId="1" applyNumberFormat="1" applyFont="1" applyFill="1" applyBorder="1" applyAlignment="1" applyProtection="1">
      <alignment horizontal="right" vertical="center"/>
      <protection locked="0"/>
    </xf>
    <xf numFmtId="174" fontId="30" fillId="12" borderId="0" xfId="10" applyFont="1" applyFill="1" applyBorder="1" applyAlignment="1" applyProtection="1">
      <alignment horizontal="right" vertical="center"/>
      <protection locked="0"/>
    </xf>
    <xf numFmtId="0" fontId="30" fillId="12" borderId="0" xfId="1" applyNumberFormat="1" applyFont="1" applyFill="1" applyBorder="1" applyAlignment="1" applyProtection="1">
      <alignment horizontal="right" vertical="center"/>
      <protection locked="0"/>
    </xf>
    <xf numFmtId="178" fontId="30" fillId="12" borderId="0" xfId="1" applyNumberFormat="1" applyFont="1" applyFill="1" applyBorder="1" applyAlignment="1" applyProtection="1">
      <alignment horizontal="right" vertical="center"/>
      <protection locked="0"/>
    </xf>
    <xf numFmtId="3" fontId="30" fillId="12" borderId="0" xfId="1" applyNumberFormat="1" applyFont="1" applyFill="1" applyBorder="1" applyAlignment="1" applyProtection="1">
      <alignment horizontal="right" vertical="center"/>
      <protection locked="0"/>
    </xf>
    <xf numFmtId="14" fontId="16" fillId="0" borderId="0" xfId="0" applyNumberFormat="1" applyFont="1" applyAlignment="1">
      <alignment horizontal="right" vertical="center"/>
    </xf>
    <xf numFmtId="176" fontId="16" fillId="13" borderId="0" xfId="0" applyNumberFormat="1" applyFont="1" applyFill="1" applyAlignment="1">
      <alignment vertical="center"/>
    </xf>
    <xf numFmtId="167" fontId="30" fillId="0" borderId="0" xfId="2" applyFont="1" applyBorder="1" applyAlignment="1">
      <alignment horizontal="right" vertical="center"/>
    </xf>
    <xf numFmtId="3" fontId="30" fillId="0" borderId="0" xfId="0" applyNumberFormat="1" applyFont="1" applyAlignment="1">
      <alignment horizontal="center" vertical="center"/>
    </xf>
    <xf numFmtId="1" fontId="0" fillId="0" borderId="0" xfId="0" applyNumberFormat="1" applyAlignment="1">
      <alignment horizontal="center" vertical="center"/>
    </xf>
    <xf numFmtId="174" fontId="30" fillId="0" borderId="10" xfId="10" applyFont="1" applyBorder="1" applyAlignment="1">
      <alignment horizontal="right"/>
    </xf>
    <xf numFmtId="0" fontId="24" fillId="13" borderId="0" xfId="12" applyFill="1" applyAlignment="1">
      <alignment horizontal="left" vertical="center"/>
    </xf>
    <xf numFmtId="1" fontId="18" fillId="0" borderId="16" xfId="0" applyNumberFormat="1" applyFont="1" applyBorder="1" applyAlignment="1">
      <alignment horizontal="center" vertical="center" indent="1"/>
    </xf>
    <xf numFmtId="0" fontId="37" fillId="0" borderId="9" xfId="0" applyFont="1" applyBorder="1" applyAlignment="1">
      <alignment horizontal="right" vertical="center"/>
    </xf>
    <xf numFmtId="0" fontId="37" fillId="0" borderId="9" xfId="0" applyFont="1" applyBorder="1" applyAlignment="1">
      <alignment horizontal="center" vertical="center"/>
    </xf>
    <xf numFmtId="0" fontId="37" fillId="0" borderId="9" xfId="0" applyFont="1" applyBorder="1" applyAlignment="1">
      <alignment horizontal="justify" vertical="center" wrapText="1"/>
    </xf>
    <xf numFmtId="0" fontId="37" fillId="0" borderId="9" xfId="0" applyFont="1" applyBorder="1" applyAlignment="1">
      <alignment horizontal="left" vertical="center" wrapText="1"/>
    </xf>
    <xf numFmtId="3" fontId="37" fillId="0" borderId="9" xfId="0" applyNumberFormat="1" applyFont="1" applyBorder="1" applyAlignment="1">
      <alignment vertical="center"/>
    </xf>
    <xf numFmtId="174" fontId="37" fillId="0" borderId="9" xfId="10" applyFont="1" applyBorder="1" applyAlignment="1">
      <alignment vertical="center"/>
    </xf>
    <xf numFmtId="174" fontId="37" fillId="0" borderId="10" xfId="10" applyFont="1" applyBorder="1" applyAlignment="1">
      <alignment horizontal="right" vertical="center"/>
    </xf>
    <xf numFmtId="0" fontId="37" fillId="0" borderId="9" xfId="0" applyFont="1" applyBorder="1" applyAlignment="1">
      <alignment horizontal="right" vertical="center" wrapText="1"/>
    </xf>
    <xf numFmtId="49" fontId="37" fillId="0" borderId="8" xfId="0" applyNumberFormat="1" applyFont="1" applyBorder="1" applyAlignment="1">
      <alignment horizontal="right" vertical="center"/>
    </xf>
    <xf numFmtId="0" fontId="53" fillId="11" borderId="9" xfId="0" applyFont="1" applyFill="1" applyBorder="1" applyAlignment="1">
      <alignment horizontal="center" vertical="center" wrapText="1"/>
    </xf>
    <xf numFmtId="165" fontId="37" fillId="11" borderId="9" xfId="1" applyFont="1" applyFill="1" applyBorder="1" applyAlignment="1" applyProtection="1">
      <alignment vertical="center" wrapText="1"/>
      <protection locked="0"/>
    </xf>
    <xf numFmtId="1" fontId="37" fillId="0" borderId="9" xfId="0" applyNumberFormat="1" applyFont="1" applyBorder="1" applyAlignment="1">
      <alignment vertical="center"/>
    </xf>
    <xf numFmtId="168" fontId="37" fillId="12" borderId="9" xfId="1" applyNumberFormat="1" applyFont="1" applyFill="1" applyBorder="1" applyAlignment="1" applyProtection="1">
      <alignment horizontal="right" vertical="center"/>
      <protection locked="0"/>
    </xf>
    <xf numFmtId="174" fontId="37" fillId="12" borderId="9" xfId="10" applyFont="1" applyFill="1" applyBorder="1" applyAlignment="1" applyProtection="1">
      <alignment horizontal="right" vertical="center"/>
      <protection locked="0"/>
    </xf>
    <xf numFmtId="0" fontId="37" fillId="12" borderId="9" xfId="1" applyNumberFormat="1" applyFont="1" applyFill="1" applyBorder="1" applyAlignment="1" applyProtection="1">
      <alignment horizontal="right" vertical="center"/>
      <protection locked="0"/>
    </xf>
    <xf numFmtId="178" fontId="37" fillId="12" borderId="9" xfId="1" applyNumberFormat="1" applyFont="1" applyFill="1" applyBorder="1" applyAlignment="1" applyProtection="1">
      <alignment horizontal="right" vertical="center"/>
      <protection locked="0"/>
    </xf>
    <xf numFmtId="3" fontId="37" fillId="12" borderId="9" xfId="1" applyNumberFormat="1" applyFont="1" applyFill="1" applyBorder="1" applyAlignment="1" applyProtection="1">
      <alignment horizontal="right" vertical="center"/>
      <protection locked="0"/>
    </xf>
    <xf numFmtId="1" fontId="54" fillId="0" borderId="16" xfId="0" applyNumberFormat="1" applyFont="1" applyBorder="1" applyAlignment="1">
      <alignment horizontal="center" vertical="center" indent="1"/>
    </xf>
    <xf numFmtId="0" fontId="37" fillId="0" borderId="0" xfId="11" applyFont="1" applyAlignment="1">
      <alignment horizontal="right" vertical="center"/>
    </xf>
    <xf numFmtId="2" fontId="37" fillId="0" borderId="0" xfId="0" applyNumberFormat="1" applyFont="1" applyAlignment="1">
      <alignment horizontal="right" vertical="center"/>
    </xf>
    <xf numFmtId="178" fontId="37" fillId="0" borderId="0" xfId="0" applyNumberFormat="1" applyFont="1" applyAlignment="1">
      <alignment horizontal="right" vertical="center"/>
    </xf>
    <xf numFmtId="14" fontId="37" fillId="0" borderId="0" xfId="0" applyNumberFormat="1" applyFont="1" applyAlignment="1">
      <alignment horizontal="right" vertical="center"/>
    </xf>
    <xf numFmtId="167" fontId="37" fillId="0" borderId="0" xfId="2" applyFont="1" applyAlignment="1">
      <alignment horizontal="right" vertical="center"/>
    </xf>
    <xf numFmtId="10" fontId="37" fillId="0" borderId="0" xfId="0" applyNumberFormat="1" applyFont="1" applyAlignment="1">
      <alignment horizontal="right" vertical="center"/>
    </xf>
    <xf numFmtId="167" fontId="37" fillId="0" borderId="9" xfId="0" applyNumberFormat="1" applyFont="1" applyBorder="1" applyAlignment="1">
      <alignment horizontal="right" vertical="center"/>
    </xf>
    <xf numFmtId="0" fontId="37" fillId="0" borderId="10" xfId="0" applyFont="1" applyBorder="1" applyAlignment="1">
      <alignment horizontal="right" vertical="center"/>
    </xf>
    <xf numFmtId="0" fontId="37" fillId="0" borderId="0" xfId="0" applyFont="1" applyAlignment="1">
      <alignment horizontal="right" vertical="center"/>
    </xf>
    <xf numFmtId="0" fontId="55" fillId="16" borderId="9" xfId="0" applyFont="1" applyFill="1" applyBorder="1" applyAlignment="1">
      <alignment horizontal="right" vertical="center"/>
    </xf>
    <xf numFmtId="0" fontId="55" fillId="16" borderId="9" xfId="0" applyFont="1" applyFill="1" applyBorder="1" applyAlignment="1">
      <alignment horizontal="center" vertical="center"/>
    </xf>
    <xf numFmtId="0" fontId="55" fillId="16" borderId="9" xfId="0" applyFont="1" applyFill="1" applyBorder="1" applyAlignment="1">
      <alignment horizontal="justify" vertical="center" wrapText="1"/>
    </xf>
    <xf numFmtId="0" fontId="56" fillId="16" borderId="9" xfId="0" applyFont="1" applyFill="1" applyBorder="1" applyAlignment="1">
      <alignment vertical="center" wrapText="1"/>
    </xf>
    <xf numFmtId="171" fontId="56" fillId="16" borderId="9" xfId="8" applyNumberFormat="1" applyFont="1" applyFill="1" applyBorder="1" applyAlignment="1" applyProtection="1">
      <alignment vertical="center" wrapText="1"/>
      <protection locked="0"/>
    </xf>
    <xf numFmtId="0" fontId="55" fillId="16" borderId="7" xfId="0" applyFont="1" applyFill="1" applyBorder="1" applyAlignment="1">
      <alignment horizontal="left" vertical="center" wrapText="1"/>
    </xf>
    <xf numFmtId="3" fontId="55" fillId="16" borderId="9" xfId="0" applyNumberFormat="1" applyFont="1" applyFill="1" applyBorder="1" applyAlignment="1">
      <alignment horizontal="right" vertical="center"/>
    </xf>
    <xf numFmtId="174" fontId="55" fillId="16" borderId="9" xfId="10" applyFont="1" applyFill="1" applyBorder="1" applyAlignment="1">
      <alignment horizontal="right" vertical="center"/>
    </xf>
    <xf numFmtId="174" fontId="55" fillId="16" borderId="9" xfId="10" applyFont="1" applyFill="1" applyBorder="1" applyAlignment="1" applyProtection="1">
      <alignment horizontal="right" vertical="center"/>
      <protection locked="0"/>
    </xf>
    <xf numFmtId="49" fontId="55" fillId="16" borderId="9" xfId="0" applyNumberFormat="1" applyFont="1" applyFill="1" applyBorder="1" applyAlignment="1">
      <alignment horizontal="right" vertical="center"/>
    </xf>
    <xf numFmtId="43" fontId="30" fillId="0" borderId="0" xfId="0" applyNumberFormat="1" applyFont="1" applyAlignment="1">
      <alignment vertical="center"/>
    </xf>
    <xf numFmtId="0" fontId="57" fillId="13" borderId="21" xfId="12" applyFont="1" applyFill="1" applyBorder="1" applyAlignment="1">
      <alignment horizontal="center" vertical="center" wrapText="1" readingOrder="1"/>
    </xf>
    <xf numFmtId="1" fontId="18" fillId="0" borderId="21" xfId="0" applyNumberFormat="1" applyFont="1" applyBorder="1" applyAlignment="1">
      <alignment horizontal="center" vertical="center"/>
    </xf>
    <xf numFmtId="174" fontId="45" fillId="0" borderId="9" xfId="10" applyFont="1" applyFill="1" applyBorder="1" applyAlignment="1">
      <alignment horizontal="left" vertical="center" wrapText="1"/>
    </xf>
    <xf numFmtId="1" fontId="18" fillId="0" borderId="19" xfId="0" applyNumberFormat="1" applyFont="1" applyBorder="1" applyAlignment="1">
      <alignment horizontal="center" vertical="center"/>
    </xf>
    <xf numFmtId="0" fontId="19" fillId="0" borderId="16" xfId="0" applyFont="1" applyBorder="1"/>
    <xf numFmtId="1" fontId="18" fillId="0" borderId="26" xfId="0" applyNumberFormat="1" applyFont="1" applyBorder="1" applyAlignment="1">
      <alignment horizontal="center" vertical="center"/>
    </xf>
    <xf numFmtId="1" fontId="18" fillId="10" borderId="16" xfId="0" applyNumberFormat="1" applyFont="1" applyFill="1" applyBorder="1" applyAlignment="1">
      <alignment horizontal="center" vertical="center"/>
    </xf>
    <xf numFmtId="14" fontId="16" fillId="13" borderId="9" xfId="0" applyNumberFormat="1" applyFont="1" applyFill="1" applyBorder="1" applyAlignment="1">
      <alignment horizontal="right" vertical="center"/>
    </xf>
    <xf numFmtId="0" fontId="24" fillId="13" borderId="0" xfId="12" applyFill="1" applyAlignment="1">
      <alignment vertical="center"/>
    </xf>
    <xf numFmtId="1" fontId="18" fillId="0" borderId="16" xfId="0" applyNumberFormat="1" applyFont="1" applyBorder="1" applyAlignment="1">
      <alignment horizontal="center" vertical="center" wrapText="1"/>
    </xf>
    <xf numFmtId="0" fontId="30" fillId="9" borderId="9" xfId="0" applyFont="1" applyFill="1" applyBorder="1" applyAlignment="1">
      <alignment horizontal="right" vertical="center"/>
    </xf>
    <xf numFmtId="174" fontId="58" fillId="0" borderId="9" xfId="10" applyFont="1" applyBorder="1" applyAlignment="1">
      <alignment horizontal="left" wrapText="1"/>
    </xf>
    <xf numFmtId="0" fontId="60" fillId="13" borderId="0" xfId="0" applyFont="1" applyFill="1" applyAlignment="1">
      <alignment vertical="center"/>
    </xf>
    <xf numFmtId="171" fontId="16" fillId="13" borderId="7" xfId="8" applyNumberFormat="1" applyFont="1" applyFill="1" applyBorder="1" applyAlignment="1" applyProtection="1">
      <alignment vertical="center" wrapText="1"/>
      <protection locked="0"/>
    </xf>
    <xf numFmtId="165" fontId="24" fillId="13" borderId="9" xfId="7" applyNumberFormat="1" applyFill="1" applyBorder="1" applyAlignment="1">
      <alignment horizontal="left" vertical="top" wrapText="1"/>
    </xf>
    <xf numFmtId="49" fontId="30" fillId="0" borderId="0" xfId="0" applyNumberFormat="1" applyFont="1" applyAlignment="1">
      <alignment horizontal="center" vertical="center" wrapText="1"/>
    </xf>
    <xf numFmtId="10" fontId="30" fillId="0" borderId="0" xfId="3" applyNumberFormat="1" applyFont="1" applyFill="1" applyBorder="1" applyAlignment="1">
      <alignment horizontal="right" vertical="center"/>
    </xf>
    <xf numFmtId="43" fontId="30" fillId="0" borderId="0" xfId="0" applyNumberFormat="1" applyFont="1" applyAlignment="1">
      <alignment horizontal="right" vertical="center"/>
    </xf>
    <xf numFmtId="0" fontId="3" fillId="0" borderId="0" xfId="0" applyFont="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cellXfs>
  <cellStyles count="14">
    <cellStyle name="Currency" xfId="13"/>
    <cellStyle name="Hipervínculo" xfId="7" builtinId="8"/>
    <cellStyle name="Hyperlink" xfId="12"/>
    <cellStyle name="Millares [0]" xfId="1" builtinId="6"/>
    <cellStyle name="Millares [0] 2" xfId="4"/>
    <cellStyle name="Millares 2" xfId="10"/>
    <cellStyle name="Moneda" xfId="2" builtinId="4"/>
    <cellStyle name="Moneda 3 2" xfId="9"/>
    <cellStyle name="Normal" xfId="0" builtinId="0"/>
    <cellStyle name="Normal 11" xfId="5"/>
    <cellStyle name="Normal 21" xfId="6"/>
    <cellStyle name="Normal 4" xfId="8"/>
    <cellStyle name="Normal 7" xfId="11"/>
    <cellStyle name="Porcentaje" xfId="3" builtinId="5"/>
  </cellStyles>
  <dxfs count="171">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numFmt numFmtId="0" formatCode="General"/>
      <alignment vertical="center" textRotation="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numFmt numFmtId="0" formatCode="General"/>
      <alignment vertical="center" textRotation="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numFmt numFmtId="0" formatCode="General"/>
      <alignment vertical="center" textRotation="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numFmt numFmtId="167" formatCode="_(&quot;$&quot;* #,##0.00_);_(&quot;$&quot;* \(#,##0.00\);_(&quot;$&quot;* &quot;-&quot;??_);_(@_)"/>
      <alignment vertical="center" textRotation="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4" formatCode="0.00%"/>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9" formatCode="d/mm/yyyy"/>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78" formatCode="m/d/yyyy"/>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78" formatCode="m/d/yyyy"/>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ptos Narrow"/>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ptos Narrow"/>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ptos Narrow"/>
        <scheme val="minor"/>
      </font>
      <alignment vertical="center" textRotation="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ptos Narrow"/>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ptos Narrow"/>
        <scheme val="minor"/>
      </font>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65" formatCode="_(* #,##0_);_(* \(#,##0\);_(* &quot;-&quot;_);_(@_)"/>
      <fill>
        <patternFill patternType="solid">
          <fgColor indexed="64"/>
          <bgColor rgb="FFFFFF0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65" formatCode="_(* #,##0_);_(* \(#,##0\);_(* &quot;-&quot;_);_(@_)"/>
      <fill>
        <patternFill patternType="solid">
          <fgColor indexed="64"/>
          <bgColor rgb="FFFFFF0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ptos Narrow"/>
        <scheme val="minor"/>
      </font>
      <numFmt numFmtId="19" formatCode="d/mm/yyyy"/>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ptos Narrow"/>
        <scheme val="minor"/>
      </font>
      <numFmt numFmtId="179" formatCode="dd/mm/yyyy"/>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ptos Narrow"/>
        <scheme val="minor"/>
      </font>
      <numFmt numFmtId="176" formatCode="d/mm/yyyy;@"/>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ptos Narrow"/>
        <scheme val="minor"/>
      </font>
      <numFmt numFmtId="176" formatCode="d/mm/yyyy;@"/>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ptos Narrow"/>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ptos Narrow"/>
        <scheme val="minor"/>
      </font>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ptos Narrow"/>
        <scheme val="minor"/>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ptos Narrow"/>
        <scheme val="minor"/>
      </font>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 formatCode="#,##0"/>
      <fill>
        <patternFill>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8"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78"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4" formatCode="_(* #,##0.00_);_(* \(#,##0.00\);_(* &quot;-&quot;??_);_(@_)"/>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74" formatCode="_(* #,##0.00_);_(* \(#,##0.00\);_(* &quot;-&quot;??_);_(@_)"/>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8"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78"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 formatCode="0"/>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 formatCode="0"/>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FFC0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rgb="FFFFC0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0" formatCode="@"/>
      <fill>
        <patternFill patternType="solid">
          <fgColor indexed="64"/>
          <bgColor rgb="FFFFC0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0" formatCode="General"/>
      <fill>
        <patternFill patternType="solid">
          <fgColor indexed="64"/>
          <bgColor rgb="FFFFC0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30" formatCode="@"/>
      <alignment horizontal="right"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0" formatCode="@"/>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numFmt numFmtId="174"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4" formatCode="_(* #,##0.00_);_(* \(#,##0.00\);_(* &quot;-&quot;??_);_(@_)"/>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ptos Narrow"/>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ptos Narrow"/>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ptos Narrow"/>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ptos Narrow"/>
        <scheme val="minor"/>
      </font>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ptos Narrow"/>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ptos Narrow"/>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vertical="center" textRotation="0" indent="0" justifyLastLine="0" shrinkToFit="0" readingOrder="0"/>
    </dxf>
    <dxf>
      <border outline="0">
        <top style="thin">
          <color indexed="64"/>
        </top>
      </border>
    </dxf>
    <dxf>
      <alignment vertical="center" textRotation="0" indent="0" justifyLastLine="0" shrinkToFit="0" readingOrder="0"/>
    </dxf>
    <dxf>
      <border outline="0">
        <bottom style="thin">
          <color indexed="64"/>
        </bottom>
      </border>
    </dxf>
    <dxf>
      <alignment horizontal="center" vertical="center" textRotation="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64" formatCode="&quot;$&quot;\ #,##0"/>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164" formatCode="&quot;$&quot;\ #,##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scheme val="minor"/>
      </font>
      <numFmt numFmtId="165" formatCode="_(* #,##0_);_(* \(#,##0\);_(* &quot;-&quot;_);_(@_)"/>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165"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0" hidden="0"/>
    </dxf>
    <dxf>
      <numFmt numFmtId="0" formatCode="General"/>
      <fill>
        <patternFill patternType="none">
          <fgColor indexed="64"/>
          <bgColor auto="1"/>
        </patternFill>
      </fill>
      <alignment horizontal="right" textRotation="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2" formatCode="&quot;$&quot;\ #,##0.00;[Red]\-&quot;$&quot;\ #,##0.00"/>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bottom/>
      </border>
      <protection locked="0" hidden="0"/>
    </dxf>
    <dxf>
      <fill>
        <patternFill patternType="none">
          <fgColor indexed="64"/>
          <bgColor auto="1"/>
        </patternFill>
      </fill>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scheme val="minor"/>
      </font>
      <numFmt numFmtId="167" formatCode="_(&quot;$&quot;* #,##0.00_);_(&quot;$&quot;* \(#,##0.00\);_(&quot;$&quot;*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0" hidden="0"/>
    </dxf>
    <dxf>
      <numFmt numFmtId="167" formatCode="_(&quot;$&quot;* #,##0.00_);_(&quot;$&quot;* \(#,##0.00\);_(&quot;$&quot;* &quot;-&quot;??_);_(@_)"/>
      <fill>
        <patternFill patternType="none">
          <fgColor indexed="64"/>
          <bgColor auto="1"/>
        </patternFill>
      </fill>
      <alignment horizontal="right" textRotation="0" justifyLastLine="0" shrinkToFit="0" readingOrder="0"/>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0" hidden="0"/>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border outline="0">
        <left style="thin">
          <color indexed="64"/>
        </left>
        <bottom style="thin">
          <color indexed="64"/>
        </bottom>
      </border>
    </dxf>
    <dxf>
      <fill>
        <patternFill patternType="none">
          <fgColor indexed="64"/>
          <bgColor auto="1"/>
        </patternFill>
      </fill>
      <alignment horizontal="left" vertical="justify" textRotation="0" wrapText="0" indent="0" justifyLastLine="0" shrinkToFit="0" readingOrder="0"/>
      <protection locked="0" hidden="0"/>
    </dxf>
    <dxf>
      <fill>
        <patternFill patternType="solid">
          <fgColor indexed="64"/>
          <bgColor theme="4" tint="0.39997558519241921"/>
        </patternFill>
      </fill>
      <alignment horizontal="center" vertical="center" textRotation="0" wrapText="0"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eetMetadata" Target="metadata.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734786</xdr:colOff>
      <xdr:row>0</xdr:row>
      <xdr:rowOff>269875</xdr:rowOff>
    </xdr:from>
    <xdr:to>
      <xdr:col>4</xdr:col>
      <xdr:colOff>2479584</xdr:colOff>
      <xdr:row>2</xdr:row>
      <xdr:rowOff>47674</xdr:rowOff>
    </xdr:to>
    <xdr:pic>
      <xdr:nvPicPr>
        <xdr:cNvPr id="2" name="Imagen 1">
          <a:extLst>
            <a:ext uri="{FF2B5EF4-FFF2-40B4-BE49-F238E27FC236}">
              <a16:creationId xmlns:a16="http://schemas.microsoft.com/office/drawing/2014/main" id="{BC12A771-AA40-4E5A-9540-540B75B189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9961" y="269875"/>
          <a:ext cx="1744798" cy="473124"/>
        </a:xfrm>
        <a:prstGeom prst="rect">
          <a:avLst/>
        </a:prstGeom>
      </xdr:spPr>
    </xdr:pic>
    <xdr:clientData/>
  </xdr:twoCellAnchor>
  <xdr:twoCellAnchor editAs="oneCell">
    <xdr:from>
      <xdr:col>0</xdr:col>
      <xdr:colOff>658586</xdr:colOff>
      <xdr:row>3</xdr:row>
      <xdr:rowOff>11206</xdr:rowOff>
    </xdr:from>
    <xdr:to>
      <xdr:col>2</xdr:col>
      <xdr:colOff>256098</xdr:colOff>
      <xdr:row>4</xdr:row>
      <xdr:rowOff>285181</xdr:rowOff>
    </xdr:to>
    <xdr:sp macro="" textlink="">
      <xdr:nvSpPr>
        <xdr:cNvPr id="3" name="Imagen 1">
          <a:extLst>
            <a:ext uri="{FF2B5EF4-FFF2-40B4-BE49-F238E27FC236}">
              <a16:creationId xmlns:a16="http://schemas.microsoft.com/office/drawing/2014/main" id="{88602668-4313-4220-A3EF-ADCCD4E27B76}"/>
            </a:ext>
          </a:extLst>
        </xdr:cNvPr>
        <xdr:cNvSpPr>
          <a:spLocks noChangeAspect="1" noChangeArrowheads="1"/>
        </xdr:cNvSpPr>
      </xdr:nvSpPr>
      <xdr:spPr bwMode="auto">
        <a:xfrm>
          <a:off x="658586" y="954181"/>
          <a:ext cx="1740637" cy="47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deportesantioquia-my.sharepoint.com/Users/lgaviria/Downloads/Consecutivo-contratos-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deportesantioquia.sharepoint.com/sites/LeydeTransparenciayAccesoalaInformacinPblica/Documentos%20compartidos/8.%20Contrataci&#243;n/4.%20Plan%20Anual%20de%20Adquisiciones/2.%20F-CA-89_Plan%20Anual%20de%20Adquisiciones%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hector%20cuervo\NUEVO%20ARHCIVO%20ACTUALIZACI&#211;N%20DE%20PROYEC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uridi02\JURIDICA\AJUSTE%20PLAN%20DE%20ACCION%20Y%20PO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s 2020"/>
      <sheetName val="Tipo de Contratación"/>
      <sheetName val="Vario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RPORACIONES"/>
      <sheetName val="COMPROMISOS_2024"/>
      <sheetName val="act"/>
      <sheetName val="RUBROS"/>
      <sheetName val="R_PARA-ATLETAS_2024"/>
      <sheetName val="DISPONIBILIDADES_2024"/>
      <sheetName val="PERSONAL_ACTIVO_2024"/>
      <sheetName val="Hoja4"/>
      <sheetName val="SECOP_II"/>
      <sheetName val="Hoja1"/>
      <sheetName val="PROYECTOS"/>
      <sheetName val="SUPERVISORES"/>
      <sheetName val="PAA 2024"/>
      <sheetName val="Hoja2"/>
      <sheetName val="Contrato"/>
      <sheetName val="Consulta1"/>
      <sheetName val="Corrección Contrato-cdp"/>
      <sheetName val="DEPENDECIA"/>
      <sheetName val="2"/>
    </sheetNames>
    <sheetDataSet>
      <sheetData sheetId="0">
        <row r="17">
          <cell r="A17">
            <v>84969064811</v>
          </cell>
        </row>
      </sheetData>
      <sheetData sheetId="1"/>
      <sheetData sheetId="2"/>
      <sheetData sheetId="3"/>
      <sheetData sheetId="4"/>
      <sheetData sheetId="5"/>
      <sheetData sheetId="6"/>
      <sheetData sheetId="7"/>
      <sheetData sheetId="8"/>
      <sheetData sheetId="9"/>
      <sheetData sheetId="10">
        <row r="1">
          <cell r="G1" t="str">
            <v>22</v>
          </cell>
          <cell r="H1" t="str">
            <v>1NuestraGente</v>
          </cell>
          <cell r="I1" t="str">
            <v>1.8Antioquiaunidaporelpotencialdeportivo</v>
          </cell>
          <cell r="J1" t="str">
            <v>1.8.1Antioquiareferentedeportivo</v>
          </cell>
          <cell r="K1" t="str">
            <v>APOYO_TÉCNICO_Y_PSICOSOCIAL_A_LOS_DEPORTISTAS_DE_ANTIOQUIA</v>
          </cell>
          <cell r="L1" t="str">
            <v>SUBGERENCIA DE ALTOS LOGROS Y DEPORTE ASOCIADO</v>
          </cell>
          <cell r="M1">
            <v>2021003050069</v>
          </cell>
          <cell r="V1" t="str">
            <v>22</v>
          </cell>
          <cell r="W1" t="str">
            <v>050069</v>
          </cell>
        </row>
        <row r="2">
          <cell r="G2" t="str">
            <v>91</v>
          </cell>
          <cell r="H2" t="str">
            <v>1NuestraGente</v>
          </cell>
          <cell r="I2" t="str">
            <v>1.8Antioquiaunidaporelpotencialdeportivo</v>
          </cell>
          <cell r="J2" t="str">
            <v>1.8.1Antioquiareferentedeportivo</v>
          </cell>
          <cell r="K2" t="str">
            <v>APOYO_CIENTÍFICO_AL_RENDIMIENTO_DEPORTIVO_Y_LA_ACTIVIDAD_FÍSICA_EN_EL_DEPARTAMENTO_DE_ANTIOQUIA</v>
          </cell>
          <cell r="L2" t="str">
            <v>OFICINA DE MEDICINA DEPORTIVA</v>
          </cell>
          <cell r="M2">
            <v>2021003050070</v>
          </cell>
          <cell r="V2" t="str">
            <v>91</v>
          </cell>
          <cell r="W2" t="str">
            <v>050068</v>
          </cell>
        </row>
        <row r="3">
          <cell r="G3" t="str">
            <v>20</v>
          </cell>
          <cell r="H3" t="str">
            <v>1NuestraGente</v>
          </cell>
          <cell r="I3" t="str">
            <v>1.8Antioquiaunidaporelpotencialdeportivo</v>
          </cell>
          <cell r="J3" t="str">
            <v>1.8.1Antioquiareferentedeportivo</v>
          </cell>
          <cell r="K3" t="str">
            <v>FORTALECIMIENTO_DEL_PROGRAMA_DE_ALTOS_LOGROS_Y_LIDERAZGO_DEPORTIVO_EN_EL_DEPARTAMENTO_DE_ANTIOQUIA</v>
          </cell>
          <cell r="L3" t="str">
            <v>SUBGERENCIA DE ALTOS LOGROS Y DEPORTE ASOCIADO</v>
          </cell>
          <cell r="M3">
            <v>2020003050021</v>
          </cell>
          <cell r="V3" t="str">
            <v>20</v>
          </cell>
          <cell r="W3" t="str">
            <v>050061</v>
          </cell>
        </row>
        <row r="4">
          <cell r="G4" t="str">
            <v>21</v>
          </cell>
          <cell r="H4" t="str">
            <v>1NuestraGente</v>
          </cell>
          <cell r="I4" t="str">
            <v>1.8Antioquiaunidaporelpotencialdeportivo</v>
          </cell>
          <cell r="J4" t="str">
            <v>1.8.1Antioquiareferentedeportivo</v>
          </cell>
          <cell r="K4" t="str">
            <v>DESARROLLO_DEL_POTENCIAL_DEPORTIVO_EN_EL_DEPARTAMENTO_DE_ANTIOQUIA</v>
          </cell>
          <cell r="L4" t="str">
            <v>SUBGERENCIA DE ALTOS LOGROS Y DEPORTE ASOCIADO</v>
          </cell>
          <cell r="M4">
            <v>2020003050022</v>
          </cell>
          <cell r="V4" t="str">
            <v>21</v>
          </cell>
          <cell r="W4" t="str">
            <v>050065</v>
          </cell>
        </row>
        <row r="5">
          <cell r="G5" t="str">
            <v>92</v>
          </cell>
          <cell r="H5" t="str">
            <v>1NuestraGente</v>
          </cell>
          <cell r="I5" t="str">
            <v>1.8Antioquiaunidaporelpotencialdeportivo</v>
          </cell>
          <cell r="J5" t="str">
            <v>1.8.1Antioquiareferentedeportivo</v>
          </cell>
          <cell r="K5" t="str">
            <v>FORTALECIMIENTO_DE_LA_IMAGEN_INSTITUCIONAL_COMO_REFERENTE_SOCIAL_PARA_EL_DEPARTAMENTO_DE_ANTIOQUIA</v>
          </cell>
          <cell r="L5" t="str">
            <v>OFICINADECOMUNICACIONES</v>
          </cell>
          <cell r="M5">
            <v>2021003050071</v>
          </cell>
          <cell r="V5" t="str">
            <v>92</v>
          </cell>
          <cell r="W5" t="str">
            <v>050067</v>
          </cell>
        </row>
        <row r="6">
          <cell r="G6" t="str">
            <v>48</v>
          </cell>
          <cell r="H6" t="str">
            <v>1NuestraGente</v>
          </cell>
          <cell r="I6" t="str">
            <v>1.8Antioquiaunidaporelpotencialdeportivo</v>
          </cell>
          <cell r="J6" t="str">
            <v>1.8.2Sistemadepartamentaldecapacitaciónparaeldeporte</v>
          </cell>
          <cell r="K6" t="str">
            <v>CAPACITACION_PARA_EL_SECTOR_DEL_DEPORTE_LA_ACTIVIDAD_FISICA_LA_RECREACION_Y_LA_EDUCACION_FISICA_DE_ANTI</v>
          </cell>
          <cell r="L6" t="str">
            <v>SUBGERENCIA DE FOMENTO Y DESARROLLO</v>
          </cell>
          <cell r="M6">
            <v>2020003050024</v>
          </cell>
          <cell r="V6" t="str">
            <v>48</v>
          </cell>
          <cell r="W6" t="str">
            <v>050063</v>
          </cell>
        </row>
        <row r="7">
          <cell r="G7" t="str">
            <v>90</v>
          </cell>
          <cell r="H7" t="str">
            <v>1NuestraGente</v>
          </cell>
          <cell r="I7" t="str">
            <v>1.8Antioquiaunidaporelpotencialdeportivo</v>
          </cell>
          <cell r="J7" t="str">
            <v>1.8.3Desarrolloyfortalecimientoinstitucional</v>
          </cell>
          <cell r="K7" t="str">
            <v>MEJORAMIENTO_DEL_SISTEMA_DE_INFORMACIÓN_DE_INDEPORTES_ANTIOQUIA</v>
          </cell>
          <cell r="L7" t="str">
            <v>OFICINA DE SISTEMAS</v>
          </cell>
          <cell r="M7">
            <v>2020003050272</v>
          </cell>
          <cell r="V7" t="str">
            <v>90</v>
          </cell>
          <cell r="W7">
            <v>220320</v>
          </cell>
        </row>
        <row r="8">
          <cell r="G8" t="str">
            <v>54</v>
          </cell>
          <cell r="H8" t="str">
            <v>1NuestraGente</v>
          </cell>
          <cell r="I8" t="str">
            <v>1.8Antioquiaunidaporelpotencialdeportivo</v>
          </cell>
          <cell r="J8" t="str">
            <v>1.8.3Desarrolloyfortalecimientoinstitucional</v>
          </cell>
          <cell r="K8" t="str">
            <v>FORTALECIMIENTO_DEL_OBSERVATORIO_DEL_DEPORTE_DE_ANTIOQUIA</v>
          </cell>
          <cell r="L8" t="str">
            <v>OFICINA DE PLANEACION</v>
          </cell>
          <cell r="M8">
            <v>2020003050273</v>
          </cell>
          <cell r="V8" t="str">
            <v>54</v>
          </cell>
          <cell r="W8">
            <v>220321</v>
          </cell>
        </row>
        <row r="9">
          <cell r="G9" t="str">
            <v>64</v>
          </cell>
          <cell r="H9" t="str">
            <v>3NuestroPlaneta</v>
          </cell>
          <cell r="I9" t="str">
            <v>3.1Antioquiahábitatsostenible</v>
          </cell>
          <cell r="J9" t="str">
            <v>3.1.9InfraestructuradeportivaparaAntioquia</v>
          </cell>
          <cell r="K9" t="str">
            <v>MEJORAMIENTO_DE_LA_INFRAESTRUCTURA_DEPORTIVA_Y_RECREATIVA_EN_EL_DEPARTAMENTO_DE_ANTIOQUIA</v>
          </cell>
          <cell r="L9" t="str">
            <v>SUBGERENCIA ESCENARIOS DEPORTIVOS Y EQUIPAMIENTOS</v>
          </cell>
          <cell r="M9">
            <v>2020003050027</v>
          </cell>
          <cell r="V9" t="str">
            <v>64</v>
          </cell>
          <cell r="W9" t="str">
            <v>050058</v>
          </cell>
        </row>
        <row r="10">
          <cell r="G10" t="str">
            <v>94</v>
          </cell>
          <cell r="H10" t="str">
            <v>3NuestroPlaneta</v>
          </cell>
          <cell r="I10" t="str">
            <v>3.1Antioquiahábitatsostenible</v>
          </cell>
          <cell r="J10" t="str">
            <v>3.1.9InfraestructuradeportivaparaAntioquia</v>
          </cell>
          <cell r="K10" t="str">
            <v>CONSTRUCCIÓN_DE_UNIDADES_DE_VIDA_PARA_ANTIOQUIA_U.V.A</v>
          </cell>
          <cell r="L10" t="str">
            <v>SUBGERENCIA ESCENARIOS DEPORTIVOS Y EQUIPAMIENTOS</v>
          </cell>
          <cell r="M10">
            <v>2020003050028</v>
          </cell>
          <cell r="V10" t="str">
            <v>94</v>
          </cell>
          <cell r="W10" t="str">
            <v>050066</v>
          </cell>
        </row>
        <row r="11">
          <cell r="G11" t="str">
            <v>93</v>
          </cell>
          <cell r="H11" t="str">
            <v>3NuestroPlaneta</v>
          </cell>
          <cell r="I11" t="str">
            <v>3.1Antioquiahábitatsostenible</v>
          </cell>
          <cell r="J11" t="str">
            <v>3.1.9InfraestructuradeportivaparaAntioquia</v>
          </cell>
          <cell r="K11" t="str">
            <v>CONSTRUCCIÓN_DE_CENTRO_DE_ALTO_RENDIMIENTO_EN_APARTADÓ</v>
          </cell>
          <cell r="L11" t="str">
            <v>SUBGERENCIA ESCENARIOS DEPORTIVOS Y EQUIPAMIENTOS</v>
          </cell>
          <cell r="M11">
            <v>2020003050029</v>
          </cell>
          <cell r="V11" t="str">
            <v>93</v>
          </cell>
          <cell r="W11" t="str">
            <v>050052</v>
          </cell>
        </row>
        <row r="12">
          <cell r="G12" t="str">
            <v>45</v>
          </cell>
          <cell r="H12" t="str">
            <v>4NuestraVida</v>
          </cell>
          <cell r="I12" t="str">
            <v>4.2BienestaractivoysaludableparaAntioquia</v>
          </cell>
          <cell r="J12" t="str">
            <v>4.2.10Deporteysaludparalavida</v>
          </cell>
          <cell r="K12" t="str">
            <v>FORTALECIMIENTO_DEL_PROGRAMA_POR_SU_SALUD_MUÉVASE_PUES_EN_LOS_MUNICIPIO_DEL_DEPARTAMENTO_DE_ANTIOQUIA</v>
          </cell>
          <cell r="L12" t="str">
            <v>SUBGERENCIA DE FOMENTO Y DESARROLLO</v>
          </cell>
          <cell r="M12">
            <v>2020003050030</v>
          </cell>
          <cell r="V12" t="str">
            <v>45</v>
          </cell>
          <cell r="W12" t="str">
            <v>050055</v>
          </cell>
        </row>
        <row r="13">
          <cell r="G13" t="str">
            <v>47</v>
          </cell>
          <cell r="H13" t="str">
            <v>4NuestraVida</v>
          </cell>
          <cell r="I13" t="str">
            <v>4.2BienestaractivoysaludableparaAntioquia</v>
          </cell>
          <cell r="J13" t="str">
            <v>4.2.10Deporteysaludparalavida</v>
          </cell>
          <cell r="K13" t="str">
            <v>FORTALECIMIENTO_DE_LOS_PROGRAMAS_RECREATIVOS_EN_LOS_MUNICIPIOS_DEL_DEPARTAMENTO_DE_ANTIOQUIA</v>
          </cell>
          <cell r="L13" t="str">
            <v>SUBGERENCIA DE FOMENTO Y DESARROLLO</v>
          </cell>
          <cell r="M13">
            <v>2020003050031</v>
          </cell>
          <cell r="V13" t="str">
            <v>47</v>
          </cell>
          <cell r="W13" t="str">
            <v>050064</v>
          </cell>
        </row>
        <row r="14">
          <cell r="G14" t="str">
            <v>46</v>
          </cell>
          <cell r="H14" t="str">
            <v>4NuestraVida</v>
          </cell>
          <cell r="I14" t="str">
            <v>4.2BienestaractivoysaludableparaAntioquia</v>
          </cell>
          <cell r="J14" t="str">
            <v>4.2.10Deporteysaludparalavida</v>
          </cell>
          <cell r="K14" t="str">
            <v>FORTALECIMIENTO_DE_LAS_ESCUELAS_DEPORTIVAS_EN_LOS_MUNICIPIOS_DEL_DEPARTAMENTO_DE_ANTIOQUIA</v>
          </cell>
          <cell r="L14" t="str">
            <v>SUBGERENCIA DE FOMENTO Y DESARROLLO</v>
          </cell>
          <cell r="M14">
            <v>2020003050032</v>
          </cell>
          <cell r="V14" t="str">
            <v>46</v>
          </cell>
          <cell r="W14" t="str">
            <v>050059</v>
          </cell>
        </row>
        <row r="15">
          <cell r="G15" t="str">
            <v>50</v>
          </cell>
          <cell r="H15" t="str">
            <v>4NuestraVida</v>
          </cell>
          <cell r="I15" t="str">
            <v>4.2BienestaractivoysaludableparaAntioquia</v>
          </cell>
          <cell r="J15" t="str">
            <v>4.2.10Deporteysaludparalavida</v>
          </cell>
          <cell r="K15" t="str">
            <v>FORTALECIMIENTO_DE_LOS_JUEGOS_DEL_SECTOR_SOCIAL_COMUNITARIO_EN_LOS_MUNICIPIOS_DEL_DEPARTAMENTO_DE_ANTIOQU</v>
          </cell>
          <cell r="L15" t="str">
            <v>SUBGERENCIA DE FOMENTO Y DESARROLLO</v>
          </cell>
          <cell r="M15">
            <v>2020003050033</v>
          </cell>
          <cell r="V15" t="str">
            <v>50</v>
          </cell>
          <cell r="W15" t="str">
            <v>050057</v>
          </cell>
        </row>
        <row r="16">
          <cell r="G16" t="str">
            <v>51</v>
          </cell>
          <cell r="H16" t="str">
            <v>4NuestraVida</v>
          </cell>
          <cell r="I16" t="str">
            <v>4.2BienestaractivoysaludableparaAntioquia</v>
          </cell>
          <cell r="J16" t="str">
            <v>4.2.10Deporteysaludparalavida</v>
          </cell>
          <cell r="K16" t="str">
            <v>FORTALECIMIENTO_DE_LOS_JUEGOS_DEL_SECTOR_EDUCATIVO_EN_ANTIOQUIA</v>
          </cell>
          <cell r="L16" t="str">
            <v>SUBGERENCIA DE FOMENTO Y DESARROLLO</v>
          </cell>
          <cell r="M16">
            <v>2020003050034</v>
          </cell>
          <cell r="V16" t="str">
            <v>51</v>
          </cell>
          <cell r="W16" t="str">
            <v>050053</v>
          </cell>
        </row>
        <row r="17">
          <cell r="G17" t="str">
            <v>00</v>
          </cell>
          <cell r="H17" t="str">
            <v>Funcionamiento</v>
          </cell>
          <cell r="I17" t="str">
            <v>Funcionamiento</v>
          </cell>
          <cell r="J17" t="str">
            <v>Funcionamiento</v>
          </cell>
          <cell r="K17" t="str">
            <v>FUNCIONAMIENTO</v>
          </cell>
          <cell r="L17" t="str">
            <v>SUBGERENCIA ADMINISTRATIVA Y FINANCIERA</v>
          </cell>
          <cell r="M17">
            <v>999999</v>
          </cell>
          <cell r="V17" t="str">
            <v>00</v>
          </cell>
          <cell r="W17">
            <v>999999</v>
          </cell>
        </row>
        <row r="18">
          <cell r="G18" t="str">
            <v>53</v>
          </cell>
          <cell r="H18" t="str">
            <v>LeydelCigarrillo</v>
          </cell>
          <cell r="I18" t="str">
            <v>LeydelCigarrillo</v>
          </cell>
          <cell r="J18" t="str">
            <v>LeydelCigarrillo</v>
          </cell>
          <cell r="K18" t="str">
            <v>FORTALECIMIENTO_DEL_DEPORTE_FORMATIVO_EN_LOS_MUNICIPIOS_DEL_DEPARTAMENTO_DE_ANTIOQUIA</v>
          </cell>
          <cell r="L18" t="str">
            <v>SUBGERENCIA DE FOMENTO Y DESARROLLO</v>
          </cell>
          <cell r="M18">
            <v>2020003050035</v>
          </cell>
          <cell r="V18" t="str">
            <v>53</v>
          </cell>
          <cell r="W18" t="str">
            <v>050056</v>
          </cell>
        </row>
        <row r="19">
          <cell r="G19" t="str">
            <v>74</v>
          </cell>
          <cell r="H19" t="str">
            <v>Línea 2: Cohesión desde lo social</v>
          </cell>
          <cell r="I19" t="str">
            <v xml:space="preserve">Bien-Estar: salud integral </v>
          </cell>
          <cell r="J19" t="str">
            <v>Deporte, recreación y actividad física para la transformación social</v>
          </cell>
          <cell r="K19" t="str">
            <v>Cofinanciación de dotación de implementación para el deporte la recreación y a la actividad física en el departamento de Antioquia</v>
          </cell>
          <cell r="L19" t="str">
            <v>SUBGERENCIA DE FOMENTO Y DESARROLLO</v>
          </cell>
          <cell r="M19">
            <v>2024003050074</v>
          </cell>
          <cell r="V19" t="str">
            <v>74</v>
          </cell>
          <cell r="W19" t="str">
            <v>050073</v>
          </cell>
        </row>
        <row r="20">
          <cell r="G20" t="str">
            <v>73</v>
          </cell>
          <cell r="H20" t="str">
            <v>Línea 2: Cohesión desde lo social</v>
          </cell>
          <cell r="I20" t="str">
            <v xml:space="preserve">Bien-Estar: salud integral </v>
          </cell>
          <cell r="J20" t="str">
            <v>Deporte, recreación y actividad física para la transformación social</v>
          </cell>
          <cell r="K20" t="str">
            <v>Fortalecimiento de los juegos deportivos institucionales en los municipios del departamento de Antioquia</v>
          </cell>
          <cell r="L20" t="str">
            <v>SUBGERENCIA DE FOMENTO Y DESARROLLO</v>
          </cell>
          <cell r="M20">
            <v>2024003050073</v>
          </cell>
          <cell r="V20" t="str">
            <v>73</v>
          </cell>
          <cell r="W20" t="str">
            <v>050081</v>
          </cell>
        </row>
        <row r="21">
          <cell r="G21" t="str">
            <v>72</v>
          </cell>
          <cell r="H21" t="str">
            <v>Línea 2: Cohesión desde lo social</v>
          </cell>
          <cell r="I21" t="str">
            <v xml:space="preserve">Bien-Estar: salud integral </v>
          </cell>
          <cell r="J21" t="str">
            <v>Deporte, recreación y actividad física para la transformación social</v>
          </cell>
          <cell r="K21" t="str">
            <v>Capacitación para el sector del deporte, la recreación y la actividad física en el Departamento de   Antioquia</v>
          </cell>
          <cell r="L21" t="str">
            <v>SUBGERENCIA DE FOMENTO Y DESARROLLO</v>
          </cell>
          <cell r="M21">
            <v>2024003050072</v>
          </cell>
          <cell r="V21" t="str">
            <v>72</v>
          </cell>
          <cell r="W21" t="str">
            <v>050072</v>
          </cell>
        </row>
        <row r="22">
          <cell r="G22" t="str">
            <v>77</v>
          </cell>
          <cell r="H22" t="str">
            <v>Línea 2: Cohesión desde lo social</v>
          </cell>
          <cell r="I22" t="str">
            <v xml:space="preserve">Bien-Estar: salud integral </v>
          </cell>
          <cell r="J22" t="str">
            <v xml:space="preserve">Fortalecimiento y gestión para el desarrollo deportivo </v>
          </cell>
          <cell r="K22" t="str">
            <v>Fortalecimiento de los sistemas de información y la gestión estratégica para el deporte, la recreación y la actividad física de Antioquia</v>
          </cell>
          <cell r="L22" t="str">
            <v>SUBGERENCIA ADMINISTRATIVA Y FINANCIERA</v>
          </cell>
          <cell r="M22">
            <v>2024003050077</v>
          </cell>
          <cell r="V22" t="str">
            <v>77</v>
          </cell>
          <cell r="W22" t="str">
            <v>220387</v>
          </cell>
        </row>
        <row r="23">
          <cell r="G23" t="str">
            <v>04</v>
          </cell>
          <cell r="H23" t="str">
            <v>Línea 2: Cohesión desde lo social</v>
          </cell>
          <cell r="I23" t="str">
            <v xml:space="preserve">Bien-Estar: salud integral </v>
          </cell>
          <cell r="J23" t="str">
            <v xml:space="preserve">Fortalecimiento y gestión para el desarrollo deportivo </v>
          </cell>
          <cell r="K23" t="str">
            <v>Mantenimiento de la infraestructura de las sedes operativas para la prestación de servicios deportivos, recreativos y de actividad física en las regiones de Antioquia</v>
          </cell>
          <cell r="L23" t="str">
            <v>SUBGERENCIA ADMINISTRATIVA Y FINANCIERA</v>
          </cell>
          <cell r="M23">
            <v>2024003050104</v>
          </cell>
          <cell r="V23" t="str">
            <v>04</v>
          </cell>
          <cell r="W23" t="str">
            <v>220381</v>
          </cell>
        </row>
        <row r="24">
          <cell r="G24" t="str">
            <v>84</v>
          </cell>
          <cell r="H24" t="str">
            <v>Línea 2: Cohesión desde lo social</v>
          </cell>
          <cell r="I24" t="str">
            <v xml:space="preserve">Bien-Estar: salud integral </v>
          </cell>
          <cell r="J24" t="str">
            <v>Desarrollo del rendimiento deportivo para la competencia</v>
          </cell>
          <cell r="K24" t="str">
            <v>Apoyo técnico a atletas y para-atletas que representan en alto rendimiento deportivo al departamento de Antioquia</v>
          </cell>
          <cell r="L24" t="str">
            <v>SUBGERENCIA DE ALTOS LOGROS Y DEPORTE ASOCIADO</v>
          </cell>
          <cell r="M24">
            <v>2024003050084</v>
          </cell>
          <cell r="V24" t="str">
            <v>84</v>
          </cell>
          <cell r="W24" t="str">
            <v>050079</v>
          </cell>
        </row>
        <row r="25">
          <cell r="G25" t="str">
            <v>03</v>
          </cell>
          <cell r="H25" t="str">
            <v>Línea 2: Cohesión desde lo social</v>
          </cell>
          <cell r="I25" t="str">
            <v xml:space="preserve">Bien-Estar: salud integral </v>
          </cell>
          <cell r="J25" t="str">
            <v>Desarrollo del rendimiento deportivo para la competencia</v>
          </cell>
          <cell r="K25" t="str">
            <v>Asesoria médica y de ciencias aplicadas al desarrollo del rendimiento deportivo de atletas y para-atletas de Antioquia</v>
          </cell>
          <cell r="L25" t="str">
            <v>SUBGERENCIA DE ALTOS LOGROS Y DEPORTE ASOCIADO</v>
          </cell>
          <cell r="M25">
            <v>2024003050103</v>
          </cell>
          <cell r="V25" t="str">
            <v>03</v>
          </cell>
          <cell r="W25" t="str">
            <v>050080</v>
          </cell>
        </row>
        <row r="26">
          <cell r="G26" t="str">
            <v>02</v>
          </cell>
          <cell r="H26" t="str">
            <v>Línea 2: Cohesión desde lo social</v>
          </cell>
          <cell r="I26" t="str">
            <v xml:space="preserve">Bien-Estar: salud integral </v>
          </cell>
          <cell r="J26" t="str">
            <v>Desarrollo del rendimiento deportivo para la competencia</v>
          </cell>
          <cell r="K26" t="str">
            <v>Apoyo económico a las organizaciones deportivas que representan en competencias al departamento de Antioquia</v>
          </cell>
          <cell r="L26" t="str">
            <v>SUBGERENCIA DE ALTOS LOGROS Y DEPORTE ASOCIADO</v>
          </cell>
          <cell r="M26">
            <v>2024003050102</v>
          </cell>
          <cell r="V26" t="str">
            <v>02</v>
          </cell>
          <cell r="W26" t="str">
            <v>050076</v>
          </cell>
        </row>
        <row r="27">
          <cell r="G27" t="str">
            <v>85</v>
          </cell>
          <cell r="H27" t="str">
            <v>Línea 2: Cohesión desde lo social</v>
          </cell>
          <cell r="I27" t="str">
            <v xml:space="preserve">Bien-Estar: salud integral </v>
          </cell>
          <cell r="J27" t="str">
            <v>Desarrollo del rendimiento deportivo para la competencia</v>
          </cell>
          <cell r="K27" t="str">
            <v>Apoyo y subvención para satisfacer necesidades propias del proceso de preparación y competencia de los Atletas y Para-atletas de alto rendimiento del departamento de Antioquia</v>
          </cell>
          <cell r="L27" t="str">
            <v>SUBGERENCIA DE ALTOS LOGROS Y DEPORTE ASOCIADO</v>
          </cell>
          <cell r="M27">
            <v>2024003050085</v>
          </cell>
          <cell r="V27" t="str">
            <v>85</v>
          </cell>
          <cell r="W27" t="str">
            <v>050077</v>
          </cell>
        </row>
        <row r="28">
          <cell r="G28" t="str">
            <v>87</v>
          </cell>
          <cell r="H28" t="str">
            <v>Línea 2: Cohesión desde lo social</v>
          </cell>
          <cell r="I28" t="str">
            <v xml:space="preserve">Bien-Estar: salud integral </v>
          </cell>
          <cell r="J28" t="str">
            <v>Desarrollo del rendimiento deportivo para la competencia</v>
          </cell>
          <cell r="K28" t="str">
            <v>Fortalecimiento del desarrollo deportivo con miras al alto rendimiento competitivo de los atletas del departamento de Antioquia</v>
          </cell>
          <cell r="L28" t="str">
            <v>SUBGERENCIA DE ALTOS LOGROS Y DEPORTE ASOCIADO</v>
          </cell>
          <cell r="M28">
            <v>2024003050087</v>
          </cell>
          <cell r="V28" t="str">
            <v>87</v>
          </cell>
          <cell r="W28" t="str">
            <v>050078</v>
          </cell>
        </row>
        <row r="29">
          <cell r="G29" t="str">
            <v>76</v>
          </cell>
          <cell r="H29" t="str">
            <v>Línea 2: Cohesión desde lo social</v>
          </cell>
          <cell r="I29" t="str">
            <v xml:space="preserve">Bien-Estar: salud integral </v>
          </cell>
          <cell r="J29" t="str">
            <v>Espacios deportivos protectores e incluyentes</v>
          </cell>
          <cell r="K29" t="str">
            <v>Construcción de escenarios deportivos en el departamento de Antioquia</v>
          </cell>
          <cell r="L29" t="str">
            <v>SUBGERENCIA ESCENARIOS DEPORTIVOS Y EQUIPAMIENTOS</v>
          </cell>
          <cell r="M29">
            <v>2024003050076</v>
          </cell>
          <cell r="V29" t="str">
            <v>76</v>
          </cell>
          <cell r="W29" t="str">
            <v>050074</v>
          </cell>
        </row>
        <row r="30">
          <cell r="G30" t="str">
            <v>75</v>
          </cell>
          <cell r="H30" t="str">
            <v>Línea 2: Cohesión desde lo social</v>
          </cell>
          <cell r="I30" t="str">
            <v xml:space="preserve">Bien-Estar: salud integral </v>
          </cell>
          <cell r="J30" t="str">
            <v>Espacios deportivos protectores e incluyentes</v>
          </cell>
          <cell r="K30" t="str">
            <v>Mantenimiento, adecuación, mejoras de escenarios deportivos o equipamientos en el departamento de Antioquia</v>
          </cell>
          <cell r="L30" t="str">
            <v>SUBGERENCIA ESCENARIOS DEPORTIVOS Y EQUIPAMIENTOS</v>
          </cell>
          <cell r="M30">
            <v>2024003050075</v>
          </cell>
          <cell r="V30" t="str">
            <v>75</v>
          </cell>
          <cell r="W30" t="str">
            <v>050070</v>
          </cell>
        </row>
        <row r="31">
          <cell r="G31" t="str">
            <v>10</v>
          </cell>
          <cell r="H31" t="str">
            <v>Línea 2: Cohesión desde lo social</v>
          </cell>
          <cell r="I31" t="str">
            <v xml:space="preserve">Bien-Estar: salud integral </v>
          </cell>
          <cell r="J31" t="str">
            <v>Deporte, recreación y actividad física para la transformación social</v>
          </cell>
          <cell r="K31" t="str">
            <v>Asesoria y acompañamiento institucional para el deporte formativo, la recreación y la actividad física en el departamento de Antioquia</v>
          </cell>
          <cell r="L31" t="str">
            <v>SUBGERENCIA DE FOMENTO Y DESARROLLO</v>
          </cell>
          <cell r="M31">
            <v>2024003050100</v>
          </cell>
          <cell r="V31" t="str">
            <v>10</v>
          </cell>
          <cell r="W31" t="str">
            <v>050071</v>
          </cell>
        </row>
        <row r="32">
          <cell r="G32" t="str">
            <v>01</v>
          </cell>
          <cell r="H32" t="str">
            <v>Línea 2: Cohesión desde lo social</v>
          </cell>
          <cell r="I32" t="str">
            <v xml:space="preserve">Bien-Estar: salud integral </v>
          </cell>
          <cell r="J32" t="str">
            <v>Deporte, recreación y actividad física para la transformación social</v>
          </cell>
          <cell r="K32" t="str">
            <v>Desarrollo y promoción del deporte formativo, la recreación y la actividad física en el departamento Antioquia</v>
          </cell>
          <cell r="L32" t="str">
            <v>SUBGERENCIA DE FOMENTO Y DESARROLLO</v>
          </cell>
          <cell r="M32">
            <v>2024003050101</v>
          </cell>
          <cell r="V32" t="str">
            <v>01</v>
          </cell>
          <cell r="W32" t="str">
            <v>050075</v>
          </cell>
        </row>
      </sheetData>
      <sheetData sheetId="11"/>
      <sheetData sheetId="12"/>
      <sheetData sheetId="13"/>
      <sheetData sheetId="14">
        <row r="1">
          <cell r="A1" t="str">
            <v>LINEA PAA</v>
          </cell>
          <cell r="B1" t="str">
            <v>CONTRATO</v>
          </cell>
          <cell r="G1" t="str">
            <v>CONTRATISTA</v>
          </cell>
          <cell r="Q1" t="str">
            <v>CDP</v>
          </cell>
          <cell r="T1" t="str">
            <v>RCP</v>
          </cell>
        </row>
        <row r="2">
          <cell r="A2">
            <v>35</v>
          </cell>
          <cell r="B2">
            <v>5522020</v>
          </cell>
          <cell r="G2" t="str">
            <v>EMPRESA PARA LA SEGURIDAD Y SOLUCIONES URBANAS – ESU</v>
          </cell>
          <cell r="Q2">
            <v>309</v>
          </cell>
          <cell r="T2">
            <v>2204</v>
          </cell>
        </row>
        <row r="3">
          <cell r="A3">
            <v>790</v>
          </cell>
          <cell r="B3">
            <v>5522020</v>
          </cell>
          <cell r="G3" t="str">
            <v>EMPRESA PARA LA SEGURIDAD Y SOLUCIONES URBANAS – ESU</v>
          </cell>
          <cell r="Q3">
            <v>577</v>
          </cell>
          <cell r="T3">
            <v>7064</v>
          </cell>
        </row>
        <row r="4">
          <cell r="A4">
            <v>1262</v>
          </cell>
          <cell r="B4">
            <v>5522020</v>
          </cell>
          <cell r="G4" t="str">
            <v>EMPRESA PARA LA SEGURIDAD Y SOLUCIONES URBANAS – ESU</v>
          </cell>
          <cell r="Q4">
            <v>1150</v>
          </cell>
          <cell r="T4">
            <v>13251</v>
          </cell>
        </row>
        <row r="5">
          <cell r="A5" t="str">
            <v>1262A</v>
          </cell>
          <cell r="B5">
            <v>5522020</v>
          </cell>
          <cell r="G5" t="str">
            <v>EMPRESA PARA LA SEGURIDAD Y SOLUCIONES URBANAS – ESU</v>
          </cell>
          <cell r="Q5">
            <v>1168</v>
          </cell>
          <cell r="T5">
            <v>13251</v>
          </cell>
        </row>
        <row r="6">
          <cell r="A6">
            <v>588</v>
          </cell>
          <cell r="B6">
            <v>4422021</v>
          </cell>
          <cell r="G6" t="str">
            <v>ASEAR SA ESP</v>
          </cell>
          <cell r="Q6">
            <v>308</v>
          </cell>
          <cell r="T6">
            <v>2206</v>
          </cell>
        </row>
        <row r="7">
          <cell r="A7">
            <v>673</v>
          </cell>
          <cell r="B7">
            <v>4242023</v>
          </cell>
          <cell r="G7" t="str">
            <v xml:space="preserve">EMERMEDICA S.A SERVICIOS DE AMBULANCIA PREPAGADO </v>
          </cell>
          <cell r="Q7">
            <v>442</v>
          </cell>
          <cell r="T7">
            <v>3406</v>
          </cell>
        </row>
        <row r="8">
          <cell r="A8">
            <v>653</v>
          </cell>
          <cell r="B8">
            <v>3572023</v>
          </cell>
          <cell r="G8" t="str">
            <v>MAPFRE SEGUROS GENERALES DE COLOMBIA S.A</v>
          </cell>
          <cell r="Q8">
            <v>424</v>
          </cell>
          <cell r="T8">
            <v>4636</v>
          </cell>
        </row>
        <row r="9">
          <cell r="A9">
            <v>999</v>
          </cell>
          <cell r="B9">
            <v>3572023</v>
          </cell>
          <cell r="G9" t="str">
            <v>MAPFRE SEGUROS GENERALES DE COLOMBIA S.A</v>
          </cell>
          <cell r="Q9">
            <v>906</v>
          </cell>
          <cell r="T9">
            <v>9621</v>
          </cell>
        </row>
        <row r="10">
          <cell r="A10">
            <v>652</v>
          </cell>
          <cell r="B10">
            <v>5442022</v>
          </cell>
          <cell r="G10" t="str">
            <v>POSITIVA COMPAÑÍA DE SEGUROS S.A</v>
          </cell>
          <cell r="Q10">
            <v>418</v>
          </cell>
          <cell r="T10">
            <v>3541</v>
          </cell>
        </row>
        <row r="11">
          <cell r="A11">
            <v>1000</v>
          </cell>
          <cell r="B11">
            <v>5442022</v>
          </cell>
          <cell r="G11" t="str">
            <v>POSITIVA COMPAÑÍA DE SEGUROS S.A</v>
          </cell>
          <cell r="Q11">
            <v>836</v>
          </cell>
          <cell r="T11">
            <v>9614</v>
          </cell>
        </row>
        <row r="12">
          <cell r="A12">
            <v>651</v>
          </cell>
          <cell r="B12">
            <v>5142022</v>
          </cell>
          <cell r="G12" t="str">
            <v>ASEGURADORA SOLIDARIA DE COLOMBIA ENTIDAD COOPERATIVA</v>
          </cell>
          <cell r="Q12">
            <v>417</v>
          </cell>
          <cell r="T12">
            <v>3543</v>
          </cell>
        </row>
        <row r="13">
          <cell r="A13">
            <v>1001</v>
          </cell>
          <cell r="B13">
            <v>5142022</v>
          </cell>
          <cell r="G13" t="str">
            <v>ASEGURADORA SOLIDARIA DE COLOMBIA ENTIDAD COOPERATIVA</v>
          </cell>
          <cell r="Q13">
            <v>834</v>
          </cell>
          <cell r="T13">
            <v>9602</v>
          </cell>
        </row>
        <row r="14">
          <cell r="A14">
            <v>680</v>
          </cell>
          <cell r="B14">
            <v>8822023</v>
          </cell>
          <cell r="G14" t="str">
            <v>MUNICIPIOS UNIDOS DEL SUR MUSA</v>
          </cell>
          <cell r="Q14">
            <v>467</v>
          </cell>
          <cell r="T14">
            <v>4086</v>
          </cell>
        </row>
        <row r="15">
          <cell r="A15">
            <v>1209</v>
          </cell>
          <cell r="B15">
            <v>8822023</v>
          </cell>
          <cell r="G15" t="str">
            <v>MUNICIPIOS UNIDOS DEL SUR MUSA</v>
          </cell>
          <cell r="Q15">
            <v>1032</v>
          </cell>
          <cell r="T15">
            <v>11111</v>
          </cell>
        </row>
        <row r="16">
          <cell r="A16" t="str">
            <v>1209A</v>
          </cell>
          <cell r="B16">
            <v>8822023</v>
          </cell>
          <cell r="G16" t="str">
            <v>MUNICIPIOS UNIDOS DEL SUR MUSA</v>
          </cell>
          <cell r="Q16">
            <v>1023</v>
          </cell>
          <cell r="T16">
            <v>11111</v>
          </cell>
        </row>
        <row r="17">
          <cell r="B17">
            <v>5072022</v>
          </cell>
          <cell r="G17" t="str">
            <v>BANCO POPULAR S.A</v>
          </cell>
          <cell r="Q17" t="str">
            <v>N/A</v>
          </cell>
          <cell r="T17" t="str">
            <v/>
          </cell>
        </row>
        <row r="18">
          <cell r="B18">
            <v>4112023</v>
          </cell>
          <cell r="G18" t="str">
            <v>MUNICIPIO DE NECHI</v>
          </cell>
          <cell r="Q18" t="str">
            <v>N/A</v>
          </cell>
          <cell r="T18" t="str">
            <v/>
          </cell>
        </row>
        <row r="19">
          <cell r="B19">
            <v>3952023</v>
          </cell>
          <cell r="G19" t="str">
            <v xml:space="preserve">MUNICIPIO DE GRANADA </v>
          </cell>
          <cell r="T19" t="str">
            <v/>
          </cell>
        </row>
        <row r="20">
          <cell r="A20">
            <v>1087</v>
          </cell>
          <cell r="B20">
            <v>8062023</v>
          </cell>
          <cell r="G20" t="str">
            <v>MAPFRE SEGUROS GENERALES DE COLOMBIA S.A</v>
          </cell>
          <cell r="Q20">
            <v>876</v>
          </cell>
          <cell r="T20">
            <v>9619</v>
          </cell>
        </row>
        <row r="21">
          <cell r="A21">
            <v>1329</v>
          </cell>
          <cell r="B21">
            <v>6532023</v>
          </cell>
          <cell r="G21" t="str">
            <v>MUNICIPIO DE SAN ANDRES DE CUERQUIA</v>
          </cell>
          <cell r="Q21">
            <v>1219</v>
          </cell>
          <cell r="T21" t="str">
            <v/>
          </cell>
        </row>
        <row r="22">
          <cell r="A22">
            <v>498</v>
          </cell>
          <cell r="B22">
            <v>1</v>
          </cell>
          <cell r="G22" t="str">
            <v>EMPRESA DE PARQUES Y EVENTOS DE ANTIOQUIA- ACTIVA</v>
          </cell>
          <cell r="Q22">
            <v>1</v>
          </cell>
          <cell r="T22">
            <v>3</v>
          </cell>
        </row>
        <row r="23">
          <cell r="A23">
            <v>508</v>
          </cell>
          <cell r="B23">
            <v>2</v>
          </cell>
          <cell r="G23" t="str">
            <v xml:space="preserve">BRAVO RESTREPO </v>
          </cell>
          <cell r="Q23">
            <v>9</v>
          </cell>
          <cell r="T23">
            <v>8</v>
          </cell>
        </row>
        <row r="24">
          <cell r="A24">
            <v>505</v>
          </cell>
          <cell r="B24">
            <v>3</v>
          </cell>
          <cell r="G24" t="str">
            <v xml:space="preserve">ADRIANA MARIA PATIÑO CAMPUZANO </v>
          </cell>
          <cell r="Q24">
            <v>18</v>
          </cell>
          <cell r="T24">
            <v>11</v>
          </cell>
        </row>
        <row r="25">
          <cell r="A25">
            <v>501</v>
          </cell>
          <cell r="B25">
            <v>4</v>
          </cell>
          <cell r="G25" t="str">
            <v xml:space="preserve">SORAIDA SOSA GOEZ </v>
          </cell>
          <cell r="Q25">
            <v>16</v>
          </cell>
          <cell r="T25">
            <v>12</v>
          </cell>
        </row>
        <row r="26">
          <cell r="A26">
            <v>41</v>
          </cell>
          <cell r="B26">
            <v>5</v>
          </cell>
          <cell r="G26" t="str">
            <v xml:space="preserve">YANET ADRIANA PENAGOS </v>
          </cell>
          <cell r="Q26">
            <v>11</v>
          </cell>
          <cell r="T26">
            <v>10</v>
          </cell>
        </row>
        <row r="27">
          <cell r="A27">
            <v>42</v>
          </cell>
          <cell r="B27">
            <v>6</v>
          </cell>
          <cell r="G27" t="str">
            <v>ANDRÉS MAURICIO VALENCIA RUIZ</v>
          </cell>
          <cell r="Q27">
            <v>10</v>
          </cell>
          <cell r="T27">
            <v>9</v>
          </cell>
        </row>
        <row r="28">
          <cell r="A28">
            <v>379</v>
          </cell>
          <cell r="B28">
            <v>7</v>
          </cell>
          <cell r="G28" t="str">
            <v xml:space="preserve">JUAN MANUEL GALVIS </v>
          </cell>
          <cell r="Q28">
            <v>35</v>
          </cell>
          <cell r="T28">
            <v>14</v>
          </cell>
        </row>
        <row r="29">
          <cell r="A29">
            <v>380</v>
          </cell>
          <cell r="B29">
            <v>8</v>
          </cell>
          <cell r="G29" t="str">
            <v xml:space="preserve">HAROLD PULGARIN </v>
          </cell>
          <cell r="Q29">
            <v>33</v>
          </cell>
          <cell r="T29">
            <v>13</v>
          </cell>
        </row>
        <row r="30">
          <cell r="A30">
            <v>378</v>
          </cell>
          <cell r="B30">
            <v>9</v>
          </cell>
          <cell r="G30" t="str">
            <v>VANESSA KAMMERER GUTIERREZ</v>
          </cell>
          <cell r="Q30">
            <v>32</v>
          </cell>
          <cell r="T30">
            <v>16</v>
          </cell>
        </row>
        <row r="31">
          <cell r="A31">
            <v>499</v>
          </cell>
          <cell r="B31">
            <v>10</v>
          </cell>
          <cell r="G31" t="str">
            <v>MANUEL HUMBERTO LOZANO GARCIA</v>
          </cell>
          <cell r="Q31">
            <v>15</v>
          </cell>
          <cell r="T31">
            <v>18</v>
          </cell>
        </row>
        <row r="32">
          <cell r="A32">
            <v>54</v>
          </cell>
          <cell r="B32">
            <v>11</v>
          </cell>
          <cell r="G32" t="str">
            <v>UNE EPM TELECOMUNICACIONES S.A</v>
          </cell>
          <cell r="Q32">
            <v>2</v>
          </cell>
          <cell r="T32">
            <v>34</v>
          </cell>
        </row>
        <row r="33">
          <cell r="A33">
            <v>343</v>
          </cell>
          <cell r="B33">
            <v>12</v>
          </cell>
          <cell r="G33" t="str">
            <v xml:space="preserve">MAURICIO ALONSO PATIÑO ZAPATA </v>
          </cell>
          <cell r="Q33">
            <v>24</v>
          </cell>
          <cell r="T33">
            <v>27</v>
          </cell>
        </row>
        <row r="34">
          <cell r="A34">
            <v>504</v>
          </cell>
          <cell r="B34">
            <v>13</v>
          </cell>
          <cell r="G34" t="str">
            <v xml:space="preserve">ZARAH KAMILA LOPEZ VALLEJO </v>
          </cell>
          <cell r="Q34">
            <v>6</v>
          </cell>
          <cell r="T34">
            <v>28</v>
          </cell>
        </row>
        <row r="35">
          <cell r="A35">
            <v>507</v>
          </cell>
          <cell r="B35">
            <v>14</v>
          </cell>
          <cell r="G35" t="str">
            <v xml:space="preserve">NANCY DEL SOCORRO PALACIO RAMIREZ </v>
          </cell>
          <cell r="Q35">
            <v>8</v>
          </cell>
          <cell r="T35">
            <v>15</v>
          </cell>
        </row>
        <row r="36">
          <cell r="A36">
            <v>381</v>
          </cell>
          <cell r="B36">
            <v>15</v>
          </cell>
          <cell r="G36" t="str">
            <v>SANTIAGO ZAPATA  MARIN</v>
          </cell>
          <cell r="Q36">
            <v>34</v>
          </cell>
          <cell r="T36">
            <v>24</v>
          </cell>
        </row>
        <row r="37">
          <cell r="A37">
            <v>506</v>
          </cell>
          <cell r="B37">
            <v>16</v>
          </cell>
          <cell r="G37" t="str">
            <v>GINA MARIA LONDOÑO GONZALEZ</v>
          </cell>
          <cell r="Q37">
            <v>5</v>
          </cell>
          <cell r="T37">
            <v>17</v>
          </cell>
        </row>
        <row r="38">
          <cell r="A38">
            <v>502</v>
          </cell>
          <cell r="B38">
            <v>17</v>
          </cell>
          <cell r="G38" t="str">
            <v xml:space="preserve">ADRIANA MARIA TABORDA ZAPATA </v>
          </cell>
          <cell r="Q38">
            <v>17</v>
          </cell>
          <cell r="T38">
            <v>20</v>
          </cell>
        </row>
        <row r="39">
          <cell r="A39">
            <v>322</v>
          </cell>
          <cell r="B39">
            <v>18</v>
          </cell>
          <cell r="G39" t="str">
            <v>MAURICIO VELASQUEZ CUADROS</v>
          </cell>
          <cell r="Q39">
            <v>38</v>
          </cell>
          <cell r="T39">
            <v>23</v>
          </cell>
        </row>
        <row r="40">
          <cell r="A40">
            <v>321</v>
          </cell>
          <cell r="B40">
            <v>19</v>
          </cell>
          <cell r="G40" t="str">
            <v xml:space="preserve">ASTRID ELENA CASTAÑO ALZATE </v>
          </cell>
          <cell r="Q40">
            <v>19</v>
          </cell>
          <cell r="T40">
            <v>32</v>
          </cell>
        </row>
        <row r="41">
          <cell r="A41">
            <v>327</v>
          </cell>
          <cell r="B41">
            <v>20</v>
          </cell>
          <cell r="G41" t="str">
            <v xml:space="preserve">ANDRES FELIPE SANCHEZ </v>
          </cell>
          <cell r="Q41">
            <v>20</v>
          </cell>
          <cell r="T41">
            <v>38</v>
          </cell>
        </row>
        <row r="42">
          <cell r="A42">
            <v>503</v>
          </cell>
          <cell r="B42">
            <v>21</v>
          </cell>
          <cell r="G42" t="str">
            <v>MIRIAM DEL SOCORRO GOMEZ JIMENEZ</v>
          </cell>
          <cell r="Q42">
            <v>7</v>
          </cell>
          <cell r="T42">
            <v>25</v>
          </cell>
        </row>
        <row r="43">
          <cell r="A43">
            <v>359</v>
          </cell>
          <cell r="B43">
            <v>22</v>
          </cell>
          <cell r="G43" t="str">
            <v xml:space="preserve">VICTOR HUGO SIERRA </v>
          </cell>
          <cell r="Q43">
            <v>37</v>
          </cell>
          <cell r="T43">
            <v>26</v>
          </cell>
        </row>
        <row r="44">
          <cell r="A44">
            <v>131</v>
          </cell>
          <cell r="B44">
            <v>23</v>
          </cell>
          <cell r="G44" t="str">
            <v>ANDRES FELIPE MUÑOZ</v>
          </cell>
          <cell r="Q44">
            <v>21</v>
          </cell>
          <cell r="T44">
            <v>33</v>
          </cell>
        </row>
        <row r="45">
          <cell r="A45">
            <v>61</v>
          </cell>
          <cell r="B45">
            <v>24</v>
          </cell>
          <cell r="G45" t="str">
            <v>ANA MARIA CASTAÑO OCHOA</v>
          </cell>
          <cell r="Q45">
            <v>29</v>
          </cell>
          <cell r="T45">
            <v>37</v>
          </cell>
        </row>
        <row r="46">
          <cell r="A46">
            <v>636</v>
          </cell>
          <cell r="B46">
            <v>24</v>
          </cell>
          <cell r="G46" t="str">
            <v>ANA MARIA CASTAÑO OCHOA</v>
          </cell>
          <cell r="Q46">
            <v>395</v>
          </cell>
          <cell r="T46">
            <v>3405</v>
          </cell>
        </row>
        <row r="47">
          <cell r="A47">
            <v>64</v>
          </cell>
          <cell r="B47">
            <v>25</v>
          </cell>
          <cell r="G47" t="str">
            <v>LAURA VICTORIA COLORADO</v>
          </cell>
          <cell r="Q47">
            <v>31</v>
          </cell>
          <cell r="T47">
            <v>35</v>
          </cell>
        </row>
        <row r="48">
          <cell r="A48">
            <v>637</v>
          </cell>
          <cell r="B48">
            <v>25</v>
          </cell>
          <cell r="G48" t="str">
            <v>LAURA VICTORIA COLORADO</v>
          </cell>
          <cell r="Q48">
            <v>398</v>
          </cell>
          <cell r="T48">
            <v>3402</v>
          </cell>
        </row>
        <row r="49">
          <cell r="A49">
            <v>59</v>
          </cell>
          <cell r="B49">
            <v>26</v>
          </cell>
          <cell r="G49" t="str">
            <v xml:space="preserve">PABLO ANDRES URIBE CALLE </v>
          </cell>
          <cell r="Q49">
            <v>28</v>
          </cell>
          <cell r="T49">
            <v>36</v>
          </cell>
        </row>
        <row r="50">
          <cell r="A50">
            <v>635</v>
          </cell>
          <cell r="B50">
            <v>26</v>
          </cell>
          <cell r="G50" t="str">
            <v xml:space="preserve">PABLO ANDRES URIBE CALLE </v>
          </cell>
          <cell r="Q50">
            <v>399</v>
          </cell>
          <cell r="T50">
            <v>3404</v>
          </cell>
        </row>
        <row r="51">
          <cell r="A51">
            <v>53</v>
          </cell>
          <cell r="B51">
            <v>27</v>
          </cell>
          <cell r="G51" t="str">
            <v>ADA S.A.S</v>
          </cell>
          <cell r="Q51">
            <v>36</v>
          </cell>
          <cell r="T51">
            <v>44</v>
          </cell>
        </row>
        <row r="52">
          <cell r="A52">
            <v>69</v>
          </cell>
          <cell r="B52">
            <v>28</v>
          </cell>
          <cell r="G52" t="str">
            <v>JOHANA PATRICIA RAMIREZ ARGUMEDO</v>
          </cell>
          <cell r="Q52">
            <v>30</v>
          </cell>
          <cell r="T52">
            <v>65</v>
          </cell>
        </row>
        <row r="53">
          <cell r="A53">
            <v>638</v>
          </cell>
          <cell r="B53">
            <v>28</v>
          </cell>
          <cell r="G53" t="str">
            <v>JOHANA PATRICIA RAMIREZ ARGUMEDO</v>
          </cell>
          <cell r="Q53">
            <v>396</v>
          </cell>
          <cell r="T53">
            <v>3403</v>
          </cell>
        </row>
        <row r="54">
          <cell r="A54">
            <v>500</v>
          </cell>
          <cell r="B54">
            <v>29</v>
          </cell>
          <cell r="G54" t="str">
            <v>GABRIEL ANTONIO MONSALVE CASTRILLON</v>
          </cell>
          <cell r="Q54">
            <v>14</v>
          </cell>
          <cell r="T54">
            <v>61</v>
          </cell>
        </row>
        <row r="55">
          <cell r="A55">
            <v>38</v>
          </cell>
          <cell r="B55">
            <v>30</v>
          </cell>
          <cell r="G55" t="str">
            <v xml:space="preserve">LAURA QUIÑONES VILLEGAS </v>
          </cell>
          <cell r="Q55">
            <v>45</v>
          </cell>
          <cell r="T55">
            <v>46</v>
          </cell>
        </row>
        <row r="56">
          <cell r="A56">
            <v>326</v>
          </cell>
          <cell r="B56">
            <v>31</v>
          </cell>
          <cell r="G56" t="str">
            <v>SANTIAGO AGUILAR RIOS</v>
          </cell>
          <cell r="Q56">
            <v>43</v>
          </cell>
          <cell r="T56">
            <v>67</v>
          </cell>
        </row>
        <row r="57">
          <cell r="A57">
            <v>55</v>
          </cell>
          <cell r="B57">
            <v>32</v>
          </cell>
          <cell r="G57" t="str">
            <v xml:space="preserve">SERVISOFT S.A. </v>
          </cell>
          <cell r="Q57">
            <v>13</v>
          </cell>
          <cell r="T57">
            <v>914</v>
          </cell>
        </row>
        <row r="58">
          <cell r="A58">
            <v>325</v>
          </cell>
          <cell r="B58">
            <v>33</v>
          </cell>
          <cell r="G58" t="str">
            <v xml:space="preserve">LEONARDO ALEXIS HIGUITA HERNANDEZ </v>
          </cell>
          <cell r="Q58">
            <v>61</v>
          </cell>
          <cell r="T58">
            <v>917</v>
          </cell>
        </row>
        <row r="59">
          <cell r="A59">
            <v>323</v>
          </cell>
          <cell r="B59">
            <v>34</v>
          </cell>
          <cell r="G59" t="str">
            <v xml:space="preserve">JOHAN STEVEN HOLGUIN FRANCO </v>
          </cell>
          <cell r="Q59">
            <v>60</v>
          </cell>
          <cell r="T59">
            <v>916</v>
          </cell>
        </row>
        <row r="60">
          <cell r="A60">
            <v>523</v>
          </cell>
          <cell r="B60">
            <v>35</v>
          </cell>
          <cell r="G60" t="str">
            <v xml:space="preserve">DARLIN VANESA OTALVARO MONTOYA </v>
          </cell>
          <cell r="Q60">
            <v>199</v>
          </cell>
          <cell r="T60">
            <v>918</v>
          </cell>
        </row>
        <row r="61">
          <cell r="A61">
            <v>524</v>
          </cell>
          <cell r="B61">
            <v>36</v>
          </cell>
          <cell r="G61" t="str">
            <v>SARA LUCIANA URREGO VILLA</v>
          </cell>
          <cell r="Q61">
            <v>207</v>
          </cell>
          <cell r="T61">
            <v>919</v>
          </cell>
        </row>
        <row r="62">
          <cell r="A62">
            <v>133</v>
          </cell>
          <cell r="B62">
            <v>37</v>
          </cell>
          <cell r="G62" t="str">
            <v xml:space="preserve">LUIS MIGUEL CUENCA MONTOYA </v>
          </cell>
          <cell r="Q62">
            <v>62</v>
          </cell>
          <cell r="T62">
            <v>944</v>
          </cell>
        </row>
        <row r="63">
          <cell r="A63">
            <v>134</v>
          </cell>
          <cell r="B63">
            <v>38</v>
          </cell>
          <cell r="G63" t="str">
            <v xml:space="preserve">RICARDO PINZON MUÑOZ </v>
          </cell>
          <cell r="Q63">
            <v>63</v>
          </cell>
          <cell r="T63">
            <v>984</v>
          </cell>
        </row>
        <row r="64">
          <cell r="A64">
            <v>135</v>
          </cell>
          <cell r="B64">
            <v>39</v>
          </cell>
          <cell r="G64" t="str">
            <v xml:space="preserve">LUIS FERNANDO LOPERA MORALES </v>
          </cell>
          <cell r="Q64">
            <v>64</v>
          </cell>
          <cell r="T64">
            <v>927</v>
          </cell>
        </row>
        <row r="65">
          <cell r="A65">
            <v>136</v>
          </cell>
          <cell r="B65">
            <v>40</v>
          </cell>
          <cell r="G65" t="str">
            <v>JUAN DAVID MARIN OSSA</v>
          </cell>
          <cell r="Q65">
            <v>65</v>
          </cell>
          <cell r="T65">
            <v>1002</v>
          </cell>
        </row>
        <row r="66">
          <cell r="A66">
            <v>137</v>
          </cell>
          <cell r="B66">
            <v>41</v>
          </cell>
          <cell r="G66" t="str">
            <v xml:space="preserve">ANA MARIA LOPERA RINCON </v>
          </cell>
          <cell r="Q66">
            <v>66</v>
          </cell>
          <cell r="T66">
            <v>939</v>
          </cell>
        </row>
        <row r="67">
          <cell r="A67">
            <v>138</v>
          </cell>
          <cell r="B67">
            <v>42</v>
          </cell>
          <cell r="G67" t="str">
            <v xml:space="preserve">DEISY VERONICA MAZO GARCES </v>
          </cell>
          <cell r="Q67">
            <v>67</v>
          </cell>
          <cell r="T67">
            <v>994</v>
          </cell>
        </row>
        <row r="68">
          <cell r="A68">
            <v>139</v>
          </cell>
          <cell r="B68">
            <v>43</v>
          </cell>
          <cell r="G68" t="str">
            <v xml:space="preserve">MÓNICA VIVIANA OSPINA OROZCO </v>
          </cell>
          <cell r="Q68">
            <v>68</v>
          </cell>
          <cell r="T68">
            <v>1040</v>
          </cell>
        </row>
        <row r="69">
          <cell r="A69">
            <v>140</v>
          </cell>
          <cell r="B69">
            <v>44</v>
          </cell>
          <cell r="G69" t="str">
            <v xml:space="preserve">JUAN DAVID CASTAÑEDA TOBÓN </v>
          </cell>
          <cell r="Q69">
            <v>69</v>
          </cell>
          <cell r="T69">
            <v>958</v>
          </cell>
        </row>
        <row r="70">
          <cell r="A70">
            <v>141</v>
          </cell>
          <cell r="B70">
            <v>45</v>
          </cell>
          <cell r="G70" t="str">
            <v xml:space="preserve">DAVID ALONSO SANCHEZ POSADA </v>
          </cell>
          <cell r="Q70">
            <v>70</v>
          </cell>
          <cell r="T70">
            <v>933</v>
          </cell>
        </row>
        <row r="71">
          <cell r="A71">
            <v>142</v>
          </cell>
          <cell r="B71">
            <v>46</v>
          </cell>
          <cell r="G71" t="str">
            <v xml:space="preserve">JAIME ORLANDO HOYOS ISAZA </v>
          </cell>
          <cell r="Q71">
            <v>71</v>
          </cell>
          <cell r="T71">
            <v>971</v>
          </cell>
        </row>
        <row r="72">
          <cell r="A72">
            <v>143</v>
          </cell>
          <cell r="B72">
            <v>47</v>
          </cell>
          <cell r="G72" t="str">
            <v xml:space="preserve">WILMAR JADER VALENCIA MONSALVE </v>
          </cell>
          <cell r="Q72">
            <v>72</v>
          </cell>
          <cell r="T72">
            <v>1051</v>
          </cell>
        </row>
        <row r="73">
          <cell r="A73">
            <v>144</v>
          </cell>
          <cell r="B73">
            <v>48</v>
          </cell>
          <cell r="G73" t="str">
            <v xml:space="preserve">JORGE IGNACIO RUIZ GUTIERREZ </v>
          </cell>
          <cell r="Q73">
            <v>73</v>
          </cell>
          <cell r="T73">
            <v>940</v>
          </cell>
        </row>
        <row r="74">
          <cell r="A74">
            <v>145</v>
          </cell>
          <cell r="B74">
            <v>49</v>
          </cell>
          <cell r="G74" t="str">
            <v>EDWIN JOVANNY MENESES QUINTERO</v>
          </cell>
          <cell r="Q74">
            <v>74</v>
          </cell>
          <cell r="T74">
            <v>956</v>
          </cell>
        </row>
        <row r="75">
          <cell r="A75">
            <v>146</v>
          </cell>
          <cell r="B75">
            <v>50</v>
          </cell>
          <cell r="G75" t="str">
            <v xml:space="preserve">DIEGO ALBERTO MONTOYA GOMEZ </v>
          </cell>
          <cell r="Q75">
            <v>75</v>
          </cell>
          <cell r="T75">
            <v>952</v>
          </cell>
        </row>
        <row r="76">
          <cell r="A76">
            <v>147</v>
          </cell>
          <cell r="B76">
            <v>51</v>
          </cell>
          <cell r="G76" t="str">
            <v>JOHN ALEXANDER ALCARAZ CERON</v>
          </cell>
          <cell r="Q76">
            <v>76</v>
          </cell>
          <cell r="T76">
            <v>962</v>
          </cell>
        </row>
        <row r="77">
          <cell r="A77">
            <v>148</v>
          </cell>
          <cell r="B77">
            <v>52</v>
          </cell>
          <cell r="G77" t="str">
            <v xml:space="preserve">JUAN CARLOS OSPINA RUIZ </v>
          </cell>
          <cell r="Q77">
            <v>77</v>
          </cell>
          <cell r="T77">
            <v>945</v>
          </cell>
        </row>
        <row r="78">
          <cell r="A78">
            <v>149</v>
          </cell>
          <cell r="B78">
            <v>53</v>
          </cell>
          <cell r="G78" t="str">
            <v xml:space="preserve">JUAN DAVID ACEVEDO FLOREZ </v>
          </cell>
          <cell r="Q78">
            <v>78</v>
          </cell>
          <cell r="T78">
            <v>961</v>
          </cell>
        </row>
        <row r="79">
          <cell r="A79">
            <v>150</v>
          </cell>
          <cell r="B79">
            <v>54</v>
          </cell>
          <cell r="G79" t="str">
            <v xml:space="preserve">IVAN HUMBERTO GERMAN ALVAREZ </v>
          </cell>
          <cell r="Q79">
            <v>79</v>
          </cell>
          <cell r="T79">
            <v>930</v>
          </cell>
        </row>
        <row r="80">
          <cell r="A80">
            <v>151</v>
          </cell>
          <cell r="B80">
            <v>55</v>
          </cell>
          <cell r="G80" t="str">
            <v xml:space="preserve">RUBEN DARIO ARROYAVE RESTREPO </v>
          </cell>
          <cell r="Q80">
            <v>80</v>
          </cell>
          <cell r="T80">
            <v>970</v>
          </cell>
        </row>
        <row r="81">
          <cell r="A81">
            <v>152</v>
          </cell>
          <cell r="B81">
            <v>56</v>
          </cell>
          <cell r="G81" t="str">
            <v>JUAN DIEGO DIEZ GONZALEZ</v>
          </cell>
          <cell r="Q81">
            <v>81</v>
          </cell>
          <cell r="T81">
            <v>960</v>
          </cell>
        </row>
        <row r="82">
          <cell r="A82">
            <v>153</v>
          </cell>
          <cell r="B82">
            <v>57</v>
          </cell>
          <cell r="G82" t="str">
            <v xml:space="preserve">OSCAR ALONSO ZULUAGA HERNANDEZ </v>
          </cell>
          <cell r="Q82">
            <v>82</v>
          </cell>
          <cell r="T82">
            <v>931</v>
          </cell>
        </row>
        <row r="83">
          <cell r="A83">
            <v>154</v>
          </cell>
          <cell r="B83">
            <v>58</v>
          </cell>
          <cell r="G83" t="str">
            <v xml:space="preserve">EDGAR MOSQUERA PALACIOS </v>
          </cell>
          <cell r="Q83">
            <v>83</v>
          </cell>
          <cell r="T83">
            <v>942</v>
          </cell>
        </row>
        <row r="84">
          <cell r="A84">
            <v>155</v>
          </cell>
          <cell r="B84">
            <v>59</v>
          </cell>
          <cell r="G84" t="str">
            <v xml:space="preserve">JOHANA MARCELA ARAQUE MEJIA </v>
          </cell>
          <cell r="Q84">
            <v>84</v>
          </cell>
          <cell r="T84">
            <v>968</v>
          </cell>
        </row>
        <row r="85">
          <cell r="A85">
            <v>156</v>
          </cell>
          <cell r="B85">
            <v>60</v>
          </cell>
          <cell r="G85" t="str">
            <v xml:space="preserve">DIONI ESTEBAN SÁNCHEZ DIOSA </v>
          </cell>
          <cell r="Q85">
            <v>85</v>
          </cell>
          <cell r="T85">
            <v>1044</v>
          </cell>
        </row>
        <row r="86">
          <cell r="A86">
            <v>157</v>
          </cell>
          <cell r="B86">
            <v>61</v>
          </cell>
          <cell r="G86" t="str">
            <v xml:space="preserve">JUAN CARLOS MUÑOZ AGUDELO </v>
          </cell>
          <cell r="Q86">
            <v>86</v>
          </cell>
          <cell r="T86">
            <v>992</v>
          </cell>
        </row>
        <row r="87">
          <cell r="A87">
            <v>158</v>
          </cell>
          <cell r="B87">
            <v>62</v>
          </cell>
          <cell r="G87" t="str">
            <v xml:space="preserve">JUAN PABLO PEREZ MEDINA </v>
          </cell>
          <cell r="Q87">
            <v>87</v>
          </cell>
          <cell r="T87">
            <v>953</v>
          </cell>
        </row>
        <row r="88">
          <cell r="A88">
            <v>159</v>
          </cell>
          <cell r="B88">
            <v>63</v>
          </cell>
          <cell r="G88" t="str">
            <v>MARIA PATRICIA HENAO ECHEVERRI</v>
          </cell>
          <cell r="Q88">
            <v>88</v>
          </cell>
          <cell r="T88">
            <v>1006</v>
          </cell>
        </row>
        <row r="89">
          <cell r="A89">
            <v>160</v>
          </cell>
          <cell r="B89">
            <v>64</v>
          </cell>
          <cell r="G89" t="str">
            <v xml:space="preserve">MONICA MARIA CORTINEZ BEDOYA </v>
          </cell>
          <cell r="Q89">
            <v>89</v>
          </cell>
          <cell r="T89">
            <v>1164</v>
          </cell>
        </row>
        <row r="90">
          <cell r="A90">
            <v>161</v>
          </cell>
          <cell r="B90">
            <v>65</v>
          </cell>
          <cell r="G90" t="str">
            <v>SERGIO HERNANDEZ URANGO</v>
          </cell>
          <cell r="Q90">
            <v>90</v>
          </cell>
          <cell r="T90">
            <v>957</v>
          </cell>
        </row>
        <row r="91">
          <cell r="A91">
            <v>162</v>
          </cell>
          <cell r="B91">
            <v>66</v>
          </cell>
          <cell r="G91" t="str">
            <v>WILLIAM ALONSO OSORIO SOSA</v>
          </cell>
          <cell r="Q91">
            <v>91</v>
          </cell>
          <cell r="T91">
            <v>1018</v>
          </cell>
        </row>
        <row r="92">
          <cell r="A92">
            <v>163</v>
          </cell>
          <cell r="B92">
            <v>67</v>
          </cell>
          <cell r="G92" t="str">
            <v xml:space="preserve">MANUEL ARTURO MONCADA BETANCUR </v>
          </cell>
          <cell r="Q92">
            <v>92</v>
          </cell>
          <cell r="T92">
            <v>1165</v>
          </cell>
        </row>
        <row r="93">
          <cell r="A93">
            <v>164</v>
          </cell>
          <cell r="B93">
            <v>68</v>
          </cell>
          <cell r="G93" t="str">
            <v xml:space="preserve">JEISSON STIVEN OCAMPO VANEGAS </v>
          </cell>
          <cell r="Q93">
            <v>93</v>
          </cell>
          <cell r="T93">
            <v>995</v>
          </cell>
        </row>
        <row r="94">
          <cell r="A94">
            <v>166</v>
          </cell>
          <cell r="B94">
            <v>69</v>
          </cell>
          <cell r="G94" t="str">
            <v>LUZ ADRIANA GOMEZ ARBELAEZ</v>
          </cell>
          <cell r="Q94">
            <v>95</v>
          </cell>
          <cell r="T94">
            <v>924</v>
          </cell>
        </row>
        <row r="95">
          <cell r="A95" t="str">
            <v>166A</v>
          </cell>
          <cell r="B95" t="str">
            <v>69A</v>
          </cell>
          <cell r="G95" t="str">
            <v>ANGEL HORACIO BARRIOS HERNANDEZ</v>
          </cell>
          <cell r="Q95">
            <v>95</v>
          </cell>
          <cell r="T95">
            <v>4638</v>
          </cell>
        </row>
        <row r="96">
          <cell r="A96">
            <v>167</v>
          </cell>
          <cell r="B96">
            <v>70</v>
          </cell>
          <cell r="G96" t="str">
            <v>YEISON ALEJANDRO  HINESTROZA PARRA</v>
          </cell>
          <cell r="Q96">
            <v>96</v>
          </cell>
          <cell r="T96">
            <v>943</v>
          </cell>
        </row>
        <row r="97">
          <cell r="A97">
            <v>168</v>
          </cell>
          <cell r="B97">
            <v>71</v>
          </cell>
          <cell r="G97" t="str">
            <v xml:space="preserve">CRISTINA RAMIREZ MORALES </v>
          </cell>
          <cell r="Q97">
            <v>97</v>
          </cell>
          <cell r="T97">
            <v>946</v>
          </cell>
        </row>
        <row r="98">
          <cell r="A98">
            <v>169</v>
          </cell>
          <cell r="B98">
            <v>72</v>
          </cell>
          <cell r="G98" t="str">
            <v xml:space="preserve">DIEGO ALEXANDER LOPERA GIRALDO </v>
          </cell>
          <cell r="Q98">
            <v>98</v>
          </cell>
          <cell r="T98">
            <v>980</v>
          </cell>
        </row>
        <row r="99">
          <cell r="A99">
            <v>170</v>
          </cell>
          <cell r="B99">
            <v>73</v>
          </cell>
          <cell r="G99" t="str">
            <v>CARLOS JOVANNY GARCIA CORDOBA</v>
          </cell>
          <cell r="Q99">
            <v>99</v>
          </cell>
          <cell r="T99">
            <v>1012</v>
          </cell>
        </row>
        <row r="100">
          <cell r="A100">
            <v>171</v>
          </cell>
          <cell r="B100">
            <v>74</v>
          </cell>
          <cell r="G100" t="str">
            <v>DANIEL CHAVERRA CHANCY</v>
          </cell>
          <cell r="Q100">
            <v>100</v>
          </cell>
          <cell r="T100">
            <v>963</v>
          </cell>
        </row>
        <row r="101">
          <cell r="A101">
            <v>172</v>
          </cell>
          <cell r="B101">
            <v>75</v>
          </cell>
          <cell r="G101" t="str">
            <v xml:space="preserve">LUIS JHONLEY MOSQUERA MURILLO </v>
          </cell>
          <cell r="Q101">
            <v>101</v>
          </cell>
          <cell r="T101">
            <v>1011</v>
          </cell>
        </row>
        <row r="102">
          <cell r="A102">
            <v>173</v>
          </cell>
          <cell r="B102">
            <v>76</v>
          </cell>
          <cell r="G102" t="str">
            <v xml:space="preserve">LIBARDO ANTONIO HOYOS CARMONA </v>
          </cell>
          <cell r="Q102">
            <v>102</v>
          </cell>
          <cell r="T102">
            <v>973</v>
          </cell>
        </row>
        <row r="103">
          <cell r="A103">
            <v>174</v>
          </cell>
          <cell r="B103">
            <v>77</v>
          </cell>
          <cell r="G103" t="str">
            <v>NASLI PEREA</v>
          </cell>
          <cell r="Q103">
            <v>103</v>
          </cell>
          <cell r="T103">
            <v>1048</v>
          </cell>
        </row>
        <row r="104">
          <cell r="A104">
            <v>175</v>
          </cell>
          <cell r="B104">
            <v>78</v>
          </cell>
          <cell r="G104" t="str">
            <v xml:space="preserve">RAUL DIAZ QUEJADA </v>
          </cell>
          <cell r="Q104">
            <v>104</v>
          </cell>
          <cell r="T104">
            <v>1013</v>
          </cell>
        </row>
        <row r="105">
          <cell r="A105">
            <v>176</v>
          </cell>
          <cell r="B105">
            <v>79</v>
          </cell>
          <cell r="G105" t="str">
            <v xml:space="preserve">REGLA SANDRINO IZQUIERDO </v>
          </cell>
          <cell r="Q105">
            <v>105</v>
          </cell>
          <cell r="T105">
            <v>972</v>
          </cell>
        </row>
        <row r="106">
          <cell r="A106">
            <v>177</v>
          </cell>
          <cell r="B106">
            <v>80</v>
          </cell>
          <cell r="G106" t="str">
            <v xml:space="preserve">HERNAN ALONSO OSORIO ESTRADA </v>
          </cell>
          <cell r="Q106">
            <v>106</v>
          </cell>
          <cell r="T106">
            <v>935</v>
          </cell>
        </row>
        <row r="107">
          <cell r="A107">
            <v>178</v>
          </cell>
          <cell r="B107">
            <v>81</v>
          </cell>
          <cell r="G107" t="str">
            <v xml:space="preserve">LUIS ALFONSO VARELA </v>
          </cell>
          <cell r="Q107">
            <v>107</v>
          </cell>
          <cell r="T107">
            <v>959</v>
          </cell>
        </row>
        <row r="108">
          <cell r="A108">
            <v>179</v>
          </cell>
          <cell r="B108">
            <v>82</v>
          </cell>
          <cell r="G108" t="str">
            <v xml:space="preserve">YEFFERSON CORREA CANO </v>
          </cell>
          <cell r="Q108">
            <v>108</v>
          </cell>
          <cell r="T108">
            <v>1000</v>
          </cell>
        </row>
        <row r="109">
          <cell r="A109">
            <v>180</v>
          </cell>
          <cell r="B109">
            <v>83</v>
          </cell>
          <cell r="G109" t="str">
            <v xml:space="preserve">JOHN ALEXANDER HOYOS OCAMPO </v>
          </cell>
          <cell r="Q109">
            <v>109</v>
          </cell>
          <cell r="T109">
            <v>1020</v>
          </cell>
        </row>
        <row r="110">
          <cell r="A110">
            <v>181</v>
          </cell>
          <cell r="B110">
            <v>84</v>
          </cell>
          <cell r="G110" t="str">
            <v xml:space="preserve">CESAR AUGUSTO ARIAS TORO </v>
          </cell>
          <cell r="Q110">
            <v>110</v>
          </cell>
          <cell r="T110">
            <v>923</v>
          </cell>
        </row>
        <row r="111">
          <cell r="A111">
            <v>182</v>
          </cell>
          <cell r="B111">
            <v>85</v>
          </cell>
          <cell r="G111" t="str">
            <v>MOISES ALFREDO REQUEÑA PINA</v>
          </cell>
          <cell r="Q111">
            <v>111</v>
          </cell>
          <cell r="T111">
            <v>1022</v>
          </cell>
        </row>
        <row r="112">
          <cell r="A112">
            <v>183</v>
          </cell>
          <cell r="B112">
            <v>86</v>
          </cell>
          <cell r="G112" t="str">
            <v xml:space="preserve">EMANUEL HOYOS VICTORIA </v>
          </cell>
          <cell r="Q112">
            <v>112</v>
          </cell>
          <cell r="T112">
            <v>1024</v>
          </cell>
        </row>
        <row r="113">
          <cell r="A113">
            <v>184</v>
          </cell>
          <cell r="B113">
            <v>87</v>
          </cell>
          <cell r="G113" t="str">
            <v xml:space="preserve">IVAN DE JESUS  DUQUE ARANGO </v>
          </cell>
          <cell r="Q113">
            <v>113</v>
          </cell>
          <cell r="T113">
            <v>928</v>
          </cell>
        </row>
        <row r="114">
          <cell r="A114">
            <v>185</v>
          </cell>
          <cell r="B114">
            <v>88</v>
          </cell>
          <cell r="G114" t="str">
            <v>JOSE MIGUEL DUQUE ARANGO</v>
          </cell>
          <cell r="Q114">
            <v>114</v>
          </cell>
          <cell r="T114">
            <v>926</v>
          </cell>
        </row>
        <row r="115">
          <cell r="A115">
            <v>186</v>
          </cell>
          <cell r="B115">
            <v>89</v>
          </cell>
          <cell r="G115" t="str">
            <v>JONATHAN NICOLAS SIERRA RAMIREZ</v>
          </cell>
          <cell r="Q115">
            <v>115</v>
          </cell>
          <cell r="T115">
            <v>1023</v>
          </cell>
        </row>
        <row r="116">
          <cell r="A116">
            <v>187</v>
          </cell>
          <cell r="B116">
            <v>90</v>
          </cell>
          <cell r="G116" t="str">
            <v xml:space="preserve">JUAN DAVID CORTES AGUDELO </v>
          </cell>
          <cell r="Q116">
            <v>116</v>
          </cell>
          <cell r="T116">
            <v>969</v>
          </cell>
        </row>
        <row r="117">
          <cell r="A117">
            <v>188</v>
          </cell>
          <cell r="B117">
            <v>91</v>
          </cell>
          <cell r="G117" t="str">
            <v>OSCAR WILLINTONG ORTIZ VELASQUEZ</v>
          </cell>
          <cell r="Q117">
            <v>131</v>
          </cell>
          <cell r="T117">
            <v>934</v>
          </cell>
        </row>
        <row r="118">
          <cell r="A118">
            <v>189</v>
          </cell>
          <cell r="B118">
            <v>92</v>
          </cell>
          <cell r="G118" t="str">
            <v>ABELARDO PARRA LEMOS</v>
          </cell>
          <cell r="Q118">
            <v>117</v>
          </cell>
          <cell r="T118">
            <v>932</v>
          </cell>
        </row>
        <row r="119">
          <cell r="A119">
            <v>190</v>
          </cell>
          <cell r="B119">
            <v>93</v>
          </cell>
          <cell r="G119" t="str">
            <v>BEIBIS ANTONIO MENDOZA POLO</v>
          </cell>
          <cell r="Q119">
            <v>118</v>
          </cell>
          <cell r="T119">
            <v>979</v>
          </cell>
        </row>
        <row r="120">
          <cell r="A120">
            <v>191</v>
          </cell>
          <cell r="B120">
            <v>94</v>
          </cell>
          <cell r="G120" t="str">
            <v>VICTOR MANUEL ALBORNOZ MENA</v>
          </cell>
          <cell r="Q120">
            <v>119</v>
          </cell>
          <cell r="T120">
            <v>976</v>
          </cell>
        </row>
        <row r="121">
          <cell r="A121">
            <v>192</v>
          </cell>
          <cell r="B121">
            <v>95</v>
          </cell>
          <cell r="G121" t="str">
            <v>CAROLINA ACEVEDO JIMENEZ</v>
          </cell>
          <cell r="Q121">
            <v>120</v>
          </cell>
          <cell r="T121">
            <v>981</v>
          </cell>
        </row>
        <row r="122">
          <cell r="A122">
            <v>193</v>
          </cell>
          <cell r="B122">
            <v>96</v>
          </cell>
          <cell r="G122" t="str">
            <v>JULIO YOANDI PEREZ MARTINEZ</v>
          </cell>
          <cell r="Q122">
            <v>121</v>
          </cell>
          <cell r="T122">
            <v>941</v>
          </cell>
        </row>
        <row r="123">
          <cell r="A123">
            <v>194</v>
          </cell>
          <cell r="B123">
            <v>97</v>
          </cell>
          <cell r="G123" t="str">
            <v>SHARA STEFANIA MUNERA PULGARIN</v>
          </cell>
          <cell r="Q123">
            <v>122</v>
          </cell>
          <cell r="T123">
            <v>954</v>
          </cell>
        </row>
        <row r="124">
          <cell r="A124">
            <v>195</v>
          </cell>
          <cell r="B124">
            <v>98</v>
          </cell>
          <cell r="G124" t="str">
            <v xml:space="preserve">DIANA MARIA URAN SALAZAR </v>
          </cell>
          <cell r="Q124">
            <v>123</v>
          </cell>
          <cell r="T124">
            <v>975</v>
          </cell>
        </row>
        <row r="125">
          <cell r="A125">
            <v>196</v>
          </cell>
          <cell r="B125">
            <v>99</v>
          </cell>
          <cell r="G125" t="str">
            <v>DIEGO FERNANDO GOMEZ VANEGAS</v>
          </cell>
          <cell r="Q125">
            <v>124</v>
          </cell>
          <cell r="T125">
            <v>1026</v>
          </cell>
        </row>
        <row r="126">
          <cell r="A126">
            <v>197</v>
          </cell>
          <cell r="B126">
            <v>100</v>
          </cell>
          <cell r="G126" t="str">
            <v>JUAN FERNANDO MESA RIVERA</v>
          </cell>
          <cell r="Q126">
            <v>125</v>
          </cell>
          <cell r="T126">
            <v>1017</v>
          </cell>
        </row>
        <row r="127">
          <cell r="A127">
            <v>198</v>
          </cell>
          <cell r="B127">
            <v>101</v>
          </cell>
          <cell r="G127" t="str">
            <v>CESAR ARNOLFO DELGADO ALARCON</v>
          </cell>
          <cell r="Q127">
            <v>126</v>
          </cell>
          <cell r="T127">
            <v>1019</v>
          </cell>
        </row>
        <row r="128">
          <cell r="A128">
            <v>199</v>
          </cell>
          <cell r="B128">
            <v>102</v>
          </cell>
          <cell r="G128" t="str">
            <v>JOSE NEBER ARIAS MENDEZ</v>
          </cell>
          <cell r="Q128">
            <v>127</v>
          </cell>
          <cell r="T128">
            <v>1039</v>
          </cell>
        </row>
        <row r="129">
          <cell r="A129">
            <v>200</v>
          </cell>
          <cell r="B129">
            <v>103</v>
          </cell>
          <cell r="G129" t="str">
            <v>DIANA CAROLINA SALDARRIAGA BUSTAMANTE</v>
          </cell>
          <cell r="Q129">
            <v>128</v>
          </cell>
          <cell r="T129">
            <v>964</v>
          </cell>
        </row>
        <row r="130">
          <cell r="A130">
            <v>201</v>
          </cell>
          <cell r="B130">
            <v>104</v>
          </cell>
          <cell r="G130" t="str">
            <v xml:space="preserve">MAURICIO GIRALDO VILLA </v>
          </cell>
          <cell r="Q130">
            <v>129</v>
          </cell>
          <cell r="T130">
            <v>965</v>
          </cell>
        </row>
        <row r="131">
          <cell r="A131">
            <v>202</v>
          </cell>
          <cell r="B131">
            <v>105</v>
          </cell>
          <cell r="G131" t="str">
            <v xml:space="preserve">RICHARD LEON VIZCAYA </v>
          </cell>
          <cell r="Q131">
            <v>130</v>
          </cell>
          <cell r="T131">
            <v>1030</v>
          </cell>
        </row>
        <row r="132">
          <cell r="A132">
            <v>203</v>
          </cell>
          <cell r="B132">
            <v>106</v>
          </cell>
          <cell r="G132" t="str">
            <v>WALTER SALDARRIAGA MONSALVE</v>
          </cell>
          <cell r="Q132">
            <v>132</v>
          </cell>
          <cell r="T132">
            <v>986</v>
          </cell>
        </row>
        <row r="133">
          <cell r="A133">
            <v>204</v>
          </cell>
          <cell r="B133">
            <v>107</v>
          </cell>
          <cell r="G133" t="str">
            <v xml:space="preserve">TATIANA LEON VALENCIA </v>
          </cell>
          <cell r="Q133">
            <v>133</v>
          </cell>
          <cell r="T133">
            <v>925</v>
          </cell>
        </row>
        <row r="134">
          <cell r="A134">
            <v>206</v>
          </cell>
          <cell r="B134">
            <v>108</v>
          </cell>
          <cell r="G134" t="str">
            <v xml:space="preserve">DIEGO ANDRÉS POSADA GIRALDO </v>
          </cell>
          <cell r="Q134">
            <v>135</v>
          </cell>
          <cell r="T134">
            <v>938</v>
          </cell>
        </row>
        <row r="135">
          <cell r="A135">
            <v>207</v>
          </cell>
          <cell r="B135">
            <v>109</v>
          </cell>
          <cell r="G135" t="str">
            <v xml:space="preserve">JUAN SEBASTIAN GIRALDO RAMIREZ </v>
          </cell>
          <cell r="Q135">
            <v>136</v>
          </cell>
          <cell r="T135">
            <v>1032</v>
          </cell>
        </row>
        <row r="136">
          <cell r="A136">
            <v>208</v>
          </cell>
          <cell r="B136">
            <v>110</v>
          </cell>
          <cell r="G136" t="str">
            <v>DAVID ORLANDO JARAMILLO GOMEZ</v>
          </cell>
          <cell r="Q136">
            <v>137</v>
          </cell>
          <cell r="T136">
            <v>966</v>
          </cell>
        </row>
        <row r="137">
          <cell r="A137">
            <v>210</v>
          </cell>
          <cell r="B137">
            <v>111</v>
          </cell>
          <cell r="G137" t="str">
            <v xml:space="preserve">YEFREY ALEJANDRO JARAMILLO CEBALLOS </v>
          </cell>
          <cell r="Q137">
            <v>138</v>
          </cell>
          <cell r="T137">
            <v>967</v>
          </cell>
        </row>
        <row r="138">
          <cell r="A138">
            <v>212</v>
          </cell>
          <cell r="B138">
            <v>112</v>
          </cell>
          <cell r="G138" t="str">
            <v xml:space="preserve">PEDRO MANUEL HERNANDEZ </v>
          </cell>
          <cell r="Q138">
            <v>140</v>
          </cell>
          <cell r="T138">
            <v>1047</v>
          </cell>
        </row>
        <row r="139">
          <cell r="A139">
            <v>213</v>
          </cell>
          <cell r="B139">
            <v>113</v>
          </cell>
          <cell r="G139" t="str">
            <v xml:space="preserve">JAIRO ANIBAL COSSIO ZAPATA </v>
          </cell>
          <cell r="Q139">
            <v>141</v>
          </cell>
          <cell r="T139">
            <v>955</v>
          </cell>
        </row>
        <row r="140">
          <cell r="A140">
            <v>214</v>
          </cell>
          <cell r="B140">
            <v>114</v>
          </cell>
          <cell r="G140" t="str">
            <v xml:space="preserve">JUAN FRANCISCO RUIZ MORELOS </v>
          </cell>
          <cell r="Q140">
            <v>142</v>
          </cell>
          <cell r="T140">
            <v>929</v>
          </cell>
        </row>
        <row r="141">
          <cell r="A141">
            <v>215</v>
          </cell>
          <cell r="B141">
            <v>115</v>
          </cell>
          <cell r="G141" t="str">
            <v xml:space="preserve">LUIS CARLOS SANTAMARIA OSUNA </v>
          </cell>
          <cell r="Q141">
            <v>143</v>
          </cell>
          <cell r="T141">
            <v>947</v>
          </cell>
        </row>
        <row r="142">
          <cell r="A142">
            <v>216</v>
          </cell>
          <cell r="B142">
            <v>116</v>
          </cell>
          <cell r="G142" t="str">
            <v xml:space="preserve">MARTHA CECILIA PEMBERTY </v>
          </cell>
          <cell r="Q142">
            <v>144</v>
          </cell>
          <cell r="T142">
            <v>1041</v>
          </cell>
        </row>
        <row r="143">
          <cell r="A143">
            <v>217</v>
          </cell>
          <cell r="B143">
            <v>117</v>
          </cell>
          <cell r="G143" t="str">
            <v xml:space="preserve">JONATHAN ALBERTO OJEDA LEÓN </v>
          </cell>
          <cell r="Q143">
            <v>145</v>
          </cell>
          <cell r="T143">
            <v>1003</v>
          </cell>
        </row>
        <row r="144">
          <cell r="A144">
            <v>218</v>
          </cell>
          <cell r="B144">
            <v>118</v>
          </cell>
          <cell r="G144" t="str">
            <v>RONALD LUNA PARTERNINA</v>
          </cell>
          <cell r="Q144">
            <v>146</v>
          </cell>
          <cell r="T144">
            <v>974</v>
          </cell>
        </row>
        <row r="145">
          <cell r="A145">
            <v>219</v>
          </cell>
          <cell r="B145">
            <v>119</v>
          </cell>
          <cell r="G145" t="str">
            <v>BENJAMIN DE JESUS LAVERDE SEGURO</v>
          </cell>
          <cell r="Q145">
            <v>147</v>
          </cell>
          <cell r="T145">
            <v>987</v>
          </cell>
        </row>
        <row r="146">
          <cell r="A146">
            <v>220</v>
          </cell>
          <cell r="B146">
            <v>120</v>
          </cell>
          <cell r="G146" t="str">
            <v xml:space="preserve">CESAR AUGUSTO ACEVEDO ARANGO </v>
          </cell>
          <cell r="Q146">
            <v>148</v>
          </cell>
          <cell r="T146">
            <v>1021</v>
          </cell>
        </row>
        <row r="147">
          <cell r="A147">
            <v>221</v>
          </cell>
          <cell r="B147">
            <v>121</v>
          </cell>
          <cell r="G147" t="str">
            <v xml:space="preserve">HECTOR HERNANDO PEREZ MUÑOZ </v>
          </cell>
          <cell r="Q147">
            <v>149</v>
          </cell>
          <cell r="T147">
            <v>978</v>
          </cell>
        </row>
        <row r="148">
          <cell r="A148">
            <v>222</v>
          </cell>
          <cell r="B148">
            <v>122</v>
          </cell>
          <cell r="G148" t="str">
            <v>JOHN JAIME GONZALEZ JIMENEZ</v>
          </cell>
          <cell r="Q148">
            <v>150</v>
          </cell>
          <cell r="T148">
            <v>990</v>
          </cell>
        </row>
        <row r="149">
          <cell r="A149">
            <v>223</v>
          </cell>
          <cell r="B149">
            <v>123</v>
          </cell>
          <cell r="G149" t="str">
            <v xml:space="preserve">JORGE WILSON JARAMILLO CEBALLOS </v>
          </cell>
          <cell r="Q149">
            <v>151</v>
          </cell>
          <cell r="T149">
            <v>989</v>
          </cell>
        </row>
        <row r="150">
          <cell r="A150">
            <v>224</v>
          </cell>
          <cell r="B150">
            <v>124</v>
          </cell>
          <cell r="G150" t="str">
            <v xml:space="preserve">CARLOS ALBERTO OROZCO SÁNCHEZ </v>
          </cell>
          <cell r="Q150">
            <v>152</v>
          </cell>
          <cell r="T150">
            <v>1025</v>
          </cell>
        </row>
        <row r="151">
          <cell r="A151">
            <v>225</v>
          </cell>
          <cell r="B151">
            <v>125</v>
          </cell>
          <cell r="G151" t="str">
            <v>CLAUDIA ANDREA ARENAS CASTAÑO</v>
          </cell>
          <cell r="Q151">
            <v>153</v>
          </cell>
          <cell r="T151">
            <v>1036</v>
          </cell>
        </row>
        <row r="152">
          <cell r="A152">
            <v>226</v>
          </cell>
          <cell r="B152">
            <v>126</v>
          </cell>
          <cell r="G152" t="str">
            <v>OSCAR ALIRIO URREGO CARTAGENA</v>
          </cell>
          <cell r="Q152">
            <v>154</v>
          </cell>
          <cell r="T152">
            <v>1027</v>
          </cell>
        </row>
        <row r="153">
          <cell r="A153">
            <v>227</v>
          </cell>
          <cell r="B153">
            <v>127</v>
          </cell>
          <cell r="G153" t="str">
            <v>FREDY JOSE BARON MUÑOZ</v>
          </cell>
          <cell r="Q153">
            <v>155</v>
          </cell>
          <cell r="T153">
            <v>982</v>
          </cell>
        </row>
        <row r="154">
          <cell r="A154">
            <v>228</v>
          </cell>
          <cell r="B154">
            <v>128</v>
          </cell>
          <cell r="G154" t="str">
            <v xml:space="preserve">MONICA MARIA PICON VALENCIA </v>
          </cell>
          <cell r="Q154">
            <v>156</v>
          </cell>
          <cell r="T154">
            <v>983</v>
          </cell>
        </row>
        <row r="155">
          <cell r="A155">
            <v>229</v>
          </cell>
          <cell r="B155">
            <v>129</v>
          </cell>
          <cell r="G155" t="str">
            <v>JAIME ALONSO RESTREPO ESTRADA</v>
          </cell>
          <cell r="Q155">
            <v>157</v>
          </cell>
          <cell r="T155">
            <v>1028</v>
          </cell>
        </row>
        <row r="156">
          <cell r="A156">
            <v>232</v>
          </cell>
          <cell r="B156">
            <v>130</v>
          </cell>
          <cell r="G156" t="str">
            <v>ANGEL AUGUSTO ARRIETA ARTEAGA</v>
          </cell>
          <cell r="Q156">
            <v>160</v>
          </cell>
          <cell r="T156">
            <v>985</v>
          </cell>
        </row>
        <row r="157">
          <cell r="A157">
            <v>233</v>
          </cell>
          <cell r="B157">
            <v>131</v>
          </cell>
          <cell r="G157" t="str">
            <v xml:space="preserve">EMMANUEL VELÁSQUEZ ALZATE </v>
          </cell>
          <cell r="Q157">
            <v>161</v>
          </cell>
          <cell r="T157">
            <v>988</v>
          </cell>
        </row>
        <row r="158">
          <cell r="A158">
            <v>234</v>
          </cell>
          <cell r="B158">
            <v>132</v>
          </cell>
          <cell r="G158" t="str">
            <v xml:space="preserve">MARIA CAMILA CRESPO SALAZAR </v>
          </cell>
          <cell r="Q158">
            <v>162</v>
          </cell>
          <cell r="T158">
            <v>1004</v>
          </cell>
        </row>
        <row r="159">
          <cell r="A159">
            <v>235</v>
          </cell>
          <cell r="B159">
            <v>133</v>
          </cell>
          <cell r="G159" t="str">
            <v xml:space="preserve">JOSE FERNANDO GOMEZ GIRALDO </v>
          </cell>
          <cell r="Q159">
            <v>163</v>
          </cell>
          <cell r="T159">
            <v>1014</v>
          </cell>
        </row>
        <row r="160">
          <cell r="A160">
            <v>236</v>
          </cell>
          <cell r="B160">
            <v>134</v>
          </cell>
          <cell r="G160" t="str">
            <v xml:space="preserve">ALVARO DUBAN MUÑOZ ECHEVERRI </v>
          </cell>
          <cell r="Q160">
            <v>164</v>
          </cell>
          <cell r="T160">
            <v>1043</v>
          </cell>
        </row>
        <row r="161">
          <cell r="A161">
            <v>237</v>
          </cell>
          <cell r="B161">
            <v>135</v>
          </cell>
          <cell r="G161" t="str">
            <v>JUAN RUEDA VARGAS</v>
          </cell>
          <cell r="Q161">
            <v>165</v>
          </cell>
          <cell r="T161">
            <v>1016</v>
          </cell>
        </row>
        <row r="162">
          <cell r="A162">
            <v>238</v>
          </cell>
          <cell r="B162">
            <v>136</v>
          </cell>
          <cell r="G162" t="str">
            <v xml:space="preserve">URIEL GIL RENDON </v>
          </cell>
          <cell r="Q162">
            <v>166</v>
          </cell>
          <cell r="T162">
            <v>1029</v>
          </cell>
        </row>
        <row r="163">
          <cell r="A163">
            <v>240</v>
          </cell>
          <cell r="B163">
            <v>137</v>
          </cell>
          <cell r="G163" t="str">
            <v xml:space="preserve">JOHN ALEJANDRO MACIAS GIL </v>
          </cell>
          <cell r="Q163">
            <v>168</v>
          </cell>
          <cell r="T163">
            <v>1046</v>
          </cell>
        </row>
        <row r="164">
          <cell r="A164">
            <v>241</v>
          </cell>
          <cell r="B164">
            <v>138</v>
          </cell>
          <cell r="G164" t="str">
            <v>MIGUEL ANGEL ORTIZ MORENO</v>
          </cell>
          <cell r="Q164">
            <v>169</v>
          </cell>
          <cell r="T164">
            <v>1050</v>
          </cell>
        </row>
        <row r="165">
          <cell r="A165">
            <v>242</v>
          </cell>
          <cell r="B165">
            <v>139</v>
          </cell>
          <cell r="G165" t="str">
            <v xml:space="preserve">JAIR MANUEL GIL DIAZ </v>
          </cell>
          <cell r="Q165">
            <v>170</v>
          </cell>
          <cell r="T165">
            <v>996</v>
          </cell>
        </row>
        <row r="166">
          <cell r="A166">
            <v>243</v>
          </cell>
          <cell r="B166">
            <v>140</v>
          </cell>
          <cell r="G166" t="str">
            <v xml:space="preserve">DIEGO ALEJANDRO MEDINA GOMEZ </v>
          </cell>
          <cell r="Q166">
            <v>171</v>
          </cell>
          <cell r="T166">
            <v>1033</v>
          </cell>
        </row>
        <row r="167">
          <cell r="A167">
            <v>244</v>
          </cell>
          <cell r="B167">
            <v>141</v>
          </cell>
          <cell r="G167" t="str">
            <v>KATISH HIDARI RECALDE CAMPOS</v>
          </cell>
          <cell r="Q167">
            <v>172</v>
          </cell>
          <cell r="T167">
            <v>1005</v>
          </cell>
        </row>
        <row r="168">
          <cell r="A168">
            <v>245</v>
          </cell>
          <cell r="B168">
            <v>142</v>
          </cell>
          <cell r="G168" t="str">
            <v xml:space="preserve">LAISY FONSECA RAMIREZ </v>
          </cell>
          <cell r="Q168">
            <v>173</v>
          </cell>
          <cell r="T168">
            <v>1049</v>
          </cell>
        </row>
        <row r="169">
          <cell r="A169">
            <v>246</v>
          </cell>
          <cell r="B169">
            <v>143</v>
          </cell>
          <cell r="G169" t="str">
            <v xml:space="preserve">LEONARDO FABIO GONZALEZ GARCIA </v>
          </cell>
          <cell r="Q169">
            <v>174</v>
          </cell>
          <cell r="T169">
            <v>1038</v>
          </cell>
        </row>
        <row r="170">
          <cell r="A170">
            <v>247</v>
          </cell>
          <cell r="B170">
            <v>144</v>
          </cell>
          <cell r="G170" t="str">
            <v xml:space="preserve">JUAN CARLOS MONTOYA URIBE </v>
          </cell>
          <cell r="Q170">
            <v>175</v>
          </cell>
          <cell r="T170">
            <v>1007</v>
          </cell>
        </row>
        <row r="171">
          <cell r="A171">
            <v>248</v>
          </cell>
          <cell r="B171">
            <v>145</v>
          </cell>
          <cell r="G171" t="str">
            <v>DAVID FELIPE CONTRERAS CONTRERAS</v>
          </cell>
          <cell r="Q171">
            <v>176</v>
          </cell>
          <cell r="T171">
            <v>1035</v>
          </cell>
        </row>
        <row r="172">
          <cell r="A172">
            <v>249</v>
          </cell>
          <cell r="B172">
            <v>146</v>
          </cell>
          <cell r="G172" t="str">
            <v xml:space="preserve">JUAN CAMILO CARDENAS ZAPATA </v>
          </cell>
          <cell r="Q172">
            <v>177</v>
          </cell>
          <cell r="T172">
            <v>997</v>
          </cell>
        </row>
        <row r="173">
          <cell r="A173">
            <v>250</v>
          </cell>
          <cell r="B173">
            <v>147</v>
          </cell>
          <cell r="G173" t="str">
            <v xml:space="preserve">ANYELA MARCELA RIVAS MORENO </v>
          </cell>
          <cell r="Q173">
            <v>178</v>
          </cell>
          <cell r="T173">
            <v>1042</v>
          </cell>
        </row>
        <row r="174">
          <cell r="A174">
            <v>251</v>
          </cell>
          <cell r="B174">
            <v>148</v>
          </cell>
          <cell r="G174" t="str">
            <v>LUIS ESTEBAN AGUIRRE ESTRADA</v>
          </cell>
          <cell r="Q174">
            <v>179</v>
          </cell>
          <cell r="T174">
            <v>1052</v>
          </cell>
        </row>
        <row r="175">
          <cell r="A175">
            <v>252</v>
          </cell>
          <cell r="B175">
            <v>149</v>
          </cell>
          <cell r="G175" t="str">
            <v xml:space="preserve">HENRY JOHNADER PANESSO RIVERA </v>
          </cell>
          <cell r="Q175">
            <v>180</v>
          </cell>
          <cell r="T175">
            <v>977</v>
          </cell>
        </row>
        <row r="176">
          <cell r="A176">
            <v>253</v>
          </cell>
          <cell r="B176">
            <v>150</v>
          </cell>
          <cell r="G176" t="str">
            <v xml:space="preserve">ESTEBAN ALBERTO VALDERRAMA QUICEÑO </v>
          </cell>
          <cell r="Q176">
            <v>181</v>
          </cell>
          <cell r="T176">
            <v>949</v>
          </cell>
        </row>
        <row r="177">
          <cell r="A177">
            <v>254</v>
          </cell>
          <cell r="B177">
            <v>151</v>
          </cell>
          <cell r="G177" t="str">
            <v>DAVID ARENAS VANEGAS</v>
          </cell>
          <cell r="Q177">
            <v>182</v>
          </cell>
          <cell r="T177">
            <v>1045</v>
          </cell>
        </row>
        <row r="178">
          <cell r="A178">
            <v>256</v>
          </cell>
          <cell r="B178">
            <v>152</v>
          </cell>
          <cell r="G178" t="str">
            <v>JUAN CARLOS BARCO CARDONA</v>
          </cell>
          <cell r="Q178">
            <v>184</v>
          </cell>
          <cell r="T178">
            <v>998</v>
          </cell>
        </row>
        <row r="179">
          <cell r="A179">
            <v>257</v>
          </cell>
          <cell r="B179">
            <v>153</v>
          </cell>
          <cell r="G179" t="str">
            <v>JUAN FRANCISCO MENDEZ PARDO</v>
          </cell>
          <cell r="Q179">
            <v>185</v>
          </cell>
          <cell r="T179">
            <v>1034</v>
          </cell>
        </row>
        <row r="180">
          <cell r="A180">
            <v>258</v>
          </cell>
          <cell r="B180">
            <v>154</v>
          </cell>
          <cell r="G180" t="str">
            <v xml:space="preserve">IVAN ALEJANDRO VARGAS LOPERA </v>
          </cell>
          <cell r="Q180">
            <v>186</v>
          </cell>
          <cell r="T180">
            <v>991</v>
          </cell>
        </row>
        <row r="181">
          <cell r="A181">
            <v>571</v>
          </cell>
          <cell r="B181">
            <v>154</v>
          </cell>
          <cell r="G181" t="str">
            <v xml:space="preserve">IVAN ALEJANDRO VARGAS LOPERA </v>
          </cell>
          <cell r="Q181">
            <v>267</v>
          </cell>
          <cell r="T181">
            <v>2223</v>
          </cell>
        </row>
        <row r="182">
          <cell r="A182">
            <v>259</v>
          </cell>
          <cell r="B182">
            <v>155</v>
          </cell>
          <cell r="G182" t="str">
            <v xml:space="preserve">OSCAR ALEJANDRO RIVERA BUITRAGO </v>
          </cell>
          <cell r="Q182">
            <v>187</v>
          </cell>
          <cell r="T182">
            <v>1001</v>
          </cell>
        </row>
        <row r="183">
          <cell r="A183">
            <v>260</v>
          </cell>
          <cell r="B183">
            <v>156</v>
          </cell>
          <cell r="G183" t="str">
            <v xml:space="preserve">SEBASTIAN MONTOYA ARANGO </v>
          </cell>
          <cell r="Q183">
            <v>188</v>
          </cell>
          <cell r="T183">
            <v>1010</v>
          </cell>
        </row>
        <row r="184">
          <cell r="A184">
            <v>261</v>
          </cell>
          <cell r="B184">
            <v>157</v>
          </cell>
          <cell r="G184" t="str">
            <v>SULMA SHIRLEY LAGUAN CUBIDES</v>
          </cell>
          <cell r="Q184">
            <v>189</v>
          </cell>
          <cell r="T184">
            <v>1015</v>
          </cell>
        </row>
        <row r="185">
          <cell r="A185">
            <v>262</v>
          </cell>
          <cell r="B185">
            <v>158</v>
          </cell>
          <cell r="G185" t="str">
            <v xml:space="preserve">SANTIAGO MONTOYA ARTEAGA </v>
          </cell>
          <cell r="Q185">
            <v>190</v>
          </cell>
          <cell r="T185">
            <v>1031</v>
          </cell>
        </row>
        <row r="186">
          <cell r="A186">
            <v>263</v>
          </cell>
          <cell r="B186">
            <v>159</v>
          </cell>
          <cell r="G186" t="str">
            <v>FREDY ALEXANDER URIBE HENAO</v>
          </cell>
          <cell r="Q186">
            <v>191</v>
          </cell>
          <cell r="T186">
            <v>950</v>
          </cell>
        </row>
        <row r="187">
          <cell r="A187">
            <v>264</v>
          </cell>
          <cell r="B187">
            <v>160</v>
          </cell>
          <cell r="G187" t="str">
            <v>DIEGO ALEJANCRO TORRES TORRES</v>
          </cell>
          <cell r="Q187">
            <v>192</v>
          </cell>
          <cell r="T187">
            <v>999</v>
          </cell>
        </row>
        <row r="188">
          <cell r="A188">
            <v>265</v>
          </cell>
          <cell r="B188">
            <v>161</v>
          </cell>
          <cell r="G188" t="str">
            <v xml:space="preserve">SERGIO ANDRES GIRALDO ARISTIZABAL </v>
          </cell>
          <cell r="Q188">
            <v>193</v>
          </cell>
          <cell r="T188">
            <v>1037</v>
          </cell>
        </row>
        <row r="189">
          <cell r="A189">
            <v>266</v>
          </cell>
          <cell r="B189">
            <v>162</v>
          </cell>
          <cell r="G189" t="str">
            <v xml:space="preserve">CARLOS ENRIQUE PLATA BUSTAMANTE </v>
          </cell>
          <cell r="Q189">
            <v>194</v>
          </cell>
          <cell r="T189">
            <v>1008</v>
          </cell>
        </row>
        <row r="190">
          <cell r="A190">
            <v>269</v>
          </cell>
          <cell r="B190">
            <v>163</v>
          </cell>
          <cell r="G190" t="str">
            <v xml:space="preserve">DIANA MARCELA AGUASACO RABA </v>
          </cell>
          <cell r="Q190">
            <v>197</v>
          </cell>
          <cell r="T190">
            <v>951</v>
          </cell>
        </row>
        <row r="191">
          <cell r="A191">
            <v>533</v>
          </cell>
          <cell r="B191">
            <v>164</v>
          </cell>
          <cell r="G191" t="str">
            <v>ESPERANZA PEÑARANDA PINEDA</v>
          </cell>
          <cell r="Q191">
            <v>206</v>
          </cell>
          <cell r="T191">
            <v>948</v>
          </cell>
        </row>
        <row r="192">
          <cell r="B192">
            <v>164</v>
          </cell>
          <cell r="G192" t="str">
            <v>LILIANA PATRICIA JIMENEZ OCAMPO</v>
          </cell>
          <cell r="T192" t="str">
            <v/>
          </cell>
        </row>
        <row r="193">
          <cell r="A193">
            <v>528</v>
          </cell>
          <cell r="B193">
            <v>165</v>
          </cell>
          <cell r="G193" t="str">
            <v xml:space="preserve">ANDRES JULIAN LONDOÑO </v>
          </cell>
          <cell r="Q193">
            <v>203</v>
          </cell>
          <cell r="T193">
            <v>1054</v>
          </cell>
        </row>
        <row r="194">
          <cell r="B194">
            <v>165</v>
          </cell>
          <cell r="G194" t="str">
            <v xml:space="preserve">WALTER ANDRES AGUDELO TOBÓN </v>
          </cell>
          <cell r="T194" t="str">
            <v/>
          </cell>
        </row>
        <row r="195">
          <cell r="A195">
            <v>62</v>
          </cell>
          <cell r="B195">
            <v>166</v>
          </cell>
          <cell r="G195" t="str">
            <v xml:space="preserve">FEDERICO SERNA CARDONA </v>
          </cell>
          <cell r="Q195">
            <v>211</v>
          </cell>
          <cell r="T195">
            <v>921</v>
          </cell>
        </row>
        <row r="196">
          <cell r="A196">
            <v>347</v>
          </cell>
          <cell r="B196">
            <v>167</v>
          </cell>
          <cell r="G196" t="str">
            <v>MARIA ALEJANDRA RENDON CORREA</v>
          </cell>
          <cell r="Q196">
            <v>224</v>
          </cell>
          <cell r="T196">
            <v>1169</v>
          </cell>
        </row>
        <row r="197">
          <cell r="A197">
            <v>619</v>
          </cell>
          <cell r="B197">
            <v>167</v>
          </cell>
          <cell r="G197" t="str">
            <v>MARIA ALEJANDRA RENDON CORREA</v>
          </cell>
          <cell r="Q197">
            <v>330</v>
          </cell>
          <cell r="T197">
            <v>4471</v>
          </cell>
        </row>
        <row r="198">
          <cell r="A198">
            <v>1120</v>
          </cell>
          <cell r="B198">
            <v>167</v>
          </cell>
          <cell r="G198" t="str">
            <v>MARIA ALEJANDRA RENDON CORREA</v>
          </cell>
          <cell r="Q198">
            <v>907</v>
          </cell>
          <cell r="T198">
            <v>9871</v>
          </cell>
        </row>
        <row r="199">
          <cell r="A199">
            <v>525</v>
          </cell>
          <cell r="B199">
            <v>168</v>
          </cell>
          <cell r="G199" t="str">
            <v xml:space="preserve">LENIS SORELY SUAREZ TOBON </v>
          </cell>
          <cell r="Q199">
            <v>208</v>
          </cell>
          <cell r="T199">
            <v>1289</v>
          </cell>
        </row>
        <row r="200">
          <cell r="A200" t="str">
            <v>N/A</v>
          </cell>
          <cell r="B200">
            <v>169</v>
          </cell>
          <cell r="G200" t="str">
            <v xml:space="preserve">JUAN DANIEL MOSQUERA PALACIO </v>
          </cell>
          <cell r="T200" t="str">
            <v/>
          </cell>
        </row>
        <row r="201">
          <cell r="A201">
            <v>47</v>
          </cell>
          <cell r="B201">
            <v>170</v>
          </cell>
          <cell r="G201" t="str">
            <v xml:space="preserve">JHON MARIO NONSOQUE GARCIA </v>
          </cell>
          <cell r="Q201">
            <v>214</v>
          </cell>
          <cell r="T201">
            <v>1168</v>
          </cell>
        </row>
        <row r="202">
          <cell r="A202">
            <v>529</v>
          </cell>
          <cell r="B202">
            <v>171</v>
          </cell>
          <cell r="G202" t="str">
            <v xml:space="preserve">MARIA CRISTINA OSORIO FRANCO </v>
          </cell>
          <cell r="Q202">
            <v>202</v>
          </cell>
          <cell r="T202">
            <v>1166</v>
          </cell>
        </row>
        <row r="203">
          <cell r="A203">
            <v>534</v>
          </cell>
          <cell r="B203">
            <v>172</v>
          </cell>
          <cell r="G203" t="str">
            <v xml:space="preserve">JULIAN DAVID OSPINA OSPINA </v>
          </cell>
          <cell r="Q203">
            <v>215</v>
          </cell>
          <cell r="T203">
            <v>1172</v>
          </cell>
        </row>
        <row r="204">
          <cell r="A204">
            <v>328</v>
          </cell>
          <cell r="B204">
            <v>173</v>
          </cell>
          <cell r="G204" t="str">
            <v>JUAN CAMILO VARGAS BERMUDEZ</v>
          </cell>
          <cell r="Q204">
            <v>227</v>
          </cell>
          <cell r="T204">
            <v>1163</v>
          </cell>
        </row>
        <row r="205">
          <cell r="A205">
            <v>45</v>
          </cell>
          <cell r="B205">
            <v>174</v>
          </cell>
          <cell r="G205" t="str">
            <v>SEBASTIAN MOLINA BERMUDEZ</v>
          </cell>
          <cell r="Q205">
            <v>233</v>
          </cell>
          <cell r="T205">
            <v>1173</v>
          </cell>
        </row>
        <row r="206">
          <cell r="A206">
            <v>543</v>
          </cell>
          <cell r="B206">
            <v>175</v>
          </cell>
          <cell r="G206" t="str">
            <v xml:space="preserve">OSCAR ALEJANDRO OSPINA BOHORQUEZ </v>
          </cell>
          <cell r="Q206">
            <v>232</v>
          </cell>
          <cell r="T206">
            <v>1299</v>
          </cell>
        </row>
        <row r="207">
          <cell r="A207">
            <v>1138</v>
          </cell>
          <cell r="B207">
            <v>175</v>
          </cell>
          <cell r="G207" t="str">
            <v xml:space="preserve">OSCAR ALEJANDRO OSPINA BOHORQUEZ </v>
          </cell>
          <cell r="Q207">
            <v>935</v>
          </cell>
          <cell r="T207">
            <v>9907</v>
          </cell>
        </row>
        <row r="208">
          <cell r="A208">
            <v>526</v>
          </cell>
          <cell r="B208">
            <v>176</v>
          </cell>
          <cell r="G208" t="str">
            <v xml:space="preserve">TATIANA LEANY GOMEZ JARAMILLO </v>
          </cell>
          <cell r="Q208">
            <v>209</v>
          </cell>
          <cell r="T208">
            <v>1171</v>
          </cell>
        </row>
        <row r="209">
          <cell r="A209">
            <v>527</v>
          </cell>
          <cell r="B209">
            <v>177</v>
          </cell>
          <cell r="G209" t="str">
            <v>ANA MILENA BERNAL GOMEZ</v>
          </cell>
          <cell r="Q209">
            <v>204</v>
          </cell>
          <cell r="T209">
            <v>1175</v>
          </cell>
        </row>
        <row r="210">
          <cell r="A210">
            <v>544</v>
          </cell>
          <cell r="B210">
            <v>178</v>
          </cell>
          <cell r="G210" t="str">
            <v xml:space="preserve">SANDRA MABEL SALAZAR ACEVEDO </v>
          </cell>
          <cell r="Q210">
            <v>231</v>
          </cell>
          <cell r="T210">
            <v>1291</v>
          </cell>
        </row>
        <row r="211">
          <cell r="A211">
            <v>1125</v>
          </cell>
          <cell r="B211">
            <v>178</v>
          </cell>
          <cell r="G211" t="str">
            <v xml:space="preserve">SANDRA MABEL SALAZAR ACEVEDO </v>
          </cell>
          <cell r="Q211">
            <v>931</v>
          </cell>
          <cell r="T211">
            <v>9877</v>
          </cell>
        </row>
        <row r="212">
          <cell r="A212">
            <v>535</v>
          </cell>
          <cell r="B212">
            <v>179</v>
          </cell>
          <cell r="G212" t="str">
            <v>JOHN JAIRO GUZMAN BENITEZ</v>
          </cell>
          <cell r="Q212">
            <v>220</v>
          </cell>
          <cell r="T212">
            <v>1284</v>
          </cell>
        </row>
        <row r="213">
          <cell r="A213">
            <v>60</v>
          </cell>
          <cell r="B213">
            <v>180</v>
          </cell>
          <cell r="G213" t="str">
            <v>CLAUDIA ELENA MOLINA GONZALEZ</v>
          </cell>
          <cell r="Q213">
            <v>210</v>
          </cell>
          <cell r="T213">
            <v>1176</v>
          </cell>
        </row>
        <row r="214">
          <cell r="A214">
            <v>541</v>
          </cell>
          <cell r="B214">
            <v>181</v>
          </cell>
          <cell r="G214" t="str">
            <v>DORA NANCY MARULANDA DIAZ</v>
          </cell>
          <cell r="Q214">
            <v>236</v>
          </cell>
          <cell r="T214">
            <v>1286</v>
          </cell>
        </row>
        <row r="215">
          <cell r="A215">
            <v>1112</v>
          </cell>
          <cell r="B215">
            <v>181</v>
          </cell>
          <cell r="G215" t="str">
            <v>DORA NANCY MARULANDA DIAZ</v>
          </cell>
          <cell r="Q215">
            <v>900</v>
          </cell>
          <cell r="T215">
            <v>9876</v>
          </cell>
        </row>
        <row r="216">
          <cell r="A216">
            <v>536</v>
          </cell>
          <cell r="B216">
            <v>182</v>
          </cell>
          <cell r="G216" t="str">
            <v xml:space="preserve">CECILIA ALZATE GOMEZ </v>
          </cell>
          <cell r="Q216">
            <v>225</v>
          </cell>
          <cell r="T216">
            <v>1282</v>
          </cell>
        </row>
        <row r="217">
          <cell r="A217">
            <v>537</v>
          </cell>
          <cell r="B217">
            <v>183</v>
          </cell>
          <cell r="G217" t="str">
            <v xml:space="preserve">RENTING DE ANTIOQUIA </v>
          </cell>
          <cell r="Q217">
            <v>244</v>
          </cell>
          <cell r="T217">
            <v>1292</v>
          </cell>
        </row>
        <row r="218">
          <cell r="A218">
            <v>531</v>
          </cell>
          <cell r="B218">
            <v>184</v>
          </cell>
          <cell r="G218" t="str">
            <v>ANA MARIA SERNA SORA</v>
          </cell>
          <cell r="Q218">
            <v>239</v>
          </cell>
          <cell r="T218">
            <v>1283</v>
          </cell>
        </row>
        <row r="219">
          <cell r="A219">
            <v>539</v>
          </cell>
          <cell r="B219">
            <v>185</v>
          </cell>
          <cell r="G219" t="str">
            <v xml:space="preserve">ALEJANDRO RODRIGUEZ HENAO </v>
          </cell>
          <cell r="Q219">
            <v>237</v>
          </cell>
          <cell r="T219">
            <v>1290</v>
          </cell>
        </row>
        <row r="220">
          <cell r="A220">
            <v>1127</v>
          </cell>
          <cell r="B220">
            <v>185</v>
          </cell>
          <cell r="G220" t="str">
            <v xml:space="preserve">ALEJANDRO RODRIGUEZ HENAO </v>
          </cell>
          <cell r="Q220">
            <v>930</v>
          </cell>
          <cell r="T220">
            <v>9867</v>
          </cell>
        </row>
        <row r="221">
          <cell r="A221">
            <v>532</v>
          </cell>
          <cell r="B221">
            <v>186</v>
          </cell>
          <cell r="G221" t="str">
            <v xml:space="preserve">MARISOL CABALLERO FONTECHA </v>
          </cell>
          <cell r="Q221">
            <v>200</v>
          </cell>
          <cell r="T221">
            <v>1297</v>
          </cell>
        </row>
        <row r="222">
          <cell r="A222">
            <v>542</v>
          </cell>
          <cell r="B222">
            <v>187</v>
          </cell>
          <cell r="G222" t="str">
            <v>EDWIN ALBERTO SALAZAR HERRERA</v>
          </cell>
          <cell r="Q222">
            <v>234</v>
          </cell>
          <cell r="T222">
            <v>1306</v>
          </cell>
        </row>
        <row r="223">
          <cell r="A223">
            <v>324</v>
          </cell>
          <cell r="B223">
            <v>188</v>
          </cell>
          <cell r="G223" t="str">
            <v xml:space="preserve">LEIDY GALLEGO GALLEGO </v>
          </cell>
          <cell r="Q223">
            <v>261</v>
          </cell>
          <cell r="T223">
            <v>1293</v>
          </cell>
        </row>
        <row r="224">
          <cell r="A224">
            <v>696</v>
          </cell>
          <cell r="B224">
            <v>188</v>
          </cell>
          <cell r="G224" t="str">
            <v xml:space="preserve">LEIDY GALLEGO GALLEGO </v>
          </cell>
          <cell r="Q224">
            <v>515</v>
          </cell>
          <cell r="T224">
            <v>4637</v>
          </cell>
        </row>
        <row r="225">
          <cell r="A225">
            <v>329</v>
          </cell>
          <cell r="B225">
            <v>189</v>
          </cell>
          <cell r="G225" t="str">
            <v>LUIS ADONIS DURAN PEREIRA</v>
          </cell>
          <cell r="Q225">
            <v>259</v>
          </cell>
          <cell r="T225">
            <v>1301</v>
          </cell>
        </row>
        <row r="226">
          <cell r="A226">
            <v>538</v>
          </cell>
          <cell r="B226">
            <v>190</v>
          </cell>
          <cell r="G226" t="str">
            <v>JULIAN DAVID ARANGO VASCO</v>
          </cell>
          <cell r="Q226">
            <v>235</v>
          </cell>
          <cell r="T226">
            <v>1303</v>
          </cell>
        </row>
        <row r="227">
          <cell r="A227">
            <v>1128</v>
          </cell>
          <cell r="B227">
            <v>190</v>
          </cell>
          <cell r="G227" t="str">
            <v>JULIAN DAVID ARANGO VASCO</v>
          </cell>
          <cell r="Q227">
            <v>919</v>
          </cell>
          <cell r="T227">
            <v>10193</v>
          </cell>
        </row>
        <row r="228">
          <cell r="A228" t="str">
            <v>ANULADO</v>
          </cell>
          <cell r="B228">
            <v>191</v>
          </cell>
          <cell r="G228" t="str">
            <v xml:space="preserve">ANULADO </v>
          </cell>
          <cell r="Q228">
            <v>0</v>
          </cell>
          <cell r="T228" t="str">
            <v/>
          </cell>
        </row>
        <row r="229">
          <cell r="A229">
            <v>549</v>
          </cell>
          <cell r="B229">
            <v>192</v>
          </cell>
          <cell r="G229" t="str">
            <v xml:space="preserve">JULIANA JARAMILLO BETANCUR </v>
          </cell>
          <cell r="Q229">
            <v>249</v>
          </cell>
          <cell r="T229">
            <v>1833</v>
          </cell>
        </row>
        <row r="230">
          <cell r="A230">
            <v>1139</v>
          </cell>
          <cell r="B230">
            <v>192</v>
          </cell>
          <cell r="G230" t="str">
            <v xml:space="preserve">JULIANA JARAMILLO BETANCUR </v>
          </cell>
          <cell r="Q230">
            <v>937</v>
          </cell>
          <cell r="T230">
            <v>10294</v>
          </cell>
        </row>
        <row r="231">
          <cell r="A231">
            <v>540</v>
          </cell>
          <cell r="B231">
            <v>193</v>
          </cell>
          <cell r="G231" t="str">
            <v>JUAN CAMILO DUQUE HIDALGO</v>
          </cell>
          <cell r="Q231">
            <v>229</v>
          </cell>
          <cell r="T231">
            <v>1827</v>
          </cell>
        </row>
        <row r="232">
          <cell r="A232">
            <v>1158</v>
          </cell>
          <cell r="B232">
            <v>193</v>
          </cell>
          <cell r="G232" t="str">
            <v>JUAN CAMILO DUQUE HIDALGO</v>
          </cell>
          <cell r="Q232">
            <v>962</v>
          </cell>
          <cell r="T232">
            <v>10234</v>
          </cell>
        </row>
        <row r="233">
          <cell r="A233">
            <v>575</v>
          </cell>
          <cell r="B233">
            <v>194</v>
          </cell>
          <cell r="G233" t="str">
            <v>LIGA DE ATLETISMO DE ANTIOQUIA</v>
          </cell>
          <cell r="Q233">
            <v>287</v>
          </cell>
          <cell r="T233">
            <v>1302</v>
          </cell>
        </row>
        <row r="234">
          <cell r="A234">
            <v>573</v>
          </cell>
          <cell r="B234">
            <v>195</v>
          </cell>
          <cell r="G234" t="str">
            <v>SEBASTIAN LOPEZ HERNANDEZ</v>
          </cell>
          <cell r="Q234">
            <v>278</v>
          </cell>
          <cell r="T234">
            <v>1307</v>
          </cell>
        </row>
        <row r="235">
          <cell r="A235">
            <v>43</v>
          </cell>
          <cell r="B235">
            <v>196</v>
          </cell>
          <cell r="G235" t="str">
            <v>MANUEL STEFANO GOMEZ CASTAÑO</v>
          </cell>
          <cell r="Q235">
            <v>280</v>
          </cell>
          <cell r="T235">
            <v>1305</v>
          </cell>
        </row>
        <row r="236">
          <cell r="A236">
            <v>546</v>
          </cell>
          <cell r="B236">
            <v>197</v>
          </cell>
          <cell r="G236" t="str">
            <v xml:space="preserve">KAREN TATIANA RIVERA MUÑOZ </v>
          </cell>
          <cell r="Q236">
            <v>248</v>
          </cell>
          <cell r="T236">
            <v>1832</v>
          </cell>
        </row>
        <row r="237">
          <cell r="A237">
            <v>1159</v>
          </cell>
          <cell r="B237">
            <v>197</v>
          </cell>
          <cell r="G237" t="str">
            <v xml:space="preserve">KAREN TATIANA RIVERA MUÑOZ </v>
          </cell>
          <cell r="Q237">
            <v>969</v>
          </cell>
          <cell r="T237">
            <v>10244</v>
          </cell>
        </row>
        <row r="238">
          <cell r="A238">
            <v>545</v>
          </cell>
          <cell r="B238">
            <v>198</v>
          </cell>
          <cell r="G238" t="str">
            <v>SEBASTIAN VALENCIA AGUIRRE</v>
          </cell>
          <cell r="Q238">
            <v>250</v>
          </cell>
          <cell r="T238">
            <v>1831</v>
          </cell>
        </row>
        <row r="239">
          <cell r="A239">
            <v>1160</v>
          </cell>
          <cell r="B239">
            <v>198</v>
          </cell>
          <cell r="G239" t="str">
            <v>SEBASTIAN VALENCIA AGUIRRE</v>
          </cell>
          <cell r="Q239">
            <v>966</v>
          </cell>
          <cell r="T239">
            <v>10399</v>
          </cell>
        </row>
        <row r="240">
          <cell r="A240" t="str">
            <v>ANULADO</v>
          </cell>
          <cell r="B240">
            <v>199</v>
          </cell>
          <cell r="G240">
            <v>0</v>
          </cell>
          <cell r="Q240">
            <v>0</v>
          </cell>
          <cell r="T240" t="str">
            <v/>
          </cell>
        </row>
        <row r="241">
          <cell r="A241">
            <v>551</v>
          </cell>
          <cell r="B241">
            <v>200</v>
          </cell>
          <cell r="G241" t="str">
            <v xml:space="preserve">EDER ALEISO SANDOVAL VALENCIA </v>
          </cell>
          <cell r="Q241">
            <v>253</v>
          </cell>
          <cell r="T241">
            <v>1829</v>
          </cell>
        </row>
        <row r="242">
          <cell r="A242">
            <v>552</v>
          </cell>
          <cell r="B242">
            <v>201</v>
          </cell>
          <cell r="G242" t="str">
            <v>ESTEBAN SANDOVAL VALENCIA</v>
          </cell>
          <cell r="Q242">
            <v>251</v>
          </cell>
          <cell r="T242">
            <v>1828</v>
          </cell>
        </row>
        <row r="243">
          <cell r="A243">
            <v>44</v>
          </cell>
          <cell r="B243">
            <v>202</v>
          </cell>
          <cell r="G243" t="str">
            <v>LEDY JULIETH ECHEVERRI ESCOBAR</v>
          </cell>
          <cell r="Q243">
            <v>281</v>
          </cell>
          <cell r="T243">
            <v>1826</v>
          </cell>
        </row>
        <row r="244">
          <cell r="A244">
            <v>572</v>
          </cell>
          <cell r="B244">
            <v>203</v>
          </cell>
          <cell r="G244" t="str">
            <v xml:space="preserve">JUAN DAVID JARAMILLO RESTREPO </v>
          </cell>
          <cell r="Q244">
            <v>256</v>
          </cell>
          <cell r="T244">
            <v>1830</v>
          </cell>
        </row>
        <row r="245">
          <cell r="A245">
            <v>548</v>
          </cell>
          <cell r="B245">
            <v>204</v>
          </cell>
          <cell r="G245" t="str">
            <v>ERASMO HUMBERTO MUÑOZ GIRALDO</v>
          </cell>
          <cell r="Q245">
            <v>252</v>
          </cell>
          <cell r="T245">
            <v>1875</v>
          </cell>
        </row>
        <row r="246">
          <cell r="A246">
            <v>1141</v>
          </cell>
          <cell r="B246">
            <v>204</v>
          </cell>
          <cell r="G246" t="str">
            <v>ERASMO HUMBERTO MUÑOZ GIRALDO</v>
          </cell>
          <cell r="Q246">
            <v>942</v>
          </cell>
          <cell r="T246">
            <v>10537</v>
          </cell>
        </row>
        <row r="247">
          <cell r="A247">
            <v>36</v>
          </cell>
          <cell r="B247">
            <v>205</v>
          </cell>
          <cell r="G247" t="str">
            <v>ASCENSORES SCHINDLER DE COLOMBIA S.A.S.</v>
          </cell>
          <cell r="Q247">
            <v>279</v>
          </cell>
          <cell r="T247">
            <v>1848</v>
          </cell>
        </row>
        <row r="248">
          <cell r="A248">
            <v>580</v>
          </cell>
          <cell r="B248">
            <v>206</v>
          </cell>
          <cell r="G248" t="str">
            <v xml:space="preserve">FUNDACIÓN MONICA URIBE POR AMOR </v>
          </cell>
          <cell r="Q248">
            <v>291</v>
          </cell>
          <cell r="T248">
            <v>1825</v>
          </cell>
        </row>
        <row r="249">
          <cell r="A249">
            <v>51</v>
          </cell>
          <cell r="B249">
            <v>207</v>
          </cell>
          <cell r="G249" t="str">
            <v>YEYSON NOLBERTO HENAO</v>
          </cell>
          <cell r="Q249">
            <v>255</v>
          </cell>
          <cell r="T249">
            <v>1872</v>
          </cell>
        </row>
        <row r="250">
          <cell r="A250">
            <v>577</v>
          </cell>
          <cell r="B250">
            <v>208</v>
          </cell>
          <cell r="G250" t="str">
            <v xml:space="preserve">CARLOS ANDRES FRANCO SANCHEZ </v>
          </cell>
          <cell r="Q250">
            <v>296</v>
          </cell>
          <cell r="T250">
            <v>1874</v>
          </cell>
        </row>
        <row r="251">
          <cell r="A251">
            <v>1140</v>
          </cell>
          <cell r="B251">
            <v>208</v>
          </cell>
          <cell r="G251" t="str">
            <v xml:space="preserve">CARLOS ANDRES FRANCO SANCHEZ </v>
          </cell>
          <cell r="Q251">
            <v>939</v>
          </cell>
          <cell r="T251">
            <v>10398</v>
          </cell>
        </row>
        <row r="252">
          <cell r="A252">
            <v>334</v>
          </cell>
          <cell r="B252">
            <v>209</v>
          </cell>
          <cell r="G252" t="str">
            <v xml:space="preserve">ESRI COLOMBIA </v>
          </cell>
          <cell r="Q252">
            <v>245</v>
          </cell>
          <cell r="T252">
            <v>1851</v>
          </cell>
        </row>
        <row r="253">
          <cell r="A253">
            <v>554</v>
          </cell>
          <cell r="B253">
            <v>210</v>
          </cell>
          <cell r="G253" t="str">
            <v xml:space="preserve">DIANA MARCELA GALLO GIRALDO </v>
          </cell>
          <cell r="Q253">
            <v>260</v>
          </cell>
          <cell r="T253">
            <v>1854</v>
          </cell>
        </row>
        <row r="254">
          <cell r="A254">
            <v>1225</v>
          </cell>
          <cell r="B254">
            <v>210</v>
          </cell>
          <cell r="G254" t="str">
            <v xml:space="preserve">DIANA MARCELA GALLO GIRALDO </v>
          </cell>
          <cell r="Q254">
            <v>1044</v>
          </cell>
          <cell r="T254">
            <v>10540</v>
          </cell>
        </row>
        <row r="255">
          <cell r="A255">
            <v>555</v>
          </cell>
          <cell r="B255">
            <v>211</v>
          </cell>
          <cell r="G255" t="str">
            <v xml:space="preserve">JOSE JOANY TAMAYO </v>
          </cell>
          <cell r="Q255">
            <v>258</v>
          </cell>
          <cell r="T255">
            <v>1868</v>
          </cell>
        </row>
        <row r="256">
          <cell r="A256">
            <v>556</v>
          </cell>
          <cell r="B256">
            <v>212</v>
          </cell>
          <cell r="G256" t="str">
            <v xml:space="preserve">CHARICK ALVAREZ TORRES </v>
          </cell>
          <cell r="Q256">
            <v>286</v>
          </cell>
          <cell r="T256">
            <v>1855</v>
          </cell>
        </row>
        <row r="257">
          <cell r="A257">
            <v>557</v>
          </cell>
          <cell r="B257">
            <v>213</v>
          </cell>
          <cell r="G257" t="str">
            <v>JOSE JULIAN SALDARRIGA ZAPATA</v>
          </cell>
          <cell r="Q257">
            <v>285</v>
          </cell>
          <cell r="T257">
            <v>1867</v>
          </cell>
        </row>
        <row r="258">
          <cell r="A258">
            <v>558</v>
          </cell>
          <cell r="B258">
            <v>214</v>
          </cell>
          <cell r="G258" t="str">
            <v xml:space="preserve">LINA FERNADA VARGAS ALZATE </v>
          </cell>
          <cell r="Q258">
            <v>262</v>
          </cell>
          <cell r="T258">
            <v>1858</v>
          </cell>
        </row>
        <row r="259">
          <cell r="A259">
            <v>559</v>
          </cell>
          <cell r="B259">
            <v>215</v>
          </cell>
          <cell r="G259" t="str">
            <v xml:space="preserve">JUAN MANUEL LOPEZ CUERVO </v>
          </cell>
          <cell r="Q259">
            <v>273</v>
          </cell>
          <cell r="T259">
            <v>1857</v>
          </cell>
        </row>
        <row r="260">
          <cell r="A260">
            <v>560</v>
          </cell>
          <cell r="B260">
            <v>216</v>
          </cell>
          <cell r="G260" t="str">
            <v xml:space="preserve">ESTEBAN SERNA MORENO </v>
          </cell>
          <cell r="Q260">
            <v>275</v>
          </cell>
          <cell r="T260">
            <v>1861</v>
          </cell>
        </row>
        <row r="261">
          <cell r="A261">
            <v>562</v>
          </cell>
          <cell r="B261">
            <v>217</v>
          </cell>
          <cell r="G261" t="str">
            <v>MONICA URREGO MONTOYA</v>
          </cell>
          <cell r="Q261">
            <v>269</v>
          </cell>
          <cell r="T261">
            <v>1856</v>
          </cell>
        </row>
        <row r="262">
          <cell r="A262">
            <v>563</v>
          </cell>
          <cell r="B262">
            <v>218</v>
          </cell>
          <cell r="G262" t="str">
            <v xml:space="preserve">HECTOR DARIO CARDENAS BEDOYA </v>
          </cell>
          <cell r="Q262">
            <v>271</v>
          </cell>
          <cell r="T262">
            <v>1871</v>
          </cell>
        </row>
        <row r="263">
          <cell r="A263">
            <v>564</v>
          </cell>
          <cell r="B263">
            <v>219</v>
          </cell>
          <cell r="G263" t="str">
            <v xml:space="preserve">DIEGO ALEJANDRO CUERVO PUERTA </v>
          </cell>
          <cell r="Q263">
            <v>266</v>
          </cell>
          <cell r="T263">
            <v>1865</v>
          </cell>
        </row>
        <row r="264">
          <cell r="A264">
            <v>565</v>
          </cell>
          <cell r="B264">
            <v>220</v>
          </cell>
          <cell r="G264" t="str">
            <v>GIOVANNY RIOS SARMIENTO</v>
          </cell>
          <cell r="Q264">
            <v>270</v>
          </cell>
          <cell r="T264">
            <v>1859</v>
          </cell>
        </row>
        <row r="265">
          <cell r="A265">
            <v>566</v>
          </cell>
          <cell r="B265">
            <v>221</v>
          </cell>
          <cell r="G265" t="str">
            <v xml:space="preserve">JOHN FREDY ARANGO PANIAGUA </v>
          </cell>
          <cell r="Q265">
            <v>276</v>
          </cell>
          <cell r="T265">
            <v>1869</v>
          </cell>
        </row>
        <row r="266">
          <cell r="A266">
            <v>567</v>
          </cell>
          <cell r="B266">
            <v>222</v>
          </cell>
          <cell r="G266" t="str">
            <v xml:space="preserve">ALEJANDRO ESTEBAN VALENCIA CALDERON </v>
          </cell>
          <cell r="Q266">
            <v>274</v>
          </cell>
          <cell r="T266">
            <v>1860</v>
          </cell>
        </row>
        <row r="267">
          <cell r="A267">
            <v>568</v>
          </cell>
          <cell r="B267">
            <v>223</v>
          </cell>
          <cell r="G267" t="str">
            <v>LIZETH TATIANA MUÑOZ LONDOÑO</v>
          </cell>
          <cell r="Q267">
            <v>265</v>
          </cell>
          <cell r="T267">
            <v>1866</v>
          </cell>
        </row>
        <row r="268">
          <cell r="A268">
            <v>569</v>
          </cell>
          <cell r="B268">
            <v>224</v>
          </cell>
          <cell r="G268" t="str">
            <v xml:space="preserve">GEINER ENRIQUE FRIAS GALLO </v>
          </cell>
          <cell r="Q268">
            <v>264</v>
          </cell>
          <cell r="T268">
            <v>1862</v>
          </cell>
        </row>
        <row r="269">
          <cell r="A269">
            <v>547</v>
          </cell>
          <cell r="B269">
            <v>225</v>
          </cell>
          <cell r="G269" t="str">
            <v>DAVID MOSQUERA MENA</v>
          </cell>
          <cell r="Q269">
            <v>290</v>
          </cell>
          <cell r="T269">
            <v>2210</v>
          </cell>
        </row>
        <row r="270">
          <cell r="A270">
            <v>1113</v>
          </cell>
          <cell r="B270">
            <v>225</v>
          </cell>
          <cell r="G270" t="str">
            <v>DAVID MOSQUERA MENA</v>
          </cell>
          <cell r="Q270">
            <v>901</v>
          </cell>
          <cell r="T270">
            <v>11203</v>
          </cell>
        </row>
        <row r="271">
          <cell r="A271">
            <v>576</v>
          </cell>
          <cell r="B271">
            <v>226</v>
          </cell>
          <cell r="G271" t="str">
            <v>FREDY ALEXANDER URIBE HENAO</v>
          </cell>
          <cell r="Q271">
            <v>295</v>
          </cell>
          <cell r="T271">
            <v>1878</v>
          </cell>
        </row>
        <row r="272">
          <cell r="A272">
            <v>1133</v>
          </cell>
          <cell r="B272">
            <v>226</v>
          </cell>
          <cell r="G272" t="str">
            <v>FREDY ALEXANDER URIBE HENAO</v>
          </cell>
          <cell r="Q272">
            <v>926</v>
          </cell>
          <cell r="T272">
            <v>10413</v>
          </cell>
        </row>
        <row r="273">
          <cell r="A273">
            <v>581</v>
          </cell>
          <cell r="B273">
            <v>227</v>
          </cell>
          <cell r="G273" t="str">
            <v>ANYI DANIELA RODRIGUEZ</v>
          </cell>
          <cell r="Q273">
            <v>299</v>
          </cell>
          <cell r="T273">
            <v>1876</v>
          </cell>
        </row>
        <row r="274">
          <cell r="A274">
            <v>574</v>
          </cell>
          <cell r="B274">
            <v>228</v>
          </cell>
          <cell r="G274" t="str">
            <v>EMPRESA DE PARQUES Y EVENTOS DE ANTIOQUIA- ACTIVA</v>
          </cell>
          <cell r="Q274">
            <v>284</v>
          </cell>
          <cell r="T274">
            <v>1870</v>
          </cell>
        </row>
        <row r="275">
          <cell r="A275">
            <v>592</v>
          </cell>
          <cell r="B275">
            <v>229</v>
          </cell>
          <cell r="G275" t="str">
            <v>FRANCISCO HERNANDO ALVAREZ LONDOÑO</v>
          </cell>
          <cell r="Q275">
            <v>311</v>
          </cell>
          <cell r="T275">
            <v>2211</v>
          </cell>
        </row>
        <row r="276">
          <cell r="A276">
            <v>1114</v>
          </cell>
          <cell r="B276">
            <v>229</v>
          </cell>
          <cell r="G276" t="str">
            <v>FRANCISCO HERNANDO ALVAREZ LONDOÑO</v>
          </cell>
          <cell r="Q276">
            <v>902</v>
          </cell>
          <cell r="T276">
            <v>10410</v>
          </cell>
        </row>
        <row r="277">
          <cell r="A277">
            <v>593</v>
          </cell>
          <cell r="B277">
            <v>230</v>
          </cell>
          <cell r="G277" t="str">
            <v>JONATHAN ESTIVEN GOMEZ</v>
          </cell>
          <cell r="Q277">
            <v>313</v>
          </cell>
          <cell r="T277">
            <v>2377</v>
          </cell>
        </row>
        <row r="278">
          <cell r="A278">
            <v>553</v>
          </cell>
          <cell r="B278">
            <v>231</v>
          </cell>
          <cell r="G278" t="str">
            <v>SARA HENRIQUEZ ARANGO</v>
          </cell>
          <cell r="Q278">
            <v>257</v>
          </cell>
          <cell r="T278">
            <v>2200</v>
          </cell>
        </row>
        <row r="279">
          <cell r="A279">
            <v>1156</v>
          </cell>
          <cell r="B279">
            <v>231</v>
          </cell>
          <cell r="G279" t="str">
            <v>SARA HENRIQUEZ ARANGO</v>
          </cell>
          <cell r="Q279">
            <v>950</v>
          </cell>
          <cell r="T279">
            <v>9623</v>
          </cell>
        </row>
        <row r="280">
          <cell r="A280">
            <v>1333</v>
          </cell>
          <cell r="B280">
            <v>231</v>
          </cell>
          <cell r="G280" t="str">
            <v>SARA HENRIQUEZ ARANGO</v>
          </cell>
          <cell r="Q280">
            <v>1223</v>
          </cell>
          <cell r="T280">
            <v>15157</v>
          </cell>
        </row>
        <row r="281">
          <cell r="A281" t="str">
            <v>ANULADO</v>
          </cell>
          <cell r="B281">
            <v>232</v>
          </cell>
          <cell r="G281">
            <v>0</v>
          </cell>
          <cell r="Q281">
            <v>0</v>
          </cell>
          <cell r="T281" t="str">
            <v/>
          </cell>
        </row>
        <row r="282">
          <cell r="A282">
            <v>591</v>
          </cell>
          <cell r="B282">
            <v>233</v>
          </cell>
          <cell r="G282" t="str">
            <v>ALVARO FERNANDO ORTEGA MONROY</v>
          </cell>
          <cell r="Q282">
            <v>312</v>
          </cell>
          <cell r="T282">
            <v>2346</v>
          </cell>
        </row>
        <row r="283">
          <cell r="A283">
            <v>1162</v>
          </cell>
          <cell r="B283">
            <v>233</v>
          </cell>
          <cell r="G283" t="str">
            <v>ALVARO FERNANDO ORTEGA MONROY</v>
          </cell>
          <cell r="Q283">
            <v>961</v>
          </cell>
          <cell r="T283">
            <v>11108</v>
          </cell>
        </row>
        <row r="284">
          <cell r="A284">
            <v>623</v>
          </cell>
          <cell r="B284">
            <v>234</v>
          </cell>
          <cell r="G284" t="str">
            <v>JESSICA ALEJANDRA ATEHORTUA HINCAPIE</v>
          </cell>
          <cell r="Q284">
            <v>332</v>
          </cell>
          <cell r="T284">
            <v>2212</v>
          </cell>
        </row>
        <row r="285">
          <cell r="A285">
            <v>1197</v>
          </cell>
          <cell r="B285">
            <v>234</v>
          </cell>
          <cell r="G285" t="str">
            <v>JESSICA ALEJANDRA ATEHORTUA HINCAPIE</v>
          </cell>
          <cell r="Q285">
            <v>1009</v>
          </cell>
          <cell r="T285">
            <v>9898</v>
          </cell>
        </row>
        <row r="286">
          <cell r="A286">
            <v>550</v>
          </cell>
          <cell r="B286">
            <v>235</v>
          </cell>
          <cell r="G286" t="str">
            <v xml:space="preserve">JAVIER FELIPE PEREZ FORERO </v>
          </cell>
          <cell r="Q286">
            <v>333</v>
          </cell>
          <cell r="T286">
            <v>2347</v>
          </cell>
        </row>
        <row r="287">
          <cell r="A287">
            <v>1143</v>
          </cell>
          <cell r="B287">
            <v>235</v>
          </cell>
          <cell r="G287" t="str">
            <v xml:space="preserve">JAVIER FELIPE PEREZ FORERO </v>
          </cell>
          <cell r="Q287">
            <v>936</v>
          </cell>
          <cell r="T287">
            <v>11945</v>
          </cell>
        </row>
        <row r="288">
          <cell r="A288">
            <v>132</v>
          </cell>
          <cell r="B288">
            <v>236</v>
          </cell>
          <cell r="G288" t="str">
            <v>ANDREA FERNANDA ARIAS CORENA</v>
          </cell>
          <cell r="Q288">
            <v>326</v>
          </cell>
          <cell r="T288">
            <v>2218</v>
          </cell>
        </row>
        <row r="289">
          <cell r="A289">
            <v>330</v>
          </cell>
          <cell r="B289">
            <v>237</v>
          </cell>
          <cell r="G289" t="str">
            <v xml:space="preserve">LUIS DANIEL AGUDELO BETANCUR </v>
          </cell>
          <cell r="Q289">
            <v>331</v>
          </cell>
          <cell r="T289">
            <v>2213</v>
          </cell>
        </row>
        <row r="290">
          <cell r="A290">
            <v>1196</v>
          </cell>
          <cell r="B290">
            <v>237</v>
          </cell>
          <cell r="G290" t="str">
            <v xml:space="preserve">LUIS DANIEL AGUDELO BETANCUR </v>
          </cell>
          <cell r="Q290">
            <v>1008</v>
          </cell>
          <cell r="T290">
            <v>9899</v>
          </cell>
        </row>
        <row r="291">
          <cell r="A291">
            <v>67</v>
          </cell>
          <cell r="B291">
            <v>238</v>
          </cell>
          <cell r="G291" t="str">
            <v xml:space="preserve">GABRIEL JAIME URIBE CADAVID </v>
          </cell>
          <cell r="Q291">
            <v>213</v>
          </cell>
          <cell r="T291">
            <v>2215</v>
          </cell>
        </row>
        <row r="292">
          <cell r="A292">
            <v>1030</v>
          </cell>
          <cell r="B292">
            <v>238</v>
          </cell>
          <cell r="G292" t="str">
            <v xml:space="preserve">GABRIEL JAIME URIBE CADAVID </v>
          </cell>
          <cell r="Q292">
            <v>1012</v>
          </cell>
          <cell r="T292">
            <v>9900</v>
          </cell>
        </row>
        <row r="293">
          <cell r="A293">
            <v>65</v>
          </cell>
          <cell r="B293">
            <v>239</v>
          </cell>
          <cell r="G293" t="str">
            <v>JUAN FELIPE GIRALDO CARDONA</v>
          </cell>
          <cell r="Q293">
            <v>212</v>
          </cell>
          <cell r="T293">
            <v>2214</v>
          </cell>
        </row>
        <row r="294">
          <cell r="A294">
            <v>1031</v>
          </cell>
          <cell r="B294">
            <v>239</v>
          </cell>
          <cell r="G294" t="str">
            <v>JUAN FELIPE GIRALDO CARDONA</v>
          </cell>
          <cell r="Q294">
            <v>1013</v>
          </cell>
          <cell r="T294">
            <v>9903</v>
          </cell>
        </row>
        <row r="295">
          <cell r="A295">
            <v>48</v>
          </cell>
          <cell r="B295">
            <v>240</v>
          </cell>
          <cell r="G295" t="str">
            <v>CARLOS ALBERTO HENAO MESA</v>
          </cell>
          <cell r="Q295">
            <v>327</v>
          </cell>
          <cell r="T295">
            <v>2239</v>
          </cell>
        </row>
        <row r="296">
          <cell r="A296">
            <v>1206</v>
          </cell>
          <cell r="B296">
            <v>240</v>
          </cell>
          <cell r="G296" t="str">
            <v>CARLOS ALBERTO HENAO MESA</v>
          </cell>
          <cell r="Q296">
            <v>1021</v>
          </cell>
          <cell r="T296">
            <v>10225</v>
          </cell>
        </row>
        <row r="297">
          <cell r="A297">
            <v>585</v>
          </cell>
          <cell r="B297">
            <v>241</v>
          </cell>
          <cell r="G297" t="str">
            <v>HEIMAR PACHECO TAPIAS</v>
          </cell>
          <cell r="Q297">
            <v>358</v>
          </cell>
          <cell r="T297">
            <v>2379</v>
          </cell>
        </row>
        <row r="298">
          <cell r="A298">
            <v>1123</v>
          </cell>
          <cell r="B298">
            <v>241</v>
          </cell>
          <cell r="G298" t="str">
            <v>HEIMAR PACHECO TAPIAS</v>
          </cell>
          <cell r="Q298">
            <v>924</v>
          </cell>
          <cell r="T298">
            <v>10243</v>
          </cell>
        </row>
        <row r="299">
          <cell r="A299">
            <v>583</v>
          </cell>
          <cell r="B299">
            <v>242</v>
          </cell>
          <cell r="G299" t="str">
            <v xml:space="preserve">DIANA PATRICIA SUAREZ ARENAS </v>
          </cell>
          <cell r="Q299">
            <v>305</v>
          </cell>
          <cell r="T299">
            <v>3026</v>
          </cell>
        </row>
        <row r="300">
          <cell r="A300">
            <v>1124</v>
          </cell>
          <cell r="B300">
            <v>242</v>
          </cell>
          <cell r="G300" t="str">
            <v xml:space="preserve">DIANA PATRICIA SUAREZ ARENAS </v>
          </cell>
          <cell r="Q300">
            <v>929</v>
          </cell>
          <cell r="T300">
            <v>10291</v>
          </cell>
        </row>
        <row r="301">
          <cell r="A301">
            <v>124</v>
          </cell>
          <cell r="B301">
            <v>243</v>
          </cell>
          <cell r="G301" t="str">
            <v xml:space="preserve">LIGA DE CICLISMO DE ANTIOQUIA          </v>
          </cell>
          <cell r="Q301">
            <v>301</v>
          </cell>
          <cell r="T301">
            <v>2217</v>
          </cell>
        </row>
        <row r="302">
          <cell r="A302">
            <v>74</v>
          </cell>
          <cell r="B302">
            <v>244</v>
          </cell>
          <cell r="G302" t="str">
            <v xml:space="preserve">CLUB ESCUELA DE CICLISMO ORGULLO PAISA </v>
          </cell>
          <cell r="Q302">
            <v>302</v>
          </cell>
          <cell r="T302">
            <v>2216</v>
          </cell>
        </row>
        <row r="303">
          <cell r="A303">
            <v>205</v>
          </cell>
          <cell r="B303">
            <v>245</v>
          </cell>
          <cell r="G303" t="str">
            <v>WILMAR ANDRES RUEDA LONDOÑO</v>
          </cell>
          <cell r="Q303">
            <v>134</v>
          </cell>
          <cell r="T303">
            <v>2375</v>
          </cell>
        </row>
        <row r="304">
          <cell r="A304">
            <v>1166</v>
          </cell>
          <cell r="B304">
            <v>245</v>
          </cell>
          <cell r="G304" t="str">
            <v>WILMAR ANDRES RUEDA LONDOÑO</v>
          </cell>
          <cell r="Q304">
            <v>988</v>
          </cell>
          <cell r="T304">
            <v>10211</v>
          </cell>
        </row>
        <row r="305">
          <cell r="A305">
            <v>230</v>
          </cell>
          <cell r="B305">
            <v>246</v>
          </cell>
          <cell r="G305" t="str">
            <v xml:space="preserve">ALEXANDER OCAMPO ZULUAGA </v>
          </cell>
          <cell r="Q305">
            <v>158</v>
          </cell>
          <cell r="T305">
            <v>2374</v>
          </cell>
        </row>
        <row r="306">
          <cell r="A306">
            <v>1167</v>
          </cell>
          <cell r="B306">
            <v>246</v>
          </cell>
          <cell r="G306" t="str">
            <v xml:space="preserve">ALEXANDER OCAMPO ZULUAGA </v>
          </cell>
          <cell r="Q306">
            <v>989</v>
          </cell>
          <cell r="T306">
            <v>10238</v>
          </cell>
        </row>
        <row r="307">
          <cell r="A307">
            <v>255</v>
          </cell>
          <cell r="B307">
            <v>247</v>
          </cell>
          <cell r="G307" t="str">
            <v>ROBERTO GARCIA PANTOJA</v>
          </cell>
          <cell r="Q307">
            <v>183</v>
          </cell>
          <cell r="T307">
            <v>2373</v>
          </cell>
        </row>
        <row r="308">
          <cell r="A308">
            <v>1168</v>
          </cell>
          <cell r="B308">
            <v>247</v>
          </cell>
          <cell r="G308" t="str">
            <v>ROBERTO GARCIA PANTOJA</v>
          </cell>
          <cell r="Q308">
            <v>990</v>
          </cell>
          <cell r="T308">
            <v>10241</v>
          </cell>
        </row>
        <row r="309">
          <cell r="A309">
            <v>267</v>
          </cell>
          <cell r="B309">
            <v>248</v>
          </cell>
          <cell r="G309" t="str">
            <v>JOSE ALIRIO RODRIGUEZ</v>
          </cell>
          <cell r="Q309">
            <v>351</v>
          </cell>
          <cell r="T309">
            <v>2372</v>
          </cell>
        </row>
        <row r="310">
          <cell r="A310">
            <v>270</v>
          </cell>
          <cell r="B310">
            <v>249</v>
          </cell>
          <cell r="G310" t="str">
            <v>DANIEL JOSE CONTRERAS NAVARRO</v>
          </cell>
          <cell r="Q310">
            <v>198</v>
          </cell>
          <cell r="T310">
            <v>2369</v>
          </cell>
        </row>
        <row r="311">
          <cell r="A311">
            <v>1169</v>
          </cell>
          <cell r="B311">
            <v>249</v>
          </cell>
          <cell r="G311" t="str">
            <v>DANIEL JOSE CONTRERAS NAVARRO</v>
          </cell>
          <cell r="Q311">
            <v>977</v>
          </cell>
          <cell r="T311">
            <v>10235</v>
          </cell>
        </row>
        <row r="312">
          <cell r="A312">
            <v>561</v>
          </cell>
          <cell r="B312">
            <v>250</v>
          </cell>
          <cell r="G312" t="str">
            <v>EDISON UREY CARDONA GONZALEZ</v>
          </cell>
          <cell r="Q312">
            <v>362</v>
          </cell>
          <cell r="T312">
            <v>2367</v>
          </cell>
        </row>
        <row r="313">
          <cell r="A313">
            <v>570</v>
          </cell>
          <cell r="B313">
            <v>251</v>
          </cell>
          <cell r="G313" t="str">
            <v>JACKSON DAVID PEREZ BOTERO</v>
          </cell>
          <cell r="Q313">
            <v>263</v>
          </cell>
          <cell r="T313">
            <v>2366</v>
          </cell>
        </row>
        <row r="314">
          <cell r="A314">
            <v>1190</v>
          </cell>
          <cell r="B314">
            <v>251</v>
          </cell>
          <cell r="G314" t="str">
            <v>JACKSON DAVID PEREZ BOTERO</v>
          </cell>
          <cell r="Q314">
            <v>1001</v>
          </cell>
          <cell r="T314">
            <v>10222</v>
          </cell>
        </row>
        <row r="315">
          <cell r="A315">
            <v>594</v>
          </cell>
          <cell r="B315">
            <v>252</v>
          </cell>
          <cell r="G315" t="str">
            <v>JOSE MILLER CABANZO ACOSTA</v>
          </cell>
          <cell r="Q315">
            <v>352</v>
          </cell>
          <cell r="T315">
            <v>2371</v>
          </cell>
        </row>
        <row r="316">
          <cell r="A316">
            <v>1170</v>
          </cell>
          <cell r="B316">
            <v>252</v>
          </cell>
          <cell r="G316" t="str">
            <v>JOSE MILLER CABANZO ACOSTA</v>
          </cell>
          <cell r="Q316">
            <v>978</v>
          </cell>
          <cell r="T316">
            <v>10242</v>
          </cell>
        </row>
        <row r="317">
          <cell r="A317">
            <v>595</v>
          </cell>
          <cell r="B317">
            <v>253</v>
          </cell>
          <cell r="G317" t="str">
            <v>JUAN ESTEBAN AGUDELO ZEA</v>
          </cell>
          <cell r="Q317">
            <v>347</v>
          </cell>
          <cell r="T317">
            <v>2365</v>
          </cell>
        </row>
        <row r="318">
          <cell r="A318">
            <v>1171</v>
          </cell>
          <cell r="B318">
            <v>253</v>
          </cell>
          <cell r="G318" t="str">
            <v>JUAN ESTEBAN AGUDELO ZEA</v>
          </cell>
          <cell r="Q318">
            <v>980</v>
          </cell>
          <cell r="T318">
            <v>10240</v>
          </cell>
        </row>
        <row r="319">
          <cell r="A319">
            <v>596</v>
          </cell>
          <cell r="B319">
            <v>254</v>
          </cell>
          <cell r="G319" t="str">
            <v>SEBASTIAN QUINTO RUIZ</v>
          </cell>
          <cell r="Q319">
            <v>318</v>
          </cell>
          <cell r="T319">
            <v>2353</v>
          </cell>
        </row>
        <row r="320">
          <cell r="A320">
            <v>1172</v>
          </cell>
          <cell r="B320">
            <v>254</v>
          </cell>
          <cell r="G320" t="str">
            <v>SEBASTIAN QUINTO RUIZ</v>
          </cell>
          <cell r="Q320">
            <v>981</v>
          </cell>
          <cell r="T320">
            <v>10224</v>
          </cell>
        </row>
        <row r="321">
          <cell r="A321">
            <v>597</v>
          </cell>
          <cell r="B321">
            <v>255</v>
          </cell>
          <cell r="G321" t="str">
            <v>WILBER OXFANDER QUINTERO ROJAS</v>
          </cell>
          <cell r="Q321">
            <v>319</v>
          </cell>
          <cell r="T321">
            <v>2351</v>
          </cell>
        </row>
        <row r="322">
          <cell r="A322">
            <v>1173</v>
          </cell>
          <cell r="B322">
            <v>255</v>
          </cell>
          <cell r="G322" t="str">
            <v>WILBER OXFANDER QUINTERO ROJAS</v>
          </cell>
          <cell r="Q322">
            <v>979</v>
          </cell>
          <cell r="T322">
            <v>10213</v>
          </cell>
        </row>
        <row r="323">
          <cell r="A323">
            <v>598</v>
          </cell>
          <cell r="B323">
            <v>256</v>
          </cell>
          <cell r="G323" t="str">
            <v>JORGE MARIO ARBELAEZ AGUILAR</v>
          </cell>
          <cell r="Q323">
            <v>348</v>
          </cell>
          <cell r="T323">
            <v>2350</v>
          </cell>
        </row>
        <row r="324">
          <cell r="A324">
            <v>1174</v>
          </cell>
          <cell r="B324">
            <v>256</v>
          </cell>
          <cell r="G324" t="str">
            <v>JORGE MARIO ARBELAEZ AGUILAR</v>
          </cell>
          <cell r="Q324">
            <v>986</v>
          </cell>
          <cell r="T324">
            <v>10228</v>
          </cell>
        </row>
        <row r="325">
          <cell r="A325">
            <v>599</v>
          </cell>
          <cell r="B325">
            <v>257</v>
          </cell>
          <cell r="G325" t="str">
            <v>MIGUEL MAURICIO MACIAS</v>
          </cell>
          <cell r="Q325">
            <v>342</v>
          </cell>
          <cell r="T325">
            <v>2349</v>
          </cell>
        </row>
        <row r="326">
          <cell r="A326">
            <v>1175</v>
          </cell>
          <cell r="B326">
            <v>257</v>
          </cell>
          <cell r="G326" t="str">
            <v>MIGUEL MAURICIO MACIAS</v>
          </cell>
          <cell r="Q326">
            <v>982</v>
          </cell>
          <cell r="T326">
            <v>10229</v>
          </cell>
        </row>
        <row r="327">
          <cell r="A327">
            <v>600</v>
          </cell>
          <cell r="B327">
            <v>258</v>
          </cell>
          <cell r="G327" t="str">
            <v>MARIA ISABEL SANCHEZ PATIÑO</v>
          </cell>
          <cell r="Q327">
            <v>357</v>
          </cell>
          <cell r="T327">
            <v>2355</v>
          </cell>
        </row>
        <row r="328">
          <cell r="A328">
            <v>1176</v>
          </cell>
          <cell r="B328">
            <v>258</v>
          </cell>
          <cell r="G328" t="str">
            <v>MARIA ISABEL SANCHEZ PATIÑO</v>
          </cell>
          <cell r="Q328">
            <v>983</v>
          </cell>
          <cell r="T328">
            <v>10214</v>
          </cell>
        </row>
        <row r="329">
          <cell r="A329">
            <v>601</v>
          </cell>
          <cell r="B329">
            <v>259</v>
          </cell>
          <cell r="G329" t="str">
            <v>FABIAN ALBERTO DIAZ BEDOYA</v>
          </cell>
          <cell r="Q329">
            <v>353</v>
          </cell>
          <cell r="T329">
            <v>2354</v>
          </cell>
        </row>
        <row r="330">
          <cell r="A330">
            <v>1177</v>
          </cell>
          <cell r="B330">
            <v>259</v>
          </cell>
          <cell r="G330" t="str">
            <v>FABIAN ALBERTO DIAZ BEDOYA</v>
          </cell>
          <cell r="Q330">
            <v>984</v>
          </cell>
          <cell r="T330">
            <v>10233</v>
          </cell>
        </row>
        <row r="331">
          <cell r="A331">
            <v>603</v>
          </cell>
          <cell r="B331">
            <v>260</v>
          </cell>
          <cell r="G331" t="str">
            <v>JUAN CAMILO BERRIO CARDONA</v>
          </cell>
          <cell r="Q331">
            <v>341</v>
          </cell>
          <cell r="T331">
            <v>2356</v>
          </cell>
        </row>
        <row r="332">
          <cell r="A332">
            <v>1178</v>
          </cell>
          <cell r="B332">
            <v>260</v>
          </cell>
          <cell r="G332" t="str">
            <v>JUAN CAMILO BERRIO CARDONA</v>
          </cell>
          <cell r="Q332">
            <v>985</v>
          </cell>
          <cell r="T332">
            <v>10216</v>
          </cell>
        </row>
        <row r="333">
          <cell r="A333">
            <v>604</v>
          </cell>
          <cell r="B333">
            <v>261</v>
          </cell>
          <cell r="G333" t="str">
            <v xml:space="preserve">ANGEL SALCEDO GOMEZ </v>
          </cell>
          <cell r="Q333">
            <v>317</v>
          </cell>
          <cell r="T333">
            <v>2357</v>
          </cell>
        </row>
        <row r="334">
          <cell r="A334">
            <v>1179</v>
          </cell>
          <cell r="B334">
            <v>261</v>
          </cell>
          <cell r="G334" t="str">
            <v xml:space="preserve">ANGEL SALCEDO GOMEZ </v>
          </cell>
          <cell r="Q334">
            <v>991</v>
          </cell>
          <cell r="T334">
            <v>10239</v>
          </cell>
        </row>
        <row r="335">
          <cell r="A335">
            <v>607</v>
          </cell>
          <cell r="B335">
            <v>262</v>
          </cell>
          <cell r="G335" t="str">
            <v>DARLYS PAOLA PEREZ BEGAMBRE</v>
          </cell>
          <cell r="Q335">
            <v>355</v>
          </cell>
          <cell r="T335">
            <v>2358</v>
          </cell>
        </row>
        <row r="336">
          <cell r="A336">
            <v>1180</v>
          </cell>
          <cell r="B336">
            <v>262</v>
          </cell>
          <cell r="G336" t="str">
            <v>DARLYS PAOLA PEREZ BEGAMBRE</v>
          </cell>
          <cell r="Q336">
            <v>992</v>
          </cell>
          <cell r="T336">
            <v>10230</v>
          </cell>
        </row>
        <row r="337">
          <cell r="A337">
            <v>608</v>
          </cell>
          <cell r="B337">
            <v>263</v>
          </cell>
          <cell r="G337" t="str">
            <v>LUIS ALBERTO GARCES CARVAJALINO</v>
          </cell>
          <cell r="Q337">
            <v>337</v>
          </cell>
          <cell r="T337">
            <v>2359</v>
          </cell>
        </row>
        <row r="338">
          <cell r="A338">
            <v>1181</v>
          </cell>
          <cell r="B338">
            <v>263</v>
          </cell>
          <cell r="G338" t="str">
            <v>LUIS ALBERTO GARCES CARVAJALINO</v>
          </cell>
          <cell r="Q338">
            <v>993</v>
          </cell>
          <cell r="T338">
            <v>10217</v>
          </cell>
        </row>
        <row r="339">
          <cell r="A339">
            <v>609</v>
          </cell>
          <cell r="B339">
            <v>264</v>
          </cell>
          <cell r="G339" t="str">
            <v>SEBASTIAN PARRA BEDOYA</v>
          </cell>
          <cell r="Q339">
            <v>344</v>
          </cell>
          <cell r="T339">
            <v>2385</v>
          </cell>
        </row>
        <row r="340">
          <cell r="A340">
            <v>1182</v>
          </cell>
          <cell r="B340">
            <v>264</v>
          </cell>
          <cell r="G340" t="str">
            <v>SEBASTIAN PARRA BEDOYA</v>
          </cell>
          <cell r="Q340">
            <v>994</v>
          </cell>
          <cell r="T340">
            <v>10231</v>
          </cell>
        </row>
        <row r="341">
          <cell r="A341">
            <v>610</v>
          </cell>
          <cell r="B341">
            <v>265</v>
          </cell>
          <cell r="G341" t="str">
            <v>DAVID RIVERA CASTRO</v>
          </cell>
          <cell r="Q341">
            <v>345</v>
          </cell>
          <cell r="T341">
            <v>2361</v>
          </cell>
        </row>
        <row r="342">
          <cell r="A342">
            <v>1183</v>
          </cell>
          <cell r="B342">
            <v>265</v>
          </cell>
          <cell r="G342" t="str">
            <v>DAVID RIVERA CASTRO</v>
          </cell>
          <cell r="Q342">
            <v>995</v>
          </cell>
          <cell r="T342">
            <v>10227</v>
          </cell>
        </row>
        <row r="343">
          <cell r="A343">
            <v>611</v>
          </cell>
          <cell r="B343">
            <v>266</v>
          </cell>
          <cell r="G343" t="str">
            <v>OSCAR ALEXANDER RAMOS GARCIA</v>
          </cell>
          <cell r="Q343">
            <v>338</v>
          </cell>
          <cell r="T343">
            <v>2360</v>
          </cell>
        </row>
        <row r="344">
          <cell r="A344">
            <v>1184</v>
          </cell>
          <cell r="B344">
            <v>266</v>
          </cell>
          <cell r="G344" t="str">
            <v>OSCAR ALEXANDER RAMOS GARCIA</v>
          </cell>
          <cell r="Q344">
            <v>996</v>
          </cell>
          <cell r="T344">
            <v>10218</v>
          </cell>
        </row>
        <row r="345">
          <cell r="A345">
            <v>612</v>
          </cell>
          <cell r="B345">
            <v>267</v>
          </cell>
          <cell r="G345" t="str">
            <v xml:space="preserve">JOSE ESTEBAN MUÑOZ MARIN </v>
          </cell>
          <cell r="Q345">
            <v>350</v>
          </cell>
          <cell r="T345">
            <v>2352</v>
          </cell>
        </row>
        <row r="346">
          <cell r="A346">
            <v>1191</v>
          </cell>
          <cell r="B346">
            <v>267</v>
          </cell>
          <cell r="G346" t="str">
            <v xml:space="preserve">JOSE ESTEBAN MUÑOZ MARIN </v>
          </cell>
          <cell r="Q346">
            <v>1003</v>
          </cell>
          <cell r="T346">
            <v>10223</v>
          </cell>
        </row>
        <row r="347">
          <cell r="A347">
            <v>613</v>
          </cell>
          <cell r="B347">
            <v>268</v>
          </cell>
          <cell r="G347" t="str">
            <v>JUAN CAMILO ZAPATA HERNANDEZ</v>
          </cell>
          <cell r="Q347">
            <v>343</v>
          </cell>
          <cell r="T347">
            <v>2362</v>
          </cell>
        </row>
        <row r="348">
          <cell r="A348">
            <v>1185</v>
          </cell>
          <cell r="B348">
            <v>268</v>
          </cell>
          <cell r="G348" t="str">
            <v>JUAN CAMILO ZAPATA HERNANDEZ</v>
          </cell>
          <cell r="Q348">
            <v>997</v>
          </cell>
          <cell r="T348">
            <v>10219</v>
          </cell>
        </row>
        <row r="349">
          <cell r="A349">
            <v>614</v>
          </cell>
          <cell r="B349">
            <v>269</v>
          </cell>
          <cell r="G349" t="str">
            <v>MARGARITA ROSA CASTAÑO MURILLO</v>
          </cell>
          <cell r="Q349">
            <v>356</v>
          </cell>
          <cell r="T349">
            <v>2363</v>
          </cell>
        </row>
        <row r="350">
          <cell r="A350">
            <v>1186</v>
          </cell>
          <cell r="B350">
            <v>269</v>
          </cell>
          <cell r="G350" t="str">
            <v>MARGARITA ROSA CASTAÑO MURILLO</v>
          </cell>
          <cell r="Q350">
            <v>998</v>
          </cell>
          <cell r="T350">
            <v>10220</v>
          </cell>
        </row>
        <row r="351">
          <cell r="A351">
            <v>615</v>
          </cell>
          <cell r="B351">
            <v>270</v>
          </cell>
          <cell r="G351" t="str">
            <v xml:space="preserve">KAREN LORENA ESCOBAR ZAPATA </v>
          </cell>
          <cell r="Q351">
            <v>346</v>
          </cell>
          <cell r="T351">
            <v>2364</v>
          </cell>
        </row>
        <row r="352">
          <cell r="A352">
            <v>1187</v>
          </cell>
          <cell r="B352">
            <v>270</v>
          </cell>
          <cell r="G352" t="str">
            <v xml:space="preserve">KAREN LORENA ESCOBAR ZAPATA </v>
          </cell>
          <cell r="Q352">
            <v>999</v>
          </cell>
          <cell r="T352">
            <v>10232</v>
          </cell>
        </row>
        <row r="353">
          <cell r="A353">
            <v>616</v>
          </cell>
          <cell r="B353">
            <v>271</v>
          </cell>
          <cell r="G353" t="str">
            <v xml:space="preserve">JESSICA ALEJANDRA ESTRADA RESTREPO </v>
          </cell>
          <cell r="Q353">
            <v>339</v>
          </cell>
          <cell r="T353">
            <v>2368</v>
          </cell>
        </row>
        <row r="354">
          <cell r="A354">
            <v>617</v>
          </cell>
          <cell r="B354">
            <v>272</v>
          </cell>
          <cell r="G354" t="str">
            <v>GUSTAVO ADOLFO MOJICA MARTINEZ</v>
          </cell>
          <cell r="Q354">
            <v>349</v>
          </cell>
          <cell r="T354">
            <v>2370</v>
          </cell>
        </row>
        <row r="355">
          <cell r="A355">
            <v>1188</v>
          </cell>
          <cell r="B355">
            <v>272</v>
          </cell>
          <cell r="G355" t="str">
            <v>GUSTAVO ADOLFO MOJICA MARTINEZ</v>
          </cell>
          <cell r="Q355">
            <v>1019</v>
          </cell>
          <cell r="T355">
            <v>10221</v>
          </cell>
        </row>
        <row r="356">
          <cell r="A356">
            <v>618</v>
          </cell>
          <cell r="B356">
            <v>273</v>
          </cell>
          <cell r="G356" t="str">
            <v>JHON FREDDY GOMEZ GARZON</v>
          </cell>
          <cell r="Q356">
            <v>329</v>
          </cell>
          <cell r="T356">
            <v>2348</v>
          </cell>
        </row>
        <row r="357">
          <cell r="A357">
            <v>1189</v>
          </cell>
          <cell r="B357">
            <v>273</v>
          </cell>
          <cell r="G357" t="str">
            <v>JHON FREDDY GOMEZ GARZON</v>
          </cell>
          <cell r="Q357">
            <v>1000</v>
          </cell>
          <cell r="T357">
            <v>10226</v>
          </cell>
        </row>
        <row r="358">
          <cell r="A358">
            <v>624</v>
          </cell>
          <cell r="B358">
            <v>274</v>
          </cell>
          <cell r="G358" t="str">
            <v>JUAN FERNANDO LOPERA MALO</v>
          </cell>
          <cell r="Q358">
            <v>335</v>
          </cell>
          <cell r="T358">
            <v>2381</v>
          </cell>
        </row>
        <row r="359">
          <cell r="A359">
            <v>1126</v>
          </cell>
          <cell r="B359">
            <v>274</v>
          </cell>
          <cell r="G359" t="str">
            <v>JUAN FERNANDO LOPERA MALO</v>
          </cell>
          <cell r="Q359">
            <v>925</v>
          </cell>
          <cell r="T359">
            <v>11950</v>
          </cell>
        </row>
        <row r="360">
          <cell r="A360">
            <v>578</v>
          </cell>
          <cell r="B360">
            <v>275</v>
          </cell>
          <cell r="G360" t="str">
            <v xml:space="preserve">ROBINSON DE JESUS RAMIREZ RAMIREZ </v>
          </cell>
          <cell r="Q360">
            <v>371</v>
          </cell>
          <cell r="T360">
            <v>2376</v>
          </cell>
        </row>
        <row r="361">
          <cell r="A361">
            <v>1142</v>
          </cell>
          <cell r="B361">
            <v>275</v>
          </cell>
          <cell r="G361" t="str">
            <v xml:space="preserve">ROBINSON DE JESUS RAMIREZ RAMIREZ </v>
          </cell>
          <cell r="Q361">
            <v>941</v>
          </cell>
          <cell r="T361">
            <v>11951</v>
          </cell>
        </row>
        <row r="362">
          <cell r="A362">
            <v>40</v>
          </cell>
          <cell r="B362">
            <v>276</v>
          </cell>
          <cell r="G362" t="str">
            <v xml:space="preserve">SOCIEDAD DE TELEVISION DE ANTIOQUIA LIMITADA - TELEANTIOQUIA </v>
          </cell>
          <cell r="Q362">
            <v>373</v>
          </cell>
          <cell r="T362">
            <v>2383</v>
          </cell>
        </row>
        <row r="363">
          <cell r="A363">
            <v>628</v>
          </cell>
          <cell r="B363">
            <v>277</v>
          </cell>
          <cell r="G363" t="str">
            <v>LUDWING ORLANDO LOZANO MUÑOZ</v>
          </cell>
          <cell r="Q363">
            <v>365</v>
          </cell>
          <cell r="T363">
            <v>2240</v>
          </cell>
        </row>
        <row r="364">
          <cell r="A364">
            <v>579</v>
          </cell>
          <cell r="B364">
            <v>278</v>
          </cell>
          <cell r="G364" t="str">
            <v>CATALINA SOTO ALVAREZ</v>
          </cell>
          <cell r="Q364">
            <v>293</v>
          </cell>
          <cell r="T364">
            <v>2391</v>
          </cell>
        </row>
        <row r="365">
          <cell r="A365">
            <v>1144</v>
          </cell>
          <cell r="B365">
            <v>278</v>
          </cell>
          <cell r="G365" t="str">
            <v>CATALINA SOTO ALVAREZ</v>
          </cell>
          <cell r="Q365">
            <v>934</v>
          </cell>
          <cell r="T365">
            <v>12141</v>
          </cell>
        </row>
        <row r="366">
          <cell r="A366">
            <v>633</v>
          </cell>
          <cell r="B366">
            <v>279</v>
          </cell>
          <cell r="G366" t="str">
            <v>RAUL ALBERTO MEJIA HINCAPIE</v>
          </cell>
          <cell r="Q366">
            <v>380</v>
          </cell>
          <cell r="T366">
            <v>3028</v>
          </cell>
        </row>
        <row r="367">
          <cell r="A367">
            <v>1161</v>
          </cell>
          <cell r="B367">
            <v>279</v>
          </cell>
          <cell r="G367" t="str">
            <v>RAUL ALBERTO MEJIA HINCAPIE</v>
          </cell>
          <cell r="Q367">
            <v>968</v>
          </cell>
          <cell r="T367">
            <v>12006</v>
          </cell>
        </row>
        <row r="368">
          <cell r="A368">
            <v>352</v>
          </cell>
          <cell r="B368">
            <v>280</v>
          </cell>
          <cell r="G368" t="str">
            <v>MIGUEL ANGEL RAMIREZ VELEZ</v>
          </cell>
          <cell r="Q368">
            <v>381</v>
          </cell>
          <cell r="T368">
            <v>2378</v>
          </cell>
        </row>
        <row r="369">
          <cell r="A369">
            <v>46</v>
          </cell>
          <cell r="B369">
            <v>281</v>
          </cell>
          <cell r="G369" t="str">
            <v>MARIBEL CASTRILLON MONTOYA</v>
          </cell>
          <cell r="Q369">
            <v>378</v>
          </cell>
          <cell r="T369">
            <v>3397</v>
          </cell>
        </row>
        <row r="370">
          <cell r="A370">
            <v>56</v>
          </cell>
          <cell r="B370">
            <v>282</v>
          </cell>
          <cell r="G370" t="str">
            <v>ITSEC SAS</v>
          </cell>
          <cell r="Q370">
            <v>289</v>
          </cell>
          <cell r="T370">
            <v>2387</v>
          </cell>
        </row>
        <row r="371">
          <cell r="A371">
            <v>631</v>
          </cell>
          <cell r="B371">
            <v>283</v>
          </cell>
          <cell r="G371" t="str">
            <v xml:space="preserve">JUAN PABLO ZAPATA MONTOYA </v>
          </cell>
          <cell r="Q371">
            <v>379</v>
          </cell>
          <cell r="T371">
            <v>3027</v>
          </cell>
        </row>
        <row r="372">
          <cell r="A372">
            <v>641</v>
          </cell>
          <cell r="B372">
            <v>284</v>
          </cell>
          <cell r="G372" t="str">
            <v>ANDRES FELIPE MUÑOZ PRIETO</v>
          </cell>
          <cell r="Q372">
            <v>397</v>
          </cell>
          <cell r="T372">
            <v>3417</v>
          </cell>
        </row>
        <row r="373">
          <cell r="A373">
            <v>632</v>
          </cell>
          <cell r="B373">
            <v>285</v>
          </cell>
          <cell r="G373" t="str">
            <v>EMPRESA DE PARQUES Y EVENTOS DE ANTIOQUIA- ACTIVA</v>
          </cell>
          <cell r="Q373">
            <v>369</v>
          </cell>
          <cell r="T373">
            <v>2389</v>
          </cell>
        </row>
        <row r="374">
          <cell r="A374">
            <v>1231</v>
          </cell>
          <cell r="B374">
            <v>285</v>
          </cell>
          <cell r="G374" t="str">
            <v>EMPRESA DE PARQUES Y EVENTOS DE ANTIOQUIA- ACTIVA</v>
          </cell>
          <cell r="Q374">
            <v>1051</v>
          </cell>
          <cell r="T374">
            <v>11127</v>
          </cell>
        </row>
        <row r="375">
          <cell r="A375">
            <v>645</v>
          </cell>
          <cell r="B375">
            <v>286</v>
          </cell>
          <cell r="G375" t="str">
            <v xml:space="preserve">ANDRES FELIPE SANCHEZ PALACIO </v>
          </cell>
          <cell r="Q375">
            <v>412</v>
          </cell>
          <cell r="T375">
            <v>3418</v>
          </cell>
        </row>
        <row r="376">
          <cell r="A376" t="str">
            <v>N/A</v>
          </cell>
          <cell r="B376">
            <v>287</v>
          </cell>
          <cell r="G376" t="str">
            <v xml:space="preserve">MATEO MEJIA HERRERA </v>
          </cell>
          <cell r="T376" t="str">
            <v/>
          </cell>
        </row>
        <row r="377">
          <cell r="A377">
            <v>125</v>
          </cell>
          <cell r="B377">
            <v>288</v>
          </cell>
          <cell r="G377" t="str">
            <v>LIGA ANTIOQUEÑA DE LEVANTAMIENTO DE PESAS</v>
          </cell>
          <cell r="Q377">
            <v>388</v>
          </cell>
          <cell r="T377">
            <v>2915</v>
          </cell>
        </row>
        <row r="378">
          <cell r="A378">
            <v>1023</v>
          </cell>
          <cell r="B378">
            <v>288</v>
          </cell>
          <cell r="G378" t="str">
            <v>LIGA ANTIOQUEÑA DE LEVANTAMIENTO DE PESAS</v>
          </cell>
          <cell r="Q378">
            <v>1035</v>
          </cell>
          <cell r="T378">
            <v>10411</v>
          </cell>
        </row>
        <row r="379">
          <cell r="A379">
            <v>644</v>
          </cell>
          <cell r="B379">
            <v>289</v>
          </cell>
          <cell r="G379" t="str">
            <v xml:space="preserve">ASTRID ELENA CASTAÑO ALZATE </v>
          </cell>
          <cell r="Q379">
            <v>408</v>
          </cell>
          <cell r="T379">
            <v>3410</v>
          </cell>
        </row>
        <row r="380">
          <cell r="A380">
            <v>339</v>
          </cell>
          <cell r="B380">
            <v>290</v>
          </cell>
          <cell r="G380" t="str">
            <v>ESTEFANIA PINEDA VASQUEZ</v>
          </cell>
          <cell r="Q380">
            <v>384</v>
          </cell>
          <cell r="T380">
            <v>2993</v>
          </cell>
        </row>
        <row r="381">
          <cell r="A381">
            <v>338</v>
          </cell>
          <cell r="B381">
            <v>291</v>
          </cell>
          <cell r="G381" t="str">
            <v>VANESSA GOMEZ ARROYAVE</v>
          </cell>
          <cell r="Q381">
            <v>385</v>
          </cell>
          <cell r="T381">
            <v>2761</v>
          </cell>
        </row>
        <row r="382">
          <cell r="A382">
            <v>648</v>
          </cell>
          <cell r="B382">
            <v>292</v>
          </cell>
          <cell r="G382" t="str">
            <v>LIGA DE ATLETISMO DE ANTIOQUIA</v>
          </cell>
          <cell r="Q382">
            <v>407</v>
          </cell>
          <cell r="T382">
            <v>3401</v>
          </cell>
        </row>
        <row r="383">
          <cell r="A383">
            <v>630</v>
          </cell>
          <cell r="B383">
            <v>293</v>
          </cell>
          <cell r="G383" t="str">
            <v>WALTER FLORO RIVERA</v>
          </cell>
          <cell r="Q383">
            <v>411</v>
          </cell>
          <cell r="T383">
            <v>3396</v>
          </cell>
        </row>
        <row r="384">
          <cell r="A384">
            <v>1198</v>
          </cell>
          <cell r="B384">
            <v>293</v>
          </cell>
          <cell r="G384" t="str">
            <v>WALTER FLORO RIVERA</v>
          </cell>
          <cell r="Q384">
            <v>1010</v>
          </cell>
          <cell r="T384">
            <v>10543</v>
          </cell>
        </row>
        <row r="385">
          <cell r="A385">
            <v>642</v>
          </cell>
          <cell r="B385">
            <v>294</v>
          </cell>
          <cell r="G385" t="str">
            <v>DANIEL ALEJANDRO CUERVO ARANGO</v>
          </cell>
          <cell r="Q385">
            <v>400</v>
          </cell>
          <cell r="T385">
            <v>3033</v>
          </cell>
        </row>
        <row r="386">
          <cell r="A386">
            <v>1195</v>
          </cell>
          <cell r="B386">
            <v>294</v>
          </cell>
          <cell r="G386" t="str">
            <v>DANIEL ALEJANDRO CUERVO ARANGO</v>
          </cell>
          <cell r="Q386">
            <v>1007</v>
          </cell>
          <cell r="T386">
            <v>10407</v>
          </cell>
        </row>
        <row r="387">
          <cell r="A387">
            <v>626</v>
          </cell>
          <cell r="B387">
            <v>295</v>
          </cell>
          <cell r="G387" t="str">
            <v>DIEGO FERNANDO OSORIO JARAMILLO</v>
          </cell>
          <cell r="Q387">
            <v>405</v>
          </cell>
          <cell r="T387">
            <v>3031</v>
          </cell>
        </row>
        <row r="388">
          <cell r="A388">
            <v>627</v>
          </cell>
          <cell r="B388">
            <v>296</v>
          </cell>
          <cell r="G388" t="str">
            <v>MARÍA ALEJANDRA VALDERRAMA GONZALEZ</v>
          </cell>
          <cell r="Q388">
            <v>426</v>
          </cell>
          <cell r="T388">
            <v>3032</v>
          </cell>
        </row>
        <row r="389">
          <cell r="A389">
            <v>647</v>
          </cell>
          <cell r="B389">
            <v>297</v>
          </cell>
          <cell r="G389" t="str">
            <v xml:space="preserve">MELIZA MUNERA LOPEZ </v>
          </cell>
          <cell r="Q389">
            <v>414</v>
          </cell>
          <cell r="T389">
            <v>2992</v>
          </cell>
        </row>
        <row r="390">
          <cell r="A390">
            <v>1307</v>
          </cell>
          <cell r="B390">
            <v>297</v>
          </cell>
          <cell r="G390" t="str">
            <v xml:space="preserve">MELIZA MUNERA LOPEZ </v>
          </cell>
          <cell r="Q390">
            <v>1199</v>
          </cell>
          <cell r="T390">
            <v>14701</v>
          </cell>
        </row>
        <row r="391">
          <cell r="A391">
            <v>650</v>
          </cell>
          <cell r="B391">
            <v>298</v>
          </cell>
          <cell r="G391" t="str">
            <v>MONCADA &amp; BARRERO ABOGADO S.A.S</v>
          </cell>
          <cell r="Q391">
            <v>415</v>
          </cell>
          <cell r="T391">
            <v>3034</v>
          </cell>
        </row>
        <row r="392">
          <cell r="A392">
            <v>660</v>
          </cell>
          <cell r="B392">
            <v>299</v>
          </cell>
          <cell r="G392" t="str">
            <v xml:space="preserve">ADRIANA MARIA PATIÑO CAMPUZANO </v>
          </cell>
          <cell r="Q392">
            <v>437</v>
          </cell>
          <cell r="T392">
            <v>3420</v>
          </cell>
        </row>
        <row r="393">
          <cell r="A393">
            <v>584</v>
          </cell>
          <cell r="B393">
            <v>300</v>
          </cell>
          <cell r="G393" t="str">
            <v>LITIGIOVIRTUAL.COM S.A.S.</v>
          </cell>
          <cell r="Q393">
            <v>297</v>
          </cell>
          <cell r="T393">
            <v>3035</v>
          </cell>
        </row>
        <row r="394">
          <cell r="A394">
            <v>639</v>
          </cell>
          <cell r="B394">
            <v>301</v>
          </cell>
          <cell r="G394" t="str">
            <v>EMPRESA DE DESARROLLO URBANO DE LA CEJA</v>
          </cell>
          <cell r="Q394">
            <v>392</v>
          </cell>
          <cell r="T394">
            <v>3037</v>
          </cell>
        </row>
        <row r="395">
          <cell r="A395">
            <v>1318</v>
          </cell>
          <cell r="B395">
            <v>301</v>
          </cell>
          <cell r="G395" t="str">
            <v>EMPRESA DE DESARROLLO URBANO DE LA CEJA</v>
          </cell>
          <cell r="Q395">
            <v>1189</v>
          </cell>
          <cell r="T395">
            <v>13245</v>
          </cell>
        </row>
        <row r="396">
          <cell r="A396">
            <v>640</v>
          </cell>
          <cell r="B396">
            <v>302</v>
          </cell>
          <cell r="G396" t="str">
            <v xml:space="preserve">MONICA ISABEL ALZATE VALENCIA </v>
          </cell>
          <cell r="Q396">
            <v>394</v>
          </cell>
          <cell r="T396">
            <v>3395</v>
          </cell>
        </row>
        <row r="397">
          <cell r="A397">
            <v>1204</v>
          </cell>
          <cell r="B397">
            <v>302</v>
          </cell>
          <cell r="G397" t="str">
            <v xml:space="preserve">MONICA ISABEL ALZATE VALENCIA </v>
          </cell>
          <cell r="Q397">
            <v>1014</v>
          </cell>
          <cell r="T397">
            <v>12563</v>
          </cell>
        </row>
        <row r="398">
          <cell r="A398">
            <v>63</v>
          </cell>
          <cell r="B398">
            <v>303</v>
          </cell>
          <cell r="G398" t="str">
            <v>MARIA ALEJANDRA GARCES FLOREZ</v>
          </cell>
          <cell r="Q398">
            <v>402</v>
          </cell>
          <cell r="T398">
            <v>3438</v>
          </cell>
        </row>
        <row r="399">
          <cell r="A399">
            <v>666</v>
          </cell>
          <cell r="B399">
            <v>304</v>
          </cell>
          <cell r="G399" t="str">
            <v>SANTIAGO ZAPATA MARIN</v>
          </cell>
          <cell r="Q399">
            <v>433</v>
          </cell>
          <cell r="T399">
            <v>3424</v>
          </cell>
        </row>
        <row r="400">
          <cell r="A400">
            <v>66</v>
          </cell>
          <cell r="B400">
            <v>305</v>
          </cell>
          <cell r="G400" t="str">
            <v>ALEJANDRO MEJIA CASTAÑEDA</v>
          </cell>
          <cell r="Q400">
            <v>403</v>
          </cell>
          <cell r="T400">
            <v>3427</v>
          </cell>
        </row>
        <row r="401">
          <cell r="A401">
            <v>643</v>
          </cell>
          <cell r="B401">
            <v>306</v>
          </cell>
          <cell r="G401" t="str">
            <v>MAURICIO VELASQUEZ CUADROS</v>
          </cell>
          <cell r="Q401">
            <v>410</v>
          </cell>
          <cell r="T401">
            <v>3407</v>
          </cell>
        </row>
        <row r="402">
          <cell r="A402">
            <v>661</v>
          </cell>
          <cell r="B402">
            <v>307</v>
          </cell>
          <cell r="G402" t="str">
            <v>ANDERSON DE JESUS CASTAÑO CATAÑO</v>
          </cell>
          <cell r="Q402">
            <v>421</v>
          </cell>
          <cell r="T402">
            <v>3431</v>
          </cell>
        </row>
        <row r="403">
          <cell r="A403">
            <v>670</v>
          </cell>
          <cell r="B403">
            <v>308</v>
          </cell>
          <cell r="G403" t="str">
            <v>ANDRÉS MAURICIO VALENCIA RUIZ</v>
          </cell>
          <cell r="Q403">
            <v>427</v>
          </cell>
          <cell r="T403">
            <v>3038</v>
          </cell>
        </row>
        <row r="404">
          <cell r="A404">
            <v>654</v>
          </cell>
          <cell r="B404">
            <v>309</v>
          </cell>
          <cell r="G404" t="str">
            <v>SANDY VIVIANA RUIZ CARVAJAL</v>
          </cell>
          <cell r="Q404">
            <v>436</v>
          </cell>
          <cell r="T404">
            <v>3425</v>
          </cell>
        </row>
        <row r="405">
          <cell r="A405">
            <v>665</v>
          </cell>
          <cell r="B405">
            <v>310</v>
          </cell>
          <cell r="G405" t="str">
            <v>VANESSA KAMMERER GUTIERREZ</v>
          </cell>
          <cell r="Q405">
            <v>434</v>
          </cell>
          <cell r="T405">
            <v>3428</v>
          </cell>
        </row>
        <row r="406">
          <cell r="A406">
            <v>669</v>
          </cell>
          <cell r="B406">
            <v>311</v>
          </cell>
          <cell r="G406" t="str">
            <v xml:space="preserve">FRANQUIN LEON TAMAYO </v>
          </cell>
          <cell r="Q406">
            <v>435</v>
          </cell>
          <cell r="T406">
            <v>3434</v>
          </cell>
        </row>
        <row r="407">
          <cell r="A407">
            <v>646</v>
          </cell>
          <cell r="B407">
            <v>312</v>
          </cell>
          <cell r="G407" t="str">
            <v>SANTIAGO AGUILAR RIOS</v>
          </cell>
          <cell r="Q407">
            <v>409</v>
          </cell>
          <cell r="T407">
            <v>3433</v>
          </cell>
        </row>
        <row r="408">
          <cell r="A408">
            <v>655</v>
          </cell>
          <cell r="B408">
            <v>313</v>
          </cell>
          <cell r="G408" t="str">
            <v>MARIA MONICA PUERTA JARAMILLO</v>
          </cell>
          <cell r="Q408">
            <v>420</v>
          </cell>
          <cell r="T408">
            <v>3436</v>
          </cell>
        </row>
        <row r="409">
          <cell r="A409">
            <v>656</v>
          </cell>
          <cell r="B409">
            <v>314</v>
          </cell>
          <cell r="G409" t="str">
            <v>GLADYS PATRICIA GOMEZ BERNAL</v>
          </cell>
          <cell r="Q409">
            <v>446</v>
          </cell>
          <cell r="T409">
            <v>3437</v>
          </cell>
        </row>
        <row r="410">
          <cell r="A410">
            <v>657</v>
          </cell>
          <cell r="B410">
            <v>315</v>
          </cell>
          <cell r="G410" t="str">
            <v xml:space="preserve">MAGDALENA ROLDAN ESPINAL </v>
          </cell>
          <cell r="Q410">
            <v>445</v>
          </cell>
          <cell r="T410">
            <v>3432</v>
          </cell>
        </row>
        <row r="411">
          <cell r="A411">
            <v>658</v>
          </cell>
          <cell r="B411">
            <v>316</v>
          </cell>
          <cell r="G411" t="str">
            <v xml:space="preserve">ZARAH KAMILA LOPEZ VALLEJO </v>
          </cell>
          <cell r="Q411">
            <v>444</v>
          </cell>
          <cell r="T411">
            <v>3440</v>
          </cell>
        </row>
        <row r="412">
          <cell r="A412">
            <v>659</v>
          </cell>
          <cell r="B412">
            <v>317</v>
          </cell>
          <cell r="G412" t="str">
            <v xml:space="preserve">NANCY DEL SOCORRO PALACIO RAMIREZ </v>
          </cell>
          <cell r="Q412">
            <v>443</v>
          </cell>
          <cell r="T412">
            <v>3430</v>
          </cell>
        </row>
        <row r="413">
          <cell r="A413">
            <v>52</v>
          </cell>
          <cell r="B413">
            <v>318</v>
          </cell>
          <cell r="G413" t="str">
            <v xml:space="preserve">SEBASTIAN BEDOYA GIRALDO </v>
          </cell>
          <cell r="Q413">
            <v>438</v>
          </cell>
          <cell r="T413">
            <v>3441</v>
          </cell>
        </row>
        <row r="414">
          <cell r="A414">
            <v>1241</v>
          </cell>
          <cell r="B414">
            <v>318</v>
          </cell>
          <cell r="G414" t="str">
            <v xml:space="preserve">SEBASTIAN BEDOYA GIRALDO </v>
          </cell>
          <cell r="Q414">
            <v>1073</v>
          </cell>
          <cell r="T414">
            <v>11208</v>
          </cell>
        </row>
        <row r="415">
          <cell r="A415">
            <v>671</v>
          </cell>
          <cell r="B415">
            <v>319</v>
          </cell>
          <cell r="G415" t="str">
            <v xml:space="preserve">MAURICIO ALONSO PATIÑO ZAPATA </v>
          </cell>
          <cell r="Q415">
            <v>440</v>
          </cell>
          <cell r="T415">
            <v>3426</v>
          </cell>
        </row>
        <row r="416">
          <cell r="A416">
            <v>664</v>
          </cell>
          <cell r="B416">
            <v>320</v>
          </cell>
          <cell r="G416" t="str">
            <v>HAROLD PULGARIN RAMIREZ</v>
          </cell>
          <cell r="Q416">
            <v>432</v>
          </cell>
          <cell r="T416">
            <v>3408</v>
          </cell>
        </row>
        <row r="417">
          <cell r="A417">
            <v>663</v>
          </cell>
          <cell r="B417">
            <v>321</v>
          </cell>
          <cell r="G417" t="str">
            <v xml:space="preserve">JUAN MANUEL GALVIS MUÑOZ </v>
          </cell>
          <cell r="Q417">
            <v>429</v>
          </cell>
          <cell r="T417">
            <v>3409</v>
          </cell>
        </row>
        <row r="418">
          <cell r="A418">
            <v>672</v>
          </cell>
          <cell r="B418">
            <v>322</v>
          </cell>
          <cell r="G418" t="str">
            <v>VICTOR HUGO SIERRA DUQUE</v>
          </cell>
          <cell r="Q418">
            <v>441</v>
          </cell>
          <cell r="T418">
            <v>3421</v>
          </cell>
        </row>
        <row r="419">
          <cell r="A419">
            <v>340</v>
          </cell>
          <cell r="B419">
            <v>323</v>
          </cell>
          <cell r="G419" t="str">
            <v xml:space="preserve">MATEO MEJIA HERRERA </v>
          </cell>
          <cell r="Q419">
            <v>439</v>
          </cell>
          <cell r="T419">
            <v>3416</v>
          </cell>
        </row>
        <row r="420">
          <cell r="A420">
            <v>662</v>
          </cell>
          <cell r="B420">
            <v>324</v>
          </cell>
          <cell r="G420" t="str">
            <v>MIRIAM DEL SOCORRO GOMEZ JIMENEZ</v>
          </cell>
          <cell r="Q420">
            <v>423</v>
          </cell>
          <cell r="T420">
            <v>3429</v>
          </cell>
        </row>
        <row r="421">
          <cell r="A421">
            <v>341</v>
          </cell>
          <cell r="B421">
            <v>325</v>
          </cell>
          <cell r="G421" t="str">
            <v xml:space="preserve">MARIA ALEJANDRA PAREJO ORTIZ </v>
          </cell>
          <cell r="Q421">
            <v>386</v>
          </cell>
          <cell r="T421">
            <v>3544</v>
          </cell>
        </row>
        <row r="422">
          <cell r="A422">
            <v>667</v>
          </cell>
          <cell r="B422">
            <v>326</v>
          </cell>
          <cell r="G422" t="str">
            <v>JUAN ESTEBAN SILVA ORDOÑEZ</v>
          </cell>
          <cell r="Q422">
            <v>431</v>
          </cell>
          <cell r="T422">
            <v>3545</v>
          </cell>
        </row>
        <row r="423">
          <cell r="A423">
            <v>104</v>
          </cell>
          <cell r="B423">
            <v>327</v>
          </cell>
          <cell r="G423" t="str">
            <v xml:space="preserve">LIGA ANTIOQUEÑA DE ARQUERIA </v>
          </cell>
          <cell r="Q423">
            <v>447</v>
          </cell>
          <cell r="T423">
            <v>3524</v>
          </cell>
        </row>
        <row r="424">
          <cell r="A424">
            <v>1244</v>
          </cell>
          <cell r="B424">
            <v>327</v>
          </cell>
          <cell r="G424" t="str">
            <v xml:space="preserve">LIGA ANTIOQUEÑA DE ARQUERIA </v>
          </cell>
          <cell r="Q424">
            <v>1071</v>
          </cell>
          <cell r="T424">
            <v>11139</v>
          </cell>
        </row>
        <row r="425">
          <cell r="A425">
            <v>629</v>
          </cell>
          <cell r="B425">
            <v>328</v>
          </cell>
          <cell r="G425" t="str">
            <v xml:space="preserve">SARA AGUDELO AGUDELO </v>
          </cell>
          <cell r="Q425">
            <v>422</v>
          </cell>
          <cell r="T425">
            <v>3525</v>
          </cell>
        </row>
        <row r="426">
          <cell r="A426">
            <v>668</v>
          </cell>
          <cell r="B426">
            <v>329</v>
          </cell>
          <cell r="G426" t="str">
            <v xml:space="preserve">JUAN CAMILO HERRERA CANO </v>
          </cell>
          <cell r="Q426">
            <v>428</v>
          </cell>
          <cell r="T426">
            <v>4084</v>
          </cell>
        </row>
        <row r="427">
          <cell r="A427">
            <v>31</v>
          </cell>
          <cell r="B427">
            <v>330</v>
          </cell>
          <cell r="G427" t="str">
            <v>DISTRACOM S.A.</v>
          </cell>
          <cell r="Q427">
            <v>307</v>
          </cell>
          <cell r="T427">
            <v>3411</v>
          </cell>
        </row>
        <row r="428">
          <cell r="A428">
            <v>165</v>
          </cell>
          <cell r="B428">
            <v>331</v>
          </cell>
          <cell r="G428" t="str">
            <v xml:space="preserve">JUAN PABLO ROBLEDO PEÑA </v>
          </cell>
          <cell r="Q428">
            <v>453</v>
          </cell>
          <cell r="T428">
            <v>3548</v>
          </cell>
        </row>
        <row r="429">
          <cell r="A429">
            <v>602</v>
          </cell>
          <cell r="B429">
            <v>332</v>
          </cell>
          <cell r="G429" t="str">
            <v>GABRIEL MENA MARTINEZ</v>
          </cell>
          <cell r="Q429">
            <v>459</v>
          </cell>
          <cell r="T429">
            <v>4093</v>
          </cell>
        </row>
        <row r="430">
          <cell r="A430">
            <v>211</v>
          </cell>
          <cell r="B430">
            <v>333</v>
          </cell>
          <cell r="G430" t="str">
            <v xml:space="preserve">LUIS FELIPE LAVERDE JIMENEZ </v>
          </cell>
          <cell r="Q430">
            <v>456</v>
          </cell>
          <cell r="T430">
            <v>3547</v>
          </cell>
        </row>
        <row r="431">
          <cell r="A431">
            <v>231</v>
          </cell>
          <cell r="B431">
            <v>334</v>
          </cell>
          <cell r="G431" t="str">
            <v>LEOCADIO DE JESUS VELEZ LOPEZ</v>
          </cell>
          <cell r="Q431">
            <v>455</v>
          </cell>
          <cell r="T431">
            <v>3546</v>
          </cell>
        </row>
        <row r="432">
          <cell r="A432">
            <v>239</v>
          </cell>
          <cell r="B432">
            <v>335</v>
          </cell>
          <cell r="G432" t="str">
            <v>CESAR AUGUSTO LAVERDE RUEDA</v>
          </cell>
          <cell r="Q432">
            <v>454</v>
          </cell>
          <cell r="T432">
            <v>4088</v>
          </cell>
        </row>
        <row r="433">
          <cell r="A433">
            <v>674</v>
          </cell>
          <cell r="B433">
            <v>336</v>
          </cell>
          <cell r="G433" t="str">
            <v xml:space="preserve">SEBASTIAN ANTONIO LOPERA CANO </v>
          </cell>
          <cell r="Q433">
            <v>465</v>
          </cell>
          <cell r="T433">
            <v>4090</v>
          </cell>
        </row>
        <row r="434">
          <cell r="A434">
            <v>605</v>
          </cell>
          <cell r="B434">
            <v>337</v>
          </cell>
          <cell r="G434" t="str">
            <v>JUAN CAMILO GIRALDO ALVAREZ</v>
          </cell>
          <cell r="Q434">
            <v>462</v>
          </cell>
          <cell r="T434">
            <v>4091</v>
          </cell>
        </row>
        <row r="435">
          <cell r="A435">
            <v>606</v>
          </cell>
          <cell r="B435">
            <v>338</v>
          </cell>
          <cell r="G435" t="str">
            <v xml:space="preserve">LUIS ANTONIO JIMENEZ VASQUEZ </v>
          </cell>
          <cell r="Q435">
            <v>463</v>
          </cell>
          <cell r="T435">
            <v>4092</v>
          </cell>
        </row>
        <row r="436">
          <cell r="A436" t="str">
            <v>N/A</v>
          </cell>
          <cell r="B436">
            <v>339</v>
          </cell>
          <cell r="G436" t="str">
            <v>ANGEL HORACIO BARRIOS HERNANDEZ</v>
          </cell>
          <cell r="Q436">
            <v>460</v>
          </cell>
          <cell r="T436">
            <v>4087</v>
          </cell>
        </row>
        <row r="437">
          <cell r="A437">
            <v>676</v>
          </cell>
          <cell r="B437">
            <v>340</v>
          </cell>
          <cell r="G437" t="str">
            <v>CRISTIAN CAMILO HIGUITA ALVAREZ</v>
          </cell>
          <cell r="Q437">
            <v>458</v>
          </cell>
          <cell r="T437">
            <v>4089</v>
          </cell>
        </row>
        <row r="438">
          <cell r="A438">
            <v>677</v>
          </cell>
          <cell r="B438">
            <v>341</v>
          </cell>
          <cell r="G438" t="str">
            <v xml:space="preserve">SEBASTIAN GONZALEZ TAMAYO </v>
          </cell>
          <cell r="Q438">
            <v>461</v>
          </cell>
          <cell r="T438">
            <v>4085</v>
          </cell>
        </row>
        <row r="439">
          <cell r="A439">
            <v>372</v>
          </cell>
          <cell r="B439">
            <v>342</v>
          </cell>
          <cell r="G439" t="str">
            <v>CORPORACIÓN CARIBA</v>
          </cell>
          <cell r="Q439">
            <v>457</v>
          </cell>
          <cell r="T439">
            <v>4470</v>
          </cell>
        </row>
        <row r="440">
          <cell r="A440">
            <v>29</v>
          </cell>
          <cell r="B440">
            <v>343</v>
          </cell>
          <cell r="G440" t="str">
            <v>SUMINISTROS Y ELEMENTOS EMPRESARIALES S.A.S</v>
          </cell>
          <cell r="Q440">
            <v>303</v>
          </cell>
          <cell r="T440">
            <v>4095</v>
          </cell>
        </row>
        <row r="441">
          <cell r="A441">
            <v>589</v>
          </cell>
          <cell r="B441">
            <v>344</v>
          </cell>
          <cell r="G441" t="str">
            <v>AVOLAR VIAJES Y TURISMO LTDA</v>
          </cell>
          <cell r="Q441">
            <v>306</v>
          </cell>
          <cell r="T441">
            <v>4463</v>
          </cell>
        </row>
        <row r="442">
          <cell r="A442">
            <v>1254</v>
          </cell>
          <cell r="B442">
            <v>344</v>
          </cell>
          <cell r="G442" t="str">
            <v>AVOLAR VIAJES Y TURISMO LTDA</v>
          </cell>
          <cell r="Q442">
            <v>1082</v>
          </cell>
          <cell r="T442">
            <v>11124</v>
          </cell>
        </row>
        <row r="443">
          <cell r="A443">
            <v>68</v>
          </cell>
          <cell r="B443">
            <v>345</v>
          </cell>
          <cell r="G443" t="str">
            <v xml:space="preserve">VERONICA GONZALEZ ALEMAN </v>
          </cell>
          <cell r="Q443">
            <v>401</v>
          </cell>
          <cell r="T443">
            <v>4469</v>
          </cell>
        </row>
        <row r="444">
          <cell r="A444">
            <v>111</v>
          </cell>
          <cell r="B444">
            <v>346</v>
          </cell>
          <cell r="G444" t="str">
            <v>LIGA DEPORTIVA DE PERSONAS SORDAS DE ANTIOQUIA</v>
          </cell>
          <cell r="Q444">
            <v>475</v>
          </cell>
          <cell r="T444">
            <v>4531</v>
          </cell>
        </row>
        <row r="445">
          <cell r="A445">
            <v>1147</v>
          </cell>
          <cell r="B445">
            <v>346</v>
          </cell>
          <cell r="G445" t="str">
            <v>LIGA DEPORTIVA DE PERSONAS SORDAS DE ANTIOQUIA</v>
          </cell>
          <cell r="Q445">
            <v>949</v>
          </cell>
          <cell r="T445">
            <v>11104</v>
          </cell>
        </row>
        <row r="446">
          <cell r="A446">
            <v>684</v>
          </cell>
          <cell r="B446">
            <v>347</v>
          </cell>
          <cell r="G446" t="str">
            <v>MONICA PATRICIA ROMAN GARCES</v>
          </cell>
          <cell r="Q446">
            <v>478</v>
          </cell>
          <cell r="T446">
            <v>4475</v>
          </cell>
        </row>
        <row r="447">
          <cell r="A447">
            <v>1336</v>
          </cell>
          <cell r="B447">
            <v>347</v>
          </cell>
          <cell r="G447" t="str">
            <v>MONICA PATRICIA ROMAN GARCES</v>
          </cell>
          <cell r="Q447">
            <v>1232</v>
          </cell>
          <cell r="T447">
            <v>15151</v>
          </cell>
        </row>
        <row r="448">
          <cell r="A448">
            <v>681</v>
          </cell>
          <cell r="B448">
            <v>348</v>
          </cell>
          <cell r="G448" t="str">
            <v xml:space="preserve">JULIAN ESTEBAN ARBELAEZ ZAPATA </v>
          </cell>
          <cell r="Q448">
            <v>479</v>
          </cell>
          <cell r="T448">
            <v>4474</v>
          </cell>
        </row>
        <row r="449">
          <cell r="A449">
            <v>268</v>
          </cell>
          <cell r="B449">
            <v>349</v>
          </cell>
          <cell r="G449" t="str">
            <v>JORGE LUCIANO FARIAS</v>
          </cell>
          <cell r="Q449">
            <v>464</v>
          </cell>
          <cell r="T449">
            <v>4473</v>
          </cell>
        </row>
        <row r="450">
          <cell r="A450">
            <v>683</v>
          </cell>
          <cell r="B450">
            <v>350</v>
          </cell>
          <cell r="G450" t="str">
            <v xml:space="preserve">EDER LEANDRE GARRIDO GUISAO </v>
          </cell>
          <cell r="Q450">
            <v>482</v>
          </cell>
          <cell r="T450">
            <v>4472</v>
          </cell>
        </row>
        <row r="451">
          <cell r="A451">
            <v>1335</v>
          </cell>
          <cell r="B451">
            <v>350</v>
          </cell>
          <cell r="G451" t="str">
            <v xml:space="preserve">EDER LEANDRE GARRIDO GUISAO </v>
          </cell>
          <cell r="Q451">
            <v>1226</v>
          </cell>
          <cell r="T451">
            <v>15129</v>
          </cell>
        </row>
        <row r="452">
          <cell r="A452">
            <v>370</v>
          </cell>
          <cell r="B452">
            <v>351</v>
          </cell>
          <cell r="G452" t="str">
            <v>ASOCIACIÓN DE ENTES DEPORTIVOS DEL SUROESTE ANTIOQUEÑO - ASDESA -</v>
          </cell>
          <cell r="Q452">
            <v>480</v>
          </cell>
          <cell r="T452">
            <v>4621</v>
          </cell>
        </row>
        <row r="453">
          <cell r="A453">
            <v>1289</v>
          </cell>
          <cell r="B453">
            <v>351</v>
          </cell>
          <cell r="G453" t="str">
            <v>ASOCIACIÓN DE ENTES DEPORTIVOS DEL SUROESTE ANTIOQUEÑO - ASDESA -</v>
          </cell>
          <cell r="Q453">
            <v>1126</v>
          </cell>
          <cell r="T453">
            <v>11953</v>
          </cell>
        </row>
        <row r="454">
          <cell r="A454">
            <v>127</v>
          </cell>
          <cell r="B454">
            <v>352</v>
          </cell>
          <cell r="G454" t="str">
            <v>LIGA DE ATLETISMO DE ANTIOQUIA</v>
          </cell>
          <cell r="Q454">
            <v>476</v>
          </cell>
          <cell r="T454">
            <v>4620</v>
          </cell>
        </row>
        <row r="455">
          <cell r="A455">
            <v>88</v>
          </cell>
          <cell r="B455">
            <v>353</v>
          </cell>
          <cell r="G455" t="str">
            <v>LIGA ANTIOQUEÑA DE BALONCESTO</v>
          </cell>
          <cell r="Q455">
            <v>474</v>
          </cell>
          <cell r="T455">
            <v>4619</v>
          </cell>
        </row>
        <row r="456">
          <cell r="A456">
            <v>625</v>
          </cell>
          <cell r="B456">
            <v>354</v>
          </cell>
          <cell r="G456" t="str">
            <v>DIEGO ARMANDO RENDÓN PARRA</v>
          </cell>
          <cell r="Q456">
            <v>404</v>
          </cell>
          <cell r="T456">
            <v>4539</v>
          </cell>
        </row>
        <row r="457">
          <cell r="A457">
            <v>682</v>
          </cell>
          <cell r="B457">
            <v>355</v>
          </cell>
          <cell r="G457" t="str">
            <v>DIEGO RAFAEL ECHAVARRIA MUÑOZ</v>
          </cell>
          <cell r="Q457">
            <v>489</v>
          </cell>
          <cell r="T457">
            <v>4532</v>
          </cell>
        </row>
        <row r="458">
          <cell r="A458">
            <v>688</v>
          </cell>
          <cell r="B458">
            <v>356</v>
          </cell>
          <cell r="G458" t="str">
            <v>MUNICIPIO DE TOLEDO</v>
          </cell>
          <cell r="Q458">
            <v>501</v>
          </cell>
          <cell r="T458">
            <v>4537</v>
          </cell>
        </row>
        <row r="459">
          <cell r="A459">
            <v>689</v>
          </cell>
          <cell r="B459">
            <v>357</v>
          </cell>
          <cell r="G459" t="str">
            <v xml:space="preserve">MUNICIPIO DE SAN ROQUE </v>
          </cell>
          <cell r="Q459">
            <v>502</v>
          </cell>
          <cell r="T459">
            <v>4538</v>
          </cell>
        </row>
        <row r="460">
          <cell r="A460">
            <v>75</v>
          </cell>
          <cell r="B460">
            <v>358</v>
          </cell>
          <cell r="G460" t="str">
            <v>LIGA DE ATLETISMO DE ANTIOQUIA</v>
          </cell>
          <cell r="Q460">
            <v>500</v>
          </cell>
          <cell r="T460">
            <v>4633</v>
          </cell>
        </row>
        <row r="461">
          <cell r="A461">
            <v>1297</v>
          </cell>
          <cell r="B461">
            <v>358</v>
          </cell>
          <cell r="G461" t="str">
            <v>LIGA DE ATLETISMO DE ANTIOQUIA</v>
          </cell>
          <cell r="Q461">
            <v>1157</v>
          </cell>
          <cell r="T461">
            <v>13359</v>
          </cell>
        </row>
        <row r="462">
          <cell r="A462" t="str">
            <v>ANULADO</v>
          </cell>
          <cell r="B462">
            <v>359</v>
          </cell>
          <cell r="G462">
            <v>0</v>
          </cell>
          <cell r="Q462">
            <v>0</v>
          </cell>
          <cell r="T462" t="str">
            <v/>
          </cell>
        </row>
        <row r="463">
          <cell r="A463">
            <v>98</v>
          </cell>
          <cell r="B463">
            <v>360</v>
          </cell>
          <cell r="G463" t="str">
            <v>LIGA ANTIOQUEÑA DE RUGBY FUTBOL</v>
          </cell>
          <cell r="Q463">
            <v>497</v>
          </cell>
          <cell r="T463">
            <v>4632</v>
          </cell>
        </row>
        <row r="464">
          <cell r="A464">
            <v>1247</v>
          </cell>
          <cell r="B464">
            <v>360</v>
          </cell>
          <cell r="G464" t="str">
            <v>LIGA ANTIOQUEÑA DE RUGBY FUTBOL</v>
          </cell>
          <cell r="Q464">
            <v>1075</v>
          </cell>
          <cell r="T464">
            <v>14694</v>
          </cell>
        </row>
        <row r="465">
          <cell r="A465">
            <v>679</v>
          </cell>
          <cell r="B465">
            <v>361</v>
          </cell>
          <cell r="G465" t="str">
            <v>JUAN CAMILO VALENCIA GALVIS</v>
          </cell>
          <cell r="Q465">
            <v>466</v>
          </cell>
          <cell r="T465">
            <v>4645</v>
          </cell>
        </row>
        <row r="466">
          <cell r="A466">
            <v>516</v>
          </cell>
          <cell r="B466">
            <v>362</v>
          </cell>
          <cell r="G466" t="str">
            <v>AUTOAMERICA S.A.</v>
          </cell>
          <cell r="Q466">
            <v>334</v>
          </cell>
          <cell r="T466">
            <v>4644</v>
          </cell>
        </row>
        <row r="467">
          <cell r="A467">
            <v>1038</v>
          </cell>
          <cell r="B467">
            <v>362</v>
          </cell>
          <cell r="G467" t="str">
            <v>AUTOAMERICA S.A.</v>
          </cell>
          <cell r="Q467">
            <v>973</v>
          </cell>
          <cell r="T467">
            <v>11106</v>
          </cell>
        </row>
        <row r="468">
          <cell r="A468">
            <v>86</v>
          </cell>
          <cell r="B468">
            <v>363</v>
          </cell>
          <cell r="G468" t="str">
            <v>LIGA ANTIOQUEÑA DE KARATE DO</v>
          </cell>
          <cell r="Q468">
            <v>495</v>
          </cell>
          <cell r="T468">
            <v>4628</v>
          </cell>
        </row>
        <row r="469">
          <cell r="A469">
            <v>1226</v>
          </cell>
          <cell r="B469">
            <v>363</v>
          </cell>
          <cell r="G469" t="str">
            <v>LIGA ANTIOQUEÑA DE KARATE DO</v>
          </cell>
          <cell r="Q469">
            <v>1043</v>
          </cell>
          <cell r="T469">
            <v>10542</v>
          </cell>
        </row>
        <row r="470">
          <cell r="A470">
            <v>113</v>
          </cell>
          <cell r="B470">
            <v>364</v>
          </cell>
          <cell r="G470" t="str">
            <v>LIGA DE LIMITACIÓN MENTAL DE ANTIOQUIA</v>
          </cell>
          <cell r="Q470">
            <v>514</v>
          </cell>
          <cell r="T470">
            <v>4634</v>
          </cell>
        </row>
        <row r="471">
          <cell r="A471">
            <v>1146</v>
          </cell>
          <cell r="B471">
            <v>364</v>
          </cell>
          <cell r="G471" t="str">
            <v>LIGA DE LIMITACIÓN MENTAL DE ANTIOQUIA</v>
          </cell>
          <cell r="Q471">
            <v>948</v>
          </cell>
          <cell r="T471">
            <v>9905</v>
          </cell>
        </row>
        <row r="472">
          <cell r="A472">
            <v>34</v>
          </cell>
          <cell r="B472">
            <v>365</v>
          </cell>
          <cell r="G472" t="str">
            <v xml:space="preserve">SEISO S.A.S </v>
          </cell>
          <cell r="Q472">
            <v>304</v>
          </cell>
          <cell r="T472">
            <v>4629</v>
          </cell>
        </row>
        <row r="473">
          <cell r="A473">
            <v>705</v>
          </cell>
          <cell r="B473">
            <v>366</v>
          </cell>
          <cell r="G473" t="str">
            <v>LIGA DE NATACIÓN DE ANTIOQUIA</v>
          </cell>
          <cell r="Q473">
            <v>521</v>
          </cell>
          <cell r="T473">
            <v>4639</v>
          </cell>
        </row>
        <row r="474">
          <cell r="A474">
            <v>1164</v>
          </cell>
          <cell r="B474">
            <v>366</v>
          </cell>
          <cell r="G474" t="str">
            <v>LIGA DE NATACIÓN DE ANTIOQUIA</v>
          </cell>
          <cell r="Q474">
            <v>1017</v>
          </cell>
          <cell r="T474">
            <v>14698</v>
          </cell>
        </row>
        <row r="475">
          <cell r="A475">
            <v>752</v>
          </cell>
          <cell r="B475">
            <v>367</v>
          </cell>
          <cell r="G475" t="str">
            <v xml:space="preserve">LAURA VICTORIA COLORADO NAVARRO </v>
          </cell>
          <cell r="Q475">
            <v>523</v>
          </cell>
          <cell r="T475">
            <v>5845</v>
          </cell>
        </row>
        <row r="476">
          <cell r="A476">
            <v>751</v>
          </cell>
          <cell r="B476">
            <v>368</v>
          </cell>
          <cell r="G476" t="str">
            <v>ANA MARIA CASTAÑO OCHOA</v>
          </cell>
          <cell r="Q476">
            <v>522</v>
          </cell>
          <cell r="T476">
            <v>5846</v>
          </cell>
        </row>
        <row r="477">
          <cell r="A477">
            <v>753</v>
          </cell>
          <cell r="B477">
            <v>369</v>
          </cell>
          <cell r="G477" t="str">
            <v xml:space="preserve">PABLO ANDRES URIBE CALLE </v>
          </cell>
          <cell r="Q477">
            <v>524</v>
          </cell>
          <cell r="T477">
            <v>5837</v>
          </cell>
        </row>
        <row r="478">
          <cell r="A478">
            <v>735</v>
          </cell>
          <cell r="B478">
            <v>370</v>
          </cell>
          <cell r="G478" t="str">
            <v xml:space="preserve">RICHARD LEON VIZCAYA </v>
          </cell>
          <cell r="Q478">
            <v>540</v>
          </cell>
          <cell r="T478">
            <v>5586</v>
          </cell>
        </row>
        <row r="479">
          <cell r="A479">
            <v>57</v>
          </cell>
          <cell r="B479">
            <v>371</v>
          </cell>
          <cell r="G479" t="str">
            <v>SOLUCIONES EN SEGURIDAD INFORMÁTICA S.A.S</v>
          </cell>
          <cell r="Q479">
            <v>503</v>
          </cell>
          <cell r="T479">
            <v>5590</v>
          </cell>
        </row>
        <row r="480">
          <cell r="A480">
            <v>690</v>
          </cell>
          <cell r="B480">
            <v>372</v>
          </cell>
          <cell r="G480" t="str">
            <v>MUNICIPIO DE SAN LUIS</v>
          </cell>
          <cell r="Q480">
            <v>510</v>
          </cell>
          <cell r="T480">
            <v>5582</v>
          </cell>
        </row>
        <row r="481">
          <cell r="A481">
            <v>693</v>
          </cell>
          <cell r="B481">
            <v>373</v>
          </cell>
          <cell r="G481" t="str">
            <v>MUNICIPIO DE SAN JUAN DE URABÁ</v>
          </cell>
          <cell r="Q481">
            <v>508</v>
          </cell>
          <cell r="T481">
            <v>5585</v>
          </cell>
        </row>
        <row r="482">
          <cell r="A482">
            <v>686</v>
          </cell>
          <cell r="B482">
            <v>374</v>
          </cell>
          <cell r="G482" t="str">
            <v>UNIVERSIDAD DE ANTIOQUIA</v>
          </cell>
          <cell r="Q482">
            <v>507</v>
          </cell>
          <cell r="T482">
            <v>6042</v>
          </cell>
        </row>
        <row r="483">
          <cell r="A483">
            <v>692</v>
          </cell>
          <cell r="B483">
            <v>375</v>
          </cell>
          <cell r="G483" t="str">
            <v>MUNICIPIO DE SALGAR</v>
          </cell>
          <cell r="Q483">
            <v>506</v>
          </cell>
          <cell r="T483">
            <v>5584</v>
          </cell>
        </row>
        <row r="484">
          <cell r="A484" t="str">
            <v>ANULADO</v>
          </cell>
          <cell r="B484">
            <v>376</v>
          </cell>
          <cell r="G484" t="str">
            <v xml:space="preserve">ANULADO </v>
          </cell>
          <cell r="Q484">
            <v>0</v>
          </cell>
          <cell r="T484" t="str">
            <v/>
          </cell>
        </row>
        <row r="485">
          <cell r="A485">
            <v>691</v>
          </cell>
          <cell r="B485">
            <v>377</v>
          </cell>
          <cell r="G485" t="str">
            <v>JUNTA MUNICIPAL DE DEPORTES</v>
          </cell>
          <cell r="Q485">
            <v>509</v>
          </cell>
          <cell r="T485">
            <v>5583</v>
          </cell>
        </row>
        <row r="486">
          <cell r="A486">
            <v>709</v>
          </cell>
          <cell r="B486">
            <v>378</v>
          </cell>
          <cell r="G486" t="str">
            <v>LIGA DE PATINAJE DE ANTIOQUIA</v>
          </cell>
          <cell r="Q486">
            <v>539</v>
          </cell>
          <cell r="T486">
            <v>5847</v>
          </cell>
        </row>
        <row r="487">
          <cell r="A487">
            <v>1308</v>
          </cell>
          <cell r="B487">
            <v>378</v>
          </cell>
          <cell r="G487" t="str">
            <v>LIGA DE PATINAJE DE ANTIOQUIA</v>
          </cell>
          <cell r="Q487">
            <v>1185</v>
          </cell>
          <cell r="T487">
            <v>14497</v>
          </cell>
        </row>
        <row r="488">
          <cell r="A488">
            <v>103</v>
          </cell>
          <cell r="B488">
            <v>379</v>
          </cell>
          <cell r="G488" t="str">
            <v>LIGA DE BOXEO DE ANTIOQUIA</v>
          </cell>
          <cell r="Q488">
            <v>551</v>
          </cell>
          <cell r="T488">
            <v>5836</v>
          </cell>
        </row>
        <row r="489">
          <cell r="A489">
            <v>1149</v>
          </cell>
          <cell r="B489">
            <v>379</v>
          </cell>
          <cell r="G489" t="str">
            <v>LIGA DE BOXEO DE ANTIOQUIA</v>
          </cell>
          <cell r="Q489">
            <v>952</v>
          </cell>
          <cell r="T489">
            <v>10546</v>
          </cell>
        </row>
        <row r="490">
          <cell r="A490">
            <v>80</v>
          </cell>
          <cell r="B490">
            <v>380</v>
          </cell>
          <cell r="G490" t="str">
            <v>LIGA ANTIOQUEÑA DE LUCHA</v>
          </cell>
          <cell r="Q490">
            <v>542</v>
          </cell>
          <cell r="T490">
            <v>5835</v>
          </cell>
        </row>
        <row r="491">
          <cell r="A491">
            <v>1148</v>
          </cell>
          <cell r="B491">
            <v>380</v>
          </cell>
          <cell r="G491" t="str">
            <v>LIGA ANTIOQUEÑA DE LUCHA</v>
          </cell>
          <cell r="Q491">
            <v>951</v>
          </cell>
          <cell r="T491">
            <v>10550</v>
          </cell>
        </row>
        <row r="492">
          <cell r="A492">
            <v>109</v>
          </cell>
          <cell r="B492">
            <v>381</v>
          </cell>
          <cell r="G492" t="str">
            <v>LIGA DE BILLAR DE ANTIOQUIA - LIDEBIAN</v>
          </cell>
          <cell r="Q492">
            <v>499</v>
          </cell>
          <cell r="T492">
            <v>5981</v>
          </cell>
        </row>
        <row r="493">
          <cell r="A493">
            <v>725</v>
          </cell>
          <cell r="B493">
            <v>382</v>
          </cell>
          <cell r="G493" t="str">
            <v>ALEXI LEIVA PAJAN</v>
          </cell>
          <cell r="Q493">
            <v>558</v>
          </cell>
          <cell r="T493">
            <v>5838</v>
          </cell>
        </row>
        <row r="494">
          <cell r="A494">
            <v>726</v>
          </cell>
          <cell r="B494">
            <v>383</v>
          </cell>
          <cell r="G494" t="str">
            <v>LAZARO ALBERTO PASTOR CHIRINO</v>
          </cell>
          <cell r="Q494">
            <v>559</v>
          </cell>
          <cell r="T494">
            <v>5839</v>
          </cell>
        </row>
        <row r="495">
          <cell r="A495">
            <v>727</v>
          </cell>
          <cell r="B495">
            <v>384</v>
          </cell>
          <cell r="G495" t="str">
            <v xml:space="preserve">YANISEL PEREZ ACUÑA </v>
          </cell>
          <cell r="Q495">
            <v>556</v>
          </cell>
          <cell r="T495">
            <v>5840</v>
          </cell>
        </row>
        <row r="496">
          <cell r="A496">
            <v>728</v>
          </cell>
          <cell r="B496">
            <v>385</v>
          </cell>
          <cell r="G496" t="str">
            <v>YOSDANY NAVARRO MUÑOZ</v>
          </cell>
          <cell r="Q496">
            <v>557</v>
          </cell>
          <cell r="T496">
            <v>5841</v>
          </cell>
        </row>
        <row r="497">
          <cell r="A497">
            <v>732</v>
          </cell>
          <cell r="B497">
            <v>386</v>
          </cell>
          <cell r="G497" t="str">
            <v>JUAN EUGENIO DAUDINOT CABALLERO</v>
          </cell>
          <cell r="Q497">
            <v>537</v>
          </cell>
          <cell r="T497">
            <v>5844</v>
          </cell>
        </row>
        <row r="498">
          <cell r="A498">
            <v>733</v>
          </cell>
          <cell r="B498">
            <v>387</v>
          </cell>
          <cell r="G498" t="str">
            <v>RAYNEL LEÓN VILLAFAÑA</v>
          </cell>
          <cell r="Q498">
            <v>534</v>
          </cell>
          <cell r="T498">
            <v>5842</v>
          </cell>
        </row>
        <row r="499">
          <cell r="A499">
            <v>734</v>
          </cell>
          <cell r="B499">
            <v>388</v>
          </cell>
          <cell r="G499" t="str">
            <v>MIGUEL ANGEL MUÑOZ SANCHEZ</v>
          </cell>
          <cell r="Q499">
            <v>538</v>
          </cell>
          <cell r="T499">
            <v>5843</v>
          </cell>
        </row>
        <row r="500">
          <cell r="A500">
            <v>761</v>
          </cell>
          <cell r="B500">
            <v>389</v>
          </cell>
          <cell r="G500" t="str">
            <v xml:space="preserve">CAMILA GOMEZ MARIN </v>
          </cell>
          <cell r="Q500">
            <v>529</v>
          </cell>
          <cell r="T500">
            <v>5589</v>
          </cell>
        </row>
        <row r="501">
          <cell r="A501">
            <v>365</v>
          </cell>
          <cell r="B501">
            <v>390</v>
          </cell>
          <cell r="G501" t="str">
            <v>CONSORCIO FORMA INVERAIZ INDEPORTES 2024</v>
          </cell>
          <cell r="Q501">
            <v>387</v>
          </cell>
          <cell r="T501">
            <v>5852</v>
          </cell>
        </row>
        <row r="502">
          <cell r="A502">
            <v>754</v>
          </cell>
          <cell r="B502">
            <v>391</v>
          </cell>
          <cell r="G502" t="str">
            <v>JOHANA PATRICIA RAMIREZ ARGUMEDO</v>
          </cell>
          <cell r="Q502">
            <v>525</v>
          </cell>
          <cell r="T502">
            <v>5848</v>
          </cell>
        </row>
        <row r="503">
          <cell r="A503">
            <v>711</v>
          </cell>
          <cell r="B503">
            <v>392</v>
          </cell>
          <cell r="G503" t="str">
            <v>LIGA ANTIOQUEÑA DE BALONCESTO</v>
          </cell>
          <cell r="Q503">
            <v>564</v>
          </cell>
          <cell r="T503">
            <v>5982</v>
          </cell>
        </row>
        <row r="504">
          <cell r="A504">
            <v>702</v>
          </cell>
          <cell r="B504">
            <v>393</v>
          </cell>
          <cell r="G504" t="str">
            <v xml:space="preserve">LIGA DE CICLISMO DE ANTIOQUIA          </v>
          </cell>
          <cell r="Q504">
            <v>560</v>
          </cell>
          <cell r="T504">
            <v>5983</v>
          </cell>
        </row>
        <row r="505">
          <cell r="A505">
            <v>1248</v>
          </cell>
          <cell r="B505">
            <v>393</v>
          </cell>
          <cell r="G505" t="str">
            <v xml:space="preserve">LIGA DE CICLISMO DE ANTIOQUIA          </v>
          </cell>
          <cell r="Q505">
            <v>1067</v>
          </cell>
          <cell r="T505">
            <v>12116</v>
          </cell>
        </row>
        <row r="506">
          <cell r="A506">
            <v>782</v>
          </cell>
          <cell r="B506">
            <v>394</v>
          </cell>
          <cell r="G506" t="str">
            <v>EMPRESA DE PARQUES Y EVENTOS DE ANTIOQUIA- ACTIVA</v>
          </cell>
          <cell r="Q506">
            <v>545</v>
          </cell>
          <cell r="T506">
            <v>6577</v>
          </cell>
        </row>
        <row r="507">
          <cell r="A507">
            <v>712</v>
          </cell>
          <cell r="B507">
            <v>395</v>
          </cell>
          <cell r="G507" t="str">
            <v>LIGA ANTIOQUEÑA DE GIMNASIA - LIANGIMNASIA</v>
          </cell>
          <cell r="Q507">
            <v>561</v>
          </cell>
          <cell r="T507">
            <v>6045</v>
          </cell>
        </row>
        <row r="508">
          <cell r="A508">
            <v>1245</v>
          </cell>
          <cell r="B508">
            <v>395</v>
          </cell>
          <cell r="G508" t="str">
            <v>LIGA ANTIOQUEÑA DE GIMNASIA - LIANGIMNASIA</v>
          </cell>
          <cell r="Q508">
            <v>1072</v>
          </cell>
          <cell r="T508">
            <v>13876</v>
          </cell>
        </row>
        <row r="509">
          <cell r="A509">
            <v>37</v>
          </cell>
          <cell r="B509">
            <v>396</v>
          </cell>
          <cell r="G509" t="str">
            <v>VIVIANA VASQUEZ SILVA</v>
          </cell>
          <cell r="Q509">
            <v>527</v>
          </cell>
          <cell r="T509">
            <v>6044</v>
          </cell>
        </row>
        <row r="510">
          <cell r="A510">
            <v>1332</v>
          </cell>
          <cell r="B510">
            <v>396</v>
          </cell>
          <cell r="G510" t="str">
            <v>VIVIANA VASQUEZ SILVA</v>
          </cell>
          <cell r="Q510">
            <v>1222</v>
          </cell>
          <cell r="T510">
            <v>15152</v>
          </cell>
        </row>
        <row r="511">
          <cell r="A511">
            <v>792</v>
          </cell>
          <cell r="B511">
            <v>397</v>
          </cell>
          <cell r="G511" t="str">
            <v>LUISA FERNANDA MARTINEZ CABRA</v>
          </cell>
          <cell r="Q511">
            <v>580</v>
          </cell>
          <cell r="T511">
            <v>5980</v>
          </cell>
        </row>
        <row r="512">
          <cell r="A512">
            <v>801</v>
          </cell>
          <cell r="B512">
            <v>398</v>
          </cell>
          <cell r="G512" t="str">
            <v>SANDRA JANETH GARCIA ZABALA</v>
          </cell>
          <cell r="Q512">
            <v>582</v>
          </cell>
          <cell r="T512">
            <v>6037</v>
          </cell>
        </row>
        <row r="513">
          <cell r="A513">
            <v>697</v>
          </cell>
          <cell r="B513">
            <v>399</v>
          </cell>
          <cell r="G513" t="str">
            <v>LUIS ALEJANDRO BEDOYA CONTRERAS</v>
          </cell>
          <cell r="Q513">
            <v>518</v>
          </cell>
          <cell r="T513">
            <v>6035</v>
          </cell>
        </row>
        <row r="514">
          <cell r="A514">
            <v>695</v>
          </cell>
          <cell r="B514">
            <v>400</v>
          </cell>
          <cell r="G514" t="str">
            <v>ESTEBAN SANDOVAL VALENCIA</v>
          </cell>
          <cell r="Q514">
            <v>526</v>
          </cell>
          <cell r="T514">
            <v>7067</v>
          </cell>
        </row>
        <row r="515">
          <cell r="A515">
            <v>694</v>
          </cell>
          <cell r="B515">
            <v>401</v>
          </cell>
          <cell r="G515" t="str">
            <v xml:space="preserve">EDER ALEISO SANDOVAL VALENCIA </v>
          </cell>
          <cell r="Q515">
            <v>530</v>
          </cell>
          <cell r="T515">
            <v>7066</v>
          </cell>
        </row>
        <row r="516">
          <cell r="A516">
            <v>39</v>
          </cell>
          <cell r="B516">
            <v>402</v>
          </cell>
          <cell r="G516" t="str">
            <v xml:space="preserve">SOCIEDAD DE TELEVISION DE ANTIOQUIA LIMITADA - TELEANTIOQUIA </v>
          </cell>
          <cell r="Q516">
            <v>528</v>
          </cell>
          <cell r="T516">
            <v>6978</v>
          </cell>
        </row>
        <row r="517">
          <cell r="A517">
            <v>780</v>
          </cell>
          <cell r="B517">
            <v>403</v>
          </cell>
          <cell r="G517" t="str">
            <v>OMAR JOSE VANEGAS TANGARIFE</v>
          </cell>
          <cell r="Q517">
            <v>550</v>
          </cell>
          <cell r="T517">
            <v>6034</v>
          </cell>
        </row>
        <row r="518">
          <cell r="A518">
            <v>685</v>
          </cell>
          <cell r="B518">
            <v>404</v>
          </cell>
          <cell r="G518" t="str">
            <v>UNIVERSIDAD DE ANTIOQUIA</v>
          </cell>
          <cell r="Q518">
            <v>565</v>
          </cell>
          <cell r="T518">
            <v>7230</v>
          </cell>
        </row>
        <row r="519">
          <cell r="A519">
            <v>762</v>
          </cell>
          <cell r="B519">
            <v>405</v>
          </cell>
          <cell r="G519" t="str">
            <v>UNIVERSIDAD DE ANTIOQUIA</v>
          </cell>
          <cell r="Q519">
            <v>536</v>
          </cell>
          <cell r="T519">
            <v>7045</v>
          </cell>
        </row>
        <row r="520">
          <cell r="A520">
            <v>703</v>
          </cell>
          <cell r="B520">
            <v>406</v>
          </cell>
          <cell r="G520" t="str">
            <v>LIGA ANTIOQUEÑA DE TIRO DEPORTIVO</v>
          </cell>
          <cell r="Q520">
            <v>587</v>
          </cell>
          <cell r="T520">
            <v>6579</v>
          </cell>
        </row>
        <row r="521">
          <cell r="A521" t="str">
            <v>634A</v>
          </cell>
          <cell r="B521">
            <v>407</v>
          </cell>
          <cell r="G521" t="str">
            <v>INVERSIONES BLUCHER SAS</v>
          </cell>
          <cell r="Q521">
            <v>382</v>
          </cell>
          <cell r="T521">
            <v>7223</v>
          </cell>
        </row>
        <row r="522">
          <cell r="A522" t="str">
            <v>634B</v>
          </cell>
          <cell r="B522">
            <v>408</v>
          </cell>
          <cell r="G522" t="str">
            <v>LA CASA DEL DIDACTICO Y TECNOLOGICA S.A.S</v>
          </cell>
          <cell r="Q522">
            <v>382</v>
          </cell>
          <cell r="T522">
            <v>7223</v>
          </cell>
        </row>
        <row r="523">
          <cell r="A523" t="str">
            <v>634C</v>
          </cell>
          <cell r="B523">
            <v>409</v>
          </cell>
          <cell r="G523" t="str">
            <v>CONSORCIO FORMA INVERAIZ INDEPORTES 2024</v>
          </cell>
          <cell r="Q523">
            <v>382</v>
          </cell>
          <cell r="T523">
            <v>7223</v>
          </cell>
        </row>
        <row r="524">
          <cell r="A524">
            <v>784</v>
          </cell>
          <cell r="B524">
            <v>410</v>
          </cell>
          <cell r="G524" t="str">
            <v xml:space="preserve">MUNICIPIO DE COCORNÁ </v>
          </cell>
          <cell r="Q524">
            <v>568</v>
          </cell>
          <cell r="T524">
            <v>6580</v>
          </cell>
        </row>
        <row r="525">
          <cell r="A525">
            <v>785</v>
          </cell>
          <cell r="B525">
            <v>411</v>
          </cell>
          <cell r="G525" t="str">
            <v>MUNICIPIO DE SABANALARGA</v>
          </cell>
          <cell r="Q525">
            <v>573</v>
          </cell>
          <cell r="T525">
            <v>6578</v>
          </cell>
        </row>
        <row r="526">
          <cell r="A526" t="str">
            <v>N/A</v>
          </cell>
          <cell r="B526">
            <v>412</v>
          </cell>
          <cell r="G526" t="str">
            <v>UNIVERSIDAD DE ANTIOQUIA</v>
          </cell>
          <cell r="Q526">
            <v>610</v>
          </cell>
          <cell r="T526">
            <v>7044</v>
          </cell>
        </row>
        <row r="527">
          <cell r="A527">
            <v>795</v>
          </cell>
          <cell r="B527">
            <v>413</v>
          </cell>
          <cell r="G527" t="str">
            <v>Universidad Católica de Oriente – UCO</v>
          </cell>
          <cell r="Q527">
            <v>572</v>
          </cell>
          <cell r="T527">
            <v>7082</v>
          </cell>
        </row>
        <row r="528">
          <cell r="A528" t="str">
            <v>833A</v>
          </cell>
          <cell r="B528">
            <v>414</v>
          </cell>
          <cell r="G528" t="str">
            <v>UNIVERSIDAD DE ANTIOQUIA</v>
          </cell>
          <cell r="Q528">
            <v>610</v>
          </cell>
          <cell r="T528">
            <v>7044</v>
          </cell>
        </row>
        <row r="529">
          <cell r="A529">
            <v>788</v>
          </cell>
          <cell r="B529">
            <v>415</v>
          </cell>
          <cell r="G529" t="str">
            <v>MUNICIPIO DE CISNEROS</v>
          </cell>
          <cell r="Q529">
            <v>566</v>
          </cell>
          <cell r="T529">
            <v>7065</v>
          </cell>
        </row>
        <row r="530">
          <cell r="A530">
            <v>783</v>
          </cell>
          <cell r="B530">
            <v>416</v>
          </cell>
          <cell r="G530" t="str">
            <v>LEIDY JOHANA GALLEGO GALLEGO</v>
          </cell>
          <cell r="Q530">
            <v>563</v>
          </cell>
          <cell r="T530">
            <v>6977</v>
          </cell>
        </row>
        <row r="531">
          <cell r="A531">
            <v>781</v>
          </cell>
          <cell r="B531">
            <v>417</v>
          </cell>
          <cell r="G531" t="str">
            <v>CATALINA QUINTERO GARCÍA</v>
          </cell>
          <cell r="Q531">
            <v>611</v>
          </cell>
          <cell r="T531">
            <v>7049</v>
          </cell>
        </row>
        <row r="532">
          <cell r="A532">
            <v>807</v>
          </cell>
          <cell r="B532">
            <v>418</v>
          </cell>
          <cell r="G532" t="str">
            <v>PRINCESA MARIA OLIVEROS BOHORQUEZ</v>
          </cell>
          <cell r="Q532">
            <v>603</v>
          </cell>
          <cell r="T532">
            <v>7055</v>
          </cell>
        </row>
        <row r="533">
          <cell r="A533">
            <v>808</v>
          </cell>
          <cell r="B533">
            <v>419</v>
          </cell>
          <cell r="G533" t="str">
            <v>NORALDO PALACIOS RIVAS</v>
          </cell>
          <cell r="Q533">
            <v>601</v>
          </cell>
          <cell r="T533">
            <v>7059</v>
          </cell>
        </row>
        <row r="534">
          <cell r="A534">
            <v>809</v>
          </cell>
          <cell r="B534">
            <v>420</v>
          </cell>
          <cell r="G534" t="str">
            <v>MANUEL ARTURO OREJUELA MOSQUERA</v>
          </cell>
          <cell r="Q534">
            <v>599</v>
          </cell>
          <cell r="T534">
            <v>7057</v>
          </cell>
        </row>
        <row r="535">
          <cell r="A535">
            <v>836</v>
          </cell>
          <cell r="B535">
            <v>421</v>
          </cell>
          <cell r="G535" t="str">
            <v>JORGE LUIS VIVAS PALACIOS</v>
          </cell>
          <cell r="Q535">
            <v>613</v>
          </cell>
          <cell r="T535">
            <v>7060</v>
          </cell>
        </row>
        <row r="536">
          <cell r="A536">
            <v>834</v>
          </cell>
          <cell r="B536">
            <v>422</v>
          </cell>
          <cell r="G536" t="str">
            <v>WILSON ALEXANDER GARCÍA ARBOLEDA</v>
          </cell>
          <cell r="Q536">
            <v>612</v>
          </cell>
          <cell r="T536">
            <v>7052</v>
          </cell>
        </row>
        <row r="537">
          <cell r="A537">
            <v>817</v>
          </cell>
          <cell r="B537">
            <v>423</v>
          </cell>
          <cell r="G537" t="str">
            <v>JOSE ALIRIO RODRIGUEZ</v>
          </cell>
          <cell r="Q537">
            <v>595</v>
          </cell>
          <cell r="T537">
            <v>7051</v>
          </cell>
        </row>
        <row r="538">
          <cell r="A538">
            <v>811</v>
          </cell>
          <cell r="B538">
            <v>424</v>
          </cell>
          <cell r="G538" t="str">
            <v>JUAN FERNANDO BONILLA SERNA</v>
          </cell>
          <cell r="Q538">
            <v>597</v>
          </cell>
          <cell r="T538">
            <v>7056</v>
          </cell>
        </row>
        <row r="539">
          <cell r="A539">
            <v>815</v>
          </cell>
          <cell r="B539">
            <v>425</v>
          </cell>
          <cell r="G539" t="str">
            <v>VALENTINA HIDALGO LÓPEZ,</v>
          </cell>
          <cell r="Q539">
            <v>600</v>
          </cell>
          <cell r="T539">
            <v>7062</v>
          </cell>
        </row>
        <row r="540">
          <cell r="A540">
            <v>812</v>
          </cell>
          <cell r="B540">
            <v>426</v>
          </cell>
          <cell r="G540" t="str">
            <v>Yonathan Uribe Pérez</v>
          </cell>
          <cell r="Q540">
            <v>593</v>
          </cell>
          <cell r="T540">
            <v>7054</v>
          </cell>
        </row>
        <row r="541">
          <cell r="A541">
            <v>813</v>
          </cell>
          <cell r="B541">
            <v>427</v>
          </cell>
          <cell r="G541" t="str">
            <v>Yonier Uribe Pérez</v>
          </cell>
          <cell r="Q541">
            <v>596</v>
          </cell>
          <cell r="T541">
            <v>7053</v>
          </cell>
        </row>
        <row r="542">
          <cell r="A542">
            <v>818</v>
          </cell>
          <cell r="B542">
            <v>428</v>
          </cell>
          <cell r="G542" t="str">
            <v>Zulay Tatiana Gil Aristizábal</v>
          </cell>
          <cell r="Q542">
            <v>606</v>
          </cell>
          <cell r="T542">
            <v>7058</v>
          </cell>
        </row>
        <row r="543">
          <cell r="A543">
            <v>816</v>
          </cell>
          <cell r="B543">
            <v>429</v>
          </cell>
          <cell r="G543" t="str">
            <v>DAVID SANTIAGO SANCHEZ PUERTA</v>
          </cell>
          <cell r="Q543">
            <v>605</v>
          </cell>
          <cell r="T543">
            <v>7061</v>
          </cell>
        </row>
        <row r="544">
          <cell r="A544">
            <v>789</v>
          </cell>
          <cell r="B544">
            <v>430</v>
          </cell>
          <cell r="G544" t="str">
            <v>MUNICIPIO DE CAROLINA DEL PRINCIPE</v>
          </cell>
          <cell r="Q544">
            <v>570</v>
          </cell>
          <cell r="T544">
            <v>7100</v>
          </cell>
        </row>
        <row r="545">
          <cell r="A545">
            <v>699</v>
          </cell>
          <cell r="B545">
            <v>431</v>
          </cell>
          <cell r="G545" t="str">
            <v>LIGA ANTIOQUEÑA DE BALONMANO</v>
          </cell>
          <cell r="Q545">
            <v>555</v>
          </cell>
          <cell r="T545">
            <v>7063</v>
          </cell>
        </row>
        <row r="546">
          <cell r="A546">
            <v>1306</v>
          </cell>
          <cell r="B546">
            <v>431</v>
          </cell>
          <cell r="G546" t="str">
            <v>LIGA ANTIOQUEÑA DE BALONMANO</v>
          </cell>
          <cell r="Q546">
            <v>1170</v>
          </cell>
          <cell r="T546">
            <v>13241</v>
          </cell>
        </row>
        <row r="547">
          <cell r="A547">
            <v>759</v>
          </cell>
          <cell r="B547">
            <v>432</v>
          </cell>
          <cell r="G547" t="str">
            <v>JUAN SEBASTIAN MALDONADO ALVAREZ</v>
          </cell>
          <cell r="Q547">
            <v>592</v>
          </cell>
          <cell r="T547">
            <v>7050</v>
          </cell>
        </row>
        <row r="548">
          <cell r="A548">
            <v>786</v>
          </cell>
          <cell r="B548">
            <v>433</v>
          </cell>
          <cell r="G548" t="str">
            <v>MUNICIPIO DE JERICÓ</v>
          </cell>
          <cell r="Q548">
            <v>589</v>
          </cell>
          <cell r="T548">
            <v>7074</v>
          </cell>
        </row>
        <row r="549">
          <cell r="A549">
            <v>841</v>
          </cell>
          <cell r="B549">
            <v>434</v>
          </cell>
          <cell r="G549" t="str">
            <v>JUAN FERNANDO ORTIZ ARANGO</v>
          </cell>
          <cell r="Q549">
            <v>622</v>
          </cell>
          <cell r="T549">
            <v>7070</v>
          </cell>
        </row>
        <row r="550">
          <cell r="A550">
            <v>787</v>
          </cell>
          <cell r="B550">
            <v>435</v>
          </cell>
          <cell r="G550" t="str">
            <v>INSTITUTO MUNICIPAL DE DEPORTES DEL MUNICIPIO DE CAREPA</v>
          </cell>
          <cell r="Q550">
            <v>629</v>
          </cell>
          <cell r="T550">
            <v>7073</v>
          </cell>
        </row>
        <row r="551">
          <cell r="A551">
            <v>844</v>
          </cell>
          <cell r="B551">
            <v>436</v>
          </cell>
          <cell r="G551" t="str">
            <v>LIGA DE ATLETISMO DE ANTIOQUIA - LIGATLE_x000D_</v>
          </cell>
          <cell r="Q551">
            <v>638</v>
          </cell>
          <cell r="T551">
            <v>7069</v>
          </cell>
        </row>
        <row r="552">
          <cell r="A552">
            <v>838</v>
          </cell>
          <cell r="B552">
            <v>437</v>
          </cell>
          <cell r="G552" t="str">
            <v>LIGA ANTIOQUEÑA DE LEVANTAMIENTO DE PESAS</v>
          </cell>
          <cell r="Q552" t="str">
            <v>NA</v>
          </cell>
          <cell r="T552" t="str">
            <v/>
          </cell>
        </row>
        <row r="553">
          <cell r="A553">
            <v>837</v>
          </cell>
          <cell r="B553">
            <v>438</v>
          </cell>
          <cell r="G553" t="str">
            <v>YENIFER ALZATE VALENCIA</v>
          </cell>
          <cell r="Q553">
            <v>615</v>
          </cell>
          <cell r="T553">
            <v>7240</v>
          </cell>
        </row>
        <row r="554">
          <cell r="A554">
            <v>814</v>
          </cell>
          <cell r="B554">
            <v>439</v>
          </cell>
          <cell r="G554" t="str">
            <v>YESICA ALEJANDRA SALZAR SOLORZANO</v>
          </cell>
          <cell r="Q554">
            <v>594</v>
          </cell>
          <cell r="T554">
            <v>7080</v>
          </cell>
        </row>
        <row r="555">
          <cell r="A555">
            <v>819</v>
          </cell>
          <cell r="B555">
            <v>440</v>
          </cell>
          <cell r="G555" t="str">
            <v>WILFRIDO DANIEL BALDOVINO ACOSTA</v>
          </cell>
          <cell r="Q555">
            <v>598</v>
          </cell>
          <cell r="T555">
            <v>7079</v>
          </cell>
        </row>
        <row r="556">
          <cell r="A556">
            <v>717</v>
          </cell>
          <cell r="B556">
            <v>441</v>
          </cell>
          <cell r="G556" t="str">
            <v>LIGA DE BEISBOL DE ANTIOQUIA</v>
          </cell>
          <cell r="Q556">
            <v>621</v>
          </cell>
          <cell r="T556">
            <v>7094</v>
          </cell>
        </row>
        <row r="557">
          <cell r="A557">
            <v>1285</v>
          </cell>
          <cell r="B557">
            <v>441</v>
          </cell>
          <cell r="G557" t="str">
            <v>LIGA DE BEISBOL DE ANTIOQUIA</v>
          </cell>
          <cell r="Q557">
            <v>1130</v>
          </cell>
          <cell r="T557">
            <v>12142</v>
          </cell>
        </row>
        <row r="558">
          <cell r="A558">
            <v>700</v>
          </cell>
          <cell r="B558">
            <v>442</v>
          </cell>
          <cell r="G558" t="str">
            <v>LIGA DE AJEDREZ DE ANTIOQUIA</v>
          </cell>
          <cell r="Q558">
            <v>625</v>
          </cell>
          <cell r="T558">
            <v>7093</v>
          </cell>
        </row>
        <row r="559">
          <cell r="A559">
            <v>1287</v>
          </cell>
          <cell r="B559">
            <v>442</v>
          </cell>
          <cell r="G559" t="str">
            <v>LIGA DE AJEDREZ DE ANTIOQUIA</v>
          </cell>
          <cell r="Q559">
            <v>1127</v>
          </cell>
          <cell r="T559">
            <v>14495</v>
          </cell>
        </row>
        <row r="560">
          <cell r="A560">
            <v>723</v>
          </cell>
          <cell r="B560">
            <v>443</v>
          </cell>
          <cell r="G560" t="str">
            <v>LIGA DE DEPORTISTAS CON DISCAPACIDAD VISUAL DE ANTIOQUIA</v>
          </cell>
          <cell r="Q560">
            <v>616</v>
          </cell>
          <cell r="T560">
            <v>7101</v>
          </cell>
        </row>
        <row r="561">
          <cell r="A561">
            <v>1155</v>
          </cell>
          <cell r="B561">
            <v>443</v>
          </cell>
          <cell r="G561" t="str">
            <v>LIGA DE DEPORTISTAS CON DISCAPACIDAD VISUAL DE ANTIOQUIA</v>
          </cell>
          <cell r="Q561">
            <v>946</v>
          </cell>
          <cell r="T561">
            <v>12530</v>
          </cell>
        </row>
        <row r="562">
          <cell r="A562">
            <v>740</v>
          </cell>
          <cell r="B562">
            <v>444</v>
          </cell>
          <cell r="G562" t="str">
            <v xml:space="preserve">RENTING DE ANTIOQUIA  </v>
          </cell>
          <cell r="Q562">
            <v>588</v>
          </cell>
          <cell r="T562">
            <v>7237</v>
          </cell>
        </row>
        <row r="563">
          <cell r="A563" t="str">
            <v>740A</v>
          </cell>
          <cell r="B563">
            <v>444</v>
          </cell>
          <cell r="G563" t="str">
            <v xml:space="preserve">RENTING DE ANTIOQUIA  </v>
          </cell>
          <cell r="Q563">
            <v>628</v>
          </cell>
          <cell r="T563">
            <v>7237</v>
          </cell>
        </row>
        <row r="564">
          <cell r="A564">
            <v>796</v>
          </cell>
          <cell r="B564">
            <v>445</v>
          </cell>
          <cell r="G564" t="str">
            <v>CORPORACION ACCIONES INNOVADORAS</v>
          </cell>
          <cell r="Q564">
            <v>569</v>
          </cell>
          <cell r="T564">
            <v>8161</v>
          </cell>
        </row>
        <row r="565">
          <cell r="A565">
            <v>794</v>
          </cell>
          <cell r="B565">
            <v>446</v>
          </cell>
          <cell r="G565" t="str">
            <v>UNIVERSIDAD AUTONOMA LATINOAMERICANA UNAULA</v>
          </cell>
          <cell r="Q565">
            <v>571</v>
          </cell>
          <cell r="T565">
            <v>8184</v>
          </cell>
        </row>
        <row r="566">
          <cell r="A566">
            <v>1145</v>
          </cell>
          <cell r="B566">
            <v>446</v>
          </cell>
          <cell r="G566" t="str">
            <v>UNIVERSIDAD AUTONOMA LATINOAMERICANA UNAULA</v>
          </cell>
          <cell r="Q566">
            <v>940</v>
          </cell>
          <cell r="T566">
            <v>11123</v>
          </cell>
        </row>
        <row r="567">
          <cell r="A567">
            <v>757</v>
          </cell>
          <cell r="B567">
            <v>447</v>
          </cell>
          <cell r="G567" t="str">
            <v>DIEGO FERNANDO OSORIO JARAMILLO</v>
          </cell>
          <cell r="Q567">
            <v>637</v>
          </cell>
          <cell r="T567">
            <v>7222</v>
          </cell>
        </row>
        <row r="568">
          <cell r="A568">
            <v>710</v>
          </cell>
          <cell r="B568">
            <v>448</v>
          </cell>
          <cell r="G568" t="str">
            <v>LIGA ANTIOQUEÑA DE ESGRIMA</v>
          </cell>
          <cell r="Q568">
            <v>620</v>
          </cell>
          <cell r="T568">
            <v>7225</v>
          </cell>
        </row>
        <row r="569">
          <cell r="A569">
            <v>850</v>
          </cell>
          <cell r="B569">
            <v>449</v>
          </cell>
          <cell r="G569" t="str">
            <v>LIGA ANTIOQUEÑA DE ARQUERIA</v>
          </cell>
          <cell r="Q569">
            <v>650</v>
          </cell>
          <cell r="T569">
            <v>7229</v>
          </cell>
        </row>
        <row r="570">
          <cell r="A570">
            <v>91</v>
          </cell>
          <cell r="B570">
            <v>450</v>
          </cell>
          <cell r="G570" t="str">
            <v>LIGA ANTIOQUEÑA DE TAEKWONDO</v>
          </cell>
          <cell r="Q570">
            <v>617</v>
          </cell>
          <cell r="T570">
            <v>7226</v>
          </cell>
        </row>
        <row r="571">
          <cell r="A571">
            <v>1243</v>
          </cell>
          <cell r="B571">
            <v>450</v>
          </cell>
          <cell r="G571" t="str">
            <v>LIGA ANTIOQUEÑA DE TAEKWONDO</v>
          </cell>
          <cell r="Q571">
            <v>1076</v>
          </cell>
          <cell r="T571">
            <v>11138</v>
          </cell>
        </row>
        <row r="572">
          <cell r="A572">
            <v>805</v>
          </cell>
          <cell r="B572">
            <v>451</v>
          </cell>
          <cell r="G572" t="str">
            <v>LIGA DE TENIS DE MESA DE ANTIOQUIA</v>
          </cell>
          <cell r="Q572">
            <v>639</v>
          </cell>
          <cell r="T572">
            <v>7228</v>
          </cell>
        </row>
        <row r="573">
          <cell r="A573">
            <v>1261</v>
          </cell>
          <cell r="B573">
            <v>451</v>
          </cell>
          <cell r="G573" t="str">
            <v>LIGA DE TENIS DE MESA DE ANTIOQUIA</v>
          </cell>
          <cell r="Q573">
            <v>1103</v>
          </cell>
          <cell r="T573">
            <v>12007</v>
          </cell>
        </row>
        <row r="574">
          <cell r="A574">
            <v>701</v>
          </cell>
          <cell r="B574">
            <v>452</v>
          </cell>
          <cell r="G574" t="str">
            <v>LIGA ANTIOQUEÑA DE LEVANTAMIENTO DE PESAS</v>
          </cell>
          <cell r="Q574">
            <v>618</v>
          </cell>
          <cell r="T574">
            <v>7227</v>
          </cell>
        </row>
        <row r="575">
          <cell r="A575">
            <v>1249</v>
          </cell>
          <cell r="B575">
            <v>452</v>
          </cell>
          <cell r="G575" t="str">
            <v>LIGA ANTIOQUEÑA DE LEVANTAMIENTO DE PESAS</v>
          </cell>
          <cell r="Q575">
            <v>1068</v>
          </cell>
          <cell r="T575">
            <v>14699</v>
          </cell>
        </row>
        <row r="576">
          <cell r="A576">
            <v>840</v>
          </cell>
          <cell r="B576">
            <v>453</v>
          </cell>
          <cell r="G576" t="str">
            <v>GUILLERMO LEÓN RENDÓN RENDÓN</v>
          </cell>
          <cell r="Q576">
            <v>619</v>
          </cell>
          <cell r="T576">
            <v>7239</v>
          </cell>
        </row>
        <row r="577">
          <cell r="A577">
            <v>843</v>
          </cell>
          <cell r="B577">
            <v>454</v>
          </cell>
          <cell r="G577" t="str">
            <v>SINDICATO ANTIOQUIEÑO DE ANESTESIOLOGIA - ANESTECIAR</v>
          </cell>
          <cell r="Q577">
            <v>633</v>
          </cell>
          <cell r="T577">
            <v>8438</v>
          </cell>
        </row>
        <row r="578">
          <cell r="A578" t="str">
            <v>ANULADO</v>
          </cell>
          <cell r="B578">
            <v>455</v>
          </cell>
          <cell r="G578" t="str">
            <v xml:space="preserve">ANULADO </v>
          </cell>
          <cell r="T578" t="str">
            <v/>
          </cell>
        </row>
        <row r="579">
          <cell r="A579">
            <v>835</v>
          </cell>
          <cell r="B579">
            <v>456</v>
          </cell>
          <cell r="G579" t="str">
            <v>CARLOS ALBERTO OJEDA MEJÍA</v>
          </cell>
          <cell r="Q579">
            <v>614</v>
          </cell>
          <cell r="T579">
            <v>7221</v>
          </cell>
        </row>
        <row r="580">
          <cell r="A580">
            <v>839</v>
          </cell>
          <cell r="B580">
            <v>457</v>
          </cell>
          <cell r="G580" t="str">
            <v>LIGA ANTIOQUEÑA DE KARATE DO</v>
          </cell>
          <cell r="Q580">
            <v>624</v>
          </cell>
          <cell r="T580">
            <v>7632</v>
          </cell>
        </row>
        <row r="581">
          <cell r="A581">
            <v>1227</v>
          </cell>
          <cell r="B581">
            <v>457</v>
          </cell>
          <cell r="G581" t="str">
            <v>LIGA ANTIOQUEÑA DE KARATE DO</v>
          </cell>
          <cell r="Q581">
            <v>1045</v>
          </cell>
          <cell r="T581">
            <v>10544</v>
          </cell>
        </row>
        <row r="582">
          <cell r="A582">
            <v>719</v>
          </cell>
          <cell r="B582">
            <v>458</v>
          </cell>
          <cell r="G582" t="str">
            <v>LIGA DE TENIS CAMPO DE ANTIOQUIA - L.A.T.</v>
          </cell>
          <cell r="Q582">
            <v>656</v>
          </cell>
          <cell r="T582">
            <v>7633</v>
          </cell>
        </row>
        <row r="583">
          <cell r="A583">
            <v>1288</v>
          </cell>
          <cell r="B583">
            <v>458</v>
          </cell>
          <cell r="G583" t="str">
            <v>LIGA DE TENIS CAMPO DE ANTIOQUIA - L.A.T.</v>
          </cell>
          <cell r="Q583">
            <v>1128</v>
          </cell>
          <cell r="T583">
            <v>12144</v>
          </cell>
        </row>
        <row r="584">
          <cell r="A584" t="str">
            <v>ANULADO</v>
          </cell>
          <cell r="B584">
            <v>459</v>
          </cell>
          <cell r="G584" t="str">
            <v xml:space="preserve">ANULADO </v>
          </cell>
          <cell r="Q584">
            <v>0</v>
          </cell>
          <cell r="T584" t="str">
            <v/>
          </cell>
        </row>
        <row r="585">
          <cell r="A585">
            <v>845</v>
          </cell>
          <cell r="B585">
            <v>460</v>
          </cell>
          <cell r="G585" t="str">
            <v>SIMÓN PINEDA DUQUE</v>
          </cell>
          <cell r="Q585">
            <v>643</v>
          </cell>
          <cell r="T585">
            <v>8160</v>
          </cell>
        </row>
        <row r="586">
          <cell r="A586">
            <v>849</v>
          </cell>
          <cell r="B586">
            <v>461</v>
          </cell>
          <cell r="G586" t="str">
            <v>MUNICIPIO DE CISNEROS</v>
          </cell>
          <cell r="Q586">
            <v>653</v>
          </cell>
          <cell r="T586">
            <v>8445</v>
          </cell>
        </row>
        <row r="587">
          <cell r="A587">
            <v>976</v>
          </cell>
          <cell r="B587">
            <v>462</v>
          </cell>
          <cell r="G587" t="str">
            <v>DARLYN VANESA OTALVARO MONTOYA</v>
          </cell>
          <cell r="Q587">
            <v>746</v>
          </cell>
          <cell r="T587">
            <v>8190</v>
          </cell>
        </row>
        <row r="588">
          <cell r="A588">
            <v>820</v>
          </cell>
          <cell r="B588">
            <v>463</v>
          </cell>
          <cell r="G588" t="str">
            <v>DEIVY JOHAN MEJIA TORRES</v>
          </cell>
          <cell r="Q588">
            <v>807</v>
          </cell>
          <cell r="T588">
            <v>8165</v>
          </cell>
        </row>
        <row r="589">
          <cell r="A589">
            <v>977</v>
          </cell>
          <cell r="B589">
            <v>464</v>
          </cell>
          <cell r="G589" t="str">
            <v xml:space="preserve">LEONARDO ALEXIS HIGUITA HERNANDEZ </v>
          </cell>
          <cell r="Q589">
            <v>749</v>
          </cell>
          <cell r="T589">
            <v>8188</v>
          </cell>
        </row>
        <row r="590">
          <cell r="A590">
            <v>978</v>
          </cell>
          <cell r="B590">
            <v>465</v>
          </cell>
          <cell r="G590" t="str">
            <v xml:space="preserve">JOHAN STEVEN HOLGUIN FRANCO </v>
          </cell>
          <cell r="Q590">
            <v>748</v>
          </cell>
          <cell r="T590">
            <v>8186</v>
          </cell>
        </row>
        <row r="591">
          <cell r="A591">
            <v>979</v>
          </cell>
          <cell r="B591">
            <v>466</v>
          </cell>
          <cell r="G591" t="str">
            <v>SARA LUCIANA URREGO VILLA</v>
          </cell>
          <cell r="Q591">
            <v>747</v>
          </cell>
          <cell r="T591">
            <v>8187</v>
          </cell>
        </row>
        <row r="592">
          <cell r="A592">
            <v>848</v>
          </cell>
          <cell r="B592">
            <v>467</v>
          </cell>
          <cell r="G592" t="str">
            <v xml:space="preserve">MUNICIPIO DE SAN ROQUE </v>
          </cell>
          <cell r="Q592">
            <v>646</v>
          </cell>
          <cell r="T592">
            <v>8448</v>
          </cell>
        </row>
        <row r="593">
          <cell r="A593">
            <v>856</v>
          </cell>
          <cell r="B593">
            <v>468</v>
          </cell>
          <cell r="G593" t="str">
            <v>LUIS MIGUEL CUENCA MONTOYA</v>
          </cell>
          <cell r="Q593">
            <v>724</v>
          </cell>
          <cell r="T593">
            <v>8309</v>
          </cell>
        </row>
        <row r="594">
          <cell r="A594">
            <v>857</v>
          </cell>
          <cell r="B594">
            <v>469</v>
          </cell>
          <cell r="G594" t="str">
            <v>RICARDO PINZON MUÑOZ</v>
          </cell>
          <cell r="Q594">
            <v>725</v>
          </cell>
          <cell r="T594">
            <v>8208</v>
          </cell>
        </row>
        <row r="595">
          <cell r="A595">
            <v>858</v>
          </cell>
          <cell r="B595">
            <v>470</v>
          </cell>
          <cell r="G595" t="str">
            <v>LUIS FERNANDO LOPERA MORALES</v>
          </cell>
          <cell r="Q595">
            <v>726</v>
          </cell>
          <cell r="T595">
            <v>8255</v>
          </cell>
        </row>
        <row r="596">
          <cell r="A596">
            <v>859</v>
          </cell>
          <cell r="B596">
            <v>471</v>
          </cell>
          <cell r="G596" t="str">
            <v>JUAN DAVID MARIN OSSA</v>
          </cell>
          <cell r="Q596">
            <v>674</v>
          </cell>
          <cell r="T596">
            <v>8210</v>
          </cell>
        </row>
        <row r="597">
          <cell r="A597">
            <v>860</v>
          </cell>
          <cell r="B597">
            <v>472</v>
          </cell>
          <cell r="G597" t="str">
            <v>ANA MARIA LOPERA RINCON</v>
          </cell>
          <cell r="Q597">
            <v>769</v>
          </cell>
          <cell r="T597">
            <v>8275</v>
          </cell>
        </row>
        <row r="598">
          <cell r="A598">
            <v>861</v>
          </cell>
          <cell r="B598">
            <v>473</v>
          </cell>
          <cell r="G598" t="str">
            <v>DEISY VERONICA MAZO GARCES</v>
          </cell>
          <cell r="Q598">
            <v>770</v>
          </cell>
          <cell r="T598">
            <v>8200</v>
          </cell>
        </row>
        <row r="599">
          <cell r="A599">
            <v>862</v>
          </cell>
          <cell r="B599">
            <v>474</v>
          </cell>
          <cell r="G599" t="str">
            <v>MONICA VIVIANA OSPINA OROZCO</v>
          </cell>
          <cell r="Q599">
            <v>727</v>
          </cell>
          <cell r="T599">
            <v>8310</v>
          </cell>
        </row>
        <row r="600">
          <cell r="A600">
            <v>863</v>
          </cell>
          <cell r="B600">
            <v>475</v>
          </cell>
          <cell r="G600" t="str">
            <v>JUAN DAVID CASTAÑEDA TOBON</v>
          </cell>
          <cell r="Q600">
            <v>675</v>
          </cell>
          <cell r="T600">
            <v>8215</v>
          </cell>
        </row>
        <row r="601">
          <cell r="A601">
            <v>864</v>
          </cell>
          <cell r="B601">
            <v>476</v>
          </cell>
          <cell r="G601" t="str">
            <v>DAVID ALONSO SANCHEZ POSADA</v>
          </cell>
          <cell r="Q601">
            <v>728</v>
          </cell>
          <cell r="T601">
            <v>8307</v>
          </cell>
        </row>
        <row r="602">
          <cell r="A602">
            <v>865</v>
          </cell>
          <cell r="B602">
            <v>477</v>
          </cell>
          <cell r="G602" t="str">
            <v>JAIME ORLANDO HOYOS ISAZA</v>
          </cell>
          <cell r="Q602">
            <v>676</v>
          </cell>
          <cell r="T602">
            <v>8304</v>
          </cell>
        </row>
        <row r="603">
          <cell r="A603">
            <v>866</v>
          </cell>
          <cell r="B603">
            <v>478</v>
          </cell>
          <cell r="G603" t="str">
            <v xml:space="preserve">JORGE IGNACIO RUIZ GUTIERREZ </v>
          </cell>
          <cell r="Q603">
            <v>771</v>
          </cell>
          <cell r="T603">
            <v>8225</v>
          </cell>
        </row>
        <row r="604">
          <cell r="A604">
            <v>867</v>
          </cell>
          <cell r="B604">
            <v>479</v>
          </cell>
          <cell r="G604" t="str">
            <v xml:space="preserve">EDWIN JOVANNY MENESES QUINTERO </v>
          </cell>
          <cell r="Q604">
            <v>677</v>
          </cell>
          <cell r="T604">
            <v>8226</v>
          </cell>
        </row>
        <row r="605">
          <cell r="A605">
            <v>868</v>
          </cell>
          <cell r="B605">
            <v>480</v>
          </cell>
          <cell r="G605" t="str">
            <v>DIEGO ALBERTO MONTOYA GOMEZ</v>
          </cell>
          <cell r="Q605">
            <v>772</v>
          </cell>
          <cell r="T605">
            <v>8302</v>
          </cell>
        </row>
        <row r="606">
          <cell r="A606">
            <v>869</v>
          </cell>
          <cell r="B606">
            <v>481</v>
          </cell>
          <cell r="G606" t="str">
            <v>JOHN ALEXANDER ALCARAZ CERON</v>
          </cell>
          <cell r="Q606">
            <v>773</v>
          </cell>
          <cell r="T606">
            <v>8224</v>
          </cell>
        </row>
        <row r="607">
          <cell r="A607">
            <v>870</v>
          </cell>
          <cell r="B607">
            <v>482</v>
          </cell>
          <cell r="G607" t="str">
            <v>JUAN CARLOS OSPINA RUIZ</v>
          </cell>
          <cell r="Q607">
            <v>774</v>
          </cell>
          <cell r="T607">
            <v>8209</v>
          </cell>
        </row>
        <row r="608">
          <cell r="A608">
            <v>871</v>
          </cell>
          <cell r="B608">
            <v>483</v>
          </cell>
          <cell r="G608" t="str">
            <v>JUAN DAVID ACEVEDO FLOREZ</v>
          </cell>
          <cell r="Q608">
            <v>775</v>
          </cell>
          <cell r="T608">
            <v>8239</v>
          </cell>
        </row>
        <row r="609">
          <cell r="A609">
            <v>872</v>
          </cell>
          <cell r="B609">
            <v>484</v>
          </cell>
          <cell r="G609" t="str">
            <v>IVAN HUMBERTO GERMAN ALVAREZ</v>
          </cell>
          <cell r="Q609">
            <v>729</v>
          </cell>
          <cell r="T609">
            <v>8196</v>
          </cell>
        </row>
        <row r="610">
          <cell r="A610">
            <v>873</v>
          </cell>
          <cell r="B610">
            <v>485</v>
          </cell>
          <cell r="G610" t="str">
            <v>RUBEN DARIO ARROYAVE RESTREPO</v>
          </cell>
          <cell r="Q610">
            <v>678</v>
          </cell>
          <cell r="T610">
            <v>8312</v>
          </cell>
        </row>
        <row r="611">
          <cell r="A611">
            <v>874</v>
          </cell>
          <cell r="B611">
            <v>486</v>
          </cell>
          <cell r="G611" t="str">
            <v>JUAN DIEGO DIEZ GONZALEZ</v>
          </cell>
          <cell r="Q611">
            <v>680</v>
          </cell>
          <cell r="T611">
            <v>8308</v>
          </cell>
        </row>
        <row r="612">
          <cell r="A612">
            <v>875</v>
          </cell>
          <cell r="B612">
            <v>487</v>
          </cell>
          <cell r="G612" t="str">
            <v>OSCAR ALONSO ZULUAGA HERNANDEZ</v>
          </cell>
          <cell r="Q612">
            <v>776</v>
          </cell>
          <cell r="T612">
            <v>8201</v>
          </cell>
        </row>
        <row r="613">
          <cell r="A613">
            <v>876</v>
          </cell>
          <cell r="B613">
            <v>488</v>
          </cell>
          <cell r="G613" t="str">
            <v>EDGAR MOSQUERA PALACIO</v>
          </cell>
          <cell r="Q613">
            <v>777</v>
          </cell>
          <cell r="T613">
            <v>8195</v>
          </cell>
        </row>
        <row r="614">
          <cell r="A614">
            <v>877</v>
          </cell>
          <cell r="B614">
            <v>489</v>
          </cell>
          <cell r="G614" t="str">
            <v>JOHANA MARCELA ARAQUE MEJIA</v>
          </cell>
          <cell r="Q614">
            <v>778</v>
          </cell>
          <cell r="T614">
            <v>8264</v>
          </cell>
        </row>
        <row r="615">
          <cell r="A615">
            <v>878</v>
          </cell>
          <cell r="B615">
            <v>490</v>
          </cell>
          <cell r="G615" t="str">
            <v>DIONI ESTEBAN SANCHEZ DIOSA</v>
          </cell>
          <cell r="Q615">
            <v>779</v>
          </cell>
          <cell r="T615">
            <v>8285</v>
          </cell>
        </row>
        <row r="616">
          <cell r="A616">
            <v>879</v>
          </cell>
          <cell r="B616">
            <v>491</v>
          </cell>
          <cell r="G616" t="str">
            <v>JUAN CARLOS MUÑOZ AGUDELO</v>
          </cell>
          <cell r="Q616">
            <v>780</v>
          </cell>
          <cell r="T616">
            <v>8296</v>
          </cell>
        </row>
        <row r="617">
          <cell r="A617">
            <v>880</v>
          </cell>
          <cell r="B617">
            <v>492</v>
          </cell>
          <cell r="G617" t="str">
            <v>JUAN PABLO PEREZ MEDINA</v>
          </cell>
          <cell r="Q617">
            <v>730</v>
          </cell>
          <cell r="T617">
            <v>8238</v>
          </cell>
        </row>
        <row r="618">
          <cell r="A618">
            <v>881</v>
          </cell>
          <cell r="B618">
            <v>493</v>
          </cell>
          <cell r="G618" t="str">
            <v>MARIA PATRICIA HENAO ECHEVERRI</v>
          </cell>
          <cell r="Q618">
            <v>731</v>
          </cell>
          <cell r="T618">
            <v>8306</v>
          </cell>
        </row>
        <row r="619">
          <cell r="A619">
            <v>882</v>
          </cell>
          <cell r="B619">
            <v>494</v>
          </cell>
          <cell r="G619" t="str">
            <v>MONICA MARIA CORTINEZ BEDOYA</v>
          </cell>
          <cell r="Q619">
            <v>781</v>
          </cell>
          <cell r="T619">
            <v>8294</v>
          </cell>
        </row>
        <row r="620">
          <cell r="A620">
            <v>883</v>
          </cell>
          <cell r="B620">
            <v>495</v>
          </cell>
          <cell r="G620" t="str">
            <v>SERGIO HERNANDEZ URANGO</v>
          </cell>
          <cell r="Q620">
            <v>782</v>
          </cell>
          <cell r="T620">
            <v>8206</v>
          </cell>
        </row>
        <row r="621">
          <cell r="A621">
            <v>884</v>
          </cell>
          <cell r="B621">
            <v>496</v>
          </cell>
          <cell r="G621" t="str">
            <v>WILLIAM ALONSO OSORIO SOSA</v>
          </cell>
          <cell r="Q621">
            <v>732</v>
          </cell>
          <cell r="T621">
            <v>8270</v>
          </cell>
        </row>
        <row r="622">
          <cell r="A622">
            <v>885</v>
          </cell>
          <cell r="B622">
            <v>497</v>
          </cell>
          <cell r="G622" t="str">
            <v xml:space="preserve">MANUEL ARTURO MONCADA BETANCUR </v>
          </cell>
          <cell r="Q622">
            <v>733</v>
          </cell>
          <cell r="T622">
            <v>8293</v>
          </cell>
        </row>
        <row r="623">
          <cell r="A623">
            <v>886</v>
          </cell>
          <cell r="B623">
            <v>498</v>
          </cell>
          <cell r="G623" t="str">
            <v xml:space="preserve">ANGEL HORACIO BARRIOS HERNANDEZ </v>
          </cell>
          <cell r="Q623">
            <v>783</v>
          </cell>
          <cell r="T623">
            <v>8276</v>
          </cell>
        </row>
        <row r="624">
          <cell r="A624">
            <v>887</v>
          </cell>
          <cell r="B624">
            <v>499</v>
          </cell>
          <cell r="G624" t="str">
            <v>YEISON ALEJANDRO HINESTROZA PARRA</v>
          </cell>
          <cell r="Q624">
            <v>734</v>
          </cell>
          <cell r="T624">
            <v>8197</v>
          </cell>
        </row>
        <row r="625">
          <cell r="A625">
            <v>888</v>
          </cell>
          <cell r="B625">
            <v>500</v>
          </cell>
          <cell r="G625" t="str">
            <v>CRISTINA RAMIREZ MORALES</v>
          </cell>
          <cell r="Q625">
            <v>784</v>
          </cell>
          <cell r="T625">
            <v>8198</v>
          </cell>
        </row>
        <row r="626">
          <cell r="A626">
            <v>889</v>
          </cell>
          <cell r="B626">
            <v>501</v>
          </cell>
          <cell r="G626" t="str">
            <v>DIEGO ALEXANDER LOPERA GIRALDO</v>
          </cell>
          <cell r="Q626">
            <v>735</v>
          </cell>
          <cell r="T626">
            <v>8283</v>
          </cell>
        </row>
        <row r="627">
          <cell r="A627">
            <v>890</v>
          </cell>
          <cell r="B627">
            <v>502</v>
          </cell>
          <cell r="G627" t="str">
            <v>CARLOS JOVANNY GARCIA CORDOBA</v>
          </cell>
          <cell r="Q627">
            <v>736</v>
          </cell>
          <cell r="T627">
            <v>8290</v>
          </cell>
        </row>
        <row r="628">
          <cell r="A628">
            <v>891</v>
          </cell>
          <cell r="B628">
            <v>503</v>
          </cell>
          <cell r="G628" t="str">
            <v>DANIEL CHAVERRA CHANCY</v>
          </cell>
          <cell r="Q628">
            <v>737</v>
          </cell>
          <cell r="T628">
            <v>8194</v>
          </cell>
        </row>
        <row r="629">
          <cell r="A629">
            <v>892</v>
          </cell>
          <cell r="B629">
            <v>504</v>
          </cell>
          <cell r="G629" t="str">
            <v>LUIS JHONLEY MOSQUERA MURILLO</v>
          </cell>
          <cell r="Q629">
            <v>684</v>
          </cell>
          <cell r="T629">
            <v>8193</v>
          </cell>
        </row>
        <row r="630">
          <cell r="A630">
            <v>893</v>
          </cell>
          <cell r="B630">
            <v>505</v>
          </cell>
          <cell r="G630" t="str">
            <v>LIBARDO ANTONIO HOYOS CARMONA</v>
          </cell>
          <cell r="Q630">
            <v>785</v>
          </cell>
          <cell r="T630">
            <v>8297</v>
          </cell>
        </row>
        <row r="631">
          <cell r="A631">
            <v>894</v>
          </cell>
          <cell r="B631">
            <v>506</v>
          </cell>
          <cell r="G631" t="str">
            <v>NASLI PEREA</v>
          </cell>
          <cell r="Q631">
            <v>786</v>
          </cell>
          <cell r="T631">
            <v>8280</v>
          </cell>
        </row>
        <row r="632">
          <cell r="A632">
            <v>895</v>
          </cell>
          <cell r="B632">
            <v>507</v>
          </cell>
          <cell r="G632" t="str">
            <v>RAUL DIAZ QUEJADA</v>
          </cell>
          <cell r="Q632">
            <v>688</v>
          </cell>
          <cell r="T632">
            <v>8269</v>
          </cell>
        </row>
        <row r="633">
          <cell r="A633">
            <v>896</v>
          </cell>
          <cell r="B633">
            <v>508</v>
          </cell>
          <cell r="G633" t="str">
            <v>REGLA SANDRINO IZQUIERDO</v>
          </cell>
          <cell r="Q633">
            <v>787</v>
          </cell>
          <cell r="T633">
            <v>8313</v>
          </cell>
        </row>
        <row r="634">
          <cell r="A634">
            <v>897</v>
          </cell>
          <cell r="B634">
            <v>509</v>
          </cell>
          <cell r="G634" t="str">
            <v>HERNAN ALONSO OSORIO ESTRADA</v>
          </cell>
          <cell r="Q634">
            <v>690</v>
          </cell>
          <cell r="T634">
            <v>8230</v>
          </cell>
        </row>
        <row r="635">
          <cell r="A635">
            <v>898</v>
          </cell>
          <cell r="B635">
            <v>510</v>
          </cell>
          <cell r="G635" t="str">
            <v>LUIS ALFONSO VARELA</v>
          </cell>
          <cell r="Q635">
            <v>799</v>
          </cell>
          <cell r="T635">
            <v>8231</v>
          </cell>
        </row>
        <row r="636">
          <cell r="A636">
            <v>899</v>
          </cell>
          <cell r="B636">
            <v>511</v>
          </cell>
          <cell r="G636" t="str">
            <v>YEFERSON CORREA CANO</v>
          </cell>
          <cell r="Q636">
            <v>798</v>
          </cell>
          <cell r="T636">
            <v>8203</v>
          </cell>
        </row>
        <row r="637">
          <cell r="A637">
            <v>900</v>
          </cell>
          <cell r="B637">
            <v>512</v>
          </cell>
          <cell r="G637" t="str">
            <v>JOHN ALEXANDER HOYOS OCAMPO</v>
          </cell>
          <cell r="Q637">
            <v>723</v>
          </cell>
          <cell r="T637">
            <v>8192</v>
          </cell>
        </row>
        <row r="638">
          <cell r="A638">
            <v>901</v>
          </cell>
          <cell r="B638">
            <v>513</v>
          </cell>
          <cell r="G638" t="str">
            <v>MOISES ALFREDO REQUENA PIÑA</v>
          </cell>
          <cell r="Q638">
            <v>797</v>
          </cell>
          <cell r="T638">
            <v>8300</v>
          </cell>
        </row>
        <row r="639">
          <cell r="A639">
            <v>902</v>
          </cell>
          <cell r="B639">
            <v>514</v>
          </cell>
          <cell r="G639" t="str">
            <v>ENMANUEL HOYOS VICTORIA</v>
          </cell>
          <cell r="Q639">
            <v>796</v>
          </cell>
          <cell r="T639">
            <v>8298</v>
          </cell>
        </row>
        <row r="640">
          <cell r="A640">
            <v>903</v>
          </cell>
          <cell r="B640">
            <v>515</v>
          </cell>
          <cell r="G640" t="str">
            <v>IVAN DE JESUS DUQUE ARANGO</v>
          </cell>
          <cell r="Q640">
            <v>795</v>
          </cell>
          <cell r="T640">
            <v>8303</v>
          </cell>
        </row>
        <row r="641">
          <cell r="A641">
            <v>904</v>
          </cell>
          <cell r="B641">
            <v>516</v>
          </cell>
          <cell r="G641" t="str">
            <v>JOSE MIGUEL DUQUE ARANGO</v>
          </cell>
          <cell r="Q641">
            <v>722</v>
          </cell>
          <cell r="T641">
            <v>8259</v>
          </cell>
        </row>
        <row r="642">
          <cell r="A642">
            <v>905</v>
          </cell>
          <cell r="B642">
            <v>517</v>
          </cell>
          <cell r="G642" t="str">
            <v>JONATHAN NICOLAS SIERRA RAMIREZ</v>
          </cell>
          <cell r="Q642">
            <v>809</v>
          </cell>
          <cell r="T642">
            <v>8204</v>
          </cell>
        </row>
        <row r="643">
          <cell r="A643">
            <v>906</v>
          </cell>
          <cell r="B643">
            <v>518</v>
          </cell>
          <cell r="G643" t="str">
            <v>JUAN DAVID CORTES AGUDELO</v>
          </cell>
          <cell r="Q643">
            <v>794</v>
          </cell>
          <cell r="T643">
            <v>8289</v>
          </cell>
        </row>
        <row r="644">
          <cell r="A644">
            <v>907</v>
          </cell>
          <cell r="B644">
            <v>519</v>
          </cell>
          <cell r="G644" t="str">
            <v>OSCAR WILLINGTON ORTIZ VELASQUEZ</v>
          </cell>
          <cell r="Q644">
            <v>793</v>
          </cell>
          <cell r="T644">
            <v>8291</v>
          </cell>
        </row>
        <row r="645">
          <cell r="A645">
            <v>908</v>
          </cell>
          <cell r="B645">
            <v>520</v>
          </cell>
          <cell r="G645" t="str">
            <v>ABELARDO PARRA LEMOS</v>
          </cell>
          <cell r="Q645">
            <v>792</v>
          </cell>
          <cell r="T645">
            <v>8235</v>
          </cell>
        </row>
        <row r="646">
          <cell r="A646">
            <v>909</v>
          </cell>
          <cell r="B646">
            <v>521</v>
          </cell>
          <cell r="G646" t="str">
            <v>BEIBIS ANTONIO MENDOZA POLO</v>
          </cell>
          <cell r="Q646">
            <v>691</v>
          </cell>
          <cell r="T646">
            <v>8202</v>
          </cell>
        </row>
        <row r="647">
          <cell r="A647">
            <v>911</v>
          </cell>
          <cell r="B647">
            <v>522</v>
          </cell>
          <cell r="G647" t="str">
            <v>CAROLINA ACEVEDO JIMENEZ</v>
          </cell>
          <cell r="Q647">
            <v>692</v>
          </cell>
          <cell r="T647">
            <v>8220</v>
          </cell>
        </row>
        <row r="648">
          <cell r="A648">
            <v>912</v>
          </cell>
          <cell r="B648">
            <v>523</v>
          </cell>
          <cell r="G648" t="str">
            <v>JULIO YOANDY PEREZ MARTINEZ</v>
          </cell>
          <cell r="Q648">
            <v>791</v>
          </cell>
          <cell r="T648">
            <v>8213</v>
          </cell>
        </row>
        <row r="649">
          <cell r="A649">
            <v>913</v>
          </cell>
          <cell r="B649">
            <v>524</v>
          </cell>
          <cell r="G649" t="str">
            <v>SHARA STEFANIA MUNERA PULGARIN</v>
          </cell>
          <cell r="Q649">
            <v>720</v>
          </cell>
          <cell r="T649">
            <v>8292</v>
          </cell>
        </row>
        <row r="650">
          <cell r="A650">
            <v>914</v>
          </cell>
          <cell r="B650">
            <v>525</v>
          </cell>
          <cell r="G650" t="str">
            <v>DIANA MARCELA URAN SALAZAR</v>
          </cell>
          <cell r="Q650">
            <v>693</v>
          </cell>
          <cell r="T650">
            <v>8222</v>
          </cell>
        </row>
        <row r="651">
          <cell r="A651">
            <v>915</v>
          </cell>
          <cell r="B651">
            <v>526</v>
          </cell>
          <cell r="G651" t="str">
            <v>DIEGO FERNANDO GOMEZ VANEGAS</v>
          </cell>
          <cell r="Q651">
            <v>695</v>
          </cell>
          <cell r="T651">
            <v>8314</v>
          </cell>
        </row>
        <row r="652">
          <cell r="A652">
            <v>916</v>
          </cell>
          <cell r="B652">
            <v>527</v>
          </cell>
          <cell r="G652" t="str">
            <v>JUAN FERNANDO MESA RIVERA</v>
          </cell>
          <cell r="Q652">
            <v>790</v>
          </cell>
          <cell r="T652">
            <v>8217</v>
          </cell>
        </row>
        <row r="653">
          <cell r="A653">
            <v>917</v>
          </cell>
          <cell r="B653">
            <v>528</v>
          </cell>
          <cell r="G653" t="str">
            <v>CESAR ARNOLFO DELGADO ALARCON</v>
          </cell>
          <cell r="Q653">
            <v>719</v>
          </cell>
          <cell r="T653">
            <v>8278</v>
          </cell>
        </row>
        <row r="654">
          <cell r="A654">
            <v>918</v>
          </cell>
          <cell r="B654">
            <v>529</v>
          </cell>
          <cell r="G654" t="str">
            <v>JOSE NEBER ARIAS MENDEZ</v>
          </cell>
          <cell r="Q654">
            <v>768</v>
          </cell>
          <cell r="T654">
            <v>8295</v>
          </cell>
        </row>
        <row r="655">
          <cell r="A655">
            <v>919</v>
          </cell>
          <cell r="B655">
            <v>530</v>
          </cell>
          <cell r="G655" t="str">
            <v>DIANA CAROLINA SALDARRIAGA BUSTAMANTE</v>
          </cell>
          <cell r="Q655">
            <v>717</v>
          </cell>
          <cell r="T655">
            <v>8279</v>
          </cell>
        </row>
        <row r="656">
          <cell r="A656">
            <v>920</v>
          </cell>
          <cell r="B656">
            <v>531</v>
          </cell>
          <cell r="G656" t="str">
            <v>MAURICIO GIRALDO VILLA</v>
          </cell>
          <cell r="Q656">
            <v>718</v>
          </cell>
          <cell r="T656">
            <v>8301</v>
          </cell>
        </row>
        <row r="657">
          <cell r="A657">
            <v>921</v>
          </cell>
          <cell r="B657">
            <v>532</v>
          </cell>
          <cell r="G657" t="str">
            <v>WALTER SALDARRIAGA MONSALVE</v>
          </cell>
          <cell r="Q657">
            <v>716</v>
          </cell>
          <cell r="T657">
            <v>8236</v>
          </cell>
        </row>
        <row r="658">
          <cell r="A658">
            <v>922</v>
          </cell>
          <cell r="B658">
            <v>533</v>
          </cell>
          <cell r="G658" t="str">
            <v>TATIANA LEON VALENCIA</v>
          </cell>
          <cell r="Q658">
            <v>767</v>
          </cell>
          <cell r="T658">
            <v>8221</v>
          </cell>
        </row>
        <row r="659">
          <cell r="A659">
            <v>923</v>
          </cell>
          <cell r="B659">
            <v>534</v>
          </cell>
          <cell r="G659" t="str">
            <v>DIEGO ANDRES POSADA GIRALDO</v>
          </cell>
          <cell r="Q659">
            <v>715</v>
          </cell>
          <cell r="T659">
            <v>8219</v>
          </cell>
        </row>
        <row r="660">
          <cell r="A660">
            <v>924</v>
          </cell>
          <cell r="B660">
            <v>535</v>
          </cell>
          <cell r="G660" t="str">
            <v>JUAN SEBASTIAN GIRALDO RAMIREZ</v>
          </cell>
          <cell r="Q660">
            <v>766</v>
          </cell>
          <cell r="T660">
            <v>8274</v>
          </cell>
        </row>
        <row r="661">
          <cell r="A661">
            <v>925</v>
          </cell>
          <cell r="B661">
            <v>536</v>
          </cell>
          <cell r="G661" t="str">
            <v>DAVID ORLANDO JARAMILLO GOMEZ</v>
          </cell>
          <cell r="Q661">
            <v>789</v>
          </cell>
          <cell r="T661">
            <v>8252</v>
          </cell>
        </row>
        <row r="662">
          <cell r="A662">
            <v>926</v>
          </cell>
          <cell r="B662">
            <v>537</v>
          </cell>
          <cell r="G662" t="str">
            <v>YEFREY ALEXANDER JARAMILLO CEBALLOS</v>
          </cell>
          <cell r="Q662">
            <v>714</v>
          </cell>
          <cell r="T662">
            <v>8286</v>
          </cell>
        </row>
        <row r="663">
          <cell r="A663">
            <v>927</v>
          </cell>
          <cell r="B663">
            <v>538</v>
          </cell>
          <cell r="G663" t="str">
            <v>PEDRO MANUEL HERNANDEZ LUNA</v>
          </cell>
          <cell r="Q663">
            <v>765</v>
          </cell>
          <cell r="T663">
            <v>8311</v>
          </cell>
        </row>
        <row r="664">
          <cell r="A664">
            <v>928</v>
          </cell>
          <cell r="B664">
            <v>539</v>
          </cell>
          <cell r="G664" t="str">
            <v>JAIRO ANIBAL COSSIO ZAPATA</v>
          </cell>
          <cell r="Q664">
            <v>713</v>
          </cell>
          <cell r="T664">
            <v>8211</v>
          </cell>
        </row>
        <row r="665">
          <cell r="A665">
            <v>929</v>
          </cell>
          <cell r="B665">
            <v>540</v>
          </cell>
          <cell r="G665" t="str">
            <v>JUAN FRANCISCO RUIZ MORELOS</v>
          </cell>
          <cell r="Q665">
            <v>764</v>
          </cell>
          <cell r="T665">
            <v>8233</v>
          </cell>
        </row>
        <row r="666">
          <cell r="A666">
            <v>930</v>
          </cell>
          <cell r="B666">
            <v>541</v>
          </cell>
          <cell r="G666" t="str">
            <v>LUIS CARLOS SANTAMARIA OSUNA</v>
          </cell>
          <cell r="Q666">
            <v>763</v>
          </cell>
          <cell r="T666">
            <v>8214</v>
          </cell>
        </row>
        <row r="667">
          <cell r="A667">
            <v>931</v>
          </cell>
          <cell r="B667">
            <v>542</v>
          </cell>
          <cell r="G667" t="str">
            <v>MARTHA CECILIA PEMBERTY MAZO</v>
          </cell>
          <cell r="Q667">
            <v>762</v>
          </cell>
          <cell r="T667">
            <v>8216</v>
          </cell>
        </row>
        <row r="668">
          <cell r="A668">
            <v>932</v>
          </cell>
          <cell r="B668">
            <v>543</v>
          </cell>
          <cell r="G668" t="str">
            <v>JHONATAN ALBERTO OJEDA LEON</v>
          </cell>
          <cell r="Q668">
            <v>712</v>
          </cell>
          <cell r="T668">
            <v>8207</v>
          </cell>
        </row>
        <row r="669">
          <cell r="A669">
            <v>933</v>
          </cell>
          <cell r="B669">
            <v>544</v>
          </cell>
          <cell r="G669" t="str">
            <v>BENJAMIN DE JESUS LAVERDE SEGURO</v>
          </cell>
          <cell r="Q669">
            <v>711</v>
          </cell>
          <cell r="T669">
            <v>8277</v>
          </cell>
        </row>
        <row r="670">
          <cell r="A670">
            <v>934</v>
          </cell>
          <cell r="B670">
            <v>545</v>
          </cell>
          <cell r="G670" t="str">
            <v>CESAR AUGUSTO ACEVEDO ARANGO</v>
          </cell>
          <cell r="Q670">
            <v>710</v>
          </cell>
          <cell r="T670">
            <v>8218</v>
          </cell>
        </row>
        <row r="671">
          <cell r="A671">
            <v>935</v>
          </cell>
          <cell r="B671">
            <v>546</v>
          </cell>
          <cell r="G671" t="str">
            <v>HECTOR HERNANDO PEREZ MUÑOZ</v>
          </cell>
          <cell r="Q671">
            <v>709</v>
          </cell>
          <cell r="T671">
            <v>8242</v>
          </cell>
        </row>
        <row r="672">
          <cell r="A672">
            <v>936</v>
          </cell>
          <cell r="B672">
            <v>547</v>
          </cell>
          <cell r="G672" t="str">
            <v>JOHN JAIME GONZALEZ JIMENEZ</v>
          </cell>
          <cell r="Q672">
            <v>815</v>
          </cell>
          <cell r="T672">
            <v>8245</v>
          </cell>
        </row>
        <row r="673">
          <cell r="A673">
            <v>937</v>
          </cell>
          <cell r="B673">
            <v>548</v>
          </cell>
          <cell r="G673" t="str">
            <v>JORGE WILSON JARAMILLO CEBALLOS</v>
          </cell>
          <cell r="Q673">
            <v>708</v>
          </cell>
          <cell r="T673">
            <v>8246</v>
          </cell>
        </row>
        <row r="674">
          <cell r="A674">
            <v>938</v>
          </cell>
          <cell r="B674">
            <v>549</v>
          </cell>
          <cell r="G674" t="str">
            <v>CARLOS ALBERTO OROZCO SANCHEZ</v>
          </cell>
          <cell r="Q674">
            <v>707</v>
          </cell>
          <cell r="T674">
            <v>8251</v>
          </cell>
        </row>
        <row r="675">
          <cell r="A675">
            <v>939</v>
          </cell>
          <cell r="B675">
            <v>550</v>
          </cell>
          <cell r="G675" t="str">
            <v>CLAUDIA ANDREA ARENAS CASTAÑO</v>
          </cell>
          <cell r="Q675">
            <v>686</v>
          </cell>
          <cell r="T675">
            <v>8241</v>
          </cell>
        </row>
        <row r="676">
          <cell r="A676">
            <v>940</v>
          </cell>
          <cell r="B676">
            <v>551</v>
          </cell>
          <cell r="G676" t="str">
            <v>OSCAR ALIRIO URREGO CARTAGENA</v>
          </cell>
          <cell r="Q676">
            <v>761</v>
          </cell>
          <cell r="T676">
            <v>8263</v>
          </cell>
        </row>
        <row r="677">
          <cell r="A677">
            <v>941</v>
          </cell>
          <cell r="B677">
            <v>552</v>
          </cell>
          <cell r="G677" t="str">
            <v>FREDY JOSE BARON MUÑOZ</v>
          </cell>
          <cell r="Q677">
            <v>685</v>
          </cell>
          <cell r="T677">
            <v>8288</v>
          </cell>
        </row>
        <row r="678">
          <cell r="A678">
            <v>942</v>
          </cell>
          <cell r="B678">
            <v>553</v>
          </cell>
          <cell r="G678" t="str">
            <v>MONICA MARIA PICON VALENCIA</v>
          </cell>
          <cell r="Q678">
            <v>683</v>
          </cell>
          <cell r="T678">
            <v>8265</v>
          </cell>
        </row>
        <row r="679">
          <cell r="A679">
            <v>943</v>
          </cell>
          <cell r="B679">
            <v>554</v>
          </cell>
          <cell r="G679" t="str">
            <v>JAIME ALONSO RESTREPO ESTRADA</v>
          </cell>
          <cell r="Q679">
            <v>682</v>
          </cell>
          <cell r="T679">
            <v>8284</v>
          </cell>
        </row>
        <row r="680">
          <cell r="A680">
            <v>944</v>
          </cell>
          <cell r="B680">
            <v>555</v>
          </cell>
          <cell r="G680" t="str">
            <v>ANGEL AUGUSTO ARRIETA ARTEAGA</v>
          </cell>
          <cell r="Q680">
            <v>760</v>
          </cell>
          <cell r="T680">
            <v>8205</v>
          </cell>
        </row>
        <row r="681">
          <cell r="A681">
            <v>945</v>
          </cell>
          <cell r="B681">
            <v>556</v>
          </cell>
          <cell r="G681" t="str">
            <v>EMMANUEL VELASQUEZ ALZATE</v>
          </cell>
          <cell r="Q681">
            <v>706</v>
          </cell>
          <cell r="T681">
            <v>8315</v>
          </cell>
        </row>
        <row r="682">
          <cell r="A682">
            <v>946</v>
          </cell>
          <cell r="B682">
            <v>557</v>
          </cell>
          <cell r="G682" t="str">
            <v>MARIA CAMILA CRESPO SALAZAR</v>
          </cell>
          <cell r="Q682">
            <v>759</v>
          </cell>
          <cell r="T682">
            <v>8212</v>
          </cell>
        </row>
        <row r="683">
          <cell r="A683">
            <v>947</v>
          </cell>
          <cell r="B683">
            <v>558</v>
          </cell>
          <cell r="G683" t="str">
            <v>JOSE FERNANDO GOMEZ GIRALDO</v>
          </cell>
          <cell r="Q683">
            <v>758</v>
          </cell>
          <cell r="T683">
            <v>8282</v>
          </cell>
        </row>
        <row r="684">
          <cell r="A684">
            <v>948</v>
          </cell>
          <cell r="B684">
            <v>559</v>
          </cell>
          <cell r="G684" t="str">
            <v>ALVARO DUBAN MUÑOZ ECHEVERRI</v>
          </cell>
          <cell r="Q684">
            <v>694</v>
          </cell>
          <cell r="T684">
            <v>8250</v>
          </cell>
        </row>
        <row r="685">
          <cell r="A685">
            <v>949</v>
          </cell>
          <cell r="B685">
            <v>560</v>
          </cell>
          <cell r="G685" t="str">
            <v>JUANA RUEDA VARGAS</v>
          </cell>
          <cell r="Q685">
            <v>681</v>
          </cell>
          <cell r="T685">
            <v>8223</v>
          </cell>
        </row>
        <row r="686">
          <cell r="A686">
            <v>950</v>
          </cell>
          <cell r="B686">
            <v>561</v>
          </cell>
          <cell r="G686" t="str">
            <v>URIEL GIL RENDON</v>
          </cell>
          <cell r="Q686">
            <v>705</v>
          </cell>
          <cell r="T686">
            <v>8267</v>
          </cell>
        </row>
        <row r="687">
          <cell r="A687">
            <v>951</v>
          </cell>
          <cell r="B687">
            <v>562</v>
          </cell>
          <cell r="G687" t="str">
            <v>JOHN ALEJANDRO MACIAS GIL</v>
          </cell>
          <cell r="Q687">
            <v>704</v>
          </cell>
          <cell r="T687">
            <v>8237</v>
          </cell>
        </row>
        <row r="688">
          <cell r="A688">
            <v>952</v>
          </cell>
          <cell r="B688">
            <v>563</v>
          </cell>
          <cell r="G688" t="str">
            <v>MIGUEL ANGEL ORTIZ MORENO</v>
          </cell>
          <cell r="Q688">
            <v>679</v>
          </cell>
          <cell r="T688">
            <v>8232</v>
          </cell>
        </row>
        <row r="689">
          <cell r="A689">
            <v>953</v>
          </cell>
          <cell r="B689">
            <v>564</v>
          </cell>
          <cell r="G689" t="str">
            <v>JAIR MANUEL GIL DIAZ</v>
          </cell>
          <cell r="Q689">
            <v>703</v>
          </cell>
          <cell r="T689">
            <v>8244</v>
          </cell>
        </row>
        <row r="690">
          <cell r="A690">
            <v>954</v>
          </cell>
          <cell r="B690">
            <v>565</v>
          </cell>
          <cell r="G690" t="str">
            <v>DIEGO ALEJANDRO MEDINA GOMEZ</v>
          </cell>
          <cell r="Q690">
            <v>702</v>
          </cell>
          <cell r="T690">
            <v>8240</v>
          </cell>
        </row>
        <row r="691">
          <cell r="A691">
            <v>955</v>
          </cell>
          <cell r="B691">
            <v>566</v>
          </cell>
          <cell r="G691" t="str">
            <v>KATISH HIDARI RECALDE CAMPOS</v>
          </cell>
          <cell r="Q691">
            <v>757</v>
          </cell>
          <cell r="T691">
            <v>8253</v>
          </cell>
        </row>
        <row r="692">
          <cell r="A692">
            <v>956</v>
          </cell>
          <cell r="B692">
            <v>567</v>
          </cell>
          <cell r="G692" t="str">
            <v>LAISY FONSECA RAMIREZ</v>
          </cell>
          <cell r="Q692">
            <v>756</v>
          </cell>
          <cell r="T692">
            <v>8254</v>
          </cell>
        </row>
        <row r="693">
          <cell r="A693">
            <v>957</v>
          </cell>
          <cell r="B693">
            <v>568</v>
          </cell>
          <cell r="G693" t="str">
            <v>LEONARDO FABIO GONZALEZ GARCIA</v>
          </cell>
          <cell r="Q693">
            <v>755</v>
          </cell>
          <cell r="T693">
            <v>8248</v>
          </cell>
        </row>
        <row r="694">
          <cell r="A694">
            <v>958</v>
          </cell>
          <cell r="B694">
            <v>569</v>
          </cell>
          <cell r="G694" t="str">
            <v>JUAN CARLOS MONTOYA URIBE</v>
          </cell>
          <cell r="Q694">
            <v>689</v>
          </cell>
          <cell r="T694">
            <v>8199</v>
          </cell>
        </row>
        <row r="695">
          <cell r="A695">
            <v>959</v>
          </cell>
          <cell r="B695">
            <v>570</v>
          </cell>
          <cell r="G695" t="str">
            <v>DAVID FELIPE CONTRERAS CONTRERAS</v>
          </cell>
          <cell r="Q695">
            <v>701</v>
          </cell>
          <cell r="T695">
            <v>8229</v>
          </cell>
        </row>
        <row r="696">
          <cell r="A696">
            <v>960</v>
          </cell>
          <cell r="B696">
            <v>571</v>
          </cell>
          <cell r="G696" t="str">
            <v>JUAN CAMILO CARDENAS ZAPATA</v>
          </cell>
          <cell r="Q696">
            <v>754</v>
          </cell>
          <cell r="T696">
            <v>8243</v>
          </cell>
        </row>
        <row r="697">
          <cell r="A697">
            <v>961</v>
          </cell>
          <cell r="B697">
            <v>572</v>
          </cell>
          <cell r="G697" t="str">
            <v>ANYELA MARCELA RIVAS MORENO</v>
          </cell>
          <cell r="Q697">
            <v>700</v>
          </cell>
          <cell r="T697">
            <v>8281</v>
          </cell>
        </row>
        <row r="698">
          <cell r="A698">
            <v>962</v>
          </cell>
          <cell r="B698">
            <v>573</v>
          </cell>
          <cell r="G698" t="str">
            <v>LUIS ESTEBAN AGUIRRE ESTRADA</v>
          </cell>
          <cell r="Q698">
            <v>699</v>
          </cell>
          <cell r="T698">
            <v>8261</v>
          </cell>
        </row>
        <row r="699">
          <cell r="A699">
            <v>963</v>
          </cell>
          <cell r="B699">
            <v>574</v>
          </cell>
          <cell r="G699" t="str">
            <v>HENRY JHONHADER PANESSO RIVERA</v>
          </cell>
          <cell r="Q699">
            <v>698</v>
          </cell>
          <cell r="T699">
            <v>8287</v>
          </cell>
        </row>
        <row r="700">
          <cell r="A700">
            <v>964</v>
          </cell>
          <cell r="B700">
            <v>575</v>
          </cell>
          <cell r="G700" t="str">
            <v>ESTEBAN ALBERTO VALDERRAMA QUICENO</v>
          </cell>
          <cell r="Q700">
            <v>753</v>
          </cell>
          <cell r="T700">
            <v>8227</v>
          </cell>
        </row>
        <row r="701">
          <cell r="A701">
            <v>965</v>
          </cell>
          <cell r="B701">
            <v>576</v>
          </cell>
          <cell r="G701" t="str">
            <v>DAVID ARENAS VANEGAS</v>
          </cell>
          <cell r="Q701">
            <v>752</v>
          </cell>
          <cell r="T701">
            <v>8234</v>
          </cell>
        </row>
        <row r="702">
          <cell r="A702">
            <v>966</v>
          </cell>
          <cell r="B702">
            <v>577</v>
          </cell>
          <cell r="G702" t="str">
            <v>JUAN CARLOS BARCO CARDONA</v>
          </cell>
          <cell r="Q702">
            <v>751</v>
          </cell>
          <cell r="T702">
            <v>8272</v>
          </cell>
        </row>
        <row r="703">
          <cell r="A703">
            <v>967</v>
          </cell>
          <cell r="B703">
            <v>578</v>
          </cell>
          <cell r="G703" t="str">
            <v>JUAN FRANCISCO MENDEZ PARDO</v>
          </cell>
          <cell r="Q703">
            <v>750</v>
          </cell>
          <cell r="T703">
            <v>8247</v>
          </cell>
        </row>
        <row r="704">
          <cell r="A704">
            <v>968</v>
          </cell>
          <cell r="B704">
            <v>579</v>
          </cell>
          <cell r="G704" t="str">
            <v>IVAN ALEJANDRO VARGAS LOPERA</v>
          </cell>
          <cell r="Q704">
            <v>687</v>
          </cell>
          <cell r="T704">
            <v>8266</v>
          </cell>
        </row>
        <row r="705">
          <cell r="A705">
            <v>969</v>
          </cell>
          <cell r="B705">
            <v>580</v>
          </cell>
          <cell r="G705" t="str">
            <v>OSCAR ALEJANDRO RIVERA BUITRAGO</v>
          </cell>
          <cell r="Q705">
            <v>696</v>
          </cell>
          <cell r="T705">
            <v>8260</v>
          </cell>
        </row>
        <row r="706">
          <cell r="A706">
            <v>970</v>
          </cell>
          <cell r="B706">
            <v>581</v>
          </cell>
          <cell r="G706" t="str">
            <v>SEBASTIAN MONTOYA ARANGO</v>
          </cell>
          <cell r="Q706">
            <v>788</v>
          </cell>
          <cell r="T706">
            <v>8271</v>
          </cell>
        </row>
        <row r="707">
          <cell r="A707">
            <v>971</v>
          </cell>
          <cell r="B707">
            <v>582</v>
          </cell>
          <cell r="G707" t="str">
            <v>SULMA SHIRLEY LAGUNA CUBIDES</v>
          </cell>
          <cell r="Q707">
            <v>744</v>
          </cell>
          <cell r="T707">
            <v>8249</v>
          </cell>
        </row>
        <row r="708">
          <cell r="A708">
            <v>972</v>
          </cell>
          <cell r="B708">
            <v>583</v>
          </cell>
          <cell r="G708" t="str">
            <v>SANTIAGO MONTOYA ARTEAGA</v>
          </cell>
          <cell r="Q708">
            <v>697</v>
          </cell>
          <cell r="T708">
            <v>8273</v>
          </cell>
        </row>
        <row r="709">
          <cell r="A709">
            <v>973</v>
          </cell>
          <cell r="B709">
            <v>584</v>
          </cell>
          <cell r="G709" t="str">
            <v>DIEGO ALEJANDRO TORRES TORRES</v>
          </cell>
          <cell r="Q709">
            <v>743</v>
          </cell>
          <cell r="T709">
            <v>8299</v>
          </cell>
        </row>
        <row r="710">
          <cell r="A710">
            <v>974</v>
          </cell>
          <cell r="B710">
            <v>585</v>
          </cell>
          <cell r="G710" t="str">
            <v>SERGIO ANDRES GIRALDO ARISTIZABAL</v>
          </cell>
          <cell r="Q710">
            <v>742</v>
          </cell>
          <cell r="T710">
            <v>8228</v>
          </cell>
        </row>
        <row r="711">
          <cell r="A711">
            <v>975</v>
          </cell>
          <cell r="B711">
            <v>586</v>
          </cell>
          <cell r="G711" t="str">
            <v>CARLOS ENRIQUE PLATA BUSTAMANTE</v>
          </cell>
          <cell r="Q711">
            <v>741</v>
          </cell>
          <cell r="T711">
            <v>8262</v>
          </cell>
        </row>
        <row r="712">
          <cell r="A712">
            <v>810</v>
          </cell>
          <cell r="B712">
            <v>587</v>
          </cell>
          <cell r="G712" t="str">
            <v>DAYLON GILBERTO DIAZ ACOSTA</v>
          </cell>
          <cell r="Q712">
            <v>604</v>
          </cell>
          <cell r="T712">
            <v>8268</v>
          </cell>
        </row>
        <row r="713">
          <cell r="A713">
            <v>847</v>
          </cell>
          <cell r="B713">
            <v>588</v>
          </cell>
          <cell r="G713" t="str">
            <v>INSTITUTO CEJEÑO DE LA RECREACIÓN Y EL DEPORTE</v>
          </cell>
          <cell r="Q713">
            <v>666</v>
          </cell>
          <cell r="T713">
            <v>8451</v>
          </cell>
        </row>
        <row r="714">
          <cell r="A714">
            <v>722</v>
          </cell>
          <cell r="B714">
            <v>589</v>
          </cell>
          <cell r="G714" t="str">
            <v>LIGA ANTIOQUEÑA DE VOLEIBOL</v>
          </cell>
          <cell r="Q714">
            <v>803</v>
          </cell>
          <cell r="T714">
            <v>8183</v>
          </cell>
        </row>
        <row r="715">
          <cell r="A715">
            <v>1323</v>
          </cell>
          <cell r="B715">
            <v>589</v>
          </cell>
          <cell r="G715" t="str">
            <v>LIGA ANTIOQUEÑA DE VOLEIBOL</v>
          </cell>
          <cell r="Q715">
            <v>1212</v>
          </cell>
          <cell r="T715">
            <v>14492</v>
          </cell>
        </row>
        <row r="716">
          <cell r="A716">
            <v>982</v>
          </cell>
          <cell r="B716">
            <v>590</v>
          </cell>
          <cell r="G716" t="str">
            <v>LIGA DE PATINAJE DE ANTIOQUIA</v>
          </cell>
          <cell r="Q716">
            <v>739</v>
          </cell>
          <cell r="T716">
            <v>8163</v>
          </cell>
        </row>
        <row r="717">
          <cell r="A717">
            <v>981</v>
          </cell>
          <cell r="B717">
            <v>591</v>
          </cell>
          <cell r="G717" t="str">
            <v>LIGA ECUESTRE DE ANTIOQUIA</v>
          </cell>
          <cell r="Q717">
            <v>740</v>
          </cell>
          <cell r="T717">
            <v>8164</v>
          </cell>
        </row>
        <row r="718">
          <cell r="A718">
            <v>1286</v>
          </cell>
          <cell r="B718">
            <v>591</v>
          </cell>
          <cell r="G718" t="str">
            <v>LIGA ECUESTRE DE ANTIOQUIA</v>
          </cell>
          <cell r="Q718">
            <v>1129</v>
          </cell>
          <cell r="T718">
            <v>14693</v>
          </cell>
        </row>
        <row r="719">
          <cell r="A719">
            <v>716</v>
          </cell>
          <cell r="B719">
            <v>592</v>
          </cell>
          <cell r="G719" t="str">
            <v>LIGA ANTIOQUEÑA DE BOLO</v>
          </cell>
          <cell r="Q719">
            <v>609</v>
          </cell>
          <cell r="T719">
            <v>8185</v>
          </cell>
        </row>
        <row r="720">
          <cell r="A720">
            <v>758</v>
          </cell>
          <cell r="B720">
            <v>593</v>
          </cell>
          <cell r="G720" t="str">
            <v>MARIA ALEJANDRA GARCES FLOREZ</v>
          </cell>
          <cell r="Q720">
            <v>808</v>
          </cell>
          <cell r="T720">
            <v>8189</v>
          </cell>
        </row>
        <row r="721">
          <cell r="A721">
            <v>590</v>
          </cell>
          <cell r="B721">
            <v>594</v>
          </cell>
          <cell r="G721" t="str">
            <v>UT SOLUCIÓN FERRETERIA PARA COLOMBIA</v>
          </cell>
          <cell r="Q721">
            <v>430</v>
          </cell>
          <cell r="T721">
            <v>7631</v>
          </cell>
        </row>
        <row r="722">
          <cell r="A722">
            <v>586</v>
          </cell>
          <cell r="B722">
            <v>595</v>
          </cell>
          <cell r="G722" t="str">
            <v>FUMIGACIONES INDUSTRIALES LTDA</v>
          </cell>
          <cell r="Q722">
            <v>630</v>
          </cell>
          <cell r="T722">
            <v>8440</v>
          </cell>
        </row>
        <row r="723">
          <cell r="A723">
            <v>985</v>
          </cell>
          <cell r="B723">
            <v>596</v>
          </cell>
          <cell r="G723" t="str">
            <v xml:space="preserve">MARIA CRISTINA OSORIO FRANCO </v>
          </cell>
          <cell r="Q723">
            <v>826</v>
          </cell>
          <cell r="T723">
            <v>8450</v>
          </cell>
        </row>
        <row r="724">
          <cell r="A724">
            <v>980</v>
          </cell>
          <cell r="B724">
            <v>597</v>
          </cell>
          <cell r="G724" t="str">
            <v>JUAN CAMILO VARGAS BERMUDEZ</v>
          </cell>
          <cell r="Q724">
            <v>745</v>
          </cell>
          <cell r="T724">
            <v>8305</v>
          </cell>
        </row>
        <row r="725">
          <cell r="A725" t="str">
            <v>ANULADO</v>
          </cell>
          <cell r="B725">
            <v>598</v>
          </cell>
          <cell r="G725" t="str">
            <v xml:space="preserve">ANULADO </v>
          </cell>
          <cell r="Q725">
            <v>0</v>
          </cell>
          <cell r="T725" t="str">
            <v/>
          </cell>
        </row>
        <row r="726">
          <cell r="A726" t="str">
            <v>ANULADO</v>
          </cell>
          <cell r="B726">
            <v>599</v>
          </cell>
          <cell r="G726" t="str">
            <v xml:space="preserve">ANULADO </v>
          </cell>
          <cell r="Q726">
            <v>0</v>
          </cell>
          <cell r="T726" t="str">
            <v/>
          </cell>
        </row>
        <row r="727">
          <cell r="A727">
            <v>715</v>
          </cell>
          <cell r="B727">
            <v>600</v>
          </cell>
          <cell r="G727" t="str">
            <v>LIGA DE SOFTBOL DE ANTIOQUIA</v>
          </cell>
          <cell r="Q727">
            <v>738</v>
          </cell>
          <cell r="T727">
            <v>8439</v>
          </cell>
        </row>
        <row r="728">
          <cell r="A728">
            <v>1324</v>
          </cell>
          <cell r="B728">
            <v>600</v>
          </cell>
          <cell r="G728" t="str">
            <v>LIGA DE SOFTBOL DE ANTIOQUIA</v>
          </cell>
          <cell r="Q728">
            <v>1211</v>
          </cell>
          <cell r="T728">
            <v>14496</v>
          </cell>
        </row>
        <row r="729">
          <cell r="A729" t="str">
            <v>ANULADO</v>
          </cell>
          <cell r="B729">
            <v>601</v>
          </cell>
          <cell r="G729" t="str">
            <v xml:space="preserve">ANULADO </v>
          </cell>
          <cell r="Q729">
            <v>0</v>
          </cell>
          <cell r="T729" t="str">
            <v/>
          </cell>
        </row>
        <row r="730">
          <cell r="A730" t="str">
            <v>ANULADO</v>
          </cell>
          <cell r="B730">
            <v>602</v>
          </cell>
          <cell r="G730" t="str">
            <v xml:space="preserve">ANULADO </v>
          </cell>
          <cell r="Q730">
            <v>0</v>
          </cell>
          <cell r="T730" t="str">
            <v/>
          </cell>
        </row>
        <row r="731">
          <cell r="A731">
            <v>729</v>
          </cell>
          <cell r="B731">
            <v>603</v>
          </cell>
          <cell r="G731" t="str">
            <v xml:space="preserve">CLUB ESCUELA DE CICLISMO ORGULLO PAISA </v>
          </cell>
          <cell r="Q731">
            <v>805</v>
          </cell>
          <cell r="T731">
            <v>8316</v>
          </cell>
        </row>
        <row r="732">
          <cell r="A732">
            <v>983</v>
          </cell>
          <cell r="B732">
            <v>604</v>
          </cell>
          <cell r="G732" t="str">
            <v>DIANA LORENA LLANOS RINCON</v>
          </cell>
          <cell r="Q732">
            <v>801</v>
          </cell>
          <cell r="T732">
            <v>8470</v>
          </cell>
        </row>
        <row r="733">
          <cell r="A733">
            <v>764</v>
          </cell>
          <cell r="B733">
            <v>605</v>
          </cell>
          <cell r="G733" t="str">
            <v>UNE EPM TELECOMUNICACIONES S.A</v>
          </cell>
          <cell r="Q733">
            <v>670</v>
          </cell>
          <cell r="T733">
            <v>8466</v>
          </cell>
        </row>
        <row r="734">
          <cell r="A734" t="str">
            <v>ANULADO</v>
          </cell>
          <cell r="B734">
            <v>606</v>
          </cell>
          <cell r="G734" t="str">
            <v xml:space="preserve">ANULADO </v>
          </cell>
          <cell r="Q734">
            <v>0</v>
          </cell>
          <cell r="T734" t="str">
            <v/>
          </cell>
        </row>
        <row r="735">
          <cell r="A735">
            <v>986</v>
          </cell>
          <cell r="B735">
            <v>607</v>
          </cell>
          <cell r="G735" t="str">
            <v>ANA MILENA BERNAL GOMEZ</v>
          </cell>
          <cell r="Q735">
            <v>822</v>
          </cell>
          <cell r="T735">
            <v>8446</v>
          </cell>
        </row>
        <row r="736">
          <cell r="A736">
            <v>988</v>
          </cell>
          <cell r="B736">
            <v>608</v>
          </cell>
          <cell r="G736" t="str">
            <v>ANA MARIA SERNA SORA</v>
          </cell>
          <cell r="Q736">
            <v>821</v>
          </cell>
          <cell r="T736">
            <v>8452</v>
          </cell>
        </row>
        <row r="737">
          <cell r="A737">
            <v>987</v>
          </cell>
          <cell r="B737">
            <v>609</v>
          </cell>
          <cell r="G737" t="str">
            <v xml:space="preserve">CECILIA ALZATE GOMEZ </v>
          </cell>
          <cell r="Q737">
            <v>823</v>
          </cell>
          <cell r="T737">
            <v>8453</v>
          </cell>
        </row>
        <row r="738">
          <cell r="A738">
            <v>984</v>
          </cell>
          <cell r="B738">
            <v>610</v>
          </cell>
          <cell r="G738" t="str">
            <v>LILIANA PATRICIA JIMENEZ OCAMPO</v>
          </cell>
          <cell r="Q738">
            <v>819</v>
          </cell>
          <cell r="T738">
            <v>8449</v>
          </cell>
        </row>
        <row r="739">
          <cell r="A739">
            <v>997</v>
          </cell>
          <cell r="B739">
            <v>611</v>
          </cell>
          <cell r="G739" t="str">
            <v xml:space="preserve">WALTER ANDRES AGUDELO TOBÓN </v>
          </cell>
          <cell r="Q739">
            <v>830</v>
          </cell>
          <cell r="T739">
            <v>8447</v>
          </cell>
        </row>
        <row r="740">
          <cell r="A740">
            <v>765</v>
          </cell>
          <cell r="B740">
            <v>612</v>
          </cell>
          <cell r="G740" t="str">
            <v>ADA S.A.S</v>
          </cell>
          <cell r="Q740">
            <v>673</v>
          </cell>
          <cell r="T740">
            <v>8477</v>
          </cell>
        </row>
        <row r="741">
          <cell r="A741">
            <v>769</v>
          </cell>
          <cell r="B741">
            <v>613</v>
          </cell>
          <cell r="G741" t="str">
            <v>VALOR + S.A.S.</v>
          </cell>
          <cell r="Q741">
            <v>642</v>
          </cell>
          <cell r="T741">
            <v>9453</v>
          </cell>
        </row>
        <row r="742">
          <cell r="A742">
            <v>766</v>
          </cell>
          <cell r="B742">
            <v>614</v>
          </cell>
          <cell r="G742" t="str">
            <v>EQUIPARO SAS</v>
          </cell>
          <cell r="Q742">
            <v>584</v>
          </cell>
          <cell r="T742">
            <v>8465</v>
          </cell>
        </row>
        <row r="743">
          <cell r="A743">
            <v>81</v>
          </cell>
          <cell r="B743">
            <v>615</v>
          </cell>
          <cell r="G743" t="str">
            <v>LIGA ANTIOQUEÑA DE FUTBOL DE SALÓN</v>
          </cell>
          <cell r="Q743">
            <v>496</v>
          </cell>
          <cell r="T743">
            <v>8469</v>
          </cell>
        </row>
        <row r="744">
          <cell r="A744">
            <v>852</v>
          </cell>
          <cell r="B744">
            <v>616</v>
          </cell>
          <cell r="G744" t="str">
            <v xml:space="preserve">INSTITUTO MUNICIPAL DE DEPORTES Y RECREACIÓN DE BELLO </v>
          </cell>
          <cell r="Q744">
            <v>664</v>
          </cell>
          <cell r="T744">
            <v>8474</v>
          </cell>
        </row>
        <row r="745">
          <cell r="A745">
            <v>851</v>
          </cell>
          <cell r="B745">
            <v>617</v>
          </cell>
          <cell r="G745" t="str">
            <v>INSTITUTO DEL DEPORTE LA RECREACIÓN Y EL APROVECHAMIENTO DEL TIEMPO LIBRE "INDERYAL"</v>
          </cell>
          <cell r="Q745">
            <v>668</v>
          </cell>
          <cell r="T745">
            <v>8473</v>
          </cell>
        </row>
        <row r="746">
          <cell r="A746">
            <v>1132</v>
          </cell>
          <cell r="B746">
            <v>617</v>
          </cell>
          <cell r="G746" t="str">
            <v>INSTITUTO DEL DEPORTE LA RECREACIÓN Y EL APROVECHAMIENTO DEL TIEMPO LIBRE "INDERYAL"</v>
          </cell>
          <cell r="Q746">
            <v>915</v>
          </cell>
          <cell r="T746">
            <v>9433</v>
          </cell>
        </row>
        <row r="747">
          <cell r="A747">
            <v>854</v>
          </cell>
          <cell r="B747">
            <v>618</v>
          </cell>
          <cell r="G747" t="str">
            <v>MUNICIPIO DE CIUDAD BOLIVAR</v>
          </cell>
          <cell r="Q747">
            <v>667</v>
          </cell>
          <cell r="T747">
            <v>8472</v>
          </cell>
        </row>
        <row r="748">
          <cell r="A748">
            <v>1131</v>
          </cell>
          <cell r="B748">
            <v>618</v>
          </cell>
          <cell r="G748" t="str">
            <v>MUNICIPIO DE CIUDAD BOLIVAR</v>
          </cell>
          <cell r="Q748">
            <v>916</v>
          </cell>
          <cell r="T748">
            <v>9434</v>
          </cell>
        </row>
        <row r="749">
          <cell r="A749">
            <v>830</v>
          </cell>
          <cell r="B749">
            <v>619</v>
          </cell>
          <cell r="G749" t="str">
            <v>ALEJANDRO MEJIA CASTAÑEDA</v>
          </cell>
          <cell r="Q749">
            <v>804</v>
          </cell>
          <cell r="T749">
            <v>8495</v>
          </cell>
        </row>
        <row r="750">
          <cell r="A750">
            <v>1032</v>
          </cell>
          <cell r="B750">
            <v>620</v>
          </cell>
          <cell r="G750" t="str">
            <v xml:space="preserve">FEDERICO SERNA CARDONA </v>
          </cell>
          <cell r="Q750">
            <v>843</v>
          </cell>
          <cell r="T750">
            <v>9452</v>
          </cell>
        </row>
        <row r="751">
          <cell r="A751">
            <v>1029</v>
          </cell>
          <cell r="B751">
            <v>621</v>
          </cell>
          <cell r="G751" t="str">
            <v>DIEGO ARMANDO RENDÓN PARRA</v>
          </cell>
          <cell r="Q751">
            <v>842</v>
          </cell>
          <cell r="T751">
            <v>9451</v>
          </cell>
        </row>
        <row r="752">
          <cell r="A752">
            <v>855</v>
          </cell>
          <cell r="B752">
            <v>622</v>
          </cell>
          <cell r="G752" t="str">
            <v>INSTITUTO MUNICIPAL DE DEPORTES Y RECREACIÓN IMDER</v>
          </cell>
          <cell r="Q752">
            <v>669</v>
          </cell>
          <cell r="T752">
            <v>8479</v>
          </cell>
        </row>
        <row r="753">
          <cell r="A753">
            <v>853</v>
          </cell>
          <cell r="B753">
            <v>623</v>
          </cell>
          <cell r="G753" t="str">
            <v>MUNICIPIO DE LIBORINA</v>
          </cell>
          <cell r="Q753">
            <v>665</v>
          </cell>
          <cell r="T753">
            <v>8478</v>
          </cell>
        </row>
        <row r="754">
          <cell r="A754">
            <v>698</v>
          </cell>
          <cell r="B754">
            <v>624</v>
          </cell>
          <cell r="G754" t="str">
            <v>DEPARTAMENTO DE ANTIOQUIA</v>
          </cell>
          <cell r="Q754" t="str">
            <v>N/A</v>
          </cell>
          <cell r="T754" t="str">
            <v/>
          </cell>
        </row>
        <row r="755">
          <cell r="A755">
            <v>797</v>
          </cell>
          <cell r="B755" t="str">
            <v>624A</v>
          </cell>
          <cell r="Q755">
            <v>832</v>
          </cell>
          <cell r="T755">
            <v>11145</v>
          </cell>
        </row>
        <row r="756">
          <cell r="A756">
            <v>798</v>
          </cell>
          <cell r="B756" t="str">
            <v>624B</v>
          </cell>
          <cell r="Q756">
            <v>832</v>
          </cell>
          <cell r="T756">
            <v>11145</v>
          </cell>
        </row>
        <row r="757">
          <cell r="A757">
            <v>799</v>
          </cell>
          <cell r="B757" t="str">
            <v>624C</v>
          </cell>
          <cell r="Q757">
            <v>832</v>
          </cell>
          <cell r="T757">
            <v>11145</v>
          </cell>
        </row>
        <row r="758">
          <cell r="A758">
            <v>1037</v>
          </cell>
          <cell r="B758" t="str">
            <v>624D</v>
          </cell>
          <cell r="Q758">
            <v>841</v>
          </cell>
          <cell r="T758">
            <v>11144</v>
          </cell>
        </row>
        <row r="759">
          <cell r="A759">
            <v>1101</v>
          </cell>
          <cell r="B759">
            <v>625</v>
          </cell>
          <cell r="G759" t="str">
            <v>LUIS ADONIS DURAN PEREIRA</v>
          </cell>
          <cell r="Q759">
            <v>882</v>
          </cell>
          <cell r="T759">
            <v>9449</v>
          </cell>
        </row>
        <row r="760">
          <cell r="A760">
            <v>998</v>
          </cell>
          <cell r="B760">
            <v>626</v>
          </cell>
          <cell r="G760" t="str">
            <v>SEBASTIAN LOPEZ HERNANDEZ</v>
          </cell>
          <cell r="Q760">
            <v>837</v>
          </cell>
          <cell r="T760">
            <v>9457</v>
          </cell>
        </row>
        <row r="761">
          <cell r="A761">
            <v>1089</v>
          </cell>
          <cell r="B761">
            <v>627</v>
          </cell>
          <cell r="G761" t="str">
            <v>LIGA ANTIOQUEÑA DE GIMNASIA - LIANGIMNASIA</v>
          </cell>
          <cell r="Q761">
            <v>875</v>
          </cell>
          <cell r="T761">
            <v>9458</v>
          </cell>
        </row>
        <row r="762">
          <cell r="A762">
            <v>1090</v>
          </cell>
          <cell r="B762">
            <v>628</v>
          </cell>
          <cell r="G762" t="str">
            <v>LIGA ANTIOQUEÑA DE TRIATLON "LIATLON"</v>
          </cell>
          <cell r="Q762">
            <v>877</v>
          </cell>
          <cell r="T762">
            <v>9624</v>
          </cell>
        </row>
        <row r="763">
          <cell r="A763">
            <v>714</v>
          </cell>
          <cell r="B763">
            <v>629</v>
          </cell>
          <cell r="G763" t="str">
            <v>LIGA ANTIOQUEÑA DE FUTBOL</v>
          </cell>
          <cell r="Q763">
            <v>623</v>
          </cell>
          <cell r="T763">
            <v>9435</v>
          </cell>
        </row>
        <row r="764">
          <cell r="A764">
            <v>1026</v>
          </cell>
          <cell r="B764">
            <v>630</v>
          </cell>
          <cell r="G764" t="str">
            <v>LUDWING ORLANDO LOZANO MUÑOZ</v>
          </cell>
          <cell r="Q764">
            <v>840</v>
          </cell>
          <cell r="T764">
            <v>9450</v>
          </cell>
        </row>
        <row r="765">
          <cell r="A765">
            <v>713</v>
          </cell>
          <cell r="B765">
            <v>631</v>
          </cell>
          <cell r="G765" t="str">
            <v>LIGA ANTIOQUEÑA DE JUDO - LIANJUDO</v>
          </cell>
          <cell r="Q765">
            <v>655</v>
          </cell>
          <cell r="T765">
            <v>9436</v>
          </cell>
        </row>
        <row r="766">
          <cell r="A766">
            <v>989</v>
          </cell>
          <cell r="B766">
            <v>632</v>
          </cell>
          <cell r="G766" t="str">
            <v>ANYI DANIELA RODRIGUEZ</v>
          </cell>
          <cell r="Q766">
            <v>869</v>
          </cell>
          <cell r="T766">
            <v>9629</v>
          </cell>
        </row>
        <row r="767">
          <cell r="A767">
            <v>776</v>
          </cell>
          <cell r="B767">
            <v>633</v>
          </cell>
          <cell r="G767" t="str">
            <v>SEBASTIAN MOLINA BERMUDEZ</v>
          </cell>
          <cell r="Q767">
            <v>671</v>
          </cell>
          <cell r="T767">
            <v>9437</v>
          </cell>
        </row>
        <row r="768">
          <cell r="A768">
            <v>1106</v>
          </cell>
          <cell r="B768">
            <v>634</v>
          </cell>
          <cell r="G768" t="str">
            <v>JOHN JAIRO GUZMAN BENITEZ</v>
          </cell>
          <cell r="Q768">
            <v>895</v>
          </cell>
          <cell r="T768">
            <v>9603</v>
          </cell>
        </row>
        <row r="769">
          <cell r="A769">
            <v>1033</v>
          </cell>
          <cell r="B769">
            <v>635</v>
          </cell>
          <cell r="G769" t="str">
            <v>CLAUDIA ELENA MOLINA GONZALEZ</v>
          </cell>
          <cell r="Q769">
            <v>844</v>
          </cell>
          <cell r="T769">
            <v>9548</v>
          </cell>
        </row>
        <row r="770">
          <cell r="A770">
            <v>1028</v>
          </cell>
          <cell r="B770">
            <v>636</v>
          </cell>
          <cell r="G770" t="str">
            <v xml:space="preserve">VERONICA GONZALEZ ALEMAN </v>
          </cell>
          <cell r="Q770">
            <v>845</v>
          </cell>
          <cell r="T770">
            <v>9587</v>
          </cell>
        </row>
        <row r="771">
          <cell r="A771">
            <v>1102</v>
          </cell>
          <cell r="B771">
            <v>637</v>
          </cell>
          <cell r="G771" t="str">
            <v xml:space="preserve">LENIS SORELY SUAREZ TOBON </v>
          </cell>
          <cell r="Q771">
            <v>891</v>
          </cell>
          <cell r="T771">
            <v>9611</v>
          </cell>
        </row>
        <row r="772">
          <cell r="A772">
            <v>1129</v>
          </cell>
          <cell r="B772">
            <v>638</v>
          </cell>
          <cell r="G772" t="str">
            <v>YEISON NOLBERTO HENAO</v>
          </cell>
          <cell r="Q772">
            <v>917</v>
          </cell>
          <cell r="T772">
            <v>9628</v>
          </cell>
        </row>
        <row r="773">
          <cell r="A773">
            <v>1157</v>
          </cell>
          <cell r="B773">
            <v>639</v>
          </cell>
          <cell r="G773" t="str">
            <v>EMPRESA DE PARQUES Y EVENTOS DE ANTIOQUIA- ACTIVA</v>
          </cell>
          <cell r="Q773">
            <v>956</v>
          </cell>
          <cell r="T773">
            <v>9582</v>
          </cell>
        </row>
        <row r="774">
          <cell r="A774">
            <v>1130</v>
          </cell>
          <cell r="B774">
            <v>640</v>
          </cell>
          <cell r="G774" t="str">
            <v xml:space="preserve">JHON MARIO NONSOQUE GARCIA </v>
          </cell>
          <cell r="Q774">
            <v>918</v>
          </cell>
          <cell r="T774">
            <v>9594</v>
          </cell>
        </row>
        <row r="775">
          <cell r="A775">
            <v>1005</v>
          </cell>
          <cell r="B775">
            <v>641</v>
          </cell>
          <cell r="G775" t="str">
            <v xml:space="preserve">JOSE JOANY TAMAYO </v>
          </cell>
          <cell r="Q775">
            <v>859</v>
          </cell>
          <cell r="T775">
            <v>9608</v>
          </cell>
        </row>
        <row r="776">
          <cell r="A776">
            <v>1006</v>
          </cell>
          <cell r="B776">
            <v>642</v>
          </cell>
          <cell r="G776" t="str">
            <v>CHARICK ALVAREZ TORRES</v>
          </cell>
          <cell r="Q776">
            <v>860</v>
          </cell>
          <cell r="T776">
            <v>9607</v>
          </cell>
        </row>
        <row r="777">
          <cell r="A777">
            <v>1007</v>
          </cell>
          <cell r="B777">
            <v>643</v>
          </cell>
          <cell r="G777" t="str">
            <v xml:space="preserve">JOSE JULIAN SALDARRIAGA ZAPATA </v>
          </cell>
          <cell r="Q777">
            <v>879</v>
          </cell>
          <cell r="T777">
            <v>9606</v>
          </cell>
        </row>
        <row r="778">
          <cell r="A778">
            <v>1008</v>
          </cell>
          <cell r="B778">
            <v>644</v>
          </cell>
          <cell r="G778" t="str">
            <v xml:space="preserve">LINA FERNANDA VARGAS ALZATE </v>
          </cell>
          <cell r="Q778">
            <v>861</v>
          </cell>
          <cell r="T778">
            <v>9605</v>
          </cell>
        </row>
        <row r="779">
          <cell r="A779">
            <v>1009</v>
          </cell>
          <cell r="B779">
            <v>645</v>
          </cell>
          <cell r="G779" t="str">
            <v>JUAN MANUEL LOPEZ CUERVO</v>
          </cell>
          <cell r="Q779">
            <v>856</v>
          </cell>
          <cell r="T779">
            <v>9589</v>
          </cell>
        </row>
        <row r="780">
          <cell r="A780">
            <v>1010</v>
          </cell>
          <cell r="B780">
            <v>646</v>
          </cell>
          <cell r="G780" t="str">
            <v xml:space="preserve">ESTEBAN SERNA MORENO </v>
          </cell>
          <cell r="Q780">
            <v>862</v>
          </cell>
          <cell r="T780">
            <v>9591</v>
          </cell>
        </row>
        <row r="781">
          <cell r="A781">
            <v>1011</v>
          </cell>
          <cell r="B781">
            <v>647</v>
          </cell>
          <cell r="G781" t="str">
            <v xml:space="preserve">MÓNICA URREGO MONTOYA </v>
          </cell>
          <cell r="Q781">
            <v>863</v>
          </cell>
          <cell r="T781">
            <v>9610</v>
          </cell>
        </row>
        <row r="782">
          <cell r="A782">
            <v>1013</v>
          </cell>
          <cell r="B782">
            <v>648</v>
          </cell>
          <cell r="G782" t="str">
            <v xml:space="preserve">DIEGO ALEJANDRO CUERVO PUERTA </v>
          </cell>
          <cell r="Q782">
            <v>864</v>
          </cell>
          <cell r="T782">
            <v>9604</v>
          </cell>
        </row>
        <row r="783">
          <cell r="A783">
            <v>1014</v>
          </cell>
          <cell r="B783">
            <v>649</v>
          </cell>
          <cell r="G783" t="str">
            <v xml:space="preserve">GIOVANNY RIOS SARMIENTO </v>
          </cell>
          <cell r="Q783">
            <v>855</v>
          </cell>
          <cell r="T783">
            <v>9600</v>
          </cell>
        </row>
        <row r="784">
          <cell r="A784">
            <v>1015</v>
          </cell>
          <cell r="B784">
            <v>650</v>
          </cell>
          <cell r="G784" t="str">
            <v xml:space="preserve">JOHN FREDY ARANGO PANIAGUA </v>
          </cell>
          <cell r="Q784">
            <v>865</v>
          </cell>
          <cell r="T784">
            <v>9588</v>
          </cell>
        </row>
        <row r="785">
          <cell r="A785">
            <v>1016</v>
          </cell>
          <cell r="B785">
            <v>651</v>
          </cell>
          <cell r="G785" t="str">
            <v xml:space="preserve">ALEJANDRO ESTEBAN VALENCIA CALDERON </v>
          </cell>
          <cell r="Q785">
            <v>866</v>
          </cell>
          <cell r="T785">
            <v>9599</v>
          </cell>
        </row>
        <row r="786">
          <cell r="A786">
            <v>1017</v>
          </cell>
          <cell r="B786">
            <v>652</v>
          </cell>
          <cell r="G786" t="str">
            <v>LIZETH TATIANA MUÑOZ LONDOÑO</v>
          </cell>
          <cell r="Q786">
            <v>867</v>
          </cell>
          <cell r="T786">
            <v>9609</v>
          </cell>
        </row>
        <row r="787">
          <cell r="A787">
            <v>1018</v>
          </cell>
          <cell r="B787">
            <v>653</v>
          </cell>
          <cell r="G787" t="str">
            <v>GEINER ENRIQUE FRIAS GALLO</v>
          </cell>
          <cell r="Q787">
            <v>868</v>
          </cell>
          <cell r="T787">
            <v>9598</v>
          </cell>
        </row>
        <row r="788">
          <cell r="A788">
            <v>1019</v>
          </cell>
          <cell r="B788">
            <v>654</v>
          </cell>
          <cell r="G788" t="str">
            <v>DIANA MARCELA AGUASACO RABA</v>
          </cell>
          <cell r="Q788">
            <v>858</v>
          </cell>
          <cell r="T788">
            <v>9597</v>
          </cell>
        </row>
        <row r="789">
          <cell r="A789">
            <v>1020</v>
          </cell>
          <cell r="B789">
            <v>655</v>
          </cell>
          <cell r="G789" t="str">
            <v xml:space="preserve">ARTURO ENRIQUE HOLGUIN VALDERRAMA </v>
          </cell>
          <cell r="Q789">
            <v>857</v>
          </cell>
          <cell r="T789">
            <v>9596</v>
          </cell>
        </row>
        <row r="790">
          <cell r="A790">
            <v>1093</v>
          </cell>
          <cell r="B790">
            <v>656</v>
          </cell>
          <cell r="G790" t="str">
            <v xml:space="preserve">JONATHAN ARLEY NARANJO HURTADO </v>
          </cell>
          <cell r="Q790">
            <v>888</v>
          </cell>
          <cell r="T790">
            <v>9593</v>
          </cell>
        </row>
        <row r="791">
          <cell r="A791">
            <v>1094</v>
          </cell>
          <cell r="B791">
            <v>657</v>
          </cell>
          <cell r="G791" t="str">
            <v>DIEGO ARMANDO ZULUAGA COGOLLO</v>
          </cell>
          <cell r="Q791">
            <v>884</v>
          </cell>
          <cell r="T791">
            <v>9590</v>
          </cell>
        </row>
        <row r="792">
          <cell r="A792">
            <v>1095</v>
          </cell>
          <cell r="B792">
            <v>658</v>
          </cell>
          <cell r="G792" t="str">
            <v xml:space="preserve">MATEO OTALVARO VAHOZ </v>
          </cell>
          <cell r="Q792">
            <v>881</v>
          </cell>
          <cell r="T792">
            <v>9585</v>
          </cell>
        </row>
        <row r="793">
          <cell r="A793">
            <v>1098</v>
          </cell>
          <cell r="B793">
            <v>659</v>
          </cell>
          <cell r="G793" t="str">
            <v xml:space="preserve">MANUEL ENRIQUE ARBOLEDA PEREZ </v>
          </cell>
          <cell r="Q793">
            <v>887</v>
          </cell>
          <cell r="T793">
            <v>9592</v>
          </cell>
        </row>
        <row r="794">
          <cell r="A794">
            <v>1099</v>
          </cell>
          <cell r="B794">
            <v>660</v>
          </cell>
          <cell r="G794" t="str">
            <v xml:space="preserve">CAMILO ARTURO HINCAPIE HERNANDEZ </v>
          </cell>
          <cell r="Q794">
            <v>886</v>
          </cell>
          <cell r="T794">
            <v>9586</v>
          </cell>
        </row>
        <row r="795">
          <cell r="A795">
            <v>1116</v>
          </cell>
          <cell r="B795">
            <v>661</v>
          </cell>
          <cell r="G795" t="str">
            <v>MANUEL STEFANO GOMEZ CASTAÑO</v>
          </cell>
          <cell r="Q795">
            <v>911</v>
          </cell>
          <cell r="T795">
            <v>9630</v>
          </cell>
        </row>
        <row r="796">
          <cell r="A796">
            <v>1103</v>
          </cell>
          <cell r="B796">
            <v>662</v>
          </cell>
          <cell r="G796" t="str">
            <v xml:space="preserve">TATIANA LEANY GOMEZ JARAMILLO </v>
          </cell>
          <cell r="Q796">
            <v>892</v>
          </cell>
          <cell r="T796">
            <v>9618</v>
          </cell>
        </row>
        <row r="797">
          <cell r="A797">
            <v>1104</v>
          </cell>
          <cell r="B797">
            <v>663</v>
          </cell>
          <cell r="G797" t="str">
            <v xml:space="preserve">JULIAN DAVID OSPINA OSPINA </v>
          </cell>
          <cell r="Q797">
            <v>893</v>
          </cell>
          <cell r="T797">
            <v>9601</v>
          </cell>
        </row>
        <row r="798">
          <cell r="A798" t="str">
            <v>1034A</v>
          </cell>
          <cell r="B798">
            <v>664</v>
          </cell>
          <cell r="G798" t="str">
            <v>CORPORACIÓN UNIDAD SOCIAL</v>
          </cell>
          <cell r="Q798">
            <v>852</v>
          </cell>
          <cell r="T798">
            <v>9625</v>
          </cell>
        </row>
        <row r="799">
          <cell r="A799" t="str">
            <v>1034B</v>
          </cell>
          <cell r="B799">
            <v>665</v>
          </cell>
          <cell r="G799" t="str">
            <v>CORPORACIÓN GLOBAL DE SERVICIOS DEPORTIVOS</v>
          </cell>
          <cell r="Q799">
            <v>852</v>
          </cell>
          <cell r="T799">
            <v>9625</v>
          </cell>
        </row>
        <row r="800">
          <cell r="A800">
            <v>1200</v>
          </cell>
          <cell r="B800">
            <v>666</v>
          </cell>
          <cell r="G800" t="str">
            <v>INSTITUTO MUNICIPAL DE DEPORTES Y RECREACIÓN DE APARTADÓ</v>
          </cell>
          <cell r="Q800">
            <v>971</v>
          </cell>
          <cell r="T800">
            <v>9631</v>
          </cell>
        </row>
        <row r="801">
          <cell r="A801">
            <v>1201</v>
          </cell>
          <cell r="B801">
            <v>667</v>
          </cell>
          <cell r="G801" t="str">
            <v>INSTITUTO MUNICIPAL DE DEPORTES DEL MUNICIPIO DE CAREPA</v>
          </cell>
          <cell r="Q801">
            <v>970</v>
          </cell>
          <cell r="T801">
            <v>9870</v>
          </cell>
        </row>
        <row r="802">
          <cell r="A802">
            <v>791</v>
          </cell>
          <cell r="B802">
            <v>668</v>
          </cell>
          <cell r="G802" t="str">
            <v>JGBP INGENIERIA S.A.S</v>
          </cell>
          <cell r="Q802">
            <v>833</v>
          </cell>
          <cell r="T802">
            <v>9865</v>
          </cell>
        </row>
        <row r="803">
          <cell r="A803">
            <v>1152</v>
          </cell>
          <cell r="B803">
            <v>669</v>
          </cell>
          <cell r="G803" t="str">
            <v xml:space="preserve">JULIANA GIRALDO JARAMILLO </v>
          </cell>
          <cell r="Q803">
            <v>945</v>
          </cell>
          <cell r="T803">
            <v>9742</v>
          </cell>
        </row>
        <row r="804">
          <cell r="A804">
            <v>1092</v>
          </cell>
          <cell r="B804">
            <v>670</v>
          </cell>
          <cell r="G804" t="str">
            <v>LIGA ANTIOQUEÑA DE HAP KI DO</v>
          </cell>
          <cell r="Q804">
            <v>878</v>
          </cell>
          <cell r="T804">
            <v>9885</v>
          </cell>
        </row>
        <row r="805">
          <cell r="A805" t="str">
            <v>N/A</v>
          </cell>
          <cell r="B805">
            <v>671</v>
          </cell>
          <cell r="G805" t="str">
            <v>UNIVERSIDAD DE ANTIOQUIA</v>
          </cell>
          <cell r="T805" t="str">
            <v/>
          </cell>
        </row>
        <row r="806">
          <cell r="A806">
            <v>1121</v>
          </cell>
          <cell r="B806">
            <v>672</v>
          </cell>
          <cell r="G806" t="str">
            <v>INSTITUTO COLOMBIANO DE NORMAS TÉCNICAS Y CERTIFICACIÓN ICONTEC</v>
          </cell>
          <cell r="Q806">
            <v>912</v>
          </cell>
          <cell r="T806">
            <v>9901</v>
          </cell>
        </row>
        <row r="807">
          <cell r="A807">
            <v>1122</v>
          </cell>
          <cell r="B807">
            <v>673</v>
          </cell>
          <cell r="G807" t="str">
            <v>VALOR + S.A.S.</v>
          </cell>
          <cell r="Q807">
            <v>933</v>
          </cell>
          <cell r="T807">
            <v>10292</v>
          </cell>
        </row>
        <row r="808">
          <cell r="A808">
            <v>1117</v>
          </cell>
          <cell r="B808">
            <v>674</v>
          </cell>
          <cell r="G808" t="str">
            <v>LEDY JULIETH ECHEVERRI ESCOBAR</v>
          </cell>
          <cell r="Q808">
            <v>910</v>
          </cell>
          <cell r="T808">
            <v>9902</v>
          </cell>
        </row>
        <row r="809">
          <cell r="A809">
            <v>760</v>
          </cell>
          <cell r="B809">
            <v>675</v>
          </cell>
          <cell r="G809" t="str">
            <v xml:space="preserve">SARA AGUDELO AGUDELO </v>
          </cell>
          <cell r="Q809">
            <v>806</v>
          </cell>
          <cell r="T809">
            <v>9874</v>
          </cell>
        </row>
        <row r="810">
          <cell r="A810">
            <v>1022</v>
          </cell>
          <cell r="B810">
            <v>676</v>
          </cell>
          <cell r="G810" t="str">
            <v>LIGA DE CANOTAJE DE ANTIOQUIA</v>
          </cell>
          <cell r="Q810">
            <v>958</v>
          </cell>
          <cell r="T810">
            <v>10188</v>
          </cell>
        </row>
        <row r="811">
          <cell r="A811">
            <v>1153</v>
          </cell>
          <cell r="B811">
            <v>677</v>
          </cell>
          <cell r="G811" t="str">
            <v>DORA ALEJANDRA FORERO RAMIREZ</v>
          </cell>
          <cell r="Q811">
            <v>947</v>
          </cell>
          <cell r="T811">
            <v>9904</v>
          </cell>
        </row>
        <row r="812">
          <cell r="A812">
            <v>1154</v>
          </cell>
          <cell r="B812">
            <v>678</v>
          </cell>
          <cell r="G812" t="str">
            <v>MANUEL SEBASTIAN ARENAS DIAZ</v>
          </cell>
          <cell r="Q812">
            <v>974</v>
          </cell>
          <cell r="T812">
            <v>9884</v>
          </cell>
        </row>
        <row r="813">
          <cell r="A813">
            <v>1088</v>
          </cell>
          <cell r="B813">
            <v>679</v>
          </cell>
          <cell r="G813" t="str">
            <v>LIGA DE NATACIÓN DE ANTIOQUIA</v>
          </cell>
          <cell r="Q813">
            <v>874</v>
          </cell>
          <cell r="T813">
            <v>10194</v>
          </cell>
        </row>
        <row r="814">
          <cell r="A814">
            <v>1202</v>
          </cell>
          <cell r="B814">
            <v>680</v>
          </cell>
          <cell r="G814" t="str">
            <v>EMPRESA DE VIVIENDA DE ANTIOQUIA</v>
          </cell>
          <cell r="Q814">
            <v>976</v>
          </cell>
          <cell r="T814">
            <v>15131</v>
          </cell>
        </row>
        <row r="815">
          <cell r="A815">
            <v>991</v>
          </cell>
          <cell r="B815">
            <v>681</v>
          </cell>
          <cell r="G815" t="str">
            <v>INSTITUTO MUNICIPAL DE DEPORTES Y RECREACIÓN DE ARBOLETES - IMDERAR</v>
          </cell>
          <cell r="Q815">
            <v>811</v>
          </cell>
          <cell r="T815">
            <v>10209</v>
          </cell>
        </row>
        <row r="816">
          <cell r="A816">
            <v>1115</v>
          </cell>
          <cell r="B816">
            <v>681</v>
          </cell>
          <cell r="G816" t="str">
            <v>INSTITUTO MUNICIPAL DE DEPORTES Y RECREACIÓN DE ARBOLETES - IMDERAR</v>
          </cell>
          <cell r="Q816">
            <v>903</v>
          </cell>
          <cell r="T816">
            <v>10209</v>
          </cell>
        </row>
        <row r="817">
          <cell r="A817" t="str">
            <v>1115A</v>
          </cell>
          <cell r="B817">
            <v>681</v>
          </cell>
          <cell r="G817" t="str">
            <v>INSTITUTO MUNICIPAL DE DEPORTES Y RECREACIÓN DE ARBOLETES - IMDERAR</v>
          </cell>
          <cell r="Q817">
            <v>944</v>
          </cell>
          <cell r="T817">
            <v>10209</v>
          </cell>
        </row>
        <row r="818">
          <cell r="A818">
            <v>1150</v>
          </cell>
          <cell r="B818">
            <v>682</v>
          </cell>
          <cell r="G818" t="str">
            <v xml:space="preserve">LIGA DE CICLISMO DE ANTIOQUIA          </v>
          </cell>
          <cell r="Q818">
            <v>957</v>
          </cell>
          <cell r="T818">
            <v>10189</v>
          </cell>
        </row>
        <row r="819">
          <cell r="A819">
            <v>1211</v>
          </cell>
          <cell r="B819">
            <v>683</v>
          </cell>
          <cell r="G819" t="str">
            <v>MUNICIPIO DE GUATAPE</v>
          </cell>
          <cell r="T819" t="str">
            <v/>
          </cell>
        </row>
        <row r="820">
          <cell r="A820">
            <v>704</v>
          </cell>
          <cell r="B820">
            <v>684</v>
          </cell>
          <cell r="G820" t="str">
            <v>LIGA DE CANOTAJE DE ANTIOQUIA</v>
          </cell>
          <cell r="Q820">
            <v>802</v>
          </cell>
          <cell r="T820">
            <v>10190</v>
          </cell>
        </row>
        <row r="821">
          <cell r="A821">
            <v>1119</v>
          </cell>
          <cell r="B821">
            <v>685</v>
          </cell>
          <cell r="G821" t="str">
            <v>SARA MARTINEZ RENDÓN</v>
          </cell>
          <cell r="Q821">
            <v>909</v>
          </cell>
          <cell r="T821">
            <v>9906</v>
          </cell>
        </row>
        <row r="822">
          <cell r="A822">
            <v>990</v>
          </cell>
          <cell r="B822">
            <v>686</v>
          </cell>
          <cell r="G822" t="str">
            <v>EMPRESA DE PARQUES Y EVENTOS DE ANTIOQUIA- ACTIVA</v>
          </cell>
          <cell r="Q822">
            <v>810</v>
          </cell>
          <cell r="T822">
            <v>10287</v>
          </cell>
        </row>
        <row r="823">
          <cell r="A823">
            <v>767</v>
          </cell>
          <cell r="B823">
            <v>687</v>
          </cell>
          <cell r="G823" t="str">
            <v>REDCOMPUTO LIMITADA</v>
          </cell>
          <cell r="Q823">
            <v>626</v>
          </cell>
          <cell r="T823">
            <v>10290</v>
          </cell>
        </row>
        <row r="824">
          <cell r="A824" t="str">
            <v>837A</v>
          </cell>
          <cell r="B824">
            <v>688</v>
          </cell>
          <cell r="G824" t="str">
            <v xml:space="preserve">LILIANA PATRICIA MARTINEZ </v>
          </cell>
          <cell r="Q824">
            <v>817</v>
          </cell>
          <cell r="T824">
            <v>11105</v>
          </cell>
        </row>
        <row r="825">
          <cell r="A825">
            <v>1208</v>
          </cell>
          <cell r="B825">
            <v>689</v>
          </cell>
          <cell r="G825" t="str">
            <v xml:space="preserve">INSTITUTO PARA EL DESARROLLO DE ANTIOQUIA IDEA </v>
          </cell>
          <cell r="Q825">
            <v>0</v>
          </cell>
          <cell r="T825" t="str">
            <v/>
          </cell>
        </row>
        <row r="826">
          <cell r="A826">
            <v>1192</v>
          </cell>
          <cell r="B826">
            <v>690</v>
          </cell>
          <cell r="G826" t="str">
            <v>EDISON UREY CARDONA GONZALEZ</v>
          </cell>
          <cell r="Q826">
            <v>1004</v>
          </cell>
          <cell r="T826">
            <v>10210</v>
          </cell>
        </row>
        <row r="827">
          <cell r="A827">
            <v>1193</v>
          </cell>
          <cell r="B827">
            <v>691</v>
          </cell>
          <cell r="G827" t="str">
            <v>JESSICA ALEJANDRA ESTRADA RESTREPO</v>
          </cell>
          <cell r="Q827">
            <v>1005</v>
          </cell>
          <cell r="T827">
            <v>10212</v>
          </cell>
        </row>
        <row r="828">
          <cell r="A828">
            <v>1194</v>
          </cell>
          <cell r="B828">
            <v>692</v>
          </cell>
          <cell r="G828" t="str">
            <v xml:space="preserve">VICENTE DE LA CRUZ CUELLAR </v>
          </cell>
          <cell r="Q828">
            <v>1006</v>
          </cell>
          <cell r="T828">
            <v>10236</v>
          </cell>
        </row>
        <row r="829">
          <cell r="A829">
            <v>1097</v>
          </cell>
          <cell r="B829">
            <v>693</v>
          </cell>
          <cell r="G829" t="str">
            <v xml:space="preserve">ALEJANDRO VEGA OSORIO </v>
          </cell>
          <cell r="Q829">
            <v>885</v>
          </cell>
          <cell r="T829">
            <v>10237</v>
          </cell>
        </row>
        <row r="830">
          <cell r="A830">
            <v>1205</v>
          </cell>
          <cell r="B830">
            <v>694</v>
          </cell>
          <cell r="G830" t="str">
            <v>JOHANY ALEJANDRO VERGARA CASTAÑO</v>
          </cell>
          <cell r="Q830">
            <v>1018</v>
          </cell>
          <cell r="T830">
            <v>10215</v>
          </cell>
        </row>
        <row r="831">
          <cell r="A831">
            <v>1163</v>
          </cell>
          <cell r="B831">
            <v>695</v>
          </cell>
          <cell r="G831" t="str">
            <v>LIGA ANTIOQUEÑA DE SQUASH</v>
          </cell>
          <cell r="Q831">
            <v>1015</v>
          </cell>
          <cell r="T831">
            <v>10403</v>
          </cell>
        </row>
        <row r="832">
          <cell r="A832">
            <v>1100</v>
          </cell>
          <cell r="B832">
            <v>696</v>
          </cell>
          <cell r="G832" t="str">
            <v>LIGA ANTIOQUEÑA DE TEJO</v>
          </cell>
          <cell r="Q832">
            <v>1022</v>
          </cell>
          <cell r="T832">
            <v>10402</v>
          </cell>
        </row>
        <row r="833">
          <cell r="A833">
            <v>1036</v>
          </cell>
          <cell r="B833">
            <v>697</v>
          </cell>
          <cell r="G833" t="str">
            <v>JUNTA MUNICIPAL DE DEPORTES</v>
          </cell>
          <cell r="Q833">
            <v>965</v>
          </cell>
          <cell r="T833">
            <v>10288</v>
          </cell>
        </row>
        <row r="834">
          <cell r="A834">
            <v>1027</v>
          </cell>
          <cell r="B834">
            <v>698</v>
          </cell>
          <cell r="G834" t="str">
            <v>MARIA ALEJANDRA VALDERRAMA GONZALEZ</v>
          </cell>
          <cell r="Q834">
            <v>987</v>
          </cell>
          <cell r="T834">
            <v>10400</v>
          </cell>
        </row>
        <row r="835">
          <cell r="A835">
            <v>1214</v>
          </cell>
          <cell r="B835">
            <v>699</v>
          </cell>
          <cell r="G835" t="str">
            <v>INSTITUTO MUNICIPAL PARA EL DEPORTE Y LA RECREACIÓN DE AMALFÍ</v>
          </cell>
          <cell r="Q835">
            <v>1029</v>
          </cell>
          <cell r="T835">
            <v>10541</v>
          </cell>
        </row>
        <row r="836">
          <cell r="A836">
            <v>1218</v>
          </cell>
          <cell r="B836">
            <v>700</v>
          </cell>
          <cell r="G836" t="str">
            <v>DIANA MARCELA RIOS ARCILA</v>
          </cell>
          <cell r="Q836">
            <v>1034</v>
          </cell>
          <cell r="T836">
            <v>10545</v>
          </cell>
        </row>
        <row r="837">
          <cell r="A837">
            <v>1217</v>
          </cell>
          <cell r="B837">
            <v>701</v>
          </cell>
          <cell r="G837" t="str">
            <v>JORGE LEONARDO PALENCIA CORREA</v>
          </cell>
          <cell r="Q837">
            <v>1036</v>
          </cell>
          <cell r="T837">
            <v>10408</v>
          </cell>
        </row>
        <row r="838">
          <cell r="A838">
            <v>1216</v>
          </cell>
          <cell r="B838">
            <v>702</v>
          </cell>
          <cell r="G838" t="str">
            <v>NATHALIA LUCRECIA LOPEZ ACEVEDO</v>
          </cell>
          <cell r="Q838">
            <v>1037</v>
          </cell>
          <cell r="T838">
            <v>10409</v>
          </cell>
        </row>
        <row r="839">
          <cell r="A839">
            <v>1219</v>
          </cell>
          <cell r="B839">
            <v>703</v>
          </cell>
          <cell r="G839" t="str">
            <v>LIGA DE VELA DE ANTIOQUIA</v>
          </cell>
          <cell r="Q839">
            <v>1038</v>
          </cell>
          <cell r="T839">
            <v>11112</v>
          </cell>
        </row>
        <row r="840">
          <cell r="A840">
            <v>1203</v>
          </cell>
          <cell r="B840">
            <v>704</v>
          </cell>
          <cell r="G840" t="str">
            <v>UNIVERSIDAD DE ANTIOQUIA</v>
          </cell>
          <cell r="Q840">
            <v>1020</v>
          </cell>
          <cell r="T840">
            <v>10406</v>
          </cell>
        </row>
        <row r="841">
          <cell r="A841">
            <v>996</v>
          </cell>
          <cell r="B841">
            <v>705</v>
          </cell>
          <cell r="G841" t="str">
            <v>MARIA CAMILA TORO ECHEVERRI</v>
          </cell>
          <cell r="Q841">
            <v>1040</v>
          </cell>
          <cell r="T841">
            <v>11126</v>
          </cell>
        </row>
        <row r="842">
          <cell r="A842">
            <v>1215</v>
          </cell>
          <cell r="B842">
            <v>706</v>
          </cell>
          <cell r="G842" t="str">
            <v>MUNICIPIO DE SOPETRAN</v>
          </cell>
          <cell r="Q842">
            <v>1030</v>
          </cell>
          <cell r="T842">
            <v>10414</v>
          </cell>
        </row>
        <row r="843">
          <cell r="A843">
            <v>1228</v>
          </cell>
          <cell r="B843">
            <v>707</v>
          </cell>
          <cell r="G843" t="str">
            <v>EMPRESA DE PARQUES Y EVENTOS DE ANTIOQUIA- ACTIVA</v>
          </cell>
          <cell r="Q843">
            <v>1046</v>
          </cell>
          <cell r="T843">
            <v>10549</v>
          </cell>
        </row>
        <row r="844">
          <cell r="A844">
            <v>1229</v>
          </cell>
          <cell r="B844">
            <v>708</v>
          </cell>
          <cell r="G844" t="str">
            <v>FORMA EQUIPOS PARA GIMNASIO S.A.S.</v>
          </cell>
          <cell r="Q844">
            <v>1047</v>
          </cell>
          <cell r="T844">
            <v>11230</v>
          </cell>
        </row>
        <row r="845">
          <cell r="A845">
            <v>1230</v>
          </cell>
          <cell r="B845">
            <v>709</v>
          </cell>
          <cell r="G845" t="str">
            <v>ASOCIACIÓN DIRIGENTES DEPORTIVOS DE ANTIOQUIA</v>
          </cell>
          <cell r="Q845">
            <v>1048</v>
          </cell>
          <cell r="T845">
            <v>11949</v>
          </cell>
        </row>
        <row r="846">
          <cell r="A846">
            <v>1223</v>
          </cell>
          <cell r="B846">
            <v>710</v>
          </cell>
          <cell r="G846" t="str">
            <v>MARIA ADELAYDA PUERTA ZAPATA</v>
          </cell>
          <cell r="Q846">
            <v>1033</v>
          </cell>
          <cell r="T846">
            <v>11113</v>
          </cell>
        </row>
        <row r="847">
          <cell r="A847">
            <v>1234</v>
          </cell>
          <cell r="B847">
            <v>711</v>
          </cell>
          <cell r="G847" t="str">
            <v>ANA MARIA RIVERA HENAO</v>
          </cell>
          <cell r="Q847">
            <v>1059</v>
          </cell>
          <cell r="T847">
            <v>11125</v>
          </cell>
        </row>
        <row r="848">
          <cell r="A848">
            <v>32</v>
          </cell>
          <cell r="B848">
            <v>712</v>
          </cell>
          <cell r="G848" t="str">
            <v>CORPORACIÓN LAS TABLAS</v>
          </cell>
          <cell r="Q848">
            <v>800</v>
          </cell>
          <cell r="T848">
            <v>11130</v>
          </cell>
        </row>
        <row r="849">
          <cell r="A849">
            <v>1199</v>
          </cell>
          <cell r="B849">
            <v>713</v>
          </cell>
          <cell r="G849" t="str">
            <v xml:space="preserve">JUAN PABLO ZAPATA MONTOYA </v>
          </cell>
          <cell r="Q849">
            <v>1011</v>
          </cell>
          <cell r="T849">
            <v>11121</v>
          </cell>
        </row>
        <row r="850">
          <cell r="A850">
            <v>1035</v>
          </cell>
          <cell r="B850">
            <v>714</v>
          </cell>
          <cell r="G850" t="str">
            <v>EMPRESA DE PARQUES Y EVENTOS DE ANTIOQUIA- ACTIVA</v>
          </cell>
          <cell r="Q850">
            <v>959</v>
          </cell>
          <cell r="T850">
            <v>11135</v>
          </cell>
        </row>
        <row r="851">
          <cell r="A851" t="str">
            <v>1035A</v>
          </cell>
          <cell r="B851">
            <v>714</v>
          </cell>
          <cell r="G851" t="str">
            <v>EMPRESA DE PARQUES Y EVENTOS DE ANTIOQUIA- ACTIVA</v>
          </cell>
          <cell r="Q851">
            <v>1060</v>
          </cell>
          <cell r="T851">
            <v>11135</v>
          </cell>
        </row>
        <row r="852">
          <cell r="A852">
            <v>768</v>
          </cell>
          <cell r="B852">
            <v>715</v>
          </cell>
          <cell r="G852" t="str">
            <v xml:space="preserve">SET INTEGRAL SAS </v>
          </cell>
          <cell r="Q852">
            <v>636</v>
          </cell>
          <cell r="T852">
            <v>11204</v>
          </cell>
        </row>
        <row r="853">
          <cell r="A853">
            <v>1238</v>
          </cell>
          <cell r="B853">
            <v>716</v>
          </cell>
          <cell r="G853" t="str">
            <v>MUNICIPIO DE ENTRERRIOS</v>
          </cell>
          <cell r="Q853">
            <v>1066</v>
          </cell>
          <cell r="T853">
            <v>11128</v>
          </cell>
        </row>
        <row r="854">
          <cell r="A854">
            <v>1242</v>
          </cell>
          <cell r="B854">
            <v>717</v>
          </cell>
          <cell r="G854" t="str">
            <v>INSTITUTO DE DEPORTES Y RECREACIÓN DE MARINILLA</v>
          </cell>
          <cell r="Q854">
            <v>1079</v>
          </cell>
          <cell r="T854">
            <v>11136</v>
          </cell>
        </row>
        <row r="855">
          <cell r="A855">
            <v>1240</v>
          </cell>
          <cell r="B855">
            <v>718</v>
          </cell>
          <cell r="G855" t="str">
            <v>MUNICIPIO DE ANDES</v>
          </cell>
          <cell r="Q855">
            <v>1080</v>
          </cell>
          <cell r="T855">
            <v>11137</v>
          </cell>
        </row>
        <row r="856">
          <cell r="A856">
            <v>1210</v>
          </cell>
          <cell r="B856">
            <v>719</v>
          </cell>
          <cell r="G856" t="str">
            <v>EMPRESA DE DESARROLLO URBANO DE LA CEJA</v>
          </cell>
          <cell r="Q856">
            <v>1031</v>
          </cell>
          <cell r="T856">
            <v>11202</v>
          </cell>
        </row>
        <row r="857">
          <cell r="A857" t="str">
            <v>1210A</v>
          </cell>
          <cell r="B857">
            <v>719</v>
          </cell>
          <cell r="G857" t="str">
            <v>EMPRESA DE DESARROLLO URBANO DE LA CEJA</v>
          </cell>
          <cell r="Q857">
            <v>1078</v>
          </cell>
          <cell r="T857">
            <v>11202</v>
          </cell>
        </row>
        <row r="858">
          <cell r="A858">
            <v>1096</v>
          </cell>
          <cell r="B858">
            <v>720</v>
          </cell>
          <cell r="G858" t="str">
            <v>EDILBERTO JORDAN SALGADO</v>
          </cell>
          <cell r="Q858">
            <v>883</v>
          </cell>
          <cell r="T858">
            <v>11201</v>
          </cell>
        </row>
        <row r="859">
          <cell r="A859">
            <v>1255</v>
          </cell>
          <cell r="B859">
            <v>721</v>
          </cell>
          <cell r="G859" t="str">
            <v>EMMANUEL URREGO CUARTAS</v>
          </cell>
          <cell r="Q859">
            <v>1083</v>
          </cell>
          <cell r="T859">
            <v>11952</v>
          </cell>
        </row>
        <row r="860">
          <cell r="A860">
            <v>1239</v>
          </cell>
          <cell r="B860">
            <v>722</v>
          </cell>
          <cell r="G860" t="str">
            <v>INSTITUTO MUNICIPAL DE DEPORTES Y RECREACIÓN DE APARTADÓ</v>
          </cell>
          <cell r="Q860">
            <v>1088</v>
          </cell>
          <cell r="T860">
            <v>11207</v>
          </cell>
        </row>
        <row r="861">
          <cell r="A861">
            <v>1253</v>
          </cell>
          <cell r="B861">
            <v>723</v>
          </cell>
          <cell r="G861" t="str">
            <v>CARLOS ALBERTO POSADA ZAPATA</v>
          </cell>
          <cell r="Q861">
            <v>1081</v>
          </cell>
          <cell r="T861">
            <v>11210</v>
          </cell>
        </row>
        <row r="862">
          <cell r="A862">
            <v>1252</v>
          </cell>
          <cell r="B862">
            <v>724</v>
          </cell>
          <cell r="G862" t="str">
            <v>CARLOS ALBERTO CARDONA ALVAREZ</v>
          </cell>
          <cell r="Q862">
            <v>1125</v>
          </cell>
          <cell r="T862">
            <v>11228</v>
          </cell>
        </row>
        <row r="863">
          <cell r="A863">
            <v>1251</v>
          </cell>
          <cell r="B863">
            <v>725</v>
          </cell>
          <cell r="G863" t="str">
            <v>JOHN CADAVID OBANDO</v>
          </cell>
          <cell r="Q863">
            <v>1069</v>
          </cell>
          <cell r="T863">
            <v>11229</v>
          </cell>
        </row>
        <row r="864">
          <cell r="A864">
            <v>1258</v>
          </cell>
          <cell r="B864">
            <v>726</v>
          </cell>
          <cell r="G864" t="str">
            <v>LIGA ANTIOQUENA DE LUCHA</v>
          </cell>
          <cell r="Q864">
            <v>1104</v>
          </cell>
          <cell r="T864">
            <v>12117</v>
          </cell>
        </row>
        <row r="865">
          <cell r="A865">
            <v>1260</v>
          </cell>
          <cell r="B865">
            <v>727</v>
          </cell>
          <cell r="G865" t="str">
            <v>CLUB ESCUELA DE CICLISMO ORGULLO PAISA</v>
          </cell>
          <cell r="Q865">
            <v>1094</v>
          </cell>
          <cell r="T865">
            <v>12143</v>
          </cell>
        </row>
        <row r="866">
          <cell r="A866">
            <v>1292</v>
          </cell>
          <cell r="B866">
            <v>728</v>
          </cell>
          <cell r="G866" t="str">
            <v>INSTITUTO PARA EL DEPORTE Y LA RECREACIÓN DE SABANETA</v>
          </cell>
          <cell r="Q866">
            <v>1137</v>
          </cell>
          <cell r="T866">
            <v>12115</v>
          </cell>
        </row>
        <row r="867">
          <cell r="A867">
            <v>30</v>
          </cell>
          <cell r="B867">
            <v>729</v>
          </cell>
          <cell r="G867" t="str">
            <v>DISTRIBUIDORA DIBADY</v>
          </cell>
          <cell r="Q867">
            <v>816</v>
          </cell>
          <cell r="T867">
            <v>13246</v>
          </cell>
        </row>
        <row r="868">
          <cell r="A868">
            <v>1233</v>
          </cell>
          <cell r="B868">
            <v>730</v>
          </cell>
          <cell r="G868" t="str">
            <v>DANIEL ERNEY OCAMPO BOTERO- TAPICERIA APOLO OCAMPO</v>
          </cell>
          <cell r="Q868">
            <v>1052</v>
          </cell>
          <cell r="T868">
            <v>12565</v>
          </cell>
        </row>
        <row r="869">
          <cell r="A869">
            <v>1039</v>
          </cell>
          <cell r="B869">
            <v>731</v>
          </cell>
          <cell r="G869" t="str">
            <v>ÁLVARO ENRIQUE RAMÍREZ ECHAVARRÍA</v>
          </cell>
          <cell r="Q869">
            <v>904</v>
          </cell>
          <cell r="T869">
            <v>12269</v>
          </cell>
        </row>
        <row r="870">
          <cell r="A870">
            <v>1232</v>
          </cell>
          <cell r="B870">
            <v>732</v>
          </cell>
          <cell r="G870" t="str">
            <v>COMPREBUCE S.A.S.</v>
          </cell>
          <cell r="Q870">
            <v>1053</v>
          </cell>
          <cell r="T870">
            <v>14494</v>
          </cell>
        </row>
        <row r="871">
          <cell r="A871">
            <v>1300</v>
          </cell>
          <cell r="B871">
            <v>733</v>
          </cell>
          <cell r="G871" t="str">
            <v>LIGA ANTIOQUEÑA DE TAEKWONDO</v>
          </cell>
          <cell r="Q871">
            <v>1162</v>
          </cell>
          <cell r="T871">
            <v>13242</v>
          </cell>
        </row>
        <row r="872">
          <cell r="A872">
            <v>1299</v>
          </cell>
          <cell r="B872">
            <v>734</v>
          </cell>
          <cell r="G872" t="str">
            <v>LIGA DE TENIS DE CAMPO DE ANTIOQUIA L.A.T.</v>
          </cell>
          <cell r="Q872">
            <v>1159</v>
          </cell>
          <cell r="T872">
            <v>13358</v>
          </cell>
        </row>
        <row r="873">
          <cell r="A873">
            <v>1091</v>
          </cell>
          <cell r="B873">
            <v>735</v>
          </cell>
          <cell r="G873" t="str">
            <v>LIGA ANTIOQUEÑA DE BADMINTON</v>
          </cell>
          <cell r="Q873">
            <v>1039</v>
          </cell>
          <cell r="T873">
            <v>13877</v>
          </cell>
        </row>
        <row r="874">
          <cell r="A874">
            <v>1311</v>
          </cell>
          <cell r="B874">
            <v>736</v>
          </cell>
          <cell r="G874" t="str">
            <v>LIGA ANTIOQUEÑA DE ARQUERIA</v>
          </cell>
          <cell r="Q874">
            <v>1173</v>
          </cell>
          <cell r="T874">
            <v>13238</v>
          </cell>
        </row>
        <row r="875">
          <cell r="A875">
            <v>1313</v>
          </cell>
          <cell r="B875">
            <v>737</v>
          </cell>
          <cell r="G875" t="str">
            <v>MUNICIPIO DE ANDES</v>
          </cell>
          <cell r="Q875">
            <v>1177</v>
          </cell>
          <cell r="T875">
            <v>13237</v>
          </cell>
        </row>
        <row r="876">
          <cell r="A876">
            <v>1314</v>
          </cell>
          <cell r="B876">
            <v>738</v>
          </cell>
          <cell r="G876" t="str">
            <v xml:space="preserve">MUNICIPIO DE JARDIN </v>
          </cell>
          <cell r="Q876">
            <v>1178</v>
          </cell>
          <cell r="T876">
            <v>13239</v>
          </cell>
        </row>
        <row r="877">
          <cell r="A877">
            <v>1259</v>
          </cell>
          <cell r="B877">
            <v>739</v>
          </cell>
          <cell r="G877" t="str">
            <v>EMPRESA DE VIVIENDA DE ANTIOQUIA</v>
          </cell>
          <cell r="Q877">
            <v>1160</v>
          </cell>
          <cell r="T877">
            <v>15436</v>
          </cell>
        </row>
        <row r="878">
          <cell r="A878">
            <v>1310</v>
          </cell>
          <cell r="B878">
            <v>740</v>
          </cell>
          <cell r="G878" t="str">
            <v>MARIA ALEJANDRA RENDON CORREA</v>
          </cell>
          <cell r="Q878">
            <v>1182</v>
          </cell>
          <cell r="T878">
            <v>13879</v>
          </cell>
        </row>
        <row r="879">
          <cell r="A879">
            <v>1284</v>
          </cell>
          <cell r="B879">
            <v>741</v>
          </cell>
          <cell r="G879" t="str">
            <v xml:space="preserve">MUNICIPIO DE TARSO </v>
          </cell>
          <cell r="Q879">
            <v>1109</v>
          </cell>
          <cell r="T879">
            <v>14568</v>
          </cell>
        </row>
        <row r="880">
          <cell r="A880">
            <v>1268</v>
          </cell>
          <cell r="B880">
            <v>742</v>
          </cell>
          <cell r="G880" t="str">
            <v>MUNICIPIO DE EL PEÑOL</v>
          </cell>
          <cell r="Q880">
            <v>1115</v>
          </cell>
          <cell r="T880">
            <v>15128</v>
          </cell>
        </row>
        <row r="881">
          <cell r="A881">
            <v>1273</v>
          </cell>
          <cell r="B881">
            <v>743</v>
          </cell>
          <cell r="G881" t="str">
            <v xml:space="preserve">MUNICIPIO DE SAN RAFAEL </v>
          </cell>
          <cell r="Q881">
            <v>1118</v>
          </cell>
          <cell r="T881">
            <v>15133</v>
          </cell>
        </row>
        <row r="882">
          <cell r="A882">
            <v>1303</v>
          </cell>
          <cell r="B882">
            <v>744</v>
          </cell>
          <cell r="G882" t="str">
            <v>EMPRESA AUTONOMA DEL MUNICIPIO DE GUATAPE</v>
          </cell>
          <cell r="Q882">
            <v>1183</v>
          </cell>
          <cell r="T882" t="str">
            <v/>
          </cell>
        </row>
        <row r="883">
          <cell r="A883" t="str">
            <v>ANULADO</v>
          </cell>
          <cell r="B883">
            <v>745</v>
          </cell>
          <cell r="G883" t="str">
            <v xml:space="preserve">ANULADO </v>
          </cell>
          <cell r="Q883">
            <v>0</v>
          </cell>
          <cell r="T883" t="str">
            <v/>
          </cell>
        </row>
        <row r="884">
          <cell r="A884">
            <v>1270</v>
          </cell>
          <cell r="B884">
            <v>746</v>
          </cell>
          <cell r="G884" t="str">
            <v>MUNICIPIO DE SAN PEDRO DE LOS MILAGROS</v>
          </cell>
          <cell r="Q884">
            <v>1117</v>
          </cell>
          <cell r="T884">
            <v>14569</v>
          </cell>
        </row>
        <row r="885">
          <cell r="A885">
            <v>1151</v>
          </cell>
          <cell r="B885">
            <v>747</v>
          </cell>
          <cell r="G885" t="str">
            <v>LIGA DE ORIENTACIÓN DE ANTIOQUIA</v>
          </cell>
          <cell r="Q885">
            <v>1161</v>
          </cell>
          <cell r="T885">
            <v>14692</v>
          </cell>
        </row>
        <row r="886">
          <cell r="A886">
            <v>1271</v>
          </cell>
          <cell r="B886">
            <v>748</v>
          </cell>
          <cell r="G886" t="str">
            <v>MUNICIPIO DE TAMESIS</v>
          </cell>
          <cell r="Q886">
            <v>1111</v>
          </cell>
          <cell r="T886">
            <v>14696</v>
          </cell>
        </row>
        <row r="887">
          <cell r="A887">
            <v>1277</v>
          </cell>
          <cell r="B887">
            <v>749</v>
          </cell>
          <cell r="G887" t="str">
            <v xml:space="preserve">MUNICIPIO DE YOLOMBO </v>
          </cell>
          <cell r="Q887">
            <v>1122</v>
          </cell>
          <cell r="T887">
            <v>14705</v>
          </cell>
        </row>
        <row r="888">
          <cell r="A888">
            <v>1265</v>
          </cell>
          <cell r="B888">
            <v>750</v>
          </cell>
          <cell r="G888" t="str">
            <v>MUNICIPIO DE SABANETA</v>
          </cell>
          <cell r="Q888">
            <v>1113</v>
          </cell>
          <cell r="T888">
            <v>14723</v>
          </cell>
        </row>
        <row r="889">
          <cell r="A889">
            <v>1275</v>
          </cell>
          <cell r="B889">
            <v>751</v>
          </cell>
          <cell r="G889" t="str">
            <v xml:space="preserve">MUNICIPIO DE GRANADA </v>
          </cell>
          <cell r="Q889">
            <v>1120</v>
          </cell>
          <cell r="T889">
            <v>15149</v>
          </cell>
        </row>
        <row r="890">
          <cell r="A890">
            <v>1282</v>
          </cell>
          <cell r="B890">
            <v>752</v>
          </cell>
          <cell r="G890" t="str">
            <v>MUNICIPIO DE LIBORINA</v>
          </cell>
          <cell r="Q890">
            <v>1124</v>
          </cell>
          <cell r="T890">
            <v>15140</v>
          </cell>
        </row>
        <row r="891">
          <cell r="A891" t="str">
            <v>ANULADO</v>
          </cell>
          <cell r="B891">
            <v>753</v>
          </cell>
          <cell r="G891" t="str">
            <v xml:space="preserve">ANULADO </v>
          </cell>
          <cell r="Q891">
            <v>0</v>
          </cell>
          <cell r="T891" t="str">
            <v/>
          </cell>
        </row>
        <row r="892">
          <cell r="A892">
            <v>1281</v>
          </cell>
          <cell r="B892">
            <v>754</v>
          </cell>
          <cell r="G892" t="str">
            <v>MUNICIPIO DE ENVIGADO</v>
          </cell>
          <cell r="Q892">
            <v>1107</v>
          </cell>
          <cell r="T892">
            <v>14697</v>
          </cell>
        </row>
        <row r="893">
          <cell r="A893">
            <v>1316</v>
          </cell>
          <cell r="B893">
            <v>755</v>
          </cell>
          <cell r="G893" t="str">
            <v>MUNICIPIO DE SABANALARGA</v>
          </cell>
          <cell r="Q893">
            <v>1190</v>
          </cell>
          <cell r="T893">
            <v>15127</v>
          </cell>
        </row>
        <row r="894">
          <cell r="A894">
            <v>1321</v>
          </cell>
          <cell r="B894">
            <v>756</v>
          </cell>
          <cell r="G894" t="str">
            <v>MUNICIPIO DE SANTO DOMINGO</v>
          </cell>
          <cell r="Q894">
            <v>1205</v>
          </cell>
          <cell r="T894">
            <v>15130</v>
          </cell>
        </row>
        <row r="895">
          <cell r="A895">
            <v>1296</v>
          </cell>
          <cell r="B895">
            <v>757</v>
          </cell>
          <cell r="G895" t="str">
            <v>EMPRESA DE DESARROLLO SOSTENIBLE DEL ORIENTE "EDESO"</v>
          </cell>
          <cell r="Q895">
            <v>1155</v>
          </cell>
          <cell r="T895">
            <v>14704</v>
          </cell>
        </row>
        <row r="896">
          <cell r="A896">
            <v>1280</v>
          </cell>
          <cell r="B896">
            <v>758</v>
          </cell>
          <cell r="G896" t="str">
            <v>MUNICIPIO DE SAN JERONIMO</v>
          </cell>
          <cell r="Q896">
            <v>1148</v>
          </cell>
          <cell r="T896">
            <v>14710</v>
          </cell>
        </row>
        <row r="897">
          <cell r="A897">
            <v>1266</v>
          </cell>
          <cell r="B897">
            <v>759</v>
          </cell>
          <cell r="G897" t="str">
            <v>MUNICIPIO DE EL SANTUARIO</v>
          </cell>
          <cell r="Q897">
            <v>1114</v>
          </cell>
          <cell r="T897">
            <v>15134</v>
          </cell>
        </row>
        <row r="898">
          <cell r="A898">
            <v>1269</v>
          </cell>
          <cell r="B898">
            <v>760</v>
          </cell>
          <cell r="G898" t="str">
            <v>MUNICIPIO EL RETIRO</v>
          </cell>
          <cell r="Q898">
            <v>1116</v>
          </cell>
          <cell r="T898">
            <v>14721</v>
          </cell>
        </row>
        <row r="899">
          <cell r="A899">
            <v>1317</v>
          </cell>
          <cell r="B899">
            <v>761</v>
          </cell>
          <cell r="G899" t="str">
            <v>EMPRESA DE DESARROLLO SOSTENIBLE DEL ORIENTE "EDESO"</v>
          </cell>
          <cell r="Q899">
            <v>1188</v>
          </cell>
          <cell r="T899">
            <v>14703</v>
          </cell>
        </row>
        <row r="900">
          <cell r="A900">
            <v>1207</v>
          </cell>
          <cell r="B900">
            <v>762</v>
          </cell>
          <cell r="G900" t="str">
            <v>INFORMACIÓN DE NEGOCIOSY PROCESOS INP LTDA</v>
          </cell>
          <cell r="Q900">
            <v>1166</v>
          </cell>
          <cell r="T900">
            <v>14702</v>
          </cell>
        </row>
        <row r="901">
          <cell r="A901">
            <v>1278</v>
          </cell>
          <cell r="B901">
            <v>763</v>
          </cell>
          <cell r="G901" t="str">
            <v>MUNICIPIO DE ABRIAQUI</v>
          </cell>
          <cell r="Q901">
            <v>1123</v>
          </cell>
          <cell r="T901">
            <v>15126</v>
          </cell>
        </row>
        <row r="902">
          <cell r="A902">
            <v>1283</v>
          </cell>
          <cell r="B902">
            <v>764</v>
          </cell>
          <cell r="G902" t="str">
            <v>MUNICIPIO DE CONCORDIA</v>
          </cell>
          <cell r="Q902">
            <v>1108</v>
          </cell>
          <cell r="T902">
            <v>15135</v>
          </cell>
        </row>
        <row r="903">
          <cell r="A903" t="str">
            <v>ANULADO</v>
          </cell>
          <cell r="B903">
            <v>765</v>
          </cell>
          <cell r="G903" t="str">
            <v xml:space="preserve">ANULADO </v>
          </cell>
          <cell r="Q903">
            <v>0</v>
          </cell>
          <cell r="T903" t="str">
            <v/>
          </cell>
        </row>
        <row r="904">
          <cell r="A904">
            <v>1272</v>
          </cell>
          <cell r="B904">
            <v>766</v>
          </cell>
          <cell r="G904" t="str">
            <v>MUNICIPIO DE MONTEBELLO</v>
          </cell>
          <cell r="Q904">
            <v>1209</v>
          </cell>
          <cell r="T904">
            <v>15136</v>
          </cell>
        </row>
        <row r="905">
          <cell r="A905">
            <v>1276</v>
          </cell>
          <cell r="B905">
            <v>767</v>
          </cell>
          <cell r="G905" t="str">
            <v>MUNICIPIO DE ANGELOPOLIS</v>
          </cell>
          <cell r="Q905">
            <v>1121</v>
          </cell>
          <cell r="T905">
            <v>14722</v>
          </cell>
        </row>
        <row r="906">
          <cell r="A906">
            <v>1322</v>
          </cell>
          <cell r="B906">
            <v>768</v>
          </cell>
          <cell r="G906" t="str">
            <v>MUNICIPIO DE SALGAR</v>
          </cell>
          <cell r="Q906">
            <v>1206</v>
          </cell>
          <cell r="T906">
            <v>15137</v>
          </cell>
        </row>
        <row r="907">
          <cell r="A907">
            <v>1264</v>
          </cell>
          <cell r="B907">
            <v>769</v>
          </cell>
          <cell r="G907" t="str">
            <v>MUNICIPIO DE SAN PEDRO DE URABA</v>
          </cell>
          <cell r="Q907">
            <v>1112</v>
          </cell>
          <cell r="T907">
            <v>15159</v>
          </cell>
        </row>
        <row r="908">
          <cell r="A908">
            <v>1315</v>
          </cell>
          <cell r="B908">
            <v>770</v>
          </cell>
          <cell r="G908" t="str">
            <v>MUNICIPIO DE MACEO</v>
          </cell>
          <cell r="Q908">
            <v>1191</v>
          </cell>
          <cell r="T908">
            <v>15147</v>
          </cell>
        </row>
        <row r="909">
          <cell r="A909">
            <v>1263</v>
          </cell>
          <cell r="B909">
            <v>771</v>
          </cell>
          <cell r="G909" t="str">
            <v>NIMBUTECH S.A.S.</v>
          </cell>
          <cell r="Q909">
            <v>1147</v>
          </cell>
          <cell r="T909">
            <v>5145</v>
          </cell>
        </row>
        <row r="910">
          <cell r="A910">
            <v>1267</v>
          </cell>
          <cell r="B910">
            <v>772</v>
          </cell>
          <cell r="G910" t="str">
            <v>MUNICIPIO DE ARMENIA</v>
          </cell>
          <cell r="Q910">
            <v>1187</v>
          </cell>
          <cell r="T910">
            <v>15150</v>
          </cell>
        </row>
        <row r="911">
          <cell r="A911">
            <v>1327</v>
          </cell>
          <cell r="B911">
            <v>773</v>
          </cell>
          <cell r="G911" t="str">
            <v>MUNICIPIO DE VEGACHÍ</v>
          </cell>
          <cell r="Q911">
            <v>1217</v>
          </cell>
          <cell r="T911">
            <v>15125</v>
          </cell>
        </row>
        <row r="912">
          <cell r="A912">
            <v>1330</v>
          </cell>
          <cell r="B912">
            <v>774</v>
          </cell>
          <cell r="G912" t="str">
            <v>MUNICIPIO DE SAN JUAN DE URABÁ</v>
          </cell>
          <cell r="Q912">
            <v>1220</v>
          </cell>
          <cell r="T912">
            <v>15138</v>
          </cell>
        </row>
        <row r="913">
          <cell r="A913">
            <v>1274</v>
          </cell>
          <cell r="B913">
            <v>775</v>
          </cell>
          <cell r="G913" t="str">
            <v>MUNICIPIO DE ANZA</v>
          </cell>
          <cell r="Q913">
            <v>1119</v>
          </cell>
          <cell r="T913">
            <v>15141</v>
          </cell>
        </row>
        <row r="914">
          <cell r="A914">
            <v>1331</v>
          </cell>
          <cell r="B914">
            <v>776</v>
          </cell>
          <cell r="G914" t="str">
            <v>MUNICIPIO DE JERICÓ</v>
          </cell>
          <cell r="Q914">
            <v>1221</v>
          </cell>
          <cell r="T914">
            <v>15139</v>
          </cell>
        </row>
        <row r="915">
          <cell r="A915">
            <v>1328</v>
          </cell>
          <cell r="B915">
            <v>777</v>
          </cell>
          <cell r="G915" t="str">
            <v>MUNICIPIO DE RIONEGRO ANTIOQUIA</v>
          </cell>
          <cell r="Q915">
            <v>1218</v>
          </cell>
          <cell r="T915">
            <v>15148</v>
          </cell>
        </row>
        <row r="916">
          <cell r="A916">
            <v>1326</v>
          </cell>
          <cell r="B916">
            <v>778</v>
          </cell>
          <cell r="G916" t="str">
            <v>MUNICIPIO DE ARGELIA</v>
          </cell>
          <cell r="Q916">
            <v>1216</v>
          </cell>
          <cell r="T916">
            <v>15132</v>
          </cell>
        </row>
        <row r="917">
          <cell r="A917">
            <v>1334</v>
          </cell>
          <cell r="B917">
            <v>779</v>
          </cell>
          <cell r="G917" t="str">
            <v>CORPORACIÓN PARA EL MANEJO SOSTENIBLE DE LOS BOSQUES MASBOSQUES</v>
          </cell>
          <cell r="Q917">
            <v>1227</v>
          </cell>
          <cell r="T917">
            <v>15146</v>
          </cell>
        </row>
        <row r="918">
          <cell r="A918" t="str">
            <v>ANULADO</v>
          </cell>
          <cell r="B918">
            <v>780</v>
          </cell>
          <cell r="G918" t="str">
            <v xml:space="preserve">ANULADO </v>
          </cell>
          <cell r="Q918">
            <v>0</v>
          </cell>
          <cell r="T918" t="str">
            <v/>
          </cell>
        </row>
        <row r="919">
          <cell r="A919">
            <v>1295</v>
          </cell>
          <cell r="B919">
            <v>781</v>
          </cell>
          <cell r="G919" t="str">
            <v>CONSORCIO IAD DINAMICO SOFTWAREONE</v>
          </cell>
          <cell r="Q919">
            <v>1165</v>
          </cell>
          <cell r="T919">
            <v>15425</v>
          </cell>
        </row>
        <row r="920">
          <cell r="A920">
            <v>1236</v>
          </cell>
          <cell r="B920">
            <v>782</v>
          </cell>
          <cell r="G920" t="str">
            <v>EMPRESA PARA LA SEGURIDAD Y SOLUCIONES URBANAS – ESU</v>
          </cell>
          <cell r="Q920">
            <v>1200</v>
          </cell>
          <cell r="T920">
            <v>15292</v>
          </cell>
        </row>
      </sheetData>
      <sheetData sheetId="15"/>
      <sheetData sheetId="16"/>
      <sheetData sheetId="17"/>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5"/>
      <sheetName val="Hoja6"/>
      <sheetName val="Hoja8"/>
      <sheetName val="Hoja9"/>
      <sheetName val="INFORME  - EJECUCIÓn"/>
      <sheetName val="CRON DE ACT AMPLIADO"/>
      <sheetName val="PROYECTOS A ACTUALIZAR"/>
      <sheetName val="CRON DE ACTUALI DETALLADO"/>
      <sheetName val="PROYECTOS VIEJOS"/>
      <sheetName val="PROGRAMACIÓN"/>
      <sheetName val="TABLA DINAMICA"/>
      <sheetName val="PRESUPUESTO POR INDICADOR"/>
      <sheetName val="Hoja4"/>
      <sheetName val="PRESUPUESTO POR DEPENDENCIA"/>
      <sheetName val="INFORME BANCO DE PROYECTOS"/>
      <sheetName val="Hoja12"/>
      <sheetName val="NUEVOS  - ANTIGUOS"/>
      <sheetName val="Hoja11"/>
      <sheetName val="PRESUPUESTO POR DEPENDENCIA (2)"/>
      <sheetName val="Hoja7"/>
      <sheetName val="Hoja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E2" t="str">
            <v>Diseño, Construcción e Implementación de la Política Pública del Sector del Deporte, la Recreación, la Actividad Física y la Educación Física en Antioquia</v>
          </cell>
        </row>
        <row r="3">
          <cell r="E3" t="str">
            <v>Apoyo y participación de los deportistas antioqueños en Eventos deportivos de Carácter Nacional e Internacional Departamento de Antioquia</v>
          </cell>
        </row>
        <row r="4">
          <cell r="E4" t="str">
            <v>Apoyo para descentralización de las ligas deportivas en el departamentos de Antioquia</v>
          </cell>
        </row>
        <row r="5">
          <cell r="E5" t="str">
            <v>Implementación y Fortalecimiento de Centros de Desarrollo Deportivo Subregional en el Departamento de Antioquia</v>
          </cell>
        </row>
        <row r="6">
          <cell r="E6" t="str">
            <v xml:space="preserve">Apoyo técnico, científico y social para los deportistas y equipos convencionales y paralímpicos del departamento de Antioquia </v>
          </cell>
        </row>
        <row r="7">
          <cell r="E7" t="str">
            <v>Fortalecimiento de los organismos deportivos, recreativos, de educación física y actividad física del departamento de Antioquia</v>
          </cell>
        </row>
        <row r="8">
          <cell r="E8" t="str">
            <v xml:space="preserve">Fortalecimiento de los Centros de Enriquecimiento, Iniciación y Formación Deportiva en los municipios del Departamento de Antioquia. </v>
          </cell>
        </row>
        <row r="9">
          <cell r="E9" t="str">
            <v>Fortalecimiento de deporte la recreación, la actividad física y la educación en el sector escolar en el Departamento de Antioquia</v>
          </cell>
        </row>
        <row r="10">
          <cell r="E10" t="str">
            <v>Implementación Sistema departamental virtual de capacitación del sector del deporte, la recreación y la actividad física en Antioquia</v>
          </cell>
        </row>
        <row r="11">
          <cell r="E11" t="str">
            <v>Capacitación del sector del deporte, la recreación, la actividad física y la educación física en Antioquia.</v>
          </cell>
        </row>
        <row r="12">
          <cell r="E12" t="str">
            <v xml:space="preserve">Apoyo y realización de los juegos deportivos municipales, subregionales, departamentales y fronterizos para el encuentro y la convivencia en el Departamento de Antioquia. </v>
          </cell>
        </row>
        <row r="13">
          <cell r="E13" t="str">
            <v>Implementación de Acciones para la Apropiación de escenarios deportivos y recreativos en el departamento de Antioquia</v>
          </cell>
        </row>
        <row r="14">
          <cell r="E14" t="str">
            <v>Construcción, mantenimiento, adecuación y dotación de escenarios deportivos y recreativos en los municipios del Departamento de Antioquia</v>
          </cell>
        </row>
        <row r="15">
          <cell r="E15" t="str">
            <v>Fortalecimiento y Promoción de  estilos de vida saludables mediante la practica de la actividad física en los municipios del departamento de Antioquia</v>
          </cell>
        </row>
        <row r="16">
          <cell r="E16" t="str">
            <v xml:space="preserve">Fomento y apoyo del deporte y la recreación para la inclusión y la Interculturalidad en los municipios del departamento de Antioquia. </v>
          </cell>
        </row>
        <row r="17">
          <cell r="E17" t="str">
            <v xml:space="preserve">Diseño e implementación de Sistemas de información ERP, Misional y de Gestión Documental en INDEPORTES Antioquia. </v>
          </cell>
        </row>
        <row r="18">
          <cell r="E18" t="str">
            <v xml:space="preserve">Fortalecimiento del Sistema de Gestión de Calidad de INDEPORTES Antioquia. </v>
          </cell>
        </row>
        <row r="19">
          <cell r="E19" t="str">
            <v xml:space="preserve">Diseño e Implementación del Centro de Investigación en Indeportes Antioquia. </v>
          </cell>
        </row>
      </sheetData>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PROYECTOS VIEJOS"/>
      <sheetName val="RECURSOS DISPONIBLES INFRAESTRU"/>
      <sheetName val="Hoja2"/>
      <sheetName val="Hoja1"/>
      <sheetName val="PRESUPUESTO DEPEN - JUNIO 26 VI"/>
      <sheetName val="TD PROYECTOS NUEVOS"/>
      <sheetName val="Hoja4"/>
      <sheetName val="PRESUPUESTO DEPEN - JUNIO 2 NU"/>
      <sheetName val="PROYECTOS 2012 - 2015"/>
      <sheetName val="Hoja3"/>
      <sheetName val="Hoja6"/>
      <sheetName val="TD PROYECTOS NUEVOS (2)"/>
      <sheetName val="Hoja8"/>
    </sheetNames>
    <sheetDataSet>
      <sheetData sheetId="0"/>
      <sheetData sheetId="1"/>
      <sheetData sheetId="2"/>
      <sheetData sheetId="3"/>
      <sheetData sheetId="4"/>
      <sheetData sheetId="5"/>
      <sheetData sheetId="6"/>
      <sheetData sheetId="7"/>
      <sheetData sheetId="8">
        <row r="2">
          <cell r="E2" t="str">
            <v>Diseño, Construcción e Implementación de la Política Pública del Sector del Deporte, la Recreación, la Actividad Física y la Educación Física en Antioquia</v>
          </cell>
        </row>
        <row r="3">
          <cell r="E3" t="str">
            <v>Apoyo y participación de los deportistas antioqueños en Eventos deportivos de Carácter Nacional e Internacional Departamento de Antioquia</v>
          </cell>
        </row>
        <row r="4">
          <cell r="E4" t="str">
            <v>Apoyo para descentralización de las ligas deportivas en el departamentos de Antioquia</v>
          </cell>
        </row>
        <row r="5">
          <cell r="E5" t="str">
            <v>Implementación y Fortalecimiento de Centros de Desarrollo Deportivo Subregional en el Departamento de Antioquia</v>
          </cell>
        </row>
        <row r="6">
          <cell r="E6" t="str">
            <v xml:space="preserve">Apoyo técnico, científico y social para los deportistas y equipos convencionales y paralímpicos del departamento de Antioquia </v>
          </cell>
        </row>
        <row r="7">
          <cell r="E7" t="str">
            <v>Fortalecimiento de los organismos deportivos, recreativos, de educación física y actividad física del departamento de Antioquia</v>
          </cell>
        </row>
        <row r="8">
          <cell r="E8" t="str">
            <v xml:space="preserve">Fortalecimiento de los Centros de Enriquecimiento, Iniciación y Formación Deportiva en los municipios del Departamento de Antioquia. </v>
          </cell>
        </row>
        <row r="9">
          <cell r="E9" t="str">
            <v>Fortalecimiento de deporte la recreación, la actividad física y la educación en el sector escolar en el Departamento de Antioquia</v>
          </cell>
        </row>
        <row r="10">
          <cell r="E10" t="str">
            <v>Implementación Sistema departamental virtual de capacitación del sector del deporte, la recreación y la actividad física en Antioquia</v>
          </cell>
        </row>
        <row r="11">
          <cell r="E11" t="str">
            <v>Capacitación del sector del deporte, la recreación, la actividad física y la educación física en Antioquia.</v>
          </cell>
        </row>
        <row r="12">
          <cell r="E12" t="str">
            <v xml:space="preserve">Apoyo y realización de los juegos deportivos municipales, subregionales, departamentales y fronterizos para el encuentro y la convivencia en el Departamento de Antioquia. </v>
          </cell>
        </row>
        <row r="13">
          <cell r="E13" t="str">
            <v>Implementación de Acciones para la Apropiación de escenarios deportivos y recreativos en el departamento de Antioquia</v>
          </cell>
        </row>
        <row r="14">
          <cell r="E14" t="str">
            <v>Construcción, mantenimiento, adecuación y dotación de escenarios deportivos y recreativos en los municipios del Departamento de Antioquia</v>
          </cell>
        </row>
        <row r="15">
          <cell r="E15" t="str">
            <v>Fortalecimiento y Promoción de  estilos de vida saludables mediante la practica de la actividad física en los municipios del departamento de Antioquia</v>
          </cell>
        </row>
        <row r="16">
          <cell r="E16" t="str">
            <v xml:space="preserve">Fomento y apoyo del deporte y la recreación para la inclusión y la Interculturalidad en los municipios del departamento de Antioquia. </v>
          </cell>
        </row>
        <row r="17">
          <cell r="E17" t="str">
            <v xml:space="preserve">Diseño e implementación de Sistemas de información ERP, Misional y de Gestión Documental en INDEPORTES Antioquia. </v>
          </cell>
        </row>
        <row r="18">
          <cell r="E18" t="str">
            <v xml:space="preserve">Fortalecimiento del Sistema de Gestión de Calidad de INDEPORTES Antioquia. </v>
          </cell>
        </row>
        <row r="19">
          <cell r="E19" t="str">
            <v xml:space="preserve">Diseño e Implementación del Centro de Investigación en Indeportes Antioquia. </v>
          </cell>
        </row>
      </sheetData>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Luisa Fernanda Gaviria Cano" id="{5FEAF550-9D82-46F7-9178-DA42B5F5D8AE}" userId="S::lgaviria@indeportesantioquia.gov.co::8a8adcb7-851c-4e33-b7a4-1d13886d9724" providerId="AD"/>
  <person displayName="Catalina Vásquez Ramírez" id="{306271F8-4152-4EF4-A7C8-DB72D99724D0}" userId="S::cvasquezr@indeportesantioquia.gov.co::3a405016-3ea2-4f8c-82a0-ead475ad23b6" providerId="AD"/>
</personList>
</file>

<file path=xl/tables/table1.xml><?xml version="1.0" encoding="utf-8"?>
<table xmlns="http://schemas.openxmlformats.org/spreadsheetml/2006/main" id="3" name="PAA_4" displayName="PAA_4" ref="A6:AL2290" totalsRowShown="0" headerRowDxfId="170" dataDxfId="169" totalsRowDxfId="167" tableBorderDxfId="168">
  <autoFilter ref="A6:AL2290"/>
  <tableColumns count="38">
    <tableColumn id="1" name="ITEM" dataDxfId="166" totalsRowDxfId="165"/>
    <tableColumn id="2" name="Código UNSPSC (Manual)" dataDxfId="164" totalsRowDxfId="163"/>
    <tableColumn id="3" name="UNIDAD DE CONTRATACION (formulado)" dataDxfId="162" totalsRowDxfId="161">
      <calculatedColumnFormula>VLOOKUP(PAA_4[[#This Row],[PROYECTO (formulado)2]],[2]PROYECTOS!$G$1:$L$32,6,0)</calculatedColumnFormula>
    </tableColumn>
    <tableColumn id="4" name="Funci/ inversion (formulado)" dataDxfId="160" totalsRowDxfId="159">
      <calculatedColumnFormula>+IF(PAA_4[[#This Row],[UNIDAD DE CONTRATACION (formulado)]]="Subgerencia Administrativa y Financiera","FUNCIONAMIENTO","INVERSIÓN")</calculatedColumnFormula>
    </tableColumn>
    <tableColumn id="5" name="Nombre Proyecto  (formulado)" dataDxfId="158" totalsRowDxfId="157">
      <calculatedColumnFormula>VLOOKUP(Q7,[2]PROYECTOS!$G$1:$K$32,5,0)</calculatedColumnFormula>
    </tableColumn>
    <tableColumn id="40" name="Código BPIN (FORMULADO)" dataDxfId="156" totalsRowDxfId="155">
      <calculatedColumnFormula>VLOOKUP(E7,[2]PROYECTOS!$K$1:$M$32,3,0)</calculatedColumnFormula>
    </tableColumn>
    <tableColumn id="24" name="Actividad3" dataDxfId="154" totalsRowDxfId="153"/>
    <tableColumn id="6" name="Proyecto (formulado)" dataDxfId="152" totalsRowDxfId="151">
      <calculatedColumnFormula>VLOOKUP(Q7,[2]PROYECTOS!$V$1:$W$32,2,0)</calculatedColumnFormula>
    </tableColumn>
    <tableColumn id="7" name="Valor definitivo (manual)" dataDxfId="150" totalsRowDxfId="149" dataCellStyle="Moneda"/>
    <tableColumn id="8" name="Descripción - Objeto del Contrato (manual)" dataDxfId="148" totalsRowDxfId="147"/>
    <tableColumn id="9" name="ESTADO (formulado)" dataDxfId="146" totalsRowDxfId="145">
      <calculatedColumnFormula>IF(ISNONTEXT(Y7)=TRUE,"CONTRATADO","NO CONTRATADO")</calculatedColumnFormula>
    </tableColumn>
    <tableColumn id="10" name="MODALIDAD DE CONTRATACION (manual)" dataDxfId="144" totalsRowDxfId="143"/>
    <tableColumn id="11" name="TIPO DE CONTRATACION (Manual)" dataDxfId="142" totalsRowDxfId="141"/>
    <tableColumn id="12" name="RUBRO(BASEDEINFORMACION)MANUAL" dataDxfId="140" totalsRowDxfId="139"/>
    <tableColumn id="13" name="Rubro Corto (Formulado)" dataDxfId="138" totalsRowDxfId="137">
      <calculatedColumnFormula>VLOOKUP(N7,[2]!RUBROS[#All],3,0)</calculatedColumnFormula>
    </tableColumn>
    <tableColumn id="14" name="NOMBRE RUBRO (Formulado)" dataDxfId="136" totalsRowDxfId="135">
      <calculatedColumnFormula>VLOOKUP(N7,[2]!RUBROS[#All],2,0)</calculatedColumnFormula>
    </tableColumn>
    <tableColumn id="15" name="PROYECTO (formulado)2" dataDxfId="134" totalsRowDxfId="133">
      <calculatedColumnFormula>+MID(N7,11,2)</calculatedColumnFormula>
    </tableColumn>
    <tableColumn id="16" name="FONDO (formulado)" dataDxfId="132" totalsRowDxfId="131">
      <calculatedColumnFormula>+MID(N7,14,8)</calculatedColumnFormula>
    </tableColumn>
    <tableColumn id="17" name="PLAZO (manual)" dataDxfId="130" totalsRowDxfId="129"/>
    <tableColumn id="18" name="MES DIA O AÑO (manual)" dataDxfId="128" totalsRowDxfId="127" dataCellStyle="Normal 11"/>
    <tableColumn id="19" name="CDP (manual)" dataDxfId="126" totalsRowDxfId="125" dataCellStyle="Millares [0]">
      <calculatedColumnFormula>_xlfn.XLOOKUP(PAA_4[[#This Row],[ITEM]],[2]Contrato!A:A,[2]Contrato!Q:Q,"",0)</calculatedColumnFormula>
    </tableColumn>
    <tableColumn id="20" name="¿Se requieren vigencias futuras? (MANUAL)" dataDxfId="124" totalsRowDxfId="123"/>
    <tableColumn id="21" name="Fecha estimada de inicio de proceso de selección (mes) (manual)" dataDxfId="122" totalsRowDxfId="121"/>
    <tableColumn id="22" name="Fecha estimada de presentación de ofertas (mes) (manual)" dataDxfId="120" totalsRowDxfId="119"/>
    <tableColumn id="25" name="NUMERO CONTRATO" dataDxfId="118" totalsRowDxfId="117" dataCellStyle="Millares [0]">
      <calculatedColumnFormula>_xlfn.XLOOKUP(PAA_4[[#This Row],[ITEM]],[2]Contrato!A:A,[2]Contrato!B:B,"",0)</calculatedColumnFormula>
    </tableColumn>
    <tableColumn id="26" name="CONTRATISTA" dataDxfId="116" totalsRowDxfId="115">
      <calculatedColumnFormula>_xlfn.XLOOKUP(PAA_4[[#This Row],[ITEM]],[2]Contrato!A:A,[2]Contrato!G:G,"",0)</calculatedColumnFormula>
    </tableColumn>
    <tableColumn id="27" name="NUMERO COMPROMISO -RCP" dataDxfId="114" totalsRowDxfId="113">
      <calculatedColumnFormula>_xlfn.XLOOKUP(PAA_4[[#This Row],[ITEM]],[2]Contrato!A:A,[2]Contrato!T:T,"",0)</calculatedColumnFormula>
    </tableColumn>
    <tableColumn id="28" name="COMPROMETIDO" dataDxfId="112" totalsRowDxfId="111" dataCellStyle="Millares [0]">
      <calculatedColumnFormula>+MAX(PAA_4[[#This Row],[Comprometido Contrato]],PAA_4[[#This Row],[Comprometido Bolsa]])</calculatedColumnFormula>
    </tableColumn>
    <tableColumn id="29" name="VALOR A LIBERAR" dataDxfId="110" totalsRowDxfId="109" dataCellStyle="Millares [0]">
      <calculatedColumnFormula>IFERROR(I7-AB7,"")</calculatedColumnFormula>
    </tableColumn>
    <tableColumn id="30" name="PAGADO" dataDxfId="108" totalsRowDxfId="107" dataCellStyle="Millares [0]">
      <calculatedColumnFormula>IF(PAA_4[[#This Row],[ESTADO (formulado)]]="NO CONTRATADO",0,MAX(PAA_4[[#This Row],[Pago por Contrato]],PAA_4[[#This Row],[Pago por bolsa]]))</calculatedColumnFormula>
    </tableColumn>
    <tableColumn id="31" name="FALTANTE POR PAGAR" dataDxfId="106" totalsRowDxfId="105" dataCellStyle="Millares [0]">
      <calculatedColumnFormula>+IFERROR(AB7-AD7,"")</calculatedColumnFormula>
    </tableColumn>
    <tableColumn id="32" name="RCP-RUBRO" dataDxfId="104" totalsRowDxfId="103">
      <calculatedColumnFormula>+CONCATENATE(AA7,N7)</calculatedColumnFormula>
    </tableColumn>
    <tableColumn id="33" name="INDICADOR" dataDxfId="102" totalsRowDxfId="101">
      <calculatedColumnFormula>IFERROR(_xlfn.NUMBERVALUE(MID(G7,1,8)),"")</calculatedColumnFormula>
    </tableColumn>
    <tableColumn id="34" name="BOLSA" dataDxfId="100" totalsRowDxfId="99">
      <calculatedColumnFormula>IF(Q7="22",IF(ISNUMBER(SEARCH("econ",PAA_4[[#This Row],[Actividad3]])),"Económico",IF(ISNUMBER(SEARCH("alim",PAA_4[[#This Row],[Actividad3]])),"Alimentación",IF(ISNUMBER(SEARCH("educ",PAA_4[[#This Row],[Actividad3]])),"Educativo","Técnico"))),0)</calculatedColumnFormula>
    </tableColumn>
    <tableColumn id="35" name="Pago por Contrato" dataDxfId="98" totalsRowDxfId="97">
      <calculatedColumnFormula array="1">_xlfn.XLOOKUP(PAA_4[[#This Row],[RCP-RUBRO]],[2]!COMPROMISOS_2024[[#All],[concatenado]],[2]!COMPROMISOS_2024[[#All],[Total pagado]],"",0)</calculatedColumnFormula>
    </tableColumn>
    <tableColumn id="36" name="Pago por bolsa" dataDxfId="96" totalsRowDxfId="95">
      <calculatedColumnFormula>IF(PAA_4[[#This Row],[BOLSA]]=0,0,SUMIFS([2]!COMPROMISOS_2024[[#All],[Total pagado]],[2]!COMPROMISOS_2024[[#All],[Bolsa]],PAA_4[[#This Row],[BOLSA]],[2]!COMPROMISOS_2024[[#All],[rubro]],PAA_4[[#This Row],[RCP-RUBRO]]))</calculatedColumnFormula>
    </tableColumn>
    <tableColumn id="37" name="Comprometido Contrato" dataDxfId="94" totalsRowDxfId="93">
      <calculatedColumnFormula array="1">_xlfn.XLOOKUP(PAA_4[[#This Row],[RCP-RUBRO]],[2]!COMPROMISOS_2024[[#All],[concatenado]],[2]!COMPROMISOS_2024[[#All],[Total Comprometido]],"",0)</calculatedColumnFormula>
    </tableColumn>
    <tableColumn id="38" name="Comprometido Bolsa" dataDxfId="92" totalsRowDxfId="91">
      <calculatedColumnFormula>IF(PAA_4[[#This Row],[BOLSA]]=0,0,SUMIFS([2]!COMPROMISOS_2024[[#All],[Total Comprometido]],[2]!COMPROMISOS_2024[[#All],[Bolsa]],PAA_4[[#This Row],[BOLSA]],[2]!COMPROMISOS_2024[[#All],[concatenado]],PAA_4[[#This Row],[RCP-RUBRO]]))</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4" name="Contrato5" displayName="Contrato5" ref="A1:AQ920" totalsRowShown="0" headerRowDxfId="90" dataDxfId="88" totalsRowDxfId="86" headerRowBorderDxfId="89" tableBorderDxfId="87">
  <autoFilter ref="A1:AQ920"/>
  <tableColumns count="43">
    <tableColumn id="1" name="LINEA PAA" dataDxfId="85" totalsRowDxfId="84"/>
    <tableColumn id="2" name="CONTRATO" dataDxfId="83" totalsRowDxfId="82"/>
    <tableColumn id="3" name="OBJETO" dataDxfId="81" totalsRowDxfId="80"/>
    <tableColumn id="4" name="DEPENDENCIA " dataDxfId="79" totalsRowDxfId="78"/>
    <tableColumn id="5" name="MODALIDAD DE CONTRATACIÓN " dataDxfId="77" totalsRowDxfId="76"/>
    <tableColumn id="6" name="TIPO DE CONTRATO " dataDxfId="75" totalsRowDxfId="74"/>
    <tableColumn id="7" name="CONTRATISTA" dataDxfId="73" totalsRowDxfId="72"/>
    <tableColumn id="8" name="CÉDULA O NIT" dataDxfId="71" totalsRowDxfId="70"/>
    <tableColumn id="9" name="HONORARIOS MES " dataDxfId="69" totalsRowDxfId="68"/>
    <tableColumn id="10" name="VALOR CONTRATO" dataDxfId="67" totalsRowDxfId="66"/>
    <tableColumn id="11" name="OBSERVACIONES " dataDxfId="65" totalsRowDxfId="64"/>
    <tableColumn id="12" name="NÚMERO COMITÉ" dataDxfId="63" totalsRowDxfId="62"/>
    <tableColumn id="13" name="SUPERVISOR TITULAR" dataDxfId="61" totalsRowDxfId="60"/>
    <tableColumn id="14" name="DOCUMENTO " dataDxfId="59" totalsRowDxfId="58">
      <calculatedColumnFormula array="1">_xlfn.XLOOKUP(Contrato5[[#This Row],[SUPERVISOR TITULAR]],[2]!PERSONAL_ACTIVO_2024[[#All],[Nombre completo]],[2]!PERSONAL_ACTIVO_2024[[#All],[Documento identidad]],"",0)</calculatedColumnFormula>
    </tableColumn>
    <tableColumn id="15" name="SUPERVISOR SUPLENTE " dataDxfId="57" totalsRowDxfId="56"/>
    <tableColumn id="16" name="DOCUMENTO" dataDxfId="55" totalsRowDxfId="54">
      <calculatedColumnFormula array="1">_xlfn.XLOOKUP(Contrato5[[#This Row],[SUPERVISOR SUPLENTE ]],[2]!PERSONAL_ACTIVO_2024[[#All],[Nombre completo]],[2]!PERSONAL_ACTIVO_2024[[#All],[Documento identidad]],"",0)</calculatedColumnFormula>
    </tableColumn>
    <tableColumn id="17" name="CDP" dataDxfId="53" totalsRowDxfId="52"/>
    <tableColumn id="18" name="FECHA CDP" dataDxfId="51" totalsRowDxfId="50">
      <calculatedColumnFormula array="1">_xlfn.XLOOKUP(Contrato5[[#This Row],[CDP]],#REF!,#REF!,"",0)</calculatedColumnFormula>
    </tableColumn>
    <tableColumn id="19" name="VALOR CDP" dataDxfId="49" totalsRowDxfId="48">
      <calculatedColumnFormula>SUMIF(#REF!,Contrato5[[#This Row],[CDP]],#REF!)</calculatedColumnFormula>
    </tableColumn>
    <tableColumn id="20" name="RCP" dataDxfId="47" totalsRowDxfId="46">
      <calculatedColumnFormula array="1">_xlfn.XLOOKUP(Contrato5[[#This Row],[CONTRATO]]&amp;Contrato5[[#This Row],[CDP]],#REF!,#REF!,_xlfn.XLOOKUP(Contrato5[[#This Row],[CDP]],#REF!,#REF!,"",0),0)</calculatedColumnFormula>
    </tableColumn>
    <tableColumn id="21" name="FECHA RCP" dataDxfId="45" totalsRowDxfId="44">
      <calculatedColumnFormula>+_xlfn.XLOOKUP(Contrato5[[#This Row],[RCP]],#REF!,#REF!,"",0)</calculatedColumnFormula>
    </tableColumn>
    <tableColumn id="22" name="VALOR RCP" dataDxfId="43" totalsRowDxfId="42">
      <calculatedColumnFormula>SUMIF(#REF!,Contrato5[[#This Row],[RCP]],#REF!)</calculatedColumnFormula>
    </tableColumn>
    <tableColumn id="23" name="FECHA DE FIRMA " dataDxfId="41" totalsRowDxfId="40"/>
    <tableColumn id="24" name="FECHA APROBACIÓN POLIZA " dataDxfId="39" totalsRowDxfId="38"/>
    <tableColumn id="25" name="FECHA DE INICIO" dataDxfId="37" totalsRowDxfId="36">
      <calculatedColumnFormula>+LEFT(_xlfn.XLOOKUP(Contrato5[[#This Row],[CONTRATO3DIG]],[2]SECOP_II!AE:AE,[2]SECOP_II!F:F,"",0),10)</calculatedColumnFormula>
    </tableColumn>
    <tableColumn id="26" name="FECHA TERMINACIÓN " dataDxfId="35" totalsRowDxfId="34">
      <calculatedColumnFormula>+LEFT(_xlfn.XLOOKUP(Contrato5[[#This Row],[CONTRATO3DIG]],[2]SECOP_II!AE:AE,[2]SECOP_II!G:G,"",0),10)</calculatedColumnFormula>
    </tableColumn>
    <tableColumn id="27" name="LINK DE PUBLICACIÓN" dataDxfId="33" totalsRowDxfId="32"/>
    <tableColumn id="28" name="PLAZO " dataDxfId="31" totalsRowDxfId="30"/>
    <tableColumn id="36" name="Prorroga" dataDxfId="29" totalsRowDxfId="28"/>
    <tableColumn id="29" name="EXPEDIENTE" dataDxfId="27" totalsRowDxfId="26"/>
    <tableColumn id="30" name="RENDIDO " dataDxfId="25" totalsRowDxfId="24"/>
    <tableColumn id="31" name="Contrato2" dataDxfId="23" totalsRowDxfId="22">
      <calculatedColumnFormula>TEXT(LEFT(Contrato5[[#This Row],[CONTRATO]],3),"0")</calculatedColumnFormula>
    </tableColumn>
    <tableColumn id="32" name="CONTRATO3DIG" dataDxfId="21" totalsRowDxfId="20">
      <calculatedColumnFormula>IF(LEN(Contrato5[[#This Row],[Contrato2]])=3,Contrato5[[#This Row],[Contrato2]],TEXT(Contrato5[[#This Row],[Contrato2]],"000"))</calculatedColumnFormula>
    </tableColumn>
    <tableColumn id="33" name="Tiempo entre FT y hoy (meses)" dataDxfId="19" totalsRowDxfId="18">
      <calculatedColumnFormula>IFERROR(_xlfn.DAYS(Contrato5[[#This Row],[Fecha Proyectada liquidación]],TODAY())/30,"")</calculatedColumnFormula>
    </tableColumn>
    <tableColumn id="34" name="Fecha Proyectada liquidación" dataDxfId="17" totalsRowDxfId="16">
      <calculatedColumnFormula>+Contrato5[[#This Row],[FECHA TERMINACIÓN ]]+120</calculatedColumnFormula>
    </tableColumn>
    <tableColumn id="35" name="Fecha Real de liquiidación " dataDxfId="15" totalsRowDxfId="14"/>
    <tableColumn id="40" name="Estado" dataDxfId="13" totalsRowDxfId="12">
      <calculatedColumnFormula>IF(Contrato5[[#This Row],[FECHA TERMINACIÓN ]]&lt;TODAY(), "Terminado",IF(ISNUMBER(Contrato5[[#This Row],[Fecha Real de liquiidación ]]),"Liquidado",IF(Contrato5[[#This Row],[FECHA TERMINACIÓN ]]&gt;=TODAY(),"En ejecución","")))</calculatedColumnFormula>
    </tableColumn>
    <tableColumn id="38" name="Pagos" dataDxfId="11" totalsRowDxfId="10" dataCellStyle="Moneda">
      <calculatedColumnFormula>SUMIF([2]!COMPROMISOS_2024[[#All],[consecutivo]],Contrato5[[#This Row],[RCP]],[2]!COMPROMISOS_2024[[#All],[Total pagado]])</calculatedColumnFormula>
    </tableColumn>
    <tableColumn id="39" name="%" dataDxfId="9" totalsRowDxfId="8">
      <calculatedColumnFormula>IFERROR(Contrato5[[#This Row],[Pagos]]/Contrato5[[#This Row],[VALOR CONTRATO]],0)</calculatedColumnFormula>
    </tableColumn>
    <tableColumn id="37" name="Valor pendiente de ejecutar" dataDxfId="7" totalsRowDxfId="6">
      <calculatedColumnFormula>+Contrato5[[#This Row],[VALOR CONTRATO]]-Contrato5[[#This Row],[Pagos]]</calculatedColumnFormula>
    </tableColumn>
    <tableColumn id="41" name="Correo supervisor" dataDxfId="5" totalsRowDxfId="4">
      <calculatedColumnFormula array="1">_xlfn.XLOOKUP(Contrato5[[#This Row],[DOCUMENTO ]],[2]!PERSONAL_ACTIVO_2024[[#All],[Documento identidad]],[2]!PERSONAL_ACTIVO_2024[[#All],[Mail ]],0,0)</calculatedColumnFormula>
    </tableColumn>
    <tableColumn id="42" name="Correo suplente" dataDxfId="3" totalsRowDxfId="2">
      <calculatedColumnFormula array="1">_xlfn.XLOOKUP(Contrato5[[#This Row],[DOCUMENTO]],[2]!PERSONAL_ACTIVO_2024[[#All],[Documento identidad]],[2]!PERSONAL_ACTIVO_2024[[#All],[Mail ]],0,0)</calculatedColumnFormula>
    </tableColumn>
    <tableColumn id="43" name="Correo ordenador del gasto" dataDxfId="1" totalsRowDxfId="0">
      <calculatedColumnFormula array="1">IF(ISBLANK(Contrato5[[#This Row],[DEPENDENCIA ]]),0,IFERROR(_xlfn.XLOOKUP(Contrato5[[#This Row],[DEPENDENCIA ]],[2]!PERSONAL_ACTIVO_2024[[#All],[Dependencia]],[2]!PERSONAL_ACTIVO_2024[[#All],[Mail ]],0,0),0))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1" dT="2024-03-01T14:36:27.67" personId="{5FEAF550-9D82-46F7-9178-DA42B5F5D8AE}" id="{BD8AD76D-643A-469F-96B5-1745BADE1AD2}">
    <text>Cuadro de lista hoja supervisores</text>
  </threadedComment>
  <threadedComment ref="F1" dT="2024-03-01T14:36:36.15" personId="{5FEAF550-9D82-46F7-9178-DA42B5F5D8AE}" id="{A2EC7B99-5B7D-4EBD-B526-1F41D63048AD}">
    <text>Cuadro lista hoja supervisores</text>
  </threadedComment>
  <threadedComment ref="S1" dT="2023-07-05T20:59:03.13" personId="{5FEAF550-9D82-46F7-9178-DA42B5F5D8AE}" id="{2359FF5F-CD47-4D21-A9BE-D77963C5CA6F}">
    <text>AUTOMATIZAR CELDAS VERDES DE RCP PAGOS</text>
  </threadedComment>
  <threadedComment ref="AE1" dT="2024-03-01T14:39:08.82" personId="{5FEAF550-9D82-46F7-9178-DA42B5F5D8AE}" id="{F4A2037E-ED3B-475E-9274-CFBCFAE7E02E}">
    <text xml:space="preserve">Lista si o no </text>
  </threadedComment>
  <threadedComment ref="H449" dT="2024-05-14T22:32:39.76" personId="{306271F8-4152-4EF4-A7C8-DB72D99724D0}" id="{9111ACFE-C213-418B-BD70-72438A8F3CDF}">
    <text xml:space="preserve">Cédula de Extranjeria No. 7975527
</text>
  </threadedComment>
  <threadedComment ref="H478" dT="2024-06-21T18:52:09.26" personId="{306271F8-4152-4EF4-A7C8-DB72D99724D0}" id="{3A74379E-DBFB-4D98-8F88-A1DEEA80CB5A}">
    <text>Cédula de Extranjería 1203364</text>
  </threadedComment>
  <threadedComment ref="H493" dT="2024-06-14T20:01:53.22" personId="{306271F8-4152-4EF4-A7C8-DB72D99724D0}" id="{53CE45AA-9EA8-430B-AA2A-7A0BBD2559AF}">
    <text>Cédula de Extranjeria: 7997820</text>
  </threadedComment>
  <threadedComment ref="H494" dT="2024-06-14T20:00:58.62" personId="{306271F8-4152-4EF4-A7C8-DB72D99724D0}" id="{249E7A31-A678-46C1-8478-0DE101F794C5}">
    <text xml:space="preserve">Cédula de Extranjeria: 7998138
</text>
  </threadedComment>
  <threadedComment ref="H495" dT="2024-06-14T19:57:24.15" personId="{306271F8-4152-4EF4-A7C8-DB72D99724D0}" id="{13319309-3E04-485D-8045-A083522C7FD8}">
    <text>Cédula de Extranjeria: 7998173</text>
  </threadedComment>
  <threadedComment ref="H496" dT="2024-06-14T19:57:24.15" personId="{306271F8-4152-4EF4-A7C8-DB72D99724D0}" id="{316090FD-16CC-4340-9B64-BB88EC9D80A6}">
    <text>Cédula de Extranjeria: 7997821</text>
  </threadedComment>
  <threadedComment ref="H497" dT="2024-06-14T20:23:58.23" personId="{306271F8-4152-4EF4-A7C8-DB72D99724D0}" id="{DB853EE6-CB4A-46F7-8C1A-80E2EF6D577E}">
    <text xml:space="preserve">Cedula de Extranjería: 7997878
</text>
  </threadedComment>
  <threadedComment ref="H498" dT="2024-06-14T20:23:58.23" personId="{306271F8-4152-4EF4-A7C8-DB72D99724D0}" id="{49FF13A7-4828-4049-BBF7-C2853C9DA301}">
    <text xml:space="preserve">Cedula de Extranjería: 7998183
</text>
  </threadedComment>
  <threadedComment ref="H499" dT="2024-06-14T20:23:58.23" personId="{306271F8-4152-4EF4-A7C8-DB72D99724D0}" id="{8D76E615-13FD-4B34-A966-81888D93C9B4}">
    <text xml:space="preserve">Cedula de Extranjería: 7998148
</text>
  </threadedComment>
  <threadedComment ref="H633" dT="2024-08-06T14:09:49.96" personId="{306271F8-4152-4EF4-A7C8-DB72D99724D0}" id="{1617243B-A1FF-4370-863F-3101A7CA498D}">
    <text xml:space="preserve">CC 2000009732
</text>
  </threadedComment>
  <threadedComment ref="H638" dT="2024-08-06T14:59:17.27" personId="{306271F8-4152-4EF4-A7C8-DB72D99724D0}" id="{1C02ED58-710B-4692-934A-4F6EC0967638}">
    <text>PPT  530415</text>
  </threadedComment>
  <threadedComment ref="H648" dT="2024-08-06T14:45:29.22" personId="{306271F8-4152-4EF4-A7C8-DB72D99724D0}" id="{6017FCDE-DF9C-499F-B87B-746923B7BAD2}">
    <text>CE 635014</text>
  </threadedComment>
  <threadedComment ref="H692" dT="2024-08-06T14:13:14.86" personId="{306271F8-4152-4EF4-A7C8-DB72D99724D0}" id="{5A540864-12F5-4EAA-B95A-27748979330B}">
    <text>C.E. 523298</text>
  </threadedComment>
  <threadedComment ref="H712" dT="2024-08-06T14:55:43.34" personId="{306271F8-4152-4EF4-A7C8-DB72D99724D0}" id="{96AB3DF4-A4CD-44B5-860D-896ECE8EC472}">
    <text>CE 8001230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29844060&amp;isFromPublicArea=True&amp;isModal=False" TargetMode="External"/><Relationship Id="rId299" Type="http://schemas.openxmlformats.org/officeDocument/2006/relationships/hyperlink" Target="https://community.secop.gov.co/Public/Tendering/ContractNoticePhases/View?PPI=CO1.PPI.30962660&amp;isFromPublicArea=True&amp;isModal=False" TargetMode="External"/><Relationship Id="rId671" Type="http://schemas.openxmlformats.org/officeDocument/2006/relationships/hyperlink" Target="https://community.secop.gov.co/Public/Tendering/ContractNoticePhases/View?PPI=CO1.PPI.35282267&amp;isFromPublicArea=True&amp;isModal=False" TargetMode="External"/><Relationship Id="rId727" Type="http://schemas.openxmlformats.org/officeDocument/2006/relationships/hyperlink" Target="https://community.secop.gov.co/Public/Tendering/ContractNoticePhases/View?PPI=CO1.PPI.36359634&amp;isFromPublicArea=True&amp;isModal=False" TargetMode="External"/><Relationship Id="rId21" Type="http://schemas.openxmlformats.org/officeDocument/2006/relationships/hyperlink" Target="https://community.secop.gov.co/Public/Tendering/ContractNoticePhases/View?PPI=CO1.PPI.29344996&amp;isFromPublicArea=True&amp;isModal=False" TargetMode="External"/><Relationship Id="rId63" Type="http://schemas.openxmlformats.org/officeDocument/2006/relationships/hyperlink" Target="https://community.secop.gov.co/Public/Tendering/ContractNoticePhases/View?PPI=CO1.PPI.29849604&amp;isFromPublicArea=True&amp;isModal=False" TargetMode="External"/><Relationship Id="rId159" Type="http://schemas.openxmlformats.org/officeDocument/2006/relationships/hyperlink" Target="https://community.secop.gov.co/Public/Tendering/ContractNoticePhases/View?PPI=CO1.PPI.30060263&amp;isFromPublicArea=True&amp;isModal=False" TargetMode="External"/><Relationship Id="rId324" Type="http://schemas.openxmlformats.org/officeDocument/2006/relationships/hyperlink" Target="https://community.secop.gov.co/Public/Tendering/ContractNoticePhases/View?PPI=CO1.PPI.32465403&amp;isFromPublicArea=True&amp;isModal=False" TargetMode="External"/><Relationship Id="rId366" Type="http://schemas.openxmlformats.org/officeDocument/2006/relationships/hyperlink" Target="https://community.secop.gov.co/Public/Tendering/ContractNoticePhases/View?PPI=CO1.PPI.32905762&amp;isFromPublicArea=True&amp;isModal=False" TargetMode="External"/><Relationship Id="rId531" Type="http://schemas.openxmlformats.org/officeDocument/2006/relationships/hyperlink" Target="https://community.secop.gov.co/Public/Tendering/ContractNoticePhases/View?PPI=CO1.PPI.33510066&amp;isFromPublicArea=True&amp;isModal=False" TargetMode="External"/><Relationship Id="rId573" Type="http://schemas.openxmlformats.org/officeDocument/2006/relationships/hyperlink" Target="https://community.secop.gov.co/Public/Tendering/ContractNoticePhases/View?PPI=CO1.PPI.34187959&amp;isFromPublicArea=True&amp;isModal=False" TargetMode="External"/><Relationship Id="rId629" Type="http://schemas.openxmlformats.org/officeDocument/2006/relationships/hyperlink" Target="https://community.secop.gov.co/Public/Tendering/ContractNoticePhases/View?PPI=CO1.PPI.34755371&amp;isFromPublicArea=True&amp;isModal=False" TargetMode="External"/><Relationship Id="rId170" Type="http://schemas.openxmlformats.org/officeDocument/2006/relationships/hyperlink" Target="https://community.secop.gov.co/Public/Tendering/ContractNoticePhases/View?PPI=CO1.PPI.30558542&amp;isFromPublicArea=True&amp;isModal=False" TargetMode="External"/><Relationship Id="rId226" Type="http://schemas.openxmlformats.org/officeDocument/2006/relationships/hyperlink" Target="https://community.secop.gov.co/Public/Tendering/ContractNoticePhases/View?PPI=CO1.PPI.30958778&amp;isFromPublicArea=True&amp;isModal=False" TargetMode="External"/><Relationship Id="rId433" Type="http://schemas.openxmlformats.org/officeDocument/2006/relationships/hyperlink" Target="https://community.secop.gov.co/Public/Tendering/ContractNo%20ticePhases/View?PPI=CO1.PPI.33514264&amp;isFromPublicArea=Tr%20ue&amp;isModal=False" TargetMode="External"/><Relationship Id="rId268" Type="http://schemas.openxmlformats.org/officeDocument/2006/relationships/hyperlink" Target="https://community.secop.gov.co/Public/Tendering/ContractNoticePhases/View?PPI=CO1.PPI.31448165&amp;isFromPublicArea=True&amp;isModal=False" TargetMode="External"/><Relationship Id="rId475" Type="http://schemas.openxmlformats.org/officeDocument/2006/relationships/hyperlink" Target="https://community.secop.gov.co/Public/Tendering/ContractNoticePhases/View?PPI=CO1.PPI.33510066&amp;isFromPublicArea=True&amp;isModal=False" TargetMode="External"/><Relationship Id="rId640" Type="http://schemas.openxmlformats.org/officeDocument/2006/relationships/hyperlink" Target="https://community.secop.gov.co/Public/Tendering/ContractNoticePhases/View?PPI=CO1.PPI.34838536&amp;isFromPublicArea=True&amp;isModal=False" TargetMode="External"/><Relationship Id="rId682" Type="http://schemas.openxmlformats.org/officeDocument/2006/relationships/hyperlink" Target="https://community.secop.gov.co/Public/Tendering/ContractNoticePhases/View?PPI=CO1.PPI.34758072&amp;isFromPublicArea=True&amp;isModal=False" TargetMode="External"/><Relationship Id="rId738" Type="http://schemas.openxmlformats.org/officeDocument/2006/relationships/hyperlink" Target="https://www.secop.gov.co/CO1ContractsManagement/Tendering/ProcurementContractEdit/View?docUniqueIdentifier=CO1.PCCNTR.4025999&amp;prevCtxUrl=https%3a%2f%2fwww.secop.gov.co%3a443%2fCO1ContractsManagement%2fTendering%2fProcurementContractManagement%2fIndex&amp;prevCtxLbl=Contratos" TargetMode="External"/><Relationship Id="rId32" Type="http://schemas.openxmlformats.org/officeDocument/2006/relationships/hyperlink" Target="https://community.secop.gov.co/Public/Tendering/ContractNoticePhases/View?PPI=CO1.PPI.29906724&amp;isFromPublicArea=True&amp;isModal=False" TargetMode="External"/><Relationship Id="rId74" Type="http://schemas.openxmlformats.org/officeDocument/2006/relationships/hyperlink" Target="https://community.secop.gov.co/Public/Tendering/ContractNoticePhases/View?PPI=CO1.PPI.29844060&amp;isFromPublicArea=True&amp;isModal=False" TargetMode="External"/><Relationship Id="rId128" Type="http://schemas.openxmlformats.org/officeDocument/2006/relationships/hyperlink" Target="https://community.secop.gov.co/Public/Tendering/ContractNoticePhases/View?PPI=CO1.PPI.29844060&amp;isFromPublicArea=True&amp;isModal=False" TargetMode="External"/><Relationship Id="rId335" Type="http://schemas.openxmlformats.org/officeDocument/2006/relationships/hyperlink" Target="https://community.secop.gov.co/Public/Tendering/ContractNoticePhases/View?PPI=CO1.PPI.32462800&amp;isFromPublicArea=True&amp;isModal=False" TargetMode="External"/><Relationship Id="rId377" Type="http://schemas.openxmlformats.org/officeDocument/2006/relationships/hyperlink" Target="https://community.secop.gov.co/Public/Tendering/ContractNoticePhases/View?PPI=CO1.PPI.32916508&amp;isFromPublicArea=True&amp;isModal=False" TargetMode="External"/><Relationship Id="rId500" Type="http://schemas.openxmlformats.org/officeDocument/2006/relationships/hyperlink" Target="https://community.secop.gov.co/Public/Tendering/ContractNo%20ticePhases/View?PPI=CO1.PPI.33510066&amp;isFromPublicArea=Tr%20ue&amp;isModal=False" TargetMode="External"/><Relationship Id="rId542" Type="http://schemas.openxmlformats.org/officeDocument/2006/relationships/hyperlink" Target="https://community.secop.gov.co/Public/Tendering/ContractNoticePhases/View?PPI=CO1.PPI.33452590&amp;isFromPublicArea=True&amp;isModal=False" TargetMode="External"/><Relationship Id="rId584" Type="http://schemas.openxmlformats.org/officeDocument/2006/relationships/hyperlink" Target="https://community.secop.gov.co/Public/Tendering/ContractNoticePhases/View?PPI=CO1.PPI.34353713&amp;isFromPublicArea=True&amp;isModal=False" TargetMode="External"/><Relationship Id="rId5" Type="http://schemas.openxmlformats.org/officeDocument/2006/relationships/hyperlink" Target="https://community.secop.gov.co/Public/Tendering/ContractNoticePhases/View?PPI=CO1.PPI.29273866&amp;isFromPublicArea=True&amp;isModal=False" TargetMode="External"/><Relationship Id="rId181" Type="http://schemas.openxmlformats.org/officeDocument/2006/relationships/hyperlink" Target="https://community.secop.gov.co/Public/Tendering/ContractNoticePhases/View?PPI=CO1.PPI.30464039&amp;isFromPublicArea=True&amp;isModal=False" TargetMode="External"/><Relationship Id="rId237" Type="http://schemas.openxmlformats.org/officeDocument/2006/relationships/hyperlink" Target="https://community.secop.gov.co/Public/Tendering/ContractNoticePhases/View?PPI=CO1.PPI.30958778&amp;isFromPublicArea=True&amp;isModal=False" TargetMode="External"/><Relationship Id="rId402" Type="http://schemas.openxmlformats.org/officeDocument/2006/relationships/hyperlink" Target="https://community.secop.gov.co/Public/Tendering/ContractNoticePhases/View?PPI=CO1.PPI.33236315&amp;isFromPublicArea=True&amp;isModal=False" TargetMode="External"/><Relationship Id="rId279" Type="http://schemas.openxmlformats.org/officeDocument/2006/relationships/hyperlink" Target="https://community.secop.gov.co/Public/Tendering/ContractNoticePhases/View?PPI=CO1.PPI.31454167&amp;isFromPublicArea=True&amp;isModal=False" TargetMode="External"/><Relationship Id="rId444" Type="http://schemas.openxmlformats.org/officeDocument/2006/relationships/hyperlink" Target="https://community.secop.gov.co/Public/Tendering/ContractNoticePhases/View?PPI=CO1.PPI.33510066&amp;isFromPublicArea=True&amp;isModal=False" TargetMode="External"/><Relationship Id="rId486" Type="http://schemas.openxmlformats.org/officeDocument/2006/relationships/hyperlink" Target="https://community.secop.gov.co/Public/Tendering/ContractNo%20ticePhases/View?PPI=CO1.PPI.33510066&amp;isFromPublicArea=Tr%20ue&amp;isModal=False" TargetMode="External"/><Relationship Id="rId651" Type="http://schemas.openxmlformats.org/officeDocument/2006/relationships/hyperlink" Target="https://community.secop.gov.co/Public/Tendering/ContractNoticePhases/View?PPI=CO1.PPI.35165386&amp;isFromPublicArea=True&amp;isModal=False" TargetMode="External"/><Relationship Id="rId693" Type="http://schemas.openxmlformats.org/officeDocument/2006/relationships/hyperlink" Target="https://community.secop.gov.co/Public/Tendering/ContractNoticePhases/View?PPI=CO1.PPI.36237619&amp;isFromPublicArea=True&amp;isModal=False" TargetMode="External"/><Relationship Id="rId707" Type="http://schemas.openxmlformats.org/officeDocument/2006/relationships/hyperlink" Target="https://community.secop.gov.co/Public/Tendering/ContractNoticePhases/View?PPI=CO1.PPI.36264277&amp;isFromPublicArea=True&amp;isModal=False" TargetMode="External"/><Relationship Id="rId43" Type="http://schemas.openxmlformats.org/officeDocument/2006/relationships/hyperlink" Target="https://community.secop.gov.co/Public/Tendering/ContractNoticePhases/View?PPI=CO1.PPI.29849604&amp;isFromPublicArea=True&amp;isModal=False" TargetMode="External"/><Relationship Id="rId139" Type="http://schemas.openxmlformats.org/officeDocument/2006/relationships/hyperlink" Target="https://community.secop.gov.co/Public/Tendering/ContractNoticePhases/View?PPI=CO1.PPI.29844060&amp;isFromPublicArea=True&amp;isModal=False" TargetMode="External"/><Relationship Id="rId290" Type="http://schemas.openxmlformats.org/officeDocument/2006/relationships/hyperlink" Target="https://community.secop.gov.co/Public/Tendering/ContractNoticePhases/View?PPI=CO1.PPI.31695943&amp;isFromPublicArea=True&amp;isModal=False" TargetMode="External"/><Relationship Id="rId304" Type="http://schemas.openxmlformats.org/officeDocument/2006/relationships/hyperlink" Target="https://community.secop.gov.co/Public/Tendering/ContractNoticePhases/View?PPI=CO1.PPI.31837338&amp;isFromPublicArea=True&amp;isModal=False" TargetMode="External"/><Relationship Id="rId346" Type="http://schemas.openxmlformats.org/officeDocument/2006/relationships/hyperlink" Target="https://community.secop.gov.co/Public/Tendering/ContractNoticePhases/View?PPI=CO1.PPI.32548244&amp;isFromPublicArea=True&amp;isModal=False" TargetMode="External"/><Relationship Id="rId388" Type="http://schemas.openxmlformats.org/officeDocument/2006/relationships/hyperlink" Target="https://community.secop.gov.co/Public/Tendering/ContractNoticePhases/View?PPI=CO1.PPI.33113518&amp;isFromPublicArea=True&amp;isModal=False" TargetMode="External"/><Relationship Id="rId511" Type="http://schemas.openxmlformats.org/officeDocument/2006/relationships/hyperlink" Target="https://community.secop.gov.co/Public/Tendering/ContractNoticePhases/View?PPI=CO1.PPI.33514264&amp;isFromPublicArea=True&amp;isModal=False" TargetMode="External"/><Relationship Id="rId553" Type="http://schemas.openxmlformats.org/officeDocument/2006/relationships/hyperlink" Target="https://community.secop.gov.co/Public/Tendering/ContractNoticePhases/View?PPI=CO1.PPI.33857469&amp;isFromPublicArea=True&amp;isModal=False" TargetMode="External"/><Relationship Id="rId609" Type="http://schemas.openxmlformats.org/officeDocument/2006/relationships/hyperlink" Target="https://community.secop.gov.co/Public/Tendering/ContractNoticePhases/View?PPI=CO1.PPI.29446487&amp;isFromPublicArea=True&amp;isModal=False" TargetMode="External"/><Relationship Id="rId85" Type="http://schemas.openxmlformats.org/officeDocument/2006/relationships/hyperlink" Target="https://community.secop.gov.co/Public/Tendering/ContractNoticePhases/View?PPI=CO1.PPI.29844060&amp;isFromPublicArea=True&amp;isModal=False" TargetMode="External"/><Relationship Id="rId150" Type="http://schemas.openxmlformats.org/officeDocument/2006/relationships/hyperlink" Target="https://community.secop.gov.co/Public/Tendering/ContractNoticePhases/View?PPI=CO1.PPI.29844060&amp;isFromPublicArea=True&amp;isModal=False" TargetMode="External"/><Relationship Id="rId192" Type="http://schemas.openxmlformats.org/officeDocument/2006/relationships/hyperlink" Target="https://community.secop.gov.co/Public/Tendering/ContractNoticePhases/View?PPI=CO1.PPI.30672041&amp;isFromPublicArea=True&amp;isModal=False" TargetMode="External"/><Relationship Id="rId206" Type="http://schemas.openxmlformats.org/officeDocument/2006/relationships/hyperlink" Target="https://community.secop.gov.co/Public/Tendering/ContractNoticePhases/View?PPI=CO1.PPI.31004137&amp;isFromPublicArea=True&amp;isModal=False" TargetMode="External"/><Relationship Id="rId413" Type="http://schemas.openxmlformats.org/officeDocument/2006/relationships/hyperlink" Target="https://community.secop.gov.co/Public/Tendering/ContractNoticePhases/View?PPI=CO1.PPI.33452158&amp;isFromPublicArea=True&amp;isModal=False" TargetMode="External"/><Relationship Id="rId595" Type="http://schemas.openxmlformats.org/officeDocument/2006/relationships/hyperlink" Target="https://community.secop.gov.co/Public/Tendering/ContractNoticePhases/View?PPI=CO1.PPI.34353713&amp;isFromPublicArea=True&amp;isModal=False" TargetMode="External"/><Relationship Id="rId248" Type="http://schemas.openxmlformats.org/officeDocument/2006/relationships/hyperlink" Target="https://community.secop.gov.co/Public/Tendering/ContractNoticePhases/View?PPI=CO1.PPI.31094414&amp;isFromPublicArea=True&amp;isModa" TargetMode="External"/><Relationship Id="rId455" Type="http://schemas.openxmlformats.org/officeDocument/2006/relationships/hyperlink" Target="https://community.secop.gov.co/Public/Tendering/ContractNo%20ticePhases/View?PPI=CO1.PPI.33514264&amp;isFromPublicArea=Tr%20ue&amp;isModal=False" TargetMode="External"/><Relationship Id="rId497" Type="http://schemas.openxmlformats.org/officeDocument/2006/relationships/hyperlink" Target="https://community.secop.gov.co/Public/Tendering/ContractNo%20ticePhases/View?PPI=CO1.PPI.33510066&amp;isFromPublicArea=Tr%20ue&amp;isModal=False" TargetMode="External"/><Relationship Id="rId620" Type="http://schemas.openxmlformats.org/officeDocument/2006/relationships/hyperlink" Target="https://community.secop.gov.co/Public/Tendering/ContractNoticePhases/View?PPI=CO1.PPI.34644126&amp;isFromPublicArea=True&amp;isModal=False" TargetMode="External"/><Relationship Id="rId662" Type="http://schemas.openxmlformats.org/officeDocument/2006/relationships/hyperlink" Target="https://community.secop.gov.co/Public/Tendering/ContractNoticePhases/View?PPI=CO1.PPI.30963284&amp;isFromPublicArea=True&amp;isModal=False" TargetMode="External"/><Relationship Id="rId718" Type="http://schemas.openxmlformats.org/officeDocument/2006/relationships/hyperlink" Target="https://community.secop.gov.co/Public/Tendering/ContractNoticePhases/ViewPPI=CO1.PPI.36238417&amp;isFromPublicArea=True&amp;isModal=False" TargetMode="External"/><Relationship Id="rId12" Type="http://schemas.openxmlformats.org/officeDocument/2006/relationships/hyperlink" Target="https://community.secop.gov.co/Public/Tendering/ContractNoticePhases/View?PPI=CO1.PPI.29401108&amp;isFromPublicArea=True&amp;isModal=False" TargetMode="External"/><Relationship Id="rId108" Type="http://schemas.openxmlformats.org/officeDocument/2006/relationships/hyperlink" Target="https://community.secop.gov.co/Public/Tendering/ContractNoticePhases/View?PPI=CO1.PPI.29844060&amp;isFromPublicArea=True&amp;isModal=False" TargetMode="External"/><Relationship Id="rId315" Type="http://schemas.openxmlformats.org/officeDocument/2006/relationships/hyperlink" Target="https://community.secop.gov.co/Public/Tendering/ContractNoticePhases/View?PPI=CO1.PPI.31520054&amp;isFromPublicArea=True&amp;isModal=False" TargetMode="External"/><Relationship Id="rId357" Type="http://schemas.openxmlformats.org/officeDocument/2006/relationships/hyperlink" Target="https://community.secop.gov.co/Public/Tendering/ContractNoticePhases/View?PPI=CO1.PPI.32638565&amp;isFromPublicArea=True&amp;isModal=False" TargetMode="External"/><Relationship Id="rId522" Type="http://schemas.openxmlformats.org/officeDocument/2006/relationships/hyperlink" Target="https://community.secop.gov.co/Public/Tendering/ContractNoticePhases/View?PPI=CO1.PPI.33510066&amp;isFromPublicArea=True&amp;isModal=False" TargetMode="External"/><Relationship Id="rId54" Type="http://schemas.openxmlformats.org/officeDocument/2006/relationships/hyperlink" Target="https://community.secop.gov.co/Public/Tendering/ContractNoticePhases/View?PPI=CO1.PPI.29849604&amp;isFromPublicArea=True&amp;isModal=False" TargetMode="External"/><Relationship Id="rId96" Type="http://schemas.openxmlformats.org/officeDocument/2006/relationships/hyperlink" Target="https://community.secop.gov.co/Public/Tendering/ContractNoticePhases/View?PPI=CO1.PPI.29844060&amp;isFromPublicArea=True&amp;isModal=False" TargetMode="External"/><Relationship Id="rId161" Type="http://schemas.openxmlformats.org/officeDocument/2006/relationships/hyperlink" Target="https://community.secop.gov.co/Public/Tendering/ContractNoticePhases/View?PPI=CO1.PPI.30070787&amp;isFromPublicArea=True&amp;isModal=False" TargetMode="External"/><Relationship Id="rId217" Type="http://schemas.openxmlformats.org/officeDocument/2006/relationships/hyperlink" Target="https://community.secop.gov.co/Public/Tendering/ContractNoticePhases/View?PPI=CO1.PPI.31032535&amp;isFromPublicArea=True&amp;isModal=False" TargetMode="External"/><Relationship Id="rId399" Type="http://schemas.openxmlformats.org/officeDocument/2006/relationships/hyperlink" Target="https://community.secop.gov.co/Public/Tendering/ContractNoticePhases/View?PPI=CO1.PPI.33207058&amp;isFromPublicArea=True&amp;isModal=False" TargetMode="External"/><Relationship Id="rId564" Type="http://schemas.openxmlformats.org/officeDocument/2006/relationships/hyperlink" Target="https://community.secop.gov.co/Public/Tendering/ContractNoticePhases/View?PPI=CO1.PPI.34052201&amp;isFromPublicArea=True&amp;isModal=False" TargetMode="External"/><Relationship Id="rId259" Type="http://schemas.openxmlformats.org/officeDocument/2006/relationships/hyperlink" Target="https://community.secop.gov.co/Public/Tendering/ContractNoticePhases/View?PPI=CO1.PPI.31248416&amp;isFromPublicArea=True&amp;isModal=False" TargetMode="External"/><Relationship Id="rId424" Type="http://schemas.openxmlformats.org/officeDocument/2006/relationships/hyperlink" Target="https://community.secop.gov.co/Public/Tendering/ContractNoticePhases/View?PPI=CO1.PPI.33514264&amp;isFromPublicArea=True&amp;isModal=False" TargetMode="External"/><Relationship Id="rId466" Type="http://schemas.openxmlformats.org/officeDocument/2006/relationships/hyperlink" Target="https://community.secop.gov.co/Public/Tendering/ContractNo%20ticePhases/View?PPI=CO1.PPI.33510066&amp;isFromPublicArea=Tr%20ue&amp;isModal=False" TargetMode="External"/><Relationship Id="rId631" Type="http://schemas.openxmlformats.org/officeDocument/2006/relationships/hyperlink" Target="https://community.secop.gov.co/Public/Tendering/ContractNoticePhases/View?PPI=CO1.PPI.34747080&amp;isFromPublicArea=True&amp;isModal=False" TargetMode="External"/><Relationship Id="rId673" Type="http://schemas.openxmlformats.org/officeDocument/2006/relationships/hyperlink" Target="https://community.secop.gov.co/Public/Tendering/ContractNoticePhases/View?PPI=CO1.PPI.35268948&amp;isFromPublicArea=True&amp;isModal=False" TargetMode="External"/><Relationship Id="rId729" Type="http://schemas.openxmlformats.org/officeDocument/2006/relationships/hyperlink" Target="https://community.secop.gov.co/Public/Tendering/ContractNoticePhases/View?PPI=CO1.PPI.36356456&amp;isFromPublicArea=True&amp;isModal=False" TargetMode="External"/><Relationship Id="rId23" Type="http://schemas.openxmlformats.org/officeDocument/2006/relationships/hyperlink" Target="https://community.secop.gov.co/Public/Tendering/ContractNoticePhases/View?PPI=CO1.PPI.29359311&amp;isFromPublicArea=True&amp;isModal=False" TargetMode="External"/><Relationship Id="rId119" Type="http://schemas.openxmlformats.org/officeDocument/2006/relationships/hyperlink" Target="https://community.secop.gov.co/Public/Tendering/ContractNoticePhases/View?PPI=CO1.PPI.29844060&amp;isFromPublicArea=True&amp;isModal=False" TargetMode="External"/><Relationship Id="rId270" Type="http://schemas.openxmlformats.org/officeDocument/2006/relationships/hyperlink" Target="https://community.secop.gov.co/Public/Tendering/ContractNoticePhases/View?PPI=CO1.PPI.31422438&amp;isFromPublicArea=True&amp;isModal=False" TargetMode="External"/><Relationship Id="rId326" Type="http://schemas.openxmlformats.org/officeDocument/2006/relationships/hyperlink" Target="https://community.secop.gov.co/Public/Tendering/ContractNoticePhases/View?PPI=CO1.PPI.32435246&amp;isFromPublicArea=True&amp;isModal=False" TargetMode="External"/><Relationship Id="rId533" Type="http://schemas.openxmlformats.org/officeDocument/2006/relationships/hyperlink" Target="https://community.secop.gov.co/Public/Tendering/ContractNo%20ticePhases/View?PPI=CO1.PPI.33510066&amp;isFromPublicArea=Tr%20ue&amp;isModal=False" TargetMode="External"/><Relationship Id="rId65" Type="http://schemas.openxmlformats.org/officeDocument/2006/relationships/hyperlink" Target="https://community.secop.gov.co/Public/Tendering/ContractNoticePhases/View?PPI=CO1.PPI.29849604&amp;isFromPublicArea=True&amp;isModal=False" TargetMode="External"/><Relationship Id="rId130" Type="http://schemas.openxmlformats.org/officeDocument/2006/relationships/hyperlink" Target="https://community.secop.gov.co/Public/Tendering/ContractNoticePhases/View?PPI=CO1.PPI.29844060&amp;isFromPublicArea=True&amp;isModal=False" TargetMode="External"/><Relationship Id="rId368" Type="http://schemas.openxmlformats.org/officeDocument/2006/relationships/hyperlink" Target="https://community.secop.gov.co/Public/Tendering/ContractNoticePhases/View?PPI=CO1.PPI.32905762&amp;isFromPublicArea=True&amp;isModal=False" TargetMode="External"/><Relationship Id="rId575" Type="http://schemas.openxmlformats.org/officeDocument/2006/relationships/hyperlink" Target="https://community.secop.gov.co/Public/Tendering/ContractNoticePhases/View?PPI=CO1.PPI.34315448&amp;isFromPublicArea=True&amp;isModal=False" TargetMode="External"/><Relationship Id="rId740" Type="http://schemas.openxmlformats.org/officeDocument/2006/relationships/hyperlink" Target="https://www.secop.gov.co/CO1ContractsManagement/Tendering/ProcurementContractEdit/View?docUniqueIdentifier=CO1.PCCNTR.3942093&amp;prevCtxUrl=https%3a%2f%2fwww.secop.gov.co%3a443%2fCO1ContractsManagement%2fTendering%2fProcurementContractManagement%2fIndex&amp;prevCtxLbl=Contratos" TargetMode="External"/><Relationship Id="rId172" Type="http://schemas.openxmlformats.org/officeDocument/2006/relationships/hyperlink" Target="https://community.secop.gov.co/Public/Tendering/ContractNoticePhases/View?PPI=CO1.PPI.30464039&amp;isFromPublicArea=True&amp;isModal=False" TargetMode="External"/><Relationship Id="rId228" Type="http://schemas.openxmlformats.org/officeDocument/2006/relationships/hyperlink" Target="https://community.secop.gov.co/Public/Tendering/ContractNoticePhases/View?PPI=CO1.PPI.30958778&amp;isFromPublicArea=True&amp;isModal=False" TargetMode="External"/><Relationship Id="rId435" Type="http://schemas.openxmlformats.org/officeDocument/2006/relationships/hyperlink" Target="https://community.secop.gov.co/Public/Tendering/ContractNo%20ticePhases/View?PPI=CO1.PPI.33514264&amp;isFromPublicArea=Tr%20ue&amp;isModal=False" TargetMode="External"/><Relationship Id="rId477" Type="http://schemas.openxmlformats.org/officeDocument/2006/relationships/hyperlink" Target="https://community.secop.gov.co/Public/Tendering/ContractNo%20ticePhases/View?PPI=CO1.PPI.33510066&amp;isFromPublicArea=Tr%20ue&amp;isModal=False" TargetMode="External"/><Relationship Id="rId600" Type="http://schemas.openxmlformats.org/officeDocument/2006/relationships/hyperlink" Target="https://community.secop.gov.co/Public/Tendering/ContractNoticePhases/View?PPI=CO1.PPI.34353713&amp;isFromPublicArea=True&amp;isModal=False" TargetMode="External"/><Relationship Id="rId642" Type="http://schemas.openxmlformats.org/officeDocument/2006/relationships/hyperlink" Target="https://community.secop.gov.co/Public/Tendering/ContractNoticePhases/View?PPI=CO1.PPI.34837304&amp;isFromPublicArea=True&amp;isModal=False" TargetMode="External"/><Relationship Id="rId684" Type="http://schemas.openxmlformats.org/officeDocument/2006/relationships/hyperlink" Target="https://community.secop.gov.co/Public/Tendering/ContractNoticePhases/View?PPI=CO1.PPI.35958526&amp;isFromPublicArea=True&amp;isModal=False" TargetMode="External"/><Relationship Id="rId281" Type="http://schemas.openxmlformats.org/officeDocument/2006/relationships/hyperlink" Target="https://community.secop.gov.co/Public/Tendering/ContractNoticePhases/View?PPI=CO1.PPI.31451596&amp;isFromPublicArea=True&amp;isModal=False" TargetMode="External"/><Relationship Id="rId337" Type="http://schemas.openxmlformats.org/officeDocument/2006/relationships/hyperlink" Target="https://community.secop.gov.co/Public/Tendering/ContractNoticePhases/View?PPI=CO1.PPI.32462800&amp;isFromPublicArea=True&amp;isModal=False" TargetMode="External"/><Relationship Id="rId502" Type="http://schemas.openxmlformats.org/officeDocument/2006/relationships/hyperlink" Target="https://community.secop.gov.co/Public/Tendering/ContractNoticePhases/View?PPI=CO1.PPI.33510066&amp;isFromPublicArea=True&amp;isModal=False" TargetMode="External"/><Relationship Id="rId34" Type="http://schemas.openxmlformats.org/officeDocument/2006/relationships/hyperlink" Target="https://community.secop.gov.co/Public/Tendering/ContractNoticePhases/View?PPI=CO1.PPI.29849604&amp;isFromPublicArea" TargetMode="External"/><Relationship Id="rId76" Type="http://schemas.openxmlformats.org/officeDocument/2006/relationships/hyperlink" Target="https://community.secop.gov.co/Public/Tendering/ContractNoticePhases/View?PPI=CO1.PPI.29844060&amp;isFromPublicArea=True&amp;isModal=False" TargetMode="External"/><Relationship Id="rId141" Type="http://schemas.openxmlformats.org/officeDocument/2006/relationships/hyperlink" Target="https://community.secop.gov.co/Public/Tendering/ContractNoticePhases/View?PPI=CO1.PPI.29844060&amp;isFromPublicArea=True&amp;isModal=False" TargetMode="External"/><Relationship Id="rId379" Type="http://schemas.openxmlformats.org/officeDocument/2006/relationships/hyperlink" Target="https://community.secop.gov.co/Public/Tendering/ContractNoticePhases/View?PPI=CO1.PPI.33022643&amp;isFromPublicArea=True&amp;isModal=False" TargetMode="External"/><Relationship Id="rId544" Type="http://schemas.openxmlformats.org/officeDocument/2006/relationships/hyperlink" Target="https://community.secop.gov.co/Public/Tendering/ContractNoticePhases/View?PPI=CO1.PPI.33479639&amp;isFromPublicArea=True&amp;isModal=False" TargetMode="External"/><Relationship Id="rId586" Type="http://schemas.openxmlformats.org/officeDocument/2006/relationships/hyperlink" Target="https://community.secop.gov.co/Public/Tendering/ContractNoticePhases/View?PPI=CO1.PPI.34353713&amp;isFromPublicArea=True&amp;isModal=False" TargetMode="External"/><Relationship Id="rId7" Type="http://schemas.openxmlformats.org/officeDocument/2006/relationships/hyperlink" Target="https://community.secop.gov.co/Public/Tendering/ContractNoticePhases/View?PPI=CO1.PPI.29273408&amp;isFromPublicArea" TargetMode="External"/><Relationship Id="rId183" Type="http://schemas.openxmlformats.org/officeDocument/2006/relationships/hyperlink" Target="https://community.secop.gov.co/Public/Tendering/ContractNoticePhases/View?PPI=CO1.PPI.30464039&amp;isFromPublicArea=True&amp;isModal=False" TargetMode="External"/><Relationship Id="rId239" Type="http://schemas.openxmlformats.org/officeDocument/2006/relationships/hyperlink" Target="https://community.secop.gov.co/Public/Tendering/ContractNoticePhases/View?PPI=CO1.PPI.31018351&amp;isFromPublicArea=True&amp;isModal=False" TargetMode="External"/><Relationship Id="rId390" Type="http://schemas.openxmlformats.org/officeDocument/2006/relationships/hyperlink" Target="https://community.secop.gov.co/Public/Tendering/ContractNoticePhases/View?PPI=CO1.PPI.33019536&amp;isFromPublicArea=True&amp;isModal=False" TargetMode="External"/><Relationship Id="rId404" Type="http://schemas.openxmlformats.org/officeDocument/2006/relationships/hyperlink" Target="https://community.secop.gov.co/Public/Tendering/ContractNoticePhases/View?PPI=CO1.PPI.33378524&amp;isFromPublicArea=True&amp;isModal=False" TargetMode="External"/><Relationship Id="rId446" Type="http://schemas.openxmlformats.org/officeDocument/2006/relationships/hyperlink" Target="https://community.secop.gov.co/Public/Tendering/ContractNoticePhases/View?PPI=CO1.PPI.33514264&amp;isFromPublicArea=True&amp;isModal=False" TargetMode="External"/><Relationship Id="rId611" Type="http://schemas.openxmlformats.org/officeDocument/2006/relationships/hyperlink" Target="https://community.secop.gov.co/Public/Tendering/ContractNoticePhases/View?PPI=CO1.PPI.34264614&amp;isFromPublicArea=True&amp;isModal=False" TargetMode="External"/><Relationship Id="rId653" Type="http://schemas.openxmlformats.org/officeDocument/2006/relationships/hyperlink" Target="https://community.secop.gov.co/Public/Tendering/ContractNoticePhases/View?PPI=CO1.PPI.35105406&amp;isFromPublicArea=True&amp;isModal=False" TargetMode="External"/><Relationship Id="rId250" Type="http://schemas.openxmlformats.org/officeDocument/2006/relationships/hyperlink" Target="https://community.secop.gov.co/Public/Tendering/ContractNoticePhases/View?PPI=CO1.PPI.31390324&amp;isFromPublicArea=True&amp;isModal=False" TargetMode="External"/><Relationship Id="rId292" Type="http://schemas.openxmlformats.org/officeDocument/2006/relationships/hyperlink" Target="https://community.secop.gov.co/Public/Tendering/ContractNoticePhases/View?PPI=CO1.PPI.31695943&amp;isFromPublicArea=True&amp;isModal=False" TargetMode="External"/><Relationship Id="rId306" Type="http://schemas.openxmlformats.org/officeDocument/2006/relationships/hyperlink" Target="https://community.secop.gov.co/Public/Tendering/ContractNoticePhases/View?PPI=CO1.PPI.31854842&amp;isFromPublicArea=True&amp;isModal=False" TargetMode="External"/><Relationship Id="rId488" Type="http://schemas.openxmlformats.org/officeDocument/2006/relationships/hyperlink" Target="https://community.secop.gov.co/Public/Tendering/ContractNoticePhases/View?PPI=CO1.PPI.33510066&amp;isFromPublicArea=True&amp;isModal=False" TargetMode="External"/><Relationship Id="rId695" Type="http://schemas.openxmlformats.org/officeDocument/2006/relationships/hyperlink" Target="https://community.secop.gov.co/Public/Tendering/ContractNoticePhases/View?PPI=CO1.PPI.35731406&amp;isFromPublicArea=True&amp;isModal=False" TargetMode="External"/><Relationship Id="rId709" Type="http://schemas.openxmlformats.org/officeDocument/2006/relationships/hyperlink" Target="https://community.secop.gov.co/Public/Tendering/ContractNoticePhases/View?PPI=CO1.PPI.36324020&amp;isFromPublicArea=True&amp;isModal=False" TargetMode="External"/><Relationship Id="rId45" Type="http://schemas.openxmlformats.org/officeDocument/2006/relationships/hyperlink" Target="https://community.secop.gov.co/Public/Tendering/ContractNoticePhases/View?PPI=CO1.PPI.29849604&amp;isFromPublicArea=True&amp;isModal=False" TargetMode="External"/><Relationship Id="rId87" Type="http://schemas.openxmlformats.org/officeDocument/2006/relationships/hyperlink" Target="https://community.secop.gov.co/Public/Tendering/ContractNoticePhases/View?PPI=CO1.PPI.29844060&amp;isFromPublicArea=True&amp;isModal=False" TargetMode="External"/><Relationship Id="rId110" Type="http://schemas.openxmlformats.org/officeDocument/2006/relationships/hyperlink" Target="https://community.secop.gov.co/Public/Tendering/ContractNoticePhases/View?PPI=CO1.PPI.29844060&amp;isFromPublicArea=True&amp;isModal=False" TargetMode="External"/><Relationship Id="rId348" Type="http://schemas.openxmlformats.org/officeDocument/2006/relationships/hyperlink" Target="https://community.secop.gov.co/Public/Tendering/ContractNoticePhases/View?PPI=CO1.PPI.32759681&amp;isFromPublicArea=True&amp;isModal=False" TargetMode="External"/><Relationship Id="rId513" Type="http://schemas.openxmlformats.org/officeDocument/2006/relationships/hyperlink" Target="https://community.secop.gov.co/Public/Tendering/ContractNo%20ticePhases/View?PPI=CO1.PPI.33510066&amp;isFromPublicArea=Tr%20ue&amp;isModal=False" TargetMode="External"/><Relationship Id="rId555" Type="http://schemas.openxmlformats.org/officeDocument/2006/relationships/hyperlink" Target="https://community.secop.gov.co/Public/Tendering/ContractNoticePhases/View?PPI=CO1.PPI.33798704&amp;isFromPublicArea=True&amp;isModal=False" TargetMode="External"/><Relationship Id="rId597" Type="http://schemas.openxmlformats.org/officeDocument/2006/relationships/hyperlink" Target="https://community.secop.gov.co/Public/Tendering/ContractNoticePhases/View?PPI=CO1.PPI.34353713&amp;isFromPublicArea=True&amp;isModal=False" TargetMode="External"/><Relationship Id="rId720" Type="http://schemas.openxmlformats.org/officeDocument/2006/relationships/hyperlink" Target="https://community.secop.gov.co/Public/Tendering/ContractNoticePhases/View?PPI=CO1.PPI.36330784&amp;isFromPublicArea=True&amp;isModal=False" TargetMode="External"/><Relationship Id="rId152" Type="http://schemas.openxmlformats.org/officeDocument/2006/relationships/hyperlink" Target="https://community.secop.gov.co/Public/Tendering/ContractNoticePhases/View?PPI=CO1.PPI.29844060&amp;isFromPublicArea=True&amp;isModal=False" TargetMode="External"/><Relationship Id="rId194" Type="http://schemas.openxmlformats.org/officeDocument/2006/relationships/hyperlink" Target="https://community.secop.gov.co/Public/Tendering/ContractNoticePhases/View?PPI=CO1.PPI.30840667&amp;isFromPublicArea=True&amp;isModal=False" TargetMode="External"/><Relationship Id="rId208" Type="http://schemas.openxmlformats.org/officeDocument/2006/relationships/hyperlink" Target="https://community.secop.gov.co/Public/Tendering/ContractNoticePhases/View?PPI=CO1.PPI.30958778&amp;isFromPublicArea=True&amp;isModal=False" TargetMode="External"/><Relationship Id="rId415" Type="http://schemas.openxmlformats.org/officeDocument/2006/relationships/hyperlink" Target="https://community.secop.gov.co/Public/Tendering/ContractNoticePhases/View?PPI=CO1.PPI.33483625&amp;isFromPublicArea=True&amp;isModal=False" TargetMode="External"/><Relationship Id="rId457" Type="http://schemas.openxmlformats.org/officeDocument/2006/relationships/hyperlink" Target="https://community.secop.gov.co/Public/Tendering/ContractNo%20ticePhases/View?PPI=CO1.PPI.33510066&amp;isFromPublicArea=Tr%20ue&amp;isModal=False" TargetMode="External"/><Relationship Id="rId622" Type="http://schemas.openxmlformats.org/officeDocument/2006/relationships/hyperlink" Target="https://community.secop.gov.co/Public/Tendering/ContractNoticePhases/View?PPI=CO1.PPI.34545958&amp;isFromPublicArea=True&amp;isModal=False" TargetMode="External"/><Relationship Id="rId261" Type="http://schemas.openxmlformats.org/officeDocument/2006/relationships/hyperlink" Target="https://community.secop.gov.co/Public/Tendering/ContractNoticePhases/View?PPI=CO1.PPI.31270029&amp;isFromPublicArea=True&amp;isModal=False" TargetMode="External"/><Relationship Id="rId499" Type="http://schemas.openxmlformats.org/officeDocument/2006/relationships/hyperlink" Target="https://community.secop.gov.co/Public/Tendering/ContractNoticePhases/View?PPI=CO1.PPI.33510066&amp;isFromPublicArea=True&amp;isModal=False" TargetMode="External"/><Relationship Id="rId664" Type="http://schemas.openxmlformats.org/officeDocument/2006/relationships/hyperlink" Target="https://community.secop.gov.co/Public/Tendering/ContractNoticePhases/View?PPI=CO1.PPI.31478142&amp;isFromPublicArea=True&amp;isModal=False" TargetMode="External"/><Relationship Id="rId14" Type="http://schemas.openxmlformats.org/officeDocument/2006/relationships/hyperlink" Target="https://community.secop.gov.co/Public/Tendering/ContractNoticePhases/View?PPI=CO1.PPI.29363339&amp;isFromPublicArea=True&amp;isModal=False" TargetMode="External"/><Relationship Id="rId56" Type="http://schemas.openxmlformats.org/officeDocument/2006/relationships/hyperlink" Target="https://community.secop.gov.co/Public/Tendering/ContractNoticePhases/View?PPI=CO1.PPI.29849604&amp;isFromPublicArea=True&amp;isModal=False" TargetMode="External"/><Relationship Id="rId317" Type="http://schemas.openxmlformats.org/officeDocument/2006/relationships/hyperlink" Target="https://community.secop.gov.co/Public/Tendering/ContractNoticePhases/View?PPI=CO1.PPI.32006686&amp;isFromPublicArea=True&amp;isModal=False" TargetMode="External"/><Relationship Id="rId359" Type="http://schemas.openxmlformats.org/officeDocument/2006/relationships/hyperlink" Target="https://community.secop.gov.co/Public/Tendering/ContractNoticePhases/View?PPI=CO1.PPI.32905187&amp;isFromPublicArea=True&amp;isModal=False" TargetMode="External"/><Relationship Id="rId524" Type="http://schemas.openxmlformats.org/officeDocument/2006/relationships/hyperlink" Target="https://community.secop.gov.co/Public/Tendering/ContractNo%20ticePhases/View?PPI=CO1.PPI.33510066&amp;isFromPublicArea=Tr%20ue&amp;isModal=False" TargetMode="External"/><Relationship Id="rId566" Type="http://schemas.openxmlformats.org/officeDocument/2006/relationships/hyperlink" Target="https://community.secop.gov.co/Public/Tendering/ContractNoticePhases/View?PPI=CO1.PPI.34118776&amp;isFromPublicArea=True&amp;isModal=False" TargetMode="External"/><Relationship Id="rId731" Type="http://schemas.openxmlformats.org/officeDocument/2006/relationships/hyperlink" Target="https://community.secop.gov.co/Public/Tendering/ContractNoticePhases/View?PPI=CO1.PPI.36359057&amp;isFromPublicArea=True&amp;isModal=False" TargetMode="External"/><Relationship Id="rId98" Type="http://schemas.openxmlformats.org/officeDocument/2006/relationships/hyperlink" Target="https://community.secop.gov.co/Public/Tendering/ContractNoticePhases/View?PPI=CO1.PPI.29844060&amp;isFromPublicArea=True&amp;isModal=False" TargetMode="External"/><Relationship Id="rId121" Type="http://schemas.openxmlformats.org/officeDocument/2006/relationships/hyperlink" Target="https://community.secop.gov.co/Public/Tendering/ContractNoticePhases/View?PPI=CO1.PPI.29844060&amp;isFromPublicArea=True&amp;isModal=False" TargetMode="External"/><Relationship Id="rId163" Type="http://schemas.openxmlformats.org/officeDocument/2006/relationships/hyperlink" Target="https://community.secop.gov.co/Public/Tendering/ContractNoticePhases/View?PPI=CO1.PPI.30084179&amp;isFromPublicArea=True&amp;isModal=False" TargetMode="External"/><Relationship Id="rId219" Type="http://schemas.openxmlformats.org/officeDocument/2006/relationships/hyperlink" Target="https://community.secop.gov.co/Public/Tendering/ContractNoticePhases/View?PPI=CO1.PPI.31104239&amp;isFromPublicArea=True&amp;isModal=False" TargetMode="External"/><Relationship Id="rId370" Type="http://schemas.openxmlformats.org/officeDocument/2006/relationships/hyperlink" Target="https://community.secop.gov.co/Public/Tendering/ContractNoticePhases/View?PPI=CO1.PPI.32905762&amp;isFromPublicArea=True&amp;isModal=False" TargetMode="External"/><Relationship Id="rId426" Type="http://schemas.openxmlformats.org/officeDocument/2006/relationships/hyperlink" Target="https://community.secop.gov.co/Public/Tendering/ContractNoticePhases/View?PPI=CO1.PPI.33514264&amp;isFromPublicArea=True&amp;isModal=False" TargetMode="External"/><Relationship Id="rId633" Type="http://schemas.openxmlformats.org/officeDocument/2006/relationships/hyperlink" Target="https://community.secop.gov.co/Public/Tendering/ContractNoticePhases/View?PPI=CO1.PPI.34731990&amp;isFromPublicArea=True&amp;isModal=False" TargetMode="External"/><Relationship Id="rId230" Type="http://schemas.openxmlformats.org/officeDocument/2006/relationships/hyperlink" Target="https://community.secop.gov.co/Public/Tendering/ContractNoticePhases/View?PPI=CO1.PPI.30958778&amp;isFromPublicArea=True&amp;isModal=False" TargetMode="External"/><Relationship Id="rId468" Type="http://schemas.openxmlformats.org/officeDocument/2006/relationships/hyperlink" Target="https://community.secop.gov.co/Public/Tendering/ContractNo%20ticePhases/View?PPI=CO1.PPI.33514264&amp;isFromPublicArea=Tr%20ue&amp;isModal=False" TargetMode="External"/><Relationship Id="rId675" Type="http://schemas.openxmlformats.org/officeDocument/2006/relationships/hyperlink" Target="https://community.secop.gov.co/Public/Tendering/ContractNoticePhases/View?PPI=CO1.PPI.35478213&amp;isFromPublicArea=True&amp;isModal=False" TargetMode="External"/><Relationship Id="rId25" Type="http://schemas.openxmlformats.org/officeDocument/2006/relationships/hyperlink" Target="https://community.secop.gov.co/Public/Tendering/ContractNoticePhases/View?PPI=CO1.PPI.29446956&amp;isFromPublicArea=True&amp;isModal=False" TargetMode="External"/><Relationship Id="rId67" Type="http://schemas.openxmlformats.org/officeDocument/2006/relationships/hyperlink" Target="https://community.secop.gov.co/Public/Tendering/ContractNoticePhases/View?PPI=CO1.PPI.29849604&amp;isFromPublicArea=True&amp;isModal=False" TargetMode="External"/><Relationship Id="rId272" Type="http://schemas.openxmlformats.org/officeDocument/2006/relationships/hyperlink" Target="https://community.secop.gov.co/Public/Tendering/ContractNoticePhases/View?PPI=CO1.PPI.31338073&amp;isFromPublicArea=True&amp;isModal=False" TargetMode="External"/><Relationship Id="rId328" Type="http://schemas.openxmlformats.org/officeDocument/2006/relationships/hyperlink" Target="https://community.secop.gov.co/Public/Tendering/ContractNoticePhases/View?PPI=CO1.PPI.32415079&amp;isFromPublicArea=True&amp;isModal=False" TargetMode="External"/><Relationship Id="rId535" Type="http://schemas.openxmlformats.org/officeDocument/2006/relationships/hyperlink" Target="https://community.secop.gov.co/Public/Tendering/ContractNoticePhases/View?PPI=CO1.PPI.33510066&amp;isFromPublicArea=True&amp;isModal=False" TargetMode="External"/><Relationship Id="rId577" Type="http://schemas.openxmlformats.org/officeDocument/2006/relationships/hyperlink" Target="https://community.secop.gov.co/Public/Tendering/ContractNoticePhases/View?PPI=CO1.PPI.34187465&amp;isFromPublicArea=True&amp;isModal=False" TargetMode="External"/><Relationship Id="rId700" Type="http://schemas.openxmlformats.org/officeDocument/2006/relationships/hyperlink" Target="https://www.colombiacompra.gov.co/tienda-virtual-del-estado-colombiano/ordenes-compra/140140" TargetMode="External"/><Relationship Id="rId742" Type="http://schemas.openxmlformats.org/officeDocument/2006/relationships/hyperlink" Target="https://www.secop.gov.co/CO1ContractsManagement/Tendering/ProcurementContractEdit/View?docUniqueIdentifier=CO1.PCCNTR.5685302&amp;prevCtxUrl=https%3a%2f%2fwww.secop.gov.co%3a443%2fCO1ContractsManagement%2fTendering%2fProcurementContractManagement%2fIndex&amp;prevCtxLbl=Contratos" TargetMode="External"/><Relationship Id="rId132" Type="http://schemas.openxmlformats.org/officeDocument/2006/relationships/hyperlink" Target="https://community.secop.gov.co/Public/Tendering/ContractNoticePhases/View?PPI=CO1.PPI.29844060&amp;isFromPublicArea=True&amp;isModal=False" TargetMode="External"/><Relationship Id="rId174" Type="http://schemas.openxmlformats.org/officeDocument/2006/relationships/hyperlink" Target="https://community.secop.gov.co/Public/Tendering/ContractNoticePhases/View?PPI=CO1.PPI.30464039&amp;isFromPublicArea=True&amp;isModal=False" TargetMode="External"/><Relationship Id="rId381" Type="http://schemas.openxmlformats.org/officeDocument/2006/relationships/hyperlink" Target="https://community.secop.gov.co/Public/Tendering/ContractNoticePhases/View?PPI=CO1.PPI.33020055&amp;isFromPublicArea=True&amp;isModal=False" TargetMode="External"/><Relationship Id="rId602" Type="http://schemas.openxmlformats.org/officeDocument/2006/relationships/hyperlink" Target="https://community.secop.gov.co/Public/Tendering/ContractNoticePhases/View?PPI=CO1.PPI.33514264&amp;isFromPublicArea=True&amp;isModal=False" TargetMode="External"/><Relationship Id="rId241" Type="http://schemas.openxmlformats.org/officeDocument/2006/relationships/hyperlink" Target="https://community.secop.gov.co/Public/Tendering/ContractNoticePhases/View?PPI=CO1.PPI.31150120&amp;isFromPublicArea=True&amp;isModal=False" TargetMode="External"/><Relationship Id="rId437" Type="http://schemas.openxmlformats.org/officeDocument/2006/relationships/hyperlink" Target="https://community.secop.gov.co/Public/Tendering/ContractNohttps:/community.secop.gov.co/Public/Tendering/ContractNoticePhases/View?PPI=CO1.PPI.33510066&amp;isFromPublicArea=True&amp;isModal=False" TargetMode="External"/><Relationship Id="rId479" Type="http://schemas.openxmlformats.org/officeDocument/2006/relationships/hyperlink" Target="https://community.secop.gov.co/Public/Tendering/ContractNo%20ticePhases/View?PPI=CO1.PPI.33510066&amp;isFromPublicArea=Tr%20ue&amp;isModal=False" TargetMode="External"/><Relationship Id="rId644" Type="http://schemas.openxmlformats.org/officeDocument/2006/relationships/hyperlink" Target="https://community.secop.gov.co/Public/Tendering/ContractNoticePhases/View?PPI=CO1.PPI.34930435&amp;isFromPublicArea=True&amp;isModal=False" TargetMode="External"/><Relationship Id="rId686" Type="http://schemas.openxmlformats.org/officeDocument/2006/relationships/hyperlink" Target="https://community.secop.gov.co/Public/Tendering/ContractNoticePhases/View?PPI=CO1.PPI.35955666&amp;isFromPublicArea=True&amp;isModal=False" TargetMode="External"/><Relationship Id="rId36" Type="http://schemas.openxmlformats.org/officeDocument/2006/relationships/hyperlink" Target="https://community.secop.gov.co/Public/Tendering/ContractNoticePhases/View?PPI=CO1.PPI.29849604&amp;isFromPublicArea" TargetMode="External"/><Relationship Id="rId283" Type="http://schemas.openxmlformats.org/officeDocument/2006/relationships/hyperlink" Target="https://community.secop.gov.co/Public/Tendering/ContractNoticePhases/View?PPI=CO1.PPI.31478142&amp;isFromPublicArea=True&amp;isModal=False" TargetMode="External"/><Relationship Id="rId339" Type="http://schemas.openxmlformats.org/officeDocument/2006/relationships/hyperlink" Target="https://community.secop.gov.co/Public/Tendering/ContractNoticePhases/View?PPI=CO1.PPI.32462800&amp;isFromPublicArea=True&amp;isModal=False" TargetMode="External"/><Relationship Id="rId490" Type="http://schemas.openxmlformats.org/officeDocument/2006/relationships/hyperlink" Target="https://community.secop.gov.co/Public/Tendering/ContractNo%20ticePhases/View?PPI=CO1.PPI.33514264&amp;isFromPublicArea=Tr%20ue&amp;isModal=False" TargetMode="External"/><Relationship Id="rId504" Type="http://schemas.openxmlformats.org/officeDocument/2006/relationships/hyperlink" Target="https://community.secop.gov.co/Public/Tendering/ContractNo%20ticePhases/View?PPI=CO1.PPI.33510066&amp;isFromPublicArea=Tr%20%20ticePhases/View?PPI=CO1.PPI.33510066&amp;isFromPublicArea=Tr" TargetMode="External"/><Relationship Id="rId546" Type="http://schemas.openxmlformats.org/officeDocument/2006/relationships/hyperlink" Target="https://community.secop.gov.co/Public/Tendering/ContractNoticePhases/View?PPI=CO1.PPI.33340239&amp;isFromPublicArea=True&amp;isModal=False" TargetMode="External"/><Relationship Id="rId711" Type="http://schemas.openxmlformats.org/officeDocument/2006/relationships/hyperlink" Target="https://community.secop.gov.co/Public/Tendering/ContractNoticePhases/View?PPI=CO1.PPI.36220936&amp;isFromPublicArea=True&amp;isModal=False" TargetMode="External"/><Relationship Id="rId78" Type="http://schemas.openxmlformats.org/officeDocument/2006/relationships/hyperlink" Target="https://community.secop.gov.co/Public/Tendering/ContractNoticePhases/View?PPI=CO1.PPI.29844060&amp;isFromPublicArea=True&amp;isModal=False" TargetMode="External"/><Relationship Id="rId101" Type="http://schemas.openxmlformats.org/officeDocument/2006/relationships/hyperlink" Target="https://community.secop.gov.co/Public/Tendering/ContractNoticePhases/View?PPI=CO1.PPI.29844060&amp;isFromPublicArea=True&amp;isModal=False" TargetMode="External"/><Relationship Id="rId143" Type="http://schemas.openxmlformats.org/officeDocument/2006/relationships/hyperlink" Target="https://community.secop.gov.co/Public/Tendering/ContractNoticePhases/View?PPI=CO1.PPI.29844060&amp;isFromPublicArea=True&amp;isModal=False" TargetMode="External"/><Relationship Id="rId185" Type="http://schemas.openxmlformats.org/officeDocument/2006/relationships/hyperlink" Target="https://community.secop.gov.co/Public/Tendering/ContractNoticePhases/View?PPI=CO1.PPI.30464039&amp;isFromPublicArea=True&amp;isModal=False" TargetMode="External"/><Relationship Id="rId350" Type="http://schemas.openxmlformats.org/officeDocument/2006/relationships/hyperlink" Target="https://community.secop.gov.co/Public/Tendering/ContractNoticePhases/View?PPI=CO1.PPI.32754038&amp;isFromPublicArea=True&amp;isModal=False" TargetMode="External"/><Relationship Id="rId406" Type="http://schemas.openxmlformats.org/officeDocument/2006/relationships/hyperlink" Target="https://community.secop.gov.co/Public/Tendering/ContractNoticePhases/View?PPI=CO1.PPI.33205929&amp;isFromPublicArea=True&amp;isModal=False" TargetMode="External"/><Relationship Id="rId588" Type="http://schemas.openxmlformats.org/officeDocument/2006/relationships/hyperlink" Target="https://community.secop.gov.co/Public/Tendering/ContractNoticePhases/View?PPI=CO1.PPI.34353713&amp;isFromPublicArea=True&amp;isModal=False" TargetMode="External"/><Relationship Id="rId9" Type="http://schemas.openxmlformats.org/officeDocument/2006/relationships/hyperlink" Target="https://community.secop.gov.co/Public/Tendering/ContractNoticePhases/View?PPI=CO1.PPI.29286435&amp;isFromPublicArea=True&amp;isModal=False" TargetMode="External"/><Relationship Id="rId210" Type="http://schemas.openxmlformats.org/officeDocument/2006/relationships/hyperlink" Target="https://community.secop.gov.co/Public/Tendering/ContractNoticePhases/View?PPI=CO1.PPI.30958778&amp;isFromPublicArea=True&amp;isModal=False" TargetMode="External"/><Relationship Id="rId392" Type="http://schemas.openxmlformats.org/officeDocument/2006/relationships/hyperlink" Target="https://community.secop.gov.co/Public/Tendering/ContractNoticePhases/View?PPI=CO1.PPI.33145543&amp;isFromPublicArea=True&amp;isModal=False" TargetMode="External"/><Relationship Id="rId448" Type="http://schemas.openxmlformats.org/officeDocument/2006/relationships/hyperlink" Target="https://community.secop.gov.co/Public/Tendering/ContractNoticePhases/View?PPI=CO1.PPI.33510066&amp;isFromPublicArea=True&amp;isModal=False" TargetMode="External"/><Relationship Id="rId613" Type="http://schemas.openxmlformats.org/officeDocument/2006/relationships/hyperlink" Target="https://community.secop.gov.co/Public/Tendering/ContractNoticePhases/View?PPI=CO1.PPI.34527392&amp;isFromPublicArea=True&amp;isModal=False" TargetMode="External"/><Relationship Id="rId655" Type="http://schemas.openxmlformats.org/officeDocument/2006/relationships/hyperlink" Target="https://community.secop.gov.co/Public/Tendering/ContractNoticePhases/View?PPI=CO1.PPI.35194847&amp;isFromPublicArea=True&amp;isModal=False" TargetMode="External"/><Relationship Id="rId697" Type="http://schemas.openxmlformats.org/officeDocument/2006/relationships/hyperlink" Target="https://community.secop.gov.co/Public/Tendering/ContractNoticePhases/View?PPI=CO1.PPI.36389602&amp;isFromPublicArea=True&amp;isModal=False" TargetMode="External"/><Relationship Id="rId252" Type="http://schemas.openxmlformats.org/officeDocument/2006/relationships/hyperlink" Target="https://community.secop.gov.co/Public/Tendering/ContractNoticePhases/View?PPI=CO1.PPI.31233657&amp;isFromPublicArea=True&amp;isModal=False" TargetMode="External"/><Relationship Id="rId294" Type="http://schemas.openxmlformats.org/officeDocument/2006/relationships/hyperlink" Target="https://community.secop.gov.co/Public/Tendering/ContractNoticePhases/View?PPI=CO1.PPI.31695943&amp;isFromPublicArea=True&amp;isModal=False" TargetMode="External"/><Relationship Id="rId308" Type="http://schemas.openxmlformats.org/officeDocument/2006/relationships/hyperlink" Target="https://community.secop.gov.co/Public/Tendering/ContractNoticePhases/View?PPI=CO1.PPI.31980300&amp;isFromPublicArea=True&amp;isModal=False" TargetMode="External"/><Relationship Id="rId515" Type="http://schemas.openxmlformats.org/officeDocument/2006/relationships/hyperlink" Target="https://community.secop.gov.co/Public/Tendering/ContractNo%20ticePhases/View?PPI=CO1.PPI.33510066&amp;isFromPublicArea=Tr%20ue&amp;isModal=False" TargetMode="External"/><Relationship Id="rId722" Type="http://schemas.openxmlformats.org/officeDocument/2006/relationships/hyperlink" Target="https://community.secop.gov.co/Public/Tendering/ContractNoticePhases/View?PPI=CO1.PPI.36343871&amp;isFromPublicArea=True&amp;isModal=False" TargetMode="External"/><Relationship Id="rId47" Type="http://schemas.openxmlformats.org/officeDocument/2006/relationships/hyperlink" Target="https://community.secop.gov.co/Public/Tendering/ContractNoticePhases/View?PPI=CO1.PPI.29849604&amp;isFromPublicArea=True&amp;isModal=False" TargetMode="External"/><Relationship Id="rId89" Type="http://schemas.openxmlformats.org/officeDocument/2006/relationships/hyperlink" Target="https://community.secop.gov.co/Public/Tendering/ContractNoticePhases/View?PPI=CO1.PPI.29844060&amp;isFromPublicArea=True&amp;isModal=False" TargetMode="External"/><Relationship Id="rId112" Type="http://schemas.openxmlformats.org/officeDocument/2006/relationships/hyperlink" Target="https://community.secop.gov.co/Public/Tendering/ContractNoticePhases/View?PPI=CO1.PPI.29844060&amp;isFromPublicArea=True&amp;isModal=False" TargetMode="External"/><Relationship Id="rId154" Type="http://schemas.openxmlformats.org/officeDocument/2006/relationships/hyperlink" Target="https://community.secop.gov.co/Public/Tendering/ContractNoticePhases/View?PPI=CO1.PPI.29809482&amp;isFromPublicArea=True&amp;isModal=False" TargetMode="External"/><Relationship Id="rId361" Type="http://schemas.openxmlformats.org/officeDocument/2006/relationships/hyperlink" Target="https://community.secop.gov.co/Public/Tendering/ContractNoticePhases/View?PPI=CO1.PPI.32824122&amp;isFromPublicArea=True&amp;isModal=False" TargetMode="External"/><Relationship Id="rId557" Type="http://schemas.openxmlformats.org/officeDocument/2006/relationships/hyperlink" Target="https://community.secop.gov.co/Public/Tendering/ContractNoticePhases/View?PPI=CO1.PPI.33340239&amp;isFromPublicArea=True&amp;isModal=False" TargetMode="External"/><Relationship Id="rId599" Type="http://schemas.openxmlformats.org/officeDocument/2006/relationships/hyperlink" Target="https://community.secop.gov.co/Public/Tendering/ContractNoticePhases/View?PPI=CO1.PPI.34353713&amp;isFromPublicArea=True&amp;isModal=False" TargetMode="External"/><Relationship Id="rId196" Type="http://schemas.openxmlformats.org/officeDocument/2006/relationships/hyperlink" Target="https://community.secop.gov.co/Public/Tendering/ContractNoticePhases/View?PPI=CO1.PPI.30842089&amp;isFromPublicArea=True&amp;isModal=False" TargetMode="External"/><Relationship Id="rId417" Type="http://schemas.openxmlformats.org/officeDocument/2006/relationships/hyperlink" Target="https://community.secop.gov.co/Public/Tendering/ContractNoticePhases/View?PPI=CO1.PPI.33484853&amp;isFromPublicArea=True&amp;isModal=False" TargetMode="External"/><Relationship Id="rId459" Type="http://schemas.openxmlformats.org/officeDocument/2006/relationships/hyperlink" Target="https://community.secop.gov.co/Public/Tendering/ContractNo%20ticePhases/View?PPI=CO1.PPI.33510066&amp;isFromPublicArea=Tr%20ue&amp;isModal=False" TargetMode="External"/><Relationship Id="rId624" Type="http://schemas.openxmlformats.org/officeDocument/2006/relationships/hyperlink" Target="https://community.secop.gov.co/Public/Tendering/ContractNoticePhases/View?PPI=CO1.PPI.34857251&amp;isFromPublicArea=True&amp;isModal=False" TargetMode="External"/><Relationship Id="rId666" Type="http://schemas.openxmlformats.org/officeDocument/2006/relationships/hyperlink" Target="https://community.secop.gov.co/Public/Tendering/OpportunityDetail/Index?noticeUID=CO1.NTC.6872714&amp;isFromPublicArea=True&amp;isModal=False" TargetMode="External"/><Relationship Id="rId16" Type="http://schemas.openxmlformats.org/officeDocument/2006/relationships/hyperlink" Target="https://community.secop.gov.co/Public/Tendering/ContractNoticePhases/View?PPI=CO1.PPI.29366013&amp;isFromPublicArea=True&amp;isModal=False" TargetMode="External"/><Relationship Id="rId221" Type="http://schemas.openxmlformats.org/officeDocument/2006/relationships/hyperlink" Target="https://community.secop.gov.co/Public/Tendering/ContractNoticePhases/View?PPI=CO1.PPI.30958778&amp;isFromPublicArea=True&amp;isModal=False" TargetMode="External"/><Relationship Id="rId263" Type="http://schemas.openxmlformats.org/officeDocument/2006/relationships/hyperlink" Target="https://community.secop.gov.co/Public/Tendering/ContractNoticePhases/View?PPI=CO1.PPI.31453631&amp;isFromPublicArea=True&amp;isModal=False" TargetMode="External"/><Relationship Id="rId319" Type="http://schemas.openxmlformats.org/officeDocument/2006/relationships/hyperlink" Target="https://community.secop.gov.co/Public/Tendering/ContractNoticePhases/View?PPI=CO1.PPI.31770656&amp;isFromPublicArea=True&amp;isModal=False" TargetMode="External"/><Relationship Id="rId470" Type="http://schemas.openxmlformats.org/officeDocument/2006/relationships/hyperlink" Target="https://community.secop.gov.co/Public/Tendering/ContractNo%20ticePhases/View?PPI=CO1.PPI.33510066&amp;isFromPublicArea=Tr%20ue&amp;isModal=False" TargetMode="External"/><Relationship Id="rId526" Type="http://schemas.openxmlformats.org/officeDocument/2006/relationships/hyperlink" Target="https://community.secop.gov.co/Public/Tendering/ContractNoticePhases/View?PPI=CO1.PPI.33510066&amp;isFromPublicArea=True&amp;isModal=False" TargetMode="External"/><Relationship Id="rId58" Type="http://schemas.openxmlformats.org/officeDocument/2006/relationships/hyperlink" Target="https://community.secop.gov.co/Public/Tendering/ContractNoticePhases/View?PPI=CO1.PPI.29849604&amp;isFromPublicArea=True&amp;isModal=False" TargetMode="External"/><Relationship Id="rId123" Type="http://schemas.openxmlformats.org/officeDocument/2006/relationships/hyperlink" Target="https://community.secop.gov.co/Public/Tendering/ContractNoticePhases/View?PPI=CO1.PPI.29844060&amp;isFromPublicArea=True&amp;isModal=False" TargetMode="External"/><Relationship Id="rId330" Type="http://schemas.openxmlformats.org/officeDocument/2006/relationships/hyperlink" Target="https://community.secop.gov.co/Public/Tendering/ContractNoticePhases/View?PPI=CO1.PPI.32425615&amp;isFromPublicArea=True&amp;isModal=False" TargetMode="External"/><Relationship Id="rId568" Type="http://schemas.openxmlformats.org/officeDocument/2006/relationships/hyperlink" Target="https://community.secop.gov.co/Public/Tendering/ContractNoticePhases/View?PPI=CO1.PPI.34083836&amp;isFromPublicArea=True&amp;isModal=False" TargetMode="External"/><Relationship Id="rId733" Type="http://schemas.openxmlformats.org/officeDocument/2006/relationships/hyperlink" Target="https://community.secop.gov.co/Public/Tendering/ContractNoticePhases/ViewPPI=CO1.PPI.36347106&amp;isFromPublicArea=True&amp;isModal=False" TargetMode="External"/><Relationship Id="rId165" Type="http://schemas.openxmlformats.org/officeDocument/2006/relationships/hyperlink" Target="https://community.secop.gov.co/Public/Tendering/ContractNoticePhases/View?PPI=CO1.PPI.30090741&amp;isFromPublicArea=True&amp;isModal=False" TargetMode="External"/><Relationship Id="rId372" Type="http://schemas.openxmlformats.org/officeDocument/2006/relationships/hyperlink" Target="https://community.secop.gov.co/Public/Tendering/ContractNoticePhases/View?PPI=CO1.PPI.32905762&amp;isFromPublicArea=True&amp;isModal=False" TargetMode="External"/><Relationship Id="rId428" Type="http://schemas.openxmlformats.org/officeDocument/2006/relationships/hyperlink" Target="https://community.secop.gov.co/Public/Tendering/ContractNo%20ticePhases/View?PPI=CO1.PPI.33510066&amp;isFromPublicArea=Tr%20ue&amp;isModal=False" TargetMode="External"/><Relationship Id="rId635" Type="http://schemas.openxmlformats.org/officeDocument/2006/relationships/hyperlink" Target="https://community.secop.gov.co/Public/Tendering/ContractNoticePhases/View?PPI=CO1.PPI.34534198&amp;isFromPublicArea=True&amp;isModal=False" TargetMode="External"/><Relationship Id="rId677" Type="http://schemas.openxmlformats.org/officeDocument/2006/relationships/hyperlink" Target="https://community.secop.gov.co/Public/Tendering/ContractNoticePhases/View?PPI=CO1.PPI.35506940&amp;isFromPublicArea=True&amp;isModal=False" TargetMode="External"/><Relationship Id="rId232" Type="http://schemas.openxmlformats.org/officeDocument/2006/relationships/hyperlink" Target="https://community.secop.gov.co/Public/Tendering/ContractNoticePhases/View?PPI=CO1.PPI.30958778&amp;isFromPublicArea=True&amp;isModal=False" TargetMode="External"/><Relationship Id="rId274" Type="http://schemas.openxmlformats.org/officeDocument/2006/relationships/hyperlink" Target="https://community.secop.gov.co/Public/Tendering/ContractNoticePhases/View?PPI=CO1.PPI.31367372&amp;isFromPublicArea=True&amp;isModal=False" TargetMode="External"/><Relationship Id="rId481" Type="http://schemas.openxmlformats.org/officeDocument/2006/relationships/hyperlink" Target="https://community.secop.gov.co/Public/Tendering/ContractNo%20ticePhases/View?PPI=CO1.PPI.33510066&amp;isFromPublicArea=Tr%20ue&amp;isModal=False" TargetMode="External"/><Relationship Id="rId702" Type="http://schemas.openxmlformats.org/officeDocument/2006/relationships/hyperlink" Target="https://www.secop.gov.co/CO1ContractsManagement/Tendering/ProcurementContractEdit/View?docUniqueIdentifier=CO1.PCCNTR.4780218&amp;prevCtxUrl=https%3a%2f%2fwww.secop.gov.co%3a443%2fCO1ContractsManagement%2fTendering%2fProcurementContractManagement%2fIndex&amp;prevCtxLbl=Contratos" TargetMode="External"/><Relationship Id="rId27" Type="http://schemas.openxmlformats.org/officeDocument/2006/relationships/hyperlink" Target="https://community.secop.gov.co/Public/Tendering/ContractNoticePhases/View?PPI=CO1.PPI.29446487&amp;isFromPublicArea=True&amp;isModal=False" TargetMode="External"/><Relationship Id="rId69" Type="http://schemas.openxmlformats.org/officeDocument/2006/relationships/hyperlink" Target="https://community.secop.gov.co/Public/Tendering/ContractNoticePhases/View?PPI=CO1.PPI.29844060&amp;isFromPublicArea=True&amp;isModal=False" TargetMode="External"/><Relationship Id="rId134" Type="http://schemas.openxmlformats.org/officeDocument/2006/relationships/hyperlink" Target="https://community.secop.gov.co/Public/Tendering/ContractNoticePhases/View?PPI=CO1.PPI.29844060&amp;isFromPublicArea=True&amp;isModal=False" TargetMode="External"/><Relationship Id="rId537" Type="http://schemas.openxmlformats.org/officeDocument/2006/relationships/hyperlink" Target="https://community.secop.gov.co/Public/Tendering/ContractNo%20ticePhases/View?PPI=CO1.PPI.33510066&amp;isFromPublicArea=Tr%20ue&amp;isModal=False" TargetMode="External"/><Relationship Id="rId579" Type="http://schemas.openxmlformats.org/officeDocument/2006/relationships/hyperlink" Target="https://community.secop.gov.co/Public/Tendering/ContractNoticePhases/View?PPI=CO1.PPI.34363616&amp;isFromPublicArea=True&amp;isModal=False" TargetMode="External"/><Relationship Id="rId744" Type="http://schemas.openxmlformats.org/officeDocument/2006/relationships/printerSettings" Target="../printerSettings/printerSettings2.bin"/><Relationship Id="rId80" Type="http://schemas.openxmlformats.org/officeDocument/2006/relationships/hyperlink" Target="https://community.secop.gov.co/Public/Tendering/ContractNoticePhases/View?PPI=CO1.PPI.29844060&amp;isFromPublicArea=True&amp;isModal=False" TargetMode="External"/><Relationship Id="rId176" Type="http://schemas.openxmlformats.org/officeDocument/2006/relationships/hyperlink" Target="https://community.secop.gov.co/Public/Tendering/ContractNoticePhases/View?PPI=CO1.PPI.30464039&amp;isFromPublicArea=True&amp;isModal=False" TargetMode="External"/><Relationship Id="rId341" Type="http://schemas.openxmlformats.org/officeDocument/2006/relationships/hyperlink" Target="https://community.secop.gov.co/Public/Tendering/ContractNoticePhases/View?PPI=CO1.PPI.32462800&amp;isFromPublicArea=True&amp;isModal=False" TargetMode="External"/><Relationship Id="rId383" Type="http://schemas.openxmlformats.org/officeDocument/2006/relationships/hyperlink" Target="https://community.secop.gov.co/Public/Tendering/ContractNoticePhases/View?PPI=CO1.PPI.31666044&amp;isFromPublicArea=True&amp;isModal=False" TargetMode="External"/><Relationship Id="rId439" Type="http://schemas.openxmlformats.org/officeDocument/2006/relationships/hyperlink" Target="https://community.secop.gov.co/Public/Tendering/OpportunityDetail/Index?noticeUID=CO1.NTC.6617855&amp;isFromPublicArea=True&amp;isModal=true&amp;asPopupView=true" TargetMode="External"/><Relationship Id="rId590" Type="http://schemas.openxmlformats.org/officeDocument/2006/relationships/hyperlink" Target="https://community.secop.gov.co/Public/Tendering/ContractNoticePhases/View?PPI=CO1.PPI.34353713&amp;isFromPublicArea=True&amp;isModal=False" TargetMode="External"/><Relationship Id="rId604" Type="http://schemas.openxmlformats.org/officeDocument/2006/relationships/hyperlink" Target="https://community.secop.gov.co/Public/Tendering/ContractNoticePhases/View?PPI=CO1.PPI.34125553&amp;isFromPublicArea=True&amp;isModal=False" TargetMode="External"/><Relationship Id="rId646" Type="http://schemas.openxmlformats.org/officeDocument/2006/relationships/hyperlink" Target="https://community.secop.gov.co/Public/Tendering/ContractNoticePhases/View?PPI=CO1.PPI.35027266&amp;isFromPublicArea=True&amp;isModal=False" TargetMode="External"/><Relationship Id="rId201" Type="http://schemas.openxmlformats.org/officeDocument/2006/relationships/hyperlink" Target="https://community.secop.gov.co/Public/Tendering/ContractNoticePhases/View?PPI=CO1.PPI.30864505&amp;isFromPublicArea=True&amp;isModal=False" TargetMode="External"/><Relationship Id="rId243" Type="http://schemas.openxmlformats.org/officeDocument/2006/relationships/hyperlink" Target="https://community.secop.gov.co/Public/Tendering/ContractNoticePhases/View?PPI=CO1.PPI.31046394&amp;isFromPublicArea=True&amp;isModal=False" TargetMode="External"/><Relationship Id="rId285" Type="http://schemas.openxmlformats.org/officeDocument/2006/relationships/hyperlink" Target="https://community.secop.gov.co/Public/Tendering/ContractNoticePhases/View?PPI=CO1.PPI.31608930&amp;isFromPublicArea=True&amp;isModal=False" TargetMode="External"/><Relationship Id="rId450" Type="http://schemas.openxmlformats.org/officeDocument/2006/relationships/hyperlink" Target="https://community.secop.gov.co/Public/Tendering/ContractNoticePhases/View?PPI=CO1.PPI.33514264&amp;isFromPublicArea=True&amp;isModal=False" TargetMode="External"/><Relationship Id="rId506" Type="http://schemas.openxmlformats.org/officeDocument/2006/relationships/hyperlink" Target="https://community.secop.gov.co/Public/Tendering/ContractNo%20ticePhases/View?PPI=CO1.PPI.33514264&amp;isFromPublicArea=Tr%20ue&amp;isModal=False" TargetMode="External"/><Relationship Id="rId688" Type="http://schemas.openxmlformats.org/officeDocument/2006/relationships/hyperlink" Target="https://community.secop.gov.co/Public/Tendering/ContractNoticePhases/View?PPI=CO1.PPI.34534198&amp;isFromPublicArea=True&amp;isModal=False" TargetMode="External"/><Relationship Id="rId38" Type="http://schemas.openxmlformats.org/officeDocument/2006/relationships/hyperlink" Target="https://community.secop.gov.co/Public/Tendering/ContractNoticePhases/View?PPI=CO1.PPI.29849604&amp;isFromPublicArea=True&amp;isModal=False" TargetMode="External"/><Relationship Id="rId103" Type="http://schemas.openxmlformats.org/officeDocument/2006/relationships/hyperlink" Target="https://community.secop.gov.co/Public/Tendering/ContractNoticePhases/View?PPI=CO1.PPI.29844060&amp;isFromPublicArea=True&amp;isModal=False" TargetMode="External"/><Relationship Id="rId310" Type="http://schemas.openxmlformats.org/officeDocument/2006/relationships/hyperlink" Target="https://community.secop.gov.co/Public/Tendering/ContractNoticePhases/View?PPI=CO1.PPI.31982938&amp;isFromPublicArea=True&amp;isModal=False" TargetMode="External"/><Relationship Id="rId492" Type="http://schemas.openxmlformats.org/officeDocument/2006/relationships/hyperlink" Target="https://community.secop.gov.co/Public/Tendering/ContractNo%20ticePhases/View?PPI=CO1.PPI.33514264&amp;isFromPublicArea=Tr%20ue&amp;isModal=False" TargetMode="External"/><Relationship Id="rId548" Type="http://schemas.openxmlformats.org/officeDocument/2006/relationships/hyperlink" Target="https://community.secop.gov.co/Public/Tendering/ContractNoticePhases/View?PPI=CO1.PPI.33608815&amp;isFromPublicArea=True&amp;isModal=False" TargetMode="External"/><Relationship Id="rId713" Type="http://schemas.openxmlformats.org/officeDocument/2006/relationships/hyperlink" Target="https://community.secop.gov.co/Public/Tendering/ContractNoticePhases/View?PPI=CO1.PPI.36347150&amp;isFromPublicArea=True&amp;isModal=False" TargetMode="External"/><Relationship Id="rId91" Type="http://schemas.openxmlformats.org/officeDocument/2006/relationships/hyperlink" Target="https://community.secop.gov.co/Public/Tendering/ContractNoticePhases/View?PPI=CO1.PPI.29844060&amp;isFromPublicArea=True&amp;isModal=False" TargetMode="External"/><Relationship Id="rId145" Type="http://schemas.openxmlformats.org/officeDocument/2006/relationships/hyperlink" Target="https://community.secop.gov.co/Public/Tendering/ContractNoticePhases/View?PPI=CO1.PPI.29844060&amp;isFromPublicArea=True&amp;isModal=False" TargetMode="External"/><Relationship Id="rId187" Type="http://schemas.openxmlformats.org/officeDocument/2006/relationships/hyperlink" Target="https://community.secop.gov.co/Public/Tendering/ContractNoticePhases/View?PPI=CO1.PPI.30605709&amp;isFromPublicArea=True&amp;isModal=False" TargetMode="External"/><Relationship Id="rId352" Type="http://schemas.openxmlformats.org/officeDocument/2006/relationships/hyperlink" Target="https://community.secop.gov.co/Public/Tendering/ContractNoticePhases/View?PPI=CO1.PPI.32682809&amp;isFromPublicArea=True&amp;isModal=False" TargetMode="External"/><Relationship Id="rId394" Type="http://schemas.openxmlformats.org/officeDocument/2006/relationships/hyperlink" Target="https://community.secop.gov.co/Public/Tendering/ContractNoticePhases/View?PPI=CO1.PPI.33204605&amp;isFromPublicArea=True&amp;isModal=False" TargetMode="External"/><Relationship Id="rId408" Type="http://schemas.openxmlformats.org/officeDocument/2006/relationships/hyperlink" Target="https://community.secop.gov.co/Public/Tendering/ContractNoticePhases/View?PPI=CO1.PPI.33149908&amp;isFromPublicArea=True&amp;isModal=False" TargetMode="External"/><Relationship Id="rId615" Type="http://schemas.openxmlformats.org/officeDocument/2006/relationships/hyperlink" Target="https://community.secop.gov.co/Public/Tendering/ContractNoticePhases/View?PPI=CO1.PPI.34432846&amp;isFromPublicArea=True&amp;isModal=False" TargetMode="External"/><Relationship Id="rId212" Type="http://schemas.openxmlformats.org/officeDocument/2006/relationships/hyperlink" Target="https://community.secop.gov.co/Public/Tendering/ContractNoticePhases/View?PPI=CO1.PPI.30958778&amp;isFromPublicArea=True&amp;isModal=False" TargetMode="External"/><Relationship Id="rId254" Type="http://schemas.openxmlformats.org/officeDocument/2006/relationships/hyperlink" Target="https://community.secop.gov.co/Public/Tendering/ContractNoticePhases/View?PPI=CO1.PPI.31323354&amp;isFromPublicArea=True&amp;isModal=False" TargetMode="External"/><Relationship Id="rId657" Type="http://schemas.openxmlformats.org/officeDocument/2006/relationships/hyperlink" Target="https://community.secop.gov.co/Public/Tendering/ContractNoticePhases/View?PPI=CO1.PPI.35164512&amp;isFromPublicArea=True&amp;isModal=False" TargetMode="External"/><Relationship Id="rId699" Type="http://schemas.openxmlformats.org/officeDocument/2006/relationships/hyperlink" Target="https://community.secop.gov.co/Public/Tendering/ContractNoticePhases/View?PPI=CO1.PPI.33452590&amp;isFromPublicArea=True&amp;isModal=False" TargetMode="External"/><Relationship Id="rId49" Type="http://schemas.openxmlformats.org/officeDocument/2006/relationships/hyperlink" Target="https://community.secop.gov.co/Public/Tendering/ContractNoticePhases/View?PPI=CO1.PPI.29849604&amp;isFromPublicArea=True&amp;isModal=False" TargetMode="External"/><Relationship Id="rId114" Type="http://schemas.openxmlformats.org/officeDocument/2006/relationships/hyperlink" Target="https://community.secop.gov.co/Public/Tendering/ContractNoticePhases/View?PPI=CO1.PPI.29844060&amp;isFromPublicArea=True&amp;isModal=False" TargetMode="External"/><Relationship Id="rId296" Type="http://schemas.openxmlformats.org/officeDocument/2006/relationships/hyperlink" Target="https://community.secop.gov.co/Public/Tendering/ContractNoticePhases/View?PPI=CO1.PPI.31695943&amp;isFromPublicArea=True&amp;isModal=False" TargetMode="External"/><Relationship Id="rId461" Type="http://schemas.openxmlformats.org/officeDocument/2006/relationships/hyperlink" Target="https://community.secop.gov.co/Public/Tendering/ContractNoticePhases/View?PPI=CO1.PPI.33510066&amp;isFromPublicArea=True&amp;isModal=False" TargetMode="External"/><Relationship Id="rId517" Type="http://schemas.openxmlformats.org/officeDocument/2006/relationships/hyperlink" Target="https://community.secop.gov.co/Public/Tendering/ContractNo%20ticePhases/View?PPI=CO1.PPI.33510066&amp;isFromPublicArea=Tr%20ue&amp;isModal=False" TargetMode="External"/><Relationship Id="rId559" Type="http://schemas.openxmlformats.org/officeDocument/2006/relationships/hyperlink" Target="https://community.secop.gov.co/Public/Tendering/ContractNoticePhases/View?PPI=CO1.PPI.33608710&amp;isFromPublicArea=True&amp;isModal=False" TargetMode="External"/><Relationship Id="rId724" Type="http://schemas.openxmlformats.org/officeDocument/2006/relationships/hyperlink" Target="https://community.secop.gov.co/Public/Tendering/ContractNoticePhases/View?PPI=CO1.PPI.36329673&amp;isFromPublicArea=True&amp;isModal=False" TargetMode="External"/><Relationship Id="rId60" Type="http://schemas.openxmlformats.org/officeDocument/2006/relationships/hyperlink" Target="https://community.secop.gov.co/Public/Tendering/ContractNoticePhases/View?PPI=CO1.PPI.29849604&amp;isFromPublicArea=True&amp;isModal=False" TargetMode="External"/><Relationship Id="rId156" Type="http://schemas.openxmlformats.org/officeDocument/2006/relationships/hyperlink" Target="https://community.secop.gov.co/Public/Tendering/ContractNoticePhases/View?PPI=CO1.PPI.29926597&amp;isFromPublicArea=True&amp;isModal=False" TargetMode="External"/><Relationship Id="rId198" Type="http://schemas.openxmlformats.org/officeDocument/2006/relationships/hyperlink" Target="https://community.secop.gov.co/Public/Tendering/ContractNoticePhases/View?PPI=CO1.PPI.30845290&amp;isFromPublicArea=True&amp;isModal=False" TargetMode="External"/><Relationship Id="rId321" Type="http://schemas.openxmlformats.org/officeDocument/2006/relationships/hyperlink" Target="https://community.secop.gov.co/Public/Tendering/ContractNoticePhases/View?PPI=CO1.PPI.31036057&amp;isFromPublicArea=True&amp;isModal=False" TargetMode="External"/><Relationship Id="rId363" Type="http://schemas.openxmlformats.org/officeDocument/2006/relationships/hyperlink" Target="https://community.secop.gov.co/Public/Tendering/ContractNoticePhases/View?PPI=CO1.PPI.32987591&amp;isFromPublicArea=True&amp;isModal=False" TargetMode="External"/><Relationship Id="rId419" Type="http://schemas.openxmlformats.org/officeDocument/2006/relationships/hyperlink" Target="https://community.secop.gov.co/Public/Tendering/ContractNoticePhases/View?PPI=CO1.PPI.33510066&amp;isFromPublicArea=True&amp;isModal=False" TargetMode="External"/><Relationship Id="rId570" Type="http://schemas.openxmlformats.org/officeDocument/2006/relationships/hyperlink" Target="https://community.secop.gov.co/Public/Tendering/ContractNoticePhases/View?PPI=CO1.PPI.34250801&amp;isFromPublicArea=True&amp;isModal=False" TargetMode="External"/><Relationship Id="rId626" Type="http://schemas.openxmlformats.org/officeDocument/2006/relationships/hyperlink" Target="https://community.secop.gov.co/Public/Tendering/ContractNoticePhases/View?PPI=CO1.PPI.34757039&amp;isFromPublicArea=True&amp;isModal=False" TargetMode="External"/><Relationship Id="rId223" Type="http://schemas.openxmlformats.org/officeDocument/2006/relationships/hyperlink" Target="https://community.secop.gov.co/Public/Tendering/ContractNoticePhases/View?PPI=CO1.PPI.30958778&amp;isFromPublicArea=True&amp;isModal=False" TargetMode="External"/><Relationship Id="rId430" Type="http://schemas.openxmlformats.org/officeDocument/2006/relationships/hyperlink" Target="https://community.secop.gov.co/Public/Tendering/ContractNoticePhases/View?PPI=CO1.PPI.33515683&amp;isFromPublicArea=True&amp;isModal=False" TargetMode="External"/><Relationship Id="rId668" Type="http://schemas.openxmlformats.org/officeDocument/2006/relationships/hyperlink" Target="https://community.secop.gov.co/Public/Tendering/ContractNoticePhases/View?PPI=CO1.PPI.35453854&amp;isFromPublicArea=True&amp;isModal=False" TargetMode="External"/><Relationship Id="rId18" Type="http://schemas.openxmlformats.org/officeDocument/2006/relationships/hyperlink" Target="https://community.secop.gov.co/Public/Tendering/ContractNoticePhases/View?PPI=CO1.PPI.29400331&amp;isFromPublicArea=True&amp;isModal=False" TargetMode="External"/><Relationship Id="rId265" Type="http://schemas.openxmlformats.org/officeDocument/2006/relationships/hyperlink" Target="https://community.secop.gov.co/Public/Tendering/ContractNoticePhases/View?PPI=CO1.PPI.31443578&amp;isFromPublicArea=True&amp;isModal=False" TargetMode="External"/><Relationship Id="rId472" Type="http://schemas.openxmlformats.org/officeDocument/2006/relationships/hyperlink" Target="https://community.secop.gov.co/Public/Tendering/ContractNo%20ticePhases/View?PPI=CO1.PPI.33514264&amp;isFromPublicArea=Tr%20%20ticePhases/View?PPI=CO1.PPI.33514264&amp;isFromPublicArea=Tr" TargetMode="External"/><Relationship Id="rId528" Type="http://schemas.openxmlformats.org/officeDocument/2006/relationships/hyperlink" Target="https://community.secop.gov.co/Public/Tendering/ContractNo%20ticePhases/View?PPI=CO1.PPI.33510066&amp;isFromPublicArea=Tr%20ue&amp;isModal=False" TargetMode="External"/><Relationship Id="rId735" Type="http://schemas.openxmlformats.org/officeDocument/2006/relationships/hyperlink" Target="https://www.secop.gov.co/CO1ContractsManagement/Tendering/ProcurementContractEdit/ViewdocUniqueIdentifier=CO1.PCCNTR.2917532&amp;prevCtxUrl=https%3a%2f%2fwww.secop.gov.co%3a443%2fCO1ContractsManagement%2fTendering%2fProcurementContractManagement%2fIndprevCtxLbl=Procurement+Contracts+Management" TargetMode="External"/><Relationship Id="rId125" Type="http://schemas.openxmlformats.org/officeDocument/2006/relationships/hyperlink" Target="https://community.secop.gov.co/Public/Tendering/ContractNoticePhases/View?PPI=CO1.PPI.29844060&amp;isFromPublicArea=True&amp;isModal=False" TargetMode="External"/><Relationship Id="rId167" Type="http://schemas.openxmlformats.org/officeDocument/2006/relationships/hyperlink" Target="https://community.secop.gov.co/Public/Tendering/ContractNoticePhases/View?PPI=CO1.PPI.30154945&amp;isFromPublicArea=True&amp;isModal=False" TargetMode="External"/><Relationship Id="rId332" Type="http://schemas.openxmlformats.org/officeDocument/2006/relationships/hyperlink" Target="https://community.secop.gov.co/Public/Tendering/ContractNoticePhases/View?PPI=CO1.PPI.32468939&amp;isFromPublicArea=True&amp;isModal=False" TargetMode="External"/><Relationship Id="rId374" Type="http://schemas.openxmlformats.org/officeDocument/2006/relationships/hyperlink" Target="https://community.secop.gov.co/Public/Tendering/ContractNoticePhases/View?PPI=CO1.PPI.32905762&amp;isFromPublicArea=True&amp;isModal=False" TargetMode="External"/><Relationship Id="rId581" Type="http://schemas.openxmlformats.org/officeDocument/2006/relationships/hyperlink" Target="https://community.secop.gov.co/Public/Tendering/ContractNoticePhases/View?PPI=CO1.PPI.34383668&amp;isFromPublicArea=True&amp;isModal=False" TargetMode="External"/><Relationship Id="rId71" Type="http://schemas.openxmlformats.org/officeDocument/2006/relationships/hyperlink" Target="https://community.secop.gov.co/Public/Tendering/ContractNoticePhases/View?PPI=CO1.PPI.29844060&amp;isFromPublicArea=True&amp;isModal=False" TargetMode="External"/><Relationship Id="rId234" Type="http://schemas.openxmlformats.org/officeDocument/2006/relationships/hyperlink" Target="https://community.secop.gov.co/Public/Tendering/ContractNoticePhases/View?PPI=CO1.PPI.30958778&amp;isFromPublicArea=True&amp;isModal=False" TargetMode="External"/><Relationship Id="rId637" Type="http://schemas.openxmlformats.org/officeDocument/2006/relationships/hyperlink" Target="https://community.secop.gov.co/Public/Tendering/ContractNoticePhases/View?PPI=CO1.PPI.34838536&amp;isFromPublicArea=True&amp;isModal=False" TargetMode="External"/><Relationship Id="rId679" Type="http://schemas.openxmlformats.org/officeDocument/2006/relationships/hyperlink" Target="https://community.secop.gov.co/Public/Tendering/ContractNoticePhases/View?PPI=CO1.PPI.35568147&amp;isFromPublicArea=True&amp;isModal=False" TargetMode="External"/><Relationship Id="rId2" Type="http://schemas.openxmlformats.org/officeDocument/2006/relationships/hyperlink" Target="https://community.secop.gov.co/Public/Tendering/ContractNoticePhases/View?PPI=CO1.PPI.29147391&amp;isFromPublicArea=True&amp;isModal=False" TargetMode="External"/><Relationship Id="rId29" Type="http://schemas.openxmlformats.org/officeDocument/2006/relationships/hyperlink" Target="https://community.secop.gov.co/Public/Tendering/ContractNoticePhases/View?PPI=CO1.PPI.29809566&amp;isFromPublicArea=True&amp;isModal=False" TargetMode="External"/><Relationship Id="rId276" Type="http://schemas.openxmlformats.org/officeDocument/2006/relationships/hyperlink" Target="https://community.secop.gov.co/Public/Tendering/ContractNoticePhases/View?PPI=CO1.PPI.31452664&amp;isFromPublicArea=True&amp;isModal=False" TargetMode="External"/><Relationship Id="rId441" Type="http://schemas.openxmlformats.org/officeDocument/2006/relationships/hyperlink" Target="https://community.secop.gov.co/Public/Tendering/ContractNoticePhases/View?PPI=CO1.PPI.33510066&amp;isFromPublicArea=True&amp;isModal=False" TargetMode="External"/><Relationship Id="rId483" Type="http://schemas.openxmlformats.org/officeDocument/2006/relationships/hyperlink" Target="https://community.secop.gov.co/Public/Tendering/ContractNo%20ticePhases/View?PPI=CO1.PPI.33510066&amp;isFromPublicArea=Tr%20ue&amp;isModal=False" TargetMode="External"/><Relationship Id="rId539" Type="http://schemas.openxmlformats.org/officeDocument/2006/relationships/hyperlink" Target="https://community.secop.gov.co/Public/Tendering/ContractNoticePhases/View?PPI=CO1.PPI.33783782&amp;isFromPublicArea=True&amp;isModal=False" TargetMode="External"/><Relationship Id="rId690" Type="http://schemas.openxmlformats.org/officeDocument/2006/relationships/hyperlink" Target="https://community.secop.gov.co/Public/Tendering/ContractNoticePhases/View?PPI=CO1.PPI.35954373&amp;isFromPublicArea=True&amp;isModal=False" TargetMode="External"/><Relationship Id="rId704" Type="http://schemas.openxmlformats.org/officeDocument/2006/relationships/hyperlink" Target="https://community.secop.gov.co/Public/Tendering/ContractNoticePhases/View?PPI=CO1.PPI.36338742&amp;isFromPublicArea=True&amp;isModal=False" TargetMode="External"/><Relationship Id="rId746" Type="http://schemas.openxmlformats.org/officeDocument/2006/relationships/table" Target="../tables/table2.xml"/><Relationship Id="rId40" Type="http://schemas.openxmlformats.org/officeDocument/2006/relationships/hyperlink" Target="https://community.secop.gov.co/Public/Tendering/ContractNoticePhases/View?PPI=CO1.PPI.29849604&amp;isFromPublicArea=True&amp;isModal=False" TargetMode="External"/><Relationship Id="rId136" Type="http://schemas.openxmlformats.org/officeDocument/2006/relationships/hyperlink" Target="https://community.secop.gov.co/Public/Tendering/ContractNoticePhases/View?PPI=CO1.PPI.29844060&amp;isFromPublicArea=True&amp;isModal=False" TargetMode="External"/><Relationship Id="rId178" Type="http://schemas.openxmlformats.org/officeDocument/2006/relationships/hyperlink" Target="https://community.secop.gov.co/Public/Tendering/ContractNoticePhases/View?PPI=CO1.PPI.30464039&amp;isFromPublicArea=True&amp;isModal=False" TargetMode="External"/><Relationship Id="rId301" Type="http://schemas.openxmlformats.org/officeDocument/2006/relationships/hyperlink" Target="https://community.secop.gov.co/Public/Tendering/ContractNoticePhases/View?PPI=CO1.PPI.31827310&amp;isFromPublicArea=True&amp;isModal=False" TargetMode="External"/><Relationship Id="rId343" Type="http://schemas.openxmlformats.org/officeDocument/2006/relationships/hyperlink" Target="https://community.secop.gov.co/Public/Tendering/ContractNoticePhases/View?PPI=CO1.PPI.32496082&amp;isFromPublicArea=True&amp;isModal=False" TargetMode="External"/><Relationship Id="rId550" Type="http://schemas.openxmlformats.org/officeDocument/2006/relationships/hyperlink" Target="https://community.secop.gov.co/Public/Tendering/ContractNoticePhases/View?PPI=CO1.PPI.33752083&amp;isFromPublicArea=True&amp;isModal=False" TargetMode="External"/><Relationship Id="rId82" Type="http://schemas.openxmlformats.org/officeDocument/2006/relationships/hyperlink" Target="https://community.secop.gov.co/Public/Tendering/ContractNoticePhases/View?PPI=CO1.PPI.29844060&amp;isFromPublicArea=True&amp;isModal=False" TargetMode="External"/><Relationship Id="rId203" Type="http://schemas.openxmlformats.org/officeDocument/2006/relationships/hyperlink" Target="https://community.secop.gov.co/Public/Tendering/ContractNoticePhases/View?PPI=CO1.PPI.31015630&amp;isFromPublicArea=True&amp;isModal=False" TargetMode="External"/><Relationship Id="rId385" Type="http://schemas.openxmlformats.org/officeDocument/2006/relationships/hyperlink" Target="https://community.secop.gov.co/Public/Tendering/ContractNoticePhases/View?PPI=CO1.PPI.31666044&amp;isFromPublicArea=True&amp;isModal=False" TargetMode="External"/><Relationship Id="rId592" Type="http://schemas.openxmlformats.org/officeDocument/2006/relationships/hyperlink" Target="https://community.secop.gov.co/Public/Tendering/ContractNoticePhases/View?PPI=CO1.PPI.34353713&amp;isFromPublicArea=True&amp;isModal=False" TargetMode="External"/><Relationship Id="rId606" Type="http://schemas.openxmlformats.org/officeDocument/2006/relationships/hyperlink" Target="https://community.secop.gov.co/Public/Tendering/ContractNoticePhases/View?PPI=CO1.PPI.29446956&amp;isFromPublicArea=True&amp;isModal=False" TargetMode="External"/><Relationship Id="rId648" Type="http://schemas.openxmlformats.org/officeDocument/2006/relationships/hyperlink" Target="https://community.secop.gov.co/Public/Tendering/ContractNoticePhases/View?PPI=CO1.PPI.35004262&amp;isFromPublicArea=True&amp;isModal=False" TargetMode="External"/><Relationship Id="rId245" Type="http://schemas.openxmlformats.org/officeDocument/2006/relationships/hyperlink" Target="https://community.secop.gov.co/Public/Tendering/ContractNoticePhases/View?PPI=CO1.PPI.30742992&amp;isFromPublicArea=True&amp;isModal=False" TargetMode="External"/><Relationship Id="rId287" Type="http://schemas.openxmlformats.org/officeDocument/2006/relationships/hyperlink" Target="https://community.secop.gov.co/Public/Tendering/ContractNoticePhases/View?PPI=CO1.PPI.31607677&amp;isFromPublicArea=True&amp;isModal=False" TargetMode="External"/><Relationship Id="rId410" Type="http://schemas.openxmlformats.org/officeDocument/2006/relationships/hyperlink" Target="https://community.secop.gov.co/Public/Tendering/ContractNoticePhases/View?PPI=CO1.PPI.33345212&amp;isFromPublicArea=True&amp;isModal=False" TargetMode="External"/><Relationship Id="rId452" Type="http://schemas.openxmlformats.org/officeDocument/2006/relationships/hyperlink" Target="https://community.secop.gov.co/Public/Tendering/ContractNoticePhases/View?PPI=CO1.PPI.33510066&amp;isFromPublicArea=True&amp;isModal=False" TargetMode="External"/><Relationship Id="rId494" Type="http://schemas.openxmlformats.org/officeDocument/2006/relationships/hyperlink" Target="https://community.secop.gov.co/Public/Tendering/ContractNoticePhases/View?PPI=CO1.PPI.33514264&amp;isFromPublicArea=True&amp;isModal=False" TargetMode="External"/><Relationship Id="rId508" Type="http://schemas.openxmlformats.org/officeDocument/2006/relationships/hyperlink" Target="https://community.secop.gov.co/Public/Tendering/ContractNo%20ticePhases/View?PPI=CO1.PPI.33514264&amp;isFromPublicArea=Tr%20ue&amp;isModal=False" TargetMode="External"/><Relationship Id="rId715" Type="http://schemas.openxmlformats.org/officeDocument/2006/relationships/hyperlink" Target="https://community.secop.gov.co/Public/Tendering/ContractNoticePhases/View?PPI=CO1.PPI.36289597&amp;isFromPublicArea=True&amp;isModal=False" TargetMode="External"/><Relationship Id="rId105" Type="http://schemas.openxmlformats.org/officeDocument/2006/relationships/hyperlink" Target="https://community.secop.gov.co/Public/Tendering/ContractNoticePhases/View?PPI=CO1.PPI.29844060&amp;isFromPublicArea=True&amp;isModal=False" TargetMode="External"/><Relationship Id="rId147" Type="http://schemas.openxmlformats.org/officeDocument/2006/relationships/hyperlink" Target="https://community.secop.gov.co/Public/Tendering/ContractNoticePhases/View?PPI=CO1.PPI.29844060&amp;isFromPublicArea=True&amp;isModal=False" TargetMode="External"/><Relationship Id="rId312" Type="http://schemas.openxmlformats.org/officeDocument/2006/relationships/hyperlink" Target="https://community.secop.gov.co/Public/Tendering/ContractNoticePhases/View?PPI=CO1.PPI.32113746&amp;isFromPublicArea=True&amp;isModal=False" TargetMode="External"/><Relationship Id="rId354" Type="http://schemas.openxmlformats.org/officeDocument/2006/relationships/hyperlink" Target="https://community.secop.gov.co/Public/Tendering/ContractNoticePhases/View?PPI=CO1.PPI.32754571&amp;isFromPublicArea=True&amp;isModal=False" TargetMode="External"/><Relationship Id="rId51" Type="http://schemas.openxmlformats.org/officeDocument/2006/relationships/hyperlink" Target="https://community.secop.gov.co/Public/Tendering/ContractNoticePhases/View?PPI=CO1.PPI.29849604&amp;isFromPublicArea=True&amp;isModal=False" TargetMode="External"/><Relationship Id="rId93" Type="http://schemas.openxmlformats.org/officeDocument/2006/relationships/hyperlink" Target="https://community.secop.gov.co/Public/Tendering/ContractNoticePhases/View?PPI=CO1.PPI.29844060&amp;isFromPublicArea=True&amp;isModal=False" TargetMode="External"/><Relationship Id="rId189" Type="http://schemas.openxmlformats.org/officeDocument/2006/relationships/hyperlink" Target="https://community.secop.gov.co/Public/Tendering/ContractNoticePhases/View?PPI=CO1.PPI.30661416&amp;isFromPublicArea=True&amp;isModal=False" TargetMode="External"/><Relationship Id="rId396" Type="http://schemas.openxmlformats.org/officeDocument/2006/relationships/hyperlink" Target="https://community.secop.gov.co/Public/Tendering/ContractNoticePhases/View?PPI=CO1.PPI.32984966&amp;isFromPublicArea=True&amp;isModal=False" TargetMode="External"/><Relationship Id="rId561" Type="http://schemas.openxmlformats.org/officeDocument/2006/relationships/hyperlink" Target="https://community.secop.gov.co/Public/Tendering/ContractNoticePhases/View?PPI=CO1.PPI.33898812&amp;isFromPublicArea=True&amp;isModal=False" TargetMode="External"/><Relationship Id="rId617" Type="http://schemas.openxmlformats.org/officeDocument/2006/relationships/hyperlink" Target="https://community.secop.gov.co/Public/Tendering/ContractNoticePhases/View?PPI=CO1.PPI.34265332&amp;isFromPublicArea=True&amp;isModal=False" TargetMode="External"/><Relationship Id="rId659" Type="http://schemas.openxmlformats.org/officeDocument/2006/relationships/hyperlink" Target="https://community.secop.gov.co/Public/Tendering/ContractNoticePhases/View?PPI=CO1.PPI.35247785&amp;isFromPublicArea=True&amp;isModal=False" TargetMode="External"/><Relationship Id="rId214" Type="http://schemas.openxmlformats.org/officeDocument/2006/relationships/hyperlink" Target="https://community.secop.gov.co/Public/Tendering/ContractNoticePhases/View?PPI=CO1.PPI.30958778&amp;isFromPublicArea=True&amp;isModal=False" TargetMode="External"/><Relationship Id="rId256" Type="http://schemas.openxmlformats.org/officeDocument/2006/relationships/hyperlink" Target="https://www.colombiacompra.gov.co/tienda-virtual-del-estado-colombiano/ordenes-compra/127577" TargetMode="External"/><Relationship Id="rId298" Type="http://schemas.openxmlformats.org/officeDocument/2006/relationships/hyperlink" Target="https://community.secop.gov.co/Public/Tendering/ContractNoticePhases/View?PPI=CO1.PPI.31827342&amp;isFromPublicArea=True&amp;isModal=False" TargetMode="External"/><Relationship Id="rId421" Type="http://schemas.openxmlformats.org/officeDocument/2006/relationships/hyperlink" Target="https://community.secop.gov.co/Public/Tendering/ContractNoticePhases/View?PPI=CO1.PPI.33510066&amp;isFromPublicArea=True&amp;isModal=False" TargetMode="External"/><Relationship Id="rId463" Type="http://schemas.openxmlformats.org/officeDocument/2006/relationships/hyperlink" Target="https://community.secop.gov.co/Public/Tendering/ContractNoticePhases/View?PPI=CO1.PPI.33514264&amp;isFromPublicArea=True&amp;isModal=False" TargetMode="External"/><Relationship Id="rId519" Type="http://schemas.openxmlformats.org/officeDocument/2006/relationships/hyperlink" Target="https://community.secop.gov.co/Public/Tendering/ContractNoticePhases/View?PPI=CO1.PPI.33510066&amp;isFromPublicArea=True&amp;isModal=False" TargetMode="External"/><Relationship Id="rId670" Type="http://schemas.openxmlformats.org/officeDocument/2006/relationships/hyperlink" Target="https://community.secop.gov.co/Public/Tendering/ContractNoticePhases/View?PPI=CO1.PPI.34361134&amp;isFromPublicArea=True&amp;isModal=False" TargetMode="External"/><Relationship Id="rId116" Type="http://schemas.openxmlformats.org/officeDocument/2006/relationships/hyperlink" Target="https://community.secop.gov.co/Public/Tendering/ContractNoticePhases/View?PPI=CO1.PPI.29844060&amp;isFromPublicArea=True&amp;isModal=False" TargetMode="External"/><Relationship Id="rId158" Type="http://schemas.openxmlformats.org/officeDocument/2006/relationships/hyperlink" Target="https://community.secop.gov.co/Public/Tendering/ContractNoticePhases/View?PPI=CO1.PPI.29982289&amp;isFromPublicArea=True&amp;isModal=False" TargetMode="External"/><Relationship Id="rId323" Type="http://schemas.openxmlformats.org/officeDocument/2006/relationships/hyperlink" Target="https://community.secop.gov.co/Public/Tendering/ContractNoticePhases/View?PPI=CO1.PPI.32466849&amp;isFromPublicArea=True&amp;isModal=False" TargetMode="External"/><Relationship Id="rId530" Type="http://schemas.openxmlformats.org/officeDocument/2006/relationships/hyperlink" Target="https://community.secop.gov.co/Public/Tendering/ContractNoticePhases/View?PPI=CO1.PPI.33510066&amp;isFromPublicArea=True&amp;isModal=False" TargetMode="External"/><Relationship Id="rId726" Type="http://schemas.openxmlformats.org/officeDocument/2006/relationships/hyperlink" Target="https://community.secop.gov.co/Public/Tendering/ContractNoticePhases/View?PPI=CO1.PPI.36359601&amp;isFromPublicArea=True&amp;isModal=False" TargetMode="External"/><Relationship Id="rId20" Type="http://schemas.openxmlformats.org/officeDocument/2006/relationships/hyperlink" Target="https://community.secop.gov.co/Public/Tendering/ContractNoticePhases/View?PPI=CO1.PPI.29417632&amp;isFromPublicArea=True&amp;isModal=False" TargetMode="External"/><Relationship Id="rId62" Type="http://schemas.openxmlformats.org/officeDocument/2006/relationships/hyperlink" Target="https://community.secop.gov.co/Public/Tendering/ContractNoticePhases/View?PPI=CO1.PPI.29849604&amp;isFromPublicArea=True&amp;isModal=False" TargetMode="External"/><Relationship Id="rId365" Type="http://schemas.openxmlformats.org/officeDocument/2006/relationships/hyperlink" Target="https://community.secop.gov.co/Public/Tendering/ContractNoticePhases/View?PPI=CO1.PPI.32900840&amp;isFromPublicArea=True&amp;isModal=False" TargetMode="External"/><Relationship Id="rId572" Type="http://schemas.openxmlformats.org/officeDocument/2006/relationships/hyperlink" Target="https://community.secop.gov.co/Public/Tendering/ContractNoticePhases/View?PPI=CO1.PPI.34205501&amp;isFromPublicArea=True&amp;isModal=False" TargetMode="External"/><Relationship Id="rId628" Type="http://schemas.openxmlformats.org/officeDocument/2006/relationships/hyperlink" Target="https://community.secop.gov.co/Public/Tendering/ContractNoticePhases/View?PPI=CO1.PPI.34706473&amp;isFromPublicArea=True&amp;isModal=False" TargetMode="External"/><Relationship Id="rId225" Type="http://schemas.openxmlformats.org/officeDocument/2006/relationships/hyperlink" Target="https://community.secop.gov.co/Public/Tendering/ContractNoticePhases/View?PPI=CO1.PPI.30958778&amp;isFromPublicArea=True&amp;isModal=False" TargetMode="External"/><Relationship Id="rId267" Type="http://schemas.openxmlformats.org/officeDocument/2006/relationships/hyperlink" Target="https://community.secop.gov.co/Public/Tendering/ContractNoticePhases/View?PPI=CO1.PPI.31273712&amp;isFromPublicArea=True&amp;isModal=False" TargetMode="External"/><Relationship Id="rId432" Type="http://schemas.openxmlformats.org/officeDocument/2006/relationships/hyperlink" Target="https://community.secop.gov.co/Public/Tendering/ContractNo%20ticePhases/View?PPI=CO1.PPI.33514264&amp;isFromPublicArea=Tr%20ue&amp;isModal=False" TargetMode="External"/><Relationship Id="rId474" Type="http://schemas.openxmlformats.org/officeDocument/2006/relationships/hyperlink" Target="https://community.secop.gov.co/Public/Tendering/ContractNo%20ticePhases/View?PPI=CO1.PPI.33514264&amp;isFromPublicArea=Tr%20ue&amp;isModal=False" TargetMode="External"/><Relationship Id="rId106" Type="http://schemas.openxmlformats.org/officeDocument/2006/relationships/hyperlink" Target="https://community.secop.gov.co/Public/Tendering/ContractNoticePhases/View?PPI=CO1.PPI.29844060&amp;isFromPublicArea=True&amp;isModal=False" TargetMode="External"/><Relationship Id="rId127" Type="http://schemas.openxmlformats.org/officeDocument/2006/relationships/hyperlink" Target="https://community.secop.gov.co/Public/Tendering/ContractNoticePhases/View?PPI=CO1.PPI.29844060&amp;isFromPublicArea=True&amp;isModal=False" TargetMode="External"/><Relationship Id="rId313" Type="http://schemas.openxmlformats.org/officeDocument/2006/relationships/hyperlink" Target="https://community.secop.gov.co/Public/Tendering/ContractNoticePhases/View?PPI=CO1.PPI.32018162&amp;isFromPublicArea=True&amp;isModal=False" TargetMode="External"/><Relationship Id="rId495" Type="http://schemas.openxmlformats.org/officeDocument/2006/relationships/hyperlink" Target="https://community.secop.gov.co/Public/Tendering/ContractNo%20ticePhases/View?PPI=CO1.PPI.33510066&amp;isFromPublicArea=Tr%20ue&amp;isModal=False" TargetMode="External"/><Relationship Id="rId681" Type="http://schemas.openxmlformats.org/officeDocument/2006/relationships/hyperlink" Target="https://community.secop.gov.co/Public/Tendering/ContractNoticePhases/View?PPI=CO1.PPI.35625415&amp;isFromPublicArea=True&amp;isModal=False" TargetMode="External"/><Relationship Id="rId716" Type="http://schemas.openxmlformats.org/officeDocument/2006/relationships/hyperlink" Target="https://community.secop.gov.co/Public/Tendering/ContractNoticePhases/View?PPI=CO1.PPI.36355402&amp;isFromPublicArea=True&amp;isModal=False" TargetMode="External"/><Relationship Id="rId737" Type="http://schemas.openxmlformats.org/officeDocument/2006/relationships/hyperlink" Target="https://www.secop.gov.co/CO1ContractsManagement/Tendering/ProcurementContractEdit/View?docUniqueIdentifier=CO1.PCCNTR.4025999&amp;prevCtxUrl=https%3a%2f%2fwww.secop.gov.co%3a443%2fCO1ContractsManagement%2fTendering%2fProcurementContractManagement%2fIndex&amp;prevCtxLbl=Contratos" TargetMode="External"/><Relationship Id="rId10" Type="http://schemas.openxmlformats.org/officeDocument/2006/relationships/hyperlink" Target="https://community.secop.gov.co/Public/Tendering/ContractNoticePhases/View?PPI=CO1.PPI.29361435&amp;isFromPublicArea=True&amp;isModal=False" TargetMode="External"/><Relationship Id="rId31" Type="http://schemas.openxmlformats.org/officeDocument/2006/relationships/hyperlink" Target="https://community.secop.gov.co/Public/Tendering/ContractNoticePhases/View?PPI=CO1.PPI.29809056&amp;isFromPublicArea=True&amp;isModal=False" TargetMode="External"/><Relationship Id="rId52" Type="http://schemas.openxmlformats.org/officeDocument/2006/relationships/hyperlink" Target="https://community.secop.gov.co/Public/Tendering/ContractNoticePhases/View?PPI=CO1.PPI.29849604&amp;isFromPublicArea=True&amp;isModal=False" TargetMode="External"/><Relationship Id="rId73" Type="http://schemas.openxmlformats.org/officeDocument/2006/relationships/hyperlink" Target="https://community.secop.gov.co/Public/Tendering/ContractNoticePhases/View?PPI=CO1.PPI.29844060&amp;isFromPublicArea=True&amp;isModal=False" TargetMode="External"/><Relationship Id="rId94" Type="http://schemas.openxmlformats.org/officeDocument/2006/relationships/hyperlink" Target="https://community.secop.gov.co/Public/Tendering/ContractNoticePhases/View?PPI=CO1.PPI.29844060&amp;isFromPublicArea=True&amp;isModal=False" TargetMode="External"/><Relationship Id="rId148" Type="http://schemas.openxmlformats.org/officeDocument/2006/relationships/hyperlink" Target="https://community.secop.gov.co/Public/Tendering/ContractNoticePhases/View?PPI=CO1.PPI.29844060&amp;isFromPublicArea=True&amp;isModal=False" TargetMode="External"/><Relationship Id="rId169" Type="http://schemas.openxmlformats.org/officeDocument/2006/relationships/hyperlink" Target="https://www.colombiacompra.gov.co/tienda-virtual-del-estado-colombiano/ordenes-compra/125769" TargetMode="External"/><Relationship Id="rId334" Type="http://schemas.openxmlformats.org/officeDocument/2006/relationships/hyperlink" Target="https://community.secop.gov.co/Public/Tendering/ContractNoticePhases/View?PPI=CO1.PPI.32469786&amp;isFromPublicArea=True&amp;isModal=False" TargetMode="External"/><Relationship Id="rId355" Type="http://schemas.openxmlformats.org/officeDocument/2006/relationships/hyperlink" Target="https://community.secop.gov.co/Public/Tendering/ContractNoticePhases/View?PPI=CO1.PPI.32764107&amp;isFromPublicArea=True&amp;isModal=False" TargetMode="External"/><Relationship Id="rId376" Type="http://schemas.openxmlformats.org/officeDocument/2006/relationships/hyperlink" Target="https://community.secop.gov.co/Public/Tendering/ContractNoticePhases/View?PPI=CO1.PPI.32933159&amp;isFromPublicArea=True&amp;isModal=False" TargetMode="External"/><Relationship Id="rId397" Type="http://schemas.openxmlformats.org/officeDocument/2006/relationships/hyperlink" Target="https://community.secop.gov.co/Public/Tendering/ContractNoticePhases/View?PPI=CO1.PPI.33206089&amp;isFromPublicArea=True&amp;isModal=False" TargetMode="External"/><Relationship Id="rId520" Type="http://schemas.openxmlformats.org/officeDocument/2006/relationships/hyperlink" Target="https://community.secop.gov.co/Public/Tendering/ContractNoticePhases/View?PPI=CO1.PPI.33514264&amp;isFromPublicArea=True&amp;isModal=False" TargetMode="External"/><Relationship Id="rId541" Type="http://schemas.openxmlformats.org/officeDocument/2006/relationships/hyperlink" Target="https://community.secop.gov.co/Public/Tendering/ContractNoticePhases/View?PPI=CO1.PPI.33451197&amp;isFromPublicArea=True&amp;isModal=False" TargetMode="External"/><Relationship Id="rId562" Type="http://schemas.openxmlformats.org/officeDocument/2006/relationships/hyperlink" Target="https://community.secop.gov.co/Public/Tendering/ContractNoticePhases/View?PPI=CO1.PPI.33964434&amp;isFromPublicArea=True&amp;isModal=False" TargetMode="External"/><Relationship Id="rId583" Type="http://schemas.openxmlformats.org/officeDocument/2006/relationships/hyperlink" Target="https://community.secop.gov.co/Public/Tendering/ContractNoticePhases/View?PPI=CO1.PPI.34353713&amp;isFromPublicArea=True&amp;isModal=False" TargetMode="External"/><Relationship Id="rId618" Type="http://schemas.openxmlformats.org/officeDocument/2006/relationships/hyperlink" Target="https://community.secop.gov.co/Public/Tendering/ContractNoticePhases/View?PPI=CO1.PPI.34187908&amp;isFromPublicArea=True&amp;isModal=False" TargetMode="External"/><Relationship Id="rId639" Type="http://schemas.openxmlformats.org/officeDocument/2006/relationships/hyperlink" Target="https://community.secop.gov.co/Public/Tendering/ContractNoticePhases/View?PPI=CO1.PPI.34838536&amp;isFromPublicArea=True&amp;isModal=False" TargetMode="External"/><Relationship Id="rId4" Type="http://schemas.openxmlformats.org/officeDocument/2006/relationships/hyperlink" Target="https://community.secop.gov.co/Public/Tendering/ContractNoticePhases/View?PPI=CO1.PPI.29274316&amp;isFromPublicArea=True&amp;isModal=False" TargetMode="External"/><Relationship Id="rId180" Type="http://schemas.openxmlformats.org/officeDocument/2006/relationships/hyperlink" Target="https://community.secop.gov.co/Public/Tendering/ContractNoticePhases/View?PPI=CO1.PPI.30464039&amp;isFromPublicArea=True&amp;isModal=False" TargetMode="External"/><Relationship Id="rId215" Type="http://schemas.openxmlformats.org/officeDocument/2006/relationships/hyperlink" Target="https://community.secop.gov.co/Public/Tendering/ContractNoticePhases/View?PPI=CO1.PPI.30958778&amp;isFromPublicArea=True&amp;isModal=False" TargetMode="External"/><Relationship Id="rId236" Type="http://schemas.openxmlformats.org/officeDocument/2006/relationships/hyperlink" Target="https://community.secop.gov.co/Public/Tendering/ContractNoticePhases/View?PPI=CO1.PPI.30958778&amp;isFromPublicArea=True&amp;isModal=False" TargetMode="External"/><Relationship Id="rId257" Type="http://schemas.openxmlformats.org/officeDocument/2006/relationships/hyperlink" Target="https://community.secop.gov.co/Public/Tendering/ContractNoticePhases/View?PPI=CO1.PPI.31237210&amp;isFromPublicArea=True&amp;isModal=False" TargetMode="External"/><Relationship Id="rId278" Type="http://schemas.openxmlformats.org/officeDocument/2006/relationships/hyperlink" Target="https://community.secop.gov.co/Public/Tendering/ContractNoticePhases/View?PPI=CO1.PPI.31453509&amp;isFromPublicArea=True&amp;isModal=False" TargetMode="External"/><Relationship Id="rId401" Type="http://schemas.openxmlformats.org/officeDocument/2006/relationships/hyperlink" Target="https://community.secop.gov.co/Public/Tendering/ContractNoticePhases/View?PPI=CO1.PPI.33039372&amp;isFromPublicArea=True&amp;isModal=False" TargetMode="External"/><Relationship Id="rId422" Type="http://schemas.openxmlformats.org/officeDocument/2006/relationships/hyperlink" Target="https://community.secop.gov.co/Public/Tendering/ContractNo%20ticePhases/View?PPI=CO1.PPI.33514264&amp;isFromPublicArea=Tr%20ue&amp;isModal=False" TargetMode="External"/><Relationship Id="rId443" Type="http://schemas.openxmlformats.org/officeDocument/2006/relationships/hyperlink" Target="https://community.secop.gov.co/Public/Tendering/ContractNoticePhases/View?PPI=CO1.PPI.33510066&amp;isFromPublicArea=True&amp;isModal=False" TargetMode="External"/><Relationship Id="rId464" Type="http://schemas.openxmlformats.org/officeDocument/2006/relationships/hyperlink" Target="https://community.secop.gov.co/Public/Tendering/ContractNoticePhases/View?PPI=CO1.PPI.33510066&amp;isFromPublicArea=True&amp;isModal=False" TargetMode="External"/><Relationship Id="rId650" Type="http://schemas.openxmlformats.org/officeDocument/2006/relationships/hyperlink" Target="https://community.secop.gov.co/Public/Tendering/ContractNoticePhases/View?PPI=CO1.PPI.35007723&amp;isFromPublicArea=True&amp;isModal=False" TargetMode="External"/><Relationship Id="rId303" Type="http://schemas.openxmlformats.org/officeDocument/2006/relationships/hyperlink" Target="https://community.secop.gov.co/Public/Tendering/ContractNoticePhases/View?PPI=CO1.PPI.31857403&amp;isFromPublicArea=True&amp;isModal=False" TargetMode="External"/><Relationship Id="rId485" Type="http://schemas.openxmlformats.org/officeDocument/2006/relationships/hyperlink" Target="https://community.secop.gov.co/Public/Tendering/ContractNo%20ticePhases/View?PPI=CO1.PPI.33514264&amp;isFromPublicArea=Tr%20ue&amp;isModal=False" TargetMode="External"/><Relationship Id="rId692" Type="http://schemas.openxmlformats.org/officeDocument/2006/relationships/hyperlink" Target="https://community.secop.gov.co/Public/Tendering/ContractNoticePhases/View?PPI=CO1.PPI.36101435&amp;isFromPublicArea=True&amp;isModal=False" TargetMode="External"/><Relationship Id="rId706" Type="http://schemas.openxmlformats.org/officeDocument/2006/relationships/hyperlink" Target="https://community.secop.gov.co/Public/Tendering/ContractNoticePhases/View?PPI=CO1.PPI.36199826&amp;isFromPublicArea=True&amp;isModal=False" TargetMode="External"/><Relationship Id="rId748" Type="http://schemas.microsoft.com/office/2017/10/relationships/threadedComment" Target="../threadedComments/threadedComment1.xml"/><Relationship Id="rId42" Type="http://schemas.openxmlformats.org/officeDocument/2006/relationships/hyperlink" Target="https://community.secop.gov.co/Public/Tendering/ContractNoticePhases/View?PPI=CO1.PPI.29849604&amp;isFromPublicArea=True&amp;isModal=False" TargetMode="External"/><Relationship Id="rId84" Type="http://schemas.openxmlformats.org/officeDocument/2006/relationships/hyperlink" Target="https://community.secop.gov.co/Public/Tendering/ContractNoticePhases/View?PPI=CO1.PPI.29844060&amp;isFromPublicArea=True&amp;isModal=False" TargetMode="External"/><Relationship Id="rId138" Type="http://schemas.openxmlformats.org/officeDocument/2006/relationships/hyperlink" Target="https://community.secop.gov.co/Public/Tendering/ContractNoticePhases/View?PPI=CO1.PPI.29844060&amp;isFromPublicArea=True&amp;isModal=False" TargetMode="External"/><Relationship Id="rId345" Type="http://schemas.openxmlformats.org/officeDocument/2006/relationships/hyperlink" Target="https://community.secop.gov.co/Public/Tendering/ContractNoticePhases/View?PPI=CO1.PPI.32546002&amp;isFromPublicArea=True&amp;isModal=False" TargetMode="External"/><Relationship Id="rId387" Type="http://schemas.openxmlformats.org/officeDocument/2006/relationships/hyperlink" Target="https://community.secop.gov.co/Public/Tendering/ContractNoticePhases/View?PPI=CO1.PPI.32905762&amp;isFromPublicArea=True&amp;isModal=False" TargetMode="External"/><Relationship Id="rId510" Type="http://schemas.openxmlformats.org/officeDocument/2006/relationships/hyperlink" Target="https://community.secop.gov.co/Public/Tendering/ContractNo%20ticePhases/View?PPI=CO1.PPI.33510066&amp;isFromPublicArea=Tr%20ue&amp;isModal=False" TargetMode="External"/><Relationship Id="rId552" Type="http://schemas.openxmlformats.org/officeDocument/2006/relationships/hyperlink" Target="https://community.secop.gov.co/Public/Tendering/ContractNoticePhases/View?PPI=CO1.PPI.33810527&amp;isFromPublicArea=True&amp;isModal=False" TargetMode="External"/><Relationship Id="rId594" Type="http://schemas.openxmlformats.org/officeDocument/2006/relationships/hyperlink" Target="https://community.secop.gov.co/Public/Tendering/ContractNoticePhases/View?PPI=CO1.PPI.34353713&amp;isFromPublicArea=True&amp;isModal=False" TargetMode="External"/><Relationship Id="rId608" Type="http://schemas.openxmlformats.org/officeDocument/2006/relationships/hyperlink" Target="https://community.secop.gov.co/Public/Tendering/ContractNoticePhases/View?PPI=CO1.PPI.29591164&amp;isFromPublicArea=True&amp;isModal=False" TargetMode="External"/><Relationship Id="rId191" Type="http://schemas.openxmlformats.org/officeDocument/2006/relationships/hyperlink" Target="https://community.secop.gov.co/Public/Tendering/ContractNoticePhases/View?PPI=CO1.PPI.30672020&amp;isFromPublicArea=True&amp;isModal=False" TargetMode="External"/><Relationship Id="rId205" Type="http://schemas.openxmlformats.org/officeDocument/2006/relationships/hyperlink" Target="https://community.secop.gov.co/Public/Tendering/ContractNoticePhases/View?PPI=CO1.PPI.30963988&amp;isFromPublicArea=True&amp;isModal=False" TargetMode="External"/><Relationship Id="rId247" Type="http://schemas.openxmlformats.org/officeDocument/2006/relationships/hyperlink" Target="https://community.secop.gov.co/Public/Tendering/ContractNoticePhases/View?PPI=CO1.PPI.31145895&amp;isFromPublicArea=True&amp;isModal=False" TargetMode="External"/><Relationship Id="rId412" Type="http://schemas.openxmlformats.org/officeDocument/2006/relationships/hyperlink" Target="https://community.secop.gov.co/Public/Tendering/ContractNoticePhases/View?PPI=CO1.PPI.33797673&amp;isFromPublicArea=True&amp;isModal=False" TargetMode="External"/><Relationship Id="rId107" Type="http://schemas.openxmlformats.org/officeDocument/2006/relationships/hyperlink" Target="https://community.secop.gov.co/Public/Tendering/ContractNoticePhases/View?PPI=CO1.PPI.29844060&amp;isFromPublicArea=True&amp;isModal=False" TargetMode="External"/><Relationship Id="rId289" Type="http://schemas.openxmlformats.org/officeDocument/2006/relationships/hyperlink" Target="https://community.secop.gov.co/Public/Tendering/ContractNoticePhases/View?PPI=CO1.PPI.31695943&amp;isFromPublicArea=True&amp;isModal=False" TargetMode="External"/><Relationship Id="rId454" Type="http://schemas.openxmlformats.org/officeDocument/2006/relationships/hyperlink" Target="https://community.secop.gov.co/Public/Tendering/ContractNo%20ticePhases/View?PPI=CO1.PPI.33514264&amp;isFromPublicArea=Tr%20ue&amp;isModal=False" TargetMode="External"/><Relationship Id="rId496" Type="http://schemas.openxmlformats.org/officeDocument/2006/relationships/hyperlink" Target="https://community.secop.gov.co/Public/Tendering/ContractNo%20ticePhases/View?PPI=CO1.PPI.33514264&amp;isFromPublicArea=Tr%20ue&amp;isModal=False" TargetMode="External"/><Relationship Id="rId661" Type="http://schemas.openxmlformats.org/officeDocument/2006/relationships/hyperlink" Target="https://community.secop.gov.co/Public/Tendering/ContractNoticePhases/View?PPI=CO1.PPI.35282266&amp;isFromPublicArea=True&amp;isModal=False" TargetMode="External"/><Relationship Id="rId717" Type="http://schemas.openxmlformats.org/officeDocument/2006/relationships/hyperlink" Target="https://community.secop.gov.co/Public/Tendering/ContractNoticePhases/View?PPI=CO1.PPI.36317498&amp;isFromPublicArea=True&amp;isModal=False" TargetMode="External"/><Relationship Id="rId11" Type="http://schemas.openxmlformats.org/officeDocument/2006/relationships/hyperlink" Target="https://community.secop.gov.co/Public/Tendering/ContractNoticePhases/View?PPI=CO1.PPI.29359392&amp;isFromPublicArea=True&amp;isModal=False" TargetMode="External"/><Relationship Id="rId53" Type="http://schemas.openxmlformats.org/officeDocument/2006/relationships/hyperlink" Target="https://community.secop.gov.co/Public/Tendering/ContractNoticePhases/View?PPI=CO1.PPI.29849604&amp;isFromPublicArea=True&amp;isModal=False" TargetMode="External"/><Relationship Id="rId149" Type="http://schemas.openxmlformats.org/officeDocument/2006/relationships/hyperlink" Target="https://community.secop.gov.co/Public/Tendering/ContractNoticePhases/View?PPI=CO1.PPI.29844060&amp;isFromPublicArea=True&amp;isModal=False" TargetMode="External"/><Relationship Id="rId314" Type="http://schemas.openxmlformats.org/officeDocument/2006/relationships/hyperlink" Target="https://community.secop.gov.co/Public/Tendering/ContractNoticePhases/View?PPI=CO1.PPI.32115267&amp;isFromPublicArea=True&amp;isModal=False" TargetMode="External"/><Relationship Id="rId356" Type="http://schemas.openxmlformats.org/officeDocument/2006/relationships/hyperlink" Target="https://community.secop.gov.co/Public/Tendering/ContractNoticePhases/View?PPI=CO1.PPI.32768408&amp;isFromPublicArea=True&amp;isModal=False" TargetMode="External"/><Relationship Id="rId398" Type="http://schemas.openxmlformats.org/officeDocument/2006/relationships/hyperlink" Target="https://community.secop.gov.co/Public/Tendering/ContractNoticePhases/View?PPI=CO1.PPI.33021517&amp;isFromPublicArea=True&amp;isModal=False" TargetMode="External"/><Relationship Id="rId521" Type="http://schemas.openxmlformats.org/officeDocument/2006/relationships/hyperlink" Target="https://community.secop.gov.co/Public/Tendering/ContractNo%20ticePhases/View?PPI=CO1.PPI.33510066&amp;isFromPublicArea=Tr%20ue&amp;isModal=False" TargetMode="External"/><Relationship Id="rId563" Type="http://schemas.openxmlformats.org/officeDocument/2006/relationships/hyperlink" Target="https://community.secop.gov.co/Public/Tendering/ContractNoticePhases/View?PPI=CO1.PPI.33965662&amp;isFromPublicArea=True&amp;isModal=False" TargetMode="External"/><Relationship Id="rId619" Type="http://schemas.openxmlformats.org/officeDocument/2006/relationships/hyperlink" Target="mailto:yhenao@indeportesantioquia.gov.co" TargetMode="External"/><Relationship Id="rId95" Type="http://schemas.openxmlformats.org/officeDocument/2006/relationships/hyperlink" Target="https://community.secop.gov.co/Public/Tendering/ContractNoticePhases/View?PPI=CO1.PPI.29844060&amp;isFromPublicArea=True&amp;isModal=False" TargetMode="External"/><Relationship Id="rId160" Type="http://schemas.openxmlformats.org/officeDocument/2006/relationships/hyperlink" Target="https://community.secop.gov.co/Public/Tendering/ContractNoticePhases/View?PPI=CO1.PPI.29996749&amp;isFromPublicArea=True&amp;isModal=False" TargetMode="External"/><Relationship Id="rId216" Type="http://schemas.openxmlformats.org/officeDocument/2006/relationships/hyperlink" Target="https://community.secop.gov.co/Public/Tendering/ContractNoticePhases/View?PPI=CO1.PPI.30958778&amp;isFromPublicArea=True&amp;isModal=False" TargetMode="External"/><Relationship Id="rId423" Type="http://schemas.openxmlformats.org/officeDocument/2006/relationships/hyperlink" Target="https://community.secop.gov.co/Public/Tendering/ContractNo%20ticePhases/View?PPI=CO1.PPI.33510066&amp;isFromPublicArea=Tr%20ue&amp;isModal=False" TargetMode="External"/><Relationship Id="rId258" Type="http://schemas.openxmlformats.org/officeDocument/2006/relationships/hyperlink" Target="https://community.secop.gov.co/Public/Tendering/ContractNoticePhases/View?PPI=CO1.PPI.31419684&amp;isFromPublicArea=True&amp;isModal=False" TargetMode="External"/><Relationship Id="rId465" Type="http://schemas.openxmlformats.org/officeDocument/2006/relationships/hyperlink" Target="https://community.secop.gov.co/Public/Tendering/ContractNo%20ticePhases/View?PPI=CO1.PPI.33510066&amp;isFromPublicArea=Tr%20ue&amp;isModal=False" TargetMode="External"/><Relationship Id="rId630" Type="http://schemas.openxmlformats.org/officeDocument/2006/relationships/hyperlink" Target="https://community.secop.gov.co/Public/Tendering/ContractNoticePhases/View?PPI=CO1.PPI.34814335&amp;isFromPublicArea=True&amp;isModal=False" TargetMode="External"/><Relationship Id="rId672" Type="http://schemas.openxmlformats.org/officeDocument/2006/relationships/hyperlink" Target="https://community.secop.gov.co/Public/Tendering/ContractNoticePhases/View?PPI=CO1.PPI.35268948&amp;isFromPublicArea=True&amp;isModal=False" TargetMode="External"/><Relationship Id="rId728" Type="http://schemas.openxmlformats.org/officeDocument/2006/relationships/hyperlink" Target="https://community.secop.gov.co/Public/Tendering/ContractNoticePhases/View?PPI=CO1.PPI.36338343&amp;isFromPublicArea=True&amp;isModal=False" TargetMode="External"/><Relationship Id="rId22" Type="http://schemas.openxmlformats.org/officeDocument/2006/relationships/hyperlink" Target="https://community.secop.gov.co/Public/Tendering/ContractNoticePhases/View?PPI=CO1.PPI.29359516&amp;isFromPublicArea=True&amp;isModal=False" TargetMode="External"/><Relationship Id="rId64" Type="http://schemas.openxmlformats.org/officeDocument/2006/relationships/hyperlink" Target="https://community.secop.gov.co/Public/Tendering/ContractNoticePhases/View?PPI=CO1.PPI.29849604&amp;isFromPublicArea=True&amp;isModal=False" TargetMode="External"/><Relationship Id="rId118" Type="http://schemas.openxmlformats.org/officeDocument/2006/relationships/hyperlink" Target="https://community.secop.gov.co/Public/Tendering/ContractNoticePhases/View?PPI=CO1.PPI.29844060&amp;isFromPublicArea=True&amp;isModal=False" TargetMode="External"/><Relationship Id="rId325" Type="http://schemas.openxmlformats.org/officeDocument/2006/relationships/hyperlink" Target="https://community.secop.gov.co/Public/Tendering/ContractNoticePhases/View?PPI=CO1.PPI.32458804&amp;isFromPublicArea=True&amp;isModal=False" TargetMode="External"/><Relationship Id="rId367" Type="http://schemas.openxmlformats.org/officeDocument/2006/relationships/hyperlink" Target="https://community.secop.gov.co/Public/Tendering/ContractNoticePhases/View?PPI=CO1.PPI.32905762&amp;isFromPublicArea=True&amp;isModal=False" TargetMode="External"/><Relationship Id="rId532" Type="http://schemas.openxmlformats.org/officeDocument/2006/relationships/hyperlink" Target="https://community.secop.gov.co/Public/Tendering/ContractNoticePhases/View?PPI=CO1.PPI.33510066&amp;isFromPublicArea=True&amp;isModal=False" TargetMode="External"/><Relationship Id="rId574" Type="http://schemas.openxmlformats.org/officeDocument/2006/relationships/hyperlink" Target="https://community.secop.gov.co/Public/Tendering/ContractNoticePhases/View?PPI=CO1.PPI.34239928&amp;isFromPublicArea=True&amp;isModal=False" TargetMode="External"/><Relationship Id="rId171" Type="http://schemas.openxmlformats.org/officeDocument/2006/relationships/hyperlink" Target="https://community.secop.gov.co/Public/Tendering/ContractNoticePhases/View?PPI=CO1.PPI.30457735&amp;isFromPublicArea=True&amp;isModal=False" TargetMode="External"/><Relationship Id="rId227" Type="http://schemas.openxmlformats.org/officeDocument/2006/relationships/hyperlink" Target="https://community.secop.gov.co/Public/Tendering/ContractNoticePhases/View?PPI=CO1.PPI.30958778&amp;isFromPublicArea=True&amp;isModal=False" TargetMode="External"/><Relationship Id="rId269" Type="http://schemas.openxmlformats.org/officeDocument/2006/relationships/hyperlink" Target="https://community.secop.gov.co/Public/Tendering/ContractNoticePhases/View?PPI=CO1.PPI.31295595&amp;isFromPublicArea=True&amp;isModal=False" TargetMode="External"/><Relationship Id="rId434" Type="http://schemas.openxmlformats.org/officeDocument/2006/relationships/hyperlink" Target="https://community.secop.gov.co/Public/Tendering/ContractNo%20ticePhases/View?PPI=CO1.PPI.33510066&amp;isFromPublicArea=Tr%20ue&amp;isModal=False" TargetMode="External"/><Relationship Id="rId476" Type="http://schemas.openxmlformats.org/officeDocument/2006/relationships/hyperlink" Target="https://community.secop.gov.co/Public/Tendering/ContractNo%20ticePhases/View?PPI=CO1.PPI.33514264&amp;isFromPublicArea=Tr%20ue&amp;isModal=False" TargetMode="External"/><Relationship Id="rId641" Type="http://schemas.openxmlformats.org/officeDocument/2006/relationships/hyperlink" Target="https://community.secop.gov.co/Public/Tendering/ContractNoticePhases/View?PPI=CO1.PPI.34838536&amp;isFromPublicArea=True&amp;isModal=False" TargetMode="External"/><Relationship Id="rId683" Type="http://schemas.openxmlformats.org/officeDocument/2006/relationships/hyperlink" Target="https://community.secop.gov.co/Public/Tendering/ContractNoticePhases/View?PPI=CO1.PPI.34928659&amp;isFromPublicArea=True&amp;isModal=False" TargetMode="External"/><Relationship Id="rId739" Type="http://schemas.openxmlformats.org/officeDocument/2006/relationships/hyperlink" Target="https://www.secop.gov.co/CO1ContractsManagement/Tendering/ProcurementContractEdit/View?docUniqueIdentifier=CO1.PCCNTR.3942093&amp;prevCtxUrl=https%3a%2f%2fwww.secop.gov.co%3a443%2fCO1ContractsManagement%2fTendering%2fProcurementContractManagement%2fIndex&amp;prevCtxLbl=Contratos" TargetMode="External"/><Relationship Id="rId33" Type="http://schemas.openxmlformats.org/officeDocument/2006/relationships/hyperlink" Target="https://community.secop.gov.co/Public/Tendering/ContractNoticePhases/View?PPI=CO1.PPI.29875682&amp;isFromPublicArea=True&amp;isModal=False" TargetMode="External"/><Relationship Id="rId129" Type="http://schemas.openxmlformats.org/officeDocument/2006/relationships/hyperlink" Target="https://community.secop.gov.co/Public/Tendering/ContractNoticePhases/View?PPI=CO1.PPI.29844060&amp;isFromPublicArea=True&amp;isModal=False" TargetMode="External"/><Relationship Id="rId280" Type="http://schemas.openxmlformats.org/officeDocument/2006/relationships/hyperlink" Target="https://community.secop.gov.co/Public/Tendering/ContractNoticePhases/View?PPI=CO1.PPI.31452830&amp;isFromPublicArea=True&amp;isModal=False" TargetMode="External"/><Relationship Id="rId336" Type="http://schemas.openxmlformats.org/officeDocument/2006/relationships/hyperlink" Target="https://community.secop.gov.co/Public/Tendering/ContractNoticePhases/View?PPI=CO1.PPI.32462800&amp;isFromPublicArea=True&amp;isModal=False" TargetMode="External"/><Relationship Id="rId501" Type="http://schemas.openxmlformats.org/officeDocument/2006/relationships/hyperlink" Target="https://community.secop.gov.co/Public/Tendering/ContractNo%20ticePhases/View?PPI=CO1.PPI.33510066&amp;isFromPublicArea=Tr%20ue&amp;isModal=False" TargetMode="External"/><Relationship Id="rId543" Type="http://schemas.openxmlformats.org/officeDocument/2006/relationships/hyperlink" Target="https://community.secop.gov.co/Public/Tendering/ContractNoticePhases/View?PPI=CO1.PPI.33453003&amp;isFromPublicArea=True&amp;isModal=False" TargetMode="External"/><Relationship Id="rId75" Type="http://schemas.openxmlformats.org/officeDocument/2006/relationships/hyperlink" Target="https://community.secop.gov.co/Public/Tendering/ContractNoticePhases/View?PPI=CO1.PPI.29844060&amp;isFromPublicArea=True&amp;isModal=False" TargetMode="External"/><Relationship Id="rId140" Type="http://schemas.openxmlformats.org/officeDocument/2006/relationships/hyperlink" Target="https://community.secop.gov.co/Public/Tendering/ContractNoticePhases/View?PPI=CO1.PPI.29844060&amp;isFromPublicArea=True&amp;isModal=False" TargetMode="External"/><Relationship Id="rId182" Type="http://schemas.openxmlformats.org/officeDocument/2006/relationships/hyperlink" Target="https://community.secop.gov.co/Public/Tendering/ContractNoticePhases/View?PPI=CO1.PPI.30464039&amp;isFromPublicArea=True&amp;isModal=False" TargetMode="External"/><Relationship Id="rId378" Type="http://schemas.openxmlformats.org/officeDocument/2006/relationships/hyperlink" Target="https://community.secop.gov.co/Public/Tendering/ContractNoticePhases/View?PPI=CO1.PPI.32995621&amp;isFromPublicArea=True&amp;isModal=False" TargetMode="External"/><Relationship Id="rId403" Type="http://schemas.openxmlformats.org/officeDocument/2006/relationships/hyperlink" Target="https://community.secop.gov.co/Public/Tendering/ContractNoticePhases/View?PPI=CO1.PPI.33236315&amp;isFromPublicArea=True&amp;isModal=False" TargetMode="External"/><Relationship Id="rId585" Type="http://schemas.openxmlformats.org/officeDocument/2006/relationships/hyperlink" Target="https://community.secop.gov.co/Public/Tendering/ContractNoticePhases/View?PPI=CO1.PPI.34421639&amp;isFromPublicArea=True&amp;isModal=False" TargetMode="External"/><Relationship Id="rId6" Type="http://schemas.openxmlformats.org/officeDocument/2006/relationships/hyperlink" Target="https://community.secop.gov.co/Public/Tendering/ContractNoticePhases/View?PPI=CO1.PPI.29273482&amp;isFromPublicArea=True&amp;isModal=False" TargetMode="External"/><Relationship Id="rId238" Type="http://schemas.openxmlformats.org/officeDocument/2006/relationships/hyperlink" Target="https://community.secop.gov.co/Public/Tendering/ContractNoticePhases/View?PPI=CO1.PPI.30958778&amp;isFromPublicArea=True&amp;isModal=False" TargetMode="External"/><Relationship Id="rId445" Type="http://schemas.openxmlformats.org/officeDocument/2006/relationships/hyperlink" Target="https://community.secop.gov.co/Public/Tendering/ContractNoticePhases/View?PPI=CO1.PPI.33510066&amp;isFromPublicArea=True&amp;isModal=False" TargetMode="External"/><Relationship Id="rId487" Type="http://schemas.openxmlformats.org/officeDocument/2006/relationships/hyperlink" Target="https://community.secop.gov.co/Public/Tendering/ContractNo%20ticePhases/View?PPI=CO1.PPI.33510066&amp;isFromPublicArea=Tr%20ue&amp;isModal=False" TargetMode="External"/><Relationship Id="rId610" Type="http://schemas.openxmlformats.org/officeDocument/2006/relationships/hyperlink" Target="https://community.secop.gov.co/Public/Tendering/ContractNoticePhases/View?PPI=CO1.PPI.34544648&amp;isFromPublicArea=True&amp;isModal=False" TargetMode="External"/><Relationship Id="rId652" Type="http://schemas.openxmlformats.org/officeDocument/2006/relationships/hyperlink" Target="https://community.secop.gov.co/Public/Tendering/ContractNoticePhases/View?PPI=CO1.PPI.35034836&amp;isFromPublicArea=True&amp;isModal=False" TargetMode="External"/><Relationship Id="rId694" Type="http://schemas.openxmlformats.org/officeDocument/2006/relationships/hyperlink" Target="https://community.secop.gov.co/Public/Tendering/ContractNoticePhases/View?PPI=CO1.PPI.36099235&amp;isFromPublicArea=True&amp;isModal=False" TargetMode="External"/><Relationship Id="rId708" Type="http://schemas.openxmlformats.org/officeDocument/2006/relationships/hyperlink" Target="https://community.secop.gov.co/Public/Tendering/ContractNoticePhases/View?PPI=CO1.PPI.36273264&amp;isFromPublicArea=True&amp;isModal=False" TargetMode="External"/><Relationship Id="rId291" Type="http://schemas.openxmlformats.org/officeDocument/2006/relationships/hyperlink" Target="https://community.secop.gov.co/Public/Tendering/ContractNoticePhases/View?PPI=CO1.PPI.31695943&amp;isFromPublicArea=True&amp;isModal=False" TargetMode="External"/><Relationship Id="rId305" Type="http://schemas.openxmlformats.org/officeDocument/2006/relationships/hyperlink" Target="https://community.secop.gov.co/Public/Tendering/ContractNoticePhases/View?PPI=CO1.PPI.31854895&amp;isFromPublicArea=True&amp;isModal=False" TargetMode="External"/><Relationship Id="rId347" Type="http://schemas.openxmlformats.org/officeDocument/2006/relationships/hyperlink" Target="https://community.secop.gov.co/Public/Tendering/ContractNoticePhases/View?PPI=CO1.PPI.31490283&amp;isFromPublicArea=True&amp;isModal=False" TargetMode="External"/><Relationship Id="rId512" Type="http://schemas.openxmlformats.org/officeDocument/2006/relationships/hyperlink" Target="https://community.secop.gov.co/Public/Tendering/ContractNo%20ticePhases/View?PPI=CO1.PPI.33510066&amp;isFromPublicArea=Tr%20ue&amp;isModal=False" TargetMode="External"/><Relationship Id="rId44" Type="http://schemas.openxmlformats.org/officeDocument/2006/relationships/hyperlink" Target="https://community.secop.gov.co/Public/Tendering/ContractNoticePhases/View?PPI=CO1.PPI.29849604&amp;isFromPublicArea=True&amp;isModal=False" TargetMode="External"/><Relationship Id="rId86" Type="http://schemas.openxmlformats.org/officeDocument/2006/relationships/hyperlink" Target="https://community.secop.gov.co/Public/Tendering/ContractNoticePhases/View?PPI=CO1.PPI.29844060&amp;isFromPublicArea=True&amp;isModal=False" TargetMode="External"/><Relationship Id="rId151" Type="http://schemas.openxmlformats.org/officeDocument/2006/relationships/hyperlink" Target="https://community.secop.gov.co/Public/Tendering/ContractNoticePhases/View?PPI=CO1.PPI.29844060&amp;isFromPublicArea=True&amp;isModal=False" TargetMode="External"/><Relationship Id="rId389" Type="http://schemas.openxmlformats.org/officeDocument/2006/relationships/hyperlink" Target="https://community.secop.gov.co/Public/Tendering/ContractNoticePhases/View?PPI=CO1.PPI.32985147&amp;isFromPublicArea=True&amp;isModal=False" TargetMode="External"/><Relationship Id="rId554" Type="http://schemas.openxmlformats.org/officeDocument/2006/relationships/hyperlink" Target="https://community.secop.gov.co/Public/Tendering/ContractNoticePhases/View?PPI=CO1.PPI.33866832&amp;isFromPublicArea=True&amp;isModal=False" TargetMode="External"/><Relationship Id="rId596" Type="http://schemas.openxmlformats.org/officeDocument/2006/relationships/hyperlink" Target="https://community.secop.gov.co/Public/Tendering/ContractNoticePhases/View?PPI=CO1.PPI.34353713&amp;isFromPublicArea=True&amp;isModal=False" TargetMode="External"/><Relationship Id="rId193" Type="http://schemas.openxmlformats.org/officeDocument/2006/relationships/hyperlink" Target="https://community.secop.gov.co/Public/Tendering/ContractNoticePhases/View?PPI=CO1.PPI.30912925&amp;isFromPublicArea=True&amp;isModal=False" TargetMode="External"/><Relationship Id="rId207" Type="http://schemas.openxmlformats.org/officeDocument/2006/relationships/hyperlink" Target="https://community.secop.gov.co/Public/Tendering/ContractNoticePhases/View?PPI=CO1.PPI.30958778&amp;isFromPublicArea=True&amp;isModal=False" TargetMode="External"/><Relationship Id="rId249" Type="http://schemas.openxmlformats.org/officeDocument/2006/relationships/hyperlink" Target="https://community.secop.gov.co/Public/Tendering/ContractNoticePhases/View?PPI=CO1.PPI.31391173&amp;isFromPublicArea=True&amp;isModal=False" TargetMode="External"/><Relationship Id="rId414" Type="http://schemas.openxmlformats.org/officeDocument/2006/relationships/hyperlink" Target="https://community.secop.gov.co/Public/Tendering/ContractNoticePhases/View?PPI=CO1.PPI.33446639&amp;isFromPublicArea=True&amp;isModal=False" TargetMode="External"/><Relationship Id="rId456" Type="http://schemas.openxmlformats.org/officeDocument/2006/relationships/hyperlink" Target="https://community.secop.gov.co/Public/Tendering/ContractNo%20ticePhases/View?PPI=CO1.PPI.33510066&amp;isFromPublicArea=Tr%20ue&amp;isModal=False" TargetMode="External"/><Relationship Id="rId498" Type="http://schemas.openxmlformats.org/officeDocument/2006/relationships/hyperlink" Target="https://community.secop.gov.co/Public/Tendering/ContractNo%20ticePhases/View?PPI=CO1.PPI.33510066&amp;isFromPublicArea=Tr%20ue&amp;isModal=False" TargetMode="External"/><Relationship Id="rId621" Type="http://schemas.openxmlformats.org/officeDocument/2006/relationships/hyperlink" Target="https://community.secop.gov.co/Public/Tendering/ContractNoticePhases/View?PPI=CO1.PPI.33236315&amp;isFromPublicArea=True&amp;isModal=False" TargetMode="External"/><Relationship Id="rId663" Type="http://schemas.openxmlformats.org/officeDocument/2006/relationships/hyperlink" Target="https://community.secop.gov.co/Public/Tendering/ContractNoticePhases/View?PPI=CO1.PPI.35328377&amp;isFromPublicArea=True&amp;isModal=FalseN" TargetMode="External"/><Relationship Id="rId13" Type="http://schemas.openxmlformats.org/officeDocument/2006/relationships/hyperlink" Target="https://community.secop.gov.co/Public/Tendering/ContractNoticePhases/View?PPI=CO1.PPI.29359614&amp;isFromPublicArea=True&amp;isModal=False" TargetMode="External"/><Relationship Id="rId109" Type="http://schemas.openxmlformats.org/officeDocument/2006/relationships/hyperlink" Target="https://community.secop.gov.co/Public/Tendering/ContractNoticePhases/View?PPI=CO1.PPI.29844060&amp;isFromPublicArea=True&amp;isModal=False" TargetMode="External"/><Relationship Id="rId260" Type="http://schemas.openxmlformats.org/officeDocument/2006/relationships/hyperlink" Target="https://community.secop.gov.co/Public/Tendering/ContractNoticePhases/View?PPI=CO1.PPI.31245950&amp;isFromPublicArea=True&amp;isModal=False" TargetMode="External"/><Relationship Id="rId316" Type="http://schemas.openxmlformats.org/officeDocument/2006/relationships/hyperlink" Target="https://community.secop.gov.co/Public/Tendering/ContractNoticePhases/View?PPI=CO1.PPI.32008332&amp;isFromPublicArea=True&amp;isModal=False" TargetMode="External"/><Relationship Id="rId523" Type="http://schemas.openxmlformats.org/officeDocument/2006/relationships/hyperlink" Target="https://community.secop.gov.co/Public/Tendering/ContractNo%20ticePhases/View?PPI=CO1.PPI.33510066&amp;isFromPublicArea=Tr%20ue&amp;isModal=False" TargetMode="External"/><Relationship Id="rId719" Type="http://schemas.openxmlformats.org/officeDocument/2006/relationships/hyperlink" Target="https://community.secop.gov.co/Public/Tendering/ContractNoticePhases/View?PPI=CO1.PPI.36243707&amp;isFromPublicArea=True&amp;isModal=False" TargetMode="External"/><Relationship Id="rId55" Type="http://schemas.openxmlformats.org/officeDocument/2006/relationships/hyperlink" Target="https://community.secop.gov.co/Public/Tendering/ContractNoticePhases/View?PPI=CO1.PPI.29849604&amp;isFromPublicArea=True&amp;isModal=False" TargetMode="External"/><Relationship Id="rId97" Type="http://schemas.openxmlformats.org/officeDocument/2006/relationships/hyperlink" Target="https://community.secop.gov.co/Public/Tendering/ContractNoticePhases/View?PPI=CO1.PPI.29844060&amp;isFromPublicArea=True&amp;isModal=False" TargetMode="External"/><Relationship Id="rId120" Type="http://schemas.openxmlformats.org/officeDocument/2006/relationships/hyperlink" Target="https://community.secop.gov.co/Public/Tendering/ContractNoticePhases/View?PPI=CO1.PPI.29844060&amp;isFromPublicArea=True&amp;isModal=False" TargetMode="External"/><Relationship Id="rId358" Type="http://schemas.openxmlformats.org/officeDocument/2006/relationships/hyperlink" Target="https://community.secop.gov.co/Public/Tendering/ContractNoticePhases/View?PPI=CO1.PPI.32544913&amp;isFromPublicArea=True&amp;isModal=False" TargetMode="External"/><Relationship Id="rId565" Type="http://schemas.openxmlformats.org/officeDocument/2006/relationships/hyperlink" Target="https://community.secop.gov.co/Public/Tendering/ContractNoticePhases/View?PPI=CO1.PPI.34057342&amp;isFromPublicArea=True&amp;isModal=False" TargetMode="External"/><Relationship Id="rId730" Type="http://schemas.openxmlformats.org/officeDocument/2006/relationships/hyperlink" Target="https://community.secop.gov.co/Public/Tendering/ContractNoticePhases/View?PPI=CO1.PPI.36359035&amp;isFromPublicArea=True&amp;isModal=False" TargetMode="External"/><Relationship Id="rId162" Type="http://schemas.openxmlformats.org/officeDocument/2006/relationships/hyperlink" Target="https://community.secop.gov.co/Public/Tendering/ContractNoticePhases/View?PPI=CO1.PPI.30069120&amp;isFromPublicArea=True&amp;isModal=False" TargetMode="External"/><Relationship Id="rId218" Type="http://schemas.openxmlformats.org/officeDocument/2006/relationships/hyperlink" Target="https://community.secop.gov.co/Public/Tendering/ContractNoticePhases/View?PPI=CO1.PPI.31112109&amp;isFromPublicArea=True&amp;isModal=False" TargetMode="External"/><Relationship Id="rId425" Type="http://schemas.openxmlformats.org/officeDocument/2006/relationships/hyperlink" Target="https://community.secop.gov.co/Public/Tendering/ContractNo%20ticePhases/View?PPI=CO1.PPI.33510066&amp;isFromPublicArea=Tr%20ue&amp;isModal=False" TargetMode="External"/><Relationship Id="rId467" Type="http://schemas.openxmlformats.org/officeDocument/2006/relationships/hyperlink" Target="https://community.secop.gov.co/Public/Tendering/ContractNo%20ticePhases/View?PPI=CO1.PPI.33510066&amp;isFromPublicArea=Tr%20ue&amp;isModal=False" TargetMode="External"/><Relationship Id="rId632" Type="http://schemas.openxmlformats.org/officeDocument/2006/relationships/hyperlink" Target="https://community.secop.gov.co/Public/Tendering/ContractNoticePhases/View?PPI=CO1.PPI.34747132&amp;isFromPublicArea=True&amp;isModal=False" TargetMode="External"/><Relationship Id="rId271" Type="http://schemas.openxmlformats.org/officeDocument/2006/relationships/hyperlink" Target="https://community.secop.gov.co/Public/Tendering/ContractNoticePhases/View?PPI=CO1.PPI.31328913&amp;isFromPublicArea=True&amp;isModal=False" TargetMode="External"/><Relationship Id="rId674" Type="http://schemas.openxmlformats.org/officeDocument/2006/relationships/hyperlink" Target="https://community.secop.gov.co/Public/Tendering/ContractNoticePhases/View?PPI=CO1.PPI.35508793&amp;isFromPublicArea=True&amp;isModal=False" TargetMode="External"/><Relationship Id="rId24" Type="http://schemas.openxmlformats.org/officeDocument/2006/relationships/hyperlink" Target="https://community.secop.gov.co/Public/Tendering/ContractNoticePhases/View?PPI=CO1.PPI.29397701&amp;isFromPublicArea=True&amp;isModal=False" TargetMode="External"/><Relationship Id="rId66" Type="http://schemas.openxmlformats.org/officeDocument/2006/relationships/hyperlink" Target="https://community.secop.gov.co/Public/Tendering/ContractNoticePhases/View?PPI=CO1.PPI.29849604&amp;isFromPublicArea=True&amp;isModal=False" TargetMode="External"/><Relationship Id="rId131" Type="http://schemas.openxmlformats.org/officeDocument/2006/relationships/hyperlink" Target="https://community.secop.gov.co/Public/Tendering/ContractNoticePhases/View?PPI=CO1.PPI.29844060&amp;isFromPublicArea=True&amp;isModal=False" TargetMode="External"/><Relationship Id="rId327" Type="http://schemas.openxmlformats.org/officeDocument/2006/relationships/hyperlink" Target="https://community.secop.gov.co/Public/Tendering/ContractNoticePhases/View?PPI=CO1.PPI.32135518&amp;isFromPublicArea=True&amp;isModal=False" TargetMode="External"/><Relationship Id="rId369" Type="http://schemas.openxmlformats.org/officeDocument/2006/relationships/hyperlink" Target="https://community.secop.gov.co/Public/Tendering/ContractNoticePhases/View?PPI=CO1.PPI.32905762&amp;isFromPublicArea=True&amp;isModal=False" TargetMode="External"/><Relationship Id="rId534" Type="http://schemas.openxmlformats.org/officeDocument/2006/relationships/hyperlink" Target="https://community.secop.gov.co/Public/Tendering/ContractNoticePhases/View?PPI=CO1.PPI.33510066&amp;isFromPublicArea=True&amp;isModal=False" TargetMode="External"/><Relationship Id="rId576" Type="http://schemas.openxmlformats.org/officeDocument/2006/relationships/hyperlink" Target="https://community.secop.gov.co/Public/Tendering/ContractNoticePhases/View?PPI=CO1.PPI.34233493&amp;isFromPublicArea=True&amp;isModal=False" TargetMode="External"/><Relationship Id="rId741" Type="http://schemas.openxmlformats.org/officeDocument/2006/relationships/hyperlink" Target="https://www.secop.gov.co/CO1ContractsManagement/Tendering/ProcurementContractEdit/View?docUniqueIdentifier=CO1.PCCNTR.5685302&amp;prevCtxUrl=https%3a%2f%2fwww.secop.gov.co%3a443%2fCO1ContractsManagement%2fTendering%2fProcurementContractManagement%2fIndex&amp;prevCtxLbl=Contratos" TargetMode="External"/><Relationship Id="rId173" Type="http://schemas.openxmlformats.org/officeDocument/2006/relationships/hyperlink" Target="https://community.secop.gov.co/Public/Tendering/ContractNoticePhases/View?PPI=CO1.PPI.30464039&amp;isFromPublicArea=True&amp;isModal=False" TargetMode="External"/><Relationship Id="rId229" Type="http://schemas.openxmlformats.org/officeDocument/2006/relationships/hyperlink" Target="https://community.secop.gov.co/Public/Tendering/ContractNoticePhases/View?PPI=CO1.PPI.30958778&amp;isFromPublicArea=True&amp;isModal=False" TargetMode="External"/><Relationship Id="rId380" Type="http://schemas.openxmlformats.org/officeDocument/2006/relationships/hyperlink" Target="https://community.secop.gov.co/Public/Tendering/ContractNoticePhases/ViewPPI=CO1.PPI.32994197&amp;isFromPublicArea=True&amp;isModal=False" TargetMode="External"/><Relationship Id="rId436" Type="http://schemas.openxmlformats.org/officeDocument/2006/relationships/hyperlink" Target="https://community.secop.gov.co/Public/Tendering/ContractNo%20ticePhases/View?PPI=CO1.PPI.33514264&amp;isFromPublicArea=Tr%20ue&amp;isModal=False" TargetMode="External"/><Relationship Id="rId601" Type="http://schemas.openxmlformats.org/officeDocument/2006/relationships/hyperlink" Target="https://community.secop.gov.co/Public/Tendering/ContractNoticePhases/View?PPI=CO1.PPI.34353713&amp;isFromPublicArea=True&amp;isModal=False" TargetMode="External"/><Relationship Id="rId643" Type="http://schemas.openxmlformats.org/officeDocument/2006/relationships/hyperlink" Target="https://community.secop.gov.co/Public/Tendering/ContractNoticePhases/View?PPI=CO1.PPI.34837814&amp;isFromPublicArea=True&amp;isModal=False" TargetMode="External"/><Relationship Id="rId240" Type="http://schemas.openxmlformats.org/officeDocument/2006/relationships/hyperlink" Target="https://community.secop.gov.co/Public/Tendering/ContractNoticePhases/View?PPI=CO1.PPI.30986682&amp;isFromPublicArea=True&amp;isModal=False" TargetMode="External"/><Relationship Id="rId478" Type="http://schemas.openxmlformats.org/officeDocument/2006/relationships/hyperlink" Target="https://community.secop.gov.co/Public/Tendering/ContractNo%20ticePhases/View?PPI=CO1.PPI.33514264&amp;isFromPublicArea=Tr%20ue&amp;isModal=False" TargetMode="External"/><Relationship Id="rId685" Type="http://schemas.openxmlformats.org/officeDocument/2006/relationships/hyperlink" Target="https://community.secop.gov.co/Public/Tendering/ContractNoticePhases/View?PPI=CO1.PPI.35916882&amp;isFromPublicArea=True&amp;isModal=False" TargetMode="External"/><Relationship Id="rId35" Type="http://schemas.openxmlformats.org/officeDocument/2006/relationships/hyperlink" Target="https://community.secop.gov.co/Public/Tendering/ContractNoticePhases/View?PPI=CO1.PPI.29849604&amp;isFromPublicArea" TargetMode="External"/><Relationship Id="rId77" Type="http://schemas.openxmlformats.org/officeDocument/2006/relationships/hyperlink" Target="https://community.secop.gov.co/Public/Tendering/ContractNoticePhases/View?PPI=CO1.PPI.29844060&amp;isFromPublicArea=True&amp;isModal=False" TargetMode="External"/><Relationship Id="rId100" Type="http://schemas.openxmlformats.org/officeDocument/2006/relationships/hyperlink" Target="https://community.secop.gov.co/Public/Tendering/ContractNoticePhases/View?PPI=CO1.PPI.29844060&amp;isFromPublicArea=True&amp;isModal=False" TargetMode="External"/><Relationship Id="rId282" Type="http://schemas.openxmlformats.org/officeDocument/2006/relationships/hyperlink" Target="https://community.secop.gov.co/Public/Tendering/ContractNoticePhases/View?PPI=CO1.PPI.31456845&amp;isFromPublicArea=True&amp;isModal=False" TargetMode="External"/><Relationship Id="rId338" Type="http://schemas.openxmlformats.org/officeDocument/2006/relationships/hyperlink" Target="https://community.secop.gov.co/Public/Tendering/ContractNoticePhases/View?PPI=CO1.PPI.32462800&amp;isFromPublicArea=True&amp;isModal=False" TargetMode="External"/><Relationship Id="rId503" Type="http://schemas.openxmlformats.org/officeDocument/2006/relationships/hyperlink" Target="https://community.secop.gov.co/Public/Tendering/ContractNo%20ticePhases/View?PPI=CO1.PPI.33510066&amp;isFromPublicArea=Tr%20ue&amp;isModal=False" TargetMode="External"/><Relationship Id="rId545" Type="http://schemas.openxmlformats.org/officeDocument/2006/relationships/hyperlink" Target="https://www.colombiacompra.gov.co/tienda-virtual-del-estado-colombiano/ordenes-compra/131349" TargetMode="External"/><Relationship Id="rId587" Type="http://schemas.openxmlformats.org/officeDocument/2006/relationships/hyperlink" Target="https://community.secop.gov.co/Public/Tendering/ContractNoticePhases/View?PPI=CO1.PPI.34353713&amp;isFromPublicArea=True&amp;isModal=False" TargetMode="External"/><Relationship Id="rId710" Type="http://schemas.openxmlformats.org/officeDocument/2006/relationships/hyperlink" Target="https://community.secop.gov.co/Public/Tendering/ContractNoticePhases/View?PPI=CO1.PPI.36329672&amp;isFromPublicArea=True&amp;isModal=False" TargetMode="External"/><Relationship Id="rId8" Type="http://schemas.openxmlformats.org/officeDocument/2006/relationships/hyperlink" Target="https://community.secop.gov.co/Public/Tendering/ContractNoticePhases/View?PPI=CO1.PPI.29280616&amp;isFromPublicArea=True&amp;isModal=False" TargetMode="External"/><Relationship Id="rId142" Type="http://schemas.openxmlformats.org/officeDocument/2006/relationships/hyperlink" Target="https://community.secop.gov.co/Public/Tendering/ContractNoticePhases/View?PPI=CO1.PPI.29844060&amp;isFromPublicArea=True&amp;isModal=False" TargetMode="External"/><Relationship Id="rId184" Type="http://schemas.openxmlformats.org/officeDocument/2006/relationships/hyperlink" Target="https://community.secop.gov.co/Public/Tendering/ContractNoticePhases/View?PPI=CO1.PPI.30464039&amp;isFromPublicArea=True&amp;isModal=False" TargetMode="External"/><Relationship Id="rId391" Type="http://schemas.openxmlformats.org/officeDocument/2006/relationships/hyperlink" Target="https://community.secop.gov.co/Public/Tendering/ContractNoticePhases/View?PPI=CO1.PPI.33021192&amp;isFromPublicArea=True&amp;isModal=False" TargetMode="External"/><Relationship Id="rId405" Type="http://schemas.openxmlformats.org/officeDocument/2006/relationships/hyperlink" Target="https://community.secop.gov.co/Public/Tendering/ContractNoticePhases/View?PPI=CO1.PPI.33371298&amp;isFromPublicArea=True&amp;isModal=False" TargetMode="External"/><Relationship Id="rId447" Type="http://schemas.openxmlformats.org/officeDocument/2006/relationships/hyperlink" Target="https://community.secop.gov.co/Public/Tendering/ContractNoticePhases/View?PPI=CO1.PPI.33510066&amp;isFromPublicArea=True&amp;isModal=False" TargetMode="External"/><Relationship Id="rId612" Type="http://schemas.openxmlformats.org/officeDocument/2006/relationships/hyperlink" Target="https://community.secop.gov.co/Public/Tendering/ContractNoticePhases/View?PPI=CO1.PPI.34642240&amp;isFromPublicArea=True&amp;isModal=False" TargetMode="External"/><Relationship Id="rId251" Type="http://schemas.openxmlformats.org/officeDocument/2006/relationships/hyperlink" Target="https://community.secop.gov.co/Public/Tendering/ContractNoticePhases/View?PPI=CO1.PPI.31234518&amp;isFromPublicArea=True&amp;isModal=False" TargetMode="External"/><Relationship Id="rId489" Type="http://schemas.openxmlformats.org/officeDocument/2006/relationships/hyperlink" Target="https://community.secop.gov.co/Public/Tendering/ContractNoticePhases/View?PPI=CO1.PPI.33510066&amp;isFromPublicArea=TrticePhases/View?PPI=CO1.PPI.33510066&amp;isFromPublicArea=Tr" TargetMode="External"/><Relationship Id="rId654" Type="http://schemas.openxmlformats.org/officeDocument/2006/relationships/hyperlink" Target="https://community.secop.gov.co/Public/Tendering/ContractNoticePhases/View?PPI=CO1.PPI.35154300&amp;isFromPublicArea=True&amp;isModal=False" TargetMode="External"/><Relationship Id="rId696" Type="http://schemas.openxmlformats.org/officeDocument/2006/relationships/hyperlink" Target="https://www.contratos.gov.co/consultas/detalleProceso.do?numConstancia=20-12-11435214&amp;g-recaptcha-response=03AGdBq27B0MzxDA0hxhkgMV8TN-aOukUOR2AMH5GaFn5Lz_ftbf6riVWQc7QAIAYuP_XmCoQDKNRGiDUsZoM-HPave0RK9qqkE8iuJ-MOfoMmsfOwKW4UJu73pc-svgBN4g3hZjjh0itxxQ8MKlxjnWDhuUw6hFSQXWj175ZF5ukUYnSeexfGT29BFYzgKfQxd1xa9BIUf9x9wx-9JL6VMrWCpSOKquU71JqTBCja0ZwYHIZPRGzcITI5ff3Mpvk2CHm7LsZW2T8pvLcdNX5Z73kEbWc4tbal9UnIIGGcvOV9ZR-cb3mF7IHaLPyRXKS_e4W11a_1Z83b8-dnITERe_G6GwGHcV3R2fo9Y8XZ84V51047NLIPTkdv6XNja8_WqjIinhPfJvGtIt0kEsvSE8wGu1-TB-2z5h6PYIiDgPL9RJPp-A-tRNFsQTJ_LcUs3wIgnMjtwwRnVwCHInwj0ItNY-lBYYPGQg" TargetMode="External"/><Relationship Id="rId46" Type="http://schemas.openxmlformats.org/officeDocument/2006/relationships/hyperlink" Target="https://community.secop.gov.co/Public/Tendering/ContractNoticePhases/View?PPI=CO1.PPI.29849604&amp;isFromPublicArea=True&amp;isModal=False" TargetMode="External"/><Relationship Id="rId293" Type="http://schemas.openxmlformats.org/officeDocument/2006/relationships/hyperlink" Target="https://community.secop.gov.co/Public/Tendering/ContractNoticePhases/View?PPI=CO1.PPI.31695943&amp;isFromPublicArea=True&amp;isModal=False" TargetMode="External"/><Relationship Id="rId307" Type="http://schemas.openxmlformats.org/officeDocument/2006/relationships/hyperlink" Target="https://community.secop.gov.co/Public/Tendering/ContractNoticePhases/View?PPI=CO1.PPI.31928330&amp;isFromPublicArea=True&amp;isModal=False" TargetMode="External"/><Relationship Id="rId349" Type="http://schemas.openxmlformats.org/officeDocument/2006/relationships/hyperlink" Target="https://community.secop.gov.co/Public/Tendering/ContractNoticePhases/View?PPI=CO1.PPI.32573881&amp;isFromPublicArea=True&amp;isModal=False" TargetMode="External"/><Relationship Id="rId514" Type="http://schemas.openxmlformats.org/officeDocument/2006/relationships/hyperlink" Target="https://community.secop.gov.co/Public/Tendering/ContractNoticePhases/View?PPI=CO1.PPI.33510066&amp;isFromPublicArea=True&amp;isModal=False" TargetMode="External"/><Relationship Id="rId556" Type="http://schemas.openxmlformats.org/officeDocument/2006/relationships/hyperlink" Target="https://www.secop.gov.co/CO1BusinessLine/Tendering/BuyerWorkArea/Index?DocUniqueIdentifier=CO1.BDOS.6579504" TargetMode="External"/><Relationship Id="rId721" Type="http://schemas.openxmlformats.org/officeDocument/2006/relationships/hyperlink" Target="https://community.secop.gov.co/Public/Tendering/ContractNoticePhases/View?PPI=CO1.PPI.36356457&amp;isFromPublicArea=True&amp;isModal=False" TargetMode="External"/><Relationship Id="rId88" Type="http://schemas.openxmlformats.org/officeDocument/2006/relationships/hyperlink" Target="https://community.secop.gov.co/Public/Tendering/ContractNoticePhases/View?PPI=CO1.PPI.29844060&amp;isFromPublicArea=True&amp;isModal=False" TargetMode="External"/><Relationship Id="rId111" Type="http://schemas.openxmlformats.org/officeDocument/2006/relationships/hyperlink" Target="https://community.secop.gov.co/Public/Tendering/ContractNoticePhases/View?PPI=CO1.PPI.29844060&amp;isFromPublicArea=True&amp;isModal=False" TargetMode="External"/><Relationship Id="rId153" Type="http://schemas.openxmlformats.org/officeDocument/2006/relationships/hyperlink" Target="https://community.secop.gov.co/Public/Tendering/ContractNoticePhases/View?PPI=CO1.PPI.29844060&amp;isFromPublicArea=True&amp;isModal=False" TargetMode="External"/><Relationship Id="rId195" Type="http://schemas.openxmlformats.org/officeDocument/2006/relationships/hyperlink" Target="https://community.secop.gov.co/Public/Tendering/ContractNoticePhases/View?PPI=CO1.PPI.30963284&amp;isFromPublicArea=True&amp;isModal=False" TargetMode="External"/><Relationship Id="rId209" Type="http://schemas.openxmlformats.org/officeDocument/2006/relationships/hyperlink" Target="https://community.secop.gov.co/Public/Tendering/ContractNoticePhases/View?PPI=CO1.PPI.30958778&amp;isFromPublicArea=True&amp;isModal=False" TargetMode="External"/><Relationship Id="rId360" Type="http://schemas.openxmlformats.org/officeDocument/2006/relationships/hyperlink" Target="https://community.secop.gov.co/Public/Tendering/ContractNoticePhases/View?PPI=CO1.PPI.32885710&amp;isFromPublicArea=True&amp;isModal=False" TargetMode="External"/><Relationship Id="rId416" Type="http://schemas.openxmlformats.org/officeDocument/2006/relationships/hyperlink" Target="https://community.secop.gov.co/Public/Tendering/ContractNoticePhases/View?PPI=CO1.PPI.33481920&amp;isFromPublicArea=True&amp;isModal=False" TargetMode="External"/><Relationship Id="rId598" Type="http://schemas.openxmlformats.org/officeDocument/2006/relationships/hyperlink" Target="https://community.secop.gov.co/Public/Tendering/ContractNoticePhases/View?PPI=CO1.PPI.34353713&amp;isFromPublicArea=True&amp;isModal=False" TargetMode="External"/><Relationship Id="rId220" Type="http://schemas.openxmlformats.org/officeDocument/2006/relationships/hyperlink" Target="https://community.secop.gov.co/Public/Tendering/ContractNoticePhases/View?PPI=CO1.PPI.31001993&amp;isFromPublicArea=True&amp;isModal=False" TargetMode="External"/><Relationship Id="rId458" Type="http://schemas.openxmlformats.org/officeDocument/2006/relationships/hyperlink" Target="https://community.secop.gov.co/Public/Tendering/ContractNoticePhases/View?PPI=CO1.PPI.33510066&amp;isFromPublicArea=Tr%20ue&amp;isModal=False" TargetMode="External"/><Relationship Id="rId623" Type="http://schemas.openxmlformats.org/officeDocument/2006/relationships/hyperlink" Target="https://community.secop.gov.co/Public/Tendering/ContractNoticePhases/View?PPI=CO1.PPI.34700641&amp;isFromPublicArea=True&amp;isModal=False" TargetMode="External"/><Relationship Id="rId665" Type="http://schemas.openxmlformats.org/officeDocument/2006/relationships/hyperlink" Target="https://community.secop.gov.co/Public/Tendering/ContractNoticePhases/View?PPI=CO1.PPI.34814335&amp;isFromPublicArea=True&amp;isModal=False" TargetMode="External"/><Relationship Id="rId15" Type="http://schemas.openxmlformats.org/officeDocument/2006/relationships/hyperlink" Target="https://community.secop.gov.co/Public/Tendering/ContractNoticePhases/View?PPI=CO1.PPI.29359365&amp;isFromPublicArea=True&amp;isModal=False" TargetMode="External"/><Relationship Id="rId57" Type="http://schemas.openxmlformats.org/officeDocument/2006/relationships/hyperlink" Target="https://community.secop.gov.co/Public/Tendering/ContractNoticePhases/View?PPI=CO1.PPI.29849604&amp;isFromPublicArea=True&amp;isModal=False" TargetMode="External"/><Relationship Id="rId262" Type="http://schemas.openxmlformats.org/officeDocument/2006/relationships/hyperlink" Target="https://community.secop.gov.co/Public/Tendering/ContractNoticePhases/View?PPI=CO1.PPI.31420275&amp;isFromPublicArea=True&amp;isModal=False" TargetMode="External"/><Relationship Id="rId318" Type="http://schemas.openxmlformats.org/officeDocument/2006/relationships/hyperlink" Target="https://community.secop.gov.co/Public/Tendering/ContractNoticePhases/View?PPI=CO1.PPI.32269691&amp;isFromPublicArea=True&amp;isModal=False" TargetMode="External"/><Relationship Id="rId525" Type="http://schemas.openxmlformats.org/officeDocument/2006/relationships/hyperlink" Target="https://community.secop.gov.co/Public/Tendering/ContractNo%20ticePhases/View?PPI=CO1.PPI.33510066&amp;isFromPublicArea=Tr%20ue&amp;isModal=False" TargetMode="External"/><Relationship Id="rId567" Type="http://schemas.openxmlformats.org/officeDocument/2006/relationships/hyperlink" Target="https://community.secop.gov.co/Public/Tendering/ContractNoticePhases/View?PPI=CO1.PPI.34038652&amp;isFromPublicArea=True&amp;isModal=False" TargetMode="External"/><Relationship Id="rId732" Type="http://schemas.openxmlformats.org/officeDocument/2006/relationships/hyperlink" Target="https://community.secop.gov.co/Public/Tendering/ContractNoticePhases/View?PPI=CO1.PPI.36355009&amp;isFromPublicArea=True&amp;isModal=False" TargetMode="External"/><Relationship Id="rId99" Type="http://schemas.openxmlformats.org/officeDocument/2006/relationships/hyperlink" Target="https://community.secop.gov.co/Public/Tendering/ContractNoticePhases/View?PPI=CO1.PPI.29844060&amp;isFromPublicArea=True&amp;isModal=False" TargetMode="External"/><Relationship Id="rId122" Type="http://schemas.openxmlformats.org/officeDocument/2006/relationships/hyperlink" Target="https://community.secop.gov.co/Public/Tendering/ContractNoticePhases/View?PPI=CO1.PPI.29844060&amp;isFromPublicArea=True&amp;isModal=False" TargetMode="External"/><Relationship Id="rId164" Type="http://schemas.openxmlformats.org/officeDocument/2006/relationships/hyperlink" Target="https://community.secop.gov.co/Public/Tendering/ContractNoticePhases/View?PPI=CO1.PPI.30085191&amp;isFromPublicArea=True&amp;isModal=False" TargetMode="External"/><Relationship Id="rId371" Type="http://schemas.openxmlformats.org/officeDocument/2006/relationships/hyperlink" Target="https://community.secop.gov.co/Public/Tendering/ContractNoticePhases/View?PPI=CO1.PPI.32905762&amp;isFromPublicArea=True&amp;isModal=False" TargetMode="External"/><Relationship Id="rId427" Type="http://schemas.openxmlformats.org/officeDocument/2006/relationships/hyperlink" Target="https://community.secop.gov.co/Public/Tendering/ContractNo%20ticePhases/View?PPI=CO1.PPI.33510066&amp;isFromPublicArea=Tr%20ue&amp;isModal=False" TargetMode="External"/><Relationship Id="rId469" Type="http://schemas.openxmlformats.org/officeDocument/2006/relationships/hyperlink" Target="https://community.secop.gov.co/Public/Tendering/ContractNo%20ticePhases/View?PPI=CO1.PPI.33510066&amp;isFromPublicArea=Tr%20ue&amp;isModal=False" TargetMode="External"/><Relationship Id="rId634" Type="http://schemas.openxmlformats.org/officeDocument/2006/relationships/hyperlink" Target="https://community.secop.gov.co/Public/Tendering/ContractNoticePhases/View?PPI=CO1.PPI.34797554&amp;isFromPublicArea=True&amp;isModal=False" TargetMode="External"/><Relationship Id="rId676" Type="http://schemas.openxmlformats.org/officeDocument/2006/relationships/hyperlink" Target="https://community.secop.gov.co/Public/Tendering/ContractNoticePhases/View?PPI=CO1.PPI.35479356&amp;isFromPublicArea=True&amp;isModal=False" TargetMode="External"/><Relationship Id="rId26" Type="http://schemas.openxmlformats.org/officeDocument/2006/relationships/hyperlink" Target="https://community.secop.gov.co/Public/Tendering/ContractNoticePhases/View?PPI=CO1.PPI.29447818&amp;isFromPublicArea=True&amp;isModal=False" TargetMode="External"/><Relationship Id="rId231" Type="http://schemas.openxmlformats.org/officeDocument/2006/relationships/hyperlink" Target="https://community.secop.gov.co/Public/Tendering/ContractNoticePhases/View?PPI=CO1.PPI.30958778&amp;isFromPublicArea=True&amp;isModal=False" TargetMode="External"/><Relationship Id="rId273" Type="http://schemas.openxmlformats.org/officeDocument/2006/relationships/hyperlink" Target="https://community.secop.gov.co/Public/Tendering/ContractNoticePhases/View?PPI=CO1.PPI.31418783&amp;isFromPublicArea=True&amp;isModal=False" TargetMode="External"/><Relationship Id="rId329" Type="http://schemas.openxmlformats.org/officeDocument/2006/relationships/hyperlink" Target="https://community.secop.gov.co/Public/Tendering/ContractNoticePhases/View?PPI=CO1.PPI.32426487&amp;isFromPublicArea=True&amp;isModal=False" TargetMode="External"/><Relationship Id="rId480" Type="http://schemas.openxmlformats.org/officeDocument/2006/relationships/hyperlink" Target="https://community.secop.gov.co/Public/Tendering/ContractNo%20ticePhases/View?PPI=CO1.PPI.33510066&amp;isFromPublicArea=Tr%20ue&amp;isModal=False" TargetMode="External"/><Relationship Id="rId536" Type="http://schemas.openxmlformats.org/officeDocument/2006/relationships/hyperlink" Target="https://community.secop.gov.co/Public/Tendering/ContractNoticePhases/View?PPI=CO1.PPI.33510066&amp;isFromPublicArea=True&amp;isModal=False" TargetMode="External"/><Relationship Id="rId701" Type="http://schemas.openxmlformats.org/officeDocument/2006/relationships/hyperlink" Target="https://www.secop.gov.co/CO1ContractsManagement/Tendering/ProcurementContractEdit/View?docUniqueIdentifier=CO1.PCCNTR.4780218&amp;prevCtxUrl=https%3a%2f%2fwww.secop.gov.co%3a443%2fCO1ContractsManagement%2fTendering%2fProcurementContractManagement%2fIndex&amp;prevCtxLbl=Contratos" TargetMode="External"/><Relationship Id="rId68" Type="http://schemas.openxmlformats.org/officeDocument/2006/relationships/hyperlink" Target="https://community.secop.gov.co/Public/Tendering/ContractNoticePhases/View?PPI=CO1.PPI.29849604&amp;isFromPublicArea=True&amp;isModal=False" TargetMode="External"/><Relationship Id="rId133" Type="http://schemas.openxmlformats.org/officeDocument/2006/relationships/hyperlink" Target="https://community.secop.gov.co/Public/Tendering/ContractNoticePhases/View?PPI=CO1.PPI.29844060&amp;isFromPublicArea=True&amp;isModal=False" TargetMode="External"/><Relationship Id="rId175" Type="http://schemas.openxmlformats.org/officeDocument/2006/relationships/hyperlink" Target="https://community.secop.gov.co/Public/Tendering/ContractNoticePhases/View?PPI=CO1.PPI.30464039&amp;isFromPublicArea=True&amp;isModal=False" TargetMode="External"/><Relationship Id="rId340" Type="http://schemas.openxmlformats.org/officeDocument/2006/relationships/hyperlink" Target="https://community.secop.gov.co/Public/Tendering/ContractNoticePhases/View?PPI=CO1.PPI.32462800&amp;isFromPublicArea=True&amp;isModal=False" TargetMode="External"/><Relationship Id="rId578" Type="http://schemas.openxmlformats.org/officeDocument/2006/relationships/hyperlink" Target="https://community.secop.gov.co/Public/Tendering/ContractNoticePhases/View?PPI=CO1.PPI.34397126&amp;isFromPublicArea=True&amp;isModal=False" TargetMode="External"/><Relationship Id="rId743" Type="http://schemas.openxmlformats.org/officeDocument/2006/relationships/hyperlink" Target="https://www.secop.gov.co/CO1ContractsManagement/Tendering/ProcurementContractEdit/View?docUniqueIdentifier=CO1.PCCNTR.5685302&amp;prevCtxUrl=https%3a%2f%2fwww.secop.gov.co%3a443%2fCO1ContractsManagement%2fTendering%2fProcurementContractManagement%2fIndex&amp;prevCtxLbl=Contratos" TargetMode="External"/><Relationship Id="rId200" Type="http://schemas.openxmlformats.org/officeDocument/2006/relationships/hyperlink" Target="https://community.secop.gov.co/Public/Tendering/ContractNoticePhases/View?PPI=CO1.PPI.30862945&amp;isFromPublicArea=True&amp;isModal=False" TargetMode="External"/><Relationship Id="rId382" Type="http://schemas.openxmlformats.org/officeDocument/2006/relationships/hyperlink" Target="https://community.secop.gov.co/Public/Tendering/ContractNoticePhases/View?PPI=CO1.PPI.32785639&amp;isFro%20mPublicArea=True&amp;isModal=False" TargetMode="External"/><Relationship Id="rId438" Type="http://schemas.openxmlformats.org/officeDocument/2006/relationships/hyperlink" Target="https://community.secop.gov.co/Public/Tendering/ContractNo%20ticePhases/View?PPI=CO1.PPI.33514264&amp;isFromPublicArea=Tr%20ue&amp;isModal=False" TargetMode="External"/><Relationship Id="rId603" Type="http://schemas.openxmlformats.org/officeDocument/2006/relationships/hyperlink" Target="https://community.secop.gov.co/Public/Tendering/ContractNoticePhases/View?PPI=CO1.PPI.34353713&amp;isFromPublicArea=True&amp;isModal=False" TargetMode="External"/><Relationship Id="rId645" Type="http://schemas.openxmlformats.org/officeDocument/2006/relationships/hyperlink" Target="https://community.secop.gov.co/Public/Tendering/ContractNoticePhases/View?PPI=CO1.PPI.34932677&amp;isFromPublicArea=True&amp;isModal=False" TargetMode="External"/><Relationship Id="rId687" Type="http://schemas.openxmlformats.org/officeDocument/2006/relationships/hyperlink" Target="https://community.secop.gov.co/Public/Tendering/ContractNoticePhases/View?PPI=CO1.PPI.35911792&amp;isFromPublicArea=True&amp;isModal=False" TargetMode="External"/><Relationship Id="rId242" Type="http://schemas.openxmlformats.org/officeDocument/2006/relationships/hyperlink" Target="https://community.secop.gov.co/Public/Tendering/ContractNoticePhases/View?PPI=CO1.PPI.31155459&amp;isFromPublicArea=True&amp;isModal=False" TargetMode="External"/><Relationship Id="rId284" Type="http://schemas.openxmlformats.org/officeDocument/2006/relationships/hyperlink" Target="https://community.secop.gov.co/Public/Tendering/ContractNoticePhases/View?PPI=CO1.PPI.31396993&amp;isFromPublicArea=True&amp;isModal=False" TargetMode="External"/><Relationship Id="rId491" Type="http://schemas.openxmlformats.org/officeDocument/2006/relationships/hyperlink" Target="https://community.secop.gov.co/Public/Tendering/ContractNoticePhases/View?PPI=CO1.PPI.33510066&amp;isFromPublicArea=True&amp;isModal=False" TargetMode="External"/><Relationship Id="rId505" Type="http://schemas.openxmlformats.org/officeDocument/2006/relationships/hyperlink" Target="https://community.secop.gov.co/Public/Tendering/ContractNoticePhases/View?PPI=CO1.PPI.33510066&amp;isFromPublicArea=True&amp;isModal=False" TargetMode="External"/><Relationship Id="rId712" Type="http://schemas.openxmlformats.org/officeDocument/2006/relationships/hyperlink" Target="https://community.secop.gov.co/Public/Tendering/ContractNoticePhases/View?PPI=CO1.PPI.36339116&amp;isFromPublicArea=True&amp;isModal=False" TargetMode="External"/><Relationship Id="rId37" Type="http://schemas.openxmlformats.org/officeDocument/2006/relationships/hyperlink" Target="https://community.secop.gov.co/Public/Tendering/ContractNoticePhases/View?PPI=CO1.PPI.29849604&amp;isFromPublicArea=True&amp;isModal=False" TargetMode="External"/><Relationship Id="rId79" Type="http://schemas.openxmlformats.org/officeDocument/2006/relationships/hyperlink" Target="https://community.secop.gov.co/Public/Tendering/ContractNoticePhases/View?PPI=CO1.PPI.29844060&amp;isFromPublicArea=True&amp;isModal=False" TargetMode="External"/><Relationship Id="rId102" Type="http://schemas.openxmlformats.org/officeDocument/2006/relationships/hyperlink" Target="https://community.secop.gov.co/Public/Tendering/ContractNoticePhases/View?PPI=CO1.PPI.29844060&amp;isFromPublicArea=True&amp;isModal=False" TargetMode="External"/><Relationship Id="rId144" Type="http://schemas.openxmlformats.org/officeDocument/2006/relationships/hyperlink" Target="https://community.secop.gov.co/Public/Tendering/ContractNoticePhases/View?PPI=CO1.PPI.29844060&amp;isFromPublicArea=True&amp;isModal=False" TargetMode="External"/><Relationship Id="rId547" Type="http://schemas.openxmlformats.org/officeDocument/2006/relationships/hyperlink" Target="https://community.secop.gov.co/Public/Tendering/ContractNoticePhases/View?PPI=CO1.PPI.33783708&amp;isFromPublicArea=True&amp;isModal=False" TargetMode="External"/><Relationship Id="rId589" Type="http://schemas.openxmlformats.org/officeDocument/2006/relationships/hyperlink" Target="https://community.secop.gov.co/Public/Tendering/ContractNoticePhases/View?PPI=CO1.PPI.34353713&amp;isFromPublicArea=True&amp;isModal=False" TargetMode="External"/><Relationship Id="rId90" Type="http://schemas.openxmlformats.org/officeDocument/2006/relationships/hyperlink" Target="https://community.secop.gov.co/Public/Tendering/ContractNoticePhases/View?PPI=CO1.PPI.29844060&amp;isFromPublicArea=True&amp;isModal=False" TargetMode="External"/><Relationship Id="rId186" Type="http://schemas.openxmlformats.org/officeDocument/2006/relationships/hyperlink" Target="https://community.secop.gov.co/Public/Tendering/ContractNoticePhases/View?PPI=CO1.PPI.30464039&amp;isFromPublicArea=True&amp;isModal=False" TargetMode="External"/><Relationship Id="rId351" Type="http://schemas.openxmlformats.org/officeDocument/2006/relationships/hyperlink" Target="https://community.secop.gov.co/Public/Tendering/ContractNoticePhases/View?PPI=CO1.PPI.32707290&amp;isFromPublicArea=True&amp;isModal=False" TargetMode="External"/><Relationship Id="rId393" Type="http://schemas.openxmlformats.org/officeDocument/2006/relationships/hyperlink" Target="https://community.secop.gov.co/Public/Tendering/ContractNoticePhases/View?PPI=CO1.PPI.33021596&amp;isFromPublicArea=True&amp;isModal=False" TargetMode="External"/><Relationship Id="rId407" Type="http://schemas.openxmlformats.org/officeDocument/2006/relationships/hyperlink" Target="https://community.secop.gov.co/Public/Tendering/ContractNoticePhases/View?PPI=CO1.PPI.33642110&amp;isFromPublicArea=True&amp;isModal=False" TargetMode="External"/><Relationship Id="rId449" Type="http://schemas.openxmlformats.org/officeDocument/2006/relationships/hyperlink" Target="https://community.secop.gov.co/Public/Tendering/ContractNoticePhases/View?PPI=CO1.PPI.33510066&amp;isFromPublicArea=TrticePhases/View?PPI=CO1.PPI.33510066&amp;isFromPublicArea=Tr" TargetMode="External"/><Relationship Id="rId614" Type="http://schemas.openxmlformats.org/officeDocument/2006/relationships/hyperlink" Target="https://community.secop.gov.co/Public/Tendering/ContractNoticePhases/View?PPI=CO1.PPI.34486020&amp;isFromPublicArea=True&amp;isModal=False" TargetMode="External"/><Relationship Id="rId656" Type="http://schemas.openxmlformats.org/officeDocument/2006/relationships/hyperlink" Target="https://community.secop.gov.co/Public/Tendering/ContractNoticePhases/View?PPI=CO1.PPI.34254608&amp;isFromPublicArea=True&amp;isModal=False" TargetMode="External"/><Relationship Id="rId211" Type="http://schemas.openxmlformats.org/officeDocument/2006/relationships/hyperlink" Target="https://community.secop.gov.co/Public/Tendering/ContractNoticePhases/View?PPI=CO1.PPI.30958778&amp;isFromPublicArea=True&amp;isModal=False" TargetMode="External"/><Relationship Id="rId253" Type="http://schemas.openxmlformats.org/officeDocument/2006/relationships/hyperlink" Target="https://community.secop.gov.co/Public/Tendering/ContractNoticePhases/View?PPI=CO1.PPI.31303663&amp;isFromPublicArea=True&amp;isModal=False" TargetMode="External"/><Relationship Id="rId295" Type="http://schemas.openxmlformats.org/officeDocument/2006/relationships/hyperlink" Target="https://community.secop.gov.co/Public/Tendering/ContractNoticePhases/View?PPI=CO1.PPI.31695943&amp;isFromPublicArea=True&amp;isModal=False" TargetMode="External"/><Relationship Id="rId309" Type="http://schemas.openxmlformats.org/officeDocument/2006/relationships/hyperlink" Target="https://community.secop.gov.co/Public/Tendering/ContractNoticePhases/View?PPI=CO1.PPI.31962846&amp;isFromPublicArea=True&amp;isModal=False" TargetMode="External"/><Relationship Id="rId460" Type="http://schemas.openxmlformats.org/officeDocument/2006/relationships/hyperlink" Target="https://community.secop.gov.co/Public/Tendering/ContractNo%20ticePhases/View?PPI=CO1.PPI.33510066&amp;isFromPublicArea=ue&amp;isModal=False" TargetMode="External"/><Relationship Id="rId516" Type="http://schemas.openxmlformats.org/officeDocument/2006/relationships/hyperlink" Target="https://community.secop.gov.co/Public/Tendering/ContractNo%20ticePhases/View?PPI=CO1.PPI.33510066&amp;isFromPublicArea=Tr%20ue&amp;isModal=False" TargetMode="External"/><Relationship Id="rId698" Type="http://schemas.openxmlformats.org/officeDocument/2006/relationships/hyperlink" Target="https://community.secop.gov.co/Public/Tendering/ContractNoticePhases/View?PPI=CO1.PPI.36358702&amp;isFromPublicArea=True&amp;isModal=False" TargetMode="External"/><Relationship Id="rId48" Type="http://schemas.openxmlformats.org/officeDocument/2006/relationships/hyperlink" Target="https://community.secop.gov.co/Public/Tendering/ContractNoticePhases/View?PPI=CO1.PPI.29849604&amp;isFromPublicArea=True&amp;isModal=False" TargetMode="External"/><Relationship Id="rId113" Type="http://schemas.openxmlformats.org/officeDocument/2006/relationships/hyperlink" Target="https://community.secop.gov.co/Public/Tendering/ContractNoticePhases/View?PPI=CO1.PPI.29844060&amp;isFromPublicArea=True&amp;isModal=False" TargetMode="External"/><Relationship Id="rId320" Type="http://schemas.openxmlformats.org/officeDocument/2006/relationships/hyperlink" Target="https://community.secop.gov.co/Public/Tendering/ContractNoticePhases/View?PPI=CO1.PPI.32115289&amp;isFromPublicArea=True&amp;isModal=False" TargetMode="External"/><Relationship Id="rId558" Type="http://schemas.openxmlformats.org/officeDocument/2006/relationships/hyperlink" Target="https://community.secop.gov.co/Public/Tendering/ContractNoticePhases/View?PPI=CO1.PPI.33958249&amp;isFromPublicArea=True&amp;isModal=False" TargetMode="External"/><Relationship Id="rId723" Type="http://schemas.openxmlformats.org/officeDocument/2006/relationships/hyperlink" Target="https://community.secop.gov.co/Public/Tendering/ContractNoticePhases/View?PPI=CO1.PPI.36324748&amp;isFromPublicArea=True&amp;isModal=False" TargetMode="External"/><Relationship Id="rId155" Type="http://schemas.openxmlformats.org/officeDocument/2006/relationships/hyperlink" Target="https://community.secop.gov.co/Public/Tendering/ContractNoticePhases/View?PPI=CO1.PPI.30029097&amp;isFromPublicArea=True&amp;isModal=False" TargetMode="External"/><Relationship Id="rId197" Type="http://schemas.openxmlformats.org/officeDocument/2006/relationships/hyperlink" Target="https://community.secop.gov.co/Public/Tendering/ContractNoticePhases/View?PPI=CO1.PPI.30841482&amp;isFromPublicArea=True&amp;isModal=False" TargetMode="External"/><Relationship Id="rId362" Type="http://schemas.openxmlformats.org/officeDocument/2006/relationships/hyperlink" Target="https://community.secop.gov.co/Public/Tendering/ContractNoticePhases/View?PPI=CO1.PPI.32892250&amp;isFromPublicArea=True&amp;isModal=False" TargetMode="External"/><Relationship Id="rId418" Type="http://schemas.openxmlformats.org/officeDocument/2006/relationships/hyperlink" Target="https://community.secop.gov.co/Public/Tendering/ContractNoticePhases/View?PPI=CO1.PPI.33797355&amp;isFromPublicArea=True&amp;isModal=False" TargetMode="External"/><Relationship Id="rId625" Type="http://schemas.openxmlformats.org/officeDocument/2006/relationships/hyperlink" Target="https://community.secop.gov.co/Public/Tendering/ContractNoticePhases/View?PPI=CO1.PPI.34712415&amp;isFromPublicArea=True&amp;isModal=False" TargetMode="External"/><Relationship Id="rId222" Type="http://schemas.openxmlformats.org/officeDocument/2006/relationships/hyperlink" Target="https://community.secop.gov.co/Public/Tendering/ContractNoticePhases/View?PPI=CO1.PPI.30958778&amp;isFromPublicArea=True&amp;isModal=False" TargetMode="External"/><Relationship Id="rId264" Type="http://schemas.openxmlformats.org/officeDocument/2006/relationships/hyperlink" Target="https://community.secop.gov.co/Public/Tendering/ContractNoticePhases/View?PPI=CO1.PPI.31446379&amp;isFromPublicArea=True&amp;isModal=False" TargetMode="External"/><Relationship Id="rId471" Type="http://schemas.openxmlformats.org/officeDocument/2006/relationships/hyperlink" Target="https://community.secop.gov.co/Public/Tendering/ContractNoticePhases/View?PPI=CO1.PPI.33510066&amp;isFromPublicArea=True&amp;isModal=False" TargetMode="External"/><Relationship Id="rId667" Type="http://schemas.openxmlformats.org/officeDocument/2006/relationships/hyperlink" Target="https://community.secop.gov.co/Public/Tendering/ContractNoticePhases/View?PPI=CO1.PPI.35061013&amp;isFromPublicArea=True&amp;isModal=False" TargetMode="External"/><Relationship Id="rId17" Type="http://schemas.openxmlformats.org/officeDocument/2006/relationships/hyperlink" Target="https://community.secop.gov.co/Public/Tendering/ContractNoticePhases/View?PPI=CO1.PPI.29362265&amp;isFromPublicArea=True&amp;isModal=False" TargetMode="External"/><Relationship Id="rId59" Type="http://schemas.openxmlformats.org/officeDocument/2006/relationships/hyperlink" Target="https://community.secop.gov.co/Public/Tendering/ContractNoticePhases/View?PPI=CO1.PPI.29849604&amp;isFromPublicArea=True&amp;isModal=False" TargetMode="External"/><Relationship Id="rId124" Type="http://schemas.openxmlformats.org/officeDocument/2006/relationships/hyperlink" Target="https://community.secop.gov.co/Public/Tendering/ContractNoticePhases/View?PPI=CO1.PPI.29844060&amp;isFromPublicArea=True&amp;isModal=False" TargetMode="External"/><Relationship Id="rId527" Type="http://schemas.openxmlformats.org/officeDocument/2006/relationships/hyperlink" Target="https://community.secop.gov.co/Public/Tendering/ContractNo%20ticePhases/View?PPI=CO1.PPI.33510066&amp;isFromPublicArea=Tr%20ue&amp;isModal=False" TargetMode="External"/><Relationship Id="rId569" Type="http://schemas.openxmlformats.org/officeDocument/2006/relationships/hyperlink" Target="https://community.secop.gov.co/Public/Tendering/ContractNoticePhases/View?PPI=CO1.PPI.34197669&amp;isFromPublicArea=True&amp;isModal=False" TargetMode="External"/><Relationship Id="rId734" Type="http://schemas.openxmlformats.org/officeDocument/2006/relationships/hyperlink" Target="https://community.secop.gov.co/Public/Tendering/ContractNoticePhases/View?PPI=CO1.PPI.36201809&amp;isFromPublicArea=True&amp;isModal=False" TargetMode="External"/><Relationship Id="rId70" Type="http://schemas.openxmlformats.org/officeDocument/2006/relationships/hyperlink" Target="https://community.secop.gov.co/Public/Tendering/ContractNoticePhases/View?PPI=CO1.PPI.29844060&amp;isFromPublicArea=True&amp;isModal=False" TargetMode="External"/><Relationship Id="rId166" Type="http://schemas.openxmlformats.org/officeDocument/2006/relationships/hyperlink" Target="https://community.secop.gov.co/Public/Tendering/ContractNoticePhases/View?PPI=CO1.PPI.30099373&amp;isFromPublicArea=True&amp;isModal=False" TargetMode="External"/><Relationship Id="rId331" Type="http://schemas.openxmlformats.org/officeDocument/2006/relationships/hyperlink" Target="https://community.secop.gov.co/Public/Tendering/ContractNoticePhases/View?PPI=CO1.PPI.32414226&amp;isFromPublicArea=True&amp;isModal=False" TargetMode="External"/><Relationship Id="rId373" Type="http://schemas.openxmlformats.org/officeDocument/2006/relationships/hyperlink" Target="https://community.secop.gov.co/Public/Tendering/ContractNoticePhases/View?PPI=CO1.PPI.32905762&amp;isFromPublicArea=True&amp;isModal=False" TargetMode="External"/><Relationship Id="rId429" Type="http://schemas.openxmlformats.org/officeDocument/2006/relationships/hyperlink" Target="https://community.secop.gov.co/Public/Tendering/ContractNo%20ticePhases/View?PPI=CO1.PPI.33514264&amp;isFromPublicArea=Tr%20ue&amp;isModal=False" TargetMode="External"/><Relationship Id="rId580" Type="http://schemas.openxmlformats.org/officeDocument/2006/relationships/hyperlink" Target="https://community.secop.gov.co/Public/Tendering/ContractNoticePhases/View?PPI=CO1.PPI.34390441&amp;isFromPublicArea=True&amp;isModal=False" TargetMode="External"/><Relationship Id="rId636" Type="http://schemas.openxmlformats.org/officeDocument/2006/relationships/hyperlink" Target="https://community.secop.gov.co/Public/Tendering/ContractNoticePhases/View?PPI=CO1.PPI.34953535&amp;isFromPublicArea=True&amp;isModal=False" TargetMode="External"/><Relationship Id="rId1" Type="http://schemas.openxmlformats.org/officeDocument/2006/relationships/hyperlink" Target="https://community.secop.gov.co/Public/Tendering/ContractNoticePhases/View?PPI=CO1.PPI.22840093&amp;isFromPublicArea=True&amp;isModal=False" TargetMode="External"/><Relationship Id="rId233" Type="http://schemas.openxmlformats.org/officeDocument/2006/relationships/hyperlink" Target="https://community.secop.gov.co/Public/Tendering/ContractNoticePhases/View?PPI=CO1.PPI.30958778&amp;isFromPublicArea=True&amp;isModal=False" TargetMode="External"/><Relationship Id="rId440" Type="http://schemas.openxmlformats.org/officeDocument/2006/relationships/hyperlink" Target="https://community.secop.gov.co/Public/Tendering/ContractNoticePhases/View?PPI=CO1.PPI.33510066&amp;isFromPublicArea=True&amp;isModal=False" TargetMode="External"/><Relationship Id="rId678" Type="http://schemas.openxmlformats.org/officeDocument/2006/relationships/hyperlink" Target="https://community.secop.gov.co/Public/Tendering/ContractNoticePhases/View?PPI=CO1.PPI.35507512&amp;isFromPublicArea=True&amp;isModal=False" TargetMode="External"/><Relationship Id="rId28" Type="http://schemas.openxmlformats.org/officeDocument/2006/relationships/hyperlink" Target="https://community.secop.gov.co/Public/Tendering/ContractNoticePhases/View?PPI=CO1.PPI.29575324&amp;isFromPublicArea=True&amp;isModal=False" TargetMode="External"/><Relationship Id="rId275" Type="http://schemas.openxmlformats.org/officeDocument/2006/relationships/hyperlink" Target="https://community.secop.gov.co/Public/Tendering/ContractNoticePhases/View?PPI=CO1.PPI.31424855&amp;isFromPublicArea=True&amp;isModal=False" TargetMode="External"/><Relationship Id="rId300" Type="http://schemas.openxmlformats.org/officeDocument/2006/relationships/hyperlink" Target="https://community.secop.gov.co/Public/Tendering/ContractNoticePhases/View?PPI=CO1.PPI.31056611&amp;isFromPublicArea=True&amp;isModal=False" TargetMode="External"/><Relationship Id="rId482" Type="http://schemas.openxmlformats.org/officeDocument/2006/relationships/hyperlink" Target="https://community.secop.gov.co/Public/Tendering/ContractNo%20ticePhases/View?PPI=CO1.PPI.33510066&amp;isFromPublicArea=Tr%20ue&amp;isModal=False" TargetMode="External"/><Relationship Id="rId538" Type="http://schemas.openxmlformats.org/officeDocument/2006/relationships/hyperlink" Target="https://community.secop.gov.co/Public/Tendering/ContractNo%20ticePhases/View?PPI=CO1.PPI.33510066&amp;isFromPublicArea=Tr%20ue&amp;isModal=False" TargetMode="External"/><Relationship Id="rId703" Type="http://schemas.openxmlformats.org/officeDocument/2006/relationships/hyperlink" Target="https://community.secop.gov.co/Public/Tendering/ContractNoticePhases/View?PPI=CO1.PPI.36218212&amp;isFromPublicArea=True&amp;isModal=False" TargetMode="External"/><Relationship Id="rId745" Type="http://schemas.openxmlformats.org/officeDocument/2006/relationships/vmlDrawing" Target="../drawings/vmlDrawing2.vml"/><Relationship Id="rId81" Type="http://schemas.openxmlformats.org/officeDocument/2006/relationships/hyperlink" Target="https://community.secop.gov.co/Public/Tendering/ContractNoticePhases/View?PPI=CO1.PPI.29844060&amp;isFromPublicArea=True&amp;isModal=False" TargetMode="External"/><Relationship Id="rId135" Type="http://schemas.openxmlformats.org/officeDocument/2006/relationships/hyperlink" Target="https://community.secop.gov.co/Public/Tendering/ContractNoticePhases/View?PPI=CO1.PPI.29844060&amp;isFromPublicArea=True&amp;isModal=False" TargetMode="External"/><Relationship Id="rId177" Type="http://schemas.openxmlformats.org/officeDocument/2006/relationships/hyperlink" Target="https://community.secop.gov.co/Public/Tendering/ContractNoticePhases/View?PPI=CO1.PPI.30464039&amp;isFromPublicArea=True&amp;isModal=False" TargetMode="External"/><Relationship Id="rId342" Type="http://schemas.openxmlformats.org/officeDocument/2006/relationships/hyperlink" Target="https://community.secop.gov.co/Public/Tendering/ContractNoticePhases/View?PPI=CO1.PPI.32438056&amp;isFromPublicArea=True&amp;isModal=False" TargetMode="External"/><Relationship Id="rId384" Type="http://schemas.openxmlformats.org/officeDocument/2006/relationships/hyperlink" Target="https://community.secop.gov.co/Public/Tendering/ContractNoticePhases/View?PPI=CO1.PPI.31666044&amp;isFromPublicArea=True&amp;isModal=False" TargetMode="External"/><Relationship Id="rId591" Type="http://schemas.openxmlformats.org/officeDocument/2006/relationships/hyperlink" Target="https://community.secop.gov.co/Public/Tendering/ContractNoticePhases/View?PPI=CO1.PPI.34353713&amp;isFromPublicArea=True&amp;isModal=False" TargetMode="External"/><Relationship Id="rId605" Type="http://schemas.openxmlformats.org/officeDocument/2006/relationships/hyperlink" Target="https://community.secop.gov.co/Public/Tendering/ContractNoticePhases/View?PPI=CO1.PPI.34125553&amp;isFromPublicArea=True&amp;isModal=False" TargetMode="External"/><Relationship Id="rId202" Type="http://schemas.openxmlformats.org/officeDocument/2006/relationships/hyperlink" Target="https://community.secop.gov.co/Public/Tendering/ContractNoticePhases/View?PPI=CO1.PPI.30958778&amp;isFromPublicArea=True&amp;isModal=False" TargetMode="External"/><Relationship Id="rId244" Type="http://schemas.openxmlformats.org/officeDocument/2006/relationships/hyperlink" Target="https://community.secop.gov.co/Public/Tendering/ContractNoticePhases/View?PPI=CO1.PPI.31257621&amp;isFromPublicArea=True&amp;isModal=False" TargetMode="External"/><Relationship Id="rId647" Type="http://schemas.openxmlformats.org/officeDocument/2006/relationships/hyperlink" Target="https://community.secop.gov.co/Public/Tendering/ContractNoticePhases/View?PPI=CO1.PPI.35002228&amp;isFromPublicArea=True&amp;isModal=False" TargetMode="External"/><Relationship Id="rId689" Type="http://schemas.openxmlformats.org/officeDocument/2006/relationships/hyperlink" Target="https://community.secop.gov.co/Public/Tendering/ContractNoticePhases/View?PPI=CO1.PPI.35659955&amp;isFromPublicArea=True&amp;isModal=False" TargetMode="External"/><Relationship Id="rId39" Type="http://schemas.openxmlformats.org/officeDocument/2006/relationships/hyperlink" Target="https://community.secop.gov.co/Public/Tendering/ContractNoticePhases/View?PPI=CO1.PPI.29849604&amp;isFromPublicArea=True&amp;isModal=False" TargetMode="External"/><Relationship Id="rId286" Type="http://schemas.openxmlformats.org/officeDocument/2006/relationships/hyperlink" Target="https://community.secop.gov.co/Public/Tendering/ContractNoticePhases/View?PPI=CO1.PPI.31631362&amp;isFromPublicArea=True&amp;isModal=False" TargetMode="External"/><Relationship Id="rId451" Type="http://schemas.openxmlformats.org/officeDocument/2006/relationships/hyperlink" Target="https://community.secop.gov.co/Public/Tendering/ContractNoticePhases/View?PPI=CO1.PPI.33514264&amp;isFromPublicArea=True&amp;isModal=False" TargetMode="External"/><Relationship Id="rId493" Type="http://schemas.openxmlformats.org/officeDocument/2006/relationships/hyperlink" Target="https://community.secop.gov.co/Public/Tendering/ContractNo%20ticePhases/View?PPI=CO1.PPI.33514264&amp;isFromPublicArea=Tr%20ue&amp;isModal=False" TargetMode="External"/><Relationship Id="rId507" Type="http://schemas.openxmlformats.org/officeDocument/2006/relationships/hyperlink" Target="https://community.secop.gov.co/Public/Tendering/ContractNo%20ticePhases/View?PPI=CO1.PPI.33510066&amp;isFromPublicArea=Tr%20ue&amp;isModal=False" TargetMode="External"/><Relationship Id="rId549" Type="http://schemas.openxmlformats.org/officeDocument/2006/relationships/hyperlink" Target="https://community.secop.gov.co/Public/Tendering/ContractNoticePhases/View?PPI=CO1.PPI.33695610&amp;isFromPublicArea=True&amp;isModal=False" TargetMode="External"/><Relationship Id="rId714" Type="http://schemas.openxmlformats.org/officeDocument/2006/relationships/hyperlink" Target="https://community.secop.gov.co/Public/Tendering/ContractNoticePhases/View?PPI=CO1.PPI.36220752&amp;isFromPublicArea=True&amp;isModal=False" TargetMode="External"/><Relationship Id="rId50" Type="http://schemas.openxmlformats.org/officeDocument/2006/relationships/hyperlink" Target="https://community.secop.gov.co/Public/Tendering/ContractNoticePhases/View?PPI=CO1.PPI.29849604&amp;isFromPublicArea=True&amp;isModal=False" TargetMode="External"/><Relationship Id="rId104" Type="http://schemas.openxmlformats.org/officeDocument/2006/relationships/hyperlink" Target="https://community.secop.gov.co/Public/Tendering/ContractNoticePhases/View?PPI=CO1.PPI.29844060&amp;isFromPublicArea=True&amp;isModal=False" TargetMode="External"/><Relationship Id="rId146" Type="http://schemas.openxmlformats.org/officeDocument/2006/relationships/hyperlink" Target="https://community.secop.gov.co/Public/Tendering/ContractNoticePhases/View?PPI=CO1.PPI.29844060&amp;isFromPublicArea=True&amp;isModal=False" TargetMode="External"/><Relationship Id="rId188" Type="http://schemas.openxmlformats.org/officeDocument/2006/relationships/hyperlink" Target="https://community.secop.gov.co/Public/Tendering/ContractNoticePhases/View?PPI=CO1.PPI.30619885&amp;isFromPublicArea=True&amp;isModal=False" TargetMode="External"/><Relationship Id="rId311" Type="http://schemas.openxmlformats.org/officeDocument/2006/relationships/hyperlink" Target="https://community.secop.gov.co/Public/Tendering/ContractNoticePhases/View?PPI=CO1.PPI.32115208&amp;isFromPublicArea=True&amp;isModal=False" TargetMode="External"/><Relationship Id="rId353" Type="http://schemas.openxmlformats.org/officeDocument/2006/relationships/hyperlink" Target="https://community.secop.gov.co/Public/Tendering/ContractNoticePhases/View?PPI=CO1.PPI.32687739&amp;isFromPublicArea=True&amp;isModal=False" TargetMode="External"/><Relationship Id="rId395" Type="http://schemas.openxmlformats.org/officeDocument/2006/relationships/hyperlink" Target="https://community.secop.gov.co/Public/Tendering/ContractNoticePhases/View?PPI=CO1.PPI.33203487&amp;isFromPublicArea=True&amp;isModal=False" TargetMode="External"/><Relationship Id="rId409" Type="http://schemas.openxmlformats.org/officeDocument/2006/relationships/hyperlink" Target="https://community.secop.gov.co/Public/Tendering/ContractNoticePhases/View?PPI=CO1.PPI.33344261&amp;isFromPublicArea=True&amp;isModal=False" TargetMode="External"/><Relationship Id="rId560" Type="http://schemas.openxmlformats.org/officeDocument/2006/relationships/hyperlink" Target="https://community.secop.gov.co/Public/Tendering/ContractNoticePhases/View?PPI=CO1.PPI.34009020&amp;isFromPublicArea=True&amp;isModal=False" TargetMode="External"/><Relationship Id="rId92" Type="http://schemas.openxmlformats.org/officeDocument/2006/relationships/hyperlink" Target="https://community.secop.gov.co/Public/Tendering/ContractNoticePhases/View?PPI=CO1.PPI.29844060&amp;isFromPublicArea" TargetMode="External"/><Relationship Id="rId213" Type="http://schemas.openxmlformats.org/officeDocument/2006/relationships/hyperlink" Target="https://community.secop.gov.co/Public/Tendering/ContractNoticePhases/View?PPI=CO1.PPI.30958778&amp;isFromPublicArea=True&amp;isModal=False" TargetMode="External"/><Relationship Id="rId420" Type="http://schemas.openxmlformats.org/officeDocument/2006/relationships/hyperlink" Target="https://community.secop.gov.co/Public/Tendering/ContractNoticePhases/View?PPI=CO1.PPI.33514264&amp;isFromPublicArea=True&amp;isModal=False" TargetMode="External"/><Relationship Id="rId616" Type="http://schemas.openxmlformats.org/officeDocument/2006/relationships/hyperlink" Target="https://community.secop.gov.co/Public/Tendering/ContractNoticePhases/View?PPI=CO1.PPI.34506407&amp;isFromPublicArea=True&amp;isModal=False" TargetMode="External"/><Relationship Id="rId658" Type="http://schemas.openxmlformats.org/officeDocument/2006/relationships/hyperlink" Target="https://community.secop.gov.co/Public/Tendering/ContractNoticePhases/View?PPI=CO1.PPI.35247785&amp;isFromPublicArea=True&amp;isModal=False" TargetMode="External"/><Relationship Id="rId255" Type="http://schemas.openxmlformats.org/officeDocument/2006/relationships/hyperlink" Target="https://community.secop.gov.co/Public/Tendering/ContractNoticePhases/View?PPI=CO1.PPI.31148986&amp;isFromPublicArea=True&amp;isModal=False" TargetMode="External"/><Relationship Id="rId297" Type="http://schemas.openxmlformats.org/officeDocument/2006/relationships/hyperlink" Target="https://community.secop.gov.co/Public/Tendering/ContractNoticePhases/View?PPI=CO1.PPI.31695943&amp;isFromPublicArea=True&amp;isModal=False" TargetMode="External"/><Relationship Id="rId462" Type="http://schemas.openxmlformats.org/officeDocument/2006/relationships/hyperlink" Target="https://community.secop.gov.co/Public/Tendering/ContractNoticePhases/View?PPI=CO1.PPI.33514264&amp;isFromPublicArea=True&amp;isModal=False" TargetMode="External"/><Relationship Id="rId518" Type="http://schemas.openxmlformats.org/officeDocument/2006/relationships/hyperlink" Target="https://community.secop.gov.co/Public/Tendering/ContractNoticePhases/View?PPI=CO1.PPI.33510066&amp;isFromPublicArea=True&amp;isModal=False" TargetMode="External"/><Relationship Id="rId725" Type="http://schemas.openxmlformats.org/officeDocument/2006/relationships/hyperlink" Target="https://community.secop.gov.co/Public/Tendering/ContractNoticePhases/View?PPI=CO1.PPI.36356845&amp;isFromPublicArea=True&amp;isModal=False" TargetMode="External"/><Relationship Id="rId115" Type="http://schemas.openxmlformats.org/officeDocument/2006/relationships/hyperlink" Target="https://community.secop.gov.co/Public/Tendering/ContractNoticePhases/View?PPI=CO1.PPI.29844060&amp;isFromPublicArea=True&amp;isModal=False" TargetMode="External"/><Relationship Id="rId157" Type="http://schemas.openxmlformats.org/officeDocument/2006/relationships/hyperlink" Target="https://community.secop.gov.co/Public/Tendering/ContractNoticePhases/View?PPI=CO1.PPI.30060302&amp;isFromPublicArea=True&amp;isModal=False" TargetMode="External"/><Relationship Id="rId322" Type="http://schemas.openxmlformats.org/officeDocument/2006/relationships/hyperlink" Target="https://community.secop.gov.co/Public/Tendering/ContractNoticePhases/View?PPI=CO1.PPI.32185941&amp;isFromPublicArea=True&amp;isModal=False" TargetMode="External"/><Relationship Id="rId364" Type="http://schemas.openxmlformats.org/officeDocument/2006/relationships/hyperlink" Target="https://community.secop.gov.co/Public/Tendering/ContractNoticePhases/View?PPI=CO1.PPI.32879528&amp;isFromPublicArea=True&amp;isModal=False" TargetMode="External"/><Relationship Id="rId61" Type="http://schemas.openxmlformats.org/officeDocument/2006/relationships/hyperlink" Target="https://community.secop.gov.co/Public/Tendering/ContractNoticePhases/View?PPI=CO1.PPI.29849604&amp;isFromPublicArea=True&amp;isModal=False" TargetMode="External"/><Relationship Id="rId199" Type="http://schemas.openxmlformats.org/officeDocument/2006/relationships/hyperlink" Target="https://community.secop.gov.co/Public/Tendering/ContractNoticePhases/View?PPI=CO1.PPI.30845931&amp;isFromPublicArea=True&amp;isModal=False" TargetMode="External"/><Relationship Id="rId571" Type="http://schemas.openxmlformats.org/officeDocument/2006/relationships/hyperlink" Target="https://community.secop.gov.co/Public/Tendering/ContractNoticePhases/View?PPI=CO1.PPI.34187943&amp;isFromPublicArea=True&amp;isModal=False" TargetMode="External"/><Relationship Id="rId627" Type="http://schemas.openxmlformats.org/officeDocument/2006/relationships/hyperlink" Target="https://community.secop.gov.co/Public/Tendering/ContractNoticePhases/View?PPI=CO1.PPI.34685757&amp;isFromPublicArea=True&amp;isModal=False" TargetMode="External"/><Relationship Id="rId669" Type="http://schemas.openxmlformats.org/officeDocument/2006/relationships/hyperlink" Target="https://community.secop.gov.co/Public/Tendering/ContractNoticePhases/View?PPI=CO1.PPI.35374969&amp;isFromPublicArea=True&amp;isModal=False" TargetMode="External"/><Relationship Id="rId19" Type="http://schemas.openxmlformats.org/officeDocument/2006/relationships/hyperlink" Target="https://community.secop.gov.co/Public/Tendering/ContractNoticePhases/View?PPI=CO1.PPI.29398164&amp;isFromPublicArea=True&amp;isModal=False" TargetMode="External"/><Relationship Id="rId224" Type="http://schemas.openxmlformats.org/officeDocument/2006/relationships/hyperlink" Target="https://community.secop.gov.co/Public/Tendering/ContractNoticePhases/View?PPI=CO1.PPI.30958778&amp;isFromPublicArea=True&amp;isModal=False" TargetMode="External"/><Relationship Id="rId266" Type="http://schemas.openxmlformats.org/officeDocument/2006/relationships/hyperlink" Target="https://community.secop.gov.co/Public/Tendering/ContractNoticePhases/View?PPI=CO1.PPI.31421134&amp;isFromPublicArea=True&amp;isModal=False" TargetMode="External"/><Relationship Id="rId431" Type="http://schemas.openxmlformats.org/officeDocument/2006/relationships/hyperlink" Target="https://community.secop.gov.co/Public/Tendering/ContractNo%20ticePhases/View?PPI=CO1.PPI.33510066&amp;isFromPublicArea=Tr%20ue&amp;isModal=False" TargetMode="External"/><Relationship Id="rId473" Type="http://schemas.openxmlformats.org/officeDocument/2006/relationships/hyperlink" Target="https://community.secop.gov.co/Public/Tendering/ContractNo%20ticePhases/View?PPI=CO1.PPI.33514264&amp;isFromPublicArea=Tr%20ue&amp;isModal=False" TargetMode="External"/><Relationship Id="rId529" Type="http://schemas.openxmlformats.org/officeDocument/2006/relationships/hyperlink" Target="https://community.secop.gov.co/Public/Tendering/ContractNo%20ticePhases/View?PPI=CO1.PPI.33510066&amp;isFromPublicArea=Tr%20ue&amp;isModal=False" TargetMode="External"/><Relationship Id="rId680" Type="http://schemas.openxmlformats.org/officeDocument/2006/relationships/hyperlink" Target="https://community.secop.gov.co/Public/Tendering/ContractNoticePhases/View?PPI=CO1.PPI.35644969&amp;isFromPublicArea=True&amp;isModal=False" TargetMode="External"/><Relationship Id="rId736" Type="http://schemas.openxmlformats.org/officeDocument/2006/relationships/hyperlink" Target="https://www.secop.gov.co/CO1ContractsManagement/Tendering/ProcurementContractEdit/ViewdocUniqueIdentifier=CO1.PCCNTR.4884809&amp;prevCtxUrl=https%3a%2f%2fwww.secop.gov.co%3a443%2fCO1ContractsManagement%2fTendering%2fProcurementContractManagement%2fInde&amp;prevCtxLbl=Procurement+Contracts+Management" TargetMode="External"/><Relationship Id="rId30" Type="http://schemas.openxmlformats.org/officeDocument/2006/relationships/hyperlink" Target="https://community.secop.gov.co/Public/Tendering/ContractNoticePhases/View?PPI=CO1.PPI.29808498&amp;isFromPublicArea=True&amp;isModal=False" TargetMode="External"/><Relationship Id="rId126" Type="http://schemas.openxmlformats.org/officeDocument/2006/relationships/hyperlink" Target="https://community.secop.gov.co/Public/Tendering/ContractNoticePhases/View?PPI=CO1.PPI.29844060&amp;isFromPublicArea=True&amp;isModal=False" TargetMode="External"/><Relationship Id="rId168" Type="http://schemas.openxmlformats.org/officeDocument/2006/relationships/hyperlink" Target="https://community.secop.gov.co/Public/Tendering/ContractNoticePhases/View?PPI=CO1.PPI.30312889&amp;isFromPublicArea=True&amp;isModal=False" TargetMode="External"/><Relationship Id="rId333" Type="http://schemas.openxmlformats.org/officeDocument/2006/relationships/hyperlink" Target="https://community.secop.gov.co/Public/Tendering/ContractNoticePhases/View?PPI=CO1.PPI.32468983&amp;isFromPublicArea=True&amp;isModal=False" TargetMode="External"/><Relationship Id="rId540" Type="http://schemas.openxmlformats.org/officeDocument/2006/relationships/hyperlink" Target="https://community.secop.gov.co/Public/Tendering/ContractNoticePhases/View?PPI=CO1.PPI.33451111&amp;isFromPublicArea=True&amp;isModal=False" TargetMode="External"/><Relationship Id="rId72" Type="http://schemas.openxmlformats.org/officeDocument/2006/relationships/hyperlink" Target="https://community.secop.gov.co/Public/Tendering/ContractNoticePhases/View?PPI=CO1.PPI.29844060&amp;isFromPublicArea=True&amp;isModal=False" TargetMode="External"/><Relationship Id="rId375" Type="http://schemas.openxmlformats.org/officeDocument/2006/relationships/hyperlink" Target="https://community.secop.gov.co/Public/Tendering/ContractNoticePhases/View?PPI=CO1.PPI.32905762&amp;isFromPublicArea=True&amp;isModal=False" TargetMode="External"/><Relationship Id="rId582" Type="http://schemas.openxmlformats.org/officeDocument/2006/relationships/hyperlink" Target="https://community.secop.gov.co/Public/Tendering/ContractNoticePhases/View?PPI=CO1.PPI.34396147&amp;isFromPublicArea=True&amp;isModal=False" TargetMode="External"/><Relationship Id="rId638" Type="http://schemas.openxmlformats.org/officeDocument/2006/relationships/hyperlink" Target="https://community.secop.gov.co/Public/Tendering/ContractNoticePhases/View?PPI=CO1.PPI.34838536&amp;isFromPublicArea=True&amp;isModal=False" TargetMode="External"/><Relationship Id="rId3" Type="http://schemas.openxmlformats.org/officeDocument/2006/relationships/hyperlink" Target="https://community.secop.gov.co/Public/Tendering/ContractNoticePhases/View?PPI=CO1.PPI.29267355&amp;isFromPublicArea=True&amp;isModal=False" TargetMode="External"/><Relationship Id="rId235" Type="http://schemas.openxmlformats.org/officeDocument/2006/relationships/hyperlink" Target="https://community.secop.gov.co/Public/Tendering/ContractNoticePhases/View?PPI=CO1.PPI.30958778&amp;isFromPublicArea=True&amp;isModal=False" TargetMode="External"/><Relationship Id="rId277" Type="http://schemas.openxmlformats.org/officeDocument/2006/relationships/hyperlink" Target="https://community.secop.gov.co/Public/Tendering/ContractNoticePhases/View?PPI=CO1.PPI.31453658&amp;isFromPublicArea=True&amp;isModal=False" TargetMode="External"/><Relationship Id="rId400" Type="http://schemas.openxmlformats.org/officeDocument/2006/relationships/hyperlink" Target="https://community.secop.gov.co/Public/Tendering/ContractNoticePhases/View?PPI=CO1.PPI.33299039&amp;isFromPublicArea=True&amp;isModal=False" TargetMode="External"/><Relationship Id="rId442" Type="http://schemas.openxmlformats.org/officeDocument/2006/relationships/hyperlink" Target="https://community.secop.gov.co/Public/Tendering/ContractNoticePhases/View?PPI=CO1.PPI.33510066&amp;isFromPublicArea=True&amp;isModal=False" TargetMode="External"/><Relationship Id="rId484" Type="http://schemas.openxmlformats.org/officeDocument/2006/relationships/hyperlink" Target="https://community.secop.gov.co/Public/Tendering/ContractNoticePhases/View?PPI=CO1.PPI.33514264&amp;isFromPublicArea=TrticePhases/View?PPI=CO1.PPI.33514264&amp;isFromPublicArea=Tr" TargetMode="External"/><Relationship Id="rId705" Type="http://schemas.openxmlformats.org/officeDocument/2006/relationships/hyperlink" Target="https://community.secop.gov.co/Public/Tendering/ContractNoticePhases/View?PPI=CO1.PPI.36327378&amp;isFromPublicArea=True&amp;isModal=False" TargetMode="External"/><Relationship Id="rId137" Type="http://schemas.openxmlformats.org/officeDocument/2006/relationships/hyperlink" Target="https://community.secop.gov.co/Public/Tendering/ContractNoticePhases/View?PPI=CO1.PPI.29844060&amp;isFromPublicArea=True&amp;isModal=False" TargetMode="External"/><Relationship Id="rId302" Type="http://schemas.openxmlformats.org/officeDocument/2006/relationships/hyperlink" Target="https://community.secop.gov.co/Public/Tendering/ContractNoticePhases/View?PPI=CO1.PPI.31889985&amp;isFromPublicArea=True&amp;isModal=False" TargetMode="External"/><Relationship Id="rId344" Type="http://schemas.openxmlformats.org/officeDocument/2006/relationships/hyperlink" Target="https://community.secop.gov.co/Public/Tendering/ContractNoticePhases/View?PPI=CO1.PPI.32577516&amp;isFromPublicArea=True&amp;isModal=False" TargetMode="External"/><Relationship Id="rId691" Type="http://schemas.openxmlformats.org/officeDocument/2006/relationships/hyperlink" Target="https://community.secop.gov.co/Public/Tendering/ContractNoticePhases/View?PPI=CO1.PPI.35956186&amp;isFromPublicArea=True&amp;isModal=False" TargetMode="External"/><Relationship Id="rId747" Type="http://schemas.openxmlformats.org/officeDocument/2006/relationships/comments" Target="../comments2.xml"/><Relationship Id="rId41" Type="http://schemas.openxmlformats.org/officeDocument/2006/relationships/hyperlink" Target="https://community.secop.gov.co/Public/Tendering/ContractNoticePhases/View?PPI=CO1.PPI.29849604&amp;isFromPublicArea=True&amp;isModal=False" TargetMode="External"/><Relationship Id="rId83" Type="http://schemas.openxmlformats.org/officeDocument/2006/relationships/hyperlink" Target="https://community.secop.gov.co/Public/Tendering/ContractNoticePhases/View?PPI=CO1.PPI.29844060&amp;isFromPublicArea=True&amp;isModal=False" TargetMode="External"/><Relationship Id="rId179" Type="http://schemas.openxmlformats.org/officeDocument/2006/relationships/hyperlink" Target="https://community.secop.gov.co/Public/Tendering/ContractNoticePhases/View?PPI=CO1.PPI.30464039&amp;isFromPublicArea=True&amp;isModal=False" TargetMode="External"/><Relationship Id="rId386" Type="http://schemas.openxmlformats.org/officeDocument/2006/relationships/hyperlink" Target="https://community.secop.gov.co/Public/Tendering/ContractNoticePhases/View?PPI=CO1.PPI.32905762&amp;isFromPublicArea=True&amp;isModal=False" TargetMode="External"/><Relationship Id="rId551" Type="http://schemas.openxmlformats.org/officeDocument/2006/relationships/hyperlink" Target="https://community.secop.gov.co/Public/Tendering/ContractNoticePhases/View?PPI=CO1.PPI.33829059&amp;isFromPublicArea=True&amp;isModal=False" TargetMode="External"/><Relationship Id="rId593" Type="http://schemas.openxmlformats.org/officeDocument/2006/relationships/hyperlink" Target="https://community.secop.gov.co/Public/Tendering/ContractNoticePhases/View?PPI=CO1.PPI.34353713&amp;isFromPublicArea=True&amp;isModal=False" TargetMode="External"/><Relationship Id="rId607" Type="http://schemas.openxmlformats.org/officeDocument/2006/relationships/hyperlink" Target="https://community.secop.gov.co/Public/Tendering/ContractNoticePhases/View?PPI=CO1.PPI.29447818&amp;isFromPublicArea=True&amp;isModal=False" TargetMode="External"/><Relationship Id="rId649" Type="http://schemas.openxmlformats.org/officeDocument/2006/relationships/hyperlink" Target="https://community.secop.gov.co/Public/Tendering/ContractNoticePhases/View?PPI=CO1.PPI.35006805&amp;isFromPublicArea=True&amp;isModal=False" TargetMode="External"/><Relationship Id="rId190" Type="http://schemas.openxmlformats.org/officeDocument/2006/relationships/hyperlink" Target="https://community.secop.gov.co/Public/Tendering/ContractNoticePhases/View?PPI=CO1.PPI.29844060&amp;isFromPublicArea=True&amp;isModal=False" TargetMode="External"/><Relationship Id="rId204" Type="http://schemas.openxmlformats.org/officeDocument/2006/relationships/hyperlink" Target="https://community.secop.gov.co/Public/Tendering/ContractNoticePhases/View?PPI=CO1.PPI.31023347&amp;isFromPublicArea=True&amp;isModal=False" TargetMode="External"/><Relationship Id="rId246" Type="http://schemas.openxmlformats.org/officeDocument/2006/relationships/hyperlink" Target="https://community.secop.gov.co/Public/Tendering/ContractNoticePhases/View?PPI=CO1.PPI.31366697&amp;isFromPublicArea=True&amp;isModal=False" TargetMode="External"/><Relationship Id="rId288" Type="http://schemas.openxmlformats.org/officeDocument/2006/relationships/hyperlink" Target="https://community.secop.gov.co/Public/Tendering/ContractNoticePhases/View?PPI=CO1.PPI.31695943&amp;isFromPublicArea=True&amp;isModal=False" TargetMode="External"/><Relationship Id="rId411" Type="http://schemas.openxmlformats.org/officeDocument/2006/relationships/hyperlink" Target="https://community.secop.gov.co/Public/Tendering/ContractNoticePhases/View?PPI=CO1.PPI.33377937&amp;isFro%20mPublicArea=True&amp;isModal=False" TargetMode="External"/><Relationship Id="rId453" Type="http://schemas.openxmlformats.org/officeDocument/2006/relationships/hyperlink" Target="https://community.secop.gov.co/Public/Tendering/ContractNoticePhases/View?PPI=CO1.PPI.33510066&amp;isFromPublicArea=True&amp;isModal=False" TargetMode="External"/><Relationship Id="rId509" Type="http://schemas.openxmlformats.org/officeDocument/2006/relationships/hyperlink" Target="https://community.secop.gov.co/Public/Tendering/ContractNo%20ticePhases/View?PPI=CO1.PPI.33510066&amp;isFromPublicArea=Tr%20ue&amp;isModal=False" TargetMode="External"/><Relationship Id="rId660" Type="http://schemas.openxmlformats.org/officeDocument/2006/relationships/hyperlink" Target="https://community.secop.gov.co/Public/Tendering/ContractNoticePhases/View?PPI=CO1.PPI.35251768&amp;isFromPublicArea=True&amp;isModal=Fals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2302"/>
  <sheetViews>
    <sheetView showGridLines="0" tabSelected="1" zoomScaleNormal="100" workbookViewId="0">
      <pane ySplit="6" topLeftCell="A2160" activePane="bottomLeft" state="frozen"/>
      <selection activeCell="E1" sqref="E1"/>
      <selection pane="bottomLeft" activeCell="D2197" sqref="D2197"/>
    </sheetView>
  </sheetViews>
  <sheetFormatPr baseColWidth="10" defaultColWidth="9.125" defaultRowHeight="14.25"/>
  <cols>
    <col min="1" max="1" width="13.125" style="91" customWidth="1"/>
    <col min="2" max="2" width="19" style="91" customWidth="1"/>
    <col min="3" max="3" width="43.25" style="91" customWidth="1"/>
    <col min="4" max="4" width="31.25" style="91" customWidth="1"/>
    <col min="5" max="6" width="40" style="92" customWidth="1"/>
    <col min="7" max="7" width="29.25" style="93" customWidth="1"/>
    <col min="8" max="8" width="24.75" style="94" customWidth="1"/>
    <col min="9" max="9" width="30.25" style="99" bestFit="1" customWidth="1"/>
    <col min="10" max="10" width="71.875" style="95" customWidth="1"/>
    <col min="11" max="13" width="25.125" style="91" customWidth="1"/>
    <col min="14" max="14" width="48.75" style="98" customWidth="1"/>
    <col min="15" max="15" width="18.125" style="95" customWidth="1"/>
    <col min="16" max="16" width="49.25" style="96" customWidth="1"/>
    <col min="17" max="17" width="17.875" style="91" customWidth="1"/>
    <col min="18" max="18" width="25.875" style="91" customWidth="1"/>
    <col min="19" max="19" width="21.75" style="87" customWidth="1"/>
    <col min="20" max="20" width="31.25" style="406" customWidth="1"/>
    <col min="21" max="21" width="22.625" style="407" customWidth="1"/>
    <col min="22" max="22" width="23.25" style="96" customWidth="1"/>
    <col min="23" max="23" width="27.125" style="96" customWidth="1"/>
    <col min="24" max="24" width="29.375" style="96" customWidth="1"/>
    <col min="25" max="25" width="25.125" style="97" customWidth="1"/>
    <col min="26" max="26" width="42.75" style="91" customWidth="1"/>
    <col min="27" max="27" width="32.875" style="91" customWidth="1"/>
    <col min="28" max="28" width="20.375" style="97" customWidth="1"/>
    <col min="29" max="29" width="25.25" style="97" customWidth="1"/>
    <col min="30" max="30" width="17" style="97" customWidth="1"/>
    <col min="31" max="31" width="26.25" style="97" customWidth="1"/>
    <col min="32" max="32" width="47.25" style="91" bestFit="1" customWidth="1"/>
    <col min="33" max="33" width="13.625" style="91" customWidth="1"/>
    <col min="34" max="34" width="28.125" style="89" customWidth="1"/>
    <col min="35" max="35" width="28.125" style="80" customWidth="1"/>
    <col min="36" max="36" width="25.25" style="90" bestFit="1" customWidth="1"/>
    <col min="37" max="37" width="22.375" style="80" customWidth="1"/>
    <col min="38" max="38" width="19.875" style="80" customWidth="1"/>
    <col min="39" max="87" width="10.625" style="80" customWidth="1"/>
    <col min="88" max="16384" width="9.125" style="80"/>
  </cols>
  <sheetData>
    <row r="1" spans="1:38" s="1" customFormat="1" ht="35.25" customHeight="1">
      <c r="A1" s="604" t="s">
        <v>0</v>
      </c>
      <c r="B1" s="604"/>
      <c r="C1" s="604"/>
      <c r="E1" s="2"/>
      <c r="F1" s="2"/>
      <c r="I1" s="3"/>
      <c r="N1" s="4"/>
      <c r="S1" s="5"/>
      <c r="U1" s="322"/>
      <c r="AJ1" s="6"/>
    </row>
    <row r="2" spans="1:38" s="1" customFormat="1" ht="19.5" customHeight="1">
      <c r="A2" s="604"/>
      <c r="B2" s="604"/>
      <c r="C2" s="604"/>
      <c r="E2" s="2"/>
      <c r="F2" s="2"/>
      <c r="I2" s="3"/>
      <c r="N2" s="4"/>
      <c r="S2" s="5"/>
      <c r="U2" s="322"/>
      <c r="AJ2" s="6"/>
    </row>
    <row r="3" spans="1:38" s="1" customFormat="1" ht="19.5" customHeight="1">
      <c r="A3" s="604"/>
      <c r="B3" s="604"/>
      <c r="C3" s="604"/>
      <c r="E3" s="2"/>
      <c r="F3" s="2"/>
      <c r="I3" s="3"/>
      <c r="J3" s="323"/>
      <c r="N3" s="4"/>
      <c r="S3" s="5"/>
      <c r="U3" s="322"/>
      <c r="AJ3" s="6"/>
    </row>
    <row r="4" spans="1:38" s="16" customFormat="1" ht="15.75" customHeight="1" thickBot="1">
      <c r="A4" s="605"/>
      <c r="B4" s="605"/>
      <c r="C4" s="605"/>
      <c r="D4" s="7"/>
      <c r="E4" s="8"/>
      <c r="F4" s="8"/>
      <c r="G4" s="7"/>
      <c r="H4" s="7"/>
      <c r="I4" s="9" t="s">
        <v>1</v>
      </c>
      <c r="J4" s="7" t="s">
        <v>2</v>
      </c>
      <c r="K4" s="7" t="s">
        <v>3</v>
      </c>
      <c r="L4" s="7" t="s">
        <v>4</v>
      </c>
      <c r="M4" s="7"/>
      <c r="N4" s="10"/>
      <c r="O4" s="7"/>
      <c r="P4" s="7"/>
      <c r="Q4" s="7"/>
      <c r="R4" s="7"/>
      <c r="S4" s="11"/>
      <c r="T4" s="7"/>
      <c r="U4" s="324"/>
      <c r="V4" s="7"/>
      <c r="W4" s="7"/>
      <c r="X4" s="7"/>
      <c r="Y4" s="7"/>
      <c r="Z4" s="7"/>
      <c r="AA4" s="7"/>
      <c r="AB4" s="7"/>
      <c r="AC4" s="12"/>
      <c r="AD4" s="13"/>
      <c r="AE4" s="14" t="s">
        <v>5</v>
      </c>
      <c r="AF4" s="15"/>
      <c r="AH4" s="17"/>
      <c r="AJ4" s="18"/>
    </row>
    <row r="5" spans="1:38" s="19" customFormat="1" ht="28.5" customHeight="1">
      <c r="B5" s="20">
        <v>0</v>
      </c>
      <c r="C5" s="21"/>
      <c r="D5" s="21"/>
      <c r="E5" s="22"/>
      <c r="F5" s="22"/>
      <c r="H5" s="23"/>
      <c r="I5" s="24">
        <f>+SUM(PAA_4[Valor definitivo (manual)])</f>
        <v>162087200342</v>
      </c>
      <c r="J5" s="25">
        <v>77118135531</v>
      </c>
      <c r="K5" s="26">
        <f>+J5+L5-I5</f>
        <v>0</v>
      </c>
      <c r="L5" s="27">
        <f>+[2]INCORPORACIONES!A17</f>
        <v>84969064811</v>
      </c>
      <c r="M5" s="27"/>
      <c r="N5" s="28"/>
      <c r="O5" s="29"/>
      <c r="P5" s="23"/>
      <c r="S5" s="30"/>
      <c r="U5" s="325"/>
      <c r="Y5" s="32"/>
      <c r="Z5" s="32"/>
      <c r="AA5" s="32"/>
      <c r="AB5" s="32"/>
      <c r="AC5" s="32"/>
      <c r="AD5" s="32"/>
      <c r="AE5" s="33"/>
      <c r="AH5" s="30"/>
      <c r="AJ5" s="34"/>
    </row>
    <row r="6" spans="1:38" s="46" customFormat="1" ht="58.5" customHeight="1">
      <c r="A6" s="35" t="s">
        <v>6</v>
      </c>
      <c r="B6" s="36" t="s">
        <v>7</v>
      </c>
      <c r="C6" s="36" t="s">
        <v>8</v>
      </c>
      <c r="D6" s="36" t="s">
        <v>9</v>
      </c>
      <c r="E6" s="37" t="s">
        <v>10</v>
      </c>
      <c r="F6" s="36" t="s">
        <v>11</v>
      </c>
      <c r="G6" s="36" t="s">
        <v>12</v>
      </c>
      <c r="H6" s="38" t="s">
        <v>13</v>
      </c>
      <c r="I6" s="39" t="s">
        <v>14</v>
      </c>
      <c r="J6" s="36" t="s">
        <v>15</v>
      </c>
      <c r="K6" s="36" t="s">
        <v>16</v>
      </c>
      <c r="L6" s="36" t="s">
        <v>17</v>
      </c>
      <c r="M6" s="36" t="s">
        <v>18</v>
      </c>
      <c r="N6" s="40" t="s">
        <v>19</v>
      </c>
      <c r="O6" s="36" t="s">
        <v>1233</v>
      </c>
      <c r="P6" s="36" t="s">
        <v>1234</v>
      </c>
      <c r="Q6" s="36" t="s">
        <v>20</v>
      </c>
      <c r="R6" s="36" t="s">
        <v>21</v>
      </c>
      <c r="S6" s="41" t="s">
        <v>22</v>
      </c>
      <c r="T6" s="36" t="s">
        <v>23</v>
      </c>
      <c r="U6" s="36" t="s">
        <v>24</v>
      </c>
      <c r="V6" s="36" t="s">
        <v>25</v>
      </c>
      <c r="W6" s="42" t="s">
        <v>26</v>
      </c>
      <c r="X6" s="43" t="s">
        <v>27</v>
      </c>
      <c r="Y6" s="43" t="s">
        <v>28</v>
      </c>
      <c r="Z6" s="36" t="s">
        <v>29</v>
      </c>
      <c r="AA6" s="36" t="s">
        <v>30</v>
      </c>
      <c r="AB6" s="36" t="s">
        <v>31</v>
      </c>
      <c r="AC6" s="36" t="s">
        <v>32</v>
      </c>
      <c r="AD6" s="36" t="s">
        <v>33</v>
      </c>
      <c r="AE6" s="36" t="s">
        <v>34</v>
      </c>
      <c r="AF6" s="44" t="s">
        <v>35</v>
      </c>
      <c r="AG6" s="44" t="s">
        <v>36</v>
      </c>
      <c r="AH6" s="44" t="s">
        <v>37</v>
      </c>
      <c r="AI6" s="44" t="s">
        <v>38</v>
      </c>
      <c r="AJ6" s="45" t="s">
        <v>39</v>
      </c>
      <c r="AK6" s="44" t="s">
        <v>40</v>
      </c>
      <c r="AL6" s="44" t="s">
        <v>41</v>
      </c>
    </row>
    <row r="7" spans="1:38" s="19" customFormat="1" ht="31.5" customHeight="1">
      <c r="A7" s="47">
        <v>1</v>
      </c>
      <c r="B7" s="54" t="s">
        <v>42</v>
      </c>
      <c r="C7" s="47" t="str">
        <f>VLOOKUP(PAA_4[[#This Row],[PROYECTO (formulado)2]],[2]PROYECTOS!$G$1:$L$32,6,0)</f>
        <v>SUBGERENCIA ADMINISTRATIVA Y FINANCIERA</v>
      </c>
      <c r="D7" s="47" t="str">
        <f>+IF(PAA_4[[#This Row],[UNIDAD DE CONTRATACION (formulado)]]="Subgerencia Administrativa y Financiera","FUNCIONAMIENTO","INVERSIÓN")</f>
        <v>FUNCIONAMIENTO</v>
      </c>
      <c r="E7" s="48" t="str">
        <f>VLOOKUP(Q7,[2]PROYECTOS!$G$1:$K$32,5,0)</f>
        <v>FUNCIONAMIENTO</v>
      </c>
      <c r="F7" s="48">
        <f>VLOOKUP(E7,[2]PROYECTOS!$K$1:$M$32,3,0)</f>
        <v>999999</v>
      </c>
      <c r="G7" s="49" t="s">
        <v>43</v>
      </c>
      <c r="H7" s="49">
        <f>VLOOKUP(Q7,[2]PROYECTOS!$V$1:$W$32,2,0)</f>
        <v>999999</v>
      </c>
      <c r="I7" s="50">
        <v>6559355488</v>
      </c>
      <c r="J7" s="51" t="s">
        <v>1235</v>
      </c>
      <c r="K7" s="47" t="str">
        <f t="shared" ref="K7:K60" ca="1" si="0">IF(ISNONTEXT(Y7)=TRUE,"CONTRATADO","NO CONTRATADO")</f>
        <v>CONTRATADO</v>
      </c>
      <c r="L7" s="47" t="s">
        <v>44</v>
      </c>
      <c r="M7" s="47" t="s">
        <v>1236</v>
      </c>
      <c r="N7" s="52" t="s">
        <v>45</v>
      </c>
      <c r="O7" s="51" t="e">
        <f>VLOOKUP(N7,[2]!RUBROS[#All],3,0)</f>
        <v>#REF!</v>
      </c>
      <c r="P7" s="53" t="e">
        <f>VLOOKUP(N7,[2]!RUBROS[#All],2,0)</f>
        <v>#REF!</v>
      </c>
      <c r="Q7" s="47" t="str">
        <f t="shared" ref="Q7:Q60" si="1">+MID(N7,11,2)</f>
        <v>00</v>
      </c>
      <c r="R7" s="47" t="str">
        <f t="shared" ref="R7:R60" si="2">+MID(N7,14,8)</f>
        <v>0-205616</v>
      </c>
      <c r="S7" s="54">
        <v>12</v>
      </c>
      <c r="T7" s="57" t="s">
        <v>46</v>
      </c>
      <c r="U7" s="326" t="e">
        <f ca="1">_xlfn.XLOOKUP(PAA_4[[#This Row],[ITEM]],[2]Contrato!A:A,[2]Contrato!Q:Q,"",0)</f>
        <v>#NAME?</v>
      </c>
      <c r="V7" s="47" t="s">
        <v>47</v>
      </c>
      <c r="W7" s="47" t="s">
        <v>48</v>
      </c>
      <c r="X7" s="47" t="s">
        <v>48</v>
      </c>
      <c r="Y7" s="55" t="e">
        <f ca="1">_xlfn.XLOOKUP(PAA_4[[#This Row],[ITEM]],[2]Contrato!A:A,[2]Contrato!B:B,"",0)</f>
        <v>#NAME?</v>
      </c>
      <c r="Z7" s="47" t="e">
        <f ca="1">_xlfn.XLOOKUP(PAA_4[[#This Row],[ITEM]],[2]Contrato!A:A,[2]Contrato!G:G,"",0)</f>
        <v>#NAME?</v>
      </c>
      <c r="AA7" s="47" t="e">
        <f ca="1">_xlfn.XLOOKUP(PAA_4[[#This Row],[ITEM]],[2]Contrato!A:A,[2]Contrato!T:T,"",0)</f>
        <v>#NAME?</v>
      </c>
      <c r="AB7" s="55" t="e">
        <f ca="1">+MAX(PAA_4[[#This Row],[Comprometido Contrato]],PAA_4[[#This Row],[Comprometido Bolsa]])</f>
        <v>#NAME?</v>
      </c>
      <c r="AC7" s="55" t="str">
        <f t="shared" ref="AC7:AC60" ca="1" si="3">IFERROR(I7-AB7,"")</f>
        <v/>
      </c>
      <c r="AD7" s="55" t="e">
        <f ca="1">IF(PAA_4[[#This Row],[ESTADO (formulado)]]="NO CONTRATADO",0,MAX(PAA_4[[#This Row],[Pago por Contrato]],PAA_4[[#This Row],[Pago por bolsa]]))</f>
        <v>#NAME?</v>
      </c>
      <c r="AE7" s="55" t="str">
        <f t="shared" ref="AE7:AE60" ca="1" si="4">+IFERROR(AB7-AD7,"")</f>
        <v/>
      </c>
      <c r="AF7" s="47" t="e">
        <f t="shared" ref="AF7:AF60" ca="1" si="5">+CONCATENATE(AA7,N7)</f>
        <v>#NAME?</v>
      </c>
      <c r="AG7" s="47" t="str">
        <f t="shared" ref="AG7:AG60" si="6">IFERROR(_xlfn.NUMBERVALUE(MID(G7,1,8)),"")</f>
        <v/>
      </c>
      <c r="AH7" s="54">
        <f>IF(Q7="22",IF(ISNUMBER(SEARCH("econ",PAA_4[[#This Row],[Actividad3]])),"Económico",IF(ISNUMBER(SEARCH("alim",PAA_4[[#This Row],[Actividad3]])),"Alimentación",IF(ISNUMBER(SEARCH("educ",PAA_4[[#This Row],[Actividad3]])),"Educativo","Técnico"))),0)</f>
        <v>0</v>
      </c>
      <c r="AI7" s="47" t="e" cm="1">
        <f t="array" aca="1" ref="AI7" ca="1">_xlfn.XLOOKUP(PAA_4[[#This Row],[RCP-RUBRO]],[2]!COMPROMISOS_2024[[#All],[concatenado]],[2]!COMPROMISOS_2024[[#All],[Total pagado]],"",0)</f>
        <v>#NAME?</v>
      </c>
      <c r="AJ7" s="56">
        <f>IF(PAA_4[[#This Row],[BOLSA]]=0,0,SUMIFS([2]!COMPROMISOS_2024[[#All],[Total pagado]],[2]!COMPROMISOS_2024[[#All],[Bolsa]],PAA_4[[#This Row],[BOLSA]],[2]!COMPROMISOS_2024[[#All],[rubro]],PAA_4[[#This Row],[RCP-RUBRO]]))</f>
        <v>0</v>
      </c>
      <c r="AK7" s="47" t="e" cm="1">
        <f t="array" aca="1" ref="AK7" ca="1">_xlfn.XLOOKUP(PAA_4[[#This Row],[RCP-RUBRO]],[2]!COMPROMISOS_2024[[#All],[concatenado]],[2]!COMPROMISOS_2024[[#All],[Total Comprometido]],"",0)</f>
        <v>#NAME?</v>
      </c>
      <c r="AL7" s="47">
        <f>IF(PAA_4[[#This Row],[BOLSA]]=0,0,SUMIFS([2]!COMPROMISOS_2024[[#All],[Total Comprometido]],[2]!COMPROMISOS_2024[[#All],[Bolsa]],PAA_4[[#This Row],[BOLSA]],[2]!COMPROMISOS_2024[[#All],[concatenado]],PAA_4[[#This Row],[RCP-RUBRO]]))</f>
        <v>0</v>
      </c>
    </row>
    <row r="8" spans="1:38" s="19" customFormat="1" ht="31.5" customHeight="1">
      <c r="A8" s="47">
        <v>1</v>
      </c>
      <c r="B8" s="54" t="s">
        <v>42</v>
      </c>
      <c r="C8" s="47" t="str">
        <f>VLOOKUP(PAA_4[[#This Row],[PROYECTO (formulado)2]],[2]PROYECTOS!$G$1:$L$32,6,0)</f>
        <v>SUBGERENCIA ADMINISTRATIVA Y FINANCIERA</v>
      </c>
      <c r="D8" s="47" t="str">
        <f>+IF(PAA_4[[#This Row],[UNIDAD DE CONTRATACION (formulado)]]="Subgerencia Administrativa y Financiera","FUNCIONAMIENTO","INVERSIÓN")</f>
        <v>FUNCIONAMIENTO</v>
      </c>
      <c r="E8" s="48" t="str">
        <f>VLOOKUP(Q8,[2]PROYECTOS!$G$1:$K$32,5,0)</f>
        <v>FUNCIONAMIENTO</v>
      </c>
      <c r="F8" s="48">
        <f>VLOOKUP(E8,[2]PROYECTOS!$K$1:$M$32,3,0)</f>
        <v>999999</v>
      </c>
      <c r="G8" s="49" t="s">
        <v>43</v>
      </c>
      <c r="H8" s="49">
        <f>VLOOKUP(Q8,[2]PROYECTOS!$V$1:$W$32,2,0)</f>
        <v>999999</v>
      </c>
      <c r="I8" s="50">
        <v>4110672282</v>
      </c>
      <c r="J8" s="51" t="s">
        <v>1235</v>
      </c>
      <c r="K8" s="47" t="str">
        <f t="shared" ca="1" si="0"/>
        <v>CONTRATADO</v>
      </c>
      <c r="L8" s="47" t="s">
        <v>44</v>
      </c>
      <c r="M8" s="47" t="s">
        <v>1236</v>
      </c>
      <c r="N8" s="52" t="s">
        <v>1237</v>
      </c>
      <c r="O8" s="51" t="e">
        <f>VLOOKUP(N8,[2]!RUBROS[#All],3,0)</f>
        <v>#REF!</v>
      </c>
      <c r="P8" s="53" t="e">
        <f>VLOOKUP(N8,[2]!RUBROS[#All],2,0)</f>
        <v>#REF!</v>
      </c>
      <c r="Q8" s="47" t="str">
        <f t="shared" si="1"/>
        <v>00</v>
      </c>
      <c r="R8" s="47" t="str">
        <f t="shared" si="2"/>
        <v>0-101024</v>
      </c>
      <c r="S8" s="54">
        <v>12</v>
      </c>
      <c r="T8" s="57" t="s">
        <v>46</v>
      </c>
      <c r="U8" s="326" t="e">
        <f ca="1">_xlfn.XLOOKUP(PAA_4[[#This Row],[ITEM]],[2]Contrato!A:A,[2]Contrato!Q:Q,"",0)</f>
        <v>#NAME?</v>
      </c>
      <c r="V8" s="47" t="s">
        <v>47</v>
      </c>
      <c r="W8" s="47" t="s">
        <v>48</v>
      </c>
      <c r="X8" s="47" t="s">
        <v>48</v>
      </c>
      <c r="Y8" s="55" t="e">
        <f ca="1">_xlfn.XLOOKUP(PAA_4[[#This Row],[ITEM]],[2]Contrato!A:A,[2]Contrato!B:B,"",0)</f>
        <v>#NAME?</v>
      </c>
      <c r="Z8" s="47" t="e">
        <f ca="1">_xlfn.XLOOKUP(PAA_4[[#This Row],[ITEM]],[2]Contrato!A:A,[2]Contrato!G:G,"",0)</f>
        <v>#NAME?</v>
      </c>
      <c r="AA8" s="47" t="e">
        <f ca="1">_xlfn.XLOOKUP(PAA_4[[#This Row],[ITEM]],[2]Contrato!A:A,[2]Contrato!T:T,"",0)</f>
        <v>#NAME?</v>
      </c>
      <c r="AB8" s="55" t="e">
        <f ca="1">+MAX(PAA_4[[#This Row],[Comprometido Contrato]],PAA_4[[#This Row],[Comprometido Bolsa]])</f>
        <v>#NAME?</v>
      </c>
      <c r="AC8" s="55" t="str">
        <f t="shared" ca="1" si="3"/>
        <v/>
      </c>
      <c r="AD8" s="55" t="e">
        <f ca="1">IF(PAA_4[[#This Row],[ESTADO (formulado)]]="NO CONTRATADO",0,MAX(PAA_4[[#This Row],[Pago por Contrato]],PAA_4[[#This Row],[Pago por bolsa]]))</f>
        <v>#NAME?</v>
      </c>
      <c r="AE8" s="55" t="str">
        <f t="shared" ca="1" si="4"/>
        <v/>
      </c>
      <c r="AF8" s="47" t="e">
        <f t="shared" ca="1" si="5"/>
        <v>#NAME?</v>
      </c>
      <c r="AG8" s="47" t="str">
        <f t="shared" si="6"/>
        <v/>
      </c>
      <c r="AH8" s="54">
        <f>IF(Q8="22",IF(ISNUMBER(SEARCH("econ",PAA_4[[#This Row],[Actividad3]])),"Económico",IF(ISNUMBER(SEARCH("alim",PAA_4[[#This Row],[Actividad3]])),"Alimentación",IF(ISNUMBER(SEARCH("educ",PAA_4[[#This Row],[Actividad3]])),"Educativo","Técnico"))),0)</f>
        <v>0</v>
      </c>
      <c r="AI8" s="47" t="e" cm="1">
        <f t="array" aca="1" ref="AI8" ca="1">_xlfn.XLOOKUP(PAA_4[[#This Row],[RCP-RUBRO]],[2]!COMPROMISOS_2024[[#All],[concatenado]],[2]!COMPROMISOS_2024[[#All],[Total pagado]],"",0)</f>
        <v>#NAME?</v>
      </c>
      <c r="AJ8" s="56">
        <f>IF(PAA_4[[#This Row],[BOLSA]]=0,0,SUMIFS([2]!COMPROMISOS_2024[[#All],[Total pagado]],[2]!COMPROMISOS_2024[[#All],[Bolsa]],PAA_4[[#This Row],[BOLSA]],[2]!COMPROMISOS_2024[[#All],[rubro]],PAA_4[[#This Row],[RCP-RUBRO]]))</f>
        <v>0</v>
      </c>
      <c r="AK8" s="47" t="e" cm="1">
        <f t="array" aca="1" ref="AK8" ca="1">_xlfn.XLOOKUP(PAA_4[[#This Row],[RCP-RUBRO]],[2]!COMPROMISOS_2024[[#All],[concatenado]],[2]!COMPROMISOS_2024[[#All],[Total Comprometido]],"",0)</f>
        <v>#NAME?</v>
      </c>
      <c r="AL8" s="47">
        <f>IF(PAA_4[[#This Row],[BOLSA]]=0,0,SUMIFS([2]!COMPROMISOS_2024[[#All],[Total Comprometido]],[2]!COMPROMISOS_2024[[#All],[Bolsa]],PAA_4[[#This Row],[BOLSA]],[2]!COMPROMISOS_2024[[#All],[concatenado]],PAA_4[[#This Row],[RCP-RUBRO]]))</f>
        <v>0</v>
      </c>
    </row>
    <row r="9" spans="1:38" s="19" customFormat="1" ht="31.5" customHeight="1">
      <c r="A9" s="47">
        <v>2</v>
      </c>
      <c r="B9" s="47" t="s">
        <v>42</v>
      </c>
      <c r="C9" s="47" t="str">
        <f>VLOOKUP(PAA_4[[#This Row],[PROYECTO (formulado)2]],[2]PROYECTOS!$G$1:$L$32,6,0)</f>
        <v>SUBGERENCIA ADMINISTRATIVA Y FINANCIERA</v>
      </c>
      <c r="D9" s="47" t="str">
        <f>+IF(PAA_4[[#This Row],[UNIDAD DE CONTRATACION (formulado)]]="Subgerencia Administrativa y Financiera","FUNCIONAMIENTO","INVERSIÓN")</f>
        <v>FUNCIONAMIENTO</v>
      </c>
      <c r="E9" s="48" t="str">
        <f>VLOOKUP(Q9,[2]PROYECTOS!$G$1:$K$32,5,0)</f>
        <v>FUNCIONAMIENTO</v>
      </c>
      <c r="F9" s="48">
        <f>VLOOKUP(E9,[2]PROYECTOS!$K$1:$M$32,3,0)</f>
        <v>999999</v>
      </c>
      <c r="G9" s="49" t="s">
        <v>43</v>
      </c>
      <c r="H9" s="49">
        <f>VLOOKUP(Q9,[2]PROYECTOS!$V$1:$W$32,2,0)</f>
        <v>999999</v>
      </c>
      <c r="I9" s="50">
        <v>200000000</v>
      </c>
      <c r="J9" s="51" t="s">
        <v>1238</v>
      </c>
      <c r="K9" s="47" t="str">
        <f t="shared" ca="1" si="0"/>
        <v>CONTRATADO</v>
      </c>
      <c r="L9" s="47" t="s">
        <v>44</v>
      </c>
      <c r="M9" s="47" t="s">
        <v>1236</v>
      </c>
      <c r="N9" s="52" t="s">
        <v>49</v>
      </c>
      <c r="O9" s="51" t="e">
        <f>VLOOKUP(N9,[2]!RUBROS[#All],3,0)</f>
        <v>#REF!</v>
      </c>
      <c r="P9" s="53" t="e">
        <f>VLOOKUP(N9,[2]!RUBROS[#All],2,0)</f>
        <v>#REF!</v>
      </c>
      <c r="Q9" s="47" t="str">
        <f t="shared" si="1"/>
        <v>00</v>
      </c>
      <c r="R9" s="47" t="str">
        <f t="shared" si="2"/>
        <v>0-205616</v>
      </c>
      <c r="S9" s="54">
        <v>12</v>
      </c>
      <c r="T9" s="57" t="s">
        <v>46</v>
      </c>
      <c r="U9" s="326" t="e">
        <f ca="1">_xlfn.XLOOKUP(PAA_4[[#This Row],[ITEM]],[2]Contrato!A:A,[2]Contrato!Q:Q,"",0)</f>
        <v>#NAME?</v>
      </c>
      <c r="V9" s="47" t="s">
        <v>47</v>
      </c>
      <c r="W9" s="47" t="s">
        <v>48</v>
      </c>
      <c r="X9" s="47" t="s">
        <v>48</v>
      </c>
      <c r="Y9" s="55" t="e">
        <f ca="1">_xlfn.XLOOKUP(PAA_4[[#This Row],[ITEM]],[2]Contrato!A:A,[2]Contrato!B:B,"",0)</f>
        <v>#NAME?</v>
      </c>
      <c r="Z9" s="47" t="e">
        <f ca="1">_xlfn.XLOOKUP(PAA_4[[#This Row],[ITEM]],[2]Contrato!A:A,[2]Contrato!G:G,"",0)</f>
        <v>#NAME?</v>
      </c>
      <c r="AA9" s="47" t="e">
        <f ca="1">_xlfn.XLOOKUP(PAA_4[[#This Row],[ITEM]],[2]Contrato!A:A,[2]Contrato!T:T,"",0)</f>
        <v>#NAME?</v>
      </c>
      <c r="AB9" s="55" t="e">
        <f ca="1">+MAX(PAA_4[[#This Row],[Comprometido Contrato]],PAA_4[[#This Row],[Comprometido Bolsa]])</f>
        <v>#NAME?</v>
      </c>
      <c r="AC9" s="55" t="str">
        <f t="shared" ca="1" si="3"/>
        <v/>
      </c>
      <c r="AD9" s="55" t="e">
        <f ca="1">IF(PAA_4[[#This Row],[ESTADO (formulado)]]="NO CONTRATADO",0,MAX(PAA_4[[#This Row],[Pago por Contrato]],PAA_4[[#This Row],[Pago por bolsa]]))</f>
        <v>#NAME?</v>
      </c>
      <c r="AE9" s="55" t="str">
        <f t="shared" ca="1" si="4"/>
        <v/>
      </c>
      <c r="AF9" s="47" t="e">
        <f t="shared" ca="1" si="5"/>
        <v>#NAME?</v>
      </c>
      <c r="AG9" s="47" t="str">
        <f t="shared" si="6"/>
        <v/>
      </c>
      <c r="AH9" s="54">
        <f>IF(Q9="22",IF(ISNUMBER(SEARCH("econ",PAA_4[[#This Row],[Actividad3]])),"Económico",IF(ISNUMBER(SEARCH("alim",PAA_4[[#This Row],[Actividad3]])),"Alimentación",IF(ISNUMBER(SEARCH("educ",PAA_4[[#This Row],[Actividad3]])),"Educativo","Técnico"))),0)</f>
        <v>0</v>
      </c>
      <c r="AI9" s="47" t="e" cm="1">
        <f t="array" aca="1" ref="AI9" ca="1">_xlfn.XLOOKUP(PAA_4[[#This Row],[RCP-RUBRO]],[2]!COMPROMISOS_2024[[#All],[concatenado]],[2]!COMPROMISOS_2024[[#All],[Total pagado]],"",0)</f>
        <v>#NAME?</v>
      </c>
      <c r="AJ9" s="56">
        <f>IF(PAA_4[[#This Row],[BOLSA]]=0,0,SUMIFS([2]!COMPROMISOS_2024[[#All],[Total pagado]],[2]!COMPROMISOS_2024[[#All],[Bolsa]],PAA_4[[#This Row],[BOLSA]],[2]!COMPROMISOS_2024[[#All],[rubro]],PAA_4[[#This Row],[RCP-RUBRO]]))</f>
        <v>0</v>
      </c>
      <c r="AK9" s="47" t="e" cm="1">
        <f t="array" aca="1" ref="AK9" ca="1">_xlfn.XLOOKUP(PAA_4[[#This Row],[RCP-RUBRO]],[2]!COMPROMISOS_2024[[#All],[concatenado]],[2]!COMPROMISOS_2024[[#All],[Total Comprometido]],"",0)</f>
        <v>#NAME?</v>
      </c>
      <c r="AL9" s="47">
        <f>IF(PAA_4[[#This Row],[BOLSA]]=0,0,SUMIFS([2]!COMPROMISOS_2024[[#All],[Total Comprometido]],[2]!COMPROMISOS_2024[[#All],[Bolsa]],PAA_4[[#This Row],[BOLSA]],[2]!COMPROMISOS_2024[[#All],[concatenado]],PAA_4[[#This Row],[RCP-RUBRO]]))</f>
        <v>0</v>
      </c>
    </row>
    <row r="10" spans="1:38" s="19" customFormat="1" ht="31.5" customHeight="1">
      <c r="A10" s="47">
        <v>2</v>
      </c>
      <c r="B10" s="47" t="s">
        <v>42</v>
      </c>
      <c r="C10" s="47" t="str">
        <f>VLOOKUP(PAA_4[[#This Row],[PROYECTO (formulado)2]],[2]PROYECTOS!$G$1:$L$32,6,0)</f>
        <v>SUBGERENCIA ADMINISTRATIVA Y FINANCIERA</v>
      </c>
      <c r="D10" s="47" t="str">
        <f>+IF(PAA_4[[#This Row],[UNIDAD DE CONTRATACION (formulado)]]="Subgerencia Administrativa y Financiera","FUNCIONAMIENTO","INVERSIÓN")</f>
        <v>FUNCIONAMIENTO</v>
      </c>
      <c r="E10" s="48" t="str">
        <f>VLOOKUP(Q10,[2]PROYECTOS!$G$1:$K$32,5,0)</f>
        <v>FUNCIONAMIENTO</v>
      </c>
      <c r="F10" s="48">
        <f>VLOOKUP(E10,[2]PROYECTOS!$K$1:$M$32,3,0)</f>
        <v>999999</v>
      </c>
      <c r="G10" s="49" t="s">
        <v>43</v>
      </c>
      <c r="H10" s="49">
        <f>VLOOKUP(Q10,[2]PROYECTOS!$V$1:$W$32,2,0)</f>
        <v>999999</v>
      </c>
      <c r="I10" s="50">
        <v>68060621</v>
      </c>
      <c r="J10" s="51" t="s">
        <v>1238</v>
      </c>
      <c r="K10" s="47" t="str">
        <f t="shared" ca="1" si="0"/>
        <v>CONTRATADO</v>
      </c>
      <c r="L10" s="47" t="s">
        <v>44</v>
      </c>
      <c r="M10" s="47" t="s">
        <v>1236</v>
      </c>
      <c r="N10" s="52" t="s">
        <v>1239</v>
      </c>
      <c r="O10" s="51" t="e">
        <f>VLOOKUP(N10,[2]!RUBROS[#All],3,0)</f>
        <v>#REF!</v>
      </c>
      <c r="P10" s="53" t="e">
        <f>VLOOKUP(N10,[2]!RUBROS[#All],2,0)</f>
        <v>#REF!</v>
      </c>
      <c r="Q10" s="47" t="str">
        <f t="shared" si="1"/>
        <v>00</v>
      </c>
      <c r="R10" s="47" t="str">
        <f t="shared" si="2"/>
        <v>0-101024</v>
      </c>
      <c r="S10" s="54">
        <v>12</v>
      </c>
      <c r="T10" s="57" t="s">
        <v>46</v>
      </c>
      <c r="U10" s="326" t="e">
        <f ca="1">_xlfn.XLOOKUP(PAA_4[[#This Row],[ITEM]],[2]Contrato!A:A,[2]Contrato!Q:Q,"",0)</f>
        <v>#NAME?</v>
      </c>
      <c r="V10" s="47" t="s">
        <v>47</v>
      </c>
      <c r="W10" s="47" t="s">
        <v>48</v>
      </c>
      <c r="X10" s="47" t="s">
        <v>48</v>
      </c>
      <c r="Y10" s="55" t="e">
        <f ca="1">_xlfn.XLOOKUP(PAA_4[[#This Row],[ITEM]],[2]Contrato!A:A,[2]Contrato!B:B,"",0)</f>
        <v>#NAME?</v>
      </c>
      <c r="Z10" s="47" t="e">
        <f ca="1">_xlfn.XLOOKUP(PAA_4[[#This Row],[ITEM]],[2]Contrato!A:A,[2]Contrato!G:G,"",0)</f>
        <v>#NAME?</v>
      </c>
      <c r="AA10" s="47" t="e">
        <f ca="1">_xlfn.XLOOKUP(PAA_4[[#This Row],[ITEM]],[2]Contrato!A:A,[2]Contrato!T:T,"",0)</f>
        <v>#NAME?</v>
      </c>
      <c r="AB10" s="55" t="e">
        <f ca="1">+MAX(PAA_4[[#This Row],[Comprometido Contrato]],PAA_4[[#This Row],[Comprometido Bolsa]])</f>
        <v>#NAME?</v>
      </c>
      <c r="AC10" s="55" t="str">
        <f t="shared" ca="1" si="3"/>
        <v/>
      </c>
      <c r="AD10" s="55" t="e">
        <f ca="1">IF(PAA_4[[#This Row],[ESTADO (formulado)]]="NO CONTRATADO",0,MAX(PAA_4[[#This Row],[Pago por Contrato]],PAA_4[[#This Row],[Pago por bolsa]]))</f>
        <v>#NAME?</v>
      </c>
      <c r="AE10" s="55" t="str">
        <f t="shared" ca="1" si="4"/>
        <v/>
      </c>
      <c r="AF10" s="47" t="e">
        <f t="shared" ca="1" si="5"/>
        <v>#NAME?</v>
      </c>
      <c r="AG10" s="47" t="str">
        <f t="shared" si="6"/>
        <v/>
      </c>
      <c r="AH10" s="54">
        <f>IF(Q10="22",IF(ISNUMBER(SEARCH("econ",PAA_4[[#This Row],[Actividad3]])),"Económico",IF(ISNUMBER(SEARCH("alim",PAA_4[[#This Row],[Actividad3]])),"Alimentación",IF(ISNUMBER(SEARCH("educ",PAA_4[[#This Row],[Actividad3]])),"Educativo","Técnico"))),0)</f>
        <v>0</v>
      </c>
      <c r="AI10" s="47" t="e" cm="1">
        <f t="array" aca="1" ref="AI10" ca="1">_xlfn.XLOOKUP(PAA_4[[#This Row],[RCP-RUBRO]],[2]!COMPROMISOS_2024[[#All],[concatenado]],[2]!COMPROMISOS_2024[[#All],[Total pagado]],"",0)</f>
        <v>#NAME?</v>
      </c>
      <c r="AJ10" s="56">
        <f>IF(PAA_4[[#This Row],[BOLSA]]=0,0,SUMIFS([2]!COMPROMISOS_2024[[#All],[Total pagado]],[2]!COMPROMISOS_2024[[#All],[Bolsa]],PAA_4[[#This Row],[BOLSA]],[2]!COMPROMISOS_2024[[#All],[rubro]],PAA_4[[#This Row],[RCP-RUBRO]]))</f>
        <v>0</v>
      </c>
      <c r="AK10" s="47" t="e" cm="1">
        <f t="array" aca="1" ref="AK10" ca="1">_xlfn.XLOOKUP(PAA_4[[#This Row],[RCP-RUBRO]],[2]!COMPROMISOS_2024[[#All],[concatenado]],[2]!COMPROMISOS_2024[[#All],[Total Comprometido]],"",0)</f>
        <v>#NAME?</v>
      </c>
      <c r="AL10" s="47">
        <f>IF(PAA_4[[#This Row],[BOLSA]]=0,0,SUMIFS([2]!COMPROMISOS_2024[[#All],[Total Comprometido]],[2]!COMPROMISOS_2024[[#All],[Bolsa]],PAA_4[[#This Row],[BOLSA]],[2]!COMPROMISOS_2024[[#All],[concatenado]],PAA_4[[#This Row],[RCP-RUBRO]]))</f>
        <v>0</v>
      </c>
    </row>
    <row r="11" spans="1:38" s="19" customFormat="1" ht="31.5" customHeight="1">
      <c r="A11" s="47">
        <v>3</v>
      </c>
      <c r="B11" s="47" t="s">
        <v>42</v>
      </c>
      <c r="C11" s="47" t="str">
        <f>VLOOKUP(PAA_4[[#This Row],[PROYECTO (formulado)2]],[2]PROYECTOS!$G$1:$L$32,6,0)</f>
        <v>SUBGERENCIA ADMINISTRATIVA Y FINANCIERA</v>
      </c>
      <c r="D11" s="47" t="str">
        <f>+IF(PAA_4[[#This Row],[UNIDAD DE CONTRATACION (formulado)]]="Subgerencia Administrativa y Financiera","FUNCIONAMIENTO","INVERSIÓN")</f>
        <v>FUNCIONAMIENTO</v>
      </c>
      <c r="E11" s="48" t="str">
        <f>VLOOKUP(Q11,[2]PROYECTOS!$G$1:$K$32,5,0)</f>
        <v>FUNCIONAMIENTO</v>
      </c>
      <c r="F11" s="48">
        <f>VLOOKUP(E11,[2]PROYECTOS!$K$1:$M$32,3,0)</f>
        <v>999999</v>
      </c>
      <c r="G11" s="49" t="s">
        <v>43</v>
      </c>
      <c r="H11" s="49">
        <f>VLOOKUP(Q11,[2]PROYECTOS!$V$1:$W$32,2,0)</f>
        <v>999999</v>
      </c>
      <c r="I11" s="50">
        <v>464792763</v>
      </c>
      <c r="J11" s="51" t="s">
        <v>1240</v>
      </c>
      <c r="K11" s="47" t="str">
        <f t="shared" ca="1" si="0"/>
        <v>CONTRATADO</v>
      </c>
      <c r="L11" s="47" t="s">
        <v>44</v>
      </c>
      <c r="M11" s="47" t="s">
        <v>1236</v>
      </c>
      <c r="N11" s="52" t="s">
        <v>50</v>
      </c>
      <c r="O11" s="51" t="e">
        <f>VLOOKUP(N11,[2]!RUBROS[#All],3,0)</f>
        <v>#REF!</v>
      </c>
      <c r="P11" s="53" t="e">
        <f>VLOOKUP(N11,[2]!RUBROS[#All],2,0)</f>
        <v>#REF!</v>
      </c>
      <c r="Q11" s="47" t="str">
        <f t="shared" si="1"/>
        <v>00</v>
      </c>
      <c r="R11" s="47" t="str">
        <f t="shared" si="2"/>
        <v>0-205616</v>
      </c>
      <c r="S11" s="54">
        <v>12</v>
      </c>
      <c r="T11" s="57" t="s">
        <v>46</v>
      </c>
      <c r="U11" s="326" t="e">
        <f ca="1">_xlfn.XLOOKUP(PAA_4[[#This Row],[ITEM]],[2]Contrato!A:A,[2]Contrato!Q:Q,"",0)</f>
        <v>#NAME?</v>
      </c>
      <c r="V11" s="47" t="s">
        <v>47</v>
      </c>
      <c r="W11" s="47" t="s">
        <v>48</v>
      </c>
      <c r="X11" s="47" t="s">
        <v>48</v>
      </c>
      <c r="Y11" s="55" t="e">
        <f ca="1">_xlfn.XLOOKUP(PAA_4[[#This Row],[ITEM]],[2]Contrato!A:A,[2]Contrato!B:B,"",0)</f>
        <v>#NAME?</v>
      </c>
      <c r="Z11" s="47" t="e">
        <f ca="1">_xlfn.XLOOKUP(PAA_4[[#This Row],[ITEM]],[2]Contrato!A:A,[2]Contrato!G:G,"",0)</f>
        <v>#NAME?</v>
      </c>
      <c r="AA11" s="47" t="e">
        <f ca="1">_xlfn.XLOOKUP(PAA_4[[#This Row],[ITEM]],[2]Contrato!A:A,[2]Contrato!T:T,"",0)</f>
        <v>#NAME?</v>
      </c>
      <c r="AB11" s="55" t="e">
        <f ca="1">+MAX(PAA_4[[#This Row],[Comprometido Contrato]],PAA_4[[#This Row],[Comprometido Bolsa]])</f>
        <v>#NAME?</v>
      </c>
      <c r="AC11" s="55" t="str">
        <f t="shared" ca="1" si="3"/>
        <v/>
      </c>
      <c r="AD11" s="55" t="e">
        <f ca="1">IF(PAA_4[[#This Row],[ESTADO (formulado)]]="NO CONTRATADO",0,MAX(PAA_4[[#This Row],[Pago por Contrato]],PAA_4[[#This Row],[Pago por bolsa]]))</f>
        <v>#NAME?</v>
      </c>
      <c r="AE11" s="55" t="str">
        <f t="shared" ca="1" si="4"/>
        <v/>
      </c>
      <c r="AF11" s="47" t="e">
        <f t="shared" ca="1" si="5"/>
        <v>#NAME?</v>
      </c>
      <c r="AG11" s="47" t="str">
        <f t="shared" si="6"/>
        <v/>
      </c>
      <c r="AH11" s="54">
        <f>IF(Q11="22",IF(ISNUMBER(SEARCH("econ",PAA_4[[#This Row],[Actividad3]])),"Económico",IF(ISNUMBER(SEARCH("alim",PAA_4[[#This Row],[Actividad3]])),"Alimentación",IF(ISNUMBER(SEARCH("educ",PAA_4[[#This Row],[Actividad3]])),"Educativo","Técnico"))),0)</f>
        <v>0</v>
      </c>
      <c r="AI11" s="47" t="e" cm="1">
        <f t="array" aca="1" ref="AI11" ca="1">_xlfn.XLOOKUP(PAA_4[[#This Row],[RCP-RUBRO]],[2]!COMPROMISOS_2024[[#All],[concatenado]],[2]!COMPROMISOS_2024[[#All],[Total pagado]],"",0)</f>
        <v>#NAME?</v>
      </c>
      <c r="AJ11" s="56">
        <f>IF(PAA_4[[#This Row],[BOLSA]]=0,0,SUMIFS([2]!COMPROMISOS_2024[[#All],[Total pagado]],[2]!COMPROMISOS_2024[[#All],[Bolsa]],PAA_4[[#This Row],[BOLSA]],[2]!COMPROMISOS_2024[[#All],[rubro]],PAA_4[[#This Row],[RCP-RUBRO]]))</f>
        <v>0</v>
      </c>
      <c r="AK11" s="47" t="e" cm="1">
        <f t="array" aca="1" ref="AK11" ca="1">_xlfn.XLOOKUP(PAA_4[[#This Row],[RCP-RUBRO]],[2]!COMPROMISOS_2024[[#All],[concatenado]],[2]!COMPROMISOS_2024[[#All],[Total Comprometido]],"",0)</f>
        <v>#NAME?</v>
      </c>
      <c r="AL11" s="47">
        <f>IF(PAA_4[[#This Row],[BOLSA]]=0,0,SUMIFS([2]!COMPROMISOS_2024[[#All],[Total Comprometido]],[2]!COMPROMISOS_2024[[#All],[Bolsa]],PAA_4[[#This Row],[BOLSA]],[2]!COMPROMISOS_2024[[#All],[concatenado]],PAA_4[[#This Row],[RCP-RUBRO]]))</f>
        <v>0</v>
      </c>
    </row>
    <row r="12" spans="1:38" s="19" customFormat="1" ht="31.5" customHeight="1">
      <c r="A12" s="47">
        <v>3</v>
      </c>
      <c r="B12" s="47" t="s">
        <v>42</v>
      </c>
      <c r="C12" s="47" t="str">
        <f>VLOOKUP(PAA_4[[#This Row],[PROYECTO (formulado)2]],[2]PROYECTOS!$G$1:$L$32,6,0)</f>
        <v>SUBGERENCIA ADMINISTRATIVA Y FINANCIERA</v>
      </c>
      <c r="D12" s="47" t="str">
        <f>+IF(PAA_4[[#This Row],[UNIDAD DE CONTRATACION (formulado)]]="Subgerencia Administrativa y Financiera","FUNCIONAMIENTO","INVERSIÓN")</f>
        <v>FUNCIONAMIENTO</v>
      </c>
      <c r="E12" s="48" t="str">
        <f>VLOOKUP(Q12,[2]PROYECTOS!$G$1:$K$32,5,0)</f>
        <v>FUNCIONAMIENTO</v>
      </c>
      <c r="F12" s="48">
        <f>VLOOKUP(E12,[2]PROYECTOS!$K$1:$M$32,3,0)</f>
        <v>999999</v>
      </c>
      <c r="G12" s="49" t="s">
        <v>43</v>
      </c>
      <c r="H12" s="49">
        <f>VLOOKUP(Q12,[2]PROYECTOS!$V$1:$W$32,2,0)</f>
        <v>999999</v>
      </c>
      <c r="I12" s="50">
        <v>3840898</v>
      </c>
      <c r="J12" s="51" t="s">
        <v>1240</v>
      </c>
      <c r="K12" s="47" t="str">
        <f t="shared" ca="1" si="0"/>
        <v>CONTRATADO</v>
      </c>
      <c r="L12" s="47" t="s">
        <v>44</v>
      </c>
      <c r="M12" s="47" t="s">
        <v>1236</v>
      </c>
      <c r="N12" s="52" t="s">
        <v>1241</v>
      </c>
      <c r="O12" s="51" t="e">
        <f>VLOOKUP(N12,[2]!RUBROS[#All],3,0)</f>
        <v>#REF!</v>
      </c>
      <c r="P12" s="53" t="e">
        <f>VLOOKUP(N12,[2]!RUBROS[#All],2,0)</f>
        <v>#REF!</v>
      </c>
      <c r="Q12" s="47" t="str">
        <f t="shared" si="1"/>
        <v>00</v>
      </c>
      <c r="R12" s="47" t="str">
        <f t="shared" si="2"/>
        <v>0-101024</v>
      </c>
      <c r="S12" s="54">
        <v>12</v>
      </c>
      <c r="T12" s="57" t="s">
        <v>46</v>
      </c>
      <c r="U12" s="326" t="e">
        <f ca="1">_xlfn.XLOOKUP(PAA_4[[#This Row],[ITEM]],[2]Contrato!A:A,[2]Contrato!Q:Q,"",0)</f>
        <v>#NAME?</v>
      </c>
      <c r="V12" s="47" t="s">
        <v>47</v>
      </c>
      <c r="W12" s="47" t="s">
        <v>48</v>
      </c>
      <c r="X12" s="47" t="s">
        <v>48</v>
      </c>
      <c r="Y12" s="55" t="e">
        <f ca="1">_xlfn.XLOOKUP(PAA_4[[#This Row],[ITEM]],[2]Contrato!A:A,[2]Contrato!B:B,"",0)</f>
        <v>#NAME?</v>
      </c>
      <c r="Z12" s="47" t="e">
        <f ca="1">_xlfn.XLOOKUP(PAA_4[[#This Row],[ITEM]],[2]Contrato!A:A,[2]Contrato!G:G,"",0)</f>
        <v>#NAME?</v>
      </c>
      <c r="AA12" s="47" t="e">
        <f ca="1">_xlfn.XLOOKUP(PAA_4[[#This Row],[ITEM]],[2]Contrato!A:A,[2]Contrato!T:T,"",0)</f>
        <v>#NAME?</v>
      </c>
      <c r="AB12" s="55" t="e">
        <f ca="1">+MAX(PAA_4[[#This Row],[Comprometido Contrato]],PAA_4[[#This Row],[Comprometido Bolsa]])</f>
        <v>#NAME?</v>
      </c>
      <c r="AC12" s="55" t="str">
        <f t="shared" ca="1" si="3"/>
        <v/>
      </c>
      <c r="AD12" s="55" t="e">
        <f ca="1">IF(PAA_4[[#This Row],[ESTADO (formulado)]]="NO CONTRATADO",0,MAX(PAA_4[[#This Row],[Pago por Contrato]],PAA_4[[#This Row],[Pago por bolsa]]))</f>
        <v>#NAME?</v>
      </c>
      <c r="AE12" s="55" t="str">
        <f t="shared" ca="1" si="4"/>
        <v/>
      </c>
      <c r="AF12" s="47" t="e">
        <f t="shared" ca="1" si="5"/>
        <v>#NAME?</v>
      </c>
      <c r="AG12" s="47" t="str">
        <f t="shared" si="6"/>
        <v/>
      </c>
      <c r="AH12" s="54">
        <f>IF(Q12="22",IF(ISNUMBER(SEARCH("econ",PAA_4[[#This Row],[Actividad3]])),"Económico",IF(ISNUMBER(SEARCH("alim",PAA_4[[#This Row],[Actividad3]])),"Alimentación",IF(ISNUMBER(SEARCH("educ",PAA_4[[#This Row],[Actividad3]])),"Educativo","Técnico"))),0)</f>
        <v>0</v>
      </c>
      <c r="AI12" s="47" t="e" cm="1">
        <f t="array" aca="1" ref="AI12" ca="1">_xlfn.XLOOKUP(PAA_4[[#This Row],[RCP-RUBRO]],[2]!COMPROMISOS_2024[[#All],[concatenado]],[2]!COMPROMISOS_2024[[#All],[Total pagado]],"",0)</f>
        <v>#NAME?</v>
      </c>
      <c r="AJ12" s="56">
        <f>IF(PAA_4[[#This Row],[BOLSA]]=0,0,SUMIFS([2]!COMPROMISOS_2024[[#All],[Total pagado]],[2]!COMPROMISOS_2024[[#All],[Bolsa]],PAA_4[[#This Row],[BOLSA]],[2]!COMPROMISOS_2024[[#All],[rubro]],PAA_4[[#This Row],[RCP-RUBRO]]))</f>
        <v>0</v>
      </c>
      <c r="AK12" s="47" t="e" cm="1">
        <f t="array" aca="1" ref="AK12" ca="1">_xlfn.XLOOKUP(PAA_4[[#This Row],[RCP-RUBRO]],[2]!COMPROMISOS_2024[[#All],[concatenado]],[2]!COMPROMISOS_2024[[#All],[Total Comprometido]],"",0)</f>
        <v>#NAME?</v>
      </c>
      <c r="AL12" s="47">
        <f>IF(PAA_4[[#This Row],[BOLSA]]=0,0,SUMIFS([2]!COMPROMISOS_2024[[#All],[Total Comprometido]],[2]!COMPROMISOS_2024[[#All],[Bolsa]],PAA_4[[#This Row],[BOLSA]],[2]!COMPROMISOS_2024[[#All],[concatenado]],PAA_4[[#This Row],[RCP-RUBRO]]))</f>
        <v>0</v>
      </c>
    </row>
    <row r="13" spans="1:38" s="19" customFormat="1" ht="31.5" customHeight="1">
      <c r="A13" s="47">
        <v>4</v>
      </c>
      <c r="B13" s="47" t="s">
        <v>42</v>
      </c>
      <c r="C13" s="47" t="str">
        <f>VLOOKUP(PAA_4[[#This Row],[PROYECTO (formulado)2]],[2]PROYECTOS!$G$1:$L$32,6,0)</f>
        <v>SUBGERENCIA ADMINISTRATIVA Y FINANCIERA</v>
      </c>
      <c r="D13" s="47" t="str">
        <f>+IF(PAA_4[[#This Row],[UNIDAD DE CONTRATACION (formulado)]]="Subgerencia Administrativa y Financiera","FUNCIONAMIENTO","INVERSIÓN")</f>
        <v>FUNCIONAMIENTO</v>
      </c>
      <c r="E13" s="48" t="str">
        <f>VLOOKUP(Q13,[2]PROYECTOS!$G$1:$K$32,5,0)</f>
        <v>FUNCIONAMIENTO</v>
      </c>
      <c r="F13" s="48">
        <f>VLOOKUP(E13,[2]PROYECTOS!$K$1:$M$32,3,0)</f>
        <v>999999</v>
      </c>
      <c r="G13" s="49" t="s">
        <v>43</v>
      </c>
      <c r="H13" s="49">
        <f>VLOOKUP(Q13,[2]PROYECTOS!$V$1:$W$32,2,0)</f>
        <v>999999</v>
      </c>
      <c r="I13" s="50">
        <f>322066146-7066146</f>
        <v>315000000</v>
      </c>
      <c r="J13" s="51" t="s">
        <v>1242</v>
      </c>
      <c r="K13" s="47" t="str">
        <f t="shared" ca="1" si="0"/>
        <v>CONTRATADO</v>
      </c>
      <c r="L13" s="47" t="s">
        <v>44</v>
      </c>
      <c r="M13" s="47" t="s">
        <v>1236</v>
      </c>
      <c r="N13" s="52" t="s">
        <v>51</v>
      </c>
      <c r="O13" s="51" t="e">
        <f>VLOOKUP(N13,[2]!RUBROS[#All],3,0)</f>
        <v>#REF!</v>
      </c>
      <c r="P13" s="53" t="e">
        <f>VLOOKUP(N13,[2]!RUBROS[#All],2,0)</f>
        <v>#REF!</v>
      </c>
      <c r="Q13" s="47" t="str">
        <f t="shared" si="1"/>
        <v>00</v>
      </c>
      <c r="R13" s="47" t="str">
        <f t="shared" si="2"/>
        <v>0-205616</v>
      </c>
      <c r="S13" s="54">
        <v>12</v>
      </c>
      <c r="T13" s="57" t="s">
        <v>46</v>
      </c>
      <c r="U13" s="326" t="e">
        <f ca="1">_xlfn.XLOOKUP(PAA_4[[#This Row],[ITEM]],[2]Contrato!A:A,[2]Contrato!Q:Q,"",0)</f>
        <v>#NAME?</v>
      </c>
      <c r="V13" s="47" t="s">
        <v>47</v>
      </c>
      <c r="W13" s="47" t="s">
        <v>48</v>
      </c>
      <c r="X13" s="47" t="s">
        <v>48</v>
      </c>
      <c r="Y13" s="55" t="e">
        <f ca="1">_xlfn.XLOOKUP(PAA_4[[#This Row],[ITEM]],[2]Contrato!A:A,[2]Contrato!B:B,"",0)</f>
        <v>#NAME?</v>
      </c>
      <c r="Z13" s="47" t="e">
        <f ca="1">_xlfn.XLOOKUP(PAA_4[[#This Row],[ITEM]],[2]Contrato!A:A,[2]Contrato!G:G,"",0)</f>
        <v>#NAME?</v>
      </c>
      <c r="AA13" s="47" t="e">
        <f ca="1">_xlfn.XLOOKUP(PAA_4[[#This Row],[ITEM]],[2]Contrato!A:A,[2]Contrato!T:T,"",0)</f>
        <v>#NAME?</v>
      </c>
      <c r="AB13" s="55" t="e">
        <f ca="1">+MAX(PAA_4[[#This Row],[Comprometido Contrato]],PAA_4[[#This Row],[Comprometido Bolsa]])</f>
        <v>#NAME?</v>
      </c>
      <c r="AC13" s="55" t="str">
        <f t="shared" ca="1" si="3"/>
        <v/>
      </c>
      <c r="AD13" s="55" t="e">
        <f ca="1">IF(PAA_4[[#This Row],[ESTADO (formulado)]]="NO CONTRATADO",0,MAX(PAA_4[[#This Row],[Pago por Contrato]],PAA_4[[#This Row],[Pago por bolsa]]))</f>
        <v>#NAME?</v>
      </c>
      <c r="AE13" s="55" t="str">
        <f t="shared" ca="1" si="4"/>
        <v/>
      </c>
      <c r="AF13" s="47" t="e">
        <f t="shared" ca="1" si="5"/>
        <v>#NAME?</v>
      </c>
      <c r="AG13" s="47" t="str">
        <f t="shared" si="6"/>
        <v/>
      </c>
      <c r="AH13" s="54">
        <f>IF(Q13="22",IF(ISNUMBER(SEARCH("econ",PAA_4[[#This Row],[Actividad3]])),"Económico",IF(ISNUMBER(SEARCH("alim",PAA_4[[#This Row],[Actividad3]])),"Alimentación",IF(ISNUMBER(SEARCH("educ",PAA_4[[#This Row],[Actividad3]])),"Educativo","Técnico"))),0)</f>
        <v>0</v>
      </c>
      <c r="AI13" s="47" t="e" cm="1">
        <f t="array" aca="1" ref="AI13" ca="1">_xlfn.XLOOKUP(PAA_4[[#This Row],[RCP-RUBRO]],[2]!COMPROMISOS_2024[[#All],[concatenado]],[2]!COMPROMISOS_2024[[#All],[Total pagado]],"",0)</f>
        <v>#NAME?</v>
      </c>
      <c r="AJ13" s="56">
        <f>IF(PAA_4[[#This Row],[BOLSA]]=0,0,SUMIFS([2]!COMPROMISOS_2024[[#All],[Total pagado]],[2]!COMPROMISOS_2024[[#All],[Bolsa]],PAA_4[[#This Row],[BOLSA]],[2]!COMPROMISOS_2024[[#All],[rubro]],PAA_4[[#This Row],[RCP-RUBRO]]))</f>
        <v>0</v>
      </c>
      <c r="AK13" s="47" t="e" cm="1">
        <f t="array" aca="1" ref="AK13" ca="1">_xlfn.XLOOKUP(PAA_4[[#This Row],[RCP-RUBRO]],[2]!COMPROMISOS_2024[[#All],[concatenado]],[2]!COMPROMISOS_2024[[#All],[Total Comprometido]],"",0)</f>
        <v>#NAME?</v>
      </c>
      <c r="AL13" s="47">
        <f>IF(PAA_4[[#This Row],[BOLSA]]=0,0,SUMIFS([2]!COMPROMISOS_2024[[#All],[Total Comprometido]],[2]!COMPROMISOS_2024[[#All],[Bolsa]],PAA_4[[#This Row],[BOLSA]],[2]!COMPROMISOS_2024[[#All],[concatenado]],PAA_4[[#This Row],[RCP-RUBRO]]))</f>
        <v>0</v>
      </c>
    </row>
    <row r="14" spans="1:38" s="19" customFormat="1" ht="31.5" customHeight="1">
      <c r="A14" s="47">
        <v>4</v>
      </c>
      <c r="B14" s="47" t="s">
        <v>42</v>
      </c>
      <c r="C14" s="47" t="str">
        <f>VLOOKUP(PAA_4[[#This Row],[PROYECTO (formulado)2]],[2]PROYECTOS!$G$1:$L$32,6,0)</f>
        <v>SUBGERENCIA ADMINISTRATIVA Y FINANCIERA</v>
      </c>
      <c r="D14" s="47" t="str">
        <f>+IF(PAA_4[[#This Row],[UNIDAD DE CONTRATACION (formulado)]]="Subgerencia Administrativa y Financiera","FUNCIONAMIENTO","INVERSIÓN")</f>
        <v>FUNCIONAMIENTO</v>
      </c>
      <c r="E14" s="48" t="str">
        <f>VLOOKUP(Q14,[2]PROYECTOS!$G$1:$K$32,5,0)</f>
        <v>FUNCIONAMIENTO</v>
      </c>
      <c r="F14" s="48">
        <f>VLOOKUP(E14,[2]PROYECTOS!$K$1:$M$32,3,0)</f>
        <v>999999</v>
      </c>
      <c r="G14" s="49" t="s">
        <v>43</v>
      </c>
      <c r="H14" s="49">
        <f>VLOOKUP(Q14,[2]PROYECTOS!$V$1:$W$32,2,0)</f>
        <v>999999</v>
      </c>
      <c r="I14" s="50">
        <v>57317005</v>
      </c>
      <c r="J14" s="51" t="s">
        <v>1243</v>
      </c>
      <c r="K14" s="47" t="str">
        <f t="shared" ca="1" si="0"/>
        <v>CONTRATADO</v>
      </c>
      <c r="L14" s="47" t="s">
        <v>44</v>
      </c>
      <c r="M14" s="47" t="s">
        <v>1236</v>
      </c>
      <c r="N14" s="52" t="s">
        <v>1244</v>
      </c>
      <c r="O14" s="51" t="e">
        <f>VLOOKUP(N14,[2]!RUBROS[#All],3,0)</f>
        <v>#REF!</v>
      </c>
      <c r="P14" s="53" t="e">
        <f>VLOOKUP(N14,[2]!RUBROS[#All],2,0)</f>
        <v>#REF!</v>
      </c>
      <c r="Q14" s="47" t="str">
        <f t="shared" si="1"/>
        <v>00</v>
      </c>
      <c r="R14" s="47" t="str">
        <f t="shared" si="2"/>
        <v>0-101024</v>
      </c>
      <c r="S14" s="54">
        <v>12</v>
      </c>
      <c r="T14" s="57" t="s">
        <v>46</v>
      </c>
      <c r="U14" s="326" t="e">
        <f ca="1">_xlfn.XLOOKUP(PAA_4[[#This Row],[ITEM]],[2]Contrato!A:A,[2]Contrato!Q:Q,"",0)</f>
        <v>#NAME?</v>
      </c>
      <c r="V14" s="47" t="s">
        <v>47</v>
      </c>
      <c r="W14" s="47" t="s">
        <v>48</v>
      </c>
      <c r="X14" s="47" t="s">
        <v>48</v>
      </c>
      <c r="Y14" s="55" t="e">
        <f ca="1">_xlfn.XLOOKUP(PAA_4[[#This Row],[ITEM]],[2]Contrato!A:A,[2]Contrato!B:B,"",0)</f>
        <v>#NAME?</v>
      </c>
      <c r="Z14" s="47" t="e">
        <f ca="1">_xlfn.XLOOKUP(PAA_4[[#This Row],[ITEM]],[2]Contrato!A:A,[2]Contrato!G:G,"",0)</f>
        <v>#NAME?</v>
      </c>
      <c r="AA14" s="47" t="e">
        <f ca="1">_xlfn.XLOOKUP(PAA_4[[#This Row],[ITEM]],[2]Contrato!A:A,[2]Contrato!T:T,"",0)</f>
        <v>#NAME?</v>
      </c>
      <c r="AB14" s="55" t="e">
        <f ca="1">+MAX(PAA_4[[#This Row],[Comprometido Contrato]],PAA_4[[#This Row],[Comprometido Bolsa]])</f>
        <v>#NAME?</v>
      </c>
      <c r="AC14" s="55" t="str">
        <f t="shared" ca="1" si="3"/>
        <v/>
      </c>
      <c r="AD14" s="55" t="e">
        <f ca="1">IF(PAA_4[[#This Row],[ESTADO (formulado)]]="NO CONTRATADO",0,MAX(PAA_4[[#This Row],[Pago por Contrato]],PAA_4[[#This Row],[Pago por bolsa]]))</f>
        <v>#NAME?</v>
      </c>
      <c r="AE14" s="55" t="str">
        <f t="shared" ca="1" si="4"/>
        <v/>
      </c>
      <c r="AF14" s="47" t="e">
        <f t="shared" ca="1" si="5"/>
        <v>#NAME?</v>
      </c>
      <c r="AG14" s="47" t="str">
        <f t="shared" si="6"/>
        <v/>
      </c>
      <c r="AH14" s="54">
        <f>IF(Q14="22",IF(ISNUMBER(SEARCH("econ",PAA_4[[#This Row],[Actividad3]])),"Económico",IF(ISNUMBER(SEARCH("alim",PAA_4[[#This Row],[Actividad3]])),"Alimentación",IF(ISNUMBER(SEARCH("educ",PAA_4[[#This Row],[Actividad3]])),"Educativo","Técnico"))),0)</f>
        <v>0</v>
      </c>
      <c r="AI14" s="47" t="e" cm="1">
        <f t="array" aca="1" ref="AI14" ca="1">_xlfn.XLOOKUP(PAA_4[[#This Row],[RCP-RUBRO]],[2]!COMPROMISOS_2024[[#All],[concatenado]],[2]!COMPROMISOS_2024[[#All],[Total pagado]],"",0)</f>
        <v>#NAME?</v>
      </c>
      <c r="AJ14" s="56">
        <f>IF(PAA_4[[#This Row],[BOLSA]]=0,0,SUMIFS([2]!COMPROMISOS_2024[[#All],[Total pagado]],[2]!COMPROMISOS_2024[[#All],[Bolsa]],PAA_4[[#This Row],[BOLSA]],[2]!COMPROMISOS_2024[[#All],[rubro]],PAA_4[[#This Row],[RCP-RUBRO]]))</f>
        <v>0</v>
      </c>
      <c r="AK14" s="47" t="e" cm="1">
        <f t="array" aca="1" ref="AK14" ca="1">_xlfn.XLOOKUP(PAA_4[[#This Row],[RCP-RUBRO]],[2]!COMPROMISOS_2024[[#All],[concatenado]],[2]!COMPROMISOS_2024[[#All],[Total Comprometido]],"",0)</f>
        <v>#NAME?</v>
      </c>
      <c r="AL14" s="47">
        <f>IF(PAA_4[[#This Row],[BOLSA]]=0,0,SUMIFS([2]!COMPROMISOS_2024[[#All],[Total Comprometido]],[2]!COMPROMISOS_2024[[#All],[Bolsa]],PAA_4[[#This Row],[BOLSA]],[2]!COMPROMISOS_2024[[#All],[concatenado]],PAA_4[[#This Row],[RCP-RUBRO]]))</f>
        <v>0</v>
      </c>
    </row>
    <row r="15" spans="1:38" s="19" customFormat="1" ht="31.5" customHeight="1">
      <c r="A15" s="47">
        <v>5</v>
      </c>
      <c r="B15" s="47" t="s">
        <v>42</v>
      </c>
      <c r="C15" s="47" t="str">
        <f>VLOOKUP(PAA_4[[#This Row],[PROYECTO (formulado)2]],[2]PROYECTOS!$G$1:$L$32,6,0)</f>
        <v>SUBGERENCIA ADMINISTRATIVA Y FINANCIERA</v>
      </c>
      <c r="D15" s="47" t="str">
        <f>+IF(PAA_4[[#This Row],[UNIDAD DE CONTRATACION (formulado)]]="Subgerencia Administrativa y Financiera","FUNCIONAMIENTO","INVERSIÓN")</f>
        <v>FUNCIONAMIENTO</v>
      </c>
      <c r="E15" s="48" t="str">
        <f>VLOOKUP(Q15,[2]PROYECTOS!$G$1:$K$32,5,0)</f>
        <v>FUNCIONAMIENTO</v>
      </c>
      <c r="F15" s="48">
        <f>VLOOKUP(E15,[2]PROYECTOS!$K$1:$M$32,3,0)</f>
        <v>999999</v>
      </c>
      <c r="G15" s="49" t="s">
        <v>43</v>
      </c>
      <c r="H15" s="49">
        <f>VLOOKUP(Q15,[2]PROYECTOS!$V$1:$W$32,2,0)</f>
        <v>999999</v>
      </c>
      <c r="I15" s="50">
        <v>483726254</v>
      </c>
      <c r="J15" s="51" t="s">
        <v>1245</v>
      </c>
      <c r="K15" s="47" t="str">
        <f t="shared" ca="1" si="0"/>
        <v>CONTRATADO</v>
      </c>
      <c r="L15" s="47" t="s">
        <v>44</v>
      </c>
      <c r="M15" s="47" t="s">
        <v>1236</v>
      </c>
      <c r="N15" s="52" t="s">
        <v>52</v>
      </c>
      <c r="O15" s="51" t="e">
        <f>VLOOKUP(N15,[2]!RUBROS[#All],3,0)</f>
        <v>#REF!</v>
      </c>
      <c r="P15" s="53" t="e">
        <f>VLOOKUP(N15,[2]!RUBROS[#All],2,0)</f>
        <v>#REF!</v>
      </c>
      <c r="Q15" s="47" t="str">
        <f t="shared" si="1"/>
        <v>00</v>
      </c>
      <c r="R15" s="47" t="str">
        <f t="shared" si="2"/>
        <v>0-205616</v>
      </c>
      <c r="S15" s="54">
        <v>12</v>
      </c>
      <c r="T15" s="57" t="s">
        <v>46</v>
      </c>
      <c r="U15" s="326" t="e">
        <f ca="1">_xlfn.XLOOKUP(PAA_4[[#This Row],[ITEM]],[2]Contrato!A:A,[2]Contrato!Q:Q,"",0)</f>
        <v>#NAME?</v>
      </c>
      <c r="V15" s="47" t="s">
        <v>47</v>
      </c>
      <c r="W15" s="47" t="s">
        <v>48</v>
      </c>
      <c r="X15" s="47" t="s">
        <v>48</v>
      </c>
      <c r="Y15" s="55" t="e">
        <f ca="1">_xlfn.XLOOKUP(PAA_4[[#This Row],[ITEM]],[2]Contrato!A:A,[2]Contrato!B:B,"",0)</f>
        <v>#NAME?</v>
      </c>
      <c r="Z15" s="47" t="e">
        <f ca="1">_xlfn.XLOOKUP(PAA_4[[#This Row],[ITEM]],[2]Contrato!A:A,[2]Contrato!G:G,"",0)</f>
        <v>#NAME?</v>
      </c>
      <c r="AA15" s="47" t="e">
        <f ca="1">_xlfn.XLOOKUP(PAA_4[[#This Row],[ITEM]],[2]Contrato!A:A,[2]Contrato!T:T,"",0)</f>
        <v>#NAME?</v>
      </c>
      <c r="AB15" s="55" t="e">
        <f ca="1">+MAX(PAA_4[[#This Row],[Comprometido Contrato]],PAA_4[[#This Row],[Comprometido Bolsa]])</f>
        <v>#NAME?</v>
      </c>
      <c r="AC15" s="55" t="str">
        <f t="shared" ca="1" si="3"/>
        <v/>
      </c>
      <c r="AD15" s="55" t="e">
        <f ca="1">IF(PAA_4[[#This Row],[ESTADO (formulado)]]="NO CONTRATADO",0,MAX(PAA_4[[#This Row],[Pago por Contrato]],PAA_4[[#This Row],[Pago por bolsa]]))</f>
        <v>#NAME?</v>
      </c>
      <c r="AE15" s="55" t="str">
        <f t="shared" ca="1" si="4"/>
        <v/>
      </c>
      <c r="AF15" s="47" t="e">
        <f t="shared" ca="1" si="5"/>
        <v>#NAME?</v>
      </c>
      <c r="AG15" s="47" t="str">
        <f t="shared" si="6"/>
        <v/>
      </c>
      <c r="AH15" s="54">
        <f>IF(Q15="22",IF(ISNUMBER(SEARCH("econ",PAA_4[[#This Row],[Actividad3]])),"Económico",IF(ISNUMBER(SEARCH("alim",PAA_4[[#This Row],[Actividad3]])),"Alimentación",IF(ISNUMBER(SEARCH("educ",PAA_4[[#This Row],[Actividad3]])),"Educativo","Técnico"))),0)</f>
        <v>0</v>
      </c>
      <c r="AI15" s="47" t="e" cm="1">
        <f t="array" aca="1" ref="AI15" ca="1">_xlfn.XLOOKUP(PAA_4[[#This Row],[RCP-RUBRO]],[2]!COMPROMISOS_2024[[#All],[concatenado]],[2]!COMPROMISOS_2024[[#All],[Total pagado]],"",0)</f>
        <v>#NAME?</v>
      </c>
      <c r="AJ15" s="56">
        <f>IF(PAA_4[[#This Row],[BOLSA]]=0,0,SUMIFS([2]!COMPROMISOS_2024[[#All],[Total pagado]],[2]!COMPROMISOS_2024[[#All],[Bolsa]],PAA_4[[#This Row],[BOLSA]],[2]!COMPROMISOS_2024[[#All],[rubro]],PAA_4[[#This Row],[RCP-RUBRO]]))</f>
        <v>0</v>
      </c>
      <c r="AK15" s="47" t="e" cm="1">
        <f t="array" aca="1" ref="AK15" ca="1">_xlfn.XLOOKUP(PAA_4[[#This Row],[RCP-RUBRO]],[2]!COMPROMISOS_2024[[#All],[concatenado]],[2]!COMPROMISOS_2024[[#All],[Total Comprometido]],"",0)</f>
        <v>#NAME?</v>
      </c>
      <c r="AL15" s="47">
        <f>IF(PAA_4[[#This Row],[BOLSA]]=0,0,SUMIFS([2]!COMPROMISOS_2024[[#All],[Total Comprometido]],[2]!COMPROMISOS_2024[[#All],[Bolsa]],PAA_4[[#This Row],[BOLSA]],[2]!COMPROMISOS_2024[[#All],[concatenado]],PAA_4[[#This Row],[RCP-RUBRO]]))</f>
        <v>0</v>
      </c>
    </row>
    <row r="16" spans="1:38" s="19" customFormat="1" ht="31.5" customHeight="1">
      <c r="A16" s="47">
        <v>5</v>
      </c>
      <c r="B16" s="47" t="s">
        <v>42</v>
      </c>
      <c r="C16" s="47" t="str">
        <f>VLOOKUP(PAA_4[[#This Row],[PROYECTO (formulado)2]],[2]PROYECTOS!$G$1:$L$32,6,0)</f>
        <v>SUBGERENCIA ADMINISTRATIVA Y FINANCIERA</v>
      </c>
      <c r="D16" s="47" t="str">
        <f>+IF(PAA_4[[#This Row],[UNIDAD DE CONTRATACION (formulado)]]="Subgerencia Administrativa y Financiera","FUNCIONAMIENTO","INVERSIÓN")</f>
        <v>FUNCIONAMIENTO</v>
      </c>
      <c r="E16" s="48" t="str">
        <f>VLOOKUP(Q16,[2]PROYECTOS!$G$1:$K$32,5,0)</f>
        <v>FUNCIONAMIENTO</v>
      </c>
      <c r="F16" s="48">
        <f>VLOOKUP(E16,[2]PROYECTOS!$K$1:$M$32,3,0)</f>
        <v>999999</v>
      </c>
      <c r="G16" s="49" t="s">
        <v>43</v>
      </c>
      <c r="H16" s="49">
        <f>VLOOKUP(Q16,[2]PROYECTOS!$V$1:$W$32,2,0)</f>
        <v>999999</v>
      </c>
      <c r="I16" s="50">
        <v>127633075</v>
      </c>
      <c r="J16" s="51" t="s">
        <v>1245</v>
      </c>
      <c r="K16" s="47" t="str">
        <f t="shared" ca="1" si="0"/>
        <v>CONTRATADO</v>
      </c>
      <c r="L16" s="47" t="s">
        <v>44</v>
      </c>
      <c r="M16" s="47" t="s">
        <v>1236</v>
      </c>
      <c r="N16" s="52" t="s">
        <v>1246</v>
      </c>
      <c r="O16" s="51" t="e">
        <f>VLOOKUP(N16,[2]!RUBROS[#All],3,0)</f>
        <v>#REF!</v>
      </c>
      <c r="P16" s="53" t="e">
        <f>VLOOKUP(N16,[2]!RUBROS[#All],2,0)</f>
        <v>#REF!</v>
      </c>
      <c r="Q16" s="47" t="str">
        <f t="shared" si="1"/>
        <v>00</v>
      </c>
      <c r="R16" s="47" t="str">
        <f t="shared" si="2"/>
        <v>0-101024</v>
      </c>
      <c r="S16" s="54">
        <v>12</v>
      </c>
      <c r="T16" s="57" t="s">
        <v>46</v>
      </c>
      <c r="U16" s="326" t="e">
        <f ca="1">_xlfn.XLOOKUP(PAA_4[[#This Row],[ITEM]],[2]Contrato!A:A,[2]Contrato!Q:Q,"",0)</f>
        <v>#NAME?</v>
      </c>
      <c r="V16" s="47" t="s">
        <v>47</v>
      </c>
      <c r="W16" s="47" t="s">
        <v>48</v>
      </c>
      <c r="X16" s="47" t="s">
        <v>48</v>
      </c>
      <c r="Y16" s="55" t="e">
        <f ca="1">_xlfn.XLOOKUP(PAA_4[[#This Row],[ITEM]],[2]Contrato!A:A,[2]Contrato!B:B,"",0)</f>
        <v>#NAME?</v>
      </c>
      <c r="Z16" s="47" t="e">
        <f ca="1">_xlfn.XLOOKUP(PAA_4[[#This Row],[ITEM]],[2]Contrato!A:A,[2]Contrato!G:G,"",0)</f>
        <v>#NAME?</v>
      </c>
      <c r="AA16" s="47" t="e">
        <f ca="1">_xlfn.XLOOKUP(PAA_4[[#This Row],[ITEM]],[2]Contrato!A:A,[2]Contrato!T:T,"",0)</f>
        <v>#NAME?</v>
      </c>
      <c r="AB16" s="55" t="e">
        <f ca="1">+MAX(PAA_4[[#This Row],[Comprometido Contrato]],PAA_4[[#This Row],[Comprometido Bolsa]])</f>
        <v>#NAME?</v>
      </c>
      <c r="AC16" s="55" t="str">
        <f t="shared" ca="1" si="3"/>
        <v/>
      </c>
      <c r="AD16" s="55" t="e">
        <f ca="1">IF(PAA_4[[#This Row],[ESTADO (formulado)]]="NO CONTRATADO",0,MAX(PAA_4[[#This Row],[Pago por Contrato]],PAA_4[[#This Row],[Pago por bolsa]]))</f>
        <v>#NAME?</v>
      </c>
      <c r="AE16" s="55" t="str">
        <f t="shared" ca="1" si="4"/>
        <v/>
      </c>
      <c r="AF16" s="47" t="e">
        <f t="shared" ca="1" si="5"/>
        <v>#NAME?</v>
      </c>
      <c r="AG16" s="47" t="str">
        <f t="shared" si="6"/>
        <v/>
      </c>
      <c r="AH16" s="54">
        <f>IF(Q16="22",IF(ISNUMBER(SEARCH("econ",PAA_4[[#This Row],[Actividad3]])),"Económico",IF(ISNUMBER(SEARCH("alim",PAA_4[[#This Row],[Actividad3]])),"Alimentación",IF(ISNUMBER(SEARCH("educ",PAA_4[[#This Row],[Actividad3]])),"Educativo","Técnico"))),0)</f>
        <v>0</v>
      </c>
      <c r="AI16" s="47" t="e" cm="1">
        <f t="array" aca="1" ref="AI16" ca="1">_xlfn.XLOOKUP(PAA_4[[#This Row],[RCP-RUBRO]],[2]!COMPROMISOS_2024[[#All],[concatenado]],[2]!COMPROMISOS_2024[[#All],[Total pagado]],"",0)</f>
        <v>#NAME?</v>
      </c>
      <c r="AJ16" s="56">
        <f>IF(PAA_4[[#This Row],[BOLSA]]=0,0,SUMIFS([2]!COMPROMISOS_2024[[#All],[Total pagado]],[2]!COMPROMISOS_2024[[#All],[Bolsa]],PAA_4[[#This Row],[BOLSA]],[2]!COMPROMISOS_2024[[#All],[rubro]],PAA_4[[#This Row],[RCP-RUBRO]]))</f>
        <v>0</v>
      </c>
      <c r="AK16" s="47" t="e" cm="1">
        <f t="array" aca="1" ref="AK16" ca="1">_xlfn.XLOOKUP(PAA_4[[#This Row],[RCP-RUBRO]],[2]!COMPROMISOS_2024[[#All],[concatenado]],[2]!COMPROMISOS_2024[[#All],[Total Comprometido]],"",0)</f>
        <v>#NAME?</v>
      </c>
      <c r="AL16" s="47">
        <f>IF(PAA_4[[#This Row],[BOLSA]]=0,0,SUMIFS([2]!COMPROMISOS_2024[[#All],[Total Comprometido]],[2]!COMPROMISOS_2024[[#All],[Bolsa]],PAA_4[[#This Row],[BOLSA]],[2]!COMPROMISOS_2024[[#All],[concatenado]],PAA_4[[#This Row],[RCP-RUBRO]]))</f>
        <v>0</v>
      </c>
    </row>
    <row r="17" spans="1:38" s="19" customFormat="1" ht="31.5" customHeight="1">
      <c r="A17" s="47">
        <v>6</v>
      </c>
      <c r="B17" s="47" t="s">
        <v>42</v>
      </c>
      <c r="C17" s="47" t="str">
        <f>VLOOKUP(PAA_4[[#This Row],[PROYECTO (formulado)2]],[2]PROYECTOS!$G$1:$L$32,6,0)</f>
        <v>SUBGERENCIA ADMINISTRATIVA Y FINANCIERA</v>
      </c>
      <c r="D17" s="47" t="str">
        <f>+IF(PAA_4[[#This Row],[UNIDAD DE CONTRATACION (formulado)]]="Subgerencia Administrativa y Financiera","FUNCIONAMIENTO","INVERSIÓN")</f>
        <v>FUNCIONAMIENTO</v>
      </c>
      <c r="E17" s="48" t="str">
        <f>VLOOKUP(Q17,[2]PROYECTOS!$G$1:$K$32,5,0)</f>
        <v>FUNCIONAMIENTO</v>
      </c>
      <c r="F17" s="48">
        <f>VLOOKUP(E17,[2]PROYECTOS!$K$1:$M$32,3,0)</f>
        <v>999999</v>
      </c>
      <c r="G17" s="49" t="s">
        <v>43</v>
      </c>
      <c r="H17" s="49">
        <f>VLOOKUP(Q17,[2]PROYECTOS!$V$1:$W$32,2,0)</f>
        <v>999999</v>
      </c>
      <c r="I17" s="50">
        <f>300000000+1657834</f>
        <v>301657834</v>
      </c>
      <c r="J17" s="51" t="s">
        <v>1247</v>
      </c>
      <c r="K17" s="47" t="str">
        <f t="shared" ca="1" si="0"/>
        <v>CONTRATADO</v>
      </c>
      <c r="L17" s="47" t="s">
        <v>44</v>
      </c>
      <c r="M17" s="47" t="s">
        <v>1236</v>
      </c>
      <c r="N17" s="52" t="s">
        <v>53</v>
      </c>
      <c r="O17" s="51" t="e">
        <f>VLOOKUP(N17,[2]!RUBROS[#All],3,0)</f>
        <v>#REF!</v>
      </c>
      <c r="P17" s="53" t="e">
        <f>VLOOKUP(N17,[2]!RUBROS[#All],2,0)</f>
        <v>#REF!</v>
      </c>
      <c r="Q17" s="47" t="str">
        <f t="shared" si="1"/>
        <v>00</v>
      </c>
      <c r="R17" s="47" t="str">
        <f t="shared" si="2"/>
        <v>0-205616</v>
      </c>
      <c r="S17" s="54">
        <v>12</v>
      </c>
      <c r="T17" s="57" t="s">
        <v>46</v>
      </c>
      <c r="U17" s="326" t="e">
        <f ca="1">_xlfn.XLOOKUP(PAA_4[[#This Row],[ITEM]],[2]Contrato!A:A,[2]Contrato!Q:Q,"",0)</f>
        <v>#NAME?</v>
      </c>
      <c r="V17" s="47" t="s">
        <v>47</v>
      </c>
      <c r="W17" s="47" t="s">
        <v>48</v>
      </c>
      <c r="X17" s="47" t="s">
        <v>48</v>
      </c>
      <c r="Y17" s="55" t="e">
        <f ca="1">_xlfn.XLOOKUP(PAA_4[[#This Row],[ITEM]],[2]Contrato!A:A,[2]Contrato!B:B,"",0)</f>
        <v>#NAME?</v>
      </c>
      <c r="Z17" s="47" t="e">
        <f ca="1">_xlfn.XLOOKUP(PAA_4[[#This Row],[ITEM]],[2]Contrato!A:A,[2]Contrato!G:G,"",0)</f>
        <v>#NAME?</v>
      </c>
      <c r="AA17" s="47" t="e">
        <f ca="1">_xlfn.XLOOKUP(PAA_4[[#This Row],[ITEM]],[2]Contrato!A:A,[2]Contrato!T:T,"",0)</f>
        <v>#NAME?</v>
      </c>
      <c r="AB17" s="55" t="e">
        <f ca="1">+MAX(PAA_4[[#This Row],[Comprometido Contrato]],PAA_4[[#This Row],[Comprometido Bolsa]])</f>
        <v>#NAME?</v>
      </c>
      <c r="AC17" s="55" t="str">
        <f t="shared" ca="1" si="3"/>
        <v/>
      </c>
      <c r="AD17" s="55" t="e">
        <f ca="1">IF(PAA_4[[#This Row],[ESTADO (formulado)]]="NO CONTRATADO",0,MAX(PAA_4[[#This Row],[Pago por Contrato]],PAA_4[[#This Row],[Pago por bolsa]]))</f>
        <v>#NAME?</v>
      </c>
      <c r="AE17" s="55" t="str">
        <f t="shared" ca="1" si="4"/>
        <v/>
      </c>
      <c r="AF17" s="47" t="e">
        <f t="shared" ca="1" si="5"/>
        <v>#NAME?</v>
      </c>
      <c r="AG17" s="47" t="str">
        <f t="shared" si="6"/>
        <v/>
      </c>
      <c r="AH17" s="54">
        <f>IF(Q17="22",IF(ISNUMBER(SEARCH("econ",PAA_4[[#This Row],[Actividad3]])),"Económico",IF(ISNUMBER(SEARCH("alim",PAA_4[[#This Row],[Actividad3]])),"Alimentación",IF(ISNUMBER(SEARCH("educ",PAA_4[[#This Row],[Actividad3]])),"Educativo","Técnico"))),0)</f>
        <v>0</v>
      </c>
      <c r="AI17" s="47" t="e" cm="1">
        <f t="array" aca="1" ref="AI17" ca="1">_xlfn.XLOOKUP(PAA_4[[#This Row],[RCP-RUBRO]],[2]!COMPROMISOS_2024[[#All],[concatenado]],[2]!COMPROMISOS_2024[[#All],[Total pagado]],"",0)</f>
        <v>#NAME?</v>
      </c>
      <c r="AJ17" s="56">
        <f>IF(PAA_4[[#This Row],[BOLSA]]=0,0,SUMIFS([2]!COMPROMISOS_2024[[#All],[Total pagado]],[2]!COMPROMISOS_2024[[#All],[Bolsa]],PAA_4[[#This Row],[BOLSA]],[2]!COMPROMISOS_2024[[#All],[rubro]],PAA_4[[#This Row],[RCP-RUBRO]]))</f>
        <v>0</v>
      </c>
      <c r="AK17" s="47" t="e" cm="1">
        <f t="array" aca="1" ref="AK17" ca="1">_xlfn.XLOOKUP(PAA_4[[#This Row],[RCP-RUBRO]],[2]!COMPROMISOS_2024[[#All],[concatenado]],[2]!COMPROMISOS_2024[[#All],[Total Comprometido]],"",0)</f>
        <v>#NAME?</v>
      </c>
      <c r="AL17" s="47">
        <f>IF(PAA_4[[#This Row],[BOLSA]]=0,0,SUMIFS([2]!COMPROMISOS_2024[[#All],[Total Comprometido]],[2]!COMPROMISOS_2024[[#All],[Bolsa]],PAA_4[[#This Row],[BOLSA]],[2]!COMPROMISOS_2024[[#All],[concatenado]],PAA_4[[#This Row],[RCP-RUBRO]]))</f>
        <v>0</v>
      </c>
    </row>
    <row r="18" spans="1:38" s="19" customFormat="1" ht="31.5" customHeight="1">
      <c r="A18" s="47">
        <v>6</v>
      </c>
      <c r="B18" s="47" t="s">
        <v>42</v>
      </c>
      <c r="C18" s="47" t="str">
        <f>VLOOKUP(PAA_4[[#This Row],[PROYECTO (formulado)2]],[2]PROYECTOS!$G$1:$L$32,6,0)</f>
        <v>SUBGERENCIA ADMINISTRATIVA Y FINANCIERA</v>
      </c>
      <c r="D18" s="47" t="str">
        <f>+IF(PAA_4[[#This Row],[UNIDAD DE CONTRATACION (formulado)]]="Subgerencia Administrativa y Financiera","FUNCIONAMIENTO","INVERSIÓN")</f>
        <v>FUNCIONAMIENTO</v>
      </c>
      <c r="E18" s="48" t="str">
        <f>VLOOKUP(Q18,[2]PROYECTOS!$G$1:$K$32,5,0)</f>
        <v>FUNCIONAMIENTO</v>
      </c>
      <c r="F18" s="48">
        <f>VLOOKUP(E18,[2]PROYECTOS!$K$1:$M$32,3,0)</f>
        <v>999999</v>
      </c>
      <c r="G18" s="49" t="s">
        <v>43</v>
      </c>
      <c r="H18" s="49">
        <f>VLOOKUP(Q18,[2]PROYECTOS!$V$1:$W$32,2,0)</f>
        <v>999999</v>
      </c>
      <c r="I18" s="50">
        <f>250000000+10000000</f>
        <v>260000000</v>
      </c>
      <c r="J18" s="51" t="s">
        <v>1247</v>
      </c>
      <c r="K18" s="47" t="str">
        <f t="shared" ca="1" si="0"/>
        <v>CONTRATADO</v>
      </c>
      <c r="L18" s="47" t="s">
        <v>44</v>
      </c>
      <c r="M18" s="47" t="s">
        <v>1236</v>
      </c>
      <c r="N18" s="52" t="s">
        <v>1248</v>
      </c>
      <c r="O18" s="51" t="e">
        <f>VLOOKUP(N18,[2]!RUBROS[#All],3,0)</f>
        <v>#REF!</v>
      </c>
      <c r="P18" s="53" t="e">
        <f>VLOOKUP(N18,[2]!RUBROS[#All],2,0)</f>
        <v>#REF!</v>
      </c>
      <c r="Q18" s="47" t="str">
        <f t="shared" si="1"/>
        <v>00</v>
      </c>
      <c r="R18" s="47" t="str">
        <f t="shared" si="2"/>
        <v>0-101024</v>
      </c>
      <c r="S18" s="54">
        <v>12</v>
      </c>
      <c r="T18" s="57" t="s">
        <v>46</v>
      </c>
      <c r="U18" s="326" t="e">
        <f ca="1">_xlfn.XLOOKUP(PAA_4[[#This Row],[ITEM]],[2]Contrato!A:A,[2]Contrato!Q:Q,"",0)</f>
        <v>#NAME?</v>
      </c>
      <c r="V18" s="47" t="s">
        <v>47</v>
      </c>
      <c r="W18" s="47" t="s">
        <v>48</v>
      </c>
      <c r="X18" s="47" t="s">
        <v>48</v>
      </c>
      <c r="Y18" s="55" t="e">
        <f ca="1">_xlfn.XLOOKUP(PAA_4[[#This Row],[ITEM]],[2]Contrato!A:A,[2]Contrato!B:B,"",0)</f>
        <v>#NAME?</v>
      </c>
      <c r="Z18" s="47" t="e">
        <f ca="1">_xlfn.XLOOKUP(PAA_4[[#This Row],[ITEM]],[2]Contrato!A:A,[2]Contrato!G:G,"",0)</f>
        <v>#NAME?</v>
      </c>
      <c r="AA18" s="47" t="e">
        <f ca="1">_xlfn.XLOOKUP(PAA_4[[#This Row],[ITEM]],[2]Contrato!A:A,[2]Contrato!T:T,"",0)</f>
        <v>#NAME?</v>
      </c>
      <c r="AB18" s="55" t="e">
        <f ca="1">+MAX(PAA_4[[#This Row],[Comprometido Contrato]],PAA_4[[#This Row],[Comprometido Bolsa]])</f>
        <v>#NAME?</v>
      </c>
      <c r="AC18" s="55" t="str">
        <f t="shared" ca="1" si="3"/>
        <v/>
      </c>
      <c r="AD18" s="55" t="e">
        <f ca="1">IF(PAA_4[[#This Row],[ESTADO (formulado)]]="NO CONTRATADO",0,MAX(PAA_4[[#This Row],[Pago por Contrato]],PAA_4[[#This Row],[Pago por bolsa]]))</f>
        <v>#NAME?</v>
      </c>
      <c r="AE18" s="55" t="str">
        <f t="shared" ca="1" si="4"/>
        <v/>
      </c>
      <c r="AF18" s="47" t="e">
        <f t="shared" ca="1" si="5"/>
        <v>#NAME?</v>
      </c>
      <c r="AG18" s="47" t="str">
        <f t="shared" si="6"/>
        <v/>
      </c>
      <c r="AH18" s="54">
        <f>IF(Q18="22",IF(ISNUMBER(SEARCH("econ",PAA_4[[#This Row],[Actividad3]])),"Económico",IF(ISNUMBER(SEARCH("alim",PAA_4[[#This Row],[Actividad3]])),"Alimentación",IF(ISNUMBER(SEARCH("educ",PAA_4[[#This Row],[Actividad3]])),"Educativo","Técnico"))),0)</f>
        <v>0</v>
      </c>
      <c r="AI18" s="47" t="e" cm="1">
        <f t="array" aca="1" ref="AI18" ca="1">_xlfn.XLOOKUP(PAA_4[[#This Row],[RCP-RUBRO]],[2]!COMPROMISOS_2024[[#All],[concatenado]],[2]!COMPROMISOS_2024[[#All],[Total pagado]],"",0)</f>
        <v>#NAME?</v>
      </c>
      <c r="AJ18" s="56">
        <f>IF(PAA_4[[#This Row],[BOLSA]]=0,0,SUMIFS([2]!COMPROMISOS_2024[[#All],[Total pagado]],[2]!COMPROMISOS_2024[[#All],[Bolsa]],PAA_4[[#This Row],[BOLSA]],[2]!COMPROMISOS_2024[[#All],[rubro]],PAA_4[[#This Row],[RCP-RUBRO]]))</f>
        <v>0</v>
      </c>
      <c r="AK18" s="47" t="e" cm="1">
        <f t="array" aca="1" ref="AK18" ca="1">_xlfn.XLOOKUP(PAA_4[[#This Row],[RCP-RUBRO]],[2]!COMPROMISOS_2024[[#All],[concatenado]],[2]!COMPROMISOS_2024[[#All],[Total Comprometido]],"",0)</f>
        <v>#NAME?</v>
      </c>
      <c r="AL18" s="47">
        <f>IF(PAA_4[[#This Row],[BOLSA]]=0,0,SUMIFS([2]!COMPROMISOS_2024[[#All],[Total Comprometido]],[2]!COMPROMISOS_2024[[#All],[Bolsa]],PAA_4[[#This Row],[BOLSA]],[2]!COMPROMISOS_2024[[#All],[concatenado]],PAA_4[[#This Row],[RCP-RUBRO]]))</f>
        <v>0</v>
      </c>
    </row>
    <row r="19" spans="1:38" s="19" customFormat="1" ht="31.5" customHeight="1">
      <c r="A19" s="47">
        <v>7</v>
      </c>
      <c r="B19" s="47" t="s">
        <v>42</v>
      </c>
      <c r="C19" s="47" t="str">
        <f>VLOOKUP(PAA_4[[#This Row],[PROYECTO (formulado)2]],[2]PROYECTOS!$G$1:$L$32,6,0)</f>
        <v>SUBGERENCIA ADMINISTRATIVA Y FINANCIERA</v>
      </c>
      <c r="D19" s="47" t="str">
        <f>+IF(PAA_4[[#This Row],[UNIDAD DE CONTRATACION (formulado)]]="Subgerencia Administrativa y Financiera","FUNCIONAMIENTO","INVERSIÓN")</f>
        <v>FUNCIONAMIENTO</v>
      </c>
      <c r="E19" s="48" t="str">
        <f>VLOOKUP(Q19,[2]PROYECTOS!$G$1:$K$32,5,0)</f>
        <v>FUNCIONAMIENTO</v>
      </c>
      <c r="F19" s="48">
        <f>VLOOKUP(E19,[2]PROYECTOS!$K$1:$M$32,3,0)</f>
        <v>999999</v>
      </c>
      <c r="G19" s="49" t="s">
        <v>43</v>
      </c>
      <c r="H19" s="49">
        <f>VLOOKUP(Q19,[2]PROYECTOS!$V$1:$W$32,2,0)</f>
        <v>999999</v>
      </c>
      <c r="I19" s="50">
        <v>438849100</v>
      </c>
      <c r="J19" s="51" t="s">
        <v>1249</v>
      </c>
      <c r="K19" s="47" t="str">
        <f t="shared" ca="1" si="0"/>
        <v>CONTRATADO</v>
      </c>
      <c r="L19" s="47" t="s">
        <v>44</v>
      </c>
      <c r="M19" s="47" t="s">
        <v>1236</v>
      </c>
      <c r="N19" s="52" t="s">
        <v>1250</v>
      </c>
      <c r="O19" s="51" t="e">
        <f>VLOOKUP(N19,[2]!RUBROS[#All],3,0)</f>
        <v>#REF!</v>
      </c>
      <c r="P19" s="53" t="e">
        <f>VLOOKUP(N19,[2]!RUBROS[#All],2,0)</f>
        <v>#REF!</v>
      </c>
      <c r="Q19" s="47" t="str">
        <f t="shared" si="1"/>
        <v>00</v>
      </c>
      <c r="R19" s="47" t="str">
        <f t="shared" si="2"/>
        <v>0-101024</v>
      </c>
      <c r="S19" s="54">
        <v>12</v>
      </c>
      <c r="T19" s="57" t="s">
        <v>46</v>
      </c>
      <c r="U19" s="326" t="e">
        <f ca="1">_xlfn.XLOOKUP(PAA_4[[#This Row],[ITEM]],[2]Contrato!A:A,[2]Contrato!Q:Q,"",0)</f>
        <v>#NAME?</v>
      </c>
      <c r="V19" s="47" t="s">
        <v>47</v>
      </c>
      <c r="W19" s="47" t="s">
        <v>48</v>
      </c>
      <c r="X19" s="47" t="s">
        <v>48</v>
      </c>
      <c r="Y19" s="55" t="e">
        <f ca="1">_xlfn.XLOOKUP(PAA_4[[#This Row],[ITEM]],[2]Contrato!A:A,[2]Contrato!B:B,"",0)</f>
        <v>#NAME?</v>
      </c>
      <c r="Z19" s="47" t="e">
        <f ca="1">_xlfn.XLOOKUP(PAA_4[[#This Row],[ITEM]],[2]Contrato!A:A,[2]Contrato!G:G,"",0)</f>
        <v>#NAME?</v>
      </c>
      <c r="AA19" s="47" t="e">
        <f ca="1">_xlfn.XLOOKUP(PAA_4[[#This Row],[ITEM]],[2]Contrato!A:A,[2]Contrato!T:T,"",0)</f>
        <v>#NAME?</v>
      </c>
      <c r="AB19" s="55" t="e">
        <f ca="1">+MAX(PAA_4[[#This Row],[Comprometido Contrato]],PAA_4[[#This Row],[Comprometido Bolsa]])</f>
        <v>#NAME?</v>
      </c>
      <c r="AC19" s="55" t="str">
        <f t="shared" ca="1" si="3"/>
        <v/>
      </c>
      <c r="AD19" s="55" t="e">
        <f ca="1">IF(PAA_4[[#This Row],[ESTADO (formulado)]]="NO CONTRATADO",0,MAX(PAA_4[[#This Row],[Pago por Contrato]],PAA_4[[#This Row],[Pago por bolsa]]))</f>
        <v>#NAME?</v>
      </c>
      <c r="AE19" s="55" t="str">
        <f t="shared" ca="1" si="4"/>
        <v/>
      </c>
      <c r="AF19" s="47" t="e">
        <f t="shared" ca="1" si="5"/>
        <v>#NAME?</v>
      </c>
      <c r="AG19" s="47" t="str">
        <f t="shared" si="6"/>
        <v/>
      </c>
      <c r="AH19" s="54">
        <f>IF(Q19="22",IF(ISNUMBER(SEARCH("econ",PAA_4[[#This Row],[Actividad3]])),"Económico",IF(ISNUMBER(SEARCH("alim",PAA_4[[#This Row],[Actividad3]])),"Alimentación",IF(ISNUMBER(SEARCH("educ",PAA_4[[#This Row],[Actividad3]])),"Educativo","Técnico"))),0)</f>
        <v>0</v>
      </c>
      <c r="AI19" s="47" t="e" cm="1">
        <f t="array" aca="1" ref="AI19" ca="1">_xlfn.XLOOKUP(PAA_4[[#This Row],[RCP-RUBRO]],[2]!COMPROMISOS_2024[[#All],[concatenado]],[2]!COMPROMISOS_2024[[#All],[Total pagado]],"",0)</f>
        <v>#NAME?</v>
      </c>
      <c r="AJ19" s="56">
        <f>IF(PAA_4[[#This Row],[BOLSA]]=0,0,SUMIFS([2]!COMPROMISOS_2024[[#All],[Total pagado]],[2]!COMPROMISOS_2024[[#All],[Bolsa]],PAA_4[[#This Row],[BOLSA]],[2]!COMPROMISOS_2024[[#All],[rubro]],PAA_4[[#This Row],[RCP-RUBRO]]))</f>
        <v>0</v>
      </c>
      <c r="AK19" s="47" t="e" cm="1">
        <f t="array" aca="1" ref="AK19" ca="1">_xlfn.XLOOKUP(PAA_4[[#This Row],[RCP-RUBRO]],[2]!COMPROMISOS_2024[[#All],[concatenado]],[2]!COMPROMISOS_2024[[#All],[Total Comprometido]],"",0)</f>
        <v>#NAME?</v>
      </c>
      <c r="AL19" s="47">
        <f>IF(PAA_4[[#This Row],[BOLSA]]=0,0,SUMIFS([2]!COMPROMISOS_2024[[#All],[Total Comprometido]],[2]!COMPROMISOS_2024[[#All],[Bolsa]],PAA_4[[#This Row],[BOLSA]],[2]!COMPROMISOS_2024[[#All],[concatenado]],PAA_4[[#This Row],[RCP-RUBRO]]))</f>
        <v>0</v>
      </c>
    </row>
    <row r="20" spans="1:38" s="19" customFormat="1" ht="31.5" customHeight="1">
      <c r="A20" s="47">
        <v>7</v>
      </c>
      <c r="B20" s="47" t="s">
        <v>42</v>
      </c>
      <c r="C20" s="47" t="str">
        <f>VLOOKUP(PAA_4[[#This Row],[PROYECTO (formulado)2]],[2]PROYECTOS!$G$1:$L$32,6,0)</f>
        <v>SUBGERENCIA ADMINISTRATIVA Y FINANCIERA</v>
      </c>
      <c r="D20" s="47" t="str">
        <f>+IF(PAA_4[[#This Row],[UNIDAD DE CONTRATACION (formulado)]]="Subgerencia Administrativa y Financiera","FUNCIONAMIENTO","INVERSIÓN")</f>
        <v>FUNCIONAMIENTO</v>
      </c>
      <c r="E20" s="48" t="str">
        <f>VLOOKUP(Q20,[2]PROYECTOS!$G$1:$K$32,5,0)</f>
        <v>FUNCIONAMIENTO</v>
      </c>
      <c r="F20" s="48">
        <f>VLOOKUP(E20,[2]PROYECTOS!$K$1:$M$32,3,0)</f>
        <v>999999</v>
      </c>
      <c r="G20" s="49" t="s">
        <v>43</v>
      </c>
      <c r="H20" s="49">
        <f>VLOOKUP(Q20,[2]PROYECTOS!$V$1:$W$32,2,0)</f>
        <v>999999</v>
      </c>
      <c r="I20" s="50">
        <v>1325079500</v>
      </c>
      <c r="J20" s="51" t="s">
        <v>1251</v>
      </c>
      <c r="K20" s="47" t="str">
        <f t="shared" ca="1" si="0"/>
        <v>CONTRATADO</v>
      </c>
      <c r="L20" s="47" t="s">
        <v>44</v>
      </c>
      <c r="M20" s="47" t="s">
        <v>1236</v>
      </c>
      <c r="N20" s="52" t="s">
        <v>54</v>
      </c>
      <c r="O20" s="51" t="e">
        <f>VLOOKUP(N20,[2]!RUBROS[#All],3,0)</f>
        <v>#REF!</v>
      </c>
      <c r="P20" s="53" t="e">
        <f>VLOOKUP(N20,[2]!RUBROS[#All],2,0)</f>
        <v>#REF!</v>
      </c>
      <c r="Q20" s="47" t="str">
        <f t="shared" si="1"/>
        <v>00</v>
      </c>
      <c r="R20" s="47" t="str">
        <f t="shared" si="2"/>
        <v>0-205616</v>
      </c>
      <c r="S20" s="54">
        <v>12</v>
      </c>
      <c r="T20" s="57" t="s">
        <v>46</v>
      </c>
      <c r="U20" s="326" t="e">
        <f ca="1">_xlfn.XLOOKUP(PAA_4[[#This Row],[ITEM]],[2]Contrato!A:A,[2]Contrato!Q:Q,"",0)</f>
        <v>#NAME?</v>
      </c>
      <c r="V20" s="47" t="s">
        <v>47</v>
      </c>
      <c r="W20" s="47" t="s">
        <v>48</v>
      </c>
      <c r="X20" s="47" t="s">
        <v>48</v>
      </c>
      <c r="Y20" s="55" t="e">
        <f ca="1">_xlfn.XLOOKUP(PAA_4[[#This Row],[ITEM]],[2]Contrato!A:A,[2]Contrato!B:B,"",0)</f>
        <v>#NAME?</v>
      </c>
      <c r="Z20" s="47" t="e">
        <f ca="1">_xlfn.XLOOKUP(PAA_4[[#This Row],[ITEM]],[2]Contrato!A:A,[2]Contrato!G:G,"",0)</f>
        <v>#NAME?</v>
      </c>
      <c r="AA20" s="47" t="e">
        <f ca="1">_xlfn.XLOOKUP(PAA_4[[#This Row],[ITEM]],[2]Contrato!A:A,[2]Contrato!T:T,"",0)</f>
        <v>#NAME?</v>
      </c>
      <c r="AB20" s="55" t="e">
        <f ca="1">+MAX(PAA_4[[#This Row],[Comprometido Contrato]],PAA_4[[#This Row],[Comprometido Bolsa]])</f>
        <v>#NAME?</v>
      </c>
      <c r="AC20" s="55" t="str">
        <f t="shared" ca="1" si="3"/>
        <v/>
      </c>
      <c r="AD20" s="55" t="e">
        <f ca="1">IF(PAA_4[[#This Row],[ESTADO (formulado)]]="NO CONTRATADO",0,MAX(PAA_4[[#This Row],[Pago por Contrato]],PAA_4[[#This Row],[Pago por bolsa]]))</f>
        <v>#NAME?</v>
      </c>
      <c r="AE20" s="55" t="str">
        <f t="shared" ca="1" si="4"/>
        <v/>
      </c>
      <c r="AF20" s="47" t="e">
        <f t="shared" ca="1" si="5"/>
        <v>#NAME?</v>
      </c>
      <c r="AG20" s="47" t="str">
        <f t="shared" si="6"/>
        <v/>
      </c>
      <c r="AH20" s="54">
        <f>IF(Q20="22",IF(ISNUMBER(SEARCH("econ",PAA_4[[#This Row],[Actividad3]])),"Económico",IF(ISNUMBER(SEARCH("alim",PAA_4[[#This Row],[Actividad3]])),"Alimentación",IF(ISNUMBER(SEARCH("educ",PAA_4[[#This Row],[Actividad3]])),"Educativo","Técnico"))),0)</f>
        <v>0</v>
      </c>
      <c r="AI20" s="47" t="e" cm="1">
        <f t="array" aca="1" ref="AI20" ca="1">_xlfn.XLOOKUP(PAA_4[[#This Row],[RCP-RUBRO]],[2]!COMPROMISOS_2024[[#All],[concatenado]],[2]!COMPROMISOS_2024[[#All],[Total pagado]],"",0)</f>
        <v>#NAME?</v>
      </c>
      <c r="AJ20" s="56">
        <f>IF(PAA_4[[#This Row],[BOLSA]]=0,0,SUMIFS([2]!COMPROMISOS_2024[[#All],[Total pagado]],[2]!COMPROMISOS_2024[[#All],[Bolsa]],PAA_4[[#This Row],[BOLSA]],[2]!COMPROMISOS_2024[[#All],[rubro]],PAA_4[[#This Row],[RCP-RUBRO]]))</f>
        <v>0</v>
      </c>
      <c r="AK20" s="47" t="e" cm="1">
        <f t="array" aca="1" ref="AK20" ca="1">_xlfn.XLOOKUP(PAA_4[[#This Row],[RCP-RUBRO]],[2]!COMPROMISOS_2024[[#All],[concatenado]],[2]!COMPROMISOS_2024[[#All],[Total Comprometido]],"",0)</f>
        <v>#NAME?</v>
      </c>
      <c r="AL20" s="47">
        <f>IF(PAA_4[[#This Row],[BOLSA]]=0,0,SUMIFS([2]!COMPROMISOS_2024[[#All],[Total Comprometido]],[2]!COMPROMISOS_2024[[#All],[Bolsa]],PAA_4[[#This Row],[BOLSA]],[2]!COMPROMISOS_2024[[#All],[concatenado]],PAA_4[[#This Row],[RCP-RUBRO]]))</f>
        <v>0</v>
      </c>
    </row>
    <row r="21" spans="1:38" s="19" customFormat="1" ht="31.5" customHeight="1">
      <c r="A21" s="47">
        <v>8</v>
      </c>
      <c r="B21" s="47" t="s">
        <v>42</v>
      </c>
      <c r="C21" s="47" t="str">
        <f>VLOOKUP(PAA_4[[#This Row],[PROYECTO (formulado)2]],[2]PROYECTOS!$G$1:$L$32,6,0)</f>
        <v>SUBGERENCIA ADMINISTRATIVA Y FINANCIERA</v>
      </c>
      <c r="D21" s="47" t="str">
        <f>+IF(PAA_4[[#This Row],[UNIDAD DE CONTRATACION (formulado)]]="Subgerencia Administrativa y Financiera","FUNCIONAMIENTO","INVERSIÓN")</f>
        <v>FUNCIONAMIENTO</v>
      </c>
      <c r="E21" s="48" t="str">
        <f>VLOOKUP(Q21,[2]PROYECTOS!$G$1:$K$32,5,0)</f>
        <v>FUNCIONAMIENTO</v>
      </c>
      <c r="F21" s="48">
        <f>VLOOKUP(E21,[2]PROYECTOS!$K$1:$M$32,3,0)</f>
        <v>999999</v>
      </c>
      <c r="G21" s="49" t="s">
        <v>43</v>
      </c>
      <c r="H21" s="49">
        <f>VLOOKUP(Q21,[2]PROYECTOS!$V$1:$W$32,2,0)</f>
        <v>999999</v>
      </c>
      <c r="I21" s="50">
        <v>463959800</v>
      </c>
      <c r="J21" s="51" t="s">
        <v>1252</v>
      </c>
      <c r="K21" s="47" t="str">
        <f t="shared" ca="1" si="0"/>
        <v>CONTRATADO</v>
      </c>
      <c r="L21" s="47" t="s">
        <v>44</v>
      </c>
      <c r="M21" s="47" t="s">
        <v>1236</v>
      </c>
      <c r="N21" s="52" t="s">
        <v>1253</v>
      </c>
      <c r="O21" s="51" t="e">
        <f>VLOOKUP(N21,[2]!RUBROS[#All],3,0)</f>
        <v>#REF!</v>
      </c>
      <c r="P21" s="53" t="e">
        <f>VLOOKUP(N21,[2]!RUBROS[#All],2,0)</f>
        <v>#REF!</v>
      </c>
      <c r="Q21" s="47" t="str">
        <f t="shared" si="1"/>
        <v>00</v>
      </c>
      <c r="R21" s="47" t="str">
        <f t="shared" si="2"/>
        <v>0-101024</v>
      </c>
      <c r="S21" s="54">
        <v>12</v>
      </c>
      <c r="T21" s="57" t="s">
        <v>46</v>
      </c>
      <c r="U21" s="326" t="e">
        <f ca="1">_xlfn.XLOOKUP(PAA_4[[#This Row],[ITEM]],[2]Contrato!A:A,[2]Contrato!Q:Q,"",0)</f>
        <v>#NAME?</v>
      </c>
      <c r="V21" s="47" t="s">
        <v>47</v>
      </c>
      <c r="W21" s="47" t="s">
        <v>48</v>
      </c>
      <c r="X21" s="47" t="s">
        <v>48</v>
      </c>
      <c r="Y21" s="55" t="e">
        <f ca="1">_xlfn.XLOOKUP(PAA_4[[#This Row],[ITEM]],[2]Contrato!A:A,[2]Contrato!B:B,"",0)</f>
        <v>#NAME?</v>
      </c>
      <c r="Z21" s="47" t="e">
        <f ca="1">_xlfn.XLOOKUP(PAA_4[[#This Row],[ITEM]],[2]Contrato!A:A,[2]Contrato!G:G,"",0)</f>
        <v>#NAME?</v>
      </c>
      <c r="AA21" s="47" t="e">
        <f ca="1">_xlfn.XLOOKUP(PAA_4[[#This Row],[ITEM]],[2]Contrato!A:A,[2]Contrato!T:T,"",0)</f>
        <v>#NAME?</v>
      </c>
      <c r="AB21" s="55" t="e">
        <f ca="1">+MAX(PAA_4[[#This Row],[Comprometido Contrato]],PAA_4[[#This Row],[Comprometido Bolsa]])</f>
        <v>#NAME?</v>
      </c>
      <c r="AC21" s="55" t="str">
        <f t="shared" ca="1" si="3"/>
        <v/>
      </c>
      <c r="AD21" s="55" t="e">
        <f ca="1">IF(PAA_4[[#This Row],[ESTADO (formulado)]]="NO CONTRATADO",0,MAX(PAA_4[[#This Row],[Pago por Contrato]],PAA_4[[#This Row],[Pago por bolsa]]))</f>
        <v>#NAME?</v>
      </c>
      <c r="AE21" s="55" t="str">
        <f t="shared" ca="1" si="4"/>
        <v/>
      </c>
      <c r="AF21" s="47" t="e">
        <f t="shared" ca="1" si="5"/>
        <v>#NAME?</v>
      </c>
      <c r="AG21" s="47" t="str">
        <f t="shared" si="6"/>
        <v/>
      </c>
      <c r="AH21" s="54">
        <f>IF(Q21="22",IF(ISNUMBER(SEARCH("econ",PAA_4[[#This Row],[Actividad3]])),"Económico",IF(ISNUMBER(SEARCH("alim",PAA_4[[#This Row],[Actividad3]])),"Alimentación",IF(ISNUMBER(SEARCH("educ",PAA_4[[#This Row],[Actividad3]])),"Educativo","Técnico"))),0)</f>
        <v>0</v>
      </c>
      <c r="AI21" s="47" t="e" cm="1">
        <f t="array" aca="1" ref="AI21" ca="1">_xlfn.XLOOKUP(PAA_4[[#This Row],[RCP-RUBRO]],[2]!COMPROMISOS_2024[[#All],[concatenado]],[2]!COMPROMISOS_2024[[#All],[Total pagado]],"",0)</f>
        <v>#NAME?</v>
      </c>
      <c r="AJ21" s="56">
        <f>IF(PAA_4[[#This Row],[BOLSA]]=0,0,SUMIFS([2]!COMPROMISOS_2024[[#All],[Total pagado]],[2]!COMPROMISOS_2024[[#All],[Bolsa]],PAA_4[[#This Row],[BOLSA]],[2]!COMPROMISOS_2024[[#All],[rubro]],PAA_4[[#This Row],[RCP-RUBRO]]))</f>
        <v>0</v>
      </c>
      <c r="AK21" s="47" t="e" cm="1">
        <f t="array" aca="1" ref="AK21" ca="1">_xlfn.XLOOKUP(PAA_4[[#This Row],[RCP-RUBRO]],[2]!COMPROMISOS_2024[[#All],[concatenado]],[2]!COMPROMISOS_2024[[#All],[Total Comprometido]],"",0)</f>
        <v>#NAME?</v>
      </c>
      <c r="AL21" s="47">
        <f>IF(PAA_4[[#This Row],[BOLSA]]=0,0,SUMIFS([2]!COMPROMISOS_2024[[#All],[Total Comprometido]],[2]!COMPROMISOS_2024[[#All],[Bolsa]],PAA_4[[#This Row],[BOLSA]],[2]!COMPROMISOS_2024[[#All],[concatenado]],PAA_4[[#This Row],[RCP-RUBRO]]))</f>
        <v>0</v>
      </c>
    </row>
    <row r="22" spans="1:38" s="19" customFormat="1" ht="31.5" customHeight="1">
      <c r="A22" s="47">
        <v>8</v>
      </c>
      <c r="B22" s="47" t="s">
        <v>42</v>
      </c>
      <c r="C22" s="47" t="str">
        <f>VLOOKUP(PAA_4[[#This Row],[PROYECTO (formulado)2]],[2]PROYECTOS!$G$1:$L$32,6,0)</f>
        <v>SUBGERENCIA ADMINISTRATIVA Y FINANCIERA</v>
      </c>
      <c r="D22" s="47" t="str">
        <f>+IF(PAA_4[[#This Row],[UNIDAD DE CONTRATACION (formulado)]]="Subgerencia Administrativa y Financiera","FUNCIONAMIENTO","INVERSIÓN")</f>
        <v>FUNCIONAMIENTO</v>
      </c>
      <c r="E22" s="48" t="str">
        <f>VLOOKUP(Q22,[2]PROYECTOS!$G$1:$K$32,5,0)</f>
        <v>FUNCIONAMIENTO</v>
      </c>
      <c r="F22" s="48">
        <f>VLOOKUP(E22,[2]PROYECTOS!$K$1:$M$32,3,0)</f>
        <v>999999</v>
      </c>
      <c r="G22" s="49" t="s">
        <v>43</v>
      </c>
      <c r="H22" s="49">
        <f>VLOOKUP(Q22,[2]PROYECTOS!$V$1:$W$32,2,0)</f>
        <v>999999</v>
      </c>
      <c r="I22" s="50">
        <v>938600200</v>
      </c>
      <c r="J22" s="51" t="s">
        <v>1252</v>
      </c>
      <c r="K22" s="47" t="str">
        <f t="shared" ca="1" si="0"/>
        <v>CONTRATADO</v>
      </c>
      <c r="L22" s="47" t="s">
        <v>44</v>
      </c>
      <c r="M22" s="47" t="s">
        <v>1236</v>
      </c>
      <c r="N22" s="52" t="s">
        <v>55</v>
      </c>
      <c r="O22" s="51" t="e">
        <f>VLOOKUP(N22,[2]!RUBROS[#All],3,0)</f>
        <v>#REF!</v>
      </c>
      <c r="P22" s="53" t="e">
        <f>VLOOKUP(N22,[2]!RUBROS[#All],2,0)</f>
        <v>#REF!</v>
      </c>
      <c r="Q22" s="47" t="str">
        <f t="shared" si="1"/>
        <v>00</v>
      </c>
      <c r="R22" s="47" t="str">
        <f t="shared" si="2"/>
        <v>0-205616</v>
      </c>
      <c r="S22" s="54">
        <v>12</v>
      </c>
      <c r="T22" s="57" t="s">
        <v>46</v>
      </c>
      <c r="U22" s="326" t="e">
        <f ca="1">_xlfn.XLOOKUP(PAA_4[[#This Row],[ITEM]],[2]Contrato!A:A,[2]Contrato!Q:Q,"",0)</f>
        <v>#NAME?</v>
      </c>
      <c r="V22" s="47" t="s">
        <v>47</v>
      </c>
      <c r="W22" s="47" t="s">
        <v>48</v>
      </c>
      <c r="X22" s="47" t="s">
        <v>48</v>
      </c>
      <c r="Y22" s="55" t="e">
        <f ca="1">_xlfn.XLOOKUP(PAA_4[[#This Row],[ITEM]],[2]Contrato!A:A,[2]Contrato!B:B,"",0)</f>
        <v>#NAME?</v>
      </c>
      <c r="Z22" s="47" t="e">
        <f ca="1">_xlfn.XLOOKUP(PAA_4[[#This Row],[ITEM]],[2]Contrato!A:A,[2]Contrato!G:G,"",0)</f>
        <v>#NAME?</v>
      </c>
      <c r="AA22" s="47" t="e">
        <f ca="1">_xlfn.XLOOKUP(PAA_4[[#This Row],[ITEM]],[2]Contrato!A:A,[2]Contrato!T:T,"",0)</f>
        <v>#NAME?</v>
      </c>
      <c r="AB22" s="55" t="e">
        <f ca="1">+MAX(PAA_4[[#This Row],[Comprometido Contrato]],PAA_4[[#This Row],[Comprometido Bolsa]])</f>
        <v>#NAME?</v>
      </c>
      <c r="AC22" s="55" t="str">
        <f t="shared" ca="1" si="3"/>
        <v/>
      </c>
      <c r="AD22" s="55" t="e">
        <f ca="1">IF(PAA_4[[#This Row],[ESTADO (formulado)]]="NO CONTRATADO",0,MAX(PAA_4[[#This Row],[Pago por Contrato]],PAA_4[[#This Row],[Pago por bolsa]]))</f>
        <v>#NAME?</v>
      </c>
      <c r="AE22" s="55" t="str">
        <f t="shared" ca="1" si="4"/>
        <v/>
      </c>
      <c r="AF22" s="47" t="e">
        <f t="shared" ca="1" si="5"/>
        <v>#NAME?</v>
      </c>
      <c r="AG22" s="47" t="str">
        <f t="shared" si="6"/>
        <v/>
      </c>
      <c r="AH22" s="54">
        <f>IF(Q22="22",IF(ISNUMBER(SEARCH("econ",PAA_4[[#This Row],[Actividad3]])),"Económico",IF(ISNUMBER(SEARCH("alim",PAA_4[[#This Row],[Actividad3]])),"Alimentación",IF(ISNUMBER(SEARCH("educ",PAA_4[[#This Row],[Actividad3]])),"Educativo","Técnico"))),0)</f>
        <v>0</v>
      </c>
      <c r="AI22" s="47" t="e" cm="1">
        <f t="array" aca="1" ref="AI22" ca="1">_xlfn.XLOOKUP(PAA_4[[#This Row],[RCP-RUBRO]],[2]!COMPROMISOS_2024[[#All],[concatenado]],[2]!COMPROMISOS_2024[[#All],[Total pagado]],"",0)</f>
        <v>#NAME?</v>
      </c>
      <c r="AJ22" s="56">
        <f>IF(PAA_4[[#This Row],[BOLSA]]=0,0,SUMIFS([2]!COMPROMISOS_2024[[#All],[Total pagado]],[2]!COMPROMISOS_2024[[#All],[Bolsa]],PAA_4[[#This Row],[BOLSA]],[2]!COMPROMISOS_2024[[#All],[rubro]],PAA_4[[#This Row],[RCP-RUBRO]]))</f>
        <v>0</v>
      </c>
      <c r="AK22" s="47" t="e" cm="1">
        <f t="array" aca="1" ref="AK22" ca="1">_xlfn.XLOOKUP(PAA_4[[#This Row],[RCP-RUBRO]],[2]!COMPROMISOS_2024[[#All],[concatenado]],[2]!COMPROMISOS_2024[[#All],[Total Comprometido]],"",0)</f>
        <v>#NAME?</v>
      </c>
      <c r="AL22" s="47">
        <f>IF(PAA_4[[#This Row],[BOLSA]]=0,0,SUMIFS([2]!COMPROMISOS_2024[[#All],[Total Comprometido]],[2]!COMPROMISOS_2024[[#All],[Bolsa]],PAA_4[[#This Row],[BOLSA]],[2]!COMPROMISOS_2024[[#All],[concatenado]],PAA_4[[#This Row],[RCP-RUBRO]]))</f>
        <v>0</v>
      </c>
    </row>
    <row r="23" spans="1:38" s="19" customFormat="1" ht="31.5" customHeight="1">
      <c r="A23" s="47">
        <v>9</v>
      </c>
      <c r="B23" s="47" t="s">
        <v>42</v>
      </c>
      <c r="C23" s="47" t="str">
        <f>VLOOKUP(PAA_4[[#This Row],[PROYECTO (formulado)2]],[2]PROYECTOS!$G$1:$L$32,6,0)</f>
        <v>SUBGERENCIA ADMINISTRATIVA Y FINANCIERA</v>
      </c>
      <c r="D23" s="47" t="str">
        <f>+IF(PAA_4[[#This Row],[UNIDAD DE CONTRATACION (formulado)]]="Subgerencia Administrativa y Financiera","FUNCIONAMIENTO","INVERSIÓN")</f>
        <v>FUNCIONAMIENTO</v>
      </c>
      <c r="E23" s="48" t="str">
        <f>VLOOKUP(Q23,[2]PROYECTOS!$G$1:$K$32,5,0)</f>
        <v>FUNCIONAMIENTO</v>
      </c>
      <c r="F23" s="48">
        <f>VLOOKUP(E23,[2]PROYECTOS!$K$1:$M$32,3,0)</f>
        <v>999999</v>
      </c>
      <c r="G23" s="49" t="s">
        <v>43</v>
      </c>
      <c r="H23" s="49">
        <f>VLOOKUP(Q23,[2]PROYECTOS!$V$1:$W$32,2,0)</f>
        <v>999999</v>
      </c>
      <c r="I23" s="50">
        <v>97163072</v>
      </c>
      <c r="J23" s="51" t="s">
        <v>1254</v>
      </c>
      <c r="K23" s="47" t="str">
        <f t="shared" ca="1" si="0"/>
        <v>CONTRATADO</v>
      </c>
      <c r="L23" s="47" t="s">
        <v>44</v>
      </c>
      <c r="M23" s="47" t="s">
        <v>1236</v>
      </c>
      <c r="N23" s="52" t="s">
        <v>56</v>
      </c>
      <c r="O23" s="51" t="e">
        <f>VLOOKUP(N23,[2]!RUBROS[#All],3,0)</f>
        <v>#REF!</v>
      </c>
      <c r="P23" s="53" t="e">
        <f>VLOOKUP(N23,[2]!RUBROS[#All],2,0)</f>
        <v>#REF!</v>
      </c>
      <c r="Q23" s="47" t="str">
        <f t="shared" si="1"/>
        <v>00</v>
      </c>
      <c r="R23" s="47" t="str">
        <f t="shared" si="2"/>
        <v>0-205616</v>
      </c>
      <c r="S23" s="54">
        <v>12</v>
      </c>
      <c r="T23" s="57" t="s">
        <v>46</v>
      </c>
      <c r="U23" s="326" t="e">
        <f ca="1">_xlfn.XLOOKUP(PAA_4[[#This Row],[ITEM]],[2]Contrato!A:A,[2]Contrato!Q:Q,"",0)</f>
        <v>#NAME?</v>
      </c>
      <c r="V23" s="47" t="s">
        <v>47</v>
      </c>
      <c r="W23" s="47" t="s">
        <v>48</v>
      </c>
      <c r="X23" s="47" t="s">
        <v>48</v>
      </c>
      <c r="Y23" s="55" t="e">
        <f ca="1">_xlfn.XLOOKUP(PAA_4[[#This Row],[ITEM]],[2]Contrato!A:A,[2]Contrato!B:B,"",0)</f>
        <v>#NAME?</v>
      </c>
      <c r="Z23" s="47" t="e">
        <f ca="1">_xlfn.XLOOKUP(PAA_4[[#This Row],[ITEM]],[2]Contrato!A:A,[2]Contrato!G:G,"",0)</f>
        <v>#NAME?</v>
      </c>
      <c r="AA23" s="47" t="e">
        <f ca="1">_xlfn.XLOOKUP(PAA_4[[#This Row],[ITEM]],[2]Contrato!A:A,[2]Contrato!T:T,"",0)</f>
        <v>#NAME?</v>
      </c>
      <c r="AB23" s="55" t="e">
        <f ca="1">+MAX(PAA_4[[#This Row],[Comprometido Contrato]],PAA_4[[#This Row],[Comprometido Bolsa]])</f>
        <v>#NAME?</v>
      </c>
      <c r="AC23" s="55" t="str">
        <f t="shared" ca="1" si="3"/>
        <v/>
      </c>
      <c r="AD23" s="55" t="e">
        <f ca="1">IF(PAA_4[[#This Row],[ESTADO (formulado)]]="NO CONTRATADO",0,MAX(PAA_4[[#This Row],[Pago por Contrato]],PAA_4[[#This Row],[Pago por bolsa]]))</f>
        <v>#NAME?</v>
      </c>
      <c r="AE23" s="55" t="str">
        <f t="shared" ca="1" si="4"/>
        <v/>
      </c>
      <c r="AF23" s="47" t="e">
        <f t="shared" ca="1" si="5"/>
        <v>#NAME?</v>
      </c>
      <c r="AG23" s="47" t="str">
        <f t="shared" si="6"/>
        <v/>
      </c>
      <c r="AH23" s="54">
        <f>IF(Q23="22",IF(ISNUMBER(SEARCH("econ",PAA_4[[#This Row],[Actividad3]])),"Económico",IF(ISNUMBER(SEARCH("alim",PAA_4[[#This Row],[Actividad3]])),"Alimentación",IF(ISNUMBER(SEARCH("educ",PAA_4[[#This Row],[Actividad3]])),"Educativo","Técnico"))),0)</f>
        <v>0</v>
      </c>
      <c r="AI23" s="47" t="e" cm="1">
        <f t="array" aca="1" ref="AI23" ca="1">_xlfn.XLOOKUP(PAA_4[[#This Row],[RCP-RUBRO]],[2]!COMPROMISOS_2024[[#All],[concatenado]],[2]!COMPROMISOS_2024[[#All],[Total pagado]],"",0)</f>
        <v>#NAME?</v>
      </c>
      <c r="AJ23" s="56">
        <f>IF(PAA_4[[#This Row],[BOLSA]]=0,0,SUMIFS([2]!COMPROMISOS_2024[[#All],[Total pagado]],[2]!COMPROMISOS_2024[[#All],[Bolsa]],PAA_4[[#This Row],[BOLSA]],[2]!COMPROMISOS_2024[[#All],[rubro]],PAA_4[[#This Row],[RCP-RUBRO]]))</f>
        <v>0</v>
      </c>
      <c r="AK23" s="47" t="e" cm="1">
        <f t="array" aca="1" ref="AK23" ca="1">_xlfn.XLOOKUP(PAA_4[[#This Row],[RCP-RUBRO]],[2]!COMPROMISOS_2024[[#All],[concatenado]],[2]!COMPROMISOS_2024[[#All],[Total Comprometido]],"",0)</f>
        <v>#NAME?</v>
      </c>
      <c r="AL23" s="47">
        <f>IF(PAA_4[[#This Row],[BOLSA]]=0,0,SUMIFS([2]!COMPROMISOS_2024[[#All],[Total Comprometido]],[2]!COMPROMISOS_2024[[#All],[Bolsa]],PAA_4[[#This Row],[BOLSA]],[2]!COMPROMISOS_2024[[#All],[concatenado]],PAA_4[[#This Row],[RCP-RUBRO]]))</f>
        <v>0</v>
      </c>
    </row>
    <row r="24" spans="1:38" s="19" customFormat="1" ht="31.5" customHeight="1">
      <c r="A24" s="47">
        <v>9</v>
      </c>
      <c r="B24" s="47" t="s">
        <v>42</v>
      </c>
      <c r="C24" s="47" t="str">
        <f>VLOOKUP(PAA_4[[#This Row],[PROYECTO (formulado)2]],[2]PROYECTOS!$G$1:$L$32,6,0)</f>
        <v>SUBGERENCIA ADMINISTRATIVA Y FINANCIERA</v>
      </c>
      <c r="D24" s="47" t="str">
        <f>+IF(PAA_4[[#This Row],[UNIDAD DE CONTRATACION (formulado)]]="Subgerencia Administrativa y Financiera","FUNCIONAMIENTO","INVERSIÓN")</f>
        <v>FUNCIONAMIENTO</v>
      </c>
      <c r="E24" s="48" t="str">
        <f>VLOOKUP(Q24,[2]PROYECTOS!$G$1:$K$32,5,0)</f>
        <v>FUNCIONAMIENTO</v>
      </c>
      <c r="F24" s="48">
        <f>VLOOKUP(E24,[2]PROYECTOS!$K$1:$M$32,3,0)</f>
        <v>999999</v>
      </c>
      <c r="G24" s="49" t="s">
        <v>43</v>
      </c>
      <c r="H24" s="49">
        <f>VLOOKUP(Q24,[2]PROYECTOS!$V$1:$W$32,2,0)</f>
        <v>999999</v>
      </c>
      <c r="I24" s="50">
        <v>1162275152</v>
      </c>
      <c r="J24" s="51" t="s">
        <v>1254</v>
      </c>
      <c r="K24" s="47" t="str">
        <f t="shared" ca="1" si="0"/>
        <v>CONTRATADO</v>
      </c>
      <c r="L24" s="47" t="s">
        <v>44</v>
      </c>
      <c r="M24" s="47" t="s">
        <v>1236</v>
      </c>
      <c r="N24" s="52" t="s">
        <v>1255</v>
      </c>
      <c r="O24" s="51" t="e">
        <f>VLOOKUP(N24,[2]!RUBROS[#All],3,0)</f>
        <v>#REF!</v>
      </c>
      <c r="P24" s="53" t="e">
        <f>VLOOKUP(N24,[2]!RUBROS[#All],2,0)</f>
        <v>#REF!</v>
      </c>
      <c r="Q24" s="47" t="str">
        <f t="shared" si="1"/>
        <v>00</v>
      </c>
      <c r="R24" s="47" t="str">
        <f t="shared" si="2"/>
        <v>0-101024</v>
      </c>
      <c r="S24" s="54">
        <v>12</v>
      </c>
      <c r="T24" s="57" t="s">
        <v>46</v>
      </c>
      <c r="U24" s="326" t="e">
        <f ca="1">_xlfn.XLOOKUP(PAA_4[[#This Row],[ITEM]],[2]Contrato!A:A,[2]Contrato!Q:Q,"",0)</f>
        <v>#NAME?</v>
      </c>
      <c r="V24" s="47" t="s">
        <v>47</v>
      </c>
      <c r="W24" s="47" t="s">
        <v>48</v>
      </c>
      <c r="X24" s="47" t="s">
        <v>48</v>
      </c>
      <c r="Y24" s="55" t="e">
        <f ca="1">_xlfn.XLOOKUP(PAA_4[[#This Row],[ITEM]],[2]Contrato!A:A,[2]Contrato!B:B,"",0)</f>
        <v>#NAME?</v>
      </c>
      <c r="Z24" s="47" t="e">
        <f ca="1">_xlfn.XLOOKUP(PAA_4[[#This Row],[ITEM]],[2]Contrato!A:A,[2]Contrato!G:G,"",0)</f>
        <v>#NAME?</v>
      </c>
      <c r="AA24" s="47" t="e">
        <f ca="1">_xlfn.XLOOKUP(PAA_4[[#This Row],[ITEM]],[2]Contrato!A:A,[2]Contrato!T:T,"",0)</f>
        <v>#NAME?</v>
      </c>
      <c r="AB24" s="55" t="e">
        <f ca="1">+MAX(PAA_4[[#This Row],[Comprometido Contrato]],PAA_4[[#This Row],[Comprometido Bolsa]])</f>
        <v>#NAME?</v>
      </c>
      <c r="AC24" s="55" t="str">
        <f t="shared" ca="1" si="3"/>
        <v/>
      </c>
      <c r="AD24" s="55" t="e">
        <f ca="1">IF(PAA_4[[#This Row],[ESTADO (formulado)]]="NO CONTRATADO",0,MAX(PAA_4[[#This Row],[Pago por Contrato]],PAA_4[[#This Row],[Pago por bolsa]]))</f>
        <v>#NAME?</v>
      </c>
      <c r="AE24" s="55" t="str">
        <f t="shared" ca="1" si="4"/>
        <v/>
      </c>
      <c r="AF24" s="47" t="e">
        <f t="shared" ca="1" si="5"/>
        <v>#NAME?</v>
      </c>
      <c r="AG24" s="47" t="str">
        <f t="shared" si="6"/>
        <v/>
      </c>
      <c r="AH24" s="54">
        <f>IF(Q24="22",IF(ISNUMBER(SEARCH("econ",PAA_4[[#This Row],[Actividad3]])),"Económico",IF(ISNUMBER(SEARCH("alim",PAA_4[[#This Row],[Actividad3]])),"Alimentación",IF(ISNUMBER(SEARCH("educ",PAA_4[[#This Row],[Actividad3]])),"Educativo","Técnico"))),0)</f>
        <v>0</v>
      </c>
      <c r="AI24" s="47" t="e" cm="1">
        <f t="array" aca="1" ref="AI24" ca="1">_xlfn.XLOOKUP(PAA_4[[#This Row],[RCP-RUBRO]],[2]!COMPROMISOS_2024[[#All],[concatenado]],[2]!COMPROMISOS_2024[[#All],[Total pagado]],"",0)</f>
        <v>#NAME?</v>
      </c>
      <c r="AJ24" s="56">
        <f>IF(PAA_4[[#This Row],[BOLSA]]=0,0,SUMIFS([2]!COMPROMISOS_2024[[#All],[Total pagado]],[2]!COMPROMISOS_2024[[#All],[Bolsa]],PAA_4[[#This Row],[BOLSA]],[2]!COMPROMISOS_2024[[#All],[rubro]],PAA_4[[#This Row],[RCP-RUBRO]]))</f>
        <v>0</v>
      </c>
      <c r="AK24" s="47" t="e" cm="1">
        <f t="array" aca="1" ref="AK24" ca="1">_xlfn.XLOOKUP(PAA_4[[#This Row],[RCP-RUBRO]],[2]!COMPROMISOS_2024[[#All],[concatenado]],[2]!COMPROMISOS_2024[[#All],[Total Comprometido]],"",0)</f>
        <v>#NAME?</v>
      </c>
      <c r="AL24" s="47">
        <f>IF(PAA_4[[#This Row],[BOLSA]]=0,0,SUMIFS([2]!COMPROMISOS_2024[[#All],[Total Comprometido]],[2]!COMPROMISOS_2024[[#All],[Bolsa]],PAA_4[[#This Row],[BOLSA]],[2]!COMPROMISOS_2024[[#All],[concatenado]],PAA_4[[#This Row],[RCP-RUBRO]]))</f>
        <v>0</v>
      </c>
    </row>
    <row r="25" spans="1:38" s="19" customFormat="1" ht="31.5" customHeight="1">
      <c r="A25" s="47">
        <v>10</v>
      </c>
      <c r="B25" s="47" t="s">
        <v>42</v>
      </c>
      <c r="C25" s="47" t="str">
        <f>VLOOKUP(PAA_4[[#This Row],[PROYECTO (formulado)2]],[2]PROYECTOS!$G$1:$L$32,6,0)</f>
        <v>SUBGERENCIA ADMINISTRATIVA Y FINANCIERA</v>
      </c>
      <c r="D25" s="47" t="str">
        <f>+IF(PAA_4[[#This Row],[UNIDAD DE CONTRATACION (formulado)]]="Subgerencia Administrativa y Financiera","FUNCIONAMIENTO","INVERSIÓN")</f>
        <v>FUNCIONAMIENTO</v>
      </c>
      <c r="E25" s="48" t="str">
        <f>VLOOKUP(Q25,[2]PROYECTOS!$G$1:$K$32,5,0)</f>
        <v>FUNCIONAMIENTO</v>
      </c>
      <c r="F25" s="48">
        <f>VLOOKUP(E25,[2]PROYECTOS!$K$1:$M$32,3,0)</f>
        <v>999999</v>
      </c>
      <c r="G25" s="49" t="s">
        <v>43</v>
      </c>
      <c r="H25" s="49">
        <f>VLOOKUP(Q25,[2]PROYECTOS!$V$1:$W$32,2,0)</f>
        <v>999999</v>
      </c>
      <c r="I25" s="50">
        <v>209691700</v>
      </c>
      <c r="J25" s="51" t="s">
        <v>1256</v>
      </c>
      <c r="K25" s="47" t="str">
        <f t="shared" ca="1" si="0"/>
        <v>CONTRATADO</v>
      </c>
      <c r="L25" s="47" t="s">
        <v>44</v>
      </c>
      <c r="M25" s="47" t="s">
        <v>1236</v>
      </c>
      <c r="N25" s="52" t="s">
        <v>1257</v>
      </c>
      <c r="O25" s="51" t="e">
        <f>VLOOKUP(N25,[2]!RUBROS[#All],3,0)</f>
        <v>#REF!</v>
      </c>
      <c r="P25" s="53" t="e">
        <f>VLOOKUP(N25,[2]!RUBROS[#All],2,0)</f>
        <v>#REF!</v>
      </c>
      <c r="Q25" s="47" t="str">
        <f t="shared" si="1"/>
        <v>00</v>
      </c>
      <c r="R25" s="47" t="str">
        <f t="shared" si="2"/>
        <v>0-101024</v>
      </c>
      <c r="S25" s="54">
        <v>12</v>
      </c>
      <c r="T25" s="57" t="s">
        <v>46</v>
      </c>
      <c r="U25" s="326" t="e">
        <f ca="1">_xlfn.XLOOKUP(PAA_4[[#This Row],[ITEM]],[2]Contrato!A:A,[2]Contrato!Q:Q,"",0)</f>
        <v>#NAME?</v>
      </c>
      <c r="V25" s="47" t="s">
        <v>47</v>
      </c>
      <c r="W25" s="47" t="s">
        <v>48</v>
      </c>
      <c r="X25" s="47" t="s">
        <v>48</v>
      </c>
      <c r="Y25" s="55" t="e">
        <f ca="1">_xlfn.XLOOKUP(PAA_4[[#This Row],[ITEM]],[2]Contrato!A:A,[2]Contrato!B:B,"",0)</f>
        <v>#NAME?</v>
      </c>
      <c r="Z25" s="47" t="e">
        <f ca="1">_xlfn.XLOOKUP(PAA_4[[#This Row],[ITEM]],[2]Contrato!A:A,[2]Contrato!G:G,"",0)</f>
        <v>#NAME?</v>
      </c>
      <c r="AA25" s="47" t="e">
        <f ca="1">_xlfn.XLOOKUP(PAA_4[[#This Row],[ITEM]],[2]Contrato!A:A,[2]Contrato!T:T,"",0)</f>
        <v>#NAME?</v>
      </c>
      <c r="AB25" s="55" t="e">
        <f ca="1">+MAX(PAA_4[[#This Row],[Comprometido Contrato]],PAA_4[[#This Row],[Comprometido Bolsa]])</f>
        <v>#NAME?</v>
      </c>
      <c r="AC25" s="55" t="str">
        <f t="shared" ca="1" si="3"/>
        <v/>
      </c>
      <c r="AD25" s="55" t="e">
        <f ca="1">IF(PAA_4[[#This Row],[ESTADO (formulado)]]="NO CONTRATADO",0,MAX(PAA_4[[#This Row],[Pago por Contrato]],PAA_4[[#This Row],[Pago por bolsa]]))</f>
        <v>#NAME?</v>
      </c>
      <c r="AE25" s="55" t="str">
        <f t="shared" ca="1" si="4"/>
        <v/>
      </c>
      <c r="AF25" s="47" t="e">
        <f t="shared" ca="1" si="5"/>
        <v>#NAME?</v>
      </c>
      <c r="AG25" s="47" t="str">
        <f t="shared" si="6"/>
        <v/>
      </c>
      <c r="AH25" s="54">
        <f>IF(Q25="22",IF(ISNUMBER(SEARCH("econ",PAA_4[[#This Row],[Actividad3]])),"Económico",IF(ISNUMBER(SEARCH("alim",PAA_4[[#This Row],[Actividad3]])),"Alimentación",IF(ISNUMBER(SEARCH("educ",PAA_4[[#This Row],[Actividad3]])),"Educativo","Técnico"))),0)</f>
        <v>0</v>
      </c>
      <c r="AI25" s="47" t="e" cm="1">
        <f t="array" aca="1" ref="AI25" ca="1">_xlfn.XLOOKUP(PAA_4[[#This Row],[RCP-RUBRO]],[2]!COMPROMISOS_2024[[#All],[concatenado]],[2]!COMPROMISOS_2024[[#All],[Total pagado]],"",0)</f>
        <v>#NAME?</v>
      </c>
      <c r="AJ25" s="56">
        <f>IF(PAA_4[[#This Row],[BOLSA]]=0,0,SUMIFS([2]!COMPROMISOS_2024[[#All],[Total pagado]],[2]!COMPROMISOS_2024[[#All],[Bolsa]],PAA_4[[#This Row],[BOLSA]],[2]!COMPROMISOS_2024[[#All],[rubro]],PAA_4[[#This Row],[RCP-RUBRO]]))</f>
        <v>0</v>
      </c>
      <c r="AK25" s="47" t="e" cm="1">
        <f t="array" aca="1" ref="AK25" ca="1">_xlfn.XLOOKUP(PAA_4[[#This Row],[RCP-RUBRO]],[2]!COMPROMISOS_2024[[#All],[concatenado]],[2]!COMPROMISOS_2024[[#All],[Total Comprometido]],"",0)</f>
        <v>#NAME?</v>
      </c>
      <c r="AL25" s="47">
        <f>IF(PAA_4[[#This Row],[BOLSA]]=0,0,SUMIFS([2]!COMPROMISOS_2024[[#All],[Total Comprometido]],[2]!COMPROMISOS_2024[[#All],[Bolsa]],PAA_4[[#This Row],[BOLSA]],[2]!COMPROMISOS_2024[[#All],[concatenado]],PAA_4[[#This Row],[RCP-RUBRO]]))</f>
        <v>0</v>
      </c>
    </row>
    <row r="26" spans="1:38" s="19" customFormat="1" ht="31.5" customHeight="1">
      <c r="A26" s="47">
        <v>10</v>
      </c>
      <c r="B26" s="47" t="s">
        <v>42</v>
      </c>
      <c r="C26" s="47" t="str">
        <f>VLOOKUP(PAA_4[[#This Row],[PROYECTO (formulado)2]],[2]PROYECTOS!$G$1:$L$32,6,0)</f>
        <v>SUBGERENCIA ADMINISTRATIVA Y FINANCIERA</v>
      </c>
      <c r="D26" s="47" t="str">
        <f>+IF(PAA_4[[#This Row],[UNIDAD DE CONTRATACION (formulado)]]="Subgerencia Administrativa y Financiera","FUNCIONAMIENTO","INVERSIÓN")</f>
        <v>FUNCIONAMIENTO</v>
      </c>
      <c r="E26" s="48" t="str">
        <f>VLOOKUP(Q26,[2]PROYECTOS!$G$1:$K$32,5,0)</f>
        <v>FUNCIONAMIENTO</v>
      </c>
      <c r="F26" s="48">
        <f>VLOOKUP(E26,[2]PROYECTOS!$K$1:$M$32,3,0)</f>
        <v>999999</v>
      </c>
      <c r="G26" s="49" t="s">
        <v>43</v>
      </c>
      <c r="H26" s="49">
        <f>VLOOKUP(Q26,[2]PROYECTOS!$V$1:$W$32,2,0)</f>
        <v>999999</v>
      </c>
      <c r="I26" s="50">
        <v>441697700</v>
      </c>
      <c r="J26" s="51" t="s">
        <v>1256</v>
      </c>
      <c r="K26" s="47" t="str">
        <f t="shared" ca="1" si="0"/>
        <v>CONTRATADO</v>
      </c>
      <c r="L26" s="47" t="s">
        <v>44</v>
      </c>
      <c r="M26" s="47" t="s">
        <v>1236</v>
      </c>
      <c r="N26" s="52" t="s">
        <v>57</v>
      </c>
      <c r="O26" s="51" t="e">
        <f>VLOOKUP(N26,[2]!RUBROS[#All],3,0)</f>
        <v>#REF!</v>
      </c>
      <c r="P26" s="53" t="e">
        <f>VLOOKUP(N26,[2]!RUBROS[#All],2,0)</f>
        <v>#REF!</v>
      </c>
      <c r="Q26" s="47" t="str">
        <f t="shared" si="1"/>
        <v>00</v>
      </c>
      <c r="R26" s="47" t="str">
        <f t="shared" si="2"/>
        <v>0-205616</v>
      </c>
      <c r="S26" s="54">
        <v>12</v>
      </c>
      <c r="T26" s="57" t="s">
        <v>46</v>
      </c>
      <c r="U26" s="326" t="e">
        <f ca="1">_xlfn.XLOOKUP(PAA_4[[#This Row],[ITEM]],[2]Contrato!A:A,[2]Contrato!Q:Q,"",0)</f>
        <v>#NAME?</v>
      </c>
      <c r="V26" s="47" t="s">
        <v>47</v>
      </c>
      <c r="W26" s="47" t="s">
        <v>48</v>
      </c>
      <c r="X26" s="47" t="s">
        <v>48</v>
      </c>
      <c r="Y26" s="55" t="e">
        <f ca="1">_xlfn.XLOOKUP(PAA_4[[#This Row],[ITEM]],[2]Contrato!A:A,[2]Contrato!B:B,"",0)</f>
        <v>#NAME?</v>
      </c>
      <c r="Z26" s="47" t="e">
        <f ca="1">_xlfn.XLOOKUP(PAA_4[[#This Row],[ITEM]],[2]Contrato!A:A,[2]Contrato!G:G,"",0)</f>
        <v>#NAME?</v>
      </c>
      <c r="AA26" s="47" t="e">
        <f ca="1">_xlfn.XLOOKUP(PAA_4[[#This Row],[ITEM]],[2]Contrato!A:A,[2]Contrato!T:T,"",0)</f>
        <v>#NAME?</v>
      </c>
      <c r="AB26" s="55" t="e">
        <f ca="1">+MAX(PAA_4[[#This Row],[Comprometido Contrato]],PAA_4[[#This Row],[Comprometido Bolsa]])</f>
        <v>#NAME?</v>
      </c>
      <c r="AC26" s="55" t="str">
        <f t="shared" ca="1" si="3"/>
        <v/>
      </c>
      <c r="AD26" s="55" t="e">
        <f ca="1">IF(PAA_4[[#This Row],[ESTADO (formulado)]]="NO CONTRATADO",0,MAX(PAA_4[[#This Row],[Pago por Contrato]],PAA_4[[#This Row],[Pago por bolsa]]))</f>
        <v>#NAME?</v>
      </c>
      <c r="AE26" s="55" t="str">
        <f t="shared" ca="1" si="4"/>
        <v/>
      </c>
      <c r="AF26" s="47" t="e">
        <f t="shared" ca="1" si="5"/>
        <v>#NAME?</v>
      </c>
      <c r="AG26" s="47" t="str">
        <f t="shared" si="6"/>
        <v/>
      </c>
      <c r="AH26" s="54">
        <f>IF(Q26="22",IF(ISNUMBER(SEARCH("econ",PAA_4[[#This Row],[Actividad3]])),"Económico",IF(ISNUMBER(SEARCH("alim",PAA_4[[#This Row],[Actividad3]])),"Alimentación",IF(ISNUMBER(SEARCH("educ",PAA_4[[#This Row],[Actividad3]])),"Educativo","Técnico"))),0)</f>
        <v>0</v>
      </c>
      <c r="AI26" s="47" t="e" cm="1">
        <f t="array" aca="1" ref="AI26" ca="1">_xlfn.XLOOKUP(PAA_4[[#This Row],[RCP-RUBRO]],[2]!COMPROMISOS_2024[[#All],[concatenado]],[2]!COMPROMISOS_2024[[#All],[Total pagado]],"",0)</f>
        <v>#NAME?</v>
      </c>
      <c r="AJ26" s="56">
        <f>IF(PAA_4[[#This Row],[BOLSA]]=0,0,SUMIFS([2]!COMPROMISOS_2024[[#All],[Total pagado]],[2]!COMPROMISOS_2024[[#All],[Bolsa]],PAA_4[[#This Row],[BOLSA]],[2]!COMPROMISOS_2024[[#All],[rubro]],PAA_4[[#This Row],[RCP-RUBRO]]))</f>
        <v>0</v>
      </c>
      <c r="AK26" s="47" t="e" cm="1">
        <f t="array" aca="1" ref="AK26" ca="1">_xlfn.XLOOKUP(PAA_4[[#This Row],[RCP-RUBRO]],[2]!COMPROMISOS_2024[[#All],[concatenado]],[2]!COMPROMISOS_2024[[#All],[Total Comprometido]],"",0)</f>
        <v>#NAME?</v>
      </c>
      <c r="AL26" s="47">
        <f>IF(PAA_4[[#This Row],[BOLSA]]=0,0,SUMIFS([2]!COMPROMISOS_2024[[#All],[Total Comprometido]],[2]!COMPROMISOS_2024[[#All],[Bolsa]],PAA_4[[#This Row],[BOLSA]],[2]!COMPROMISOS_2024[[#All],[concatenado]],PAA_4[[#This Row],[RCP-RUBRO]]))</f>
        <v>0</v>
      </c>
    </row>
    <row r="27" spans="1:38" s="19" customFormat="1" ht="31.5" customHeight="1">
      <c r="A27" s="47">
        <v>11</v>
      </c>
      <c r="B27" s="47" t="s">
        <v>42</v>
      </c>
      <c r="C27" s="47" t="str">
        <f>VLOOKUP(PAA_4[[#This Row],[PROYECTO (formulado)2]],[2]PROYECTOS!$G$1:$L$32,6,0)</f>
        <v>SUBGERENCIA ADMINISTRATIVA Y FINANCIERA</v>
      </c>
      <c r="D27" s="47" t="str">
        <f>+IF(PAA_4[[#This Row],[UNIDAD DE CONTRATACION (formulado)]]="Subgerencia Administrativa y Financiera","FUNCIONAMIENTO","INVERSIÓN")</f>
        <v>FUNCIONAMIENTO</v>
      </c>
      <c r="E27" s="48" t="str">
        <f>VLOOKUP(Q27,[2]PROYECTOS!$G$1:$K$32,5,0)</f>
        <v>FUNCIONAMIENTO</v>
      </c>
      <c r="F27" s="48">
        <f>VLOOKUP(E27,[2]PROYECTOS!$K$1:$M$32,3,0)</f>
        <v>999999</v>
      </c>
      <c r="G27" s="49" t="s">
        <v>43</v>
      </c>
      <c r="H27" s="49">
        <f>VLOOKUP(Q27,[2]PROYECTOS!$V$1:$W$32,2,0)</f>
        <v>999999</v>
      </c>
      <c r="I27" s="50">
        <v>140000000</v>
      </c>
      <c r="J27" s="51" t="s">
        <v>1258</v>
      </c>
      <c r="K27" s="47" t="str">
        <f t="shared" ca="1" si="0"/>
        <v>CONTRATADO</v>
      </c>
      <c r="L27" s="47" t="s">
        <v>44</v>
      </c>
      <c r="M27" s="47" t="s">
        <v>1236</v>
      </c>
      <c r="N27" s="52" t="s">
        <v>58</v>
      </c>
      <c r="O27" s="51" t="e">
        <f>VLOOKUP(N27,[2]!RUBROS[#All],3,0)</f>
        <v>#REF!</v>
      </c>
      <c r="P27" s="53" t="e">
        <f>VLOOKUP(N27,[2]!RUBROS[#All],2,0)</f>
        <v>#REF!</v>
      </c>
      <c r="Q27" s="47" t="str">
        <f t="shared" si="1"/>
        <v>00</v>
      </c>
      <c r="R27" s="47" t="str">
        <f t="shared" si="2"/>
        <v>0-205616</v>
      </c>
      <c r="S27" s="54">
        <v>12</v>
      </c>
      <c r="T27" s="57" t="s">
        <v>46</v>
      </c>
      <c r="U27" s="326" t="e">
        <f ca="1">_xlfn.XLOOKUP(PAA_4[[#This Row],[ITEM]],[2]Contrato!A:A,[2]Contrato!Q:Q,"",0)</f>
        <v>#NAME?</v>
      </c>
      <c r="V27" s="47" t="s">
        <v>47</v>
      </c>
      <c r="W27" s="47" t="s">
        <v>48</v>
      </c>
      <c r="X27" s="47" t="s">
        <v>48</v>
      </c>
      <c r="Y27" s="55" t="e">
        <f ca="1">_xlfn.XLOOKUP(PAA_4[[#This Row],[ITEM]],[2]Contrato!A:A,[2]Contrato!B:B,"",0)</f>
        <v>#NAME?</v>
      </c>
      <c r="Z27" s="47" t="e">
        <f ca="1">_xlfn.XLOOKUP(PAA_4[[#This Row],[ITEM]],[2]Contrato!A:A,[2]Contrato!G:G,"",0)</f>
        <v>#NAME?</v>
      </c>
      <c r="AA27" s="47" t="e">
        <f ca="1">_xlfn.XLOOKUP(PAA_4[[#This Row],[ITEM]],[2]Contrato!A:A,[2]Contrato!T:T,"",0)</f>
        <v>#NAME?</v>
      </c>
      <c r="AB27" s="55" t="e">
        <f ca="1">+MAX(PAA_4[[#This Row],[Comprometido Contrato]],PAA_4[[#This Row],[Comprometido Bolsa]])</f>
        <v>#NAME?</v>
      </c>
      <c r="AC27" s="55" t="str">
        <f t="shared" ca="1" si="3"/>
        <v/>
      </c>
      <c r="AD27" s="55" t="e">
        <f ca="1">IF(PAA_4[[#This Row],[ESTADO (formulado)]]="NO CONTRATADO",0,MAX(PAA_4[[#This Row],[Pago por Contrato]],PAA_4[[#This Row],[Pago por bolsa]]))</f>
        <v>#NAME?</v>
      </c>
      <c r="AE27" s="55" t="str">
        <f t="shared" ca="1" si="4"/>
        <v/>
      </c>
      <c r="AF27" s="47" t="e">
        <f t="shared" ca="1" si="5"/>
        <v>#NAME?</v>
      </c>
      <c r="AG27" s="47" t="str">
        <f t="shared" si="6"/>
        <v/>
      </c>
      <c r="AH27" s="54">
        <f>IF(Q27="22",IF(ISNUMBER(SEARCH("econ",PAA_4[[#This Row],[Actividad3]])),"Económico",IF(ISNUMBER(SEARCH("alim",PAA_4[[#This Row],[Actividad3]])),"Alimentación",IF(ISNUMBER(SEARCH("educ",PAA_4[[#This Row],[Actividad3]])),"Educativo","Técnico"))),0)</f>
        <v>0</v>
      </c>
      <c r="AI27" s="47" t="e" cm="1">
        <f t="array" aca="1" ref="AI27" ca="1">_xlfn.XLOOKUP(PAA_4[[#This Row],[RCP-RUBRO]],[2]!COMPROMISOS_2024[[#All],[concatenado]],[2]!COMPROMISOS_2024[[#All],[Total pagado]],"",0)</f>
        <v>#NAME?</v>
      </c>
      <c r="AJ27" s="56">
        <f>IF(PAA_4[[#This Row],[BOLSA]]=0,0,SUMIFS([2]!COMPROMISOS_2024[[#All],[Total pagado]],[2]!COMPROMISOS_2024[[#All],[Bolsa]],PAA_4[[#This Row],[BOLSA]],[2]!COMPROMISOS_2024[[#All],[rubro]],PAA_4[[#This Row],[RCP-RUBRO]]))</f>
        <v>0</v>
      </c>
      <c r="AK27" s="47" t="e" cm="1">
        <f t="array" aca="1" ref="AK27" ca="1">_xlfn.XLOOKUP(PAA_4[[#This Row],[RCP-RUBRO]],[2]!COMPROMISOS_2024[[#All],[concatenado]],[2]!COMPROMISOS_2024[[#All],[Total Comprometido]],"",0)</f>
        <v>#NAME?</v>
      </c>
      <c r="AL27" s="47">
        <f>IF(PAA_4[[#This Row],[BOLSA]]=0,0,SUMIFS([2]!COMPROMISOS_2024[[#All],[Total Comprometido]],[2]!COMPROMISOS_2024[[#All],[Bolsa]],PAA_4[[#This Row],[BOLSA]],[2]!COMPROMISOS_2024[[#All],[concatenado]],PAA_4[[#This Row],[RCP-RUBRO]]))</f>
        <v>0</v>
      </c>
    </row>
    <row r="28" spans="1:38" s="19" customFormat="1" ht="31.5" customHeight="1">
      <c r="A28" s="47">
        <v>11</v>
      </c>
      <c r="B28" s="47" t="s">
        <v>42</v>
      </c>
      <c r="C28" s="47" t="str">
        <f>VLOOKUP(PAA_4[[#This Row],[PROYECTO (formulado)2]],[2]PROYECTOS!$G$1:$L$32,6,0)</f>
        <v>SUBGERENCIA ADMINISTRATIVA Y FINANCIERA</v>
      </c>
      <c r="D28" s="47" t="str">
        <f>+IF(PAA_4[[#This Row],[UNIDAD DE CONTRATACION (formulado)]]="Subgerencia Administrativa y Financiera","FUNCIONAMIENTO","INVERSIÓN")</f>
        <v>FUNCIONAMIENTO</v>
      </c>
      <c r="E28" s="48" t="str">
        <f>VLOOKUP(Q28,[2]PROYECTOS!$G$1:$K$32,5,0)</f>
        <v>FUNCIONAMIENTO</v>
      </c>
      <c r="F28" s="48">
        <f>VLOOKUP(E28,[2]PROYECTOS!$K$1:$M$32,3,0)</f>
        <v>999999</v>
      </c>
      <c r="G28" s="49" t="s">
        <v>43</v>
      </c>
      <c r="H28" s="49">
        <f>VLOOKUP(Q28,[2]PROYECTOS!$V$1:$W$32,2,0)</f>
        <v>999999</v>
      </c>
      <c r="I28" s="50">
        <v>29906500</v>
      </c>
      <c r="J28" s="51" t="s">
        <v>1258</v>
      </c>
      <c r="K28" s="47" t="str">
        <f t="shared" ca="1" si="0"/>
        <v>CONTRATADO</v>
      </c>
      <c r="L28" s="47" t="s">
        <v>44</v>
      </c>
      <c r="M28" s="47" t="s">
        <v>1236</v>
      </c>
      <c r="N28" s="52" t="s">
        <v>1259</v>
      </c>
      <c r="O28" s="51" t="e">
        <f>VLOOKUP(N28,[2]!RUBROS[#All],3,0)</f>
        <v>#REF!</v>
      </c>
      <c r="P28" s="53" t="e">
        <f>VLOOKUP(N28,[2]!RUBROS[#All],2,0)</f>
        <v>#REF!</v>
      </c>
      <c r="Q28" s="47" t="str">
        <f t="shared" si="1"/>
        <v>00</v>
      </c>
      <c r="R28" s="47" t="str">
        <f t="shared" si="2"/>
        <v>0-101024</v>
      </c>
      <c r="S28" s="54">
        <v>12</v>
      </c>
      <c r="T28" s="57" t="s">
        <v>46</v>
      </c>
      <c r="U28" s="326" t="e">
        <f ca="1">_xlfn.XLOOKUP(PAA_4[[#This Row],[ITEM]],[2]Contrato!A:A,[2]Contrato!Q:Q,"",0)</f>
        <v>#NAME?</v>
      </c>
      <c r="V28" s="47" t="s">
        <v>47</v>
      </c>
      <c r="W28" s="47" t="s">
        <v>48</v>
      </c>
      <c r="X28" s="47" t="s">
        <v>48</v>
      </c>
      <c r="Y28" s="55" t="e">
        <f ca="1">_xlfn.XLOOKUP(PAA_4[[#This Row],[ITEM]],[2]Contrato!A:A,[2]Contrato!B:B,"",0)</f>
        <v>#NAME?</v>
      </c>
      <c r="Z28" s="47" t="e">
        <f ca="1">_xlfn.XLOOKUP(PAA_4[[#This Row],[ITEM]],[2]Contrato!A:A,[2]Contrato!G:G,"",0)</f>
        <v>#NAME?</v>
      </c>
      <c r="AA28" s="47" t="e">
        <f ca="1">_xlfn.XLOOKUP(PAA_4[[#This Row],[ITEM]],[2]Contrato!A:A,[2]Contrato!T:T,"",0)</f>
        <v>#NAME?</v>
      </c>
      <c r="AB28" s="55" t="e">
        <f ca="1">+MAX(PAA_4[[#This Row],[Comprometido Contrato]],PAA_4[[#This Row],[Comprometido Bolsa]])</f>
        <v>#NAME?</v>
      </c>
      <c r="AC28" s="55" t="str">
        <f t="shared" ca="1" si="3"/>
        <v/>
      </c>
      <c r="AD28" s="55" t="e">
        <f ca="1">IF(PAA_4[[#This Row],[ESTADO (formulado)]]="NO CONTRATADO",0,MAX(PAA_4[[#This Row],[Pago por Contrato]],PAA_4[[#This Row],[Pago por bolsa]]))</f>
        <v>#NAME?</v>
      </c>
      <c r="AE28" s="55" t="str">
        <f t="shared" ca="1" si="4"/>
        <v/>
      </c>
      <c r="AF28" s="47" t="e">
        <f t="shared" ca="1" si="5"/>
        <v>#NAME?</v>
      </c>
      <c r="AG28" s="47" t="str">
        <f t="shared" si="6"/>
        <v/>
      </c>
      <c r="AH28" s="54">
        <f>IF(Q28="22",IF(ISNUMBER(SEARCH("econ",PAA_4[[#This Row],[Actividad3]])),"Económico",IF(ISNUMBER(SEARCH("alim",PAA_4[[#This Row],[Actividad3]])),"Alimentación",IF(ISNUMBER(SEARCH("educ",PAA_4[[#This Row],[Actividad3]])),"Educativo","Técnico"))),0)</f>
        <v>0</v>
      </c>
      <c r="AI28" s="47" t="e" cm="1">
        <f t="array" aca="1" ref="AI28" ca="1">_xlfn.XLOOKUP(PAA_4[[#This Row],[RCP-RUBRO]],[2]!COMPROMISOS_2024[[#All],[concatenado]],[2]!COMPROMISOS_2024[[#All],[Total pagado]],"",0)</f>
        <v>#NAME?</v>
      </c>
      <c r="AJ28" s="56">
        <f>IF(PAA_4[[#This Row],[BOLSA]]=0,0,SUMIFS([2]!COMPROMISOS_2024[[#All],[Total pagado]],[2]!COMPROMISOS_2024[[#All],[Bolsa]],PAA_4[[#This Row],[BOLSA]],[2]!COMPROMISOS_2024[[#All],[rubro]],PAA_4[[#This Row],[RCP-RUBRO]]))</f>
        <v>0</v>
      </c>
      <c r="AK28" s="47" t="e" cm="1">
        <f t="array" aca="1" ref="AK28" ca="1">_xlfn.XLOOKUP(PAA_4[[#This Row],[RCP-RUBRO]],[2]!COMPROMISOS_2024[[#All],[concatenado]],[2]!COMPROMISOS_2024[[#All],[Total Comprometido]],"",0)</f>
        <v>#NAME?</v>
      </c>
      <c r="AL28" s="47">
        <f>IF(PAA_4[[#This Row],[BOLSA]]=0,0,SUMIFS([2]!COMPROMISOS_2024[[#All],[Total Comprometido]],[2]!COMPROMISOS_2024[[#All],[Bolsa]],PAA_4[[#This Row],[BOLSA]],[2]!COMPROMISOS_2024[[#All],[concatenado]],PAA_4[[#This Row],[RCP-RUBRO]]))</f>
        <v>0</v>
      </c>
    </row>
    <row r="29" spans="1:38" s="19" customFormat="1" ht="31.5" customHeight="1">
      <c r="A29" s="47">
        <v>12</v>
      </c>
      <c r="B29" s="47" t="s">
        <v>42</v>
      </c>
      <c r="C29" s="47" t="str">
        <f>VLOOKUP(PAA_4[[#This Row],[PROYECTO (formulado)2]],[2]PROYECTOS!$G$1:$L$32,6,0)</f>
        <v>SUBGERENCIA ADMINISTRATIVA Y FINANCIERA</v>
      </c>
      <c r="D29" s="47" t="str">
        <f>+IF(PAA_4[[#This Row],[UNIDAD DE CONTRATACION (formulado)]]="Subgerencia Administrativa y Financiera","FUNCIONAMIENTO","INVERSIÓN")</f>
        <v>FUNCIONAMIENTO</v>
      </c>
      <c r="E29" s="48" t="str">
        <f>VLOOKUP(Q29,[2]PROYECTOS!$G$1:$K$32,5,0)</f>
        <v>FUNCIONAMIENTO</v>
      </c>
      <c r="F29" s="48">
        <f>VLOOKUP(E29,[2]PROYECTOS!$K$1:$M$32,3,0)</f>
        <v>999999</v>
      </c>
      <c r="G29" s="49" t="s">
        <v>43</v>
      </c>
      <c r="H29" s="49">
        <f>VLOOKUP(Q29,[2]PROYECTOS!$V$1:$W$32,2,0)</f>
        <v>999999</v>
      </c>
      <c r="I29" s="50">
        <v>212745300</v>
      </c>
      <c r="J29" s="51" t="s">
        <v>1260</v>
      </c>
      <c r="K29" s="47" t="str">
        <f t="shared" ca="1" si="0"/>
        <v>CONTRATADO</v>
      </c>
      <c r="L29" s="47" t="s">
        <v>44</v>
      </c>
      <c r="M29" s="47" t="s">
        <v>1236</v>
      </c>
      <c r="N29" s="52" t="s">
        <v>1261</v>
      </c>
      <c r="O29" s="51" t="e">
        <f>VLOOKUP(N29,[2]!RUBROS[#All],3,0)</f>
        <v>#REF!</v>
      </c>
      <c r="P29" s="53" t="e">
        <f>VLOOKUP(N29,[2]!RUBROS[#All],2,0)</f>
        <v>#REF!</v>
      </c>
      <c r="Q29" s="47" t="str">
        <f t="shared" si="1"/>
        <v>00</v>
      </c>
      <c r="R29" s="47" t="str">
        <f t="shared" si="2"/>
        <v>0-101024</v>
      </c>
      <c r="S29" s="54">
        <v>12</v>
      </c>
      <c r="T29" s="57" t="s">
        <v>46</v>
      </c>
      <c r="U29" s="326" t="e">
        <f ca="1">_xlfn.XLOOKUP(PAA_4[[#This Row],[ITEM]],[2]Contrato!A:A,[2]Contrato!Q:Q,"",0)</f>
        <v>#NAME?</v>
      </c>
      <c r="V29" s="47" t="s">
        <v>47</v>
      </c>
      <c r="W29" s="47" t="s">
        <v>48</v>
      </c>
      <c r="X29" s="47" t="s">
        <v>48</v>
      </c>
      <c r="Y29" s="55" t="e">
        <f ca="1">_xlfn.XLOOKUP(PAA_4[[#This Row],[ITEM]],[2]Contrato!A:A,[2]Contrato!B:B,"",0)</f>
        <v>#NAME?</v>
      </c>
      <c r="Z29" s="47" t="e">
        <f ca="1">_xlfn.XLOOKUP(PAA_4[[#This Row],[ITEM]],[2]Contrato!A:A,[2]Contrato!G:G,"",0)</f>
        <v>#NAME?</v>
      </c>
      <c r="AA29" s="47" t="e">
        <f ca="1">_xlfn.XLOOKUP(PAA_4[[#This Row],[ITEM]],[2]Contrato!A:A,[2]Contrato!T:T,"",0)</f>
        <v>#NAME?</v>
      </c>
      <c r="AB29" s="55" t="e">
        <f ca="1">+MAX(PAA_4[[#This Row],[Comprometido Contrato]],PAA_4[[#This Row],[Comprometido Bolsa]])</f>
        <v>#NAME?</v>
      </c>
      <c r="AC29" s="55" t="str">
        <f t="shared" ca="1" si="3"/>
        <v/>
      </c>
      <c r="AD29" s="55" t="e">
        <f ca="1">IF(PAA_4[[#This Row],[ESTADO (formulado)]]="NO CONTRATADO",0,MAX(PAA_4[[#This Row],[Pago por Contrato]],PAA_4[[#This Row],[Pago por bolsa]]))</f>
        <v>#NAME?</v>
      </c>
      <c r="AE29" s="55" t="str">
        <f t="shared" ca="1" si="4"/>
        <v/>
      </c>
      <c r="AF29" s="47" t="e">
        <f t="shared" ca="1" si="5"/>
        <v>#NAME?</v>
      </c>
      <c r="AG29" s="47" t="str">
        <f t="shared" si="6"/>
        <v/>
      </c>
      <c r="AH29" s="54">
        <f>IF(Q29="22",IF(ISNUMBER(SEARCH("econ",PAA_4[[#This Row],[Actividad3]])),"Económico",IF(ISNUMBER(SEARCH("alim",PAA_4[[#This Row],[Actividad3]])),"Alimentación",IF(ISNUMBER(SEARCH("educ",PAA_4[[#This Row],[Actividad3]])),"Educativo","Técnico"))),0)</f>
        <v>0</v>
      </c>
      <c r="AI29" s="47" t="e" cm="1">
        <f t="array" aca="1" ref="AI29" ca="1">_xlfn.XLOOKUP(PAA_4[[#This Row],[RCP-RUBRO]],[2]!COMPROMISOS_2024[[#All],[concatenado]],[2]!COMPROMISOS_2024[[#All],[Total pagado]],"",0)</f>
        <v>#NAME?</v>
      </c>
      <c r="AJ29" s="56">
        <f>IF(PAA_4[[#This Row],[BOLSA]]=0,0,SUMIFS([2]!COMPROMISOS_2024[[#All],[Total pagado]],[2]!COMPROMISOS_2024[[#All],[Bolsa]],PAA_4[[#This Row],[BOLSA]],[2]!COMPROMISOS_2024[[#All],[rubro]],PAA_4[[#This Row],[RCP-RUBRO]]))</f>
        <v>0</v>
      </c>
      <c r="AK29" s="47" t="e" cm="1">
        <f t="array" aca="1" ref="AK29" ca="1">_xlfn.XLOOKUP(PAA_4[[#This Row],[RCP-RUBRO]],[2]!COMPROMISOS_2024[[#All],[concatenado]],[2]!COMPROMISOS_2024[[#All],[Total Comprometido]],"",0)</f>
        <v>#NAME?</v>
      </c>
      <c r="AL29" s="47">
        <f>IF(PAA_4[[#This Row],[BOLSA]]=0,0,SUMIFS([2]!COMPROMISOS_2024[[#All],[Total Comprometido]],[2]!COMPROMISOS_2024[[#All],[Bolsa]],PAA_4[[#This Row],[BOLSA]],[2]!COMPROMISOS_2024[[#All],[concatenado]],PAA_4[[#This Row],[RCP-RUBRO]]))</f>
        <v>0</v>
      </c>
    </row>
    <row r="30" spans="1:38" s="19" customFormat="1" ht="31.5" customHeight="1">
      <c r="A30" s="47">
        <v>12</v>
      </c>
      <c r="B30" s="47" t="s">
        <v>42</v>
      </c>
      <c r="C30" s="47" t="str">
        <f>VLOOKUP(PAA_4[[#This Row],[PROYECTO (formulado)2]],[2]PROYECTOS!$G$1:$L$32,6,0)</f>
        <v>SUBGERENCIA ADMINISTRATIVA Y FINANCIERA</v>
      </c>
      <c r="D30" s="47" t="str">
        <f>+IF(PAA_4[[#This Row],[UNIDAD DE CONTRATACION (formulado)]]="Subgerencia Administrativa y Financiera","FUNCIONAMIENTO","INVERSIÓN")</f>
        <v>FUNCIONAMIENTO</v>
      </c>
      <c r="E30" s="48" t="str">
        <f>VLOOKUP(Q30,[2]PROYECTOS!$G$1:$K$32,5,0)</f>
        <v>FUNCIONAMIENTO</v>
      </c>
      <c r="F30" s="48">
        <f>VLOOKUP(E30,[2]PROYECTOS!$K$1:$M$32,3,0)</f>
        <v>999999</v>
      </c>
      <c r="G30" s="49" t="s">
        <v>43</v>
      </c>
      <c r="H30" s="49">
        <f>VLOOKUP(Q30,[2]PROYECTOS!$V$1:$W$32,2,0)</f>
        <v>999999</v>
      </c>
      <c r="I30" s="50">
        <v>331275600</v>
      </c>
      <c r="J30" s="51" t="s">
        <v>1260</v>
      </c>
      <c r="K30" s="47" t="str">
        <f t="shared" ca="1" si="0"/>
        <v>CONTRATADO</v>
      </c>
      <c r="L30" s="47" t="s">
        <v>44</v>
      </c>
      <c r="M30" s="47" t="s">
        <v>1236</v>
      </c>
      <c r="N30" s="52" t="s">
        <v>59</v>
      </c>
      <c r="O30" s="51" t="e">
        <f>VLOOKUP(N30,[2]!RUBROS[#All],3,0)</f>
        <v>#REF!</v>
      </c>
      <c r="P30" s="53" t="e">
        <f>VLOOKUP(N30,[2]!RUBROS[#All],2,0)</f>
        <v>#REF!</v>
      </c>
      <c r="Q30" s="47" t="str">
        <f t="shared" si="1"/>
        <v>00</v>
      </c>
      <c r="R30" s="47" t="str">
        <f t="shared" si="2"/>
        <v>0-205616</v>
      </c>
      <c r="S30" s="54">
        <v>12</v>
      </c>
      <c r="T30" s="57" t="s">
        <v>46</v>
      </c>
      <c r="U30" s="326" t="e">
        <f ca="1">_xlfn.XLOOKUP(PAA_4[[#This Row],[ITEM]],[2]Contrato!A:A,[2]Contrato!Q:Q,"",0)</f>
        <v>#NAME?</v>
      </c>
      <c r="V30" s="47" t="s">
        <v>47</v>
      </c>
      <c r="W30" s="47" t="s">
        <v>48</v>
      </c>
      <c r="X30" s="47" t="s">
        <v>48</v>
      </c>
      <c r="Y30" s="55" t="e">
        <f ca="1">_xlfn.XLOOKUP(PAA_4[[#This Row],[ITEM]],[2]Contrato!A:A,[2]Contrato!B:B,"",0)</f>
        <v>#NAME?</v>
      </c>
      <c r="Z30" s="47" t="e">
        <f ca="1">_xlfn.XLOOKUP(PAA_4[[#This Row],[ITEM]],[2]Contrato!A:A,[2]Contrato!G:G,"",0)</f>
        <v>#NAME?</v>
      </c>
      <c r="AA30" s="47" t="e">
        <f ca="1">_xlfn.XLOOKUP(PAA_4[[#This Row],[ITEM]],[2]Contrato!A:A,[2]Contrato!T:T,"",0)</f>
        <v>#NAME?</v>
      </c>
      <c r="AB30" s="55" t="e">
        <f ca="1">+MAX(PAA_4[[#This Row],[Comprometido Contrato]],PAA_4[[#This Row],[Comprometido Bolsa]])</f>
        <v>#NAME?</v>
      </c>
      <c r="AC30" s="55" t="str">
        <f t="shared" ca="1" si="3"/>
        <v/>
      </c>
      <c r="AD30" s="55" t="e">
        <f ca="1">IF(PAA_4[[#This Row],[ESTADO (formulado)]]="NO CONTRATADO",0,MAX(PAA_4[[#This Row],[Pago por Contrato]],PAA_4[[#This Row],[Pago por bolsa]]))</f>
        <v>#NAME?</v>
      </c>
      <c r="AE30" s="55" t="str">
        <f t="shared" ca="1" si="4"/>
        <v/>
      </c>
      <c r="AF30" s="47" t="e">
        <f t="shared" ca="1" si="5"/>
        <v>#NAME?</v>
      </c>
      <c r="AG30" s="47" t="str">
        <f t="shared" si="6"/>
        <v/>
      </c>
      <c r="AH30" s="54">
        <f>IF(Q30="22",IF(ISNUMBER(SEARCH("econ",PAA_4[[#This Row],[Actividad3]])),"Económico",IF(ISNUMBER(SEARCH("alim",PAA_4[[#This Row],[Actividad3]])),"Alimentación",IF(ISNUMBER(SEARCH("educ",PAA_4[[#This Row],[Actividad3]])),"Educativo","Técnico"))),0)</f>
        <v>0</v>
      </c>
      <c r="AI30" s="47" t="e" cm="1">
        <f t="array" aca="1" ref="AI30" ca="1">_xlfn.XLOOKUP(PAA_4[[#This Row],[RCP-RUBRO]],[2]!COMPROMISOS_2024[[#All],[concatenado]],[2]!COMPROMISOS_2024[[#All],[Total pagado]],"",0)</f>
        <v>#NAME?</v>
      </c>
      <c r="AJ30" s="56">
        <f>IF(PAA_4[[#This Row],[BOLSA]]=0,0,SUMIFS([2]!COMPROMISOS_2024[[#All],[Total pagado]],[2]!COMPROMISOS_2024[[#All],[Bolsa]],PAA_4[[#This Row],[BOLSA]],[2]!COMPROMISOS_2024[[#All],[rubro]],PAA_4[[#This Row],[RCP-RUBRO]]))</f>
        <v>0</v>
      </c>
      <c r="AK30" s="47" t="e" cm="1">
        <f t="array" aca="1" ref="AK30" ca="1">_xlfn.XLOOKUP(PAA_4[[#This Row],[RCP-RUBRO]],[2]!COMPROMISOS_2024[[#All],[concatenado]],[2]!COMPROMISOS_2024[[#All],[Total Comprometido]],"",0)</f>
        <v>#NAME?</v>
      </c>
      <c r="AL30" s="47">
        <f>IF(PAA_4[[#This Row],[BOLSA]]=0,0,SUMIFS([2]!COMPROMISOS_2024[[#All],[Total Comprometido]],[2]!COMPROMISOS_2024[[#All],[Bolsa]],PAA_4[[#This Row],[BOLSA]],[2]!COMPROMISOS_2024[[#All],[concatenado]],PAA_4[[#This Row],[RCP-RUBRO]]))</f>
        <v>0</v>
      </c>
    </row>
    <row r="31" spans="1:38" s="19" customFormat="1" ht="31.5" customHeight="1">
      <c r="A31" s="47">
        <v>13</v>
      </c>
      <c r="B31" s="47" t="s">
        <v>42</v>
      </c>
      <c r="C31" s="47" t="str">
        <f>VLOOKUP(PAA_4[[#This Row],[PROYECTO (formulado)2]],[2]PROYECTOS!$G$1:$L$32,6,0)</f>
        <v>SUBGERENCIA ADMINISTRATIVA Y FINANCIERA</v>
      </c>
      <c r="D31" s="47" t="str">
        <f>+IF(PAA_4[[#This Row],[UNIDAD DE CONTRATACION (formulado)]]="Subgerencia Administrativa y Financiera","FUNCIONAMIENTO","INVERSIÓN")</f>
        <v>FUNCIONAMIENTO</v>
      </c>
      <c r="E31" s="48" t="str">
        <f>VLOOKUP(Q31,[2]PROYECTOS!$G$1:$K$32,5,0)</f>
        <v>FUNCIONAMIENTO</v>
      </c>
      <c r="F31" s="48">
        <f>VLOOKUP(E31,[2]PROYECTOS!$K$1:$M$32,3,0)</f>
        <v>999999</v>
      </c>
      <c r="G31" s="49" t="s">
        <v>43</v>
      </c>
      <c r="H31" s="49">
        <f>VLOOKUP(Q31,[2]PROYECTOS!$V$1:$W$32,2,0)</f>
        <v>999999</v>
      </c>
      <c r="I31" s="50">
        <v>141833400</v>
      </c>
      <c r="J31" s="51" t="s">
        <v>1262</v>
      </c>
      <c r="K31" s="47" t="str">
        <f t="shared" ca="1" si="0"/>
        <v>CONTRATADO</v>
      </c>
      <c r="L31" s="47" t="s">
        <v>44</v>
      </c>
      <c r="M31" s="47" t="s">
        <v>1236</v>
      </c>
      <c r="N31" s="52" t="s">
        <v>1263</v>
      </c>
      <c r="O31" s="51" t="e">
        <f>VLOOKUP(N31,[2]!RUBROS[#All],3,0)</f>
        <v>#REF!</v>
      </c>
      <c r="P31" s="53" t="e">
        <f>VLOOKUP(N31,[2]!RUBROS[#All],2,0)</f>
        <v>#REF!</v>
      </c>
      <c r="Q31" s="47" t="str">
        <f t="shared" si="1"/>
        <v>00</v>
      </c>
      <c r="R31" s="47" t="str">
        <f t="shared" si="2"/>
        <v>0-101024</v>
      </c>
      <c r="S31" s="54">
        <v>12</v>
      </c>
      <c r="T31" s="57" t="s">
        <v>46</v>
      </c>
      <c r="U31" s="326" t="e">
        <f ca="1">_xlfn.XLOOKUP(PAA_4[[#This Row],[ITEM]],[2]Contrato!A:A,[2]Contrato!Q:Q,"",0)</f>
        <v>#NAME?</v>
      </c>
      <c r="V31" s="47" t="s">
        <v>47</v>
      </c>
      <c r="W31" s="47" t="s">
        <v>48</v>
      </c>
      <c r="X31" s="47" t="s">
        <v>48</v>
      </c>
      <c r="Y31" s="55" t="e">
        <f ca="1">_xlfn.XLOOKUP(PAA_4[[#This Row],[ITEM]],[2]Contrato!A:A,[2]Contrato!B:B,"",0)</f>
        <v>#NAME?</v>
      </c>
      <c r="Z31" s="47" t="e">
        <f ca="1">_xlfn.XLOOKUP(PAA_4[[#This Row],[ITEM]],[2]Contrato!A:A,[2]Contrato!G:G,"",0)</f>
        <v>#NAME?</v>
      </c>
      <c r="AA31" s="47" t="e">
        <f ca="1">_xlfn.XLOOKUP(PAA_4[[#This Row],[ITEM]],[2]Contrato!A:A,[2]Contrato!T:T,"",0)</f>
        <v>#NAME?</v>
      </c>
      <c r="AB31" s="55" t="e">
        <f ca="1">+MAX(PAA_4[[#This Row],[Comprometido Contrato]],PAA_4[[#This Row],[Comprometido Bolsa]])</f>
        <v>#NAME?</v>
      </c>
      <c r="AC31" s="55" t="str">
        <f t="shared" ca="1" si="3"/>
        <v/>
      </c>
      <c r="AD31" s="55" t="e">
        <f ca="1">IF(PAA_4[[#This Row],[ESTADO (formulado)]]="NO CONTRATADO",0,MAX(PAA_4[[#This Row],[Pago por Contrato]],PAA_4[[#This Row],[Pago por bolsa]]))</f>
        <v>#NAME?</v>
      </c>
      <c r="AE31" s="55" t="str">
        <f t="shared" ca="1" si="4"/>
        <v/>
      </c>
      <c r="AF31" s="47" t="e">
        <f t="shared" ca="1" si="5"/>
        <v>#NAME?</v>
      </c>
      <c r="AG31" s="47" t="str">
        <f t="shared" si="6"/>
        <v/>
      </c>
      <c r="AH31" s="54">
        <f>IF(Q31="22",IF(ISNUMBER(SEARCH("econ",PAA_4[[#This Row],[Actividad3]])),"Económico",IF(ISNUMBER(SEARCH("alim",PAA_4[[#This Row],[Actividad3]])),"Alimentación",IF(ISNUMBER(SEARCH("educ",PAA_4[[#This Row],[Actividad3]])),"Educativo","Técnico"))),0)</f>
        <v>0</v>
      </c>
      <c r="AI31" s="47" t="e" cm="1">
        <f t="array" aca="1" ref="AI31" ca="1">_xlfn.XLOOKUP(PAA_4[[#This Row],[RCP-RUBRO]],[2]!COMPROMISOS_2024[[#All],[concatenado]],[2]!COMPROMISOS_2024[[#All],[Total pagado]],"",0)</f>
        <v>#NAME?</v>
      </c>
      <c r="AJ31" s="56">
        <f>IF(PAA_4[[#This Row],[BOLSA]]=0,0,SUMIFS([2]!COMPROMISOS_2024[[#All],[Total pagado]],[2]!COMPROMISOS_2024[[#All],[Bolsa]],PAA_4[[#This Row],[BOLSA]],[2]!COMPROMISOS_2024[[#All],[rubro]],PAA_4[[#This Row],[RCP-RUBRO]]))</f>
        <v>0</v>
      </c>
      <c r="AK31" s="47" t="e" cm="1">
        <f t="array" aca="1" ref="AK31" ca="1">_xlfn.XLOOKUP(PAA_4[[#This Row],[RCP-RUBRO]],[2]!COMPROMISOS_2024[[#All],[concatenado]],[2]!COMPROMISOS_2024[[#All],[Total Comprometido]],"",0)</f>
        <v>#NAME?</v>
      </c>
      <c r="AL31" s="47">
        <f>IF(PAA_4[[#This Row],[BOLSA]]=0,0,SUMIFS([2]!COMPROMISOS_2024[[#All],[Total Comprometido]],[2]!COMPROMISOS_2024[[#All],[Bolsa]],PAA_4[[#This Row],[BOLSA]],[2]!COMPROMISOS_2024[[#All],[concatenado]],PAA_4[[#This Row],[RCP-RUBRO]]))</f>
        <v>0</v>
      </c>
    </row>
    <row r="32" spans="1:38" s="19" customFormat="1" ht="31.5" customHeight="1">
      <c r="A32" s="47">
        <v>13</v>
      </c>
      <c r="B32" s="47" t="s">
        <v>42</v>
      </c>
      <c r="C32" s="47" t="str">
        <f>VLOOKUP(PAA_4[[#This Row],[PROYECTO (formulado)2]],[2]PROYECTOS!$G$1:$L$32,6,0)</f>
        <v>SUBGERENCIA ADMINISTRATIVA Y FINANCIERA</v>
      </c>
      <c r="D32" s="47" t="str">
        <f>+IF(PAA_4[[#This Row],[UNIDAD DE CONTRATACION (formulado)]]="Subgerencia Administrativa y Financiera","FUNCIONAMIENTO","INVERSIÓN")</f>
        <v>FUNCIONAMIENTO</v>
      </c>
      <c r="E32" s="48" t="str">
        <f>VLOOKUP(Q32,[2]PROYECTOS!$G$1:$K$32,5,0)</f>
        <v>FUNCIONAMIENTO</v>
      </c>
      <c r="F32" s="48">
        <f>VLOOKUP(E32,[2]PROYECTOS!$K$1:$M$32,3,0)</f>
        <v>999999</v>
      </c>
      <c r="G32" s="49" t="s">
        <v>43</v>
      </c>
      <c r="H32" s="49">
        <f>VLOOKUP(Q32,[2]PROYECTOS!$V$1:$W$32,2,0)</f>
        <v>999999</v>
      </c>
      <c r="I32" s="50">
        <v>220852200</v>
      </c>
      <c r="J32" s="51" t="s">
        <v>1262</v>
      </c>
      <c r="K32" s="47" t="str">
        <f t="shared" ca="1" si="0"/>
        <v>CONTRATADO</v>
      </c>
      <c r="L32" s="47" t="s">
        <v>44</v>
      </c>
      <c r="M32" s="47" t="s">
        <v>1236</v>
      </c>
      <c r="N32" s="52" t="s">
        <v>60</v>
      </c>
      <c r="O32" s="51" t="e">
        <f>VLOOKUP(N32,[2]!RUBROS[#All],3,0)</f>
        <v>#REF!</v>
      </c>
      <c r="P32" s="53" t="e">
        <f>VLOOKUP(N32,[2]!RUBROS[#All],2,0)</f>
        <v>#REF!</v>
      </c>
      <c r="Q32" s="47" t="str">
        <f t="shared" si="1"/>
        <v>00</v>
      </c>
      <c r="R32" s="47" t="str">
        <f t="shared" si="2"/>
        <v>0-205616</v>
      </c>
      <c r="S32" s="54">
        <v>12</v>
      </c>
      <c r="T32" s="57" t="s">
        <v>46</v>
      </c>
      <c r="U32" s="326" t="e">
        <f ca="1">_xlfn.XLOOKUP(PAA_4[[#This Row],[ITEM]],[2]Contrato!A:A,[2]Contrato!Q:Q,"",0)</f>
        <v>#NAME?</v>
      </c>
      <c r="V32" s="47" t="s">
        <v>47</v>
      </c>
      <c r="W32" s="47" t="s">
        <v>48</v>
      </c>
      <c r="X32" s="47" t="s">
        <v>48</v>
      </c>
      <c r="Y32" s="55" t="e">
        <f ca="1">_xlfn.XLOOKUP(PAA_4[[#This Row],[ITEM]],[2]Contrato!A:A,[2]Contrato!B:B,"",0)</f>
        <v>#NAME?</v>
      </c>
      <c r="Z32" s="47" t="e">
        <f ca="1">_xlfn.XLOOKUP(PAA_4[[#This Row],[ITEM]],[2]Contrato!A:A,[2]Contrato!G:G,"",0)</f>
        <v>#NAME?</v>
      </c>
      <c r="AA32" s="47" t="e">
        <f ca="1">_xlfn.XLOOKUP(PAA_4[[#This Row],[ITEM]],[2]Contrato!A:A,[2]Contrato!T:T,"",0)</f>
        <v>#NAME?</v>
      </c>
      <c r="AB32" s="55" t="e">
        <f ca="1">+MAX(PAA_4[[#This Row],[Comprometido Contrato]],PAA_4[[#This Row],[Comprometido Bolsa]])</f>
        <v>#NAME?</v>
      </c>
      <c r="AC32" s="55" t="str">
        <f t="shared" ca="1" si="3"/>
        <v/>
      </c>
      <c r="AD32" s="55" t="e">
        <f ca="1">IF(PAA_4[[#This Row],[ESTADO (formulado)]]="NO CONTRATADO",0,MAX(PAA_4[[#This Row],[Pago por Contrato]],PAA_4[[#This Row],[Pago por bolsa]]))</f>
        <v>#NAME?</v>
      </c>
      <c r="AE32" s="55" t="str">
        <f t="shared" ca="1" si="4"/>
        <v/>
      </c>
      <c r="AF32" s="47" t="e">
        <f t="shared" ca="1" si="5"/>
        <v>#NAME?</v>
      </c>
      <c r="AG32" s="47" t="str">
        <f t="shared" si="6"/>
        <v/>
      </c>
      <c r="AH32" s="54">
        <f>IF(Q32="22",IF(ISNUMBER(SEARCH("econ",PAA_4[[#This Row],[Actividad3]])),"Económico",IF(ISNUMBER(SEARCH("alim",PAA_4[[#This Row],[Actividad3]])),"Alimentación",IF(ISNUMBER(SEARCH("educ",PAA_4[[#This Row],[Actividad3]])),"Educativo","Técnico"))),0)</f>
        <v>0</v>
      </c>
      <c r="AI32" s="47" t="e" cm="1">
        <f t="array" aca="1" ref="AI32" ca="1">_xlfn.XLOOKUP(PAA_4[[#This Row],[RCP-RUBRO]],[2]!COMPROMISOS_2024[[#All],[concatenado]],[2]!COMPROMISOS_2024[[#All],[Total pagado]],"",0)</f>
        <v>#NAME?</v>
      </c>
      <c r="AJ32" s="56">
        <f>IF(PAA_4[[#This Row],[BOLSA]]=0,0,SUMIFS([2]!COMPROMISOS_2024[[#All],[Total pagado]],[2]!COMPROMISOS_2024[[#All],[Bolsa]],PAA_4[[#This Row],[BOLSA]],[2]!COMPROMISOS_2024[[#All],[rubro]],PAA_4[[#This Row],[RCP-RUBRO]]))</f>
        <v>0</v>
      </c>
      <c r="AK32" s="47" t="e" cm="1">
        <f t="array" aca="1" ref="AK32" ca="1">_xlfn.XLOOKUP(PAA_4[[#This Row],[RCP-RUBRO]],[2]!COMPROMISOS_2024[[#All],[concatenado]],[2]!COMPROMISOS_2024[[#All],[Total Comprometido]],"",0)</f>
        <v>#NAME?</v>
      </c>
      <c r="AL32" s="47">
        <f>IF(PAA_4[[#This Row],[BOLSA]]=0,0,SUMIFS([2]!COMPROMISOS_2024[[#All],[Total Comprometido]],[2]!COMPROMISOS_2024[[#All],[Bolsa]],PAA_4[[#This Row],[BOLSA]],[2]!COMPROMISOS_2024[[#All],[concatenado]],PAA_4[[#This Row],[RCP-RUBRO]]))</f>
        <v>0</v>
      </c>
    </row>
    <row r="33" spans="1:38" s="19" customFormat="1" ht="31.5" customHeight="1">
      <c r="A33" s="47">
        <v>14</v>
      </c>
      <c r="B33" s="47" t="s">
        <v>42</v>
      </c>
      <c r="C33" s="47" t="str">
        <f>VLOOKUP(PAA_4[[#This Row],[PROYECTO (formulado)2]],[2]PROYECTOS!$G$1:$L$32,6,0)</f>
        <v>SUBGERENCIA ADMINISTRATIVA Y FINANCIERA</v>
      </c>
      <c r="D33" s="47" t="str">
        <f>+IF(PAA_4[[#This Row],[UNIDAD DE CONTRATACION (formulado)]]="Subgerencia Administrativa y Financiera","FUNCIONAMIENTO","INVERSIÓN")</f>
        <v>FUNCIONAMIENTO</v>
      </c>
      <c r="E33" s="48" t="str">
        <f>VLOOKUP(Q33,[2]PROYECTOS!$G$1:$K$32,5,0)</f>
        <v>FUNCIONAMIENTO</v>
      </c>
      <c r="F33" s="48">
        <f>VLOOKUP(E33,[2]PROYECTOS!$K$1:$M$32,3,0)</f>
        <v>999999</v>
      </c>
      <c r="G33" s="49" t="s">
        <v>43</v>
      </c>
      <c r="H33" s="49">
        <f>VLOOKUP(Q33,[2]PROYECTOS!$V$1:$W$32,2,0)</f>
        <v>999999</v>
      </c>
      <c r="I33" s="50">
        <f>644968339-9968339</f>
        <v>635000000</v>
      </c>
      <c r="J33" s="51" t="s">
        <v>1264</v>
      </c>
      <c r="K33" s="47" t="str">
        <f t="shared" ca="1" si="0"/>
        <v>CONTRATADO</v>
      </c>
      <c r="L33" s="47" t="s">
        <v>44</v>
      </c>
      <c r="M33" s="47" t="s">
        <v>1236</v>
      </c>
      <c r="N33" s="52" t="s">
        <v>61</v>
      </c>
      <c r="O33" s="51" t="e">
        <f>VLOOKUP(N33,[2]!RUBROS[#All],3,0)</f>
        <v>#REF!</v>
      </c>
      <c r="P33" s="53" t="e">
        <f>VLOOKUP(N33,[2]!RUBROS[#All],2,0)</f>
        <v>#REF!</v>
      </c>
      <c r="Q33" s="47" t="str">
        <f t="shared" si="1"/>
        <v>00</v>
      </c>
      <c r="R33" s="47" t="str">
        <f t="shared" si="2"/>
        <v>0-205616</v>
      </c>
      <c r="S33" s="54">
        <v>12</v>
      </c>
      <c r="T33" s="57" t="s">
        <v>46</v>
      </c>
      <c r="U33" s="326" t="e">
        <f ca="1">_xlfn.XLOOKUP(PAA_4[[#This Row],[ITEM]],[2]Contrato!A:A,[2]Contrato!Q:Q,"",0)</f>
        <v>#NAME?</v>
      </c>
      <c r="V33" s="47" t="s">
        <v>47</v>
      </c>
      <c r="W33" s="47" t="s">
        <v>48</v>
      </c>
      <c r="X33" s="47" t="s">
        <v>48</v>
      </c>
      <c r="Y33" s="55" t="e">
        <f ca="1">_xlfn.XLOOKUP(PAA_4[[#This Row],[ITEM]],[2]Contrato!A:A,[2]Contrato!B:B,"",0)</f>
        <v>#NAME?</v>
      </c>
      <c r="Z33" s="47" t="e">
        <f ca="1">_xlfn.XLOOKUP(PAA_4[[#This Row],[ITEM]],[2]Contrato!A:A,[2]Contrato!G:G,"",0)</f>
        <v>#NAME?</v>
      </c>
      <c r="AA33" s="47" t="e">
        <f ca="1">_xlfn.XLOOKUP(PAA_4[[#This Row],[ITEM]],[2]Contrato!A:A,[2]Contrato!T:T,"",0)</f>
        <v>#NAME?</v>
      </c>
      <c r="AB33" s="55" t="e">
        <f ca="1">+MAX(PAA_4[[#This Row],[Comprometido Contrato]],PAA_4[[#This Row],[Comprometido Bolsa]])</f>
        <v>#NAME?</v>
      </c>
      <c r="AC33" s="55" t="str">
        <f t="shared" ca="1" si="3"/>
        <v/>
      </c>
      <c r="AD33" s="55" t="e">
        <f ca="1">IF(PAA_4[[#This Row],[ESTADO (formulado)]]="NO CONTRATADO",0,MAX(PAA_4[[#This Row],[Pago por Contrato]],PAA_4[[#This Row],[Pago por bolsa]]))</f>
        <v>#NAME?</v>
      </c>
      <c r="AE33" s="55" t="str">
        <f t="shared" ca="1" si="4"/>
        <v/>
      </c>
      <c r="AF33" s="47" t="e">
        <f t="shared" ca="1" si="5"/>
        <v>#NAME?</v>
      </c>
      <c r="AG33" s="47" t="str">
        <f t="shared" si="6"/>
        <v/>
      </c>
      <c r="AH33" s="54">
        <f>IF(Q33="22",IF(ISNUMBER(SEARCH("econ",PAA_4[[#This Row],[Actividad3]])),"Económico",IF(ISNUMBER(SEARCH("alim",PAA_4[[#This Row],[Actividad3]])),"Alimentación",IF(ISNUMBER(SEARCH("educ",PAA_4[[#This Row],[Actividad3]])),"Educativo","Técnico"))),0)</f>
        <v>0</v>
      </c>
      <c r="AI33" s="47" t="e" cm="1">
        <f t="array" aca="1" ref="AI33" ca="1">_xlfn.XLOOKUP(PAA_4[[#This Row],[RCP-RUBRO]],[2]!COMPROMISOS_2024[[#All],[concatenado]],[2]!COMPROMISOS_2024[[#All],[Total pagado]],"",0)</f>
        <v>#NAME?</v>
      </c>
      <c r="AJ33" s="56">
        <f>IF(PAA_4[[#This Row],[BOLSA]]=0,0,SUMIFS([2]!COMPROMISOS_2024[[#All],[Total pagado]],[2]!COMPROMISOS_2024[[#All],[Bolsa]],PAA_4[[#This Row],[BOLSA]],[2]!COMPROMISOS_2024[[#All],[rubro]],PAA_4[[#This Row],[RCP-RUBRO]]))</f>
        <v>0</v>
      </c>
      <c r="AK33" s="47" t="e" cm="1">
        <f t="array" aca="1" ref="AK33" ca="1">_xlfn.XLOOKUP(PAA_4[[#This Row],[RCP-RUBRO]],[2]!COMPROMISOS_2024[[#All],[concatenado]],[2]!COMPROMISOS_2024[[#All],[Total Comprometido]],"",0)</f>
        <v>#NAME?</v>
      </c>
      <c r="AL33" s="47">
        <f>IF(PAA_4[[#This Row],[BOLSA]]=0,0,SUMIFS([2]!COMPROMISOS_2024[[#All],[Total Comprometido]],[2]!COMPROMISOS_2024[[#All],[Bolsa]],PAA_4[[#This Row],[BOLSA]],[2]!COMPROMISOS_2024[[#All],[concatenado]],PAA_4[[#This Row],[RCP-RUBRO]]))</f>
        <v>0</v>
      </c>
    </row>
    <row r="34" spans="1:38" s="19" customFormat="1" ht="31.5" customHeight="1">
      <c r="A34" s="47">
        <v>14</v>
      </c>
      <c r="B34" s="47" t="s">
        <v>42</v>
      </c>
      <c r="C34" s="47" t="str">
        <f>VLOOKUP(PAA_4[[#This Row],[PROYECTO (formulado)2]],[2]PROYECTOS!$G$1:$L$32,6,0)</f>
        <v>SUBGERENCIA ADMINISTRATIVA Y FINANCIERA</v>
      </c>
      <c r="D34" s="47" t="str">
        <f>+IF(PAA_4[[#This Row],[UNIDAD DE CONTRATACION (formulado)]]="Subgerencia Administrativa y Financiera","FUNCIONAMIENTO","INVERSIÓN")</f>
        <v>FUNCIONAMIENTO</v>
      </c>
      <c r="E34" s="48" t="str">
        <f>VLOOKUP(Q34,[2]PROYECTOS!$G$1:$K$32,5,0)</f>
        <v>FUNCIONAMIENTO</v>
      </c>
      <c r="F34" s="48">
        <f>VLOOKUP(E34,[2]PROYECTOS!$K$1:$M$32,3,0)</f>
        <v>999999</v>
      </c>
      <c r="G34" s="49" t="s">
        <v>43</v>
      </c>
      <c r="H34" s="49">
        <f>VLOOKUP(Q34,[2]PROYECTOS!$V$1:$W$32,2,0)</f>
        <v>999999</v>
      </c>
      <c r="I34" s="50">
        <v>114652269</v>
      </c>
      <c r="J34" s="51" t="s">
        <v>1265</v>
      </c>
      <c r="K34" s="47" t="str">
        <f t="shared" ca="1" si="0"/>
        <v>CONTRATADO</v>
      </c>
      <c r="L34" s="47" t="s">
        <v>44</v>
      </c>
      <c r="M34" s="47" t="s">
        <v>1236</v>
      </c>
      <c r="N34" s="52" t="s">
        <v>1266</v>
      </c>
      <c r="O34" s="51" t="e">
        <f>VLOOKUP(N34,[2]!RUBROS[#All],3,0)</f>
        <v>#REF!</v>
      </c>
      <c r="P34" s="53" t="e">
        <f>VLOOKUP(N34,[2]!RUBROS[#All],2,0)</f>
        <v>#REF!</v>
      </c>
      <c r="Q34" s="47" t="str">
        <f t="shared" si="1"/>
        <v>00</v>
      </c>
      <c r="R34" s="47" t="str">
        <f t="shared" si="2"/>
        <v>0-101024</v>
      </c>
      <c r="S34" s="54">
        <v>12</v>
      </c>
      <c r="T34" s="57" t="s">
        <v>46</v>
      </c>
      <c r="U34" s="326" t="e">
        <f ca="1">_xlfn.XLOOKUP(PAA_4[[#This Row],[ITEM]],[2]Contrato!A:A,[2]Contrato!Q:Q,"",0)</f>
        <v>#NAME?</v>
      </c>
      <c r="V34" s="47" t="s">
        <v>47</v>
      </c>
      <c r="W34" s="47" t="s">
        <v>48</v>
      </c>
      <c r="X34" s="47" t="s">
        <v>48</v>
      </c>
      <c r="Y34" s="55" t="e">
        <f ca="1">_xlfn.XLOOKUP(PAA_4[[#This Row],[ITEM]],[2]Contrato!A:A,[2]Contrato!B:B,"",0)</f>
        <v>#NAME?</v>
      </c>
      <c r="Z34" s="47" t="e">
        <f ca="1">_xlfn.XLOOKUP(PAA_4[[#This Row],[ITEM]],[2]Contrato!A:A,[2]Contrato!G:G,"",0)</f>
        <v>#NAME?</v>
      </c>
      <c r="AA34" s="47" t="e">
        <f ca="1">_xlfn.XLOOKUP(PAA_4[[#This Row],[ITEM]],[2]Contrato!A:A,[2]Contrato!T:T,"",0)</f>
        <v>#NAME?</v>
      </c>
      <c r="AB34" s="55" t="e">
        <f ca="1">+MAX(PAA_4[[#This Row],[Comprometido Contrato]],PAA_4[[#This Row],[Comprometido Bolsa]])</f>
        <v>#NAME?</v>
      </c>
      <c r="AC34" s="55" t="str">
        <f t="shared" ca="1" si="3"/>
        <v/>
      </c>
      <c r="AD34" s="55" t="e">
        <f ca="1">IF(PAA_4[[#This Row],[ESTADO (formulado)]]="NO CONTRATADO",0,MAX(PAA_4[[#This Row],[Pago por Contrato]],PAA_4[[#This Row],[Pago por bolsa]]))</f>
        <v>#NAME?</v>
      </c>
      <c r="AE34" s="55" t="str">
        <f t="shared" ca="1" si="4"/>
        <v/>
      </c>
      <c r="AF34" s="47" t="e">
        <f t="shared" ca="1" si="5"/>
        <v>#NAME?</v>
      </c>
      <c r="AG34" s="47" t="str">
        <f t="shared" si="6"/>
        <v/>
      </c>
      <c r="AH34" s="54">
        <f>IF(Q34="22",IF(ISNUMBER(SEARCH("econ",PAA_4[[#This Row],[Actividad3]])),"Económico",IF(ISNUMBER(SEARCH("alim",PAA_4[[#This Row],[Actividad3]])),"Alimentación",IF(ISNUMBER(SEARCH("educ",PAA_4[[#This Row],[Actividad3]])),"Educativo","Técnico"))),0)</f>
        <v>0</v>
      </c>
      <c r="AI34" s="47" t="e" cm="1">
        <f t="array" aca="1" ref="AI34" ca="1">_xlfn.XLOOKUP(PAA_4[[#This Row],[RCP-RUBRO]],[2]!COMPROMISOS_2024[[#All],[concatenado]],[2]!COMPROMISOS_2024[[#All],[Total pagado]],"",0)</f>
        <v>#NAME?</v>
      </c>
      <c r="AJ34" s="56">
        <f>IF(PAA_4[[#This Row],[BOLSA]]=0,0,SUMIFS([2]!COMPROMISOS_2024[[#All],[Total pagado]],[2]!COMPROMISOS_2024[[#All],[Bolsa]],PAA_4[[#This Row],[BOLSA]],[2]!COMPROMISOS_2024[[#All],[rubro]],PAA_4[[#This Row],[RCP-RUBRO]]))</f>
        <v>0</v>
      </c>
      <c r="AK34" s="47" t="e" cm="1">
        <f t="array" aca="1" ref="AK34" ca="1">_xlfn.XLOOKUP(PAA_4[[#This Row],[RCP-RUBRO]],[2]!COMPROMISOS_2024[[#All],[concatenado]],[2]!COMPROMISOS_2024[[#All],[Total Comprometido]],"",0)</f>
        <v>#NAME?</v>
      </c>
      <c r="AL34" s="47">
        <f>IF(PAA_4[[#This Row],[BOLSA]]=0,0,SUMIFS([2]!COMPROMISOS_2024[[#All],[Total Comprometido]],[2]!COMPROMISOS_2024[[#All],[Bolsa]],PAA_4[[#This Row],[BOLSA]],[2]!COMPROMISOS_2024[[#All],[concatenado]],PAA_4[[#This Row],[RCP-RUBRO]]))</f>
        <v>0</v>
      </c>
    </row>
    <row r="35" spans="1:38" s="19" customFormat="1" ht="31.5" customHeight="1">
      <c r="A35" s="47">
        <v>15</v>
      </c>
      <c r="B35" s="47" t="s">
        <v>42</v>
      </c>
      <c r="C35" s="47" t="str">
        <f>VLOOKUP(PAA_4[[#This Row],[PROYECTO (formulado)2]],[2]PROYECTOS!$G$1:$L$32,6,0)</f>
        <v>SUBGERENCIA ADMINISTRATIVA Y FINANCIERA</v>
      </c>
      <c r="D35" s="47" t="str">
        <f>+IF(PAA_4[[#This Row],[UNIDAD DE CONTRATACION (formulado)]]="Subgerencia Administrativa y Financiera","FUNCIONAMIENTO","INVERSIÓN")</f>
        <v>FUNCIONAMIENTO</v>
      </c>
      <c r="E35" s="48" t="str">
        <f>VLOOKUP(Q35,[2]PROYECTOS!$G$1:$K$32,5,0)</f>
        <v>FUNCIONAMIENTO</v>
      </c>
      <c r="F35" s="48">
        <f>VLOOKUP(E35,[2]PROYECTOS!$K$1:$M$32,3,0)</f>
        <v>999999</v>
      </c>
      <c r="G35" s="49" t="s">
        <v>43</v>
      </c>
      <c r="H35" s="49">
        <f>VLOOKUP(Q35,[2]PROYECTOS!$V$1:$W$32,2,0)</f>
        <v>999999</v>
      </c>
      <c r="I35" s="50">
        <f>45000000-31619580</f>
        <v>13380420</v>
      </c>
      <c r="J35" s="51" t="s">
        <v>1267</v>
      </c>
      <c r="K35" s="47" t="str">
        <f t="shared" ca="1" si="0"/>
        <v>CONTRATADO</v>
      </c>
      <c r="L35" s="47" t="s">
        <v>44</v>
      </c>
      <c r="M35" s="47" t="s">
        <v>1236</v>
      </c>
      <c r="N35" s="52" t="s">
        <v>62</v>
      </c>
      <c r="O35" s="51" t="e">
        <f>VLOOKUP(N35,[2]!RUBROS[#All],3,0)</f>
        <v>#REF!</v>
      </c>
      <c r="P35" s="53" t="e">
        <f>VLOOKUP(N35,[2]!RUBROS[#All],2,0)</f>
        <v>#REF!</v>
      </c>
      <c r="Q35" s="47" t="str">
        <f t="shared" si="1"/>
        <v>00</v>
      </c>
      <c r="R35" s="47" t="str">
        <f t="shared" si="2"/>
        <v>0-205616</v>
      </c>
      <c r="S35" s="54">
        <v>12</v>
      </c>
      <c r="T35" s="57" t="s">
        <v>46</v>
      </c>
      <c r="U35" s="326" t="e">
        <f ca="1">_xlfn.XLOOKUP(PAA_4[[#This Row],[ITEM]],[2]Contrato!A:A,[2]Contrato!Q:Q,"",0)</f>
        <v>#NAME?</v>
      </c>
      <c r="V35" s="47" t="s">
        <v>47</v>
      </c>
      <c r="W35" s="47" t="s">
        <v>48</v>
      </c>
      <c r="X35" s="47" t="s">
        <v>48</v>
      </c>
      <c r="Y35" s="55" t="e">
        <f ca="1">_xlfn.XLOOKUP(PAA_4[[#This Row],[ITEM]],[2]Contrato!A:A,[2]Contrato!B:B,"",0)</f>
        <v>#NAME?</v>
      </c>
      <c r="Z35" s="47" t="e">
        <f ca="1">_xlfn.XLOOKUP(PAA_4[[#This Row],[ITEM]],[2]Contrato!A:A,[2]Contrato!G:G,"",0)</f>
        <v>#NAME?</v>
      </c>
      <c r="AA35" s="47" t="e">
        <f ca="1">_xlfn.XLOOKUP(PAA_4[[#This Row],[ITEM]],[2]Contrato!A:A,[2]Contrato!T:T,"",0)</f>
        <v>#NAME?</v>
      </c>
      <c r="AB35" s="55" t="e">
        <f ca="1">+MAX(PAA_4[[#This Row],[Comprometido Contrato]],PAA_4[[#This Row],[Comprometido Bolsa]])</f>
        <v>#NAME?</v>
      </c>
      <c r="AC35" s="55" t="str">
        <f t="shared" ca="1" si="3"/>
        <v/>
      </c>
      <c r="AD35" s="55" t="e">
        <f ca="1">IF(PAA_4[[#This Row],[ESTADO (formulado)]]="NO CONTRATADO",0,MAX(PAA_4[[#This Row],[Pago por Contrato]],PAA_4[[#This Row],[Pago por bolsa]]))</f>
        <v>#NAME?</v>
      </c>
      <c r="AE35" s="55" t="str">
        <f t="shared" ca="1" si="4"/>
        <v/>
      </c>
      <c r="AF35" s="47" t="e">
        <f t="shared" ca="1" si="5"/>
        <v>#NAME?</v>
      </c>
      <c r="AG35" s="47" t="str">
        <f t="shared" si="6"/>
        <v/>
      </c>
      <c r="AH35" s="54">
        <f>IF(Q35="22",IF(ISNUMBER(SEARCH("econ",PAA_4[[#This Row],[Actividad3]])),"Económico",IF(ISNUMBER(SEARCH("alim",PAA_4[[#This Row],[Actividad3]])),"Alimentación",IF(ISNUMBER(SEARCH("educ",PAA_4[[#This Row],[Actividad3]])),"Educativo","Técnico"))),0)</f>
        <v>0</v>
      </c>
      <c r="AI35" s="47" t="e" cm="1">
        <f t="array" aca="1" ref="AI35" ca="1">_xlfn.XLOOKUP(PAA_4[[#This Row],[RCP-RUBRO]],[2]!COMPROMISOS_2024[[#All],[concatenado]],[2]!COMPROMISOS_2024[[#All],[Total pagado]],"",0)</f>
        <v>#NAME?</v>
      </c>
      <c r="AJ35" s="56">
        <f>IF(PAA_4[[#This Row],[BOLSA]]=0,0,SUMIFS([2]!COMPROMISOS_2024[[#All],[Total pagado]],[2]!COMPROMISOS_2024[[#All],[Bolsa]],PAA_4[[#This Row],[BOLSA]],[2]!COMPROMISOS_2024[[#All],[rubro]],PAA_4[[#This Row],[RCP-RUBRO]]))</f>
        <v>0</v>
      </c>
      <c r="AK35" s="47" t="e" cm="1">
        <f t="array" aca="1" ref="AK35" ca="1">_xlfn.XLOOKUP(PAA_4[[#This Row],[RCP-RUBRO]],[2]!COMPROMISOS_2024[[#All],[concatenado]],[2]!COMPROMISOS_2024[[#All],[Total Comprometido]],"",0)</f>
        <v>#NAME?</v>
      </c>
      <c r="AL35" s="47">
        <f>IF(PAA_4[[#This Row],[BOLSA]]=0,0,SUMIFS([2]!COMPROMISOS_2024[[#All],[Total Comprometido]],[2]!COMPROMISOS_2024[[#All],[Bolsa]],PAA_4[[#This Row],[BOLSA]],[2]!COMPROMISOS_2024[[#All],[concatenado]],PAA_4[[#This Row],[RCP-RUBRO]]))</f>
        <v>0</v>
      </c>
    </row>
    <row r="36" spans="1:38" s="19" customFormat="1" ht="31.5" customHeight="1">
      <c r="A36" s="47">
        <v>15</v>
      </c>
      <c r="B36" s="47" t="s">
        <v>42</v>
      </c>
      <c r="C36" s="47" t="str">
        <f>VLOOKUP(PAA_4[[#This Row],[PROYECTO (formulado)2]],[2]PROYECTOS!$G$1:$L$32,6,0)</f>
        <v>SUBGERENCIA ADMINISTRATIVA Y FINANCIERA</v>
      </c>
      <c r="D36" s="47" t="str">
        <f>+IF(PAA_4[[#This Row],[UNIDAD DE CONTRATACION (formulado)]]="Subgerencia Administrativa y Financiera","FUNCIONAMIENTO","INVERSIÓN")</f>
        <v>FUNCIONAMIENTO</v>
      </c>
      <c r="E36" s="48" t="str">
        <f>VLOOKUP(Q36,[2]PROYECTOS!$G$1:$K$32,5,0)</f>
        <v>FUNCIONAMIENTO</v>
      </c>
      <c r="F36" s="48">
        <f>VLOOKUP(E36,[2]PROYECTOS!$K$1:$M$32,3,0)</f>
        <v>999999</v>
      </c>
      <c r="G36" s="49" t="s">
        <v>43</v>
      </c>
      <c r="H36" s="49">
        <f>VLOOKUP(Q36,[2]PROYECTOS!$V$1:$W$32,2,0)</f>
        <v>999999</v>
      </c>
      <c r="I36" s="50">
        <v>0</v>
      </c>
      <c r="J36" s="51" t="s">
        <v>1268</v>
      </c>
      <c r="K36" s="47" t="str">
        <f t="shared" ca="1" si="0"/>
        <v>CONTRATADO</v>
      </c>
      <c r="L36" s="47" t="s">
        <v>44</v>
      </c>
      <c r="M36" s="47" t="s">
        <v>1236</v>
      </c>
      <c r="N36" s="52" t="s">
        <v>1269</v>
      </c>
      <c r="O36" s="51" t="e">
        <f>VLOOKUP(N36,[2]!RUBROS[#All],3,0)</f>
        <v>#REF!</v>
      </c>
      <c r="P36" s="53" t="e">
        <f>VLOOKUP(N36,[2]!RUBROS[#All],2,0)</f>
        <v>#REF!</v>
      </c>
      <c r="Q36" s="47" t="str">
        <f t="shared" si="1"/>
        <v>00</v>
      </c>
      <c r="R36" s="47" t="str">
        <f t="shared" si="2"/>
        <v>0-101024</v>
      </c>
      <c r="S36" s="54">
        <v>12</v>
      </c>
      <c r="T36" s="57" t="s">
        <v>46</v>
      </c>
      <c r="U36" s="326" t="e">
        <f ca="1">_xlfn.XLOOKUP(PAA_4[[#This Row],[ITEM]],[2]Contrato!A:A,[2]Contrato!Q:Q,"",0)</f>
        <v>#NAME?</v>
      </c>
      <c r="V36" s="47" t="s">
        <v>47</v>
      </c>
      <c r="W36" s="47" t="s">
        <v>48</v>
      </c>
      <c r="X36" s="47" t="s">
        <v>48</v>
      </c>
      <c r="Y36" s="55" t="e">
        <f ca="1">_xlfn.XLOOKUP(PAA_4[[#This Row],[ITEM]],[2]Contrato!A:A,[2]Contrato!B:B,"",0)</f>
        <v>#NAME?</v>
      </c>
      <c r="Z36" s="47" t="e">
        <f ca="1">_xlfn.XLOOKUP(PAA_4[[#This Row],[ITEM]],[2]Contrato!A:A,[2]Contrato!G:G,"",0)</f>
        <v>#NAME?</v>
      </c>
      <c r="AA36" s="47" t="e">
        <f ca="1">_xlfn.XLOOKUP(PAA_4[[#This Row],[ITEM]],[2]Contrato!A:A,[2]Contrato!T:T,"",0)</f>
        <v>#NAME?</v>
      </c>
      <c r="AB36" s="55" t="e">
        <f ca="1">+MAX(PAA_4[[#This Row],[Comprometido Contrato]],PAA_4[[#This Row],[Comprometido Bolsa]])</f>
        <v>#NAME?</v>
      </c>
      <c r="AC36" s="55" t="str">
        <f t="shared" ca="1" si="3"/>
        <v/>
      </c>
      <c r="AD36" s="55" t="e">
        <f ca="1">IF(PAA_4[[#This Row],[ESTADO (formulado)]]="NO CONTRATADO",0,MAX(PAA_4[[#This Row],[Pago por Contrato]],PAA_4[[#This Row],[Pago por bolsa]]))</f>
        <v>#NAME?</v>
      </c>
      <c r="AE36" s="55" t="str">
        <f t="shared" ca="1" si="4"/>
        <v/>
      </c>
      <c r="AF36" s="47" t="e">
        <f t="shared" ca="1" si="5"/>
        <v>#NAME?</v>
      </c>
      <c r="AG36" s="47" t="str">
        <f t="shared" si="6"/>
        <v/>
      </c>
      <c r="AH36" s="54">
        <f>IF(Q36="22",IF(ISNUMBER(SEARCH("econ",PAA_4[[#This Row],[Actividad3]])),"Económico",IF(ISNUMBER(SEARCH("alim",PAA_4[[#This Row],[Actividad3]])),"Alimentación",IF(ISNUMBER(SEARCH("educ",PAA_4[[#This Row],[Actividad3]])),"Educativo","Técnico"))),0)</f>
        <v>0</v>
      </c>
      <c r="AI36" s="47" t="e" cm="1">
        <f t="array" aca="1" ref="AI36" ca="1">_xlfn.XLOOKUP(PAA_4[[#This Row],[RCP-RUBRO]],[2]!COMPROMISOS_2024[[#All],[concatenado]],[2]!COMPROMISOS_2024[[#All],[Total pagado]],"",0)</f>
        <v>#NAME?</v>
      </c>
      <c r="AJ36" s="56">
        <f>IF(PAA_4[[#This Row],[BOLSA]]=0,0,SUMIFS([2]!COMPROMISOS_2024[[#All],[Total pagado]],[2]!COMPROMISOS_2024[[#All],[Bolsa]],PAA_4[[#This Row],[BOLSA]],[2]!COMPROMISOS_2024[[#All],[rubro]],PAA_4[[#This Row],[RCP-RUBRO]]))</f>
        <v>0</v>
      </c>
      <c r="AK36" s="47" t="e" cm="1">
        <f t="array" aca="1" ref="AK36" ca="1">_xlfn.XLOOKUP(PAA_4[[#This Row],[RCP-RUBRO]],[2]!COMPROMISOS_2024[[#All],[concatenado]],[2]!COMPROMISOS_2024[[#All],[Total Comprometido]],"",0)</f>
        <v>#NAME?</v>
      </c>
      <c r="AL36" s="47">
        <f>IF(PAA_4[[#This Row],[BOLSA]]=0,0,SUMIFS([2]!COMPROMISOS_2024[[#All],[Total Comprometido]],[2]!COMPROMISOS_2024[[#All],[Bolsa]],PAA_4[[#This Row],[BOLSA]],[2]!COMPROMISOS_2024[[#All],[concatenado]],PAA_4[[#This Row],[RCP-RUBRO]]))</f>
        <v>0</v>
      </c>
    </row>
    <row r="37" spans="1:38" s="19" customFormat="1" ht="31.5" customHeight="1">
      <c r="A37" s="47">
        <v>16</v>
      </c>
      <c r="B37" s="47" t="s">
        <v>42</v>
      </c>
      <c r="C37" s="47" t="str">
        <f>VLOOKUP(PAA_4[[#This Row],[PROYECTO (formulado)2]],[2]PROYECTOS!$G$1:$L$32,6,0)</f>
        <v>SUBGERENCIA ADMINISTRATIVA Y FINANCIERA</v>
      </c>
      <c r="D37" s="47" t="str">
        <f>+IF(PAA_4[[#This Row],[UNIDAD DE CONTRATACION (formulado)]]="Subgerencia Administrativa y Financiera","FUNCIONAMIENTO","INVERSIÓN")</f>
        <v>FUNCIONAMIENTO</v>
      </c>
      <c r="E37" s="48" t="str">
        <f>VLOOKUP(Q37,[2]PROYECTOS!$G$1:$K$32,5,0)</f>
        <v>FUNCIONAMIENTO</v>
      </c>
      <c r="F37" s="48">
        <f>VLOOKUP(E37,[2]PROYECTOS!$K$1:$M$32,3,0)</f>
        <v>999999</v>
      </c>
      <c r="G37" s="49" t="s">
        <v>43</v>
      </c>
      <c r="H37" s="49">
        <f>VLOOKUP(Q37,[2]PROYECTOS!$V$1:$W$32,2,0)</f>
        <v>999999</v>
      </c>
      <c r="I37" s="50">
        <f>61345935-1345935</f>
        <v>60000000</v>
      </c>
      <c r="J37" s="51" t="s">
        <v>1270</v>
      </c>
      <c r="K37" s="47" t="str">
        <f t="shared" ca="1" si="0"/>
        <v>CONTRATADO</v>
      </c>
      <c r="L37" s="47" t="s">
        <v>44</v>
      </c>
      <c r="M37" s="47" t="s">
        <v>1236</v>
      </c>
      <c r="N37" s="52" t="s">
        <v>63</v>
      </c>
      <c r="O37" s="51" t="e">
        <f>VLOOKUP(N37,[2]!RUBROS[#All],3,0)</f>
        <v>#REF!</v>
      </c>
      <c r="P37" s="53" t="e">
        <f>VLOOKUP(N37,[2]!RUBROS[#All],2,0)</f>
        <v>#REF!</v>
      </c>
      <c r="Q37" s="47" t="str">
        <f t="shared" si="1"/>
        <v>00</v>
      </c>
      <c r="R37" s="47" t="str">
        <f t="shared" si="2"/>
        <v>0-205616</v>
      </c>
      <c r="S37" s="54">
        <v>12</v>
      </c>
      <c r="T37" s="57" t="s">
        <v>46</v>
      </c>
      <c r="U37" s="326" t="e">
        <f ca="1">_xlfn.XLOOKUP(PAA_4[[#This Row],[ITEM]],[2]Contrato!A:A,[2]Contrato!Q:Q,"",0)</f>
        <v>#NAME?</v>
      </c>
      <c r="V37" s="47" t="s">
        <v>47</v>
      </c>
      <c r="W37" s="47" t="s">
        <v>48</v>
      </c>
      <c r="X37" s="47" t="s">
        <v>48</v>
      </c>
      <c r="Y37" s="55" t="e">
        <f ca="1">_xlfn.XLOOKUP(PAA_4[[#This Row],[ITEM]],[2]Contrato!A:A,[2]Contrato!B:B,"",0)</f>
        <v>#NAME?</v>
      </c>
      <c r="Z37" s="47" t="e">
        <f ca="1">_xlfn.XLOOKUP(PAA_4[[#This Row],[ITEM]],[2]Contrato!A:A,[2]Contrato!G:G,"",0)</f>
        <v>#NAME?</v>
      </c>
      <c r="AA37" s="47" t="e">
        <f ca="1">_xlfn.XLOOKUP(PAA_4[[#This Row],[ITEM]],[2]Contrato!A:A,[2]Contrato!T:T,"",0)</f>
        <v>#NAME?</v>
      </c>
      <c r="AB37" s="55" t="e">
        <f ca="1">+MAX(PAA_4[[#This Row],[Comprometido Contrato]],PAA_4[[#This Row],[Comprometido Bolsa]])</f>
        <v>#NAME?</v>
      </c>
      <c r="AC37" s="55" t="str">
        <f t="shared" ca="1" si="3"/>
        <v/>
      </c>
      <c r="AD37" s="55" t="e">
        <f ca="1">IF(PAA_4[[#This Row],[ESTADO (formulado)]]="NO CONTRATADO",0,MAX(PAA_4[[#This Row],[Pago por Contrato]],PAA_4[[#This Row],[Pago por bolsa]]))</f>
        <v>#NAME?</v>
      </c>
      <c r="AE37" s="55" t="str">
        <f t="shared" ca="1" si="4"/>
        <v/>
      </c>
      <c r="AF37" s="47" t="e">
        <f t="shared" ca="1" si="5"/>
        <v>#NAME?</v>
      </c>
      <c r="AG37" s="47" t="str">
        <f t="shared" si="6"/>
        <v/>
      </c>
      <c r="AH37" s="54">
        <f>IF(Q37="22",IF(ISNUMBER(SEARCH("econ",PAA_4[[#This Row],[Actividad3]])),"Económico",IF(ISNUMBER(SEARCH("alim",PAA_4[[#This Row],[Actividad3]])),"Alimentación",IF(ISNUMBER(SEARCH("educ",PAA_4[[#This Row],[Actividad3]])),"Educativo","Técnico"))),0)</f>
        <v>0</v>
      </c>
      <c r="AI37" s="47" t="e" cm="1">
        <f t="array" aca="1" ref="AI37" ca="1">_xlfn.XLOOKUP(PAA_4[[#This Row],[RCP-RUBRO]],[2]!COMPROMISOS_2024[[#All],[concatenado]],[2]!COMPROMISOS_2024[[#All],[Total pagado]],"",0)</f>
        <v>#NAME?</v>
      </c>
      <c r="AJ37" s="56">
        <f>IF(PAA_4[[#This Row],[BOLSA]]=0,0,SUMIFS([2]!COMPROMISOS_2024[[#All],[Total pagado]],[2]!COMPROMISOS_2024[[#All],[Bolsa]],PAA_4[[#This Row],[BOLSA]],[2]!COMPROMISOS_2024[[#All],[rubro]],PAA_4[[#This Row],[RCP-RUBRO]]))</f>
        <v>0</v>
      </c>
      <c r="AK37" s="47" t="e" cm="1">
        <f t="array" aca="1" ref="AK37" ca="1">_xlfn.XLOOKUP(PAA_4[[#This Row],[RCP-RUBRO]],[2]!COMPROMISOS_2024[[#All],[concatenado]],[2]!COMPROMISOS_2024[[#All],[Total Comprometido]],"",0)</f>
        <v>#NAME?</v>
      </c>
      <c r="AL37" s="47">
        <f>IF(PAA_4[[#This Row],[BOLSA]]=0,0,SUMIFS([2]!COMPROMISOS_2024[[#All],[Total Comprometido]],[2]!COMPROMISOS_2024[[#All],[Bolsa]],PAA_4[[#This Row],[BOLSA]],[2]!COMPROMISOS_2024[[#All],[concatenado]],PAA_4[[#This Row],[RCP-RUBRO]]))</f>
        <v>0</v>
      </c>
    </row>
    <row r="38" spans="1:38" s="19" customFormat="1" ht="31.5" customHeight="1">
      <c r="A38" s="47">
        <v>16</v>
      </c>
      <c r="B38" s="47" t="s">
        <v>42</v>
      </c>
      <c r="C38" s="47" t="str">
        <f>VLOOKUP(PAA_4[[#This Row],[PROYECTO (formulado)2]],[2]PROYECTOS!$G$1:$L$32,6,0)</f>
        <v>SUBGERENCIA ADMINISTRATIVA Y FINANCIERA</v>
      </c>
      <c r="D38" s="47" t="str">
        <f>+IF(PAA_4[[#This Row],[UNIDAD DE CONTRATACION (formulado)]]="Subgerencia Administrativa y Financiera","FUNCIONAMIENTO","INVERSIÓN")</f>
        <v>FUNCIONAMIENTO</v>
      </c>
      <c r="E38" s="48" t="str">
        <f>VLOOKUP(Q38,[2]PROYECTOS!$G$1:$K$32,5,0)</f>
        <v>FUNCIONAMIENTO</v>
      </c>
      <c r="F38" s="48">
        <f>VLOOKUP(E38,[2]PROYECTOS!$K$1:$M$32,3,0)</f>
        <v>999999</v>
      </c>
      <c r="G38" s="49" t="s">
        <v>43</v>
      </c>
      <c r="H38" s="49">
        <f>VLOOKUP(Q38,[2]PROYECTOS!$V$1:$W$32,2,0)</f>
        <v>999999</v>
      </c>
      <c r="I38" s="50">
        <v>16205796</v>
      </c>
      <c r="J38" s="51" t="s">
        <v>1271</v>
      </c>
      <c r="K38" s="47" t="str">
        <f t="shared" ca="1" si="0"/>
        <v>CONTRATADO</v>
      </c>
      <c r="L38" s="47" t="s">
        <v>44</v>
      </c>
      <c r="M38" s="47" t="s">
        <v>1236</v>
      </c>
      <c r="N38" s="52" t="s">
        <v>1272</v>
      </c>
      <c r="O38" s="51" t="e">
        <f>VLOOKUP(N38,[2]!RUBROS[#All],3,0)</f>
        <v>#REF!</v>
      </c>
      <c r="P38" s="53" t="e">
        <f>VLOOKUP(N38,[2]!RUBROS[#All],2,0)</f>
        <v>#REF!</v>
      </c>
      <c r="Q38" s="47" t="str">
        <f t="shared" si="1"/>
        <v>00</v>
      </c>
      <c r="R38" s="47" t="str">
        <f t="shared" si="2"/>
        <v>0-101024</v>
      </c>
      <c r="S38" s="54">
        <v>12</v>
      </c>
      <c r="T38" s="57" t="s">
        <v>46</v>
      </c>
      <c r="U38" s="326" t="e">
        <f ca="1">_xlfn.XLOOKUP(PAA_4[[#This Row],[ITEM]],[2]Contrato!A:A,[2]Contrato!Q:Q,"",0)</f>
        <v>#NAME?</v>
      </c>
      <c r="V38" s="47" t="s">
        <v>47</v>
      </c>
      <c r="W38" s="47" t="s">
        <v>48</v>
      </c>
      <c r="X38" s="47" t="s">
        <v>48</v>
      </c>
      <c r="Y38" s="55" t="e">
        <f ca="1">_xlfn.XLOOKUP(PAA_4[[#This Row],[ITEM]],[2]Contrato!A:A,[2]Contrato!B:B,"",0)</f>
        <v>#NAME?</v>
      </c>
      <c r="Z38" s="47" t="e">
        <f ca="1">_xlfn.XLOOKUP(PAA_4[[#This Row],[ITEM]],[2]Contrato!A:A,[2]Contrato!G:G,"",0)</f>
        <v>#NAME?</v>
      </c>
      <c r="AA38" s="47" t="e">
        <f ca="1">_xlfn.XLOOKUP(PAA_4[[#This Row],[ITEM]],[2]Contrato!A:A,[2]Contrato!T:T,"",0)</f>
        <v>#NAME?</v>
      </c>
      <c r="AB38" s="55" t="e">
        <f ca="1">+MAX(PAA_4[[#This Row],[Comprometido Contrato]],PAA_4[[#This Row],[Comprometido Bolsa]])</f>
        <v>#NAME?</v>
      </c>
      <c r="AC38" s="55" t="str">
        <f t="shared" ca="1" si="3"/>
        <v/>
      </c>
      <c r="AD38" s="55" t="e">
        <f ca="1">IF(PAA_4[[#This Row],[ESTADO (formulado)]]="NO CONTRATADO",0,MAX(PAA_4[[#This Row],[Pago por Contrato]],PAA_4[[#This Row],[Pago por bolsa]]))</f>
        <v>#NAME?</v>
      </c>
      <c r="AE38" s="55" t="str">
        <f t="shared" ca="1" si="4"/>
        <v/>
      </c>
      <c r="AF38" s="47" t="e">
        <f t="shared" ca="1" si="5"/>
        <v>#NAME?</v>
      </c>
      <c r="AG38" s="47" t="str">
        <f t="shared" si="6"/>
        <v/>
      </c>
      <c r="AH38" s="54">
        <f>IF(Q38="22",IF(ISNUMBER(SEARCH("econ",PAA_4[[#This Row],[Actividad3]])),"Económico",IF(ISNUMBER(SEARCH("alim",PAA_4[[#This Row],[Actividad3]])),"Alimentación",IF(ISNUMBER(SEARCH("educ",PAA_4[[#This Row],[Actividad3]])),"Educativo","Técnico"))),0)</f>
        <v>0</v>
      </c>
      <c r="AI38" s="47" t="e" cm="1">
        <f t="array" aca="1" ref="AI38" ca="1">_xlfn.XLOOKUP(PAA_4[[#This Row],[RCP-RUBRO]],[2]!COMPROMISOS_2024[[#All],[concatenado]],[2]!COMPROMISOS_2024[[#All],[Total pagado]],"",0)</f>
        <v>#NAME?</v>
      </c>
      <c r="AJ38" s="56">
        <f>IF(PAA_4[[#This Row],[BOLSA]]=0,0,SUMIFS([2]!COMPROMISOS_2024[[#All],[Total pagado]],[2]!COMPROMISOS_2024[[#All],[Bolsa]],PAA_4[[#This Row],[BOLSA]],[2]!COMPROMISOS_2024[[#All],[rubro]],PAA_4[[#This Row],[RCP-RUBRO]]))</f>
        <v>0</v>
      </c>
      <c r="AK38" s="47" t="e" cm="1">
        <f t="array" aca="1" ref="AK38" ca="1">_xlfn.XLOOKUP(PAA_4[[#This Row],[RCP-RUBRO]],[2]!COMPROMISOS_2024[[#All],[concatenado]],[2]!COMPROMISOS_2024[[#All],[Total Comprometido]],"",0)</f>
        <v>#NAME?</v>
      </c>
      <c r="AL38" s="47">
        <f>IF(PAA_4[[#This Row],[BOLSA]]=0,0,SUMIFS([2]!COMPROMISOS_2024[[#All],[Total Comprometido]],[2]!COMPROMISOS_2024[[#All],[Bolsa]],PAA_4[[#This Row],[BOLSA]],[2]!COMPROMISOS_2024[[#All],[concatenado]],PAA_4[[#This Row],[RCP-RUBRO]]))</f>
        <v>0</v>
      </c>
    </row>
    <row r="39" spans="1:38" s="19" customFormat="1" ht="31.5" customHeight="1">
      <c r="A39" s="47">
        <v>17</v>
      </c>
      <c r="B39" s="47" t="s">
        <v>42</v>
      </c>
      <c r="C39" s="47" t="str">
        <f>VLOOKUP(PAA_4[[#This Row],[PROYECTO (formulado)2]],[2]PROYECTOS!$G$1:$L$32,6,0)</f>
        <v>SUBGERENCIA ADMINISTRATIVA Y FINANCIERA</v>
      </c>
      <c r="D39" s="47" t="str">
        <f>+IF(PAA_4[[#This Row],[UNIDAD DE CONTRATACION (formulado)]]="Subgerencia Administrativa y Financiera","FUNCIONAMIENTO","INVERSIÓN")</f>
        <v>FUNCIONAMIENTO</v>
      </c>
      <c r="E39" s="48" t="str">
        <f>VLOOKUP(Q39,[2]PROYECTOS!$G$1:$K$32,5,0)</f>
        <v>FUNCIONAMIENTO</v>
      </c>
      <c r="F39" s="48">
        <f>VLOOKUP(E39,[2]PROYECTOS!$K$1:$M$32,3,0)</f>
        <v>999999</v>
      </c>
      <c r="G39" s="49" t="s">
        <v>43</v>
      </c>
      <c r="H39" s="49">
        <f>VLOOKUP(Q39,[2]PROYECTOS!$V$1:$W$32,2,0)</f>
        <v>999999</v>
      </c>
      <c r="I39" s="50">
        <v>87000000</v>
      </c>
      <c r="J39" s="51" t="s">
        <v>1273</v>
      </c>
      <c r="K39" s="47" t="str">
        <f t="shared" ca="1" si="0"/>
        <v>CONTRATADO</v>
      </c>
      <c r="L39" s="47" t="s">
        <v>44</v>
      </c>
      <c r="M39" s="47" t="s">
        <v>1236</v>
      </c>
      <c r="N39" s="52" t="s">
        <v>64</v>
      </c>
      <c r="O39" s="51" t="e">
        <f>VLOOKUP(N39,[2]!RUBROS[#All],3,0)</f>
        <v>#REF!</v>
      </c>
      <c r="P39" s="53" t="e">
        <f>VLOOKUP(N39,[2]!RUBROS[#All],2,0)</f>
        <v>#REF!</v>
      </c>
      <c r="Q39" s="47" t="str">
        <f t="shared" si="1"/>
        <v>00</v>
      </c>
      <c r="R39" s="47" t="str">
        <f t="shared" si="2"/>
        <v>0-205616</v>
      </c>
      <c r="S39" s="54">
        <v>12</v>
      </c>
      <c r="T39" s="57" t="s">
        <v>46</v>
      </c>
      <c r="U39" s="326" t="e">
        <f ca="1">_xlfn.XLOOKUP(PAA_4[[#This Row],[ITEM]],[2]Contrato!A:A,[2]Contrato!Q:Q,"",0)</f>
        <v>#NAME?</v>
      </c>
      <c r="V39" s="47" t="s">
        <v>47</v>
      </c>
      <c r="W39" s="47" t="s">
        <v>48</v>
      </c>
      <c r="X39" s="47" t="s">
        <v>48</v>
      </c>
      <c r="Y39" s="55" t="e">
        <f ca="1">_xlfn.XLOOKUP(PAA_4[[#This Row],[ITEM]],[2]Contrato!A:A,[2]Contrato!B:B,"",0)</f>
        <v>#NAME?</v>
      </c>
      <c r="Z39" s="47" t="e">
        <f ca="1">_xlfn.XLOOKUP(PAA_4[[#This Row],[ITEM]],[2]Contrato!A:A,[2]Contrato!G:G,"",0)</f>
        <v>#NAME?</v>
      </c>
      <c r="AA39" s="47" t="e">
        <f ca="1">_xlfn.XLOOKUP(PAA_4[[#This Row],[ITEM]],[2]Contrato!A:A,[2]Contrato!T:T,"",0)</f>
        <v>#NAME?</v>
      </c>
      <c r="AB39" s="55" t="e">
        <f ca="1">+MAX(PAA_4[[#This Row],[Comprometido Contrato]],PAA_4[[#This Row],[Comprometido Bolsa]])</f>
        <v>#NAME?</v>
      </c>
      <c r="AC39" s="55" t="str">
        <f t="shared" ca="1" si="3"/>
        <v/>
      </c>
      <c r="AD39" s="55" t="e">
        <f ca="1">IF(PAA_4[[#This Row],[ESTADO (formulado)]]="NO CONTRATADO",0,MAX(PAA_4[[#This Row],[Pago por Contrato]],PAA_4[[#This Row],[Pago por bolsa]]))</f>
        <v>#NAME?</v>
      </c>
      <c r="AE39" s="55" t="str">
        <f t="shared" ca="1" si="4"/>
        <v/>
      </c>
      <c r="AF39" s="47" t="e">
        <f t="shared" ca="1" si="5"/>
        <v>#NAME?</v>
      </c>
      <c r="AG39" s="47" t="str">
        <f t="shared" si="6"/>
        <v/>
      </c>
      <c r="AH39" s="54">
        <f>IF(Q39="22",IF(ISNUMBER(SEARCH("econ",PAA_4[[#This Row],[Actividad3]])),"Económico",IF(ISNUMBER(SEARCH("alim",PAA_4[[#This Row],[Actividad3]])),"Alimentación",IF(ISNUMBER(SEARCH("educ",PAA_4[[#This Row],[Actividad3]])),"Educativo","Técnico"))),0)</f>
        <v>0</v>
      </c>
      <c r="AI39" s="47" t="e" cm="1">
        <f t="array" aca="1" ref="AI39" ca="1">_xlfn.XLOOKUP(PAA_4[[#This Row],[RCP-RUBRO]],[2]!COMPROMISOS_2024[[#All],[concatenado]],[2]!COMPROMISOS_2024[[#All],[Total pagado]],"",0)</f>
        <v>#NAME?</v>
      </c>
      <c r="AJ39" s="56">
        <f>IF(PAA_4[[#This Row],[BOLSA]]=0,0,SUMIFS([2]!COMPROMISOS_2024[[#All],[Total pagado]],[2]!COMPROMISOS_2024[[#All],[Bolsa]],PAA_4[[#This Row],[BOLSA]],[2]!COMPROMISOS_2024[[#All],[rubro]],PAA_4[[#This Row],[RCP-RUBRO]]))</f>
        <v>0</v>
      </c>
      <c r="AK39" s="47" t="e" cm="1">
        <f t="array" aca="1" ref="AK39" ca="1">_xlfn.XLOOKUP(PAA_4[[#This Row],[RCP-RUBRO]],[2]!COMPROMISOS_2024[[#All],[concatenado]],[2]!COMPROMISOS_2024[[#All],[Total Comprometido]],"",0)</f>
        <v>#NAME?</v>
      </c>
      <c r="AL39" s="47">
        <f>IF(PAA_4[[#This Row],[BOLSA]]=0,0,SUMIFS([2]!COMPROMISOS_2024[[#All],[Total Comprometido]],[2]!COMPROMISOS_2024[[#All],[Bolsa]],PAA_4[[#This Row],[BOLSA]],[2]!COMPROMISOS_2024[[#All],[concatenado]],PAA_4[[#This Row],[RCP-RUBRO]]))</f>
        <v>0</v>
      </c>
    </row>
    <row r="40" spans="1:38" s="19" customFormat="1" ht="31.5" customHeight="1">
      <c r="A40" s="47">
        <v>17</v>
      </c>
      <c r="B40" s="47" t="s">
        <v>42</v>
      </c>
      <c r="C40" s="47" t="str">
        <f>VLOOKUP(PAA_4[[#This Row],[PROYECTO (formulado)2]],[2]PROYECTOS!$G$1:$L$32,6,0)</f>
        <v>SUBGERENCIA ADMINISTRATIVA Y FINANCIERA</v>
      </c>
      <c r="D40" s="47" t="str">
        <f>+IF(PAA_4[[#This Row],[UNIDAD DE CONTRATACION (formulado)]]="Subgerencia Administrativa y Financiera","FUNCIONAMIENTO","INVERSIÓN")</f>
        <v>FUNCIONAMIENTO</v>
      </c>
      <c r="E40" s="48" t="str">
        <f>VLOOKUP(Q40,[2]PROYECTOS!$G$1:$K$32,5,0)</f>
        <v>FUNCIONAMIENTO</v>
      </c>
      <c r="F40" s="48">
        <f>VLOOKUP(E40,[2]PROYECTOS!$K$1:$M$32,3,0)</f>
        <v>999999</v>
      </c>
      <c r="G40" s="49" t="s">
        <v>43</v>
      </c>
      <c r="H40" s="49">
        <f>VLOOKUP(Q40,[2]PROYECTOS!$V$1:$W$32,2,0)</f>
        <v>999999</v>
      </c>
      <c r="I40" s="50">
        <v>11424084</v>
      </c>
      <c r="J40" s="51" t="s">
        <v>1273</v>
      </c>
      <c r="K40" s="47" t="str">
        <f t="shared" ca="1" si="0"/>
        <v>CONTRATADO</v>
      </c>
      <c r="L40" s="47" t="s">
        <v>44</v>
      </c>
      <c r="M40" s="47" t="s">
        <v>1236</v>
      </c>
      <c r="N40" s="52" t="s">
        <v>1274</v>
      </c>
      <c r="O40" s="51" t="e">
        <f>VLOOKUP(N40,[2]!RUBROS[#All],3,0)</f>
        <v>#REF!</v>
      </c>
      <c r="P40" s="53" t="e">
        <f>VLOOKUP(N40,[2]!RUBROS[#All],2,0)</f>
        <v>#REF!</v>
      </c>
      <c r="Q40" s="47" t="str">
        <f t="shared" si="1"/>
        <v>00</v>
      </c>
      <c r="R40" s="47" t="str">
        <f t="shared" si="2"/>
        <v>0-101024</v>
      </c>
      <c r="S40" s="54">
        <v>12</v>
      </c>
      <c r="T40" s="57" t="s">
        <v>46</v>
      </c>
      <c r="U40" s="326" t="e">
        <f ca="1">_xlfn.XLOOKUP(PAA_4[[#This Row],[ITEM]],[2]Contrato!A:A,[2]Contrato!Q:Q,"",0)</f>
        <v>#NAME?</v>
      </c>
      <c r="V40" s="47" t="s">
        <v>47</v>
      </c>
      <c r="W40" s="47" t="s">
        <v>48</v>
      </c>
      <c r="X40" s="47" t="s">
        <v>48</v>
      </c>
      <c r="Y40" s="55" t="e">
        <f ca="1">_xlfn.XLOOKUP(PAA_4[[#This Row],[ITEM]],[2]Contrato!A:A,[2]Contrato!B:B,"",0)</f>
        <v>#NAME?</v>
      </c>
      <c r="Z40" s="47" t="e">
        <f ca="1">_xlfn.XLOOKUP(PAA_4[[#This Row],[ITEM]],[2]Contrato!A:A,[2]Contrato!G:G,"",0)</f>
        <v>#NAME?</v>
      </c>
      <c r="AA40" s="47" t="e">
        <f ca="1">_xlfn.XLOOKUP(PAA_4[[#This Row],[ITEM]],[2]Contrato!A:A,[2]Contrato!T:T,"",0)</f>
        <v>#NAME?</v>
      </c>
      <c r="AB40" s="55" t="e">
        <f ca="1">+MAX(PAA_4[[#This Row],[Comprometido Contrato]],PAA_4[[#This Row],[Comprometido Bolsa]])</f>
        <v>#NAME?</v>
      </c>
      <c r="AC40" s="55" t="str">
        <f t="shared" ca="1" si="3"/>
        <v/>
      </c>
      <c r="AD40" s="55" t="e">
        <f ca="1">IF(PAA_4[[#This Row],[ESTADO (formulado)]]="NO CONTRATADO",0,MAX(PAA_4[[#This Row],[Pago por Contrato]],PAA_4[[#This Row],[Pago por bolsa]]))</f>
        <v>#NAME?</v>
      </c>
      <c r="AE40" s="55" t="str">
        <f t="shared" ca="1" si="4"/>
        <v/>
      </c>
      <c r="AF40" s="47" t="e">
        <f t="shared" ca="1" si="5"/>
        <v>#NAME?</v>
      </c>
      <c r="AG40" s="47" t="str">
        <f t="shared" si="6"/>
        <v/>
      </c>
      <c r="AH40" s="54">
        <f>IF(Q40="22",IF(ISNUMBER(SEARCH("econ",PAA_4[[#This Row],[Actividad3]])),"Económico",IF(ISNUMBER(SEARCH("alim",PAA_4[[#This Row],[Actividad3]])),"Alimentación",IF(ISNUMBER(SEARCH("educ",PAA_4[[#This Row],[Actividad3]])),"Educativo","Técnico"))),0)</f>
        <v>0</v>
      </c>
      <c r="AI40" s="47" t="e" cm="1">
        <f t="array" aca="1" ref="AI40" ca="1">_xlfn.XLOOKUP(PAA_4[[#This Row],[RCP-RUBRO]],[2]!COMPROMISOS_2024[[#All],[concatenado]],[2]!COMPROMISOS_2024[[#All],[Total pagado]],"",0)</f>
        <v>#NAME?</v>
      </c>
      <c r="AJ40" s="56">
        <f>IF(PAA_4[[#This Row],[BOLSA]]=0,0,SUMIFS([2]!COMPROMISOS_2024[[#All],[Total pagado]],[2]!COMPROMISOS_2024[[#All],[Bolsa]],PAA_4[[#This Row],[BOLSA]],[2]!COMPROMISOS_2024[[#All],[rubro]],PAA_4[[#This Row],[RCP-RUBRO]]))</f>
        <v>0</v>
      </c>
      <c r="AK40" s="47" t="e" cm="1">
        <f t="array" aca="1" ref="AK40" ca="1">_xlfn.XLOOKUP(PAA_4[[#This Row],[RCP-RUBRO]],[2]!COMPROMISOS_2024[[#All],[concatenado]],[2]!COMPROMISOS_2024[[#All],[Total Comprometido]],"",0)</f>
        <v>#NAME?</v>
      </c>
      <c r="AL40" s="47">
        <f>IF(PAA_4[[#This Row],[BOLSA]]=0,0,SUMIFS([2]!COMPROMISOS_2024[[#All],[Total Comprometido]],[2]!COMPROMISOS_2024[[#All],[Bolsa]],PAA_4[[#This Row],[BOLSA]],[2]!COMPROMISOS_2024[[#All],[concatenado]],PAA_4[[#This Row],[RCP-RUBRO]]))</f>
        <v>0</v>
      </c>
    </row>
    <row r="41" spans="1:38" s="19" customFormat="1" ht="31.5" customHeight="1">
      <c r="A41" s="47">
        <v>18</v>
      </c>
      <c r="B41" s="47" t="s">
        <v>42</v>
      </c>
      <c r="C41" s="47" t="str">
        <f>VLOOKUP(PAA_4[[#This Row],[PROYECTO (formulado)2]],[2]PROYECTOS!$G$1:$L$32,6,0)</f>
        <v>SUBGERENCIA ADMINISTRATIVA Y FINANCIERA</v>
      </c>
      <c r="D41" s="47" t="str">
        <f>+IF(PAA_4[[#This Row],[UNIDAD DE CONTRATACION (formulado)]]="Subgerencia Administrativa y Financiera","FUNCIONAMIENTO","INVERSIÓN")</f>
        <v>FUNCIONAMIENTO</v>
      </c>
      <c r="E41" s="48" t="str">
        <f>VLOOKUP(Q41,[2]PROYECTOS!$G$1:$K$32,5,0)</f>
        <v>FUNCIONAMIENTO</v>
      </c>
      <c r="F41" s="48">
        <f>VLOOKUP(E41,[2]PROYECTOS!$K$1:$M$32,3,0)</f>
        <v>999999</v>
      </c>
      <c r="G41" s="49" t="s">
        <v>43</v>
      </c>
      <c r="H41" s="49">
        <f>VLOOKUP(Q41,[2]PROYECTOS!$V$1:$W$32,2,0)</f>
        <v>999999</v>
      </c>
      <c r="I41" s="50">
        <v>60000000</v>
      </c>
      <c r="J41" s="51" t="s">
        <v>1275</v>
      </c>
      <c r="K41" s="47" t="str">
        <f t="shared" ca="1" si="0"/>
        <v>CONTRATADO</v>
      </c>
      <c r="L41" s="47" t="s">
        <v>44</v>
      </c>
      <c r="M41" s="47" t="s">
        <v>1236</v>
      </c>
      <c r="N41" s="52" t="s">
        <v>65</v>
      </c>
      <c r="O41" s="51" t="e">
        <f>VLOOKUP(N41,[2]!RUBROS[#All],3,0)</f>
        <v>#REF!</v>
      </c>
      <c r="P41" s="53" t="e">
        <f>VLOOKUP(N41,[2]!RUBROS[#All],2,0)</f>
        <v>#REF!</v>
      </c>
      <c r="Q41" s="47" t="str">
        <f t="shared" si="1"/>
        <v>00</v>
      </c>
      <c r="R41" s="47" t="str">
        <f t="shared" si="2"/>
        <v>0-205616</v>
      </c>
      <c r="S41" s="54">
        <v>12</v>
      </c>
      <c r="T41" s="57" t="s">
        <v>46</v>
      </c>
      <c r="U41" s="326" t="e">
        <f ca="1">_xlfn.XLOOKUP(PAA_4[[#This Row],[ITEM]],[2]Contrato!A:A,[2]Contrato!Q:Q,"",0)</f>
        <v>#NAME?</v>
      </c>
      <c r="V41" s="47" t="s">
        <v>47</v>
      </c>
      <c r="W41" s="47" t="s">
        <v>48</v>
      </c>
      <c r="X41" s="47" t="s">
        <v>48</v>
      </c>
      <c r="Y41" s="55" t="e">
        <f ca="1">_xlfn.XLOOKUP(PAA_4[[#This Row],[ITEM]],[2]Contrato!A:A,[2]Contrato!B:B,"",0)</f>
        <v>#NAME?</v>
      </c>
      <c r="Z41" s="47" t="e">
        <f ca="1">_xlfn.XLOOKUP(PAA_4[[#This Row],[ITEM]],[2]Contrato!A:A,[2]Contrato!G:G,"",0)</f>
        <v>#NAME?</v>
      </c>
      <c r="AA41" s="47" t="e">
        <f ca="1">_xlfn.XLOOKUP(PAA_4[[#This Row],[ITEM]],[2]Contrato!A:A,[2]Contrato!T:T,"",0)</f>
        <v>#NAME?</v>
      </c>
      <c r="AB41" s="55" t="e">
        <f ca="1">+MAX(PAA_4[[#This Row],[Comprometido Contrato]],PAA_4[[#This Row],[Comprometido Bolsa]])</f>
        <v>#NAME?</v>
      </c>
      <c r="AC41" s="55" t="str">
        <f t="shared" ca="1" si="3"/>
        <v/>
      </c>
      <c r="AD41" s="55" t="e">
        <f ca="1">IF(PAA_4[[#This Row],[ESTADO (formulado)]]="NO CONTRATADO",0,MAX(PAA_4[[#This Row],[Pago por Contrato]],PAA_4[[#This Row],[Pago por bolsa]]))</f>
        <v>#NAME?</v>
      </c>
      <c r="AE41" s="55" t="str">
        <f t="shared" ca="1" si="4"/>
        <v/>
      </c>
      <c r="AF41" s="47" t="e">
        <f t="shared" ca="1" si="5"/>
        <v>#NAME?</v>
      </c>
      <c r="AG41" s="47" t="str">
        <f t="shared" si="6"/>
        <v/>
      </c>
      <c r="AH41" s="54">
        <f>IF(Q41="22",IF(ISNUMBER(SEARCH("econ",PAA_4[[#This Row],[Actividad3]])),"Económico",IF(ISNUMBER(SEARCH("alim",PAA_4[[#This Row],[Actividad3]])),"Alimentación",IF(ISNUMBER(SEARCH("educ",PAA_4[[#This Row],[Actividad3]])),"Educativo","Técnico"))),0)</f>
        <v>0</v>
      </c>
      <c r="AI41" s="47" t="e" cm="1">
        <f t="array" aca="1" ref="AI41" ca="1">_xlfn.XLOOKUP(PAA_4[[#This Row],[RCP-RUBRO]],[2]!COMPROMISOS_2024[[#All],[concatenado]],[2]!COMPROMISOS_2024[[#All],[Total pagado]],"",0)</f>
        <v>#NAME?</v>
      </c>
      <c r="AJ41" s="56">
        <f>IF(PAA_4[[#This Row],[BOLSA]]=0,0,SUMIFS([2]!COMPROMISOS_2024[[#All],[Total pagado]],[2]!COMPROMISOS_2024[[#All],[Bolsa]],PAA_4[[#This Row],[BOLSA]],[2]!COMPROMISOS_2024[[#All],[rubro]],PAA_4[[#This Row],[RCP-RUBRO]]))</f>
        <v>0</v>
      </c>
      <c r="AK41" s="47" t="e" cm="1">
        <f t="array" aca="1" ref="AK41" ca="1">_xlfn.XLOOKUP(PAA_4[[#This Row],[RCP-RUBRO]],[2]!COMPROMISOS_2024[[#All],[concatenado]],[2]!COMPROMISOS_2024[[#All],[Total Comprometido]],"",0)</f>
        <v>#NAME?</v>
      </c>
      <c r="AL41" s="47">
        <f>IF(PAA_4[[#This Row],[BOLSA]]=0,0,SUMIFS([2]!COMPROMISOS_2024[[#All],[Total Comprometido]],[2]!COMPROMISOS_2024[[#All],[Bolsa]],PAA_4[[#This Row],[BOLSA]],[2]!COMPROMISOS_2024[[#All],[concatenado]],PAA_4[[#This Row],[RCP-RUBRO]]))</f>
        <v>0</v>
      </c>
    </row>
    <row r="42" spans="1:38" s="19" customFormat="1" ht="31.5" customHeight="1">
      <c r="A42" s="47">
        <v>18</v>
      </c>
      <c r="B42" s="47" t="s">
        <v>42</v>
      </c>
      <c r="C42" s="47" t="str">
        <f>VLOOKUP(PAA_4[[#This Row],[PROYECTO (formulado)2]],[2]PROYECTOS!$G$1:$L$32,6,0)</f>
        <v>SUBGERENCIA ADMINISTRATIVA Y FINANCIERA</v>
      </c>
      <c r="D42" s="47" t="str">
        <f>+IF(PAA_4[[#This Row],[UNIDAD DE CONTRATACION (formulado)]]="Subgerencia Administrativa y Financiera","FUNCIONAMIENTO","INVERSIÓN")</f>
        <v>FUNCIONAMIENTO</v>
      </c>
      <c r="E42" s="48" t="str">
        <f>VLOOKUP(Q42,[2]PROYECTOS!$G$1:$K$32,5,0)</f>
        <v>FUNCIONAMIENTO</v>
      </c>
      <c r="F42" s="48">
        <f>VLOOKUP(E42,[2]PROYECTOS!$K$1:$M$32,3,0)</f>
        <v>999999</v>
      </c>
      <c r="G42" s="49" t="s">
        <v>43</v>
      </c>
      <c r="H42" s="49">
        <f>VLOOKUP(Q42,[2]PROYECTOS!$V$1:$W$32,2,0)</f>
        <v>999999</v>
      </c>
      <c r="I42" s="50">
        <v>3862148</v>
      </c>
      <c r="J42" s="51" t="s">
        <v>1275</v>
      </c>
      <c r="K42" s="47" t="str">
        <f t="shared" ca="1" si="0"/>
        <v>CONTRATADO</v>
      </c>
      <c r="L42" s="47" t="s">
        <v>44</v>
      </c>
      <c r="M42" s="47" t="s">
        <v>1236</v>
      </c>
      <c r="N42" s="52" t="s">
        <v>1276</v>
      </c>
      <c r="O42" s="51" t="e">
        <f>VLOOKUP(N42,[2]!RUBROS[#All],3,0)</f>
        <v>#REF!</v>
      </c>
      <c r="P42" s="53" t="e">
        <f>VLOOKUP(N42,[2]!RUBROS[#All],2,0)</f>
        <v>#REF!</v>
      </c>
      <c r="Q42" s="47" t="str">
        <f t="shared" si="1"/>
        <v>00</v>
      </c>
      <c r="R42" s="47" t="str">
        <f t="shared" si="2"/>
        <v>0-101024</v>
      </c>
      <c r="S42" s="54">
        <v>12</v>
      </c>
      <c r="T42" s="57" t="s">
        <v>46</v>
      </c>
      <c r="U42" s="326" t="e">
        <f ca="1">_xlfn.XLOOKUP(PAA_4[[#This Row],[ITEM]],[2]Contrato!A:A,[2]Contrato!Q:Q,"",0)</f>
        <v>#NAME?</v>
      </c>
      <c r="V42" s="47" t="s">
        <v>47</v>
      </c>
      <c r="W42" s="47" t="s">
        <v>48</v>
      </c>
      <c r="X42" s="47" t="s">
        <v>48</v>
      </c>
      <c r="Y42" s="55" t="e">
        <f ca="1">_xlfn.XLOOKUP(PAA_4[[#This Row],[ITEM]],[2]Contrato!A:A,[2]Contrato!B:B,"",0)</f>
        <v>#NAME?</v>
      </c>
      <c r="Z42" s="47" t="e">
        <f ca="1">_xlfn.XLOOKUP(PAA_4[[#This Row],[ITEM]],[2]Contrato!A:A,[2]Contrato!G:G,"",0)</f>
        <v>#NAME?</v>
      </c>
      <c r="AA42" s="47" t="e">
        <f ca="1">_xlfn.XLOOKUP(PAA_4[[#This Row],[ITEM]],[2]Contrato!A:A,[2]Contrato!T:T,"",0)</f>
        <v>#NAME?</v>
      </c>
      <c r="AB42" s="55" t="e">
        <f ca="1">+MAX(PAA_4[[#This Row],[Comprometido Contrato]],PAA_4[[#This Row],[Comprometido Bolsa]])</f>
        <v>#NAME?</v>
      </c>
      <c r="AC42" s="55" t="str">
        <f t="shared" ca="1" si="3"/>
        <v/>
      </c>
      <c r="AD42" s="55" t="e">
        <f ca="1">IF(PAA_4[[#This Row],[ESTADO (formulado)]]="NO CONTRATADO",0,MAX(PAA_4[[#This Row],[Pago por Contrato]],PAA_4[[#This Row],[Pago por bolsa]]))</f>
        <v>#NAME?</v>
      </c>
      <c r="AE42" s="55" t="str">
        <f t="shared" ca="1" si="4"/>
        <v/>
      </c>
      <c r="AF42" s="47" t="e">
        <f t="shared" ca="1" si="5"/>
        <v>#NAME?</v>
      </c>
      <c r="AG42" s="47" t="str">
        <f t="shared" si="6"/>
        <v/>
      </c>
      <c r="AH42" s="54">
        <f>IF(Q42="22",IF(ISNUMBER(SEARCH("econ",PAA_4[[#This Row],[Actividad3]])),"Económico",IF(ISNUMBER(SEARCH("alim",PAA_4[[#This Row],[Actividad3]])),"Alimentación",IF(ISNUMBER(SEARCH("educ",PAA_4[[#This Row],[Actividad3]])),"Educativo","Técnico"))),0)</f>
        <v>0</v>
      </c>
      <c r="AI42" s="47" t="e" cm="1">
        <f t="array" aca="1" ref="AI42" ca="1">_xlfn.XLOOKUP(PAA_4[[#This Row],[RCP-RUBRO]],[2]!COMPROMISOS_2024[[#All],[concatenado]],[2]!COMPROMISOS_2024[[#All],[Total pagado]],"",0)</f>
        <v>#NAME?</v>
      </c>
      <c r="AJ42" s="56">
        <f>IF(PAA_4[[#This Row],[BOLSA]]=0,0,SUMIFS([2]!COMPROMISOS_2024[[#All],[Total pagado]],[2]!COMPROMISOS_2024[[#All],[Bolsa]],PAA_4[[#This Row],[BOLSA]],[2]!COMPROMISOS_2024[[#All],[rubro]],PAA_4[[#This Row],[RCP-RUBRO]]))</f>
        <v>0</v>
      </c>
      <c r="AK42" s="47" t="e" cm="1">
        <f t="array" aca="1" ref="AK42" ca="1">_xlfn.XLOOKUP(PAA_4[[#This Row],[RCP-RUBRO]],[2]!COMPROMISOS_2024[[#All],[concatenado]],[2]!COMPROMISOS_2024[[#All],[Total Comprometido]],"",0)</f>
        <v>#NAME?</v>
      </c>
      <c r="AL42" s="47">
        <f>IF(PAA_4[[#This Row],[BOLSA]]=0,0,SUMIFS([2]!COMPROMISOS_2024[[#All],[Total Comprometido]],[2]!COMPROMISOS_2024[[#All],[Bolsa]],PAA_4[[#This Row],[BOLSA]],[2]!COMPROMISOS_2024[[#All],[concatenado]],PAA_4[[#This Row],[RCP-RUBRO]]))</f>
        <v>0</v>
      </c>
    </row>
    <row r="43" spans="1:38" s="19" customFormat="1" ht="31.5" customHeight="1">
      <c r="A43" s="47">
        <v>19</v>
      </c>
      <c r="B43" s="47" t="s">
        <v>42</v>
      </c>
      <c r="C43" s="47" t="str">
        <f>VLOOKUP(PAA_4[[#This Row],[PROYECTO (formulado)2]],[2]PROYECTOS!$G$1:$L$32,6,0)</f>
        <v>SUBGERENCIA ADMINISTRATIVA Y FINANCIERA</v>
      </c>
      <c r="D43" s="47" t="str">
        <f>+IF(PAA_4[[#This Row],[UNIDAD DE CONTRATACION (formulado)]]="Subgerencia Administrativa y Financiera","FUNCIONAMIENTO","INVERSIÓN")</f>
        <v>FUNCIONAMIENTO</v>
      </c>
      <c r="E43" s="48" t="str">
        <f>VLOOKUP(Q43,[2]PROYECTOS!$G$1:$K$32,5,0)</f>
        <v>FUNCIONAMIENTO</v>
      </c>
      <c r="F43" s="48">
        <f>VLOOKUP(E43,[2]PROYECTOS!$K$1:$M$32,3,0)</f>
        <v>999999</v>
      </c>
      <c r="G43" s="49" t="s">
        <v>43</v>
      </c>
      <c r="H43" s="49">
        <f>VLOOKUP(Q43,[2]PROYECTOS!$V$1:$W$32,2,0)</f>
        <v>999999</v>
      </c>
      <c r="I43" s="50">
        <v>21000000</v>
      </c>
      <c r="J43" s="51" t="s">
        <v>1277</v>
      </c>
      <c r="K43" s="47" t="str">
        <f t="shared" ca="1" si="0"/>
        <v>CONTRATADO</v>
      </c>
      <c r="L43" s="47" t="s">
        <v>44</v>
      </c>
      <c r="M43" s="47" t="s">
        <v>1236</v>
      </c>
      <c r="N43" s="52" t="s">
        <v>66</v>
      </c>
      <c r="O43" s="51" t="e">
        <f>VLOOKUP(N43,[2]!RUBROS[#All],3,0)</f>
        <v>#REF!</v>
      </c>
      <c r="P43" s="53" t="e">
        <f>VLOOKUP(N43,[2]!RUBROS[#All],2,0)</f>
        <v>#REF!</v>
      </c>
      <c r="Q43" s="47" t="str">
        <f t="shared" si="1"/>
        <v>00</v>
      </c>
      <c r="R43" s="47" t="str">
        <f t="shared" si="2"/>
        <v>0-205616</v>
      </c>
      <c r="S43" s="54">
        <v>12</v>
      </c>
      <c r="T43" s="57" t="s">
        <v>46</v>
      </c>
      <c r="U43" s="326" t="e">
        <f ca="1">_xlfn.XLOOKUP(PAA_4[[#This Row],[ITEM]],[2]Contrato!A:A,[2]Contrato!Q:Q,"",0)</f>
        <v>#NAME?</v>
      </c>
      <c r="V43" s="47" t="s">
        <v>47</v>
      </c>
      <c r="W43" s="47" t="s">
        <v>48</v>
      </c>
      <c r="X43" s="47" t="s">
        <v>48</v>
      </c>
      <c r="Y43" s="55" t="e">
        <f ca="1">_xlfn.XLOOKUP(PAA_4[[#This Row],[ITEM]],[2]Contrato!A:A,[2]Contrato!B:B,"",0)</f>
        <v>#NAME?</v>
      </c>
      <c r="Z43" s="47" t="e">
        <f ca="1">_xlfn.XLOOKUP(PAA_4[[#This Row],[ITEM]],[2]Contrato!A:A,[2]Contrato!G:G,"",0)</f>
        <v>#NAME?</v>
      </c>
      <c r="AA43" s="47" t="e">
        <f ca="1">_xlfn.XLOOKUP(PAA_4[[#This Row],[ITEM]],[2]Contrato!A:A,[2]Contrato!T:T,"",0)</f>
        <v>#NAME?</v>
      </c>
      <c r="AB43" s="55" t="e">
        <f ca="1">+MAX(PAA_4[[#This Row],[Comprometido Contrato]],PAA_4[[#This Row],[Comprometido Bolsa]])</f>
        <v>#NAME?</v>
      </c>
      <c r="AC43" s="55" t="str">
        <f t="shared" ca="1" si="3"/>
        <v/>
      </c>
      <c r="AD43" s="55" t="e">
        <f ca="1">IF(PAA_4[[#This Row],[ESTADO (formulado)]]="NO CONTRATADO",0,MAX(PAA_4[[#This Row],[Pago por Contrato]],PAA_4[[#This Row],[Pago por bolsa]]))</f>
        <v>#NAME?</v>
      </c>
      <c r="AE43" s="55" t="str">
        <f t="shared" ca="1" si="4"/>
        <v/>
      </c>
      <c r="AF43" s="47" t="e">
        <f t="shared" ca="1" si="5"/>
        <v>#NAME?</v>
      </c>
      <c r="AG43" s="47" t="str">
        <f t="shared" si="6"/>
        <v/>
      </c>
      <c r="AH43" s="54">
        <f>IF(Q43="22",IF(ISNUMBER(SEARCH("econ",PAA_4[[#This Row],[Actividad3]])),"Económico",IF(ISNUMBER(SEARCH("alim",PAA_4[[#This Row],[Actividad3]])),"Alimentación",IF(ISNUMBER(SEARCH("educ",PAA_4[[#This Row],[Actividad3]])),"Educativo","Técnico"))),0)</f>
        <v>0</v>
      </c>
      <c r="AI43" s="47" t="e" cm="1">
        <f t="array" aca="1" ref="AI43" ca="1">_xlfn.XLOOKUP(PAA_4[[#This Row],[RCP-RUBRO]],[2]!COMPROMISOS_2024[[#All],[concatenado]],[2]!COMPROMISOS_2024[[#All],[Total pagado]],"",0)</f>
        <v>#NAME?</v>
      </c>
      <c r="AJ43" s="56">
        <f>IF(PAA_4[[#This Row],[BOLSA]]=0,0,SUMIFS([2]!COMPROMISOS_2024[[#All],[Total pagado]],[2]!COMPROMISOS_2024[[#All],[Bolsa]],PAA_4[[#This Row],[BOLSA]],[2]!COMPROMISOS_2024[[#All],[rubro]],PAA_4[[#This Row],[RCP-RUBRO]]))</f>
        <v>0</v>
      </c>
      <c r="AK43" s="47" t="e" cm="1">
        <f t="array" aca="1" ref="AK43" ca="1">_xlfn.XLOOKUP(PAA_4[[#This Row],[RCP-RUBRO]],[2]!COMPROMISOS_2024[[#All],[concatenado]],[2]!COMPROMISOS_2024[[#All],[Total Comprometido]],"",0)</f>
        <v>#NAME?</v>
      </c>
      <c r="AL43" s="47">
        <f>IF(PAA_4[[#This Row],[BOLSA]]=0,0,SUMIFS([2]!COMPROMISOS_2024[[#All],[Total Comprometido]],[2]!COMPROMISOS_2024[[#All],[Bolsa]],PAA_4[[#This Row],[BOLSA]],[2]!COMPROMISOS_2024[[#All],[concatenado]],PAA_4[[#This Row],[RCP-RUBRO]]))</f>
        <v>0</v>
      </c>
    </row>
    <row r="44" spans="1:38" s="19" customFormat="1" ht="31.5" customHeight="1">
      <c r="A44" s="47">
        <v>511</v>
      </c>
      <c r="B44" s="47" t="s">
        <v>42</v>
      </c>
      <c r="C44" s="47" t="str">
        <f>VLOOKUP(PAA_4[[#This Row],[PROYECTO (formulado)2]],[2]PROYECTOS!$G$1:$L$32,6,0)</f>
        <v>SUBGERENCIA ADMINISTRATIVA Y FINANCIERA</v>
      </c>
      <c r="D44" s="47" t="str">
        <f>+IF(PAA_4[[#This Row],[UNIDAD DE CONTRATACION (formulado)]]="Subgerencia Administrativa y Financiera","FUNCIONAMIENTO","INVERSIÓN")</f>
        <v>FUNCIONAMIENTO</v>
      </c>
      <c r="E44" s="48" t="str">
        <f>VLOOKUP(Q44,[2]PROYECTOS!$G$1:$K$32,5,0)</f>
        <v>FUNCIONAMIENTO</v>
      </c>
      <c r="F44" s="48">
        <f>VLOOKUP(E44,[2]PROYECTOS!$K$1:$M$32,3,0)</f>
        <v>999999</v>
      </c>
      <c r="G44" s="49" t="s">
        <v>43</v>
      </c>
      <c r="H44" s="49">
        <f>VLOOKUP(Q44,[2]PROYECTOS!$V$1:$W$32,2,0)</f>
        <v>999999</v>
      </c>
      <c r="I44" s="50">
        <v>50000000</v>
      </c>
      <c r="J44" s="51" t="s">
        <v>1278</v>
      </c>
      <c r="K44" s="47" t="str">
        <f t="shared" ca="1" si="0"/>
        <v>CONTRATADO</v>
      </c>
      <c r="L44" s="47" t="s">
        <v>44</v>
      </c>
      <c r="M44" s="47" t="s">
        <v>1236</v>
      </c>
      <c r="N44" s="58" t="s">
        <v>67</v>
      </c>
      <c r="O44" s="51" t="e">
        <f>VLOOKUP(N44,[2]!RUBROS[#All],3,0)</f>
        <v>#REF!</v>
      </c>
      <c r="P44" s="53" t="e">
        <f>VLOOKUP(N44,[2]!RUBROS[#All],2,0)</f>
        <v>#REF!</v>
      </c>
      <c r="Q44" s="47" t="str">
        <f t="shared" si="1"/>
        <v>00</v>
      </c>
      <c r="R44" s="47" t="str">
        <f t="shared" si="2"/>
        <v>0-205616</v>
      </c>
      <c r="S44" s="54">
        <v>12</v>
      </c>
      <c r="T44" s="57" t="s">
        <v>46</v>
      </c>
      <c r="U44" s="326" t="e">
        <f ca="1">_xlfn.XLOOKUP(PAA_4[[#This Row],[ITEM]],[2]Contrato!A:A,[2]Contrato!Q:Q,"",0)</f>
        <v>#NAME?</v>
      </c>
      <c r="V44" s="47" t="s">
        <v>47</v>
      </c>
      <c r="W44" s="47" t="s">
        <v>48</v>
      </c>
      <c r="X44" s="47" t="s">
        <v>48</v>
      </c>
      <c r="Y44" s="55" t="e">
        <f ca="1">_xlfn.XLOOKUP(PAA_4[[#This Row],[ITEM]],[2]Contrato!A:A,[2]Contrato!B:B,"",0)</f>
        <v>#NAME?</v>
      </c>
      <c r="Z44" s="47" t="e">
        <f ca="1">_xlfn.XLOOKUP(PAA_4[[#This Row],[ITEM]],[2]Contrato!A:A,[2]Contrato!G:G,"",0)</f>
        <v>#NAME?</v>
      </c>
      <c r="AA44" s="47" t="e">
        <f ca="1">_xlfn.XLOOKUP(PAA_4[[#This Row],[ITEM]],[2]Contrato!A:A,[2]Contrato!T:T,"",0)</f>
        <v>#NAME?</v>
      </c>
      <c r="AB44" s="55" t="e">
        <f ca="1">+MAX(PAA_4[[#This Row],[Comprometido Contrato]],PAA_4[[#This Row],[Comprometido Bolsa]])</f>
        <v>#NAME?</v>
      </c>
      <c r="AC44" s="55" t="str">
        <f t="shared" ca="1" si="3"/>
        <v/>
      </c>
      <c r="AD44" s="55" t="e">
        <f ca="1">IF(PAA_4[[#This Row],[ESTADO (formulado)]]="NO CONTRATADO",0,MAX(PAA_4[[#This Row],[Pago por Contrato]],PAA_4[[#This Row],[Pago por bolsa]]))</f>
        <v>#NAME?</v>
      </c>
      <c r="AE44" s="55" t="str">
        <f t="shared" ca="1" si="4"/>
        <v/>
      </c>
      <c r="AF44" s="47" t="e">
        <f t="shared" ca="1" si="5"/>
        <v>#NAME?</v>
      </c>
      <c r="AG44" s="47" t="str">
        <f t="shared" si="6"/>
        <v/>
      </c>
      <c r="AH44" s="54">
        <f>IF(Q44="22",IF(ISNUMBER(SEARCH("econ",PAA_4[[#This Row],[Actividad3]])),"Económico",IF(ISNUMBER(SEARCH("alim",PAA_4[[#This Row],[Actividad3]])),"Alimentación",IF(ISNUMBER(SEARCH("educ",PAA_4[[#This Row],[Actividad3]])),"Educativo","Técnico"))),0)</f>
        <v>0</v>
      </c>
      <c r="AI44" s="47" t="e" cm="1">
        <f t="array" aca="1" ref="AI44" ca="1">_xlfn.XLOOKUP(PAA_4[[#This Row],[RCP-RUBRO]],[2]!COMPROMISOS_2024[[#All],[concatenado]],[2]!COMPROMISOS_2024[[#All],[Total pagado]],"",0)</f>
        <v>#NAME?</v>
      </c>
      <c r="AJ44" s="56">
        <f>IF(PAA_4[[#This Row],[BOLSA]]=0,0,SUMIFS([2]!COMPROMISOS_2024[[#All],[Total pagado]],[2]!COMPROMISOS_2024[[#All],[Bolsa]],PAA_4[[#This Row],[BOLSA]],[2]!COMPROMISOS_2024[[#All],[rubro]],PAA_4[[#This Row],[RCP-RUBRO]]))</f>
        <v>0</v>
      </c>
      <c r="AK44" s="47" t="e" cm="1">
        <f t="array" aca="1" ref="AK44" ca="1">_xlfn.XLOOKUP(PAA_4[[#This Row],[RCP-RUBRO]],[2]!COMPROMISOS_2024[[#All],[concatenado]],[2]!COMPROMISOS_2024[[#All],[Total Comprometido]],"",0)</f>
        <v>#NAME?</v>
      </c>
      <c r="AL44" s="47">
        <f>IF(PAA_4[[#This Row],[BOLSA]]=0,0,SUMIFS([2]!COMPROMISOS_2024[[#All],[Total Comprometido]],[2]!COMPROMISOS_2024[[#All],[Bolsa]],PAA_4[[#This Row],[BOLSA]],[2]!COMPROMISOS_2024[[#All],[concatenado]],PAA_4[[#This Row],[RCP-RUBRO]]))</f>
        <v>0</v>
      </c>
    </row>
    <row r="45" spans="1:38" s="19" customFormat="1" ht="31.5" customHeight="1">
      <c r="A45" s="47">
        <v>20</v>
      </c>
      <c r="B45" s="47" t="s">
        <v>42</v>
      </c>
      <c r="C45" s="47" t="str">
        <f>VLOOKUP(PAA_4[[#This Row],[PROYECTO (formulado)2]],[2]PROYECTOS!$G$1:$L$32,6,0)</f>
        <v>SUBGERENCIA ADMINISTRATIVA Y FINANCIERA</v>
      </c>
      <c r="D45" s="47" t="str">
        <f>+IF(PAA_4[[#This Row],[UNIDAD DE CONTRATACION (formulado)]]="Subgerencia Administrativa y Financiera","FUNCIONAMIENTO","INVERSIÓN")</f>
        <v>FUNCIONAMIENTO</v>
      </c>
      <c r="E45" s="48" t="str">
        <f>VLOOKUP(Q45,[2]PROYECTOS!$G$1:$K$32,5,0)</f>
        <v>FUNCIONAMIENTO</v>
      </c>
      <c r="F45" s="48">
        <f>VLOOKUP(E45,[2]PROYECTOS!$K$1:$M$32,3,0)</f>
        <v>999999</v>
      </c>
      <c r="G45" s="49" t="s">
        <v>43</v>
      </c>
      <c r="H45" s="49">
        <f>VLOOKUP(Q45,[2]PROYECTOS!$V$1:$W$32,2,0)</f>
        <v>999999</v>
      </c>
      <c r="I45" s="50">
        <v>184017800</v>
      </c>
      <c r="J45" s="51" t="s">
        <v>1279</v>
      </c>
      <c r="K45" s="47" t="str">
        <f t="shared" ca="1" si="0"/>
        <v>CONTRATADO</v>
      </c>
      <c r="L45" s="47" t="s">
        <v>44</v>
      </c>
      <c r="M45" s="47" t="s">
        <v>1236</v>
      </c>
      <c r="N45" s="52" t="s">
        <v>68</v>
      </c>
      <c r="O45" s="51" t="e">
        <f>VLOOKUP(N45,[2]!RUBROS[#All],3,0)</f>
        <v>#REF!</v>
      </c>
      <c r="P45" s="53" t="e">
        <f>VLOOKUP(N45,[2]!RUBROS[#All],2,0)</f>
        <v>#REF!</v>
      </c>
      <c r="Q45" s="47" t="str">
        <f t="shared" si="1"/>
        <v>00</v>
      </c>
      <c r="R45" s="47" t="str">
        <f t="shared" si="2"/>
        <v>0-205616</v>
      </c>
      <c r="S45" s="54">
        <v>12</v>
      </c>
      <c r="T45" s="57" t="s">
        <v>46</v>
      </c>
      <c r="U45" s="326" t="e">
        <f ca="1">_xlfn.XLOOKUP(PAA_4[[#This Row],[ITEM]],[2]Contrato!A:A,[2]Contrato!Q:Q,"",0)</f>
        <v>#NAME?</v>
      </c>
      <c r="V45" s="47" t="s">
        <v>47</v>
      </c>
      <c r="W45" s="47" t="s">
        <v>48</v>
      </c>
      <c r="X45" s="47" t="s">
        <v>48</v>
      </c>
      <c r="Y45" s="55" t="e">
        <f ca="1">_xlfn.XLOOKUP(PAA_4[[#This Row],[ITEM]],[2]Contrato!A:A,[2]Contrato!B:B,"",0)</f>
        <v>#NAME?</v>
      </c>
      <c r="Z45" s="47" t="e">
        <f ca="1">_xlfn.XLOOKUP(PAA_4[[#This Row],[ITEM]],[2]Contrato!A:A,[2]Contrato!G:G,"",0)</f>
        <v>#NAME?</v>
      </c>
      <c r="AA45" s="47" t="e">
        <f ca="1">_xlfn.XLOOKUP(PAA_4[[#This Row],[ITEM]],[2]Contrato!A:A,[2]Contrato!T:T,"",0)</f>
        <v>#NAME?</v>
      </c>
      <c r="AB45" s="55" t="e">
        <f ca="1">+MAX(PAA_4[[#This Row],[Comprometido Contrato]],PAA_4[[#This Row],[Comprometido Bolsa]])</f>
        <v>#NAME?</v>
      </c>
      <c r="AC45" s="55" t="str">
        <f t="shared" ca="1" si="3"/>
        <v/>
      </c>
      <c r="AD45" s="55" t="e">
        <f ca="1">IF(PAA_4[[#This Row],[ESTADO (formulado)]]="NO CONTRATADO",0,MAX(PAA_4[[#This Row],[Pago por Contrato]],PAA_4[[#This Row],[Pago por bolsa]]))</f>
        <v>#NAME?</v>
      </c>
      <c r="AE45" s="55" t="str">
        <f t="shared" ca="1" si="4"/>
        <v/>
      </c>
      <c r="AF45" s="47" t="e">
        <f t="shared" ca="1" si="5"/>
        <v>#NAME?</v>
      </c>
      <c r="AG45" s="47" t="str">
        <f t="shared" si="6"/>
        <v/>
      </c>
      <c r="AH45" s="54">
        <f>IF(Q45="22",IF(ISNUMBER(SEARCH("econ",PAA_4[[#This Row],[Actividad3]])),"Económico",IF(ISNUMBER(SEARCH("alim",PAA_4[[#This Row],[Actividad3]])),"Alimentación",IF(ISNUMBER(SEARCH("educ",PAA_4[[#This Row],[Actividad3]])),"Educativo","Técnico"))),0)</f>
        <v>0</v>
      </c>
      <c r="AI45" s="47" t="e" cm="1">
        <f t="array" aca="1" ref="AI45" ca="1">_xlfn.XLOOKUP(PAA_4[[#This Row],[RCP-RUBRO]],[2]!COMPROMISOS_2024[[#All],[concatenado]],[2]!COMPROMISOS_2024[[#All],[Total pagado]],"",0)</f>
        <v>#NAME?</v>
      </c>
      <c r="AJ45" s="56">
        <f>IF(PAA_4[[#This Row],[BOLSA]]=0,0,SUMIFS([2]!COMPROMISOS_2024[[#All],[Total pagado]],[2]!COMPROMISOS_2024[[#All],[Bolsa]],PAA_4[[#This Row],[BOLSA]],[2]!COMPROMISOS_2024[[#All],[rubro]],PAA_4[[#This Row],[RCP-RUBRO]]))</f>
        <v>0</v>
      </c>
      <c r="AK45" s="47" t="e" cm="1">
        <f t="array" aca="1" ref="AK45" ca="1">_xlfn.XLOOKUP(PAA_4[[#This Row],[RCP-RUBRO]],[2]!COMPROMISOS_2024[[#All],[concatenado]],[2]!COMPROMISOS_2024[[#All],[Total Comprometido]],"",0)</f>
        <v>#NAME?</v>
      </c>
      <c r="AL45" s="47">
        <f>IF(PAA_4[[#This Row],[BOLSA]]=0,0,SUMIFS([2]!COMPROMISOS_2024[[#All],[Total Comprometido]],[2]!COMPROMISOS_2024[[#All],[Bolsa]],PAA_4[[#This Row],[BOLSA]],[2]!COMPROMISOS_2024[[#All],[concatenado]],PAA_4[[#This Row],[RCP-RUBRO]]))</f>
        <v>0</v>
      </c>
    </row>
    <row r="46" spans="1:38" s="19" customFormat="1" ht="31.5" customHeight="1">
      <c r="A46" s="47">
        <v>21</v>
      </c>
      <c r="B46" s="47" t="s">
        <v>42</v>
      </c>
      <c r="C46" s="47" t="str">
        <f>VLOOKUP(PAA_4[[#This Row],[PROYECTO (formulado)2]],[2]PROYECTOS!$G$1:$L$32,6,0)</f>
        <v>SUBGERENCIA ADMINISTRATIVA Y FINANCIERA</v>
      </c>
      <c r="D46" s="47" t="str">
        <f>+IF(PAA_4[[#This Row],[UNIDAD DE CONTRATACION (formulado)]]="Subgerencia Administrativa y Financiera","FUNCIONAMIENTO","INVERSIÓN")</f>
        <v>FUNCIONAMIENTO</v>
      </c>
      <c r="E46" s="48" t="str">
        <f>VLOOKUP(Q46,[2]PROYECTOS!$G$1:$K$32,5,0)</f>
        <v>FUNCIONAMIENTO</v>
      </c>
      <c r="F46" s="48">
        <f>VLOOKUP(E46,[2]PROYECTOS!$K$1:$M$32,3,0)</f>
        <v>999999</v>
      </c>
      <c r="G46" s="49" t="s">
        <v>43</v>
      </c>
      <c r="H46" s="49">
        <f>VLOOKUP(Q46,[2]PROYECTOS!$V$1:$W$32,2,0)</f>
        <v>999999</v>
      </c>
      <c r="I46" s="50">
        <v>198940478</v>
      </c>
      <c r="J46" s="51" t="s">
        <v>1280</v>
      </c>
      <c r="K46" s="47" t="str">
        <f t="shared" ca="1" si="0"/>
        <v>CONTRATADO</v>
      </c>
      <c r="L46" s="47" t="s">
        <v>44</v>
      </c>
      <c r="M46" s="47" t="s">
        <v>1236</v>
      </c>
      <c r="N46" s="52" t="s">
        <v>69</v>
      </c>
      <c r="O46" s="51" t="e">
        <f>VLOOKUP(N46,[2]!RUBROS[#All],3,0)</f>
        <v>#REF!</v>
      </c>
      <c r="P46" s="53" t="e">
        <f>VLOOKUP(N46,[2]!RUBROS[#All],2,0)</f>
        <v>#REF!</v>
      </c>
      <c r="Q46" s="47" t="str">
        <f t="shared" si="1"/>
        <v>00</v>
      </c>
      <c r="R46" s="47" t="str">
        <f t="shared" si="2"/>
        <v>0-205616</v>
      </c>
      <c r="S46" s="54">
        <v>12</v>
      </c>
      <c r="T46" s="57" t="s">
        <v>46</v>
      </c>
      <c r="U46" s="326" t="e">
        <f ca="1">_xlfn.XLOOKUP(PAA_4[[#This Row],[ITEM]],[2]Contrato!A:A,[2]Contrato!Q:Q,"",0)</f>
        <v>#NAME?</v>
      </c>
      <c r="V46" s="47" t="s">
        <v>47</v>
      </c>
      <c r="W46" s="47" t="s">
        <v>48</v>
      </c>
      <c r="X46" s="47" t="s">
        <v>48</v>
      </c>
      <c r="Y46" s="55" t="e">
        <f ca="1">_xlfn.XLOOKUP(PAA_4[[#This Row],[ITEM]],[2]Contrato!A:A,[2]Contrato!B:B,"",0)</f>
        <v>#NAME?</v>
      </c>
      <c r="Z46" s="47" t="e">
        <f ca="1">_xlfn.XLOOKUP(PAA_4[[#This Row],[ITEM]],[2]Contrato!A:A,[2]Contrato!G:G,"",0)</f>
        <v>#NAME?</v>
      </c>
      <c r="AA46" s="47" t="e">
        <f ca="1">_xlfn.XLOOKUP(PAA_4[[#This Row],[ITEM]],[2]Contrato!A:A,[2]Contrato!T:T,"",0)</f>
        <v>#NAME?</v>
      </c>
      <c r="AB46" s="55" t="e">
        <f ca="1">+MAX(PAA_4[[#This Row],[Comprometido Contrato]],PAA_4[[#This Row],[Comprometido Bolsa]])</f>
        <v>#NAME?</v>
      </c>
      <c r="AC46" s="55" t="str">
        <f t="shared" ca="1" si="3"/>
        <v/>
      </c>
      <c r="AD46" s="55" t="e">
        <f ca="1">IF(PAA_4[[#This Row],[ESTADO (formulado)]]="NO CONTRATADO",0,MAX(PAA_4[[#This Row],[Pago por Contrato]],PAA_4[[#This Row],[Pago por bolsa]]))</f>
        <v>#NAME?</v>
      </c>
      <c r="AE46" s="55" t="str">
        <f t="shared" ca="1" si="4"/>
        <v/>
      </c>
      <c r="AF46" s="47" t="e">
        <f t="shared" ca="1" si="5"/>
        <v>#NAME?</v>
      </c>
      <c r="AG46" s="47" t="str">
        <f t="shared" si="6"/>
        <v/>
      </c>
      <c r="AH46" s="54">
        <f>IF(Q46="22",IF(ISNUMBER(SEARCH("econ",PAA_4[[#This Row],[Actividad3]])),"Económico",IF(ISNUMBER(SEARCH("alim",PAA_4[[#This Row],[Actividad3]])),"Alimentación",IF(ISNUMBER(SEARCH("educ",PAA_4[[#This Row],[Actividad3]])),"Educativo","Técnico"))),0)</f>
        <v>0</v>
      </c>
      <c r="AI46" s="47" t="e" cm="1">
        <f t="array" aca="1" ref="AI46" ca="1">_xlfn.XLOOKUP(PAA_4[[#This Row],[RCP-RUBRO]],[2]!COMPROMISOS_2024[[#All],[concatenado]],[2]!COMPROMISOS_2024[[#All],[Total pagado]],"",0)</f>
        <v>#NAME?</v>
      </c>
      <c r="AJ46" s="56">
        <f>IF(PAA_4[[#This Row],[BOLSA]]=0,0,SUMIFS([2]!COMPROMISOS_2024[[#All],[Total pagado]],[2]!COMPROMISOS_2024[[#All],[Bolsa]],PAA_4[[#This Row],[BOLSA]],[2]!COMPROMISOS_2024[[#All],[rubro]],PAA_4[[#This Row],[RCP-RUBRO]]))</f>
        <v>0</v>
      </c>
      <c r="AK46" s="47" t="e" cm="1">
        <f t="array" aca="1" ref="AK46" ca="1">_xlfn.XLOOKUP(PAA_4[[#This Row],[RCP-RUBRO]],[2]!COMPROMISOS_2024[[#All],[concatenado]],[2]!COMPROMISOS_2024[[#All],[Total Comprometido]],"",0)</f>
        <v>#NAME?</v>
      </c>
      <c r="AL46" s="47">
        <f>IF(PAA_4[[#This Row],[BOLSA]]=0,0,SUMIFS([2]!COMPROMISOS_2024[[#All],[Total Comprometido]],[2]!COMPROMISOS_2024[[#All],[Bolsa]],PAA_4[[#This Row],[BOLSA]],[2]!COMPROMISOS_2024[[#All],[concatenado]],PAA_4[[#This Row],[RCP-RUBRO]]))</f>
        <v>0</v>
      </c>
    </row>
    <row r="47" spans="1:38" s="19" customFormat="1" ht="31.5" customHeight="1">
      <c r="A47" s="47">
        <v>511</v>
      </c>
      <c r="B47" s="47" t="s">
        <v>42</v>
      </c>
      <c r="C47" s="47" t="str">
        <f>VLOOKUP(PAA_4[[#This Row],[PROYECTO (formulado)2]],[2]PROYECTOS!$G$1:$L$32,6,0)</f>
        <v>SUBGERENCIA ADMINISTRATIVA Y FINANCIERA</v>
      </c>
      <c r="D47" s="47" t="str">
        <f>+IF(PAA_4[[#This Row],[UNIDAD DE CONTRATACION (formulado)]]="Subgerencia Administrativa y Financiera","FUNCIONAMIENTO","INVERSIÓN")</f>
        <v>FUNCIONAMIENTO</v>
      </c>
      <c r="E47" s="48" t="str">
        <f>VLOOKUP(Q47,[2]PROYECTOS!$G$1:$K$32,5,0)</f>
        <v>FUNCIONAMIENTO</v>
      </c>
      <c r="F47" s="48">
        <f>VLOOKUP(E47,[2]PROYECTOS!$K$1:$M$32,3,0)</f>
        <v>999999</v>
      </c>
      <c r="G47" s="49" t="s">
        <v>43</v>
      </c>
      <c r="H47" s="49">
        <f>VLOOKUP(Q47,[2]PROYECTOS!$V$1:$W$32,2,0)</f>
        <v>999999</v>
      </c>
      <c r="I47" s="50">
        <v>918622145</v>
      </c>
      <c r="J47" s="51" t="s">
        <v>1278</v>
      </c>
      <c r="K47" s="47" t="str">
        <f t="shared" ca="1" si="0"/>
        <v>CONTRATADO</v>
      </c>
      <c r="L47" s="47" t="s">
        <v>44</v>
      </c>
      <c r="M47" s="47" t="s">
        <v>1236</v>
      </c>
      <c r="N47" s="52" t="s">
        <v>1281</v>
      </c>
      <c r="O47" s="51" t="e">
        <f>VLOOKUP(N47,[2]!RUBROS[#All],3,0)</f>
        <v>#REF!</v>
      </c>
      <c r="P47" s="53" t="e">
        <f>VLOOKUP(N47,[2]!RUBROS[#All],2,0)</f>
        <v>#REF!</v>
      </c>
      <c r="Q47" s="47" t="str">
        <f t="shared" si="1"/>
        <v>00</v>
      </c>
      <c r="R47" s="47" t="str">
        <f t="shared" si="2"/>
        <v>0-101024</v>
      </c>
      <c r="S47" s="54">
        <v>12</v>
      </c>
      <c r="T47" s="57" t="s">
        <v>46</v>
      </c>
      <c r="U47" s="326" t="e">
        <f ca="1">_xlfn.XLOOKUP(PAA_4[[#This Row],[ITEM]],[2]Contrato!A:A,[2]Contrato!Q:Q,"",0)</f>
        <v>#NAME?</v>
      </c>
      <c r="V47" s="47" t="s">
        <v>47</v>
      </c>
      <c r="W47" s="47" t="s">
        <v>48</v>
      </c>
      <c r="X47" s="47" t="s">
        <v>48</v>
      </c>
      <c r="Y47" s="55" t="e">
        <f ca="1">_xlfn.XLOOKUP(PAA_4[[#This Row],[ITEM]],[2]Contrato!A:A,[2]Contrato!B:B,"",0)</f>
        <v>#NAME?</v>
      </c>
      <c r="Z47" s="47" t="e">
        <f ca="1">_xlfn.XLOOKUP(PAA_4[[#This Row],[ITEM]],[2]Contrato!A:A,[2]Contrato!G:G,"",0)</f>
        <v>#NAME?</v>
      </c>
      <c r="AA47" s="47" t="e">
        <f ca="1">_xlfn.XLOOKUP(PAA_4[[#This Row],[ITEM]],[2]Contrato!A:A,[2]Contrato!T:T,"",0)</f>
        <v>#NAME?</v>
      </c>
      <c r="AB47" s="55" t="e">
        <f ca="1">+MAX(PAA_4[[#This Row],[Comprometido Contrato]],PAA_4[[#This Row],[Comprometido Bolsa]])</f>
        <v>#NAME?</v>
      </c>
      <c r="AC47" s="55" t="str">
        <f t="shared" ca="1" si="3"/>
        <v/>
      </c>
      <c r="AD47" s="55" t="e">
        <f ca="1">IF(PAA_4[[#This Row],[ESTADO (formulado)]]="NO CONTRATADO",0,MAX(PAA_4[[#This Row],[Pago por Contrato]],PAA_4[[#This Row],[Pago por bolsa]]))</f>
        <v>#NAME?</v>
      </c>
      <c r="AE47" s="55" t="str">
        <f t="shared" ca="1" si="4"/>
        <v/>
      </c>
      <c r="AF47" s="47" t="e">
        <f t="shared" ca="1" si="5"/>
        <v>#NAME?</v>
      </c>
      <c r="AG47" s="47" t="str">
        <f t="shared" si="6"/>
        <v/>
      </c>
      <c r="AH47" s="54">
        <f>IF(Q47="22",IF(ISNUMBER(SEARCH("econ",PAA_4[[#This Row],[Actividad3]])),"Económico",IF(ISNUMBER(SEARCH("alim",PAA_4[[#This Row],[Actividad3]])),"Alimentación",IF(ISNUMBER(SEARCH("educ",PAA_4[[#This Row],[Actividad3]])),"Educativo","Técnico"))),0)</f>
        <v>0</v>
      </c>
      <c r="AI47" s="47" t="e" cm="1">
        <f t="array" aca="1" ref="AI47" ca="1">_xlfn.XLOOKUP(PAA_4[[#This Row],[RCP-RUBRO]],[2]!COMPROMISOS_2024[[#All],[concatenado]],[2]!COMPROMISOS_2024[[#All],[Total pagado]],"",0)</f>
        <v>#NAME?</v>
      </c>
      <c r="AJ47" s="56">
        <f>IF(PAA_4[[#This Row],[BOLSA]]=0,0,SUMIFS([2]!COMPROMISOS_2024[[#All],[Total pagado]],[2]!COMPROMISOS_2024[[#All],[Bolsa]],PAA_4[[#This Row],[BOLSA]],[2]!COMPROMISOS_2024[[#All],[rubro]],PAA_4[[#This Row],[RCP-RUBRO]]))</f>
        <v>0</v>
      </c>
      <c r="AK47" s="47" t="e" cm="1">
        <f t="array" aca="1" ref="AK47" ca="1">_xlfn.XLOOKUP(PAA_4[[#This Row],[RCP-RUBRO]],[2]!COMPROMISOS_2024[[#All],[concatenado]],[2]!COMPROMISOS_2024[[#All],[Total Comprometido]],"",0)</f>
        <v>#NAME?</v>
      </c>
      <c r="AL47" s="47">
        <f>IF(PAA_4[[#This Row],[BOLSA]]=0,0,SUMIFS([2]!COMPROMISOS_2024[[#All],[Total Comprometido]],[2]!COMPROMISOS_2024[[#All],[Bolsa]],PAA_4[[#This Row],[BOLSA]],[2]!COMPROMISOS_2024[[#All],[concatenado]],PAA_4[[#This Row],[RCP-RUBRO]]))</f>
        <v>0</v>
      </c>
    </row>
    <row r="48" spans="1:38" s="19" customFormat="1" ht="31.5" customHeight="1">
      <c r="A48" s="47">
        <v>1262</v>
      </c>
      <c r="B48" s="47">
        <v>92101501</v>
      </c>
      <c r="C48" s="47" t="str">
        <f>VLOOKUP(PAA_4[[#This Row],[PROYECTO (formulado)2]],[2]PROYECTOS!$G$1:$L$32,6,0)</f>
        <v>SUBGERENCIA ADMINISTRATIVA Y FINANCIERA</v>
      </c>
      <c r="D48" s="47" t="str">
        <f>+IF(PAA_4[[#This Row],[UNIDAD DE CONTRATACION (formulado)]]="Subgerencia Administrativa y Financiera","FUNCIONAMIENTO","INVERSIÓN")</f>
        <v>FUNCIONAMIENTO</v>
      </c>
      <c r="E48" s="48" t="str">
        <f>VLOOKUP(Q48,[2]PROYECTOS!$G$1:$K$32,5,0)</f>
        <v>FUNCIONAMIENTO</v>
      </c>
      <c r="F48" s="48">
        <f>VLOOKUP(E48,[2]PROYECTOS!$K$1:$M$32,3,0)</f>
        <v>999999</v>
      </c>
      <c r="G48" s="49" t="s">
        <v>43</v>
      </c>
      <c r="H48" s="49">
        <f>VLOOKUP(Q48,[2]PROYECTOS!$V$1:$W$32,2,0)</f>
        <v>999999</v>
      </c>
      <c r="I48" s="50">
        <v>9292014</v>
      </c>
      <c r="J48" s="51" t="s">
        <v>1282</v>
      </c>
      <c r="K48" s="47" t="str">
        <f t="shared" ca="1" si="0"/>
        <v>CONTRATADO</v>
      </c>
      <c r="L48" s="47" t="s">
        <v>78</v>
      </c>
      <c r="M48" s="47" t="s">
        <v>89</v>
      </c>
      <c r="N48" s="52" t="s">
        <v>90</v>
      </c>
      <c r="O48" s="51" t="e">
        <f>VLOOKUP(N48,[2]!RUBROS[#All],3,0)</f>
        <v>#REF!</v>
      </c>
      <c r="P48" s="53" t="e">
        <f>VLOOKUP(N48,[2]!RUBROS[#All],2,0)</f>
        <v>#REF!</v>
      </c>
      <c r="Q48" s="47" t="str">
        <f t="shared" si="1"/>
        <v>00</v>
      </c>
      <c r="R48" s="47" t="str">
        <f t="shared" si="2"/>
        <v>0-205616</v>
      </c>
      <c r="S48" s="54">
        <v>2</v>
      </c>
      <c r="T48" s="57" t="s">
        <v>46</v>
      </c>
      <c r="U48" s="326" t="e">
        <f ca="1">_xlfn.XLOOKUP(PAA_4[[#This Row],[ITEM]],[2]Contrato!A:A,[2]Contrato!Q:Q,"",0)</f>
        <v>#NAME?</v>
      </c>
      <c r="V48" s="47" t="s">
        <v>47</v>
      </c>
      <c r="W48" s="47" t="s">
        <v>200</v>
      </c>
      <c r="X48" s="47" t="s">
        <v>200</v>
      </c>
      <c r="Y48" s="55" t="e">
        <f ca="1">_xlfn.XLOOKUP(PAA_4[[#This Row],[ITEM]],[2]Contrato!A:A,[2]Contrato!B:B,"",0)</f>
        <v>#NAME?</v>
      </c>
      <c r="Z48" s="47" t="e">
        <f ca="1">_xlfn.XLOOKUP(PAA_4[[#This Row],[ITEM]],[2]Contrato!A:A,[2]Contrato!G:G,"",0)</f>
        <v>#NAME?</v>
      </c>
      <c r="AA48" s="47" t="e">
        <f ca="1">_xlfn.XLOOKUP(PAA_4[[#This Row],[ITEM]],[2]Contrato!A:A,[2]Contrato!T:T,"",0)</f>
        <v>#NAME?</v>
      </c>
      <c r="AB48" s="55" t="e">
        <f ca="1">+MAX(PAA_4[[#This Row],[Comprometido Contrato]],PAA_4[[#This Row],[Comprometido Bolsa]])</f>
        <v>#NAME?</v>
      </c>
      <c r="AC48" s="55" t="str">
        <f t="shared" ca="1" si="3"/>
        <v/>
      </c>
      <c r="AD48" s="55" t="e">
        <f ca="1">IF(PAA_4[[#This Row],[ESTADO (formulado)]]="NO CONTRATADO",0,MAX(PAA_4[[#This Row],[Pago por Contrato]],PAA_4[[#This Row],[Pago por bolsa]]))</f>
        <v>#NAME?</v>
      </c>
      <c r="AE48" s="55" t="str">
        <f t="shared" ca="1" si="4"/>
        <v/>
      </c>
      <c r="AF48" s="47" t="e">
        <f t="shared" ca="1" si="5"/>
        <v>#NAME?</v>
      </c>
      <c r="AG48" s="47" t="str">
        <f t="shared" si="6"/>
        <v/>
      </c>
      <c r="AH48" s="54">
        <f>IF(Q48="22",IF(ISNUMBER(SEARCH("econ",PAA_4[[#This Row],[Actividad3]])),"Económico",IF(ISNUMBER(SEARCH("alim",PAA_4[[#This Row],[Actividad3]])),"Alimentación",IF(ISNUMBER(SEARCH("educ",PAA_4[[#This Row],[Actividad3]])),"Educativo","Técnico"))),0)</f>
        <v>0</v>
      </c>
      <c r="AI48" s="47" t="e" cm="1">
        <f t="array" aca="1" ref="AI48" ca="1">_xlfn.XLOOKUP(PAA_4[[#This Row],[RCP-RUBRO]],[2]!COMPROMISOS_2024[[#All],[concatenado]],[2]!COMPROMISOS_2024[[#All],[Total pagado]],"",0)</f>
        <v>#NAME?</v>
      </c>
      <c r="AJ48" s="56">
        <f>IF(PAA_4[[#This Row],[BOLSA]]=0,0,SUMIFS([2]!COMPROMISOS_2024[[#All],[Total pagado]],[2]!COMPROMISOS_2024[[#All],[Bolsa]],PAA_4[[#This Row],[BOLSA]],[2]!COMPROMISOS_2024[[#All],[rubro]],PAA_4[[#This Row],[RCP-RUBRO]]))</f>
        <v>0</v>
      </c>
      <c r="AK48" s="47" t="e" cm="1">
        <f t="array" aca="1" ref="AK48" ca="1">_xlfn.XLOOKUP(PAA_4[[#This Row],[RCP-RUBRO]],[2]!COMPROMISOS_2024[[#All],[concatenado]],[2]!COMPROMISOS_2024[[#All],[Total Comprometido]],"",0)</f>
        <v>#NAME?</v>
      </c>
      <c r="AL48" s="47">
        <f>IF(PAA_4[[#This Row],[BOLSA]]=0,0,SUMIFS([2]!COMPROMISOS_2024[[#All],[Total Comprometido]],[2]!COMPROMISOS_2024[[#All],[Bolsa]],PAA_4[[#This Row],[BOLSA]],[2]!COMPROMISOS_2024[[#All],[concatenado]],PAA_4[[#This Row],[RCP-RUBRO]]))</f>
        <v>0</v>
      </c>
    </row>
    <row r="49" spans="1:38" s="19" customFormat="1" ht="31.5" customHeight="1">
      <c r="A49" s="47">
        <v>1262</v>
      </c>
      <c r="B49" s="47">
        <v>92101501</v>
      </c>
      <c r="C49" s="47" t="str">
        <f>VLOOKUP(PAA_4[[#This Row],[PROYECTO (formulado)2]],[2]PROYECTOS!$G$1:$L$32,6,0)</f>
        <v>SUBGERENCIA ADMINISTRATIVA Y FINANCIERA</v>
      </c>
      <c r="D49" s="47" t="str">
        <f>+IF(PAA_4[[#This Row],[UNIDAD DE CONTRATACION (formulado)]]="Subgerencia Administrativa y Financiera","FUNCIONAMIENTO","INVERSIÓN")</f>
        <v>FUNCIONAMIENTO</v>
      </c>
      <c r="E49" s="48" t="str">
        <f>VLOOKUP(Q49,[2]PROYECTOS!$G$1:$K$32,5,0)</f>
        <v>FUNCIONAMIENTO</v>
      </c>
      <c r="F49" s="48">
        <f>VLOOKUP(E49,[2]PROYECTOS!$K$1:$M$32,3,0)</f>
        <v>999999</v>
      </c>
      <c r="G49" s="49" t="s">
        <v>43</v>
      </c>
      <c r="H49" s="49">
        <f>VLOOKUP(Q49,[2]PROYECTOS!$V$1:$W$32,2,0)</f>
        <v>999999</v>
      </c>
      <c r="I49" s="50">
        <v>82839577</v>
      </c>
      <c r="J49" s="51" t="s">
        <v>1282</v>
      </c>
      <c r="K49" s="47" t="str">
        <f t="shared" ca="1" si="0"/>
        <v>CONTRATADO</v>
      </c>
      <c r="L49" s="47" t="s">
        <v>78</v>
      </c>
      <c r="M49" s="47" t="s">
        <v>89</v>
      </c>
      <c r="N49" s="52" t="s">
        <v>1283</v>
      </c>
      <c r="O49" s="51" t="e">
        <f>VLOOKUP(N49,[2]!RUBROS[#All],3,0)</f>
        <v>#REF!</v>
      </c>
      <c r="P49" s="53" t="e">
        <f>VLOOKUP(N49,[2]!RUBROS[#All],2,0)</f>
        <v>#REF!</v>
      </c>
      <c r="Q49" s="47" t="str">
        <f t="shared" si="1"/>
        <v>00</v>
      </c>
      <c r="R49" s="47" t="str">
        <f t="shared" si="2"/>
        <v>0-101024</v>
      </c>
      <c r="S49" s="54">
        <v>2</v>
      </c>
      <c r="T49" s="57" t="s">
        <v>46</v>
      </c>
      <c r="U49" s="326" t="e">
        <f ca="1">_xlfn.XLOOKUP(PAA_4[[#This Row],[ITEM]],[2]Contrato!A:A,[2]Contrato!Q:Q,"",0)</f>
        <v>#NAME?</v>
      </c>
      <c r="V49" s="47" t="s">
        <v>47</v>
      </c>
      <c r="W49" s="47" t="s">
        <v>200</v>
      </c>
      <c r="X49" s="47" t="s">
        <v>200</v>
      </c>
      <c r="Y49" s="55" t="e">
        <f ca="1">_xlfn.XLOOKUP(PAA_4[[#This Row],[ITEM]],[2]Contrato!A:A,[2]Contrato!B:B,"",0)</f>
        <v>#NAME?</v>
      </c>
      <c r="Z49" s="47" t="e">
        <f ca="1">_xlfn.XLOOKUP(PAA_4[[#This Row],[ITEM]],[2]Contrato!A:A,[2]Contrato!G:G,"",0)</f>
        <v>#NAME?</v>
      </c>
      <c r="AA49" s="47" t="e">
        <f ca="1">_xlfn.XLOOKUP(PAA_4[[#This Row],[ITEM]],[2]Contrato!A:A,[2]Contrato!T:T,"",0)</f>
        <v>#NAME?</v>
      </c>
      <c r="AB49" s="55" t="e">
        <f ca="1">+MAX(PAA_4[[#This Row],[Comprometido Contrato]],PAA_4[[#This Row],[Comprometido Bolsa]])</f>
        <v>#NAME?</v>
      </c>
      <c r="AC49" s="55" t="str">
        <f t="shared" ca="1" si="3"/>
        <v/>
      </c>
      <c r="AD49" s="55" t="e">
        <f ca="1">IF(PAA_4[[#This Row],[ESTADO (formulado)]]="NO CONTRATADO",0,MAX(PAA_4[[#This Row],[Pago por Contrato]],PAA_4[[#This Row],[Pago por bolsa]]))</f>
        <v>#NAME?</v>
      </c>
      <c r="AE49" s="55" t="str">
        <f t="shared" ca="1" si="4"/>
        <v/>
      </c>
      <c r="AF49" s="47" t="e">
        <f t="shared" ca="1" si="5"/>
        <v>#NAME?</v>
      </c>
      <c r="AG49" s="47" t="str">
        <f t="shared" si="6"/>
        <v/>
      </c>
      <c r="AH49" s="54">
        <f>IF(Q49="22",IF(ISNUMBER(SEARCH("econ",PAA_4[[#This Row],[Actividad3]])),"Económico",IF(ISNUMBER(SEARCH("alim",PAA_4[[#This Row],[Actividad3]])),"Alimentación",IF(ISNUMBER(SEARCH("educ",PAA_4[[#This Row],[Actividad3]])),"Educativo","Técnico"))),0)</f>
        <v>0</v>
      </c>
      <c r="AI49" s="47" t="e" cm="1">
        <f t="array" aca="1" ref="AI49" ca="1">_xlfn.XLOOKUP(PAA_4[[#This Row],[RCP-RUBRO]],[2]!COMPROMISOS_2024[[#All],[concatenado]],[2]!COMPROMISOS_2024[[#All],[Total pagado]],"",0)</f>
        <v>#NAME?</v>
      </c>
      <c r="AJ49" s="56">
        <f>IF(PAA_4[[#This Row],[BOLSA]]=0,0,SUMIFS([2]!COMPROMISOS_2024[[#All],[Total pagado]],[2]!COMPROMISOS_2024[[#All],[Bolsa]],PAA_4[[#This Row],[BOLSA]],[2]!COMPROMISOS_2024[[#All],[rubro]],PAA_4[[#This Row],[RCP-RUBRO]]))</f>
        <v>0</v>
      </c>
      <c r="AK49" s="47" t="e" cm="1">
        <f t="array" aca="1" ref="AK49" ca="1">_xlfn.XLOOKUP(PAA_4[[#This Row],[RCP-RUBRO]],[2]!COMPROMISOS_2024[[#All],[concatenado]],[2]!COMPROMISOS_2024[[#All],[Total Comprometido]],"",0)</f>
        <v>#NAME?</v>
      </c>
      <c r="AL49" s="47">
        <f>IF(PAA_4[[#This Row],[BOLSA]]=0,0,SUMIFS([2]!COMPROMISOS_2024[[#All],[Total Comprometido]],[2]!COMPROMISOS_2024[[#All],[Bolsa]],PAA_4[[#This Row],[BOLSA]],[2]!COMPROMISOS_2024[[#All],[concatenado]],PAA_4[[#This Row],[RCP-RUBRO]]))</f>
        <v>0</v>
      </c>
    </row>
    <row r="50" spans="1:38" s="19" customFormat="1" ht="31.5" customHeight="1">
      <c r="A50" s="47">
        <v>22</v>
      </c>
      <c r="B50" s="47" t="s">
        <v>42</v>
      </c>
      <c r="C50" s="47" t="str">
        <f>VLOOKUP(PAA_4[[#This Row],[PROYECTO (formulado)2]],[2]PROYECTOS!$G$1:$L$32,6,0)</f>
        <v>SUBGERENCIA ADMINISTRATIVA Y FINANCIERA</v>
      </c>
      <c r="D50" s="47" t="str">
        <f>+IF(PAA_4[[#This Row],[UNIDAD DE CONTRATACION (formulado)]]="Subgerencia Administrativa y Financiera","FUNCIONAMIENTO","INVERSIÓN")</f>
        <v>FUNCIONAMIENTO</v>
      </c>
      <c r="E50" s="48" t="str">
        <f>VLOOKUP(Q50,[2]PROYECTOS!$G$1:$K$32,5,0)</f>
        <v>FUNCIONAMIENTO</v>
      </c>
      <c r="F50" s="48">
        <f>VLOOKUP(E50,[2]PROYECTOS!$K$1:$M$32,3,0)</f>
        <v>999999</v>
      </c>
      <c r="G50" s="49" t="s">
        <v>43</v>
      </c>
      <c r="H50" s="49">
        <f>VLOOKUP(Q50,[2]PROYECTOS!$V$1:$W$32,2,0)</f>
        <v>999999</v>
      </c>
      <c r="I50" s="50">
        <v>450000000</v>
      </c>
      <c r="J50" s="51" t="s">
        <v>1284</v>
      </c>
      <c r="K50" s="47" t="str">
        <f t="shared" ca="1" si="0"/>
        <v>CONTRATADO</v>
      </c>
      <c r="L50" s="47" t="s">
        <v>44</v>
      </c>
      <c r="M50" s="47" t="s">
        <v>1236</v>
      </c>
      <c r="N50" s="52" t="s">
        <v>70</v>
      </c>
      <c r="O50" s="51" t="e">
        <f>VLOOKUP(N50,[2]!RUBROS[#All],3,0)</f>
        <v>#REF!</v>
      </c>
      <c r="P50" s="53" t="e">
        <f>VLOOKUP(N50,[2]!RUBROS[#All],2,0)</f>
        <v>#REF!</v>
      </c>
      <c r="Q50" s="47" t="str">
        <f t="shared" si="1"/>
        <v>00</v>
      </c>
      <c r="R50" s="47" t="str">
        <f t="shared" si="2"/>
        <v>0-205616</v>
      </c>
      <c r="S50" s="54">
        <v>12</v>
      </c>
      <c r="T50" s="57" t="s">
        <v>46</v>
      </c>
      <c r="U50" s="326" t="e">
        <f ca="1">_xlfn.XLOOKUP(PAA_4[[#This Row],[ITEM]],[2]Contrato!A:A,[2]Contrato!Q:Q,"",0)</f>
        <v>#NAME?</v>
      </c>
      <c r="V50" s="47" t="s">
        <v>47</v>
      </c>
      <c r="W50" s="47" t="s">
        <v>48</v>
      </c>
      <c r="X50" s="47" t="s">
        <v>48</v>
      </c>
      <c r="Y50" s="55" t="e">
        <f ca="1">_xlfn.XLOOKUP(PAA_4[[#This Row],[ITEM]],[2]Contrato!A:A,[2]Contrato!B:B,"",0)</f>
        <v>#NAME?</v>
      </c>
      <c r="Z50" s="47" t="e">
        <f ca="1">_xlfn.XLOOKUP(PAA_4[[#This Row],[ITEM]],[2]Contrato!A:A,[2]Contrato!G:G,"",0)</f>
        <v>#NAME?</v>
      </c>
      <c r="AA50" s="47" t="e">
        <f ca="1">_xlfn.XLOOKUP(PAA_4[[#This Row],[ITEM]],[2]Contrato!A:A,[2]Contrato!T:T,"",0)</f>
        <v>#NAME?</v>
      </c>
      <c r="AB50" s="55" t="e">
        <f ca="1">+MAX(PAA_4[[#This Row],[Comprometido Contrato]],PAA_4[[#This Row],[Comprometido Bolsa]])</f>
        <v>#NAME?</v>
      </c>
      <c r="AC50" s="55" t="str">
        <f t="shared" ca="1" si="3"/>
        <v/>
      </c>
      <c r="AD50" s="55" t="e">
        <f ca="1">IF(PAA_4[[#This Row],[ESTADO (formulado)]]="NO CONTRATADO",0,MAX(PAA_4[[#This Row],[Pago por Contrato]],PAA_4[[#This Row],[Pago por bolsa]]))</f>
        <v>#NAME?</v>
      </c>
      <c r="AE50" s="55" t="str">
        <f t="shared" ca="1" si="4"/>
        <v/>
      </c>
      <c r="AF50" s="47" t="e">
        <f t="shared" ca="1" si="5"/>
        <v>#NAME?</v>
      </c>
      <c r="AG50" s="47" t="str">
        <f t="shared" si="6"/>
        <v/>
      </c>
      <c r="AH50" s="54">
        <f>IF(Q50="22",IF(ISNUMBER(SEARCH("econ",PAA_4[[#This Row],[Actividad3]])),"Económico",IF(ISNUMBER(SEARCH("alim",PAA_4[[#This Row],[Actividad3]])),"Alimentación",IF(ISNUMBER(SEARCH("educ",PAA_4[[#This Row],[Actividad3]])),"Educativo","Técnico"))),0)</f>
        <v>0</v>
      </c>
      <c r="AI50" s="47" t="e" cm="1">
        <f t="array" aca="1" ref="AI50" ca="1">_xlfn.XLOOKUP(PAA_4[[#This Row],[RCP-RUBRO]],[2]!COMPROMISOS_2024[[#All],[concatenado]],[2]!COMPROMISOS_2024[[#All],[Total pagado]],"",0)</f>
        <v>#NAME?</v>
      </c>
      <c r="AJ50" s="56">
        <f>IF(PAA_4[[#This Row],[BOLSA]]=0,0,SUMIFS([2]!COMPROMISOS_2024[[#All],[Total pagado]],[2]!COMPROMISOS_2024[[#All],[Bolsa]],PAA_4[[#This Row],[BOLSA]],[2]!COMPROMISOS_2024[[#All],[rubro]],PAA_4[[#This Row],[RCP-RUBRO]]))</f>
        <v>0</v>
      </c>
      <c r="AK50" s="47" t="e" cm="1">
        <f t="array" aca="1" ref="AK50" ca="1">_xlfn.XLOOKUP(PAA_4[[#This Row],[RCP-RUBRO]],[2]!COMPROMISOS_2024[[#All],[concatenado]],[2]!COMPROMISOS_2024[[#All],[Total Comprometido]],"",0)</f>
        <v>#NAME?</v>
      </c>
      <c r="AL50" s="47">
        <f>IF(PAA_4[[#This Row],[BOLSA]]=0,0,SUMIFS([2]!COMPROMISOS_2024[[#All],[Total Comprometido]],[2]!COMPROMISOS_2024[[#All],[Bolsa]],PAA_4[[#This Row],[BOLSA]],[2]!COMPROMISOS_2024[[#All],[concatenado]],PAA_4[[#This Row],[RCP-RUBRO]]))</f>
        <v>0</v>
      </c>
    </row>
    <row r="51" spans="1:38" s="19" customFormat="1" ht="31.5" customHeight="1">
      <c r="A51" s="47">
        <v>22</v>
      </c>
      <c r="B51" s="47" t="s">
        <v>42</v>
      </c>
      <c r="C51" s="47" t="str">
        <f>VLOOKUP(PAA_4[[#This Row],[PROYECTO (formulado)2]],[2]PROYECTOS!$G$1:$L$32,6,0)</f>
        <v>SUBGERENCIA ADMINISTRATIVA Y FINANCIERA</v>
      </c>
      <c r="D51" s="47" t="str">
        <f>+IF(PAA_4[[#This Row],[UNIDAD DE CONTRATACION (formulado)]]="Subgerencia Administrativa y Financiera","FUNCIONAMIENTO","INVERSIÓN")</f>
        <v>FUNCIONAMIENTO</v>
      </c>
      <c r="E51" s="48" t="str">
        <f>VLOOKUP(Q51,[2]PROYECTOS!$G$1:$K$32,5,0)</f>
        <v>FUNCIONAMIENTO</v>
      </c>
      <c r="F51" s="48">
        <f>VLOOKUP(E51,[2]PROYECTOS!$K$1:$M$32,3,0)</f>
        <v>999999</v>
      </c>
      <c r="G51" s="49" t="s">
        <v>43</v>
      </c>
      <c r="H51" s="49">
        <f>VLOOKUP(Q51,[2]PROYECTOS!$V$1:$W$32,2,0)</f>
        <v>999999</v>
      </c>
      <c r="I51" s="50">
        <f>50000000+22500000</f>
        <v>72500000</v>
      </c>
      <c r="J51" s="51" t="s">
        <v>1284</v>
      </c>
      <c r="K51" s="47" t="str">
        <f t="shared" ca="1" si="0"/>
        <v>CONTRATADO</v>
      </c>
      <c r="L51" s="47" t="s">
        <v>44</v>
      </c>
      <c r="M51" s="47" t="s">
        <v>1236</v>
      </c>
      <c r="N51" s="52" t="s">
        <v>1285</v>
      </c>
      <c r="O51" s="51" t="e">
        <f>VLOOKUP(N51,[2]!RUBROS[#All],3,0)</f>
        <v>#REF!</v>
      </c>
      <c r="P51" s="53" t="e">
        <f>VLOOKUP(N51,[2]!RUBROS[#All],2,0)</f>
        <v>#REF!</v>
      </c>
      <c r="Q51" s="47" t="str">
        <f t="shared" si="1"/>
        <v>00</v>
      </c>
      <c r="R51" s="47" t="str">
        <f t="shared" si="2"/>
        <v>0-101024</v>
      </c>
      <c r="S51" s="54">
        <v>12</v>
      </c>
      <c r="T51" s="57" t="s">
        <v>46</v>
      </c>
      <c r="U51" s="326" t="e">
        <f ca="1">_xlfn.XLOOKUP(PAA_4[[#This Row],[ITEM]],[2]Contrato!A:A,[2]Contrato!Q:Q,"",0)</f>
        <v>#NAME?</v>
      </c>
      <c r="V51" s="47" t="s">
        <v>47</v>
      </c>
      <c r="W51" s="47" t="s">
        <v>48</v>
      </c>
      <c r="X51" s="47" t="s">
        <v>48</v>
      </c>
      <c r="Y51" s="55" t="e">
        <f ca="1">_xlfn.XLOOKUP(PAA_4[[#This Row],[ITEM]],[2]Contrato!A:A,[2]Contrato!B:B,"",0)</f>
        <v>#NAME?</v>
      </c>
      <c r="Z51" s="47" t="e">
        <f ca="1">_xlfn.XLOOKUP(PAA_4[[#This Row],[ITEM]],[2]Contrato!A:A,[2]Contrato!G:G,"",0)</f>
        <v>#NAME?</v>
      </c>
      <c r="AA51" s="47" t="e">
        <f ca="1">_xlfn.XLOOKUP(PAA_4[[#This Row],[ITEM]],[2]Contrato!A:A,[2]Contrato!T:T,"",0)</f>
        <v>#NAME?</v>
      </c>
      <c r="AB51" s="55" t="e">
        <f ca="1">+MAX(PAA_4[[#This Row],[Comprometido Contrato]],PAA_4[[#This Row],[Comprometido Bolsa]])</f>
        <v>#NAME?</v>
      </c>
      <c r="AC51" s="55" t="str">
        <f t="shared" ca="1" si="3"/>
        <v/>
      </c>
      <c r="AD51" s="55" t="e">
        <f ca="1">IF(PAA_4[[#This Row],[ESTADO (formulado)]]="NO CONTRATADO",0,MAX(PAA_4[[#This Row],[Pago por Contrato]],PAA_4[[#This Row],[Pago por bolsa]]))</f>
        <v>#NAME?</v>
      </c>
      <c r="AE51" s="55" t="str">
        <f t="shared" ca="1" si="4"/>
        <v/>
      </c>
      <c r="AF51" s="47" t="e">
        <f t="shared" ca="1" si="5"/>
        <v>#NAME?</v>
      </c>
      <c r="AG51" s="47" t="str">
        <f t="shared" si="6"/>
        <v/>
      </c>
      <c r="AH51" s="54">
        <f>IF(Q51="22",IF(ISNUMBER(SEARCH("econ",PAA_4[[#This Row],[Actividad3]])),"Económico",IF(ISNUMBER(SEARCH("alim",PAA_4[[#This Row],[Actividad3]])),"Alimentación",IF(ISNUMBER(SEARCH("educ",PAA_4[[#This Row],[Actividad3]])),"Educativo","Técnico"))),0)</f>
        <v>0</v>
      </c>
      <c r="AI51" s="47" t="e" cm="1">
        <f t="array" aca="1" ref="AI51" ca="1">_xlfn.XLOOKUP(PAA_4[[#This Row],[RCP-RUBRO]],[2]!COMPROMISOS_2024[[#All],[concatenado]],[2]!COMPROMISOS_2024[[#All],[Total pagado]],"",0)</f>
        <v>#NAME?</v>
      </c>
      <c r="AJ51" s="56">
        <f>IF(PAA_4[[#This Row],[BOLSA]]=0,0,SUMIFS([2]!COMPROMISOS_2024[[#All],[Total pagado]],[2]!COMPROMISOS_2024[[#All],[Bolsa]],PAA_4[[#This Row],[BOLSA]],[2]!COMPROMISOS_2024[[#All],[rubro]],PAA_4[[#This Row],[RCP-RUBRO]]))</f>
        <v>0</v>
      </c>
      <c r="AK51" s="47" t="e" cm="1">
        <f t="array" aca="1" ref="AK51" ca="1">_xlfn.XLOOKUP(PAA_4[[#This Row],[RCP-RUBRO]],[2]!COMPROMISOS_2024[[#All],[concatenado]],[2]!COMPROMISOS_2024[[#All],[Total Comprometido]],"",0)</f>
        <v>#NAME?</v>
      </c>
      <c r="AL51" s="47">
        <f>IF(PAA_4[[#This Row],[BOLSA]]=0,0,SUMIFS([2]!COMPROMISOS_2024[[#All],[Total Comprometido]],[2]!COMPROMISOS_2024[[#All],[Bolsa]],PAA_4[[#This Row],[BOLSA]],[2]!COMPROMISOS_2024[[#All],[concatenado]],PAA_4[[#This Row],[RCP-RUBRO]]))</f>
        <v>0</v>
      </c>
    </row>
    <row r="52" spans="1:38" s="19" customFormat="1" ht="31.5" customHeight="1">
      <c r="A52" s="47">
        <v>23</v>
      </c>
      <c r="B52" s="47" t="s">
        <v>42</v>
      </c>
      <c r="C52" s="47" t="str">
        <f>VLOOKUP(PAA_4[[#This Row],[PROYECTO (formulado)2]],[2]PROYECTOS!$G$1:$L$32,6,0)</f>
        <v>SUBGERENCIA ADMINISTRATIVA Y FINANCIERA</v>
      </c>
      <c r="D52" s="47" t="str">
        <f>+IF(PAA_4[[#This Row],[UNIDAD DE CONTRATACION (formulado)]]="Subgerencia Administrativa y Financiera","FUNCIONAMIENTO","INVERSIÓN")</f>
        <v>FUNCIONAMIENTO</v>
      </c>
      <c r="E52" s="48" t="str">
        <f>VLOOKUP(Q52,[2]PROYECTOS!$G$1:$K$32,5,0)</f>
        <v>FUNCIONAMIENTO</v>
      </c>
      <c r="F52" s="48">
        <f>VLOOKUP(E52,[2]PROYECTOS!$K$1:$M$32,3,0)</f>
        <v>999999</v>
      </c>
      <c r="G52" s="49" t="s">
        <v>43</v>
      </c>
      <c r="H52" s="49">
        <f>VLOOKUP(Q52,[2]PROYECTOS!$V$1:$W$32,2,0)</f>
        <v>999999</v>
      </c>
      <c r="I52" s="50">
        <v>65000000</v>
      </c>
      <c r="J52" s="51" t="s">
        <v>1286</v>
      </c>
      <c r="K52" s="47" t="str">
        <f t="shared" ca="1" si="0"/>
        <v>CONTRATADO</v>
      </c>
      <c r="L52" s="47" t="s">
        <v>44</v>
      </c>
      <c r="M52" s="47" t="s">
        <v>1236</v>
      </c>
      <c r="N52" s="52" t="s">
        <v>71</v>
      </c>
      <c r="O52" s="51" t="e">
        <f>VLOOKUP(N52,[2]!RUBROS[#All],3,0)</f>
        <v>#REF!</v>
      </c>
      <c r="P52" s="53" t="e">
        <f>VLOOKUP(N52,[2]!RUBROS[#All],2,0)</f>
        <v>#REF!</v>
      </c>
      <c r="Q52" s="47" t="str">
        <f t="shared" si="1"/>
        <v>00</v>
      </c>
      <c r="R52" s="47" t="str">
        <f t="shared" si="2"/>
        <v>0-205616</v>
      </c>
      <c r="S52" s="54">
        <v>12</v>
      </c>
      <c r="T52" s="57" t="s">
        <v>46</v>
      </c>
      <c r="U52" s="326" t="e">
        <f ca="1">_xlfn.XLOOKUP(PAA_4[[#This Row],[ITEM]],[2]Contrato!A:A,[2]Contrato!Q:Q,"",0)</f>
        <v>#NAME?</v>
      </c>
      <c r="V52" s="47" t="s">
        <v>47</v>
      </c>
      <c r="W52" s="47" t="s">
        <v>48</v>
      </c>
      <c r="X52" s="47" t="s">
        <v>48</v>
      </c>
      <c r="Y52" s="55" t="e">
        <f ca="1">_xlfn.XLOOKUP(PAA_4[[#This Row],[ITEM]],[2]Contrato!A:A,[2]Contrato!B:B,"",0)</f>
        <v>#NAME?</v>
      </c>
      <c r="Z52" s="47" t="e">
        <f ca="1">_xlfn.XLOOKUP(PAA_4[[#This Row],[ITEM]],[2]Contrato!A:A,[2]Contrato!G:G,"",0)</f>
        <v>#NAME?</v>
      </c>
      <c r="AA52" s="47" t="e">
        <f ca="1">_xlfn.XLOOKUP(PAA_4[[#This Row],[ITEM]],[2]Contrato!A:A,[2]Contrato!T:T,"",0)</f>
        <v>#NAME?</v>
      </c>
      <c r="AB52" s="55" t="e">
        <f ca="1">+MAX(PAA_4[[#This Row],[Comprometido Contrato]],PAA_4[[#This Row],[Comprometido Bolsa]])</f>
        <v>#NAME?</v>
      </c>
      <c r="AC52" s="55" t="str">
        <f t="shared" ca="1" si="3"/>
        <v/>
      </c>
      <c r="AD52" s="55" t="e">
        <f ca="1">IF(PAA_4[[#This Row],[ESTADO (formulado)]]="NO CONTRATADO",0,MAX(PAA_4[[#This Row],[Pago por Contrato]],PAA_4[[#This Row],[Pago por bolsa]]))</f>
        <v>#NAME?</v>
      </c>
      <c r="AE52" s="55" t="str">
        <f t="shared" ca="1" si="4"/>
        <v/>
      </c>
      <c r="AF52" s="47" t="e">
        <f t="shared" ca="1" si="5"/>
        <v>#NAME?</v>
      </c>
      <c r="AG52" s="47" t="str">
        <f t="shared" si="6"/>
        <v/>
      </c>
      <c r="AH52" s="54">
        <f>IF(Q52="22",IF(ISNUMBER(SEARCH("econ",PAA_4[[#This Row],[Actividad3]])),"Económico",IF(ISNUMBER(SEARCH("alim",PAA_4[[#This Row],[Actividad3]])),"Alimentación",IF(ISNUMBER(SEARCH("educ",PAA_4[[#This Row],[Actividad3]])),"Educativo","Técnico"))),0)</f>
        <v>0</v>
      </c>
      <c r="AI52" s="47" t="e" cm="1">
        <f t="array" aca="1" ref="AI52" ca="1">_xlfn.XLOOKUP(PAA_4[[#This Row],[RCP-RUBRO]],[2]!COMPROMISOS_2024[[#All],[concatenado]],[2]!COMPROMISOS_2024[[#All],[Total pagado]],"",0)</f>
        <v>#NAME?</v>
      </c>
      <c r="AJ52" s="56">
        <f>IF(PAA_4[[#This Row],[BOLSA]]=0,0,SUMIFS([2]!COMPROMISOS_2024[[#All],[Total pagado]],[2]!COMPROMISOS_2024[[#All],[Bolsa]],PAA_4[[#This Row],[BOLSA]],[2]!COMPROMISOS_2024[[#All],[rubro]],PAA_4[[#This Row],[RCP-RUBRO]]))</f>
        <v>0</v>
      </c>
      <c r="AK52" s="47" t="e" cm="1">
        <f t="array" aca="1" ref="AK52" ca="1">_xlfn.XLOOKUP(PAA_4[[#This Row],[RCP-RUBRO]],[2]!COMPROMISOS_2024[[#All],[concatenado]],[2]!COMPROMISOS_2024[[#All],[Total Comprometido]],"",0)</f>
        <v>#NAME?</v>
      </c>
      <c r="AL52" s="47">
        <f>IF(PAA_4[[#This Row],[BOLSA]]=0,0,SUMIFS([2]!COMPROMISOS_2024[[#All],[Total Comprometido]],[2]!COMPROMISOS_2024[[#All],[Bolsa]],PAA_4[[#This Row],[BOLSA]],[2]!COMPROMISOS_2024[[#All],[concatenado]],PAA_4[[#This Row],[RCP-RUBRO]]))</f>
        <v>0</v>
      </c>
    </row>
    <row r="53" spans="1:38" s="19" customFormat="1" ht="31.5" customHeight="1">
      <c r="A53" s="47">
        <v>24</v>
      </c>
      <c r="B53" s="47" t="s">
        <v>42</v>
      </c>
      <c r="C53" s="47" t="str">
        <f>VLOOKUP(PAA_4[[#This Row],[PROYECTO (formulado)2]],[2]PROYECTOS!$G$1:$L$32,6,0)</f>
        <v>SUBGERENCIA ADMINISTRATIVA Y FINANCIERA</v>
      </c>
      <c r="D53" s="47" t="str">
        <f>+IF(PAA_4[[#This Row],[UNIDAD DE CONTRATACION (formulado)]]="Subgerencia Administrativa y Financiera","FUNCIONAMIENTO","INVERSIÓN")</f>
        <v>FUNCIONAMIENTO</v>
      </c>
      <c r="E53" s="48" t="str">
        <f>VLOOKUP(Q53,[2]PROYECTOS!$G$1:$K$32,5,0)</f>
        <v>FUNCIONAMIENTO</v>
      </c>
      <c r="F53" s="48">
        <f>VLOOKUP(E53,[2]PROYECTOS!$K$1:$M$32,3,0)</f>
        <v>999999</v>
      </c>
      <c r="G53" s="49" t="s">
        <v>43</v>
      </c>
      <c r="H53" s="49">
        <f>VLOOKUP(Q53,[2]PROYECTOS!$V$1:$W$32,2,0)</f>
        <v>999999</v>
      </c>
      <c r="I53" s="50">
        <f>4500000+12802560</f>
        <v>17302560</v>
      </c>
      <c r="J53" s="51" t="s">
        <v>1287</v>
      </c>
      <c r="K53" s="47" t="str">
        <f t="shared" ca="1" si="0"/>
        <v>CONTRATADO</v>
      </c>
      <c r="L53" s="47" t="s">
        <v>44</v>
      </c>
      <c r="M53" s="47" t="s">
        <v>1236</v>
      </c>
      <c r="N53" s="52" t="s">
        <v>72</v>
      </c>
      <c r="O53" s="51" t="e">
        <f>VLOOKUP(N53,[2]!RUBROS[#All],3,0)</f>
        <v>#REF!</v>
      </c>
      <c r="P53" s="53" t="e">
        <f>VLOOKUP(N53,[2]!RUBROS[#All],2,0)</f>
        <v>#REF!</v>
      </c>
      <c r="Q53" s="47" t="str">
        <f t="shared" si="1"/>
        <v>00</v>
      </c>
      <c r="R53" s="47" t="str">
        <f t="shared" si="2"/>
        <v>0-205616</v>
      </c>
      <c r="S53" s="54">
        <v>12</v>
      </c>
      <c r="T53" s="57" t="s">
        <v>46</v>
      </c>
      <c r="U53" s="326" t="e">
        <f ca="1">_xlfn.XLOOKUP(PAA_4[[#This Row],[ITEM]],[2]Contrato!A:A,[2]Contrato!Q:Q,"",0)</f>
        <v>#NAME?</v>
      </c>
      <c r="V53" s="47" t="s">
        <v>47</v>
      </c>
      <c r="W53" s="47" t="s">
        <v>48</v>
      </c>
      <c r="X53" s="47" t="s">
        <v>48</v>
      </c>
      <c r="Y53" s="55" t="e">
        <f ca="1">_xlfn.XLOOKUP(PAA_4[[#This Row],[ITEM]],[2]Contrato!A:A,[2]Contrato!B:B,"",0)</f>
        <v>#NAME?</v>
      </c>
      <c r="Z53" s="47" t="e">
        <f ca="1">_xlfn.XLOOKUP(PAA_4[[#This Row],[ITEM]],[2]Contrato!A:A,[2]Contrato!G:G,"",0)</f>
        <v>#NAME?</v>
      </c>
      <c r="AA53" s="47" t="e">
        <f ca="1">_xlfn.XLOOKUP(PAA_4[[#This Row],[ITEM]],[2]Contrato!A:A,[2]Contrato!T:T,"",0)</f>
        <v>#NAME?</v>
      </c>
      <c r="AB53" s="55" t="e">
        <f ca="1">+MAX(PAA_4[[#This Row],[Comprometido Contrato]],PAA_4[[#This Row],[Comprometido Bolsa]])</f>
        <v>#NAME?</v>
      </c>
      <c r="AC53" s="55" t="str">
        <f t="shared" ca="1" si="3"/>
        <v/>
      </c>
      <c r="AD53" s="55" t="e">
        <f ca="1">IF(PAA_4[[#This Row],[ESTADO (formulado)]]="NO CONTRATADO",0,MAX(PAA_4[[#This Row],[Pago por Contrato]],PAA_4[[#This Row],[Pago por bolsa]]))</f>
        <v>#NAME?</v>
      </c>
      <c r="AE53" s="55" t="str">
        <f t="shared" ca="1" si="4"/>
        <v/>
      </c>
      <c r="AF53" s="47" t="e">
        <f t="shared" ca="1" si="5"/>
        <v>#NAME?</v>
      </c>
      <c r="AG53" s="47" t="str">
        <f t="shared" si="6"/>
        <v/>
      </c>
      <c r="AH53" s="54">
        <f>IF(Q53="22",IF(ISNUMBER(SEARCH("econ",PAA_4[[#This Row],[Actividad3]])),"Económico",IF(ISNUMBER(SEARCH("alim",PAA_4[[#This Row],[Actividad3]])),"Alimentación",IF(ISNUMBER(SEARCH("educ",PAA_4[[#This Row],[Actividad3]])),"Educativo","Técnico"))),0)</f>
        <v>0</v>
      </c>
      <c r="AI53" s="47" t="e" cm="1">
        <f t="array" aca="1" ref="AI53" ca="1">_xlfn.XLOOKUP(PAA_4[[#This Row],[RCP-RUBRO]],[2]!COMPROMISOS_2024[[#All],[concatenado]],[2]!COMPROMISOS_2024[[#All],[Total pagado]],"",0)</f>
        <v>#NAME?</v>
      </c>
      <c r="AJ53" s="56">
        <f>IF(PAA_4[[#This Row],[BOLSA]]=0,0,SUMIFS([2]!COMPROMISOS_2024[[#All],[Total pagado]],[2]!COMPROMISOS_2024[[#All],[Bolsa]],PAA_4[[#This Row],[BOLSA]],[2]!COMPROMISOS_2024[[#All],[rubro]],PAA_4[[#This Row],[RCP-RUBRO]]))</f>
        <v>0</v>
      </c>
      <c r="AK53" s="47" t="e" cm="1">
        <f t="array" aca="1" ref="AK53" ca="1">_xlfn.XLOOKUP(PAA_4[[#This Row],[RCP-RUBRO]],[2]!COMPROMISOS_2024[[#All],[concatenado]],[2]!COMPROMISOS_2024[[#All],[Total Comprometido]],"",0)</f>
        <v>#NAME?</v>
      </c>
      <c r="AL53" s="47">
        <f>IF(PAA_4[[#This Row],[BOLSA]]=0,0,SUMIFS([2]!COMPROMISOS_2024[[#All],[Total Comprometido]],[2]!COMPROMISOS_2024[[#All],[Bolsa]],PAA_4[[#This Row],[BOLSA]],[2]!COMPROMISOS_2024[[#All],[concatenado]],PAA_4[[#This Row],[RCP-RUBRO]]))</f>
        <v>0</v>
      </c>
    </row>
    <row r="54" spans="1:38" s="19" customFormat="1" ht="31.5" customHeight="1">
      <c r="A54" s="47">
        <v>25</v>
      </c>
      <c r="B54" s="47" t="s">
        <v>42</v>
      </c>
      <c r="C54" s="47" t="str">
        <f>VLOOKUP(PAA_4[[#This Row],[PROYECTO (formulado)2]],[2]PROYECTOS!$G$1:$L$32,6,0)</f>
        <v>SUBGERENCIA ADMINISTRATIVA Y FINANCIERA</v>
      </c>
      <c r="D54" s="47" t="str">
        <f>+IF(PAA_4[[#This Row],[UNIDAD DE CONTRATACION (formulado)]]="Subgerencia Administrativa y Financiera","FUNCIONAMIENTO","INVERSIÓN")</f>
        <v>FUNCIONAMIENTO</v>
      </c>
      <c r="E54" s="48" t="str">
        <f>VLOOKUP(Q54,[2]PROYECTOS!$G$1:$K$32,5,0)</f>
        <v>FUNCIONAMIENTO</v>
      </c>
      <c r="F54" s="48">
        <f>VLOOKUP(E54,[2]PROYECTOS!$K$1:$M$32,3,0)</f>
        <v>999999</v>
      </c>
      <c r="G54" s="49" t="s">
        <v>43</v>
      </c>
      <c r="H54" s="49">
        <f>VLOOKUP(Q54,[2]PROYECTOS!$V$1:$W$32,2,0)</f>
        <v>999999</v>
      </c>
      <c r="I54" s="50">
        <f>450000+805056</f>
        <v>1255056</v>
      </c>
      <c r="J54" s="51" t="s">
        <v>1288</v>
      </c>
      <c r="K54" s="47" t="str">
        <f t="shared" ca="1" si="0"/>
        <v>CONTRATADO</v>
      </c>
      <c r="L54" s="47" t="s">
        <v>44</v>
      </c>
      <c r="M54" s="47" t="s">
        <v>1236</v>
      </c>
      <c r="N54" s="52" t="s">
        <v>73</v>
      </c>
      <c r="O54" s="51" t="e">
        <f>VLOOKUP(N54,[2]!RUBROS[#All],3,0)</f>
        <v>#REF!</v>
      </c>
      <c r="P54" s="53" t="e">
        <f>VLOOKUP(N54,[2]!RUBROS[#All],2,0)</f>
        <v>#REF!</v>
      </c>
      <c r="Q54" s="47" t="str">
        <f t="shared" si="1"/>
        <v>00</v>
      </c>
      <c r="R54" s="47" t="str">
        <f t="shared" si="2"/>
        <v>0-205616</v>
      </c>
      <c r="S54" s="54">
        <v>12</v>
      </c>
      <c r="T54" s="57" t="s">
        <v>46</v>
      </c>
      <c r="U54" s="326" t="e">
        <f ca="1">_xlfn.XLOOKUP(PAA_4[[#This Row],[ITEM]],[2]Contrato!A:A,[2]Contrato!Q:Q,"",0)</f>
        <v>#NAME?</v>
      </c>
      <c r="V54" s="47" t="s">
        <v>47</v>
      </c>
      <c r="W54" s="47" t="s">
        <v>48</v>
      </c>
      <c r="X54" s="47" t="s">
        <v>48</v>
      </c>
      <c r="Y54" s="55" t="e">
        <f ca="1">_xlfn.XLOOKUP(PAA_4[[#This Row],[ITEM]],[2]Contrato!A:A,[2]Contrato!B:B,"",0)</f>
        <v>#NAME?</v>
      </c>
      <c r="Z54" s="47" t="e">
        <f ca="1">_xlfn.XLOOKUP(PAA_4[[#This Row],[ITEM]],[2]Contrato!A:A,[2]Contrato!G:G,"",0)</f>
        <v>#NAME?</v>
      </c>
      <c r="AA54" s="47" t="e">
        <f ca="1">_xlfn.XLOOKUP(PAA_4[[#This Row],[ITEM]],[2]Contrato!A:A,[2]Contrato!T:T,"",0)</f>
        <v>#NAME?</v>
      </c>
      <c r="AB54" s="55" t="e">
        <f ca="1">+MAX(PAA_4[[#This Row],[Comprometido Contrato]],PAA_4[[#This Row],[Comprometido Bolsa]])</f>
        <v>#NAME?</v>
      </c>
      <c r="AC54" s="55" t="str">
        <f t="shared" ca="1" si="3"/>
        <v/>
      </c>
      <c r="AD54" s="55" t="e">
        <f ca="1">IF(PAA_4[[#This Row],[ESTADO (formulado)]]="NO CONTRATADO",0,MAX(PAA_4[[#This Row],[Pago por Contrato]],PAA_4[[#This Row],[Pago por bolsa]]))</f>
        <v>#NAME?</v>
      </c>
      <c r="AE54" s="55" t="str">
        <f t="shared" ca="1" si="4"/>
        <v/>
      </c>
      <c r="AF54" s="47" t="e">
        <f t="shared" ca="1" si="5"/>
        <v>#NAME?</v>
      </c>
      <c r="AG54" s="47" t="str">
        <f t="shared" si="6"/>
        <v/>
      </c>
      <c r="AH54" s="54">
        <f>IF(Q54="22",IF(ISNUMBER(SEARCH("econ",PAA_4[[#This Row],[Actividad3]])),"Económico",IF(ISNUMBER(SEARCH("alim",PAA_4[[#This Row],[Actividad3]])),"Alimentación",IF(ISNUMBER(SEARCH("educ",PAA_4[[#This Row],[Actividad3]])),"Educativo","Técnico"))),0)</f>
        <v>0</v>
      </c>
      <c r="AI54" s="47" t="e" cm="1">
        <f t="array" aca="1" ref="AI54" ca="1">_xlfn.XLOOKUP(PAA_4[[#This Row],[RCP-RUBRO]],[2]!COMPROMISOS_2024[[#All],[concatenado]],[2]!COMPROMISOS_2024[[#All],[Total pagado]],"",0)</f>
        <v>#NAME?</v>
      </c>
      <c r="AJ54" s="56">
        <f>IF(PAA_4[[#This Row],[BOLSA]]=0,0,SUMIFS([2]!COMPROMISOS_2024[[#All],[Total pagado]],[2]!COMPROMISOS_2024[[#All],[Bolsa]],PAA_4[[#This Row],[BOLSA]],[2]!COMPROMISOS_2024[[#All],[rubro]],PAA_4[[#This Row],[RCP-RUBRO]]))</f>
        <v>0</v>
      </c>
      <c r="AK54" s="47" t="e" cm="1">
        <f t="array" aca="1" ref="AK54" ca="1">_xlfn.XLOOKUP(PAA_4[[#This Row],[RCP-RUBRO]],[2]!COMPROMISOS_2024[[#All],[concatenado]],[2]!COMPROMISOS_2024[[#All],[Total Comprometido]],"",0)</f>
        <v>#NAME?</v>
      </c>
      <c r="AL54" s="47">
        <f>IF(PAA_4[[#This Row],[BOLSA]]=0,0,SUMIFS([2]!COMPROMISOS_2024[[#All],[Total Comprometido]],[2]!COMPROMISOS_2024[[#All],[Bolsa]],PAA_4[[#This Row],[BOLSA]],[2]!COMPROMISOS_2024[[#All],[concatenado]],PAA_4[[#This Row],[RCP-RUBRO]]))</f>
        <v>0</v>
      </c>
    </row>
    <row r="55" spans="1:38" s="19" customFormat="1" ht="31.5" customHeight="1">
      <c r="A55" s="47">
        <v>26</v>
      </c>
      <c r="B55" s="47" t="s">
        <v>42</v>
      </c>
      <c r="C55" s="47" t="str">
        <f>VLOOKUP(PAA_4[[#This Row],[PROYECTO (formulado)2]],[2]PROYECTOS!$G$1:$L$32,6,0)</f>
        <v>SUBGERENCIA ADMINISTRATIVA Y FINANCIERA</v>
      </c>
      <c r="D55" s="47" t="str">
        <f>+IF(PAA_4[[#This Row],[UNIDAD DE CONTRATACION (formulado)]]="Subgerencia Administrativa y Financiera","FUNCIONAMIENTO","INVERSIÓN")</f>
        <v>FUNCIONAMIENTO</v>
      </c>
      <c r="E55" s="48" t="str">
        <f>VLOOKUP(Q55,[2]PROYECTOS!$G$1:$K$32,5,0)</f>
        <v>FUNCIONAMIENTO</v>
      </c>
      <c r="F55" s="48">
        <f>VLOOKUP(E55,[2]PROYECTOS!$K$1:$M$32,3,0)</f>
        <v>999999</v>
      </c>
      <c r="G55" s="49" t="s">
        <v>43</v>
      </c>
      <c r="H55" s="49">
        <f>VLOOKUP(Q55,[2]PROYECTOS!$V$1:$W$32,2,0)</f>
        <v>999999</v>
      </c>
      <c r="I55" s="50">
        <f>6000000+17070080</f>
        <v>23070080</v>
      </c>
      <c r="J55" s="51" t="s">
        <v>1289</v>
      </c>
      <c r="K55" s="47" t="str">
        <f t="shared" ca="1" si="0"/>
        <v>CONTRATADO</v>
      </c>
      <c r="L55" s="47" t="s">
        <v>44</v>
      </c>
      <c r="M55" s="47" t="s">
        <v>1236</v>
      </c>
      <c r="N55" s="52" t="s">
        <v>74</v>
      </c>
      <c r="O55" s="51" t="e">
        <f>VLOOKUP(N55,[2]!RUBROS[#All],3,0)</f>
        <v>#REF!</v>
      </c>
      <c r="P55" s="53" t="e">
        <f>VLOOKUP(N55,[2]!RUBROS[#All],2,0)</f>
        <v>#REF!</v>
      </c>
      <c r="Q55" s="47" t="str">
        <f t="shared" si="1"/>
        <v>00</v>
      </c>
      <c r="R55" s="47" t="str">
        <f t="shared" si="2"/>
        <v>0-205616</v>
      </c>
      <c r="S55" s="54">
        <v>12</v>
      </c>
      <c r="T55" s="57" t="s">
        <v>46</v>
      </c>
      <c r="U55" s="326" t="e">
        <f ca="1">_xlfn.XLOOKUP(PAA_4[[#This Row],[ITEM]],[2]Contrato!A:A,[2]Contrato!Q:Q,"",0)</f>
        <v>#NAME?</v>
      </c>
      <c r="V55" s="47" t="s">
        <v>47</v>
      </c>
      <c r="W55" s="47" t="s">
        <v>48</v>
      </c>
      <c r="X55" s="47" t="s">
        <v>48</v>
      </c>
      <c r="Y55" s="55" t="e">
        <f ca="1">_xlfn.XLOOKUP(PAA_4[[#This Row],[ITEM]],[2]Contrato!A:A,[2]Contrato!B:B,"",0)</f>
        <v>#NAME?</v>
      </c>
      <c r="Z55" s="47" t="e">
        <f ca="1">_xlfn.XLOOKUP(PAA_4[[#This Row],[ITEM]],[2]Contrato!A:A,[2]Contrato!G:G,"",0)</f>
        <v>#NAME?</v>
      </c>
      <c r="AA55" s="47" t="e">
        <f ca="1">_xlfn.XLOOKUP(PAA_4[[#This Row],[ITEM]],[2]Contrato!A:A,[2]Contrato!T:T,"",0)</f>
        <v>#NAME?</v>
      </c>
      <c r="AB55" s="55" t="e">
        <f ca="1">+MAX(PAA_4[[#This Row],[Comprometido Contrato]],PAA_4[[#This Row],[Comprometido Bolsa]])</f>
        <v>#NAME?</v>
      </c>
      <c r="AC55" s="55" t="str">
        <f t="shared" ca="1" si="3"/>
        <v/>
      </c>
      <c r="AD55" s="55" t="e">
        <f ca="1">IF(PAA_4[[#This Row],[ESTADO (formulado)]]="NO CONTRATADO",0,MAX(PAA_4[[#This Row],[Pago por Contrato]],PAA_4[[#This Row],[Pago por bolsa]]))</f>
        <v>#NAME?</v>
      </c>
      <c r="AE55" s="55" t="str">
        <f t="shared" ca="1" si="4"/>
        <v/>
      </c>
      <c r="AF55" s="47" t="e">
        <f t="shared" ca="1" si="5"/>
        <v>#NAME?</v>
      </c>
      <c r="AG55" s="47" t="str">
        <f t="shared" si="6"/>
        <v/>
      </c>
      <c r="AH55" s="54">
        <f>IF(Q55="22",IF(ISNUMBER(SEARCH("econ",PAA_4[[#This Row],[Actividad3]])),"Económico",IF(ISNUMBER(SEARCH("alim",PAA_4[[#This Row],[Actividad3]])),"Alimentación",IF(ISNUMBER(SEARCH("educ",PAA_4[[#This Row],[Actividad3]])),"Educativo","Técnico"))),0)</f>
        <v>0</v>
      </c>
      <c r="AI55" s="47" t="e" cm="1">
        <f t="array" aca="1" ref="AI55" ca="1">_xlfn.XLOOKUP(PAA_4[[#This Row],[RCP-RUBRO]],[2]!COMPROMISOS_2024[[#All],[concatenado]],[2]!COMPROMISOS_2024[[#All],[Total pagado]],"",0)</f>
        <v>#NAME?</v>
      </c>
      <c r="AJ55" s="56">
        <f>IF(PAA_4[[#This Row],[BOLSA]]=0,0,SUMIFS([2]!COMPROMISOS_2024[[#All],[Total pagado]],[2]!COMPROMISOS_2024[[#All],[Bolsa]],PAA_4[[#This Row],[BOLSA]],[2]!COMPROMISOS_2024[[#All],[rubro]],PAA_4[[#This Row],[RCP-RUBRO]]))</f>
        <v>0</v>
      </c>
      <c r="AK55" s="47" t="e" cm="1">
        <f t="array" aca="1" ref="AK55" ca="1">_xlfn.XLOOKUP(PAA_4[[#This Row],[RCP-RUBRO]],[2]!COMPROMISOS_2024[[#All],[concatenado]],[2]!COMPROMISOS_2024[[#All],[Total Comprometido]],"",0)</f>
        <v>#NAME?</v>
      </c>
      <c r="AL55" s="47">
        <f>IF(PAA_4[[#This Row],[BOLSA]]=0,0,SUMIFS([2]!COMPROMISOS_2024[[#All],[Total Comprometido]],[2]!COMPROMISOS_2024[[#All],[Bolsa]],PAA_4[[#This Row],[BOLSA]],[2]!COMPROMISOS_2024[[#All],[concatenado]],PAA_4[[#This Row],[RCP-RUBRO]]))</f>
        <v>0</v>
      </c>
    </row>
    <row r="56" spans="1:38" s="19" customFormat="1" ht="31.5" customHeight="1">
      <c r="A56" s="47">
        <v>27</v>
      </c>
      <c r="B56" s="47" t="s">
        <v>42</v>
      </c>
      <c r="C56" s="47" t="str">
        <f>VLOOKUP(PAA_4[[#This Row],[PROYECTO (formulado)2]],[2]PROYECTOS!$G$1:$L$32,6,0)</f>
        <v>SUBGERENCIA ADMINISTRATIVA Y FINANCIERA</v>
      </c>
      <c r="D56" s="47" t="str">
        <f>+IF(PAA_4[[#This Row],[UNIDAD DE CONTRATACION (formulado)]]="Subgerencia Administrativa y Financiera","FUNCIONAMIENTO","INVERSIÓN")</f>
        <v>FUNCIONAMIENTO</v>
      </c>
      <c r="E56" s="48" t="str">
        <f>VLOOKUP(Q56,[2]PROYECTOS!$G$1:$K$32,5,0)</f>
        <v>FUNCIONAMIENTO</v>
      </c>
      <c r="F56" s="48">
        <f>VLOOKUP(E56,[2]PROYECTOS!$K$1:$M$32,3,0)</f>
        <v>999999</v>
      </c>
      <c r="G56" s="49" t="s">
        <v>43</v>
      </c>
      <c r="H56" s="49">
        <f>VLOOKUP(Q56,[2]PROYECTOS!$V$1:$W$32,2,0)</f>
        <v>999999</v>
      </c>
      <c r="I56" s="50">
        <f>4050000+11522304</f>
        <v>15572304</v>
      </c>
      <c r="J56" s="51" t="s">
        <v>1290</v>
      </c>
      <c r="K56" s="47" t="str">
        <f t="shared" ca="1" si="0"/>
        <v>CONTRATADO</v>
      </c>
      <c r="L56" s="47" t="s">
        <v>44</v>
      </c>
      <c r="M56" s="47" t="s">
        <v>1236</v>
      </c>
      <c r="N56" s="52" t="s">
        <v>75</v>
      </c>
      <c r="O56" s="51" t="e">
        <f>VLOOKUP(N56,[2]!RUBROS[#All],3,0)</f>
        <v>#REF!</v>
      </c>
      <c r="P56" s="53" t="e">
        <f>VLOOKUP(N56,[2]!RUBROS[#All],2,0)</f>
        <v>#REF!</v>
      </c>
      <c r="Q56" s="47" t="str">
        <f t="shared" si="1"/>
        <v>00</v>
      </c>
      <c r="R56" s="47" t="str">
        <f t="shared" si="2"/>
        <v>0-205616</v>
      </c>
      <c r="S56" s="54">
        <v>12</v>
      </c>
      <c r="T56" s="57" t="s">
        <v>46</v>
      </c>
      <c r="U56" s="326" t="e">
        <f ca="1">_xlfn.XLOOKUP(PAA_4[[#This Row],[ITEM]],[2]Contrato!A:A,[2]Contrato!Q:Q,"",0)</f>
        <v>#NAME?</v>
      </c>
      <c r="V56" s="47" t="s">
        <v>47</v>
      </c>
      <c r="W56" s="47" t="s">
        <v>48</v>
      </c>
      <c r="X56" s="47" t="s">
        <v>48</v>
      </c>
      <c r="Y56" s="55" t="e">
        <f ca="1">_xlfn.XLOOKUP(PAA_4[[#This Row],[ITEM]],[2]Contrato!A:A,[2]Contrato!B:B,"",0)</f>
        <v>#NAME?</v>
      </c>
      <c r="Z56" s="47" t="e">
        <f ca="1">_xlfn.XLOOKUP(PAA_4[[#This Row],[ITEM]],[2]Contrato!A:A,[2]Contrato!G:G,"",0)</f>
        <v>#NAME?</v>
      </c>
      <c r="AA56" s="47" t="e">
        <f ca="1">_xlfn.XLOOKUP(PAA_4[[#This Row],[ITEM]],[2]Contrato!A:A,[2]Contrato!T:T,"",0)</f>
        <v>#NAME?</v>
      </c>
      <c r="AB56" s="55" t="e">
        <f ca="1">+MAX(PAA_4[[#This Row],[Comprometido Contrato]],PAA_4[[#This Row],[Comprometido Bolsa]])</f>
        <v>#NAME?</v>
      </c>
      <c r="AC56" s="55" t="str">
        <f t="shared" ca="1" si="3"/>
        <v/>
      </c>
      <c r="AD56" s="55" t="e">
        <f ca="1">IF(PAA_4[[#This Row],[ESTADO (formulado)]]="NO CONTRATADO",0,MAX(PAA_4[[#This Row],[Pago por Contrato]],PAA_4[[#This Row],[Pago por bolsa]]))</f>
        <v>#NAME?</v>
      </c>
      <c r="AE56" s="55" t="str">
        <f t="shared" ca="1" si="4"/>
        <v/>
      </c>
      <c r="AF56" s="47" t="e">
        <f t="shared" ca="1" si="5"/>
        <v>#NAME?</v>
      </c>
      <c r="AG56" s="47" t="str">
        <f t="shared" si="6"/>
        <v/>
      </c>
      <c r="AH56" s="54">
        <f>IF(Q56="22",IF(ISNUMBER(SEARCH("econ",PAA_4[[#This Row],[Actividad3]])),"Económico",IF(ISNUMBER(SEARCH("alim",PAA_4[[#This Row],[Actividad3]])),"Alimentación",IF(ISNUMBER(SEARCH("educ",PAA_4[[#This Row],[Actividad3]])),"Educativo","Técnico"))),0)</f>
        <v>0</v>
      </c>
      <c r="AI56" s="47" t="e" cm="1">
        <f t="array" aca="1" ref="AI56" ca="1">_xlfn.XLOOKUP(PAA_4[[#This Row],[RCP-RUBRO]],[2]!COMPROMISOS_2024[[#All],[concatenado]],[2]!COMPROMISOS_2024[[#All],[Total pagado]],"",0)</f>
        <v>#NAME?</v>
      </c>
      <c r="AJ56" s="56">
        <f>IF(PAA_4[[#This Row],[BOLSA]]=0,0,SUMIFS([2]!COMPROMISOS_2024[[#All],[Total pagado]],[2]!COMPROMISOS_2024[[#All],[Bolsa]],PAA_4[[#This Row],[BOLSA]],[2]!COMPROMISOS_2024[[#All],[rubro]],PAA_4[[#This Row],[RCP-RUBRO]]))</f>
        <v>0</v>
      </c>
      <c r="AK56" s="47" t="e" cm="1">
        <f t="array" aca="1" ref="AK56" ca="1">_xlfn.XLOOKUP(PAA_4[[#This Row],[RCP-RUBRO]],[2]!COMPROMISOS_2024[[#All],[concatenado]],[2]!COMPROMISOS_2024[[#All],[Total Comprometido]],"",0)</f>
        <v>#NAME?</v>
      </c>
      <c r="AL56" s="47">
        <f>IF(PAA_4[[#This Row],[BOLSA]]=0,0,SUMIFS([2]!COMPROMISOS_2024[[#All],[Total Comprometido]],[2]!COMPROMISOS_2024[[#All],[Bolsa]],PAA_4[[#This Row],[BOLSA]],[2]!COMPROMISOS_2024[[#All],[concatenado]],PAA_4[[#This Row],[RCP-RUBRO]]))</f>
        <v>0</v>
      </c>
    </row>
    <row r="57" spans="1:38" s="19" customFormat="1" ht="31.5" customHeight="1">
      <c r="A57" s="47">
        <v>28</v>
      </c>
      <c r="B57" s="47" t="s">
        <v>42</v>
      </c>
      <c r="C57" s="47" t="str">
        <f>VLOOKUP(PAA_4[[#This Row],[PROYECTO (formulado)2]],[2]PROYECTOS!$G$1:$L$32,6,0)</f>
        <v>SUBGERENCIA ADMINISTRATIVA Y FINANCIERA</v>
      </c>
      <c r="D57" s="47" t="str">
        <f>+IF(PAA_4[[#This Row],[UNIDAD DE CONTRATACION (formulado)]]="Subgerencia Administrativa y Financiera","FUNCIONAMIENTO","INVERSIÓN")</f>
        <v>FUNCIONAMIENTO</v>
      </c>
      <c r="E57" s="48" t="str">
        <f>VLOOKUP(Q57,[2]PROYECTOS!$G$1:$K$32,5,0)</f>
        <v>FUNCIONAMIENTO</v>
      </c>
      <c r="F57" s="48">
        <f>VLOOKUP(E57,[2]PROYECTOS!$K$1:$M$32,3,0)</f>
        <v>999999</v>
      </c>
      <c r="G57" s="49" t="s">
        <v>43</v>
      </c>
      <c r="H57" s="49">
        <f>VLOOKUP(Q57,[2]PROYECTOS!$V$1:$W$32,2,0)</f>
        <v>999999</v>
      </c>
      <c r="I57" s="50">
        <v>0</v>
      </c>
      <c r="J57" s="51" t="s">
        <v>1291</v>
      </c>
      <c r="K57" s="47" t="str">
        <f t="shared" ca="1" si="0"/>
        <v>CONTRATADO</v>
      </c>
      <c r="L57" s="47" t="s">
        <v>44</v>
      </c>
      <c r="M57" s="47" t="s">
        <v>1236</v>
      </c>
      <c r="N57" s="52" t="s">
        <v>76</v>
      </c>
      <c r="O57" s="51" t="e">
        <f>VLOOKUP(N57,[2]!RUBROS[#All],3,0)</f>
        <v>#REF!</v>
      </c>
      <c r="P57" s="53" t="e">
        <f>VLOOKUP(N57,[2]!RUBROS[#All],2,0)</f>
        <v>#REF!</v>
      </c>
      <c r="Q57" s="47" t="str">
        <f t="shared" si="1"/>
        <v>00</v>
      </c>
      <c r="R57" s="47" t="str">
        <f t="shared" si="2"/>
        <v>0-205616</v>
      </c>
      <c r="S57" s="54">
        <v>12</v>
      </c>
      <c r="T57" s="57" t="s">
        <v>46</v>
      </c>
      <c r="U57" s="326" t="e">
        <f ca="1">_xlfn.XLOOKUP(PAA_4[[#This Row],[ITEM]],[2]Contrato!A:A,[2]Contrato!Q:Q,"",0)</f>
        <v>#NAME?</v>
      </c>
      <c r="V57" s="47" t="s">
        <v>47</v>
      </c>
      <c r="W57" s="47" t="s">
        <v>48</v>
      </c>
      <c r="X57" s="47" t="s">
        <v>48</v>
      </c>
      <c r="Y57" s="55" t="e">
        <f ca="1">_xlfn.XLOOKUP(PAA_4[[#This Row],[ITEM]],[2]Contrato!A:A,[2]Contrato!B:B,"",0)</f>
        <v>#NAME?</v>
      </c>
      <c r="Z57" s="47" t="e">
        <f ca="1">_xlfn.XLOOKUP(PAA_4[[#This Row],[ITEM]],[2]Contrato!A:A,[2]Contrato!G:G,"",0)</f>
        <v>#NAME?</v>
      </c>
      <c r="AA57" s="47" t="e">
        <f ca="1">_xlfn.XLOOKUP(PAA_4[[#This Row],[ITEM]],[2]Contrato!A:A,[2]Contrato!T:T,"",0)</f>
        <v>#NAME?</v>
      </c>
      <c r="AB57" s="55" t="e">
        <f ca="1">+MAX(PAA_4[[#This Row],[Comprometido Contrato]],PAA_4[[#This Row],[Comprometido Bolsa]])</f>
        <v>#NAME?</v>
      </c>
      <c r="AC57" s="55" t="str">
        <f t="shared" ca="1" si="3"/>
        <v/>
      </c>
      <c r="AD57" s="55" t="e">
        <f ca="1">IF(PAA_4[[#This Row],[ESTADO (formulado)]]="NO CONTRATADO",0,MAX(PAA_4[[#This Row],[Pago por Contrato]],PAA_4[[#This Row],[Pago por bolsa]]))</f>
        <v>#NAME?</v>
      </c>
      <c r="AE57" s="55" t="str">
        <f t="shared" ca="1" si="4"/>
        <v/>
      </c>
      <c r="AF57" s="47" t="e">
        <f t="shared" ca="1" si="5"/>
        <v>#NAME?</v>
      </c>
      <c r="AG57" s="47" t="str">
        <f t="shared" si="6"/>
        <v/>
      </c>
      <c r="AH57" s="54">
        <f>IF(Q57="22",IF(ISNUMBER(SEARCH("econ",PAA_4[[#This Row],[Actividad3]])),"Económico",IF(ISNUMBER(SEARCH("alim",PAA_4[[#This Row],[Actividad3]])),"Alimentación",IF(ISNUMBER(SEARCH("educ",PAA_4[[#This Row],[Actividad3]])),"Educativo","Técnico"))),0)</f>
        <v>0</v>
      </c>
      <c r="AI57" s="47" t="e" cm="1">
        <f t="array" aca="1" ref="AI57" ca="1">_xlfn.XLOOKUP(PAA_4[[#This Row],[RCP-RUBRO]],[2]!COMPROMISOS_2024[[#All],[concatenado]],[2]!COMPROMISOS_2024[[#All],[Total pagado]],"",0)</f>
        <v>#NAME?</v>
      </c>
      <c r="AJ57" s="56">
        <f>IF(PAA_4[[#This Row],[BOLSA]]=0,0,SUMIFS([2]!COMPROMISOS_2024[[#All],[Total pagado]],[2]!COMPROMISOS_2024[[#All],[Bolsa]],PAA_4[[#This Row],[BOLSA]],[2]!COMPROMISOS_2024[[#All],[rubro]],PAA_4[[#This Row],[RCP-RUBRO]]))</f>
        <v>0</v>
      </c>
      <c r="AK57" s="47" t="e" cm="1">
        <f t="array" aca="1" ref="AK57" ca="1">_xlfn.XLOOKUP(PAA_4[[#This Row],[RCP-RUBRO]],[2]!COMPROMISOS_2024[[#All],[concatenado]],[2]!COMPROMISOS_2024[[#All],[Total Comprometido]],"",0)</f>
        <v>#NAME?</v>
      </c>
      <c r="AL57" s="47">
        <f>IF(PAA_4[[#This Row],[BOLSA]]=0,0,SUMIFS([2]!COMPROMISOS_2024[[#All],[Total Comprometido]],[2]!COMPROMISOS_2024[[#All],[Bolsa]],PAA_4[[#This Row],[BOLSA]],[2]!COMPROMISOS_2024[[#All],[concatenado]],PAA_4[[#This Row],[RCP-RUBRO]]))</f>
        <v>0</v>
      </c>
    </row>
    <row r="58" spans="1:38" s="19" customFormat="1" ht="31.5" customHeight="1">
      <c r="A58" s="47">
        <v>518</v>
      </c>
      <c r="B58" s="47" t="s">
        <v>77</v>
      </c>
      <c r="C58" s="47" t="str">
        <f>VLOOKUP(PAA_4[[#This Row],[PROYECTO (formulado)2]],[2]PROYECTOS!$G$1:$L$32,6,0)</f>
        <v>SUBGERENCIA ADMINISTRATIVA Y FINANCIERA</v>
      </c>
      <c r="D58" s="47" t="str">
        <f>+IF(PAA_4[[#This Row],[UNIDAD DE CONTRATACION (formulado)]]="Subgerencia Administrativa y Financiera","FUNCIONAMIENTO","INVERSIÓN")</f>
        <v>FUNCIONAMIENTO</v>
      </c>
      <c r="E58" s="48" t="str">
        <f>VLOOKUP(Q58,[2]PROYECTOS!$G$1:$K$32,5,0)</f>
        <v>FUNCIONAMIENTO</v>
      </c>
      <c r="F58" s="48">
        <f>VLOOKUP(E58,[2]PROYECTOS!$K$1:$M$32,3,0)</f>
        <v>999999</v>
      </c>
      <c r="G58" s="49" t="s">
        <v>43</v>
      </c>
      <c r="H58" s="49">
        <f>VLOOKUP(Q58,[2]PROYECTOS!$V$1:$W$32,2,0)</f>
        <v>999999</v>
      </c>
      <c r="I58" s="50">
        <v>3469991</v>
      </c>
      <c r="J58" s="51" t="s">
        <v>1292</v>
      </c>
      <c r="K58" s="47" t="str">
        <f t="shared" ca="1" si="0"/>
        <v>CONTRATADO</v>
      </c>
      <c r="L58" s="47" t="s">
        <v>78</v>
      </c>
      <c r="M58" s="47" t="s">
        <v>79</v>
      </c>
      <c r="N58" s="52" t="s">
        <v>80</v>
      </c>
      <c r="O58" s="51" t="e">
        <f>VLOOKUP(N58,[2]!RUBROS[#All],3,0)</f>
        <v>#REF!</v>
      </c>
      <c r="P58" s="53" t="e">
        <f>VLOOKUP(N58,[2]!RUBROS[#All],2,0)</f>
        <v>#REF!</v>
      </c>
      <c r="Q58" s="47" t="str">
        <f t="shared" si="1"/>
        <v>00</v>
      </c>
      <c r="R58" s="47" t="str">
        <f t="shared" si="2"/>
        <v>0-205616</v>
      </c>
      <c r="S58" s="54">
        <v>76</v>
      </c>
      <c r="T58" s="59" t="s">
        <v>81</v>
      </c>
      <c r="U58" s="326" t="e">
        <f ca="1">_xlfn.XLOOKUP(PAA_4[[#This Row],[ITEM]],[2]Contrato!A:A,[2]Contrato!Q:Q,"",0)</f>
        <v>#NAME?</v>
      </c>
      <c r="V58" s="47" t="s">
        <v>47</v>
      </c>
      <c r="W58" s="47" t="s">
        <v>48</v>
      </c>
      <c r="X58" s="47" t="s">
        <v>48</v>
      </c>
      <c r="Y58" s="55" t="e">
        <f ca="1">_xlfn.XLOOKUP(PAA_4[[#This Row],[ITEM]],[2]Contrato!A:A,[2]Contrato!B:B,"",0)</f>
        <v>#NAME?</v>
      </c>
      <c r="Z58" s="47" t="e">
        <f ca="1">_xlfn.XLOOKUP(PAA_4[[#This Row],[ITEM]],[2]Contrato!A:A,[2]Contrato!G:G,"",0)</f>
        <v>#NAME?</v>
      </c>
      <c r="AA58" s="47" t="e">
        <f ca="1">_xlfn.XLOOKUP(PAA_4[[#This Row],[ITEM]],[2]Contrato!A:A,[2]Contrato!T:T,"",0)</f>
        <v>#NAME?</v>
      </c>
      <c r="AB58" s="55" t="e">
        <f ca="1">+MAX(PAA_4[[#This Row],[Comprometido Contrato]],PAA_4[[#This Row],[Comprometido Bolsa]])</f>
        <v>#NAME?</v>
      </c>
      <c r="AC58" s="55" t="str">
        <f t="shared" ca="1" si="3"/>
        <v/>
      </c>
      <c r="AD58" s="55" t="e">
        <f ca="1">IF(PAA_4[[#This Row],[ESTADO (formulado)]]="NO CONTRATADO",0,MAX(PAA_4[[#This Row],[Pago por Contrato]],PAA_4[[#This Row],[Pago por bolsa]]))</f>
        <v>#NAME?</v>
      </c>
      <c r="AE58" s="55" t="str">
        <f t="shared" ca="1" si="4"/>
        <v/>
      </c>
      <c r="AF58" s="47" t="e">
        <f t="shared" ca="1" si="5"/>
        <v>#NAME?</v>
      </c>
      <c r="AG58" s="47" t="str">
        <f t="shared" si="6"/>
        <v/>
      </c>
      <c r="AH58" s="54">
        <f>IF(Q58="22",IF(ISNUMBER(SEARCH("econ",PAA_4[[#This Row],[Actividad3]])),"Económico",IF(ISNUMBER(SEARCH("alim",PAA_4[[#This Row],[Actividad3]])),"Alimentación",IF(ISNUMBER(SEARCH("educ",PAA_4[[#This Row],[Actividad3]])),"Educativo","Técnico"))),0)</f>
        <v>0</v>
      </c>
      <c r="AI58" s="47" t="e" cm="1">
        <f t="array" aca="1" ref="AI58" ca="1">_xlfn.XLOOKUP(PAA_4[[#This Row],[RCP-RUBRO]],[2]!COMPROMISOS_2024[[#All],[concatenado]],[2]!COMPROMISOS_2024[[#All],[Total pagado]],"",0)</f>
        <v>#NAME?</v>
      </c>
      <c r="AJ58" s="56">
        <f>IF(PAA_4[[#This Row],[BOLSA]]=0,0,SUMIFS([2]!COMPROMISOS_2024[[#All],[Total pagado]],[2]!COMPROMISOS_2024[[#All],[Bolsa]],PAA_4[[#This Row],[BOLSA]],[2]!COMPROMISOS_2024[[#All],[rubro]],PAA_4[[#This Row],[RCP-RUBRO]]))</f>
        <v>0</v>
      </c>
      <c r="AK58" s="47" t="e" cm="1">
        <f t="array" aca="1" ref="AK58" ca="1">_xlfn.XLOOKUP(PAA_4[[#This Row],[RCP-RUBRO]],[2]!COMPROMISOS_2024[[#All],[concatenado]],[2]!COMPROMISOS_2024[[#All],[Total Comprometido]],"",0)</f>
        <v>#NAME?</v>
      </c>
      <c r="AL58" s="47">
        <f>IF(PAA_4[[#This Row],[BOLSA]]=0,0,SUMIFS([2]!COMPROMISOS_2024[[#All],[Total Comprometido]],[2]!COMPROMISOS_2024[[#All],[Bolsa]],PAA_4[[#This Row],[BOLSA]],[2]!COMPROMISOS_2024[[#All],[concatenado]],PAA_4[[#This Row],[RCP-RUBRO]]))</f>
        <v>0</v>
      </c>
    </row>
    <row r="59" spans="1:38" s="19" customFormat="1" ht="31.5" customHeight="1">
      <c r="A59" s="47">
        <v>1334</v>
      </c>
      <c r="B59" s="47" t="s">
        <v>1293</v>
      </c>
      <c r="C59" s="47" t="str">
        <f>VLOOKUP(PAA_4[[#This Row],[PROYECTO (formulado)2]],[2]PROYECTOS!$G$1:$L$32,6,0)</f>
        <v>SUBGERENCIA ADMINISTRATIVA Y FINANCIERA</v>
      </c>
      <c r="D59" s="47" t="str">
        <f>+IF(PAA_4[[#This Row],[UNIDAD DE CONTRATACION (formulado)]]="Subgerencia Administrativa y Financiera","FUNCIONAMIENTO","INVERSIÓN")</f>
        <v>FUNCIONAMIENTO</v>
      </c>
      <c r="E59" s="48" t="str">
        <f>VLOOKUP(Q59,[2]PROYECTOS!$G$1:$K$32,5,0)</f>
        <v>FUNCIONAMIENTO</v>
      </c>
      <c r="F59" s="48">
        <f>VLOOKUP(E59,[2]PROYECTOS!$K$1:$M$32,3,0)</f>
        <v>999999</v>
      </c>
      <c r="G59" s="49" t="s">
        <v>43</v>
      </c>
      <c r="H59" s="49">
        <f>VLOOKUP(Q59,[2]PROYECTOS!$V$1:$W$32,2,0)</f>
        <v>999999</v>
      </c>
      <c r="I59" s="50">
        <v>12385141</v>
      </c>
      <c r="J59" s="51" t="s">
        <v>1294</v>
      </c>
      <c r="K59" s="47" t="str">
        <f t="shared" ca="1" si="0"/>
        <v>CONTRATADO</v>
      </c>
      <c r="L59" s="327" t="s">
        <v>94</v>
      </c>
      <c r="M59" s="47" t="s">
        <v>494</v>
      </c>
      <c r="N59" s="52" t="s">
        <v>155</v>
      </c>
      <c r="O59" s="51" t="e">
        <f>VLOOKUP(N59,[2]!RUBROS[#All],3,0)</f>
        <v>#REF!</v>
      </c>
      <c r="P59" s="53" t="e">
        <f>VLOOKUP(N59,[2]!RUBROS[#All],2,0)</f>
        <v>#REF!</v>
      </c>
      <c r="Q59" s="47" t="str">
        <f t="shared" si="1"/>
        <v>00</v>
      </c>
      <c r="R59" s="47" t="str">
        <f t="shared" si="2"/>
        <v>4-205616</v>
      </c>
      <c r="S59" s="54">
        <v>7</v>
      </c>
      <c r="T59" s="63" t="s">
        <v>120</v>
      </c>
      <c r="U59" s="326" t="e">
        <f ca="1">_xlfn.XLOOKUP(PAA_4[[#This Row],[ITEM]],[2]Contrato!A:A,[2]Contrato!Q:Q,"",0)</f>
        <v>#NAME?</v>
      </c>
      <c r="V59" s="47" t="s">
        <v>95</v>
      </c>
      <c r="W59" s="47" t="s">
        <v>201</v>
      </c>
      <c r="X59" s="47" t="s">
        <v>201</v>
      </c>
      <c r="Y59" s="55" t="e">
        <f ca="1">_xlfn.XLOOKUP(PAA_4[[#This Row],[ITEM]],[2]Contrato!A:A,[2]Contrato!B:B,"",0)</f>
        <v>#NAME?</v>
      </c>
      <c r="Z59" s="47" t="e">
        <f ca="1">_xlfn.XLOOKUP(PAA_4[[#This Row],[ITEM]],[2]Contrato!A:A,[2]Contrato!G:G,"",0)</f>
        <v>#NAME?</v>
      </c>
      <c r="AA59" s="47" t="e">
        <f ca="1">_xlfn.XLOOKUP(PAA_4[[#This Row],[ITEM]],[2]Contrato!A:A,[2]Contrato!T:T,"",0)</f>
        <v>#NAME?</v>
      </c>
      <c r="AB59" s="55" t="e">
        <f ca="1">+MAX(PAA_4[[#This Row],[Comprometido Contrato]],PAA_4[[#This Row],[Comprometido Bolsa]])</f>
        <v>#NAME?</v>
      </c>
      <c r="AC59" s="55" t="str">
        <f t="shared" ca="1" si="3"/>
        <v/>
      </c>
      <c r="AD59" s="55" t="e">
        <f ca="1">IF(PAA_4[[#This Row],[ESTADO (formulado)]]="NO CONTRATADO",0,MAX(PAA_4[[#This Row],[Pago por Contrato]],PAA_4[[#This Row],[Pago por bolsa]]))</f>
        <v>#NAME?</v>
      </c>
      <c r="AE59" s="55" t="str">
        <f t="shared" ca="1" si="4"/>
        <v/>
      </c>
      <c r="AF59" s="47" t="e">
        <f t="shared" ca="1" si="5"/>
        <v>#NAME?</v>
      </c>
      <c r="AG59" s="47" t="str">
        <f t="shared" si="6"/>
        <v/>
      </c>
      <c r="AH59" s="54">
        <f>IF(Q59="22",IF(ISNUMBER(SEARCH("econ",PAA_4[[#This Row],[Actividad3]])),"Económico",IF(ISNUMBER(SEARCH("alim",PAA_4[[#This Row],[Actividad3]])),"Alimentación",IF(ISNUMBER(SEARCH("educ",PAA_4[[#This Row],[Actividad3]])),"Educativo","Técnico"))),0)</f>
        <v>0</v>
      </c>
      <c r="AI59" s="47" t="e" cm="1">
        <f t="array" aca="1" ref="AI59" ca="1">_xlfn.XLOOKUP(PAA_4[[#This Row],[RCP-RUBRO]],[2]!COMPROMISOS_2024[[#All],[concatenado]],[2]!COMPROMISOS_2024[[#All],[Total pagado]],"",0)</f>
        <v>#NAME?</v>
      </c>
      <c r="AJ59" s="56">
        <f>IF(PAA_4[[#This Row],[BOLSA]]=0,0,SUMIFS([2]!COMPROMISOS_2024[[#All],[Total pagado]],[2]!COMPROMISOS_2024[[#All],[Bolsa]],PAA_4[[#This Row],[BOLSA]],[2]!COMPROMISOS_2024[[#All],[rubro]],PAA_4[[#This Row],[RCP-RUBRO]]))</f>
        <v>0</v>
      </c>
      <c r="AK59" s="47" t="e" cm="1">
        <f t="array" aca="1" ref="AK59" ca="1">_xlfn.XLOOKUP(PAA_4[[#This Row],[RCP-RUBRO]],[2]!COMPROMISOS_2024[[#All],[concatenado]],[2]!COMPROMISOS_2024[[#All],[Total Comprometido]],"",0)</f>
        <v>#NAME?</v>
      </c>
      <c r="AL59" s="47">
        <f>IF(PAA_4[[#This Row],[BOLSA]]=0,0,SUMIFS([2]!COMPROMISOS_2024[[#All],[Total Comprometido]],[2]!COMPROMISOS_2024[[#All],[Bolsa]],PAA_4[[#This Row],[BOLSA]],[2]!COMPROMISOS_2024[[#All],[concatenado]],PAA_4[[#This Row],[RCP-RUBRO]]))</f>
        <v>0</v>
      </c>
    </row>
    <row r="60" spans="1:38" s="19" customFormat="1" ht="31.5" customHeight="1">
      <c r="A60" s="47">
        <v>1334</v>
      </c>
      <c r="B60" s="47" t="s">
        <v>1293</v>
      </c>
      <c r="C60" s="47" t="str">
        <f>VLOOKUP(PAA_4[[#This Row],[PROYECTO (formulado)2]],[2]PROYECTOS!$G$1:$L$32,6,0)</f>
        <v>SUBGERENCIA ADMINISTRATIVA Y FINANCIERA</v>
      </c>
      <c r="D60" s="47" t="str">
        <f>+IF(PAA_4[[#This Row],[UNIDAD DE CONTRATACION (formulado)]]="Subgerencia Administrativa y Financiera","FUNCIONAMIENTO","INVERSIÓN")</f>
        <v>FUNCIONAMIENTO</v>
      </c>
      <c r="E60" s="48" t="str">
        <f>VLOOKUP(Q60,[2]PROYECTOS!$G$1:$K$32,5,0)</f>
        <v>FUNCIONAMIENTO</v>
      </c>
      <c r="F60" s="48">
        <f>VLOOKUP(E60,[2]PROYECTOS!$K$1:$M$32,3,0)</f>
        <v>999999</v>
      </c>
      <c r="G60" s="49" t="s">
        <v>43</v>
      </c>
      <c r="H60" s="49">
        <f>VLOOKUP(Q60,[2]PROYECTOS!$V$1:$W$32,2,0)</f>
        <v>999999</v>
      </c>
      <c r="I60" s="50">
        <v>1454909</v>
      </c>
      <c r="J60" s="51" t="s">
        <v>1294</v>
      </c>
      <c r="K60" s="47" t="str">
        <f t="shared" ca="1" si="0"/>
        <v>CONTRATADO</v>
      </c>
      <c r="L60" s="327" t="s">
        <v>94</v>
      </c>
      <c r="M60" s="47" t="s">
        <v>494</v>
      </c>
      <c r="N60" s="52" t="s">
        <v>1283</v>
      </c>
      <c r="O60" s="51" t="e">
        <f>VLOOKUP(N60,[2]!RUBROS[#All],3,0)</f>
        <v>#REF!</v>
      </c>
      <c r="P60" s="53" t="e">
        <f>VLOOKUP(N60,[2]!RUBROS[#All],2,0)</f>
        <v>#REF!</v>
      </c>
      <c r="Q60" s="47" t="str">
        <f t="shared" si="1"/>
        <v>00</v>
      </c>
      <c r="R60" s="47" t="str">
        <f t="shared" si="2"/>
        <v>0-101024</v>
      </c>
      <c r="S60" s="54">
        <v>7</v>
      </c>
      <c r="T60" s="63" t="s">
        <v>120</v>
      </c>
      <c r="U60" s="326" t="e">
        <f ca="1">_xlfn.XLOOKUP(PAA_4[[#This Row],[ITEM]],[2]Contrato!A:A,[2]Contrato!Q:Q,"",0)</f>
        <v>#NAME?</v>
      </c>
      <c r="V60" s="47" t="s">
        <v>95</v>
      </c>
      <c r="W60" s="47" t="s">
        <v>201</v>
      </c>
      <c r="X60" s="47" t="s">
        <v>201</v>
      </c>
      <c r="Y60" s="55" t="e">
        <f ca="1">_xlfn.XLOOKUP(PAA_4[[#This Row],[ITEM]],[2]Contrato!A:A,[2]Contrato!B:B,"",0)</f>
        <v>#NAME?</v>
      </c>
      <c r="Z60" s="47" t="e">
        <f ca="1">_xlfn.XLOOKUP(PAA_4[[#This Row],[ITEM]],[2]Contrato!A:A,[2]Contrato!G:G,"",0)</f>
        <v>#NAME?</v>
      </c>
      <c r="AA60" s="47" t="e">
        <f ca="1">_xlfn.XLOOKUP(PAA_4[[#This Row],[ITEM]],[2]Contrato!A:A,[2]Contrato!T:T,"",0)</f>
        <v>#NAME?</v>
      </c>
      <c r="AB60" s="55" t="e">
        <f ca="1">+MAX(PAA_4[[#This Row],[Comprometido Contrato]],PAA_4[[#This Row],[Comprometido Bolsa]])</f>
        <v>#NAME?</v>
      </c>
      <c r="AC60" s="55" t="str">
        <f t="shared" ca="1" si="3"/>
        <v/>
      </c>
      <c r="AD60" s="55" t="e">
        <f ca="1">IF(PAA_4[[#This Row],[ESTADO (formulado)]]="NO CONTRATADO",0,MAX(PAA_4[[#This Row],[Pago por Contrato]],PAA_4[[#This Row],[Pago por bolsa]]))</f>
        <v>#NAME?</v>
      </c>
      <c r="AE60" s="55" t="str">
        <f t="shared" ca="1" si="4"/>
        <v/>
      </c>
      <c r="AF60" s="47" t="e">
        <f t="shared" ca="1" si="5"/>
        <v>#NAME?</v>
      </c>
      <c r="AG60" s="47" t="str">
        <f t="shared" si="6"/>
        <v/>
      </c>
      <c r="AH60" s="54">
        <f>IF(Q60="22",IF(ISNUMBER(SEARCH("econ",PAA_4[[#This Row],[Actividad3]])),"Económico",IF(ISNUMBER(SEARCH("alim",PAA_4[[#This Row],[Actividad3]])),"Alimentación",IF(ISNUMBER(SEARCH("educ",PAA_4[[#This Row],[Actividad3]])),"Educativo","Técnico"))),0)</f>
        <v>0</v>
      </c>
      <c r="AI60" s="47" t="e" cm="1">
        <f t="array" aca="1" ref="AI60" ca="1">_xlfn.XLOOKUP(PAA_4[[#This Row],[RCP-RUBRO]],[2]!COMPROMISOS_2024[[#All],[concatenado]],[2]!COMPROMISOS_2024[[#All],[Total pagado]],"",0)</f>
        <v>#NAME?</v>
      </c>
      <c r="AJ60" s="56">
        <f>IF(PAA_4[[#This Row],[BOLSA]]=0,0,SUMIFS([2]!COMPROMISOS_2024[[#All],[Total pagado]],[2]!COMPROMISOS_2024[[#All],[Bolsa]],PAA_4[[#This Row],[BOLSA]],[2]!COMPROMISOS_2024[[#All],[rubro]],PAA_4[[#This Row],[RCP-RUBRO]]))</f>
        <v>0</v>
      </c>
      <c r="AK60" s="47" t="e" cm="1">
        <f t="array" aca="1" ref="AK60" ca="1">_xlfn.XLOOKUP(PAA_4[[#This Row],[RCP-RUBRO]],[2]!COMPROMISOS_2024[[#All],[concatenado]],[2]!COMPROMISOS_2024[[#All],[Total Comprometido]],"",0)</f>
        <v>#NAME?</v>
      </c>
      <c r="AL60" s="47">
        <f>IF(PAA_4[[#This Row],[BOLSA]]=0,0,SUMIFS([2]!COMPROMISOS_2024[[#All],[Total Comprometido]],[2]!COMPROMISOS_2024[[#All],[Bolsa]],PAA_4[[#This Row],[BOLSA]],[2]!COMPROMISOS_2024[[#All],[concatenado]],PAA_4[[#This Row],[RCP-RUBRO]]))</f>
        <v>0</v>
      </c>
    </row>
    <row r="61" spans="1:38" s="19" customFormat="1" ht="31.5" customHeight="1">
      <c r="A61" s="47" t="s">
        <v>82</v>
      </c>
      <c r="B61" s="47" t="s">
        <v>42</v>
      </c>
      <c r="C61" s="47" t="str">
        <f>VLOOKUP(PAA_4[[#This Row],[PROYECTO (formulado)2]],[2]PROYECTOS!$G$1:$L$32,6,0)</f>
        <v>SUBGERENCIA ADMINISTRATIVA Y FINANCIERA</v>
      </c>
      <c r="D61" s="47" t="str">
        <f>+IF(PAA_4[[#This Row],[UNIDAD DE CONTRATACION (formulado)]]="Subgerencia Administrativa y Financiera","FUNCIONAMIENTO","INVERSIÓN")</f>
        <v>FUNCIONAMIENTO</v>
      </c>
      <c r="E61" s="48" t="str">
        <f>VLOOKUP(Q61,[2]PROYECTOS!$G$1:$K$32,5,0)</f>
        <v>FUNCIONAMIENTO</v>
      </c>
      <c r="F61" s="48">
        <f>VLOOKUP(E61,[2]PROYECTOS!$K$1:$M$32,3,0)</f>
        <v>999999</v>
      </c>
      <c r="G61" s="49" t="s">
        <v>43</v>
      </c>
      <c r="H61" s="49">
        <f>VLOOKUP(Q61,[2]PROYECTOS!$V$1:$W$32,2,0)</f>
        <v>999999</v>
      </c>
      <c r="I61" s="50">
        <v>229303</v>
      </c>
      <c r="J61" s="51" t="s">
        <v>1295</v>
      </c>
      <c r="K61" s="47" t="str">
        <f ca="1">IF(ISNONTEXT(Y61)=TRUE,"CONTRATADO","NO CONTRATADO")</f>
        <v>CONTRATADO</v>
      </c>
      <c r="L61" s="328" t="s">
        <v>42</v>
      </c>
      <c r="M61" s="47" t="s">
        <v>42</v>
      </c>
      <c r="N61" s="52" t="s">
        <v>1283</v>
      </c>
      <c r="O61" s="51" t="e">
        <f>VLOOKUP(N61,[2]!RUBROS[#All],3,0)</f>
        <v>#REF!</v>
      </c>
      <c r="P61" s="53" t="e">
        <f>VLOOKUP(N61,[2]!RUBROS[#All],2,0)</f>
        <v>#REF!</v>
      </c>
      <c r="Q61" s="47" t="str">
        <f>+MID(N61,11,2)</f>
        <v>00</v>
      </c>
      <c r="R61" s="47" t="str">
        <f>+MID(N61,14,8)</f>
        <v>0-101024</v>
      </c>
      <c r="S61" s="54" t="s">
        <v>42</v>
      </c>
      <c r="T61" s="329" t="s">
        <v>42</v>
      </c>
      <c r="U61" s="326" t="e">
        <f ca="1">_xlfn.XLOOKUP(PAA_4[[#This Row],[ITEM]],[2]Contrato!A:A,[2]Contrato!Q:Q,"",0)</f>
        <v>#NAME?</v>
      </c>
      <c r="V61" s="47" t="s">
        <v>95</v>
      </c>
      <c r="W61" s="47" t="s">
        <v>42</v>
      </c>
      <c r="X61" s="47" t="s">
        <v>42</v>
      </c>
      <c r="Y61" s="55" t="e">
        <f ca="1">_xlfn.XLOOKUP(PAA_4[[#This Row],[ITEM]],[2]Contrato!A:A,[2]Contrato!B:B,"",0)</f>
        <v>#NAME?</v>
      </c>
      <c r="Z61" s="47" t="e">
        <f ca="1">_xlfn.XLOOKUP(PAA_4[[#This Row],[ITEM]],[2]Contrato!A:A,[2]Contrato!G:G,"",0)</f>
        <v>#NAME?</v>
      </c>
      <c r="AA61" s="47" t="e">
        <f ca="1">_xlfn.XLOOKUP(PAA_4[[#This Row],[ITEM]],[2]Contrato!A:A,[2]Contrato!T:T,"",0)</f>
        <v>#NAME?</v>
      </c>
      <c r="AB61" s="55" t="e">
        <f ca="1">+MAX(PAA_4[[#This Row],[Comprometido Contrato]],PAA_4[[#This Row],[Comprometido Bolsa]])</f>
        <v>#NAME?</v>
      </c>
      <c r="AC61" s="55" t="str">
        <f ca="1">IFERROR(I61-AB61,"")</f>
        <v/>
      </c>
      <c r="AD61" s="55" t="e">
        <f ca="1">IF(PAA_4[[#This Row],[ESTADO (formulado)]]="NO CONTRATADO",0,MAX(PAA_4[[#This Row],[Pago por Contrato]],PAA_4[[#This Row],[Pago por bolsa]]))</f>
        <v>#NAME?</v>
      </c>
      <c r="AE61" s="55" t="str">
        <f ca="1">+IFERROR(AB61-AD61,"")</f>
        <v/>
      </c>
      <c r="AF61" s="47" t="e">
        <f ca="1">+CONCATENATE(AA61,N61)</f>
        <v>#NAME?</v>
      </c>
      <c r="AG61" s="47" t="str">
        <f>IFERROR(_xlfn.NUMBERVALUE(MID(G61,1,8)),"")</f>
        <v/>
      </c>
      <c r="AH61" s="54">
        <f>IF(Q61="22",IF(ISNUMBER(SEARCH("econ",PAA_4[[#This Row],[Actividad3]])),"Económico",IF(ISNUMBER(SEARCH("alim",PAA_4[[#This Row],[Actividad3]])),"Alimentación",IF(ISNUMBER(SEARCH("educ",PAA_4[[#This Row],[Actividad3]])),"Educativo","Técnico"))),0)</f>
        <v>0</v>
      </c>
      <c r="AI61" s="47" t="e" cm="1">
        <f t="array" aca="1" ref="AI61" ca="1">_xlfn.XLOOKUP(PAA_4[[#This Row],[RCP-RUBRO]],[2]!COMPROMISOS_2024[[#All],[concatenado]],[2]!COMPROMISOS_2024[[#All],[Total pagado]],"",0)</f>
        <v>#NAME?</v>
      </c>
      <c r="AJ61" s="56">
        <f>IF(PAA_4[[#This Row],[BOLSA]]=0,0,SUMIFS([2]!COMPROMISOS_2024[[#All],[Total pagado]],[2]!COMPROMISOS_2024[[#All],[Bolsa]],PAA_4[[#This Row],[BOLSA]],[2]!COMPROMISOS_2024[[#All],[rubro]],PAA_4[[#This Row],[RCP-RUBRO]]))</f>
        <v>0</v>
      </c>
      <c r="AK61" s="47" t="e" cm="1">
        <f t="array" aca="1" ref="AK61" ca="1">_xlfn.XLOOKUP(PAA_4[[#This Row],[RCP-RUBRO]],[2]!COMPROMISOS_2024[[#All],[concatenado]],[2]!COMPROMISOS_2024[[#All],[Total Comprometido]],"",0)</f>
        <v>#NAME?</v>
      </c>
      <c r="AL61" s="47">
        <f>IF(PAA_4[[#This Row],[BOLSA]]=0,0,SUMIFS([2]!COMPROMISOS_2024[[#All],[Total Comprometido]],[2]!COMPROMISOS_2024[[#All],[Bolsa]],PAA_4[[#This Row],[BOLSA]],[2]!COMPROMISOS_2024[[#All],[concatenado]],PAA_4[[#This Row],[RCP-RUBRO]]))</f>
        <v>0</v>
      </c>
    </row>
    <row r="62" spans="1:38" s="19" customFormat="1" ht="31.5" customHeight="1">
      <c r="A62" s="47">
        <v>1335</v>
      </c>
      <c r="B62" s="47">
        <v>80121700</v>
      </c>
      <c r="C62" s="47" t="str">
        <f>VLOOKUP(PAA_4[[#This Row],[PROYECTO (formulado)2]],[2]PROYECTOS!$G$1:$L$32,6,0)</f>
        <v>SUBGERENCIA ADMINISTRATIVA Y FINANCIERA</v>
      </c>
      <c r="D62" s="47" t="str">
        <f>+IF(PAA_4[[#This Row],[UNIDAD DE CONTRATACION (formulado)]]="Subgerencia Administrativa y Financiera","FUNCIONAMIENTO","INVERSIÓN")</f>
        <v>FUNCIONAMIENTO</v>
      </c>
      <c r="E62" s="48" t="str">
        <f>VLOOKUP(Q62,[2]PROYECTOS!$G$1:$K$32,5,0)</f>
        <v>FUNCIONAMIENTO</v>
      </c>
      <c r="F62" s="48">
        <f>VLOOKUP(E62,[2]PROYECTOS!$K$1:$M$32,3,0)</f>
        <v>999999</v>
      </c>
      <c r="G62" s="49" t="s">
        <v>43</v>
      </c>
      <c r="H62" s="49">
        <f>VLOOKUP(Q62,[2]PROYECTOS!$V$1:$W$32,2,0)</f>
        <v>999999</v>
      </c>
      <c r="I62" s="50">
        <f>1145091-229303</f>
        <v>915788</v>
      </c>
      <c r="J62" s="51" t="s">
        <v>1296</v>
      </c>
      <c r="K62" s="47" t="str">
        <f t="shared" ref="K62:K91" ca="1" si="7">IF(ISNONTEXT(Y62)=TRUE,"CONTRATADO","NO CONTRATADO")</f>
        <v>CONTRATADO</v>
      </c>
      <c r="L62" s="47" t="s">
        <v>78</v>
      </c>
      <c r="M62" s="47" t="s">
        <v>1297</v>
      </c>
      <c r="N62" s="52" t="s">
        <v>1283</v>
      </c>
      <c r="O62" s="51" t="e">
        <f>VLOOKUP(N62,[2]!RUBROS[#All],3,0)</f>
        <v>#REF!</v>
      </c>
      <c r="P62" s="53" t="e">
        <f>VLOOKUP(N62,[2]!RUBROS[#All],2,0)</f>
        <v>#REF!</v>
      </c>
      <c r="Q62" s="47" t="str">
        <f t="shared" ref="Q62:Q91" si="8">+MID(N62,11,2)</f>
        <v>00</v>
      </c>
      <c r="R62" s="47" t="str">
        <f t="shared" ref="R62:R91" si="9">+MID(N62,14,8)</f>
        <v>0-101024</v>
      </c>
      <c r="S62" s="54">
        <v>11</v>
      </c>
      <c r="T62" s="63" t="s">
        <v>120</v>
      </c>
      <c r="U62" s="326" t="e">
        <f ca="1">_xlfn.XLOOKUP(PAA_4[[#This Row],[ITEM]],[2]Contrato!A:A,[2]Contrato!Q:Q,"",0)</f>
        <v>#NAME?</v>
      </c>
      <c r="V62" s="47" t="s">
        <v>95</v>
      </c>
      <c r="W62" s="47" t="s">
        <v>201</v>
      </c>
      <c r="X62" s="47" t="s">
        <v>201</v>
      </c>
      <c r="Y62" s="55" t="e">
        <f ca="1">_xlfn.XLOOKUP(PAA_4[[#This Row],[ITEM]],[2]Contrato!A:A,[2]Contrato!B:B,"",0)</f>
        <v>#NAME?</v>
      </c>
      <c r="Z62" s="47" t="e">
        <f ca="1">_xlfn.XLOOKUP(PAA_4[[#This Row],[ITEM]],[2]Contrato!A:A,[2]Contrato!G:G,"",0)</f>
        <v>#NAME?</v>
      </c>
      <c r="AA62" s="47" t="e">
        <f ca="1">_xlfn.XLOOKUP(PAA_4[[#This Row],[ITEM]],[2]Contrato!A:A,[2]Contrato!T:T,"",0)</f>
        <v>#NAME?</v>
      </c>
      <c r="AB62" s="55" t="e">
        <f ca="1">+MAX(PAA_4[[#This Row],[Comprometido Contrato]],PAA_4[[#This Row],[Comprometido Bolsa]])</f>
        <v>#NAME?</v>
      </c>
      <c r="AC62" s="55" t="str">
        <f t="shared" ref="AC62:AC91" ca="1" si="10">IFERROR(I62-AB62,"")</f>
        <v/>
      </c>
      <c r="AD62" s="55" t="e">
        <f ca="1">IF(PAA_4[[#This Row],[ESTADO (formulado)]]="NO CONTRATADO",0,MAX(PAA_4[[#This Row],[Pago por Contrato]],PAA_4[[#This Row],[Pago por bolsa]]))</f>
        <v>#NAME?</v>
      </c>
      <c r="AE62" s="55" t="str">
        <f t="shared" ref="AE62:AE91" ca="1" si="11">+IFERROR(AB62-AD62,"")</f>
        <v/>
      </c>
      <c r="AF62" s="47" t="e">
        <f t="shared" ref="AF62:AF91" ca="1" si="12">+CONCATENATE(AA62,N62)</f>
        <v>#NAME?</v>
      </c>
      <c r="AG62" s="47" t="str">
        <f t="shared" ref="AG62:AG91" si="13">IFERROR(_xlfn.NUMBERVALUE(MID(G62,1,8)),"")</f>
        <v/>
      </c>
      <c r="AH62" s="54">
        <f>IF(Q62="22",IF(ISNUMBER(SEARCH("econ",PAA_4[[#This Row],[Actividad3]])),"Económico",IF(ISNUMBER(SEARCH("alim",PAA_4[[#This Row],[Actividad3]])),"Alimentación",IF(ISNUMBER(SEARCH("educ",PAA_4[[#This Row],[Actividad3]])),"Educativo","Técnico"))),0)</f>
        <v>0</v>
      </c>
      <c r="AI62" s="47" t="e" cm="1">
        <f t="array" aca="1" ref="AI62" ca="1">_xlfn.XLOOKUP(PAA_4[[#This Row],[RCP-RUBRO]],[2]!COMPROMISOS_2024[[#All],[concatenado]],[2]!COMPROMISOS_2024[[#All],[Total pagado]],"",0)</f>
        <v>#NAME?</v>
      </c>
      <c r="AJ62" s="56">
        <f>IF(PAA_4[[#This Row],[BOLSA]]=0,0,SUMIFS([2]!COMPROMISOS_2024[[#All],[Total pagado]],[2]!COMPROMISOS_2024[[#All],[Bolsa]],PAA_4[[#This Row],[BOLSA]],[2]!COMPROMISOS_2024[[#All],[rubro]],PAA_4[[#This Row],[RCP-RUBRO]]))</f>
        <v>0</v>
      </c>
      <c r="AK62" s="47" t="e" cm="1">
        <f t="array" aca="1" ref="AK62" ca="1">_xlfn.XLOOKUP(PAA_4[[#This Row],[RCP-RUBRO]],[2]!COMPROMISOS_2024[[#All],[concatenado]],[2]!COMPROMISOS_2024[[#All],[Total Comprometido]],"",0)</f>
        <v>#NAME?</v>
      </c>
      <c r="AL62" s="47">
        <f>IF(PAA_4[[#This Row],[BOLSA]]=0,0,SUMIFS([2]!COMPROMISOS_2024[[#All],[Total Comprometido]],[2]!COMPROMISOS_2024[[#All],[Bolsa]],PAA_4[[#This Row],[BOLSA]],[2]!COMPROMISOS_2024[[#All],[concatenado]],PAA_4[[#This Row],[RCP-RUBRO]]))</f>
        <v>0</v>
      </c>
    </row>
    <row r="63" spans="1:38" s="19" customFormat="1" ht="31.5" customHeight="1">
      <c r="A63" s="47">
        <v>1335</v>
      </c>
      <c r="B63" s="47">
        <v>80121700</v>
      </c>
      <c r="C63" s="47" t="str">
        <f>VLOOKUP(PAA_4[[#This Row],[PROYECTO (formulado)2]],[2]PROYECTOS!$G$1:$L$32,6,0)</f>
        <v>SUBGERENCIA ADMINISTRATIVA Y FINANCIERA</v>
      </c>
      <c r="D63" s="47" t="str">
        <f>+IF(PAA_4[[#This Row],[UNIDAD DE CONTRATACION (formulado)]]="Subgerencia Administrativa y Financiera","FUNCIONAMIENTO","INVERSIÓN")</f>
        <v>FUNCIONAMIENTO</v>
      </c>
      <c r="E63" s="48" t="str">
        <f>VLOOKUP(Q63,[2]PROYECTOS!$G$1:$K$32,5,0)</f>
        <v>FUNCIONAMIENTO</v>
      </c>
      <c r="F63" s="48">
        <f>VLOOKUP(E63,[2]PROYECTOS!$K$1:$M$32,3,0)</f>
        <v>999999</v>
      </c>
      <c r="G63" s="49" t="s">
        <v>43</v>
      </c>
      <c r="H63" s="49">
        <f>VLOOKUP(Q63,[2]PROYECTOS!$V$1:$W$32,2,0)</f>
        <v>999999</v>
      </c>
      <c r="I63" s="50">
        <v>1377239</v>
      </c>
      <c r="J63" s="51" t="s">
        <v>1296</v>
      </c>
      <c r="K63" s="47" t="str">
        <f t="shared" ca="1" si="7"/>
        <v>CONTRATADO</v>
      </c>
      <c r="L63" s="47" t="s">
        <v>78</v>
      </c>
      <c r="M63" s="47" t="s">
        <v>1297</v>
      </c>
      <c r="N63" s="52" t="s">
        <v>90</v>
      </c>
      <c r="O63" s="51" t="e">
        <f>VLOOKUP(N63,[2]!RUBROS[#All],3,0)</f>
        <v>#REF!</v>
      </c>
      <c r="P63" s="53" t="e">
        <f>VLOOKUP(N63,[2]!RUBROS[#All],2,0)</f>
        <v>#REF!</v>
      </c>
      <c r="Q63" s="47" t="str">
        <f t="shared" si="8"/>
        <v>00</v>
      </c>
      <c r="R63" s="47" t="str">
        <f t="shared" si="9"/>
        <v>0-205616</v>
      </c>
      <c r="S63" s="54">
        <v>11</v>
      </c>
      <c r="T63" s="63" t="s">
        <v>120</v>
      </c>
      <c r="U63" s="326" t="e">
        <f ca="1">_xlfn.XLOOKUP(PAA_4[[#This Row],[ITEM]],[2]Contrato!A:A,[2]Contrato!Q:Q,"",0)</f>
        <v>#NAME?</v>
      </c>
      <c r="V63" s="47" t="s">
        <v>95</v>
      </c>
      <c r="W63" s="47" t="s">
        <v>201</v>
      </c>
      <c r="X63" s="47" t="s">
        <v>201</v>
      </c>
      <c r="Y63" s="55" t="e">
        <f ca="1">_xlfn.XLOOKUP(PAA_4[[#This Row],[ITEM]],[2]Contrato!A:A,[2]Contrato!B:B,"",0)</f>
        <v>#NAME?</v>
      </c>
      <c r="Z63" s="47" t="e">
        <f ca="1">_xlfn.XLOOKUP(PAA_4[[#This Row],[ITEM]],[2]Contrato!A:A,[2]Contrato!G:G,"",0)</f>
        <v>#NAME?</v>
      </c>
      <c r="AA63" s="47" t="e">
        <f ca="1">_xlfn.XLOOKUP(PAA_4[[#This Row],[ITEM]],[2]Contrato!A:A,[2]Contrato!T:T,"",0)</f>
        <v>#NAME?</v>
      </c>
      <c r="AB63" s="55" t="e">
        <f ca="1">+MAX(PAA_4[[#This Row],[Comprometido Contrato]],PAA_4[[#This Row],[Comprometido Bolsa]])</f>
        <v>#NAME?</v>
      </c>
      <c r="AC63" s="55" t="str">
        <f t="shared" ca="1" si="10"/>
        <v/>
      </c>
      <c r="AD63" s="55" t="e">
        <f ca="1">IF(PAA_4[[#This Row],[ESTADO (formulado)]]="NO CONTRATADO",0,MAX(PAA_4[[#This Row],[Pago por Contrato]],PAA_4[[#This Row],[Pago por bolsa]]))</f>
        <v>#NAME?</v>
      </c>
      <c r="AE63" s="55" t="str">
        <f t="shared" ca="1" si="11"/>
        <v/>
      </c>
      <c r="AF63" s="47" t="e">
        <f t="shared" ca="1" si="12"/>
        <v>#NAME?</v>
      </c>
      <c r="AG63" s="47" t="str">
        <f t="shared" si="13"/>
        <v/>
      </c>
      <c r="AH63" s="54">
        <f>IF(Q63="22",IF(ISNUMBER(SEARCH("econ",PAA_4[[#This Row],[Actividad3]])),"Económico",IF(ISNUMBER(SEARCH("alim",PAA_4[[#This Row],[Actividad3]])),"Alimentación",IF(ISNUMBER(SEARCH("educ",PAA_4[[#This Row],[Actividad3]])),"Educativo","Técnico"))),0)</f>
        <v>0</v>
      </c>
      <c r="AI63" s="47" t="e" cm="1">
        <f t="array" aca="1" ref="AI63" ca="1">_xlfn.XLOOKUP(PAA_4[[#This Row],[RCP-RUBRO]],[2]!COMPROMISOS_2024[[#All],[concatenado]],[2]!COMPROMISOS_2024[[#All],[Total pagado]],"",0)</f>
        <v>#NAME?</v>
      </c>
      <c r="AJ63" s="56">
        <f>IF(PAA_4[[#This Row],[BOLSA]]=0,0,SUMIFS([2]!COMPROMISOS_2024[[#All],[Total pagado]],[2]!COMPROMISOS_2024[[#All],[Bolsa]],PAA_4[[#This Row],[BOLSA]],[2]!COMPROMISOS_2024[[#All],[rubro]],PAA_4[[#This Row],[RCP-RUBRO]]))</f>
        <v>0</v>
      </c>
      <c r="AK63" s="47" t="e" cm="1">
        <f t="array" aca="1" ref="AK63" ca="1">_xlfn.XLOOKUP(PAA_4[[#This Row],[RCP-RUBRO]],[2]!COMPROMISOS_2024[[#All],[concatenado]],[2]!COMPROMISOS_2024[[#All],[Total Comprometido]],"",0)</f>
        <v>#NAME?</v>
      </c>
      <c r="AL63" s="47">
        <f>IF(PAA_4[[#This Row],[BOLSA]]=0,0,SUMIFS([2]!COMPROMISOS_2024[[#All],[Total Comprometido]],[2]!COMPROMISOS_2024[[#All],[Bolsa]],PAA_4[[#This Row],[BOLSA]],[2]!COMPROMISOS_2024[[#All],[concatenado]],PAA_4[[#This Row],[RCP-RUBRO]]))</f>
        <v>0</v>
      </c>
    </row>
    <row r="64" spans="1:38" s="19" customFormat="1" ht="31.5" customHeight="1">
      <c r="A64" s="47" t="s">
        <v>82</v>
      </c>
      <c r="B64" s="47" t="s">
        <v>42</v>
      </c>
      <c r="C64" s="47" t="str">
        <f>VLOOKUP(PAA_4[[#This Row],[PROYECTO (formulado)2]],[2]PROYECTOS!$G$1:$L$32,6,0)</f>
        <v>SUBGERENCIA ADMINISTRATIVA Y FINANCIERA</v>
      </c>
      <c r="D64" s="47" t="str">
        <f>+IF(PAA_4[[#This Row],[UNIDAD DE CONTRATACION (formulado)]]="Subgerencia Administrativa y Financiera","FUNCIONAMIENTO","INVERSIÓN")</f>
        <v>FUNCIONAMIENTO</v>
      </c>
      <c r="E64" s="48" t="str">
        <f>VLOOKUP(Q64,[2]PROYECTOS!$G$1:$K$32,5,0)</f>
        <v>FUNCIONAMIENTO</v>
      </c>
      <c r="F64" s="48">
        <f>VLOOKUP(E64,[2]PROYECTOS!$K$1:$M$32,3,0)</f>
        <v>999999</v>
      </c>
      <c r="G64" s="49" t="s">
        <v>43</v>
      </c>
      <c r="H64" s="49">
        <f>VLOOKUP(Q64,[2]PROYECTOS!$V$1:$W$32,2,0)</f>
        <v>999999</v>
      </c>
      <c r="I64" s="50">
        <v>617</v>
      </c>
      <c r="J64" s="51" t="s">
        <v>1298</v>
      </c>
      <c r="K64" s="47" t="str">
        <f t="shared" ca="1" si="7"/>
        <v>CONTRATADO</v>
      </c>
      <c r="L64" s="47" t="s">
        <v>42</v>
      </c>
      <c r="M64" s="47" t="s">
        <v>42</v>
      </c>
      <c r="N64" s="52" t="s">
        <v>80</v>
      </c>
      <c r="O64" s="51" t="e">
        <f>VLOOKUP(N64,[2]!RUBROS[#All],3,0)</f>
        <v>#REF!</v>
      </c>
      <c r="P64" s="53" t="e">
        <f>VLOOKUP(N64,[2]!RUBROS[#All],2,0)</f>
        <v>#REF!</v>
      </c>
      <c r="Q64" s="47" t="str">
        <f t="shared" si="8"/>
        <v>00</v>
      </c>
      <c r="R64" s="47" t="str">
        <f t="shared" si="9"/>
        <v>0-205616</v>
      </c>
      <c r="S64" s="54" t="s">
        <v>42</v>
      </c>
      <c r="T64" s="329" t="s">
        <v>42</v>
      </c>
      <c r="U64" s="326" t="e">
        <f ca="1">_xlfn.XLOOKUP(PAA_4[[#This Row],[ITEM]],[2]Contrato!A:A,[2]Contrato!Q:Q,"",0)</f>
        <v>#NAME?</v>
      </c>
      <c r="V64" s="47" t="s">
        <v>95</v>
      </c>
      <c r="W64" s="47" t="s">
        <v>42</v>
      </c>
      <c r="X64" s="47" t="s">
        <v>42</v>
      </c>
      <c r="Y64" s="55" t="e">
        <f ca="1">_xlfn.XLOOKUP(PAA_4[[#This Row],[ITEM]],[2]Contrato!A:A,[2]Contrato!B:B,"",0)</f>
        <v>#NAME?</v>
      </c>
      <c r="Z64" s="47" t="e">
        <f ca="1">_xlfn.XLOOKUP(PAA_4[[#This Row],[ITEM]],[2]Contrato!A:A,[2]Contrato!G:G,"",0)</f>
        <v>#NAME?</v>
      </c>
      <c r="AA64" s="47" t="e">
        <f ca="1">_xlfn.XLOOKUP(PAA_4[[#This Row],[ITEM]],[2]Contrato!A:A,[2]Contrato!T:T,"",0)</f>
        <v>#NAME?</v>
      </c>
      <c r="AB64" s="55" t="e">
        <f ca="1">+MAX(PAA_4[[#This Row],[Comprometido Contrato]],PAA_4[[#This Row],[Comprometido Bolsa]])</f>
        <v>#NAME?</v>
      </c>
      <c r="AC64" s="55" t="str">
        <f t="shared" ca="1" si="10"/>
        <v/>
      </c>
      <c r="AD64" s="55" t="e">
        <f ca="1">IF(PAA_4[[#This Row],[ESTADO (formulado)]]="NO CONTRATADO",0,MAX(PAA_4[[#This Row],[Pago por Contrato]],PAA_4[[#This Row],[Pago por bolsa]]))</f>
        <v>#NAME?</v>
      </c>
      <c r="AE64" s="55" t="str">
        <f t="shared" ca="1" si="11"/>
        <v/>
      </c>
      <c r="AF64" s="47" t="e">
        <f t="shared" ca="1" si="12"/>
        <v>#NAME?</v>
      </c>
      <c r="AG64" s="47" t="str">
        <f t="shared" si="13"/>
        <v/>
      </c>
      <c r="AH64" s="54">
        <f>IF(Q64="22",IF(ISNUMBER(SEARCH("econ",PAA_4[[#This Row],[Actividad3]])),"Económico",IF(ISNUMBER(SEARCH("alim",PAA_4[[#This Row],[Actividad3]])),"Alimentación",IF(ISNUMBER(SEARCH("educ",PAA_4[[#This Row],[Actividad3]])),"Educativo","Técnico"))),0)</f>
        <v>0</v>
      </c>
      <c r="AI64" s="47" t="e" cm="1">
        <f t="array" aca="1" ref="AI64" ca="1">_xlfn.XLOOKUP(PAA_4[[#This Row],[RCP-RUBRO]],[2]!COMPROMISOS_2024[[#All],[concatenado]],[2]!COMPROMISOS_2024[[#All],[Total pagado]],"",0)</f>
        <v>#NAME?</v>
      </c>
      <c r="AJ64" s="56">
        <f>IF(PAA_4[[#This Row],[BOLSA]]=0,0,SUMIFS([2]!COMPROMISOS_2024[[#All],[Total pagado]],[2]!COMPROMISOS_2024[[#All],[Bolsa]],PAA_4[[#This Row],[BOLSA]],[2]!COMPROMISOS_2024[[#All],[rubro]],PAA_4[[#This Row],[RCP-RUBRO]]))</f>
        <v>0</v>
      </c>
      <c r="AK64" s="47" t="e" cm="1">
        <f t="array" aca="1" ref="AK64" ca="1">_xlfn.XLOOKUP(PAA_4[[#This Row],[RCP-RUBRO]],[2]!COMPROMISOS_2024[[#All],[concatenado]],[2]!COMPROMISOS_2024[[#All],[Total Comprometido]],"",0)</f>
        <v>#NAME?</v>
      </c>
      <c r="AL64" s="47">
        <f>IF(PAA_4[[#This Row],[BOLSA]]=0,0,SUMIFS([2]!COMPROMISOS_2024[[#All],[Total Comprometido]],[2]!COMPROMISOS_2024[[#All],[Bolsa]],PAA_4[[#This Row],[BOLSA]],[2]!COMPROMISOS_2024[[#All],[concatenado]],PAA_4[[#This Row],[RCP-RUBRO]]))</f>
        <v>0</v>
      </c>
    </row>
    <row r="65" spans="1:38" s="19" customFormat="1" ht="31.5" customHeight="1">
      <c r="A65" s="47">
        <v>519</v>
      </c>
      <c r="B65" s="47" t="s">
        <v>77</v>
      </c>
      <c r="C65" s="47" t="str">
        <f>VLOOKUP(PAA_4[[#This Row],[PROYECTO (formulado)2]],[2]PROYECTOS!$G$1:$L$32,6,0)</f>
        <v>SUBGERENCIA ADMINISTRATIVA Y FINANCIERA</v>
      </c>
      <c r="D65" s="47" t="str">
        <f>+IF(PAA_4[[#This Row],[UNIDAD DE CONTRATACION (formulado)]]="Subgerencia Administrativa y Financiera","FUNCIONAMIENTO","INVERSIÓN")</f>
        <v>FUNCIONAMIENTO</v>
      </c>
      <c r="E65" s="48" t="str">
        <f>VLOOKUP(Q65,[2]PROYECTOS!$G$1:$K$32,5,0)</f>
        <v>FUNCIONAMIENTO</v>
      </c>
      <c r="F65" s="48">
        <f>VLOOKUP(E65,[2]PROYECTOS!$K$1:$M$32,3,0)</f>
        <v>999999</v>
      </c>
      <c r="G65" s="49" t="s">
        <v>43</v>
      </c>
      <c r="H65" s="49">
        <f>VLOOKUP(Q65,[2]PROYECTOS!$V$1:$W$32,2,0)</f>
        <v>999999</v>
      </c>
      <c r="I65" s="50">
        <f>2860000-617</f>
        <v>2859383</v>
      </c>
      <c r="J65" s="51" t="s">
        <v>1299</v>
      </c>
      <c r="K65" s="47" t="str">
        <f t="shared" ca="1" si="7"/>
        <v>CONTRATADO</v>
      </c>
      <c r="L65" s="47" t="s">
        <v>78</v>
      </c>
      <c r="M65" s="47" t="s">
        <v>79</v>
      </c>
      <c r="N65" s="52" t="s">
        <v>80</v>
      </c>
      <c r="O65" s="51" t="e">
        <f>VLOOKUP(N65,[2]!RUBROS[#All],3,0)</f>
        <v>#REF!</v>
      </c>
      <c r="P65" s="53" t="e">
        <f>VLOOKUP(N65,[2]!RUBROS[#All],2,0)</f>
        <v>#REF!</v>
      </c>
      <c r="Q65" s="47" t="str">
        <f t="shared" si="8"/>
        <v>00</v>
      </c>
      <c r="R65" s="47" t="str">
        <f t="shared" si="9"/>
        <v>0-205616</v>
      </c>
      <c r="S65" s="54">
        <v>76</v>
      </c>
      <c r="T65" s="59" t="s">
        <v>81</v>
      </c>
      <c r="U65" s="326" t="e">
        <f ca="1">_xlfn.XLOOKUP(PAA_4[[#This Row],[ITEM]],[2]Contrato!A:A,[2]Contrato!Q:Q,"",0)</f>
        <v>#NAME?</v>
      </c>
      <c r="V65" s="47" t="s">
        <v>47</v>
      </c>
      <c r="W65" s="47" t="s">
        <v>48</v>
      </c>
      <c r="X65" s="47" t="s">
        <v>48</v>
      </c>
      <c r="Y65" s="55" t="e">
        <f ca="1">_xlfn.XLOOKUP(PAA_4[[#This Row],[ITEM]],[2]Contrato!A:A,[2]Contrato!B:B,"",0)</f>
        <v>#NAME?</v>
      </c>
      <c r="Z65" s="47" t="e">
        <f ca="1">_xlfn.XLOOKUP(PAA_4[[#This Row],[ITEM]],[2]Contrato!A:A,[2]Contrato!G:G,"",0)</f>
        <v>#NAME?</v>
      </c>
      <c r="AA65" s="47" t="e">
        <f ca="1">_xlfn.XLOOKUP(PAA_4[[#This Row],[ITEM]],[2]Contrato!A:A,[2]Contrato!T:T,"",0)</f>
        <v>#NAME?</v>
      </c>
      <c r="AB65" s="55" t="e">
        <f ca="1">+MAX(PAA_4[[#This Row],[Comprometido Contrato]],PAA_4[[#This Row],[Comprometido Bolsa]])</f>
        <v>#NAME?</v>
      </c>
      <c r="AC65" s="55" t="str">
        <f t="shared" ca="1" si="10"/>
        <v/>
      </c>
      <c r="AD65" s="55" t="e">
        <f ca="1">IF(PAA_4[[#This Row],[ESTADO (formulado)]]="NO CONTRATADO",0,MAX(PAA_4[[#This Row],[Pago por Contrato]],PAA_4[[#This Row],[Pago por bolsa]]))</f>
        <v>#NAME?</v>
      </c>
      <c r="AE65" s="55" t="str">
        <f t="shared" ca="1" si="11"/>
        <v/>
      </c>
      <c r="AF65" s="47" t="e">
        <f t="shared" ca="1" si="12"/>
        <v>#NAME?</v>
      </c>
      <c r="AG65" s="47" t="str">
        <f t="shared" si="13"/>
        <v/>
      </c>
      <c r="AH65" s="54">
        <f>IF(Q65="22",IF(ISNUMBER(SEARCH("econ",PAA_4[[#This Row],[Actividad3]])),"Económico",IF(ISNUMBER(SEARCH("alim",PAA_4[[#This Row],[Actividad3]])),"Alimentación",IF(ISNUMBER(SEARCH("educ",PAA_4[[#This Row],[Actividad3]])),"Educativo","Técnico"))),0)</f>
        <v>0</v>
      </c>
      <c r="AI65" s="47" t="e" cm="1">
        <f t="array" aca="1" ref="AI65" ca="1">_xlfn.XLOOKUP(PAA_4[[#This Row],[RCP-RUBRO]],[2]!COMPROMISOS_2024[[#All],[concatenado]],[2]!COMPROMISOS_2024[[#All],[Total pagado]],"",0)</f>
        <v>#NAME?</v>
      </c>
      <c r="AJ65" s="56">
        <f>IF(PAA_4[[#This Row],[BOLSA]]=0,0,SUMIFS([2]!COMPROMISOS_2024[[#All],[Total pagado]],[2]!COMPROMISOS_2024[[#All],[Bolsa]],PAA_4[[#This Row],[BOLSA]],[2]!COMPROMISOS_2024[[#All],[rubro]],PAA_4[[#This Row],[RCP-RUBRO]]))</f>
        <v>0</v>
      </c>
      <c r="AK65" s="47" t="e" cm="1">
        <f t="array" aca="1" ref="AK65" ca="1">_xlfn.XLOOKUP(PAA_4[[#This Row],[RCP-RUBRO]],[2]!COMPROMISOS_2024[[#All],[concatenado]],[2]!COMPROMISOS_2024[[#All],[Total Comprometido]],"",0)</f>
        <v>#NAME?</v>
      </c>
      <c r="AL65" s="47">
        <f>IF(PAA_4[[#This Row],[BOLSA]]=0,0,SUMIFS([2]!COMPROMISOS_2024[[#All],[Total Comprometido]],[2]!COMPROMISOS_2024[[#All],[Bolsa]],PAA_4[[#This Row],[BOLSA]],[2]!COMPROMISOS_2024[[#All],[concatenado]],PAA_4[[#This Row],[RCP-RUBRO]]))</f>
        <v>0</v>
      </c>
    </row>
    <row r="66" spans="1:38" s="19" customFormat="1" ht="31.5" customHeight="1">
      <c r="A66" s="47" t="s">
        <v>82</v>
      </c>
      <c r="B66" s="47" t="s">
        <v>42</v>
      </c>
      <c r="C66" s="47" t="str">
        <f>VLOOKUP(PAA_4[[#This Row],[PROYECTO (formulado)2]],[2]PROYECTOS!$G$1:$L$32,6,0)</f>
        <v>SUBGERENCIA ADMINISTRATIVA Y FINANCIERA</v>
      </c>
      <c r="D66" s="47" t="str">
        <f>+IF(PAA_4[[#This Row],[UNIDAD DE CONTRATACION (formulado)]]="Subgerencia Administrativa y Financiera","FUNCIONAMIENTO","INVERSIÓN")</f>
        <v>FUNCIONAMIENTO</v>
      </c>
      <c r="E66" s="48" t="str">
        <f>VLOOKUP(Q66,[2]PROYECTOS!$G$1:$K$32,5,0)</f>
        <v>FUNCIONAMIENTO</v>
      </c>
      <c r="F66" s="48">
        <f>VLOOKUP(E66,[2]PROYECTOS!$K$1:$M$32,3,0)</f>
        <v>999999</v>
      </c>
      <c r="G66" s="49" t="s">
        <v>43</v>
      </c>
      <c r="H66" s="49">
        <f>VLOOKUP(Q66,[2]PROYECTOS!$V$1:$W$32,2,0)</f>
        <v>999999</v>
      </c>
      <c r="I66" s="50">
        <v>0</v>
      </c>
      <c r="J66" s="51" t="s">
        <v>1300</v>
      </c>
      <c r="K66" s="47" t="str">
        <f t="shared" ca="1" si="7"/>
        <v>CONTRATADO</v>
      </c>
      <c r="L66" s="47"/>
      <c r="M66" s="47" t="s">
        <v>79</v>
      </c>
      <c r="N66" s="52" t="s">
        <v>80</v>
      </c>
      <c r="O66" s="51" t="e">
        <f>VLOOKUP(N66,[2]!RUBROS[#All],3,0)</f>
        <v>#REF!</v>
      </c>
      <c r="P66" s="53" t="e">
        <f>VLOOKUP(N66,[2]!RUBROS[#All],2,0)</f>
        <v>#REF!</v>
      </c>
      <c r="Q66" s="47" t="str">
        <f t="shared" si="8"/>
        <v>00</v>
      </c>
      <c r="R66" s="47" t="str">
        <f t="shared" si="9"/>
        <v>0-205616</v>
      </c>
      <c r="S66" s="54"/>
      <c r="T66" s="59"/>
      <c r="U66" s="326" t="e">
        <f ca="1">_xlfn.XLOOKUP(PAA_4[[#This Row],[ITEM]],[2]Contrato!A:A,[2]Contrato!Q:Q,"",0)</f>
        <v>#NAME?</v>
      </c>
      <c r="V66" s="47" t="s">
        <v>47</v>
      </c>
      <c r="W66" s="47" t="s">
        <v>48</v>
      </c>
      <c r="X66" s="47" t="s">
        <v>83</v>
      </c>
      <c r="Y66" s="55" t="e">
        <f ca="1">_xlfn.XLOOKUP(PAA_4[[#This Row],[ITEM]],[2]Contrato!A:A,[2]Contrato!B:B,"",0)</f>
        <v>#NAME?</v>
      </c>
      <c r="Z66" s="47" t="e">
        <f ca="1">_xlfn.XLOOKUP(PAA_4[[#This Row],[ITEM]],[2]Contrato!A:A,[2]Contrato!G:G,"",0)</f>
        <v>#NAME?</v>
      </c>
      <c r="AA66" s="47" t="e">
        <f ca="1">_xlfn.XLOOKUP(PAA_4[[#This Row],[ITEM]],[2]Contrato!A:A,[2]Contrato!T:T,"",0)</f>
        <v>#NAME?</v>
      </c>
      <c r="AB66" s="55" t="e">
        <f ca="1">+MAX(PAA_4[[#This Row],[Comprometido Contrato]],PAA_4[[#This Row],[Comprometido Bolsa]])</f>
        <v>#NAME?</v>
      </c>
      <c r="AC66" s="55" t="str">
        <f t="shared" ca="1" si="10"/>
        <v/>
      </c>
      <c r="AD66" s="55" t="e">
        <f ca="1">IF(PAA_4[[#This Row],[ESTADO (formulado)]]="NO CONTRATADO",0,MAX(PAA_4[[#This Row],[Pago por Contrato]],PAA_4[[#This Row],[Pago por bolsa]]))</f>
        <v>#NAME?</v>
      </c>
      <c r="AE66" s="55" t="str">
        <f t="shared" ca="1" si="11"/>
        <v/>
      </c>
      <c r="AF66" s="47" t="e">
        <f t="shared" ca="1" si="12"/>
        <v>#NAME?</v>
      </c>
      <c r="AG66" s="47" t="str">
        <f t="shared" si="13"/>
        <v/>
      </c>
      <c r="AH66" s="54">
        <f>IF(Q66="22",IF(ISNUMBER(SEARCH("econ",PAA_4[[#This Row],[Actividad3]])),"Económico",IF(ISNUMBER(SEARCH("alim",PAA_4[[#This Row],[Actividad3]])),"Alimentación",IF(ISNUMBER(SEARCH("educ",PAA_4[[#This Row],[Actividad3]])),"Educativo","Técnico"))),0)</f>
        <v>0</v>
      </c>
      <c r="AI66" s="47" t="e" cm="1">
        <f t="array" aca="1" ref="AI66" ca="1">_xlfn.XLOOKUP(PAA_4[[#This Row],[RCP-RUBRO]],[2]!COMPROMISOS_2024[[#All],[concatenado]],[2]!COMPROMISOS_2024[[#All],[Total pagado]],"",0)</f>
        <v>#NAME?</v>
      </c>
      <c r="AJ66" s="56">
        <f>IF(PAA_4[[#This Row],[BOLSA]]=0,0,SUMIFS([2]!COMPROMISOS_2024[[#All],[Total pagado]],[2]!COMPROMISOS_2024[[#All],[Bolsa]],PAA_4[[#This Row],[BOLSA]],[2]!COMPROMISOS_2024[[#All],[rubro]],PAA_4[[#This Row],[RCP-RUBRO]]))</f>
        <v>0</v>
      </c>
      <c r="AK66" s="47" t="e" cm="1">
        <f t="array" aca="1" ref="AK66" ca="1">_xlfn.XLOOKUP(PAA_4[[#This Row],[RCP-RUBRO]],[2]!COMPROMISOS_2024[[#All],[concatenado]],[2]!COMPROMISOS_2024[[#All],[Total Comprometido]],"",0)</f>
        <v>#NAME?</v>
      </c>
      <c r="AL66" s="47">
        <f>IF(PAA_4[[#This Row],[BOLSA]]=0,0,SUMIFS([2]!COMPROMISOS_2024[[#All],[Total Comprometido]],[2]!COMPROMISOS_2024[[#All],[Bolsa]],PAA_4[[#This Row],[BOLSA]],[2]!COMPROMISOS_2024[[#All],[concatenado]],PAA_4[[#This Row],[RCP-RUBRO]]))</f>
        <v>0</v>
      </c>
    </row>
    <row r="67" spans="1:38" s="19" customFormat="1" ht="31.5" customHeight="1">
      <c r="A67" s="47">
        <v>6</v>
      </c>
      <c r="B67" s="47" t="s">
        <v>42</v>
      </c>
      <c r="C67" s="47" t="str">
        <f>VLOOKUP(PAA_4[[#This Row],[PROYECTO (formulado)2]],[2]PROYECTOS!$G$1:$L$32,6,0)</f>
        <v>SUBGERENCIA ADMINISTRATIVA Y FINANCIERA</v>
      </c>
      <c r="D67" s="47" t="str">
        <f>+IF(PAA_4[[#This Row],[UNIDAD DE CONTRATACION (formulado)]]="Subgerencia Administrativa y Financiera","FUNCIONAMIENTO","INVERSIÓN")</f>
        <v>FUNCIONAMIENTO</v>
      </c>
      <c r="E67" s="48" t="str">
        <f>VLOOKUP(Q67,[2]PROYECTOS!$G$1:$K$32,5,0)</f>
        <v>FUNCIONAMIENTO</v>
      </c>
      <c r="F67" s="48">
        <f>VLOOKUP(E67,[2]PROYECTOS!$K$1:$M$32,3,0)</f>
        <v>999999</v>
      </c>
      <c r="G67" s="49" t="s">
        <v>43</v>
      </c>
      <c r="H67" s="49">
        <f>VLOOKUP(Q67,[2]PROYECTOS!$V$1:$W$32,2,0)</f>
        <v>999999</v>
      </c>
      <c r="I67" s="50">
        <f>200000000+11919105</f>
        <v>211919105</v>
      </c>
      <c r="J67" s="51" t="s">
        <v>1247</v>
      </c>
      <c r="K67" s="47" t="str">
        <f t="shared" ca="1" si="7"/>
        <v>CONTRATADO</v>
      </c>
      <c r="L67" s="47" t="s">
        <v>44</v>
      </c>
      <c r="M67" s="47" t="s">
        <v>1236</v>
      </c>
      <c r="N67" s="58" t="s">
        <v>1301</v>
      </c>
      <c r="O67" s="51" t="e">
        <f>VLOOKUP(N67,[2]!RUBROS[#All],3,0)</f>
        <v>#REF!</v>
      </c>
      <c r="P67" s="53" t="e">
        <f>VLOOKUP(N67,[2]!RUBROS[#All],2,0)</f>
        <v>#REF!</v>
      </c>
      <c r="Q67" s="47" t="str">
        <f t="shared" si="8"/>
        <v>00</v>
      </c>
      <c r="R67" s="47" t="str">
        <f t="shared" si="9"/>
        <v>4-205616</v>
      </c>
      <c r="S67" s="54">
        <v>7</v>
      </c>
      <c r="T67" s="57" t="s">
        <v>46</v>
      </c>
      <c r="U67" s="326" t="e">
        <f ca="1">_xlfn.XLOOKUP(PAA_4[[#This Row],[ITEM]],[2]Contrato!A:A,[2]Contrato!Q:Q,"",0)</f>
        <v>#NAME?</v>
      </c>
      <c r="V67" s="47" t="s">
        <v>95</v>
      </c>
      <c r="W67" s="47" t="s">
        <v>154</v>
      </c>
      <c r="X67" s="47" t="s">
        <v>154</v>
      </c>
      <c r="Y67" s="55" t="e">
        <f ca="1">_xlfn.XLOOKUP(PAA_4[[#This Row],[ITEM]],[2]Contrato!A:A,[2]Contrato!B:B,"",0)</f>
        <v>#NAME?</v>
      </c>
      <c r="Z67" s="47" t="e">
        <f ca="1">_xlfn.XLOOKUP(PAA_4[[#This Row],[ITEM]],[2]Contrato!A:A,[2]Contrato!G:G,"",0)</f>
        <v>#NAME?</v>
      </c>
      <c r="AA67" s="47" t="e">
        <f ca="1">_xlfn.XLOOKUP(PAA_4[[#This Row],[ITEM]],[2]Contrato!A:A,[2]Contrato!T:T,"",0)</f>
        <v>#NAME?</v>
      </c>
      <c r="AB67" s="55" t="e">
        <f ca="1">+MAX(PAA_4[[#This Row],[Comprometido Contrato]],PAA_4[[#This Row],[Comprometido Bolsa]])</f>
        <v>#NAME?</v>
      </c>
      <c r="AC67" s="55" t="str">
        <f t="shared" ca="1" si="10"/>
        <v/>
      </c>
      <c r="AD67" s="55" t="e">
        <f ca="1">IF(PAA_4[[#This Row],[ESTADO (formulado)]]="NO CONTRATADO",0,MAX(PAA_4[[#This Row],[Pago por Contrato]],PAA_4[[#This Row],[Pago por bolsa]]))</f>
        <v>#NAME?</v>
      </c>
      <c r="AE67" s="55" t="str">
        <f t="shared" ca="1" si="11"/>
        <v/>
      </c>
      <c r="AF67" s="47" t="e">
        <f t="shared" ca="1" si="12"/>
        <v>#NAME?</v>
      </c>
      <c r="AG67" s="47" t="str">
        <f t="shared" si="13"/>
        <v/>
      </c>
      <c r="AH67" s="54">
        <f>IF(Q67="22",IF(ISNUMBER(SEARCH("econ",PAA_4[[#This Row],[Actividad3]])),"Económico",IF(ISNUMBER(SEARCH("alim",PAA_4[[#This Row],[Actividad3]])),"Alimentación",IF(ISNUMBER(SEARCH("educ",PAA_4[[#This Row],[Actividad3]])),"Educativo","Técnico"))),0)</f>
        <v>0</v>
      </c>
      <c r="AI67" s="47" t="e" cm="1">
        <f t="array" aca="1" ref="AI67" ca="1">_xlfn.XLOOKUP(PAA_4[[#This Row],[RCP-RUBRO]],[2]!COMPROMISOS_2024[[#All],[concatenado]],[2]!COMPROMISOS_2024[[#All],[Total pagado]],"",0)</f>
        <v>#NAME?</v>
      </c>
      <c r="AJ67" s="56">
        <f>IF(PAA_4[[#This Row],[BOLSA]]=0,0,SUMIFS([2]!COMPROMISOS_2024[[#All],[Total pagado]],[2]!COMPROMISOS_2024[[#All],[Bolsa]],PAA_4[[#This Row],[BOLSA]],[2]!COMPROMISOS_2024[[#All],[rubro]],PAA_4[[#This Row],[RCP-RUBRO]]))</f>
        <v>0</v>
      </c>
      <c r="AK67" s="47" t="e" cm="1">
        <f t="array" aca="1" ref="AK67" ca="1">_xlfn.XLOOKUP(PAA_4[[#This Row],[RCP-RUBRO]],[2]!COMPROMISOS_2024[[#All],[concatenado]],[2]!COMPROMISOS_2024[[#All],[Total Comprometido]],"",0)</f>
        <v>#NAME?</v>
      </c>
      <c r="AL67" s="47">
        <f>IF(PAA_4[[#This Row],[BOLSA]]=0,0,SUMIFS([2]!COMPROMISOS_2024[[#All],[Total Comprometido]],[2]!COMPROMISOS_2024[[#All],[Bolsa]],PAA_4[[#This Row],[BOLSA]],[2]!COMPROMISOS_2024[[#All],[concatenado]],PAA_4[[#This Row],[RCP-RUBRO]]))</f>
        <v>0</v>
      </c>
    </row>
    <row r="68" spans="1:38" s="19" customFormat="1" ht="31.5" customHeight="1">
      <c r="A68" s="47">
        <v>512</v>
      </c>
      <c r="B68" s="47" t="s">
        <v>42</v>
      </c>
      <c r="C68" s="47" t="str">
        <f>VLOOKUP(PAA_4[[#This Row],[PROYECTO (formulado)2]],[2]PROYECTOS!$G$1:$L$32,6,0)</f>
        <v>SUBGERENCIA ADMINISTRATIVA Y FINANCIERA</v>
      </c>
      <c r="D68" s="47" t="str">
        <f>+IF(PAA_4[[#This Row],[UNIDAD DE CONTRATACION (formulado)]]="Subgerencia Administrativa y Financiera","FUNCIONAMIENTO","INVERSIÓN")</f>
        <v>FUNCIONAMIENTO</v>
      </c>
      <c r="E68" s="48" t="str">
        <f>VLOOKUP(Q68,[2]PROYECTOS!$G$1:$K$32,5,0)</f>
        <v>FUNCIONAMIENTO</v>
      </c>
      <c r="F68" s="48">
        <f>VLOOKUP(E68,[2]PROYECTOS!$K$1:$M$32,3,0)</f>
        <v>999999</v>
      </c>
      <c r="G68" s="49" t="s">
        <v>43</v>
      </c>
      <c r="H68" s="49">
        <f>VLOOKUP(Q68,[2]PROYECTOS!$V$1:$W$32,2,0)</f>
        <v>999999</v>
      </c>
      <c r="I68" s="50">
        <v>151000000</v>
      </c>
      <c r="J68" s="327" t="s">
        <v>1302</v>
      </c>
      <c r="K68" s="47" t="str">
        <f t="shared" ca="1" si="7"/>
        <v>CONTRATADO</v>
      </c>
      <c r="L68" s="47" t="s">
        <v>44</v>
      </c>
      <c r="M68" s="47" t="s">
        <v>1236</v>
      </c>
      <c r="N68" s="58" t="s">
        <v>1303</v>
      </c>
      <c r="O68" s="51" t="e">
        <f>VLOOKUP(N68,[2]!RUBROS[#All],3,0)</f>
        <v>#REF!</v>
      </c>
      <c r="P68" s="53" t="e">
        <f>VLOOKUP(N68,[2]!RUBROS[#All],2,0)</f>
        <v>#REF!</v>
      </c>
      <c r="Q68" s="47" t="str">
        <f t="shared" si="8"/>
        <v>00</v>
      </c>
      <c r="R68" s="47" t="str">
        <f t="shared" si="9"/>
        <v>4-205616</v>
      </c>
      <c r="S68" s="54">
        <v>7</v>
      </c>
      <c r="T68" s="57" t="s">
        <v>46</v>
      </c>
      <c r="U68" s="326" t="e">
        <f ca="1">_xlfn.XLOOKUP(PAA_4[[#This Row],[ITEM]],[2]Contrato!A:A,[2]Contrato!Q:Q,"",0)</f>
        <v>#NAME?</v>
      </c>
      <c r="V68" s="47" t="s">
        <v>95</v>
      </c>
      <c r="W68" s="47" t="s">
        <v>154</v>
      </c>
      <c r="X68" s="47" t="s">
        <v>154</v>
      </c>
      <c r="Y68" s="55" t="e">
        <f ca="1">_xlfn.XLOOKUP(PAA_4[[#This Row],[ITEM]],[2]Contrato!A:A,[2]Contrato!B:B,"",0)</f>
        <v>#NAME?</v>
      </c>
      <c r="Z68" s="47" t="e">
        <f ca="1">_xlfn.XLOOKUP(PAA_4[[#This Row],[ITEM]],[2]Contrato!A:A,[2]Contrato!G:G,"",0)</f>
        <v>#NAME?</v>
      </c>
      <c r="AA68" s="47" t="e">
        <f ca="1">_xlfn.XLOOKUP(PAA_4[[#This Row],[ITEM]],[2]Contrato!A:A,[2]Contrato!T:T,"",0)</f>
        <v>#NAME?</v>
      </c>
      <c r="AB68" s="55" t="e">
        <f ca="1">+MAX(PAA_4[[#This Row],[Comprometido Contrato]],PAA_4[[#This Row],[Comprometido Bolsa]])</f>
        <v>#NAME?</v>
      </c>
      <c r="AC68" s="55" t="str">
        <f t="shared" ca="1" si="10"/>
        <v/>
      </c>
      <c r="AD68" s="55" t="e">
        <f ca="1">IF(PAA_4[[#This Row],[ESTADO (formulado)]]="NO CONTRATADO",0,MAX(PAA_4[[#This Row],[Pago por Contrato]],PAA_4[[#This Row],[Pago por bolsa]]))</f>
        <v>#NAME?</v>
      </c>
      <c r="AE68" s="55" t="str">
        <f t="shared" ca="1" si="11"/>
        <v/>
      </c>
      <c r="AF68" s="47" t="e">
        <f t="shared" ca="1" si="12"/>
        <v>#NAME?</v>
      </c>
      <c r="AG68" s="47" t="str">
        <f t="shared" si="13"/>
        <v/>
      </c>
      <c r="AH68" s="54">
        <f>IF(Q68="22",IF(ISNUMBER(SEARCH("econ",PAA_4[[#This Row],[Actividad3]])),"Económico",IF(ISNUMBER(SEARCH("alim",PAA_4[[#This Row],[Actividad3]])),"Alimentación",IF(ISNUMBER(SEARCH("educ",PAA_4[[#This Row],[Actividad3]])),"Educativo","Técnico"))),0)</f>
        <v>0</v>
      </c>
      <c r="AI68" s="47" t="e" cm="1">
        <f t="array" aca="1" ref="AI68" ca="1">_xlfn.XLOOKUP(PAA_4[[#This Row],[RCP-RUBRO]],[2]!COMPROMISOS_2024[[#All],[concatenado]],[2]!COMPROMISOS_2024[[#All],[Total pagado]],"",0)</f>
        <v>#NAME?</v>
      </c>
      <c r="AJ68" s="56">
        <f>IF(PAA_4[[#This Row],[BOLSA]]=0,0,SUMIFS([2]!COMPROMISOS_2024[[#All],[Total pagado]],[2]!COMPROMISOS_2024[[#All],[Bolsa]],PAA_4[[#This Row],[BOLSA]],[2]!COMPROMISOS_2024[[#All],[rubro]],PAA_4[[#This Row],[RCP-RUBRO]]))</f>
        <v>0</v>
      </c>
      <c r="AK68" s="47" t="e" cm="1">
        <f t="array" aca="1" ref="AK68" ca="1">_xlfn.XLOOKUP(PAA_4[[#This Row],[RCP-RUBRO]],[2]!COMPROMISOS_2024[[#All],[concatenado]],[2]!COMPROMISOS_2024[[#All],[Total Comprometido]],"",0)</f>
        <v>#NAME?</v>
      </c>
      <c r="AL68" s="47">
        <f>IF(PAA_4[[#This Row],[BOLSA]]=0,0,SUMIFS([2]!COMPROMISOS_2024[[#All],[Total Comprometido]],[2]!COMPROMISOS_2024[[#All],[Bolsa]],PAA_4[[#This Row],[BOLSA]],[2]!COMPROMISOS_2024[[#All],[concatenado]],PAA_4[[#This Row],[RCP-RUBRO]]))</f>
        <v>0</v>
      </c>
    </row>
    <row r="69" spans="1:38" s="19" customFormat="1" ht="31.5" customHeight="1">
      <c r="A69" s="47">
        <v>512</v>
      </c>
      <c r="B69" s="47" t="s">
        <v>42</v>
      </c>
      <c r="C69" s="47" t="str">
        <f>VLOOKUP(PAA_4[[#This Row],[PROYECTO (formulado)2]],[2]PROYECTOS!$G$1:$L$32,6,0)</f>
        <v>SUBGERENCIA ADMINISTRATIVA Y FINANCIERA</v>
      </c>
      <c r="D69" s="47" t="str">
        <f>+IF(PAA_4[[#This Row],[UNIDAD DE CONTRATACION (formulado)]]="Subgerencia Administrativa y Financiera","FUNCIONAMIENTO","INVERSIÓN")</f>
        <v>FUNCIONAMIENTO</v>
      </c>
      <c r="E69" s="48" t="str">
        <f>VLOOKUP(Q69,[2]PROYECTOS!$G$1:$K$32,5,0)</f>
        <v>FUNCIONAMIENTO</v>
      </c>
      <c r="F69" s="48">
        <f>VLOOKUP(E69,[2]PROYECTOS!$K$1:$M$32,3,0)</f>
        <v>999999</v>
      </c>
      <c r="G69" s="49" t="s">
        <v>43</v>
      </c>
      <c r="H69" s="49">
        <f>VLOOKUP(Q69,[2]PROYECTOS!$V$1:$W$32,2,0)</f>
        <v>999999</v>
      </c>
      <c r="I69" s="50">
        <v>49000000</v>
      </c>
      <c r="J69" s="51" t="s">
        <v>1302</v>
      </c>
      <c r="K69" s="47" t="str">
        <f t="shared" ca="1" si="7"/>
        <v>CONTRATADO</v>
      </c>
      <c r="L69" s="47" t="s">
        <v>44</v>
      </c>
      <c r="M69" s="47" t="s">
        <v>1236</v>
      </c>
      <c r="N69" s="52" t="s">
        <v>84</v>
      </c>
      <c r="O69" s="51" t="e">
        <f>VLOOKUP(N69,[2]!RUBROS[#All],3,0)</f>
        <v>#REF!</v>
      </c>
      <c r="P69" s="53" t="e">
        <f>VLOOKUP(N69,[2]!RUBROS[#All],2,0)</f>
        <v>#REF!</v>
      </c>
      <c r="Q69" s="47" t="str">
        <f t="shared" si="8"/>
        <v>00</v>
      </c>
      <c r="R69" s="47" t="str">
        <f t="shared" si="9"/>
        <v>0-205616</v>
      </c>
      <c r="S69" s="54">
        <v>12</v>
      </c>
      <c r="T69" s="59" t="s">
        <v>46</v>
      </c>
      <c r="U69" s="326" t="e">
        <f ca="1">_xlfn.XLOOKUP(PAA_4[[#This Row],[ITEM]],[2]Contrato!A:A,[2]Contrato!Q:Q,"",0)</f>
        <v>#NAME?</v>
      </c>
      <c r="V69" s="47" t="s">
        <v>47</v>
      </c>
      <c r="W69" s="47" t="s">
        <v>48</v>
      </c>
      <c r="X69" s="47" t="s">
        <v>48</v>
      </c>
      <c r="Y69" s="55" t="e">
        <f ca="1">_xlfn.XLOOKUP(PAA_4[[#This Row],[ITEM]],[2]Contrato!A:A,[2]Contrato!B:B,"",0)</f>
        <v>#NAME?</v>
      </c>
      <c r="Z69" s="47" t="e">
        <f ca="1">_xlfn.XLOOKUP(PAA_4[[#This Row],[ITEM]],[2]Contrato!A:A,[2]Contrato!G:G,"",0)</f>
        <v>#NAME?</v>
      </c>
      <c r="AA69" s="47" t="e">
        <f ca="1">_xlfn.XLOOKUP(PAA_4[[#This Row],[ITEM]],[2]Contrato!A:A,[2]Contrato!T:T,"",0)</f>
        <v>#NAME?</v>
      </c>
      <c r="AB69" s="55" t="e">
        <f ca="1">+MAX(PAA_4[[#This Row],[Comprometido Contrato]],PAA_4[[#This Row],[Comprometido Bolsa]])</f>
        <v>#NAME?</v>
      </c>
      <c r="AC69" s="55" t="str">
        <f t="shared" ca="1" si="10"/>
        <v/>
      </c>
      <c r="AD69" s="55" t="e">
        <f ca="1">IF(PAA_4[[#This Row],[ESTADO (formulado)]]="NO CONTRATADO",0,MAX(PAA_4[[#This Row],[Pago por Contrato]],PAA_4[[#This Row],[Pago por bolsa]]))</f>
        <v>#NAME?</v>
      </c>
      <c r="AE69" s="55" t="str">
        <f t="shared" ca="1" si="11"/>
        <v/>
      </c>
      <c r="AF69" s="47" t="e">
        <f t="shared" ca="1" si="12"/>
        <v>#NAME?</v>
      </c>
      <c r="AG69" s="47" t="str">
        <f t="shared" si="13"/>
        <v/>
      </c>
      <c r="AH69" s="54">
        <f>IF(Q69="22",IF(ISNUMBER(SEARCH("econ",PAA_4[[#This Row],[Actividad3]])),"Económico",IF(ISNUMBER(SEARCH("alim",PAA_4[[#This Row],[Actividad3]])),"Alimentación",IF(ISNUMBER(SEARCH("educ",PAA_4[[#This Row],[Actividad3]])),"Educativo","Técnico"))),0)</f>
        <v>0</v>
      </c>
      <c r="AI69" s="47" t="e" cm="1">
        <f t="array" aca="1" ref="AI69" ca="1">_xlfn.XLOOKUP(PAA_4[[#This Row],[RCP-RUBRO]],[2]!COMPROMISOS_2024[[#All],[concatenado]],[2]!COMPROMISOS_2024[[#All],[Total pagado]],"",0)</f>
        <v>#NAME?</v>
      </c>
      <c r="AJ69" s="56">
        <f>IF(PAA_4[[#This Row],[BOLSA]]=0,0,SUMIFS([2]!COMPROMISOS_2024[[#All],[Total pagado]],[2]!COMPROMISOS_2024[[#All],[Bolsa]],PAA_4[[#This Row],[BOLSA]],[2]!COMPROMISOS_2024[[#All],[rubro]],PAA_4[[#This Row],[RCP-RUBRO]]))</f>
        <v>0</v>
      </c>
      <c r="AK69" s="47" t="e" cm="1">
        <f t="array" aca="1" ref="AK69" ca="1">_xlfn.XLOOKUP(PAA_4[[#This Row],[RCP-RUBRO]],[2]!COMPROMISOS_2024[[#All],[concatenado]],[2]!COMPROMISOS_2024[[#All],[Total Comprometido]],"",0)</f>
        <v>#NAME?</v>
      </c>
      <c r="AL69" s="47">
        <f>IF(PAA_4[[#This Row],[BOLSA]]=0,0,SUMIFS([2]!COMPROMISOS_2024[[#All],[Total Comprometido]],[2]!COMPROMISOS_2024[[#All],[Bolsa]],PAA_4[[#This Row],[BOLSA]],[2]!COMPROMISOS_2024[[#All],[concatenado]],PAA_4[[#This Row],[RCP-RUBRO]]))</f>
        <v>0</v>
      </c>
    </row>
    <row r="70" spans="1:38" s="19" customFormat="1" ht="31.5" customHeight="1">
      <c r="A70" s="47">
        <v>513</v>
      </c>
      <c r="B70" s="47" t="s">
        <v>42</v>
      </c>
      <c r="C70" s="47" t="str">
        <f>VLOOKUP(PAA_4[[#This Row],[PROYECTO (formulado)2]],[2]PROYECTOS!$G$1:$L$32,6,0)</f>
        <v>SUBGERENCIA ADMINISTRATIVA Y FINANCIERA</v>
      </c>
      <c r="D70" s="47" t="str">
        <f>+IF(PAA_4[[#This Row],[UNIDAD DE CONTRATACION (formulado)]]="Subgerencia Administrativa y Financiera","FUNCIONAMIENTO","INVERSIÓN")</f>
        <v>FUNCIONAMIENTO</v>
      </c>
      <c r="E70" s="48" t="str">
        <f>VLOOKUP(Q70,[2]PROYECTOS!$G$1:$K$32,5,0)</f>
        <v>FUNCIONAMIENTO</v>
      </c>
      <c r="F70" s="48">
        <f>VLOOKUP(E70,[2]PROYECTOS!$K$1:$M$32,3,0)</f>
        <v>999999</v>
      </c>
      <c r="G70" s="49" t="s">
        <v>43</v>
      </c>
      <c r="H70" s="49">
        <f>VLOOKUP(Q70,[2]PROYECTOS!$V$1:$W$32,2,0)</f>
        <v>999999</v>
      </c>
      <c r="I70" s="50">
        <v>25000000</v>
      </c>
      <c r="J70" s="51" t="s">
        <v>1304</v>
      </c>
      <c r="K70" s="47" t="str">
        <f t="shared" ca="1" si="7"/>
        <v>CONTRATADO</v>
      </c>
      <c r="L70" s="47" t="s">
        <v>44</v>
      </c>
      <c r="M70" s="47" t="s">
        <v>1236</v>
      </c>
      <c r="N70" s="52" t="s">
        <v>85</v>
      </c>
      <c r="O70" s="51" t="e">
        <f>VLOOKUP(N70,[2]!RUBROS[#All],3,0)</f>
        <v>#REF!</v>
      </c>
      <c r="P70" s="53" t="e">
        <f>VLOOKUP(N70,[2]!RUBROS[#All],2,0)</f>
        <v>#REF!</v>
      </c>
      <c r="Q70" s="47" t="str">
        <f t="shared" si="8"/>
        <v>00</v>
      </c>
      <c r="R70" s="47" t="str">
        <f t="shared" si="9"/>
        <v>0-205616</v>
      </c>
      <c r="S70" s="54">
        <v>12</v>
      </c>
      <c r="T70" s="59" t="s">
        <v>46</v>
      </c>
      <c r="U70" s="326" t="e">
        <f ca="1">_xlfn.XLOOKUP(PAA_4[[#This Row],[ITEM]],[2]Contrato!A:A,[2]Contrato!Q:Q,"",0)</f>
        <v>#NAME?</v>
      </c>
      <c r="V70" s="47" t="s">
        <v>47</v>
      </c>
      <c r="W70" s="47" t="s">
        <v>48</v>
      </c>
      <c r="X70" s="47" t="s">
        <v>48</v>
      </c>
      <c r="Y70" s="55" t="e">
        <f ca="1">_xlfn.XLOOKUP(PAA_4[[#This Row],[ITEM]],[2]Contrato!A:A,[2]Contrato!B:B,"",0)</f>
        <v>#NAME?</v>
      </c>
      <c r="Z70" s="47" t="e">
        <f ca="1">_xlfn.XLOOKUP(PAA_4[[#This Row],[ITEM]],[2]Contrato!A:A,[2]Contrato!G:G,"",0)</f>
        <v>#NAME?</v>
      </c>
      <c r="AA70" s="47" t="e">
        <f ca="1">_xlfn.XLOOKUP(PAA_4[[#This Row],[ITEM]],[2]Contrato!A:A,[2]Contrato!T:T,"",0)</f>
        <v>#NAME?</v>
      </c>
      <c r="AB70" s="55" t="e">
        <f ca="1">+MAX(PAA_4[[#This Row],[Comprometido Contrato]],PAA_4[[#This Row],[Comprometido Bolsa]])</f>
        <v>#NAME?</v>
      </c>
      <c r="AC70" s="55" t="str">
        <f t="shared" ca="1" si="10"/>
        <v/>
      </c>
      <c r="AD70" s="55" t="e">
        <f ca="1">IF(PAA_4[[#This Row],[ESTADO (formulado)]]="NO CONTRATADO",0,MAX(PAA_4[[#This Row],[Pago por Contrato]],PAA_4[[#This Row],[Pago por bolsa]]))</f>
        <v>#NAME?</v>
      </c>
      <c r="AE70" s="55" t="str">
        <f t="shared" ca="1" si="11"/>
        <v/>
      </c>
      <c r="AF70" s="47" t="e">
        <f t="shared" ca="1" si="12"/>
        <v>#NAME?</v>
      </c>
      <c r="AG70" s="47" t="str">
        <f t="shared" si="13"/>
        <v/>
      </c>
      <c r="AH70" s="54">
        <f>IF(Q70="22",IF(ISNUMBER(SEARCH("econ",PAA_4[[#This Row],[Actividad3]])),"Económico",IF(ISNUMBER(SEARCH("alim",PAA_4[[#This Row],[Actividad3]])),"Alimentación",IF(ISNUMBER(SEARCH("educ",PAA_4[[#This Row],[Actividad3]])),"Educativo","Técnico"))),0)</f>
        <v>0</v>
      </c>
      <c r="AI70" s="47" t="e" cm="1">
        <f t="array" aca="1" ref="AI70" ca="1">_xlfn.XLOOKUP(PAA_4[[#This Row],[RCP-RUBRO]],[2]!COMPROMISOS_2024[[#All],[concatenado]],[2]!COMPROMISOS_2024[[#All],[Total pagado]],"",0)</f>
        <v>#NAME?</v>
      </c>
      <c r="AJ70" s="56">
        <f>IF(PAA_4[[#This Row],[BOLSA]]=0,0,SUMIFS([2]!COMPROMISOS_2024[[#All],[Total pagado]],[2]!COMPROMISOS_2024[[#All],[Bolsa]],PAA_4[[#This Row],[BOLSA]],[2]!COMPROMISOS_2024[[#All],[rubro]],PAA_4[[#This Row],[RCP-RUBRO]]))</f>
        <v>0</v>
      </c>
      <c r="AK70" s="47" t="e" cm="1">
        <f t="array" aca="1" ref="AK70" ca="1">_xlfn.XLOOKUP(PAA_4[[#This Row],[RCP-RUBRO]],[2]!COMPROMISOS_2024[[#All],[concatenado]],[2]!COMPROMISOS_2024[[#All],[Total Comprometido]],"",0)</f>
        <v>#NAME?</v>
      </c>
      <c r="AL70" s="47">
        <f>IF(PAA_4[[#This Row],[BOLSA]]=0,0,SUMIFS([2]!COMPROMISOS_2024[[#All],[Total Comprometido]],[2]!COMPROMISOS_2024[[#All],[Bolsa]],PAA_4[[#This Row],[BOLSA]],[2]!COMPROMISOS_2024[[#All],[concatenado]],PAA_4[[#This Row],[RCP-RUBRO]]))</f>
        <v>0</v>
      </c>
    </row>
    <row r="71" spans="1:38" s="19" customFormat="1" ht="31.5" customHeight="1">
      <c r="A71" s="47">
        <v>513</v>
      </c>
      <c r="B71" s="47" t="s">
        <v>42</v>
      </c>
      <c r="C71" s="47" t="str">
        <f>VLOOKUP(PAA_4[[#This Row],[PROYECTO (formulado)2]],[2]PROYECTOS!$G$1:$L$32,6,0)</f>
        <v>SUBGERENCIA ADMINISTRATIVA Y FINANCIERA</v>
      </c>
      <c r="D71" s="47" t="str">
        <f>+IF(PAA_4[[#This Row],[UNIDAD DE CONTRATACION (formulado)]]="Subgerencia Administrativa y Financiera","FUNCIONAMIENTO","INVERSIÓN")</f>
        <v>FUNCIONAMIENTO</v>
      </c>
      <c r="E71" s="48" t="str">
        <f>VLOOKUP(Q71,[2]PROYECTOS!$G$1:$K$32,5,0)</f>
        <v>FUNCIONAMIENTO</v>
      </c>
      <c r="F71" s="48">
        <f>VLOOKUP(E71,[2]PROYECTOS!$K$1:$M$32,3,0)</f>
        <v>999999</v>
      </c>
      <c r="G71" s="49" t="s">
        <v>43</v>
      </c>
      <c r="H71" s="49">
        <f>VLOOKUP(Q71,[2]PROYECTOS!$V$1:$W$32,2,0)</f>
        <v>999999</v>
      </c>
      <c r="I71" s="50">
        <f>2950468+12049532</f>
        <v>15000000</v>
      </c>
      <c r="J71" s="51" t="s">
        <v>1304</v>
      </c>
      <c r="K71" s="47" t="str">
        <f t="shared" ca="1" si="7"/>
        <v>CONTRATADO</v>
      </c>
      <c r="L71" s="47" t="s">
        <v>44</v>
      </c>
      <c r="M71" s="47" t="s">
        <v>1236</v>
      </c>
      <c r="N71" s="52" t="s">
        <v>1305</v>
      </c>
      <c r="O71" s="51" t="e">
        <f>VLOOKUP(N71,[2]!RUBROS[#All],3,0)</f>
        <v>#REF!</v>
      </c>
      <c r="P71" s="53" t="e">
        <f>VLOOKUP(N71,[2]!RUBROS[#All],2,0)</f>
        <v>#REF!</v>
      </c>
      <c r="Q71" s="47" t="str">
        <f t="shared" si="8"/>
        <v>00</v>
      </c>
      <c r="R71" s="47" t="str">
        <f t="shared" si="9"/>
        <v>0-101024</v>
      </c>
      <c r="S71" s="54">
        <v>12</v>
      </c>
      <c r="T71" s="59" t="s">
        <v>46</v>
      </c>
      <c r="U71" s="326" t="e">
        <f ca="1">_xlfn.XLOOKUP(PAA_4[[#This Row],[ITEM]],[2]Contrato!A:A,[2]Contrato!Q:Q,"",0)</f>
        <v>#NAME?</v>
      </c>
      <c r="V71" s="47" t="s">
        <v>47</v>
      </c>
      <c r="W71" s="47" t="s">
        <v>48</v>
      </c>
      <c r="X71" s="47" t="s">
        <v>48</v>
      </c>
      <c r="Y71" s="55" t="e">
        <f ca="1">_xlfn.XLOOKUP(PAA_4[[#This Row],[ITEM]],[2]Contrato!A:A,[2]Contrato!B:B,"",0)</f>
        <v>#NAME?</v>
      </c>
      <c r="Z71" s="47" t="e">
        <f ca="1">_xlfn.XLOOKUP(PAA_4[[#This Row],[ITEM]],[2]Contrato!A:A,[2]Contrato!G:G,"",0)</f>
        <v>#NAME?</v>
      </c>
      <c r="AA71" s="47" t="e">
        <f ca="1">_xlfn.XLOOKUP(PAA_4[[#This Row],[ITEM]],[2]Contrato!A:A,[2]Contrato!T:T,"",0)</f>
        <v>#NAME?</v>
      </c>
      <c r="AB71" s="55" t="e">
        <f ca="1">+MAX(PAA_4[[#This Row],[Comprometido Contrato]],PAA_4[[#This Row],[Comprometido Bolsa]])</f>
        <v>#NAME?</v>
      </c>
      <c r="AC71" s="55" t="str">
        <f t="shared" ca="1" si="10"/>
        <v/>
      </c>
      <c r="AD71" s="55" t="e">
        <f ca="1">IF(PAA_4[[#This Row],[ESTADO (formulado)]]="NO CONTRATADO",0,MAX(PAA_4[[#This Row],[Pago por Contrato]],PAA_4[[#This Row],[Pago por bolsa]]))</f>
        <v>#NAME?</v>
      </c>
      <c r="AE71" s="55" t="str">
        <f t="shared" ca="1" si="11"/>
        <v/>
      </c>
      <c r="AF71" s="47" t="e">
        <f t="shared" ca="1" si="12"/>
        <v>#NAME?</v>
      </c>
      <c r="AG71" s="47" t="str">
        <f t="shared" si="13"/>
        <v/>
      </c>
      <c r="AH71" s="54">
        <f>IF(Q71="22",IF(ISNUMBER(SEARCH("econ",PAA_4[[#This Row],[Actividad3]])),"Económico",IF(ISNUMBER(SEARCH("alim",PAA_4[[#This Row],[Actividad3]])),"Alimentación",IF(ISNUMBER(SEARCH("educ",PAA_4[[#This Row],[Actividad3]])),"Educativo","Técnico"))),0)</f>
        <v>0</v>
      </c>
      <c r="AI71" s="47" t="e" cm="1">
        <f t="array" aca="1" ref="AI71" ca="1">_xlfn.XLOOKUP(PAA_4[[#This Row],[RCP-RUBRO]],[2]!COMPROMISOS_2024[[#All],[concatenado]],[2]!COMPROMISOS_2024[[#All],[Total pagado]],"",0)</f>
        <v>#NAME?</v>
      </c>
      <c r="AJ71" s="56">
        <f>IF(PAA_4[[#This Row],[BOLSA]]=0,0,SUMIFS([2]!COMPROMISOS_2024[[#All],[Total pagado]],[2]!COMPROMISOS_2024[[#All],[Bolsa]],PAA_4[[#This Row],[BOLSA]],[2]!COMPROMISOS_2024[[#All],[rubro]],PAA_4[[#This Row],[RCP-RUBRO]]))</f>
        <v>0</v>
      </c>
      <c r="AK71" s="47" t="e" cm="1">
        <f t="array" aca="1" ref="AK71" ca="1">_xlfn.XLOOKUP(PAA_4[[#This Row],[RCP-RUBRO]],[2]!COMPROMISOS_2024[[#All],[concatenado]],[2]!COMPROMISOS_2024[[#All],[Total Comprometido]],"",0)</f>
        <v>#NAME?</v>
      </c>
      <c r="AL71" s="47">
        <f>IF(PAA_4[[#This Row],[BOLSA]]=0,0,SUMIFS([2]!COMPROMISOS_2024[[#All],[Total Comprometido]],[2]!COMPROMISOS_2024[[#All],[Bolsa]],PAA_4[[#This Row],[BOLSA]],[2]!COMPROMISOS_2024[[#All],[concatenado]],PAA_4[[#This Row],[RCP-RUBRO]]))</f>
        <v>0</v>
      </c>
    </row>
    <row r="72" spans="1:38" s="19" customFormat="1" ht="31.5" customHeight="1">
      <c r="A72" s="47">
        <v>514</v>
      </c>
      <c r="B72" s="47" t="s">
        <v>42</v>
      </c>
      <c r="C72" s="47" t="str">
        <f>VLOOKUP(PAA_4[[#This Row],[PROYECTO (formulado)2]],[2]PROYECTOS!$G$1:$L$32,6,0)</f>
        <v>SUBGERENCIA ADMINISTRATIVA Y FINANCIERA</v>
      </c>
      <c r="D72" s="47" t="str">
        <f>+IF(PAA_4[[#This Row],[UNIDAD DE CONTRATACION (formulado)]]="Subgerencia Administrativa y Financiera","FUNCIONAMIENTO","INVERSIÓN")</f>
        <v>FUNCIONAMIENTO</v>
      </c>
      <c r="E72" s="48" t="str">
        <f>VLOOKUP(Q72,[2]PROYECTOS!$G$1:$K$32,5,0)</f>
        <v>FUNCIONAMIENTO</v>
      </c>
      <c r="F72" s="48">
        <f>VLOOKUP(E72,[2]PROYECTOS!$K$1:$M$32,3,0)</f>
        <v>999999</v>
      </c>
      <c r="G72" s="49" t="s">
        <v>43</v>
      </c>
      <c r="H72" s="49">
        <f>VLOOKUP(Q72,[2]PROYECTOS!$V$1:$W$32,2,0)</f>
        <v>999999</v>
      </c>
      <c r="I72" s="50">
        <v>10000000</v>
      </c>
      <c r="J72" s="51" t="s">
        <v>1306</v>
      </c>
      <c r="K72" s="47" t="str">
        <f t="shared" ca="1" si="7"/>
        <v>CONTRATADO</v>
      </c>
      <c r="L72" s="47" t="s">
        <v>44</v>
      </c>
      <c r="M72" s="47" t="s">
        <v>1236</v>
      </c>
      <c r="N72" s="52" t="s">
        <v>86</v>
      </c>
      <c r="O72" s="51" t="e">
        <f>VLOOKUP(N72,[2]!RUBROS[#All],3,0)</f>
        <v>#REF!</v>
      </c>
      <c r="P72" s="53" t="e">
        <f>VLOOKUP(N72,[2]!RUBROS[#All],2,0)</f>
        <v>#REF!</v>
      </c>
      <c r="Q72" s="47" t="str">
        <f t="shared" si="8"/>
        <v>00</v>
      </c>
      <c r="R72" s="47" t="str">
        <f t="shared" si="9"/>
        <v>0-205616</v>
      </c>
      <c r="S72" s="54">
        <v>12</v>
      </c>
      <c r="T72" s="59" t="s">
        <v>46</v>
      </c>
      <c r="U72" s="326" t="e">
        <f ca="1">_xlfn.XLOOKUP(PAA_4[[#This Row],[ITEM]],[2]Contrato!A:A,[2]Contrato!Q:Q,"",0)</f>
        <v>#NAME?</v>
      </c>
      <c r="V72" s="47" t="s">
        <v>47</v>
      </c>
      <c r="W72" s="47" t="s">
        <v>48</v>
      </c>
      <c r="X72" s="47" t="s">
        <v>48</v>
      </c>
      <c r="Y72" s="55" t="e">
        <f ca="1">_xlfn.XLOOKUP(PAA_4[[#This Row],[ITEM]],[2]Contrato!A:A,[2]Contrato!B:B,"",0)</f>
        <v>#NAME?</v>
      </c>
      <c r="Z72" s="47" t="e">
        <f ca="1">_xlfn.XLOOKUP(PAA_4[[#This Row],[ITEM]],[2]Contrato!A:A,[2]Contrato!G:G,"",0)</f>
        <v>#NAME?</v>
      </c>
      <c r="AA72" s="47" t="e">
        <f ca="1">_xlfn.XLOOKUP(PAA_4[[#This Row],[ITEM]],[2]Contrato!A:A,[2]Contrato!T:T,"",0)</f>
        <v>#NAME?</v>
      </c>
      <c r="AB72" s="55" t="e">
        <f ca="1">+MAX(PAA_4[[#This Row],[Comprometido Contrato]],PAA_4[[#This Row],[Comprometido Bolsa]])</f>
        <v>#NAME?</v>
      </c>
      <c r="AC72" s="55" t="str">
        <f t="shared" ca="1" si="10"/>
        <v/>
      </c>
      <c r="AD72" s="55" t="e">
        <f ca="1">IF(PAA_4[[#This Row],[ESTADO (formulado)]]="NO CONTRATADO",0,MAX(PAA_4[[#This Row],[Pago por Contrato]],PAA_4[[#This Row],[Pago por bolsa]]))</f>
        <v>#NAME?</v>
      </c>
      <c r="AE72" s="55" t="str">
        <f t="shared" ca="1" si="11"/>
        <v/>
      </c>
      <c r="AF72" s="47" t="e">
        <f t="shared" ca="1" si="12"/>
        <v>#NAME?</v>
      </c>
      <c r="AG72" s="47" t="str">
        <f t="shared" si="13"/>
        <v/>
      </c>
      <c r="AH72" s="54">
        <f>IF(Q72="22",IF(ISNUMBER(SEARCH("econ",PAA_4[[#This Row],[Actividad3]])),"Económico",IF(ISNUMBER(SEARCH("alim",PAA_4[[#This Row],[Actividad3]])),"Alimentación",IF(ISNUMBER(SEARCH("educ",PAA_4[[#This Row],[Actividad3]])),"Educativo","Técnico"))),0)</f>
        <v>0</v>
      </c>
      <c r="AI72" s="47" t="e" cm="1">
        <f t="array" aca="1" ref="AI72" ca="1">_xlfn.XLOOKUP(PAA_4[[#This Row],[RCP-RUBRO]],[2]!COMPROMISOS_2024[[#All],[concatenado]],[2]!COMPROMISOS_2024[[#All],[Total pagado]],"",0)</f>
        <v>#NAME?</v>
      </c>
      <c r="AJ72" s="56">
        <f>IF(PAA_4[[#This Row],[BOLSA]]=0,0,SUMIFS([2]!COMPROMISOS_2024[[#All],[Total pagado]],[2]!COMPROMISOS_2024[[#All],[Bolsa]],PAA_4[[#This Row],[BOLSA]],[2]!COMPROMISOS_2024[[#All],[rubro]],PAA_4[[#This Row],[RCP-RUBRO]]))</f>
        <v>0</v>
      </c>
      <c r="AK72" s="47" t="e" cm="1">
        <f t="array" aca="1" ref="AK72" ca="1">_xlfn.XLOOKUP(PAA_4[[#This Row],[RCP-RUBRO]],[2]!COMPROMISOS_2024[[#All],[concatenado]],[2]!COMPROMISOS_2024[[#All],[Total Comprometido]],"",0)</f>
        <v>#NAME?</v>
      </c>
      <c r="AL72" s="47">
        <f>IF(PAA_4[[#This Row],[BOLSA]]=0,0,SUMIFS([2]!COMPROMISOS_2024[[#All],[Total Comprometido]],[2]!COMPROMISOS_2024[[#All],[Bolsa]],PAA_4[[#This Row],[BOLSA]],[2]!COMPROMISOS_2024[[#All],[concatenado]],PAA_4[[#This Row],[RCP-RUBRO]]))</f>
        <v>0</v>
      </c>
    </row>
    <row r="73" spans="1:38" s="19" customFormat="1" ht="31.5" customHeight="1">
      <c r="A73" s="47">
        <v>515</v>
      </c>
      <c r="B73" s="47" t="s">
        <v>42</v>
      </c>
      <c r="C73" s="47" t="str">
        <f>VLOOKUP(PAA_4[[#This Row],[PROYECTO (formulado)2]],[2]PROYECTOS!$G$1:$L$32,6,0)</f>
        <v>SUBGERENCIA ADMINISTRATIVA Y FINANCIERA</v>
      </c>
      <c r="D73" s="47" t="str">
        <f>+IF(PAA_4[[#This Row],[UNIDAD DE CONTRATACION (formulado)]]="Subgerencia Administrativa y Financiera","FUNCIONAMIENTO","INVERSIÓN")</f>
        <v>FUNCIONAMIENTO</v>
      </c>
      <c r="E73" s="48" t="str">
        <f>VLOOKUP(Q73,[2]PROYECTOS!$G$1:$K$32,5,0)</f>
        <v>FUNCIONAMIENTO</v>
      </c>
      <c r="F73" s="48">
        <f>VLOOKUP(E73,[2]PROYECTOS!$K$1:$M$32,3,0)</f>
        <v>999999</v>
      </c>
      <c r="G73" s="49" t="s">
        <v>43</v>
      </c>
      <c r="H73" s="49">
        <f>VLOOKUP(Q73,[2]PROYECTOS!$V$1:$W$32,2,0)</f>
        <v>999999</v>
      </c>
      <c r="I73" s="50">
        <v>72000000</v>
      </c>
      <c r="J73" s="327" t="s">
        <v>1307</v>
      </c>
      <c r="K73" s="47" t="str">
        <f t="shared" ca="1" si="7"/>
        <v>CONTRATADO</v>
      </c>
      <c r="L73" s="47" t="s">
        <v>44</v>
      </c>
      <c r="M73" s="47" t="s">
        <v>1236</v>
      </c>
      <c r="N73" s="58" t="s">
        <v>1308</v>
      </c>
      <c r="O73" s="51" t="e">
        <f>VLOOKUP(N73,[2]!RUBROS[#All],3,0)</f>
        <v>#REF!</v>
      </c>
      <c r="P73" s="53" t="e">
        <f>VLOOKUP(N73,[2]!RUBROS[#All],2,0)</f>
        <v>#REF!</v>
      </c>
      <c r="Q73" s="47" t="str">
        <f t="shared" si="8"/>
        <v>00</v>
      </c>
      <c r="R73" s="47" t="str">
        <f t="shared" si="9"/>
        <v>4-205616</v>
      </c>
      <c r="S73" s="54">
        <v>7</v>
      </c>
      <c r="T73" s="57" t="s">
        <v>46</v>
      </c>
      <c r="U73" s="326" t="e">
        <f ca="1">_xlfn.XLOOKUP(PAA_4[[#This Row],[ITEM]],[2]Contrato!A:A,[2]Contrato!Q:Q,"",0)</f>
        <v>#NAME?</v>
      </c>
      <c r="V73" s="47" t="s">
        <v>95</v>
      </c>
      <c r="W73" s="47" t="s">
        <v>154</v>
      </c>
      <c r="X73" s="47" t="s">
        <v>154</v>
      </c>
      <c r="Y73" s="55" t="e">
        <f ca="1">_xlfn.XLOOKUP(PAA_4[[#This Row],[ITEM]],[2]Contrato!A:A,[2]Contrato!B:B,"",0)</f>
        <v>#NAME?</v>
      </c>
      <c r="Z73" s="47" t="e">
        <f ca="1">_xlfn.XLOOKUP(PAA_4[[#This Row],[ITEM]],[2]Contrato!A:A,[2]Contrato!G:G,"",0)</f>
        <v>#NAME?</v>
      </c>
      <c r="AA73" s="47" t="e">
        <f ca="1">_xlfn.XLOOKUP(PAA_4[[#This Row],[ITEM]],[2]Contrato!A:A,[2]Contrato!T:T,"",0)</f>
        <v>#NAME?</v>
      </c>
      <c r="AB73" s="55" t="e">
        <f ca="1">+MAX(PAA_4[[#This Row],[Comprometido Contrato]],PAA_4[[#This Row],[Comprometido Bolsa]])</f>
        <v>#NAME?</v>
      </c>
      <c r="AC73" s="55" t="str">
        <f t="shared" ca="1" si="10"/>
        <v/>
      </c>
      <c r="AD73" s="55" t="e">
        <f ca="1">IF(PAA_4[[#This Row],[ESTADO (formulado)]]="NO CONTRATADO",0,MAX(PAA_4[[#This Row],[Pago por Contrato]],PAA_4[[#This Row],[Pago por bolsa]]))</f>
        <v>#NAME?</v>
      </c>
      <c r="AE73" s="55" t="str">
        <f t="shared" ca="1" si="11"/>
        <v/>
      </c>
      <c r="AF73" s="47" t="e">
        <f t="shared" ca="1" si="12"/>
        <v>#NAME?</v>
      </c>
      <c r="AG73" s="47" t="str">
        <f t="shared" si="13"/>
        <v/>
      </c>
      <c r="AH73" s="54">
        <f>IF(Q73="22",IF(ISNUMBER(SEARCH("econ",PAA_4[[#This Row],[Actividad3]])),"Económico",IF(ISNUMBER(SEARCH("alim",PAA_4[[#This Row],[Actividad3]])),"Alimentación",IF(ISNUMBER(SEARCH("educ",PAA_4[[#This Row],[Actividad3]])),"Educativo","Técnico"))),0)</f>
        <v>0</v>
      </c>
      <c r="AI73" s="47" t="e" cm="1">
        <f t="array" aca="1" ref="AI73" ca="1">_xlfn.XLOOKUP(PAA_4[[#This Row],[RCP-RUBRO]],[2]!COMPROMISOS_2024[[#All],[concatenado]],[2]!COMPROMISOS_2024[[#All],[Total pagado]],"",0)</f>
        <v>#NAME?</v>
      </c>
      <c r="AJ73" s="56">
        <f>IF(PAA_4[[#This Row],[BOLSA]]=0,0,SUMIFS([2]!COMPROMISOS_2024[[#All],[Total pagado]],[2]!COMPROMISOS_2024[[#All],[Bolsa]],PAA_4[[#This Row],[BOLSA]],[2]!COMPROMISOS_2024[[#All],[rubro]],PAA_4[[#This Row],[RCP-RUBRO]]))</f>
        <v>0</v>
      </c>
      <c r="AK73" s="47" t="e" cm="1">
        <f t="array" aca="1" ref="AK73" ca="1">_xlfn.XLOOKUP(PAA_4[[#This Row],[RCP-RUBRO]],[2]!COMPROMISOS_2024[[#All],[concatenado]],[2]!COMPROMISOS_2024[[#All],[Total Comprometido]],"",0)</f>
        <v>#NAME?</v>
      </c>
      <c r="AL73" s="47">
        <f>IF(PAA_4[[#This Row],[BOLSA]]=0,0,SUMIFS([2]!COMPROMISOS_2024[[#All],[Total Comprometido]],[2]!COMPROMISOS_2024[[#All],[Bolsa]],PAA_4[[#This Row],[BOLSA]],[2]!COMPROMISOS_2024[[#All],[concatenado]],PAA_4[[#This Row],[RCP-RUBRO]]))</f>
        <v>0</v>
      </c>
    </row>
    <row r="74" spans="1:38" s="19" customFormat="1" ht="31.5" customHeight="1">
      <c r="A74" s="47">
        <v>515</v>
      </c>
      <c r="B74" s="47" t="s">
        <v>42</v>
      </c>
      <c r="C74" s="47" t="str">
        <f>VLOOKUP(PAA_4[[#This Row],[PROYECTO (formulado)2]],[2]PROYECTOS!$G$1:$L$32,6,0)</f>
        <v>SUBGERENCIA ADMINISTRATIVA Y FINANCIERA</v>
      </c>
      <c r="D74" s="47" t="str">
        <f>+IF(PAA_4[[#This Row],[UNIDAD DE CONTRATACION (formulado)]]="Subgerencia Administrativa y Financiera","FUNCIONAMIENTO","INVERSIÓN")</f>
        <v>FUNCIONAMIENTO</v>
      </c>
      <c r="E74" s="48" t="str">
        <f>VLOOKUP(Q74,[2]PROYECTOS!$G$1:$K$32,5,0)</f>
        <v>FUNCIONAMIENTO</v>
      </c>
      <c r="F74" s="48">
        <f>VLOOKUP(E74,[2]PROYECTOS!$K$1:$M$32,3,0)</f>
        <v>999999</v>
      </c>
      <c r="G74" s="49" t="s">
        <v>43</v>
      </c>
      <c r="H74" s="49">
        <f>VLOOKUP(Q74,[2]PROYECTOS!$V$1:$W$32,2,0)</f>
        <v>999999</v>
      </c>
      <c r="I74" s="50">
        <v>28000000</v>
      </c>
      <c r="J74" s="51" t="s">
        <v>1307</v>
      </c>
      <c r="K74" s="47" t="str">
        <f t="shared" ca="1" si="7"/>
        <v>CONTRATADO</v>
      </c>
      <c r="L74" s="47" t="s">
        <v>44</v>
      </c>
      <c r="M74" s="47" t="s">
        <v>1236</v>
      </c>
      <c r="N74" s="52" t="s">
        <v>87</v>
      </c>
      <c r="O74" s="51" t="e">
        <f>VLOOKUP(N74,[2]!RUBROS[#All],3,0)</f>
        <v>#REF!</v>
      </c>
      <c r="P74" s="53" t="e">
        <f>VLOOKUP(N74,[2]!RUBROS[#All],2,0)</f>
        <v>#REF!</v>
      </c>
      <c r="Q74" s="47" t="str">
        <f t="shared" si="8"/>
        <v>00</v>
      </c>
      <c r="R74" s="47" t="str">
        <f t="shared" si="9"/>
        <v>0-205616</v>
      </c>
      <c r="S74" s="54">
        <v>12</v>
      </c>
      <c r="T74" s="59" t="s">
        <v>46</v>
      </c>
      <c r="U74" s="326" t="e">
        <f ca="1">_xlfn.XLOOKUP(PAA_4[[#This Row],[ITEM]],[2]Contrato!A:A,[2]Contrato!Q:Q,"",0)</f>
        <v>#NAME?</v>
      </c>
      <c r="V74" s="47" t="s">
        <v>47</v>
      </c>
      <c r="W74" s="47" t="s">
        <v>48</v>
      </c>
      <c r="X74" s="47" t="s">
        <v>48</v>
      </c>
      <c r="Y74" s="55" t="e">
        <f ca="1">_xlfn.XLOOKUP(PAA_4[[#This Row],[ITEM]],[2]Contrato!A:A,[2]Contrato!B:B,"",0)</f>
        <v>#NAME?</v>
      </c>
      <c r="Z74" s="47" t="e">
        <f ca="1">_xlfn.XLOOKUP(PAA_4[[#This Row],[ITEM]],[2]Contrato!A:A,[2]Contrato!G:G,"",0)</f>
        <v>#NAME?</v>
      </c>
      <c r="AA74" s="47" t="e">
        <f ca="1">_xlfn.XLOOKUP(PAA_4[[#This Row],[ITEM]],[2]Contrato!A:A,[2]Contrato!T:T,"",0)</f>
        <v>#NAME?</v>
      </c>
      <c r="AB74" s="55" t="e">
        <f ca="1">+MAX(PAA_4[[#This Row],[Comprometido Contrato]],PAA_4[[#This Row],[Comprometido Bolsa]])</f>
        <v>#NAME?</v>
      </c>
      <c r="AC74" s="55" t="str">
        <f t="shared" ca="1" si="10"/>
        <v/>
      </c>
      <c r="AD74" s="55" t="e">
        <f ca="1">IF(PAA_4[[#This Row],[ESTADO (formulado)]]="NO CONTRATADO",0,MAX(PAA_4[[#This Row],[Pago por Contrato]],PAA_4[[#This Row],[Pago por bolsa]]))</f>
        <v>#NAME?</v>
      </c>
      <c r="AE74" s="55" t="str">
        <f t="shared" ca="1" si="11"/>
        <v/>
      </c>
      <c r="AF74" s="47" t="e">
        <f t="shared" ca="1" si="12"/>
        <v>#NAME?</v>
      </c>
      <c r="AG74" s="47" t="str">
        <f t="shared" si="13"/>
        <v/>
      </c>
      <c r="AH74" s="54">
        <f>IF(Q74="22",IF(ISNUMBER(SEARCH("econ",PAA_4[[#This Row],[Actividad3]])),"Económico",IF(ISNUMBER(SEARCH("alim",PAA_4[[#This Row],[Actividad3]])),"Alimentación",IF(ISNUMBER(SEARCH("educ",PAA_4[[#This Row],[Actividad3]])),"Educativo","Técnico"))),0)</f>
        <v>0</v>
      </c>
      <c r="AI74" s="47" t="e" cm="1">
        <f t="array" aca="1" ref="AI74" ca="1">_xlfn.XLOOKUP(PAA_4[[#This Row],[RCP-RUBRO]],[2]!COMPROMISOS_2024[[#All],[concatenado]],[2]!COMPROMISOS_2024[[#All],[Total pagado]],"",0)</f>
        <v>#NAME?</v>
      </c>
      <c r="AJ74" s="56">
        <f>IF(PAA_4[[#This Row],[BOLSA]]=0,0,SUMIFS([2]!COMPROMISOS_2024[[#All],[Total pagado]],[2]!COMPROMISOS_2024[[#All],[Bolsa]],PAA_4[[#This Row],[BOLSA]],[2]!COMPROMISOS_2024[[#All],[rubro]],PAA_4[[#This Row],[RCP-RUBRO]]))</f>
        <v>0</v>
      </c>
      <c r="AK74" s="47" t="e" cm="1">
        <f t="array" aca="1" ref="AK74" ca="1">_xlfn.XLOOKUP(PAA_4[[#This Row],[RCP-RUBRO]],[2]!COMPROMISOS_2024[[#All],[concatenado]],[2]!COMPROMISOS_2024[[#All],[Total Comprometido]],"",0)</f>
        <v>#NAME?</v>
      </c>
      <c r="AL74" s="47">
        <f>IF(PAA_4[[#This Row],[BOLSA]]=0,0,SUMIFS([2]!COMPROMISOS_2024[[#All],[Total Comprometido]],[2]!COMPROMISOS_2024[[#All],[Bolsa]],PAA_4[[#This Row],[BOLSA]],[2]!COMPROMISOS_2024[[#All],[concatenado]],PAA_4[[#This Row],[RCP-RUBRO]]))</f>
        <v>0</v>
      </c>
    </row>
    <row r="75" spans="1:38" s="19" customFormat="1" ht="31.5" customHeight="1">
      <c r="A75" s="47" t="s">
        <v>82</v>
      </c>
      <c r="B75" s="47" t="s">
        <v>42</v>
      </c>
      <c r="C75" s="47" t="str">
        <f>VLOOKUP(PAA_4[[#This Row],[PROYECTO (formulado)2]],[2]PROYECTOS!$G$1:$L$32,6,0)</f>
        <v>SUBGERENCIA ADMINISTRATIVA Y FINANCIERA</v>
      </c>
      <c r="D75" s="47" t="str">
        <f>+IF(PAA_4[[#This Row],[UNIDAD DE CONTRATACION (formulado)]]="Subgerencia Administrativa y Financiera","FUNCIONAMIENTO","INVERSIÓN")</f>
        <v>FUNCIONAMIENTO</v>
      </c>
      <c r="E75" s="48" t="str">
        <f>VLOOKUP(Q75,[2]PROYECTOS!$G$1:$K$32,5,0)</f>
        <v>FUNCIONAMIENTO</v>
      </c>
      <c r="F75" s="48">
        <f>VLOOKUP(E75,[2]PROYECTOS!$K$1:$M$32,3,0)</f>
        <v>999999</v>
      </c>
      <c r="G75" s="49" t="s">
        <v>43</v>
      </c>
      <c r="H75" s="49">
        <f>VLOOKUP(Q75,[2]PROYECTOS!$V$1:$W$32,2,0)</f>
        <v>999999</v>
      </c>
      <c r="I75" s="50">
        <v>0</v>
      </c>
      <c r="J75" s="51" t="s">
        <v>1309</v>
      </c>
      <c r="K75" s="47" t="str">
        <f t="shared" ca="1" si="7"/>
        <v>CONTRATADO</v>
      </c>
      <c r="L75" s="47" t="s">
        <v>42</v>
      </c>
      <c r="M75" s="47" t="s">
        <v>42</v>
      </c>
      <c r="N75" s="52" t="s">
        <v>90</v>
      </c>
      <c r="O75" s="51" t="e">
        <f>VLOOKUP(N75,[2]!RUBROS[#All],3,0)</f>
        <v>#REF!</v>
      </c>
      <c r="P75" s="53" t="e">
        <f>VLOOKUP(N75,[2]!RUBROS[#All],2,0)</f>
        <v>#REF!</v>
      </c>
      <c r="Q75" s="47" t="str">
        <f t="shared" si="8"/>
        <v>00</v>
      </c>
      <c r="R75" s="47" t="str">
        <f t="shared" si="9"/>
        <v>0-205616</v>
      </c>
      <c r="S75" s="54" t="s">
        <v>42</v>
      </c>
      <c r="T75" s="329" t="s">
        <v>42</v>
      </c>
      <c r="U75" s="326" t="e">
        <f ca="1">_xlfn.XLOOKUP(PAA_4[[#This Row],[ITEM]],[2]Contrato!A:A,[2]Contrato!Q:Q,"",0)</f>
        <v>#NAME?</v>
      </c>
      <c r="V75" s="47" t="s">
        <v>42</v>
      </c>
      <c r="W75" s="47" t="s">
        <v>42</v>
      </c>
      <c r="X75" s="47" t="s">
        <v>42</v>
      </c>
      <c r="Y75" s="55" t="e">
        <f ca="1">_xlfn.XLOOKUP(PAA_4[[#This Row],[ITEM]],[2]Contrato!A:A,[2]Contrato!B:B,"",0)</f>
        <v>#NAME?</v>
      </c>
      <c r="Z75" s="47" t="e">
        <f ca="1">_xlfn.XLOOKUP(PAA_4[[#This Row],[ITEM]],[2]Contrato!A:A,[2]Contrato!G:G,"",0)</f>
        <v>#NAME?</v>
      </c>
      <c r="AA75" s="47" t="e">
        <f ca="1">_xlfn.XLOOKUP(PAA_4[[#This Row],[ITEM]],[2]Contrato!A:A,[2]Contrato!T:T,"",0)</f>
        <v>#NAME?</v>
      </c>
      <c r="AB75" s="55" t="e">
        <f ca="1">+MAX(PAA_4[[#This Row],[Comprometido Contrato]],PAA_4[[#This Row],[Comprometido Bolsa]])</f>
        <v>#NAME?</v>
      </c>
      <c r="AC75" s="55" t="str">
        <f t="shared" ca="1" si="10"/>
        <v/>
      </c>
      <c r="AD75" s="55" t="e">
        <f ca="1">IF(PAA_4[[#This Row],[ESTADO (formulado)]]="NO CONTRATADO",0,MAX(PAA_4[[#This Row],[Pago por Contrato]],PAA_4[[#This Row],[Pago por bolsa]]))</f>
        <v>#NAME?</v>
      </c>
      <c r="AE75" s="55" t="str">
        <f t="shared" ca="1" si="11"/>
        <v/>
      </c>
      <c r="AF75" s="47" t="e">
        <f t="shared" ca="1" si="12"/>
        <v>#NAME?</v>
      </c>
      <c r="AG75" s="47" t="str">
        <f t="shared" si="13"/>
        <v/>
      </c>
      <c r="AH75" s="54">
        <f>IF(Q75="22",IF(ISNUMBER(SEARCH("econ",PAA_4[[#This Row],[Actividad3]])),"Económico",IF(ISNUMBER(SEARCH("alim",PAA_4[[#This Row],[Actividad3]])),"Alimentación",IF(ISNUMBER(SEARCH("educ",PAA_4[[#This Row],[Actividad3]])),"Educativo","Técnico"))),0)</f>
        <v>0</v>
      </c>
      <c r="AI75" s="47" t="e" cm="1">
        <f t="array" aca="1" ref="AI75" ca="1">_xlfn.XLOOKUP(PAA_4[[#This Row],[RCP-RUBRO]],[2]!COMPROMISOS_2024[[#All],[concatenado]],[2]!COMPROMISOS_2024[[#All],[Total pagado]],"",0)</f>
        <v>#NAME?</v>
      </c>
      <c r="AJ75" s="56">
        <f>IF(PAA_4[[#This Row],[BOLSA]]=0,0,SUMIFS([2]!COMPROMISOS_2024[[#All],[Total pagado]],[2]!COMPROMISOS_2024[[#All],[Bolsa]],PAA_4[[#This Row],[BOLSA]],[2]!COMPROMISOS_2024[[#All],[rubro]],PAA_4[[#This Row],[RCP-RUBRO]]))</f>
        <v>0</v>
      </c>
      <c r="AK75" s="47" t="e" cm="1">
        <f t="array" aca="1" ref="AK75" ca="1">_xlfn.XLOOKUP(PAA_4[[#This Row],[RCP-RUBRO]],[2]!COMPROMISOS_2024[[#All],[concatenado]],[2]!COMPROMISOS_2024[[#All],[Total Comprometido]],"",0)</f>
        <v>#NAME?</v>
      </c>
      <c r="AL75" s="47">
        <f>IF(PAA_4[[#This Row],[BOLSA]]=0,0,SUMIFS([2]!COMPROMISOS_2024[[#All],[Total Comprometido]],[2]!COMPROMISOS_2024[[#All],[Bolsa]],PAA_4[[#This Row],[BOLSA]],[2]!COMPROMISOS_2024[[#All],[concatenado]],PAA_4[[#This Row],[RCP-RUBRO]]))</f>
        <v>0</v>
      </c>
    </row>
    <row r="76" spans="1:38" s="19" customFormat="1" ht="31.5" customHeight="1">
      <c r="A76" s="47">
        <v>516</v>
      </c>
      <c r="B76" s="47">
        <v>78181500</v>
      </c>
      <c r="C76" s="47" t="str">
        <f>VLOOKUP(PAA_4[[#This Row],[PROYECTO (formulado)2]],[2]PROYECTOS!$G$1:$L$32,6,0)</f>
        <v>SUBGERENCIA ADMINISTRATIVA Y FINANCIERA</v>
      </c>
      <c r="D76" s="47" t="str">
        <f>+IF(PAA_4[[#This Row],[UNIDAD DE CONTRATACION (formulado)]]="Subgerencia Administrativa y Financiera","FUNCIONAMIENTO","INVERSIÓN")</f>
        <v>FUNCIONAMIENTO</v>
      </c>
      <c r="E76" s="48" t="str">
        <f>VLOOKUP(Q76,[2]PROYECTOS!$G$1:$K$32,5,0)</f>
        <v>FUNCIONAMIENTO</v>
      </c>
      <c r="F76" s="48">
        <f>VLOOKUP(E76,[2]PROYECTOS!$K$1:$M$32,3,0)</f>
        <v>999999</v>
      </c>
      <c r="G76" s="49" t="s">
        <v>43</v>
      </c>
      <c r="H76" s="49">
        <f>VLOOKUP(Q76,[2]PROYECTOS!$V$1:$W$32,2,0)</f>
        <v>999999</v>
      </c>
      <c r="I76" s="50">
        <f>10000000-1274793</f>
        <v>8725207</v>
      </c>
      <c r="J76" s="51" t="s">
        <v>1310</v>
      </c>
      <c r="K76" s="47" t="str">
        <f t="shared" ca="1" si="7"/>
        <v>CONTRATADO</v>
      </c>
      <c r="L76" s="47" t="s">
        <v>88</v>
      </c>
      <c r="M76" s="47" t="s">
        <v>89</v>
      </c>
      <c r="N76" s="52" t="s">
        <v>90</v>
      </c>
      <c r="O76" s="51" t="e">
        <f>VLOOKUP(N76,[2]!RUBROS[#All],3,0)</f>
        <v>#REF!</v>
      </c>
      <c r="P76" s="53" t="e">
        <f>VLOOKUP(N76,[2]!RUBROS[#All],2,0)</f>
        <v>#REF!</v>
      </c>
      <c r="Q76" s="47" t="str">
        <f t="shared" si="8"/>
        <v>00</v>
      </c>
      <c r="R76" s="47" t="str">
        <f t="shared" si="9"/>
        <v>0-205616</v>
      </c>
      <c r="S76" s="54">
        <v>10</v>
      </c>
      <c r="T76" s="59" t="s">
        <v>46</v>
      </c>
      <c r="U76" s="326" t="e">
        <f ca="1">_xlfn.XLOOKUP(PAA_4[[#This Row],[ITEM]],[2]Contrato!A:A,[2]Contrato!Q:Q,"",0)</f>
        <v>#NAME?</v>
      </c>
      <c r="V76" s="47" t="s">
        <v>47</v>
      </c>
      <c r="W76" s="47" t="s">
        <v>91</v>
      </c>
      <c r="X76" s="47" t="s">
        <v>92</v>
      </c>
      <c r="Y76" s="55" t="e">
        <f ca="1">_xlfn.XLOOKUP(PAA_4[[#This Row],[ITEM]],[2]Contrato!A:A,[2]Contrato!B:B,"",0)</f>
        <v>#NAME?</v>
      </c>
      <c r="Z76" s="47" t="e">
        <f ca="1">_xlfn.XLOOKUP(PAA_4[[#This Row],[ITEM]],[2]Contrato!A:A,[2]Contrato!G:G,"",0)</f>
        <v>#NAME?</v>
      </c>
      <c r="AA76" s="47" t="e">
        <f ca="1">_xlfn.XLOOKUP(PAA_4[[#This Row],[ITEM]],[2]Contrato!A:A,[2]Contrato!T:T,"",0)</f>
        <v>#NAME?</v>
      </c>
      <c r="AB76" s="55" t="e">
        <f ca="1">+MAX(PAA_4[[#This Row],[Comprometido Contrato]],PAA_4[[#This Row],[Comprometido Bolsa]])</f>
        <v>#NAME?</v>
      </c>
      <c r="AC76" s="55" t="str">
        <f t="shared" ca="1" si="10"/>
        <v/>
      </c>
      <c r="AD76" s="55" t="e">
        <f ca="1">IF(PAA_4[[#This Row],[ESTADO (formulado)]]="NO CONTRATADO",0,MAX(PAA_4[[#This Row],[Pago por Contrato]],PAA_4[[#This Row],[Pago por bolsa]]))</f>
        <v>#NAME?</v>
      </c>
      <c r="AE76" s="55" t="str">
        <f t="shared" ca="1" si="11"/>
        <v/>
      </c>
      <c r="AF76" s="47" t="e">
        <f t="shared" ca="1" si="12"/>
        <v>#NAME?</v>
      </c>
      <c r="AG76" s="47" t="str">
        <f t="shared" si="13"/>
        <v/>
      </c>
      <c r="AH76" s="54">
        <f>IF(Q76="22",IF(ISNUMBER(SEARCH("econ",PAA_4[[#This Row],[Actividad3]])),"Económico",IF(ISNUMBER(SEARCH("alim",PAA_4[[#This Row],[Actividad3]])),"Alimentación",IF(ISNUMBER(SEARCH("educ",PAA_4[[#This Row],[Actividad3]])),"Educativo","Técnico"))),0)</f>
        <v>0</v>
      </c>
      <c r="AI76" s="47" t="e" cm="1">
        <f t="array" aca="1" ref="AI76" ca="1">_xlfn.XLOOKUP(PAA_4[[#This Row],[RCP-RUBRO]],[2]!COMPROMISOS_2024[[#All],[concatenado]],[2]!COMPROMISOS_2024[[#All],[Total pagado]],"",0)</f>
        <v>#NAME?</v>
      </c>
      <c r="AJ76" s="56">
        <f>IF(PAA_4[[#This Row],[BOLSA]]=0,0,SUMIFS([2]!COMPROMISOS_2024[[#All],[Total pagado]],[2]!COMPROMISOS_2024[[#All],[Bolsa]],PAA_4[[#This Row],[BOLSA]],[2]!COMPROMISOS_2024[[#All],[rubro]],PAA_4[[#This Row],[RCP-RUBRO]]))</f>
        <v>0</v>
      </c>
      <c r="AK76" s="47" t="e" cm="1">
        <f t="array" aca="1" ref="AK76" ca="1">_xlfn.XLOOKUP(PAA_4[[#This Row],[RCP-RUBRO]],[2]!COMPROMISOS_2024[[#All],[concatenado]],[2]!COMPROMISOS_2024[[#All],[Total Comprometido]],"",0)</f>
        <v>#NAME?</v>
      </c>
      <c r="AL76" s="47">
        <f>IF(PAA_4[[#This Row],[BOLSA]]=0,0,SUMIFS([2]!COMPROMISOS_2024[[#All],[Total Comprometido]],[2]!COMPROMISOS_2024[[#All],[Bolsa]],PAA_4[[#This Row],[BOLSA]],[2]!COMPROMISOS_2024[[#All],[concatenado]],PAA_4[[#This Row],[RCP-RUBRO]]))</f>
        <v>0</v>
      </c>
    </row>
    <row r="77" spans="1:38" s="19" customFormat="1" ht="31.5" customHeight="1">
      <c r="A77" s="47">
        <v>517</v>
      </c>
      <c r="B77" s="47" t="s">
        <v>42</v>
      </c>
      <c r="C77" s="47" t="str">
        <f>VLOOKUP(PAA_4[[#This Row],[PROYECTO (formulado)2]],[2]PROYECTOS!$G$1:$L$32,6,0)</f>
        <v>SUBGERENCIA ADMINISTRATIVA Y FINANCIERA</v>
      </c>
      <c r="D77" s="47" t="str">
        <f>+IF(PAA_4[[#This Row],[UNIDAD DE CONTRATACION (formulado)]]="Subgerencia Administrativa y Financiera","FUNCIONAMIENTO","INVERSIÓN")</f>
        <v>FUNCIONAMIENTO</v>
      </c>
      <c r="E77" s="48" t="str">
        <f>VLOOKUP(Q77,[2]PROYECTOS!$G$1:$K$32,5,0)</f>
        <v>FUNCIONAMIENTO</v>
      </c>
      <c r="F77" s="48">
        <f>VLOOKUP(E77,[2]PROYECTOS!$K$1:$M$32,3,0)</f>
        <v>999999</v>
      </c>
      <c r="G77" s="49" t="s">
        <v>43</v>
      </c>
      <c r="H77" s="49">
        <f>VLOOKUP(Q77,[2]PROYECTOS!$V$1:$W$32,2,0)</f>
        <v>999999</v>
      </c>
      <c r="I77" s="50">
        <v>35520000</v>
      </c>
      <c r="J77" s="51" t="s">
        <v>1311</v>
      </c>
      <c r="K77" s="47" t="str">
        <f t="shared" ca="1" si="7"/>
        <v>CONTRATADO</v>
      </c>
      <c r="L77" s="47" t="s">
        <v>44</v>
      </c>
      <c r="M77" s="47" t="s">
        <v>1236</v>
      </c>
      <c r="N77" s="52" t="s">
        <v>1312</v>
      </c>
      <c r="O77" s="51" t="e">
        <f>VLOOKUP(N77,[2]!RUBROS[#All],3,0)</f>
        <v>#REF!</v>
      </c>
      <c r="P77" s="53" t="e">
        <f>VLOOKUP(N77,[2]!RUBROS[#All],2,0)</f>
        <v>#REF!</v>
      </c>
      <c r="Q77" s="47" t="str">
        <f t="shared" si="8"/>
        <v>00</v>
      </c>
      <c r="R77" s="47" t="str">
        <f t="shared" si="9"/>
        <v>0-205616</v>
      </c>
      <c r="S77" s="54">
        <v>11</v>
      </c>
      <c r="T77" s="59" t="s">
        <v>46</v>
      </c>
      <c r="U77" s="326" t="e">
        <f ca="1">_xlfn.XLOOKUP(PAA_4[[#This Row],[ITEM]],[2]Contrato!A:A,[2]Contrato!Q:Q,"",0)</f>
        <v>#NAME?</v>
      </c>
      <c r="V77" s="47" t="s">
        <v>47</v>
      </c>
      <c r="W77" s="47" t="s">
        <v>91</v>
      </c>
      <c r="X77" s="47" t="s">
        <v>92</v>
      </c>
      <c r="Y77" s="55" t="e">
        <f ca="1">_xlfn.XLOOKUP(PAA_4[[#This Row],[ITEM]],[2]Contrato!A:A,[2]Contrato!B:B,"",0)</f>
        <v>#NAME?</v>
      </c>
      <c r="Z77" s="47" t="e">
        <f ca="1">_xlfn.XLOOKUP(PAA_4[[#This Row],[ITEM]],[2]Contrato!A:A,[2]Contrato!G:G,"",0)</f>
        <v>#NAME?</v>
      </c>
      <c r="AA77" s="47" t="e">
        <f ca="1">_xlfn.XLOOKUP(PAA_4[[#This Row],[ITEM]],[2]Contrato!A:A,[2]Contrato!T:T,"",0)</f>
        <v>#NAME?</v>
      </c>
      <c r="AB77" s="55" t="e">
        <f ca="1">+MAX(PAA_4[[#This Row],[Comprometido Contrato]],PAA_4[[#This Row],[Comprometido Bolsa]])</f>
        <v>#NAME?</v>
      </c>
      <c r="AC77" s="55" t="str">
        <f t="shared" ca="1" si="10"/>
        <v/>
      </c>
      <c r="AD77" s="55" t="e">
        <f ca="1">IF(PAA_4[[#This Row],[ESTADO (formulado)]]="NO CONTRATADO",0,MAX(PAA_4[[#This Row],[Pago por Contrato]],PAA_4[[#This Row],[Pago por bolsa]]))</f>
        <v>#NAME?</v>
      </c>
      <c r="AE77" s="55" t="str">
        <f t="shared" ca="1" si="11"/>
        <v/>
      </c>
      <c r="AF77" s="47" t="e">
        <f t="shared" ca="1" si="12"/>
        <v>#NAME?</v>
      </c>
      <c r="AG77" s="47" t="str">
        <f t="shared" si="13"/>
        <v/>
      </c>
      <c r="AH77" s="54">
        <f>IF(Q77="22",IF(ISNUMBER(SEARCH("econ",PAA_4[[#This Row],[Actividad3]])),"Económico",IF(ISNUMBER(SEARCH("alim",PAA_4[[#This Row],[Actividad3]])),"Alimentación",IF(ISNUMBER(SEARCH("educ",PAA_4[[#This Row],[Actividad3]])),"Educativo","Técnico"))),0)</f>
        <v>0</v>
      </c>
      <c r="AI77" s="47" t="e" cm="1">
        <f t="array" aca="1" ref="AI77" ca="1">_xlfn.XLOOKUP(PAA_4[[#This Row],[RCP-RUBRO]],[2]!COMPROMISOS_2024[[#All],[concatenado]],[2]!COMPROMISOS_2024[[#All],[Total pagado]],"",0)</f>
        <v>#NAME?</v>
      </c>
      <c r="AJ77" s="56">
        <f>IF(PAA_4[[#This Row],[BOLSA]]=0,0,SUMIFS([2]!COMPROMISOS_2024[[#All],[Total pagado]],[2]!COMPROMISOS_2024[[#All],[Bolsa]],PAA_4[[#This Row],[BOLSA]],[2]!COMPROMISOS_2024[[#All],[rubro]],PAA_4[[#This Row],[RCP-RUBRO]]))</f>
        <v>0</v>
      </c>
      <c r="AK77" s="47" t="e" cm="1">
        <f t="array" aca="1" ref="AK77" ca="1">_xlfn.XLOOKUP(PAA_4[[#This Row],[RCP-RUBRO]],[2]!COMPROMISOS_2024[[#All],[concatenado]],[2]!COMPROMISOS_2024[[#All],[Total Comprometido]],"",0)</f>
        <v>#NAME?</v>
      </c>
      <c r="AL77" s="47">
        <f>IF(PAA_4[[#This Row],[BOLSA]]=0,0,SUMIFS([2]!COMPROMISOS_2024[[#All],[Total Comprometido]],[2]!COMPROMISOS_2024[[#All],[Bolsa]],PAA_4[[#This Row],[BOLSA]],[2]!COMPROMISOS_2024[[#All],[concatenado]],PAA_4[[#This Row],[RCP-RUBRO]]))</f>
        <v>0</v>
      </c>
    </row>
    <row r="78" spans="1:38" s="19" customFormat="1" ht="31.5" customHeight="1">
      <c r="A78" s="47">
        <v>587</v>
      </c>
      <c r="B78" s="47" t="s">
        <v>42</v>
      </c>
      <c r="C78" s="47" t="str">
        <f>VLOOKUP(PAA_4[[#This Row],[PROYECTO (formulado)2]],[2]PROYECTOS!$G$1:$L$32,6,0)</f>
        <v>SUBGERENCIA ADMINISTRATIVA Y FINANCIERA</v>
      </c>
      <c r="D78" s="47" t="str">
        <f>+IF(PAA_4[[#This Row],[UNIDAD DE CONTRATACION (formulado)]]="Subgerencia Administrativa y Financiera","FUNCIONAMIENTO","INVERSIÓN")</f>
        <v>FUNCIONAMIENTO</v>
      </c>
      <c r="E78" s="48" t="str">
        <f>VLOOKUP(Q78,[2]PROYECTOS!$G$1:$K$32,5,0)</f>
        <v>FUNCIONAMIENTO</v>
      </c>
      <c r="F78" s="48">
        <f>VLOOKUP(E78,[2]PROYECTOS!$K$1:$M$32,3,0)</f>
        <v>999999</v>
      </c>
      <c r="G78" s="49" t="s">
        <v>43</v>
      </c>
      <c r="H78" s="49">
        <f>VLOOKUP(Q78,[2]PROYECTOS!$V$1:$W$32,2,0)</f>
        <v>999999</v>
      </c>
      <c r="I78" s="50">
        <v>11845100</v>
      </c>
      <c r="J78" s="51" t="s">
        <v>93</v>
      </c>
      <c r="K78" s="47" t="str">
        <f t="shared" ca="1" si="7"/>
        <v>CONTRATADO</v>
      </c>
      <c r="L78" s="47" t="s">
        <v>44</v>
      </c>
      <c r="M78" s="47" t="s">
        <v>1236</v>
      </c>
      <c r="N78" s="52" t="s">
        <v>90</v>
      </c>
      <c r="O78" s="51" t="e">
        <f>VLOOKUP(N78,[2]!RUBROS[#All],3,0)</f>
        <v>#REF!</v>
      </c>
      <c r="P78" s="53" t="e">
        <f>VLOOKUP(N78,[2]!RUBROS[#All],2,0)</f>
        <v>#REF!</v>
      </c>
      <c r="Q78" s="47" t="str">
        <f t="shared" si="8"/>
        <v>00</v>
      </c>
      <c r="R78" s="47" t="str">
        <f t="shared" si="9"/>
        <v>0-205616</v>
      </c>
      <c r="S78" s="54">
        <v>10</v>
      </c>
      <c r="T78" s="59" t="s">
        <v>46</v>
      </c>
      <c r="U78" s="326" t="e">
        <f ca="1">_xlfn.XLOOKUP(PAA_4[[#This Row],[ITEM]],[2]Contrato!A:A,[2]Contrato!Q:Q,"",0)</f>
        <v>#NAME?</v>
      </c>
      <c r="V78" s="47" t="s">
        <v>95</v>
      </c>
      <c r="W78" s="47" t="s">
        <v>96</v>
      </c>
      <c r="X78" s="47" t="s">
        <v>96</v>
      </c>
      <c r="Y78" s="55" t="e">
        <f ca="1">_xlfn.XLOOKUP(PAA_4[[#This Row],[ITEM]],[2]Contrato!A:A,[2]Contrato!B:B,"",0)</f>
        <v>#NAME?</v>
      </c>
      <c r="Z78" s="47" t="e">
        <f ca="1">_xlfn.XLOOKUP(PAA_4[[#This Row],[ITEM]],[2]Contrato!A:A,[2]Contrato!G:G,"",0)</f>
        <v>#NAME?</v>
      </c>
      <c r="AA78" s="47" t="e">
        <f ca="1">_xlfn.XLOOKUP(PAA_4[[#This Row],[ITEM]],[2]Contrato!A:A,[2]Contrato!T:T,"",0)</f>
        <v>#NAME?</v>
      </c>
      <c r="AB78" s="55" t="e">
        <f ca="1">+MAX(PAA_4[[#This Row],[Comprometido Contrato]],PAA_4[[#This Row],[Comprometido Bolsa]])</f>
        <v>#NAME?</v>
      </c>
      <c r="AC78" s="55" t="str">
        <f t="shared" ca="1" si="10"/>
        <v/>
      </c>
      <c r="AD78" s="55" t="e">
        <f ca="1">IF(PAA_4[[#This Row],[ESTADO (formulado)]]="NO CONTRATADO",0,MAX(PAA_4[[#This Row],[Pago por Contrato]],PAA_4[[#This Row],[Pago por bolsa]]))</f>
        <v>#NAME?</v>
      </c>
      <c r="AE78" s="55" t="str">
        <f t="shared" ca="1" si="11"/>
        <v/>
      </c>
      <c r="AF78" s="47" t="e">
        <f t="shared" ca="1" si="12"/>
        <v>#NAME?</v>
      </c>
      <c r="AG78" s="47" t="str">
        <f t="shared" si="13"/>
        <v/>
      </c>
      <c r="AH78" s="54">
        <f>IF(Q78="22",IF(ISNUMBER(SEARCH("econ",PAA_4[[#This Row],[Actividad3]])),"Económico",IF(ISNUMBER(SEARCH("alim",PAA_4[[#This Row],[Actividad3]])),"Alimentación",IF(ISNUMBER(SEARCH("educ",PAA_4[[#This Row],[Actividad3]])),"Educativo","Técnico"))),0)</f>
        <v>0</v>
      </c>
      <c r="AI78" s="47" t="e" cm="1">
        <f t="array" aca="1" ref="AI78" ca="1">_xlfn.XLOOKUP(PAA_4[[#This Row],[RCP-RUBRO]],[2]!COMPROMISOS_2024[[#All],[concatenado]],[2]!COMPROMISOS_2024[[#All],[Total pagado]],"",0)</f>
        <v>#NAME?</v>
      </c>
      <c r="AJ78" s="56">
        <f>IF(PAA_4[[#This Row],[BOLSA]]=0,0,SUMIFS([2]!COMPROMISOS_2024[[#All],[Total pagado]],[2]!COMPROMISOS_2024[[#All],[Bolsa]],PAA_4[[#This Row],[BOLSA]],[2]!COMPROMISOS_2024[[#All],[rubro]],PAA_4[[#This Row],[RCP-RUBRO]]))</f>
        <v>0</v>
      </c>
      <c r="AK78" s="47" t="e" cm="1">
        <f t="array" aca="1" ref="AK78" ca="1">_xlfn.XLOOKUP(PAA_4[[#This Row],[RCP-RUBRO]],[2]!COMPROMISOS_2024[[#All],[concatenado]],[2]!COMPROMISOS_2024[[#All],[Total Comprometido]],"",0)</f>
        <v>#NAME?</v>
      </c>
      <c r="AL78" s="47">
        <f>IF(PAA_4[[#This Row],[BOLSA]]=0,0,SUMIFS([2]!COMPROMISOS_2024[[#All],[Total Comprometido]],[2]!COMPROMISOS_2024[[#All],[Bolsa]],PAA_4[[#This Row],[BOLSA]],[2]!COMPROMISOS_2024[[#All],[concatenado]],PAA_4[[#This Row],[RCP-RUBRO]]))</f>
        <v>0</v>
      </c>
    </row>
    <row r="79" spans="1:38" s="19" customFormat="1" ht="31.5" customHeight="1">
      <c r="A79" s="47" t="s">
        <v>82</v>
      </c>
      <c r="B79" s="47" t="s">
        <v>42</v>
      </c>
      <c r="C79" s="47" t="str">
        <f>VLOOKUP(PAA_4[[#This Row],[PROYECTO (formulado)2]],[2]PROYECTOS!$G$1:$L$32,6,0)</f>
        <v>SUBGERENCIA ADMINISTRATIVA Y FINANCIERA</v>
      </c>
      <c r="D79" s="47" t="str">
        <f>+IF(PAA_4[[#This Row],[UNIDAD DE CONTRATACION (formulado)]]="Subgerencia Administrativa y Financiera","FUNCIONAMIENTO","INVERSIÓN")</f>
        <v>FUNCIONAMIENTO</v>
      </c>
      <c r="E79" s="48" t="str">
        <f>VLOOKUP(Q79,[2]PROYECTOS!$G$1:$K$32,5,0)</f>
        <v>FUNCIONAMIENTO</v>
      </c>
      <c r="F79" s="48">
        <f>VLOOKUP(E79,[2]PROYECTOS!$K$1:$M$32,3,0)</f>
        <v>999999</v>
      </c>
      <c r="G79" s="49" t="s">
        <v>43</v>
      </c>
      <c r="H79" s="49">
        <f>VLOOKUP(Q79,[2]PROYECTOS!$V$1:$W$32,2,0)</f>
        <v>999999</v>
      </c>
      <c r="I79" s="50">
        <v>22191417</v>
      </c>
      <c r="J79" s="51" t="s">
        <v>1313</v>
      </c>
      <c r="K79" s="47" t="str">
        <f t="shared" ca="1" si="7"/>
        <v>CONTRATADO</v>
      </c>
      <c r="L79" s="47" t="s">
        <v>42</v>
      </c>
      <c r="M79" s="47" t="s">
        <v>42</v>
      </c>
      <c r="N79" s="52" t="s">
        <v>90</v>
      </c>
      <c r="O79" s="51" t="e">
        <f>VLOOKUP(N79,[2]!RUBROS[#All],3,0)</f>
        <v>#REF!</v>
      </c>
      <c r="P79" s="53" t="e">
        <f>VLOOKUP(N79,[2]!RUBROS[#All],2,0)</f>
        <v>#REF!</v>
      </c>
      <c r="Q79" s="47" t="str">
        <f t="shared" si="8"/>
        <v>00</v>
      </c>
      <c r="R79" s="47" t="str">
        <f t="shared" si="9"/>
        <v>0-205616</v>
      </c>
      <c r="S79" s="54" t="s">
        <v>42</v>
      </c>
      <c r="T79" s="329" t="s">
        <v>42</v>
      </c>
      <c r="U79" s="326" t="e">
        <f ca="1">_xlfn.XLOOKUP(PAA_4[[#This Row],[ITEM]],[2]Contrato!A:A,[2]Contrato!Q:Q,"",0)</f>
        <v>#NAME?</v>
      </c>
      <c r="V79" s="47" t="s">
        <v>95</v>
      </c>
      <c r="W79" s="47" t="s">
        <v>42</v>
      </c>
      <c r="X79" s="47" t="s">
        <v>42</v>
      </c>
      <c r="Y79" s="55" t="e">
        <f ca="1">_xlfn.XLOOKUP(PAA_4[[#This Row],[ITEM]],[2]Contrato!A:A,[2]Contrato!B:B,"",0)</f>
        <v>#NAME?</v>
      </c>
      <c r="Z79" s="47" t="e">
        <f ca="1">_xlfn.XLOOKUP(PAA_4[[#This Row],[ITEM]],[2]Contrato!A:A,[2]Contrato!G:G,"",0)</f>
        <v>#NAME?</v>
      </c>
      <c r="AA79" s="47" t="e">
        <f ca="1">_xlfn.XLOOKUP(PAA_4[[#This Row],[ITEM]],[2]Contrato!A:A,[2]Contrato!T:T,"",0)</f>
        <v>#NAME?</v>
      </c>
      <c r="AB79" s="55" t="e">
        <f ca="1">+MAX(PAA_4[[#This Row],[Comprometido Contrato]],PAA_4[[#This Row],[Comprometido Bolsa]])</f>
        <v>#NAME?</v>
      </c>
      <c r="AC79" s="55" t="str">
        <f t="shared" ca="1" si="10"/>
        <v/>
      </c>
      <c r="AD79" s="55" t="e">
        <f ca="1">IF(PAA_4[[#This Row],[ESTADO (formulado)]]="NO CONTRATADO",0,MAX(PAA_4[[#This Row],[Pago por Contrato]],PAA_4[[#This Row],[Pago por bolsa]]))</f>
        <v>#NAME?</v>
      </c>
      <c r="AE79" s="55" t="str">
        <f t="shared" ca="1" si="11"/>
        <v/>
      </c>
      <c r="AF79" s="47" t="e">
        <f t="shared" ca="1" si="12"/>
        <v>#NAME?</v>
      </c>
      <c r="AG79" s="47" t="str">
        <f t="shared" si="13"/>
        <v/>
      </c>
      <c r="AH79" s="54">
        <f>IF(Q79="22",IF(ISNUMBER(SEARCH("econ",PAA_4[[#This Row],[Actividad3]])),"Económico",IF(ISNUMBER(SEARCH("alim",PAA_4[[#This Row],[Actividad3]])),"Alimentación",IF(ISNUMBER(SEARCH("educ",PAA_4[[#This Row],[Actividad3]])),"Educativo","Técnico"))),0)</f>
        <v>0</v>
      </c>
      <c r="AI79" s="47" t="e" cm="1">
        <f t="array" aca="1" ref="AI79" ca="1">_xlfn.XLOOKUP(PAA_4[[#This Row],[RCP-RUBRO]],[2]!COMPROMISOS_2024[[#All],[concatenado]],[2]!COMPROMISOS_2024[[#All],[Total pagado]],"",0)</f>
        <v>#NAME?</v>
      </c>
      <c r="AJ79" s="56">
        <f>IF(PAA_4[[#This Row],[BOLSA]]=0,0,SUMIFS([2]!COMPROMISOS_2024[[#All],[Total pagado]],[2]!COMPROMISOS_2024[[#All],[Bolsa]],PAA_4[[#This Row],[BOLSA]],[2]!COMPROMISOS_2024[[#All],[rubro]],PAA_4[[#This Row],[RCP-RUBRO]]))</f>
        <v>0</v>
      </c>
      <c r="AK79" s="47" t="e" cm="1">
        <f t="array" aca="1" ref="AK79" ca="1">_xlfn.XLOOKUP(PAA_4[[#This Row],[RCP-RUBRO]],[2]!COMPROMISOS_2024[[#All],[concatenado]],[2]!COMPROMISOS_2024[[#All],[Total Comprometido]],"",0)</f>
        <v>#NAME?</v>
      </c>
      <c r="AL79" s="47">
        <f>IF(PAA_4[[#This Row],[BOLSA]]=0,0,SUMIFS([2]!COMPROMISOS_2024[[#All],[Total Comprometido]],[2]!COMPROMISOS_2024[[#All],[Bolsa]],PAA_4[[#This Row],[BOLSA]],[2]!COMPROMISOS_2024[[#All],[concatenado]],PAA_4[[#This Row],[RCP-RUBRO]]))</f>
        <v>0</v>
      </c>
    </row>
    <row r="80" spans="1:38" s="19" customFormat="1" ht="31.5" customHeight="1">
      <c r="A80" s="47" t="s">
        <v>82</v>
      </c>
      <c r="B80" s="47" t="s">
        <v>42</v>
      </c>
      <c r="C80" s="47" t="str">
        <f>VLOOKUP(PAA_4[[#This Row],[PROYECTO (formulado)2]],[2]PROYECTOS!$G$1:$L$32,6,0)</f>
        <v>SUBGERENCIA ADMINISTRATIVA Y FINANCIERA</v>
      </c>
      <c r="D80" s="47" t="str">
        <f>+IF(PAA_4[[#This Row],[UNIDAD DE CONTRATACION (formulado)]]="Subgerencia Administrativa y Financiera","FUNCIONAMIENTO","INVERSIÓN")</f>
        <v>FUNCIONAMIENTO</v>
      </c>
      <c r="E80" s="48" t="str">
        <f>VLOOKUP(Q80,[2]PROYECTOS!$G$1:$K$32,5,0)</f>
        <v>FUNCIONAMIENTO</v>
      </c>
      <c r="F80" s="48">
        <f>VLOOKUP(E80,[2]PROYECTOS!$K$1:$M$32,3,0)</f>
        <v>999999</v>
      </c>
      <c r="G80" s="49" t="s">
        <v>43</v>
      </c>
      <c r="H80" s="49">
        <f>VLOOKUP(Q80,[2]PROYECTOS!$V$1:$W$32,2,0)</f>
        <v>999999</v>
      </c>
      <c r="I80" s="50">
        <v>229303</v>
      </c>
      <c r="J80" s="51" t="s">
        <v>1313</v>
      </c>
      <c r="K80" s="47" t="str">
        <f t="shared" ca="1" si="7"/>
        <v>CONTRATADO</v>
      </c>
      <c r="L80" s="47" t="s">
        <v>42</v>
      </c>
      <c r="M80" s="47" t="s">
        <v>42</v>
      </c>
      <c r="N80" s="52" t="s">
        <v>155</v>
      </c>
      <c r="O80" s="51" t="e">
        <f>VLOOKUP(N80,[2]!RUBROS[#All],3,0)</f>
        <v>#REF!</v>
      </c>
      <c r="P80" s="53" t="e">
        <f>VLOOKUP(N80,[2]!RUBROS[#All],2,0)</f>
        <v>#REF!</v>
      </c>
      <c r="Q80" s="47" t="str">
        <f t="shared" si="8"/>
        <v>00</v>
      </c>
      <c r="R80" s="47" t="str">
        <f t="shared" si="9"/>
        <v>4-205616</v>
      </c>
      <c r="S80" s="54" t="s">
        <v>42</v>
      </c>
      <c r="T80" s="329" t="s">
        <v>42</v>
      </c>
      <c r="U80" s="326" t="e">
        <f ca="1">_xlfn.XLOOKUP(PAA_4[[#This Row],[ITEM]],[2]Contrato!A:A,[2]Contrato!Q:Q,"",0)</f>
        <v>#NAME?</v>
      </c>
      <c r="V80" s="47" t="s">
        <v>95</v>
      </c>
      <c r="W80" s="47" t="s">
        <v>42</v>
      </c>
      <c r="X80" s="47" t="s">
        <v>42</v>
      </c>
      <c r="Y80" s="55" t="e">
        <f ca="1">_xlfn.XLOOKUP(PAA_4[[#This Row],[ITEM]],[2]Contrato!A:A,[2]Contrato!B:B,"",0)</f>
        <v>#NAME?</v>
      </c>
      <c r="Z80" s="47" t="e">
        <f ca="1">_xlfn.XLOOKUP(PAA_4[[#This Row],[ITEM]],[2]Contrato!A:A,[2]Contrato!G:G,"",0)</f>
        <v>#NAME?</v>
      </c>
      <c r="AA80" s="47" t="e">
        <f ca="1">_xlfn.XLOOKUP(PAA_4[[#This Row],[ITEM]],[2]Contrato!A:A,[2]Contrato!T:T,"",0)</f>
        <v>#NAME?</v>
      </c>
      <c r="AB80" s="55" t="e">
        <f ca="1">+MAX(PAA_4[[#This Row],[Comprometido Contrato]],PAA_4[[#This Row],[Comprometido Bolsa]])</f>
        <v>#NAME?</v>
      </c>
      <c r="AC80" s="55" t="str">
        <f t="shared" ca="1" si="10"/>
        <v/>
      </c>
      <c r="AD80" s="55" t="e">
        <f ca="1">IF(PAA_4[[#This Row],[ESTADO (formulado)]]="NO CONTRATADO",0,MAX(PAA_4[[#This Row],[Pago por Contrato]],PAA_4[[#This Row],[Pago por bolsa]]))</f>
        <v>#NAME?</v>
      </c>
      <c r="AE80" s="55" t="str">
        <f t="shared" ca="1" si="11"/>
        <v/>
      </c>
      <c r="AF80" s="47" t="e">
        <f t="shared" ca="1" si="12"/>
        <v>#NAME?</v>
      </c>
      <c r="AG80" s="47" t="str">
        <f t="shared" si="13"/>
        <v/>
      </c>
      <c r="AH80" s="54">
        <f>IF(Q80="22",IF(ISNUMBER(SEARCH("econ",PAA_4[[#This Row],[Actividad3]])),"Económico",IF(ISNUMBER(SEARCH("alim",PAA_4[[#This Row],[Actividad3]])),"Alimentación",IF(ISNUMBER(SEARCH("educ",PAA_4[[#This Row],[Actividad3]])),"Educativo","Técnico"))),0)</f>
        <v>0</v>
      </c>
      <c r="AI80" s="47" t="e" cm="1">
        <f t="array" aca="1" ref="AI80" ca="1">_xlfn.XLOOKUP(PAA_4[[#This Row],[RCP-RUBRO]],[2]!COMPROMISOS_2024[[#All],[concatenado]],[2]!COMPROMISOS_2024[[#All],[Total pagado]],"",0)</f>
        <v>#NAME?</v>
      </c>
      <c r="AJ80" s="56">
        <f>IF(PAA_4[[#This Row],[BOLSA]]=0,0,SUMIFS([2]!COMPROMISOS_2024[[#All],[Total pagado]],[2]!COMPROMISOS_2024[[#All],[Bolsa]],PAA_4[[#This Row],[BOLSA]],[2]!COMPROMISOS_2024[[#All],[rubro]],PAA_4[[#This Row],[RCP-RUBRO]]))</f>
        <v>0</v>
      </c>
      <c r="AK80" s="47" t="e" cm="1">
        <f t="array" aca="1" ref="AK80" ca="1">_xlfn.XLOOKUP(PAA_4[[#This Row],[RCP-RUBRO]],[2]!COMPROMISOS_2024[[#All],[concatenado]],[2]!COMPROMISOS_2024[[#All],[Total Comprometido]],"",0)</f>
        <v>#NAME?</v>
      </c>
      <c r="AL80" s="47">
        <f>IF(PAA_4[[#This Row],[BOLSA]]=0,0,SUMIFS([2]!COMPROMISOS_2024[[#All],[Total Comprometido]],[2]!COMPROMISOS_2024[[#All],[Bolsa]],PAA_4[[#This Row],[BOLSA]],[2]!COMPROMISOS_2024[[#All],[concatenado]],PAA_4[[#This Row],[RCP-RUBRO]]))</f>
        <v>0</v>
      </c>
    </row>
    <row r="81" spans="1:38" s="19" customFormat="1" ht="31.5" customHeight="1">
      <c r="A81" s="47">
        <v>588</v>
      </c>
      <c r="B81" s="47">
        <v>76111500</v>
      </c>
      <c r="C81" s="47" t="str">
        <f>VLOOKUP(PAA_4[[#This Row],[PROYECTO (formulado)2]],[2]PROYECTOS!$G$1:$L$32,6,0)</f>
        <v>SUBGERENCIA ADMINISTRATIVA Y FINANCIERA</v>
      </c>
      <c r="D81" s="47" t="str">
        <f>+IF(PAA_4[[#This Row],[UNIDAD DE CONTRATACION (formulado)]]="Subgerencia Administrativa y Financiera","FUNCIONAMIENTO","INVERSIÓN")</f>
        <v>FUNCIONAMIENTO</v>
      </c>
      <c r="E81" s="48" t="str">
        <f>VLOOKUP(Q81,[2]PROYECTOS!$G$1:$K$32,5,0)</f>
        <v>FUNCIONAMIENTO</v>
      </c>
      <c r="F81" s="48">
        <f>VLOOKUP(E81,[2]PROYECTOS!$K$1:$M$32,3,0)</f>
        <v>999999</v>
      </c>
      <c r="G81" s="49" t="s">
        <v>43</v>
      </c>
      <c r="H81" s="49">
        <f>VLOOKUP(Q81,[2]PROYECTOS!$V$1:$W$32,2,0)</f>
        <v>999999</v>
      </c>
      <c r="I81" s="50">
        <f>90224532-22191417</f>
        <v>68033115</v>
      </c>
      <c r="J81" s="51" t="s">
        <v>1314</v>
      </c>
      <c r="K81" s="47" t="str">
        <f t="shared" ca="1" si="7"/>
        <v>CONTRATADO</v>
      </c>
      <c r="L81" s="47" t="s">
        <v>97</v>
      </c>
      <c r="M81" s="47" t="s">
        <v>97</v>
      </c>
      <c r="N81" s="52" t="s">
        <v>90</v>
      </c>
      <c r="O81" s="51" t="e">
        <f>VLOOKUP(N81,[2]!RUBROS[#All],3,0)</f>
        <v>#REF!</v>
      </c>
      <c r="P81" s="53" t="e">
        <f>VLOOKUP(N81,[2]!RUBROS[#All],2,0)</f>
        <v>#REF!</v>
      </c>
      <c r="Q81" s="47" t="str">
        <f t="shared" si="8"/>
        <v>00</v>
      </c>
      <c r="R81" s="47" t="str">
        <f t="shared" si="9"/>
        <v>0-205616</v>
      </c>
      <c r="S81" s="54">
        <v>2</v>
      </c>
      <c r="T81" s="59" t="s">
        <v>46</v>
      </c>
      <c r="U81" s="326" t="e">
        <f ca="1">_xlfn.XLOOKUP(PAA_4[[#This Row],[ITEM]],[2]Contrato!A:A,[2]Contrato!Q:Q,"",0)</f>
        <v>#NAME?</v>
      </c>
      <c r="V81" s="47" t="s">
        <v>95</v>
      </c>
      <c r="W81" s="47" t="s">
        <v>96</v>
      </c>
      <c r="X81" s="47" t="s">
        <v>96</v>
      </c>
      <c r="Y81" s="55" t="e">
        <f ca="1">_xlfn.XLOOKUP(PAA_4[[#This Row],[ITEM]],[2]Contrato!A:A,[2]Contrato!B:B,"",0)</f>
        <v>#NAME?</v>
      </c>
      <c r="Z81" s="47" t="e">
        <f ca="1">_xlfn.XLOOKUP(PAA_4[[#This Row],[ITEM]],[2]Contrato!A:A,[2]Contrato!G:G,"",0)</f>
        <v>#NAME?</v>
      </c>
      <c r="AA81" s="47" t="e">
        <f ca="1">_xlfn.XLOOKUP(PAA_4[[#This Row],[ITEM]],[2]Contrato!A:A,[2]Contrato!T:T,"",0)</f>
        <v>#NAME?</v>
      </c>
      <c r="AB81" s="55" t="e">
        <f ca="1">+MAX(PAA_4[[#This Row],[Comprometido Contrato]],PAA_4[[#This Row],[Comprometido Bolsa]])</f>
        <v>#NAME?</v>
      </c>
      <c r="AC81" s="55" t="str">
        <f t="shared" ca="1" si="10"/>
        <v/>
      </c>
      <c r="AD81" s="55" t="e">
        <f ca="1">IF(PAA_4[[#This Row],[ESTADO (formulado)]]="NO CONTRATADO",0,MAX(PAA_4[[#This Row],[Pago por Contrato]],PAA_4[[#This Row],[Pago por bolsa]]))</f>
        <v>#NAME?</v>
      </c>
      <c r="AE81" s="55" t="str">
        <f t="shared" ca="1" si="11"/>
        <v/>
      </c>
      <c r="AF81" s="47" t="e">
        <f t="shared" ca="1" si="12"/>
        <v>#NAME?</v>
      </c>
      <c r="AG81" s="47" t="str">
        <f t="shared" si="13"/>
        <v/>
      </c>
      <c r="AH81" s="54">
        <f>IF(Q81="22",IF(ISNUMBER(SEARCH("econ",PAA_4[[#This Row],[Actividad3]])),"Económico",IF(ISNUMBER(SEARCH("alim",PAA_4[[#This Row],[Actividad3]])),"Alimentación",IF(ISNUMBER(SEARCH("educ",PAA_4[[#This Row],[Actividad3]])),"Educativo","Técnico"))),0)</f>
        <v>0</v>
      </c>
      <c r="AI81" s="47" t="e" cm="1">
        <f t="array" aca="1" ref="AI81" ca="1">_xlfn.XLOOKUP(PAA_4[[#This Row],[RCP-RUBRO]],[2]!COMPROMISOS_2024[[#All],[concatenado]],[2]!COMPROMISOS_2024[[#All],[Total pagado]],"",0)</f>
        <v>#NAME?</v>
      </c>
      <c r="AJ81" s="56">
        <f>IF(PAA_4[[#This Row],[BOLSA]]=0,0,SUMIFS([2]!COMPROMISOS_2024[[#All],[Total pagado]],[2]!COMPROMISOS_2024[[#All],[Bolsa]],PAA_4[[#This Row],[BOLSA]],[2]!COMPROMISOS_2024[[#All],[rubro]],PAA_4[[#This Row],[RCP-RUBRO]]))</f>
        <v>0</v>
      </c>
      <c r="AK81" s="47" t="e" cm="1">
        <f t="array" aca="1" ref="AK81" ca="1">_xlfn.XLOOKUP(PAA_4[[#This Row],[RCP-RUBRO]],[2]!COMPROMISOS_2024[[#All],[concatenado]],[2]!COMPROMISOS_2024[[#All],[Total Comprometido]],"",0)</f>
        <v>#NAME?</v>
      </c>
      <c r="AL81" s="47">
        <f>IF(PAA_4[[#This Row],[BOLSA]]=0,0,SUMIFS([2]!COMPROMISOS_2024[[#All],[Total Comprometido]],[2]!COMPROMISOS_2024[[#All],[Bolsa]],PAA_4[[#This Row],[BOLSA]],[2]!COMPROMISOS_2024[[#All],[concatenado]],PAA_4[[#This Row],[RCP-RUBRO]]))</f>
        <v>0</v>
      </c>
    </row>
    <row r="82" spans="1:38" s="19" customFormat="1" ht="31.5" customHeight="1">
      <c r="A82" s="47">
        <v>589</v>
      </c>
      <c r="B82" s="47">
        <v>90121500</v>
      </c>
      <c r="C82" s="47" t="str">
        <f>VLOOKUP(PAA_4[[#This Row],[PROYECTO (formulado)2]],[2]PROYECTOS!$G$1:$L$32,6,0)</f>
        <v>SUBGERENCIA ADMINISTRATIVA Y FINANCIERA</v>
      </c>
      <c r="D82" s="47" t="str">
        <f>+IF(PAA_4[[#This Row],[UNIDAD DE CONTRATACION (formulado)]]="Subgerencia Administrativa y Financiera","FUNCIONAMIENTO","INVERSIÓN")</f>
        <v>FUNCIONAMIENTO</v>
      </c>
      <c r="E82" s="48" t="str">
        <f>VLOOKUP(Q82,[2]PROYECTOS!$G$1:$K$32,5,0)</f>
        <v>FUNCIONAMIENTO</v>
      </c>
      <c r="F82" s="48">
        <f>VLOOKUP(E82,[2]PROYECTOS!$K$1:$M$32,3,0)</f>
        <v>999999</v>
      </c>
      <c r="G82" s="49" t="s">
        <v>43</v>
      </c>
      <c r="H82" s="49">
        <f>VLOOKUP(Q82,[2]PROYECTOS!$V$1:$W$32,2,0)</f>
        <v>999999</v>
      </c>
      <c r="I82" s="50">
        <v>100000000</v>
      </c>
      <c r="J82" s="51" t="s">
        <v>1315</v>
      </c>
      <c r="K82" s="47" t="str">
        <f t="shared" ca="1" si="7"/>
        <v>CONTRATADO</v>
      </c>
      <c r="L82" s="51" t="s">
        <v>98</v>
      </c>
      <c r="M82" s="51" t="s">
        <v>98</v>
      </c>
      <c r="N82" s="52" t="s">
        <v>90</v>
      </c>
      <c r="O82" s="51" t="e">
        <f>VLOOKUP(N82,[2]!RUBROS[#All],3,0)</f>
        <v>#REF!</v>
      </c>
      <c r="P82" s="53" t="e">
        <f>VLOOKUP(N82,[2]!RUBROS[#All],2,0)</f>
        <v>#REF!</v>
      </c>
      <c r="Q82" s="47" t="str">
        <f t="shared" si="8"/>
        <v>00</v>
      </c>
      <c r="R82" s="47" t="str">
        <f t="shared" si="9"/>
        <v>0-205616</v>
      </c>
      <c r="S82" s="54">
        <v>9</v>
      </c>
      <c r="T82" s="59" t="s">
        <v>46</v>
      </c>
      <c r="U82" s="326" t="e">
        <f ca="1">_xlfn.XLOOKUP(PAA_4[[#This Row],[ITEM]],[2]Contrato!A:A,[2]Contrato!Q:Q,"",0)</f>
        <v>#NAME?</v>
      </c>
      <c r="V82" s="47"/>
      <c r="W82" s="47" t="s">
        <v>96</v>
      </c>
      <c r="X82" s="47" t="s">
        <v>96</v>
      </c>
      <c r="Y82" s="55" t="e">
        <f ca="1">_xlfn.XLOOKUP(PAA_4[[#This Row],[ITEM]],[2]Contrato!A:A,[2]Contrato!B:B,"",0)</f>
        <v>#NAME?</v>
      </c>
      <c r="Z82" s="47" t="e">
        <f ca="1">_xlfn.XLOOKUP(PAA_4[[#This Row],[ITEM]],[2]Contrato!A:A,[2]Contrato!G:G,"",0)</f>
        <v>#NAME?</v>
      </c>
      <c r="AA82" s="47" t="e">
        <f ca="1">_xlfn.XLOOKUP(PAA_4[[#This Row],[ITEM]],[2]Contrato!A:A,[2]Contrato!T:T,"",0)</f>
        <v>#NAME?</v>
      </c>
      <c r="AB82" s="55" t="e">
        <f ca="1">+MAX(PAA_4[[#This Row],[Comprometido Contrato]],PAA_4[[#This Row],[Comprometido Bolsa]])</f>
        <v>#NAME?</v>
      </c>
      <c r="AC82" s="55" t="str">
        <f t="shared" ca="1" si="10"/>
        <v/>
      </c>
      <c r="AD82" s="55" t="e">
        <f ca="1">IF(PAA_4[[#This Row],[ESTADO (formulado)]]="NO CONTRATADO",0,MAX(PAA_4[[#This Row],[Pago por Contrato]],PAA_4[[#This Row],[Pago por bolsa]]))</f>
        <v>#NAME?</v>
      </c>
      <c r="AE82" s="55" t="str">
        <f t="shared" ca="1" si="11"/>
        <v/>
      </c>
      <c r="AF82" s="47" t="e">
        <f t="shared" ca="1" si="12"/>
        <v>#NAME?</v>
      </c>
      <c r="AG82" s="47" t="str">
        <f t="shared" si="13"/>
        <v/>
      </c>
      <c r="AH82" s="54">
        <f>IF(Q82="22",IF(ISNUMBER(SEARCH("econ",PAA_4[[#This Row],[Actividad3]])),"Económico",IF(ISNUMBER(SEARCH("alim",PAA_4[[#This Row],[Actividad3]])),"Alimentación",IF(ISNUMBER(SEARCH("educ",PAA_4[[#This Row],[Actividad3]])),"Educativo","Técnico"))),0)</f>
        <v>0</v>
      </c>
      <c r="AI82" s="47" t="e" cm="1">
        <f t="array" aca="1" ref="AI82" ca="1">_xlfn.XLOOKUP(PAA_4[[#This Row],[RCP-RUBRO]],[2]!COMPROMISOS_2024[[#All],[concatenado]],[2]!COMPROMISOS_2024[[#All],[Total pagado]],"",0)</f>
        <v>#NAME?</v>
      </c>
      <c r="AJ82" s="56">
        <f>IF(PAA_4[[#This Row],[BOLSA]]=0,0,SUMIFS([2]!COMPROMISOS_2024[[#All],[Total pagado]],[2]!COMPROMISOS_2024[[#All],[Bolsa]],PAA_4[[#This Row],[BOLSA]],[2]!COMPROMISOS_2024[[#All],[rubro]],PAA_4[[#This Row],[RCP-RUBRO]]))</f>
        <v>0</v>
      </c>
      <c r="AK82" s="47" t="e" cm="1">
        <f t="array" aca="1" ref="AK82" ca="1">_xlfn.XLOOKUP(PAA_4[[#This Row],[RCP-RUBRO]],[2]!COMPROMISOS_2024[[#All],[concatenado]],[2]!COMPROMISOS_2024[[#All],[Total Comprometido]],"",0)</f>
        <v>#NAME?</v>
      </c>
      <c r="AL82" s="47">
        <f>IF(PAA_4[[#This Row],[BOLSA]]=0,0,SUMIFS([2]!COMPROMISOS_2024[[#All],[Total Comprometido]],[2]!COMPROMISOS_2024[[#All],[Bolsa]],PAA_4[[#This Row],[BOLSA]],[2]!COMPROMISOS_2024[[#All],[concatenado]],PAA_4[[#This Row],[RCP-RUBRO]]))</f>
        <v>0</v>
      </c>
    </row>
    <row r="83" spans="1:38" s="19" customFormat="1" ht="31.5" customHeight="1">
      <c r="A83" s="47">
        <v>29</v>
      </c>
      <c r="B83" s="47" t="s">
        <v>99</v>
      </c>
      <c r="C83" s="47" t="str">
        <f>VLOOKUP(PAA_4[[#This Row],[PROYECTO (formulado)2]],[2]PROYECTOS!$G$1:$L$32,6,0)</f>
        <v>SUBGERENCIA ADMINISTRATIVA Y FINANCIERA</v>
      </c>
      <c r="D83" s="47" t="str">
        <f>+IF(PAA_4[[#This Row],[UNIDAD DE CONTRATACION (formulado)]]="Subgerencia Administrativa y Financiera","FUNCIONAMIENTO","INVERSIÓN")</f>
        <v>FUNCIONAMIENTO</v>
      </c>
      <c r="E83" s="48" t="str">
        <f>VLOOKUP(Q83,[2]PROYECTOS!$G$1:$K$32,5,0)</f>
        <v>FUNCIONAMIENTO</v>
      </c>
      <c r="F83" s="48">
        <f>VLOOKUP(E83,[2]PROYECTOS!$K$1:$M$32,3,0)</f>
        <v>999999</v>
      </c>
      <c r="G83" s="49" t="s">
        <v>43</v>
      </c>
      <c r="H83" s="49">
        <f>VLOOKUP(Q83,[2]PROYECTOS!$V$1:$W$32,2,0)</f>
        <v>999999</v>
      </c>
      <c r="I83" s="50">
        <v>60000000</v>
      </c>
      <c r="J83" s="51" t="s">
        <v>100</v>
      </c>
      <c r="K83" s="47" t="str">
        <f t="shared" ca="1" si="7"/>
        <v>CONTRATADO</v>
      </c>
      <c r="L83" s="51" t="s">
        <v>98</v>
      </c>
      <c r="M83" s="51" t="s">
        <v>98</v>
      </c>
      <c r="N83" s="52" t="s">
        <v>101</v>
      </c>
      <c r="O83" s="51" t="e">
        <f>VLOOKUP(N83,[2]!RUBROS[#All],3,0)</f>
        <v>#REF!</v>
      </c>
      <c r="P83" s="53" t="e">
        <f>VLOOKUP(N83,[2]!RUBROS[#All],2,0)</f>
        <v>#REF!</v>
      </c>
      <c r="Q83" s="47" t="str">
        <f t="shared" si="8"/>
        <v>00</v>
      </c>
      <c r="R83" s="47" t="str">
        <f t="shared" si="9"/>
        <v>0-205616</v>
      </c>
      <c r="S83" s="54">
        <v>8.5</v>
      </c>
      <c r="T83" s="59" t="s">
        <v>46</v>
      </c>
      <c r="U83" s="326" t="e">
        <f ca="1">_xlfn.XLOOKUP(PAA_4[[#This Row],[ITEM]],[2]Contrato!A:A,[2]Contrato!Q:Q,"",0)</f>
        <v>#NAME?</v>
      </c>
      <c r="V83" s="47" t="s">
        <v>47</v>
      </c>
      <c r="W83" s="47" t="s">
        <v>96</v>
      </c>
      <c r="X83" s="47" t="s">
        <v>102</v>
      </c>
      <c r="Y83" s="55" t="e">
        <f ca="1">_xlfn.XLOOKUP(PAA_4[[#This Row],[ITEM]],[2]Contrato!A:A,[2]Contrato!B:B,"",0)</f>
        <v>#NAME?</v>
      </c>
      <c r="Z83" s="47" t="e">
        <f ca="1">_xlfn.XLOOKUP(PAA_4[[#This Row],[ITEM]],[2]Contrato!A:A,[2]Contrato!G:G,"",0)</f>
        <v>#NAME?</v>
      </c>
      <c r="AA83" s="47" t="e">
        <f ca="1">_xlfn.XLOOKUP(PAA_4[[#This Row],[ITEM]],[2]Contrato!A:A,[2]Contrato!T:T,"",0)</f>
        <v>#NAME?</v>
      </c>
      <c r="AB83" s="55" t="e">
        <f ca="1">+MAX(PAA_4[[#This Row],[Comprometido Contrato]],PAA_4[[#This Row],[Comprometido Bolsa]])</f>
        <v>#NAME?</v>
      </c>
      <c r="AC83" s="55" t="str">
        <f t="shared" ca="1" si="10"/>
        <v/>
      </c>
      <c r="AD83" s="55" t="e">
        <f ca="1">IF(PAA_4[[#This Row],[ESTADO (formulado)]]="NO CONTRATADO",0,MAX(PAA_4[[#This Row],[Pago por Contrato]],PAA_4[[#This Row],[Pago por bolsa]]))</f>
        <v>#NAME?</v>
      </c>
      <c r="AE83" s="55" t="str">
        <f t="shared" ca="1" si="11"/>
        <v/>
      </c>
      <c r="AF83" s="47" t="e">
        <f t="shared" ca="1" si="12"/>
        <v>#NAME?</v>
      </c>
      <c r="AG83" s="47" t="str">
        <f t="shared" si="13"/>
        <v/>
      </c>
      <c r="AH83" s="54">
        <f>IF(Q83="22",IF(ISNUMBER(SEARCH("econ",PAA_4[[#This Row],[Actividad3]])),"Económico",IF(ISNUMBER(SEARCH("alim",PAA_4[[#This Row],[Actividad3]])),"Alimentación",IF(ISNUMBER(SEARCH("educ",PAA_4[[#This Row],[Actividad3]])),"Educativo","Técnico"))),0)</f>
        <v>0</v>
      </c>
      <c r="AI83" s="47" t="e" cm="1">
        <f t="array" aca="1" ref="AI83" ca="1">_xlfn.XLOOKUP(PAA_4[[#This Row],[RCP-RUBRO]],[2]!COMPROMISOS_2024[[#All],[concatenado]],[2]!COMPROMISOS_2024[[#All],[Total pagado]],"",0)</f>
        <v>#NAME?</v>
      </c>
      <c r="AJ83" s="56">
        <f>IF(PAA_4[[#This Row],[BOLSA]]=0,0,SUMIFS([2]!COMPROMISOS_2024[[#All],[Total pagado]],[2]!COMPROMISOS_2024[[#All],[Bolsa]],PAA_4[[#This Row],[BOLSA]],[2]!COMPROMISOS_2024[[#All],[rubro]],PAA_4[[#This Row],[RCP-RUBRO]]))</f>
        <v>0</v>
      </c>
      <c r="AK83" s="47" t="e" cm="1">
        <f t="array" aca="1" ref="AK83" ca="1">_xlfn.XLOOKUP(PAA_4[[#This Row],[RCP-RUBRO]],[2]!COMPROMISOS_2024[[#All],[concatenado]],[2]!COMPROMISOS_2024[[#All],[Total Comprometido]],"",0)</f>
        <v>#NAME?</v>
      </c>
      <c r="AL83" s="47">
        <f>IF(PAA_4[[#This Row],[BOLSA]]=0,0,SUMIFS([2]!COMPROMISOS_2024[[#All],[Total Comprometido]],[2]!COMPROMISOS_2024[[#All],[Bolsa]],PAA_4[[#This Row],[BOLSA]],[2]!COMPROMISOS_2024[[#All],[concatenado]],PAA_4[[#This Row],[RCP-RUBRO]]))</f>
        <v>0</v>
      </c>
    </row>
    <row r="84" spans="1:38" s="19" customFormat="1" ht="31.5" customHeight="1">
      <c r="A84" s="47" t="s">
        <v>82</v>
      </c>
      <c r="B84" s="47" t="s">
        <v>42</v>
      </c>
      <c r="C84" s="47" t="str">
        <f>VLOOKUP(PAA_4[[#This Row],[PROYECTO (formulado)2]],[2]PROYECTOS!$G$1:$L$32,6,0)</f>
        <v>SUBGERENCIA ADMINISTRATIVA Y FINANCIERA</v>
      </c>
      <c r="D84" s="47" t="str">
        <f>+IF(PAA_4[[#This Row],[UNIDAD DE CONTRATACION (formulado)]]="Subgerencia Administrativa y Financiera","FUNCIONAMIENTO","INVERSIÓN")</f>
        <v>FUNCIONAMIENTO</v>
      </c>
      <c r="E84" s="48" t="str">
        <f>VLOOKUP(Q84,[2]PROYECTOS!$G$1:$K$32,5,0)</f>
        <v>FUNCIONAMIENTO</v>
      </c>
      <c r="F84" s="48">
        <f>VLOOKUP(E84,[2]PROYECTOS!$K$1:$M$32,3,0)</f>
        <v>999999</v>
      </c>
      <c r="G84" s="49" t="s">
        <v>43</v>
      </c>
      <c r="H84" s="49">
        <f>VLOOKUP(Q84,[2]PROYECTOS!$V$1:$W$32,2,0)</f>
        <v>999999</v>
      </c>
      <c r="I84" s="50">
        <v>164</v>
      </c>
      <c r="J84" s="51" t="s">
        <v>1316</v>
      </c>
      <c r="K84" s="47" t="str">
        <f t="shared" ca="1" si="7"/>
        <v>CONTRATADO</v>
      </c>
      <c r="L84" s="51" t="s">
        <v>42</v>
      </c>
      <c r="M84" s="51" t="s">
        <v>42</v>
      </c>
      <c r="N84" s="52" t="s">
        <v>104</v>
      </c>
      <c r="O84" s="51" t="e">
        <f>VLOOKUP(N84,[2]!RUBROS[#All],3,0)</f>
        <v>#REF!</v>
      </c>
      <c r="P84" s="53" t="e">
        <f>VLOOKUP(N84,[2]!RUBROS[#All],2,0)</f>
        <v>#REF!</v>
      </c>
      <c r="Q84" s="47" t="str">
        <f t="shared" si="8"/>
        <v>00</v>
      </c>
      <c r="R84" s="47" t="str">
        <f t="shared" si="9"/>
        <v>0-205616</v>
      </c>
      <c r="S84" s="54" t="s">
        <v>42</v>
      </c>
      <c r="T84" s="59" t="s">
        <v>42</v>
      </c>
      <c r="U84" s="326" t="e">
        <f ca="1">_xlfn.XLOOKUP(PAA_4[[#This Row],[ITEM]],[2]Contrato!A:A,[2]Contrato!Q:Q,"",0)</f>
        <v>#NAME?</v>
      </c>
      <c r="V84" s="47" t="s">
        <v>95</v>
      </c>
      <c r="W84" s="47" t="s">
        <v>42</v>
      </c>
      <c r="X84" s="47" t="s">
        <v>42</v>
      </c>
      <c r="Y84" s="55" t="e">
        <f ca="1">_xlfn.XLOOKUP(PAA_4[[#This Row],[ITEM]],[2]Contrato!A:A,[2]Contrato!B:B,"",0)</f>
        <v>#NAME?</v>
      </c>
      <c r="Z84" s="47" t="e">
        <f ca="1">_xlfn.XLOOKUP(PAA_4[[#This Row],[ITEM]],[2]Contrato!A:A,[2]Contrato!G:G,"",0)</f>
        <v>#NAME?</v>
      </c>
      <c r="AA84" s="47" t="e">
        <f ca="1">_xlfn.XLOOKUP(PAA_4[[#This Row],[ITEM]],[2]Contrato!A:A,[2]Contrato!T:T,"",0)</f>
        <v>#NAME?</v>
      </c>
      <c r="AB84" s="55" t="e">
        <f ca="1">+MAX(PAA_4[[#This Row],[Comprometido Contrato]],PAA_4[[#This Row],[Comprometido Bolsa]])</f>
        <v>#NAME?</v>
      </c>
      <c r="AC84" s="55" t="str">
        <f t="shared" ca="1" si="10"/>
        <v/>
      </c>
      <c r="AD84" s="55" t="e">
        <f ca="1">IF(PAA_4[[#This Row],[ESTADO (formulado)]]="NO CONTRATADO",0,MAX(PAA_4[[#This Row],[Pago por Contrato]],PAA_4[[#This Row],[Pago por bolsa]]))</f>
        <v>#NAME?</v>
      </c>
      <c r="AE84" s="55" t="str">
        <f t="shared" ca="1" si="11"/>
        <v/>
      </c>
      <c r="AF84" s="47" t="e">
        <f t="shared" ca="1" si="12"/>
        <v>#NAME?</v>
      </c>
      <c r="AG84" s="47" t="str">
        <f t="shared" si="13"/>
        <v/>
      </c>
      <c r="AH84" s="54">
        <f>IF(Q84="22",IF(ISNUMBER(SEARCH("econ",PAA_4[[#This Row],[Actividad3]])),"Económico",IF(ISNUMBER(SEARCH("alim",PAA_4[[#This Row],[Actividad3]])),"Alimentación",IF(ISNUMBER(SEARCH("educ",PAA_4[[#This Row],[Actividad3]])),"Educativo","Técnico"))),0)</f>
        <v>0</v>
      </c>
      <c r="AI84" s="47" t="e" cm="1">
        <f t="array" aca="1" ref="AI84" ca="1">_xlfn.XLOOKUP(PAA_4[[#This Row],[RCP-RUBRO]],[2]!COMPROMISOS_2024[[#All],[concatenado]],[2]!COMPROMISOS_2024[[#All],[Total pagado]],"",0)</f>
        <v>#NAME?</v>
      </c>
      <c r="AJ84" s="56">
        <f>IF(PAA_4[[#This Row],[BOLSA]]=0,0,SUMIFS([2]!COMPROMISOS_2024[[#All],[Total pagado]],[2]!COMPROMISOS_2024[[#All],[Bolsa]],PAA_4[[#This Row],[BOLSA]],[2]!COMPROMISOS_2024[[#All],[rubro]],PAA_4[[#This Row],[RCP-RUBRO]]))</f>
        <v>0</v>
      </c>
      <c r="AK84" s="47" t="e" cm="1">
        <f t="array" aca="1" ref="AK84" ca="1">_xlfn.XLOOKUP(PAA_4[[#This Row],[RCP-RUBRO]],[2]!COMPROMISOS_2024[[#All],[concatenado]],[2]!COMPROMISOS_2024[[#All],[Total Comprometido]],"",0)</f>
        <v>#NAME?</v>
      </c>
      <c r="AL84" s="47">
        <f>IF(PAA_4[[#This Row],[BOLSA]]=0,0,SUMIFS([2]!COMPROMISOS_2024[[#All],[Total Comprometido]],[2]!COMPROMISOS_2024[[#All],[Bolsa]],PAA_4[[#This Row],[BOLSA]],[2]!COMPROMISOS_2024[[#All],[concatenado]],PAA_4[[#This Row],[RCP-RUBRO]]))</f>
        <v>0</v>
      </c>
    </row>
    <row r="85" spans="1:38" s="19" customFormat="1" ht="31.5" customHeight="1">
      <c r="A85" s="47" t="s">
        <v>82</v>
      </c>
      <c r="B85" s="47" t="s">
        <v>42</v>
      </c>
      <c r="C85" s="47" t="str">
        <f>VLOOKUP(PAA_4[[#This Row],[PROYECTO (formulado)2]],[2]PROYECTOS!$G$1:$L$32,6,0)</f>
        <v>SUBGERENCIA ADMINISTRATIVA Y FINANCIERA</v>
      </c>
      <c r="D85" s="47" t="str">
        <f>+IF(PAA_4[[#This Row],[UNIDAD DE CONTRATACION (formulado)]]="Subgerencia Administrativa y Financiera","FUNCIONAMIENTO","INVERSIÓN")</f>
        <v>FUNCIONAMIENTO</v>
      </c>
      <c r="E85" s="48" t="str">
        <f>VLOOKUP(Q85,[2]PROYECTOS!$G$1:$K$32,5,0)</f>
        <v>FUNCIONAMIENTO</v>
      </c>
      <c r="F85" s="48">
        <f>VLOOKUP(E85,[2]PROYECTOS!$K$1:$M$32,3,0)</f>
        <v>999999</v>
      </c>
      <c r="G85" s="49" t="s">
        <v>43</v>
      </c>
      <c r="H85" s="49">
        <f>VLOOKUP(Q85,[2]PROYECTOS!$V$1:$W$32,2,0)</f>
        <v>999999</v>
      </c>
      <c r="I85" s="50">
        <v>2</v>
      </c>
      <c r="J85" s="51" t="s">
        <v>1316</v>
      </c>
      <c r="K85" s="47" t="str">
        <f t="shared" ca="1" si="7"/>
        <v>CONTRATADO</v>
      </c>
      <c r="L85" s="51" t="s">
        <v>42</v>
      </c>
      <c r="M85" s="51" t="s">
        <v>42</v>
      </c>
      <c r="N85" s="52" t="s">
        <v>104</v>
      </c>
      <c r="O85" s="51" t="e">
        <f>VLOOKUP(N85,[2]!RUBROS[#All],3,0)</f>
        <v>#REF!</v>
      </c>
      <c r="P85" s="53" t="e">
        <f>VLOOKUP(N85,[2]!RUBROS[#All],2,0)</f>
        <v>#REF!</v>
      </c>
      <c r="Q85" s="47" t="str">
        <f t="shared" si="8"/>
        <v>00</v>
      </c>
      <c r="R85" s="47" t="str">
        <f t="shared" si="9"/>
        <v>0-205616</v>
      </c>
      <c r="S85" s="54" t="s">
        <v>42</v>
      </c>
      <c r="T85" s="59" t="s">
        <v>42</v>
      </c>
      <c r="U85" s="326" t="e">
        <f ca="1">_xlfn.XLOOKUP(PAA_4[[#This Row],[ITEM]],[2]Contrato!A:A,[2]Contrato!Q:Q,"",0)</f>
        <v>#NAME?</v>
      </c>
      <c r="V85" s="47" t="s">
        <v>95</v>
      </c>
      <c r="W85" s="47" t="s">
        <v>42</v>
      </c>
      <c r="X85" s="47" t="s">
        <v>42</v>
      </c>
      <c r="Y85" s="55" t="e">
        <f ca="1">_xlfn.XLOOKUP(PAA_4[[#This Row],[ITEM]],[2]Contrato!A:A,[2]Contrato!B:B,"",0)</f>
        <v>#NAME?</v>
      </c>
      <c r="Z85" s="47" t="e">
        <f ca="1">_xlfn.XLOOKUP(PAA_4[[#This Row],[ITEM]],[2]Contrato!A:A,[2]Contrato!G:G,"",0)</f>
        <v>#NAME?</v>
      </c>
      <c r="AA85" s="47" t="e">
        <f ca="1">_xlfn.XLOOKUP(PAA_4[[#This Row],[ITEM]],[2]Contrato!A:A,[2]Contrato!T:T,"",0)</f>
        <v>#NAME?</v>
      </c>
      <c r="AB85" s="55" t="e">
        <f ca="1">+MAX(PAA_4[[#This Row],[Comprometido Contrato]],PAA_4[[#This Row],[Comprometido Bolsa]])</f>
        <v>#NAME?</v>
      </c>
      <c r="AC85" s="55" t="str">
        <f t="shared" ca="1" si="10"/>
        <v/>
      </c>
      <c r="AD85" s="55" t="e">
        <f ca="1">IF(PAA_4[[#This Row],[ESTADO (formulado)]]="NO CONTRATADO",0,MAX(PAA_4[[#This Row],[Pago por Contrato]],PAA_4[[#This Row],[Pago por bolsa]]))</f>
        <v>#NAME?</v>
      </c>
      <c r="AE85" s="55" t="str">
        <f t="shared" ca="1" si="11"/>
        <v/>
      </c>
      <c r="AF85" s="47" t="e">
        <f t="shared" ca="1" si="12"/>
        <v>#NAME?</v>
      </c>
      <c r="AG85" s="47" t="str">
        <f t="shared" si="13"/>
        <v/>
      </c>
      <c r="AH85" s="54">
        <f>IF(Q85="22",IF(ISNUMBER(SEARCH("econ",PAA_4[[#This Row],[Actividad3]])),"Económico",IF(ISNUMBER(SEARCH("alim",PAA_4[[#This Row],[Actividad3]])),"Alimentación",IF(ISNUMBER(SEARCH("educ",PAA_4[[#This Row],[Actividad3]])),"Educativo","Técnico"))),0)</f>
        <v>0</v>
      </c>
      <c r="AI85" s="47" t="e" cm="1">
        <f t="array" aca="1" ref="AI85" ca="1">_xlfn.XLOOKUP(PAA_4[[#This Row],[RCP-RUBRO]],[2]!COMPROMISOS_2024[[#All],[concatenado]],[2]!COMPROMISOS_2024[[#All],[Total pagado]],"",0)</f>
        <v>#NAME?</v>
      </c>
      <c r="AJ85" s="56">
        <f>IF(PAA_4[[#This Row],[BOLSA]]=0,0,SUMIFS([2]!COMPROMISOS_2024[[#All],[Total pagado]],[2]!COMPROMISOS_2024[[#All],[Bolsa]],PAA_4[[#This Row],[BOLSA]],[2]!COMPROMISOS_2024[[#All],[rubro]],PAA_4[[#This Row],[RCP-RUBRO]]))</f>
        <v>0</v>
      </c>
      <c r="AK85" s="47" t="e" cm="1">
        <f t="array" aca="1" ref="AK85" ca="1">_xlfn.XLOOKUP(PAA_4[[#This Row],[RCP-RUBRO]],[2]!COMPROMISOS_2024[[#All],[concatenado]],[2]!COMPROMISOS_2024[[#All],[Total Comprometido]],"",0)</f>
        <v>#NAME?</v>
      </c>
      <c r="AL85" s="47">
        <f>IF(PAA_4[[#This Row],[BOLSA]]=0,0,SUMIFS([2]!COMPROMISOS_2024[[#All],[Total Comprometido]],[2]!COMPROMISOS_2024[[#All],[Bolsa]],PAA_4[[#This Row],[BOLSA]],[2]!COMPROMISOS_2024[[#All],[concatenado]],PAA_4[[#This Row],[RCP-RUBRO]]))</f>
        <v>0</v>
      </c>
    </row>
    <row r="86" spans="1:38" s="19" customFormat="1" ht="31.5" customHeight="1">
      <c r="A86" s="47" t="s">
        <v>82</v>
      </c>
      <c r="B86" s="47" t="s">
        <v>42</v>
      </c>
      <c r="C86" s="47" t="str">
        <f>VLOOKUP(PAA_4[[#This Row],[PROYECTO (formulado)2]],[2]PROYECTOS!$G$1:$L$32,6,0)</f>
        <v>SUBGERENCIA ADMINISTRATIVA Y FINANCIERA</v>
      </c>
      <c r="D86" s="47" t="str">
        <f>+IF(PAA_4[[#This Row],[UNIDAD DE CONTRATACION (formulado)]]="Subgerencia Administrativa y Financiera","FUNCIONAMIENTO","INVERSIÓN")</f>
        <v>FUNCIONAMIENTO</v>
      </c>
      <c r="E86" s="48" t="str">
        <f>VLOOKUP(Q86,[2]PROYECTOS!$G$1:$K$32,5,0)</f>
        <v>FUNCIONAMIENTO</v>
      </c>
      <c r="F86" s="48">
        <f>VLOOKUP(E86,[2]PROYECTOS!$K$1:$M$32,3,0)</f>
        <v>999999</v>
      </c>
      <c r="G86" s="49" t="s">
        <v>43</v>
      </c>
      <c r="H86" s="49">
        <f>VLOOKUP(Q86,[2]PROYECTOS!$V$1:$W$32,2,0)</f>
        <v>999999</v>
      </c>
      <c r="I86" s="50">
        <v>132869</v>
      </c>
      <c r="J86" s="51" t="s">
        <v>1316</v>
      </c>
      <c r="K86" s="47" t="str">
        <f t="shared" ca="1" si="7"/>
        <v>CONTRATADO</v>
      </c>
      <c r="L86" s="51" t="s">
        <v>42</v>
      </c>
      <c r="M86" s="51" t="s">
        <v>42</v>
      </c>
      <c r="N86" s="52" t="s">
        <v>90</v>
      </c>
      <c r="O86" s="51" t="e">
        <f>VLOOKUP(N86,[2]!RUBROS[#All],3,0)</f>
        <v>#REF!</v>
      </c>
      <c r="P86" s="53" t="e">
        <f>VLOOKUP(N86,[2]!RUBROS[#All],2,0)</f>
        <v>#REF!</v>
      </c>
      <c r="Q86" s="47" t="str">
        <f t="shared" si="8"/>
        <v>00</v>
      </c>
      <c r="R86" s="47" t="str">
        <f t="shared" si="9"/>
        <v>0-205616</v>
      </c>
      <c r="S86" s="54" t="s">
        <v>42</v>
      </c>
      <c r="T86" s="59" t="s">
        <v>42</v>
      </c>
      <c r="U86" s="326" t="e">
        <f ca="1">_xlfn.XLOOKUP(PAA_4[[#This Row],[ITEM]],[2]Contrato!A:A,[2]Contrato!Q:Q,"",0)</f>
        <v>#NAME?</v>
      </c>
      <c r="V86" s="47" t="s">
        <v>95</v>
      </c>
      <c r="W86" s="47" t="s">
        <v>42</v>
      </c>
      <c r="X86" s="47" t="s">
        <v>42</v>
      </c>
      <c r="Y86" s="55" t="e">
        <f ca="1">_xlfn.XLOOKUP(PAA_4[[#This Row],[ITEM]],[2]Contrato!A:A,[2]Contrato!B:B,"",0)</f>
        <v>#NAME?</v>
      </c>
      <c r="Z86" s="47" t="e">
        <f ca="1">_xlfn.XLOOKUP(PAA_4[[#This Row],[ITEM]],[2]Contrato!A:A,[2]Contrato!G:G,"",0)</f>
        <v>#NAME?</v>
      </c>
      <c r="AA86" s="47" t="e">
        <f ca="1">_xlfn.XLOOKUP(PAA_4[[#This Row],[ITEM]],[2]Contrato!A:A,[2]Contrato!T:T,"",0)</f>
        <v>#NAME?</v>
      </c>
      <c r="AB86" s="55" t="e">
        <f ca="1">+MAX(PAA_4[[#This Row],[Comprometido Contrato]],PAA_4[[#This Row],[Comprometido Bolsa]])</f>
        <v>#NAME?</v>
      </c>
      <c r="AC86" s="55" t="str">
        <f t="shared" ca="1" si="10"/>
        <v/>
      </c>
      <c r="AD86" s="55" t="e">
        <f ca="1">IF(PAA_4[[#This Row],[ESTADO (formulado)]]="NO CONTRATADO",0,MAX(PAA_4[[#This Row],[Pago por Contrato]],PAA_4[[#This Row],[Pago por bolsa]]))</f>
        <v>#NAME?</v>
      </c>
      <c r="AE86" s="55" t="str">
        <f t="shared" ca="1" si="11"/>
        <v/>
      </c>
      <c r="AF86" s="47" t="e">
        <f t="shared" ca="1" si="12"/>
        <v>#NAME?</v>
      </c>
      <c r="AG86" s="47" t="str">
        <f t="shared" si="13"/>
        <v/>
      </c>
      <c r="AH86" s="54">
        <f>IF(Q86="22",IF(ISNUMBER(SEARCH("econ",PAA_4[[#This Row],[Actividad3]])),"Económico",IF(ISNUMBER(SEARCH("alim",PAA_4[[#This Row],[Actividad3]])),"Alimentación",IF(ISNUMBER(SEARCH("educ",PAA_4[[#This Row],[Actividad3]])),"Educativo","Técnico"))),0)</f>
        <v>0</v>
      </c>
      <c r="AI86" s="47" t="e" cm="1">
        <f t="array" aca="1" ref="AI86" ca="1">_xlfn.XLOOKUP(PAA_4[[#This Row],[RCP-RUBRO]],[2]!COMPROMISOS_2024[[#All],[concatenado]],[2]!COMPROMISOS_2024[[#All],[Total pagado]],"",0)</f>
        <v>#NAME?</v>
      </c>
      <c r="AJ86" s="56">
        <f>IF(PAA_4[[#This Row],[BOLSA]]=0,0,SUMIFS([2]!COMPROMISOS_2024[[#All],[Total pagado]],[2]!COMPROMISOS_2024[[#All],[Bolsa]],PAA_4[[#This Row],[BOLSA]],[2]!COMPROMISOS_2024[[#All],[rubro]],PAA_4[[#This Row],[RCP-RUBRO]]))</f>
        <v>0</v>
      </c>
      <c r="AK86" s="47" t="e" cm="1">
        <f t="array" aca="1" ref="AK86" ca="1">_xlfn.XLOOKUP(PAA_4[[#This Row],[RCP-RUBRO]],[2]!COMPROMISOS_2024[[#All],[concatenado]],[2]!COMPROMISOS_2024[[#All],[Total Comprometido]],"",0)</f>
        <v>#NAME?</v>
      </c>
      <c r="AL86" s="47">
        <f>IF(PAA_4[[#This Row],[BOLSA]]=0,0,SUMIFS([2]!COMPROMISOS_2024[[#All],[Total Comprometido]],[2]!COMPROMISOS_2024[[#All],[Bolsa]],PAA_4[[#This Row],[BOLSA]],[2]!COMPROMISOS_2024[[#All],[concatenado]],PAA_4[[#This Row],[RCP-RUBRO]]))</f>
        <v>0</v>
      </c>
    </row>
    <row r="87" spans="1:38" s="19" customFormat="1" ht="31.5" customHeight="1">
      <c r="A87" s="47" t="s">
        <v>82</v>
      </c>
      <c r="B87" s="47" t="s">
        <v>42</v>
      </c>
      <c r="C87" s="47" t="str">
        <f>VLOOKUP(PAA_4[[#This Row],[PROYECTO (formulado)2]],[2]PROYECTOS!$G$1:$L$32,6,0)</f>
        <v>SUBGERENCIA ADMINISTRATIVA Y FINANCIERA</v>
      </c>
      <c r="D87" s="47" t="str">
        <f>+IF(PAA_4[[#This Row],[UNIDAD DE CONTRATACION (formulado)]]="Subgerencia Administrativa y Financiera","FUNCIONAMIENTO","INVERSIÓN")</f>
        <v>FUNCIONAMIENTO</v>
      </c>
      <c r="E87" s="48" t="str">
        <f>VLOOKUP(Q87,[2]PROYECTOS!$G$1:$K$32,5,0)</f>
        <v>FUNCIONAMIENTO</v>
      </c>
      <c r="F87" s="48">
        <f>VLOOKUP(E87,[2]PROYECTOS!$K$1:$M$32,3,0)</f>
        <v>999999</v>
      </c>
      <c r="G87" s="49" t="s">
        <v>43</v>
      </c>
      <c r="H87" s="49">
        <f>VLOOKUP(Q87,[2]PROYECTOS!$V$1:$W$32,2,0)</f>
        <v>999999</v>
      </c>
      <c r="I87" s="50">
        <v>112662</v>
      </c>
      <c r="J87" s="51" t="s">
        <v>1316</v>
      </c>
      <c r="K87" s="47" t="str">
        <f t="shared" ca="1" si="7"/>
        <v>CONTRATADO</v>
      </c>
      <c r="L87" s="51" t="s">
        <v>42</v>
      </c>
      <c r="M87" s="51" t="s">
        <v>42</v>
      </c>
      <c r="N87" s="52" t="s">
        <v>90</v>
      </c>
      <c r="O87" s="51" t="e">
        <f>VLOOKUP(N87,[2]!RUBROS[#All],3,0)</f>
        <v>#REF!</v>
      </c>
      <c r="P87" s="53" t="e">
        <f>VLOOKUP(N87,[2]!RUBROS[#All],2,0)</f>
        <v>#REF!</v>
      </c>
      <c r="Q87" s="47" t="str">
        <f t="shared" si="8"/>
        <v>00</v>
      </c>
      <c r="R87" s="47" t="str">
        <f t="shared" si="9"/>
        <v>0-205616</v>
      </c>
      <c r="S87" s="54" t="s">
        <v>42</v>
      </c>
      <c r="T87" s="59" t="s">
        <v>42</v>
      </c>
      <c r="U87" s="326" t="e">
        <f ca="1">_xlfn.XLOOKUP(PAA_4[[#This Row],[ITEM]],[2]Contrato!A:A,[2]Contrato!Q:Q,"",0)</f>
        <v>#NAME?</v>
      </c>
      <c r="V87" s="47" t="s">
        <v>95</v>
      </c>
      <c r="W87" s="47" t="s">
        <v>42</v>
      </c>
      <c r="X87" s="47" t="s">
        <v>42</v>
      </c>
      <c r="Y87" s="55" t="e">
        <f ca="1">_xlfn.XLOOKUP(PAA_4[[#This Row],[ITEM]],[2]Contrato!A:A,[2]Contrato!B:B,"",0)</f>
        <v>#NAME?</v>
      </c>
      <c r="Z87" s="47" t="e">
        <f ca="1">_xlfn.XLOOKUP(PAA_4[[#This Row],[ITEM]],[2]Contrato!A:A,[2]Contrato!G:G,"",0)</f>
        <v>#NAME?</v>
      </c>
      <c r="AA87" s="47" t="e">
        <f ca="1">_xlfn.XLOOKUP(PAA_4[[#This Row],[ITEM]],[2]Contrato!A:A,[2]Contrato!T:T,"",0)</f>
        <v>#NAME?</v>
      </c>
      <c r="AB87" s="55" t="e">
        <f ca="1">+MAX(PAA_4[[#This Row],[Comprometido Contrato]],PAA_4[[#This Row],[Comprometido Bolsa]])</f>
        <v>#NAME?</v>
      </c>
      <c r="AC87" s="55" t="str">
        <f t="shared" ca="1" si="10"/>
        <v/>
      </c>
      <c r="AD87" s="55" t="e">
        <f ca="1">IF(PAA_4[[#This Row],[ESTADO (formulado)]]="NO CONTRATADO",0,MAX(PAA_4[[#This Row],[Pago por Contrato]],PAA_4[[#This Row],[Pago por bolsa]]))</f>
        <v>#NAME?</v>
      </c>
      <c r="AE87" s="55" t="str">
        <f t="shared" ca="1" si="11"/>
        <v/>
      </c>
      <c r="AF87" s="47" t="e">
        <f t="shared" ca="1" si="12"/>
        <v>#NAME?</v>
      </c>
      <c r="AG87" s="47" t="str">
        <f t="shared" si="13"/>
        <v/>
      </c>
      <c r="AH87" s="54">
        <f>IF(Q87="22",IF(ISNUMBER(SEARCH("econ",PAA_4[[#This Row],[Actividad3]])),"Económico",IF(ISNUMBER(SEARCH("alim",PAA_4[[#This Row],[Actividad3]])),"Alimentación",IF(ISNUMBER(SEARCH("educ",PAA_4[[#This Row],[Actividad3]])),"Educativo","Técnico"))),0)</f>
        <v>0</v>
      </c>
      <c r="AI87" s="47" t="e" cm="1">
        <f t="array" aca="1" ref="AI87" ca="1">_xlfn.XLOOKUP(PAA_4[[#This Row],[RCP-RUBRO]],[2]!COMPROMISOS_2024[[#All],[concatenado]],[2]!COMPROMISOS_2024[[#All],[Total pagado]],"",0)</f>
        <v>#NAME?</v>
      </c>
      <c r="AJ87" s="56">
        <f>IF(PAA_4[[#This Row],[BOLSA]]=0,0,SUMIFS([2]!COMPROMISOS_2024[[#All],[Total pagado]],[2]!COMPROMISOS_2024[[#All],[Bolsa]],PAA_4[[#This Row],[BOLSA]],[2]!COMPROMISOS_2024[[#All],[rubro]],PAA_4[[#This Row],[RCP-RUBRO]]))</f>
        <v>0</v>
      </c>
      <c r="AK87" s="47" t="e" cm="1">
        <f t="array" aca="1" ref="AK87" ca="1">_xlfn.XLOOKUP(PAA_4[[#This Row],[RCP-RUBRO]],[2]!COMPROMISOS_2024[[#All],[concatenado]],[2]!COMPROMISOS_2024[[#All],[Total Comprometido]],"",0)</f>
        <v>#NAME?</v>
      </c>
      <c r="AL87" s="47">
        <f>IF(PAA_4[[#This Row],[BOLSA]]=0,0,SUMIFS([2]!COMPROMISOS_2024[[#All],[Total Comprometido]],[2]!COMPROMISOS_2024[[#All],[Bolsa]],PAA_4[[#This Row],[BOLSA]],[2]!COMPROMISOS_2024[[#All],[concatenado]],PAA_4[[#This Row],[RCP-RUBRO]]))</f>
        <v>0</v>
      </c>
    </row>
    <row r="88" spans="1:38" s="19" customFormat="1" ht="31.5" customHeight="1">
      <c r="A88" s="47" t="s">
        <v>82</v>
      </c>
      <c r="B88" s="47" t="s">
        <v>42</v>
      </c>
      <c r="C88" s="47" t="str">
        <f>VLOOKUP(PAA_4[[#This Row],[PROYECTO (formulado)2]],[2]PROYECTOS!$G$1:$L$32,6,0)</f>
        <v>SUBGERENCIA ADMINISTRATIVA Y FINANCIERA</v>
      </c>
      <c r="D88" s="47" t="str">
        <f>+IF(PAA_4[[#This Row],[UNIDAD DE CONTRATACION (formulado)]]="Subgerencia Administrativa y Financiera","FUNCIONAMIENTO","INVERSIÓN")</f>
        <v>FUNCIONAMIENTO</v>
      </c>
      <c r="E88" s="48" t="str">
        <f>VLOOKUP(Q88,[2]PROYECTOS!$G$1:$K$32,5,0)</f>
        <v>FUNCIONAMIENTO</v>
      </c>
      <c r="F88" s="48">
        <f>VLOOKUP(E88,[2]PROYECTOS!$K$1:$M$32,3,0)</f>
        <v>999999</v>
      </c>
      <c r="G88" s="49" t="s">
        <v>43</v>
      </c>
      <c r="H88" s="49">
        <f>VLOOKUP(Q88,[2]PROYECTOS!$V$1:$W$32,2,0)</f>
        <v>999999</v>
      </c>
      <c r="I88" s="50">
        <v>690653</v>
      </c>
      <c r="J88" s="51" t="s">
        <v>1316</v>
      </c>
      <c r="K88" s="47" t="str">
        <f t="shared" ca="1" si="7"/>
        <v>CONTRATADO</v>
      </c>
      <c r="L88" s="51" t="s">
        <v>42</v>
      </c>
      <c r="M88" s="51" t="s">
        <v>42</v>
      </c>
      <c r="N88" s="52" t="s">
        <v>155</v>
      </c>
      <c r="O88" s="51" t="e">
        <f>VLOOKUP(N88,[2]!RUBROS[#All],3,0)</f>
        <v>#REF!</v>
      </c>
      <c r="P88" s="53" t="e">
        <f>VLOOKUP(N88,[2]!RUBROS[#All],2,0)</f>
        <v>#REF!</v>
      </c>
      <c r="Q88" s="47" t="str">
        <f t="shared" si="8"/>
        <v>00</v>
      </c>
      <c r="R88" s="47" t="str">
        <f t="shared" si="9"/>
        <v>4-205616</v>
      </c>
      <c r="S88" s="54" t="s">
        <v>42</v>
      </c>
      <c r="T88" s="59" t="s">
        <v>42</v>
      </c>
      <c r="U88" s="326" t="e">
        <f ca="1">_xlfn.XLOOKUP(PAA_4[[#This Row],[ITEM]],[2]Contrato!A:A,[2]Contrato!Q:Q,"",0)</f>
        <v>#NAME?</v>
      </c>
      <c r="V88" s="47" t="s">
        <v>95</v>
      </c>
      <c r="W88" s="47" t="s">
        <v>42</v>
      </c>
      <c r="X88" s="47" t="s">
        <v>42</v>
      </c>
      <c r="Y88" s="55" t="e">
        <f ca="1">_xlfn.XLOOKUP(PAA_4[[#This Row],[ITEM]],[2]Contrato!A:A,[2]Contrato!B:B,"",0)</f>
        <v>#NAME?</v>
      </c>
      <c r="Z88" s="47" t="e">
        <f ca="1">_xlfn.XLOOKUP(PAA_4[[#This Row],[ITEM]],[2]Contrato!A:A,[2]Contrato!G:G,"",0)</f>
        <v>#NAME?</v>
      </c>
      <c r="AA88" s="47" t="e">
        <f ca="1">_xlfn.XLOOKUP(PAA_4[[#This Row],[ITEM]],[2]Contrato!A:A,[2]Contrato!T:T,"",0)</f>
        <v>#NAME?</v>
      </c>
      <c r="AB88" s="55" t="e">
        <f ca="1">+MAX(PAA_4[[#This Row],[Comprometido Contrato]],PAA_4[[#This Row],[Comprometido Bolsa]])</f>
        <v>#NAME?</v>
      </c>
      <c r="AC88" s="55" t="str">
        <f t="shared" ca="1" si="10"/>
        <v/>
      </c>
      <c r="AD88" s="55" t="e">
        <f ca="1">IF(PAA_4[[#This Row],[ESTADO (formulado)]]="NO CONTRATADO",0,MAX(PAA_4[[#This Row],[Pago por Contrato]],PAA_4[[#This Row],[Pago por bolsa]]))</f>
        <v>#NAME?</v>
      </c>
      <c r="AE88" s="55" t="str">
        <f t="shared" ca="1" si="11"/>
        <v/>
      </c>
      <c r="AF88" s="47" t="e">
        <f t="shared" ca="1" si="12"/>
        <v>#NAME?</v>
      </c>
      <c r="AG88" s="47" t="str">
        <f t="shared" si="13"/>
        <v/>
      </c>
      <c r="AH88" s="54">
        <f>IF(Q88="22",IF(ISNUMBER(SEARCH("econ",PAA_4[[#This Row],[Actividad3]])),"Económico",IF(ISNUMBER(SEARCH("alim",PAA_4[[#This Row],[Actividad3]])),"Alimentación",IF(ISNUMBER(SEARCH("educ",PAA_4[[#This Row],[Actividad3]])),"Educativo","Técnico"))),0)</f>
        <v>0</v>
      </c>
      <c r="AI88" s="47" t="e" cm="1">
        <f t="array" aca="1" ref="AI88" ca="1">_xlfn.XLOOKUP(PAA_4[[#This Row],[RCP-RUBRO]],[2]!COMPROMISOS_2024[[#All],[concatenado]],[2]!COMPROMISOS_2024[[#All],[Total pagado]],"",0)</f>
        <v>#NAME?</v>
      </c>
      <c r="AJ88" s="56">
        <f>IF(PAA_4[[#This Row],[BOLSA]]=0,0,SUMIFS([2]!COMPROMISOS_2024[[#All],[Total pagado]],[2]!COMPROMISOS_2024[[#All],[Bolsa]],PAA_4[[#This Row],[BOLSA]],[2]!COMPROMISOS_2024[[#All],[rubro]],PAA_4[[#This Row],[RCP-RUBRO]]))</f>
        <v>0</v>
      </c>
      <c r="AK88" s="47" t="e" cm="1">
        <f t="array" aca="1" ref="AK88" ca="1">_xlfn.XLOOKUP(PAA_4[[#This Row],[RCP-RUBRO]],[2]!COMPROMISOS_2024[[#All],[concatenado]],[2]!COMPROMISOS_2024[[#All],[Total Comprometido]],"",0)</f>
        <v>#NAME?</v>
      </c>
      <c r="AL88" s="47">
        <f>IF(PAA_4[[#This Row],[BOLSA]]=0,0,SUMIFS([2]!COMPROMISOS_2024[[#All],[Total Comprometido]],[2]!COMPROMISOS_2024[[#All],[Bolsa]],PAA_4[[#This Row],[BOLSA]],[2]!COMPROMISOS_2024[[#All],[concatenado]],PAA_4[[#This Row],[RCP-RUBRO]]))</f>
        <v>0</v>
      </c>
    </row>
    <row r="89" spans="1:38" s="19" customFormat="1" ht="31.5" customHeight="1">
      <c r="A89" s="47" t="s">
        <v>82</v>
      </c>
      <c r="B89" s="47" t="s">
        <v>42</v>
      </c>
      <c r="C89" s="47" t="str">
        <f>VLOOKUP(PAA_4[[#This Row],[PROYECTO (formulado)2]],[2]PROYECTOS!$G$1:$L$32,6,0)</f>
        <v>SUBGERENCIA ADMINISTRATIVA Y FINANCIERA</v>
      </c>
      <c r="D89" s="47" t="str">
        <f>+IF(PAA_4[[#This Row],[UNIDAD DE CONTRATACION (formulado)]]="Subgerencia Administrativa y Financiera","FUNCIONAMIENTO","INVERSIÓN")</f>
        <v>FUNCIONAMIENTO</v>
      </c>
      <c r="E89" s="48" t="str">
        <f>VLOOKUP(Q89,[2]PROYECTOS!$G$1:$K$32,5,0)</f>
        <v>FUNCIONAMIENTO</v>
      </c>
      <c r="F89" s="48">
        <f>VLOOKUP(E89,[2]PROYECTOS!$K$1:$M$32,3,0)</f>
        <v>999999</v>
      </c>
      <c r="G89" s="49" t="s">
        <v>43</v>
      </c>
      <c r="H89" s="49">
        <f>VLOOKUP(Q89,[2]PROYECTOS!$V$1:$W$32,2,0)</f>
        <v>999999</v>
      </c>
      <c r="I89" s="50">
        <v>311561</v>
      </c>
      <c r="J89" s="51" t="s">
        <v>1316</v>
      </c>
      <c r="K89" s="47" t="str">
        <f t="shared" ca="1" si="7"/>
        <v>CONTRATADO</v>
      </c>
      <c r="L89" s="51" t="s">
        <v>42</v>
      </c>
      <c r="M89" s="51" t="s">
        <v>42</v>
      </c>
      <c r="N89" s="52" t="s">
        <v>155</v>
      </c>
      <c r="O89" s="51" t="e">
        <f>VLOOKUP(N89,[2]!RUBROS[#All],3,0)</f>
        <v>#REF!</v>
      </c>
      <c r="P89" s="53" t="e">
        <f>VLOOKUP(N89,[2]!RUBROS[#All],2,0)</f>
        <v>#REF!</v>
      </c>
      <c r="Q89" s="47" t="str">
        <f t="shared" si="8"/>
        <v>00</v>
      </c>
      <c r="R89" s="47" t="str">
        <f t="shared" si="9"/>
        <v>4-205616</v>
      </c>
      <c r="S89" s="54" t="s">
        <v>42</v>
      </c>
      <c r="T89" s="59" t="s">
        <v>42</v>
      </c>
      <c r="U89" s="326" t="e">
        <f ca="1">_xlfn.XLOOKUP(PAA_4[[#This Row],[ITEM]],[2]Contrato!A:A,[2]Contrato!Q:Q,"",0)</f>
        <v>#NAME?</v>
      </c>
      <c r="V89" s="47" t="s">
        <v>95</v>
      </c>
      <c r="W89" s="47" t="s">
        <v>42</v>
      </c>
      <c r="X89" s="47" t="s">
        <v>42</v>
      </c>
      <c r="Y89" s="55" t="e">
        <f ca="1">_xlfn.XLOOKUP(PAA_4[[#This Row],[ITEM]],[2]Contrato!A:A,[2]Contrato!B:B,"",0)</f>
        <v>#NAME?</v>
      </c>
      <c r="Z89" s="47" t="e">
        <f ca="1">_xlfn.XLOOKUP(PAA_4[[#This Row],[ITEM]],[2]Contrato!A:A,[2]Contrato!G:G,"",0)</f>
        <v>#NAME?</v>
      </c>
      <c r="AA89" s="47" t="e">
        <f ca="1">_xlfn.XLOOKUP(PAA_4[[#This Row],[ITEM]],[2]Contrato!A:A,[2]Contrato!T:T,"",0)</f>
        <v>#NAME?</v>
      </c>
      <c r="AB89" s="55" t="e">
        <f ca="1">+MAX(PAA_4[[#This Row],[Comprometido Contrato]],PAA_4[[#This Row],[Comprometido Bolsa]])</f>
        <v>#NAME?</v>
      </c>
      <c r="AC89" s="55" t="str">
        <f t="shared" ca="1" si="10"/>
        <v/>
      </c>
      <c r="AD89" s="55" t="e">
        <f ca="1">IF(PAA_4[[#This Row],[ESTADO (formulado)]]="NO CONTRATADO",0,MAX(PAA_4[[#This Row],[Pago por Contrato]],PAA_4[[#This Row],[Pago por bolsa]]))</f>
        <v>#NAME?</v>
      </c>
      <c r="AE89" s="55" t="str">
        <f t="shared" ca="1" si="11"/>
        <v/>
      </c>
      <c r="AF89" s="47" t="e">
        <f t="shared" ca="1" si="12"/>
        <v>#NAME?</v>
      </c>
      <c r="AG89" s="47" t="str">
        <f t="shared" si="13"/>
        <v/>
      </c>
      <c r="AH89" s="54">
        <f>IF(Q89="22",IF(ISNUMBER(SEARCH("econ",PAA_4[[#This Row],[Actividad3]])),"Económico",IF(ISNUMBER(SEARCH("alim",PAA_4[[#This Row],[Actividad3]])),"Alimentación",IF(ISNUMBER(SEARCH("educ",PAA_4[[#This Row],[Actividad3]])),"Educativo","Técnico"))),0)</f>
        <v>0</v>
      </c>
      <c r="AI89" s="47" t="e" cm="1">
        <f t="array" aca="1" ref="AI89" ca="1">_xlfn.XLOOKUP(PAA_4[[#This Row],[RCP-RUBRO]],[2]!COMPROMISOS_2024[[#All],[concatenado]],[2]!COMPROMISOS_2024[[#All],[Total pagado]],"",0)</f>
        <v>#NAME?</v>
      </c>
      <c r="AJ89" s="56">
        <f>IF(PAA_4[[#This Row],[BOLSA]]=0,0,SUMIFS([2]!COMPROMISOS_2024[[#All],[Total pagado]],[2]!COMPROMISOS_2024[[#All],[Bolsa]],PAA_4[[#This Row],[BOLSA]],[2]!COMPROMISOS_2024[[#All],[rubro]],PAA_4[[#This Row],[RCP-RUBRO]]))</f>
        <v>0</v>
      </c>
      <c r="AK89" s="47" t="e" cm="1">
        <f t="array" aca="1" ref="AK89" ca="1">_xlfn.XLOOKUP(PAA_4[[#This Row],[RCP-RUBRO]],[2]!COMPROMISOS_2024[[#All],[concatenado]],[2]!COMPROMISOS_2024[[#All],[Total Comprometido]],"",0)</f>
        <v>#NAME?</v>
      </c>
      <c r="AL89" s="47">
        <f>IF(PAA_4[[#This Row],[BOLSA]]=0,0,SUMIFS([2]!COMPROMISOS_2024[[#All],[Total Comprometido]],[2]!COMPROMISOS_2024[[#All],[Bolsa]],PAA_4[[#This Row],[BOLSA]],[2]!COMPROMISOS_2024[[#All],[concatenado]],PAA_4[[#This Row],[RCP-RUBRO]]))</f>
        <v>0</v>
      </c>
    </row>
    <row r="90" spans="1:38" s="19" customFormat="1" ht="31.5" customHeight="1">
      <c r="A90" s="47" t="s">
        <v>82</v>
      </c>
      <c r="B90" s="47" t="s">
        <v>42</v>
      </c>
      <c r="C90" s="47" t="str">
        <f>VLOOKUP(PAA_4[[#This Row],[PROYECTO (formulado)2]],[2]PROYECTOS!$G$1:$L$32,6,0)</f>
        <v>SUBGERENCIA ADMINISTRATIVA Y FINANCIERA</v>
      </c>
      <c r="D90" s="47" t="str">
        <f>+IF(PAA_4[[#This Row],[UNIDAD DE CONTRATACION (formulado)]]="Subgerencia Administrativa y Financiera","FUNCIONAMIENTO","INVERSIÓN")</f>
        <v>FUNCIONAMIENTO</v>
      </c>
      <c r="E90" s="48" t="str">
        <f>VLOOKUP(Q90,[2]PROYECTOS!$G$1:$K$32,5,0)</f>
        <v>FUNCIONAMIENTO</v>
      </c>
      <c r="F90" s="48">
        <f>VLOOKUP(E90,[2]PROYECTOS!$K$1:$M$32,3,0)</f>
        <v>999999</v>
      </c>
      <c r="G90" s="49" t="s">
        <v>43</v>
      </c>
      <c r="H90" s="49">
        <f>VLOOKUP(Q90,[2]PROYECTOS!$V$1:$W$32,2,0)</f>
        <v>999999</v>
      </c>
      <c r="I90" s="50">
        <v>398605</v>
      </c>
      <c r="J90" s="51" t="s">
        <v>1316</v>
      </c>
      <c r="K90" s="47" t="str">
        <f t="shared" ca="1" si="7"/>
        <v>CONTRATADO</v>
      </c>
      <c r="L90" s="51" t="s">
        <v>42</v>
      </c>
      <c r="M90" s="51" t="s">
        <v>42</v>
      </c>
      <c r="N90" s="52" t="s">
        <v>155</v>
      </c>
      <c r="O90" s="51" t="e">
        <f>VLOOKUP(N90,[2]!RUBROS[#All],3,0)</f>
        <v>#REF!</v>
      </c>
      <c r="P90" s="53" t="e">
        <f>VLOOKUP(N90,[2]!RUBROS[#All],2,0)</f>
        <v>#REF!</v>
      </c>
      <c r="Q90" s="47" t="str">
        <f t="shared" si="8"/>
        <v>00</v>
      </c>
      <c r="R90" s="47" t="str">
        <f t="shared" si="9"/>
        <v>4-205616</v>
      </c>
      <c r="S90" s="54" t="s">
        <v>42</v>
      </c>
      <c r="T90" s="59" t="s">
        <v>42</v>
      </c>
      <c r="U90" s="326" t="e">
        <f ca="1">_xlfn.XLOOKUP(PAA_4[[#This Row],[ITEM]],[2]Contrato!A:A,[2]Contrato!Q:Q,"",0)</f>
        <v>#NAME?</v>
      </c>
      <c r="V90" s="47" t="s">
        <v>95</v>
      </c>
      <c r="W90" s="47" t="s">
        <v>42</v>
      </c>
      <c r="X90" s="47" t="s">
        <v>42</v>
      </c>
      <c r="Y90" s="55" t="e">
        <f ca="1">_xlfn.XLOOKUP(PAA_4[[#This Row],[ITEM]],[2]Contrato!A:A,[2]Contrato!B:B,"",0)</f>
        <v>#NAME?</v>
      </c>
      <c r="Z90" s="47" t="e">
        <f ca="1">_xlfn.XLOOKUP(PAA_4[[#This Row],[ITEM]],[2]Contrato!A:A,[2]Contrato!G:G,"",0)</f>
        <v>#NAME?</v>
      </c>
      <c r="AA90" s="47" t="e">
        <f ca="1">_xlfn.XLOOKUP(PAA_4[[#This Row],[ITEM]],[2]Contrato!A:A,[2]Contrato!T:T,"",0)</f>
        <v>#NAME?</v>
      </c>
      <c r="AB90" s="55" t="e">
        <f ca="1">+MAX(PAA_4[[#This Row],[Comprometido Contrato]],PAA_4[[#This Row],[Comprometido Bolsa]])</f>
        <v>#NAME?</v>
      </c>
      <c r="AC90" s="55" t="str">
        <f t="shared" ca="1" si="10"/>
        <v/>
      </c>
      <c r="AD90" s="55" t="e">
        <f ca="1">IF(PAA_4[[#This Row],[ESTADO (formulado)]]="NO CONTRATADO",0,MAX(PAA_4[[#This Row],[Pago por Contrato]],PAA_4[[#This Row],[Pago por bolsa]]))</f>
        <v>#NAME?</v>
      </c>
      <c r="AE90" s="55" t="str">
        <f t="shared" ca="1" si="11"/>
        <v/>
      </c>
      <c r="AF90" s="47" t="e">
        <f t="shared" ca="1" si="12"/>
        <v>#NAME?</v>
      </c>
      <c r="AG90" s="47" t="str">
        <f t="shared" si="13"/>
        <v/>
      </c>
      <c r="AH90" s="54">
        <f>IF(Q90="22",IF(ISNUMBER(SEARCH("econ",PAA_4[[#This Row],[Actividad3]])),"Económico",IF(ISNUMBER(SEARCH("alim",PAA_4[[#This Row],[Actividad3]])),"Alimentación",IF(ISNUMBER(SEARCH("educ",PAA_4[[#This Row],[Actividad3]])),"Educativo","Técnico"))),0)</f>
        <v>0</v>
      </c>
      <c r="AI90" s="47" t="e" cm="1">
        <f t="array" aca="1" ref="AI90" ca="1">_xlfn.XLOOKUP(PAA_4[[#This Row],[RCP-RUBRO]],[2]!COMPROMISOS_2024[[#All],[concatenado]],[2]!COMPROMISOS_2024[[#All],[Total pagado]],"",0)</f>
        <v>#NAME?</v>
      </c>
      <c r="AJ90" s="56">
        <f>IF(PAA_4[[#This Row],[BOLSA]]=0,0,SUMIFS([2]!COMPROMISOS_2024[[#All],[Total pagado]],[2]!COMPROMISOS_2024[[#All],[Bolsa]],PAA_4[[#This Row],[BOLSA]],[2]!COMPROMISOS_2024[[#All],[rubro]],PAA_4[[#This Row],[RCP-RUBRO]]))</f>
        <v>0</v>
      </c>
      <c r="AK90" s="47" t="e" cm="1">
        <f t="array" aca="1" ref="AK90" ca="1">_xlfn.XLOOKUP(PAA_4[[#This Row],[RCP-RUBRO]],[2]!COMPROMISOS_2024[[#All],[concatenado]],[2]!COMPROMISOS_2024[[#All],[Total Comprometido]],"",0)</f>
        <v>#NAME?</v>
      </c>
      <c r="AL90" s="47">
        <f>IF(PAA_4[[#This Row],[BOLSA]]=0,0,SUMIFS([2]!COMPROMISOS_2024[[#All],[Total Comprometido]],[2]!COMPROMISOS_2024[[#All],[Bolsa]],PAA_4[[#This Row],[BOLSA]],[2]!COMPROMISOS_2024[[#All],[concatenado]],PAA_4[[#This Row],[RCP-RUBRO]]))</f>
        <v>0</v>
      </c>
    </row>
    <row r="91" spans="1:38" s="19" customFormat="1" ht="31.5" customHeight="1">
      <c r="A91" s="47">
        <v>29</v>
      </c>
      <c r="B91" s="47" t="s">
        <v>99</v>
      </c>
      <c r="C91" s="47" t="str">
        <f>VLOOKUP(PAA_4[[#This Row],[PROYECTO (formulado)2]],[2]PROYECTOS!$G$1:$L$32,6,0)</f>
        <v>SUBGERENCIA ADMINISTRATIVA Y FINANCIERA</v>
      </c>
      <c r="D91" s="47" t="str">
        <f>+IF(PAA_4[[#This Row],[UNIDAD DE CONTRATACION (formulado)]]="Subgerencia Administrativa y Financiera","FUNCIONAMIENTO","INVERSIÓN")</f>
        <v>FUNCIONAMIENTO</v>
      </c>
      <c r="E91" s="48" t="str">
        <f>VLOOKUP(Q91,[2]PROYECTOS!$G$1:$K$32,5,0)</f>
        <v>FUNCIONAMIENTO</v>
      </c>
      <c r="F91" s="48">
        <f>VLOOKUP(E91,[2]PROYECTOS!$K$1:$M$32,3,0)</f>
        <v>999999</v>
      </c>
      <c r="G91" s="49" t="s">
        <v>43</v>
      </c>
      <c r="H91" s="49">
        <f>VLOOKUP(Q91,[2]PROYECTOS!$V$1:$W$32,2,0)</f>
        <v>999999</v>
      </c>
      <c r="I91" s="50">
        <f>60000000-164</f>
        <v>59999836</v>
      </c>
      <c r="J91" s="51" t="s">
        <v>103</v>
      </c>
      <c r="K91" s="47" t="str">
        <f t="shared" ca="1" si="7"/>
        <v>CONTRATADO</v>
      </c>
      <c r="L91" s="51" t="s">
        <v>98</v>
      </c>
      <c r="M91" s="51" t="s">
        <v>98</v>
      </c>
      <c r="N91" s="52" t="s">
        <v>104</v>
      </c>
      <c r="O91" s="51" t="e">
        <f>VLOOKUP(N91,[2]!RUBROS[#All],3,0)</f>
        <v>#REF!</v>
      </c>
      <c r="P91" s="53" t="e">
        <f>VLOOKUP(N91,[2]!RUBROS[#All],2,0)</f>
        <v>#REF!</v>
      </c>
      <c r="Q91" s="47" t="str">
        <f t="shared" si="8"/>
        <v>00</v>
      </c>
      <c r="R91" s="47" t="str">
        <f t="shared" si="9"/>
        <v>0-205616</v>
      </c>
      <c r="S91" s="54">
        <v>8.5</v>
      </c>
      <c r="T91" s="59" t="s">
        <v>46</v>
      </c>
      <c r="U91" s="326" t="e">
        <f ca="1">_xlfn.XLOOKUP(PAA_4[[#This Row],[ITEM]],[2]Contrato!A:A,[2]Contrato!Q:Q,"",0)</f>
        <v>#NAME?</v>
      </c>
      <c r="V91" s="47" t="s">
        <v>47</v>
      </c>
      <c r="W91" s="47" t="s">
        <v>96</v>
      </c>
      <c r="X91" s="47" t="s">
        <v>102</v>
      </c>
      <c r="Y91" s="55" t="e">
        <f ca="1">_xlfn.XLOOKUP(PAA_4[[#This Row],[ITEM]],[2]Contrato!A:A,[2]Contrato!B:B,"",0)</f>
        <v>#NAME?</v>
      </c>
      <c r="Z91" s="47" t="e">
        <f ca="1">_xlfn.XLOOKUP(PAA_4[[#This Row],[ITEM]],[2]Contrato!A:A,[2]Contrato!G:G,"",0)</f>
        <v>#NAME?</v>
      </c>
      <c r="AA91" s="47" t="e">
        <f ca="1">_xlfn.XLOOKUP(PAA_4[[#This Row],[ITEM]],[2]Contrato!A:A,[2]Contrato!T:T,"",0)</f>
        <v>#NAME?</v>
      </c>
      <c r="AB91" s="55" t="e">
        <f ca="1">+MAX(PAA_4[[#This Row],[Comprometido Contrato]],PAA_4[[#This Row],[Comprometido Bolsa]])</f>
        <v>#NAME?</v>
      </c>
      <c r="AC91" s="55" t="str">
        <f t="shared" ca="1" si="10"/>
        <v/>
      </c>
      <c r="AD91" s="55" t="e">
        <f ca="1">IF(PAA_4[[#This Row],[ESTADO (formulado)]]="NO CONTRATADO",0,MAX(PAA_4[[#This Row],[Pago por Contrato]],PAA_4[[#This Row],[Pago por bolsa]]))</f>
        <v>#NAME?</v>
      </c>
      <c r="AE91" s="55" t="str">
        <f t="shared" ca="1" si="11"/>
        <v/>
      </c>
      <c r="AF91" s="47" t="e">
        <f t="shared" ca="1" si="12"/>
        <v>#NAME?</v>
      </c>
      <c r="AG91" s="47" t="str">
        <f t="shared" si="13"/>
        <v/>
      </c>
      <c r="AH91" s="54">
        <f>IF(Q91="22",IF(ISNUMBER(SEARCH("econ",PAA_4[[#This Row],[Actividad3]])),"Económico",IF(ISNUMBER(SEARCH("alim",PAA_4[[#This Row],[Actividad3]])),"Alimentación",IF(ISNUMBER(SEARCH("educ",PAA_4[[#This Row],[Actividad3]])),"Educativo","Técnico"))),0)</f>
        <v>0</v>
      </c>
      <c r="AI91" s="47" t="e" cm="1">
        <f t="array" aca="1" ref="AI91" ca="1">_xlfn.XLOOKUP(PAA_4[[#This Row],[RCP-RUBRO]],[2]!COMPROMISOS_2024[[#All],[concatenado]],[2]!COMPROMISOS_2024[[#All],[Total pagado]],"",0)</f>
        <v>#NAME?</v>
      </c>
      <c r="AJ91" s="56">
        <f>IF(PAA_4[[#This Row],[BOLSA]]=0,0,SUMIFS([2]!COMPROMISOS_2024[[#All],[Total pagado]],[2]!COMPROMISOS_2024[[#All],[Bolsa]],PAA_4[[#This Row],[BOLSA]],[2]!COMPROMISOS_2024[[#All],[rubro]],PAA_4[[#This Row],[RCP-RUBRO]]))</f>
        <v>0</v>
      </c>
      <c r="AK91" s="47" t="e" cm="1">
        <f t="array" aca="1" ref="AK91" ca="1">_xlfn.XLOOKUP(PAA_4[[#This Row],[RCP-RUBRO]],[2]!COMPROMISOS_2024[[#All],[concatenado]],[2]!COMPROMISOS_2024[[#All],[Total Comprometido]],"",0)</f>
        <v>#NAME?</v>
      </c>
      <c r="AL91" s="47">
        <f>IF(PAA_4[[#This Row],[BOLSA]]=0,0,SUMIFS([2]!COMPROMISOS_2024[[#All],[Total Comprometido]],[2]!COMPROMISOS_2024[[#All],[Bolsa]],PAA_4[[#This Row],[BOLSA]],[2]!COMPROMISOS_2024[[#All],[concatenado]],PAA_4[[#This Row],[RCP-RUBRO]]))</f>
        <v>0</v>
      </c>
    </row>
    <row r="92" spans="1:38" s="19" customFormat="1" ht="31.5" customHeight="1">
      <c r="A92" s="47" t="s">
        <v>82</v>
      </c>
      <c r="B92" s="47" t="s">
        <v>42</v>
      </c>
      <c r="C92" s="47" t="str">
        <f>VLOOKUP(PAA_4[[#This Row],[PROYECTO (formulado)2]],[2]PROYECTOS!$G$1:$L$32,6,0)</f>
        <v>SUBGERENCIA ADMINISTRATIVA Y FINANCIERA</v>
      </c>
      <c r="D92" s="47" t="str">
        <f>+IF(PAA_4[[#This Row],[UNIDAD DE CONTRATACION (formulado)]]="Subgerencia Administrativa y Financiera","FUNCIONAMIENTO","INVERSIÓN")</f>
        <v>FUNCIONAMIENTO</v>
      </c>
      <c r="E92" s="48" t="str">
        <f>VLOOKUP(Q92,[2]PROYECTOS!$G$1:$K$32,5,0)</f>
        <v>FUNCIONAMIENTO</v>
      </c>
      <c r="F92" s="48">
        <f>VLOOKUP(E92,[2]PROYECTOS!$K$1:$M$32,3,0)</f>
        <v>999999</v>
      </c>
      <c r="G92" s="49" t="s">
        <v>43</v>
      </c>
      <c r="H92" s="49">
        <f>VLOOKUP(Q92,[2]PROYECTOS!$V$1:$W$32,2,0)</f>
        <v>999999</v>
      </c>
      <c r="I92" s="50">
        <v>1134925</v>
      </c>
      <c r="J92" s="51" t="s">
        <v>1295</v>
      </c>
      <c r="K92" s="47" t="str">
        <f ca="1">IF(ISNONTEXT(Y92)=TRUE,"CONTRATADO","NO CONTRATADO")</f>
        <v>CONTRATADO</v>
      </c>
      <c r="L92" s="51" t="s">
        <v>42</v>
      </c>
      <c r="M92" s="51" t="s">
        <v>42</v>
      </c>
      <c r="N92" s="52" t="s">
        <v>1317</v>
      </c>
      <c r="O92" s="51" t="e">
        <f>VLOOKUP(N92,[2]!RUBROS[#All],3,0)</f>
        <v>#REF!</v>
      </c>
      <c r="P92" s="53" t="e">
        <f>VLOOKUP(N92,[2]!RUBROS[#All],2,0)</f>
        <v>#REF!</v>
      </c>
      <c r="Q92" s="47" t="str">
        <f>+MID(N92,11,2)</f>
        <v>00</v>
      </c>
      <c r="R92" s="47" t="str">
        <f>+MID(N92,14,8)</f>
        <v>4-205616</v>
      </c>
      <c r="S92" s="54" t="s">
        <v>42</v>
      </c>
      <c r="T92" s="59" t="s">
        <v>42</v>
      </c>
      <c r="U92" s="326" t="e">
        <f ca="1">_xlfn.XLOOKUP(PAA_4[[#This Row],[ITEM]],[2]Contrato!A:A,[2]Contrato!Q:Q,"",0)</f>
        <v>#NAME?</v>
      </c>
      <c r="V92" s="47" t="s">
        <v>95</v>
      </c>
      <c r="W92" s="47" t="s">
        <v>42</v>
      </c>
      <c r="X92" s="47" t="s">
        <v>42</v>
      </c>
      <c r="Y92" s="55" t="e">
        <f ca="1">_xlfn.XLOOKUP(PAA_4[[#This Row],[ITEM]],[2]Contrato!A:A,[2]Contrato!B:B,"",0)</f>
        <v>#NAME?</v>
      </c>
      <c r="Z92" s="47" t="e">
        <f ca="1">_xlfn.XLOOKUP(PAA_4[[#This Row],[ITEM]],[2]Contrato!A:A,[2]Contrato!G:G,"",0)</f>
        <v>#NAME?</v>
      </c>
      <c r="AA92" s="47" t="e">
        <f ca="1">_xlfn.XLOOKUP(PAA_4[[#This Row],[ITEM]],[2]Contrato!A:A,[2]Contrato!T:T,"",0)</f>
        <v>#NAME?</v>
      </c>
      <c r="AB92" s="55" t="e">
        <f ca="1">+MAX(PAA_4[[#This Row],[Comprometido Contrato]],PAA_4[[#This Row],[Comprometido Bolsa]])</f>
        <v>#NAME?</v>
      </c>
      <c r="AC92" s="55" t="str">
        <f ca="1">IFERROR(I92-AB92,"")</f>
        <v/>
      </c>
      <c r="AD92" s="55" t="e">
        <f ca="1">IF(PAA_4[[#This Row],[ESTADO (formulado)]]="NO CONTRATADO",0,MAX(PAA_4[[#This Row],[Pago por Contrato]],PAA_4[[#This Row],[Pago por bolsa]]))</f>
        <v>#NAME?</v>
      </c>
      <c r="AE92" s="55" t="str">
        <f ca="1">+IFERROR(AB92-AD92,"")</f>
        <v/>
      </c>
      <c r="AF92" s="47" t="e">
        <f ca="1">+CONCATENATE(AA92,N92)</f>
        <v>#NAME?</v>
      </c>
      <c r="AG92" s="47" t="str">
        <f>IFERROR(_xlfn.NUMBERVALUE(MID(G92,1,8)),"")</f>
        <v/>
      </c>
      <c r="AH92" s="54">
        <f>IF(Q92="22",IF(ISNUMBER(SEARCH("econ",PAA_4[[#This Row],[Actividad3]])),"Económico",IF(ISNUMBER(SEARCH("alim",PAA_4[[#This Row],[Actividad3]])),"Alimentación",IF(ISNUMBER(SEARCH("educ",PAA_4[[#This Row],[Actividad3]])),"Educativo","Técnico"))),0)</f>
        <v>0</v>
      </c>
      <c r="AI92" s="47" t="e" cm="1">
        <f t="array" aca="1" ref="AI92" ca="1">_xlfn.XLOOKUP(PAA_4[[#This Row],[RCP-RUBRO]],[2]!COMPROMISOS_2024[[#All],[concatenado]],[2]!COMPROMISOS_2024[[#All],[Total pagado]],"",0)</f>
        <v>#NAME?</v>
      </c>
      <c r="AJ92" s="56">
        <f>IF(PAA_4[[#This Row],[BOLSA]]=0,0,SUMIFS([2]!COMPROMISOS_2024[[#All],[Total pagado]],[2]!COMPROMISOS_2024[[#All],[Bolsa]],PAA_4[[#This Row],[BOLSA]],[2]!COMPROMISOS_2024[[#All],[rubro]],PAA_4[[#This Row],[RCP-RUBRO]]))</f>
        <v>0</v>
      </c>
      <c r="AK92" s="47" t="e" cm="1">
        <f t="array" aca="1" ref="AK92" ca="1">_xlfn.XLOOKUP(PAA_4[[#This Row],[RCP-RUBRO]],[2]!COMPROMISOS_2024[[#All],[concatenado]],[2]!COMPROMISOS_2024[[#All],[Total Comprometido]],"",0)</f>
        <v>#NAME?</v>
      </c>
      <c r="AL92" s="47">
        <f>IF(PAA_4[[#This Row],[BOLSA]]=0,0,SUMIFS([2]!COMPROMISOS_2024[[#All],[Total Comprometido]],[2]!COMPROMISOS_2024[[#All],[Bolsa]],PAA_4[[#This Row],[BOLSA]],[2]!COMPROMISOS_2024[[#All],[concatenado]],PAA_4[[#This Row],[RCP-RUBRO]]))</f>
        <v>0</v>
      </c>
    </row>
    <row r="93" spans="1:38" s="19" customFormat="1" ht="31.5" customHeight="1">
      <c r="A93" s="47">
        <v>30</v>
      </c>
      <c r="B93" s="47" t="s">
        <v>105</v>
      </c>
      <c r="C93" s="47" t="str">
        <f>VLOOKUP(PAA_4[[#This Row],[PROYECTO (formulado)2]],[2]PROYECTOS!$G$1:$L$32,6,0)</f>
        <v>SUBGERENCIA ADMINISTRATIVA Y FINANCIERA</v>
      </c>
      <c r="D93" s="47" t="str">
        <f>+IF(PAA_4[[#This Row],[UNIDAD DE CONTRATACION (formulado)]]="Subgerencia Administrativa y Financiera","FUNCIONAMIENTO","INVERSIÓN")</f>
        <v>FUNCIONAMIENTO</v>
      </c>
      <c r="E93" s="48" t="str">
        <f>VLOOKUP(Q93,[2]PROYECTOS!$G$1:$K$32,5,0)</f>
        <v>FUNCIONAMIENTO</v>
      </c>
      <c r="F93" s="48">
        <f>VLOOKUP(E93,[2]PROYECTOS!$K$1:$M$32,3,0)</f>
        <v>999999</v>
      </c>
      <c r="G93" s="49" t="s">
        <v>43</v>
      </c>
      <c r="H93" s="49">
        <f>VLOOKUP(Q93,[2]PROYECTOS!$V$1:$W$32,2,0)</f>
        <v>999999</v>
      </c>
      <c r="I93" s="50">
        <f>90000000-1134925</f>
        <v>88865075</v>
      </c>
      <c r="J93" s="51" t="s">
        <v>106</v>
      </c>
      <c r="K93" s="47" t="str">
        <f t="shared" ref="K93:K102" ca="1" si="14">IF(ISNONTEXT(Y93)=TRUE,"CONTRATADO","NO CONTRATADO")</f>
        <v>CONTRATADO</v>
      </c>
      <c r="L93" s="51" t="s">
        <v>264</v>
      </c>
      <c r="M93" s="51" t="s">
        <v>107</v>
      </c>
      <c r="N93" s="52" t="s">
        <v>1317</v>
      </c>
      <c r="O93" s="51" t="e">
        <f>VLOOKUP(N93,[2]!RUBROS[#All],3,0)</f>
        <v>#REF!</v>
      </c>
      <c r="P93" s="53" t="e">
        <f>VLOOKUP(N93,[2]!RUBROS[#All],2,0)</f>
        <v>#REF!</v>
      </c>
      <c r="Q93" s="47" t="str">
        <f t="shared" ref="Q93:Q102" si="15">+MID(N93,11,2)</f>
        <v>00</v>
      </c>
      <c r="R93" s="47" t="str">
        <f t="shared" ref="R93:R102" si="16">+MID(N93,14,8)</f>
        <v>4-205616</v>
      </c>
      <c r="S93" s="54">
        <v>6</v>
      </c>
      <c r="T93" s="59" t="s">
        <v>46</v>
      </c>
      <c r="U93" s="326" t="e">
        <f ca="1">_xlfn.XLOOKUP(PAA_4[[#This Row],[ITEM]],[2]Contrato!A:A,[2]Contrato!Q:Q,"",0)</f>
        <v>#NAME?</v>
      </c>
      <c r="V93" s="47" t="s">
        <v>95</v>
      </c>
      <c r="W93" s="47" t="s">
        <v>154</v>
      </c>
      <c r="X93" s="47" t="s">
        <v>154</v>
      </c>
      <c r="Y93" s="55" t="e">
        <f ca="1">_xlfn.XLOOKUP(PAA_4[[#This Row],[ITEM]],[2]Contrato!A:A,[2]Contrato!B:B,"",0)</f>
        <v>#NAME?</v>
      </c>
      <c r="Z93" s="47" t="e">
        <f ca="1">_xlfn.XLOOKUP(PAA_4[[#This Row],[ITEM]],[2]Contrato!A:A,[2]Contrato!G:G,"",0)</f>
        <v>#NAME?</v>
      </c>
      <c r="AA93" s="47" t="e">
        <f ca="1">_xlfn.XLOOKUP(PAA_4[[#This Row],[ITEM]],[2]Contrato!A:A,[2]Contrato!T:T,"",0)</f>
        <v>#NAME?</v>
      </c>
      <c r="AB93" s="55" t="e">
        <f ca="1">+MAX(PAA_4[[#This Row],[Comprometido Contrato]],PAA_4[[#This Row],[Comprometido Bolsa]])</f>
        <v>#NAME?</v>
      </c>
      <c r="AC93" s="55" t="str">
        <f t="shared" ref="AC93:AC102" ca="1" si="17">IFERROR(I93-AB93,"")</f>
        <v/>
      </c>
      <c r="AD93" s="55" t="e">
        <f ca="1">IF(PAA_4[[#This Row],[ESTADO (formulado)]]="NO CONTRATADO",0,MAX(PAA_4[[#This Row],[Pago por Contrato]],PAA_4[[#This Row],[Pago por bolsa]]))</f>
        <v>#NAME?</v>
      </c>
      <c r="AE93" s="55" t="str">
        <f t="shared" ref="AE93:AE102" ca="1" si="18">+IFERROR(AB93-AD93,"")</f>
        <v/>
      </c>
      <c r="AF93" s="47" t="e">
        <f t="shared" ref="AF93:AF102" ca="1" si="19">+CONCATENATE(AA93,N93)</f>
        <v>#NAME?</v>
      </c>
      <c r="AG93" s="47" t="str">
        <f t="shared" ref="AG93:AG102" si="20">IFERROR(_xlfn.NUMBERVALUE(MID(G93,1,8)),"")</f>
        <v/>
      </c>
      <c r="AH93" s="54">
        <f>IF(Q93="22",IF(ISNUMBER(SEARCH("econ",PAA_4[[#This Row],[Actividad3]])),"Económico",IF(ISNUMBER(SEARCH("alim",PAA_4[[#This Row],[Actividad3]])),"Alimentación",IF(ISNUMBER(SEARCH("educ",PAA_4[[#This Row],[Actividad3]])),"Educativo","Técnico"))),0)</f>
        <v>0</v>
      </c>
      <c r="AI93" s="47" t="e" cm="1">
        <f t="array" aca="1" ref="AI93" ca="1">_xlfn.XLOOKUP(PAA_4[[#This Row],[RCP-RUBRO]],[2]!COMPROMISOS_2024[[#All],[concatenado]],[2]!COMPROMISOS_2024[[#All],[Total pagado]],"",0)</f>
        <v>#NAME?</v>
      </c>
      <c r="AJ93" s="56">
        <f>IF(PAA_4[[#This Row],[BOLSA]]=0,0,SUMIFS([2]!COMPROMISOS_2024[[#All],[Total pagado]],[2]!COMPROMISOS_2024[[#All],[Bolsa]],PAA_4[[#This Row],[BOLSA]],[2]!COMPROMISOS_2024[[#All],[rubro]],PAA_4[[#This Row],[RCP-RUBRO]]))</f>
        <v>0</v>
      </c>
      <c r="AK93" s="47" t="e" cm="1">
        <f t="array" aca="1" ref="AK93" ca="1">_xlfn.XLOOKUP(PAA_4[[#This Row],[RCP-RUBRO]],[2]!COMPROMISOS_2024[[#All],[concatenado]],[2]!COMPROMISOS_2024[[#All],[Total Comprometido]],"",0)</f>
        <v>#NAME?</v>
      </c>
      <c r="AL93" s="47">
        <f>IF(PAA_4[[#This Row],[BOLSA]]=0,0,SUMIFS([2]!COMPROMISOS_2024[[#All],[Total Comprometido]],[2]!COMPROMISOS_2024[[#All],[Bolsa]],PAA_4[[#This Row],[BOLSA]],[2]!COMPROMISOS_2024[[#All],[concatenado]],PAA_4[[#This Row],[RCP-RUBRO]]))</f>
        <v>0</v>
      </c>
    </row>
    <row r="94" spans="1:38" s="19" customFormat="1" ht="31.5" customHeight="1">
      <c r="A94" s="47">
        <v>30</v>
      </c>
      <c r="B94" s="47" t="s">
        <v>105</v>
      </c>
      <c r="C94" s="47" t="str">
        <f>VLOOKUP(PAA_4[[#This Row],[PROYECTO (formulado)2]],[2]PROYECTOS!$G$1:$L$32,6,0)</f>
        <v>SUBGERENCIA ADMINISTRATIVA Y FINANCIERA</v>
      </c>
      <c r="D94" s="47" t="str">
        <f>+IF(PAA_4[[#This Row],[UNIDAD DE CONTRATACION (formulado)]]="Subgerencia Administrativa y Financiera","FUNCIONAMIENTO","INVERSIÓN")</f>
        <v>FUNCIONAMIENTO</v>
      </c>
      <c r="E94" s="48" t="str">
        <f>VLOOKUP(Q94,[2]PROYECTOS!$G$1:$K$32,5,0)</f>
        <v>FUNCIONAMIENTO</v>
      </c>
      <c r="F94" s="48">
        <f>VLOOKUP(E94,[2]PROYECTOS!$K$1:$M$32,3,0)</f>
        <v>999999</v>
      </c>
      <c r="G94" s="49" t="s">
        <v>43</v>
      </c>
      <c r="H94" s="49">
        <f>VLOOKUP(Q94,[2]PROYECTOS!$V$1:$W$32,2,0)</f>
        <v>999999</v>
      </c>
      <c r="I94" s="50">
        <v>10000000</v>
      </c>
      <c r="J94" s="51" t="s">
        <v>106</v>
      </c>
      <c r="K94" s="47" t="str">
        <f t="shared" ca="1" si="14"/>
        <v>CONTRATADO</v>
      </c>
      <c r="L94" s="51" t="s">
        <v>264</v>
      </c>
      <c r="M94" s="47" t="s">
        <v>107</v>
      </c>
      <c r="N94" s="52" t="s">
        <v>104</v>
      </c>
      <c r="O94" s="51" t="e">
        <f>VLOOKUP(N94,[2]!RUBROS[#All],3,0)</f>
        <v>#REF!</v>
      </c>
      <c r="P94" s="53" t="e">
        <f>VLOOKUP(N94,[2]!RUBROS[#All],2,0)</f>
        <v>#REF!</v>
      </c>
      <c r="Q94" s="47" t="str">
        <f t="shared" si="15"/>
        <v>00</v>
      </c>
      <c r="R94" s="47" t="str">
        <f t="shared" si="16"/>
        <v>0-205616</v>
      </c>
      <c r="S94" s="54">
        <v>8</v>
      </c>
      <c r="T94" s="59" t="s">
        <v>46</v>
      </c>
      <c r="U94" s="326" t="e">
        <f ca="1">_xlfn.XLOOKUP(PAA_4[[#This Row],[ITEM]],[2]Contrato!A:A,[2]Contrato!Q:Q,"",0)</f>
        <v>#NAME?</v>
      </c>
      <c r="V94" s="47" t="s">
        <v>47</v>
      </c>
      <c r="W94" s="47" t="s">
        <v>48</v>
      </c>
      <c r="X94" s="47" t="s">
        <v>92</v>
      </c>
      <c r="Y94" s="55" t="e">
        <f ca="1">_xlfn.XLOOKUP(PAA_4[[#This Row],[ITEM]],[2]Contrato!A:A,[2]Contrato!B:B,"",0)</f>
        <v>#NAME?</v>
      </c>
      <c r="Z94" s="47" t="e">
        <f ca="1">_xlfn.XLOOKUP(PAA_4[[#This Row],[ITEM]],[2]Contrato!A:A,[2]Contrato!G:G,"",0)</f>
        <v>#NAME?</v>
      </c>
      <c r="AA94" s="47" t="e">
        <f ca="1">_xlfn.XLOOKUP(PAA_4[[#This Row],[ITEM]],[2]Contrato!A:A,[2]Contrato!T:T,"",0)</f>
        <v>#NAME?</v>
      </c>
      <c r="AB94" s="55" t="e">
        <f ca="1">+MAX(PAA_4[[#This Row],[Comprometido Contrato]],PAA_4[[#This Row],[Comprometido Bolsa]])</f>
        <v>#NAME?</v>
      </c>
      <c r="AC94" s="55" t="str">
        <f t="shared" ca="1" si="17"/>
        <v/>
      </c>
      <c r="AD94" s="55" t="e">
        <f ca="1">IF(PAA_4[[#This Row],[ESTADO (formulado)]]="NO CONTRATADO",0,MAX(PAA_4[[#This Row],[Pago por Contrato]],PAA_4[[#This Row],[Pago por bolsa]]))</f>
        <v>#NAME?</v>
      </c>
      <c r="AE94" s="55" t="str">
        <f t="shared" ca="1" si="18"/>
        <v/>
      </c>
      <c r="AF94" s="47" t="e">
        <f t="shared" ca="1" si="19"/>
        <v>#NAME?</v>
      </c>
      <c r="AG94" s="47" t="str">
        <f t="shared" si="20"/>
        <v/>
      </c>
      <c r="AH94" s="54">
        <f>IF(Q94="22",IF(ISNUMBER(SEARCH("econ",PAA_4[[#This Row],[Actividad3]])),"Económico",IF(ISNUMBER(SEARCH("alim",PAA_4[[#This Row],[Actividad3]])),"Alimentación",IF(ISNUMBER(SEARCH("educ",PAA_4[[#This Row],[Actividad3]])),"Educativo","Técnico"))),0)</f>
        <v>0</v>
      </c>
      <c r="AI94" s="47" t="e" cm="1">
        <f t="array" aca="1" ref="AI94" ca="1">_xlfn.XLOOKUP(PAA_4[[#This Row],[RCP-RUBRO]],[2]!COMPROMISOS_2024[[#All],[concatenado]],[2]!COMPROMISOS_2024[[#All],[Total pagado]],"",0)</f>
        <v>#NAME?</v>
      </c>
      <c r="AJ94" s="56">
        <f>IF(PAA_4[[#This Row],[BOLSA]]=0,0,SUMIFS([2]!COMPROMISOS_2024[[#All],[Total pagado]],[2]!COMPROMISOS_2024[[#All],[Bolsa]],PAA_4[[#This Row],[BOLSA]],[2]!COMPROMISOS_2024[[#All],[rubro]],PAA_4[[#This Row],[RCP-RUBRO]]))</f>
        <v>0</v>
      </c>
      <c r="AK94" s="47" t="e" cm="1">
        <f t="array" aca="1" ref="AK94" ca="1">_xlfn.XLOOKUP(PAA_4[[#This Row],[RCP-RUBRO]],[2]!COMPROMISOS_2024[[#All],[concatenado]],[2]!COMPROMISOS_2024[[#All],[Total Comprometido]],"",0)</f>
        <v>#NAME?</v>
      </c>
      <c r="AL94" s="47">
        <f>IF(PAA_4[[#This Row],[BOLSA]]=0,0,SUMIFS([2]!COMPROMISOS_2024[[#All],[Total Comprometido]],[2]!COMPROMISOS_2024[[#All],[Bolsa]],PAA_4[[#This Row],[BOLSA]],[2]!COMPROMISOS_2024[[#All],[concatenado]],PAA_4[[#This Row],[RCP-RUBRO]]))</f>
        <v>0</v>
      </c>
    </row>
    <row r="95" spans="1:38" s="19" customFormat="1" ht="31.5" customHeight="1">
      <c r="A95" s="47">
        <v>31</v>
      </c>
      <c r="B95" s="47" t="s">
        <v>108</v>
      </c>
      <c r="C95" s="47" t="str">
        <f>VLOOKUP(PAA_4[[#This Row],[PROYECTO (formulado)2]],[2]PROYECTOS!$G$1:$L$32,6,0)</f>
        <v>SUBGERENCIA ADMINISTRATIVA Y FINANCIERA</v>
      </c>
      <c r="D95" s="47" t="str">
        <f>+IF(PAA_4[[#This Row],[UNIDAD DE CONTRATACION (formulado)]]="Subgerencia Administrativa y Financiera","FUNCIONAMIENTO","INVERSIÓN")</f>
        <v>FUNCIONAMIENTO</v>
      </c>
      <c r="E95" s="48" t="str">
        <f>VLOOKUP(Q95,[2]PROYECTOS!$G$1:$K$32,5,0)</f>
        <v>FUNCIONAMIENTO</v>
      </c>
      <c r="F95" s="48">
        <f>VLOOKUP(E95,[2]PROYECTOS!$K$1:$M$32,3,0)</f>
        <v>999999</v>
      </c>
      <c r="G95" s="49" t="s">
        <v>43</v>
      </c>
      <c r="H95" s="49">
        <f>VLOOKUP(Q95,[2]PROYECTOS!$V$1:$W$32,2,0)</f>
        <v>999999</v>
      </c>
      <c r="I95" s="50">
        <v>40000000</v>
      </c>
      <c r="J95" s="51" t="s">
        <v>109</v>
      </c>
      <c r="K95" s="47" t="str">
        <f t="shared" ca="1" si="14"/>
        <v>CONTRATADO</v>
      </c>
      <c r="L95" s="47" t="s">
        <v>110</v>
      </c>
      <c r="M95" s="47" t="s">
        <v>107</v>
      </c>
      <c r="N95" s="52" t="s">
        <v>104</v>
      </c>
      <c r="O95" s="51" t="e">
        <f>VLOOKUP(N95,[2]!RUBROS[#All],3,0)</f>
        <v>#REF!</v>
      </c>
      <c r="P95" s="53" t="e">
        <f>VLOOKUP(N95,[2]!RUBROS[#All],2,0)</f>
        <v>#REF!</v>
      </c>
      <c r="Q95" s="47" t="str">
        <f t="shared" si="15"/>
        <v>00</v>
      </c>
      <c r="R95" s="47" t="str">
        <f t="shared" si="16"/>
        <v>0-205616</v>
      </c>
      <c r="S95" s="54">
        <v>9</v>
      </c>
      <c r="T95" s="59" t="s">
        <v>46</v>
      </c>
      <c r="U95" s="326" t="e">
        <f ca="1">_xlfn.XLOOKUP(PAA_4[[#This Row],[ITEM]],[2]Contrato!A:A,[2]Contrato!Q:Q,"",0)</f>
        <v>#NAME?</v>
      </c>
      <c r="V95" s="47" t="s">
        <v>47</v>
      </c>
      <c r="W95" s="47" t="s">
        <v>96</v>
      </c>
      <c r="X95" s="47" t="s">
        <v>96</v>
      </c>
      <c r="Y95" s="55" t="e">
        <f ca="1">_xlfn.XLOOKUP(PAA_4[[#This Row],[ITEM]],[2]Contrato!A:A,[2]Contrato!B:B,"",0)</f>
        <v>#NAME?</v>
      </c>
      <c r="Z95" s="47" t="e">
        <f ca="1">_xlfn.XLOOKUP(PAA_4[[#This Row],[ITEM]],[2]Contrato!A:A,[2]Contrato!G:G,"",0)</f>
        <v>#NAME?</v>
      </c>
      <c r="AA95" s="47" t="e">
        <f ca="1">_xlfn.XLOOKUP(PAA_4[[#This Row],[ITEM]],[2]Contrato!A:A,[2]Contrato!T:T,"",0)</f>
        <v>#NAME?</v>
      </c>
      <c r="AB95" s="55" t="e">
        <f ca="1">+MAX(PAA_4[[#This Row],[Comprometido Contrato]],PAA_4[[#This Row],[Comprometido Bolsa]])</f>
        <v>#NAME?</v>
      </c>
      <c r="AC95" s="55" t="str">
        <f t="shared" ca="1" si="17"/>
        <v/>
      </c>
      <c r="AD95" s="55" t="e">
        <f ca="1">IF(PAA_4[[#This Row],[ESTADO (formulado)]]="NO CONTRATADO",0,MAX(PAA_4[[#This Row],[Pago por Contrato]],PAA_4[[#This Row],[Pago por bolsa]]))</f>
        <v>#NAME?</v>
      </c>
      <c r="AE95" s="55" t="str">
        <f t="shared" ca="1" si="18"/>
        <v/>
      </c>
      <c r="AF95" s="47" t="e">
        <f t="shared" ca="1" si="19"/>
        <v>#NAME?</v>
      </c>
      <c r="AG95" s="47" t="str">
        <f t="shared" si="20"/>
        <v/>
      </c>
      <c r="AH95" s="54">
        <f>IF(Q95="22",IF(ISNUMBER(SEARCH("econ",PAA_4[[#This Row],[Actividad3]])),"Económico",IF(ISNUMBER(SEARCH("alim",PAA_4[[#This Row],[Actividad3]])),"Alimentación",IF(ISNUMBER(SEARCH("educ",PAA_4[[#This Row],[Actividad3]])),"Educativo","Técnico"))),0)</f>
        <v>0</v>
      </c>
      <c r="AI95" s="47" t="e" cm="1">
        <f t="array" aca="1" ref="AI95" ca="1">_xlfn.XLOOKUP(PAA_4[[#This Row],[RCP-RUBRO]],[2]!COMPROMISOS_2024[[#All],[concatenado]],[2]!COMPROMISOS_2024[[#All],[Total pagado]],"",0)</f>
        <v>#NAME?</v>
      </c>
      <c r="AJ95" s="56">
        <f>IF(PAA_4[[#This Row],[BOLSA]]=0,0,SUMIFS([2]!COMPROMISOS_2024[[#All],[Total pagado]],[2]!COMPROMISOS_2024[[#All],[Bolsa]],PAA_4[[#This Row],[BOLSA]],[2]!COMPROMISOS_2024[[#All],[rubro]],PAA_4[[#This Row],[RCP-RUBRO]]))</f>
        <v>0</v>
      </c>
      <c r="AK95" s="47" t="e" cm="1">
        <f t="array" aca="1" ref="AK95" ca="1">_xlfn.XLOOKUP(PAA_4[[#This Row],[RCP-RUBRO]],[2]!COMPROMISOS_2024[[#All],[concatenado]],[2]!COMPROMISOS_2024[[#All],[Total Comprometido]],"",0)</f>
        <v>#NAME?</v>
      </c>
      <c r="AL95" s="47">
        <f>IF(PAA_4[[#This Row],[BOLSA]]=0,0,SUMIFS([2]!COMPROMISOS_2024[[#All],[Total Comprometido]],[2]!COMPROMISOS_2024[[#All],[Bolsa]],PAA_4[[#This Row],[BOLSA]],[2]!COMPROMISOS_2024[[#All],[concatenado]],PAA_4[[#This Row],[RCP-RUBRO]]))</f>
        <v>0</v>
      </c>
    </row>
    <row r="96" spans="1:38" s="19" customFormat="1" ht="31.5" customHeight="1">
      <c r="A96" s="47" t="s">
        <v>82</v>
      </c>
      <c r="B96" s="47" t="s">
        <v>42</v>
      </c>
      <c r="C96" s="47" t="str">
        <f>VLOOKUP(PAA_4[[#This Row],[PROYECTO (formulado)2]],[2]PROYECTOS!$G$1:$L$32,6,0)</f>
        <v>SUBGERENCIA ADMINISTRATIVA Y FINANCIERA</v>
      </c>
      <c r="D96" s="47" t="str">
        <f>+IF(PAA_4[[#This Row],[UNIDAD DE CONTRATACION (formulado)]]="Subgerencia Administrativa y Financiera","FUNCIONAMIENTO","INVERSIÓN")</f>
        <v>FUNCIONAMIENTO</v>
      </c>
      <c r="E96" s="48" t="str">
        <f>VLOOKUP(Q96,[2]PROYECTOS!$G$1:$K$32,5,0)</f>
        <v>FUNCIONAMIENTO</v>
      </c>
      <c r="F96" s="48">
        <f>VLOOKUP(E96,[2]PROYECTOS!$K$1:$M$32,3,0)</f>
        <v>999999</v>
      </c>
      <c r="G96" s="49" t="s">
        <v>43</v>
      </c>
      <c r="H96" s="49">
        <f>VLOOKUP(Q96,[2]PROYECTOS!$V$1:$W$32,2,0)</f>
        <v>999999</v>
      </c>
      <c r="I96" s="50">
        <v>10000000</v>
      </c>
      <c r="J96" s="51" t="s">
        <v>111</v>
      </c>
      <c r="K96" s="47" t="str">
        <f t="shared" ca="1" si="14"/>
        <v>CONTRATADO</v>
      </c>
      <c r="L96" s="47" t="s">
        <v>42</v>
      </c>
      <c r="M96" s="47" t="s">
        <v>42</v>
      </c>
      <c r="N96" s="52" t="s">
        <v>104</v>
      </c>
      <c r="O96" s="51" t="e">
        <f>VLOOKUP(N96,[2]!RUBROS[#All],3,0)</f>
        <v>#REF!</v>
      </c>
      <c r="P96" s="53" t="e">
        <f>VLOOKUP(N96,[2]!RUBROS[#All],2,0)</f>
        <v>#REF!</v>
      </c>
      <c r="Q96" s="47" t="str">
        <f t="shared" si="15"/>
        <v>00</v>
      </c>
      <c r="R96" s="47" t="str">
        <f t="shared" si="16"/>
        <v>0-205616</v>
      </c>
      <c r="S96" s="54" t="s">
        <v>42</v>
      </c>
      <c r="T96" s="59" t="s">
        <v>42</v>
      </c>
      <c r="U96" s="326" t="e">
        <f ca="1">_xlfn.XLOOKUP(PAA_4[[#This Row],[ITEM]],[2]Contrato!A:A,[2]Contrato!Q:Q,"",0)</f>
        <v>#NAME?</v>
      </c>
      <c r="V96" s="47" t="s">
        <v>95</v>
      </c>
      <c r="W96" s="47" t="s">
        <v>42</v>
      </c>
      <c r="X96" s="47" t="s">
        <v>42</v>
      </c>
      <c r="Y96" s="55" t="e">
        <f ca="1">_xlfn.XLOOKUP(PAA_4[[#This Row],[ITEM]],[2]Contrato!A:A,[2]Contrato!B:B,"",0)</f>
        <v>#NAME?</v>
      </c>
      <c r="Z96" s="47" t="e">
        <f ca="1">_xlfn.XLOOKUP(PAA_4[[#This Row],[ITEM]],[2]Contrato!A:A,[2]Contrato!G:G,"",0)</f>
        <v>#NAME?</v>
      </c>
      <c r="AA96" s="47" t="e">
        <f ca="1">_xlfn.XLOOKUP(PAA_4[[#This Row],[ITEM]],[2]Contrato!A:A,[2]Contrato!T:T,"",0)</f>
        <v>#NAME?</v>
      </c>
      <c r="AB96" s="55" t="e">
        <f ca="1">+MAX(PAA_4[[#This Row],[Comprometido Contrato]],PAA_4[[#This Row],[Comprometido Bolsa]])</f>
        <v>#NAME?</v>
      </c>
      <c r="AC96" s="55" t="str">
        <f t="shared" ca="1" si="17"/>
        <v/>
      </c>
      <c r="AD96" s="55" t="e">
        <f ca="1">IF(PAA_4[[#This Row],[ESTADO (formulado)]]="NO CONTRATADO",0,MAX(PAA_4[[#This Row],[Pago por Contrato]],PAA_4[[#This Row],[Pago por bolsa]]))</f>
        <v>#NAME?</v>
      </c>
      <c r="AE96" s="55" t="str">
        <f t="shared" ca="1" si="18"/>
        <v/>
      </c>
      <c r="AF96" s="47" t="e">
        <f t="shared" ca="1" si="19"/>
        <v>#NAME?</v>
      </c>
      <c r="AG96" s="47" t="str">
        <f t="shared" si="20"/>
        <v/>
      </c>
      <c r="AH96" s="54">
        <f>IF(Q96="22",IF(ISNUMBER(SEARCH("econ",PAA_4[[#This Row],[Actividad3]])),"Económico",IF(ISNUMBER(SEARCH("alim",PAA_4[[#This Row],[Actividad3]])),"Alimentación",IF(ISNUMBER(SEARCH("educ",PAA_4[[#This Row],[Actividad3]])),"Educativo","Técnico"))),0)</f>
        <v>0</v>
      </c>
      <c r="AI96" s="47" t="e" cm="1">
        <f t="array" aca="1" ref="AI96" ca="1">_xlfn.XLOOKUP(PAA_4[[#This Row],[RCP-RUBRO]],[2]!COMPROMISOS_2024[[#All],[concatenado]],[2]!COMPROMISOS_2024[[#All],[Total pagado]],"",0)</f>
        <v>#NAME?</v>
      </c>
      <c r="AJ96" s="56">
        <f>IF(PAA_4[[#This Row],[BOLSA]]=0,0,SUMIFS([2]!COMPROMISOS_2024[[#All],[Total pagado]],[2]!COMPROMISOS_2024[[#All],[Bolsa]],PAA_4[[#This Row],[BOLSA]],[2]!COMPROMISOS_2024[[#All],[rubro]],PAA_4[[#This Row],[RCP-RUBRO]]))</f>
        <v>0</v>
      </c>
      <c r="AK96" s="47" t="e" cm="1">
        <f t="array" aca="1" ref="AK96" ca="1">_xlfn.XLOOKUP(PAA_4[[#This Row],[RCP-RUBRO]],[2]!COMPROMISOS_2024[[#All],[concatenado]],[2]!COMPROMISOS_2024[[#All],[Total Comprometido]],"",0)</f>
        <v>#NAME?</v>
      </c>
      <c r="AL96" s="47">
        <f>IF(PAA_4[[#This Row],[BOLSA]]=0,0,SUMIFS([2]!COMPROMISOS_2024[[#All],[Total Comprometido]],[2]!COMPROMISOS_2024[[#All],[Bolsa]],PAA_4[[#This Row],[BOLSA]],[2]!COMPROMISOS_2024[[#All],[concatenado]],PAA_4[[#This Row],[RCP-RUBRO]]))</f>
        <v>0</v>
      </c>
    </row>
    <row r="97" spans="1:38" s="19" customFormat="1" ht="31.5" customHeight="1">
      <c r="A97" s="47">
        <v>590</v>
      </c>
      <c r="B97" s="47" t="s">
        <v>112</v>
      </c>
      <c r="C97" s="47" t="str">
        <f>VLOOKUP(PAA_4[[#This Row],[PROYECTO (formulado)2]],[2]PROYECTOS!$G$1:$L$32,6,0)</f>
        <v>SUBGERENCIA ADMINISTRATIVA Y FINANCIERA</v>
      </c>
      <c r="D97" s="47" t="str">
        <f>+IF(PAA_4[[#This Row],[UNIDAD DE CONTRATACION (formulado)]]="Subgerencia Administrativa y Financiera","FUNCIONAMIENTO","INVERSIÓN")</f>
        <v>FUNCIONAMIENTO</v>
      </c>
      <c r="E97" s="48" t="str">
        <f>VLOOKUP(Q97,[2]PROYECTOS!$G$1:$K$32,5,0)</f>
        <v>FUNCIONAMIENTO</v>
      </c>
      <c r="F97" s="48">
        <f>VLOOKUP(E97,[2]PROYECTOS!$K$1:$M$32,3,0)</f>
        <v>999999</v>
      </c>
      <c r="G97" s="49" t="s">
        <v>43</v>
      </c>
      <c r="H97" s="49">
        <f>VLOOKUP(Q97,[2]PROYECTOS!$V$1:$W$32,2,0)</f>
        <v>999999</v>
      </c>
      <c r="I97" s="50">
        <f>50000000-2</f>
        <v>49999998</v>
      </c>
      <c r="J97" s="51" t="s">
        <v>1318</v>
      </c>
      <c r="K97" s="47" t="str">
        <f t="shared" ca="1" si="14"/>
        <v>CONTRATADO</v>
      </c>
      <c r="L97" s="47" t="s">
        <v>113</v>
      </c>
      <c r="M97" s="47" t="s">
        <v>107</v>
      </c>
      <c r="N97" s="52" t="s">
        <v>104</v>
      </c>
      <c r="O97" s="51" t="e">
        <f>VLOOKUP(N97,[2]!RUBROS[#All],3,0)</f>
        <v>#REF!</v>
      </c>
      <c r="P97" s="53" t="e">
        <f>VLOOKUP(N97,[2]!RUBROS[#All],2,0)</f>
        <v>#REF!</v>
      </c>
      <c r="Q97" s="47" t="str">
        <f t="shared" si="15"/>
        <v>00</v>
      </c>
      <c r="R97" s="47" t="str">
        <f t="shared" si="16"/>
        <v>0-205616</v>
      </c>
      <c r="S97" s="54">
        <v>8</v>
      </c>
      <c r="T97" s="59" t="s">
        <v>46</v>
      </c>
      <c r="U97" s="326" t="e">
        <f ca="1">_xlfn.XLOOKUP(PAA_4[[#This Row],[ITEM]],[2]Contrato!A:A,[2]Contrato!Q:Q,"",0)</f>
        <v>#NAME?</v>
      </c>
      <c r="V97" s="47" t="s">
        <v>95</v>
      </c>
      <c r="W97" s="47" t="s">
        <v>102</v>
      </c>
      <c r="X97" s="47" t="s">
        <v>102</v>
      </c>
      <c r="Y97" s="55" t="e">
        <f ca="1">_xlfn.XLOOKUP(PAA_4[[#This Row],[ITEM]],[2]Contrato!A:A,[2]Contrato!B:B,"",0)</f>
        <v>#NAME?</v>
      </c>
      <c r="Z97" s="47" t="e">
        <f ca="1">_xlfn.XLOOKUP(PAA_4[[#This Row],[ITEM]],[2]Contrato!A:A,[2]Contrato!G:G,"",0)</f>
        <v>#NAME?</v>
      </c>
      <c r="AA97" s="47" t="e">
        <f ca="1">_xlfn.XLOOKUP(PAA_4[[#This Row],[ITEM]],[2]Contrato!A:A,[2]Contrato!T:T,"",0)</f>
        <v>#NAME?</v>
      </c>
      <c r="AB97" s="55" t="e">
        <f ca="1">+MAX(PAA_4[[#This Row],[Comprometido Contrato]],PAA_4[[#This Row],[Comprometido Bolsa]])</f>
        <v>#NAME?</v>
      </c>
      <c r="AC97" s="55" t="str">
        <f t="shared" ca="1" si="17"/>
        <v/>
      </c>
      <c r="AD97" s="55" t="e">
        <f ca="1">IF(PAA_4[[#This Row],[ESTADO (formulado)]]="NO CONTRATADO",0,MAX(PAA_4[[#This Row],[Pago por Contrato]],PAA_4[[#This Row],[Pago por bolsa]]))</f>
        <v>#NAME?</v>
      </c>
      <c r="AE97" s="55" t="str">
        <f t="shared" ca="1" si="18"/>
        <v/>
      </c>
      <c r="AF97" s="47" t="e">
        <f t="shared" ca="1" si="19"/>
        <v>#NAME?</v>
      </c>
      <c r="AG97" s="47" t="str">
        <f t="shared" si="20"/>
        <v/>
      </c>
      <c r="AH97" s="54">
        <f>IF(Q97="22",IF(ISNUMBER(SEARCH("econ",PAA_4[[#This Row],[Actividad3]])),"Económico",IF(ISNUMBER(SEARCH("alim",PAA_4[[#This Row],[Actividad3]])),"Alimentación",IF(ISNUMBER(SEARCH("educ",PAA_4[[#This Row],[Actividad3]])),"Educativo","Técnico"))),0)</f>
        <v>0</v>
      </c>
      <c r="AI97" s="47" t="e" cm="1">
        <f t="array" aca="1" ref="AI97" ca="1">_xlfn.XLOOKUP(PAA_4[[#This Row],[RCP-RUBRO]],[2]!COMPROMISOS_2024[[#All],[concatenado]],[2]!COMPROMISOS_2024[[#All],[Total pagado]],"",0)</f>
        <v>#NAME?</v>
      </c>
      <c r="AJ97" s="56">
        <f>IF(PAA_4[[#This Row],[BOLSA]]=0,0,SUMIFS([2]!COMPROMISOS_2024[[#All],[Total pagado]],[2]!COMPROMISOS_2024[[#All],[Bolsa]],PAA_4[[#This Row],[BOLSA]],[2]!COMPROMISOS_2024[[#All],[rubro]],PAA_4[[#This Row],[RCP-RUBRO]]))</f>
        <v>0</v>
      </c>
      <c r="AK97" s="47" t="e" cm="1">
        <f t="array" aca="1" ref="AK97" ca="1">_xlfn.XLOOKUP(PAA_4[[#This Row],[RCP-RUBRO]],[2]!COMPROMISOS_2024[[#All],[concatenado]],[2]!COMPROMISOS_2024[[#All],[Total Comprometido]],"",0)</f>
        <v>#NAME?</v>
      </c>
      <c r="AL97" s="47">
        <f>IF(PAA_4[[#This Row],[BOLSA]]=0,0,SUMIFS([2]!COMPROMISOS_2024[[#All],[Total Comprometido]],[2]!COMPROMISOS_2024[[#All],[Bolsa]],PAA_4[[#This Row],[BOLSA]],[2]!COMPROMISOS_2024[[#All],[concatenado]],PAA_4[[#This Row],[RCP-RUBRO]]))</f>
        <v>0</v>
      </c>
    </row>
    <row r="98" spans="1:38" s="19" customFormat="1" ht="31.5" customHeight="1">
      <c r="A98" s="47" t="s">
        <v>82</v>
      </c>
      <c r="B98" s="47" t="s">
        <v>42</v>
      </c>
      <c r="C98" s="47" t="str">
        <f>VLOOKUP(PAA_4[[#This Row],[PROYECTO (formulado)2]],[2]PROYECTOS!$G$1:$L$32,6,0)</f>
        <v>SUBGERENCIA ADMINISTRATIVA Y FINANCIERA</v>
      </c>
      <c r="D98" s="47" t="str">
        <f>+IF(PAA_4[[#This Row],[UNIDAD DE CONTRATACION (formulado)]]="Subgerencia Administrativa y Financiera","FUNCIONAMIENTO","INVERSIÓN")</f>
        <v>FUNCIONAMIENTO</v>
      </c>
      <c r="E98" s="48" t="str">
        <f>VLOOKUP(Q98,[2]PROYECTOS!$G$1:$K$32,5,0)</f>
        <v>FUNCIONAMIENTO</v>
      </c>
      <c r="F98" s="48">
        <f>VLOOKUP(E98,[2]PROYECTOS!$K$1:$M$32,3,0)</f>
        <v>999999</v>
      </c>
      <c r="G98" s="49" t="s">
        <v>43</v>
      </c>
      <c r="H98" s="49">
        <f>VLOOKUP(Q98,[2]PROYECTOS!$V$1:$W$32,2,0)</f>
        <v>999999</v>
      </c>
      <c r="I98" s="50">
        <v>28352020</v>
      </c>
      <c r="J98" s="51" t="s">
        <v>1309</v>
      </c>
      <c r="K98" s="47" t="str">
        <f t="shared" ca="1" si="14"/>
        <v>CONTRATADO</v>
      </c>
      <c r="L98" s="47" t="s">
        <v>42</v>
      </c>
      <c r="M98" s="47" t="s">
        <v>42</v>
      </c>
      <c r="N98" s="52" t="s">
        <v>114</v>
      </c>
      <c r="O98" s="51" t="e">
        <f>VLOOKUP(N98,[2]!RUBROS[#All],3,0)</f>
        <v>#REF!</v>
      </c>
      <c r="P98" s="53" t="e">
        <f>VLOOKUP(N98,[2]!RUBROS[#All],2,0)</f>
        <v>#REF!</v>
      </c>
      <c r="Q98" s="47" t="str">
        <f t="shared" si="15"/>
        <v>00</v>
      </c>
      <c r="R98" s="47" t="str">
        <f t="shared" si="16"/>
        <v>0-205616</v>
      </c>
      <c r="S98" s="54" t="s">
        <v>42</v>
      </c>
      <c r="T98" s="59" t="s">
        <v>42</v>
      </c>
      <c r="U98" s="326" t="e">
        <f ca="1">_xlfn.XLOOKUP(PAA_4[[#This Row],[ITEM]],[2]Contrato!A:A,[2]Contrato!Q:Q,"",0)</f>
        <v>#NAME?</v>
      </c>
      <c r="V98" s="47" t="s">
        <v>42</v>
      </c>
      <c r="W98" s="47" t="s">
        <v>42</v>
      </c>
      <c r="X98" s="47" t="s">
        <v>42</v>
      </c>
      <c r="Y98" s="55" t="e">
        <f ca="1">_xlfn.XLOOKUP(PAA_4[[#This Row],[ITEM]],[2]Contrato!A:A,[2]Contrato!B:B,"",0)</f>
        <v>#NAME?</v>
      </c>
      <c r="Z98" s="47" t="e">
        <f ca="1">_xlfn.XLOOKUP(PAA_4[[#This Row],[ITEM]],[2]Contrato!A:A,[2]Contrato!G:G,"",0)</f>
        <v>#NAME?</v>
      </c>
      <c r="AA98" s="47" t="e">
        <f ca="1">_xlfn.XLOOKUP(PAA_4[[#This Row],[ITEM]],[2]Contrato!A:A,[2]Contrato!T:T,"",0)</f>
        <v>#NAME?</v>
      </c>
      <c r="AB98" s="55" t="e">
        <f ca="1">+MAX(PAA_4[[#This Row],[Comprometido Contrato]],PAA_4[[#This Row],[Comprometido Bolsa]])</f>
        <v>#NAME?</v>
      </c>
      <c r="AC98" s="55" t="str">
        <f t="shared" ca="1" si="17"/>
        <v/>
      </c>
      <c r="AD98" s="55" t="e">
        <f ca="1">IF(PAA_4[[#This Row],[ESTADO (formulado)]]="NO CONTRATADO",0,MAX(PAA_4[[#This Row],[Pago por Contrato]],PAA_4[[#This Row],[Pago por bolsa]]))</f>
        <v>#NAME?</v>
      </c>
      <c r="AE98" s="55" t="str">
        <f t="shared" ca="1" si="18"/>
        <v/>
      </c>
      <c r="AF98" s="47" t="e">
        <f t="shared" ca="1" si="19"/>
        <v>#NAME?</v>
      </c>
      <c r="AG98" s="47" t="str">
        <f t="shared" si="20"/>
        <v/>
      </c>
      <c r="AH98" s="54">
        <f>IF(Q98="22",IF(ISNUMBER(SEARCH("econ",PAA_4[[#This Row],[Actividad3]])),"Económico",IF(ISNUMBER(SEARCH("alim",PAA_4[[#This Row],[Actividad3]])),"Alimentación",IF(ISNUMBER(SEARCH("educ",PAA_4[[#This Row],[Actividad3]])),"Educativo","Técnico"))),0)</f>
        <v>0</v>
      </c>
      <c r="AI98" s="47" t="e" cm="1">
        <f t="array" aca="1" ref="AI98" ca="1">_xlfn.XLOOKUP(PAA_4[[#This Row],[RCP-RUBRO]],[2]!COMPROMISOS_2024[[#All],[concatenado]],[2]!COMPROMISOS_2024[[#All],[Total pagado]],"",0)</f>
        <v>#NAME?</v>
      </c>
      <c r="AJ98" s="56">
        <f>IF(PAA_4[[#This Row],[BOLSA]]=0,0,SUMIFS([2]!COMPROMISOS_2024[[#All],[Total pagado]],[2]!COMPROMISOS_2024[[#All],[Bolsa]],PAA_4[[#This Row],[BOLSA]],[2]!COMPROMISOS_2024[[#All],[rubro]],PAA_4[[#This Row],[RCP-RUBRO]]))</f>
        <v>0</v>
      </c>
      <c r="AK98" s="47" t="e" cm="1">
        <f t="array" aca="1" ref="AK98" ca="1">_xlfn.XLOOKUP(PAA_4[[#This Row],[RCP-RUBRO]],[2]!COMPROMISOS_2024[[#All],[concatenado]],[2]!COMPROMISOS_2024[[#All],[Total Comprometido]],"",0)</f>
        <v>#NAME?</v>
      </c>
      <c r="AL98" s="47">
        <f>IF(PAA_4[[#This Row],[BOLSA]]=0,0,SUMIFS([2]!COMPROMISOS_2024[[#All],[Total Comprometido]],[2]!COMPROMISOS_2024[[#All],[Bolsa]],PAA_4[[#This Row],[BOLSA]],[2]!COMPROMISOS_2024[[#All],[concatenado]],PAA_4[[#This Row],[RCP-RUBRO]]))</f>
        <v>0</v>
      </c>
    </row>
    <row r="99" spans="1:38" s="19" customFormat="1" ht="31.5" customHeight="1">
      <c r="A99" s="47">
        <v>32</v>
      </c>
      <c r="B99" s="47" t="s">
        <v>1319</v>
      </c>
      <c r="C99" s="47" t="str">
        <f>VLOOKUP(PAA_4[[#This Row],[PROYECTO (formulado)2]],[2]PROYECTOS!$G$1:$L$32,6,0)</f>
        <v>SUBGERENCIA ADMINISTRATIVA Y FINANCIERA</v>
      </c>
      <c r="D99" s="47" t="str">
        <f>+IF(PAA_4[[#This Row],[UNIDAD DE CONTRATACION (formulado)]]="Subgerencia Administrativa y Financiera","FUNCIONAMIENTO","INVERSIÓN")</f>
        <v>FUNCIONAMIENTO</v>
      </c>
      <c r="E99" s="48" t="str">
        <f>VLOOKUP(Q99,[2]PROYECTOS!$G$1:$K$32,5,0)</f>
        <v>FUNCIONAMIENTO</v>
      </c>
      <c r="F99" s="48">
        <f>VLOOKUP(E99,[2]PROYECTOS!$K$1:$M$32,3,0)</f>
        <v>999999</v>
      </c>
      <c r="G99" s="49" t="s">
        <v>43</v>
      </c>
      <c r="H99" s="49">
        <f>VLOOKUP(Q99,[2]PROYECTOS!$V$1:$W$32,2,0)</f>
        <v>999999</v>
      </c>
      <c r="I99" s="50">
        <f>200000000-28352020</f>
        <v>171647980</v>
      </c>
      <c r="J99" s="51" t="s">
        <v>1320</v>
      </c>
      <c r="K99" s="47" t="str">
        <f t="shared" ca="1" si="14"/>
        <v>CONTRATADO</v>
      </c>
      <c r="L99" s="47" t="s">
        <v>125</v>
      </c>
      <c r="M99" s="47" t="s">
        <v>89</v>
      </c>
      <c r="N99" s="52" t="s">
        <v>114</v>
      </c>
      <c r="O99" s="51" t="e">
        <f>VLOOKUP(N99,[2]!RUBROS[#All],3,0)</f>
        <v>#REF!</v>
      </c>
      <c r="P99" s="53" t="e">
        <f>VLOOKUP(N99,[2]!RUBROS[#All],2,0)</f>
        <v>#REF!</v>
      </c>
      <c r="Q99" s="47" t="str">
        <f t="shared" si="15"/>
        <v>00</v>
      </c>
      <c r="R99" s="47" t="str">
        <f t="shared" si="16"/>
        <v>0-205616</v>
      </c>
      <c r="S99" s="54">
        <v>4.5</v>
      </c>
      <c r="T99" s="59" t="s">
        <v>46</v>
      </c>
      <c r="U99" s="326" t="e">
        <f ca="1">_xlfn.XLOOKUP(PAA_4[[#This Row],[ITEM]],[2]Contrato!A:A,[2]Contrato!Q:Q,"",0)</f>
        <v>#NAME?</v>
      </c>
      <c r="V99" s="47" t="s">
        <v>47</v>
      </c>
      <c r="W99" s="47" t="s">
        <v>193</v>
      </c>
      <c r="X99" s="47" t="s">
        <v>194</v>
      </c>
      <c r="Y99" s="55" t="e">
        <f ca="1">_xlfn.XLOOKUP(PAA_4[[#This Row],[ITEM]],[2]Contrato!A:A,[2]Contrato!B:B,"",0)</f>
        <v>#NAME?</v>
      </c>
      <c r="Z99" s="47" t="e">
        <f ca="1">_xlfn.XLOOKUP(PAA_4[[#This Row],[ITEM]],[2]Contrato!A:A,[2]Contrato!G:G,"",0)</f>
        <v>#NAME?</v>
      </c>
      <c r="AA99" s="47" t="e">
        <f ca="1">_xlfn.XLOOKUP(PAA_4[[#This Row],[ITEM]],[2]Contrato!A:A,[2]Contrato!T:T,"",0)</f>
        <v>#NAME?</v>
      </c>
      <c r="AB99" s="55" t="e">
        <f ca="1">+MAX(PAA_4[[#This Row],[Comprometido Contrato]],PAA_4[[#This Row],[Comprometido Bolsa]])</f>
        <v>#NAME?</v>
      </c>
      <c r="AC99" s="55" t="str">
        <f t="shared" ca="1" si="17"/>
        <v/>
      </c>
      <c r="AD99" s="55" t="e">
        <f ca="1">IF(PAA_4[[#This Row],[ESTADO (formulado)]]="NO CONTRATADO",0,MAX(PAA_4[[#This Row],[Pago por Contrato]],PAA_4[[#This Row],[Pago por bolsa]]))</f>
        <v>#NAME?</v>
      </c>
      <c r="AE99" s="55" t="str">
        <f t="shared" ca="1" si="18"/>
        <v/>
      </c>
      <c r="AF99" s="47" t="e">
        <f t="shared" ca="1" si="19"/>
        <v>#NAME?</v>
      </c>
      <c r="AG99" s="47" t="str">
        <f t="shared" si="20"/>
        <v/>
      </c>
      <c r="AH99" s="54">
        <f>IF(Q99="22",IF(ISNUMBER(SEARCH("econ",PAA_4[[#This Row],[Actividad3]])),"Económico",IF(ISNUMBER(SEARCH("alim",PAA_4[[#This Row],[Actividad3]])),"Alimentación",IF(ISNUMBER(SEARCH("educ",PAA_4[[#This Row],[Actividad3]])),"Educativo","Técnico"))),0)</f>
        <v>0</v>
      </c>
      <c r="AI99" s="47" t="e" cm="1">
        <f t="array" aca="1" ref="AI99" ca="1">_xlfn.XLOOKUP(PAA_4[[#This Row],[RCP-RUBRO]],[2]!COMPROMISOS_2024[[#All],[concatenado]],[2]!COMPROMISOS_2024[[#All],[Total pagado]],"",0)</f>
        <v>#NAME?</v>
      </c>
      <c r="AJ99" s="56">
        <f>IF(PAA_4[[#This Row],[BOLSA]]=0,0,SUMIFS([2]!COMPROMISOS_2024[[#All],[Total pagado]],[2]!COMPROMISOS_2024[[#All],[Bolsa]],PAA_4[[#This Row],[BOLSA]],[2]!COMPROMISOS_2024[[#All],[rubro]],PAA_4[[#This Row],[RCP-RUBRO]]))</f>
        <v>0</v>
      </c>
      <c r="AK99" s="47" t="e" cm="1">
        <f t="array" aca="1" ref="AK99" ca="1">_xlfn.XLOOKUP(PAA_4[[#This Row],[RCP-RUBRO]],[2]!COMPROMISOS_2024[[#All],[concatenado]],[2]!COMPROMISOS_2024[[#All],[Total Comprometido]],"",0)</f>
        <v>#NAME?</v>
      </c>
      <c r="AL99" s="47">
        <f>IF(PAA_4[[#This Row],[BOLSA]]=0,0,SUMIFS([2]!COMPROMISOS_2024[[#All],[Total Comprometido]],[2]!COMPROMISOS_2024[[#All],[Bolsa]],PAA_4[[#This Row],[BOLSA]],[2]!COMPROMISOS_2024[[#All],[concatenado]],PAA_4[[#This Row],[RCP-RUBRO]]))</f>
        <v>0</v>
      </c>
    </row>
    <row r="100" spans="1:38" s="19" customFormat="1" ht="31.5" customHeight="1">
      <c r="A100" s="47">
        <v>33</v>
      </c>
      <c r="B100" s="47">
        <v>72101500</v>
      </c>
      <c r="C100" s="47" t="str">
        <f>VLOOKUP(PAA_4[[#This Row],[PROYECTO (formulado)2]],[2]PROYECTOS!$G$1:$L$32,6,0)</f>
        <v>SUBGERENCIA ADMINISTRATIVA Y FINANCIERA</v>
      </c>
      <c r="D100" s="47" t="str">
        <f>+IF(PAA_4[[#This Row],[UNIDAD DE CONTRATACION (formulado)]]="Subgerencia Administrativa y Financiera","FUNCIONAMIENTO","INVERSIÓN")</f>
        <v>FUNCIONAMIENTO</v>
      </c>
      <c r="E100" s="48" t="str">
        <f>VLOOKUP(Q100,[2]PROYECTOS!$G$1:$K$32,5,0)</f>
        <v>FUNCIONAMIENTO</v>
      </c>
      <c r="F100" s="48">
        <f>VLOOKUP(E100,[2]PROYECTOS!$K$1:$M$32,3,0)</f>
        <v>999999</v>
      </c>
      <c r="G100" s="49" t="s">
        <v>43</v>
      </c>
      <c r="H100" s="49">
        <f>VLOOKUP(Q100,[2]PROYECTOS!$V$1:$W$32,2,0)</f>
        <v>999999</v>
      </c>
      <c r="I100" s="50">
        <v>10000000</v>
      </c>
      <c r="J100" s="51" t="s">
        <v>1321</v>
      </c>
      <c r="K100" s="47" t="str">
        <f t="shared" ca="1" si="14"/>
        <v>CONTRATADO</v>
      </c>
      <c r="L100" s="47" t="s">
        <v>88</v>
      </c>
      <c r="M100" s="47" t="s">
        <v>89</v>
      </c>
      <c r="N100" s="52" t="s">
        <v>115</v>
      </c>
      <c r="O100" s="51" t="e">
        <f>VLOOKUP(N100,[2]!RUBROS[#All],3,0)</f>
        <v>#REF!</v>
      </c>
      <c r="P100" s="53" t="e">
        <f>VLOOKUP(N100,[2]!RUBROS[#All],2,0)</f>
        <v>#REF!</v>
      </c>
      <c r="Q100" s="47" t="str">
        <f t="shared" si="15"/>
        <v>00</v>
      </c>
      <c r="R100" s="47" t="str">
        <f t="shared" si="16"/>
        <v>0-205616</v>
      </c>
      <c r="S100" s="54">
        <v>11</v>
      </c>
      <c r="T100" s="59" t="s">
        <v>46</v>
      </c>
      <c r="U100" s="326" t="e">
        <f ca="1">_xlfn.XLOOKUP(PAA_4[[#This Row],[ITEM]],[2]Contrato!A:A,[2]Contrato!Q:Q,"",0)</f>
        <v>#NAME?</v>
      </c>
      <c r="V100" s="47" t="s">
        <v>47</v>
      </c>
      <c r="W100" s="47" t="s">
        <v>48</v>
      </c>
      <c r="X100" s="47" t="s">
        <v>92</v>
      </c>
      <c r="Y100" s="55" t="e">
        <f ca="1">_xlfn.XLOOKUP(PAA_4[[#This Row],[ITEM]],[2]Contrato!A:A,[2]Contrato!B:B,"",0)</f>
        <v>#NAME?</v>
      </c>
      <c r="Z100" s="47" t="e">
        <f ca="1">_xlfn.XLOOKUP(PAA_4[[#This Row],[ITEM]],[2]Contrato!A:A,[2]Contrato!G:G,"",0)</f>
        <v>#NAME?</v>
      </c>
      <c r="AA100" s="47" t="e">
        <f ca="1">_xlfn.XLOOKUP(PAA_4[[#This Row],[ITEM]],[2]Contrato!A:A,[2]Contrato!T:T,"",0)</f>
        <v>#NAME?</v>
      </c>
      <c r="AB100" s="55" t="e">
        <f ca="1">+MAX(PAA_4[[#This Row],[Comprometido Contrato]],PAA_4[[#This Row],[Comprometido Bolsa]])</f>
        <v>#NAME?</v>
      </c>
      <c r="AC100" s="55" t="str">
        <f t="shared" ca="1" si="17"/>
        <v/>
      </c>
      <c r="AD100" s="55" t="e">
        <f ca="1">IF(PAA_4[[#This Row],[ESTADO (formulado)]]="NO CONTRATADO",0,MAX(PAA_4[[#This Row],[Pago por Contrato]],PAA_4[[#This Row],[Pago por bolsa]]))</f>
        <v>#NAME?</v>
      </c>
      <c r="AE100" s="55" t="str">
        <f t="shared" ca="1" si="18"/>
        <v/>
      </c>
      <c r="AF100" s="47" t="e">
        <f t="shared" ca="1" si="19"/>
        <v>#NAME?</v>
      </c>
      <c r="AG100" s="47" t="str">
        <f t="shared" si="20"/>
        <v/>
      </c>
      <c r="AH100" s="54">
        <f>IF(Q100="22",IF(ISNUMBER(SEARCH("econ",PAA_4[[#This Row],[Actividad3]])),"Económico",IF(ISNUMBER(SEARCH("alim",PAA_4[[#This Row],[Actividad3]])),"Alimentación",IF(ISNUMBER(SEARCH("educ",PAA_4[[#This Row],[Actividad3]])),"Educativo","Técnico"))),0)</f>
        <v>0</v>
      </c>
      <c r="AI100" s="47" t="e" cm="1">
        <f t="array" aca="1" ref="AI100" ca="1">_xlfn.XLOOKUP(PAA_4[[#This Row],[RCP-RUBRO]],[2]!COMPROMISOS_2024[[#All],[concatenado]],[2]!COMPROMISOS_2024[[#All],[Total pagado]],"",0)</f>
        <v>#NAME?</v>
      </c>
      <c r="AJ100" s="56">
        <f>IF(PAA_4[[#This Row],[BOLSA]]=0,0,SUMIFS([2]!COMPROMISOS_2024[[#All],[Total pagado]],[2]!COMPROMISOS_2024[[#All],[Bolsa]],PAA_4[[#This Row],[BOLSA]],[2]!COMPROMISOS_2024[[#All],[rubro]],PAA_4[[#This Row],[RCP-RUBRO]]))</f>
        <v>0</v>
      </c>
      <c r="AK100" s="47" t="e" cm="1">
        <f t="array" aca="1" ref="AK100" ca="1">_xlfn.XLOOKUP(PAA_4[[#This Row],[RCP-RUBRO]],[2]!COMPROMISOS_2024[[#All],[concatenado]],[2]!COMPROMISOS_2024[[#All],[Total Comprometido]],"",0)</f>
        <v>#NAME?</v>
      </c>
      <c r="AL100" s="47">
        <f>IF(PAA_4[[#This Row],[BOLSA]]=0,0,SUMIFS([2]!COMPROMISOS_2024[[#All],[Total Comprometido]],[2]!COMPROMISOS_2024[[#All],[Bolsa]],PAA_4[[#This Row],[BOLSA]],[2]!COMPROMISOS_2024[[#All],[concatenado]],PAA_4[[#This Row],[RCP-RUBRO]]))</f>
        <v>0</v>
      </c>
    </row>
    <row r="101" spans="1:38" s="19" customFormat="1" ht="31.5" customHeight="1">
      <c r="A101" s="47">
        <v>34</v>
      </c>
      <c r="B101" s="47">
        <v>76111501</v>
      </c>
      <c r="C101" s="47" t="str">
        <f>VLOOKUP(PAA_4[[#This Row],[PROYECTO (formulado)2]],[2]PROYECTOS!$G$1:$L$32,6,0)</f>
        <v>SUBGERENCIA ADMINISTRATIVA Y FINANCIERA</v>
      </c>
      <c r="D101" s="47" t="str">
        <f>+IF(PAA_4[[#This Row],[UNIDAD DE CONTRATACION (formulado)]]="Subgerencia Administrativa y Financiera","FUNCIONAMIENTO","INVERSIÓN")</f>
        <v>FUNCIONAMIENTO</v>
      </c>
      <c r="E101" s="48" t="str">
        <f>VLOOKUP(Q101,[2]PROYECTOS!$G$1:$K$32,5,0)</f>
        <v>FUNCIONAMIENTO</v>
      </c>
      <c r="F101" s="48">
        <f>VLOOKUP(E101,[2]PROYECTOS!$K$1:$M$32,3,0)</f>
        <v>999999</v>
      </c>
      <c r="G101" s="49" t="s">
        <v>43</v>
      </c>
      <c r="H101" s="49">
        <f>VLOOKUP(Q101,[2]PROYECTOS!$V$1:$W$32,2,0)</f>
        <v>999999</v>
      </c>
      <c r="I101" s="50">
        <f>500000000-16416864</f>
        <v>483583136</v>
      </c>
      <c r="J101" s="51" t="s">
        <v>116</v>
      </c>
      <c r="K101" s="47" t="str">
        <f t="shared" ca="1" si="14"/>
        <v>CONTRATADO</v>
      </c>
      <c r="L101" s="47" t="s">
        <v>117</v>
      </c>
      <c r="M101" s="47" t="s">
        <v>89</v>
      </c>
      <c r="N101" s="52" t="s">
        <v>90</v>
      </c>
      <c r="O101" s="51" t="e">
        <f>VLOOKUP(N101,[2]!RUBROS[#All],3,0)</f>
        <v>#REF!</v>
      </c>
      <c r="P101" s="53" t="e">
        <f>VLOOKUP(N101,[2]!RUBROS[#All],2,0)</f>
        <v>#REF!</v>
      </c>
      <c r="Q101" s="47" t="str">
        <f t="shared" si="15"/>
        <v>00</v>
      </c>
      <c r="R101" s="47" t="str">
        <f t="shared" si="16"/>
        <v>0-205616</v>
      </c>
      <c r="S101" s="54">
        <v>7</v>
      </c>
      <c r="T101" s="59" t="s">
        <v>46</v>
      </c>
      <c r="U101" s="326" t="e">
        <f ca="1">_xlfn.XLOOKUP(PAA_4[[#This Row],[ITEM]],[2]Contrato!A:A,[2]Contrato!Q:Q,"",0)</f>
        <v>#NAME?</v>
      </c>
      <c r="V101" s="47" t="s">
        <v>47</v>
      </c>
      <c r="W101" s="47" t="s">
        <v>96</v>
      </c>
      <c r="X101" s="47" t="s">
        <v>102</v>
      </c>
      <c r="Y101" s="55" t="e">
        <f ca="1">_xlfn.XLOOKUP(PAA_4[[#This Row],[ITEM]],[2]Contrato!A:A,[2]Contrato!B:B,"",0)</f>
        <v>#NAME?</v>
      </c>
      <c r="Z101" s="47" t="e">
        <f ca="1">_xlfn.XLOOKUP(PAA_4[[#This Row],[ITEM]],[2]Contrato!A:A,[2]Contrato!G:G,"",0)</f>
        <v>#NAME?</v>
      </c>
      <c r="AA101" s="47" t="e">
        <f ca="1">_xlfn.XLOOKUP(PAA_4[[#This Row],[ITEM]],[2]Contrato!A:A,[2]Contrato!T:T,"",0)</f>
        <v>#NAME?</v>
      </c>
      <c r="AB101" s="55" t="e">
        <f ca="1">+MAX(PAA_4[[#This Row],[Comprometido Contrato]],PAA_4[[#This Row],[Comprometido Bolsa]])</f>
        <v>#NAME?</v>
      </c>
      <c r="AC101" s="55" t="str">
        <f t="shared" ca="1" si="17"/>
        <v/>
      </c>
      <c r="AD101" s="55" t="e">
        <f ca="1">IF(PAA_4[[#This Row],[ESTADO (formulado)]]="NO CONTRATADO",0,MAX(PAA_4[[#This Row],[Pago por Contrato]],PAA_4[[#This Row],[Pago por bolsa]]))</f>
        <v>#NAME?</v>
      </c>
      <c r="AE101" s="55" t="str">
        <f t="shared" ca="1" si="18"/>
        <v/>
      </c>
      <c r="AF101" s="47" t="e">
        <f t="shared" ca="1" si="19"/>
        <v>#NAME?</v>
      </c>
      <c r="AG101" s="47" t="str">
        <f t="shared" si="20"/>
        <v/>
      </c>
      <c r="AH101" s="54">
        <f>IF(Q101="22",IF(ISNUMBER(SEARCH("econ",PAA_4[[#This Row],[Actividad3]])),"Económico",IF(ISNUMBER(SEARCH("alim",PAA_4[[#This Row],[Actividad3]])),"Alimentación",IF(ISNUMBER(SEARCH("educ",PAA_4[[#This Row],[Actividad3]])),"Educativo","Técnico"))),0)</f>
        <v>0</v>
      </c>
      <c r="AI101" s="47" t="e" cm="1">
        <f t="array" aca="1" ref="AI101" ca="1">_xlfn.XLOOKUP(PAA_4[[#This Row],[RCP-RUBRO]],[2]!COMPROMISOS_2024[[#All],[concatenado]],[2]!COMPROMISOS_2024[[#All],[Total pagado]],"",0)</f>
        <v>#NAME?</v>
      </c>
      <c r="AJ101" s="56">
        <f>IF(PAA_4[[#This Row],[BOLSA]]=0,0,SUMIFS([2]!COMPROMISOS_2024[[#All],[Total pagado]],[2]!COMPROMISOS_2024[[#All],[Bolsa]],PAA_4[[#This Row],[BOLSA]],[2]!COMPROMISOS_2024[[#All],[rubro]],PAA_4[[#This Row],[RCP-RUBRO]]))</f>
        <v>0</v>
      </c>
      <c r="AK101" s="47" t="e" cm="1">
        <f t="array" aca="1" ref="AK101" ca="1">_xlfn.XLOOKUP(PAA_4[[#This Row],[RCP-RUBRO]],[2]!COMPROMISOS_2024[[#All],[concatenado]],[2]!COMPROMISOS_2024[[#All],[Total Comprometido]],"",0)</f>
        <v>#NAME?</v>
      </c>
      <c r="AL101" s="47">
        <f>IF(PAA_4[[#This Row],[BOLSA]]=0,0,SUMIFS([2]!COMPROMISOS_2024[[#All],[Total Comprometido]],[2]!COMPROMISOS_2024[[#All],[Bolsa]],PAA_4[[#This Row],[BOLSA]],[2]!COMPROMISOS_2024[[#All],[concatenado]],PAA_4[[#This Row],[RCP-RUBRO]]))</f>
        <v>0</v>
      </c>
    </row>
    <row r="102" spans="1:38" s="19" customFormat="1" ht="31.5" customHeight="1">
      <c r="A102" s="47">
        <v>1307</v>
      </c>
      <c r="B102" s="47">
        <v>80111600</v>
      </c>
      <c r="C102" s="47" t="str">
        <f>VLOOKUP(PAA_4[[#This Row],[PROYECTO (formulado)2]],[2]PROYECTOS!$G$1:$L$32,6,0)</f>
        <v>SUBGERENCIA ADMINISTRATIVA Y FINANCIERA</v>
      </c>
      <c r="D102" s="47" t="str">
        <f>+IF(PAA_4[[#This Row],[UNIDAD DE CONTRATACION (formulado)]]="Subgerencia Administrativa y Financiera","FUNCIONAMIENTO","INVERSIÓN")</f>
        <v>FUNCIONAMIENTO</v>
      </c>
      <c r="E102" s="48" t="str">
        <f>VLOOKUP(Q102,[2]PROYECTOS!$G$1:$K$32,5,0)</f>
        <v>FUNCIONAMIENTO</v>
      </c>
      <c r="F102" s="48">
        <f>VLOOKUP(E102,[2]PROYECTOS!$K$1:$M$32,3,0)</f>
        <v>999999</v>
      </c>
      <c r="G102" s="49" t="s">
        <v>43</v>
      </c>
      <c r="H102" s="49">
        <f>VLOOKUP(Q102,[2]PROYECTOS!$V$1:$W$32,2,0)</f>
        <v>999999</v>
      </c>
      <c r="I102" s="50">
        <v>3439540</v>
      </c>
      <c r="J102" s="51" t="s">
        <v>1322</v>
      </c>
      <c r="K102" s="47" t="str">
        <f t="shared" ca="1" si="14"/>
        <v>CONTRATADO</v>
      </c>
      <c r="L102" s="47" t="s">
        <v>78</v>
      </c>
      <c r="M102" s="47" t="s">
        <v>1297</v>
      </c>
      <c r="N102" s="52" t="s">
        <v>90</v>
      </c>
      <c r="O102" s="51" t="e">
        <f>VLOOKUP(N102,[2]!RUBROS[#All],3,0)</f>
        <v>#REF!</v>
      </c>
      <c r="P102" s="53" t="e">
        <f>VLOOKUP(N102,[2]!RUBROS[#All],2,0)</f>
        <v>#REF!</v>
      </c>
      <c r="Q102" s="47" t="str">
        <f t="shared" si="15"/>
        <v>00</v>
      </c>
      <c r="R102" s="47" t="str">
        <f t="shared" si="16"/>
        <v>0-205616</v>
      </c>
      <c r="S102" s="54">
        <v>15</v>
      </c>
      <c r="T102" s="59" t="s">
        <v>120</v>
      </c>
      <c r="U102" s="326" t="e">
        <f ca="1">_xlfn.XLOOKUP(PAA_4[[#This Row],[ITEM]],[2]Contrato!A:A,[2]Contrato!Q:Q,"",0)</f>
        <v>#NAME?</v>
      </c>
      <c r="V102" s="47" t="s">
        <v>47</v>
      </c>
      <c r="W102" s="47" t="s">
        <v>200</v>
      </c>
      <c r="X102" s="47" t="s">
        <v>200</v>
      </c>
      <c r="Y102" s="55" t="e">
        <f ca="1">_xlfn.XLOOKUP(PAA_4[[#This Row],[ITEM]],[2]Contrato!A:A,[2]Contrato!B:B,"",0)</f>
        <v>#NAME?</v>
      </c>
      <c r="Z102" s="47" t="e">
        <f ca="1">_xlfn.XLOOKUP(PAA_4[[#This Row],[ITEM]],[2]Contrato!A:A,[2]Contrato!G:G,"",0)</f>
        <v>#NAME?</v>
      </c>
      <c r="AA102" s="47" t="e">
        <f ca="1">_xlfn.XLOOKUP(PAA_4[[#This Row],[ITEM]],[2]Contrato!A:A,[2]Contrato!T:T,"",0)</f>
        <v>#NAME?</v>
      </c>
      <c r="AB102" s="55" t="e">
        <f ca="1">+MAX(PAA_4[[#This Row],[Comprometido Contrato]],PAA_4[[#This Row],[Comprometido Bolsa]])</f>
        <v>#NAME?</v>
      </c>
      <c r="AC102" s="55" t="str">
        <f t="shared" ca="1" si="17"/>
        <v/>
      </c>
      <c r="AD102" s="55" t="e">
        <f ca="1">IF(PAA_4[[#This Row],[ESTADO (formulado)]]="NO CONTRATADO",0,MAX(PAA_4[[#This Row],[Pago por Contrato]],PAA_4[[#This Row],[Pago por bolsa]]))</f>
        <v>#NAME?</v>
      </c>
      <c r="AE102" s="55" t="str">
        <f t="shared" ca="1" si="18"/>
        <v/>
      </c>
      <c r="AF102" s="47" t="e">
        <f t="shared" ca="1" si="19"/>
        <v>#NAME?</v>
      </c>
      <c r="AG102" s="47" t="str">
        <f t="shared" si="20"/>
        <v/>
      </c>
      <c r="AH102" s="54">
        <f>IF(Q102="22",IF(ISNUMBER(SEARCH("econ",PAA_4[[#This Row],[Actividad3]])),"Económico",IF(ISNUMBER(SEARCH("alim",PAA_4[[#This Row],[Actividad3]])),"Alimentación",IF(ISNUMBER(SEARCH("educ",PAA_4[[#This Row],[Actividad3]])),"Educativo","Técnico"))),0)</f>
        <v>0</v>
      </c>
      <c r="AI102" s="47" t="e" cm="1">
        <f t="array" aca="1" ref="AI102" ca="1">_xlfn.XLOOKUP(PAA_4[[#This Row],[RCP-RUBRO]],[2]!COMPROMISOS_2024[[#All],[concatenado]],[2]!COMPROMISOS_2024[[#All],[Total pagado]],"",0)</f>
        <v>#NAME?</v>
      </c>
      <c r="AJ102" s="56">
        <f>IF(PAA_4[[#This Row],[BOLSA]]=0,0,SUMIFS([2]!COMPROMISOS_2024[[#All],[Total pagado]],[2]!COMPROMISOS_2024[[#All],[Bolsa]],PAA_4[[#This Row],[BOLSA]],[2]!COMPROMISOS_2024[[#All],[rubro]],PAA_4[[#This Row],[RCP-RUBRO]]))</f>
        <v>0</v>
      </c>
      <c r="AK102" s="47" t="e" cm="1">
        <f t="array" aca="1" ref="AK102" ca="1">_xlfn.XLOOKUP(PAA_4[[#This Row],[RCP-RUBRO]],[2]!COMPROMISOS_2024[[#All],[concatenado]],[2]!COMPROMISOS_2024[[#All],[Total Comprometido]],"",0)</f>
        <v>#NAME?</v>
      </c>
      <c r="AL102" s="47">
        <f>IF(PAA_4[[#This Row],[BOLSA]]=0,0,SUMIFS([2]!COMPROMISOS_2024[[#All],[Total Comprometido]],[2]!COMPROMISOS_2024[[#All],[Bolsa]],PAA_4[[#This Row],[BOLSA]],[2]!COMPROMISOS_2024[[#All],[concatenado]],PAA_4[[#This Row],[RCP-RUBRO]]))</f>
        <v>0</v>
      </c>
    </row>
    <row r="103" spans="1:38" s="19" customFormat="1" ht="31.5" customHeight="1">
      <c r="A103" s="47" t="s">
        <v>82</v>
      </c>
      <c r="B103" s="47" t="s">
        <v>42</v>
      </c>
      <c r="C103" s="47" t="str">
        <f>VLOOKUP(PAA_4[[#This Row],[PROYECTO (formulado)2]],[2]PROYECTOS!$G$1:$L$32,6,0)</f>
        <v>SUBGERENCIA ADMINISTRATIVA Y FINANCIERA</v>
      </c>
      <c r="D103" s="47" t="str">
        <f>+IF(PAA_4[[#This Row],[UNIDAD DE CONTRATACION (formulado)]]="Subgerencia Administrativa y Financiera","FUNCIONAMIENTO","INVERSIÓN")</f>
        <v>FUNCIONAMIENTO</v>
      </c>
      <c r="E103" s="48" t="str">
        <f>VLOOKUP(Q103,[2]PROYECTOS!$G$1:$K$32,5,0)</f>
        <v>FUNCIONAMIENTO</v>
      </c>
      <c r="F103" s="48">
        <f>VLOOKUP(E103,[2]PROYECTOS!$K$1:$M$32,3,0)</f>
        <v>999999</v>
      </c>
      <c r="G103" s="49" t="s">
        <v>43</v>
      </c>
      <c r="H103" s="49">
        <f>VLOOKUP(Q103,[2]PROYECTOS!$V$1:$W$32,2,0)</f>
        <v>999999</v>
      </c>
      <c r="I103" s="50">
        <v>66475</v>
      </c>
      <c r="J103" s="51" t="s">
        <v>1323</v>
      </c>
      <c r="K103" s="47" t="str">
        <f ca="1">IF(ISNONTEXT(Y103)=TRUE,"CONTRATADO","NO CONTRATADO")</f>
        <v>CONTRATADO</v>
      </c>
      <c r="L103" s="47" t="s">
        <v>42</v>
      </c>
      <c r="M103" s="47" t="s">
        <v>42</v>
      </c>
      <c r="N103" s="52" t="s">
        <v>90</v>
      </c>
      <c r="O103" s="51" t="e">
        <f>VLOOKUP(N103,[2]!RUBROS[#All],3,0)</f>
        <v>#REF!</v>
      </c>
      <c r="P103" s="53" t="e">
        <f>VLOOKUP(N103,[2]!RUBROS[#All],2,0)</f>
        <v>#REF!</v>
      </c>
      <c r="Q103" s="47" t="str">
        <f>+MID(N103,11,2)</f>
        <v>00</v>
      </c>
      <c r="R103" s="47" t="str">
        <f>+MID(N103,14,8)</f>
        <v>0-205616</v>
      </c>
      <c r="S103" s="54" t="s">
        <v>42</v>
      </c>
      <c r="T103" s="59" t="s">
        <v>42</v>
      </c>
      <c r="U103" s="326" t="e">
        <f ca="1">_xlfn.XLOOKUP(PAA_4[[#This Row],[ITEM]],[2]Contrato!A:A,[2]Contrato!Q:Q,"",0)</f>
        <v>#NAME?</v>
      </c>
      <c r="V103" s="47" t="s">
        <v>95</v>
      </c>
      <c r="W103" s="47" t="s">
        <v>42</v>
      </c>
      <c r="X103" s="47" t="s">
        <v>42</v>
      </c>
      <c r="Y103" s="55" t="e">
        <f ca="1">_xlfn.XLOOKUP(PAA_4[[#This Row],[ITEM]],[2]Contrato!A:A,[2]Contrato!B:B,"",0)</f>
        <v>#NAME?</v>
      </c>
      <c r="Z103" s="47" t="e">
        <f ca="1">_xlfn.XLOOKUP(PAA_4[[#This Row],[ITEM]],[2]Contrato!A:A,[2]Contrato!G:G,"",0)</f>
        <v>#NAME?</v>
      </c>
      <c r="AA103" s="47" t="e">
        <f ca="1">_xlfn.XLOOKUP(PAA_4[[#This Row],[ITEM]],[2]Contrato!A:A,[2]Contrato!T:T,"",0)</f>
        <v>#NAME?</v>
      </c>
      <c r="AB103" s="55" t="e">
        <f ca="1">+MAX(PAA_4[[#This Row],[Comprometido Contrato]],PAA_4[[#This Row],[Comprometido Bolsa]])</f>
        <v>#NAME?</v>
      </c>
      <c r="AC103" s="55" t="str">
        <f ca="1">IFERROR(I103-AB103,"")</f>
        <v/>
      </c>
      <c r="AD103" s="55" t="e">
        <f ca="1">IF(PAA_4[[#This Row],[ESTADO (formulado)]]="NO CONTRATADO",0,MAX(PAA_4[[#This Row],[Pago por Contrato]],PAA_4[[#This Row],[Pago por bolsa]]))</f>
        <v>#NAME?</v>
      </c>
      <c r="AE103" s="55" t="str">
        <f ca="1">+IFERROR(AB103-AD103,"")</f>
        <v/>
      </c>
      <c r="AF103" s="47" t="e">
        <f ca="1">+CONCATENATE(AA103,N103)</f>
        <v>#NAME?</v>
      </c>
      <c r="AG103" s="47" t="str">
        <f>IFERROR(_xlfn.NUMBERVALUE(MID(G103,1,8)),"")</f>
        <v/>
      </c>
      <c r="AH103" s="54">
        <f>IF(Q103="22",IF(ISNUMBER(SEARCH("econ",PAA_4[[#This Row],[Actividad3]])),"Económico",IF(ISNUMBER(SEARCH("alim",PAA_4[[#This Row],[Actividad3]])),"Alimentación",IF(ISNUMBER(SEARCH("educ",PAA_4[[#This Row],[Actividad3]])),"Educativo","Técnico"))),0)</f>
        <v>0</v>
      </c>
      <c r="AI103" s="47" t="e" cm="1">
        <f t="array" aca="1" ref="AI103" ca="1">_xlfn.XLOOKUP(PAA_4[[#This Row],[RCP-RUBRO]],[2]!COMPROMISOS_2024[[#All],[concatenado]],[2]!COMPROMISOS_2024[[#All],[Total pagado]],"",0)</f>
        <v>#NAME?</v>
      </c>
      <c r="AJ103" s="56">
        <f>IF(PAA_4[[#This Row],[BOLSA]]=0,0,SUMIFS([2]!COMPROMISOS_2024[[#All],[Total pagado]],[2]!COMPROMISOS_2024[[#All],[Bolsa]],PAA_4[[#This Row],[BOLSA]],[2]!COMPROMISOS_2024[[#All],[rubro]],PAA_4[[#This Row],[RCP-RUBRO]]))</f>
        <v>0</v>
      </c>
      <c r="AK103" s="47" t="e" cm="1">
        <f t="array" aca="1" ref="AK103" ca="1">_xlfn.XLOOKUP(PAA_4[[#This Row],[RCP-RUBRO]],[2]!COMPROMISOS_2024[[#All],[concatenado]],[2]!COMPROMISOS_2024[[#All],[Total Comprometido]],"",0)</f>
        <v>#NAME?</v>
      </c>
      <c r="AL103" s="47">
        <f>IF(PAA_4[[#This Row],[BOLSA]]=0,0,SUMIFS([2]!COMPROMISOS_2024[[#All],[Total Comprometido]],[2]!COMPROMISOS_2024[[#All],[Bolsa]],PAA_4[[#This Row],[BOLSA]],[2]!COMPROMISOS_2024[[#All],[concatenado]],PAA_4[[#This Row],[RCP-RUBRO]]))</f>
        <v>0</v>
      </c>
    </row>
    <row r="104" spans="1:38" s="19" customFormat="1" ht="31.5" customHeight="1">
      <c r="A104" s="47" t="s">
        <v>1324</v>
      </c>
      <c r="B104" s="47">
        <v>92101501</v>
      </c>
      <c r="C104" s="47" t="str">
        <f>VLOOKUP(PAA_4[[#This Row],[PROYECTO (formulado)2]],[2]PROYECTOS!$G$1:$L$32,6,0)</f>
        <v>SUBGERENCIA ADMINISTRATIVA Y FINANCIERA</v>
      </c>
      <c r="D104" s="47" t="str">
        <f>+IF(PAA_4[[#This Row],[UNIDAD DE CONTRATACION (formulado)]]="Subgerencia Administrativa y Financiera","FUNCIONAMIENTO","INVERSIÓN")</f>
        <v>FUNCIONAMIENTO</v>
      </c>
      <c r="E104" s="48" t="str">
        <f>VLOOKUP(Q104,[2]PROYECTOS!$G$1:$K$32,5,0)</f>
        <v>FUNCIONAMIENTO</v>
      </c>
      <c r="F104" s="48">
        <f>VLOOKUP(E104,[2]PROYECTOS!$K$1:$M$32,3,0)</f>
        <v>999999</v>
      </c>
      <c r="G104" s="49" t="s">
        <v>43</v>
      </c>
      <c r="H104" s="49">
        <f>VLOOKUP(Q104,[2]PROYECTOS!$V$1:$W$32,2,0)</f>
        <v>999999</v>
      </c>
      <c r="I104" s="50">
        <f>27820832-66475</f>
        <v>27754357</v>
      </c>
      <c r="J104" s="51" t="s">
        <v>1282</v>
      </c>
      <c r="K104" s="47" t="str">
        <f t="shared" ref="K104:K114" ca="1" si="21">IF(ISNONTEXT(Y104)=TRUE,"CONTRATADO","NO CONTRATADO")</f>
        <v>CONTRATADO</v>
      </c>
      <c r="L104" s="47" t="s">
        <v>78</v>
      </c>
      <c r="M104" s="47" t="s">
        <v>494</v>
      </c>
      <c r="N104" s="52" t="s">
        <v>90</v>
      </c>
      <c r="O104" s="51" t="e">
        <f>VLOOKUP(N104,[2]!RUBROS[#All],3,0)</f>
        <v>#REF!</v>
      </c>
      <c r="P104" s="53" t="e">
        <f>VLOOKUP(N104,[2]!RUBROS[#All],2,0)</f>
        <v>#REF!</v>
      </c>
      <c r="Q104" s="47" t="str">
        <f t="shared" ref="Q104:Q114" si="22">+MID(N104,11,2)</f>
        <v>00</v>
      </c>
      <c r="R104" s="47" t="str">
        <f t="shared" ref="R104:R114" si="23">+MID(N104,14,8)</f>
        <v>0-205616</v>
      </c>
      <c r="S104" s="54">
        <v>1</v>
      </c>
      <c r="T104" s="59" t="s">
        <v>46</v>
      </c>
      <c r="U104" s="326" t="e">
        <f ca="1">_xlfn.XLOOKUP(PAA_4[[#This Row],[ITEM]],[2]Contrato!A:A,[2]Contrato!Q:Q,"",0)</f>
        <v>#NAME?</v>
      </c>
      <c r="V104" s="47" t="s">
        <v>47</v>
      </c>
      <c r="W104" s="47" t="s">
        <v>200</v>
      </c>
      <c r="X104" s="47" t="s">
        <v>200</v>
      </c>
      <c r="Y104" s="55" t="e">
        <f ca="1">_xlfn.XLOOKUP(PAA_4[[#This Row],[ITEM]],[2]Contrato!A:A,[2]Contrato!B:B,"",0)</f>
        <v>#NAME?</v>
      </c>
      <c r="Z104" s="47" t="e">
        <f ca="1">_xlfn.XLOOKUP(PAA_4[[#This Row],[ITEM]],[2]Contrato!A:A,[2]Contrato!G:G,"",0)</f>
        <v>#NAME?</v>
      </c>
      <c r="AA104" s="47" t="e">
        <f ca="1">_xlfn.XLOOKUP(PAA_4[[#This Row],[ITEM]],[2]Contrato!A:A,[2]Contrato!T:T,"",0)</f>
        <v>#NAME?</v>
      </c>
      <c r="AB104" s="55" t="e">
        <f ca="1">+MAX(PAA_4[[#This Row],[Comprometido Contrato]],PAA_4[[#This Row],[Comprometido Bolsa]])</f>
        <v>#NAME?</v>
      </c>
      <c r="AC104" s="55" t="str">
        <f t="shared" ref="AC104:AC114" ca="1" si="24">IFERROR(I104-AB104,"")</f>
        <v/>
      </c>
      <c r="AD104" s="55" t="e">
        <f ca="1">IF(PAA_4[[#This Row],[ESTADO (formulado)]]="NO CONTRATADO",0,MAX(PAA_4[[#This Row],[Pago por Contrato]],PAA_4[[#This Row],[Pago por bolsa]]))</f>
        <v>#NAME?</v>
      </c>
      <c r="AE104" s="55" t="str">
        <f t="shared" ref="AE104:AE114" ca="1" si="25">+IFERROR(AB104-AD104,"")</f>
        <v/>
      </c>
      <c r="AF104" s="47" t="e">
        <f t="shared" ref="AF104:AF114" ca="1" si="26">+CONCATENATE(AA104,N104)</f>
        <v>#NAME?</v>
      </c>
      <c r="AG104" s="47" t="str">
        <f t="shared" ref="AG104:AG114" si="27">IFERROR(_xlfn.NUMBERVALUE(MID(G104,1,8)),"")</f>
        <v/>
      </c>
      <c r="AH104" s="54">
        <f>IF(Q104="22",IF(ISNUMBER(SEARCH("econ",PAA_4[[#This Row],[Actividad3]])),"Económico",IF(ISNUMBER(SEARCH("alim",PAA_4[[#This Row],[Actividad3]])),"Alimentación",IF(ISNUMBER(SEARCH("educ",PAA_4[[#This Row],[Actividad3]])),"Educativo","Técnico"))),0)</f>
        <v>0</v>
      </c>
      <c r="AI104" s="47" t="e" cm="1">
        <f t="array" aca="1" ref="AI104" ca="1">_xlfn.XLOOKUP(PAA_4[[#This Row],[RCP-RUBRO]],[2]!COMPROMISOS_2024[[#All],[concatenado]],[2]!COMPROMISOS_2024[[#All],[Total pagado]],"",0)</f>
        <v>#NAME?</v>
      </c>
      <c r="AJ104" s="56">
        <f>IF(PAA_4[[#This Row],[BOLSA]]=0,0,SUMIFS([2]!COMPROMISOS_2024[[#All],[Total pagado]],[2]!COMPROMISOS_2024[[#All],[Bolsa]],PAA_4[[#This Row],[BOLSA]],[2]!COMPROMISOS_2024[[#All],[rubro]],PAA_4[[#This Row],[RCP-RUBRO]]))</f>
        <v>0</v>
      </c>
      <c r="AK104" s="47" t="e" cm="1">
        <f t="array" aca="1" ref="AK104" ca="1">_xlfn.XLOOKUP(PAA_4[[#This Row],[RCP-RUBRO]],[2]!COMPROMISOS_2024[[#All],[concatenado]],[2]!COMPROMISOS_2024[[#All],[Total Comprometido]],"",0)</f>
        <v>#NAME?</v>
      </c>
      <c r="AL104" s="47">
        <f>IF(PAA_4[[#This Row],[BOLSA]]=0,0,SUMIFS([2]!COMPROMISOS_2024[[#All],[Total Comprometido]],[2]!COMPROMISOS_2024[[#All],[Bolsa]],PAA_4[[#This Row],[BOLSA]],[2]!COMPROMISOS_2024[[#All],[concatenado]],PAA_4[[#This Row],[RCP-RUBRO]]))</f>
        <v>0</v>
      </c>
    </row>
    <row r="105" spans="1:38" s="19" customFormat="1" ht="31.5" customHeight="1">
      <c r="A105" s="47" t="s">
        <v>82</v>
      </c>
      <c r="B105" s="47" t="s">
        <v>42</v>
      </c>
      <c r="C105" s="47" t="str">
        <f>VLOOKUP(PAA_4[[#This Row],[PROYECTO (formulado)2]],[2]PROYECTOS!$G$1:$L$32,6,0)</f>
        <v>SUBGERENCIA ADMINISTRATIVA Y FINANCIERA</v>
      </c>
      <c r="D105" s="47" t="str">
        <f>+IF(PAA_4[[#This Row],[UNIDAD DE CONTRATACION (formulado)]]="Subgerencia Administrativa y Financiera","FUNCIONAMIENTO","INVERSIÓN")</f>
        <v>FUNCIONAMIENTO</v>
      </c>
      <c r="E105" s="48" t="str">
        <f>VLOOKUP(Q105,[2]PROYECTOS!$G$1:$K$32,5,0)</f>
        <v>FUNCIONAMIENTO</v>
      </c>
      <c r="F105" s="48">
        <f>VLOOKUP(E105,[2]PROYECTOS!$K$1:$M$32,3,0)</f>
        <v>999999</v>
      </c>
      <c r="G105" s="49" t="s">
        <v>43</v>
      </c>
      <c r="H105" s="49">
        <f>VLOOKUP(Q105,[2]PROYECTOS!$V$1:$W$32,2,0)</f>
        <v>999999</v>
      </c>
      <c r="I105" s="50">
        <v>0</v>
      </c>
      <c r="J105" s="51" t="s">
        <v>1325</v>
      </c>
      <c r="K105" s="47" t="str">
        <f t="shared" ca="1" si="21"/>
        <v>CONTRATADO</v>
      </c>
      <c r="L105" s="47" t="s">
        <v>42</v>
      </c>
      <c r="M105" s="47" t="s">
        <v>42</v>
      </c>
      <c r="N105" s="52" t="s">
        <v>90</v>
      </c>
      <c r="O105" s="51" t="e">
        <f>VLOOKUP(N105,[2]!RUBROS[#All],3,0)</f>
        <v>#REF!</v>
      </c>
      <c r="P105" s="53" t="e">
        <f>VLOOKUP(N105,[2]!RUBROS[#All],2,0)</f>
        <v>#REF!</v>
      </c>
      <c r="Q105" s="47" t="str">
        <f t="shared" si="22"/>
        <v>00</v>
      </c>
      <c r="R105" s="47" t="str">
        <f t="shared" si="23"/>
        <v>0-205616</v>
      </c>
      <c r="S105" s="54" t="s">
        <v>42</v>
      </c>
      <c r="T105" s="59" t="s">
        <v>42</v>
      </c>
      <c r="U105" s="326" t="e">
        <f ca="1">_xlfn.XLOOKUP(PAA_4[[#This Row],[ITEM]],[2]Contrato!A:A,[2]Contrato!Q:Q,"",0)</f>
        <v>#NAME?</v>
      </c>
      <c r="V105" s="47" t="s">
        <v>47</v>
      </c>
      <c r="W105" s="47" t="s">
        <v>42</v>
      </c>
      <c r="X105" s="47" t="s">
        <v>42</v>
      </c>
      <c r="Y105" s="55" t="e">
        <f ca="1">_xlfn.XLOOKUP(PAA_4[[#This Row],[ITEM]],[2]Contrato!A:A,[2]Contrato!B:B,"",0)</f>
        <v>#NAME?</v>
      </c>
      <c r="Z105" s="47" t="e">
        <f ca="1">_xlfn.XLOOKUP(PAA_4[[#This Row],[ITEM]],[2]Contrato!A:A,[2]Contrato!G:G,"",0)</f>
        <v>#NAME?</v>
      </c>
      <c r="AA105" s="47" t="e">
        <f ca="1">_xlfn.XLOOKUP(PAA_4[[#This Row],[ITEM]],[2]Contrato!A:A,[2]Contrato!T:T,"",0)</f>
        <v>#NAME?</v>
      </c>
      <c r="AB105" s="55" t="e">
        <f ca="1">+MAX(PAA_4[[#This Row],[Comprometido Contrato]],PAA_4[[#This Row],[Comprometido Bolsa]])</f>
        <v>#NAME?</v>
      </c>
      <c r="AC105" s="55" t="str">
        <f t="shared" ca="1" si="24"/>
        <v/>
      </c>
      <c r="AD105" s="55" t="e">
        <f ca="1">IF(PAA_4[[#This Row],[ESTADO (formulado)]]="NO CONTRATADO",0,MAX(PAA_4[[#This Row],[Pago por Contrato]],PAA_4[[#This Row],[Pago por bolsa]]))</f>
        <v>#NAME?</v>
      </c>
      <c r="AE105" s="55" t="str">
        <f t="shared" ca="1" si="25"/>
        <v/>
      </c>
      <c r="AF105" s="47" t="e">
        <f t="shared" ca="1" si="26"/>
        <v>#NAME?</v>
      </c>
      <c r="AG105" s="47" t="str">
        <f t="shared" si="27"/>
        <v/>
      </c>
      <c r="AH105" s="54">
        <f>IF(Q105="22",IF(ISNUMBER(SEARCH("econ",PAA_4[[#This Row],[Actividad3]])),"Económico",IF(ISNUMBER(SEARCH("alim",PAA_4[[#This Row],[Actividad3]])),"Alimentación",IF(ISNUMBER(SEARCH("educ",PAA_4[[#This Row],[Actividad3]])),"Educativo","Técnico"))),0)</f>
        <v>0</v>
      </c>
      <c r="AI105" s="47" t="e" cm="1">
        <f t="array" aca="1" ref="AI105" ca="1">_xlfn.XLOOKUP(PAA_4[[#This Row],[RCP-RUBRO]],[2]!COMPROMISOS_2024[[#All],[concatenado]],[2]!COMPROMISOS_2024[[#All],[Total pagado]],"",0)</f>
        <v>#NAME?</v>
      </c>
      <c r="AJ105" s="56">
        <f>IF(PAA_4[[#This Row],[BOLSA]]=0,0,SUMIFS([2]!COMPROMISOS_2024[[#All],[Total pagado]],[2]!COMPROMISOS_2024[[#All],[Bolsa]],PAA_4[[#This Row],[BOLSA]],[2]!COMPROMISOS_2024[[#All],[rubro]],PAA_4[[#This Row],[RCP-RUBRO]]))</f>
        <v>0</v>
      </c>
      <c r="AK105" s="47" t="e" cm="1">
        <f t="array" aca="1" ref="AK105" ca="1">_xlfn.XLOOKUP(PAA_4[[#This Row],[RCP-RUBRO]],[2]!COMPROMISOS_2024[[#All],[concatenado]],[2]!COMPROMISOS_2024[[#All],[Total Comprometido]],"",0)</f>
        <v>#NAME?</v>
      </c>
      <c r="AL105" s="47">
        <f>IF(PAA_4[[#This Row],[BOLSA]]=0,0,SUMIFS([2]!COMPROMISOS_2024[[#All],[Total Comprometido]],[2]!COMPROMISOS_2024[[#All],[Bolsa]],PAA_4[[#This Row],[BOLSA]],[2]!COMPROMISOS_2024[[#All],[concatenado]],PAA_4[[#This Row],[RCP-RUBRO]]))</f>
        <v>0</v>
      </c>
    </row>
    <row r="106" spans="1:38" s="19" customFormat="1" ht="31.5" customHeight="1">
      <c r="A106" s="47" t="s">
        <v>82</v>
      </c>
      <c r="B106" s="47" t="s">
        <v>42</v>
      </c>
      <c r="C106" s="47" t="str">
        <f>VLOOKUP(PAA_4[[#This Row],[PROYECTO (formulado)2]],[2]PROYECTOS!$G$1:$L$32,6,0)</f>
        <v>SUBGERENCIA ADMINISTRATIVA Y FINANCIERA</v>
      </c>
      <c r="D106" s="47" t="str">
        <f>+IF(PAA_4[[#This Row],[UNIDAD DE CONTRATACION (formulado)]]="Subgerencia Administrativa y Financiera","FUNCIONAMIENTO","INVERSIÓN")</f>
        <v>FUNCIONAMIENTO</v>
      </c>
      <c r="E106" s="48" t="str">
        <f>VLOOKUP(Q106,[2]PROYECTOS!$G$1:$K$32,5,0)</f>
        <v>FUNCIONAMIENTO</v>
      </c>
      <c r="F106" s="48">
        <f>VLOOKUP(E106,[2]PROYECTOS!$K$1:$M$32,3,0)</f>
        <v>999999</v>
      </c>
      <c r="G106" s="49" t="s">
        <v>43</v>
      </c>
      <c r="H106" s="49">
        <f>VLOOKUP(Q106,[2]PROYECTOS!$V$1:$W$32,2,0)</f>
        <v>999999</v>
      </c>
      <c r="I106" s="50">
        <v>225303</v>
      </c>
      <c r="J106" s="51" t="s">
        <v>1326</v>
      </c>
      <c r="K106" s="47" t="str">
        <f t="shared" ca="1" si="21"/>
        <v>CONTRATADO</v>
      </c>
      <c r="L106" s="47" t="s">
        <v>42</v>
      </c>
      <c r="M106" s="47" t="s">
        <v>42</v>
      </c>
      <c r="N106" s="62" t="s">
        <v>90</v>
      </c>
      <c r="O106" s="51" t="e">
        <f>VLOOKUP(N106,[2]!RUBROS[#All],3,0)</f>
        <v>#REF!</v>
      </c>
      <c r="P106" s="53" t="e">
        <f>VLOOKUP(N106,[2]!RUBROS[#All],2,0)</f>
        <v>#REF!</v>
      </c>
      <c r="Q106" s="47" t="str">
        <f t="shared" si="22"/>
        <v>00</v>
      </c>
      <c r="R106" s="47" t="str">
        <f t="shared" si="23"/>
        <v>0-205616</v>
      </c>
      <c r="S106" s="47" t="s">
        <v>42</v>
      </c>
      <c r="T106" s="59" t="s">
        <v>42</v>
      </c>
      <c r="U106" s="326" t="e">
        <f ca="1">_xlfn.XLOOKUP(PAA_4[[#This Row],[ITEM]],[2]Contrato!A:A,[2]Contrato!Q:Q,"",0)</f>
        <v>#NAME?</v>
      </c>
      <c r="V106" s="47" t="s">
        <v>47</v>
      </c>
      <c r="W106" s="47" t="s">
        <v>42</v>
      </c>
      <c r="X106" s="47" t="s">
        <v>42</v>
      </c>
      <c r="Y106" s="55" t="e">
        <f ca="1">_xlfn.XLOOKUP(PAA_4[[#This Row],[ITEM]],[2]Contrato!A:A,[2]Contrato!B:B,"",0)</f>
        <v>#NAME?</v>
      </c>
      <c r="Z106" s="47" t="e">
        <f ca="1">_xlfn.XLOOKUP(PAA_4[[#This Row],[ITEM]],[2]Contrato!A:A,[2]Contrato!G:G,"",0)</f>
        <v>#NAME?</v>
      </c>
      <c r="AA106" s="47" t="e">
        <f ca="1">_xlfn.XLOOKUP(PAA_4[[#This Row],[ITEM]],[2]Contrato!A:A,[2]Contrato!T:T,"",0)</f>
        <v>#NAME?</v>
      </c>
      <c r="AB106" s="55" t="e">
        <f ca="1">+MAX(PAA_4[[#This Row],[Comprometido Contrato]],PAA_4[[#This Row],[Comprometido Bolsa]])</f>
        <v>#NAME?</v>
      </c>
      <c r="AC106" s="55" t="str">
        <f t="shared" ca="1" si="24"/>
        <v/>
      </c>
      <c r="AD106" s="55" t="e">
        <f ca="1">IF(PAA_4[[#This Row],[ESTADO (formulado)]]="NO CONTRATADO",0,MAX(PAA_4[[#This Row],[Pago por Contrato]],PAA_4[[#This Row],[Pago por bolsa]]))</f>
        <v>#NAME?</v>
      </c>
      <c r="AE106" s="55" t="str">
        <f t="shared" ca="1" si="25"/>
        <v/>
      </c>
      <c r="AF106" s="47" t="e">
        <f t="shared" ca="1" si="26"/>
        <v>#NAME?</v>
      </c>
      <c r="AG106" s="47" t="str">
        <f t="shared" si="27"/>
        <v/>
      </c>
      <c r="AH106" s="54">
        <f>IF(Q106="22",IF(ISNUMBER(SEARCH("econ",PAA_4[[#This Row],[Actividad3]])),"Económico",IF(ISNUMBER(SEARCH("alim",PAA_4[[#This Row],[Actividad3]])),"Alimentación",IF(ISNUMBER(SEARCH("educ",PAA_4[[#This Row],[Actividad3]])),"Educativo","Técnico"))),0)</f>
        <v>0</v>
      </c>
      <c r="AI106" s="47" t="e" cm="1">
        <f t="array" aca="1" ref="AI106" ca="1">_xlfn.XLOOKUP(PAA_4[[#This Row],[RCP-RUBRO]],[2]!COMPROMISOS_2024[[#All],[concatenado]],[2]!COMPROMISOS_2024[[#All],[Total pagado]],"",0)</f>
        <v>#NAME?</v>
      </c>
      <c r="AJ106" s="56">
        <f>IF(PAA_4[[#This Row],[BOLSA]]=0,0,SUMIFS([2]!COMPROMISOS_2024[[#All],[Total pagado]],[2]!COMPROMISOS_2024[[#All],[Bolsa]],PAA_4[[#This Row],[BOLSA]],[2]!COMPROMISOS_2024[[#All],[rubro]],PAA_4[[#This Row],[RCP-RUBRO]]))</f>
        <v>0</v>
      </c>
      <c r="AK106" s="47" t="e" cm="1">
        <f t="array" aca="1" ref="AK106" ca="1">_xlfn.XLOOKUP(PAA_4[[#This Row],[RCP-RUBRO]],[2]!COMPROMISOS_2024[[#All],[concatenado]],[2]!COMPROMISOS_2024[[#All],[Total Comprometido]],"",0)</f>
        <v>#NAME?</v>
      </c>
      <c r="AL106" s="47">
        <f>IF(PAA_4[[#This Row],[BOLSA]]=0,0,SUMIFS([2]!COMPROMISOS_2024[[#All],[Total Comprometido]],[2]!COMPROMISOS_2024[[#All],[Bolsa]],PAA_4[[#This Row],[BOLSA]],[2]!COMPROMISOS_2024[[#All],[concatenado]],PAA_4[[#This Row],[RCP-RUBRO]]))</f>
        <v>0</v>
      </c>
    </row>
    <row r="107" spans="1:38" s="19" customFormat="1" ht="31.5" customHeight="1">
      <c r="A107" s="47" t="s">
        <v>82</v>
      </c>
      <c r="B107" s="47" t="s">
        <v>42</v>
      </c>
      <c r="C107" s="47" t="str">
        <f>VLOOKUP(PAA_4[[#This Row],[PROYECTO (formulado)2]],[2]PROYECTOS!$G$1:$L$32,6,0)</f>
        <v>SUBGERENCIA ADMINISTRATIVA Y FINANCIERA</v>
      </c>
      <c r="D107" s="47" t="str">
        <f>+IF(PAA_4[[#This Row],[UNIDAD DE CONTRATACION (formulado)]]="Subgerencia Administrativa y Financiera","FUNCIONAMIENTO","INVERSIÓN")</f>
        <v>FUNCIONAMIENTO</v>
      </c>
      <c r="E107" s="48" t="str">
        <f>VLOOKUP(Q107,[2]PROYECTOS!$G$1:$K$32,5,0)</f>
        <v>FUNCIONAMIENTO</v>
      </c>
      <c r="F107" s="48">
        <f>VLOOKUP(E107,[2]PROYECTOS!$K$1:$M$32,3,0)</f>
        <v>999999</v>
      </c>
      <c r="G107" s="49" t="s">
        <v>43</v>
      </c>
      <c r="H107" s="49">
        <f>VLOOKUP(Q107,[2]PROYECTOS!$V$1:$W$32,2,0)</f>
        <v>999999</v>
      </c>
      <c r="I107" s="50">
        <v>37</v>
      </c>
      <c r="J107" s="51" t="s">
        <v>1326</v>
      </c>
      <c r="K107" s="47" t="str">
        <f t="shared" ca="1" si="21"/>
        <v>CONTRATADO</v>
      </c>
      <c r="L107" s="47" t="s">
        <v>42</v>
      </c>
      <c r="M107" s="47" t="s">
        <v>42</v>
      </c>
      <c r="N107" s="52" t="s">
        <v>155</v>
      </c>
      <c r="O107" s="51" t="e">
        <f>VLOOKUP(N107,[2]!RUBROS[#All],3,0)</f>
        <v>#REF!</v>
      </c>
      <c r="P107" s="53" t="e">
        <f>VLOOKUP(N107,[2]!RUBROS[#All],2,0)</f>
        <v>#REF!</v>
      </c>
      <c r="Q107" s="47" t="str">
        <f t="shared" si="22"/>
        <v>00</v>
      </c>
      <c r="R107" s="47" t="str">
        <f t="shared" si="23"/>
        <v>4-205616</v>
      </c>
      <c r="S107" s="47" t="s">
        <v>42</v>
      </c>
      <c r="T107" s="59" t="s">
        <v>42</v>
      </c>
      <c r="U107" s="326" t="e">
        <f ca="1">_xlfn.XLOOKUP(PAA_4[[#This Row],[ITEM]],[2]Contrato!A:A,[2]Contrato!Q:Q,"",0)</f>
        <v>#NAME?</v>
      </c>
      <c r="V107" s="47" t="s">
        <v>47</v>
      </c>
      <c r="W107" s="47" t="s">
        <v>42</v>
      </c>
      <c r="X107" s="47" t="s">
        <v>42</v>
      </c>
      <c r="Y107" s="55" t="e">
        <f ca="1">_xlfn.XLOOKUP(PAA_4[[#This Row],[ITEM]],[2]Contrato!A:A,[2]Contrato!B:B,"",0)</f>
        <v>#NAME?</v>
      </c>
      <c r="Z107" s="47" t="e">
        <f ca="1">_xlfn.XLOOKUP(PAA_4[[#This Row],[ITEM]],[2]Contrato!A:A,[2]Contrato!G:G,"",0)</f>
        <v>#NAME?</v>
      </c>
      <c r="AA107" s="47" t="e">
        <f ca="1">_xlfn.XLOOKUP(PAA_4[[#This Row],[ITEM]],[2]Contrato!A:A,[2]Contrato!T:T,"",0)</f>
        <v>#NAME?</v>
      </c>
      <c r="AB107" s="55" t="e">
        <f ca="1">+MAX(PAA_4[[#This Row],[Comprometido Contrato]],PAA_4[[#This Row],[Comprometido Bolsa]])</f>
        <v>#NAME?</v>
      </c>
      <c r="AC107" s="55" t="str">
        <f t="shared" ca="1" si="24"/>
        <v/>
      </c>
      <c r="AD107" s="55" t="e">
        <f ca="1">IF(PAA_4[[#This Row],[ESTADO (formulado)]]="NO CONTRATADO",0,MAX(PAA_4[[#This Row],[Pago por Contrato]],PAA_4[[#This Row],[Pago por bolsa]]))</f>
        <v>#NAME?</v>
      </c>
      <c r="AE107" s="55" t="str">
        <f t="shared" ca="1" si="25"/>
        <v/>
      </c>
      <c r="AF107" s="47" t="e">
        <f t="shared" ca="1" si="26"/>
        <v>#NAME?</v>
      </c>
      <c r="AG107" s="47" t="str">
        <f t="shared" si="27"/>
        <v/>
      </c>
      <c r="AH107" s="54">
        <f>IF(Q107="22",IF(ISNUMBER(SEARCH("econ",PAA_4[[#This Row],[Actividad3]])),"Económico",IF(ISNUMBER(SEARCH("alim",PAA_4[[#This Row],[Actividad3]])),"Alimentación",IF(ISNUMBER(SEARCH("educ",PAA_4[[#This Row],[Actividad3]])),"Educativo","Técnico"))),0)</f>
        <v>0</v>
      </c>
      <c r="AI107" s="47" t="e" cm="1">
        <f t="array" aca="1" ref="AI107" ca="1">_xlfn.XLOOKUP(PAA_4[[#This Row],[RCP-RUBRO]],[2]!COMPROMISOS_2024[[#All],[concatenado]],[2]!COMPROMISOS_2024[[#All],[Total pagado]],"",0)</f>
        <v>#NAME?</v>
      </c>
      <c r="AJ107" s="56">
        <f>IF(PAA_4[[#This Row],[BOLSA]]=0,0,SUMIFS([2]!COMPROMISOS_2024[[#All],[Total pagado]],[2]!COMPROMISOS_2024[[#All],[Bolsa]],PAA_4[[#This Row],[BOLSA]],[2]!COMPROMISOS_2024[[#All],[rubro]],PAA_4[[#This Row],[RCP-RUBRO]]))</f>
        <v>0</v>
      </c>
      <c r="AK107" s="47" t="e" cm="1">
        <f t="array" aca="1" ref="AK107" ca="1">_xlfn.XLOOKUP(PAA_4[[#This Row],[RCP-RUBRO]],[2]!COMPROMISOS_2024[[#All],[concatenado]],[2]!COMPROMISOS_2024[[#All],[Total Comprometido]],"",0)</f>
        <v>#NAME?</v>
      </c>
      <c r="AL107" s="47">
        <f>IF(PAA_4[[#This Row],[BOLSA]]=0,0,SUMIFS([2]!COMPROMISOS_2024[[#All],[Total Comprometido]],[2]!COMPROMISOS_2024[[#All],[Bolsa]],PAA_4[[#This Row],[BOLSA]],[2]!COMPROMISOS_2024[[#All],[concatenado]],PAA_4[[#This Row],[RCP-RUBRO]]))</f>
        <v>0</v>
      </c>
    </row>
    <row r="108" spans="1:38" s="19" customFormat="1" ht="31.5" customHeight="1">
      <c r="A108" s="47">
        <v>681</v>
      </c>
      <c r="B108" s="47">
        <v>80161500</v>
      </c>
      <c r="C108" s="47" t="str">
        <f>VLOOKUP(PAA_4[[#This Row],[PROYECTO (formulado)2]],[2]PROYECTOS!$G$1:$L$32,6,0)</f>
        <v>SUBGERENCIA ADMINISTRATIVA Y FINANCIERA</v>
      </c>
      <c r="D108" s="47" t="str">
        <f>+IF(PAA_4[[#This Row],[UNIDAD DE CONTRATACION (formulado)]]="Subgerencia Administrativa y Financiera","FUNCIONAMIENTO","INVERSIÓN")</f>
        <v>FUNCIONAMIENTO</v>
      </c>
      <c r="E108" s="48" t="str">
        <f>VLOOKUP(Q108,[2]PROYECTOS!$G$1:$K$32,5,0)</f>
        <v>FUNCIONAMIENTO</v>
      </c>
      <c r="F108" s="48">
        <f>VLOOKUP(E108,[2]PROYECTOS!$K$1:$M$32,3,0)</f>
        <v>999999</v>
      </c>
      <c r="G108" s="49" t="s">
        <v>43</v>
      </c>
      <c r="H108" s="49">
        <f>VLOOKUP(Q108,[2]PROYECTOS!$V$1:$W$32,2,0)</f>
        <v>999999</v>
      </c>
      <c r="I108" s="50">
        <f>58472188-7796291-225303</f>
        <v>50450594</v>
      </c>
      <c r="J108" s="60" t="s">
        <v>118</v>
      </c>
      <c r="K108" s="47" t="str">
        <f t="shared" ca="1" si="21"/>
        <v>CONTRATADO</v>
      </c>
      <c r="L108" s="61" t="s">
        <v>94</v>
      </c>
      <c r="M108" s="47" t="s">
        <v>1297</v>
      </c>
      <c r="N108" s="62" t="s">
        <v>90</v>
      </c>
      <c r="O108" s="51" t="e">
        <f>VLOOKUP(N108,[2]!RUBROS[#All],3,0)</f>
        <v>#REF!</v>
      </c>
      <c r="P108" s="53" t="e">
        <f>VLOOKUP(N108,[2]!RUBROS[#All],2,0)</f>
        <v>#REF!</v>
      </c>
      <c r="Q108" s="47" t="str">
        <f t="shared" si="22"/>
        <v>00</v>
      </c>
      <c r="R108" s="47" t="str">
        <f t="shared" si="23"/>
        <v>0-205616</v>
      </c>
      <c r="S108" s="54">
        <v>8.5</v>
      </c>
      <c r="T108" s="59" t="s">
        <v>46</v>
      </c>
      <c r="U108" s="326" t="e">
        <f ca="1">_xlfn.XLOOKUP(PAA_4[[#This Row],[ITEM]],[2]Contrato!A:A,[2]Contrato!Q:Q,"",0)</f>
        <v>#NAME?</v>
      </c>
      <c r="V108" s="47" t="s">
        <v>47</v>
      </c>
      <c r="W108" s="47" t="s">
        <v>119</v>
      </c>
      <c r="X108" s="47" t="s">
        <v>119</v>
      </c>
      <c r="Y108" s="55" t="e">
        <f ca="1">_xlfn.XLOOKUP(PAA_4[[#This Row],[ITEM]],[2]Contrato!A:A,[2]Contrato!B:B,"",0)</f>
        <v>#NAME?</v>
      </c>
      <c r="Z108" s="47" t="e">
        <f ca="1">_xlfn.XLOOKUP(PAA_4[[#This Row],[ITEM]],[2]Contrato!A:A,[2]Contrato!G:G,"",0)</f>
        <v>#NAME?</v>
      </c>
      <c r="AA108" s="47" t="e">
        <f ca="1">_xlfn.XLOOKUP(PAA_4[[#This Row],[ITEM]],[2]Contrato!A:A,[2]Contrato!T:T,"",0)</f>
        <v>#NAME?</v>
      </c>
      <c r="AB108" s="55" t="e">
        <f ca="1">+MAX(PAA_4[[#This Row],[Comprometido Contrato]],PAA_4[[#This Row],[Comprometido Bolsa]])</f>
        <v>#NAME?</v>
      </c>
      <c r="AC108" s="55" t="str">
        <f t="shared" ca="1" si="24"/>
        <v/>
      </c>
      <c r="AD108" s="55" t="e">
        <f ca="1">IF(PAA_4[[#This Row],[ESTADO (formulado)]]="NO CONTRATADO",0,MAX(PAA_4[[#This Row],[Pago por Contrato]],PAA_4[[#This Row],[Pago por bolsa]]))</f>
        <v>#NAME?</v>
      </c>
      <c r="AE108" s="55" t="str">
        <f t="shared" ca="1" si="25"/>
        <v/>
      </c>
      <c r="AF108" s="47" t="e">
        <f t="shared" ca="1" si="26"/>
        <v>#NAME?</v>
      </c>
      <c r="AG108" s="47" t="str">
        <f t="shared" si="27"/>
        <v/>
      </c>
      <c r="AH108" s="54">
        <f>IF(Q108="22",IF(ISNUMBER(SEARCH("econ",PAA_4[[#This Row],[Actividad3]])),"Económico",IF(ISNUMBER(SEARCH("alim",PAA_4[[#This Row],[Actividad3]])),"Alimentación",IF(ISNUMBER(SEARCH("educ",PAA_4[[#This Row],[Actividad3]])),"Educativo","Técnico"))),0)</f>
        <v>0</v>
      </c>
      <c r="AI108" s="47" t="e" cm="1">
        <f t="array" aca="1" ref="AI108" ca="1">_xlfn.XLOOKUP(PAA_4[[#This Row],[RCP-RUBRO]],[2]!COMPROMISOS_2024[[#All],[concatenado]],[2]!COMPROMISOS_2024[[#All],[Total pagado]],"",0)</f>
        <v>#NAME?</v>
      </c>
      <c r="AJ108" s="56">
        <f>IF(PAA_4[[#This Row],[BOLSA]]=0,0,SUMIFS([2]!COMPROMISOS_2024[[#All],[Total pagado]],[2]!COMPROMISOS_2024[[#All],[Bolsa]],PAA_4[[#This Row],[BOLSA]],[2]!COMPROMISOS_2024[[#All],[rubro]],PAA_4[[#This Row],[RCP-RUBRO]]))</f>
        <v>0</v>
      </c>
      <c r="AK108" s="47" t="e" cm="1">
        <f t="array" aca="1" ref="AK108" ca="1">_xlfn.XLOOKUP(PAA_4[[#This Row],[RCP-RUBRO]],[2]!COMPROMISOS_2024[[#All],[concatenado]],[2]!COMPROMISOS_2024[[#All],[Total Comprometido]],"",0)</f>
        <v>#NAME?</v>
      </c>
      <c r="AL108" s="47">
        <f>IF(PAA_4[[#This Row],[BOLSA]]=0,0,SUMIFS([2]!COMPROMISOS_2024[[#All],[Total Comprometido]],[2]!COMPROMISOS_2024[[#All],[Bolsa]],PAA_4[[#This Row],[BOLSA]],[2]!COMPROMISOS_2024[[#All],[concatenado]],PAA_4[[#This Row],[RCP-RUBRO]]))</f>
        <v>0</v>
      </c>
    </row>
    <row r="109" spans="1:38" s="19" customFormat="1" ht="31.5" customHeight="1">
      <c r="A109" s="47" t="s">
        <v>82</v>
      </c>
      <c r="B109" s="47" t="s">
        <v>42</v>
      </c>
      <c r="C109" s="47" t="str">
        <f>VLOOKUP(PAA_4[[#This Row],[PROYECTO (formulado)2]],[2]PROYECTOS!$G$1:$L$32,6,0)</f>
        <v>SUBGERENCIA ADMINISTRATIVA Y FINANCIERA</v>
      </c>
      <c r="D109" s="47" t="str">
        <f>+IF(PAA_4[[#This Row],[UNIDAD DE CONTRATACION (formulado)]]="Subgerencia Administrativa y Financiera","FUNCIONAMIENTO","INVERSIÓN")</f>
        <v>FUNCIONAMIENTO</v>
      </c>
      <c r="E109" s="48" t="str">
        <f>VLOOKUP(Q109,[2]PROYECTOS!$G$1:$K$32,5,0)</f>
        <v>FUNCIONAMIENTO</v>
      </c>
      <c r="F109" s="48">
        <f>VLOOKUP(E109,[2]PROYECTOS!$K$1:$M$32,3,0)</f>
        <v>999999</v>
      </c>
      <c r="G109" s="49" t="s">
        <v>43</v>
      </c>
      <c r="H109" s="49">
        <f>VLOOKUP(Q109,[2]PROYECTOS!$V$1:$W$32,2,0)</f>
        <v>999999</v>
      </c>
      <c r="I109" s="50">
        <v>0</v>
      </c>
      <c r="J109" s="60" t="s">
        <v>126</v>
      </c>
      <c r="K109" s="47" t="str">
        <f t="shared" ca="1" si="21"/>
        <v>CONTRATADO</v>
      </c>
      <c r="L109" s="61" t="s">
        <v>94</v>
      </c>
      <c r="M109" s="47" t="s">
        <v>1297</v>
      </c>
      <c r="N109" s="62" t="s">
        <v>90</v>
      </c>
      <c r="O109" s="51" t="e">
        <f>VLOOKUP(N109,[2]!RUBROS[#All],3,0)</f>
        <v>#REF!</v>
      </c>
      <c r="P109" s="53" t="e">
        <f>VLOOKUP(N109,[2]!RUBROS[#All],2,0)</f>
        <v>#REF!</v>
      </c>
      <c r="Q109" s="47" t="str">
        <f t="shared" si="22"/>
        <v>00</v>
      </c>
      <c r="R109" s="47" t="str">
        <f t="shared" si="23"/>
        <v>0-205616</v>
      </c>
      <c r="S109" s="54" t="s">
        <v>42</v>
      </c>
      <c r="T109" s="59" t="s">
        <v>42</v>
      </c>
      <c r="U109" s="326" t="e">
        <f ca="1">_xlfn.XLOOKUP(PAA_4[[#This Row],[ITEM]],[2]Contrato!A:A,[2]Contrato!Q:Q,"",0)</f>
        <v>#NAME?</v>
      </c>
      <c r="V109" s="47" t="s">
        <v>42</v>
      </c>
      <c r="W109" s="47" t="s">
        <v>42</v>
      </c>
      <c r="X109" s="47" t="s">
        <v>42</v>
      </c>
      <c r="Y109" s="55" t="e">
        <f ca="1">_xlfn.XLOOKUP(PAA_4[[#This Row],[ITEM]],[2]Contrato!A:A,[2]Contrato!B:B,"",0)</f>
        <v>#NAME?</v>
      </c>
      <c r="Z109" s="47" t="e">
        <f ca="1">_xlfn.XLOOKUP(PAA_4[[#This Row],[ITEM]],[2]Contrato!A:A,[2]Contrato!G:G,"",0)</f>
        <v>#NAME?</v>
      </c>
      <c r="AA109" s="47" t="e">
        <f ca="1">_xlfn.XLOOKUP(PAA_4[[#This Row],[ITEM]],[2]Contrato!A:A,[2]Contrato!T:T,"",0)</f>
        <v>#NAME?</v>
      </c>
      <c r="AB109" s="55" t="e">
        <f ca="1">+MAX(PAA_4[[#This Row],[Comprometido Contrato]],PAA_4[[#This Row],[Comprometido Bolsa]])</f>
        <v>#NAME?</v>
      </c>
      <c r="AC109" s="55" t="str">
        <f t="shared" ca="1" si="24"/>
        <v/>
      </c>
      <c r="AD109" s="55" t="e">
        <f ca="1">IF(PAA_4[[#This Row],[ESTADO (formulado)]]="NO CONTRATADO",0,MAX(PAA_4[[#This Row],[Pago por Contrato]],PAA_4[[#This Row],[Pago por bolsa]]))</f>
        <v>#NAME?</v>
      </c>
      <c r="AE109" s="55" t="str">
        <f t="shared" ca="1" si="25"/>
        <v/>
      </c>
      <c r="AF109" s="47" t="e">
        <f t="shared" ca="1" si="26"/>
        <v>#NAME?</v>
      </c>
      <c r="AG109" s="47" t="str">
        <f t="shared" si="27"/>
        <v/>
      </c>
      <c r="AH109" s="54">
        <f>IF(Q109="22",IF(ISNUMBER(SEARCH("econ",PAA_4[[#This Row],[Actividad3]])),"Económico",IF(ISNUMBER(SEARCH("alim",PAA_4[[#This Row],[Actividad3]])),"Alimentación",IF(ISNUMBER(SEARCH("educ",PAA_4[[#This Row],[Actividad3]])),"Educativo","Técnico"))),0)</f>
        <v>0</v>
      </c>
      <c r="AI109" s="47" t="e" cm="1">
        <f t="array" aca="1" ref="AI109" ca="1">_xlfn.XLOOKUP(PAA_4[[#This Row],[RCP-RUBRO]],[2]!COMPROMISOS_2024[[#All],[concatenado]],[2]!COMPROMISOS_2024[[#All],[Total pagado]],"",0)</f>
        <v>#NAME?</v>
      </c>
      <c r="AJ109" s="56">
        <f>IF(PAA_4[[#This Row],[BOLSA]]=0,0,SUMIFS([2]!COMPROMISOS_2024[[#All],[Total pagado]],[2]!COMPROMISOS_2024[[#All],[Bolsa]],PAA_4[[#This Row],[BOLSA]],[2]!COMPROMISOS_2024[[#All],[rubro]],PAA_4[[#This Row],[RCP-RUBRO]]))</f>
        <v>0</v>
      </c>
      <c r="AK109" s="47" t="e" cm="1">
        <f t="array" aca="1" ref="AK109" ca="1">_xlfn.XLOOKUP(PAA_4[[#This Row],[RCP-RUBRO]],[2]!COMPROMISOS_2024[[#All],[concatenado]],[2]!COMPROMISOS_2024[[#All],[Total Comprometido]],"",0)</f>
        <v>#NAME?</v>
      </c>
      <c r="AL109" s="47">
        <f>IF(PAA_4[[#This Row],[BOLSA]]=0,0,SUMIFS([2]!COMPROMISOS_2024[[#All],[Total Comprometido]],[2]!COMPROMISOS_2024[[#All],[Bolsa]],PAA_4[[#This Row],[BOLSA]],[2]!COMPROMISOS_2024[[#All],[concatenado]],PAA_4[[#This Row],[RCP-RUBRO]]))</f>
        <v>0</v>
      </c>
    </row>
    <row r="110" spans="1:38" s="19" customFormat="1" ht="31.5" customHeight="1">
      <c r="A110" s="47">
        <v>682</v>
      </c>
      <c r="B110" s="47">
        <v>80161500</v>
      </c>
      <c r="C110" s="47" t="str">
        <f>VLOOKUP(PAA_4[[#This Row],[PROYECTO (formulado)2]],[2]PROYECTOS!$G$1:$L$32,6,0)</f>
        <v>SUBGERENCIA ADMINISTRATIVA Y FINANCIERA</v>
      </c>
      <c r="D110" s="47" t="str">
        <f>+IF(PAA_4[[#This Row],[UNIDAD DE CONTRATACION (formulado)]]="Subgerencia Administrativa y Financiera","FUNCIONAMIENTO","INVERSIÓN")</f>
        <v>FUNCIONAMIENTO</v>
      </c>
      <c r="E110" s="48" t="str">
        <f>VLOOKUP(Q110,[2]PROYECTOS!$G$1:$K$32,5,0)</f>
        <v>FUNCIONAMIENTO</v>
      </c>
      <c r="F110" s="48">
        <f>VLOOKUP(E110,[2]PROYECTOS!$K$1:$M$32,3,0)</f>
        <v>999999</v>
      </c>
      <c r="G110" s="49" t="s">
        <v>43</v>
      </c>
      <c r="H110" s="49">
        <f>VLOOKUP(Q110,[2]PROYECTOS!$V$1:$W$32,2,0)</f>
        <v>999999</v>
      </c>
      <c r="I110" s="50">
        <f>29231114-132869</f>
        <v>29098245</v>
      </c>
      <c r="J110" s="60" t="s">
        <v>1327</v>
      </c>
      <c r="K110" s="47" t="str">
        <f t="shared" ca="1" si="21"/>
        <v>CONTRATADO</v>
      </c>
      <c r="L110" s="61" t="s">
        <v>94</v>
      </c>
      <c r="M110" s="47" t="s">
        <v>1297</v>
      </c>
      <c r="N110" s="62" t="s">
        <v>90</v>
      </c>
      <c r="O110" s="51" t="e">
        <f>VLOOKUP(N110,[2]!RUBROS[#All],3,0)</f>
        <v>#REF!</v>
      </c>
      <c r="P110" s="53" t="e">
        <f>VLOOKUP(N110,[2]!RUBROS[#All],2,0)</f>
        <v>#REF!</v>
      </c>
      <c r="Q110" s="47" t="str">
        <f t="shared" si="22"/>
        <v>00</v>
      </c>
      <c r="R110" s="47" t="str">
        <f t="shared" si="23"/>
        <v>0-205616</v>
      </c>
      <c r="S110" s="54">
        <v>220</v>
      </c>
      <c r="T110" s="59" t="s">
        <v>120</v>
      </c>
      <c r="U110" s="326" t="e">
        <f ca="1">_xlfn.XLOOKUP(PAA_4[[#This Row],[ITEM]],[2]Contrato!A:A,[2]Contrato!Q:Q,"",0)</f>
        <v>#NAME?</v>
      </c>
      <c r="V110" s="47" t="s">
        <v>47</v>
      </c>
      <c r="W110" s="47" t="s">
        <v>119</v>
      </c>
      <c r="X110" s="47" t="s">
        <v>119</v>
      </c>
      <c r="Y110" s="55" t="e">
        <f ca="1">_xlfn.XLOOKUP(PAA_4[[#This Row],[ITEM]],[2]Contrato!A:A,[2]Contrato!B:B,"",0)</f>
        <v>#NAME?</v>
      </c>
      <c r="Z110" s="47" t="e">
        <f ca="1">_xlfn.XLOOKUP(PAA_4[[#This Row],[ITEM]],[2]Contrato!A:A,[2]Contrato!G:G,"",0)</f>
        <v>#NAME?</v>
      </c>
      <c r="AA110" s="47" t="e">
        <f ca="1">_xlfn.XLOOKUP(PAA_4[[#This Row],[ITEM]],[2]Contrato!A:A,[2]Contrato!T:T,"",0)</f>
        <v>#NAME?</v>
      </c>
      <c r="AB110" s="55" t="e">
        <f ca="1">+MAX(PAA_4[[#This Row],[Comprometido Contrato]],PAA_4[[#This Row],[Comprometido Bolsa]])</f>
        <v>#NAME?</v>
      </c>
      <c r="AC110" s="55" t="str">
        <f t="shared" ca="1" si="24"/>
        <v/>
      </c>
      <c r="AD110" s="55" t="e">
        <f ca="1">IF(PAA_4[[#This Row],[ESTADO (formulado)]]="NO CONTRATADO",0,MAX(PAA_4[[#This Row],[Pago por Contrato]],PAA_4[[#This Row],[Pago por bolsa]]))</f>
        <v>#NAME?</v>
      </c>
      <c r="AE110" s="55" t="str">
        <f t="shared" ca="1" si="25"/>
        <v/>
      </c>
      <c r="AF110" s="47" t="e">
        <f t="shared" ca="1" si="26"/>
        <v>#NAME?</v>
      </c>
      <c r="AG110" s="47" t="str">
        <f t="shared" si="27"/>
        <v/>
      </c>
      <c r="AH110" s="54">
        <f>IF(Q110="22",IF(ISNUMBER(SEARCH("econ",PAA_4[[#This Row],[Actividad3]])),"Económico",IF(ISNUMBER(SEARCH("alim",PAA_4[[#This Row],[Actividad3]])),"Alimentación",IF(ISNUMBER(SEARCH("educ",PAA_4[[#This Row],[Actividad3]])),"Educativo","Técnico"))),0)</f>
        <v>0</v>
      </c>
      <c r="AI110" s="47" t="e" cm="1">
        <f t="array" aca="1" ref="AI110" ca="1">_xlfn.XLOOKUP(PAA_4[[#This Row],[RCP-RUBRO]],[2]!COMPROMISOS_2024[[#All],[concatenado]],[2]!COMPROMISOS_2024[[#All],[Total pagado]],"",0)</f>
        <v>#NAME?</v>
      </c>
      <c r="AJ110" s="56">
        <f>IF(PAA_4[[#This Row],[BOLSA]]=0,0,SUMIFS([2]!COMPROMISOS_2024[[#All],[Total pagado]],[2]!COMPROMISOS_2024[[#All],[Bolsa]],PAA_4[[#This Row],[BOLSA]],[2]!COMPROMISOS_2024[[#All],[rubro]],PAA_4[[#This Row],[RCP-RUBRO]]))</f>
        <v>0</v>
      </c>
      <c r="AK110" s="47" t="e" cm="1">
        <f t="array" aca="1" ref="AK110" ca="1">_xlfn.XLOOKUP(PAA_4[[#This Row],[RCP-RUBRO]],[2]!COMPROMISOS_2024[[#All],[concatenado]],[2]!COMPROMISOS_2024[[#All],[Total Comprometido]],"",0)</f>
        <v>#NAME?</v>
      </c>
      <c r="AL110" s="47">
        <f>IF(PAA_4[[#This Row],[BOLSA]]=0,0,SUMIFS([2]!COMPROMISOS_2024[[#All],[Total Comprometido]],[2]!COMPROMISOS_2024[[#All],[Bolsa]],PAA_4[[#This Row],[BOLSA]],[2]!COMPROMISOS_2024[[#All],[concatenado]],PAA_4[[#This Row],[RCP-RUBRO]]))</f>
        <v>0</v>
      </c>
    </row>
    <row r="111" spans="1:38" s="19" customFormat="1" ht="31.5" customHeight="1">
      <c r="A111" s="47">
        <v>683</v>
      </c>
      <c r="B111" s="47">
        <v>80121700</v>
      </c>
      <c r="C111" s="47" t="str">
        <f>VLOOKUP(PAA_4[[#This Row],[PROYECTO (formulado)2]],[2]PROYECTOS!$G$1:$L$32,6,0)</f>
        <v>SUBGERENCIA ADMINISTRATIVA Y FINANCIERA</v>
      </c>
      <c r="D111" s="47" t="str">
        <f>+IF(PAA_4[[#This Row],[UNIDAD DE CONTRATACION (formulado)]]="Subgerencia Administrativa y Financiera","FUNCIONAMIENTO","INVERSIÓN")</f>
        <v>FUNCIONAMIENTO</v>
      </c>
      <c r="E111" s="48" t="str">
        <f>VLOOKUP(Q111,[2]PROYECTOS!$G$1:$K$32,5,0)</f>
        <v>FUNCIONAMIENTO</v>
      </c>
      <c r="F111" s="48">
        <f>VLOOKUP(E111,[2]PROYECTOS!$K$1:$M$32,3,0)</f>
        <v>999999</v>
      </c>
      <c r="G111" s="49" t="s">
        <v>43</v>
      </c>
      <c r="H111" s="49">
        <f>VLOOKUP(Q111,[2]PROYECTOS!$V$1:$W$32,2,0)</f>
        <v>999999</v>
      </c>
      <c r="I111" s="50">
        <v>48153567</v>
      </c>
      <c r="J111" s="60" t="s">
        <v>1328</v>
      </c>
      <c r="K111" s="47" t="str">
        <f t="shared" ca="1" si="21"/>
        <v>CONTRATADO</v>
      </c>
      <c r="L111" s="61" t="s">
        <v>94</v>
      </c>
      <c r="M111" s="47" t="s">
        <v>1297</v>
      </c>
      <c r="N111" s="62" t="s">
        <v>90</v>
      </c>
      <c r="O111" s="51" t="e">
        <f>VLOOKUP(N111,[2]!RUBROS[#All],3,0)</f>
        <v>#REF!</v>
      </c>
      <c r="P111" s="53" t="e">
        <f>VLOOKUP(N111,[2]!RUBROS[#All],2,0)</f>
        <v>#REF!</v>
      </c>
      <c r="Q111" s="47" t="str">
        <f t="shared" si="22"/>
        <v>00</v>
      </c>
      <c r="R111" s="47" t="str">
        <f t="shared" si="23"/>
        <v>0-205616</v>
      </c>
      <c r="S111" s="54">
        <v>7</v>
      </c>
      <c r="T111" s="59" t="s">
        <v>46</v>
      </c>
      <c r="U111" s="326" t="e">
        <f ca="1">_xlfn.XLOOKUP(PAA_4[[#This Row],[ITEM]],[2]Contrato!A:A,[2]Contrato!Q:Q,"",0)</f>
        <v>#NAME?</v>
      </c>
      <c r="V111" s="47" t="s">
        <v>47</v>
      </c>
      <c r="W111" s="47" t="s">
        <v>119</v>
      </c>
      <c r="X111" s="47" t="s">
        <v>119</v>
      </c>
      <c r="Y111" s="55" t="e">
        <f ca="1">_xlfn.XLOOKUP(PAA_4[[#This Row],[ITEM]],[2]Contrato!A:A,[2]Contrato!B:B,"",0)</f>
        <v>#NAME?</v>
      </c>
      <c r="Z111" s="47" t="e">
        <f ca="1">_xlfn.XLOOKUP(PAA_4[[#This Row],[ITEM]],[2]Contrato!A:A,[2]Contrato!G:G,"",0)</f>
        <v>#NAME?</v>
      </c>
      <c r="AA111" s="47" t="e">
        <f ca="1">_xlfn.XLOOKUP(PAA_4[[#This Row],[ITEM]],[2]Contrato!A:A,[2]Contrato!T:T,"",0)</f>
        <v>#NAME?</v>
      </c>
      <c r="AB111" s="55" t="e">
        <f ca="1">+MAX(PAA_4[[#This Row],[Comprometido Contrato]],PAA_4[[#This Row],[Comprometido Bolsa]])</f>
        <v>#NAME?</v>
      </c>
      <c r="AC111" s="55" t="str">
        <f t="shared" ca="1" si="24"/>
        <v/>
      </c>
      <c r="AD111" s="55" t="e">
        <f ca="1">IF(PAA_4[[#This Row],[ESTADO (formulado)]]="NO CONTRATADO",0,MAX(PAA_4[[#This Row],[Pago por Contrato]],PAA_4[[#This Row],[Pago por bolsa]]))</f>
        <v>#NAME?</v>
      </c>
      <c r="AE111" s="55" t="str">
        <f t="shared" ca="1" si="25"/>
        <v/>
      </c>
      <c r="AF111" s="47" t="e">
        <f t="shared" ca="1" si="26"/>
        <v>#NAME?</v>
      </c>
      <c r="AG111" s="47" t="str">
        <f t="shared" si="27"/>
        <v/>
      </c>
      <c r="AH111" s="54">
        <f>IF(Q111="22",IF(ISNUMBER(SEARCH("econ",PAA_4[[#This Row],[Actividad3]])),"Económico",IF(ISNUMBER(SEARCH("alim",PAA_4[[#This Row],[Actividad3]])),"Alimentación",IF(ISNUMBER(SEARCH("educ",PAA_4[[#This Row],[Actividad3]])),"Educativo","Técnico"))),0)</f>
        <v>0</v>
      </c>
      <c r="AI111" s="47" t="e" cm="1">
        <f t="array" aca="1" ref="AI111" ca="1">_xlfn.XLOOKUP(PAA_4[[#This Row],[RCP-RUBRO]],[2]!COMPROMISOS_2024[[#All],[concatenado]],[2]!COMPROMISOS_2024[[#All],[Total pagado]],"",0)</f>
        <v>#NAME?</v>
      </c>
      <c r="AJ111" s="56">
        <f>IF(PAA_4[[#This Row],[BOLSA]]=0,0,SUMIFS([2]!COMPROMISOS_2024[[#All],[Total pagado]],[2]!COMPROMISOS_2024[[#All],[Bolsa]],PAA_4[[#This Row],[BOLSA]],[2]!COMPROMISOS_2024[[#All],[rubro]],PAA_4[[#This Row],[RCP-RUBRO]]))</f>
        <v>0</v>
      </c>
      <c r="AK111" s="47" t="e" cm="1">
        <f t="array" aca="1" ref="AK111" ca="1">_xlfn.XLOOKUP(PAA_4[[#This Row],[RCP-RUBRO]],[2]!COMPROMISOS_2024[[#All],[concatenado]],[2]!COMPROMISOS_2024[[#All],[Total Comprometido]],"",0)</f>
        <v>#NAME?</v>
      </c>
      <c r="AL111" s="47">
        <f>IF(PAA_4[[#This Row],[BOLSA]]=0,0,SUMIFS([2]!COMPROMISOS_2024[[#All],[Total Comprometido]],[2]!COMPROMISOS_2024[[#All],[Bolsa]],PAA_4[[#This Row],[BOLSA]],[2]!COMPROMISOS_2024[[#All],[concatenado]],PAA_4[[#This Row],[RCP-RUBRO]]))</f>
        <v>0</v>
      </c>
    </row>
    <row r="112" spans="1:38" s="19" customFormat="1" ht="31.5" customHeight="1">
      <c r="A112" s="47">
        <v>684</v>
      </c>
      <c r="B112" s="47">
        <v>80121700</v>
      </c>
      <c r="C112" s="47" t="str">
        <f>VLOOKUP(PAA_4[[#This Row],[PROYECTO (formulado)2]],[2]PROYECTOS!$G$1:$L$32,6,0)</f>
        <v>SUBGERENCIA ADMINISTRATIVA Y FINANCIERA</v>
      </c>
      <c r="D112" s="47" t="str">
        <f>+IF(PAA_4[[#This Row],[UNIDAD DE CONTRATACION (formulado)]]="Subgerencia Administrativa y Financiera","FUNCIONAMIENTO","INVERSIÓN")</f>
        <v>FUNCIONAMIENTO</v>
      </c>
      <c r="E112" s="48" t="str">
        <f>VLOOKUP(Q112,[2]PROYECTOS!$G$1:$K$32,5,0)</f>
        <v>FUNCIONAMIENTO</v>
      </c>
      <c r="F112" s="48">
        <f>VLOOKUP(E112,[2]PROYECTOS!$K$1:$M$32,3,0)</f>
        <v>999999</v>
      </c>
      <c r="G112" s="49" t="s">
        <v>43</v>
      </c>
      <c r="H112" s="49">
        <f>VLOOKUP(Q112,[2]PROYECTOS!$V$1:$W$32,2,0)</f>
        <v>999999</v>
      </c>
      <c r="I112" s="50">
        <v>48153567</v>
      </c>
      <c r="J112" s="60" t="s">
        <v>1328</v>
      </c>
      <c r="K112" s="47" t="str">
        <f t="shared" ca="1" si="21"/>
        <v>CONTRATADO</v>
      </c>
      <c r="L112" s="61" t="s">
        <v>94</v>
      </c>
      <c r="M112" s="47" t="s">
        <v>1297</v>
      </c>
      <c r="N112" s="62" t="s">
        <v>90</v>
      </c>
      <c r="O112" s="51" t="e">
        <f>VLOOKUP(N112,[2]!RUBROS[#All],3,0)</f>
        <v>#REF!</v>
      </c>
      <c r="P112" s="53" t="e">
        <f>VLOOKUP(N112,[2]!RUBROS[#All],2,0)</f>
        <v>#REF!</v>
      </c>
      <c r="Q112" s="47" t="str">
        <f t="shared" si="22"/>
        <v>00</v>
      </c>
      <c r="R112" s="47" t="str">
        <f t="shared" si="23"/>
        <v>0-205616</v>
      </c>
      <c r="S112" s="54">
        <v>7</v>
      </c>
      <c r="T112" s="59" t="s">
        <v>46</v>
      </c>
      <c r="U112" s="326" t="e">
        <f ca="1">_xlfn.XLOOKUP(PAA_4[[#This Row],[ITEM]],[2]Contrato!A:A,[2]Contrato!Q:Q,"",0)</f>
        <v>#NAME?</v>
      </c>
      <c r="V112" s="47" t="s">
        <v>47</v>
      </c>
      <c r="W112" s="47" t="s">
        <v>119</v>
      </c>
      <c r="X112" s="47" t="s">
        <v>119</v>
      </c>
      <c r="Y112" s="55" t="e">
        <f ca="1">_xlfn.XLOOKUP(PAA_4[[#This Row],[ITEM]],[2]Contrato!A:A,[2]Contrato!B:B,"",0)</f>
        <v>#NAME?</v>
      </c>
      <c r="Z112" s="47" t="e">
        <f ca="1">_xlfn.XLOOKUP(PAA_4[[#This Row],[ITEM]],[2]Contrato!A:A,[2]Contrato!G:G,"",0)</f>
        <v>#NAME?</v>
      </c>
      <c r="AA112" s="47" t="e">
        <f ca="1">_xlfn.XLOOKUP(PAA_4[[#This Row],[ITEM]],[2]Contrato!A:A,[2]Contrato!T:T,"",0)</f>
        <v>#NAME?</v>
      </c>
      <c r="AB112" s="55" t="e">
        <f ca="1">+MAX(PAA_4[[#This Row],[Comprometido Contrato]],PAA_4[[#This Row],[Comprometido Bolsa]])</f>
        <v>#NAME?</v>
      </c>
      <c r="AC112" s="55" t="str">
        <f t="shared" ca="1" si="24"/>
        <v/>
      </c>
      <c r="AD112" s="55" t="e">
        <f ca="1">IF(PAA_4[[#This Row],[ESTADO (formulado)]]="NO CONTRATADO",0,MAX(PAA_4[[#This Row],[Pago por Contrato]],PAA_4[[#This Row],[Pago por bolsa]]))</f>
        <v>#NAME?</v>
      </c>
      <c r="AE112" s="55" t="str">
        <f t="shared" ca="1" si="25"/>
        <v/>
      </c>
      <c r="AF112" s="47" t="e">
        <f t="shared" ca="1" si="26"/>
        <v>#NAME?</v>
      </c>
      <c r="AG112" s="47" t="str">
        <f t="shared" si="27"/>
        <v/>
      </c>
      <c r="AH112" s="54">
        <f>IF(Q112="22",IF(ISNUMBER(SEARCH("econ",PAA_4[[#This Row],[Actividad3]])),"Económico",IF(ISNUMBER(SEARCH("alim",PAA_4[[#This Row],[Actividad3]])),"Alimentación",IF(ISNUMBER(SEARCH("educ",PAA_4[[#This Row],[Actividad3]])),"Educativo","Técnico"))),0)</f>
        <v>0</v>
      </c>
      <c r="AI112" s="47" t="e" cm="1">
        <f t="array" aca="1" ref="AI112" ca="1">_xlfn.XLOOKUP(PAA_4[[#This Row],[RCP-RUBRO]],[2]!COMPROMISOS_2024[[#All],[concatenado]],[2]!COMPROMISOS_2024[[#All],[Total pagado]],"",0)</f>
        <v>#NAME?</v>
      </c>
      <c r="AJ112" s="56">
        <f>IF(PAA_4[[#This Row],[BOLSA]]=0,0,SUMIFS([2]!COMPROMISOS_2024[[#All],[Total pagado]],[2]!COMPROMISOS_2024[[#All],[Bolsa]],PAA_4[[#This Row],[BOLSA]],[2]!COMPROMISOS_2024[[#All],[rubro]],PAA_4[[#This Row],[RCP-RUBRO]]))</f>
        <v>0</v>
      </c>
      <c r="AK112" s="47" t="e" cm="1">
        <f t="array" aca="1" ref="AK112" ca="1">_xlfn.XLOOKUP(PAA_4[[#This Row],[RCP-RUBRO]],[2]!COMPROMISOS_2024[[#All],[concatenado]],[2]!COMPROMISOS_2024[[#All],[Total Comprometido]],"",0)</f>
        <v>#NAME?</v>
      </c>
      <c r="AL112" s="47">
        <f>IF(PAA_4[[#This Row],[BOLSA]]=0,0,SUMIFS([2]!COMPROMISOS_2024[[#All],[Total Comprometido]],[2]!COMPROMISOS_2024[[#All],[Bolsa]],PAA_4[[#This Row],[BOLSA]],[2]!COMPROMISOS_2024[[#All],[concatenado]],PAA_4[[#This Row],[RCP-RUBRO]]))</f>
        <v>0</v>
      </c>
    </row>
    <row r="113" spans="1:38" s="19" customFormat="1" ht="31.5" customHeight="1">
      <c r="A113" s="47">
        <v>685</v>
      </c>
      <c r="B113" s="47">
        <v>80101500</v>
      </c>
      <c r="C113" s="47" t="str">
        <f>VLOOKUP(PAA_4[[#This Row],[PROYECTO (formulado)2]],[2]PROYECTOS!$G$1:$L$32,6,0)</f>
        <v>SUBGERENCIA ADMINISTRATIVA Y FINANCIERA</v>
      </c>
      <c r="D113" s="47" t="str">
        <f>+IF(PAA_4[[#This Row],[UNIDAD DE CONTRATACION (formulado)]]="Subgerencia Administrativa y Financiera","FUNCIONAMIENTO","INVERSIÓN")</f>
        <v>FUNCIONAMIENTO</v>
      </c>
      <c r="E113" s="48" t="str">
        <f>VLOOKUP(Q113,[2]PROYECTOS!$G$1:$K$32,5,0)</f>
        <v>FUNCIONAMIENTO</v>
      </c>
      <c r="F113" s="48">
        <f>VLOOKUP(E113,[2]PROYECTOS!$K$1:$M$32,3,0)</f>
        <v>999999</v>
      </c>
      <c r="G113" s="49" t="s">
        <v>43</v>
      </c>
      <c r="H113" s="49">
        <f>VLOOKUP(Q113,[2]PROYECTOS!$V$1:$W$32,2,0)</f>
        <v>999999</v>
      </c>
      <c r="I113" s="50">
        <v>24440000</v>
      </c>
      <c r="J113" s="60" t="s">
        <v>1329</v>
      </c>
      <c r="K113" s="47" t="str">
        <f t="shared" ca="1" si="21"/>
        <v>CONTRATADO</v>
      </c>
      <c r="L113" s="61" t="s">
        <v>94</v>
      </c>
      <c r="M113" s="47" t="s">
        <v>161</v>
      </c>
      <c r="N113" s="62" t="s">
        <v>155</v>
      </c>
      <c r="O113" s="51" t="e">
        <f>VLOOKUP(N113,[2]!RUBROS[#All],3,0)</f>
        <v>#REF!</v>
      </c>
      <c r="P113" s="53" t="e">
        <f>VLOOKUP(N113,[2]!RUBROS[#All],2,0)</f>
        <v>#REF!</v>
      </c>
      <c r="Q113" s="47" t="str">
        <f t="shared" si="22"/>
        <v>00</v>
      </c>
      <c r="R113" s="47" t="str">
        <f t="shared" si="23"/>
        <v>4-205616</v>
      </c>
      <c r="S113" s="54">
        <v>6</v>
      </c>
      <c r="T113" s="59" t="s">
        <v>46</v>
      </c>
      <c r="U113" s="326" t="e">
        <f ca="1">_xlfn.XLOOKUP(PAA_4[[#This Row],[ITEM]],[2]Contrato!A:A,[2]Contrato!Q:Q,"",0)</f>
        <v>#NAME?</v>
      </c>
      <c r="V113" s="47" t="s">
        <v>47</v>
      </c>
      <c r="W113" s="47" t="s">
        <v>154</v>
      </c>
      <c r="X113" s="47" t="s">
        <v>154</v>
      </c>
      <c r="Y113" s="55" t="e">
        <f ca="1">_xlfn.XLOOKUP(PAA_4[[#This Row],[ITEM]],[2]Contrato!A:A,[2]Contrato!B:B,"",0)</f>
        <v>#NAME?</v>
      </c>
      <c r="Z113" s="47" t="e">
        <f ca="1">_xlfn.XLOOKUP(PAA_4[[#This Row],[ITEM]],[2]Contrato!A:A,[2]Contrato!G:G,"",0)</f>
        <v>#NAME?</v>
      </c>
      <c r="AA113" s="47" t="e">
        <f ca="1">_xlfn.XLOOKUP(PAA_4[[#This Row],[ITEM]],[2]Contrato!A:A,[2]Contrato!T:T,"",0)</f>
        <v>#NAME?</v>
      </c>
      <c r="AB113" s="55" t="e">
        <f ca="1">+MAX(PAA_4[[#This Row],[Comprometido Contrato]],PAA_4[[#This Row],[Comprometido Bolsa]])</f>
        <v>#NAME?</v>
      </c>
      <c r="AC113" s="55" t="str">
        <f t="shared" ca="1" si="24"/>
        <v/>
      </c>
      <c r="AD113" s="55" t="e">
        <f ca="1">IF(PAA_4[[#This Row],[ESTADO (formulado)]]="NO CONTRATADO",0,MAX(PAA_4[[#This Row],[Pago por Contrato]],PAA_4[[#This Row],[Pago por bolsa]]))</f>
        <v>#NAME?</v>
      </c>
      <c r="AE113" s="55" t="str">
        <f t="shared" ca="1" si="25"/>
        <v/>
      </c>
      <c r="AF113" s="47" t="e">
        <f t="shared" ca="1" si="26"/>
        <v>#NAME?</v>
      </c>
      <c r="AG113" s="47" t="str">
        <f t="shared" si="27"/>
        <v/>
      </c>
      <c r="AH113" s="54">
        <f>IF(Q113="22",IF(ISNUMBER(SEARCH("econ",PAA_4[[#This Row],[Actividad3]])),"Económico",IF(ISNUMBER(SEARCH("alim",PAA_4[[#This Row],[Actividad3]])),"Alimentación",IF(ISNUMBER(SEARCH("educ",PAA_4[[#This Row],[Actividad3]])),"Educativo","Técnico"))),0)</f>
        <v>0</v>
      </c>
      <c r="AI113" s="47" t="e" cm="1">
        <f t="array" aca="1" ref="AI113" ca="1">_xlfn.XLOOKUP(PAA_4[[#This Row],[RCP-RUBRO]],[2]!COMPROMISOS_2024[[#All],[concatenado]],[2]!COMPROMISOS_2024[[#All],[Total pagado]],"",0)</f>
        <v>#NAME?</v>
      </c>
      <c r="AJ113" s="56">
        <f>IF(PAA_4[[#This Row],[BOLSA]]=0,0,SUMIFS([2]!COMPROMISOS_2024[[#All],[Total pagado]],[2]!COMPROMISOS_2024[[#All],[Bolsa]],PAA_4[[#This Row],[BOLSA]],[2]!COMPROMISOS_2024[[#All],[rubro]],PAA_4[[#This Row],[RCP-RUBRO]]))</f>
        <v>0</v>
      </c>
      <c r="AK113" s="47" t="e" cm="1">
        <f t="array" aca="1" ref="AK113" ca="1">_xlfn.XLOOKUP(PAA_4[[#This Row],[RCP-RUBRO]],[2]!COMPROMISOS_2024[[#All],[concatenado]],[2]!COMPROMISOS_2024[[#All],[Total Comprometido]],"",0)</f>
        <v>#NAME?</v>
      </c>
      <c r="AL113" s="47">
        <f>IF(PAA_4[[#This Row],[BOLSA]]=0,0,SUMIFS([2]!COMPROMISOS_2024[[#All],[Total Comprometido]],[2]!COMPROMISOS_2024[[#All],[Bolsa]],PAA_4[[#This Row],[BOLSA]],[2]!COMPROMISOS_2024[[#All],[concatenado]],PAA_4[[#This Row],[RCP-RUBRO]]))</f>
        <v>0</v>
      </c>
    </row>
    <row r="114" spans="1:38" s="19" customFormat="1" ht="31.5" customHeight="1">
      <c r="A114" s="47">
        <v>685</v>
      </c>
      <c r="B114" s="47">
        <v>80101500</v>
      </c>
      <c r="C114" s="47" t="str">
        <f>VLOOKUP(PAA_4[[#This Row],[PROYECTO (formulado)2]],[2]PROYECTOS!$G$1:$L$32,6,0)</f>
        <v>SUBGERENCIA ADMINISTRATIVA Y FINANCIERA</v>
      </c>
      <c r="D114" s="47" t="str">
        <f>+IF(PAA_4[[#This Row],[UNIDAD DE CONTRATACION (formulado)]]="Subgerencia Administrativa y Financiera","FUNCIONAMIENTO","INVERSIÓN")</f>
        <v>FUNCIONAMIENTO</v>
      </c>
      <c r="E114" s="48" t="str">
        <f>VLOOKUP(Q114,[2]PROYECTOS!$G$1:$K$32,5,0)</f>
        <v>FUNCIONAMIENTO</v>
      </c>
      <c r="F114" s="48">
        <f>VLOOKUP(E114,[2]PROYECTOS!$K$1:$M$32,3,0)</f>
        <v>999999</v>
      </c>
      <c r="G114" s="49" t="s">
        <v>43</v>
      </c>
      <c r="H114" s="49">
        <f>VLOOKUP(Q114,[2]PROYECTOS!$V$1:$W$32,2,0)</f>
        <v>999999</v>
      </c>
      <c r="I114" s="50">
        <v>165160000</v>
      </c>
      <c r="J114" s="60" t="s">
        <v>1330</v>
      </c>
      <c r="K114" s="47" t="str">
        <f t="shared" ca="1" si="21"/>
        <v>CONTRATADO</v>
      </c>
      <c r="L114" s="61" t="s">
        <v>94</v>
      </c>
      <c r="M114" s="47" t="s">
        <v>161</v>
      </c>
      <c r="N114" s="62" t="s">
        <v>90</v>
      </c>
      <c r="O114" s="51" t="e">
        <f>VLOOKUP(N114,[2]!RUBROS[#All],3,0)</f>
        <v>#REF!</v>
      </c>
      <c r="P114" s="53" t="e">
        <f>VLOOKUP(N114,[2]!RUBROS[#All],2,0)</f>
        <v>#REF!</v>
      </c>
      <c r="Q114" s="47" t="str">
        <f t="shared" si="22"/>
        <v>00</v>
      </c>
      <c r="R114" s="47" t="str">
        <f t="shared" si="23"/>
        <v>0-205616</v>
      </c>
      <c r="S114" s="54">
        <v>6</v>
      </c>
      <c r="T114" s="59" t="s">
        <v>46</v>
      </c>
      <c r="U114" s="326" t="e">
        <f ca="1">_xlfn.XLOOKUP(PAA_4[[#This Row],[ITEM]],[2]Contrato!A:A,[2]Contrato!Q:Q,"",0)</f>
        <v>#NAME?</v>
      </c>
      <c r="V114" s="47" t="s">
        <v>47</v>
      </c>
      <c r="W114" s="47" t="s">
        <v>119</v>
      </c>
      <c r="X114" s="47" t="s">
        <v>119</v>
      </c>
      <c r="Y114" s="55" t="e">
        <f ca="1">_xlfn.XLOOKUP(PAA_4[[#This Row],[ITEM]],[2]Contrato!A:A,[2]Contrato!B:B,"",0)</f>
        <v>#NAME?</v>
      </c>
      <c r="Z114" s="47" t="e">
        <f ca="1">_xlfn.XLOOKUP(PAA_4[[#This Row],[ITEM]],[2]Contrato!A:A,[2]Contrato!G:G,"",0)</f>
        <v>#NAME?</v>
      </c>
      <c r="AA114" s="47" t="e">
        <f ca="1">_xlfn.XLOOKUP(PAA_4[[#This Row],[ITEM]],[2]Contrato!A:A,[2]Contrato!T:T,"",0)</f>
        <v>#NAME?</v>
      </c>
      <c r="AB114" s="55" t="e">
        <f ca="1">+MAX(PAA_4[[#This Row],[Comprometido Contrato]],PAA_4[[#This Row],[Comprometido Bolsa]])</f>
        <v>#NAME?</v>
      </c>
      <c r="AC114" s="55" t="str">
        <f t="shared" ca="1" si="24"/>
        <v/>
      </c>
      <c r="AD114" s="55" t="e">
        <f ca="1">IF(PAA_4[[#This Row],[ESTADO (formulado)]]="NO CONTRATADO",0,MAX(PAA_4[[#This Row],[Pago por Contrato]],PAA_4[[#This Row],[Pago por bolsa]]))</f>
        <v>#NAME?</v>
      </c>
      <c r="AE114" s="55" t="str">
        <f t="shared" ca="1" si="25"/>
        <v/>
      </c>
      <c r="AF114" s="47" t="e">
        <f t="shared" ca="1" si="26"/>
        <v>#NAME?</v>
      </c>
      <c r="AG114" s="47" t="str">
        <f t="shared" si="27"/>
        <v/>
      </c>
      <c r="AH114" s="54">
        <f>IF(Q114="22",IF(ISNUMBER(SEARCH("econ",PAA_4[[#This Row],[Actividad3]])),"Económico",IF(ISNUMBER(SEARCH("alim",PAA_4[[#This Row],[Actividad3]])),"Alimentación",IF(ISNUMBER(SEARCH("educ",PAA_4[[#This Row],[Actividad3]])),"Educativo","Técnico"))),0)</f>
        <v>0</v>
      </c>
      <c r="AI114" s="47" t="e" cm="1">
        <f t="array" aca="1" ref="AI114" ca="1">_xlfn.XLOOKUP(PAA_4[[#This Row],[RCP-RUBRO]],[2]!COMPROMISOS_2024[[#All],[concatenado]],[2]!COMPROMISOS_2024[[#All],[Total pagado]],"",0)</f>
        <v>#NAME?</v>
      </c>
      <c r="AJ114" s="56">
        <f>IF(PAA_4[[#This Row],[BOLSA]]=0,0,SUMIFS([2]!COMPROMISOS_2024[[#All],[Total pagado]],[2]!COMPROMISOS_2024[[#All],[Bolsa]],PAA_4[[#This Row],[BOLSA]],[2]!COMPROMISOS_2024[[#All],[rubro]],PAA_4[[#This Row],[RCP-RUBRO]]))</f>
        <v>0</v>
      </c>
      <c r="AK114" s="47" t="e" cm="1">
        <f t="array" aca="1" ref="AK114" ca="1">_xlfn.XLOOKUP(PAA_4[[#This Row],[RCP-RUBRO]],[2]!COMPROMISOS_2024[[#All],[concatenado]],[2]!COMPROMISOS_2024[[#All],[Total Comprometido]],"",0)</f>
        <v>#NAME?</v>
      </c>
      <c r="AL114" s="47">
        <f>IF(PAA_4[[#This Row],[BOLSA]]=0,0,SUMIFS([2]!COMPROMISOS_2024[[#All],[Total Comprometido]],[2]!COMPROMISOS_2024[[#All],[Bolsa]],PAA_4[[#This Row],[BOLSA]],[2]!COMPROMISOS_2024[[#All],[concatenado]],PAA_4[[#This Row],[RCP-RUBRO]]))</f>
        <v>0</v>
      </c>
    </row>
    <row r="115" spans="1:38" s="19" customFormat="1" ht="31.5" customHeight="1">
      <c r="A115" s="47" t="s">
        <v>82</v>
      </c>
      <c r="B115" s="47" t="s">
        <v>42</v>
      </c>
      <c r="C115" s="47" t="str">
        <f>VLOOKUP(PAA_4[[#This Row],[PROYECTO (formulado)2]],[2]PROYECTOS!$G$1:$L$32,6,0)</f>
        <v>SUBGERENCIA ADMINISTRATIVA Y FINANCIERA</v>
      </c>
      <c r="D115" s="47" t="str">
        <f>+IF(PAA_4[[#This Row],[UNIDAD DE CONTRATACION (formulado)]]="Subgerencia Administrativa y Financiera","FUNCIONAMIENTO","INVERSIÓN")</f>
        <v>FUNCIONAMIENTO</v>
      </c>
      <c r="E115" s="48" t="str">
        <f>VLOOKUP(Q115,[2]PROYECTOS!$G$1:$K$32,5,0)</f>
        <v>FUNCIONAMIENTO</v>
      </c>
      <c r="F115" s="48">
        <f>VLOOKUP(E115,[2]PROYECTOS!$K$1:$M$32,3,0)</f>
        <v>999999</v>
      </c>
      <c r="G115" s="49" t="s">
        <v>43</v>
      </c>
      <c r="H115" s="49">
        <f>VLOOKUP(Q115,[2]PROYECTOS!$V$1:$W$32,2,0)</f>
        <v>999999</v>
      </c>
      <c r="I115" s="50">
        <v>10700000</v>
      </c>
      <c r="J115" s="60" t="s">
        <v>1331</v>
      </c>
      <c r="K115" s="47" t="str">
        <f ca="1">IF(ISNONTEXT(Y115)=TRUE,"CONTRATADO","NO CONTRATADO")</f>
        <v>CONTRATADO</v>
      </c>
      <c r="L115" s="61" t="s">
        <v>42</v>
      </c>
      <c r="M115" s="47" t="s">
        <v>42</v>
      </c>
      <c r="N115" s="62" t="s">
        <v>76</v>
      </c>
      <c r="O115" s="51" t="e">
        <f>VLOOKUP(N115,[2]!RUBROS[#All],3,0)</f>
        <v>#REF!</v>
      </c>
      <c r="P115" s="53" t="e">
        <f>VLOOKUP(N115,[2]!RUBROS[#All],2,0)</f>
        <v>#REF!</v>
      </c>
      <c r="Q115" s="47" t="str">
        <f>+MID(N115,11,2)</f>
        <v>00</v>
      </c>
      <c r="R115" s="47" t="str">
        <f>+MID(N115,14,8)</f>
        <v>0-205616</v>
      </c>
      <c r="S115" s="54" t="s">
        <v>42</v>
      </c>
      <c r="T115" s="59" t="s">
        <v>42</v>
      </c>
      <c r="U115" s="326" t="e">
        <f ca="1">_xlfn.XLOOKUP(PAA_4[[#This Row],[ITEM]],[2]Contrato!A:A,[2]Contrato!Q:Q,"",0)</f>
        <v>#NAME?</v>
      </c>
      <c r="V115" s="47" t="s">
        <v>95</v>
      </c>
      <c r="W115" s="47" t="s">
        <v>42</v>
      </c>
      <c r="X115" s="47" t="s">
        <v>42</v>
      </c>
      <c r="Y115" s="55" t="e">
        <f ca="1">_xlfn.XLOOKUP(PAA_4[[#This Row],[ITEM]],[2]Contrato!A:A,[2]Contrato!B:B,"",0)</f>
        <v>#NAME?</v>
      </c>
      <c r="Z115" s="47" t="e">
        <f ca="1">_xlfn.XLOOKUP(PAA_4[[#This Row],[ITEM]],[2]Contrato!A:A,[2]Contrato!G:G,"",0)</f>
        <v>#NAME?</v>
      </c>
      <c r="AA115" s="47" t="e">
        <f ca="1">_xlfn.XLOOKUP(PAA_4[[#This Row],[ITEM]],[2]Contrato!A:A,[2]Contrato!T:T,"",0)</f>
        <v>#NAME?</v>
      </c>
      <c r="AB115" s="55" t="e">
        <f ca="1">+MAX(PAA_4[[#This Row],[Comprometido Contrato]],PAA_4[[#This Row],[Comprometido Bolsa]])</f>
        <v>#NAME?</v>
      </c>
      <c r="AC115" s="55" t="str">
        <f ca="1">IFERROR(I115-AB115,"")</f>
        <v/>
      </c>
      <c r="AD115" s="55" t="e">
        <f ca="1">IF(PAA_4[[#This Row],[ESTADO (formulado)]]="NO CONTRATADO",0,MAX(PAA_4[[#This Row],[Pago por Contrato]],PAA_4[[#This Row],[Pago por bolsa]]))</f>
        <v>#NAME?</v>
      </c>
      <c r="AE115" s="55" t="str">
        <f ca="1">+IFERROR(AB115-AD115,"")</f>
        <v/>
      </c>
      <c r="AF115" s="47" t="e">
        <f ca="1">+CONCATENATE(AA115,N115)</f>
        <v>#NAME?</v>
      </c>
      <c r="AG115" s="47" t="str">
        <f>IFERROR(_xlfn.NUMBERVALUE(MID(G115,1,8)),"")</f>
        <v/>
      </c>
      <c r="AH115" s="54">
        <f>IF(Q115="22",IF(ISNUMBER(SEARCH("econ",PAA_4[[#This Row],[Actividad3]])),"Económico",IF(ISNUMBER(SEARCH("alim",PAA_4[[#This Row],[Actividad3]])),"Alimentación",IF(ISNUMBER(SEARCH("educ",PAA_4[[#This Row],[Actividad3]])),"Educativo","Técnico"))),0)</f>
        <v>0</v>
      </c>
      <c r="AI115" s="47" t="e" cm="1">
        <f t="array" aca="1" ref="AI115" ca="1">_xlfn.XLOOKUP(PAA_4[[#This Row],[RCP-RUBRO]],[2]!COMPROMISOS_2024[[#All],[concatenado]],[2]!COMPROMISOS_2024[[#All],[Total pagado]],"",0)</f>
        <v>#NAME?</v>
      </c>
      <c r="AJ115" s="56">
        <f>IF(PAA_4[[#This Row],[BOLSA]]=0,0,SUMIFS([2]!COMPROMISOS_2024[[#All],[Total pagado]],[2]!COMPROMISOS_2024[[#All],[Bolsa]],PAA_4[[#This Row],[BOLSA]],[2]!COMPROMISOS_2024[[#All],[rubro]],PAA_4[[#This Row],[RCP-RUBRO]]))</f>
        <v>0</v>
      </c>
      <c r="AK115" s="47" t="e" cm="1">
        <f t="array" aca="1" ref="AK115" ca="1">_xlfn.XLOOKUP(PAA_4[[#This Row],[RCP-RUBRO]],[2]!COMPROMISOS_2024[[#All],[concatenado]],[2]!COMPROMISOS_2024[[#All],[Total Comprometido]],"",0)</f>
        <v>#NAME?</v>
      </c>
      <c r="AL115" s="47">
        <f>IF(PAA_4[[#This Row],[BOLSA]]=0,0,SUMIFS([2]!COMPROMISOS_2024[[#All],[Total Comprometido]],[2]!COMPROMISOS_2024[[#All],[Bolsa]],PAA_4[[#This Row],[BOLSA]],[2]!COMPROMISOS_2024[[#All],[concatenado]],PAA_4[[#This Row],[RCP-RUBRO]]))</f>
        <v>0</v>
      </c>
    </row>
    <row r="116" spans="1:38" s="19" customFormat="1" ht="31.5" customHeight="1">
      <c r="A116" s="47" t="s">
        <v>82</v>
      </c>
      <c r="B116" s="47" t="s">
        <v>42</v>
      </c>
      <c r="C116" s="47" t="str">
        <f>VLOOKUP(PAA_4[[#This Row],[PROYECTO (formulado)2]],[2]PROYECTOS!$G$1:$L$32,6,0)</f>
        <v>SUBGERENCIA ADMINISTRATIVA Y FINANCIERA</v>
      </c>
      <c r="D116" s="47" t="str">
        <f>+IF(PAA_4[[#This Row],[UNIDAD DE CONTRATACION (formulado)]]="Subgerencia Administrativa y Financiera","FUNCIONAMIENTO","INVERSIÓN")</f>
        <v>FUNCIONAMIENTO</v>
      </c>
      <c r="E116" s="48" t="str">
        <f>VLOOKUP(Q116,[2]PROYECTOS!$G$1:$K$32,5,0)</f>
        <v>FUNCIONAMIENTO</v>
      </c>
      <c r="F116" s="48">
        <f>VLOOKUP(E116,[2]PROYECTOS!$K$1:$M$32,3,0)</f>
        <v>999999</v>
      </c>
      <c r="G116" s="49" t="s">
        <v>43</v>
      </c>
      <c r="H116" s="49">
        <f>VLOOKUP(Q116,[2]PROYECTOS!$V$1:$W$32,2,0)</f>
        <v>999999</v>
      </c>
      <c r="I116" s="50">
        <v>3141664</v>
      </c>
      <c r="J116" s="60" t="s">
        <v>1331</v>
      </c>
      <c r="K116" s="47" t="str">
        <f ca="1">IF(ISNONTEXT(Y116)=TRUE,"CONTRATADO","NO CONTRATADO")</f>
        <v>CONTRATADO</v>
      </c>
      <c r="L116" s="61" t="s">
        <v>42</v>
      </c>
      <c r="M116" s="47" t="s">
        <v>42</v>
      </c>
      <c r="N116" s="62" t="s">
        <v>155</v>
      </c>
      <c r="O116" s="51" t="e">
        <f>VLOOKUP(N116,[2]!RUBROS[#All],3,0)</f>
        <v>#REF!</v>
      </c>
      <c r="P116" s="53" t="e">
        <f>VLOOKUP(N116,[2]!RUBROS[#All],2,0)</f>
        <v>#REF!</v>
      </c>
      <c r="Q116" s="47" t="str">
        <f>+MID(N116,11,2)</f>
        <v>00</v>
      </c>
      <c r="R116" s="47" t="str">
        <f>+MID(N116,14,8)</f>
        <v>4-205616</v>
      </c>
      <c r="S116" s="54" t="s">
        <v>42</v>
      </c>
      <c r="T116" s="59" t="s">
        <v>42</v>
      </c>
      <c r="U116" s="326" t="e">
        <f ca="1">_xlfn.XLOOKUP(PAA_4[[#This Row],[ITEM]],[2]Contrato!A:A,[2]Contrato!Q:Q,"",0)</f>
        <v>#NAME?</v>
      </c>
      <c r="V116" s="47" t="s">
        <v>95</v>
      </c>
      <c r="W116" s="47" t="s">
        <v>42</v>
      </c>
      <c r="X116" s="47" t="s">
        <v>42</v>
      </c>
      <c r="Y116" s="55" t="e">
        <f ca="1">_xlfn.XLOOKUP(PAA_4[[#This Row],[ITEM]],[2]Contrato!A:A,[2]Contrato!B:B,"",0)</f>
        <v>#NAME?</v>
      </c>
      <c r="Z116" s="47" t="e">
        <f ca="1">_xlfn.XLOOKUP(PAA_4[[#This Row],[ITEM]],[2]Contrato!A:A,[2]Contrato!G:G,"",0)</f>
        <v>#NAME?</v>
      </c>
      <c r="AA116" s="47" t="e">
        <f ca="1">_xlfn.XLOOKUP(PAA_4[[#This Row],[ITEM]],[2]Contrato!A:A,[2]Contrato!T:T,"",0)</f>
        <v>#NAME?</v>
      </c>
      <c r="AB116" s="55" t="e">
        <f ca="1">+MAX(PAA_4[[#This Row],[Comprometido Contrato]],PAA_4[[#This Row],[Comprometido Bolsa]])</f>
        <v>#NAME?</v>
      </c>
      <c r="AC116" s="55" t="str">
        <f ca="1">IFERROR(I116-AB116,"")</f>
        <v/>
      </c>
      <c r="AD116" s="55" t="e">
        <f ca="1">IF(PAA_4[[#This Row],[ESTADO (formulado)]]="NO CONTRATADO",0,MAX(PAA_4[[#This Row],[Pago por Contrato]],PAA_4[[#This Row],[Pago por bolsa]]))</f>
        <v>#NAME?</v>
      </c>
      <c r="AE116" s="55" t="str">
        <f ca="1">+IFERROR(AB116-AD116,"")</f>
        <v/>
      </c>
      <c r="AF116" s="47" t="e">
        <f ca="1">+CONCATENATE(AA116,N116)</f>
        <v>#NAME?</v>
      </c>
      <c r="AG116" s="47" t="str">
        <f>IFERROR(_xlfn.NUMBERVALUE(MID(G116,1,8)),"")</f>
        <v/>
      </c>
      <c r="AH116" s="54">
        <f>IF(Q116="22",IF(ISNUMBER(SEARCH("econ",PAA_4[[#This Row],[Actividad3]])),"Económico",IF(ISNUMBER(SEARCH("alim",PAA_4[[#This Row],[Actividad3]])),"Alimentación",IF(ISNUMBER(SEARCH("educ",PAA_4[[#This Row],[Actividad3]])),"Educativo","Técnico"))),0)</f>
        <v>0</v>
      </c>
      <c r="AI116" s="47" t="e" cm="1">
        <f t="array" aca="1" ref="AI116" ca="1">_xlfn.XLOOKUP(PAA_4[[#This Row],[RCP-RUBRO]],[2]!COMPROMISOS_2024[[#All],[concatenado]],[2]!COMPROMISOS_2024[[#All],[Total pagado]],"",0)</f>
        <v>#NAME?</v>
      </c>
      <c r="AJ116" s="56">
        <f>IF(PAA_4[[#This Row],[BOLSA]]=0,0,SUMIFS([2]!COMPROMISOS_2024[[#All],[Total pagado]],[2]!COMPROMISOS_2024[[#All],[Bolsa]],PAA_4[[#This Row],[BOLSA]],[2]!COMPROMISOS_2024[[#All],[rubro]],PAA_4[[#This Row],[RCP-RUBRO]]))</f>
        <v>0</v>
      </c>
      <c r="AK116" s="47" t="e" cm="1">
        <f t="array" aca="1" ref="AK116" ca="1">_xlfn.XLOOKUP(PAA_4[[#This Row],[RCP-RUBRO]],[2]!COMPROMISOS_2024[[#All],[concatenado]],[2]!COMPROMISOS_2024[[#All],[Total Comprometido]],"",0)</f>
        <v>#NAME?</v>
      </c>
      <c r="AL116" s="47">
        <f>IF(PAA_4[[#This Row],[BOLSA]]=0,0,SUMIFS([2]!COMPROMISOS_2024[[#All],[Total Comprometido]],[2]!COMPROMISOS_2024[[#All],[Bolsa]],PAA_4[[#This Row],[BOLSA]],[2]!COMPROMISOS_2024[[#All],[concatenado]],PAA_4[[#This Row],[RCP-RUBRO]]))</f>
        <v>0</v>
      </c>
    </row>
    <row r="117" spans="1:38" s="19" customFormat="1" ht="31.5" customHeight="1">
      <c r="A117" s="47" t="s">
        <v>82</v>
      </c>
      <c r="B117" s="47" t="s">
        <v>42</v>
      </c>
      <c r="C117" s="47" t="str">
        <f>VLOOKUP(PAA_4[[#This Row],[PROYECTO (formulado)2]],[2]PROYECTOS!$G$1:$L$32,6,0)</f>
        <v>SUBGERENCIA ADMINISTRATIVA Y FINANCIERA</v>
      </c>
      <c r="D117" s="47" t="str">
        <f>+IF(PAA_4[[#This Row],[UNIDAD DE CONTRATACION (formulado)]]="Subgerencia Administrativa y Financiera","FUNCIONAMIENTO","INVERSIÓN")</f>
        <v>FUNCIONAMIENTO</v>
      </c>
      <c r="E117" s="48" t="str">
        <f>VLOOKUP(Q117,[2]PROYECTOS!$G$1:$K$32,5,0)</f>
        <v>FUNCIONAMIENTO</v>
      </c>
      <c r="F117" s="48">
        <f>VLOOKUP(E117,[2]PROYECTOS!$K$1:$M$32,3,0)</f>
        <v>999999</v>
      </c>
      <c r="G117" s="49" t="s">
        <v>43</v>
      </c>
      <c r="H117" s="49">
        <f>VLOOKUP(Q117,[2]PROYECTOS!$V$1:$W$32,2,0)</f>
        <v>999999</v>
      </c>
      <c r="I117" s="50">
        <v>452274</v>
      </c>
      <c r="J117" s="60" t="s">
        <v>1331</v>
      </c>
      <c r="K117" s="47" t="str">
        <f ca="1">IF(ISNONTEXT(Y117)=TRUE,"CONTRATADO","NO CONTRATADO")</f>
        <v>CONTRATADO</v>
      </c>
      <c r="L117" s="61" t="s">
        <v>42</v>
      </c>
      <c r="M117" s="47" t="s">
        <v>42</v>
      </c>
      <c r="N117" s="62" t="s">
        <v>155</v>
      </c>
      <c r="O117" s="51" t="e">
        <f>VLOOKUP(N117,[2]!RUBROS[#All],3,0)</f>
        <v>#REF!</v>
      </c>
      <c r="P117" s="53" t="e">
        <f>VLOOKUP(N117,[2]!RUBROS[#All],2,0)</f>
        <v>#REF!</v>
      </c>
      <c r="Q117" s="47" t="str">
        <f>+MID(N117,11,2)</f>
        <v>00</v>
      </c>
      <c r="R117" s="47" t="str">
        <f>+MID(N117,14,8)</f>
        <v>4-205616</v>
      </c>
      <c r="S117" s="54" t="s">
        <v>42</v>
      </c>
      <c r="T117" s="59" t="s">
        <v>42</v>
      </c>
      <c r="U117" s="326" t="e">
        <f ca="1">_xlfn.XLOOKUP(PAA_4[[#This Row],[ITEM]],[2]Contrato!A:A,[2]Contrato!Q:Q,"",0)</f>
        <v>#NAME?</v>
      </c>
      <c r="V117" s="47" t="s">
        <v>95</v>
      </c>
      <c r="W117" s="47" t="s">
        <v>42</v>
      </c>
      <c r="X117" s="47" t="s">
        <v>42</v>
      </c>
      <c r="Y117" s="55" t="e">
        <f ca="1">_xlfn.XLOOKUP(PAA_4[[#This Row],[ITEM]],[2]Contrato!A:A,[2]Contrato!B:B,"",0)</f>
        <v>#NAME?</v>
      </c>
      <c r="Z117" s="47" t="e">
        <f ca="1">_xlfn.XLOOKUP(PAA_4[[#This Row],[ITEM]],[2]Contrato!A:A,[2]Contrato!G:G,"",0)</f>
        <v>#NAME?</v>
      </c>
      <c r="AA117" s="47" t="e">
        <f ca="1">_xlfn.XLOOKUP(PAA_4[[#This Row],[ITEM]],[2]Contrato!A:A,[2]Contrato!T:T,"",0)</f>
        <v>#NAME?</v>
      </c>
      <c r="AB117" s="55" t="e">
        <f ca="1">+MAX(PAA_4[[#This Row],[Comprometido Contrato]],PAA_4[[#This Row],[Comprometido Bolsa]])</f>
        <v>#NAME?</v>
      </c>
      <c r="AC117" s="55" t="str">
        <f ca="1">IFERROR(I117-AB117,"")</f>
        <v/>
      </c>
      <c r="AD117" s="55" t="e">
        <f ca="1">IF(PAA_4[[#This Row],[ESTADO (formulado)]]="NO CONTRATADO",0,MAX(PAA_4[[#This Row],[Pago por Contrato]],PAA_4[[#This Row],[Pago por bolsa]]))</f>
        <v>#NAME?</v>
      </c>
      <c r="AE117" s="55" t="str">
        <f ca="1">+IFERROR(AB117-AD117,"")</f>
        <v/>
      </c>
      <c r="AF117" s="47" t="e">
        <f ca="1">+CONCATENATE(AA117,N117)</f>
        <v>#NAME?</v>
      </c>
      <c r="AG117" s="47" t="str">
        <f>IFERROR(_xlfn.NUMBERVALUE(MID(G117,1,8)),"")</f>
        <v/>
      </c>
      <c r="AH117" s="54">
        <f>IF(Q117="22",IF(ISNUMBER(SEARCH("econ",PAA_4[[#This Row],[Actividad3]])),"Económico",IF(ISNUMBER(SEARCH("alim",PAA_4[[#This Row],[Actividad3]])),"Alimentación",IF(ISNUMBER(SEARCH("educ",PAA_4[[#This Row],[Actividad3]])),"Educativo","Técnico"))),0)</f>
        <v>0</v>
      </c>
      <c r="AI117" s="47" t="e" cm="1">
        <f t="array" aca="1" ref="AI117" ca="1">_xlfn.XLOOKUP(PAA_4[[#This Row],[RCP-RUBRO]],[2]!COMPROMISOS_2024[[#All],[concatenado]],[2]!COMPROMISOS_2024[[#All],[Total pagado]],"",0)</f>
        <v>#NAME?</v>
      </c>
      <c r="AJ117" s="56">
        <f>IF(PAA_4[[#This Row],[BOLSA]]=0,0,SUMIFS([2]!COMPROMISOS_2024[[#All],[Total pagado]],[2]!COMPROMISOS_2024[[#All],[Bolsa]],PAA_4[[#This Row],[BOLSA]],[2]!COMPROMISOS_2024[[#All],[rubro]],PAA_4[[#This Row],[RCP-RUBRO]]))</f>
        <v>0</v>
      </c>
      <c r="AK117" s="47" t="e" cm="1">
        <f t="array" aca="1" ref="AK117" ca="1">_xlfn.XLOOKUP(PAA_4[[#This Row],[RCP-RUBRO]],[2]!COMPROMISOS_2024[[#All],[concatenado]],[2]!COMPROMISOS_2024[[#All],[Total Comprometido]],"",0)</f>
        <v>#NAME?</v>
      </c>
      <c r="AL117" s="47">
        <f>IF(PAA_4[[#This Row],[BOLSA]]=0,0,SUMIFS([2]!COMPROMISOS_2024[[#All],[Total Comprometido]],[2]!COMPROMISOS_2024[[#All],[Bolsa]],PAA_4[[#This Row],[BOLSA]],[2]!COMPROMISOS_2024[[#All],[concatenado]],PAA_4[[#This Row],[RCP-RUBRO]]))</f>
        <v>0</v>
      </c>
    </row>
    <row r="118" spans="1:38" s="19" customFormat="1" ht="31.5" customHeight="1">
      <c r="A118" s="47" t="s">
        <v>82</v>
      </c>
      <c r="B118" s="47" t="s">
        <v>42</v>
      </c>
      <c r="C118" s="47" t="str">
        <f>VLOOKUP(PAA_4[[#This Row],[PROYECTO (formulado)2]],[2]PROYECTOS!$G$1:$L$32,6,0)</f>
        <v>SUBGERENCIA ADMINISTRATIVA Y FINANCIERA</v>
      </c>
      <c r="D118" s="47" t="str">
        <f>+IF(PAA_4[[#This Row],[UNIDAD DE CONTRATACION (formulado)]]="Subgerencia Administrativa y Financiera","FUNCIONAMIENTO","INVERSIÓN")</f>
        <v>FUNCIONAMIENTO</v>
      </c>
      <c r="E118" s="48" t="str">
        <f>VLOOKUP(Q118,[2]PROYECTOS!$G$1:$K$32,5,0)</f>
        <v>FUNCIONAMIENTO</v>
      </c>
      <c r="F118" s="48">
        <f>VLOOKUP(E118,[2]PROYECTOS!$K$1:$M$32,3,0)</f>
        <v>999999</v>
      </c>
      <c r="G118" s="49" t="s">
        <v>43</v>
      </c>
      <c r="H118" s="49">
        <f>VLOOKUP(Q118,[2]PROYECTOS!$V$1:$W$32,2,0)</f>
        <v>999999</v>
      </c>
      <c r="I118" s="50">
        <v>410153</v>
      </c>
      <c r="J118" s="60" t="s">
        <v>1331</v>
      </c>
      <c r="K118" s="47" t="str">
        <f ca="1">IF(ISNONTEXT(Y118)=TRUE,"CONTRATADO","NO CONTRATADO")</f>
        <v>CONTRATADO</v>
      </c>
      <c r="L118" s="61" t="s">
        <v>42</v>
      </c>
      <c r="M118" s="47" t="s">
        <v>42</v>
      </c>
      <c r="N118" s="62" t="s">
        <v>155</v>
      </c>
      <c r="O118" s="51" t="e">
        <f>VLOOKUP(N118,[2]!RUBROS[#All],3,0)</f>
        <v>#REF!</v>
      </c>
      <c r="P118" s="53" t="e">
        <f>VLOOKUP(N118,[2]!RUBROS[#All],2,0)</f>
        <v>#REF!</v>
      </c>
      <c r="Q118" s="47" t="str">
        <f>+MID(N118,11,2)</f>
        <v>00</v>
      </c>
      <c r="R118" s="47" t="str">
        <f>+MID(N118,14,8)</f>
        <v>4-205616</v>
      </c>
      <c r="S118" s="54" t="s">
        <v>42</v>
      </c>
      <c r="T118" s="59" t="s">
        <v>42</v>
      </c>
      <c r="U118" s="326" t="e">
        <f ca="1">_xlfn.XLOOKUP(PAA_4[[#This Row],[ITEM]],[2]Contrato!A:A,[2]Contrato!Q:Q,"",0)</f>
        <v>#NAME?</v>
      </c>
      <c r="V118" s="47" t="s">
        <v>95</v>
      </c>
      <c r="W118" s="47" t="s">
        <v>42</v>
      </c>
      <c r="X118" s="47" t="s">
        <v>42</v>
      </c>
      <c r="Y118" s="55" t="e">
        <f ca="1">_xlfn.XLOOKUP(PAA_4[[#This Row],[ITEM]],[2]Contrato!A:A,[2]Contrato!B:B,"",0)</f>
        <v>#NAME?</v>
      </c>
      <c r="Z118" s="47" t="e">
        <f ca="1">_xlfn.XLOOKUP(PAA_4[[#This Row],[ITEM]],[2]Contrato!A:A,[2]Contrato!G:G,"",0)</f>
        <v>#NAME?</v>
      </c>
      <c r="AA118" s="47" t="e">
        <f ca="1">_xlfn.XLOOKUP(PAA_4[[#This Row],[ITEM]],[2]Contrato!A:A,[2]Contrato!T:T,"",0)</f>
        <v>#NAME?</v>
      </c>
      <c r="AB118" s="55" t="e">
        <f ca="1">+MAX(PAA_4[[#This Row],[Comprometido Contrato]],PAA_4[[#This Row],[Comprometido Bolsa]])</f>
        <v>#NAME?</v>
      </c>
      <c r="AC118" s="55" t="str">
        <f ca="1">IFERROR(I118-AB118,"")</f>
        <v/>
      </c>
      <c r="AD118" s="55" t="e">
        <f ca="1">IF(PAA_4[[#This Row],[ESTADO (formulado)]]="NO CONTRATADO",0,MAX(PAA_4[[#This Row],[Pago por Contrato]],PAA_4[[#This Row],[Pago por bolsa]]))</f>
        <v>#NAME?</v>
      </c>
      <c r="AE118" s="55" t="str">
        <f ca="1">+IFERROR(AB118-AD118,"")</f>
        <v/>
      </c>
      <c r="AF118" s="47" t="e">
        <f ca="1">+CONCATENATE(AA118,N118)</f>
        <v>#NAME?</v>
      </c>
      <c r="AG118" s="47" t="str">
        <f>IFERROR(_xlfn.NUMBERVALUE(MID(G118,1,8)),"")</f>
        <v/>
      </c>
      <c r="AH118" s="54">
        <f>IF(Q118="22",IF(ISNUMBER(SEARCH("econ",PAA_4[[#This Row],[Actividad3]])),"Económico",IF(ISNUMBER(SEARCH("alim",PAA_4[[#This Row],[Actividad3]])),"Alimentación",IF(ISNUMBER(SEARCH("educ",PAA_4[[#This Row],[Actividad3]])),"Educativo","Técnico"))),0)</f>
        <v>0</v>
      </c>
      <c r="AI118" s="47" t="e" cm="1">
        <f t="array" aca="1" ref="AI118" ca="1">_xlfn.XLOOKUP(PAA_4[[#This Row],[RCP-RUBRO]],[2]!COMPROMISOS_2024[[#All],[concatenado]],[2]!COMPROMISOS_2024[[#All],[Total pagado]],"",0)</f>
        <v>#NAME?</v>
      </c>
      <c r="AJ118" s="56">
        <f>IF(PAA_4[[#This Row],[BOLSA]]=0,0,SUMIFS([2]!COMPROMISOS_2024[[#All],[Total pagado]],[2]!COMPROMISOS_2024[[#All],[Bolsa]],PAA_4[[#This Row],[BOLSA]],[2]!COMPROMISOS_2024[[#All],[rubro]],PAA_4[[#This Row],[RCP-RUBRO]]))</f>
        <v>0</v>
      </c>
      <c r="AK118" s="47" t="e" cm="1">
        <f t="array" aca="1" ref="AK118" ca="1">_xlfn.XLOOKUP(PAA_4[[#This Row],[RCP-RUBRO]],[2]!COMPROMISOS_2024[[#All],[concatenado]],[2]!COMPROMISOS_2024[[#All],[Total Comprometido]],"",0)</f>
        <v>#NAME?</v>
      </c>
      <c r="AL118" s="47">
        <f>IF(PAA_4[[#This Row],[BOLSA]]=0,0,SUMIFS([2]!COMPROMISOS_2024[[#All],[Total Comprometido]],[2]!COMPROMISOS_2024[[#All],[Bolsa]],PAA_4[[#This Row],[BOLSA]],[2]!COMPROMISOS_2024[[#All],[concatenado]],PAA_4[[#This Row],[RCP-RUBRO]]))</f>
        <v>0</v>
      </c>
    </row>
    <row r="119" spans="1:38" s="19" customFormat="1" ht="31.5" customHeight="1">
      <c r="A119" s="47">
        <v>686</v>
      </c>
      <c r="B119" s="47">
        <v>86101700</v>
      </c>
      <c r="C119" s="47" t="str">
        <f>VLOOKUP(PAA_4[[#This Row],[PROYECTO (formulado)2]],[2]PROYECTOS!$G$1:$L$32,6,0)</f>
        <v>SUBGERENCIA ADMINISTRATIVA Y FINANCIERA</v>
      </c>
      <c r="D119" s="47" t="str">
        <f>+IF(PAA_4[[#This Row],[UNIDAD DE CONTRATACION (formulado)]]="Subgerencia Administrativa y Financiera","FUNCIONAMIENTO","INVERSIÓN")</f>
        <v>FUNCIONAMIENTO</v>
      </c>
      <c r="E119" s="48" t="str">
        <f>VLOOKUP(Q119,[2]PROYECTOS!$G$1:$K$32,5,0)</f>
        <v>FUNCIONAMIENTO</v>
      </c>
      <c r="F119" s="48">
        <f>VLOOKUP(E119,[2]PROYECTOS!$K$1:$M$32,3,0)</f>
        <v>999999</v>
      </c>
      <c r="G119" s="49" t="s">
        <v>43</v>
      </c>
      <c r="H119" s="49">
        <f>VLOOKUP(Q119,[2]PROYECTOS!$V$1:$W$32,2,0)</f>
        <v>999999</v>
      </c>
      <c r="I119" s="50">
        <f>91412000-10700000</f>
        <v>80712000</v>
      </c>
      <c r="J119" s="51" t="s">
        <v>1332</v>
      </c>
      <c r="K119" s="47" t="str">
        <f t="shared" ref="K119:K125" ca="1" si="28">IF(ISNONTEXT(Y119)=TRUE,"CONTRATADO","NO CONTRATADO")</f>
        <v>CONTRATADO</v>
      </c>
      <c r="L119" s="47" t="s">
        <v>94</v>
      </c>
      <c r="M119" s="47" t="s">
        <v>89</v>
      </c>
      <c r="N119" s="52" t="s">
        <v>76</v>
      </c>
      <c r="O119" s="51" t="e">
        <f>VLOOKUP(N119,[2]!RUBROS[#All],3,0)</f>
        <v>#REF!</v>
      </c>
      <c r="P119" s="53" t="e">
        <f>VLOOKUP(N119,[2]!RUBROS[#All],2,0)</f>
        <v>#REF!</v>
      </c>
      <c r="Q119" s="47" t="str">
        <f t="shared" ref="Q119:Q125" si="29">+MID(N119,11,2)</f>
        <v>00</v>
      </c>
      <c r="R119" s="47" t="str">
        <f t="shared" ref="R119:R125" si="30">+MID(N119,14,8)</f>
        <v>0-205616</v>
      </c>
      <c r="S119" s="54">
        <v>8</v>
      </c>
      <c r="T119" s="59" t="s">
        <v>46</v>
      </c>
      <c r="U119" s="326" t="e">
        <f ca="1">_xlfn.XLOOKUP(PAA_4[[#This Row],[ITEM]],[2]Contrato!A:A,[2]Contrato!Q:Q,"",0)</f>
        <v>#NAME?</v>
      </c>
      <c r="V119" s="47" t="s">
        <v>47</v>
      </c>
      <c r="W119" s="47" t="s">
        <v>119</v>
      </c>
      <c r="X119" s="47" t="s">
        <v>119</v>
      </c>
      <c r="Y119" s="55" t="e">
        <f ca="1">_xlfn.XLOOKUP(PAA_4[[#This Row],[ITEM]],[2]Contrato!A:A,[2]Contrato!B:B,"",0)</f>
        <v>#NAME?</v>
      </c>
      <c r="Z119" s="47" t="e">
        <f ca="1">_xlfn.XLOOKUP(PAA_4[[#This Row],[ITEM]],[2]Contrato!A:A,[2]Contrato!G:G,"",0)</f>
        <v>#NAME?</v>
      </c>
      <c r="AA119" s="47" t="e">
        <f ca="1">_xlfn.XLOOKUP(PAA_4[[#This Row],[ITEM]],[2]Contrato!A:A,[2]Contrato!T:T,"",0)</f>
        <v>#NAME?</v>
      </c>
      <c r="AB119" s="55" t="e">
        <f ca="1">+MAX(PAA_4[[#This Row],[Comprometido Contrato]],PAA_4[[#This Row],[Comprometido Bolsa]])</f>
        <v>#NAME?</v>
      </c>
      <c r="AC119" s="55" t="str">
        <f t="shared" ref="AC119:AC125" ca="1" si="31">IFERROR(I119-AB119,"")</f>
        <v/>
      </c>
      <c r="AD119" s="55" t="e">
        <f ca="1">IF(PAA_4[[#This Row],[ESTADO (formulado)]]="NO CONTRATADO",0,MAX(PAA_4[[#This Row],[Pago por Contrato]],PAA_4[[#This Row],[Pago por bolsa]]))</f>
        <v>#NAME?</v>
      </c>
      <c r="AE119" s="55" t="str">
        <f t="shared" ref="AE119:AE125" ca="1" si="32">+IFERROR(AB119-AD119,"")</f>
        <v/>
      </c>
      <c r="AF119" s="47" t="e">
        <f t="shared" ref="AF119:AF125" ca="1" si="33">+CONCATENATE(AA119,N119)</f>
        <v>#NAME?</v>
      </c>
      <c r="AG119" s="47" t="str">
        <f t="shared" ref="AG119:AG125" si="34">IFERROR(_xlfn.NUMBERVALUE(MID(G119,1,8)),"")</f>
        <v/>
      </c>
      <c r="AH119" s="54">
        <f>IF(Q119="22",IF(ISNUMBER(SEARCH("econ",PAA_4[[#This Row],[Actividad3]])),"Económico",IF(ISNUMBER(SEARCH("alim",PAA_4[[#This Row],[Actividad3]])),"Alimentación",IF(ISNUMBER(SEARCH("educ",PAA_4[[#This Row],[Actividad3]])),"Educativo","Técnico"))),0)</f>
        <v>0</v>
      </c>
      <c r="AI119" s="47" t="e" cm="1">
        <f t="array" aca="1" ref="AI119" ca="1">_xlfn.XLOOKUP(PAA_4[[#This Row],[RCP-RUBRO]],[2]!COMPROMISOS_2024[[#All],[concatenado]],[2]!COMPROMISOS_2024[[#All],[Total pagado]],"",0)</f>
        <v>#NAME?</v>
      </c>
      <c r="AJ119" s="56">
        <f>IF(PAA_4[[#This Row],[BOLSA]]=0,0,SUMIFS([2]!COMPROMISOS_2024[[#All],[Total pagado]],[2]!COMPROMISOS_2024[[#All],[Bolsa]],PAA_4[[#This Row],[BOLSA]],[2]!COMPROMISOS_2024[[#All],[rubro]],PAA_4[[#This Row],[RCP-RUBRO]]))</f>
        <v>0</v>
      </c>
      <c r="AK119" s="47" t="e" cm="1">
        <f t="array" aca="1" ref="AK119" ca="1">_xlfn.XLOOKUP(PAA_4[[#This Row],[RCP-RUBRO]],[2]!COMPROMISOS_2024[[#All],[concatenado]],[2]!COMPROMISOS_2024[[#All],[Total Comprometido]],"",0)</f>
        <v>#NAME?</v>
      </c>
      <c r="AL119" s="47">
        <f>IF(PAA_4[[#This Row],[BOLSA]]=0,0,SUMIFS([2]!COMPROMISOS_2024[[#All],[Total Comprometido]],[2]!COMPROMISOS_2024[[#All],[Bolsa]],PAA_4[[#This Row],[BOLSA]],[2]!COMPROMISOS_2024[[#All],[concatenado]],PAA_4[[#This Row],[RCP-RUBRO]]))</f>
        <v>0</v>
      </c>
    </row>
    <row r="120" spans="1:38" s="19" customFormat="1" ht="31.5" customHeight="1">
      <c r="A120" s="47">
        <v>673</v>
      </c>
      <c r="B120" s="47" t="s">
        <v>121</v>
      </c>
      <c r="C120" s="47" t="str">
        <f>VLOOKUP(PAA_4[[#This Row],[PROYECTO (formulado)2]],[2]PROYECTOS!$G$1:$L$32,6,0)</f>
        <v>SUBGERENCIA ADMINISTRATIVA Y FINANCIERA</v>
      </c>
      <c r="D120" s="47" t="str">
        <f>+IF(PAA_4[[#This Row],[UNIDAD DE CONTRATACION (formulado)]]="Subgerencia Administrativa y Financiera","FUNCIONAMIENTO","INVERSIÓN")</f>
        <v>FUNCIONAMIENTO</v>
      </c>
      <c r="E120" s="48" t="str">
        <f>VLOOKUP(Q120,[2]PROYECTOS!$G$1:$K$32,5,0)</f>
        <v>FUNCIONAMIENTO</v>
      </c>
      <c r="F120" s="48">
        <f>VLOOKUP(E120,[2]PROYECTOS!$K$1:$M$32,3,0)</f>
        <v>999999</v>
      </c>
      <c r="G120" s="49" t="s">
        <v>43</v>
      </c>
      <c r="H120" s="49">
        <f>VLOOKUP(Q120,[2]PROYECTOS!$V$1:$W$32,2,0)</f>
        <v>999999</v>
      </c>
      <c r="I120" s="50">
        <v>1582000</v>
      </c>
      <c r="J120" s="51" t="s">
        <v>1333</v>
      </c>
      <c r="K120" s="47" t="str">
        <f t="shared" ca="1" si="28"/>
        <v>CONTRATADO</v>
      </c>
      <c r="L120" s="47" t="s">
        <v>78</v>
      </c>
      <c r="M120" s="47" t="s">
        <v>89</v>
      </c>
      <c r="N120" s="52" t="s">
        <v>1334</v>
      </c>
      <c r="O120" s="51" t="e">
        <f>VLOOKUP(N120,[2]!RUBROS[#All],3,0)</f>
        <v>#REF!</v>
      </c>
      <c r="P120" s="53" t="e">
        <f>VLOOKUP(N120,[2]!RUBROS[#All],2,0)</f>
        <v>#REF!</v>
      </c>
      <c r="Q120" s="47" t="str">
        <f t="shared" si="29"/>
        <v>00</v>
      </c>
      <c r="R120" s="47" t="str">
        <f t="shared" si="30"/>
        <v>0-205616</v>
      </c>
      <c r="S120" s="54">
        <v>2</v>
      </c>
      <c r="T120" s="59" t="s">
        <v>46</v>
      </c>
      <c r="U120" s="326" t="e">
        <f ca="1">_xlfn.XLOOKUP(PAA_4[[#This Row],[ITEM]],[2]Contrato!A:A,[2]Contrato!Q:Q,"",0)</f>
        <v>#NAME?</v>
      </c>
      <c r="V120" s="47" t="s">
        <v>47</v>
      </c>
      <c r="W120" s="47" t="s">
        <v>122</v>
      </c>
      <c r="X120" s="47" t="s">
        <v>122</v>
      </c>
      <c r="Y120" s="55" t="e">
        <f ca="1">_xlfn.XLOOKUP(PAA_4[[#This Row],[ITEM]],[2]Contrato!A:A,[2]Contrato!B:B,"",0)</f>
        <v>#NAME?</v>
      </c>
      <c r="Z120" s="47" t="e">
        <f ca="1">_xlfn.XLOOKUP(PAA_4[[#This Row],[ITEM]],[2]Contrato!A:A,[2]Contrato!G:G,"",0)</f>
        <v>#NAME?</v>
      </c>
      <c r="AA120" s="47" t="e">
        <f ca="1">_xlfn.XLOOKUP(PAA_4[[#This Row],[ITEM]],[2]Contrato!A:A,[2]Contrato!T:T,"",0)</f>
        <v>#NAME?</v>
      </c>
      <c r="AB120" s="55" t="e">
        <f ca="1">+MAX(PAA_4[[#This Row],[Comprometido Contrato]],PAA_4[[#This Row],[Comprometido Bolsa]])</f>
        <v>#NAME?</v>
      </c>
      <c r="AC120" s="55" t="str">
        <f t="shared" ca="1" si="31"/>
        <v/>
      </c>
      <c r="AD120" s="55" t="e">
        <f ca="1">IF(PAA_4[[#This Row],[ESTADO (formulado)]]="NO CONTRATADO",0,MAX(PAA_4[[#This Row],[Pago por Contrato]],PAA_4[[#This Row],[Pago por bolsa]]))</f>
        <v>#NAME?</v>
      </c>
      <c r="AE120" s="55" t="str">
        <f t="shared" ca="1" si="32"/>
        <v/>
      </c>
      <c r="AF120" s="47" t="e">
        <f t="shared" ca="1" si="33"/>
        <v>#NAME?</v>
      </c>
      <c r="AG120" s="47" t="str">
        <f t="shared" si="34"/>
        <v/>
      </c>
      <c r="AH120" s="54">
        <f>IF(Q120="22",IF(ISNUMBER(SEARCH("econ",PAA_4[[#This Row],[Actividad3]])),"Económico",IF(ISNUMBER(SEARCH("alim",PAA_4[[#This Row],[Actividad3]])),"Alimentación",IF(ISNUMBER(SEARCH("educ",PAA_4[[#This Row],[Actividad3]])),"Educativo","Técnico"))),0)</f>
        <v>0</v>
      </c>
      <c r="AI120" s="47" t="e" cm="1">
        <f t="array" aca="1" ref="AI120" ca="1">_xlfn.XLOOKUP(PAA_4[[#This Row],[RCP-RUBRO]],[2]!COMPROMISOS_2024[[#All],[concatenado]],[2]!COMPROMISOS_2024[[#All],[Total pagado]],"",0)</f>
        <v>#NAME?</v>
      </c>
      <c r="AJ120" s="56">
        <f>IF(PAA_4[[#This Row],[BOLSA]]=0,0,SUMIFS([2]!COMPROMISOS_2024[[#All],[Total pagado]],[2]!COMPROMISOS_2024[[#All],[Bolsa]],PAA_4[[#This Row],[BOLSA]],[2]!COMPROMISOS_2024[[#All],[rubro]],PAA_4[[#This Row],[RCP-RUBRO]]))</f>
        <v>0</v>
      </c>
      <c r="AK120" s="47" t="e" cm="1">
        <f t="array" aca="1" ref="AK120" ca="1">_xlfn.XLOOKUP(PAA_4[[#This Row],[RCP-RUBRO]],[2]!COMPROMISOS_2024[[#All],[concatenado]],[2]!COMPROMISOS_2024[[#All],[Total Comprometido]],"",0)</f>
        <v>#NAME?</v>
      </c>
      <c r="AL120" s="47">
        <f>IF(PAA_4[[#This Row],[BOLSA]]=0,0,SUMIFS([2]!COMPROMISOS_2024[[#All],[Total Comprometido]],[2]!COMPROMISOS_2024[[#All],[Bolsa]],PAA_4[[#This Row],[BOLSA]],[2]!COMPROMISOS_2024[[#All],[concatenado]],PAA_4[[#This Row],[RCP-RUBRO]]))</f>
        <v>0</v>
      </c>
    </row>
    <row r="121" spans="1:38" s="19" customFormat="1" ht="31.5" customHeight="1">
      <c r="A121" s="47" t="s">
        <v>82</v>
      </c>
      <c r="B121" s="51" t="s">
        <v>123</v>
      </c>
      <c r="C121" s="47" t="str">
        <f>VLOOKUP(PAA_4[[#This Row],[PROYECTO (formulado)2]],[2]PROYECTOS!$G$1:$L$32,6,0)</f>
        <v>SUBGERENCIA ADMINISTRATIVA Y FINANCIERA</v>
      </c>
      <c r="D121" s="47" t="str">
        <f>+IF(PAA_4[[#This Row],[UNIDAD DE CONTRATACION (formulado)]]="Subgerencia Administrativa y Financiera","FUNCIONAMIENTO","INVERSIÓN")</f>
        <v>FUNCIONAMIENTO</v>
      </c>
      <c r="E121" s="48" t="str">
        <f>VLOOKUP(Q121,[2]PROYECTOS!$G$1:$K$32,5,0)</f>
        <v>FUNCIONAMIENTO</v>
      </c>
      <c r="F121" s="48">
        <f>VLOOKUP(E121,[2]PROYECTOS!$K$1:$M$32,3,0)</f>
        <v>999999</v>
      </c>
      <c r="G121" s="49" t="s">
        <v>43</v>
      </c>
      <c r="H121" s="49">
        <f>VLOOKUP(Q121,[2]PROYECTOS!$V$1:$W$32,2,0)</f>
        <v>999999</v>
      </c>
      <c r="I121" s="50">
        <v>1185000</v>
      </c>
      <c r="J121" s="51" t="s">
        <v>1335</v>
      </c>
      <c r="K121" s="47" t="str">
        <f t="shared" ca="1" si="28"/>
        <v>CONTRATADO</v>
      </c>
      <c r="L121" s="47" t="s">
        <v>42</v>
      </c>
      <c r="M121" s="47" t="s">
        <v>42</v>
      </c>
      <c r="N121" s="52" t="s">
        <v>1334</v>
      </c>
      <c r="O121" s="51" t="e">
        <f>VLOOKUP(N121,[2]!RUBROS[#All],3,0)</f>
        <v>#REF!</v>
      </c>
      <c r="P121" s="53" t="e">
        <f>VLOOKUP(N121,[2]!RUBROS[#All],2,0)</f>
        <v>#REF!</v>
      </c>
      <c r="Q121" s="47" t="str">
        <f t="shared" si="29"/>
        <v>00</v>
      </c>
      <c r="R121" s="47" t="str">
        <f t="shared" si="30"/>
        <v>0-205616</v>
      </c>
      <c r="S121" s="54" t="s">
        <v>42</v>
      </c>
      <c r="T121" s="59" t="s">
        <v>42</v>
      </c>
      <c r="U121" s="326" t="e">
        <f ca="1">_xlfn.XLOOKUP(PAA_4[[#This Row],[ITEM]],[2]Contrato!A:A,[2]Contrato!Q:Q,"",0)</f>
        <v>#NAME?</v>
      </c>
      <c r="V121" s="47" t="s">
        <v>42</v>
      </c>
      <c r="W121" s="47" t="s">
        <v>42</v>
      </c>
      <c r="X121" s="47" t="s">
        <v>42</v>
      </c>
      <c r="Y121" s="55" t="e">
        <f ca="1">_xlfn.XLOOKUP(PAA_4[[#This Row],[ITEM]],[2]Contrato!A:A,[2]Contrato!B:B,"",0)</f>
        <v>#NAME?</v>
      </c>
      <c r="Z121" s="47" t="e">
        <f ca="1">_xlfn.XLOOKUP(PAA_4[[#This Row],[ITEM]],[2]Contrato!A:A,[2]Contrato!G:G,"",0)</f>
        <v>#NAME?</v>
      </c>
      <c r="AA121" s="47" t="e">
        <f ca="1">_xlfn.XLOOKUP(PAA_4[[#This Row],[ITEM]],[2]Contrato!A:A,[2]Contrato!T:T,"",0)</f>
        <v>#NAME?</v>
      </c>
      <c r="AB121" s="55" t="e">
        <f ca="1">+MAX(PAA_4[[#This Row],[Comprometido Contrato]],PAA_4[[#This Row],[Comprometido Bolsa]])</f>
        <v>#NAME?</v>
      </c>
      <c r="AC121" s="55" t="str">
        <f t="shared" ca="1" si="31"/>
        <v/>
      </c>
      <c r="AD121" s="55" t="e">
        <f ca="1">IF(PAA_4[[#This Row],[ESTADO (formulado)]]="NO CONTRATADO",0,MAX(PAA_4[[#This Row],[Pago por Contrato]],PAA_4[[#This Row],[Pago por bolsa]]))</f>
        <v>#NAME?</v>
      </c>
      <c r="AE121" s="55" t="str">
        <f t="shared" ca="1" si="32"/>
        <v/>
      </c>
      <c r="AF121" s="47" t="e">
        <f t="shared" ca="1" si="33"/>
        <v>#NAME?</v>
      </c>
      <c r="AG121" s="47" t="str">
        <f t="shared" si="34"/>
        <v/>
      </c>
      <c r="AH121" s="54">
        <f>IF(Q121="22",IF(ISNUMBER(SEARCH("econ",PAA_4[[#This Row],[Actividad3]])),"Económico",IF(ISNUMBER(SEARCH("alim",PAA_4[[#This Row],[Actividad3]])),"Alimentación",IF(ISNUMBER(SEARCH("educ",PAA_4[[#This Row],[Actividad3]])),"Educativo","Técnico"))),0)</f>
        <v>0</v>
      </c>
      <c r="AI121" s="47" t="e" cm="1">
        <f t="array" aca="1" ref="AI121" ca="1">_xlfn.XLOOKUP(PAA_4[[#This Row],[RCP-RUBRO]],[2]!COMPROMISOS_2024[[#All],[concatenado]],[2]!COMPROMISOS_2024[[#All],[Total pagado]],"",0)</f>
        <v>#NAME?</v>
      </c>
      <c r="AJ121" s="56">
        <f>IF(PAA_4[[#This Row],[BOLSA]]=0,0,SUMIFS([2]!COMPROMISOS_2024[[#All],[Total pagado]],[2]!COMPROMISOS_2024[[#All],[Bolsa]],PAA_4[[#This Row],[BOLSA]],[2]!COMPROMISOS_2024[[#All],[rubro]],PAA_4[[#This Row],[RCP-RUBRO]]))</f>
        <v>0</v>
      </c>
      <c r="AK121" s="47" t="e" cm="1">
        <f t="array" aca="1" ref="AK121" ca="1">_xlfn.XLOOKUP(PAA_4[[#This Row],[RCP-RUBRO]],[2]!COMPROMISOS_2024[[#All],[concatenado]],[2]!COMPROMISOS_2024[[#All],[Total Comprometido]],"",0)</f>
        <v>#NAME?</v>
      </c>
      <c r="AL121" s="47">
        <f>IF(PAA_4[[#This Row],[BOLSA]]=0,0,SUMIFS([2]!COMPROMISOS_2024[[#All],[Total Comprometido]],[2]!COMPROMISOS_2024[[#All],[Bolsa]],PAA_4[[#This Row],[BOLSA]],[2]!COMPROMISOS_2024[[#All],[concatenado]],PAA_4[[#This Row],[RCP-RUBRO]]))</f>
        <v>0</v>
      </c>
    </row>
    <row r="122" spans="1:38" s="19" customFormat="1" ht="31.5" customHeight="1">
      <c r="A122" s="47">
        <v>520</v>
      </c>
      <c r="B122" s="51" t="s">
        <v>123</v>
      </c>
      <c r="C122" s="47" t="str">
        <f>VLOOKUP(PAA_4[[#This Row],[PROYECTO (formulado)2]],[2]PROYECTOS!$G$1:$L$32,6,0)</f>
        <v>SUBGERENCIA ADMINISTRATIVA Y FINANCIERA</v>
      </c>
      <c r="D122" s="47" t="str">
        <f>+IF(PAA_4[[#This Row],[UNIDAD DE CONTRATACION (formulado)]]="Subgerencia Administrativa y Financiera","FUNCIONAMIENTO","INVERSIÓN")</f>
        <v>FUNCIONAMIENTO</v>
      </c>
      <c r="E122" s="48" t="str">
        <f>VLOOKUP(Q122,[2]PROYECTOS!$G$1:$K$32,5,0)</f>
        <v>FUNCIONAMIENTO</v>
      </c>
      <c r="F122" s="48">
        <f>VLOOKUP(E122,[2]PROYECTOS!$K$1:$M$32,3,0)</f>
        <v>999999</v>
      </c>
      <c r="G122" s="49" t="s">
        <v>43</v>
      </c>
      <c r="H122" s="49">
        <f>VLOOKUP(Q122,[2]PROYECTOS!$V$1:$W$32,2,0)</f>
        <v>999999</v>
      </c>
      <c r="I122" s="50">
        <f>13418000-1185000</f>
        <v>12233000</v>
      </c>
      <c r="J122" s="51" t="s">
        <v>1336</v>
      </c>
      <c r="K122" s="47" t="str">
        <f t="shared" ca="1" si="28"/>
        <v>CONTRATADO</v>
      </c>
      <c r="L122" s="47" t="s">
        <v>124</v>
      </c>
      <c r="M122" s="47" t="s">
        <v>89</v>
      </c>
      <c r="N122" s="52" t="s">
        <v>1334</v>
      </c>
      <c r="O122" s="51" t="e">
        <f>VLOOKUP(N122,[2]!RUBROS[#All],3,0)</f>
        <v>#REF!</v>
      </c>
      <c r="P122" s="53" t="e">
        <f>VLOOKUP(N122,[2]!RUBROS[#All],2,0)</f>
        <v>#REF!</v>
      </c>
      <c r="Q122" s="47" t="str">
        <f t="shared" si="29"/>
        <v>00</v>
      </c>
      <c r="R122" s="47" t="str">
        <f t="shared" si="30"/>
        <v>0-205616</v>
      </c>
      <c r="S122" s="54">
        <v>12</v>
      </c>
      <c r="T122" s="59" t="s">
        <v>46</v>
      </c>
      <c r="U122" s="326" t="e">
        <f ca="1">_xlfn.XLOOKUP(PAA_4[[#This Row],[ITEM]],[2]Contrato!A:A,[2]Contrato!Q:Q,"",0)</f>
        <v>#NAME?</v>
      </c>
      <c r="V122" s="47" t="s">
        <v>47</v>
      </c>
      <c r="W122" s="47" t="s">
        <v>122</v>
      </c>
      <c r="X122" s="47" t="s">
        <v>122</v>
      </c>
      <c r="Y122" s="55" t="e">
        <f ca="1">_xlfn.XLOOKUP(PAA_4[[#This Row],[ITEM]],[2]Contrato!A:A,[2]Contrato!B:B,"",0)</f>
        <v>#NAME?</v>
      </c>
      <c r="Z122" s="47" t="e">
        <f ca="1">_xlfn.XLOOKUP(PAA_4[[#This Row],[ITEM]],[2]Contrato!A:A,[2]Contrato!G:G,"",0)</f>
        <v>#NAME?</v>
      </c>
      <c r="AA122" s="47" t="e">
        <f ca="1">_xlfn.XLOOKUP(PAA_4[[#This Row],[ITEM]],[2]Contrato!A:A,[2]Contrato!T:T,"",0)</f>
        <v>#NAME?</v>
      </c>
      <c r="AB122" s="55" t="e">
        <f ca="1">+MAX(PAA_4[[#This Row],[Comprometido Contrato]],PAA_4[[#This Row],[Comprometido Bolsa]])</f>
        <v>#NAME?</v>
      </c>
      <c r="AC122" s="55" t="str">
        <f t="shared" ca="1" si="31"/>
        <v/>
      </c>
      <c r="AD122" s="55" t="e">
        <f ca="1">IF(PAA_4[[#This Row],[ESTADO (formulado)]]="NO CONTRATADO",0,MAX(PAA_4[[#This Row],[Pago por Contrato]],PAA_4[[#This Row],[Pago por bolsa]]))</f>
        <v>#NAME?</v>
      </c>
      <c r="AE122" s="55" t="str">
        <f t="shared" ca="1" si="32"/>
        <v/>
      </c>
      <c r="AF122" s="47" t="e">
        <f t="shared" ca="1" si="33"/>
        <v>#NAME?</v>
      </c>
      <c r="AG122" s="47" t="str">
        <f t="shared" si="34"/>
        <v/>
      </c>
      <c r="AH122" s="54">
        <f>IF(Q122="22",IF(ISNUMBER(SEARCH("econ",PAA_4[[#This Row],[Actividad3]])),"Económico",IF(ISNUMBER(SEARCH("alim",PAA_4[[#This Row],[Actividad3]])),"Alimentación",IF(ISNUMBER(SEARCH("educ",PAA_4[[#This Row],[Actividad3]])),"Educativo","Técnico"))),0)</f>
        <v>0</v>
      </c>
      <c r="AI122" s="47" t="e" cm="1">
        <f t="array" aca="1" ref="AI122" ca="1">_xlfn.XLOOKUP(PAA_4[[#This Row],[RCP-RUBRO]],[2]!COMPROMISOS_2024[[#All],[concatenado]],[2]!COMPROMISOS_2024[[#All],[Total pagado]],"",0)</f>
        <v>#NAME?</v>
      </c>
      <c r="AJ122" s="56">
        <f>IF(PAA_4[[#This Row],[BOLSA]]=0,0,SUMIFS([2]!COMPROMISOS_2024[[#All],[Total pagado]],[2]!COMPROMISOS_2024[[#All],[Bolsa]],PAA_4[[#This Row],[BOLSA]],[2]!COMPROMISOS_2024[[#All],[rubro]],PAA_4[[#This Row],[RCP-RUBRO]]))</f>
        <v>0</v>
      </c>
      <c r="AK122" s="47" t="e" cm="1">
        <f t="array" aca="1" ref="AK122" ca="1">_xlfn.XLOOKUP(PAA_4[[#This Row],[RCP-RUBRO]],[2]!COMPROMISOS_2024[[#All],[concatenado]],[2]!COMPROMISOS_2024[[#All],[Total Comprometido]],"",0)</f>
        <v>#NAME?</v>
      </c>
      <c r="AL122" s="47">
        <f>IF(PAA_4[[#This Row],[BOLSA]]=0,0,SUMIFS([2]!COMPROMISOS_2024[[#All],[Total Comprometido]],[2]!COMPROMISOS_2024[[#All],[Bolsa]],PAA_4[[#This Row],[BOLSA]],[2]!COMPROMISOS_2024[[#All],[concatenado]],PAA_4[[#This Row],[RCP-RUBRO]]))</f>
        <v>0</v>
      </c>
    </row>
    <row r="123" spans="1:38" s="19" customFormat="1" ht="31.5" customHeight="1">
      <c r="A123" s="47">
        <v>35</v>
      </c>
      <c r="B123" s="47">
        <v>92101501</v>
      </c>
      <c r="C123" s="47" t="str">
        <f>VLOOKUP(PAA_4[[#This Row],[PROYECTO (formulado)2]],[2]PROYECTOS!$G$1:$L$32,6,0)</f>
        <v>SUBGERENCIA ADMINISTRATIVA Y FINANCIERA</v>
      </c>
      <c r="D123" s="47" t="str">
        <f>+IF(PAA_4[[#This Row],[UNIDAD DE CONTRATACION (formulado)]]="Subgerencia Administrativa y Financiera","FUNCIONAMIENTO","INVERSIÓN")</f>
        <v>FUNCIONAMIENTO</v>
      </c>
      <c r="E123" s="48" t="str">
        <f>VLOOKUP(Q123,[2]PROYECTOS!$G$1:$K$32,5,0)</f>
        <v>FUNCIONAMIENTO</v>
      </c>
      <c r="F123" s="48">
        <f>VLOOKUP(E123,[2]PROYECTOS!$K$1:$M$32,3,0)</f>
        <v>999999</v>
      </c>
      <c r="G123" s="49" t="s">
        <v>43</v>
      </c>
      <c r="H123" s="49">
        <f>VLOOKUP(Q123,[2]PROYECTOS!$V$1:$W$32,2,0)</f>
        <v>999999</v>
      </c>
      <c r="I123" s="50">
        <v>364613158</v>
      </c>
      <c r="J123" s="51" t="s">
        <v>1337</v>
      </c>
      <c r="K123" s="47" t="str">
        <f t="shared" ca="1" si="28"/>
        <v>CONTRATADO</v>
      </c>
      <c r="L123" s="47" t="s">
        <v>125</v>
      </c>
      <c r="M123" s="47" t="s">
        <v>89</v>
      </c>
      <c r="N123" s="52" t="s">
        <v>90</v>
      </c>
      <c r="O123" s="51" t="e">
        <f>VLOOKUP(N123,[2]!RUBROS[#All],3,0)</f>
        <v>#REF!</v>
      </c>
      <c r="P123" s="53" t="e">
        <f>VLOOKUP(N123,[2]!RUBROS[#All],2,0)</f>
        <v>#REF!</v>
      </c>
      <c r="Q123" s="47" t="str">
        <f t="shared" si="29"/>
        <v>00</v>
      </c>
      <c r="R123" s="47" t="str">
        <f t="shared" si="30"/>
        <v>0-205616</v>
      </c>
      <c r="S123" s="54">
        <v>3.5</v>
      </c>
      <c r="T123" s="59" t="s">
        <v>46</v>
      </c>
      <c r="U123" s="326" t="e">
        <f ca="1">_xlfn.XLOOKUP(PAA_4[[#This Row],[ITEM]],[2]Contrato!A:A,[2]Contrato!Q:Q,"",0)</f>
        <v>#NAME?</v>
      </c>
      <c r="V123" s="47" t="s">
        <v>47</v>
      </c>
      <c r="W123" s="47" t="s">
        <v>96</v>
      </c>
      <c r="X123" s="47" t="s">
        <v>96</v>
      </c>
      <c r="Y123" s="55" t="e">
        <f ca="1">_xlfn.XLOOKUP(PAA_4[[#This Row],[ITEM]],[2]Contrato!A:A,[2]Contrato!B:B,"",0)</f>
        <v>#NAME?</v>
      </c>
      <c r="Z123" s="47" t="e">
        <f ca="1">_xlfn.XLOOKUP(PAA_4[[#This Row],[ITEM]],[2]Contrato!A:A,[2]Contrato!G:G,"",0)</f>
        <v>#NAME?</v>
      </c>
      <c r="AA123" s="47" t="e">
        <f ca="1">_xlfn.XLOOKUP(PAA_4[[#This Row],[ITEM]],[2]Contrato!A:A,[2]Contrato!T:T,"",0)</f>
        <v>#NAME?</v>
      </c>
      <c r="AB123" s="55" t="e">
        <f ca="1">+MAX(PAA_4[[#This Row],[Comprometido Contrato]],PAA_4[[#This Row],[Comprometido Bolsa]])</f>
        <v>#NAME?</v>
      </c>
      <c r="AC123" s="55" t="str">
        <f t="shared" ca="1" si="31"/>
        <v/>
      </c>
      <c r="AD123" s="55" t="e">
        <f ca="1">IF(PAA_4[[#This Row],[ESTADO (formulado)]]="NO CONTRATADO",0,MAX(PAA_4[[#This Row],[Pago por Contrato]],PAA_4[[#This Row],[Pago por bolsa]]))</f>
        <v>#NAME?</v>
      </c>
      <c r="AE123" s="55" t="str">
        <f t="shared" ca="1" si="32"/>
        <v/>
      </c>
      <c r="AF123" s="47" t="e">
        <f t="shared" ca="1" si="33"/>
        <v>#NAME?</v>
      </c>
      <c r="AG123" s="47" t="str">
        <f t="shared" si="34"/>
        <v/>
      </c>
      <c r="AH123" s="54">
        <f>IF(Q123="22",IF(ISNUMBER(SEARCH("econ",PAA_4[[#This Row],[Actividad3]])),"Económico",IF(ISNUMBER(SEARCH("alim",PAA_4[[#This Row],[Actividad3]])),"Alimentación",IF(ISNUMBER(SEARCH("educ",PAA_4[[#This Row],[Actividad3]])),"Educativo","Técnico"))),0)</f>
        <v>0</v>
      </c>
      <c r="AI123" s="47" t="e" cm="1">
        <f t="array" aca="1" ref="AI123" ca="1">_xlfn.XLOOKUP(PAA_4[[#This Row],[RCP-RUBRO]],[2]!COMPROMISOS_2024[[#All],[concatenado]],[2]!COMPROMISOS_2024[[#All],[Total pagado]],"",0)</f>
        <v>#NAME?</v>
      </c>
      <c r="AJ123" s="56">
        <f>IF(PAA_4[[#This Row],[BOLSA]]=0,0,SUMIFS([2]!COMPROMISOS_2024[[#All],[Total pagado]],[2]!COMPROMISOS_2024[[#All],[Bolsa]],PAA_4[[#This Row],[BOLSA]],[2]!COMPROMISOS_2024[[#All],[rubro]],PAA_4[[#This Row],[RCP-RUBRO]]))</f>
        <v>0</v>
      </c>
      <c r="AK123" s="47" t="e" cm="1">
        <f t="array" aca="1" ref="AK123" ca="1">_xlfn.XLOOKUP(PAA_4[[#This Row],[RCP-RUBRO]],[2]!COMPROMISOS_2024[[#All],[concatenado]],[2]!COMPROMISOS_2024[[#All],[Total Comprometido]],"",0)</f>
        <v>#NAME?</v>
      </c>
      <c r="AL123" s="47">
        <f>IF(PAA_4[[#This Row],[BOLSA]]=0,0,SUMIFS([2]!COMPROMISOS_2024[[#All],[Total Comprometido]],[2]!COMPROMISOS_2024[[#All],[Bolsa]],PAA_4[[#This Row],[BOLSA]],[2]!COMPROMISOS_2024[[#All],[concatenado]],PAA_4[[#This Row],[RCP-RUBRO]]))</f>
        <v>0</v>
      </c>
    </row>
    <row r="124" spans="1:38" s="19" customFormat="1" ht="31.5" customHeight="1">
      <c r="A124" s="47">
        <v>654</v>
      </c>
      <c r="B124" s="47">
        <v>80111600</v>
      </c>
      <c r="C124" s="47" t="str">
        <f>VLOOKUP(PAA_4[[#This Row],[PROYECTO (formulado)2]],[2]PROYECTOS!$G$1:$L$32,6,0)</f>
        <v>SUBGERENCIA ADMINISTRATIVA Y FINANCIERA</v>
      </c>
      <c r="D124" s="47" t="str">
        <f>+IF(PAA_4[[#This Row],[UNIDAD DE CONTRATACION (formulado)]]="Subgerencia Administrativa y Financiera","FUNCIONAMIENTO","INVERSIÓN")</f>
        <v>FUNCIONAMIENTO</v>
      </c>
      <c r="E124" s="48" t="str">
        <f>VLOOKUP(Q124,[2]PROYECTOS!$G$1:$K$32,5,0)</f>
        <v>FUNCIONAMIENTO</v>
      </c>
      <c r="F124" s="48">
        <f>VLOOKUP(E124,[2]PROYECTOS!$K$1:$M$32,3,0)</f>
        <v>999999</v>
      </c>
      <c r="G124" s="49" t="s">
        <v>43</v>
      </c>
      <c r="H124" s="49">
        <f>VLOOKUP(Q124,[2]PROYECTOS!$V$1:$W$32,2,0)</f>
        <v>999999</v>
      </c>
      <c r="I124" s="50">
        <v>27038824</v>
      </c>
      <c r="J124" s="51" t="s">
        <v>1338</v>
      </c>
      <c r="K124" s="47" t="str">
        <f t="shared" ca="1" si="28"/>
        <v>CONTRATADO</v>
      </c>
      <c r="L124" s="47" t="s">
        <v>94</v>
      </c>
      <c r="M124" s="47" t="s">
        <v>1297</v>
      </c>
      <c r="N124" s="52" t="s">
        <v>90</v>
      </c>
      <c r="O124" s="51" t="e">
        <f>VLOOKUP(N124,[2]!RUBROS[#All],3,0)</f>
        <v>#REF!</v>
      </c>
      <c r="P124" s="53" t="e">
        <f>VLOOKUP(N124,[2]!RUBROS[#All],2,0)</f>
        <v>#REF!</v>
      </c>
      <c r="Q124" s="47" t="str">
        <f t="shared" si="29"/>
        <v>00</v>
      </c>
      <c r="R124" s="47" t="str">
        <f t="shared" si="30"/>
        <v>0-205616</v>
      </c>
      <c r="S124" s="54">
        <v>8</v>
      </c>
      <c r="T124" s="59"/>
      <c r="U124" s="326" t="e">
        <f ca="1">_xlfn.XLOOKUP(PAA_4[[#This Row],[ITEM]],[2]Contrato!A:A,[2]Contrato!Q:Q,"",0)</f>
        <v>#NAME?</v>
      </c>
      <c r="V124" s="47" t="s">
        <v>95</v>
      </c>
      <c r="W124" s="47" t="s">
        <v>122</v>
      </c>
      <c r="X124" s="47" t="s">
        <v>122</v>
      </c>
      <c r="Y124" s="55" t="e">
        <f ca="1">_xlfn.XLOOKUP(PAA_4[[#This Row],[ITEM]],[2]Contrato!A:A,[2]Contrato!B:B,"",0)</f>
        <v>#NAME?</v>
      </c>
      <c r="Z124" s="47" t="e">
        <f ca="1">_xlfn.XLOOKUP(PAA_4[[#This Row],[ITEM]],[2]Contrato!A:A,[2]Contrato!G:G,"",0)</f>
        <v>#NAME?</v>
      </c>
      <c r="AA124" s="47" t="e">
        <f ca="1">_xlfn.XLOOKUP(PAA_4[[#This Row],[ITEM]],[2]Contrato!A:A,[2]Contrato!T:T,"",0)</f>
        <v>#NAME?</v>
      </c>
      <c r="AB124" s="55" t="e">
        <f ca="1">+MAX(PAA_4[[#This Row],[Comprometido Contrato]],PAA_4[[#This Row],[Comprometido Bolsa]])</f>
        <v>#NAME?</v>
      </c>
      <c r="AC124" s="55" t="str">
        <f t="shared" ca="1" si="31"/>
        <v/>
      </c>
      <c r="AD124" s="55" t="e">
        <f ca="1">IF(PAA_4[[#This Row],[ESTADO (formulado)]]="NO CONTRATADO",0,MAX(PAA_4[[#This Row],[Pago por Contrato]],PAA_4[[#This Row],[Pago por bolsa]]))</f>
        <v>#NAME?</v>
      </c>
      <c r="AE124" s="55" t="str">
        <f t="shared" ca="1" si="32"/>
        <v/>
      </c>
      <c r="AF124" s="47" t="e">
        <f t="shared" ca="1" si="33"/>
        <v>#NAME?</v>
      </c>
      <c r="AG124" s="47" t="str">
        <f t="shared" si="34"/>
        <v/>
      </c>
      <c r="AH124" s="54">
        <f>IF(Q124="22",IF(ISNUMBER(SEARCH("econ",PAA_4[[#This Row],[Actividad3]])),"Económico",IF(ISNUMBER(SEARCH("alim",PAA_4[[#This Row],[Actividad3]])),"Alimentación",IF(ISNUMBER(SEARCH("educ",PAA_4[[#This Row],[Actividad3]])),"Educativo","Técnico"))),0)</f>
        <v>0</v>
      </c>
      <c r="AI124" s="47" t="e" cm="1">
        <f t="array" aca="1" ref="AI124" ca="1">_xlfn.XLOOKUP(PAA_4[[#This Row],[RCP-RUBRO]],[2]!COMPROMISOS_2024[[#All],[concatenado]],[2]!COMPROMISOS_2024[[#All],[Total pagado]],"",0)</f>
        <v>#NAME?</v>
      </c>
      <c r="AJ124" s="56">
        <f>IF(PAA_4[[#This Row],[BOLSA]]=0,0,SUMIFS([2]!COMPROMISOS_2024[[#All],[Total pagado]],[2]!COMPROMISOS_2024[[#All],[Bolsa]],PAA_4[[#This Row],[BOLSA]],[2]!COMPROMISOS_2024[[#All],[rubro]],PAA_4[[#This Row],[RCP-RUBRO]]))</f>
        <v>0</v>
      </c>
      <c r="AK124" s="47" t="e" cm="1">
        <f t="array" aca="1" ref="AK124" ca="1">_xlfn.XLOOKUP(PAA_4[[#This Row],[RCP-RUBRO]],[2]!COMPROMISOS_2024[[#All],[concatenado]],[2]!COMPROMISOS_2024[[#All],[Total Comprometido]],"",0)</f>
        <v>#NAME?</v>
      </c>
      <c r="AL124" s="47">
        <f>IF(PAA_4[[#This Row],[BOLSA]]=0,0,SUMIFS([2]!COMPROMISOS_2024[[#All],[Total Comprometido]],[2]!COMPROMISOS_2024[[#All],[Bolsa]],PAA_4[[#This Row],[BOLSA]],[2]!COMPROMISOS_2024[[#All],[concatenado]],PAA_4[[#This Row],[RCP-RUBRO]]))</f>
        <v>0</v>
      </c>
    </row>
    <row r="125" spans="1:38" s="19" customFormat="1" ht="31.5" customHeight="1">
      <c r="A125" s="47">
        <v>655</v>
      </c>
      <c r="B125" s="47">
        <v>80111600</v>
      </c>
      <c r="C125" s="47" t="str">
        <f>VLOOKUP(PAA_4[[#This Row],[PROYECTO (formulado)2]],[2]PROYECTOS!$G$1:$L$32,6,0)</f>
        <v>SUBGERENCIA ADMINISTRATIVA Y FINANCIERA</v>
      </c>
      <c r="D125" s="47" t="str">
        <f>+IF(PAA_4[[#This Row],[UNIDAD DE CONTRATACION (formulado)]]="Subgerencia Administrativa y Financiera","FUNCIONAMIENTO","INVERSIÓN")</f>
        <v>FUNCIONAMIENTO</v>
      </c>
      <c r="E125" s="48" t="str">
        <f>VLOOKUP(Q125,[2]PROYECTOS!$G$1:$K$32,5,0)</f>
        <v>FUNCIONAMIENTO</v>
      </c>
      <c r="F125" s="48">
        <f>VLOOKUP(E125,[2]PROYECTOS!$K$1:$M$32,3,0)</f>
        <v>999999</v>
      </c>
      <c r="G125" s="49" t="s">
        <v>43</v>
      </c>
      <c r="H125" s="49">
        <f>VLOOKUP(Q125,[2]PROYECTOS!$V$1:$W$32,2,0)</f>
        <v>999999</v>
      </c>
      <c r="I125" s="50">
        <f>27038824-112662</f>
        <v>26926162</v>
      </c>
      <c r="J125" s="51" t="s">
        <v>1339</v>
      </c>
      <c r="K125" s="47" t="str">
        <f t="shared" ca="1" si="28"/>
        <v>CONTRATADO</v>
      </c>
      <c r="L125" s="47" t="s">
        <v>94</v>
      </c>
      <c r="M125" s="47" t="s">
        <v>1297</v>
      </c>
      <c r="N125" s="52" t="s">
        <v>90</v>
      </c>
      <c r="O125" s="51" t="e">
        <f>VLOOKUP(N125,[2]!RUBROS[#All],3,0)</f>
        <v>#REF!</v>
      </c>
      <c r="P125" s="53" t="e">
        <f>VLOOKUP(N125,[2]!RUBROS[#All],2,0)</f>
        <v>#REF!</v>
      </c>
      <c r="Q125" s="47" t="str">
        <f t="shared" si="29"/>
        <v>00</v>
      </c>
      <c r="R125" s="47" t="str">
        <f t="shared" si="30"/>
        <v>0-205616</v>
      </c>
      <c r="S125" s="54">
        <v>8</v>
      </c>
      <c r="T125" s="59"/>
      <c r="U125" s="326" t="e">
        <f ca="1">_xlfn.XLOOKUP(PAA_4[[#This Row],[ITEM]],[2]Contrato!A:A,[2]Contrato!Q:Q,"",0)</f>
        <v>#NAME?</v>
      </c>
      <c r="V125" s="47" t="s">
        <v>95</v>
      </c>
      <c r="W125" s="47" t="s">
        <v>122</v>
      </c>
      <c r="X125" s="47" t="s">
        <v>122</v>
      </c>
      <c r="Y125" s="55" t="e">
        <f ca="1">_xlfn.XLOOKUP(PAA_4[[#This Row],[ITEM]],[2]Contrato!A:A,[2]Contrato!B:B,"",0)</f>
        <v>#NAME?</v>
      </c>
      <c r="Z125" s="47" t="e">
        <f ca="1">_xlfn.XLOOKUP(PAA_4[[#This Row],[ITEM]],[2]Contrato!A:A,[2]Contrato!G:G,"",0)</f>
        <v>#NAME?</v>
      </c>
      <c r="AA125" s="47" t="e">
        <f ca="1">_xlfn.XLOOKUP(PAA_4[[#This Row],[ITEM]],[2]Contrato!A:A,[2]Contrato!T:T,"",0)</f>
        <v>#NAME?</v>
      </c>
      <c r="AB125" s="55" t="e">
        <f ca="1">+MAX(PAA_4[[#This Row],[Comprometido Contrato]],PAA_4[[#This Row],[Comprometido Bolsa]])</f>
        <v>#NAME?</v>
      </c>
      <c r="AC125" s="55" t="str">
        <f t="shared" ca="1" si="31"/>
        <v/>
      </c>
      <c r="AD125" s="55" t="e">
        <f ca="1">IF(PAA_4[[#This Row],[ESTADO (formulado)]]="NO CONTRATADO",0,MAX(PAA_4[[#This Row],[Pago por Contrato]],PAA_4[[#This Row],[Pago por bolsa]]))</f>
        <v>#NAME?</v>
      </c>
      <c r="AE125" s="55" t="str">
        <f t="shared" ca="1" si="32"/>
        <v/>
      </c>
      <c r="AF125" s="47" t="e">
        <f t="shared" ca="1" si="33"/>
        <v>#NAME?</v>
      </c>
      <c r="AG125" s="47" t="str">
        <f t="shared" si="34"/>
        <v/>
      </c>
      <c r="AH125" s="54">
        <f>IF(Q125="22",IF(ISNUMBER(SEARCH("econ",PAA_4[[#This Row],[Actividad3]])),"Económico",IF(ISNUMBER(SEARCH("alim",PAA_4[[#This Row],[Actividad3]])),"Alimentación",IF(ISNUMBER(SEARCH("educ",PAA_4[[#This Row],[Actividad3]])),"Educativo","Técnico"))),0)</f>
        <v>0</v>
      </c>
      <c r="AI125" s="47" t="e" cm="1">
        <f t="array" aca="1" ref="AI125" ca="1">_xlfn.XLOOKUP(PAA_4[[#This Row],[RCP-RUBRO]],[2]!COMPROMISOS_2024[[#All],[concatenado]],[2]!COMPROMISOS_2024[[#All],[Total pagado]],"",0)</f>
        <v>#NAME?</v>
      </c>
      <c r="AJ125" s="56">
        <f>IF(PAA_4[[#This Row],[BOLSA]]=0,0,SUMIFS([2]!COMPROMISOS_2024[[#All],[Total pagado]],[2]!COMPROMISOS_2024[[#All],[Bolsa]],PAA_4[[#This Row],[BOLSA]],[2]!COMPROMISOS_2024[[#All],[rubro]],PAA_4[[#This Row],[RCP-RUBRO]]))</f>
        <v>0</v>
      </c>
      <c r="AK125" s="47" t="e" cm="1">
        <f t="array" aca="1" ref="AK125" ca="1">_xlfn.XLOOKUP(PAA_4[[#This Row],[RCP-RUBRO]],[2]!COMPROMISOS_2024[[#All],[concatenado]],[2]!COMPROMISOS_2024[[#All],[Total Comprometido]],"",0)</f>
        <v>#NAME?</v>
      </c>
      <c r="AL125" s="47">
        <f>IF(PAA_4[[#This Row],[BOLSA]]=0,0,SUMIFS([2]!COMPROMISOS_2024[[#All],[Total Comprometido]],[2]!COMPROMISOS_2024[[#All],[Bolsa]],PAA_4[[#This Row],[BOLSA]],[2]!COMPROMISOS_2024[[#All],[concatenado]],PAA_4[[#This Row],[RCP-RUBRO]]))</f>
        <v>0</v>
      </c>
    </row>
    <row r="126" spans="1:38" s="19" customFormat="1" ht="31.5" customHeight="1">
      <c r="A126" s="47" t="s">
        <v>82</v>
      </c>
      <c r="B126" s="47" t="s">
        <v>42</v>
      </c>
      <c r="C126" s="47" t="str">
        <f>VLOOKUP(PAA_4[[#This Row],[PROYECTO (formulado)2]],[2]PROYECTOS!$G$1:$L$32,6,0)</f>
        <v>SUBGERENCIA ADMINISTRATIVA Y FINANCIERA</v>
      </c>
      <c r="D126" s="47" t="str">
        <f>+IF(PAA_4[[#This Row],[UNIDAD DE CONTRATACION (formulado)]]="Subgerencia Administrativa y Financiera","FUNCIONAMIENTO","INVERSIÓN")</f>
        <v>FUNCIONAMIENTO</v>
      </c>
      <c r="E126" s="48" t="str">
        <f>VLOOKUP(Q126,[2]PROYECTOS!$G$1:$K$32,5,0)</f>
        <v>FUNCIONAMIENTO</v>
      </c>
      <c r="F126" s="48">
        <f>VLOOKUP(E126,[2]PROYECTOS!$K$1:$M$32,3,0)</f>
        <v>999999</v>
      </c>
      <c r="G126" s="49" t="s">
        <v>43</v>
      </c>
      <c r="H126" s="49">
        <f>VLOOKUP(Q126,[2]PROYECTOS!$V$1:$W$32,2,0)</f>
        <v>999999</v>
      </c>
      <c r="I126" s="50">
        <v>229303</v>
      </c>
      <c r="J126" s="51" t="s">
        <v>1340</v>
      </c>
      <c r="K126" s="47" t="str">
        <f ca="1">IF(ISNONTEXT(Y126)=TRUE,"CONTRATADO","NO CONTRATADO")</f>
        <v>CONTRATADO</v>
      </c>
      <c r="L126" s="47" t="s">
        <v>42</v>
      </c>
      <c r="M126" s="47" t="s">
        <v>42</v>
      </c>
      <c r="N126" s="52" t="s">
        <v>90</v>
      </c>
      <c r="O126" s="51" t="e">
        <f>VLOOKUP(N126,[2]!RUBROS[#All],3,0)</f>
        <v>#REF!</v>
      </c>
      <c r="P126" s="53" t="e">
        <f>VLOOKUP(N126,[2]!RUBROS[#All],2,0)</f>
        <v>#REF!</v>
      </c>
      <c r="Q126" s="47" t="str">
        <f>+MID(N126,11,2)</f>
        <v>00</v>
      </c>
      <c r="R126" s="47" t="str">
        <f>+MID(N126,14,8)</f>
        <v>0-205616</v>
      </c>
      <c r="S126" s="54" t="s">
        <v>42</v>
      </c>
      <c r="T126" s="329" t="s">
        <v>42</v>
      </c>
      <c r="U126" s="326" t="e">
        <f ca="1">_xlfn.XLOOKUP(PAA_4[[#This Row],[ITEM]],[2]Contrato!A:A,[2]Contrato!Q:Q,"",0)</f>
        <v>#NAME?</v>
      </c>
      <c r="V126" s="47" t="s">
        <v>95</v>
      </c>
      <c r="W126" s="47" t="s">
        <v>42</v>
      </c>
      <c r="X126" s="47" t="s">
        <v>42</v>
      </c>
      <c r="Y126" s="55" t="e">
        <f ca="1">_xlfn.XLOOKUP(PAA_4[[#This Row],[ITEM]],[2]Contrato!A:A,[2]Contrato!B:B,"",0)</f>
        <v>#NAME?</v>
      </c>
      <c r="Z126" s="47" t="e">
        <f ca="1">_xlfn.XLOOKUP(PAA_4[[#This Row],[ITEM]],[2]Contrato!A:A,[2]Contrato!G:G,"",0)</f>
        <v>#NAME?</v>
      </c>
      <c r="AA126" s="47" t="e">
        <f ca="1">_xlfn.XLOOKUP(PAA_4[[#This Row],[ITEM]],[2]Contrato!A:A,[2]Contrato!T:T,"",0)</f>
        <v>#NAME?</v>
      </c>
      <c r="AB126" s="55" t="e">
        <f ca="1">+MAX(PAA_4[[#This Row],[Comprometido Contrato]],PAA_4[[#This Row],[Comprometido Bolsa]])</f>
        <v>#NAME?</v>
      </c>
      <c r="AC126" s="55" t="str">
        <f ca="1">IFERROR(I126-AB126,"")</f>
        <v/>
      </c>
      <c r="AD126" s="55" t="e">
        <f ca="1">IF(PAA_4[[#This Row],[ESTADO (formulado)]]="NO CONTRATADO",0,MAX(PAA_4[[#This Row],[Pago por Contrato]],PAA_4[[#This Row],[Pago por bolsa]]))</f>
        <v>#NAME?</v>
      </c>
      <c r="AE126" s="55" t="str">
        <f ca="1">+IFERROR(AB126-AD126,"")</f>
        <v/>
      </c>
      <c r="AF126" s="47" t="e">
        <f ca="1">+CONCATENATE(AA126,N126)</f>
        <v>#NAME?</v>
      </c>
      <c r="AG126" s="47" t="str">
        <f>IFERROR(_xlfn.NUMBERVALUE(MID(G126,1,8)),"")</f>
        <v/>
      </c>
      <c r="AH126" s="54">
        <f>IF(Q126="22",IF(ISNUMBER(SEARCH("econ",PAA_4[[#This Row],[Actividad3]])),"Económico",IF(ISNUMBER(SEARCH("alim",PAA_4[[#This Row],[Actividad3]])),"Alimentación",IF(ISNUMBER(SEARCH("educ",PAA_4[[#This Row],[Actividad3]])),"Educativo","Técnico"))),0)</f>
        <v>0</v>
      </c>
      <c r="AI126" s="47" t="e" cm="1">
        <f t="array" aca="1" ref="AI126" ca="1">_xlfn.XLOOKUP(PAA_4[[#This Row],[RCP-RUBRO]],[2]!COMPROMISOS_2024[[#All],[concatenado]],[2]!COMPROMISOS_2024[[#All],[Total pagado]],"",0)</f>
        <v>#NAME?</v>
      </c>
      <c r="AJ126" s="56">
        <f>IF(PAA_4[[#This Row],[BOLSA]]=0,0,SUMIFS([2]!COMPROMISOS_2024[[#All],[Total pagado]],[2]!COMPROMISOS_2024[[#All],[Bolsa]],PAA_4[[#This Row],[BOLSA]],[2]!COMPROMISOS_2024[[#All],[rubro]],PAA_4[[#This Row],[RCP-RUBRO]]))</f>
        <v>0</v>
      </c>
      <c r="AK126" s="47" t="e" cm="1">
        <f t="array" aca="1" ref="AK126" ca="1">_xlfn.XLOOKUP(PAA_4[[#This Row],[RCP-RUBRO]],[2]!COMPROMISOS_2024[[#All],[concatenado]],[2]!COMPROMISOS_2024[[#All],[Total Comprometido]],"",0)</f>
        <v>#NAME?</v>
      </c>
      <c r="AL126" s="47">
        <f>IF(PAA_4[[#This Row],[BOLSA]]=0,0,SUMIFS([2]!COMPROMISOS_2024[[#All],[Total Comprometido]],[2]!COMPROMISOS_2024[[#All],[Bolsa]],PAA_4[[#This Row],[BOLSA]],[2]!COMPROMISOS_2024[[#All],[concatenado]],PAA_4[[#This Row],[RCP-RUBRO]]))</f>
        <v>0</v>
      </c>
    </row>
    <row r="127" spans="1:38" s="19" customFormat="1" ht="31.5" customHeight="1">
      <c r="A127" s="47">
        <v>656</v>
      </c>
      <c r="B127" s="47">
        <v>80111600</v>
      </c>
      <c r="C127" s="47" t="str">
        <f>VLOOKUP(PAA_4[[#This Row],[PROYECTO (formulado)2]],[2]PROYECTOS!$G$1:$L$32,6,0)</f>
        <v>SUBGERENCIA ADMINISTRATIVA Y FINANCIERA</v>
      </c>
      <c r="D127" s="47" t="str">
        <f>+IF(PAA_4[[#This Row],[UNIDAD DE CONTRATACION (formulado)]]="Subgerencia Administrativa y Financiera","FUNCIONAMIENTO","INVERSIÓN")</f>
        <v>FUNCIONAMIENTO</v>
      </c>
      <c r="E127" s="48" t="str">
        <f>VLOOKUP(Q127,[2]PROYECTOS!$G$1:$K$32,5,0)</f>
        <v>FUNCIONAMIENTO</v>
      </c>
      <c r="F127" s="48">
        <f>VLOOKUP(E127,[2]PROYECTOS!$K$1:$M$32,3,0)</f>
        <v>999999</v>
      </c>
      <c r="G127" s="49" t="s">
        <v>43</v>
      </c>
      <c r="H127" s="49">
        <f>VLOOKUP(Q127,[2]PROYECTOS!$V$1:$W$32,2,0)</f>
        <v>999999</v>
      </c>
      <c r="I127" s="50">
        <f>55032648-229303</f>
        <v>54803345</v>
      </c>
      <c r="J127" s="51" t="s">
        <v>1341</v>
      </c>
      <c r="K127" s="47" t="str">
        <f t="shared" ref="K127:K128" ca="1" si="35">IF(ISNONTEXT(Y127)=TRUE,"CONTRATADO","NO CONTRATADO")</f>
        <v>CONTRATADO</v>
      </c>
      <c r="L127" s="47" t="s">
        <v>94</v>
      </c>
      <c r="M127" s="47" t="s">
        <v>1297</v>
      </c>
      <c r="N127" s="52" t="s">
        <v>90</v>
      </c>
      <c r="O127" s="51" t="e">
        <f>VLOOKUP(N127,[2]!RUBROS[#All],3,0)</f>
        <v>#REF!</v>
      </c>
      <c r="P127" s="53" t="e">
        <f>VLOOKUP(N127,[2]!RUBROS[#All],2,0)</f>
        <v>#REF!</v>
      </c>
      <c r="Q127" s="47" t="str">
        <f t="shared" ref="Q127:Q128" si="36">+MID(N127,11,2)</f>
        <v>00</v>
      </c>
      <c r="R127" s="47" t="str">
        <f t="shared" ref="R127:R128" si="37">+MID(N127,14,8)</f>
        <v>0-205616</v>
      </c>
      <c r="S127" s="54">
        <v>8</v>
      </c>
      <c r="T127" s="63" t="s">
        <v>46</v>
      </c>
      <c r="U127" s="326" t="e">
        <f ca="1">_xlfn.XLOOKUP(PAA_4[[#This Row],[ITEM]],[2]Contrato!A:A,[2]Contrato!Q:Q,"",0)</f>
        <v>#NAME?</v>
      </c>
      <c r="V127" s="47" t="s">
        <v>95</v>
      </c>
      <c r="W127" s="47" t="s">
        <v>122</v>
      </c>
      <c r="X127" s="47" t="s">
        <v>122</v>
      </c>
      <c r="Y127" s="55" t="e">
        <f ca="1">_xlfn.XLOOKUP(PAA_4[[#This Row],[ITEM]],[2]Contrato!A:A,[2]Contrato!B:B,"",0)</f>
        <v>#NAME?</v>
      </c>
      <c r="Z127" s="47" t="e">
        <f ca="1">_xlfn.XLOOKUP(PAA_4[[#This Row],[ITEM]],[2]Contrato!A:A,[2]Contrato!G:G,"",0)</f>
        <v>#NAME?</v>
      </c>
      <c r="AA127" s="47" t="e">
        <f ca="1">_xlfn.XLOOKUP(PAA_4[[#This Row],[ITEM]],[2]Contrato!A:A,[2]Contrato!T:T,"",0)</f>
        <v>#NAME?</v>
      </c>
      <c r="AB127" s="55" t="e">
        <f ca="1">+MAX(PAA_4[[#This Row],[Comprometido Contrato]],PAA_4[[#This Row],[Comprometido Bolsa]])</f>
        <v>#NAME?</v>
      </c>
      <c r="AC127" s="55" t="str">
        <f t="shared" ref="AC127:AC128" ca="1" si="38">IFERROR(I127-AB127,"")</f>
        <v/>
      </c>
      <c r="AD127" s="55" t="e">
        <f ca="1">IF(PAA_4[[#This Row],[ESTADO (formulado)]]="NO CONTRATADO",0,MAX(PAA_4[[#This Row],[Pago por Contrato]],PAA_4[[#This Row],[Pago por bolsa]]))</f>
        <v>#NAME?</v>
      </c>
      <c r="AE127" s="55" t="str">
        <f t="shared" ref="AE127:AE128" ca="1" si="39">+IFERROR(AB127-AD127,"")</f>
        <v/>
      </c>
      <c r="AF127" s="47" t="e">
        <f t="shared" ref="AF127:AF128" ca="1" si="40">+CONCATENATE(AA127,N127)</f>
        <v>#NAME?</v>
      </c>
      <c r="AG127" s="47" t="str">
        <f t="shared" ref="AG127:AG128" si="41">IFERROR(_xlfn.NUMBERVALUE(MID(G127,1,8)),"")</f>
        <v/>
      </c>
      <c r="AH127" s="54">
        <f>IF(Q127="22",IF(ISNUMBER(SEARCH("econ",PAA_4[[#This Row],[Actividad3]])),"Económico",IF(ISNUMBER(SEARCH("alim",PAA_4[[#This Row],[Actividad3]])),"Alimentación",IF(ISNUMBER(SEARCH("educ",PAA_4[[#This Row],[Actividad3]])),"Educativo","Técnico"))),0)</f>
        <v>0</v>
      </c>
      <c r="AI127" s="47" t="e" cm="1">
        <f t="array" aca="1" ref="AI127" ca="1">_xlfn.XLOOKUP(PAA_4[[#This Row],[RCP-RUBRO]],[2]!COMPROMISOS_2024[[#All],[concatenado]],[2]!COMPROMISOS_2024[[#All],[Total pagado]],"",0)</f>
        <v>#NAME?</v>
      </c>
      <c r="AJ127" s="56">
        <f>IF(PAA_4[[#This Row],[BOLSA]]=0,0,SUMIFS([2]!COMPROMISOS_2024[[#All],[Total pagado]],[2]!COMPROMISOS_2024[[#All],[Bolsa]],PAA_4[[#This Row],[BOLSA]],[2]!COMPROMISOS_2024[[#All],[rubro]],PAA_4[[#This Row],[RCP-RUBRO]]))</f>
        <v>0</v>
      </c>
      <c r="AK127" s="47" t="e" cm="1">
        <f t="array" aca="1" ref="AK127" ca="1">_xlfn.XLOOKUP(PAA_4[[#This Row],[RCP-RUBRO]],[2]!COMPROMISOS_2024[[#All],[concatenado]],[2]!COMPROMISOS_2024[[#All],[Total Comprometido]],"",0)</f>
        <v>#NAME?</v>
      </c>
      <c r="AL127" s="47">
        <f>IF(PAA_4[[#This Row],[BOLSA]]=0,0,SUMIFS([2]!COMPROMISOS_2024[[#All],[Total Comprometido]],[2]!COMPROMISOS_2024[[#All],[Bolsa]],PAA_4[[#This Row],[BOLSA]],[2]!COMPROMISOS_2024[[#All],[concatenado]],PAA_4[[#This Row],[RCP-RUBRO]]))</f>
        <v>0</v>
      </c>
    </row>
    <row r="128" spans="1:38" s="19" customFormat="1" ht="31.5" customHeight="1">
      <c r="A128" s="47">
        <v>657</v>
      </c>
      <c r="B128" s="47">
        <v>80111600</v>
      </c>
      <c r="C128" s="47" t="str">
        <f>VLOOKUP(PAA_4[[#This Row],[PROYECTO (formulado)2]],[2]PROYECTOS!$G$1:$L$32,6,0)</f>
        <v>SUBGERENCIA ADMINISTRATIVA Y FINANCIERA</v>
      </c>
      <c r="D128" s="47" t="str">
        <f>+IF(PAA_4[[#This Row],[UNIDAD DE CONTRATACION (formulado)]]="Subgerencia Administrativa y Financiera","FUNCIONAMIENTO","INVERSIÓN")</f>
        <v>FUNCIONAMIENTO</v>
      </c>
      <c r="E128" s="48" t="str">
        <f>VLOOKUP(Q128,[2]PROYECTOS!$G$1:$K$32,5,0)</f>
        <v>FUNCIONAMIENTO</v>
      </c>
      <c r="F128" s="48">
        <f>VLOOKUP(E128,[2]PROYECTOS!$K$1:$M$32,3,0)</f>
        <v>999999</v>
      </c>
      <c r="G128" s="49" t="s">
        <v>43</v>
      </c>
      <c r="H128" s="49">
        <f>VLOOKUP(Q128,[2]PROYECTOS!$V$1:$W$32,2,0)</f>
        <v>999999</v>
      </c>
      <c r="I128" s="50">
        <v>55032648</v>
      </c>
      <c r="J128" s="51" t="s">
        <v>1341</v>
      </c>
      <c r="K128" s="47" t="str">
        <f t="shared" ca="1" si="35"/>
        <v>CONTRATADO</v>
      </c>
      <c r="L128" s="47" t="s">
        <v>94</v>
      </c>
      <c r="M128" s="47" t="s">
        <v>1297</v>
      </c>
      <c r="N128" s="52" t="s">
        <v>90</v>
      </c>
      <c r="O128" s="51" t="e">
        <f>VLOOKUP(N128,[2]!RUBROS[#All],3,0)</f>
        <v>#REF!</v>
      </c>
      <c r="P128" s="53" t="e">
        <f>VLOOKUP(N128,[2]!RUBROS[#All],2,0)</f>
        <v>#REF!</v>
      </c>
      <c r="Q128" s="47" t="str">
        <f t="shared" si="36"/>
        <v>00</v>
      </c>
      <c r="R128" s="47" t="str">
        <f t="shared" si="37"/>
        <v>0-205616</v>
      </c>
      <c r="S128" s="54">
        <v>8</v>
      </c>
      <c r="T128" s="59"/>
      <c r="U128" s="326" t="e">
        <f ca="1">_xlfn.XLOOKUP(PAA_4[[#This Row],[ITEM]],[2]Contrato!A:A,[2]Contrato!Q:Q,"",0)</f>
        <v>#NAME?</v>
      </c>
      <c r="V128" s="47" t="s">
        <v>95</v>
      </c>
      <c r="W128" s="47" t="s">
        <v>122</v>
      </c>
      <c r="X128" s="47" t="s">
        <v>122</v>
      </c>
      <c r="Y128" s="55" t="e">
        <f ca="1">_xlfn.XLOOKUP(PAA_4[[#This Row],[ITEM]],[2]Contrato!A:A,[2]Contrato!B:B,"",0)</f>
        <v>#NAME?</v>
      </c>
      <c r="Z128" s="47" t="e">
        <f ca="1">_xlfn.XLOOKUP(PAA_4[[#This Row],[ITEM]],[2]Contrato!A:A,[2]Contrato!G:G,"",0)</f>
        <v>#NAME?</v>
      </c>
      <c r="AA128" s="47" t="e">
        <f ca="1">_xlfn.XLOOKUP(PAA_4[[#This Row],[ITEM]],[2]Contrato!A:A,[2]Contrato!T:T,"",0)</f>
        <v>#NAME?</v>
      </c>
      <c r="AB128" s="55" t="e">
        <f ca="1">+MAX(PAA_4[[#This Row],[Comprometido Contrato]],PAA_4[[#This Row],[Comprometido Bolsa]])</f>
        <v>#NAME?</v>
      </c>
      <c r="AC128" s="55" t="str">
        <f t="shared" ca="1" si="38"/>
        <v/>
      </c>
      <c r="AD128" s="55" t="e">
        <f ca="1">IF(PAA_4[[#This Row],[ESTADO (formulado)]]="NO CONTRATADO",0,MAX(PAA_4[[#This Row],[Pago por Contrato]],PAA_4[[#This Row],[Pago por bolsa]]))</f>
        <v>#NAME?</v>
      </c>
      <c r="AE128" s="55" t="str">
        <f t="shared" ca="1" si="39"/>
        <v/>
      </c>
      <c r="AF128" s="47" t="e">
        <f t="shared" ca="1" si="40"/>
        <v>#NAME?</v>
      </c>
      <c r="AG128" s="47" t="str">
        <f t="shared" si="41"/>
        <v/>
      </c>
      <c r="AH128" s="54">
        <f>IF(Q128="22",IF(ISNUMBER(SEARCH("econ",PAA_4[[#This Row],[Actividad3]])),"Económico",IF(ISNUMBER(SEARCH("alim",PAA_4[[#This Row],[Actividad3]])),"Alimentación",IF(ISNUMBER(SEARCH("educ",PAA_4[[#This Row],[Actividad3]])),"Educativo","Técnico"))),0)</f>
        <v>0</v>
      </c>
      <c r="AI128" s="47" t="e" cm="1">
        <f t="array" aca="1" ref="AI128" ca="1">_xlfn.XLOOKUP(PAA_4[[#This Row],[RCP-RUBRO]],[2]!COMPROMISOS_2024[[#All],[concatenado]],[2]!COMPROMISOS_2024[[#All],[Total pagado]],"",0)</f>
        <v>#NAME?</v>
      </c>
      <c r="AJ128" s="56">
        <f>IF(PAA_4[[#This Row],[BOLSA]]=0,0,SUMIFS([2]!COMPROMISOS_2024[[#All],[Total pagado]],[2]!COMPROMISOS_2024[[#All],[Bolsa]],PAA_4[[#This Row],[BOLSA]],[2]!COMPROMISOS_2024[[#All],[rubro]],PAA_4[[#This Row],[RCP-RUBRO]]))</f>
        <v>0</v>
      </c>
      <c r="AK128" s="47" t="e" cm="1">
        <f t="array" aca="1" ref="AK128" ca="1">_xlfn.XLOOKUP(PAA_4[[#This Row],[RCP-RUBRO]],[2]!COMPROMISOS_2024[[#All],[concatenado]],[2]!COMPROMISOS_2024[[#All],[Total Comprometido]],"",0)</f>
        <v>#NAME?</v>
      </c>
      <c r="AL128" s="47">
        <f>IF(PAA_4[[#This Row],[BOLSA]]=0,0,SUMIFS([2]!COMPROMISOS_2024[[#All],[Total Comprometido]],[2]!COMPROMISOS_2024[[#All],[Bolsa]],PAA_4[[#This Row],[BOLSA]],[2]!COMPROMISOS_2024[[#All],[concatenado]],PAA_4[[#This Row],[RCP-RUBRO]]))</f>
        <v>0</v>
      </c>
    </row>
    <row r="129" spans="1:38" s="19" customFormat="1" ht="31.5" customHeight="1">
      <c r="A129" s="47" t="s">
        <v>82</v>
      </c>
      <c r="B129" s="47" t="s">
        <v>42</v>
      </c>
      <c r="C129" s="47" t="str">
        <f>VLOOKUP(PAA_4[[#This Row],[PROYECTO (formulado)2]],[2]PROYECTOS!$G$1:$L$32,6,0)</f>
        <v>SUBGERENCIA ADMINISTRATIVA Y FINANCIERA</v>
      </c>
      <c r="D129" s="47" t="str">
        <f>+IF(PAA_4[[#This Row],[UNIDAD DE CONTRATACION (formulado)]]="Subgerencia Administrativa y Financiera","FUNCIONAMIENTO","INVERSIÓN")</f>
        <v>FUNCIONAMIENTO</v>
      </c>
      <c r="E129" s="48" t="str">
        <f>VLOOKUP(Q129,[2]PROYECTOS!$G$1:$K$32,5,0)</f>
        <v>FUNCIONAMIENTO</v>
      </c>
      <c r="F129" s="48">
        <f>VLOOKUP(E129,[2]PROYECTOS!$K$1:$M$32,3,0)</f>
        <v>999999</v>
      </c>
      <c r="G129" s="49" t="s">
        <v>43</v>
      </c>
      <c r="H129" s="49">
        <f>VLOOKUP(Q129,[2]PROYECTOS!$V$1:$W$32,2,0)</f>
        <v>999999</v>
      </c>
      <c r="I129" s="50">
        <v>139051</v>
      </c>
      <c r="J129" s="51" t="s">
        <v>1342</v>
      </c>
      <c r="K129" s="47" t="str">
        <f ca="1">IF(ISNONTEXT(Y129)=TRUE,"CONTRATADO","NO CONTRATADO")</f>
        <v>CONTRATADO</v>
      </c>
      <c r="L129" s="47" t="s">
        <v>42</v>
      </c>
      <c r="M129" s="47" t="s">
        <v>42</v>
      </c>
      <c r="N129" s="52" t="s">
        <v>90</v>
      </c>
      <c r="O129" s="51" t="e">
        <f>VLOOKUP(N129,[2]!RUBROS[#All],3,0)</f>
        <v>#REF!</v>
      </c>
      <c r="P129" s="53" t="e">
        <f>VLOOKUP(N129,[2]!RUBROS[#All],2,0)</f>
        <v>#REF!</v>
      </c>
      <c r="Q129" s="47" t="str">
        <f>+MID(N129,11,2)</f>
        <v>00</v>
      </c>
      <c r="R129" s="47" t="str">
        <f>+MID(N129,14,8)</f>
        <v>0-205616</v>
      </c>
      <c r="S129" s="54" t="s">
        <v>42</v>
      </c>
      <c r="T129" s="59" t="s">
        <v>42</v>
      </c>
      <c r="U129" s="326" t="e">
        <f ca="1">_xlfn.XLOOKUP(PAA_4[[#This Row],[ITEM]],[2]Contrato!A:A,[2]Contrato!Q:Q,"",0)</f>
        <v>#NAME?</v>
      </c>
      <c r="V129" s="47" t="s">
        <v>95</v>
      </c>
      <c r="W129" s="47" t="s">
        <v>42</v>
      </c>
      <c r="X129" s="47" t="s">
        <v>42</v>
      </c>
      <c r="Y129" s="55" t="e">
        <f ca="1">_xlfn.XLOOKUP(PAA_4[[#This Row],[ITEM]],[2]Contrato!A:A,[2]Contrato!B:B,"",0)</f>
        <v>#NAME?</v>
      </c>
      <c r="Z129" s="47" t="e">
        <f ca="1">_xlfn.XLOOKUP(PAA_4[[#This Row],[ITEM]],[2]Contrato!A:A,[2]Contrato!G:G,"",0)</f>
        <v>#NAME?</v>
      </c>
      <c r="AA129" s="47" t="e">
        <f ca="1">_xlfn.XLOOKUP(PAA_4[[#This Row],[ITEM]],[2]Contrato!A:A,[2]Contrato!T:T,"",0)</f>
        <v>#NAME?</v>
      </c>
      <c r="AB129" s="55" t="e">
        <f ca="1">+MAX(PAA_4[[#This Row],[Comprometido Contrato]],PAA_4[[#This Row],[Comprometido Bolsa]])</f>
        <v>#NAME?</v>
      </c>
      <c r="AC129" s="55" t="str">
        <f ca="1">IFERROR(I129-AB129,"")</f>
        <v/>
      </c>
      <c r="AD129" s="55" t="e">
        <f ca="1">IF(PAA_4[[#This Row],[ESTADO (formulado)]]="NO CONTRATADO",0,MAX(PAA_4[[#This Row],[Pago por Contrato]],PAA_4[[#This Row],[Pago por bolsa]]))</f>
        <v>#NAME?</v>
      </c>
      <c r="AE129" s="55" t="str">
        <f ca="1">+IFERROR(AB129-AD129,"")</f>
        <v/>
      </c>
      <c r="AF129" s="47" t="e">
        <f ca="1">+CONCATENATE(AA129,N129)</f>
        <v>#NAME?</v>
      </c>
      <c r="AG129" s="47" t="str">
        <f>IFERROR(_xlfn.NUMBERVALUE(MID(G129,1,8)),"")</f>
        <v/>
      </c>
      <c r="AH129" s="54">
        <f>IF(Q129="22",IF(ISNUMBER(SEARCH("econ",PAA_4[[#This Row],[Actividad3]])),"Económico",IF(ISNUMBER(SEARCH("alim",PAA_4[[#This Row],[Actividad3]])),"Alimentación",IF(ISNUMBER(SEARCH("educ",PAA_4[[#This Row],[Actividad3]])),"Educativo","Técnico"))),0)</f>
        <v>0</v>
      </c>
      <c r="AI129" s="47" t="e" cm="1">
        <f t="array" aca="1" ref="AI129" ca="1">_xlfn.XLOOKUP(PAA_4[[#This Row],[RCP-RUBRO]],[2]!COMPROMISOS_2024[[#All],[concatenado]],[2]!COMPROMISOS_2024[[#All],[Total pagado]],"",0)</f>
        <v>#NAME?</v>
      </c>
      <c r="AJ129" s="56">
        <f>IF(PAA_4[[#This Row],[BOLSA]]=0,0,SUMIFS([2]!COMPROMISOS_2024[[#All],[Total pagado]],[2]!COMPROMISOS_2024[[#All],[Bolsa]],PAA_4[[#This Row],[BOLSA]],[2]!COMPROMISOS_2024[[#All],[rubro]],PAA_4[[#This Row],[RCP-RUBRO]]))</f>
        <v>0</v>
      </c>
      <c r="AK129" s="47" t="e" cm="1">
        <f t="array" aca="1" ref="AK129" ca="1">_xlfn.XLOOKUP(PAA_4[[#This Row],[RCP-RUBRO]],[2]!COMPROMISOS_2024[[#All],[concatenado]],[2]!COMPROMISOS_2024[[#All],[Total Comprometido]],"",0)</f>
        <v>#NAME?</v>
      </c>
      <c r="AL129" s="47">
        <f>IF(PAA_4[[#This Row],[BOLSA]]=0,0,SUMIFS([2]!COMPROMISOS_2024[[#All],[Total Comprometido]],[2]!COMPROMISOS_2024[[#All],[Bolsa]],PAA_4[[#This Row],[BOLSA]],[2]!COMPROMISOS_2024[[#All],[concatenado]],PAA_4[[#This Row],[RCP-RUBRO]]))</f>
        <v>0</v>
      </c>
    </row>
    <row r="130" spans="1:38" s="19" customFormat="1" ht="31.5" customHeight="1">
      <c r="A130" s="47" t="s">
        <v>82</v>
      </c>
      <c r="B130" s="47" t="s">
        <v>42</v>
      </c>
      <c r="C130" s="47" t="str">
        <f>VLOOKUP(PAA_4[[#This Row],[PROYECTO (formulado)2]],[2]PROYECTOS!$G$1:$L$32,6,0)</f>
        <v>SUBGERENCIA ADMINISTRATIVA Y FINANCIERA</v>
      </c>
      <c r="D130" s="47" t="str">
        <f>+IF(PAA_4[[#This Row],[UNIDAD DE CONTRATACION (formulado)]]="Subgerencia Administrativa y Financiera","FUNCIONAMIENTO","INVERSIÓN")</f>
        <v>FUNCIONAMIENTO</v>
      </c>
      <c r="E130" s="48" t="str">
        <f>VLOOKUP(Q130,[2]PROYECTOS!$G$1:$K$32,5,0)</f>
        <v>FUNCIONAMIENTO</v>
      </c>
      <c r="F130" s="48">
        <f>VLOOKUP(E130,[2]PROYECTOS!$K$1:$M$32,3,0)</f>
        <v>999999</v>
      </c>
      <c r="G130" s="49" t="s">
        <v>43</v>
      </c>
      <c r="H130" s="49">
        <f>VLOOKUP(Q130,[2]PROYECTOS!$V$1:$W$32,2,0)</f>
        <v>999999</v>
      </c>
      <c r="I130" s="50">
        <v>563309</v>
      </c>
      <c r="J130" s="51" t="s">
        <v>1342</v>
      </c>
      <c r="K130" s="47" t="str">
        <f t="shared" ref="K130:K131" ca="1" si="42">IF(ISNONTEXT(Y130)=TRUE,"CONTRATADO","NO CONTRATADO")</f>
        <v>CONTRATADO</v>
      </c>
      <c r="L130" s="47" t="s">
        <v>42</v>
      </c>
      <c r="M130" s="47" t="s">
        <v>42</v>
      </c>
      <c r="N130" s="52" t="s">
        <v>155</v>
      </c>
      <c r="O130" s="51" t="e">
        <f>VLOOKUP(N130,[2]!RUBROS[#All],3,0)</f>
        <v>#REF!</v>
      </c>
      <c r="P130" s="53" t="e">
        <f>VLOOKUP(N130,[2]!RUBROS[#All],2,0)</f>
        <v>#REF!</v>
      </c>
      <c r="Q130" s="47" t="str">
        <f t="shared" ref="Q130:Q131" si="43">+MID(N130,11,2)</f>
        <v>00</v>
      </c>
      <c r="R130" s="47" t="str">
        <f t="shared" ref="R130:R131" si="44">+MID(N130,14,8)</f>
        <v>4-205616</v>
      </c>
      <c r="S130" s="54" t="s">
        <v>42</v>
      </c>
      <c r="T130" s="59" t="s">
        <v>42</v>
      </c>
      <c r="U130" s="326" t="e">
        <f ca="1">_xlfn.XLOOKUP(PAA_4[[#This Row],[ITEM]],[2]Contrato!A:A,[2]Contrato!Q:Q,"",0)</f>
        <v>#NAME?</v>
      </c>
      <c r="V130" s="47" t="s">
        <v>95</v>
      </c>
      <c r="W130" s="47" t="s">
        <v>42</v>
      </c>
      <c r="X130" s="47" t="s">
        <v>42</v>
      </c>
      <c r="Y130" s="55" t="e">
        <f ca="1">_xlfn.XLOOKUP(PAA_4[[#This Row],[ITEM]],[2]Contrato!A:A,[2]Contrato!B:B,"",0)</f>
        <v>#NAME?</v>
      </c>
      <c r="Z130" s="47" t="e">
        <f ca="1">_xlfn.XLOOKUP(PAA_4[[#This Row],[ITEM]],[2]Contrato!A:A,[2]Contrato!G:G,"",0)</f>
        <v>#NAME?</v>
      </c>
      <c r="AA130" s="47" t="e">
        <f ca="1">_xlfn.XLOOKUP(PAA_4[[#This Row],[ITEM]],[2]Contrato!A:A,[2]Contrato!T:T,"",0)</f>
        <v>#NAME?</v>
      </c>
      <c r="AB130" s="55" t="e">
        <f ca="1">+MAX(PAA_4[[#This Row],[Comprometido Contrato]],PAA_4[[#This Row],[Comprometido Bolsa]])</f>
        <v>#NAME?</v>
      </c>
      <c r="AC130" s="55" t="str">
        <f t="shared" ref="AC130:AC131" ca="1" si="45">IFERROR(I130-AB130,"")</f>
        <v/>
      </c>
      <c r="AD130" s="55" t="e">
        <f ca="1">IF(PAA_4[[#This Row],[ESTADO (formulado)]]="NO CONTRATADO",0,MAX(PAA_4[[#This Row],[Pago por Contrato]],PAA_4[[#This Row],[Pago por bolsa]]))</f>
        <v>#NAME?</v>
      </c>
      <c r="AE130" s="55" t="str">
        <f t="shared" ref="AE130:AE131" ca="1" si="46">+IFERROR(AB130-AD130,"")</f>
        <v/>
      </c>
      <c r="AF130" s="47" t="e">
        <f t="shared" ref="AF130:AF131" ca="1" si="47">+CONCATENATE(AA130,N130)</f>
        <v>#NAME?</v>
      </c>
      <c r="AG130" s="47" t="str">
        <f t="shared" ref="AG130:AG131" si="48">IFERROR(_xlfn.NUMBERVALUE(MID(G130,1,8)),"")</f>
        <v/>
      </c>
      <c r="AH130" s="54">
        <f>IF(Q130="22",IF(ISNUMBER(SEARCH("econ",PAA_4[[#This Row],[Actividad3]])),"Económico",IF(ISNUMBER(SEARCH("alim",PAA_4[[#This Row],[Actividad3]])),"Alimentación",IF(ISNUMBER(SEARCH("educ",PAA_4[[#This Row],[Actividad3]])),"Educativo","Técnico"))),0)</f>
        <v>0</v>
      </c>
      <c r="AI130" s="47" t="e" cm="1">
        <f t="array" aca="1" ref="AI130" ca="1">_xlfn.XLOOKUP(PAA_4[[#This Row],[RCP-RUBRO]],[2]!COMPROMISOS_2024[[#All],[concatenado]],[2]!COMPROMISOS_2024[[#All],[Total pagado]],"",0)</f>
        <v>#NAME?</v>
      </c>
      <c r="AJ130" s="56">
        <f>IF(PAA_4[[#This Row],[BOLSA]]=0,0,SUMIFS([2]!COMPROMISOS_2024[[#All],[Total pagado]],[2]!COMPROMISOS_2024[[#All],[Bolsa]],PAA_4[[#This Row],[BOLSA]],[2]!COMPROMISOS_2024[[#All],[rubro]],PAA_4[[#This Row],[RCP-RUBRO]]))</f>
        <v>0</v>
      </c>
      <c r="AK130" s="47" t="e" cm="1">
        <f t="array" aca="1" ref="AK130" ca="1">_xlfn.XLOOKUP(PAA_4[[#This Row],[RCP-RUBRO]],[2]!COMPROMISOS_2024[[#All],[concatenado]],[2]!COMPROMISOS_2024[[#All],[Total Comprometido]],"",0)</f>
        <v>#NAME?</v>
      </c>
      <c r="AL130" s="47">
        <f>IF(PAA_4[[#This Row],[BOLSA]]=0,0,SUMIFS([2]!COMPROMISOS_2024[[#All],[Total Comprometido]],[2]!COMPROMISOS_2024[[#All],[Bolsa]],PAA_4[[#This Row],[BOLSA]],[2]!COMPROMISOS_2024[[#All],[concatenado]],PAA_4[[#This Row],[RCP-RUBRO]]))</f>
        <v>0</v>
      </c>
    </row>
    <row r="131" spans="1:38" s="19" customFormat="1" ht="31.5" customHeight="1">
      <c r="A131" s="47" t="s">
        <v>82</v>
      </c>
      <c r="B131" s="47" t="s">
        <v>42</v>
      </c>
      <c r="C131" s="47" t="str">
        <f>VLOOKUP(PAA_4[[#This Row],[PROYECTO (formulado)2]],[2]PROYECTOS!$G$1:$L$32,6,0)</f>
        <v>SUBGERENCIA ADMINISTRATIVA Y FINANCIERA</v>
      </c>
      <c r="D131" s="47" t="str">
        <f>+IF(PAA_4[[#This Row],[UNIDAD DE CONTRATACION (formulado)]]="Subgerencia Administrativa y Financiera","FUNCIONAMIENTO","INVERSIÓN")</f>
        <v>FUNCIONAMIENTO</v>
      </c>
      <c r="E131" s="48" t="str">
        <f>VLOOKUP(Q131,[2]PROYECTOS!$G$1:$K$32,5,0)</f>
        <v>FUNCIONAMIENTO</v>
      </c>
      <c r="F131" s="48">
        <f>VLOOKUP(E131,[2]PROYECTOS!$K$1:$M$32,3,0)</f>
        <v>999999</v>
      </c>
      <c r="G131" s="49" t="s">
        <v>43</v>
      </c>
      <c r="H131" s="49">
        <f>VLOOKUP(Q131,[2]PROYECTOS!$V$1:$W$32,2,0)</f>
        <v>999999</v>
      </c>
      <c r="I131" s="50">
        <v>112662</v>
      </c>
      <c r="J131" s="51" t="s">
        <v>1342</v>
      </c>
      <c r="K131" s="47" t="str">
        <f t="shared" ca="1" si="42"/>
        <v>CONTRATADO</v>
      </c>
      <c r="L131" s="47" t="s">
        <v>42</v>
      </c>
      <c r="M131" s="47" t="s">
        <v>42</v>
      </c>
      <c r="N131" s="52" t="s">
        <v>90</v>
      </c>
      <c r="O131" s="51" t="e">
        <f>VLOOKUP(N131,[2]!RUBROS[#All],3,0)</f>
        <v>#REF!</v>
      </c>
      <c r="P131" s="53" t="e">
        <f>VLOOKUP(N131,[2]!RUBROS[#All],2,0)</f>
        <v>#REF!</v>
      </c>
      <c r="Q131" s="47" t="str">
        <f t="shared" si="43"/>
        <v>00</v>
      </c>
      <c r="R131" s="47" t="str">
        <f t="shared" si="44"/>
        <v>0-205616</v>
      </c>
      <c r="S131" s="54" t="s">
        <v>42</v>
      </c>
      <c r="T131" s="59" t="s">
        <v>42</v>
      </c>
      <c r="U131" s="326" t="e">
        <f ca="1">_xlfn.XLOOKUP(PAA_4[[#This Row],[ITEM]],[2]Contrato!A:A,[2]Contrato!Q:Q,"",0)</f>
        <v>#NAME?</v>
      </c>
      <c r="V131" s="47" t="s">
        <v>95</v>
      </c>
      <c r="W131" s="47" t="s">
        <v>42</v>
      </c>
      <c r="X131" s="47" t="s">
        <v>42</v>
      </c>
      <c r="Y131" s="55" t="e">
        <f ca="1">_xlfn.XLOOKUP(PAA_4[[#This Row],[ITEM]],[2]Contrato!A:A,[2]Contrato!B:B,"",0)</f>
        <v>#NAME?</v>
      </c>
      <c r="Z131" s="47" t="e">
        <f ca="1">_xlfn.XLOOKUP(PAA_4[[#This Row],[ITEM]],[2]Contrato!A:A,[2]Contrato!G:G,"",0)</f>
        <v>#NAME?</v>
      </c>
      <c r="AA131" s="47" t="e">
        <f ca="1">_xlfn.XLOOKUP(PAA_4[[#This Row],[ITEM]],[2]Contrato!A:A,[2]Contrato!T:T,"",0)</f>
        <v>#NAME?</v>
      </c>
      <c r="AB131" s="55" t="e">
        <f ca="1">+MAX(PAA_4[[#This Row],[Comprometido Contrato]],PAA_4[[#This Row],[Comprometido Bolsa]])</f>
        <v>#NAME?</v>
      </c>
      <c r="AC131" s="55" t="str">
        <f t="shared" ca="1" si="45"/>
        <v/>
      </c>
      <c r="AD131" s="55" t="e">
        <f ca="1">IF(PAA_4[[#This Row],[ESTADO (formulado)]]="NO CONTRATADO",0,MAX(PAA_4[[#This Row],[Pago por Contrato]],PAA_4[[#This Row],[Pago por bolsa]]))</f>
        <v>#NAME?</v>
      </c>
      <c r="AE131" s="55" t="str">
        <f t="shared" ca="1" si="46"/>
        <v/>
      </c>
      <c r="AF131" s="47" t="e">
        <f t="shared" ca="1" si="47"/>
        <v>#NAME?</v>
      </c>
      <c r="AG131" s="47" t="str">
        <f t="shared" si="48"/>
        <v/>
      </c>
      <c r="AH131" s="54">
        <f>IF(Q131="22",IF(ISNUMBER(SEARCH("econ",PAA_4[[#This Row],[Actividad3]])),"Económico",IF(ISNUMBER(SEARCH("alim",PAA_4[[#This Row],[Actividad3]])),"Alimentación",IF(ISNUMBER(SEARCH("educ",PAA_4[[#This Row],[Actividad3]])),"Educativo","Técnico"))),0)</f>
        <v>0</v>
      </c>
      <c r="AI131" s="47" t="e" cm="1">
        <f t="array" aca="1" ref="AI131" ca="1">_xlfn.XLOOKUP(PAA_4[[#This Row],[RCP-RUBRO]],[2]!COMPROMISOS_2024[[#All],[concatenado]],[2]!COMPROMISOS_2024[[#All],[Total pagado]],"",0)</f>
        <v>#NAME?</v>
      </c>
      <c r="AJ131" s="56">
        <f>IF(PAA_4[[#This Row],[BOLSA]]=0,0,SUMIFS([2]!COMPROMISOS_2024[[#All],[Total pagado]],[2]!COMPROMISOS_2024[[#All],[Bolsa]],PAA_4[[#This Row],[BOLSA]],[2]!COMPROMISOS_2024[[#All],[rubro]],PAA_4[[#This Row],[RCP-RUBRO]]))</f>
        <v>0</v>
      </c>
      <c r="AK131" s="47" t="e" cm="1">
        <f t="array" aca="1" ref="AK131" ca="1">_xlfn.XLOOKUP(PAA_4[[#This Row],[RCP-RUBRO]],[2]!COMPROMISOS_2024[[#All],[concatenado]],[2]!COMPROMISOS_2024[[#All],[Total Comprometido]],"",0)</f>
        <v>#NAME?</v>
      </c>
      <c r="AL131" s="47">
        <f>IF(PAA_4[[#This Row],[BOLSA]]=0,0,SUMIFS([2]!COMPROMISOS_2024[[#All],[Total Comprometido]],[2]!COMPROMISOS_2024[[#All],[Bolsa]],PAA_4[[#This Row],[BOLSA]],[2]!COMPROMISOS_2024[[#All],[concatenado]],PAA_4[[#This Row],[RCP-RUBRO]]))</f>
        <v>0</v>
      </c>
    </row>
    <row r="132" spans="1:38" s="19" customFormat="1" ht="31.5" customHeight="1">
      <c r="A132" s="47" t="s">
        <v>82</v>
      </c>
      <c r="B132" s="47" t="s">
        <v>42</v>
      </c>
      <c r="C132" s="47" t="str">
        <f>VLOOKUP(PAA_4[[#This Row],[PROYECTO (formulado)2]],[2]PROYECTOS!$G$1:$L$32,6,0)</f>
        <v>SUBGERENCIA ADMINISTRATIVA Y FINANCIERA</v>
      </c>
      <c r="D132" s="47" t="str">
        <f>+IF(PAA_4[[#This Row],[UNIDAD DE CONTRATACION (formulado)]]="Subgerencia Administrativa y Financiera","FUNCIONAMIENTO","INVERSIÓN")</f>
        <v>FUNCIONAMIENTO</v>
      </c>
      <c r="E132" s="48" t="str">
        <f>VLOOKUP(Q132,[2]PROYECTOS!$G$1:$K$32,5,0)</f>
        <v>FUNCIONAMIENTO</v>
      </c>
      <c r="F132" s="48">
        <f>VLOOKUP(E132,[2]PROYECTOS!$K$1:$M$32,3,0)</f>
        <v>999999</v>
      </c>
      <c r="G132" s="49" t="s">
        <v>43</v>
      </c>
      <c r="H132" s="49">
        <f>VLOOKUP(Q132,[2]PROYECTOS!$V$1:$W$32,2,0)</f>
        <v>999999</v>
      </c>
      <c r="I132" s="50">
        <v>225323</v>
      </c>
      <c r="J132" s="51" t="s">
        <v>1342</v>
      </c>
      <c r="K132" s="47" t="str">
        <f ca="1">IF(ISNONTEXT(Y132)=TRUE,"CONTRATADO","NO CONTRATADO")</f>
        <v>CONTRATADO</v>
      </c>
      <c r="L132" s="47" t="s">
        <v>42</v>
      </c>
      <c r="M132" s="47" t="s">
        <v>42</v>
      </c>
      <c r="N132" s="52" t="s">
        <v>90</v>
      </c>
      <c r="O132" s="51" t="e">
        <f>VLOOKUP(N132,[2]!RUBROS[#All],3,0)</f>
        <v>#REF!</v>
      </c>
      <c r="P132" s="53" t="e">
        <f>VLOOKUP(N132,[2]!RUBROS[#All],2,0)</f>
        <v>#REF!</v>
      </c>
      <c r="Q132" s="47" t="str">
        <f>+MID(N132,11,2)</f>
        <v>00</v>
      </c>
      <c r="R132" s="47" t="str">
        <f>+MID(N132,14,8)</f>
        <v>0-205616</v>
      </c>
      <c r="S132" s="54" t="s">
        <v>42</v>
      </c>
      <c r="T132" s="59" t="s">
        <v>42</v>
      </c>
      <c r="U132" s="326" t="e">
        <f ca="1">_xlfn.XLOOKUP(PAA_4[[#This Row],[ITEM]],[2]Contrato!A:A,[2]Contrato!Q:Q,"",0)</f>
        <v>#NAME?</v>
      </c>
      <c r="V132" s="47" t="s">
        <v>95</v>
      </c>
      <c r="W132" s="47" t="s">
        <v>42</v>
      </c>
      <c r="X132" s="47" t="s">
        <v>42</v>
      </c>
      <c r="Y132" s="55" t="e">
        <f ca="1">_xlfn.XLOOKUP(PAA_4[[#This Row],[ITEM]],[2]Contrato!A:A,[2]Contrato!B:B,"",0)</f>
        <v>#NAME?</v>
      </c>
      <c r="Z132" s="47" t="e">
        <f ca="1">_xlfn.XLOOKUP(PAA_4[[#This Row],[ITEM]],[2]Contrato!A:A,[2]Contrato!G:G,"",0)</f>
        <v>#NAME?</v>
      </c>
      <c r="AA132" s="47" t="e">
        <f ca="1">_xlfn.XLOOKUP(PAA_4[[#This Row],[ITEM]],[2]Contrato!A:A,[2]Contrato!T:T,"",0)</f>
        <v>#NAME?</v>
      </c>
      <c r="AB132" s="55" t="e">
        <f ca="1">+MAX(PAA_4[[#This Row],[Comprometido Contrato]],PAA_4[[#This Row],[Comprometido Bolsa]])</f>
        <v>#NAME?</v>
      </c>
      <c r="AC132" s="55" t="str">
        <f ca="1">IFERROR(I132-AB132,"")</f>
        <v/>
      </c>
      <c r="AD132" s="55" t="e">
        <f ca="1">IF(PAA_4[[#This Row],[ESTADO (formulado)]]="NO CONTRATADO",0,MAX(PAA_4[[#This Row],[Pago por Contrato]],PAA_4[[#This Row],[Pago por bolsa]]))</f>
        <v>#NAME?</v>
      </c>
      <c r="AE132" s="55" t="str">
        <f ca="1">+IFERROR(AB132-AD132,"")</f>
        <v/>
      </c>
      <c r="AF132" s="47" t="e">
        <f ca="1">+CONCATENATE(AA132,N132)</f>
        <v>#NAME?</v>
      </c>
      <c r="AG132" s="47" t="str">
        <f>IFERROR(_xlfn.NUMBERVALUE(MID(G132,1,8)),"")</f>
        <v/>
      </c>
      <c r="AH132" s="54">
        <f>IF(Q132="22",IF(ISNUMBER(SEARCH("econ",PAA_4[[#This Row],[Actividad3]])),"Económico",IF(ISNUMBER(SEARCH("alim",PAA_4[[#This Row],[Actividad3]])),"Alimentación",IF(ISNUMBER(SEARCH("educ",PAA_4[[#This Row],[Actividad3]])),"Educativo","Técnico"))),0)</f>
        <v>0</v>
      </c>
      <c r="AI132" s="47" t="e" cm="1">
        <f t="array" aca="1" ref="AI132" ca="1">_xlfn.XLOOKUP(PAA_4[[#This Row],[RCP-RUBRO]],[2]!COMPROMISOS_2024[[#All],[concatenado]],[2]!COMPROMISOS_2024[[#All],[Total pagado]],"",0)</f>
        <v>#NAME?</v>
      </c>
      <c r="AJ132" s="56">
        <f>IF(PAA_4[[#This Row],[BOLSA]]=0,0,SUMIFS([2]!COMPROMISOS_2024[[#All],[Total pagado]],[2]!COMPROMISOS_2024[[#All],[Bolsa]],PAA_4[[#This Row],[BOLSA]],[2]!COMPROMISOS_2024[[#All],[rubro]],PAA_4[[#This Row],[RCP-RUBRO]]))</f>
        <v>0</v>
      </c>
      <c r="AK132" s="47" t="e" cm="1">
        <f t="array" aca="1" ref="AK132" ca="1">_xlfn.XLOOKUP(PAA_4[[#This Row],[RCP-RUBRO]],[2]!COMPROMISOS_2024[[#All],[concatenado]],[2]!COMPROMISOS_2024[[#All],[Total Comprometido]],"",0)</f>
        <v>#NAME?</v>
      </c>
      <c r="AL132" s="47">
        <f>IF(PAA_4[[#This Row],[BOLSA]]=0,0,SUMIFS([2]!COMPROMISOS_2024[[#All],[Total Comprometido]],[2]!COMPROMISOS_2024[[#All],[Bolsa]],PAA_4[[#This Row],[BOLSA]],[2]!COMPROMISOS_2024[[#All],[concatenado]],PAA_4[[#This Row],[RCP-RUBRO]]))</f>
        <v>0</v>
      </c>
    </row>
    <row r="133" spans="1:38" s="19" customFormat="1" ht="31.5" customHeight="1">
      <c r="A133" s="47" t="s">
        <v>82</v>
      </c>
      <c r="B133" s="47" t="s">
        <v>42</v>
      </c>
      <c r="C133" s="47" t="str">
        <f>VLOOKUP(PAA_4[[#This Row],[PROYECTO (formulado)2]],[2]PROYECTOS!$G$1:$L$32,6,0)</f>
        <v>SUBGERENCIA ADMINISTRATIVA Y FINANCIERA</v>
      </c>
      <c r="D133" s="47" t="str">
        <f>+IF(PAA_4[[#This Row],[UNIDAD DE CONTRATACION (formulado)]]="Subgerencia Administrativa y Financiera","FUNCIONAMIENTO","INVERSIÓN")</f>
        <v>FUNCIONAMIENTO</v>
      </c>
      <c r="E133" s="48" t="str">
        <f>VLOOKUP(Q133,[2]PROYECTOS!$G$1:$K$32,5,0)</f>
        <v>FUNCIONAMIENTO</v>
      </c>
      <c r="F133" s="48">
        <f>VLOOKUP(E133,[2]PROYECTOS!$K$1:$M$32,3,0)</f>
        <v>999999</v>
      </c>
      <c r="G133" s="49" t="s">
        <v>43</v>
      </c>
      <c r="H133" s="49">
        <f>VLOOKUP(Q133,[2]PROYECTOS!$V$1:$W$32,2,0)</f>
        <v>999999</v>
      </c>
      <c r="I133" s="50">
        <v>1191667</v>
      </c>
      <c r="J133" s="51" t="s">
        <v>1342</v>
      </c>
      <c r="K133" s="47" t="str">
        <f ca="1">IF(ISNONTEXT(Y133)=TRUE,"CONTRATADO","NO CONTRATADO")</f>
        <v>CONTRATADO</v>
      </c>
      <c r="L133" s="47" t="s">
        <v>42</v>
      </c>
      <c r="M133" s="47" t="s">
        <v>42</v>
      </c>
      <c r="N133" s="52" t="s">
        <v>1283</v>
      </c>
      <c r="O133" s="51" t="e">
        <f>VLOOKUP(N133,[2]!RUBROS[#All],3,0)</f>
        <v>#REF!</v>
      </c>
      <c r="P133" s="53" t="e">
        <f>VLOOKUP(N133,[2]!RUBROS[#All],2,0)</f>
        <v>#REF!</v>
      </c>
      <c r="Q133" s="47" t="str">
        <f>+MID(N133,11,2)</f>
        <v>00</v>
      </c>
      <c r="R133" s="47" t="str">
        <f>+MID(N133,14,8)</f>
        <v>0-101024</v>
      </c>
      <c r="S133" s="54" t="s">
        <v>42</v>
      </c>
      <c r="T133" s="59" t="s">
        <v>42</v>
      </c>
      <c r="U133" s="326" t="e">
        <f ca="1">_xlfn.XLOOKUP(PAA_4[[#This Row],[ITEM]],[2]Contrato!A:A,[2]Contrato!Q:Q,"",0)</f>
        <v>#NAME?</v>
      </c>
      <c r="V133" s="47" t="s">
        <v>95</v>
      </c>
      <c r="W133" s="47" t="s">
        <v>42</v>
      </c>
      <c r="X133" s="47" t="s">
        <v>42</v>
      </c>
      <c r="Y133" s="55" t="e">
        <f ca="1">_xlfn.XLOOKUP(PAA_4[[#This Row],[ITEM]],[2]Contrato!A:A,[2]Contrato!B:B,"",0)</f>
        <v>#NAME?</v>
      </c>
      <c r="Z133" s="47" t="e">
        <f ca="1">_xlfn.XLOOKUP(PAA_4[[#This Row],[ITEM]],[2]Contrato!A:A,[2]Contrato!G:G,"",0)</f>
        <v>#NAME?</v>
      </c>
      <c r="AA133" s="47" t="e">
        <f ca="1">_xlfn.XLOOKUP(PAA_4[[#This Row],[ITEM]],[2]Contrato!A:A,[2]Contrato!T:T,"",0)</f>
        <v>#NAME?</v>
      </c>
      <c r="AB133" s="55" t="e">
        <f ca="1">+MAX(PAA_4[[#This Row],[Comprometido Contrato]],PAA_4[[#This Row],[Comprometido Bolsa]])</f>
        <v>#NAME?</v>
      </c>
      <c r="AC133" s="55" t="str">
        <f ca="1">IFERROR(I133-AB133,"")</f>
        <v/>
      </c>
      <c r="AD133" s="55" t="e">
        <f ca="1">IF(PAA_4[[#This Row],[ESTADO (formulado)]]="NO CONTRATADO",0,MAX(PAA_4[[#This Row],[Pago por Contrato]],PAA_4[[#This Row],[Pago por bolsa]]))</f>
        <v>#NAME?</v>
      </c>
      <c r="AE133" s="55" t="str">
        <f ca="1">+IFERROR(AB133-AD133,"")</f>
        <v/>
      </c>
      <c r="AF133" s="47" t="e">
        <f ca="1">+CONCATENATE(AA133,N133)</f>
        <v>#NAME?</v>
      </c>
      <c r="AG133" s="47" t="str">
        <f>IFERROR(_xlfn.NUMBERVALUE(MID(G133,1,8)),"")</f>
        <v/>
      </c>
      <c r="AH133" s="54">
        <f>IF(Q133="22",IF(ISNUMBER(SEARCH("econ",PAA_4[[#This Row],[Actividad3]])),"Económico",IF(ISNUMBER(SEARCH("alim",PAA_4[[#This Row],[Actividad3]])),"Alimentación",IF(ISNUMBER(SEARCH("educ",PAA_4[[#This Row],[Actividad3]])),"Educativo","Técnico"))),0)</f>
        <v>0</v>
      </c>
      <c r="AI133" s="47" t="e" cm="1">
        <f t="array" aca="1" ref="AI133" ca="1">_xlfn.XLOOKUP(PAA_4[[#This Row],[RCP-RUBRO]],[2]!COMPROMISOS_2024[[#All],[concatenado]],[2]!COMPROMISOS_2024[[#All],[Total pagado]],"",0)</f>
        <v>#NAME?</v>
      </c>
      <c r="AJ133" s="56">
        <f>IF(PAA_4[[#This Row],[BOLSA]]=0,0,SUMIFS([2]!COMPROMISOS_2024[[#All],[Total pagado]],[2]!COMPROMISOS_2024[[#All],[Bolsa]],PAA_4[[#This Row],[BOLSA]],[2]!COMPROMISOS_2024[[#All],[rubro]],PAA_4[[#This Row],[RCP-RUBRO]]))</f>
        <v>0</v>
      </c>
      <c r="AK133" s="47" t="e" cm="1">
        <f t="array" aca="1" ref="AK133" ca="1">_xlfn.XLOOKUP(PAA_4[[#This Row],[RCP-RUBRO]],[2]!COMPROMISOS_2024[[#All],[concatenado]],[2]!COMPROMISOS_2024[[#All],[Total Comprometido]],"",0)</f>
        <v>#NAME?</v>
      </c>
      <c r="AL133" s="47">
        <f>IF(PAA_4[[#This Row],[BOLSA]]=0,0,SUMIFS([2]!COMPROMISOS_2024[[#All],[Total Comprometido]],[2]!COMPROMISOS_2024[[#All],[Bolsa]],PAA_4[[#This Row],[BOLSA]],[2]!COMPROMISOS_2024[[#All],[concatenado]],PAA_4[[#This Row],[RCP-RUBRO]]))</f>
        <v>0</v>
      </c>
    </row>
    <row r="134" spans="1:38" s="19" customFormat="1" ht="31.5" customHeight="1">
      <c r="A134" s="47">
        <v>658</v>
      </c>
      <c r="B134" s="47">
        <v>80111600</v>
      </c>
      <c r="C134" s="47" t="str">
        <f>VLOOKUP(PAA_4[[#This Row],[PROYECTO (formulado)2]],[2]PROYECTOS!$G$1:$L$32,6,0)</f>
        <v>SUBGERENCIA ADMINISTRATIVA Y FINANCIERA</v>
      </c>
      <c r="D134" s="47" t="str">
        <f>+IF(PAA_4[[#This Row],[UNIDAD DE CONTRATACION (formulado)]]="Subgerencia Administrativa y Financiera","FUNCIONAMIENTO","INVERSIÓN")</f>
        <v>FUNCIONAMIENTO</v>
      </c>
      <c r="E134" s="48" t="str">
        <f>VLOOKUP(Q134,[2]PROYECTOS!$G$1:$K$32,5,0)</f>
        <v>FUNCIONAMIENTO</v>
      </c>
      <c r="F134" s="48">
        <f>VLOOKUP(E134,[2]PROYECTOS!$K$1:$M$32,3,0)</f>
        <v>999999</v>
      </c>
      <c r="G134" s="49" t="s">
        <v>43</v>
      </c>
      <c r="H134" s="49">
        <f>VLOOKUP(Q134,[2]PROYECTOS!$V$1:$W$32,2,0)</f>
        <v>999999</v>
      </c>
      <c r="I134" s="50">
        <f>33372080-139051</f>
        <v>33233029</v>
      </c>
      <c r="J134" s="51" t="s">
        <v>1343</v>
      </c>
      <c r="K134" s="47" t="str">
        <f t="shared" ref="K134:K162" ca="1" si="49">IF(ISNONTEXT(Y134)=TRUE,"CONTRATADO","NO CONTRATADO")</f>
        <v>CONTRATADO</v>
      </c>
      <c r="L134" s="47" t="s">
        <v>94</v>
      </c>
      <c r="M134" s="47" t="s">
        <v>1297</v>
      </c>
      <c r="N134" s="52" t="s">
        <v>90</v>
      </c>
      <c r="O134" s="51" t="e">
        <f>VLOOKUP(N134,[2]!RUBROS[#All],3,0)</f>
        <v>#REF!</v>
      </c>
      <c r="P134" s="53" t="e">
        <f>VLOOKUP(N134,[2]!RUBROS[#All],2,0)</f>
        <v>#REF!</v>
      </c>
      <c r="Q134" s="47" t="str">
        <f t="shared" ref="Q134:Q162" si="50">+MID(N134,11,2)</f>
        <v>00</v>
      </c>
      <c r="R134" s="47" t="str">
        <f t="shared" ref="R134:R187" si="51">+MID(N134,14,8)</f>
        <v>0-205616</v>
      </c>
      <c r="S134" s="54">
        <v>8</v>
      </c>
      <c r="T134" s="59"/>
      <c r="U134" s="326" t="e">
        <f ca="1">_xlfn.XLOOKUP(PAA_4[[#This Row],[ITEM]],[2]Contrato!A:A,[2]Contrato!Q:Q,"",0)</f>
        <v>#NAME?</v>
      </c>
      <c r="V134" s="47" t="s">
        <v>95</v>
      </c>
      <c r="W134" s="47" t="s">
        <v>122</v>
      </c>
      <c r="X134" s="47" t="s">
        <v>122</v>
      </c>
      <c r="Y134" s="55" t="e">
        <f ca="1">_xlfn.XLOOKUP(PAA_4[[#This Row],[ITEM]],[2]Contrato!A:A,[2]Contrato!B:B,"",0)</f>
        <v>#NAME?</v>
      </c>
      <c r="Z134" s="47" t="e">
        <f ca="1">_xlfn.XLOOKUP(PAA_4[[#This Row],[ITEM]],[2]Contrato!A:A,[2]Contrato!G:G,"",0)</f>
        <v>#NAME?</v>
      </c>
      <c r="AA134" s="47" t="e">
        <f ca="1">_xlfn.XLOOKUP(PAA_4[[#This Row],[ITEM]],[2]Contrato!A:A,[2]Contrato!T:T,"",0)</f>
        <v>#NAME?</v>
      </c>
      <c r="AB134" s="55" t="e">
        <f ca="1">+MAX(PAA_4[[#This Row],[Comprometido Contrato]],PAA_4[[#This Row],[Comprometido Bolsa]])</f>
        <v>#NAME?</v>
      </c>
      <c r="AC134" s="55" t="str">
        <f t="shared" ref="AC134:AC162" ca="1" si="52">IFERROR(I134-AB134,"")</f>
        <v/>
      </c>
      <c r="AD134" s="55" t="e">
        <f ca="1">IF(PAA_4[[#This Row],[ESTADO (formulado)]]="NO CONTRATADO",0,MAX(PAA_4[[#This Row],[Pago por Contrato]],PAA_4[[#This Row],[Pago por bolsa]]))</f>
        <v>#NAME?</v>
      </c>
      <c r="AE134" s="55" t="str">
        <f t="shared" ref="AE134:AE162" ca="1" si="53">+IFERROR(AB134-AD134,"")</f>
        <v/>
      </c>
      <c r="AF134" s="47" t="e">
        <f t="shared" ref="AF134:AF162" ca="1" si="54">+CONCATENATE(AA134,N134)</f>
        <v>#NAME?</v>
      </c>
      <c r="AG134" s="47" t="str">
        <f t="shared" ref="AG134:AG162" si="55">IFERROR(_xlfn.NUMBERVALUE(MID(G134,1,8)),"")</f>
        <v/>
      </c>
      <c r="AH134" s="54">
        <f>IF(Q134="22",IF(ISNUMBER(SEARCH("econ",PAA_4[[#This Row],[Actividad3]])),"Económico",IF(ISNUMBER(SEARCH("alim",PAA_4[[#This Row],[Actividad3]])),"Alimentación",IF(ISNUMBER(SEARCH("educ",PAA_4[[#This Row],[Actividad3]])),"Educativo","Técnico"))),0)</f>
        <v>0</v>
      </c>
      <c r="AI134" s="47" t="e" cm="1">
        <f t="array" aca="1" ref="AI134" ca="1">_xlfn.XLOOKUP(PAA_4[[#This Row],[RCP-RUBRO]],[2]!COMPROMISOS_2024[[#All],[concatenado]],[2]!COMPROMISOS_2024[[#All],[Total pagado]],"",0)</f>
        <v>#NAME?</v>
      </c>
      <c r="AJ134" s="56">
        <f>IF(PAA_4[[#This Row],[BOLSA]]=0,0,SUMIFS([2]!COMPROMISOS_2024[[#All],[Total pagado]],[2]!COMPROMISOS_2024[[#All],[Bolsa]],PAA_4[[#This Row],[BOLSA]],[2]!COMPROMISOS_2024[[#All],[rubro]],PAA_4[[#This Row],[RCP-RUBRO]]))</f>
        <v>0</v>
      </c>
      <c r="AK134" s="47" t="e" cm="1">
        <f t="array" aca="1" ref="AK134" ca="1">_xlfn.XLOOKUP(PAA_4[[#This Row],[RCP-RUBRO]],[2]!COMPROMISOS_2024[[#All],[concatenado]],[2]!COMPROMISOS_2024[[#All],[Total Comprometido]],"",0)</f>
        <v>#NAME?</v>
      </c>
      <c r="AL134" s="47">
        <f>IF(PAA_4[[#This Row],[BOLSA]]=0,0,SUMIFS([2]!COMPROMISOS_2024[[#All],[Total Comprometido]],[2]!COMPROMISOS_2024[[#All],[Bolsa]],PAA_4[[#This Row],[BOLSA]],[2]!COMPROMISOS_2024[[#All],[concatenado]],PAA_4[[#This Row],[RCP-RUBRO]]))</f>
        <v>0</v>
      </c>
    </row>
    <row r="135" spans="1:38" s="19" customFormat="1" ht="31.5" customHeight="1">
      <c r="A135" s="47">
        <v>659</v>
      </c>
      <c r="B135" s="47">
        <v>80111600</v>
      </c>
      <c r="C135" s="47" t="str">
        <f>VLOOKUP(PAA_4[[#This Row],[PROYECTO (formulado)2]],[2]PROYECTOS!$G$1:$L$32,6,0)</f>
        <v>SUBGERENCIA ADMINISTRATIVA Y FINANCIERA</v>
      </c>
      <c r="D135" s="47" t="str">
        <f>+IF(PAA_4[[#This Row],[UNIDAD DE CONTRATACION (formulado)]]="Subgerencia Administrativa y Financiera","FUNCIONAMIENTO","INVERSIÓN")</f>
        <v>FUNCIONAMIENTO</v>
      </c>
      <c r="E135" s="48" t="str">
        <f>VLOOKUP(Q135,[2]PROYECTOS!$G$1:$K$32,5,0)</f>
        <v>FUNCIONAMIENTO</v>
      </c>
      <c r="F135" s="48">
        <f>VLOOKUP(E135,[2]PROYECTOS!$K$1:$M$32,3,0)</f>
        <v>999999</v>
      </c>
      <c r="G135" s="49" t="s">
        <v>43</v>
      </c>
      <c r="H135" s="49">
        <f>VLOOKUP(Q135,[2]PROYECTOS!$V$1:$W$32,2,0)</f>
        <v>999999</v>
      </c>
      <c r="I135" s="50">
        <v>33372080</v>
      </c>
      <c r="J135" s="51" t="s">
        <v>1344</v>
      </c>
      <c r="K135" s="47" t="str">
        <f t="shared" ca="1" si="49"/>
        <v>CONTRATADO</v>
      </c>
      <c r="L135" s="47" t="s">
        <v>94</v>
      </c>
      <c r="M135" s="47" t="s">
        <v>1297</v>
      </c>
      <c r="N135" s="52" t="s">
        <v>90</v>
      </c>
      <c r="O135" s="51" t="e">
        <f>VLOOKUP(N135,[2]!RUBROS[#All],3,0)</f>
        <v>#REF!</v>
      </c>
      <c r="P135" s="53" t="e">
        <f>VLOOKUP(N135,[2]!RUBROS[#All],2,0)</f>
        <v>#REF!</v>
      </c>
      <c r="Q135" s="47" t="str">
        <f t="shared" si="50"/>
        <v>00</v>
      </c>
      <c r="R135" s="47" t="str">
        <f t="shared" si="51"/>
        <v>0-205616</v>
      </c>
      <c r="S135" s="54">
        <v>8</v>
      </c>
      <c r="T135" s="59"/>
      <c r="U135" s="326" t="e">
        <f ca="1">_xlfn.XLOOKUP(PAA_4[[#This Row],[ITEM]],[2]Contrato!A:A,[2]Contrato!Q:Q,"",0)</f>
        <v>#NAME?</v>
      </c>
      <c r="V135" s="47" t="s">
        <v>95</v>
      </c>
      <c r="W135" s="47" t="s">
        <v>122</v>
      </c>
      <c r="X135" s="47" t="s">
        <v>122</v>
      </c>
      <c r="Y135" s="55" t="e">
        <f ca="1">_xlfn.XLOOKUP(PAA_4[[#This Row],[ITEM]],[2]Contrato!A:A,[2]Contrato!B:B,"",0)</f>
        <v>#NAME?</v>
      </c>
      <c r="Z135" s="47" t="e">
        <f ca="1">_xlfn.XLOOKUP(PAA_4[[#This Row],[ITEM]],[2]Contrato!A:A,[2]Contrato!G:G,"",0)</f>
        <v>#NAME?</v>
      </c>
      <c r="AA135" s="47" t="e">
        <f ca="1">_xlfn.XLOOKUP(PAA_4[[#This Row],[ITEM]],[2]Contrato!A:A,[2]Contrato!T:T,"",0)</f>
        <v>#NAME?</v>
      </c>
      <c r="AB135" s="55" t="e">
        <f ca="1">+MAX(PAA_4[[#This Row],[Comprometido Contrato]],PAA_4[[#This Row],[Comprometido Bolsa]])</f>
        <v>#NAME?</v>
      </c>
      <c r="AC135" s="55" t="str">
        <f t="shared" ca="1" si="52"/>
        <v/>
      </c>
      <c r="AD135" s="55" t="e">
        <f ca="1">IF(PAA_4[[#This Row],[ESTADO (formulado)]]="NO CONTRATADO",0,MAX(PAA_4[[#This Row],[Pago por Contrato]],PAA_4[[#This Row],[Pago por bolsa]]))</f>
        <v>#NAME?</v>
      </c>
      <c r="AE135" s="55" t="str">
        <f t="shared" ca="1" si="53"/>
        <v/>
      </c>
      <c r="AF135" s="47" t="e">
        <f t="shared" ca="1" si="54"/>
        <v>#NAME?</v>
      </c>
      <c r="AG135" s="47" t="str">
        <f t="shared" si="55"/>
        <v/>
      </c>
      <c r="AH135" s="54">
        <f>IF(Q135="22",IF(ISNUMBER(SEARCH("econ",PAA_4[[#This Row],[Actividad3]])),"Económico",IF(ISNUMBER(SEARCH("alim",PAA_4[[#This Row],[Actividad3]])),"Alimentación",IF(ISNUMBER(SEARCH("educ",PAA_4[[#This Row],[Actividad3]])),"Educativo","Técnico"))),0)</f>
        <v>0</v>
      </c>
      <c r="AI135" s="47" t="e" cm="1">
        <f t="array" aca="1" ref="AI135" ca="1">_xlfn.XLOOKUP(PAA_4[[#This Row],[RCP-RUBRO]],[2]!COMPROMISOS_2024[[#All],[concatenado]],[2]!COMPROMISOS_2024[[#All],[Total pagado]],"",0)</f>
        <v>#NAME?</v>
      </c>
      <c r="AJ135" s="56">
        <f>IF(PAA_4[[#This Row],[BOLSA]]=0,0,SUMIFS([2]!COMPROMISOS_2024[[#All],[Total pagado]],[2]!COMPROMISOS_2024[[#All],[Bolsa]],PAA_4[[#This Row],[BOLSA]],[2]!COMPROMISOS_2024[[#All],[rubro]],PAA_4[[#This Row],[RCP-RUBRO]]))</f>
        <v>0</v>
      </c>
      <c r="AK135" s="47" t="e" cm="1">
        <f t="array" aca="1" ref="AK135" ca="1">_xlfn.XLOOKUP(PAA_4[[#This Row],[RCP-RUBRO]],[2]!COMPROMISOS_2024[[#All],[concatenado]],[2]!COMPROMISOS_2024[[#All],[Total Comprometido]],"",0)</f>
        <v>#NAME?</v>
      </c>
      <c r="AL135" s="47">
        <f>IF(PAA_4[[#This Row],[BOLSA]]=0,0,SUMIFS([2]!COMPROMISOS_2024[[#All],[Total Comprometido]],[2]!COMPROMISOS_2024[[#All],[Bolsa]],PAA_4[[#This Row],[BOLSA]],[2]!COMPROMISOS_2024[[#All],[concatenado]],PAA_4[[#This Row],[RCP-RUBRO]]))</f>
        <v>0</v>
      </c>
    </row>
    <row r="136" spans="1:38" s="19" customFormat="1" ht="31.5" customHeight="1">
      <c r="A136" s="47">
        <v>660</v>
      </c>
      <c r="B136" s="47">
        <v>80111600</v>
      </c>
      <c r="C136" s="47" t="str">
        <f>VLOOKUP(PAA_4[[#This Row],[PROYECTO (formulado)2]],[2]PROYECTOS!$G$1:$L$32,6,0)</f>
        <v>SUBGERENCIA ADMINISTRATIVA Y FINANCIERA</v>
      </c>
      <c r="D136" s="47" t="str">
        <f>+IF(PAA_4[[#This Row],[UNIDAD DE CONTRATACION (formulado)]]="Subgerencia Administrativa y Financiera","FUNCIONAMIENTO","INVERSIÓN")</f>
        <v>FUNCIONAMIENTO</v>
      </c>
      <c r="E136" s="48" t="str">
        <f>VLOOKUP(Q136,[2]PROYECTOS!$G$1:$K$32,5,0)</f>
        <v>FUNCIONAMIENTO</v>
      </c>
      <c r="F136" s="48">
        <f>VLOOKUP(E136,[2]PROYECTOS!$K$1:$M$32,3,0)</f>
        <v>999999</v>
      </c>
      <c r="G136" s="49" t="s">
        <v>43</v>
      </c>
      <c r="H136" s="49">
        <f>VLOOKUP(Q136,[2]PROYECTOS!$V$1:$W$32,2,0)</f>
        <v>999999</v>
      </c>
      <c r="I136" s="50">
        <v>31888488</v>
      </c>
      <c r="J136" s="51" t="s">
        <v>1345</v>
      </c>
      <c r="K136" s="47" t="str">
        <f t="shared" ca="1" si="49"/>
        <v>CONTRATADO</v>
      </c>
      <c r="L136" s="47" t="s">
        <v>94</v>
      </c>
      <c r="M136" s="47" t="s">
        <v>1297</v>
      </c>
      <c r="N136" s="52" t="s">
        <v>90</v>
      </c>
      <c r="O136" s="51" t="e">
        <f>VLOOKUP(N136,[2]!RUBROS[#All],3,0)</f>
        <v>#REF!</v>
      </c>
      <c r="P136" s="53" t="e">
        <f>VLOOKUP(N136,[2]!RUBROS[#All],2,0)</f>
        <v>#REF!</v>
      </c>
      <c r="Q136" s="47" t="str">
        <f t="shared" si="50"/>
        <v>00</v>
      </c>
      <c r="R136" s="47" t="str">
        <f t="shared" si="51"/>
        <v>0-205616</v>
      </c>
      <c r="S136" s="54">
        <v>8</v>
      </c>
      <c r="T136" s="59"/>
      <c r="U136" s="326" t="e">
        <f ca="1">_xlfn.XLOOKUP(PAA_4[[#This Row],[ITEM]],[2]Contrato!A:A,[2]Contrato!Q:Q,"",0)</f>
        <v>#NAME?</v>
      </c>
      <c r="V136" s="47" t="s">
        <v>95</v>
      </c>
      <c r="W136" s="47" t="s">
        <v>122</v>
      </c>
      <c r="X136" s="47" t="s">
        <v>122</v>
      </c>
      <c r="Y136" s="55" t="e">
        <f ca="1">_xlfn.XLOOKUP(PAA_4[[#This Row],[ITEM]],[2]Contrato!A:A,[2]Contrato!B:B,"",0)</f>
        <v>#NAME?</v>
      </c>
      <c r="Z136" s="47" t="e">
        <f ca="1">_xlfn.XLOOKUP(PAA_4[[#This Row],[ITEM]],[2]Contrato!A:A,[2]Contrato!G:G,"",0)</f>
        <v>#NAME?</v>
      </c>
      <c r="AA136" s="47" t="e">
        <f ca="1">_xlfn.XLOOKUP(PAA_4[[#This Row],[ITEM]],[2]Contrato!A:A,[2]Contrato!T:T,"",0)</f>
        <v>#NAME?</v>
      </c>
      <c r="AB136" s="55" t="e">
        <f ca="1">+MAX(PAA_4[[#This Row],[Comprometido Contrato]],PAA_4[[#This Row],[Comprometido Bolsa]])</f>
        <v>#NAME?</v>
      </c>
      <c r="AC136" s="55" t="str">
        <f t="shared" ca="1" si="52"/>
        <v/>
      </c>
      <c r="AD136" s="55" t="e">
        <f ca="1">IF(PAA_4[[#This Row],[ESTADO (formulado)]]="NO CONTRATADO",0,MAX(PAA_4[[#This Row],[Pago por Contrato]],PAA_4[[#This Row],[Pago por bolsa]]))</f>
        <v>#NAME?</v>
      </c>
      <c r="AE136" s="55" t="str">
        <f t="shared" ca="1" si="53"/>
        <v/>
      </c>
      <c r="AF136" s="47" t="e">
        <f t="shared" ca="1" si="54"/>
        <v>#NAME?</v>
      </c>
      <c r="AG136" s="47" t="str">
        <f t="shared" si="55"/>
        <v/>
      </c>
      <c r="AH136" s="54">
        <f>IF(Q136="22",IF(ISNUMBER(SEARCH("econ",PAA_4[[#This Row],[Actividad3]])),"Económico",IF(ISNUMBER(SEARCH("alim",PAA_4[[#This Row],[Actividad3]])),"Alimentación",IF(ISNUMBER(SEARCH("educ",PAA_4[[#This Row],[Actividad3]])),"Educativo","Técnico"))),0)</f>
        <v>0</v>
      </c>
      <c r="AI136" s="47" t="e" cm="1">
        <f t="array" aca="1" ref="AI136" ca="1">_xlfn.XLOOKUP(PAA_4[[#This Row],[RCP-RUBRO]],[2]!COMPROMISOS_2024[[#All],[concatenado]],[2]!COMPROMISOS_2024[[#All],[Total pagado]],"",0)</f>
        <v>#NAME?</v>
      </c>
      <c r="AJ136" s="56">
        <f>IF(PAA_4[[#This Row],[BOLSA]]=0,0,SUMIFS([2]!COMPROMISOS_2024[[#All],[Total pagado]],[2]!COMPROMISOS_2024[[#All],[Bolsa]],PAA_4[[#This Row],[BOLSA]],[2]!COMPROMISOS_2024[[#All],[rubro]],PAA_4[[#This Row],[RCP-RUBRO]]))</f>
        <v>0</v>
      </c>
      <c r="AK136" s="47" t="e" cm="1">
        <f t="array" aca="1" ref="AK136" ca="1">_xlfn.XLOOKUP(PAA_4[[#This Row],[RCP-RUBRO]],[2]!COMPROMISOS_2024[[#All],[concatenado]],[2]!COMPROMISOS_2024[[#All],[Total Comprometido]],"",0)</f>
        <v>#NAME?</v>
      </c>
      <c r="AL136" s="47">
        <f>IF(PAA_4[[#This Row],[BOLSA]]=0,0,SUMIFS([2]!COMPROMISOS_2024[[#All],[Total Comprometido]],[2]!COMPROMISOS_2024[[#All],[Bolsa]],PAA_4[[#This Row],[BOLSA]],[2]!COMPROMISOS_2024[[#All],[concatenado]],PAA_4[[#This Row],[RCP-RUBRO]]))</f>
        <v>0</v>
      </c>
    </row>
    <row r="137" spans="1:38" s="19" customFormat="1" ht="31.5" customHeight="1">
      <c r="A137" s="47">
        <v>661</v>
      </c>
      <c r="B137" s="47">
        <v>80111600</v>
      </c>
      <c r="C137" s="47" t="str">
        <f>VLOOKUP(PAA_4[[#This Row],[PROYECTO (formulado)2]],[2]PROYECTOS!$G$1:$L$32,6,0)</f>
        <v>SUBGERENCIA ADMINISTRATIVA Y FINANCIERA</v>
      </c>
      <c r="D137" s="47" t="str">
        <f>+IF(PAA_4[[#This Row],[UNIDAD DE CONTRATACION (formulado)]]="Subgerencia Administrativa y Financiera","FUNCIONAMIENTO","INVERSIÓN")</f>
        <v>FUNCIONAMIENTO</v>
      </c>
      <c r="E137" s="48" t="str">
        <f>VLOOKUP(Q137,[2]PROYECTOS!$G$1:$K$32,5,0)</f>
        <v>FUNCIONAMIENTO</v>
      </c>
      <c r="F137" s="48">
        <f>VLOOKUP(E137,[2]PROYECTOS!$K$1:$M$32,3,0)</f>
        <v>999999</v>
      </c>
      <c r="G137" s="49" t="s">
        <v>43</v>
      </c>
      <c r="H137" s="49">
        <f>VLOOKUP(Q137,[2]PROYECTOS!$V$1:$W$32,2,0)</f>
        <v>999999</v>
      </c>
      <c r="I137" s="50">
        <v>61523752</v>
      </c>
      <c r="J137" s="51" t="s">
        <v>1341</v>
      </c>
      <c r="K137" s="47" t="str">
        <f t="shared" ca="1" si="49"/>
        <v>CONTRATADO</v>
      </c>
      <c r="L137" s="47" t="s">
        <v>94</v>
      </c>
      <c r="M137" s="47" t="s">
        <v>1297</v>
      </c>
      <c r="N137" s="52" t="s">
        <v>90</v>
      </c>
      <c r="O137" s="51" t="e">
        <f>VLOOKUP(N137,[2]!RUBROS[#All],3,0)</f>
        <v>#REF!</v>
      </c>
      <c r="P137" s="53" t="e">
        <f>VLOOKUP(N137,[2]!RUBROS[#All],2,0)</f>
        <v>#REF!</v>
      </c>
      <c r="Q137" s="47" t="str">
        <f t="shared" si="50"/>
        <v>00</v>
      </c>
      <c r="R137" s="47" t="str">
        <f t="shared" si="51"/>
        <v>0-205616</v>
      </c>
      <c r="S137" s="54">
        <v>8</v>
      </c>
      <c r="T137" s="59" t="s">
        <v>46</v>
      </c>
      <c r="U137" s="326" t="e">
        <f ca="1">_xlfn.XLOOKUP(PAA_4[[#This Row],[ITEM]],[2]Contrato!A:A,[2]Contrato!Q:Q,"",0)</f>
        <v>#NAME?</v>
      </c>
      <c r="V137" s="47" t="s">
        <v>95</v>
      </c>
      <c r="W137" s="47" t="s">
        <v>122</v>
      </c>
      <c r="X137" s="47" t="s">
        <v>122</v>
      </c>
      <c r="Y137" s="55" t="e">
        <f ca="1">_xlfn.XLOOKUP(PAA_4[[#This Row],[ITEM]],[2]Contrato!A:A,[2]Contrato!B:B,"",0)</f>
        <v>#NAME?</v>
      </c>
      <c r="Z137" s="47" t="e">
        <f ca="1">_xlfn.XLOOKUP(PAA_4[[#This Row],[ITEM]],[2]Contrato!A:A,[2]Contrato!G:G,"",0)</f>
        <v>#NAME?</v>
      </c>
      <c r="AA137" s="47" t="e">
        <f ca="1">_xlfn.XLOOKUP(PAA_4[[#This Row],[ITEM]],[2]Contrato!A:A,[2]Contrato!T:T,"",0)</f>
        <v>#NAME?</v>
      </c>
      <c r="AB137" s="55" t="e">
        <f ca="1">+MAX(PAA_4[[#This Row],[Comprometido Contrato]],PAA_4[[#This Row],[Comprometido Bolsa]])</f>
        <v>#NAME?</v>
      </c>
      <c r="AC137" s="55" t="str">
        <f t="shared" ca="1" si="52"/>
        <v/>
      </c>
      <c r="AD137" s="55" t="e">
        <f ca="1">IF(PAA_4[[#This Row],[ESTADO (formulado)]]="NO CONTRATADO",0,MAX(PAA_4[[#This Row],[Pago por Contrato]],PAA_4[[#This Row],[Pago por bolsa]]))</f>
        <v>#NAME?</v>
      </c>
      <c r="AE137" s="55" t="str">
        <f t="shared" ca="1" si="53"/>
        <v/>
      </c>
      <c r="AF137" s="47" t="e">
        <f t="shared" ca="1" si="54"/>
        <v>#NAME?</v>
      </c>
      <c r="AG137" s="47" t="str">
        <f t="shared" si="55"/>
        <v/>
      </c>
      <c r="AH137" s="54">
        <f>IF(Q137="22",IF(ISNUMBER(SEARCH("econ",PAA_4[[#This Row],[Actividad3]])),"Económico",IF(ISNUMBER(SEARCH("alim",PAA_4[[#This Row],[Actividad3]])),"Alimentación",IF(ISNUMBER(SEARCH("educ",PAA_4[[#This Row],[Actividad3]])),"Educativo","Técnico"))),0)</f>
        <v>0</v>
      </c>
      <c r="AI137" s="47" t="e" cm="1">
        <f t="array" aca="1" ref="AI137" ca="1">_xlfn.XLOOKUP(PAA_4[[#This Row],[RCP-RUBRO]],[2]!COMPROMISOS_2024[[#All],[concatenado]],[2]!COMPROMISOS_2024[[#All],[Total pagado]],"",0)</f>
        <v>#NAME?</v>
      </c>
      <c r="AJ137" s="56">
        <f>IF(PAA_4[[#This Row],[BOLSA]]=0,0,SUMIFS([2]!COMPROMISOS_2024[[#All],[Total pagado]],[2]!COMPROMISOS_2024[[#All],[Bolsa]],PAA_4[[#This Row],[BOLSA]],[2]!COMPROMISOS_2024[[#All],[rubro]],PAA_4[[#This Row],[RCP-RUBRO]]))</f>
        <v>0</v>
      </c>
      <c r="AK137" s="47" t="e" cm="1">
        <f t="array" aca="1" ref="AK137" ca="1">_xlfn.XLOOKUP(PAA_4[[#This Row],[RCP-RUBRO]],[2]!COMPROMISOS_2024[[#All],[concatenado]],[2]!COMPROMISOS_2024[[#All],[Total Comprometido]],"",0)</f>
        <v>#NAME?</v>
      </c>
      <c r="AL137" s="47">
        <f>IF(PAA_4[[#This Row],[BOLSA]]=0,0,SUMIFS([2]!COMPROMISOS_2024[[#All],[Total Comprometido]],[2]!COMPROMISOS_2024[[#All],[Bolsa]],PAA_4[[#This Row],[BOLSA]],[2]!COMPROMISOS_2024[[#All],[concatenado]],PAA_4[[#This Row],[RCP-RUBRO]]))</f>
        <v>0</v>
      </c>
    </row>
    <row r="138" spans="1:38" s="19" customFormat="1" ht="31.5" customHeight="1">
      <c r="A138" s="47">
        <v>662</v>
      </c>
      <c r="B138" s="47">
        <v>80111600</v>
      </c>
      <c r="C138" s="47" t="str">
        <f>VLOOKUP(PAA_4[[#This Row],[PROYECTO (formulado)2]],[2]PROYECTOS!$G$1:$L$32,6,0)</f>
        <v>SUBGERENCIA ADMINISTRATIVA Y FINANCIERA</v>
      </c>
      <c r="D138" s="47" t="str">
        <f>+IF(PAA_4[[#This Row],[UNIDAD DE CONTRATACION (formulado)]]="Subgerencia Administrativa y Financiera","FUNCIONAMIENTO","INVERSIÓN")</f>
        <v>FUNCIONAMIENTO</v>
      </c>
      <c r="E138" s="48" t="str">
        <f>VLOOKUP(Q138,[2]PROYECTOS!$G$1:$K$32,5,0)</f>
        <v>FUNCIONAMIENTO</v>
      </c>
      <c r="F138" s="48">
        <f>VLOOKUP(E138,[2]PROYECTOS!$K$1:$M$32,3,0)</f>
        <v>999999</v>
      </c>
      <c r="G138" s="49" t="s">
        <v>43</v>
      </c>
      <c r="H138" s="49">
        <f>VLOOKUP(Q138,[2]PROYECTOS!$V$1:$W$32,2,0)</f>
        <v>999999</v>
      </c>
      <c r="I138" s="50">
        <v>55032648</v>
      </c>
      <c r="J138" s="51" t="s">
        <v>1346</v>
      </c>
      <c r="K138" s="47" t="str">
        <f t="shared" ca="1" si="49"/>
        <v>CONTRATADO</v>
      </c>
      <c r="L138" s="47" t="s">
        <v>94</v>
      </c>
      <c r="M138" s="47" t="s">
        <v>1297</v>
      </c>
      <c r="N138" s="52" t="s">
        <v>90</v>
      </c>
      <c r="O138" s="51" t="e">
        <f>VLOOKUP(N138,[2]!RUBROS[#All],3,0)</f>
        <v>#REF!</v>
      </c>
      <c r="P138" s="53" t="e">
        <f>VLOOKUP(N138,[2]!RUBROS[#All],2,0)</f>
        <v>#REF!</v>
      </c>
      <c r="Q138" s="47" t="str">
        <f t="shared" si="50"/>
        <v>00</v>
      </c>
      <c r="R138" s="47" t="str">
        <f t="shared" si="51"/>
        <v>0-205616</v>
      </c>
      <c r="S138" s="54">
        <v>8</v>
      </c>
      <c r="T138" s="59"/>
      <c r="U138" s="326" t="e">
        <f ca="1">_xlfn.XLOOKUP(PAA_4[[#This Row],[ITEM]],[2]Contrato!A:A,[2]Contrato!Q:Q,"",0)</f>
        <v>#NAME?</v>
      </c>
      <c r="V138" s="47" t="s">
        <v>95</v>
      </c>
      <c r="W138" s="47" t="s">
        <v>122</v>
      </c>
      <c r="X138" s="47" t="s">
        <v>122</v>
      </c>
      <c r="Y138" s="55" t="e">
        <f ca="1">_xlfn.XLOOKUP(PAA_4[[#This Row],[ITEM]],[2]Contrato!A:A,[2]Contrato!B:B,"",0)</f>
        <v>#NAME?</v>
      </c>
      <c r="Z138" s="47" t="e">
        <f ca="1">_xlfn.XLOOKUP(PAA_4[[#This Row],[ITEM]],[2]Contrato!A:A,[2]Contrato!G:G,"",0)</f>
        <v>#NAME?</v>
      </c>
      <c r="AA138" s="47" t="e">
        <f ca="1">_xlfn.XLOOKUP(PAA_4[[#This Row],[ITEM]],[2]Contrato!A:A,[2]Contrato!T:T,"",0)</f>
        <v>#NAME?</v>
      </c>
      <c r="AB138" s="55" t="e">
        <f ca="1">+MAX(PAA_4[[#This Row],[Comprometido Contrato]],PAA_4[[#This Row],[Comprometido Bolsa]])</f>
        <v>#NAME?</v>
      </c>
      <c r="AC138" s="55" t="str">
        <f t="shared" ca="1" si="52"/>
        <v/>
      </c>
      <c r="AD138" s="55" t="e">
        <f ca="1">IF(PAA_4[[#This Row],[ESTADO (formulado)]]="NO CONTRATADO",0,MAX(PAA_4[[#This Row],[Pago por Contrato]],PAA_4[[#This Row],[Pago por bolsa]]))</f>
        <v>#NAME?</v>
      </c>
      <c r="AE138" s="55" t="str">
        <f t="shared" ca="1" si="53"/>
        <v/>
      </c>
      <c r="AF138" s="47" t="e">
        <f t="shared" ca="1" si="54"/>
        <v>#NAME?</v>
      </c>
      <c r="AG138" s="47" t="str">
        <f t="shared" si="55"/>
        <v/>
      </c>
      <c r="AH138" s="54">
        <f>IF(Q138="22",IF(ISNUMBER(SEARCH("econ",PAA_4[[#This Row],[Actividad3]])),"Económico",IF(ISNUMBER(SEARCH("alim",PAA_4[[#This Row],[Actividad3]])),"Alimentación",IF(ISNUMBER(SEARCH("educ",PAA_4[[#This Row],[Actividad3]])),"Educativo","Técnico"))),0)</f>
        <v>0</v>
      </c>
      <c r="AI138" s="47" t="e" cm="1">
        <f t="array" aca="1" ref="AI138" ca="1">_xlfn.XLOOKUP(PAA_4[[#This Row],[RCP-RUBRO]],[2]!COMPROMISOS_2024[[#All],[concatenado]],[2]!COMPROMISOS_2024[[#All],[Total pagado]],"",0)</f>
        <v>#NAME?</v>
      </c>
      <c r="AJ138" s="56">
        <f>IF(PAA_4[[#This Row],[BOLSA]]=0,0,SUMIFS([2]!COMPROMISOS_2024[[#All],[Total pagado]],[2]!COMPROMISOS_2024[[#All],[Bolsa]],PAA_4[[#This Row],[BOLSA]],[2]!COMPROMISOS_2024[[#All],[rubro]],PAA_4[[#This Row],[RCP-RUBRO]]))</f>
        <v>0</v>
      </c>
      <c r="AK138" s="47" t="e" cm="1">
        <f t="array" aca="1" ref="AK138" ca="1">_xlfn.XLOOKUP(PAA_4[[#This Row],[RCP-RUBRO]],[2]!COMPROMISOS_2024[[#All],[concatenado]],[2]!COMPROMISOS_2024[[#All],[Total Comprometido]],"",0)</f>
        <v>#NAME?</v>
      </c>
      <c r="AL138" s="47">
        <f>IF(PAA_4[[#This Row],[BOLSA]]=0,0,SUMIFS([2]!COMPROMISOS_2024[[#All],[Total Comprometido]],[2]!COMPROMISOS_2024[[#All],[Bolsa]],PAA_4[[#This Row],[BOLSA]],[2]!COMPROMISOS_2024[[#All],[concatenado]],PAA_4[[#This Row],[RCP-RUBRO]]))</f>
        <v>0</v>
      </c>
    </row>
    <row r="139" spans="1:38" s="19" customFormat="1" ht="31.5" customHeight="1">
      <c r="A139" s="47" t="s">
        <v>82</v>
      </c>
      <c r="B139" s="54" t="s">
        <v>42</v>
      </c>
      <c r="C139" s="47" t="str">
        <f>VLOOKUP(PAA_4[[#This Row],[PROYECTO (formulado)2]],[2]PROYECTOS!$G$1:$L$32,6,0)</f>
        <v>SUBGERENCIA ADMINISTRATIVA Y FINANCIERA</v>
      </c>
      <c r="D139" s="47" t="str">
        <f>+IF(PAA_4[[#This Row],[UNIDAD DE CONTRATACION (formulado)]]="Subgerencia Administrativa y Financiera","FUNCIONAMIENTO","INVERSIÓN")</f>
        <v>FUNCIONAMIENTO</v>
      </c>
      <c r="E139" s="48" t="str">
        <f>VLOOKUP(Q139,[2]PROYECTOS!$G$1:$K$32,5,0)</f>
        <v>FUNCIONAMIENTO</v>
      </c>
      <c r="F139" s="48">
        <f>VLOOKUP(E139,[2]PROYECTOS!$K$1:$M$32,3,0)</f>
        <v>999999</v>
      </c>
      <c r="G139" s="49" t="s">
        <v>43</v>
      </c>
      <c r="H139" s="49">
        <f>VLOOKUP(Q139,[2]PROYECTOS!$V$1:$W$32,2,0)</f>
        <v>999999</v>
      </c>
      <c r="I139" s="50">
        <v>0</v>
      </c>
      <c r="J139" s="51" t="s">
        <v>126</v>
      </c>
      <c r="K139" s="47" t="str">
        <f t="shared" ca="1" si="49"/>
        <v>CONTRATADO</v>
      </c>
      <c r="L139" s="47" t="s">
        <v>94</v>
      </c>
      <c r="M139" s="47" t="s">
        <v>1297</v>
      </c>
      <c r="N139" s="52" t="s">
        <v>90</v>
      </c>
      <c r="O139" s="51" t="e">
        <f>VLOOKUP(N139,[2]!RUBROS[#All],3,0)</f>
        <v>#REF!</v>
      </c>
      <c r="P139" s="53" t="e">
        <f>VLOOKUP(N139,[2]!RUBROS[#All],2,0)</f>
        <v>#REF!</v>
      </c>
      <c r="Q139" s="47" t="str">
        <f t="shared" si="50"/>
        <v>00</v>
      </c>
      <c r="R139" s="47" t="str">
        <f t="shared" si="51"/>
        <v>0-205616</v>
      </c>
      <c r="S139" s="54" t="s">
        <v>42</v>
      </c>
      <c r="T139" s="59" t="s">
        <v>42</v>
      </c>
      <c r="U139" s="326" t="e">
        <f ca="1">_xlfn.XLOOKUP(PAA_4[[#This Row],[ITEM]],[2]Contrato!A:A,[2]Contrato!Q:Q,"",0)</f>
        <v>#NAME?</v>
      </c>
      <c r="V139" s="47" t="s">
        <v>47</v>
      </c>
      <c r="W139" s="47" t="s">
        <v>119</v>
      </c>
      <c r="X139" s="47" t="s">
        <v>119</v>
      </c>
      <c r="Y139" s="55" t="e">
        <f ca="1">_xlfn.XLOOKUP(PAA_4[[#This Row],[ITEM]],[2]Contrato!A:A,[2]Contrato!B:B,"",0)</f>
        <v>#NAME?</v>
      </c>
      <c r="Z139" s="47" t="e">
        <f ca="1">_xlfn.XLOOKUP(PAA_4[[#This Row],[ITEM]],[2]Contrato!A:A,[2]Contrato!G:G,"",0)</f>
        <v>#NAME?</v>
      </c>
      <c r="AA139" s="47" t="e">
        <f ca="1">_xlfn.XLOOKUP(PAA_4[[#This Row],[ITEM]],[2]Contrato!A:A,[2]Contrato!T:T,"",0)</f>
        <v>#NAME?</v>
      </c>
      <c r="AB139" s="55" t="e">
        <f ca="1">+MAX(PAA_4[[#This Row],[Comprometido Contrato]],PAA_4[[#This Row],[Comprometido Bolsa]])</f>
        <v>#NAME?</v>
      </c>
      <c r="AC139" s="55" t="str">
        <f t="shared" ca="1" si="52"/>
        <v/>
      </c>
      <c r="AD139" s="55" t="e">
        <f ca="1">IF(PAA_4[[#This Row],[ESTADO (formulado)]]="NO CONTRATADO",0,MAX(PAA_4[[#This Row],[Pago por Contrato]],PAA_4[[#This Row],[Pago por bolsa]]))</f>
        <v>#NAME?</v>
      </c>
      <c r="AE139" s="55" t="str">
        <f t="shared" ca="1" si="53"/>
        <v/>
      </c>
      <c r="AF139" s="47" t="e">
        <f t="shared" ca="1" si="54"/>
        <v>#NAME?</v>
      </c>
      <c r="AG139" s="47" t="str">
        <f t="shared" si="55"/>
        <v/>
      </c>
      <c r="AH139" s="54">
        <f>IF(Q139="22",IF(ISNUMBER(SEARCH("econ",PAA_4[[#This Row],[Actividad3]])),"Económico",IF(ISNUMBER(SEARCH("alim",PAA_4[[#This Row],[Actividad3]])),"Alimentación",IF(ISNUMBER(SEARCH("educ",PAA_4[[#This Row],[Actividad3]])),"Educativo","Técnico"))),0)</f>
        <v>0</v>
      </c>
      <c r="AI139" s="47" t="e" cm="1">
        <f t="array" aca="1" ref="AI139" ca="1">_xlfn.XLOOKUP(PAA_4[[#This Row],[RCP-RUBRO]],[2]!COMPROMISOS_2024[[#All],[concatenado]],[2]!COMPROMISOS_2024[[#All],[Total pagado]],"",0)</f>
        <v>#NAME?</v>
      </c>
      <c r="AJ139" s="56">
        <f>IF(PAA_4[[#This Row],[BOLSA]]=0,0,SUMIFS([2]!COMPROMISOS_2024[[#All],[Total pagado]],[2]!COMPROMISOS_2024[[#All],[Bolsa]],PAA_4[[#This Row],[BOLSA]],[2]!COMPROMISOS_2024[[#All],[rubro]],PAA_4[[#This Row],[RCP-RUBRO]]))</f>
        <v>0</v>
      </c>
      <c r="AK139" s="47" t="e" cm="1">
        <f t="array" aca="1" ref="AK139" ca="1">_xlfn.XLOOKUP(PAA_4[[#This Row],[RCP-RUBRO]],[2]!COMPROMISOS_2024[[#All],[concatenado]],[2]!COMPROMISOS_2024[[#All],[Total Comprometido]],"",0)</f>
        <v>#NAME?</v>
      </c>
      <c r="AL139" s="47">
        <f>IF(PAA_4[[#This Row],[BOLSA]]=0,0,SUMIFS([2]!COMPROMISOS_2024[[#All],[Total Comprometido]],[2]!COMPROMISOS_2024[[#All],[Bolsa]],PAA_4[[#This Row],[BOLSA]],[2]!COMPROMISOS_2024[[#All],[concatenado]],PAA_4[[#This Row],[RCP-RUBRO]]))</f>
        <v>0</v>
      </c>
    </row>
    <row r="140" spans="1:38" s="19" customFormat="1" ht="31.5" customHeight="1">
      <c r="A140" s="47" t="s">
        <v>82</v>
      </c>
      <c r="B140" s="47" t="s">
        <v>42</v>
      </c>
      <c r="C140" s="47" t="str">
        <f>VLOOKUP(PAA_4[[#This Row],[PROYECTO (formulado)2]],[2]PROYECTOS!$G$1:$L$32,6,0)</f>
        <v>SUBGERENCIA ADMINISTRATIVA Y FINANCIERA</v>
      </c>
      <c r="D140" s="47" t="str">
        <f>+IF(PAA_4[[#This Row],[UNIDAD DE CONTRATACION (formulado)]]="Subgerencia Administrativa y Financiera","FUNCIONAMIENTO","INVERSIÓN")</f>
        <v>FUNCIONAMIENTO</v>
      </c>
      <c r="E140" s="48" t="str">
        <f>VLOOKUP(Q140,[2]PROYECTOS!$G$1:$K$32,5,0)</f>
        <v>FUNCIONAMIENTO</v>
      </c>
      <c r="F140" s="48">
        <f>VLOOKUP(E140,[2]PROYECTOS!$K$1:$M$32,3,0)</f>
        <v>999999</v>
      </c>
      <c r="G140" s="49" t="s">
        <v>43</v>
      </c>
      <c r="H140" s="49">
        <f>VLOOKUP(Q140,[2]PROYECTOS!$V$1:$W$32,2,0)</f>
        <v>999999</v>
      </c>
      <c r="I140" s="50">
        <v>0</v>
      </c>
      <c r="J140" s="51" t="s">
        <v>1309</v>
      </c>
      <c r="K140" s="47" t="str">
        <f t="shared" ca="1" si="49"/>
        <v>CONTRATADO</v>
      </c>
      <c r="L140" s="47" t="s">
        <v>42</v>
      </c>
      <c r="M140" s="47" t="s">
        <v>42</v>
      </c>
      <c r="N140" s="52" t="s">
        <v>90</v>
      </c>
      <c r="O140" s="51" t="e">
        <f>VLOOKUP(N140,[2]!RUBROS[#All],3,0)</f>
        <v>#REF!</v>
      </c>
      <c r="P140" s="53" t="e">
        <f>VLOOKUP(N140,[2]!RUBROS[#All],2,0)</f>
        <v>#REF!</v>
      </c>
      <c r="Q140" s="47" t="str">
        <f t="shared" si="50"/>
        <v>00</v>
      </c>
      <c r="R140" s="47" t="str">
        <f t="shared" si="51"/>
        <v>0-205616</v>
      </c>
      <c r="S140" s="54" t="s">
        <v>42</v>
      </c>
      <c r="T140" s="59" t="s">
        <v>42</v>
      </c>
      <c r="U140" s="326" t="e">
        <f ca="1">_xlfn.XLOOKUP(PAA_4[[#This Row],[ITEM]],[2]Contrato!A:A,[2]Contrato!Q:Q,"",0)</f>
        <v>#NAME?</v>
      </c>
      <c r="V140" s="47" t="s">
        <v>42</v>
      </c>
      <c r="W140" s="47" t="s">
        <v>42</v>
      </c>
      <c r="X140" s="47" t="s">
        <v>42</v>
      </c>
      <c r="Y140" s="55" t="e">
        <f ca="1">_xlfn.XLOOKUP(PAA_4[[#This Row],[ITEM]],[2]Contrato!A:A,[2]Contrato!B:B,"",0)</f>
        <v>#NAME?</v>
      </c>
      <c r="Z140" s="47" t="e">
        <f ca="1">_xlfn.XLOOKUP(PAA_4[[#This Row],[ITEM]],[2]Contrato!A:A,[2]Contrato!G:G,"",0)</f>
        <v>#NAME?</v>
      </c>
      <c r="AA140" s="47" t="e">
        <f ca="1">_xlfn.XLOOKUP(PAA_4[[#This Row],[ITEM]],[2]Contrato!A:A,[2]Contrato!T:T,"",0)</f>
        <v>#NAME?</v>
      </c>
      <c r="AB140" s="55" t="e">
        <f ca="1">+MAX(PAA_4[[#This Row],[Comprometido Contrato]],PAA_4[[#This Row],[Comprometido Bolsa]])</f>
        <v>#NAME?</v>
      </c>
      <c r="AC140" s="55" t="str">
        <f t="shared" ca="1" si="52"/>
        <v/>
      </c>
      <c r="AD140" s="55" t="e">
        <f ca="1">IF(PAA_4[[#This Row],[ESTADO (formulado)]]="NO CONTRATADO",0,MAX(PAA_4[[#This Row],[Pago por Contrato]],PAA_4[[#This Row],[Pago por bolsa]]))</f>
        <v>#NAME?</v>
      </c>
      <c r="AE140" s="55" t="str">
        <f t="shared" ca="1" si="53"/>
        <v/>
      </c>
      <c r="AF140" s="47" t="e">
        <f t="shared" ca="1" si="54"/>
        <v>#NAME?</v>
      </c>
      <c r="AG140" s="47" t="str">
        <f t="shared" si="55"/>
        <v/>
      </c>
      <c r="AH140" s="54">
        <f>IF(Q140="22",IF(ISNUMBER(SEARCH("econ",PAA_4[[#This Row],[Actividad3]])),"Económico",IF(ISNUMBER(SEARCH("alim",PAA_4[[#This Row],[Actividad3]])),"Alimentación",IF(ISNUMBER(SEARCH("educ",PAA_4[[#This Row],[Actividad3]])),"Educativo","Técnico"))),0)</f>
        <v>0</v>
      </c>
      <c r="AI140" s="47" t="e" cm="1">
        <f t="array" aca="1" ref="AI140" ca="1">_xlfn.XLOOKUP(PAA_4[[#This Row],[RCP-RUBRO]],[2]!COMPROMISOS_2024[[#All],[concatenado]],[2]!COMPROMISOS_2024[[#All],[Total pagado]],"",0)</f>
        <v>#NAME?</v>
      </c>
      <c r="AJ140" s="56">
        <f>IF(PAA_4[[#This Row],[BOLSA]]=0,0,SUMIFS([2]!COMPROMISOS_2024[[#All],[Total pagado]],[2]!COMPROMISOS_2024[[#All],[Bolsa]],PAA_4[[#This Row],[BOLSA]],[2]!COMPROMISOS_2024[[#All],[rubro]],PAA_4[[#This Row],[RCP-RUBRO]]))</f>
        <v>0</v>
      </c>
      <c r="AK140" s="47" t="e" cm="1">
        <f t="array" aca="1" ref="AK140" ca="1">_xlfn.XLOOKUP(PAA_4[[#This Row],[RCP-RUBRO]],[2]!COMPROMISOS_2024[[#All],[concatenado]],[2]!COMPROMISOS_2024[[#All],[Total Comprometido]],"",0)</f>
        <v>#NAME?</v>
      </c>
      <c r="AL140" s="47">
        <f>IF(PAA_4[[#This Row],[BOLSA]]=0,0,SUMIFS([2]!COMPROMISOS_2024[[#All],[Total Comprometido]],[2]!COMPROMISOS_2024[[#All],[Bolsa]],PAA_4[[#This Row],[BOLSA]],[2]!COMPROMISOS_2024[[#All],[concatenado]],PAA_4[[#This Row],[RCP-RUBRO]]))</f>
        <v>0</v>
      </c>
    </row>
    <row r="141" spans="1:38" s="19" customFormat="1" ht="31.5" customHeight="1">
      <c r="A141" s="47">
        <v>499</v>
      </c>
      <c r="B141" s="47">
        <v>80111600</v>
      </c>
      <c r="C141" s="47" t="str">
        <f>VLOOKUP(PAA_4[[#This Row],[PROYECTO (formulado)2]],[2]PROYECTOS!$G$1:$L$32,6,0)</f>
        <v>SUBGERENCIA ADMINISTRATIVA Y FINANCIERA</v>
      </c>
      <c r="D141" s="47" t="str">
        <f>+IF(PAA_4[[#This Row],[UNIDAD DE CONTRATACION (formulado)]]="Subgerencia Administrativa y Financiera","FUNCIONAMIENTO","INVERSIÓN")</f>
        <v>FUNCIONAMIENTO</v>
      </c>
      <c r="E141" s="48" t="str">
        <f>VLOOKUP(Q141,[2]PROYECTOS!$G$1:$K$32,5,0)</f>
        <v>FUNCIONAMIENTO</v>
      </c>
      <c r="F141" s="48">
        <f>VLOOKUP(E141,[2]PROYECTOS!$K$1:$M$32,3,0)</f>
        <v>999999</v>
      </c>
      <c r="G141" s="49" t="s">
        <v>43</v>
      </c>
      <c r="H141" s="49">
        <f>VLOOKUP(Q141,[2]PROYECTOS!$V$1:$W$32,2,0)</f>
        <v>999999</v>
      </c>
      <c r="I141" s="50">
        <f>11958243-60</f>
        <v>11958183</v>
      </c>
      <c r="J141" s="51" t="s">
        <v>127</v>
      </c>
      <c r="K141" s="47" t="str">
        <f t="shared" ca="1" si="49"/>
        <v>CONTRATADO</v>
      </c>
      <c r="L141" s="47" t="s">
        <v>94</v>
      </c>
      <c r="M141" s="47" t="s">
        <v>1297</v>
      </c>
      <c r="N141" s="52" t="s">
        <v>90</v>
      </c>
      <c r="O141" s="51" t="e">
        <f>VLOOKUP(N141,[2]!RUBROS[#All],3,0)</f>
        <v>#REF!</v>
      </c>
      <c r="P141" s="53" t="e">
        <f>VLOOKUP(N141,[2]!RUBROS[#All],2,0)</f>
        <v>#REF!</v>
      </c>
      <c r="Q141" s="47" t="str">
        <f t="shared" si="50"/>
        <v>00</v>
      </c>
      <c r="R141" s="47" t="str">
        <f t="shared" si="51"/>
        <v>0-205616</v>
      </c>
      <c r="S141" s="54">
        <v>3</v>
      </c>
      <c r="T141" s="59" t="s">
        <v>46</v>
      </c>
      <c r="U141" s="326" t="e">
        <f ca="1">_xlfn.XLOOKUP(PAA_4[[#This Row],[ITEM]],[2]Contrato!A:A,[2]Contrato!Q:Q,"",0)</f>
        <v>#NAME?</v>
      </c>
      <c r="V141" s="47" t="s">
        <v>47</v>
      </c>
      <c r="W141" s="47" t="s">
        <v>48</v>
      </c>
      <c r="X141" s="47" t="s">
        <v>48</v>
      </c>
      <c r="Y141" s="55" t="e">
        <f ca="1">_xlfn.XLOOKUP(PAA_4[[#This Row],[ITEM]],[2]Contrato!A:A,[2]Contrato!B:B,"",0)</f>
        <v>#NAME?</v>
      </c>
      <c r="Z141" s="47" t="e">
        <f ca="1">_xlfn.XLOOKUP(PAA_4[[#This Row],[ITEM]],[2]Contrato!A:A,[2]Contrato!G:G,"",0)</f>
        <v>#NAME?</v>
      </c>
      <c r="AA141" s="47" t="e">
        <f ca="1">_xlfn.XLOOKUP(PAA_4[[#This Row],[ITEM]],[2]Contrato!A:A,[2]Contrato!T:T,"",0)</f>
        <v>#NAME?</v>
      </c>
      <c r="AB141" s="55" t="e">
        <f ca="1">+MAX(PAA_4[[#This Row],[Comprometido Contrato]],PAA_4[[#This Row],[Comprometido Bolsa]])</f>
        <v>#NAME?</v>
      </c>
      <c r="AC141" s="55" t="str">
        <f t="shared" ca="1" si="52"/>
        <v/>
      </c>
      <c r="AD141" s="55" t="e">
        <f ca="1">IF(PAA_4[[#This Row],[ESTADO (formulado)]]="NO CONTRATADO",0,MAX(PAA_4[[#This Row],[Pago por Contrato]],PAA_4[[#This Row],[Pago por bolsa]]))</f>
        <v>#NAME?</v>
      </c>
      <c r="AE141" s="55" t="str">
        <f t="shared" ca="1" si="53"/>
        <v/>
      </c>
      <c r="AF141" s="47" t="e">
        <f t="shared" ca="1" si="54"/>
        <v>#NAME?</v>
      </c>
      <c r="AG141" s="47" t="str">
        <f t="shared" si="55"/>
        <v/>
      </c>
      <c r="AH141" s="54">
        <f>IF(Q141="22",IF(ISNUMBER(SEARCH("econ",PAA_4[[#This Row],[Actividad3]])),"Económico",IF(ISNUMBER(SEARCH("alim",PAA_4[[#This Row],[Actividad3]])),"Alimentación",IF(ISNUMBER(SEARCH("educ",PAA_4[[#This Row],[Actividad3]])),"Educativo","Técnico"))),0)</f>
        <v>0</v>
      </c>
      <c r="AI141" s="47" t="e" cm="1">
        <f t="array" aca="1" ref="AI141" ca="1">_xlfn.XLOOKUP(PAA_4[[#This Row],[RCP-RUBRO]],[2]!COMPROMISOS_2024[[#All],[concatenado]],[2]!COMPROMISOS_2024[[#All],[Total pagado]],"",0)</f>
        <v>#NAME?</v>
      </c>
      <c r="AJ141" s="56">
        <f>IF(PAA_4[[#This Row],[BOLSA]]=0,0,SUMIFS([2]!COMPROMISOS_2024[[#All],[Total pagado]],[2]!COMPROMISOS_2024[[#All],[Bolsa]],PAA_4[[#This Row],[BOLSA]],[2]!COMPROMISOS_2024[[#All],[rubro]],PAA_4[[#This Row],[RCP-RUBRO]]))</f>
        <v>0</v>
      </c>
      <c r="AK141" s="47" t="e" cm="1">
        <f t="array" aca="1" ref="AK141" ca="1">_xlfn.XLOOKUP(PAA_4[[#This Row],[RCP-RUBRO]],[2]!COMPROMISOS_2024[[#All],[concatenado]],[2]!COMPROMISOS_2024[[#All],[Total Comprometido]],"",0)</f>
        <v>#NAME?</v>
      </c>
      <c r="AL141" s="47">
        <f>IF(PAA_4[[#This Row],[BOLSA]]=0,0,SUMIFS([2]!COMPROMISOS_2024[[#All],[Total Comprometido]],[2]!COMPROMISOS_2024[[#All],[Bolsa]],PAA_4[[#This Row],[BOLSA]],[2]!COMPROMISOS_2024[[#All],[concatenado]],PAA_4[[#This Row],[RCP-RUBRO]]))</f>
        <v>0</v>
      </c>
    </row>
    <row r="142" spans="1:38" s="19" customFormat="1" ht="31.5" customHeight="1">
      <c r="A142" s="47">
        <v>500</v>
      </c>
      <c r="B142" s="47">
        <v>80111600</v>
      </c>
      <c r="C142" s="47" t="str">
        <f>VLOOKUP(PAA_4[[#This Row],[PROYECTO (formulado)2]],[2]PROYECTOS!$G$1:$L$32,6,0)</f>
        <v>SUBGERENCIA ADMINISTRATIVA Y FINANCIERA</v>
      </c>
      <c r="D142" s="47" t="str">
        <f>+IF(PAA_4[[#This Row],[UNIDAD DE CONTRATACION (formulado)]]="Subgerencia Administrativa y Financiera","FUNCIONAMIENTO","INVERSIÓN")</f>
        <v>FUNCIONAMIENTO</v>
      </c>
      <c r="E142" s="48" t="str">
        <f>VLOOKUP(Q142,[2]PROYECTOS!$G$1:$K$32,5,0)</f>
        <v>FUNCIONAMIENTO</v>
      </c>
      <c r="F142" s="48">
        <f>VLOOKUP(E142,[2]PROYECTOS!$K$1:$M$32,3,0)</f>
        <v>999999</v>
      </c>
      <c r="G142" s="49" t="s">
        <v>43</v>
      </c>
      <c r="H142" s="49">
        <f>VLOOKUP(Q142,[2]PROYECTOS!$V$1:$W$32,2,0)</f>
        <v>999999</v>
      </c>
      <c r="I142" s="50">
        <v>10139559</v>
      </c>
      <c r="J142" s="51" t="s">
        <v>128</v>
      </c>
      <c r="K142" s="47" t="str">
        <f t="shared" ca="1" si="49"/>
        <v>CONTRATADO</v>
      </c>
      <c r="L142" s="47" t="s">
        <v>94</v>
      </c>
      <c r="M142" s="47" t="s">
        <v>1297</v>
      </c>
      <c r="N142" s="52" t="s">
        <v>90</v>
      </c>
      <c r="O142" s="51" t="e">
        <f>VLOOKUP(N142,[2]!RUBROS[#All],3,0)</f>
        <v>#REF!</v>
      </c>
      <c r="P142" s="53" t="e">
        <f>VLOOKUP(N142,[2]!RUBROS[#All],2,0)</f>
        <v>#REF!</v>
      </c>
      <c r="Q142" s="47" t="str">
        <f t="shared" si="50"/>
        <v>00</v>
      </c>
      <c r="R142" s="47" t="str">
        <f t="shared" si="51"/>
        <v>0-205616</v>
      </c>
      <c r="S142" s="54">
        <v>3</v>
      </c>
      <c r="T142" s="59" t="s">
        <v>46</v>
      </c>
      <c r="U142" s="326" t="e">
        <f ca="1">_xlfn.XLOOKUP(PAA_4[[#This Row],[ITEM]],[2]Contrato!A:A,[2]Contrato!Q:Q,"",0)</f>
        <v>#NAME?</v>
      </c>
      <c r="V142" s="47" t="s">
        <v>47</v>
      </c>
      <c r="W142" s="47" t="s">
        <v>48</v>
      </c>
      <c r="X142" s="47" t="s">
        <v>48</v>
      </c>
      <c r="Y142" s="55" t="e">
        <f ca="1">_xlfn.XLOOKUP(PAA_4[[#This Row],[ITEM]],[2]Contrato!A:A,[2]Contrato!B:B,"",0)</f>
        <v>#NAME?</v>
      </c>
      <c r="Z142" s="47" t="e">
        <f ca="1">_xlfn.XLOOKUP(PAA_4[[#This Row],[ITEM]],[2]Contrato!A:A,[2]Contrato!G:G,"",0)</f>
        <v>#NAME?</v>
      </c>
      <c r="AA142" s="47" t="e">
        <f ca="1">_xlfn.XLOOKUP(PAA_4[[#This Row],[ITEM]],[2]Contrato!A:A,[2]Contrato!T:T,"",0)</f>
        <v>#NAME?</v>
      </c>
      <c r="AB142" s="55" t="e">
        <f ca="1">+MAX(PAA_4[[#This Row],[Comprometido Contrato]],PAA_4[[#This Row],[Comprometido Bolsa]])</f>
        <v>#NAME?</v>
      </c>
      <c r="AC142" s="55" t="str">
        <f t="shared" ca="1" si="52"/>
        <v/>
      </c>
      <c r="AD142" s="55" t="e">
        <f ca="1">IF(PAA_4[[#This Row],[ESTADO (formulado)]]="NO CONTRATADO",0,MAX(PAA_4[[#This Row],[Pago por Contrato]],PAA_4[[#This Row],[Pago por bolsa]]))</f>
        <v>#NAME?</v>
      </c>
      <c r="AE142" s="55" t="str">
        <f t="shared" ca="1" si="53"/>
        <v/>
      </c>
      <c r="AF142" s="47" t="e">
        <f t="shared" ca="1" si="54"/>
        <v>#NAME?</v>
      </c>
      <c r="AG142" s="47" t="str">
        <f t="shared" si="55"/>
        <v/>
      </c>
      <c r="AH142" s="54">
        <f>IF(Q142="22",IF(ISNUMBER(SEARCH("econ",PAA_4[[#This Row],[Actividad3]])),"Económico",IF(ISNUMBER(SEARCH("alim",PAA_4[[#This Row],[Actividad3]])),"Alimentación",IF(ISNUMBER(SEARCH("educ",PAA_4[[#This Row],[Actividad3]])),"Educativo","Técnico"))),0)</f>
        <v>0</v>
      </c>
      <c r="AI142" s="47" t="e" cm="1">
        <f t="array" aca="1" ref="AI142" ca="1">_xlfn.XLOOKUP(PAA_4[[#This Row],[RCP-RUBRO]],[2]!COMPROMISOS_2024[[#All],[concatenado]],[2]!COMPROMISOS_2024[[#All],[Total pagado]],"",0)</f>
        <v>#NAME?</v>
      </c>
      <c r="AJ142" s="56">
        <f>IF(PAA_4[[#This Row],[BOLSA]]=0,0,SUMIFS([2]!COMPROMISOS_2024[[#All],[Total pagado]],[2]!COMPROMISOS_2024[[#All],[Bolsa]],PAA_4[[#This Row],[BOLSA]],[2]!COMPROMISOS_2024[[#All],[rubro]],PAA_4[[#This Row],[RCP-RUBRO]]))</f>
        <v>0</v>
      </c>
      <c r="AK142" s="47" t="e" cm="1">
        <f t="array" aca="1" ref="AK142" ca="1">_xlfn.XLOOKUP(PAA_4[[#This Row],[RCP-RUBRO]],[2]!COMPROMISOS_2024[[#All],[concatenado]],[2]!COMPROMISOS_2024[[#All],[Total Comprometido]],"",0)</f>
        <v>#NAME?</v>
      </c>
      <c r="AL142" s="47">
        <f>IF(PAA_4[[#This Row],[BOLSA]]=0,0,SUMIFS([2]!COMPROMISOS_2024[[#All],[Total Comprometido]],[2]!COMPROMISOS_2024[[#All],[Bolsa]],PAA_4[[#This Row],[BOLSA]],[2]!COMPROMISOS_2024[[#All],[concatenado]],PAA_4[[#This Row],[RCP-RUBRO]]))</f>
        <v>0</v>
      </c>
    </row>
    <row r="143" spans="1:38" s="19" customFormat="1" ht="31.5" customHeight="1">
      <c r="A143" s="47">
        <v>501</v>
      </c>
      <c r="B143" s="47">
        <v>80111600</v>
      </c>
      <c r="C143" s="47" t="str">
        <f>VLOOKUP(PAA_4[[#This Row],[PROYECTO (formulado)2]],[2]PROYECTOS!$G$1:$L$32,6,0)</f>
        <v>SUBGERENCIA ADMINISTRATIVA Y FINANCIERA</v>
      </c>
      <c r="D143" s="47" t="str">
        <f>+IF(PAA_4[[#This Row],[UNIDAD DE CONTRATACION (formulado)]]="Subgerencia Administrativa y Financiera","FUNCIONAMIENTO","INVERSIÓN")</f>
        <v>FUNCIONAMIENTO</v>
      </c>
      <c r="E143" s="48" t="str">
        <f>VLOOKUP(Q143,[2]PROYECTOS!$G$1:$K$32,5,0)</f>
        <v>FUNCIONAMIENTO</v>
      </c>
      <c r="F143" s="48">
        <f>VLOOKUP(E143,[2]PROYECTOS!$K$1:$M$32,3,0)</f>
        <v>999999</v>
      </c>
      <c r="G143" s="49" t="s">
        <v>43</v>
      </c>
      <c r="H143" s="49">
        <f>VLOOKUP(Q143,[2]PROYECTOS!$V$1:$W$32,2,0)</f>
        <v>999999</v>
      </c>
      <c r="I143" s="50">
        <v>20637243</v>
      </c>
      <c r="J143" s="51" t="s">
        <v>129</v>
      </c>
      <c r="K143" s="47" t="str">
        <f t="shared" ca="1" si="49"/>
        <v>CONTRATADO</v>
      </c>
      <c r="L143" s="47" t="s">
        <v>94</v>
      </c>
      <c r="M143" s="47" t="s">
        <v>1297</v>
      </c>
      <c r="N143" s="52" t="s">
        <v>90</v>
      </c>
      <c r="O143" s="51" t="e">
        <f>VLOOKUP(N143,[2]!RUBROS[#All],3,0)</f>
        <v>#REF!</v>
      </c>
      <c r="P143" s="53" t="e">
        <f>VLOOKUP(N143,[2]!RUBROS[#All],2,0)</f>
        <v>#REF!</v>
      </c>
      <c r="Q143" s="47" t="str">
        <f t="shared" si="50"/>
        <v>00</v>
      </c>
      <c r="R143" s="47" t="str">
        <f t="shared" si="51"/>
        <v>0-205616</v>
      </c>
      <c r="S143" s="54">
        <v>3</v>
      </c>
      <c r="T143" s="59" t="s">
        <v>46</v>
      </c>
      <c r="U143" s="326" t="e">
        <f ca="1">_xlfn.XLOOKUP(PAA_4[[#This Row],[ITEM]],[2]Contrato!A:A,[2]Contrato!Q:Q,"",0)</f>
        <v>#NAME?</v>
      </c>
      <c r="V143" s="47" t="s">
        <v>47</v>
      </c>
      <c r="W143" s="47" t="s">
        <v>48</v>
      </c>
      <c r="X143" s="47" t="s">
        <v>48</v>
      </c>
      <c r="Y143" s="55" t="e">
        <f ca="1">_xlfn.XLOOKUP(PAA_4[[#This Row],[ITEM]],[2]Contrato!A:A,[2]Contrato!B:B,"",0)</f>
        <v>#NAME?</v>
      </c>
      <c r="Z143" s="47" t="e">
        <f ca="1">_xlfn.XLOOKUP(PAA_4[[#This Row],[ITEM]],[2]Contrato!A:A,[2]Contrato!G:G,"",0)</f>
        <v>#NAME?</v>
      </c>
      <c r="AA143" s="47" t="e">
        <f ca="1">_xlfn.XLOOKUP(PAA_4[[#This Row],[ITEM]],[2]Contrato!A:A,[2]Contrato!T:T,"",0)</f>
        <v>#NAME?</v>
      </c>
      <c r="AB143" s="55" t="e">
        <f ca="1">+MAX(PAA_4[[#This Row],[Comprometido Contrato]],PAA_4[[#This Row],[Comprometido Bolsa]])</f>
        <v>#NAME?</v>
      </c>
      <c r="AC143" s="55" t="str">
        <f t="shared" ca="1" si="52"/>
        <v/>
      </c>
      <c r="AD143" s="55" t="e">
        <f ca="1">IF(PAA_4[[#This Row],[ESTADO (formulado)]]="NO CONTRATADO",0,MAX(PAA_4[[#This Row],[Pago por Contrato]],PAA_4[[#This Row],[Pago por bolsa]]))</f>
        <v>#NAME?</v>
      </c>
      <c r="AE143" s="55" t="str">
        <f t="shared" ca="1" si="53"/>
        <v/>
      </c>
      <c r="AF143" s="47" t="e">
        <f t="shared" ca="1" si="54"/>
        <v>#NAME?</v>
      </c>
      <c r="AG143" s="47" t="str">
        <f t="shared" si="55"/>
        <v/>
      </c>
      <c r="AH143" s="54">
        <f>IF(Q143="22",IF(ISNUMBER(SEARCH("econ",PAA_4[[#This Row],[Actividad3]])),"Económico",IF(ISNUMBER(SEARCH("alim",PAA_4[[#This Row],[Actividad3]])),"Alimentación",IF(ISNUMBER(SEARCH("educ",PAA_4[[#This Row],[Actividad3]])),"Educativo","Técnico"))),0)</f>
        <v>0</v>
      </c>
      <c r="AI143" s="47" t="e" cm="1">
        <f t="array" aca="1" ref="AI143" ca="1">_xlfn.XLOOKUP(PAA_4[[#This Row],[RCP-RUBRO]],[2]!COMPROMISOS_2024[[#All],[concatenado]],[2]!COMPROMISOS_2024[[#All],[Total pagado]],"",0)</f>
        <v>#NAME?</v>
      </c>
      <c r="AJ143" s="56">
        <f>IF(PAA_4[[#This Row],[BOLSA]]=0,0,SUMIFS([2]!COMPROMISOS_2024[[#All],[Total pagado]],[2]!COMPROMISOS_2024[[#All],[Bolsa]],PAA_4[[#This Row],[BOLSA]],[2]!COMPROMISOS_2024[[#All],[rubro]],PAA_4[[#This Row],[RCP-RUBRO]]))</f>
        <v>0</v>
      </c>
      <c r="AK143" s="47" t="e" cm="1">
        <f t="array" aca="1" ref="AK143" ca="1">_xlfn.XLOOKUP(PAA_4[[#This Row],[RCP-RUBRO]],[2]!COMPROMISOS_2024[[#All],[concatenado]],[2]!COMPROMISOS_2024[[#All],[Total Comprometido]],"",0)</f>
        <v>#NAME?</v>
      </c>
      <c r="AL143" s="47">
        <f>IF(PAA_4[[#This Row],[BOLSA]]=0,0,SUMIFS([2]!COMPROMISOS_2024[[#All],[Total Comprometido]],[2]!COMPROMISOS_2024[[#All],[Bolsa]],PAA_4[[#This Row],[BOLSA]],[2]!COMPROMISOS_2024[[#All],[concatenado]],PAA_4[[#This Row],[RCP-RUBRO]]))</f>
        <v>0</v>
      </c>
    </row>
    <row r="144" spans="1:38" s="19" customFormat="1" ht="31.5" customHeight="1">
      <c r="A144" s="47" t="s">
        <v>82</v>
      </c>
      <c r="B144" s="47" t="s">
        <v>42</v>
      </c>
      <c r="C144" s="47" t="str">
        <f>VLOOKUP(PAA_4[[#This Row],[PROYECTO (formulado)2]],[2]PROYECTOS!$G$1:$L$32,6,0)</f>
        <v>SUBGERENCIA ADMINISTRATIVA Y FINANCIERA</v>
      </c>
      <c r="D144" s="47" t="str">
        <f>+IF(PAA_4[[#This Row],[UNIDAD DE CONTRATACION (formulado)]]="Subgerencia Administrativa y Financiera","FUNCIONAMIENTO","INVERSIÓN")</f>
        <v>FUNCIONAMIENTO</v>
      </c>
      <c r="E144" s="48" t="str">
        <f>VLOOKUP(Q144,[2]PROYECTOS!$G$1:$K$32,5,0)</f>
        <v>FUNCIONAMIENTO</v>
      </c>
      <c r="F144" s="48">
        <f>VLOOKUP(E144,[2]PROYECTOS!$K$1:$M$32,3,0)</f>
        <v>999999</v>
      </c>
      <c r="G144" s="49" t="s">
        <v>43</v>
      </c>
      <c r="H144" s="49">
        <f>VLOOKUP(Q144,[2]PROYECTOS!$V$1:$W$32,2,0)</f>
        <v>999999</v>
      </c>
      <c r="I144" s="50">
        <v>0</v>
      </c>
      <c r="J144" s="51" t="s">
        <v>126</v>
      </c>
      <c r="K144" s="47" t="str">
        <f t="shared" ca="1" si="49"/>
        <v>CONTRATADO</v>
      </c>
      <c r="L144" s="47" t="s">
        <v>94</v>
      </c>
      <c r="M144" s="47" t="s">
        <v>1297</v>
      </c>
      <c r="N144" s="52" t="s">
        <v>90</v>
      </c>
      <c r="O144" s="51" t="e">
        <f>VLOOKUP(N144,[2]!RUBROS[#All],3,0)</f>
        <v>#REF!</v>
      </c>
      <c r="P144" s="53" t="e">
        <f>VLOOKUP(N144,[2]!RUBROS[#All],2,0)</f>
        <v>#REF!</v>
      </c>
      <c r="Q144" s="47" t="str">
        <f t="shared" si="50"/>
        <v>00</v>
      </c>
      <c r="R144" s="47" t="str">
        <f t="shared" si="51"/>
        <v>0-205616</v>
      </c>
      <c r="S144" s="54">
        <v>8</v>
      </c>
      <c r="T144" s="59" t="s">
        <v>46</v>
      </c>
      <c r="U144" s="326" t="e">
        <f ca="1">_xlfn.XLOOKUP(PAA_4[[#This Row],[ITEM]],[2]Contrato!A:A,[2]Contrato!Q:Q,"",0)</f>
        <v>#NAME?</v>
      </c>
      <c r="V144" s="47" t="s">
        <v>95</v>
      </c>
      <c r="W144" s="47" t="s">
        <v>122</v>
      </c>
      <c r="X144" s="47" t="s">
        <v>122</v>
      </c>
      <c r="Y144" s="55" t="e">
        <f ca="1">_xlfn.XLOOKUP(PAA_4[[#This Row],[ITEM]],[2]Contrato!A:A,[2]Contrato!B:B,"",0)</f>
        <v>#NAME?</v>
      </c>
      <c r="Z144" s="47" t="e">
        <f ca="1">_xlfn.XLOOKUP(PAA_4[[#This Row],[ITEM]],[2]Contrato!A:A,[2]Contrato!G:G,"",0)</f>
        <v>#NAME?</v>
      </c>
      <c r="AA144" s="47" t="e">
        <f ca="1">_xlfn.XLOOKUP(PAA_4[[#This Row],[ITEM]],[2]Contrato!A:A,[2]Contrato!T:T,"",0)</f>
        <v>#NAME?</v>
      </c>
      <c r="AB144" s="55" t="e">
        <f ca="1">+MAX(PAA_4[[#This Row],[Comprometido Contrato]],PAA_4[[#This Row],[Comprometido Bolsa]])</f>
        <v>#NAME?</v>
      </c>
      <c r="AC144" s="55" t="str">
        <f t="shared" ca="1" si="52"/>
        <v/>
      </c>
      <c r="AD144" s="55" t="e">
        <f ca="1">IF(PAA_4[[#This Row],[ESTADO (formulado)]]="NO CONTRATADO",0,MAX(PAA_4[[#This Row],[Pago por Contrato]],PAA_4[[#This Row],[Pago por bolsa]]))</f>
        <v>#NAME?</v>
      </c>
      <c r="AE144" s="55" t="str">
        <f t="shared" ca="1" si="53"/>
        <v/>
      </c>
      <c r="AF144" s="47" t="e">
        <f t="shared" ca="1" si="54"/>
        <v>#NAME?</v>
      </c>
      <c r="AG144" s="47" t="str">
        <f t="shared" si="55"/>
        <v/>
      </c>
      <c r="AH144" s="54">
        <f>IF(Q144="22",IF(ISNUMBER(SEARCH("econ",PAA_4[[#This Row],[Actividad3]])),"Económico",IF(ISNUMBER(SEARCH("alim",PAA_4[[#This Row],[Actividad3]])),"Alimentación",IF(ISNUMBER(SEARCH("educ",PAA_4[[#This Row],[Actividad3]])),"Educativo","Técnico"))),0)</f>
        <v>0</v>
      </c>
      <c r="AI144" s="47" t="e" cm="1">
        <f t="array" aca="1" ref="AI144" ca="1">_xlfn.XLOOKUP(PAA_4[[#This Row],[RCP-RUBRO]],[2]!COMPROMISOS_2024[[#All],[concatenado]],[2]!COMPROMISOS_2024[[#All],[Total pagado]],"",0)</f>
        <v>#NAME?</v>
      </c>
      <c r="AJ144" s="56">
        <f>IF(PAA_4[[#This Row],[BOLSA]]=0,0,SUMIFS([2]!COMPROMISOS_2024[[#All],[Total pagado]],[2]!COMPROMISOS_2024[[#All],[Bolsa]],PAA_4[[#This Row],[BOLSA]],[2]!COMPROMISOS_2024[[#All],[rubro]],PAA_4[[#This Row],[RCP-RUBRO]]))</f>
        <v>0</v>
      </c>
      <c r="AK144" s="47" t="e" cm="1">
        <f t="array" aca="1" ref="AK144" ca="1">_xlfn.XLOOKUP(PAA_4[[#This Row],[RCP-RUBRO]],[2]!COMPROMISOS_2024[[#All],[concatenado]],[2]!COMPROMISOS_2024[[#All],[Total Comprometido]],"",0)</f>
        <v>#NAME?</v>
      </c>
      <c r="AL144" s="47">
        <f>IF(PAA_4[[#This Row],[BOLSA]]=0,0,SUMIFS([2]!COMPROMISOS_2024[[#All],[Total Comprometido]],[2]!COMPROMISOS_2024[[#All],[Bolsa]],PAA_4[[#This Row],[BOLSA]],[2]!COMPROMISOS_2024[[#All],[concatenado]],PAA_4[[#This Row],[RCP-RUBRO]]))</f>
        <v>0</v>
      </c>
    </row>
    <row r="145" spans="1:38" s="19" customFormat="1" ht="31.5" customHeight="1">
      <c r="A145" s="47">
        <v>502</v>
      </c>
      <c r="B145" s="47">
        <v>80111600</v>
      </c>
      <c r="C145" s="47" t="str">
        <f>VLOOKUP(PAA_4[[#This Row],[PROYECTO (formulado)2]],[2]PROYECTOS!$G$1:$L$32,6,0)</f>
        <v>SUBGERENCIA ADMINISTRATIVA Y FINANCIERA</v>
      </c>
      <c r="D145" s="47" t="str">
        <f>+IF(PAA_4[[#This Row],[UNIDAD DE CONTRATACION (formulado)]]="Subgerencia Administrativa y Financiera","FUNCIONAMIENTO","INVERSIÓN")</f>
        <v>FUNCIONAMIENTO</v>
      </c>
      <c r="E145" s="48" t="str">
        <f>VLOOKUP(Q145,[2]PROYECTOS!$G$1:$K$32,5,0)</f>
        <v>FUNCIONAMIENTO</v>
      </c>
      <c r="F145" s="48">
        <f>VLOOKUP(E145,[2]PROYECTOS!$K$1:$M$32,3,0)</f>
        <v>999999</v>
      </c>
      <c r="G145" s="49" t="s">
        <v>43</v>
      </c>
      <c r="H145" s="49">
        <f>VLOOKUP(Q145,[2]PROYECTOS!$V$1:$W$32,2,0)</f>
        <v>999999</v>
      </c>
      <c r="I145" s="50">
        <v>11527750</v>
      </c>
      <c r="J145" s="51" t="s">
        <v>130</v>
      </c>
      <c r="K145" s="47" t="str">
        <f t="shared" ca="1" si="49"/>
        <v>CONTRATADO</v>
      </c>
      <c r="L145" s="47" t="s">
        <v>94</v>
      </c>
      <c r="M145" s="47" t="s">
        <v>1297</v>
      </c>
      <c r="N145" s="52" t="s">
        <v>90</v>
      </c>
      <c r="O145" s="51" t="e">
        <f>VLOOKUP(N145,[2]!RUBROS[#All],3,0)</f>
        <v>#REF!</v>
      </c>
      <c r="P145" s="53" t="e">
        <f>VLOOKUP(N145,[2]!RUBROS[#All],2,0)</f>
        <v>#REF!</v>
      </c>
      <c r="Q145" s="47" t="str">
        <f t="shared" si="50"/>
        <v>00</v>
      </c>
      <c r="R145" s="47" t="str">
        <f t="shared" si="51"/>
        <v>0-205616</v>
      </c>
      <c r="S145" s="54">
        <v>3</v>
      </c>
      <c r="T145" s="59" t="s">
        <v>46</v>
      </c>
      <c r="U145" s="326" t="e">
        <f ca="1">_xlfn.XLOOKUP(PAA_4[[#This Row],[ITEM]],[2]Contrato!A:A,[2]Contrato!Q:Q,"",0)</f>
        <v>#NAME?</v>
      </c>
      <c r="V145" s="47" t="s">
        <v>47</v>
      </c>
      <c r="W145" s="47" t="s">
        <v>48</v>
      </c>
      <c r="X145" s="47" t="s">
        <v>48</v>
      </c>
      <c r="Y145" s="55" t="e">
        <f ca="1">_xlfn.XLOOKUP(PAA_4[[#This Row],[ITEM]],[2]Contrato!A:A,[2]Contrato!B:B,"",0)</f>
        <v>#NAME?</v>
      </c>
      <c r="Z145" s="47" t="e">
        <f ca="1">_xlfn.XLOOKUP(PAA_4[[#This Row],[ITEM]],[2]Contrato!A:A,[2]Contrato!G:G,"",0)</f>
        <v>#NAME?</v>
      </c>
      <c r="AA145" s="47" t="e">
        <f ca="1">_xlfn.XLOOKUP(PAA_4[[#This Row],[ITEM]],[2]Contrato!A:A,[2]Contrato!T:T,"",0)</f>
        <v>#NAME?</v>
      </c>
      <c r="AB145" s="55" t="e">
        <f ca="1">+MAX(PAA_4[[#This Row],[Comprometido Contrato]],PAA_4[[#This Row],[Comprometido Bolsa]])</f>
        <v>#NAME?</v>
      </c>
      <c r="AC145" s="55" t="str">
        <f t="shared" ca="1" si="52"/>
        <v/>
      </c>
      <c r="AD145" s="55" t="e">
        <f ca="1">IF(PAA_4[[#This Row],[ESTADO (formulado)]]="NO CONTRATADO",0,MAX(PAA_4[[#This Row],[Pago por Contrato]],PAA_4[[#This Row],[Pago por bolsa]]))</f>
        <v>#NAME?</v>
      </c>
      <c r="AE145" s="55" t="str">
        <f t="shared" ca="1" si="53"/>
        <v/>
      </c>
      <c r="AF145" s="47" t="e">
        <f t="shared" ca="1" si="54"/>
        <v>#NAME?</v>
      </c>
      <c r="AG145" s="47" t="str">
        <f t="shared" si="55"/>
        <v/>
      </c>
      <c r="AH145" s="54">
        <f>IF(Q145="22",IF(ISNUMBER(SEARCH("econ",PAA_4[[#This Row],[Actividad3]])),"Económico",IF(ISNUMBER(SEARCH("alim",PAA_4[[#This Row],[Actividad3]])),"Alimentación",IF(ISNUMBER(SEARCH("educ",PAA_4[[#This Row],[Actividad3]])),"Educativo","Técnico"))),0)</f>
        <v>0</v>
      </c>
      <c r="AI145" s="47" t="e" cm="1">
        <f t="array" aca="1" ref="AI145" ca="1">_xlfn.XLOOKUP(PAA_4[[#This Row],[RCP-RUBRO]],[2]!COMPROMISOS_2024[[#All],[concatenado]],[2]!COMPROMISOS_2024[[#All],[Total pagado]],"",0)</f>
        <v>#NAME?</v>
      </c>
      <c r="AJ145" s="56">
        <f>IF(PAA_4[[#This Row],[BOLSA]]=0,0,SUMIFS([2]!COMPROMISOS_2024[[#All],[Total pagado]],[2]!COMPROMISOS_2024[[#All],[Bolsa]],PAA_4[[#This Row],[BOLSA]],[2]!COMPROMISOS_2024[[#All],[rubro]],PAA_4[[#This Row],[RCP-RUBRO]]))</f>
        <v>0</v>
      </c>
      <c r="AK145" s="47" t="e" cm="1">
        <f t="array" aca="1" ref="AK145" ca="1">_xlfn.XLOOKUP(PAA_4[[#This Row],[RCP-RUBRO]],[2]!COMPROMISOS_2024[[#All],[concatenado]],[2]!COMPROMISOS_2024[[#All],[Total Comprometido]],"",0)</f>
        <v>#NAME?</v>
      </c>
      <c r="AL145" s="47">
        <f>IF(PAA_4[[#This Row],[BOLSA]]=0,0,SUMIFS([2]!COMPROMISOS_2024[[#All],[Total Comprometido]],[2]!COMPROMISOS_2024[[#All],[Bolsa]],PAA_4[[#This Row],[BOLSA]],[2]!COMPROMISOS_2024[[#All],[concatenado]],PAA_4[[#This Row],[RCP-RUBRO]]))</f>
        <v>0</v>
      </c>
    </row>
    <row r="146" spans="1:38" s="19" customFormat="1" ht="31.5" customHeight="1">
      <c r="A146" s="47">
        <v>503</v>
      </c>
      <c r="B146" s="47">
        <v>80111600</v>
      </c>
      <c r="C146" s="47" t="str">
        <f>VLOOKUP(PAA_4[[#This Row],[PROYECTO (formulado)2]],[2]PROYECTOS!$G$1:$L$32,6,0)</f>
        <v>SUBGERENCIA ADMINISTRATIVA Y FINANCIERA</v>
      </c>
      <c r="D146" s="47" t="str">
        <f>+IF(PAA_4[[#This Row],[UNIDAD DE CONTRATACION (formulado)]]="Subgerencia Administrativa y Financiera","FUNCIONAMIENTO","INVERSIÓN")</f>
        <v>FUNCIONAMIENTO</v>
      </c>
      <c r="E146" s="48" t="str">
        <f>VLOOKUP(Q146,[2]PROYECTOS!$G$1:$K$32,5,0)</f>
        <v>FUNCIONAMIENTO</v>
      </c>
      <c r="F146" s="48">
        <f>VLOOKUP(E146,[2]PROYECTOS!$K$1:$M$32,3,0)</f>
        <v>999999</v>
      </c>
      <c r="G146" s="49" t="s">
        <v>43</v>
      </c>
      <c r="H146" s="49">
        <f>VLOOKUP(Q146,[2]PROYECTOS!$V$1:$W$32,2,0)</f>
        <v>999999</v>
      </c>
      <c r="I146" s="50">
        <v>20637243</v>
      </c>
      <c r="J146" s="51" t="s">
        <v>131</v>
      </c>
      <c r="K146" s="47" t="str">
        <f t="shared" ca="1" si="49"/>
        <v>CONTRATADO</v>
      </c>
      <c r="L146" s="47" t="s">
        <v>94</v>
      </c>
      <c r="M146" s="47" t="s">
        <v>1297</v>
      </c>
      <c r="N146" s="52" t="s">
        <v>90</v>
      </c>
      <c r="O146" s="51" t="e">
        <f>VLOOKUP(N146,[2]!RUBROS[#All],3,0)</f>
        <v>#REF!</v>
      </c>
      <c r="P146" s="53" t="e">
        <f>VLOOKUP(N146,[2]!RUBROS[#All],2,0)</f>
        <v>#REF!</v>
      </c>
      <c r="Q146" s="47" t="str">
        <f t="shared" si="50"/>
        <v>00</v>
      </c>
      <c r="R146" s="47" t="str">
        <f t="shared" si="51"/>
        <v>0-205616</v>
      </c>
      <c r="S146" s="54">
        <v>3</v>
      </c>
      <c r="T146" s="59" t="s">
        <v>46</v>
      </c>
      <c r="U146" s="326" t="e">
        <f ca="1">_xlfn.XLOOKUP(PAA_4[[#This Row],[ITEM]],[2]Contrato!A:A,[2]Contrato!Q:Q,"",0)</f>
        <v>#NAME?</v>
      </c>
      <c r="V146" s="47" t="s">
        <v>47</v>
      </c>
      <c r="W146" s="47" t="s">
        <v>48</v>
      </c>
      <c r="X146" s="47" t="s">
        <v>48</v>
      </c>
      <c r="Y146" s="55" t="e">
        <f ca="1">_xlfn.XLOOKUP(PAA_4[[#This Row],[ITEM]],[2]Contrato!A:A,[2]Contrato!B:B,"",0)</f>
        <v>#NAME?</v>
      </c>
      <c r="Z146" s="47" t="e">
        <f ca="1">_xlfn.XLOOKUP(PAA_4[[#This Row],[ITEM]],[2]Contrato!A:A,[2]Contrato!G:G,"",0)</f>
        <v>#NAME?</v>
      </c>
      <c r="AA146" s="47" t="e">
        <f ca="1">_xlfn.XLOOKUP(PAA_4[[#This Row],[ITEM]],[2]Contrato!A:A,[2]Contrato!T:T,"",0)</f>
        <v>#NAME?</v>
      </c>
      <c r="AB146" s="55" t="e">
        <f ca="1">+MAX(PAA_4[[#This Row],[Comprometido Contrato]],PAA_4[[#This Row],[Comprometido Bolsa]])</f>
        <v>#NAME?</v>
      </c>
      <c r="AC146" s="55" t="str">
        <f t="shared" ca="1" si="52"/>
        <v/>
      </c>
      <c r="AD146" s="55" t="e">
        <f ca="1">IF(PAA_4[[#This Row],[ESTADO (formulado)]]="NO CONTRATADO",0,MAX(PAA_4[[#This Row],[Pago por Contrato]],PAA_4[[#This Row],[Pago por bolsa]]))</f>
        <v>#NAME?</v>
      </c>
      <c r="AE146" s="55" t="str">
        <f t="shared" ca="1" si="53"/>
        <v/>
      </c>
      <c r="AF146" s="47" t="e">
        <f t="shared" ca="1" si="54"/>
        <v>#NAME?</v>
      </c>
      <c r="AG146" s="47" t="str">
        <f t="shared" si="55"/>
        <v/>
      </c>
      <c r="AH146" s="54">
        <f>IF(Q146="22",IF(ISNUMBER(SEARCH("econ",PAA_4[[#This Row],[Actividad3]])),"Económico",IF(ISNUMBER(SEARCH("alim",PAA_4[[#This Row],[Actividad3]])),"Alimentación",IF(ISNUMBER(SEARCH("educ",PAA_4[[#This Row],[Actividad3]])),"Educativo","Técnico"))),0)</f>
        <v>0</v>
      </c>
      <c r="AI146" s="47" t="e" cm="1">
        <f t="array" aca="1" ref="AI146" ca="1">_xlfn.XLOOKUP(PAA_4[[#This Row],[RCP-RUBRO]],[2]!COMPROMISOS_2024[[#All],[concatenado]],[2]!COMPROMISOS_2024[[#All],[Total pagado]],"",0)</f>
        <v>#NAME?</v>
      </c>
      <c r="AJ146" s="56">
        <f>IF(PAA_4[[#This Row],[BOLSA]]=0,0,SUMIFS([2]!COMPROMISOS_2024[[#All],[Total pagado]],[2]!COMPROMISOS_2024[[#All],[Bolsa]],PAA_4[[#This Row],[BOLSA]],[2]!COMPROMISOS_2024[[#All],[rubro]],PAA_4[[#This Row],[RCP-RUBRO]]))</f>
        <v>0</v>
      </c>
      <c r="AK146" s="47" t="e" cm="1">
        <f t="array" aca="1" ref="AK146" ca="1">_xlfn.XLOOKUP(PAA_4[[#This Row],[RCP-RUBRO]],[2]!COMPROMISOS_2024[[#All],[concatenado]],[2]!COMPROMISOS_2024[[#All],[Total Comprometido]],"",0)</f>
        <v>#NAME?</v>
      </c>
      <c r="AL146" s="47">
        <f>IF(PAA_4[[#This Row],[BOLSA]]=0,0,SUMIFS([2]!COMPROMISOS_2024[[#All],[Total Comprometido]],[2]!COMPROMISOS_2024[[#All],[Bolsa]],PAA_4[[#This Row],[BOLSA]],[2]!COMPROMISOS_2024[[#All],[concatenado]],PAA_4[[#This Row],[RCP-RUBRO]]))</f>
        <v>0</v>
      </c>
    </row>
    <row r="147" spans="1:38" s="19" customFormat="1" ht="31.5" customHeight="1">
      <c r="A147" s="47">
        <v>504</v>
      </c>
      <c r="B147" s="47">
        <v>80111600</v>
      </c>
      <c r="C147" s="47" t="str">
        <f>VLOOKUP(PAA_4[[#This Row],[PROYECTO (formulado)2]],[2]PROYECTOS!$G$1:$L$32,6,0)</f>
        <v>SUBGERENCIA ADMINISTRATIVA Y FINANCIERA</v>
      </c>
      <c r="D147" s="47" t="str">
        <f>+IF(PAA_4[[#This Row],[UNIDAD DE CONTRATACION (formulado)]]="Subgerencia Administrativa y Financiera","FUNCIONAMIENTO","INVERSIÓN")</f>
        <v>FUNCIONAMIENTO</v>
      </c>
      <c r="E147" s="48" t="str">
        <f>VLOOKUP(Q147,[2]PROYECTOS!$G$1:$K$32,5,0)</f>
        <v>FUNCIONAMIENTO</v>
      </c>
      <c r="F147" s="48">
        <f>VLOOKUP(E147,[2]PROYECTOS!$K$1:$M$32,3,0)</f>
        <v>999999</v>
      </c>
      <c r="G147" s="49" t="s">
        <v>43</v>
      </c>
      <c r="H147" s="49">
        <f>VLOOKUP(Q147,[2]PROYECTOS!$V$1:$W$32,2,0)</f>
        <v>999999</v>
      </c>
      <c r="I147" s="50">
        <v>12514530</v>
      </c>
      <c r="J147" s="51" t="s">
        <v>132</v>
      </c>
      <c r="K147" s="47" t="str">
        <f t="shared" ca="1" si="49"/>
        <v>CONTRATADO</v>
      </c>
      <c r="L147" s="47" t="s">
        <v>94</v>
      </c>
      <c r="M147" s="47" t="s">
        <v>1297</v>
      </c>
      <c r="N147" s="52" t="s">
        <v>90</v>
      </c>
      <c r="O147" s="51" t="e">
        <f>VLOOKUP(N147,[2]!RUBROS[#All],3,0)</f>
        <v>#REF!</v>
      </c>
      <c r="P147" s="53" t="e">
        <f>VLOOKUP(N147,[2]!RUBROS[#All],2,0)</f>
        <v>#REF!</v>
      </c>
      <c r="Q147" s="47" t="str">
        <f t="shared" si="50"/>
        <v>00</v>
      </c>
      <c r="R147" s="47" t="str">
        <f t="shared" si="51"/>
        <v>0-205616</v>
      </c>
      <c r="S147" s="54">
        <v>3</v>
      </c>
      <c r="T147" s="59" t="s">
        <v>46</v>
      </c>
      <c r="U147" s="326" t="e">
        <f ca="1">_xlfn.XLOOKUP(PAA_4[[#This Row],[ITEM]],[2]Contrato!A:A,[2]Contrato!Q:Q,"",0)</f>
        <v>#NAME?</v>
      </c>
      <c r="V147" s="47" t="s">
        <v>47</v>
      </c>
      <c r="W147" s="47" t="s">
        <v>48</v>
      </c>
      <c r="X147" s="47" t="s">
        <v>48</v>
      </c>
      <c r="Y147" s="55" t="e">
        <f ca="1">_xlfn.XLOOKUP(PAA_4[[#This Row],[ITEM]],[2]Contrato!A:A,[2]Contrato!B:B,"",0)</f>
        <v>#NAME?</v>
      </c>
      <c r="Z147" s="47" t="e">
        <f ca="1">_xlfn.XLOOKUP(PAA_4[[#This Row],[ITEM]],[2]Contrato!A:A,[2]Contrato!G:G,"",0)</f>
        <v>#NAME?</v>
      </c>
      <c r="AA147" s="47" t="e">
        <f ca="1">_xlfn.XLOOKUP(PAA_4[[#This Row],[ITEM]],[2]Contrato!A:A,[2]Contrato!T:T,"",0)</f>
        <v>#NAME?</v>
      </c>
      <c r="AB147" s="55" t="e">
        <f ca="1">+MAX(PAA_4[[#This Row],[Comprometido Contrato]],PAA_4[[#This Row],[Comprometido Bolsa]])</f>
        <v>#NAME?</v>
      </c>
      <c r="AC147" s="55" t="str">
        <f t="shared" ca="1" si="52"/>
        <v/>
      </c>
      <c r="AD147" s="55" t="e">
        <f ca="1">IF(PAA_4[[#This Row],[ESTADO (formulado)]]="NO CONTRATADO",0,MAX(PAA_4[[#This Row],[Pago por Contrato]],PAA_4[[#This Row],[Pago por bolsa]]))</f>
        <v>#NAME?</v>
      </c>
      <c r="AE147" s="55" t="str">
        <f t="shared" ca="1" si="53"/>
        <v/>
      </c>
      <c r="AF147" s="47" t="e">
        <f t="shared" ca="1" si="54"/>
        <v>#NAME?</v>
      </c>
      <c r="AG147" s="47" t="str">
        <f t="shared" si="55"/>
        <v/>
      </c>
      <c r="AH147" s="54">
        <f>IF(Q147="22",IF(ISNUMBER(SEARCH("econ",PAA_4[[#This Row],[Actividad3]])),"Económico",IF(ISNUMBER(SEARCH("alim",PAA_4[[#This Row],[Actividad3]])),"Alimentación",IF(ISNUMBER(SEARCH("educ",PAA_4[[#This Row],[Actividad3]])),"Educativo","Técnico"))),0)</f>
        <v>0</v>
      </c>
      <c r="AI147" s="47" t="e" cm="1">
        <f t="array" aca="1" ref="AI147" ca="1">_xlfn.XLOOKUP(PAA_4[[#This Row],[RCP-RUBRO]],[2]!COMPROMISOS_2024[[#All],[concatenado]],[2]!COMPROMISOS_2024[[#All],[Total pagado]],"",0)</f>
        <v>#NAME?</v>
      </c>
      <c r="AJ147" s="56">
        <f>IF(PAA_4[[#This Row],[BOLSA]]=0,0,SUMIFS([2]!COMPROMISOS_2024[[#All],[Total pagado]],[2]!COMPROMISOS_2024[[#All],[Bolsa]],PAA_4[[#This Row],[BOLSA]],[2]!COMPROMISOS_2024[[#All],[rubro]],PAA_4[[#This Row],[RCP-RUBRO]]))</f>
        <v>0</v>
      </c>
      <c r="AK147" s="47" t="e" cm="1">
        <f t="array" aca="1" ref="AK147" ca="1">_xlfn.XLOOKUP(PAA_4[[#This Row],[RCP-RUBRO]],[2]!COMPROMISOS_2024[[#All],[concatenado]],[2]!COMPROMISOS_2024[[#All],[Total Comprometido]],"",0)</f>
        <v>#NAME?</v>
      </c>
      <c r="AL147" s="47">
        <f>IF(PAA_4[[#This Row],[BOLSA]]=0,0,SUMIFS([2]!COMPROMISOS_2024[[#All],[Total Comprometido]],[2]!COMPROMISOS_2024[[#All],[Bolsa]],PAA_4[[#This Row],[BOLSA]],[2]!COMPROMISOS_2024[[#All],[concatenado]],PAA_4[[#This Row],[RCP-RUBRO]]))</f>
        <v>0</v>
      </c>
    </row>
    <row r="148" spans="1:38" s="19" customFormat="1" ht="31.5" customHeight="1">
      <c r="A148" s="47">
        <v>505</v>
      </c>
      <c r="B148" s="47">
        <v>80111600</v>
      </c>
      <c r="C148" s="47" t="str">
        <f>VLOOKUP(PAA_4[[#This Row],[PROYECTO (formulado)2]],[2]PROYECTOS!$G$1:$L$32,6,0)</f>
        <v>SUBGERENCIA ADMINISTRATIVA Y FINANCIERA</v>
      </c>
      <c r="D148" s="47" t="str">
        <f>+IF(PAA_4[[#This Row],[UNIDAD DE CONTRATACION (formulado)]]="Subgerencia Administrativa y Financiera","FUNCIONAMIENTO","INVERSIÓN")</f>
        <v>FUNCIONAMIENTO</v>
      </c>
      <c r="E148" s="48" t="str">
        <f>VLOOKUP(Q148,[2]PROYECTOS!$G$1:$K$32,5,0)</f>
        <v>FUNCIONAMIENTO</v>
      </c>
      <c r="F148" s="48">
        <f>VLOOKUP(E148,[2]PROYECTOS!$K$1:$M$32,3,0)</f>
        <v>999999</v>
      </c>
      <c r="G148" s="49" t="s">
        <v>43</v>
      </c>
      <c r="H148" s="49">
        <f>VLOOKUP(Q148,[2]PROYECTOS!$V$1:$W$32,2,0)</f>
        <v>999999</v>
      </c>
      <c r="I148" s="50">
        <v>11958183</v>
      </c>
      <c r="J148" s="51" t="s">
        <v>133</v>
      </c>
      <c r="K148" s="47" t="str">
        <f t="shared" ca="1" si="49"/>
        <v>CONTRATADO</v>
      </c>
      <c r="L148" s="47" t="s">
        <v>94</v>
      </c>
      <c r="M148" s="47" t="s">
        <v>1297</v>
      </c>
      <c r="N148" s="52" t="s">
        <v>90</v>
      </c>
      <c r="O148" s="51" t="e">
        <f>VLOOKUP(N148,[2]!RUBROS[#All],3,0)</f>
        <v>#REF!</v>
      </c>
      <c r="P148" s="53" t="e">
        <f>VLOOKUP(N148,[2]!RUBROS[#All],2,0)</f>
        <v>#REF!</v>
      </c>
      <c r="Q148" s="47" t="str">
        <f t="shared" si="50"/>
        <v>00</v>
      </c>
      <c r="R148" s="47" t="str">
        <f t="shared" si="51"/>
        <v>0-205616</v>
      </c>
      <c r="S148" s="54">
        <v>3</v>
      </c>
      <c r="T148" s="59" t="s">
        <v>46</v>
      </c>
      <c r="U148" s="326" t="e">
        <f ca="1">_xlfn.XLOOKUP(PAA_4[[#This Row],[ITEM]],[2]Contrato!A:A,[2]Contrato!Q:Q,"",0)</f>
        <v>#NAME?</v>
      </c>
      <c r="V148" s="47" t="s">
        <v>47</v>
      </c>
      <c r="W148" s="47" t="s">
        <v>48</v>
      </c>
      <c r="X148" s="47" t="s">
        <v>48</v>
      </c>
      <c r="Y148" s="55" t="e">
        <f ca="1">_xlfn.XLOOKUP(PAA_4[[#This Row],[ITEM]],[2]Contrato!A:A,[2]Contrato!B:B,"",0)</f>
        <v>#NAME?</v>
      </c>
      <c r="Z148" s="47" t="e">
        <f ca="1">_xlfn.XLOOKUP(PAA_4[[#This Row],[ITEM]],[2]Contrato!A:A,[2]Contrato!G:G,"",0)</f>
        <v>#NAME?</v>
      </c>
      <c r="AA148" s="47" t="e">
        <f ca="1">_xlfn.XLOOKUP(PAA_4[[#This Row],[ITEM]],[2]Contrato!A:A,[2]Contrato!T:T,"",0)</f>
        <v>#NAME?</v>
      </c>
      <c r="AB148" s="55" t="e">
        <f ca="1">+MAX(PAA_4[[#This Row],[Comprometido Contrato]],PAA_4[[#This Row],[Comprometido Bolsa]])</f>
        <v>#NAME?</v>
      </c>
      <c r="AC148" s="55" t="str">
        <f t="shared" ca="1" si="52"/>
        <v/>
      </c>
      <c r="AD148" s="55" t="e">
        <f ca="1">IF(PAA_4[[#This Row],[ESTADO (formulado)]]="NO CONTRATADO",0,MAX(PAA_4[[#This Row],[Pago por Contrato]],PAA_4[[#This Row],[Pago por bolsa]]))</f>
        <v>#NAME?</v>
      </c>
      <c r="AE148" s="55" t="str">
        <f t="shared" ca="1" si="53"/>
        <v/>
      </c>
      <c r="AF148" s="47" t="e">
        <f t="shared" ca="1" si="54"/>
        <v>#NAME?</v>
      </c>
      <c r="AG148" s="47" t="str">
        <f t="shared" si="55"/>
        <v/>
      </c>
      <c r="AH148" s="54">
        <f>IF(Q148="22",IF(ISNUMBER(SEARCH("econ",PAA_4[[#This Row],[Actividad3]])),"Económico",IF(ISNUMBER(SEARCH("alim",PAA_4[[#This Row],[Actividad3]])),"Alimentación",IF(ISNUMBER(SEARCH("educ",PAA_4[[#This Row],[Actividad3]])),"Educativo","Técnico"))),0)</f>
        <v>0</v>
      </c>
      <c r="AI148" s="47" t="e" cm="1">
        <f t="array" aca="1" ref="AI148" ca="1">_xlfn.XLOOKUP(PAA_4[[#This Row],[RCP-RUBRO]],[2]!COMPROMISOS_2024[[#All],[concatenado]],[2]!COMPROMISOS_2024[[#All],[Total pagado]],"",0)</f>
        <v>#NAME?</v>
      </c>
      <c r="AJ148" s="56">
        <f>IF(PAA_4[[#This Row],[BOLSA]]=0,0,SUMIFS([2]!COMPROMISOS_2024[[#All],[Total pagado]],[2]!COMPROMISOS_2024[[#All],[Bolsa]],PAA_4[[#This Row],[BOLSA]],[2]!COMPROMISOS_2024[[#All],[rubro]],PAA_4[[#This Row],[RCP-RUBRO]]))</f>
        <v>0</v>
      </c>
      <c r="AK148" s="47" t="e" cm="1">
        <f t="array" aca="1" ref="AK148" ca="1">_xlfn.XLOOKUP(PAA_4[[#This Row],[RCP-RUBRO]],[2]!COMPROMISOS_2024[[#All],[concatenado]],[2]!COMPROMISOS_2024[[#All],[Total Comprometido]],"",0)</f>
        <v>#NAME?</v>
      </c>
      <c r="AL148" s="47">
        <f>IF(PAA_4[[#This Row],[BOLSA]]=0,0,SUMIFS([2]!COMPROMISOS_2024[[#All],[Total Comprometido]],[2]!COMPROMISOS_2024[[#All],[Bolsa]],PAA_4[[#This Row],[BOLSA]],[2]!COMPROMISOS_2024[[#All],[concatenado]],PAA_4[[#This Row],[RCP-RUBRO]]))</f>
        <v>0</v>
      </c>
    </row>
    <row r="149" spans="1:38" s="19" customFormat="1" ht="31.5" customHeight="1">
      <c r="A149" s="47">
        <v>506</v>
      </c>
      <c r="B149" s="47">
        <v>80111600</v>
      </c>
      <c r="C149" s="47" t="str">
        <f>VLOOKUP(PAA_4[[#This Row],[PROYECTO (formulado)2]],[2]PROYECTOS!$G$1:$L$32,6,0)</f>
        <v>SUBGERENCIA ADMINISTRATIVA Y FINANCIERA</v>
      </c>
      <c r="D149" s="47" t="str">
        <f>+IF(PAA_4[[#This Row],[UNIDAD DE CONTRATACION (formulado)]]="Subgerencia Administrativa y Financiera","FUNCIONAMIENTO","INVERSIÓN")</f>
        <v>FUNCIONAMIENTO</v>
      </c>
      <c r="E149" s="48" t="str">
        <f>VLOOKUP(Q149,[2]PROYECTOS!$G$1:$K$32,5,0)</f>
        <v>FUNCIONAMIENTO</v>
      </c>
      <c r="F149" s="48">
        <f>VLOOKUP(E149,[2]PROYECTOS!$K$1:$M$32,3,0)</f>
        <v>999999</v>
      </c>
      <c r="G149" s="49" t="s">
        <v>43</v>
      </c>
      <c r="H149" s="49">
        <f>VLOOKUP(Q149,[2]PROYECTOS!$V$1:$W$32,2,0)</f>
        <v>999999</v>
      </c>
      <c r="I149" s="50">
        <v>20637243</v>
      </c>
      <c r="J149" s="51" t="s">
        <v>134</v>
      </c>
      <c r="K149" s="47" t="str">
        <f t="shared" ca="1" si="49"/>
        <v>CONTRATADO</v>
      </c>
      <c r="L149" s="47" t="s">
        <v>94</v>
      </c>
      <c r="M149" s="47" t="s">
        <v>1297</v>
      </c>
      <c r="N149" s="52" t="s">
        <v>90</v>
      </c>
      <c r="O149" s="51" t="e">
        <f>VLOOKUP(N149,[2]!RUBROS[#All],3,0)</f>
        <v>#REF!</v>
      </c>
      <c r="P149" s="53" t="e">
        <f>VLOOKUP(N149,[2]!RUBROS[#All],2,0)</f>
        <v>#REF!</v>
      </c>
      <c r="Q149" s="47" t="str">
        <f t="shared" si="50"/>
        <v>00</v>
      </c>
      <c r="R149" s="47" t="str">
        <f t="shared" si="51"/>
        <v>0-205616</v>
      </c>
      <c r="S149" s="54">
        <v>3</v>
      </c>
      <c r="T149" s="59" t="s">
        <v>46</v>
      </c>
      <c r="U149" s="326" t="e">
        <f ca="1">_xlfn.XLOOKUP(PAA_4[[#This Row],[ITEM]],[2]Contrato!A:A,[2]Contrato!Q:Q,"",0)</f>
        <v>#NAME?</v>
      </c>
      <c r="V149" s="47" t="s">
        <v>47</v>
      </c>
      <c r="W149" s="47" t="s">
        <v>48</v>
      </c>
      <c r="X149" s="47" t="s">
        <v>48</v>
      </c>
      <c r="Y149" s="55" t="e">
        <f ca="1">_xlfn.XLOOKUP(PAA_4[[#This Row],[ITEM]],[2]Contrato!A:A,[2]Contrato!B:B,"",0)</f>
        <v>#NAME?</v>
      </c>
      <c r="Z149" s="47" t="e">
        <f ca="1">_xlfn.XLOOKUP(PAA_4[[#This Row],[ITEM]],[2]Contrato!A:A,[2]Contrato!G:G,"",0)</f>
        <v>#NAME?</v>
      </c>
      <c r="AA149" s="47" t="e">
        <f ca="1">_xlfn.XLOOKUP(PAA_4[[#This Row],[ITEM]],[2]Contrato!A:A,[2]Contrato!T:T,"",0)</f>
        <v>#NAME?</v>
      </c>
      <c r="AB149" s="55" t="e">
        <f ca="1">+MAX(PAA_4[[#This Row],[Comprometido Contrato]],PAA_4[[#This Row],[Comprometido Bolsa]])</f>
        <v>#NAME?</v>
      </c>
      <c r="AC149" s="55" t="str">
        <f t="shared" ca="1" si="52"/>
        <v/>
      </c>
      <c r="AD149" s="55" t="e">
        <f ca="1">IF(PAA_4[[#This Row],[ESTADO (formulado)]]="NO CONTRATADO",0,MAX(PAA_4[[#This Row],[Pago por Contrato]],PAA_4[[#This Row],[Pago por bolsa]]))</f>
        <v>#NAME?</v>
      </c>
      <c r="AE149" s="55" t="str">
        <f t="shared" ca="1" si="53"/>
        <v/>
      </c>
      <c r="AF149" s="47" t="e">
        <f t="shared" ca="1" si="54"/>
        <v>#NAME?</v>
      </c>
      <c r="AG149" s="47" t="str">
        <f t="shared" si="55"/>
        <v/>
      </c>
      <c r="AH149" s="54">
        <f>IF(Q149="22",IF(ISNUMBER(SEARCH("econ",PAA_4[[#This Row],[Actividad3]])),"Económico",IF(ISNUMBER(SEARCH("alim",PAA_4[[#This Row],[Actividad3]])),"Alimentación",IF(ISNUMBER(SEARCH("educ",PAA_4[[#This Row],[Actividad3]])),"Educativo","Técnico"))),0)</f>
        <v>0</v>
      </c>
      <c r="AI149" s="47" t="e" cm="1">
        <f t="array" aca="1" ref="AI149" ca="1">_xlfn.XLOOKUP(PAA_4[[#This Row],[RCP-RUBRO]],[2]!COMPROMISOS_2024[[#All],[concatenado]],[2]!COMPROMISOS_2024[[#All],[Total pagado]],"",0)</f>
        <v>#NAME?</v>
      </c>
      <c r="AJ149" s="56">
        <f>IF(PAA_4[[#This Row],[BOLSA]]=0,0,SUMIFS([2]!COMPROMISOS_2024[[#All],[Total pagado]],[2]!COMPROMISOS_2024[[#All],[Bolsa]],PAA_4[[#This Row],[BOLSA]],[2]!COMPROMISOS_2024[[#All],[rubro]],PAA_4[[#This Row],[RCP-RUBRO]]))</f>
        <v>0</v>
      </c>
      <c r="AK149" s="47" t="e" cm="1">
        <f t="array" aca="1" ref="AK149" ca="1">_xlfn.XLOOKUP(PAA_4[[#This Row],[RCP-RUBRO]],[2]!COMPROMISOS_2024[[#All],[concatenado]],[2]!COMPROMISOS_2024[[#All],[Total Comprometido]],"",0)</f>
        <v>#NAME?</v>
      </c>
      <c r="AL149" s="47">
        <f>IF(PAA_4[[#This Row],[BOLSA]]=0,0,SUMIFS([2]!COMPROMISOS_2024[[#All],[Total Comprometido]],[2]!COMPROMISOS_2024[[#All],[Bolsa]],PAA_4[[#This Row],[BOLSA]],[2]!COMPROMISOS_2024[[#All],[concatenado]],PAA_4[[#This Row],[RCP-RUBRO]]))</f>
        <v>0</v>
      </c>
    </row>
    <row r="150" spans="1:38" s="19" customFormat="1" ht="31.5" customHeight="1">
      <c r="A150" s="47">
        <v>507</v>
      </c>
      <c r="B150" s="47">
        <v>80111600</v>
      </c>
      <c r="C150" s="47" t="str">
        <f>VLOOKUP(PAA_4[[#This Row],[PROYECTO (formulado)2]],[2]PROYECTOS!$G$1:$L$32,6,0)</f>
        <v>SUBGERENCIA ADMINISTRATIVA Y FINANCIERA</v>
      </c>
      <c r="D150" s="47" t="str">
        <f>+IF(PAA_4[[#This Row],[UNIDAD DE CONTRATACION (formulado)]]="Subgerencia Administrativa y Financiera","FUNCIONAMIENTO","INVERSIÓN")</f>
        <v>FUNCIONAMIENTO</v>
      </c>
      <c r="E150" s="48" t="str">
        <f>VLOOKUP(Q150,[2]PROYECTOS!$G$1:$K$32,5,0)</f>
        <v>FUNCIONAMIENTO</v>
      </c>
      <c r="F150" s="48">
        <f>VLOOKUP(E150,[2]PROYECTOS!$K$1:$M$32,3,0)</f>
        <v>999999</v>
      </c>
      <c r="G150" s="49" t="s">
        <v>43</v>
      </c>
      <c r="H150" s="49">
        <f>VLOOKUP(Q150,[2]PROYECTOS!$V$1:$W$32,2,0)</f>
        <v>999999</v>
      </c>
      <c r="I150" s="50">
        <v>12514530</v>
      </c>
      <c r="J150" s="51" t="s">
        <v>135</v>
      </c>
      <c r="K150" s="47" t="str">
        <f t="shared" ca="1" si="49"/>
        <v>CONTRATADO</v>
      </c>
      <c r="L150" s="47" t="s">
        <v>94</v>
      </c>
      <c r="M150" s="47" t="s">
        <v>1297</v>
      </c>
      <c r="N150" s="52" t="s">
        <v>90</v>
      </c>
      <c r="O150" s="51" t="e">
        <f>VLOOKUP(N150,[2]!RUBROS[#All],3,0)</f>
        <v>#REF!</v>
      </c>
      <c r="P150" s="53" t="e">
        <f>VLOOKUP(N150,[2]!RUBROS[#All],2,0)</f>
        <v>#REF!</v>
      </c>
      <c r="Q150" s="47" t="str">
        <f t="shared" si="50"/>
        <v>00</v>
      </c>
      <c r="R150" s="47" t="str">
        <f t="shared" si="51"/>
        <v>0-205616</v>
      </c>
      <c r="S150" s="54">
        <v>3</v>
      </c>
      <c r="T150" s="59" t="s">
        <v>46</v>
      </c>
      <c r="U150" s="326" t="e">
        <f ca="1">_xlfn.XLOOKUP(PAA_4[[#This Row],[ITEM]],[2]Contrato!A:A,[2]Contrato!Q:Q,"",0)</f>
        <v>#NAME?</v>
      </c>
      <c r="V150" s="47" t="s">
        <v>47</v>
      </c>
      <c r="W150" s="47" t="s">
        <v>48</v>
      </c>
      <c r="X150" s="47" t="s">
        <v>48</v>
      </c>
      <c r="Y150" s="55" t="e">
        <f ca="1">_xlfn.XLOOKUP(PAA_4[[#This Row],[ITEM]],[2]Contrato!A:A,[2]Contrato!B:B,"",0)</f>
        <v>#NAME?</v>
      </c>
      <c r="Z150" s="47" t="e">
        <f ca="1">_xlfn.XLOOKUP(PAA_4[[#This Row],[ITEM]],[2]Contrato!A:A,[2]Contrato!G:G,"",0)</f>
        <v>#NAME?</v>
      </c>
      <c r="AA150" s="47" t="e">
        <f ca="1">_xlfn.XLOOKUP(PAA_4[[#This Row],[ITEM]],[2]Contrato!A:A,[2]Contrato!T:T,"",0)</f>
        <v>#NAME?</v>
      </c>
      <c r="AB150" s="55" t="e">
        <f ca="1">+MAX(PAA_4[[#This Row],[Comprometido Contrato]],PAA_4[[#This Row],[Comprometido Bolsa]])</f>
        <v>#NAME?</v>
      </c>
      <c r="AC150" s="55" t="str">
        <f t="shared" ca="1" si="52"/>
        <v/>
      </c>
      <c r="AD150" s="55" t="e">
        <f ca="1">IF(PAA_4[[#This Row],[ESTADO (formulado)]]="NO CONTRATADO",0,MAX(PAA_4[[#This Row],[Pago por Contrato]],PAA_4[[#This Row],[Pago por bolsa]]))</f>
        <v>#NAME?</v>
      </c>
      <c r="AE150" s="55" t="str">
        <f t="shared" ca="1" si="53"/>
        <v/>
      </c>
      <c r="AF150" s="47" t="e">
        <f t="shared" ca="1" si="54"/>
        <v>#NAME?</v>
      </c>
      <c r="AG150" s="47" t="str">
        <f t="shared" si="55"/>
        <v/>
      </c>
      <c r="AH150" s="54">
        <f>IF(Q150="22",IF(ISNUMBER(SEARCH("econ",PAA_4[[#This Row],[Actividad3]])),"Económico",IF(ISNUMBER(SEARCH("alim",PAA_4[[#This Row],[Actividad3]])),"Alimentación",IF(ISNUMBER(SEARCH("educ",PAA_4[[#This Row],[Actividad3]])),"Educativo","Técnico"))),0)</f>
        <v>0</v>
      </c>
      <c r="AI150" s="47" t="e" cm="1">
        <f t="array" aca="1" ref="AI150" ca="1">_xlfn.XLOOKUP(PAA_4[[#This Row],[RCP-RUBRO]],[2]!COMPROMISOS_2024[[#All],[concatenado]],[2]!COMPROMISOS_2024[[#All],[Total pagado]],"",0)</f>
        <v>#NAME?</v>
      </c>
      <c r="AJ150" s="56">
        <f>IF(PAA_4[[#This Row],[BOLSA]]=0,0,SUMIFS([2]!COMPROMISOS_2024[[#All],[Total pagado]],[2]!COMPROMISOS_2024[[#All],[Bolsa]],PAA_4[[#This Row],[BOLSA]],[2]!COMPROMISOS_2024[[#All],[rubro]],PAA_4[[#This Row],[RCP-RUBRO]]))</f>
        <v>0</v>
      </c>
      <c r="AK150" s="47" t="e" cm="1">
        <f t="array" aca="1" ref="AK150" ca="1">_xlfn.XLOOKUP(PAA_4[[#This Row],[RCP-RUBRO]],[2]!COMPROMISOS_2024[[#All],[concatenado]],[2]!COMPROMISOS_2024[[#All],[Total Comprometido]],"",0)</f>
        <v>#NAME?</v>
      </c>
      <c r="AL150" s="47">
        <f>IF(PAA_4[[#This Row],[BOLSA]]=0,0,SUMIFS([2]!COMPROMISOS_2024[[#All],[Total Comprometido]],[2]!COMPROMISOS_2024[[#All],[Bolsa]],PAA_4[[#This Row],[BOLSA]],[2]!COMPROMISOS_2024[[#All],[concatenado]],PAA_4[[#This Row],[RCP-RUBRO]]))</f>
        <v>0</v>
      </c>
    </row>
    <row r="151" spans="1:38" s="19" customFormat="1" ht="31.5" customHeight="1">
      <c r="A151" s="47">
        <v>508</v>
      </c>
      <c r="B151" s="47">
        <v>80111600</v>
      </c>
      <c r="C151" s="47" t="str">
        <f>VLOOKUP(PAA_4[[#This Row],[PROYECTO (formulado)2]],[2]PROYECTOS!$G$1:$L$32,6,0)</f>
        <v>SUBGERENCIA ADMINISTRATIVA Y FINANCIERA</v>
      </c>
      <c r="D151" s="47" t="str">
        <f>+IF(PAA_4[[#This Row],[UNIDAD DE CONTRATACION (formulado)]]="Subgerencia Administrativa y Financiera","FUNCIONAMIENTO","INVERSIÓN")</f>
        <v>FUNCIONAMIENTO</v>
      </c>
      <c r="E151" s="48" t="str">
        <f>VLOOKUP(Q151,[2]PROYECTOS!$G$1:$K$32,5,0)</f>
        <v>FUNCIONAMIENTO</v>
      </c>
      <c r="F151" s="48">
        <f>VLOOKUP(E151,[2]PROYECTOS!$K$1:$M$32,3,0)</f>
        <v>999999</v>
      </c>
      <c r="G151" s="49" t="s">
        <v>43</v>
      </c>
      <c r="H151" s="49">
        <f>VLOOKUP(Q151,[2]PROYECTOS!$V$1:$W$32,2,0)</f>
        <v>999999</v>
      </c>
      <c r="I151" s="50">
        <v>36983979</v>
      </c>
      <c r="J151" s="51" t="s">
        <v>136</v>
      </c>
      <c r="K151" s="47" t="str">
        <f t="shared" ca="1" si="49"/>
        <v>CONTRATADO</v>
      </c>
      <c r="L151" s="47" t="s">
        <v>94</v>
      </c>
      <c r="M151" s="47" t="s">
        <v>1297</v>
      </c>
      <c r="N151" s="52" t="s">
        <v>90</v>
      </c>
      <c r="O151" s="51" t="e">
        <f>VLOOKUP(N151,[2]!RUBROS[#All],3,0)</f>
        <v>#REF!</v>
      </c>
      <c r="P151" s="53" t="e">
        <f>VLOOKUP(N151,[2]!RUBROS[#All],2,0)</f>
        <v>#REF!</v>
      </c>
      <c r="Q151" s="47" t="str">
        <f t="shared" si="50"/>
        <v>00</v>
      </c>
      <c r="R151" s="47" t="str">
        <f t="shared" si="51"/>
        <v>0-205616</v>
      </c>
      <c r="S151" s="54">
        <v>3</v>
      </c>
      <c r="T151" s="59" t="s">
        <v>46</v>
      </c>
      <c r="U151" s="326" t="e">
        <f ca="1">_xlfn.XLOOKUP(PAA_4[[#This Row],[ITEM]],[2]Contrato!A:A,[2]Contrato!Q:Q,"",0)</f>
        <v>#NAME?</v>
      </c>
      <c r="V151" s="47" t="s">
        <v>47</v>
      </c>
      <c r="W151" s="47" t="s">
        <v>48</v>
      </c>
      <c r="X151" s="47" t="s">
        <v>48</v>
      </c>
      <c r="Y151" s="55" t="e">
        <f ca="1">_xlfn.XLOOKUP(PAA_4[[#This Row],[ITEM]],[2]Contrato!A:A,[2]Contrato!B:B,"",0)</f>
        <v>#NAME?</v>
      </c>
      <c r="Z151" s="47" t="e">
        <f ca="1">_xlfn.XLOOKUP(PAA_4[[#This Row],[ITEM]],[2]Contrato!A:A,[2]Contrato!G:G,"",0)</f>
        <v>#NAME?</v>
      </c>
      <c r="AA151" s="47" t="e">
        <f ca="1">_xlfn.XLOOKUP(PAA_4[[#This Row],[ITEM]],[2]Contrato!A:A,[2]Contrato!T:T,"",0)</f>
        <v>#NAME?</v>
      </c>
      <c r="AB151" s="55" t="e">
        <f ca="1">+MAX(PAA_4[[#This Row],[Comprometido Contrato]],PAA_4[[#This Row],[Comprometido Bolsa]])</f>
        <v>#NAME?</v>
      </c>
      <c r="AC151" s="55" t="str">
        <f t="shared" ca="1" si="52"/>
        <v/>
      </c>
      <c r="AD151" s="55" t="e">
        <f ca="1">IF(PAA_4[[#This Row],[ESTADO (formulado)]]="NO CONTRATADO",0,MAX(PAA_4[[#This Row],[Pago por Contrato]],PAA_4[[#This Row],[Pago por bolsa]]))</f>
        <v>#NAME?</v>
      </c>
      <c r="AE151" s="55" t="str">
        <f t="shared" ca="1" si="53"/>
        <v/>
      </c>
      <c r="AF151" s="47" t="e">
        <f t="shared" ca="1" si="54"/>
        <v>#NAME?</v>
      </c>
      <c r="AG151" s="47" t="str">
        <f t="shared" si="55"/>
        <v/>
      </c>
      <c r="AH151" s="54">
        <f>IF(Q151="22",IF(ISNUMBER(SEARCH("econ",PAA_4[[#This Row],[Actividad3]])),"Económico",IF(ISNUMBER(SEARCH("alim",PAA_4[[#This Row],[Actividad3]])),"Alimentación",IF(ISNUMBER(SEARCH("educ",PAA_4[[#This Row],[Actividad3]])),"Educativo","Técnico"))),0)</f>
        <v>0</v>
      </c>
      <c r="AI151" s="47" t="e" cm="1">
        <f t="array" aca="1" ref="AI151" ca="1">_xlfn.XLOOKUP(PAA_4[[#This Row],[RCP-RUBRO]],[2]!COMPROMISOS_2024[[#All],[concatenado]],[2]!COMPROMISOS_2024[[#All],[Total pagado]],"",0)</f>
        <v>#NAME?</v>
      </c>
      <c r="AJ151" s="56">
        <f>IF(PAA_4[[#This Row],[BOLSA]]=0,0,SUMIFS([2]!COMPROMISOS_2024[[#All],[Total pagado]],[2]!COMPROMISOS_2024[[#All],[Bolsa]],PAA_4[[#This Row],[BOLSA]],[2]!COMPROMISOS_2024[[#All],[rubro]],PAA_4[[#This Row],[RCP-RUBRO]]))</f>
        <v>0</v>
      </c>
      <c r="AK151" s="47" t="e" cm="1">
        <f t="array" aca="1" ref="AK151" ca="1">_xlfn.XLOOKUP(PAA_4[[#This Row],[RCP-RUBRO]],[2]!COMPROMISOS_2024[[#All],[concatenado]],[2]!COMPROMISOS_2024[[#All],[Total Comprometido]],"",0)</f>
        <v>#NAME?</v>
      </c>
      <c r="AL151" s="47">
        <f>IF(PAA_4[[#This Row],[BOLSA]]=0,0,SUMIFS([2]!COMPROMISOS_2024[[#All],[Total Comprometido]],[2]!COMPROMISOS_2024[[#All],[Bolsa]],PAA_4[[#This Row],[BOLSA]],[2]!COMPROMISOS_2024[[#All],[concatenado]],PAA_4[[#This Row],[RCP-RUBRO]]))</f>
        <v>0</v>
      </c>
    </row>
    <row r="152" spans="1:38" s="19" customFormat="1" ht="31.5" customHeight="1">
      <c r="A152" s="47">
        <v>527</v>
      </c>
      <c r="B152" s="47">
        <v>80111600</v>
      </c>
      <c r="C152" s="47" t="str">
        <f>VLOOKUP(PAA_4[[#This Row],[PROYECTO (formulado)2]],[2]PROYECTOS!$G$1:$L$32,6,0)</f>
        <v>SUBGERENCIA ADMINISTRATIVA Y FINANCIERA</v>
      </c>
      <c r="D152" s="47" t="str">
        <f>+IF(PAA_4[[#This Row],[UNIDAD DE CONTRATACION (formulado)]]="Subgerencia Administrativa y Financiera","FUNCIONAMIENTO","INVERSIÓN")</f>
        <v>FUNCIONAMIENTO</v>
      </c>
      <c r="E152" s="48" t="str">
        <f>VLOOKUP(Q152,[2]PROYECTOS!$G$1:$K$32,5,0)</f>
        <v>FUNCIONAMIENTO</v>
      </c>
      <c r="F152" s="48">
        <f>VLOOKUP(E152,[2]PROYECTOS!$K$1:$M$32,3,0)</f>
        <v>999999</v>
      </c>
      <c r="G152" s="49" t="s">
        <v>43</v>
      </c>
      <c r="H152" s="49">
        <f>VLOOKUP(Q152,[2]PROYECTOS!$V$1:$W$32,2,0)</f>
        <v>999999</v>
      </c>
      <c r="I152" s="50">
        <v>62157948</v>
      </c>
      <c r="J152" s="51" t="s">
        <v>1347</v>
      </c>
      <c r="K152" s="47" t="str">
        <f t="shared" ca="1" si="49"/>
        <v>CONTRATADO</v>
      </c>
      <c r="L152" s="47" t="s">
        <v>94</v>
      </c>
      <c r="M152" s="47" t="s">
        <v>1297</v>
      </c>
      <c r="N152" s="52" t="s">
        <v>90</v>
      </c>
      <c r="O152" s="51" t="e">
        <f>VLOOKUP(N152,[2]!RUBROS[#All],3,0)</f>
        <v>#REF!</v>
      </c>
      <c r="P152" s="53" t="e">
        <f>VLOOKUP(N152,[2]!RUBROS[#All],2,0)</f>
        <v>#REF!</v>
      </c>
      <c r="Q152" s="47" t="str">
        <f t="shared" si="50"/>
        <v>00</v>
      </c>
      <c r="R152" s="47" t="str">
        <f t="shared" si="51"/>
        <v>0-205616</v>
      </c>
      <c r="S152" s="54">
        <v>6</v>
      </c>
      <c r="T152" s="59" t="s">
        <v>46</v>
      </c>
      <c r="U152" s="326" t="e">
        <f ca="1">_xlfn.XLOOKUP(PAA_4[[#This Row],[ITEM]],[2]Contrato!A:A,[2]Contrato!Q:Q,"",0)</f>
        <v>#NAME?</v>
      </c>
      <c r="V152" s="47" t="s">
        <v>95</v>
      </c>
      <c r="W152" s="47" t="s">
        <v>137</v>
      </c>
      <c r="X152" s="47" t="s">
        <v>137</v>
      </c>
      <c r="Y152" s="55" t="e">
        <f ca="1">_xlfn.XLOOKUP(PAA_4[[#This Row],[ITEM]],[2]Contrato!A:A,[2]Contrato!B:B,"",0)</f>
        <v>#NAME?</v>
      </c>
      <c r="Z152" s="47" t="e">
        <f ca="1">_xlfn.XLOOKUP(PAA_4[[#This Row],[ITEM]],[2]Contrato!A:A,[2]Contrato!G:G,"",0)</f>
        <v>#NAME?</v>
      </c>
      <c r="AA152" s="47" t="e">
        <f ca="1">_xlfn.XLOOKUP(PAA_4[[#This Row],[ITEM]],[2]Contrato!A:A,[2]Contrato!T:T,"",0)</f>
        <v>#NAME?</v>
      </c>
      <c r="AB152" s="55" t="e">
        <f ca="1">+MAX(PAA_4[[#This Row],[Comprometido Contrato]],PAA_4[[#This Row],[Comprometido Bolsa]])</f>
        <v>#NAME?</v>
      </c>
      <c r="AC152" s="55" t="str">
        <f t="shared" ca="1" si="52"/>
        <v/>
      </c>
      <c r="AD152" s="55" t="e">
        <f ca="1">IF(PAA_4[[#This Row],[ESTADO (formulado)]]="NO CONTRATADO",0,MAX(PAA_4[[#This Row],[Pago por Contrato]],PAA_4[[#This Row],[Pago por bolsa]]))</f>
        <v>#NAME?</v>
      </c>
      <c r="AE152" s="55" t="str">
        <f t="shared" ca="1" si="53"/>
        <v/>
      </c>
      <c r="AF152" s="47" t="e">
        <f t="shared" ca="1" si="54"/>
        <v>#NAME?</v>
      </c>
      <c r="AG152" s="47" t="str">
        <f t="shared" si="55"/>
        <v/>
      </c>
      <c r="AH152" s="54">
        <f>IF(Q152="22",IF(ISNUMBER(SEARCH("econ",PAA_4[[#This Row],[Actividad3]])),"Económico",IF(ISNUMBER(SEARCH("alim",PAA_4[[#This Row],[Actividad3]])),"Alimentación",IF(ISNUMBER(SEARCH("educ",PAA_4[[#This Row],[Actividad3]])),"Educativo","Técnico"))),0)</f>
        <v>0</v>
      </c>
      <c r="AI152" s="47" t="e" cm="1">
        <f t="array" aca="1" ref="AI152" ca="1">_xlfn.XLOOKUP(PAA_4[[#This Row],[RCP-RUBRO]],[2]!COMPROMISOS_2024[[#All],[concatenado]],[2]!COMPROMISOS_2024[[#All],[Total pagado]],"",0)</f>
        <v>#NAME?</v>
      </c>
      <c r="AJ152" s="56">
        <f>IF(PAA_4[[#This Row],[BOLSA]]=0,0,SUMIFS([2]!COMPROMISOS_2024[[#All],[Total pagado]],[2]!COMPROMISOS_2024[[#All],[Bolsa]],PAA_4[[#This Row],[BOLSA]],[2]!COMPROMISOS_2024[[#All],[rubro]],PAA_4[[#This Row],[RCP-RUBRO]]))</f>
        <v>0</v>
      </c>
      <c r="AK152" s="47" t="e" cm="1">
        <f t="array" aca="1" ref="AK152" ca="1">_xlfn.XLOOKUP(PAA_4[[#This Row],[RCP-RUBRO]],[2]!COMPROMISOS_2024[[#All],[concatenado]],[2]!COMPROMISOS_2024[[#All],[Total Comprometido]],"",0)</f>
        <v>#NAME?</v>
      </c>
      <c r="AL152" s="47">
        <f>IF(PAA_4[[#This Row],[BOLSA]]=0,0,SUMIFS([2]!COMPROMISOS_2024[[#All],[Total Comprometido]],[2]!COMPROMISOS_2024[[#All],[Bolsa]],PAA_4[[#This Row],[BOLSA]],[2]!COMPROMISOS_2024[[#All],[concatenado]],PAA_4[[#This Row],[RCP-RUBRO]]))</f>
        <v>0</v>
      </c>
    </row>
    <row r="153" spans="1:38" s="19" customFormat="1" ht="31.5" customHeight="1">
      <c r="A153" s="47">
        <v>528</v>
      </c>
      <c r="B153" s="47">
        <v>80111600</v>
      </c>
      <c r="C153" s="47" t="str">
        <f>VLOOKUP(PAA_4[[#This Row],[PROYECTO (formulado)2]],[2]PROYECTOS!$G$1:$L$32,6,0)</f>
        <v>SUBGERENCIA ADMINISTRATIVA Y FINANCIERA</v>
      </c>
      <c r="D153" s="47" t="str">
        <f>+IF(PAA_4[[#This Row],[UNIDAD DE CONTRATACION (formulado)]]="Subgerencia Administrativa y Financiera","FUNCIONAMIENTO","INVERSIÓN")</f>
        <v>FUNCIONAMIENTO</v>
      </c>
      <c r="E153" s="48" t="str">
        <f>VLOOKUP(Q153,[2]PROYECTOS!$G$1:$K$32,5,0)</f>
        <v>FUNCIONAMIENTO</v>
      </c>
      <c r="F153" s="48">
        <f>VLOOKUP(E153,[2]PROYECTOS!$K$1:$M$32,3,0)</f>
        <v>999999</v>
      </c>
      <c r="G153" s="49" t="s">
        <v>43</v>
      </c>
      <c r="H153" s="49">
        <f>VLOOKUP(Q153,[2]PROYECTOS!$V$1:$W$32,2,0)</f>
        <v>999999</v>
      </c>
      <c r="I153" s="50">
        <v>23916366</v>
      </c>
      <c r="J153" s="51" t="s">
        <v>1348</v>
      </c>
      <c r="K153" s="47" t="str">
        <f t="shared" ca="1" si="49"/>
        <v>CONTRATADO</v>
      </c>
      <c r="L153" s="47" t="s">
        <v>94</v>
      </c>
      <c r="M153" s="47" t="s">
        <v>1297</v>
      </c>
      <c r="N153" s="52" t="s">
        <v>90</v>
      </c>
      <c r="O153" s="51" t="e">
        <f>VLOOKUP(N153,[2]!RUBROS[#All],3,0)</f>
        <v>#REF!</v>
      </c>
      <c r="P153" s="53" t="e">
        <f>VLOOKUP(N153,[2]!RUBROS[#All],2,0)</f>
        <v>#REF!</v>
      </c>
      <c r="Q153" s="47" t="str">
        <f t="shared" si="50"/>
        <v>00</v>
      </c>
      <c r="R153" s="47" t="str">
        <f t="shared" si="51"/>
        <v>0-205616</v>
      </c>
      <c r="S153" s="54">
        <v>6</v>
      </c>
      <c r="T153" s="59" t="s">
        <v>46</v>
      </c>
      <c r="U153" s="326" t="e">
        <f ca="1">_xlfn.XLOOKUP(PAA_4[[#This Row],[ITEM]],[2]Contrato!A:A,[2]Contrato!Q:Q,"",0)</f>
        <v>#NAME?</v>
      </c>
      <c r="V153" s="47" t="s">
        <v>95</v>
      </c>
      <c r="W153" s="47" t="s">
        <v>137</v>
      </c>
      <c r="X153" s="47" t="s">
        <v>137</v>
      </c>
      <c r="Y153" s="55" t="e">
        <f ca="1">_xlfn.XLOOKUP(PAA_4[[#This Row],[ITEM]],[2]Contrato!A:A,[2]Contrato!B:B,"",0)</f>
        <v>#NAME?</v>
      </c>
      <c r="Z153" s="47" t="e">
        <f ca="1">_xlfn.XLOOKUP(PAA_4[[#This Row],[ITEM]],[2]Contrato!A:A,[2]Contrato!G:G,"",0)</f>
        <v>#NAME?</v>
      </c>
      <c r="AA153" s="47" t="e">
        <f ca="1">_xlfn.XLOOKUP(PAA_4[[#This Row],[ITEM]],[2]Contrato!A:A,[2]Contrato!T:T,"",0)</f>
        <v>#NAME?</v>
      </c>
      <c r="AB153" s="55" t="e">
        <f ca="1">+MAX(PAA_4[[#This Row],[Comprometido Contrato]],PAA_4[[#This Row],[Comprometido Bolsa]])</f>
        <v>#NAME?</v>
      </c>
      <c r="AC153" s="55" t="str">
        <f t="shared" ca="1" si="52"/>
        <v/>
      </c>
      <c r="AD153" s="55" t="e">
        <f ca="1">IF(PAA_4[[#This Row],[ESTADO (formulado)]]="NO CONTRATADO",0,MAX(PAA_4[[#This Row],[Pago por Contrato]],PAA_4[[#This Row],[Pago por bolsa]]))</f>
        <v>#NAME?</v>
      </c>
      <c r="AE153" s="55" t="str">
        <f t="shared" ca="1" si="53"/>
        <v/>
      </c>
      <c r="AF153" s="47" t="e">
        <f t="shared" ca="1" si="54"/>
        <v>#NAME?</v>
      </c>
      <c r="AG153" s="47" t="str">
        <f t="shared" si="55"/>
        <v/>
      </c>
      <c r="AH153" s="54">
        <f>IF(Q153="22",IF(ISNUMBER(SEARCH("econ",PAA_4[[#This Row],[Actividad3]])),"Económico",IF(ISNUMBER(SEARCH("alim",PAA_4[[#This Row],[Actividad3]])),"Alimentación",IF(ISNUMBER(SEARCH("educ",PAA_4[[#This Row],[Actividad3]])),"Educativo","Técnico"))),0)</f>
        <v>0</v>
      </c>
      <c r="AI153" s="47" t="e" cm="1">
        <f t="array" aca="1" ref="AI153" ca="1">_xlfn.XLOOKUP(PAA_4[[#This Row],[RCP-RUBRO]],[2]!COMPROMISOS_2024[[#All],[concatenado]],[2]!COMPROMISOS_2024[[#All],[Total pagado]],"",0)</f>
        <v>#NAME?</v>
      </c>
      <c r="AJ153" s="56">
        <f>IF(PAA_4[[#This Row],[BOLSA]]=0,0,SUMIFS([2]!COMPROMISOS_2024[[#All],[Total pagado]],[2]!COMPROMISOS_2024[[#All],[Bolsa]],PAA_4[[#This Row],[BOLSA]],[2]!COMPROMISOS_2024[[#All],[rubro]],PAA_4[[#This Row],[RCP-RUBRO]]))</f>
        <v>0</v>
      </c>
      <c r="AK153" s="47" t="e" cm="1">
        <f t="array" aca="1" ref="AK153" ca="1">_xlfn.XLOOKUP(PAA_4[[#This Row],[RCP-RUBRO]],[2]!COMPROMISOS_2024[[#All],[concatenado]],[2]!COMPROMISOS_2024[[#All],[Total Comprometido]],"",0)</f>
        <v>#NAME?</v>
      </c>
      <c r="AL153" s="47">
        <f>IF(PAA_4[[#This Row],[BOLSA]]=0,0,SUMIFS([2]!COMPROMISOS_2024[[#All],[Total Comprometido]],[2]!COMPROMISOS_2024[[#All],[Bolsa]],PAA_4[[#This Row],[BOLSA]],[2]!COMPROMISOS_2024[[#All],[concatenado]],PAA_4[[#This Row],[RCP-RUBRO]]))</f>
        <v>0</v>
      </c>
    </row>
    <row r="154" spans="1:38" s="19" customFormat="1" ht="31.5" customHeight="1">
      <c r="A154" s="47">
        <v>529</v>
      </c>
      <c r="B154" s="47">
        <v>80111600</v>
      </c>
      <c r="C154" s="47" t="str">
        <f>VLOOKUP(PAA_4[[#This Row],[PROYECTO (formulado)2]],[2]PROYECTOS!$G$1:$L$32,6,0)</f>
        <v>SUBGERENCIA ADMINISTRATIVA Y FINANCIERA</v>
      </c>
      <c r="D154" s="47" t="str">
        <f>+IF(PAA_4[[#This Row],[UNIDAD DE CONTRATACION (formulado)]]="Subgerencia Administrativa y Financiera","FUNCIONAMIENTO","INVERSIÓN")</f>
        <v>FUNCIONAMIENTO</v>
      </c>
      <c r="E154" s="48" t="str">
        <f>VLOOKUP(Q154,[2]PROYECTOS!$G$1:$K$32,5,0)</f>
        <v>FUNCIONAMIENTO</v>
      </c>
      <c r="F154" s="48">
        <f>VLOOKUP(E154,[2]PROYECTOS!$K$1:$M$32,3,0)</f>
        <v>999999</v>
      </c>
      <c r="G154" s="49" t="s">
        <v>43</v>
      </c>
      <c r="H154" s="49">
        <f>VLOOKUP(Q154,[2]PROYECTOS!$V$1:$W$32,2,0)</f>
        <v>999999</v>
      </c>
      <c r="I154" s="50">
        <v>20279118</v>
      </c>
      <c r="J154" s="51" t="s">
        <v>1349</v>
      </c>
      <c r="K154" s="47" t="str">
        <f t="shared" ca="1" si="49"/>
        <v>CONTRATADO</v>
      </c>
      <c r="L154" s="47" t="s">
        <v>94</v>
      </c>
      <c r="M154" s="47" t="s">
        <v>1297</v>
      </c>
      <c r="N154" s="52" t="s">
        <v>90</v>
      </c>
      <c r="O154" s="51" t="e">
        <f>VLOOKUP(N154,[2]!RUBROS[#All],3,0)</f>
        <v>#REF!</v>
      </c>
      <c r="P154" s="53" t="e">
        <f>VLOOKUP(N154,[2]!RUBROS[#All],2,0)</f>
        <v>#REF!</v>
      </c>
      <c r="Q154" s="47" t="str">
        <f t="shared" si="50"/>
        <v>00</v>
      </c>
      <c r="R154" s="47" t="str">
        <f t="shared" si="51"/>
        <v>0-205616</v>
      </c>
      <c r="S154" s="54">
        <v>6</v>
      </c>
      <c r="T154" s="59" t="s">
        <v>46</v>
      </c>
      <c r="U154" s="326" t="e">
        <f ca="1">_xlfn.XLOOKUP(PAA_4[[#This Row],[ITEM]],[2]Contrato!A:A,[2]Contrato!Q:Q,"",0)</f>
        <v>#NAME?</v>
      </c>
      <c r="V154" s="47" t="s">
        <v>95</v>
      </c>
      <c r="W154" s="47" t="s">
        <v>137</v>
      </c>
      <c r="X154" s="47" t="s">
        <v>137</v>
      </c>
      <c r="Y154" s="55" t="e">
        <f ca="1">_xlfn.XLOOKUP(PAA_4[[#This Row],[ITEM]],[2]Contrato!A:A,[2]Contrato!B:B,"",0)</f>
        <v>#NAME?</v>
      </c>
      <c r="Z154" s="47" t="e">
        <f ca="1">_xlfn.XLOOKUP(PAA_4[[#This Row],[ITEM]],[2]Contrato!A:A,[2]Contrato!G:G,"",0)</f>
        <v>#NAME?</v>
      </c>
      <c r="AA154" s="47" t="e">
        <f ca="1">_xlfn.XLOOKUP(PAA_4[[#This Row],[ITEM]],[2]Contrato!A:A,[2]Contrato!T:T,"",0)</f>
        <v>#NAME?</v>
      </c>
      <c r="AB154" s="55" t="e">
        <f ca="1">+MAX(PAA_4[[#This Row],[Comprometido Contrato]],PAA_4[[#This Row],[Comprometido Bolsa]])</f>
        <v>#NAME?</v>
      </c>
      <c r="AC154" s="55" t="str">
        <f t="shared" ca="1" si="52"/>
        <v/>
      </c>
      <c r="AD154" s="55" t="e">
        <f ca="1">IF(PAA_4[[#This Row],[ESTADO (formulado)]]="NO CONTRATADO",0,MAX(PAA_4[[#This Row],[Pago por Contrato]],PAA_4[[#This Row],[Pago por bolsa]]))</f>
        <v>#NAME?</v>
      </c>
      <c r="AE154" s="55" t="str">
        <f t="shared" ca="1" si="53"/>
        <v/>
      </c>
      <c r="AF154" s="47" t="e">
        <f t="shared" ca="1" si="54"/>
        <v>#NAME?</v>
      </c>
      <c r="AG154" s="47" t="str">
        <f t="shared" si="55"/>
        <v/>
      </c>
      <c r="AH154" s="54">
        <f>IF(Q154="22",IF(ISNUMBER(SEARCH("econ",PAA_4[[#This Row],[Actividad3]])),"Económico",IF(ISNUMBER(SEARCH("alim",PAA_4[[#This Row],[Actividad3]])),"Alimentación",IF(ISNUMBER(SEARCH("educ",PAA_4[[#This Row],[Actividad3]])),"Educativo","Técnico"))),0)</f>
        <v>0</v>
      </c>
      <c r="AI154" s="47" t="e" cm="1">
        <f t="array" aca="1" ref="AI154" ca="1">_xlfn.XLOOKUP(PAA_4[[#This Row],[RCP-RUBRO]],[2]!COMPROMISOS_2024[[#All],[concatenado]],[2]!COMPROMISOS_2024[[#All],[Total pagado]],"",0)</f>
        <v>#NAME?</v>
      </c>
      <c r="AJ154" s="56">
        <f>IF(PAA_4[[#This Row],[BOLSA]]=0,0,SUMIFS([2]!COMPROMISOS_2024[[#All],[Total pagado]],[2]!COMPROMISOS_2024[[#All],[Bolsa]],PAA_4[[#This Row],[BOLSA]],[2]!COMPROMISOS_2024[[#All],[rubro]],PAA_4[[#This Row],[RCP-RUBRO]]))</f>
        <v>0</v>
      </c>
      <c r="AK154" s="47" t="e" cm="1">
        <f t="array" aca="1" ref="AK154" ca="1">_xlfn.XLOOKUP(PAA_4[[#This Row],[RCP-RUBRO]],[2]!COMPROMISOS_2024[[#All],[concatenado]],[2]!COMPROMISOS_2024[[#All],[Total Comprometido]],"",0)</f>
        <v>#NAME?</v>
      </c>
      <c r="AL154" s="47">
        <f>IF(PAA_4[[#This Row],[BOLSA]]=0,0,SUMIFS([2]!COMPROMISOS_2024[[#All],[Total Comprometido]],[2]!COMPROMISOS_2024[[#All],[Bolsa]],PAA_4[[#This Row],[BOLSA]],[2]!COMPROMISOS_2024[[#All],[concatenado]],PAA_4[[#This Row],[RCP-RUBRO]]))</f>
        <v>0</v>
      </c>
    </row>
    <row r="155" spans="1:38" s="19" customFormat="1" ht="31.5" customHeight="1">
      <c r="A155" s="47">
        <v>647</v>
      </c>
      <c r="B155" s="47">
        <v>80111600</v>
      </c>
      <c r="C155" s="47" t="str">
        <f>VLOOKUP(PAA_4[[#This Row],[PROYECTO (formulado)2]],[2]PROYECTOS!$G$1:$L$32,6,0)</f>
        <v>SUBGERENCIA ADMINISTRATIVA Y FINANCIERA</v>
      </c>
      <c r="D155" s="47" t="str">
        <f>+IF(PAA_4[[#This Row],[UNIDAD DE CONTRATACION (formulado)]]="Subgerencia Administrativa y Financiera","FUNCIONAMIENTO","INVERSIÓN")</f>
        <v>FUNCIONAMIENTO</v>
      </c>
      <c r="E155" s="48" t="str">
        <f>VLOOKUP(Q155,[2]PROYECTOS!$G$1:$K$32,5,0)</f>
        <v>FUNCIONAMIENTO</v>
      </c>
      <c r="F155" s="48">
        <f>VLOOKUP(E155,[2]PROYECTOS!$K$1:$M$32,3,0)</f>
        <v>999999</v>
      </c>
      <c r="G155" s="49" t="s">
        <v>43</v>
      </c>
      <c r="H155" s="49">
        <f>VLOOKUP(Q155,[2]PROYECTOS!$V$1:$W$32,2,0)</f>
        <v>999999</v>
      </c>
      <c r="I155" s="50">
        <v>55032648</v>
      </c>
      <c r="J155" s="51" t="s">
        <v>1350</v>
      </c>
      <c r="K155" s="47" t="str">
        <f t="shared" ca="1" si="49"/>
        <v>CONTRATADO</v>
      </c>
      <c r="L155" s="47" t="s">
        <v>94</v>
      </c>
      <c r="M155" s="47" t="s">
        <v>1297</v>
      </c>
      <c r="N155" s="52" t="s">
        <v>90</v>
      </c>
      <c r="O155" s="51" t="e">
        <f>VLOOKUP(N155,[2]!RUBROS[#All],3,0)</f>
        <v>#REF!</v>
      </c>
      <c r="P155" s="53" t="e">
        <f>VLOOKUP(N155,[2]!RUBROS[#All],2,0)</f>
        <v>#REF!</v>
      </c>
      <c r="Q155" s="47" t="str">
        <f t="shared" si="50"/>
        <v>00</v>
      </c>
      <c r="R155" s="47" t="str">
        <f t="shared" si="51"/>
        <v>0-205616</v>
      </c>
      <c r="S155" s="54">
        <v>8</v>
      </c>
      <c r="T155" s="59" t="s">
        <v>46</v>
      </c>
      <c r="U155" s="326" t="e">
        <f ca="1">_xlfn.XLOOKUP(PAA_4[[#This Row],[ITEM]],[2]Contrato!A:A,[2]Contrato!Q:Q,"",0)</f>
        <v>#NAME?</v>
      </c>
      <c r="V155" s="47" t="s">
        <v>95</v>
      </c>
      <c r="W155" s="47" t="s">
        <v>122</v>
      </c>
      <c r="X155" s="47" t="s">
        <v>122</v>
      </c>
      <c r="Y155" s="55" t="e">
        <f ca="1">_xlfn.XLOOKUP(PAA_4[[#This Row],[ITEM]],[2]Contrato!A:A,[2]Contrato!B:B,"",0)</f>
        <v>#NAME?</v>
      </c>
      <c r="Z155" s="47" t="e">
        <f ca="1">_xlfn.XLOOKUP(PAA_4[[#This Row],[ITEM]],[2]Contrato!A:A,[2]Contrato!G:G,"",0)</f>
        <v>#NAME?</v>
      </c>
      <c r="AA155" s="47" t="e">
        <f ca="1">_xlfn.XLOOKUP(PAA_4[[#This Row],[ITEM]],[2]Contrato!A:A,[2]Contrato!T:T,"",0)</f>
        <v>#NAME?</v>
      </c>
      <c r="AB155" s="55" t="e">
        <f ca="1">+MAX(PAA_4[[#This Row],[Comprometido Contrato]],PAA_4[[#This Row],[Comprometido Bolsa]])</f>
        <v>#NAME?</v>
      </c>
      <c r="AC155" s="55" t="str">
        <f t="shared" ca="1" si="52"/>
        <v/>
      </c>
      <c r="AD155" s="55" t="e">
        <f ca="1">IF(PAA_4[[#This Row],[ESTADO (formulado)]]="NO CONTRATADO",0,MAX(PAA_4[[#This Row],[Pago por Contrato]],PAA_4[[#This Row],[Pago por bolsa]]))</f>
        <v>#NAME?</v>
      </c>
      <c r="AE155" s="55" t="str">
        <f t="shared" ca="1" si="53"/>
        <v/>
      </c>
      <c r="AF155" s="47" t="e">
        <f t="shared" ca="1" si="54"/>
        <v>#NAME?</v>
      </c>
      <c r="AG155" s="47" t="str">
        <f t="shared" si="55"/>
        <v/>
      </c>
      <c r="AH155" s="54">
        <f>IF(Q155="22",IF(ISNUMBER(SEARCH("econ",PAA_4[[#This Row],[Actividad3]])),"Económico",IF(ISNUMBER(SEARCH("alim",PAA_4[[#This Row],[Actividad3]])),"Alimentación",IF(ISNUMBER(SEARCH("educ",PAA_4[[#This Row],[Actividad3]])),"Educativo","Técnico"))),0)</f>
        <v>0</v>
      </c>
      <c r="AI155" s="47" t="e" cm="1">
        <f t="array" aca="1" ref="AI155" ca="1">_xlfn.XLOOKUP(PAA_4[[#This Row],[RCP-RUBRO]],[2]!COMPROMISOS_2024[[#All],[concatenado]],[2]!COMPROMISOS_2024[[#All],[Total pagado]],"",0)</f>
        <v>#NAME?</v>
      </c>
      <c r="AJ155" s="56">
        <f>IF(PAA_4[[#This Row],[BOLSA]]=0,0,SUMIFS([2]!COMPROMISOS_2024[[#All],[Total pagado]],[2]!COMPROMISOS_2024[[#All],[Bolsa]],PAA_4[[#This Row],[BOLSA]],[2]!COMPROMISOS_2024[[#All],[rubro]],PAA_4[[#This Row],[RCP-RUBRO]]))</f>
        <v>0</v>
      </c>
      <c r="AK155" s="47" t="e" cm="1">
        <f t="array" aca="1" ref="AK155" ca="1">_xlfn.XLOOKUP(PAA_4[[#This Row],[RCP-RUBRO]],[2]!COMPROMISOS_2024[[#All],[concatenado]],[2]!COMPROMISOS_2024[[#All],[Total Comprometido]],"",0)</f>
        <v>#NAME?</v>
      </c>
      <c r="AL155" s="47">
        <f>IF(PAA_4[[#This Row],[BOLSA]]=0,0,SUMIFS([2]!COMPROMISOS_2024[[#All],[Total Comprometido]],[2]!COMPROMISOS_2024[[#All],[Bolsa]],PAA_4[[#This Row],[BOLSA]],[2]!COMPROMISOS_2024[[#All],[concatenado]],PAA_4[[#This Row],[RCP-RUBRO]]))</f>
        <v>0</v>
      </c>
    </row>
    <row r="156" spans="1:38" s="19" customFormat="1" ht="31.5" customHeight="1">
      <c r="A156" s="47">
        <v>530</v>
      </c>
      <c r="B156" s="47">
        <v>80111600</v>
      </c>
      <c r="C156" s="47" t="str">
        <f>VLOOKUP(PAA_4[[#This Row],[PROYECTO (formulado)2]],[2]PROYECTOS!$G$1:$L$32,6,0)</f>
        <v>SUBGERENCIA ADMINISTRATIVA Y FINANCIERA</v>
      </c>
      <c r="D156" s="47" t="str">
        <f>+IF(PAA_4[[#This Row],[UNIDAD DE CONTRATACION (formulado)]]="Subgerencia Administrativa y Financiera","FUNCIONAMIENTO","INVERSIÓN")</f>
        <v>FUNCIONAMIENTO</v>
      </c>
      <c r="E156" s="48" t="str">
        <f>VLOOKUP(Q156,[2]PROYECTOS!$G$1:$K$32,5,0)</f>
        <v>FUNCIONAMIENTO</v>
      </c>
      <c r="F156" s="48">
        <f>VLOOKUP(E156,[2]PROYECTOS!$K$1:$M$32,3,0)</f>
        <v>999999</v>
      </c>
      <c r="G156" s="49" t="s">
        <v>43</v>
      </c>
      <c r="H156" s="49">
        <f>VLOOKUP(Q156,[2]PROYECTOS!$V$1:$W$32,2,0)</f>
        <v>999999</v>
      </c>
      <c r="I156" s="50">
        <v>0</v>
      </c>
      <c r="J156" s="51" t="s">
        <v>1349</v>
      </c>
      <c r="K156" s="47" t="str">
        <f t="shared" ca="1" si="49"/>
        <v>CONTRATADO</v>
      </c>
      <c r="L156" s="47" t="s">
        <v>94</v>
      </c>
      <c r="M156" s="47" t="s">
        <v>1297</v>
      </c>
      <c r="N156" s="52" t="s">
        <v>90</v>
      </c>
      <c r="O156" s="51" t="e">
        <f>VLOOKUP(N156,[2]!RUBROS[#All],3,0)</f>
        <v>#REF!</v>
      </c>
      <c r="P156" s="53" t="e">
        <f>VLOOKUP(N156,[2]!RUBROS[#All],2,0)</f>
        <v>#REF!</v>
      </c>
      <c r="Q156" s="47" t="str">
        <f t="shared" si="50"/>
        <v>00</v>
      </c>
      <c r="R156" s="47" t="str">
        <f t="shared" si="51"/>
        <v>0-205616</v>
      </c>
      <c r="S156" s="54">
        <v>6</v>
      </c>
      <c r="T156" s="59" t="s">
        <v>46</v>
      </c>
      <c r="U156" s="326" t="e">
        <f ca="1">_xlfn.XLOOKUP(PAA_4[[#This Row],[ITEM]],[2]Contrato!A:A,[2]Contrato!Q:Q,"",0)</f>
        <v>#NAME?</v>
      </c>
      <c r="V156" s="47" t="s">
        <v>95</v>
      </c>
      <c r="W156" s="47" t="s">
        <v>122</v>
      </c>
      <c r="X156" s="47" t="s">
        <v>122</v>
      </c>
      <c r="Y156" s="55" t="e">
        <f ca="1">_xlfn.XLOOKUP(PAA_4[[#This Row],[ITEM]],[2]Contrato!A:A,[2]Contrato!B:B,"",0)</f>
        <v>#NAME?</v>
      </c>
      <c r="Z156" s="47" t="e">
        <f ca="1">_xlfn.XLOOKUP(PAA_4[[#This Row],[ITEM]],[2]Contrato!A:A,[2]Contrato!G:G,"",0)</f>
        <v>#NAME?</v>
      </c>
      <c r="AA156" s="47" t="e">
        <f ca="1">_xlfn.XLOOKUP(PAA_4[[#This Row],[ITEM]],[2]Contrato!A:A,[2]Contrato!T:T,"",0)</f>
        <v>#NAME?</v>
      </c>
      <c r="AB156" s="55" t="e">
        <f ca="1">+MAX(PAA_4[[#This Row],[Comprometido Contrato]],PAA_4[[#This Row],[Comprometido Bolsa]])</f>
        <v>#NAME?</v>
      </c>
      <c r="AC156" s="55" t="str">
        <f t="shared" ca="1" si="52"/>
        <v/>
      </c>
      <c r="AD156" s="55" t="e">
        <f ca="1">IF(PAA_4[[#This Row],[ESTADO (formulado)]]="NO CONTRATADO",0,MAX(PAA_4[[#This Row],[Pago por Contrato]],PAA_4[[#This Row],[Pago por bolsa]]))</f>
        <v>#NAME?</v>
      </c>
      <c r="AE156" s="55" t="str">
        <f t="shared" ca="1" si="53"/>
        <v/>
      </c>
      <c r="AF156" s="47" t="e">
        <f t="shared" ca="1" si="54"/>
        <v>#NAME?</v>
      </c>
      <c r="AG156" s="47" t="str">
        <f t="shared" si="55"/>
        <v/>
      </c>
      <c r="AH156" s="54">
        <f>IF(Q156="22",IF(ISNUMBER(SEARCH("econ",PAA_4[[#This Row],[Actividad3]])),"Económico",IF(ISNUMBER(SEARCH("alim",PAA_4[[#This Row],[Actividad3]])),"Alimentación",IF(ISNUMBER(SEARCH("educ",PAA_4[[#This Row],[Actividad3]])),"Educativo","Técnico"))),0)</f>
        <v>0</v>
      </c>
      <c r="AI156" s="47" t="e" cm="1">
        <f t="array" aca="1" ref="AI156" ca="1">_xlfn.XLOOKUP(PAA_4[[#This Row],[RCP-RUBRO]],[2]!COMPROMISOS_2024[[#All],[concatenado]],[2]!COMPROMISOS_2024[[#All],[Total pagado]],"",0)</f>
        <v>#NAME?</v>
      </c>
      <c r="AJ156" s="56">
        <f>IF(PAA_4[[#This Row],[BOLSA]]=0,0,SUMIFS([2]!COMPROMISOS_2024[[#All],[Total pagado]],[2]!COMPROMISOS_2024[[#All],[Bolsa]],PAA_4[[#This Row],[BOLSA]],[2]!COMPROMISOS_2024[[#All],[rubro]],PAA_4[[#This Row],[RCP-RUBRO]]))</f>
        <v>0</v>
      </c>
      <c r="AK156" s="47" t="e" cm="1">
        <f t="array" aca="1" ref="AK156" ca="1">_xlfn.XLOOKUP(PAA_4[[#This Row],[RCP-RUBRO]],[2]!COMPROMISOS_2024[[#All],[concatenado]],[2]!COMPROMISOS_2024[[#All],[Total Comprometido]],"",0)</f>
        <v>#NAME?</v>
      </c>
      <c r="AL156" s="47">
        <f>IF(PAA_4[[#This Row],[BOLSA]]=0,0,SUMIFS([2]!COMPROMISOS_2024[[#All],[Total Comprometido]],[2]!COMPROMISOS_2024[[#All],[Bolsa]],PAA_4[[#This Row],[BOLSA]],[2]!COMPROMISOS_2024[[#All],[concatenado]],PAA_4[[#This Row],[RCP-RUBRO]]))</f>
        <v>0</v>
      </c>
    </row>
    <row r="157" spans="1:38" s="19" customFormat="1" ht="31.5" customHeight="1">
      <c r="A157" s="47">
        <v>531</v>
      </c>
      <c r="B157" s="47">
        <v>80111600</v>
      </c>
      <c r="C157" s="47" t="str">
        <f>VLOOKUP(PAA_4[[#This Row],[PROYECTO (formulado)2]],[2]PROYECTOS!$G$1:$L$32,6,0)</f>
        <v>SUBGERENCIA ADMINISTRATIVA Y FINANCIERA</v>
      </c>
      <c r="D157" s="47" t="str">
        <f>+IF(PAA_4[[#This Row],[UNIDAD DE CONTRATACION (formulado)]]="Subgerencia Administrativa y Financiera","FUNCIONAMIENTO","INVERSIÓN")</f>
        <v>FUNCIONAMIENTO</v>
      </c>
      <c r="E157" s="48" t="str">
        <f>VLOOKUP(Q157,[2]PROYECTOS!$G$1:$K$32,5,0)</f>
        <v>FUNCIONAMIENTO</v>
      </c>
      <c r="F157" s="48">
        <f>VLOOKUP(E157,[2]PROYECTOS!$K$1:$M$32,3,0)</f>
        <v>999999</v>
      </c>
      <c r="G157" s="49" t="s">
        <v>43</v>
      </c>
      <c r="H157" s="49">
        <f>VLOOKUP(Q157,[2]PROYECTOS!$V$1:$W$32,2,0)</f>
        <v>999999</v>
      </c>
      <c r="I157" s="50">
        <v>23916366</v>
      </c>
      <c r="J157" s="51" t="s">
        <v>1351</v>
      </c>
      <c r="K157" s="47" t="str">
        <f t="shared" ca="1" si="49"/>
        <v>CONTRATADO</v>
      </c>
      <c r="L157" s="47" t="s">
        <v>94</v>
      </c>
      <c r="M157" s="47" t="s">
        <v>1297</v>
      </c>
      <c r="N157" s="52" t="s">
        <v>90</v>
      </c>
      <c r="O157" s="51" t="e">
        <f>VLOOKUP(N157,[2]!RUBROS[#All],3,0)</f>
        <v>#REF!</v>
      </c>
      <c r="P157" s="53" t="e">
        <f>VLOOKUP(N157,[2]!RUBROS[#All],2,0)</f>
        <v>#REF!</v>
      </c>
      <c r="Q157" s="47" t="str">
        <f t="shared" si="50"/>
        <v>00</v>
      </c>
      <c r="R157" s="47" t="str">
        <f t="shared" si="51"/>
        <v>0-205616</v>
      </c>
      <c r="S157" s="54">
        <v>6</v>
      </c>
      <c r="T157" s="59" t="s">
        <v>46</v>
      </c>
      <c r="U157" s="326" t="e">
        <f ca="1">_xlfn.XLOOKUP(PAA_4[[#This Row],[ITEM]],[2]Contrato!A:A,[2]Contrato!Q:Q,"",0)</f>
        <v>#NAME?</v>
      </c>
      <c r="V157" s="47" t="s">
        <v>95</v>
      </c>
      <c r="W157" s="47" t="s">
        <v>91</v>
      </c>
      <c r="X157" s="47" t="s">
        <v>91</v>
      </c>
      <c r="Y157" s="55" t="e">
        <f ca="1">_xlfn.XLOOKUP(PAA_4[[#This Row],[ITEM]],[2]Contrato!A:A,[2]Contrato!B:B,"",0)</f>
        <v>#NAME?</v>
      </c>
      <c r="Z157" s="47" t="e">
        <f ca="1">_xlfn.XLOOKUP(PAA_4[[#This Row],[ITEM]],[2]Contrato!A:A,[2]Contrato!G:G,"",0)</f>
        <v>#NAME?</v>
      </c>
      <c r="AA157" s="47" t="e">
        <f ca="1">_xlfn.XLOOKUP(PAA_4[[#This Row],[ITEM]],[2]Contrato!A:A,[2]Contrato!T:T,"",0)</f>
        <v>#NAME?</v>
      </c>
      <c r="AB157" s="55" t="e">
        <f ca="1">+MAX(PAA_4[[#This Row],[Comprometido Contrato]],PAA_4[[#This Row],[Comprometido Bolsa]])</f>
        <v>#NAME?</v>
      </c>
      <c r="AC157" s="55" t="str">
        <f t="shared" ca="1" si="52"/>
        <v/>
      </c>
      <c r="AD157" s="55" t="e">
        <f ca="1">IF(PAA_4[[#This Row],[ESTADO (formulado)]]="NO CONTRATADO",0,MAX(PAA_4[[#This Row],[Pago por Contrato]],PAA_4[[#This Row],[Pago por bolsa]]))</f>
        <v>#NAME?</v>
      </c>
      <c r="AE157" s="55" t="str">
        <f t="shared" ca="1" si="53"/>
        <v/>
      </c>
      <c r="AF157" s="47" t="e">
        <f t="shared" ca="1" si="54"/>
        <v>#NAME?</v>
      </c>
      <c r="AG157" s="47" t="str">
        <f t="shared" si="55"/>
        <v/>
      </c>
      <c r="AH157" s="54">
        <f>IF(Q157="22",IF(ISNUMBER(SEARCH("econ",PAA_4[[#This Row],[Actividad3]])),"Económico",IF(ISNUMBER(SEARCH("alim",PAA_4[[#This Row],[Actividad3]])),"Alimentación",IF(ISNUMBER(SEARCH("educ",PAA_4[[#This Row],[Actividad3]])),"Educativo","Técnico"))),0)</f>
        <v>0</v>
      </c>
      <c r="AI157" s="47" t="e" cm="1">
        <f t="array" aca="1" ref="AI157" ca="1">_xlfn.XLOOKUP(PAA_4[[#This Row],[RCP-RUBRO]],[2]!COMPROMISOS_2024[[#All],[concatenado]],[2]!COMPROMISOS_2024[[#All],[Total pagado]],"",0)</f>
        <v>#NAME?</v>
      </c>
      <c r="AJ157" s="56">
        <f>IF(PAA_4[[#This Row],[BOLSA]]=0,0,SUMIFS([2]!COMPROMISOS_2024[[#All],[Total pagado]],[2]!COMPROMISOS_2024[[#All],[Bolsa]],PAA_4[[#This Row],[BOLSA]],[2]!COMPROMISOS_2024[[#All],[rubro]],PAA_4[[#This Row],[RCP-RUBRO]]))</f>
        <v>0</v>
      </c>
      <c r="AK157" s="47" t="e" cm="1">
        <f t="array" aca="1" ref="AK157" ca="1">_xlfn.XLOOKUP(PAA_4[[#This Row],[RCP-RUBRO]],[2]!COMPROMISOS_2024[[#All],[concatenado]],[2]!COMPROMISOS_2024[[#All],[Total Comprometido]],"",0)</f>
        <v>#NAME?</v>
      </c>
      <c r="AL157" s="47">
        <f>IF(PAA_4[[#This Row],[BOLSA]]=0,0,SUMIFS([2]!COMPROMISOS_2024[[#All],[Total Comprometido]],[2]!COMPROMISOS_2024[[#All],[Bolsa]],PAA_4[[#This Row],[BOLSA]],[2]!COMPROMISOS_2024[[#All],[concatenado]],PAA_4[[#This Row],[RCP-RUBRO]]))</f>
        <v>0</v>
      </c>
    </row>
    <row r="158" spans="1:38" s="19" customFormat="1" ht="31.5" customHeight="1">
      <c r="A158" s="47">
        <v>532</v>
      </c>
      <c r="B158" s="47">
        <v>80111600</v>
      </c>
      <c r="C158" s="47" t="str">
        <f>VLOOKUP(PAA_4[[#This Row],[PROYECTO (formulado)2]],[2]PROYECTOS!$G$1:$L$32,6,0)</f>
        <v>SUBGERENCIA ADMINISTRATIVA Y FINANCIERA</v>
      </c>
      <c r="D158" s="47" t="str">
        <f>+IF(PAA_4[[#This Row],[UNIDAD DE CONTRATACION (formulado)]]="Subgerencia Administrativa y Financiera","FUNCIONAMIENTO","INVERSIÓN")</f>
        <v>FUNCIONAMIENTO</v>
      </c>
      <c r="E158" s="48" t="str">
        <f>VLOOKUP(Q158,[2]PROYECTOS!$G$1:$K$32,5,0)</f>
        <v>FUNCIONAMIENTO</v>
      </c>
      <c r="F158" s="48">
        <f>VLOOKUP(E158,[2]PROYECTOS!$K$1:$M$32,3,0)</f>
        <v>999999</v>
      </c>
      <c r="G158" s="49" t="s">
        <v>43</v>
      </c>
      <c r="H158" s="49">
        <f>VLOOKUP(Q158,[2]PROYECTOS!$V$1:$W$32,2,0)</f>
        <v>999999</v>
      </c>
      <c r="I158" s="50">
        <v>41274486</v>
      </c>
      <c r="J158" s="51" t="s">
        <v>138</v>
      </c>
      <c r="K158" s="47" t="str">
        <f t="shared" ca="1" si="49"/>
        <v>CONTRATADO</v>
      </c>
      <c r="L158" s="47" t="s">
        <v>94</v>
      </c>
      <c r="M158" s="47" t="s">
        <v>1297</v>
      </c>
      <c r="N158" s="52" t="s">
        <v>90</v>
      </c>
      <c r="O158" s="51" t="e">
        <f>VLOOKUP(N158,[2]!RUBROS[#All],3,0)</f>
        <v>#REF!</v>
      </c>
      <c r="P158" s="53" t="e">
        <f>VLOOKUP(N158,[2]!RUBROS[#All],2,0)</f>
        <v>#REF!</v>
      </c>
      <c r="Q158" s="47" t="str">
        <f t="shared" si="50"/>
        <v>00</v>
      </c>
      <c r="R158" s="47" t="str">
        <f t="shared" si="51"/>
        <v>0-205616</v>
      </c>
      <c r="S158" s="54">
        <v>6</v>
      </c>
      <c r="T158" s="59" t="s">
        <v>46</v>
      </c>
      <c r="U158" s="326" t="e">
        <f ca="1">_xlfn.XLOOKUP(PAA_4[[#This Row],[ITEM]],[2]Contrato!A:A,[2]Contrato!Q:Q,"",0)</f>
        <v>#NAME?</v>
      </c>
      <c r="V158" s="47" t="s">
        <v>95</v>
      </c>
      <c r="W158" s="47" t="s">
        <v>137</v>
      </c>
      <c r="X158" s="47" t="s">
        <v>137</v>
      </c>
      <c r="Y158" s="55" t="e">
        <f ca="1">_xlfn.XLOOKUP(PAA_4[[#This Row],[ITEM]],[2]Contrato!A:A,[2]Contrato!B:B,"",0)</f>
        <v>#NAME?</v>
      </c>
      <c r="Z158" s="47" t="e">
        <f ca="1">_xlfn.XLOOKUP(PAA_4[[#This Row],[ITEM]],[2]Contrato!A:A,[2]Contrato!G:G,"",0)</f>
        <v>#NAME?</v>
      </c>
      <c r="AA158" s="47" t="e">
        <f ca="1">_xlfn.XLOOKUP(PAA_4[[#This Row],[ITEM]],[2]Contrato!A:A,[2]Contrato!T:T,"",0)</f>
        <v>#NAME?</v>
      </c>
      <c r="AB158" s="55" t="e">
        <f ca="1">+MAX(PAA_4[[#This Row],[Comprometido Contrato]],PAA_4[[#This Row],[Comprometido Bolsa]])</f>
        <v>#NAME?</v>
      </c>
      <c r="AC158" s="55" t="str">
        <f t="shared" ca="1" si="52"/>
        <v/>
      </c>
      <c r="AD158" s="55" t="e">
        <f ca="1">IF(PAA_4[[#This Row],[ESTADO (formulado)]]="NO CONTRATADO",0,MAX(PAA_4[[#This Row],[Pago por Contrato]],PAA_4[[#This Row],[Pago por bolsa]]))</f>
        <v>#NAME?</v>
      </c>
      <c r="AE158" s="55" t="str">
        <f t="shared" ca="1" si="53"/>
        <v/>
      </c>
      <c r="AF158" s="47" t="e">
        <f t="shared" ca="1" si="54"/>
        <v>#NAME?</v>
      </c>
      <c r="AG158" s="47" t="str">
        <f t="shared" si="55"/>
        <v/>
      </c>
      <c r="AH158" s="54">
        <f>IF(Q158="22",IF(ISNUMBER(SEARCH("econ",PAA_4[[#This Row],[Actividad3]])),"Económico",IF(ISNUMBER(SEARCH("alim",PAA_4[[#This Row],[Actividad3]])),"Alimentación",IF(ISNUMBER(SEARCH("educ",PAA_4[[#This Row],[Actividad3]])),"Educativo","Técnico"))),0)</f>
        <v>0</v>
      </c>
      <c r="AI158" s="47" t="e" cm="1">
        <f t="array" aca="1" ref="AI158" ca="1">_xlfn.XLOOKUP(PAA_4[[#This Row],[RCP-RUBRO]],[2]!COMPROMISOS_2024[[#All],[concatenado]],[2]!COMPROMISOS_2024[[#All],[Total pagado]],"",0)</f>
        <v>#NAME?</v>
      </c>
      <c r="AJ158" s="56">
        <f>IF(PAA_4[[#This Row],[BOLSA]]=0,0,SUMIFS([2]!COMPROMISOS_2024[[#All],[Total pagado]],[2]!COMPROMISOS_2024[[#All],[Bolsa]],PAA_4[[#This Row],[BOLSA]],[2]!COMPROMISOS_2024[[#All],[rubro]],PAA_4[[#This Row],[RCP-RUBRO]]))</f>
        <v>0</v>
      </c>
      <c r="AK158" s="47" t="e" cm="1">
        <f t="array" aca="1" ref="AK158" ca="1">_xlfn.XLOOKUP(PAA_4[[#This Row],[RCP-RUBRO]],[2]!COMPROMISOS_2024[[#All],[concatenado]],[2]!COMPROMISOS_2024[[#All],[Total Comprometido]],"",0)</f>
        <v>#NAME?</v>
      </c>
      <c r="AL158" s="47">
        <f>IF(PAA_4[[#This Row],[BOLSA]]=0,0,SUMIFS([2]!COMPROMISOS_2024[[#All],[Total Comprometido]],[2]!COMPROMISOS_2024[[#All],[Bolsa]],PAA_4[[#This Row],[BOLSA]],[2]!COMPROMISOS_2024[[#All],[concatenado]],PAA_4[[#This Row],[RCP-RUBRO]]))</f>
        <v>0</v>
      </c>
    </row>
    <row r="159" spans="1:38" s="19" customFormat="1" ht="31.5" customHeight="1">
      <c r="A159" s="47">
        <v>533</v>
      </c>
      <c r="B159" s="47">
        <v>80111600</v>
      </c>
      <c r="C159" s="47" t="str">
        <f>VLOOKUP(PAA_4[[#This Row],[PROYECTO (formulado)2]],[2]PROYECTOS!$G$1:$L$32,6,0)</f>
        <v>SUBGERENCIA ADMINISTRATIVA Y FINANCIERA</v>
      </c>
      <c r="D159" s="47" t="str">
        <f>+IF(PAA_4[[#This Row],[UNIDAD DE CONTRATACION (formulado)]]="Subgerencia Administrativa y Financiera","FUNCIONAMIENTO","INVERSIÓN")</f>
        <v>FUNCIONAMIENTO</v>
      </c>
      <c r="E159" s="48" t="str">
        <f>VLOOKUP(Q159,[2]PROYECTOS!$G$1:$K$32,5,0)</f>
        <v>FUNCIONAMIENTO</v>
      </c>
      <c r="F159" s="48">
        <f>VLOOKUP(E159,[2]PROYECTOS!$K$1:$M$32,3,0)</f>
        <v>999999</v>
      </c>
      <c r="G159" s="49" t="s">
        <v>43</v>
      </c>
      <c r="H159" s="49">
        <f>VLOOKUP(Q159,[2]PROYECTOS!$V$1:$W$32,2,0)</f>
        <v>999999</v>
      </c>
      <c r="I159" s="50">
        <v>56080944</v>
      </c>
      <c r="J159" s="51" t="s">
        <v>139</v>
      </c>
      <c r="K159" s="47" t="str">
        <f t="shared" ca="1" si="49"/>
        <v>CONTRATADO</v>
      </c>
      <c r="L159" s="47" t="s">
        <v>94</v>
      </c>
      <c r="M159" s="47" t="s">
        <v>1297</v>
      </c>
      <c r="N159" s="52" t="s">
        <v>90</v>
      </c>
      <c r="O159" s="51" t="e">
        <f>VLOOKUP(N159,[2]!RUBROS[#All],3,0)</f>
        <v>#REF!</v>
      </c>
      <c r="P159" s="53" t="e">
        <f>VLOOKUP(N159,[2]!RUBROS[#All],2,0)</f>
        <v>#REF!</v>
      </c>
      <c r="Q159" s="47" t="str">
        <f t="shared" si="50"/>
        <v>00</v>
      </c>
      <c r="R159" s="47" t="str">
        <f t="shared" si="51"/>
        <v>0-205616</v>
      </c>
      <c r="S159" s="54">
        <v>6</v>
      </c>
      <c r="T159" s="59" t="s">
        <v>46</v>
      </c>
      <c r="U159" s="326" t="e">
        <f ca="1">_xlfn.XLOOKUP(PAA_4[[#This Row],[ITEM]],[2]Contrato!A:A,[2]Contrato!Q:Q,"",0)</f>
        <v>#NAME?</v>
      </c>
      <c r="V159" s="47" t="s">
        <v>95</v>
      </c>
      <c r="W159" s="47" t="s">
        <v>137</v>
      </c>
      <c r="X159" s="47" t="s">
        <v>137</v>
      </c>
      <c r="Y159" s="55" t="e">
        <f ca="1">_xlfn.XLOOKUP(PAA_4[[#This Row],[ITEM]],[2]Contrato!A:A,[2]Contrato!B:B,"",0)</f>
        <v>#NAME?</v>
      </c>
      <c r="Z159" s="47" t="e">
        <f ca="1">_xlfn.XLOOKUP(PAA_4[[#This Row],[ITEM]],[2]Contrato!A:A,[2]Contrato!G:G,"",0)</f>
        <v>#NAME?</v>
      </c>
      <c r="AA159" s="47" t="e">
        <f ca="1">_xlfn.XLOOKUP(PAA_4[[#This Row],[ITEM]],[2]Contrato!A:A,[2]Contrato!T:T,"",0)</f>
        <v>#NAME?</v>
      </c>
      <c r="AB159" s="55" t="e">
        <f ca="1">+MAX(PAA_4[[#This Row],[Comprometido Contrato]],PAA_4[[#This Row],[Comprometido Bolsa]])</f>
        <v>#NAME?</v>
      </c>
      <c r="AC159" s="55" t="str">
        <f t="shared" ca="1" si="52"/>
        <v/>
      </c>
      <c r="AD159" s="55" t="e">
        <f ca="1">IF(PAA_4[[#This Row],[ESTADO (formulado)]]="NO CONTRATADO",0,MAX(PAA_4[[#This Row],[Pago por Contrato]],PAA_4[[#This Row],[Pago por bolsa]]))</f>
        <v>#NAME?</v>
      </c>
      <c r="AE159" s="55" t="str">
        <f t="shared" ca="1" si="53"/>
        <v/>
      </c>
      <c r="AF159" s="47" t="e">
        <f t="shared" ca="1" si="54"/>
        <v>#NAME?</v>
      </c>
      <c r="AG159" s="47" t="str">
        <f t="shared" si="55"/>
        <v/>
      </c>
      <c r="AH159" s="54">
        <f>IF(Q159="22",IF(ISNUMBER(SEARCH("econ",PAA_4[[#This Row],[Actividad3]])),"Económico",IF(ISNUMBER(SEARCH("alim",PAA_4[[#This Row],[Actividad3]])),"Alimentación",IF(ISNUMBER(SEARCH("educ",PAA_4[[#This Row],[Actividad3]])),"Educativo","Técnico"))),0)</f>
        <v>0</v>
      </c>
      <c r="AI159" s="47" t="e" cm="1">
        <f t="array" aca="1" ref="AI159" ca="1">_xlfn.XLOOKUP(PAA_4[[#This Row],[RCP-RUBRO]],[2]!COMPROMISOS_2024[[#All],[concatenado]],[2]!COMPROMISOS_2024[[#All],[Total pagado]],"",0)</f>
        <v>#NAME?</v>
      </c>
      <c r="AJ159" s="56">
        <f>IF(PAA_4[[#This Row],[BOLSA]]=0,0,SUMIFS([2]!COMPROMISOS_2024[[#All],[Total pagado]],[2]!COMPROMISOS_2024[[#All],[Bolsa]],PAA_4[[#This Row],[BOLSA]],[2]!COMPROMISOS_2024[[#All],[rubro]],PAA_4[[#This Row],[RCP-RUBRO]]))</f>
        <v>0</v>
      </c>
      <c r="AK159" s="47" t="e" cm="1">
        <f t="array" aca="1" ref="AK159" ca="1">_xlfn.XLOOKUP(PAA_4[[#This Row],[RCP-RUBRO]],[2]!COMPROMISOS_2024[[#All],[concatenado]],[2]!COMPROMISOS_2024[[#All],[Total Comprometido]],"",0)</f>
        <v>#NAME?</v>
      </c>
      <c r="AL159" s="47">
        <f>IF(PAA_4[[#This Row],[BOLSA]]=0,0,SUMIFS([2]!COMPROMISOS_2024[[#All],[Total Comprometido]],[2]!COMPROMISOS_2024[[#All],[Bolsa]],PAA_4[[#This Row],[BOLSA]],[2]!COMPROMISOS_2024[[#All],[concatenado]],PAA_4[[#This Row],[RCP-RUBRO]]))</f>
        <v>0</v>
      </c>
    </row>
    <row r="160" spans="1:38" s="19" customFormat="1" ht="31.5" customHeight="1">
      <c r="A160" s="47">
        <v>536</v>
      </c>
      <c r="B160" s="47" t="s">
        <v>42</v>
      </c>
      <c r="C160" s="47" t="str">
        <f>VLOOKUP(PAA_4[[#This Row],[PROYECTO (formulado)2]],[2]PROYECTOS!$G$1:$L$32,6,0)</f>
        <v>SUBGERENCIA ADMINISTRATIVA Y FINANCIERA</v>
      </c>
      <c r="D160" s="47" t="str">
        <f>+IF(PAA_4[[#This Row],[UNIDAD DE CONTRATACION (formulado)]]="Subgerencia Administrativa y Financiera","FUNCIONAMIENTO","INVERSIÓN")</f>
        <v>FUNCIONAMIENTO</v>
      </c>
      <c r="E160" s="48" t="str">
        <f>VLOOKUP(Q160,[2]PROYECTOS!$G$1:$K$32,5,0)</f>
        <v>FUNCIONAMIENTO</v>
      </c>
      <c r="F160" s="48">
        <f>VLOOKUP(E160,[2]PROYECTOS!$K$1:$M$32,3,0)</f>
        <v>999999</v>
      </c>
      <c r="G160" s="49" t="s">
        <v>43</v>
      </c>
      <c r="H160" s="49">
        <f>VLOOKUP(Q160,[2]PROYECTOS!$V$1:$W$32,2,0)</f>
        <v>999999</v>
      </c>
      <c r="I160" s="50">
        <v>41274486</v>
      </c>
      <c r="J160" s="51" t="s">
        <v>1352</v>
      </c>
      <c r="K160" s="47" t="str">
        <f t="shared" ca="1" si="49"/>
        <v>CONTRATADO</v>
      </c>
      <c r="L160" s="47" t="s">
        <v>94</v>
      </c>
      <c r="M160" s="47" t="s">
        <v>1297</v>
      </c>
      <c r="N160" s="52" t="s">
        <v>90</v>
      </c>
      <c r="O160" s="51" t="e">
        <f>VLOOKUP(N160,[2]!RUBROS[#All],3,0)</f>
        <v>#REF!</v>
      </c>
      <c r="P160" s="53" t="e">
        <f>VLOOKUP(N160,[2]!RUBROS[#All],2,0)</f>
        <v>#REF!</v>
      </c>
      <c r="Q160" s="47" t="str">
        <f t="shared" si="50"/>
        <v>00</v>
      </c>
      <c r="R160" s="47" t="str">
        <f t="shared" si="51"/>
        <v>0-205616</v>
      </c>
      <c r="S160" s="54">
        <v>6</v>
      </c>
      <c r="T160" s="59" t="s">
        <v>46</v>
      </c>
      <c r="U160" s="326" t="e">
        <f ca="1">_xlfn.XLOOKUP(PAA_4[[#This Row],[ITEM]],[2]Contrato!A:A,[2]Contrato!Q:Q,"",0)</f>
        <v>#NAME?</v>
      </c>
      <c r="V160" s="47" t="s">
        <v>95</v>
      </c>
      <c r="W160" s="47" t="s">
        <v>137</v>
      </c>
      <c r="X160" s="47" t="s">
        <v>137</v>
      </c>
      <c r="Y160" s="55" t="e">
        <f ca="1">_xlfn.XLOOKUP(PAA_4[[#This Row],[ITEM]],[2]Contrato!A:A,[2]Contrato!B:B,"",0)</f>
        <v>#NAME?</v>
      </c>
      <c r="Z160" s="47" t="e">
        <f ca="1">_xlfn.XLOOKUP(PAA_4[[#This Row],[ITEM]],[2]Contrato!A:A,[2]Contrato!G:G,"",0)</f>
        <v>#NAME?</v>
      </c>
      <c r="AA160" s="47" t="e">
        <f ca="1">_xlfn.XLOOKUP(PAA_4[[#This Row],[ITEM]],[2]Contrato!A:A,[2]Contrato!T:T,"",0)</f>
        <v>#NAME?</v>
      </c>
      <c r="AB160" s="55" t="e">
        <f ca="1">+MAX(PAA_4[[#This Row],[Comprometido Contrato]],PAA_4[[#This Row],[Comprometido Bolsa]])</f>
        <v>#NAME?</v>
      </c>
      <c r="AC160" s="55" t="str">
        <f t="shared" ca="1" si="52"/>
        <v/>
      </c>
      <c r="AD160" s="55" t="e">
        <f ca="1">IF(PAA_4[[#This Row],[ESTADO (formulado)]]="NO CONTRATADO",0,MAX(PAA_4[[#This Row],[Pago por Contrato]],PAA_4[[#This Row],[Pago por bolsa]]))</f>
        <v>#NAME?</v>
      </c>
      <c r="AE160" s="55" t="str">
        <f t="shared" ca="1" si="53"/>
        <v/>
      </c>
      <c r="AF160" s="47" t="e">
        <f t="shared" ca="1" si="54"/>
        <v>#NAME?</v>
      </c>
      <c r="AG160" s="47" t="str">
        <f t="shared" si="55"/>
        <v/>
      </c>
      <c r="AH160" s="54">
        <f>IF(Q160="22",IF(ISNUMBER(SEARCH("econ",PAA_4[[#This Row],[Actividad3]])),"Económico",IF(ISNUMBER(SEARCH("alim",PAA_4[[#This Row],[Actividad3]])),"Alimentación",IF(ISNUMBER(SEARCH("educ",PAA_4[[#This Row],[Actividad3]])),"Educativo","Técnico"))),0)</f>
        <v>0</v>
      </c>
      <c r="AI160" s="47" t="e" cm="1">
        <f t="array" aca="1" ref="AI160" ca="1">_xlfn.XLOOKUP(PAA_4[[#This Row],[RCP-RUBRO]],[2]!COMPROMISOS_2024[[#All],[concatenado]],[2]!COMPROMISOS_2024[[#All],[Total pagado]],"",0)</f>
        <v>#NAME?</v>
      </c>
      <c r="AJ160" s="56">
        <f>IF(PAA_4[[#This Row],[BOLSA]]=0,0,SUMIFS([2]!COMPROMISOS_2024[[#All],[Total pagado]],[2]!COMPROMISOS_2024[[#All],[Bolsa]],PAA_4[[#This Row],[BOLSA]],[2]!COMPROMISOS_2024[[#All],[rubro]],PAA_4[[#This Row],[RCP-RUBRO]]))</f>
        <v>0</v>
      </c>
      <c r="AK160" s="47" t="e" cm="1">
        <f t="array" aca="1" ref="AK160" ca="1">_xlfn.XLOOKUP(PAA_4[[#This Row],[RCP-RUBRO]],[2]!COMPROMISOS_2024[[#All],[concatenado]],[2]!COMPROMISOS_2024[[#All],[Total Comprometido]],"",0)</f>
        <v>#NAME?</v>
      </c>
      <c r="AL160" s="47">
        <f>IF(PAA_4[[#This Row],[BOLSA]]=0,0,SUMIFS([2]!COMPROMISOS_2024[[#All],[Total Comprometido]],[2]!COMPROMISOS_2024[[#All],[Bolsa]],PAA_4[[#This Row],[BOLSA]],[2]!COMPROMISOS_2024[[#All],[concatenado]],PAA_4[[#This Row],[RCP-RUBRO]]))</f>
        <v>0</v>
      </c>
    </row>
    <row r="161" spans="1:38" s="19" customFormat="1" ht="31.5" customHeight="1">
      <c r="A161" s="47">
        <v>572</v>
      </c>
      <c r="B161" s="47">
        <v>80111600</v>
      </c>
      <c r="C161" s="47" t="str">
        <f>VLOOKUP(PAA_4[[#This Row],[PROYECTO (formulado)2]],[2]PROYECTOS!$G$1:$L$32,6,0)</f>
        <v>SUBGERENCIA ADMINISTRATIVA Y FINANCIERA</v>
      </c>
      <c r="D161" s="47" t="str">
        <f>+IF(PAA_4[[#This Row],[UNIDAD DE CONTRATACION (formulado)]]="Subgerencia Administrativa y Financiera","FUNCIONAMIENTO","INVERSIÓN")</f>
        <v>FUNCIONAMIENTO</v>
      </c>
      <c r="E161" s="48" t="str">
        <f>VLOOKUP(Q161,[2]PROYECTOS!$G$1:$K$32,5,0)</f>
        <v>FUNCIONAMIENTO</v>
      </c>
      <c r="F161" s="48">
        <f>VLOOKUP(E161,[2]PROYECTOS!$K$1:$M$32,3,0)</f>
        <v>999999</v>
      </c>
      <c r="G161" s="49" t="s">
        <v>43</v>
      </c>
      <c r="H161" s="49">
        <f>VLOOKUP(Q161,[2]PROYECTOS!$V$1:$W$32,2,0)</f>
        <v>999999</v>
      </c>
      <c r="I161" s="50">
        <v>41274486</v>
      </c>
      <c r="J161" s="51" t="s">
        <v>140</v>
      </c>
      <c r="K161" s="47" t="str">
        <f t="shared" ca="1" si="49"/>
        <v>CONTRATADO</v>
      </c>
      <c r="L161" s="47" t="s">
        <v>94</v>
      </c>
      <c r="M161" s="47" t="s">
        <v>1297</v>
      </c>
      <c r="N161" s="52" t="s">
        <v>90</v>
      </c>
      <c r="O161" s="51" t="e">
        <f>VLOOKUP(N161,[2]!RUBROS[#All],3,0)</f>
        <v>#REF!</v>
      </c>
      <c r="P161" s="53" t="e">
        <f>VLOOKUP(N161,[2]!RUBROS[#All],2,0)</f>
        <v>#REF!</v>
      </c>
      <c r="Q161" s="47" t="str">
        <f t="shared" si="50"/>
        <v>00</v>
      </c>
      <c r="R161" s="47" t="str">
        <f t="shared" si="51"/>
        <v>0-205616</v>
      </c>
      <c r="S161" s="54">
        <v>6</v>
      </c>
      <c r="T161" s="59" t="s">
        <v>46</v>
      </c>
      <c r="U161" s="326" t="e">
        <f ca="1">_xlfn.XLOOKUP(PAA_4[[#This Row],[ITEM]],[2]Contrato!A:A,[2]Contrato!Q:Q,"",0)</f>
        <v>#NAME?</v>
      </c>
      <c r="V161" s="47" t="s">
        <v>95</v>
      </c>
      <c r="W161" s="47" t="s">
        <v>96</v>
      </c>
      <c r="X161" s="47" t="s">
        <v>96</v>
      </c>
      <c r="Y161" s="55" t="e">
        <f ca="1">_xlfn.XLOOKUP(PAA_4[[#This Row],[ITEM]],[2]Contrato!A:A,[2]Contrato!B:B,"",0)</f>
        <v>#NAME?</v>
      </c>
      <c r="Z161" s="47" t="e">
        <f ca="1">_xlfn.XLOOKUP(PAA_4[[#This Row],[ITEM]],[2]Contrato!A:A,[2]Contrato!G:G,"",0)</f>
        <v>#NAME?</v>
      </c>
      <c r="AA161" s="47" t="e">
        <f ca="1">_xlfn.XLOOKUP(PAA_4[[#This Row],[ITEM]],[2]Contrato!A:A,[2]Contrato!T:T,"",0)</f>
        <v>#NAME?</v>
      </c>
      <c r="AB161" s="55" t="e">
        <f ca="1">+MAX(PAA_4[[#This Row],[Comprometido Contrato]],PAA_4[[#This Row],[Comprometido Bolsa]])</f>
        <v>#NAME?</v>
      </c>
      <c r="AC161" s="55" t="str">
        <f t="shared" ca="1" si="52"/>
        <v/>
      </c>
      <c r="AD161" s="55" t="e">
        <f ca="1">IF(PAA_4[[#This Row],[ESTADO (formulado)]]="NO CONTRATADO",0,MAX(PAA_4[[#This Row],[Pago por Contrato]],PAA_4[[#This Row],[Pago por bolsa]]))</f>
        <v>#NAME?</v>
      </c>
      <c r="AE161" s="55" t="str">
        <f t="shared" ca="1" si="53"/>
        <v/>
      </c>
      <c r="AF161" s="47" t="e">
        <f t="shared" ca="1" si="54"/>
        <v>#NAME?</v>
      </c>
      <c r="AG161" s="47" t="str">
        <f t="shared" si="55"/>
        <v/>
      </c>
      <c r="AH161" s="54">
        <f>IF(Q161="22",IF(ISNUMBER(SEARCH("econ",PAA_4[[#This Row],[Actividad3]])),"Económico",IF(ISNUMBER(SEARCH("alim",PAA_4[[#This Row],[Actividad3]])),"Alimentación",IF(ISNUMBER(SEARCH("educ",PAA_4[[#This Row],[Actividad3]])),"Educativo","Técnico"))),0)</f>
        <v>0</v>
      </c>
      <c r="AI161" s="47" t="e" cm="1">
        <f t="array" aca="1" ref="AI161" ca="1">_xlfn.XLOOKUP(PAA_4[[#This Row],[RCP-RUBRO]],[2]!COMPROMISOS_2024[[#All],[concatenado]],[2]!COMPROMISOS_2024[[#All],[Total pagado]],"",0)</f>
        <v>#NAME?</v>
      </c>
      <c r="AJ161" s="56">
        <f>IF(PAA_4[[#This Row],[BOLSA]]=0,0,SUMIFS([2]!COMPROMISOS_2024[[#All],[Total pagado]],[2]!COMPROMISOS_2024[[#All],[Bolsa]],PAA_4[[#This Row],[BOLSA]],[2]!COMPROMISOS_2024[[#All],[rubro]],PAA_4[[#This Row],[RCP-RUBRO]]))</f>
        <v>0</v>
      </c>
      <c r="AK161" s="47" t="e" cm="1">
        <f t="array" aca="1" ref="AK161" ca="1">_xlfn.XLOOKUP(PAA_4[[#This Row],[RCP-RUBRO]],[2]!COMPROMISOS_2024[[#All],[concatenado]],[2]!COMPROMISOS_2024[[#All],[Total Comprometido]],"",0)</f>
        <v>#NAME?</v>
      </c>
      <c r="AL161" s="47">
        <f>IF(PAA_4[[#This Row],[BOLSA]]=0,0,SUMIFS([2]!COMPROMISOS_2024[[#All],[Total Comprometido]],[2]!COMPROMISOS_2024[[#All],[Bolsa]],PAA_4[[#This Row],[BOLSA]],[2]!COMPROMISOS_2024[[#All],[concatenado]],PAA_4[[#This Row],[RCP-RUBRO]]))</f>
        <v>0</v>
      </c>
    </row>
    <row r="162" spans="1:38" s="19" customFormat="1" ht="31.5" customHeight="1">
      <c r="A162" s="47">
        <v>573</v>
      </c>
      <c r="B162" s="47">
        <v>80111600</v>
      </c>
      <c r="C162" s="47" t="str">
        <f>VLOOKUP(PAA_4[[#This Row],[PROYECTO (formulado)2]],[2]PROYECTOS!$G$1:$L$32,6,0)</f>
        <v>SUBGERENCIA ADMINISTRATIVA Y FINANCIERA</v>
      </c>
      <c r="D162" s="47" t="str">
        <f>+IF(PAA_4[[#This Row],[UNIDAD DE CONTRATACION (formulado)]]="Subgerencia Administrativa y Financiera","FUNCIONAMIENTO","INVERSIÓN")</f>
        <v>FUNCIONAMIENTO</v>
      </c>
      <c r="E162" s="48" t="str">
        <f>VLOOKUP(Q162,[2]PROYECTOS!$G$1:$K$32,5,0)</f>
        <v>FUNCIONAMIENTO</v>
      </c>
      <c r="F162" s="48">
        <f>VLOOKUP(E162,[2]PROYECTOS!$K$1:$M$32,3,0)</f>
        <v>999999</v>
      </c>
      <c r="G162" s="49" t="s">
        <v>43</v>
      </c>
      <c r="H162" s="49">
        <f>VLOOKUP(Q162,[2]PROYECTOS!$V$1:$W$32,2,0)</f>
        <v>999999</v>
      </c>
      <c r="I162" s="50">
        <v>41274486</v>
      </c>
      <c r="J162" s="51" t="s">
        <v>141</v>
      </c>
      <c r="K162" s="47" t="str">
        <f t="shared" ca="1" si="49"/>
        <v>CONTRATADO</v>
      </c>
      <c r="L162" s="47" t="s">
        <v>94</v>
      </c>
      <c r="M162" s="47" t="s">
        <v>1297</v>
      </c>
      <c r="N162" s="52" t="s">
        <v>90</v>
      </c>
      <c r="O162" s="51" t="e">
        <f>VLOOKUP(N162,[2]!RUBROS[#All],3,0)</f>
        <v>#REF!</v>
      </c>
      <c r="P162" s="53" t="e">
        <f>VLOOKUP(N162,[2]!RUBROS[#All],2,0)</f>
        <v>#REF!</v>
      </c>
      <c r="Q162" s="47" t="str">
        <f t="shared" si="50"/>
        <v>00</v>
      </c>
      <c r="R162" s="47" t="str">
        <f t="shared" si="51"/>
        <v>0-205616</v>
      </c>
      <c r="S162" s="54">
        <v>6</v>
      </c>
      <c r="T162" s="59" t="s">
        <v>46</v>
      </c>
      <c r="U162" s="326" t="e">
        <f ca="1">_xlfn.XLOOKUP(PAA_4[[#This Row],[ITEM]],[2]Contrato!A:A,[2]Contrato!Q:Q,"",0)</f>
        <v>#NAME?</v>
      </c>
      <c r="V162" s="47" t="s">
        <v>95</v>
      </c>
      <c r="W162" s="47" t="s">
        <v>96</v>
      </c>
      <c r="X162" s="47" t="s">
        <v>96</v>
      </c>
      <c r="Y162" s="55" t="e">
        <f ca="1">_xlfn.XLOOKUP(PAA_4[[#This Row],[ITEM]],[2]Contrato!A:A,[2]Contrato!B:B,"",0)</f>
        <v>#NAME?</v>
      </c>
      <c r="Z162" s="47" t="e">
        <f ca="1">_xlfn.XLOOKUP(PAA_4[[#This Row],[ITEM]],[2]Contrato!A:A,[2]Contrato!G:G,"",0)</f>
        <v>#NAME?</v>
      </c>
      <c r="AA162" s="47" t="e">
        <f ca="1">_xlfn.XLOOKUP(PAA_4[[#This Row],[ITEM]],[2]Contrato!A:A,[2]Contrato!T:T,"",0)</f>
        <v>#NAME?</v>
      </c>
      <c r="AB162" s="55" t="e">
        <f ca="1">+MAX(PAA_4[[#This Row],[Comprometido Contrato]],PAA_4[[#This Row],[Comprometido Bolsa]])</f>
        <v>#NAME?</v>
      </c>
      <c r="AC162" s="55" t="str">
        <f t="shared" ca="1" si="52"/>
        <v/>
      </c>
      <c r="AD162" s="55" t="e">
        <f ca="1">IF(PAA_4[[#This Row],[ESTADO (formulado)]]="NO CONTRATADO",0,MAX(PAA_4[[#This Row],[Pago por Contrato]],PAA_4[[#This Row],[Pago por bolsa]]))</f>
        <v>#NAME?</v>
      </c>
      <c r="AE162" s="55" t="str">
        <f t="shared" ca="1" si="53"/>
        <v/>
      </c>
      <c r="AF162" s="47" t="e">
        <f t="shared" ca="1" si="54"/>
        <v>#NAME?</v>
      </c>
      <c r="AG162" s="47" t="str">
        <f t="shared" si="55"/>
        <v/>
      </c>
      <c r="AH162" s="54">
        <f>IF(Q162="22",IF(ISNUMBER(SEARCH("econ",PAA_4[[#This Row],[Actividad3]])),"Económico",IF(ISNUMBER(SEARCH("alim",PAA_4[[#This Row],[Actividad3]])),"Alimentación",IF(ISNUMBER(SEARCH("educ",PAA_4[[#This Row],[Actividad3]])),"Educativo","Técnico"))),0)</f>
        <v>0</v>
      </c>
      <c r="AI162" s="47" t="e" cm="1">
        <f t="array" aca="1" ref="AI162" ca="1">_xlfn.XLOOKUP(PAA_4[[#This Row],[RCP-RUBRO]],[2]!COMPROMISOS_2024[[#All],[concatenado]],[2]!COMPROMISOS_2024[[#All],[Total pagado]],"",0)</f>
        <v>#NAME?</v>
      </c>
      <c r="AJ162" s="56">
        <f>IF(PAA_4[[#This Row],[BOLSA]]=0,0,SUMIFS([2]!COMPROMISOS_2024[[#All],[Total pagado]],[2]!COMPROMISOS_2024[[#All],[Bolsa]],PAA_4[[#This Row],[BOLSA]],[2]!COMPROMISOS_2024[[#All],[rubro]],PAA_4[[#This Row],[RCP-RUBRO]]))</f>
        <v>0</v>
      </c>
      <c r="AK162" s="47" t="e" cm="1">
        <f t="array" aca="1" ref="AK162" ca="1">_xlfn.XLOOKUP(PAA_4[[#This Row],[RCP-RUBRO]],[2]!COMPROMISOS_2024[[#All],[concatenado]],[2]!COMPROMISOS_2024[[#All],[Total Comprometido]],"",0)</f>
        <v>#NAME?</v>
      </c>
      <c r="AL162" s="47">
        <f>IF(PAA_4[[#This Row],[BOLSA]]=0,0,SUMIFS([2]!COMPROMISOS_2024[[#All],[Total Comprometido]],[2]!COMPROMISOS_2024[[#All],[Bolsa]],PAA_4[[#This Row],[BOLSA]],[2]!COMPROMISOS_2024[[#All],[concatenado]],PAA_4[[#This Row],[RCP-RUBRO]]))</f>
        <v>0</v>
      </c>
    </row>
    <row r="163" spans="1:38" s="19" customFormat="1" ht="31.5" customHeight="1">
      <c r="A163" s="47" t="s">
        <v>82</v>
      </c>
      <c r="B163" s="47" t="s">
        <v>42</v>
      </c>
      <c r="C163" s="47" t="str">
        <f>VLOOKUP(PAA_4[[#This Row],[PROYECTO (formulado)2]],[2]PROYECTOS!$G$1:$L$32,6,0)</f>
        <v>SUBGERENCIA DE FOMENTO Y DESARROLLO</v>
      </c>
      <c r="D163" s="47" t="str">
        <f>+IF(PAA_4[[#This Row],[UNIDAD DE CONTRATACION (formulado)]]="Subgerencia Administrativa y Financiera","FUNCIONAMIENTO","INVERSIÓN")</f>
        <v>INVERSIÓN</v>
      </c>
      <c r="E163" s="48" t="str">
        <f>VLOOKUP(Q163,[2]PROYECTOS!$G$1:$K$32,5,0)</f>
        <v>Fortalecimiento de los juegos deportivos institucionales en los municipios del departamento de Antioquia</v>
      </c>
      <c r="F163" s="48">
        <f>VLOOKUP(E163,[2]PROYECTOS!$K$1:$M$32,3,0)</f>
        <v>2024003050073</v>
      </c>
      <c r="G163" s="49" t="s">
        <v>1353</v>
      </c>
      <c r="H163" s="49" t="str">
        <f>VLOOKUP(Q163,[2]PROYECTOS!$V$1:$W$32,2,0)</f>
        <v>050081</v>
      </c>
      <c r="I163" s="50">
        <v>152540334</v>
      </c>
      <c r="J163" s="51" t="s">
        <v>1354</v>
      </c>
      <c r="K163" s="47" t="str">
        <f ca="1">IF(ISNONTEXT(Y163)=TRUE,"CONTRATADO","NO CONTRATADO")</f>
        <v>CONTRATADO</v>
      </c>
      <c r="L163" s="47" t="s">
        <v>42</v>
      </c>
      <c r="M163" s="47" t="s">
        <v>42</v>
      </c>
      <c r="N163" s="52" t="s">
        <v>1355</v>
      </c>
      <c r="O163" s="51" t="e">
        <f>VLOOKUP(N163,[2]!RUBROS[#All],3,0)</f>
        <v>#REF!</v>
      </c>
      <c r="P163" s="53" t="e">
        <f>VLOOKUP(N163,[2]!RUBROS[#All],2,0)</f>
        <v>#REF!</v>
      </c>
      <c r="Q163" s="47" t="str">
        <f>+MID(N163,11,2)</f>
        <v>73</v>
      </c>
      <c r="R163" s="47" t="str">
        <f t="shared" si="51"/>
        <v>0-492231</v>
      </c>
      <c r="S163" s="54" t="s">
        <v>42</v>
      </c>
      <c r="T163" s="59" t="s">
        <v>42</v>
      </c>
      <c r="U163" s="326" t="e">
        <f ca="1">_xlfn.XLOOKUP(PAA_4[[#This Row],[ITEM]],[2]Contrato!A:A,[2]Contrato!Q:Q,"",0)</f>
        <v>#NAME?</v>
      </c>
      <c r="V163" s="47" t="s">
        <v>95</v>
      </c>
      <c r="W163" s="47" t="s">
        <v>42</v>
      </c>
      <c r="X163" s="47" t="s">
        <v>42</v>
      </c>
      <c r="Y163" s="55" t="e">
        <f ca="1">_xlfn.XLOOKUP(PAA_4[[#This Row],[ITEM]],[2]Contrato!A:A,[2]Contrato!B:B,"",0)</f>
        <v>#NAME?</v>
      </c>
      <c r="Z163" s="47" t="e">
        <f ca="1">_xlfn.XLOOKUP(PAA_4[[#This Row],[ITEM]],[2]Contrato!A:A,[2]Contrato!G:G,"",0)</f>
        <v>#NAME?</v>
      </c>
      <c r="AA163" s="47" t="e">
        <f ca="1">_xlfn.XLOOKUP(PAA_4[[#This Row],[ITEM]],[2]Contrato!A:A,[2]Contrato!T:T,"",0)</f>
        <v>#NAME?</v>
      </c>
      <c r="AB163" s="55" t="e">
        <f ca="1">+MAX(PAA_4[[#This Row],[Comprometido Contrato]],PAA_4[[#This Row],[Comprometido Bolsa]])</f>
        <v>#NAME?</v>
      </c>
      <c r="AC163" s="55" t="str">
        <f ca="1">IFERROR(I163-AB163,"")</f>
        <v/>
      </c>
      <c r="AD163" s="55" t="e">
        <f ca="1">IF(PAA_4[[#This Row],[ESTADO (formulado)]]="NO CONTRATADO",0,MAX(PAA_4[[#This Row],[Pago por Contrato]],PAA_4[[#This Row],[Pago por bolsa]]))</f>
        <v>#NAME?</v>
      </c>
      <c r="AE163" s="55" t="str">
        <f ca="1">+IFERROR(AB163-AD163,"")</f>
        <v/>
      </c>
      <c r="AF163" s="47" t="e">
        <f ca="1">+CONCATENATE(AA163,N163)</f>
        <v>#NAME?</v>
      </c>
      <c r="AG163" s="47">
        <f>IFERROR(_xlfn.NUMBERVALUE(MID(G163,1,8)),"")</f>
        <v>52010703</v>
      </c>
      <c r="AH163" s="54">
        <f>IF(Q163="22",IF(ISNUMBER(SEARCH("econ",PAA_4[[#This Row],[Actividad3]])),"Económico",IF(ISNUMBER(SEARCH("alim",PAA_4[[#This Row],[Actividad3]])),"Alimentación",IF(ISNUMBER(SEARCH("educ",PAA_4[[#This Row],[Actividad3]])),"Educativo","Técnico"))),0)</f>
        <v>0</v>
      </c>
      <c r="AI163" s="47" t="e" cm="1">
        <f t="array" aca="1" ref="AI163" ca="1">_xlfn.XLOOKUP(PAA_4[[#This Row],[RCP-RUBRO]],[2]!COMPROMISOS_2024[[#All],[concatenado]],[2]!COMPROMISOS_2024[[#All],[Total pagado]],"",0)</f>
        <v>#NAME?</v>
      </c>
      <c r="AJ163" s="56">
        <f>IF(PAA_4[[#This Row],[BOLSA]]=0,0,SUMIFS([2]!COMPROMISOS_2024[[#All],[Total pagado]],[2]!COMPROMISOS_2024[[#All],[Bolsa]],PAA_4[[#This Row],[BOLSA]],[2]!COMPROMISOS_2024[[#All],[rubro]],PAA_4[[#This Row],[RCP-RUBRO]]))</f>
        <v>0</v>
      </c>
      <c r="AK163" s="47" t="e" cm="1">
        <f t="array" aca="1" ref="AK163" ca="1">_xlfn.XLOOKUP(PAA_4[[#This Row],[RCP-RUBRO]],[2]!COMPROMISOS_2024[[#All],[concatenado]],[2]!COMPROMISOS_2024[[#All],[Total Comprometido]],"",0)</f>
        <v>#NAME?</v>
      </c>
      <c r="AL163" s="47">
        <f>IF(PAA_4[[#This Row],[BOLSA]]=0,0,SUMIFS([2]!COMPROMISOS_2024[[#All],[Total Comprometido]],[2]!COMPROMISOS_2024[[#All],[Bolsa]],PAA_4[[#This Row],[BOLSA]],[2]!COMPROMISOS_2024[[#All],[concatenado]],PAA_4[[#This Row],[RCP-RUBRO]]))</f>
        <v>0</v>
      </c>
    </row>
    <row r="164" spans="1:38" s="19" customFormat="1" ht="31.5" customHeight="1">
      <c r="A164" s="47">
        <v>1313</v>
      </c>
      <c r="B164" s="51" t="s">
        <v>393</v>
      </c>
      <c r="C164" s="47" t="str">
        <f>VLOOKUP(PAA_4[[#This Row],[PROYECTO (formulado)2]],[2]PROYECTOS!$G$1:$L$32,6,0)</f>
        <v>SUBGERENCIA DE FOMENTO Y DESARROLLO</v>
      </c>
      <c r="D164" s="47" t="str">
        <f>+IF(PAA_4[[#This Row],[UNIDAD DE CONTRATACION (formulado)]]="Subgerencia Administrativa y Financiera","FUNCIONAMIENTO","INVERSIÓN")</f>
        <v>INVERSIÓN</v>
      </c>
      <c r="E164" s="48" t="str">
        <f>VLOOKUP(Q164,[2]PROYECTOS!$G$1:$K$32,5,0)</f>
        <v>Fortalecimiento de los juegos deportivos institucionales en los municipios del departamento de Antioquia</v>
      </c>
      <c r="F164" s="48">
        <f>VLOOKUP(E164,[2]PROYECTOS!$K$1:$M$32,3,0)</f>
        <v>2024003050073</v>
      </c>
      <c r="G164" s="49" t="s">
        <v>1353</v>
      </c>
      <c r="H164" s="49" t="str">
        <f>VLOOKUP(Q164,[2]PROYECTOS!$V$1:$W$32,2,0)</f>
        <v>050081</v>
      </c>
      <c r="I164" s="50">
        <f>1485438442-152540334</f>
        <v>1332898108</v>
      </c>
      <c r="J164" s="51" t="s">
        <v>1356</v>
      </c>
      <c r="K164" s="47" t="str">
        <f t="shared" ref="K164:K166" ca="1" si="56">IF(ISNONTEXT(Y164)=TRUE,"CONTRATADO","NO CONTRATADO")</f>
        <v>CONTRATADO</v>
      </c>
      <c r="L164" s="47" t="s">
        <v>94</v>
      </c>
      <c r="M164" s="47" t="s">
        <v>255</v>
      </c>
      <c r="N164" s="52" t="s">
        <v>1355</v>
      </c>
      <c r="O164" s="51" t="e">
        <f>VLOOKUP(N164,[2]!RUBROS[#All],3,0)</f>
        <v>#REF!</v>
      </c>
      <c r="P164" s="53" t="e">
        <f>VLOOKUP(N164,[2]!RUBROS[#All],2,0)</f>
        <v>#REF!</v>
      </c>
      <c r="Q164" s="47" t="str">
        <f t="shared" ref="Q164:Q166" si="57">+MID(N164,11,2)</f>
        <v>73</v>
      </c>
      <c r="R164" s="47" t="str">
        <f t="shared" si="51"/>
        <v>0-492231</v>
      </c>
      <c r="S164" s="54">
        <v>1</v>
      </c>
      <c r="T164" s="59" t="s">
        <v>46</v>
      </c>
      <c r="U164" s="326" t="e">
        <f ca="1">_xlfn.XLOOKUP(PAA_4[[#This Row],[ITEM]],[2]Contrato!A:A,[2]Contrato!Q:Q,"",0)</f>
        <v>#NAME?</v>
      </c>
      <c r="V164" s="47" t="s">
        <v>95</v>
      </c>
      <c r="W164" s="47" t="s">
        <v>200</v>
      </c>
      <c r="X164" s="47" t="s">
        <v>200</v>
      </c>
      <c r="Y164" s="55" t="e">
        <f ca="1">_xlfn.XLOOKUP(PAA_4[[#This Row],[ITEM]],[2]Contrato!A:A,[2]Contrato!B:B,"",0)</f>
        <v>#NAME?</v>
      </c>
      <c r="Z164" s="47" t="e">
        <f ca="1">_xlfn.XLOOKUP(PAA_4[[#This Row],[ITEM]],[2]Contrato!A:A,[2]Contrato!G:G,"",0)</f>
        <v>#NAME?</v>
      </c>
      <c r="AA164" s="47" t="e">
        <f ca="1">_xlfn.XLOOKUP(PAA_4[[#This Row],[ITEM]],[2]Contrato!A:A,[2]Contrato!T:T,"",0)</f>
        <v>#NAME?</v>
      </c>
      <c r="AB164" s="55" t="e">
        <f ca="1">+MAX(PAA_4[[#This Row],[Comprometido Contrato]],PAA_4[[#This Row],[Comprometido Bolsa]])</f>
        <v>#NAME?</v>
      </c>
      <c r="AC164" s="55" t="str">
        <f t="shared" ref="AC164:AC166" ca="1" si="58">IFERROR(I164-AB164,"")</f>
        <v/>
      </c>
      <c r="AD164" s="55" t="e">
        <f ca="1">IF(PAA_4[[#This Row],[ESTADO (formulado)]]="NO CONTRATADO",0,MAX(PAA_4[[#This Row],[Pago por Contrato]],PAA_4[[#This Row],[Pago por bolsa]]))</f>
        <v>#NAME?</v>
      </c>
      <c r="AE164" s="55" t="str">
        <f t="shared" ref="AE164:AE166" ca="1" si="59">+IFERROR(AB164-AD164,"")</f>
        <v/>
      </c>
      <c r="AF164" s="47" t="e">
        <f t="shared" ref="AF164:AF166" ca="1" si="60">+CONCATENATE(AA164,N164)</f>
        <v>#NAME?</v>
      </c>
      <c r="AG164" s="47">
        <f t="shared" ref="AG164:AG166" si="61">IFERROR(_xlfn.NUMBERVALUE(MID(G164,1,8)),"")</f>
        <v>52010703</v>
      </c>
      <c r="AH164" s="54">
        <f>IF(Q164="22",IF(ISNUMBER(SEARCH("econ",PAA_4[[#This Row],[Actividad3]])),"Económico",IF(ISNUMBER(SEARCH("alim",PAA_4[[#This Row],[Actividad3]])),"Alimentación",IF(ISNUMBER(SEARCH("educ",PAA_4[[#This Row],[Actividad3]])),"Educativo","Técnico"))),0)</f>
        <v>0</v>
      </c>
      <c r="AI164" s="47" t="e" cm="1">
        <f t="array" aca="1" ref="AI164" ca="1">_xlfn.XLOOKUP(PAA_4[[#This Row],[RCP-RUBRO]],[2]!COMPROMISOS_2024[[#All],[concatenado]],[2]!COMPROMISOS_2024[[#All],[Total pagado]],"",0)</f>
        <v>#NAME?</v>
      </c>
      <c r="AJ164" s="56">
        <f>IF(PAA_4[[#This Row],[BOLSA]]=0,0,SUMIFS([2]!COMPROMISOS_2024[[#All],[Total pagado]],[2]!COMPROMISOS_2024[[#All],[Bolsa]],PAA_4[[#This Row],[BOLSA]],[2]!COMPROMISOS_2024[[#All],[rubro]],PAA_4[[#This Row],[RCP-RUBRO]]))</f>
        <v>0</v>
      </c>
      <c r="AK164" s="47" t="e" cm="1">
        <f t="array" aca="1" ref="AK164" ca="1">_xlfn.XLOOKUP(PAA_4[[#This Row],[RCP-RUBRO]],[2]!COMPROMISOS_2024[[#All],[concatenado]],[2]!COMPROMISOS_2024[[#All],[Total Comprometido]],"",0)</f>
        <v>#NAME?</v>
      </c>
      <c r="AL164" s="47">
        <f>IF(PAA_4[[#This Row],[BOLSA]]=0,0,SUMIFS([2]!COMPROMISOS_2024[[#All],[Total Comprometido]],[2]!COMPROMISOS_2024[[#All],[Bolsa]],PAA_4[[#This Row],[BOLSA]],[2]!COMPROMISOS_2024[[#All],[concatenado]],PAA_4[[#This Row],[RCP-RUBRO]]))</f>
        <v>0</v>
      </c>
    </row>
    <row r="165" spans="1:38" s="19" customFormat="1" ht="31.5" customHeight="1">
      <c r="A165" s="47">
        <v>1313</v>
      </c>
      <c r="B165" s="51" t="s">
        <v>393</v>
      </c>
      <c r="C165" s="47" t="str">
        <f>VLOOKUP(PAA_4[[#This Row],[PROYECTO (formulado)2]],[2]PROYECTOS!$G$1:$L$32,6,0)</f>
        <v>SUBGERENCIA DE FOMENTO Y DESARROLLO</v>
      </c>
      <c r="D165" s="47" t="str">
        <f>+IF(PAA_4[[#This Row],[UNIDAD DE CONTRATACION (formulado)]]="Subgerencia Administrativa y Financiera","FUNCIONAMIENTO","INVERSIÓN")</f>
        <v>INVERSIÓN</v>
      </c>
      <c r="E165" s="48" t="str">
        <f>VLOOKUP(Q165,[2]PROYECTOS!$G$1:$K$32,5,0)</f>
        <v>Fortalecimiento de los juegos deportivos institucionales en los municipios del departamento de Antioquia</v>
      </c>
      <c r="F165" s="48">
        <f>VLOOKUP(E165,[2]PROYECTOS!$K$1:$M$32,3,0)</f>
        <v>2024003050073</v>
      </c>
      <c r="G165" s="49" t="s">
        <v>1353</v>
      </c>
      <c r="H165" s="49" t="str">
        <f>VLOOKUP(Q165,[2]PROYECTOS!$V$1:$W$32,2,0)</f>
        <v>050081</v>
      </c>
      <c r="I165" s="50">
        <v>990805030</v>
      </c>
      <c r="J165" s="51" t="s">
        <v>1356</v>
      </c>
      <c r="K165" s="47" t="str">
        <f t="shared" ca="1" si="56"/>
        <v>CONTRATADO</v>
      </c>
      <c r="L165" s="47" t="s">
        <v>94</v>
      </c>
      <c r="M165" s="47" t="s">
        <v>255</v>
      </c>
      <c r="N165" s="52" t="s">
        <v>1357</v>
      </c>
      <c r="O165" s="51" t="e">
        <f>VLOOKUP(N165,[2]!RUBROS[#All],3,0)</f>
        <v>#REF!</v>
      </c>
      <c r="P165" s="53" t="e">
        <f>VLOOKUP(N165,[2]!RUBROS[#All],2,0)</f>
        <v>#REF!</v>
      </c>
      <c r="Q165" s="47" t="str">
        <f t="shared" si="57"/>
        <v>73</v>
      </c>
      <c r="R165" s="47" t="str">
        <f t="shared" si="51"/>
        <v>0-205128</v>
      </c>
      <c r="S165" s="54">
        <v>1</v>
      </c>
      <c r="T165" s="59" t="s">
        <v>46</v>
      </c>
      <c r="U165" s="326" t="e">
        <f ca="1">_xlfn.XLOOKUP(PAA_4[[#This Row],[ITEM]],[2]Contrato!A:A,[2]Contrato!Q:Q,"",0)</f>
        <v>#NAME?</v>
      </c>
      <c r="V165" s="47" t="s">
        <v>95</v>
      </c>
      <c r="W165" s="47" t="s">
        <v>200</v>
      </c>
      <c r="X165" s="47" t="s">
        <v>200</v>
      </c>
      <c r="Y165" s="55" t="e">
        <f ca="1">_xlfn.XLOOKUP(PAA_4[[#This Row],[ITEM]],[2]Contrato!A:A,[2]Contrato!B:B,"",0)</f>
        <v>#NAME?</v>
      </c>
      <c r="Z165" s="47" t="e">
        <f ca="1">_xlfn.XLOOKUP(PAA_4[[#This Row],[ITEM]],[2]Contrato!A:A,[2]Contrato!G:G,"",0)</f>
        <v>#NAME?</v>
      </c>
      <c r="AA165" s="47" t="e">
        <f ca="1">_xlfn.XLOOKUP(PAA_4[[#This Row],[ITEM]],[2]Contrato!A:A,[2]Contrato!T:T,"",0)</f>
        <v>#NAME?</v>
      </c>
      <c r="AB165" s="55" t="e">
        <f ca="1">+MAX(PAA_4[[#This Row],[Comprometido Contrato]],PAA_4[[#This Row],[Comprometido Bolsa]])</f>
        <v>#NAME?</v>
      </c>
      <c r="AC165" s="55" t="str">
        <f t="shared" ca="1" si="58"/>
        <v/>
      </c>
      <c r="AD165" s="55" t="e">
        <f ca="1">IF(PAA_4[[#This Row],[ESTADO (formulado)]]="NO CONTRATADO",0,MAX(PAA_4[[#This Row],[Pago por Contrato]],PAA_4[[#This Row],[Pago por bolsa]]))</f>
        <v>#NAME?</v>
      </c>
      <c r="AE165" s="55" t="str">
        <f t="shared" ca="1" si="59"/>
        <v/>
      </c>
      <c r="AF165" s="47" t="e">
        <f t="shared" ca="1" si="60"/>
        <v>#NAME?</v>
      </c>
      <c r="AG165" s="47">
        <f t="shared" si="61"/>
        <v>52010703</v>
      </c>
      <c r="AH165" s="54">
        <f>IF(Q165="22",IF(ISNUMBER(SEARCH("econ",PAA_4[[#This Row],[Actividad3]])),"Económico",IF(ISNUMBER(SEARCH("alim",PAA_4[[#This Row],[Actividad3]])),"Alimentación",IF(ISNUMBER(SEARCH("educ",PAA_4[[#This Row],[Actividad3]])),"Educativo","Técnico"))),0)</f>
        <v>0</v>
      </c>
      <c r="AI165" s="47" t="e" cm="1">
        <f t="array" aca="1" ref="AI165" ca="1">_xlfn.XLOOKUP(PAA_4[[#This Row],[RCP-RUBRO]],[2]!COMPROMISOS_2024[[#All],[concatenado]],[2]!COMPROMISOS_2024[[#All],[Total pagado]],"",0)</f>
        <v>#NAME?</v>
      </c>
      <c r="AJ165" s="56">
        <f>IF(PAA_4[[#This Row],[BOLSA]]=0,0,SUMIFS([2]!COMPROMISOS_2024[[#All],[Total pagado]],[2]!COMPROMISOS_2024[[#All],[Bolsa]],PAA_4[[#This Row],[BOLSA]],[2]!COMPROMISOS_2024[[#All],[rubro]],PAA_4[[#This Row],[RCP-RUBRO]]))</f>
        <v>0</v>
      </c>
      <c r="AK165" s="47" t="e" cm="1">
        <f t="array" aca="1" ref="AK165" ca="1">_xlfn.XLOOKUP(PAA_4[[#This Row],[RCP-RUBRO]],[2]!COMPROMISOS_2024[[#All],[concatenado]],[2]!COMPROMISOS_2024[[#All],[Total Comprometido]],"",0)</f>
        <v>#NAME?</v>
      </c>
      <c r="AL165" s="47">
        <f>IF(PAA_4[[#This Row],[BOLSA]]=0,0,SUMIFS([2]!COMPROMISOS_2024[[#All],[Total Comprometido]],[2]!COMPROMISOS_2024[[#All],[Bolsa]],PAA_4[[#This Row],[BOLSA]],[2]!COMPROMISOS_2024[[#All],[concatenado]],PAA_4[[#This Row],[RCP-RUBRO]]))</f>
        <v>0</v>
      </c>
    </row>
    <row r="166" spans="1:38" s="19" customFormat="1" ht="31.5" customHeight="1">
      <c r="A166" s="47">
        <v>1313</v>
      </c>
      <c r="B166" s="51" t="s">
        <v>393</v>
      </c>
      <c r="C166" s="47" t="str">
        <f>VLOOKUP(PAA_4[[#This Row],[PROYECTO (formulado)2]],[2]PROYECTOS!$G$1:$L$32,6,0)</f>
        <v>SUBGERENCIA DE FOMENTO Y DESARROLLO</v>
      </c>
      <c r="D166" s="47" t="str">
        <f>+IF(PAA_4[[#This Row],[UNIDAD DE CONTRATACION (formulado)]]="Subgerencia Administrativa y Financiera","FUNCIONAMIENTO","INVERSIÓN")</f>
        <v>INVERSIÓN</v>
      </c>
      <c r="E166" s="48" t="str">
        <f>VLOOKUP(Q166,[2]PROYECTOS!$G$1:$K$32,5,0)</f>
        <v>Desarrollo y promoción del deporte formativo, la recreación y la actividad física en el departamento Antioquia</v>
      </c>
      <c r="F166" s="48">
        <f>VLOOKUP(E166,[2]PROYECTOS!$K$1:$M$32,3,0)</f>
        <v>2024003050101</v>
      </c>
      <c r="G166" s="49" t="s">
        <v>1358</v>
      </c>
      <c r="H166" s="49" t="str">
        <f>VLOOKUP(Q166,[2]PROYECTOS!$V$1:$W$32,2,0)</f>
        <v>050075</v>
      </c>
      <c r="I166" s="50">
        <v>90000000</v>
      </c>
      <c r="J166" s="51" t="s">
        <v>1356</v>
      </c>
      <c r="K166" s="47" t="str">
        <f t="shared" ca="1" si="56"/>
        <v>CONTRATADO</v>
      </c>
      <c r="L166" s="47" t="s">
        <v>94</v>
      </c>
      <c r="M166" s="47" t="s">
        <v>255</v>
      </c>
      <c r="N166" s="52" t="s">
        <v>1359</v>
      </c>
      <c r="O166" s="51" t="e">
        <f>VLOOKUP(N166,[2]!RUBROS[#All],3,0)</f>
        <v>#REF!</v>
      </c>
      <c r="P166" s="53" t="e">
        <f>VLOOKUP(N166,[2]!RUBROS[#All],2,0)</f>
        <v>#REF!</v>
      </c>
      <c r="Q166" s="47" t="str">
        <f t="shared" si="57"/>
        <v>01</v>
      </c>
      <c r="R166" s="47" t="str">
        <f t="shared" si="51"/>
        <v>0-101024</v>
      </c>
      <c r="S166" s="54">
        <v>1</v>
      </c>
      <c r="T166" s="59" t="s">
        <v>46</v>
      </c>
      <c r="U166" s="326" t="e">
        <f ca="1">_xlfn.XLOOKUP(PAA_4[[#This Row],[ITEM]],[2]Contrato!A:A,[2]Contrato!Q:Q,"",0)</f>
        <v>#NAME?</v>
      </c>
      <c r="V166" s="47" t="s">
        <v>95</v>
      </c>
      <c r="W166" s="47" t="s">
        <v>200</v>
      </c>
      <c r="X166" s="47" t="s">
        <v>200</v>
      </c>
      <c r="Y166" s="55" t="e">
        <f ca="1">_xlfn.XLOOKUP(PAA_4[[#This Row],[ITEM]],[2]Contrato!A:A,[2]Contrato!B:B,"",0)</f>
        <v>#NAME?</v>
      </c>
      <c r="Z166" s="47" t="e">
        <f ca="1">_xlfn.XLOOKUP(PAA_4[[#This Row],[ITEM]],[2]Contrato!A:A,[2]Contrato!G:G,"",0)</f>
        <v>#NAME?</v>
      </c>
      <c r="AA166" s="47" t="e">
        <f ca="1">_xlfn.XLOOKUP(PAA_4[[#This Row],[ITEM]],[2]Contrato!A:A,[2]Contrato!T:T,"",0)</f>
        <v>#NAME?</v>
      </c>
      <c r="AB166" s="55" t="e">
        <f ca="1">+MAX(PAA_4[[#This Row],[Comprometido Contrato]],PAA_4[[#This Row],[Comprometido Bolsa]])</f>
        <v>#NAME?</v>
      </c>
      <c r="AC166" s="55" t="str">
        <f t="shared" ca="1" si="58"/>
        <v/>
      </c>
      <c r="AD166" s="55" t="e">
        <f ca="1">IF(PAA_4[[#This Row],[ESTADO (formulado)]]="NO CONTRATADO",0,MAX(PAA_4[[#This Row],[Pago por Contrato]],PAA_4[[#This Row],[Pago por bolsa]]))</f>
        <v>#NAME?</v>
      </c>
      <c r="AE166" s="55" t="str">
        <f t="shared" ca="1" si="59"/>
        <v/>
      </c>
      <c r="AF166" s="47" t="e">
        <f t="shared" ca="1" si="60"/>
        <v>#NAME?</v>
      </c>
      <c r="AG166" s="47">
        <f t="shared" si="61"/>
        <v>52010702</v>
      </c>
      <c r="AH166" s="54">
        <f>IF(Q166="22",IF(ISNUMBER(SEARCH("econ",PAA_4[[#This Row],[Actividad3]])),"Económico",IF(ISNUMBER(SEARCH("alim",PAA_4[[#This Row],[Actividad3]])),"Alimentación",IF(ISNUMBER(SEARCH("educ",PAA_4[[#This Row],[Actividad3]])),"Educativo","Técnico"))),0)</f>
        <v>0</v>
      </c>
      <c r="AI166" s="47" t="e" cm="1">
        <f t="array" aca="1" ref="AI166" ca="1">_xlfn.XLOOKUP(PAA_4[[#This Row],[RCP-RUBRO]],[2]!COMPROMISOS_2024[[#All],[concatenado]],[2]!COMPROMISOS_2024[[#All],[Total pagado]],"",0)</f>
        <v>#NAME?</v>
      </c>
      <c r="AJ166" s="56">
        <f>IF(PAA_4[[#This Row],[BOLSA]]=0,0,SUMIFS([2]!COMPROMISOS_2024[[#All],[Total pagado]],[2]!COMPROMISOS_2024[[#All],[Bolsa]],PAA_4[[#This Row],[BOLSA]],[2]!COMPROMISOS_2024[[#All],[rubro]],PAA_4[[#This Row],[RCP-RUBRO]]))</f>
        <v>0</v>
      </c>
      <c r="AK166" s="47" t="e" cm="1">
        <f t="array" aca="1" ref="AK166" ca="1">_xlfn.XLOOKUP(PAA_4[[#This Row],[RCP-RUBRO]],[2]!COMPROMISOS_2024[[#All],[concatenado]],[2]!COMPROMISOS_2024[[#All],[Total Comprometido]],"",0)</f>
        <v>#NAME?</v>
      </c>
      <c r="AL166" s="47">
        <f>IF(PAA_4[[#This Row],[BOLSA]]=0,0,SUMIFS([2]!COMPROMISOS_2024[[#All],[Total Comprometido]],[2]!COMPROMISOS_2024[[#All],[Bolsa]],PAA_4[[#This Row],[BOLSA]],[2]!COMPROMISOS_2024[[#All],[concatenado]],PAA_4[[#This Row],[RCP-RUBRO]]))</f>
        <v>0</v>
      </c>
    </row>
    <row r="167" spans="1:38" s="19" customFormat="1" ht="31.5" customHeight="1">
      <c r="A167" s="47" t="s">
        <v>82</v>
      </c>
      <c r="B167" s="51" t="s">
        <v>42</v>
      </c>
      <c r="C167" s="47" t="str">
        <f>VLOOKUP(PAA_4[[#This Row],[PROYECTO (formulado)2]],[2]PROYECTOS!$G$1:$L$32,6,0)</f>
        <v>SUBGERENCIA DE FOMENTO Y DESARROLLO</v>
      </c>
      <c r="D167" s="47" t="str">
        <f>+IF(PAA_4[[#This Row],[UNIDAD DE CONTRATACION (formulado)]]="Subgerencia Administrativa y Financiera","FUNCIONAMIENTO","INVERSIÓN")</f>
        <v>INVERSIÓN</v>
      </c>
      <c r="E167" s="48" t="str">
        <f>VLOOKUP(Q167,[2]PROYECTOS!$G$1:$K$32,5,0)</f>
        <v>Fortalecimiento de los juegos deportivos institucionales en los municipios del departamento de Antioquia</v>
      </c>
      <c r="F167" s="48">
        <f>VLOOKUP(E167,[2]PROYECTOS!$K$1:$M$32,3,0)</f>
        <v>2024003050073</v>
      </c>
      <c r="G167" s="49" t="s">
        <v>1353</v>
      </c>
      <c r="H167" s="49" t="str">
        <f>VLOOKUP(Q167,[2]PROYECTOS!$V$1:$W$32,2,0)</f>
        <v>050081</v>
      </c>
      <c r="I167" s="50">
        <v>11258084</v>
      </c>
      <c r="J167" s="51" t="s">
        <v>1360</v>
      </c>
      <c r="K167" s="47" t="str">
        <f ca="1">IF(ISNONTEXT(Y167)=TRUE,"CONTRATADO","NO CONTRATADO")</f>
        <v>CONTRATADO</v>
      </c>
      <c r="L167" s="47" t="s">
        <v>42</v>
      </c>
      <c r="M167" s="47" t="s">
        <v>42</v>
      </c>
      <c r="N167" s="52" t="s">
        <v>1355</v>
      </c>
      <c r="O167" s="51" t="e">
        <f>VLOOKUP(N167,[2]!RUBROS[#All],3,0)</f>
        <v>#REF!</v>
      </c>
      <c r="P167" s="53" t="e">
        <f>VLOOKUP(N167,[2]!RUBROS[#All],2,0)</f>
        <v>#REF!</v>
      </c>
      <c r="Q167" s="47" t="str">
        <f>+MID(N167,11,2)</f>
        <v>73</v>
      </c>
      <c r="R167" s="47" t="str">
        <f t="shared" si="51"/>
        <v>0-492231</v>
      </c>
      <c r="S167" s="54" t="s">
        <v>42</v>
      </c>
      <c r="T167" s="59" t="s">
        <v>42</v>
      </c>
      <c r="U167" s="326" t="e">
        <f ca="1">_xlfn.XLOOKUP(PAA_4[[#This Row],[ITEM]],[2]Contrato!A:A,[2]Contrato!Q:Q,"",0)</f>
        <v>#NAME?</v>
      </c>
      <c r="V167" s="47" t="s">
        <v>95</v>
      </c>
      <c r="W167" s="47" t="s">
        <v>42</v>
      </c>
      <c r="X167" s="47" t="s">
        <v>42</v>
      </c>
      <c r="Y167" s="55" t="e">
        <f ca="1">_xlfn.XLOOKUP(PAA_4[[#This Row],[ITEM]],[2]Contrato!A:A,[2]Contrato!B:B,"",0)</f>
        <v>#NAME?</v>
      </c>
      <c r="Z167" s="47" t="e">
        <f ca="1">_xlfn.XLOOKUP(PAA_4[[#This Row],[ITEM]],[2]Contrato!A:A,[2]Contrato!G:G,"",0)</f>
        <v>#NAME?</v>
      </c>
      <c r="AA167" s="47" t="e">
        <f ca="1">_xlfn.XLOOKUP(PAA_4[[#This Row],[ITEM]],[2]Contrato!A:A,[2]Contrato!T:T,"",0)</f>
        <v>#NAME?</v>
      </c>
      <c r="AB167" s="55" t="e">
        <f ca="1">+MAX(PAA_4[[#This Row],[Comprometido Contrato]],PAA_4[[#This Row],[Comprometido Bolsa]])</f>
        <v>#NAME?</v>
      </c>
      <c r="AC167" s="55" t="str">
        <f ca="1">IFERROR(I167-AB167,"")</f>
        <v/>
      </c>
      <c r="AD167" s="55" t="e">
        <f ca="1">IF(PAA_4[[#This Row],[ESTADO (formulado)]]="NO CONTRATADO",0,MAX(PAA_4[[#This Row],[Pago por Contrato]],PAA_4[[#This Row],[Pago por bolsa]]))</f>
        <v>#NAME?</v>
      </c>
      <c r="AE167" s="55" t="str">
        <f ca="1">+IFERROR(AB167-AD167,"")</f>
        <v/>
      </c>
      <c r="AF167" s="47" t="e">
        <f ca="1">+CONCATENATE(AA167,N167)</f>
        <v>#NAME?</v>
      </c>
      <c r="AG167" s="47">
        <f>IFERROR(_xlfn.NUMBERVALUE(MID(G167,1,8)),"")</f>
        <v>52010703</v>
      </c>
      <c r="AH167" s="54">
        <f>IF(Q167="22",IF(ISNUMBER(SEARCH("econ",PAA_4[[#This Row],[Actividad3]])),"Económico",IF(ISNUMBER(SEARCH("alim",PAA_4[[#This Row],[Actividad3]])),"Alimentación",IF(ISNUMBER(SEARCH("educ",PAA_4[[#This Row],[Actividad3]])),"Educativo","Técnico"))),0)</f>
        <v>0</v>
      </c>
      <c r="AI167" s="47" t="e" cm="1">
        <f t="array" aca="1" ref="AI167" ca="1">_xlfn.XLOOKUP(PAA_4[[#This Row],[RCP-RUBRO]],[2]!COMPROMISOS_2024[[#All],[concatenado]],[2]!COMPROMISOS_2024[[#All],[Total pagado]],"",0)</f>
        <v>#NAME?</v>
      </c>
      <c r="AJ167" s="56">
        <f>IF(PAA_4[[#This Row],[BOLSA]]=0,0,SUMIFS([2]!COMPROMISOS_2024[[#All],[Total pagado]],[2]!COMPROMISOS_2024[[#All],[Bolsa]],PAA_4[[#This Row],[BOLSA]],[2]!COMPROMISOS_2024[[#All],[rubro]],PAA_4[[#This Row],[RCP-RUBRO]]))</f>
        <v>0</v>
      </c>
      <c r="AK167" s="47" t="e" cm="1">
        <f t="array" aca="1" ref="AK167" ca="1">_xlfn.XLOOKUP(PAA_4[[#This Row],[RCP-RUBRO]],[2]!COMPROMISOS_2024[[#All],[concatenado]],[2]!COMPROMISOS_2024[[#All],[Total Comprometido]],"",0)</f>
        <v>#NAME?</v>
      </c>
      <c r="AL167" s="47">
        <f>IF(PAA_4[[#This Row],[BOLSA]]=0,0,SUMIFS([2]!COMPROMISOS_2024[[#All],[Total Comprometido]],[2]!COMPROMISOS_2024[[#All],[Bolsa]],PAA_4[[#This Row],[BOLSA]],[2]!COMPROMISOS_2024[[#All],[concatenado]],PAA_4[[#This Row],[RCP-RUBRO]]))</f>
        <v>0</v>
      </c>
    </row>
    <row r="168" spans="1:38" s="19" customFormat="1" ht="31.5" customHeight="1">
      <c r="A168" s="47">
        <v>1314</v>
      </c>
      <c r="B168" s="51" t="s">
        <v>393</v>
      </c>
      <c r="C168" s="47" t="str">
        <f>VLOOKUP(PAA_4[[#This Row],[PROYECTO (formulado)2]],[2]PROYECTOS!$G$1:$L$32,6,0)</f>
        <v>SUBGERENCIA DE FOMENTO Y DESARROLLO</v>
      </c>
      <c r="D168" s="47" t="str">
        <f>+IF(PAA_4[[#This Row],[UNIDAD DE CONTRATACION (formulado)]]="Subgerencia Administrativa y Financiera","FUNCIONAMIENTO","INVERSIÓN")</f>
        <v>INVERSIÓN</v>
      </c>
      <c r="E168" s="48" t="str">
        <f>VLOOKUP(Q168,[2]PROYECTOS!$G$1:$K$32,5,0)</f>
        <v>Fortalecimiento de los juegos deportivos institucionales en los municipios del departamento de Antioquia</v>
      </c>
      <c r="F168" s="48">
        <f>VLOOKUP(E168,[2]PROYECTOS!$K$1:$M$32,3,0)</f>
        <v>2024003050073</v>
      </c>
      <c r="G168" s="49" t="s">
        <v>1353</v>
      </c>
      <c r="H168" s="49" t="str">
        <f>VLOOKUP(Q168,[2]PROYECTOS!$V$1:$W$32,2,0)</f>
        <v>050081</v>
      </c>
      <c r="I168" s="50">
        <f>606940943-16117264</f>
        <v>590823679</v>
      </c>
      <c r="J168" s="51" t="s">
        <v>1361</v>
      </c>
      <c r="K168" s="47" t="str">
        <f t="shared" ref="K168:K180" ca="1" si="62">IF(ISNONTEXT(Y168)=TRUE,"CONTRATADO","NO CONTRATADO")</f>
        <v>CONTRATADO</v>
      </c>
      <c r="L168" s="47" t="s">
        <v>94</v>
      </c>
      <c r="M168" s="47" t="s">
        <v>255</v>
      </c>
      <c r="N168" s="52" t="s">
        <v>1355</v>
      </c>
      <c r="O168" s="51" t="e">
        <f>VLOOKUP(N168,[2]!RUBROS[#All],3,0)</f>
        <v>#REF!</v>
      </c>
      <c r="P168" s="53" t="e">
        <f>VLOOKUP(N168,[2]!RUBROS[#All],2,0)</f>
        <v>#REF!</v>
      </c>
      <c r="Q168" s="47" t="str">
        <f t="shared" ref="Q168:Q180" si="63">+MID(N168,11,2)</f>
        <v>73</v>
      </c>
      <c r="R168" s="47" t="str">
        <f t="shared" si="51"/>
        <v>0-492231</v>
      </c>
      <c r="S168" s="54">
        <v>1</v>
      </c>
      <c r="T168" s="59" t="s">
        <v>46</v>
      </c>
      <c r="U168" s="326" t="e">
        <f ca="1">_xlfn.XLOOKUP(PAA_4[[#This Row],[ITEM]],[2]Contrato!A:A,[2]Contrato!Q:Q,"",0)</f>
        <v>#NAME?</v>
      </c>
      <c r="V168" s="47" t="s">
        <v>95</v>
      </c>
      <c r="W168" s="47" t="s">
        <v>200</v>
      </c>
      <c r="X168" s="47" t="s">
        <v>200</v>
      </c>
      <c r="Y168" s="55" t="e">
        <f ca="1">_xlfn.XLOOKUP(PAA_4[[#This Row],[ITEM]],[2]Contrato!A:A,[2]Contrato!B:B,"",0)</f>
        <v>#NAME?</v>
      </c>
      <c r="Z168" s="47" t="e">
        <f ca="1">_xlfn.XLOOKUP(PAA_4[[#This Row],[ITEM]],[2]Contrato!A:A,[2]Contrato!G:G,"",0)</f>
        <v>#NAME?</v>
      </c>
      <c r="AA168" s="47" t="e">
        <f ca="1">_xlfn.XLOOKUP(PAA_4[[#This Row],[ITEM]],[2]Contrato!A:A,[2]Contrato!T:T,"",0)</f>
        <v>#NAME?</v>
      </c>
      <c r="AB168" s="55" t="e">
        <f ca="1">+MAX(PAA_4[[#This Row],[Comprometido Contrato]],PAA_4[[#This Row],[Comprometido Bolsa]])</f>
        <v>#NAME?</v>
      </c>
      <c r="AC168" s="55" t="str">
        <f t="shared" ref="AC168:AC180" ca="1" si="64">IFERROR(I168-AB168,"")</f>
        <v/>
      </c>
      <c r="AD168" s="55" t="e">
        <f ca="1">IF(PAA_4[[#This Row],[ESTADO (formulado)]]="NO CONTRATADO",0,MAX(PAA_4[[#This Row],[Pago por Contrato]],PAA_4[[#This Row],[Pago por bolsa]]))</f>
        <v>#NAME?</v>
      </c>
      <c r="AE168" s="55" t="str">
        <f t="shared" ref="AE168:AE180" ca="1" si="65">+IFERROR(AB168-AD168,"")</f>
        <v/>
      </c>
      <c r="AF168" s="47" t="e">
        <f t="shared" ref="AF168:AF180" ca="1" si="66">+CONCATENATE(AA168,N168)</f>
        <v>#NAME?</v>
      </c>
      <c r="AG168" s="47">
        <f t="shared" ref="AG168:AG180" si="67">IFERROR(_xlfn.NUMBERVALUE(MID(G168,1,8)),"")</f>
        <v>52010703</v>
      </c>
      <c r="AH168" s="54">
        <f>IF(Q168="22",IF(ISNUMBER(SEARCH("econ",PAA_4[[#This Row],[Actividad3]])),"Económico",IF(ISNUMBER(SEARCH("alim",PAA_4[[#This Row],[Actividad3]])),"Alimentación",IF(ISNUMBER(SEARCH("educ",PAA_4[[#This Row],[Actividad3]])),"Educativo","Técnico"))),0)</f>
        <v>0</v>
      </c>
      <c r="AI168" s="47" t="e" cm="1">
        <f t="array" aca="1" ref="AI168" ca="1">_xlfn.XLOOKUP(PAA_4[[#This Row],[RCP-RUBRO]],[2]!COMPROMISOS_2024[[#All],[concatenado]],[2]!COMPROMISOS_2024[[#All],[Total pagado]],"",0)</f>
        <v>#NAME?</v>
      </c>
      <c r="AJ168" s="56">
        <f>IF(PAA_4[[#This Row],[BOLSA]]=0,0,SUMIFS([2]!COMPROMISOS_2024[[#All],[Total pagado]],[2]!COMPROMISOS_2024[[#All],[Bolsa]],PAA_4[[#This Row],[BOLSA]],[2]!COMPROMISOS_2024[[#All],[rubro]],PAA_4[[#This Row],[RCP-RUBRO]]))</f>
        <v>0</v>
      </c>
      <c r="AK168" s="47" t="e" cm="1">
        <f t="array" aca="1" ref="AK168" ca="1">_xlfn.XLOOKUP(PAA_4[[#This Row],[RCP-RUBRO]],[2]!COMPROMISOS_2024[[#All],[concatenado]],[2]!COMPROMISOS_2024[[#All],[Total Comprometido]],"",0)</f>
        <v>#NAME?</v>
      </c>
      <c r="AL168" s="47">
        <f>IF(PAA_4[[#This Row],[BOLSA]]=0,0,SUMIFS([2]!COMPROMISOS_2024[[#All],[Total Comprometido]],[2]!COMPROMISOS_2024[[#All],[Bolsa]],PAA_4[[#This Row],[BOLSA]],[2]!COMPROMISOS_2024[[#All],[concatenado]],PAA_4[[#This Row],[RCP-RUBRO]]))</f>
        <v>0</v>
      </c>
    </row>
    <row r="169" spans="1:38" s="19" customFormat="1" ht="31.5" customHeight="1">
      <c r="A169" s="47">
        <v>1314</v>
      </c>
      <c r="B169" s="51" t="s">
        <v>393</v>
      </c>
      <c r="C169" s="47" t="str">
        <f>VLOOKUP(PAA_4[[#This Row],[PROYECTO (formulado)2]],[2]PROYECTOS!$G$1:$L$32,6,0)</f>
        <v>SUBGERENCIA DE FOMENTO Y DESARROLLO</v>
      </c>
      <c r="D169" s="47" t="str">
        <f>+IF(PAA_4[[#This Row],[UNIDAD DE CONTRATACION (formulado)]]="Subgerencia Administrativa y Financiera","FUNCIONAMIENTO","INVERSIÓN")</f>
        <v>INVERSIÓN</v>
      </c>
      <c r="E169" s="48" t="str">
        <f>VLOOKUP(Q169,[2]PROYECTOS!$G$1:$K$32,5,0)</f>
        <v>Fortalecimiento de los juegos deportivos institucionales en los municipios del departamento de Antioquia</v>
      </c>
      <c r="F169" s="48">
        <f>VLOOKUP(E169,[2]PROYECTOS!$K$1:$M$32,3,0)</f>
        <v>2024003050073</v>
      </c>
      <c r="G169" s="49" t="s">
        <v>1353</v>
      </c>
      <c r="H169" s="49" t="str">
        <f>VLOOKUP(Q169,[2]PROYECTOS!$V$1:$W$32,2,0)</f>
        <v>050081</v>
      </c>
      <c r="I169" s="50">
        <v>4945778</v>
      </c>
      <c r="J169" s="51" t="s">
        <v>1361</v>
      </c>
      <c r="K169" s="47" t="str">
        <f t="shared" ca="1" si="62"/>
        <v>CONTRATADO</v>
      </c>
      <c r="L169" s="47" t="s">
        <v>94</v>
      </c>
      <c r="M169" s="47" t="s">
        <v>255</v>
      </c>
      <c r="N169" s="52" t="s">
        <v>1362</v>
      </c>
      <c r="O169" s="51" t="e">
        <f>VLOOKUP(N169,[2]!RUBROS[#All],3,0)</f>
        <v>#REF!</v>
      </c>
      <c r="P169" s="53" t="e">
        <f>VLOOKUP(N169,[2]!RUBROS[#All],2,0)</f>
        <v>#REF!</v>
      </c>
      <c r="Q169" s="47" t="str">
        <f t="shared" si="63"/>
        <v>73</v>
      </c>
      <c r="R169" s="47" t="str">
        <f t="shared" si="51"/>
        <v>0-101024</v>
      </c>
      <c r="S169" s="54">
        <v>1</v>
      </c>
      <c r="T169" s="59" t="s">
        <v>46</v>
      </c>
      <c r="U169" s="326" t="e">
        <f ca="1">_xlfn.XLOOKUP(PAA_4[[#This Row],[ITEM]],[2]Contrato!A:A,[2]Contrato!Q:Q,"",0)</f>
        <v>#NAME?</v>
      </c>
      <c r="V169" s="47" t="s">
        <v>95</v>
      </c>
      <c r="W169" s="47" t="s">
        <v>200</v>
      </c>
      <c r="X169" s="47" t="s">
        <v>200</v>
      </c>
      <c r="Y169" s="55" t="e">
        <f ca="1">_xlfn.XLOOKUP(PAA_4[[#This Row],[ITEM]],[2]Contrato!A:A,[2]Contrato!B:B,"",0)</f>
        <v>#NAME?</v>
      </c>
      <c r="Z169" s="47" t="e">
        <f ca="1">_xlfn.XLOOKUP(PAA_4[[#This Row],[ITEM]],[2]Contrato!A:A,[2]Contrato!G:G,"",0)</f>
        <v>#NAME?</v>
      </c>
      <c r="AA169" s="47" t="e">
        <f ca="1">_xlfn.XLOOKUP(PAA_4[[#This Row],[ITEM]],[2]Contrato!A:A,[2]Contrato!T:T,"",0)</f>
        <v>#NAME?</v>
      </c>
      <c r="AB169" s="55" t="e">
        <f ca="1">+MAX(PAA_4[[#This Row],[Comprometido Contrato]],PAA_4[[#This Row],[Comprometido Bolsa]])</f>
        <v>#NAME?</v>
      </c>
      <c r="AC169" s="55" t="str">
        <f t="shared" ca="1" si="64"/>
        <v/>
      </c>
      <c r="AD169" s="55" t="e">
        <f ca="1">IF(PAA_4[[#This Row],[ESTADO (formulado)]]="NO CONTRATADO",0,MAX(PAA_4[[#This Row],[Pago por Contrato]],PAA_4[[#This Row],[Pago por bolsa]]))</f>
        <v>#NAME?</v>
      </c>
      <c r="AE169" s="55" t="str">
        <f t="shared" ca="1" si="65"/>
        <v/>
      </c>
      <c r="AF169" s="47" t="e">
        <f t="shared" ca="1" si="66"/>
        <v>#NAME?</v>
      </c>
      <c r="AG169" s="47">
        <f t="shared" si="67"/>
        <v>52010703</v>
      </c>
      <c r="AH169" s="54">
        <f>IF(Q169="22",IF(ISNUMBER(SEARCH("econ",PAA_4[[#This Row],[Actividad3]])),"Económico",IF(ISNUMBER(SEARCH("alim",PAA_4[[#This Row],[Actividad3]])),"Alimentación",IF(ISNUMBER(SEARCH("educ",PAA_4[[#This Row],[Actividad3]])),"Educativo","Técnico"))),0)</f>
        <v>0</v>
      </c>
      <c r="AI169" s="47" t="e" cm="1">
        <f t="array" aca="1" ref="AI169" ca="1">_xlfn.XLOOKUP(PAA_4[[#This Row],[RCP-RUBRO]],[2]!COMPROMISOS_2024[[#All],[concatenado]],[2]!COMPROMISOS_2024[[#All],[Total pagado]],"",0)</f>
        <v>#NAME?</v>
      </c>
      <c r="AJ169" s="56">
        <f>IF(PAA_4[[#This Row],[BOLSA]]=0,0,SUMIFS([2]!COMPROMISOS_2024[[#All],[Total pagado]],[2]!COMPROMISOS_2024[[#All],[Bolsa]],PAA_4[[#This Row],[BOLSA]],[2]!COMPROMISOS_2024[[#All],[rubro]],PAA_4[[#This Row],[RCP-RUBRO]]))</f>
        <v>0</v>
      </c>
      <c r="AK169" s="47" t="e" cm="1">
        <f t="array" aca="1" ref="AK169" ca="1">_xlfn.XLOOKUP(PAA_4[[#This Row],[RCP-RUBRO]],[2]!COMPROMISOS_2024[[#All],[concatenado]],[2]!COMPROMISOS_2024[[#All],[Total Comprometido]],"",0)</f>
        <v>#NAME?</v>
      </c>
      <c r="AL169" s="47">
        <f>IF(PAA_4[[#This Row],[BOLSA]]=0,0,SUMIFS([2]!COMPROMISOS_2024[[#All],[Total Comprometido]],[2]!COMPROMISOS_2024[[#All],[Bolsa]],PAA_4[[#This Row],[BOLSA]],[2]!COMPROMISOS_2024[[#All],[concatenado]],PAA_4[[#This Row],[RCP-RUBRO]]))</f>
        <v>0</v>
      </c>
    </row>
    <row r="170" spans="1:38" s="19" customFormat="1" ht="31.5" customHeight="1">
      <c r="A170" s="47">
        <v>1314</v>
      </c>
      <c r="B170" s="51" t="s">
        <v>393</v>
      </c>
      <c r="C170" s="47" t="str">
        <f>VLOOKUP(PAA_4[[#This Row],[PROYECTO (formulado)2]],[2]PROYECTOS!$G$1:$L$32,6,0)</f>
        <v>SUBGERENCIA DE FOMENTO Y DESARROLLO</v>
      </c>
      <c r="D170" s="47" t="str">
        <f>+IF(PAA_4[[#This Row],[UNIDAD DE CONTRATACION (formulado)]]="Subgerencia Administrativa y Financiera","FUNCIONAMIENTO","INVERSIÓN")</f>
        <v>INVERSIÓN</v>
      </c>
      <c r="E170" s="48" t="str">
        <f>VLOOKUP(Q170,[2]PROYECTOS!$G$1:$K$32,5,0)</f>
        <v>Fortalecimiento de los juegos deportivos institucionales en los municipios del departamento de Antioquia</v>
      </c>
      <c r="F170" s="48">
        <f>VLOOKUP(E170,[2]PROYECTOS!$K$1:$M$32,3,0)</f>
        <v>2024003050073</v>
      </c>
      <c r="G170" s="49" t="s">
        <v>1353</v>
      </c>
      <c r="H170" s="49" t="str">
        <f>VLOOKUP(Q170,[2]PROYECTOS!$V$1:$W$32,2,0)</f>
        <v>050081</v>
      </c>
      <c r="I170" s="50">
        <v>150077420</v>
      </c>
      <c r="J170" s="51" t="s">
        <v>1361</v>
      </c>
      <c r="K170" s="47" t="str">
        <f t="shared" ca="1" si="62"/>
        <v>CONTRATADO</v>
      </c>
      <c r="L170" s="47" t="s">
        <v>94</v>
      </c>
      <c r="M170" s="47" t="s">
        <v>255</v>
      </c>
      <c r="N170" s="52" t="s">
        <v>1357</v>
      </c>
      <c r="O170" s="51" t="e">
        <f>VLOOKUP(N170,[2]!RUBROS[#All],3,0)</f>
        <v>#REF!</v>
      </c>
      <c r="P170" s="53" t="e">
        <f>VLOOKUP(N170,[2]!RUBROS[#All],2,0)</f>
        <v>#REF!</v>
      </c>
      <c r="Q170" s="47" t="str">
        <f t="shared" si="63"/>
        <v>73</v>
      </c>
      <c r="R170" s="47" t="str">
        <f t="shared" si="51"/>
        <v>0-205128</v>
      </c>
      <c r="S170" s="54">
        <v>1</v>
      </c>
      <c r="T170" s="59" t="s">
        <v>46</v>
      </c>
      <c r="U170" s="326" t="e">
        <f ca="1">_xlfn.XLOOKUP(PAA_4[[#This Row],[ITEM]],[2]Contrato!A:A,[2]Contrato!Q:Q,"",0)</f>
        <v>#NAME?</v>
      </c>
      <c r="V170" s="47" t="s">
        <v>95</v>
      </c>
      <c r="W170" s="47" t="s">
        <v>200</v>
      </c>
      <c r="X170" s="47" t="s">
        <v>200</v>
      </c>
      <c r="Y170" s="55" t="e">
        <f ca="1">_xlfn.XLOOKUP(PAA_4[[#This Row],[ITEM]],[2]Contrato!A:A,[2]Contrato!B:B,"",0)</f>
        <v>#NAME?</v>
      </c>
      <c r="Z170" s="47" t="e">
        <f ca="1">_xlfn.XLOOKUP(PAA_4[[#This Row],[ITEM]],[2]Contrato!A:A,[2]Contrato!G:G,"",0)</f>
        <v>#NAME?</v>
      </c>
      <c r="AA170" s="47" t="e">
        <f ca="1">_xlfn.XLOOKUP(PAA_4[[#This Row],[ITEM]],[2]Contrato!A:A,[2]Contrato!T:T,"",0)</f>
        <v>#NAME?</v>
      </c>
      <c r="AB170" s="55" t="e">
        <f ca="1">+MAX(PAA_4[[#This Row],[Comprometido Contrato]],PAA_4[[#This Row],[Comprometido Bolsa]])</f>
        <v>#NAME?</v>
      </c>
      <c r="AC170" s="55" t="str">
        <f t="shared" ca="1" si="64"/>
        <v/>
      </c>
      <c r="AD170" s="55" t="e">
        <f ca="1">IF(PAA_4[[#This Row],[ESTADO (formulado)]]="NO CONTRATADO",0,MAX(PAA_4[[#This Row],[Pago por Contrato]],PAA_4[[#This Row],[Pago por bolsa]]))</f>
        <v>#NAME?</v>
      </c>
      <c r="AE170" s="55" t="str">
        <f t="shared" ca="1" si="65"/>
        <v/>
      </c>
      <c r="AF170" s="47" t="e">
        <f t="shared" ca="1" si="66"/>
        <v>#NAME?</v>
      </c>
      <c r="AG170" s="47">
        <f t="shared" si="67"/>
        <v>52010703</v>
      </c>
      <c r="AH170" s="54">
        <f>IF(Q170="22",IF(ISNUMBER(SEARCH("econ",PAA_4[[#This Row],[Actividad3]])),"Económico",IF(ISNUMBER(SEARCH("alim",PAA_4[[#This Row],[Actividad3]])),"Alimentación",IF(ISNUMBER(SEARCH("educ",PAA_4[[#This Row],[Actividad3]])),"Educativo","Técnico"))),0)</f>
        <v>0</v>
      </c>
      <c r="AI170" s="47" t="e" cm="1">
        <f t="array" aca="1" ref="AI170" ca="1">_xlfn.XLOOKUP(PAA_4[[#This Row],[RCP-RUBRO]],[2]!COMPROMISOS_2024[[#All],[concatenado]],[2]!COMPROMISOS_2024[[#All],[Total pagado]],"",0)</f>
        <v>#NAME?</v>
      </c>
      <c r="AJ170" s="56">
        <f>IF(PAA_4[[#This Row],[BOLSA]]=0,0,SUMIFS([2]!COMPROMISOS_2024[[#All],[Total pagado]],[2]!COMPROMISOS_2024[[#All],[Bolsa]],PAA_4[[#This Row],[BOLSA]],[2]!COMPROMISOS_2024[[#All],[rubro]],PAA_4[[#This Row],[RCP-RUBRO]]))</f>
        <v>0</v>
      </c>
      <c r="AK170" s="47" t="e" cm="1">
        <f t="array" aca="1" ref="AK170" ca="1">_xlfn.XLOOKUP(PAA_4[[#This Row],[RCP-RUBRO]],[2]!COMPROMISOS_2024[[#All],[concatenado]],[2]!COMPROMISOS_2024[[#All],[Total Comprometido]],"",0)</f>
        <v>#NAME?</v>
      </c>
      <c r="AL170" s="47">
        <f>IF(PAA_4[[#This Row],[BOLSA]]=0,0,SUMIFS([2]!COMPROMISOS_2024[[#All],[Total Comprometido]],[2]!COMPROMISOS_2024[[#All],[Bolsa]],PAA_4[[#This Row],[BOLSA]],[2]!COMPROMISOS_2024[[#All],[concatenado]],PAA_4[[#This Row],[RCP-RUBRO]]))</f>
        <v>0</v>
      </c>
    </row>
    <row r="171" spans="1:38" s="19" customFormat="1" ht="31.5" customHeight="1">
      <c r="A171" s="47">
        <v>1314</v>
      </c>
      <c r="B171" s="51" t="s">
        <v>393</v>
      </c>
      <c r="C171" s="47" t="str">
        <f>VLOOKUP(PAA_4[[#This Row],[PROYECTO (formulado)2]],[2]PROYECTOS!$G$1:$L$32,6,0)</f>
        <v>SUBGERENCIA DE FOMENTO Y DESARROLLO</v>
      </c>
      <c r="D171" s="47" t="str">
        <f>+IF(PAA_4[[#This Row],[UNIDAD DE CONTRATACION (formulado)]]="Subgerencia Administrativa y Financiera","FUNCIONAMIENTO","INVERSIÓN")</f>
        <v>INVERSIÓN</v>
      </c>
      <c r="E171" s="48" t="str">
        <f>VLOOKUP(Q171,[2]PROYECTOS!$G$1:$K$32,5,0)</f>
        <v>Fortalecimiento de los juegos deportivos institucionales en los municipios del departamento de Antioquia</v>
      </c>
      <c r="F171" s="48">
        <f>VLOOKUP(E171,[2]PROYECTOS!$K$1:$M$32,3,0)</f>
        <v>2024003050073</v>
      </c>
      <c r="G171" s="49" t="s">
        <v>1353</v>
      </c>
      <c r="H171" s="49" t="str">
        <f>VLOOKUP(Q171,[2]PROYECTOS!$V$1:$W$32,2,0)</f>
        <v>050081</v>
      </c>
      <c r="I171" s="50">
        <v>207091814</v>
      </c>
      <c r="J171" s="51" t="s">
        <v>1361</v>
      </c>
      <c r="K171" s="47" t="str">
        <f t="shared" ca="1" si="62"/>
        <v>CONTRATADO</v>
      </c>
      <c r="L171" s="47" t="s">
        <v>94</v>
      </c>
      <c r="M171" s="47" t="s">
        <v>255</v>
      </c>
      <c r="N171" s="52" t="s">
        <v>1363</v>
      </c>
      <c r="O171" s="51" t="e">
        <f>VLOOKUP(N171,[2]!RUBROS[#All],3,0)</f>
        <v>#REF!</v>
      </c>
      <c r="P171" s="53" t="e">
        <f>VLOOKUP(N171,[2]!RUBROS[#All],2,0)</f>
        <v>#REF!</v>
      </c>
      <c r="Q171" s="47" t="str">
        <f t="shared" si="63"/>
        <v>73</v>
      </c>
      <c r="R171" s="47" t="str">
        <f t="shared" si="51"/>
        <v>0-205400</v>
      </c>
      <c r="S171" s="54">
        <v>1</v>
      </c>
      <c r="T171" s="59" t="s">
        <v>46</v>
      </c>
      <c r="U171" s="326" t="e">
        <f ca="1">_xlfn.XLOOKUP(PAA_4[[#This Row],[ITEM]],[2]Contrato!A:A,[2]Contrato!Q:Q,"",0)</f>
        <v>#NAME?</v>
      </c>
      <c r="V171" s="47" t="s">
        <v>95</v>
      </c>
      <c r="W171" s="47" t="s">
        <v>200</v>
      </c>
      <c r="X171" s="47" t="s">
        <v>200</v>
      </c>
      <c r="Y171" s="55" t="e">
        <f ca="1">_xlfn.XLOOKUP(PAA_4[[#This Row],[ITEM]],[2]Contrato!A:A,[2]Contrato!B:B,"",0)</f>
        <v>#NAME?</v>
      </c>
      <c r="Z171" s="47" t="e">
        <f ca="1">_xlfn.XLOOKUP(PAA_4[[#This Row],[ITEM]],[2]Contrato!A:A,[2]Contrato!G:G,"",0)</f>
        <v>#NAME?</v>
      </c>
      <c r="AA171" s="47" t="e">
        <f ca="1">_xlfn.XLOOKUP(PAA_4[[#This Row],[ITEM]],[2]Contrato!A:A,[2]Contrato!T:T,"",0)</f>
        <v>#NAME?</v>
      </c>
      <c r="AB171" s="55" t="e">
        <f ca="1">+MAX(PAA_4[[#This Row],[Comprometido Contrato]],PAA_4[[#This Row],[Comprometido Bolsa]])</f>
        <v>#NAME?</v>
      </c>
      <c r="AC171" s="55" t="str">
        <f t="shared" ca="1" si="64"/>
        <v/>
      </c>
      <c r="AD171" s="55" t="e">
        <f ca="1">IF(PAA_4[[#This Row],[ESTADO (formulado)]]="NO CONTRATADO",0,MAX(PAA_4[[#This Row],[Pago por Contrato]],PAA_4[[#This Row],[Pago por bolsa]]))</f>
        <v>#NAME?</v>
      </c>
      <c r="AE171" s="55" t="str">
        <f t="shared" ca="1" si="65"/>
        <v/>
      </c>
      <c r="AF171" s="47" t="e">
        <f t="shared" ca="1" si="66"/>
        <v>#NAME?</v>
      </c>
      <c r="AG171" s="47">
        <f t="shared" si="67"/>
        <v>52010703</v>
      </c>
      <c r="AH171" s="54">
        <f>IF(Q171="22",IF(ISNUMBER(SEARCH("econ",PAA_4[[#This Row],[Actividad3]])),"Económico",IF(ISNUMBER(SEARCH("alim",PAA_4[[#This Row],[Actividad3]])),"Alimentación",IF(ISNUMBER(SEARCH("educ",PAA_4[[#This Row],[Actividad3]])),"Educativo","Técnico"))),0)</f>
        <v>0</v>
      </c>
      <c r="AI171" s="47" t="e" cm="1">
        <f t="array" aca="1" ref="AI171" ca="1">_xlfn.XLOOKUP(PAA_4[[#This Row],[RCP-RUBRO]],[2]!COMPROMISOS_2024[[#All],[concatenado]],[2]!COMPROMISOS_2024[[#All],[Total pagado]],"",0)</f>
        <v>#NAME?</v>
      </c>
      <c r="AJ171" s="56">
        <f>IF(PAA_4[[#This Row],[BOLSA]]=0,0,SUMIFS([2]!COMPROMISOS_2024[[#All],[Total pagado]],[2]!COMPROMISOS_2024[[#All],[Bolsa]],PAA_4[[#This Row],[BOLSA]],[2]!COMPROMISOS_2024[[#All],[rubro]],PAA_4[[#This Row],[RCP-RUBRO]]))</f>
        <v>0</v>
      </c>
      <c r="AK171" s="47" t="e" cm="1">
        <f t="array" aca="1" ref="AK171" ca="1">_xlfn.XLOOKUP(PAA_4[[#This Row],[RCP-RUBRO]],[2]!COMPROMISOS_2024[[#All],[concatenado]],[2]!COMPROMISOS_2024[[#All],[Total Comprometido]],"",0)</f>
        <v>#NAME?</v>
      </c>
      <c r="AL171" s="47">
        <f>IF(PAA_4[[#This Row],[BOLSA]]=0,0,SUMIFS([2]!COMPROMISOS_2024[[#All],[Total Comprometido]],[2]!COMPROMISOS_2024[[#All],[Bolsa]],PAA_4[[#This Row],[BOLSA]],[2]!COMPROMISOS_2024[[#All],[concatenado]],PAA_4[[#This Row],[RCP-RUBRO]]))</f>
        <v>0</v>
      </c>
    </row>
    <row r="172" spans="1:38" s="19" customFormat="1" ht="31.5" customHeight="1">
      <c r="A172" s="47">
        <v>1314</v>
      </c>
      <c r="B172" s="51" t="s">
        <v>393</v>
      </c>
      <c r="C172" s="47" t="str">
        <f>VLOOKUP(PAA_4[[#This Row],[PROYECTO (formulado)2]],[2]PROYECTOS!$G$1:$L$32,6,0)</f>
        <v>SUBGERENCIA DE FOMENTO Y DESARROLLO</v>
      </c>
      <c r="D172" s="47" t="str">
        <f>+IF(PAA_4[[#This Row],[UNIDAD DE CONTRATACION (formulado)]]="Subgerencia Administrativa y Financiera","FUNCIONAMIENTO","INVERSIÓN")</f>
        <v>INVERSIÓN</v>
      </c>
      <c r="E172" s="48" t="str">
        <f>VLOOKUP(Q172,[2]PROYECTOS!$G$1:$K$32,5,0)</f>
        <v>Fortalecimiento de los juegos deportivos institucionales en los municipios del departamento de Antioquia</v>
      </c>
      <c r="F172" s="48">
        <f>VLOOKUP(E172,[2]PROYECTOS!$K$1:$M$32,3,0)</f>
        <v>2024003050073</v>
      </c>
      <c r="G172" s="49" t="s">
        <v>1353</v>
      </c>
      <c r="H172" s="49" t="str">
        <f>VLOOKUP(Q172,[2]PROYECTOS!$V$1:$W$32,2,0)</f>
        <v>050081</v>
      </c>
      <c r="I172" s="50">
        <v>4493718</v>
      </c>
      <c r="J172" s="51" t="s">
        <v>1361</v>
      </c>
      <c r="K172" s="47" t="str">
        <f t="shared" ca="1" si="62"/>
        <v>CONTRATADO</v>
      </c>
      <c r="L172" s="47" t="s">
        <v>94</v>
      </c>
      <c r="M172" s="47" t="s">
        <v>255</v>
      </c>
      <c r="N172" s="52" t="s">
        <v>1364</v>
      </c>
      <c r="O172" s="51" t="e">
        <f>VLOOKUP(N172,[2]!RUBROS[#All],3,0)</f>
        <v>#REF!</v>
      </c>
      <c r="P172" s="53" t="e">
        <f>VLOOKUP(N172,[2]!RUBROS[#All],2,0)</f>
        <v>#REF!</v>
      </c>
      <c r="Q172" s="47" t="str">
        <f t="shared" si="63"/>
        <v>73</v>
      </c>
      <c r="R172" s="47" t="str">
        <f t="shared" si="51"/>
        <v>4-205400</v>
      </c>
      <c r="S172" s="54">
        <v>1</v>
      </c>
      <c r="T172" s="59" t="s">
        <v>46</v>
      </c>
      <c r="U172" s="326" t="e">
        <f ca="1">_xlfn.XLOOKUP(PAA_4[[#This Row],[ITEM]],[2]Contrato!A:A,[2]Contrato!Q:Q,"",0)</f>
        <v>#NAME?</v>
      </c>
      <c r="V172" s="47" t="s">
        <v>95</v>
      </c>
      <c r="W172" s="47" t="s">
        <v>200</v>
      </c>
      <c r="X172" s="47" t="s">
        <v>200</v>
      </c>
      <c r="Y172" s="55" t="e">
        <f ca="1">_xlfn.XLOOKUP(PAA_4[[#This Row],[ITEM]],[2]Contrato!A:A,[2]Contrato!B:B,"",0)</f>
        <v>#NAME?</v>
      </c>
      <c r="Z172" s="47" t="e">
        <f ca="1">_xlfn.XLOOKUP(PAA_4[[#This Row],[ITEM]],[2]Contrato!A:A,[2]Contrato!G:G,"",0)</f>
        <v>#NAME?</v>
      </c>
      <c r="AA172" s="47" t="e">
        <f ca="1">_xlfn.XLOOKUP(PAA_4[[#This Row],[ITEM]],[2]Contrato!A:A,[2]Contrato!T:T,"",0)</f>
        <v>#NAME?</v>
      </c>
      <c r="AB172" s="55" t="e">
        <f ca="1">+MAX(PAA_4[[#This Row],[Comprometido Contrato]],PAA_4[[#This Row],[Comprometido Bolsa]])</f>
        <v>#NAME?</v>
      </c>
      <c r="AC172" s="55" t="str">
        <f t="shared" ca="1" si="64"/>
        <v/>
      </c>
      <c r="AD172" s="55" t="e">
        <f ca="1">IF(PAA_4[[#This Row],[ESTADO (formulado)]]="NO CONTRATADO",0,MAX(PAA_4[[#This Row],[Pago por Contrato]],PAA_4[[#This Row],[Pago por bolsa]]))</f>
        <v>#NAME?</v>
      </c>
      <c r="AE172" s="55" t="str">
        <f t="shared" ca="1" si="65"/>
        <v/>
      </c>
      <c r="AF172" s="47" t="e">
        <f t="shared" ca="1" si="66"/>
        <v>#NAME?</v>
      </c>
      <c r="AG172" s="47">
        <f t="shared" si="67"/>
        <v>52010703</v>
      </c>
      <c r="AH172" s="54">
        <f>IF(Q172="22",IF(ISNUMBER(SEARCH("econ",PAA_4[[#This Row],[Actividad3]])),"Económico",IF(ISNUMBER(SEARCH("alim",PAA_4[[#This Row],[Actividad3]])),"Alimentación",IF(ISNUMBER(SEARCH("educ",PAA_4[[#This Row],[Actividad3]])),"Educativo","Técnico"))),0)</f>
        <v>0</v>
      </c>
      <c r="AI172" s="47" t="e" cm="1">
        <f t="array" aca="1" ref="AI172" ca="1">_xlfn.XLOOKUP(PAA_4[[#This Row],[RCP-RUBRO]],[2]!COMPROMISOS_2024[[#All],[concatenado]],[2]!COMPROMISOS_2024[[#All],[Total pagado]],"",0)</f>
        <v>#NAME?</v>
      </c>
      <c r="AJ172" s="56">
        <f>IF(PAA_4[[#This Row],[BOLSA]]=0,0,SUMIFS([2]!COMPROMISOS_2024[[#All],[Total pagado]],[2]!COMPROMISOS_2024[[#All],[Bolsa]],PAA_4[[#This Row],[BOLSA]],[2]!COMPROMISOS_2024[[#All],[rubro]],PAA_4[[#This Row],[RCP-RUBRO]]))</f>
        <v>0</v>
      </c>
      <c r="AK172" s="47" t="e" cm="1">
        <f t="array" aca="1" ref="AK172" ca="1">_xlfn.XLOOKUP(PAA_4[[#This Row],[RCP-RUBRO]],[2]!COMPROMISOS_2024[[#All],[concatenado]],[2]!COMPROMISOS_2024[[#All],[Total Comprometido]],"",0)</f>
        <v>#NAME?</v>
      </c>
      <c r="AL172" s="47">
        <f>IF(PAA_4[[#This Row],[BOLSA]]=0,0,SUMIFS([2]!COMPROMISOS_2024[[#All],[Total Comprometido]],[2]!COMPROMISOS_2024[[#All],[Bolsa]],PAA_4[[#This Row],[BOLSA]],[2]!COMPROMISOS_2024[[#All],[concatenado]],PAA_4[[#This Row],[RCP-RUBRO]]))</f>
        <v>0</v>
      </c>
    </row>
    <row r="173" spans="1:38" s="19" customFormat="1" ht="31.5" customHeight="1">
      <c r="A173" s="47">
        <v>1314</v>
      </c>
      <c r="B173" s="51" t="s">
        <v>393</v>
      </c>
      <c r="C173" s="47" t="str">
        <f>VLOOKUP(PAA_4[[#This Row],[PROYECTO (formulado)2]],[2]PROYECTOS!$G$1:$L$32,6,0)</f>
        <v>SUBGERENCIA DE FOMENTO Y DESARROLLO</v>
      </c>
      <c r="D173" s="47" t="str">
        <f>+IF(PAA_4[[#This Row],[UNIDAD DE CONTRATACION (formulado)]]="Subgerencia Administrativa y Financiera","FUNCIONAMIENTO","INVERSIÓN")</f>
        <v>INVERSIÓN</v>
      </c>
      <c r="E173" s="48" t="str">
        <f>VLOOKUP(Q173,[2]PROYECTOS!$G$1:$K$32,5,0)</f>
        <v>Fortalecimiento de los juegos deportivos institucionales en los municipios del departamento de Antioquia</v>
      </c>
      <c r="F173" s="48">
        <f>VLOOKUP(E173,[2]PROYECTOS!$K$1:$M$32,3,0)</f>
        <v>2024003050073</v>
      </c>
      <c r="G173" s="49" t="s">
        <v>1353</v>
      </c>
      <c r="H173" s="49" t="str">
        <f>VLOOKUP(Q173,[2]PROYECTOS!$V$1:$W$32,2,0)</f>
        <v>050081</v>
      </c>
      <c r="I173" s="50">
        <v>6478798</v>
      </c>
      <c r="J173" s="51" t="s">
        <v>1361</v>
      </c>
      <c r="K173" s="47" t="str">
        <f t="shared" ca="1" si="62"/>
        <v>CONTRATADO</v>
      </c>
      <c r="L173" s="47" t="s">
        <v>94</v>
      </c>
      <c r="M173" s="47" t="s">
        <v>255</v>
      </c>
      <c r="N173" s="52" t="s">
        <v>1365</v>
      </c>
      <c r="O173" s="51" t="e">
        <f>VLOOKUP(N173,[2]!RUBROS[#All],3,0)</f>
        <v>#REF!</v>
      </c>
      <c r="P173" s="53" t="e">
        <f>VLOOKUP(N173,[2]!RUBROS[#All],2,0)</f>
        <v>#REF!</v>
      </c>
      <c r="Q173" s="47" t="str">
        <f t="shared" si="63"/>
        <v>73</v>
      </c>
      <c r="R173" s="47" t="str">
        <f t="shared" si="51"/>
        <v>4-271130</v>
      </c>
      <c r="S173" s="54">
        <v>1</v>
      </c>
      <c r="T173" s="59" t="s">
        <v>46</v>
      </c>
      <c r="U173" s="326" t="e">
        <f ca="1">_xlfn.XLOOKUP(PAA_4[[#This Row],[ITEM]],[2]Contrato!A:A,[2]Contrato!Q:Q,"",0)</f>
        <v>#NAME?</v>
      </c>
      <c r="V173" s="47" t="s">
        <v>95</v>
      </c>
      <c r="W173" s="47" t="s">
        <v>200</v>
      </c>
      <c r="X173" s="47" t="s">
        <v>200</v>
      </c>
      <c r="Y173" s="55" t="e">
        <f ca="1">_xlfn.XLOOKUP(PAA_4[[#This Row],[ITEM]],[2]Contrato!A:A,[2]Contrato!B:B,"",0)</f>
        <v>#NAME?</v>
      </c>
      <c r="Z173" s="47" t="e">
        <f ca="1">_xlfn.XLOOKUP(PAA_4[[#This Row],[ITEM]],[2]Contrato!A:A,[2]Contrato!G:G,"",0)</f>
        <v>#NAME?</v>
      </c>
      <c r="AA173" s="47" t="e">
        <f ca="1">_xlfn.XLOOKUP(PAA_4[[#This Row],[ITEM]],[2]Contrato!A:A,[2]Contrato!T:T,"",0)</f>
        <v>#NAME?</v>
      </c>
      <c r="AB173" s="55" t="e">
        <f ca="1">+MAX(PAA_4[[#This Row],[Comprometido Contrato]],PAA_4[[#This Row],[Comprometido Bolsa]])</f>
        <v>#NAME?</v>
      </c>
      <c r="AC173" s="55" t="str">
        <f t="shared" ca="1" si="64"/>
        <v/>
      </c>
      <c r="AD173" s="55" t="e">
        <f ca="1">IF(PAA_4[[#This Row],[ESTADO (formulado)]]="NO CONTRATADO",0,MAX(PAA_4[[#This Row],[Pago por Contrato]],PAA_4[[#This Row],[Pago por bolsa]]))</f>
        <v>#NAME?</v>
      </c>
      <c r="AE173" s="55" t="str">
        <f t="shared" ca="1" si="65"/>
        <v/>
      </c>
      <c r="AF173" s="47" t="e">
        <f t="shared" ca="1" si="66"/>
        <v>#NAME?</v>
      </c>
      <c r="AG173" s="47">
        <f t="shared" si="67"/>
        <v>52010703</v>
      </c>
      <c r="AH173" s="54">
        <f>IF(Q173="22",IF(ISNUMBER(SEARCH("econ",PAA_4[[#This Row],[Actividad3]])),"Económico",IF(ISNUMBER(SEARCH("alim",PAA_4[[#This Row],[Actividad3]])),"Alimentación",IF(ISNUMBER(SEARCH("educ",PAA_4[[#This Row],[Actividad3]])),"Educativo","Técnico"))),0)</f>
        <v>0</v>
      </c>
      <c r="AI173" s="47" t="e" cm="1">
        <f t="array" aca="1" ref="AI173" ca="1">_xlfn.XLOOKUP(PAA_4[[#This Row],[RCP-RUBRO]],[2]!COMPROMISOS_2024[[#All],[concatenado]],[2]!COMPROMISOS_2024[[#All],[Total pagado]],"",0)</f>
        <v>#NAME?</v>
      </c>
      <c r="AJ173" s="56">
        <f>IF(PAA_4[[#This Row],[BOLSA]]=0,0,SUMIFS([2]!COMPROMISOS_2024[[#All],[Total pagado]],[2]!COMPROMISOS_2024[[#All],[Bolsa]],PAA_4[[#This Row],[BOLSA]],[2]!COMPROMISOS_2024[[#All],[rubro]],PAA_4[[#This Row],[RCP-RUBRO]]))</f>
        <v>0</v>
      </c>
      <c r="AK173" s="47" t="e" cm="1">
        <f t="array" aca="1" ref="AK173" ca="1">_xlfn.XLOOKUP(PAA_4[[#This Row],[RCP-RUBRO]],[2]!COMPROMISOS_2024[[#All],[concatenado]],[2]!COMPROMISOS_2024[[#All],[Total Comprometido]],"",0)</f>
        <v>#NAME?</v>
      </c>
      <c r="AL173" s="47">
        <f>IF(PAA_4[[#This Row],[BOLSA]]=0,0,SUMIFS([2]!COMPROMISOS_2024[[#All],[Total Comprometido]],[2]!COMPROMISOS_2024[[#All],[Bolsa]],PAA_4[[#This Row],[BOLSA]],[2]!COMPROMISOS_2024[[#All],[concatenado]],PAA_4[[#This Row],[RCP-RUBRO]]))</f>
        <v>0</v>
      </c>
    </row>
    <row r="174" spans="1:38" s="19" customFormat="1" ht="31.5" customHeight="1">
      <c r="A174" s="47">
        <v>1314</v>
      </c>
      <c r="B174" s="51" t="s">
        <v>393</v>
      </c>
      <c r="C174" s="47" t="str">
        <f>VLOOKUP(PAA_4[[#This Row],[PROYECTO (formulado)2]],[2]PROYECTOS!$G$1:$L$32,6,0)</f>
        <v>SUBGERENCIA DE FOMENTO Y DESARROLLO</v>
      </c>
      <c r="D174" s="47" t="str">
        <f>+IF(PAA_4[[#This Row],[UNIDAD DE CONTRATACION (formulado)]]="Subgerencia Administrativa y Financiera","FUNCIONAMIENTO","INVERSIÓN")</f>
        <v>INVERSIÓN</v>
      </c>
      <c r="E174" s="48" t="str">
        <f>VLOOKUP(Q174,[2]PROYECTOS!$G$1:$K$32,5,0)</f>
        <v>Fortalecimiento de los juegos deportivos institucionales en los municipios del departamento de Antioquia</v>
      </c>
      <c r="F174" s="48">
        <f>VLOOKUP(E174,[2]PROYECTOS!$K$1:$M$32,3,0)</f>
        <v>2024003050073</v>
      </c>
      <c r="G174" s="49" t="s">
        <v>1353</v>
      </c>
      <c r="H174" s="49" t="str">
        <f>VLOOKUP(Q174,[2]PROYECTOS!$V$1:$W$32,2,0)</f>
        <v>050081</v>
      </c>
      <c r="I174" s="50">
        <v>966586</v>
      </c>
      <c r="J174" s="51" t="s">
        <v>1361</v>
      </c>
      <c r="K174" s="47" t="str">
        <f t="shared" ca="1" si="62"/>
        <v>CONTRATADO</v>
      </c>
      <c r="L174" s="47" t="s">
        <v>94</v>
      </c>
      <c r="M174" s="47" t="s">
        <v>255</v>
      </c>
      <c r="N174" s="52" t="s">
        <v>1366</v>
      </c>
      <c r="O174" s="51" t="e">
        <f>VLOOKUP(N174,[2]!RUBROS[#All],3,0)</f>
        <v>#REF!</v>
      </c>
      <c r="P174" s="53" t="e">
        <f>VLOOKUP(N174,[2]!RUBROS[#All],2,0)</f>
        <v>#REF!</v>
      </c>
      <c r="Q174" s="47" t="str">
        <f t="shared" si="63"/>
        <v>73</v>
      </c>
      <c r="R174" s="47" t="str">
        <f t="shared" si="51"/>
        <v>0-205128</v>
      </c>
      <c r="S174" s="54">
        <v>1</v>
      </c>
      <c r="T174" s="59" t="s">
        <v>46</v>
      </c>
      <c r="U174" s="326" t="e">
        <f ca="1">_xlfn.XLOOKUP(PAA_4[[#This Row],[ITEM]],[2]Contrato!A:A,[2]Contrato!Q:Q,"",0)</f>
        <v>#NAME?</v>
      </c>
      <c r="V174" s="47" t="s">
        <v>95</v>
      </c>
      <c r="W174" s="47" t="s">
        <v>200</v>
      </c>
      <c r="X174" s="47" t="s">
        <v>200</v>
      </c>
      <c r="Y174" s="55" t="e">
        <f ca="1">_xlfn.XLOOKUP(PAA_4[[#This Row],[ITEM]],[2]Contrato!A:A,[2]Contrato!B:B,"",0)</f>
        <v>#NAME?</v>
      </c>
      <c r="Z174" s="47" t="e">
        <f ca="1">_xlfn.XLOOKUP(PAA_4[[#This Row],[ITEM]],[2]Contrato!A:A,[2]Contrato!G:G,"",0)</f>
        <v>#NAME?</v>
      </c>
      <c r="AA174" s="47" t="e">
        <f ca="1">_xlfn.XLOOKUP(PAA_4[[#This Row],[ITEM]],[2]Contrato!A:A,[2]Contrato!T:T,"",0)</f>
        <v>#NAME?</v>
      </c>
      <c r="AB174" s="55" t="e">
        <f ca="1">+MAX(PAA_4[[#This Row],[Comprometido Contrato]],PAA_4[[#This Row],[Comprometido Bolsa]])</f>
        <v>#NAME?</v>
      </c>
      <c r="AC174" s="55" t="str">
        <f t="shared" ca="1" si="64"/>
        <v/>
      </c>
      <c r="AD174" s="55" t="e">
        <f ca="1">IF(PAA_4[[#This Row],[ESTADO (formulado)]]="NO CONTRATADO",0,MAX(PAA_4[[#This Row],[Pago por Contrato]],PAA_4[[#This Row],[Pago por bolsa]]))</f>
        <v>#NAME?</v>
      </c>
      <c r="AE174" s="55" t="str">
        <f t="shared" ca="1" si="65"/>
        <v/>
      </c>
      <c r="AF174" s="47" t="e">
        <f t="shared" ca="1" si="66"/>
        <v>#NAME?</v>
      </c>
      <c r="AG174" s="47">
        <f t="shared" si="67"/>
        <v>52010703</v>
      </c>
      <c r="AH174" s="54">
        <f>IF(Q174="22",IF(ISNUMBER(SEARCH("econ",PAA_4[[#This Row],[Actividad3]])),"Económico",IF(ISNUMBER(SEARCH("alim",PAA_4[[#This Row],[Actividad3]])),"Alimentación",IF(ISNUMBER(SEARCH("educ",PAA_4[[#This Row],[Actividad3]])),"Educativo","Técnico"))),0)</f>
        <v>0</v>
      </c>
      <c r="AI174" s="47" t="e" cm="1">
        <f t="array" aca="1" ref="AI174" ca="1">_xlfn.XLOOKUP(PAA_4[[#This Row],[RCP-RUBRO]],[2]!COMPROMISOS_2024[[#All],[concatenado]],[2]!COMPROMISOS_2024[[#All],[Total pagado]],"",0)</f>
        <v>#NAME?</v>
      </c>
      <c r="AJ174" s="56">
        <f>IF(PAA_4[[#This Row],[BOLSA]]=0,0,SUMIFS([2]!COMPROMISOS_2024[[#All],[Total pagado]],[2]!COMPROMISOS_2024[[#All],[Bolsa]],PAA_4[[#This Row],[BOLSA]],[2]!COMPROMISOS_2024[[#All],[rubro]],PAA_4[[#This Row],[RCP-RUBRO]]))</f>
        <v>0</v>
      </c>
      <c r="AK174" s="47" t="e" cm="1">
        <f t="array" aca="1" ref="AK174" ca="1">_xlfn.XLOOKUP(PAA_4[[#This Row],[RCP-RUBRO]],[2]!COMPROMISOS_2024[[#All],[concatenado]],[2]!COMPROMISOS_2024[[#All],[Total Comprometido]],"",0)</f>
        <v>#NAME?</v>
      </c>
      <c r="AL174" s="47">
        <f>IF(PAA_4[[#This Row],[BOLSA]]=0,0,SUMIFS([2]!COMPROMISOS_2024[[#All],[Total Comprometido]],[2]!COMPROMISOS_2024[[#All],[Bolsa]],PAA_4[[#This Row],[BOLSA]],[2]!COMPROMISOS_2024[[#All],[concatenado]],PAA_4[[#This Row],[RCP-RUBRO]]))</f>
        <v>0</v>
      </c>
    </row>
    <row r="175" spans="1:38" s="19" customFormat="1" ht="31.5" customHeight="1">
      <c r="A175" s="47">
        <v>1314</v>
      </c>
      <c r="B175" s="51" t="s">
        <v>393</v>
      </c>
      <c r="C175" s="47" t="str">
        <f>VLOOKUP(PAA_4[[#This Row],[PROYECTO (formulado)2]],[2]PROYECTOS!$G$1:$L$32,6,0)</f>
        <v>SUBGERENCIA DE FOMENTO Y DESARROLLO</v>
      </c>
      <c r="D175" s="47" t="str">
        <f>+IF(PAA_4[[#This Row],[UNIDAD DE CONTRATACION (formulado)]]="Subgerencia Administrativa y Financiera","FUNCIONAMIENTO","INVERSIÓN")</f>
        <v>INVERSIÓN</v>
      </c>
      <c r="E175" s="48" t="str">
        <f>VLOOKUP(Q175,[2]PROYECTOS!$G$1:$K$32,5,0)</f>
        <v>Desarrollo y promoción del deporte formativo, la recreación y la actividad física en el departamento Antioquia</v>
      </c>
      <c r="F175" s="48">
        <f>VLOOKUP(E175,[2]PROYECTOS!$K$1:$M$32,3,0)</f>
        <v>2024003050101</v>
      </c>
      <c r="G175" s="49" t="s">
        <v>1358</v>
      </c>
      <c r="H175" s="49" t="str">
        <f>VLOOKUP(Q175,[2]PROYECTOS!$V$1:$W$32,2,0)</f>
        <v>050075</v>
      </c>
      <c r="I175" s="50">
        <v>90000000</v>
      </c>
      <c r="J175" s="51" t="s">
        <v>1361</v>
      </c>
      <c r="K175" s="47" t="str">
        <f t="shared" ca="1" si="62"/>
        <v>CONTRATADO</v>
      </c>
      <c r="L175" s="47" t="s">
        <v>94</v>
      </c>
      <c r="M175" s="47" t="s">
        <v>255</v>
      </c>
      <c r="N175" s="52" t="s">
        <v>1367</v>
      </c>
      <c r="O175" s="51" t="e">
        <f>VLOOKUP(N175,[2]!RUBROS[#All],3,0)</f>
        <v>#REF!</v>
      </c>
      <c r="P175" s="53" t="e">
        <f>VLOOKUP(N175,[2]!RUBROS[#All],2,0)</f>
        <v>#REF!</v>
      </c>
      <c r="Q175" s="47" t="str">
        <f t="shared" si="63"/>
        <v>01</v>
      </c>
      <c r="R175" s="47" t="str">
        <f t="shared" si="51"/>
        <v>0-205400</v>
      </c>
      <c r="S175" s="54">
        <v>1</v>
      </c>
      <c r="T175" s="59" t="s">
        <v>46</v>
      </c>
      <c r="U175" s="326" t="e">
        <f ca="1">_xlfn.XLOOKUP(PAA_4[[#This Row],[ITEM]],[2]Contrato!A:A,[2]Contrato!Q:Q,"",0)</f>
        <v>#NAME?</v>
      </c>
      <c r="V175" s="47" t="s">
        <v>95</v>
      </c>
      <c r="W175" s="47" t="s">
        <v>200</v>
      </c>
      <c r="X175" s="47" t="s">
        <v>200</v>
      </c>
      <c r="Y175" s="55" t="e">
        <f ca="1">_xlfn.XLOOKUP(PAA_4[[#This Row],[ITEM]],[2]Contrato!A:A,[2]Contrato!B:B,"",0)</f>
        <v>#NAME?</v>
      </c>
      <c r="Z175" s="47" t="e">
        <f ca="1">_xlfn.XLOOKUP(PAA_4[[#This Row],[ITEM]],[2]Contrato!A:A,[2]Contrato!G:G,"",0)</f>
        <v>#NAME?</v>
      </c>
      <c r="AA175" s="47" t="e">
        <f ca="1">_xlfn.XLOOKUP(PAA_4[[#This Row],[ITEM]],[2]Contrato!A:A,[2]Contrato!T:T,"",0)</f>
        <v>#NAME?</v>
      </c>
      <c r="AB175" s="55" t="e">
        <f ca="1">+MAX(PAA_4[[#This Row],[Comprometido Contrato]],PAA_4[[#This Row],[Comprometido Bolsa]])</f>
        <v>#NAME?</v>
      </c>
      <c r="AC175" s="55" t="str">
        <f t="shared" ca="1" si="64"/>
        <v/>
      </c>
      <c r="AD175" s="55" t="e">
        <f ca="1">IF(PAA_4[[#This Row],[ESTADO (formulado)]]="NO CONTRATADO",0,MAX(PAA_4[[#This Row],[Pago por Contrato]],PAA_4[[#This Row],[Pago por bolsa]]))</f>
        <v>#NAME?</v>
      </c>
      <c r="AE175" s="55" t="str">
        <f t="shared" ca="1" si="65"/>
        <v/>
      </c>
      <c r="AF175" s="47" t="e">
        <f t="shared" ca="1" si="66"/>
        <v>#NAME?</v>
      </c>
      <c r="AG175" s="47">
        <f t="shared" si="67"/>
        <v>52010702</v>
      </c>
      <c r="AH175" s="54">
        <f>IF(Q175="22",IF(ISNUMBER(SEARCH("econ",PAA_4[[#This Row],[Actividad3]])),"Económico",IF(ISNUMBER(SEARCH("alim",PAA_4[[#This Row],[Actividad3]])),"Alimentación",IF(ISNUMBER(SEARCH("educ",PAA_4[[#This Row],[Actividad3]])),"Educativo","Técnico"))),0)</f>
        <v>0</v>
      </c>
      <c r="AI175" s="47" t="e" cm="1">
        <f t="array" aca="1" ref="AI175" ca="1">_xlfn.XLOOKUP(PAA_4[[#This Row],[RCP-RUBRO]],[2]!COMPROMISOS_2024[[#All],[concatenado]],[2]!COMPROMISOS_2024[[#All],[Total pagado]],"",0)</f>
        <v>#NAME?</v>
      </c>
      <c r="AJ175" s="56">
        <f>IF(PAA_4[[#This Row],[BOLSA]]=0,0,SUMIFS([2]!COMPROMISOS_2024[[#All],[Total pagado]],[2]!COMPROMISOS_2024[[#All],[Bolsa]],PAA_4[[#This Row],[BOLSA]],[2]!COMPROMISOS_2024[[#All],[rubro]],PAA_4[[#This Row],[RCP-RUBRO]]))</f>
        <v>0</v>
      </c>
      <c r="AK175" s="47" t="e" cm="1">
        <f t="array" aca="1" ref="AK175" ca="1">_xlfn.XLOOKUP(PAA_4[[#This Row],[RCP-RUBRO]],[2]!COMPROMISOS_2024[[#All],[concatenado]],[2]!COMPROMISOS_2024[[#All],[Total Comprometido]],"",0)</f>
        <v>#NAME?</v>
      </c>
      <c r="AL175" s="47">
        <f>IF(PAA_4[[#This Row],[BOLSA]]=0,0,SUMIFS([2]!COMPROMISOS_2024[[#All],[Total Comprometido]],[2]!COMPROMISOS_2024[[#All],[Bolsa]],PAA_4[[#This Row],[BOLSA]],[2]!COMPROMISOS_2024[[#All],[concatenado]],PAA_4[[#This Row],[RCP-RUBRO]]))</f>
        <v>0</v>
      </c>
    </row>
    <row r="176" spans="1:38" s="19" customFormat="1" ht="31.5" customHeight="1">
      <c r="A176" s="47" t="s">
        <v>82</v>
      </c>
      <c r="B176" s="51" t="s">
        <v>42</v>
      </c>
      <c r="C176" s="47" t="str">
        <f>VLOOKUP(PAA_4[[#This Row],[PROYECTO (formulado)2]],[2]PROYECTOS!$G$1:$L$32,6,0)</f>
        <v>SUBGERENCIA DE FOMENTO Y DESARROLLO</v>
      </c>
      <c r="D176" s="47" t="str">
        <f>+IF(PAA_4[[#This Row],[UNIDAD DE CONTRATACION (formulado)]]="Subgerencia Administrativa y Financiera","FUNCIONAMIENTO","INVERSIÓN")</f>
        <v>INVERSIÓN</v>
      </c>
      <c r="E176" s="48" t="str">
        <f>VLOOKUP(Q176,[2]PROYECTOS!$G$1:$K$32,5,0)</f>
        <v>Fortalecimiento de los juegos deportivos institucionales en los municipios del departamento de Antioquia</v>
      </c>
      <c r="F176" s="48">
        <f>VLOOKUP(E176,[2]PROYECTOS!$K$1:$M$32,3,0)</f>
        <v>2024003050073</v>
      </c>
      <c r="G176" s="49" t="s">
        <v>1353</v>
      </c>
      <c r="H176" s="49" t="str">
        <f>VLOOKUP(Q176,[2]PROYECTOS!$V$1:$W$32,2,0)</f>
        <v>050081</v>
      </c>
      <c r="I176" s="50">
        <v>0</v>
      </c>
      <c r="J176" s="51" t="s">
        <v>42</v>
      </c>
      <c r="K176" s="47" t="str">
        <f t="shared" ca="1" si="62"/>
        <v>CONTRATADO</v>
      </c>
      <c r="L176" s="52" t="s">
        <v>42</v>
      </c>
      <c r="M176" s="52" t="s">
        <v>42</v>
      </c>
      <c r="N176" s="52" t="s">
        <v>1362</v>
      </c>
      <c r="O176" s="51" t="e">
        <f>VLOOKUP(N176,[2]!RUBROS[#All],3,0)</f>
        <v>#REF!</v>
      </c>
      <c r="P176" s="53" t="e">
        <f>VLOOKUP(N176,[2]!RUBROS[#All],2,0)</f>
        <v>#REF!</v>
      </c>
      <c r="Q176" s="47" t="str">
        <f t="shared" si="63"/>
        <v>73</v>
      </c>
      <c r="R176" s="47" t="str">
        <f t="shared" si="51"/>
        <v>0-101024</v>
      </c>
      <c r="S176" s="54">
        <v>45</v>
      </c>
      <c r="T176" s="59" t="s">
        <v>120</v>
      </c>
      <c r="U176" s="326" t="e">
        <f ca="1">_xlfn.XLOOKUP(PAA_4[[#This Row],[ITEM]],[2]Contrato!A:A,[2]Contrato!Q:Q,"",0)</f>
        <v>#NAME?</v>
      </c>
      <c r="V176" s="47" t="s">
        <v>42</v>
      </c>
      <c r="W176" s="47" t="s">
        <v>42</v>
      </c>
      <c r="X176" s="47" t="s">
        <v>42</v>
      </c>
      <c r="Y176" s="55" t="e">
        <f ca="1">_xlfn.XLOOKUP(PAA_4[[#This Row],[ITEM]],[2]Contrato!A:A,[2]Contrato!B:B,"",0)</f>
        <v>#NAME?</v>
      </c>
      <c r="Z176" s="47" t="e">
        <f ca="1">_xlfn.XLOOKUP(PAA_4[[#This Row],[ITEM]],[2]Contrato!A:A,[2]Contrato!G:G,"",0)</f>
        <v>#NAME?</v>
      </c>
      <c r="AA176" s="47" t="e">
        <f ca="1">_xlfn.XLOOKUP(PAA_4[[#This Row],[ITEM]],[2]Contrato!A:A,[2]Contrato!T:T,"",0)</f>
        <v>#NAME?</v>
      </c>
      <c r="AB176" s="55" t="e">
        <f ca="1">+MAX(PAA_4[[#This Row],[Comprometido Contrato]],PAA_4[[#This Row],[Comprometido Bolsa]])</f>
        <v>#NAME?</v>
      </c>
      <c r="AC176" s="55" t="str">
        <f t="shared" ca="1" si="64"/>
        <v/>
      </c>
      <c r="AD176" s="55" t="e">
        <f ca="1">IF(PAA_4[[#This Row],[ESTADO (formulado)]]="NO CONTRATADO",0,MAX(PAA_4[[#This Row],[Pago por Contrato]],PAA_4[[#This Row],[Pago por bolsa]]))</f>
        <v>#NAME?</v>
      </c>
      <c r="AE176" s="55" t="str">
        <f t="shared" ca="1" si="65"/>
        <v/>
      </c>
      <c r="AF176" s="47" t="e">
        <f t="shared" ca="1" si="66"/>
        <v>#NAME?</v>
      </c>
      <c r="AG176" s="47">
        <f t="shared" si="67"/>
        <v>52010703</v>
      </c>
      <c r="AH176" s="54">
        <f>IF(Q176="22",IF(ISNUMBER(SEARCH("econ",PAA_4[[#This Row],[Actividad3]])),"Económico",IF(ISNUMBER(SEARCH("alim",PAA_4[[#This Row],[Actividad3]])),"Alimentación",IF(ISNUMBER(SEARCH("educ",PAA_4[[#This Row],[Actividad3]])),"Educativo","Técnico"))),0)</f>
        <v>0</v>
      </c>
      <c r="AI176" s="47" t="e" cm="1">
        <f t="array" aca="1" ref="AI176" ca="1">_xlfn.XLOOKUP(PAA_4[[#This Row],[RCP-RUBRO]],[2]!COMPROMISOS_2024[[#All],[concatenado]],[2]!COMPROMISOS_2024[[#All],[Total pagado]],"",0)</f>
        <v>#NAME?</v>
      </c>
      <c r="AJ176" s="56">
        <f>IF(PAA_4[[#This Row],[BOLSA]]=0,0,SUMIFS([2]!COMPROMISOS_2024[[#All],[Total pagado]],[2]!COMPROMISOS_2024[[#All],[Bolsa]],PAA_4[[#This Row],[BOLSA]],[2]!COMPROMISOS_2024[[#All],[rubro]],PAA_4[[#This Row],[RCP-RUBRO]]))</f>
        <v>0</v>
      </c>
      <c r="AK176" s="47" t="e" cm="1">
        <f t="array" aca="1" ref="AK176" ca="1">_xlfn.XLOOKUP(PAA_4[[#This Row],[RCP-RUBRO]],[2]!COMPROMISOS_2024[[#All],[concatenado]],[2]!COMPROMISOS_2024[[#All],[Total Comprometido]],"",0)</f>
        <v>#NAME?</v>
      </c>
      <c r="AL176" s="47">
        <f>IF(PAA_4[[#This Row],[BOLSA]]=0,0,SUMIFS([2]!COMPROMISOS_2024[[#All],[Total Comprometido]],[2]!COMPROMISOS_2024[[#All],[Bolsa]],PAA_4[[#This Row],[BOLSA]],[2]!COMPROMISOS_2024[[#All],[concatenado]],PAA_4[[#This Row],[RCP-RUBRO]]))</f>
        <v>0</v>
      </c>
    </row>
    <row r="177" spans="1:38" s="19" customFormat="1" ht="31.5" customHeight="1">
      <c r="A177" s="47" t="s">
        <v>82</v>
      </c>
      <c r="B177" s="51" t="s">
        <v>42</v>
      </c>
      <c r="C177" s="47" t="str">
        <f>VLOOKUP(PAA_4[[#This Row],[PROYECTO (formulado)2]],[2]PROYECTOS!$G$1:$L$32,6,0)</f>
        <v>SUBGERENCIA DE FOMENTO Y DESARROLLO</v>
      </c>
      <c r="D177" s="47" t="str">
        <f>+IF(PAA_4[[#This Row],[UNIDAD DE CONTRATACION (formulado)]]="Subgerencia Administrativa y Financiera","FUNCIONAMIENTO","INVERSIÓN")</f>
        <v>INVERSIÓN</v>
      </c>
      <c r="E177" s="48" t="str">
        <f>VLOOKUP(Q177,[2]PROYECTOS!$G$1:$K$32,5,0)</f>
        <v>Fortalecimiento de los juegos deportivos institucionales en los municipios del departamento de Antioquia</v>
      </c>
      <c r="F177" s="48">
        <f>VLOOKUP(E177,[2]PROYECTOS!$K$1:$M$32,3,0)</f>
        <v>2024003050073</v>
      </c>
      <c r="G177" s="49" t="s">
        <v>1353</v>
      </c>
      <c r="H177" s="49" t="str">
        <f>VLOOKUP(Q177,[2]PROYECTOS!$V$1:$W$32,2,0)</f>
        <v>050081</v>
      </c>
      <c r="I177" s="50">
        <v>0</v>
      </c>
      <c r="J177" s="51" t="s">
        <v>42</v>
      </c>
      <c r="K177" s="47" t="str">
        <f t="shared" ca="1" si="62"/>
        <v>CONTRATADO</v>
      </c>
      <c r="L177" s="52" t="s">
        <v>42</v>
      </c>
      <c r="M177" s="52" t="s">
        <v>42</v>
      </c>
      <c r="N177" s="52" t="s">
        <v>1357</v>
      </c>
      <c r="O177" s="51" t="e">
        <f>VLOOKUP(N177,[2]!RUBROS[#All],3,0)</f>
        <v>#REF!</v>
      </c>
      <c r="P177" s="53" t="e">
        <f>VLOOKUP(N177,[2]!RUBROS[#All],2,0)</f>
        <v>#REF!</v>
      </c>
      <c r="Q177" s="47" t="str">
        <f t="shared" si="63"/>
        <v>73</v>
      </c>
      <c r="R177" s="47" t="str">
        <f t="shared" si="51"/>
        <v>0-205128</v>
      </c>
      <c r="S177" s="54">
        <v>45</v>
      </c>
      <c r="T177" s="59" t="s">
        <v>120</v>
      </c>
      <c r="U177" s="326" t="e">
        <f ca="1">_xlfn.XLOOKUP(PAA_4[[#This Row],[ITEM]],[2]Contrato!A:A,[2]Contrato!Q:Q,"",0)</f>
        <v>#NAME?</v>
      </c>
      <c r="V177" s="47" t="s">
        <v>42</v>
      </c>
      <c r="W177" s="47" t="s">
        <v>42</v>
      </c>
      <c r="X177" s="47" t="s">
        <v>42</v>
      </c>
      <c r="Y177" s="55" t="e">
        <f ca="1">_xlfn.XLOOKUP(PAA_4[[#This Row],[ITEM]],[2]Contrato!A:A,[2]Contrato!B:B,"",0)</f>
        <v>#NAME?</v>
      </c>
      <c r="Z177" s="47" t="e">
        <f ca="1">_xlfn.XLOOKUP(PAA_4[[#This Row],[ITEM]],[2]Contrato!A:A,[2]Contrato!G:G,"",0)</f>
        <v>#NAME?</v>
      </c>
      <c r="AA177" s="47" t="e">
        <f ca="1">_xlfn.XLOOKUP(PAA_4[[#This Row],[ITEM]],[2]Contrato!A:A,[2]Contrato!T:T,"",0)</f>
        <v>#NAME?</v>
      </c>
      <c r="AB177" s="55" t="e">
        <f ca="1">+MAX(PAA_4[[#This Row],[Comprometido Contrato]],PAA_4[[#This Row],[Comprometido Bolsa]])</f>
        <v>#NAME?</v>
      </c>
      <c r="AC177" s="55" t="str">
        <f t="shared" ca="1" si="64"/>
        <v/>
      </c>
      <c r="AD177" s="55" t="e">
        <f ca="1">IF(PAA_4[[#This Row],[ESTADO (formulado)]]="NO CONTRATADO",0,MAX(PAA_4[[#This Row],[Pago por Contrato]],PAA_4[[#This Row],[Pago por bolsa]]))</f>
        <v>#NAME?</v>
      </c>
      <c r="AE177" s="55" t="str">
        <f t="shared" ca="1" si="65"/>
        <v/>
      </c>
      <c r="AF177" s="47" t="e">
        <f t="shared" ca="1" si="66"/>
        <v>#NAME?</v>
      </c>
      <c r="AG177" s="47">
        <f t="shared" si="67"/>
        <v>52010703</v>
      </c>
      <c r="AH177" s="54">
        <f>IF(Q177="22",IF(ISNUMBER(SEARCH("econ",PAA_4[[#This Row],[Actividad3]])),"Económico",IF(ISNUMBER(SEARCH("alim",PAA_4[[#This Row],[Actividad3]])),"Alimentación",IF(ISNUMBER(SEARCH("educ",PAA_4[[#This Row],[Actividad3]])),"Educativo","Técnico"))),0)</f>
        <v>0</v>
      </c>
      <c r="AI177" s="47" t="e" cm="1">
        <f t="array" aca="1" ref="AI177" ca="1">_xlfn.XLOOKUP(PAA_4[[#This Row],[RCP-RUBRO]],[2]!COMPROMISOS_2024[[#All],[concatenado]],[2]!COMPROMISOS_2024[[#All],[Total pagado]],"",0)</f>
        <v>#NAME?</v>
      </c>
      <c r="AJ177" s="56">
        <f>IF(PAA_4[[#This Row],[BOLSA]]=0,0,SUMIFS([2]!COMPROMISOS_2024[[#All],[Total pagado]],[2]!COMPROMISOS_2024[[#All],[Bolsa]],PAA_4[[#This Row],[BOLSA]],[2]!COMPROMISOS_2024[[#All],[rubro]],PAA_4[[#This Row],[RCP-RUBRO]]))</f>
        <v>0</v>
      </c>
      <c r="AK177" s="47" t="e" cm="1">
        <f t="array" aca="1" ref="AK177" ca="1">_xlfn.XLOOKUP(PAA_4[[#This Row],[RCP-RUBRO]],[2]!COMPROMISOS_2024[[#All],[concatenado]],[2]!COMPROMISOS_2024[[#All],[Total Comprometido]],"",0)</f>
        <v>#NAME?</v>
      </c>
      <c r="AL177" s="47">
        <f>IF(PAA_4[[#This Row],[BOLSA]]=0,0,SUMIFS([2]!COMPROMISOS_2024[[#All],[Total Comprometido]],[2]!COMPROMISOS_2024[[#All],[Bolsa]],PAA_4[[#This Row],[BOLSA]],[2]!COMPROMISOS_2024[[#All],[concatenado]],PAA_4[[#This Row],[RCP-RUBRO]]))</f>
        <v>0</v>
      </c>
    </row>
    <row r="178" spans="1:38" s="19" customFormat="1" ht="31.5" customHeight="1">
      <c r="A178" s="47" t="s">
        <v>82</v>
      </c>
      <c r="B178" s="51" t="s">
        <v>42</v>
      </c>
      <c r="C178" s="47" t="str">
        <f>VLOOKUP(PAA_4[[#This Row],[PROYECTO (formulado)2]],[2]PROYECTOS!$G$1:$L$32,6,0)</f>
        <v>SUBGERENCIA DE FOMENTO Y DESARROLLO</v>
      </c>
      <c r="D178" s="47" t="str">
        <f>+IF(PAA_4[[#This Row],[UNIDAD DE CONTRATACION (formulado)]]="Subgerencia Administrativa y Financiera","FUNCIONAMIENTO","INVERSIÓN")</f>
        <v>INVERSIÓN</v>
      </c>
      <c r="E178" s="48" t="str">
        <f>VLOOKUP(Q178,[2]PROYECTOS!$G$1:$K$32,5,0)</f>
        <v>Fortalecimiento de los juegos deportivos institucionales en los municipios del departamento de Antioquia</v>
      </c>
      <c r="F178" s="48">
        <f>VLOOKUP(E178,[2]PROYECTOS!$K$1:$M$32,3,0)</f>
        <v>2024003050073</v>
      </c>
      <c r="G178" s="49" t="s">
        <v>1353</v>
      </c>
      <c r="H178" s="49" t="str">
        <f>VLOOKUP(Q178,[2]PROYECTOS!$V$1:$W$32,2,0)</f>
        <v>050081</v>
      </c>
      <c r="I178" s="50">
        <v>0</v>
      </c>
      <c r="J178" s="51" t="s">
        <v>42</v>
      </c>
      <c r="K178" s="47" t="str">
        <f t="shared" ca="1" si="62"/>
        <v>CONTRATADO</v>
      </c>
      <c r="L178" s="52" t="s">
        <v>42</v>
      </c>
      <c r="M178" s="52" t="s">
        <v>42</v>
      </c>
      <c r="N178" s="52" t="s">
        <v>1363</v>
      </c>
      <c r="O178" s="51" t="e">
        <f>VLOOKUP(N178,[2]!RUBROS[#All],3,0)</f>
        <v>#REF!</v>
      </c>
      <c r="P178" s="53" t="e">
        <f>VLOOKUP(N178,[2]!RUBROS[#All],2,0)</f>
        <v>#REF!</v>
      </c>
      <c r="Q178" s="47" t="str">
        <f t="shared" si="63"/>
        <v>73</v>
      </c>
      <c r="R178" s="47" t="str">
        <f t="shared" si="51"/>
        <v>0-205400</v>
      </c>
      <c r="S178" s="54">
        <v>45</v>
      </c>
      <c r="T178" s="59" t="s">
        <v>120</v>
      </c>
      <c r="U178" s="326" t="e">
        <f ca="1">_xlfn.XLOOKUP(PAA_4[[#This Row],[ITEM]],[2]Contrato!A:A,[2]Contrato!Q:Q,"",0)</f>
        <v>#NAME?</v>
      </c>
      <c r="V178" s="47" t="s">
        <v>42</v>
      </c>
      <c r="W178" s="47" t="s">
        <v>42</v>
      </c>
      <c r="X178" s="47" t="s">
        <v>42</v>
      </c>
      <c r="Y178" s="55" t="e">
        <f ca="1">_xlfn.XLOOKUP(PAA_4[[#This Row],[ITEM]],[2]Contrato!A:A,[2]Contrato!B:B,"",0)</f>
        <v>#NAME?</v>
      </c>
      <c r="Z178" s="47" t="e">
        <f ca="1">_xlfn.XLOOKUP(PAA_4[[#This Row],[ITEM]],[2]Contrato!A:A,[2]Contrato!G:G,"",0)</f>
        <v>#NAME?</v>
      </c>
      <c r="AA178" s="47" t="e">
        <f ca="1">_xlfn.XLOOKUP(PAA_4[[#This Row],[ITEM]],[2]Contrato!A:A,[2]Contrato!T:T,"",0)</f>
        <v>#NAME?</v>
      </c>
      <c r="AB178" s="55" t="e">
        <f ca="1">+MAX(PAA_4[[#This Row],[Comprometido Contrato]],PAA_4[[#This Row],[Comprometido Bolsa]])</f>
        <v>#NAME?</v>
      </c>
      <c r="AC178" s="55" t="str">
        <f t="shared" ca="1" si="64"/>
        <v/>
      </c>
      <c r="AD178" s="55" t="e">
        <f ca="1">IF(PAA_4[[#This Row],[ESTADO (formulado)]]="NO CONTRATADO",0,MAX(PAA_4[[#This Row],[Pago por Contrato]],PAA_4[[#This Row],[Pago por bolsa]]))</f>
        <v>#NAME?</v>
      </c>
      <c r="AE178" s="55" t="str">
        <f t="shared" ca="1" si="65"/>
        <v/>
      </c>
      <c r="AF178" s="47" t="e">
        <f t="shared" ca="1" si="66"/>
        <v>#NAME?</v>
      </c>
      <c r="AG178" s="47">
        <f t="shared" si="67"/>
        <v>52010703</v>
      </c>
      <c r="AH178" s="54">
        <f>IF(Q178="22",IF(ISNUMBER(SEARCH("econ",PAA_4[[#This Row],[Actividad3]])),"Económico",IF(ISNUMBER(SEARCH("alim",PAA_4[[#This Row],[Actividad3]])),"Alimentación",IF(ISNUMBER(SEARCH("educ",PAA_4[[#This Row],[Actividad3]])),"Educativo","Técnico"))),0)</f>
        <v>0</v>
      </c>
      <c r="AI178" s="47" t="e" cm="1">
        <f t="array" aca="1" ref="AI178" ca="1">_xlfn.XLOOKUP(PAA_4[[#This Row],[RCP-RUBRO]],[2]!COMPROMISOS_2024[[#All],[concatenado]],[2]!COMPROMISOS_2024[[#All],[Total pagado]],"",0)</f>
        <v>#NAME?</v>
      </c>
      <c r="AJ178" s="56">
        <f>IF(PAA_4[[#This Row],[BOLSA]]=0,0,SUMIFS([2]!COMPROMISOS_2024[[#All],[Total pagado]],[2]!COMPROMISOS_2024[[#All],[Bolsa]],PAA_4[[#This Row],[BOLSA]],[2]!COMPROMISOS_2024[[#All],[rubro]],PAA_4[[#This Row],[RCP-RUBRO]]))</f>
        <v>0</v>
      </c>
      <c r="AK178" s="47" t="e" cm="1">
        <f t="array" aca="1" ref="AK178" ca="1">_xlfn.XLOOKUP(PAA_4[[#This Row],[RCP-RUBRO]],[2]!COMPROMISOS_2024[[#All],[concatenado]],[2]!COMPROMISOS_2024[[#All],[Total Comprometido]],"",0)</f>
        <v>#NAME?</v>
      </c>
      <c r="AL178" s="47">
        <f>IF(PAA_4[[#This Row],[BOLSA]]=0,0,SUMIFS([2]!COMPROMISOS_2024[[#All],[Total Comprometido]],[2]!COMPROMISOS_2024[[#All],[Bolsa]],PAA_4[[#This Row],[BOLSA]],[2]!COMPROMISOS_2024[[#All],[concatenado]],PAA_4[[#This Row],[RCP-RUBRO]]))</f>
        <v>0</v>
      </c>
    </row>
    <row r="179" spans="1:38" s="19" customFormat="1" ht="31.5" customHeight="1">
      <c r="A179" s="47" t="s">
        <v>82</v>
      </c>
      <c r="B179" s="51" t="s">
        <v>42</v>
      </c>
      <c r="C179" s="47" t="str">
        <f>VLOOKUP(PAA_4[[#This Row],[PROYECTO (formulado)2]],[2]PROYECTOS!$G$1:$L$32,6,0)</f>
        <v>SUBGERENCIA DE FOMENTO Y DESARROLLO</v>
      </c>
      <c r="D179" s="47" t="str">
        <f>+IF(PAA_4[[#This Row],[UNIDAD DE CONTRATACION (formulado)]]="Subgerencia Administrativa y Financiera","FUNCIONAMIENTO","INVERSIÓN")</f>
        <v>INVERSIÓN</v>
      </c>
      <c r="E179" s="48" t="str">
        <f>VLOOKUP(Q179,[2]PROYECTOS!$G$1:$K$32,5,0)</f>
        <v>Fortalecimiento de los juegos deportivos institucionales en los municipios del departamento de Antioquia</v>
      </c>
      <c r="F179" s="48">
        <f>VLOOKUP(E179,[2]PROYECTOS!$K$1:$M$32,3,0)</f>
        <v>2024003050073</v>
      </c>
      <c r="G179" s="49" t="s">
        <v>1353</v>
      </c>
      <c r="H179" s="49" t="str">
        <f>VLOOKUP(Q179,[2]PROYECTOS!$V$1:$W$32,2,0)</f>
        <v>050081</v>
      </c>
      <c r="I179" s="50">
        <v>0</v>
      </c>
      <c r="J179" s="51" t="s">
        <v>42</v>
      </c>
      <c r="K179" s="47" t="str">
        <f t="shared" ca="1" si="62"/>
        <v>CONTRATADO</v>
      </c>
      <c r="L179" s="52" t="s">
        <v>42</v>
      </c>
      <c r="M179" s="52" t="s">
        <v>42</v>
      </c>
      <c r="N179" s="52" t="s">
        <v>1364</v>
      </c>
      <c r="O179" s="51" t="e">
        <f>VLOOKUP(N179,[2]!RUBROS[#All],3,0)</f>
        <v>#REF!</v>
      </c>
      <c r="P179" s="53" t="e">
        <f>VLOOKUP(N179,[2]!RUBROS[#All],2,0)</f>
        <v>#REF!</v>
      </c>
      <c r="Q179" s="47" t="str">
        <f t="shared" si="63"/>
        <v>73</v>
      </c>
      <c r="R179" s="47" t="str">
        <f t="shared" si="51"/>
        <v>4-205400</v>
      </c>
      <c r="S179" s="54">
        <v>45</v>
      </c>
      <c r="T179" s="59" t="s">
        <v>120</v>
      </c>
      <c r="U179" s="326" t="e">
        <f ca="1">_xlfn.XLOOKUP(PAA_4[[#This Row],[ITEM]],[2]Contrato!A:A,[2]Contrato!Q:Q,"",0)</f>
        <v>#NAME?</v>
      </c>
      <c r="V179" s="47" t="s">
        <v>42</v>
      </c>
      <c r="W179" s="47" t="s">
        <v>42</v>
      </c>
      <c r="X179" s="47" t="s">
        <v>42</v>
      </c>
      <c r="Y179" s="55" t="e">
        <f ca="1">_xlfn.XLOOKUP(PAA_4[[#This Row],[ITEM]],[2]Contrato!A:A,[2]Contrato!B:B,"",0)</f>
        <v>#NAME?</v>
      </c>
      <c r="Z179" s="47" t="e">
        <f ca="1">_xlfn.XLOOKUP(PAA_4[[#This Row],[ITEM]],[2]Contrato!A:A,[2]Contrato!G:G,"",0)</f>
        <v>#NAME?</v>
      </c>
      <c r="AA179" s="47" t="e">
        <f ca="1">_xlfn.XLOOKUP(PAA_4[[#This Row],[ITEM]],[2]Contrato!A:A,[2]Contrato!T:T,"",0)</f>
        <v>#NAME?</v>
      </c>
      <c r="AB179" s="55" t="e">
        <f ca="1">+MAX(PAA_4[[#This Row],[Comprometido Contrato]],PAA_4[[#This Row],[Comprometido Bolsa]])</f>
        <v>#NAME?</v>
      </c>
      <c r="AC179" s="55" t="str">
        <f t="shared" ca="1" si="64"/>
        <v/>
      </c>
      <c r="AD179" s="55" t="e">
        <f ca="1">IF(PAA_4[[#This Row],[ESTADO (formulado)]]="NO CONTRATADO",0,MAX(PAA_4[[#This Row],[Pago por Contrato]],PAA_4[[#This Row],[Pago por bolsa]]))</f>
        <v>#NAME?</v>
      </c>
      <c r="AE179" s="55" t="str">
        <f t="shared" ca="1" si="65"/>
        <v/>
      </c>
      <c r="AF179" s="47" t="e">
        <f t="shared" ca="1" si="66"/>
        <v>#NAME?</v>
      </c>
      <c r="AG179" s="47">
        <f t="shared" si="67"/>
        <v>52010703</v>
      </c>
      <c r="AH179" s="54">
        <f>IF(Q179="22",IF(ISNUMBER(SEARCH("econ",PAA_4[[#This Row],[Actividad3]])),"Económico",IF(ISNUMBER(SEARCH("alim",PAA_4[[#This Row],[Actividad3]])),"Alimentación",IF(ISNUMBER(SEARCH("educ",PAA_4[[#This Row],[Actividad3]])),"Educativo","Técnico"))),0)</f>
        <v>0</v>
      </c>
      <c r="AI179" s="47" t="e" cm="1">
        <f t="array" aca="1" ref="AI179" ca="1">_xlfn.XLOOKUP(PAA_4[[#This Row],[RCP-RUBRO]],[2]!COMPROMISOS_2024[[#All],[concatenado]],[2]!COMPROMISOS_2024[[#All],[Total pagado]],"",0)</f>
        <v>#NAME?</v>
      </c>
      <c r="AJ179" s="56">
        <f>IF(PAA_4[[#This Row],[BOLSA]]=0,0,SUMIFS([2]!COMPROMISOS_2024[[#All],[Total pagado]],[2]!COMPROMISOS_2024[[#All],[Bolsa]],PAA_4[[#This Row],[BOLSA]],[2]!COMPROMISOS_2024[[#All],[rubro]],PAA_4[[#This Row],[RCP-RUBRO]]))</f>
        <v>0</v>
      </c>
      <c r="AK179" s="47" t="e" cm="1">
        <f t="array" aca="1" ref="AK179" ca="1">_xlfn.XLOOKUP(PAA_4[[#This Row],[RCP-RUBRO]],[2]!COMPROMISOS_2024[[#All],[concatenado]],[2]!COMPROMISOS_2024[[#All],[Total Comprometido]],"",0)</f>
        <v>#NAME?</v>
      </c>
      <c r="AL179" s="47">
        <f>IF(PAA_4[[#This Row],[BOLSA]]=0,0,SUMIFS([2]!COMPROMISOS_2024[[#All],[Total Comprometido]],[2]!COMPROMISOS_2024[[#All],[Bolsa]],PAA_4[[#This Row],[BOLSA]],[2]!COMPROMISOS_2024[[#All],[concatenado]],PAA_4[[#This Row],[RCP-RUBRO]]))</f>
        <v>0</v>
      </c>
    </row>
    <row r="180" spans="1:38" s="19" customFormat="1" ht="31.5" customHeight="1">
      <c r="A180" s="47" t="s">
        <v>82</v>
      </c>
      <c r="B180" s="51" t="s">
        <v>42</v>
      </c>
      <c r="C180" s="47" t="str">
        <f>VLOOKUP(PAA_4[[#This Row],[PROYECTO (formulado)2]],[2]PROYECTOS!$G$1:$L$32,6,0)</f>
        <v>SUBGERENCIA DE FOMENTO Y DESARROLLO</v>
      </c>
      <c r="D180" s="47" t="str">
        <f>+IF(PAA_4[[#This Row],[UNIDAD DE CONTRATACION (formulado)]]="Subgerencia Administrativa y Financiera","FUNCIONAMIENTO","INVERSIÓN")</f>
        <v>INVERSIÓN</v>
      </c>
      <c r="E180" s="48" t="str">
        <f>VLOOKUP(Q180,[2]PROYECTOS!$G$1:$K$32,5,0)</f>
        <v>Fortalecimiento de los juegos deportivos institucionales en los municipios del departamento de Antioquia</v>
      </c>
      <c r="F180" s="48">
        <f>VLOOKUP(E180,[2]PROYECTOS!$K$1:$M$32,3,0)</f>
        <v>2024003050073</v>
      </c>
      <c r="G180" s="49" t="s">
        <v>1353</v>
      </c>
      <c r="H180" s="49" t="str">
        <f>VLOOKUP(Q180,[2]PROYECTOS!$V$1:$W$32,2,0)</f>
        <v>050081</v>
      </c>
      <c r="I180" s="50">
        <v>0</v>
      </c>
      <c r="J180" s="51" t="s">
        <v>42</v>
      </c>
      <c r="K180" s="47" t="str">
        <f t="shared" ca="1" si="62"/>
        <v>CONTRATADO</v>
      </c>
      <c r="L180" s="52" t="s">
        <v>42</v>
      </c>
      <c r="M180" s="52" t="s">
        <v>42</v>
      </c>
      <c r="N180" s="52" t="s">
        <v>1365</v>
      </c>
      <c r="O180" s="51" t="e">
        <f>VLOOKUP(N180,[2]!RUBROS[#All],3,0)</f>
        <v>#REF!</v>
      </c>
      <c r="P180" s="53" t="e">
        <f>VLOOKUP(N180,[2]!RUBROS[#All],2,0)</f>
        <v>#REF!</v>
      </c>
      <c r="Q180" s="47" t="str">
        <f t="shared" si="63"/>
        <v>73</v>
      </c>
      <c r="R180" s="47" t="str">
        <f t="shared" si="51"/>
        <v>4-271130</v>
      </c>
      <c r="S180" s="54">
        <v>45</v>
      </c>
      <c r="T180" s="59" t="s">
        <v>120</v>
      </c>
      <c r="U180" s="326" t="e">
        <f ca="1">_xlfn.XLOOKUP(PAA_4[[#This Row],[ITEM]],[2]Contrato!A:A,[2]Contrato!Q:Q,"",0)</f>
        <v>#NAME?</v>
      </c>
      <c r="V180" s="47" t="s">
        <v>42</v>
      </c>
      <c r="W180" s="47" t="s">
        <v>42</v>
      </c>
      <c r="X180" s="47" t="s">
        <v>42</v>
      </c>
      <c r="Y180" s="55" t="e">
        <f ca="1">_xlfn.XLOOKUP(PAA_4[[#This Row],[ITEM]],[2]Contrato!A:A,[2]Contrato!B:B,"",0)</f>
        <v>#NAME?</v>
      </c>
      <c r="Z180" s="47" t="e">
        <f ca="1">_xlfn.XLOOKUP(PAA_4[[#This Row],[ITEM]],[2]Contrato!A:A,[2]Contrato!G:G,"",0)</f>
        <v>#NAME?</v>
      </c>
      <c r="AA180" s="47" t="e">
        <f ca="1">_xlfn.XLOOKUP(PAA_4[[#This Row],[ITEM]],[2]Contrato!A:A,[2]Contrato!T:T,"",0)</f>
        <v>#NAME?</v>
      </c>
      <c r="AB180" s="55" t="e">
        <f ca="1">+MAX(PAA_4[[#This Row],[Comprometido Contrato]],PAA_4[[#This Row],[Comprometido Bolsa]])</f>
        <v>#NAME?</v>
      </c>
      <c r="AC180" s="55" t="str">
        <f t="shared" ca="1" si="64"/>
        <v/>
      </c>
      <c r="AD180" s="55" t="e">
        <f ca="1">IF(PAA_4[[#This Row],[ESTADO (formulado)]]="NO CONTRATADO",0,MAX(PAA_4[[#This Row],[Pago por Contrato]],PAA_4[[#This Row],[Pago por bolsa]]))</f>
        <v>#NAME?</v>
      </c>
      <c r="AE180" s="55" t="str">
        <f t="shared" ca="1" si="65"/>
        <v/>
      </c>
      <c r="AF180" s="47" t="e">
        <f t="shared" ca="1" si="66"/>
        <v>#NAME?</v>
      </c>
      <c r="AG180" s="47">
        <f t="shared" si="67"/>
        <v>52010703</v>
      </c>
      <c r="AH180" s="54">
        <f>IF(Q180="22",IF(ISNUMBER(SEARCH("econ",PAA_4[[#This Row],[Actividad3]])),"Económico",IF(ISNUMBER(SEARCH("alim",PAA_4[[#This Row],[Actividad3]])),"Alimentación",IF(ISNUMBER(SEARCH("educ",PAA_4[[#This Row],[Actividad3]])),"Educativo","Técnico"))),0)</f>
        <v>0</v>
      </c>
      <c r="AI180" s="47" t="e" cm="1">
        <f t="array" aca="1" ref="AI180" ca="1">_xlfn.XLOOKUP(PAA_4[[#This Row],[RCP-RUBRO]],[2]!COMPROMISOS_2024[[#All],[concatenado]],[2]!COMPROMISOS_2024[[#All],[Total pagado]],"",0)</f>
        <v>#NAME?</v>
      </c>
      <c r="AJ180" s="56">
        <f>IF(PAA_4[[#This Row],[BOLSA]]=0,0,SUMIFS([2]!COMPROMISOS_2024[[#All],[Total pagado]],[2]!COMPROMISOS_2024[[#All],[Bolsa]],PAA_4[[#This Row],[BOLSA]],[2]!COMPROMISOS_2024[[#All],[rubro]],PAA_4[[#This Row],[RCP-RUBRO]]))</f>
        <v>0</v>
      </c>
      <c r="AK180" s="47" t="e" cm="1">
        <f t="array" aca="1" ref="AK180" ca="1">_xlfn.XLOOKUP(PAA_4[[#This Row],[RCP-RUBRO]],[2]!COMPROMISOS_2024[[#All],[concatenado]],[2]!COMPROMISOS_2024[[#All],[Total Comprometido]],"",0)</f>
        <v>#NAME?</v>
      </c>
      <c r="AL180" s="47">
        <f>IF(PAA_4[[#This Row],[BOLSA]]=0,0,SUMIFS([2]!COMPROMISOS_2024[[#All],[Total Comprometido]],[2]!COMPROMISOS_2024[[#All],[Bolsa]],PAA_4[[#This Row],[BOLSA]],[2]!COMPROMISOS_2024[[#All],[concatenado]],PAA_4[[#This Row],[RCP-RUBRO]]))</f>
        <v>0</v>
      </c>
    </row>
    <row r="181" spans="1:38" s="19" customFormat="1" ht="31.5" customHeight="1">
      <c r="A181" s="47" t="s">
        <v>82</v>
      </c>
      <c r="B181" s="51" t="s">
        <v>42</v>
      </c>
      <c r="C181" s="47" t="str">
        <f>VLOOKUP(PAA_4[[#This Row],[PROYECTO (formulado)2]],[2]PROYECTOS!$G$1:$L$32,6,0)</f>
        <v>SUBGERENCIA DE FOMENTO Y DESARROLLO</v>
      </c>
      <c r="D181" s="47" t="str">
        <f>+IF(PAA_4[[#This Row],[UNIDAD DE CONTRATACION (formulado)]]="Subgerencia Administrativa y Financiera","FUNCIONAMIENTO","INVERSIÓN")</f>
        <v>INVERSIÓN</v>
      </c>
      <c r="E181" s="48" t="str">
        <f>VLOOKUP(Q181,[2]PROYECTOS!$G$1:$K$32,5,0)</f>
        <v>FORTALECIMIENTO_DE_LOS_JUEGOS_DEL_SECTOR_EDUCATIVO_EN_ANTIOQUIA</v>
      </c>
      <c r="F181" s="48">
        <f>VLOOKUP(E181,[2]PROYECTOS!$K$1:$M$32,3,0)</f>
        <v>2020003050034</v>
      </c>
      <c r="G181" s="49" t="s">
        <v>143</v>
      </c>
      <c r="H181" s="49" t="str">
        <f>VLOOKUP(Q181,[2]PROYECTOS!$V$1:$W$32,2,0)</f>
        <v>050053</v>
      </c>
      <c r="I181" s="50">
        <v>1</v>
      </c>
      <c r="J181" s="51" t="s">
        <v>1368</v>
      </c>
      <c r="K181" s="47" t="str">
        <f ca="1">IF(ISNONTEXT(Y181)=TRUE,"CONTRATADO","NO CONTRATADO")</f>
        <v>CONTRATADO</v>
      </c>
      <c r="L181" s="52" t="s">
        <v>42</v>
      </c>
      <c r="M181" s="52" t="s">
        <v>42</v>
      </c>
      <c r="N181" s="52" t="s">
        <v>144</v>
      </c>
      <c r="O181" s="51" t="e">
        <f>VLOOKUP(N181,[2]!RUBROS[#All],3,0)</f>
        <v>#REF!</v>
      </c>
      <c r="P181" s="53" t="e">
        <f>VLOOKUP(N181,[2]!RUBROS[#All],2,0)</f>
        <v>#REF!</v>
      </c>
      <c r="Q181" s="47" t="str">
        <f>+MID(N181,11,2)</f>
        <v>51</v>
      </c>
      <c r="R181" s="47" t="str">
        <f t="shared" si="51"/>
        <v>0-205128</v>
      </c>
      <c r="S181" s="47" t="s">
        <v>42</v>
      </c>
      <c r="T181" s="59" t="s">
        <v>42</v>
      </c>
      <c r="U181" s="326" t="e">
        <f ca="1">_xlfn.XLOOKUP(PAA_4[[#This Row],[ITEM]],[2]Contrato!A:A,[2]Contrato!Q:Q,"",0)</f>
        <v>#NAME?</v>
      </c>
      <c r="V181" s="47" t="s">
        <v>95</v>
      </c>
      <c r="W181" s="47" t="s">
        <v>42</v>
      </c>
      <c r="X181" s="47" t="s">
        <v>42</v>
      </c>
      <c r="Y181" s="55" t="e">
        <f ca="1">_xlfn.XLOOKUP(PAA_4[[#This Row],[ITEM]],[2]Contrato!A:A,[2]Contrato!B:B,"",0)</f>
        <v>#NAME?</v>
      </c>
      <c r="Z181" s="47" t="e">
        <f ca="1">_xlfn.XLOOKUP(PAA_4[[#This Row],[ITEM]],[2]Contrato!A:A,[2]Contrato!G:G,"",0)</f>
        <v>#NAME?</v>
      </c>
      <c r="AA181" s="47" t="e">
        <f ca="1">_xlfn.XLOOKUP(PAA_4[[#This Row],[ITEM]],[2]Contrato!A:A,[2]Contrato!T:T,"",0)</f>
        <v>#NAME?</v>
      </c>
      <c r="AB181" s="55" t="e">
        <f ca="1">+MAX(PAA_4[[#This Row],[Comprometido Contrato]],PAA_4[[#This Row],[Comprometido Bolsa]])</f>
        <v>#NAME?</v>
      </c>
      <c r="AC181" s="55" t="str">
        <f ca="1">IFERROR(I181-AB181,"")</f>
        <v/>
      </c>
      <c r="AD181" s="55" t="e">
        <f ca="1">IF(PAA_4[[#This Row],[ESTADO (formulado)]]="NO CONTRATADO",0,MAX(PAA_4[[#This Row],[Pago por Contrato]],PAA_4[[#This Row],[Pago por bolsa]]))</f>
        <v>#NAME?</v>
      </c>
      <c r="AE181" s="55" t="str">
        <f ca="1">+IFERROR(AB181-AD181,"")</f>
        <v/>
      </c>
      <c r="AF181" s="47" t="e">
        <f ca="1">+CONCATENATE(AA181,N181)</f>
        <v>#NAME?</v>
      </c>
      <c r="AG181" s="47">
        <f>IFERROR(_xlfn.NUMBERVALUE(MID(G181,1,8)),"")</f>
        <v>44021011</v>
      </c>
      <c r="AH181" s="54">
        <f>IF(Q181="22",IF(ISNUMBER(SEARCH("econ",PAA_4[[#This Row],[Actividad3]])),"Económico",IF(ISNUMBER(SEARCH("alim",PAA_4[[#This Row],[Actividad3]])),"Alimentación",IF(ISNUMBER(SEARCH("educ",PAA_4[[#This Row],[Actividad3]])),"Educativo","Técnico"))),0)</f>
        <v>0</v>
      </c>
      <c r="AI181" s="47" t="e" cm="1">
        <f t="array" aca="1" ref="AI181" ca="1">_xlfn.XLOOKUP(PAA_4[[#This Row],[RCP-RUBRO]],[2]!COMPROMISOS_2024[[#All],[concatenado]],[2]!COMPROMISOS_2024[[#All],[Total pagado]],"",0)</f>
        <v>#NAME?</v>
      </c>
      <c r="AJ181" s="56">
        <f>IF(PAA_4[[#This Row],[BOLSA]]=0,0,SUMIFS([2]!COMPROMISOS_2024[[#All],[Total pagado]],[2]!COMPROMISOS_2024[[#All],[Bolsa]],PAA_4[[#This Row],[BOLSA]],[2]!COMPROMISOS_2024[[#All],[rubro]],PAA_4[[#This Row],[RCP-RUBRO]]))</f>
        <v>0</v>
      </c>
      <c r="AK181" s="47" t="e" cm="1">
        <f t="array" aca="1" ref="AK181" ca="1">_xlfn.XLOOKUP(PAA_4[[#This Row],[RCP-RUBRO]],[2]!COMPROMISOS_2024[[#All],[concatenado]],[2]!COMPROMISOS_2024[[#All],[Total Comprometido]],"",0)</f>
        <v>#NAME?</v>
      </c>
      <c r="AL181" s="47">
        <f>IF(PAA_4[[#This Row],[BOLSA]]=0,0,SUMIFS([2]!COMPROMISOS_2024[[#All],[Total Comprometido]],[2]!COMPROMISOS_2024[[#All],[Bolsa]],PAA_4[[#This Row],[BOLSA]],[2]!COMPROMISOS_2024[[#All],[concatenado]],PAA_4[[#This Row],[RCP-RUBRO]]))</f>
        <v>0</v>
      </c>
    </row>
    <row r="182" spans="1:38" s="19" customFormat="1" ht="31.5" customHeight="1">
      <c r="A182" s="47">
        <v>574</v>
      </c>
      <c r="B182" s="51" t="s">
        <v>142</v>
      </c>
      <c r="C182" s="47" t="str">
        <f>VLOOKUP(PAA_4[[#This Row],[PROYECTO (formulado)2]],[2]PROYECTOS!$G$1:$L$32,6,0)</f>
        <v>SUBGERENCIA DE FOMENTO Y DESARROLLO</v>
      </c>
      <c r="D182" s="47" t="str">
        <f>+IF(PAA_4[[#This Row],[UNIDAD DE CONTRATACION (formulado)]]="Subgerencia Administrativa y Financiera","FUNCIONAMIENTO","INVERSIÓN")</f>
        <v>INVERSIÓN</v>
      </c>
      <c r="E182" s="48" t="str">
        <f>VLOOKUP(Q182,[2]PROYECTOS!$G$1:$K$32,5,0)</f>
        <v>FORTALECIMIENTO_DE_LOS_JUEGOS_DEL_SECTOR_EDUCATIVO_EN_ANTIOQUIA</v>
      </c>
      <c r="F182" s="48">
        <f>VLOOKUP(E182,[2]PROYECTOS!$K$1:$M$32,3,0)</f>
        <v>2020003050034</v>
      </c>
      <c r="G182" s="49" t="s">
        <v>143</v>
      </c>
      <c r="H182" s="49" t="str">
        <f>VLOOKUP(Q182,[2]PROYECTOS!$V$1:$W$32,2,0)</f>
        <v>050053</v>
      </c>
      <c r="I182" s="50">
        <f>881664067-1</f>
        <v>881664066</v>
      </c>
      <c r="J182" s="51" t="s">
        <v>1369</v>
      </c>
      <c r="K182" s="47" t="str">
        <f t="shared" ref="K182" ca="1" si="68">IF(ISNONTEXT(Y182)=TRUE,"CONTRATADO","NO CONTRATADO")</f>
        <v>CONTRATADO</v>
      </c>
      <c r="L182" s="47" t="s">
        <v>94</v>
      </c>
      <c r="M182" s="47" t="s">
        <v>1297</v>
      </c>
      <c r="N182" s="52" t="s">
        <v>144</v>
      </c>
      <c r="O182" s="51" t="e">
        <f>VLOOKUP(N182,[2]!RUBROS[#All],3,0)</f>
        <v>#REF!</v>
      </c>
      <c r="P182" s="53" t="e">
        <f>VLOOKUP(N182,[2]!RUBROS[#All],2,0)</f>
        <v>#REF!</v>
      </c>
      <c r="Q182" s="47" t="str">
        <f t="shared" ref="Q182" si="69">+MID(N182,11,2)</f>
        <v>51</v>
      </c>
      <c r="R182" s="47" t="str">
        <f t="shared" si="51"/>
        <v>0-205128</v>
      </c>
      <c r="S182" s="54">
        <v>3</v>
      </c>
      <c r="T182" s="59" t="s">
        <v>46</v>
      </c>
      <c r="U182" s="326" t="e">
        <f ca="1">_xlfn.XLOOKUP(PAA_4[[#This Row],[ITEM]],[2]Contrato!A:A,[2]Contrato!Q:Q,"",0)</f>
        <v>#NAME?</v>
      </c>
      <c r="V182" s="47" t="s">
        <v>95</v>
      </c>
      <c r="W182" s="47" t="s">
        <v>91</v>
      </c>
      <c r="X182" s="47" t="s">
        <v>91</v>
      </c>
      <c r="Y182" s="55" t="e">
        <f ca="1">_xlfn.XLOOKUP(PAA_4[[#This Row],[ITEM]],[2]Contrato!A:A,[2]Contrato!B:B,"",0)</f>
        <v>#NAME?</v>
      </c>
      <c r="Z182" s="47" t="e">
        <f ca="1">_xlfn.XLOOKUP(PAA_4[[#This Row],[ITEM]],[2]Contrato!A:A,[2]Contrato!G:G,"",0)</f>
        <v>#NAME?</v>
      </c>
      <c r="AA182" s="47" t="e">
        <f ca="1">_xlfn.XLOOKUP(PAA_4[[#This Row],[ITEM]],[2]Contrato!A:A,[2]Contrato!T:T,"",0)</f>
        <v>#NAME?</v>
      </c>
      <c r="AB182" s="55" t="e">
        <f ca="1">+MAX(PAA_4[[#This Row],[Comprometido Contrato]],PAA_4[[#This Row],[Comprometido Bolsa]])</f>
        <v>#NAME?</v>
      </c>
      <c r="AC182" s="55" t="str">
        <f t="shared" ref="AC182" ca="1" si="70">IFERROR(I182-AB182,"")</f>
        <v/>
      </c>
      <c r="AD182" s="55" t="e">
        <f ca="1">IF(PAA_4[[#This Row],[ESTADO (formulado)]]="NO CONTRATADO",0,MAX(PAA_4[[#This Row],[Pago por Contrato]],PAA_4[[#This Row],[Pago por bolsa]]))</f>
        <v>#NAME?</v>
      </c>
      <c r="AE182" s="55" t="str">
        <f t="shared" ref="AE182" ca="1" si="71">+IFERROR(AB182-AD182,"")</f>
        <v/>
      </c>
      <c r="AF182" s="47" t="e">
        <f t="shared" ref="AF182" ca="1" si="72">+CONCATENATE(AA182,N182)</f>
        <v>#NAME?</v>
      </c>
      <c r="AG182" s="47">
        <f t="shared" ref="AG182" si="73">IFERROR(_xlfn.NUMBERVALUE(MID(G182,1,8)),"")</f>
        <v>44021011</v>
      </c>
      <c r="AH182" s="54">
        <f>IF(Q182="22",IF(ISNUMBER(SEARCH("econ",PAA_4[[#This Row],[Actividad3]])),"Económico",IF(ISNUMBER(SEARCH("alim",PAA_4[[#This Row],[Actividad3]])),"Alimentación",IF(ISNUMBER(SEARCH("educ",PAA_4[[#This Row],[Actividad3]])),"Educativo","Técnico"))),0)</f>
        <v>0</v>
      </c>
      <c r="AI182" s="47" t="e" cm="1">
        <f t="array" aca="1" ref="AI182" ca="1">_xlfn.XLOOKUP(PAA_4[[#This Row],[RCP-RUBRO]],[2]!COMPROMISOS_2024[[#All],[concatenado]],[2]!COMPROMISOS_2024[[#All],[Total pagado]],"",0)</f>
        <v>#NAME?</v>
      </c>
      <c r="AJ182" s="56">
        <f>IF(PAA_4[[#This Row],[BOLSA]]=0,0,SUMIFS([2]!COMPROMISOS_2024[[#All],[Total pagado]],[2]!COMPROMISOS_2024[[#All],[Bolsa]],PAA_4[[#This Row],[BOLSA]],[2]!COMPROMISOS_2024[[#All],[rubro]],PAA_4[[#This Row],[RCP-RUBRO]]))</f>
        <v>0</v>
      </c>
      <c r="AK182" s="47" t="e" cm="1">
        <f t="array" aca="1" ref="AK182" ca="1">_xlfn.XLOOKUP(PAA_4[[#This Row],[RCP-RUBRO]],[2]!COMPROMISOS_2024[[#All],[concatenado]],[2]!COMPROMISOS_2024[[#All],[Total Comprometido]],"",0)</f>
        <v>#NAME?</v>
      </c>
      <c r="AL182" s="47">
        <f>IF(PAA_4[[#This Row],[BOLSA]]=0,0,SUMIFS([2]!COMPROMISOS_2024[[#All],[Total Comprometido]],[2]!COMPROMISOS_2024[[#All],[Bolsa]],PAA_4[[#This Row],[BOLSA]],[2]!COMPROMISOS_2024[[#All],[concatenado]],PAA_4[[#This Row],[RCP-RUBRO]]))</f>
        <v>0</v>
      </c>
    </row>
    <row r="183" spans="1:38" s="19" customFormat="1" ht="31.5" customHeight="1">
      <c r="A183" s="47" t="s">
        <v>82</v>
      </c>
      <c r="B183" s="51" t="s">
        <v>42</v>
      </c>
      <c r="C183" s="47" t="str">
        <f>VLOOKUP(PAA_4[[#This Row],[PROYECTO (formulado)2]],[2]PROYECTOS!$G$1:$L$32,6,0)</f>
        <v>SUBGERENCIA DE FOMENTO Y DESARROLLO</v>
      </c>
      <c r="D183" s="47" t="str">
        <f>+IF(PAA_4[[#This Row],[UNIDAD DE CONTRATACION (formulado)]]="Subgerencia Administrativa y Financiera","FUNCIONAMIENTO","INVERSIÓN")</f>
        <v>INVERSIÓN</v>
      </c>
      <c r="E183" s="48" t="str">
        <f>VLOOKUP(Q183,[2]PROYECTOS!$G$1:$K$32,5,0)</f>
        <v>FORTALECIMIENTO_DE_LOS_JUEGOS_DEL_SECTOR_EDUCATIVO_EN_ANTIOQUIA</v>
      </c>
      <c r="F183" s="48">
        <f>VLOOKUP(E183,[2]PROYECTOS!$K$1:$M$32,3,0)</f>
        <v>2020003050034</v>
      </c>
      <c r="G183" s="49" t="s">
        <v>143</v>
      </c>
      <c r="H183" s="49" t="str">
        <f>VLOOKUP(Q183,[2]PROYECTOS!$V$1:$W$32,2,0)</f>
        <v>050053</v>
      </c>
      <c r="I183" s="50">
        <v>2228942</v>
      </c>
      <c r="J183" s="51" t="s">
        <v>1368</v>
      </c>
      <c r="K183" s="47" t="str">
        <f ca="1">IF(ISNONTEXT(Y183)=TRUE,"CONTRATADO","NO CONTRATADO")</f>
        <v>CONTRATADO</v>
      </c>
      <c r="L183" s="47" t="s">
        <v>42</v>
      </c>
      <c r="M183" s="47" t="s">
        <v>42</v>
      </c>
      <c r="N183" s="52" t="s">
        <v>145</v>
      </c>
      <c r="O183" s="51" t="e">
        <f>VLOOKUP(N183,[2]!RUBROS[#All],3,0)</f>
        <v>#REF!</v>
      </c>
      <c r="P183" s="53" t="e">
        <f>VLOOKUP(N183,[2]!RUBROS[#All],2,0)</f>
        <v>#REF!</v>
      </c>
      <c r="Q183" s="47" t="str">
        <f>+MID(N183,11,2)</f>
        <v>51</v>
      </c>
      <c r="R183" s="47" t="str">
        <f t="shared" si="51"/>
        <v>0-205400</v>
      </c>
      <c r="S183" s="47" t="s">
        <v>42</v>
      </c>
      <c r="T183" s="59" t="s">
        <v>42</v>
      </c>
      <c r="U183" s="326" t="e">
        <f ca="1">_xlfn.XLOOKUP(PAA_4[[#This Row],[ITEM]],[2]Contrato!A:A,[2]Contrato!Q:Q,"",0)</f>
        <v>#NAME?</v>
      </c>
      <c r="V183" s="47" t="s">
        <v>95</v>
      </c>
      <c r="W183" s="47" t="s">
        <v>42</v>
      </c>
      <c r="X183" s="47" t="s">
        <v>42</v>
      </c>
      <c r="Y183" s="55" t="e">
        <f ca="1">_xlfn.XLOOKUP(PAA_4[[#This Row],[ITEM]],[2]Contrato!A:A,[2]Contrato!B:B,"",0)</f>
        <v>#NAME?</v>
      </c>
      <c r="Z183" s="47" t="e">
        <f ca="1">_xlfn.XLOOKUP(PAA_4[[#This Row],[ITEM]],[2]Contrato!A:A,[2]Contrato!G:G,"",0)</f>
        <v>#NAME?</v>
      </c>
      <c r="AA183" s="47" t="e">
        <f ca="1">_xlfn.XLOOKUP(PAA_4[[#This Row],[ITEM]],[2]Contrato!A:A,[2]Contrato!T:T,"",0)</f>
        <v>#NAME?</v>
      </c>
      <c r="AB183" s="55" t="e">
        <f ca="1">+MAX(PAA_4[[#This Row],[Comprometido Contrato]],PAA_4[[#This Row],[Comprometido Bolsa]])</f>
        <v>#NAME?</v>
      </c>
      <c r="AC183" s="55" t="str">
        <f ca="1">IFERROR(I183-AB183,"")</f>
        <v/>
      </c>
      <c r="AD183" s="55" t="e">
        <f ca="1">IF(PAA_4[[#This Row],[ESTADO (formulado)]]="NO CONTRATADO",0,MAX(PAA_4[[#This Row],[Pago por Contrato]],PAA_4[[#This Row],[Pago por bolsa]]))</f>
        <v>#NAME?</v>
      </c>
      <c r="AE183" s="55" t="str">
        <f ca="1">+IFERROR(AB183-AD183,"")</f>
        <v/>
      </c>
      <c r="AF183" s="47" t="e">
        <f ca="1">+CONCATENATE(AA183,N183)</f>
        <v>#NAME?</v>
      </c>
      <c r="AG183" s="47">
        <f>IFERROR(_xlfn.NUMBERVALUE(MID(G183,1,8)),"")</f>
        <v>44021011</v>
      </c>
      <c r="AH183" s="54">
        <f>IF(Q183="22",IF(ISNUMBER(SEARCH("econ",PAA_4[[#This Row],[Actividad3]])),"Económico",IF(ISNUMBER(SEARCH("alim",PAA_4[[#This Row],[Actividad3]])),"Alimentación",IF(ISNUMBER(SEARCH("educ",PAA_4[[#This Row],[Actividad3]])),"Educativo","Técnico"))),0)</f>
        <v>0</v>
      </c>
      <c r="AI183" s="47" t="e" cm="1">
        <f t="array" aca="1" ref="AI183" ca="1">_xlfn.XLOOKUP(PAA_4[[#This Row],[RCP-RUBRO]],[2]!COMPROMISOS_2024[[#All],[concatenado]],[2]!COMPROMISOS_2024[[#All],[Total pagado]],"",0)</f>
        <v>#NAME?</v>
      </c>
      <c r="AJ183" s="56">
        <f>IF(PAA_4[[#This Row],[BOLSA]]=0,0,SUMIFS([2]!COMPROMISOS_2024[[#All],[Total pagado]],[2]!COMPROMISOS_2024[[#All],[Bolsa]],PAA_4[[#This Row],[BOLSA]],[2]!COMPROMISOS_2024[[#All],[rubro]],PAA_4[[#This Row],[RCP-RUBRO]]))</f>
        <v>0</v>
      </c>
      <c r="AK183" s="47" t="e" cm="1">
        <f t="array" aca="1" ref="AK183" ca="1">_xlfn.XLOOKUP(PAA_4[[#This Row],[RCP-RUBRO]],[2]!COMPROMISOS_2024[[#All],[concatenado]],[2]!COMPROMISOS_2024[[#All],[Total Comprometido]],"",0)</f>
        <v>#NAME?</v>
      </c>
      <c r="AL183" s="47">
        <f>IF(PAA_4[[#This Row],[BOLSA]]=0,0,SUMIFS([2]!COMPROMISOS_2024[[#All],[Total Comprometido]],[2]!COMPROMISOS_2024[[#All],[Bolsa]],PAA_4[[#This Row],[BOLSA]],[2]!COMPROMISOS_2024[[#All],[concatenado]],PAA_4[[#This Row],[RCP-RUBRO]]))</f>
        <v>0</v>
      </c>
    </row>
    <row r="184" spans="1:38" s="19" customFormat="1" ht="31.5" customHeight="1">
      <c r="A184" s="47">
        <v>574</v>
      </c>
      <c r="B184" s="51" t="s">
        <v>142</v>
      </c>
      <c r="C184" s="47" t="str">
        <f>VLOOKUP(PAA_4[[#This Row],[PROYECTO (formulado)2]],[2]PROYECTOS!$G$1:$L$32,6,0)</f>
        <v>SUBGERENCIA DE FOMENTO Y DESARROLLO</v>
      </c>
      <c r="D184" s="47" t="str">
        <f>+IF(PAA_4[[#This Row],[UNIDAD DE CONTRATACION (formulado)]]="Subgerencia Administrativa y Financiera","FUNCIONAMIENTO","INVERSIÓN")</f>
        <v>INVERSIÓN</v>
      </c>
      <c r="E184" s="48" t="str">
        <f>VLOOKUP(Q184,[2]PROYECTOS!$G$1:$K$32,5,0)</f>
        <v>FORTALECIMIENTO_DE_LOS_JUEGOS_DEL_SECTOR_EDUCATIVO_EN_ANTIOQUIA</v>
      </c>
      <c r="F184" s="48">
        <f>VLOOKUP(E184,[2]PROYECTOS!$K$1:$M$32,3,0)</f>
        <v>2020003050034</v>
      </c>
      <c r="G184" s="49" t="s">
        <v>143</v>
      </c>
      <c r="H184" s="49" t="str">
        <f>VLOOKUP(Q184,[2]PROYECTOS!$V$1:$W$32,2,0)</f>
        <v>050053</v>
      </c>
      <c r="I184" s="50">
        <f>315298328-2228942</f>
        <v>313069386</v>
      </c>
      <c r="J184" s="51" t="s">
        <v>1370</v>
      </c>
      <c r="K184" s="47" t="str">
        <f t="shared" ref="K184:K187" ca="1" si="74">IF(ISNONTEXT(Y184)=TRUE,"CONTRATADO","NO CONTRATADO")</f>
        <v>CONTRATADO</v>
      </c>
      <c r="L184" s="47" t="s">
        <v>94</v>
      </c>
      <c r="M184" s="47" t="s">
        <v>1297</v>
      </c>
      <c r="N184" s="52" t="s">
        <v>145</v>
      </c>
      <c r="O184" s="51" t="e">
        <f>VLOOKUP(N184,[2]!RUBROS[#All],3,0)</f>
        <v>#REF!</v>
      </c>
      <c r="P184" s="53" t="e">
        <f>VLOOKUP(N184,[2]!RUBROS[#All],2,0)</f>
        <v>#REF!</v>
      </c>
      <c r="Q184" s="47" t="str">
        <f t="shared" ref="Q184:Q187" si="75">+MID(N184,11,2)</f>
        <v>51</v>
      </c>
      <c r="R184" s="47" t="str">
        <f t="shared" si="51"/>
        <v>0-205400</v>
      </c>
      <c r="S184" s="54">
        <v>3</v>
      </c>
      <c r="T184" s="59" t="s">
        <v>46</v>
      </c>
      <c r="U184" s="326" t="e">
        <f ca="1">_xlfn.XLOOKUP(PAA_4[[#This Row],[ITEM]],[2]Contrato!A:A,[2]Contrato!Q:Q,"",0)</f>
        <v>#NAME?</v>
      </c>
      <c r="V184" s="47" t="s">
        <v>95</v>
      </c>
      <c r="W184" s="47" t="s">
        <v>91</v>
      </c>
      <c r="X184" s="47" t="s">
        <v>91</v>
      </c>
      <c r="Y184" s="55" t="e">
        <f ca="1">_xlfn.XLOOKUP(PAA_4[[#This Row],[ITEM]],[2]Contrato!A:A,[2]Contrato!B:B,"",0)</f>
        <v>#NAME?</v>
      </c>
      <c r="Z184" s="47" t="e">
        <f ca="1">_xlfn.XLOOKUP(PAA_4[[#This Row],[ITEM]],[2]Contrato!A:A,[2]Contrato!G:G,"",0)</f>
        <v>#NAME?</v>
      </c>
      <c r="AA184" s="47" t="e">
        <f ca="1">_xlfn.XLOOKUP(PAA_4[[#This Row],[ITEM]],[2]Contrato!A:A,[2]Contrato!T:T,"",0)</f>
        <v>#NAME?</v>
      </c>
      <c r="AB184" s="55" t="e">
        <f ca="1">+MAX(PAA_4[[#This Row],[Comprometido Contrato]],PAA_4[[#This Row],[Comprometido Bolsa]])</f>
        <v>#NAME?</v>
      </c>
      <c r="AC184" s="55" t="str">
        <f t="shared" ref="AC184:AC187" ca="1" si="76">IFERROR(I184-AB184,"")</f>
        <v/>
      </c>
      <c r="AD184" s="55" t="e">
        <f ca="1">IF(PAA_4[[#This Row],[ESTADO (formulado)]]="NO CONTRATADO",0,MAX(PAA_4[[#This Row],[Pago por Contrato]],PAA_4[[#This Row],[Pago por bolsa]]))</f>
        <v>#NAME?</v>
      </c>
      <c r="AE184" s="55" t="str">
        <f t="shared" ref="AE184:AE187" ca="1" si="77">+IFERROR(AB184-AD184,"")</f>
        <v/>
      </c>
      <c r="AF184" s="47" t="e">
        <f t="shared" ref="AF184:AF187" ca="1" si="78">+CONCATENATE(AA184,N184)</f>
        <v>#NAME?</v>
      </c>
      <c r="AG184" s="47">
        <f t="shared" ref="AG184:AG187" si="79">IFERROR(_xlfn.NUMBERVALUE(MID(G184,1,8)),"")</f>
        <v>44021011</v>
      </c>
      <c r="AH184" s="54">
        <f>IF(Q184="22",IF(ISNUMBER(SEARCH("econ",PAA_4[[#This Row],[Actividad3]])),"Económico",IF(ISNUMBER(SEARCH("alim",PAA_4[[#This Row],[Actividad3]])),"Alimentación",IF(ISNUMBER(SEARCH("educ",PAA_4[[#This Row],[Actividad3]])),"Educativo","Técnico"))),0)</f>
        <v>0</v>
      </c>
      <c r="AI184" s="47" t="e" cm="1">
        <f t="array" aca="1" ref="AI184" ca="1">_xlfn.XLOOKUP(PAA_4[[#This Row],[RCP-RUBRO]],[2]!COMPROMISOS_2024[[#All],[concatenado]],[2]!COMPROMISOS_2024[[#All],[Total pagado]],"",0)</f>
        <v>#NAME?</v>
      </c>
      <c r="AJ184" s="56">
        <f>IF(PAA_4[[#This Row],[BOLSA]]=0,0,SUMIFS([2]!COMPROMISOS_2024[[#All],[Total pagado]],[2]!COMPROMISOS_2024[[#All],[Bolsa]],PAA_4[[#This Row],[BOLSA]],[2]!COMPROMISOS_2024[[#All],[rubro]],PAA_4[[#This Row],[RCP-RUBRO]]))</f>
        <v>0</v>
      </c>
      <c r="AK184" s="47" t="e" cm="1">
        <f t="array" aca="1" ref="AK184" ca="1">_xlfn.XLOOKUP(PAA_4[[#This Row],[RCP-RUBRO]],[2]!COMPROMISOS_2024[[#All],[concatenado]],[2]!COMPROMISOS_2024[[#All],[Total Comprometido]],"",0)</f>
        <v>#NAME?</v>
      </c>
      <c r="AL184" s="47">
        <f>IF(PAA_4[[#This Row],[BOLSA]]=0,0,SUMIFS([2]!COMPROMISOS_2024[[#All],[Total Comprometido]],[2]!COMPROMISOS_2024[[#All],[Bolsa]],PAA_4[[#This Row],[BOLSA]],[2]!COMPROMISOS_2024[[#All],[concatenado]],PAA_4[[#This Row],[RCP-RUBRO]]))</f>
        <v>0</v>
      </c>
    </row>
    <row r="185" spans="1:38" s="19" customFormat="1" ht="31.5" customHeight="1">
      <c r="A185" s="47">
        <v>581</v>
      </c>
      <c r="B185" s="47">
        <v>80111600</v>
      </c>
      <c r="C185" s="47" t="str">
        <f>VLOOKUP(PAA_4[[#This Row],[PROYECTO (formulado)2]],[2]PROYECTOS!$G$1:$L$32,6,0)</f>
        <v>SUBGERENCIA ADMINISTRATIVA Y FINANCIERA</v>
      </c>
      <c r="D185" s="47" t="str">
        <f>+IF(PAA_4[[#This Row],[UNIDAD DE CONTRATACION (formulado)]]="Subgerencia Administrativa y Financiera","FUNCIONAMIENTO","INVERSIÓN")</f>
        <v>FUNCIONAMIENTO</v>
      </c>
      <c r="E185" s="48" t="str">
        <f>VLOOKUP(Q185,[2]PROYECTOS!$G$1:$K$32,5,0)</f>
        <v>FUNCIONAMIENTO</v>
      </c>
      <c r="F185" s="48">
        <f>VLOOKUP(E185,[2]PROYECTOS!$K$1:$M$32,3,0)</f>
        <v>999999</v>
      </c>
      <c r="G185" s="49" t="s">
        <v>43</v>
      </c>
      <c r="H185" s="49">
        <f>VLOOKUP(Q185,[2]PROYECTOS!$V$1:$W$32,2,0)</f>
        <v>999999</v>
      </c>
      <c r="I185" s="50">
        <v>23916366</v>
      </c>
      <c r="J185" s="51" t="s">
        <v>1371</v>
      </c>
      <c r="K185" s="47" t="str">
        <f t="shared" ca="1" si="74"/>
        <v>CONTRATADO</v>
      </c>
      <c r="L185" s="47" t="s">
        <v>94</v>
      </c>
      <c r="M185" s="47" t="s">
        <v>1297</v>
      </c>
      <c r="N185" s="52" t="s">
        <v>90</v>
      </c>
      <c r="O185" s="51" t="e">
        <f>VLOOKUP(N185,[2]!RUBROS[#All],3,0)</f>
        <v>#REF!</v>
      </c>
      <c r="P185" s="53" t="e">
        <f>VLOOKUP(N185,[2]!RUBROS[#All],2,0)</f>
        <v>#REF!</v>
      </c>
      <c r="Q185" s="47" t="str">
        <f t="shared" si="75"/>
        <v>00</v>
      </c>
      <c r="R185" s="47" t="str">
        <f t="shared" si="51"/>
        <v>0-205616</v>
      </c>
      <c r="S185" s="54">
        <v>6</v>
      </c>
      <c r="T185" s="59" t="s">
        <v>46</v>
      </c>
      <c r="U185" s="326" t="e">
        <f ca="1">_xlfn.XLOOKUP(PAA_4[[#This Row],[ITEM]],[2]Contrato!A:A,[2]Contrato!Q:Q,"",0)</f>
        <v>#NAME?</v>
      </c>
      <c r="V185" s="47" t="s">
        <v>95</v>
      </c>
      <c r="W185" s="47" t="s">
        <v>96</v>
      </c>
      <c r="X185" s="47" t="s">
        <v>96</v>
      </c>
      <c r="Y185" s="55" t="e">
        <f ca="1">_xlfn.XLOOKUP(PAA_4[[#This Row],[ITEM]],[2]Contrato!A:A,[2]Contrato!B:B,"",0)</f>
        <v>#NAME?</v>
      </c>
      <c r="Z185" s="47" t="e">
        <f ca="1">_xlfn.XLOOKUP(PAA_4[[#This Row],[ITEM]],[2]Contrato!A:A,[2]Contrato!G:G,"",0)</f>
        <v>#NAME?</v>
      </c>
      <c r="AA185" s="47" t="e">
        <f ca="1">_xlfn.XLOOKUP(PAA_4[[#This Row],[ITEM]],[2]Contrato!A:A,[2]Contrato!T:T,"",0)</f>
        <v>#NAME?</v>
      </c>
      <c r="AB185" s="55" t="e">
        <f ca="1">+MAX(PAA_4[[#This Row],[Comprometido Contrato]],PAA_4[[#This Row],[Comprometido Bolsa]])</f>
        <v>#NAME?</v>
      </c>
      <c r="AC185" s="55" t="str">
        <f t="shared" ca="1" si="76"/>
        <v/>
      </c>
      <c r="AD185" s="55" t="e">
        <f ca="1">IF(PAA_4[[#This Row],[ESTADO (formulado)]]="NO CONTRATADO",0,MAX(PAA_4[[#This Row],[Pago por Contrato]],PAA_4[[#This Row],[Pago por bolsa]]))</f>
        <v>#NAME?</v>
      </c>
      <c r="AE185" s="55" t="str">
        <f t="shared" ca="1" si="77"/>
        <v/>
      </c>
      <c r="AF185" s="47" t="e">
        <f t="shared" ca="1" si="78"/>
        <v>#NAME?</v>
      </c>
      <c r="AG185" s="47" t="str">
        <f t="shared" si="79"/>
        <v/>
      </c>
      <c r="AH185" s="54">
        <f>IF(Q185="22",IF(ISNUMBER(SEARCH("econ",PAA_4[[#This Row],[Actividad3]])),"Económico",IF(ISNUMBER(SEARCH("alim",PAA_4[[#This Row],[Actividad3]])),"Alimentación",IF(ISNUMBER(SEARCH("educ",PAA_4[[#This Row],[Actividad3]])),"Educativo","Técnico"))),0)</f>
        <v>0</v>
      </c>
      <c r="AI185" s="47" t="e" cm="1">
        <f t="array" aca="1" ref="AI185" ca="1">_xlfn.XLOOKUP(PAA_4[[#This Row],[RCP-RUBRO]],[2]!COMPROMISOS_2024[[#All],[concatenado]],[2]!COMPROMISOS_2024[[#All],[Total pagado]],"",0)</f>
        <v>#NAME?</v>
      </c>
      <c r="AJ185" s="56">
        <f>IF(PAA_4[[#This Row],[BOLSA]]=0,0,SUMIFS([2]!COMPROMISOS_2024[[#All],[Total pagado]],[2]!COMPROMISOS_2024[[#All],[Bolsa]],PAA_4[[#This Row],[BOLSA]],[2]!COMPROMISOS_2024[[#All],[rubro]],PAA_4[[#This Row],[RCP-RUBRO]]))</f>
        <v>0</v>
      </c>
      <c r="AK185" s="47" t="e" cm="1">
        <f t="array" aca="1" ref="AK185" ca="1">_xlfn.XLOOKUP(PAA_4[[#This Row],[RCP-RUBRO]],[2]!COMPROMISOS_2024[[#All],[concatenado]],[2]!COMPROMISOS_2024[[#All],[Total Comprometido]],"",0)</f>
        <v>#NAME?</v>
      </c>
      <c r="AL185" s="47">
        <f>IF(PAA_4[[#This Row],[BOLSA]]=0,0,SUMIFS([2]!COMPROMISOS_2024[[#All],[Total Comprometido]],[2]!COMPROMISOS_2024[[#All],[Bolsa]],PAA_4[[#This Row],[BOLSA]],[2]!COMPROMISOS_2024[[#All],[concatenado]],PAA_4[[#This Row],[RCP-RUBRO]]))</f>
        <v>0</v>
      </c>
    </row>
    <row r="186" spans="1:38" s="19" customFormat="1" ht="31.5" customHeight="1">
      <c r="A186" s="47">
        <v>582</v>
      </c>
      <c r="B186" s="47">
        <v>80111600</v>
      </c>
      <c r="C186" s="47" t="str">
        <f>VLOOKUP(PAA_4[[#This Row],[PROYECTO (formulado)2]],[2]PROYECTOS!$G$1:$L$32,6,0)</f>
        <v>SUBGERENCIA ADMINISTRATIVA Y FINANCIERA</v>
      </c>
      <c r="D186" s="47" t="str">
        <f>+IF(PAA_4[[#This Row],[UNIDAD DE CONTRATACION (formulado)]]="Subgerencia Administrativa y Financiera","FUNCIONAMIENTO","INVERSIÓN")</f>
        <v>FUNCIONAMIENTO</v>
      </c>
      <c r="E186" s="48" t="str">
        <f>VLOOKUP(Q186,[2]PROYECTOS!$G$1:$K$32,5,0)</f>
        <v>FUNCIONAMIENTO</v>
      </c>
      <c r="F186" s="48">
        <f>VLOOKUP(E186,[2]PROYECTOS!$K$1:$M$32,3,0)</f>
        <v>999999</v>
      </c>
      <c r="G186" s="49" t="s">
        <v>43</v>
      </c>
      <c r="H186" s="49">
        <f>VLOOKUP(Q186,[2]PROYECTOS!$V$1:$W$32,2,0)</f>
        <v>999999</v>
      </c>
      <c r="I186" s="78">
        <v>293946</v>
      </c>
      <c r="J186" s="51" t="s">
        <v>132</v>
      </c>
      <c r="K186" s="47" t="str">
        <f t="shared" ca="1" si="74"/>
        <v>CONTRATADO</v>
      </c>
      <c r="L186" s="47" t="s">
        <v>94</v>
      </c>
      <c r="M186" s="47" t="s">
        <v>1297</v>
      </c>
      <c r="N186" s="52" t="s">
        <v>90</v>
      </c>
      <c r="O186" s="51" t="e">
        <f>VLOOKUP(N186,[2]!RUBROS[#All],3,0)</f>
        <v>#REF!</v>
      </c>
      <c r="P186" s="53" t="e">
        <f>VLOOKUP(N186,[2]!RUBROS[#All],2,0)</f>
        <v>#REF!</v>
      </c>
      <c r="Q186" s="47" t="str">
        <f t="shared" si="75"/>
        <v>00</v>
      </c>
      <c r="R186" s="47" t="str">
        <f t="shared" si="51"/>
        <v>0-205616</v>
      </c>
      <c r="S186" s="54">
        <v>6</v>
      </c>
      <c r="T186" s="59" t="s">
        <v>46</v>
      </c>
      <c r="U186" s="326" t="e">
        <f ca="1">_xlfn.XLOOKUP(PAA_4[[#This Row],[ITEM]],[2]Contrato!A:A,[2]Contrato!Q:Q,"",0)</f>
        <v>#NAME?</v>
      </c>
      <c r="V186" s="47" t="s">
        <v>95</v>
      </c>
      <c r="W186" s="47" t="s">
        <v>96</v>
      </c>
      <c r="X186" s="47" t="s">
        <v>96</v>
      </c>
      <c r="Y186" s="55" t="e">
        <f ca="1">_xlfn.XLOOKUP(PAA_4[[#This Row],[ITEM]],[2]Contrato!A:A,[2]Contrato!B:B,"",0)</f>
        <v>#NAME?</v>
      </c>
      <c r="Z186" s="47" t="e">
        <f ca="1">_xlfn.XLOOKUP(PAA_4[[#This Row],[ITEM]],[2]Contrato!A:A,[2]Contrato!G:G,"",0)</f>
        <v>#NAME?</v>
      </c>
      <c r="AA186" s="47" t="e">
        <f ca="1">_xlfn.XLOOKUP(PAA_4[[#This Row],[ITEM]],[2]Contrato!A:A,[2]Contrato!T:T,"",0)</f>
        <v>#NAME?</v>
      </c>
      <c r="AB186" s="55" t="e">
        <f ca="1">+MAX(PAA_4[[#This Row],[Comprometido Contrato]],PAA_4[[#This Row],[Comprometido Bolsa]])</f>
        <v>#NAME?</v>
      </c>
      <c r="AC186" s="55" t="str">
        <f t="shared" ca="1" si="76"/>
        <v/>
      </c>
      <c r="AD186" s="55" t="e">
        <f ca="1">IF(PAA_4[[#This Row],[ESTADO (formulado)]]="NO CONTRATADO",0,MAX(PAA_4[[#This Row],[Pago por Contrato]],PAA_4[[#This Row],[Pago por bolsa]]))</f>
        <v>#NAME?</v>
      </c>
      <c r="AE186" s="55" t="str">
        <f t="shared" ca="1" si="77"/>
        <v/>
      </c>
      <c r="AF186" s="47" t="e">
        <f t="shared" ca="1" si="78"/>
        <v>#NAME?</v>
      </c>
      <c r="AG186" s="47" t="str">
        <f t="shared" si="79"/>
        <v/>
      </c>
      <c r="AH186" s="54">
        <f>IF(Q186="22",IF(ISNUMBER(SEARCH("econ",PAA_4[[#This Row],[Actividad3]])),"Económico",IF(ISNUMBER(SEARCH("alim",PAA_4[[#This Row],[Actividad3]])),"Alimentación",IF(ISNUMBER(SEARCH("educ",PAA_4[[#This Row],[Actividad3]])),"Educativo","Técnico"))),0)</f>
        <v>0</v>
      </c>
      <c r="AI186" s="47" t="e" cm="1">
        <f t="array" aca="1" ref="AI186" ca="1">_xlfn.XLOOKUP(PAA_4[[#This Row],[RCP-RUBRO]],[2]!COMPROMISOS_2024[[#All],[concatenado]],[2]!COMPROMISOS_2024[[#All],[Total pagado]],"",0)</f>
        <v>#NAME?</v>
      </c>
      <c r="AJ186" s="56">
        <f>IF(PAA_4[[#This Row],[BOLSA]]=0,0,SUMIFS([2]!COMPROMISOS_2024[[#All],[Total pagado]],[2]!COMPROMISOS_2024[[#All],[Bolsa]],PAA_4[[#This Row],[BOLSA]],[2]!COMPROMISOS_2024[[#All],[rubro]],PAA_4[[#This Row],[RCP-RUBRO]]))</f>
        <v>0</v>
      </c>
      <c r="AK186" s="47" t="e" cm="1">
        <f t="array" aca="1" ref="AK186" ca="1">_xlfn.XLOOKUP(PAA_4[[#This Row],[RCP-RUBRO]],[2]!COMPROMISOS_2024[[#All],[concatenado]],[2]!COMPROMISOS_2024[[#All],[Total Comprometido]],"",0)</f>
        <v>#NAME?</v>
      </c>
      <c r="AL186" s="47">
        <f>IF(PAA_4[[#This Row],[BOLSA]]=0,0,SUMIFS([2]!COMPROMISOS_2024[[#All],[Total Comprometido]],[2]!COMPROMISOS_2024[[#All],[Bolsa]],PAA_4[[#This Row],[BOLSA]],[2]!COMPROMISOS_2024[[#All],[concatenado]],PAA_4[[#This Row],[RCP-RUBRO]]))</f>
        <v>0</v>
      </c>
    </row>
    <row r="187" spans="1:38" s="19" customFormat="1" ht="31.5" customHeight="1">
      <c r="A187" s="47">
        <v>583</v>
      </c>
      <c r="B187" s="47">
        <v>80111600</v>
      </c>
      <c r="C187" s="47" t="str">
        <f>VLOOKUP(PAA_4[[#This Row],[PROYECTO (formulado)2]],[2]PROYECTOS!$G$1:$L$32,6,0)</f>
        <v>SUBGERENCIA ADMINISTRATIVA Y FINANCIERA</v>
      </c>
      <c r="D187" s="47" t="str">
        <f>+IF(PAA_4[[#This Row],[UNIDAD DE CONTRATACION (formulado)]]="Subgerencia Administrativa y Financiera","FUNCIONAMIENTO","INVERSIÓN")</f>
        <v>FUNCIONAMIENTO</v>
      </c>
      <c r="E187" s="48" t="str">
        <f>VLOOKUP(Q187,[2]PROYECTOS!$G$1:$K$32,5,0)</f>
        <v>FUNCIONAMIENTO</v>
      </c>
      <c r="F187" s="48">
        <f>VLOOKUP(E187,[2]PROYECTOS!$K$1:$M$32,3,0)</f>
        <v>999999</v>
      </c>
      <c r="G187" s="49" t="s">
        <v>43</v>
      </c>
      <c r="H187" s="49">
        <f>VLOOKUP(Q187,[2]PROYECTOS!$V$1:$W$32,2,0)</f>
        <v>999999</v>
      </c>
      <c r="I187" s="50">
        <v>20279118</v>
      </c>
      <c r="J187" s="51" t="s">
        <v>1372</v>
      </c>
      <c r="K187" s="47" t="str">
        <f t="shared" ca="1" si="74"/>
        <v>CONTRATADO</v>
      </c>
      <c r="L187" s="47" t="s">
        <v>94</v>
      </c>
      <c r="M187" s="47" t="s">
        <v>1297</v>
      </c>
      <c r="N187" s="52" t="s">
        <v>90</v>
      </c>
      <c r="O187" s="51" t="e">
        <f>VLOOKUP(N187,[2]!RUBROS[#All],3,0)</f>
        <v>#REF!</v>
      </c>
      <c r="P187" s="53" t="e">
        <f>VLOOKUP(N187,[2]!RUBROS[#All],2,0)</f>
        <v>#REF!</v>
      </c>
      <c r="Q187" s="47" t="str">
        <f t="shared" si="75"/>
        <v>00</v>
      </c>
      <c r="R187" s="47" t="str">
        <f t="shared" si="51"/>
        <v>0-205616</v>
      </c>
      <c r="S187" s="54">
        <v>6</v>
      </c>
      <c r="T187" s="59" t="s">
        <v>46</v>
      </c>
      <c r="U187" s="326" t="e">
        <f ca="1">_xlfn.XLOOKUP(PAA_4[[#This Row],[ITEM]],[2]Contrato!A:A,[2]Contrato!Q:Q,"",0)</f>
        <v>#NAME?</v>
      </c>
      <c r="V187" s="47" t="s">
        <v>95</v>
      </c>
      <c r="W187" s="47" t="s">
        <v>96</v>
      </c>
      <c r="X187" s="47" t="s">
        <v>96</v>
      </c>
      <c r="Y187" s="55" t="e">
        <f ca="1">_xlfn.XLOOKUP(PAA_4[[#This Row],[ITEM]],[2]Contrato!A:A,[2]Contrato!B:B,"",0)</f>
        <v>#NAME?</v>
      </c>
      <c r="Z187" s="47" t="e">
        <f ca="1">_xlfn.XLOOKUP(PAA_4[[#This Row],[ITEM]],[2]Contrato!A:A,[2]Contrato!G:G,"",0)</f>
        <v>#NAME?</v>
      </c>
      <c r="AA187" s="47" t="e">
        <f ca="1">_xlfn.XLOOKUP(PAA_4[[#This Row],[ITEM]],[2]Contrato!A:A,[2]Contrato!T:T,"",0)</f>
        <v>#NAME?</v>
      </c>
      <c r="AB187" s="55" t="e">
        <f ca="1">+MAX(PAA_4[[#This Row],[Comprometido Contrato]],PAA_4[[#This Row],[Comprometido Bolsa]])</f>
        <v>#NAME?</v>
      </c>
      <c r="AC187" s="55" t="str">
        <f t="shared" ca="1" si="76"/>
        <v/>
      </c>
      <c r="AD187" s="55" t="e">
        <f ca="1">IF(PAA_4[[#This Row],[ESTADO (formulado)]]="NO CONTRATADO",0,MAX(PAA_4[[#This Row],[Pago por Contrato]],PAA_4[[#This Row],[Pago por bolsa]]))</f>
        <v>#NAME?</v>
      </c>
      <c r="AE187" s="55" t="str">
        <f t="shared" ca="1" si="77"/>
        <v/>
      </c>
      <c r="AF187" s="47" t="e">
        <f t="shared" ca="1" si="78"/>
        <v>#NAME?</v>
      </c>
      <c r="AG187" s="47" t="str">
        <f t="shared" si="79"/>
        <v/>
      </c>
      <c r="AH187" s="54">
        <f>IF(Q187="22",IF(ISNUMBER(SEARCH("econ",PAA_4[[#This Row],[Actividad3]])),"Económico",IF(ISNUMBER(SEARCH("alim",PAA_4[[#This Row],[Actividad3]])),"Alimentación",IF(ISNUMBER(SEARCH("educ",PAA_4[[#This Row],[Actividad3]])),"Educativo","Técnico"))),0)</f>
        <v>0</v>
      </c>
      <c r="AI187" s="47" t="e" cm="1">
        <f t="array" aca="1" ref="AI187" ca="1">_xlfn.XLOOKUP(PAA_4[[#This Row],[RCP-RUBRO]],[2]!COMPROMISOS_2024[[#All],[concatenado]],[2]!COMPROMISOS_2024[[#All],[Total pagado]],"",0)</f>
        <v>#NAME?</v>
      </c>
      <c r="AJ187" s="56">
        <f>IF(PAA_4[[#This Row],[BOLSA]]=0,0,SUMIFS([2]!COMPROMISOS_2024[[#All],[Total pagado]],[2]!COMPROMISOS_2024[[#All],[Bolsa]],PAA_4[[#This Row],[BOLSA]],[2]!COMPROMISOS_2024[[#All],[rubro]],PAA_4[[#This Row],[RCP-RUBRO]]))</f>
        <v>0</v>
      </c>
      <c r="AK187" s="47" t="e" cm="1">
        <f t="array" aca="1" ref="AK187" ca="1">_xlfn.XLOOKUP(PAA_4[[#This Row],[RCP-RUBRO]],[2]!COMPROMISOS_2024[[#All],[concatenado]],[2]!COMPROMISOS_2024[[#All],[Total Comprometido]],"",0)</f>
        <v>#NAME?</v>
      </c>
      <c r="AL187" s="47">
        <f>IF(PAA_4[[#This Row],[BOLSA]]=0,0,SUMIFS([2]!COMPROMISOS_2024[[#All],[Total Comprometido]],[2]!COMPROMISOS_2024[[#All],[Bolsa]],PAA_4[[#This Row],[BOLSA]],[2]!COMPROMISOS_2024[[#All],[concatenado]],PAA_4[[#This Row],[RCP-RUBRO]]))</f>
        <v>0</v>
      </c>
    </row>
    <row r="188" spans="1:38" s="19" customFormat="1" ht="31.5" customHeight="1">
      <c r="A188" s="47" t="s">
        <v>82</v>
      </c>
      <c r="B188" s="47" t="s">
        <v>42</v>
      </c>
      <c r="C188" s="47" t="str">
        <f>VLOOKUP(PAA_4[[#This Row],[PROYECTO (formulado)2]],[2]PROYECTOS!$G$1:$L$32,6,0)</f>
        <v>SUBGERENCIA ADMINISTRATIVA Y FINANCIERA</v>
      </c>
      <c r="D188" s="47" t="str">
        <f>+IF(PAA_4[[#This Row],[UNIDAD DE CONTRATACION (formulado)]]="Subgerencia Administrativa y Financiera","FUNCIONAMIENTO","INVERSIÓN")</f>
        <v>FUNCIONAMIENTO</v>
      </c>
      <c r="E188" s="48" t="str">
        <f>VLOOKUP(Q188,[2]PROYECTOS!$G$1:$K$32,5,0)</f>
        <v>FUNCIONAMIENTO</v>
      </c>
      <c r="F188" s="48">
        <f>VLOOKUP(E188,[2]PROYECTOS!$K$1:$M$32,3,0)</f>
        <v>999999</v>
      </c>
      <c r="G188" s="49" t="s">
        <v>43</v>
      </c>
      <c r="H188" s="49">
        <f>VLOOKUP(Q188,[2]PROYECTOS!$V$1:$W$32,2,0)</f>
        <v>999999</v>
      </c>
      <c r="I188" s="50">
        <v>346500</v>
      </c>
      <c r="J188" s="51" t="s">
        <v>1373</v>
      </c>
      <c r="K188" s="47" t="str">
        <f ca="1">IF(ISNONTEXT(Y188)=TRUE,"CONTRATADO","NO CONTRATADO")</f>
        <v>CONTRATADO</v>
      </c>
      <c r="L188" s="47" t="s">
        <v>42</v>
      </c>
      <c r="M188" s="47" t="s">
        <v>42</v>
      </c>
      <c r="N188" s="52" t="s">
        <v>90</v>
      </c>
      <c r="O188" s="51" t="e">
        <f>VLOOKUP(N188,[2]!RUBROS[#All],3,0)</f>
        <v>#REF!</v>
      </c>
      <c r="P188" s="53" t="e">
        <f>VLOOKUP(N188,[2]!RUBROS[#All],2,0)</f>
        <v>#REF!</v>
      </c>
      <c r="Q188" s="47" t="str">
        <f>+MID(N188,11,2)</f>
        <v>00</v>
      </c>
      <c r="R188" s="47" t="str">
        <f>+MID(N188,14,8)</f>
        <v>0-205616</v>
      </c>
      <c r="S188" s="54" t="s">
        <v>42</v>
      </c>
      <c r="T188" s="59" t="s">
        <v>42</v>
      </c>
      <c r="U188" s="326" t="e">
        <f ca="1">_xlfn.XLOOKUP(PAA_4[[#This Row],[ITEM]],[2]Contrato!A:A,[2]Contrato!Q:Q,"",0)</f>
        <v>#NAME?</v>
      </c>
      <c r="V188" s="47" t="s">
        <v>95</v>
      </c>
      <c r="W188" s="47" t="s">
        <v>42</v>
      </c>
      <c r="X188" s="47" t="s">
        <v>42</v>
      </c>
      <c r="Y188" s="55" t="e">
        <f ca="1">_xlfn.XLOOKUP(PAA_4[[#This Row],[ITEM]],[2]Contrato!A:A,[2]Contrato!B:B,"",0)</f>
        <v>#NAME?</v>
      </c>
      <c r="Z188" s="47" t="e">
        <f ca="1">_xlfn.XLOOKUP(PAA_4[[#This Row],[ITEM]],[2]Contrato!A:A,[2]Contrato!G:G,"",0)</f>
        <v>#NAME?</v>
      </c>
      <c r="AA188" s="47" t="e">
        <f ca="1">_xlfn.XLOOKUP(PAA_4[[#This Row],[ITEM]],[2]Contrato!A:A,[2]Contrato!T:T,"",0)</f>
        <v>#NAME?</v>
      </c>
      <c r="AB188" s="55" t="e">
        <f ca="1">+MAX(PAA_4[[#This Row],[Comprometido Contrato]],PAA_4[[#This Row],[Comprometido Bolsa]])</f>
        <v>#NAME?</v>
      </c>
      <c r="AC188" s="55" t="str">
        <f ca="1">IFERROR(I188-AB188,"")</f>
        <v/>
      </c>
      <c r="AD188" s="55" t="e">
        <f ca="1">IF(PAA_4[[#This Row],[ESTADO (formulado)]]="NO CONTRATADO",0,MAX(PAA_4[[#This Row],[Pago por Contrato]],PAA_4[[#This Row],[Pago por bolsa]]))</f>
        <v>#NAME?</v>
      </c>
      <c r="AE188" s="55" t="str">
        <f ca="1">+IFERROR(AB188-AD188,"")</f>
        <v/>
      </c>
      <c r="AF188" s="47" t="e">
        <f ca="1">+CONCATENATE(AA188,N188)</f>
        <v>#NAME?</v>
      </c>
      <c r="AG188" s="47" t="str">
        <f>IFERROR(_xlfn.NUMBERVALUE(MID(G188,1,8)),"")</f>
        <v/>
      </c>
      <c r="AH188" s="54">
        <f>IF(Q188="22",IF(ISNUMBER(SEARCH("econ",PAA_4[[#This Row],[Actividad3]])),"Económico",IF(ISNUMBER(SEARCH("alim",PAA_4[[#This Row],[Actividad3]])),"Alimentación",IF(ISNUMBER(SEARCH("educ",PAA_4[[#This Row],[Actividad3]])),"Educativo","Técnico"))),0)</f>
        <v>0</v>
      </c>
      <c r="AI188" s="47" t="e" cm="1">
        <f t="array" aca="1" ref="AI188" ca="1">_xlfn.XLOOKUP(PAA_4[[#This Row],[RCP-RUBRO]],[2]!COMPROMISOS_2024[[#All],[concatenado]],[2]!COMPROMISOS_2024[[#All],[Total pagado]],"",0)</f>
        <v>#NAME?</v>
      </c>
      <c r="AJ188" s="56">
        <f>IF(PAA_4[[#This Row],[BOLSA]]=0,0,SUMIFS([2]!COMPROMISOS_2024[[#All],[Total pagado]],[2]!COMPROMISOS_2024[[#All],[Bolsa]],PAA_4[[#This Row],[BOLSA]],[2]!COMPROMISOS_2024[[#All],[rubro]],PAA_4[[#This Row],[RCP-RUBRO]]))</f>
        <v>0</v>
      </c>
      <c r="AK188" s="47" t="e" cm="1">
        <f t="array" aca="1" ref="AK188" ca="1">_xlfn.XLOOKUP(PAA_4[[#This Row],[RCP-RUBRO]],[2]!COMPROMISOS_2024[[#All],[concatenado]],[2]!COMPROMISOS_2024[[#All],[Total Comprometido]],"",0)</f>
        <v>#NAME?</v>
      </c>
      <c r="AL188" s="47">
        <f>IF(PAA_4[[#This Row],[BOLSA]]=0,0,SUMIFS([2]!COMPROMISOS_2024[[#All],[Total Comprometido]],[2]!COMPROMISOS_2024[[#All],[Bolsa]],PAA_4[[#This Row],[BOLSA]],[2]!COMPROMISOS_2024[[#All],[concatenado]],PAA_4[[#This Row],[RCP-RUBRO]]))</f>
        <v>0</v>
      </c>
    </row>
    <row r="189" spans="1:38" s="19" customFormat="1" ht="31.5" customHeight="1">
      <c r="A189" s="47">
        <v>584</v>
      </c>
      <c r="B189" s="47">
        <v>80111600</v>
      </c>
      <c r="C189" s="47" t="str">
        <f>VLOOKUP(PAA_4[[#This Row],[PROYECTO (formulado)2]],[2]PROYECTOS!$G$1:$L$32,6,0)</f>
        <v>SUBGERENCIA ADMINISTRATIVA Y FINANCIERA</v>
      </c>
      <c r="D189" s="47" t="str">
        <f>+IF(PAA_4[[#This Row],[UNIDAD DE CONTRATACION (formulado)]]="Subgerencia Administrativa y Financiera","FUNCIONAMIENTO","INVERSIÓN")</f>
        <v>FUNCIONAMIENTO</v>
      </c>
      <c r="E189" s="48" t="str">
        <f>VLOOKUP(Q189,[2]PROYECTOS!$G$1:$K$32,5,0)</f>
        <v>FUNCIONAMIENTO</v>
      </c>
      <c r="F189" s="48">
        <f>VLOOKUP(E189,[2]PROYECTOS!$K$1:$M$32,3,0)</f>
        <v>999999</v>
      </c>
      <c r="G189" s="49" t="s">
        <v>43</v>
      </c>
      <c r="H189" s="49">
        <f>VLOOKUP(Q189,[2]PROYECTOS!$V$1:$W$32,2,0)</f>
        <v>999999</v>
      </c>
      <c r="I189" s="50">
        <f>3300000-330000-346500</f>
        <v>2623500</v>
      </c>
      <c r="J189" s="51" t="s">
        <v>1374</v>
      </c>
      <c r="K189" s="47" t="str">
        <f t="shared" ref="K189:K193" ca="1" si="80">IF(ISNONTEXT(Y189)=TRUE,"CONTRATADO","NO CONTRATADO")</f>
        <v>CONTRATADO</v>
      </c>
      <c r="L189" s="47" t="s">
        <v>94</v>
      </c>
      <c r="M189" s="47" t="s">
        <v>1297</v>
      </c>
      <c r="N189" s="52" t="s">
        <v>90</v>
      </c>
      <c r="O189" s="51" t="e">
        <f>VLOOKUP(N189,[2]!RUBROS[#All],3,0)</f>
        <v>#REF!</v>
      </c>
      <c r="P189" s="53" t="e">
        <f>VLOOKUP(N189,[2]!RUBROS[#All],2,0)</f>
        <v>#REF!</v>
      </c>
      <c r="Q189" s="47" t="str">
        <f t="shared" ref="Q189:Q193" si="81">+MID(N189,11,2)</f>
        <v>00</v>
      </c>
      <c r="R189" s="47" t="str">
        <f t="shared" ref="R189:R193" si="82">+MID(N189,14,8)</f>
        <v>0-205616</v>
      </c>
      <c r="S189" s="54">
        <v>10</v>
      </c>
      <c r="T189" s="59" t="s">
        <v>46</v>
      </c>
      <c r="U189" s="326" t="e">
        <f ca="1">_xlfn.XLOOKUP(PAA_4[[#This Row],[ITEM]],[2]Contrato!A:A,[2]Contrato!Q:Q,"",0)</f>
        <v>#NAME?</v>
      </c>
      <c r="V189" s="47" t="s">
        <v>95</v>
      </c>
      <c r="W189" s="47" t="s">
        <v>96</v>
      </c>
      <c r="X189" s="47" t="s">
        <v>96</v>
      </c>
      <c r="Y189" s="55" t="e">
        <f ca="1">_xlfn.XLOOKUP(PAA_4[[#This Row],[ITEM]],[2]Contrato!A:A,[2]Contrato!B:B,"",0)</f>
        <v>#NAME?</v>
      </c>
      <c r="Z189" s="47" t="e">
        <f ca="1">_xlfn.XLOOKUP(PAA_4[[#This Row],[ITEM]],[2]Contrato!A:A,[2]Contrato!G:G,"",0)</f>
        <v>#NAME?</v>
      </c>
      <c r="AA189" s="47" t="e">
        <f ca="1">_xlfn.XLOOKUP(PAA_4[[#This Row],[ITEM]],[2]Contrato!A:A,[2]Contrato!T:T,"",0)</f>
        <v>#NAME?</v>
      </c>
      <c r="AB189" s="55" t="e">
        <f ca="1">+MAX(PAA_4[[#This Row],[Comprometido Contrato]],PAA_4[[#This Row],[Comprometido Bolsa]])</f>
        <v>#NAME?</v>
      </c>
      <c r="AC189" s="55" t="str">
        <f t="shared" ref="AC189:AC193" ca="1" si="83">IFERROR(I189-AB189,"")</f>
        <v/>
      </c>
      <c r="AD189" s="55" t="e">
        <f ca="1">IF(PAA_4[[#This Row],[ESTADO (formulado)]]="NO CONTRATADO",0,MAX(PAA_4[[#This Row],[Pago por Contrato]],PAA_4[[#This Row],[Pago por bolsa]]))</f>
        <v>#NAME?</v>
      </c>
      <c r="AE189" s="55" t="str">
        <f t="shared" ref="AE189:AE193" ca="1" si="84">+IFERROR(AB189-AD189,"")</f>
        <v/>
      </c>
      <c r="AF189" s="47" t="e">
        <f t="shared" ref="AF189:AF193" ca="1" si="85">+CONCATENATE(AA189,N189)</f>
        <v>#NAME?</v>
      </c>
      <c r="AG189" s="47" t="str">
        <f t="shared" ref="AG189:AG193" si="86">IFERROR(_xlfn.NUMBERVALUE(MID(G189,1,8)),"")</f>
        <v/>
      </c>
      <c r="AH189" s="54">
        <f>IF(Q189="22",IF(ISNUMBER(SEARCH("econ",PAA_4[[#This Row],[Actividad3]])),"Económico",IF(ISNUMBER(SEARCH("alim",PAA_4[[#This Row],[Actividad3]])),"Alimentación",IF(ISNUMBER(SEARCH("educ",PAA_4[[#This Row],[Actividad3]])),"Educativo","Técnico"))),0)</f>
        <v>0</v>
      </c>
      <c r="AI189" s="47" t="e" cm="1">
        <f t="array" aca="1" ref="AI189" ca="1">_xlfn.XLOOKUP(PAA_4[[#This Row],[RCP-RUBRO]],[2]!COMPROMISOS_2024[[#All],[concatenado]],[2]!COMPROMISOS_2024[[#All],[Total pagado]],"",0)</f>
        <v>#NAME?</v>
      </c>
      <c r="AJ189" s="56">
        <f>IF(PAA_4[[#This Row],[BOLSA]]=0,0,SUMIFS([2]!COMPROMISOS_2024[[#All],[Total pagado]],[2]!COMPROMISOS_2024[[#All],[Bolsa]],PAA_4[[#This Row],[BOLSA]],[2]!COMPROMISOS_2024[[#All],[rubro]],PAA_4[[#This Row],[RCP-RUBRO]]))</f>
        <v>0</v>
      </c>
      <c r="AK189" s="47" t="e" cm="1">
        <f t="array" aca="1" ref="AK189" ca="1">_xlfn.XLOOKUP(PAA_4[[#This Row],[RCP-RUBRO]],[2]!COMPROMISOS_2024[[#All],[concatenado]],[2]!COMPROMISOS_2024[[#All],[Total Comprometido]],"",0)</f>
        <v>#NAME?</v>
      </c>
      <c r="AL189" s="47">
        <f>IF(PAA_4[[#This Row],[BOLSA]]=0,0,SUMIFS([2]!COMPROMISOS_2024[[#All],[Total Comprometido]],[2]!COMPROMISOS_2024[[#All],[Bolsa]],PAA_4[[#This Row],[BOLSA]],[2]!COMPROMISOS_2024[[#All],[concatenado]],PAA_4[[#This Row],[RCP-RUBRO]]))</f>
        <v>0</v>
      </c>
    </row>
    <row r="190" spans="1:38" s="19" customFormat="1" ht="31.5" customHeight="1">
      <c r="A190" s="47">
        <v>1336</v>
      </c>
      <c r="B190" s="47">
        <v>80121700</v>
      </c>
      <c r="C190" s="47" t="str">
        <f>VLOOKUP(PAA_4[[#This Row],[PROYECTO (formulado)2]],[2]PROYECTOS!$G$1:$L$32,6,0)</f>
        <v>SUBGERENCIA ADMINISTRATIVA Y FINANCIERA</v>
      </c>
      <c r="D190" s="47" t="str">
        <f>+IF(PAA_4[[#This Row],[UNIDAD DE CONTRATACION (formulado)]]="Subgerencia Administrativa y Financiera","FUNCIONAMIENTO","INVERSIÓN")</f>
        <v>FUNCIONAMIENTO</v>
      </c>
      <c r="E190" s="48" t="str">
        <f>VLOOKUP(Q190,[2]PROYECTOS!$G$1:$K$32,5,0)</f>
        <v>FUNCIONAMIENTO</v>
      </c>
      <c r="F190" s="48">
        <f>VLOOKUP(E190,[2]PROYECTOS!$K$1:$M$32,3,0)</f>
        <v>999999</v>
      </c>
      <c r="G190" s="49" t="s">
        <v>43</v>
      </c>
      <c r="H190" s="49">
        <f>VLOOKUP(Q190,[2]PROYECTOS!$V$1:$W$32,2,0)</f>
        <v>999999</v>
      </c>
      <c r="I190" s="50">
        <v>1375812</v>
      </c>
      <c r="J190" s="51" t="s">
        <v>1375</v>
      </c>
      <c r="K190" s="47" t="str">
        <f t="shared" ca="1" si="80"/>
        <v>CONTRATADO</v>
      </c>
      <c r="L190" s="47" t="s">
        <v>78</v>
      </c>
      <c r="M190" s="47" t="s">
        <v>1376</v>
      </c>
      <c r="N190" s="52" t="s">
        <v>90</v>
      </c>
      <c r="O190" s="51" t="e">
        <f>VLOOKUP(N190,[2]!RUBROS[#All],3,0)</f>
        <v>#REF!</v>
      </c>
      <c r="P190" s="53" t="e">
        <f>VLOOKUP(N190,[2]!RUBROS[#All],2,0)</f>
        <v>#REF!</v>
      </c>
      <c r="Q190" s="47" t="str">
        <f t="shared" si="81"/>
        <v>00</v>
      </c>
      <c r="R190" s="47" t="str">
        <f t="shared" si="82"/>
        <v>0-205616</v>
      </c>
      <c r="S190" s="54">
        <v>7</v>
      </c>
      <c r="T190" s="59" t="s">
        <v>120</v>
      </c>
      <c r="U190" s="326" t="e">
        <f ca="1">_xlfn.XLOOKUP(PAA_4[[#This Row],[ITEM]],[2]Contrato!A:A,[2]Contrato!Q:Q,"",0)</f>
        <v>#NAME?</v>
      </c>
      <c r="V190" s="47" t="s">
        <v>95</v>
      </c>
      <c r="W190" s="47" t="s">
        <v>201</v>
      </c>
      <c r="X190" s="47" t="s">
        <v>201</v>
      </c>
      <c r="Y190" s="55" t="e">
        <f ca="1">_xlfn.XLOOKUP(PAA_4[[#This Row],[ITEM]],[2]Contrato!A:A,[2]Contrato!B:B,"",0)</f>
        <v>#NAME?</v>
      </c>
      <c r="Z190" s="47" t="e">
        <f ca="1">_xlfn.XLOOKUP(PAA_4[[#This Row],[ITEM]],[2]Contrato!A:A,[2]Contrato!G:G,"",0)</f>
        <v>#NAME?</v>
      </c>
      <c r="AA190" s="47" t="e">
        <f ca="1">_xlfn.XLOOKUP(PAA_4[[#This Row],[ITEM]],[2]Contrato!A:A,[2]Contrato!T:T,"",0)</f>
        <v>#NAME?</v>
      </c>
      <c r="AB190" s="55" t="e">
        <f ca="1">+MAX(PAA_4[[#This Row],[Comprometido Contrato]],PAA_4[[#This Row],[Comprometido Bolsa]])</f>
        <v>#NAME?</v>
      </c>
      <c r="AC190" s="55" t="str">
        <f t="shared" ca="1" si="83"/>
        <v/>
      </c>
      <c r="AD190" s="55" t="e">
        <f ca="1">IF(PAA_4[[#This Row],[ESTADO (formulado)]]="NO CONTRATADO",0,MAX(PAA_4[[#This Row],[Pago por Contrato]],PAA_4[[#This Row],[Pago por bolsa]]))</f>
        <v>#NAME?</v>
      </c>
      <c r="AE190" s="55" t="str">
        <f t="shared" ca="1" si="84"/>
        <v/>
      </c>
      <c r="AF190" s="47" t="e">
        <f t="shared" ca="1" si="85"/>
        <v>#NAME?</v>
      </c>
      <c r="AG190" s="47" t="str">
        <f t="shared" si="86"/>
        <v/>
      </c>
      <c r="AH190" s="54">
        <f>IF(Q190="22",IF(ISNUMBER(SEARCH("econ",PAA_4[[#This Row],[Actividad3]])),"Económico",IF(ISNUMBER(SEARCH("alim",PAA_4[[#This Row],[Actividad3]])),"Alimentación",IF(ISNUMBER(SEARCH("educ",PAA_4[[#This Row],[Actividad3]])),"Educativo","Técnico"))),0)</f>
        <v>0</v>
      </c>
      <c r="AI190" s="47" t="e" cm="1">
        <f t="array" aca="1" ref="AI190" ca="1">_xlfn.XLOOKUP(PAA_4[[#This Row],[RCP-RUBRO]],[2]!COMPROMISOS_2024[[#All],[concatenado]],[2]!COMPROMISOS_2024[[#All],[Total pagado]],"",0)</f>
        <v>#NAME?</v>
      </c>
      <c r="AJ190" s="56">
        <f>IF(PAA_4[[#This Row],[BOLSA]]=0,0,SUMIFS([2]!COMPROMISOS_2024[[#All],[Total pagado]],[2]!COMPROMISOS_2024[[#All],[Bolsa]],PAA_4[[#This Row],[BOLSA]],[2]!COMPROMISOS_2024[[#All],[rubro]],PAA_4[[#This Row],[RCP-RUBRO]]))</f>
        <v>0</v>
      </c>
      <c r="AK190" s="47" t="e" cm="1">
        <f t="array" aca="1" ref="AK190" ca="1">_xlfn.XLOOKUP(PAA_4[[#This Row],[RCP-RUBRO]],[2]!COMPROMISOS_2024[[#All],[concatenado]],[2]!COMPROMISOS_2024[[#All],[Total Comprometido]],"",0)</f>
        <v>#NAME?</v>
      </c>
      <c r="AL190" s="47">
        <f>IF(PAA_4[[#This Row],[BOLSA]]=0,0,SUMIFS([2]!COMPROMISOS_2024[[#All],[Total Comprometido]],[2]!COMPROMISOS_2024[[#All],[Bolsa]],PAA_4[[#This Row],[BOLSA]],[2]!COMPROMISOS_2024[[#All],[concatenado]],PAA_4[[#This Row],[RCP-RUBRO]]))</f>
        <v>0</v>
      </c>
    </row>
    <row r="191" spans="1:38" s="19" customFormat="1" ht="31.5" customHeight="1">
      <c r="A191" s="47">
        <v>1336</v>
      </c>
      <c r="B191" s="47">
        <v>80121700</v>
      </c>
      <c r="C191" s="47" t="str">
        <f>VLOOKUP(PAA_4[[#This Row],[PROYECTO (formulado)2]],[2]PROYECTOS!$G$1:$L$32,6,0)</f>
        <v>SUBGERENCIA ADMINISTRATIVA Y FINANCIERA</v>
      </c>
      <c r="D191" s="47" t="str">
        <f>+IF(PAA_4[[#This Row],[UNIDAD DE CONTRATACION (formulado)]]="Subgerencia Administrativa y Financiera","FUNCIONAMIENTO","INVERSIÓN")</f>
        <v>FUNCIONAMIENTO</v>
      </c>
      <c r="E191" s="48" t="str">
        <f>VLOOKUP(Q191,[2]PROYECTOS!$G$1:$K$32,5,0)</f>
        <v>FUNCIONAMIENTO</v>
      </c>
      <c r="F191" s="48">
        <f>VLOOKUP(E191,[2]PROYECTOS!$K$1:$M$32,3,0)</f>
        <v>999999</v>
      </c>
      <c r="G191" s="49" t="s">
        <v>43</v>
      </c>
      <c r="H191" s="49">
        <f>VLOOKUP(Q191,[2]PROYECTOS!$V$1:$W$32,2,0)</f>
        <v>999999</v>
      </c>
      <c r="I191" s="50">
        <v>4</v>
      </c>
      <c r="J191" s="51" t="s">
        <v>1375</v>
      </c>
      <c r="K191" s="47" t="str">
        <f t="shared" ca="1" si="80"/>
        <v>CONTRATADO</v>
      </c>
      <c r="L191" s="47" t="s">
        <v>78</v>
      </c>
      <c r="M191" s="47" t="s">
        <v>1376</v>
      </c>
      <c r="N191" s="52" t="s">
        <v>90</v>
      </c>
      <c r="O191" s="51" t="e">
        <f>VLOOKUP(N191,[2]!RUBROS[#All],3,0)</f>
        <v>#REF!</v>
      </c>
      <c r="P191" s="53" t="e">
        <f>VLOOKUP(N191,[2]!RUBROS[#All],2,0)</f>
        <v>#REF!</v>
      </c>
      <c r="Q191" s="47" t="str">
        <f t="shared" si="81"/>
        <v>00</v>
      </c>
      <c r="R191" s="47" t="str">
        <f t="shared" si="82"/>
        <v>0-205616</v>
      </c>
      <c r="S191" s="54">
        <v>7</v>
      </c>
      <c r="T191" s="59" t="s">
        <v>120</v>
      </c>
      <c r="U191" s="326" t="e">
        <f ca="1">_xlfn.XLOOKUP(PAA_4[[#This Row],[ITEM]],[2]Contrato!A:A,[2]Contrato!Q:Q,"",0)</f>
        <v>#NAME?</v>
      </c>
      <c r="V191" s="47" t="s">
        <v>95</v>
      </c>
      <c r="W191" s="47" t="s">
        <v>201</v>
      </c>
      <c r="X191" s="47" t="s">
        <v>201</v>
      </c>
      <c r="Y191" s="55" t="e">
        <f ca="1">_xlfn.XLOOKUP(PAA_4[[#This Row],[ITEM]],[2]Contrato!A:A,[2]Contrato!B:B,"",0)</f>
        <v>#NAME?</v>
      </c>
      <c r="Z191" s="47" t="e">
        <f ca="1">_xlfn.XLOOKUP(PAA_4[[#This Row],[ITEM]],[2]Contrato!A:A,[2]Contrato!G:G,"",0)</f>
        <v>#NAME?</v>
      </c>
      <c r="AA191" s="47" t="e">
        <f ca="1">_xlfn.XLOOKUP(PAA_4[[#This Row],[ITEM]],[2]Contrato!A:A,[2]Contrato!T:T,"",0)</f>
        <v>#NAME?</v>
      </c>
      <c r="AB191" s="55" t="e">
        <f ca="1">+MAX(PAA_4[[#This Row],[Comprometido Contrato]],PAA_4[[#This Row],[Comprometido Bolsa]])</f>
        <v>#NAME?</v>
      </c>
      <c r="AC191" s="55" t="str">
        <f t="shared" ca="1" si="83"/>
        <v/>
      </c>
      <c r="AD191" s="55" t="e">
        <f ca="1">IF(PAA_4[[#This Row],[ESTADO (formulado)]]="NO CONTRATADO",0,MAX(PAA_4[[#This Row],[Pago por Contrato]],PAA_4[[#This Row],[Pago por bolsa]]))</f>
        <v>#NAME?</v>
      </c>
      <c r="AE191" s="55" t="str">
        <f t="shared" ca="1" si="84"/>
        <v/>
      </c>
      <c r="AF191" s="47" t="e">
        <f t="shared" ca="1" si="85"/>
        <v>#NAME?</v>
      </c>
      <c r="AG191" s="47" t="str">
        <f t="shared" si="86"/>
        <v/>
      </c>
      <c r="AH191" s="54">
        <f>IF(Q191="22",IF(ISNUMBER(SEARCH("econ",PAA_4[[#This Row],[Actividad3]])),"Económico",IF(ISNUMBER(SEARCH("alim",PAA_4[[#This Row],[Actividad3]])),"Alimentación",IF(ISNUMBER(SEARCH("educ",PAA_4[[#This Row],[Actividad3]])),"Educativo","Técnico"))),0)</f>
        <v>0</v>
      </c>
      <c r="AI191" s="47" t="e" cm="1">
        <f t="array" aca="1" ref="AI191" ca="1">_xlfn.XLOOKUP(PAA_4[[#This Row],[RCP-RUBRO]],[2]!COMPROMISOS_2024[[#All],[concatenado]],[2]!COMPROMISOS_2024[[#All],[Total pagado]],"",0)</f>
        <v>#NAME?</v>
      </c>
      <c r="AJ191" s="56">
        <f>IF(PAA_4[[#This Row],[BOLSA]]=0,0,SUMIFS([2]!COMPROMISOS_2024[[#All],[Total pagado]],[2]!COMPROMISOS_2024[[#All],[Bolsa]],PAA_4[[#This Row],[BOLSA]],[2]!COMPROMISOS_2024[[#All],[rubro]],PAA_4[[#This Row],[RCP-RUBRO]]))</f>
        <v>0</v>
      </c>
      <c r="AK191" s="47" t="e" cm="1">
        <f t="array" aca="1" ref="AK191" ca="1">_xlfn.XLOOKUP(PAA_4[[#This Row],[RCP-RUBRO]],[2]!COMPROMISOS_2024[[#All],[concatenado]],[2]!COMPROMISOS_2024[[#All],[Total Comprometido]],"",0)</f>
        <v>#NAME?</v>
      </c>
      <c r="AL191" s="47">
        <f>IF(PAA_4[[#This Row],[BOLSA]]=0,0,SUMIFS([2]!COMPROMISOS_2024[[#All],[Total Comprometido]],[2]!COMPROMISOS_2024[[#All],[Bolsa]],PAA_4[[#This Row],[BOLSA]],[2]!COMPROMISOS_2024[[#All],[concatenado]],PAA_4[[#This Row],[RCP-RUBRO]]))</f>
        <v>0</v>
      </c>
    </row>
    <row r="192" spans="1:38" s="19" customFormat="1" ht="31.5" customHeight="1">
      <c r="A192" s="47" t="s">
        <v>82</v>
      </c>
      <c r="B192" s="47" t="s">
        <v>42</v>
      </c>
      <c r="C192" s="47" t="str">
        <f>VLOOKUP(PAA_4[[#This Row],[PROYECTO (formulado)2]],[2]PROYECTOS!$G$1:$L$32,6,0)</f>
        <v>SUBGERENCIA ADMINISTRATIVA Y FINANCIERA</v>
      </c>
      <c r="D192" s="47" t="str">
        <f>+IF(PAA_4[[#This Row],[UNIDAD DE CONTRATACION (formulado)]]="Subgerencia Administrativa y Financiera","FUNCIONAMIENTO","INVERSIÓN")</f>
        <v>FUNCIONAMIENTO</v>
      </c>
      <c r="E192" s="48" t="str">
        <f>VLOOKUP(Q192,[2]PROYECTOS!$G$1:$K$32,5,0)</f>
        <v>FUNCIONAMIENTO</v>
      </c>
      <c r="F192" s="48">
        <f>VLOOKUP(E192,[2]PROYECTOS!$K$1:$M$32,3,0)</f>
        <v>999999</v>
      </c>
      <c r="G192" s="49" t="s">
        <v>43</v>
      </c>
      <c r="H192" s="49">
        <f>VLOOKUP(Q192,[2]PROYECTOS!$V$1:$W$32,2,0)</f>
        <v>999999</v>
      </c>
      <c r="I192" s="50">
        <v>0</v>
      </c>
      <c r="J192" s="51" t="s">
        <v>1325</v>
      </c>
      <c r="K192" s="47" t="str">
        <f t="shared" ca="1" si="80"/>
        <v>CONTRATADO</v>
      </c>
      <c r="L192" s="47" t="s">
        <v>42</v>
      </c>
      <c r="M192" s="47" t="s">
        <v>42</v>
      </c>
      <c r="N192" s="52" t="s">
        <v>90</v>
      </c>
      <c r="O192" s="51" t="e">
        <f>VLOOKUP(N192,[2]!RUBROS[#All],3,0)</f>
        <v>#REF!</v>
      </c>
      <c r="P192" s="53" t="e">
        <f>VLOOKUP(N192,[2]!RUBROS[#All],2,0)</f>
        <v>#REF!</v>
      </c>
      <c r="Q192" s="47" t="str">
        <f t="shared" si="81"/>
        <v>00</v>
      </c>
      <c r="R192" s="47" t="str">
        <f t="shared" si="82"/>
        <v>0-205616</v>
      </c>
      <c r="S192" s="54" t="s">
        <v>42</v>
      </c>
      <c r="T192" s="59" t="s">
        <v>42</v>
      </c>
      <c r="U192" s="326" t="e">
        <f ca="1">_xlfn.XLOOKUP(PAA_4[[#This Row],[ITEM]],[2]Contrato!A:A,[2]Contrato!Q:Q,"",0)</f>
        <v>#NAME?</v>
      </c>
      <c r="V192" s="47" t="s">
        <v>47</v>
      </c>
      <c r="W192" s="47" t="s">
        <v>42</v>
      </c>
      <c r="X192" s="47" t="s">
        <v>42</v>
      </c>
      <c r="Y192" s="55" t="e">
        <f ca="1">_xlfn.XLOOKUP(PAA_4[[#This Row],[ITEM]],[2]Contrato!A:A,[2]Contrato!B:B,"",0)</f>
        <v>#NAME?</v>
      </c>
      <c r="Z192" s="47" t="e">
        <f ca="1">_xlfn.XLOOKUP(PAA_4[[#This Row],[ITEM]],[2]Contrato!A:A,[2]Contrato!G:G,"",0)</f>
        <v>#NAME?</v>
      </c>
      <c r="AA192" s="47" t="e">
        <f ca="1">_xlfn.XLOOKUP(PAA_4[[#This Row],[ITEM]],[2]Contrato!A:A,[2]Contrato!T:T,"",0)</f>
        <v>#NAME?</v>
      </c>
      <c r="AB192" s="55" t="e">
        <f ca="1">+MAX(PAA_4[[#This Row],[Comprometido Contrato]],PAA_4[[#This Row],[Comprometido Bolsa]])</f>
        <v>#NAME?</v>
      </c>
      <c r="AC192" s="55" t="str">
        <f t="shared" ca="1" si="83"/>
        <v/>
      </c>
      <c r="AD192" s="55" t="e">
        <f ca="1">IF(PAA_4[[#This Row],[ESTADO (formulado)]]="NO CONTRATADO",0,MAX(PAA_4[[#This Row],[Pago por Contrato]],PAA_4[[#This Row],[Pago por bolsa]]))</f>
        <v>#NAME?</v>
      </c>
      <c r="AE192" s="55" t="str">
        <f t="shared" ca="1" si="84"/>
        <v/>
      </c>
      <c r="AF192" s="47" t="e">
        <f t="shared" ca="1" si="85"/>
        <v>#NAME?</v>
      </c>
      <c r="AG192" s="47" t="str">
        <f t="shared" si="86"/>
        <v/>
      </c>
      <c r="AH192" s="54">
        <f>IF(Q192="22",IF(ISNUMBER(SEARCH("econ",PAA_4[[#This Row],[Actividad3]])),"Económico",IF(ISNUMBER(SEARCH("alim",PAA_4[[#This Row],[Actividad3]])),"Alimentación",IF(ISNUMBER(SEARCH("educ",PAA_4[[#This Row],[Actividad3]])),"Educativo","Técnico"))),0)</f>
        <v>0</v>
      </c>
      <c r="AI192" s="47" t="e" cm="1">
        <f t="array" aca="1" ref="AI192" ca="1">_xlfn.XLOOKUP(PAA_4[[#This Row],[RCP-RUBRO]],[2]!COMPROMISOS_2024[[#All],[concatenado]],[2]!COMPROMISOS_2024[[#All],[Total pagado]],"",0)</f>
        <v>#NAME?</v>
      </c>
      <c r="AJ192" s="56">
        <f>IF(PAA_4[[#This Row],[BOLSA]]=0,0,SUMIFS([2]!COMPROMISOS_2024[[#All],[Total pagado]],[2]!COMPROMISOS_2024[[#All],[Bolsa]],PAA_4[[#This Row],[BOLSA]],[2]!COMPROMISOS_2024[[#All],[rubro]],PAA_4[[#This Row],[RCP-RUBRO]]))</f>
        <v>0</v>
      </c>
      <c r="AK192" s="47" t="e" cm="1">
        <f t="array" aca="1" ref="AK192" ca="1">_xlfn.XLOOKUP(PAA_4[[#This Row],[RCP-RUBRO]],[2]!COMPROMISOS_2024[[#All],[concatenado]],[2]!COMPROMISOS_2024[[#All],[Total Comprometido]],"",0)</f>
        <v>#NAME?</v>
      </c>
      <c r="AL192" s="47">
        <f>IF(PAA_4[[#This Row],[BOLSA]]=0,0,SUMIFS([2]!COMPROMISOS_2024[[#All],[Total Comprometido]],[2]!COMPROMISOS_2024[[#All],[Bolsa]],PAA_4[[#This Row],[BOLSA]],[2]!COMPROMISOS_2024[[#All],[concatenado]],PAA_4[[#This Row],[RCP-RUBRO]]))</f>
        <v>0</v>
      </c>
    </row>
    <row r="193" spans="1:38" s="19" customFormat="1" ht="31.5" customHeight="1">
      <c r="A193" s="47">
        <v>585</v>
      </c>
      <c r="B193" s="47">
        <v>80111600</v>
      </c>
      <c r="C193" s="47" t="str">
        <f>VLOOKUP(PAA_4[[#This Row],[PROYECTO (formulado)2]],[2]PROYECTOS!$G$1:$L$32,6,0)</f>
        <v>SUBGERENCIA ADMINISTRATIVA Y FINANCIERA</v>
      </c>
      <c r="D193" s="47" t="str">
        <f>+IF(PAA_4[[#This Row],[UNIDAD DE CONTRATACION (formulado)]]="Subgerencia Administrativa y Financiera","FUNCIONAMIENTO","INVERSIÓN")</f>
        <v>FUNCIONAMIENTO</v>
      </c>
      <c r="E193" s="48" t="str">
        <f>VLOOKUP(Q193,[2]PROYECTOS!$G$1:$K$32,5,0)</f>
        <v>FUNCIONAMIENTO</v>
      </c>
      <c r="F193" s="48">
        <f>VLOOKUP(E193,[2]PROYECTOS!$K$1:$M$32,3,0)</f>
        <v>999999</v>
      </c>
      <c r="G193" s="49" t="s">
        <v>43</v>
      </c>
      <c r="H193" s="49">
        <f>VLOOKUP(Q193,[2]PROYECTOS!$V$1:$W$32,2,0)</f>
        <v>999999</v>
      </c>
      <c r="I193" s="50">
        <v>20279118</v>
      </c>
      <c r="J193" s="51" t="s">
        <v>1372</v>
      </c>
      <c r="K193" s="47" t="str">
        <f t="shared" ca="1" si="80"/>
        <v>CONTRATADO</v>
      </c>
      <c r="L193" s="47" t="s">
        <v>94</v>
      </c>
      <c r="M193" s="47" t="s">
        <v>1297</v>
      </c>
      <c r="N193" s="52" t="s">
        <v>90</v>
      </c>
      <c r="O193" s="51" t="e">
        <f>VLOOKUP(N193,[2]!RUBROS[#All],3,0)</f>
        <v>#REF!</v>
      </c>
      <c r="P193" s="53" t="e">
        <f>VLOOKUP(N193,[2]!RUBROS[#All],2,0)</f>
        <v>#REF!</v>
      </c>
      <c r="Q193" s="47" t="str">
        <f t="shared" si="81"/>
        <v>00</v>
      </c>
      <c r="R193" s="47" t="str">
        <f t="shared" si="82"/>
        <v>0-205616</v>
      </c>
      <c r="S193" s="54">
        <v>6</v>
      </c>
      <c r="T193" s="59" t="s">
        <v>46</v>
      </c>
      <c r="U193" s="326" t="e">
        <f ca="1">_xlfn.XLOOKUP(PAA_4[[#This Row],[ITEM]],[2]Contrato!A:A,[2]Contrato!Q:Q,"",0)</f>
        <v>#NAME?</v>
      </c>
      <c r="V193" s="47" t="s">
        <v>95</v>
      </c>
      <c r="W193" s="47" t="s">
        <v>96</v>
      </c>
      <c r="X193" s="47" t="s">
        <v>96</v>
      </c>
      <c r="Y193" s="55" t="e">
        <f ca="1">_xlfn.XLOOKUP(PAA_4[[#This Row],[ITEM]],[2]Contrato!A:A,[2]Contrato!B:B,"",0)</f>
        <v>#NAME?</v>
      </c>
      <c r="Z193" s="47" t="e">
        <f ca="1">_xlfn.XLOOKUP(PAA_4[[#This Row],[ITEM]],[2]Contrato!A:A,[2]Contrato!G:G,"",0)</f>
        <v>#NAME?</v>
      </c>
      <c r="AA193" s="47" t="e">
        <f ca="1">_xlfn.XLOOKUP(PAA_4[[#This Row],[ITEM]],[2]Contrato!A:A,[2]Contrato!T:T,"",0)</f>
        <v>#NAME?</v>
      </c>
      <c r="AB193" s="55" t="e">
        <f ca="1">+MAX(PAA_4[[#This Row],[Comprometido Contrato]],PAA_4[[#This Row],[Comprometido Bolsa]])</f>
        <v>#NAME?</v>
      </c>
      <c r="AC193" s="55" t="str">
        <f t="shared" ca="1" si="83"/>
        <v/>
      </c>
      <c r="AD193" s="55" t="e">
        <f ca="1">IF(PAA_4[[#This Row],[ESTADO (formulado)]]="NO CONTRATADO",0,MAX(PAA_4[[#This Row],[Pago por Contrato]],PAA_4[[#This Row],[Pago por bolsa]]))</f>
        <v>#NAME?</v>
      </c>
      <c r="AE193" s="55" t="str">
        <f t="shared" ca="1" si="84"/>
        <v/>
      </c>
      <c r="AF193" s="47" t="e">
        <f t="shared" ca="1" si="85"/>
        <v>#NAME?</v>
      </c>
      <c r="AG193" s="47" t="str">
        <f t="shared" si="86"/>
        <v/>
      </c>
      <c r="AH193" s="54">
        <f>IF(Q193="22",IF(ISNUMBER(SEARCH("econ",PAA_4[[#This Row],[Actividad3]])),"Económico",IF(ISNUMBER(SEARCH("alim",PAA_4[[#This Row],[Actividad3]])),"Alimentación",IF(ISNUMBER(SEARCH("educ",PAA_4[[#This Row],[Actividad3]])),"Educativo","Técnico"))),0)</f>
        <v>0</v>
      </c>
      <c r="AI193" s="47" t="e" cm="1">
        <f t="array" aca="1" ref="AI193" ca="1">_xlfn.XLOOKUP(PAA_4[[#This Row],[RCP-RUBRO]],[2]!COMPROMISOS_2024[[#All],[concatenado]],[2]!COMPROMISOS_2024[[#All],[Total pagado]],"",0)</f>
        <v>#NAME?</v>
      </c>
      <c r="AJ193" s="56">
        <f>IF(PAA_4[[#This Row],[BOLSA]]=0,0,SUMIFS([2]!COMPROMISOS_2024[[#All],[Total pagado]],[2]!COMPROMISOS_2024[[#All],[Bolsa]],PAA_4[[#This Row],[BOLSA]],[2]!COMPROMISOS_2024[[#All],[rubro]],PAA_4[[#This Row],[RCP-RUBRO]]))</f>
        <v>0</v>
      </c>
      <c r="AK193" s="47" t="e" cm="1">
        <f t="array" aca="1" ref="AK193" ca="1">_xlfn.XLOOKUP(PAA_4[[#This Row],[RCP-RUBRO]],[2]!COMPROMISOS_2024[[#All],[concatenado]],[2]!COMPROMISOS_2024[[#All],[Total Comprometido]],"",0)</f>
        <v>#NAME?</v>
      </c>
      <c r="AL193" s="47">
        <f>IF(PAA_4[[#This Row],[BOLSA]]=0,0,SUMIFS([2]!COMPROMISOS_2024[[#All],[Total Comprometido]],[2]!COMPROMISOS_2024[[#All],[Bolsa]],PAA_4[[#This Row],[BOLSA]],[2]!COMPROMISOS_2024[[#All],[concatenado]],PAA_4[[#This Row],[RCP-RUBRO]]))</f>
        <v>0</v>
      </c>
    </row>
    <row r="194" spans="1:38" s="19" customFormat="1" ht="31.5" customHeight="1">
      <c r="A194" s="47" t="s">
        <v>82</v>
      </c>
      <c r="B194" s="47" t="s">
        <v>42</v>
      </c>
      <c r="C194" s="47" t="str">
        <f>VLOOKUP(PAA_4[[#This Row],[PROYECTO (formulado)2]],[2]PROYECTOS!$G$1:$L$32,6,0)</f>
        <v>SUBGERENCIA ADMINISTRATIVA Y FINANCIERA</v>
      </c>
      <c r="D194" s="47" t="str">
        <f>+IF(PAA_4[[#This Row],[UNIDAD DE CONTRATACION (formulado)]]="Subgerencia Administrativa y Financiera","FUNCIONAMIENTO","INVERSIÓN")</f>
        <v>FUNCIONAMIENTO</v>
      </c>
      <c r="E194" s="48" t="str">
        <f>VLOOKUP(Q194,[2]PROYECTOS!$G$1:$K$32,5,0)</f>
        <v>FUNCIONAMIENTO</v>
      </c>
      <c r="F194" s="48">
        <f>VLOOKUP(E194,[2]PROYECTOS!$K$1:$M$32,3,0)</f>
        <v>999999</v>
      </c>
      <c r="G194" s="49" t="s">
        <v>43</v>
      </c>
      <c r="H194" s="49">
        <f>VLOOKUP(Q194,[2]PROYECTOS!$V$1:$W$32,2,0)</f>
        <v>999999</v>
      </c>
      <c r="I194" s="50">
        <v>1666000</v>
      </c>
      <c r="J194" s="51" t="s">
        <v>1377</v>
      </c>
      <c r="K194" s="47" t="str">
        <f ca="1">IF(ISNONTEXT(Y194)=TRUE,"CONTRATADO","NO CONTRATADO")</f>
        <v>CONTRATADO</v>
      </c>
      <c r="L194" s="47" t="s">
        <v>42</v>
      </c>
      <c r="M194" s="47" t="s">
        <v>42</v>
      </c>
      <c r="N194" s="52" t="s">
        <v>90</v>
      </c>
      <c r="O194" s="51" t="e">
        <f>VLOOKUP(N194,[2]!RUBROS[#All],3,0)</f>
        <v>#REF!</v>
      </c>
      <c r="P194" s="53" t="e">
        <f>VLOOKUP(N194,[2]!RUBROS[#All],2,0)</f>
        <v>#REF!</v>
      </c>
      <c r="Q194" s="47" t="str">
        <f>+MID(N194,11,2)</f>
        <v>00</v>
      </c>
      <c r="R194" s="47" t="str">
        <f>+MID(N194,14,8)</f>
        <v>0-205616</v>
      </c>
      <c r="S194" s="54" t="s">
        <v>42</v>
      </c>
      <c r="T194" s="59" t="s">
        <v>42</v>
      </c>
      <c r="U194" s="326" t="e">
        <f ca="1">_xlfn.XLOOKUP(PAA_4[[#This Row],[ITEM]],[2]Contrato!A:A,[2]Contrato!Q:Q,"",0)</f>
        <v>#NAME?</v>
      </c>
      <c r="V194" s="47" t="s">
        <v>95</v>
      </c>
      <c r="W194" s="47" t="s">
        <v>42</v>
      </c>
      <c r="X194" s="47" t="s">
        <v>42</v>
      </c>
      <c r="Y194" s="55" t="e">
        <f ca="1">_xlfn.XLOOKUP(PAA_4[[#This Row],[ITEM]],[2]Contrato!A:A,[2]Contrato!B:B,"",0)</f>
        <v>#NAME?</v>
      </c>
      <c r="Z194" s="47" t="e">
        <f ca="1">_xlfn.XLOOKUP(PAA_4[[#This Row],[ITEM]],[2]Contrato!A:A,[2]Contrato!G:G,"",0)</f>
        <v>#NAME?</v>
      </c>
      <c r="AA194" s="47" t="e">
        <f ca="1">_xlfn.XLOOKUP(PAA_4[[#This Row],[ITEM]],[2]Contrato!A:A,[2]Contrato!T:T,"",0)</f>
        <v>#NAME?</v>
      </c>
      <c r="AB194" s="55" t="e">
        <f ca="1">+MAX(PAA_4[[#This Row],[Comprometido Contrato]],PAA_4[[#This Row],[Comprometido Bolsa]])</f>
        <v>#NAME?</v>
      </c>
      <c r="AC194" s="55" t="str">
        <f ca="1">IFERROR(I194-AB194,"")</f>
        <v/>
      </c>
      <c r="AD194" s="55" t="e">
        <f ca="1">IF(PAA_4[[#This Row],[ESTADO (formulado)]]="NO CONTRATADO",0,MAX(PAA_4[[#This Row],[Pago por Contrato]],PAA_4[[#This Row],[Pago por bolsa]]))</f>
        <v>#NAME?</v>
      </c>
      <c r="AE194" s="55" t="str">
        <f ca="1">+IFERROR(AB194-AD194,"")</f>
        <v/>
      </c>
      <c r="AF194" s="47" t="e">
        <f ca="1">+CONCATENATE(AA194,N194)</f>
        <v>#NAME?</v>
      </c>
      <c r="AG194" s="47" t="str">
        <f>IFERROR(_xlfn.NUMBERVALUE(MID(G194,1,8)),"")</f>
        <v/>
      </c>
      <c r="AH194" s="54">
        <f>IF(Q194="22",IF(ISNUMBER(SEARCH("econ",PAA_4[[#This Row],[Actividad3]])),"Económico",IF(ISNUMBER(SEARCH("alim",PAA_4[[#This Row],[Actividad3]])),"Alimentación",IF(ISNUMBER(SEARCH("educ",PAA_4[[#This Row],[Actividad3]])),"Educativo","Técnico"))),0)</f>
        <v>0</v>
      </c>
      <c r="AI194" s="47" t="e" cm="1">
        <f t="array" aca="1" ref="AI194" ca="1">_xlfn.XLOOKUP(PAA_4[[#This Row],[RCP-RUBRO]],[2]!COMPROMISOS_2024[[#All],[concatenado]],[2]!COMPROMISOS_2024[[#All],[Total pagado]],"",0)</f>
        <v>#NAME?</v>
      </c>
      <c r="AJ194" s="56">
        <f>IF(PAA_4[[#This Row],[BOLSA]]=0,0,SUMIFS([2]!COMPROMISOS_2024[[#All],[Total pagado]],[2]!COMPROMISOS_2024[[#All],[Bolsa]],PAA_4[[#This Row],[BOLSA]],[2]!COMPROMISOS_2024[[#All],[rubro]],PAA_4[[#This Row],[RCP-RUBRO]]))</f>
        <v>0</v>
      </c>
      <c r="AK194" s="47" t="e" cm="1">
        <f t="array" aca="1" ref="AK194" ca="1">_xlfn.XLOOKUP(PAA_4[[#This Row],[RCP-RUBRO]],[2]!COMPROMISOS_2024[[#All],[concatenado]],[2]!COMPROMISOS_2024[[#All],[Total Comprometido]],"",0)</f>
        <v>#NAME?</v>
      </c>
      <c r="AL194" s="47">
        <f>IF(PAA_4[[#This Row],[BOLSA]]=0,0,SUMIFS([2]!COMPROMISOS_2024[[#All],[Total Comprometido]],[2]!COMPROMISOS_2024[[#All],[Bolsa]],PAA_4[[#This Row],[BOLSA]],[2]!COMPROMISOS_2024[[#All],[concatenado]],PAA_4[[#This Row],[RCP-RUBRO]]))</f>
        <v>0</v>
      </c>
    </row>
    <row r="195" spans="1:38" s="19" customFormat="1" ht="31.5" customHeight="1">
      <c r="A195" s="47">
        <v>650</v>
      </c>
      <c r="B195" s="47">
        <v>80111600</v>
      </c>
      <c r="C195" s="47" t="str">
        <f>VLOOKUP(PAA_4[[#This Row],[PROYECTO (formulado)2]],[2]PROYECTOS!$G$1:$L$32,6,0)</f>
        <v>SUBGERENCIA ADMINISTRATIVA Y FINANCIERA</v>
      </c>
      <c r="D195" s="47" t="str">
        <f>+IF(PAA_4[[#This Row],[UNIDAD DE CONTRATACION (formulado)]]="Subgerencia Administrativa y Financiera","FUNCIONAMIENTO","INVERSIÓN")</f>
        <v>FUNCIONAMIENTO</v>
      </c>
      <c r="E195" s="48" t="str">
        <f>VLOOKUP(Q195,[2]PROYECTOS!$G$1:$K$32,5,0)</f>
        <v>FUNCIONAMIENTO</v>
      </c>
      <c r="F195" s="48">
        <f>VLOOKUP(E195,[2]PROYECTOS!$K$1:$M$32,3,0)</f>
        <v>999999</v>
      </c>
      <c r="G195" s="49" t="s">
        <v>43</v>
      </c>
      <c r="H195" s="49">
        <f>VLOOKUP(Q195,[2]PROYECTOS!$V$1:$W$32,2,0)</f>
        <v>999999</v>
      </c>
      <c r="I195" s="50">
        <f>139944000-1666000</f>
        <v>138278000</v>
      </c>
      <c r="J195" s="51" t="s">
        <v>146</v>
      </c>
      <c r="K195" s="47" t="str">
        <f t="shared" ref="K195:K199" ca="1" si="87">IF(ISNONTEXT(Y195)=TRUE,"CONTRATADO","NO CONTRATADO")</f>
        <v>CONTRATADO</v>
      </c>
      <c r="L195" s="47" t="s">
        <v>147</v>
      </c>
      <c r="M195" s="47" t="s">
        <v>1297</v>
      </c>
      <c r="N195" s="52" t="s">
        <v>90</v>
      </c>
      <c r="O195" s="51" t="e">
        <f>VLOOKUP(N195,[2]!RUBROS[#All],3,0)</f>
        <v>#REF!</v>
      </c>
      <c r="P195" s="53" t="e">
        <f>VLOOKUP(N195,[2]!RUBROS[#All],2,0)</f>
        <v>#REF!</v>
      </c>
      <c r="Q195" s="47" t="str">
        <f t="shared" ref="Q195:Q199" si="88">+MID(N195,11,2)</f>
        <v>00</v>
      </c>
      <c r="R195" s="47" t="str">
        <f t="shared" ref="R195:R199" si="89">+MID(N195,14,8)</f>
        <v>0-205616</v>
      </c>
      <c r="S195" s="54" t="s">
        <v>148</v>
      </c>
      <c r="T195" s="59" t="s">
        <v>46</v>
      </c>
      <c r="U195" s="326" t="e">
        <f ca="1">_xlfn.XLOOKUP(PAA_4[[#This Row],[ITEM]],[2]Contrato!A:A,[2]Contrato!Q:Q,"",0)</f>
        <v>#NAME?</v>
      </c>
      <c r="V195" s="47" t="s">
        <v>47</v>
      </c>
      <c r="W195" s="47" t="s">
        <v>122</v>
      </c>
      <c r="X195" s="47" t="s">
        <v>122</v>
      </c>
      <c r="Y195" s="55" t="e">
        <f ca="1">_xlfn.XLOOKUP(PAA_4[[#This Row],[ITEM]],[2]Contrato!A:A,[2]Contrato!B:B,"",0)</f>
        <v>#NAME?</v>
      </c>
      <c r="Z195" s="47" t="e">
        <f ca="1">_xlfn.XLOOKUP(PAA_4[[#This Row],[ITEM]],[2]Contrato!A:A,[2]Contrato!G:G,"",0)</f>
        <v>#NAME?</v>
      </c>
      <c r="AA195" s="47" t="e">
        <f ca="1">_xlfn.XLOOKUP(PAA_4[[#This Row],[ITEM]],[2]Contrato!A:A,[2]Contrato!T:T,"",0)</f>
        <v>#NAME?</v>
      </c>
      <c r="AB195" s="55" t="e">
        <f ca="1">+MAX(PAA_4[[#This Row],[Comprometido Contrato]],PAA_4[[#This Row],[Comprometido Bolsa]])</f>
        <v>#NAME?</v>
      </c>
      <c r="AC195" s="55" t="str">
        <f t="shared" ref="AC195:AC199" ca="1" si="90">IFERROR(I195-AB195,"")</f>
        <v/>
      </c>
      <c r="AD195" s="55" t="e">
        <f ca="1">IF(PAA_4[[#This Row],[ESTADO (formulado)]]="NO CONTRATADO",0,MAX(PAA_4[[#This Row],[Pago por Contrato]],PAA_4[[#This Row],[Pago por bolsa]]))</f>
        <v>#NAME?</v>
      </c>
      <c r="AE195" s="55" t="str">
        <f t="shared" ref="AE195:AE199" ca="1" si="91">+IFERROR(AB195-AD195,"")</f>
        <v/>
      </c>
      <c r="AF195" s="47" t="e">
        <f t="shared" ref="AF195:AF199" ca="1" si="92">+CONCATENATE(AA195,N195)</f>
        <v>#NAME?</v>
      </c>
      <c r="AG195" s="47" t="str">
        <f t="shared" ref="AG195:AG199" si="93">IFERROR(_xlfn.NUMBERVALUE(MID(G195,1,8)),"")</f>
        <v/>
      </c>
      <c r="AH195" s="54">
        <f>IF(Q195="22",IF(ISNUMBER(SEARCH("econ",PAA_4[[#This Row],[Actividad3]])),"Económico",IF(ISNUMBER(SEARCH("alim",PAA_4[[#This Row],[Actividad3]])),"Alimentación",IF(ISNUMBER(SEARCH("educ",PAA_4[[#This Row],[Actividad3]])),"Educativo","Técnico"))),0)</f>
        <v>0</v>
      </c>
      <c r="AI195" s="47" t="e" cm="1">
        <f t="array" aca="1" ref="AI195" ca="1">_xlfn.XLOOKUP(PAA_4[[#This Row],[RCP-RUBRO]],[2]!COMPROMISOS_2024[[#All],[concatenado]],[2]!COMPROMISOS_2024[[#All],[Total pagado]],"",0)</f>
        <v>#NAME?</v>
      </c>
      <c r="AJ195" s="56">
        <f>IF(PAA_4[[#This Row],[BOLSA]]=0,0,SUMIFS([2]!COMPROMISOS_2024[[#All],[Total pagado]],[2]!COMPROMISOS_2024[[#All],[Bolsa]],PAA_4[[#This Row],[BOLSA]],[2]!COMPROMISOS_2024[[#All],[rubro]],PAA_4[[#This Row],[RCP-RUBRO]]))</f>
        <v>0</v>
      </c>
      <c r="AK195" s="47" t="e" cm="1">
        <f t="array" aca="1" ref="AK195" ca="1">_xlfn.XLOOKUP(PAA_4[[#This Row],[RCP-RUBRO]],[2]!COMPROMISOS_2024[[#All],[concatenado]],[2]!COMPROMISOS_2024[[#All],[Total Comprometido]],"",0)</f>
        <v>#NAME?</v>
      </c>
      <c r="AL195" s="47">
        <f>IF(PAA_4[[#This Row],[BOLSA]]=0,0,SUMIFS([2]!COMPROMISOS_2024[[#All],[Total Comprometido]],[2]!COMPROMISOS_2024[[#All],[Bolsa]],PAA_4[[#This Row],[BOLSA]],[2]!COMPROMISOS_2024[[#All],[concatenado]],PAA_4[[#This Row],[RCP-RUBRO]]))</f>
        <v>0</v>
      </c>
    </row>
    <row r="196" spans="1:38" s="19" customFormat="1" ht="31.5" customHeight="1">
      <c r="A196" s="47">
        <v>651</v>
      </c>
      <c r="B196" s="51" t="s">
        <v>77</v>
      </c>
      <c r="C196" s="47" t="str">
        <f>VLOOKUP(PAA_4[[#This Row],[PROYECTO (formulado)2]],[2]PROYECTOS!$G$1:$L$32,6,0)</f>
        <v>SUBGERENCIA ADMINISTRATIVA Y FINANCIERA</v>
      </c>
      <c r="D196" s="47" t="str">
        <f>+IF(PAA_4[[#This Row],[UNIDAD DE CONTRATACION (formulado)]]="Subgerencia Administrativa y Financiera","FUNCIONAMIENTO","INVERSIÓN")</f>
        <v>FUNCIONAMIENTO</v>
      </c>
      <c r="E196" s="48" t="str">
        <f>VLOOKUP(Q196,[2]PROYECTOS!$G$1:$K$32,5,0)</f>
        <v>FUNCIONAMIENTO</v>
      </c>
      <c r="F196" s="48">
        <f>VLOOKUP(E196,[2]PROYECTOS!$K$1:$M$32,3,0)</f>
        <v>999999</v>
      </c>
      <c r="G196" s="49" t="s">
        <v>43</v>
      </c>
      <c r="H196" s="49">
        <f>VLOOKUP(Q196,[2]PROYECTOS!$V$1:$W$32,2,0)</f>
        <v>999999</v>
      </c>
      <c r="I196" s="50">
        <v>6118142</v>
      </c>
      <c r="J196" s="51" t="s">
        <v>1378</v>
      </c>
      <c r="K196" s="47" t="str">
        <f t="shared" ca="1" si="87"/>
        <v>CONTRATADO</v>
      </c>
      <c r="L196" s="47" t="s">
        <v>78</v>
      </c>
      <c r="M196" s="72" t="s">
        <v>89</v>
      </c>
      <c r="N196" s="52" t="s">
        <v>80</v>
      </c>
      <c r="O196" s="51" t="e">
        <f>VLOOKUP(N196,[2]!RUBROS[#All],3,0)</f>
        <v>#REF!</v>
      </c>
      <c r="P196" s="53" t="e">
        <f>VLOOKUP(N196,[2]!RUBROS[#All],2,0)</f>
        <v>#REF!</v>
      </c>
      <c r="Q196" s="47" t="str">
        <f t="shared" si="88"/>
        <v>00</v>
      </c>
      <c r="R196" s="47" t="str">
        <f t="shared" si="89"/>
        <v>0-205616</v>
      </c>
      <c r="S196" s="54">
        <v>134</v>
      </c>
      <c r="T196" s="59" t="s">
        <v>120</v>
      </c>
      <c r="U196" s="326" t="e">
        <f ca="1">_xlfn.XLOOKUP(PAA_4[[#This Row],[ITEM]],[2]Contrato!A:A,[2]Contrato!Q:Q,"",0)</f>
        <v>#NAME?</v>
      </c>
      <c r="V196" s="47" t="s">
        <v>95</v>
      </c>
      <c r="W196" s="47" t="s">
        <v>122</v>
      </c>
      <c r="X196" s="47" t="s">
        <v>122</v>
      </c>
      <c r="Y196" s="55" t="e">
        <f ca="1">_xlfn.XLOOKUP(PAA_4[[#This Row],[ITEM]],[2]Contrato!A:A,[2]Contrato!B:B,"",0)</f>
        <v>#NAME?</v>
      </c>
      <c r="Z196" s="47" t="e">
        <f ca="1">_xlfn.XLOOKUP(PAA_4[[#This Row],[ITEM]],[2]Contrato!A:A,[2]Contrato!G:G,"",0)</f>
        <v>#NAME?</v>
      </c>
      <c r="AA196" s="47" t="e">
        <f ca="1">_xlfn.XLOOKUP(PAA_4[[#This Row],[ITEM]],[2]Contrato!A:A,[2]Contrato!T:T,"",0)</f>
        <v>#NAME?</v>
      </c>
      <c r="AB196" s="55" t="e">
        <f ca="1">+MAX(PAA_4[[#This Row],[Comprometido Contrato]],PAA_4[[#This Row],[Comprometido Bolsa]])</f>
        <v>#NAME?</v>
      </c>
      <c r="AC196" s="55" t="str">
        <f t="shared" ca="1" si="90"/>
        <v/>
      </c>
      <c r="AD196" s="55" t="e">
        <f ca="1">IF(PAA_4[[#This Row],[ESTADO (formulado)]]="NO CONTRATADO",0,MAX(PAA_4[[#This Row],[Pago por Contrato]],PAA_4[[#This Row],[Pago por bolsa]]))</f>
        <v>#NAME?</v>
      </c>
      <c r="AE196" s="55" t="str">
        <f t="shared" ca="1" si="91"/>
        <v/>
      </c>
      <c r="AF196" s="47" t="e">
        <f t="shared" ca="1" si="92"/>
        <v>#NAME?</v>
      </c>
      <c r="AG196" s="47" t="str">
        <f t="shared" si="93"/>
        <v/>
      </c>
      <c r="AH196" s="54">
        <f>IF(Q196="22",IF(ISNUMBER(SEARCH("econ",PAA_4[[#This Row],[Actividad3]])),"Económico",IF(ISNUMBER(SEARCH("alim",PAA_4[[#This Row],[Actividad3]])),"Alimentación",IF(ISNUMBER(SEARCH("educ",PAA_4[[#This Row],[Actividad3]])),"Educativo","Técnico"))),0)</f>
        <v>0</v>
      </c>
      <c r="AI196" s="47" t="e" cm="1">
        <f t="array" aca="1" ref="AI196" ca="1">_xlfn.XLOOKUP(PAA_4[[#This Row],[RCP-RUBRO]],[2]!COMPROMISOS_2024[[#All],[concatenado]],[2]!COMPROMISOS_2024[[#All],[Total pagado]],"",0)</f>
        <v>#NAME?</v>
      </c>
      <c r="AJ196" s="56">
        <f>IF(PAA_4[[#This Row],[BOLSA]]=0,0,SUMIFS([2]!COMPROMISOS_2024[[#All],[Total pagado]],[2]!COMPROMISOS_2024[[#All],[Bolsa]],PAA_4[[#This Row],[BOLSA]],[2]!COMPROMISOS_2024[[#All],[rubro]],PAA_4[[#This Row],[RCP-RUBRO]]))</f>
        <v>0</v>
      </c>
      <c r="AK196" s="47" t="e" cm="1">
        <f t="array" aca="1" ref="AK196" ca="1">_xlfn.XLOOKUP(PAA_4[[#This Row],[RCP-RUBRO]],[2]!COMPROMISOS_2024[[#All],[concatenado]],[2]!COMPROMISOS_2024[[#All],[Total Comprometido]],"",0)</f>
        <v>#NAME?</v>
      </c>
      <c r="AL196" s="47">
        <f>IF(PAA_4[[#This Row],[BOLSA]]=0,0,SUMIFS([2]!COMPROMISOS_2024[[#All],[Total Comprometido]],[2]!COMPROMISOS_2024[[#All],[Bolsa]],PAA_4[[#This Row],[BOLSA]],[2]!COMPROMISOS_2024[[#All],[concatenado]],PAA_4[[#This Row],[RCP-RUBRO]]))</f>
        <v>0</v>
      </c>
    </row>
    <row r="197" spans="1:38" s="19" customFormat="1" ht="31.5" customHeight="1">
      <c r="A197" s="47">
        <v>652</v>
      </c>
      <c r="B197" s="51" t="s">
        <v>77</v>
      </c>
      <c r="C197" s="47" t="str">
        <f>VLOOKUP(PAA_4[[#This Row],[PROYECTO (formulado)2]],[2]PROYECTOS!$G$1:$L$32,6,0)</f>
        <v>SUBGERENCIA ADMINISTRATIVA Y FINANCIERA</v>
      </c>
      <c r="D197" s="47" t="str">
        <f>+IF(PAA_4[[#This Row],[UNIDAD DE CONTRATACION (formulado)]]="Subgerencia Administrativa y Financiera","FUNCIONAMIENTO","INVERSIÓN")</f>
        <v>FUNCIONAMIENTO</v>
      </c>
      <c r="E197" s="48" t="str">
        <f>VLOOKUP(Q197,[2]PROYECTOS!$G$1:$K$32,5,0)</f>
        <v>FUNCIONAMIENTO</v>
      </c>
      <c r="F197" s="48">
        <f>VLOOKUP(E197,[2]PROYECTOS!$K$1:$M$32,3,0)</f>
        <v>999999</v>
      </c>
      <c r="G197" s="49" t="s">
        <v>43</v>
      </c>
      <c r="H197" s="49">
        <f>VLOOKUP(Q197,[2]PROYECTOS!$V$1:$W$32,2,0)</f>
        <v>999999</v>
      </c>
      <c r="I197" s="50">
        <v>5041544</v>
      </c>
      <c r="J197" s="51" t="s">
        <v>1379</v>
      </c>
      <c r="K197" s="47" t="str">
        <f t="shared" ca="1" si="87"/>
        <v>CONTRATADO</v>
      </c>
      <c r="L197" s="47" t="s">
        <v>78</v>
      </c>
      <c r="M197" s="72" t="s">
        <v>89</v>
      </c>
      <c r="N197" s="52" t="s">
        <v>80</v>
      </c>
      <c r="O197" s="51" t="e">
        <f>VLOOKUP(N197,[2]!RUBROS[#All],3,0)</f>
        <v>#REF!</v>
      </c>
      <c r="P197" s="53" t="e">
        <f>VLOOKUP(N197,[2]!RUBROS[#All],2,0)</f>
        <v>#REF!</v>
      </c>
      <c r="Q197" s="47" t="str">
        <f t="shared" si="88"/>
        <v>00</v>
      </c>
      <c r="R197" s="47" t="str">
        <f t="shared" si="89"/>
        <v>0-205616</v>
      </c>
      <c r="S197" s="54" t="s">
        <v>149</v>
      </c>
      <c r="T197" s="59" t="s">
        <v>46</v>
      </c>
      <c r="U197" s="326" t="e">
        <f ca="1">_xlfn.XLOOKUP(PAA_4[[#This Row],[ITEM]],[2]Contrato!A:A,[2]Contrato!Q:Q,"",0)</f>
        <v>#NAME?</v>
      </c>
      <c r="V197" s="47" t="s">
        <v>95</v>
      </c>
      <c r="W197" s="47" t="s">
        <v>122</v>
      </c>
      <c r="X197" s="47" t="s">
        <v>122</v>
      </c>
      <c r="Y197" s="55" t="e">
        <f ca="1">_xlfn.XLOOKUP(PAA_4[[#This Row],[ITEM]],[2]Contrato!A:A,[2]Contrato!B:B,"",0)</f>
        <v>#NAME?</v>
      </c>
      <c r="Z197" s="47" t="e">
        <f ca="1">_xlfn.XLOOKUP(PAA_4[[#This Row],[ITEM]],[2]Contrato!A:A,[2]Contrato!G:G,"",0)</f>
        <v>#NAME?</v>
      </c>
      <c r="AA197" s="47" t="e">
        <f ca="1">_xlfn.XLOOKUP(PAA_4[[#This Row],[ITEM]],[2]Contrato!A:A,[2]Contrato!T:T,"",0)</f>
        <v>#NAME?</v>
      </c>
      <c r="AB197" s="55" t="e">
        <f ca="1">+MAX(PAA_4[[#This Row],[Comprometido Contrato]],PAA_4[[#This Row],[Comprometido Bolsa]])</f>
        <v>#NAME?</v>
      </c>
      <c r="AC197" s="55" t="str">
        <f t="shared" ca="1" si="90"/>
        <v/>
      </c>
      <c r="AD197" s="55" t="e">
        <f ca="1">IF(PAA_4[[#This Row],[ESTADO (formulado)]]="NO CONTRATADO",0,MAX(PAA_4[[#This Row],[Pago por Contrato]],PAA_4[[#This Row],[Pago por bolsa]]))</f>
        <v>#NAME?</v>
      </c>
      <c r="AE197" s="55" t="str">
        <f t="shared" ca="1" si="91"/>
        <v/>
      </c>
      <c r="AF197" s="47" t="e">
        <f t="shared" ca="1" si="92"/>
        <v>#NAME?</v>
      </c>
      <c r="AG197" s="47" t="str">
        <f t="shared" si="93"/>
        <v/>
      </c>
      <c r="AH197" s="54">
        <f>IF(Q197="22",IF(ISNUMBER(SEARCH("econ",PAA_4[[#This Row],[Actividad3]])),"Económico",IF(ISNUMBER(SEARCH("alim",PAA_4[[#This Row],[Actividad3]])),"Alimentación",IF(ISNUMBER(SEARCH("educ",PAA_4[[#This Row],[Actividad3]])),"Educativo","Técnico"))),0)</f>
        <v>0</v>
      </c>
      <c r="AI197" s="47" t="e" cm="1">
        <f t="array" aca="1" ref="AI197" ca="1">_xlfn.XLOOKUP(PAA_4[[#This Row],[RCP-RUBRO]],[2]!COMPROMISOS_2024[[#All],[concatenado]],[2]!COMPROMISOS_2024[[#All],[Total pagado]],"",0)</f>
        <v>#NAME?</v>
      </c>
      <c r="AJ197" s="56">
        <f>IF(PAA_4[[#This Row],[BOLSA]]=0,0,SUMIFS([2]!COMPROMISOS_2024[[#All],[Total pagado]],[2]!COMPROMISOS_2024[[#All],[Bolsa]],PAA_4[[#This Row],[BOLSA]],[2]!COMPROMISOS_2024[[#All],[rubro]],PAA_4[[#This Row],[RCP-RUBRO]]))</f>
        <v>0</v>
      </c>
      <c r="AK197" s="47" t="e" cm="1">
        <f t="array" aca="1" ref="AK197" ca="1">_xlfn.XLOOKUP(PAA_4[[#This Row],[RCP-RUBRO]],[2]!COMPROMISOS_2024[[#All],[concatenado]],[2]!COMPROMISOS_2024[[#All],[Total Comprometido]],"",0)</f>
        <v>#NAME?</v>
      </c>
      <c r="AL197" s="47">
        <f>IF(PAA_4[[#This Row],[BOLSA]]=0,0,SUMIFS([2]!COMPROMISOS_2024[[#All],[Total Comprometido]],[2]!COMPROMISOS_2024[[#All],[Bolsa]],PAA_4[[#This Row],[BOLSA]],[2]!COMPROMISOS_2024[[#All],[concatenado]],PAA_4[[#This Row],[RCP-RUBRO]]))</f>
        <v>0</v>
      </c>
    </row>
    <row r="198" spans="1:38" s="19" customFormat="1" ht="31.5" customHeight="1">
      <c r="A198" s="47" t="s">
        <v>82</v>
      </c>
      <c r="B198" s="51" t="s">
        <v>42</v>
      </c>
      <c r="C198" s="47" t="str">
        <f>VLOOKUP(PAA_4[[#This Row],[PROYECTO (formulado)2]],[2]PROYECTOS!$G$1:$L$32,6,0)</f>
        <v>SUBGERENCIA ADMINISTRATIVA Y FINANCIERA</v>
      </c>
      <c r="D198" s="47" t="str">
        <f>+IF(PAA_4[[#This Row],[UNIDAD DE CONTRATACION (formulado)]]="Subgerencia Administrativa y Financiera","FUNCIONAMIENTO","INVERSIÓN")</f>
        <v>FUNCIONAMIENTO</v>
      </c>
      <c r="E198" s="48" t="str">
        <f>VLOOKUP(Q198,[2]PROYECTOS!$G$1:$K$32,5,0)</f>
        <v>FUNCIONAMIENTO</v>
      </c>
      <c r="F198" s="48">
        <f>VLOOKUP(E198,[2]PROYECTOS!$K$1:$M$32,3,0)</f>
        <v>999999</v>
      </c>
      <c r="G198" s="49" t="s">
        <v>43</v>
      </c>
      <c r="H198" s="49">
        <f>VLOOKUP(Q198,[2]PROYECTOS!$V$1:$W$32,2,0)</f>
        <v>999999</v>
      </c>
      <c r="I198" s="50">
        <v>5671703</v>
      </c>
      <c r="J198" s="51" t="s">
        <v>1380</v>
      </c>
      <c r="K198" s="47" t="str">
        <f t="shared" ca="1" si="87"/>
        <v>CONTRATADO</v>
      </c>
      <c r="L198" s="47" t="s">
        <v>42</v>
      </c>
      <c r="M198" s="72" t="s">
        <v>42</v>
      </c>
      <c r="N198" s="52" t="s">
        <v>80</v>
      </c>
      <c r="O198" s="51" t="e">
        <f>VLOOKUP(N198,[2]!RUBROS[#All],3,0)</f>
        <v>#REF!</v>
      </c>
      <c r="P198" s="53" t="e">
        <f>VLOOKUP(N198,[2]!RUBROS[#All],2,0)</f>
        <v>#REF!</v>
      </c>
      <c r="Q198" s="47" t="str">
        <f t="shared" si="88"/>
        <v>00</v>
      </c>
      <c r="R198" s="47" t="str">
        <f t="shared" si="89"/>
        <v>0-205616</v>
      </c>
      <c r="S198" s="54" t="s">
        <v>42</v>
      </c>
      <c r="T198" s="59" t="s">
        <v>42</v>
      </c>
      <c r="U198" s="326" t="e">
        <f ca="1">_xlfn.XLOOKUP(PAA_4[[#This Row],[ITEM]],[2]Contrato!A:A,[2]Contrato!Q:Q,"",0)</f>
        <v>#NAME?</v>
      </c>
      <c r="V198" s="47" t="s">
        <v>95</v>
      </c>
      <c r="W198" s="47" t="s">
        <v>42</v>
      </c>
      <c r="X198" s="47" t="s">
        <v>42</v>
      </c>
      <c r="Y198" s="55" t="e">
        <f ca="1">_xlfn.XLOOKUP(PAA_4[[#This Row],[ITEM]],[2]Contrato!A:A,[2]Contrato!B:B,"",0)</f>
        <v>#NAME?</v>
      </c>
      <c r="Z198" s="47" t="e">
        <f ca="1">_xlfn.XLOOKUP(PAA_4[[#This Row],[ITEM]],[2]Contrato!A:A,[2]Contrato!G:G,"",0)</f>
        <v>#NAME?</v>
      </c>
      <c r="AA198" s="47" t="e">
        <f ca="1">_xlfn.XLOOKUP(PAA_4[[#This Row],[ITEM]],[2]Contrato!A:A,[2]Contrato!T:T,"",0)</f>
        <v>#NAME?</v>
      </c>
      <c r="AB198" s="55" t="e">
        <f ca="1">+MAX(PAA_4[[#This Row],[Comprometido Contrato]],PAA_4[[#This Row],[Comprometido Bolsa]])</f>
        <v>#NAME?</v>
      </c>
      <c r="AC198" s="55" t="str">
        <f t="shared" ca="1" si="90"/>
        <v/>
      </c>
      <c r="AD198" s="55" t="e">
        <f ca="1">IF(PAA_4[[#This Row],[ESTADO (formulado)]]="NO CONTRATADO",0,MAX(PAA_4[[#This Row],[Pago por Contrato]],PAA_4[[#This Row],[Pago por bolsa]]))</f>
        <v>#NAME?</v>
      </c>
      <c r="AE198" s="55" t="str">
        <f t="shared" ca="1" si="91"/>
        <v/>
      </c>
      <c r="AF198" s="47" t="e">
        <f t="shared" ca="1" si="92"/>
        <v>#NAME?</v>
      </c>
      <c r="AG198" s="47" t="str">
        <f t="shared" si="93"/>
        <v/>
      </c>
      <c r="AH198" s="54">
        <f>IF(Q198="22",IF(ISNUMBER(SEARCH("econ",PAA_4[[#This Row],[Actividad3]])),"Económico",IF(ISNUMBER(SEARCH("alim",PAA_4[[#This Row],[Actividad3]])),"Alimentación",IF(ISNUMBER(SEARCH("educ",PAA_4[[#This Row],[Actividad3]])),"Educativo","Técnico"))),0)</f>
        <v>0</v>
      </c>
      <c r="AI198" s="47" t="e" cm="1">
        <f t="array" aca="1" ref="AI198" ca="1">_xlfn.XLOOKUP(PAA_4[[#This Row],[RCP-RUBRO]],[2]!COMPROMISOS_2024[[#All],[concatenado]],[2]!COMPROMISOS_2024[[#All],[Total pagado]],"",0)</f>
        <v>#NAME?</v>
      </c>
      <c r="AJ198" s="56">
        <f>IF(PAA_4[[#This Row],[BOLSA]]=0,0,SUMIFS([2]!COMPROMISOS_2024[[#All],[Total pagado]],[2]!COMPROMISOS_2024[[#All],[Bolsa]],PAA_4[[#This Row],[BOLSA]],[2]!COMPROMISOS_2024[[#All],[rubro]],PAA_4[[#This Row],[RCP-RUBRO]]))</f>
        <v>0</v>
      </c>
      <c r="AK198" s="47" t="e" cm="1">
        <f t="array" aca="1" ref="AK198" ca="1">_xlfn.XLOOKUP(PAA_4[[#This Row],[RCP-RUBRO]],[2]!COMPROMISOS_2024[[#All],[concatenado]],[2]!COMPROMISOS_2024[[#All],[Total Comprometido]],"",0)</f>
        <v>#NAME?</v>
      </c>
      <c r="AL198" s="47">
        <f>IF(PAA_4[[#This Row],[BOLSA]]=0,0,SUMIFS([2]!COMPROMISOS_2024[[#All],[Total Comprometido]],[2]!COMPROMISOS_2024[[#All],[Bolsa]],PAA_4[[#This Row],[BOLSA]],[2]!COMPROMISOS_2024[[#All],[concatenado]],PAA_4[[#This Row],[RCP-RUBRO]]))</f>
        <v>0</v>
      </c>
    </row>
    <row r="199" spans="1:38" s="19" customFormat="1" ht="31.5" customHeight="1">
      <c r="A199" s="47" t="s">
        <v>82</v>
      </c>
      <c r="B199" s="51" t="s">
        <v>42</v>
      </c>
      <c r="C199" s="47" t="str">
        <f>VLOOKUP(PAA_4[[#This Row],[PROYECTO (formulado)2]],[2]PROYECTOS!$G$1:$L$32,6,0)</f>
        <v>SUBGERENCIA ADMINISTRATIVA Y FINANCIERA</v>
      </c>
      <c r="D199" s="47" t="str">
        <f>+IF(PAA_4[[#This Row],[UNIDAD DE CONTRATACION (formulado)]]="Subgerencia Administrativa y Financiera","FUNCIONAMIENTO","INVERSIÓN")</f>
        <v>FUNCIONAMIENTO</v>
      </c>
      <c r="E199" s="48" t="str">
        <f>VLOOKUP(Q199,[2]PROYECTOS!$G$1:$K$32,5,0)</f>
        <v>FUNCIONAMIENTO</v>
      </c>
      <c r="F199" s="48">
        <f>VLOOKUP(E199,[2]PROYECTOS!$K$1:$M$32,3,0)</f>
        <v>999999</v>
      </c>
      <c r="G199" s="49" t="s">
        <v>43</v>
      </c>
      <c r="H199" s="49">
        <f>VLOOKUP(Q199,[2]PROYECTOS!$V$1:$W$32,2,0)</f>
        <v>999999</v>
      </c>
      <c r="I199" s="50">
        <v>290949</v>
      </c>
      <c r="J199" s="51" t="s">
        <v>1380</v>
      </c>
      <c r="K199" s="47" t="str">
        <f t="shared" ca="1" si="87"/>
        <v>CONTRATADO</v>
      </c>
      <c r="L199" s="47" t="s">
        <v>42</v>
      </c>
      <c r="M199" s="72" t="s">
        <v>42</v>
      </c>
      <c r="N199" s="52" t="s">
        <v>1381</v>
      </c>
      <c r="O199" s="51" t="e">
        <f>VLOOKUP(N199,[2]!RUBROS[#All],3,0)</f>
        <v>#REF!</v>
      </c>
      <c r="P199" s="53" t="e">
        <f>VLOOKUP(N199,[2]!RUBROS[#All],2,0)</f>
        <v>#REF!</v>
      </c>
      <c r="Q199" s="47" t="str">
        <f t="shared" si="88"/>
        <v>00</v>
      </c>
      <c r="R199" s="47" t="str">
        <f t="shared" si="89"/>
        <v>0-101024</v>
      </c>
      <c r="S199" s="54" t="s">
        <v>42</v>
      </c>
      <c r="T199" s="59" t="s">
        <v>42</v>
      </c>
      <c r="U199" s="326" t="e">
        <f ca="1">_xlfn.XLOOKUP(PAA_4[[#This Row],[ITEM]],[2]Contrato!A:A,[2]Contrato!Q:Q,"",0)</f>
        <v>#NAME?</v>
      </c>
      <c r="V199" s="47" t="s">
        <v>95</v>
      </c>
      <c r="W199" s="47" t="s">
        <v>42</v>
      </c>
      <c r="X199" s="47" t="s">
        <v>42</v>
      </c>
      <c r="Y199" s="55" t="e">
        <f ca="1">_xlfn.XLOOKUP(PAA_4[[#This Row],[ITEM]],[2]Contrato!A:A,[2]Contrato!B:B,"",0)</f>
        <v>#NAME?</v>
      </c>
      <c r="Z199" s="47" t="e">
        <f ca="1">_xlfn.XLOOKUP(PAA_4[[#This Row],[ITEM]],[2]Contrato!A:A,[2]Contrato!G:G,"",0)</f>
        <v>#NAME?</v>
      </c>
      <c r="AA199" s="47" t="e">
        <f ca="1">_xlfn.XLOOKUP(PAA_4[[#This Row],[ITEM]],[2]Contrato!A:A,[2]Contrato!T:T,"",0)</f>
        <v>#NAME?</v>
      </c>
      <c r="AB199" s="55" t="e">
        <f ca="1">+MAX(PAA_4[[#This Row],[Comprometido Contrato]],PAA_4[[#This Row],[Comprometido Bolsa]])</f>
        <v>#NAME?</v>
      </c>
      <c r="AC199" s="55" t="str">
        <f t="shared" ca="1" si="90"/>
        <v/>
      </c>
      <c r="AD199" s="55" t="e">
        <f ca="1">IF(PAA_4[[#This Row],[ESTADO (formulado)]]="NO CONTRATADO",0,MAX(PAA_4[[#This Row],[Pago por Contrato]],PAA_4[[#This Row],[Pago por bolsa]]))</f>
        <v>#NAME?</v>
      </c>
      <c r="AE199" s="55" t="str">
        <f t="shared" ca="1" si="91"/>
        <v/>
      </c>
      <c r="AF199" s="47" t="e">
        <f t="shared" ca="1" si="92"/>
        <v>#NAME?</v>
      </c>
      <c r="AG199" s="47" t="str">
        <f t="shared" si="93"/>
        <v/>
      </c>
      <c r="AH199" s="54">
        <f>IF(Q199="22",IF(ISNUMBER(SEARCH("econ",PAA_4[[#This Row],[Actividad3]])),"Económico",IF(ISNUMBER(SEARCH("alim",PAA_4[[#This Row],[Actividad3]])),"Alimentación",IF(ISNUMBER(SEARCH("educ",PAA_4[[#This Row],[Actividad3]])),"Educativo","Técnico"))),0)</f>
        <v>0</v>
      </c>
      <c r="AI199" s="47" t="e" cm="1">
        <f t="array" aca="1" ref="AI199" ca="1">_xlfn.XLOOKUP(PAA_4[[#This Row],[RCP-RUBRO]],[2]!COMPROMISOS_2024[[#All],[concatenado]],[2]!COMPROMISOS_2024[[#All],[Total pagado]],"",0)</f>
        <v>#NAME?</v>
      </c>
      <c r="AJ199" s="56">
        <f>IF(PAA_4[[#This Row],[BOLSA]]=0,0,SUMIFS([2]!COMPROMISOS_2024[[#All],[Total pagado]],[2]!COMPROMISOS_2024[[#All],[Bolsa]],PAA_4[[#This Row],[BOLSA]],[2]!COMPROMISOS_2024[[#All],[rubro]],PAA_4[[#This Row],[RCP-RUBRO]]))</f>
        <v>0</v>
      </c>
      <c r="AK199" s="47" t="e" cm="1">
        <f t="array" aca="1" ref="AK199" ca="1">_xlfn.XLOOKUP(PAA_4[[#This Row],[RCP-RUBRO]],[2]!COMPROMISOS_2024[[#All],[concatenado]],[2]!COMPROMISOS_2024[[#All],[Total Comprometido]],"",0)</f>
        <v>#NAME?</v>
      </c>
      <c r="AL199" s="47">
        <f>IF(PAA_4[[#This Row],[BOLSA]]=0,0,SUMIFS([2]!COMPROMISOS_2024[[#All],[Total Comprometido]],[2]!COMPROMISOS_2024[[#All],[Bolsa]],PAA_4[[#This Row],[BOLSA]],[2]!COMPROMISOS_2024[[#All],[concatenado]],PAA_4[[#This Row],[RCP-RUBRO]]))</f>
        <v>0</v>
      </c>
    </row>
    <row r="200" spans="1:38" s="19" customFormat="1" ht="31.5" customHeight="1">
      <c r="A200" s="47" t="s">
        <v>82</v>
      </c>
      <c r="B200" s="51" t="s">
        <v>42</v>
      </c>
      <c r="C200" s="47" t="str">
        <f>VLOOKUP(PAA_4[[#This Row],[PROYECTO (formulado)2]],[2]PROYECTOS!$G$1:$L$32,6,0)</f>
        <v>SUBGERENCIA ADMINISTRATIVA Y FINANCIERA</v>
      </c>
      <c r="D200" s="47" t="str">
        <f>+IF(PAA_4[[#This Row],[UNIDAD DE CONTRATACION (formulado)]]="Subgerencia Administrativa y Financiera","FUNCIONAMIENTO","INVERSIÓN")</f>
        <v>FUNCIONAMIENTO</v>
      </c>
      <c r="E200" s="48" t="str">
        <f>VLOOKUP(Q200,[2]PROYECTOS!$G$1:$K$32,5,0)</f>
        <v>FUNCIONAMIENTO</v>
      </c>
      <c r="F200" s="48">
        <f>VLOOKUP(E200,[2]PROYECTOS!$K$1:$M$32,3,0)</f>
        <v>999999</v>
      </c>
      <c r="G200" s="49" t="s">
        <v>43</v>
      </c>
      <c r="H200" s="49">
        <f>VLOOKUP(Q200,[2]PROYECTOS!$V$1:$W$32,2,0)</f>
        <v>999999</v>
      </c>
      <c r="I200" s="50">
        <v>1</v>
      </c>
      <c r="J200" s="51" t="s">
        <v>1380</v>
      </c>
      <c r="K200" s="47" t="str">
        <f ca="1">IF(ISNONTEXT(Y200)=TRUE,"CONTRATADO","NO CONTRATADO")</f>
        <v>CONTRATADO</v>
      </c>
      <c r="L200" s="47" t="s">
        <v>42</v>
      </c>
      <c r="M200" s="72" t="s">
        <v>42</v>
      </c>
      <c r="N200" s="52" t="s">
        <v>1382</v>
      </c>
      <c r="O200" s="51" t="e">
        <f>VLOOKUP(N200,[2]!RUBROS[#All],3,0)</f>
        <v>#REF!</v>
      </c>
      <c r="P200" s="53" t="e">
        <f>VLOOKUP(N200,[2]!RUBROS[#All],2,0)</f>
        <v>#REF!</v>
      </c>
      <c r="Q200" s="47" t="str">
        <f>+MID(N200,11,2)</f>
        <v>00</v>
      </c>
      <c r="R200" s="47" t="str">
        <f>+MID(N200,14,8)</f>
        <v>4-205616</v>
      </c>
      <c r="S200" s="54" t="s">
        <v>42</v>
      </c>
      <c r="T200" s="59" t="s">
        <v>42</v>
      </c>
      <c r="U200" s="326" t="e">
        <f ca="1">_xlfn.XLOOKUP(PAA_4[[#This Row],[ITEM]],[2]Contrato!A:A,[2]Contrato!Q:Q,"",0)</f>
        <v>#NAME?</v>
      </c>
      <c r="V200" s="47" t="s">
        <v>95</v>
      </c>
      <c r="W200" s="47" t="s">
        <v>42</v>
      </c>
      <c r="X200" s="47" t="s">
        <v>42</v>
      </c>
      <c r="Y200" s="55" t="e">
        <f ca="1">_xlfn.XLOOKUP(PAA_4[[#This Row],[ITEM]],[2]Contrato!A:A,[2]Contrato!B:B,"",0)</f>
        <v>#NAME?</v>
      </c>
      <c r="Z200" s="47" t="e">
        <f ca="1">_xlfn.XLOOKUP(PAA_4[[#This Row],[ITEM]],[2]Contrato!A:A,[2]Contrato!G:G,"",0)</f>
        <v>#NAME?</v>
      </c>
      <c r="AA200" s="47" t="e">
        <f ca="1">_xlfn.XLOOKUP(PAA_4[[#This Row],[ITEM]],[2]Contrato!A:A,[2]Contrato!T:T,"",0)</f>
        <v>#NAME?</v>
      </c>
      <c r="AB200" s="55" t="e">
        <f ca="1">+MAX(PAA_4[[#This Row],[Comprometido Contrato]],PAA_4[[#This Row],[Comprometido Bolsa]])</f>
        <v>#NAME?</v>
      </c>
      <c r="AC200" s="55" t="str">
        <f ca="1">IFERROR(I200-AB200,"")</f>
        <v/>
      </c>
      <c r="AD200" s="55" t="e">
        <f ca="1">IF(PAA_4[[#This Row],[ESTADO (formulado)]]="NO CONTRATADO",0,MAX(PAA_4[[#This Row],[Pago por Contrato]],PAA_4[[#This Row],[Pago por bolsa]]))</f>
        <v>#NAME?</v>
      </c>
      <c r="AE200" s="55" t="str">
        <f ca="1">+IFERROR(AB200-AD200,"")</f>
        <v/>
      </c>
      <c r="AF200" s="47" t="e">
        <f ca="1">+CONCATENATE(AA200,N200)</f>
        <v>#NAME?</v>
      </c>
      <c r="AG200" s="47" t="str">
        <f>IFERROR(_xlfn.NUMBERVALUE(MID(G200,1,8)),"")</f>
        <v/>
      </c>
      <c r="AH200" s="54">
        <f>IF(Q200="22",IF(ISNUMBER(SEARCH("econ",PAA_4[[#This Row],[Actividad3]])),"Económico",IF(ISNUMBER(SEARCH("alim",PAA_4[[#This Row],[Actividad3]])),"Alimentación",IF(ISNUMBER(SEARCH("educ",PAA_4[[#This Row],[Actividad3]])),"Educativo","Técnico"))),0)</f>
        <v>0</v>
      </c>
      <c r="AI200" s="47" t="e" cm="1">
        <f t="array" aca="1" ref="AI200" ca="1">_xlfn.XLOOKUP(PAA_4[[#This Row],[RCP-RUBRO]],[2]!COMPROMISOS_2024[[#All],[concatenado]],[2]!COMPROMISOS_2024[[#All],[Total pagado]],"",0)</f>
        <v>#NAME?</v>
      </c>
      <c r="AJ200" s="56">
        <f>IF(PAA_4[[#This Row],[BOLSA]]=0,0,SUMIFS([2]!COMPROMISOS_2024[[#All],[Total pagado]],[2]!COMPROMISOS_2024[[#All],[Bolsa]],PAA_4[[#This Row],[BOLSA]],[2]!COMPROMISOS_2024[[#All],[rubro]],PAA_4[[#This Row],[RCP-RUBRO]]))</f>
        <v>0</v>
      </c>
      <c r="AK200" s="47" t="e" cm="1">
        <f t="array" aca="1" ref="AK200" ca="1">_xlfn.XLOOKUP(PAA_4[[#This Row],[RCP-RUBRO]],[2]!COMPROMISOS_2024[[#All],[concatenado]],[2]!COMPROMISOS_2024[[#All],[Total Comprometido]],"",0)</f>
        <v>#NAME?</v>
      </c>
      <c r="AL200" s="47">
        <f>IF(PAA_4[[#This Row],[BOLSA]]=0,0,SUMIFS([2]!COMPROMISOS_2024[[#All],[Total Comprometido]],[2]!COMPROMISOS_2024[[#All],[Bolsa]],PAA_4[[#This Row],[BOLSA]],[2]!COMPROMISOS_2024[[#All],[concatenado]],PAA_4[[#This Row],[RCP-RUBRO]]))</f>
        <v>0</v>
      </c>
    </row>
    <row r="201" spans="1:38" s="19" customFormat="1" ht="31.5" customHeight="1">
      <c r="A201" s="47" t="s">
        <v>82</v>
      </c>
      <c r="B201" s="51" t="s">
        <v>42</v>
      </c>
      <c r="C201" s="47" t="str">
        <f>VLOOKUP(PAA_4[[#This Row],[PROYECTO (formulado)2]],[2]PROYECTOS!$G$1:$L$32,6,0)</f>
        <v>SUBGERENCIA ADMINISTRATIVA Y FINANCIERA</v>
      </c>
      <c r="D201" s="47" t="str">
        <f>+IF(PAA_4[[#This Row],[UNIDAD DE CONTRATACION (formulado)]]="Subgerencia Administrativa y Financiera","FUNCIONAMIENTO","INVERSIÓN")</f>
        <v>FUNCIONAMIENTO</v>
      </c>
      <c r="E201" s="48" t="str">
        <f>VLOOKUP(Q201,[2]PROYECTOS!$G$1:$K$32,5,0)</f>
        <v>FUNCIONAMIENTO</v>
      </c>
      <c r="F201" s="48">
        <f>VLOOKUP(E201,[2]PROYECTOS!$K$1:$M$32,3,0)</f>
        <v>999999</v>
      </c>
      <c r="G201" s="49" t="s">
        <v>43</v>
      </c>
      <c r="H201" s="49">
        <f>VLOOKUP(Q201,[2]PROYECTOS!$V$1:$W$32,2,0)</f>
        <v>999999</v>
      </c>
      <c r="I201" s="50">
        <v>15335448</v>
      </c>
      <c r="J201" s="51" t="s">
        <v>1380</v>
      </c>
      <c r="K201" s="47" t="str">
        <f ca="1">IF(ISNONTEXT(Y201)=TRUE,"CONTRATADO","NO CONTRATADO")</f>
        <v>CONTRATADO</v>
      </c>
      <c r="L201" s="47" t="s">
        <v>42</v>
      </c>
      <c r="M201" s="72" t="s">
        <v>42</v>
      </c>
      <c r="N201" s="52" t="s">
        <v>1283</v>
      </c>
      <c r="O201" s="51" t="e">
        <f>VLOOKUP(N201,[2]!RUBROS[#All],3,0)</f>
        <v>#REF!</v>
      </c>
      <c r="P201" s="53" t="e">
        <f>VLOOKUP(N201,[2]!RUBROS[#All],2,0)</f>
        <v>#REF!</v>
      </c>
      <c r="Q201" s="47" t="str">
        <f>+MID(N201,11,2)</f>
        <v>00</v>
      </c>
      <c r="R201" s="47" t="str">
        <f>+MID(N201,14,8)</f>
        <v>0-101024</v>
      </c>
      <c r="S201" s="54" t="s">
        <v>42</v>
      </c>
      <c r="T201" s="59" t="s">
        <v>42</v>
      </c>
      <c r="U201" s="326" t="e">
        <f ca="1">_xlfn.XLOOKUP(PAA_4[[#This Row],[ITEM]],[2]Contrato!A:A,[2]Contrato!Q:Q,"",0)</f>
        <v>#NAME?</v>
      </c>
      <c r="V201" s="47" t="s">
        <v>95</v>
      </c>
      <c r="W201" s="47" t="s">
        <v>42</v>
      </c>
      <c r="X201" s="47" t="s">
        <v>42</v>
      </c>
      <c r="Y201" s="55" t="e">
        <f ca="1">_xlfn.XLOOKUP(PAA_4[[#This Row],[ITEM]],[2]Contrato!A:A,[2]Contrato!B:B,"",0)</f>
        <v>#NAME?</v>
      </c>
      <c r="Z201" s="47" t="e">
        <f ca="1">_xlfn.XLOOKUP(PAA_4[[#This Row],[ITEM]],[2]Contrato!A:A,[2]Contrato!G:G,"",0)</f>
        <v>#NAME?</v>
      </c>
      <c r="AA201" s="47" t="e">
        <f ca="1">_xlfn.XLOOKUP(PAA_4[[#This Row],[ITEM]],[2]Contrato!A:A,[2]Contrato!T:T,"",0)</f>
        <v>#NAME?</v>
      </c>
      <c r="AB201" s="55" t="e">
        <f ca="1">+MAX(PAA_4[[#This Row],[Comprometido Contrato]],PAA_4[[#This Row],[Comprometido Bolsa]])</f>
        <v>#NAME?</v>
      </c>
      <c r="AC201" s="55" t="str">
        <f ca="1">IFERROR(I201-AB201,"")</f>
        <v/>
      </c>
      <c r="AD201" s="55" t="e">
        <f ca="1">IF(PAA_4[[#This Row],[ESTADO (formulado)]]="NO CONTRATADO",0,MAX(PAA_4[[#This Row],[Pago por Contrato]],PAA_4[[#This Row],[Pago por bolsa]]))</f>
        <v>#NAME?</v>
      </c>
      <c r="AE201" s="55" t="str">
        <f ca="1">+IFERROR(AB201-AD201,"")</f>
        <v/>
      </c>
      <c r="AF201" s="47" t="e">
        <f ca="1">+CONCATENATE(AA201,N201)</f>
        <v>#NAME?</v>
      </c>
      <c r="AG201" s="47" t="str">
        <f>IFERROR(_xlfn.NUMBERVALUE(MID(G201,1,8)),"")</f>
        <v/>
      </c>
      <c r="AH201" s="54">
        <f>IF(Q201="22",IF(ISNUMBER(SEARCH("econ",PAA_4[[#This Row],[Actividad3]])),"Económico",IF(ISNUMBER(SEARCH("alim",PAA_4[[#This Row],[Actividad3]])),"Alimentación",IF(ISNUMBER(SEARCH("educ",PAA_4[[#This Row],[Actividad3]])),"Educativo","Técnico"))),0)</f>
        <v>0</v>
      </c>
      <c r="AI201" s="47" t="e" cm="1">
        <f t="array" aca="1" ref="AI201" ca="1">_xlfn.XLOOKUP(PAA_4[[#This Row],[RCP-RUBRO]],[2]!COMPROMISOS_2024[[#All],[concatenado]],[2]!COMPROMISOS_2024[[#All],[Total pagado]],"",0)</f>
        <v>#NAME?</v>
      </c>
      <c r="AJ201" s="56">
        <f>IF(PAA_4[[#This Row],[BOLSA]]=0,0,SUMIFS([2]!COMPROMISOS_2024[[#All],[Total pagado]],[2]!COMPROMISOS_2024[[#All],[Bolsa]],PAA_4[[#This Row],[BOLSA]],[2]!COMPROMISOS_2024[[#All],[rubro]],PAA_4[[#This Row],[RCP-RUBRO]]))</f>
        <v>0</v>
      </c>
      <c r="AK201" s="47" t="e" cm="1">
        <f t="array" aca="1" ref="AK201" ca="1">_xlfn.XLOOKUP(PAA_4[[#This Row],[RCP-RUBRO]],[2]!COMPROMISOS_2024[[#All],[concatenado]],[2]!COMPROMISOS_2024[[#All],[Total Comprometido]],"",0)</f>
        <v>#NAME?</v>
      </c>
      <c r="AL201" s="47">
        <f>IF(PAA_4[[#This Row],[BOLSA]]=0,0,SUMIFS([2]!COMPROMISOS_2024[[#All],[Total Comprometido]],[2]!COMPROMISOS_2024[[#All],[Bolsa]],PAA_4[[#This Row],[BOLSA]],[2]!COMPROMISOS_2024[[#All],[concatenado]],PAA_4[[#This Row],[RCP-RUBRO]]))</f>
        <v>0</v>
      </c>
    </row>
    <row r="202" spans="1:38" s="19" customFormat="1" ht="31.5" customHeight="1">
      <c r="A202" s="47">
        <v>653</v>
      </c>
      <c r="B202" s="51" t="s">
        <v>150</v>
      </c>
      <c r="C202" s="47" t="str">
        <f>VLOOKUP(PAA_4[[#This Row],[PROYECTO (formulado)2]],[2]PROYECTOS!$G$1:$L$32,6,0)</f>
        <v>SUBGERENCIA ADMINISTRATIVA Y FINANCIERA</v>
      </c>
      <c r="D202" s="47" t="str">
        <f>+IF(PAA_4[[#This Row],[UNIDAD DE CONTRATACION (formulado)]]="Subgerencia Administrativa y Financiera","FUNCIONAMIENTO","INVERSIÓN")</f>
        <v>FUNCIONAMIENTO</v>
      </c>
      <c r="E202" s="48" t="str">
        <f>VLOOKUP(Q202,[2]PROYECTOS!$G$1:$K$32,5,0)</f>
        <v>FUNCIONAMIENTO</v>
      </c>
      <c r="F202" s="48">
        <f>VLOOKUP(E202,[2]PROYECTOS!$K$1:$M$32,3,0)</f>
        <v>999999</v>
      </c>
      <c r="G202" s="49" t="s">
        <v>43</v>
      </c>
      <c r="H202" s="49">
        <f>VLOOKUP(Q202,[2]PROYECTOS!$V$1:$W$32,2,0)</f>
        <v>999999</v>
      </c>
      <c r="I202" s="50">
        <f>187763569-5671703</f>
        <v>182091866</v>
      </c>
      <c r="J202" s="51" t="s">
        <v>1383</v>
      </c>
      <c r="K202" s="47" t="str">
        <f t="shared" ref="K202:K210" ca="1" si="94">IF(ISNONTEXT(Y202)=TRUE,"CONTRATADO","NO CONTRATADO")</f>
        <v>CONTRATADO</v>
      </c>
      <c r="L202" s="47" t="s">
        <v>78</v>
      </c>
      <c r="M202" s="72" t="s">
        <v>89</v>
      </c>
      <c r="N202" s="52" t="s">
        <v>80</v>
      </c>
      <c r="O202" s="51" t="e">
        <f>VLOOKUP(N202,[2]!RUBROS[#All],3,0)</f>
        <v>#REF!</v>
      </c>
      <c r="P202" s="53" t="e">
        <f>VLOOKUP(N202,[2]!RUBROS[#All],2,0)</f>
        <v>#REF!</v>
      </c>
      <c r="Q202" s="47" t="str">
        <f t="shared" ref="Q202:Q210" si="95">+MID(N202,11,2)</f>
        <v>00</v>
      </c>
      <c r="R202" s="47" t="str">
        <f t="shared" ref="R202:R210" si="96">+MID(N202,14,8)</f>
        <v>0-205616</v>
      </c>
      <c r="S202" s="54" t="s">
        <v>149</v>
      </c>
      <c r="T202" s="59" t="s">
        <v>46</v>
      </c>
      <c r="U202" s="326" t="e">
        <f ca="1">_xlfn.XLOOKUP(PAA_4[[#This Row],[ITEM]],[2]Contrato!A:A,[2]Contrato!Q:Q,"",0)</f>
        <v>#NAME?</v>
      </c>
      <c r="V202" s="47" t="s">
        <v>95</v>
      </c>
      <c r="W202" s="47" t="s">
        <v>122</v>
      </c>
      <c r="X202" s="47" t="s">
        <v>122</v>
      </c>
      <c r="Y202" s="55" t="e">
        <f ca="1">_xlfn.XLOOKUP(PAA_4[[#This Row],[ITEM]],[2]Contrato!A:A,[2]Contrato!B:B,"",0)</f>
        <v>#NAME?</v>
      </c>
      <c r="Z202" s="47" t="e">
        <f ca="1">_xlfn.XLOOKUP(PAA_4[[#This Row],[ITEM]],[2]Contrato!A:A,[2]Contrato!G:G,"",0)</f>
        <v>#NAME?</v>
      </c>
      <c r="AA202" s="47" t="e">
        <f ca="1">_xlfn.XLOOKUP(PAA_4[[#This Row],[ITEM]],[2]Contrato!A:A,[2]Contrato!T:T,"",0)</f>
        <v>#NAME?</v>
      </c>
      <c r="AB202" s="55" t="e">
        <f ca="1">+MAX(PAA_4[[#This Row],[Comprometido Contrato]],PAA_4[[#This Row],[Comprometido Bolsa]])</f>
        <v>#NAME?</v>
      </c>
      <c r="AC202" s="55" t="str">
        <f t="shared" ref="AC202:AC210" ca="1" si="97">IFERROR(I202-AB202,"")</f>
        <v/>
      </c>
      <c r="AD202" s="55" t="e">
        <f ca="1">IF(PAA_4[[#This Row],[ESTADO (formulado)]]="NO CONTRATADO",0,MAX(PAA_4[[#This Row],[Pago por Contrato]],PAA_4[[#This Row],[Pago por bolsa]]))</f>
        <v>#NAME?</v>
      </c>
      <c r="AE202" s="55" t="str">
        <f t="shared" ref="AE202:AE210" ca="1" si="98">+IFERROR(AB202-AD202,"")</f>
        <v/>
      </c>
      <c r="AF202" s="47" t="e">
        <f t="shared" ref="AF202:AF210" ca="1" si="99">+CONCATENATE(AA202,N202)</f>
        <v>#NAME?</v>
      </c>
      <c r="AG202" s="47" t="str">
        <f t="shared" ref="AG202:AG210" si="100">IFERROR(_xlfn.NUMBERVALUE(MID(G202,1,8)),"")</f>
        <v/>
      </c>
      <c r="AH202" s="54">
        <f>IF(Q202="22",IF(ISNUMBER(SEARCH("econ",PAA_4[[#This Row],[Actividad3]])),"Económico",IF(ISNUMBER(SEARCH("alim",PAA_4[[#This Row],[Actividad3]])),"Alimentación",IF(ISNUMBER(SEARCH("educ",PAA_4[[#This Row],[Actividad3]])),"Educativo","Técnico"))),0)</f>
        <v>0</v>
      </c>
      <c r="AI202" s="47" t="e" cm="1">
        <f t="array" aca="1" ref="AI202" ca="1">_xlfn.XLOOKUP(PAA_4[[#This Row],[RCP-RUBRO]],[2]!COMPROMISOS_2024[[#All],[concatenado]],[2]!COMPROMISOS_2024[[#All],[Total pagado]],"",0)</f>
        <v>#NAME?</v>
      </c>
      <c r="AJ202" s="56">
        <f>IF(PAA_4[[#This Row],[BOLSA]]=0,0,SUMIFS([2]!COMPROMISOS_2024[[#All],[Total pagado]],[2]!COMPROMISOS_2024[[#All],[Bolsa]],PAA_4[[#This Row],[BOLSA]],[2]!COMPROMISOS_2024[[#All],[rubro]],PAA_4[[#This Row],[RCP-RUBRO]]))</f>
        <v>0</v>
      </c>
      <c r="AK202" s="47" t="e" cm="1">
        <f t="array" aca="1" ref="AK202" ca="1">_xlfn.XLOOKUP(PAA_4[[#This Row],[RCP-RUBRO]],[2]!COMPROMISOS_2024[[#All],[concatenado]],[2]!COMPROMISOS_2024[[#All],[Total Comprometido]],"",0)</f>
        <v>#NAME?</v>
      </c>
      <c r="AL202" s="47">
        <f>IF(PAA_4[[#This Row],[BOLSA]]=0,0,SUMIFS([2]!COMPROMISOS_2024[[#All],[Total Comprometido]],[2]!COMPROMISOS_2024[[#All],[Bolsa]],PAA_4[[#This Row],[BOLSA]],[2]!COMPROMISOS_2024[[#All],[concatenado]],PAA_4[[#This Row],[RCP-RUBRO]]))</f>
        <v>0</v>
      </c>
    </row>
    <row r="203" spans="1:38" s="19" customFormat="1" ht="31.5" customHeight="1">
      <c r="A203" s="47">
        <v>586</v>
      </c>
      <c r="B203" s="47">
        <v>72102100</v>
      </c>
      <c r="C203" s="47" t="str">
        <f>VLOOKUP(PAA_4[[#This Row],[PROYECTO (formulado)2]],[2]PROYECTOS!$G$1:$L$32,6,0)</f>
        <v>SUBGERENCIA ADMINISTRATIVA Y FINANCIERA</v>
      </c>
      <c r="D203" s="47" t="str">
        <f>+IF(PAA_4[[#This Row],[UNIDAD DE CONTRATACION (formulado)]]="Subgerencia Administrativa y Financiera","FUNCIONAMIENTO","INVERSIÓN")</f>
        <v>FUNCIONAMIENTO</v>
      </c>
      <c r="E203" s="48" t="str">
        <f>VLOOKUP(Q203,[2]PROYECTOS!$G$1:$K$32,5,0)</f>
        <v>FUNCIONAMIENTO</v>
      </c>
      <c r="F203" s="48">
        <f>VLOOKUP(E203,[2]PROYECTOS!$K$1:$M$32,3,0)</f>
        <v>999999</v>
      </c>
      <c r="G203" s="49" t="s">
        <v>43</v>
      </c>
      <c r="H203" s="49">
        <f>VLOOKUP(Q203,[2]PROYECTOS!$V$1:$W$32,2,0)</f>
        <v>999999</v>
      </c>
      <c r="I203" s="50">
        <f>2935200-200</f>
        <v>2935000</v>
      </c>
      <c r="J203" s="51" t="s">
        <v>1384</v>
      </c>
      <c r="K203" s="47" t="str">
        <f t="shared" ca="1" si="94"/>
        <v>CONTRATADO</v>
      </c>
      <c r="L203" s="47" t="s">
        <v>151</v>
      </c>
      <c r="M203" s="47" t="s">
        <v>89</v>
      </c>
      <c r="N203" s="52" t="s">
        <v>155</v>
      </c>
      <c r="O203" s="51" t="e">
        <f>VLOOKUP(N203,[2]!RUBROS[#All],3,0)</f>
        <v>#REF!</v>
      </c>
      <c r="P203" s="53" t="e">
        <f>VLOOKUP(N203,[2]!RUBROS[#All],2,0)</f>
        <v>#REF!</v>
      </c>
      <c r="Q203" s="47" t="str">
        <f t="shared" si="95"/>
        <v>00</v>
      </c>
      <c r="R203" s="47" t="str">
        <f t="shared" si="96"/>
        <v>4-205616</v>
      </c>
      <c r="S203" s="54">
        <v>6</v>
      </c>
      <c r="T203" s="59" t="s">
        <v>46</v>
      </c>
      <c r="U203" s="326" t="e">
        <f ca="1">_xlfn.XLOOKUP(PAA_4[[#This Row],[ITEM]],[2]Contrato!A:A,[2]Contrato!Q:Q,"",0)</f>
        <v>#NAME?</v>
      </c>
      <c r="V203" s="47" t="s">
        <v>95</v>
      </c>
      <c r="W203" s="47" t="s">
        <v>154</v>
      </c>
      <c r="X203" s="47" t="s">
        <v>154</v>
      </c>
      <c r="Y203" s="55" t="e">
        <f ca="1">_xlfn.XLOOKUP(PAA_4[[#This Row],[ITEM]],[2]Contrato!A:A,[2]Contrato!B:B,"",0)</f>
        <v>#NAME?</v>
      </c>
      <c r="Z203" s="47" t="e">
        <f ca="1">_xlfn.XLOOKUP(PAA_4[[#This Row],[ITEM]],[2]Contrato!A:A,[2]Contrato!G:G,"",0)</f>
        <v>#NAME?</v>
      </c>
      <c r="AA203" s="47" t="e">
        <f ca="1">_xlfn.XLOOKUP(PAA_4[[#This Row],[ITEM]],[2]Contrato!A:A,[2]Contrato!T:T,"",0)</f>
        <v>#NAME?</v>
      </c>
      <c r="AB203" s="55" t="e">
        <f ca="1">+MAX(PAA_4[[#This Row],[Comprometido Contrato]],PAA_4[[#This Row],[Comprometido Bolsa]])</f>
        <v>#NAME?</v>
      </c>
      <c r="AC203" s="55" t="str">
        <f t="shared" ca="1" si="97"/>
        <v/>
      </c>
      <c r="AD203" s="55" t="e">
        <f ca="1">IF(PAA_4[[#This Row],[ESTADO (formulado)]]="NO CONTRATADO",0,MAX(PAA_4[[#This Row],[Pago por Contrato]],PAA_4[[#This Row],[Pago por bolsa]]))</f>
        <v>#NAME?</v>
      </c>
      <c r="AE203" s="55" t="str">
        <f t="shared" ca="1" si="98"/>
        <v/>
      </c>
      <c r="AF203" s="47" t="e">
        <f t="shared" ca="1" si="99"/>
        <v>#NAME?</v>
      </c>
      <c r="AG203" s="47" t="str">
        <f t="shared" si="100"/>
        <v/>
      </c>
      <c r="AH203" s="54">
        <f>IF(Q203="22",IF(ISNUMBER(SEARCH("econ",PAA_4[[#This Row],[Actividad3]])),"Económico",IF(ISNUMBER(SEARCH("alim",PAA_4[[#This Row],[Actividad3]])),"Alimentación",IF(ISNUMBER(SEARCH("educ",PAA_4[[#This Row],[Actividad3]])),"Educativo","Técnico"))),0)</f>
        <v>0</v>
      </c>
      <c r="AI203" s="47" t="e" cm="1">
        <f t="array" aca="1" ref="AI203" ca="1">_xlfn.XLOOKUP(PAA_4[[#This Row],[RCP-RUBRO]],[2]!COMPROMISOS_2024[[#All],[concatenado]],[2]!COMPROMISOS_2024[[#All],[Total pagado]],"",0)</f>
        <v>#NAME?</v>
      </c>
      <c r="AJ203" s="56">
        <f>IF(PAA_4[[#This Row],[BOLSA]]=0,0,SUMIFS([2]!COMPROMISOS_2024[[#All],[Total pagado]],[2]!COMPROMISOS_2024[[#All],[Bolsa]],PAA_4[[#This Row],[BOLSA]],[2]!COMPROMISOS_2024[[#All],[rubro]],PAA_4[[#This Row],[RCP-RUBRO]]))</f>
        <v>0</v>
      </c>
      <c r="AK203" s="47" t="e" cm="1">
        <f t="array" aca="1" ref="AK203" ca="1">_xlfn.XLOOKUP(PAA_4[[#This Row],[RCP-RUBRO]],[2]!COMPROMISOS_2024[[#All],[concatenado]],[2]!COMPROMISOS_2024[[#All],[Total Comprometido]],"",0)</f>
        <v>#NAME?</v>
      </c>
      <c r="AL203" s="47">
        <f>IF(PAA_4[[#This Row],[BOLSA]]=0,0,SUMIFS([2]!COMPROMISOS_2024[[#All],[Total Comprometido]],[2]!COMPROMISOS_2024[[#All],[Bolsa]],PAA_4[[#This Row],[BOLSA]],[2]!COMPROMISOS_2024[[#All],[concatenado]],PAA_4[[#This Row],[RCP-RUBRO]]))</f>
        <v>0</v>
      </c>
    </row>
    <row r="204" spans="1:38" s="19" customFormat="1" ht="31.5" customHeight="1">
      <c r="A204" s="47">
        <v>586</v>
      </c>
      <c r="B204" s="47">
        <v>72102100</v>
      </c>
      <c r="C204" s="47" t="str">
        <f>VLOOKUP(PAA_4[[#This Row],[PROYECTO (formulado)2]],[2]PROYECTOS!$G$1:$L$32,6,0)</f>
        <v>SUBGERENCIA ADMINISTRATIVA Y FINANCIERA</v>
      </c>
      <c r="D204" s="47" t="str">
        <f>+IF(PAA_4[[#This Row],[UNIDAD DE CONTRATACION (formulado)]]="Subgerencia Administrativa y Financiera","FUNCIONAMIENTO","INVERSIÓN")</f>
        <v>FUNCIONAMIENTO</v>
      </c>
      <c r="E204" s="48" t="str">
        <f>VLOOKUP(Q204,[2]PROYECTOS!$G$1:$K$32,5,0)</f>
        <v>FUNCIONAMIENTO</v>
      </c>
      <c r="F204" s="48">
        <f>VLOOKUP(E204,[2]PROYECTOS!$K$1:$M$32,3,0)</f>
        <v>999999</v>
      </c>
      <c r="G204" s="49" t="s">
        <v>43</v>
      </c>
      <c r="H204" s="49">
        <f>VLOOKUP(Q204,[2]PROYECTOS!$V$1:$W$32,2,0)</f>
        <v>999999</v>
      </c>
      <c r="I204" s="50">
        <f>15664344-12280444</f>
        <v>3383900</v>
      </c>
      <c r="J204" s="51" t="s">
        <v>1384</v>
      </c>
      <c r="K204" s="47" t="str">
        <f t="shared" ca="1" si="94"/>
        <v>CONTRATADO</v>
      </c>
      <c r="L204" s="47" t="s">
        <v>151</v>
      </c>
      <c r="M204" s="47" t="s">
        <v>89</v>
      </c>
      <c r="N204" s="52" t="s">
        <v>90</v>
      </c>
      <c r="O204" s="51" t="e">
        <f>VLOOKUP(N204,[2]!RUBROS[#All],3,0)</f>
        <v>#REF!</v>
      </c>
      <c r="P204" s="53" t="e">
        <f>VLOOKUP(N204,[2]!RUBROS[#All],2,0)</f>
        <v>#REF!</v>
      </c>
      <c r="Q204" s="47" t="str">
        <f t="shared" si="95"/>
        <v>00</v>
      </c>
      <c r="R204" s="47" t="str">
        <f t="shared" si="96"/>
        <v>0-205616</v>
      </c>
      <c r="S204" s="54">
        <v>6</v>
      </c>
      <c r="T204" s="59" t="s">
        <v>46</v>
      </c>
      <c r="U204" s="326" t="e">
        <f ca="1">_xlfn.XLOOKUP(PAA_4[[#This Row],[ITEM]],[2]Contrato!A:A,[2]Contrato!Q:Q,"",0)</f>
        <v>#NAME?</v>
      </c>
      <c r="V204" s="47" t="s">
        <v>95</v>
      </c>
      <c r="W204" s="47" t="s">
        <v>154</v>
      </c>
      <c r="X204" s="47" t="s">
        <v>154</v>
      </c>
      <c r="Y204" s="55" t="e">
        <f ca="1">_xlfn.XLOOKUP(PAA_4[[#This Row],[ITEM]],[2]Contrato!A:A,[2]Contrato!B:B,"",0)</f>
        <v>#NAME?</v>
      </c>
      <c r="Z204" s="47" t="e">
        <f ca="1">_xlfn.XLOOKUP(PAA_4[[#This Row],[ITEM]],[2]Contrato!A:A,[2]Contrato!G:G,"",0)</f>
        <v>#NAME?</v>
      </c>
      <c r="AA204" s="47" t="e">
        <f ca="1">_xlfn.XLOOKUP(PAA_4[[#This Row],[ITEM]],[2]Contrato!A:A,[2]Contrato!T:T,"",0)</f>
        <v>#NAME?</v>
      </c>
      <c r="AB204" s="55" t="e">
        <f ca="1">+MAX(PAA_4[[#This Row],[Comprometido Contrato]],PAA_4[[#This Row],[Comprometido Bolsa]])</f>
        <v>#NAME?</v>
      </c>
      <c r="AC204" s="55" t="str">
        <f t="shared" ca="1" si="97"/>
        <v/>
      </c>
      <c r="AD204" s="55" t="e">
        <f ca="1">IF(PAA_4[[#This Row],[ESTADO (formulado)]]="NO CONTRATADO",0,MAX(PAA_4[[#This Row],[Pago por Contrato]],PAA_4[[#This Row],[Pago por bolsa]]))</f>
        <v>#NAME?</v>
      </c>
      <c r="AE204" s="55" t="str">
        <f t="shared" ca="1" si="98"/>
        <v/>
      </c>
      <c r="AF204" s="47" t="e">
        <f t="shared" ca="1" si="99"/>
        <v>#NAME?</v>
      </c>
      <c r="AG204" s="47" t="str">
        <f t="shared" si="100"/>
        <v/>
      </c>
      <c r="AH204" s="54">
        <f>IF(Q204="22",IF(ISNUMBER(SEARCH("econ",PAA_4[[#This Row],[Actividad3]])),"Económico",IF(ISNUMBER(SEARCH("alim",PAA_4[[#This Row],[Actividad3]])),"Alimentación",IF(ISNUMBER(SEARCH("educ",PAA_4[[#This Row],[Actividad3]])),"Educativo","Técnico"))),0)</f>
        <v>0</v>
      </c>
      <c r="AI204" s="47" t="e" cm="1">
        <f t="array" aca="1" ref="AI204" ca="1">_xlfn.XLOOKUP(PAA_4[[#This Row],[RCP-RUBRO]],[2]!COMPROMISOS_2024[[#All],[concatenado]],[2]!COMPROMISOS_2024[[#All],[Total pagado]],"",0)</f>
        <v>#NAME?</v>
      </c>
      <c r="AJ204" s="56">
        <f>IF(PAA_4[[#This Row],[BOLSA]]=0,0,SUMIFS([2]!COMPROMISOS_2024[[#All],[Total pagado]],[2]!COMPROMISOS_2024[[#All],[Bolsa]],PAA_4[[#This Row],[BOLSA]],[2]!COMPROMISOS_2024[[#All],[rubro]],PAA_4[[#This Row],[RCP-RUBRO]]))</f>
        <v>0</v>
      </c>
      <c r="AK204" s="47" t="e" cm="1">
        <f t="array" aca="1" ref="AK204" ca="1">_xlfn.XLOOKUP(PAA_4[[#This Row],[RCP-RUBRO]],[2]!COMPROMISOS_2024[[#All],[concatenado]],[2]!COMPROMISOS_2024[[#All],[Total Comprometido]],"",0)</f>
        <v>#NAME?</v>
      </c>
      <c r="AL204" s="47">
        <f>IF(PAA_4[[#This Row],[BOLSA]]=0,0,SUMIFS([2]!COMPROMISOS_2024[[#All],[Total Comprometido]],[2]!COMPROMISOS_2024[[#All],[Bolsa]],PAA_4[[#This Row],[BOLSA]],[2]!COMPROMISOS_2024[[#All],[concatenado]],PAA_4[[#This Row],[RCP-RUBRO]]))</f>
        <v>0</v>
      </c>
    </row>
    <row r="205" spans="1:38" s="19" customFormat="1" ht="31.5" customHeight="1">
      <c r="A205" s="47">
        <v>1262</v>
      </c>
      <c r="B205" s="47">
        <v>92101501</v>
      </c>
      <c r="C205" s="47" t="str">
        <f>VLOOKUP(PAA_4[[#This Row],[PROYECTO (formulado)2]],[2]PROYECTOS!$G$1:$L$32,6,0)</f>
        <v>SUBGERENCIA ADMINISTRATIVA Y FINANCIERA</v>
      </c>
      <c r="D205" s="47" t="str">
        <f>+IF(PAA_4[[#This Row],[UNIDAD DE CONTRATACION (formulado)]]="Subgerencia Administrativa y Financiera","FUNCIONAMIENTO","INVERSIÓN")</f>
        <v>FUNCIONAMIENTO</v>
      </c>
      <c r="E205" s="48" t="str">
        <f>VLOOKUP(Q205,[2]PROYECTOS!$G$1:$K$32,5,0)</f>
        <v>FUNCIONAMIENTO</v>
      </c>
      <c r="F205" s="48">
        <f>VLOOKUP(E205,[2]PROYECTOS!$K$1:$M$32,3,0)</f>
        <v>999999</v>
      </c>
      <c r="G205" s="49" t="s">
        <v>43</v>
      </c>
      <c r="H205" s="49">
        <f>VLOOKUP(Q205,[2]PROYECTOS!$V$1:$W$32,2,0)</f>
        <v>999999</v>
      </c>
      <c r="I205" s="50">
        <v>5241318</v>
      </c>
      <c r="J205" s="51" t="s">
        <v>1282</v>
      </c>
      <c r="K205" s="47" t="str">
        <f t="shared" ca="1" si="94"/>
        <v>CONTRATADO</v>
      </c>
      <c r="L205" s="47" t="s">
        <v>78</v>
      </c>
      <c r="M205" s="47" t="s">
        <v>89</v>
      </c>
      <c r="N205" s="52" t="s">
        <v>155</v>
      </c>
      <c r="O205" s="51" t="e">
        <f>VLOOKUP(N205,[2]!RUBROS[#All],3,0)</f>
        <v>#REF!</v>
      </c>
      <c r="P205" s="53" t="e">
        <f>VLOOKUP(N205,[2]!RUBROS[#All],2,0)</f>
        <v>#REF!</v>
      </c>
      <c r="Q205" s="47" t="str">
        <f t="shared" si="95"/>
        <v>00</v>
      </c>
      <c r="R205" s="47" t="str">
        <f t="shared" si="96"/>
        <v>4-205616</v>
      </c>
      <c r="S205" s="54">
        <v>2</v>
      </c>
      <c r="T205" s="59" t="s">
        <v>46</v>
      </c>
      <c r="U205" s="326" t="e">
        <f ca="1">_xlfn.XLOOKUP(PAA_4[[#This Row],[ITEM]],[2]Contrato!A:A,[2]Contrato!Q:Q,"",0)</f>
        <v>#NAME?</v>
      </c>
      <c r="V205" s="47" t="s">
        <v>47</v>
      </c>
      <c r="W205" s="47" t="s">
        <v>200</v>
      </c>
      <c r="X205" s="47" t="s">
        <v>200</v>
      </c>
      <c r="Y205" s="55" t="e">
        <f ca="1">_xlfn.XLOOKUP(PAA_4[[#This Row],[ITEM]],[2]Contrato!A:A,[2]Contrato!B:B,"",0)</f>
        <v>#NAME?</v>
      </c>
      <c r="Z205" s="47" t="e">
        <f ca="1">_xlfn.XLOOKUP(PAA_4[[#This Row],[ITEM]],[2]Contrato!A:A,[2]Contrato!G:G,"",0)</f>
        <v>#NAME?</v>
      </c>
      <c r="AA205" s="47" t="e">
        <f ca="1">_xlfn.XLOOKUP(PAA_4[[#This Row],[ITEM]],[2]Contrato!A:A,[2]Contrato!T:T,"",0)</f>
        <v>#NAME?</v>
      </c>
      <c r="AB205" s="55" t="e">
        <f ca="1">+MAX(PAA_4[[#This Row],[Comprometido Contrato]],PAA_4[[#This Row],[Comprometido Bolsa]])</f>
        <v>#NAME?</v>
      </c>
      <c r="AC205" s="55" t="str">
        <f t="shared" ca="1" si="97"/>
        <v/>
      </c>
      <c r="AD205" s="55" t="e">
        <f ca="1">IF(PAA_4[[#This Row],[ESTADO (formulado)]]="NO CONTRATADO",0,MAX(PAA_4[[#This Row],[Pago por Contrato]],PAA_4[[#This Row],[Pago por bolsa]]))</f>
        <v>#NAME?</v>
      </c>
      <c r="AE205" s="55" t="str">
        <f t="shared" ca="1" si="98"/>
        <v/>
      </c>
      <c r="AF205" s="47" t="e">
        <f t="shared" ca="1" si="99"/>
        <v>#NAME?</v>
      </c>
      <c r="AG205" s="47" t="str">
        <f t="shared" si="100"/>
        <v/>
      </c>
      <c r="AH205" s="54">
        <f>IF(Q205="22",IF(ISNUMBER(SEARCH("econ",PAA_4[[#This Row],[Actividad3]])),"Económico",IF(ISNUMBER(SEARCH("alim",PAA_4[[#This Row],[Actividad3]])),"Alimentación",IF(ISNUMBER(SEARCH("educ",PAA_4[[#This Row],[Actividad3]])),"Educativo","Técnico"))),0)</f>
        <v>0</v>
      </c>
      <c r="AI205" s="47" t="e" cm="1">
        <f t="array" aca="1" ref="AI205" ca="1">_xlfn.XLOOKUP(PAA_4[[#This Row],[RCP-RUBRO]],[2]!COMPROMISOS_2024[[#All],[concatenado]],[2]!COMPROMISOS_2024[[#All],[Total pagado]],"",0)</f>
        <v>#NAME?</v>
      </c>
      <c r="AJ205" s="56">
        <f>IF(PAA_4[[#This Row],[BOLSA]]=0,0,SUMIFS([2]!COMPROMISOS_2024[[#All],[Total pagado]],[2]!COMPROMISOS_2024[[#All],[Bolsa]],PAA_4[[#This Row],[BOLSA]],[2]!COMPROMISOS_2024[[#All],[rubro]],PAA_4[[#This Row],[RCP-RUBRO]]))</f>
        <v>0</v>
      </c>
      <c r="AK205" s="47" t="e" cm="1">
        <f t="array" aca="1" ref="AK205" ca="1">_xlfn.XLOOKUP(PAA_4[[#This Row],[RCP-RUBRO]],[2]!COMPROMISOS_2024[[#All],[concatenado]],[2]!COMPROMISOS_2024[[#All],[Total Comprometido]],"",0)</f>
        <v>#NAME?</v>
      </c>
      <c r="AL205" s="47">
        <f>IF(PAA_4[[#This Row],[BOLSA]]=0,0,SUMIFS([2]!COMPROMISOS_2024[[#All],[Total Comprometido]],[2]!COMPROMISOS_2024[[#All],[Bolsa]],PAA_4[[#This Row],[BOLSA]],[2]!COMPROMISOS_2024[[#All],[concatenado]],PAA_4[[#This Row],[RCP-RUBRO]]))</f>
        <v>0</v>
      </c>
    </row>
    <row r="206" spans="1:38" s="19" customFormat="1" ht="31.5" customHeight="1">
      <c r="A206" s="47" t="s">
        <v>82</v>
      </c>
      <c r="B206" s="47" t="s">
        <v>42</v>
      </c>
      <c r="C206" s="47" t="str">
        <f>VLOOKUP(PAA_4[[#This Row],[PROYECTO (formulado)2]],[2]PROYECTOS!$G$1:$L$32,6,0)</f>
        <v>SUBGERENCIA ADMINISTRATIVA Y FINANCIERA</v>
      </c>
      <c r="D206" s="47" t="str">
        <f>+IF(PAA_4[[#This Row],[UNIDAD DE CONTRATACION (formulado)]]="Subgerencia Administrativa y Financiera","FUNCIONAMIENTO","INVERSIÓN")</f>
        <v>FUNCIONAMIENTO</v>
      </c>
      <c r="E206" s="48" t="str">
        <f>VLOOKUP(Q206,[2]PROYECTOS!$G$1:$K$32,5,0)</f>
        <v>FUNCIONAMIENTO</v>
      </c>
      <c r="F206" s="48">
        <f>VLOOKUP(E206,[2]PROYECTOS!$K$1:$M$32,3,0)</f>
        <v>999999</v>
      </c>
      <c r="G206" s="49" t="s">
        <v>43</v>
      </c>
      <c r="H206" s="49">
        <f>VLOOKUP(Q206,[2]PROYECTOS!$V$1:$W$32,2,0)</f>
        <v>999999</v>
      </c>
      <c r="I206" s="50">
        <f>182398-4</f>
        <v>182394</v>
      </c>
      <c r="J206" s="51" t="s">
        <v>1325</v>
      </c>
      <c r="K206" s="47" t="str">
        <f t="shared" ca="1" si="94"/>
        <v>CONTRATADO</v>
      </c>
      <c r="L206" s="47" t="s">
        <v>42</v>
      </c>
      <c r="M206" s="47" t="s">
        <v>42</v>
      </c>
      <c r="N206" s="52" t="s">
        <v>90</v>
      </c>
      <c r="O206" s="51" t="e">
        <f>VLOOKUP(N206,[2]!RUBROS[#All],3,0)</f>
        <v>#REF!</v>
      </c>
      <c r="P206" s="53" t="e">
        <f>VLOOKUP(N206,[2]!RUBROS[#All],2,0)</f>
        <v>#REF!</v>
      </c>
      <c r="Q206" s="47" t="str">
        <f t="shared" si="95"/>
        <v>00</v>
      </c>
      <c r="R206" s="47" t="str">
        <f t="shared" si="96"/>
        <v>0-205616</v>
      </c>
      <c r="S206" s="54" t="s">
        <v>42</v>
      </c>
      <c r="T206" s="59" t="s">
        <v>42</v>
      </c>
      <c r="U206" s="326" t="e">
        <f ca="1">_xlfn.XLOOKUP(PAA_4[[#This Row],[ITEM]],[2]Contrato!A:A,[2]Contrato!Q:Q,"",0)</f>
        <v>#NAME?</v>
      </c>
      <c r="V206" s="47" t="s">
        <v>47</v>
      </c>
      <c r="W206" s="47" t="s">
        <v>42</v>
      </c>
      <c r="X206" s="47" t="s">
        <v>42</v>
      </c>
      <c r="Y206" s="55" t="e">
        <f ca="1">_xlfn.XLOOKUP(PAA_4[[#This Row],[ITEM]],[2]Contrato!A:A,[2]Contrato!B:B,"",0)</f>
        <v>#NAME?</v>
      </c>
      <c r="Z206" s="47" t="e">
        <f ca="1">_xlfn.XLOOKUP(PAA_4[[#This Row],[ITEM]],[2]Contrato!A:A,[2]Contrato!G:G,"",0)</f>
        <v>#NAME?</v>
      </c>
      <c r="AA206" s="47" t="e">
        <f ca="1">_xlfn.XLOOKUP(PAA_4[[#This Row],[ITEM]],[2]Contrato!A:A,[2]Contrato!T:T,"",0)</f>
        <v>#NAME?</v>
      </c>
      <c r="AB206" s="55" t="e">
        <f ca="1">+MAX(PAA_4[[#This Row],[Comprometido Contrato]],PAA_4[[#This Row],[Comprometido Bolsa]])</f>
        <v>#NAME?</v>
      </c>
      <c r="AC206" s="55" t="str">
        <f t="shared" ca="1" si="97"/>
        <v/>
      </c>
      <c r="AD206" s="55" t="e">
        <f ca="1">IF(PAA_4[[#This Row],[ESTADO (formulado)]]="NO CONTRATADO",0,MAX(PAA_4[[#This Row],[Pago por Contrato]],PAA_4[[#This Row],[Pago por bolsa]]))</f>
        <v>#NAME?</v>
      </c>
      <c r="AE206" s="55" t="str">
        <f t="shared" ca="1" si="98"/>
        <v/>
      </c>
      <c r="AF206" s="47" t="e">
        <f t="shared" ca="1" si="99"/>
        <v>#NAME?</v>
      </c>
      <c r="AG206" s="47" t="str">
        <f t="shared" si="100"/>
        <v/>
      </c>
      <c r="AH206" s="54">
        <f>IF(Q206="22",IF(ISNUMBER(SEARCH("econ",PAA_4[[#This Row],[Actividad3]])),"Económico",IF(ISNUMBER(SEARCH("alim",PAA_4[[#This Row],[Actividad3]])),"Alimentación",IF(ISNUMBER(SEARCH("educ",PAA_4[[#This Row],[Actividad3]])),"Educativo","Técnico"))),0)</f>
        <v>0</v>
      </c>
      <c r="AI206" s="47" t="e" cm="1">
        <f t="array" aca="1" ref="AI206" ca="1">_xlfn.XLOOKUP(PAA_4[[#This Row],[RCP-RUBRO]],[2]!COMPROMISOS_2024[[#All],[concatenado]],[2]!COMPROMISOS_2024[[#All],[Total pagado]],"",0)</f>
        <v>#NAME?</v>
      </c>
      <c r="AJ206" s="56">
        <f>IF(PAA_4[[#This Row],[BOLSA]]=0,0,SUMIFS([2]!COMPROMISOS_2024[[#All],[Total pagado]],[2]!COMPROMISOS_2024[[#All],[Bolsa]],PAA_4[[#This Row],[BOLSA]],[2]!COMPROMISOS_2024[[#All],[rubro]],PAA_4[[#This Row],[RCP-RUBRO]]))</f>
        <v>0</v>
      </c>
      <c r="AK206" s="47" t="e" cm="1">
        <f t="array" aca="1" ref="AK206" ca="1">_xlfn.XLOOKUP(PAA_4[[#This Row],[RCP-RUBRO]],[2]!COMPROMISOS_2024[[#All],[concatenado]],[2]!COMPROMISOS_2024[[#All],[Total Comprometido]],"",0)</f>
        <v>#NAME?</v>
      </c>
      <c r="AL206" s="47">
        <f>IF(PAA_4[[#This Row],[BOLSA]]=0,0,SUMIFS([2]!COMPROMISOS_2024[[#All],[Total Comprometido]],[2]!COMPROMISOS_2024[[#All],[Bolsa]],PAA_4[[#This Row],[BOLSA]],[2]!COMPROMISOS_2024[[#All],[concatenado]],PAA_4[[#This Row],[RCP-RUBRO]]))</f>
        <v>0</v>
      </c>
    </row>
    <row r="207" spans="1:38" s="19" customFormat="1" ht="31.5" customHeight="1">
      <c r="A207" s="47">
        <v>698</v>
      </c>
      <c r="B207" s="51" t="s">
        <v>152</v>
      </c>
      <c r="C207" s="47" t="str">
        <f>VLOOKUP(PAA_4[[#This Row],[PROYECTO (formulado)2]],[2]PROYECTOS!$G$1:$L$32,6,0)</f>
        <v>SUBGERENCIA ADMINISTRATIVA Y FINANCIERA</v>
      </c>
      <c r="D207" s="47" t="str">
        <f>+IF(PAA_4[[#This Row],[UNIDAD DE CONTRATACION (formulado)]]="Subgerencia Administrativa y Financiera","FUNCIONAMIENTO","INVERSIÓN")</f>
        <v>FUNCIONAMIENTO</v>
      </c>
      <c r="E207" s="48" t="str">
        <f>VLOOKUP(Q207,[2]PROYECTOS!$G$1:$K$32,5,0)</f>
        <v>FUNCIONAMIENTO</v>
      </c>
      <c r="F207" s="48">
        <f>VLOOKUP(E207,[2]PROYECTOS!$K$1:$M$32,3,0)</f>
        <v>999999</v>
      </c>
      <c r="G207" s="49" t="s">
        <v>43</v>
      </c>
      <c r="H207" s="49">
        <f>VLOOKUP(Q207,[2]PROYECTOS!$V$1:$W$32,2,0)</f>
        <v>999999</v>
      </c>
      <c r="I207" s="50">
        <v>0</v>
      </c>
      <c r="J207" s="51" t="s">
        <v>1385</v>
      </c>
      <c r="K207" s="47" t="str">
        <f t="shared" ca="1" si="94"/>
        <v>CONTRATADO</v>
      </c>
      <c r="L207" s="47" t="s">
        <v>94</v>
      </c>
      <c r="M207" s="47" t="s">
        <v>255</v>
      </c>
      <c r="N207" s="52" t="s">
        <v>90</v>
      </c>
      <c r="O207" s="51" t="e">
        <f>VLOOKUP(N207,[2]!RUBROS[#All],3,0)</f>
        <v>#REF!</v>
      </c>
      <c r="P207" s="53" t="e">
        <f>VLOOKUP(N207,[2]!RUBROS[#All],2,0)</f>
        <v>#REF!</v>
      </c>
      <c r="Q207" s="47" t="str">
        <f t="shared" si="95"/>
        <v>00</v>
      </c>
      <c r="R207" s="47" t="str">
        <f t="shared" si="96"/>
        <v>0-205616</v>
      </c>
      <c r="S207" s="54">
        <v>1</v>
      </c>
      <c r="T207" s="59" t="s">
        <v>258</v>
      </c>
      <c r="U207" s="326" t="e">
        <f ca="1">_xlfn.XLOOKUP(PAA_4[[#This Row],[ITEM]],[2]Contrato!A:A,[2]Contrato!Q:Q,"",0)</f>
        <v>#NAME?</v>
      </c>
      <c r="V207" s="47" t="s">
        <v>95</v>
      </c>
      <c r="W207" s="47" t="s">
        <v>203</v>
      </c>
      <c r="X207" s="47" t="s">
        <v>203</v>
      </c>
      <c r="Y207" s="55" t="e">
        <f ca="1">_xlfn.XLOOKUP(PAA_4[[#This Row],[ITEM]],[2]Contrato!A:A,[2]Contrato!B:B,"",0)</f>
        <v>#NAME?</v>
      </c>
      <c r="Z207" s="47" t="e">
        <f ca="1">_xlfn.XLOOKUP(PAA_4[[#This Row],[ITEM]],[2]Contrato!A:A,[2]Contrato!G:G,"",0)</f>
        <v>#NAME?</v>
      </c>
      <c r="AA207" s="47" t="e">
        <f ca="1">_xlfn.XLOOKUP(PAA_4[[#This Row],[ITEM]],[2]Contrato!A:A,[2]Contrato!T:T,"",0)</f>
        <v>#NAME?</v>
      </c>
      <c r="AB207" s="55" t="e">
        <f ca="1">+MAX(PAA_4[[#This Row],[Comprometido Contrato]],PAA_4[[#This Row],[Comprometido Bolsa]])</f>
        <v>#NAME?</v>
      </c>
      <c r="AC207" s="55" t="str">
        <f t="shared" ca="1" si="97"/>
        <v/>
      </c>
      <c r="AD207" s="55" t="e">
        <f ca="1">IF(PAA_4[[#This Row],[ESTADO (formulado)]]="NO CONTRATADO",0,MAX(PAA_4[[#This Row],[Pago por Contrato]],PAA_4[[#This Row],[Pago por bolsa]]))</f>
        <v>#NAME?</v>
      </c>
      <c r="AE207" s="55" t="str">
        <f t="shared" ca="1" si="98"/>
        <v/>
      </c>
      <c r="AF207" s="47" t="e">
        <f t="shared" ca="1" si="99"/>
        <v>#NAME?</v>
      </c>
      <c r="AG207" s="47" t="str">
        <f t="shared" si="100"/>
        <v/>
      </c>
      <c r="AH207" s="54">
        <f>IF(Q207="22",IF(ISNUMBER(SEARCH("econ",PAA_4[[#This Row],[Actividad3]])),"Económico",IF(ISNUMBER(SEARCH("alim",PAA_4[[#This Row],[Actividad3]])),"Alimentación",IF(ISNUMBER(SEARCH("educ",PAA_4[[#This Row],[Actividad3]])),"Educativo","Técnico"))),0)</f>
        <v>0</v>
      </c>
      <c r="AI207" s="47" t="e" cm="1">
        <f t="array" aca="1" ref="AI207" ca="1">_xlfn.XLOOKUP(PAA_4[[#This Row],[RCP-RUBRO]],[2]!COMPROMISOS_2024[[#All],[concatenado]],[2]!COMPROMISOS_2024[[#All],[Total pagado]],"",0)</f>
        <v>#NAME?</v>
      </c>
      <c r="AJ207" s="56">
        <f>IF(PAA_4[[#This Row],[BOLSA]]=0,0,SUMIFS([2]!COMPROMISOS_2024[[#All],[Total pagado]],[2]!COMPROMISOS_2024[[#All],[Bolsa]],PAA_4[[#This Row],[BOLSA]],[2]!COMPROMISOS_2024[[#All],[rubro]],PAA_4[[#This Row],[RCP-RUBRO]]))</f>
        <v>0</v>
      </c>
      <c r="AK207" s="47" t="e" cm="1">
        <f t="array" aca="1" ref="AK207" ca="1">_xlfn.XLOOKUP(PAA_4[[#This Row],[RCP-RUBRO]],[2]!COMPROMISOS_2024[[#All],[concatenado]],[2]!COMPROMISOS_2024[[#All],[Total Comprometido]],"",0)</f>
        <v>#NAME?</v>
      </c>
      <c r="AL207" s="47">
        <f>IF(PAA_4[[#This Row],[BOLSA]]=0,0,SUMIFS([2]!COMPROMISOS_2024[[#All],[Total Comprometido]],[2]!COMPROMISOS_2024[[#All],[Bolsa]],PAA_4[[#This Row],[BOLSA]],[2]!COMPROMISOS_2024[[#All],[concatenado]],PAA_4[[#This Row],[RCP-RUBRO]]))</f>
        <v>0</v>
      </c>
    </row>
    <row r="208" spans="1:38" s="19" customFormat="1" ht="31.5" customHeight="1">
      <c r="A208" s="47">
        <v>790</v>
      </c>
      <c r="B208" s="51">
        <v>92101501</v>
      </c>
      <c r="C208" s="47" t="str">
        <f>VLOOKUP(PAA_4[[#This Row],[PROYECTO (formulado)2]],[2]PROYECTOS!$G$1:$L$32,6,0)</f>
        <v>SUBGERENCIA ADMINISTRATIVA Y FINANCIERA</v>
      </c>
      <c r="D208" s="47" t="str">
        <f>+IF(PAA_4[[#This Row],[UNIDAD DE CONTRATACION (formulado)]]="Subgerencia Administrativa y Financiera","FUNCIONAMIENTO","INVERSIÓN")</f>
        <v>FUNCIONAMIENTO</v>
      </c>
      <c r="E208" s="48" t="str">
        <f>VLOOKUP(Q208,[2]PROYECTOS!$G$1:$K$32,5,0)</f>
        <v>FUNCIONAMIENTO</v>
      </c>
      <c r="F208" s="48">
        <f>VLOOKUP(E208,[2]PROYECTOS!$K$1:$M$32,3,0)</f>
        <v>999999</v>
      </c>
      <c r="G208" s="49" t="s">
        <v>43</v>
      </c>
      <c r="H208" s="49">
        <f>VLOOKUP(Q208,[2]PROYECTOS!$V$1:$W$32,2,0)</f>
        <v>999999</v>
      </c>
      <c r="I208" s="50">
        <v>441507417</v>
      </c>
      <c r="J208" s="51" t="s">
        <v>1386</v>
      </c>
      <c r="K208" s="47" t="str">
        <f t="shared" ca="1" si="94"/>
        <v>CONTRATADO</v>
      </c>
      <c r="L208" s="61" t="s">
        <v>94</v>
      </c>
      <c r="M208" s="47" t="s">
        <v>89</v>
      </c>
      <c r="N208" s="52" t="s">
        <v>155</v>
      </c>
      <c r="O208" s="51" t="e">
        <f>VLOOKUP(N208,[2]!RUBROS[#All],3,0)</f>
        <v>#REF!</v>
      </c>
      <c r="P208" s="53" t="e">
        <f>VLOOKUP(N208,[2]!RUBROS[#All],2,0)</f>
        <v>#REF!</v>
      </c>
      <c r="Q208" s="47" t="str">
        <f t="shared" si="95"/>
        <v>00</v>
      </c>
      <c r="R208" s="47" t="str">
        <f t="shared" si="96"/>
        <v>4-205616</v>
      </c>
      <c r="S208" s="54">
        <v>4.5</v>
      </c>
      <c r="T208" s="59" t="s">
        <v>46</v>
      </c>
      <c r="U208" s="326" t="e">
        <f ca="1">_xlfn.XLOOKUP(PAA_4[[#This Row],[ITEM]],[2]Contrato!A:A,[2]Contrato!Q:Q,"",0)</f>
        <v>#NAME?</v>
      </c>
      <c r="V208" s="47" t="s">
        <v>47</v>
      </c>
      <c r="W208" s="47" t="s">
        <v>154</v>
      </c>
      <c r="X208" s="47" t="s">
        <v>193</v>
      </c>
      <c r="Y208" s="55" t="e">
        <f ca="1">_xlfn.XLOOKUP(PAA_4[[#This Row],[ITEM]],[2]Contrato!A:A,[2]Contrato!B:B,"",0)</f>
        <v>#NAME?</v>
      </c>
      <c r="Z208" s="47" t="e">
        <f ca="1">_xlfn.XLOOKUP(PAA_4[[#This Row],[ITEM]],[2]Contrato!A:A,[2]Contrato!G:G,"",0)</f>
        <v>#NAME?</v>
      </c>
      <c r="AA208" s="47" t="e">
        <f ca="1">_xlfn.XLOOKUP(PAA_4[[#This Row],[ITEM]],[2]Contrato!A:A,[2]Contrato!T:T,"",0)</f>
        <v>#NAME?</v>
      </c>
      <c r="AB208" s="55" t="e">
        <f ca="1">+MAX(PAA_4[[#This Row],[Comprometido Contrato]],PAA_4[[#This Row],[Comprometido Bolsa]])</f>
        <v>#NAME?</v>
      </c>
      <c r="AC208" s="55" t="str">
        <f t="shared" ca="1" si="97"/>
        <v/>
      </c>
      <c r="AD208" s="55" t="e">
        <f ca="1">IF(PAA_4[[#This Row],[ESTADO (formulado)]]="NO CONTRATADO",0,MAX(PAA_4[[#This Row],[Pago por Contrato]],PAA_4[[#This Row],[Pago por bolsa]]))</f>
        <v>#NAME?</v>
      </c>
      <c r="AE208" s="55" t="str">
        <f t="shared" ca="1" si="98"/>
        <v/>
      </c>
      <c r="AF208" s="47" t="e">
        <f t="shared" ca="1" si="99"/>
        <v>#NAME?</v>
      </c>
      <c r="AG208" s="47" t="str">
        <f t="shared" si="100"/>
        <v/>
      </c>
      <c r="AH208" s="54">
        <f>IF(Q208="22",IF(ISNUMBER(SEARCH("econ",PAA_4[[#This Row],[Actividad3]])),"Económico",IF(ISNUMBER(SEARCH("alim",PAA_4[[#This Row],[Actividad3]])),"Alimentación",IF(ISNUMBER(SEARCH("educ",PAA_4[[#This Row],[Actividad3]])),"Educativo","Técnico"))),0)</f>
        <v>0</v>
      </c>
      <c r="AI208" s="47" t="e" cm="1">
        <f t="array" aca="1" ref="AI208" ca="1">_xlfn.XLOOKUP(PAA_4[[#This Row],[RCP-RUBRO]],[2]!COMPROMISOS_2024[[#All],[concatenado]],[2]!COMPROMISOS_2024[[#All],[Total pagado]],"",0)</f>
        <v>#NAME?</v>
      </c>
      <c r="AJ208" s="56">
        <f>IF(PAA_4[[#This Row],[BOLSA]]=0,0,SUMIFS([2]!COMPROMISOS_2024[[#All],[Total pagado]],[2]!COMPROMISOS_2024[[#All],[Bolsa]],PAA_4[[#This Row],[BOLSA]],[2]!COMPROMISOS_2024[[#All],[rubro]],PAA_4[[#This Row],[RCP-RUBRO]]))</f>
        <v>0</v>
      </c>
      <c r="AK208" s="47" t="e" cm="1">
        <f t="array" aca="1" ref="AK208" ca="1">_xlfn.XLOOKUP(PAA_4[[#This Row],[RCP-RUBRO]],[2]!COMPROMISOS_2024[[#All],[concatenado]],[2]!COMPROMISOS_2024[[#All],[Total Comprometido]],"",0)</f>
        <v>#NAME?</v>
      </c>
      <c r="AL208" s="47">
        <f>IF(PAA_4[[#This Row],[BOLSA]]=0,0,SUMIFS([2]!COMPROMISOS_2024[[#All],[Total Comprometido]],[2]!COMPROMISOS_2024[[#All],[Bolsa]],PAA_4[[#This Row],[BOLSA]],[2]!COMPROMISOS_2024[[#All],[concatenado]],PAA_4[[#This Row],[RCP-RUBRO]]))</f>
        <v>0</v>
      </c>
    </row>
    <row r="209" spans="1:38" s="19" customFormat="1" ht="31.5" customHeight="1">
      <c r="A209" s="47" t="s">
        <v>82</v>
      </c>
      <c r="B209" s="51" t="s">
        <v>42</v>
      </c>
      <c r="C209" s="47" t="str">
        <f>VLOOKUP(PAA_4[[#This Row],[PROYECTO (formulado)2]],[2]PROYECTOS!$G$1:$L$32,6,0)</f>
        <v>SUBGERENCIA ADMINISTRATIVA Y FINANCIERA</v>
      </c>
      <c r="D209" s="47" t="str">
        <f>+IF(PAA_4[[#This Row],[UNIDAD DE CONTRATACION (formulado)]]="Subgerencia Administrativa y Financiera","FUNCIONAMIENTO","INVERSIÓN")</f>
        <v>FUNCIONAMIENTO</v>
      </c>
      <c r="E209" s="48" t="str">
        <f>VLOOKUP(Q209,[2]PROYECTOS!$G$1:$K$32,5,0)</f>
        <v>FUNCIONAMIENTO</v>
      </c>
      <c r="F209" s="48">
        <f>VLOOKUP(E209,[2]PROYECTOS!$K$1:$M$32,3,0)</f>
        <v>999999</v>
      </c>
      <c r="G209" s="49" t="s">
        <v>43</v>
      </c>
      <c r="H209" s="49">
        <f>VLOOKUP(Q209,[2]PROYECTOS!$V$1:$W$32,2,0)</f>
        <v>999999</v>
      </c>
      <c r="I209" s="50">
        <v>2052441</v>
      </c>
      <c r="J209" s="51" t="s">
        <v>1295</v>
      </c>
      <c r="K209" s="47" t="str">
        <f t="shared" ca="1" si="94"/>
        <v>CONTRATADO</v>
      </c>
      <c r="L209" s="61" t="s">
        <v>42</v>
      </c>
      <c r="M209" s="47" t="s">
        <v>42</v>
      </c>
      <c r="N209" s="52" t="s">
        <v>155</v>
      </c>
      <c r="O209" s="51" t="e">
        <f>VLOOKUP(N209,[2]!RUBROS[#All],3,0)</f>
        <v>#REF!</v>
      </c>
      <c r="P209" s="53" t="e">
        <f>VLOOKUP(N209,[2]!RUBROS[#All],2,0)</f>
        <v>#REF!</v>
      </c>
      <c r="Q209" s="47" t="str">
        <f t="shared" si="95"/>
        <v>00</v>
      </c>
      <c r="R209" s="47" t="str">
        <f t="shared" si="96"/>
        <v>4-205616</v>
      </c>
      <c r="S209" s="54" t="s">
        <v>42</v>
      </c>
      <c r="T209" s="59" t="s">
        <v>42</v>
      </c>
      <c r="U209" s="326" t="e">
        <f ca="1">_xlfn.XLOOKUP(PAA_4[[#This Row],[ITEM]],[2]Contrato!A:A,[2]Contrato!Q:Q,"",0)</f>
        <v>#NAME?</v>
      </c>
      <c r="V209" s="47" t="s">
        <v>95</v>
      </c>
      <c r="W209" s="47" t="s">
        <v>42</v>
      </c>
      <c r="X209" s="47" t="s">
        <v>42</v>
      </c>
      <c r="Y209" s="55" t="e">
        <f ca="1">_xlfn.XLOOKUP(PAA_4[[#This Row],[ITEM]],[2]Contrato!A:A,[2]Contrato!B:B,"",0)</f>
        <v>#NAME?</v>
      </c>
      <c r="Z209" s="47" t="e">
        <f ca="1">_xlfn.XLOOKUP(PAA_4[[#This Row],[ITEM]],[2]Contrato!A:A,[2]Contrato!G:G,"",0)</f>
        <v>#NAME?</v>
      </c>
      <c r="AA209" s="47" t="e">
        <f ca="1">_xlfn.XLOOKUP(PAA_4[[#This Row],[ITEM]],[2]Contrato!A:A,[2]Contrato!T:T,"",0)</f>
        <v>#NAME?</v>
      </c>
      <c r="AB209" s="55" t="e">
        <f ca="1">+MAX(PAA_4[[#This Row],[Comprometido Contrato]],PAA_4[[#This Row],[Comprometido Bolsa]])</f>
        <v>#NAME?</v>
      </c>
      <c r="AC209" s="55" t="str">
        <f t="shared" ca="1" si="97"/>
        <v/>
      </c>
      <c r="AD209" s="55" t="e">
        <f ca="1">IF(PAA_4[[#This Row],[ESTADO (formulado)]]="NO CONTRATADO",0,MAX(PAA_4[[#This Row],[Pago por Contrato]],PAA_4[[#This Row],[Pago por bolsa]]))</f>
        <v>#NAME?</v>
      </c>
      <c r="AE209" s="55" t="str">
        <f t="shared" ca="1" si="98"/>
        <v/>
      </c>
      <c r="AF209" s="47" t="e">
        <f t="shared" ca="1" si="99"/>
        <v>#NAME?</v>
      </c>
      <c r="AG209" s="47" t="str">
        <f t="shared" si="100"/>
        <v/>
      </c>
      <c r="AH209" s="54">
        <f>IF(Q209="22",IF(ISNUMBER(SEARCH("econ",PAA_4[[#This Row],[Actividad3]])),"Económico",IF(ISNUMBER(SEARCH("alim",PAA_4[[#This Row],[Actividad3]])),"Alimentación",IF(ISNUMBER(SEARCH("educ",PAA_4[[#This Row],[Actividad3]])),"Educativo","Técnico"))),0)</f>
        <v>0</v>
      </c>
      <c r="AI209" s="47" t="e" cm="1">
        <f t="array" aca="1" ref="AI209" ca="1">_xlfn.XLOOKUP(PAA_4[[#This Row],[RCP-RUBRO]],[2]!COMPROMISOS_2024[[#All],[concatenado]],[2]!COMPROMISOS_2024[[#All],[Total pagado]],"",0)</f>
        <v>#NAME?</v>
      </c>
      <c r="AJ209" s="56">
        <f>IF(PAA_4[[#This Row],[BOLSA]]=0,0,SUMIFS([2]!COMPROMISOS_2024[[#All],[Total pagado]],[2]!COMPROMISOS_2024[[#All],[Bolsa]],PAA_4[[#This Row],[BOLSA]],[2]!COMPROMISOS_2024[[#All],[rubro]],PAA_4[[#This Row],[RCP-RUBRO]]))</f>
        <v>0</v>
      </c>
      <c r="AK209" s="47" t="e" cm="1">
        <f t="array" aca="1" ref="AK209" ca="1">_xlfn.XLOOKUP(PAA_4[[#This Row],[RCP-RUBRO]],[2]!COMPROMISOS_2024[[#All],[concatenado]],[2]!COMPROMISOS_2024[[#All],[Total Comprometido]],"",0)</f>
        <v>#NAME?</v>
      </c>
      <c r="AL209" s="47">
        <f>IF(PAA_4[[#This Row],[BOLSA]]=0,0,SUMIFS([2]!COMPROMISOS_2024[[#All],[Total Comprometido]],[2]!COMPROMISOS_2024[[#All],[Bolsa]],PAA_4[[#This Row],[BOLSA]],[2]!COMPROMISOS_2024[[#All],[concatenado]],PAA_4[[#This Row],[RCP-RUBRO]]))</f>
        <v>0</v>
      </c>
    </row>
    <row r="210" spans="1:38" s="19" customFormat="1" ht="31.5" customHeight="1">
      <c r="A210" s="47" t="s">
        <v>82</v>
      </c>
      <c r="B210" s="51" t="s">
        <v>42</v>
      </c>
      <c r="C210" s="47" t="str">
        <f>VLOOKUP(PAA_4[[#This Row],[PROYECTO (formulado)2]],[2]PROYECTOS!$G$1:$L$32,6,0)</f>
        <v>SUBGERENCIA ADMINISTRATIVA Y FINANCIERA</v>
      </c>
      <c r="D210" s="47" t="str">
        <f>+IF(PAA_4[[#This Row],[UNIDAD DE CONTRATACION (formulado)]]="Subgerencia Administrativa y Financiera","FUNCIONAMIENTO","INVERSIÓN")</f>
        <v>FUNCIONAMIENTO</v>
      </c>
      <c r="E210" s="48" t="str">
        <f>VLOOKUP(Q210,[2]PROYECTOS!$G$1:$K$32,5,0)</f>
        <v>FUNCIONAMIENTO</v>
      </c>
      <c r="F210" s="48">
        <f>VLOOKUP(E210,[2]PROYECTOS!$K$1:$M$32,3,0)</f>
        <v>999999</v>
      </c>
      <c r="G210" s="49" t="s">
        <v>43</v>
      </c>
      <c r="H210" s="49">
        <f>VLOOKUP(Q210,[2]PROYECTOS!$V$1:$W$32,2,0)</f>
        <v>999999</v>
      </c>
      <c r="I210" s="50">
        <v>1955546</v>
      </c>
      <c r="J210" s="51" t="s">
        <v>1295</v>
      </c>
      <c r="K210" s="47" t="str">
        <f t="shared" ca="1" si="94"/>
        <v>CONTRATADO</v>
      </c>
      <c r="L210" s="61" t="s">
        <v>42</v>
      </c>
      <c r="M210" s="47" t="s">
        <v>42</v>
      </c>
      <c r="N210" s="52" t="s">
        <v>155</v>
      </c>
      <c r="O210" s="51" t="e">
        <f>VLOOKUP(N210,[2]!RUBROS[#All],3,0)</f>
        <v>#REF!</v>
      </c>
      <c r="P210" s="53" t="e">
        <f>VLOOKUP(N210,[2]!RUBROS[#All],2,0)</f>
        <v>#REF!</v>
      </c>
      <c r="Q210" s="47" t="str">
        <f t="shared" si="95"/>
        <v>00</v>
      </c>
      <c r="R210" s="47" t="str">
        <f t="shared" si="96"/>
        <v>4-205616</v>
      </c>
      <c r="S210" s="54" t="s">
        <v>42</v>
      </c>
      <c r="T210" s="59" t="s">
        <v>42</v>
      </c>
      <c r="U210" s="326" t="e">
        <f ca="1">_xlfn.XLOOKUP(PAA_4[[#This Row],[ITEM]],[2]Contrato!A:A,[2]Contrato!Q:Q,"",0)</f>
        <v>#NAME?</v>
      </c>
      <c r="V210" s="47" t="s">
        <v>95</v>
      </c>
      <c r="W210" s="47" t="s">
        <v>42</v>
      </c>
      <c r="X210" s="47" t="s">
        <v>42</v>
      </c>
      <c r="Y210" s="55" t="e">
        <f ca="1">_xlfn.XLOOKUP(PAA_4[[#This Row],[ITEM]],[2]Contrato!A:A,[2]Contrato!B:B,"",0)</f>
        <v>#NAME?</v>
      </c>
      <c r="Z210" s="47" t="e">
        <f ca="1">_xlfn.XLOOKUP(PAA_4[[#This Row],[ITEM]],[2]Contrato!A:A,[2]Contrato!G:G,"",0)</f>
        <v>#NAME?</v>
      </c>
      <c r="AA210" s="47" t="e">
        <f ca="1">_xlfn.XLOOKUP(PAA_4[[#This Row],[ITEM]],[2]Contrato!A:A,[2]Contrato!T:T,"",0)</f>
        <v>#NAME?</v>
      </c>
      <c r="AB210" s="55" t="e">
        <f ca="1">+MAX(PAA_4[[#This Row],[Comprometido Contrato]],PAA_4[[#This Row],[Comprometido Bolsa]])</f>
        <v>#NAME?</v>
      </c>
      <c r="AC210" s="55" t="str">
        <f t="shared" ca="1" si="97"/>
        <v/>
      </c>
      <c r="AD210" s="55" t="e">
        <f ca="1">IF(PAA_4[[#This Row],[ESTADO (formulado)]]="NO CONTRATADO",0,MAX(PAA_4[[#This Row],[Pago por Contrato]],PAA_4[[#This Row],[Pago por bolsa]]))</f>
        <v>#NAME?</v>
      </c>
      <c r="AE210" s="55" t="str">
        <f t="shared" ca="1" si="98"/>
        <v/>
      </c>
      <c r="AF210" s="47" t="e">
        <f t="shared" ca="1" si="99"/>
        <v>#NAME?</v>
      </c>
      <c r="AG210" s="47" t="str">
        <f t="shared" si="100"/>
        <v/>
      </c>
      <c r="AH210" s="54">
        <f>IF(Q210="22",IF(ISNUMBER(SEARCH("econ",PAA_4[[#This Row],[Actividad3]])),"Económico",IF(ISNUMBER(SEARCH("alim",PAA_4[[#This Row],[Actividad3]])),"Alimentación",IF(ISNUMBER(SEARCH("educ",PAA_4[[#This Row],[Actividad3]])),"Educativo","Técnico"))),0)</f>
        <v>0</v>
      </c>
      <c r="AI210" s="47" t="e" cm="1">
        <f t="array" aca="1" ref="AI210" ca="1">_xlfn.XLOOKUP(PAA_4[[#This Row],[RCP-RUBRO]],[2]!COMPROMISOS_2024[[#All],[concatenado]],[2]!COMPROMISOS_2024[[#All],[Total pagado]],"",0)</f>
        <v>#NAME?</v>
      </c>
      <c r="AJ210" s="56">
        <f>IF(PAA_4[[#This Row],[BOLSA]]=0,0,SUMIFS([2]!COMPROMISOS_2024[[#All],[Total pagado]],[2]!COMPROMISOS_2024[[#All],[Bolsa]],PAA_4[[#This Row],[BOLSA]],[2]!COMPROMISOS_2024[[#All],[rubro]],PAA_4[[#This Row],[RCP-RUBRO]]))</f>
        <v>0</v>
      </c>
      <c r="AK210" s="47" t="e" cm="1">
        <f t="array" aca="1" ref="AK210" ca="1">_xlfn.XLOOKUP(PAA_4[[#This Row],[RCP-RUBRO]],[2]!COMPROMISOS_2024[[#All],[concatenado]],[2]!COMPROMISOS_2024[[#All],[Total Comprometido]],"",0)</f>
        <v>#NAME?</v>
      </c>
      <c r="AL210" s="47">
        <f>IF(PAA_4[[#This Row],[BOLSA]]=0,0,SUMIFS([2]!COMPROMISOS_2024[[#All],[Total Comprometido]],[2]!COMPROMISOS_2024[[#All],[Bolsa]],PAA_4[[#This Row],[BOLSA]],[2]!COMPROMISOS_2024[[#All],[concatenado]],PAA_4[[#This Row],[RCP-RUBRO]]))</f>
        <v>0</v>
      </c>
    </row>
    <row r="211" spans="1:38" s="19" customFormat="1" ht="31.5" customHeight="1">
      <c r="A211" s="47" t="s">
        <v>82</v>
      </c>
      <c r="B211" s="51" t="s">
        <v>42</v>
      </c>
      <c r="C211" s="47" t="str">
        <f>VLOOKUP(PAA_4[[#This Row],[PROYECTO (formulado)2]],[2]PROYECTOS!$G$1:$L$32,6,0)</f>
        <v>SUBGERENCIA ADMINISTRATIVA Y FINANCIERA</v>
      </c>
      <c r="D211" s="47" t="str">
        <f>+IF(PAA_4[[#This Row],[UNIDAD DE CONTRATACION (formulado)]]="Subgerencia Administrativa y Financiera","FUNCIONAMIENTO","INVERSIÓN")</f>
        <v>FUNCIONAMIENTO</v>
      </c>
      <c r="E211" s="48" t="str">
        <f>VLOOKUP(Q211,[2]PROYECTOS!$G$1:$K$32,5,0)</f>
        <v>FUNCIONAMIENTO</v>
      </c>
      <c r="F211" s="48">
        <f>VLOOKUP(E211,[2]PROYECTOS!$K$1:$M$32,3,0)</f>
        <v>999999</v>
      </c>
      <c r="G211" s="49" t="s">
        <v>43</v>
      </c>
      <c r="H211" s="49">
        <f>VLOOKUP(Q211,[2]PROYECTOS!$V$1:$W$32,2,0)</f>
        <v>999999</v>
      </c>
      <c r="I211" s="50">
        <v>230200</v>
      </c>
      <c r="J211" s="51" t="s">
        <v>1295</v>
      </c>
      <c r="K211" s="47" t="str">
        <f ca="1">IF(ISNONTEXT(Y211)=TRUE,"CONTRATADO","NO CONTRATADO")</f>
        <v>CONTRATADO</v>
      </c>
      <c r="L211" s="61" t="s">
        <v>42</v>
      </c>
      <c r="M211" s="47" t="s">
        <v>42</v>
      </c>
      <c r="N211" s="52" t="s">
        <v>1382</v>
      </c>
      <c r="O211" s="51" t="e">
        <f>VLOOKUP(N211,[2]!RUBROS[#All],3,0)</f>
        <v>#REF!</v>
      </c>
      <c r="P211" s="53" t="e">
        <f>VLOOKUP(N211,[2]!RUBROS[#All],2,0)</f>
        <v>#REF!</v>
      </c>
      <c r="Q211" s="47" t="str">
        <f>+MID(N211,11,2)</f>
        <v>00</v>
      </c>
      <c r="R211" s="47" t="str">
        <f>+MID(N211,14,8)</f>
        <v>4-205616</v>
      </c>
      <c r="S211" s="54" t="s">
        <v>42</v>
      </c>
      <c r="T211" s="59" t="s">
        <v>42</v>
      </c>
      <c r="U211" s="326" t="e">
        <f ca="1">_xlfn.XLOOKUP(PAA_4[[#This Row],[ITEM]],[2]Contrato!A:A,[2]Contrato!Q:Q,"",0)</f>
        <v>#NAME?</v>
      </c>
      <c r="V211" s="47" t="s">
        <v>95</v>
      </c>
      <c r="W211" s="47" t="s">
        <v>42</v>
      </c>
      <c r="X211" s="47" t="s">
        <v>42</v>
      </c>
      <c r="Y211" s="55" t="e">
        <f ca="1">_xlfn.XLOOKUP(PAA_4[[#This Row],[ITEM]],[2]Contrato!A:A,[2]Contrato!B:B,"",0)</f>
        <v>#NAME?</v>
      </c>
      <c r="Z211" s="47" t="e">
        <f ca="1">_xlfn.XLOOKUP(PAA_4[[#This Row],[ITEM]],[2]Contrato!A:A,[2]Contrato!G:G,"",0)</f>
        <v>#NAME?</v>
      </c>
      <c r="AA211" s="47" t="e">
        <f ca="1">_xlfn.XLOOKUP(PAA_4[[#This Row],[ITEM]],[2]Contrato!A:A,[2]Contrato!T:T,"",0)</f>
        <v>#NAME?</v>
      </c>
      <c r="AB211" s="55" t="e">
        <f ca="1">+MAX(PAA_4[[#This Row],[Comprometido Contrato]],PAA_4[[#This Row],[Comprometido Bolsa]])</f>
        <v>#NAME?</v>
      </c>
      <c r="AC211" s="55" t="str">
        <f ca="1">IFERROR(I211-AB211,"")</f>
        <v/>
      </c>
      <c r="AD211" s="55" t="e">
        <f ca="1">IF(PAA_4[[#This Row],[ESTADO (formulado)]]="NO CONTRATADO",0,MAX(PAA_4[[#This Row],[Pago por Contrato]],PAA_4[[#This Row],[Pago por bolsa]]))</f>
        <v>#NAME?</v>
      </c>
      <c r="AE211" s="55" t="str">
        <f ca="1">+IFERROR(AB211-AD211,"")</f>
        <v/>
      </c>
      <c r="AF211" s="47" t="e">
        <f ca="1">+CONCATENATE(AA211,N211)</f>
        <v>#NAME?</v>
      </c>
      <c r="AG211" s="47" t="str">
        <f>IFERROR(_xlfn.NUMBERVALUE(MID(G211,1,8)),"")</f>
        <v/>
      </c>
      <c r="AH211" s="54">
        <f>IF(Q211="22",IF(ISNUMBER(SEARCH("econ",PAA_4[[#This Row],[Actividad3]])),"Económico",IF(ISNUMBER(SEARCH("alim",PAA_4[[#This Row],[Actividad3]])),"Alimentación",IF(ISNUMBER(SEARCH("educ",PAA_4[[#This Row],[Actividad3]])),"Educativo","Técnico"))),0)</f>
        <v>0</v>
      </c>
      <c r="AI211" s="47" t="e" cm="1">
        <f t="array" aca="1" ref="AI211" ca="1">_xlfn.XLOOKUP(PAA_4[[#This Row],[RCP-RUBRO]],[2]!COMPROMISOS_2024[[#All],[concatenado]],[2]!COMPROMISOS_2024[[#All],[Total pagado]],"",0)</f>
        <v>#NAME?</v>
      </c>
      <c r="AJ211" s="56">
        <f>IF(PAA_4[[#This Row],[BOLSA]]=0,0,SUMIFS([2]!COMPROMISOS_2024[[#All],[Total pagado]],[2]!COMPROMISOS_2024[[#All],[Bolsa]],PAA_4[[#This Row],[BOLSA]],[2]!COMPROMISOS_2024[[#All],[rubro]],PAA_4[[#This Row],[RCP-RUBRO]]))</f>
        <v>0</v>
      </c>
      <c r="AK211" s="47" t="e" cm="1">
        <f t="array" aca="1" ref="AK211" ca="1">_xlfn.XLOOKUP(PAA_4[[#This Row],[RCP-RUBRO]],[2]!COMPROMISOS_2024[[#All],[concatenado]],[2]!COMPROMISOS_2024[[#All],[Total Comprometido]],"",0)</f>
        <v>#NAME?</v>
      </c>
      <c r="AL211" s="47">
        <f>IF(PAA_4[[#This Row],[BOLSA]]=0,0,SUMIFS([2]!COMPROMISOS_2024[[#All],[Total Comprometido]],[2]!COMPROMISOS_2024[[#All],[Bolsa]],PAA_4[[#This Row],[BOLSA]],[2]!COMPROMISOS_2024[[#All],[concatenado]],PAA_4[[#This Row],[RCP-RUBRO]]))</f>
        <v>0</v>
      </c>
    </row>
    <row r="212" spans="1:38" s="19" customFormat="1" ht="30" customHeight="1">
      <c r="A212" s="47" t="s">
        <v>82</v>
      </c>
      <c r="B212" s="51" t="s">
        <v>42</v>
      </c>
      <c r="C212" s="47" t="str">
        <f>VLOOKUP(PAA_4[[#This Row],[PROYECTO (formulado)2]],[2]PROYECTOS!$G$1:$L$32,6,0)</f>
        <v>SUBGERENCIA ADMINISTRATIVA Y FINANCIERA</v>
      </c>
      <c r="D212" s="47" t="str">
        <f>+IF(PAA_4[[#This Row],[UNIDAD DE CONTRATACION (formulado)]]="Subgerencia Administrativa y Financiera","FUNCIONAMIENTO","INVERSIÓN")</f>
        <v>FUNCIONAMIENTO</v>
      </c>
      <c r="E212" s="48" t="str">
        <f>VLOOKUP(Q212,[2]PROYECTOS!$G$1:$K$32,5,0)</f>
        <v>FUNCIONAMIENTO</v>
      </c>
      <c r="F212" s="48">
        <f>VLOOKUP(E212,[2]PROYECTOS!$K$1:$M$32,3,0)</f>
        <v>999999</v>
      </c>
      <c r="G212" s="49" t="s">
        <v>43</v>
      </c>
      <c r="H212" s="49">
        <f>VLOOKUP(Q212,[2]PROYECTOS!$V$1:$W$32,2,0)</f>
        <v>999999</v>
      </c>
      <c r="I212" s="50">
        <v>4609776</v>
      </c>
      <c r="J212" s="51" t="s">
        <v>1295</v>
      </c>
      <c r="K212" s="47" t="str">
        <f ca="1">IF(ISNONTEXT(Y212)=TRUE,"CONTRATADO","NO CONTRATADO")</f>
        <v>CONTRATADO</v>
      </c>
      <c r="L212" s="61" t="s">
        <v>42</v>
      </c>
      <c r="M212" s="47" t="s">
        <v>42</v>
      </c>
      <c r="N212" s="52" t="s">
        <v>90</v>
      </c>
      <c r="O212" s="51" t="e">
        <f>VLOOKUP(N212,[2]!RUBROS[#All],3,0)</f>
        <v>#REF!</v>
      </c>
      <c r="P212" s="53" t="e">
        <f>VLOOKUP(N212,[2]!RUBROS[#All],2,0)</f>
        <v>#REF!</v>
      </c>
      <c r="Q212" s="47" t="str">
        <f>+MID(N212,11,2)</f>
        <v>00</v>
      </c>
      <c r="R212" s="47" t="str">
        <f>+MID(N212,14,8)</f>
        <v>0-205616</v>
      </c>
      <c r="S212" s="54" t="s">
        <v>42</v>
      </c>
      <c r="T212" s="59" t="s">
        <v>42</v>
      </c>
      <c r="U212" s="326" t="e">
        <f ca="1">_xlfn.XLOOKUP(PAA_4[[#This Row],[ITEM]],[2]Contrato!A:A,[2]Contrato!Q:Q,"",0)</f>
        <v>#NAME?</v>
      </c>
      <c r="V212" s="47" t="s">
        <v>95</v>
      </c>
      <c r="W212" s="47" t="s">
        <v>42</v>
      </c>
      <c r="X212" s="47" t="s">
        <v>42</v>
      </c>
      <c r="Y212" s="55" t="e">
        <f ca="1">_xlfn.XLOOKUP(PAA_4[[#This Row],[ITEM]],[2]Contrato!A:A,[2]Contrato!B:B,"",0)</f>
        <v>#NAME?</v>
      </c>
      <c r="Z212" s="47" t="e">
        <f ca="1">_xlfn.XLOOKUP(PAA_4[[#This Row],[ITEM]],[2]Contrato!A:A,[2]Contrato!G:G,"",0)</f>
        <v>#NAME?</v>
      </c>
      <c r="AA212" s="47" t="e">
        <f ca="1">_xlfn.XLOOKUP(PAA_4[[#This Row],[ITEM]],[2]Contrato!A:A,[2]Contrato!T:T,"",0)</f>
        <v>#NAME?</v>
      </c>
      <c r="AB212" s="55" t="e">
        <f ca="1">+MAX(PAA_4[[#This Row],[Comprometido Contrato]],PAA_4[[#This Row],[Comprometido Bolsa]])</f>
        <v>#NAME?</v>
      </c>
      <c r="AC212" s="55" t="str">
        <f ca="1">IFERROR(I212-AB212,"")</f>
        <v/>
      </c>
      <c r="AD212" s="55" t="e">
        <f ca="1">IF(PAA_4[[#This Row],[ESTADO (formulado)]]="NO CONTRATADO",0,MAX(PAA_4[[#This Row],[Pago por Contrato]],PAA_4[[#This Row],[Pago por bolsa]]))</f>
        <v>#NAME?</v>
      </c>
      <c r="AE212" s="55" t="str">
        <f ca="1">+IFERROR(AB212-AD212,"")</f>
        <v/>
      </c>
      <c r="AF212" s="47" t="e">
        <f ca="1">+CONCATENATE(AA212,N212)</f>
        <v>#NAME?</v>
      </c>
      <c r="AG212" s="47" t="str">
        <f>IFERROR(_xlfn.NUMBERVALUE(MID(G212,1,8)),"")</f>
        <v/>
      </c>
      <c r="AH212" s="54">
        <f>IF(Q212="22",IF(ISNUMBER(SEARCH("econ",PAA_4[[#This Row],[Actividad3]])),"Económico",IF(ISNUMBER(SEARCH("alim",PAA_4[[#This Row],[Actividad3]])),"Alimentación",IF(ISNUMBER(SEARCH("educ",PAA_4[[#This Row],[Actividad3]])),"Educativo","Técnico"))),0)</f>
        <v>0</v>
      </c>
      <c r="AI212" s="47" t="e" cm="1">
        <f t="array" aca="1" ref="AI212" ca="1">_xlfn.XLOOKUP(PAA_4[[#This Row],[RCP-RUBRO]],[2]!COMPROMISOS_2024[[#All],[concatenado]],[2]!COMPROMISOS_2024[[#All],[Total pagado]],"",0)</f>
        <v>#NAME?</v>
      </c>
      <c r="AJ212" s="56">
        <f>IF(PAA_4[[#This Row],[BOLSA]]=0,0,SUMIFS([2]!COMPROMISOS_2024[[#All],[Total pagado]],[2]!COMPROMISOS_2024[[#All],[Bolsa]],PAA_4[[#This Row],[BOLSA]],[2]!COMPROMISOS_2024[[#All],[rubro]],PAA_4[[#This Row],[RCP-RUBRO]]))</f>
        <v>0</v>
      </c>
      <c r="AK212" s="47" t="e" cm="1">
        <f t="array" aca="1" ref="AK212" ca="1">_xlfn.XLOOKUP(PAA_4[[#This Row],[RCP-RUBRO]],[2]!COMPROMISOS_2024[[#All],[concatenado]],[2]!COMPROMISOS_2024[[#All],[Total Comprometido]],"",0)</f>
        <v>#NAME?</v>
      </c>
      <c r="AL212" s="47">
        <f>IF(PAA_4[[#This Row],[BOLSA]]=0,0,SUMIFS([2]!COMPROMISOS_2024[[#All],[Total Comprometido]],[2]!COMPROMISOS_2024[[#All],[Bolsa]],PAA_4[[#This Row],[BOLSA]],[2]!COMPROMISOS_2024[[#All],[concatenado]],PAA_4[[#This Row],[RCP-RUBRO]]))</f>
        <v>0</v>
      </c>
    </row>
    <row r="213" spans="1:38" s="19" customFormat="1" ht="31.5" customHeight="1">
      <c r="A213" s="47">
        <v>791</v>
      </c>
      <c r="B213" s="51">
        <v>76121700</v>
      </c>
      <c r="C213" s="47" t="str">
        <f>VLOOKUP(PAA_4[[#This Row],[PROYECTO (formulado)2]],[2]PROYECTOS!$G$1:$L$32,6,0)</f>
        <v>SUBGERENCIA ADMINISTRATIVA Y FINANCIERA</v>
      </c>
      <c r="D213" s="47" t="str">
        <f>+IF(PAA_4[[#This Row],[UNIDAD DE CONTRATACION (formulado)]]="Subgerencia Administrativa y Financiera","FUNCIONAMIENTO","INVERSIÓN")</f>
        <v>FUNCIONAMIENTO</v>
      </c>
      <c r="E213" s="48" t="str">
        <f>VLOOKUP(Q213,[2]PROYECTOS!$G$1:$K$32,5,0)</f>
        <v>FUNCIONAMIENTO</v>
      </c>
      <c r="F213" s="48">
        <f>VLOOKUP(E213,[2]PROYECTOS!$K$1:$M$32,3,0)</f>
        <v>999999</v>
      </c>
      <c r="G213" s="49" t="s">
        <v>43</v>
      </c>
      <c r="H213" s="49">
        <f>VLOOKUP(Q213,[2]PROYECTOS!$V$1:$W$32,2,0)</f>
        <v>999999</v>
      </c>
      <c r="I213" s="50">
        <f>35000000-5109157-2052441</f>
        <v>27838402</v>
      </c>
      <c r="J213" s="51" t="s">
        <v>1387</v>
      </c>
      <c r="K213" s="47" t="str">
        <f t="shared" ref="K213:K215" ca="1" si="101">IF(ISNONTEXT(Y213)=TRUE,"CONTRATADO","NO CONTRATADO")</f>
        <v>CONTRATADO</v>
      </c>
      <c r="L213" s="61" t="s">
        <v>88</v>
      </c>
      <c r="M213" s="47" t="s">
        <v>89</v>
      </c>
      <c r="N213" s="52" t="s">
        <v>155</v>
      </c>
      <c r="O213" s="51" t="e">
        <f>VLOOKUP(N213,[2]!RUBROS[#All],3,0)</f>
        <v>#REF!</v>
      </c>
      <c r="P213" s="53" t="e">
        <f>VLOOKUP(N213,[2]!RUBROS[#All],2,0)</f>
        <v>#REF!</v>
      </c>
      <c r="Q213" s="47" t="str">
        <f t="shared" ref="Q213:Q215" si="102">+MID(N213,11,2)</f>
        <v>00</v>
      </c>
      <c r="R213" s="47" t="str">
        <f t="shared" ref="R213:R215" si="103">+MID(N213,14,8)</f>
        <v>4-205616</v>
      </c>
      <c r="S213" s="54">
        <v>5</v>
      </c>
      <c r="T213" s="59" t="s">
        <v>46</v>
      </c>
      <c r="U213" s="326" t="e">
        <f ca="1">_xlfn.XLOOKUP(PAA_4[[#This Row],[ITEM]],[2]Contrato!A:A,[2]Contrato!Q:Q,"",0)</f>
        <v>#NAME?</v>
      </c>
      <c r="V213" s="47" t="s">
        <v>47</v>
      </c>
      <c r="W213" s="47" t="s">
        <v>193</v>
      </c>
      <c r="X213" s="47" t="s">
        <v>193</v>
      </c>
      <c r="Y213" s="55" t="e">
        <f ca="1">_xlfn.XLOOKUP(PAA_4[[#This Row],[ITEM]],[2]Contrato!A:A,[2]Contrato!B:B,"",0)</f>
        <v>#NAME?</v>
      </c>
      <c r="Z213" s="47" t="e">
        <f ca="1">_xlfn.XLOOKUP(PAA_4[[#This Row],[ITEM]],[2]Contrato!A:A,[2]Contrato!G:G,"",0)</f>
        <v>#NAME?</v>
      </c>
      <c r="AA213" s="47" t="e">
        <f ca="1">_xlfn.XLOOKUP(PAA_4[[#This Row],[ITEM]],[2]Contrato!A:A,[2]Contrato!T:T,"",0)</f>
        <v>#NAME?</v>
      </c>
      <c r="AB213" s="55" t="e">
        <f ca="1">+MAX(PAA_4[[#This Row],[Comprometido Contrato]],PAA_4[[#This Row],[Comprometido Bolsa]])</f>
        <v>#NAME?</v>
      </c>
      <c r="AC213" s="55" t="str">
        <f t="shared" ref="AC213:AC215" ca="1" si="104">IFERROR(I213-AB213,"")</f>
        <v/>
      </c>
      <c r="AD213" s="55" t="e">
        <f ca="1">IF(PAA_4[[#This Row],[ESTADO (formulado)]]="NO CONTRATADO",0,MAX(PAA_4[[#This Row],[Pago por Contrato]],PAA_4[[#This Row],[Pago por bolsa]]))</f>
        <v>#NAME?</v>
      </c>
      <c r="AE213" s="55" t="str">
        <f t="shared" ref="AE213:AE215" ca="1" si="105">+IFERROR(AB213-AD213,"")</f>
        <v/>
      </c>
      <c r="AF213" s="47" t="e">
        <f t="shared" ref="AF213:AF215" ca="1" si="106">+CONCATENATE(AA213,N213)</f>
        <v>#NAME?</v>
      </c>
      <c r="AG213" s="47" t="str">
        <f t="shared" ref="AG213:AG215" si="107">IFERROR(_xlfn.NUMBERVALUE(MID(G213,1,8)),"")</f>
        <v/>
      </c>
      <c r="AH213" s="54">
        <f>IF(Q213="22",IF(ISNUMBER(SEARCH("econ",PAA_4[[#This Row],[Actividad3]])),"Económico",IF(ISNUMBER(SEARCH("alim",PAA_4[[#This Row],[Actividad3]])),"Alimentación",IF(ISNUMBER(SEARCH("educ",PAA_4[[#This Row],[Actividad3]])),"Educativo","Técnico"))),0)</f>
        <v>0</v>
      </c>
      <c r="AI213" s="47" t="e" cm="1">
        <f t="array" aca="1" ref="AI213" ca="1">_xlfn.XLOOKUP(PAA_4[[#This Row],[RCP-RUBRO]],[2]!COMPROMISOS_2024[[#All],[concatenado]],[2]!COMPROMISOS_2024[[#All],[Total pagado]],"",0)</f>
        <v>#NAME?</v>
      </c>
      <c r="AJ213" s="56">
        <f>IF(PAA_4[[#This Row],[BOLSA]]=0,0,SUMIFS([2]!COMPROMISOS_2024[[#All],[Total pagado]],[2]!COMPROMISOS_2024[[#All],[Bolsa]],PAA_4[[#This Row],[BOLSA]],[2]!COMPROMISOS_2024[[#All],[rubro]],PAA_4[[#This Row],[RCP-RUBRO]]))</f>
        <v>0</v>
      </c>
      <c r="AK213" s="47" t="e" cm="1">
        <f t="array" aca="1" ref="AK213" ca="1">_xlfn.XLOOKUP(PAA_4[[#This Row],[RCP-RUBRO]],[2]!COMPROMISOS_2024[[#All],[concatenado]],[2]!COMPROMISOS_2024[[#All],[Total Comprometido]],"",0)</f>
        <v>#NAME?</v>
      </c>
      <c r="AL213" s="47">
        <f>IF(PAA_4[[#This Row],[BOLSA]]=0,0,SUMIFS([2]!COMPROMISOS_2024[[#All],[Total Comprometido]],[2]!COMPROMISOS_2024[[#All],[Bolsa]],PAA_4[[#This Row],[BOLSA]],[2]!COMPROMISOS_2024[[#All],[concatenado]],PAA_4[[#This Row],[RCP-RUBRO]]))</f>
        <v>0</v>
      </c>
    </row>
    <row r="214" spans="1:38" s="19" customFormat="1" ht="31.5" customHeight="1">
      <c r="A214" s="47">
        <v>1262</v>
      </c>
      <c r="B214" s="47">
        <v>92101501</v>
      </c>
      <c r="C214" s="47" t="str">
        <f>VLOOKUP(PAA_4[[#This Row],[PROYECTO (formulado)2]],[2]PROYECTOS!$G$1:$L$32,6,0)</f>
        <v>SUBGERENCIA ADMINISTRATIVA Y FINANCIERA</v>
      </c>
      <c r="D214" s="47" t="str">
        <f>+IF(PAA_4[[#This Row],[UNIDAD DE CONTRATACION (formulado)]]="Subgerencia Administrativa y Financiera","FUNCIONAMIENTO","INVERSIÓN")</f>
        <v>FUNCIONAMIENTO</v>
      </c>
      <c r="E214" s="48" t="str">
        <f>VLOOKUP(Q214,[2]PROYECTOS!$G$1:$K$32,5,0)</f>
        <v>FUNCIONAMIENTO</v>
      </c>
      <c r="F214" s="48">
        <f>VLOOKUP(E214,[2]PROYECTOS!$K$1:$M$32,3,0)</f>
        <v>999999</v>
      </c>
      <c r="G214" s="49" t="s">
        <v>43</v>
      </c>
      <c r="H214" s="49">
        <f>VLOOKUP(Q214,[2]PROYECTOS!$V$1:$W$32,2,0)</f>
        <v>999999</v>
      </c>
      <c r="I214" s="50">
        <v>0</v>
      </c>
      <c r="J214" s="51" t="s">
        <v>1325</v>
      </c>
      <c r="K214" s="47" t="str">
        <f t="shared" ca="1" si="101"/>
        <v>CONTRATADO</v>
      </c>
      <c r="L214" s="47" t="s">
        <v>42</v>
      </c>
      <c r="M214" s="47" t="s">
        <v>42</v>
      </c>
      <c r="N214" s="52" t="s">
        <v>155</v>
      </c>
      <c r="O214" s="51" t="e">
        <f>VLOOKUP(N214,[2]!RUBROS[#All],3,0)</f>
        <v>#REF!</v>
      </c>
      <c r="P214" s="53" t="e">
        <f>VLOOKUP(N214,[2]!RUBROS[#All],2,0)</f>
        <v>#REF!</v>
      </c>
      <c r="Q214" s="47" t="str">
        <f t="shared" si="102"/>
        <v>00</v>
      </c>
      <c r="R214" s="47" t="str">
        <f t="shared" si="103"/>
        <v>4-205616</v>
      </c>
      <c r="S214" s="54">
        <v>5</v>
      </c>
      <c r="T214" s="59" t="s">
        <v>46</v>
      </c>
      <c r="U214" s="326" t="e">
        <f ca="1">_xlfn.XLOOKUP(PAA_4[[#This Row],[ITEM]],[2]Contrato!A:A,[2]Contrato!Q:Q,"",0)</f>
        <v>#NAME?</v>
      </c>
      <c r="V214" s="47" t="s">
        <v>47</v>
      </c>
      <c r="W214" s="47" t="s">
        <v>42</v>
      </c>
      <c r="X214" s="47" t="s">
        <v>42</v>
      </c>
      <c r="Y214" s="55" t="e">
        <f ca="1">_xlfn.XLOOKUP(PAA_4[[#This Row],[ITEM]],[2]Contrato!A:A,[2]Contrato!B:B,"",0)</f>
        <v>#NAME?</v>
      </c>
      <c r="Z214" s="47" t="e">
        <f ca="1">_xlfn.XLOOKUP(PAA_4[[#This Row],[ITEM]],[2]Contrato!A:A,[2]Contrato!G:G,"",0)</f>
        <v>#NAME?</v>
      </c>
      <c r="AA214" s="47" t="e">
        <f ca="1">_xlfn.XLOOKUP(PAA_4[[#This Row],[ITEM]],[2]Contrato!A:A,[2]Contrato!T:T,"",0)</f>
        <v>#NAME?</v>
      </c>
      <c r="AB214" s="55" t="e">
        <f ca="1">+MAX(PAA_4[[#This Row],[Comprometido Contrato]],PAA_4[[#This Row],[Comprometido Bolsa]])</f>
        <v>#NAME?</v>
      </c>
      <c r="AC214" s="55" t="str">
        <f t="shared" ca="1" si="104"/>
        <v/>
      </c>
      <c r="AD214" s="55" t="e">
        <f ca="1">IF(PAA_4[[#This Row],[ESTADO (formulado)]]="NO CONTRATADO",0,MAX(PAA_4[[#This Row],[Pago por Contrato]],PAA_4[[#This Row],[Pago por bolsa]]))</f>
        <v>#NAME?</v>
      </c>
      <c r="AE214" s="55" t="str">
        <f t="shared" ca="1" si="105"/>
        <v/>
      </c>
      <c r="AF214" s="47" t="e">
        <f t="shared" ca="1" si="106"/>
        <v>#NAME?</v>
      </c>
      <c r="AG214" s="47" t="str">
        <f t="shared" si="107"/>
        <v/>
      </c>
      <c r="AH214" s="54">
        <f>IF(Q214="22",IF(ISNUMBER(SEARCH("econ",PAA_4[[#This Row],[Actividad3]])),"Económico",IF(ISNUMBER(SEARCH("alim",PAA_4[[#This Row],[Actividad3]])),"Alimentación",IF(ISNUMBER(SEARCH("educ",PAA_4[[#This Row],[Actividad3]])),"Educativo","Técnico"))),0)</f>
        <v>0</v>
      </c>
      <c r="AI214" s="47" t="e" cm="1">
        <f t="array" aca="1" ref="AI214" ca="1">_xlfn.XLOOKUP(PAA_4[[#This Row],[RCP-RUBRO]],[2]!COMPROMISOS_2024[[#All],[concatenado]],[2]!COMPROMISOS_2024[[#All],[Total pagado]],"",0)</f>
        <v>#NAME?</v>
      </c>
      <c r="AJ214" s="56">
        <f>IF(PAA_4[[#This Row],[BOLSA]]=0,0,SUMIFS([2]!COMPROMISOS_2024[[#All],[Total pagado]],[2]!COMPROMISOS_2024[[#All],[Bolsa]],PAA_4[[#This Row],[BOLSA]],[2]!COMPROMISOS_2024[[#All],[rubro]],PAA_4[[#This Row],[RCP-RUBRO]]))</f>
        <v>0</v>
      </c>
      <c r="AK214" s="47" t="e" cm="1">
        <f t="array" aca="1" ref="AK214" ca="1">_xlfn.XLOOKUP(PAA_4[[#This Row],[RCP-RUBRO]],[2]!COMPROMISOS_2024[[#All],[concatenado]],[2]!COMPROMISOS_2024[[#All],[Total Comprometido]],"",0)</f>
        <v>#NAME?</v>
      </c>
      <c r="AL214" s="47">
        <f>IF(PAA_4[[#This Row],[BOLSA]]=0,0,SUMIFS([2]!COMPROMISOS_2024[[#All],[Total Comprometido]],[2]!COMPROMISOS_2024[[#All],[Bolsa]],PAA_4[[#This Row],[BOLSA]],[2]!COMPROMISOS_2024[[#All],[concatenado]],PAA_4[[#This Row],[RCP-RUBRO]]))</f>
        <v>0</v>
      </c>
    </row>
    <row r="215" spans="1:38" s="19" customFormat="1" ht="31.5" customHeight="1">
      <c r="A215" s="47" t="s">
        <v>82</v>
      </c>
      <c r="B215" s="47" t="s">
        <v>42</v>
      </c>
      <c r="C215" s="47" t="str">
        <f>VLOOKUP(PAA_4[[#This Row],[PROYECTO (formulado)2]],[2]PROYECTOS!$G$1:$L$32,6,0)</f>
        <v>SUBGERENCIA ADMINISTRATIVA Y FINANCIERA</v>
      </c>
      <c r="D215" s="47" t="str">
        <f>+IF(PAA_4[[#This Row],[UNIDAD DE CONTRATACION (formulado)]]="Subgerencia Administrativa y Financiera","FUNCIONAMIENTO","INVERSIÓN")</f>
        <v>FUNCIONAMIENTO</v>
      </c>
      <c r="E215" s="48" t="str">
        <f>VLOOKUP(Q215,[2]PROYECTOS!$G$1:$K$32,5,0)</f>
        <v>FUNCIONAMIENTO</v>
      </c>
      <c r="F215" s="48">
        <f>VLOOKUP(E215,[2]PROYECTOS!$K$1:$M$32,3,0)</f>
        <v>999999</v>
      </c>
      <c r="G215" s="49" t="s">
        <v>43</v>
      </c>
      <c r="H215" s="49">
        <f>VLOOKUP(Q215,[2]PROYECTOS!$V$1:$W$32,2,0)</f>
        <v>999999</v>
      </c>
      <c r="I215" s="50">
        <v>0</v>
      </c>
      <c r="J215" s="51" t="s">
        <v>1309</v>
      </c>
      <c r="K215" s="47" t="str">
        <f t="shared" ca="1" si="101"/>
        <v>CONTRATADO</v>
      </c>
      <c r="L215" s="47" t="s">
        <v>42</v>
      </c>
      <c r="M215" s="47" t="s">
        <v>42</v>
      </c>
      <c r="N215" s="52" t="s">
        <v>155</v>
      </c>
      <c r="O215" s="51" t="e">
        <f>VLOOKUP(N215,[2]!RUBROS[#All],3,0)</f>
        <v>#REF!</v>
      </c>
      <c r="P215" s="53" t="e">
        <f>VLOOKUP(N215,[2]!RUBROS[#All],2,0)</f>
        <v>#REF!</v>
      </c>
      <c r="Q215" s="47" t="str">
        <f t="shared" si="102"/>
        <v>00</v>
      </c>
      <c r="R215" s="47" t="str">
        <f t="shared" si="103"/>
        <v>4-205616</v>
      </c>
      <c r="S215" s="54" t="s">
        <v>42</v>
      </c>
      <c r="T215" s="59" t="s">
        <v>42</v>
      </c>
      <c r="U215" s="326" t="e">
        <f ca="1">_xlfn.XLOOKUP(PAA_4[[#This Row],[ITEM]],[2]Contrato!A:A,[2]Contrato!Q:Q,"",0)</f>
        <v>#NAME?</v>
      </c>
      <c r="V215" s="47" t="s">
        <v>42</v>
      </c>
      <c r="W215" s="47" t="s">
        <v>42</v>
      </c>
      <c r="X215" s="47" t="s">
        <v>42</v>
      </c>
      <c r="Y215" s="55" t="e">
        <f ca="1">_xlfn.XLOOKUP(PAA_4[[#This Row],[ITEM]],[2]Contrato!A:A,[2]Contrato!B:B,"",0)</f>
        <v>#NAME?</v>
      </c>
      <c r="Z215" s="47" t="e">
        <f ca="1">_xlfn.XLOOKUP(PAA_4[[#This Row],[ITEM]],[2]Contrato!A:A,[2]Contrato!G:G,"",0)</f>
        <v>#NAME?</v>
      </c>
      <c r="AA215" s="47" t="e">
        <f ca="1">_xlfn.XLOOKUP(PAA_4[[#This Row],[ITEM]],[2]Contrato!A:A,[2]Contrato!T:T,"",0)</f>
        <v>#NAME?</v>
      </c>
      <c r="AB215" s="55" t="e">
        <f ca="1">+MAX(PAA_4[[#This Row],[Comprometido Contrato]],PAA_4[[#This Row],[Comprometido Bolsa]])</f>
        <v>#NAME?</v>
      </c>
      <c r="AC215" s="55" t="str">
        <f t="shared" ca="1" si="104"/>
        <v/>
      </c>
      <c r="AD215" s="55" t="e">
        <f ca="1">IF(PAA_4[[#This Row],[ESTADO (formulado)]]="NO CONTRATADO",0,MAX(PAA_4[[#This Row],[Pago por Contrato]],PAA_4[[#This Row],[Pago por bolsa]]))</f>
        <v>#NAME?</v>
      </c>
      <c r="AE215" s="55" t="str">
        <f t="shared" ca="1" si="105"/>
        <v/>
      </c>
      <c r="AF215" s="47" t="e">
        <f t="shared" ca="1" si="106"/>
        <v>#NAME?</v>
      </c>
      <c r="AG215" s="47" t="str">
        <f t="shared" si="107"/>
        <v/>
      </c>
      <c r="AH215" s="54">
        <f>IF(Q215="22",IF(ISNUMBER(SEARCH("econ",PAA_4[[#This Row],[Actividad3]])),"Económico",IF(ISNUMBER(SEARCH("alim",PAA_4[[#This Row],[Actividad3]])),"Alimentación",IF(ISNUMBER(SEARCH("educ",PAA_4[[#This Row],[Actividad3]])),"Educativo","Técnico"))),0)</f>
        <v>0</v>
      </c>
      <c r="AI215" s="47" t="e" cm="1">
        <f t="array" aca="1" ref="AI215" ca="1">_xlfn.XLOOKUP(PAA_4[[#This Row],[RCP-RUBRO]],[2]!COMPROMISOS_2024[[#All],[concatenado]],[2]!COMPROMISOS_2024[[#All],[Total pagado]],"",0)</f>
        <v>#NAME?</v>
      </c>
      <c r="AJ215" s="56">
        <f>IF(PAA_4[[#This Row],[BOLSA]]=0,0,SUMIFS([2]!COMPROMISOS_2024[[#All],[Total pagado]],[2]!COMPROMISOS_2024[[#All],[Bolsa]],PAA_4[[#This Row],[BOLSA]],[2]!COMPROMISOS_2024[[#All],[rubro]],PAA_4[[#This Row],[RCP-RUBRO]]))</f>
        <v>0</v>
      </c>
      <c r="AK215" s="47" t="e" cm="1">
        <f t="array" aca="1" ref="AK215" ca="1">_xlfn.XLOOKUP(PAA_4[[#This Row],[RCP-RUBRO]],[2]!COMPROMISOS_2024[[#All],[concatenado]],[2]!COMPROMISOS_2024[[#All],[Total Comprometido]],"",0)</f>
        <v>#NAME?</v>
      </c>
      <c r="AL215" s="47">
        <f>IF(PAA_4[[#This Row],[BOLSA]]=0,0,SUMIFS([2]!COMPROMISOS_2024[[#All],[Total Comprometido]],[2]!COMPROMISOS_2024[[#All],[Bolsa]],PAA_4[[#This Row],[BOLSA]],[2]!COMPROMISOS_2024[[#All],[concatenado]],PAA_4[[#This Row],[RCP-RUBRO]]))</f>
        <v>0</v>
      </c>
    </row>
    <row r="216" spans="1:38" s="19" customFormat="1" ht="31.5" customHeight="1">
      <c r="A216" s="47" t="s">
        <v>82</v>
      </c>
      <c r="B216" s="47" t="s">
        <v>42</v>
      </c>
      <c r="C216" s="47" t="str">
        <f>VLOOKUP(PAA_4[[#This Row],[PROYECTO (formulado)2]],[2]PROYECTOS!$G$1:$L$32,6,0)</f>
        <v>SUBGERENCIA ADMINISTRATIVA Y FINANCIERA</v>
      </c>
      <c r="D216" s="47" t="str">
        <f>+IF(PAA_4[[#This Row],[UNIDAD DE CONTRATACION (formulado)]]="Subgerencia Administrativa y Financiera","FUNCIONAMIENTO","INVERSIÓN")</f>
        <v>FUNCIONAMIENTO</v>
      </c>
      <c r="E216" s="48" t="str">
        <f>VLOOKUP(Q216,[2]PROYECTOS!$G$1:$K$32,5,0)</f>
        <v>FUNCIONAMIENTO</v>
      </c>
      <c r="F216" s="48">
        <f>VLOOKUP(E216,[2]PROYECTOS!$K$1:$M$32,3,0)</f>
        <v>999999</v>
      </c>
      <c r="G216" s="49" t="s">
        <v>43</v>
      </c>
      <c r="H216" s="49">
        <f>VLOOKUP(Q216,[2]PROYECTOS!$V$1:$W$32,2,0)</f>
        <v>999999</v>
      </c>
      <c r="I216" s="50">
        <v>229303</v>
      </c>
      <c r="J216" s="51" t="s">
        <v>1388</v>
      </c>
      <c r="K216" s="47" t="str">
        <f ca="1">IF(ISNONTEXT(Y216)=TRUE,"CONTRATADO","NO CONTRATADO")</f>
        <v>CONTRATADO</v>
      </c>
      <c r="L216" s="47" t="s">
        <v>42</v>
      </c>
      <c r="M216" s="47" t="s">
        <v>42</v>
      </c>
      <c r="N216" s="52" t="s">
        <v>155</v>
      </c>
      <c r="O216" s="51" t="e">
        <f>VLOOKUP(N216,[2]!RUBROS[#All],3,0)</f>
        <v>#REF!</v>
      </c>
      <c r="P216" s="53" t="e">
        <f>VLOOKUP(N216,[2]!RUBROS[#All],2,0)</f>
        <v>#REF!</v>
      </c>
      <c r="Q216" s="47" t="str">
        <f>+MID(N216,11,2)</f>
        <v>00</v>
      </c>
      <c r="R216" s="47" t="str">
        <f>+MID(N216,14,8)</f>
        <v>4-205616</v>
      </c>
      <c r="S216" s="54" t="s">
        <v>42</v>
      </c>
      <c r="T216" s="59" t="s">
        <v>42</v>
      </c>
      <c r="U216" s="326" t="e">
        <f ca="1">_xlfn.XLOOKUP(PAA_4[[#This Row],[ITEM]],[2]Contrato!A:A,[2]Contrato!Q:Q,"",0)</f>
        <v>#NAME?</v>
      </c>
      <c r="V216" s="47" t="s">
        <v>47</v>
      </c>
      <c r="W216" s="47" t="s">
        <v>42</v>
      </c>
      <c r="X216" s="47" t="s">
        <v>42</v>
      </c>
      <c r="Y216" s="55" t="e">
        <f ca="1">_xlfn.XLOOKUP(PAA_4[[#This Row],[ITEM]],[2]Contrato!A:A,[2]Contrato!B:B,"",0)</f>
        <v>#NAME?</v>
      </c>
      <c r="Z216" s="47" t="e">
        <f ca="1">_xlfn.XLOOKUP(PAA_4[[#This Row],[ITEM]],[2]Contrato!A:A,[2]Contrato!G:G,"",0)</f>
        <v>#NAME?</v>
      </c>
      <c r="AA216" s="47" t="e">
        <f ca="1">_xlfn.XLOOKUP(PAA_4[[#This Row],[ITEM]],[2]Contrato!A:A,[2]Contrato!T:T,"",0)</f>
        <v>#NAME?</v>
      </c>
      <c r="AB216" s="55" t="e">
        <f ca="1">+MAX(PAA_4[[#This Row],[Comprometido Contrato]],PAA_4[[#This Row],[Comprometido Bolsa]])</f>
        <v>#NAME?</v>
      </c>
      <c r="AC216" s="55" t="str">
        <f ca="1">IFERROR(I216-AB216,"")</f>
        <v/>
      </c>
      <c r="AD216" s="55" t="e">
        <f ca="1">IF(PAA_4[[#This Row],[ESTADO (formulado)]]="NO CONTRATADO",0,MAX(PAA_4[[#This Row],[Pago por Contrato]],PAA_4[[#This Row],[Pago por bolsa]]))</f>
        <v>#NAME?</v>
      </c>
      <c r="AE216" s="55" t="str">
        <f ca="1">+IFERROR(AB216-AD216,"")</f>
        <v/>
      </c>
      <c r="AF216" s="47" t="e">
        <f ca="1">+CONCATENATE(AA216,N216)</f>
        <v>#NAME?</v>
      </c>
      <c r="AG216" s="47" t="str">
        <f>IFERROR(_xlfn.NUMBERVALUE(MID(G216,1,8)),"")</f>
        <v/>
      </c>
      <c r="AH216" s="54">
        <f>IF(Q216="22",IF(ISNUMBER(SEARCH("econ",PAA_4[[#This Row],[Actividad3]])),"Económico",IF(ISNUMBER(SEARCH("alim",PAA_4[[#This Row],[Actividad3]])),"Alimentación",IF(ISNUMBER(SEARCH("educ",PAA_4[[#This Row],[Actividad3]])),"Educativo","Técnico"))),0)</f>
        <v>0</v>
      </c>
      <c r="AI216" s="47" t="e" cm="1">
        <f t="array" aca="1" ref="AI216" ca="1">_xlfn.XLOOKUP(PAA_4[[#This Row],[RCP-RUBRO]],[2]!COMPROMISOS_2024[[#All],[concatenado]],[2]!COMPROMISOS_2024[[#All],[Total pagado]],"",0)</f>
        <v>#NAME?</v>
      </c>
      <c r="AJ216" s="56">
        <f>IF(PAA_4[[#This Row],[BOLSA]]=0,0,SUMIFS([2]!COMPROMISOS_2024[[#All],[Total pagado]],[2]!COMPROMISOS_2024[[#All],[Bolsa]],PAA_4[[#This Row],[BOLSA]],[2]!COMPROMISOS_2024[[#All],[rubro]],PAA_4[[#This Row],[RCP-RUBRO]]))</f>
        <v>0</v>
      </c>
      <c r="AK216" s="47" t="e" cm="1">
        <f t="array" aca="1" ref="AK216" ca="1">_xlfn.XLOOKUP(PAA_4[[#This Row],[RCP-RUBRO]],[2]!COMPROMISOS_2024[[#All],[concatenado]],[2]!COMPROMISOS_2024[[#All],[Total Comprometido]],"",0)</f>
        <v>#NAME?</v>
      </c>
      <c r="AL216" s="47">
        <f>IF(PAA_4[[#This Row],[BOLSA]]=0,0,SUMIFS([2]!COMPROMISOS_2024[[#All],[Total Comprometido]],[2]!COMPROMISOS_2024[[#All],[Bolsa]],PAA_4[[#This Row],[BOLSA]],[2]!COMPROMISOS_2024[[#All],[concatenado]],PAA_4[[#This Row],[RCP-RUBRO]]))</f>
        <v>0</v>
      </c>
    </row>
    <row r="217" spans="1:38" s="19" customFormat="1" ht="31.5" customHeight="1">
      <c r="A217" s="47">
        <v>792</v>
      </c>
      <c r="B217" s="51">
        <v>80121700</v>
      </c>
      <c r="C217" s="47" t="str">
        <f>VLOOKUP(PAA_4[[#This Row],[PROYECTO (formulado)2]],[2]PROYECTOS!$G$1:$L$32,6,0)</f>
        <v>SUBGERENCIA ADMINISTRATIVA Y FINANCIERA</v>
      </c>
      <c r="D217" s="47" t="str">
        <f>+IF(PAA_4[[#This Row],[UNIDAD DE CONTRATACION (formulado)]]="Subgerencia Administrativa y Financiera","FUNCIONAMIENTO","INVERSIÓN")</f>
        <v>FUNCIONAMIENTO</v>
      </c>
      <c r="E217" s="48" t="str">
        <f>VLOOKUP(Q217,[2]PROYECTOS!$G$1:$K$32,5,0)</f>
        <v>FUNCIONAMIENTO</v>
      </c>
      <c r="F217" s="48">
        <f>VLOOKUP(E217,[2]PROYECTOS!$K$1:$M$32,3,0)</f>
        <v>999999</v>
      </c>
      <c r="G217" s="49" t="s">
        <v>43</v>
      </c>
      <c r="H217" s="49">
        <f>VLOOKUP(Q217,[2]PROYECTOS!$V$1:$W$32,2,0)</f>
        <v>999999</v>
      </c>
      <c r="I217" s="50">
        <f>42991805-112200-229303</f>
        <v>42650302</v>
      </c>
      <c r="J217" s="51" t="s">
        <v>1389</v>
      </c>
      <c r="K217" s="47" t="str">
        <f t="shared" ref="K217:K221" ca="1" si="108">IF(ISNONTEXT(Y217)=TRUE,"CONTRATADO","NO CONTRATADO")</f>
        <v>CONTRATADO</v>
      </c>
      <c r="L217" s="61" t="s">
        <v>94</v>
      </c>
      <c r="M217" s="47" t="s">
        <v>1297</v>
      </c>
      <c r="N217" s="52" t="s">
        <v>155</v>
      </c>
      <c r="O217" s="51" t="e">
        <f>VLOOKUP(N217,[2]!RUBROS[#All],3,0)</f>
        <v>#REF!</v>
      </c>
      <c r="P217" s="53" t="e">
        <f>VLOOKUP(N217,[2]!RUBROS[#All],2,0)</f>
        <v>#REF!</v>
      </c>
      <c r="Q217" s="47" t="str">
        <f t="shared" ref="Q217:Q221" si="109">+MID(N217,11,2)</f>
        <v>00</v>
      </c>
      <c r="R217" s="47" t="str">
        <f t="shared" ref="R217:R221" si="110">+MID(N217,14,8)</f>
        <v>4-205616</v>
      </c>
      <c r="S217" s="54">
        <v>187</v>
      </c>
      <c r="T217" s="59" t="s">
        <v>120</v>
      </c>
      <c r="U217" s="326" t="e">
        <f ca="1">_xlfn.XLOOKUP(PAA_4[[#This Row],[ITEM]],[2]Contrato!A:A,[2]Contrato!Q:Q,"",0)</f>
        <v>#NAME?</v>
      </c>
      <c r="V217" s="47" t="s">
        <v>47</v>
      </c>
      <c r="W217" s="47" t="s">
        <v>154</v>
      </c>
      <c r="X217" s="47" t="s">
        <v>154</v>
      </c>
      <c r="Y217" s="55" t="e">
        <f ca="1">_xlfn.XLOOKUP(PAA_4[[#This Row],[ITEM]],[2]Contrato!A:A,[2]Contrato!B:B,"",0)</f>
        <v>#NAME?</v>
      </c>
      <c r="Z217" s="47" t="e">
        <f ca="1">_xlfn.XLOOKUP(PAA_4[[#This Row],[ITEM]],[2]Contrato!A:A,[2]Contrato!G:G,"",0)</f>
        <v>#NAME?</v>
      </c>
      <c r="AA217" s="47" t="e">
        <f ca="1">_xlfn.XLOOKUP(PAA_4[[#This Row],[ITEM]],[2]Contrato!A:A,[2]Contrato!T:T,"",0)</f>
        <v>#NAME?</v>
      </c>
      <c r="AB217" s="55" t="e">
        <f ca="1">+MAX(PAA_4[[#This Row],[Comprometido Contrato]],PAA_4[[#This Row],[Comprometido Bolsa]])</f>
        <v>#NAME?</v>
      </c>
      <c r="AC217" s="55" t="str">
        <f t="shared" ref="AC217:AC221" ca="1" si="111">IFERROR(I217-AB217,"")</f>
        <v/>
      </c>
      <c r="AD217" s="55" t="e">
        <f ca="1">IF(PAA_4[[#This Row],[ESTADO (formulado)]]="NO CONTRATADO",0,MAX(PAA_4[[#This Row],[Pago por Contrato]],PAA_4[[#This Row],[Pago por bolsa]]))</f>
        <v>#NAME?</v>
      </c>
      <c r="AE217" s="55" t="str">
        <f t="shared" ref="AE217:AE221" ca="1" si="112">+IFERROR(AB217-AD217,"")</f>
        <v/>
      </c>
      <c r="AF217" s="47" t="e">
        <f t="shared" ref="AF217:AF221" ca="1" si="113">+CONCATENATE(AA217,N217)</f>
        <v>#NAME?</v>
      </c>
      <c r="AG217" s="47" t="str">
        <f t="shared" ref="AG217:AG221" si="114">IFERROR(_xlfn.NUMBERVALUE(MID(G217,1,8)),"")</f>
        <v/>
      </c>
      <c r="AH217" s="54">
        <f>IF(Q217="22",IF(ISNUMBER(SEARCH("econ",PAA_4[[#This Row],[Actividad3]])),"Económico",IF(ISNUMBER(SEARCH("alim",PAA_4[[#This Row],[Actividad3]])),"Alimentación",IF(ISNUMBER(SEARCH("educ",PAA_4[[#This Row],[Actividad3]])),"Educativo","Técnico"))),0)</f>
        <v>0</v>
      </c>
      <c r="AI217" s="47" t="e" cm="1">
        <f t="array" aca="1" ref="AI217" ca="1">_xlfn.XLOOKUP(PAA_4[[#This Row],[RCP-RUBRO]],[2]!COMPROMISOS_2024[[#All],[concatenado]],[2]!COMPROMISOS_2024[[#All],[Total pagado]],"",0)</f>
        <v>#NAME?</v>
      </c>
      <c r="AJ217" s="56">
        <f>IF(PAA_4[[#This Row],[BOLSA]]=0,0,SUMIFS([2]!COMPROMISOS_2024[[#All],[Total pagado]],[2]!COMPROMISOS_2024[[#All],[Bolsa]],PAA_4[[#This Row],[BOLSA]],[2]!COMPROMISOS_2024[[#All],[rubro]],PAA_4[[#This Row],[RCP-RUBRO]]))</f>
        <v>0</v>
      </c>
      <c r="AK217" s="47" t="e" cm="1">
        <f t="array" aca="1" ref="AK217" ca="1">_xlfn.XLOOKUP(PAA_4[[#This Row],[RCP-RUBRO]],[2]!COMPROMISOS_2024[[#All],[concatenado]],[2]!COMPROMISOS_2024[[#All],[Total Comprometido]],"",0)</f>
        <v>#NAME?</v>
      </c>
      <c r="AL217" s="47">
        <f>IF(PAA_4[[#This Row],[BOLSA]]=0,0,SUMIFS([2]!COMPROMISOS_2024[[#All],[Total Comprometido]],[2]!COMPROMISOS_2024[[#All],[Bolsa]],PAA_4[[#This Row],[BOLSA]],[2]!COMPROMISOS_2024[[#All],[concatenado]],PAA_4[[#This Row],[RCP-RUBRO]]))</f>
        <v>0</v>
      </c>
    </row>
    <row r="218" spans="1:38" s="19" customFormat="1" ht="31.5" customHeight="1">
      <c r="A218" s="47">
        <v>793</v>
      </c>
      <c r="B218" s="51" t="s">
        <v>42</v>
      </c>
      <c r="C218" s="47" t="str">
        <f>VLOOKUP(PAA_4[[#This Row],[PROYECTO (formulado)2]],[2]PROYECTOS!$G$1:$L$32,6,0)</f>
        <v>SUBGERENCIA ADMINISTRATIVA Y FINANCIERA</v>
      </c>
      <c r="D218" s="47" t="str">
        <f>+IF(PAA_4[[#This Row],[UNIDAD DE CONTRATACION (formulado)]]="Subgerencia Administrativa y Financiera","FUNCIONAMIENTO","INVERSIÓN")</f>
        <v>FUNCIONAMIENTO</v>
      </c>
      <c r="E218" s="48" t="str">
        <f>VLOOKUP(Q218,[2]PROYECTOS!$G$1:$K$32,5,0)</f>
        <v>FUNCIONAMIENTO</v>
      </c>
      <c r="F218" s="48">
        <f>VLOOKUP(E218,[2]PROYECTOS!$K$1:$M$32,3,0)</f>
        <v>999999</v>
      </c>
      <c r="G218" s="49" t="s">
        <v>43</v>
      </c>
      <c r="H218" s="49">
        <f>VLOOKUP(Q218,[2]PROYECTOS!$V$1:$W$32,2,0)</f>
        <v>999999</v>
      </c>
      <c r="I218" s="50">
        <v>7463400</v>
      </c>
      <c r="J218" s="51" t="s">
        <v>93</v>
      </c>
      <c r="K218" s="47" t="str">
        <f t="shared" ca="1" si="108"/>
        <v>CONTRATADO</v>
      </c>
      <c r="L218" s="47" t="s">
        <v>44</v>
      </c>
      <c r="M218" s="47" t="s">
        <v>1236</v>
      </c>
      <c r="N218" s="52" t="s">
        <v>155</v>
      </c>
      <c r="O218" s="51" t="e">
        <f>VLOOKUP(N218,[2]!RUBROS[#All],3,0)</f>
        <v>#REF!</v>
      </c>
      <c r="P218" s="53" t="e">
        <f>VLOOKUP(N218,[2]!RUBROS[#All],2,0)</f>
        <v>#REF!</v>
      </c>
      <c r="Q218" s="47" t="str">
        <f t="shared" si="109"/>
        <v>00</v>
      </c>
      <c r="R218" s="47" t="str">
        <f t="shared" si="110"/>
        <v>4-205616</v>
      </c>
      <c r="S218" s="54">
        <v>6</v>
      </c>
      <c r="T218" s="59" t="s">
        <v>46</v>
      </c>
      <c r="U218" s="326" t="e">
        <f ca="1">_xlfn.XLOOKUP(PAA_4[[#This Row],[ITEM]],[2]Contrato!A:A,[2]Contrato!Q:Q,"",0)</f>
        <v>#NAME?</v>
      </c>
      <c r="V218" s="47" t="s">
        <v>47</v>
      </c>
      <c r="W218" s="47" t="s">
        <v>154</v>
      </c>
      <c r="X218" s="47" t="s">
        <v>154</v>
      </c>
      <c r="Y218" s="55" t="e">
        <f ca="1">_xlfn.XLOOKUP(PAA_4[[#This Row],[ITEM]],[2]Contrato!A:A,[2]Contrato!B:B,"",0)</f>
        <v>#NAME?</v>
      </c>
      <c r="Z218" s="47" t="e">
        <f ca="1">_xlfn.XLOOKUP(PAA_4[[#This Row],[ITEM]],[2]Contrato!A:A,[2]Contrato!G:G,"",0)</f>
        <v>#NAME?</v>
      </c>
      <c r="AA218" s="47" t="e">
        <f ca="1">_xlfn.XLOOKUP(PAA_4[[#This Row],[ITEM]],[2]Contrato!A:A,[2]Contrato!T:T,"",0)</f>
        <v>#NAME?</v>
      </c>
      <c r="AB218" s="55" t="e">
        <f ca="1">+MAX(PAA_4[[#This Row],[Comprometido Contrato]],PAA_4[[#This Row],[Comprometido Bolsa]])</f>
        <v>#NAME?</v>
      </c>
      <c r="AC218" s="55" t="str">
        <f t="shared" ca="1" si="111"/>
        <v/>
      </c>
      <c r="AD218" s="55" t="e">
        <f ca="1">IF(PAA_4[[#This Row],[ESTADO (formulado)]]="NO CONTRATADO",0,MAX(PAA_4[[#This Row],[Pago por Contrato]],PAA_4[[#This Row],[Pago por bolsa]]))</f>
        <v>#NAME?</v>
      </c>
      <c r="AE218" s="55" t="str">
        <f t="shared" ca="1" si="112"/>
        <v/>
      </c>
      <c r="AF218" s="47" t="e">
        <f t="shared" ca="1" si="113"/>
        <v>#NAME?</v>
      </c>
      <c r="AG218" s="47" t="str">
        <f t="shared" si="114"/>
        <v/>
      </c>
      <c r="AH218" s="54">
        <f>IF(Q218="22",IF(ISNUMBER(SEARCH("econ",PAA_4[[#This Row],[Actividad3]])),"Económico",IF(ISNUMBER(SEARCH("alim",PAA_4[[#This Row],[Actividad3]])),"Alimentación",IF(ISNUMBER(SEARCH("educ",PAA_4[[#This Row],[Actividad3]])),"Educativo","Técnico"))),0)</f>
        <v>0</v>
      </c>
      <c r="AI218" s="47" t="e" cm="1">
        <f t="array" aca="1" ref="AI218" ca="1">_xlfn.XLOOKUP(PAA_4[[#This Row],[RCP-RUBRO]],[2]!COMPROMISOS_2024[[#All],[concatenado]],[2]!COMPROMISOS_2024[[#All],[Total pagado]],"",0)</f>
        <v>#NAME?</v>
      </c>
      <c r="AJ218" s="56">
        <f>IF(PAA_4[[#This Row],[BOLSA]]=0,0,SUMIFS([2]!COMPROMISOS_2024[[#All],[Total pagado]],[2]!COMPROMISOS_2024[[#All],[Bolsa]],PAA_4[[#This Row],[BOLSA]],[2]!COMPROMISOS_2024[[#All],[rubro]],PAA_4[[#This Row],[RCP-RUBRO]]))</f>
        <v>0</v>
      </c>
      <c r="AK218" s="47" t="e" cm="1">
        <f t="array" aca="1" ref="AK218" ca="1">_xlfn.XLOOKUP(PAA_4[[#This Row],[RCP-RUBRO]],[2]!COMPROMISOS_2024[[#All],[concatenado]],[2]!COMPROMISOS_2024[[#All],[Total Comprometido]],"",0)</f>
        <v>#NAME?</v>
      </c>
      <c r="AL218" s="47">
        <f>IF(PAA_4[[#This Row],[BOLSA]]=0,0,SUMIFS([2]!COMPROMISOS_2024[[#All],[Total Comprometido]],[2]!COMPROMISOS_2024[[#All],[Bolsa]],PAA_4[[#This Row],[BOLSA]],[2]!COMPROMISOS_2024[[#All],[concatenado]],PAA_4[[#This Row],[RCP-RUBRO]]))</f>
        <v>0</v>
      </c>
    </row>
    <row r="219" spans="1:38" s="19" customFormat="1" ht="31.5" customHeight="1">
      <c r="A219" s="47" t="s">
        <v>82</v>
      </c>
      <c r="B219" s="51" t="s">
        <v>42</v>
      </c>
      <c r="C219" s="47" t="str">
        <f>VLOOKUP(PAA_4[[#This Row],[PROYECTO (formulado)2]],[2]PROYECTOS!$G$1:$L$32,6,0)</f>
        <v>SUBGERENCIA ADMINISTRATIVA Y FINANCIERA</v>
      </c>
      <c r="D219" s="47" t="str">
        <f>+IF(PAA_4[[#This Row],[UNIDAD DE CONTRATACION (formulado)]]="Subgerencia Administrativa y Financiera","FUNCIONAMIENTO","INVERSIÓN")</f>
        <v>FUNCIONAMIENTO</v>
      </c>
      <c r="E219" s="48" t="str">
        <f>VLOOKUP(Q219,[2]PROYECTOS!$G$1:$K$32,5,0)</f>
        <v>FUNCIONAMIENTO</v>
      </c>
      <c r="F219" s="48">
        <f>VLOOKUP(E219,[2]PROYECTOS!$K$1:$M$32,3,0)</f>
        <v>999999</v>
      </c>
      <c r="G219" s="49" t="s">
        <v>43</v>
      </c>
      <c r="H219" s="49">
        <f>VLOOKUP(Q219,[2]PROYECTOS!$V$1:$W$32,2,0)</f>
        <v>999999</v>
      </c>
      <c r="I219" s="50">
        <v>0</v>
      </c>
      <c r="J219" s="51" t="s">
        <v>1309</v>
      </c>
      <c r="K219" s="47" t="str">
        <f t="shared" ca="1" si="108"/>
        <v>CONTRATADO</v>
      </c>
      <c r="L219" s="47" t="s">
        <v>42</v>
      </c>
      <c r="M219" s="47" t="s">
        <v>42</v>
      </c>
      <c r="N219" s="52" t="s">
        <v>155</v>
      </c>
      <c r="O219" s="51" t="e">
        <f>VLOOKUP(N219,[2]!RUBROS[#All],3,0)</f>
        <v>#REF!</v>
      </c>
      <c r="P219" s="53" t="e">
        <f>VLOOKUP(N219,[2]!RUBROS[#All],2,0)</f>
        <v>#REF!</v>
      </c>
      <c r="Q219" s="47" t="str">
        <f t="shared" si="109"/>
        <v>00</v>
      </c>
      <c r="R219" s="47" t="str">
        <f t="shared" si="110"/>
        <v>4-205616</v>
      </c>
      <c r="S219" s="54" t="s">
        <v>42</v>
      </c>
      <c r="T219" s="59" t="s">
        <v>42</v>
      </c>
      <c r="U219" s="326" t="e">
        <f ca="1">_xlfn.XLOOKUP(PAA_4[[#This Row],[ITEM]],[2]Contrato!A:A,[2]Contrato!Q:Q,"",0)</f>
        <v>#NAME?</v>
      </c>
      <c r="V219" s="47" t="s">
        <v>42</v>
      </c>
      <c r="W219" s="47" t="s">
        <v>42</v>
      </c>
      <c r="X219" s="47" t="s">
        <v>42</v>
      </c>
      <c r="Y219" s="55" t="e">
        <f ca="1">_xlfn.XLOOKUP(PAA_4[[#This Row],[ITEM]],[2]Contrato!A:A,[2]Contrato!B:B,"",0)</f>
        <v>#NAME?</v>
      </c>
      <c r="Z219" s="47" t="e">
        <f ca="1">_xlfn.XLOOKUP(PAA_4[[#This Row],[ITEM]],[2]Contrato!A:A,[2]Contrato!G:G,"",0)</f>
        <v>#NAME?</v>
      </c>
      <c r="AA219" s="47" t="e">
        <f ca="1">_xlfn.XLOOKUP(PAA_4[[#This Row],[ITEM]],[2]Contrato!A:A,[2]Contrato!T:T,"",0)</f>
        <v>#NAME?</v>
      </c>
      <c r="AB219" s="55" t="e">
        <f ca="1">+MAX(PAA_4[[#This Row],[Comprometido Contrato]],PAA_4[[#This Row],[Comprometido Bolsa]])</f>
        <v>#NAME?</v>
      </c>
      <c r="AC219" s="55" t="str">
        <f t="shared" ca="1" si="111"/>
        <v/>
      </c>
      <c r="AD219" s="55" t="e">
        <f ca="1">IF(PAA_4[[#This Row],[ESTADO (formulado)]]="NO CONTRATADO",0,MAX(PAA_4[[#This Row],[Pago por Contrato]],PAA_4[[#This Row],[Pago por bolsa]]))</f>
        <v>#NAME?</v>
      </c>
      <c r="AE219" s="55" t="str">
        <f t="shared" ca="1" si="112"/>
        <v/>
      </c>
      <c r="AF219" s="47" t="e">
        <f t="shared" ca="1" si="113"/>
        <v>#NAME?</v>
      </c>
      <c r="AG219" s="47" t="str">
        <f t="shared" si="114"/>
        <v/>
      </c>
      <c r="AH219" s="54">
        <f>IF(Q219="22",IF(ISNUMBER(SEARCH("econ",PAA_4[[#This Row],[Actividad3]])),"Económico",IF(ISNUMBER(SEARCH("alim",PAA_4[[#This Row],[Actividad3]])),"Alimentación",IF(ISNUMBER(SEARCH("educ",PAA_4[[#This Row],[Actividad3]])),"Educativo","Técnico"))),0)</f>
        <v>0</v>
      </c>
      <c r="AI219" s="47" t="e" cm="1">
        <f t="array" aca="1" ref="AI219" ca="1">_xlfn.XLOOKUP(PAA_4[[#This Row],[RCP-RUBRO]],[2]!COMPROMISOS_2024[[#All],[concatenado]],[2]!COMPROMISOS_2024[[#All],[Total pagado]],"",0)</f>
        <v>#NAME?</v>
      </c>
      <c r="AJ219" s="56">
        <f>IF(PAA_4[[#This Row],[BOLSA]]=0,0,SUMIFS([2]!COMPROMISOS_2024[[#All],[Total pagado]],[2]!COMPROMISOS_2024[[#All],[Bolsa]],PAA_4[[#This Row],[BOLSA]],[2]!COMPROMISOS_2024[[#All],[rubro]],PAA_4[[#This Row],[RCP-RUBRO]]))</f>
        <v>0</v>
      </c>
      <c r="AK219" s="47" t="e" cm="1">
        <f t="array" aca="1" ref="AK219" ca="1">_xlfn.XLOOKUP(PAA_4[[#This Row],[RCP-RUBRO]],[2]!COMPROMISOS_2024[[#All],[concatenado]],[2]!COMPROMISOS_2024[[#All],[Total Comprometido]],"",0)</f>
        <v>#NAME?</v>
      </c>
      <c r="AL219" s="47">
        <f>IF(PAA_4[[#This Row],[BOLSA]]=0,0,SUMIFS([2]!COMPROMISOS_2024[[#All],[Total Comprometido]],[2]!COMPROMISOS_2024[[#All],[Bolsa]],PAA_4[[#This Row],[BOLSA]],[2]!COMPROMISOS_2024[[#All],[concatenado]],PAA_4[[#This Row],[RCP-RUBRO]]))</f>
        <v>0</v>
      </c>
    </row>
    <row r="220" spans="1:38" s="19" customFormat="1" ht="31.5" customHeight="1">
      <c r="A220" s="47" t="s">
        <v>1390</v>
      </c>
      <c r="B220" s="51">
        <v>80111700</v>
      </c>
      <c r="C220" s="47" t="str">
        <f>VLOOKUP(PAA_4[[#This Row],[PROYECTO (formulado)2]],[2]PROYECTOS!$G$1:$L$32,6,0)</f>
        <v>SUBGERENCIA ADMINISTRATIVA Y FINANCIERA</v>
      </c>
      <c r="D220" s="47" t="str">
        <f>+IF(PAA_4[[#This Row],[UNIDAD DE CONTRATACION (formulado)]]="Subgerencia Administrativa y Financiera","FUNCIONAMIENTO","INVERSIÓN")</f>
        <v>FUNCIONAMIENTO</v>
      </c>
      <c r="E220" s="48" t="str">
        <f>VLOOKUP(Q220,[2]PROYECTOS!$G$1:$K$32,5,0)</f>
        <v>FUNCIONAMIENTO</v>
      </c>
      <c r="F220" s="48">
        <f>VLOOKUP(E220,[2]PROYECTOS!$K$1:$M$32,3,0)</f>
        <v>999999</v>
      </c>
      <c r="G220" s="49" t="s">
        <v>43</v>
      </c>
      <c r="H220" s="49">
        <f>VLOOKUP(Q220,[2]PROYECTOS!$V$1:$W$32,2,0)</f>
        <v>999999</v>
      </c>
      <c r="I220" s="50">
        <f>19601581-8984917-3141664</f>
        <v>7475000</v>
      </c>
      <c r="J220" s="51" t="s">
        <v>1391</v>
      </c>
      <c r="K220" s="47" t="str">
        <f t="shared" ca="1" si="108"/>
        <v>CONTRATADO</v>
      </c>
      <c r="L220" s="61" t="s">
        <v>94</v>
      </c>
      <c r="M220" s="47" t="s">
        <v>1297</v>
      </c>
      <c r="N220" s="52" t="s">
        <v>155</v>
      </c>
      <c r="O220" s="51" t="e">
        <f>VLOOKUP(N220,[2]!RUBROS[#All],3,0)</f>
        <v>#REF!</v>
      </c>
      <c r="P220" s="53" t="e">
        <f>VLOOKUP(N220,[2]!RUBROS[#All],2,0)</f>
        <v>#REF!</v>
      </c>
      <c r="Q220" s="47" t="str">
        <f t="shared" si="109"/>
        <v>00</v>
      </c>
      <c r="R220" s="47" t="str">
        <f t="shared" si="110"/>
        <v>4-205616</v>
      </c>
      <c r="S220" s="54">
        <v>174</v>
      </c>
      <c r="T220" s="59" t="s">
        <v>120</v>
      </c>
      <c r="U220" s="326" t="e">
        <f ca="1">_xlfn.XLOOKUP(PAA_4[[#This Row],[ITEM]],[2]Contrato!A:A,[2]Contrato!Q:Q,"",0)</f>
        <v>#NAME?</v>
      </c>
      <c r="V220" s="47" t="s">
        <v>95</v>
      </c>
      <c r="W220" s="47" t="s">
        <v>154</v>
      </c>
      <c r="X220" s="47" t="s">
        <v>154</v>
      </c>
      <c r="Y220" s="55" t="e">
        <f ca="1">_xlfn.XLOOKUP(PAA_4[[#This Row],[ITEM]],[2]Contrato!A:A,[2]Contrato!B:B,"",0)</f>
        <v>#NAME?</v>
      </c>
      <c r="Z220" s="47" t="e">
        <f ca="1">_xlfn.XLOOKUP(PAA_4[[#This Row],[ITEM]],[2]Contrato!A:A,[2]Contrato!G:G,"",0)</f>
        <v>#NAME?</v>
      </c>
      <c r="AA220" s="47" t="e">
        <f ca="1">_xlfn.XLOOKUP(PAA_4[[#This Row],[ITEM]],[2]Contrato!A:A,[2]Contrato!T:T,"",0)</f>
        <v>#NAME?</v>
      </c>
      <c r="AB220" s="55" t="e">
        <f ca="1">+MAX(PAA_4[[#This Row],[Comprometido Contrato]],PAA_4[[#This Row],[Comprometido Bolsa]])</f>
        <v>#NAME?</v>
      </c>
      <c r="AC220" s="55" t="str">
        <f t="shared" ca="1" si="111"/>
        <v/>
      </c>
      <c r="AD220" s="55" t="e">
        <f ca="1">IF(PAA_4[[#This Row],[ESTADO (formulado)]]="NO CONTRATADO",0,MAX(PAA_4[[#This Row],[Pago por Contrato]],PAA_4[[#This Row],[Pago por bolsa]]))</f>
        <v>#NAME?</v>
      </c>
      <c r="AE220" s="55" t="str">
        <f t="shared" ca="1" si="112"/>
        <v/>
      </c>
      <c r="AF220" s="47" t="e">
        <f t="shared" ca="1" si="113"/>
        <v>#NAME?</v>
      </c>
      <c r="AG220" s="47" t="str">
        <f t="shared" si="114"/>
        <v/>
      </c>
      <c r="AH220" s="54">
        <f>IF(Q220="22",IF(ISNUMBER(SEARCH("econ",PAA_4[[#This Row],[Actividad3]])),"Económico",IF(ISNUMBER(SEARCH("alim",PAA_4[[#This Row],[Actividad3]])),"Alimentación",IF(ISNUMBER(SEARCH("educ",PAA_4[[#This Row],[Actividad3]])),"Educativo","Técnico"))),0)</f>
        <v>0</v>
      </c>
      <c r="AI220" s="47" t="e" cm="1">
        <f t="array" aca="1" ref="AI220" ca="1">_xlfn.XLOOKUP(PAA_4[[#This Row],[RCP-RUBRO]],[2]!COMPROMISOS_2024[[#All],[concatenado]],[2]!COMPROMISOS_2024[[#All],[Total pagado]],"",0)</f>
        <v>#NAME?</v>
      </c>
      <c r="AJ220" s="56">
        <f>IF(PAA_4[[#This Row],[BOLSA]]=0,0,SUMIFS([2]!COMPROMISOS_2024[[#All],[Total pagado]],[2]!COMPROMISOS_2024[[#All],[Bolsa]],PAA_4[[#This Row],[BOLSA]],[2]!COMPROMISOS_2024[[#All],[rubro]],PAA_4[[#This Row],[RCP-RUBRO]]))</f>
        <v>0</v>
      </c>
      <c r="AK220" s="47" t="e" cm="1">
        <f t="array" aca="1" ref="AK220" ca="1">_xlfn.XLOOKUP(PAA_4[[#This Row],[RCP-RUBRO]],[2]!COMPROMISOS_2024[[#All],[concatenado]],[2]!COMPROMISOS_2024[[#All],[Total Comprometido]],"",0)</f>
        <v>#NAME?</v>
      </c>
      <c r="AL220" s="47">
        <f>IF(PAA_4[[#This Row],[BOLSA]]=0,0,SUMIFS([2]!COMPROMISOS_2024[[#All],[Total Comprometido]],[2]!COMPROMISOS_2024[[#All],[Bolsa]],PAA_4[[#This Row],[BOLSA]],[2]!COMPROMISOS_2024[[#All],[concatenado]],PAA_4[[#This Row],[RCP-RUBRO]]))</f>
        <v>0</v>
      </c>
    </row>
    <row r="221" spans="1:38" s="19" customFormat="1" ht="31.5" customHeight="1">
      <c r="A221" s="47" t="s">
        <v>82</v>
      </c>
      <c r="B221" s="51" t="s">
        <v>42</v>
      </c>
      <c r="C221" s="47" t="str">
        <f>VLOOKUP(PAA_4[[#This Row],[PROYECTO (formulado)2]],[2]PROYECTOS!$G$1:$L$32,6,0)</f>
        <v>SUBGERENCIA ADMINISTRATIVA Y FINANCIERA</v>
      </c>
      <c r="D221" s="47" t="str">
        <f>+IF(PAA_4[[#This Row],[UNIDAD DE CONTRATACION (formulado)]]="Subgerencia Administrativa y Financiera","FUNCIONAMIENTO","INVERSIÓN")</f>
        <v>FUNCIONAMIENTO</v>
      </c>
      <c r="E221" s="48" t="str">
        <f>VLOOKUP(Q221,[2]PROYECTOS!$G$1:$K$32,5,0)</f>
        <v>FUNCIONAMIENTO</v>
      </c>
      <c r="F221" s="48">
        <f>VLOOKUP(E221,[2]PROYECTOS!$K$1:$M$32,3,0)</f>
        <v>999999</v>
      </c>
      <c r="G221" s="49" t="s">
        <v>43</v>
      </c>
      <c r="H221" s="49">
        <f>VLOOKUP(Q221,[2]PROYECTOS!$V$1:$W$32,2,0)</f>
        <v>999999</v>
      </c>
      <c r="I221" s="50">
        <v>0</v>
      </c>
      <c r="J221" s="51" t="s">
        <v>1309</v>
      </c>
      <c r="K221" s="47" t="str">
        <f t="shared" ca="1" si="108"/>
        <v>CONTRATADO</v>
      </c>
      <c r="L221" s="61" t="s">
        <v>42</v>
      </c>
      <c r="M221" s="47" t="s">
        <v>42</v>
      </c>
      <c r="N221" s="52" t="s">
        <v>155</v>
      </c>
      <c r="O221" s="51" t="e">
        <f>VLOOKUP(N221,[2]!RUBROS[#All],3,0)</f>
        <v>#REF!</v>
      </c>
      <c r="P221" s="53" t="e">
        <f>VLOOKUP(N221,[2]!RUBROS[#All],2,0)</f>
        <v>#REF!</v>
      </c>
      <c r="Q221" s="47" t="str">
        <f t="shared" si="109"/>
        <v>00</v>
      </c>
      <c r="R221" s="47" t="str">
        <f t="shared" si="110"/>
        <v>4-205616</v>
      </c>
      <c r="S221" s="54" t="s">
        <v>42</v>
      </c>
      <c r="T221" s="59" t="s">
        <v>42</v>
      </c>
      <c r="U221" s="326" t="e">
        <f ca="1">_xlfn.XLOOKUP(PAA_4[[#This Row],[ITEM]],[2]Contrato!A:A,[2]Contrato!Q:Q,"",0)</f>
        <v>#NAME?</v>
      </c>
      <c r="V221" s="47" t="s">
        <v>42</v>
      </c>
      <c r="W221" s="47" t="s">
        <v>42</v>
      </c>
      <c r="X221" s="47" t="s">
        <v>42</v>
      </c>
      <c r="Y221" s="55" t="e">
        <f ca="1">_xlfn.XLOOKUP(PAA_4[[#This Row],[ITEM]],[2]Contrato!A:A,[2]Contrato!B:B,"",0)</f>
        <v>#NAME?</v>
      </c>
      <c r="Z221" s="47" t="e">
        <f ca="1">_xlfn.XLOOKUP(PAA_4[[#This Row],[ITEM]],[2]Contrato!A:A,[2]Contrato!G:G,"",0)</f>
        <v>#NAME?</v>
      </c>
      <c r="AA221" s="47" t="e">
        <f ca="1">_xlfn.XLOOKUP(PAA_4[[#This Row],[ITEM]],[2]Contrato!A:A,[2]Contrato!T:T,"",0)</f>
        <v>#NAME?</v>
      </c>
      <c r="AB221" s="55" t="e">
        <f ca="1">+MAX(PAA_4[[#This Row],[Comprometido Contrato]],PAA_4[[#This Row],[Comprometido Bolsa]])</f>
        <v>#NAME?</v>
      </c>
      <c r="AC221" s="55" t="str">
        <f t="shared" ca="1" si="111"/>
        <v/>
      </c>
      <c r="AD221" s="55" t="e">
        <f ca="1">IF(PAA_4[[#This Row],[ESTADO (formulado)]]="NO CONTRATADO",0,MAX(PAA_4[[#This Row],[Pago por Contrato]],PAA_4[[#This Row],[Pago por bolsa]]))</f>
        <v>#NAME?</v>
      </c>
      <c r="AE221" s="55" t="str">
        <f t="shared" ca="1" si="112"/>
        <v/>
      </c>
      <c r="AF221" s="47" t="e">
        <f t="shared" ca="1" si="113"/>
        <v>#NAME?</v>
      </c>
      <c r="AG221" s="47" t="str">
        <f t="shared" si="114"/>
        <v/>
      </c>
      <c r="AH221" s="54">
        <f>IF(Q221="22",IF(ISNUMBER(SEARCH("econ",PAA_4[[#This Row],[Actividad3]])),"Económico",IF(ISNUMBER(SEARCH("alim",PAA_4[[#This Row],[Actividad3]])),"Alimentación",IF(ISNUMBER(SEARCH("educ",PAA_4[[#This Row],[Actividad3]])),"Educativo","Técnico"))),0)</f>
        <v>0</v>
      </c>
      <c r="AI221" s="47" t="e" cm="1">
        <f t="array" aca="1" ref="AI221" ca="1">_xlfn.XLOOKUP(PAA_4[[#This Row],[RCP-RUBRO]],[2]!COMPROMISOS_2024[[#All],[concatenado]],[2]!COMPROMISOS_2024[[#All],[Total pagado]],"",0)</f>
        <v>#NAME?</v>
      </c>
      <c r="AJ221" s="56">
        <f>IF(PAA_4[[#This Row],[BOLSA]]=0,0,SUMIFS([2]!COMPROMISOS_2024[[#All],[Total pagado]],[2]!COMPROMISOS_2024[[#All],[Bolsa]],PAA_4[[#This Row],[BOLSA]],[2]!COMPROMISOS_2024[[#All],[rubro]],PAA_4[[#This Row],[RCP-RUBRO]]))</f>
        <v>0</v>
      </c>
      <c r="AK221" s="47" t="e" cm="1">
        <f t="array" aca="1" ref="AK221" ca="1">_xlfn.XLOOKUP(PAA_4[[#This Row],[RCP-RUBRO]],[2]!COMPROMISOS_2024[[#All],[concatenado]],[2]!COMPROMISOS_2024[[#All],[Total Comprometido]],"",0)</f>
        <v>#NAME?</v>
      </c>
      <c r="AL221" s="47">
        <f>IF(PAA_4[[#This Row],[BOLSA]]=0,0,SUMIFS([2]!COMPROMISOS_2024[[#All],[Total Comprometido]],[2]!COMPROMISOS_2024[[#All],[Bolsa]],PAA_4[[#This Row],[BOLSA]],[2]!COMPROMISOS_2024[[#All],[concatenado]],PAA_4[[#This Row],[RCP-RUBRO]]))</f>
        <v>0</v>
      </c>
    </row>
    <row r="222" spans="1:38" s="19" customFormat="1" ht="31.5" customHeight="1">
      <c r="A222" s="47" t="s">
        <v>82</v>
      </c>
      <c r="B222" s="51" t="s">
        <v>42</v>
      </c>
      <c r="C222" s="47" t="str">
        <f>VLOOKUP(PAA_4[[#This Row],[PROYECTO (formulado)2]],[2]PROYECTOS!$G$1:$L$32,6,0)</f>
        <v>SUBGERENCIA ADMINISTRATIVA Y FINANCIERA</v>
      </c>
      <c r="D222" s="47" t="str">
        <f>+IF(PAA_4[[#This Row],[UNIDAD DE CONTRATACION (formulado)]]="Subgerencia Administrativa y Financiera","FUNCIONAMIENTO","INVERSIÓN")</f>
        <v>FUNCIONAMIENTO</v>
      </c>
      <c r="E222" s="48" t="str">
        <f>VLOOKUP(Q222,[2]PROYECTOS!$G$1:$K$32,5,0)</f>
        <v>FUNCIONAMIENTO</v>
      </c>
      <c r="F222" s="48">
        <f>VLOOKUP(E222,[2]PROYECTOS!$K$1:$M$32,3,0)</f>
        <v>999999</v>
      </c>
      <c r="G222" s="49" t="s">
        <v>43</v>
      </c>
      <c r="H222" s="49">
        <f>VLOOKUP(Q222,[2]PROYECTOS!$V$1:$W$32,2,0)</f>
        <v>999999</v>
      </c>
      <c r="I222" s="50">
        <v>2804050</v>
      </c>
      <c r="J222" s="51" t="s">
        <v>1392</v>
      </c>
      <c r="K222" s="47" t="str">
        <f ca="1">IF(ISNONTEXT(Y222)=TRUE,"CONTRATADO","NO CONTRATADO")</f>
        <v>CONTRATADO</v>
      </c>
      <c r="L222" s="61" t="s">
        <v>42</v>
      </c>
      <c r="M222" s="47" t="s">
        <v>42</v>
      </c>
      <c r="N222" s="52" t="s">
        <v>155</v>
      </c>
      <c r="O222" s="51" t="e">
        <f>VLOOKUP(N222,[2]!RUBROS[#All],3,0)</f>
        <v>#REF!</v>
      </c>
      <c r="P222" s="53" t="e">
        <f>VLOOKUP(N222,[2]!RUBROS[#All],2,0)</f>
        <v>#REF!</v>
      </c>
      <c r="Q222" s="47" t="str">
        <f>+MID(N222,11,2)</f>
        <v>00</v>
      </c>
      <c r="R222" s="47" t="str">
        <f>+MID(N222,14,8)</f>
        <v>4-205616</v>
      </c>
      <c r="S222" s="54" t="s">
        <v>42</v>
      </c>
      <c r="T222" s="59" t="s">
        <v>42</v>
      </c>
      <c r="U222" s="326" t="e">
        <f ca="1">_xlfn.XLOOKUP(PAA_4[[#This Row],[ITEM]],[2]Contrato!A:A,[2]Contrato!Q:Q,"",0)</f>
        <v>#NAME?</v>
      </c>
      <c r="V222" s="47" t="s">
        <v>47</v>
      </c>
      <c r="W222" s="47" t="s">
        <v>42</v>
      </c>
      <c r="X222" s="47" t="s">
        <v>42</v>
      </c>
      <c r="Y222" s="55" t="e">
        <f ca="1">_xlfn.XLOOKUP(PAA_4[[#This Row],[ITEM]],[2]Contrato!A:A,[2]Contrato!B:B,"",0)</f>
        <v>#NAME?</v>
      </c>
      <c r="Z222" s="47" t="e">
        <f ca="1">_xlfn.XLOOKUP(PAA_4[[#This Row],[ITEM]],[2]Contrato!A:A,[2]Contrato!G:G,"",0)</f>
        <v>#NAME?</v>
      </c>
      <c r="AA222" s="47" t="e">
        <f ca="1">_xlfn.XLOOKUP(PAA_4[[#This Row],[ITEM]],[2]Contrato!A:A,[2]Contrato!T:T,"",0)</f>
        <v>#NAME?</v>
      </c>
      <c r="AB222" s="55" t="e">
        <f ca="1">+MAX(PAA_4[[#This Row],[Comprometido Contrato]],PAA_4[[#This Row],[Comprometido Bolsa]])</f>
        <v>#NAME?</v>
      </c>
      <c r="AC222" s="55" t="str">
        <f ca="1">IFERROR(I222-AB222,"")</f>
        <v/>
      </c>
      <c r="AD222" s="55" t="e">
        <f ca="1">IF(PAA_4[[#This Row],[ESTADO (formulado)]]="NO CONTRATADO",0,MAX(PAA_4[[#This Row],[Pago por Contrato]],PAA_4[[#This Row],[Pago por bolsa]]))</f>
        <v>#NAME?</v>
      </c>
      <c r="AE222" s="55" t="str">
        <f ca="1">+IFERROR(AB222-AD222,"")</f>
        <v/>
      </c>
      <c r="AF222" s="47" t="e">
        <f ca="1">+CONCATENATE(AA222,N222)</f>
        <v>#NAME?</v>
      </c>
      <c r="AG222" s="47" t="str">
        <f>IFERROR(_xlfn.NUMBERVALUE(MID(G222,1,8)),"")</f>
        <v/>
      </c>
      <c r="AH222" s="54">
        <f>IF(Q222="22",IF(ISNUMBER(SEARCH("econ",PAA_4[[#This Row],[Actividad3]])),"Económico",IF(ISNUMBER(SEARCH("alim",PAA_4[[#This Row],[Actividad3]])),"Alimentación",IF(ISNUMBER(SEARCH("educ",PAA_4[[#This Row],[Actividad3]])),"Educativo","Técnico"))),0)</f>
        <v>0</v>
      </c>
      <c r="AI222" s="47" t="e" cm="1">
        <f t="array" aca="1" ref="AI222" ca="1">_xlfn.XLOOKUP(PAA_4[[#This Row],[RCP-RUBRO]],[2]!COMPROMISOS_2024[[#All],[concatenado]],[2]!COMPROMISOS_2024[[#All],[Total pagado]],"",0)</f>
        <v>#NAME?</v>
      </c>
      <c r="AJ222" s="56">
        <f>IF(PAA_4[[#This Row],[BOLSA]]=0,0,SUMIFS([2]!COMPROMISOS_2024[[#All],[Total pagado]],[2]!COMPROMISOS_2024[[#All],[Bolsa]],PAA_4[[#This Row],[BOLSA]],[2]!COMPROMISOS_2024[[#All],[rubro]],PAA_4[[#This Row],[RCP-RUBRO]]))</f>
        <v>0</v>
      </c>
      <c r="AK222" s="47" t="e" cm="1">
        <f t="array" aca="1" ref="AK222" ca="1">_xlfn.XLOOKUP(PAA_4[[#This Row],[RCP-RUBRO]],[2]!COMPROMISOS_2024[[#All],[concatenado]],[2]!COMPROMISOS_2024[[#All],[Total Comprometido]],"",0)</f>
        <v>#NAME?</v>
      </c>
      <c r="AL222" s="47">
        <f>IF(PAA_4[[#This Row],[BOLSA]]=0,0,SUMIFS([2]!COMPROMISOS_2024[[#All],[Total Comprometido]],[2]!COMPROMISOS_2024[[#All],[Bolsa]],PAA_4[[#This Row],[BOLSA]],[2]!COMPROMISOS_2024[[#All],[concatenado]],PAA_4[[#This Row],[RCP-RUBRO]]))</f>
        <v>0</v>
      </c>
    </row>
    <row r="223" spans="1:38" s="19" customFormat="1" ht="31.5" customHeight="1">
      <c r="A223" s="47">
        <v>984</v>
      </c>
      <c r="B223" s="51">
        <v>80161500</v>
      </c>
      <c r="C223" s="47" t="str">
        <f>VLOOKUP(PAA_4[[#This Row],[PROYECTO (formulado)2]],[2]PROYECTOS!$G$1:$L$32,6,0)</f>
        <v>SUBGERENCIA ADMINISTRATIVA Y FINANCIERA</v>
      </c>
      <c r="D223" s="47" t="str">
        <f>+IF(PAA_4[[#This Row],[UNIDAD DE CONTRATACION (formulado)]]="Subgerencia Administrativa y Financiera","FUNCIONAMIENTO","INVERSIÓN")</f>
        <v>FUNCIONAMIENTO</v>
      </c>
      <c r="E223" s="48" t="str">
        <f>VLOOKUP(Q223,[2]PROYECTOS!$G$1:$K$32,5,0)</f>
        <v>FUNCIONAMIENTO</v>
      </c>
      <c r="F223" s="48">
        <f>VLOOKUP(E223,[2]PROYECTOS!$K$1:$M$32,3,0)</f>
        <v>999999</v>
      </c>
      <c r="G223" s="49" t="s">
        <v>43</v>
      </c>
      <c r="H223" s="49">
        <f>VLOOKUP(Q223,[2]PROYECTOS!$V$1:$W$32,2,0)</f>
        <v>999999</v>
      </c>
      <c r="I223" s="50">
        <f>42683857-1557829-2804050</f>
        <v>38321978</v>
      </c>
      <c r="J223" s="51" t="s">
        <v>1393</v>
      </c>
      <c r="K223" s="47" t="str">
        <f t="shared" ref="K223:K233" ca="1" si="115">IF(ISNONTEXT(Y223)=TRUE,"CONTRATADO","NO CONTRATADO")</f>
        <v>CONTRATADO</v>
      </c>
      <c r="L223" s="61" t="s">
        <v>94</v>
      </c>
      <c r="M223" s="47" t="s">
        <v>1297</v>
      </c>
      <c r="N223" s="52" t="s">
        <v>155</v>
      </c>
      <c r="O223" s="51" t="e">
        <f>VLOOKUP(N223,[2]!RUBROS[#All],3,0)</f>
        <v>#REF!</v>
      </c>
      <c r="P223" s="53" t="e">
        <f>VLOOKUP(N223,[2]!RUBROS[#All],2,0)</f>
        <v>#REF!</v>
      </c>
      <c r="Q223" s="47" t="str">
        <f t="shared" ref="Q223:Q233" si="116">+MID(N223,11,2)</f>
        <v>00</v>
      </c>
      <c r="R223" s="47" t="str">
        <f t="shared" ref="R223:R233" si="117">+MID(N223,14,8)</f>
        <v>4-205616</v>
      </c>
      <c r="S223" s="54">
        <v>137</v>
      </c>
      <c r="T223" s="59" t="s">
        <v>120</v>
      </c>
      <c r="U223" s="326" t="e">
        <f ca="1">_xlfn.XLOOKUP(PAA_4[[#This Row],[ITEM]],[2]Contrato!A:A,[2]Contrato!Q:Q,"",0)</f>
        <v>#NAME?</v>
      </c>
      <c r="V223" s="47" t="s">
        <v>47</v>
      </c>
      <c r="W223" s="47" t="s">
        <v>194</v>
      </c>
      <c r="X223" s="47" t="s">
        <v>194</v>
      </c>
      <c r="Y223" s="55" t="e">
        <f ca="1">_xlfn.XLOOKUP(PAA_4[[#This Row],[ITEM]],[2]Contrato!A:A,[2]Contrato!B:B,"",0)</f>
        <v>#NAME?</v>
      </c>
      <c r="Z223" s="47" t="e">
        <f ca="1">_xlfn.XLOOKUP(PAA_4[[#This Row],[ITEM]],[2]Contrato!A:A,[2]Contrato!G:G,"",0)</f>
        <v>#NAME?</v>
      </c>
      <c r="AA223" s="47" t="e">
        <f ca="1">_xlfn.XLOOKUP(PAA_4[[#This Row],[ITEM]],[2]Contrato!A:A,[2]Contrato!T:T,"",0)</f>
        <v>#NAME?</v>
      </c>
      <c r="AB223" s="55" t="e">
        <f ca="1">+MAX(PAA_4[[#This Row],[Comprometido Contrato]],PAA_4[[#This Row],[Comprometido Bolsa]])</f>
        <v>#NAME?</v>
      </c>
      <c r="AC223" s="55" t="str">
        <f t="shared" ref="AC223:AC233" ca="1" si="118">IFERROR(I223-AB223,"")</f>
        <v/>
      </c>
      <c r="AD223" s="55" t="e">
        <f ca="1">IF(PAA_4[[#This Row],[ESTADO (formulado)]]="NO CONTRATADO",0,MAX(PAA_4[[#This Row],[Pago por Contrato]],PAA_4[[#This Row],[Pago por bolsa]]))</f>
        <v>#NAME?</v>
      </c>
      <c r="AE223" s="55" t="str">
        <f t="shared" ref="AE223:AE233" ca="1" si="119">+IFERROR(AB223-AD223,"")</f>
        <v/>
      </c>
      <c r="AF223" s="47" t="e">
        <f t="shared" ref="AF223:AF233" ca="1" si="120">+CONCATENATE(AA223,N223)</f>
        <v>#NAME?</v>
      </c>
      <c r="AG223" s="47" t="str">
        <f t="shared" ref="AG223:AG233" si="121">IFERROR(_xlfn.NUMBERVALUE(MID(G223,1,8)),"")</f>
        <v/>
      </c>
      <c r="AH223" s="54">
        <f>IF(Q223="22",IF(ISNUMBER(SEARCH("econ",PAA_4[[#This Row],[Actividad3]])),"Económico",IF(ISNUMBER(SEARCH("alim",PAA_4[[#This Row],[Actividad3]])),"Alimentación",IF(ISNUMBER(SEARCH("educ",PAA_4[[#This Row],[Actividad3]])),"Educativo","Técnico"))),0)</f>
        <v>0</v>
      </c>
      <c r="AI223" s="47" t="e" cm="1">
        <f t="array" aca="1" ref="AI223" ca="1">_xlfn.XLOOKUP(PAA_4[[#This Row],[RCP-RUBRO]],[2]!COMPROMISOS_2024[[#All],[concatenado]],[2]!COMPROMISOS_2024[[#All],[Total pagado]],"",0)</f>
        <v>#NAME?</v>
      </c>
      <c r="AJ223" s="56">
        <f>IF(PAA_4[[#This Row],[BOLSA]]=0,0,SUMIFS([2]!COMPROMISOS_2024[[#All],[Total pagado]],[2]!COMPROMISOS_2024[[#All],[Bolsa]],PAA_4[[#This Row],[BOLSA]],[2]!COMPROMISOS_2024[[#All],[rubro]],PAA_4[[#This Row],[RCP-RUBRO]]))</f>
        <v>0</v>
      </c>
      <c r="AK223" s="47" t="e" cm="1">
        <f t="array" aca="1" ref="AK223" ca="1">_xlfn.XLOOKUP(PAA_4[[#This Row],[RCP-RUBRO]],[2]!COMPROMISOS_2024[[#All],[concatenado]],[2]!COMPROMISOS_2024[[#All],[Total Comprometido]],"",0)</f>
        <v>#NAME?</v>
      </c>
      <c r="AL223" s="47">
        <f>IF(PAA_4[[#This Row],[BOLSA]]=0,0,SUMIFS([2]!COMPROMISOS_2024[[#All],[Total Comprometido]],[2]!COMPROMISOS_2024[[#All],[Bolsa]],PAA_4[[#This Row],[BOLSA]],[2]!COMPROMISOS_2024[[#All],[concatenado]],PAA_4[[#This Row],[RCP-RUBRO]]))</f>
        <v>0</v>
      </c>
    </row>
    <row r="224" spans="1:38" s="19" customFormat="1" ht="31.5" customHeight="1">
      <c r="A224" s="47" t="s">
        <v>82</v>
      </c>
      <c r="B224" s="51" t="s">
        <v>42</v>
      </c>
      <c r="C224" s="47" t="str">
        <f>VLOOKUP(PAA_4[[#This Row],[PROYECTO (formulado)2]],[2]PROYECTOS!$G$1:$L$32,6,0)</f>
        <v>SUBGERENCIA ADMINISTRATIVA Y FINANCIERA</v>
      </c>
      <c r="D224" s="47" t="str">
        <f>+IF(PAA_4[[#This Row],[UNIDAD DE CONTRATACION (formulado)]]="Subgerencia Administrativa y Financiera","FUNCIONAMIENTO","INVERSIÓN")</f>
        <v>FUNCIONAMIENTO</v>
      </c>
      <c r="E224" s="48" t="str">
        <f>VLOOKUP(Q224,[2]PROYECTOS!$G$1:$K$32,5,0)</f>
        <v>FUNCIONAMIENTO</v>
      </c>
      <c r="F224" s="48">
        <f>VLOOKUP(E224,[2]PROYECTOS!$K$1:$M$32,3,0)</f>
        <v>999999</v>
      </c>
      <c r="G224" s="49" t="s">
        <v>43</v>
      </c>
      <c r="H224" s="49">
        <f>VLOOKUP(Q224,[2]PROYECTOS!$V$1:$W$32,2,0)</f>
        <v>999999</v>
      </c>
      <c r="I224" s="50">
        <v>0</v>
      </c>
      <c r="J224" s="51" t="s">
        <v>1298</v>
      </c>
      <c r="K224" s="47" t="str">
        <f t="shared" ca="1" si="115"/>
        <v>CONTRATADO</v>
      </c>
      <c r="L224" s="61" t="s">
        <v>42</v>
      </c>
      <c r="M224" s="47" t="s">
        <v>42</v>
      </c>
      <c r="N224" s="52" t="s">
        <v>155</v>
      </c>
      <c r="O224" s="51" t="e">
        <f>VLOOKUP(N224,[2]!RUBROS[#All],3,0)</f>
        <v>#REF!</v>
      </c>
      <c r="P224" s="53" t="e">
        <f>VLOOKUP(N224,[2]!RUBROS[#All],2,0)</f>
        <v>#REF!</v>
      </c>
      <c r="Q224" s="47" t="str">
        <f t="shared" si="116"/>
        <v>00</v>
      </c>
      <c r="R224" s="47" t="str">
        <f t="shared" si="117"/>
        <v>4-205616</v>
      </c>
      <c r="S224" s="54" t="s">
        <v>42</v>
      </c>
      <c r="T224" s="59" t="s">
        <v>42</v>
      </c>
      <c r="U224" s="326" t="e">
        <f ca="1">_xlfn.XLOOKUP(PAA_4[[#This Row],[ITEM]],[2]Contrato!A:A,[2]Contrato!Q:Q,"",0)</f>
        <v>#NAME?</v>
      </c>
      <c r="V224" s="47" t="s">
        <v>95</v>
      </c>
      <c r="W224" s="47" t="s">
        <v>42</v>
      </c>
      <c r="X224" s="47" t="s">
        <v>42</v>
      </c>
      <c r="Y224" s="55" t="e">
        <f ca="1">_xlfn.XLOOKUP(PAA_4[[#This Row],[ITEM]],[2]Contrato!A:A,[2]Contrato!B:B,"",0)</f>
        <v>#NAME?</v>
      </c>
      <c r="Z224" s="47" t="e">
        <f ca="1">_xlfn.XLOOKUP(PAA_4[[#This Row],[ITEM]],[2]Contrato!A:A,[2]Contrato!G:G,"",0)</f>
        <v>#NAME?</v>
      </c>
      <c r="AA224" s="47" t="e">
        <f ca="1">_xlfn.XLOOKUP(PAA_4[[#This Row],[ITEM]],[2]Contrato!A:A,[2]Contrato!T:T,"",0)</f>
        <v>#NAME?</v>
      </c>
      <c r="AB224" s="55" t="e">
        <f ca="1">+MAX(PAA_4[[#This Row],[Comprometido Contrato]],PAA_4[[#This Row],[Comprometido Bolsa]])</f>
        <v>#NAME?</v>
      </c>
      <c r="AC224" s="55" t="str">
        <f t="shared" ca="1" si="118"/>
        <v/>
      </c>
      <c r="AD224" s="55" t="e">
        <f ca="1">IF(PAA_4[[#This Row],[ESTADO (formulado)]]="NO CONTRATADO",0,MAX(PAA_4[[#This Row],[Pago por Contrato]],PAA_4[[#This Row],[Pago por bolsa]]))</f>
        <v>#NAME?</v>
      </c>
      <c r="AE224" s="55" t="str">
        <f t="shared" ca="1" si="119"/>
        <v/>
      </c>
      <c r="AF224" s="47" t="e">
        <f t="shared" ca="1" si="120"/>
        <v>#NAME?</v>
      </c>
      <c r="AG224" s="47" t="str">
        <f t="shared" si="121"/>
        <v/>
      </c>
      <c r="AH224" s="54">
        <f>IF(Q224="22",IF(ISNUMBER(SEARCH("econ",PAA_4[[#This Row],[Actividad3]])),"Económico",IF(ISNUMBER(SEARCH("alim",PAA_4[[#This Row],[Actividad3]])),"Alimentación",IF(ISNUMBER(SEARCH("educ",PAA_4[[#This Row],[Actividad3]])),"Educativo","Técnico"))),0)</f>
        <v>0</v>
      </c>
      <c r="AI224" s="47" t="e" cm="1">
        <f t="array" aca="1" ref="AI224" ca="1">_xlfn.XLOOKUP(PAA_4[[#This Row],[RCP-RUBRO]],[2]!COMPROMISOS_2024[[#All],[concatenado]],[2]!COMPROMISOS_2024[[#All],[Total pagado]],"",0)</f>
        <v>#NAME?</v>
      </c>
      <c r="AJ224" s="56">
        <f>IF(PAA_4[[#This Row],[BOLSA]]=0,0,SUMIFS([2]!COMPROMISOS_2024[[#All],[Total pagado]],[2]!COMPROMISOS_2024[[#All],[Bolsa]],PAA_4[[#This Row],[BOLSA]],[2]!COMPROMISOS_2024[[#All],[rubro]],PAA_4[[#This Row],[RCP-RUBRO]]))</f>
        <v>0</v>
      </c>
      <c r="AK224" s="47" t="e" cm="1">
        <f t="array" aca="1" ref="AK224" ca="1">_xlfn.XLOOKUP(PAA_4[[#This Row],[RCP-RUBRO]],[2]!COMPROMISOS_2024[[#All],[concatenado]],[2]!COMPROMISOS_2024[[#All],[Total Comprometido]],"",0)</f>
        <v>#NAME?</v>
      </c>
      <c r="AL224" s="47">
        <f>IF(PAA_4[[#This Row],[BOLSA]]=0,0,SUMIFS([2]!COMPROMISOS_2024[[#All],[Total Comprometido]],[2]!COMPROMISOS_2024[[#All],[Bolsa]],PAA_4[[#This Row],[BOLSA]],[2]!COMPROMISOS_2024[[#All],[concatenado]],PAA_4[[#This Row],[RCP-RUBRO]]))</f>
        <v>0</v>
      </c>
    </row>
    <row r="225" spans="1:38" s="19" customFormat="1" ht="31.5" customHeight="1">
      <c r="A225" s="47">
        <v>985</v>
      </c>
      <c r="B225" s="51">
        <v>80111600</v>
      </c>
      <c r="C225" s="47" t="str">
        <f>VLOOKUP(PAA_4[[#This Row],[PROYECTO (formulado)2]],[2]PROYECTOS!$G$1:$L$32,6,0)</f>
        <v>SUBGERENCIA ADMINISTRATIVA Y FINANCIERA</v>
      </c>
      <c r="D225" s="47" t="str">
        <f>+IF(PAA_4[[#This Row],[UNIDAD DE CONTRATACION (formulado)]]="Subgerencia Administrativa y Financiera","FUNCIONAMIENTO","INVERSIÓN")</f>
        <v>FUNCIONAMIENTO</v>
      </c>
      <c r="E225" s="48" t="str">
        <f>VLOOKUP(Q225,[2]PROYECTOS!$G$1:$K$32,5,0)</f>
        <v>FUNCIONAMIENTO</v>
      </c>
      <c r="F225" s="48">
        <f>VLOOKUP(E225,[2]PROYECTOS!$K$1:$M$32,3,0)</f>
        <v>999999</v>
      </c>
      <c r="G225" s="49" t="s">
        <v>43</v>
      </c>
      <c r="H225" s="49">
        <f>VLOOKUP(Q225,[2]PROYECTOS!$V$1:$W$32,2,0)</f>
        <v>999999</v>
      </c>
      <c r="I225" s="50">
        <f>14871384-225354-563309</f>
        <v>14082721</v>
      </c>
      <c r="J225" s="51" t="s">
        <v>1349</v>
      </c>
      <c r="K225" s="47" t="str">
        <f t="shared" ca="1" si="115"/>
        <v>CONTRATADO</v>
      </c>
      <c r="L225" s="61" t="s">
        <v>94</v>
      </c>
      <c r="M225" s="47" t="s">
        <v>1297</v>
      </c>
      <c r="N225" s="52" t="s">
        <v>155</v>
      </c>
      <c r="O225" s="51" t="e">
        <f>VLOOKUP(N225,[2]!RUBROS[#All],3,0)</f>
        <v>#REF!</v>
      </c>
      <c r="P225" s="53" t="e">
        <f>VLOOKUP(N225,[2]!RUBROS[#All],2,0)</f>
        <v>#REF!</v>
      </c>
      <c r="Q225" s="47" t="str">
        <f t="shared" si="116"/>
        <v>00</v>
      </c>
      <c r="R225" s="47" t="str">
        <f t="shared" si="117"/>
        <v>4-205616</v>
      </c>
      <c r="S225" s="54">
        <v>132</v>
      </c>
      <c r="T225" s="59" t="s">
        <v>120</v>
      </c>
      <c r="U225" s="326" t="e">
        <f ca="1">_xlfn.XLOOKUP(PAA_4[[#This Row],[ITEM]],[2]Contrato!A:A,[2]Contrato!Q:Q,"",0)</f>
        <v>#NAME?</v>
      </c>
      <c r="V225" s="47" t="s">
        <v>47</v>
      </c>
      <c r="W225" s="47" t="s">
        <v>194</v>
      </c>
      <c r="X225" s="47" t="s">
        <v>194</v>
      </c>
      <c r="Y225" s="55" t="e">
        <f ca="1">_xlfn.XLOOKUP(PAA_4[[#This Row],[ITEM]],[2]Contrato!A:A,[2]Contrato!B:B,"",0)</f>
        <v>#NAME?</v>
      </c>
      <c r="Z225" s="47" t="e">
        <f ca="1">_xlfn.XLOOKUP(PAA_4[[#This Row],[ITEM]],[2]Contrato!A:A,[2]Contrato!G:G,"",0)</f>
        <v>#NAME?</v>
      </c>
      <c r="AA225" s="47" t="e">
        <f ca="1">_xlfn.XLOOKUP(PAA_4[[#This Row],[ITEM]],[2]Contrato!A:A,[2]Contrato!T:T,"",0)</f>
        <v>#NAME?</v>
      </c>
      <c r="AB225" s="55" t="e">
        <f ca="1">+MAX(PAA_4[[#This Row],[Comprometido Contrato]],PAA_4[[#This Row],[Comprometido Bolsa]])</f>
        <v>#NAME?</v>
      </c>
      <c r="AC225" s="55" t="str">
        <f t="shared" ca="1" si="118"/>
        <v/>
      </c>
      <c r="AD225" s="55" t="e">
        <f ca="1">IF(PAA_4[[#This Row],[ESTADO (formulado)]]="NO CONTRATADO",0,MAX(PAA_4[[#This Row],[Pago por Contrato]],PAA_4[[#This Row],[Pago por bolsa]]))</f>
        <v>#NAME?</v>
      </c>
      <c r="AE225" s="55" t="str">
        <f t="shared" ca="1" si="119"/>
        <v/>
      </c>
      <c r="AF225" s="47" t="e">
        <f t="shared" ca="1" si="120"/>
        <v>#NAME?</v>
      </c>
      <c r="AG225" s="47" t="str">
        <f t="shared" si="121"/>
        <v/>
      </c>
      <c r="AH225" s="54">
        <f>IF(Q225="22",IF(ISNUMBER(SEARCH("econ",PAA_4[[#This Row],[Actividad3]])),"Económico",IF(ISNUMBER(SEARCH("alim",PAA_4[[#This Row],[Actividad3]])),"Alimentación",IF(ISNUMBER(SEARCH("educ",PAA_4[[#This Row],[Actividad3]])),"Educativo","Técnico"))),0)</f>
        <v>0</v>
      </c>
      <c r="AI225" s="47" t="e" cm="1">
        <f t="array" aca="1" ref="AI225" ca="1">_xlfn.XLOOKUP(PAA_4[[#This Row],[RCP-RUBRO]],[2]!COMPROMISOS_2024[[#All],[concatenado]],[2]!COMPROMISOS_2024[[#All],[Total pagado]],"",0)</f>
        <v>#NAME?</v>
      </c>
      <c r="AJ225" s="56">
        <f>IF(PAA_4[[#This Row],[BOLSA]]=0,0,SUMIFS([2]!COMPROMISOS_2024[[#All],[Total pagado]],[2]!COMPROMISOS_2024[[#All],[Bolsa]],PAA_4[[#This Row],[BOLSA]],[2]!COMPROMISOS_2024[[#All],[rubro]],PAA_4[[#This Row],[RCP-RUBRO]]))</f>
        <v>0</v>
      </c>
      <c r="AK225" s="47" t="e" cm="1">
        <f t="array" aca="1" ref="AK225" ca="1">_xlfn.XLOOKUP(PAA_4[[#This Row],[RCP-RUBRO]],[2]!COMPROMISOS_2024[[#All],[concatenado]],[2]!COMPROMISOS_2024[[#All],[Total Comprometido]],"",0)</f>
        <v>#NAME?</v>
      </c>
      <c r="AL225" s="47">
        <f>IF(PAA_4[[#This Row],[BOLSA]]=0,0,SUMIFS([2]!COMPROMISOS_2024[[#All],[Total Comprometido]],[2]!COMPROMISOS_2024[[#All],[Bolsa]],PAA_4[[#This Row],[BOLSA]],[2]!COMPROMISOS_2024[[#All],[concatenado]],PAA_4[[#This Row],[RCP-RUBRO]]))</f>
        <v>0</v>
      </c>
    </row>
    <row r="226" spans="1:38" s="19" customFormat="1" ht="31.5" customHeight="1">
      <c r="A226" s="47">
        <v>986</v>
      </c>
      <c r="B226" s="51">
        <v>80161500</v>
      </c>
      <c r="C226" s="47" t="str">
        <f>VLOOKUP(PAA_4[[#This Row],[PROYECTO (formulado)2]],[2]PROYECTOS!$G$1:$L$32,6,0)</f>
        <v>SUBGERENCIA ADMINISTRATIVA Y FINANCIERA</v>
      </c>
      <c r="D226" s="47" t="str">
        <f>+IF(PAA_4[[#This Row],[UNIDAD DE CONTRATACION (formulado)]]="Subgerencia Administrativa y Financiera","FUNCIONAMIENTO","INVERSIÓN")</f>
        <v>FUNCIONAMIENTO</v>
      </c>
      <c r="E226" s="48" t="str">
        <f>VLOOKUP(Q226,[2]PROYECTOS!$G$1:$K$32,5,0)</f>
        <v>FUNCIONAMIENTO</v>
      </c>
      <c r="F226" s="48">
        <f>VLOOKUP(E226,[2]PROYECTOS!$K$1:$M$32,3,0)</f>
        <v>999999</v>
      </c>
      <c r="G226" s="49" t="s">
        <v>43</v>
      </c>
      <c r="H226" s="49">
        <f>VLOOKUP(Q226,[2]PROYECTOS!$V$1:$W$32,2,0)</f>
        <v>999999</v>
      </c>
      <c r="I226" s="50">
        <f>44891860-690653</f>
        <v>44201207</v>
      </c>
      <c r="J226" s="51" t="s">
        <v>1394</v>
      </c>
      <c r="K226" s="47" t="str">
        <f t="shared" ca="1" si="115"/>
        <v>CONTRATADO</v>
      </c>
      <c r="L226" s="61" t="s">
        <v>94</v>
      </c>
      <c r="M226" s="47" t="s">
        <v>1297</v>
      </c>
      <c r="N226" s="52" t="s">
        <v>155</v>
      </c>
      <c r="O226" s="51" t="e">
        <f>VLOOKUP(N226,[2]!RUBROS[#All],3,0)</f>
        <v>#REF!</v>
      </c>
      <c r="P226" s="53" t="e">
        <f>VLOOKUP(N226,[2]!RUBROS[#All],2,0)</f>
        <v>#REF!</v>
      </c>
      <c r="Q226" s="47" t="str">
        <f t="shared" si="116"/>
        <v>00</v>
      </c>
      <c r="R226" s="47" t="str">
        <f t="shared" si="117"/>
        <v>4-205616</v>
      </c>
      <c r="S226" s="54">
        <v>130</v>
      </c>
      <c r="T226" s="59" t="s">
        <v>120</v>
      </c>
      <c r="U226" s="326" t="e">
        <f ca="1">_xlfn.XLOOKUP(PAA_4[[#This Row],[ITEM]],[2]Contrato!A:A,[2]Contrato!Q:Q,"",0)</f>
        <v>#NAME?</v>
      </c>
      <c r="V226" s="47" t="s">
        <v>47</v>
      </c>
      <c r="W226" s="47" t="s">
        <v>194</v>
      </c>
      <c r="X226" s="47" t="s">
        <v>194</v>
      </c>
      <c r="Y226" s="55" t="e">
        <f ca="1">_xlfn.XLOOKUP(PAA_4[[#This Row],[ITEM]],[2]Contrato!A:A,[2]Contrato!B:B,"",0)</f>
        <v>#NAME?</v>
      </c>
      <c r="Z226" s="47" t="e">
        <f ca="1">_xlfn.XLOOKUP(PAA_4[[#This Row],[ITEM]],[2]Contrato!A:A,[2]Contrato!G:G,"",0)</f>
        <v>#NAME?</v>
      </c>
      <c r="AA226" s="47" t="e">
        <f ca="1">_xlfn.XLOOKUP(PAA_4[[#This Row],[ITEM]],[2]Contrato!A:A,[2]Contrato!T:T,"",0)</f>
        <v>#NAME?</v>
      </c>
      <c r="AB226" s="55" t="e">
        <f ca="1">+MAX(PAA_4[[#This Row],[Comprometido Contrato]],PAA_4[[#This Row],[Comprometido Bolsa]])</f>
        <v>#NAME?</v>
      </c>
      <c r="AC226" s="55" t="str">
        <f t="shared" ca="1" si="118"/>
        <v/>
      </c>
      <c r="AD226" s="55" t="e">
        <f ca="1">IF(PAA_4[[#This Row],[ESTADO (formulado)]]="NO CONTRATADO",0,MAX(PAA_4[[#This Row],[Pago por Contrato]],PAA_4[[#This Row],[Pago por bolsa]]))</f>
        <v>#NAME?</v>
      </c>
      <c r="AE226" s="55" t="str">
        <f t="shared" ca="1" si="119"/>
        <v/>
      </c>
      <c r="AF226" s="47" t="e">
        <f t="shared" ca="1" si="120"/>
        <v>#NAME?</v>
      </c>
      <c r="AG226" s="47" t="str">
        <f t="shared" si="121"/>
        <v/>
      </c>
      <c r="AH226" s="54">
        <f>IF(Q226="22",IF(ISNUMBER(SEARCH("econ",PAA_4[[#This Row],[Actividad3]])),"Económico",IF(ISNUMBER(SEARCH("alim",PAA_4[[#This Row],[Actividad3]])),"Alimentación",IF(ISNUMBER(SEARCH("educ",PAA_4[[#This Row],[Actividad3]])),"Educativo","Técnico"))),0)</f>
        <v>0</v>
      </c>
      <c r="AI226" s="47" t="e" cm="1">
        <f t="array" aca="1" ref="AI226" ca="1">_xlfn.XLOOKUP(PAA_4[[#This Row],[RCP-RUBRO]],[2]!COMPROMISOS_2024[[#All],[concatenado]],[2]!COMPROMISOS_2024[[#All],[Total pagado]],"",0)</f>
        <v>#NAME?</v>
      </c>
      <c r="AJ226" s="56">
        <f>IF(PAA_4[[#This Row],[BOLSA]]=0,0,SUMIFS([2]!COMPROMISOS_2024[[#All],[Total pagado]],[2]!COMPROMISOS_2024[[#All],[Bolsa]],PAA_4[[#This Row],[BOLSA]],[2]!COMPROMISOS_2024[[#All],[rubro]],PAA_4[[#This Row],[RCP-RUBRO]]))</f>
        <v>0</v>
      </c>
      <c r="AK226" s="47" t="e" cm="1">
        <f t="array" aca="1" ref="AK226" ca="1">_xlfn.XLOOKUP(PAA_4[[#This Row],[RCP-RUBRO]],[2]!COMPROMISOS_2024[[#All],[concatenado]],[2]!COMPROMISOS_2024[[#All],[Total Comprometido]],"",0)</f>
        <v>#NAME?</v>
      </c>
      <c r="AL226" s="47">
        <f>IF(PAA_4[[#This Row],[BOLSA]]=0,0,SUMIFS([2]!COMPROMISOS_2024[[#All],[Total Comprometido]],[2]!COMPROMISOS_2024[[#All],[Bolsa]],PAA_4[[#This Row],[BOLSA]],[2]!COMPROMISOS_2024[[#All],[concatenado]],PAA_4[[#This Row],[RCP-RUBRO]]))</f>
        <v>0</v>
      </c>
    </row>
    <row r="227" spans="1:38" s="19" customFormat="1" ht="31.5" customHeight="1">
      <c r="A227" s="47">
        <v>987</v>
      </c>
      <c r="B227" s="51">
        <v>80161500</v>
      </c>
      <c r="C227" s="47" t="str">
        <f>VLOOKUP(PAA_4[[#This Row],[PROYECTO (formulado)2]],[2]PROYECTOS!$G$1:$L$32,6,0)</f>
        <v>SUBGERENCIA ADMINISTRATIVA Y FINANCIERA</v>
      </c>
      <c r="D227" s="47" t="str">
        <f>+IF(PAA_4[[#This Row],[UNIDAD DE CONTRATACION (formulado)]]="Subgerencia Administrativa y Financiera","FUNCIONAMIENTO","INVERSIÓN")</f>
        <v>FUNCIONAMIENTO</v>
      </c>
      <c r="E227" s="48" t="str">
        <f>VLOOKUP(Q227,[2]PROYECTOS!$G$1:$K$32,5,0)</f>
        <v>FUNCIONAMIENTO</v>
      </c>
      <c r="F227" s="48">
        <f>VLOOKUP(E227,[2]PROYECTOS!$K$1:$M$32,3,0)</f>
        <v>999999</v>
      </c>
      <c r="G227" s="49" t="s">
        <v>43</v>
      </c>
      <c r="H227" s="49">
        <f>VLOOKUP(Q227,[2]PROYECTOS!$V$1:$W$32,2,0)</f>
        <v>999999</v>
      </c>
      <c r="I227" s="50">
        <f>38945125-311561</f>
        <v>38633564</v>
      </c>
      <c r="J227" s="51" t="s">
        <v>1394</v>
      </c>
      <c r="K227" s="47" t="str">
        <f t="shared" ca="1" si="115"/>
        <v>CONTRATADO</v>
      </c>
      <c r="L227" s="61" t="s">
        <v>94</v>
      </c>
      <c r="M227" s="47" t="s">
        <v>1297</v>
      </c>
      <c r="N227" s="52" t="s">
        <v>155</v>
      </c>
      <c r="O227" s="51" t="e">
        <f>VLOOKUP(N227,[2]!RUBROS[#All],3,0)</f>
        <v>#REF!</v>
      </c>
      <c r="P227" s="53" t="e">
        <f>VLOOKUP(N227,[2]!RUBROS[#All],2,0)</f>
        <v>#REF!</v>
      </c>
      <c r="Q227" s="47" t="str">
        <f t="shared" si="116"/>
        <v>00</v>
      </c>
      <c r="R227" s="47" t="str">
        <f t="shared" si="117"/>
        <v>4-205616</v>
      </c>
      <c r="S227" s="54">
        <v>125</v>
      </c>
      <c r="T227" s="59" t="s">
        <v>120</v>
      </c>
      <c r="U227" s="326" t="e">
        <f ca="1">_xlfn.XLOOKUP(PAA_4[[#This Row],[ITEM]],[2]Contrato!A:A,[2]Contrato!Q:Q,"",0)</f>
        <v>#NAME?</v>
      </c>
      <c r="V227" s="47" t="s">
        <v>47</v>
      </c>
      <c r="W227" s="47" t="s">
        <v>194</v>
      </c>
      <c r="X227" s="47" t="s">
        <v>194</v>
      </c>
      <c r="Y227" s="55" t="e">
        <f ca="1">_xlfn.XLOOKUP(PAA_4[[#This Row],[ITEM]],[2]Contrato!A:A,[2]Contrato!B:B,"",0)</f>
        <v>#NAME?</v>
      </c>
      <c r="Z227" s="47" t="e">
        <f ca="1">_xlfn.XLOOKUP(PAA_4[[#This Row],[ITEM]],[2]Contrato!A:A,[2]Contrato!G:G,"",0)</f>
        <v>#NAME?</v>
      </c>
      <c r="AA227" s="47" t="e">
        <f ca="1">_xlfn.XLOOKUP(PAA_4[[#This Row],[ITEM]],[2]Contrato!A:A,[2]Contrato!T:T,"",0)</f>
        <v>#NAME?</v>
      </c>
      <c r="AB227" s="55" t="e">
        <f ca="1">+MAX(PAA_4[[#This Row],[Comprometido Contrato]],PAA_4[[#This Row],[Comprometido Bolsa]])</f>
        <v>#NAME?</v>
      </c>
      <c r="AC227" s="55" t="str">
        <f t="shared" ca="1" si="118"/>
        <v/>
      </c>
      <c r="AD227" s="55" t="e">
        <f ca="1">IF(PAA_4[[#This Row],[ESTADO (formulado)]]="NO CONTRATADO",0,MAX(PAA_4[[#This Row],[Pago por Contrato]],PAA_4[[#This Row],[Pago por bolsa]]))</f>
        <v>#NAME?</v>
      </c>
      <c r="AE227" s="55" t="str">
        <f t="shared" ca="1" si="119"/>
        <v/>
      </c>
      <c r="AF227" s="47" t="e">
        <f t="shared" ca="1" si="120"/>
        <v>#NAME?</v>
      </c>
      <c r="AG227" s="47" t="str">
        <f t="shared" si="121"/>
        <v/>
      </c>
      <c r="AH227" s="54">
        <f>IF(Q227="22",IF(ISNUMBER(SEARCH("econ",PAA_4[[#This Row],[Actividad3]])),"Económico",IF(ISNUMBER(SEARCH("alim",PAA_4[[#This Row],[Actividad3]])),"Alimentación",IF(ISNUMBER(SEARCH("educ",PAA_4[[#This Row],[Actividad3]])),"Educativo","Técnico"))),0)</f>
        <v>0</v>
      </c>
      <c r="AI227" s="47" t="e" cm="1">
        <f t="array" aca="1" ref="AI227" ca="1">_xlfn.XLOOKUP(PAA_4[[#This Row],[RCP-RUBRO]],[2]!COMPROMISOS_2024[[#All],[concatenado]],[2]!COMPROMISOS_2024[[#All],[Total pagado]],"",0)</f>
        <v>#NAME?</v>
      </c>
      <c r="AJ227" s="56">
        <f>IF(PAA_4[[#This Row],[BOLSA]]=0,0,SUMIFS([2]!COMPROMISOS_2024[[#All],[Total pagado]],[2]!COMPROMISOS_2024[[#All],[Bolsa]],PAA_4[[#This Row],[BOLSA]],[2]!COMPROMISOS_2024[[#All],[rubro]],PAA_4[[#This Row],[RCP-RUBRO]]))</f>
        <v>0</v>
      </c>
      <c r="AK227" s="47" t="e" cm="1">
        <f t="array" aca="1" ref="AK227" ca="1">_xlfn.XLOOKUP(PAA_4[[#This Row],[RCP-RUBRO]],[2]!COMPROMISOS_2024[[#All],[concatenado]],[2]!COMPROMISOS_2024[[#All],[Total Comprometido]],"",0)</f>
        <v>#NAME?</v>
      </c>
      <c r="AL227" s="47">
        <f>IF(PAA_4[[#This Row],[BOLSA]]=0,0,SUMIFS([2]!COMPROMISOS_2024[[#All],[Total Comprometido]],[2]!COMPROMISOS_2024[[#All],[Bolsa]],PAA_4[[#This Row],[BOLSA]],[2]!COMPROMISOS_2024[[#All],[concatenado]],PAA_4[[#This Row],[RCP-RUBRO]]))</f>
        <v>0</v>
      </c>
    </row>
    <row r="228" spans="1:38" s="19" customFormat="1" ht="31.5" customHeight="1">
      <c r="A228" s="47">
        <v>988</v>
      </c>
      <c r="B228" s="51">
        <v>80161500</v>
      </c>
      <c r="C228" s="47" t="str">
        <f>VLOOKUP(PAA_4[[#This Row],[PROYECTO (formulado)2]],[2]PROYECTOS!$G$1:$L$32,6,0)</f>
        <v>SUBGERENCIA ADMINISTRATIVA Y FINANCIERA</v>
      </c>
      <c r="D228" s="47" t="str">
        <f>+IF(PAA_4[[#This Row],[UNIDAD DE CONTRATACION (formulado)]]="Subgerencia Administrativa y Financiera","FUNCIONAMIENTO","INVERSIÓN")</f>
        <v>FUNCIONAMIENTO</v>
      </c>
      <c r="E228" s="48" t="str">
        <f>VLOOKUP(Q228,[2]PROYECTOS!$G$1:$K$32,5,0)</f>
        <v>FUNCIONAMIENTO</v>
      </c>
      <c r="F228" s="48">
        <f>VLOOKUP(E228,[2]PROYECTOS!$K$1:$M$32,3,0)</f>
        <v>999999</v>
      </c>
      <c r="G228" s="49" t="s">
        <v>43</v>
      </c>
      <c r="H228" s="49">
        <f>VLOOKUP(Q228,[2]PROYECTOS!$V$1:$W$32,2,0)</f>
        <v>999999</v>
      </c>
      <c r="I228" s="50">
        <f>16608625-37</f>
        <v>16608588</v>
      </c>
      <c r="J228" s="51" t="s">
        <v>1395</v>
      </c>
      <c r="K228" s="47" t="str">
        <f t="shared" ca="1" si="115"/>
        <v>CONTRATADO</v>
      </c>
      <c r="L228" s="61" t="s">
        <v>94</v>
      </c>
      <c r="M228" s="47" t="s">
        <v>1297</v>
      </c>
      <c r="N228" s="52" t="s">
        <v>155</v>
      </c>
      <c r="O228" s="51" t="e">
        <f>VLOOKUP(N228,[2]!RUBROS[#All],3,0)</f>
        <v>#REF!</v>
      </c>
      <c r="P228" s="53" t="e">
        <f>VLOOKUP(N228,[2]!RUBROS[#All],2,0)</f>
        <v>#REF!</v>
      </c>
      <c r="Q228" s="47" t="str">
        <f t="shared" si="116"/>
        <v>00</v>
      </c>
      <c r="R228" s="47" t="str">
        <f t="shared" si="117"/>
        <v>4-205616</v>
      </c>
      <c r="S228" s="54">
        <v>125</v>
      </c>
      <c r="T228" s="59" t="s">
        <v>120</v>
      </c>
      <c r="U228" s="326" t="e">
        <f ca="1">_xlfn.XLOOKUP(PAA_4[[#This Row],[ITEM]],[2]Contrato!A:A,[2]Contrato!Q:Q,"",0)</f>
        <v>#NAME?</v>
      </c>
      <c r="V228" s="47" t="s">
        <v>47</v>
      </c>
      <c r="W228" s="47" t="s">
        <v>194</v>
      </c>
      <c r="X228" s="47" t="s">
        <v>194</v>
      </c>
      <c r="Y228" s="55" t="e">
        <f ca="1">_xlfn.XLOOKUP(PAA_4[[#This Row],[ITEM]],[2]Contrato!A:A,[2]Contrato!B:B,"",0)</f>
        <v>#NAME?</v>
      </c>
      <c r="Z228" s="47" t="e">
        <f ca="1">_xlfn.XLOOKUP(PAA_4[[#This Row],[ITEM]],[2]Contrato!A:A,[2]Contrato!G:G,"",0)</f>
        <v>#NAME?</v>
      </c>
      <c r="AA228" s="47" t="e">
        <f ca="1">_xlfn.XLOOKUP(PAA_4[[#This Row],[ITEM]],[2]Contrato!A:A,[2]Contrato!T:T,"",0)</f>
        <v>#NAME?</v>
      </c>
      <c r="AB228" s="55" t="e">
        <f ca="1">+MAX(PAA_4[[#This Row],[Comprometido Contrato]],PAA_4[[#This Row],[Comprometido Bolsa]])</f>
        <v>#NAME?</v>
      </c>
      <c r="AC228" s="55" t="str">
        <f t="shared" ca="1" si="118"/>
        <v/>
      </c>
      <c r="AD228" s="55" t="e">
        <f ca="1">IF(PAA_4[[#This Row],[ESTADO (formulado)]]="NO CONTRATADO",0,MAX(PAA_4[[#This Row],[Pago por Contrato]],PAA_4[[#This Row],[Pago por bolsa]]))</f>
        <v>#NAME?</v>
      </c>
      <c r="AE228" s="55" t="str">
        <f t="shared" ca="1" si="119"/>
        <v/>
      </c>
      <c r="AF228" s="47" t="e">
        <f t="shared" ca="1" si="120"/>
        <v>#NAME?</v>
      </c>
      <c r="AG228" s="47" t="str">
        <f t="shared" si="121"/>
        <v/>
      </c>
      <c r="AH228" s="54">
        <f>IF(Q228="22",IF(ISNUMBER(SEARCH("econ",PAA_4[[#This Row],[Actividad3]])),"Económico",IF(ISNUMBER(SEARCH("alim",PAA_4[[#This Row],[Actividad3]])),"Alimentación",IF(ISNUMBER(SEARCH("educ",PAA_4[[#This Row],[Actividad3]])),"Educativo","Técnico"))),0)</f>
        <v>0</v>
      </c>
      <c r="AI228" s="47" t="e" cm="1">
        <f t="array" aca="1" ref="AI228" ca="1">_xlfn.XLOOKUP(PAA_4[[#This Row],[RCP-RUBRO]],[2]!COMPROMISOS_2024[[#All],[concatenado]],[2]!COMPROMISOS_2024[[#All],[Total pagado]],"",0)</f>
        <v>#NAME?</v>
      </c>
      <c r="AJ228" s="56">
        <f>IF(PAA_4[[#This Row],[BOLSA]]=0,0,SUMIFS([2]!COMPROMISOS_2024[[#All],[Total pagado]],[2]!COMPROMISOS_2024[[#All],[Bolsa]],PAA_4[[#This Row],[BOLSA]],[2]!COMPROMISOS_2024[[#All],[rubro]],PAA_4[[#This Row],[RCP-RUBRO]]))</f>
        <v>0</v>
      </c>
      <c r="AK228" s="47" t="e" cm="1">
        <f t="array" aca="1" ref="AK228" ca="1">_xlfn.XLOOKUP(PAA_4[[#This Row],[RCP-RUBRO]],[2]!COMPROMISOS_2024[[#All],[concatenado]],[2]!COMPROMISOS_2024[[#All],[Total Comprometido]],"",0)</f>
        <v>#NAME?</v>
      </c>
      <c r="AL228" s="47">
        <f>IF(PAA_4[[#This Row],[BOLSA]]=0,0,SUMIFS([2]!COMPROMISOS_2024[[#All],[Total Comprometido]],[2]!COMPROMISOS_2024[[#All],[Bolsa]],PAA_4[[#This Row],[BOLSA]],[2]!COMPROMISOS_2024[[#All],[concatenado]],PAA_4[[#This Row],[RCP-RUBRO]]))</f>
        <v>0</v>
      </c>
    </row>
    <row r="229" spans="1:38" s="19" customFormat="1" ht="31.5" customHeight="1">
      <c r="A229" s="47" t="s">
        <v>82</v>
      </c>
      <c r="B229" s="51" t="s">
        <v>42</v>
      </c>
      <c r="C229" s="47" t="str">
        <f>VLOOKUP(PAA_4[[#This Row],[PROYECTO (formulado)2]],[2]PROYECTOS!$G$1:$L$32,6,0)</f>
        <v>SUBGERENCIA ADMINISTRATIVA Y FINANCIERA</v>
      </c>
      <c r="D229" s="47" t="str">
        <f>+IF(PAA_4[[#This Row],[UNIDAD DE CONTRATACION (formulado)]]="Subgerencia Administrativa y Financiera","FUNCIONAMIENTO","INVERSIÓN")</f>
        <v>FUNCIONAMIENTO</v>
      </c>
      <c r="E229" s="48" t="str">
        <f>VLOOKUP(Q229,[2]PROYECTOS!$G$1:$K$32,5,0)</f>
        <v>FUNCIONAMIENTO</v>
      </c>
      <c r="F229" s="48">
        <f>VLOOKUP(E229,[2]PROYECTOS!$K$1:$M$32,3,0)</f>
        <v>999999</v>
      </c>
      <c r="G229" s="49" t="s">
        <v>43</v>
      </c>
      <c r="H229" s="49">
        <f>VLOOKUP(Q229,[2]PROYECTOS!$V$1:$W$32,2,0)</f>
        <v>999999</v>
      </c>
      <c r="I229" s="50">
        <v>0</v>
      </c>
      <c r="J229" s="51" t="s">
        <v>1309</v>
      </c>
      <c r="K229" s="47" t="str">
        <f t="shared" ca="1" si="115"/>
        <v>CONTRATADO</v>
      </c>
      <c r="L229" s="61" t="s">
        <v>42</v>
      </c>
      <c r="M229" s="47" t="s">
        <v>42</v>
      </c>
      <c r="N229" s="52" t="s">
        <v>155</v>
      </c>
      <c r="O229" s="51" t="e">
        <f>VLOOKUP(N229,[2]!RUBROS[#All],3,0)</f>
        <v>#REF!</v>
      </c>
      <c r="P229" s="53" t="e">
        <f>VLOOKUP(N229,[2]!RUBROS[#All],2,0)</f>
        <v>#REF!</v>
      </c>
      <c r="Q229" s="47" t="str">
        <f t="shared" si="116"/>
        <v>00</v>
      </c>
      <c r="R229" s="47" t="str">
        <f t="shared" si="117"/>
        <v>4-205616</v>
      </c>
      <c r="S229" s="54" t="s">
        <v>42</v>
      </c>
      <c r="T229" s="59" t="s">
        <v>42</v>
      </c>
      <c r="U229" s="326" t="e">
        <f ca="1">_xlfn.XLOOKUP(PAA_4[[#This Row],[ITEM]],[2]Contrato!A:A,[2]Contrato!Q:Q,"",0)</f>
        <v>#NAME?</v>
      </c>
      <c r="V229" s="47" t="s">
        <v>42</v>
      </c>
      <c r="W229" s="47" t="s">
        <v>42</v>
      </c>
      <c r="X229" s="47" t="s">
        <v>42</v>
      </c>
      <c r="Y229" s="55" t="e">
        <f ca="1">_xlfn.XLOOKUP(PAA_4[[#This Row],[ITEM]],[2]Contrato!A:A,[2]Contrato!B:B,"",0)</f>
        <v>#NAME?</v>
      </c>
      <c r="Z229" s="47" t="e">
        <f ca="1">_xlfn.XLOOKUP(PAA_4[[#This Row],[ITEM]],[2]Contrato!A:A,[2]Contrato!G:G,"",0)</f>
        <v>#NAME?</v>
      </c>
      <c r="AA229" s="47" t="e">
        <f ca="1">_xlfn.XLOOKUP(PAA_4[[#This Row],[ITEM]],[2]Contrato!A:A,[2]Contrato!T:T,"",0)</f>
        <v>#NAME?</v>
      </c>
      <c r="AB229" s="55" t="e">
        <f ca="1">+MAX(PAA_4[[#This Row],[Comprometido Contrato]],PAA_4[[#This Row],[Comprometido Bolsa]])</f>
        <v>#NAME?</v>
      </c>
      <c r="AC229" s="55" t="str">
        <f t="shared" ca="1" si="118"/>
        <v/>
      </c>
      <c r="AD229" s="55" t="e">
        <f ca="1">IF(PAA_4[[#This Row],[ESTADO (formulado)]]="NO CONTRATADO",0,MAX(PAA_4[[#This Row],[Pago por Contrato]],PAA_4[[#This Row],[Pago por bolsa]]))</f>
        <v>#NAME?</v>
      </c>
      <c r="AE229" s="55" t="str">
        <f t="shared" ca="1" si="119"/>
        <v/>
      </c>
      <c r="AF229" s="47" t="e">
        <f t="shared" ca="1" si="120"/>
        <v>#NAME?</v>
      </c>
      <c r="AG229" s="47" t="str">
        <f t="shared" si="121"/>
        <v/>
      </c>
      <c r="AH229" s="54">
        <f>IF(Q229="22",IF(ISNUMBER(SEARCH("econ",PAA_4[[#This Row],[Actividad3]])),"Económico",IF(ISNUMBER(SEARCH("alim",PAA_4[[#This Row],[Actividad3]])),"Alimentación",IF(ISNUMBER(SEARCH("educ",PAA_4[[#This Row],[Actividad3]])),"Educativo","Técnico"))),0)</f>
        <v>0</v>
      </c>
      <c r="AI229" s="47" t="e" cm="1">
        <f t="array" aca="1" ref="AI229" ca="1">_xlfn.XLOOKUP(PAA_4[[#This Row],[RCP-RUBRO]],[2]!COMPROMISOS_2024[[#All],[concatenado]],[2]!COMPROMISOS_2024[[#All],[Total pagado]],"",0)</f>
        <v>#NAME?</v>
      </c>
      <c r="AJ229" s="56">
        <f>IF(PAA_4[[#This Row],[BOLSA]]=0,0,SUMIFS([2]!COMPROMISOS_2024[[#All],[Total pagado]],[2]!COMPROMISOS_2024[[#All],[Bolsa]],PAA_4[[#This Row],[BOLSA]],[2]!COMPROMISOS_2024[[#All],[rubro]],PAA_4[[#This Row],[RCP-RUBRO]]))</f>
        <v>0</v>
      </c>
      <c r="AK229" s="47" t="e" cm="1">
        <f t="array" aca="1" ref="AK229" ca="1">_xlfn.XLOOKUP(PAA_4[[#This Row],[RCP-RUBRO]],[2]!COMPROMISOS_2024[[#All],[concatenado]],[2]!COMPROMISOS_2024[[#All],[Total Comprometido]],"",0)</f>
        <v>#NAME?</v>
      </c>
      <c r="AL229" s="47">
        <f>IF(PAA_4[[#This Row],[BOLSA]]=0,0,SUMIFS([2]!COMPROMISOS_2024[[#All],[Total Comprometido]],[2]!COMPROMISOS_2024[[#All],[Bolsa]],PAA_4[[#This Row],[BOLSA]],[2]!COMPROMISOS_2024[[#All],[concatenado]],PAA_4[[#This Row],[RCP-RUBRO]]))</f>
        <v>0</v>
      </c>
    </row>
    <row r="230" spans="1:38" s="19" customFormat="1" ht="31.5" customHeight="1">
      <c r="A230" s="47">
        <v>989</v>
      </c>
      <c r="B230" s="51">
        <v>80161500</v>
      </c>
      <c r="C230" s="47" t="str">
        <f>VLOOKUP(PAA_4[[#This Row],[PROYECTO (formulado)2]],[2]PROYECTOS!$G$1:$L$32,6,0)</f>
        <v>SUBGERENCIA ADMINISTRATIVA Y FINANCIERA</v>
      </c>
      <c r="D230" s="47" t="str">
        <f>+IF(PAA_4[[#This Row],[UNIDAD DE CONTRATACION (formulado)]]="Subgerencia Administrativa y Financiera","FUNCIONAMIENTO","INVERSIÓN")</f>
        <v>FUNCIONAMIENTO</v>
      </c>
      <c r="E230" s="48" t="str">
        <f>VLOOKUP(Q230,[2]PROYECTOS!$G$1:$K$32,5,0)</f>
        <v>FUNCIONAMIENTO</v>
      </c>
      <c r="F230" s="48">
        <f>VLOOKUP(E230,[2]PROYECTOS!$K$1:$M$32,3,0)</f>
        <v>999999</v>
      </c>
      <c r="G230" s="49" t="s">
        <v>43</v>
      </c>
      <c r="H230" s="49">
        <f>VLOOKUP(Q230,[2]PROYECTOS!$V$1:$W$32,2,0)</f>
        <v>999999</v>
      </c>
      <c r="I230" s="50">
        <f>13552638-132900-398605</f>
        <v>13021133</v>
      </c>
      <c r="J230" s="51" t="s">
        <v>1396</v>
      </c>
      <c r="K230" s="47" t="str">
        <f t="shared" ca="1" si="115"/>
        <v>CONTRATADO</v>
      </c>
      <c r="L230" s="61" t="s">
        <v>94</v>
      </c>
      <c r="M230" s="47" t="s">
        <v>1297</v>
      </c>
      <c r="N230" s="52" t="s">
        <v>155</v>
      </c>
      <c r="O230" s="51" t="e">
        <f>VLOOKUP(N230,[2]!RUBROS[#All],3,0)</f>
        <v>#REF!</v>
      </c>
      <c r="P230" s="53" t="e">
        <f>VLOOKUP(N230,[2]!RUBROS[#All],2,0)</f>
        <v>#REF!</v>
      </c>
      <c r="Q230" s="47" t="str">
        <f t="shared" si="116"/>
        <v>00</v>
      </c>
      <c r="R230" s="47" t="str">
        <f t="shared" si="117"/>
        <v>4-205616</v>
      </c>
      <c r="S230" s="54">
        <v>102</v>
      </c>
      <c r="T230" s="59" t="s">
        <v>120</v>
      </c>
      <c r="U230" s="326" t="e">
        <f ca="1">_xlfn.XLOOKUP(PAA_4[[#This Row],[ITEM]],[2]Contrato!A:A,[2]Contrato!Q:Q,"",0)</f>
        <v>#NAME?</v>
      </c>
      <c r="V230" s="47" t="s">
        <v>47</v>
      </c>
      <c r="W230" s="47" t="s">
        <v>194</v>
      </c>
      <c r="X230" s="47" t="s">
        <v>203</v>
      </c>
      <c r="Y230" s="55" t="e">
        <f ca="1">_xlfn.XLOOKUP(PAA_4[[#This Row],[ITEM]],[2]Contrato!A:A,[2]Contrato!B:B,"",0)</f>
        <v>#NAME?</v>
      </c>
      <c r="Z230" s="47" t="e">
        <f ca="1">_xlfn.XLOOKUP(PAA_4[[#This Row],[ITEM]],[2]Contrato!A:A,[2]Contrato!G:G,"",0)</f>
        <v>#NAME?</v>
      </c>
      <c r="AA230" s="47" t="e">
        <f ca="1">_xlfn.XLOOKUP(PAA_4[[#This Row],[ITEM]],[2]Contrato!A:A,[2]Contrato!T:T,"",0)</f>
        <v>#NAME?</v>
      </c>
      <c r="AB230" s="55" t="e">
        <f ca="1">+MAX(PAA_4[[#This Row],[Comprometido Contrato]],PAA_4[[#This Row],[Comprometido Bolsa]])</f>
        <v>#NAME?</v>
      </c>
      <c r="AC230" s="55" t="str">
        <f t="shared" ca="1" si="118"/>
        <v/>
      </c>
      <c r="AD230" s="55" t="e">
        <f ca="1">IF(PAA_4[[#This Row],[ESTADO (formulado)]]="NO CONTRATADO",0,MAX(PAA_4[[#This Row],[Pago por Contrato]],PAA_4[[#This Row],[Pago por bolsa]]))</f>
        <v>#NAME?</v>
      </c>
      <c r="AE230" s="55" t="str">
        <f t="shared" ca="1" si="119"/>
        <v/>
      </c>
      <c r="AF230" s="47" t="e">
        <f t="shared" ca="1" si="120"/>
        <v>#NAME?</v>
      </c>
      <c r="AG230" s="47" t="str">
        <f t="shared" si="121"/>
        <v/>
      </c>
      <c r="AH230" s="54">
        <f>IF(Q230="22",IF(ISNUMBER(SEARCH("econ",PAA_4[[#This Row],[Actividad3]])),"Económico",IF(ISNUMBER(SEARCH("alim",PAA_4[[#This Row],[Actividad3]])),"Alimentación",IF(ISNUMBER(SEARCH("educ",PAA_4[[#This Row],[Actividad3]])),"Educativo","Técnico"))),0)</f>
        <v>0</v>
      </c>
      <c r="AI230" s="47" t="e" cm="1">
        <f t="array" aca="1" ref="AI230" ca="1">_xlfn.XLOOKUP(PAA_4[[#This Row],[RCP-RUBRO]],[2]!COMPROMISOS_2024[[#All],[concatenado]],[2]!COMPROMISOS_2024[[#All],[Total pagado]],"",0)</f>
        <v>#NAME?</v>
      </c>
      <c r="AJ230" s="56">
        <f>IF(PAA_4[[#This Row],[BOLSA]]=0,0,SUMIFS([2]!COMPROMISOS_2024[[#All],[Total pagado]],[2]!COMPROMISOS_2024[[#All],[Bolsa]],PAA_4[[#This Row],[BOLSA]],[2]!COMPROMISOS_2024[[#All],[rubro]],PAA_4[[#This Row],[RCP-RUBRO]]))</f>
        <v>0</v>
      </c>
      <c r="AK230" s="47" t="e" cm="1">
        <f t="array" aca="1" ref="AK230" ca="1">_xlfn.XLOOKUP(PAA_4[[#This Row],[RCP-RUBRO]],[2]!COMPROMISOS_2024[[#All],[concatenado]],[2]!COMPROMISOS_2024[[#All],[Total Comprometido]],"",0)</f>
        <v>#NAME?</v>
      </c>
      <c r="AL230" s="47">
        <f>IF(PAA_4[[#This Row],[BOLSA]]=0,0,SUMIFS([2]!COMPROMISOS_2024[[#All],[Total Comprometido]],[2]!COMPROMISOS_2024[[#All],[Bolsa]],PAA_4[[#This Row],[BOLSA]],[2]!COMPROMISOS_2024[[#All],[concatenado]],PAA_4[[#This Row],[RCP-RUBRO]]))</f>
        <v>0</v>
      </c>
    </row>
    <row r="231" spans="1:38" s="19" customFormat="1" ht="31.5" customHeight="1">
      <c r="A231" s="47" t="s">
        <v>82</v>
      </c>
      <c r="B231" s="51" t="s">
        <v>42</v>
      </c>
      <c r="C231" s="47" t="str">
        <f>VLOOKUP(PAA_4[[#This Row],[PROYECTO (formulado)2]],[2]PROYECTOS!$G$1:$L$32,6,0)</f>
        <v>SUBGERENCIA ADMINISTRATIVA Y FINANCIERA</v>
      </c>
      <c r="D231" s="47" t="str">
        <f>+IF(PAA_4[[#This Row],[UNIDAD DE CONTRATACION (formulado)]]="Subgerencia Administrativa y Financiera","FUNCIONAMIENTO","INVERSIÓN")</f>
        <v>FUNCIONAMIENTO</v>
      </c>
      <c r="E231" s="48" t="str">
        <f>VLOOKUP(Q231,[2]PROYECTOS!$G$1:$K$32,5,0)</f>
        <v>FUNCIONAMIENTO</v>
      </c>
      <c r="F231" s="48">
        <f>VLOOKUP(E231,[2]PROYECTOS!$K$1:$M$32,3,0)</f>
        <v>999999</v>
      </c>
      <c r="G231" s="49" t="s">
        <v>43</v>
      </c>
      <c r="H231" s="49">
        <f>VLOOKUP(Q231,[2]PROYECTOS!$V$1:$W$32,2,0)</f>
        <v>999999</v>
      </c>
      <c r="I231" s="50">
        <v>5000000</v>
      </c>
      <c r="J231" s="51" t="s">
        <v>1397</v>
      </c>
      <c r="K231" s="47" t="str">
        <f t="shared" ca="1" si="115"/>
        <v>CONTRATADO</v>
      </c>
      <c r="L231" s="61" t="s">
        <v>42</v>
      </c>
      <c r="M231" s="47" t="s">
        <v>42</v>
      </c>
      <c r="N231" s="52" t="s">
        <v>1381</v>
      </c>
      <c r="O231" s="51" t="e">
        <f>VLOOKUP(N231,[2]!RUBROS[#All],3,0)</f>
        <v>#REF!</v>
      </c>
      <c r="P231" s="53" t="e">
        <f>VLOOKUP(N231,[2]!RUBROS[#All],2,0)</f>
        <v>#REF!</v>
      </c>
      <c r="Q231" s="47" t="str">
        <f t="shared" si="116"/>
        <v>00</v>
      </c>
      <c r="R231" s="47" t="str">
        <f t="shared" si="117"/>
        <v>0-101024</v>
      </c>
      <c r="S231" s="54" t="s">
        <v>42</v>
      </c>
      <c r="T231" s="59" t="s">
        <v>42</v>
      </c>
      <c r="U231" s="326" t="e">
        <f ca="1">_xlfn.XLOOKUP(PAA_4[[#This Row],[ITEM]],[2]Contrato!A:A,[2]Contrato!Q:Q,"",0)</f>
        <v>#NAME?</v>
      </c>
      <c r="V231" s="47" t="s">
        <v>47</v>
      </c>
      <c r="W231" s="47" t="s">
        <v>203</v>
      </c>
      <c r="X231" s="47" t="s">
        <v>203</v>
      </c>
      <c r="Y231" s="55" t="e">
        <f ca="1">_xlfn.XLOOKUP(PAA_4[[#This Row],[ITEM]],[2]Contrato!A:A,[2]Contrato!B:B,"",0)</f>
        <v>#NAME?</v>
      </c>
      <c r="Z231" s="47" t="e">
        <f ca="1">_xlfn.XLOOKUP(PAA_4[[#This Row],[ITEM]],[2]Contrato!A:A,[2]Contrato!G:G,"",0)</f>
        <v>#NAME?</v>
      </c>
      <c r="AA231" s="47" t="e">
        <f ca="1">_xlfn.XLOOKUP(PAA_4[[#This Row],[ITEM]],[2]Contrato!A:A,[2]Contrato!T:T,"",0)</f>
        <v>#NAME?</v>
      </c>
      <c r="AB231" s="55" t="e">
        <f ca="1">+MAX(PAA_4[[#This Row],[Comprometido Contrato]],PAA_4[[#This Row],[Comprometido Bolsa]])</f>
        <v>#NAME?</v>
      </c>
      <c r="AC231" s="55" t="str">
        <f t="shared" ca="1" si="118"/>
        <v/>
      </c>
      <c r="AD231" s="55" t="e">
        <f ca="1">IF(PAA_4[[#This Row],[ESTADO (formulado)]]="NO CONTRATADO",0,MAX(PAA_4[[#This Row],[Pago por Contrato]],PAA_4[[#This Row],[Pago por bolsa]]))</f>
        <v>#NAME?</v>
      </c>
      <c r="AE231" s="55" t="str">
        <f t="shared" ca="1" si="119"/>
        <v/>
      </c>
      <c r="AF231" s="47" t="e">
        <f t="shared" ca="1" si="120"/>
        <v>#NAME?</v>
      </c>
      <c r="AG231" s="47" t="str">
        <f t="shared" si="121"/>
        <v/>
      </c>
      <c r="AH231" s="54">
        <f>IF(Q231="22",IF(ISNUMBER(SEARCH("econ",PAA_4[[#This Row],[Actividad3]])),"Económico",IF(ISNUMBER(SEARCH("alim",PAA_4[[#This Row],[Actividad3]])),"Alimentación",IF(ISNUMBER(SEARCH("educ",PAA_4[[#This Row],[Actividad3]])),"Educativo","Técnico"))),0)</f>
        <v>0</v>
      </c>
      <c r="AI231" s="47" t="e" cm="1">
        <f t="array" aca="1" ref="AI231" ca="1">_xlfn.XLOOKUP(PAA_4[[#This Row],[RCP-RUBRO]],[2]!COMPROMISOS_2024[[#All],[concatenado]],[2]!COMPROMISOS_2024[[#All],[Total pagado]],"",0)</f>
        <v>#NAME?</v>
      </c>
      <c r="AJ231" s="56">
        <f>IF(PAA_4[[#This Row],[BOLSA]]=0,0,SUMIFS([2]!COMPROMISOS_2024[[#All],[Total pagado]],[2]!COMPROMISOS_2024[[#All],[Bolsa]],PAA_4[[#This Row],[BOLSA]],[2]!COMPROMISOS_2024[[#All],[rubro]],PAA_4[[#This Row],[RCP-RUBRO]]))</f>
        <v>0</v>
      </c>
      <c r="AK231" s="47" t="e" cm="1">
        <f t="array" aca="1" ref="AK231" ca="1">_xlfn.XLOOKUP(PAA_4[[#This Row],[RCP-RUBRO]],[2]!COMPROMISOS_2024[[#All],[concatenado]],[2]!COMPROMISOS_2024[[#All],[Total Comprometido]],"",0)</f>
        <v>#NAME?</v>
      </c>
      <c r="AL231" s="47">
        <f>IF(PAA_4[[#This Row],[BOLSA]]=0,0,SUMIFS([2]!COMPROMISOS_2024[[#All],[Total Comprometido]],[2]!COMPROMISOS_2024[[#All],[Bolsa]],PAA_4[[#This Row],[BOLSA]],[2]!COMPROMISOS_2024[[#All],[concatenado]],PAA_4[[#This Row],[RCP-RUBRO]]))</f>
        <v>0</v>
      </c>
    </row>
    <row r="232" spans="1:38" s="19" customFormat="1" ht="31.5" customHeight="1">
      <c r="A232" s="47" t="s">
        <v>82</v>
      </c>
      <c r="B232" s="51" t="s">
        <v>42</v>
      </c>
      <c r="C232" s="47" t="str">
        <f>VLOOKUP(PAA_4[[#This Row],[PROYECTO (formulado)2]],[2]PROYECTOS!$G$1:$L$32,6,0)</f>
        <v>SUBGERENCIA ADMINISTRATIVA Y FINANCIERA</v>
      </c>
      <c r="D232" s="47" t="str">
        <f>+IF(PAA_4[[#This Row],[UNIDAD DE CONTRATACION (formulado)]]="Subgerencia Administrativa y Financiera","FUNCIONAMIENTO","INVERSIÓN")</f>
        <v>FUNCIONAMIENTO</v>
      </c>
      <c r="E232" s="48" t="str">
        <f>VLOOKUP(Q232,[2]PROYECTOS!$G$1:$K$32,5,0)</f>
        <v>FUNCIONAMIENTO</v>
      </c>
      <c r="F232" s="48">
        <f>VLOOKUP(E232,[2]PROYECTOS!$K$1:$M$32,3,0)</f>
        <v>999999</v>
      </c>
      <c r="G232" s="49" t="s">
        <v>43</v>
      </c>
      <c r="H232" s="49">
        <f>VLOOKUP(Q232,[2]PROYECTOS!$V$1:$W$32,2,0)</f>
        <v>999999</v>
      </c>
      <c r="I232" s="50">
        <v>4915496</v>
      </c>
      <c r="J232" s="51" t="s">
        <v>1309</v>
      </c>
      <c r="K232" s="47" t="str">
        <f t="shared" ca="1" si="115"/>
        <v>CONTRATADO</v>
      </c>
      <c r="L232" s="61" t="s">
        <v>42</v>
      </c>
      <c r="M232" s="47" t="s">
        <v>42</v>
      </c>
      <c r="N232" s="52" t="s">
        <v>1381</v>
      </c>
      <c r="O232" s="51" t="e">
        <f>VLOOKUP(N232,[2]!RUBROS[#All],3,0)</f>
        <v>#REF!</v>
      </c>
      <c r="P232" s="53" t="e">
        <f>VLOOKUP(N232,[2]!RUBROS[#All],2,0)</f>
        <v>#REF!</v>
      </c>
      <c r="Q232" s="47" t="str">
        <f t="shared" si="116"/>
        <v>00</v>
      </c>
      <c r="R232" s="47" t="str">
        <f t="shared" si="117"/>
        <v>0-101024</v>
      </c>
      <c r="S232" s="54" t="s">
        <v>42</v>
      </c>
      <c r="T232" s="59" t="s">
        <v>42</v>
      </c>
      <c r="U232" s="326" t="e">
        <f ca="1">_xlfn.XLOOKUP(PAA_4[[#This Row],[ITEM]],[2]Contrato!A:A,[2]Contrato!Q:Q,"",0)</f>
        <v>#NAME?</v>
      </c>
      <c r="V232" s="47" t="s">
        <v>42</v>
      </c>
      <c r="W232" s="47" t="s">
        <v>42</v>
      </c>
      <c r="X232" s="47" t="s">
        <v>42</v>
      </c>
      <c r="Y232" s="55" t="e">
        <f ca="1">_xlfn.XLOOKUP(PAA_4[[#This Row],[ITEM]],[2]Contrato!A:A,[2]Contrato!B:B,"",0)</f>
        <v>#NAME?</v>
      </c>
      <c r="Z232" s="47" t="e">
        <f ca="1">_xlfn.XLOOKUP(PAA_4[[#This Row],[ITEM]],[2]Contrato!A:A,[2]Contrato!G:G,"",0)</f>
        <v>#NAME?</v>
      </c>
      <c r="AA232" s="47" t="e">
        <f ca="1">_xlfn.XLOOKUP(PAA_4[[#This Row],[ITEM]],[2]Contrato!A:A,[2]Contrato!T:T,"",0)</f>
        <v>#NAME?</v>
      </c>
      <c r="AB232" s="55" t="e">
        <f ca="1">+MAX(PAA_4[[#This Row],[Comprometido Contrato]],PAA_4[[#This Row],[Comprometido Bolsa]])</f>
        <v>#NAME?</v>
      </c>
      <c r="AC232" s="55" t="str">
        <f t="shared" ca="1" si="118"/>
        <v/>
      </c>
      <c r="AD232" s="55" t="e">
        <f ca="1">IF(PAA_4[[#This Row],[ESTADO (formulado)]]="NO CONTRATADO",0,MAX(PAA_4[[#This Row],[Pago por Contrato]],PAA_4[[#This Row],[Pago por bolsa]]))</f>
        <v>#NAME?</v>
      </c>
      <c r="AE232" s="55" t="str">
        <f t="shared" ca="1" si="119"/>
        <v/>
      </c>
      <c r="AF232" s="47" t="e">
        <f t="shared" ca="1" si="120"/>
        <v>#NAME?</v>
      </c>
      <c r="AG232" s="47" t="str">
        <f t="shared" si="121"/>
        <v/>
      </c>
      <c r="AH232" s="54">
        <f>IF(Q232="22",IF(ISNUMBER(SEARCH("econ",PAA_4[[#This Row],[Actividad3]])),"Económico",IF(ISNUMBER(SEARCH("alim",PAA_4[[#This Row],[Actividad3]])),"Alimentación",IF(ISNUMBER(SEARCH("educ",PAA_4[[#This Row],[Actividad3]])),"Educativo","Técnico"))),0)</f>
        <v>0</v>
      </c>
      <c r="AI232" s="47" t="e" cm="1">
        <f t="array" aca="1" ref="AI232" ca="1">_xlfn.XLOOKUP(PAA_4[[#This Row],[RCP-RUBRO]],[2]!COMPROMISOS_2024[[#All],[concatenado]],[2]!COMPROMISOS_2024[[#All],[Total pagado]],"",0)</f>
        <v>#NAME?</v>
      </c>
      <c r="AJ232" s="56">
        <f>IF(PAA_4[[#This Row],[BOLSA]]=0,0,SUMIFS([2]!COMPROMISOS_2024[[#All],[Total pagado]],[2]!COMPROMISOS_2024[[#All],[Bolsa]],PAA_4[[#This Row],[BOLSA]],[2]!COMPROMISOS_2024[[#All],[rubro]],PAA_4[[#This Row],[RCP-RUBRO]]))</f>
        <v>0</v>
      </c>
      <c r="AK232" s="47" t="e" cm="1">
        <f t="array" aca="1" ref="AK232" ca="1">_xlfn.XLOOKUP(PAA_4[[#This Row],[RCP-RUBRO]],[2]!COMPROMISOS_2024[[#All],[concatenado]],[2]!COMPROMISOS_2024[[#All],[Total Comprometido]],"",0)</f>
        <v>#NAME?</v>
      </c>
      <c r="AL232" s="47">
        <f>IF(PAA_4[[#This Row],[BOLSA]]=0,0,SUMIFS([2]!COMPROMISOS_2024[[#All],[Total Comprometido]],[2]!COMPROMISOS_2024[[#All],[Bolsa]],PAA_4[[#This Row],[BOLSA]],[2]!COMPROMISOS_2024[[#All],[concatenado]],PAA_4[[#This Row],[RCP-RUBRO]]))</f>
        <v>0</v>
      </c>
    </row>
    <row r="233" spans="1:38" s="19" customFormat="1" ht="31.5" customHeight="1">
      <c r="A233" s="47">
        <v>1233</v>
      </c>
      <c r="B233" s="51" t="s">
        <v>1398</v>
      </c>
      <c r="C233" s="47" t="str">
        <f>VLOOKUP(PAA_4[[#This Row],[PROYECTO (formulado)2]],[2]PROYECTOS!$G$1:$L$32,6,0)</f>
        <v>SUBGERENCIA ADMINISTRATIVA Y FINANCIERA</v>
      </c>
      <c r="D233" s="47" t="str">
        <f>+IF(PAA_4[[#This Row],[UNIDAD DE CONTRATACION (formulado)]]="Subgerencia Administrativa y Financiera","FUNCIONAMIENTO","INVERSIÓN")</f>
        <v>FUNCIONAMIENTO</v>
      </c>
      <c r="E233" s="48" t="str">
        <f>VLOOKUP(Q233,[2]PROYECTOS!$G$1:$K$32,5,0)</f>
        <v>FUNCIONAMIENTO</v>
      </c>
      <c r="F233" s="48">
        <f>VLOOKUP(E233,[2]PROYECTOS!$K$1:$M$32,3,0)</f>
        <v>999999</v>
      </c>
      <c r="G233" s="49" t="s">
        <v>43</v>
      </c>
      <c r="H233" s="49">
        <f>VLOOKUP(Q233,[2]PROYECTOS!$V$1:$W$32,2,0)</f>
        <v>999999</v>
      </c>
      <c r="I233" s="50">
        <f>30000000-4915496</f>
        <v>25084504</v>
      </c>
      <c r="J233" s="51" t="s">
        <v>1399</v>
      </c>
      <c r="K233" s="47" t="str">
        <f t="shared" ca="1" si="115"/>
        <v>CONTRATADO</v>
      </c>
      <c r="L233" s="61" t="s">
        <v>88</v>
      </c>
      <c r="M233" s="47" t="s">
        <v>107</v>
      </c>
      <c r="N233" s="52" t="s">
        <v>1381</v>
      </c>
      <c r="O233" s="51" t="e">
        <f>VLOOKUP(N233,[2]!RUBROS[#All],3,0)</f>
        <v>#REF!</v>
      </c>
      <c r="P233" s="53" t="e">
        <f>VLOOKUP(N233,[2]!RUBROS[#All],2,0)</f>
        <v>#REF!</v>
      </c>
      <c r="Q233" s="47" t="str">
        <f t="shared" si="116"/>
        <v>00</v>
      </c>
      <c r="R233" s="47" t="str">
        <f t="shared" si="117"/>
        <v>0-101024</v>
      </c>
      <c r="S233" s="54">
        <v>2</v>
      </c>
      <c r="T233" s="59" t="s">
        <v>46</v>
      </c>
      <c r="U233" s="326" t="e">
        <f ca="1">_xlfn.XLOOKUP(PAA_4[[#This Row],[ITEM]],[2]Contrato!A:A,[2]Contrato!Q:Q,"",0)</f>
        <v>#NAME?</v>
      </c>
      <c r="V233" s="47" t="s">
        <v>47</v>
      </c>
      <c r="W233" s="47" t="s">
        <v>1400</v>
      </c>
      <c r="X233" s="47" t="s">
        <v>1400</v>
      </c>
      <c r="Y233" s="55" t="e">
        <f ca="1">_xlfn.XLOOKUP(PAA_4[[#This Row],[ITEM]],[2]Contrato!A:A,[2]Contrato!B:B,"",0)</f>
        <v>#NAME?</v>
      </c>
      <c r="Z233" s="47" t="e">
        <f ca="1">_xlfn.XLOOKUP(PAA_4[[#This Row],[ITEM]],[2]Contrato!A:A,[2]Contrato!G:G,"",0)</f>
        <v>#NAME?</v>
      </c>
      <c r="AA233" s="47" t="e">
        <f ca="1">_xlfn.XLOOKUP(PAA_4[[#This Row],[ITEM]],[2]Contrato!A:A,[2]Contrato!T:T,"",0)</f>
        <v>#NAME?</v>
      </c>
      <c r="AB233" s="55" t="e">
        <f ca="1">+MAX(PAA_4[[#This Row],[Comprometido Contrato]],PAA_4[[#This Row],[Comprometido Bolsa]])</f>
        <v>#NAME?</v>
      </c>
      <c r="AC233" s="55" t="str">
        <f t="shared" ca="1" si="118"/>
        <v/>
      </c>
      <c r="AD233" s="55" t="e">
        <f ca="1">IF(PAA_4[[#This Row],[ESTADO (formulado)]]="NO CONTRATADO",0,MAX(PAA_4[[#This Row],[Pago por Contrato]],PAA_4[[#This Row],[Pago por bolsa]]))</f>
        <v>#NAME?</v>
      </c>
      <c r="AE233" s="55" t="str">
        <f t="shared" ca="1" si="119"/>
        <v/>
      </c>
      <c r="AF233" s="47" t="e">
        <f t="shared" ca="1" si="120"/>
        <v>#NAME?</v>
      </c>
      <c r="AG233" s="47" t="str">
        <f t="shared" si="121"/>
        <v/>
      </c>
      <c r="AH233" s="54">
        <f>IF(Q233="22",IF(ISNUMBER(SEARCH("econ",PAA_4[[#This Row],[Actividad3]])),"Económico",IF(ISNUMBER(SEARCH("alim",PAA_4[[#This Row],[Actividad3]])),"Alimentación",IF(ISNUMBER(SEARCH("educ",PAA_4[[#This Row],[Actividad3]])),"Educativo","Técnico"))),0)</f>
        <v>0</v>
      </c>
      <c r="AI233" s="47" t="e" cm="1">
        <f t="array" aca="1" ref="AI233" ca="1">_xlfn.XLOOKUP(PAA_4[[#This Row],[RCP-RUBRO]],[2]!COMPROMISOS_2024[[#All],[concatenado]],[2]!COMPROMISOS_2024[[#All],[Total pagado]],"",0)</f>
        <v>#NAME?</v>
      </c>
      <c r="AJ233" s="56">
        <f>IF(PAA_4[[#This Row],[BOLSA]]=0,0,SUMIFS([2]!COMPROMISOS_2024[[#All],[Total pagado]],[2]!COMPROMISOS_2024[[#All],[Bolsa]],PAA_4[[#This Row],[BOLSA]],[2]!COMPROMISOS_2024[[#All],[rubro]],PAA_4[[#This Row],[RCP-RUBRO]]))</f>
        <v>0</v>
      </c>
      <c r="AK233" s="47" t="e" cm="1">
        <f t="array" aca="1" ref="AK233" ca="1">_xlfn.XLOOKUP(PAA_4[[#This Row],[RCP-RUBRO]],[2]!COMPROMISOS_2024[[#All],[concatenado]],[2]!COMPROMISOS_2024[[#All],[Total Comprometido]],"",0)</f>
        <v>#NAME?</v>
      </c>
      <c r="AL233" s="47">
        <f>IF(PAA_4[[#This Row],[BOLSA]]=0,0,SUMIFS([2]!COMPROMISOS_2024[[#All],[Total Comprometido]],[2]!COMPROMISOS_2024[[#All],[Bolsa]],PAA_4[[#This Row],[BOLSA]],[2]!COMPROMISOS_2024[[#All],[concatenado]],PAA_4[[#This Row],[RCP-RUBRO]]))</f>
        <v>0</v>
      </c>
    </row>
    <row r="234" spans="1:38" s="19" customFormat="1" ht="31.5" customHeight="1">
      <c r="A234" s="47" t="s">
        <v>82</v>
      </c>
      <c r="B234" s="51" t="s">
        <v>42</v>
      </c>
      <c r="C234" s="47" t="str">
        <f>VLOOKUP(PAA_4[[#This Row],[PROYECTO (formulado)2]],[2]PROYECTOS!$G$1:$L$32,6,0)</f>
        <v>SUBGERENCIA ADMINISTRATIVA Y FINANCIERA</v>
      </c>
      <c r="D234" s="47" t="str">
        <f>+IF(PAA_4[[#This Row],[UNIDAD DE CONTRATACION (formulado)]]="Subgerencia Administrativa y Financiera","FUNCIONAMIENTO","INVERSIÓN")</f>
        <v>FUNCIONAMIENTO</v>
      </c>
      <c r="E234" s="48" t="str">
        <f>VLOOKUP(Q234,[2]PROYECTOS!$G$1:$K$32,5,0)</f>
        <v>FUNCIONAMIENTO</v>
      </c>
      <c r="F234" s="48">
        <f>VLOOKUP(E234,[2]PROYECTOS!$K$1:$M$32,3,0)</f>
        <v>999999</v>
      </c>
      <c r="G234" s="49" t="s">
        <v>43</v>
      </c>
      <c r="H234" s="49">
        <f>VLOOKUP(Q234,[2]PROYECTOS!$V$1:$W$32,2,0)</f>
        <v>999999</v>
      </c>
      <c r="I234" s="50">
        <v>2457581</v>
      </c>
      <c r="J234" s="51" t="s">
        <v>1295</v>
      </c>
      <c r="K234" s="47" t="str">
        <f ca="1">IF(ISNONTEXT(Y234)=TRUE,"CONTRATADO","NO CONTRATADO")</f>
        <v>CONTRATADO</v>
      </c>
      <c r="L234" s="61" t="s">
        <v>42</v>
      </c>
      <c r="M234" s="47" t="s">
        <v>42</v>
      </c>
      <c r="N234" s="79" t="s">
        <v>1381</v>
      </c>
      <c r="O234" s="51" t="e">
        <f>VLOOKUP(N234,[2]!RUBROS[#All],3,0)</f>
        <v>#REF!</v>
      </c>
      <c r="P234" s="53" t="e">
        <f>VLOOKUP(N234,[2]!RUBROS[#All],2,0)</f>
        <v>#REF!</v>
      </c>
      <c r="Q234" s="47" t="str">
        <f>+MID(N234,11,2)</f>
        <v>00</v>
      </c>
      <c r="R234" s="47" t="str">
        <f>+MID(N234,14,8)</f>
        <v>0-101024</v>
      </c>
      <c r="S234" s="54" t="s">
        <v>42</v>
      </c>
      <c r="T234" s="59" t="s">
        <v>42</v>
      </c>
      <c r="U234" s="326" t="e">
        <f ca="1">_xlfn.XLOOKUP(PAA_4[[#This Row],[ITEM]],[2]Contrato!A:A,[2]Contrato!Q:Q,"",0)</f>
        <v>#NAME?</v>
      </c>
      <c r="V234" s="47" t="s">
        <v>95</v>
      </c>
      <c r="W234" s="47" t="s">
        <v>42</v>
      </c>
      <c r="X234" s="47" t="s">
        <v>42</v>
      </c>
      <c r="Y234" s="55" t="e">
        <f ca="1">_xlfn.XLOOKUP(PAA_4[[#This Row],[ITEM]],[2]Contrato!A:A,[2]Contrato!B:B,"",0)</f>
        <v>#NAME?</v>
      </c>
      <c r="Z234" s="47" t="e">
        <f ca="1">_xlfn.XLOOKUP(PAA_4[[#This Row],[ITEM]],[2]Contrato!A:A,[2]Contrato!G:G,"",0)</f>
        <v>#NAME?</v>
      </c>
      <c r="AA234" s="47" t="e">
        <f ca="1">_xlfn.XLOOKUP(PAA_4[[#This Row],[ITEM]],[2]Contrato!A:A,[2]Contrato!T:T,"",0)</f>
        <v>#NAME?</v>
      </c>
      <c r="AB234" s="55" t="e">
        <f ca="1">+MAX(PAA_4[[#This Row],[Comprometido Contrato]],PAA_4[[#This Row],[Comprometido Bolsa]])</f>
        <v>#NAME?</v>
      </c>
      <c r="AC234" s="55" t="str">
        <f ca="1">IFERROR(I234-AB234,"")</f>
        <v/>
      </c>
      <c r="AD234" s="55" t="e">
        <f ca="1">IF(PAA_4[[#This Row],[ESTADO (formulado)]]="NO CONTRATADO",0,MAX(PAA_4[[#This Row],[Pago por Contrato]],PAA_4[[#This Row],[Pago por bolsa]]))</f>
        <v>#NAME?</v>
      </c>
      <c r="AE234" s="55" t="str">
        <f ca="1">+IFERROR(AB234-AD234,"")</f>
        <v/>
      </c>
      <c r="AF234" s="47" t="e">
        <f ca="1">+CONCATENATE(AA234,N234)</f>
        <v>#NAME?</v>
      </c>
      <c r="AG234" s="47" t="str">
        <f>IFERROR(_xlfn.NUMBERVALUE(MID(G234,1,8)),"")</f>
        <v/>
      </c>
      <c r="AH234" s="54">
        <f>IF(Q234="22",IF(ISNUMBER(SEARCH("econ",PAA_4[[#This Row],[Actividad3]])),"Económico",IF(ISNUMBER(SEARCH("alim",PAA_4[[#This Row],[Actividad3]])),"Alimentación",IF(ISNUMBER(SEARCH("educ",PAA_4[[#This Row],[Actividad3]])),"Educativo","Técnico"))),0)</f>
        <v>0</v>
      </c>
      <c r="AI234" s="47" t="e" cm="1">
        <f t="array" aca="1" ref="AI234" ca="1">_xlfn.XLOOKUP(PAA_4[[#This Row],[RCP-RUBRO]],[2]!COMPROMISOS_2024[[#All],[concatenado]],[2]!COMPROMISOS_2024[[#All],[Total pagado]],"",0)</f>
        <v>#NAME?</v>
      </c>
      <c r="AJ234" s="56">
        <f>IF(PAA_4[[#This Row],[BOLSA]]=0,0,SUMIFS([2]!COMPROMISOS_2024[[#All],[Total pagado]],[2]!COMPROMISOS_2024[[#All],[Bolsa]],PAA_4[[#This Row],[BOLSA]],[2]!COMPROMISOS_2024[[#All],[rubro]],PAA_4[[#This Row],[RCP-RUBRO]]))</f>
        <v>0</v>
      </c>
      <c r="AK234" s="47" t="e" cm="1">
        <f t="array" aca="1" ref="AK234" ca="1">_xlfn.XLOOKUP(PAA_4[[#This Row],[RCP-RUBRO]],[2]!COMPROMISOS_2024[[#All],[concatenado]],[2]!COMPROMISOS_2024[[#All],[Total Comprometido]],"",0)</f>
        <v>#NAME?</v>
      </c>
      <c r="AL234" s="47">
        <f>IF(PAA_4[[#This Row],[BOLSA]]=0,0,SUMIFS([2]!COMPROMISOS_2024[[#All],[Total Comprometido]],[2]!COMPROMISOS_2024[[#All],[Bolsa]],PAA_4[[#This Row],[BOLSA]],[2]!COMPROMISOS_2024[[#All],[concatenado]],PAA_4[[#This Row],[RCP-RUBRO]]))</f>
        <v>0</v>
      </c>
    </row>
    <row r="235" spans="1:38" s="19" customFormat="1" ht="31.5" customHeight="1">
      <c r="A235" s="54">
        <v>1232</v>
      </c>
      <c r="B235" s="330">
        <v>46191600</v>
      </c>
      <c r="C235" s="47" t="str">
        <f>VLOOKUP(PAA_4[[#This Row],[PROYECTO (formulado)2]],[2]PROYECTOS!$G$1:$L$32,6,0)</f>
        <v>SUBGERENCIA ADMINISTRATIVA Y FINANCIERA</v>
      </c>
      <c r="D235" s="54" t="str">
        <f>+IF(PAA_4[[#This Row],[UNIDAD DE CONTRATACION (formulado)]]="Subgerencia Administrativa y Financiera","FUNCIONAMIENTO","INVERSIÓN")</f>
        <v>FUNCIONAMIENTO</v>
      </c>
      <c r="E235" s="331" t="str">
        <f>VLOOKUP(Q235,[2]PROYECTOS!$G$1:$K$32,5,0)</f>
        <v>FUNCIONAMIENTO</v>
      </c>
      <c r="F235" s="331">
        <f>VLOOKUP(E235,[2]PROYECTOS!$K$1:$M$32,3,0)</f>
        <v>999999</v>
      </c>
      <c r="G235" s="332" t="s">
        <v>43</v>
      </c>
      <c r="H235" s="332">
        <f>VLOOKUP(Q235,[2]PROYECTOS!$V$1:$W$32,2,0)</f>
        <v>999999</v>
      </c>
      <c r="I235" s="333">
        <f>8000000-2457581-290949</f>
        <v>5251470</v>
      </c>
      <c r="J235" s="330" t="s">
        <v>1401</v>
      </c>
      <c r="K235" s="54" t="str">
        <f t="shared" ref="K235:K236" ca="1" si="122">IF(ISNONTEXT(Y235)=TRUE,"CONTRATADO","NO CONTRATADO")</f>
        <v>CONTRATADO</v>
      </c>
      <c r="L235" s="334" t="s">
        <v>151</v>
      </c>
      <c r="M235" s="54" t="s">
        <v>107</v>
      </c>
      <c r="N235" s="79" t="s">
        <v>1381</v>
      </c>
      <c r="O235" s="330" t="e">
        <f>VLOOKUP(N235,[2]!RUBROS[#All],3,0)</f>
        <v>#REF!</v>
      </c>
      <c r="P235" s="330" t="e">
        <f>VLOOKUP(N235,[2]!RUBROS[#All],2,0)</f>
        <v>#REF!</v>
      </c>
      <c r="Q235" s="54" t="str">
        <f t="shared" ref="Q235:Q236" si="123">+MID(N235,11,2)</f>
        <v>00</v>
      </c>
      <c r="R235" s="47" t="str">
        <f t="shared" ref="R235:R236" si="124">+MID(N235,14,8)</f>
        <v>0-101024</v>
      </c>
      <c r="S235" s="54">
        <v>2.5</v>
      </c>
      <c r="T235" s="59" t="s">
        <v>46</v>
      </c>
      <c r="U235" s="335" t="e">
        <f ca="1">_xlfn.XLOOKUP(PAA_4[[#This Row],[ITEM]],[2]Contrato!A:A,[2]Contrato!Q:Q,"",0)</f>
        <v>#NAME?</v>
      </c>
      <c r="V235" s="54" t="s">
        <v>47</v>
      </c>
      <c r="W235" s="54" t="s">
        <v>203</v>
      </c>
      <c r="X235" s="54" t="s">
        <v>203</v>
      </c>
      <c r="Y235" s="336" t="e">
        <f ca="1">_xlfn.XLOOKUP(PAA_4[[#This Row],[ITEM]],[2]Contrato!A:A,[2]Contrato!B:B,"",0)</f>
        <v>#NAME?</v>
      </c>
      <c r="Z235" s="54" t="e">
        <f ca="1">_xlfn.XLOOKUP(PAA_4[[#This Row],[ITEM]],[2]Contrato!A:A,[2]Contrato!G:G,"",0)</f>
        <v>#NAME?</v>
      </c>
      <c r="AA235" s="54" t="e">
        <f ca="1">_xlfn.XLOOKUP(PAA_4[[#This Row],[ITEM]],[2]Contrato!A:A,[2]Contrato!T:T,"",0)</f>
        <v>#NAME?</v>
      </c>
      <c r="AB235" s="336" t="e">
        <f ca="1">+MAX(PAA_4[[#This Row],[Comprometido Contrato]],PAA_4[[#This Row],[Comprometido Bolsa]])</f>
        <v>#NAME?</v>
      </c>
      <c r="AC235" s="336" t="str">
        <f t="shared" ref="AC235:AC236" ca="1" si="125">IFERROR(I235-AB235,"")</f>
        <v/>
      </c>
      <c r="AD235" s="336" t="e">
        <f ca="1">IF(PAA_4[[#This Row],[ESTADO (formulado)]]="NO CONTRATADO",0,MAX(PAA_4[[#This Row],[Pago por Contrato]],PAA_4[[#This Row],[Pago por bolsa]]))</f>
        <v>#NAME?</v>
      </c>
      <c r="AE235" s="336" t="str">
        <f t="shared" ref="AE235:AE236" ca="1" si="126">+IFERROR(AB235-AD235,"")</f>
        <v/>
      </c>
      <c r="AF235" s="54" t="e">
        <f t="shared" ref="AF235:AF236" ca="1" si="127">+CONCATENATE(AA235,N235)</f>
        <v>#NAME?</v>
      </c>
      <c r="AG235" s="54" t="str">
        <f t="shared" ref="AG235:AG236" si="128">IFERROR(_xlfn.NUMBERVALUE(MID(G235,1,8)),"")</f>
        <v/>
      </c>
      <c r="AH235" s="54">
        <f>IF(Q235="22",IF(ISNUMBER(SEARCH("econ",PAA_4[[#This Row],[Actividad3]])),"Económico",IF(ISNUMBER(SEARCH("alim",PAA_4[[#This Row],[Actividad3]])),"Alimentación",IF(ISNUMBER(SEARCH("educ",PAA_4[[#This Row],[Actividad3]])),"Educativo","Técnico"))),0)</f>
        <v>0</v>
      </c>
      <c r="AI235" s="54" t="e" cm="1">
        <f t="array" aca="1" ref="AI235" ca="1">_xlfn.XLOOKUP(PAA_4[[#This Row],[RCP-RUBRO]],[2]!COMPROMISOS_2024[[#All],[concatenado]],[2]!COMPROMISOS_2024[[#All],[Total pagado]],"",0)</f>
        <v>#NAME?</v>
      </c>
      <c r="AJ235" s="337">
        <f>IF(PAA_4[[#This Row],[BOLSA]]=0,0,SUMIFS([2]!COMPROMISOS_2024[[#All],[Total pagado]],[2]!COMPROMISOS_2024[[#All],[Bolsa]],PAA_4[[#This Row],[BOLSA]],[2]!COMPROMISOS_2024[[#All],[rubro]],PAA_4[[#This Row],[RCP-RUBRO]]))</f>
        <v>0</v>
      </c>
      <c r="AK235" s="54" t="e" cm="1">
        <f t="array" aca="1" ref="AK235" ca="1">_xlfn.XLOOKUP(PAA_4[[#This Row],[RCP-RUBRO]],[2]!COMPROMISOS_2024[[#All],[concatenado]],[2]!COMPROMISOS_2024[[#All],[Total Comprometido]],"",0)</f>
        <v>#NAME?</v>
      </c>
      <c r="AL235" s="54">
        <f>IF(PAA_4[[#This Row],[BOLSA]]=0,0,SUMIFS([2]!COMPROMISOS_2024[[#All],[Total Comprometido]],[2]!COMPROMISOS_2024[[#All],[Bolsa]],PAA_4[[#This Row],[BOLSA]],[2]!COMPROMISOS_2024[[#All],[concatenado]],PAA_4[[#This Row],[RCP-RUBRO]]))</f>
        <v>0</v>
      </c>
    </row>
    <row r="236" spans="1:38" s="19" customFormat="1" ht="31.5" customHeight="1">
      <c r="A236" s="54" t="s">
        <v>82</v>
      </c>
      <c r="B236" s="330" t="s">
        <v>42</v>
      </c>
      <c r="C236" s="47" t="str">
        <f>VLOOKUP(PAA_4[[#This Row],[PROYECTO (formulado)2]],[2]PROYECTOS!$G$1:$L$32,6,0)</f>
        <v>SUBGERENCIA ADMINISTRATIVA Y FINANCIERA</v>
      </c>
      <c r="D236" s="54" t="str">
        <f>+IF(PAA_4[[#This Row],[UNIDAD DE CONTRATACION (formulado)]]="Subgerencia Administrativa y Financiera","FUNCIONAMIENTO","INVERSIÓN")</f>
        <v>FUNCIONAMIENTO</v>
      </c>
      <c r="E236" s="331" t="str">
        <f>VLOOKUP(Q236,[2]PROYECTOS!$G$1:$K$32,5,0)</f>
        <v>FUNCIONAMIENTO</v>
      </c>
      <c r="F236" s="331">
        <f>VLOOKUP(E236,[2]PROYECTOS!$K$1:$M$32,3,0)</f>
        <v>999999</v>
      </c>
      <c r="G236" s="49" t="s">
        <v>43</v>
      </c>
      <c r="H236" s="332">
        <f>VLOOKUP(Q236,[2]PROYECTOS!$V$1:$W$32,2,0)</f>
        <v>999999</v>
      </c>
      <c r="I236" s="333">
        <v>0</v>
      </c>
      <c r="J236" s="330" t="s">
        <v>1402</v>
      </c>
      <c r="K236" s="54" t="str">
        <f t="shared" ca="1" si="122"/>
        <v>CONTRATADO</v>
      </c>
      <c r="L236" s="334" t="s">
        <v>42</v>
      </c>
      <c r="M236" s="54" t="s">
        <v>42</v>
      </c>
      <c r="N236" s="52" t="s">
        <v>155</v>
      </c>
      <c r="O236" s="330" t="e">
        <f>VLOOKUP(N236,[2]!RUBROS[#All],3,0)</f>
        <v>#REF!</v>
      </c>
      <c r="P236" s="330" t="e">
        <f>VLOOKUP(N236,[2]!RUBROS[#All],2,0)</f>
        <v>#REF!</v>
      </c>
      <c r="Q236" s="54" t="str">
        <f t="shared" si="123"/>
        <v>00</v>
      </c>
      <c r="R236" s="47" t="str">
        <f t="shared" si="124"/>
        <v>4-205616</v>
      </c>
      <c r="S236" s="54" t="s">
        <v>42</v>
      </c>
      <c r="T236" s="59" t="s">
        <v>42</v>
      </c>
      <c r="U236" s="335" t="e">
        <f ca="1">_xlfn.XLOOKUP(PAA_4[[#This Row],[ITEM]],[2]Contrato!A:A,[2]Contrato!Q:Q,"",0)</f>
        <v>#NAME?</v>
      </c>
      <c r="V236" s="54" t="s">
        <v>42</v>
      </c>
      <c r="W236" s="54" t="s">
        <v>42</v>
      </c>
      <c r="X236" s="54" t="s">
        <v>42</v>
      </c>
      <c r="Y236" s="336" t="e">
        <f ca="1">_xlfn.XLOOKUP(PAA_4[[#This Row],[ITEM]],[2]Contrato!A:A,[2]Contrato!B:B,"",0)</f>
        <v>#NAME?</v>
      </c>
      <c r="Z236" s="54" t="e">
        <f ca="1">_xlfn.XLOOKUP(PAA_4[[#This Row],[ITEM]],[2]Contrato!A:A,[2]Contrato!G:G,"",0)</f>
        <v>#NAME?</v>
      </c>
      <c r="AA236" s="54" t="e">
        <f ca="1">_xlfn.XLOOKUP(PAA_4[[#This Row],[ITEM]],[2]Contrato!A:A,[2]Contrato!T:T,"",0)</f>
        <v>#NAME?</v>
      </c>
      <c r="AB236" s="336" t="e">
        <f ca="1">+MAX(PAA_4[[#This Row],[Comprometido Contrato]],PAA_4[[#This Row],[Comprometido Bolsa]])</f>
        <v>#NAME?</v>
      </c>
      <c r="AC236" s="336" t="str">
        <f t="shared" ca="1" si="125"/>
        <v/>
      </c>
      <c r="AD236" s="336" t="e">
        <f ca="1">IF(PAA_4[[#This Row],[ESTADO (formulado)]]="NO CONTRATADO",0,MAX(PAA_4[[#This Row],[Pago por Contrato]],PAA_4[[#This Row],[Pago por bolsa]]))</f>
        <v>#NAME?</v>
      </c>
      <c r="AE236" s="336" t="str">
        <f t="shared" ca="1" si="126"/>
        <v/>
      </c>
      <c r="AF236" s="54" t="e">
        <f t="shared" ca="1" si="127"/>
        <v>#NAME?</v>
      </c>
      <c r="AG236" s="54" t="str">
        <f t="shared" si="128"/>
        <v/>
      </c>
      <c r="AH236" s="54">
        <f>IF(Q236="22",IF(ISNUMBER(SEARCH("econ",PAA_4[[#This Row],[Actividad3]])),"Económico",IF(ISNUMBER(SEARCH("alim",PAA_4[[#This Row],[Actividad3]])),"Alimentación",IF(ISNUMBER(SEARCH("educ",PAA_4[[#This Row],[Actividad3]])),"Educativo","Técnico"))),0)</f>
        <v>0</v>
      </c>
      <c r="AI236" s="54" t="e" cm="1">
        <f t="array" aca="1" ref="AI236" ca="1">_xlfn.XLOOKUP(PAA_4[[#This Row],[RCP-RUBRO]],[2]!COMPROMISOS_2024[[#All],[concatenado]],[2]!COMPROMISOS_2024[[#All],[Total pagado]],"",0)</f>
        <v>#NAME?</v>
      </c>
      <c r="AJ236" s="337">
        <f>IF(PAA_4[[#This Row],[BOLSA]]=0,0,SUMIFS([2]!COMPROMISOS_2024[[#All],[Total pagado]],[2]!COMPROMISOS_2024[[#All],[Bolsa]],PAA_4[[#This Row],[BOLSA]],[2]!COMPROMISOS_2024[[#All],[rubro]],PAA_4[[#This Row],[RCP-RUBRO]]))</f>
        <v>0</v>
      </c>
      <c r="AK236" s="54" t="e" cm="1">
        <f t="array" aca="1" ref="AK236" ca="1">_xlfn.XLOOKUP(PAA_4[[#This Row],[RCP-RUBRO]],[2]!COMPROMISOS_2024[[#All],[concatenado]],[2]!COMPROMISOS_2024[[#All],[Total Comprometido]],"",0)</f>
        <v>#NAME?</v>
      </c>
      <c r="AL236" s="54">
        <f>IF(PAA_4[[#This Row],[BOLSA]]=0,0,SUMIFS([2]!COMPROMISOS_2024[[#All],[Total Comprometido]],[2]!COMPROMISOS_2024[[#All],[Bolsa]],PAA_4[[#This Row],[BOLSA]],[2]!COMPROMISOS_2024[[#All],[concatenado]],PAA_4[[#This Row],[RCP-RUBRO]]))</f>
        <v>0</v>
      </c>
    </row>
    <row r="237" spans="1:38" s="19" customFormat="1" ht="31.5" customHeight="1">
      <c r="A237" s="54" t="s">
        <v>82</v>
      </c>
      <c r="B237" s="330" t="s">
        <v>42</v>
      </c>
      <c r="C237" s="47" t="str">
        <f>VLOOKUP(PAA_4[[#This Row],[PROYECTO (formulado)2]],[2]PROYECTOS!$G$1:$L$32,6,0)</f>
        <v>SUBGERENCIA ADMINISTRATIVA Y FINANCIERA</v>
      </c>
      <c r="D237" s="54" t="str">
        <f>+IF(PAA_4[[#This Row],[UNIDAD DE CONTRATACION (formulado)]]="Subgerencia Administrativa y Financiera","FUNCIONAMIENTO","INVERSIÓN")</f>
        <v>FUNCIONAMIENTO</v>
      </c>
      <c r="E237" s="331" t="str">
        <f>VLOOKUP(Q237,[2]PROYECTOS!$G$1:$K$32,5,0)</f>
        <v>FUNCIONAMIENTO</v>
      </c>
      <c r="F237" s="331">
        <f>VLOOKUP(E237,[2]PROYECTOS!$K$1:$M$32,3,0)</f>
        <v>999999</v>
      </c>
      <c r="G237" s="49" t="s">
        <v>43</v>
      </c>
      <c r="H237" s="332">
        <f>VLOOKUP(Q237,[2]PROYECTOS!$V$1:$W$32,2,0)</f>
        <v>999999</v>
      </c>
      <c r="I237" s="333">
        <v>1668334</v>
      </c>
      <c r="J237" s="330" t="s">
        <v>1403</v>
      </c>
      <c r="K237" s="54" t="str">
        <f ca="1">IF(ISNONTEXT(Y237)=TRUE,"CONTRATADO","NO CONTRATADO")</f>
        <v>CONTRATADO</v>
      </c>
      <c r="L237" s="334" t="s">
        <v>42</v>
      </c>
      <c r="M237" s="54" t="s">
        <v>42</v>
      </c>
      <c r="N237" s="52" t="s">
        <v>155</v>
      </c>
      <c r="O237" s="330" t="e">
        <f>VLOOKUP(N237,[2]!RUBROS[#All],3,0)</f>
        <v>#REF!</v>
      </c>
      <c r="P237" s="330" t="e">
        <f>VLOOKUP(N237,[2]!RUBROS[#All],2,0)</f>
        <v>#REF!</v>
      </c>
      <c r="Q237" s="54" t="str">
        <f>+MID(N237,11,2)</f>
        <v>00</v>
      </c>
      <c r="R237" s="47" t="str">
        <f>+MID(N237,14,8)</f>
        <v>4-205616</v>
      </c>
      <c r="S237" s="54" t="s">
        <v>42</v>
      </c>
      <c r="T237" s="59" t="s">
        <v>42</v>
      </c>
      <c r="U237" s="335" t="e">
        <f ca="1">_xlfn.XLOOKUP(PAA_4[[#This Row],[ITEM]],[2]Contrato!A:A,[2]Contrato!Q:Q,"",0)</f>
        <v>#NAME?</v>
      </c>
      <c r="V237" s="47" t="s">
        <v>47</v>
      </c>
      <c r="W237" s="54" t="s">
        <v>42</v>
      </c>
      <c r="X237" s="54" t="s">
        <v>42</v>
      </c>
      <c r="Y237" s="336" t="e">
        <f ca="1">_xlfn.XLOOKUP(PAA_4[[#This Row],[ITEM]],[2]Contrato!A:A,[2]Contrato!B:B,"",0)</f>
        <v>#NAME?</v>
      </c>
      <c r="Z237" s="54" t="e">
        <f ca="1">_xlfn.XLOOKUP(PAA_4[[#This Row],[ITEM]],[2]Contrato!A:A,[2]Contrato!G:G,"",0)</f>
        <v>#NAME?</v>
      </c>
      <c r="AA237" s="54" t="e">
        <f ca="1">_xlfn.XLOOKUP(PAA_4[[#This Row],[ITEM]],[2]Contrato!A:A,[2]Contrato!T:T,"",0)</f>
        <v>#NAME?</v>
      </c>
      <c r="AB237" s="336" t="e">
        <f ca="1">+MAX(PAA_4[[#This Row],[Comprometido Contrato]],PAA_4[[#This Row],[Comprometido Bolsa]])</f>
        <v>#NAME?</v>
      </c>
      <c r="AC237" s="336" t="str">
        <f ca="1">IFERROR(I237-AB237,"")</f>
        <v/>
      </c>
      <c r="AD237" s="336" t="e">
        <f ca="1">IF(PAA_4[[#This Row],[ESTADO (formulado)]]="NO CONTRATADO",0,MAX(PAA_4[[#This Row],[Pago por Contrato]],PAA_4[[#This Row],[Pago por bolsa]]))</f>
        <v>#NAME?</v>
      </c>
      <c r="AE237" s="336" t="str">
        <f ca="1">+IFERROR(AB237-AD237,"")</f>
        <v/>
      </c>
      <c r="AF237" s="54" t="e">
        <f ca="1">+CONCATENATE(AA237,N237)</f>
        <v>#NAME?</v>
      </c>
      <c r="AG237" s="54" t="str">
        <f>IFERROR(_xlfn.NUMBERVALUE(MID(G237,1,8)),"")</f>
        <v/>
      </c>
      <c r="AH237" s="54">
        <f>IF(Q237="22",IF(ISNUMBER(SEARCH("econ",PAA_4[[#This Row],[Actividad3]])),"Económico",IF(ISNUMBER(SEARCH("alim",PAA_4[[#This Row],[Actividad3]])),"Alimentación",IF(ISNUMBER(SEARCH("educ",PAA_4[[#This Row],[Actividad3]])),"Educativo","Técnico"))),0)</f>
        <v>0</v>
      </c>
      <c r="AI237" s="54" t="e" cm="1">
        <f t="array" aca="1" ref="AI237" ca="1">_xlfn.XLOOKUP(PAA_4[[#This Row],[RCP-RUBRO]],[2]!COMPROMISOS_2024[[#All],[concatenado]],[2]!COMPROMISOS_2024[[#All],[Total pagado]],"",0)</f>
        <v>#NAME?</v>
      </c>
      <c r="AJ237" s="337">
        <f>IF(PAA_4[[#This Row],[BOLSA]]=0,0,SUMIFS([2]!COMPROMISOS_2024[[#All],[Total pagado]],[2]!COMPROMISOS_2024[[#All],[Bolsa]],PAA_4[[#This Row],[BOLSA]],[2]!COMPROMISOS_2024[[#All],[rubro]],PAA_4[[#This Row],[RCP-RUBRO]]))</f>
        <v>0</v>
      </c>
      <c r="AK237" s="54" t="e" cm="1">
        <f t="array" aca="1" ref="AK237" ca="1">_xlfn.XLOOKUP(PAA_4[[#This Row],[RCP-RUBRO]],[2]!COMPROMISOS_2024[[#All],[concatenado]],[2]!COMPROMISOS_2024[[#All],[Total Comprometido]],"",0)</f>
        <v>#NAME?</v>
      </c>
      <c r="AL237" s="54">
        <f>IF(PAA_4[[#This Row],[BOLSA]]=0,0,SUMIFS([2]!COMPROMISOS_2024[[#All],[Total Comprometido]],[2]!COMPROMISOS_2024[[#All],[Bolsa]],PAA_4[[#This Row],[BOLSA]],[2]!COMPROMISOS_2024[[#All],[concatenado]],PAA_4[[#This Row],[RCP-RUBRO]]))</f>
        <v>0</v>
      </c>
    </row>
    <row r="238" spans="1:38" s="19" customFormat="1" ht="31.5" customHeight="1">
      <c r="A238" s="47">
        <v>996</v>
      </c>
      <c r="B238" s="51">
        <v>80101505</v>
      </c>
      <c r="C238" s="47" t="str">
        <f>VLOOKUP(PAA_4[[#This Row],[PROYECTO (formulado)2]],[2]PROYECTOS!$G$1:$L$32,6,0)</f>
        <v>SUBGERENCIA ADMINISTRATIVA Y FINANCIERA</v>
      </c>
      <c r="D238" s="47" t="str">
        <f>+IF(PAA_4[[#This Row],[UNIDAD DE CONTRATACION (formulado)]]="Subgerencia Administrativa y Financiera","FUNCIONAMIENTO","INVERSIÓN")</f>
        <v>FUNCIONAMIENTO</v>
      </c>
      <c r="E238" s="48" t="str">
        <f>VLOOKUP(Q238,[2]PROYECTOS!$G$1:$K$32,5,0)</f>
        <v>FUNCIONAMIENTO</v>
      </c>
      <c r="F238" s="48">
        <f>VLOOKUP(E238,[2]PROYECTOS!$K$1:$M$32,3,0)</f>
        <v>999999</v>
      </c>
      <c r="G238" s="49" t="s">
        <v>43</v>
      </c>
      <c r="H238" s="49">
        <f>VLOOKUP(Q238,[2]PROYECTOS!$V$1:$W$32,2,0)</f>
        <v>999999</v>
      </c>
      <c r="I238" s="50">
        <f>17875000-1191666-1668334</f>
        <v>15015000</v>
      </c>
      <c r="J238" s="51" t="s">
        <v>1404</v>
      </c>
      <c r="K238" s="47" t="str">
        <f t="shared" ref="K238:K247" ca="1" si="129">IF(ISNONTEXT(Y238)=TRUE,"CONTRATADO","NO CONTRATADO")</f>
        <v>CONTRATADO</v>
      </c>
      <c r="L238" s="47" t="s">
        <v>94</v>
      </c>
      <c r="M238" s="47" t="s">
        <v>1297</v>
      </c>
      <c r="N238" s="52" t="s">
        <v>155</v>
      </c>
      <c r="O238" s="51" t="e">
        <f>VLOOKUP(N238,[2]!RUBROS[#All],3,0)</f>
        <v>#REF!</v>
      </c>
      <c r="P238" s="53" t="e">
        <f>VLOOKUP(N238,[2]!RUBROS[#All],2,0)</f>
        <v>#REF!</v>
      </c>
      <c r="Q238" s="47" t="str">
        <f t="shared" ref="Q238:Q247" si="130">+MID(N238,11,2)</f>
        <v>00</v>
      </c>
      <c r="R238" s="47" t="str">
        <f t="shared" ref="R238:R247" si="131">+MID(N238,14,8)</f>
        <v>4-205616</v>
      </c>
      <c r="S238" s="54">
        <v>75</v>
      </c>
      <c r="T238" s="59" t="s">
        <v>120</v>
      </c>
      <c r="U238" s="326" t="e">
        <f ca="1">_xlfn.XLOOKUP(PAA_4[[#This Row],[ITEM]],[2]Contrato!A:A,[2]Contrato!Q:Q,"",0)</f>
        <v>#NAME?</v>
      </c>
      <c r="V238" s="47" t="s">
        <v>47</v>
      </c>
      <c r="W238" s="47" t="s">
        <v>194</v>
      </c>
      <c r="X238" s="47" t="s">
        <v>194</v>
      </c>
      <c r="Y238" s="55" t="e">
        <f ca="1">_xlfn.XLOOKUP(PAA_4[[#This Row],[ITEM]],[2]Contrato!A:A,[2]Contrato!B:B,"",0)</f>
        <v>#NAME?</v>
      </c>
      <c r="Z238" s="47" t="e">
        <f ca="1">_xlfn.XLOOKUP(PAA_4[[#This Row],[ITEM]],[2]Contrato!A:A,[2]Contrato!G:G,"",0)</f>
        <v>#NAME?</v>
      </c>
      <c r="AA238" s="47" t="e">
        <f ca="1">_xlfn.XLOOKUP(PAA_4[[#This Row],[ITEM]],[2]Contrato!A:A,[2]Contrato!T:T,"",0)</f>
        <v>#NAME?</v>
      </c>
      <c r="AB238" s="55" t="e">
        <f ca="1">+MAX(PAA_4[[#This Row],[Comprometido Contrato]],PAA_4[[#This Row],[Comprometido Bolsa]])</f>
        <v>#NAME?</v>
      </c>
      <c r="AC238" s="55" t="str">
        <f t="shared" ref="AC238:AC247" ca="1" si="132">IFERROR(I238-AB238,"")</f>
        <v/>
      </c>
      <c r="AD238" s="55" t="e">
        <f ca="1">IF(PAA_4[[#This Row],[ESTADO (formulado)]]="NO CONTRATADO",0,MAX(PAA_4[[#This Row],[Pago por Contrato]],PAA_4[[#This Row],[Pago por bolsa]]))</f>
        <v>#NAME?</v>
      </c>
      <c r="AE238" s="55" t="str">
        <f t="shared" ref="AE238:AE247" ca="1" si="133">+IFERROR(AB238-AD238,"")</f>
        <v/>
      </c>
      <c r="AF238" s="47" t="e">
        <f t="shared" ref="AF238:AF247" ca="1" si="134">+CONCATENATE(AA238,N238)</f>
        <v>#NAME?</v>
      </c>
      <c r="AG238" s="47" t="str">
        <f t="shared" ref="AG238:AG247" si="135">IFERROR(_xlfn.NUMBERVALUE(MID(G238,1,8)),"")</f>
        <v/>
      </c>
      <c r="AH238" s="54">
        <f>IF(Q238="22",IF(ISNUMBER(SEARCH("econ",PAA_4[[#This Row],[Actividad3]])),"Económico",IF(ISNUMBER(SEARCH("alim",PAA_4[[#This Row],[Actividad3]])),"Alimentación",IF(ISNUMBER(SEARCH("educ",PAA_4[[#This Row],[Actividad3]])),"Educativo","Técnico"))),0)</f>
        <v>0</v>
      </c>
      <c r="AI238" s="47" t="e" cm="1">
        <f t="array" aca="1" ref="AI238" ca="1">_xlfn.XLOOKUP(PAA_4[[#This Row],[RCP-RUBRO]],[2]!COMPROMISOS_2024[[#All],[concatenado]],[2]!COMPROMISOS_2024[[#All],[Total pagado]],"",0)</f>
        <v>#NAME?</v>
      </c>
      <c r="AJ238" s="56">
        <f>IF(PAA_4[[#This Row],[BOLSA]]=0,0,SUMIFS([2]!COMPROMISOS_2024[[#All],[Total pagado]],[2]!COMPROMISOS_2024[[#All],[Bolsa]],PAA_4[[#This Row],[BOLSA]],[2]!COMPROMISOS_2024[[#All],[rubro]],PAA_4[[#This Row],[RCP-RUBRO]]))</f>
        <v>0</v>
      </c>
      <c r="AK238" s="47" t="e" cm="1">
        <f t="array" aca="1" ref="AK238" ca="1">_xlfn.XLOOKUP(PAA_4[[#This Row],[RCP-RUBRO]],[2]!COMPROMISOS_2024[[#All],[concatenado]],[2]!COMPROMISOS_2024[[#All],[Total Comprometido]],"",0)</f>
        <v>#NAME?</v>
      </c>
      <c r="AL238" s="47">
        <f>IF(PAA_4[[#This Row],[BOLSA]]=0,0,SUMIFS([2]!COMPROMISOS_2024[[#All],[Total Comprometido]],[2]!COMPROMISOS_2024[[#All],[Bolsa]],PAA_4[[#This Row],[BOLSA]],[2]!COMPROMISOS_2024[[#All],[concatenado]],PAA_4[[#This Row],[RCP-RUBRO]]))</f>
        <v>0</v>
      </c>
    </row>
    <row r="239" spans="1:38" s="19" customFormat="1" ht="31.5" customHeight="1">
      <c r="A239" s="47">
        <v>997</v>
      </c>
      <c r="B239" s="51">
        <v>80111600</v>
      </c>
      <c r="C239" s="47" t="str">
        <f>VLOOKUP(PAA_4[[#This Row],[PROYECTO (formulado)2]],[2]PROYECTOS!$G$1:$L$32,6,0)</f>
        <v>SUBGERENCIA ADMINISTRATIVA Y FINANCIERA</v>
      </c>
      <c r="D239" s="47" t="str">
        <f>+IF(PAA_4[[#This Row],[UNIDAD DE CONTRATACION (formulado)]]="Subgerencia Administrativa y Financiera","FUNCIONAMIENTO","INVERSIÓN")</f>
        <v>FUNCIONAMIENTO</v>
      </c>
      <c r="E239" s="48" t="str">
        <f>VLOOKUP(Q239,[2]PROYECTOS!$G$1:$K$32,5,0)</f>
        <v>FUNCIONAMIENTO</v>
      </c>
      <c r="F239" s="48">
        <f>VLOOKUP(E239,[2]PROYECTOS!$K$1:$M$32,3,0)</f>
        <v>999999</v>
      </c>
      <c r="G239" s="49" t="s">
        <v>43</v>
      </c>
      <c r="H239" s="49">
        <f>VLOOKUP(Q239,[2]PROYECTOS!$V$1:$W$32,2,0)</f>
        <v>999999</v>
      </c>
      <c r="I239" s="50">
        <f>17459468-452274</f>
        <v>17007194</v>
      </c>
      <c r="J239" s="51" t="s">
        <v>1405</v>
      </c>
      <c r="K239" s="47" t="str">
        <f t="shared" ca="1" si="129"/>
        <v>CONTRATADO</v>
      </c>
      <c r="L239" s="47" t="s">
        <v>94</v>
      </c>
      <c r="M239" s="47" t="s">
        <v>1297</v>
      </c>
      <c r="N239" s="52" t="s">
        <v>155</v>
      </c>
      <c r="O239" s="51" t="e">
        <f>VLOOKUP(N239,[2]!RUBROS[#All],3,0)</f>
        <v>#REF!</v>
      </c>
      <c r="P239" s="53" t="e">
        <f>VLOOKUP(N239,[2]!RUBROS[#All],2,0)</f>
        <v>#REF!</v>
      </c>
      <c r="Q239" s="47" t="str">
        <f t="shared" si="130"/>
        <v>00</v>
      </c>
      <c r="R239" s="47" t="str">
        <f t="shared" si="131"/>
        <v>4-205616</v>
      </c>
      <c r="S239" s="54">
        <v>132</v>
      </c>
      <c r="T239" s="59" t="s">
        <v>120</v>
      </c>
      <c r="U239" s="326" t="e">
        <f ca="1">_xlfn.XLOOKUP(PAA_4[[#This Row],[ITEM]],[2]Contrato!A:A,[2]Contrato!Q:Q,"",0)</f>
        <v>#NAME?</v>
      </c>
      <c r="V239" s="47" t="s">
        <v>47</v>
      </c>
      <c r="W239" s="47" t="s">
        <v>194</v>
      </c>
      <c r="X239" s="47" t="s">
        <v>194</v>
      </c>
      <c r="Y239" s="55" t="e">
        <f ca="1">_xlfn.XLOOKUP(PAA_4[[#This Row],[ITEM]],[2]Contrato!A:A,[2]Contrato!B:B,"",0)</f>
        <v>#NAME?</v>
      </c>
      <c r="Z239" s="47" t="e">
        <f ca="1">_xlfn.XLOOKUP(PAA_4[[#This Row],[ITEM]],[2]Contrato!A:A,[2]Contrato!G:G,"",0)</f>
        <v>#NAME?</v>
      </c>
      <c r="AA239" s="47" t="e">
        <f ca="1">_xlfn.XLOOKUP(PAA_4[[#This Row],[ITEM]],[2]Contrato!A:A,[2]Contrato!T:T,"",0)</f>
        <v>#NAME?</v>
      </c>
      <c r="AB239" s="55" t="e">
        <f ca="1">+MAX(PAA_4[[#This Row],[Comprometido Contrato]],PAA_4[[#This Row],[Comprometido Bolsa]])</f>
        <v>#NAME?</v>
      </c>
      <c r="AC239" s="55" t="str">
        <f t="shared" ca="1" si="132"/>
        <v/>
      </c>
      <c r="AD239" s="55" t="e">
        <f ca="1">IF(PAA_4[[#This Row],[ESTADO (formulado)]]="NO CONTRATADO",0,MAX(PAA_4[[#This Row],[Pago por Contrato]],PAA_4[[#This Row],[Pago por bolsa]]))</f>
        <v>#NAME?</v>
      </c>
      <c r="AE239" s="55" t="str">
        <f t="shared" ca="1" si="133"/>
        <v/>
      </c>
      <c r="AF239" s="47" t="e">
        <f t="shared" ca="1" si="134"/>
        <v>#NAME?</v>
      </c>
      <c r="AG239" s="47" t="str">
        <f t="shared" si="135"/>
        <v/>
      </c>
      <c r="AH239" s="54">
        <f>IF(Q239="22",IF(ISNUMBER(SEARCH("econ",PAA_4[[#This Row],[Actividad3]])),"Económico",IF(ISNUMBER(SEARCH("alim",PAA_4[[#This Row],[Actividad3]])),"Alimentación",IF(ISNUMBER(SEARCH("educ",PAA_4[[#This Row],[Actividad3]])),"Educativo","Técnico"))),0)</f>
        <v>0</v>
      </c>
      <c r="AI239" s="47" t="e" cm="1">
        <f t="array" aca="1" ref="AI239" ca="1">_xlfn.XLOOKUP(PAA_4[[#This Row],[RCP-RUBRO]],[2]!COMPROMISOS_2024[[#All],[concatenado]],[2]!COMPROMISOS_2024[[#All],[Total pagado]],"",0)</f>
        <v>#NAME?</v>
      </c>
      <c r="AJ239" s="56">
        <f>IF(PAA_4[[#This Row],[BOLSA]]=0,0,SUMIFS([2]!COMPROMISOS_2024[[#All],[Total pagado]],[2]!COMPROMISOS_2024[[#All],[Bolsa]],PAA_4[[#This Row],[BOLSA]],[2]!COMPROMISOS_2024[[#All],[rubro]],PAA_4[[#This Row],[RCP-RUBRO]]))</f>
        <v>0</v>
      </c>
      <c r="AK239" s="47" t="e" cm="1">
        <f t="array" aca="1" ref="AK239" ca="1">_xlfn.XLOOKUP(PAA_4[[#This Row],[RCP-RUBRO]],[2]!COMPROMISOS_2024[[#All],[concatenado]],[2]!COMPROMISOS_2024[[#All],[Total Comprometido]],"",0)</f>
        <v>#NAME?</v>
      </c>
      <c r="AL239" s="47">
        <f>IF(PAA_4[[#This Row],[BOLSA]]=0,0,SUMIFS([2]!COMPROMISOS_2024[[#All],[Total Comprometido]],[2]!COMPROMISOS_2024[[#All],[Bolsa]],PAA_4[[#This Row],[BOLSA]],[2]!COMPROMISOS_2024[[#All],[concatenado]],PAA_4[[#This Row],[RCP-RUBRO]]))</f>
        <v>0</v>
      </c>
    </row>
    <row r="240" spans="1:38" s="19" customFormat="1" ht="31.5" customHeight="1">
      <c r="A240" s="47" t="s">
        <v>82</v>
      </c>
      <c r="B240" s="51" t="s">
        <v>42</v>
      </c>
      <c r="C240" s="47" t="str">
        <f>VLOOKUP(PAA_4[[#This Row],[PROYECTO (formulado)2]],[2]PROYECTOS!$G$1:$L$32,6,0)</f>
        <v>SUBGERENCIA ADMINISTRATIVA Y FINANCIERA</v>
      </c>
      <c r="D240" s="47" t="str">
        <f>+IF(PAA_4[[#This Row],[UNIDAD DE CONTRATACION (formulado)]]="Subgerencia Administrativa y Financiera","FUNCIONAMIENTO","INVERSIÓN")</f>
        <v>FUNCIONAMIENTO</v>
      </c>
      <c r="E240" s="48" t="str">
        <f>VLOOKUP(Q240,[2]PROYECTOS!$G$1:$K$32,5,0)</f>
        <v>FUNCIONAMIENTO</v>
      </c>
      <c r="F240" s="48">
        <f>VLOOKUP(E240,[2]PROYECTOS!$K$1:$M$32,3,0)</f>
        <v>999999</v>
      </c>
      <c r="G240" s="49" t="s">
        <v>43</v>
      </c>
      <c r="H240" s="49">
        <f>VLOOKUP(Q240,[2]PROYECTOS!$V$1:$W$32,2,0)</f>
        <v>999999</v>
      </c>
      <c r="I240" s="50">
        <v>0</v>
      </c>
      <c r="J240" s="51" t="s">
        <v>1309</v>
      </c>
      <c r="K240" s="47" t="str">
        <f t="shared" ca="1" si="129"/>
        <v>CONTRATADO</v>
      </c>
      <c r="L240" s="47" t="s">
        <v>42</v>
      </c>
      <c r="M240" s="47" t="s">
        <v>42</v>
      </c>
      <c r="N240" s="52" t="s">
        <v>155</v>
      </c>
      <c r="O240" s="51" t="e">
        <f>VLOOKUP(N240,[2]!RUBROS[#All],3,0)</f>
        <v>#REF!</v>
      </c>
      <c r="P240" s="53" t="e">
        <f>VLOOKUP(N240,[2]!RUBROS[#All],2,0)</f>
        <v>#REF!</v>
      </c>
      <c r="Q240" s="47" t="str">
        <f t="shared" si="130"/>
        <v>00</v>
      </c>
      <c r="R240" s="47" t="str">
        <f t="shared" si="131"/>
        <v>4-205616</v>
      </c>
      <c r="S240" s="54" t="s">
        <v>42</v>
      </c>
      <c r="T240" s="59" t="s">
        <v>42</v>
      </c>
      <c r="U240" s="326" t="e">
        <f ca="1">_xlfn.XLOOKUP(PAA_4[[#This Row],[ITEM]],[2]Contrato!A:A,[2]Contrato!Q:Q,"",0)</f>
        <v>#NAME?</v>
      </c>
      <c r="V240" s="47" t="s">
        <v>42</v>
      </c>
      <c r="W240" s="47" t="s">
        <v>42</v>
      </c>
      <c r="X240" s="47" t="s">
        <v>42</v>
      </c>
      <c r="Y240" s="55" t="e">
        <f ca="1">_xlfn.XLOOKUP(PAA_4[[#This Row],[ITEM]],[2]Contrato!A:A,[2]Contrato!B:B,"",0)</f>
        <v>#NAME?</v>
      </c>
      <c r="Z240" s="47" t="e">
        <f ca="1">_xlfn.XLOOKUP(PAA_4[[#This Row],[ITEM]],[2]Contrato!A:A,[2]Contrato!G:G,"",0)</f>
        <v>#NAME?</v>
      </c>
      <c r="AA240" s="47" t="e">
        <f ca="1">_xlfn.XLOOKUP(PAA_4[[#This Row],[ITEM]],[2]Contrato!A:A,[2]Contrato!T:T,"",0)</f>
        <v>#NAME?</v>
      </c>
      <c r="AB240" s="55" t="e">
        <f ca="1">+MAX(PAA_4[[#This Row],[Comprometido Contrato]],PAA_4[[#This Row],[Comprometido Bolsa]])</f>
        <v>#NAME?</v>
      </c>
      <c r="AC240" s="55" t="str">
        <f t="shared" ca="1" si="132"/>
        <v/>
      </c>
      <c r="AD240" s="55" t="e">
        <f ca="1">IF(PAA_4[[#This Row],[ESTADO (formulado)]]="NO CONTRATADO",0,MAX(PAA_4[[#This Row],[Pago por Contrato]],PAA_4[[#This Row],[Pago por bolsa]]))</f>
        <v>#NAME?</v>
      </c>
      <c r="AE240" s="55" t="str">
        <f t="shared" ca="1" si="133"/>
        <v/>
      </c>
      <c r="AF240" s="47" t="e">
        <f t="shared" ca="1" si="134"/>
        <v>#NAME?</v>
      </c>
      <c r="AG240" s="47" t="str">
        <f t="shared" si="135"/>
        <v/>
      </c>
      <c r="AH240" s="54">
        <f>IF(Q240="22",IF(ISNUMBER(SEARCH("econ",PAA_4[[#This Row],[Actividad3]])),"Económico",IF(ISNUMBER(SEARCH("alim",PAA_4[[#This Row],[Actividad3]])),"Alimentación",IF(ISNUMBER(SEARCH("educ",PAA_4[[#This Row],[Actividad3]])),"Educativo","Técnico"))),0)</f>
        <v>0</v>
      </c>
      <c r="AI240" s="47" t="e" cm="1">
        <f t="array" aca="1" ref="AI240" ca="1">_xlfn.XLOOKUP(PAA_4[[#This Row],[RCP-RUBRO]],[2]!COMPROMISOS_2024[[#All],[concatenado]],[2]!COMPROMISOS_2024[[#All],[Total pagado]],"",0)</f>
        <v>#NAME?</v>
      </c>
      <c r="AJ240" s="56">
        <f>IF(PAA_4[[#This Row],[BOLSA]]=0,0,SUMIFS([2]!COMPROMISOS_2024[[#All],[Total pagado]],[2]!COMPROMISOS_2024[[#All],[Bolsa]],PAA_4[[#This Row],[BOLSA]],[2]!COMPROMISOS_2024[[#All],[rubro]],PAA_4[[#This Row],[RCP-RUBRO]]))</f>
        <v>0</v>
      </c>
      <c r="AK240" s="47" t="e" cm="1">
        <f t="array" aca="1" ref="AK240" ca="1">_xlfn.XLOOKUP(PAA_4[[#This Row],[RCP-RUBRO]],[2]!COMPROMISOS_2024[[#All],[concatenado]],[2]!COMPROMISOS_2024[[#All],[Total Comprometido]],"",0)</f>
        <v>#NAME?</v>
      </c>
      <c r="AL240" s="47">
        <f>IF(PAA_4[[#This Row],[BOLSA]]=0,0,SUMIFS([2]!COMPROMISOS_2024[[#All],[Total Comprometido]],[2]!COMPROMISOS_2024[[#All],[Bolsa]],PAA_4[[#This Row],[BOLSA]],[2]!COMPROMISOS_2024[[#All],[concatenado]],PAA_4[[#This Row],[RCP-RUBRO]]))</f>
        <v>0</v>
      </c>
    </row>
    <row r="241" spans="1:38" s="19" customFormat="1" ht="28.5">
      <c r="A241" s="47" t="s">
        <v>82</v>
      </c>
      <c r="B241" s="51" t="s">
        <v>42</v>
      </c>
      <c r="C241" s="47" t="str">
        <f>VLOOKUP(PAA_4[[#This Row],[PROYECTO (formulado)2]],[2]PROYECTOS!$G$1:$L$32,6,0)</f>
        <v>SUBGERENCIA ADMINISTRATIVA Y FINANCIERA</v>
      </c>
      <c r="D241" s="47" t="str">
        <f>+IF(PAA_4[[#This Row],[UNIDAD DE CONTRATACION (formulado)]]="Subgerencia Administrativa y Financiera","FUNCIONAMIENTO","INVERSIÓN")</f>
        <v>FUNCIONAMIENTO</v>
      </c>
      <c r="E241" s="48" t="str">
        <f>VLOOKUP(Q241,[2]PROYECTOS!$G$1:$K$32,5,0)</f>
        <v>FUNCIONAMIENTO</v>
      </c>
      <c r="F241" s="48">
        <f>VLOOKUP(E241,[2]PROYECTOS!$K$1:$M$32,3,0)</f>
        <v>999999</v>
      </c>
      <c r="G241" s="49" t="s">
        <v>43</v>
      </c>
      <c r="H241" s="49">
        <f>VLOOKUP(Q241,[2]PROYECTOS!$V$1:$W$32,2,0)</f>
        <v>999999</v>
      </c>
      <c r="I241" s="50">
        <v>476661</v>
      </c>
      <c r="J241" s="51" t="s">
        <v>1406</v>
      </c>
      <c r="K241" s="47" t="str">
        <f t="shared" ca="1" si="129"/>
        <v>CONTRATADO</v>
      </c>
      <c r="L241" s="47" t="s">
        <v>42</v>
      </c>
      <c r="M241" s="47" t="s">
        <v>42</v>
      </c>
      <c r="N241" s="52" t="s">
        <v>155</v>
      </c>
      <c r="O241" s="51" t="e">
        <f>VLOOKUP(N241,[2]!RUBROS[#All],3,0)</f>
        <v>#REF!</v>
      </c>
      <c r="P241" s="53" t="e">
        <f>VLOOKUP(N241,[2]!RUBROS[#All],2,0)</f>
        <v>#REF!</v>
      </c>
      <c r="Q241" s="47" t="str">
        <f t="shared" si="130"/>
        <v>00</v>
      </c>
      <c r="R241" s="47" t="str">
        <f t="shared" si="131"/>
        <v>4-205616</v>
      </c>
      <c r="S241" s="54" t="s">
        <v>42</v>
      </c>
      <c r="T241" s="59" t="s">
        <v>42</v>
      </c>
      <c r="U241" s="326" t="e">
        <f ca="1">_xlfn.XLOOKUP(PAA_4[[#This Row],[ITEM]],[2]Contrato!A:A,[2]Contrato!Q:Q,"",0)</f>
        <v>#NAME?</v>
      </c>
      <c r="V241" s="47" t="s">
        <v>42</v>
      </c>
      <c r="W241" s="47" t="s">
        <v>42</v>
      </c>
      <c r="X241" s="47" t="s">
        <v>42</v>
      </c>
      <c r="Y241" s="55" t="e">
        <f ca="1">_xlfn.XLOOKUP(PAA_4[[#This Row],[ITEM]],[2]Contrato!A:A,[2]Contrato!B:B,"",0)</f>
        <v>#NAME?</v>
      </c>
      <c r="Z241" s="47" t="e">
        <f ca="1">_xlfn.XLOOKUP(PAA_4[[#This Row],[ITEM]],[2]Contrato!A:A,[2]Contrato!G:G,"",0)</f>
        <v>#NAME?</v>
      </c>
      <c r="AA241" s="47" t="e">
        <f ca="1">_xlfn.XLOOKUP(PAA_4[[#This Row],[ITEM]],[2]Contrato!A:A,[2]Contrato!T:T,"",0)</f>
        <v>#NAME?</v>
      </c>
      <c r="AB241" s="55" t="e">
        <f ca="1">+MAX(PAA_4[[#This Row],[Comprometido Contrato]],PAA_4[[#This Row],[Comprometido Bolsa]])</f>
        <v>#NAME?</v>
      </c>
      <c r="AC241" s="55" t="str">
        <f t="shared" ca="1" si="132"/>
        <v/>
      </c>
      <c r="AD241" s="55" t="e">
        <f ca="1">IF(PAA_4[[#This Row],[ESTADO (formulado)]]="NO CONTRATADO",0,MAX(PAA_4[[#This Row],[Pago por Contrato]],PAA_4[[#This Row],[Pago por bolsa]]))</f>
        <v>#NAME?</v>
      </c>
      <c r="AE241" s="55" t="str">
        <f t="shared" ca="1" si="133"/>
        <v/>
      </c>
      <c r="AF241" s="47" t="e">
        <f t="shared" ca="1" si="134"/>
        <v>#NAME?</v>
      </c>
      <c r="AG241" s="47" t="str">
        <f t="shared" si="135"/>
        <v/>
      </c>
      <c r="AH241" s="54">
        <f>IF(Q241="22",IF(ISNUMBER(SEARCH("econ",PAA_4[[#This Row],[Actividad3]])),"Económico",IF(ISNUMBER(SEARCH("alim",PAA_4[[#This Row],[Actividad3]])),"Alimentación",IF(ISNUMBER(SEARCH("educ",PAA_4[[#This Row],[Actividad3]])),"Educativo","Técnico"))),0)</f>
        <v>0</v>
      </c>
      <c r="AI241" s="47" t="e" cm="1">
        <f t="array" aca="1" ref="AI241" ca="1">_xlfn.XLOOKUP(PAA_4[[#This Row],[RCP-RUBRO]],[2]!COMPROMISOS_2024[[#All],[concatenado]],[2]!COMPROMISOS_2024[[#All],[Total pagado]],"",0)</f>
        <v>#NAME?</v>
      </c>
      <c r="AJ241" s="56">
        <f>IF(PAA_4[[#This Row],[BOLSA]]=0,0,SUMIFS([2]!COMPROMISOS_2024[[#All],[Total pagado]],[2]!COMPROMISOS_2024[[#All],[Bolsa]],PAA_4[[#This Row],[BOLSA]],[2]!COMPROMISOS_2024[[#All],[rubro]],PAA_4[[#This Row],[RCP-RUBRO]]))</f>
        <v>0</v>
      </c>
      <c r="AK241" s="47" t="e" cm="1">
        <f t="array" aca="1" ref="AK241" ca="1">_xlfn.XLOOKUP(PAA_4[[#This Row],[RCP-RUBRO]],[2]!COMPROMISOS_2024[[#All],[concatenado]],[2]!COMPROMISOS_2024[[#All],[Total Comprometido]],"",0)</f>
        <v>#NAME?</v>
      </c>
      <c r="AL241" s="47">
        <f>IF(PAA_4[[#This Row],[BOLSA]]=0,0,SUMIFS([2]!COMPROMISOS_2024[[#All],[Total Comprometido]],[2]!COMPROMISOS_2024[[#All],[Bolsa]],PAA_4[[#This Row],[BOLSA]],[2]!COMPROMISOS_2024[[#All],[concatenado]],PAA_4[[#This Row],[RCP-RUBRO]]))</f>
        <v>0</v>
      </c>
    </row>
    <row r="242" spans="1:38" s="19" customFormat="1" ht="31.5" customHeight="1">
      <c r="A242" s="47">
        <v>998</v>
      </c>
      <c r="B242" s="51">
        <v>80121704</v>
      </c>
      <c r="C242" s="47" t="str">
        <f>VLOOKUP(PAA_4[[#This Row],[PROYECTO (formulado)2]],[2]PROYECTOS!$G$1:$L$32,6,0)</f>
        <v>SUBGERENCIA ADMINISTRATIVA Y FINANCIERA</v>
      </c>
      <c r="D242" s="47" t="str">
        <f>+IF(PAA_4[[#This Row],[UNIDAD DE CONTRATACION (formulado)]]="Subgerencia Administrativa y Financiera","FUNCIONAMIENTO","INVERSIÓN")</f>
        <v>FUNCIONAMIENTO</v>
      </c>
      <c r="E242" s="48" t="str">
        <f>VLOOKUP(Q242,[2]PROYECTOS!$G$1:$K$32,5,0)</f>
        <v>FUNCIONAMIENTO</v>
      </c>
      <c r="F242" s="48">
        <f>VLOOKUP(E242,[2]PROYECTOS!$K$1:$M$32,3,0)</f>
        <v>999999</v>
      </c>
      <c r="G242" s="49" t="s">
        <v>43</v>
      </c>
      <c r="H242" s="49">
        <f>VLOOKUP(Q242,[2]PROYECTOS!$V$1:$W$32,2,0)</f>
        <v>999999</v>
      </c>
      <c r="I242" s="50">
        <f>25681936-180275-476661</f>
        <v>25025000</v>
      </c>
      <c r="J242" s="51" t="s">
        <v>1328</v>
      </c>
      <c r="K242" s="47" t="str">
        <f t="shared" ca="1" si="129"/>
        <v>CONTRATADO</v>
      </c>
      <c r="L242" s="47" t="s">
        <v>94</v>
      </c>
      <c r="M242" s="47" t="s">
        <v>1297</v>
      </c>
      <c r="N242" s="52" t="s">
        <v>155</v>
      </c>
      <c r="O242" s="51" t="e">
        <f>VLOOKUP(N242,[2]!RUBROS[#All],3,0)</f>
        <v>#REF!</v>
      </c>
      <c r="P242" s="53" t="e">
        <f>VLOOKUP(N242,[2]!RUBROS[#All],2,0)</f>
        <v>#REF!</v>
      </c>
      <c r="Q242" s="47" t="str">
        <f t="shared" si="130"/>
        <v>00</v>
      </c>
      <c r="R242" s="47" t="str">
        <f t="shared" si="131"/>
        <v>4-205616</v>
      </c>
      <c r="S242" s="54">
        <v>112</v>
      </c>
      <c r="T242" s="59" t="s">
        <v>120</v>
      </c>
      <c r="U242" s="326" t="e">
        <f ca="1">_xlfn.XLOOKUP(PAA_4[[#This Row],[ITEM]],[2]Contrato!A:A,[2]Contrato!Q:Q,"",0)</f>
        <v>#NAME?</v>
      </c>
      <c r="V242" s="47" t="s">
        <v>95</v>
      </c>
      <c r="W242" s="47" t="s">
        <v>194</v>
      </c>
      <c r="X242" s="47" t="s">
        <v>194</v>
      </c>
      <c r="Y242" s="55" t="e">
        <f ca="1">_xlfn.XLOOKUP(PAA_4[[#This Row],[ITEM]],[2]Contrato!A:A,[2]Contrato!B:B,"",0)</f>
        <v>#NAME?</v>
      </c>
      <c r="Z242" s="47" t="e">
        <f ca="1">_xlfn.XLOOKUP(PAA_4[[#This Row],[ITEM]],[2]Contrato!A:A,[2]Contrato!G:G,"",0)</f>
        <v>#NAME?</v>
      </c>
      <c r="AA242" s="47" t="e">
        <f ca="1">_xlfn.XLOOKUP(PAA_4[[#This Row],[ITEM]],[2]Contrato!A:A,[2]Contrato!T:T,"",0)</f>
        <v>#NAME?</v>
      </c>
      <c r="AB242" s="55" t="e">
        <f ca="1">+MAX(PAA_4[[#This Row],[Comprometido Contrato]],PAA_4[[#This Row],[Comprometido Bolsa]])</f>
        <v>#NAME?</v>
      </c>
      <c r="AC242" s="55" t="str">
        <f t="shared" ca="1" si="132"/>
        <v/>
      </c>
      <c r="AD242" s="55" t="e">
        <f ca="1">IF(PAA_4[[#This Row],[ESTADO (formulado)]]="NO CONTRATADO",0,MAX(PAA_4[[#This Row],[Pago por Contrato]],PAA_4[[#This Row],[Pago por bolsa]]))</f>
        <v>#NAME?</v>
      </c>
      <c r="AE242" s="55" t="str">
        <f t="shared" ca="1" si="133"/>
        <v/>
      </c>
      <c r="AF242" s="47" t="e">
        <f t="shared" ca="1" si="134"/>
        <v>#NAME?</v>
      </c>
      <c r="AG242" s="47" t="str">
        <f t="shared" si="135"/>
        <v/>
      </c>
      <c r="AH242" s="54">
        <f>IF(Q242="22",IF(ISNUMBER(SEARCH("econ",PAA_4[[#This Row],[Actividad3]])),"Económico",IF(ISNUMBER(SEARCH("alim",PAA_4[[#This Row],[Actividad3]])),"Alimentación",IF(ISNUMBER(SEARCH("educ",PAA_4[[#This Row],[Actividad3]])),"Educativo","Técnico"))),0)</f>
        <v>0</v>
      </c>
      <c r="AI242" s="47" t="e" cm="1">
        <f t="array" aca="1" ref="AI242" ca="1">_xlfn.XLOOKUP(PAA_4[[#This Row],[RCP-RUBRO]],[2]!COMPROMISOS_2024[[#All],[concatenado]],[2]!COMPROMISOS_2024[[#All],[Total pagado]],"",0)</f>
        <v>#NAME?</v>
      </c>
      <c r="AJ242" s="56">
        <f>IF(PAA_4[[#This Row],[BOLSA]]=0,0,SUMIFS([2]!COMPROMISOS_2024[[#All],[Total pagado]],[2]!COMPROMISOS_2024[[#All],[Bolsa]],PAA_4[[#This Row],[BOLSA]],[2]!COMPROMISOS_2024[[#All],[rubro]],PAA_4[[#This Row],[RCP-RUBRO]]))</f>
        <v>0</v>
      </c>
      <c r="AK242" s="47" t="e" cm="1">
        <f t="array" aca="1" ref="AK242" ca="1">_xlfn.XLOOKUP(PAA_4[[#This Row],[RCP-RUBRO]],[2]!COMPROMISOS_2024[[#All],[concatenado]],[2]!COMPROMISOS_2024[[#All],[Total Comprometido]],"",0)</f>
        <v>#NAME?</v>
      </c>
      <c r="AL242" s="47">
        <f>IF(PAA_4[[#This Row],[BOLSA]]=0,0,SUMIFS([2]!COMPROMISOS_2024[[#All],[Total Comprometido]],[2]!COMPROMISOS_2024[[#All],[Bolsa]],PAA_4[[#This Row],[BOLSA]],[2]!COMPROMISOS_2024[[#All],[concatenado]],PAA_4[[#This Row],[RCP-RUBRO]]))</f>
        <v>0</v>
      </c>
    </row>
    <row r="243" spans="1:38" s="19" customFormat="1" ht="31.5" customHeight="1">
      <c r="A243" s="47">
        <v>1121</v>
      </c>
      <c r="B243" s="51">
        <v>80101500</v>
      </c>
      <c r="C243" s="47" t="str">
        <f>VLOOKUP(PAA_4[[#This Row],[PROYECTO (formulado)2]],[2]PROYECTOS!$G$1:$L$32,6,0)</f>
        <v>SUBGERENCIA ADMINISTRATIVA Y FINANCIERA</v>
      </c>
      <c r="D243" s="47" t="str">
        <f>+IF(PAA_4[[#This Row],[UNIDAD DE CONTRATACION (formulado)]]="Subgerencia Administrativa y Financiera","FUNCIONAMIENTO","INVERSIÓN")</f>
        <v>FUNCIONAMIENTO</v>
      </c>
      <c r="E243" s="48" t="str">
        <f>VLOOKUP(Q243,[2]PROYECTOS!$G$1:$K$32,5,0)</f>
        <v>FUNCIONAMIENTO</v>
      </c>
      <c r="F243" s="48">
        <f>VLOOKUP(E243,[2]PROYECTOS!$K$1:$M$32,3,0)</f>
        <v>999999</v>
      </c>
      <c r="G243" s="49" t="s">
        <v>43</v>
      </c>
      <c r="H243" s="49">
        <f>VLOOKUP(Q243,[2]PROYECTOS!$V$1:$W$32,2,0)</f>
        <v>999999</v>
      </c>
      <c r="I243" s="50">
        <v>28469560</v>
      </c>
      <c r="J243" s="51" t="s">
        <v>1407</v>
      </c>
      <c r="K243" s="47" t="str">
        <f t="shared" ca="1" si="129"/>
        <v>CONTRATADO</v>
      </c>
      <c r="L243" s="61" t="s">
        <v>94</v>
      </c>
      <c r="M243" s="47" t="s">
        <v>1297</v>
      </c>
      <c r="N243" s="52" t="s">
        <v>155</v>
      </c>
      <c r="O243" s="51" t="e">
        <f>VLOOKUP(N243,[2]!RUBROS[#All],3,0)</f>
        <v>#REF!</v>
      </c>
      <c r="P243" s="53" t="e">
        <f>VLOOKUP(N243,[2]!RUBROS[#All],2,0)</f>
        <v>#REF!</v>
      </c>
      <c r="Q243" s="47" t="str">
        <f t="shared" si="130"/>
        <v>00</v>
      </c>
      <c r="R243" s="47" t="str">
        <f t="shared" si="131"/>
        <v>4-205616</v>
      </c>
      <c r="S243" s="54">
        <v>3</v>
      </c>
      <c r="T243" s="59" t="s">
        <v>46</v>
      </c>
      <c r="U243" s="326" t="e">
        <f ca="1">_xlfn.XLOOKUP(PAA_4[[#This Row],[ITEM]],[2]Contrato!A:A,[2]Contrato!Q:Q,"",0)</f>
        <v>#NAME?</v>
      </c>
      <c r="V243" s="47" t="s">
        <v>95</v>
      </c>
      <c r="W243" s="47" t="s">
        <v>203</v>
      </c>
      <c r="X243" s="47" t="s">
        <v>203</v>
      </c>
      <c r="Y243" s="55" t="e">
        <f ca="1">_xlfn.XLOOKUP(PAA_4[[#This Row],[ITEM]],[2]Contrato!A:A,[2]Contrato!B:B,"",0)</f>
        <v>#NAME?</v>
      </c>
      <c r="Z243" s="47" t="e">
        <f ca="1">_xlfn.XLOOKUP(PAA_4[[#This Row],[ITEM]],[2]Contrato!A:A,[2]Contrato!G:G,"",0)</f>
        <v>#NAME?</v>
      </c>
      <c r="AA243" s="47" t="e">
        <f ca="1">_xlfn.XLOOKUP(PAA_4[[#This Row],[ITEM]],[2]Contrato!A:A,[2]Contrato!T:T,"",0)</f>
        <v>#NAME?</v>
      </c>
      <c r="AB243" s="55" t="e">
        <f ca="1">+MAX(PAA_4[[#This Row],[Comprometido Contrato]],PAA_4[[#This Row],[Comprometido Bolsa]])</f>
        <v>#NAME?</v>
      </c>
      <c r="AC243" s="55" t="str">
        <f t="shared" ca="1" si="132"/>
        <v/>
      </c>
      <c r="AD243" s="55" t="e">
        <f ca="1">IF(PAA_4[[#This Row],[ESTADO (formulado)]]="NO CONTRATADO",0,MAX(PAA_4[[#This Row],[Pago por Contrato]],PAA_4[[#This Row],[Pago por bolsa]]))</f>
        <v>#NAME?</v>
      </c>
      <c r="AE243" s="55" t="str">
        <f t="shared" ca="1" si="133"/>
        <v/>
      </c>
      <c r="AF243" s="47" t="e">
        <f t="shared" ca="1" si="134"/>
        <v>#NAME?</v>
      </c>
      <c r="AG243" s="47" t="str">
        <f t="shared" si="135"/>
        <v/>
      </c>
      <c r="AH243" s="54">
        <f>IF(Q243="22",IF(ISNUMBER(SEARCH("econ",PAA_4[[#This Row],[Actividad3]])),"Económico",IF(ISNUMBER(SEARCH("alim",PAA_4[[#This Row],[Actividad3]])),"Alimentación",IF(ISNUMBER(SEARCH("educ",PAA_4[[#This Row],[Actividad3]])),"Educativo","Técnico"))),0)</f>
        <v>0</v>
      </c>
      <c r="AI243" s="47" t="e" cm="1">
        <f t="array" aca="1" ref="AI243" ca="1">_xlfn.XLOOKUP(PAA_4[[#This Row],[RCP-RUBRO]],[2]!COMPROMISOS_2024[[#All],[concatenado]],[2]!COMPROMISOS_2024[[#All],[Total pagado]],"",0)</f>
        <v>#NAME?</v>
      </c>
      <c r="AJ243" s="56">
        <f>IF(PAA_4[[#This Row],[BOLSA]]=0,0,SUMIFS([2]!COMPROMISOS_2024[[#All],[Total pagado]],[2]!COMPROMISOS_2024[[#All],[Bolsa]],PAA_4[[#This Row],[BOLSA]],[2]!COMPROMISOS_2024[[#All],[rubro]],PAA_4[[#This Row],[RCP-RUBRO]]))</f>
        <v>0</v>
      </c>
      <c r="AK243" s="47" t="e" cm="1">
        <f t="array" aca="1" ref="AK243" ca="1">_xlfn.XLOOKUP(PAA_4[[#This Row],[RCP-RUBRO]],[2]!COMPROMISOS_2024[[#All],[concatenado]],[2]!COMPROMISOS_2024[[#All],[Total Comprometido]],"",0)</f>
        <v>#NAME?</v>
      </c>
      <c r="AL243" s="47">
        <f>IF(PAA_4[[#This Row],[BOLSA]]=0,0,SUMIFS([2]!COMPROMISOS_2024[[#All],[Total Comprometido]],[2]!COMPROMISOS_2024[[#All],[Bolsa]],PAA_4[[#This Row],[BOLSA]],[2]!COMPROMISOS_2024[[#All],[concatenado]],PAA_4[[#This Row],[RCP-RUBRO]]))</f>
        <v>0</v>
      </c>
    </row>
    <row r="244" spans="1:38" s="19" customFormat="1" ht="31.5" customHeight="1">
      <c r="A244" s="47">
        <v>1038</v>
      </c>
      <c r="B244" s="51">
        <v>78181500</v>
      </c>
      <c r="C244" s="47" t="str">
        <f>VLOOKUP(PAA_4[[#This Row],[PROYECTO (formulado)2]],[2]PROYECTOS!$G$1:$L$32,6,0)</f>
        <v>SUBGERENCIA ADMINISTRATIVA Y FINANCIERA</v>
      </c>
      <c r="D244" s="47" t="str">
        <f>+IF(PAA_4[[#This Row],[UNIDAD DE CONTRATACION (formulado)]]="Subgerencia Administrativa y Financiera","FUNCIONAMIENTO","INVERSIÓN")</f>
        <v>FUNCIONAMIENTO</v>
      </c>
      <c r="E244" s="48" t="str">
        <f>VLOOKUP(Q244,[2]PROYECTOS!$G$1:$K$32,5,0)</f>
        <v>FUNCIONAMIENTO</v>
      </c>
      <c r="F244" s="48">
        <f>VLOOKUP(E244,[2]PROYECTOS!$K$1:$M$32,3,0)</f>
        <v>999999</v>
      </c>
      <c r="G244" s="49" t="s">
        <v>43</v>
      </c>
      <c r="H244" s="49">
        <f>VLOOKUP(Q244,[2]PROYECTOS!$V$1:$W$32,2,0)</f>
        <v>999999</v>
      </c>
      <c r="I244" s="50">
        <v>4035618</v>
      </c>
      <c r="J244" s="51" t="s">
        <v>1408</v>
      </c>
      <c r="K244" s="47" t="str">
        <f t="shared" ca="1" si="129"/>
        <v>CONTRATADO</v>
      </c>
      <c r="L244" s="61" t="s">
        <v>78</v>
      </c>
      <c r="M244" s="47" t="s">
        <v>89</v>
      </c>
      <c r="N244" s="52" t="s">
        <v>155</v>
      </c>
      <c r="O244" s="51" t="e">
        <f>VLOOKUP(N244,[2]!RUBROS[#All],3,0)</f>
        <v>#REF!</v>
      </c>
      <c r="P244" s="53" t="e">
        <f>VLOOKUP(N244,[2]!RUBROS[#All],2,0)</f>
        <v>#REF!</v>
      </c>
      <c r="Q244" s="47" t="str">
        <f t="shared" si="130"/>
        <v>00</v>
      </c>
      <c r="R244" s="47" t="str">
        <f t="shared" si="131"/>
        <v>4-205616</v>
      </c>
      <c r="S244" s="54">
        <v>220</v>
      </c>
      <c r="T244" s="59" t="s">
        <v>120</v>
      </c>
      <c r="U244" s="326" t="e">
        <f ca="1">_xlfn.XLOOKUP(PAA_4[[#This Row],[ITEM]],[2]Contrato!A:A,[2]Contrato!Q:Q,"",0)</f>
        <v>#NAME?</v>
      </c>
      <c r="V244" s="47" t="s">
        <v>95</v>
      </c>
      <c r="W244" s="47" t="s">
        <v>203</v>
      </c>
      <c r="X244" s="47" t="s">
        <v>203</v>
      </c>
      <c r="Y244" s="55" t="e">
        <f ca="1">_xlfn.XLOOKUP(PAA_4[[#This Row],[ITEM]],[2]Contrato!A:A,[2]Contrato!B:B,"",0)</f>
        <v>#NAME?</v>
      </c>
      <c r="Z244" s="47" t="e">
        <f ca="1">_xlfn.XLOOKUP(PAA_4[[#This Row],[ITEM]],[2]Contrato!A:A,[2]Contrato!G:G,"",0)</f>
        <v>#NAME?</v>
      </c>
      <c r="AA244" s="47" t="e">
        <f ca="1">_xlfn.XLOOKUP(PAA_4[[#This Row],[ITEM]],[2]Contrato!A:A,[2]Contrato!T:T,"",0)</f>
        <v>#NAME?</v>
      </c>
      <c r="AB244" s="55" t="e">
        <f ca="1">+MAX(PAA_4[[#This Row],[Comprometido Contrato]],PAA_4[[#This Row],[Comprometido Bolsa]])</f>
        <v>#NAME?</v>
      </c>
      <c r="AC244" s="55" t="str">
        <f t="shared" ca="1" si="132"/>
        <v/>
      </c>
      <c r="AD244" s="55" t="e">
        <f ca="1">IF(PAA_4[[#This Row],[ESTADO (formulado)]]="NO CONTRATADO",0,MAX(PAA_4[[#This Row],[Pago por Contrato]],PAA_4[[#This Row],[Pago por bolsa]]))</f>
        <v>#NAME?</v>
      </c>
      <c r="AE244" s="55" t="str">
        <f t="shared" ca="1" si="133"/>
        <v/>
      </c>
      <c r="AF244" s="47" t="e">
        <f t="shared" ca="1" si="134"/>
        <v>#NAME?</v>
      </c>
      <c r="AG244" s="47" t="str">
        <f t="shared" si="135"/>
        <v/>
      </c>
      <c r="AH244" s="54">
        <f>IF(Q244="22",IF(ISNUMBER(SEARCH("econ",PAA_4[[#This Row],[Actividad3]])),"Económico",IF(ISNUMBER(SEARCH("alim",PAA_4[[#This Row],[Actividad3]])),"Alimentación",IF(ISNUMBER(SEARCH("educ",PAA_4[[#This Row],[Actividad3]])),"Educativo","Técnico"))),0)</f>
        <v>0</v>
      </c>
      <c r="AI244" s="47" t="e" cm="1">
        <f t="array" aca="1" ref="AI244" ca="1">_xlfn.XLOOKUP(PAA_4[[#This Row],[RCP-RUBRO]],[2]!COMPROMISOS_2024[[#All],[concatenado]],[2]!COMPROMISOS_2024[[#All],[Total pagado]],"",0)</f>
        <v>#NAME?</v>
      </c>
      <c r="AJ244" s="56">
        <f>IF(PAA_4[[#This Row],[BOLSA]]=0,0,SUMIFS([2]!COMPROMISOS_2024[[#All],[Total pagado]],[2]!COMPROMISOS_2024[[#All],[Bolsa]],PAA_4[[#This Row],[BOLSA]],[2]!COMPROMISOS_2024[[#All],[rubro]],PAA_4[[#This Row],[RCP-RUBRO]]))</f>
        <v>0</v>
      </c>
      <c r="AK244" s="47" t="e" cm="1">
        <f t="array" aca="1" ref="AK244" ca="1">_xlfn.XLOOKUP(PAA_4[[#This Row],[RCP-RUBRO]],[2]!COMPROMISOS_2024[[#All],[concatenado]],[2]!COMPROMISOS_2024[[#All],[Total Comprometido]],"",0)</f>
        <v>#NAME?</v>
      </c>
      <c r="AL244" s="47">
        <f>IF(PAA_4[[#This Row],[BOLSA]]=0,0,SUMIFS([2]!COMPROMISOS_2024[[#All],[Total Comprometido]],[2]!COMPROMISOS_2024[[#All],[Bolsa]],PAA_4[[#This Row],[BOLSA]],[2]!COMPROMISOS_2024[[#All],[concatenado]],PAA_4[[#This Row],[RCP-RUBRO]]))</f>
        <v>0</v>
      </c>
    </row>
    <row r="245" spans="1:38" s="19" customFormat="1" ht="31.5" customHeight="1">
      <c r="A245" s="47">
        <v>1234</v>
      </c>
      <c r="B245" s="51">
        <v>80111600</v>
      </c>
      <c r="C245" s="47" t="str">
        <f>VLOOKUP(PAA_4[[#This Row],[PROYECTO (formulado)2]],[2]PROYECTOS!$G$1:$L$32,6,0)</f>
        <v>SUBGERENCIA ADMINISTRATIVA Y FINANCIERA</v>
      </c>
      <c r="D245" s="47" t="str">
        <f>+IF(PAA_4[[#This Row],[UNIDAD DE CONTRATACION (formulado)]]="Subgerencia Administrativa y Financiera","FUNCIONAMIENTO","INVERSIÓN")</f>
        <v>FUNCIONAMIENTO</v>
      </c>
      <c r="E245" s="48" t="str">
        <f>VLOOKUP(Q245,[2]PROYECTOS!$G$1:$K$32,5,0)</f>
        <v>FUNCIONAMIENTO</v>
      </c>
      <c r="F245" s="48">
        <f>VLOOKUP(E245,[2]PROYECTOS!$K$1:$M$32,3,0)</f>
        <v>999999</v>
      </c>
      <c r="G245" s="49" t="s">
        <v>43</v>
      </c>
      <c r="H245" s="49">
        <f>VLOOKUP(Q245,[2]PROYECTOS!$V$1:$W$32,2,0)</f>
        <v>999999</v>
      </c>
      <c r="I245" s="50">
        <f>9965153-410153</f>
        <v>9555000</v>
      </c>
      <c r="J245" s="51" t="s">
        <v>1409</v>
      </c>
      <c r="K245" s="47" t="str">
        <f t="shared" ca="1" si="129"/>
        <v>CONTRATADO</v>
      </c>
      <c r="L245" s="61" t="s">
        <v>94</v>
      </c>
      <c r="M245" s="47" t="s">
        <v>89</v>
      </c>
      <c r="N245" s="52" t="s">
        <v>155</v>
      </c>
      <c r="O245" s="51" t="e">
        <f>VLOOKUP(N245,[2]!RUBROS[#All],3,0)</f>
        <v>#REF!</v>
      </c>
      <c r="P245" s="53" t="e">
        <f>VLOOKUP(N245,[2]!RUBROS[#All],2,0)</f>
        <v>#REF!</v>
      </c>
      <c r="Q245" s="47" t="str">
        <f t="shared" si="130"/>
        <v>00</v>
      </c>
      <c r="R245" s="47" t="str">
        <f t="shared" si="131"/>
        <v>4-205616</v>
      </c>
      <c r="S245" s="54">
        <v>75</v>
      </c>
      <c r="T245" s="59" t="s">
        <v>120</v>
      </c>
      <c r="U245" s="326" t="e">
        <f ca="1">_xlfn.XLOOKUP(PAA_4[[#This Row],[ITEM]],[2]Contrato!A:A,[2]Contrato!Q:Q,"",0)</f>
        <v>#NAME?</v>
      </c>
      <c r="V245" s="47" t="s">
        <v>47</v>
      </c>
      <c r="W245" s="47" t="s">
        <v>1400</v>
      </c>
      <c r="X245" s="47" t="s">
        <v>1400</v>
      </c>
      <c r="Y245" s="55" t="e">
        <f ca="1">_xlfn.XLOOKUP(PAA_4[[#This Row],[ITEM]],[2]Contrato!A:A,[2]Contrato!B:B,"",0)</f>
        <v>#NAME?</v>
      </c>
      <c r="Z245" s="47" t="e">
        <f ca="1">_xlfn.XLOOKUP(PAA_4[[#This Row],[ITEM]],[2]Contrato!A:A,[2]Contrato!G:G,"",0)</f>
        <v>#NAME?</v>
      </c>
      <c r="AA245" s="47" t="e">
        <f ca="1">_xlfn.XLOOKUP(PAA_4[[#This Row],[ITEM]],[2]Contrato!A:A,[2]Contrato!T:T,"",0)</f>
        <v>#NAME?</v>
      </c>
      <c r="AB245" s="55" t="e">
        <f ca="1">+MAX(PAA_4[[#This Row],[Comprometido Contrato]],PAA_4[[#This Row],[Comprometido Bolsa]])</f>
        <v>#NAME?</v>
      </c>
      <c r="AC245" s="55" t="str">
        <f t="shared" ca="1" si="132"/>
        <v/>
      </c>
      <c r="AD245" s="55" t="e">
        <f ca="1">IF(PAA_4[[#This Row],[ESTADO (formulado)]]="NO CONTRATADO",0,MAX(PAA_4[[#This Row],[Pago por Contrato]],PAA_4[[#This Row],[Pago por bolsa]]))</f>
        <v>#NAME?</v>
      </c>
      <c r="AE245" s="55" t="str">
        <f t="shared" ca="1" si="133"/>
        <v/>
      </c>
      <c r="AF245" s="47" t="e">
        <f t="shared" ca="1" si="134"/>
        <v>#NAME?</v>
      </c>
      <c r="AG245" s="47" t="str">
        <f t="shared" si="135"/>
        <v/>
      </c>
      <c r="AH245" s="54">
        <f>IF(Q245="22",IF(ISNUMBER(SEARCH("econ",PAA_4[[#This Row],[Actividad3]])),"Económico",IF(ISNUMBER(SEARCH("alim",PAA_4[[#This Row],[Actividad3]])),"Alimentación",IF(ISNUMBER(SEARCH("educ",PAA_4[[#This Row],[Actividad3]])),"Educativo","Técnico"))),0)</f>
        <v>0</v>
      </c>
      <c r="AI245" s="47" t="e" cm="1">
        <f t="array" aca="1" ref="AI245" ca="1">_xlfn.XLOOKUP(PAA_4[[#This Row],[RCP-RUBRO]],[2]!COMPROMISOS_2024[[#All],[concatenado]],[2]!COMPROMISOS_2024[[#All],[Total pagado]],"",0)</f>
        <v>#NAME?</v>
      </c>
      <c r="AJ245" s="56">
        <f>IF(PAA_4[[#This Row],[BOLSA]]=0,0,SUMIFS([2]!COMPROMISOS_2024[[#All],[Total pagado]],[2]!COMPROMISOS_2024[[#All],[Bolsa]],PAA_4[[#This Row],[BOLSA]],[2]!COMPROMISOS_2024[[#All],[rubro]],PAA_4[[#This Row],[RCP-RUBRO]]))</f>
        <v>0</v>
      </c>
      <c r="AK245" s="47" t="e" cm="1">
        <f t="array" aca="1" ref="AK245" ca="1">_xlfn.XLOOKUP(PAA_4[[#This Row],[RCP-RUBRO]],[2]!COMPROMISOS_2024[[#All],[concatenado]],[2]!COMPROMISOS_2024[[#All],[Total Comprometido]],"",0)</f>
        <v>#NAME?</v>
      </c>
      <c r="AL245" s="47">
        <f>IF(PAA_4[[#This Row],[BOLSA]]=0,0,SUMIFS([2]!COMPROMISOS_2024[[#All],[Total Comprometido]],[2]!COMPROMISOS_2024[[#All],[Bolsa]],PAA_4[[#This Row],[BOLSA]],[2]!COMPROMISOS_2024[[#All],[concatenado]],PAA_4[[#This Row],[RCP-RUBRO]]))</f>
        <v>0</v>
      </c>
    </row>
    <row r="246" spans="1:38" s="19" customFormat="1" ht="31.5" customHeight="1">
      <c r="A246" s="47" t="s">
        <v>1410</v>
      </c>
      <c r="B246" s="51">
        <v>78111800</v>
      </c>
      <c r="C246" s="47" t="str">
        <f>VLOOKUP(PAA_4[[#This Row],[PROYECTO (formulado)2]],[2]PROYECTOS!$G$1:$L$32,6,0)</f>
        <v>SUBGERENCIA ADMINISTRATIVA Y FINANCIERA</v>
      </c>
      <c r="D246" s="47" t="str">
        <f>+IF(PAA_4[[#This Row],[UNIDAD DE CONTRATACION (formulado)]]="Subgerencia Administrativa y Financiera","FUNCIONAMIENTO","INVERSIÓN")</f>
        <v>FUNCIONAMIENTO</v>
      </c>
      <c r="E246" s="48" t="str">
        <f>VLOOKUP(Q246,[2]PROYECTOS!$G$1:$K$32,5,0)</f>
        <v>FUNCIONAMIENTO</v>
      </c>
      <c r="F246" s="48">
        <f>VLOOKUP(E246,[2]PROYECTOS!$K$1:$M$32,3,0)</f>
        <v>999999</v>
      </c>
      <c r="G246" s="49" t="s">
        <v>43</v>
      </c>
      <c r="H246" s="49">
        <f>VLOOKUP(Q246,[2]PROYECTOS!$V$1:$W$32,2,0)</f>
        <v>999999</v>
      </c>
      <c r="I246" s="50">
        <f>70561343-1955546</f>
        <v>68605797</v>
      </c>
      <c r="J246" s="51" t="s">
        <v>1411</v>
      </c>
      <c r="K246" s="47" t="str">
        <f t="shared" ca="1" si="129"/>
        <v>CONTRATADO</v>
      </c>
      <c r="L246" s="61" t="s">
        <v>94</v>
      </c>
      <c r="M246" s="47" t="s">
        <v>161</v>
      </c>
      <c r="N246" s="52" t="s">
        <v>155</v>
      </c>
      <c r="O246" s="51" t="e">
        <f>VLOOKUP(N246,[2]!RUBROS[#All],3,0)</f>
        <v>#REF!</v>
      </c>
      <c r="P246" s="53" t="e">
        <f>VLOOKUP(N246,[2]!RUBROS[#All],2,0)</f>
        <v>#REF!</v>
      </c>
      <c r="Q246" s="47" t="str">
        <f t="shared" si="130"/>
        <v>00</v>
      </c>
      <c r="R246" s="47" t="str">
        <f t="shared" si="131"/>
        <v>4-205616</v>
      </c>
      <c r="S246" s="54">
        <v>175</v>
      </c>
      <c r="T246" s="59" t="s">
        <v>120</v>
      </c>
      <c r="U246" s="326" t="e">
        <f ca="1">_xlfn.XLOOKUP(PAA_4[[#This Row],[ITEM]],[2]Contrato!A:A,[2]Contrato!Q:Q,"",0)</f>
        <v>#NAME?</v>
      </c>
      <c r="V246" s="47" t="s">
        <v>47</v>
      </c>
      <c r="W246" s="47" t="s">
        <v>154</v>
      </c>
      <c r="X246" s="47" t="s">
        <v>154</v>
      </c>
      <c r="Y246" s="55" t="e">
        <f ca="1">_xlfn.XLOOKUP(PAA_4[[#This Row],[ITEM]],[2]Contrato!A:A,[2]Contrato!B:B,"",0)</f>
        <v>#NAME?</v>
      </c>
      <c r="Z246" s="47" t="e">
        <f ca="1">_xlfn.XLOOKUP(PAA_4[[#This Row],[ITEM]],[2]Contrato!A:A,[2]Contrato!G:G,"",0)</f>
        <v>#NAME?</v>
      </c>
      <c r="AA246" s="47" t="e">
        <f ca="1">_xlfn.XLOOKUP(PAA_4[[#This Row],[ITEM]],[2]Contrato!A:A,[2]Contrato!T:T,"",0)</f>
        <v>#NAME?</v>
      </c>
      <c r="AB246" s="55" t="e">
        <f ca="1">+MAX(PAA_4[[#This Row],[Comprometido Contrato]],PAA_4[[#This Row],[Comprometido Bolsa]])</f>
        <v>#NAME?</v>
      </c>
      <c r="AC246" s="55" t="str">
        <f t="shared" ca="1" si="132"/>
        <v/>
      </c>
      <c r="AD246" s="55" t="e">
        <f ca="1">IF(PAA_4[[#This Row],[ESTADO (formulado)]]="NO CONTRATADO",0,MAX(PAA_4[[#This Row],[Pago por Contrato]],PAA_4[[#This Row],[Pago por bolsa]]))</f>
        <v>#NAME?</v>
      </c>
      <c r="AE246" s="55" t="str">
        <f t="shared" ca="1" si="133"/>
        <v/>
      </c>
      <c r="AF246" s="47" t="e">
        <f t="shared" ca="1" si="134"/>
        <v>#NAME?</v>
      </c>
      <c r="AG246" s="47" t="str">
        <f t="shared" si="135"/>
        <v/>
      </c>
      <c r="AH246" s="54">
        <f>IF(Q246="22",IF(ISNUMBER(SEARCH("econ",PAA_4[[#This Row],[Actividad3]])),"Económico",IF(ISNUMBER(SEARCH("alim",PAA_4[[#This Row],[Actividad3]])),"Alimentación",IF(ISNUMBER(SEARCH("educ",PAA_4[[#This Row],[Actividad3]])),"Educativo","Técnico"))),0)</f>
        <v>0</v>
      </c>
      <c r="AI246" s="47" t="e" cm="1">
        <f t="array" aca="1" ref="AI246" ca="1">_xlfn.XLOOKUP(PAA_4[[#This Row],[RCP-RUBRO]],[2]!COMPROMISOS_2024[[#All],[concatenado]],[2]!COMPROMISOS_2024[[#All],[Total pagado]],"",0)</f>
        <v>#NAME?</v>
      </c>
      <c r="AJ246" s="56">
        <f>IF(PAA_4[[#This Row],[BOLSA]]=0,0,SUMIFS([2]!COMPROMISOS_2024[[#All],[Total pagado]],[2]!COMPROMISOS_2024[[#All],[Bolsa]],PAA_4[[#This Row],[BOLSA]],[2]!COMPROMISOS_2024[[#All],[rubro]],PAA_4[[#This Row],[RCP-RUBRO]]))</f>
        <v>0</v>
      </c>
      <c r="AK246" s="47" t="e" cm="1">
        <f t="array" aca="1" ref="AK246" ca="1">_xlfn.XLOOKUP(PAA_4[[#This Row],[RCP-RUBRO]],[2]!COMPROMISOS_2024[[#All],[concatenado]],[2]!COMPROMISOS_2024[[#All],[Total Comprometido]],"",0)</f>
        <v>#NAME?</v>
      </c>
      <c r="AL246" s="47">
        <f>IF(PAA_4[[#This Row],[BOLSA]]=0,0,SUMIFS([2]!COMPROMISOS_2024[[#All],[Total Comprometido]],[2]!COMPROMISOS_2024[[#All],[Bolsa]],PAA_4[[#This Row],[BOLSA]],[2]!COMPROMISOS_2024[[#All],[concatenado]],PAA_4[[#This Row],[RCP-RUBRO]]))</f>
        <v>0</v>
      </c>
    </row>
    <row r="247" spans="1:38" s="19" customFormat="1" ht="31.5" customHeight="1">
      <c r="A247" s="47" t="s">
        <v>82</v>
      </c>
      <c r="B247" s="51" t="s">
        <v>42</v>
      </c>
      <c r="C247" s="47" t="str">
        <f>VLOOKUP(PAA_4[[#This Row],[PROYECTO (formulado)2]],[2]PROYECTOS!$G$1:$L$32,6,0)</f>
        <v>SUBGERENCIA ADMINISTRATIVA Y FINANCIERA</v>
      </c>
      <c r="D247" s="47" t="str">
        <f>+IF(PAA_4[[#This Row],[UNIDAD DE CONTRATACION (formulado)]]="Subgerencia Administrativa y Financiera","FUNCIONAMIENTO","INVERSIÓN")</f>
        <v>FUNCIONAMIENTO</v>
      </c>
      <c r="E247" s="48" t="str">
        <f>VLOOKUP(Q247,[2]PROYECTOS!$G$1:$K$32,5,0)</f>
        <v>FUNCIONAMIENTO</v>
      </c>
      <c r="F247" s="48">
        <f>VLOOKUP(E247,[2]PROYECTOS!$K$1:$M$32,3,0)</f>
        <v>999999</v>
      </c>
      <c r="G247" s="49" t="s">
        <v>43</v>
      </c>
      <c r="H247" s="49">
        <f>VLOOKUP(Q247,[2]PROYECTOS!$V$1:$W$32,2,0)</f>
        <v>999999</v>
      </c>
      <c r="I247" s="50">
        <v>22259169</v>
      </c>
      <c r="J247" s="51" t="s">
        <v>1298</v>
      </c>
      <c r="K247" s="47" t="str">
        <f t="shared" ca="1" si="129"/>
        <v>CONTRATADO</v>
      </c>
      <c r="L247" s="61" t="s">
        <v>42</v>
      </c>
      <c r="M247" s="47" t="s">
        <v>42</v>
      </c>
      <c r="N247" s="51" t="s">
        <v>1382</v>
      </c>
      <c r="O247" s="51" t="e">
        <f>VLOOKUP(N247,[2]!RUBROS[#All],3,0)</f>
        <v>#REF!</v>
      </c>
      <c r="P247" s="53" t="e">
        <f>VLOOKUP(N247,[2]!RUBROS[#All],2,0)</f>
        <v>#REF!</v>
      </c>
      <c r="Q247" s="47" t="str">
        <f t="shared" si="130"/>
        <v>00</v>
      </c>
      <c r="R247" s="47" t="str">
        <f t="shared" si="131"/>
        <v>4-205616</v>
      </c>
      <c r="S247" s="54" t="s">
        <v>42</v>
      </c>
      <c r="T247" s="59" t="s">
        <v>42</v>
      </c>
      <c r="U247" s="326" t="e">
        <f ca="1">_xlfn.XLOOKUP(PAA_4[[#This Row],[ITEM]],[2]Contrato!A:A,[2]Contrato!Q:Q,"",0)</f>
        <v>#NAME?</v>
      </c>
      <c r="V247" s="47" t="s">
        <v>95</v>
      </c>
      <c r="W247" s="47" t="s">
        <v>42</v>
      </c>
      <c r="X247" s="47" t="s">
        <v>42</v>
      </c>
      <c r="Y247" s="55" t="e">
        <f ca="1">_xlfn.XLOOKUP(PAA_4[[#This Row],[ITEM]],[2]Contrato!A:A,[2]Contrato!B:B,"",0)</f>
        <v>#NAME?</v>
      </c>
      <c r="Z247" s="47" t="e">
        <f ca="1">_xlfn.XLOOKUP(PAA_4[[#This Row],[ITEM]],[2]Contrato!A:A,[2]Contrato!G:G,"",0)</f>
        <v>#NAME?</v>
      </c>
      <c r="AA247" s="47" t="e">
        <f ca="1">_xlfn.XLOOKUP(PAA_4[[#This Row],[ITEM]],[2]Contrato!A:A,[2]Contrato!T:T,"",0)</f>
        <v>#NAME?</v>
      </c>
      <c r="AB247" s="55" t="e">
        <f ca="1">+MAX(PAA_4[[#This Row],[Comprometido Contrato]],PAA_4[[#This Row],[Comprometido Bolsa]])</f>
        <v>#NAME?</v>
      </c>
      <c r="AC247" s="55" t="str">
        <f t="shared" ca="1" si="132"/>
        <v/>
      </c>
      <c r="AD247" s="55" t="e">
        <f ca="1">IF(PAA_4[[#This Row],[ESTADO (formulado)]]="NO CONTRATADO",0,MAX(PAA_4[[#This Row],[Pago por Contrato]],PAA_4[[#This Row],[Pago por bolsa]]))</f>
        <v>#NAME?</v>
      </c>
      <c r="AE247" s="55" t="str">
        <f t="shared" ca="1" si="133"/>
        <v/>
      </c>
      <c r="AF247" s="47" t="e">
        <f t="shared" ca="1" si="134"/>
        <v>#NAME?</v>
      </c>
      <c r="AG247" s="47" t="str">
        <f t="shared" si="135"/>
        <v/>
      </c>
      <c r="AH247" s="54">
        <f>IF(Q247="22",IF(ISNUMBER(SEARCH("econ",PAA_4[[#This Row],[Actividad3]])),"Económico",IF(ISNUMBER(SEARCH("alim",PAA_4[[#This Row],[Actividad3]])),"Alimentación",IF(ISNUMBER(SEARCH("educ",PAA_4[[#This Row],[Actividad3]])),"Educativo","Técnico"))),0)</f>
        <v>0</v>
      </c>
      <c r="AI247" s="47" t="e" cm="1">
        <f t="array" aca="1" ref="AI247" ca="1">_xlfn.XLOOKUP(PAA_4[[#This Row],[RCP-RUBRO]],[2]!COMPROMISOS_2024[[#All],[concatenado]],[2]!COMPROMISOS_2024[[#All],[Total pagado]],"",0)</f>
        <v>#NAME?</v>
      </c>
      <c r="AJ247" s="56">
        <f>IF(PAA_4[[#This Row],[BOLSA]]=0,0,SUMIFS([2]!COMPROMISOS_2024[[#All],[Total pagado]],[2]!COMPROMISOS_2024[[#All],[Bolsa]],PAA_4[[#This Row],[BOLSA]],[2]!COMPROMISOS_2024[[#All],[rubro]],PAA_4[[#This Row],[RCP-RUBRO]]))</f>
        <v>0</v>
      </c>
      <c r="AK247" s="47" t="e" cm="1">
        <f t="array" aca="1" ref="AK247" ca="1">_xlfn.XLOOKUP(PAA_4[[#This Row],[RCP-RUBRO]],[2]!COMPROMISOS_2024[[#All],[concatenado]],[2]!COMPROMISOS_2024[[#All],[Total Comprometido]],"",0)</f>
        <v>#NAME?</v>
      </c>
      <c r="AL247" s="47">
        <f>IF(PAA_4[[#This Row],[BOLSA]]=0,0,SUMIFS([2]!COMPROMISOS_2024[[#All],[Total Comprometido]],[2]!COMPROMISOS_2024[[#All],[Bolsa]],PAA_4[[#This Row],[BOLSA]],[2]!COMPROMISOS_2024[[#All],[concatenado]],PAA_4[[#This Row],[RCP-RUBRO]]))</f>
        <v>0</v>
      </c>
    </row>
    <row r="248" spans="1:38" s="19" customFormat="1" ht="31.5" customHeight="1">
      <c r="A248" s="47" t="s">
        <v>82</v>
      </c>
      <c r="B248" s="51" t="s">
        <v>42</v>
      </c>
      <c r="C248" s="47" t="str">
        <f>VLOOKUP(PAA_4[[#This Row],[PROYECTO (formulado)2]],[2]PROYECTOS!$G$1:$L$32,6,0)</f>
        <v>SUBGERENCIA ADMINISTRATIVA Y FINANCIERA</v>
      </c>
      <c r="D248" s="47" t="str">
        <f>+IF(PAA_4[[#This Row],[UNIDAD DE CONTRATACION (formulado)]]="Subgerencia Administrativa y Financiera","FUNCIONAMIENTO","INVERSIÓN")</f>
        <v>FUNCIONAMIENTO</v>
      </c>
      <c r="E248" s="48" t="str">
        <f>VLOOKUP(Q248,[2]PROYECTOS!$G$1:$K$32,5,0)</f>
        <v>FUNCIONAMIENTO</v>
      </c>
      <c r="F248" s="48">
        <f>VLOOKUP(E248,[2]PROYECTOS!$K$1:$M$32,3,0)</f>
        <v>999999</v>
      </c>
      <c r="G248" s="49" t="s">
        <v>43</v>
      </c>
      <c r="H248" s="49">
        <f>VLOOKUP(Q248,[2]PROYECTOS!$V$1:$W$32,2,0)</f>
        <v>999999</v>
      </c>
      <c r="I248" s="50">
        <v>230200</v>
      </c>
      <c r="J248" s="51" t="s">
        <v>1295</v>
      </c>
      <c r="K248" s="47" t="str">
        <f ca="1">IF(ISNONTEXT(Y248)=TRUE,"CONTRATADO","NO CONTRATADO")</f>
        <v>CONTRATADO</v>
      </c>
      <c r="L248" s="61" t="s">
        <v>42</v>
      </c>
      <c r="M248" s="47" t="s">
        <v>42</v>
      </c>
      <c r="N248" s="51" t="s">
        <v>1382</v>
      </c>
      <c r="O248" s="51" t="e">
        <f>VLOOKUP(N248,[2]!RUBROS[#All],3,0)</f>
        <v>#REF!</v>
      </c>
      <c r="P248" s="53" t="e">
        <f>VLOOKUP(N248,[2]!RUBROS[#All],2,0)</f>
        <v>#REF!</v>
      </c>
      <c r="Q248" s="47" t="str">
        <f>+MID(N248,11,2)</f>
        <v>00</v>
      </c>
      <c r="R248" s="47" t="str">
        <f>+MID(N248,14,8)</f>
        <v>4-205616</v>
      </c>
      <c r="S248" s="54" t="s">
        <v>42</v>
      </c>
      <c r="T248" s="59" t="s">
        <v>42</v>
      </c>
      <c r="U248" s="326" t="e">
        <f ca="1">_xlfn.XLOOKUP(PAA_4[[#This Row],[ITEM]],[2]Contrato!A:A,[2]Contrato!Q:Q,"",0)</f>
        <v>#NAME?</v>
      </c>
      <c r="V248" s="47" t="s">
        <v>95</v>
      </c>
      <c r="W248" s="47" t="s">
        <v>42</v>
      </c>
      <c r="X248" s="47" t="s">
        <v>42</v>
      </c>
      <c r="Y248" s="55" t="e">
        <f ca="1">_xlfn.XLOOKUP(PAA_4[[#This Row],[ITEM]],[2]Contrato!A:A,[2]Contrato!B:B,"",0)</f>
        <v>#NAME?</v>
      </c>
      <c r="Z248" s="47" t="e">
        <f ca="1">_xlfn.XLOOKUP(PAA_4[[#This Row],[ITEM]],[2]Contrato!A:A,[2]Contrato!G:G,"",0)</f>
        <v>#NAME?</v>
      </c>
      <c r="AA248" s="47" t="e">
        <f ca="1">_xlfn.XLOOKUP(PAA_4[[#This Row],[ITEM]],[2]Contrato!A:A,[2]Contrato!T:T,"",0)</f>
        <v>#NAME?</v>
      </c>
      <c r="AB248" s="55" t="e">
        <f ca="1">+MAX(PAA_4[[#This Row],[Comprometido Contrato]],PAA_4[[#This Row],[Comprometido Bolsa]])</f>
        <v>#NAME?</v>
      </c>
      <c r="AC248" s="55" t="str">
        <f ca="1">IFERROR(I248-AB248,"")</f>
        <v/>
      </c>
      <c r="AD248" s="55" t="e">
        <f ca="1">IF(PAA_4[[#This Row],[ESTADO (formulado)]]="NO CONTRATADO",0,MAX(PAA_4[[#This Row],[Pago por Contrato]],PAA_4[[#This Row],[Pago por bolsa]]))</f>
        <v>#NAME?</v>
      </c>
      <c r="AE248" s="55" t="str">
        <f ca="1">+IFERROR(AB248-AD248,"")</f>
        <v/>
      </c>
      <c r="AF248" s="47" t="e">
        <f ca="1">+CONCATENATE(AA248,N248)</f>
        <v>#NAME?</v>
      </c>
      <c r="AG248" s="47" t="str">
        <f>IFERROR(_xlfn.NUMBERVALUE(MID(G248,1,8)),"")</f>
        <v/>
      </c>
      <c r="AH248" s="54">
        <f>IF(Q248="22",IF(ISNUMBER(SEARCH("econ",PAA_4[[#This Row],[Actividad3]])),"Económico",IF(ISNUMBER(SEARCH("alim",PAA_4[[#This Row],[Actividad3]])),"Alimentación",IF(ISNUMBER(SEARCH("educ",PAA_4[[#This Row],[Actividad3]])),"Educativo","Técnico"))),0)</f>
        <v>0</v>
      </c>
      <c r="AI248" s="47" t="e" cm="1">
        <f t="array" aca="1" ref="AI248" ca="1">_xlfn.XLOOKUP(PAA_4[[#This Row],[RCP-RUBRO]],[2]!COMPROMISOS_2024[[#All],[concatenado]],[2]!COMPROMISOS_2024[[#All],[Total pagado]],"",0)</f>
        <v>#NAME?</v>
      </c>
      <c r="AJ248" s="56">
        <f>IF(PAA_4[[#This Row],[BOLSA]]=0,0,SUMIFS([2]!COMPROMISOS_2024[[#All],[Total pagado]],[2]!COMPROMISOS_2024[[#All],[Bolsa]],PAA_4[[#This Row],[BOLSA]],[2]!COMPROMISOS_2024[[#All],[rubro]],PAA_4[[#This Row],[RCP-RUBRO]]))</f>
        <v>0</v>
      </c>
      <c r="AK248" s="47" t="e" cm="1">
        <f t="array" aca="1" ref="AK248" ca="1">_xlfn.XLOOKUP(PAA_4[[#This Row],[RCP-RUBRO]],[2]!COMPROMISOS_2024[[#All],[concatenado]],[2]!COMPROMISOS_2024[[#All],[Total Comprometido]],"",0)</f>
        <v>#NAME?</v>
      </c>
      <c r="AL248" s="47">
        <f>IF(PAA_4[[#This Row],[BOLSA]]=0,0,SUMIFS([2]!COMPROMISOS_2024[[#All],[Total Comprometido]],[2]!COMPROMISOS_2024[[#All],[Bolsa]],PAA_4[[#This Row],[BOLSA]],[2]!COMPROMISOS_2024[[#All],[concatenado]],PAA_4[[#This Row],[RCP-RUBRO]]))</f>
        <v>0</v>
      </c>
    </row>
    <row r="249" spans="1:38" s="19" customFormat="1" ht="30.75" customHeight="1">
      <c r="A249" s="47">
        <v>797</v>
      </c>
      <c r="B249" s="51" t="s">
        <v>77</v>
      </c>
      <c r="C249" s="47" t="str">
        <f>VLOOKUP(PAA_4[[#This Row],[PROYECTO (formulado)2]],[2]PROYECTOS!$G$1:$L$32,6,0)</f>
        <v>SUBGERENCIA ADMINISTRATIVA Y FINANCIERA</v>
      </c>
      <c r="D249" s="47" t="str">
        <f>+IF(PAA_4[[#This Row],[UNIDAD DE CONTRATACION (formulado)]]="Subgerencia Administrativa y Financiera","FUNCIONAMIENTO","INVERSIÓN")</f>
        <v>FUNCIONAMIENTO</v>
      </c>
      <c r="E249" s="48" t="str">
        <f>VLOOKUP(Q249,[2]PROYECTOS!$G$1:$K$32,5,0)</f>
        <v>FUNCIONAMIENTO</v>
      </c>
      <c r="F249" s="48">
        <f>VLOOKUP(E249,[2]PROYECTOS!$K$1:$M$32,3,0)</f>
        <v>999999</v>
      </c>
      <c r="G249" s="49" t="s">
        <v>43</v>
      </c>
      <c r="H249" s="49">
        <f>VLOOKUP(Q249,[2]PROYECTOS!$V$1:$W$32,2,0)</f>
        <v>999999</v>
      </c>
      <c r="I249" s="50">
        <f>16663345-230200-1</f>
        <v>16433144</v>
      </c>
      <c r="J249" s="51" t="s">
        <v>1412</v>
      </c>
      <c r="K249" s="47" t="str">
        <f t="shared" ref="K249:K276" ca="1" si="136">IF(ISNONTEXT(Y249)=TRUE,"CONTRATADO","NO CONTRATADO")</f>
        <v>CONTRATADO</v>
      </c>
      <c r="L249" s="61" t="s">
        <v>255</v>
      </c>
      <c r="M249" s="47" t="s">
        <v>89</v>
      </c>
      <c r="N249" s="51" t="s">
        <v>1382</v>
      </c>
      <c r="O249" s="51" t="e">
        <f>VLOOKUP(N249,[2]!RUBROS[#All],3,0)</f>
        <v>#REF!</v>
      </c>
      <c r="P249" s="53" t="e">
        <f>VLOOKUP(N249,[2]!RUBROS[#All],2,0)</f>
        <v>#REF!</v>
      </c>
      <c r="Q249" s="47" t="str">
        <f t="shared" ref="Q249:Q276" si="137">+MID(N249,11,2)</f>
        <v>00</v>
      </c>
      <c r="R249" s="47" t="str">
        <f t="shared" ref="R249:R276" si="138">+MID(N249,14,8)</f>
        <v>4-205616</v>
      </c>
      <c r="S249" s="54">
        <v>12</v>
      </c>
      <c r="T249" s="59" t="s">
        <v>46</v>
      </c>
      <c r="U249" s="326" t="e">
        <f ca="1">_xlfn.XLOOKUP(PAA_4[[#This Row],[ITEM]],[2]Contrato!A:A,[2]Contrato!Q:Q,"",0)</f>
        <v>#NAME?</v>
      </c>
      <c r="V249" s="47" t="s">
        <v>95</v>
      </c>
      <c r="W249" s="47" t="s">
        <v>194</v>
      </c>
      <c r="X249" s="47" t="s">
        <v>194</v>
      </c>
      <c r="Y249" s="55" t="e">
        <f ca="1">_xlfn.XLOOKUP(PAA_4[[#This Row],[ITEM]],[2]Contrato!A:A,[2]Contrato!B:B,"",0)</f>
        <v>#NAME?</v>
      </c>
      <c r="Z249" s="47" t="e">
        <f ca="1">_xlfn.XLOOKUP(PAA_4[[#This Row],[ITEM]],[2]Contrato!A:A,[2]Contrato!G:G,"",0)</f>
        <v>#NAME?</v>
      </c>
      <c r="AA249" s="47" t="e">
        <f ca="1">_xlfn.XLOOKUP(PAA_4[[#This Row],[ITEM]],[2]Contrato!A:A,[2]Contrato!T:T,"",0)</f>
        <v>#NAME?</v>
      </c>
      <c r="AB249" s="55" t="e">
        <f ca="1">+MAX(PAA_4[[#This Row],[Comprometido Contrato]],PAA_4[[#This Row],[Comprometido Bolsa]])</f>
        <v>#NAME?</v>
      </c>
      <c r="AC249" s="55" t="str">
        <f t="shared" ref="AC249:AC265" ca="1" si="139">IFERROR(I249-AB249,"")</f>
        <v/>
      </c>
      <c r="AD249" s="55" t="e">
        <f ca="1">IF(PAA_4[[#This Row],[ESTADO (formulado)]]="NO CONTRATADO",0,MAX(PAA_4[[#This Row],[Pago por Contrato]],PAA_4[[#This Row],[Pago por bolsa]]))</f>
        <v>#NAME?</v>
      </c>
      <c r="AE249" s="55" t="str">
        <f t="shared" ref="AE249:AE276" ca="1" si="140">+IFERROR(AB249-AD249,"")</f>
        <v/>
      </c>
      <c r="AF249" s="47" t="e">
        <f t="shared" ref="AF249:AF276" ca="1" si="141">+CONCATENATE(AA249,N249)</f>
        <v>#NAME?</v>
      </c>
      <c r="AG249" s="47" t="str">
        <f t="shared" ref="AG249:AG276" si="142">IFERROR(_xlfn.NUMBERVALUE(MID(G249,1,8)),"")</f>
        <v/>
      </c>
      <c r="AH249" s="54">
        <f>IF(Q249="22",IF(ISNUMBER(SEARCH("econ",PAA_4[[#This Row],[Actividad3]])),"Económico",IF(ISNUMBER(SEARCH("alim",PAA_4[[#This Row],[Actividad3]])),"Alimentación",IF(ISNUMBER(SEARCH("educ",PAA_4[[#This Row],[Actividad3]])),"Educativo","Técnico"))),0)</f>
        <v>0</v>
      </c>
      <c r="AI249" s="47" t="e" cm="1">
        <f t="array" aca="1" ref="AI249" ca="1">_xlfn.XLOOKUP(PAA_4[[#This Row],[RCP-RUBRO]],[2]!COMPROMISOS_2024[[#All],[concatenado]],[2]!COMPROMISOS_2024[[#All],[Total pagado]],"",0)</f>
        <v>#NAME?</v>
      </c>
      <c r="AJ249" s="56">
        <f>IF(PAA_4[[#This Row],[BOLSA]]=0,0,SUMIFS([2]!COMPROMISOS_2024[[#All],[Total pagado]],[2]!COMPROMISOS_2024[[#All],[Bolsa]],PAA_4[[#This Row],[BOLSA]],[2]!COMPROMISOS_2024[[#All],[rubro]],PAA_4[[#This Row],[RCP-RUBRO]]))</f>
        <v>0</v>
      </c>
      <c r="AK249" s="47" t="e" cm="1">
        <f t="array" aca="1" ref="AK249" ca="1">_xlfn.XLOOKUP(PAA_4[[#This Row],[RCP-RUBRO]],[2]!COMPROMISOS_2024[[#All],[concatenado]],[2]!COMPROMISOS_2024[[#All],[Total Comprometido]],"",0)</f>
        <v>#NAME?</v>
      </c>
      <c r="AL249" s="47">
        <f>IF(PAA_4[[#This Row],[BOLSA]]=0,0,SUMIFS([2]!COMPROMISOS_2024[[#All],[Total Comprometido]],[2]!COMPROMISOS_2024[[#All],[Bolsa]],PAA_4[[#This Row],[BOLSA]],[2]!COMPROMISOS_2024[[#All],[concatenado]],PAA_4[[#This Row],[RCP-RUBRO]]))</f>
        <v>0</v>
      </c>
    </row>
    <row r="250" spans="1:38" s="19" customFormat="1" ht="31.5" customHeight="1">
      <c r="A250" s="47">
        <v>798</v>
      </c>
      <c r="B250" s="51" t="s">
        <v>77</v>
      </c>
      <c r="C250" s="47" t="str">
        <f>VLOOKUP(PAA_4[[#This Row],[PROYECTO (formulado)2]],[2]PROYECTOS!$G$1:$L$32,6,0)</f>
        <v>SUBGERENCIA ADMINISTRATIVA Y FINANCIERA</v>
      </c>
      <c r="D250" s="47" t="str">
        <f>+IF(PAA_4[[#This Row],[UNIDAD DE CONTRATACION (formulado)]]="Subgerencia Administrativa y Financiera","FUNCIONAMIENTO","INVERSIÓN")</f>
        <v>FUNCIONAMIENTO</v>
      </c>
      <c r="E250" s="48" t="str">
        <f>VLOOKUP(Q250,[2]PROYECTOS!$G$1:$K$32,5,0)</f>
        <v>FUNCIONAMIENTO</v>
      </c>
      <c r="F250" s="48">
        <f>VLOOKUP(E250,[2]PROYECTOS!$K$1:$M$32,3,0)</f>
        <v>999999</v>
      </c>
      <c r="G250" s="49" t="s">
        <v>43</v>
      </c>
      <c r="H250" s="49">
        <f>VLOOKUP(Q250,[2]PROYECTOS!$V$1:$W$32,2,0)</f>
        <v>999999</v>
      </c>
      <c r="I250" s="50">
        <v>33727915</v>
      </c>
      <c r="J250" s="51" t="s">
        <v>1412</v>
      </c>
      <c r="K250" s="47" t="str">
        <f t="shared" ca="1" si="136"/>
        <v>CONTRATADO</v>
      </c>
      <c r="L250" s="61" t="s">
        <v>255</v>
      </c>
      <c r="M250" s="47" t="s">
        <v>89</v>
      </c>
      <c r="N250" s="52" t="s">
        <v>1382</v>
      </c>
      <c r="O250" s="51" t="e">
        <f>VLOOKUP(N250,[2]!RUBROS[#All],3,0)</f>
        <v>#REF!</v>
      </c>
      <c r="P250" s="53" t="e">
        <f>VLOOKUP(N250,[2]!RUBROS[#All],2,0)</f>
        <v>#REF!</v>
      </c>
      <c r="Q250" s="47" t="str">
        <f t="shared" si="137"/>
        <v>00</v>
      </c>
      <c r="R250" s="47" t="str">
        <f t="shared" si="138"/>
        <v>4-205616</v>
      </c>
      <c r="S250" s="54">
        <v>12</v>
      </c>
      <c r="T250" s="59" t="s">
        <v>46</v>
      </c>
      <c r="U250" s="326" t="e">
        <f ca="1">_xlfn.XLOOKUP(PAA_4[[#This Row],[ITEM]],[2]Contrato!A:A,[2]Contrato!Q:Q,"",0)</f>
        <v>#NAME?</v>
      </c>
      <c r="V250" s="47" t="s">
        <v>95</v>
      </c>
      <c r="W250" s="47" t="s">
        <v>194</v>
      </c>
      <c r="X250" s="47" t="s">
        <v>194</v>
      </c>
      <c r="Y250" s="55" t="e">
        <f ca="1">_xlfn.XLOOKUP(PAA_4[[#This Row],[ITEM]],[2]Contrato!A:A,[2]Contrato!B:B,"",0)</f>
        <v>#NAME?</v>
      </c>
      <c r="Z250" s="47" t="e">
        <f ca="1">_xlfn.XLOOKUP(PAA_4[[#This Row],[ITEM]],[2]Contrato!A:A,[2]Contrato!G:G,"",0)</f>
        <v>#NAME?</v>
      </c>
      <c r="AA250" s="47" t="e">
        <f ca="1">_xlfn.XLOOKUP(PAA_4[[#This Row],[ITEM]],[2]Contrato!A:A,[2]Contrato!T:T,"",0)</f>
        <v>#NAME?</v>
      </c>
      <c r="AB250" s="55" t="e">
        <f ca="1">+MAX(PAA_4[[#This Row],[Comprometido Contrato]],PAA_4[[#This Row],[Comprometido Bolsa]])</f>
        <v>#NAME?</v>
      </c>
      <c r="AC250" s="55" t="str">
        <f t="shared" ca="1" si="139"/>
        <v/>
      </c>
      <c r="AD250" s="55" t="e">
        <f ca="1">IF(PAA_4[[#This Row],[ESTADO (formulado)]]="NO CONTRATADO",0,MAX(PAA_4[[#This Row],[Pago por Contrato]],PAA_4[[#This Row],[Pago por bolsa]]))</f>
        <v>#NAME?</v>
      </c>
      <c r="AE250" s="55" t="str">
        <f t="shared" ca="1" si="140"/>
        <v/>
      </c>
      <c r="AF250" s="47" t="e">
        <f t="shared" ca="1" si="141"/>
        <v>#NAME?</v>
      </c>
      <c r="AG250" s="47" t="str">
        <f t="shared" si="142"/>
        <v/>
      </c>
      <c r="AH250" s="54">
        <f>IF(Q250="22",IF(ISNUMBER(SEARCH("econ",PAA_4[[#This Row],[Actividad3]])),"Económico",IF(ISNUMBER(SEARCH("alim",PAA_4[[#This Row],[Actividad3]])),"Alimentación",IF(ISNUMBER(SEARCH("educ",PAA_4[[#This Row],[Actividad3]])),"Educativo","Técnico"))),0)</f>
        <v>0</v>
      </c>
      <c r="AI250" s="47" t="e" cm="1">
        <f t="array" aca="1" ref="AI250" ca="1">_xlfn.XLOOKUP(PAA_4[[#This Row],[RCP-RUBRO]],[2]!COMPROMISOS_2024[[#All],[concatenado]],[2]!COMPROMISOS_2024[[#All],[Total pagado]],"",0)</f>
        <v>#NAME?</v>
      </c>
      <c r="AJ250" s="56">
        <f>IF(PAA_4[[#This Row],[BOLSA]]=0,0,SUMIFS([2]!COMPROMISOS_2024[[#All],[Total pagado]],[2]!COMPROMISOS_2024[[#All],[Bolsa]],PAA_4[[#This Row],[BOLSA]],[2]!COMPROMISOS_2024[[#All],[rubro]],PAA_4[[#This Row],[RCP-RUBRO]]))</f>
        <v>0</v>
      </c>
      <c r="AK250" s="47" t="e" cm="1">
        <f t="array" aca="1" ref="AK250" ca="1">_xlfn.XLOOKUP(PAA_4[[#This Row],[RCP-RUBRO]],[2]!COMPROMISOS_2024[[#All],[concatenado]],[2]!COMPROMISOS_2024[[#All],[Total Comprometido]],"",0)</f>
        <v>#NAME?</v>
      </c>
      <c r="AL250" s="47">
        <f>IF(PAA_4[[#This Row],[BOLSA]]=0,0,SUMIFS([2]!COMPROMISOS_2024[[#All],[Total Comprometido]],[2]!COMPROMISOS_2024[[#All],[Bolsa]],PAA_4[[#This Row],[BOLSA]],[2]!COMPROMISOS_2024[[#All],[concatenado]],PAA_4[[#This Row],[RCP-RUBRO]]))</f>
        <v>0</v>
      </c>
    </row>
    <row r="251" spans="1:38" s="19" customFormat="1" ht="31.5" customHeight="1">
      <c r="A251" s="47">
        <v>799</v>
      </c>
      <c r="B251" s="51" t="s">
        <v>150</v>
      </c>
      <c r="C251" s="47" t="str">
        <f>VLOOKUP(PAA_4[[#This Row],[PROYECTO (formulado)2]],[2]PROYECTOS!$G$1:$L$32,6,0)</f>
        <v>SUBGERENCIA ADMINISTRATIVA Y FINANCIERA</v>
      </c>
      <c r="D251" s="47" t="str">
        <f>+IF(PAA_4[[#This Row],[UNIDAD DE CONTRATACION (formulado)]]="Subgerencia Administrativa y Financiera","FUNCIONAMIENTO","INVERSIÓN")</f>
        <v>FUNCIONAMIENTO</v>
      </c>
      <c r="E251" s="48" t="str">
        <f>VLOOKUP(Q251,[2]PROYECTOS!$G$1:$K$32,5,0)</f>
        <v>FUNCIONAMIENTO</v>
      </c>
      <c r="F251" s="48">
        <f>VLOOKUP(E251,[2]PROYECTOS!$K$1:$M$32,3,0)</f>
        <v>999999</v>
      </c>
      <c r="G251" s="49" t="s">
        <v>43</v>
      </c>
      <c r="H251" s="49">
        <f>VLOOKUP(Q251,[2]PROYECTOS!$V$1:$W$32,2,0)</f>
        <v>999999</v>
      </c>
      <c r="I251" s="50">
        <f>802436389-22259169-230200</f>
        <v>779947020</v>
      </c>
      <c r="J251" s="51" t="s">
        <v>1412</v>
      </c>
      <c r="K251" s="47" t="str">
        <f t="shared" ca="1" si="136"/>
        <v>CONTRATADO</v>
      </c>
      <c r="L251" s="61" t="s">
        <v>255</v>
      </c>
      <c r="M251" s="47" t="s">
        <v>89</v>
      </c>
      <c r="N251" s="52" t="s">
        <v>1382</v>
      </c>
      <c r="O251" s="51" t="e">
        <f>VLOOKUP(N251,[2]!RUBROS[#All],3,0)</f>
        <v>#REF!</v>
      </c>
      <c r="P251" s="53" t="e">
        <f>VLOOKUP(N251,[2]!RUBROS[#All],2,0)</f>
        <v>#REF!</v>
      </c>
      <c r="Q251" s="47" t="str">
        <f t="shared" si="137"/>
        <v>00</v>
      </c>
      <c r="R251" s="47" t="str">
        <f t="shared" si="138"/>
        <v>4-205616</v>
      </c>
      <c r="S251" s="54">
        <v>12</v>
      </c>
      <c r="T251" s="59" t="s">
        <v>46</v>
      </c>
      <c r="U251" s="326" t="e">
        <f ca="1">_xlfn.XLOOKUP(PAA_4[[#This Row],[ITEM]],[2]Contrato!A:A,[2]Contrato!Q:Q,"",0)</f>
        <v>#NAME?</v>
      </c>
      <c r="V251" s="47" t="s">
        <v>95</v>
      </c>
      <c r="W251" s="47" t="s">
        <v>194</v>
      </c>
      <c r="X251" s="47" t="s">
        <v>194</v>
      </c>
      <c r="Y251" s="55" t="e">
        <f ca="1">_xlfn.XLOOKUP(PAA_4[[#This Row],[ITEM]],[2]Contrato!A:A,[2]Contrato!B:B,"",0)</f>
        <v>#NAME?</v>
      </c>
      <c r="Z251" s="47" t="e">
        <f ca="1">_xlfn.XLOOKUP(PAA_4[[#This Row],[ITEM]],[2]Contrato!A:A,[2]Contrato!G:G,"",0)</f>
        <v>#NAME?</v>
      </c>
      <c r="AA251" s="47" t="e">
        <f ca="1">_xlfn.XLOOKUP(PAA_4[[#This Row],[ITEM]],[2]Contrato!A:A,[2]Contrato!T:T,"",0)</f>
        <v>#NAME?</v>
      </c>
      <c r="AB251" s="55" t="e">
        <f ca="1">+MAX(PAA_4[[#This Row],[Comprometido Contrato]],PAA_4[[#This Row],[Comprometido Bolsa]])</f>
        <v>#NAME?</v>
      </c>
      <c r="AC251" s="55" t="str">
        <f t="shared" ca="1" si="139"/>
        <v/>
      </c>
      <c r="AD251" s="55" t="e">
        <f ca="1">IF(PAA_4[[#This Row],[ESTADO (formulado)]]="NO CONTRATADO",0,MAX(PAA_4[[#This Row],[Pago por Contrato]],PAA_4[[#This Row],[Pago por bolsa]]))</f>
        <v>#NAME?</v>
      </c>
      <c r="AE251" s="55" t="str">
        <f t="shared" ca="1" si="140"/>
        <v/>
      </c>
      <c r="AF251" s="47" t="e">
        <f t="shared" ca="1" si="141"/>
        <v>#NAME?</v>
      </c>
      <c r="AG251" s="47" t="str">
        <f t="shared" si="142"/>
        <v/>
      </c>
      <c r="AH251" s="54">
        <f>IF(Q251="22",IF(ISNUMBER(SEARCH("econ",PAA_4[[#This Row],[Actividad3]])),"Económico",IF(ISNUMBER(SEARCH("alim",PAA_4[[#This Row],[Actividad3]])),"Alimentación",IF(ISNUMBER(SEARCH("educ",PAA_4[[#This Row],[Actividad3]])),"Educativo","Técnico"))),0)</f>
        <v>0</v>
      </c>
      <c r="AI251" s="47" t="e" cm="1">
        <f t="array" aca="1" ref="AI251" ca="1">_xlfn.XLOOKUP(PAA_4[[#This Row],[RCP-RUBRO]],[2]!COMPROMISOS_2024[[#All],[concatenado]],[2]!COMPROMISOS_2024[[#All],[Total pagado]],"",0)</f>
        <v>#NAME?</v>
      </c>
      <c r="AJ251" s="56">
        <f>IF(PAA_4[[#This Row],[BOLSA]]=0,0,SUMIFS([2]!COMPROMISOS_2024[[#All],[Total pagado]],[2]!COMPROMISOS_2024[[#All],[Bolsa]],PAA_4[[#This Row],[BOLSA]],[2]!COMPROMISOS_2024[[#All],[rubro]],PAA_4[[#This Row],[RCP-RUBRO]]))</f>
        <v>0</v>
      </c>
      <c r="AK251" s="47" t="e" cm="1">
        <f t="array" aca="1" ref="AK251" ca="1">_xlfn.XLOOKUP(PAA_4[[#This Row],[RCP-RUBRO]],[2]!COMPROMISOS_2024[[#All],[concatenado]],[2]!COMPROMISOS_2024[[#All],[Total Comprometido]],"",0)</f>
        <v>#NAME?</v>
      </c>
      <c r="AL251" s="47">
        <f>IF(PAA_4[[#This Row],[BOLSA]]=0,0,SUMIFS([2]!COMPROMISOS_2024[[#All],[Total Comprometido]],[2]!COMPROMISOS_2024[[#All],[Bolsa]],PAA_4[[#This Row],[BOLSA]],[2]!COMPROMISOS_2024[[#All],[concatenado]],PAA_4[[#This Row],[RCP-RUBRO]]))</f>
        <v>0</v>
      </c>
    </row>
    <row r="252" spans="1:38" s="19" customFormat="1" ht="31.5" customHeight="1">
      <c r="A252" s="47">
        <v>800</v>
      </c>
      <c r="B252" s="51" t="s">
        <v>1413</v>
      </c>
      <c r="C252" s="47" t="str">
        <f>VLOOKUP(PAA_4[[#This Row],[PROYECTO (formulado)2]],[2]PROYECTOS!$G$1:$L$32,6,0)</f>
        <v>SUBGERENCIA ADMINISTRATIVA Y FINANCIERA</v>
      </c>
      <c r="D252" s="47" t="str">
        <f>+IF(PAA_4[[#This Row],[UNIDAD DE CONTRATACION (formulado)]]="Subgerencia Administrativa y Financiera","FUNCIONAMIENTO","INVERSIÓN")</f>
        <v>FUNCIONAMIENTO</v>
      </c>
      <c r="E252" s="48" t="str">
        <f>VLOOKUP(Q252,[2]PROYECTOS!$G$1:$K$32,5,0)</f>
        <v>FUNCIONAMIENTO</v>
      </c>
      <c r="F252" s="48">
        <f>VLOOKUP(E252,[2]PROYECTOS!$K$1:$M$32,3,0)</f>
        <v>999999</v>
      </c>
      <c r="G252" s="49" t="s">
        <v>43</v>
      </c>
      <c r="H252" s="49">
        <f>VLOOKUP(Q252,[2]PROYECTOS!$V$1:$W$32,2,0)</f>
        <v>999999</v>
      </c>
      <c r="I252" s="50">
        <v>128887446</v>
      </c>
      <c r="J252" s="51" t="s">
        <v>1414</v>
      </c>
      <c r="K252" s="47" t="str">
        <f t="shared" ca="1" si="136"/>
        <v>CONTRATADO</v>
      </c>
      <c r="L252" s="61" t="s">
        <v>44</v>
      </c>
      <c r="M252" s="47" t="s">
        <v>1236</v>
      </c>
      <c r="N252" s="52" t="s">
        <v>1415</v>
      </c>
      <c r="O252" s="51" t="e">
        <f>VLOOKUP(N252,[2]!RUBROS[#All],3,0)</f>
        <v>#REF!</v>
      </c>
      <c r="P252" s="53" t="e">
        <f>VLOOKUP(N252,[2]!RUBROS[#All],2,0)</f>
        <v>#REF!</v>
      </c>
      <c r="Q252" s="47" t="str">
        <f t="shared" si="137"/>
        <v>00</v>
      </c>
      <c r="R252" s="47" t="str">
        <f t="shared" si="138"/>
        <v>4-205616</v>
      </c>
      <c r="S252" s="54">
        <v>12</v>
      </c>
      <c r="T252" s="59" t="s">
        <v>46</v>
      </c>
      <c r="U252" s="326" t="e">
        <f ca="1">_xlfn.XLOOKUP(PAA_4[[#This Row],[ITEM]],[2]Contrato!A:A,[2]Contrato!Q:Q,"",0)</f>
        <v>#NAME?</v>
      </c>
      <c r="V252" s="47" t="s">
        <v>95</v>
      </c>
      <c r="W252" s="47" t="s">
        <v>154</v>
      </c>
      <c r="X252" s="47" t="s">
        <v>154</v>
      </c>
      <c r="Y252" s="55" t="e">
        <f ca="1">_xlfn.XLOOKUP(PAA_4[[#This Row],[ITEM]],[2]Contrato!A:A,[2]Contrato!B:B,"",0)</f>
        <v>#NAME?</v>
      </c>
      <c r="Z252" s="47" t="e">
        <f ca="1">_xlfn.XLOOKUP(PAA_4[[#This Row],[ITEM]],[2]Contrato!A:A,[2]Contrato!G:G,"",0)</f>
        <v>#NAME?</v>
      </c>
      <c r="AA252" s="47" t="e">
        <f ca="1">_xlfn.XLOOKUP(PAA_4[[#This Row],[ITEM]],[2]Contrato!A:A,[2]Contrato!T:T,"",0)</f>
        <v>#NAME?</v>
      </c>
      <c r="AB252" s="55" t="e">
        <f ca="1">+MAX(PAA_4[[#This Row],[Comprometido Contrato]],PAA_4[[#This Row],[Comprometido Bolsa]])</f>
        <v>#NAME?</v>
      </c>
      <c r="AC252" s="55" t="str">
        <f t="shared" ca="1" si="139"/>
        <v/>
      </c>
      <c r="AD252" s="55" t="e">
        <f ca="1">IF(PAA_4[[#This Row],[ESTADO (formulado)]]="NO CONTRATADO",0,MAX(PAA_4[[#This Row],[Pago por Contrato]],PAA_4[[#This Row],[Pago por bolsa]]))</f>
        <v>#NAME?</v>
      </c>
      <c r="AE252" s="55" t="str">
        <f t="shared" ca="1" si="140"/>
        <v/>
      </c>
      <c r="AF252" s="47" t="e">
        <f t="shared" ca="1" si="141"/>
        <v>#NAME?</v>
      </c>
      <c r="AG252" s="47" t="str">
        <f t="shared" si="142"/>
        <v/>
      </c>
      <c r="AH252" s="54">
        <f>IF(Q252="22",IF(ISNUMBER(SEARCH("econ",PAA_4[[#This Row],[Actividad3]])),"Económico",IF(ISNUMBER(SEARCH("alim",PAA_4[[#This Row],[Actividad3]])),"Alimentación",IF(ISNUMBER(SEARCH("educ",PAA_4[[#This Row],[Actividad3]])),"Educativo","Técnico"))),0)</f>
        <v>0</v>
      </c>
      <c r="AI252" s="47" t="e" cm="1">
        <f t="array" aca="1" ref="AI252" ca="1">_xlfn.XLOOKUP(PAA_4[[#This Row],[RCP-RUBRO]],[2]!COMPROMISOS_2024[[#All],[concatenado]],[2]!COMPROMISOS_2024[[#All],[Total pagado]],"",0)</f>
        <v>#NAME?</v>
      </c>
      <c r="AJ252" s="56">
        <f>IF(PAA_4[[#This Row],[BOLSA]]=0,0,SUMIFS([2]!COMPROMISOS_2024[[#All],[Total pagado]],[2]!COMPROMISOS_2024[[#All],[Bolsa]],PAA_4[[#This Row],[BOLSA]],[2]!COMPROMISOS_2024[[#All],[rubro]],PAA_4[[#This Row],[RCP-RUBRO]]))</f>
        <v>0</v>
      </c>
      <c r="AK252" s="47" t="e" cm="1">
        <f t="array" aca="1" ref="AK252" ca="1">_xlfn.XLOOKUP(PAA_4[[#This Row],[RCP-RUBRO]],[2]!COMPROMISOS_2024[[#All],[concatenado]],[2]!COMPROMISOS_2024[[#All],[Total Comprometido]],"",0)</f>
        <v>#NAME?</v>
      </c>
      <c r="AL252" s="47">
        <f>IF(PAA_4[[#This Row],[BOLSA]]=0,0,SUMIFS([2]!COMPROMISOS_2024[[#All],[Total Comprometido]],[2]!COMPROMISOS_2024[[#All],[Bolsa]],PAA_4[[#This Row],[BOLSA]],[2]!COMPROMISOS_2024[[#All],[concatenado]],PAA_4[[#This Row],[RCP-RUBRO]]))</f>
        <v>0</v>
      </c>
    </row>
    <row r="253" spans="1:38" s="19" customFormat="1" ht="31.5" customHeight="1">
      <c r="A253" s="47">
        <v>801</v>
      </c>
      <c r="B253" s="51">
        <v>80161500</v>
      </c>
      <c r="C253" s="47" t="str">
        <f>VLOOKUP(PAA_4[[#This Row],[PROYECTO (formulado)2]],[2]PROYECTOS!$G$1:$L$32,6,0)</f>
        <v>SUBGERENCIA ADMINISTRATIVA Y FINANCIERA</v>
      </c>
      <c r="D253" s="47" t="str">
        <f>+IF(PAA_4[[#This Row],[UNIDAD DE CONTRATACION (formulado)]]="Subgerencia Administrativa y Financiera","FUNCIONAMIENTO","INVERSIÓN")</f>
        <v>FUNCIONAMIENTO</v>
      </c>
      <c r="E253" s="48" t="str">
        <f>VLOOKUP(Q253,[2]PROYECTOS!$G$1:$K$32,5,0)</f>
        <v>FUNCIONAMIENTO</v>
      </c>
      <c r="F253" s="48">
        <f>VLOOKUP(E253,[2]PROYECTOS!$K$1:$M$32,3,0)</f>
        <v>999999</v>
      </c>
      <c r="G253" s="49" t="s">
        <v>43</v>
      </c>
      <c r="H253" s="49">
        <f>VLOOKUP(Q253,[2]PROYECTOS!$V$1:$W$32,2,0)</f>
        <v>999999</v>
      </c>
      <c r="I253" s="50">
        <f>42421000-1146514-229303</f>
        <v>41045183</v>
      </c>
      <c r="J253" s="51" t="s">
        <v>1416</v>
      </c>
      <c r="K253" s="47" t="str">
        <f t="shared" ca="1" si="136"/>
        <v>CONTRATADO</v>
      </c>
      <c r="L253" s="61" t="s">
        <v>94</v>
      </c>
      <c r="M253" s="47" t="s">
        <v>1297</v>
      </c>
      <c r="N253" s="52" t="s">
        <v>155</v>
      </c>
      <c r="O253" s="51" t="e">
        <f>VLOOKUP(N253,[2]!RUBROS[#All],3,0)</f>
        <v>#REF!</v>
      </c>
      <c r="P253" s="53" t="e">
        <f>VLOOKUP(N253,[2]!RUBROS[#All],2,0)</f>
        <v>#REF!</v>
      </c>
      <c r="Q253" s="47" t="str">
        <f t="shared" si="137"/>
        <v>00</v>
      </c>
      <c r="R253" s="47" t="str">
        <f t="shared" si="138"/>
        <v>4-205616</v>
      </c>
      <c r="S253" s="54">
        <v>185</v>
      </c>
      <c r="T253" s="59" t="s">
        <v>120</v>
      </c>
      <c r="U253" s="326" t="e">
        <f ca="1">_xlfn.XLOOKUP(PAA_4[[#This Row],[ITEM]],[2]Contrato!A:A,[2]Contrato!Q:Q,"",0)</f>
        <v>#NAME?</v>
      </c>
      <c r="V253" s="47" t="s">
        <v>47</v>
      </c>
      <c r="W253" s="47" t="s">
        <v>154</v>
      </c>
      <c r="X253" s="47" t="s">
        <v>154</v>
      </c>
      <c r="Y253" s="55" t="e">
        <f ca="1">_xlfn.XLOOKUP(PAA_4[[#This Row],[ITEM]],[2]Contrato!A:A,[2]Contrato!B:B,"",0)</f>
        <v>#NAME?</v>
      </c>
      <c r="Z253" s="47" t="e">
        <f ca="1">_xlfn.XLOOKUP(PAA_4[[#This Row],[ITEM]],[2]Contrato!A:A,[2]Contrato!G:G,"",0)</f>
        <v>#NAME?</v>
      </c>
      <c r="AA253" s="47" t="e">
        <f ca="1">_xlfn.XLOOKUP(PAA_4[[#This Row],[ITEM]],[2]Contrato!A:A,[2]Contrato!T:T,"",0)</f>
        <v>#NAME?</v>
      </c>
      <c r="AB253" s="55" t="e">
        <f ca="1">+MAX(PAA_4[[#This Row],[Comprometido Contrato]],PAA_4[[#This Row],[Comprometido Bolsa]])</f>
        <v>#NAME?</v>
      </c>
      <c r="AC253" s="55" t="str">
        <f t="shared" ca="1" si="139"/>
        <v/>
      </c>
      <c r="AD253" s="55" t="e">
        <f ca="1">IF(PAA_4[[#This Row],[ESTADO (formulado)]]="NO CONTRATADO",0,MAX(PAA_4[[#This Row],[Pago por Contrato]],PAA_4[[#This Row],[Pago por bolsa]]))</f>
        <v>#NAME?</v>
      </c>
      <c r="AE253" s="55" t="str">
        <f t="shared" ca="1" si="140"/>
        <v/>
      </c>
      <c r="AF253" s="47" t="e">
        <f t="shared" ca="1" si="141"/>
        <v>#NAME?</v>
      </c>
      <c r="AG253" s="47" t="str">
        <f t="shared" si="142"/>
        <v/>
      </c>
      <c r="AH253" s="54">
        <f>IF(Q253="22",IF(ISNUMBER(SEARCH("econ",PAA_4[[#This Row],[Actividad3]])),"Económico",IF(ISNUMBER(SEARCH("alim",PAA_4[[#This Row],[Actividad3]])),"Alimentación",IF(ISNUMBER(SEARCH("educ",PAA_4[[#This Row],[Actividad3]])),"Educativo","Técnico"))),0)</f>
        <v>0</v>
      </c>
      <c r="AI253" s="47" t="e" cm="1">
        <f t="array" aca="1" ref="AI253" ca="1">_xlfn.XLOOKUP(PAA_4[[#This Row],[RCP-RUBRO]],[2]!COMPROMISOS_2024[[#All],[concatenado]],[2]!COMPROMISOS_2024[[#All],[Total pagado]],"",0)</f>
        <v>#NAME?</v>
      </c>
      <c r="AJ253" s="56">
        <f>IF(PAA_4[[#This Row],[BOLSA]]=0,0,SUMIFS([2]!COMPROMISOS_2024[[#All],[Total pagado]],[2]!COMPROMISOS_2024[[#All],[Bolsa]],PAA_4[[#This Row],[BOLSA]],[2]!COMPROMISOS_2024[[#All],[rubro]],PAA_4[[#This Row],[RCP-RUBRO]]))</f>
        <v>0</v>
      </c>
      <c r="AK253" s="47" t="e" cm="1">
        <f t="array" aca="1" ref="AK253" ca="1">_xlfn.XLOOKUP(PAA_4[[#This Row],[RCP-RUBRO]],[2]!COMPROMISOS_2024[[#All],[concatenado]],[2]!COMPROMISOS_2024[[#All],[Total Comprometido]],"",0)</f>
        <v>#NAME?</v>
      </c>
      <c r="AL253" s="47">
        <f>IF(PAA_4[[#This Row],[BOLSA]]=0,0,SUMIFS([2]!COMPROMISOS_2024[[#All],[Total Comprometido]],[2]!COMPROMISOS_2024[[#All],[Bolsa]],PAA_4[[#This Row],[BOLSA]],[2]!COMPROMISOS_2024[[#All],[concatenado]],PAA_4[[#This Row],[RCP-RUBRO]]))</f>
        <v>0</v>
      </c>
    </row>
    <row r="254" spans="1:38" s="19" customFormat="1" ht="31.5" customHeight="1">
      <c r="A254" s="47">
        <v>1262</v>
      </c>
      <c r="B254" s="47">
        <v>92101501</v>
      </c>
      <c r="C254" s="47" t="str">
        <f>VLOOKUP(PAA_4[[#This Row],[PROYECTO (formulado)2]],[2]PROYECTOS!$G$1:$L$32,6,0)</f>
        <v>SUBGERENCIA ADMINISTRATIVA Y FINANCIERA</v>
      </c>
      <c r="D254" s="47" t="str">
        <f>+IF(PAA_4[[#This Row],[UNIDAD DE CONTRATACION (formulado)]]="Subgerencia Administrativa y Financiera","FUNCIONAMIENTO","INVERSIÓN")</f>
        <v>FUNCIONAMIENTO</v>
      </c>
      <c r="E254" s="48" t="str">
        <f>VLOOKUP(Q254,[2]PROYECTOS!$G$1:$K$32,5,0)</f>
        <v>FUNCIONAMIENTO</v>
      </c>
      <c r="F254" s="48">
        <f>VLOOKUP(E254,[2]PROYECTOS!$K$1:$M$32,3,0)</f>
        <v>999999</v>
      </c>
      <c r="G254" s="49" t="s">
        <v>43</v>
      </c>
      <c r="H254" s="49">
        <f>VLOOKUP(Q254,[2]PROYECTOS!$V$1:$W$32,2,0)</f>
        <v>999999</v>
      </c>
      <c r="I254" s="50">
        <v>0</v>
      </c>
      <c r="J254" s="51" t="s">
        <v>126</v>
      </c>
      <c r="K254" s="47" t="str">
        <f t="shared" ca="1" si="136"/>
        <v>CONTRATADO</v>
      </c>
      <c r="L254" s="61" t="s">
        <v>94</v>
      </c>
      <c r="M254" s="47" t="s">
        <v>1297</v>
      </c>
      <c r="N254" s="52" t="s">
        <v>155</v>
      </c>
      <c r="O254" s="51" t="e">
        <f>VLOOKUP(N254,[2]!RUBROS[#All],3,0)</f>
        <v>#REF!</v>
      </c>
      <c r="P254" s="53" t="e">
        <f>VLOOKUP(N254,[2]!RUBROS[#All],2,0)</f>
        <v>#REF!</v>
      </c>
      <c r="Q254" s="47" t="str">
        <f t="shared" si="137"/>
        <v>00</v>
      </c>
      <c r="R254" s="47" t="str">
        <f t="shared" si="138"/>
        <v>4-205616</v>
      </c>
      <c r="S254" s="54" t="s">
        <v>42</v>
      </c>
      <c r="T254" s="59" t="s">
        <v>42</v>
      </c>
      <c r="U254" s="326" t="e">
        <f ca="1">_xlfn.XLOOKUP(PAA_4[[#This Row],[ITEM]],[2]Contrato!A:A,[2]Contrato!Q:Q,"",0)</f>
        <v>#NAME?</v>
      </c>
      <c r="V254" s="47" t="s">
        <v>47</v>
      </c>
      <c r="W254" s="47" t="s">
        <v>42</v>
      </c>
      <c r="X254" s="47" t="s">
        <v>42</v>
      </c>
      <c r="Y254" s="55" t="e">
        <f ca="1">_xlfn.XLOOKUP(PAA_4[[#This Row],[ITEM]],[2]Contrato!A:A,[2]Contrato!B:B,"",0)</f>
        <v>#NAME?</v>
      </c>
      <c r="Z254" s="47" t="e">
        <f ca="1">_xlfn.XLOOKUP(PAA_4[[#This Row],[ITEM]],[2]Contrato!A:A,[2]Contrato!G:G,"",0)</f>
        <v>#NAME?</v>
      </c>
      <c r="AA254" s="47" t="e">
        <f ca="1">_xlfn.XLOOKUP(PAA_4[[#This Row],[ITEM]],[2]Contrato!A:A,[2]Contrato!T:T,"",0)</f>
        <v>#NAME?</v>
      </c>
      <c r="AB254" s="55" t="e">
        <f ca="1">+MAX(PAA_4[[#This Row],[Comprometido Contrato]],PAA_4[[#This Row],[Comprometido Bolsa]])</f>
        <v>#NAME?</v>
      </c>
      <c r="AC254" s="55" t="str">
        <f t="shared" ca="1" si="139"/>
        <v/>
      </c>
      <c r="AD254" s="55" t="e">
        <f ca="1">IF(PAA_4[[#This Row],[ESTADO (formulado)]]="NO CONTRATADO",0,MAX(PAA_4[[#This Row],[Pago por Contrato]],PAA_4[[#This Row],[Pago por bolsa]]))</f>
        <v>#NAME?</v>
      </c>
      <c r="AE254" s="55" t="str">
        <f t="shared" ca="1" si="140"/>
        <v/>
      </c>
      <c r="AF254" s="47" t="e">
        <f t="shared" ca="1" si="141"/>
        <v>#NAME?</v>
      </c>
      <c r="AG254" s="47" t="str">
        <f t="shared" si="142"/>
        <v/>
      </c>
      <c r="AH254" s="54">
        <f>IF(Q254="22",IF(ISNUMBER(SEARCH("econ",PAA_4[[#This Row],[Actividad3]])),"Económico",IF(ISNUMBER(SEARCH("alim",PAA_4[[#This Row],[Actividad3]])),"Alimentación",IF(ISNUMBER(SEARCH("educ",PAA_4[[#This Row],[Actividad3]])),"Educativo","Técnico"))),0)</f>
        <v>0</v>
      </c>
      <c r="AI254" s="47" t="e" cm="1">
        <f t="array" aca="1" ref="AI254" ca="1">_xlfn.XLOOKUP(PAA_4[[#This Row],[RCP-RUBRO]],[2]!COMPROMISOS_2024[[#All],[concatenado]],[2]!COMPROMISOS_2024[[#All],[Total pagado]],"",0)</f>
        <v>#NAME?</v>
      </c>
      <c r="AJ254" s="56">
        <f>IF(PAA_4[[#This Row],[BOLSA]]=0,0,SUMIFS([2]!COMPROMISOS_2024[[#All],[Total pagado]],[2]!COMPROMISOS_2024[[#All],[Bolsa]],PAA_4[[#This Row],[BOLSA]],[2]!COMPROMISOS_2024[[#All],[rubro]],PAA_4[[#This Row],[RCP-RUBRO]]))</f>
        <v>0</v>
      </c>
      <c r="AK254" s="47" t="e" cm="1">
        <f t="array" aca="1" ref="AK254" ca="1">_xlfn.XLOOKUP(PAA_4[[#This Row],[RCP-RUBRO]],[2]!COMPROMISOS_2024[[#All],[concatenado]],[2]!COMPROMISOS_2024[[#All],[Total Comprometido]],"",0)</f>
        <v>#NAME?</v>
      </c>
      <c r="AL254" s="47">
        <f>IF(PAA_4[[#This Row],[BOLSA]]=0,0,SUMIFS([2]!COMPROMISOS_2024[[#All],[Total Comprometido]],[2]!COMPROMISOS_2024[[#All],[Bolsa]],PAA_4[[#This Row],[BOLSA]],[2]!COMPROMISOS_2024[[#All],[concatenado]],PAA_4[[#This Row],[RCP-RUBRO]]))</f>
        <v>0</v>
      </c>
    </row>
    <row r="255" spans="1:38" s="19" customFormat="1" ht="31.5" customHeight="1">
      <c r="A255" s="47" t="s">
        <v>82</v>
      </c>
      <c r="B255" s="51" t="s">
        <v>42</v>
      </c>
      <c r="C255" s="47" t="str">
        <f>VLOOKUP(PAA_4[[#This Row],[PROYECTO (formulado)2]],[2]PROYECTOS!$G$1:$L$32,6,0)</f>
        <v>SUBGERENCIA ADMINISTRATIVA Y FINANCIERA</v>
      </c>
      <c r="D255" s="47" t="str">
        <f>+IF(PAA_4[[#This Row],[UNIDAD DE CONTRATACION (formulado)]]="Subgerencia Administrativa y Financiera","FUNCIONAMIENTO","INVERSIÓN")</f>
        <v>FUNCIONAMIENTO</v>
      </c>
      <c r="E255" s="48" t="str">
        <f>VLOOKUP(Q255,[2]PROYECTOS!$G$1:$K$32,5,0)</f>
        <v>FUNCIONAMIENTO</v>
      </c>
      <c r="F255" s="48">
        <f>VLOOKUP(E255,[2]PROYECTOS!$K$1:$M$32,3,0)</f>
        <v>999999</v>
      </c>
      <c r="G255" s="49" t="s">
        <v>43</v>
      </c>
      <c r="H255" s="49">
        <f>VLOOKUP(Q255,[2]PROYECTOS!$V$1:$W$32,2,0)</f>
        <v>999999</v>
      </c>
      <c r="I255" s="50">
        <v>0</v>
      </c>
      <c r="J255" s="51" t="s">
        <v>42</v>
      </c>
      <c r="K255" s="47" t="str">
        <f t="shared" ca="1" si="136"/>
        <v>CONTRATADO</v>
      </c>
      <c r="L255" s="47" t="s">
        <v>94</v>
      </c>
      <c r="M255" s="47" t="s">
        <v>89</v>
      </c>
      <c r="N255" s="52" t="s">
        <v>155</v>
      </c>
      <c r="O255" s="51" t="e">
        <f>VLOOKUP(N255,[2]!RUBROS[#All],3,0)</f>
        <v>#REF!</v>
      </c>
      <c r="P255" s="53" t="e">
        <f>VLOOKUP(N255,[2]!RUBROS[#All],2,0)</f>
        <v>#REF!</v>
      </c>
      <c r="Q255" s="47" t="str">
        <f t="shared" si="137"/>
        <v>00</v>
      </c>
      <c r="R255" s="47" t="str">
        <f t="shared" si="138"/>
        <v>4-205616</v>
      </c>
      <c r="S255" s="54" t="s">
        <v>42</v>
      </c>
      <c r="T255" s="59" t="s">
        <v>42</v>
      </c>
      <c r="U255" s="326" t="e">
        <f ca="1">_xlfn.XLOOKUP(PAA_4[[#This Row],[ITEM]],[2]Contrato!A:A,[2]Contrato!Q:Q,"",0)</f>
        <v>#NAME?</v>
      </c>
      <c r="V255" s="47" t="s">
        <v>95</v>
      </c>
      <c r="W255" s="47" t="s">
        <v>42</v>
      </c>
      <c r="X255" s="47" t="s">
        <v>42</v>
      </c>
      <c r="Y255" s="55" t="e">
        <f ca="1">_xlfn.XLOOKUP(PAA_4[[#This Row],[ITEM]],[2]Contrato!A:A,[2]Contrato!B:B,"",0)</f>
        <v>#NAME?</v>
      </c>
      <c r="Z255" s="47" t="e">
        <f ca="1">_xlfn.XLOOKUP(PAA_4[[#This Row],[ITEM]],[2]Contrato!A:A,[2]Contrato!G:G,"",0)</f>
        <v>#NAME?</v>
      </c>
      <c r="AA255" s="47" t="e">
        <f ca="1">_xlfn.XLOOKUP(PAA_4[[#This Row],[ITEM]],[2]Contrato!A:A,[2]Contrato!T:T,"",0)</f>
        <v>#NAME?</v>
      </c>
      <c r="AB255" s="55" t="e">
        <f ca="1">+MAX(PAA_4[[#This Row],[Comprometido Contrato]],PAA_4[[#This Row],[Comprometido Bolsa]])</f>
        <v>#NAME?</v>
      </c>
      <c r="AC255" s="55" t="str">
        <f t="shared" ca="1" si="139"/>
        <v/>
      </c>
      <c r="AD255" s="55" t="e">
        <f ca="1">IF(PAA_4[[#This Row],[ESTADO (formulado)]]="NO CONTRATADO",0,MAX(PAA_4[[#This Row],[Pago por Contrato]],PAA_4[[#This Row],[Pago por bolsa]]))</f>
        <v>#NAME?</v>
      </c>
      <c r="AE255" s="55" t="str">
        <f t="shared" ca="1" si="140"/>
        <v/>
      </c>
      <c r="AF255" s="47" t="e">
        <f t="shared" ca="1" si="141"/>
        <v>#NAME?</v>
      </c>
      <c r="AG255" s="47" t="str">
        <f t="shared" si="142"/>
        <v/>
      </c>
      <c r="AH255" s="54">
        <f>IF(Q255="22",IF(ISNUMBER(SEARCH("econ",PAA_4[[#This Row],[Actividad3]])),"Económico",IF(ISNUMBER(SEARCH("alim",PAA_4[[#This Row],[Actividad3]])),"Alimentación",IF(ISNUMBER(SEARCH("educ",PAA_4[[#This Row],[Actividad3]])),"Educativo","Técnico"))),0)</f>
        <v>0</v>
      </c>
      <c r="AI255" s="47" t="e" cm="1">
        <f t="array" aca="1" ref="AI255" ca="1">_xlfn.XLOOKUP(PAA_4[[#This Row],[RCP-RUBRO]],[2]!COMPROMISOS_2024[[#All],[concatenado]],[2]!COMPROMISOS_2024[[#All],[Total pagado]],"",0)</f>
        <v>#NAME?</v>
      </c>
      <c r="AJ255" s="56">
        <f>IF(PAA_4[[#This Row],[BOLSA]]=0,0,SUMIFS([2]!COMPROMISOS_2024[[#All],[Total pagado]],[2]!COMPROMISOS_2024[[#All],[Bolsa]],PAA_4[[#This Row],[BOLSA]],[2]!COMPROMISOS_2024[[#All],[rubro]],PAA_4[[#This Row],[RCP-RUBRO]]))</f>
        <v>0</v>
      </c>
      <c r="AK255" s="47" t="e" cm="1">
        <f t="array" aca="1" ref="AK255" ca="1">_xlfn.XLOOKUP(PAA_4[[#This Row],[RCP-RUBRO]],[2]!COMPROMISOS_2024[[#All],[concatenado]],[2]!COMPROMISOS_2024[[#All],[Total Comprometido]],"",0)</f>
        <v>#NAME?</v>
      </c>
      <c r="AL255" s="47">
        <f>IF(PAA_4[[#This Row],[BOLSA]]=0,0,SUMIFS([2]!COMPROMISOS_2024[[#All],[Total Comprometido]],[2]!COMPROMISOS_2024[[#All],[Bolsa]],PAA_4[[#This Row],[BOLSA]],[2]!COMPROMISOS_2024[[#All],[concatenado]],PAA_4[[#This Row],[RCP-RUBRO]]))</f>
        <v>0</v>
      </c>
    </row>
    <row r="256" spans="1:38" s="19" customFormat="1" ht="31.5" customHeight="1">
      <c r="A256" s="47">
        <v>838</v>
      </c>
      <c r="B256" s="51">
        <v>80131500</v>
      </c>
      <c r="C256" s="47" t="str">
        <f>VLOOKUP(PAA_4[[#This Row],[PROYECTO (formulado)2]],[2]PROYECTOS!$G$1:$L$32,6,0)</f>
        <v>SUBGERENCIA ADMINISTRATIVA Y FINANCIERA</v>
      </c>
      <c r="D256" s="47" t="str">
        <f>+IF(PAA_4[[#This Row],[UNIDAD DE CONTRATACION (formulado)]]="Subgerencia Administrativa y Financiera","FUNCIONAMIENTO","INVERSIÓN")</f>
        <v>FUNCIONAMIENTO</v>
      </c>
      <c r="E256" s="48" t="str">
        <f>VLOOKUP(Q256,[2]PROYECTOS!$G$1:$K$32,5,0)</f>
        <v>FUNCIONAMIENTO</v>
      </c>
      <c r="F256" s="48">
        <f>VLOOKUP(E256,[2]PROYECTOS!$K$1:$M$32,3,0)</f>
        <v>999999</v>
      </c>
      <c r="G256" s="49" t="s">
        <v>43</v>
      </c>
      <c r="H256" s="49">
        <f>VLOOKUP(Q256,[2]PROYECTOS!$V$1:$W$32,2,0)</f>
        <v>999999</v>
      </c>
      <c r="I256" s="50">
        <v>0</v>
      </c>
      <c r="J256" s="51" t="s">
        <v>1417</v>
      </c>
      <c r="K256" s="47" t="str">
        <f t="shared" ca="1" si="136"/>
        <v>CONTRATADO</v>
      </c>
      <c r="L256" s="47"/>
      <c r="M256" s="47"/>
      <c r="N256" s="52" t="s">
        <v>90</v>
      </c>
      <c r="O256" s="51" t="e">
        <f>VLOOKUP(N256,[2]!RUBROS[#All],3,0)</f>
        <v>#REF!</v>
      </c>
      <c r="P256" s="53" t="e">
        <f>VLOOKUP(N256,[2]!RUBROS[#All],2,0)</f>
        <v>#REF!</v>
      </c>
      <c r="Q256" s="47" t="str">
        <f t="shared" si="137"/>
        <v>00</v>
      </c>
      <c r="R256" s="47" t="str">
        <f t="shared" si="138"/>
        <v>0-205616</v>
      </c>
      <c r="S256" s="54">
        <v>42</v>
      </c>
      <c r="T256" s="59" t="s">
        <v>46</v>
      </c>
      <c r="U256" s="326" t="e">
        <f ca="1">_xlfn.XLOOKUP(PAA_4[[#This Row],[ITEM]],[2]Contrato!A:A,[2]Contrato!Q:Q,"",0)</f>
        <v>#NAME?</v>
      </c>
      <c r="V256" s="47" t="s">
        <v>47</v>
      </c>
      <c r="W256" s="47" t="s">
        <v>154</v>
      </c>
      <c r="X256" s="47" t="s">
        <v>154</v>
      </c>
      <c r="Y256" s="55" t="e">
        <f ca="1">_xlfn.XLOOKUP(PAA_4[[#This Row],[ITEM]],[2]Contrato!A:A,[2]Contrato!B:B,"",0)</f>
        <v>#NAME?</v>
      </c>
      <c r="Z256" s="47" t="e">
        <f ca="1">_xlfn.XLOOKUP(PAA_4[[#This Row],[ITEM]],[2]Contrato!A:A,[2]Contrato!G:G,"",0)</f>
        <v>#NAME?</v>
      </c>
      <c r="AA256" s="47" t="e">
        <f ca="1">_xlfn.XLOOKUP(PAA_4[[#This Row],[ITEM]],[2]Contrato!A:A,[2]Contrato!T:T,"",0)</f>
        <v>#NAME?</v>
      </c>
      <c r="AB256" s="55" t="e">
        <f ca="1">+MAX(PAA_4[[#This Row],[Comprometido Contrato]],PAA_4[[#This Row],[Comprometido Bolsa]])</f>
        <v>#NAME?</v>
      </c>
      <c r="AC256" s="55" t="str">
        <f t="shared" ca="1" si="139"/>
        <v/>
      </c>
      <c r="AD256" s="55" t="e">
        <f ca="1">IF(PAA_4[[#This Row],[ESTADO (formulado)]]="NO CONTRATADO",0,MAX(PAA_4[[#This Row],[Pago por Contrato]],PAA_4[[#This Row],[Pago por bolsa]]))</f>
        <v>#NAME?</v>
      </c>
      <c r="AE256" s="55" t="str">
        <f t="shared" ca="1" si="140"/>
        <v/>
      </c>
      <c r="AF256" s="47" t="e">
        <f t="shared" ca="1" si="141"/>
        <v>#NAME?</v>
      </c>
      <c r="AG256" s="47" t="str">
        <f t="shared" si="142"/>
        <v/>
      </c>
      <c r="AH256" s="54">
        <f>IF(Q256="22",IF(ISNUMBER(SEARCH("econ",PAA_4[[#This Row],[Actividad3]])),"Económico",IF(ISNUMBER(SEARCH("alim",PAA_4[[#This Row],[Actividad3]])),"Alimentación",IF(ISNUMBER(SEARCH("educ",PAA_4[[#This Row],[Actividad3]])),"Educativo","Técnico"))),0)</f>
        <v>0</v>
      </c>
      <c r="AI256" s="47" t="e" cm="1">
        <f t="array" aca="1" ref="AI256" ca="1">_xlfn.XLOOKUP(PAA_4[[#This Row],[RCP-RUBRO]],[2]!COMPROMISOS_2024[[#All],[concatenado]],[2]!COMPROMISOS_2024[[#All],[Total pagado]],"",0)</f>
        <v>#NAME?</v>
      </c>
      <c r="AJ256" s="56">
        <f>IF(PAA_4[[#This Row],[BOLSA]]=0,0,SUMIFS([2]!COMPROMISOS_2024[[#All],[Total pagado]],[2]!COMPROMISOS_2024[[#All],[Bolsa]],PAA_4[[#This Row],[BOLSA]],[2]!COMPROMISOS_2024[[#All],[rubro]],PAA_4[[#This Row],[RCP-RUBRO]]))</f>
        <v>0</v>
      </c>
      <c r="AK256" s="47" t="e" cm="1">
        <f t="array" aca="1" ref="AK256" ca="1">_xlfn.XLOOKUP(PAA_4[[#This Row],[RCP-RUBRO]],[2]!COMPROMISOS_2024[[#All],[concatenado]],[2]!COMPROMISOS_2024[[#All],[Total Comprometido]],"",0)</f>
        <v>#NAME?</v>
      </c>
      <c r="AL256" s="47">
        <f>IF(PAA_4[[#This Row],[BOLSA]]=0,0,SUMIFS([2]!COMPROMISOS_2024[[#All],[Total Comprometido]],[2]!COMPROMISOS_2024[[#All],[Bolsa]],PAA_4[[#This Row],[BOLSA]],[2]!COMPROMISOS_2024[[#All],[concatenado]],PAA_4[[#This Row],[RCP-RUBRO]]))</f>
        <v>0</v>
      </c>
    </row>
    <row r="257" spans="1:38" s="338" customFormat="1" ht="31.5" customHeight="1">
      <c r="A257" s="47" t="s">
        <v>82</v>
      </c>
      <c r="B257" s="51" t="s">
        <v>42</v>
      </c>
      <c r="C257" s="47" t="str">
        <f>VLOOKUP(PAA_4[[#This Row],[PROYECTO (formulado)2]],[2]PROYECTOS!$G$1:$L$32,6,0)</f>
        <v>SUBGERENCIA ADMINISTRATIVA Y FINANCIERA</v>
      </c>
      <c r="D257" s="47" t="str">
        <f>+IF(PAA_4[[#This Row],[UNIDAD DE CONTRATACION (formulado)]]="Subgerencia Administrativa y Financiera","FUNCIONAMIENTO","INVERSIÓN")</f>
        <v>FUNCIONAMIENTO</v>
      </c>
      <c r="E257" s="48" t="str">
        <f>VLOOKUP(Q257,[2]PROYECTOS!$G$1:$K$32,5,0)</f>
        <v>FUNCIONAMIENTO</v>
      </c>
      <c r="F257" s="48">
        <f>VLOOKUP(E257,[2]PROYECTOS!$K$1:$M$32,3,0)</f>
        <v>999999</v>
      </c>
      <c r="G257" s="49" t="s">
        <v>43</v>
      </c>
      <c r="H257" s="49">
        <f>VLOOKUP(Q257,[2]PROYECTOS!$V$1:$W$32,2,0)</f>
        <v>999999</v>
      </c>
      <c r="I257" s="50">
        <v>0</v>
      </c>
      <c r="J257" s="51" t="s">
        <v>1418</v>
      </c>
      <c r="K257" s="47" t="str">
        <f t="shared" ca="1" si="136"/>
        <v>CONTRATADO</v>
      </c>
      <c r="L257" s="47" t="s">
        <v>42</v>
      </c>
      <c r="M257" s="47" t="s">
        <v>42</v>
      </c>
      <c r="N257" s="52" t="s">
        <v>1382</v>
      </c>
      <c r="O257" s="51" t="e">
        <f>VLOOKUP(N257,[2]!RUBROS[#All],3,0)</f>
        <v>#REF!</v>
      </c>
      <c r="P257" s="53" t="e">
        <f>VLOOKUP(N257,[2]!RUBROS[#All],2,0)</f>
        <v>#REF!</v>
      </c>
      <c r="Q257" s="47" t="str">
        <f t="shared" si="137"/>
        <v>00</v>
      </c>
      <c r="R257" s="47" t="str">
        <f t="shared" si="138"/>
        <v>4-205616</v>
      </c>
      <c r="S257" s="54" t="s">
        <v>42</v>
      </c>
      <c r="T257" s="59" t="s">
        <v>42</v>
      </c>
      <c r="U257" s="326" t="e">
        <f ca="1">_xlfn.XLOOKUP(PAA_4[[#This Row],[ITEM]],[2]Contrato!A:A,[2]Contrato!Q:Q,"",0)</f>
        <v>#NAME?</v>
      </c>
      <c r="V257" s="47" t="s">
        <v>47</v>
      </c>
      <c r="W257" s="47" t="s">
        <v>42</v>
      </c>
      <c r="X257" s="47" t="s">
        <v>42</v>
      </c>
      <c r="Y257" s="55" t="e">
        <f ca="1">_xlfn.XLOOKUP(PAA_4[[#This Row],[ITEM]],[2]Contrato!A:A,[2]Contrato!B:B,"",0)</f>
        <v>#NAME?</v>
      </c>
      <c r="Z257" s="47" t="e">
        <f ca="1">_xlfn.XLOOKUP(PAA_4[[#This Row],[ITEM]],[2]Contrato!A:A,[2]Contrato!G:G,"",0)</f>
        <v>#NAME?</v>
      </c>
      <c r="AA257" s="47" t="e">
        <f ca="1">_xlfn.XLOOKUP(PAA_4[[#This Row],[ITEM]],[2]Contrato!A:A,[2]Contrato!T:T,"",0)</f>
        <v>#NAME?</v>
      </c>
      <c r="AB257" s="55" t="e">
        <f ca="1">+MAX(PAA_4[[#This Row],[Comprometido Contrato]],PAA_4[[#This Row],[Comprometido Bolsa]])</f>
        <v>#NAME?</v>
      </c>
      <c r="AC257" s="55" t="str">
        <f t="shared" ca="1" si="139"/>
        <v/>
      </c>
      <c r="AD257" s="55" t="e">
        <f ca="1">IF(PAA_4[[#This Row],[ESTADO (formulado)]]="NO CONTRATADO",0,MAX(PAA_4[[#This Row],[Pago por Contrato]],PAA_4[[#This Row],[Pago por bolsa]]))</f>
        <v>#NAME?</v>
      </c>
      <c r="AE257" s="55" t="str">
        <f t="shared" ca="1" si="140"/>
        <v/>
      </c>
      <c r="AF257" s="47" t="e">
        <f t="shared" ca="1" si="141"/>
        <v>#NAME?</v>
      </c>
      <c r="AG257" s="47" t="str">
        <f t="shared" si="142"/>
        <v/>
      </c>
      <c r="AH257" s="54">
        <f>IF(Q257="22",IF(ISNUMBER(SEARCH("econ",PAA_4[[#This Row],[Actividad3]])),"Económico",IF(ISNUMBER(SEARCH("alim",PAA_4[[#This Row],[Actividad3]])),"Alimentación",IF(ISNUMBER(SEARCH("educ",PAA_4[[#This Row],[Actividad3]])),"Educativo","Técnico"))),0)</f>
        <v>0</v>
      </c>
      <c r="AI257" s="47" t="e" cm="1">
        <f t="array" aca="1" ref="AI257" ca="1">_xlfn.XLOOKUP(PAA_4[[#This Row],[RCP-RUBRO]],[2]!COMPROMISOS_2024[[#All],[concatenado]],[2]!COMPROMISOS_2024[[#All],[Total pagado]],"",0)</f>
        <v>#NAME?</v>
      </c>
      <c r="AJ257" s="56">
        <f>IF(PAA_4[[#This Row],[BOLSA]]=0,0,SUMIFS([2]!COMPROMISOS_2024[[#All],[Total pagado]],[2]!COMPROMISOS_2024[[#All],[Bolsa]],PAA_4[[#This Row],[BOLSA]],[2]!COMPROMISOS_2024[[#All],[rubro]],PAA_4[[#This Row],[RCP-RUBRO]]))</f>
        <v>0</v>
      </c>
      <c r="AK257" s="47" t="e" cm="1">
        <f t="array" aca="1" ref="AK257" ca="1">_xlfn.XLOOKUP(PAA_4[[#This Row],[RCP-RUBRO]],[2]!COMPROMISOS_2024[[#All],[concatenado]],[2]!COMPROMISOS_2024[[#All],[Total Comprometido]],"",0)</f>
        <v>#NAME?</v>
      </c>
      <c r="AL257" s="47">
        <f>IF(PAA_4[[#This Row],[BOLSA]]=0,0,SUMIFS([2]!COMPROMISOS_2024[[#All],[Total Comprometido]],[2]!COMPROMISOS_2024[[#All],[Bolsa]],PAA_4[[#This Row],[BOLSA]],[2]!COMPROMISOS_2024[[#All],[concatenado]],PAA_4[[#This Row],[RCP-RUBRO]]))</f>
        <v>0</v>
      </c>
    </row>
    <row r="258" spans="1:38" s="19" customFormat="1" ht="31.5" customHeight="1">
      <c r="A258" s="51">
        <v>999</v>
      </c>
      <c r="B258" s="51" t="s">
        <v>150</v>
      </c>
      <c r="C258" s="47" t="str">
        <f>VLOOKUP(PAA_4[[#This Row],[PROYECTO (formulado)2]],[2]PROYECTOS!$G$1:$L$32,6,0)</f>
        <v>SUBGERENCIA ADMINISTRATIVA Y FINANCIERA</v>
      </c>
      <c r="D258" s="47" t="str">
        <f>+IF(PAA_4[[#This Row],[UNIDAD DE CONTRATACION (formulado)]]="Subgerencia Administrativa y Financiera","FUNCIONAMIENTO","INVERSIÓN")</f>
        <v>FUNCIONAMIENTO</v>
      </c>
      <c r="E258" s="48" t="str">
        <f>VLOOKUP(Q258,[2]PROYECTOS!$G$1:$K$32,5,0)</f>
        <v>FUNCIONAMIENTO</v>
      </c>
      <c r="F258" s="48">
        <f>VLOOKUP(E258,[2]PROYECTOS!$K$1:$M$32,3,0)</f>
        <v>999999</v>
      </c>
      <c r="G258" s="49" t="s">
        <v>43</v>
      </c>
      <c r="H258" s="49">
        <f>VLOOKUP(Q258,[2]PROYECTOS!$V$1:$W$32,2,0)</f>
        <v>999999</v>
      </c>
      <c r="I258" s="50">
        <v>106832936</v>
      </c>
      <c r="J258" s="51" t="s">
        <v>1419</v>
      </c>
      <c r="K258" s="47" t="str">
        <f t="shared" ca="1" si="136"/>
        <v>CONTRATADO</v>
      </c>
      <c r="L258" s="47" t="s">
        <v>78</v>
      </c>
      <c r="M258" s="47" t="s">
        <v>89</v>
      </c>
      <c r="N258" s="52" t="s">
        <v>1420</v>
      </c>
      <c r="O258" s="51" t="e">
        <f>VLOOKUP(N258,[2]!RUBROS[#All],3,0)</f>
        <v>#REF!</v>
      </c>
      <c r="P258" s="53" t="e">
        <f>VLOOKUP(N258,[2]!RUBROS[#All],2,0)</f>
        <v>#REF!</v>
      </c>
      <c r="Q258" s="47" t="str">
        <f t="shared" si="137"/>
        <v>00</v>
      </c>
      <c r="R258" s="47" t="str">
        <f t="shared" si="138"/>
        <v>0-101024</v>
      </c>
      <c r="S258" s="54">
        <v>79</v>
      </c>
      <c r="T258" s="59" t="s">
        <v>120</v>
      </c>
      <c r="U258" s="326" t="e">
        <f ca="1">_xlfn.XLOOKUP(PAA_4[[#This Row],[ITEM]],[2]Contrato!A:A,[2]Contrato!Q:Q,"",0)</f>
        <v>#NAME?</v>
      </c>
      <c r="V258" s="47" t="s">
        <v>95</v>
      </c>
      <c r="W258" s="47" t="s">
        <v>194</v>
      </c>
      <c r="X258" s="47" t="s">
        <v>194</v>
      </c>
      <c r="Y258" s="55" t="e">
        <f ca="1">_xlfn.XLOOKUP(PAA_4[[#This Row],[ITEM]],[2]Contrato!A:A,[2]Contrato!B:B,"",0)</f>
        <v>#NAME?</v>
      </c>
      <c r="Z258" s="47" t="e">
        <f ca="1">_xlfn.XLOOKUP(PAA_4[[#This Row],[ITEM]],[2]Contrato!A:A,[2]Contrato!G:G,"",0)</f>
        <v>#NAME?</v>
      </c>
      <c r="AA258" s="47" t="e">
        <f ca="1">_xlfn.XLOOKUP(PAA_4[[#This Row],[ITEM]],[2]Contrato!A:A,[2]Contrato!T:T,"",0)</f>
        <v>#NAME?</v>
      </c>
      <c r="AB258" s="55" t="e">
        <f ca="1">+MAX(PAA_4[[#This Row],[Comprometido Contrato]],PAA_4[[#This Row],[Comprometido Bolsa]])</f>
        <v>#NAME?</v>
      </c>
      <c r="AC258" s="55" t="str">
        <f t="shared" ca="1" si="139"/>
        <v/>
      </c>
      <c r="AD258" s="55" t="e">
        <f ca="1">IF(PAA_4[[#This Row],[ESTADO (formulado)]]="NO CONTRATADO",0,MAX(PAA_4[[#This Row],[Pago por Contrato]],PAA_4[[#This Row],[Pago por bolsa]]))</f>
        <v>#NAME?</v>
      </c>
      <c r="AE258" s="55" t="str">
        <f t="shared" ca="1" si="140"/>
        <v/>
      </c>
      <c r="AF258" s="47" t="e">
        <f t="shared" ca="1" si="141"/>
        <v>#NAME?</v>
      </c>
      <c r="AG258" s="47" t="str">
        <f t="shared" si="142"/>
        <v/>
      </c>
      <c r="AH258" s="54">
        <f>IF(Q258="22",IF(ISNUMBER(SEARCH("econ",PAA_4[[#This Row],[Actividad3]])),"Económico",IF(ISNUMBER(SEARCH("alim",PAA_4[[#This Row],[Actividad3]])),"Alimentación",IF(ISNUMBER(SEARCH("educ",PAA_4[[#This Row],[Actividad3]])),"Educativo","Técnico"))),0)</f>
        <v>0</v>
      </c>
      <c r="AI258" s="47" t="e" cm="1">
        <f t="array" aca="1" ref="AI258" ca="1">_xlfn.XLOOKUP(PAA_4[[#This Row],[RCP-RUBRO]],[2]!COMPROMISOS_2024[[#All],[concatenado]],[2]!COMPROMISOS_2024[[#All],[Total pagado]],"",0)</f>
        <v>#NAME?</v>
      </c>
      <c r="AJ258" s="56">
        <f>IF(PAA_4[[#This Row],[BOLSA]]=0,0,SUMIFS([2]!COMPROMISOS_2024[[#All],[Total pagado]],[2]!COMPROMISOS_2024[[#All],[Bolsa]],PAA_4[[#This Row],[BOLSA]],[2]!COMPROMISOS_2024[[#All],[rubro]],PAA_4[[#This Row],[RCP-RUBRO]]))</f>
        <v>0</v>
      </c>
      <c r="AK258" s="47" t="e" cm="1">
        <f t="array" aca="1" ref="AK258" ca="1">_xlfn.XLOOKUP(PAA_4[[#This Row],[RCP-RUBRO]],[2]!COMPROMISOS_2024[[#All],[concatenado]],[2]!COMPROMISOS_2024[[#All],[Total Comprometido]],"",0)</f>
        <v>#NAME?</v>
      </c>
      <c r="AL258" s="47">
        <f>IF(PAA_4[[#This Row],[BOLSA]]=0,0,SUMIFS([2]!COMPROMISOS_2024[[#All],[Total Comprometido]],[2]!COMPROMISOS_2024[[#All],[Bolsa]],PAA_4[[#This Row],[BOLSA]],[2]!COMPROMISOS_2024[[#All],[concatenado]],PAA_4[[#This Row],[RCP-RUBRO]]))</f>
        <v>0</v>
      </c>
    </row>
    <row r="259" spans="1:38" s="19" customFormat="1" ht="31.5" customHeight="1">
      <c r="A259" s="51" t="s">
        <v>82</v>
      </c>
      <c r="B259" s="51" t="s">
        <v>42</v>
      </c>
      <c r="C259" s="47" t="str">
        <f>VLOOKUP(PAA_4[[#This Row],[PROYECTO (formulado)2]],[2]PROYECTOS!$G$1:$L$32,6,0)</f>
        <v>SUBGERENCIA ADMINISTRATIVA Y FINANCIERA</v>
      </c>
      <c r="D259" s="47" t="str">
        <f>+IF(PAA_4[[#This Row],[UNIDAD DE CONTRATACION (formulado)]]="Subgerencia Administrativa y Financiera","FUNCIONAMIENTO","INVERSIÓN")</f>
        <v>FUNCIONAMIENTO</v>
      </c>
      <c r="E259" s="48" t="str">
        <f>VLOOKUP(Q259,[2]PROYECTOS!$G$1:$K$32,5,0)</f>
        <v>FUNCIONAMIENTO</v>
      </c>
      <c r="F259" s="48">
        <f>VLOOKUP(E259,[2]PROYECTOS!$K$1:$M$32,3,0)</f>
        <v>999999</v>
      </c>
      <c r="G259" s="49" t="s">
        <v>43</v>
      </c>
      <c r="H259" s="49">
        <f>VLOOKUP(Q259,[2]PROYECTOS!$V$1:$W$32,2,0)</f>
        <v>999999</v>
      </c>
      <c r="I259" s="50">
        <v>75247</v>
      </c>
      <c r="J259" s="51" t="s">
        <v>1421</v>
      </c>
      <c r="K259" s="47" t="str">
        <f t="shared" ca="1" si="136"/>
        <v>CONTRATADO</v>
      </c>
      <c r="L259" s="47" t="s">
        <v>42</v>
      </c>
      <c r="M259" s="47" t="s">
        <v>42</v>
      </c>
      <c r="N259" s="52" t="s">
        <v>1420</v>
      </c>
      <c r="O259" s="51" t="e">
        <f>VLOOKUP(N259,[2]!RUBROS[#All],3,0)</f>
        <v>#REF!</v>
      </c>
      <c r="P259" s="53" t="e">
        <f>VLOOKUP(N259,[2]!RUBROS[#All],2,0)</f>
        <v>#REF!</v>
      </c>
      <c r="Q259" s="47" t="str">
        <f t="shared" si="137"/>
        <v>00</v>
      </c>
      <c r="R259" s="47" t="str">
        <f t="shared" si="138"/>
        <v>0-101024</v>
      </c>
      <c r="S259" s="54" t="s">
        <v>42</v>
      </c>
      <c r="T259" s="54" t="s">
        <v>42</v>
      </c>
      <c r="U259" s="326" t="e">
        <f ca="1">_xlfn.XLOOKUP(PAA_4[[#This Row],[ITEM]],[2]Contrato!A:A,[2]Contrato!Q:Q,"",0)</f>
        <v>#NAME?</v>
      </c>
      <c r="V259" s="47" t="s">
        <v>42</v>
      </c>
      <c r="W259" s="47" t="s">
        <v>42</v>
      </c>
      <c r="X259" s="47" t="s">
        <v>42</v>
      </c>
      <c r="Y259" s="55" t="e">
        <f ca="1">_xlfn.XLOOKUP(PAA_4[[#This Row],[ITEM]],[2]Contrato!A:A,[2]Contrato!B:B,"",0)</f>
        <v>#NAME?</v>
      </c>
      <c r="Z259" s="47" t="e">
        <f ca="1">_xlfn.XLOOKUP(PAA_4[[#This Row],[ITEM]],[2]Contrato!A:A,[2]Contrato!G:G,"",0)</f>
        <v>#NAME?</v>
      </c>
      <c r="AA259" s="47" t="e">
        <f ca="1">_xlfn.XLOOKUP(PAA_4[[#This Row],[ITEM]],[2]Contrato!A:A,[2]Contrato!T:T,"",0)</f>
        <v>#NAME?</v>
      </c>
      <c r="AB259" s="55" t="e">
        <f ca="1">+MAX(PAA_4[[#This Row],[Comprometido Contrato]],PAA_4[[#This Row],[Comprometido Bolsa]])</f>
        <v>#NAME?</v>
      </c>
      <c r="AC259" s="55" t="str">
        <f t="shared" ca="1" si="139"/>
        <v/>
      </c>
      <c r="AD259" s="55" t="e">
        <f ca="1">IF(PAA_4[[#This Row],[ESTADO (formulado)]]="NO CONTRATADO",0,MAX(PAA_4[[#This Row],[Pago por Contrato]],PAA_4[[#This Row],[Pago por bolsa]]))</f>
        <v>#NAME?</v>
      </c>
      <c r="AE259" s="55" t="str">
        <f t="shared" ca="1" si="140"/>
        <v/>
      </c>
      <c r="AF259" s="47" t="e">
        <f t="shared" ca="1" si="141"/>
        <v>#NAME?</v>
      </c>
      <c r="AG259" s="47" t="str">
        <f t="shared" si="142"/>
        <v/>
      </c>
      <c r="AH259" s="54">
        <f>IF(Q259="22",IF(ISNUMBER(SEARCH("econ",PAA_4[[#This Row],[Actividad3]])),"Económico",IF(ISNUMBER(SEARCH("alim",PAA_4[[#This Row],[Actividad3]])),"Alimentación",IF(ISNUMBER(SEARCH("educ",PAA_4[[#This Row],[Actividad3]])),"Educativo","Técnico"))),0)</f>
        <v>0</v>
      </c>
      <c r="AI259" s="47" t="e" cm="1">
        <f t="array" aca="1" ref="AI259" ca="1">_xlfn.XLOOKUP(PAA_4[[#This Row],[RCP-RUBRO]],[2]!COMPROMISOS_2024[[#All],[concatenado]],[2]!COMPROMISOS_2024[[#All],[Total pagado]],"",0)</f>
        <v>#NAME?</v>
      </c>
      <c r="AJ259" s="56">
        <f>IF(PAA_4[[#This Row],[BOLSA]]=0,0,SUMIFS([2]!COMPROMISOS_2024[[#All],[Total pagado]],[2]!COMPROMISOS_2024[[#All],[Bolsa]],PAA_4[[#This Row],[BOLSA]],[2]!COMPROMISOS_2024[[#All],[rubro]],PAA_4[[#This Row],[RCP-RUBRO]]))</f>
        <v>0</v>
      </c>
      <c r="AK259" s="47" t="e" cm="1">
        <f t="array" aca="1" ref="AK259" ca="1">_xlfn.XLOOKUP(PAA_4[[#This Row],[RCP-RUBRO]],[2]!COMPROMISOS_2024[[#All],[concatenado]],[2]!COMPROMISOS_2024[[#All],[Total Comprometido]],"",0)</f>
        <v>#NAME?</v>
      </c>
      <c r="AL259" s="47">
        <f>IF(PAA_4[[#This Row],[BOLSA]]=0,0,SUMIFS([2]!COMPROMISOS_2024[[#All],[Total Comprometido]],[2]!COMPROMISOS_2024[[#All],[Bolsa]],PAA_4[[#This Row],[BOLSA]],[2]!COMPROMISOS_2024[[#All],[concatenado]],PAA_4[[#This Row],[RCP-RUBRO]]))</f>
        <v>0</v>
      </c>
    </row>
    <row r="260" spans="1:38" s="19" customFormat="1" ht="31.5" customHeight="1">
      <c r="A260" s="51">
        <v>1000</v>
      </c>
      <c r="B260" s="51" t="s">
        <v>77</v>
      </c>
      <c r="C260" s="47" t="str">
        <f>VLOOKUP(PAA_4[[#This Row],[PROYECTO (formulado)2]],[2]PROYECTOS!$G$1:$L$32,6,0)</f>
        <v>SUBGERENCIA ADMINISTRATIVA Y FINANCIERA</v>
      </c>
      <c r="D260" s="47" t="str">
        <f>+IF(PAA_4[[#This Row],[UNIDAD DE CONTRATACION (formulado)]]="Subgerencia Administrativa y Financiera","FUNCIONAMIENTO","INVERSIÓN")</f>
        <v>FUNCIONAMIENTO</v>
      </c>
      <c r="E260" s="48" t="str">
        <f>VLOOKUP(Q260,[2]PROYECTOS!$G$1:$K$32,5,0)</f>
        <v>FUNCIONAMIENTO</v>
      </c>
      <c r="F260" s="48">
        <f>VLOOKUP(E260,[2]PROYECTOS!$K$1:$M$32,3,0)</f>
        <v>999999</v>
      </c>
      <c r="G260" s="49" t="s">
        <v>43</v>
      </c>
      <c r="H260" s="49">
        <f>VLOOKUP(Q260,[2]PROYECTOS!$V$1:$W$32,2,0)</f>
        <v>999999</v>
      </c>
      <c r="I260" s="50">
        <f>2407902-75247</f>
        <v>2332655</v>
      </c>
      <c r="J260" s="51" t="s">
        <v>1422</v>
      </c>
      <c r="K260" s="47" t="str">
        <f t="shared" ca="1" si="136"/>
        <v>CONTRATADO</v>
      </c>
      <c r="L260" s="47" t="s">
        <v>78</v>
      </c>
      <c r="M260" s="47" t="s">
        <v>89</v>
      </c>
      <c r="N260" s="52" t="s">
        <v>1420</v>
      </c>
      <c r="O260" s="51" t="e">
        <f>VLOOKUP(N260,[2]!RUBROS[#All],3,0)</f>
        <v>#REF!</v>
      </c>
      <c r="P260" s="53" t="e">
        <f>VLOOKUP(N260,[2]!RUBROS[#All],2,0)</f>
        <v>#REF!</v>
      </c>
      <c r="Q260" s="47" t="str">
        <f t="shared" si="137"/>
        <v>00</v>
      </c>
      <c r="R260" s="47" t="str">
        <f t="shared" si="138"/>
        <v>0-101024</v>
      </c>
      <c r="S260" s="54">
        <v>63</v>
      </c>
      <c r="T260" s="59" t="s">
        <v>120</v>
      </c>
      <c r="U260" s="326" t="e">
        <f ca="1">_xlfn.XLOOKUP(PAA_4[[#This Row],[ITEM]],[2]Contrato!A:A,[2]Contrato!Q:Q,"",0)</f>
        <v>#NAME?</v>
      </c>
      <c r="V260" s="47" t="s">
        <v>95</v>
      </c>
      <c r="W260" s="47" t="s">
        <v>194</v>
      </c>
      <c r="X260" s="47" t="s">
        <v>194</v>
      </c>
      <c r="Y260" s="55" t="e">
        <f ca="1">_xlfn.XLOOKUP(PAA_4[[#This Row],[ITEM]],[2]Contrato!A:A,[2]Contrato!B:B,"",0)</f>
        <v>#NAME?</v>
      </c>
      <c r="Z260" s="47" t="e">
        <f ca="1">_xlfn.XLOOKUP(PAA_4[[#This Row],[ITEM]],[2]Contrato!A:A,[2]Contrato!G:G,"",0)</f>
        <v>#NAME?</v>
      </c>
      <c r="AA260" s="47" t="e">
        <f ca="1">_xlfn.XLOOKUP(PAA_4[[#This Row],[ITEM]],[2]Contrato!A:A,[2]Contrato!T:T,"",0)</f>
        <v>#NAME?</v>
      </c>
      <c r="AB260" s="55" t="e">
        <f ca="1">+MAX(PAA_4[[#This Row],[Comprometido Contrato]],PAA_4[[#This Row],[Comprometido Bolsa]])</f>
        <v>#NAME?</v>
      </c>
      <c r="AC260" s="55" t="str">
        <f t="shared" ca="1" si="139"/>
        <v/>
      </c>
      <c r="AD260" s="55" t="e">
        <f ca="1">IF(PAA_4[[#This Row],[ESTADO (formulado)]]="NO CONTRATADO",0,MAX(PAA_4[[#This Row],[Pago por Contrato]],PAA_4[[#This Row],[Pago por bolsa]]))</f>
        <v>#NAME?</v>
      </c>
      <c r="AE260" s="55" t="str">
        <f t="shared" ca="1" si="140"/>
        <v/>
      </c>
      <c r="AF260" s="47" t="e">
        <f t="shared" ca="1" si="141"/>
        <v>#NAME?</v>
      </c>
      <c r="AG260" s="47" t="str">
        <f t="shared" si="142"/>
        <v/>
      </c>
      <c r="AH260" s="54">
        <f>IF(Q260="22",IF(ISNUMBER(SEARCH("econ",PAA_4[[#This Row],[Actividad3]])),"Económico",IF(ISNUMBER(SEARCH("alim",PAA_4[[#This Row],[Actividad3]])),"Alimentación",IF(ISNUMBER(SEARCH("educ",PAA_4[[#This Row],[Actividad3]])),"Educativo","Técnico"))),0)</f>
        <v>0</v>
      </c>
      <c r="AI260" s="47" t="e" cm="1">
        <f t="array" aca="1" ref="AI260" ca="1">_xlfn.XLOOKUP(PAA_4[[#This Row],[RCP-RUBRO]],[2]!COMPROMISOS_2024[[#All],[concatenado]],[2]!COMPROMISOS_2024[[#All],[Total pagado]],"",0)</f>
        <v>#NAME?</v>
      </c>
      <c r="AJ260" s="56">
        <f>IF(PAA_4[[#This Row],[BOLSA]]=0,0,SUMIFS([2]!COMPROMISOS_2024[[#All],[Total pagado]],[2]!COMPROMISOS_2024[[#All],[Bolsa]],PAA_4[[#This Row],[BOLSA]],[2]!COMPROMISOS_2024[[#All],[rubro]],PAA_4[[#This Row],[RCP-RUBRO]]))</f>
        <v>0</v>
      </c>
      <c r="AK260" s="47" t="e" cm="1">
        <f t="array" aca="1" ref="AK260" ca="1">_xlfn.XLOOKUP(PAA_4[[#This Row],[RCP-RUBRO]],[2]!COMPROMISOS_2024[[#All],[concatenado]],[2]!COMPROMISOS_2024[[#All],[Total Comprometido]],"",0)</f>
        <v>#NAME?</v>
      </c>
      <c r="AL260" s="47">
        <f>IF(PAA_4[[#This Row],[BOLSA]]=0,0,SUMIFS([2]!COMPROMISOS_2024[[#All],[Total Comprometido]],[2]!COMPROMISOS_2024[[#All],[Bolsa]],PAA_4[[#This Row],[BOLSA]],[2]!COMPROMISOS_2024[[#All],[concatenado]],PAA_4[[#This Row],[RCP-RUBRO]]))</f>
        <v>0</v>
      </c>
    </row>
    <row r="261" spans="1:38" s="19" customFormat="1" ht="31.5" customHeight="1">
      <c r="A261" s="51" t="s">
        <v>82</v>
      </c>
      <c r="B261" s="51" t="s">
        <v>42</v>
      </c>
      <c r="C261" s="47" t="str">
        <f>VLOOKUP(PAA_4[[#This Row],[PROYECTO (formulado)2]],[2]PROYECTOS!$G$1:$L$32,6,0)</f>
        <v>SUBGERENCIA ADMINISTRATIVA Y FINANCIERA</v>
      </c>
      <c r="D261" s="47" t="str">
        <f>+IF(PAA_4[[#This Row],[UNIDAD DE CONTRATACION (formulado)]]="Subgerencia Administrativa y Financiera","FUNCIONAMIENTO","INVERSIÓN")</f>
        <v>FUNCIONAMIENTO</v>
      </c>
      <c r="E261" s="48" t="str">
        <f>VLOOKUP(Q261,[2]PROYECTOS!$G$1:$K$32,5,0)</f>
        <v>FUNCIONAMIENTO</v>
      </c>
      <c r="F261" s="48">
        <f>VLOOKUP(E261,[2]PROYECTOS!$K$1:$M$32,3,0)</f>
        <v>999999</v>
      </c>
      <c r="G261" s="49" t="s">
        <v>43</v>
      </c>
      <c r="H261" s="49">
        <f>VLOOKUP(Q261,[2]PROYECTOS!$V$1:$W$32,2,0)</f>
        <v>999999</v>
      </c>
      <c r="I261" s="50">
        <v>91316</v>
      </c>
      <c r="J261" s="51" t="s">
        <v>1421</v>
      </c>
      <c r="K261" s="47" t="str">
        <f t="shared" ca="1" si="136"/>
        <v>CONTRATADO</v>
      </c>
      <c r="L261" s="47" t="s">
        <v>42</v>
      </c>
      <c r="M261" s="47" t="s">
        <v>42</v>
      </c>
      <c r="N261" s="52" t="s">
        <v>1420</v>
      </c>
      <c r="O261" s="51" t="e">
        <f>VLOOKUP(N261,[2]!RUBROS[#All],3,0)</f>
        <v>#REF!</v>
      </c>
      <c r="P261" s="53" t="e">
        <f>VLOOKUP(N261,[2]!RUBROS[#All],2,0)</f>
        <v>#REF!</v>
      </c>
      <c r="Q261" s="47" t="str">
        <f t="shared" si="137"/>
        <v>00</v>
      </c>
      <c r="R261" s="47" t="str">
        <f t="shared" si="138"/>
        <v>0-101024</v>
      </c>
      <c r="S261" s="54" t="s">
        <v>42</v>
      </c>
      <c r="T261" s="329" t="s">
        <v>42</v>
      </c>
      <c r="U261" s="326" t="e">
        <f ca="1">_xlfn.XLOOKUP(PAA_4[[#This Row],[ITEM]],[2]Contrato!A:A,[2]Contrato!Q:Q,"",0)</f>
        <v>#NAME?</v>
      </c>
      <c r="V261" s="47" t="s">
        <v>95</v>
      </c>
      <c r="W261" s="47" t="s">
        <v>42</v>
      </c>
      <c r="X261" s="47" t="s">
        <v>42</v>
      </c>
      <c r="Y261" s="55" t="e">
        <f ca="1">_xlfn.XLOOKUP(PAA_4[[#This Row],[ITEM]],[2]Contrato!A:A,[2]Contrato!B:B,"",0)</f>
        <v>#NAME?</v>
      </c>
      <c r="Z261" s="47" t="e">
        <f ca="1">_xlfn.XLOOKUP(PAA_4[[#This Row],[ITEM]],[2]Contrato!A:A,[2]Contrato!G:G,"",0)</f>
        <v>#NAME?</v>
      </c>
      <c r="AA261" s="47" t="e">
        <f ca="1">_xlfn.XLOOKUP(PAA_4[[#This Row],[ITEM]],[2]Contrato!A:A,[2]Contrato!T:T,"",0)</f>
        <v>#NAME?</v>
      </c>
      <c r="AB261" s="55" t="e">
        <f ca="1">+MAX(PAA_4[[#This Row],[Comprometido Contrato]],PAA_4[[#This Row],[Comprometido Bolsa]])</f>
        <v>#NAME?</v>
      </c>
      <c r="AC261" s="55" t="str">
        <f t="shared" ca="1" si="139"/>
        <v/>
      </c>
      <c r="AD261" s="55" t="e">
        <f ca="1">IF(PAA_4[[#This Row],[ESTADO (formulado)]]="NO CONTRATADO",0,MAX(PAA_4[[#This Row],[Pago por Contrato]],PAA_4[[#This Row],[Pago por bolsa]]))</f>
        <v>#NAME?</v>
      </c>
      <c r="AE261" s="55" t="str">
        <f t="shared" ca="1" si="140"/>
        <v/>
      </c>
      <c r="AF261" s="47" t="e">
        <f t="shared" ca="1" si="141"/>
        <v>#NAME?</v>
      </c>
      <c r="AG261" s="47" t="str">
        <f t="shared" si="142"/>
        <v/>
      </c>
      <c r="AH261" s="54">
        <f>IF(Q261="22",IF(ISNUMBER(SEARCH("econ",PAA_4[[#This Row],[Actividad3]])),"Económico",IF(ISNUMBER(SEARCH("alim",PAA_4[[#This Row],[Actividad3]])),"Alimentación",IF(ISNUMBER(SEARCH("educ",PAA_4[[#This Row],[Actividad3]])),"Educativo","Técnico"))),0)</f>
        <v>0</v>
      </c>
      <c r="AI261" s="47" t="e" cm="1">
        <f t="array" aca="1" ref="AI261" ca="1">_xlfn.XLOOKUP(PAA_4[[#This Row],[RCP-RUBRO]],[2]!COMPROMISOS_2024[[#All],[concatenado]],[2]!COMPROMISOS_2024[[#All],[Total pagado]],"",0)</f>
        <v>#NAME?</v>
      </c>
      <c r="AJ261" s="56">
        <f>IF(PAA_4[[#This Row],[BOLSA]]=0,0,SUMIFS([2]!COMPROMISOS_2024[[#All],[Total pagado]],[2]!COMPROMISOS_2024[[#All],[Bolsa]],PAA_4[[#This Row],[BOLSA]],[2]!COMPROMISOS_2024[[#All],[rubro]],PAA_4[[#This Row],[RCP-RUBRO]]))</f>
        <v>0</v>
      </c>
      <c r="AK261" s="47" t="e" cm="1">
        <f t="array" aca="1" ref="AK261" ca="1">_xlfn.XLOOKUP(PAA_4[[#This Row],[RCP-RUBRO]],[2]!COMPROMISOS_2024[[#All],[concatenado]],[2]!COMPROMISOS_2024[[#All],[Total Comprometido]],"",0)</f>
        <v>#NAME?</v>
      </c>
      <c r="AL261" s="47">
        <f>IF(PAA_4[[#This Row],[BOLSA]]=0,0,SUMIFS([2]!COMPROMISOS_2024[[#All],[Total Comprometido]],[2]!COMPROMISOS_2024[[#All],[Bolsa]],PAA_4[[#This Row],[BOLSA]],[2]!COMPROMISOS_2024[[#All],[concatenado]],PAA_4[[#This Row],[RCP-RUBRO]]))</f>
        <v>0</v>
      </c>
    </row>
    <row r="262" spans="1:38" s="19" customFormat="1" ht="31.5" customHeight="1">
      <c r="A262" s="51">
        <v>1001</v>
      </c>
      <c r="B262" s="51" t="s">
        <v>77</v>
      </c>
      <c r="C262" s="47" t="str">
        <f>VLOOKUP(PAA_4[[#This Row],[PROYECTO (formulado)2]],[2]PROYECTOS!$G$1:$L$32,6,0)</f>
        <v>SUBGERENCIA ADMINISTRATIVA Y FINANCIERA</v>
      </c>
      <c r="D262" s="47" t="str">
        <f>+IF(PAA_4[[#This Row],[UNIDAD DE CONTRATACION (formulado)]]="Subgerencia Administrativa y Financiera","FUNCIONAMIENTO","INVERSIÓN")</f>
        <v>FUNCIONAMIENTO</v>
      </c>
      <c r="E262" s="48" t="str">
        <f>VLOOKUP(Q262,[2]PROYECTOS!$G$1:$K$32,5,0)</f>
        <v>FUNCIONAMIENTO</v>
      </c>
      <c r="F262" s="48">
        <f>VLOOKUP(E262,[2]PROYECTOS!$K$1:$M$32,3,0)</f>
        <v>999999</v>
      </c>
      <c r="G262" s="49" t="s">
        <v>43</v>
      </c>
      <c r="H262" s="49">
        <f>VLOOKUP(Q262,[2]PROYECTOS!$V$1:$W$32,2,0)</f>
        <v>999999</v>
      </c>
      <c r="I262" s="50">
        <f>2922098-91316</f>
        <v>2830782</v>
      </c>
      <c r="J262" s="51" t="s">
        <v>1423</v>
      </c>
      <c r="K262" s="47" t="str">
        <f t="shared" ca="1" si="136"/>
        <v>CONTRATADO</v>
      </c>
      <c r="L262" s="47" t="s">
        <v>78</v>
      </c>
      <c r="M262" s="47" t="s">
        <v>89</v>
      </c>
      <c r="N262" s="52" t="s">
        <v>1420</v>
      </c>
      <c r="O262" s="51" t="e">
        <f>VLOOKUP(N262,[2]!RUBROS[#All],3,0)</f>
        <v>#REF!</v>
      </c>
      <c r="P262" s="53" t="e">
        <f>VLOOKUP(N262,[2]!RUBROS[#All],2,0)</f>
        <v>#REF!</v>
      </c>
      <c r="Q262" s="47" t="str">
        <f t="shared" si="137"/>
        <v>00</v>
      </c>
      <c r="R262" s="47" t="str">
        <f t="shared" si="138"/>
        <v>0-101024</v>
      </c>
      <c r="S262" s="54">
        <v>64</v>
      </c>
      <c r="T262" s="59" t="s">
        <v>120</v>
      </c>
      <c r="U262" s="326" t="e">
        <f ca="1">_xlfn.XLOOKUP(PAA_4[[#This Row],[ITEM]],[2]Contrato!A:A,[2]Contrato!Q:Q,"",0)</f>
        <v>#NAME?</v>
      </c>
      <c r="V262" s="47" t="s">
        <v>95</v>
      </c>
      <c r="W262" s="47" t="s">
        <v>194</v>
      </c>
      <c r="X262" s="47" t="s">
        <v>194</v>
      </c>
      <c r="Y262" s="55" t="e">
        <f ca="1">_xlfn.XLOOKUP(PAA_4[[#This Row],[ITEM]],[2]Contrato!A:A,[2]Contrato!B:B,"",0)</f>
        <v>#NAME?</v>
      </c>
      <c r="Z262" s="47" t="e">
        <f ca="1">_xlfn.XLOOKUP(PAA_4[[#This Row],[ITEM]],[2]Contrato!A:A,[2]Contrato!G:G,"",0)</f>
        <v>#NAME?</v>
      </c>
      <c r="AA262" s="47" t="e">
        <f ca="1">_xlfn.XLOOKUP(PAA_4[[#This Row],[ITEM]],[2]Contrato!A:A,[2]Contrato!T:T,"",0)</f>
        <v>#NAME?</v>
      </c>
      <c r="AB262" s="55" t="e">
        <f ca="1">+MAX(PAA_4[[#This Row],[Comprometido Contrato]],PAA_4[[#This Row],[Comprometido Bolsa]])</f>
        <v>#NAME?</v>
      </c>
      <c r="AC262" s="55" t="str">
        <f t="shared" ca="1" si="139"/>
        <v/>
      </c>
      <c r="AD262" s="55" t="e">
        <f ca="1">IF(PAA_4[[#This Row],[ESTADO (formulado)]]="NO CONTRATADO",0,MAX(PAA_4[[#This Row],[Pago por Contrato]],PAA_4[[#This Row],[Pago por bolsa]]))</f>
        <v>#NAME?</v>
      </c>
      <c r="AE262" s="55" t="str">
        <f t="shared" ca="1" si="140"/>
        <v/>
      </c>
      <c r="AF262" s="47" t="e">
        <f t="shared" ca="1" si="141"/>
        <v>#NAME?</v>
      </c>
      <c r="AG262" s="47" t="str">
        <f t="shared" si="142"/>
        <v/>
      </c>
      <c r="AH262" s="54">
        <f>IF(Q262="22",IF(ISNUMBER(SEARCH("econ",PAA_4[[#This Row],[Actividad3]])),"Económico",IF(ISNUMBER(SEARCH("alim",PAA_4[[#This Row],[Actividad3]])),"Alimentación",IF(ISNUMBER(SEARCH("educ",PAA_4[[#This Row],[Actividad3]])),"Educativo","Técnico"))),0)</f>
        <v>0</v>
      </c>
      <c r="AI262" s="47" t="e" cm="1">
        <f t="array" aca="1" ref="AI262" ca="1">_xlfn.XLOOKUP(PAA_4[[#This Row],[RCP-RUBRO]],[2]!COMPROMISOS_2024[[#All],[concatenado]],[2]!COMPROMISOS_2024[[#All],[Total pagado]],"",0)</f>
        <v>#NAME?</v>
      </c>
      <c r="AJ262" s="56">
        <f>IF(PAA_4[[#This Row],[BOLSA]]=0,0,SUMIFS([2]!COMPROMISOS_2024[[#All],[Total pagado]],[2]!COMPROMISOS_2024[[#All],[Bolsa]],PAA_4[[#This Row],[BOLSA]],[2]!COMPROMISOS_2024[[#All],[rubro]],PAA_4[[#This Row],[RCP-RUBRO]]))</f>
        <v>0</v>
      </c>
      <c r="AK262" s="47" t="e" cm="1">
        <f t="array" aca="1" ref="AK262" ca="1">_xlfn.XLOOKUP(PAA_4[[#This Row],[RCP-RUBRO]],[2]!COMPROMISOS_2024[[#All],[concatenado]],[2]!COMPROMISOS_2024[[#All],[Total Comprometido]],"",0)</f>
        <v>#NAME?</v>
      </c>
      <c r="AL262" s="47">
        <f>IF(PAA_4[[#This Row],[BOLSA]]=0,0,SUMIFS([2]!COMPROMISOS_2024[[#All],[Total Comprometido]],[2]!COMPROMISOS_2024[[#All],[Bolsa]],PAA_4[[#This Row],[BOLSA]],[2]!COMPROMISOS_2024[[#All],[concatenado]],PAA_4[[#This Row],[RCP-RUBRO]]))</f>
        <v>0</v>
      </c>
    </row>
    <row r="263" spans="1:38" s="19" customFormat="1" ht="31.5" customHeight="1">
      <c r="A263" s="51">
        <v>1002</v>
      </c>
      <c r="B263" s="51">
        <v>80131500</v>
      </c>
      <c r="C263" s="47" t="str">
        <f>VLOOKUP(PAA_4[[#This Row],[PROYECTO (formulado)2]],[2]PROYECTOS!$G$1:$L$32,6,0)</f>
        <v>SUBGERENCIA ADMINISTRATIVA Y FINANCIERA</v>
      </c>
      <c r="D263" s="47" t="str">
        <f>+IF(PAA_4[[#This Row],[UNIDAD DE CONTRATACION (formulado)]]="Subgerencia Administrativa y Financiera","FUNCIONAMIENTO","INVERSIÓN")</f>
        <v>FUNCIONAMIENTO</v>
      </c>
      <c r="E263" s="48" t="str">
        <f>VLOOKUP(Q263,[2]PROYECTOS!$G$1:$K$32,5,0)</f>
        <v>FUNCIONAMIENTO</v>
      </c>
      <c r="F263" s="48">
        <f>VLOOKUP(E263,[2]PROYECTOS!$K$1:$M$32,3,0)</f>
        <v>999999</v>
      </c>
      <c r="G263" s="49" t="s">
        <v>43</v>
      </c>
      <c r="H263" s="49">
        <f>VLOOKUP(Q263,[2]PROYECTOS!$V$1:$W$32,2,0)</f>
        <v>999999</v>
      </c>
      <c r="I263" s="50">
        <v>0</v>
      </c>
      <c r="J263" s="51" t="s">
        <v>1424</v>
      </c>
      <c r="K263" s="47" t="str">
        <f t="shared" ca="1" si="136"/>
        <v>CONTRATADO</v>
      </c>
      <c r="L263" s="47" t="s">
        <v>78</v>
      </c>
      <c r="M263" s="47"/>
      <c r="N263" s="52" t="s">
        <v>90</v>
      </c>
      <c r="O263" s="51" t="e">
        <f>VLOOKUP(N263,[2]!RUBROS[#All],3,0)</f>
        <v>#REF!</v>
      </c>
      <c r="P263" s="53" t="e">
        <f>VLOOKUP(N263,[2]!RUBROS[#All],2,0)</f>
        <v>#REF!</v>
      </c>
      <c r="Q263" s="47" t="str">
        <f t="shared" si="137"/>
        <v>00</v>
      </c>
      <c r="R263" s="47" t="str">
        <f t="shared" si="138"/>
        <v>0-205616</v>
      </c>
      <c r="S263" s="54" t="s">
        <v>42</v>
      </c>
      <c r="T263" s="59" t="s">
        <v>42</v>
      </c>
      <c r="U263" s="326" t="e">
        <f ca="1">_xlfn.XLOOKUP(PAA_4[[#This Row],[ITEM]],[2]Contrato!A:A,[2]Contrato!Q:Q,"",0)</f>
        <v>#NAME?</v>
      </c>
      <c r="V263" s="47" t="s">
        <v>95</v>
      </c>
      <c r="W263" s="47" t="s">
        <v>194</v>
      </c>
      <c r="X263" s="47" t="s">
        <v>194</v>
      </c>
      <c r="Y263" s="55" t="e">
        <f ca="1">_xlfn.XLOOKUP(PAA_4[[#This Row],[ITEM]],[2]Contrato!A:A,[2]Contrato!B:B,"",0)</f>
        <v>#NAME?</v>
      </c>
      <c r="Z263" s="47" t="e">
        <f ca="1">_xlfn.XLOOKUP(PAA_4[[#This Row],[ITEM]],[2]Contrato!A:A,[2]Contrato!G:G,"",0)</f>
        <v>#NAME?</v>
      </c>
      <c r="AA263" s="47" t="e">
        <f ca="1">_xlfn.XLOOKUP(PAA_4[[#This Row],[ITEM]],[2]Contrato!A:A,[2]Contrato!T:T,"",0)</f>
        <v>#NAME?</v>
      </c>
      <c r="AB263" s="55" t="e">
        <f ca="1">+MAX(PAA_4[[#This Row],[Comprometido Contrato]],PAA_4[[#This Row],[Comprometido Bolsa]])</f>
        <v>#NAME?</v>
      </c>
      <c r="AC263" s="55" t="str">
        <f t="shared" ca="1" si="139"/>
        <v/>
      </c>
      <c r="AD263" s="55" t="e">
        <f ca="1">IF(PAA_4[[#This Row],[ESTADO (formulado)]]="NO CONTRATADO",0,MAX(PAA_4[[#This Row],[Pago por Contrato]],PAA_4[[#This Row],[Pago por bolsa]]))</f>
        <v>#NAME?</v>
      </c>
      <c r="AE263" s="55" t="str">
        <f t="shared" ca="1" si="140"/>
        <v/>
      </c>
      <c r="AF263" s="47" t="e">
        <f t="shared" ca="1" si="141"/>
        <v>#NAME?</v>
      </c>
      <c r="AG263" s="47" t="str">
        <f t="shared" si="142"/>
        <v/>
      </c>
      <c r="AH263" s="54">
        <f>IF(Q263="22",IF(ISNUMBER(SEARCH("econ",PAA_4[[#This Row],[Actividad3]])),"Económico",IF(ISNUMBER(SEARCH("alim",PAA_4[[#This Row],[Actividad3]])),"Alimentación",IF(ISNUMBER(SEARCH("educ",PAA_4[[#This Row],[Actividad3]])),"Educativo","Técnico"))),0)</f>
        <v>0</v>
      </c>
      <c r="AI263" s="47" t="e" cm="1">
        <f t="array" aca="1" ref="AI263" ca="1">_xlfn.XLOOKUP(PAA_4[[#This Row],[RCP-RUBRO]],[2]!COMPROMISOS_2024[[#All],[concatenado]],[2]!COMPROMISOS_2024[[#All],[Total pagado]],"",0)</f>
        <v>#NAME?</v>
      </c>
      <c r="AJ263" s="56">
        <f>IF(PAA_4[[#This Row],[BOLSA]]=0,0,SUMIFS([2]!COMPROMISOS_2024[[#All],[Total pagado]],[2]!COMPROMISOS_2024[[#All],[Bolsa]],PAA_4[[#This Row],[BOLSA]],[2]!COMPROMISOS_2024[[#All],[rubro]],PAA_4[[#This Row],[RCP-RUBRO]]))</f>
        <v>0</v>
      </c>
      <c r="AK263" s="47" t="e" cm="1">
        <f t="array" aca="1" ref="AK263" ca="1">_xlfn.XLOOKUP(PAA_4[[#This Row],[RCP-RUBRO]],[2]!COMPROMISOS_2024[[#All],[concatenado]],[2]!COMPROMISOS_2024[[#All],[Total Comprometido]],"",0)</f>
        <v>#NAME?</v>
      </c>
      <c r="AL263" s="47">
        <f>IF(PAA_4[[#This Row],[BOLSA]]=0,0,SUMIFS([2]!COMPROMISOS_2024[[#All],[Total Comprometido]],[2]!COMPROMISOS_2024[[#All],[Bolsa]],PAA_4[[#This Row],[BOLSA]],[2]!COMPROMISOS_2024[[#All],[concatenado]],PAA_4[[#This Row],[RCP-RUBRO]]))</f>
        <v>0</v>
      </c>
    </row>
    <row r="264" spans="1:38" s="19" customFormat="1" ht="31.5" customHeight="1">
      <c r="A264" s="51">
        <v>1135</v>
      </c>
      <c r="B264" s="51" t="s">
        <v>42</v>
      </c>
      <c r="C264" s="47" t="str">
        <f>VLOOKUP(PAA_4[[#This Row],[PROYECTO (formulado)2]],[2]PROYECTOS!$G$1:$L$32,6,0)</f>
        <v>SUBGERENCIA ADMINISTRATIVA Y FINANCIERA</v>
      </c>
      <c r="D264" s="47" t="str">
        <f>+IF(PAA_4[[#This Row],[UNIDAD DE CONTRATACION (formulado)]]="Subgerencia Administrativa y Financiera","FUNCIONAMIENTO","INVERSIÓN")</f>
        <v>FUNCIONAMIENTO</v>
      </c>
      <c r="E264" s="48" t="str">
        <f>VLOOKUP(Q264,[2]PROYECTOS!$G$1:$K$32,5,0)</f>
        <v>FUNCIONAMIENTO</v>
      </c>
      <c r="F264" s="48">
        <f>VLOOKUP(E264,[2]PROYECTOS!$K$1:$M$32,3,0)</f>
        <v>999999</v>
      </c>
      <c r="G264" s="49" t="s">
        <v>43</v>
      </c>
      <c r="H264" s="49">
        <f>VLOOKUP(Q264,[2]PROYECTOS!$V$1:$W$32,2,0)</f>
        <v>999999</v>
      </c>
      <c r="I264" s="50">
        <v>182658843</v>
      </c>
      <c r="J264" s="51" t="s">
        <v>1280</v>
      </c>
      <c r="K264" s="47" t="str">
        <f t="shared" ca="1" si="136"/>
        <v>CONTRATADO</v>
      </c>
      <c r="L264" s="47" t="s">
        <v>44</v>
      </c>
      <c r="M264" s="47" t="s">
        <v>1236</v>
      </c>
      <c r="N264" s="52" t="s">
        <v>1425</v>
      </c>
      <c r="O264" s="51" t="e">
        <f>VLOOKUP(N264,[2]!RUBROS[#All],3,0)</f>
        <v>#REF!</v>
      </c>
      <c r="P264" s="53" t="e">
        <f>VLOOKUP(N264,[2]!RUBROS[#All],2,0)</f>
        <v>#REF!</v>
      </c>
      <c r="Q264" s="47" t="str">
        <f t="shared" si="137"/>
        <v>00</v>
      </c>
      <c r="R264" s="47" t="str">
        <f t="shared" si="138"/>
        <v>0-101024</v>
      </c>
      <c r="S264" s="54" t="s">
        <v>42</v>
      </c>
      <c r="T264" s="59" t="s">
        <v>42</v>
      </c>
      <c r="U264" s="326" t="e">
        <f ca="1">_xlfn.XLOOKUP(PAA_4[[#This Row],[ITEM]],[2]Contrato!A:A,[2]Contrato!Q:Q,"",0)</f>
        <v>#NAME?</v>
      </c>
      <c r="V264" s="47" t="s">
        <v>47</v>
      </c>
      <c r="W264" s="47" t="s">
        <v>203</v>
      </c>
      <c r="X264" s="47" t="s">
        <v>203</v>
      </c>
      <c r="Y264" s="55" t="e">
        <f ca="1">_xlfn.XLOOKUP(PAA_4[[#This Row],[ITEM]],[2]Contrato!A:A,[2]Contrato!B:B,"",0)</f>
        <v>#NAME?</v>
      </c>
      <c r="Z264" s="47" t="e">
        <f ca="1">_xlfn.XLOOKUP(PAA_4[[#This Row],[ITEM]],[2]Contrato!A:A,[2]Contrato!G:G,"",0)</f>
        <v>#NAME?</v>
      </c>
      <c r="AA264" s="47" t="e">
        <f ca="1">_xlfn.XLOOKUP(PAA_4[[#This Row],[ITEM]],[2]Contrato!A:A,[2]Contrato!T:T,"",0)</f>
        <v>#NAME?</v>
      </c>
      <c r="AB264" s="55" t="e">
        <f ca="1">+MAX(PAA_4[[#This Row],[Comprometido Contrato]],PAA_4[[#This Row],[Comprometido Bolsa]])</f>
        <v>#NAME?</v>
      </c>
      <c r="AC264" s="55" t="str">
        <f t="shared" ca="1" si="139"/>
        <v/>
      </c>
      <c r="AD264" s="55" t="e">
        <f ca="1">IF(PAA_4[[#This Row],[ESTADO (formulado)]]="NO CONTRATADO",0,MAX(PAA_4[[#This Row],[Pago por Contrato]],PAA_4[[#This Row],[Pago por bolsa]]))</f>
        <v>#NAME?</v>
      </c>
      <c r="AE264" s="55" t="str">
        <f t="shared" ca="1" si="140"/>
        <v/>
      </c>
      <c r="AF264" s="47" t="e">
        <f t="shared" ca="1" si="141"/>
        <v>#NAME?</v>
      </c>
      <c r="AG264" s="47" t="str">
        <f t="shared" si="142"/>
        <v/>
      </c>
      <c r="AH264" s="54">
        <f>IF(Q264="22",IF(ISNUMBER(SEARCH("econ",PAA_4[[#This Row],[Actividad3]])),"Económico",IF(ISNUMBER(SEARCH("alim",PAA_4[[#This Row],[Actividad3]])),"Alimentación",IF(ISNUMBER(SEARCH("educ",PAA_4[[#This Row],[Actividad3]])),"Educativo","Técnico"))),0)</f>
        <v>0</v>
      </c>
      <c r="AI264" s="47" t="e" cm="1">
        <f t="array" aca="1" ref="AI264" ca="1">_xlfn.XLOOKUP(PAA_4[[#This Row],[RCP-RUBRO]],[2]!COMPROMISOS_2024[[#All],[concatenado]],[2]!COMPROMISOS_2024[[#All],[Total pagado]],"",0)</f>
        <v>#NAME?</v>
      </c>
      <c r="AJ264" s="56">
        <f>IF(PAA_4[[#This Row],[BOLSA]]=0,0,SUMIFS([2]!COMPROMISOS_2024[[#All],[Total pagado]],[2]!COMPROMISOS_2024[[#All],[Bolsa]],PAA_4[[#This Row],[BOLSA]],[2]!COMPROMISOS_2024[[#All],[rubro]],PAA_4[[#This Row],[RCP-RUBRO]]))</f>
        <v>0</v>
      </c>
      <c r="AK264" s="47" t="e" cm="1">
        <f t="array" aca="1" ref="AK264" ca="1">_xlfn.XLOOKUP(PAA_4[[#This Row],[RCP-RUBRO]],[2]!COMPROMISOS_2024[[#All],[concatenado]],[2]!COMPROMISOS_2024[[#All],[Total Comprometido]],"",0)</f>
        <v>#NAME?</v>
      </c>
      <c r="AL264" s="47">
        <f>IF(PAA_4[[#This Row],[BOLSA]]=0,0,SUMIFS([2]!COMPROMISOS_2024[[#All],[Total Comprometido]],[2]!COMPROMISOS_2024[[#All],[Bolsa]],PAA_4[[#This Row],[BOLSA]],[2]!COMPROMISOS_2024[[#All],[concatenado]],PAA_4[[#This Row],[RCP-RUBRO]]))</f>
        <v>0</v>
      </c>
    </row>
    <row r="265" spans="1:38" s="19" customFormat="1" ht="31.5" customHeight="1">
      <c r="A265" s="47" t="s">
        <v>82</v>
      </c>
      <c r="B265" s="51" t="s">
        <v>42</v>
      </c>
      <c r="C265" s="47" t="str">
        <f>VLOOKUP(PAA_4[[#This Row],[PROYECTO (formulado)2]],[2]PROYECTOS!$G$1:$L$32,6,0)</f>
        <v>SUBGERENCIA ADMINISTRATIVA Y FINANCIERA</v>
      </c>
      <c r="D265" s="47" t="str">
        <f>+IF(PAA_4[[#This Row],[UNIDAD DE CONTRATACION (formulado)]]="Subgerencia Administrativa y Financiera","FUNCIONAMIENTO","INVERSIÓN")</f>
        <v>FUNCIONAMIENTO</v>
      </c>
      <c r="E265" s="48" t="str">
        <f>VLOOKUP(Q265,[2]PROYECTOS!$G$1:$K$32,5,0)</f>
        <v>FUNCIONAMIENTO</v>
      </c>
      <c r="F265" s="48">
        <f>VLOOKUP(E265,[2]PROYECTOS!$K$1:$M$32,3,0)</f>
        <v>999999</v>
      </c>
      <c r="G265" s="49" t="s">
        <v>43</v>
      </c>
      <c r="H265" s="49">
        <f>VLOOKUP(Q265,[2]PROYECTOS!$V$1:$W$32,2,0)</f>
        <v>999999</v>
      </c>
      <c r="I265" s="50">
        <v>0</v>
      </c>
      <c r="J265" s="51" t="s">
        <v>1426</v>
      </c>
      <c r="K265" s="47" t="str">
        <f t="shared" ca="1" si="136"/>
        <v>CONTRATADO</v>
      </c>
      <c r="L265" s="47" t="s">
        <v>42</v>
      </c>
      <c r="M265" s="47" t="s">
        <v>42</v>
      </c>
      <c r="N265" s="52" t="s">
        <v>1420</v>
      </c>
      <c r="O265" s="51" t="e">
        <f>VLOOKUP(N265,[2]!RUBROS[#All],3,0)</f>
        <v>#REF!</v>
      </c>
      <c r="P265" s="53" t="e">
        <f>VLOOKUP(N265,[2]!RUBROS[#All],2,0)</f>
        <v>#REF!</v>
      </c>
      <c r="Q265" s="47" t="str">
        <f t="shared" si="137"/>
        <v>00</v>
      </c>
      <c r="R265" s="47" t="str">
        <f t="shared" si="138"/>
        <v>0-101024</v>
      </c>
      <c r="S265" s="54" t="s">
        <v>42</v>
      </c>
      <c r="T265" s="59" t="s">
        <v>42</v>
      </c>
      <c r="U265" s="326" t="e">
        <f ca="1">_xlfn.XLOOKUP(PAA_4[[#This Row],[ITEM]],[2]Contrato!A:A,[2]Contrato!Q:Q,"",0)</f>
        <v>#NAME?</v>
      </c>
      <c r="V265" s="47" t="s">
        <v>47</v>
      </c>
      <c r="W265" s="47" t="s">
        <v>193</v>
      </c>
      <c r="X265" s="47" t="s">
        <v>193</v>
      </c>
      <c r="Y265" s="55" t="e">
        <f ca="1">_xlfn.XLOOKUP(PAA_4[[#This Row],[ITEM]],[2]Contrato!A:A,[2]Contrato!B:B,"",0)</f>
        <v>#NAME?</v>
      </c>
      <c r="Z265" s="47" t="e">
        <f ca="1">_xlfn.XLOOKUP(PAA_4[[#This Row],[ITEM]],[2]Contrato!A:A,[2]Contrato!G:G,"",0)</f>
        <v>#NAME?</v>
      </c>
      <c r="AA265" s="47" t="e">
        <f ca="1">_xlfn.XLOOKUP(PAA_4[[#This Row],[ITEM]],[2]Contrato!A:A,[2]Contrato!T:T,"",0)</f>
        <v>#NAME?</v>
      </c>
      <c r="AB265" s="55" t="e">
        <f ca="1">+MAX(PAA_4[[#This Row],[Comprometido Contrato]],PAA_4[[#This Row],[Comprometido Bolsa]])</f>
        <v>#NAME?</v>
      </c>
      <c r="AC265" s="55" t="str">
        <f t="shared" ca="1" si="139"/>
        <v/>
      </c>
      <c r="AD265" s="55" t="e">
        <f ca="1">IF(PAA_4[[#This Row],[ESTADO (formulado)]]="NO CONTRATADO",0,MAX(PAA_4[[#This Row],[Pago por Contrato]],PAA_4[[#This Row],[Pago por bolsa]]))</f>
        <v>#NAME?</v>
      </c>
      <c r="AE265" s="55" t="str">
        <f t="shared" ca="1" si="140"/>
        <v/>
      </c>
      <c r="AF265" s="47" t="e">
        <f t="shared" ca="1" si="141"/>
        <v>#NAME?</v>
      </c>
      <c r="AG265" s="47" t="str">
        <f t="shared" si="142"/>
        <v/>
      </c>
      <c r="AH265" s="54">
        <f>IF(Q265="22",IF(ISNUMBER(SEARCH("econ",PAA_4[[#This Row],[Actividad3]])),"Económico",IF(ISNUMBER(SEARCH("alim",PAA_4[[#This Row],[Actividad3]])),"Alimentación",IF(ISNUMBER(SEARCH("educ",PAA_4[[#This Row],[Actividad3]])),"Educativo","Técnico"))),0)</f>
        <v>0</v>
      </c>
      <c r="AI265" s="47" t="e" cm="1">
        <f t="array" aca="1" ref="AI265" ca="1">_xlfn.XLOOKUP(PAA_4[[#This Row],[RCP-RUBRO]],[2]!COMPROMISOS_2024[[#All],[concatenado]],[2]!COMPROMISOS_2024[[#All],[Total pagado]],"",0)</f>
        <v>#NAME?</v>
      </c>
      <c r="AJ265" s="56">
        <f>IF(PAA_4[[#This Row],[BOLSA]]=0,0,SUMIFS([2]!COMPROMISOS_2024[[#All],[Total pagado]],[2]!COMPROMISOS_2024[[#All],[Bolsa]],PAA_4[[#This Row],[BOLSA]],[2]!COMPROMISOS_2024[[#All],[rubro]],PAA_4[[#This Row],[RCP-RUBRO]]))</f>
        <v>0</v>
      </c>
      <c r="AK265" s="47" t="e" cm="1">
        <f t="array" aca="1" ref="AK265" ca="1">_xlfn.XLOOKUP(PAA_4[[#This Row],[RCP-RUBRO]],[2]!COMPROMISOS_2024[[#All],[concatenado]],[2]!COMPROMISOS_2024[[#All],[Total Comprometido]],"",0)</f>
        <v>#NAME?</v>
      </c>
      <c r="AL265" s="47">
        <f>IF(PAA_4[[#This Row],[BOLSA]]=0,0,SUMIFS([2]!COMPROMISOS_2024[[#All],[Total Comprometido]],[2]!COMPROMISOS_2024[[#All],[Bolsa]],PAA_4[[#This Row],[BOLSA]],[2]!COMPROMISOS_2024[[#All],[concatenado]],PAA_4[[#This Row],[RCP-RUBRO]]))</f>
        <v>0</v>
      </c>
    </row>
    <row r="266" spans="1:38" s="19" customFormat="1" ht="31.5" customHeight="1">
      <c r="A266" s="47" t="s">
        <v>82</v>
      </c>
      <c r="B266" s="51">
        <v>86101700</v>
      </c>
      <c r="C266" s="47" t="str">
        <f>VLOOKUP(PAA_4[[#This Row],[PROYECTO (formulado)2]],[2]PROYECTOS!$G$1:$L$32,6,0)</f>
        <v>SUBGERENCIA ADMINISTRATIVA Y FINANCIERA</v>
      </c>
      <c r="D266" s="47" t="str">
        <f>+IF(PAA_4[[#This Row],[UNIDAD DE CONTRATACION (formulado)]]="Subgerencia Administrativa y Financiera","FUNCIONAMIENTO","INVERSIÓN")</f>
        <v>FUNCIONAMIENTO</v>
      </c>
      <c r="E266" s="48" t="str">
        <f>VLOOKUP(Q266,[2]PROYECTOS!$G$1:$K$32,5,0)</f>
        <v>FUNCIONAMIENTO</v>
      </c>
      <c r="F266" s="48">
        <f>VLOOKUP(E266,[2]PROYECTOS!$K$1:$M$32,3,0)</f>
        <v>999999</v>
      </c>
      <c r="G266" s="49" t="s">
        <v>43</v>
      </c>
      <c r="H266" s="49">
        <f>VLOOKUP(Q266,[2]PROYECTOS!$V$1:$W$32,2,0)</f>
        <v>999999</v>
      </c>
      <c r="I266" s="50">
        <v>0</v>
      </c>
      <c r="J266" s="51" t="s">
        <v>1426</v>
      </c>
      <c r="K266" s="47" t="str">
        <f t="shared" ca="1" si="136"/>
        <v>CONTRATADO</v>
      </c>
      <c r="L266" s="47" t="s">
        <v>42</v>
      </c>
      <c r="M266" s="47" t="s">
        <v>42</v>
      </c>
      <c r="N266" s="52" t="s">
        <v>1427</v>
      </c>
      <c r="O266" s="51" t="e">
        <f>VLOOKUP(N266,[2]!RUBROS[#All],3,0)</f>
        <v>#REF!</v>
      </c>
      <c r="P266" s="53" t="e">
        <f>VLOOKUP(N266,[2]!RUBROS[#All],2,0)</f>
        <v>#REF!</v>
      </c>
      <c r="Q266" s="47" t="str">
        <f t="shared" si="137"/>
        <v>00</v>
      </c>
      <c r="R266" s="47" t="str">
        <f t="shared" si="138"/>
        <v>0-101024</v>
      </c>
      <c r="S266" s="54">
        <v>5.5</v>
      </c>
      <c r="T266" s="59" t="s">
        <v>46</v>
      </c>
      <c r="U266" s="326" t="e">
        <f ca="1">_xlfn.XLOOKUP(PAA_4[[#This Row],[ITEM]],[2]Contrato!A:A,[2]Contrato!Q:Q,"",0)</f>
        <v>#NAME?</v>
      </c>
      <c r="V266" s="47" t="s">
        <v>47</v>
      </c>
      <c r="W266" s="47" t="s">
        <v>193</v>
      </c>
      <c r="X266" s="47" t="s">
        <v>193</v>
      </c>
      <c r="Y266" s="55" t="e">
        <f ca="1">_xlfn.XLOOKUP(PAA_4[[#This Row],[ITEM]],[2]Contrato!A:A,[2]Contrato!B:B,"",0)</f>
        <v>#NAME?</v>
      </c>
      <c r="Z266" s="47" t="e">
        <f ca="1">_xlfn.XLOOKUP(PAA_4[[#This Row],[ITEM]],[2]Contrato!A:A,[2]Contrato!G:G,"",0)</f>
        <v>#NAME?</v>
      </c>
      <c r="AA266" s="47" t="e">
        <f ca="1">_xlfn.XLOOKUP(PAA_4[[#This Row],[ITEM]],[2]Contrato!A:A,[2]Contrato!T:T,"",0)</f>
        <v>#NAME?</v>
      </c>
      <c r="AB266" s="55" t="e">
        <f ca="1">+MAX(PAA_4[[#This Row],[Comprometido Contrato]],PAA_4[[#This Row],[Comprometido Bolsa]])</f>
        <v>#NAME?</v>
      </c>
      <c r="AC266" s="55">
        <v>0</v>
      </c>
      <c r="AD266" s="55" t="e">
        <f ca="1">IF(PAA_4[[#This Row],[ESTADO (formulado)]]="NO CONTRATADO",0,MAX(PAA_4[[#This Row],[Pago por Contrato]],PAA_4[[#This Row],[Pago por bolsa]]))</f>
        <v>#NAME?</v>
      </c>
      <c r="AE266" s="55" t="str">
        <f t="shared" ca="1" si="140"/>
        <v/>
      </c>
      <c r="AF266" s="47" t="e">
        <f t="shared" ca="1" si="141"/>
        <v>#NAME?</v>
      </c>
      <c r="AG266" s="47" t="str">
        <f t="shared" si="142"/>
        <v/>
      </c>
      <c r="AH266" s="54">
        <f>IF(Q266="22",IF(ISNUMBER(SEARCH("econ",PAA_4[[#This Row],[Actividad3]])),"Económico",IF(ISNUMBER(SEARCH("alim",PAA_4[[#This Row],[Actividad3]])),"Alimentación",IF(ISNUMBER(SEARCH("educ",PAA_4[[#This Row],[Actividad3]])),"Educativo","Técnico"))),0)</f>
        <v>0</v>
      </c>
      <c r="AI266" s="47" t="e" cm="1">
        <f t="array" aca="1" ref="AI266" ca="1">_xlfn.XLOOKUP(PAA_4[[#This Row],[RCP-RUBRO]],[2]!COMPROMISOS_2024[[#All],[concatenado]],[2]!COMPROMISOS_2024[[#All],[Total pagado]],"",0)</f>
        <v>#NAME?</v>
      </c>
      <c r="AJ266" s="56">
        <f>IF(PAA_4[[#This Row],[BOLSA]]=0,0,SUMIFS([2]!COMPROMISOS_2024[[#All],[Total pagado]],[2]!COMPROMISOS_2024[[#All],[Bolsa]],PAA_4[[#This Row],[BOLSA]],[2]!COMPROMISOS_2024[[#All],[rubro]],PAA_4[[#This Row],[RCP-RUBRO]]))</f>
        <v>0</v>
      </c>
      <c r="AK266" s="47" t="e" cm="1">
        <f t="array" aca="1" ref="AK266" ca="1">_xlfn.XLOOKUP(PAA_4[[#This Row],[RCP-RUBRO]],[2]!COMPROMISOS_2024[[#All],[concatenado]],[2]!COMPROMISOS_2024[[#All],[Total Comprometido]],"",0)</f>
        <v>#NAME?</v>
      </c>
      <c r="AL266" s="47">
        <f>IF(PAA_4[[#This Row],[BOLSA]]=0,0,SUMIFS([2]!COMPROMISOS_2024[[#All],[Total Comprometido]],[2]!COMPROMISOS_2024[[#All],[Bolsa]],PAA_4[[#This Row],[BOLSA]],[2]!COMPROMISOS_2024[[#All],[concatenado]],PAA_4[[#This Row],[RCP-RUBRO]]))</f>
        <v>0</v>
      </c>
    </row>
    <row r="267" spans="1:38" s="19" customFormat="1" ht="31.5" customHeight="1">
      <c r="A267" s="47" t="s">
        <v>82</v>
      </c>
      <c r="B267" s="51" t="s">
        <v>42</v>
      </c>
      <c r="C267" s="47" t="str">
        <f>VLOOKUP(PAA_4[[#This Row],[PROYECTO (formulado)2]],[2]PROYECTOS!$G$1:$L$32,6,0)</f>
        <v>SUBGERENCIA ADMINISTRATIVA Y FINANCIERA</v>
      </c>
      <c r="D267" s="47" t="str">
        <f>+IF(PAA_4[[#This Row],[UNIDAD DE CONTRATACION (formulado)]]="Subgerencia Administrativa y Financiera","FUNCIONAMIENTO","INVERSIÓN")</f>
        <v>FUNCIONAMIENTO</v>
      </c>
      <c r="E267" s="48" t="str">
        <f>VLOOKUP(Q267,[2]PROYECTOS!$G$1:$K$32,5,0)</f>
        <v>FUNCIONAMIENTO</v>
      </c>
      <c r="F267" s="48">
        <f>VLOOKUP(E267,[2]PROYECTOS!$K$1:$M$32,3,0)</f>
        <v>999999</v>
      </c>
      <c r="G267" s="49" t="s">
        <v>43</v>
      </c>
      <c r="H267" s="49">
        <f>VLOOKUP(Q267,[2]PROYECTOS!$V$1:$W$32,2,0)</f>
        <v>999999</v>
      </c>
      <c r="I267" s="50">
        <v>0</v>
      </c>
      <c r="J267" s="51" t="s">
        <v>1426</v>
      </c>
      <c r="K267" s="47" t="str">
        <f t="shared" ca="1" si="136"/>
        <v>CONTRATADO</v>
      </c>
      <c r="L267" s="47" t="s">
        <v>42</v>
      </c>
      <c r="M267" s="47" t="s">
        <v>42</v>
      </c>
      <c r="N267" s="52" t="s">
        <v>1428</v>
      </c>
      <c r="O267" s="51" t="e">
        <f>VLOOKUP(N267,[2]!RUBROS[#All],3,0)</f>
        <v>#REF!</v>
      </c>
      <c r="P267" s="53" t="e">
        <f>VLOOKUP(N267,[2]!RUBROS[#All],2,0)</f>
        <v>#REF!</v>
      </c>
      <c r="Q267" s="47" t="str">
        <f t="shared" si="137"/>
        <v>00</v>
      </c>
      <c r="R267" s="47" t="str">
        <f t="shared" si="138"/>
        <v>0-101024</v>
      </c>
      <c r="S267" s="54">
        <v>5.5</v>
      </c>
      <c r="T267" s="59" t="s">
        <v>46</v>
      </c>
      <c r="U267" s="326" t="e">
        <f ca="1">_xlfn.XLOOKUP(PAA_4[[#This Row],[ITEM]],[2]Contrato!A:A,[2]Contrato!Q:Q,"",0)</f>
        <v>#NAME?</v>
      </c>
      <c r="V267" s="47" t="s">
        <v>47</v>
      </c>
      <c r="W267" s="47" t="s">
        <v>193</v>
      </c>
      <c r="X267" s="47" t="s">
        <v>193</v>
      </c>
      <c r="Y267" s="55" t="e">
        <f ca="1">_xlfn.XLOOKUP(PAA_4[[#This Row],[ITEM]],[2]Contrato!A:A,[2]Contrato!B:B,"",0)</f>
        <v>#NAME?</v>
      </c>
      <c r="Z267" s="47" t="e">
        <f ca="1">_xlfn.XLOOKUP(PAA_4[[#This Row],[ITEM]],[2]Contrato!A:A,[2]Contrato!G:G,"",0)</f>
        <v>#NAME?</v>
      </c>
      <c r="AA267" s="47" t="e">
        <f ca="1">_xlfn.XLOOKUP(PAA_4[[#This Row],[ITEM]],[2]Contrato!A:A,[2]Contrato!T:T,"",0)</f>
        <v>#NAME?</v>
      </c>
      <c r="AB267" s="55" t="e">
        <f ca="1">+MAX(PAA_4[[#This Row],[Comprometido Contrato]],PAA_4[[#This Row],[Comprometido Bolsa]])</f>
        <v>#NAME?</v>
      </c>
      <c r="AC267" s="55" t="str">
        <f t="shared" ref="AC267:AC276" ca="1" si="143">IFERROR(I267-AB267,"")</f>
        <v/>
      </c>
      <c r="AD267" s="55" t="e">
        <f ca="1">IF(PAA_4[[#This Row],[ESTADO (formulado)]]="NO CONTRATADO",0,MAX(PAA_4[[#This Row],[Pago por Contrato]],PAA_4[[#This Row],[Pago por bolsa]]))</f>
        <v>#NAME?</v>
      </c>
      <c r="AE267" s="55" t="str">
        <f t="shared" ca="1" si="140"/>
        <v/>
      </c>
      <c r="AF267" s="47" t="e">
        <f t="shared" ca="1" si="141"/>
        <v>#NAME?</v>
      </c>
      <c r="AG267" s="47" t="str">
        <f t="shared" si="142"/>
        <v/>
      </c>
      <c r="AH267" s="54">
        <f>IF(Q267="22",IF(ISNUMBER(SEARCH("econ",PAA_4[[#This Row],[Actividad3]])),"Económico",IF(ISNUMBER(SEARCH("alim",PAA_4[[#This Row],[Actividad3]])),"Alimentación",IF(ISNUMBER(SEARCH("educ",PAA_4[[#This Row],[Actividad3]])),"Educativo","Técnico"))),0)</f>
        <v>0</v>
      </c>
      <c r="AI267" s="47" t="e" cm="1">
        <f t="array" aca="1" ref="AI267" ca="1">_xlfn.XLOOKUP(PAA_4[[#This Row],[RCP-RUBRO]],[2]!COMPROMISOS_2024[[#All],[concatenado]],[2]!COMPROMISOS_2024[[#All],[Total pagado]],"",0)</f>
        <v>#NAME?</v>
      </c>
      <c r="AJ267" s="56">
        <f>IF(PAA_4[[#This Row],[BOLSA]]=0,0,SUMIFS([2]!COMPROMISOS_2024[[#All],[Total pagado]],[2]!COMPROMISOS_2024[[#All],[Bolsa]],PAA_4[[#This Row],[BOLSA]],[2]!COMPROMISOS_2024[[#All],[rubro]],PAA_4[[#This Row],[RCP-RUBRO]]))</f>
        <v>0</v>
      </c>
      <c r="AK267" s="47" t="e" cm="1">
        <f t="array" aca="1" ref="AK267" ca="1">_xlfn.XLOOKUP(PAA_4[[#This Row],[RCP-RUBRO]],[2]!COMPROMISOS_2024[[#All],[concatenado]],[2]!COMPROMISOS_2024[[#All],[Total Comprometido]],"",0)</f>
        <v>#NAME?</v>
      </c>
      <c r="AL267" s="47">
        <f>IF(PAA_4[[#This Row],[BOLSA]]=0,0,SUMIFS([2]!COMPROMISOS_2024[[#All],[Total Comprometido]],[2]!COMPROMISOS_2024[[#All],[Bolsa]],PAA_4[[#This Row],[BOLSA]],[2]!COMPROMISOS_2024[[#All],[concatenado]],PAA_4[[#This Row],[RCP-RUBRO]]))</f>
        <v>0</v>
      </c>
    </row>
    <row r="268" spans="1:38" s="19" customFormat="1" ht="31.5" customHeight="1">
      <c r="A268" s="47" t="s">
        <v>82</v>
      </c>
      <c r="B268" s="51" t="s">
        <v>42</v>
      </c>
      <c r="C268" s="47" t="str">
        <f>VLOOKUP(PAA_4[[#This Row],[PROYECTO (formulado)2]],[2]PROYECTOS!$G$1:$L$32,6,0)</f>
        <v>SUBGERENCIA ADMINISTRATIVA Y FINANCIERA</v>
      </c>
      <c r="D268" s="47" t="str">
        <f>+IF(PAA_4[[#This Row],[UNIDAD DE CONTRATACION (formulado)]]="Subgerencia Administrativa y Financiera","FUNCIONAMIENTO","INVERSIÓN")</f>
        <v>FUNCIONAMIENTO</v>
      </c>
      <c r="E268" s="48" t="str">
        <f>VLOOKUP(Q268,[2]PROYECTOS!$G$1:$K$32,5,0)</f>
        <v>FUNCIONAMIENTO</v>
      </c>
      <c r="F268" s="48">
        <f>VLOOKUP(E268,[2]PROYECTOS!$K$1:$M$32,3,0)</f>
        <v>999999</v>
      </c>
      <c r="G268" s="49" t="s">
        <v>43</v>
      </c>
      <c r="H268" s="49">
        <f>VLOOKUP(Q268,[2]PROYECTOS!$V$1:$W$32,2,0)</f>
        <v>999999</v>
      </c>
      <c r="I268" s="50">
        <v>0</v>
      </c>
      <c r="J268" s="51" t="s">
        <v>1426</v>
      </c>
      <c r="K268" s="47" t="str">
        <f t="shared" ca="1" si="136"/>
        <v>CONTRATADO</v>
      </c>
      <c r="L268" s="47" t="s">
        <v>42</v>
      </c>
      <c r="M268" s="47" t="s">
        <v>42</v>
      </c>
      <c r="N268" s="52" t="s">
        <v>1429</v>
      </c>
      <c r="O268" s="51" t="e">
        <f>VLOOKUP(N268,[2]!RUBROS[#All],3,0)</f>
        <v>#REF!</v>
      </c>
      <c r="P268" s="53" t="e">
        <f>VLOOKUP(N268,[2]!RUBROS[#All],2,0)</f>
        <v>#REF!</v>
      </c>
      <c r="Q268" s="47" t="str">
        <f t="shared" si="137"/>
        <v>00</v>
      </c>
      <c r="R268" s="47" t="str">
        <f t="shared" si="138"/>
        <v>0-101024</v>
      </c>
      <c r="S268" s="54">
        <v>5.5</v>
      </c>
      <c r="T268" s="59" t="s">
        <v>46</v>
      </c>
      <c r="U268" s="326" t="e">
        <f ca="1">_xlfn.XLOOKUP(PAA_4[[#This Row],[ITEM]],[2]Contrato!A:A,[2]Contrato!Q:Q,"",0)</f>
        <v>#NAME?</v>
      </c>
      <c r="V268" s="47" t="s">
        <v>47</v>
      </c>
      <c r="W268" s="47" t="s">
        <v>193</v>
      </c>
      <c r="X268" s="47" t="s">
        <v>193</v>
      </c>
      <c r="Y268" s="55" t="e">
        <f ca="1">_xlfn.XLOOKUP(PAA_4[[#This Row],[ITEM]],[2]Contrato!A:A,[2]Contrato!B:B,"",0)</f>
        <v>#NAME?</v>
      </c>
      <c r="Z268" s="47" t="e">
        <f ca="1">_xlfn.XLOOKUP(PAA_4[[#This Row],[ITEM]],[2]Contrato!A:A,[2]Contrato!G:G,"",0)</f>
        <v>#NAME?</v>
      </c>
      <c r="AA268" s="47" t="e">
        <f ca="1">_xlfn.XLOOKUP(PAA_4[[#This Row],[ITEM]],[2]Contrato!A:A,[2]Contrato!T:T,"",0)</f>
        <v>#NAME?</v>
      </c>
      <c r="AB268" s="55" t="e">
        <f ca="1">+MAX(PAA_4[[#This Row],[Comprometido Contrato]],PAA_4[[#This Row],[Comprometido Bolsa]])</f>
        <v>#NAME?</v>
      </c>
      <c r="AC268" s="55" t="str">
        <f t="shared" ca="1" si="143"/>
        <v/>
      </c>
      <c r="AD268" s="55" t="e">
        <f ca="1">IF(PAA_4[[#This Row],[ESTADO (formulado)]]="NO CONTRATADO",0,MAX(PAA_4[[#This Row],[Pago por Contrato]],PAA_4[[#This Row],[Pago por bolsa]]))</f>
        <v>#NAME?</v>
      </c>
      <c r="AE268" s="55" t="str">
        <f t="shared" ca="1" si="140"/>
        <v/>
      </c>
      <c r="AF268" s="47" t="e">
        <f t="shared" ca="1" si="141"/>
        <v>#NAME?</v>
      </c>
      <c r="AG268" s="47" t="str">
        <f t="shared" si="142"/>
        <v/>
      </c>
      <c r="AH268" s="54">
        <f>IF(Q268="22",IF(ISNUMBER(SEARCH("econ",PAA_4[[#This Row],[Actividad3]])),"Económico",IF(ISNUMBER(SEARCH("alim",PAA_4[[#This Row],[Actividad3]])),"Alimentación",IF(ISNUMBER(SEARCH("educ",PAA_4[[#This Row],[Actividad3]])),"Educativo","Técnico"))),0)</f>
        <v>0</v>
      </c>
      <c r="AI268" s="47" t="e" cm="1">
        <f t="array" aca="1" ref="AI268" ca="1">_xlfn.XLOOKUP(PAA_4[[#This Row],[RCP-RUBRO]],[2]!COMPROMISOS_2024[[#All],[concatenado]],[2]!COMPROMISOS_2024[[#All],[Total pagado]],"",0)</f>
        <v>#NAME?</v>
      </c>
      <c r="AJ268" s="56">
        <f>IF(PAA_4[[#This Row],[BOLSA]]=0,0,SUMIFS([2]!COMPROMISOS_2024[[#All],[Total pagado]],[2]!COMPROMISOS_2024[[#All],[Bolsa]],PAA_4[[#This Row],[BOLSA]],[2]!COMPROMISOS_2024[[#All],[rubro]],PAA_4[[#This Row],[RCP-RUBRO]]))</f>
        <v>0</v>
      </c>
      <c r="AK268" s="47" t="e" cm="1">
        <f t="array" aca="1" ref="AK268" ca="1">_xlfn.XLOOKUP(PAA_4[[#This Row],[RCP-RUBRO]],[2]!COMPROMISOS_2024[[#All],[concatenado]],[2]!COMPROMISOS_2024[[#All],[Total Comprometido]],"",0)</f>
        <v>#NAME?</v>
      </c>
      <c r="AL268" s="47">
        <f>IF(PAA_4[[#This Row],[BOLSA]]=0,0,SUMIFS([2]!COMPROMISOS_2024[[#All],[Total Comprometido]],[2]!COMPROMISOS_2024[[#All],[Bolsa]],PAA_4[[#This Row],[BOLSA]],[2]!COMPROMISOS_2024[[#All],[concatenado]],PAA_4[[#This Row],[RCP-RUBRO]]))</f>
        <v>0</v>
      </c>
    </row>
    <row r="269" spans="1:38" s="19" customFormat="1" ht="31.5" customHeight="1">
      <c r="A269" s="47" t="s">
        <v>82</v>
      </c>
      <c r="B269" s="51" t="s">
        <v>105</v>
      </c>
      <c r="C269" s="47" t="str">
        <f>VLOOKUP(PAA_4[[#This Row],[PROYECTO (formulado)2]],[2]PROYECTOS!$G$1:$L$32,6,0)</f>
        <v>SUBGERENCIA ADMINISTRATIVA Y FINANCIERA</v>
      </c>
      <c r="D269" s="47" t="str">
        <f>+IF(PAA_4[[#This Row],[UNIDAD DE CONTRATACION (formulado)]]="Subgerencia Administrativa y Financiera","FUNCIONAMIENTO","INVERSIÓN")</f>
        <v>FUNCIONAMIENTO</v>
      </c>
      <c r="E269" s="48" t="str">
        <f>VLOOKUP(Q269,[2]PROYECTOS!$G$1:$K$32,5,0)</f>
        <v>FUNCIONAMIENTO</v>
      </c>
      <c r="F269" s="48">
        <f>VLOOKUP(E269,[2]PROYECTOS!$K$1:$M$32,3,0)</f>
        <v>999999</v>
      </c>
      <c r="G269" s="49" t="s">
        <v>43</v>
      </c>
      <c r="H269" s="49">
        <f>VLOOKUP(Q269,[2]PROYECTOS!$V$1:$W$32,2,0)</f>
        <v>999999</v>
      </c>
      <c r="I269" s="50">
        <v>0</v>
      </c>
      <c r="J269" s="51" t="s">
        <v>1426</v>
      </c>
      <c r="K269" s="47" t="str">
        <f t="shared" ca="1" si="136"/>
        <v>CONTRATADO</v>
      </c>
      <c r="L269" s="47" t="s">
        <v>42</v>
      </c>
      <c r="M269" s="47" t="s">
        <v>42</v>
      </c>
      <c r="N269" s="52" t="s">
        <v>1381</v>
      </c>
      <c r="O269" s="51" t="e">
        <f>VLOOKUP(N269,[2]!RUBROS[#All],3,0)</f>
        <v>#REF!</v>
      </c>
      <c r="P269" s="53" t="e">
        <f>VLOOKUP(N269,[2]!RUBROS[#All],2,0)</f>
        <v>#REF!</v>
      </c>
      <c r="Q269" s="47" t="str">
        <f t="shared" si="137"/>
        <v>00</v>
      </c>
      <c r="R269" s="47" t="str">
        <f t="shared" si="138"/>
        <v>0-101024</v>
      </c>
      <c r="S269" s="54">
        <v>5.5</v>
      </c>
      <c r="T269" s="59" t="s">
        <v>46</v>
      </c>
      <c r="U269" s="326" t="e">
        <f ca="1">_xlfn.XLOOKUP(PAA_4[[#This Row],[ITEM]],[2]Contrato!A:A,[2]Contrato!Q:Q,"",0)</f>
        <v>#NAME?</v>
      </c>
      <c r="V269" s="47" t="s">
        <v>47</v>
      </c>
      <c r="W269" s="47" t="s">
        <v>193</v>
      </c>
      <c r="X269" s="47" t="s">
        <v>193</v>
      </c>
      <c r="Y269" s="55" t="e">
        <f ca="1">_xlfn.XLOOKUP(PAA_4[[#This Row],[ITEM]],[2]Contrato!A:A,[2]Contrato!B:B,"",0)</f>
        <v>#NAME?</v>
      </c>
      <c r="Z269" s="47" t="e">
        <f ca="1">_xlfn.XLOOKUP(PAA_4[[#This Row],[ITEM]],[2]Contrato!A:A,[2]Contrato!G:G,"",0)</f>
        <v>#NAME?</v>
      </c>
      <c r="AA269" s="47" t="e">
        <f ca="1">_xlfn.XLOOKUP(PAA_4[[#This Row],[ITEM]],[2]Contrato!A:A,[2]Contrato!T:T,"",0)</f>
        <v>#NAME?</v>
      </c>
      <c r="AB269" s="55" t="e">
        <f ca="1">+MAX(PAA_4[[#This Row],[Comprometido Contrato]],PAA_4[[#This Row],[Comprometido Bolsa]])</f>
        <v>#NAME?</v>
      </c>
      <c r="AC269" s="55" t="str">
        <f t="shared" ca="1" si="143"/>
        <v/>
      </c>
      <c r="AD269" s="55" t="e">
        <f ca="1">IF(PAA_4[[#This Row],[ESTADO (formulado)]]="NO CONTRATADO",0,MAX(PAA_4[[#This Row],[Pago por Contrato]],PAA_4[[#This Row],[Pago por bolsa]]))</f>
        <v>#NAME?</v>
      </c>
      <c r="AE269" s="55" t="str">
        <f t="shared" ca="1" si="140"/>
        <v/>
      </c>
      <c r="AF269" s="47" t="e">
        <f t="shared" ca="1" si="141"/>
        <v>#NAME?</v>
      </c>
      <c r="AG269" s="47" t="str">
        <f t="shared" si="142"/>
        <v/>
      </c>
      <c r="AH269" s="54">
        <f>IF(Q269="22",IF(ISNUMBER(SEARCH("econ",PAA_4[[#This Row],[Actividad3]])),"Económico",IF(ISNUMBER(SEARCH("alim",PAA_4[[#This Row],[Actividad3]])),"Alimentación",IF(ISNUMBER(SEARCH("educ",PAA_4[[#This Row],[Actividad3]])),"Educativo","Técnico"))),0)</f>
        <v>0</v>
      </c>
      <c r="AI269" s="47" t="e" cm="1">
        <f t="array" aca="1" ref="AI269" ca="1">_xlfn.XLOOKUP(PAA_4[[#This Row],[RCP-RUBRO]],[2]!COMPROMISOS_2024[[#All],[concatenado]],[2]!COMPROMISOS_2024[[#All],[Total pagado]],"",0)</f>
        <v>#NAME?</v>
      </c>
      <c r="AJ269" s="56">
        <f>IF(PAA_4[[#This Row],[BOLSA]]=0,0,SUMIFS([2]!COMPROMISOS_2024[[#All],[Total pagado]],[2]!COMPROMISOS_2024[[#All],[Bolsa]],PAA_4[[#This Row],[BOLSA]],[2]!COMPROMISOS_2024[[#All],[rubro]],PAA_4[[#This Row],[RCP-RUBRO]]))</f>
        <v>0</v>
      </c>
      <c r="AK269" s="47" t="e" cm="1">
        <f t="array" aca="1" ref="AK269" ca="1">_xlfn.XLOOKUP(PAA_4[[#This Row],[RCP-RUBRO]],[2]!COMPROMISOS_2024[[#All],[concatenado]],[2]!COMPROMISOS_2024[[#All],[Total Comprometido]],"",0)</f>
        <v>#NAME?</v>
      </c>
      <c r="AL269" s="47">
        <f>IF(PAA_4[[#This Row],[BOLSA]]=0,0,SUMIFS([2]!COMPROMISOS_2024[[#All],[Total Comprometido]],[2]!COMPROMISOS_2024[[#All],[Bolsa]],PAA_4[[#This Row],[BOLSA]],[2]!COMPROMISOS_2024[[#All],[concatenado]],PAA_4[[#This Row],[RCP-RUBRO]]))</f>
        <v>0</v>
      </c>
    </row>
    <row r="270" spans="1:38" s="19" customFormat="1" ht="31.5" customHeight="1">
      <c r="A270" s="47">
        <v>1212</v>
      </c>
      <c r="B270" s="51" t="s">
        <v>42</v>
      </c>
      <c r="C270" s="47" t="str">
        <f>VLOOKUP(PAA_4[[#This Row],[PROYECTO (formulado)2]],[2]PROYECTOS!$G$1:$L$32,6,0)</f>
        <v>SUBGERENCIA ADMINISTRATIVA Y FINANCIERA</v>
      </c>
      <c r="D270" s="47" t="str">
        <f>+IF(PAA_4[[#This Row],[UNIDAD DE CONTRATACION (formulado)]]="Subgerencia Administrativa y Financiera","FUNCIONAMIENTO","INVERSIÓN")</f>
        <v>FUNCIONAMIENTO</v>
      </c>
      <c r="E270" s="48" t="str">
        <f>VLOOKUP(Q270,[2]PROYECTOS!$G$1:$K$32,5,0)</f>
        <v>FUNCIONAMIENTO</v>
      </c>
      <c r="F270" s="48">
        <f>VLOOKUP(E270,[2]PROYECTOS!$K$1:$M$32,3,0)</f>
        <v>999999</v>
      </c>
      <c r="G270" s="49" t="s">
        <v>43</v>
      </c>
      <c r="H270" s="49">
        <f>VLOOKUP(Q270,[2]PROYECTOS!$V$1:$W$32,2,0)</f>
        <v>999999</v>
      </c>
      <c r="I270" s="50">
        <v>47064369</v>
      </c>
      <c r="J270" s="51" t="s">
        <v>1430</v>
      </c>
      <c r="K270" s="47" t="str">
        <f t="shared" ca="1" si="136"/>
        <v>CONTRATADO</v>
      </c>
      <c r="L270" s="47" t="s">
        <v>44</v>
      </c>
      <c r="M270" s="47" t="s">
        <v>1236</v>
      </c>
      <c r="N270" s="52" t="s">
        <v>1431</v>
      </c>
      <c r="O270" s="51" t="e">
        <f>VLOOKUP(N270,[2]!RUBROS[#All],3,0)</f>
        <v>#REF!</v>
      </c>
      <c r="P270" s="53" t="e">
        <f>VLOOKUP(N270,[2]!RUBROS[#All],2,0)</f>
        <v>#REF!</v>
      </c>
      <c r="Q270" s="47" t="str">
        <f t="shared" si="137"/>
        <v>00</v>
      </c>
      <c r="R270" s="47" t="str">
        <f t="shared" si="138"/>
        <v>0-101024</v>
      </c>
      <c r="S270" s="54">
        <v>3</v>
      </c>
      <c r="T270" s="59" t="s">
        <v>46</v>
      </c>
      <c r="U270" s="326" t="e">
        <f ca="1">_xlfn.XLOOKUP(PAA_4[[#This Row],[ITEM]],[2]Contrato!A:A,[2]Contrato!Q:Q,"",0)</f>
        <v>#NAME?</v>
      </c>
      <c r="V270" s="47" t="s">
        <v>95</v>
      </c>
      <c r="W270" s="47" t="s">
        <v>1400</v>
      </c>
      <c r="X270" s="47" t="s">
        <v>204</v>
      </c>
      <c r="Y270" s="55" t="e">
        <f ca="1">_xlfn.XLOOKUP(PAA_4[[#This Row],[ITEM]],[2]Contrato!A:A,[2]Contrato!B:B,"",0)</f>
        <v>#NAME?</v>
      </c>
      <c r="Z270" s="47" t="e">
        <f ca="1">_xlfn.XLOOKUP(PAA_4[[#This Row],[ITEM]],[2]Contrato!A:A,[2]Contrato!G:G,"",0)</f>
        <v>#NAME?</v>
      </c>
      <c r="AA270" s="47" t="e">
        <f ca="1">_xlfn.XLOOKUP(PAA_4[[#This Row],[ITEM]],[2]Contrato!A:A,[2]Contrato!T:T,"",0)</f>
        <v>#NAME?</v>
      </c>
      <c r="AB270" s="55" t="e">
        <f ca="1">+MAX(PAA_4[[#This Row],[Comprometido Contrato]],PAA_4[[#This Row],[Comprometido Bolsa]])</f>
        <v>#NAME?</v>
      </c>
      <c r="AC270" s="55" t="str">
        <f t="shared" ca="1" si="143"/>
        <v/>
      </c>
      <c r="AD270" s="55" t="e">
        <f ca="1">IF(PAA_4[[#This Row],[ESTADO (formulado)]]="NO CONTRATADO",0,MAX(PAA_4[[#This Row],[Pago por Contrato]],PAA_4[[#This Row],[Pago por bolsa]]))</f>
        <v>#NAME?</v>
      </c>
      <c r="AE270" s="55" t="str">
        <f t="shared" ca="1" si="140"/>
        <v/>
      </c>
      <c r="AF270" s="47" t="e">
        <f t="shared" ca="1" si="141"/>
        <v>#NAME?</v>
      </c>
      <c r="AG270" s="47" t="str">
        <f t="shared" si="142"/>
        <v/>
      </c>
      <c r="AH270" s="54">
        <f>IF(Q270="22",IF(ISNUMBER(SEARCH("econ",PAA_4[[#This Row],[Actividad3]])),"Económico",IF(ISNUMBER(SEARCH("alim",PAA_4[[#This Row],[Actividad3]])),"Alimentación",IF(ISNUMBER(SEARCH("educ",PAA_4[[#This Row],[Actividad3]])),"Educativo","Técnico"))),0)</f>
        <v>0</v>
      </c>
      <c r="AI270" s="47" t="e" cm="1">
        <f t="array" aca="1" ref="AI270" ca="1">_xlfn.XLOOKUP(PAA_4[[#This Row],[RCP-RUBRO]],[2]!COMPROMISOS_2024[[#All],[concatenado]],[2]!COMPROMISOS_2024[[#All],[Total pagado]],"",0)</f>
        <v>#NAME?</v>
      </c>
      <c r="AJ270" s="56">
        <f>IF(PAA_4[[#This Row],[BOLSA]]=0,0,SUMIFS([2]!COMPROMISOS_2024[[#All],[Total pagado]],[2]!COMPROMISOS_2024[[#All],[Bolsa]],PAA_4[[#This Row],[BOLSA]],[2]!COMPROMISOS_2024[[#All],[rubro]],PAA_4[[#This Row],[RCP-RUBRO]]))</f>
        <v>0</v>
      </c>
      <c r="AK270" s="47" t="e" cm="1">
        <f t="array" aca="1" ref="AK270" ca="1">_xlfn.XLOOKUP(PAA_4[[#This Row],[RCP-RUBRO]],[2]!COMPROMISOS_2024[[#All],[concatenado]],[2]!COMPROMISOS_2024[[#All],[Total Comprometido]],"",0)</f>
        <v>#NAME?</v>
      </c>
      <c r="AL270" s="47">
        <f>IF(PAA_4[[#This Row],[BOLSA]]=0,0,SUMIFS([2]!COMPROMISOS_2024[[#All],[Total Comprometido]],[2]!COMPROMISOS_2024[[#All],[Bolsa]],PAA_4[[#This Row],[BOLSA]],[2]!COMPROMISOS_2024[[#All],[concatenado]],PAA_4[[#This Row],[RCP-RUBRO]]))</f>
        <v>0</v>
      </c>
    </row>
    <row r="271" spans="1:38" s="19" customFormat="1" ht="31.5" customHeight="1">
      <c r="A271" s="47" t="s">
        <v>82</v>
      </c>
      <c r="B271" s="51">
        <v>72101500</v>
      </c>
      <c r="C271" s="47" t="str">
        <f>VLOOKUP(PAA_4[[#This Row],[PROYECTO (formulado)2]],[2]PROYECTOS!$G$1:$L$32,6,0)</f>
        <v>SUBGERENCIA ADMINISTRATIVA Y FINANCIERA</v>
      </c>
      <c r="D271" s="47" t="str">
        <f>+IF(PAA_4[[#This Row],[UNIDAD DE CONTRATACION (formulado)]]="Subgerencia Administrativa y Financiera","FUNCIONAMIENTO","INVERSIÓN")</f>
        <v>FUNCIONAMIENTO</v>
      </c>
      <c r="E271" s="48" t="str">
        <f>VLOOKUP(Q271,[2]PROYECTOS!$G$1:$K$32,5,0)</f>
        <v>FUNCIONAMIENTO</v>
      </c>
      <c r="F271" s="48">
        <f>VLOOKUP(E271,[2]PROYECTOS!$K$1:$M$32,3,0)</f>
        <v>999999</v>
      </c>
      <c r="G271" s="49" t="s">
        <v>43</v>
      </c>
      <c r="H271" s="49">
        <f>VLOOKUP(Q271,[2]PROYECTOS!$V$1:$W$32,2,0)</f>
        <v>999999</v>
      </c>
      <c r="I271" s="50">
        <v>0</v>
      </c>
      <c r="J271" s="51" t="s">
        <v>1426</v>
      </c>
      <c r="K271" s="47" t="str">
        <f t="shared" ca="1" si="136"/>
        <v>CONTRATADO</v>
      </c>
      <c r="L271" s="47" t="s">
        <v>42</v>
      </c>
      <c r="M271" s="47" t="s">
        <v>42</v>
      </c>
      <c r="N271" s="52" t="s">
        <v>1432</v>
      </c>
      <c r="O271" s="51" t="e">
        <f>VLOOKUP(N271,[2]!RUBROS[#All],3,0)</f>
        <v>#REF!</v>
      </c>
      <c r="P271" s="53" t="e">
        <f>VLOOKUP(N271,[2]!RUBROS[#All],2,0)</f>
        <v>#REF!</v>
      </c>
      <c r="Q271" s="47" t="str">
        <f t="shared" si="137"/>
        <v>00</v>
      </c>
      <c r="R271" s="47" t="str">
        <f t="shared" si="138"/>
        <v>0-101024</v>
      </c>
      <c r="S271" s="54">
        <v>5.5</v>
      </c>
      <c r="T271" s="59" t="s">
        <v>46</v>
      </c>
      <c r="U271" s="326" t="e">
        <f ca="1">_xlfn.XLOOKUP(PAA_4[[#This Row],[ITEM]],[2]Contrato!A:A,[2]Contrato!Q:Q,"",0)</f>
        <v>#NAME?</v>
      </c>
      <c r="V271" s="47" t="s">
        <v>47</v>
      </c>
      <c r="W271" s="47" t="s">
        <v>193</v>
      </c>
      <c r="X271" s="47" t="s">
        <v>193</v>
      </c>
      <c r="Y271" s="55" t="e">
        <f ca="1">_xlfn.XLOOKUP(PAA_4[[#This Row],[ITEM]],[2]Contrato!A:A,[2]Contrato!B:B,"",0)</f>
        <v>#NAME?</v>
      </c>
      <c r="Z271" s="47" t="e">
        <f ca="1">_xlfn.XLOOKUP(PAA_4[[#This Row],[ITEM]],[2]Contrato!A:A,[2]Contrato!G:G,"",0)</f>
        <v>#NAME?</v>
      </c>
      <c r="AA271" s="47" t="e">
        <f ca="1">_xlfn.XLOOKUP(PAA_4[[#This Row],[ITEM]],[2]Contrato!A:A,[2]Contrato!T:T,"",0)</f>
        <v>#NAME?</v>
      </c>
      <c r="AB271" s="55" t="e">
        <f ca="1">+MAX(PAA_4[[#This Row],[Comprometido Contrato]],PAA_4[[#This Row],[Comprometido Bolsa]])</f>
        <v>#NAME?</v>
      </c>
      <c r="AC271" s="55" t="str">
        <f t="shared" ca="1" si="143"/>
        <v/>
      </c>
      <c r="AD271" s="55" t="e">
        <f ca="1">IF(PAA_4[[#This Row],[ESTADO (formulado)]]="NO CONTRATADO",0,MAX(PAA_4[[#This Row],[Pago por Contrato]],PAA_4[[#This Row],[Pago por bolsa]]))</f>
        <v>#NAME?</v>
      </c>
      <c r="AE271" s="55" t="str">
        <f t="shared" ca="1" si="140"/>
        <v/>
      </c>
      <c r="AF271" s="47" t="e">
        <f t="shared" ca="1" si="141"/>
        <v>#NAME?</v>
      </c>
      <c r="AG271" s="47" t="str">
        <f t="shared" si="142"/>
        <v/>
      </c>
      <c r="AH271" s="54">
        <f>IF(Q271="22",IF(ISNUMBER(SEARCH("econ",PAA_4[[#This Row],[Actividad3]])),"Económico",IF(ISNUMBER(SEARCH("alim",PAA_4[[#This Row],[Actividad3]])),"Alimentación",IF(ISNUMBER(SEARCH("educ",PAA_4[[#This Row],[Actividad3]])),"Educativo","Técnico"))),0)</f>
        <v>0</v>
      </c>
      <c r="AI271" s="47" t="e" cm="1">
        <f t="array" aca="1" ref="AI271" ca="1">_xlfn.XLOOKUP(PAA_4[[#This Row],[RCP-RUBRO]],[2]!COMPROMISOS_2024[[#All],[concatenado]],[2]!COMPROMISOS_2024[[#All],[Total pagado]],"",0)</f>
        <v>#NAME?</v>
      </c>
      <c r="AJ271" s="56">
        <f>IF(PAA_4[[#This Row],[BOLSA]]=0,0,SUMIFS([2]!COMPROMISOS_2024[[#All],[Total pagado]],[2]!COMPROMISOS_2024[[#All],[Bolsa]],PAA_4[[#This Row],[BOLSA]],[2]!COMPROMISOS_2024[[#All],[rubro]],PAA_4[[#This Row],[RCP-RUBRO]]))</f>
        <v>0</v>
      </c>
      <c r="AK271" s="47" t="e" cm="1">
        <f t="array" aca="1" ref="AK271" ca="1">_xlfn.XLOOKUP(PAA_4[[#This Row],[RCP-RUBRO]],[2]!COMPROMISOS_2024[[#All],[concatenado]],[2]!COMPROMISOS_2024[[#All],[Total Comprometido]],"",0)</f>
        <v>#NAME?</v>
      </c>
      <c r="AL271" s="47">
        <f>IF(PAA_4[[#This Row],[BOLSA]]=0,0,SUMIFS([2]!COMPROMISOS_2024[[#All],[Total Comprometido]],[2]!COMPROMISOS_2024[[#All],[Bolsa]],PAA_4[[#This Row],[BOLSA]],[2]!COMPROMISOS_2024[[#All],[concatenado]],PAA_4[[#This Row],[RCP-RUBRO]]))</f>
        <v>0</v>
      </c>
    </row>
    <row r="272" spans="1:38" s="19" customFormat="1" ht="30" customHeight="1">
      <c r="A272" s="47">
        <v>995</v>
      </c>
      <c r="B272" s="51" t="s">
        <v>42</v>
      </c>
      <c r="C272" s="47" t="str">
        <f>VLOOKUP(PAA_4[[#This Row],[PROYECTO (formulado)2]],[2]PROYECTOS!$G$1:$L$32,6,0)</f>
        <v>SUBGERENCIA ADMINISTRATIVA Y FINANCIERA</v>
      </c>
      <c r="D272" s="47" t="str">
        <f>+IF(PAA_4[[#This Row],[UNIDAD DE CONTRATACION (formulado)]]="Subgerencia Administrativa y Financiera","FUNCIONAMIENTO","INVERSIÓN")</f>
        <v>FUNCIONAMIENTO</v>
      </c>
      <c r="E272" s="48" t="str">
        <f>VLOOKUP(Q272,[2]PROYECTOS!$G$1:$K$32,5,0)</f>
        <v>FUNCIONAMIENTO</v>
      </c>
      <c r="F272" s="48">
        <f>VLOOKUP(E272,[2]PROYECTOS!$K$1:$M$32,3,0)</f>
        <v>999999</v>
      </c>
      <c r="G272" s="49" t="s">
        <v>43</v>
      </c>
      <c r="H272" s="49">
        <f>VLOOKUP(Q272,[2]PROYECTOS!$V$1:$W$32,2,0)</f>
        <v>999999</v>
      </c>
      <c r="I272" s="50">
        <v>34080000</v>
      </c>
      <c r="J272" s="51" t="s">
        <v>1433</v>
      </c>
      <c r="K272" s="47" t="str">
        <f t="shared" ca="1" si="136"/>
        <v>CONTRATADO</v>
      </c>
      <c r="L272" s="47" t="s">
        <v>44</v>
      </c>
      <c r="M272" s="47" t="s">
        <v>1236</v>
      </c>
      <c r="N272" s="52" t="s">
        <v>1434</v>
      </c>
      <c r="O272" s="51" t="e">
        <f>VLOOKUP(N272,[2]!RUBROS[#All],3,0)</f>
        <v>#REF!</v>
      </c>
      <c r="P272" s="53" t="e">
        <f>VLOOKUP(N272,[2]!RUBROS[#All],2,0)</f>
        <v>#REF!</v>
      </c>
      <c r="Q272" s="47" t="str">
        <f t="shared" si="137"/>
        <v>00</v>
      </c>
      <c r="R272" s="47" t="str">
        <f t="shared" si="138"/>
        <v>0-101024</v>
      </c>
      <c r="S272" s="54">
        <v>5</v>
      </c>
      <c r="T272" s="59" t="s">
        <v>46</v>
      </c>
      <c r="U272" s="326" t="e">
        <f ca="1">_xlfn.XLOOKUP(PAA_4[[#This Row],[ITEM]],[2]Contrato!A:A,[2]Contrato!Q:Q,"",0)</f>
        <v>#NAME?</v>
      </c>
      <c r="V272" s="47" t="s">
        <v>95</v>
      </c>
      <c r="W272" s="47" t="s">
        <v>194</v>
      </c>
      <c r="X272" s="47" t="s">
        <v>194</v>
      </c>
      <c r="Y272" s="55" t="e">
        <f ca="1">_xlfn.XLOOKUP(PAA_4[[#This Row],[ITEM]],[2]Contrato!A:A,[2]Contrato!B:B,"",0)</f>
        <v>#NAME?</v>
      </c>
      <c r="Z272" s="47" t="e">
        <f ca="1">_xlfn.XLOOKUP(PAA_4[[#This Row],[ITEM]],[2]Contrato!A:A,[2]Contrato!G:G,"",0)</f>
        <v>#NAME?</v>
      </c>
      <c r="AA272" s="47" t="e">
        <f ca="1">_xlfn.XLOOKUP(PAA_4[[#This Row],[ITEM]],[2]Contrato!A:A,[2]Contrato!T:T,"",0)</f>
        <v>#NAME?</v>
      </c>
      <c r="AB272" s="55" t="e">
        <f ca="1">+MAX(PAA_4[[#This Row],[Comprometido Contrato]],PAA_4[[#This Row],[Comprometido Bolsa]])</f>
        <v>#NAME?</v>
      </c>
      <c r="AC272" s="55" t="str">
        <f t="shared" ca="1" si="143"/>
        <v/>
      </c>
      <c r="AD272" s="55" t="e">
        <f ca="1">IF(PAA_4[[#This Row],[ESTADO (formulado)]]="NO CONTRATADO",0,MAX(PAA_4[[#This Row],[Pago por Contrato]],PAA_4[[#This Row],[Pago por bolsa]]))</f>
        <v>#NAME?</v>
      </c>
      <c r="AE272" s="55" t="str">
        <f t="shared" ca="1" si="140"/>
        <v/>
      </c>
      <c r="AF272" s="47" t="e">
        <f t="shared" ca="1" si="141"/>
        <v>#NAME?</v>
      </c>
      <c r="AG272" s="47" t="str">
        <f t="shared" si="142"/>
        <v/>
      </c>
      <c r="AH272" s="54">
        <f>IF(Q272="22",IF(ISNUMBER(SEARCH("econ",PAA_4[[#This Row],[Actividad3]])),"Económico",IF(ISNUMBER(SEARCH("alim",PAA_4[[#This Row],[Actividad3]])),"Alimentación",IF(ISNUMBER(SEARCH("educ",PAA_4[[#This Row],[Actividad3]])),"Educativo","Técnico"))),0)</f>
        <v>0</v>
      </c>
      <c r="AI272" s="47" t="e" cm="1">
        <f t="array" aca="1" ref="AI272" ca="1">_xlfn.XLOOKUP(PAA_4[[#This Row],[RCP-RUBRO]],[2]!COMPROMISOS_2024[[#All],[concatenado]],[2]!COMPROMISOS_2024[[#All],[Total pagado]],"",0)</f>
        <v>#NAME?</v>
      </c>
      <c r="AJ272" s="56">
        <f>IF(PAA_4[[#This Row],[BOLSA]]=0,0,SUMIFS([2]!COMPROMISOS_2024[[#All],[Total pagado]],[2]!COMPROMISOS_2024[[#All],[Bolsa]],PAA_4[[#This Row],[BOLSA]],[2]!COMPROMISOS_2024[[#All],[rubro]],PAA_4[[#This Row],[RCP-RUBRO]]))</f>
        <v>0</v>
      </c>
      <c r="AK272" s="47" t="e" cm="1">
        <f t="array" aca="1" ref="AK272" ca="1">_xlfn.XLOOKUP(PAA_4[[#This Row],[RCP-RUBRO]],[2]!COMPROMISOS_2024[[#All],[concatenado]],[2]!COMPROMISOS_2024[[#All],[Total Comprometido]],"",0)</f>
        <v>#NAME?</v>
      </c>
      <c r="AL272" s="47">
        <f>IF(PAA_4[[#This Row],[BOLSA]]=0,0,SUMIFS([2]!COMPROMISOS_2024[[#All],[Total Comprometido]],[2]!COMPROMISOS_2024[[#All],[Bolsa]],PAA_4[[#This Row],[BOLSA]],[2]!COMPROMISOS_2024[[#All],[concatenado]],PAA_4[[#This Row],[RCP-RUBRO]]))</f>
        <v>0</v>
      </c>
    </row>
    <row r="273" spans="1:38" s="19" customFormat="1" ht="31.5" customHeight="1">
      <c r="A273" s="47">
        <v>36</v>
      </c>
      <c r="B273" s="47">
        <v>72101500</v>
      </c>
      <c r="C273" s="47" t="str">
        <f>VLOOKUP(PAA_4[[#This Row],[PROYECTO (formulado)2]],[2]PROYECTOS!$G$1:$L$32,6,0)</f>
        <v>SUBGERENCIA ADMINISTRATIVA Y FINANCIERA</v>
      </c>
      <c r="D273" s="47" t="str">
        <f>+IF(PAA_4[[#This Row],[UNIDAD DE CONTRATACION (formulado)]]="Subgerencia Administrativa y Financiera","FUNCIONAMIENTO","INVERSIÓN")</f>
        <v>FUNCIONAMIENTO</v>
      </c>
      <c r="E273" s="48" t="str">
        <f>VLOOKUP(Q273,[2]PROYECTOS!$G$1:$K$32,5,0)</f>
        <v>FUNCIONAMIENTO</v>
      </c>
      <c r="F273" s="48">
        <f>VLOOKUP(E273,[2]PROYECTOS!$K$1:$M$32,3,0)</f>
        <v>999999</v>
      </c>
      <c r="G273" s="49" t="s">
        <v>43</v>
      </c>
      <c r="H273" s="49">
        <f>VLOOKUP(Q273,[2]PROYECTOS!$V$1:$W$32,2,0)</f>
        <v>999999</v>
      </c>
      <c r="I273" s="50">
        <f>70000000-4609776</f>
        <v>65390224</v>
      </c>
      <c r="J273" s="51" t="s">
        <v>156</v>
      </c>
      <c r="K273" s="47" t="str">
        <f t="shared" ca="1" si="136"/>
        <v>CONTRATADO</v>
      </c>
      <c r="L273" s="47" t="s">
        <v>94</v>
      </c>
      <c r="M273" s="47" t="s">
        <v>89</v>
      </c>
      <c r="N273" s="52" t="s">
        <v>90</v>
      </c>
      <c r="O273" s="51" t="e">
        <f>VLOOKUP(N273,[2]!RUBROS[#All],3,0)</f>
        <v>#REF!</v>
      </c>
      <c r="P273" s="53" t="e">
        <f>VLOOKUP(N273,[2]!RUBROS[#All],2,0)</f>
        <v>#REF!</v>
      </c>
      <c r="Q273" s="47" t="str">
        <f t="shared" si="137"/>
        <v>00</v>
      </c>
      <c r="R273" s="47" t="str">
        <f t="shared" si="138"/>
        <v>0-205616</v>
      </c>
      <c r="S273" s="54">
        <v>10</v>
      </c>
      <c r="T273" s="59" t="s">
        <v>46</v>
      </c>
      <c r="U273" s="326" t="e">
        <f ca="1">_xlfn.XLOOKUP(PAA_4[[#This Row],[ITEM]],[2]Contrato!A:A,[2]Contrato!Q:Q,"",0)</f>
        <v>#NAME?</v>
      </c>
      <c r="V273" s="47" t="s">
        <v>47</v>
      </c>
      <c r="W273" s="47" t="s">
        <v>96</v>
      </c>
      <c r="X273" s="47" t="s">
        <v>96</v>
      </c>
      <c r="Y273" s="55" t="e">
        <f ca="1">_xlfn.XLOOKUP(PAA_4[[#This Row],[ITEM]],[2]Contrato!A:A,[2]Contrato!B:B,"",0)</f>
        <v>#NAME?</v>
      </c>
      <c r="Z273" s="47" t="e">
        <f ca="1">_xlfn.XLOOKUP(PAA_4[[#This Row],[ITEM]],[2]Contrato!A:A,[2]Contrato!G:G,"",0)</f>
        <v>#NAME?</v>
      </c>
      <c r="AA273" s="47" t="e">
        <f ca="1">_xlfn.XLOOKUP(PAA_4[[#This Row],[ITEM]],[2]Contrato!A:A,[2]Contrato!T:T,"",0)</f>
        <v>#NAME?</v>
      </c>
      <c r="AB273" s="55" t="e">
        <f ca="1">+MAX(PAA_4[[#This Row],[Comprometido Contrato]],PAA_4[[#This Row],[Comprometido Bolsa]])</f>
        <v>#NAME?</v>
      </c>
      <c r="AC273" s="55" t="str">
        <f t="shared" ca="1" si="143"/>
        <v/>
      </c>
      <c r="AD273" s="55" t="e">
        <f ca="1">IF(PAA_4[[#This Row],[ESTADO (formulado)]]="NO CONTRATADO",0,MAX(PAA_4[[#This Row],[Pago por Contrato]],PAA_4[[#This Row],[Pago por bolsa]]))</f>
        <v>#NAME?</v>
      </c>
      <c r="AE273" s="55" t="str">
        <f t="shared" ca="1" si="140"/>
        <v/>
      </c>
      <c r="AF273" s="47" t="e">
        <f t="shared" ca="1" si="141"/>
        <v>#NAME?</v>
      </c>
      <c r="AG273" s="47" t="str">
        <f t="shared" si="142"/>
        <v/>
      </c>
      <c r="AH273" s="54">
        <f>IF(Q273="22",IF(ISNUMBER(SEARCH("econ",PAA_4[[#This Row],[Actividad3]])),"Económico",IF(ISNUMBER(SEARCH("alim",PAA_4[[#This Row],[Actividad3]])),"Alimentación",IF(ISNUMBER(SEARCH("educ",PAA_4[[#This Row],[Actividad3]])),"Educativo","Técnico"))),0)</f>
        <v>0</v>
      </c>
      <c r="AI273" s="47" t="e" cm="1">
        <f t="array" aca="1" ref="AI273" ca="1">_xlfn.XLOOKUP(PAA_4[[#This Row],[RCP-RUBRO]],[2]!COMPROMISOS_2024[[#All],[concatenado]],[2]!COMPROMISOS_2024[[#All],[Total pagado]],"",0)</f>
        <v>#NAME?</v>
      </c>
      <c r="AJ273" s="56">
        <f>IF(PAA_4[[#This Row],[BOLSA]]=0,0,SUMIFS([2]!COMPROMISOS_2024[[#All],[Total pagado]],[2]!COMPROMISOS_2024[[#All],[Bolsa]],PAA_4[[#This Row],[BOLSA]],[2]!COMPROMISOS_2024[[#All],[rubro]],PAA_4[[#This Row],[RCP-RUBRO]]))</f>
        <v>0</v>
      </c>
      <c r="AK273" s="47" t="e" cm="1">
        <f t="array" aca="1" ref="AK273" ca="1">_xlfn.XLOOKUP(PAA_4[[#This Row],[RCP-RUBRO]],[2]!COMPROMISOS_2024[[#All],[concatenado]],[2]!COMPROMISOS_2024[[#All],[Total Comprometido]],"",0)</f>
        <v>#NAME?</v>
      </c>
      <c r="AL273" s="47">
        <f>IF(PAA_4[[#This Row],[BOLSA]]=0,0,SUMIFS([2]!COMPROMISOS_2024[[#All],[Total Comprometido]],[2]!COMPROMISOS_2024[[#All],[Bolsa]],PAA_4[[#This Row],[BOLSA]],[2]!COMPROMISOS_2024[[#All],[concatenado]],PAA_4[[#This Row],[RCP-RUBRO]]))</f>
        <v>0</v>
      </c>
    </row>
    <row r="274" spans="1:38" s="19" customFormat="1" ht="31.5" customHeight="1">
      <c r="A274" s="47">
        <v>37</v>
      </c>
      <c r="B274" s="47">
        <v>80111600</v>
      </c>
      <c r="C274" s="47" t="str">
        <f>VLOOKUP(PAA_4[[#This Row],[PROYECTO (formulado)2]],[2]PROYECTOS!$G$1:$L$32,6,0)</f>
        <v>OFICINADECOMUNICACIONES</v>
      </c>
      <c r="D274" s="47" t="str">
        <f>+IF(PAA_4[[#This Row],[UNIDAD DE CONTRATACION (formulado)]]="Subgerencia Administrativa y Financiera","FUNCIONAMIENTO","INVERSIÓN")</f>
        <v>INVERSIÓN</v>
      </c>
      <c r="E274" s="48" t="str">
        <f>VLOOKUP(Q274,[2]PROYECTOS!$G$1:$K$32,5,0)</f>
        <v>FORTALECIMIENTO_DE_LA_IMAGEN_INSTITUCIONAL_COMO_REFERENTE_SOCIAL_PARA_EL_DEPARTAMENTO_DE_ANTIOQUIA</v>
      </c>
      <c r="F274" s="48">
        <f>VLOOKUP(E274,[2]PROYECTOS!$K$1:$M$32,3,0)</f>
        <v>2021003050071</v>
      </c>
      <c r="G274" s="49" t="s">
        <v>157</v>
      </c>
      <c r="H274" s="49" t="str">
        <f>VLOOKUP(Q274,[2]PROYECTOS!$V$1:$W$32,2,0)</f>
        <v>050067</v>
      </c>
      <c r="I274" s="50">
        <v>38461316</v>
      </c>
      <c r="J274" s="51" t="s">
        <v>1435</v>
      </c>
      <c r="K274" s="47" t="str">
        <f t="shared" ca="1" si="136"/>
        <v>CONTRATADO</v>
      </c>
      <c r="L274" s="47" t="s">
        <v>94</v>
      </c>
      <c r="M274" s="47" t="s">
        <v>1297</v>
      </c>
      <c r="N274" s="52" t="s">
        <v>158</v>
      </c>
      <c r="O274" s="51" t="e">
        <f>VLOOKUP(N274,[2]!RUBROS[#All],3,0)</f>
        <v>#REF!</v>
      </c>
      <c r="P274" s="53" t="e">
        <f>VLOOKUP(N274,[2]!RUBROS[#All],2,0)</f>
        <v>#REF!</v>
      </c>
      <c r="Q274" s="47" t="str">
        <f t="shared" si="137"/>
        <v>92</v>
      </c>
      <c r="R274" s="47" t="str">
        <f t="shared" si="138"/>
        <v>0-101024</v>
      </c>
      <c r="S274" s="54">
        <v>5</v>
      </c>
      <c r="T274" s="59" t="s">
        <v>46</v>
      </c>
      <c r="U274" s="326" t="e">
        <f ca="1">_xlfn.XLOOKUP(PAA_4[[#This Row],[ITEM]],[2]Contrato!A:A,[2]Contrato!Q:Q,"",0)</f>
        <v>#NAME?</v>
      </c>
      <c r="V274" s="47" t="s">
        <v>95</v>
      </c>
      <c r="W274" s="47" t="s">
        <v>154</v>
      </c>
      <c r="X274" s="47" t="s">
        <v>154</v>
      </c>
      <c r="Y274" s="55" t="e">
        <f ca="1">_xlfn.XLOOKUP(PAA_4[[#This Row],[ITEM]],[2]Contrato!A:A,[2]Contrato!B:B,"",0)</f>
        <v>#NAME?</v>
      </c>
      <c r="Z274" s="47" t="e">
        <f ca="1">_xlfn.XLOOKUP(PAA_4[[#This Row],[ITEM]],[2]Contrato!A:A,[2]Contrato!G:G,"",0)</f>
        <v>#NAME?</v>
      </c>
      <c r="AA274" s="47" t="e">
        <f ca="1">_xlfn.XLOOKUP(PAA_4[[#This Row],[ITEM]],[2]Contrato!A:A,[2]Contrato!T:T,"",0)</f>
        <v>#NAME?</v>
      </c>
      <c r="AB274" s="55" t="e">
        <f ca="1">+MAX(PAA_4[[#This Row],[Comprometido Contrato]],PAA_4[[#This Row],[Comprometido Bolsa]])</f>
        <v>#NAME?</v>
      </c>
      <c r="AC274" s="55" t="str">
        <f t="shared" ca="1" si="143"/>
        <v/>
      </c>
      <c r="AD274" s="55" t="e">
        <f ca="1">IF(PAA_4[[#This Row],[ESTADO (formulado)]]="NO CONTRATADO",0,MAX(PAA_4[[#This Row],[Pago por Contrato]],PAA_4[[#This Row],[Pago por bolsa]]))</f>
        <v>#NAME?</v>
      </c>
      <c r="AE274" s="55" t="str">
        <f t="shared" ca="1" si="140"/>
        <v/>
      </c>
      <c r="AF274" s="47" t="e">
        <f t="shared" ca="1" si="141"/>
        <v>#NAME?</v>
      </c>
      <c r="AG274" s="47">
        <f t="shared" si="142"/>
        <v>41080114</v>
      </c>
      <c r="AH274" s="54">
        <f>IF(Q274="22",IF(ISNUMBER(SEARCH("econ",PAA_4[[#This Row],[Actividad3]])),"Económico",IF(ISNUMBER(SEARCH("alim",PAA_4[[#This Row],[Actividad3]])),"Alimentación",IF(ISNUMBER(SEARCH("educ",PAA_4[[#This Row],[Actividad3]])),"Educativo","Técnico"))),0)</f>
        <v>0</v>
      </c>
      <c r="AI274" s="47" t="e" cm="1">
        <f t="array" aca="1" ref="AI274" ca="1">_xlfn.XLOOKUP(PAA_4[[#This Row],[RCP-RUBRO]],[2]!COMPROMISOS_2024[[#All],[concatenado]],[2]!COMPROMISOS_2024[[#All],[Total pagado]],"",0)</f>
        <v>#NAME?</v>
      </c>
      <c r="AJ274" s="56">
        <f>IF(PAA_4[[#This Row],[BOLSA]]=0,0,SUMIFS([2]!COMPROMISOS_2024[[#All],[Total pagado]],[2]!COMPROMISOS_2024[[#All],[Bolsa]],PAA_4[[#This Row],[BOLSA]],[2]!COMPROMISOS_2024[[#All],[rubro]],PAA_4[[#This Row],[RCP-RUBRO]]))</f>
        <v>0</v>
      </c>
      <c r="AK274" s="47" t="e" cm="1">
        <f t="array" aca="1" ref="AK274" ca="1">_xlfn.XLOOKUP(PAA_4[[#This Row],[RCP-RUBRO]],[2]!COMPROMISOS_2024[[#All],[concatenado]],[2]!COMPROMISOS_2024[[#All],[Total Comprometido]],"",0)</f>
        <v>#NAME?</v>
      </c>
      <c r="AL274" s="47">
        <f>IF(PAA_4[[#This Row],[BOLSA]]=0,0,SUMIFS([2]!COMPROMISOS_2024[[#All],[Total Comprometido]],[2]!COMPROMISOS_2024[[#All],[Bolsa]],PAA_4[[#This Row],[BOLSA]],[2]!COMPROMISOS_2024[[#All],[concatenado]],PAA_4[[#This Row],[RCP-RUBRO]]))</f>
        <v>0</v>
      </c>
    </row>
    <row r="275" spans="1:38" s="19" customFormat="1" ht="31.5" customHeight="1">
      <c r="A275" s="47" t="s">
        <v>82</v>
      </c>
      <c r="B275" s="47" t="s">
        <v>42</v>
      </c>
      <c r="C275" s="47" t="str">
        <f>VLOOKUP(PAA_4[[#This Row],[PROYECTO (formulado)2]],[2]PROYECTOS!$G$1:$L$32,6,0)</f>
        <v>OFICINADECOMUNICACIONES</v>
      </c>
      <c r="D275" s="47" t="str">
        <f>+IF(PAA_4[[#This Row],[UNIDAD DE CONTRATACION (formulado)]]="Subgerencia Administrativa y Financiera","FUNCIONAMIENTO","INVERSIÓN")</f>
        <v>INVERSIÓN</v>
      </c>
      <c r="E275" s="48" t="str">
        <f>VLOOKUP(Q275,[2]PROYECTOS!$G$1:$K$32,5,0)</f>
        <v>FORTALECIMIENTO_DE_LA_IMAGEN_INSTITUCIONAL_COMO_REFERENTE_SOCIAL_PARA_EL_DEPARTAMENTO_DE_ANTIOQUIA</v>
      </c>
      <c r="F275" s="48">
        <f>VLOOKUP(E275,[2]PROYECTOS!$K$1:$M$32,3,0)</f>
        <v>2021003050071</v>
      </c>
      <c r="G275" s="49" t="s">
        <v>157</v>
      </c>
      <c r="H275" s="49" t="str">
        <f>VLOOKUP(Q275,[2]PROYECTOS!$V$1:$W$32,2,0)</f>
        <v>050067</v>
      </c>
      <c r="I275" s="50">
        <v>1414875</v>
      </c>
      <c r="J275" s="51" t="s">
        <v>1331</v>
      </c>
      <c r="K275" s="47" t="str">
        <f t="shared" ca="1" si="136"/>
        <v>CONTRATADO</v>
      </c>
      <c r="L275" s="47" t="s">
        <v>42</v>
      </c>
      <c r="M275" s="47" t="s">
        <v>42</v>
      </c>
      <c r="N275" s="52" t="s">
        <v>158</v>
      </c>
      <c r="O275" s="51" t="e">
        <f>VLOOKUP(N275,[2]!RUBROS[#All],3,0)</f>
        <v>#REF!</v>
      </c>
      <c r="P275" s="53" t="e">
        <f>VLOOKUP(N275,[2]!RUBROS[#All],2,0)</f>
        <v>#REF!</v>
      </c>
      <c r="Q275" s="47" t="str">
        <f t="shared" si="137"/>
        <v>92</v>
      </c>
      <c r="R275" s="47" t="str">
        <f t="shared" si="138"/>
        <v>0-101024</v>
      </c>
      <c r="S275" s="54" t="s">
        <v>42</v>
      </c>
      <c r="T275" s="329" t="s">
        <v>42</v>
      </c>
      <c r="U275" s="326" t="e">
        <f ca="1">_xlfn.XLOOKUP(PAA_4[[#This Row],[ITEM]],[2]Contrato!A:A,[2]Contrato!Q:Q,"",0)</f>
        <v>#NAME?</v>
      </c>
      <c r="V275" s="47" t="s">
        <v>95</v>
      </c>
      <c r="W275" s="47" t="s">
        <v>42</v>
      </c>
      <c r="X275" s="47" t="s">
        <v>42</v>
      </c>
      <c r="Y275" s="55" t="e">
        <f ca="1">_xlfn.XLOOKUP(PAA_4[[#This Row],[ITEM]],[2]Contrato!A:A,[2]Contrato!B:B,"",0)</f>
        <v>#NAME?</v>
      </c>
      <c r="Z275" s="47" t="e">
        <f ca="1">_xlfn.XLOOKUP(PAA_4[[#This Row],[ITEM]],[2]Contrato!A:A,[2]Contrato!G:G,"",0)</f>
        <v>#NAME?</v>
      </c>
      <c r="AA275" s="47" t="e">
        <f ca="1">_xlfn.XLOOKUP(PAA_4[[#This Row],[ITEM]],[2]Contrato!A:A,[2]Contrato!T:T,"",0)</f>
        <v>#NAME?</v>
      </c>
      <c r="AB275" s="55" t="e">
        <f ca="1">+MAX(PAA_4[[#This Row],[Comprometido Contrato]],PAA_4[[#This Row],[Comprometido Bolsa]])</f>
        <v>#NAME?</v>
      </c>
      <c r="AC275" s="55" t="str">
        <f t="shared" ca="1" si="143"/>
        <v/>
      </c>
      <c r="AD275" s="55" t="e">
        <f ca="1">IF(PAA_4[[#This Row],[ESTADO (formulado)]]="NO CONTRATADO",0,MAX(PAA_4[[#This Row],[Pago por Contrato]],PAA_4[[#This Row],[Pago por bolsa]]))</f>
        <v>#NAME?</v>
      </c>
      <c r="AE275" s="55" t="str">
        <f t="shared" ca="1" si="140"/>
        <v/>
      </c>
      <c r="AF275" s="47" t="e">
        <f t="shared" ca="1" si="141"/>
        <v>#NAME?</v>
      </c>
      <c r="AG275" s="47">
        <f t="shared" si="142"/>
        <v>41080114</v>
      </c>
      <c r="AH275" s="54">
        <f>IF(Q275="22",IF(ISNUMBER(SEARCH("econ",PAA_4[[#This Row],[Actividad3]])),"Económico",IF(ISNUMBER(SEARCH("alim",PAA_4[[#This Row],[Actividad3]])),"Alimentación",IF(ISNUMBER(SEARCH("educ",PAA_4[[#This Row],[Actividad3]])),"Educativo","Técnico"))),0)</f>
        <v>0</v>
      </c>
      <c r="AI275" s="47" t="e" cm="1">
        <f t="array" aca="1" ref="AI275" ca="1">_xlfn.XLOOKUP(PAA_4[[#This Row],[RCP-RUBRO]],[2]!COMPROMISOS_2024[[#All],[concatenado]],[2]!COMPROMISOS_2024[[#All],[Total pagado]],"",0)</f>
        <v>#NAME?</v>
      </c>
      <c r="AJ275" s="56">
        <f>IF(PAA_4[[#This Row],[BOLSA]]=0,0,SUMIFS([2]!COMPROMISOS_2024[[#All],[Total pagado]],[2]!COMPROMISOS_2024[[#All],[Bolsa]],PAA_4[[#This Row],[BOLSA]],[2]!COMPROMISOS_2024[[#All],[rubro]],PAA_4[[#This Row],[RCP-RUBRO]]))</f>
        <v>0</v>
      </c>
      <c r="AK275" s="47" t="e" cm="1">
        <f t="array" aca="1" ref="AK275" ca="1">_xlfn.XLOOKUP(PAA_4[[#This Row],[RCP-RUBRO]],[2]!COMPROMISOS_2024[[#All],[concatenado]],[2]!COMPROMISOS_2024[[#All],[Total Comprometido]],"",0)</f>
        <v>#NAME?</v>
      </c>
      <c r="AL275" s="47">
        <f>IF(PAA_4[[#This Row],[BOLSA]]=0,0,SUMIFS([2]!COMPROMISOS_2024[[#All],[Total Comprometido]],[2]!COMPROMISOS_2024[[#All],[Bolsa]],PAA_4[[#This Row],[BOLSA]],[2]!COMPROMISOS_2024[[#All],[concatenado]],PAA_4[[#This Row],[RCP-RUBRO]]))</f>
        <v>0</v>
      </c>
    </row>
    <row r="276" spans="1:38" s="19" customFormat="1" ht="31.5" customHeight="1">
      <c r="A276" s="47" t="s">
        <v>82</v>
      </c>
      <c r="B276" s="47" t="s">
        <v>42</v>
      </c>
      <c r="C276" s="47" t="str">
        <f>VLOOKUP(PAA_4[[#This Row],[PROYECTO (formulado)2]],[2]PROYECTOS!$G$1:$L$32,6,0)</f>
        <v>OFICINADECOMUNICACIONES</v>
      </c>
      <c r="D276" s="47" t="str">
        <f>+IF(PAA_4[[#This Row],[UNIDAD DE CONTRATACION (formulado)]]="Subgerencia Administrativa y Financiera","FUNCIONAMIENTO","INVERSIÓN")</f>
        <v>INVERSIÓN</v>
      </c>
      <c r="E276" s="48" t="str">
        <f>VLOOKUP(Q276,[2]PROYECTOS!$G$1:$K$32,5,0)</f>
        <v>FORTALECIMIENTO_DE_LA_IMAGEN_INSTITUCIONAL_COMO_REFERENTE_SOCIAL_PARA_EL_DEPARTAMENTO_DE_ANTIOQUIA</v>
      </c>
      <c r="F276" s="48">
        <f>VLOOKUP(E276,[2]PROYECTOS!$K$1:$M$32,3,0)</f>
        <v>2021003050071</v>
      </c>
      <c r="G276" s="49" t="s">
        <v>157</v>
      </c>
      <c r="H276" s="49" t="str">
        <f>VLOOKUP(Q276,[2]PROYECTOS!$V$1:$W$32,2,0)</f>
        <v>050067</v>
      </c>
      <c r="I276" s="50">
        <v>176332</v>
      </c>
      <c r="J276" s="51" t="s">
        <v>1331</v>
      </c>
      <c r="K276" s="47" t="str">
        <f t="shared" ca="1" si="136"/>
        <v>CONTRATADO</v>
      </c>
      <c r="L276" s="47" t="s">
        <v>42</v>
      </c>
      <c r="M276" s="47" t="s">
        <v>42</v>
      </c>
      <c r="N276" s="52" t="s">
        <v>158</v>
      </c>
      <c r="O276" s="51" t="e">
        <f>VLOOKUP(N276,[2]!RUBROS[#All],3,0)</f>
        <v>#REF!</v>
      </c>
      <c r="P276" s="53" t="e">
        <f>VLOOKUP(N276,[2]!RUBROS[#All],2,0)</f>
        <v>#REF!</v>
      </c>
      <c r="Q276" s="47" t="str">
        <f t="shared" si="137"/>
        <v>92</v>
      </c>
      <c r="R276" s="47" t="str">
        <f t="shared" si="138"/>
        <v>0-101024</v>
      </c>
      <c r="S276" s="54" t="s">
        <v>42</v>
      </c>
      <c r="T276" s="329" t="s">
        <v>42</v>
      </c>
      <c r="U276" s="326" t="e">
        <f ca="1">_xlfn.XLOOKUP(PAA_4[[#This Row],[ITEM]],[2]Contrato!A:A,[2]Contrato!Q:Q,"",0)</f>
        <v>#NAME?</v>
      </c>
      <c r="V276" s="47" t="s">
        <v>95</v>
      </c>
      <c r="W276" s="47" t="s">
        <v>42</v>
      </c>
      <c r="X276" s="47" t="s">
        <v>42</v>
      </c>
      <c r="Y276" s="55" t="e">
        <f ca="1">_xlfn.XLOOKUP(PAA_4[[#This Row],[ITEM]],[2]Contrato!A:A,[2]Contrato!B:B,"",0)</f>
        <v>#NAME?</v>
      </c>
      <c r="Z276" s="47" t="e">
        <f ca="1">_xlfn.XLOOKUP(PAA_4[[#This Row],[ITEM]],[2]Contrato!A:A,[2]Contrato!G:G,"",0)</f>
        <v>#NAME?</v>
      </c>
      <c r="AA276" s="47" t="e">
        <f ca="1">_xlfn.XLOOKUP(PAA_4[[#This Row],[ITEM]],[2]Contrato!A:A,[2]Contrato!T:T,"",0)</f>
        <v>#NAME?</v>
      </c>
      <c r="AB276" s="55" t="e">
        <f ca="1">+MAX(PAA_4[[#This Row],[Comprometido Contrato]],PAA_4[[#This Row],[Comprometido Bolsa]])</f>
        <v>#NAME?</v>
      </c>
      <c r="AC276" s="55" t="str">
        <f t="shared" ca="1" si="143"/>
        <v/>
      </c>
      <c r="AD276" s="55" t="e">
        <f ca="1">IF(PAA_4[[#This Row],[ESTADO (formulado)]]="NO CONTRATADO",0,MAX(PAA_4[[#This Row],[Pago por Contrato]],PAA_4[[#This Row],[Pago por bolsa]]))</f>
        <v>#NAME?</v>
      </c>
      <c r="AE276" s="55" t="str">
        <f t="shared" ca="1" si="140"/>
        <v/>
      </c>
      <c r="AF276" s="47" t="e">
        <f t="shared" ca="1" si="141"/>
        <v>#NAME?</v>
      </c>
      <c r="AG276" s="47">
        <f t="shared" si="142"/>
        <v>41080114</v>
      </c>
      <c r="AH276" s="54">
        <f>IF(Q276="22",IF(ISNUMBER(SEARCH("econ",PAA_4[[#This Row],[Actividad3]])),"Económico",IF(ISNUMBER(SEARCH("alim",PAA_4[[#This Row],[Actividad3]])),"Alimentación",IF(ISNUMBER(SEARCH("educ",PAA_4[[#This Row],[Actividad3]])),"Educativo","Técnico"))),0)</f>
        <v>0</v>
      </c>
      <c r="AI276" s="47" t="e" cm="1">
        <f t="array" aca="1" ref="AI276" ca="1">_xlfn.XLOOKUP(PAA_4[[#This Row],[RCP-RUBRO]],[2]!COMPROMISOS_2024[[#All],[concatenado]],[2]!COMPROMISOS_2024[[#All],[Total pagado]],"",0)</f>
        <v>#NAME?</v>
      </c>
      <c r="AJ276" s="56">
        <f>IF(PAA_4[[#This Row],[BOLSA]]=0,0,SUMIFS([2]!COMPROMISOS_2024[[#All],[Total pagado]],[2]!COMPROMISOS_2024[[#All],[Bolsa]],PAA_4[[#This Row],[BOLSA]],[2]!COMPROMISOS_2024[[#All],[rubro]],PAA_4[[#This Row],[RCP-RUBRO]]))</f>
        <v>0</v>
      </c>
      <c r="AK276" s="47" t="e" cm="1">
        <f t="array" aca="1" ref="AK276" ca="1">_xlfn.XLOOKUP(PAA_4[[#This Row],[RCP-RUBRO]],[2]!COMPROMISOS_2024[[#All],[concatenado]],[2]!COMPROMISOS_2024[[#All],[Total Comprometido]],"",0)</f>
        <v>#NAME?</v>
      </c>
      <c r="AL276" s="47">
        <f>IF(PAA_4[[#This Row],[BOLSA]]=0,0,SUMIFS([2]!COMPROMISOS_2024[[#All],[Total Comprometido]],[2]!COMPROMISOS_2024[[#All],[Bolsa]],PAA_4[[#This Row],[BOLSA]],[2]!COMPROMISOS_2024[[#All],[concatenado]],PAA_4[[#This Row],[RCP-RUBRO]]))</f>
        <v>0</v>
      </c>
    </row>
    <row r="277" spans="1:38" s="19" customFormat="1" ht="31.5" customHeight="1">
      <c r="A277" s="47" t="s">
        <v>82</v>
      </c>
      <c r="B277" s="47" t="s">
        <v>42</v>
      </c>
      <c r="C277" s="47" t="str">
        <f>VLOOKUP(PAA_4[[#This Row],[PROYECTO (formulado)2]],[2]PROYECTOS!$G$1:$L$32,6,0)</f>
        <v>SUBGERENCIA ADMINISTRATIVA Y FINANCIERA</v>
      </c>
      <c r="D277" s="47" t="str">
        <f>+IF(PAA_4[[#This Row],[UNIDAD DE CONTRATACION (formulado)]]="Subgerencia Administrativa y Financiera","FUNCIONAMIENTO","INVERSIÓN")</f>
        <v>FUNCIONAMIENTO</v>
      </c>
      <c r="E277" s="48" t="str">
        <f>VLOOKUP(Q277,[2]PROYECTOS!$G$1:$K$32,5,0)</f>
        <v>Fortalecimiento de los sistemas de información y la gestión estratégica para el deporte, la recreación y la actividad física de Antioquia</v>
      </c>
      <c r="F277" s="48">
        <f>VLOOKUP(E277,[2]PROYECTOS!$K$1:$M$32,3,0)</f>
        <v>2024003050077</v>
      </c>
      <c r="G277" s="49" t="s">
        <v>1436</v>
      </c>
      <c r="H277" s="49" t="str">
        <f>VLOOKUP(Q277,[2]PROYECTOS!$V$1:$W$32,2,0)</f>
        <v>220387</v>
      </c>
      <c r="I277" s="50">
        <v>735300</v>
      </c>
      <c r="J277" s="51" t="s">
        <v>1331</v>
      </c>
      <c r="K277" s="47" t="str">
        <f ca="1">IF(ISNONTEXT(Y277)=TRUE,"CONTRATADO","NO CONTRATADO")</f>
        <v>CONTRATADO</v>
      </c>
      <c r="L277" s="47" t="s">
        <v>42</v>
      </c>
      <c r="M277" s="47" t="s">
        <v>42</v>
      </c>
      <c r="N277" s="52" t="s">
        <v>1437</v>
      </c>
      <c r="O277" s="51" t="e">
        <f>VLOOKUP(N277,[2]!RUBROS[#All],3,0)</f>
        <v>#REF!</v>
      </c>
      <c r="P277" s="53" t="e">
        <f>VLOOKUP(N277,[2]!RUBROS[#All],2,0)</f>
        <v>#REF!</v>
      </c>
      <c r="Q277" s="47" t="str">
        <f>+MID(N277,11,2)</f>
        <v>77</v>
      </c>
      <c r="R277" s="47" t="str">
        <f>+MID(N277,14,8)</f>
        <v>4-271130</v>
      </c>
      <c r="S277" s="54" t="s">
        <v>42</v>
      </c>
      <c r="T277" s="329" t="s">
        <v>42</v>
      </c>
      <c r="U277" s="326" t="e">
        <f ca="1">_xlfn.XLOOKUP(PAA_4[[#This Row],[ITEM]],[2]Contrato!A:A,[2]Contrato!Q:Q,"",0)</f>
        <v>#NAME?</v>
      </c>
      <c r="V277" s="47" t="s">
        <v>95</v>
      </c>
      <c r="W277" s="47" t="s">
        <v>42</v>
      </c>
      <c r="X277" s="47" t="s">
        <v>42</v>
      </c>
      <c r="Y277" s="55" t="e">
        <f ca="1">_xlfn.XLOOKUP(PAA_4[[#This Row],[ITEM]],[2]Contrato!A:A,[2]Contrato!B:B,"",0)</f>
        <v>#NAME?</v>
      </c>
      <c r="Z277" s="47" t="e">
        <f ca="1">_xlfn.XLOOKUP(PAA_4[[#This Row],[ITEM]],[2]Contrato!A:A,[2]Contrato!G:G,"",0)</f>
        <v>#NAME?</v>
      </c>
      <c r="AA277" s="47" t="e">
        <f ca="1">_xlfn.XLOOKUP(PAA_4[[#This Row],[ITEM]],[2]Contrato!A:A,[2]Contrato!T:T,"",0)</f>
        <v>#NAME?</v>
      </c>
      <c r="AB277" s="55" t="e">
        <f ca="1">+MAX(PAA_4[[#This Row],[Comprometido Contrato]],PAA_4[[#This Row],[Comprometido Bolsa]])</f>
        <v>#NAME?</v>
      </c>
      <c r="AC277" s="55" t="str">
        <f ca="1">IFERROR(I277-AB277,"")</f>
        <v/>
      </c>
      <c r="AD277" s="55" t="e">
        <f ca="1">IF(PAA_4[[#This Row],[ESTADO (formulado)]]="NO CONTRATADO",0,MAX(PAA_4[[#This Row],[Pago por Contrato]],PAA_4[[#This Row],[Pago por bolsa]]))</f>
        <v>#NAME?</v>
      </c>
      <c r="AE277" s="55" t="str">
        <f ca="1">+IFERROR(AB277-AD277,"")</f>
        <v/>
      </c>
      <c r="AF277" s="47" t="e">
        <f ca="1">+CONCATENATE(AA277,N277)</f>
        <v>#NAME?</v>
      </c>
      <c r="AG277" s="47">
        <f>IFERROR(_xlfn.NUMBERVALUE(MID(G277,1,8)),"")</f>
        <v>52011001</v>
      </c>
      <c r="AH277" s="54">
        <f>IF(Q277="22",IF(ISNUMBER(SEARCH("econ",PAA_4[[#This Row],[Actividad3]])),"Económico",IF(ISNUMBER(SEARCH("alim",PAA_4[[#This Row],[Actividad3]])),"Alimentación",IF(ISNUMBER(SEARCH("educ",PAA_4[[#This Row],[Actividad3]])),"Educativo","Técnico"))),0)</f>
        <v>0</v>
      </c>
      <c r="AI277" s="47" t="e" cm="1">
        <f t="array" aca="1" ref="AI277" ca="1">_xlfn.XLOOKUP(PAA_4[[#This Row],[RCP-RUBRO]],[2]!COMPROMISOS_2024[[#All],[concatenado]],[2]!COMPROMISOS_2024[[#All],[Total pagado]],"",0)</f>
        <v>#NAME?</v>
      </c>
      <c r="AJ277" s="56">
        <f>IF(PAA_4[[#This Row],[BOLSA]]=0,0,SUMIFS([2]!COMPROMISOS_2024[[#All],[Total pagado]],[2]!COMPROMISOS_2024[[#All],[Bolsa]],PAA_4[[#This Row],[BOLSA]],[2]!COMPROMISOS_2024[[#All],[rubro]],PAA_4[[#This Row],[RCP-RUBRO]]))</f>
        <v>0</v>
      </c>
      <c r="AK277" s="47" t="e" cm="1">
        <f t="array" aca="1" ref="AK277" ca="1">_xlfn.XLOOKUP(PAA_4[[#This Row],[RCP-RUBRO]],[2]!COMPROMISOS_2024[[#All],[concatenado]],[2]!COMPROMISOS_2024[[#All],[Total Comprometido]],"",0)</f>
        <v>#NAME?</v>
      </c>
      <c r="AL277" s="47">
        <f>IF(PAA_4[[#This Row],[BOLSA]]=0,0,SUMIFS([2]!COMPROMISOS_2024[[#All],[Total Comprometido]],[2]!COMPROMISOS_2024[[#All],[Bolsa]],PAA_4[[#This Row],[BOLSA]],[2]!COMPROMISOS_2024[[#All],[concatenado]],PAA_4[[#This Row],[RCP-RUBRO]]))</f>
        <v>0</v>
      </c>
    </row>
    <row r="278" spans="1:38" s="19" customFormat="1" ht="31.5" customHeight="1">
      <c r="A278" s="47" t="s">
        <v>82</v>
      </c>
      <c r="B278" s="47" t="s">
        <v>42</v>
      </c>
      <c r="C278" s="47" t="str">
        <f>VLOOKUP(PAA_4[[#This Row],[PROYECTO (formulado)2]],[2]PROYECTOS!$G$1:$L$32,6,0)</f>
        <v>SUBGERENCIA ADMINISTRATIVA Y FINANCIERA</v>
      </c>
      <c r="D278" s="47" t="str">
        <f>+IF(PAA_4[[#This Row],[UNIDAD DE CONTRATACION (formulado)]]="Subgerencia Administrativa y Financiera","FUNCIONAMIENTO","INVERSIÓN")</f>
        <v>FUNCIONAMIENTO</v>
      </c>
      <c r="E278" s="48" t="str">
        <f>VLOOKUP(Q278,[2]PROYECTOS!$G$1:$K$32,5,0)</f>
        <v>Fortalecimiento de los sistemas de información y la gestión estratégica para el deporte, la recreación y la actividad física de Antioquia</v>
      </c>
      <c r="F278" s="48">
        <f>VLOOKUP(E278,[2]PROYECTOS!$K$1:$M$32,3,0)</f>
        <v>2024003050077</v>
      </c>
      <c r="G278" s="49" t="s">
        <v>1436</v>
      </c>
      <c r="H278" s="49" t="str">
        <f>VLOOKUP(Q278,[2]PROYECTOS!$V$1:$W$32,2,0)</f>
        <v>220387</v>
      </c>
      <c r="I278" s="50">
        <v>229303</v>
      </c>
      <c r="J278" s="51" t="s">
        <v>1331</v>
      </c>
      <c r="K278" s="47" t="str">
        <f ca="1">IF(ISNONTEXT(Y278)=TRUE,"CONTRATADO","NO CONTRATADO")</f>
        <v>CONTRATADO</v>
      </c>
      <c r="L278" s="47" t="s">
        <v>42</v>
      </c>
      <c r="M278" s="47" t="s">
        <v>42</v>
      </c>
      <c r="N278" s="52" t="s">
        <v>1437</v>
      </c>
      <c r="O278" s="51" t="e">
        <f>VLOOKUP(N278,[2]!RUBROS[#All],3,0)</f>
        <v>#REF!</v>
      </c>
      <c r="P278" s="53" t="e">
        <f>VLOOKUP(N278,[2]!RUBROS[#All],2,0)</f>
        <v>#REF!</v>
      </c>
      <c r="Q278" s="47" t="str">
        <f>+MID(N278,11,2)</f>
        <v>77</v>
      </c>
      <c r="R278" s="47" t="str">
        <f>+MID(N278,14,8)</f>
        <v>4-271130</v>
      </c>
      <c r="S278" s="54" t="s">
        <v>42</v>
      </c>
      <c r="T278" s="329" t="s">
        <v>42</v>
      </c>
      <c r="U278" s="326" t="e">
        <f ca="1">_xlfn.XLOOKUP(PAA_4[[#This Row],[ITEM]],[2]Contrato!A:A,[2]Contrato!Q:Q,"",0)</f>
        <v>#NAME?</v>
      </c>
      <c r="V278" s="47" t="s">
        <v>95</v>
      </c>
      <c r="W278" s="47" t="s">
        <v>42</v>
      </c>
      <c r="X278" s="47" t="s">
        <v>42</v>
      </c>
      <c r="Y278" s="55" t="e">
        <f ca="1">_xlfn.XLOOKUP(PAA_4[[#This Row],[ITEM]],[2]Contrato!A:A,[2]Contrato!B:B,"",0)</f>
        <v>#NAME?</v>
      </c>
      <c r="Z278" s="47" t="e">
        <f ca="1">_xlfn.XLOOKUP(PAA_4[[#This Row],[ITEM]],[2]Contrato!A:A,[2]Contrato!G:G,"",0)</f>
        <v>#NAME?</v>
      </c>
      <c r="AA278" s="47" t="e">
        <f ca="1">_xlfn.XLOOKUP(PAA_4[[#This Row],[ITEM]],[2]Contrato!A:A,[2]Contrato!T:T,"",0)</f>
        <v>#NAME?</v>
      </c>
      <c r="AB278" s="55" t="e">
        <f ca="1">+MAX(PAA_4[[#This Row],[Comprometido Contrato]],PAA_4[[#This Row],[Comprometido Bolsa]])</f>
        <v>#NAME?</v>
      </c>
      <c r="AC278" s="55" t="str">
        <f ca="1">IFERROR(I278-AB278,"")</f>
        <v/>
      </c>
      <c r="AD278" s="55" t="e">
        <f ca="1">IF(PAA_4[[#This Row],[ESTADO (formulado)]]="NO CONTRATADO",0,MAX(PAA_4[[#This Row],[Pago por Contrato]],PAA_4[[#This Row],[Pago por bolsa]]))</f>
        <v>#NAME?</v>
      </c>
      <c r="AE278" s="55" t="str">
        <f ca="1">+IFERROR(AB278-AD278,"")</f>
        <v/>
      </c>
      <c r="AF278" s="47" t="e">
        <f ca="1">+CONCATENATE(AA278,N278)</f>
        <v>#NAME?</v>
      </c>
      <c r="AG278" s="47">
        <f>IFERROR(_xlfn.NUMBERVALUE(MID(G278,1,8)),"")</f>
        <v>52011001</v>
      </c>
      <c r="AH278" s="54">
        <f>IF(Q278="22",IF(ISNUMBER(SEARCH("econ",PAA_4[[#This Row],[Actividad3]])),"Económico",IF(ISNUMBER(SEARCH("alim",PAA_4[[#This Row],[Actividad3]])),"Alimentación",IF(ISNUMBER(SEARCH("educ",PAA_4[[#This Row],[Actividad3]])),"Educativo","Técnico"))),0)</f>
        <v>0</v>
      </c>
      <c r="AI278" s="47" t="e" cm="1">
        <f t="array" aca="1" ref="AI278" ca="1">_xlfn.XLOOKUP(PAA_4[[#This Row],[RCP-RUBRO]],[2]!COMPROMISOS_2024[[#All],[concatenado]],[2]!COMPROMISOS_2024[[#All],[Total pagado]],"",0)</f>
        <v>#NAME?</v>
      </c>
      <c r="AJ278" s="56">
        <f>IF(PAA_4[[#This Row],[BOLSA]]=0,0,SUMIFS([2]!COMPROMISOS_2024[[#All],[Total pagado]],[2]!COMPROMISOS_2024[[#All],[Bolsa]],PAA_4[[#This Row],[BOLSA]],[2]!COMPROMISOS_2024[[#All],[rubro]],PAA_4[[#This Row],[RCP-RUBRO]]))</f>
        <v>0</v>
      </c>
      <c r="AK278" s="47" t="e" cm="1">
        <f t="array" aca="1" ref="AK278" ca="1">_xlfn.XLOOKUP(PAA_4[[#This Row],[RCP-RUBRO]],[2]!COMPROMISOS_2024[[#All],[concatenado]],[2]!COMPROMISOS_2024[[#All],[Total Comprometido]],"",0)</f>
        <v>#NAME?</v>
      </c>
      <c r="AL278" s="47">
        <f>IF(PAA_4[[#This Row],[BOLSA]]=0,0,SUMIFS([2]!COMPROMISOS_2024[[#All],[Total Comprometido]],[2]!COMPROMISOS_2024[[#All],[Bolsa]],PAA_4[[#This Row],[BOLSA]],[2]!COMPROMISOS_2024[[#All],[concatenado]],PAA_4[[#This Row],[RCP-RUBRO]]))</f>
        <v>0</v>
      </c>
    </row>
    <row r="279" spans="1:38" s="19" customFormat="1" ht="31.5" customHeight="1">
      <c r="A279" s="47" t="s">
        <v>82</v>
      </c>
      <c r="B279" s="47" t="s">
        <v>42</v>
      </c>
      <c r="C279" s="47" t="str">
        <f>VLOOKUP(PAA_4[[#This Row],[PROYECTO (formulado)2]],[2]PROYECTOS!$G$1:$L$32,6,0)</f>
        <v>SUBGERENCIA ADMINISTRATIVA Y FINANCIERA</v>
      </c>
      <c r="D279" s="47" t="str">
        <f>+IF(PAA_4[[#This Row],[UNIDAD DE CONTRATACION (formulado)]]="Subgerencia Administrativa y Financiera","FUNCIONAMIENTO","INVERSIÓN")</f>
        <v>FUNCIONAMIENTO</v>
      </c>
      <c r="E279" s="48" t="str">
        <f>VLOOKUP(Q279,[2]PROYECTOS!$G$1:$K$32,5,0)</f>
        <v>Fortalecimiento de los sistemas de información y la gestión estratégica para el deporte, la recreación y la actividad física de Antioquia</v>
      </c>
      <c r="F279" s="48">
        <f>VLOOKUP(E279,[2]PROYECTOS!$K$1:$M$32,3,0)</f>
        <v>2024003050077</v>
      </c>
      <c r="G279" s="49" t="s">
        <v>1436</v>
      </c>
      <c r="H279" s="49" t="str">
        <f>VLOOKUP(Q279,[2]PROYECTOS!$V$1:$W$32,2,0)</f>
        <v>220387</v>
      </c>
      <c r="I279" s="50">
        <v>229302</v>
      </c>
      <c r="J279" s="51" t="s">
        <v>1331</v>
      </c>
      <c r="K279" s="47" t="str">
        <f ca="1">IF(ISNONTEXT(Y279)=TRUE,"CONTRATADO","NO CONTRATADO")</f>
        <v>CONTRATADO</v>
      </c>
      <c r="L279" s="47" t="s">
        <v>42</v>
      </c>
      <c r="M279" s="47" t="s">
        <v>42</v>
      </c>
      <c r="N279" s="52" t="s">
        <v>1437</v>
      </c>
      <c r="O279" s="51" t="e">
        <f>VLOOKUP(N279,[2]!RUBROS[#All],3,0)</f>
        <v>#REF!</v>
      </c>
      <c r="P279" s="53" t="e">
        <f>VLOOKUP(N279,[2]!RUBROS[#All],2,0)</f>
        <v>#REF!</v>
      </c>
      <c r="Q279" s="47" t="str">
        <f>+MID(N279,11,2)</f>
        <v>77</v>
      </c>
      <c r="R279" s="47" t="str">
        <f>+MID(N279,14,8)</f>
        <v>4-271130</v>
      </c>
      <c r="S279" s="54" t="s">
        <v>42</v>
      </c>
      <c r="T279" s="329" t="s">
        <v>42</v>
      </c>
      <c r="U279" s="326" t="e">
        <f ca="1">_xlfn.XLOOKUP(PAA_4[[#This Row],[ITEM]],[2]Contrato!A:A,[2]Contrato!Q:Q,"",0)</f>
        <v>#NAME?</v>
      </c>
      <c r="V279" s="47" t="s">
        <v>95</v>
      </c>
      <c r="W279" s="47" t="s">
        <v>42</v>
      </c>
      <c r="X279" s="47" t="s">
        <v>42</v>
      </c>
      <c r="Y279" s="55" t="e">
        <f ca="1">_xlfn.XLOOKUP(PAA_4[[#This Row],[ITEM]],[2]Contrato!A:A,[2]Contrato!B:B,"",0)</f>
        <v>#NAME?</v>
      </c>
      <c r="Z279" s="47" t="e">
        <f ca="1">_xlfn.XLOOKUP(PAA_4[[#This Row],[ITEM]],[2]Contrato!A:A,[2]Contrato!G:G,"",0)</f>
        <v>#NAME?</v>
      </c>
      <c r="AA279" s="47" t="e">
        <f ca="1">_xlfn.XLOOKUP(PAA_4[[#This Row],[ITEM]],[2]Contrato!A:A,[2]Contrato!T:T,"",0)</f>
        <v>#NAME?</v>
      </c>
      <c r="AB279" s="55" t="e">
        <f ca="1">+MAX(PAA_4[[#This Row],[Comprometido Contrato]],PAA_4[[#This Row],[Comprometido Bolsa]])</f>
        <v>#NAME?</v>
      </c>
      <c r="AC279" s="55" t="str">
        <f ca="1">IFERROR(I279-AB279,"")</f>
        <v/>
      </c>
      <c r="AD279" s="55" t="e">
        <f ca="1">IF(PAA_4[[#This Row],[ESTADO (formulado)]]="NO CONTRATADO",0,MAX(PAA_4[[#This Row],[Pago por Contrato]],PAA_4[[#This Row],[Pago por bolsa]]))</f>
        <v>#NAME?</v>
      </c>
      <c r="AE279" s="55" t="str">
        <f ca="1">+IFERROR(AB279-AD279,"")</f>
        <v/>
      </c>
      <c r="AF279" s="47" t="e">
        <f ca="1">+CONCATENATE(AA279,N279)</f>
        <v>#NAME?</v>
      </c>
      <c r="AG279" s="47">
        <f>IFERROR(_xlfn.NUMBERVALUE(MID(G279,1,8)),"")</f>
        <v>52011001</v>
      </c>
      <c r="AH279" s="54">
        <f>IF(Q279="22",IF(ISNUMBER(SEARCH("econ",PAA_4[[#This Row],[Actividad3]])),"Económico",IF(ISNUMBER(SEARCH("alim",PAA_4[[#This Row],[Actividad3]])),"Alimentación",IF(ISNUMBER(SEARCH("educ",PAA_4[[#This Row],[Actividad3]])),"Educativo","Técnico"))),0)</f>
        <v>0</v>
      </c>
      <c r="AI279" s="47" t="e" cm="1">
        <f t="array" aca="1" ref="AI279" ca="1">_xlfn.XLOOKUP(PAA_4[[#This Row],[RCP-RUBRO]],[2]!COMPROMISOS_2024[[#All],[concatenado]],[2]!COMPROMISOS_2024[[#All],[Total pagado]],"",0)</f>
        <v>#NAME?</v>
      </c>
      <c r="AJ279" s="56">
        <f>IF(PAA_4[[#This Row],[BOLSA]]=0,0,SUMIFS([2]!COMPROMISOS_2024[[#All],[Total pagado]],[2]!COMPROMISOS_2024[[#All],[Bolsa]],PAA_4[[#This Row],[BOLSA]],[2]!COMPROMISOS_2024[[#All],[rubro]],PAA_4[[#This Row],[RCP-RUBRO]]))</f>
        <v>0</v>
      </c>
      <c r="AK279" s="47" t="e" cm="1">
        <f t="array" aca="1" ref="AK279" ca="1">_xlfn.XLOOKUP(PAA_4[[#This Row],[RCP-RUBRO]],[2]!COMPROMISOS_2024[[#All],[concatenado]],[2]!COMPROMISOS_2024[[#All],[Total Comprometido]],"",0)</f>
        <v>#NAME?</v>
      </c>
      <c r="AL279" s="47">
        <f>IF(PAA_4[[#This Row],[BOLSA]]=0,0,SUMIFS([2]!COMPROMISOS_2024[[#All],[Total Comprometido]],[2]!COMPROMISOS_2024[[#All],[Bolsa]],PAA_4[[#This Row],[BOLSA]],[2]!COMPROMISOS_2024[[#All],[concatenado]],PAA_4[[#This Row],[RCP-RUBRO]]))</f>
        <v>0</v>
      </c>
    </row>
    <row r="280" spans="1:38" s="19" customFormat="1" ht="31.5" customHeight="1">
      <c r="A280" s="47">
        <v>38</v>
      </c>
      <c r="B280" s="47">
        <v>80111600</v>
      </c>
      <c r="C280" s="47" t="str">
        <f>VLOOKUP(PAA_4[[#This Row],[PROYECTO (formulado)2]],[2]PROYECTOS!$G$1:$L$32,6,0)</f>
        <v>OFICINADECOMUNICACIONES</v>
      </c>
      <c r="D280" s="47" t="str">
        <f>+IF(PAA_4[[#This Row],[UNIDAD DE CONTRATACION (formulado)]]="Subgerencia Administrativa y Financiera","FUNCIONAMIENTO","INVERSIÓN")</f>
        <v>INVERSIÓN</v>
      </c>
      <c r="E280" s="48" t="str">
        <f>VLOOKUP(Q280,[2]PROYECTOS!$G$1:$K$32,5,0)</f>
        <v>FORTALECIMIENTO_DE_LA_IMAGEN_INSTITUCIONAL_COMO_REFERENTE_SOCIAL_PARA_EL_DEPARTAMENTO_DE_ANTIOQUIA</v>
      </c>
      <c r="F280" s="48">
        <f>VLOOKUP(E280,[2]PROYECTOS!$K$1:$M$32,3,0)</f>
        <v>2021003050071</v>
      </c>
      <c r="G280" s="49" t="s">
        <v>157</v>
      </c>
      <c r="H280" s="49" t="str">
        <f>VLOOKUP(Q280,[2]PROYECTOS!$V$1:$W$32,2,0)</f>
        <v>050067</v>
      </c>
      <c r="I280" s="50">
        <f>81368469-1414875</f>
        <v>79953594</v>
      </c>
      <c r="J280" s="51" t="s">
        <v>1438</v>
      </c>
      <c r="K280" s="47" t="str">
        <f t="shared" ref="K280:K283" ca="1" si="144">IF(ISNONTEXT(Y280)=TRUE,"CONTRATADO","NO CONTRATADO")</f>
        <v>CONTRATADO</v>
      </c>
      <c r="L280" s="47" t="s">
        <v>94</v>
      </c>
      <c r="M280" s="47" t="s">
        <v>1297</v>
      </c>
      <c r="N280" s="52" t="s">
        <v>158</v>
      </c>
      <c r="O280" s="51" t="e">
        <f>VLOOKUP(N280,[2]!RUBROS[#All],3,0)</f>
        <v>#REF!</v>
      </c>
      <c r="P280" s="53" t="e">
        <f>VLOOKUP(N280,[2]!RUBROS[#All],2,0)</f>
        <v>#REF!</v>
      </c>
      <c r="Q280" s="47" t="str">
        <f t="shared" ref="Q280:Q283" si="145">+MID(N280,11,2)</f>
        <v>92</v>
      </c>
      <c r="R280" s="47" t="str">
        <f t="shared" ref="R280:R283" si="146">+MID(N280,14,8)</f>
        <v>0-101024</v>
      </c>
      <c r="S280" s="54">
        <v>12</v>
      </c>
      <c r="T280" s="59" t="s">
        <v>46</v>
      </c>
      <c r="U280" s="326" t="e">
        <f ca="1">_xlfn.XLOOKUP(PAA_4[[#This Row],[ITEM]],[2]Contrato!A:A,[2]Contrato!Q:Q,"",0)</f>
        <v>#NAME?</v>
      </c>
      <c r="V280" s="47" t="s">
        <v>95</v>
      </c>
      <c r="W280" s="47" t="s">
        <v>83</v>
      </c>
      <c r="X280" s="47" t="s">
        <v>83</v>
      </c>
      <c r="Y280" s="55" t="e">
        <f ca="1">_xlfn.XLOOKUP(PAA_4[[#This Row],[ITEM]],[2]Contrato!A:A,[2]Contrato!B:B,"",0)</f>
        <v>#NAME?</v>
      </c>
      <c r="Z280" s="47" t="e">
        <f ca="1">_xlfn.XLOOKUP(PAA_4[[#This Row],[ITEM]],[2]Contrato!A:A,[2]Contrato!G:G,"",0)</f>
        <v>#NAME?</v>
      </c>
      <c r="AA280" s="47" t="e">
        <f ca="1">_xlfn.XLOOKUP(PAA_4[[#This Row],[ITEM]],[2]Contrato!A:A,[2]Contrato!T:T,"",0)</f>
        <v>#NAME?</v>
      </c>
      <c r="AB280" s="55" t="e">
        <f ca="1">+MAX(PAA_4[[#This Row],[Comprometido Contrato]],PAA_4[[#This Row],[Comprometido Bolsa]])</f>
        <v>#NAME?</v>
      </c>
      <c r="AC280" s="55" t="str">
        <f t="shared" ref="AC280:AC283" ca="1" si="147">IFERROR(I280-AB280,"")</f>
        <v/>
      </c>
      <c r="AD280" s="55" t="e">
        <f ca="1">IF(PAA_4[[#This Row],[ESTADO (formulado)]]="NO CONTRATADO",0,MAX(PAA_4[[#This Row],[Pago por Contrato]],PAA_4[[#This Row],[Pago por bolsa]]))</f>
        <v>#NAME?</v>
      </c>
      <c r="AE280" s="55" t="str">
        <f t="shared" ref="AE280:AE283" ca="1" si="148">+IFERROR(AB280-AD280,"")</f>
        <v/>
      </c>
      <c r="AF280" s="47" t="e">
        <f t="shared" ref="AF280:AF283" ca="1" si="149">+CONCATENATE(AA280,N280)</f>
        <v>#NAME?</v>
      </c>
      <c r="AG280" s="47">
        <f t="shared" ref="AG280:AG283" si="150">IFERROR(_xlfn.NUMBERVALUE(MID(G280,1,8)),"")</f>
        <v>41080114</v>
      </c>
      <c r="AH280" s="54">
        <f>IF(Q280="22",IF(ISNUMBER(SEARCH("econ",PAA_4[[#This Row],[Actividad3]])),"Económico",IF(ISNUMBER(SEARCH("alim",PAA_4[[#This Row],[Actividad3]])),"Alimentación",IF(ISNUMBER(SEARCH("educ",PAA_4[[#This Row],[Actividad3]])),"Educativo","Técnico"))),0)</f>
        <v>0</v>
      </c>
      <c r="AI280" s="47" t="e" cm="1">
        <f t="array" aca="1" ref="AI280" ca="1">_xlfn.XLOOKUP(PAA_4[[#This Row],[RCP-RUBRO]],[2]!COMPROMISOS_2024[[#All],[concatenado]],[2]!COMPROMISOS_2024[[#All],[Total pagado]],"",0)</f>
        <v>#NAME?</v>
      </c>
      <c r="AJ280" s="56">
        <f>IF(PAA_4[[#This Row],[BOLSA]]=0,0,SUMIFS([2]!COMPROMISOS_2024[[#All],[Total pagado]],[2]!COMPROMISOS_2024[[#All],[Bolsa]],PAA_4[[#This Row],[BOLSA]],[2]!COMPROMISOS_2024[[#All],[rubro]],PAA_4[[#This Row],[RCP-RUBRO]]))</f>
        <v>0</v>
      </c>
      <c r="AK280" s="47" t="e" cm="1">
        <f t="array" aca="1" ref="AK280" ca="1">_xlfn.XLOOKUP(PAA_4[[#This Row],[RCP-RUBRO]],[2]!COMPROMISOS_2024[[#All],[concatenado]],[2]!COMPROMISOS_2024[[#All],[Total Comprometido]],"",0)</f>
        <v>#NAME?</v>
      </c>
      <c r="AL280" s="47">
        <f>IF(PAA_4[[#This Row],[BOLSA]]=0,0,SUMIFS([2]!COMPROMISOS_2024[[#All],[Total Comprometido]],[2]!COMPROMISOS_2024[[#All],[Bolsa]],PAA_4[[#This Row],[BOLSA]],[2]!COMPROMISOS_2024[[#All],[concatenado]],PAA_4[[#This Row],[RCP-RUBRO]]))</f>
        <v>0</v>
      </c>
    </row>
    <row r="281" spans="1:38" s="19" customFormat="1" ht="31.5" customHeight="1">
      <c r="A281" s="47" t="s">
        <v>82</v>
      </c>
      <c r="B281" s="47">
        <v>80111600</v>
      </c>
      <c r="C281" s="47" t="str">
        <f>VLOOKUP(PAA_4[[#This Row],[PROYECTO (formulado)2]],[2]PROYECTOS!$G$1:$L$32,6,0)</f>
        <v>OFICINADECOMUNICACIONES</v>
      </c>
      <c r="D281" s="47" t="str">
        <f>+IF(PAA_4[[#This Row],[UNIDAD DE CONTRATACION (formulado)]]="Subgerencia Administrativa y Financiera","FUNCIONAMIENTO","INVERSIÓN")</f>
        <v>INVERSIÓN</v>
      </c>
      <c r="E281" s="48" t="str">
        <f>VLOOKUP(Q281,[2]PROYECTOS!$G$1:$K$32,5,0)</f>
        <v>FORTALECIMIENTO_DE_LA_IMAGEN_INSTITUCIONAL_COMO_REFERENTE_SOCIAL_PARA_EL_DEPARTAMENTO_DE_ANTIOQUIA</v>
      </c>
      <c r="F281" s="48">
        <f>VLOOKUP(E281,[2]PROYECTOS!$K$1:$M$32,3,0)</f>
        <v>2021003050071</v>
      </c>
      <c r="G281" s="49" t="s">
        <v>157</v>
      </c>
      <c r="H281" s="49" t="str">
        <f>VLOOKUP(Q281,[2]PROYECTOS!$V$1:$W$32,2,0)</f>
        <v>050067</v>
      </c>
      <c r="I281" s="50">
        <v>0</v>
      </c>
      <c r="J281" s="51" t="s">
        <v>126</v>
      </c>
      <c r="K281" s="47" t="str">
        <f t="shared" ca="1" si="144"/>
        <v>CONTRATADO</v>
      </c>
      <c r="L281" s="47" t="s">
        <v>94</v>
      </c>
      <c r="M281" s="47" t="s">
        <v>1297</v>
      </c>
      <c r="N281" s="52" t="s">
        <v>158</v>
      </c>
      <c r="O281" s="51" t="e">
        <f>VLOOKUP(N281,[2]!RUBROS[#All],3,0)</f>
        <v>#REF!</v>
      </c>
      <c r="P281" s="53" t="e">
        <f>VLOOKUP(N281,[2]!RUBROS[#All],2,0)</f>
        <v>#REF!</v>
      </c>
      <c r="Q281" s="47" t="str">
        <f t="shared" si="145"/>
        <v>92</v>
      </c>
      <c r="R281" s="47" t="str">
        <f t="shared" si="146"/>
        <v>0-101024</v>
      </c>
      <c r="S281" s="54"/>
      <c r="T281" s="59" t="s">
        <v>46</v>
      </c>
      <c r="U281" s="326" t="e">
        <f ca="1">_xlfn.XLOOKUP(PAA_4[[#This Row],[ITEM]],[2]Contrato!A:A,[2]Contrato!Q:Q,"",0)</f>
        <v>#NAME?</v>
      </c>
      <c r="V281" s="47" t="s">
        <v>95</v>
      </c>
      <c r="W281" s="47"/>
      <c r="X281" s="47" t="s">
        <v>83</v>
      </c>
      <c r="Y281" s="55" t="e">
        <f ca="1">_xlfn.XLOOKUP(PAA_4[[#This Row],[ITEM]],[2]Contrato!A:A,[2]Contrato!B:B,"",0)</f>
        <v>#NAME?</v>
      </c>
      <c r="Z281" s="47" t="e">
        <f ca="1">_xlfn.XLOOKUP(PAA_4[[#This Row],[ITEM]],[2]Contrato!A:A,[2]Contrato!G:G,"",0)</f>
        <v>#NAME?</v>
      </c>
      <c r="AA281" s="47" t="e">
        <f ca="1">_xlfn.XLOOKUP(PAA_4[[#This Row],[ITEM]],[2]Contrato!A:A,[2]Contrato!T:T,"",0)</f>
        <v>#NAME?</v>
      </c>
      <c r="AB281" s="55" t="e">
        <f ca="1">+MAX(PAA_4[[#This Row],[Comprometido Contrato]],PAA_4[[#This Row],[Comprometido Bolsa]])</f>
        <v>#NAME?</v>
      </c>
      <c r="AC281" s="55" t="str">
        <f t="shared" ca="1" si="147"/>
        <v/>
      </c>
      <c r="AD281" s="55" t="e">
        <f ca="1">IF(PAA_4[[#This Row],[ESTADO (formulado)]]="NO CONTRATADO",0,MAX(PAA_4[[#This Row],[Pago por Contrato]],PAA_4[[#This Row],[Pago por bolsa]]))</f>
        <v>#NAME?</v>
      </c>
      <c r="AE281" s="55" t="str">
        <f t="shared" ca="1" si="148"/>
        <v/>
      </c>
      <c r="AF281" s="47" t="e">
        <f t="shared" ca="1" si="149"/>
        <v>#NAME?</v>
      </c>
      <c r="AG281" s="47">
        <f t="shared" si="150"/>
        <v>41080114</v>
      </c>
      <c r="AH281" s="54">
        <f>IF(Q281="22",IF(ISNUMBER(SEARCH("econ",PAA_4[[#This Row],[Actividad3]])),"Económico",IF(ISNUMBER(SEARCH("alim",PAA_4[[#This Row],[Actividad3]])),"Alimentación",IF(ISNUMBER(SEARCH("educ",PAA_4[[#This Row],[Actividad3]])),"Educativo","Técnico"))),0)</f>
        <v>0</v>
      </c>
      <c r="AI281" s="47" t="e" cm="1">
        <f t="array" aca="1" ref="AI281" ca="1">_xlfn.XLOOKUP(PAA_4[[#This Row],[RCP-RUBRO]],[2]!COMPROMISOS_2024[[#All],[concatenado]],[2]!COMPROMISOS_2024[[#All],[Total pagado]],"",0)</f>
        <v>#NAME?</v>
      </c>
      <c r="AJ281" s="56">
        <f>IF(PAA_4[[#This Row],[BOLSA]]=0,0,SUMIFS([2]!COMPROMISOS_2024[[#All],[Total pagado]],[2]!COMPROMISOS_2024[[#All],[Bolsa]],PAA_4[[#This Row],[BOLSA]],[2]!COMPROMISOS_2024[[#All],[rubro]],PAA_4[[#This Row],[RCP-RUBRO]]))</f>
        <v>0</v>
      </c>
      <c r="AK281" s="47" t="e" cm="1">
        <f t="array" aca="1" ref="AK281" ca="1">_xlfn.XLOOKUP(PAA_4[[#This Row],[RCP-RUBRO]],[2]!COMPROMISOS_2024[[#All],[concatenado]],[2]!COMPROMISOS_2024[[#All],[Total Comprometido]],"",0)</f>
        <v>#NAME?</v>
      </c>
      <c r="AL281" s="47">
        <f>IF(PAA_4[[#This Row],[BOLSA]]=0,0,SUMIFS([2]!COMPROMISOS_2024[[#All],[Total Comprometido]],[2]!COMPROMISOS_2024[[#All],[Bolsa]],PAA_4[[#This Row],[BOLSA]],[2]!COMPROMISOS_2024[[#All],[concatenado]],PAA_4[[#This Row],[RCP-RUBRO]]))</f>
        <v>0</v>
      </c>
    </row>
    <row r="282" spans="1:38" s="19" customFormat="1" ht="31.5" customHeight="1">
      <c r="A282" s="47">
        <v>632</v>
      </c>
      <c r="B282" s="51" t="s">
        <v>159</v>
      </c>
      <c r="C282" s="47" t="str">
        <f>VLOOKUP(PAA_4[[#This Row],[PROYECTO (formulado)2]],[2]PROYECTOS!$G$1:$L$32,6,0)</f>
        <v>OFICINADECOMUNICACIONES</v>
      </c>
      <c r="D282" s="47" t="str">
        <f>+IF(PAA_4[[#This Row],[UNIDAD DE CONTRATACION (formulado)]]="Subgerencia Administrativa y Financiera","FUNCIONAMIENTO","INVERSIÓN")</f>
        <v>INVERSIÓN</v>
      </c>
      <c r="E282" s="48" t="str">
        <f>VLOOKUP(Q282,[2]PROYECTOS!$G$1:$K$32,5,0)</f>
        <v>FORTALECIMIENTO_DE_LA_IMAGEN_INSTITUCIONAL_COMO_REFERENTE_SOCIAL_PARA_EL_DEPARTAMENTO_DE_ANTIOQUIA</v>
      </c>
      <c r="F282" s="48">
        <f>VLOOKUP(E282,[2]PROYECTOS!$K$1:$M$32,3,0)</f>
        <v>2021003050071</v>
      </c>
      <c r="G282" s="49" t="s">
        <v>160</v>
      </c>
      <c r="H282" s="49" t="str">
        <f>VLOOKUP(Q282,[2]PROYECTOS!$V$1:$W$32,2,0)</f>
        <v>050067</v>
      </c>
      <c r="I282" s="50">
        <v>1000000000</v>
      </c>
      <c r="J282" s="51" t="s">
        <v>1439</v>
      </c>
      <c r="K282" s="47" t="str">
        <f t="shared" ca="1" si="144"/>
        <v>CONTRATADO</v>
      </c>
      <c r="L282" s="47" t="s">
        <v>94</v>
      </c>
      <c r="M282" s="47" t="s">
        <v>161</v>
      </c>
      <c r="N282" s="52" t="s">
        <v>162</v>
      </c>
      <c r="O282" s="51" t="e">
        <f>VLOOKUP(N282,[2]!RUBROS[#All],3,0)</f>
        <v>#REF!</v>
      </c>
      <c r="P282" s="53" t="e">
        <f>VLOOKUP(N282,[2]!RUBROS[#All],2,0)</f>
        <v>#REF!</v>
      </c>
      <c r="Q282" s="47" t="str">
        <f t="shared" si="145"/>
        <v>92</v>
      </c>
      <c r="R282" s="47" t="str">
        <f t="shared" si="146"/>
        <v>0-271130</v>
      </c>
      <c r="S282" s="54">
        <v>9</v>
      </c>
      <c r="T282" s="59" t="s">
        <v>46</v>
      </c>
      <c r="U282" s="326" t="e">
        <f ca="1">_xlfn.XLOOKUP(PAA_4[[#This Row],[ITEM]],[2]Contrato!A:A,[2]Contrato!Q:Q,"",0)</f>
        <v>#NAME?</v>
      </c>
      <c r="V282" s="47" t="s">
        <v>95</v>
      </c>
      <c r="W282" s="47" t="s">
        <v>96</v>
      </c>
      <c r="X282" s="47" t="s">
        <v>96</v>
      </c>
      <c r="Y282" s="55" t="e">
        <f ca="1">_xlfn.XLOOKUP(PAA_4[[#This Row],[ITEM]],[2]Contrato!A:A,[2]Contrato!B:B,"",0)</f>
        <v>#NAME?</v>
      </c>
      <c r="Z282" s="47" t="e">
        <f ca="1">_xlfn.XLOOKUP(PAA_4[[#This Row],[ITEM]],[2]Contrato!A:A,[2]Contrato!G:G,"",0)</f>
        <v>#NAME?</v>
      </c>
      <c r="AA282" s="47" t="e">
        <f ca="1">_xlfn.XLOOKUP(PAA_4[[#This Row],[ITEM]],[2]Contrato!A:A,[2]Contrato!T:T,"",0)</f>
        <v>#NAME?</v>
      </c>
      <c r="AB282" s="55" t="e">
        <f ca="1">+MAX(PAA_4[[#This Row],[Comprometido Contrato]],PAA_4[[#This Row],[Comprometido Bolsa]])</f>
        <v>#NAME?</v>
      </c>
      <c r="AC282" s="55" t="str">
        <f t="shared" ca="1" si="147"/>
        <v/>
      </c>
      <c r="AD282" s="55" t="e">
        <f ca="1">IF(PAA_4[[#This Row],[ESTADO (formulado)]]="NO CONTRATADO",0,MAX(PAA_4[[#This Row],[Pago por Contrato]],PAA_4[[#This Row],[Pago por bolsa]]))</f>
        <v>#NAME?</v>
      </c>
      <c r="AE282" s="55" t="str">
        <f t="shared" ca="1" si="148"/>
        <v/>
      </c>
      <c r="AF282" s="47" t="e">
        <f t="shared" ca="1" si="149"/>
        <v>#NAME?</v>
      </c>
      <c r="AG282" s="47">
        <f t="shared" si="150"/>
        <v>41080113</v>
      </c>
      <c r="AH282" s="54">
        <f>IF(Q282="22",IF(ISNUMBER(SEARCH("econ",PAA_4[[#This Row],[Actividad3]])),"Económico",IF(ISNUMBER(SEARCH("alim",PAA_4[[#This Row],[Actividad3]])),"Alimentación",IF(ISNUMBER(SEARCH("educ",PAA_4[[#This Row],[Actividad3]])),"Educativo","Técnico"))),0)</f>
        <v>0</v>
      </c>
      <c r="AI282" s="47" t="e" cm="1">
        <f t="array" aca="1" ref="AI282" ca="1">_xlfn.XLOOKUP(PAA_4[[#This Row],[RCP-RUBRO]],[2]!COMPROMISOS_2024[[#All],[concatenado]],[2]!COMPROMISOS_2024[[#All],[Total pagado]],"",0)</f>
        <v>#NAME?</v>
      </c>
      <c r="AJ282" s="56">
        <f>IF(PAA_4[[#This Row],[BOLSA]]=0,0,SUMIFS([2]!COMPROMISOS_2024[[#All],[Total pagado]],[2]!COMPROMISOS_2024[[#All],[Bolsa]],PAA_4[[#This Row],[BOLSA]],[2]!COMPROMISOS_2024[[#All],[rubro]],PAA_4[[#This Row],[RCP-RUBRO]]))</f>
        <v>0</v>
      </c>
      <c r="AK282" s="47" t="e" cm="1">
        <f t="array" aca="1" ref="AK282" ca="1">_xlfn.XLOOKUP(PAA_4[[#This Row],[RCP-RUBRO]],[2]!COMPROMISOS_2024[[#All],[concatenado]],[2]!COMPROMISOS_2024[[#All],[Total Comprometido]],"",0)</f>
        <v>#NAME?</v>
      </c>
      <c r="AL282" s="47">
        <f>IF(PAA_4[[#This Row],[BOLSA]]=0,0,SUMIFS([2]!COMPROMISOS_2024[[#All],[Total Comprometido]],[2]!COMPROMISOS_2024[[#All],[Bolsa]],PAA_4[[#This Row],[BOLSA]],[2]!COMPROMISOS_2024[[#All],[concatenado]],PAA_4[[#This Row],[RCP-RUBRO]]))</f>
        <v>0</v>
      </c>
    </row>
    <row r="283" spans="1:38" s="19" customFormat="1" ht="31.5" customHeight="1">
      <c r="A283" s="47">
        <v>39</v>
      </c>
      <c r="B283" s="72" t="s">
        <v>1440</v>
      </c>
      <c r="C283" s="47" t="str">
        <f>VLOOKUP(PAA_4[[#This Row],[PROYECTO (formulado)2]],[2]PROYECTOS!$G$1:$L$32,6,0)</f>
        <v>OFICINADECOMUNICACIONES</v>
      </c>
      <c r="D283" s="47" t="str">
        <f>+IF(PAA_4[[#This Row],[UNIDAD DE CONTRATACION (formulado)]]="Subgerencia Administrativa y Financiera","FUNCIONAMIENTO","INVERSIÓN")</f>
        <v>INVERSIÓN</v>
      </c>
      <c r="E283" s="48" t="str">
        <f>VLOOKUP(Q283,[2]PROYECTOS!$G$1:$K$32,5,0)</f>
        <v>FORTALECIMIENTO_DE_LA_IMAGEN_INSTITUCIONAL_COMO_REFERENTE_SOCIAL_PARA_EL_DEPARTAMENTO_DE_ANTIOQUIA</v>
      </c>
      <c r="F283" s="48">
        <f>VLOOKUP(E283,[2]PROYECTOS!$K$1:$M$32,3,0)</f>
        <v>2021003050071</v>
      </c>
      <c r="G283" s="49" t="s">
        <v>157</v>
      </c>
      <c r="H283" s="49" t="str">
        <f>VLOOKUP(Q283,[2]PROYECTOS!$V$1:$W$32,2,0)</f>
        <v>050067</v>
      </c>
      <c r="I283" s="50">
        <v>60506854</v>
      </c>
      <c r="J283" s="51" t="s">
        <v>1441</v>
      </c>
      <c r="K283" s="47" t="str">
        <f t="shared" ca="1" si="144"/>
        <v>CONTRATADO</v>
      </c>
      <c r="L283" s="47" t="s">
        <v>94</v>
      </c>
      <c r="M283" s="47" t="s">
        <v>161</v>
      </c>
      <c r="N283" s="52" t="s">
        <v>163</v>
      </c>
      <c r="O283" s="51" t="e">
        <f>VLOOKUP(N283,[2]!RUBROS[#All],3,0)</f>
        <v>#REF!</v>
      </c>
      <c r="P283" s="53" t="e">
        <f>VLOOKUP(N283,[2]!RUBROS[#All],2,0)</f>
        <v>#REF!</v>
      </c>
      <c r="Q283" s="47" t="str">
        <f t="shared" si="145"/>
        <v>92</v>
      </c>
      <c r="R283" s="47" t="str">
        <f t="shared" si="146"/>
        <v>0-101024</v>
      </c>
      <c r="S283" s="54">
        <v>5</v>
      </c>
      <c r="T283" s="59" t="s">
        <v>46</v>
      </c>
      <c r="U283" s="326" t="e">
        <f ca="1">_xlfn.XLOOKUP(PAA_4[[#This Row],[ITEM]],[2]Contrato!A:A,[2]Contrato!Q:Q,"",0)</f>
        <v>#NAME?</v>
      </c>
      <c r="V283" s="47" t="s">
        <v>95</v>
      </c>
      <c r="W283" s="47" t="s">
        <v>154</v>
      </c>
      <c r="X283" s="47" t="s">
        <v>154</v>
      </c>
      <c r="Y283" s="55" t="e">
        <f ca="1">_xlfn.XLOOKUP(PAA_4[[#This Row],[ITEM]],[2]Contrato!A:A,[2]Contrato!B:B,"",0)</f>
        <v>#NAME?</v>
      </c>
      <c r="Z283" s="47" t="e">
        <f ca="1">_xlfn.XLOOKUP(PAA_4[[#This Row],[ITEM]],[2]Contrato!A:A,[2]Contrato!G:G,"",0)</f>
        <v>#NAME?</v>
      </c>
      <c r="AA283" s="47" t="e">
        <f ca="1">_xlfn.XLOOKUP(PAA_4[[#This Row],[ITEM]],[2]Contrato!A:A,[2]Contrato!T:T,"",0)</f>
        <v>#NAME?</v>
      </c>
      <c r="AB283" s="55" t="e">
        <f ca="1">+MAX(PAA_4[[#This Row],[Comprometido Contrato]],PAA_4[[#This Row],[Comprometido Bolsa]])</f>
        <v>#NAME?</v>
      </c>
      <c r="AC283" s="55" t="str">
        <f t="shared" ca="1" si="147"/>
        <v/>
      </c>
      <c r="AD283" s="55" t="e">
        <f ca="1">IF(PAA_4[[#This Row],[ESTADO (formulado)]]="NO CONTRATADO",0,MAX(PAA_4[[#This Row],[Pago por Contrato]],PAA_4[[#This Row],[Pago por bolsa]]))</f>
        <v>#NAME?</v>
      </c>
      <c r="AE283" s="55" t="str">
        <f t="shared" ca="1" si="148"/>
        <v/>
      </c>
      <c r="AF283" s="47" t="e">
        <f t="shared" ca="1" si="149"/>
        <v>#NAME?</v>
      </c>
      <c r="AG283" s="47">
        <f t="shared" si="150"/>
        <v>41080114</v>
      </c>
      <c r="AH283" s="54">
        <f>IF(Q283="22",IF(ISNUMBER(SEARCH("econ",PAA_4[[#This Row],[Actividad3]])),"Económico",IF(ISNUMBER(SEARCH("alim",PAA_4[[#This Row],[Actividad3]])),"Alimentación",IF(ISNUMBER(SEARCH("educ",PAA_4[[#This Row],[Actividad3]])),"Educativo","Técnico"))),0)</f>
        <v>0</v>
      </c>
      <c r="AI283" s="47" t="e" cm="1">
        <f t="array" aca="1" ref="AI283" ca="1">_xlfn.XLOOKUP(PAA_4[[#This Row],[RCP-RUBRO]],[2]!COMPROMISOS_2024[[#All],[concatenado]],[2]!COMPROMISOS_2024[[#All],[Total pagado]],"",0)</f>
        <v>#NAME?</v>
      </c>
      <c r="AJ283" s="56">
        <f>IF(PAA_4[[#This Row],[BOLSA]]=0,0,SUMIFS([2]!COMPROMISOS_2024[[#All],[Total pagado]],[2]!COMPROMISOS_2024[[#All],[Bolsa]],PAA_4[[#This Row],[BOLSA]],[2]!COMPROMISOS_2024[[#All],[rubro]],PAA_4[[#This Row],[RCP-RUBRO]]))</f>
        <v>0</v>
      </c>
      <c r="AK283" s="47" t="e" cm="1">
        <f t="array" aca="1" ref="AK283" ca="1">_xlfn.XLOOKUP(PAA_4[[#This Row],[RCP-RUBRO]],[2]!COMPROMISOS_2024[[#All],[concatenado]],[2]!COMPROMISOS_2024[[#All],[Total Comprometido]],"",0)</f>
        <v>#NAME?</v>
      </c>
      <c r="AL283" s="47">
        <f>IF(PAA_4[[#This Row],[BOLSA]]=0,0,SUMIFS([2]!COMPROMISOS_2024[[#All],[Total Comprometido]],[2]!COMPROMISOS_2024[[#All],[Bolsa]],PAA_4[[#This Row],[BOLSA]],[2]!COMPROMISOS_2024[[#All],[concatenado]],PAA_4[[#This Row],[RCP-RUBRO]]))</f>
        <v>0</v>
      </c>
    </row>
    <row r="284" spans="1:38" s="19" customFormat="1" ht="31.5" customHeight="1">
      <c r="A284" s="47" t="s">
        <v>82</v>
      </c>
      <c r="B284" s="72" t="s">
        <v>42</v>
      </c>
      <c r="C284" s="47" t="str">
        <f>VLOOKUP(PAA_4[[#This Row],[PROYECTO (formulado)2]],[2]PROYECTOS!$G$1:$L$32,6,0)</f>
        <v>OFICINADECOMUNICACIONES</v>
      </c>
      <c r="D284" s="47" t="str">
        <f>+IF(PAA_4[[#This Row],[UNIDAD DE CONTRATACION (formulado)]]="Subgerencia Administrativa y Financiera","FUNCIONAMIENTO","INVERSIÓN")</f>
        <v>INVERSIÓN</v>
      </c>
      <c r="E284" s="48" t="str">
        <f>VLOOKUP(Q284,[2]PROYECTOS!$G$1:$K$32,5,0)</f>
        <v>FORTALECIMIENTO_DE_LA_IMAGEN_INSTITUCIONAL_COMO_REFERENTE_SOCIAL_PARA_EL_DEPARTAMENTO_DE_ANTIOQUIA</v>
      </c>
      <c r="F284" s="48">
        <f>VLOOKUP(E284,[2]PROYECTOS!$K$1:$M$32,3,0)</f>
        <v>2021003050071</v>
      </c>
      <c r="G284" s="49" t="s">
        <v>160</v>
      </c>
      <c r="H284" s="49" t="str">
        <f>VLOOKUP(Q284,[2]PROYECTOS!$V$1:$W$32,2,0)</f>
        <v>050067</v>
      </c>
      <c r="I284" s="50">
        <v>8988232</v>
      </c>
      <c r="J284" s="51" t="s">
        <v>1442</v>
      </c>
      <c r="K284" s="47" t="str">
        <f ca="1">IF(ISNONTEXT(Y284)=TRUE,"CONTRATADO","NO CONTRATADO")</f>
        <v>CONTRATADO</v>
      </c>
      <c r="L284" s="47" t="s">
        <v>42</v>
      </c>
      <c r="M284" s="47" t="s">
        <v>42</v>
      </c>
      <c r="N284" s="52" t="s">
        <v>162</v>
      </c>
      <c r="O284" s="51" t="e">
        <f>VLOOKUP(N284,[2]!RUBROS[#All],3,0)</f>
        <v>#REF!</v>
      </c>
      <c r="P284" s="53" t="e">
        <f>VLOOKUP(N284,[2]!RUBROS[#All],2,0)</f>
        <v>#REF!</v>
      </c>
      <c r="Q284" s="47" t="str">
        <f>+MID(N284,11,2)</f>
        <v>92</v>
      </c>
      <c r="R284" s="47" t="str">
        <f>+MID(N284,14,8)</f>
        <v>0-271130</v>
      </c>
      <c r="S284" s="54" t="s">
        <v>42</v>
      </c>
      <c r="T284" s="329" t="s">
        <v>42</v>
      </c>
      <c r="U284" s="326" t="e">
        <f ca="1">_xlfn.XLOOKUP(PAA_4[[#This Row],[ITEM]],[2]Contrato!A:A,[2]Contrato!Q:Q,"",0)</f>
        <v>#NAME?</v>
      </c>
      <c r="V284" s="47" t="s">
        <v>95</v>
      </c>
      <c r="W284" s="47" t="s">
        <v>42</v>
      </c>
      <c r="X284" s="47" t="s">
        <v>42</v>
      </c>
      <c r="Y284" s="55" t="e">
        <f ca="1">_xlfn.XLOOKUP(PAA_4[[#This Row],[ITEM]],[2]Contrato!A:A,[2]Contrato!B:B,"",0)</f>
        <v>#NAME?</v>
      </c>
      <c r="Z284" s="47" t="e">
        <f ca="1">_xlfn.XLOOKUP(PAA_4[[#This Row],[ITEM]],[2]Contrato!A:A,[2]Contrato!G:G,"",0)</f>
        <v>#NAME?</v>
      </c>
      <c r="AA284" s="47" t="e">
        <f ca="1">_xlfn.XLOOKUP(PAA_4[[#This Row],[ITEM]],[2]Contrato!A:A,[2]Contrato!T:T,"",0)</f>
        <v>#NAME?</v>
      </c>
      <c r="AB284" s="55" t="e">
        <f ca="1">+MAX(PAA_4[[#This Row],[Comprometido Contrato]],PAA_4[[#This Row],[Comprometido Bolsa]])</f>
        <v>#NAME?</v>
      </c>
      <c r="AC284" s="55" t="str">
        <f ca="1">IFERROR(I284-AB284,"")</f>
        <v/>
      </c>
      <c r="AD284" s="55" t="e">
        <f ca="1">IF(PAA_4[[#This Row],[ESTADO (formulado)]]="NO CONTRATADO",0,MAX(PAA_4[[#This Row],[Pago por Contrato]],PAA_4[[#This Row],[Pago por bolsa]]))</f>
        <v>#NAME?</v>
      </c>
      <c r="AE284" s="55" t="str">
        <f ca="1">+IFERROR(AB284-AD284,"")</f>
        <v/>
      </c>
      <c r="AF284" s="47" t="e">
        <f ca="1">+CONCATENATE(AA284,N284)</f>
        <v>#NAME?</v>
      </c>
      <c r="AG284" s="47">
        <f>IFERROR(_xlfn.NUMBERVALUE(MID(G284,1,8)),"")</f>
        <v>41080113</v>
      </c>
      <c r="AH284" s="54">
        <f>IF(Q284="22",IF(ISNUMBER(SEARCH("econ",PAA_4[[#This Row],[Actividad3]])),"Económico",IF(ISNUMBER(SEARCH("alim",PAA_4[[#This Row],[Actividad3]])),"Alimentación",IF(ISNUMBER(SEARCH("educ",PAA_4[[#This Row],[Actividad3]])),"Educativo","Técnico"))),0)</f>
        <v>0</v>
      </c>
      <c r="AI284" s="47" t="e" cm="1">
        <f t="array" aca="1" ref="AI284" ca="1">_xlfn.XLOOKUP(PAA_4[[#This Row],[RCP-RUBRO]],[2]!COMPROMISOS_2024[[#All],[concatenado]],[2]!COMPROMISOS_2024[[#All],[Total pagado]],"",0)</f>
        <v>#NAME?</v>
      </c>
      <c r="AJ284" s="56">
        <f>IF(PAA_4[[#This Row],[BOLSA]]=0,0,SUMIFS([2]!COMPROMISOS_2024[[#All],[Total pagado]],[2]!COMPROMISOS_2024[[#All],[Bolsa]],PAA_4[[#This Row],[BOLSA]],[2]!COMPROMISOS_2024[[#All],[rubro]],PAA_4[[#This Row],[RCP-RUBRO]]))</f>
        <v>0</v>
      </c>
      <c r="AK284" s="47" t="e" cm="1">
        <f t="array" aca="1" ref="AK284" ca="1">_xlfn.XLOOKUP(PAA_4[[#This Row],[RCP-RUBRO]],[2]!COMPROMISOS_2024[[#All],[concatenado]],[2]!COMPROMISOS_2024[[#All],[Total Comprometido]],"",0)</f>
        <v>#NAME?</v>
      </c>
      <c r="AL284" s="47">
        <f>IF(PAA_4[[#This Row],[BOLSA]]=0,0,SUMIFS([2]!COMPROMISOS_2024[[#All],[Total Comprometido]],[2]!COMPROMISOS_2024[[#All],[Bolsa]],PAA_4[[#This Row],[BOLSA]],[2]!COMPROMISOS_2024[[#All],[concatenado]],PAA_4[[#This Row],[RCP-RUBRO]]))</f>
        <v>0</v>
      </c>
    </row>
    <row r="285" spans="1:38" s="19" customFormat="1" ht="31.5" customHeight="1">
      <c r="A285" s="47">
        <v>39</v>
      </c>
      <c r="B285" s="72" t="s">
        <v>1440</v>
      </c>
      <c r="C285" s="47" t="str">
        <f>VLOOKUP(PAA_4[[#This Row],[PROYECTO (formulado)2]],[2]PROYECTOS!$G$1:$L$32,6,0)</f>
        <v>OFICINADECOMUNICACIONES</v>
      </c>
      <c r="D285" s="47" t="str">
        <f>+IF(PAA_4[[#This Row],[UNIDAD DE CONTRATACION (formulado)]]="Subgerencia Administrativa y Financiera","FUNCIONAMIENTO","INVERSIÓN")</f>
        <v>INVERSIÓN</v>
      </c>
      <c r="E285" s="48" t="str">
        <f>VLOOKUP(Q285,[2]PROYECTOS!$G$1:$K$32,5,0)</f>
        <v>FORTALECIMIENTO_DE_LA_IMAGEN_INSTITUCIONAL_COMO_REFERENTE_SOCIAL_PARA_EL_DEPARTAMENTO_DE_ANTIOQUIA</v>
      </c>
      <c r="F285" s="48">
        <f>VLOOKUP(E285,[2]PROYECTOS!$K$1:$M$32,3,0)</f>
        <v>2021003050071</v>
      </c>
      <c r="G285" s="49" t="s">
        <v>160</v>
      </c>
      <c r="H285" s="49" t="str">
        <f>VLOOKUP(Q285,[2]PROYECTOS!$V$1:$W$32,2,0)</f>
        <v>050067</v>
      </c>
      <c r="I285" s="50">
        <f>245000000-8988232</f>
        <v>236011768</v>
      </c>
      <c r="J285" s="51" t="s">
        <v>1441</v>
      </c>
      <c r="K285" s="47" t="str">
        <f t="shared" ref="K285:K290" ca="1" si="151">IF(ISNONTEXT(Y285)=TRUE,"CONTRATADO","NO CONTRATADO")</f>
        <v>CONTRATADO</v>
      </c>
      <c r="L285" s="47" t="s">
        <v>94</v>
      </c>
      <c r="M285" s="47" t="s">
        <v>161</v>
      </c>
      <c r="N285" s="52" t="s">
        <v>162</v>
      </c>
      <c r="O285" s="51" t="e">
        <f>VLOOKUP(N285,[2]!RUBROS[#All],3,0)</f>
        <v>#REF!</v>
      </c>
      <c r="P285" s="53" t="e">
        <f>VLOOKUP(N285,[2]!RUBROS[#All],2,0)</f>
        <v>#REF!</v>
      </c>
      <c r="Q285" s="47" t="str">
        <f t="shared" ref="Q285:Q290" si="152">+MID(N285,11,2)</f>
        <v>92</v>
      </c>
      <c r="R285" s="47" t="str">
        <f t="shared" ref="R285:R290" si="153">+MID(N285,14,8)</f>
        <v>0-271130</v>
      </c>
      <c r="S285" s="54">
        <v>5</v>
      </c>
      <c r="T285" s="59" t="s">
        <v>46</v>
      </c>
      <c r="U285" s="326" t="e">
        <f ca="1">_xlfn.XLOOKUP(PAA_4[[#This Row],[ITEM]],[2]Contrato!A:A,[2]Contrato!Q:Q,"",0)</f>
        <v>#NAME?</v>
      </c>
      <c r="V285" s="47" t="s">
        <v>95</v>
      </c>
      <c r="W285" s="47" t="s">
        <v>154</v>
      </c>
      <c r="X285" s="47" t="s">
        <v>154</v>
      </c>
      <c r="Y285" s="55" t="e">
        <f ca="1">_xlfn.XLOOKUP(PAA_4[[#This Row],[ITEM]],[2]Contrato!A:A,[2]Contrato!B:B,"",0)</f>
        <v>#NAME?</v>
      </c>
      <c r="Z285" s="47" t="e">
        <f ca="1">_xlfn.XLOOKUP(PAA_4[[#This Row],[ITEM]],[2]Contrato!A:A,[2]Contrato!G:G,"",0)</f>
        <v>#NAME?</v>
      </c>
      <c r="AA285" s="47" t="e">
        <f ca="1">_xlfn.XLOOKUP(PAA_4[[#This Row],[ITEM]],[2]Contrato!A:A,[2]Contrato!T:T,"",0)</f>
        <v>#NAME?</v>
      </c>
      <c r="AB285" s="55" t="e">
        <f ca="1">+MAX(PAA_4[[#This Row],[Comprometido Contrato]],PAA_4[[#This Row],[Comprometido Bolsa]])</f>
        <v>#NAME?</v>
      </c>
      <c r="AC285" s="55" t="str">
        <f t="shared" ref="AC285:AC290" ca="1" si="154">IFERROR(I285-AB285,"")</f>
        <v/>
      </c>
      <c r="AD285" s="55" t="e">
        <f ca="1">IF(PAA_4[[#This Row],[ESTADO (formulado)]]="NO CONTRATADO",0,MAX(PAA_4[[#This Row],[Pago por Contrato]],PAA_4[[#This Row],[Pago por bolsa]]))</f>
        <v>#NAME?</v>
      </c>
      <c r="AE285" s="55" t="str">
        <f t="shared" ref="AE285:AE290" ca="1" si="155">+IFERROR(AB285-AD285,"")</f>
        <v/>
      </c>
      <c r="AF285" s="47" t="e">
        <f t="shared" ref="AF285:AF290" ca="1" si="156">+CONCATENATE(AA285,N285)</f>
        <v>#NAME?</v>
      </c>
      <c r="AG285" s="47">
        <f t="shared" ref="AG285:AG290" si="157">IFERROR(_xlfn.NUMBERVALUE(MID(G285,1,8)),"")</f>
        <v>41080113</v>
      </c>
      <c r="AH285" s="54">
        <f>IF(Q285="22",IF(ISNUMBER(SEARCH("econ",PAA_4[[#This Row],[Actividad3]])),"Económico",IF(ISNUMBER(SEARCH("alim",PAA_4[[#This Row],[Actividad3]])),"Alimentación",IF(ISNUMBER(SEARCH("educ",PAA_4[[#This Row],[Actividad3]])),"Educativo","Técnico"))),0)</f>
        <v>0</v>
      </c>
      <c r="AI285" s="47" t="e" cm="1">
        <f t="array" aca="1" ref="AI285" ca="1">_xlfn.XLOOKUP(PAA_4[[#This Row],[RCP-RUBRO]],[2]!COMPROMISOS_2024[[#All],[concatenado]],[2]!COMPROMISOS_2024[[#All],[Total pagado]],"",0)</f>
        <v>#NAME?</v>
      </c>
      <c r="AJ285" s="56">
        <f>IF(PAA_4[[#This Row],[BOLSA]]=0,0,SUMIFS([2]!COMPROMISOS_2024[[#All],[Total pagado]],[2]!COMPROMISOS_2024[[#All],[Bolsa]],PAA_4[[#This Row],[BOLSA]],[2]!COMPROMISOS_2024[[#All],[rubro]],PAA_4[[#This Row],[RCP-RUBRO]]))</f>
        <v>0</v>
      </c>
      <c r="AK285" s="47" t="e" cm="1">
        <f t="array" aca="1" ref="AK285" ca="1">_xlfn.XLOOKUP(PAA_4[[#This Row],[RCP-RUBRO]],[2]!COMPROMISOS_2024[[#All],[concatenado]],[2]!COMPROMISOS_2024[[#All],[Total Comprometido]],"",0)</f>
        <v>#NAME?</v>
      </c>
      <c r="AL285" s="47">
        <f>IF(PAA_4[[#This Row],[BOLSA]]=0,0,SUMIFS([2]!COMPROMISOS_2024[[#All],[Total Comprometido]],[2]!COMPROMISOS_2024[[#All],[Bolsa]],PAA_4[[#This Row],[BOLSA]],[2]!COMPROMISOS_2024[[#All],[concatenado]],PAA_4[[#This Row],[RCP-RUBRO]]))</f>
        <v>0</v>
      </c>
    </row>
    <row r="286" spans="1:38" s="19" customFormat="1" ht="31.5" customHeight="1">
      <c r="A286" s="47">
        <v>580</v>
      </c>
      <c r="B286" s="51" t="s">
        <v>164</v>
      </c>
      <c r="C286" s="47" t="str">
        <f>VLOOKUP(PAA_4[[#This Row],[PROYECTO (formulado)2]],[2]PROYECTOS!$G$1:$L$32,6,0)</f>
        <v>OFICINADECOMUNICACIONES</v>
      </c>
      <c r="D286" s="47" t="str">
        <f>+IF(PAA_4[[#This Row],[UNIDAD DE CONTRATACION (formulado)]]="Subgerencia Administrativa y Financiera","FUNCIONAMIENTO","INVERSIÓN")</f>
        <v>INVERSIÓN</v>
      </c>
      <c r="E286" s="48" t="str">
        <f>VLOOKUP(Q286,[2]PROYECTOS!$G$1:$K$32,5,0)</f>
        <v>FORTALECIMIENTO_DE_LA_IMAGEN_INSTITUCIONAL_COMO_REFERENTE_SOCIAL_PARA_EL_DEPARTAMENTO_DE_ANTIOQUIA</v>
      </c>
      <c r="F286" s="48">
        <f>VLOOKUP(E286,[2]PROYECTOS!$K$1:$M$32,3,0)</f>
        <v>2021003050071</v>
      </c>
      <c r="G286" s="49" t="s">
        <v>160</v>
      </c>
      <c r="H286" s="49" t="str">
        <f>VLOOKUP(Q286,[2]PROYECTOS!$V$1:$W$32,2,0)</f>
        <v>050067</v>
      </c>
      <c r="I286" s="50">
        <v>10000000</v>
      </c>
      <c r="J286" s="51" t="s">
        <v>1443</v>
      </c>
      <c r="K286" s="47" t="str">
        <f t="shared" ca="1" si="151"/>
        <v>CONTRATADO</v>
      </c>
      <c r="L286" s="47" t="s">
        <v>94</v>
      </c>
      <c r="M286" s="47" t="s">
        <v>89</v>
      </c>
      <c r="N286" s="52" t="s">
        <v>162</v>
      </c>
      <c r="O286" s="51" t="e">
        <f>VLOOKUP(N286,[2]!RUBROS[#All],3,0)</f>
        <v>#REF!</v>
      </c>
      <c r="P286" s="53" t="e">
        <f>VLOOKUP(N286,[2]!RUBROS[#All],2,0)</f>
        <v>#REF!</v>
      </c>
      <c r="Q286" s="47" t="str">
        <f t="shared" si="152"/>
        <v>92</v>
      </c>
      <c r="R286" s="47" t="str">
        <f t="shared" si="153"/>
        <v>0-271130</v>
      </c>
      <c r="S286" s="54">
        <v>2</v>
      </c>
      <c r="T286" s="59" t="s">
        <v>46</v>
      </c>
      <c r="U286" s="326" t="e">
        <f ca="1">_xlfn.XLOOKUP(PAA_4[[#This Row],[ITEM]],[2]Contrato!A:A,[2]Contrato!Q:Q,"",0)</f>
        <v>#NAME?</v>
      </c>
      <c r="V286" s="47" t="s">
        <v>95</v>
      </c>
      <c r="W286" s="47" t="s">
        <v>96</v>
      </c>
      <c r="X286" s="47" t="s">
        <v>96</v>
      </c>
      <c r="Y286" s="55" t="e">
        <f ca="1">_xlfn.XLOOKUP(PAA_4[[#This Row],[ITEM]],[2]Contrato!A:A,[2]Contrato!B:B,"",0)</f>
        <v>#NAME?</v>
      </c>
      <c r="Z286" s="47" t="e">
        <f ca="1">_xlfn.XLOOKUP(PAA_4[[#This Row],[ITEM]],[2]Contrato!A:A,[2]Contrato!G:G,"",0)</f>
        <v>#NAME?</v>
      </c>
      <c r="AA286" s="47" t="e">
        <f ca="1">_xlfn.XLOOKUP(PAA_4[[#This Row],[ITEM]],[2]Contrato!A:A,[2]Contrato!T:T,"",0)</f>
        <v>#NAME?</v>
      </c>
      <c r="AB286" s="55" t="e">
        <f ca="1">+MAX(PAA_4[[#This Row],[Comprometido Contrato]],PAA_4[[#This Row],[Comprometido Bolsa]])</f>
        <v>#NAME?</v>
      </c>
      <c r="AC286" s="55" t="str">
        <f t="shared" ca="1" si="154"/>
        <v/>
      </c>
      <c r="AD286" s="55" t="e">
        <f ca="1">IF(PAA_4[[#This Row],[ESTADO (formulado)]]="NO CONTRATADO",0,MAX(PAA_4[[#This Row],[Pago por Contrato]],PAA_4[[#This Row],[Pago por bolsa]]))</f>
        <v>#NAME?</v>
      </c>
      <c r="AE286" s="55" t="str">
        <f t="shared" ca="1" si="155"/>
        <v/>
      </c>
      <c r="AF286" s="47" t="e">
        <f t="shared" ca="1" si="156"/>
        <v>#NAME?</v>
      </c>
      <c r="AG286" s="47">
        <f t="shared" si="157"/>
        <v>41080113</v>
      </c>
      <c r="AH286" s="54">
        <f>IF(Q286="22",IF(ISNUMBER(SEARCH("econ",PAA_4[[#This Row],[Actividad3]])),"Económico",IF(ISNUMBER(SEARCH("alim",PAA_4[[#This Row],[Actividad3]])),"Alimentación",IF(ISNUMBER(SEARCH("educ",PAA_4[[#This Row],[Actividad3]])),"Educativo","Técnico"))),0)</f>
        <v>0</v>
      </c>
      <c r="AI286" s="47" t="e" cm="1">
        <f t="array" aca="1" ref="AI286" ca="1">_xlfn.XLOOKUP(PAA_4[[#This Row],[RCP-RUBRO]],[2]!COMPROMISOS_2024[[#All],[concatenado]],[2]!COMPROMISOS_2024[[#All],[Total pagado]],"",0)</f>
        <v>#NAME?</v>
      </c>
      <c r="AJ286" s="56">
        <f>IF(PAA_4[[#This Row],[BOLSA]]=0,0,SUMIFS([2]!COMPROMISOS_2024[[#All],[Total pagado]],[2]!COMPROMISOS_2024[[#All],[Bolsa]],PAA_4[[#This Row],[BOLSA]],[2]!COMPROMISOS_2024[[#All],[rubro]],PAA_4[[#This Row],[RCP-RUBRO]]))</f>
        <v>0</v>
      </c>
      <c r="AK286" s="47" t="e" cm="1">
        <f t="array" aca="1" ref="AK286" ca="1">_xlfn.XLOOKUP(PAA_4[[#This Row],[RCP-RUBRO]],[2]!COMPROMISOS_2024[[#All],[concatenado]],[2]!COMPROMISOS_2024[[#All],[Total Comprometido]],"",0)</f>
        <v>#NAME?</v>
      </c>
      <c r="AL286" s="47">
        <f>IF(PAA_4[[#This Row],[BOLSA]]=0,0,SUMIFS([2]!COMPROMISOS_2024[[#All],[Total Comprometido]],[2]!COMPROMISOS_2024[[#All],[Bolsa]],PAA_4[[#This Row],[BOLSA]],[2]!COMPROMISOS_2024[[#All],[concatenado]],PAA_4[[#This Row],[RCP-RUBRO]]))</f>
        <v>0</v>
      </c>
    </row>
    <row r="287" spans="1:38" s="19" customFormat="1" ht="31.5" customHeight="1">
      <c r="A287" s="47" t="s">
        <v>82</v>
      </c>
      <c r="B287" s="47">
        <v>80111600</v>
      </c>
      <c r="C287" s="47" t="str">
        <f>VLOOKUP(PAA_4[[#This Row],[PROYECTO (formulado)2]],[2]PROYECTOS!$G$1:$L$32,6,0)</f>
        <v>OFICINADECOMUNICACIONES</v>
      </c>
      <c r="D287" s="47" t="str">
        <f>+IF(PAA_4[[#This Row],[UNIDAD DE CONTRATACION (formulado)]]="Subgerencia Administrativa y Financiera","FUNCIONAMIENTO","INVERSIÓN")</f>
        <v>INVERSIÓN</v>
      </c>
      <c r="E287" s="48" t="str">
        <f>VLOOKUP(Q287,[2]PROYECTOS!$G$1:$K$32,5,0)</f>
        <v>FORTALECIMIENTO_DE_LA_IMAGEN_INSTITUCIONAL_COMO_REFERENTE_SOCIAL_PARA_EL_DEPARTAMENTO_DE_ANTIOQUIA</v>
      </c>
      <c r="F287" s="48">
        <f>VLOOKUP(E287,[2]PROYECTOS!$K$1:$M$32,3,0)</f>
        <v>2021003050071</v>
      </c>
      <c r="G287" s="49" t="s">
        <v>157</v>
      </c>
      <c r="H287" s="49" t="str">
        <f>VLOOKUP(Q287,[2]PROYECTOS!$V$1:$W$32,2,0)</f>
        <v>050067</v>
      </c>
      <c r="I287" s="50">
        <v>0</v>
      </c>
      <c r="J287" s="51" t="s">
        <v>42</v>
      </c>
      <c r="K287" s="47" t="str">
        <f t="shared" ca="1" si="151"/>
        <v>CONTRATADO</v>
      </c>
      <c r="L287" s="47" t="s">
        <v>94</v>
      </c>
      <c r="M287" s="47" t="s">
        <v>1297</v>
      </c>
      <c r="N287" s="52" t="s">
        <v>158</v>
      </c>
      <c r="O287" s="51" t="e">
        <f>VLOOKUP(N287,[2]!RUBROS[#All],3,0)</f>
        <v>#REF!</v>
      </c>
      <c r="P287" s="53" t="e">
        <f>VLOOKUP(N287,[2]!RUBROS[#All],2,0)</f>
        <v>#REF!</v>
      </c>
      <c r="Q287" s="47" t="str">
        <f t="shared" si="152"/>
        <v>92</v>
      </c>
      <c r="R287" s="47" t="str">
        <f t="shared" si="153"/>
        <v>0-101024</v>
      </c>
      <c r="S287" s="54" t="s">
        <v>42</v>
      </c>
      <c r="T287" s="59" t="s">
        <v>42</v>
      </c>
      <c r="U287" s="326" t="e">
        <f ca="1">_xlfn.XLOOKUP(PAA_4[[#This Row],[ITEM]],[2]Contrato!A:A,[2]Contrato!Q:Q,"",0)</f>
        <v>#NAME?</v>
      </c>
      <c r="V287" s="47" t="s">
        <v>95</v>
      </c>
      <c r="W287" s="47" t="s">
        <v>154</v>
      </c>
      <c r="X287" s="47" t="s">
        <v>154</v>
      </c>
      <c r="Y287" s="55" t="e">
        <f ca="1">_xlfn.XLOOKUP(PAA_4[[#This Row],[ITEM]],[2]Contrato!A:A,[2]Contrato!B:B,"",0)</f>
        <v>#NAME?</v>
      </c>
      <c r="Z287" s="47" t="e">
        <f ca="1">_xlfn.XLOOKUP(PAA_4[[#This Row],[ITEM]],[2]Contrato!A:A,[2]Contrato!G:G,"",0)</f>
        <v>#NAME?</v>
      </c>
      <c r="AA287" s="47" t="e">
        <f ca="1">_xlfn.XLOOKUP(PAA_4[[#This Row],[ITEM]],[2]Contrato!A:A,[2]Contrato!T:T,"",0)</f>
        <v>#NAME?</v>
      </c>
      <c r="AB287" s="55" t="e">
        <f ca="1">+MAX(PAA_4[[#This Row],[Comprometido Contrato]],PAA_4[[#This Row],[Comprometido Bolsa]])</f>
        <v>#NAME?</v>
      </c>
      <c r="AC287" s="55" t="str">
        <f t="shared" ca="1" si="154"/>
        <v/>
      </c>
      <c r="AD287" s="55" t="e">
        <f ca="1">IF(PAA_4[[#This Row],[ESTADO (formulado)]]="NO CONTRATADO",0,MAX(PAA_4[[#This Row],[Pago por Contrato]],PAA_4[[#This Row],[Pago por bolsa]]))</f>
        <v>#NAME?</v>
      </c>
      <c r="AE287" s="55" t="str">
        <f t="shared" ca="1" si="155"/>
        <v/>
      </c>
      <c r="AF287" s="47" t="e">
        <f t="shared" ca="1" si="156"/>
        <v>#NAME?</v>
      </c>
      <c r="AG287" s="47">
        <f t="shared" si="157"/>
        <v>41080114</v>
      </c>
      <c r="AH287" s="54">
        <f>IF(Q287="22",IF(ISNUMBER(SEARCH("econ",PAA_4[[#This Row],[Actividad3]])),"Económico",IF(ISNUMBER(SEARCH("alim",PAA_4[[#This Row],[Actividad3]])),"Alimentación",IF(ISNUMBER(SEARCH("educ",PAA_4[[#This Row],[Actividad3]])),"Educativo","Técnico"))),0)</f>
        <v>0</v>
      </c>
      <c r="AI287" s="47" t="e" cm="1">
        <f t="array" aca="1" ref="AI287" ca="1">_xlfn.XLOOKUP(PAA_4[[#This Row],[RCP-RUBRO]],[2]!COMPROMISOS_2024[[#All],[concatenado]],[2]!COMPROMISOS_2024[[#All],[Total pagado]],"",0)</f>
        <v>#NAME?</v>
      </c>
      <c r="AJ287" s="56">
        <f>IF(PAA_4[[#This Row],[BOLSA]]=0,0,SUMIFS([2]!COMPROMISOS_2024[[#All],[Total pagado]],[2]!COMPROMISOS_2024[[#All],[Bolsa]],PAA_4[[#This Row],[BOLSA]],[2]!COMPROMISOS_2024[[#All],[rubro]],PAA_4[[#This Row],[RCP-RUBRO]]))</f>
        <v>0</v>
      </c>
      <c r="AK287" s="47" t="e" cm="1">
        <f t="array" aca="1" ref="AK287" ca="1">_xlfn.XLOOKUP(PAA_4[[#This Row],[RCP-RUBRO]],[2]!COMPROMISOS_2024[[#All],[concatenado]],[2]!COMPROMISOS_2024[[#All],[Total Comprometido]],"",0)</f>
        <v>#NAME?</v>
      </c>
      <c r="AL287" s="47">
        <f>IF(PAA_4[[#This Row],[BOLSA]]=0,0,SUMIFS([2]!COMPROMISOS_2024[[#All],[Total Comprometido]],[2]!COMPROMISOS_2024[[#All],[Bolsa]],PAA_4[[#This Row],[BOLSA]],[2]!COMPROMISOS_2024[[#All],[concatenado]],PAA_4[[#This Row],[RCP-RUBRO]]))</f>
        <v>0</v>
      </c>
    </row>
    <row r="288" spans="1:38" s="19" customFormat="1" ht="31.5" customHeight="1">
      <c r="A288" s="47">
        <v>553</v>
      </c>
      <c r="B288" s="47">
        <v>80111600</v>
      </c>
      <c r="C288" s="47" t="str">
        <f>VLOOKUP(PAA_4[[#This Row],[PROYECTO (formulado)2]],[2]PROYECTOS!$G$1:$L$32,6,0)</f>
        <v>OFICINADECOMUNICACIONES</v>
      </c>
      <c r="D288" s="47" t="str">
        <f>+IF(PAA_4[[#This Row],[UNIDAD DE CONTRATACION (formulado)]]="Subgerencia Administrativa y Financiera","FUNCIONAMIENTO","INVERSIÓN")</f>
        <v>INVERSIÓN</v>
      </c>
      <c r="E288" s="48" t="str">
        <f>VLOOKUP(Q288,[2]PROYECTOS!$G$1:$K$32,5,0)</f>
        <v>FORTALECIMIENTO_DE_LA_IMAGEN_INSTITUCIONAL_COMO_REFERENTE_SOCIAL_PARA_EL_DEPARTAMENTO_DE_ANTIOQUIA</v>
      </c>
      <c r="F288" s="48">
        <f>VLOOKUP(E288,[2]PROYECTOS!$K$1:$M$32,3,0)</f>
        <v>2021003050071</v>
      </c>
      <c r="G288" s="49" t="s">
        <v>157</v>
      </c>
      <c r="H288" s="49" t="str">
        <f>VLOOKUP(Q288,[2]PROYECTOS!$V$1:$W$32,2,0)</f>
        <v>050067</v>
      </c>
      <c r="I288" s="50">
        <f>69663361-176332</f>
        <v>69487029</v>
      </c>
      <c r="J288" s="51" t="s">
        <v>1444</v>
      </c>
      <c r="K288" s="47" t="str">
        <f t="shared" ca="1" si="151"/>
        <v>CONTRATADO</v>
      </c>
      <c r="L288" s="47" t="s">
        <v>94</v>
      </c>
      <c r="M288" s="47" t="s">
        <v>1297</v>
      </c>
      <c r="N288" s="52" t="s">
        <v>158</v>
      </c>
      <c r="O288" s="51" t="e">
        <f>VLOOKUP(N288,[2]!RUBROS[#All],3,0)</f>
        <v>#REF!</v>
      </c>
      <c r="P288" s="53" t="e">
        <f>VLOOKUP(N288,[2]!RUBROS[#All],2,0)</f>
        <v>#REF!</v>
      </c>
      <c r="Q288" s="47" t="str">
        <f t="shared" si="152"/>
        <v>92</v>
      </c>
      <c r="R288" s="47" t="str">
        <f t="shared" si="153"/>
        <v>0-101024</v>
      </c>
      <c r="S288" s="54">
        <v>10</v>
      </c>
      <c r="T288" s="59" t="s">
        <v>46</v>
      </c>
      <c r="U288" s="326" t="e">
        <f ca="1">_xlfn.XLOOKUP(PAA_4[[#This Row],[ITEM]],[2]Contrato!A:A,[2]Contrato!Q:Q,"",0)</f>
        <v>#NAME?</v>
      </c>
      <c r="V288" s="47" t="s">
        <v>95</v>
      </c>
      <c r="W288" s="47" t="s">
        <v>96</v>
      </c>
      <c r="X288" s="47" t="s">
        <v>96</v>
      </c>
      <c r="Y288" s="55" t="e">
        <f ca="1">_xlfn.XLOOKUP(PAA_4[[#This Row],[ITEM]],[2]Contrato!A:A,[2]Contrato!B:B,"",0)</f>
        <v>#NAME?</v>
      </c>
      <c r="Z288" s="47" t="e">
        <f ca="1">_xlfn.XLOOKUP(PAA_4[[#This Row],[ITEM]],[2]Contrato!A:A,[2]Contrato!G:G,"",0)</f>
        <v>#NAME?</v>
      </c>
      <c r="AA288" s="47" t="e">
        <f ca="1">_xlfn.XLOOKUP(PAA_4[[#This Row],[ITEM]],[2]Contrato!A:A,[2]Contrato!T:T,"",0)</f>
        <v>#NAME?</v>
      </c>
      <c r="AB288" s="55" t="e">
        <f ca="1">+MAX(PAA_4[[#This Row],[Comprometido Contrato]],PAA_4[[#This Row],[Comprometido Bolsa]])</f>
        <v>#NAME?</v>
      </c>
      <c r="AC288" s="55" t="str">
        <f t="shared" ca="1" si="154"/>
        <v/>
      </c>
      <c r="AD288" s="55" t="e">
        <f ca="1">IF(PAA_4[[#This Row],[ESTADO (formulado)]]="NO CONTRATADO",0,MAX(PAA_4[[#This Row],[Pago por Contrato]],PAA_4[[#This Row],[Pago por bolsa]]))</f>
        <v>#NAME?</v>
      </c>
      <c r="AE288" s="55" t="str">
        <f t="shared" ca="1" si="155"/>
        <v/>
      </c>
      <c r="AF288" s="47" t="e">
        <f t="shared" ca="1" si="156"/>
        <v>#NAME?</v>
      </c>
      <c r="AG288" s="47">
        <f t="shared" si="157"/>
        <v>41080114</v>
      </c>
      <c r="AH288" s="54">
        <f>IF(Q288="22",IF(ISNUMBER(SEARCH("econ",PAA_4[[#This Row],[Actividad3]])),"Económico",IF(ISNUMBER(SEARCH("alim",PAA_4[[#This Row],[Actividad3]])),"Alimentación",IF(ISNUMBER(SEARCH("educ",PAA_4[[#This Row],[Actividad3]])),"Educativo","Técnico"))),0)</f>
        <v>0</v>
      </c>
      <c r="AI288" s="47" t="e" cm="1">
        <f t="array" aca="1" ref="AI288" ca="1">_xlfn.XLOOKUP(PAA_4[[#This Row],[RCP-RUBRO]],[2]!COMPROMISOS_2024[[#All],[concatenado]],[2]!COMPROMISOS_2024[[#All],[Total pagado]],"",0)</f>
        <v>#NAME?</v>
      </c>
      <c r="AJ288" s="56">
        <f>IF(PAA_4[[#This Row],[BOLSA]]=0,0,SUMIFS([2]!COMPROMISOS_2024[[#All],[Total pagado]],[2]!COMPROMISOS_2024[[#All],[Bolsa]],PAA_4[[#This Row],[BOLSA]],[2]!COMPROMISOS_2024[[#All],[rubro]],PAA_4[[#This Row],[RCP-RUBRO]]))</f>
        <v>0</v>
      </c>
      <c r="AK288" s="47" t="e" cm="1">
        <f t="array" aca="1" ref="AK288" ca="1">_xlfn.XLOOKUP(PAA_4[[#This Row],[RCP-RUBRO]],[2]!COMPROMISOS_2024[[#All],[concatenado]],[2]!COMPROMISOS_2024[[#All],[Total Comprometido]],"",0)</f>
        <v>#NAME?</v>
      </c>
      <c r="AL288" s="47">
        <f>IF(PAA_4[[#This Row],[BOLSA]]=0,0,SUMIFS([2]!COMPROMISOS_2024[[#All],[Total Comprometido]],[2]!COMPROMISOS_2024[[#All],[Bolsa]],PAA_4[[#This Row],[BOLSA]],[2]!COMPROMISOS_2024[[#All],[concatenado]],PAA_4[[#This Row],[RCP-RUBRO]]))</f>
        <v>0</v>
      </c>
    </row>
    <row r="289" spans="1:38" s="19" customFormat="1" ht="31.5" customHeight="1">
      <c r="A289" s="47" t="s">
        <v>82</v>
      </c>
      <c r="B289" s="47" t="s">
        <v>165</v>
      </c>
      <c r="C289" s="47" t="str">
        <f>VLOOKUP(PAA_4[[#This Row],[PROYECTO (formulado)2]],[2]PROYECTOS!$G$1:$L$32,6,0)</f>
        <v>OFICINADECOMUNICACIONES</v>
      </c>
      <c r="D289" s="47" t="str">
        <f>+IF(PAA_4[[#This Row],[UNIDAD DE CONTRATACION (formulado)]]="Subgerencia Administrativa y Financiera","FUNCIONAMIENTO","INVERSIÓN")</f>
        <v>INVERSIÓN</v>
      </c>
      <c r="E289" s="48" t="str">
        <f>VLOOKUP(Q289,[2]PROYECTOS!$G$1:$K$32,5,0)</f>
        <v>FORTALECIMIENTO_DE_LA_IMAGEN_INSTITUCIONAL_COMO_REFERENTE_SOCIAL_PARA_EL_DEPARTAMENTO_DE_ANTIOQUIA</v>
      </c>
      <c r="F289" s="48">
        <f>VLOOKUP(E289,[2]PROYECTOS!$K$1:$M$32,3,0)</f>
        <v>2021003050071</v>
      </c>
      <c r="G289" s="49" t="s">
        <v>157</v>
      </c>
      <c r="H289" s="49" t="str">
        <f>VLOOKUP(Q289,[2]PROYECTOS!$V$1:$W$32,2,0)</f>
        <v>050067</v>
      </c>
      <c r="I289" s="50">
        <v>0</v>
      </c>
      <c r="J289" s="51" t="s">
        <v>1445</v>
      </c>
      <c r="K289" s="47" t="str">
        <f t="shared" ca="1" si="151"/>
        <v>CONTRATADO</v>
      </c>
      <c r="L289" s="47" t="s">
        <v>94</v>
      </c>
      <c r="M289" s="47"/>
      <c r="N289" s="52" t="s">
        <v>162</v>
      </c>
      <c r="O289" s="51" t="e">
        <f>VLOOKUP(N289,[2]!RUBROS[#All],3,0)</f>
        <v>#REF!</v>
      </c>
      <c r="P289" s="53" t="e">
        <f>VLOOKUP(N289,[2]!RUBROS[#All],2,0)</f>
        <v>#REF!</v>
      </c>
      <c r="Q289" s="47" t="str">
        <f t="shared" si="152"/>
        <v>92</v>
      </c>
      <c r="R289" s="47" t="str">
        <f t="shared" si="153"/>
        <v>0-271130</v>
      </c>
      <c r="S289" s="339">
        <v>9</v>
      </c>
      <c r="T289" s="59" t="s">
        <v>46</v>
      </c>
      <c r="U289" s="326" t="e">
        <f ca="1">_xlfn.XLOOKUP(PAA_4[[#This Row],[ITEM]],[2]Contrato!A:A,[2]Contrato!Q:Q,"",0)</f>
        <v>#NAME?</v>
      </c>
      <c r="V289" s="47" t="s">
        <v>95</v>
      </c>
      <c r="W289" s="47"/>
      <c r="X289" s="47"/>
      <c r="Y289" s="55" t="e">
        <f ca="1">_xlfn.XLOOKUP(PAA_4[[#This Row],[ITEM]],[2]Contrato!A:A,[2]Contrato!B:B,"",0)</f>
        <v>#NAME?</v>
      </c>
      <c r="Z289" s="47" t="e">
        <f ca="1">_xlfn.XLOOKUP(PAA_4[[#This Row],[ITEM]],[2]Contrato!A:A,[2]Contrato!G:G,"",0)</f>
        <v>#NAME?</v>
      </c>
      <c r="AA289" s="47" t="e">
        <f ca="1">_xlfn.XLOOKUP(PAA_4[[#This Row],[ITEM]],[2]Contrato!A:A,[2]Contrato!T:T,"",0)</f>
        <v>#NAME?</v>
      </c>
      <c r="AB289" s="55" t="e">
        <f ca="1">+MAX(PAA_4[[#This Row],[Comprometido Contrato]],PAA_4[[#This Row],[Comprometido Bolsa]])</f>
        <v>#NAME?</v>
      </c>
      <c r="AC289" s="55" t="str">
        <f t="shared" ca="1" si="154"/>
        <v/>
      </c>
      <c r="AD289" s="55" t="e">
        <f ca="1">IF(PAA_4[[#This Row],[ESTADO (formulado)]]="NO CONTRATADO",0,MAX(PAA_4[[#This Row],[Pago por Contrato]],PAA_4[[#This Row],[Pago por bolsa]]))</f>
        <v>#NAME?</v>
      </c>
      <c r="AE289" s="55" t="str">
        <f t="shared" ca="1" si="155"/>
        <v/>
      </c>
      <c r="AF289" s="47" t="e">
        <f t="shared" ca="1" si="156"/>
        <v>#NAME?</v>
      </c>
      <c r="AG289" s="47">
        <f t="shared" si="157"/>
        <v>41080114</v>
      </c>
      <c r="AH289" s="54">
        <f>IF(Q289="22",IF(ISNUMBER(SEARCH("econ",PAA_4[[#This Row],[Actividad3]])),"Económico",IF(ISNUMBER(SEARCH("alim",PAA_4[[#This Row],[Actividad3]])),"Alimentación",IF(ISNUMBER(SEARCH("educ",PAA_4[[#This Row],[Actividad3]])),"Educativo","Técnico"))),0)</f>
        <v>0</v>
      </c>
      <c r="AI289" s="47" t="e" cm="1">
        <f t="array" aca="1" ref="AI289" ca="1">_xlfn.XLOOKUP(PAA_4[[#This Row],[RCP-RUBRO]],[2]!COMPROMISOS_2024[[#All],[concatenado]],[2]!COMPROMISOS_2024[[#All],[Total pagado]],"",0)</f>
        <v>#NAME?</v>
      </c>
      <c r="AJ289" s="56">
        <f>IF(PAA_4[[#This Row],[BOLSA]]=0,0,SUMIFS([2]!COMPROMISOS_2024[[#All],[Total pagado]],[2]!COMPROMISOS_2024[[#All],[Bolsa]],PAA_4[[#This Row],[BOLSA]],[2]!COMPROMISOS_2024[[#All],[rubro]],PAA_4[[#This Row],[RCP-RUBRO]]))</f>
        <v>0</v>
      </c>
      <c r="AK289" s="47" t="e" cm="1">
        <f t="array" aca="1" ref="AK289" ca="1">_xlfn.XLOOKUP(PAA_4[[#This Row],[RCP-RUBRO]],[2]!COMPROMISOS_2024[[#All],[concatenado]],[2]!COMPROMISOS_2024[[#All],[Total Comprometido]],"",0)</f>
        <v>#NAME?</v>
      </c>
      <c r="AL289" s="47">
        <f>IF(PAA_4[[#This Row],[BOLSA]]=0,0,SUMIFS([2]!COMPROMISOS_2024[[#All],[Total Comprometido]],[2]!COMPROMISOS_2024[[#All],[Bolsa]],PAA_4[[#This Row],[BOLSA]],[2]!COMPROMISOS_2024[[#All],[concatenado]],PAA_4[[#This Row],[RCP-RUBRO]]))</f>
        <v>0</v>
      </c>
    </row>
    <row r="290" spans="1:38" s="19" customFormat="1" ht="31.5" customHeight="1">
      <c r="A290" s="47" t="s">
        <v>82</v>
      </c>
      <c r="B290" s="47" t="s">
        <v>42</v>
      </c>
      <c r="C290" s="47" t="str">
        <f>VLOOKUP(PAA_4[[#This Row],[PROYECTO (formulado)2]],[2]PROYECTOS!$G$1:$L$32,6,0)</f>
        <v>OFICINADECOMUNICACIONES</v>
      </c>
      <c r="D290" s="47" t="str">
        <f>+IF(PAA_4[[#This Row],[UNIDAD DE CONTRATACION (formulado)]]="Subgerencia Administrativa y Financiera","FUNCIONAMIENTO","INVERSIÓN")</f>
        <v>INVERSIÓN</v>
      </c>
      <c r="E290" s="48" t="str">
        <f>VLOOKUP(Q290,[2]PROYECTOS!$G$1:$K$32,5,0)</f>
        <v>FORTALECIMIENTO_DE_LA_IMAGEN_INSTITUCIONAL_COMO_REFERENTE_SOCIAL_PARA_EL_DEPARTAMENTO_DE_ANTIOQUIA</v>
      </c>
      <c r="F290" s="48">
        <f>VLOOKUP(E290,[2]PROYECTOS!$K$1:$M$32,3,0)</f>
        <v>2021003050071</v>
      </c>
      <c r="G290" s="49" t="s">
        <v>157</v>
      </c>
      <c r="H290" s="49" t="str">
        <f>VLOOKUP(Q290,[2]PROYECTOS!$V$1:$W$32,2,0)</f>
        <v>050067</v>
      </c>
      <c r="I290" s="50">
        <v>0</v>
      </c>
      <c r="J290" s="51" t="s">
        <v>1446</v>
      </c>
      <c r="K290" s="47" t="str">
        <f t="shared" ca="1" si="151"/>
        <v>CONTRATADO</v>
      </c>
      <c r="L290" s="47" t="s">
        <v>94</v>
      </c>
      <c r="M290" s="47" t="s">
        <v>1297</v>
      </c>
      <c r="N290" s="58" t="s">
        <v>166</v>
      </c>
      <c r="O290" s="51" t="e">
        <f>VLOOKUP(N290,[2]!RUBROS[#All],3,0)</f>
        <v>#REF!</v>
      </c>
      <c r="P290" s="53" t="e">
        <f>VLOOKUP(N290,[2]!RUBROS[#All],2,0)</f>
        <v>#REF!</v>
      </c>
      <c r="Q290" s="47" t="str">
        <f t="shared" si="152"/>
        <v>92</v>
      </c>
      <c r="R290" s="47" t="str">
        <f t="shared" si="153"/>
        <v>4-271130</v>
      </c>
      <c r="S290" s="339">
        <v>6</v>
      </c>
      <c r="T290" s="59" t="s">
        <v>46</v>
      </c>
      <c r="U290" s="326" t="e">
        <f ca="1">_xlfn.XLOOKUP(PAA_4[[#This Row],[ITEM]],[2]Contrato!A:A,[2]Contrato!Q:Q,"",0)</f>
        <v>#NAME?</v>
      </c>
      <c r="V290" s="47" t="s">
        <v>95</v>
      </c>
      <c r="W290" s="47" t="s">
        <v>154</v>
      </c>
      <c r="X290" s="47" t="s">
        <v>154</v>
      </c>
      <c r="Y290" s="55" t="e">
        <f ca="1">_xlfn.XLOOKUP(PAA_4[[#This Row],[ITEM]],[2]Contrato!A:A,[2]Contrato!B:B,"",0)</f>
        <v>#NAME?</v>
      </c>
      <c r="Z290" s="47" t="e">
        <f ca="1">_xlfn.XLOOKUP(PAA_4[[#This Row],[ITEM]],[2]Contrato!A:A,[2]Contrato!G:G,"",0)</f>
        <v>#NAME?</v>
      </c>
      <c r="AA290" s="47" t="e">
        <f ca="1">_xlfn.XLOOKUP(PAA_4[[#This Row],[ITEM]],[2]Contrato!A:A,[2]Contrato!T:T,"",0)</f>
        <v>#NAME?</v>
      </c>
      <c r="AB290" s="55" t="e">
        <f ca="1">+MAX(PAA_4[[#This Row],[Comprometido Contrato]],PAA_4[[#This Row],[Comprometido Bolsa]])</f>
        <v>#NAME?</v>
      </c>
      <c r="AC290" s="55" t="str">
        <f t="shared" ca="1" si="154"/>
        <v/>
      </c>
      <c r="AD290" s="55" t="e">
        <f ca="1">IF(PAA_4[[#This Row],[ESTADO (formulado)]]="NO CONTRATADO",0,MAX(PAA_4[[#This Row],[Pago por Contrato]],PAA_4[[#This Row],[Pago por bolsa]]))</f>
        <v>#NAME?</v>
      </c>
      <c r="AE290" s="55" t="str">
        <f t="shared" ca="1" si="155"/>
        <v/>
      </c>
      <c r="AF290" s="47" t="e">
        <f t="shared" ca="1" si="156"/>
        <v>#NAME?</v>
      </c>
      <c r="AG290" s="47">
        <f t="shared" si="157"/>
        <v>41080114</v>
      </c>
      <c r="AH290" s="54">
        <f>IF(Q290="22",IF(ISNUMBER(SEARCH("econ",PAA_4[[#This Row],[Actividad3]])),"Económico",IF(ISNUMBER(SEARCH("alim",PAA_4[[#This Row],[Actividad3]])),"Alimentación",IF(ISNUMBER(SEARCH("educ",PAA_4[[#This Row],[Actividad3]])),"Educativo","Técnico"))),0)</f>
        <v>0</v>
      </c>
      <c r="AI290" s="47" t="e" cm="1">
        <f t="array" aca="1" ref="AI290" ca="1">_xlfn.XLOOKUP(PAA_4[[#This Row],[RCP-RUBRO]],[2]!COMPROMISOS_2024[[#All],[concatenado]],[2]!COMPROMISOS_2024[[#All],[Total pagado]],"",0)</f>
        <v>#NAME?</v>
      </c>
      <c r="AJ290" s="56">
        <f>IF(PAA_4[[#This Row],[BOLSA]]=0,0,SUMIFS([2]!COMPROMISOS_2024[[#All],[Total pagado]],[2]!COMPROMISOS_2024[[#All],[Bolsa]],PAA_4[[#This Row],[BOLSA]],[2]!COMPROMISOS_2024[[#All],[rubro]],PAA_4[[#This Row],[RCP-RUBRO]]))</f>
        <v>0</v>
      </c>
      <c r="AK290" s="47" t="e" cm="1">
        <f t="array" aca="1" ref="AK290" ca="1">_xlfn.XLOOKUP(PAA_4[[#This Row],[RCP-RUBRO]],[2]!COMPROMISOS_2024[[#All],[concatenado]],[2]!COMPROMISOS_2024[[#All],[Total Comprometido]],"",0)</f>
        <v>#NAME?</v>
      </c>
      <c r="AL290" s="47">
        <f>IF(PAA_4[[#This Row],[BOLSA]]=0,0,SUMIFS([2]!COMPROMISOS_2024[[#All],[Total Comprometido]],[2]!COMPROMISOS_2024[[#All],[Bolsa]],PAA_4[[#This Row],[BOLSA]],[2]!COMPROMISOS_2024[[#All],[concatenado]],PAA_4[[#This Row],[RCP-RUBRO]]))</f>
        <v>0</v>
      </c>
    </row>
    <row r="291" spans="1:38" s="19" customFormat="1" ht="31.5" customHeight="1">
      <c r="A291" s="47" t="s">
        <v>82</v>
      </c>
      <c r="B291" s="47" t="s">
        <v>42</v>
      </c>
      <c r="C291" s="47" t="str">
        <f>VLOOKUP(PAA_4[[#This Row],[PROYECTO (formulado)2]],[2]PROYECTOS!$G$1:$L$32,6,0)</f>
        <v>OFICINADECOMUNICACIONES</v>
      </c>
      <c r="D291" s="47" t="str">
        <f>+IF(PAA_4[[#This Row],[UNIDAD DE CONTRATACION (formulado)]]="Subgerencia Administrativa y Financiera","FUNCIONAMIENTO","INVERSIÓN")</f>
        <v>INVERSIÓN</v>
      </c>
      <c r="E291" s="48" t="str">
        <f>VLOOKUP(Q291,[2]PROYECTOS!$G$1:$K$32,5,0)</f>
        <v>FORTALECIMIENTO_DE_LA_IMAGEN_INSTITUCIONAL_COMO_REFERENTE_SOCIAL_PARA_EL_DEPARTAMENTO_DE_ANTIOQUIA</v>
      </c>
      <c r="F291" s="48">
        <f>VLOOKUP(E291,[2]PROYECTOS!$K$1:$M$32,3,0)</f>
        <v>2021003050071</v>
      </c>
      <c r="G291" s="49" t="s">
        <v>167</v>
      </c>
      <c r="H291" s="49" t="str">
        <f>VLOOKUP(Q291,[2]PROYECTOS!$V$1:$W$32,2,0)</f>
        <v>050067</v>
      </c>
      <c r="I291" s="50">
        <v>556201</v>
      </c>
      <c r="J291" s="51" t="s">
        <v>1447</v>
      </c>
      <c r="K291" s="47" t="str">
        <f ca="1">IF(ISNONTEXT(Y291)=TRUE,"CONTRATADO","NO CONTRATADO")</f>
        <v>CONTRATADO</v>
      </c>
      <c r="L291" s="47" t="s">
        <v>42</v>
      </c>
      <c r="M291" s="47" t="s">
        <v>42</v>
      </c>
      <c r="N291" s="58" t="s">
        <v>166</v>
      </c>
      <c r="O291" s="51" t="e">
        <f>VLOOKUP(N291,[2]!RUBROS[#All],3,0)</f>
        <v>#REF!</v>
      </c>
      <c r="P291" s="53" t="e">
        <f>VLOOKUP(N291,[2]!RUBROS[#All],2,0)</f>
        <v>#REF!</v>
      </c>
      <c r="Q291" s="47" t="str">
        <f>+MID(N291,11,2)</f>
        <v>92</v>
      </c>
      <c r="R291" s="47" t="str">
        <f>+MID(N291,14,8)</f>
        <v>4-271130</v>
      </c>
      <c r="S291" s="339" t="s">
        <v>42</v>
      </c>
      <c r="T291" s="329" t="s">
        <v>42</v>
      </c>
      <c r="U291" s="326" t="e">
        <f ca="1">_xlfn.XLOOKUP(PAA_4[[#This Row],[ITEM]],[2]Contrato!A:A,[2]Contrato!Q:Q,"",0)</f>
        <v>#NAME?</v>
      </c>
      <c r="V291" s="47" t="s">
        <v>95</v>
      </c>
      <c r="W291" s="47" t="s">
        <v>42</v>
      </c>
      <c r="X291" s="47" t="s">
        <v>42</v>
      </c>
      <c r="Y291" s="55" t="e">
        <f ca="1">_xlfn.XLOOKUP(PAA_4[[#This Row],[ITEM]],[2]Contrato!A:A,[2]Contrato!B:B,"",0)</f>
        <v>#NAME?</v>
      </c>
      <c r="Z291" s="47" t="e">
        <f ca="1">_xlfn.XLOOKUP(PAA_4[[#This Row],[ITEM]],[2]Contrato!A:A,[2]Contrato!G:G,"",0)</f>
        <v>#NAME?</v>
      </c>
      <c r="AA291" s="47" t="e">
        <f ca="1">_xlfn.XLOOKUP(PAA_4[[#This Row],[ITEM]],[2]Contrato!A:A,[2]Contrato!T:T,"",0)</f>
        <v>#NAME?</v>
      </c>
      <c r="AB291" s="55" t="e">
        <f ca="1">+MAX(PAA_4[[#This Row],[Comprometido Contrato]],PAA_4[[#This Row],[Comprometido Bolsa]])</f>
        <v>#NAME?</v>
      </c>
      <c r="AC291" s="55" t="str">
        <f ca="1">IFERROR(I291-AB291,"")</f>
        <v/>
      </c>
      <c r="AD291" s="55" t="e">
        <f ca="1">IF(PAA_4[[#This Row],[ESTADO (formulado)]]="NO CONTRATADO",0,MAX(PAA_4[[#This Row],[Pago por Contrato]],PAA_4[[#This Row],[Pago por bolsa]]))</f>
        <v>#NAME?</v>
      </c>
      <c r="AE291" s="55" t="str">
        <f ca="1">+IFERROR(AB291-AD291,"")</f>
        <v/>
      </c>
      <c r="AF291" s="47" t="e">
        <f ca="1">+CONCATENATE(AA291,N291)</f>
        <v>#NAME?</v>
      </c>
      <c r="AG291" s="47">
        <f>IFERROR(_xlfn.NUMBERVALUE(MID(G291,1,8)),"")</f>
        <v>41080114</v>
      </c>
      <c r="AH291" s="54">
        <f>IF(Q291="22",IF(ISNUMBER(SEARCH("econ",PAA_4[[#This Row],[Actividad3]])),"Económico",IF(ISNUMBER(SEARCH("alim",PAA_4[[#This Row],[Actividad3]])),"Alimentación",IF(ISNUMBER(SEARCH("educ",PAA_4[[#This Row],[Actividad3]])),"Educativo","Técnico"))),0)</f>
        <v>0</v>
      </c>
      <c r="AI291" s="47" t="e" cm="1">
        <f t="array" aca="1" ref="AI291" ca="1">_xlfn.XLOOKUP(PAA_4[[#This Row],[RCP-RUBRO]],[2]!COMPROMISOS_2024[[#All],[concatenado]],[2]!COMPROMISOS_2024[[#All],[Total pagado]],"",0)</f>
        <v>#NAME?</v>
      </c>
      <c r="AJ291" s="56">
        <f>IF(PAA_4[[#This Row],[BOLSA]]=0,0,SUMIFS([2]!COMPROMISOS_2024[[#All],[Total pagado]],[2]!COMPROMISOS_2024[[#All],[Bolsa]],PAA_4[[#This Row],[BOLSA]],[2]!COMPROMISOS_2024[[#All],[rubro]],PAA_4[[#This Row],[RCP-RUBRO]]))</f>
        <v>0</v>
      </c>
      <c r="AK291" s="47" t="e" cm="1">
        <f t="array" aca="1" ref="AK291" ca="1">_xlfn.XLOOKUP(PAA_4[[#This Row],[RCP-RUBRO]],[2]!COMPROMISOS_2024[[#All],[concatenado]],[2]!COMPROMISOS_2024[[#All],[Total Comprometido]],"",0)</f>
        <v>#NAME?</v>
      </c>
      <c r="AL291" s="47">
        <f>IF(PAA_4[[#This Row],[BOLSA]]=0,0,SUMIFS([2]!COMPROMISOS_2024[[#All],[Total Comprometido]],[2]!COMPROMISOS_2024[[#All],[Bolsa]],PAA_4[[#This Row],[BOLSA]],[2]!COMPROMISOS_2024[[#All],[concatenado]],PAA_4[[#This Row],[RCP-RUBRO]]))</f>
        <v>0</v>
      </c>
    </row>
    <row r="292" spans="1:38" s="19" customFormat="1" ht="31.5" customHeight="1">
      <c r="A292" s="47">
        <v>845</v>
      </c>
      <c r="B292" s="47">
        <v>80111600</v>
      </c>
      <c r="C292" s="47" t="str">
        <f>VLOOKUP(PAA_4[[#This Row],[PROYECTO (formulado)2]],[2]PROYECTOS!$G$1:$L$32,6,0)</f>
        <v>OFICINADECOMUNICACIONES</v>
      </c>
      <c r="D292" s="47" t="str">
        <f>+IF(PAA_4[[#This Row],[UNIDAD DE CONTRATACION (formulado)]]="Subgerencia Administrativa y Financiera","FUNCIONAMIENTO","INVERSIÓN")</f>
        <v>INVERSIÓN</v>
      </c>
      <c r="E292" s="48" t="str">
        <f>VLOOKUP(Q292,[2]PROYECTOS!$G$1:$K$32,5,0)</f>
        <v>FORTALECIMIENTO_DE_LA_IMAGEN_INSTITUCIONAL_COMO_REFERENTE_SOCIAL_PARA_EL_DEPARTAMENTO_DE_ANTIOQUIA</v>
      </c>
      <c r="F292" s="48">
        <f>VLOOKUP(E292,[2]PROYECTOS!$K$1:$M$32,3,0)</f>
        <v>2021003050071</v>
      </c>
      <c r="G292" s="49" t="s">
        <v>167</v>
      </c>
      <c r="H292" s="49" t="str">
        <f>VLOOKUP(Q292,[2]PROYECTOS!$V$1:$W$32,2,0)</f>
        <v>050067</v>
      </c>
      <c r="I292" s="50">
        <f>20857550-556201</f>
        <v>20301349</v>
      </c>
      <c r="J292" s="51" t="s">
        <v>1448</v>
      </c>
      <c r="K292" s="47" t="str">
        <f t="shared" ref="K292:K297" ca="1" si="158">IF(ISNONTEXT(Y292)=TRUE,"CONTRATADO","NO CONTRATADO")</f>
        <v>CONTRATADO</v>
      </c>
      <c r="L292" s="47" t="s">
        <v>94</v>
      </c>
      <c r="M292" s="47" t="s">
        <v>1297</v>
      </c>
      <c r="N292" s="58" t="s">
        <v>166</v>
      </c>
      <c r="O292" s="51" t="e">
        <f>VLOOKUP(N292,[2]!RUBROS[#All],3,0)</f>
        <v>#REF!</v>
      </c>
      <c r="P292" s="53" t="e">
        <f>VLOOKUP(N292,[2]!RUBROS[#All],2,0)</f>
        <v>#REF!</v>
      </c>
      <c r="Q292" s="47" t="str">
        <f t="shared" ref="Q292:Q297" si="159">+MID(N292,11,2)</f>
        <v>92</v>
      </c>
      <c r="R292" s="47" t="str">
        <f t="shared" ref="R292:R297" si="160">+MID(N292,14,8)</f>
        <v>4-271130</v>
      </c>
      <c r="S292" s="339">
        <v>5</v>
      </c>
      <c r="T292" s="59" t="s">
        <v>46</v>
      </c>
      <c r="U292" s="326" t="e">
        <f ca="1">_xlfn.XLOOKUP(PAA_4[[#This Row],[ITEM]],[2]Contrato!A:A,[2]Contrato!Q:Q,"",0)</f>
        <v>#NAME?</v>
      </c>
      <c r="V292" s="47" t="s">
        <v>95</v>
      </c>
      <c r="W292" s="47" t="s">
        <v>194</v>
      </c>
      <c r="X292" s="47" t="s">
        <v>194</v>
      </c>
      <c r="Y292" s="55" t="e">
        <f ca="1">_xlfn.XLOOKUP(PAA_4[[#This Row],[ITEM]],[2]Contrato!A:A,[2]Contrato!B:B,"",0)</f>
        <v>#NAME?</v>
      </c>
      <c r="Z292" s="47" t="e">
        <f ca="1">_xlfn.XLOOKUP(PAA_4[[#This Row],[ITEM]],[2]Contrato!A:A,[2]Contrato!G:G,"",0)</f>
        <v>#NAME?</v>
      </c>
      <c r="AA292" s="47" t="e">
        <f ca="1">_xlfn.XLOOKUP(PAA_4[[#This Row],[ITEM]],[2]Contrato!A:A,[2]Contrato!T:T,"",0)</f>
        <v>#NAME?</v>
      </c>
      <c r="AB292" s="55" t="e">
        <f ca="1">+MAX(PAA_4[[#This Row],[Comprometido Contrato]],PAA_4[[#This Row],[Comprometido Bolsa]])</f>
        <v>#NAME?</v>
      </c>
      <c r="AC292" s="55" t="str">
        <f t="shared" ref="AC292:AC297" ca="1" si="161">IFERROR(I292-AB292,"")</f>
        <v/>
      </c>
      <c r="AD292" s="55" t="e">
        <f ca="1">IF(PAA_4[[#This Row],[ESTADO (formulado)]]="NO CONTRATADO",0,MAX(PAA_4[[#This Row],[Pago por Contrato]],PAA_4[[#This Row],[Pago por bolsa]]))</f>
        <v>#NAME?</v>
      </c>
      <c r="AE292" s="55" t="str">
        <f t="shared" ref="AE292:AE297" ca="1" si="162">+IFERROR(AB292-AD292,"")</f>
        <v/>
      </c>
      <c r="AF292" s="47" t="e">
        <f t="shared" ref="AF292:AF297" ca="1" si="163">+CONCATENATE(AA292,N292)</f>
        <v>#NAME?</v>
      </c>
      <c r="AG292" s="47">
        <f t="shared" ref="AG292:AG297" si="164">IFERROR(_xlfn.NUMBERVALUE(MID(G292,1,8)),"")</f>
        <v>41080114</v>
      </c>
      <c r="AH292" s="54">
        <f>IF(Q292="22",IF(ISNUMBER(SEARCH("econ",PAA_4[[#This Row],[Actividad3]])),"Económico",IF(ISNUMBER(SEARCH("alim",PAA_4[[#This Row],[Actividad3]])),"Alimentación",IF(ISNUMBER(SEARCH("educ",PAA_4[[#This Row],[Actividad3]])),"Educativo","Técnico"))),0)</f>
        <v>0</v>
      </c>
      <c r="AI292" s="47" t="e" cm="1">
        <f t="array" aca="1" ref="AI292" ca="1">_xlfn.XLOOKUP(PAA_4[[#This Row],[RCP-RUBRO]],[2]!COMPROMISOS_2024[[#All],[concatenado]],[2]!COMPROMISOS_2024[[#All],[Total pagado]],"",0)</f>
        <v>#NAME?</v>
      </c>
      <c r="AJ292" s="56">
        <f>IF(PAA_4[[#This Row],[BOLSA]]=0,0,SUMIFS([2]!COMPROMISOS_2024[[#All],[Total pagado]],[2]!COMPROMISOS_2024[[#All],[Bolsa]],PAA_4[[#This Row],[BOLSA]],[2]!COMPROMISOS_2024[[#All],[rubro]],PAA_4[[#This Row],[RCP-RUBRO]]))</f>
        <v>0</v>
      </c>
      <c r="AK292" s="47" t="e" cm="1">
        <f t="array" aca="1" ref="AK292" ca="1">_xlfn.XLOOKUP(PAA_4[[#This Row],[RCP-RUBRO]],[2]!COMPROMISOS_2024[[#All],[concatenado]],[2]!COMPROMISOS_2024[[#All],[Total Comprometido]],"",0)</f>
        <v>#NAME?</v>
      </c>
      <c r="AL292" s="47">
        <f>IF(PAA_4[[#This Row],[BOLSA]]=0,0,SUMIFS([2]!COMPROMISOS_2024[[#All],[Total Comprometido]],[2]!COMPROMISOS_2024[[#All],[Bolsa]],PAA_4[[#This Row],[BOLSA]],[2]!COMPROMISOS_2024[[#All],[concatenado]],PAA_4[[#This Row],[RCP-RUBRO]]))</f>
        <v>0</v>
      </c>
    </row>
    <row r="293" spans="1:38" s="19" customFormat="1" ht="31.5" customHeight="1">
      <c r="A293" s="47" t="s">
        <v>82</v>
      </c>
      <c r="B293" s="47" t="s">
        <v>42</v>
      </c>
      <c r="C293" s="47" t="str">
        <f>VLOOKUP(PAA_4[[#This Row],[PROYECTO (formulado)2]],[2]PROYECTOS!$G$1:$L$32,6,0)</f>
        <v>OFICINADECOMUNICACIONES</v>
      </c>
      <c r="D293" s="47" t="str">
        <f>+IF(PAA_4[[#This Row],[UNIDAD DE CONTRATACION (formulado)]]="Subgerencia Administrativa y Financiera","FUNCIONAMIENTO","INVERSIÓN")</f>
        <v>INVERSIÓN</v>
      </c>
      <c r="E293" s="48" t="str">
        <f>VLOOKUP(Q293,[2]PROYECTOS!$G$1:$K$32,5,0)</f>
        <v>FORTALECIMIENTO_DE_LA_IMAGEN_INSTITUCIONAL_COMO_REFERENTE_SOCIAL_PARA_EL_DEPARTAMENTO_DE_ANTIOQUIA</v>
      </c>
      <c r="F293" s="48">
        <f>VLOOKUP(E293,[2]PROYECTOS!$K$1:$M$32,3,0)</f>
        <v>2021003050071</v>
      </c>
      <c r="G293" s="49" t="s">
        <v>167</v>
      </c>
      <c r="H293" s="49" t="str">
        <f>VLOOKUP(Q293,[2]PROYECTOS!$V$1:$W$32,2,0)</f>
        <v>050067</v>
      </c>
      <c r="I293" s="50">
        <v>0</v>
      </c>
      <c r="J293" s="51" t="s">
        <v>1449</v>
      </c>
      <c r="K293" s="47" t="str">
        <f t="shared" ca="1" si="158"/>
        <v>CONTRATADO</v>
      </c>
      <c r="L293" s="47" t="s">
        <v>94</v>
      </c>
      <c r="M293" s="47" t="s">
        <v>1297</v>
      </c>
      <c r="N293" s="58" t="s">
        <v>166</v>
      </c>
      <c r="O293" s="51" t="e">
        <f>VLOOKUP(N293,[2]!RUBROS[#All],3,0)</f>
        <v>#REF!</v>
      </c>
      <c r="P293" s="53" t="e">
        <f>VLOOKUP(N293,[2]!RUBROS[#All],2,0)</f>
        <v>#REF!</v>
      </c>
      <c r="Q293" s="47" t="str">
        <f t="shared" si="159"/>
        <v>92</v>
      </c>
      <c r="R293" s="47" t="str">
        <f t="shared" si="160"/>
        <v>4-271130</v>
      </c>
      <c r="S293" s="339" t="s">
        <v>42</v>
      </c>
      <c r="T293" s="59"/>
      <c r="U293" s="326" t="e">
        <f ca="1">_xlfn.XLOOKUP(PAA_4[[#This Row],[ITEM]],[2]Contrato!A:A,[2]Contrato!Q:Q,"",0)</f>
        <v>#NAME?</v>
      </c>
      <c r="V293" s="47" t="s">
        <v>95</v>
      </c>
      <c r="W293" s="47" t="s">
        <v>42</v>
      </c>
      <c r="X293" s="47" t="s">
        <v>42</v>
      </c>
      <c r="Y293" s="55" t="e">
        <f ca="1">_xlfn.XLOOKUP(PAA_4[[#This Row],[ITEM]],[2]Contrato!A:A,[2]Contrato!B:B,"",0)</f>
        <v>#NAME?</v>
      </c>
      <c r="Z293" s="47" t="e">
        <f ca="1">_xlfn.XLOOKUP(PAA_4[[#This Row],[ITEM]],[2]Contrato!A:A,[2]Contrato!G:G,"",0)</f>
        <v>#NAME?</v>
      </c>
      <c r="AA293" s="47" t="e">
        <f ca="1">_xlfn.XLOOKUP(PAA_4[[#This Row],[ITEM]],[2]Contrato!A:A,[2]Contrato!T:T,"",0)</f>
        <v>#NAME?</v>
      </c>
      <c r="AB293" s="55" t="e">
        <f ca="1">+MAX(PAA_4[[#This Row],[Comprometido Contrato]],PAA_4[[#This Row],[Comprometido Bolsa]])</f>
        <v>#NAME?</v>
      </c>
      <c r="AC293" s="55" t="str">
        <f t="shared" ca="1" si="161"/>
        <v/>
      </c>
      <c r="AD293" s="55" t="e">
        <f ca="1">IF(PAA_4[[#This Row],[ESTADO (formulado)]]="NO CONTRATADO",0,MAX(PAA_4[[#This Row],[Pago por Contrato]],PAA_4[[#This Row],[Pago por bolsa]]))</f>
        <v>#NAME?</v>
      </c>
      <c r="AE293" s="55" t="str">
        <f t="shared" ca="1" si="162"/>
        <v/>
      </c>
      <c r="AF293" s="47" t="e">
        <f t="shared" ca="1" si="163"/>
        <v>#NAME?</v>
      </c>
      <c r="AG293" s="47">
        <f t="shared" si="164"/>
        <v>41080114</v>
      </c>
      <c r="AH293" s="54">
        <f>IF(Q293="22",IF(ISNUMBER(SEARCH("econ",PAA_4[[#This Row],[Actividad3]])),"Económico",IF(ISNUMBER(SEARCH("alim",PAA_4[[#This Row],[Actividad3]])),"Alimentación",IF(ISNUMBER(SEARCH("educ",PAA_4[[#This Row],[Actividad3]])),"Educativo","Técnico"))),0)</f>
        <v>0</v>
      </c>
      <c r="AI293" s="47" t="e" cm="1">
        <f t="array" aca="1" ref="AI293" ca="1">_xlfn.XLOOKUP(PAA_4[[#This Row],[RCP-RUBRO]],[2]!COMPROMISOS_2024[[#All],[concatenado]],[2]!COMPROMISOS_2024[[#All],[Total pagado]],"",0)</f>
        <v>#NAME?</v>
      </c>
      <c r="AJ293" s="56">
        <f>IF(PAA_4[[#This Row],[BOLSA]]=0,0,SUMIFS([2]!COMPROMISOS_2024[[#All],[Total pagado]],[2]!COMPROMISOS_2024[[#All],[Bolsa]],PAA_4[[#This Row],[BOLSA]],[2]!COMPROMISOS_2024[[#All],[rubro]],PAA_4[[#This Row],[RCP-RUBRO]]))</f>
        <v>0</v>
      </c>
      <c r="AK293" s="47" t="e" cm="1">
        <f t="array" aca="1" ref="AK293" ca="1">_xlfn.XLOOKUP(PAA_4[[#This Row],[RCP-RUBRO]],[2]!COMPROMISOS_2024[[#All],[concatenado]],[2]!COMPROMISOS_2024[[#All],[Total Comprometido]],"",0)</f>
        <v>#NAME?</v>
      </c>
      <c r="AL293" s="47">
        <f>IF(PAA_4[[#This Row],[BOLSA]]=0,0,SUMIFS([2]!COMPROMISOS_2024[[#All],[Total Comprometido]],[2]!COMPROMISOS_2024[[#All],[Bolsa]],PAA_4[[#This Row],[BOLSA]],[2]!COMPROMISOS_2024[[#All],[concatenado]],PAA_4[[#This Row],[RCP-RUBRO]]))</f>
        <v>0</v>
      </c>
    </row>
    <row r="294" spans="1:38" s="19" customFormat="1" ht="31.5" customHeight="1">
      <c r="A294" s="47" t="s">
        <v>82</v>
      </c>
      <c r="B294" s="47" t="s">
        <v>42</v>
      </c>
      <c r="C294" s="47" t="str">
        <f>VLOOKUP(PAA_4[[#This Row],[PROYECTO (formulado)2]],[2]PROYECTOS!$G$1:$L$32,6,0)</f>
        <v>OFICINADECOMUNICACIONES</v>
      </c>
      <c r="D294" s="47" t="str">
        <f>+IF(PAA_4[[#This Row],[UNIDAD DE CONTRATACION (formulado)]]="Subgerencia Administrativa y Financiera","FUNCIONAMIENTO","INVERSIÓN")</f>
        <v>INVERSIÓN</v>
      </c>
      <c r="E294" s="48" t="str">
        <f>VLOOKUP(Q294,[2]PROYECTOS!$G$1:$K$32,5,0)</f>
        <v>FORTALECIMIENTO_DE_LA_IMAGEN_INSTITUCIONAL_COMO_REFERENTE_SOCIAL_PARA_EL_DEPARTAMENTO_DE_ANTIOQUIA</v>
      </c>
      <c r="F294" s="48">
        <f>VLOOKUP(E294,[2]PROYECTOS!$K$1:$M$32,3,0)</f>
        <v>2021003050071</v>
      </c>
      <c r="G294" s="49" t="s">
        <v>160</v>
      </c>
      <c r="H294" s="49" t="str">
        <f>VLOOKUP(Q294,[2]PROYECTOS!$V$1:$W$32,2,0)</f>
        <v>050067</v>
      </c>
      <c r="I294" s="50">
        <v>0</v>
      </c>
      <c r="J294" s="51" t="s">
        <v>1450</v>
      </c>
      <c r="K294" s="47" t="str">
        <f t="shared" ca="1" si="158"/>
        <v>CONTRATADO</v>
      </c>
      <c r="L294" s="47" t="s">
        <v>94</v>
      </c>
      <c r="M294" s="47" t="s">
        <v>1297</v>
      </c>
      <c r="N294" s="58" t="s">
        <v>168</v>
      </c>
      <c r="O294" s="51" t="e">
        <f>VLOOKUP(N294,[2]!RUBROS[#All],3,0)</f>
        <v>#REF!</v>
      </c>
      <c r="P294" s="53" t="e">
        <f>VLOOKUP(N294,[2]!RUBROS[#All],2,0)</f>
        <v>#REF!</v>
      </c>
      <c r="Q294" s="47" t="str">
        <f t="shared" si="159"/>
        <v>92</v>
      </c>
      <c r="R294" s="47" t="str">
        <f t="shared" si="160"/>
        <v>4-271130</v>
      </c>
      <c r="S294" s="339">
        <v>6</v>
      </c>
      <c r="T294" s="59" t="s">
        <v>46</v>
      </c>
      <c r="U294" s="326" t="e">
        <f ca="1">_xlfn.XLOOKUP(PAA_4[[#This Row],[ITEM]],[2]Contrato!A:A,[2]Contrato!Q:Q,"",0)</f>
        <v>#NAME?</v>
      </c>
      <c r="V294" s="47" t="s">
        <v>95</v>
      </c>
      <c r="W294" s="47" t="s">
        <v>154</v>
      </c>
      <c r="X294" s="47" t="s">
        <v>154</v>
      </c>
      <c r="Y294" s="55" t="e">
        <f ca="1">_xlfn.XLOOKUP(PAA_4[[#This Row],[ITEM]],[2]Contrato!A:A,[2]Contrato!B:B,"",0)</f>
        <v>#NAME?</v>
      </c>
      <c r="Z294" s="47" t="e">
        <f ca="1">_xlfn.XLOOKUP(PAA_4[[#This Row],[ITEM]],[2]Contrato!A:A,[2]Contrato!G:G,"",0)</f>
        <v>#NAME?</v>
      </c>
      <c r="AA294" s="47" t="e">
        <f ca="1">_xlfn.XLOOKUP(PAA_4[[#This Row],[ITEM]],[2]Contrato!A:A,[2]Contrato!T:T,"",0)</f>
        <v>#NAME?</v>
      </c>
      <c r="AB294" s="55" t="e">
        <f ca="1">+MAX(PAA_4[[#This Row],[Comprometido Contrato]],PAA_4[[#This Row],[Comprometido Bolsa]])</f>
        <v>#NAME?</v>
      </c>
      <c r="AC294" s="55" t="str">
        <f t="shared" ca="1" si="161"/>
        <v/>
      </c>
      <c r="AD294" s="55" t="e">
        <f ca="1">IF(PAA_4[[#This Row],[ESTADO (formulado)]]="NO CONTRATADO",0,MAX(PAA_4[[#This Row],[Pago por Contrato]],PAA_4[[#This Row],[Pago por bolsa]]))</f>
        <v>#NAME?</v>
      </c>
      <c r="AE294" s="55" t="str">
        <f t="shared" ca="1" si="162"/>
        <v/>
      </c>
      <c r="AF294" s="47" t="e">
        <f t="shared" ca="1" si="163"/>
        <v>#NAME?</v>
      </c>
      <c r="AG294" s="47">
        <f t="shared" si="164"/>
        <v>41080113</v>
      </c>
      <c r="AH294" s="54">
        <f>IF(Q294="22",IF(ISNUMBER(SEARCH("econ",PAA_4[[#This Row],[Actividad3]])),"Económico",IF(ISNUMBER(SEARCH("alim",PAA_4[[#This Row],[Actividad3]])),"Alimentación",IF(ISNUMBER(SEARCH("educ",PAA_4[[#This Row],[Actividad3]])),"Educativo","Técnico"))),0)</f>
        <v>0</v>
      </c>
      <c r="AI294" s="47" t="e" cm="1">
        <f t="array" aca="1" ref="AI294" ca="1">_xlfn.XLOOKUP(PAA_4[[#This Row],[RCP-RUBRO]],[2]!COMPROMISOS_2024[[#All],[concatenado]],[2]!COMPROMISOS_2024[[#All],[Total pagado]],"",0)</f>
        <v>#NAME?</v>
      </c>
      <c r="AJ294" s="56">
        <f>IF(PAA_4[[#This Row],[BOLSA]]=0,0,SUMIFS([2]!COMPROMISOS_2024[[#All],[Total pagado]],[2]!COMPROMISOS_2024[[#All],[Bolsa]],PAA_4[[#This Row],[BOLSA]],[2]!COMPROMISOS_2024[[#All],[rubro]],PAA_4[[#This Row],[RCP-RUBRO]]))</f>
        <v>0</v>
      </c>
      <c r="AK294" s="47" t="e" cm="1">
        <f t="array" aca="1" ref="AK294" ca="1">_xlfn.XLOOKUP(PAA_4[[#This Row],[RCP-RUBRO]],[2]!COMPROMISOS_2024[[#All],[concatenado]],[2]!COMPROMISOS_2024[[#All],[Total Comprometido]],"",0)</f>
        <v>#NAME?</v>
      </c>
      <c r="AL294" s="47">
        <f>IF(PAA_4[[#This Row],[BOLSA]]=0,0,SUMIFS([2]!COMPROMISOS_2024[[#All],[Total Comprometido]],[2]!COMPROMISOS_2024[[#All],[Bolsa]],PAA_4[[#This Row],[BOLSA]],[2]!COMPROMISOS_2024[[#All],[concatenado]],PAA_4[[#This Row],[RCP-RUBRO]]))</f>
        <v>0</v>
      </c>
    </row>
    <row r="295" spans="1:38" s="19" customFormat="1" ht="31.5" customHeight="1">
      <c r="A295" s="47">
        <v>40</v>
      </c>
      <c r="B295" s="51" t="s">
        <v>169</v>
      </c>
      <c r="C295" s="47" t="str">
        <f>VLOOKUP(PAA_4[[#This Row],[PROYECTO (formulado)2]],[2]PROYECTOS!$G$1:$L$32,6,0)</f>
        <v>OFICINADECOMUNICACIONES</v>
      </c>
      <c r="D295" s="47" t="str">
        <f>+IF(PAA_4[[#This Row],[UNIDAD DE CONTRATACION (formulado)]]="Subgerencia Administrativa y Financiera","FUNCIONAMIENTO","INVERSIÓN")</f>
        <v>INVERSIÓN</v>
      </c>
      <c r="E295" s="48" t="str">
        <f>VLOOKUP(Q295,[2]PROYECTOS!$G$1:$K$32,5,0)</f>
        <v>FORTALECIMIENTO_DE_LA_IMAGEN_INSTITUCIONAL_COMO_REFERENTE_SOCIAL_PARA_EL_DEPARTAMENTO_DE_ANTIOQUIA</v>
      </c>
      <c r="F295" s="48">
        <f>VLOOKUP(E295,[2]PROYECTOS!$K$1:$M$32,3,0)</f>
        <v>2021003050071</v>
      </c>
      <c r="G295" s="49" t="s">
        <v>157</v>
      </c>
      <c r="H295" s="49" t="str">
        <f>VLOOKUP(Q295,[2]PROYECTOS!$V$1:$W$32,2,0)</f>
        <v>050067</v>
      </c>
      <c r="I295" s="50">
        <v>93253160</v>
      </c>
      <c r="J295" s="51" t="s">
        <v>1451</v>
      </c>
      <c r="K295" s="47" t="str">
        <f t="shared" ca="1" si="158"/>
        <v>CONTRATADO</v>
      </c>
      <c r="L295" s="47" t="s">
        <v>94</v>
      </c>
      <c r="M295" s="47" t="s">
        <v>161</v>
      </c>
      <c r="N295" s="52" t="s">
        <v>170</v>
      </c>
      <c r="O295" s="51" t="e">
        <f>VLOOKUP(N295,[2]!RUBROS[#All],3,0)</f>
        <v>#REF!</v>
      </c>
      <c r="P295" s="53" t="e">
        <f>VLOOKUP(N295,[2]!RUBROS[#All],2,0)</f>
        <v>#REF!</v>
      </c>
      <c r="Q295" s="47" t="str">
        <f t="shared" si="159"/>
        <v>92</v>
      </c>
      <c r="R295" s="47" t="str">
        <f t="shared" si="160"/>
        <v>0-271130</v>
      </c>
      <c r="S295" s="54">
        <v>9</v>
      </c>
      <c r="T295" s="59" t="s">
        <v>46</v>
      </c>
      <c r="U295" s="326" t="e">
        <f ca="1">_xlfn.XLOOKUP(PAA_4[[#This Row],[ITEM]],[2]Contrato!A:A,[2]Contrato!Q:Q,"",0)</f>
        <v>#NAME?</v>
      </c>
      <c r="V295" s="47" t="s">
        <v>95</v>
      </c>
      <c r="W295" s="47" t="s">
        <v>96</v>
      </c>
      <c r="X295" s="47" t="s">
        <v>96</v>
      </c>
      <c r="Y295" s="55" t="e">
        <f ca="1">_xlfn.XLOOKUP(PAA_4[[#This Row],[ITEM]],[2]Contrato!A:A,[2]Contrato!B:B,"",0)</f>
        <v>#NAME?</v>
      </c>
      <c r="Z295" s="47" t="e">
        <f ca="1">_xlfn.XLOOKUP(PAA_4[[#This Row],[ITEM]],[2]Contrato!A:A,[2]Contrato!G:G,"",0)</f>
        <v>#NAME?</v>
      </c>
      <c r="AA295" s="47" t="e">
        <f ca="1">_xlfn.XLOOKUP(PAA_4[[#This Row],[ITEM]],[2]Contrato!A:A,[2]Contrato!T:T,"",0)</f>
        <v>#NAME?</v>
      </c>
      <c r="AB295" s="55" t="e">
        <f ca="1">+MAX(PAA_4[[#This Row],[Comprometido Contrato]],PAA_4[[#This Row],[Comprometido Bolsa]])</f>
        <v>#NAME?</v>
      </c>
      <c r="AC295" s="55" t="str">
        <f t="shared" ca="1" si="161"/>
        <v/>
      </c>
      <c r="AD295" s="55" t="e">
        <f ca="1">IF(PAA_4[[#This Row],[ESTADO (formulado)]]="NO CONTRATADO",0,MAX(PAA_4[[#This Row],[Pago por Contrato]],PAA_4[[#This Row],[Pago por bolsa]]))</f>
        <v>#NAME?</v>
      </c>
      <c r="AE295" s="55" t="str">
        <f t="shared" ca="1" si="162"/>
        <v/>
      </c>
      <c r="AF295" s="47" t="e">
        <f t="shared" ca="1" si="163"/>
        <v>#NAME?</v>
      </c>
      <c r="AG295" s="47">
        <f t="shared" si="164"/>
        <v>41080114</v>
      </c>
      <c r="AH295" s="54">
        <f>IF(Q295="22",IF(ISNUMBER(SEARCH("econ",PAA_4[[#This Row],[Actividad3]])),"Económico",IF(ISNUMBER(SEARCH("alim",PAA_4[[#This Row],[Actividad3]])),"Alimentación",IF(ISNUMBER(SEARCH("educ",PAA_4[[#This Row],[Actividad3]])),"Educativo","Técnico"))),0)</f>
        <v>0</v>
      </c>
      <c r="AI295" s="47" t="e" cm="1">
        <f t="array" aca="1" ref="AI295" ca="1">_xlfn.XLOOKUP(PAA_4[[#This Row],[RCP-RUBRO]],[2]!COMPROMISOS_2024[[#All],[concatenado]],[2]!COMPROMISOS_2024[[#All],[Total pagado]],"",0)</f>
        <v>#NAME?</v>
      </c>
      <c r="AJ295" s="56">
        <f>IF(PAA_4[[#This Row],[BOLSA]]=0,0,SUMIFS([2]!COMPROMISOS_2024[[#All],[Total pagado]],[2]!COMPROMISOS_2024[[#All],[Bolsa]],PAA_4[[#This Row],[BOLSA]],[2]!COMPROMISOS_2024[[#All],[rubro]],PAA_4[[#This Row],[RCP-RUBRO]]))</f>
        <v>0</v>
      </c>
      <c r="AK295" s="47" t="e" cm="1">
        <f t="array" aca="1" ref="AK295" ca="1">_xlfn.XLOOKUP(PAA_4[[#This Row],[RCP-RUBRO]],[2]!COMPROMISOS_2024[[#All],[concatenado]],[2]!COMPROMISOS_2024[[#All],[Total Comprometido]],"",0)</f>
        <v>#NAME?</v>
      </c>
      <c r="AL295" s="47">
        <f>IF(PAA_4[[#This Row],[BOLSA]]=0,0,SUMIFS([2]!COMPROMISOS_2024[[#All],[Total Comprometido]],[2]!COMPROMISOS_2024[[#All],[Bolsa]],PAA_4[[#This Row],[BOLSA]],[2]!COMPROMISOS_2024[[#All],[concatenado]],PAA_4[[#This Row],[RCP-RUBRO]]))</f>
        <v>0</v>
      </c>
    </row>
    <row r="296" spans="1:38" s="19" customFormat="1" ht="31.5" customHeight="1">
      <c r="A296" s="47" t="s">
        <v>82</v>
      </c>
      <c r="B296" s="51" t="s">
        <v>42</v>
      </c>
      <c r="C296" s="47" t="str">
        <f>VLOOKUP(PAA_4[[#This Row],[PROYECTO (formulado)2]],[2]PROYECTOS!$G$1:$L$32,6,0)</f>
        <v>OFICINA DE PLANEACION</v>
      </c>
      <c r="D296" s="47" t="str">
        <f>+IF(PAA_4[[#This Row],[UNIDAD DE CONTRATACION (formulado)]]="Subgerencia Administrativa y Financiera","FUNCIONAMIENTO","INVERSIÓN")</f>
        <v>INVERSIÓN</v>
      </c>
      <c r="E296" s="48" t="str">
        <f>VLOOKUP(Q296,[2]PROYECTOS!$G$1:$K$32,5,0)</f>
        <v>FORTALECIMIENTO_DEL_OBSERVATORIO_DEL_DEPORTE_DE_ANTIOQUIA</v>
      </c>
      <c r="F296" s="48">
        <f>VLOOKUP(E296,[2]PROYECTOS!$K$1:$M$32,3,0)</f>
        <v>2020003050273</v>
      </c>
      <c r="G296" s="49" t="s">
        <v>171</v>
      </c>
      <c r="H296" s="49">
        <f>VLOOKUP(Q296,[2]PROYECTOS!$V$1:$W$32,2,0)</f>
        <v>220321</v>
      </c>
      <c r="I296" s="50">
        <v>1246243</v>
      </c>
      <c r="J296" s="51" t="s">
        <v>1452</v>
      </c>
      <c r="K296" s="47" t="str">
        <f t="shared" ca="1" si="158"/>
        <v>CONTRATADO</v>
      </c>
      <c r="L296" s="47" t="s">
        <v>42</v>
      </c>
      <c r="M296" s="47" t="s">
        <v>42</v>
      </c>
      <c r="N296" s="52" t="s">
        <v>172</v>
      </c>
      <c r="O296" s="51" t="e">
        <f>VLOOKUP(N296,[2]!RUBROS[#All],3,0)</f>
        <v>#REF!</v>
      </c>
      <c r="P296" s="53" t="e">
        <f>VLOOKUP(N296,[2]!RUBROS[#All],2,0)</f>
        <v>#REF!</v>
      </c>
      <c r="Q296" s="47" t="str">
        <f t="shared" si="159"/>
        <v>54</v>
      </c>
      <c r="R296" s="47" t="str">
        <f t="shared" si="160"/>
        <v>0-101024</v>
      </c>
      <c r="S296" s="54" t="s">
        <v>42</v>
      </c>
      <c r="T296" s="63" t="s">
        <v>42</v>
      </c>
      <c r="U296" s="326" t="e">
        <f ca="1">_xlfn.XLOOKUP(PAA_4[[#This Row],[ITEM]],[2]Contrato!A:A,[2]Contrato!Q:Q,"",0)</f>
        <v>#NAME?</v>
      </c>
      <c r="V296" s="47" t="s">
        <v>95</v>
      </c>
      <c r="W296" s="47" t="s">
        <v>42</v>
      </c>
      <c r="X296" s="47" t="s">
        <v>42</v>
      </c>
      <c r="Y296" s="55" t="e">
        <f ca="1">_xlfn.XLOOKUP(PAA_4[[#This Row],[ITEM]],[2]Contrato!A:A,[2]Contrato!B:B,"",0)</f>
        <v>#NAME?</v>
      </c>
      <c r="Z296" s="47" t="e">
        <f ca="1">_xlfn.XLOOKUP(PAA_4[[#This Row],[ITEM]],[2]Contrato!A:A,[2]Contrato!G:G,"",0)</f>
        <v>#NAME?</v>
      </c>
      <c r="AA296" s="47" t="e">
        <f ca="1">_xlfn.XLOOKUP(PAA_4[[#This Row],[ITEM]],[2]Contrato!A:A,[2]Contrato!T:T,"",0)</f>
        <v>#NAME?</v>
      </c>
      <c r="AB296" s="55" t="e">
        <f ca="1">+MAX(PAA_4[[#This Row],[Comprometido Contrato]],PAA_4[[#This Row],[Comprometido Bolsa]])</f>
        <v>#NAME?</v>
      </c>
      <c r="AC296" s="55" t="str">
        <f t="shared" ca="1" si="161"/>
        <v/>
      </c>
      <c r="AD296" s="55" t="e">
        <f ca="1">IF(PAA_4[[#This Row],[ESTADO (formulado)]]="NO CONTRATADO",0,MAX(PAA_4[[#This Row],[Pago por Contrato]],PAA_4[[#This Row],[Pago por bolsa]]))</f>
        <v>#NAME?</v>
      </c>
      <c r="AE296" s="55" t="str">
        <f t="shared" ca="1" si="162"/>
        <v/>
      </c>
      <c r="AF296" s="47" t="e">
        <f t="shared" ca="1" si="163"/>
        <v>#NAME?</v>
      </c>
      <c r="AG296" s="47">
        <f t="shared" si="164"/>
        <v>41080302</v>
      </c>
      <c r="AH296" s="54">
        <f>IF(Q296="22",IF(ISNUMBER(SEARCH("econ",PAA_4[[#This Row],[Actividad3]])),"Económico",IF(ISNUMBER(SEARCH("alim",PAA_4[[#This Row],[Actividad3]])),"Alimentación",IF(ISNUMBER(SEARCH("educ",PAA_4[[#This Row],[Actividad3]])),"Educativo","Técnico"))),0)</f>
        <v>0</v>
      </c>
      <c r="AI296" s="47" t="e" cm="1">
        <f t="array" aca="1" ref="AI296" ca="1">_xlfn.XLOOKUP(PAA_4[[#This Row],[RCP-RUBRO]],[2]!COMPROMISOS_2024[[#All],[concatenado]],[2]!COMPROMISOS_2024[[#All],[Total pagado]],"",0)</f>
        <v>#NAME?</v>
      </c>
      <c r="AJ296" s="56">
        <f>IF(PAA_4[[#This Row],[BOLSA]]=0,0,SUMIFS([2]!COMPROMISOS_2024[[#All],[Total pagado]],[2]!COMPROMISOS_2024[[#All],[Bolsa]],PAA_4[[#This Row],[BOLSA]],[2]!COMPROMISOS_2024[[#All],[rubro]],PAA_4[[#This Row],[RCP-RUBRO]]))</f>
        <v>0</v>
      </c>
      <c r="AK296" s="47" t="e" cm="1">
        <f t="array" aca="1" ref="AK296" ca="1">_xlfn.XLOOKUP(PAA_4[[#This Row],[RCP-RUBRO]],[2]!COMPROMISOS_2024[[#All],[concatenado]],[2]!COMPROMISOS_2024[[#All],[Total Comprometido]],"",0)</f>
        <v>#NAME?</v>
      </c>
      <c r="AL296" s="47">
        <f>IF(PAA_4[[#This Row],[BOLSA]]=0,0,SUMIFS([2]!COMPROMISOS_2024[[#All],[Total Comprometido]],[2]!COMPROMISOS_2024[[#All],[Bolsa]],PAA_4[[#This Row],[BOLSA]],[2]!COMPROMISOS_2024[[#All],[concatenado]],PAA_4[[#This Row],[RCP-RUBRO]]))</f>
        <v>0</v>
      </c>
    </row>
    <row r="297" spans="1:38" s="19" customFormat="1" ht="31.5" customHeight="1">
      <c r="A297" s="47" t="s">
        <v>82</v>
      </c>
      <c r="B297" s="51" t="s">
        <v>42</v>
      </c>
      <c r="C297" s="47" t="str">
        <f>VLOOKUP(PAA_4[[#This Row],[PROYECTO (formulado)2]],[2]PROYECTOS!$G$1:$L$32,6,0)</f>
        <v>SUBGERENCIA ADMINISTRATIVA Y FINANCIERA</v>
      </c>
      <c r="D297" s="47" t="str">
        <f>+IF(PAA_4[[#This Row],[UNIDAD DE CONTRATACION (formulado)]]="Subgerencia Administrativa y Financiera","FUNCIONAMIENTO","INVERSIÓN")</f>
        <v>FUNCIONAMIENTO</v>
      </c>
      <c r="E297" s="48" t="str">
        <f>VLOOKUP(Q297,[2]PROYECTOS!$G$1:$K$32,5,0)</f>
        <v>Fortalecimiento de los sistemas de información y la gestión estratégica para el deporte, la recreación y la actividad física de Antioquia</v>
      </c>
      <c r="F297" s="48">
        <f>VLOOKUP(E297,[2]PROYECTOS!$K$1:$M$32,3,0)</f>
        <v>2024003050077</v>
      </c>
      <c r="G297" s="49" t="s">
        <v>1453</v>
      </c>
      <c r="H297" s="49" t="str">
        <f>VLOOKUP(Q297,[2]PROYECTOS!$V$1:$W$32,2,0)</f>
        <v>220387</v>
      </c>
      <c r="I297" s="50">
        <v>2180926</v>
      </c>
      <c r="J297" s="51" t="s">
        <v>1452</v>
      </c>
      <c r="K297" s="47" t="str">
        <f t="shared" ca="1" si="158"/>
        <v>CONTRATADO</v>
      </c>
      <c r="L297" s="47" t="s">
        <v>42</v>
      </c>
      <c r="M297" s="47" t="s">
        <v>42</v>
      </c>
      <c r="N297" s="52" t="s">
        <v>1454</v>
      </c>
      <c r="O297" s="51" t="e">
        <f>VLOOKUP(N297,[2]!RUBROS[#All],3,0)</f>
        <v>#REF!</v>
      </c>
      <c r="P297" s="53" t="e">
        <f>VLOOKUP(N297,[2]!RUBROS[#All],2,0)</f>
        <v>#REF!</v>
      </c>
      <c r="Q297" s="47" t="str">
        <f t="shared" si="159"/>
        <v>77</v>
      </c>
      <c r="R297" s="47" t="str">
        <f t="shared" si="160"/>
        <v>0-205128</v>
      </c>
      <c r="S297" s="54" t="s">
        <v>42</v>
      </c>
      <c r="T297" s="63" t="s">
        <v>42</v>
      </c>
      <c r="U297" s="326" t="e">
        <f ca="1">_xlfn.XLOOKUP(PAA_4[[#This Row],[ITEM]],[2]Contrato!A:A,[2]Contrato!Q:Q,"",0)</f>
        <v>#NAME?</v>
      </c>
      <c r="V297" s="47" t="s">
        <v>95</v>
      </c>
      <c r="W297" s="47" t="s">
        <v>42</v>
      </c>
      <c r="X297" s="47" t="s">
        <v>42</v>
      </c>
      <c r="Y297" s="55" t="e">
        <f ca="1">_xlfn.XLOOKUP(PAA_4[[#This Row],[ITEM]],[2]Contrato!A:A,[2]Contrato!B:B,"",0)</f>
        <v>#NAME?</v>
      </c>
      <c r="Z297" s="47" t="e">
        <f ca="1">_xlfn.XLOOKUP(PAA_4[[#This Row],[ITEM]],[2]Contrato!A:A,[2]Contrato!G:G,"",0)</f>
        <v>#NAME?</v>
      </c>
      <c r="AA297" s="47" t="e">
        <f ca="1">_xlfn.XLOOKUP(PAA_4[[#This Row],[ITEM]],[2]Contrato!A:A,[2]Contrato!T:T,"",0)</f>
        <v>#NAME?</v>
      </c>
      <c r="AB297" s="55" t="e">
        <f ca="1">+MAX(PAA_4[[#This Row],[Comprometido Contrato]],PAA_4[[#This Row],[Comprometido Bolsa]])</f>
        <v>#NAME?</v>
      </c>
      <c r="AC297" s="55" t="str">
        <f t="shared" ca="1" si="161"/>
        <v/>
      </c>
      <c r="AD297" s="55" t="e">
        <f ca="1">IF(PAA_4[[#This Row],[ESTADO (formulado)]]="NO CONTRATADO",0,MAX(PAA_4[[#This Row],[Pago por Contrato]],PAA_4[[#This Row],[Pago por bolsa]]))</f>
        <v>#NAME?</v>
      </c>
      <c r="AE297" s="55" t="str">
        <f t="shared" ca="1" si="162"/>
        <v/>
      </c>
      <c r="AF297" s="47" t="e">
        <f t="shared" ca="1" si="163"/>
        <v>#NAME?</v>
      </c>
      <c r="AG297" s="47">
        <f t="shared" si="164"/>
        <v>52011001</v>
      </c>
      <c r="AH297" s="54">
        <f>IF(Q297="22",IF(ISNUMBER(SEARCH("econ",PAA_4[[#This Row],[Actividad3]])),"Económico",IF(ISNUMBER(SEARCH("alim",PAA_4[[#This Row],[Actividad3]])),"Alimentación",IF(ISNUMBER(SEARCH("educ",PAA_4[[#This Row],[Actividad3]])),"Educativo","Técnico"))),0)</f>
        <v>0</v>
      </c>
      <c r="AI297" s="47" t="e" cm="1">
        <f t="array" aca="1" ref="AI297" ca="1">_xlfn.XLOOKUP(PAA_4[[#This Row],[RCP-RUBRO]],[2]!COMPROMISOS_2024[[#All],[concatenado]],[2]!COMPROMISOS_2024[[#All],[Total pagado]],"",0)</f>
        <v>#NAME?</v>
      </c>
      <c r="AJ297" s="56">
        <f>IF(PAA_4[[#This Row],[BOLSA]]=0,0,SUMIFS([2]!COMPROMISOS_2024[[#All],[Total pagado]],[2]!COMPROMISOS_2024[[#All],[Bolsa]],PAA_4[[#This Row],[BOLSA]],[2]!COMPROMISOS_2024[[#All],[rubro]],PAA_4[[#This Row],[RCP-RUBRO]]))</f>
        <v>0</v>
      </c>
      <c r="AK297" s="47" t="e" cm="1">
        <f t="array" aca="1" ref="AK297" ca="1">_xlfn.XLOOKUP(PAA_4[[#This Row],[RCP-RUBRO]],[2]!COMPROMISOS_2024[[#All],[concatenado]],[2]!COMPROMISOS_2024[[#All],[Total Comprometido]],"",0)</f>
        <v>#NAME?</v>
      </c>
      <c r="AL297" s="47">
        <f>IF(PAA_4[[#This Row],[BOLSA]]=0,0,SUMIFS([2]!COMPROMISOS_2024[[#All],[Total Comprometido]],[2]!COMPROMISOS_2024[[#All],[Bolsa]],PAA_4[[#This Row],[BOLSA]],[2]!COMPROMISOS_2024[[#All],[concatenado]],PAA_4[[#This Row],[RCP-RUBRO]]))</f>
        <v>0</v>
      </c>
    </row>
    <row r="298" spans="1:38" s="19" customFormat="1" ht="31.5" customHeight="1">
      <c r="A298" s="47" t="s">
        <v>82</v>
      </c>
      <c r="B298" s="51" t="s">
        <v>42</v>
      </c>
      <c r="C298" s="47" t="str">
        <f>VLOOKUP(PAA_4[[#This Row],[PROYECTO (formulado)2]],[2]PROYECTOS!$G$1:$L$32,6,0)</f>
        <v>SUBGERENCIA ADMINISTRATIVA Y FINANCIERA</v>
      </c>
      <c r="D298" s="47" t="str">
        <f>+IF(PAA_4[[#This Row],[UNIDAD DE CONTRATACION (formulado)]]="Subgerencia Administrativa y Financiera","FUNCIONAMIENTO","INVERSIÓN")</f>
        <v>FUNCIONAMIENTO</v>
      </c>
      <c r="E298" s="48" t="str">
        <f>VLOOKUP(Q298,[2]PROYECTOS!$G$1:$K$32,5,0)</f>
        <v>Fortalecimiento de los sistemas de información y la gestión estratégica para el deporte, la recreación y la actividad física de Antioquia</v>
      </c>
      <c r="F298" s="48">
        <f>VLOOKUP(E298,[2]PROYECTOS!$K$1:$M$32,3,0)</f>
        <v>2024003050077</v>
      </c>
      <c r="G298" s="49" t="s">
        <v>1455</v>
      </c>
      <c r="H298" s="49" t="str">
        <f>VLOOKUP(Q298,[2]PROYECTOS!$V$1:$W$32,2,0)</f>
        <v>220387</v>
      </c>
      <c r="I298" s="50">
        <v>2145000</v>
      </c>
      <c r="J298" s="51" t="s">
        <v>1452</v>
      </c>
      <c r="K298" s="47" t="str">
        <f ca="1">IF(ISNONTEXT(Y298)=TRUE,"CONTRATADO","NO CONTRATADO")</f>
        <v>CONTRATADO</v>
      </c>
      <c r="L298" s="47" t="s">
        <v>42</v>
      </c>
      <c r="M298" s="47" t="s">
        <v>42</v>
      </c>
      <c r="N298" s="52" t="s">
        <v>1454</v>
      </c>
      <c r="O298" s="51" t="e">
        <f>VLOOKUP(N298,[2]!RUBROS[#All],3,0)</f>
        <v>#REF!</v>
      </c>
      <c r="P298" s="53" t="e">
        <f>VLOOKUP(N298,[2]!RUBROS[#All],2,0)</f>
        <v>#REF!</v>
      </c>
      <c r="Q298" s="47" t="str">
        <f>+MID(N298,11,2)</f>
        <v>77</v>
      </c>
      <c r="R298" s="47" t="str">
        <f>+MID(N298,14,8)</f>
        <v>0-205128</v>
      </c>
      <c r="S298" s="54" t="s">
        <v>42</v>
      </c>
      <c r="T298" s="63" t="s">
        <v>42</v>
      </c>
      <c r="U298" s="326" t="e">
        <f ca="1">_xlfn.XLOOKUP(PAA_4[[#This Row],[ITEM]],[2]Contrato!A:A,[2]Contrato!Q:Q,"",0)</f>
        <v>#NAME?</v>
      </c>
      <c r="V298" s="47" t="s">
        <v>95</v>
      </c>
      <c r="W298" s="47" t="s">
        <v>42</v>
      </c>
      <c r="X298" s="47" t="s">
        <v>42</v>
      </c>
      <c r="Y298" s="55" t="e">
        <f ca="1">_xlfn.XLOOKUP(PAA_4[[#This Row],[ITEM]],[2]Contrato!A:A,[2]Contrato!B:B,"",0)</f>
        <v>#NAME?</v>
      </c>
      <c r="Z298" s="47" t="e">
        <f ca="1">_xlfn.XLOOKUP(PAA_4[[#This Row],[ITEM]],[2]Contrato!A:A,[2]Contrato!G:G,"",0)</f>
        <v>#NAME?</v>
      </c>
      <c r="AA298" s="47" t="e">
        <f ca="1">_xlfn.XLOOKUP(PAA_4[[#This Row],[ITEM]],[2]Contrato!A:A,[2]Contrato!T:T,"",0)</f>
        <v>#NAME?</v>
      </c>
      <c r="AB298" s="55" t="e">
        <f ca="1">+MAX(PAA_4[[#This Row],[Comprometido Contrato]],PAA_4[[#This Row],[Comprometido Bolsa]])</f>
        <v>#NAME?</v>
      </c>
      <c r="AC298" s="55" t="str">
        <f ca="1">IFERROR(I298-AB298,"")</f>
        <v/>
      </c>
      <c r="AD298" s="55" t="e">
        <f ca="1">IF(PAA_4[[#This Row],[ESTADO (formulado)]]="NO CONTRATADO",0,MAX(PAA_4[[#This Row],[Pago por Contrato]],PAA_4[[#This Row],[Pago por bolsa]]))</f>
        <v>#NAME?</v>
      </c>
      <c r="AE298" s="55" t="str">
        <f ca="1">+IFERROR(AB298-AD298,"")</f>
        <v/>
      </c>
      <c r="AF298" s="47" t="e">
        <f ca="1">+CONCATENATE(AA298,N298)</f>
        <v>#NAME?</v>
      </c>
      <c r="AG298" s="47">
        <f>IFERROR(_xlfn.NUMBERVALUE(MID(G298,1,8)),"")</f>
        <v>52011001</v>
      </c>
      <c r="AH298" s="54">
        <f>IF(Q298="22",IF(ISNUMBER(SEARCH("econ",PAA_4[[#This Row],[Actividad3]])),"Económico",IF(ISNUMBER(SEARCH("alim",PAA_4[[#This Row],[Actividad3]])),"Alimentación",IF(ISNUMBER(SEARCH("educ",PAA_4[[#This Row],[Actividad3]])),"Educativo","Técnico"))),0)</f>
        <v>0</v>
      </c>
      <c r="AI298" s="47" t="e" cm="1">
        <f t="array" aca="1" ref="AI298" ca="1">_xlfn.XLOOKUP(PAA_4[[#This Row],[RCP-RUBRO]],[2]!COMPROMISOS_2024[[#All],[concatenado]],[2]!COMPROMISOS_2024[[#All],[Total pagado]],"",0)</f>
        <v>#NAME?</v>
      </c>
      <c r="AJ298" s="56">
        <f>IF(PAA_4[[#This Row],[BOLSA]]=0,0,SUMIFS([2]!COMPROMISOS_2024[[#All],[Total pagado]],[2]!COMPROMISOS_2024[[#All],[Bolsa]],PAA_4[[#This Row],[BOLSA]],[2]!COMPROMISOS_2024[[#All],[rubro]],PAA_4[[#This Row],[RCP-RUBRO]]))</f>
        <v>0</v>
      </c>
      <c r="AK298" s="47" t="e" cm="1">
        <f t="array" aca="1" ref="AK298" ca="1">_xlfn.XLOOKUP(PAA_4[[#This Row],[RCP-RUBRO]],[2]!COMPROMISOS_2024[[#All],[concatenado]],[2]!COMPROMISOS_2024[[#All],[Total Comprometido]],"",0)</f>
        <v>#NAME?</v>
      </c>
      <c r="AL298" s="47">
        <f>IF(PAA_4[[#This Row],[BOLSA]]=0,0,SUMIFS([2]!COMPROMISOS_2024[[#All],[Total Comprometido]],[2]!COMPROMISOS_2024[[#All],[Bolsa]],PAA_4[[#This Row],[BOLSA]],[2]!COMPROMISOS_2024[[#All],[concatenado]],PAA_4[[#This Row],[RCP-RUBRO]]))</f>
        <v>0</v>
      </c>
    </row>
    <row r="299" spans="1:38" s="19" customFormat="1" ht="31.5" customHeight="1">
      <c r="A299" s="47" t="s">
        <v>82</v>
      </c>
      <c r="B299" s="51" t="s">
        <v>42</v>
      </c>
      <c r="C299" s="47" t="str">
        <f>VLOOKUP(PAA_4[[#This Row],[PROYECTO (formulado)2]],[2]PROYECTOS!$G$1:$L$32,6,0)</f>
        <v>SUBGERENCIA ADMINISTRATIVA Y FINANCIERA</v>
      </c>
      <c r="D299" s="47" t="str">
        <f>+IF(PAA_4[[#This Row],[UNIDAD DE CONTRATACION (formulado)]]="Subgerencia Administrativa y Financiera","FUNCIONAMIENTO","INVERSIÓN")</f>
        <v>FUNCIONAMIENTO</v>
      </c>
      <c r="E299" s="48" t="str">
        <f>VLOOKUP(Q299,[2]PROYECTOS!$G$1:$K$32,5,0)</f>
        <v>Fortalecimiento de los sistemas de información y la gestión estratégica para el deporte, la recreación y la actividad física de Antioquia</v>
      </c>
      <c r="F299" s="48">
        <f>VLOOKUP(E299,[2]PROYECTOS!$K$1:$M$32,3,0)</f>
        <v>2024003050077</v>
      </c>
      <c r="G299" s="49" t="s">
        <v>1456</v>
      </c>
      <c r="H299" s="49" t="str">
        <f>VLOOKUP(Q299,[2]PROYECTOS!$V$1:$W$32,2,0)</f>
        <v>220387</v>
      </c>
      <c r="I299" s="50">
        <v>238334</v>
      </c>
      <c r="J299" s="51" t="s">
        <v>1452</v>
      </c>
      <c r="K299" s="47" t="str">
        <f ca="1">IF(ISNONTEXT(Y299)=TRUE,"CONTRATADO","NO CONTRATADO")</f>
        <v>CONTRATADO</v>
      </c>
      <c r="L299" s="47" t="s">
        <v>42</v>
      </c>
      <c r="M299" s="47" t="s">
        <v>42</v>
      </c>
      <c r="N299" s="52" t="s">
        <v>1454</v>
      </c>
      <c r="O299" s="51" t="e">
        <f>VLOOKUP(N299,[2]!RUBROS[#All],3,0)</f>
        <v>#REF!</v>
      </c>
      <c r="P299" s="53" t="e">
        <f>VLOOKUP(N299,[2]!RUBROS[#All],2,0)</f>
        <v>#REF!</v>
      </c>
      <c r="Q299" s="47" t="str">
        <f>+MID(N299,11,2)</f>
        <v>77</v>
      </c>
      <c r="R299" s="47" t="str">
        <f>+MID(N299,14,8)</f>
        <v>0-205128</v>
      </c>
      <c r="S299" s="54" t="s">
        <v>42</v>
      </c>
      <c r="T299" s="63" t="s">
        <v>42</v>
      </c>
      <c r="U299" s="326" t="e">
        <f ca="1">_xlfn.XLOOKUP(PAA_4[[#This Row],[ITEM]],[2]Contrato!A:A,[2]Contrato!Q:Q,"",0)</f>
        <v>#NAME?</v>
      </c>
      <c r="V299" s="47" t="s">
        <v>95</v>
      </c>
      <c r="W299" s="47" t="s">
        <v>42</v>
      </c>
      <c r="X299" s="47" t="s">
        <v>42</v>
      </c>
      <c r="Y299" s="55" t="e">
        <f ca="1">_xlfn.XLOOKUP(PAA_4[[#This Row],[ITEM]],[2]Contrato!A:A,[2]Contrato!B:B,"",0)</f>
        <v>#NAME?</v>
      </c>
      <c r="Z299" s="47" t="e">
        <f ca="1">_xlfn.XLOOKUP(PAA_4[[#This Row],[ITEM]],[2]Contrato!A:A,[2]Contrato!G:G,"",0)</f>
        <v>#NAME?</v>
      </c>
      <c r="AA299" s="47" t="e">
        <f ca="1">_xlfn.XLOOKUP(PAA_4[[#This Row],[ITEM]],[2]Contrato!A:A,[2]Contrato!T:T,"",0)</f>
        <v>#NAME?</v>
      </c>
      <c r="AB299" s="55" t="e">
        <f ca="1">+MAX(PAA_4[[#This Row],[Comprometido Contrato]],PAA_4[[#This Row],[Comprometido Bolsa]])</f>
        <v>#NAME?</v>
      </c>
      <c r="AC299" s="55" t="str">
        <f ca="1">IFERROR(I299-AB299,"")</f>
        <v/>
      </c>
      <c r="AD299" s="55" t="e">
        <f ca="1">IF(PAA_4[[#This Row],[ESTADO (formulado)]]="NO CONTRATADO",0,MAX(PAA_4[[#This Row],[Pago por Contrato]],PAA_4[[#This Row],[Pago por bolsa]]))</f>
        <v>#NAME?</v>
      </c>
      <c r="AE299" s="55" t="str">
        <f ca="1">+IFERROR(AB299-AD299,"")</f>
        <v/>
      </c>
      <c r="AF299" s="47" t="e">
        <f ca="1">+CONCATENATE(AA299,N299)</f>
        <v>#NAME?</v>
      </c>
      <c r="AG299" s="47">
        <f>IFERROR(_xlfn.NUMBERVALUE(MID(G299,1,8)),"")</f>
        <v>52011001</v>
      </c>
      <c r="AH299" s="54">
        <f>IF(Q299="22",IF(ISNUMBER(SEARCH("econ",PAA_4[[#This Row],[Actividad3]])),"Económico",IF(ISNUMBER(SEARCH("alim",PAA_4[[#This Row],[Actividad3]])),"Alimentación",IF(ISNUMBER(SEARCH("educ",PAA_4[[#This Row],[Actividad3]])),"Educativo","Técnico"))),0)</f>
        <v>0</v>
      </c>
      <c r="AI299" s="47" t="e" cm="1">
        <f t="array" aca="1" ref="AI299" ca="1">_xlfn.XLOOKUP(PAA_4[[#This Row],[RCP-RUBRO]],[2]!COMPROMISOS_2024[[#All],[concatenado]],[2]!COMPROMISOS_2024[[#All],[Total pagado]],"",0)</f>
        <v>#NAME?</v>
      </c>
      <c r="AJ299" s="56">
        <f>IF(PAA_4[[#This Row],[BOLSA]]=0,0,SUMIFS([2]!COMPROMISOS_2024[[#All],[Total pagado]],[2]!COMPROMISOS_2024[[#All],[Bolsa]],PAA_4[[#This Row],[BOLSA]],[2]!COMPROMISOS_2024[[#All],[rubro]],PAA_4[[#This Row],[RCP-RUBRO]]))</f>
        <v>0</v>
      </c>
      <c r="AK299" s="47" t="e" cm="1">
        <f t="array" aca="1" ref="AK299" ca="1">_xlfn.XLOOKUP(PAA_4[[#This Row],[RCP-RUBRO]],[2]!COMPROMISOS_2024[[#All],[concatenado]],[2]!COMPROMISOS_2024[[#All],[Total Comprometido]],"",0)</f>
        <v>#NAME?</v>
      </c>
      <c r="AL299" s="47">
        <f>IF(PAA_4[[#This Row],[BOLSA]]=0,0,SUMIFS([2]!COMPROMISOS_2024[[#All],[Total Comprometido]],[2]!COMPROMISOS_2024[[#All],[Bolsa]],PAA_4[[#This Row],[BOLSA]],[2]!COMPROMISOS_2024[[#All],[concatenado]],PAA_4[[#This Row],[RCP-RUBRO]]))</f>
        <v>0</v>
      </c>
    </row>
    <row r="300" spans="1:38" s="19" customFormat="1" ht="31.5" customHeight="1">
      <c r="A300" s="47">
        <v>670</v>
      </c>
      <c r="B300" s="51">
        <v>80111600</v>
      </c>
      <c r="C300" s="47" t="str">
        <f>VLOOKUP(PAA_4[[#This Row],[PROYECTO (formulado)2]],[2]PROYECTOS!$G$1:$L$32,6,0)</f>
        <v>OFICINA DE PLANEACION</v>
      </c>
      <c r="D300" s="47" t="str">
        <f>+IF(PAA_4[[#This Row],[UNIDAD DE CONTRATACION (formulado)]]="Subgerencia Administrativa y Financiera","FUNCIONAMIENTO","INVERSIÓN")</f>
        <v>INVERSIÓN</v>
      </c>
      <c r="E300" s="48" t="str">
        <f>VLOOKUP(Q300,[2]PROYECTOS!$G$1:$K$32,5,0)</f>
        <v>FORTALECIMIENTO_DEL_OBSERVATORIO_DEL_DEPORTE_DE_ANTIOQUIA</v>
      </c>
      <c r="F300" s="48">
        <f>VLOOKUP(E300,[2]PROYECTOS!$K$1:$M$32,3,0)</f>
        <v>2020003050273</v>
      </c>
      <c r="G300" s="49" t="s">
        <v>171</v>
      </c>
      <c r="H300" s="49">
        <f>VLOOKUP(Q300,[2]PROYECTOS!$V$1:$W$32,2,0)</f>
        <v>220321</v>
      </c>
      <c r="I300" s="50">
        <f>78824882-1246243</f>
        <v>77578639</v>
      </c>
      <c r="J300" s="51" t="s">
        <v>1457</v>
      </c>
      <c r="K300" s="47" t="str">
        <f t="shared" ref="K300:K312" ca="1" si="165">IF(ISNONTEXT(Y300)=TRUE,"CONTRATADO","NO CONTRATADO")</f>
        <v>CONTRATADO</v>
      </c>
      <c r="L300" s="47" t="s">
        <v>94</v>
      </c>
      <c r="M300" s="47" t="s">
        <v>1297</v>
      </c>
      <c r="N300" s="52" t="s">
        <v>172</v>
      </c>
      <c r="O300" s="51" t="e">
        <f>VLOOKUP(N300,[2]!RUBROS[#All],3,0)</f>
        <v>#REF!</v>
      </c>
      <c r="P300" s="53" t="e">
        <f>VLOOKUP(N300,[2]!RUBROS[#All],2,0)</f>
        <v>#REF!</v>
      </c>
      <c r="Q300" s="47" t="str">
        <f t="shared" ref="Q300:Q312" si="166">+MID(N300,11,2)</f>
        <v>54</v>
      </c>
      <c r="R300" s="47" t="str">
        <f t="shared" ref="R300:R312" si="167">+MID(N300,14,8)</f>
        <v>0-101024</v>
      </c>
      <c r="S300" s="54">
        <v>9</v>
      </c>
      <c r="T300" s="59" t="s">
        <v>46</v>
      </c>
      <c r="U300" s="326" t="e">
        <f ca="1">_xlfn.XLOOKUP(PAA_4[[#This Row],[ITEM]],[2]Contrato!A:A,[2]Contrato!Q:Q,"",0)</f>
        <v>#NAME?</v>
      </c>
      <c r="V300" s="47" t="s">
        <v>95</v>
      </c>
      <c r="W300" s="47" t="s">
        <v>122</v>
      </c>
      <c r="X300" s="47" t="s">
        <v>122</v>
      </c>
      <c r="Y300" s="55" t="e">
        <f ca="1">_xlfn.XLOOKUP(PAA_4[[#This Row],[ITEM]],[2]Contrato!A:A,[2]Contrato!B:B,"",0)</f>
        <v>#NAME?</v>
      </c>
      <c r="Z300" s="47" t="e">
        <f ca="1">_xlfn.XLOOKUP(PAA_4[[#This Row],[ITEM]],[2]Contrato!A:A,[2]Contrato!G:G,"",0)</f>
        <v>#NAME?</v>
      </c>
      <c r="AA300" s="47" t="e">
        <f ca="1">_xlfn.XLOOKUP(PAA_4[[#This Row],[ITEM]],[2]Contrato!A:A,[2]Contrato!T:T,"",0)</f>
        <v>#NAME?</v>
      </c>
      <c r="AB300" s="55" t="e">
        <f ca="1">+MAX(PAA_4[[#This Row],[Comprometido Contrato]],PAA_4[[#This Row],[Comprometido Bolsa]])</f>
        <v>#NAME?</v>
      </c>
      <c r="AC300" s="55" t="str">
        <f t="shared" ref="AC300:AC312" ca="1" si="168">IFERROR(I300-AB300,"")</f>
        <v/>
      </c>
      <c r="AD300" s="55" t="e">
        <f ca="1">IF(PAA_4[[#This Row],[ESTADO (formulado)]]="NO CONTRATADO",0,MAX(PAA_4[[#This Row],[Pago por Contrato]],PAA_4[[#This Row],[Pago por bolsa]]))</f>
        <v>#NAME?</v>
      </c>
      <c r="AE300" s="55" t="str">
        <f t="shared" ref="AE300:AE312" ca="1" si="169">+IFERROR(AB300-AD300,"")</f>
        <v/>
      </c>
      <c r="AF300" s="47" t="e">
        <f t="shared" ref="AF300:AF312" ca="1" si="170">+CONCATENATE(AA300,N300)</f>
        <v>#NAME?</v>
      </c>
      <c r="AG300" s="47">
        <f t="shared" ref="AG300:AG312" si="171">IFERROR(_xlfn.NUMBERVALUE(MID(G300,1,8)),"")</f>
        <v>41080302</v>
      </c>
      <c r="AH300" s="54">
        <f>IF(Q300="22",IF(ISNUMBER(SEARCH("econ",PAA_4[[#This Row],[Actividad3]])),"Económico",IF(ISNUMBER(SEARCH("alim",PAA_4[[#This Row],[Actividad3]])),"Alimentación",IF(ISNUMBER(SEARCH("educ",PAA_4[[#This Row],[Actividad3]])),"Educativo","Técnico"))),0)</f>
        <v>0</v>
      </c>
      <c r="AI300" s="47" t="e" cm="1">
        <f t="array" aca="1" ref="AI300" ca="1">_xlfn.XLOOKUP(PAA_4[[#This Row],[RCP-RUBRO]],[2]!COMPROMISOS_2024[[#All],[concatenado]],[2]!COMPROMISOS_2024[[#All],[Total pagado]],"",0)</f>
        <v>#NAME?</v>
      </c>
      <c r="AJ300" s="56">
        <f>IF(PAA_4[[#This Row],[BOLSA]]=0,0,SUMIFS([2]!COMPROMISOS_2024[[#All],[Total pagado]],[2]!COMPROMISOS_2024[[#All],[Bolsa]],PAA_4[[#This Row],[BOLSA]],[2]!COMPROMISOS_2024[[#All],[rubro]],PAA_4[[#This Row],[RCP-RUBRO]]))</f>
        <v>0</v>
      </c>
      <c r="AK300" s="47" t="e" cm="1">
        <f t="array" aca="1" ref="AK300" ca="1">_xlfn.XLOOKUP(PAA_4[[#This Row],[RCP-RUBRO]],[2]!COMPROMISOS_2024[[#All],[concatenado]],[2]!COMPROMISOS_2024[[#All],[Total Comprometido]],"",0)</f>
        <v>#NAME?</v>
      </c>
      <c r="AL300" s="47">
        <f>IF(PAA_4[[#This Row],[BOLSA]]=0,0,SUMIFS([2]!COMPROMISOS_2024[[#All],[Total Comprometido]],[2]!COMPROMISOS_2024[[#All],[Bolsa]],PAA_4[[#This Row],[BOLSA]],[2]!COMPROMISOS_2024[[#All],[concatenado]],PAA_4[[#This Row],[RCP-RUBRO]]))</f>
        <v>0</v>
      </c>
    </row>
    <row r="301" spans="1:38" s="19" customFormat="1" ht="31.5" customHeight="1">
      <c r="A301" s="47" t="s">
        <v>82</v>
      </c>
      <c r="B301" s="47">
        <v>80111600</v>
      </c>
      <c r="C301" s="47" t="str">
        <f>VLOOKUP(PAA_4[[#This Row],[PROYECTO (formulado)2]],[2]PROYECTOS!$G$1:$L$32,6,0)</f>
        <v>OFICINA DE PLANEACION</v>
      </c>
      <c r="D301" s="47" t="str">
        <f>+IF(PAA_4[[#This Row],[UNIDAD DE CONTRATACION (formulado)]]="Subgerencia Administrativa y Financiera","FUNCIONAMIENTO","INVERSIÓN")</f>
        <v>INVERSIÓN</v>
      </c>
      <c r="E301" s="48" t="str">
        <f>VLOOKUP(Q301,[2]PROYECTOS!$G$1:$K$32,5,0)</f>
        <v>FORTALECIMIENTO_DEL_OBSERVATORIO_DEL_DEPORTE_DE_ANTIOQUIA</v>
      </c>
      <c r="F301" s="48">
        <f>VLOOKUP(E301,[2]PROYECTOS!$K$1:$M$32,3,0)</f>
        <v>2020003050273</v>
      </c>
      <c r="G301" s="49" t="s">
        <v>173</v>
      </c>
      <c r="H301" s="49">
        <f>VLOOKUP(Q301,[2]PROYECTOS!$V$1:$W$32,2,0)</f>
        <v>220321</v>
      </c>
      <c r="I301" s="50">
        <v>0</v>
      </c>
      <c r="J301" s="51" t="s">
        <v>174</v>
      </c>
      <c r="K301" s="47" t="str">
        <f t="shared" ca="1" si="165"/>
        <v>CONTRATADO</v>
      </c>
      <c r="L301" s="47" t="s">
        <v>94</v>
      </c>
      <c r="M301" s="47" t="s">
        <v>1297</v>
      </c>
      <c r="N301" s="52" t="s">
        <v>172</v>
      </c>
      <c r="O301" s="51" t="e">
        <f>VLOOKUP(N301,[2]!RUBROS[#All],3,0)</f>
        <v>#REF!</v>
      </c>
      <c r="P301" s="53" t="e">
        <f>VLOOKUP(N301,[2]!RUBROS[#All],2,0)</f>
        <v>#REF!</v>
      </c>
      <c r="Q301" s="47" t="str">
        <f t="shared" si="166"/>
        <v>54</v>
      </c>
      <c r="R301" s="47" t="str">
        <f t="shared" si="167"/>
        <v>0-101024</v>
      </c>
      <c r="S301" s="339">
        <v>9</v>
      </c>
      <c r="T301" s="59" t="s">
        <v>46</v>
      </c>
      <c r="U301" s="326" t="e">
        <f ca="1">_xlfn.XLOOKUP(PAA_4[[#This Row],[ITEM]],[2]Contrato!A:A,[2]Contrato!Q:Q,"",0)</f>
        <v>#NAME?</v>
      </c>
      <c r="V301" s="47" t="s">
        <v>95</v>
      </c>
      <c r="W301" s="47" t="s">
        <v>122</v>
      </c>
      <c r="X301" s="47" t="s">
        <v>122</v>
      </c>
      <c r="Y301" s="55" t="e">
        <f ca="1">_xlfn.XLOOKUP(PAA_4[[#This Row],[ITEM]],[2]Contrato!A:A,[2]Contrato!B:B,"",0)</f>
        <v>#NAME?</v>
      </c>
      <c r="Z301" s="47" t="e">
        <f ca="1">_xlfn.XLOOKUP(PAA_4[[#This Row],[ITEM]],[2]Contrato!A:A,[2]Contrato!G:G,"",0)</f>
        <v>#NAME?</v>
      </c>
      <c r="AA301" s="47" t="e">
        <f ca="1">_xlfn.XLOOKUP(PAA_4[[#This Row],[ITEM]],[2]Contrato!A:A,[2]Contrato!T:T,"",0)</f>
        <v>#NAME?</v>
      </c>
      <c r="AB301" s="55" t="e">
        <f ca="1">+MAX(PAA_4[[#This Row],[Comprometido Contrato]],PAA_4[[#This Row],[Comprometido Bolsa]])</f>
        <v>#NAME?</v>
      </c>
      <c r="AC301" s="55" t="str">
        <f t="shared" ca="1" si="168"/>
        <v/>
      </c>
      <c r="AD301" s="55" t="e">
        <f ca="1">IF(PAA_4[[#This Row],[ESTADO (formulado)]]="NO CONTRATADO",0,MAX(PAA_4[[#This Row],[Pago por Contrato]],PAA_4[[#This Row],[Pago por bolsa]]))</f>
        <v>#NAME?</v>
      </c>
      <c r="AE301" s="55" t="str">
        <f t="shared" ca="1" si="169"/>
        <v/>
      </c>
      <c r="AF301" s="47" t="e">
        <f t="shared" ca="1" si="170"/>
        <v>#NAME?</v>
      </c>
      <c r="AG301" s="47">
        <f t="shared" si="171"/>
        <v>41080302</v>
      </c>
      <c r="AH301" s="54">
        <f>IF(Q301="22",IF(ISNUMBER(SEARCH("econ",PAA_4[[#This Row],[Actividad3]])),"Económico",IF(ISNUMBER(SEARCH("alim",PAA_4[[#This Row],[Actividad3]])),"Alimentación",IF(ISNUMBER(SEARCH("educ",PAA_4[[#This Row],[Actividad3]])),"Educativo","Técnico"))),0)</f>
        <v>0</v>
      </c>
      <c r="AI301" s="47" t="e" cm="1">
        <f t="array" aca="1" ref="AI301" ca="1">_xlfn.XLOOKUP(PAA_4[[#This Row],[RCP-RUBRO]],[2]!COMPROMISOS_2024[[#All],[concatenado]],[2]!COMPROMISOS_2024[[#All],[Total pagado]],"",0)</f>
        <v>#NAME?</v>
      </c>
      <c r="AJ301" s="56">
        <f>IF(PAA_4[[#This Row],[BOLSA]]=0,0,SUMIFS([2]!COMPROMISOS_2024[[#All],[Total pagado]],[2]!COMPROMISOS_2024[[#All],[Bolsa]],PAA_4[[#This Row],[BOLSA]],[2]!COMPROMISOS_2024[[#All],[rubro]],PAA_4[[#This Row],[RCP-RUBRO]]))</f>
        <v>0</v>
      </c>
      <c r="AK301" s="47" t="e" cm="1">
        <f t="array" aca="1" ref="AK301" ca="1">_xlfn.XLOOKUP(PAA_4[[#This Row],[RCP-RUBRO]],[2]!COMPROMISOS_2024[[#All],[concatenado]],[2]!COMPROMISOS_2024[[#All],[Total Comprometido]],"",0)</f>
        <v>#NAME?</v>
      </c>
      <c r="AL301" s="47">
        <f>IF(PAA_4[[#This Row],[BOLSA]]=0,0,SUMIFS([2]!COMPROMISOS_2024[[#All],[Total Comprometido]],[2]!COMPROMISOS_2024[[#All],[Bolsa]],PAA_4[[#This Row],[BOLSA]],[2]!COMPROMISOS_2024[[#All],[concatenado]],PAA_4[[#This Row],[RCP-RUBRO]]))</f>
        <v>0</v>
      </c>
    </row>
    <row r="302" spans="1:38" s="19" customFormat="1" ht="31.5" customHeight="1">
      <c r="A302" s="47">
        <v>41</v>
      </c>
      <c r="B302" s="47">
        <v>80111600</v>
      </c>
      <c r="C302" s="47" t="str">
        <f>VLOOKUP(PAA_4[[#This Row],[PROYECTO (formulado)2]],[2]PROYECTOS!$G$1:$L$32,6,0)</f>
        <v>OFICINA DE PLANEACION</v>
      </c>
      <c r="D302" s="47" t="str">
        <f>+IF(PAA_4[[#This Row],[UNIDAD DE CONTRATACION (formulado)]]="Subgerencia Administrativa y Financiera","FUNCIONAMIENTO","INVERSIÓN")</f>
        <v>INVERSIÓN</v>
      </c>
      <c r="E302" s="48" t="str">
        <f>VLOOKUP(Q302,[2]PROYECTOS!$G$1:$K$32,5,0)</f>
        <v>FORTALECIMIENTO_DEL_OBSERVATORIO_DEL_DEPORTE_DE_ANTIOQUIA</v>
      </c>
      <c r="F302" s="48">
        <f>VLOOKUP(E302,[2]PROYECTOS!$K$1:$M$32,3,0)</f>
        <v>2020003050273</v>
      </c>
      <c r="G302" s="49" t="s">
        <v>173</v>
      </c>
      <c r="H302" s="49">
        <f>VLOOKUP(Q302,[2]PROYECTOS!$V$1:$W$32,2,0)</f>
        <v>220321</v>
      </c>
      <c r="I302" s="50">
        <v>12431589</v>
      </c>
      <c r="J302" s="51" t="s">
        <v>175</v>
      </c>
      <c r="K302" s="47" t="str">
        <f t="shared" ca="1" si="165"/>
        <v>CONTRATADO</v>
      </c>
      <c r="L302" s="47" t="s">
        <v>94</v>
      </c>
      <c r="M302" s="47" t="s">
        <v>1297</v>
      </c>
      <c r="N302" s="52" t="s">
        <v>172</v>
      </c>
      <c r="O302" s="51" t="e">
        <f>VLOOKUP(N302,[2]!RUBROS[#All],3,0)</f>
        <v>#REF!</v>
      </c>
      <c r="P302" s="53" t="e">
        <f>VLOOKUP(N302,[2]!RUBROS[#All],2,0)</f>
        <v>#REF!</v>
      </c>
      <c r="Q302" s="47" t="str">
        <f t="shared" si="166"/>
        <v>54</v>
      </c>
      <c r="R302" s="47" t="str">
        <f t="shared" si="167"/>
        <v>0-101024</v>
      </c>
      <c r="S302" s="54">
        <v>3</v>
      </c>
      <c r="T302" s="59" t="s">
        <v>46</v>
      </c>
      <c r="U302" s="326" t="e">
        <f ca="1">_xlfn.XLOOKUP(PAA_4[[#This Row],[ITEM]],[2]Contrato!A:A,[2]Contrato!Q:Q,"",0)</f>
        <v>#NAME?</v>
      </c>
      <c r="V302" s="47" t="s">
        <v>47</v>
      </c>
      <c r="W302" s="47" t="s">
        <v>83</v>
      </c>
      <c r="X302" s="47" t="s">
        <v>83</v>
      </c>
      <c r="Y302" s="55" t="e">
        <f ca="1">_xlfn.XLOOKUP(PAA_4[[#This Row],[ITEM]],[2]Contrato!A:A,[2]Contrato!B:B,"",0)</f>
        <v>#NAME?</v>
      </c>
      <c r="Z302" s="47" t="e">
        <f ca="1">_xlfn.XLOOKUP(PAA_4[[#This Row],[ITEM]],[2]Contrato!A:A,[2]Contrato!G:G,"",0)</f>
        <v>#NAME?</v>
      </c>
      <c r="AA302" s="47" t="e">
        <f ca="1">_xlfn.XLOOKUP(PAA_4[[#This Row],[ITEM]],[2]Contrato!A:A,[2]Contrato!T:T,"",0)</f>
        <v>#NAME?</v>
      </c>
      <c r="AB302" s="55" t="e">
        <f ca="1">+MAX(PAA_4[[#This Row],[Comprometido Contrato]],PAA_4[[#This Row],[Comprometido Bolsa]])</f>
        <v>#NAME?</v>
      </c>
      <c r="AC302" s="55" t="str">
        <f t="shared" ca="1" si="168"/>
        <v/>
      </c>
      <c r="AD302" s="55" t="e">
        <f ca="1">IF(PAA_4[[#This Row],[ESTADO (formulado)]]="NO CONTRATADO",0,MAX(PAA_4[[#This Row],[Pago por Contrato]],PAA_4[[#This Row],[Pago por bolsa]]))</f>
        <v>#NAME?</v>
      </c>
      <c r="AE302" s="55" t="str">
        <f t="shared" ca="1" si="169"/>
        <v/>
      </c>
      <c r="AF302" s="47" t="e">
        <f t="shared" ca="1" si="170"/>
        <v>#NAME?</v>
      </c>
      <c r="AG302" s="47">
        <f t="shared" si="171"/>
        <v>41080302</v>
      </c>
      <c r="AH302" s="54">
        <f>IF(Q302="22",IF(ISNUMBER(SEARCH("econ",PAA_4[[#This Row],[Actividad3]])),"Económico",IF(ISNUMBER(SEARCH("alim",PAA_4[[#This Row],[Actividad3]])),"Alimentación",IF(ISNUMBER(SEARCH("educ",PAA_4[[#This Row],[Actividad3]])),"Educativo","Técnico"))),0)</f>
        <v>0</v>
      </c>
      <c r="AI302" s="47" t="e" cm="1">
        <f t="array" aca="1" ref="AI302" ca="1">_xlfn.XLOOKUP(PAA_4[[#This Row],[RCP-RUBRO]],[2]!COMPROMISOS_2024[[#All],[concatenado]],[2]!COMPROMISOS_2024[[#All],[Total pagado]],"",0)</f>
        <v>#NAME?</v>
      </c>
      <c r="AJ302" s="56">
        <f>IF(PAA_4[[#This Row],[BOLSA]]=0,0,SUMIFS([2]!COMPROMISOS_2024[[#All],[Total pagado]],[2]!COMPROMISOS_2024[[#All],[Bolsa]],PAA_4[[#This Row],[BOLSA]],[2]!COMPROMISOS_2024[[#All],[rubro]],PAA_4[[#This Row],[RCP-RUBRO]]))</f>
        <v>0</v>
      </c>
      <c r="AK302" s="47" t="e" cm="1">
        <f t="array" aca="1" ref="AK302" ca="1">_xlfn.XLOOKUP(PAA_4[[#This Row],[RCP-RUBRO]],[2]!COMPROMISOS_2024[[#All],[concatenado]],[2]!COMPROMISOS_2024[[#All],[Total Comprometido]],"",0)</f>
        <v>#NAME?</v>
      </c>
      <c r="AL302" s="47">
        <f>IF(PAA_4[[#This Row],[BOLSA]]=0,0,SUMIFS([2]!COMPROMISOS_2024[[#All],[Total Comprometido]],[2]!COMPROMISOS_2024[[#All],[Bolsa]],PAA_4[[#This Row],[BOLSA]],[2]!COMPROMISOS_2024[[#All],[concatenado]],PAA_4[[#This Row],[RCP-RUBRO]]))</f>
        <v>0</v>
      </c>
    </row>
    <row r="303" spans="1:38" s="19" customFormat="1" ht="31.5" customHeight="1">
      <c r="A303" s="47" t="s">
        <v>82</v>
      </c>
      <c r="B303" s="47">
        <v>80111600</v>
      </c>
      <c r="C303" s="47" t="str">
        <f>VLOOKUP(PAA_4[[#This Row],[PROYECTO (formulado)2]],[2]PROYECTOS!$G$1:$L$32,6,0)</f>
        <v>OFICINA DE PLANEACION</v>
      </c>
      <c r="D303" s="47" t="str">
        <f>+IF(PAA_4[[#This Row],[UNIDAD DE CONTRATACION (formulado)]]="Subgerencia Administrativa y Financiera","FUNCIONAMIENTO","INVERSIÓN")</f>
        <v>INVERSIÓN</v>
      </c>
      <c r="E303" s="48" t="str">
        <f>VLOOKUP(Q303,[2]PROYECTOS!$G$1:$K$32,5,0)</f>
        <v>FORTALECIMIENTO_DEL_OBSERVATORIO_DEL_DEPORTE_DE_ANTIOQUIA</v>
      </c>
      <c r="F303" s="48">
        <f>VLOOKUP(E303,[2]PROYECTOS!$K$1:$M$32,3,0)</f>
        <v>2020003050273</v>
      </c>
      <c r="G303" s="49" t="s">
        <v>173</v>
      </c>
      <c r="H303" s="49">
        <f>VLOOKUP(Q303,[2]PROYECTOS!$V$1:$W$32,2,0)</f>
        <v>220321</v>
      </c>
      <c r="I303" s="50">
        <v>0</v>
      </c>
      <c r="J303" s="51" t="s">
        <v>1458</v>
      </c>
      <c r="K303" s="47" t="str">
        <f t="shared" ca="1" si="165"/>
        <v>CONTRATADO</v>
      </c>
      <c r="L303" s="47" t="s">
        <v>94</v>
      </c>
      <c r="M303" s="47" t="s">
        <v>1297</v>
      </c>
      <c r="N303" s="52" t="s">
        <v>172</v>
      </c>
      <c r="O303" s="51" t="e">
        <f>VLOOKUP(N303,[2]!RUBROS[#All],3,0)</f>
        <v>#REF!</v>
      </c>
      <c r="P303" s="53" t="e">
        <f>VLOOKUP(N303,[2]!RUBROS[#All],2,0)</f>
        <v>#REF!</v>
      </c>
      <c r="Q303" s="47" t="str">
        <f t="shared" si="166"/>
        <v>54</v>
      </c>
      <c r="R303" s="47" t="str">
        <f t="shared" si="167"/>
        <v>0-101024</v>
      </c>
      <c r="S303" s="54">
        <v>9</v>
      </c>
      <c r="T303" s="59" t="s">
        <v>46</v>
      </c>
      <c r="U303" s="326" t="e">
        <f ca="1">_xlfn.XLOOKUP(PAA_4[[#This Row],[ITEM]],[2]Contrato!A:A,[2]Contrato!Q:Q,"",0)</f>
        <v>#NAME?</v>
      </c>
      <c r="V303" s="47" t="s">
        <v>95</v>
      </c>
      <c r="W303" s="47" t="s">
        <v>122</v>
      </c>
      <c r="X303" s="47" t="s">
        <v>122</v>
      </c>
      <c r="Y303" s="55" t="e">
        <f ca="1">_xlfn.XLOOKUP(PAA_4[[#This Row],[ITEM]],[2]Contrato!A:A,[2]Contrato!B:B,"",0)</f>
        <v>#NAME?</v>
      </c>
      <c r="Z303" s="47" t="e">
        <f ca="1">_xlfn.XLOOKUP(PAA_4[[#This Row],[ITEM]],[2]Contrato!A:A,[2]Contrato!G:G,"",0)</f>
        <v>#NAME?</v>
      </c>
      <c r="AA303" s="47" t="e">
        <f ca="1">_xlfn.XLOOKUP(PAA_4[[#This Row],[ITEM]],[2]Contrato!A:A,[2]Contrato!T:T,"",0)</f>
        <v>#NAME?</v>
      </c>
      <c r="AB303" s="55" t="e">
        <f ca="1">+MAX(PAA_4[[#This Row],[Comprometido Contrato]],PAA_4[[#This Row],[Comprometido Bolsa]])</f>
        <v>#NAME?</v>
      </c>
      <c r="AC303" s="55" t="str">
        <f t="shared" ca="1" si="168"/>
        <v/>
      </c>
      <c r="AD303" s="55" t="e">
        <f ca="1">IF(PAA_4[[#This Row],[ESTADO (formulado)]]="NO CONTRATADO",0,MAX(PAA_4[[#This Row],[Pago por Contrato]],PAA_4[[#This Row],[Pago por bolsa]]))</f>
        <v>#NAME?</v>
      </c>
      <c r="AE303" s="55" t="str">
        <f t="shared" ca="1" si="169"/>
        <v/>
      </c>
      <c r="AF303" s="47" t="e">
        <f t="shared" ca="1" si="170"/>
        <v>#NAME?</v>
      </c>
      <c r="AG303" s="47">
        <f t="shared" si="171"/>
        <v>41080302</v>
      </c>
      <c r="AH303" s="54">
        <f>IF(Q303="22",IF(ISNUMBER(SEARCH("econ",PAA_4[[#This Row],[Actividad3]])),"Económico",IF(ISNUMBER(SEARCH("alim",PAA_4[[#This Row],[Actividad3]])),"Alimentación",IF(ISNUMBER(SEARCH("educ",PAA_4[[#This Row],[Actividad3]])),"Educativo","Técnico"))),0)</f>
        <v>0</v>
      </c>
      <c r="AI303" s="47" t="e" cm="1">
        <f t="array" aca="1" ref="AI303" ca="1">_xlfn.XLOOKUP(PAA_4[[#This Row],[RCP-RUBRO]],[2]!COMPROMISOS_2024[[#All],[concatenado]],[2]!COMPROMISOS_2024[[#All],[Total pagado]],"",0)</f>
        <v>#NAME?</v>
      </c>
      <c r="AJ303" s="56">
        <f>IF(PAA_4[[#This Row],[BOLSA]]=0,0,SUMIFS([2]!COMPROMISOS_2024[[#All],[Total pagado]],[2]!COMPROMISOS_2024[[#All],[Bolsa]],PAA_4[[#This Row],[BOLSA]],[2]!COMPROMISOS_2024[[#All],[rubro]],PAA_4[[#This Row],[RCP-RUBRO]]))</f>
        <v>0</v>
      </c>
      <c r="AK303" s="47" t="e" cm="1">
        <f t="array" aca="1" ref="AK303" ca="1">_xlfn.XLOOKUP(PAA_4[[#This Row],[RCP-RUBRO]],[2]!COMPROMISOS_2024[[#All],[concatenado]],[2]!COMPROMISOS_2024[[#All],[Total Comprometido]],"",0)</f>
        <v>#NAME?</v>
      </c>
      <c r="AL303" s="47">
        <f>IF(PAA_4[[#This Row],[BOLSA]]=0,0,SUMIFS([2]!COMPROMISOS_2024[[#All],[Total Comprometido]],[2]!COMPROMISOS_2024[[#All],[Bolsa]],PAA_4[[#This Row],[BOLSA]],[2]!COMPROMISOS_2024[[#All],[concatenado]],PAA_4[[#This Row],[RCP-RUBRO]]))</f>
        <v>0</v>
      </c>
    </row>
    <row r="304" spans="1:38" s="19" customFormat="1" ht="31.5" customHeight="1">
      <c r="A304" s="47">
        <v>42</v>
      </c>
      <c r="B304" s="47">
        <v>80111600</v>
      </c>
      <c r="C304" s="47" t="str">
        <f>VLOOKUP(PAA_4[[#This Row],[PROYECTO (formulado)2]],[2]PROYECTOS!$G$1:$L$32,6,0)</f>
        <v>OFICINA DE PLANEACION</v>
      </c>
      <c r="D304" s="47" t="str">
        <f>+IF(PAA_4[[#This Row],[UNIDAD DE CONTRATACION (formulado)]]="Subgerencia Administrativa y Financiera","FUNCIONAMIENTO","INVERSIÓN")</f>
        <v>INVERSIÓN</v>
      </c>
      <c r="E304" s="48" t="str">
        <f>VLOOKUP(Q304,[2]PROYECTOS!$G$1:$K$32,5,0)</f>
        <v>FORTALECIMIENTO_DEL_OBSERVATORIO_DEL_DEPORTE_DE_ANTIOQUIA</v>
      </c>
      <c r="F304" s="48">
        <f>VLOOKUP(E304,[2]PROYECTOS!$K$1:$M$32,3,0)</f>
        <v>2020003050273</v>
      </c>
      <c r="G304" s="49" t="s">
        <v>171</v>
      </c>
      <c r="H304" s="49">
        <f>VLOOKUP(Q304,[2]PROYECTOS!$V$1:$W$32,2,0)</f>
        <v>220321</v>
      </c>
      <c r="I304" s="50">
        <v>28040472</v>
      </c>
      <c r="J304" s="51" t="s">
        <v>176</v>
      </c>
      <c r="K304" s="47" t="str">
        <f t="shared" ca="1" si="165"/>
        <v>CONTRATADO</v>
      </c>
      <c r="L304" s="47" t="s">
        <v>94</v>
      </c>
      <c r="M304" s="47" t="s">
        <v>1297</v>
      </c>
      <c r="N304" s="52" t="s">
        <v>172</v>
      </c>
      <c r="O304" s="51" t="e">
        <f>VLOOKUP(N304,[2]!RUBROS[#All],3,0)</f>
        <v>#REF!</v>
      </c>
      <c r="P304" s="53" t="e">
        <f>VLOOKUP(N304,[2]!RUBROS[#All],2,0)</f>
        <v>#REF!</v>
      </c>
      <c r="Q304" s="47" t="str">
        <f t="shared" si="166"/>
        <v>54</v>
      </c>
      <c r="R304" s="47" t="str">
        <f t="shared" si="167"/>
        <v>0-101024</v>
      </c>
      <c r="S304" s="54">
        <v>3</v>
      </c>
      <c r="T304" s="59" t="s">
        <v>46</v>
      </c>
      <c r="U304" s="326" t="e">
        <f ca="1">_xlfn.XLOOKUP(PAA_4[[#This Row],[ITEM]],[2]Contrato!A:A,[2]Contrato!Q:Q,"",0)</f>
        <v>#NAME?</v>
      </c>
      <c r="V304" s="47" t="s">
        <v>47</v>
      </c>
      <c r="W304" s="47" t="s">
        <v>83</v>
      </c>
      <c r="X304" s="47" t="s">
        <v>83</v>
      </c>
      <c r="Y304" s="55" t="e">
        <f ca="1">_xlfn.XLOOKUP(PAA_4[[#This Row],[ITEM]],[2]Contrato!A:A,[2]Contrato!B:B,"",0)</f>
        <v>#NAME?</v>
      </c>
      <c r="Z304" s="47" t="e">
        <f ca="1">_xlfn.XLOOKUP(PAA_4[[#This Row],[ITEM]],[2]Contrato!A:A,[2]Contrato!G:G,"",0)</f>
        <v>#NAME?</v>
      </c>
      <c r="AA304" s="47" t="e">
        <f ca="1">_xlfn.XLOOKUP(PAA_4[[#This Row],[ITEM]],[2]Contrato!A:A,[2]Contrato!T:T,"",0)</f>
        <v>#NAME?</v>
      </c>
      <c r="AB304" s="55" t="e">
        <f ca="1">+MAX(PAA_4[[#This Row],[Comprometido Contrato]],PAA_4[[#This Row],[Comprometido Bolsa]])</f>
        <v>#NAME?</v>
      </c>
      <c r="AC304" s="55" t="str">
        <f t="shared" ca="1" si="168"/>
        <v/>
      </c>
      <c r="AD304" s="55" t="e">
        <f ca="1">IF(PAA_4[[#This Row],[ESTADO (formulado)]]="NO CONTRATADO",0,MAX(PAA_4[[#This Row],[Pago por Contrato]],PAA_4[[#This Row],[Pago por bolsa]]))</f>
        <v>#NAME?</v>
      </c>
      <c r="AE304" s="55" t="str">
        <f t="shared" ca="1" si="169"/>
        <v/>
      </c>
      <c r="AF304" s="47" t="e">
        <f t="shared" ca="1" si="170"/>
        <v>#NAME?</v>
      </c>
      <c r="AG304" s="47">
        <f t="shared" si="171"/>
        <v>41080302</v>
      </c>
      <c r="AH304" s="54">
        <f>IF(Q304="22",IF(ISNUMBER(SEARCH("econ",PAA_4[[#This Row],[Actividad3]])),"Económico",IF(ISNUMBER(SEARCH("alim",PAA_4[[#This Row],[Actividad3]])),"Alimentación",IF(ISNUMBER(SEARCH("educ",PAA_4[[#This Row],[Actividad3]])),"Educativo","Técnico"))),0)</f>
        <v>0</v>
      </c>
      <c r="AI304" s="47" t="e" cm="1">
        <f t="array" aca="1" ref="AI304" ca="1">_xlfn.XLOOKUP(PAA_4[[#This Row],[RCP-RUBRO]],[2]!COMPROMISOS_2024[[#All],[concatenado]],[2]!COMPROMISOS_2024[[#All],[Total pagado]],"",0)</f>
        <v>#NAME?</v>
      </c>
      <c r="AJ304" s="56">
        <f>IF(PAA_4[[#This Row],[BOLSA]]=0,0,SUMIFS([2]!COMPROMISOS_2024[[#All],[Total pagado]],[2]!COMPROMISOS_2024[[#All],[Bolsa]],PAA_4[[#This Row],[BOLSA]],[2]!COMPROMISOS_2024[[#All],[rubro]],PAA_4[[#This Row],[RCP-RUBRO]]))</f>
        <v>0</v>
      </c>
      <c r="AK304" s="47" t="e" cm="1">
        <f t="array" aca="1" ref="AK304" ca="1">_xlfn.XLOOKUP(PAA_4[[#This Row],[RCP-RUBRO]],[2]!COMPROMISOS_2024[[#All],[concatenado]],[2]!COMPROMISOS_2024[[#All],[Total Comprometido]],"",0)</f>
        <v>#NAME?</v>
      </c>
      <c r="AL304" s="47">
        <f>IF(PAA_4[[#This Row],[BOLSA]]=0,0,SUMIFS([2]!COMPROMISOS_2024[[#All],[Total Comprometido]],[2]!COMPROMISOS_2024[[#All],[Bolsa]],PAA_4[[#This Row],[BOLSA]],[2]!COMPROMISOS_2024[[#All],[concatenado]],PAA_4[[#This Row],[RCP-RUBRO]]))</f>
        <v>0</v>
      </c>
    </row>
    <row r="305" spans="1:38" s="19" customFormat="1" ht="31.5" customHeight="1">
      <c r="A305" s="47" t="s">
        <v>82</v>
      </c>
      <c r="B305" s="47">
        <v>80111600</v>
      </c>
      <c r="C305" s="47" t="str">
        <f>VLOOKUP(PAA_4[[#This Row],[PROYECTO (formulado)2]],[2]PROYECTOS!$G$1:$L$32,6,0)</f>
        <v>OFICINA DE PLANEACION</v>
      </c>
      <c r="D305" s="47" t="str">
        <f>+IF(PAA_4[[#This Row],[UNIDAD DE CONTRATACION (formulado)]]="Subgerencia Administrativa y Financiera","FUNCIONAMIENTO","INVERSIÓN")</f>
        <v>INVERSIÓN</v>
      </c>
      <c r="E305" s="48" t="str">
        <f>VLOOKUP(Q305,[2]PROYECTOS!$G$1:$K$32,5,0)</f>
        <v>FORTALECIMIENTO_DEL_OBSERVATORIO_DEL_DEPORTE_DE_ANTIOQUIA</v>
      </c>
      <c r="F305" s="48">
        <f>VLOOKUP(E305,[2]PROYECTOS!$K$1:$M$32,3,0)</f>
        <v>2020003050273</v>
      </c>
      <c r="G305" s="49" t="s">
        <v>171</v>
      </c>
      <c r="H305" s="49">
        <f>VLOOKUP(Q305,[2]PROYECTOS!$V$1:$W$32,2,0)</f>
        <v>220321</v>
      </c>
      <c r="I305" s="50">
        <v>0</v>
      </c>
      <c r="J305" s="51" t="s">
        <v>1459</v>
      </c>
      <c r="K305" s="47" t="str">
        <f t="shared" ca="1" si="165"/>
        <v>CONTRATADO</v>
      </c>
      <c r="L305" s="47" t="s">
        <v>94</v>
      </c>
      <c r="M305" s="47" t="s">
        <v>1297</v>
      </c>
      <c r="N305" s="52" t="s">
        <v>172</v>
      </c>
      <c r="O305" s="51" t="e">
        <f>VLOOKUP(N305,[2]!RUBROS[#All],3,0)</f>
        <v>#REF!</v>
      </c>
      <c r="P305" s="53" t="e">
        <f>VLOOKUP(N305,[2]!RUBROS[#All],2,0)</f>
        <v>#REF!</v>
      </c>
      <c r="Q305" s="47" t="str">
        <f t="shared" si="166"/>
        <v>54</v>
      </c>
      <c r="R305" s="47" t="str">
        <f t="shared" si="167"/>
        <v>0-101024</v>
      </c>
      <c r="S305" s="54">
        <v>9</v>
      </c>
      <c r="T305" s="59" t="s">
        <v>46</v>
      </c>
      <c r="U305" s="326" t="e">
        <f ca="1">_xlfn.XLOOKUP(PAA_4[[#This Row],[ITEM]],[2]Contrato!A:A,[2]Contrato!Q:Q,"",0)</f>
        <v>#NAME?</v>
      </c>
      <c r="V305" s="47" t="s">
        <v>95</v>
      </c>
      <c r="W305" s="47" t="s">
        <v>122</v>
      </c>
      <c r="X305" s="47" t="s">
        <v>122</v>
      </c>
      <c r="Y305" s="55" t="e">
        <f ca="1">_xlfn.XLOOKUP(PAA_4[[#This Row],[ITEM]],[2]Contrato!A:A,[2]Contrato!B:B,"",0)</f>
        <v>#NAME?</v>
      </c>
      <c r="Z305" s="47" t="e">
        <f ca="1">_xlfn.XLOOKUP(PAA_4[[#This Row],[ITEM]],[2]Contrato!A:A,[2]Contrato!G:G,"",0)</f>
        <v>#NAME?</v>
      </c>
      <c r="AA305" s="47" t="e">
        <f ca="1">_xlfn.XLOOKUP(PAA_4[[#This Row],[ITEM]],[2]Contrato!A:A,[2]Contrato!T:T,"",0)</f>
        <v>#NAME?</v>
      </c>
      <c r="AB305" s="55" t="e">
        <f ca="1">+MAX(PAA_4[[#This Row],[Comprometido Contrato]],PAA_4[[#This Row],[Comprometido Bolsa]])</f>
        <v>#NAME?</v>
      </c>
      <c r="AC305" s="55" t="str">
        <f t="shared" ca="1" si="168"/>
        <v/>
      </c>
      <c r="AD305" s="55" t="e">
        <f ca="1">IF(PAA_4[[#This Row],[ESTADO (formulado)]]="NO CONTRATADO",0,MAX(PAA_4[[#This Row],[Pago por Contrato]],PAA_4[[#This Row],[Pago por bolsa]]))</f>
        <v>#NAME?</v>
      </c>
      <c r="AE305" s="55" t="str">
        <f t="shared" ca="1" si="169"/>
        <v/>
      </c>
      <c r="AF305" s="47" t="e">
        <f t="shared" ca="1" si="170"/>
        <v>#NAME?</v>
      </c>
      <c r="AG305" s="47">
        <f t="shared" si="171"/>
        <v>41080302</v>
      </c>
      <c r="AH305" s="54">
        <f>IF(Q305="22",IF(ISNUMBER(SEARCH("econ",PAA_4[[#This Row],[Actividad3]])),"Económico",IF(ISNUMBER(SEARCH("alim",PAA_4[[#This Row],[Actividad3]])),"Alimentación",IF(ISNUMBER(SEARCH("educ",PAA_4[[#This Row],[Actividad3]])),"Educativo","Técnico"))),0)</f>
        <v>0</v>
      </c>
      <c r="AI305" s="47" t="e" cm="1">
        <f t="array" aca="1" ref="AI305" ca="1">_xlfn.XLOOKUP(PAA_4[[#This Row],[RCP-RUBRO]],[2]!COMPROMISOS_2024[[#All],[concatenado]],[2]!COMPROMISOS_2024[[#All],[Total pagado]],"",0)</f>
        <v>#NAME?</v>
      </c>
      <c r="AJ305" s="56">
        <f>IF(PAA_4[[#This Row],[BOLSA]]=0,0,SUMIFS([2]!COMPROMISOS_2024[[#All],[Total pagado]],[2]!COMPROMISOS_2024[[#All],[Bolsa]],PAA_4[[#This Row],[BOLSA]],[2]!COMPROMISOS_2024[[#All],[rubro]],PAA_4[[#This Row],[RCP-RUBRO]]))</f>
        <v>0</v>
      </c>
      <c r="AK305" s="47" t="e" cm="1">
        <f t="array" aca="1" ref="AK305" ca="1">_xlfn.XLOOKUP(PAA_4[[#This Row],[RCP-RUBRO]],[2]!COMPROMISOS_2024[[#All],[concatenado]],[2]!COMPROMISOS_2024[[#All],[Total Comprometido]],"",0)</f>
        <v>#NAME?</v>
      </c>
      <c r="AL305" s="47">
        <f>IF(PAA_4[[#This Row],[BOLSA]]=0,0,SUMIFS([2]!COMPROMISOS_2024[[#All],[Total Comprometido]],[2]!COMPROMISOS_2024[[#All],[Bolsa]],PAA_4[[#This Row],[BOLSA]],[2]!COMPROMISOS_2024[[#All],[concatenado]],PAA_4[[#This Row],[RCP-RUBRO]]))</f>
        <v>0</v>
      </c>
    </row>
    <row r="306" spans="1:38" s="19" customFormat="1" ht="31.5" customHeight="1">
      <c r="A306" s="47">
        <v>43</v>
      </c>
      <c r="B306" s="47">
        <v>80111600</v>
      </c>
      <c r="C306" s="47" t="str">
        <f>VLOOKUP(PAA_4[[#This Row],[PROYECTO (formulado)2]],[2]PROYECTOS!$G$1:$L$32,6,0)</f>
        <v>OFICINA DE PLANEACION</v>
      </c>
      <c r="D306" s="47" t="str">
        <f>+IF(PAA_4[[#This Row],[UNIDAD DE CONTRATACION (formulado)]]="Subgerencia Administrativa y Financiera","FUNCIONAMIENTO","INVERSIÓN")</f>
        <v>INVERSIÓN</v>
      </c>
      <c r="E306" s="48" t="str">
        <f>VLOOKUP(Q306,[2]PROYECTOS!$G$1:$K$32,5,0)</f>
        <v>FORTALECIMIENTO_DEL_OBSERVATORIO_DEL_DEPORTE_DE_ANTIOQUIA</v>
      </c>
      <c r="F306" s="48">
        <f>VLOOKUP(E306,[2]PROYECTOS!$K$1:$M$32,3,0)</f>
        <v>2020003050273</v>
      </c>
      <c r="G306" s="49" t="s">
        <v>177</v>
      </c>
      <c r="H306" s="49">
        <f>VLOOKUP(Q306,[2]PROYECTOS!$V$1:$W$32,2,0)</f>
        <v>220321</v>
      </c>
      <c r="I306" s="50">
        <v>56080944</v>
      </c>
      <c r="J306" s="51" t="s">
        <v>1460</v>
      </c>
      <c r="K306" s="47" t="str">
        <f t="shared" ca="1" si="165"/>
        <v>CONTRATADO</v>
      </c>
      <c r="L306" s="47" t="s">
        <v>94</v>
      </c>
      <c r="M306" s="47" t="s">
        <v>1297</v>
      </c>
      <c r="N306" s="52" t="s">
        <v>172</v>
      </c>
      <c r="O306" s="51" t="e">
        <f>VLOOKUP(N306,[2]!RUBROS[#All],3,0)</f>
        <v>#REF!</v>
      </c>
      <c r="P306" s="53" t="e">
        <f>VLOOKUP(N306,[2]!RUBROS[#All],2,0)</f>
        <v>#REF!</v>
      </c>
      <c r="Q306" s="47" t="str">
        <f t="shared" si="166"/>
        <v>54</v>
      </c>
      <c r="R306" s="47" t="str">
        <f t="shared" si="167"/>
        <v>0-101024</v>
      </c>
      <c r="S306" s="54">
        <v>6</v>
      </c>
      <c r="T306" s="59" t="s">
        <v>46</v>
      </c>
      <c r="U306" s="326" t="e">
        <f ca="1">_xlfn.XLOOKUP(PAA_4[[#This Row],[ITEM]],[2]Contrato!A:A,[2]Contrato!Q:Q,"",0)</f>
        <v>#NAME?</v>
      </c>
      <c r="V306" s="47" t="s">
        <v>47</v>
      </c>
      <c r="W306" s="47" t="s">
        <v>91</v>
      </c>
      <c r="X306" s="47" t="s">
        <v>91</v>
      </c>
      <c r="Y306" s="55" t="e">
        <f ca="1">_xlfn.XLOOKUP(PAA_4[[#This Row],[ITEM]],[2]Contrato!A:A,[2]Contrato!B:B,"",0)</f>
        <v>#NAME?</v>
      </c>
      <c r="Z306" s="47" t="e">
        <f ca="1">_xlfn.XLOOKUP(PAA_4[[#This Row],[ITEM]],[2]Contrato!A:A,[2]Contrato!G:G,"",0)</f>
        <v>#NAME?</v>
      </c>
      <c r="AA306" s="47" t="e">
        <f ca="1">_xlfn.XLOOKUP(PAA_4[[#This Row],[ITEM]],[2]Contrato!A:A,[2]Contrato!T:T,"",0)</f>
        <v>#NAME?</v>
      </c>
      <c r="AB306" s="55" t="e">
        <f ca="1">+MAX(PAA_4[[#This Row],[Comprometido Contrato]],PAA_4[[#This Row],[Comprometido Bolsa]])</f>
        <v>#NAME?</v>
      </c>
      <c r="AC306" s="55" t="str">
        <f t="shared" ca="1" si="168"/>
        <v/>
      </c>
      <c r="AD306" s="55" t="e">
        <f ca="1">IF(PAA_4[[#This Row],[ESTADO (formulado)]]="NO CONTRATADO",0,MAX(PAA_4[[#This Row],[Pago por Contrato]],PAA_4[[#This Row],[Pago por bolsa]]))</f>
        <v>#NAME?</v>
      </c>
      <c r="AE306" s="55" t="str">
        <f t="shared" ca="1" si="169"/>
        <v/>
      </c>
      <c r="AF306" s="47" t="e">
        <f t="shared" ca="1" si="170"/>
        <v>#NAME?</v>
      </c>
      <c r="AG306" s="47">
        <f t="shared" si="171"/>
        <v>41080302</v>
      </c>
      <c r="AH306" s="54">
        <f>IF(Q306="22",IF(ISNUMBER(SEARCH("econ",PAA_4[[#This Row],[Actividad3]])),"Económico",IF(ISNUMBER(SEARCH("alim",PAA_4[[#This Row],[Actividad3]])),"Alimentación",IF(ISNUMBER(SEARCH("educ",PAA_4[[#This Row],[Actividad3]])),"Educativo","Técnico"))),0)</f>
        <v>0</v>
      </c>
      <c r="AI306" s="47" t="e" cm="1">
        <f t="array" aca="1" ref="AI306" ca="1">_xlfn.XLOOKUP(PAA_4[[#This Row],[RCP-RUBRO]],[2]!COMPROMISOS_2024[[#All],[concatenado]],[2]!COMPROMISOS_2024[[#All],[Total pagado]],"",0)</f>
        <v>#NAME?</v>
      </c>
      <c r="AJ306" s="56">
        <f>IF(PAA_4[[#This Row],[BOLSA]]=0,0,SUMIFS([2]!COMPROMISOS_2024[[#All],[Total pagado]],[2]!COMPROMISOS_2024[[#All],[Bolsa]],PAA_4[[#This Row],[BOLSA]],[2]!COMPROMISOS_2024[[#All],[rubro]],PAA_4[[#This Row],[RCP-RUBRO]]))</f>
        <v>0</v>
      </c>
      <c r="AK306" s="47" t="e" cm="1">
        <f t="array" aca="1" ref="AK306" ca="1">_xlfn.XLOOKUP(PAA_4[[#This Row],[RCP-RUBRO]],[2]!COMPROMISOS_2024[[#All],[concatenado]],[2]!COMPROMISOS_2024[[#All],[Total Comprometido]],"",0)</f>
        <v>#NAME?</v>
      </c>
      <c r="AL306" s="47">
        <f>IF(PAA_4[[#This Row],[BOLSA]]=0,0,SUMIFS([2]!COMPROMISOS_2024[[#All],[Total Comprometido]],[2]!COMPROMISOS_2024[[#All],[Bolsa]],PAA_4[[#This Row],[BOLSA]],[2]!COMPROMISOS_2024[[#All],[concatenado]],PAA_4[[#This Row],[RCP-RUBRO]]))</f>
        <v>0</v>
      </c>
    </row>
    <row r="307" spans="1:38" s="19" customFormat="1" ht="31.5" customHeight="1">
      <c r="A307" s="47" t="s">
        <v>82</v>
      </c>
      <c r="B307" s="47">
        <v>80111600</v>
      </c>
      <c r="C307" s="47" t="str">
        <f>VLOOKUP(PAA_4[[#This Row],[PROYECTO (formulado)2]],[2]PROYECTOS!$G$1:$L$32,6,0)</f>
        <v>OFICINA DE PLANEACION</v>
      </c>
      <c r="D307" s="47" t="str">
        <f>+IF(PAA_4[[#This Row],[UNIDAD DE CONTRATACION (formulado)]]="Subgerencia Administrativa y Financiera","FUNCIONAMIENTO","INVERSIÓN")</f>
        <v>INVERSIÓN</v>
      </c>
      <c r="E307" s="48" t="str">
        <f>VLOOKUP(Q307,[2]PROYECTOS!$G$1:$K$32,5,0)</f>
        <v>FORTALECIMIENTO_DEL_OBSERVATORIO_DEL_DEPORTE_DE_ANTIOQUIA</v>
      </c>
      <c r="F307" s="48">
        <f>VLOOKUP(E307,[2]PROYECTOS!$K$1:$M$32,3,0)</f>
        <v>2020003050273</v>
      </c>
      <c r="G307" s="49" t="s">
        <v>177</v>
      </c>
      <c r="H307" s="49">
        <f>VLOOKUP(Q307,[2]PROYECTOS!$V$1:$W$32,2,0)</f>
        <v>220321</v>
      </c>
      <c r="I307" s="50">
        <v>0</v>
      </c>
      <c r="J307" s="51" t="s">
        <v>1461</v>
      </c>
      <c r="K307" s="47" t="str">
        <f t="shared" ca="1" si="165"/>
        <v>CONTRATADO</v>
      </c>
      <c r="L307" s="47" t="s">
        <v>94</v>
      </c>
      <c r="M307" s="47" t="s">
        <v>1297</v>
      </c>
      <c r="N307" s="52" t="s">
        <v>172</v>
      </c>
      <c r="O307" s="51" t="e">
        <f>VLOOKUP(N307,[2]!RUBROS[#All],3,0)</f>
        <v>#REF!</v>
      </c>
      <c r="P307" s="53" t="e">
        <f>VLOOKUP(N307,[2]!RUBROS[#All],2,0)</f>
        <v>#REF!</v>
      </c>
      <c r="Q307" s="47" t="str">
        <f t="shared" si="166"/>
        <v>54</v>
      </c>
      <c r="R307" s="47" t="str">
        <f t="shared" si="167"/>
        <v>0-101024</v>
      </c>
      <c r="S307" s="54">
        <v>9</v>
      </c>
      <c r="T307" s="59" t="s">
        <v>46</v>
      </c>
      <c r="U307" s="326" t="e">
        <f ca="1">_xlfn.XLOOKUP(PAA_4[[#This Row],[ITEM]],[2]Contrato!A:A,[2]Contrato!Q:Q,"",0)</f>
        <v>#NAME?</v>
      </c>
      <c r="V307" s="47" t="s">
        <v>95</v>
      </c>
      <c r="W307" s="47" t="s">
        <v>122</v>
      </c>
      <c r="X307" s="47" t="s">
        <v>122</v>
      </c>
      <c r="Y307" s="55" t="e">
        <f ca="1">_xlfn.XLOOKUP(PAA_4[[#This Row],[ITEM]],[2]Contrato!A:A,[2]Contrato!B:B,"",0)</f>
        <v>#NAME?</v>
      </c>
      <c r="Z307" s="47" t="e">
        <f ca="1">_xlfn.XLOOKUP(PAA_4[[#This Row],[ITEM]],[2]Contrato!A:A,[2]Contrato!G:G,"",0)</f>
        <v>#NAME?</v>
      </c>
      <c r="AA307" s="47" t="e">
        <f ca="1">_xlfn.XLOOKUP(PAA_4[[#This Row],[ITEM]],[2]Contrato!A:A,[2]Contrato!T:T,"",0)</f>
        <v>#NAME?</v>
      </c>
      <c r="AB307" s="55" t="e">
        <f ca="1">+MAX(PAA_4[[#This Row],[Comprometido Contrato]],PAA_4[[#This Row],[Comprometido Bolsa]])</f>
        <v>#NAME?</v>
      </c>
      <c r="AC307" s="55" t="str">
        <f t="shared" ca="1" si="168"/>
        <v/>
      </c>
      <c r="AD307" s="55" t="e">
        <f ca="1">IF(PAA_4[[#This Row],[ESTADO (formulado)]]="NO CONTRATADO",0,MAX(PAA_4[[#This Row],[Pago por Contrato]],PAA_4[[#This Row],[Pago por bolsa]]))</f>
        <v>#NAME?</v>
      </c>
      <c r="AE307" s="55" t="str">
        <f t="shared" ca="1" si="169"/>
        <v/>
      </c>
      <c r="AF307" s="47" t="e">
        <f t="shared" ca="1" si="170"/>
        <v>#NAME?</v>
      </c>
      <c r="AG307" s="47">
        <f t="shared" si="171"/>
        <v>41080302</v>
      </c>
      <c r="AH307" s="54">
        <f>IF(Q307="22",IF(ISNUMBER(SEARCH("econ",PAA_4[[#This Row],[Actividad3]])),"Económico",IF(ISNUMBER(SEARCH("alim",PAA_4[[#This Row],[Actividad3]])),"Alimentación",IF(ISNUMBER(SEARCH("educ",PAA_4[[#This Row],[Actividad3]])),"Educativo","Técnico"))),0)</f>
        <v>0</v>
      </c>
      <c r="AI307" s="47" t="e" cm="1">
        <f t="array" aca="1" ref="AI307" ca="1">_xlfn.XLOOKUP(PAA_4[[#This Row],[RCP-RUBRO]],[2]!COMPROMISOS_2024[[#All],[concatenado]],[2]!COMPROMISOS_2024[[#All],[Total pagado]],"",0)</f>
        <v>#NAME?</v>
      </c>
      <c r="AJ307" s="56">
        <f>IF(PAA_4[[#This Row],[BOLSA]]=0,0,SUMIFS([2]!COMPROMISOS_2024[[#All],[Total pagado]],[2]!COMPROMISOS_2024[[#All],[Bolsa]],PAA_4[[#This Row],[BOLSA]],[2]!COMPROMISOS_2024[[#All],[rubro]],PAA_4[[#This Row],[RCP-RUBRO]]))</f>
        <v>0</v>
      </c>
      <c r="AK307" s="47" t="e" cm="1">
        <f t="array" aca="1" ref="AK307" ca="1">_xlfn.XLOOKUP(PAA_4[[#This Row],[RCP-RUBRO]],[2]!COMPROMISOS_2024[[#All],[concatenado]],[2]!COMPROMISOS_2024[[#All],[Total Comprometido]],"",0)</f>
        <v>#NAME?</v>
      </c>
      <c r="AL307" s="47">
        <f>IF(PAA_4[[#This Row],[BOLSA]]=0,0,SUMIFS([2]!COMPROMISOS_2024[[#All],[Total Comprometido]],[2]!COMPROMISOS_2024[[#All],[Bolsa]],PAA_4[[#This Row],[BOLSA]],[2]!COMPROMISOS_2024[[#All],[concatenado]],PAA_4[[#This Row],[RCP-RUBRO]]))</f>
        <v>0</v>
      </c>
    </row>
    <row r="308" spans="1:38" s="19" customFormat="1" ht="31.5" customHeight="1">
      <c r="A308" s="47">
        <v>761</v>
      </c>
      <c r="B308" s="47">
        <v>80161500</v>
      </c>
      <c r="C308" s="47" t="str">
        <f>VLOOKUP(PAA_4[[#This Row],[PROYECTO (formulado)2]],[2]PROYECTOS!$G$1:$L$32,6,0)</f>
        <v>OFICINA DE PLANEACION</v>
      </c>
      <c r="D308" s="47" t="str">
        <f>+IF(PAA_4[[#This Row],[UNIDAD DE CONTRATACION (formulado)]]="Subgerencia Administrativa y Financiera","FUNCIONAMIENTO","INVERSIÓN")</f>
        <v>INVERSIÓN</v>
      </c>
      <c r="E308" s="48" t="str">
        <f>VLOOKUP(Q308,[2]PROYECTOS!$G$1:$K$32,5,0)</f>
        <v>FORTALECIMIENTO_DEL_OBSERVATORIO_DEL_DEPORTE_DE_ANTIOQUIA</v>
      </c>
      <c r="F308" s="48">
        <f>VLOOKUP(E308,[2]PROYECTOS!$K$1:$M$32,3,0)</f>
        <v>2020003050273</v>
      </c>
      <c r="G308" s="49" t="s">
        <v>173</v>
      </c>
      <c r="H308" s="49">
        <f>VLOOKUP(Q308,[2]PROYECTOS!$V$1:$W$32,2,0)</f>
        <v>220321</v>
      </c>
      <c r="I308" s="50">
        <v>44484724</v>
      </c>
      <c r="J308" s="51" t="s">
        <v>1462</v>
      </c>
      <c r="K308" s="47" t="str">
        <f t="shared" ca="1" si="165"/>
        <v>CONTRATADO</v>
      </c>
      <c r="L308" s="47" t="s">
        <v>94</v>
      </c>
      <c r="M308" s="47" t="s">
        <v>1297</v>
      </c>
      <c r="N308" s="58" t="s">
        <v>178</v>
      </c>
      <c r="O308" s="51" t="e">
        <f>VLOOKUP(N308,[2]!RUBROS[#All],3,0)</f>
        <v>#REF!</v>
      </c>
      <c r="P308" s="53" t="e">
        <f>VLOOKUP(N308,[2]!RUBROS[#All],2,0)</f>
        <v>#REF!</v>
      </c>
      <c r="Q308" s="47" t="str">
        <f t="shared" si="166"/>
        <v>54</v>
      </c>
      <c r="R308" s="47" t="str">
        <f t="shared" si="167"/>
        <v>4-101124</v>
      </c>
      <c r="S308" s="339">
        <v>6.5</v>
      </c>
      <c r="T308" s="59" t="s">
        <v>46</v>
      </c>
      <c r="U308" s="326" t="e">
        <f ca="1">_xlfn.XLOOKUP(PAA_4[[#This Row],[ITEM]],[2]Contrato!A:A,[2]Contrato!Q:Q,"",0)</f>
        <v>#NAME?</v>
      </c>
      <c r="V308" s="47" t="s">
        <v>95</v>
      </c>
      <c r="W308" s="47" t="s">
        <v>154</v>
      </c>
      <c r="X308" s="47" t="s">
        <v>154</v>
      </c>
      <c r="Y308" s="55" t="e">
        <f ca="1">_xlfn.XLOOKUP(PAA_4[[#This Row],[ITEM]],[2]Contrato!A:A,[2]Contrato!B:B,"",0)</f>
        <v>#NAME?</v>
      </c>
      <c r="Z308" s="47" t="e">
        <f ca="1">_xlfn.XLOOKUP(PAA_4[[#This Row],[ITEM]],[2]Contrato!A:A,[2]Contrato!G:G,"",0)</f>
        <v>#NAME?</v>
      </c>
      <c r="AA308" s="47" t="e">
        <f ca="1">_xlfn.XLOOKUP(PAA_4[[#This Row],[ITEM]],[2]Contrato!A:A,[2]Contrato!T:T,"",0)</f>
        <v>#NAME?</v>
      </c>
      <c r="AB308" s="55" t="e">
        <f ca="1">+MAX(PAA_4[[#This Row],[Comprometido Contrato]],PAA_4[[#This Row],[Comprometido Bolsa]])</f>
        <v>#NAME?</v>
      </c>
      <c r="AC308" s="55" t="str">
        <f t="shared" ca="1" si="168"/>
        <v/>
      </c>
      <c r="AD308" s="55" t="e">
        <f ca="1">IF(PAA_4[[#This Row],[ESTADO (formulado)]]="NO CONTRATADO",0,MAX(PAA_4[[#This Row],[Pago por Contrato]],PAA_4[[#This Row],[Pago por bolsa]]))</f>
        <v>#NAME?</v>
      </c>
      <c r="AE308" s="55" t="str">
        <f t="shared" ca="1" si="169"/>
        <v/>
      </c>
      <c r="AF308" s="47" t="e">
        <f t="shared" ca="1" si="170"/>
        <v>#NAME?</v>
      </c>
      <c r="AG308" s="47">
        <f t="shared" si="171"/>
        <v>41080302</v>
      </c>
      <c r="AH308" s="54">
        <f>IF(Q308="22",IF(ISNUMBER(SEARCH("econ",PAA_4[[#This Row],[Actividad3]])),"Económico",IF(ISNUMBER(SEARCH("alim",PAA_4[[#This Row],[Actividad3]])),"Alimentación",IF(ISNUMBER(SEARCH("educ",PAA_4[[#This Row],[Actividad3]])),"Educativo","Técnico"))),0)</f>
        <v>0</v>
      </c>
      <c r="AI308" s="47" t="e" cm="1">
        <f t="array" aca="1" ref="AI308" ca="1">_xlfn.XLOOKUP(PAA_4[[#This Row],[RCP-RUBRO]],[2]!COMPROMISOS_2024[[#All],[concatenado]],[2]!COMPROMISOS_2024[[#All],[Total pagado]],"",0)</f>
        <v>#NAME?</v>
      </c>
      <c r="AJ308" s="56">
        <f>IF(PAA_4[[#This Row],[BOLSA]]=0,0,SUMIFS([2]!COMPROMISOS_2024[[#All],[Total pagado]],[2]!COMPROMISOS_2024[[#All],[Bolsa]],PAA_4[[#This Row],[BOLSA]],[2]!COMPROMISOS_2024[[#All],[rubro]],PAA_4[[#This Row],[RCP-RUBRO]]))</f>
        <v>0</v>
      </c>
      <c r="AK308" s="47" t="e" cm="1">
        <f t="array" aca="1" ref="AK308" ca="1">_xlfn.XLOOKUP(PAA_4[[#This Row],[RCP-RUBRO]],[2]!COMPROMISOS_2024[[#All],[concatenado]],[2]!COMPROMISOS_2024[[#All],[Total Comprometido]],"",0)</f>
        <v>#NAME?</v>
      </c>
      <c r="AL308" s="47">
        <f>IF(PAA_4[[#This Row],[BOLSA]]=0,0,SUMIFS([2]!COMPROMISOS_2024[[#All],[Total Comprometido]],[2]!COMPROMISOS_2024[[#All],[Bolsa]],PAA_4[[#This Row],[BOLSA]],[2]!COMPROMISOS_2024[[#All],[concatenado]],PAA_4[[#This Row],[RCP-RUBRO]]))</f>
        <v>0</v>
      </c>
    </row>
    <row r="309" spans="1:38" s="19" customFormat="1" ht="31.5" customHeight="1">
      <c r="A309" s="47">
        <v>762</v>
      </c>
      <c r="B309" s="47">
        <v>80101500</v>
      </c>
      <c r="C309" s="47" t="str">
        <f>VLOOKUP(PAA_4[[#This Row],[PROYECTO (formulado)2]],[2]PROYECTOS!$G$1:$L$32,6,0)</f>
        <v>OFICINA DE PLANEACION</v>
      </c>
      <c r="D309" s="47" t="str">
        <f>+IF(PAA_4[[#This Row],[UNIDAD DE CONTRATACION (formulado)]]="Subgerencia Administrativa y Financiera","FUNCIONAMIENTO","INVERSIÓN")</f>
        <v>INVERSIÓN</v>
      </c>
      <c r="E309" s="48" t="str">
        <f>VLOOKUP(Q309,[2]PROYECTOS!$G$1:$K$32,5,0)</f>
        <v>FORTALECIMIENTO_DEL_OBSERVATORIO_DEL_DEPORTE_DE_ANTIOQUIA</v>
      </c>
      <c r="F309" s="48">
        <f>VLOOKUP(E309,[2]PROYECTOS!$K$1:$M$32,3,0)</f>
        <v>2020003050273</v>
      </c>
      <c r="G309" s="49" t="s">
        <v>173</v>
      </c>
      <c r="H309" s="49">
        <f>VLOOKUP(Q309,[2]PROYECTOS!$V$1:$W$32,2,0)</f>
        <v>220321</v>
      </c>
      <c r="I309" s="50">
        <v>24860000</v>
      </c>
      <c r="J309" s="51" t="s">
        <v>1463</v>
      </c>
      <c r="K309" s="47" t="str">
        <f t="shared" ca="1" si="165"/>
        <v>CONTRATADO</v>
      </c>
      <c r="L309" s="47" t="s">
        <v>94</v>
      </c>
      <c r="M309" s="47" t="s">
        <v>161</v>
      </c>
      <c r="N309" s="58" t="s">
        <v>178</v>
      </c>
      <c r="O309" s="51" t="e">
        <f>VLOOKUP(N309,[2]!RUBROS[#All],3,0)</f>
        <v>#REF!</v>
      </c>
      <c r="P309" s="53" t="e">
        <f>VLOOKUP(N309,[2]!RUBROS[#All],2,0)</f>
        <v>#REF!</v>
      </c>
      <c r="Q309" s="47" t="str">
        <f t="shared" si="166"/>
        <v>54</v>
      </c>
      <c r="R309" s="47" t="str">
        <f t="shared" si="167"/>
        <v>4-101124</v>
      </c>
      <c r="S309" s="339">
        <v>3</v>
      </c>
      <c r="T309" s="59" t="s">
        <v>46</v>
      </c>
      <c r="U309" s="326" t="e">
        <f ca="1">_xlfn.XLOOKUP(PAA_4[[#This Row],[ITEM]],[2]Contrato!A:A,[2]Contrato!Q:Q,"",0)</f>
        <v>#NAME?</v>
      </c>
      <c r="V309" s="47" t="s">
        <v>95</v>
      </c>
      <c r="W309" s="47" t="s">
        <v>154</v>
      </c>
      <c r="X309" s="47" t="s">
        <v>154</v>
      </c>
      <c r="Y309" s="55" t="e">
        <f ca="1">_xlfn.XLOOKUP(PAA_4[[#This Row],[ITEM]],[2]Contrato!A:A,[2]Contrato!B:B,"",0)</f>
        <v>#NAME?</v>
      </c>
      <c r="Z309" s="47" t="e">
        <f ca="1">_xlfn.XLOOKUP(PAA_4[[#This Row],[ITEM]],[2]Contrato!A:A,[2]Contrato!G:G,"",0)</f>
        <v>#NAME?</v>
      </c>
      <c r="AA309" s="47" t="e">
        <f ca="1">_xlfn.XLOOKUP(PAA_4[[#This Row],[ITEM]],[2]Contrato!A:A,[2]Contrato!T:T,"",0)</f>
        <v>#NAME?</v>
      </c>
      <c r="AB309" s="55" t="e">
        <f ca="1">+MAX(PAA_4[[#This Row],[Comprometido Contrato]],PAA_4[[#This Row],[Comprometido Bolsa]])</f>
        <v>#NAME?</v>
      </c>
      <c r="AC309" s="55" t="str">
        <f t="shared" ca="1" si="168"/>
        <v/>
      </c>
      <c r="AD309" s="55" t="e">
        <f ca="1">IF(PAA_4[[#This Row],[ESTADO (formulado)]]="NO CONTRATADO",0,MAX(PAA_4[[#This Row],[Pago por Contrato]],PAA_4[[#This Row],[Pago por bolsa]]))</f>
        <v>#NAME?</v>
      </c>
      <c r="AE309" s="55" t="str">
        <f t="shared" ca="1" si="169"/>
        <v/>
      </c>
      <c r="AF309" s="47" t="e">
        <f t="shared" ca="1" si="170"/>
        <v>#NAME?</v>
      </c>
      <c r="AG309" s="47">
        <f t="shared" si="171"/>
        <v>41080302</v>
      </c>
      <c r="AH309" s="54">
        <f>IF(Q309="22",IF(ISNUMBER(SEARCH("econ",PAA_4[[#This Row],[Actividad3]])),"Económico",IF(ISNUMBER(SEARCH("alim",PAA_4[[#This Row],[Actividad3]])),"Alimentación",IF(ISNUMBER(SEARCH("educ",PAA_4[[#This Row],[Actividad3]])),"Educativo","Técnico"))),0)</f>
        <v>0</v>
      </c>
      <c r="AI309" s="47" t="e" cm="1">
        <f t="array" aca="1" ref="AI309" ca="1">_xlfn.XLOOKUP(PAA_4[[#This Row],[RCP-RUBRO]],[2]!COMPROMISOS_2024[[#All],[concatenado]],[2]!COMPROMISOS_2024[[#All],[Total pagado]],"",0)</f>
        <v>#NAME?</v>
      </c>
      <c r="AJ309" s="56">
        <f>IF(PAA_4[[#This Row],[BOLSA]]=0,0,SUMIFS([2]!COMPROMISOS_2024[[#All],[Total pagado]],[2]!COMPROMISOS_2024[[#All],[Bolsa]],PAA_4[[#This Row],[BOLSA]],[2]!COMPROMISOS_2024[[#All],[rubro]],PAA_4[[#This Row],[RCP-RUBRO]]))</f>
        <v>0</v>
      </c>
      <c r="AK309" s="47" t="e" cm="1">
        <f t="array" aca="1" ref="AK309" ca="1">_xlfn.XLOOKUP(PAA_4[[#This Row],[RCP-RUBRO]],[2]!COMPROMISOS_2024[[#All],[concatenado]],[2]!COMPROMISOS_2024[[#All],[Total Comprometido]],"",0)</f>
        <v>#NAME?</v>
      </c>
      <c r="AL309" s="47">
        <f>IF(PAA_4[[#This Row],[BOLSA]]=0,0,SUMIFS([2]!COMPROMISOS_2024[[#All],[Total Comprometido]],[2]!COMPROMISOS_2024[[#All],[Bolsa]],PAA_4[[#This Row],[BOLSA]],[2]!COMPROMISOS_2024[[#All],[concatenado]],PAA_4[[#This Row],[RCP-RUBRO]]))</f>
        <v>0</v>
      </c>
    </row>
    <row r="310" spans="1:38" s="19" customFormat="1" ht="31.5" customHeight="1">
      <c r="A310" s="47" t="s">
        <v>82</v>
      </c>
      <c r="B310" s="47" t="s">
        <v>42</v>
      </c>
      <c r="C310" s="47" t="str">
        <f>VLOOKUP(PAA_4[[#This Row],[PROYECTO (formulado)2]],[2]PROYECTOS!$G$1:$L$32,6,0)</f>
        <v>OFICINA DE PLANEACION</v>
      </c>
      <c r="D310" s="47" t="str">
        <f>+IF(PAA_4[[#This Row],[UNIDAD DE CONTRATACION (formulado)]]="Subgerencia Administrativa y Financiera","FUNCIONAMIENTO","INVERSIÓN")</f>
        <v>INVERSIÓN</v>
      </c>
      <c r="E310" s="48" t="str">
        <f>VLOOKUP(Q310,[2]PROYECTOS!$G$1:$K$32,5,0)</f>
        <v>FORTALECIMIENTO_DEL_OBSERVATORIO_DEL_DEPORTE_DE_ANTIOQUIA</v>
      </c>
      <c r="F310" s="48">
        <f>VLOOKUP(E310,[2]PROYECTOS!$K$1:$M$32,3,0)</f>
        <v>2020003050273</v>
      </c>
      <c r="G310" s="49" t="s">
        <v>173</v>
      </c>
      <c r="H310" s="49">
        <f>VLOOKUP(Q310,[2]PROYECTOS!$V$1:$W$32,2,0)</f>
        <v>220321</v>
      </c>
      <c r="I310" s="50">
        <v>0</v>
      </c>
      <c r="J310" s="51" t="s">
        <v>1464</v>
      </c>
      <c r="K310" s="47" t="str">
        <f t="shared" ca="1" si="165"/>
        <v>CONTRATADO</v>
      </c>
      <c r="L310" s="47" t="s">
        <v>94</v>
      </c>
      <c r="M310" s="47" t="s">
        <v>89</v>
      </c>
      <c r="N310" s="58" t="s">
        <v>178</v>
      </c>
      <c r="O310" s="51" t="e">
        <f>VLOOKUP(N310,[2]!RUBROS[#All],3,0)</f>
        <v>#REF!</v>
      </c>
      <c r="P310" s="53" t="e">
        <f>VLOOKUP(N310,[2]!RUBROS[#All],2,0)</f>
        <v>#REF!</v>
      </c>
      <c r="Q310" s="47" t="str">
        <f t="shared" si="166"/>
        <v>54</v>
      </c>
      <c r="R310" s="47" t="str">
        <f t="shared" si="167"/>
        <v>4-101124</v>
      </c>
      <c r="S310" s="339">
        <v>6</v>
      </c>
      <c r="T310" s="59" t="s">
        <v>46</v>
      </c>
      <c r="U310" s="326" t="e">
        <f ca="1">_xlfn.XLOOKUP(PAA_4[[#This Row],[ITEM]],[2]Contrato!A:A,[2]Contrato!Q:Q,"",0)</f>
        <v>#NAME?</v>
      </c>
      <c r="V310" s="47" t="s">
        <v>95</v>
      </c>
      <c r="W310" s="47" t="s">
        <v>154</v>
      </c>
      <c r="X310" s="47" t="s">
        <v>154</v>
      </c>
      <c r="Y310" s="55" t="e">
        <f ca="1">_xlfn.XLOOKUP(PAA_4[[#This Row],[ITEM]],[2]Contrato!A:A,[2]Contrato!B:B,"",0)</f>
        <v>#NAME?</v>
      </c>
      <c r="Z310" s="47" t="e">
        <f ca="1">_xlfn.XLOOKUP(PAA_4[[#This Row],[ITEM]],[2]Contrato!A:A,[2]Contrato!G:G,"",0)</f>
        <v>#NAME?</v>
      </c>
      <c r="AA310" s="47" t="e">
        <f ca="1">_xlfn.XLOOKUP(PAA_4[[#This Row],[ITEM]],[2]Contrato!A:A,[2]Contrato!T:T,"",0)</f>
        <v>#NAME?</v>
      </c>
      <c r="AB310" s="55" t="e">
        <f ca="1">+MAX(PAA_4[[#This Row],[Comprometido Contrato]],PAA_4[[#This Row],[Comprometido Bolsa]])</f>
        <v>#NAME?</v>
      </c>
      <c r="AC310" s="55" t="str">
        <f t="shared" ca="1" si="168"/>
        <v/>
      </c>
      <c r="AD310" s="55" t="e">
        <f ca="1">IF(PAA_4[[#This Row],[ESTADO (formulado)]]="NO CONTRATADO",0,MAX(PAA_4[[#This Row],[Pago por Contrato]],PAA_4[[#This Row],[Pago por bolsa]]))</f>
        <v>#NAME?</v>
      </c>
      <c r="AE310" s="55" t="str">
        <f t="shared" ca="1" si="169"/>
        <v/>
      </c>
      <c r="AF310" s="47" t="e">
        <f t="shared" ca="1" si="170"/>
        <v>#NAME?</v>
      </c>
      <c r="AG310" s="47">
        <f t="shared" si="171"/>
        <v>41080302</v>
      </c>
      <c r="AH310" s="54">
        <f>IF(Q310="22",IF(ISNUMBER(SEARCH("econ",PAA_4[[#This Row],[Actividad3]])),"Económico",IF(ISNUMBER(SEARCH("alim",PAA_4[[#This Row],[Actividad3]])),"Alimentación",IF(ISNUMBER(SEARCH("educ",PAA_4[[#This Row],[Actividad3]])),"Educativo","Técnico"))),0)</f>
        <v>0</v>
      </c>
      <c r="AI310" s="47" t="e" cm="1">
        <f t="array" aca="1" ref="AI310" ca="1">_xlfn.XLOOKUP(PAA_4[[#This Row],[RCP-RUBRO]],[2]!COMPROMISOS_2024[[#All],[concatenado]],[2]!COMPROMISOS_2024[[#All],[Total pagado]],"",0)</f>
        <v>#NAME?</v>
      </c>
      <c r="AJ310" s="56">
        <f>IF(PAA_4[[#This Row],[BOLSA]]=0,0,SUMIFS([2]!COMPROMISOS_2024[[#All],[Total pagado]],[2]!COMPROMISOS_2024[[#All],[Bolsa]],PAA_4[[#This Row],[BOLSA]],[2]!COMPROMISOS_2024[[#All],[rubro]],PAA_4[[#This Row],[RCP-RUBRO]]))</f>
        <v>0</v>
      </c>
      <c r="AK310" s="47" t="e" cm="1">
        <f t="array" aca="1" ref="AK310" ca="1">_xlfn.XLOOKUP(PAA_4[[#This Row],[RCP-RUBRO]],[2]!COMPROMISOS_2024[[#All],[concatenado]],[2]!COMPROMISOS_2024[[#All],[Total Comprometido]],"",0)</f>
        <v>#NAME?</v>
      </c>
      <c r="AL310" s="47">
        <f>IF(PAA_4[[#This Row],[BOLSA]]=0,0,SUMIFS([2]!COMPROMISOS_2024[[#All],[Total Comprometido]],[2]!COMPROMISOS_2024[[#All],[Bolsa]],PAA_4[[#This Row],[BOLSA]],[2]!COMPROMISOS_2024[[#All],[concatenado]],PAA_4[[#This Row],[RCP-RUBRO]]))</f>
        <v>0</v>
      </c>
    </row>
    <row r="311" spans="1:38" s="19" customFormat="1" ht="31.5" customHeight="1">
      <c r="A311" s="47">
        <v>44</v>
      </c>
      <c r="B311" s="47">
        <v>80111600</v>
      </c>
      <c r="C311" s="47" t="str">
        <f>VLOOKUP(PAA_4[[#This Row],[PROYECTO (formulado)2]],[2]PROYECTOS!$G$1:$L$32,6,0)</f>
        <v>OFICINA DE PLANEACION</v>
      </c>
      <c r="D311" s="47" t="str">
        <f>+IF(PAA_4[[#This Row],[UNIDAD DE CONTRATACION (formulado)]]="Subgerencia Administrativa y Financiera","FUNCIONAMIENTO","INVERSIÓN")</f>
        <v>INVERSIÓN</v>
      </c>
      <c r="E311" s="48" t="str">
        <f>VLOOKUP(Q311,[2]PROYECTOS!$G$1:$K$32,5,0)</f>
        <v>FORTALECIMIENTO_DEL_OBSERVATORIO_DEL_DEPORTE_DE_ANTIOQUIA</v>
      </c>
      <c r="F311" s="48">
        <f>VLOOKUP(E311,[2]PROYECTOS!$K$1:$M$32,3,0)</f>
        <v>2020003050273</v>
      </c>
      <c r="G311" s="49" t="s">
        <v>179</v>
      </c>
      <c r="H311" s="49">
        <f>VLOOKUP(Q311,[2]PROYECTOS!$V$1:$W$32,2,0)</f>
        <v>220321</v>
      </c>
      <c r="I311" s="50">
        <v>41274486</v>
      </c>
      <c r="J311" s="51" t="s">
        <v>1465</v>
      </c>
      <c r="K311" s="47" t="str">
        <f t="shared" ca="1" si="165"/>
        <v>CONTRATADO</v>
      </c>
      <c r="L311" s="47" t="s">
        <v>94</v>
      </c>
      <c r="M311" s="47" t="s">
        <v>1297</v>
      </c>
      <c r="N311" s="52" t="s">
        <v>172</v>
      </c>
      <c r="O311" s="51" t="e">
        <f>VLOOKUP(N311,[2]!RUBROS[#All],3,0)</f>
        <v>#REF!</v>
      </c>
      <c r="P311" s="53" t="e">
        <f>VLOOKUP(N311,[2]!RUBROS[#All],2,0)</f>
        <v>#REF!</v>
      </c>
      <c r="Q311" s="47" t="str">
        <f t="shared" si="166"/>
        <v>54</v>
      </c>
      <c r="R311" s="47" t="str">
        <f t="shared" si="167"/>
        <v>0-101024</v>
      </c>
      <c r="S311" s="54">
        <v>6</v>
      </c>
      <c r="T311" s="59" t="s">
        <v>46</v>
      </c>
      <c r="U311" s="326" t="e">
        <f ca="1">_xlfn.XLOOKUP(PAA_4[[#This Row],[ITEM]],[2]Contrato!A:A,[2]Contrato!Q:Q,"",0)</f>
        <v>#NAME?</v>
      </c>
      <c r="V311" s="47" t="s">
        <v>47</v>
      </c>
      <c r="W311" s="47" t="s">
        <v>91</v>
      </c>
      <c r="X311" s="47" t="s">
        <v>91</v>
      </c>
      <c r="Y311" s="55" t="e">
        <f ca="1">_xlfn.XLOOKUP(PAA_4[[#This Row],[ITEM]],[2]Contrato!A:A,[2]Contrato!B:B,"",0)</f>
        <v>#NAME?</v>
      </c>
      <c r="Z311" s="47" t="e">
        <f ca="1">_xlfn.XLOOKUP(PAA_4[[#This Row],[ITEM]],[2]Contrato!A:A,[2]Contrato!G:G,"",0)</f>
        <v>#NAME?</v>
      </c>
      <c r="AA311" s="47" t="e">
        <f ca="1">_xlfn.XLOOKUP(PAA_4[[#This Row],[ITEM]],[2]Contrato!A:A,[2]Contrato!T:T,"",0)</f>
        <v>#NAME?</v>
      </c>
      <c r="AB311" s="55" t="e">
        <f ca="1">+MAX(PAA_4[[#This Row],[Comprometido Contrato]],PAA_4[[#This Row],[Comprometido Bolsa]])</f>
        <v>#NAME?</v>
      </c>
      <c r="AC311" s="55" t="str">
        <f t="shared" ca="1" si="168"/>
        <v/>
      </c>
      <c r="AD311" s="55" t="e">
        <f ca="1">IF(PAA_4[[#This Row],[ESTADO (formulado)]]="NO CONTRATADO",0,MAX(PAA_4[[#This Row],[Pago por Contrato]],PAA_4[[#This Row],[Pago por bolsa]]))</f>
        <v>#NAME?</v>
      </c>
      <c r="AE311" s="55" t="str">
        <f t="shared" ca="1" si="169"/>
        <v/>
      </c>
      <c r="AF311" s="47" t="e">
        <f t="shared" ca="1" si="170"/>
        <v>#NAME?</v>
      </c>
      <c r="AG311" s="47">
        <f t="shared" si="171"/>
        <v>41080302</v>
      </c>
      <c r="AH311" s="54">
        <f>IF(Q311="22",IF(ISNUMBER(SEARCH("econ",PAA_4[[#This Row],[Actividad3]])),"Económico",IF(ISNUMBER(SEARCH("alim",PAA_4[[#This Row],[Actividad3]])),"Alimentación",IF(ISNUMBER(SEARCH("educ",PAA_4[[#This Row],[Actividad3]])),"Educativo","Técnico"))),0)</f>
        <v>0</v>
      </c>
      <c r="AI311" s="47" t="e" cm="1">
        <f t="array" aca="1" ref="AI311" ca="1">_xlfn.XLOOKUP(PAA_4[[#This Row],[RCP-RUBRO]],[2]!COMPROMISOS_2024[[#All],[concatenado]],[2]!COMPROMISOS_2024[[#All],[Total pagado]],"",0)</f>
        <v>#NAME?</v>
      </c>
      <c r="AJ311" s="56">
        <f>IF(PAA_4[[#This Row],[BOLSA]]=0,0,SUMIFS([2]!COMPROMISOS_2024[[#All],[Total pagado]],[2]!COMPROMISOS_2024[[#All],[Bolsa]],PAA_4[[#This Row],[BOLSA]],[2]!COMPROMISOS_2024[[#All],[rubro]],PAA_4[[#This Row],[RCP-RUBRO]]))</f>
        <v>0</v>
      </c>
      <c r="AK311" s="47" t="e" cm="1">
        <f t="array" aca="1" ref="AK311" ca="1">_xlfn.XLOOKUP(PAA_4[[#This Row],[RCP-RUBRO]],[2]!COMPROMISOS_2024[[#All],[concatenado]],[2]!COMPROMISOS_2024[[#All],[Total Comprometido]],"",0)</f>
        <v>#NAME?</v>
      </c>
      <c r="AL311" s="47">
        <f>IF(PAA_4[[#This Row],[BOLSA]]=0,0,SUMIFS([2]!COMPROMISOS_2024[[#All],[Total Comprometido]],[2]!COMPROMISOS_2024[[#All],[Bolsa]],PAA_4[[#This Row],[BOLSA]],[2]!COMPROMISOS_2024[[#All],[concatenado]],PAA_4[[#This Row],[RCP-RUBRO]]))</f>
        <v>0</v>
      </c>
    </row>
    <row r="312" spans="1:38" s="19" customFormat="1" ht="31.5" customHeight="1">
      <c r="A312" s="47">
        <v>45</v>
      </c>
      <c r="B312" s="47">
        <v>80111600</v>
      </c>
      <c r="C312" s="47" t="str">
        <f>VLOOKUP(PAA_4[[#This Row],[PROYECTO (formulado)2]],[2]PROYECTOS!$G$1:$L$32,6,0)</f>
        <v>OFICINA DE SISTEMAS</v>
      </c>
      <c r="D312" s="47" t="str">
        <f>+IF(PAA_4[[#This Row],[UNIDAD DE CONTRATACION (formulado)]]="Subgerencia Administrativa y Financiera","FUNCIONAMIENTO","INVERSIÓN")</f>
        <v>INVERSIÓN</v>
      </c>
      <c r="E312" s="48" t="str">
        <f>VLOOKUP(Q312,[2]PROYECTOS!$G$1:$K$32,5,0)</f>
        <v>MEJORAMIENTO_DEL_SISTEMA_DE_INFORMACIÓN_DE_INDEPORTES_ANTIOQUIA</v>
      </c>
      <c r="F312" s="48">
        <f>VLOOKUP(E312,[2]PROYECTOS!$K$1:$M$32,3,0)</f>
        <v>2020003050272</v>
      </c>
      <c r="G312" s="49" t="s">
        <v>180</v>
      </c>
      <c r="H312" s="49">
        <f>VLOOKUP(Q312,[2]PROYECTOS!$V$1:$W$32,2,0)</f>
        <v>220320</v>
      </c>
      <c r="I312" s="50">
        <v>25148808</v>
      </c>
      <c r="J312" s="51" t="s">
        <v>1466</v>
      </c>
      <c r="K312" s="47" t="str">
        <f t="shared" ca="1" si="165"/>
        <v>CONTRATADO</v>
      </c>
      <c r="L312" s="47" t="s">
        <v>94</v>
      </c>
      <c r="M312" s="47" t="s">
        <v>1297</v>
      </c>
      <c r="N312" s="52" t="s">
        <v>181</v>
      </c>
      <c r="O312" s="51" t="e">
        <f>VLOOKUP(N312,[2]!RUBROS[#All],3,0)</f>
        <v>#REF!</v>
      </c>
      <c r="P312" s="53" t="e">
        <f>VLOOKUP(N312,[2]!RUBROS[#All],2,0)</f>
        <v>#REF!</v>
      </c>
      <c r="Q312" s="47" t="str">
        <f t="shared" si="166"/>
        <v>90</v>
      </c>
      <c r="R312" s="47" t="str">
        <f t="shared" si="167"/>
        <v>0-101024</v>
      </c>
      <c r="S312" s="54">
        <v>6</v>
      </c>
      <c r="T312" s="59" t="s">
        <v>46</v>
      </c>
      <c r="U312" s="326" t="e">
        <f ca="1">_xlfn.XLOOKUP(PAA_4[[#This Row],[ITEM]],[2]Contrato!A:A,[2]Contrato!Q:Q,"",0)</f>
        <v>#NAME?</v>
      </c>
      <c r="V312" s="47" t="s">
        <v>47</v>
      </c>
      <c r="W312" s="47" t="s">
        <v>91</v>
      </c>
      <c r="X312" s="47" t="s">
        <v>91</v>
      </c>
      <c r="Y312" s="55" t="e">
        <f ca="1">_xlfn.XLOOKUP(PAA_4[[#This Row],[ITEM]],[2]Contrato!A:A,[2]Contrato!B:B,"",0)</f>
        <v>#NAME?</v>
      </c>
      <c r="Z312" s="47" t="e">
        <f ca="1">_xlfn.XLOOKUP(PAA_4[[#This Row],[ITEM]],[2]Contrato!A:A,[2]Contrato!G:G,"",0)</f>
        <v>#NAME?</v>
      </c>
      <c r="AA312" s="47" t="e">
        <f ca="1">_xlfn.XLOOKUP(PAA_4[[#This Row],[ITEM]],[2]Contrato!A:A,[2]Contrato!T:T,"",0)</f>
        <v>#NAME?</v>
      </c>
      <c r="AB312" s="55" t="e">
        <f ca="1">+MAX(PAA_4[[#This Row],[Comprometido Contrato]],PAA_4[[#This Row],[Comprometido Bolsa]])</f>
        <v>#NAME?</v>
      </c>
      <c r="AC312" s="55" t="str">
        <f t="shared" ca="1" si="168"/>
        <v/>
      </c>
      <c r="AD312" s="55" t="e">
        <f ca="1">IF(PAA_4[[#This Row],[ESTADO (formulado)]]="NO CONTRATADO",0,MAX(PAA_4[[#This Row],[Pago por Contrato]],PAA_4[[#This Row],[Pago por bolsa]]))</f>
        <v>#NAME?</v>
      </c>
      <c r="AE312" s="55" t="str">
        <f t="shared" ca="1" si="169"/>
        <v/>
      </c>
      <c r="AF312" s="47" t="e">
        <f t="shared" ca="1" si="170"/>
        <v>#NAME?</v>
      </c>
      <c r="AG312" s="47">
        <f t="shared" si="171"/>
        <v>41080301</v>
      </c>
      <c r="AH312" s="54">
        <f>IF(Q312="22",IF(ISNUMBER(SEARCH("econ",PAA_4[[#This Row],[Actividad3]])),"Económico",IF(ISNUMBER(SEARCH("alim",PAA_4[[#This Row],[Actividad3]])),"Alimentación",IF(ISNUMBER(SEARCH("educ",PAA_4[[#This Row],[Actividad3]])),"Educativo","Técnico"))),0)</f>
        <v>0</v>
      </c>
      <c r="AI312" s="47" t="e" cm="1">
        <f t="array" aca="1" ref="AI312" ca="1">_xlfn.XLOOKUP(PAA_4[[#This Row],[RCP-RUBRO]],[2]!COMPROMISOS_2024[[#All],[concatenado]],[2]!COMPROMISOS_2024[[#All],[Total pagado]],"",0)</f>
        <v>#NAME?</v>
      </c>
      <c r="AJ312" s="56">
        <f>IF(PAA_4[[#This Row],[BOLSA]]=0,0,SUMIFS([2]!COMPROMISOS_2024[[#All],[Total pagado]],[2]!COMPROMISOS_2024[[#All],[Bolsa]],PAA_4[[#This Row],[BOLSA]],[2]!COMPROMISOS_2024[[#All],[rubro]],PAA_4[[#This Row],[RCP-RUBRO]]))</f>
        <v>0</v>
      </c>
      <c r="AK312" s="47" t="e" cm="1">
        <f t="array" aca="1" ref="AK312" ca="1">_xlfn.XLOOKUP(PAA_4[[#This Row],[RCP-RUBRO]],[2]!COMPROMISOS_2024[[#All],[concatenado]],[2]!COMPROMISOS_2024[[#All],[Total Comprometido]],"",0)</f>
        <v>#NAME?</v>
      </c>
      <c r="AL312" s="47">
        <f>IF(PAA_4[[#This Row],[BOLSA]]=0,0,SUMIFS([2]!COMPROMISOS_2024[[#All],[Total Comprometido]],[2]!COMPROMISOS_2024[[#All],[Bolsa]],PAA_4[[#This Row],[BOLSA]],[2]!COMPROMISOS_2024[[#All],[concatenado]],PAA_4[[#This Row],[RCP-RUBRO]]))</f>
        <v>0</v>
      </c>
    </row>
    <row r="313" spans="1:38" s="19" customFormat="1" ht="31.5" customHeight="1">
      <c r="A313" s="47" t="s">
        <v>82</v>
      </c>
      <c r="B313" s="47" t="s">
        <v>42</v>
      </c>
      <c r="C313" s="47" t="str">
        <f>VLOOKUP(PAA_4[[#This Row],[PROYECTO (formulado)2]],[2]PROYECTOS!$G$1:$L$32,6,0)</f>
        <v>OFICINA DE SISTEMAS</v>
      </c>
      <c r="D313" s="47" t="str">
        <f>+IF(PAA_4[[#This Row],[UNIDAD DE CONTRATACION (formulado)]]="Subgerencia Administrativa y Financiera","FUNCIONAMIENTO","INVERSIÓN")</f>
        <v>INVERSIÓN</v>
      </c>
      <c r="E313" s="48" t="str">
        <f>VLOOKUP(Q313,[2]PROYECTOS!$G$1:$K$32,5,0)</f>
        <v>MEJORAMIENTO_DEL_SISTEMA_DE_INFORMACIÓN_DE_INDEPORTES_ANTIOQUIA</v>
      </c>
      <c r="F313" s="48">
        <f>VLOOKUP(E313,[2]PROYECTOS!$K$1:$M$32,3,0)</f>
        <v>2020003050272</v>
      </c>
      <c r="G313" s="49" t="s">
        <v>180</v>
      </c>
      <c r="H313" s="49">
        <f>VLOOKUP(Q313,[2]PROYECTOS!$V$1:$W$32,2,0)</f>
        <v>220320</v>
      </c>
      <c r="I313" s="50">
        <v>1</v>
      </c>
      <c r="J313" s="51" t="s">
        <v>1467</v>
      </c>
      <c r="K313" s="47" t="str">
        <f ca="1">IF(ISNONTEXT(Y313)=TRUE,"CONTRATADO","NO CONTRATADO")</f>
        <v>CONTRATADO</v>
      </c>
      <c r="L313" s="47" t="s">
        <v>42</v>
      </c>
      <c r="M313" s="47" t="s">
        <v>42</v>
      </c>
      <c r="N313" s="52" t="s">
        <v>181</v>
      </c>
      <c r="O313" s="51" t="e">
        <f>VLOOKUP(N313,[2]!RUBROS[#All],3,0)</f>
        <v>#REF!</v>
      </c>
      <c r="P313" s="53" t="e">
        <f>VLOOKUP(N313,[2]!RUBROS[#All],2,0)</f>
        <v>#REF!</v>
      </c>
      <c r="Q313" s="47" t="str">
        <f>+MID(N313,11,2)</f>
        <v>90</v>
      </c>
      <c r="R313" s="47" t="str">
        <f>+MID(N313,14,8)</f>
        <v>0-101024</v>
      </c>
      <c r="S313" s="54" t="s">
        <v>42</v>
      </c>
      <c r="T313" s="329" t="s">
        <v>42</v>
      </c>
      <c r="U313" s="326" t="e">
        <f ca="1">_xlfn.XLOOKUP(PAA_4[[#This Row],[ITEM]],[2]Contrato!A:A,[2]Contrato!Q:Q,"",0)</f>
        <v>#NAME?</v>
      </c>
      <c r="V313" s="47" t="s">
        <v>95</v>
      </c>
      <c r="W313" s="47" t="s">
        <v>42</v>
      </c>
      <c r="X313" s="47" t="s">
        <v>42</v>
      </c>
      <c r="Y313" s="55" t="e">
        <f ca="1">_xlfn.XLOOKUP(PAA_4[[#This Row],[ITEM]],[2]Contrato!A:A,[2]Contrato!B:B,"",0)</f>
        <v>#NAME?</v>
      </c>
      <c r="Z313" s="47" t="e">
        <f ca="1">_xlfn.XLOOKUP(PAA_4[[#This Row],[ITEM]],[2]Contrato!A:A,[2]Contrato!G:G,"",0)</f>
        <v>#NAME?</v>
      </c>
      <c r="AA313" s="47" t="e">
        <f ca="1">_xlfn.XLOOKUP(PAA_4[[#This Row],[ITEM]],[2]Contrato!A:A,[2]Contrato!T:T,"",0)</f>
        <v>#NAME?</v>
      </c>
      <c r="AB313" s="55" t="e">
        <f ca="1">+MAX(PAA_4[[#This Row],[Comprometido Contrato]],PAA_4[[#This Row],[Comprometido Bolsa]])</f>
        <v>#NAME?</v>
      </c>
      <c r="AC313" s="55" t="str">
        <f ca="1">IFERROR(I313-AB313,"")</f>
        <v/>
      </c>
      <c r="AD313" s="55" t="e">
        <f ca="1">IF(PAA_4[[#This Row],[ESTADO (formulado)]]="NO CONTRATADO",0,MAX(PAA_4[[#This Row],[Pago por Contrato]],PAA_4[[#This Row],[Pago por bolsa]]))</f>
        <v>#NAME?</v>
      </c>
      <c r="AE313" s="55" t="str">
        <f ca="1">+IFERROR(AB313-AD313,"")</f>
        <v/>
      </c>
      <c r="AF313" s="47" t="e">
        <f ca="1">+CONCATENATE(AA313,N313)</f>
        <v>#NAME?</v>
      </c>
      <c r="AG313" s="47">
        <f>IFERROR(_xlfn.NUMBERVALUE(MID(G313,1,8)),"")</f>
        <v>41080301</v>
      </c>
      <c r="AH313" s="54">
        <f>IF(Q313="22",IF(ISNUMBER(SEARCH("econ",PAA_4[[#This Row],[Actividad3]])),"Económico",IF(ISNUMBER(SEARCH("alim",PAA_4[[#This Row],[Actividad3]])),"Alimentación",IF(ISNUMBER(SEARCH("educ",PAA_4[[#This Row],[Actividad3]])),"Educativo","Técnico"))),0)</f>
        <v>0</v>
      </c>
      <c r="AI313" s="47" t="e" cm="1">
        <f t="array" aca="1" ref="AI313" ca="1">_xlfn.XLOOKUP(PAA_4[[#This Row],[RCP-RUBRO]],[2]!COMPROMISOS_2024[[#All],[concatenado]],[2]!COMPROMISOS_2024[[#All],[Total pagado]],"",0)</f>
        <v>#NAME?</v>
      </c>
      <c r="AJ313" s="56">
        <f>IF(PAA_4[[#This Row],[BOLSA]]=0,0,SUMIFS([2]!COMPROMISOS_2024[[#All],[Total pagado]],[2]!COMPROMISOS_2024[[#All],[Bolsa]],PAA_4[[#This Row],[BOLSA]],[2]!COMPROMISOS_2024[[#All],[rubro]],PAA_4[[#This Row],[RCP-RUBRO]]))</f>
        <v>0</v>
      </c>
      <c r="AK313" s="47" t="e" cm="1">
        <f t="array" aca="1" ref="AK313" ca="1">_xlfn.XLOOKUP(PAA_4[[#This Row],[RCP-RUBRO]],[2]!COMPROMISOS_2024[[#All],[concatenado]],[2]!COMPROMISOS_2024[[#All],[Total Comprometido]],"",0)</f>
        <v>#NAME?</v>
      </c>
      <c r="AL313" s="47">
        <f>IF(PAA_4[[#This Row],[BOLSA]]=0,0,SUMIFS([2]!COMPROMISOS_2024[[#All],[Total Comprometido]],[2]!COMPROMISOS_2024[[#All],[Bolsa]],PAA_4[[#This Row],[BOLSA]],[2]!COMPROMISOS_2024[[#All],[concatenado]],PAA_4[[#This Row],[RCP-RUBRO]]))</f>
        <v>0</v>
      </c>
    </row>
    <row r="314" spans="1:38" s="19" customFormat="1" ht="31.5" customHeight="1">
      <c r="A314" s="47">
        <v>46</v>
      </c>
      <c r="B314" s="47">
        <v>80111600</v>
      </c>
      <c r="C314" s="47" t="str">
        <f>VLOOKUP(PAA_4[[#This Row],[PROYECTO (formulado)2]],[2]PROYECTOS!$G$1:$L$32,6,0)</f>
        <v>OFICINA DE SISTEMAS</v>
      </c>
      <c r="D314" s="47" t="str">
        <f>+IF(PAA_4[[#This Row],[UNIDAD DE CONTRATACION (formulado)]]="Subgerencia Administrativa y Financiera","FUNCIONAMIENTO","INVERSIÓN")</f>
        <v>INVERSIÓN</v>
      </c>
      <c r="E314" s="48" t="str">
        <f>VLOOKUP(Q314,[2]PROYECTOS!$G$1:$K$32,5,0)</f>
        <v>MEJORAMIENTO_DEL_SISTEMA_DE_INFORMACIÓN_DE_INDEPORTES_ANTIOQUIA</v>
      </c>
      <c r="F314" s="48">
        <f>VLOOKUP(E314,[2]PROYECTOS!$K$1:$M$32,3,0)</f>
        <v>2020003050272</v>
      </c>
      <c r="G314" s="49" t="s">
        <v>180</v>
      </c>
      <c r="H314" s="49">
        <f>VLOOKUP(Q314,[2]PROYECTOS!$V$1:$W$32,2,0)</f>
        <v>220320</v>
      </c>
      <c r="I314" s="50">
        <f>67297133-1</f>
        <v>67297132</v>
      </c>
      <c r="J314" s="51" t="s">
        <v>1468</v>
      </c>
      <c r="K314" s="47" t="str">
        <f t="shared" ref="K314:K325" ca="1" si="172">IF(ISNONTEXT(Y314)=TRUE,"CONTRATADO","NO CONTRATADO")</f>
        <v>CONTRATADO</v>
      </c>
      <c r="L314" s="47" t="s">
        <v>94</v>
      </c>
      <c r="M314" s="47" t="s">
        <v>1297</v>
      </c>
      <c r="N314" s="52" t="s">
        <v>181</v>
      </c>
      <c r="O314" s="51" t="e">
        <f>VLOOKUP(N314,[2]!RUBROS[#All],3,0)</f>
        <v>#REF!</v>
      </c>
      <c r="P314" s="53" t="e">
        <f>VLOOKUP(N314,[2]!RUBROS[#All],2,0)</f>
        <v>#REF!</v>
      </c>
      <c r="Q314" s="47" t="str">
        <f t="shared" ref="Q314:Q325" si="173">+MID(N314,11,2)</f>
        <v>90</v>
      </c>
      <c r="R314" s="47" t="str">
        <f t="shared" ref="R314:R325" si="174">+MID(N314,14,8)</f>
        <v>0-101024</v>
      </c>
      <c r="S314" s="54">
        <v>7</v>
      </c>
      <c r="T314" s="59" t="s">
        <v>46</v>
      </c>
      <c r="U314" s="326" t="e">
        <f ca="1">_xlfn.XLOOKUP(PAA_4[[#This Row],[ITEM]],[2]Contrato!A:A,[2]Contrato!Q:Q,"",0)</f>
        <v>#NAME?</v>
      </c>
      <c r="V314" s="47" t="s">
        <v>95</v>
      </c>
      <c r="W314" s="47" t="s">
        <v>96</v>
      </c>
      <c r="X314" s="47" t="s">
        <v>102</v>
      </c>
      <c r="Y314" s="55" t="e">
        <f ca="1">_xlfn.XLOOKUP(PAA_4[[#This Row],[ITEM]],[2]Contrato!A:A,[2]Contrato!B:B,"",0)</f>
        <v>#NAME?</v>
      </c>
      <c r="Z314" s="47" t="e">
        <f ca="1">_xlfn.XLOOKUP(PAA_4[[#This Row],[ITEM]],[2]Contrato!A:A,[2]Contrato!G:G,"",0)</f>
        <v>#NAME?</v>
      </c>
      <c r="AA314" s="47" t="e">
        <f ca="1">_xlfn.XLOOKUP(PAA_4[[#This Row],[ITEM]],[2]Contrato!A:A,[2]Contrato!T:T,"",0)</f>
        <v>#NAME?</v>
      </c>
      <c r="AB314" s="55" t="e">
        <f ca="1">+MAX(PAA_4[[#This Row],[Comprometido Contrato]],PAA_4[[#This Row],[Comprometido Bolsa]])</f>
        <v>#NAME?</v>
      </c>
      <c r="AC314" s="55" t="str">
        <f t="shared" ref="AC314:AC325" ca="1" si="175">IFERROR(I314-AB314,"")</f>
        <v/>
      </c>
      <c r="AD314" s="55" t="e">
        <f ca="1">IF(PAA_4[[#This Row],[ESTADO (formulado)]]="NO CONTRATADO",0,MAX(PAA_4[[#This Row],[Pago por Contrato]],PAA_4[[#This Row],[Pago por bolsa]]))</f>
        <v>#NAME?</v>
      </c>
      <c r="AE314" s="55" t="str">
        <f t="shared" ref="AE314:AE325" ca="1" si="176">+IFERROR(AB314-AD314,"")</f>
        <v/>
      </c>
      <c r="AF314" s="47" t="e">
        <f t="shared" ref="AF314:AF325" ca="1" si="177">+CONCATENATE(AA314,N314)</f>
        <v>#NAME?</v>
      </c>
      <c r="AG314" s="47">
        <f t="shared" ref="AG314:AG325" si="178">IFERROR(_xlfn.NUMBERVALUE(MID(G314,1,8)),"")</f>
        <v>41080301</v>
      </c>
      <c r="AH314" s="54">
        <f>IF(Q314="22",IF(ISNUMBER(SEARCH("econ",PAA_4[[#This Row],[Actividad3]])),"Económico",IF(ISNUMBER(SEARCH("alim",PAA_4[[#This Row],[Actividad3]])),"Alimentación",IF(ISNUMBER(SEARCH("educ",PAA_4[[#This Row],[Actividad3]])),"Educativo","Técnico"))),0)</f>
        <v>0</v>
      </c>
      <c r="AI314" s="47" t="e" cm="1">
        <f t="array" aca="1" ref="AI314" ca="1">_xlfn.XLOOKUP(PAA_4[[#This Row],[RCP-RUBRO]],[2]!COMPROMISOS_2024[[#All],[concatenado]],[2]!COMPROMISOS_2024[[#All],[Total pagado]],"",0)</f>
        <v>#NAME?</v>
      </c>
      <c r="AJ314" s="56">
        <f>IF(PAA_4[[#This Row],[BOLSA]]=0,0,SUMIFS([2]!COMPROMISOS_2024[[#All],[Total pagado]],[2]!COMPROMISOS_2024[[#All],[Bolsa]],PAA_4[[#This Row],[BOLSA]],[2]!COMPROMISOS_2024[[#All],[rubro]],PAA_4[[#This Row],[RCP-RUBRO]]))</f>
        <v>0</v>
      </c>
      <c r="AK314" s="47" t="e" cm="1">
        <f t="array" aca="1" ref="AK314" ca="1">_xlfn.XLOOKUP(PAA_4[[#This Row],[RCP-RUBRO]],[2]!COMPROMISOS_2024[[#All],[concatenado]],[2]!COMPROMISOS_2024[[#All],[Total Comprometido]],"",0)</f>
        <v>#NAME?</v>
      </c>
      <c r="AL314" s="47">
        <f>IF(PAA_4[[#This Row],[BOLSA]]=0,0,SUMIFS([2]!COMPROMISOS_2024[[#All],[Total Comprometido]],[2]!COMPROMISOS_2024[[#All],[Bolsa]],PAA_4[[#This Row],[BOLSA]],[2]!COMPROMISOS_2024[[#All],[concatenado]],PAA_4[[#This Row],[RCP-RUBRO]]))</f>
        <v>0</v>
      </c>
    </row>
    <row r="315" spans="1:38" s="19" customFormat="1" ht="31.5" customHeight="1">
      <c r="A315" s="47" t="s">
        <v>82</v>
      </c>
      <c r="B315" s="47" t="s">
        <v>42</v>
      </c>
      <c r="C315" s="47" t="str">
        <f>VLOOKUP(PAA_4[[#This Row],[PROYECTO (formulado)2]],[2]PROYECTOS!$G$1:$L$32,6,0)</f>
        <v>OFICINA DE SISTEMAS</v>
      </c>
      <c r="D315" s="47" t="str">
        <f>+IF(PAA_4[[#This Row],[UNIDAD DE CONTRATACION (formulado)]]="Subgerencia Administrativa y Financiera","FUNCIONAMIENTO","INVERSIÓN")</f>
        <v>INVERSIÓN</v>
      </c>
      <c r="E315" s="48" t="str">
        <f>VLOOKUP(Q315,[2]PROYECTOS!$G$1:$K$32,5,0)</f>
        <v>MEJORAMIENTO_DEL_SISTEMA_DE_INFORMACIÓN_DE_INDEPORTES_ANTIOQUIA</v>
      </c>
      <c r="F315" s="48">
        <f>VLOOKUP(E315,[2]PROYECTOS!$K$1:$M$32,3,0)</f>
        <v>2020003050272</v>
      </c>
      <c r="G315" s="49" t="s">
        <v>180</v>
      </c>
      <c r="H315" s="49">
        <f>VLOOKUP(Q315,[2]PROYECTOS!$V$1:$W$32,2,0)</f>
        <v>220320</v>
      </c>
      <c r="I315" s="50">
        <v>0</v>
      </c>
      <c r="J315" s="51" t="s">
        <v>1469</v>
      </c>
      <c r="K315" s="47" t="str">
        <f t="shared" ca="1" si="172"/>
        <v>CONTRATADO</v>
      </c>
      <c r="L315" s="47" t="s">
        <v>42</v>
      </c>
      <c r="M315" s="47" t="s">
        <v>42</v>
      </c>
      <c r="N315" s="52" t="s">
        <v>181</v>
      </c>
      <c r="O315" s="51" t="e">
        <f>VLOOKUP(N315,[2]!RUBROS[#All],3,0)</f>
        <v>#REF!</v>
      </c>
      <c r="P315" s="53" t="e">
        <f>VLOOKUP(N315,[2]!RUBROS[#All],2,0)</f>
        <v>#REF!</v>
      </c>
      <c r="Q315" s="47" t="str">
        <f t="shared" si="173"/>
        <v>90</v>
      </c>
      <c r="R315" s="47" t="str">
        <f t="shared" si="174"/>
        <v>0-101024</v>
      </c>
      <c r="S315" s="54" t="s">
        <v>42</v>
      </c>
      <c r="T315" s="59" t="s">
        <v>42</v>
      </c>
      <c r="U315" s="326" t="e">
        <f ca="1">_xlfn.XLOOKUP(PAA_4[[#This Row],[ITEM]],[2]Contrato!A:A,[2]Contrato!Q:Q,"",0)</f>
        <v>#NAME?</v>
      </c>
      <c r="V315" s="47" t="s">
        <v>42</v>
      </c>
      <c r="W315" s="47" t="s">
        <v>42</v>
      </c>
      <c r="X315" s="47" t="s">
        <v>42</v>
      </c>
      <c r="Y315" s="55" t="e">
        <f ca="1">_xlfn.XLOOKUP(PAA_4[[#This Row],[ITEM]],[2]Contrato!A:A,[2]Contrato!B:B,"",0)</f>
        <v>#NAME?</v>
      </c>
      <c r="Z315" s="47" t="e">
        <f ca="1">_xlfn.XLOOKUP(PAA_4[[#This Row],[ITEM]],[2]Contrato!A:A,[2]Contrato!G:G,"",0)</f>
        <v>#NAME?</v>
      </c>
      <c r="AA315" s="47" t="e">
        <f ca="1">_xlfn.XLOOKUP(PAA_4[[#This Row],[ITEM]],[2]Contrato!A:A,[2]Contrato!T:T,"",0)</f>
        <v>#NAME?</v>
      </c>
      <c r="AB315" s="55" t="e">
        <f ca="1">+MAX(PAA_4[[#This Row],[Comprometido Contrato]],PAA_4[[#This Row],[Comprometido Bolsa]])</f>
        <v>#NAME?</v>
      </c>
      <c r="AC315" s="55" t="str">
        <f t="shared" ca="1" si="175"/>
        <v/>
      </c>
      <c r="AD315" s="55" t="e">
        <f ca="1">IF(PAA_4[[#This Row],[ESTADO (formulado)]]="NO CONTRATADO",0,MAX(PAA_4[[#This Row],[Pago por Contrato]],PAA_4[[#This Row],[Pago por bolsa]]))</f>
        <v>#NAME?</v>
      </c>
      <c r="AE315" s="55" t="str">
        <f t="shared" ca="1" si="176"/>
        <v/>
      </c>
      <c r="AF315" s="47" t="e">
        <f t="shared" ca="1" si="177"/>
        <v>#NAME?</v>
      </c>
      <c r="AG315" s="47">
        <f t="shared" si="178"/>
        <v>41080301</v>
      </c>
      <c r="AH315" s="54">
        <f>IF(Q315="22",IF(ISNUMBER(SEARCH("econ",PAA_4[[#This Row],[Actividad3]])),"Económico",IF(ISNUMBER(SEARCH("alim",PAA_4[[#This Row],[Actividad3]])),"Alimentación",IF(ISNUMBER(SEARCH("educ",PAA_4[[#This Row],[Actividad3]])),"Educativo","Técnico"))),0)</f>
        <v>0</v>
      </c>
      <c r="AI315" s="47" t="e" cm="1">
        <f t="array" aca="1" ref="AI315" ca="1">_xlfn.XLOOKUP(PAA_4[[#This Row],[RCP-RUBRO]],[2]!COMPROMISOS_2024[[#All],[concatenado]],[2]!COMPROMISOS_2024[[#All],[Total pagado]],"",0)</f>
        <v>#NAME?</v>
      </c>
      <c r="AJ315" s="56">
        <f>IF(PAA_4[[#This Row],[BOLSA]]=0,0,SUMIFS([2]!COMPROMISOS_2024[[#All],[Total pagado]],[2]!COMPROMISOS_2024[[#All],[Bolsa]],PAA_4[[#This Row],[BOLSA]],[2]!COMPROMISOS_2024[[#All],[rubro]],PAA_4[[#This Row],[RCP-RUBRO]]))</f>
        <v>0</v>
      </c>
      <c r="AK315" s="47" t="e" cm="1">
        <f t="array" aca="1" ref="AK315" ca="1">_xlfn.XLOOKUP(PAA_4[[#This Row],[RCP-RUBRO]],[2]!COMPROMISOS_2024[[#All],[concatenado]],[2]!COMPROMISOS_2024[[#All],[Total Comprometido]],"",0)</f>
        <v>#NAME?</v>
      </c>
      <c r="AL315" s="47">
        <f>IF(PAA_4[[#This Row],[BOLSA]]=0,0,SUMIFS([2]!COMPROMISOS_2024[[#All],[Total Comprometido]],[2]!COMPROMISOS_2024[[#All],[Bolsa]],PAA_4[[#This Row],[BOLSA]],[2]!COMPROMISOS_2024[[#All],[concatenado]],PAA_4[[#This Row],[RCP-RUBRO]]))</f>
        <v>0</v>
      </c>
    </row>
    <row r="316" spans="1:38" s="19" customFormat="1" ht="31.5" customHeight="1">
      <c r="A316" s="47" t="s">
        <v>82</v>
      </c>
      <c r="B316" s="47" t="s">
        <v>42</v>
      </c>
      <c r="C316" s="47" t="str">
        <f>VLOOKUP(PAA_4[[#This Row],[PROYECTO (formulado)2]],[2]PROYECTOS!$G$1:$L$32,6,0)</f>
        <v>OFICINA DE SISTEMAS</v>
      </c>
      <c r="D316" s="47" t="str">
        <f>+IF(PAA_4[[#This Row],[UNIDAD DE CONTRATACION (formulado)]]="Subgerencia Administrativa y Financiera","FUNCIONAMIENTO","INVERSIÓN")</f>
        <v>INVERSIÓN</v>
      </c>
      <c r="E316" s="48" t="str">
        <f>VLOOKUP(Q316,[2]PROYECTOS!$G$1:$K$32,5,0)</f>
        <v>MEJORAMIENTO_DEL_SISTEMA_DE_INFORMACIÓN_DE_INDEPORTES_ANTIOQUIA</v>
      </c>
      <c r="F316" s="48">
        <f>VLOOKUP(E316,[2]PROYECTOS!$K$1:$M$32,3,0)</f>
        <v>2020003050272</v>
      </c>
      <c r="G316" s="49" t="s">
        <v>180</v>
      </c>
      <c r="H316" s="49">
        <f>VLOOKUP(Q316,[2]PROYECTOS!$V$1:$W$32,2,0)</f>
        <v>220320</v>
      </c>
      <c r="I316" s="50">
        <v>0</v>
      </c>
      <c r="J316" s="51" t="s">
        <v>1469</v>
      </c>
      <c r="K316" s="47" t="str">
        <f t="shared" ca="1" si="172"/>
        <v>CONTRATADO</v>
      </c>
      <c r="L316" s="47" t="s">
        <v>42</v>
      </c>
      <c r="M316" s="47" t="s">
        <v>42</v>
      </c>
      <c r="N316" s="52" t="s">
        <v>181</v>
      </c>
      <c r="O316" s="51" t="e">
        <f>VLOOKUP(N316,[2]!RUBROS[#All],3,0)</f>
        <v>#REF!</v>
      </c>
      <c r="P316" s="53" t="e">
        <f>VLOOKUP(N316,[2]!RUBROS[#All],2,0)</f>
        <v>#REF!</v>
      </c>
      <c r="Q316" s="47" t="str">
        <f t="shared" si="173"/>
        <v>90</v>
      </c>
      <c r="R316" s="47" t="str">
        <f t="shared" si="174"/>
        <v>0-101024</v>
      </c>
      <c r="S316" s="54" t="s">
        <v>42</v>
      </c>
      <c r="T316" s="59" t="s">
        <v>42</v>
      </c>
      <c r="U316" s="326" t="e">
        <f ca="1">_xlfn.XLOOKUP(PAA_4[[#This Row],[ITEM]],[2]Contrato!A:A,[2]Contrato!Q:Q,"",0)</f>
        <v>#NAME?</v>
      </c>
      <c r="V316" s="47" t="s">
        <v>42</v>
      </c>
      <c r="W316" s="47" t="s">
        <v>42</v>
      </c>
      <c r="X316" s="47" t="s">
        <v>42</v>
      </c>
      <c r="Y316" s="55" t="e">
        <f ca="1">_xlfn.XLOOKUP(PAA_4[[#This Row],[ITEM]],[2]Contrato!A:A,[2]Contrato!B:B,"",0)</f>
        <v>#NAME?</v>
      </c>
      <c r="Z316" s="47" t="e">
        <f ca="1">_xlfn.XLOOKUP(PAA_4[[#This Row],[ITEM]],[2]Contrato!A:A,[2]Contrato!G:G,"",0)</f>
        <v>#NAME?</v>
      </c>
      <c r="AA316" s="47" t="e">
        <f ca="1">_xlfn.XLOOKUP(PAA_4[[#This Row],[ITEM]],[2]Contrato!A:A,[2]Contrato!T:T,"",0)</f>
        <v>#NAME?</v>
      </c>
      <c r="AB316" s="55" t="e">
        <f ca="1">+MAX(PAA_4[[#This Row],[Comprometido Contrato]],PAA_4[[#This Row],[Comprometido Bolsa]])</f>
        <v>#NAME?</v>
      </c>
      <c r="AC316" s="55" t="str">
        <f t="shared" ca="1" si="175"/>
        <v/>
      </c>
      <c r="AD316" s="55" t="e">
        <f ca="1">IF(PAA_4[[#This Row],[ESTADO (formulado)]]="NO CONTRATADO",0,MAX(PAA_4[[#This Row],[Pago por Contrato]],PAA_4[[#This Row],[Pago por bolsa]]))</f>
        <v>#NAME?</v>
      </c>
      <c r="AE316" s="55" t="str">
        <f t="shared" ca="1" si="176"/>
        <v/>
      </c>
      <c r="AF316" s="47" t="e">
        <f t="shared" ca="1" si="177"/>
        <v>#NAME?</v>
      </c>
      <c r="AG316" s="47">
        <f t="shared" si="178"/>
        <v>41080301</v>
      </c>
      <c r="AH316" s="54">
        <f>IF(Q316="22",IF(ISNUMBER(SEARCH("econ",PAA_4[[#This Row],[Actividad3]])),"Económico",IF(ISNUMBER(SEARCH("alim",PAA_4[[#This Row],[Actividad3]])),"Alimentación",IF(ISNUMBER(SEARCH("educ",PAA_4[[#This Row],[Actividad3]])),"Educativo","Técnico"))),0)</f>
        <v>0</v>
      </c>
      <c r="AI316" s="47" t="e" cm="1">
        <f t="array" aca="1" ref="AI316" ca="1">_xlfn.XLOOKUP(PAA_4[[#This Row],[RCP-RUBRO]],[2]!COMPROMISOS_2024[[#All],[concatenado]],[2]!COMPROMISOS_2024[[#All],[Total pagado]],"",0)</f>
        <v>#NAME?</v>
      </c>
      <c r="AJ316" s="56">
        <f>IF(PAA_4[[#This Row],[BOLSA]]=0,0,SUMIFS([2]!COMPROMISOS_2024[[#All],[Total pagado]],[2]!COMPROMISOS_2024[[#All],[Bolsa]],PAA_4[[#This Row],[BOLSA]],[2]!COMPROMISOS_2024[[#All],[rubro]],PAA_4[[#This Row],[RCP-RUBRO]]))</f>
        <v>0</v>
      </c>
      <c r="AK316" s="47" t="e" cm="1">
        <f t="array" aca="1" ref="AK316" ca="1">_xlfn.XLOOKUP(PAA_4[[#This Row],[RCP-RUBRO]],[2]!COMPROMISOS_2024[[#All],[concatenado]],[2]!COMPROMISOS_2024[[#All],[Total Comprometido]],"",0)</f>
        <v>#NAME?</v>
      </c>
      <c r="AL316" s="47">
        <f>IF(PAA_4[[#This Row],[BOLSA]]=0,0,SUMIFS([2]!COMPROMISOS_2024[[#All],[Total Comprometido]],[2]!COMPROMISOS_2024[[#All],[Bolsa]],PAA_4[[#This Row],[BOLSA]],[2]!COMPROMISOS_2024[[#All],[concatenado]],PAA_4[[#This Row],[RCP-RUBRO]]))</f>
        <v>0</v>
      </c>
    </row>
    <row r="317" spans="1:38" s="19" customFormat="1" ht="31.5" customHeight="1">
      <c r="A317" s="47">
        <v>47</v>
      </c>
      <c r="B317" s="47">
        <v>80111600</v>
      </c>
      <c r="C317" s="47" t="str">
        <f>VLOOKUP(PAA_4[[#This Row],[PROYECTO (formulado)2]],[2]PROYECTOS!$G$1:$L$32,6,0)</f>
        <v>OFICINA DE SISTEMAS</v>
      </c>
      <c r="D317" s="47" t="str">
        <f>+IF(PAA_4[[#This Row],[UNIDAD DE CONTRATACION (formulado)]]="Subgerencia Administrativa y Financiera","FUNCIONAMIENTO","INVERSIÓN")</f>
        <v>INVERSIÓN</v>
      </c>
      <c r="E317" s="48" t="str">
        <f>VLOOKUP(Q317,[2]PROYECTOS!$G$1:$K$32,5,0)</f>
        <v>MEJORAMIENTO_DEL_SISTEMA_DE_INFORMACIÓN_DE_INDEPORTES_ANTIOQUIA</v>
      </c>
      <c r="F317" s="48">
        <f>VLOOKUP(E317,[2]PROYECTOS!$K$1:$M$32,3,0)</f>
        <v>2020003050272</v>
      </c>
      <c r="G317" s="49" t="s">
        <v>180</v>
      </c>
      <c r="H317" s="49">
        <f>VLOOKUP(Q317,[2]PROYECTOS!$V$1:$W$32,2,0)</f>
        <v>220320</v>
      </c>
      <c r="I317" s="50">
        <f>59408457-17885611-248360</f>
        <v>41274486</v>
      </c>
      <c r="J317" s="51" t="s">
        <v>1470</v>
      </c>
      <c r="K317" s="47" t="str">
        <f t="shared" ca="1" si="172"/>
        <v>CONTRATADO</v>
      </c>
      <c r="L317" s="47" t="s">
        <v>94</v>
      </c>
      <c r="M317" s="47" t="s">
        <v>1297</v>
      </c>
      <c r="N317" s="52" t="s">
        <v>181</v>
      </c>
      <c r="O317" s="51" t="e">
        <f>VLOOKUP(N317,[2]!RUBROS[#All],3,0)</f>
        <v>#REF!</v>
      </c>
      <c r="P317" s="53" t="e">
        <f>VLOOKUP(N317,[2]!RUBROS[#All],2,0)</f>
        <v>#REF!</v>
      </c>
      <c r="Q317" s="47" t="str">
        <f t="shared" si="173"/>
        <v>90</v>
      </c>
      <c r="R317" s="47" t="str">
        <f t="shared" si="174"/>
        <v>0-101024</v>
      </c>
      <c r="S317" s="54">
        <v>131</v>
      </c>
      <c r="T317" s="59" t="s">
        <v>81</v>
      </c>
      <c r="U317" s="326" t="e">
        <f ca="1">_xlfn.XLOOKUP(PAA_4[[#This Row],[ITEM]],[2]Contrato!A:A,[2]Contrato!Q:Q,"",0)</f>
        <v>#NAME?</v>
      </c>
      <c r="V317" s="47" t="s">
        <v>95</v>
      </c>
      <c r="W317" s="47" t="s">
        <v>91</v>
      </c>
      <c r="X317" s="47" t="s">
        <v>91</v>
      </c>
      <c r="Y317" s="55" t="e">
        <f ca="1">_xlfn.XLOOKUP(PAA_4[[#This Row],[ITEM]],[2]Contrato!A:A,[2]Contrato!B:B,"",0)</f>
        <v>#NAME?</v>
      </c>
      <c r="Z317" s="47" t="e">
        <f ca="1">_xlfn.XLOOKUP(PAA_4[[#This Row],[ITEM]],[2]Contrato!A:A,[2]Contrato!G:G,"",0)</f>
        <v>#NAME?</v>
      </c>
      <c r="AA317" s="47" t="e">
        <f ca="1">_xlfn.XLOOKUP(PAA_4[[#This Row],[ITEM]],[2]Contrato!A:A,[2]Contrato!T:T,"",0)</f>
        <v>#NAME?</v>
      </c>
      <c r="AB317" s="55" t="e">
        <f ca="1">+MAX(PAA_4[[#This Row],[Comprometido Contrato]],PAA_4[[#This Row],[Comprometido Bolsa]])</f>
        <v>#NAME?</v>
      </c>
      <c r="AC317" s="55" t="str">
        <f t="shared" ca="1" si="175"/>
        <v/>
      </c>
      <c r="AD317" s="55" t="e">
        <f ca="1">IF(PAA_4[[#This Row],[ESTADO (formulado)]]="NO CONTRATADO",0,MAX(PAA_4[[#This Row],[Pago por Contrato]],PAA_4[[#This Row],[Pago por bolsa]]))</f>
        <v>#NAME?</v>
      </c>
      <c r="AE317" s="55" t="str">
        <f t="shared" ca="1" si="176"/>
        <v/>
      </c>
      <c r="AF317" s="47" t="e">
        <f t="shared" ca="1" si="177"/>
        <v>#NAME?</v>
      </c>
      <c r="AG317" s="47">
        <f t="shared" si="178"/>
        <v>41080301</v>
      </c>
      <c r="AH317" s="54">
        <f>IF(Q317="22",IF(ISNUMBER(SEARCH("econ",PAA_4[[#This Row],[Actividad3]])),"Económico",IF(ISNUMBER(SEARCH("alim",PAA_4[[#This Row],[Actividad3]])),"Alimentación",IF(ISNUMBER(SEARCH("educ",PAA_4[[#This Row],[Actividad3]])),"Educativo","Técnico"))),0)</f>
        <v>0</v>
      </c>
      <c r="AI317" s="47" t="e" cm="1">
        <f t="array" aca="1" ref="AI317" ca="1">_xlfn.XLOOKUP(PAA_4[[#This Row],[RCP-RUBRO]],[2]!COMPROMISOS_2024[[#All],[concatenado]],[2]!COMPROMISOS_2024[[#All],[Total pagado]],"",0)</f>
        <v>#NAME?</v>
      </c>
      <c r="AJ317" s="56">
        <f>IF(PAA_4[[#This Row],[BOLSA]]=0,0,SUMIFS([2]!COMPROMISOS_2024[[#All],[Total pagado]],[2]!COMPROMISOS_2024[[#All],[Bolsa]],PAA_4[[#This Row],[BOLSA]],[2]!COMPROMISOS_2024[[#All],[rubro]],PAA_4[[#This Row],[RCP-RUBRO]]))</f>
        <v>0</v>
      </c>
      <c r="AK317" s="47" t="e" cm="1">
        <f t="array" aca="1" ref="AK317" ca="1">_xlfn.XLOOKUP(PAA_4[[#This Row],[RCP-RUBRO]],[2]!COMPROMISOS_2024[[#All],[concatenado]],[2]!COMPROMISOS_2024[[#All],[Total Comprometido]],"",0)</f>
        <v>#NAME?</v>
      </c>
      <c r="AL317" s="47">
        <f>IF(PAA_4[[#This Row],[BOLSA]]=0,0,SUMIFS([2]!COMPROMISOS_2024[[#All],[Total Comprometido]],[2]!COMPROMISOS_2024[[#All],[Bolsa]],PAA_4[[#This Row],[BOLSA]],[2]!COMPROMISOS_2024[[#All],[concatenado]],PAA_4[[#This Row],[RCP-RUBRO]]))</f>
        <v>0</v>
      </c>
    </row>
    <row r="318" spans="1:38" s="19" customFormat="1" ht="31.5" customHeight="1">
      <c r="A318" s="47">
        <v>48</v>
      </c>
      <c r="B318" s="47">
        <v>80111600</v>
      </c>
      <c r="C318" s="47" t="str">
        <f>VLOOKUP(PAA_4[[#This Row],[PROYECTO (formulado)2]],[2]PROYECTOS!$G$1:$L$32,6,0)</f>
        <v>OFICINA DE SISTEMAS</v>
      </c>
      <c r="D318" s="47" t="str">
        <f>+IF(PAA_4[[#This Row],[UNIDAD DE CONTRATACION (formulado)]]="Subgerencia Administrativa y Financiera","FUNCIONAMIENTO","INVERSIÓN")</f>
        <v>INVERSIÓN</v>
      </c>
      <c r="E318" s="48" t="str">
        <f>VLOOKUP(Q318,[2]PROYECTOS!$G$1:$K$32,5,0)</f>
        <v>MEJORAMIENTO_DEL_SISTEMA_DE_INFORMACIÓN_DE_INDEPORTES_ANTIOQUIA</v>
      </c>
      <c r="F318" s="48">
        <f>VLOOKUP(E318,[2]PROYECTOS!$K$1:$M$32,3,0)</f>
        <v>2020003050272</v>
      </c>
      <c r="G318" s="49" t="s">
        <v>182</v>
      </c>
      <c r="H318" s="49">
        <f>VLOOKUP(Q318,[2]PROYECTOS!$V$1:$W$32,2,0)</f>
        <v>220320</v>
      </c>
      <c r="I318" s="50">
        <v>46142814</v>
      </c>
      <c r="J318" s="51" t="s">
        <v>1471</v>
      </c>
      <c r="K318" s="47" t="str">
        <f t="shared" ca="1" si="172"/>
        <v>CONTRATADO</v>
      </c>
      <c r="L318" s="47" t="s">
        <v>94</v>
      </c>
      <c r="M318" s="47" t="s">
        <v>1297</v>
      </c>
      <c r="N318" s="52" t="s">
        <v>181</v>
      </c>
      <c r="O318" s="51" t="e">
        <f>VLOOKUP(N318,[2]!RUBROS[#All],3,0)</f>
        <v>#REF!</v>
      </c>
      <c r="P318" s="53" t="e">
        <f>VLOOKUP(N318,[2]!RUBROS[#All],2,0)</f>
        <v>#REF!</v>
      </c>
      <c r="Q318" s="47" t="str">
        <f t="shared" si="173"/>
        <v>90</v>
      </c>
      <c r="R318" s="47" t="str">
        <f t="shared" si="174"/>
        <v>0-101024</v>
      </c>
      <c r="S318" s="54">
        <v>6</v>
      </c>
      <c r="T318" s="59" t="s">
        <v>46</v>
      </c>
      <c r="U318" s="326" t="e">
        <f ca="1">_xlfn.XLOOKUP(PAA_4[[#This Row],[ITEM]],[2]Contrato!A:A,[2]Contrato!Q:Q,"",0)</f>
        <v>#NAME?</v>
      </c>
      <c r="V318" s="47" t="s">
        <v>95</v>
      </c>
      <c r="W318" s="47" t="s">
        <v>96</v>
      </c>
      <c r="X318" s="47" t="s">
        <v>96</v>
      </c>
      <c r="Y318" s="55" t="e">
        <f ca="1">_xlfn.XLOOKUP(PAA_4[[#This Row],[ITEM]],[2]Contrato!A:A,[2]Contrato!B:B,"",0)</f>
        <v>#NAME?</v>
      </c>
      <c r="Z318" s="47" t="e">
        <f ca="1">_xlfn.XLOOKUP(PAA_4[[#This Row],[ITEM]],[2]Contrato!A:A,[2]Contrato!G:G,"",0)</f>
        <v>#NAME?</v>
      </c>
      <c r="AA318" s="47" t="e">
        <f ca="1">_xlfn.XLOOKUP(PAA_4[[#This Row],[ITEM]],[2]Contrato!A:A,[2]Contrato!T:T,"",0)</f>
        <v>#NAME?</v>
      </c>
      <c r="AB318" s="55" t="e">
        <f ca="1">+MAX(PAA_4[[#This Row],[Comprometido Contrato]],PAA_4[[#This Row],[Comprometido Bolsa]])</f>
        <v>#NAME?</v>
      </c>
      <c r="AC318" s="55" t="str">
        <f t="shared" ca="1" si="175"/>
        <v/>
      </c>
      <c r="AD318" s="55" t="e">
        <f ca="1">IF(PAA_4[[#This Row],[ESTADO (formulado)]]="NO CONTRATADO",0,MAX(PAA_4[[#This Row],[Pago por Contrato]],PAA_4[[#This Row],[Pago por bolsa]]))</f>
        <v>#NAME?</v>
      </c>
      <c r="AE318" s="55" t="str">
        <f t="shared" ca="1" si="176"/>
        <v/>
      </c>
      <c r="AF318" s="47" t="e">
        <f t="shared" ca="1" si="177"/>
        <v>#NAME?</v>
      </c>
      <c r="AG318" s="47">
        <f t="shared" si="178"/>
        <v>41080301</v>
      </c>
      <c r="AH318" s="54">
        <f>IF(Q318="22",IF(ISNUMBER(SEARCH("econ",PAA_4[[#This Row],[Actividad3]])),"Económico",IF(ISNUMBER(SEARCH("alim",PAA_4[[#This Row],[Actividad3]])),"Alimentación",IF(ISNUMBER(SEARCH("educ",PAA_4[[#This Row],[Actividad3]])),"Educativo","Técnico"))),0)</f>
        <v>0</v>
      </c>
      <c r="AI318" s="47" t="e" cm="1">
        <f t="array" aca="1" ref="AI318" ca="1">_xlfn.XLOOKUP(PAA_4[[#This Row],[RCP-RUBRO]],[2]!COMPROMISOS_2024[[#All],[concatenado]],[2]!COMPROMISOS_2024[[#All],[Total pagado]],"",0)</f>
        <v>#NAME?</v>
      </c>
      <c r="AJ318" s="56">
        <f>IF(PAA_4[[#This Row],[BOLSA]]=0,0,SUMIFS([2]!COMPROMISOS_2024[[#All],[Total pagado]],[2]!COMPROMISOS_2024[[#All],[Bolsa]],PAA_4[[#This Row],[BOLSA]],[2]!COMPROMISOS_2024[[#All],[rubro]],PAA_4[[#This Row],[RCP-RUBRO]]))</f>
        <v>0</v>
      </c>
      <c r="AK318" s="47" t="e" cm="1">
        <f t="array" aca="1" ref="AK318" ca="1">_xlfn.XLOOKUP(PAA_4[[#This Row],[RCP-RUBRO]],[2]!COMPROMISOS_2024[[#All],[concatenado]],[2]!COMPROMISOS_2024[[#All],[Total Comprometido]],"",0)</f>
        <v>#NAME?</v>
      </c>
      <c r="AL318" s="47">
        <f>IF(PAA_4[[#This Row],[BOLSA]]=0,0,SUMIFS([2]!COMPROMISOS_2024[[#All],[Total Comprometido]],[2]!COMPROMISOS_2024[[#All],[Bolsa]],PAA_4[[#This Row],[BOLSA]],[2]!COMPROMISOS_2024[[#All],[concatenado]],PAA_4[[#This Row],[RCP-RUBRO]]))</f>
        <v>0</v>
      </c>
    </row>
    <row r="319" spans="1:38" s="19" customFormat="1" ht="31.5" customHeight="1">
      <c r="A319" s="47">
        <v>49</v>
      </c>
      <c r="B319" s="47">
        <v>80111600</v>
      </c>
      <c r="C319" s="47" t="str">
        <f>VLOOKUP(PAA_4[[#This Row],[PROYECTO (formulado)2]],[2]PROYECTOS!$G$1:$L$32,6,0)</f>
        <v>OFICINA DE SISTEMAS</v>
      </c>
      <c r="D319" s="47" t="str">
        <f>+IF(PAA_4[[#This Row],[UNIDAD DE CONTRATACION (formulado)]]="Subgerencia Administrativa y Financiera","FUNCIONAMIENTO","INVERSIÓN")</f>
        <v>INVERSIÓN</v>
      </c>
      <c r="E319" s="48" t="str">
        <f>VLOOKUP(Q319,[2]PROYECTOS!$G$1:$K$32,5,0)</f>
        <v>MEJORAMIENTO_DEL_SISTEMA_DE_INFORMACIÓN_DE_INDEPORTES_ANTIOQUIA</v>
      </c>
      <c r="F319" s="48">
        <f>VLOOKUP(E319,[2]PROYECTOS!$K$1:$M$32,3,0)</f>
        <v>2020003050272</v>
      </c>
      <c r="G319" s="49" t="s">
        <v>183</v>
      </c>
      <c r="H319" s="49">
        <f>VLOOKUP(Q319,[2]PROYECTOS!$V$1:$W$32,2,0)</f>
        <v>220320</v>
      </c>
      <c r="I319" s="50">
        <v>0</v>
      </c>
      <c r="J319" s="51" t="s">
        <v>42</v>
      </c>
      <c r="K319" s="47" t="str">
        <f t="shared" ca="1" si="172"/>
        <v>CONTRATADO</v>
      </c>
      <c r="L319" s="47" t="s">
        <v>94</v>
      </c>
      <c r="M319" s="47" t="s">
        <v>1297</v>
      </c>
      <c r="N319" s="52" t="s">
        <v>181</v>
      </c>
      <c r="O319" s="51" t="e">
        <f>VLOOKUP(N319,[2]!RUBROS[#All],3,0)</f>
        <v>#REF!</v>
      </c>
      <c r="P319" s="53" t="e">
        <f>VLOOKUP(N319,[2]!RUBROS[#All],2,0)</f>
        <v>#REF!</v>
      </c>
      <c r="Q319" s="47" t="str">
        <f t="shared" si="173"/>
        <v>90</v>
      </c>
      <c r="R319" s="47" t="str">
        <f t="shared" si="174"/>
        <v>0-101024</v>
      </c>
      <c r="S319" s="47" t="s">
        <v>42</v>
      </c>
      <c r="T319" s="59" t="s">
        <v>42</v>
      </c>
      <c r="U319" s="326" t="e">
        <f ca="1">_xlfn.XLOOKUP(PAA_4[[#This Row],[ITEM]],[2]Contrato!A:A,[2]Contrato!Q:Q,"",0)</f>
        <v>#NAME?</v>
      </c>
      <c r="V319" s="47" t="s">
        <v>95</v>
      </c>
      <c r="W319" s="47" t="s">
        <v>42</v>
      </c>
      <c r="X319" s="47" t="s">
        <v>42</v>
      </c>
      <c r="Y319" s="55" t="e">
        <f ca="1">_xlfn.XLOOKUP(PAA_4[[#This Row],[ITEM]],[2]Contrato!A:A,[2]Contrato!B:B,"",0)</f>
        <v>#NAME?</v>
      </c>
      <c r="Z319" s="47" t="e">
        <f ca="1">_xlfn.XLOOKUP(PAA_4[[#This Row],[ITEM]],[2]Contrato!A:A,[2]Contrato!G:G,"",0)</f>
        <v>#NAME?</v>
      </c>
      <c r="AA319" s="47" t="e">
        <f ca="1">_xlfn.XLOOKUP(PAA_4[[#This Row],[ITEM]],[2]Contrato!A:A,[2]Contrato!T:T,"",0)</f>
        <v>#NAME?</v>
      </c>
      <c r="AB319" s="55" t="e">
        <f ca="1">+MAX(PAA_4[[#This Row],[Comprometido Contrato]],PAA_4[[#This Row],[Comprometido Bolsa]])</f>
        <v>#NAME?</v>
      </c>
      <c r="AC319" s="55" t="str">
        <f t="shared" ca="1" si="175"/>
        <v/>
      </c>
      <c r="AD319" s="55" t="e">
        <f ca="1">IF(PAA_4[[#This Row],[ESTADO (formulado)]]="NO CONTRATADO",0,MAX(PAA_4[[#This Row],[Pago por Contrato]],PAA_4[[#This Row],[Pago por bolsa]]))</f>
        <v>#NAME?</v>
      </c>
      <c r="AE319" s="55" t="str">
        <f t="shared" ca="1" si="176"/>
        <v/>
      </c>
      <c r="AF319" s="47" t="e">
        <f t="shared" ca="1" si="177"/>
        <v>#NAME?</v>
      </c>
      <c r="AG319" s="47">
        <f t="shared" si="178"/>
        <v>41080301</v>
      </c>
      <c r="AH319" s="54">
        <f>IF(Q319="22",IF(ISNUMBER(SEARCH("econ",PAA_4[[#This Row],[Actividad3]])),"Económico",IF(ISNUMBER(SEARCH("alim",PAA_4[[#This Row],[Actividad3]])),"Alimentación",IF(ISNUMBER(SEARCH("educ",PAA_4[[#This Row],[Actividad3]])),"Educativo","Técnico"))),0)</f>
        <v>0</v>
      </c>
      <c r="AI319" s="47" t="e" cm="1">
        <f t="array" aca="1" ref="AI319" ca="1">_xlfn.XLOOKUP(PAA_4[[#This Row],[RCP-RUBRO]],[2]!COMPROMISOS_2024[[#All],[concatenado]],[2]!COMPROMISOS_2024[[#All],[Total pagado]],"",0)</f>
        <v>#NAME?</v>
      </c>
      <c r="AJ319" s="56">
        <f>IF(PAA_4[[#This Row],[BOLSA]]=0,0,SUMIFS([2]!COMPROMISOS_2024[[#All],[Total pagado]],[2]!COMPROMISOS_2024[[#All],[Bolsa]],PAA_4[[#This Row],[BOLSA]],[2]!COMPROMISOS_2024[[#All],[rubro]],PAA_4[[#This Row],[RCP-RUBRO]]))</f>
        <v>0</v>
      </c>
      <c r="AK319" s="47" t="e" cm="1">
        <f t="array" aca="1" ref="AK319" ca="1">_xlfn.XLOOKUP(PAA_4[[#This Row],[RCP-RUBRO]],[2]!COMPROMISOS_2024[[#All],[concatenado]],[2]!COMPROMISOS_2024[[#All],[Total Comprometido]],"",0)</f>
        <v>#NAME?</v>
      </c>
      <c r="AL319" s="47">
        <f>IF(PAA_4[[#This Row],[BOLSA]]=0,0,SUMIFS([2]!COMPROMISOS_2024[[#All],[Total Comprometido]],[2]!COMPROMISOS_2024[[#All],[Bolsa]],PAA_4[[#This Row],[BOLSA]],[2]!COMPROMISOS_2024[[#All],[concatenado]],PAA_4[[#This Row],[RCP-RUBRO]]))</f>
        <v>0</v>
      </c>
    </row>
    <row r="320" spans="1:38" s="19" customFormat="1" ht="31.5" customHeight="1">
      <c r="A320" s="47">
        <v>50</v>
      </c>
      <c r="B320" s="47">
        <v>80111600</v>
      </c>
      <c r="C320" s="47" t="str">
        <f>VLOOKUP(PAA_4[[#This Row],[PROYECTO (formulado)2]],[2]PROYECTOS!$G$1:$L$32,6,0)</f>
        <v>OFICINA DE SISTEMAS</v>
      </c>
      <c r="D320" s="47" t="str">
        <f>+IF(PAA_4[[#This Row],[UNIDAD DE CONTRATACION (formulado)]]="Subgerencia Administrativa y Financiera","FUNCIONAMIENTO","INVERSIÓN")</f>
        <v>INVERSIÓN</v>
      </c>
      <c r="E320" s="48" t="str">
        <f>VLOOKUP(Q320,[2]PROYECTOS!$G$1:$K$32,5,0)</f>
        <v>MEJORAMIENTO_DEL_SISTEMA_DE_INFORMACIÓN_DE_INDEPORTES_ANTIOQUIA</v>
      </c>
      <c r="F320" s="48">
        <f>VLOOKUP(E320,[2]PROYECTOS!$K$1:$M$32,3,0)</f>
        <v>2020003050272</v>
      </c>
      <c r="G320" s="49" t="s">
        <v>180</v>
      </c>
      <c r="H320" s="49">
        <f>VLOOKUP(Q320,[2]PROYECTOS!$V$1:$W$32,2,0)</f>
        <v>220320</v>
      </c>
      <c r="I320" s="50">
        <v>0</v>
      </c>
      <c r="J320" s="51" t="s">
        <v>184</v>
      </c>
      <c r="K320" s="47" t="str">
        <f t="shared" ca="1" si="172"/>
        <v>CONTRATADO</v>
      </c>
      <c r="L320" s="47" t="s">
        <v>94</v>
      </c>
      <c r="M320" s="47" t="s">
        <v>1297</v>
      </c>
      <c r="N320" s="52" t="s">
        <v>181</v>
      </c>
      <c r="O320" s="51" t="e">
        <f>VLOOKUP(N320,[2]!RUBROS[#All],3,0)</f>
        <v>#REF!</v>
      </c>
      <c r="P320" s="53" t="e">
        <f>VLOOKUP(N320,[2]!RUBROS[#All],2,0)</f>
        <v>#REF!</v>
      </c>
      <c r="Q320" s="47" t="str">
        <f t="shared" si="173"/>
        <v>90</v>
      </c>
      <c r="R320" s="47" t="str">
        <f t="shared" si="174"/>
        <v>0-101024</v>
      </c>
      <c r="S320" s="54" t="s">
        <v>42</v>
      </c>
      <c r="T320" s="59" t="s">
        <v>42</v>
      </c>
      <c r="U320" s="326" t="e">
        <f ca="1">_xlfn.XLOOKUP(PAA_4[[#This Row],[ITEM]],[2]Contrato!A:A,[2]Contrato!Q:Q,"",0)</f>
        <v>#NAME?</v>
      </c>
      <c r="V320" s="47" t="s">
        <v>95</v>
      </c>
      <c r="W320" s="47" t="s">
        <v>42</v>
      </c>
      <c r="X320" s="47" t="s">
        <v>42</v>
      </c>
      <c r="Y320" s="55" t="e">
        <f ca="1">_xlfn.XLOOKUP(PAA_4[[#This Row],[ITEM]],[2]Contrato!A:A,[2]Contrato!B:B,"",0)</f>
        <v>#NAME?</v>
      </c>
      <c r="Z320" s="47" t="e">
        <f ca="1">_xlfn.XLOOKUP(PAA_4[[#This Row],[ITEM]],[2]Contrato!A:A,[2]Contrato!G:G,"",0)</f>
        <v>#NAME?</v>
      </c>
      <c r="AA320" s="47" t="e">
        <f ca="1">_xlfn.XLOOKUP(PAA_4[[#This Row],[ITEM]],[2]Contrato!A:A,[2]Contrato!T:T,"",0)</f>
        <v>#NAME?</v>
      </c>
      <c r="AB320" s="55" t="e">
        <f ca="1">+MAX(PAA_4[[#This Row],[Comprometido Contrato]],PAA_4[[#This Row],[Comprometido Bolsa]])</f>
        <v>#NAME?</v>
      </c>
      <c r="AC320" s="55" t="str">
        <f t="shared" ca="1" si="175"/>
        <v/>
      </c>
      <c r="AD320" s="55" t="e">
        <f ca="1">IF(PAA_4[[#This Row],[ESTADO (formulado)]]="NO CONTRATADO",0,MAX(PAA_4[[#This Row],[Pago por Contrato]],PAA_4[[#This Row],[Pago por bolsa]]))</f>
        <v>#NAME?</v>
      </c>
      <c r="AE320" s="55" t="str">
        <f t="shared" ca="1" si="176"/>
        <v/>
      </c>
      <c r="AF320" s="47" t="e">
        <f t="shared" ca="1" si="177"/>
        <v>#NAME?</v>
      </c>
      <c r="AG320" s="47">
        <f t="shared" si="178"/>
        <v>41080301</v>
      </c>
      <c r="AH320" s="54">
        <f>IF(Q320="22",IF(ISNUMBER(SEARCH("econ",PAA_4[[#This Row],[Actividad3]])),"Económico",IF(ISNUMBER(SEARCH("alim",PAA_4[[#This Row],[Actividad3]])),"Alimentación",IF(ISNUMBER(SEARCH("educ",PAA_4[[#This Row],[Actividad3]])),"Educativo","Técnico"))),0)</f>
        <v>0</v>
      </c>
      <c r="AI320" s="47" t="e" cm="1">
        <f t="array" aca="1" ref="AI320" ca="1">_xlfn.XLOOKUP(PAA_4[[#This Row],[RCP-RUBRO]],[2]!COMPROMISOS_2024[[#All],[concatenado]],[2]!COMPROMISOS_2024[[#All],[Total pagado]],"",0)</f>
        <v>#NAME?</v>
      </c>
      <c r="AJ320" s="56">
        <f>IF(PAA_4[[#This Row],[BOLSA]]=0,0,SUMIFS([2]!COMPROMISOS_2024[[#All],[Total pagado]],[2]!COMPROMISOS_2024[[#All],[Bolsa]],PAA_4[[#This Row],[BOLSA]],[2]!COMPROMISOS_2024[[#All],[rubro]],PAA_4[[#This Row],[RCP-RUBRO]]))</f>
        <v>0</v>
      </c>
      <c r="AK320" s="47" t="e" cm="1">
        <f t="array" aca="1" ref="AK320" ca="1">_xlfn.XLOOKUP(PAA_4[[#This Row],[RCP-RUBRO]],[2]!COMPROMISOS_2024[[#All],[concatenado]],[2]!COMPROMISOS_2024[[#All],[Total Comprometido]],"",0)</f>
        <v>#NAME?</v>
      </c>
      <c r="AL320" s="47">
        <f>IF(PAA_4[[#This Row],[BOLSA]]=0,0,SUMIFS([2]!COMPROMISOS_2024[[#All],[Total Comprometido]],[2]!COMPROMISOS_2024[[#All],[Bolsa]],PAA_4[[#This Row],[BOLSA]],[2]!COMPROMISOS_2024[[#All],[concatenado]],PAA_4[[#This Row],[RCP-RUBRO]]))</f>
        <v>0</v>
      </c>
    </row>
    <row r="321" spans="1:38" s="19" customFormat="1" ht="31.5" customHeight="1">
      <c r="A321" s="47">
        <v>51</v>
      </c>
      <c r="B321" s="47">
        <v>80111600</v>
      </c>
      <c r="C321" s="47" t="str">
        <f>VLOOKUP(PAA_4[[#This Row],[PROYECTO (formulado)2]],[2]PROYECTOS!$G$1:$L$32,6,0)</f>
        <v>OFICINA DE SISTEMAS</v>
      </c>
      <c r="D321" s="47" t="str">
        <f>+IF(PAA_4[[#This Row],[UNIDAD DE CONTRATACION (formulado)]]="Subgerencia Administrativa y Financiera","FUNCIONAMIENTO","INVERSIÓN")</f>
        <v>INVERSIÓN</v>
      </c>
      <c r="E321" s="48" t="str">
        <f>VLOOKUP(Q321,[2]PROYECTOS!$G$1:$K$32,5,0)</f>
        <v>MEJORAMIENTO_DEL_SISTEMA_DE_INFORMACIÓN_DE_INDEPORTES_ANTIOQUIA</v>
      </c>
      <c r="F321" s="48">
        <f>VLOOKUP(E321,[2]PROYECTOS!$K$1:$M$32,3,0)</f>
        <v>2020003050272</v>
      </c>
      <c r="G321" s="49" t="s">
        <v>185</v>
      </c>
      <c r="H321" s="49">
        <f>VLOOKUP(Q321,[2]PROYECTOS!$V$1:$W$32,2,0)</f>
        <v>220320</v>
      </c>
      <c r="I321" s="50">
        <v>42810277</v>
      </c>
      <c r="J321" s="51" t="s">
        <v>1472</v>
      </c>
      <c r="K321" s="47" t="str">
        <f t="shared" ca="1" si="172"/>
        <v>CONTRATADO</v>
      </c>
      <c r="L321" s="47" t="s">
        <v>94</v>
      </c>
      <c r="M321" s="47" t="s">
        <v>1297</v>
      </c>
      <c r="N321" s="52" t="s">
        <v>181</v>
      </c>
      <c r="O321" s="51" t="e">
        <f>VLOOKUP(N321,[2]!RUBROS[#All],3,0)</f>
        <v>#REF!</v>
      </c>
      <c r="P321" s="53" t="e">
        <f>VLOOKUP(N321,[2]!RUBROS[#All],2,0)</f>
        <v>#REF!</v>
      </c>
      <c r="Q321" s="47" t="str">
        <f t="shared" si="173"/>
        <v>90</v>
      </c>
      <c r="R321" s="47" t="str">
        <f t="shared" si="174"/>
        <v>0-101024</v>
      </c>
      <c r="S321" s="54">
        <v>5</v>
      </c>
      <c r="T321" s="59" t="s">
        <v>46</v>
      </c>
      <c r="U321" s="326" t="e">
        <f ca="1">_xlfn.XLOOKUP(PAA_4[[#This Row],[ITEM]],[2]Contrato!A:A,[2]Contrato!Q:Q,"",0)</f>
        <v>#NAME?</v>
      </c>
      <c r="V321" s="47" t="s">
        <v>95</v>
      </c>
      <c r="W321" s="47" t="s">
        <v>91</v>
      </c>
      <c r="X321" s="47" t="s">
        <v>96</v>
      </c>
      <c r="Y321" s="55" t="e">
        <f ca="1">_xlfn.XLOOKUP(PAA_4[[#This Row],[ITEM]],[2]Contrato!A:A,[2]Contrato!B:B,"",0)</f>
        <v>#NAME?</v>
      </c>
      <c r="Z321" s="47" t="e">
        <f ca="1">_xlfn.XLOOKUP(PAA_4[[#This Row],[ITEM]],[2]Contrato!A:A,[2]Contrato!G:G,"",0)</f>
        <v>#NAME?</v>
      </c>
      <c r="AA321" s="47" t="e">
        <f ca="1">_xlfn.XLOOKUP(PAA_4[[#This Row],[ITEM]],[2]Contrato!A:A,[2]Contrato!T:T,"",0)</f>
        <v>#NAME?</v>
      </c>
      <c r="AB321" s="55" t="e">
        <f ca="1">+MAX(PAA_4[[#This Row],[Comprometido Contrato]],PAA_4[[#This Row],[Comprometido Bolsa]])</f>
        <v>#NAME?</v>
      </c>
      <c r="AC321" s="55" t="str">
        <f t="shared" ca="1" si="175"/>
        <v/>
      </c>
      <c r="AD321" s="55" t="e">
        <f ca="1">IF(PAA_4[[#This Row],[ESTADO (formulado)]]="NO CONTRATADO",0,MAX(PAA_4[[#This Row],[Pago por Contrato]],PAA_4[[#This Row],[Pago por bolsa]]))</f>
        <v>#NAME?</v>
      </c>
      <c r="AE321" s="55" t="str">
        <f t="shared" ca="1" si="176"/>
        <v/>
      </c>
      <c r="AF321" s="47" t="e">
        <f t="shared" ca="1" si="177"/>
        <v>#NAME?</v>
      </c>
      <c r="AG321" s="47">
        <f t="shared" si="178"/>
        <v>41080301</v>
      </c>
      <c r="AH321" s="54">
        <f>IF(Q321="22",IF(ISNUMBER(SEARCH("econ",PAA_4[[#This Row],[Actividad3]])),"Económico",IF(ISNUMBER(SEARCH("alim",PAA_4[[#This Row],[Actividad3]])),"Alimentación",IF(ISNUMBER(SEARCH("educ",PAA_4[[#This Row],[Actividad3]])),"Educativo","Técnico"))),0)</f>
        <v>0</v>
      </c>
      <c r="AI321" s="47" t="e" cm="1">
        <f t="array" aca="1" ref="AI321" ca="1">_xlfn.XLOOKUP(PAA_4[[#This Row],[RCP-RUBRO]],[2]!COMPROMISOS_2024[[#All],[concatenado]],[2]!COMPROMISOS_2024[[#All],[Total pagado]],"",0)</f>
        <v>#NAME?</v>
      </c>
      <c r="AJ321" s="56">
        <f>IF(PAA_4[[#This Row],[BOLSA]]=0,0,SUMIFS([2]!COMPROMISOS_2024[[#All],[Total pagado]],[2]!COMPROMISOS_2024[[#All],[Bolsa]],PAA_4[[#This Row],[BOLSA]],[2]!COMPROMISOS_2024[[#All],[rubro]],PAA_4[[#This Row],[RCP-RUBRO]]))</f>
        <v>0</v>
      </c>
      <c r="AK321" s="47" t="e" cm="1">
        <f t="array" aca="1" ref="AK321" ca="1">_xlfn.XLOOKUP(PAA_4[[#This Row],[RCP-RUBRO]],[2]!COMPROMISOS_2024[[#All],[concatenado]],[2]!COMPROMISOS_2024[[#All],[Total Comprometido]],"",0)</f>
        <v>#NAME?</v>
      </c>
      <c r="AL321" s="47">
        <f>IF(PAA_4[[#This Row],[BOLSA]]=0,0,SUMIFS([2]!COMPROMISOS_2024[[#All],[Total Comprometido]],[2]!COMPROMISOS_2024[[#All],[Bolsa]],PAA_4[[#This Row],[BOLSA]],[2]!COMPROMISOS_2024[[#All],[concatenado]],PAA_4[[#This Row],[RCP-RUBRO]]))</f>
        <v>0</v>
      </c>
    </row>
    <row r="322" spans="1:38" s="19" customFormat="1" ht="31.5" customHeight="1">
      <c r="A322" s="47">
        <v>52</v>
      </c>
      <c r="B322" s="47">
        <v>80111600</v>
      </c>
      <c r="C322" s="47" t="str">
        <f>VLOOKUP(PAA_4[[#This Row],[PROYECTO (formulado)2]],[2]PROYECTOS!$G$1:$L$32,6,0)</f>
        <v>OFICINA DE SISTEMAS</v>
      </c>
      <c r="D322" s="47" t="str">
        <f>+IF(PAA_4[[#This Row],[UNIDAD DE CONTRATACION (formulado)]]="Subgerencia Administrativa y Financiera","FUNCIONAMIENTO","INVERSIÓN")</f>
        <v>INVERSIÓN</v>
      </c>
      <c r="E322" s="48" t="str">
        <f>VLOOKUP(Q322,[2]PROYECTOS!$G$1:$K$32,5,0)</f>
        <v>MEJORAMIENTO_DEL_SISTEMA_DE_INFORMACIÓN_DE_INDEPORTES_ANTIOQUIA</v>
      </c>
      <c r="F322" s="48">
        <f>VLOOKUP(E322,[2]PROYECTOS!$K$1:$M$32,3,0)</f>
        <v>2020003050272</v>
      </c>
      <c r="G322" s="49" t="s">
        <v>180</v>
      </c>
      <c r="H322" s="49">
        <f>VLOOKUP(Q322,[2]PROYECTOS!$V$1:$W$32,2,0)</f>
        <v>220320</v>
      </c>
      <c r="I322" s="50">
        <v>25449128</v>
      </c>
      <c r="J322" s="51" t="s">
        <v>1473</v>
      </c>
      <c r="K322" s="47" t="str">
        <f t="shared" ca="1" si="172"/>
        <v>CONTRATADO</v>
      </c>
      <c r="L322" s="47" t="s">
        <v>94</v>
      </c>
      <c r="M322" s="47" t="s">
        <v>1297</v>
      </c>
      <c r="N322" s="52" t="s">
        <v>181</v>
      </c>
      <c r="O322" s="51" t="e">
        <f>VLOOKUP(N322,[2]!RUBROS[#All],3,0)</f>
        <v>#REF!</v>
      </c>
      <c r="P322" s="53" t="e">
        <f>VLOOKUP(N322,[2]!RUBROS[#All],2,0)</f>
        <v>#REF!</v>
      </c>
      <c r="Q322" s="47" t="str">
        <f t="shared" si="173"/>
        <v>90</v>
      </c>
      <c r="R322" s="47" t="str">
        <f t="shared" si="174"/>
        <v>0-101024</v>
      </c>
      <c r="S322" s="54">
        <v>6</v>
      </c>
      <c r="T322" s="59" t="s">
        <v>46</v>
      </c>
      <c r="U322" s="326" t="e">
        <f ca="1">_xlfn.XLOOKUP(PAA_4[[#This Row],[ITEM]],[2]Contrato!A:A,[2]Contrato!Q:Q,"",0)</f>
        <v>#NAME?</v>
      </c>
      <c r="V322" s="47" t="s">
        <v>95</v>
      </c>
      <c r="W322" s="47" t="s">
        <v>122</v>
      </c>
      <c r="X322" s="47" t="s">
        <v>122</v>
      </c>
      <c r="Y322" s="55" t="e">
        <f ca="1">_xlfn.XLOOKUP(PAA_4[[#This Row],[ITEM]],[2]Contrato!A:A,[2]Contrato!B:B,"",0)</f>
        <v>#NAME?</v>
      </c>
      <c r="Z322" s="47" t="e">
        <f ca="1">_xlfn.XLOOKUP(PAA_4[[#This Row],[ITEM]],[2]Contrato!A:A,[2]Contrato!G:G,"",0)</f>
        <v>#NAME?</v>
      </c>
      <c r="AA322" s="47" t="e">
        <f ca="1">_xlfn.XLOOKUP(PAA_4[[#This Row],[ITEM]],[2]Contrato!A:A,[2]Contrato!T:T,"",0)</f>
        <v>#NAME?</v>
      </c>
      <c r="AB322" s="55" t="e">
        <f ca="1">+MAX(PAA_4[[#This Row],[Comprometido Contrato]],PAA_4[[#This Row],[Comprometido Bolsa]])</f>
        <v>#NAME?</v>
      </c>
      <c r="AC322" s="55" t="str">
        <f t="shared" ca="1" si="175"/>
        <v/>
      </c>
      <c r="AD322" s="55" t="e">
        <f ca="1">IF(PAA_4[[#This Row],[ESTADO (formulado)]]="NO CONTRATADO",0,MAX(PAA_4[[#This Row],[Pago por Contrato]],PAA_4[[#This Row],[Pago por bolsa]]))</f>
        <v>#NAME?</v>
      </c>
      <c r="AE322" s="55" t="str">
        <f t="shared" ca="1" si="176"/>
        <v/>
      </c>
      <c r="AF322" s="47" t="e">
        <f t="shared" ca="1" si="177"/>
        <v>#NAME?</v>
      </c>
      <c r="AG322" s="47">
        <f t="shared" si="178"/>
        <v>41080301</v>
      </c>
      <c r="AH322" s="54">
        <f>IF(Q322="22",IF(ISNUMBER(SEARCH("econ",PAA_4[[#This Row],[Actividad3]])),"Económico",IF(ISNUMBER(SEARCH("alim",PAA_4[[#This Row],[Actividad3]])),"Alimentación",IF(ISNUMBER(SEARCH("educ",PAA_4[[#This Row],[Actividad3]])),"Educativo","Técnico"))),0)</f>
        <v>0</v>
      </c>
      <c r="AI322" s="47" t="e" cm="1">
        <f t="array" aca="1" ref="AI322" ca="1">_xlfn.XLOOKUP(PAA_4[[#This Row],[RCP-RUBRO]],[2]!COMPROMISOS_2024[[#All],[concatenado]],[2]!COMPROMISOS_2024[[#All],[Total pagado]],"",0)</f>
        <v>#NAME?</v>
      </c>
      <c r="AJ322" s="56">
        <f>IF(PAA_4[[#This Row],[BOLSA]]=0,0,SUMIFS([2]!COMPROMISOS_2024[[#All],[Total pagado]],[2]!COMPROMISOS_2024[[#All],[Bolsa]],PAA_4[[#This Row],[BOLSA]],[2]!COMPROMISOS_2024[[#All],[rubro]],PAA_4[[#This Row],[RCP-RUBRO]]))</f>
        <v>0</v>
      </c>
      <c r="AK322" s="47" t="e" cm="1">
        <f t="array" aca="1" ref="AK322" ca="1">_xlfn.XLOOKUP(PAA_4[[#This Row],[RCP-RUBRO]],[2]!COMPROMISOS_2024[[#All],[concatenado]],[2]!COMPROMISOS_2024[[#All],[Total Comprometido]],"",0)</f>
        <v>#NAME?</v>
      </c>
      <c r="AL322" s="47">
        <f>IF(PAA_4[[#This Row],[BOLSA]]=0,0,SUMIFS([2]!COMPROMISOS_2024[[#All],[Total Comprometido]],[2]!COMPROMISOS_2024[[#All],[Bolsa]],PAA_4[[#This Row],[BOLSA]],[2]!COMPROMISOS_2024[[#All],[concatenado]],PAA_4[[#This Row],[RCP-RUBRO]]))</f>
        <v>0</v>
      </c>
    </row>
    <row r="323" spans="1:38" s="19" customFormat="1" ht="31.5" customHeight="1">
      <c r="A323" s="47" t="s">
        <v>82</v>
      </c>
      <c r="B323" s="47" t="s">
        <v>42</v>
      </c>
      <c r="C323" s="47" t="str">
        <f>VLOOKUP(PAA_4[[#This Row],[PROYECTO (formulado)2]],[2]PROYECTOS!$G$1:$L$32,6,0)</f>
        <v>OFICINA DE SISTEMAS</v>
      </c>
      <c r="D323" s="47" t="str">
        <f>+IF(PAA_4[[#This Row],[UNIDAD DE CONTRATACION (formulado)]]="Subgerencia Administrativa y Financiera","FUNCIONAMIENTO","INVERSIÓN")</f>
        <v>INVERSIÓN</v>
      </c>
      <c r="E323" s="48" t="str">
        <f>VLOOKUP(Q323,[2]PROYECTOS!$G$1:$K$32,5,0)</f>
        <v>MEJORAMIENTO_DEL_SISTEMA_DE_INFORMACIÓN_DE_INDEPORTES_ANTIOQUIA</v>
      </c>
      <c r="F323" s="48">
        <f>VLOOKUP(E323,[2]PROYECTOS!$K$1:$M$32,3,0)</f>
        <v>2020003050272</v>
      </c>
      <c r="G323" s="49" t="s">
        <v>182</v>
      </c>
      <c r="H323" s="49">
        <f>VLOOKUP(Q323,[2]PROYECTOS!$V$1:$W$32,2,0)</f>
        <v>220320</v>
      </c>
      <c r="I323" s="50">
        <v>0</v>
      </c>
      <c r="J323" s="51" t="s">
        <v>1469</v>
      </c>
      <c r="K323" s="47" t="str">
        <f t="shared" ca="1" si="172"/>
        <v>CONTRATADO</v>
      </c>
      <c r="L323" s="47" t="s">
        <v>42</v>
      </c>
      <c r="M323" s="47" t="s">
        <v>42</v>
      </c>
      <c r="N323" s="52" t="s">
        <v>181</v>
      </c>
      <c r="O323" s="51" t="e">
        <f>VLOOKUP(N323,[2]!RUBROS[#All],3,0)</f>
        <v>#REF!</v>
      </c>
      <c r="P323" s="53" t="e">
        <f>VLOOKUP(N323,[2]!RUBROS[#All],2,0)</f>
        <v>#REF!</v>
      </c>
      <c r="Q323" s="47" t="str">
        <f t="shared" si="173"/>
        <v>90</v>
      </c>
      <c r="R323" s="47" t="str">
        <f t="shared" si="174"/>
        <v>0-101024</v>
      </c>
      <c r="S323" s="54" t="s">
        <v>42</v>
      </c>
      <c r="T323" s="59" t="s">
        <v>42</v>
      </c>
      <c r="U323" s="326" t="e">
        <f ca="1">_xlfn.XLOOKUP(PAA_4[[#This Row],[ITEM]],[2]Contrato!A:A,[2]Contrato!Q:Q,"",0)</f>
        <v>#NAME?</v>
      </c>
      <c r="V323" s="47" t="s">
        <v>42</v>
      </c>
      <c r="W323" s="47" t="s">
        <v>42</v>
      </c>
      <c r="X323" s="47" t="s">
        <v>42</v>
      </c>
      <c r="Y323" s="55" t="e">
        <f ca="1">_xlfn.XLOOKUP(PAA_4[[#This Row],[ITEM]],[2]Contrato!A:A,[2]Contrato!B:B,"",0)</f>
        <v>#NAME?</v>
      </c>
      <c r="Z323" s="47" t="e">
        <f ca="1">_xlfn.XLOOKUP(PAA_4[[#This Row],[ITEM]],[2]Contrato!A:A,[2]Contrato!G:G,"",0)</f>
        <v>#NAME?</v>
      </c>
      <c r="AA323" s="47" t="e">
        <f ca="1">_xlfn.XLOOKUP(PAA_4[[#This Row],[ITEM]],[2]Contrato!A:A,[2]Contrato!T:T,"",0)</f>
        <v>#NAME?</v>
      </c>
      <c r="AB323" s="55" t="e">
        <f ca="1">+MAX(PAA_4[[#This Row],[Comprometido Contrato]],PAA_4[[#This Row],[Comprometido Bolsa]])</f>
        <v>#NAME?</v>
      </c>
      <c r="AC323" s="55" t="str">
        <f t="shared" ca="1" si="175"/>
        <v/>
      </c>
      <c r="AD323" s="55" t="e">
        <f ca="1">IF(PAA_4[[#This Row],[ESTADO (formulado)]]="NO CONTRATADO",0,MAX(PAA_4[[#This Row],[Pago por Contrato]],PAA_4[[#This Row],[Pago por bolsa]]))</f>
        <v>#NAME?</v>
      </c>
      <c r="AE323" s="55" t="str">
        <f t="shared" ca="1" si="176"/>
        <v/>
      </c>
      <c r="AF323" s="47" t="e">
        <f t="shared" ca="1" si="177"/>
        <v>#NAME?</v>
      </c>
      <c r="AG323" s="47">
        <f t="shared" si="178"/>
        <v>41080301</v>
      </c>
      <c r="AH323" s="54">
        <f>IF(Q323="22",IF(ISNUMBER(SEARCH("econ",PAA_4[[#This Row],[Actividad3]])),"Económico",IF(ISNUMBER(SEARCH("alim",PAA_4[[#This Row],[Actividad3]])),"Alimentación",IF(ISNUMBER(SEARCH("educ",PAA_4[[#This Row],[Actividad3]])),"Educativo","Técnico"))),0)</f>
        <v>0</v>
      </c>
      <c r="AI323" s="47" t="e" cm="1">
        <f t="array" aca="1" ref="AI323" ca="1">_xlfn.XLOOKUP(PAA_4[[#This Row],[RCP-RUBRO]],[2]!COMPROMISOS_2024[[#All],[concatenado]],[2]!COMPROMISOS_2024[[#All],[Total pagado]],"",0)</f>
        <v>#NAME?</v>
      </c>
      <c r="AJ323" s="56">
        <f>IF(PAA_4[[#This Row],[BOLSA]]=0,0,SUMIFS([2]!COMPROMISOS_2024[[#All],[Total pagado]],[2]!COMPROMISOS_2024[[#All],[Bolsa]],PAA_4[[#This Row],[BOLSA]],[2]!COMPROMISOS_2024[[#All],[rubro]],PAA_4[[#This Row],[RCP-RUBRO]]))</f>
        <v>0</v>
      </c>
      <c r="AK323" s="47" t="e" cm="1">
        <f t="array" aca="1" ref="AK323" ca="1">_xlfn.XLOOKUP(PAA_4[[#This Row],[RCP-RUBRO]],[2]!COMPROMISOS_2024[[#All],[concatenado]],[2]!COMPROMISOS_2024[[#All],[Total Comprometido]],"",0)</f>
        <v>#NAME?</v>
      </c>
      <c r="AL323" s="47">
        <f>IF(PAA_4[[#This Row],[BOLSA]]=0,0,SUMIFS([2]!COMPROMISOS_2024[[#All],[Total Comprometido]],[2]!COMPROMISOS_2024[[#All],[Bolsa]],PAA_4[[#This Row],[BOLSA]],[2]!COMPROMISOS_2024[[#All],[concatenado]],PAA_4[[#This Row],[RCP-RUBRO]]))</f>
        <v>0</v>
      </c>
    </row>
    <row r="324" spans="1:38" s="19" customFormat="1" ht="31.5" customHeight="1">
      <c r="A324" s="47" t="s">
        <v>82</v>
      </c>
      <c r="B324" s="47" t="s">
        <v>42</v>
      </c>
      <c r="C324" s="47" t="str">
        <f>VLOOKUP(PAA_4[[#This Row],[PROYECTO (formulado)2]],[2]PROYECTOS!$G$1:$L$32,6,0)</f>
        <v>OFICINA DE SISTEMAS</v>
      </c>
      <c r="D324" s="47" t="str">
        <f>+IF(PAA_4[[#This Row],[UNIDAD DE CONTRATACION (formulado)]]="Subgerencia Administrativa y Financiera","FUNCIONAMIENTO","INVERSIÓN")</f>
        <v>INVERSIÓN</v>
      </c>
      <c r="E324" s="48" t="str">
        <f>VLOOKUP(Q324,[2]PROYECTOS!$G$1:$K$32,5,0)</f>
        <v>MEJORAMIENTO_DEL_SISTEMA_DE_INFORMACIÓN_DE_INDEPORTES_ANTIOQUIA</v>
      </c>
      <c r="F324" s="48">
        <f>VLOOKUP(E324,[2]PROYECTOS!$K$1:$M$32,3,0)</f>
        <v>2020003050272</v>
      </c>
      <c r="G324" s="49" t="s">
        <v>182</v>
      </c>
      <c r="H324" s="49">
        <f>VLOOKUP(Q324,[2]PROYECTOS!$V$1:$W$32,2,0)</f>
        <v>220320</v>
      </c>
      <c r="I324" s="50">
        <v>6173122</v>
      </c>
      <c r="J324" s="51" t="s">
        <v>1474</v>
      </c>
      <c r="K324" s="47" t="str">
        <f t="shared" ca="1" si="172"/>
        <v>CONTRATADO</v>
      </c>
      <c r="L324" s="47" t="s">
        <v>42</v>
      </c>
      <c r="M324" s="47" t="s">
        <v>42</v>
      </c>
      <c r="N324" s="52" t="s">
        <v>181</v>
      </c>
      <c r="O324" s="51" t="e">
        <f>VLOOKUP(N324,[2]!RUBROS[#All],3,0)</f>
        <v>#REF!</v>
      </c>
      <c r="P324" s="53" t="e">
        <f>VLOOKUP(N324,[2]!RUBROS[#All],2,0)</f>
        <v>#REF!</v>
      </c>
      <c r="Q324" s="47" t="str">
        <f t="shared" si="173"/>
        <v>90</v>
      </c>
      <c r="R324" s="47" t="str">
        <f t="shared" si="174"/>
        <v>0-101024</v>
      </c>
      <c r="S324" s="54" t="s">
        <v>42</v>
      </c>
      <c r="T324" s="329" t="s">
        <v>42</v>
      </c>
      <c r="U324" s="326" t="e">
        <f ca="1">_xlfn.XLOOKUP(PAA_4[[#This Row],[ITEM]],[2]Contrato!A:A,[2]Contrato!Q:Q,"",0)</f>
        <v>#NAME?</v>
      </c>
      <c r="V324" s="47" t="s">
        <v>95</v>
      </c>
      <c r="W324" s="47" t="s">
        <v>42</v>
      </c>
      <c r="X324" s="47" t="s">
        <v>42</v>
      </c>
      <c r="Y324" s="55" t="e">
        <f ca="1">_xlfn.XLOOKUP(PAA_4[[#This Row],[ITEM]],[2]Contrato!A:A,[2]Contrato!B:B,"",0)</f>
        <v>#NAME?</v>
      </c>
      <c r="Z324" s="47" t="e">
        <f ca="1">_xlfn.XLOOKUP(PAA_4[[#This Row],[ITEM]],[2]Contrato!A:A,[2]Contrato!G:G,"",0)</f>
        <v>#NAME?</v>
      </c>
      <c r="AA324" s="47" t="e">
        <f ca="1">_xlfn.XLOOKUP(PAA_4[[#This Row],[ITEM]],[2]Contrato!A:A,[2]Contrato!T:T,"",0)</f>
        <v>#NAME?</v>
      </c>
      <c r="AB324" s="55" t="e">
        <f ca="1">+MAX(PAA_4[[#This Row],[Comprometido Contrato]],PAA_4[[#This Row],[Comprometido Bolsa]])</f>
        <v>#NAME?</v>
      </c>
      <c r="AC324" s="55" t="str">
        <f t="shared" ca="1" si="175"/>
        <v/>
      </c>
      <c r="AD324" s="55" t="e">
        <f ca="1">IF(PAA_4[[#This Row],[ESTADO (formulado)]]="NO CONTRATADO",0,MAX(PAA_4[[#This Row],[Pago por Contrato]],PAA_4[[#This Row],[Pago por bolsa]]))</f>
        <v>#NAME?</v>
      </c>
      <c r="AE324" s="55" t="str">
        <f t="shared" ca="1" si="176"/>
        <v/>
      </c>
      <c r="AF324" s="47" t="e">
        <f t="shared" ca="1" si="177"/>
        <v>#NAME?</v>
      </c>
      <c r="AG324" s="47">
        <f t="shared" si="178"/>
        <v>41080301</v>
      </c>
      <c r="AH324" s="54">
        <f>IF(Q324="22",IF(ISNUMBER(SEARCH("econ",PAA_4[[#This Row],[Actividad3]])),"Económico",IF(ISNUMBER(SEARCH("alim",PAA_4[[#This Row],[Actividad3]])),"Alimentación",IF(ISNUMBER(SEARCH("educ",PAA_4[[#This Row],[Actividad3]])),"Educativo","Técnico"))),0)</f>
        <v>0</v>
      </c>
      <c r="AI324" s="47" t="e" cm="1">
        <f t="array" aca="1" ref="AI324" ca="1">_xlfn.XLOOKUP(PAA_4[[#This Row],[RCP-RUBRO]],[2]!COMPROMISOS_2024[[#All],[concatenado]],[2]!COMPROMISOS_2024[[#All],[Total pagado]],"",0)</f>
        <v>#NAME?</v>
      </c>
      <c r="AJ324" s="56">
        <f>IF(PAA_4[[#This Row],[BOLSA]]=0,0,SUMIFS([2]!COMPROMISOS_2024[[#All],[Total pagado]],[2]!COMPROMISOS_2024[[#All],[Bolsa]],PAA_4[[#This Row],[BOLSA]],[2]!COMPROMISOS_2024[[#All],[rubro]],PAA_4[[#This Row],[RCP-RUBRO]]))</f>
        <v>0</v>
      </c>
      <c r="AK324" s="47" t="e" cm="1">
        <f t="array" aca="1" ref="AK324" ca="1">_xlfn.XLOOKUP(PAA_4[[#This Row],[RCP-RUBRO]],[2]!COMPROMISOS_2024[[#All],[concatenado]],[2]!COMPROMISOS_2024[[#All],[Total Comprometido]],"",0)</f>
        <v>#NAME?</v>
      </c>
      <c r="AL324" s="47">
        <f>IF(PAA_4[[#This Row],[BOLSA]]=0,0,SUMIFS([2]!COMPROMISOS_2024[[#All],[Total Comprometido]],[2]!COMPROMISOS_2024[[#All],[Bolsa]],PAA_4[[#This Row],[BOLSA]],[2]!COMPROMISOS_2024[[#All],[concatenado]],PAA_4[[#This Row],[RCP-RUBRO]]))</f>
        <v>0</v>
      </c>
    </row>
    <row r="325" spans="1:38" s="19" customFormat="1" ht="31.5" customHeight="1">
      <c r="A325" s="47" t="s">
        <v>82</v>
      </c>
      <c r="B325" s="47" t="s">
        <v>42</v>
      </c>
      <c r="C325" s="47" t="str">
        <f>VLOOKUP(PAA_4[[#This Row],[PROYECTO (formulado)2]],[2]PROYECTOS!$G$1:$L$32,6,0)</f>
        <v>OFICINA DE SISTEMAS</v>
      </c>
      <c r="D325" s="47" t="str">
        <f>+IF(PAA_4[[#This Row],[UNIDAD DE CONTRATACION (formulado)]]="Subgerencia Administrativa y Financiera","FUNCIONAMIENTO","INVERSIÓN")</f>
        <v>INVERSIÓN</v>
      </c>
      <c r="E325" s="48" t="str">
        <f>VLOOKUP(Q325,[2]PROYECTOS!$G$1:$K$32,5,0)</f>
        <v>MEJORAMIENTO_DEL_SISTEMA_DE_INFORMACIÓN_DE_INDEPORTES_ANTIOQUIA</v>
      </c>
      <c r="F325" s="48">
        <f>VLOOKUP(E325,[2]PROYECTOS!$K$1:$M$32,3,0)</f>
        <v>2020003050272</v>
      </c>
      <c r="G325" s="49" t="s">
        <v>185</v>
      </c>
      <c r="H325" s="49">
        <f>VLOOKUP(Q325,[2]PROYECTOS!$V$1:$W$32,2,0)</f>
        <v>220320</v>
      </c>
      <c r="I325" s="50">
        <v>2606234</v>
      </c>
      <c r="J325" s="51" t="s">
        <v>1474</v>
      </c>
      <c r="K325" s="47" t="str">
        <f t="shared" ca="1" si="172"/>
        <v>CONTRATADO</v>
      </c>
      <c r="L325" s="47" t="s">
        <v>42</v>
      </c>
      <c r="M325" s="47" t="s">
        <v>42</v>
      </c>
      <c r="N325" s="52" t="s">
        <v>181</v>
      </c>
      <c r="O325" s="51" t="e">
        <f>VLOOKUP(N325,[2]!RUBROS[#All],3,0)</f>
        <v>#REF!</v>
      </c>
      <c r="P325" s="53" t="e">
        <f>VLOOKUP(N325,[2]!RUBROS[#All],2,0)</f>
        <v>#REF!</v>
      </c>
      <c r="Q325" s="47" t="str">
        <f t="shared" si="173"/>
        <v>90</v>
      </c>
      <c r="R325" s="47" t="str">
        <f t="shared" si="174"/>
        <v>0-101024</v>
      </c>
      <c r="S325" s="54" t="s">
        <v>42</v>
      </c>
      <c r="T325" s="329" t="s">
        <v>42</v>
      </c>
      <c r="U325" s="326" t="e">
        <f ca="1">_xlfn.XLOOKUP(PAA_4[[#This Row],[ITEM]],[2]Contrato!A:A,[2]Contrato!Q:Q,"",0)</f>
        <v>#NAME?</v>
      </c>
      <c r="V325" s="47" t="s">
        <v>95</v>
      </c>
      <c r="W325" s="47" t="s">
        <v>42</v>
      </c>
      <c r="X325" s="47" t="s">
        <v>42</v>
      </c>
      <c r="Y325" s="55" t="e">
        <f ca="1">_xlfn.XLOOKUP(PAA_4[[#This Row],[ITEM]],[2]Contrato!A:A,[2]Contrato!B:B,"",0)</f>
        <v>#NAME?</v>
      </c>
      <c r="Z325" s="47" t="e">
        <f ca="1">_xlfn.XLOOKUP(PAA_4[[#This Row],[ITEM]],[2]Contrato!A:A,[2]Contrato!G:G,"",0)</f>
        <v>#NAME?</v>
      </c>
      <c r="AA325" s="47" t="e">
        <f ca="1">_xlfn.XLOOKUP(PAA_4[[#This Row],[ITEM]],[2]Contrato!A:A,[2]Contrato!T:T,"",0)</f>
        <v>#NAME?</v>
      </c>
      <c r="AB325" s="55" t="e">
        <f ca="1">+MAX(PAA_4[[#This Row],[Comprometido Contrato]],PAA_4[[#This Row],[Comprometido Bolsa]])</f>
        <v>#NAME?</v>
      </c>
      <c r="AC325" s="55" t="str">
        <f t="shared" ca="1" si="175"/>
        <v/>
      </c>
      <c r="AD325" s="55" t="e">
        <f ca="1">IF(PAA_4[[#This Row],[ESTADO (formulado)]]="NO CONTRATADO",0,MAX(PAA_4[[#This Row],[Pago por Contrato]],PAA_4[[#This Row],[Pago por bolsa]]))</f>
        <v>#NAME?</v>
      </c>
      <c r="AE325" s="55" t="str">
        <f t="shared" ca="1" si="176"/>
        <v/>
      </c>
      <c r="AF325" s="47" t="e">
        <f t="shared" ca="1" si="177"/>
        <v>#NAME?</v>
      </c>
      <c r="AG325" s="47">
        <f t="shared" si="178"/>
        <v>41080301</v>
      </c>
      <c r="AH325" s="54">
        <f>IF(Q325="22",IF(ISNUMBER(SEARCH("econ",PAA_4[[#This Row],[Actividad3]])),"Económico",IF(ISNUMBER(SEARCH("alim",PAA_4[[#This Row],[Actividad3]])),"Alimentación",IF(ISNUMBER(SEARCH("educ",PAA_4[[#This Row],[Actividad3]])),"Educativo","Técnico"))),0)</f>
        <v>0</v>
      </c>
      <c r="AI325" s="47" t="e" cm="1">
        <f t="array" aca="1" ref="AI325" ca="1">_xlfn.XLOOKUP(PAA_4[[#This Row],[RCP-RUBRO]],[2]!COMPROMISOS_2024[[#All],[concatenado]],[2]!COMPROMISOS_2024[[#All],[Total pagado]],"",0)</f>
        <v>#NAME?</v>
      </c>
      <c r="AJ325" s="56">
        <f>IF(PAA_4[[#This Row],[BOLSA]]=0,0,SUMIFS([2]!COMPROMISOS_2024[[#All],[Total pagado]],[2]!COMPROMISOS_2024[[#All],[Bolsa]],PAA_4[[#This Row],[BOLSA]],[2]!COMPROMISOS_2024[[#All],[rubro]],PAA_4[[#This Row],[RCP-RUBRO]]))</f>
        <v>0</v>
      </c>
      <c r="AK325" s="47" t="e" cm="1">
        <f t="array" aca="1" ref="AK325" ca="1">_xlfn.XLOOKUP(PAA_4[[#This Row],[RCP-RUBRO]],[2]!COMPROMISOS_2024[[#All],[concatenado]],[2]!COMPROMISOS_2024[[#All],[Total Comprometido]],"",0)</f>
        <v>#NAME?</v>
      </c>
      <c r="AL325" s="47">
        <f>IF(PAA_4[[#This Row],[BOLSA]]=0,0,SUMIFS([2]!COMPROMISOS_2024[[#All],[Total Comprometido]],[2]!COMPROMISOS_2024[[#All],[Bolsa]],PAA_4[[#This Row],[BOLSA]],[2]!COMPROMISOS_2024[[#All],[concatenado]],PAA_4[[#This Row],[RCP-RUBRO]]))</f>
        <v>0</v>
      </c>
    </row>
    <row r="326" spans="1:38" s="19" customFormat="1" ht="31.5" customHeight="1">
      <c r="A326" s="47" t="s">
        <v>82</v>
      </c>
      <c r="B326" s="47" t="s">
        <v>42</v>
      </c>
      <c r="C326" s="47" t="str">
        <f>VLOOKUP(PAA_4[[#This Row],[PROYECTO (formulado)2]],[2]PROYECTOS!$G$1:$L$32,6,0)</f>
        <v>OFICINA DE SISTEMAS</v>
      </c>
      <c r="D326" s="47" t="str">
        <f>+IF(PAA_4[[#This Row],[UNIDAD DE CONTRATACION (formulado)]]="Subgerencia Administrativa y Financiera","FUNCIONAMIENTO","INVERSIÓN")</f>
        <v>INVERSIÓN</v>
      </c>
      <c r="E326" s="48" t="str">
        <f>VLOOKUP(Q326,[2]PROYECTOS!$G$1:$K$32,5,0)</f>
        <v>MEJORAMIENTO_DEL_SISTEMA_DE_INFORMACIÓN_DE_INDEPORTES_ANTIOQUIA</v>
      </c>
      <c r="F326" s="48">
        <f>VLOOKUP(E326,[2]PROYECTOS!$K$1:$M$32,3,0)</f>
        <v>2020003050272</v>
      </c>
      <c r="G326" s="49" t="s">
        <v>189</v>
      </c>
      <c r="H326" s="49">
        <f>VLOOKUP(Q326,[2]PROYECTOS!$V$1:$W$32,2,0)</f>
        <v>220320</v>
      </c>
      <c r="I326" s="50">
        <v>1</v>
      </c>
      <c r="J326" s="51" t="s">
        <v>1474</v>
      </c>
      <c r="K326" s="47" t="str">
        <f ca="1">IF(ISNONTEXT(Y326)=TRUE,"CONTRATADO","NO CONTRATADO")</f>
        <v>CONTRATADO</v>
      </c>
      <c r="L326" s="47" t="s">
        <v>42</v>
      </c>
      <c r="M326" s="47" t="s">
        <v>42</v>
      </c>
      <c r="N326" s="52" t="s">
        <v>181</v>
      </c>
      <c r="O326" s="51" t="e">
        <f>VLOOKUP(N326,[2]!RUBROS[#All],3,0)</f>
        <v>#REF!</v>
      </c>
      <c r="P326" s="53" t="e">
        <f>VLOOKUP(N326,[2]!RUBROS[#All],2,0)</f>
        <v>#REF!</v>
      </c>
      <c r="Q326" s="47" t="str">
        <f>+MID(N326,11,2)</f>
        <v>90</v>
      </c>
      <c r="R326" s="47" t="str">
        <f>+MID(N326,14,8)</f>
        <v>0-101024</v>
      </c>
      <c r="S326" s="54" t="s">
        <v>42</v>
      </c>
      <c r="T326" s="329" t="s">
        <v>42</v>
      </c>
      <c r="U326" s="326" t="e">
        <f ca="1">_xlfn.XLOOKUP(PAA_4[[#This Row],[ITEM]],[2]Contrato!A:A,[2]Contrato!Q:Q,"",0)</f>
        <v>#NAME?</v>
      </c>
      <c r="V326" s="47" t="s">
        <v>95</v>
      </c>
      <c r="W326" s="47" t="s">
        <v>42</v>
      </c>
      <c r="X326" s="47" t="s">
        <v>42</v>
      </c>
      <c r="Y326" s="55" t="e">
        <f ca="1">_xlfn.XLOOKUP(PAA_4[[#This Row],[ITEM]],[2]Contrato!A:A,[2]Contrato!B:B,"",0)</f>
        <v>#NAME?</v>
      </c>
      <c r="Z326" s="47" t="e">
        <f ca="1">_xlfn.XLOOKUP(PAA_4[[#This Row],[ITEM]],[2]Contrato!A:A,[2]Contrato!G:G,"",0)</f>
        <v>#NAME?</v>
      </c>
      <c r="AA326" s="47" t="e">
        <f ca="1">_xlfn.XLOOKUP(PAA_4[[#This Row],[ITEM]],[2]Contrato!A:A,[2]Contrato!T:T,"",0)</f>
        <v>#NAME?</v>
      </c>
      <c r="AB326" s="55" t="e">
        <f ca="1">+MAX(PAA_4[[#This Row],[Comprometido Contrato]],PAA_4[[#This Row],[Comprometido Bolsa]])</f>
        <v>#NAME?</v>
      </c>
      <c r="AC326" s="55" t="str">
        <f ca="1">IFERROR(I326-AB326,"")</f>
        <v/>
      </c>
      <c r="AD326" s="55" t="e">
        <f ca="1">IF(PAA_4[[#This Row],[ESTADO (formulado)]]="NO CONTRATADO",0,MAX(PAA_4[[#This Row],[Pago por Contrato]],PAA_4[[#This Row],[Pago por bolsa]]))</f>
        <v>#NAME?</v>
      </c>
      <c r="AE326" s="55" t="str">
        <f ca="1">+IFERROR(AB326-AD326,"")</f>
        <v/>
      </c>
      <c r="AF326" s="47" t="e">
        <f ca="1">+CONCATENATE(AA326,N326)</f>
        <v>#NAME?</v>
      </c>
      <c r="AG326" s="47">
        <f>IFERROR(_xlfn.NUMBERVALUE(MID(G326,1,8)),"")</f>
        <v>41080301</v>
      </c>
      <c r="AH326" s="54">
        <f>IF(Q326="22",IF(ISNUMBER(SEARCH("econ",PAA_4[[#This Row],[Actividad3]])),"Económico",IF(ISNUMBER(SEARCH("alim",PAA_4[[#This Row],[Actividad3]])),"Alimentación",IF(ISNUMBER(SEARCH("educ",PAA_4[[#This Row],[Actividad3]])),"Educativo","Técnico"))),0)</f>
        <v>0</v>
      </c>
      <c r="AI326" s="47" t="e" cm="1">
        <f t="array" aca="1" ref="AI326" ca="1">_xlfn.XLOOKUP(PAA_4[[#This Row],[RCP-RUBRO]],[2]!COMPROMISOS_2024[[#All],[concatenado]],[2]!COMPROMISOS_2024[[#All],[Total pagado]],"",0)</f>
        <v>#NAME?</v>
      </c>
      <c r="AJ326" s="56">
        <f>IF(PAA_4[[#This Row],[BOLSA]]=0,0,SUMIFS([2]!COMPROMISOS_2024[[#All],[Total pagado]],[2]!COMPROMISOS_2024[[#All],[Bolsa]],PAA_4[[#This Row],[BOLSA]],[2]!COMPROMISOS_2024[[#All],[rubro]],PAA_4[[#This Row],[RCP-RUBRO]]))</f>
        <v>0</v>
      </c>
      <c r="AK326" s="47" t="e" cm="1">
        <f t="array" aca="1" ref="AK326" ca="1">_xlfn.XLOOKUP(PAA_4[[#This Row],[RCP-RUBRO]],[2]!COMPROMISOS_2024[[#All],[concatenado]],[2]!COMPROMISOS_2024[[#All],[Total Comprometido]],"",0)</f>
        <v>#NAME?</v>
      </c>
      <c r="AL326" s="47">
        <f>IF(PAA_4[[#This Row],[BOLSA]]=0,0,SUMIFS([2]!COMPROMISOS_2024[[#All],[Total Comprometido]],[2]!COMPROMISOS_2024[[#All],[Bolsa]],PAA_4[[#This Row],[BOLSA]],[2]!COMPROMISOS_2024[[#All],[concatenado]],PAA_4[[#This Row],[RCP-RUBRO]]))</f>
        <v>0</v>
      </c>
    </row>
    <row r="327" spans="1:38" s="19" customFormat="1" ht="31.5" customHeight="1">
      <c r="A327" s="47" t="s">
        <v>82</v>
      </c>
      <c r="B327" s="47" t="s">
        <v>42</v>
      </c>
      <c r="C327" s="47" t="str">
        <f>VLOOKUP(PAA_4[[#This Row],[PROYECTO (formulado)2]],[2]PROYECTOS!$G$1:$L$32,6,0)</f>
        <v>OFICINA DE SISTEMAS</v>
      </c>
      <c r="D327" s="47" t="str">
        <f>+IF(PAA_4[[#This Row],[UNIDAD DE CONTRATACION (formulado)]]="Subgerencia Administrativa y Financiera","FUNCIONAMIENTO","INVERSIÓN")</f>
        <v>INVERSIÓN</v>
      </c>
      <c r="E327" s="48" t="str">
        <f>VLOOKUP(Q327,[2]PROYECTOS!$G$1:$K$32,5,0)</f>
        <v>MEJORAMIENTO_DEL_SISTEMA_DE_INFORMACIÓN_DE_INDEPORTES_ANTIOQUIA</v>
      </c>
      <c r="F327" s="48">
        <f>VLOOKUP(E327,[2]PROYECTOS!$K$1:$M$32,3,0)</f>
        <v>2020003050272</v>
      </c>
      <c r="G327" s="49" t="s">
        <v>185</v>
      </c>
      <c r="H327" s="49">
        <f>VLOOKUP(Q327,[2]PROYECTOS!$V$1:$W$32,2,0)</f>
        <v>220320</v>
      </c>
      <c r="I327" s="50">
        <v>228361</v>
      </c>
      <c r="J327" s="51" t="s">
        <v>1474</v>
      </c>
      <c r="K327" s="47" t="str">
        <f ca="1">IF(ISNONTEXT(Y327)=TRUE,"CONTRATADO","NO CONTRATADO")</f>
        <v>CONTRATADO</v>
      </c>
      <c r="L327" s="47" t="s">
        <v>42</v>
      </c>
      <c r="M327" s="47" t="s">
        <v>42</v>
      </c>
      <c r="N327" s="52" t="s">
        <v>192</v>
      </c>
      <c r="O327" s="51" t="e">
        <f>VLOOKUP(N327,[2]!RUBROS[#All],3,0)</f>
        <v>#REF!</v>
      </c>
      <c r="P327" s="53" t="e">
        <f>VLOOKUP(N327,[2]!RUBROS[#All],2,0)</f>
        <v>#REF!</v>
      </c>
      <c r="Q327" s="47" t="str">
        <f>+MID(N327,11,2)</f>
        <v>90</v>
      </c>
      <c r="R327" s="47" t="str">
        <f>+MID(N327,14,8)</f>
        <v>4-101124</v>
      </c>
      <c r="S327" s="54" t="s">
        <v>42</v>
      </c>
      <c r="T327" s="329" t="s">
        <v>42</v>
      </c>
      <c r="U327" s="326" t="e">
        <f ca="1">_xlfn.XLOOKUP(PAA_4[[#This Row],[ITEM]],[2]Contrato!A:A,[2]Contrato!Q:Q,"",0)</f>
        <v>#NAME?</v>
      </c>
      <c r="V327" s="47" t="s">
        <v>95</v>
      </c>
      <c r="W327" s="47" t="s">
        <v>42</v>
      </c>
      <c r="X327" s="47" t="s">
        <v>42</v>
      </c>
      <c r="Y327" s="55" t="e">
        <f ca="1">_xlfn.XLOOKUP(PAA_4[[#This Row],[ITEM]],[2]Contrato!A:A,[2]Contrato!B:B,"",0)</f>
        <v>#NAME?</v>
      </c>
      <c r="Z327" s="47" t="e">
        <f ca="1">_xlfn.XLOOKUP(PAA_4[[#This Row],[ITEM]],[2]Contrato!A:A,[2]Contrato!G:G,"",0)</f>
        <v>#NAME?</v>
      </c>
      <c r="AA327" s="47" t="e">
        <f ca="1">_xlfn.XLOOKUP(PAA_4[[#This Row],[ITEM]],[2]Contrato!A:A,[2]Contrato!T:T,"",0)</f>
        <v>#NAME?</v>
      </c>
      <c r="AB327" s="55" t="e">
        <f ca="1">+MAX(PAA_4[[#This Row],[Comprometido Contrato]],PAA_4[[#This Row],[Comprometido Bolsa]])</f>
        <v>#NAME?</v>
      </c>
      <c r="AC327" s="55" t="str">
        <f ca="1">IFERROR(I327-AB327,"")</f>
        <v/>
      </c>
      <c r="AD327" s="55" t="e">
        <f ca="1">IF(PAA_4[[#This Row],[ESTADO (formulado)]]="NO CONTRATADO",0,MAX(PAA_4[[#This Row],[Pago por Contrato]],PAA_4[[#This Row],[Pago por bolsa]]))</f>
        <v>#NAME?</v>
      </c>
      <c r="AE327" s="55" t="str">
        <f ca="1">+IFERROR(AB327-AD327,"")</f>
        <v/>
      </c>
      <c r="AF327" s="47" t="e">
        <f ca="1">+CONCATENATE(AA327,N327)</f>
        <v>#NAME?</v>
      </c>
      <c r="AG327" s="47">
        <f>IFERROR(_xlfn.NUMBERVALUE(MID(G327,1,8)),"")</f>
        <v>41080301</v>
      </c>
      <c r="AH327" s="54">
        <f>IF(Q327="22",IF(ISNUMBER(SEARCH("econ",PAA_4[[#This Row],[Actividad3]])),"Económico",IF(ISNUMBER(SEARCH("alim",PAA_4[[#This Row],[Actividad3]])),"Alimentación",IF(ISNUMBER(SEARCH("educ",PAA_4[[#This Row],[Actividad3]])),"Educativo","Técnico"))),0)</f>
        <v>0</v>
      </c>
      <c r="AI327" s="47" t="e" cm="1">
        <f t="array" aca="1" ref="AI327" ca="1">_xlfn.XLOOKUP(PAA_4[[#This Row],[RCP-RUBRO]],[2]!COMPROMISOS_2024[[#All],[concatenado]],[2]!COMPROMISOS_2024[[#All],[Total pagado]],"",0)</f>
        <v>#NAME?</v>
      </c>
      <c r="AJ327" s="56">
        <f>IF(PAA_4[[#This Row],[BOLSA]]=0,0,SUMIFS([2]!COMPROMISOS_2024[[#All],[Total pagado]],[2]!COMPROMISOS_2024[[#All],[Bolsa]],PAA_4[[#This Row],[BOLSA]],[2]!COMPROMISOS_2024[[#All],[rubro]],PAA_4[[#This Row],[RCP-RUBRO]]))</f>
        <v>0</v>
      </c>
      <c r="AK327" s="47" t="e" cm="1">
        <f t="array" aca="1" ref="AK327" ca="1">_xlfn.XLOOKUP(PAA_4[[#This Row],[RCP-RUBRO]],[2]!COMPROMISOS_2024[[#All],[concatenado]],[2]!COMPROMISOS_2024[[#All],[Total Comprometido]],"",0)</f>
        <v>#NAME?</v>
      </c>
      <c r="AL327" s="47">
        <f>IF(PAA_4[[#This Row],[BOLSA]]=0,0,SUMIFS([2]!COMPROMISOS_2024[[#All],[Total Comprometido]],[2]!COMPROMISOS_2024[[#All],[Bolsa]],PAA_4[[#This Row],[BOLSA]],[2]!COMPROMISOS_2024[[#All],[concatenado]],PAA_4[[#This Row],[RCP-RUBRO]]))</f>
        <v>0</v>
      </c>
    </row>
    <row r="328" spans="1:38" s="19" customFormat="1" ht="31.5" customHeight="1">
      <c r="A328" s="47" t="s">
        <v>82</v>
      </c>
      <c r="B328" s="47" t="s">
        <v>42</v>
      </c>
      <c r="C328" s="47" t="str">
        <f>VLOOKUP(PAA_4[[#This Row],[PROYECTO (formulado)2]],[2]PROYECTOS!$G$1:$L$32,6,0)</f>
        <v>OFICINA DE SISTEMAS</v>
      </c>
      <c r="D328" s="47" t="str">
        <f>+IF(PAA_4[[#This Row],[UNIDAD DE CONTRATACION (formulado)]]="Subgerencia Administrativa y Financiera","FUNCIONAMIENTO","INVERSIÓN")</f>
        <v>INVERSIÓN</v>
      </c>
      <c r="E328" s="48" t="str">
        <f>VLOOKUP(Q328,[2]PROYECTOS!$G$1:$K$32,5,0)</f>
        <v>MEJORAMIENTO_DEL_SISTEMA_DE_INFORMACIÓN_DE_INDEPORTES_ANTIOQUIA</v>
      </c>
      <c r="F328" s="48">
        <f>VLOOKUP(E328,[2]PROYECTOS!$K$1:$M$32,3,0)</f>
        <v>2020003050272</v>
      </c>
      <c r="G328" s="49" t="s">
        <v>185</v>
      </c>
      <c r="H328" s="49">
        <f>VLOOKUP(Q328,[2]PROYECTOS!$V$1:$W$32,2,0)</f>
        <v>220320</v>
      </c>
      <c r="I328" s="50">
        <v>464100</v>
      </c>
      <c r="J328" s="51" t="s">
        <v>1474</v>
      </c>
      <c r="K328" s="47" t="str">
        <f ca="1">IF(ISNONTEXT(Y328)=TRUE,"CONTRATADO","NO CONTRATADO")</f>
        <v>CONTRATADO</v>
      </c>
      <c r="L328" s="47" t="s">
        <v>42</v>
      </c>
      <c r="M328" s="47" t="s">
        <v>42</v>
      </c>
      <c r="N328" s="52" t="s">
        <v>199</v>
      </c>
      <c r="O328" s="51" t="e">
        <f>VLOOKUP(N328,[2]!RUBROS[#All],3,0)</f>
        <v>#REF!</v>
      </c>
      <c r="P328" s="53" t="e">
        <f>VLOOKUP(N328,[2]!RUBROS[#All],2,0)</f>
        <v>#REF!</v>
      </c>
      <c r="Q328" s="47" t="str">
        <f>+MID(N328,11,2)</f>
        <v>90</v>
      </c>
      <c r="R328" s="47" t="str">
        <f>+MID(N328,14,8)</f>
        <v>4-101124</v>
      </c>
      <c r="S328" s="54" t="s">
        <v>42</v>
      </c>
      <c r="T328" s="329" t="s">
        <v>42</v>
      </c>
      <c r="U328" s="326" t="e">
        <f ca="1">_xlfn.XLOOKUP(PAA_4[[#This Row],[ITEM]],[2]Contrato!A:A,[2]Contrato!Q:Q,"",0)</f>
        <v>#NAME?</v>
      </c>
      <c r="V328" s="47" t="s">
        <v>95</v>
      </c>
      <c r="W328" s="47" t="s">
        <v>42</v>
      </c>
      <c r="X328" s="47" t="s">
        <v>42</v>
      </c>
      <c r="Y328" s="55" t="e">
        <f ca="1">_xlfn.XLOOKUP(PAA_4[[#This Row],[ITEM]],[2]Contrato!A:A,[2]Contrato!B:B,"",0)</f>
        <v>#NAME?</v>
      </c>
      <c r="Z328" s="47" t="e">
        <f ca="1">_xlfn.XLOOKUP(PAA_4[[#This Row],[ITEM]],[2]Contrato!A:A,[2]Contrato!G:G,"",0)</f>
        <v>#NAME?</v>
      </c>
      <c r="AA328" s="47" t="e">
        <f ca="1">_xlfn.XLOOKUP(PAA_4[[#This Row],[ITEM]],[2]Contrato!A:A,[2]Contrato!T:T,"",0)</f>
        <v>#NAME?</v>
      </c>
      <c r="AB328" s="55" t="e">
        <f ca="1">+MAX(PAA_4[[#This Row],[Comprometido Contrato]],PAA_4[[#This Row],[Comprometido Bolsa]])</f>
        <v>#NAME?</v>
      </c>
      <c r="AC328" s="55" t="str">
        <f ca="1">IFERROR(I328-AB328,"")</f>
        <v/>
      </c>
      <c r="AD328" s="55" t="e">
        <f ca="1">IF(PAA_4[[#This Row],[ESTADO (formulado)]]="NO CONTRATADO",0,MAX(PAA_4[[#This Row],[Pago por Contrato]],PAA_4[[#This Row],[Pago por bolsa]]))</f>
        <v>#NAME?</v>
      </c>
      <c r="AE328" s="55" t="str">
        <f ca="1">+IFERROR(AB328-AD328,"")</f>
        <v/>
      </c>
      <c r="AF328" s="47" t="e">
        <f ca="1">+CONCATENATE(AA328,N328)</f>
        <v>#NAME?</v>
      </c>
      <c r="AG328" s="47">
        <f>IFERROR(_xlfn.NUMBERVALUE(MID(G328,1,8)),"")</f>
        <v>41080301</v>
      </c>
      <c r="AH328" s="54">
        <f>IF(Q328="22",IF(ISNUMBER(SEARCH("econ",PAA_4[[#This Row],[Actividad3]])),"Económico",IF(ISNUMBER(SEARCH("alim",PAA_4[[#This Row],[Actividad3]])),"Alimentación",IF(ISNUMBER(SEARCH("educ",PAA_4[[#This Row],[Actividad3]])),"Educativo","Técnico"))),0)</f>
        <v>0</v>
      </c>
      <c r="AI328" s="47" t="e" cm="1">
        <f t="array" aca="1" ref="AI328" ca="1">_xlfn.XLOOKUP(PAA_4[[#This Row],[RCP-RUBRO]],[2]!COMPROMISOS_2024[[#All],[concatenado]],[2]!COMPROMISOS_2024[[#All],[Total pagado]],"",0)</f>
        <v>#NAME?</v>
      </c>
      <c r="AJ328" s="56">
        <f>IF(PAA_4[[#This Row],[BOLSA]]=0,0,SUMIFS([2]!COMPROMISOS_2024[[#All],[Total pagado]],[2]!COMPROMISOS_2024[[#All],[Bolsa]],PAA_4[[#This Row],[BOLSA]],[2]!COMPROMISOS_2024[[#All],[rubro]],PAA_4[[#This Row],[RCP-RUBRO]]))</f>
        <v>0</v>
      </c>
      <c r="AK328" s="47" t="e" cm="1">
        <f t="array" aca="1" ref="AK328" ca="1">_xlfn.XLOOKUP(PAA_4[[#This Row],[RCP-RUBRO]],[2]!COMPROMISOS_2024[[#All],[concatenado]],[2]!COMPROMISOS_2024[[#All],[Total Comprometido]],"",0)</f>
        <v>#NAME?</v>
      </c>
      <c r="AL328" s="47">
        <f>IF(PAA_4[[#This Row],[BOLSA]]=0,0,SUMIFS([2]!COMPROMISOS_2024[[#All],[Total Comprometido]],[2]!COMPROMISOS_2024[[#All],[Bolsa]],PAA_4[[#This Row],[BOLSA]],[2]!COMPROMISOS_2024[[#All],[concatenado]],PAA_4[[#This Row],[RCP-RUBRO]]))</f>
        <v>0</v>
      </c>
    </row>
    <row r="329" spans="1:38" s="19" customFormat="1" ht="31.5" customHeight="1">
      <c r="A329" s="47">
        <v>53</v>
      </c>
      <c r="B329" s="47" t="s">
        <v>186</v>
      </c>
      <c r="C329" s="47" t="str">
        <f>VLOOKUP(PAA_4[[#This Row],[PROYECTO (formulado)2]],[2]PROYECTOS!$G$1:$L$32,6,0)</f>
        <v>OFICINA DE SISTEMAS</v>
      </c>
      <c r="D329" s="47" t="str">
        <f>+IF(PAA_4[[#This Row],[UNIDAD DE CONTRATACION (formulado)]]="Subgerencia Administrativa y Financiera","FUNCIONAMIENTO","INVERSIÓN")</f>
        <v>INVERSIÓN</v>
      </c>
      <c r="E329" s="48" t="str">
        <f>VLOOKUP(Q329,[2]PROYECTOS!$G$1:$K$32,5,0)</f>
        <v>MEJORAMIENTO_DEL_SISTEMA_DE_INFORMACIÓN_DE_INDEPORTES_ANTIOQUIA</v>
      </c>
      <c r="F329" s="48">
        <f>VLOOKUP(E329,[2]PROYECTOS!$K$1:$M$32,3,0)</f>
        <v>2020003050272</v>
      </c>
      <c r="G329" s="49" t="s">
        <v>182</v>
      </c>
      <c r="H329" s="49">
        <f>VLOOKUP(Q329,[2]PROYECTOS!$V$1:$W$32,2,0)</f>
        <v>220320</v>
      </c>
      <c r="I329" s="50">
        <f>143265941-77380-6173122</f>
        <v>137015439</v>
      </c>
      <c r="J329" s="51" t="s">
        <v>1475</v>
      </c>
      <c r="K329" s="47" t="str">
        <f t="shared" ref="K329:K337" ca="1" si="179">IF(ISNONTEXT(Y329)=TRUE,"CONTRATADO","NO CONTRATADO")</f>
        <v>CONTRATADO</v>
      </c>
      <c r="L329" s="47" t="s">
        <v>94</v>
      </c>
      <c r="M329" s="47" t="s">
        <v>89</v>
      </c>
      <c r="N329" s="52" t="s">
        <v>181</v>
      </c>
      <c r="O329" s="51" t="e">
        <f>VLOOKUP(N329,[2]!RUBROS[#All],3,0)</f>
        <v>#REF!</v>
      </c>
      <c r="P329" s="53" t="e">
        <f>VLOOKUP(N329,[2]!RUBROS[#All],2,0)</f>
        <v>#REF!</v>
      </c>
      <c r="Q329" s="47" t="str">
        <f t="shared" ref="Q329:Q337" si="180">+MID(N329,11,2)</f>
        <v>90</v>
      </c>
      <c r="R329" s="47" t="str">
        <f t="shared" ref="R329:R337" si="181">+MID(N329,14,8)</f>
        <v>0-101024</v>
      </c>
      <c r="S329" s="54">
        <v>7</v>
      </c>
      <c r="T329" s="59" t="s">
        <v>187</v>
      </c>
      <c r="U329" s="326" t="e">
        <f ca="1">_xlfn.XLOOKUP(PAA_4[[#This Row],[ITEM]],[2]Contrato!A:A,[2]Contrato!Q:Q,"",0)</f>
        <v>#NAME?</v>
      </c>
      <c r="V329" s="47" t="s">
        <v>95</v>
      </c>
      <c r="W329" s="47" t="s">
        <v>83</v>
      </c>
      <c r="X329" s="47" t="s">
        <v>83</v>
      </c>
      <c r="Y329" s="55" t="e">
        <f ca="1">_xlfn.XLOOKUP(PAA_4[[#This Row],[ITEM]],[2]Contrato!A:A,[2]Contrato!B:B,"",0)</f>
        <v>#NAME?</v>
      </c>
      <c r="Z329" s="47" t="e">
        <f ca="1">_xlfn.XLOOKUP(PAA_4[[#This Row],[ITEM]],[2]Contrato!A:A,[2]Contrato!G:G,"",0)</f>
        <v>#NAME?</v>
      </c>
      <c r="AA329" s="47" t="e">
        <f ca="1">_xlfn.XLOOKUP(PAA_4[[#This Row],[ITEM]],[2]Contrato!A:A,[2]Contrato!T:T,"",0)</f>
        <v>#NAME?</v>
      </c>
      <c r="AB329" s="55" t="e">
        <f ca="1">+MAX(PAA_4[[#This Row],[Comprometido Contrato]],PAA_4[[#This Row],[Comprometido Bolsa]])</f>
        <v>#NAME?</v>
      </c>
      <c r="AC329" s="55" t="str">
        <f t="shared" ref="AC329:AC337" ca="1" si="182">IFERROR(I329-AB329,"")</f>
        <v/>
      </c>
      <c r="AD329" s="55" t="e">
        <f ca="1">IF(PAA_4[[#This Row],[ESTADO (formulado)]]="NO CONTRATADO",0,MAX(PAA_4[[#This Row],[Pago por Contrato]],PAA_4[[#This Row],[Pago por bolsa]]))</f>
        <v>#NAME?</v>
      </c>
      <c r="AE329" s="55" t="str">
        <f t="shared" ref="AE329:AE337" ca="1" si="183">+IFERROR(AB329-AD329,"")</f>
        <v/>
      </c>
      <c r="AF329" s="47" t="e">
        <f t="shared" ref="AF329:AF337" ca="1" si="184">+CONCATENATE(AA329,N329)</f>
        <v>#NAME?</v>
      </c>
      <c r="AG329" s="47">
        <f t="shared" ref="AG329:AG337" si="185">IFERROR(_xlfn.NUMBERVALUE(MID(G329,1,8)),"")</f>
        <v>41080301</v>
      </c>
      <c r="AH329" s="54">
        <f>IF(Q329="22",IF(ISNUMBER(SEARCH("econ",PAA_4[[#This Row],[Actividad3]])),"Económico",IF(ISNUMBER(SEARCH("alim",PAA_4[[#This Row],[Actividad3]])),"Alimentación",IF(ISNUMBER(SEARCH("educ",PAA_4[[#This Row],[Actividad3]])),"Educativo","Técnico"))),0)</f>
        <v>0</v>
      </c>
      <c r="AI329" s="47" t="e" cm="1">
        <f t="array" aca="1" ref="AI329" ca="1">_xlfn.XLOOKUP(PAA_4[[#This Row],[RCP-RUBRO]],[2]!COMPROMISOS_2024[[#All],[concatenado]],[2]!COMPROMISOS_2024[[#All],[Total pagado]],"",0)</f>
        <v>#NAME?</v>
      </c>
      <c r="AJ329" s="56">
        <f>IF(PAA_4[[#This Row],[BOLSA]]=0,0,SUMIFS([2]!COMPROMISOS_2024[[#All],[Total pagado]],[2]!COMPROMISOS_2024[[#All],[Bolsa]],PAA_4[[#This Row],[BOLSA]],[2]!COMPROMISOS_2024[[#All],[rubro]],PAA_4[[#This Row],[RCP-RUBRO]]))</f>
        <v>0</v>
      </c>
      <c r="AK329" s="47" t="e" cm="1">
        <f t="array" aca="1" ref="AK329" ca="1">_xlfn.XLOOKUP(PAA_4[[#This Row],[RCP-RUBRO]],[2]!COMPROMISOS_2024[[#All],[concatenado]],[2]!COMPROMISOS_2024[[#All],[Total Comprometido]],"",0)</f>
        <v>#NAME?</v>
      </c>
      <c r="AL329" s="47">
        <f>IF(PAA_4[[#This Row],[BOLSA]]=0,0,SUMIFS([2]!COMPROMISOS_2024[[#All],[Total Comprometido]],[2]!COMPROMISOS_2024[[#All],[Bolsa]],PAA_4[[#This Row],[BOLSA]],[2]!COMPROMISOS_2024[[#All],[concatenado]],PAA_4[[#This Row],[RCP-RUBRO]]))</f>
        <v>0</v>
      </c>
    </row>
    <row r="330" spans="1:38" s="19" customFormat="1" ht="31.5" customHeight="1">
      <c r="A330" s="47" t="s">
        <v>82</v>
      </c>
      <c r="B330" s="47" t="s">
        <v>42</v>
      </c>
      <c r="C330" s="47" t="str">
        <f>VLOOKUP(PAA_4[[#This Row],[PROYECTO (formulado)2]],[2]PROYECTOS!$G$1:$L$32,6,0)</f>
        <v>OFICINA DE SISTEMAS</v>
      </c>
      <c r="D330" s="47" t="str">
        <f>+IF(PAA_4[[#This Row],[UNIDAD DE CONTRATACION (formulado)]]="Subgerencia Administrativa y Financiera","FUNCIONAMIENTO","INVERSIÓN")</f>
        <v>INVERSIÓN</v>
      </c>
      <c r="E330" s="48" t="str">
        <f>VLOOKUP(Q330,[2]PROYECTOS!$G$1:$K$32,5,0)</f>
        <v>MEJORAMIENTO_DEL_SISTEMA_DE_INFORMACIÓN_DE_INDEPORTES_ANTIOQUIA</v>
      </c>
      <c r="F330" s="48">
        <f>VLOOKUP(E330,[2]PROYECTOS!$K$1:$M$32,3,0)</f>
        <v>2020003050272</v>
      </c>
      <c r="G330" s="49" t="s">
        <v>185</v>
      </c>
      <c r="H330" s="49">
        <f>VLOOKUP(Q330,[2]PROYECTOS!$V$1:$W$32,2,0)</f>
        <v>220320</v>
      </c>
      <c r="I330" s="50">
        <v>0</v>
      </c>
      <c r="J330" s="51" t="s">
        <v>1469</v>
      </c>
      <c r="K330" s="47" t="str">
        <f t="shared" ca="1" si="179"/>
        <v>CONTRATADO</v>
      </c>
      <c r="L330" s="47" t="s">
        <v>42</v>
      </c>
      <c r="M330" s="47" t="s">
        <v>42</v>
      </c>
      <c r="N330" s="52" t="s">
        <v>181</v>
      </c>
      <c r="O330" s="51" t="e">
        <f>VLOOKUP(N330,[2]!RUBROS[#All],3,0)</f>
        <v>#REF!</v>
      </c>
      <c r="P330" s="53" t="e">
        <f>VLOOKUP(N330,[2]!RUBROS[#All],2,0)</f>
        <v>#REF!</v>
      </c>
      <c r="Q330" s="47" t="str">
        <f t="shared" si="180"/>
        <v>90</v>
      </c>
      <c r="R330" s="47" t="str">
        <f t="shared" si="181"/>
        <v>0-101024</v>
      </c>
      <c r="S330" s="54" t="s">
        <v>42</v>
      </c>
      <c r="T330" s="59" t="s">
        <v>42</v>
      </c>
      <c r="U330" s="326" t="e">
        <f ca="1">_xlfn.XLOOKUP(PAA_4[[#This Row],[ITEM]],[2]Contrato!A:A,[2]Contrato!Q:Q,"",0)</f>
        <v>#NAME?</v>
      </c>
      <c r="V330" s="47" t="s">
        <v>42</v>
      </c>
      <c r="W330" s="47" t="s">
        <v>42</v>
      </c>
      <c r="X330" s="47" t="s">
        <v>42</v>
      </c>
      <c r="Y330" s="55" t="e">
        <f ca="1">_xlfn.XLOOKUP(PAA_4[[#This Row],[ITEM]],[2]Contrato!A:A,[2]Contrato!B:B,"",0)</f>
        <v>#NAME?</v>
      </c>
      <c r="Z330" s="47" t="e">
        <f ca="1">_xlfn.XLOOKUP(PAA_4[[#This Row],[ITEM]],[2]Contrato!A:A,[2]Contrato!G:G,"",0)</f>
        <v>#NAME?</v>
      </c>
      <c r="AA330" s="47" t="e">
        <f ca="1">_xlfn.XLOOKUP(PAA_4[[#This Row],[ITEM]],[2]Contrato!A:A,[2]Contrato!T:T,"",0)</f>
        <v>#NAME?</v>
      </c>
      <c r="AB330" s="55" t="e">
        <f ca="1">+MAX(PAA_4[[#This Row],[Comprometido Contrato]],PAA_4[[#This Row],[Comprometido Bolsa]])</f>
        <v>#NAME?</v>
      </c>
      <c r="AC330" s="55" t="str">
        <f t="shared" ca="1" si="182"/>
        <v/>
      </c>
      <c r="AD330" s="55" t="e">
        <f ca="1">IF(PAA_4[[#This Row],[ESTADO (formulado)]]="NO CONTRATADO",0,MAX(PAA_4[[#This Row],[Pago por Contrato]],PAA_4[[#This Row],[Pago por bolsa]]))</f>
        <v>#NAME?</v>
      </c>
      <c r="AE330" s="55" t="str">
        <f t="shared" ca="1" si="183"/>
        <v/>
      </c>
      <c r="AF330" s="47" t="e">
        <f t="shared" ca="1" si="184"/>
        <v>#NAME?</v>
      </c>
      <c r="AG330" s="47">
        <f t="shared" si="185"/>
        <v>41080301</v>
      </c>
      <c r="AH330" s="54">
        <f>IF(Q330="22",IF(ISNUMBER(SEARCH("econ",PAA_4[[#This Row],[Actividad3]])),"Económico",IF(ISNUMBER(SEARCH("alim",PAA_4[[#This Row],[Actividad3]])),"Alimentación",IF(ISNUMBER(SEARCH("educ",PAA_4[[#This Row],[Actividad3]])),"Educativo","Técnico"))),0)</f>
        <v>0</v>
      </c>
      <c r="AI330" s="47" t="e" cm="1">
        <f t="array" aca="1" ref="AI330" ca="1">_xlfn.XLOOKUP(PAA_4[[#This Row],[RCP-RUBRO]],[2]!COMPROMISOS_2024[[#All],[concatenado]],[2]!COMPROMISOS_2024[[#All],[Total pagado]],"",0)</f>
        <v>#NAME?</v>
      </c>
      <c r="AJ330" s="56">
        <f>IF(PAA_4[[#This Row],[BOLSA]]=0,0,SUMIFS([2]!COMPROMISOS_2024[[#All],[Total pagado]],[2]!COMPROMISOS_2024[[#All],[Bolsa]],PAA_4[[#This Row],[BOLSA]],[2]!COMPROMISOS_2024[[#All],[rubro]],PAA_4[[#This Row],[RCP-RUBRO]]))</f>
        <v>0</v>
      </c>
      <c r="AK330" s="47" t="e" cm="1">
        <f t="array" aca="1" ref="AK330" ca="1">_xlfn.XLOOKUP(PAA_4[[#This Row],[RCP-RUBRO]],[2]!COMPROMISOS_2024[[#All],[concatenado]],[2]!COMPROMISOS_2024[[#All],[Total Comprometido]],"",0)</f>
        <v>#NAME?</v>
      </c>
      <c r="AL330" s="47">
        <f>IF(PAA_4[[#This Row],[BOLSA]]=0,0,SUMIFS([2]!COMPROMISOS_2024[[#All],[Total Comprometido]],[2]!COMPROMISOS_2024[[#All],[Bolsa]],PAA_4[[#This Row],[BOLSA]],[2]!COMPROMISOS_2024[[#All],[concatenado]],PAA_4[[#This Row],[RCP-RUBRO]]))</f>
        <v>0</v>
      </c>
    </row>
    <row r="331" spans="1:38" s="19" customFormat="1" ht="31.5" customHeight="1">
      <c r="A331" s="47">
        <v>54</v>
      </c>
      <c r="B331" s="47" t="s">
        <v>188</v>
      </c>
      <c r="C331" s="47" t="str">
        <f>VLOOKUP(PAA_4[[#This Row],[PROYECTO (formulado)2]],[2]PROYECTOS!$G$1:$L$32,6,0)</f>
        <v>OFICINA DE SISTEMAS</v>
      </c>
      <c r="D331" s="47" t="str">
        <f>+IF(PAA_4[[#This Row],[UNIDAD DE CONTRATACION (formulado)]]="Subgerencia Administrativa y Financiera","FUNCIONAMIENTO","INVERSIÓN")</f>
        <v>INVERSIÓN</v>
      </c>
      <c r="E331" s="48" t="str">
        <f>VLOOKUP(Q331,[2]PROYECTOS!$G$1:$K$32,5,0)</f>
        <v>MEJORAMIENTO_DEL_SISTEMA_DE_INFORMACIÓN_DE_INDEPORTES_ANTIOQUIA</v>
      </c>
      <c r="F331" s="48">
        <f>VLOOKUP(E331,[2]PROYECTOS!$K$1:$M$32,3,0)</f>
        <v>2020003050272</v>
      </c>
      <c r="G331" s="49" t="s">
        <v>185</v>
      </c>
      <c r="H331" s="49">
        <f>VLOOKUP(Q331,[2]PROYECTOS!$V$1:$W$32,2,0)</f>
        <v>220320</v>
      </c>
      <c r="I331" s="50">
        <f>269094672-688135-2606234</f>
        <v>265800303</v>
      </c>
      <c r="J331" s="51" t="s">
        <v>1476</v>
      </c>
      <c r="K331" s="47" t="str">
        <f t="shared" ca="1" si="179"/>
        <v>CONTRATADO</v>
      </c>
      <c r="L331" s="47" t="s">
        <v>94</v>
      </c>
      <c r="M331" s="47" t="s">
        <v>89</v>
      </c>
      <c r="N331" s="52" t="s">
        <v>181</v>
      </c>
      <c r="O331" s="51" t="e">
        <f>VLOOKUP(N331,[2]!RUBROS[#All],3,0)</f>
        <v>#REF!</v>
      </c>
      <c r="P331" s="53" t="e">
        <f>VLOOKUP(N331,[2]!RUBROS[#All],2,0)</f>
        <v>#REF!</v>
      </c>
      <c r="Q331" s="47" t="str">
        <f t="shared" si="180"/>
        <v>90</v>
      </c>
      <c r="R331" s="47" t="str">
        <f t="shared" si="181"/>
        <v>0-101024</v>
      </c>
      <c r="S331" s="54"/>
      <c r="T331" s="59"/>
      <c r="U331" s="326" t="e">
        <f ca="1">_xlfn.XLOOKUP(PAA_4[[#This Row],[ITEM]],[2]Contrato!A:A,[2]Contrato!Q:Q,"",0)</f>
        <v>#NAME?</v>
      </c>
      <c r="V331" s="47" t="s">
        <v>95</v>
      </c>
      <c r="W331" s="47" t="s">
        <v>83</v>
      </c>
      <c r="X331" s="47" t="s">
        <v>83</v>
      </c>
      <c r="Y331" s="55" t="e">
        <f ca="1">_xlfn.XLOOKUP(PAA_4[[#This Row],[ITEM]],[2]Contrato!A:A,[2]Contrato!B:B,"",0)</f>
        <v>#NAME?</v>
      </c>
      <c r="Z331" s="47" t="e">
        <f ca="1">_xlfn.XLOOKUP(PAA_4[[#This Row],[ITEM]],[2]Contrato!A:A,[2]Contrato!G:G,"",0)</f>
        <v>#NAME?</v>
      </c>
      <c r="AA331" s="47" t="e">
        <f ca="1">_xlfn.XLOOKUP(PAA_4[[#This Row],[ITEM]],[2]Contrato!A:A,[2]Contrato!T:T,"",0)</f>
        <v>#NAME?</v>
      </c>
      <c r="AB331" s="55" t="e">
        <f ca="1">+MAX(PAA_4[[#This Row],[Comprometido Contrato]],PAA_4[[#This Row],[Comprometido Bolsa]])</f>
        <v>#NAME?</v>
      </c>
      <c r="AC331" s="55" t="str">
        <f t="shared" ca="1" si="182"/>
        <v/>
      </c>
      <c r="AD331" s="55" t="e">
        <f ca="1">IF(PAA_4[[#This Row],[ESTADO (formulado)]]="NO CONTRATADO",0,MAX(PAA_4[[#This Row],[Pago por Contrato]],PAA_4[[#This Row],[Pago por bolsa]]))</f>
        <v>#NAME?</v>
      </c>
      <c r="AE331" s="55" t="str">
        <f t="shared" ca="1" si="183"/>
        <v/>
      </c>
      <c r="AF331" s="47" t="e">
        <f t="shared" ca="1" si="184"/>
        <v>#NAME?</v>
      </c>
      <c r="AG331" s="47">
        <f t="shared" si="185"/>
        <v>41080301</v>
      </c>
      <c r="AH331" s="54">
        <f>IF(Q331="22",IF(ISNUMBER(SEARCH("econ",PAA_4[[#This Row],[Actividad3]])),"Económico",IF(ISNUMBER(SEARCH("alim",PAA_4[[#This Row],[Actividad3]])),"Alimentación",IF(ISNUMBER(SEARCH("educ",PAA_4[[#This Row],[Actividad3]])),"Educativo","Técnico"))),0)</f>
        <v>0</v>
      </c>
      <c r="AI331" s="47" t="e" cm="1">
        <f t="array" aca="1" ref="AI331" ca="1">_xlfn.XLOOKUP(PAA_4[[#This Row],[RCP-RUBRO]],[2]!COMPROMISOS_2024[[#All],[concatenado]],[2]!COMPROMISOS_2024[[#All],[Total pagado]],"",0)</f>
        <v>#NAME?</v>
      </c>
      <c r="AJ331" s="56">
        <f>IF(PAA_4[[#This Row],[BOLSA]]=0,0,SUMIFS([2]!COMPROMISOS_2024[[#All],[Total pagado]],[2]!COMPROMISOS_2024[[#All],[Bolsa]],PAA_4[[#This Row],[BOLSA]],[2]!COMPROMISOS_2024[[#All],[rubro]],PAA_4[[#This Row],[RCP-RUBRO]]))</f>
        <v>0</v>
      </c>
      <c r="AK331" s="47" t="e" cm="1">
        <f t="array" aca="1" ref="AK331" ca="1">_xlfn.XLOOKUP(PAA_4[[#This Row],[RCP-RUBRO]],[2]!COMPROMISOS_2024[[#All],[concatenado]],[2]!COMPROMISOS_2024[[#All],[Total Comprometido]],"",0)</f>
        <v>#NAME?</v>
      </c>
      <c r="AL331" s="47">
        <f>IF(PAA_4[[#This Row],[BOLSA]]=0,0,SUMIFS([2]!COMPROMISOS_2024[[#All],[Total Comprometido]],[2]!COMPROMISOS_2024[[#All],[Bolsa]],PAA_4[[#This Row],[BOLSA]],[2]!COMPROMISOS_2024[[#All],[concatenado]],PAA_4[[#This Row],[RCP-RUBRO]]))</f>
        <v>0</v>
      </c>
    </row>
    <row r="332" spans="1:38" s="19" customFormat="1" ht="31.5" customHeight="1">
      <c r="A332" s="47">
        <v>55</v>
      </c>
      <c r="B332" s="47">
        <v>43231500</v>
      </c>
      <c r="C332" s="47" t="str">
        <f>VLOOKUP(PAA_4[[#This Row],[PROYECTO (formulado)2]],[2]PROYECTOS!$G$1:$L$32,6,0)</f>
        <v>OFICINA DE SISTEMAS</v>
      </c>
      <c r="D332" s="47" t="str">
        <f>+IF(PAA_4[[#This Row],[UNIDAD DE CONTRATACION (formulado)]]="Subgerencia Administrativa y Financiera","FUNCIONAMIENTO","INVERSIÓN")</f>
        <v>INVERSIÓN</v>
      </c>
      <c r="E332" s="48" t="str">
        <f>VLOOKUP(Q332,[2]PROYECTOS!$G$1:$K$32,5,0)</f>
        <v>MEJORAMIENTO_DEL_SISTEMA_DE_INFORMACIÓN_DE_INDEPORTES_ANTIOQUIA</v>
      </c>
      <c r="F332" s="48">
        <f>VLOOKUP(E332,[2]PROYECTOS!$K$1:$M$32,3,0)</f>
        <v>2020003050272</v>
      </c>
      <c r="G332" s="49" t="s">
        <v>189</v>
      </c>
      <c r="H332" s="49">
        <f>VLOOKUP(Q332,[2]PROYECTOS!$V$1:$W$32,2,0)</f>
        <v>220320</v>
      </c>
      <c r="I332" s="50">
        <f>46782627-1</f>
        <v>46782626</v>
      </c>
      <c r="J332" s="51" t="s">
        <v>1477</v>
      </c>
      <c r="K332" s="47" t="str">
        <f t="shared" ca="1" si="179"/>
        <v>CONTRATADO</v>
      </c>
      <c r="L332" s="47" t="s">
        <v>94</v>
      </c>
      <c r="M332" s="47" t="s">
        <v>89</v>
      </c>
      <c r="N332" s="52" t="s">
        <v>181</v>
      </c>
      <c r="O332" s="51" t="e">
        <f>VLOOKUP(N332,[2]!RUBROS[#All],3,0)</f>
        <v>#REF!</v>
      </c>
      <c r="P332" s="53" t="e">
        <f>VLOOKUP(N332,[2]!RUBROS[#All],2,0)</f>
        <v>#REF!</v>
      </c>
      <c r="Q332" s="47" t="str">
        <f t="shared" si="180"/>
        <v>90</v>
      </c>
      <c r="R332" s="47" t="str">
        <f t="shared" si="181"/>
        <v>0-101024</v>
      </c>
      <c r="S332" s="54"/>
      <c r="T332" s="59"/>
      <c r="U332" s="326" t="e">
        <f ca="1">_xlfn.XLOOKUP(PAA_4[[#This Row],[ITEM]],[2]Contrato!A:A,[2]Contrato!Q:Q,"",0)</f>
        <v>#NAME?</v>
      </c>
      <c r="V332" s="47" t="s">
        <v>95</v>
      </c>
      <c r="W332" s="47" t="s">
        <v>83</v>
      </c>
      <c r="X332" s="47" t="s">
        <v>83</v>
      </c>
      <c r="Y332" s="55" t="e">
        <f ca="1">_xlfn.XLOOKUP(PAA_4[[#This Row],[ITEM]],[2]Contrato!A:A,[2]Contrato!B:B,"",0)</f>
        <v>#NAME?</v>
      </c>
      <c r="Z332" s="47" t="e">
        <f ca="1">_xlfn.XLOOKUP(PAA_4[[#This Row],[ITEM]],[2]Contrato!A:A,[2]Contrato!G:G,"",0)</f>
        <v>#NAME?</v>
      </c>
      <c r="AA332" s="47" t="e">
        <f ca="1">_xlfn.XLOOKUP(PAA_4[[#This Row],[ITEM]],[2]Contrato!A:A,[2]Contrato!T:T,"",0)</f>
        <v>#NAME?</v>
      </c>
      <c r="AB332" s="55" t="e">
        <f ca="1">+MAX(PAA_4[[#This Row],[Comprometido Contrato]],PAA_4[[#This Row],[Comprometido Bolsa]])</f>
        <v>#NAME?</v>
      </c>
      <c r="AC332" s="55" t="str">
        <f t="shared" ca="1" si="182"/>
        <v/>
      </c>
      <c r="AD332" s="55" t="e">
        <f ca="1">IF(PAA_4[[#This Row],[ESTADO (formulado)]]="NO CONTRATADO",0,MAX(PAA_4[[#This Row],[Pago por Contrato]],PAA_4[[#This Row],[Pago por bolsa]]))</f>
        <v>#NAME?</v>
      </c>
      <c r="AE332" s="55" t="str">
        <f t="shared" ca="1" si="183"/>
        <v/>
      </c>
      <c r="AF332" s="47" t="e">
        <f t="shared" ca="1" si="184"/>
        <v>#NAME?</v>
      </c>
      <c r="AG332" s="47">
        <f t="shared" si="185"/>
        <v>41080301</v>
      </c>
      <c r="AH332" s="54">
        <f>IF(Q332="22",IF(ISNUMBER(SEARCH("econ",PAA_4[[#This Row],[Actividad3]])),"Económico",IF(ISNUMBER(SEARCH("alim",PAA_4[[#This Row],[Actividad3]])),"Alimentación",IF(ISNUMBER(SEARCH("educ",PAA_4[[#This Row],[Actividad3]])),"Educativo","Técnico"))),0)</f>
        <v>0</v>
      </c>
      <c r="AI332" s="47" t="e" cm="1">
        <f t="array" aca="1" ref="AI332" ca="1">_xlfn.XLOOKUP(PAA_4[[#This Row],[RCP-RUBRO]],[2]!COMPROMISOS_2024[[#All],[concatenado]],[2]!COMPROMISOS_2024[[#All],[Total pagado]],"",0)</f>
        <v>#NAME?</v>
      </c>
      <c r="AJ332" s="56">
        <f>IF(PAA_4[[#This Row],[BOLSA]]=0,0,SUMIFS([2]!COMPROMISOS_2024[[#All],[Total pagado]],[2]!COMPROMISOS_2024[[#All],[Bolsa]],PAA_4[[#This Row],[BOLSA]],[2]!COMPROMISOS_2024[[#All],[rubro]],PAA_4[[#This Row],[RCP-RUBRO]]))</f>
        <v>0</v>
      </c>
      <c r="AK332" s="47" t="e" cm="1">
        <f t="array" aca="1" ref="AK332" ca="1">_xlfn.XLOOKUP(PAA_4[[#This Row],[RCP-RUBRO]],[2]!COMPROMISOS_2024[[#All],[concatenado]],[2]!COMPROMISOS_2024[[#All],[Total Comprometido]],"",0)</f>
        <v>#NAME?</v>
      </c>
      <c r="AL332" s="47">
        <f>IF(PAA_4[[#This Row],[BOLSA]]=0,0,SUMIFS([2]!COMPROMISOS_2024[[#All],[Total Comprometido]],[2]!COMPROMISOS_2024[[#All],[Bolsa]],PAA_4[[#This Row],[BOLSA]],[2]!COMPROMISOS_2024[[#All],[concatenado]],PAA_4[[#This Row],[RCP-RUBRO]]))</f>
        <v>0</v>
      </c>
    </row>
    <row r="333" spans="1:38" s="19" customFormat="1" ht="31.5" customHeight="1">
      <c r="A333" s="47" t="s">
        <v>82</v>
      </c>
      <c r="B333" s="47" t="s">
        <v>42</v>
      </c>
      <c r="C333" s="47" t="str">
        <f>VLOOKUP(PAA_4[[#This Row],[PROYECTO (formulado)2]],[2]PROYECTOS!$G$1:$L$32,6,0)</f>
        <v>OFICINA DE SISTEMAS</v>
      </c>
      <c r="D333" s="47" t="str">
        <f>+IF(PAA_4[[#This Row],[UNIDAD DE CONTRATACION (formulado)]]="Subgerencia Administrativa y Financiera","FUNCIONAMIENTO","INVERSIÓN")</f>
        <v>INVERSIÓN</v>
      </c>
      <c r="E333" s="48" t="str">
        <f>VLOOKUP(Q333,[2]PROYECTOS!$G$1:$K$32,5,0)</f>
        <v>MEJORAMIENTO_DEL_SISTEMA_DE_INFORMACIÓN_DE_INDEPORTES_ANTIOQUIA</v>
      </c>
      <c r="F333" s="48">
        <f>VLOOKUP(E333,[2]PROYECTOS!$K$1:$M$32,3,0)</f>
        <v>2020003050272</v>
      </c>
      <c r="G333" s="49" t="s">
        <v>182</v>
      </c>
      <c r="H333" s="49">
        <f>VLOOKUP(Q333,[2]PROYECTOS!$V$1:$W$32,2,0)</f>
        <v>220320</v>
      </c>
      <c r="I333" s="50">
        <v>0</v>
      </c>
      <c r="J333" s="51" t="s">
        <v>1469</v>
      </c>
      <c r="K333" s="47" t="str">
        <f t="shared" ca="1" si="179"/>
        <v>CONTRATADO</v>
      </c>
      <c r="L333" s="47" t="s">
        <v>42</v>
      </c>
      <c r="M333" s="47" t="s">
        <v>42</v>
      </c>
      <c r="N333" s="52" t="s">
        <v>181</v>
      </c>
      <c r="O333" s="51" t="e">
        <f>VLOOKUP(N333,[2]!RUBROS[#All],3,0)</f>
        <v>#REF!</v>
      </c>
      <c r="P333" s="53" t="e">
        <f>VLOOKUP(N333,[2]!RUBROS[#All],2,0)</f>
        <v>#REF!</v>
      </c>
      <c r="Q333" s="47" t="str">
        <f t="shared" si="180"/>
        <v>90</v>
      </c>
      <c r="R333" s="47" t="str">
        <f t="shared" si="181"/>
        <v>0-101024</v>
      </c>
      <c r="S333" s="54" t="s">
        <v>42</v>
      </c>
      <c r="T333" s="59" t="s">
        <v>42</v>
      </c>
      <c r="U333" s="326" t="e">
        <f ca="1">_xlfn.XLOOKUP(PAA_4[[#This Row],[ITEM]],[2]Contrato!A:A,[2]Contrato!Q:Q,"",0)</f>
        <v>#NAME?</v>
      </c>
      <c r="V333" s="47" t="s">
        <v>42</v>
      </c>
      <c r="W333" s="47" t="s">
        <v>42</v>
      </c>
      <c r="X333" s="47" t="s">
        <v>42</v>
      </c>
      <c r="Y333" s="55" t="e">
        <f ca="1">_xlfn.XLOOKUP(PAA_4[[#This Row],[ITEM]],[2]Contrato!A:A,[2]Contrato!B:B,"",0)</f>
        <v>#NAME?</v>
      </c>
      <c r="Z333" s="47" t="e">
        <f ca="1">_xlfn.XLOOKUP(PAA_4[[#This Row],[ITEM]],[2]Contrato!A:A,[2]Contrato!G:G,"",0)</f>
        <v>#NAME?</v>
      </c>
      <c r="AA333" s="47" t="e">
        <f ca="1">_xlfn.XLOOKUP(PAA_4[[#This Row],[ITEM]],[2]Contrato!A:A,[2]Contrato!T:T,"",0)</f>
        <v>#NAME?</v>
      </c>
      <c r="AB333" s="55" t="e">
        <f ca="1">+MAX(PAA_4[[#This Row],[Comprometido Contrato]],PAA_4[[#This Row],[Comprometido Bolsa]])</f>
        <v>#NAME?</v>
      </c>
      <c r="AC333" s="55" t="str">
        <f t="shared" ca="1" si="182"/>
        <v/>
      </c>
      <c r="AD333" s="55" t="e">
        <f ca="1">IF(PAA_4[[#This Row],[ESTADO (formulado)]]="NO CONTRATADO",0,MAX(PAA_4[[#This Row],[Pago por Contrato]],PAA_4[[#This Row],[Pago por bolsa]]))</f>
        <v>#NAME?</v>
      </c>
      <c r="AE333" s="55" t="str">
        <f t="shared" ca="1" si="183"/>
        <v/>
      </c>
      <c r="AF333" s="47" t="e">
        <f t="shared" ca="1" si="184"/>
        <v>#NAME?</v>
      </c>
      <c r="AG333" s="47">
        <f t="shared" si="185"/>
        <v>41080301</v>
      </c>
      <c r="AH333" s="54">
        <f>IF(Q333="22",IF(ISNUMBER(SEARCH("econ",PAA_4[[#This Row],[Actividad3]])),"Económico",IF(ISNUMBER(SEARCH("alim",PAA_4[[#This Row],[Actividad3]])),"Alimentación",IF(ISNUMBER(SEARCH("educ",PAA_4[[#This Row],[Actividad3]])),"Educativo","Técnico"))),0)</f>
        <v>0</v>
      </c>
      <c r="AI333" s="47" t="e" cm="1">
        <f t="array" aca="1" ref="AI333" ca="1">_xlfn.XLOOKUP(PAA_4[[#This Row],[RCP-RUBRO]],[2]!COMPROMISOS_2024[[#All],[concatenado]],[2]!COMPROMISOS_2024[[#All],[Total pagado]],"",0)</f>
        <v>#NAME?</v>
      </c>
      <c r="AJ333" s="56">
        <f>IF(PAA_4[[#This Row],[BOLSA]]=0,0,SUMIFS([2]!COMPROMISOS_2024[[#All],[Total pagado]],[2]!COMPROMISOS_2024[[#All],[Bolsa]],PAA_4[[#This Row],[BOLSA]],[2]!COMPROMISOS_2024[[#All],[rubro]],PAA_4[[#This Row],[RCP-RUBRO]]))</f>
        <v>0</v>
      </c>
      <c r="AK333" s="47" t="e" cm="1">
        <f t="array" aca="1" ref="AK333" ca="1">_xlfn.XLOOKUP(PAA_4[[#This Row],[RCP-RUBRO]],[2]!COMPROMISOS_2024[[#All],[concatenado]],[2]!COMPROMISOS_2024[[#All],[Total Comprometido]],"",0)</f>
        <v>#NAME?</v>
      </c>
      <c r="AL333" s="47">
        <f>IF(PAA_4[[#This Row],[BOLSA]]=0,0,SUMIFS([2]!COMPROMISOS_2024[[#All],[Total Comprometido]],[2]!COMPROMISOS_2024[[#All],[Bolsa]],PAA_4[[#This Row],[BOLSA]],[2]!COMPROMISOS_2024[[#All],[concatenado]],PAA_4[[#This Row],[RCP-RUBRO]]))</f>
        <v>0</v>
      </c>
    </row>
    <row r="334" spans="1:38" s="19" customFormat="1" ht="31.5" customHeight="1">
      <c r="A334" s="47">
        <v>56</v>
      </c>
      <c r="B334" s="47">
        <v>43231501</v>
      </c>
      <c r="C334" s="47" t="str">
        <f>VLOOKUP(PAA_4[[#This Row],[PROYECTO (formulado)2]],[2]PROYECTOS!$G$1:$L$32,6,0)</f>
        <v>OFICINA DE SISTEMAS</v>
      </c>
      <c r="D334" s="47" t="str">
        <f>+IF(PAA_4[[#This Row],[UNIDAD DE CONTRATACION (formulado)]]="Subgerencia Administrativa y Financiera","FUNCIONAMIENTO","INVERSIÓN")</f>
        <v>INVERSIÓN</v>
      </c>
      <c r="E334" s="48" t="str">
        <f>VLOOKUP(Q334,[2]PROYECTOS!$G$1:$K$32,5,0)</f>
        <v>MEJORAMIENTO_DEL_SISTEMA_DE_INFORMACIÓN_DE_INDEPORTES_ANTIOQUIA</v>
      </c>
      <c r="F334" s="48">
        <f>VLOOKUP(E334,[2]PROYECTOS!$K$1:$M$32,3,0)</f>
        <v>2020003050272</v>
      </c>
      <c r="G334" s="49" t="s">
        <v>182</v>
      </c>
      <c r="H334" s="49">
        <f>VLOOKUP(Q334,[2]PROYECTOS!$V$1:$W$32,2,0)</f>
        <v>220320</v>
      </c>
      <c r="I334" s="50">
        <f>36040220-2591887</f>
        <v>33448333</v>
      </c>
      <c r="J334" s="51" t="s">
        <v>1478</v>
      </c>
      <c r="K334" s="47" t="str">
        <f t="shared" ca="1" si="179"/>
        <v>CONTRATADO</v>
      </c>
      <c r="L334" s="47" t="s">
        <v>151</v>
      </c>
      <c r="M334" s="47" t="s">
        <v>89</v>
      </c>
      <c r="N334" s="52" t="s">
        <v>181</v>
      </c>
      <c r="O334" s="51" t="e">
        <f>VLOOKUP(N334,[2]!RUBROS[#All],3,0)</f>
        <v>#REF!</v>
      </c>
      <c r="P334" s="53" t="e">
        <f>VLOOKUP(N334,[2]!RUBROS[#All],2,0)</f>
        <v>#REF!</v>
      </c>
      <c r="Q334" s="47" t="str">
        <f t="shared" si="180"/>
        <v>90</v>
      </c>
      <c r="R334" s="47" t="str">
        <f t="shared" si="181"/>
        <v>0-101024</v>
      </c>
      <c r="S334" s="54"/>
      <c r="T334" s="59"/>
      <c r="U334" s="326" t="e">
        <f ca="1">_xlfn.XLOOKUP(PAA_4[[#This Row],[ITEM]],[2]Contrato!A:A,[2]Contrato!Q:Q,"",0)</f>
        <v>#NAME?</v>
      </c>
      <c r="V334" s="47" t="s">
        <v>95</v>
      </c>
      <c r="W334" s="47" t="s">
        <v>96</v>
      </c>
      <c r="X334" s="47" t="s">
        <v>96</v>
      </c>
      <c r="Y334" s="55" t="e">
        <f ca="1">_xlfn.XLOOKUP(PAA_4[[#This Row],[ITEM]],[2]Contrato!A:A,[2]Contrato!B:B,"",0)</f>
        <v>#NAME?</v>
      </c>
      <c r="Z334" s="47" t="e">
        <f ca="1">_xlfn.XLOOKUP(PAA_4[[#This Row],[ITEM]],[2]Contrato!A:A,[2]Contrato!G:G,"",0)</f>
        <v>#NAME?</v>
      </c>
      <c r="AA334" s="47" t="e">
        <f ca="1">_xlfn.XLOOKUP(PAA_4[[#This Row],[ITEM]],[2]Contrato!A:A,[2]Contrato!T:T,"",0)</f>
        <v>#NAME?</v>
      </c>
      <c r="AB334" s="55" t="e">
        <f ca="1">+MAX(PAA_4[[#This Row],[Comprometido Contrato]],PAA_4[[#This Row],[Comprometido Bolsa]])</f>
        <v>#NAME?</v>
      </c>
      <c r="AC334" s="55" t="str">
        <f t="shared" ca="1" si="182"/>
        <v/>
      </c>
      <c r="AD334" s="55" t="e">
        <f ca="1">IF(PAA_4[[#This Row],[ESTADO (formulado)]]="NO CONTRATADO",0,MAX(PAA_4[[#This Row],[Pago por Contrato]],PAA_4[[#This Row],[Pago por bolsa]]))</f>
        <v>#NAME?</v>
      </c>
      <c r="AE334" s="55" t="str">
        <f t="shared" ca="1" si="183"/>
        <v/>
      </c>
      <c r="AF334" s="47" t="e">
        <f t="shared" ca="1" si="184"/>
        <v>#NAME?</v>
      </c>
      <c r="AG334" s="47">
        <f t="shared" si="185"/>
        <v>41080301</v>
      </c>
      <c r="AH334" s="54">
        <f>IF(Q334="22",IF(ISNUMBER(SEARCH("econ",PAA_4[[#This Row],[Actividad3]])),"Económico",IF(ISNUMBER(SEARCH("alim",PAA_4[[#This Row],[Actividad3]])),"Alimentación",IF(ISNUMBER(SEARCH("educ",PAA_4[[#This Row],[Actividad3]])),"Educativo","Técnico"))),0)</f>
        <v>0</v>
      </c>
      <c r="AI334" s="47" t="e" cm="1">
        <f t="array" aca="1" ref="AI334" ca="1">_xlfn.XLOOKUP(PAA_4[[#This Row],[RCP-RUBRO]],[2]!COMPROMISOS_2024[[#All],[concatenado]],[2]!COMPROMISOS_2024[[#All],[Total pagado]],"",0)</f>
        <v>#NAME?</v>
      </c>
      <c r="AJ334" s="56">
        <f>IF(PAA_4[[#This Row],[BOLSA]]=0,0,SUMIFS([2]!COMPROMISOS_2024[[#All],[Total pagado]],[2]!COMPROMISOS_2024[[#All],[Bolsa]],PAA_4[[#This Row],[BOLSA]],[2]!COMPROMISOS_2024[[#All],[rubro]],PAA_4[[#This Row],[RCP-RUBRO]]))</f>
        <v>0</v>
      </c>
      <c r="AK334" s="47" t="e" cm="1">
        <f t="array" aca="1" ref="AK334" ca="1">_xlfn.XLOOKUP(PAA_4[[#This Row],[RCP-RUBRO]],[2]!COMPROMISOS_2024[[#All],[concatenado]],[2]!COMPROMISOS_2024[[#All],[Total Comprometido]],"",0)</f>
        <v>#NAME?</v>
      </c>
      <c r="AL334" s="47">
        <f>IF(PAA_4[[#This Row],[BOLSA]]=0,0,SUMIFS([2]!COMPROMISOS_2024[[#All],[Total Comprometido]],[2]!COMPROMISOS_2024[[#All],[Bolsa]],PAA_4[[#This Row],[BOLSA]],[2]!COMPROMISOS_2024[[#All],[concatenado]],PAA_4[[#This Row],[RCP-RUBRO]]))</f>
        <v>0</v>
      </c>
    </row>
    <row r="335" spans="1:38" s="19" customFormat="1" ht="31.5" customHeight="1">
      <c r="A335" s="47">
        <v>57</v>
      </c>
      <c r="B335" s="47" t="s">
        <v>190</v>
      </c>
      <c r="C335" s="47" t="str">
        <f>VLOOKUP(PAA_4[[#This Row],[PROYECTO (formulado)2]],[2]PROYECTOS!$G$1:$L$32,6,0)</f>
        <v>OFICINA DE SISTEMAS</v>
      </c>
      <c r="D335" s="47" t="str">
        <f>+IF(PAA_4[[#This Row],[UNIDAD DE CONTRATACION (formulado)]]="Subgerencia Administrativa y Financiera","FUNCIONAMIENTO","INVERSIÓN")</f>
        <v>INVERSIÓN</v>
      </c>
      <c r="E335" s="48" t="str">
        <f>VLOOKUP(Q335,[2]PROYECTOS!$G$1:$K$32,5,0)</f>
        <v>MEJORAMIENTO_DEL_SISTEMA_DE_INFORMACIÓN_DE_INDEPORTES_ANTIOQUIA</v>
      </c>
      <c r="F335" s="48">
        <f>VLOOKUP(E335,[2]PROYECTOS!$K$1:$M$32,3,0)</f>
        <v>2020003050272</v>
      </c>
      <c r="G335" s="49" t="s">
        <v>182</v>
      </c>
      <c r="H335" s="49">
        <f>VLOOKUP(Q335,[2]PROYECTOS!$V$1:$W$32,2,0)</f>
        <v>220320</v>
      </c>
      <c r="I335" s="50">
        <f>44000000-14300000</f>
        <v>29700000</v>
      </c>
      <c r="J335" s="51" t="s">
        <v>1479</v>
      </c>
      <c r="K335" s="47" t="str">
        <f t="shared" ca="1" si="179"/>
        <v>CONTRATADO</v>
      </c>
      <c r="L335" s="47" t="s">
        <v>110</v>
      </c>
      <c r="M335" s="47" t="s">
        <v>191</v>
      </c>
      <c r="N335" s="52" t="s">
        <v>181</v>
      </c>
      <c r="O335" s="51" t="e">
        <f>VLOOKUP(N335,[2]!RUBROS[#All],3,0)</f>
        <v>#REF!</v>
      </c>
      <c r="P335" s="53" t="e">
        <f>VLOOKUP(N335,[2]!RUBROS[#All],2,0)</f>
        <v>#REF!</v>
      </c>
      <c r="Q335" s="47" t="str">
        <f t="shared" si="180"/>
        <v>90</v>
      </c>
      <c r="R335" s="47" t="str">
        <f t="shared" si="181"/>
        <v>0-101024</v>
      </c>
      <c r="S335" s="54">
        <v>6</v>
      </c>
      <c r="T335" s="59" t="s">
        <v>46</v>
      </c>
      <c r="U335" s="326" t="e">
        <f ca="1">_xlfn.XLOOKUP(PAA_4[[#This Row],[ITEM]],[2]Contrato!A:A,[2]Contrato!Q:Q,"",0)</f>
        <v>#NAME?</v>
      </c>
      <c r="V335" s="47" t="s">
        <v>95</v>
      </c>
      <c r="W335" s="47" t="s">
        <v>119</v>
      </c>
      <c r="X335" s="47" t="s">
        <v>154</v>
      </c>
      <c r="Y335" s="55" t="e">
        <f ca="1">_xlfn.XLOOKUP(PAA_4[[#This Row],[ITEM]],[2]Contrato!A:A,[2]Contrato!B:B,"",0)</f>
        <v>#NAME?</v>
      </c>
      <c r="Z335" s="47" t="e">
        <f ca="1">_xlfn.XLOOKUP(PAA_4[[#This Row],[ITEM]],[2]Contrato!A:A,[2]Contrato!G:G,"",0)</f>
        <v>#NAME?</v>
      </c>
      <c r="AA335" s="47" t="e">
        <f ca="1">_xlfn.XLOOKUP(PAA_4[[#This Row],[ITEM]],[2]Contrato!A:A,[2]Contrato!T:T,"",0)</f>
        <v>#NAME?</v>
      </c>
      <c r="AB335" s="55" t="e">
        <f ca="1">+MAX(PAA_4[[#This Row],[Comprometido Contrato]],PAA_4[[#This Row],[Comprometido Bolsa]])</f>
        <v>#NAME?</v>
      </c>
      <c r="AC335" s="55" t="str">
        <f t="shared" ca="1" si="182"/>
        <v/>
      </c>
      <c r="AD335" s="55" t="e">
        <f ca="1">IF(PAA_4[[#This Row],[ESTADO (formulado)]]="NO CONTRATADO",0,MAX(PAA_4[[#This Row],[Pago por Contrato]],PAA_4[[#This Row],[Pago por bolsa]]))</f>
        <v>#NAME?</v>
      </c>
      <c r="AE335" s="55" t="str">
        <f t="shared" ca="1" si="183"/>
        <v/>
      </c>
      <c r="AF335" s="47" t="e">
        <f t="shared" ca="1" si="184"/>
        <v>#NAME?</v>
      </c>
      <c r="AG335" s="47">
        <f t="shared" si="185"/>
        <v>41080301</v>
      </c>
      <c r="AH335" s="54">
        <f>IF(Q335="22",IF(ISNUMBER(SEARCH("econ",PAA_4[[#This Row],[Actividad3]])),"Económico",IF(ISNUMBER(SEARCH("alim",PAA_4[[#This Row],[Actividad3]])),"Alimentación",IF(ISNUMBER(SEARCH("educ",PAA_4[[#This Row],[Actividad3]])),"Educativo","Técnico"))),0)</f>
        <v>0</v>
      </c>
      <c r="AI335" s="47" t="e" cm="1">
        <f t="array" aca="1" ref="AI335" ca="1">_xlfn.XLOOKUP(PAA_4[[#This Row],[RCP-RUBRO]],[2]!COMPROMISOS_2024[[#All],[concatenado]],[2]!COMPROMISOS_2024[[#All],[Total pagado]],"",0)</f>
        <v>#NAME?</v>
      </c>
      <c r="AJ335" s="56">
        <f>IF(PAA_4[[#This Row],[BOLSA]]=0,0,SUMIFS([2]!COMPROMISOS_2024[[#All],[Total pagado]],[2]!COMPROMISOS_2024[[#All],[Bolsa]],PAA_4[[#This Row],[BOLSA]],[2]!COMPROMISOS_2024[[#All],[rubro]],PAA_4[[#This Row],[RCP-RUBRO]]))</f>
        <v>0</v>
      </c>
      <c r="AK335" s="47" t="e" cm="1">
        <f t="array" aca="1" ref="AK335" ca="1">_xlfn.XLOOKUP(PAA_4[[#This Row],[RCP-RUBRO]],[2]!COMPROMISOS_2024[[#All],[concatenado]],[2]!COMPROMISOS_2024[[#All],[Total Comprometido]],"",0)</f>
        <v>#NAME?</v>
      </c>
      <c r="AL335" s="47">
        <f>IF(PAA_4[[#This Row],[BOLSA]]=0,0,SUMIFS([2]!COMPROMISOS_2024[[#All],[Total Comprometido]],[2]!COMPROMISOS_2024[[#All],[Bolsa]],PAA_4[[#This Row],[BOLSA]],[2]!COMPROMISOS_2024[[#All],[concatenado]],PAA_4[[#This Row],[RCP-RUBRO]]))</f>
        <v>0</v>
      </c>
    </row>
    <row r="336" spans="1:38" s="19" customFormat="1" ht="31.5" customHeight="1">
      <c r="A336" s="47">
        <v>763</v>
      </c>
      <c r="B336" s="47" t="s">
        <v>188</v>
      </c>
      <c r="C336" s="47" t="str">
        <f>VLOOKUP(PAA_4[[#This Row],[PROYECTO (formulado)2]],[2]PROYECTOS!$G$1:$L$32,6,0)</f>
        <v>OFICINA DE SISTEMAS</v>
      </c>
      <c r="D336" s="47" t="str">
        <f>+IF(PAA_4[[#This Row],[UNIDAD DE CONTRATACION (formulado)]]="Subgerencia Administrativa y Financiera","FUNCIONAMIENTO","INVERSIÓN")</f>
        <v>INVERSIÓN</v>
      </c>
      <c r="E336" s="48" t="str">
        <f>VLOOKUP(Q336,[2]PROYECTOS!$G$1:$K$32,5,0)</f>
        <v>MEJORAMIENTO_DEL_SISTEMA_DE_INFORMACIÓN_DE_INDEPORTES_ANTIOQUIA</v>
      </c>
      <c r="F336" s="48">
        <f>VLOOKUP(E336,[2]PROYECTOS!$K$1:$M$32,3,0)</f>
        <v>2020003050272</v>
      </c>
      <c r="G336" s="49" t="s">
        <v>185</v>
      </c>
      <c r="H336" s="49">
        <f>VLOOKUP(Q336,[2]PROYECTOS!$V$1:$W$32,2,0)</f>
        <v>220320</v>
      </c>
      <c r="I336" s="50">
        <v>0</v>
      </c>
      <c r="J336" s="51" t="s">
        <v>1480</v>
      </c>
      <c r="K336" s="47" t="str">
        <f t="shared" ca="1" si="179"/>
        <v>CONTRATADO</v>
      </c>
      <c r="L336" s="47" t="s">
        <v>94</v>
      </c>
      <c r="M336" s="47" t="s">
        <v>89</v>
      </c>
      <c r="N336" s="52" t="s">
        <v>192</v>
      </c>
      <c r="O336" s="51" t="e">
        <f>VLOOKUP(N336,[2]!RUBROS[#All],3,0)</f>
        <v>#REF!</v>
      </c>
      <c r="P336" s="53" t="e">
        <f>VLOOKUP(N336,[2]!RUBROS[#All],2,0)</f>
        <v>#REF!</v>
      </c>
      <c r="Q336" s="47" t="str">
        <f t="shared" si="180"/>
        <v>90</v>
      </c>
      <c r="R336" s="47" t="str">
        <f t="shared" si="181"/>
        <v>4-101124</v>
      </c>
      <c r="S336" s="339"/>
      <c r="T336" s="59"/>
      <c r="U336" s="326" t="e">
        <f ca="1">_xlfn.XLOOKUP(PAA_4[[#This Row],[ITEM]],[2]Contrato!A:A,[2]Contrato!Q:Q,"",0)</f>
        <v>#NAME?</v>
      </c>
      <c r="V336" s="47" t="s">
        <v>95</v>
      </c>
      <c r="W336" s="47"/>
      <c r="X336" s="47"/>
      <c r="Y336" s="55" t="e">
        <f ca="1">_xlfn.XLOOKUP(PAA_4[[#This Row],[ITEM]],[2]Contrato!A:A,[2]Contrato!B:B,"",0)</f>
        <v>#NAME?</v>
      </c>
      <c r="Z336" s="47" t="e">
        <f ca="1">_xlfn.XLOOKUP(PAA_4[[#This Row],[ITEM]],[2]Contrato!A:A,[2]Contrato!G:G,"",0)</f>
        <v>#NAME?</v>
      </c>
      <c r="AA336" s="47" t="e">
        <f ca="1">_xlfn.XLOOKUP(PAA_4[[#This Row],[ITEM]],[2]Contrato!A:A,[2]Contrato!T:T,"",0)</f>
        <v>#NAME?</v>
      </c>
      <c r="AB336" s="55" t="e">
        <f ca="1">+MAX(PAA_4[[#This Row],[Comprometido Contrato]],PAA_4[[#This Row],[Comprometido Bolsa]])</f>
        <v>#NAME?</v>
      </c>
      <c r="AC336" s="55" t="str">
        <f t="shared" ca="1" si="182"/>
        <v/>
      </c>
      <c r="AD336" s="55" t="e">
        <f ca="1">IF(PAA_4[[#This Row],[ESTADO (formulado)]]="NO CONTRATADO",0,MAX(PAA_4[[#This Row],[Pago por Contrato]],PAA_4[[#This Row],[Pago por bolsa]]))</f>
        <v>#NAME?</v>
      </c>
      <c r="AE336" s="55" t="str">
        <f t="shared" ca="1" si="183"/>
        <v/>
      </c>
      <c r="AF336" s="47" t="e">
        <f t="shared" ca="1" si="184"/>
        <v>#NAME?</v>
      </c>
      <c r="AG336" s="47">
        <f t="shared" si="185"/>
        <v>41080301</v>
      </c>
      <c r="AH336" s="54">
        <f>IF(Q336="22",IF(ISNUMBER(SEARCH("econ",PAA_4[[#This Row],[Actividad3]])),"Económico",IF(ISNUMBER(SEARCH("alim",PAA_4[[#This Row],[Actividad3]])),"Alimentación",IF(ISNUMBER(SEARCH("educ",PAA_4[[#This Row],[Actividad3]])),"Educativo","Técnico"))),0)</f>
        <v>0</v>
      </c>
      <c r="AI336" s="47" t="e" cm="1">
        <f t="array" aca="1" ref="AI336" ca="1">_xlfn.XLOOKUP(PAA_4[[#This Row],[RCP-RUBRO]],[2]!COMPROMISOS_2024[[#All],[concatenado]],[2]!COMPROMISOS_2024[[#All],[Total pagado]],"",0)</f>
        <v>#NAME?</v>
      </c>
      <c r="AJ336" s="56">
        <f>IF(PAA_4[[#This Row],[BOLSA]]=0,0,SUMIFS([2]!COMPROMISOS_2024[[#All],[Total pagado]],[2]!COMPROMISOS_2024[[#All],[Bolsa]],PAA_4[[#This Row],[BOLSA]],[2]!COMPROMISOS_2024[[#All],[rubro]],PAA_4[[#This Row],[RCP-RUBRO]]))</f>
        <v>0</v>
      </c>
      <c r="AK336" s="47" t="e" cm="1">
        <f t="array" aca="1" ref="AK336" ca="1">_xlfn.XLOOKUP(PAA_4[[#This Row],[RCP-RUBRO]],[2]!COMPROMISOS_2024[[#All],[concatenado]],[2]!COMPROMISOS_2024[[#All],[Total Comprometido]],"",0)</f>
        <v>#NAME?</v>
      </c>
      <c r="AL336" s="47">
        <f>IF(PAA_4[[#This Row],[BOLSA]]=0,0,SUMIFS([2]!COMPROMISOS_2024[[#All],[Total Comprometido]],[2]!COMPROMISOS_2024[[#All],[Bolsa]],PAA_4[[#This Row],[BOLSA]],[2]!COMPROMISOS_2024[[#All],[concatenado]],PAA_4[[#This Row],[RCP-RUBRO]]))</f>
        <v>0</v>
      </c>
    </row>
    <row r="337" spans="1:38" s="19" customFormat="1" ht="31.5" customHeight="1">
      <c r="A337" s="47">
        <v>764</v>
      </c>
      <c r="B337" s="47" t="s">
        <v>188</v>
      </c>
      <c r="C337" s="47" t="str">
        <f>VLOOKUP(PAA_4[[#This Row],[PROYECTO (formulado)2]],[2]PROYECTOS!$G$1:$L$32,6,0)</f>
        <v>OFICINA DE SISTEMAS</v>
      </c>
      <c r="D337" s="47" t="str">
        <f>+IF(PAA_4[[#This Row],[UNIDAD DE CONTRATACION (formulado)]]="Subgerencia Administrativa y Financiera","FUNCIONAMIENTO","INVERSIÓN")</f>
        <v>INVERSIÓN</v>
      </c>
      <c r="E337" s="48" t="str">
        <f>VLOOKUP(Q337,[2]PROYECTOS!$G$1:$K$32,5,0)</f>
        <v>MEJORAMIENTO_DEL_SISTEMA_DE_INFORMACIÓN_DE_INDEPORTES_ANTIOQUIA</v>
      </c>
      <c r="F337" s="48">
        <f>VLOOKUP(E337,[2]PROYECTOS!$K$1:$M$32,3,0)</f>
        <v>2020003050272</v>
      </c>
      <c r="G337" s="49" t="s">
        <v>185</v>
      </c>
      <c r="H337" s="49">
        <f>VLOOKUP(Q337,[2]PROYECTOS!$V$1:$W$32,2,0)</f>
        <v>220320</v>
      </c>
      <c r="I337" s="50">
        <v>179186828</v>
      </c>
      <c r="J337" s="51" t="s">
        <v>1481</v>
      </c>
      <c r="K337" s="47" t="str">
        <f t="shared" ca="1" si="179"/>
        <v>CONTRATADO</v>
      </c>
      <c r="L337" s="47" t="s">
        <v>94</v>
      </c>
      <c r="M337" s="47" t="s">
        <v>89</v>
      </c>
      <c r="N337" s="52" t="s">
        <v>192</v>
      </c>
      <c r="O337" s="51" t="e">
        <f>VLOOKUP(N337,[2]!RUBROS[#All],3,0)</f>
        <v>#REF!</v>
      </c>
      <c r="P337" s="53" t="e">
        <f>VLOOKUP(N337,[2]!RUBROS[#All],2,0)</f>
        <v>#REF!</v>
      </c>
      <c r="Q337" s="47" t="str">
        <f t="shared" si="180"/>
        <v>90</v>
      </c>
      <c r="R337" s="47" t="str">
        <f t="shared" si="181"/>
        <v>4-101124</v>
      </c>
      <c r="S337" s="339">
        <v>4</v>
      </c>
      <c r="T337" s="59" t="s">
        <v>46</v>
      </c>
      <c r="U337" s="326" t="e">
        <f ca="1">_xlfn.XLOOKUP(PAA_4[[#This Row],[ITEM]],[2]Contrato!A:A,[2]Contrato!Q:Q,"",0)</f>
        <v>#NAME?</v>
      </c>
      <c r="V337" s="47" t="s">
        <v>95</v>
      </c>
      <c r="W337" s="47" t="s">
        <v>194</v>
      </c>
      <c r="X337" s="47" t="s">
        <v>194</v>
      </c>
      <c r="Y337" s="55" t="e">
        <f ca="1">_xlfn.XLOOKUP(PAA_4[[#This Row],[ITEM]],[2]Contrato!A:A,[2]Contrato!B:B,"",0)</f>
        <v>#NAME?</v>
      </c>
      <c r="Z337" s="47" t="e">
        <f ca="1">_xlfn.XLOOKUP(PAA_4[[#This Row],[ITEM]],[2]Contrato!A:A,[2]Contrato!G:G,"",0)</f>
        <v>#NAME?</v>
      </c>
      <c r="AA337" s="47" t="e">
        <f ca="1">_xlfn.XLOOKUP(PAA_4[[#This Row],[ITEM]],[2]Contrato!A:A,[2]Contrato!T:T,"",0)</f>
        <v>#NAME?</v>
      </c>
      <c r="AB337" s="55" t="e">
        <f ca="1">+MAX(PAA_4[[#This Row],[Comprometido Contrato]],PAA_4[[#This Row],[Comprometido Bolsa]])</f>
        <v>#NAME?</v>
      </c>
      <c r="AC337" s="55" t="str">
        <f t="shared" ca="1" si="182"/>
        <v/>
      </c>
      <c r="AD337" s="55" t="e">
        <f ca="1">IF(PAA_4[[#This Row],[ESTADO (formulado)]]="NO CONTRATADO",0,MAX(PAA_4[[#This Row],[Pago por Contrato]],PAA_4[[#This Row],[Pago por bolsa]]))</f>
        <v>#NAME?</v>
      </c>
      <c r="AE337" s="55" t="str">
        <f t="shared" ca="1" si="183"/>
        <v/>
      </c>
      <c r="AF337" s="47" t="e">
        <f t="shared" ca="1" si="184"/>
        <v>#NAME?</v>
      </c>
      <c r="AG337" s="47">
        <f t="shared" si="185"/>
        <v>41080301</v>
      </c>
      <c r="AH337" s="54">
        <f>IF(Q337="22",IF(ISNUMBER(SEARCH("econ",PAA_4[[#This Row],[Actividad3]])),"Económico",IF(ISNUMBER(SEARCH("alim",PAA_4[[#This Row],[Actividad3]])),"Alimentación",IF(ISNUMBER(SEARCH("educ",PAA_4[[#This Row],[Actividad3]])),"Educativo","Técnico"))),0)</f>
        <v>0</v>
      </c>
      <c r="AI337" s="47" t="e" cm="1">
        <f t="array" aca="1" ref="AI337" ca="1">_xlfn.XLOOKUP(PAA_4[[#This Row],[RCP-RUBRO]],[2]!COMPROMISOS_2024[[#All],[concatenado]],[2]!COMPROMISOS_2024[[#All],[Total pagado]],"",0)</f>
        <v>#NAME?</v>
      </c>
      <c r="AJ337" s="56">
        <f>IF(PAA_4[[#This Row],[BOLSA]]=0,0,SUMIFS([2]!COMPROMISOS_2024[[#All],[Total pagado]],[2]!COMPROMISOS_2024[[#All],[Bolsa]],PAA_4[[#This Row],[BOLSA]],[2]!COMPROMISOS_2024[[#All],[rubro]],PAA_4[[#This Row],[RCP-RUBRO]]))</f>
        <v>0</v>
      </c>
      <c r="AK337" s="47" t="e" cm="1">
        <f t="array" aca="1" ref="AK337" ca="1">_xlfn.XLOOKUP(PAA_4[[#This Row],[RCP-RUBRO]],[2]!COMPROMISOS_2024[[#All],[concatenado]],[2]!COMPROMISOS_2024[[#All],[Total Comprometido]],"",0)</f>
        <v>#NAME?</v>
      </c>
      <c r="AL337" s="47">
        <f>IF(PAA_4[[#This Row],[BOLSA]]=0,0,SUMIFS([2]!COMPROMISOS_2024[[#All],[Total Comprometido]],[2]!COMPROMISOS_2024[[#All],[Bolsa]],PAA_4[[#This Row],[BOLSA]],[2]!COMPROMISOS_2024[[#All],[concatenado]],PAA_4[[#This Row],[RCP-RUBRO]]))</f>
        <v>0</v>
      </c>
    </row>
    <row r="338" spans="1:38" s="19" customFormat="1" ht="31.5" customHeight="1">
      <c r="A338" s="47" t="s">
        <v>82</v>
      </c>
      <c r="B338" s="47" t="s">
        <v>42</v>
      </c>
      <c r="C338" s="47" t="str">
        <f>VLOOKUP(PAA_4[[#This Row],[PROYECTO (formulado)2]],[2]PROYECTOS!$G$1:$L$32,6,0)</f>
        <v>OFICINA DE SISTEMAS</v>
      </c>
      <c r="D338" s="47" t="str">
        <f>+IF(PAA_4[[#This Row],[UNIDAD DE CONTRATACION (formulado)]]="Subgerencia Administrativa y Financiera","FUNCIONAMIENTO","INVERSIÓN")</f>
        <v>INVERSIÓN</v>
      </c>
      <c r="E338" s="48" t="str">
        <f>VLOOKUP(Q338,[2]PROYECTOS!$G$1:$K$32,5,0)</f>
        <v>MEJORAMIENTO_DEL_SISTEMA_DE_INFORMACIÓN_DE_INDEPORTES_ANTIOQUIA</v>
      </c>
      <c r="F338" s="48">
        <f>VLOOKUP(E338,[2]PROYECTOS!$K$1:$M$32,3,0)</f>
        <v>2020003050272</v>
      </c>
      <c r="G338" s="49" t="s">
        <v>182</v>
      </c>
      <c r="H338" s="49">
        <f>VLOOKUP(Q338,[2]PROYECTOS!$V$1:$W$32,2,0)</f>
        <v>220320</v>
      </c>
      <c r="I338" s="50">
        <v>1037809</v>
      </c>
      <c r="J338" s="51" t="s">
        <v>1467</v>
      </c>
      <c r="K338" s="47" t="str">
        <f ca="1">IF(ISNONTEXT(Y338)=TRUE,"CONTRATADO","NO CONTRATADO")</f>
        <v>CONTRATADO</v>
      </c>
      <c r="L338" s="47" t="s">
        <v>42</v>
      </c>
      <c r="M338" s="47" t="s">
        <v>42</v>
      </c>
      <c r="N338" s="52" t="s">
        <v>192</v>
      </c>
      <c r="O338" s="51" t="e">
        <f>VLOOKUP(N338,[2]!RUBROS[#All],3,0)</f>
        <v>#REF!</v>
      </c>
      <c r="P338" s="53" t="e">
        <f>VLOOKUP(N338,[2]!RUBROS[#All],2,0)</f>
        <v>#REF!</v>
      </c>
      <c r="Q338" s="47" t="str">
        <f>+MID(N338,11,2)</f>
        <v>90</v>
      </c>
      <c r="R338" s="47" t="str">
        <f>+MID(N338,14,8)</f>
        <v>4-101124</v>
      </c>
      <c r="S338" s="339" t="s">
        <v>42</v>
      </c>
      <c r="T338" s="329" t="s">
        <v>42</v>
      </c>
      <c r="U338" s="326" t="e">
        <f ca="1">_xlfn.XLOOKUP(PAA_4[[#This Row],[ITEM]],[2]Contrato!A:A,[2]Contrato!Q:Q,"",0)</f>
        <v>#NAME?</v>
      </c>
      <c r="V338" s="47" t="s">
        <v>95</v>
      </c>
      <c r="W338" s="47" t="s">
        <v>42</v>
      </c>
      <c r="X338" s="47" t="s">
        <v>42</v>
      </c>
      <c r="Y338" s="55" t="e">
        <f ca="1">_xlfn.XLOOKUP(PAA_4[[#This Row],[ITEM]],[2]Contrato!A:A,[2]Contrato!B:B,"",0)</f>
        <v>#NAME?</v>
      </c>
      <c r="Z338" s="47" t="e">
        <f ca="1">_xlfn.XLOOKUP(PAA_4[[#This Row],[ITEM]],[2]Contrato!A:A,[2]Contrato!G:G,"",0)</f>
        <v>#NAME?</v>
      </c>
      <c r="AA338" s="47" t="e">
        <f ca="1">_xlfn.XLOOKUP(PAA_4[[#This Row],[ITEM]],[2]Contrato!A:A,[2]Contrato!T:T,"",0)</f>
        <v>#NAME?</v>
      </c>
      <c r="AB338" s="55" t="e">
        <f ca="1">+MAX(PAA_4[[#This Row],[Comprometido Contrato]],PAA_4[[#This Row],[Comprometido Bolsa]])</f>
        <v>#NAME?</v>
      </c>
      <c r="AC338" s="55" t="str">
        <f ca="1">IFERROR(I338-AB338,"")</f>
        <v/>
      </c>
      <c r="AD338" s="55" t="e">
        <f ca="1">IF(PAA_4[[#This Row],[ESTADO (formulado)]]="NO CONTRATADO",0,MAX(PAA_4[[#This Row],[Pago por Contrato]],PAA_4[[#This Row],[Pago por bolsa]]))</f>
        <v>#NAME?</v>
      </c>
      <c r="AE338" s="55" t="str">
        <f ca="1">+IFERROR(AB338-AD338,"")</f>
        <v/>
      </c>
      <c r="AF338" s="47" t="e">
        <f ca="1">+CONCATENATE(AA338,N338)</f>
        <v>#NAME?</v>
      </c>
      <c r="AG338" s="47">
        <f>IFERROR(_xlfn.NUMBERVALUE(MID(G338,1,8)),"")</f>
        <v>41080301</v>
      </c>
      <c r="AH338" s="54">
        <f>IF(Q338="22",IF(ISNUMBER(SEARCH("econ",PAA_4[[#This Row],[Actividad3]])),"Económico",IF(ISNUMBER(SEARCH("alim",PAA_4[[#This Row],[Actividad3]])),"Alimentación",IF(ISNUMBER(SEARCH("educ",PAA_4[[#This Row],[Actividad3]])),"Educativo","Técnico"))),0)</f>
        <v>0</v>
      </c>
      <c r="AI338" s="47" t="e" cm="1">
        <f t="array" aca="1" ref="AI338" ca="1">_xlfn.XLOOKUP(PAA_4[[#This Row],[RCP-RUBRO]],[2]!COMPROMISOS_2024[[#All],[concatenado]],[2]!COMPROMISOS_2024[[#All],[Total pagado]],"",0)</f>
        <v>#NAME?</v>
      </c>
      <c r="AJ338" s="56">
        <f>IF(PAA_4[[#This Row],[BOLSA]]=0,0,SUMIFS([2]!COMPROMISOS_2024[[#All],[Total pagado]],[2]!COMPROMISOS_2024[[#All],[Bolsa]],PAA_4[[#This Row],[BOLSA]],[2]!COMPROMISOS_2024[[#All],[rubro]],PAA_4[[#This Row],[RCP-RUBRO]]))</f>
        <v>0</v>
      </c>
      <c r="AK338" s="47" t="e" cm="1">
        <f t="array" aca="1" ref="AK338" ca="1">_xlfn.XLOOKUP(PAA_4[[#This Row],[RCP-RUBRO]],[2]!COMPROMISOS_2024[[#All],[concatenado]],[2]!COMPROMISOS_2024[[#All],[Total Comprometido]],"",0)</f>
        <v>#NAME?</v>
      </c>
      <c r="AL338" s="47">
        <f>IF(PAA_4[[#This Row],[BOLSA]]=0,0,SUMIFS([2]!COMPROMISOS_2024[[#All],[Total Comprometido]],[2]!COMPROMISOS_2024[[#All],[Bolsa]],PAA_4[[#This Row],[BOLSA]],[2]!COMPROMISOS_2024[[#All],[concatenado]],PAA_4[[#This Row],[RCP-RUBRO]]))</f>
        <v>0</v>
      </c>
    </row>
    <row r="339" spans="1:38" s="19" customFormat="1" ht="31.5" customHeight="1">
      <c r="A339" s="47">
        <v>765</v>
      </c>
      <c r="B339" s="47" t="s">
        <v>186</v>
      </c>
      <c r="C339" s="47" t="str">
        <f>VLOOKUP(PAA_4[[#This Row],[PROYECTO (formulado)2]],[2]PROYECTOS!$G$1:$L$32,6,0)</f>
        <v>OFICINA DE SISTEMAS</v>
      </c>
      <c r="D339" s="47" t="str">
        <f>+IF(PAA_4[[#This Row],[UNIDAD DE CONTRATACION (formulado)]]="Subgerencia Administrativa y Financiera","FUNCIONAMIENTO","INVERSIÓN")</f>
        <v>INVERSIÓN</v>
      </c>
      <c r="E339" s="48" t="str">
        <f>VLOOKUP(Q339,[2]PROYECTOS!$G$1:$K$32,5,0)</f>
        <v>MEJORAMIENTO_DEL_SISTEMA_DE_INFORMACIÓN_DE_INDEPORTES_ANTIOQUIA</v>
      </c>
      <c r="F339" s="48">
        <f>VLOOKUP(E339,[2]PROYECTOS!$K$1:$M$32,3,0)</f>
        <v>2020003050272</v>
      </c>
      <c r="G339" s="49" t="s">
        <v>182</v>
      </c>
      <c r="H339" s="49">
        <f>VLOOKUP(Q339,[2]PROYECTOS!$V$1:$W$32,2,0)</f>
        <v>220320</v>
      </c>
      <c r="I339" s="50">
        <f>84000000-1037809</f>
        <v>82962191</v>
      </c>
      <c r="J339" s="51" t="s">
        <v>1475</v>
      </c>
      <c r="K339" s="47" t="str">
        <f t="shared" ref="K339" ca="1" si="186">IF(ISNONTEXT(Y339)=TRUE,"CONTRATADO","NO CONTRATADO")</f>
        <v>CONTRATADO</v>
      </c>
      <c r="L339" s="47" t="s">
        <v>94</v>
      </c>
      <c r="M339" s="47" t="s">
        <v>89</v>
      </c>
      <c r="N339" s="52" t="s">
        <v>192</v>
      </c>
      <c r="O339" s="51" t="e">
        <f>VLOOKUP(N339,[2]!RUBROS[#All],3,0)</f>
        <v>#REF!</v>
      </c>
      <c r="P339" s="53" t="e">
        <f>VLOOKUP(N339,[2]!RUBROS[#All],2,0)</f>
        <v>#REF!</v>
      </c>
      <c r="Q339" s="47" t="str">
        <f t="shared" ref="Q339" si="187">+MID(N339,11,2)</f>
        <v>90</v>
      </c>
      <c r="R339" s="47" t="str">
        <f t="shared" ref="R339" si="188">+MID(N339,14,8)</f>
        <v>4-101124</v>
      </c>
      <c r="S339" s="339">
        <v>16</v>
      </c>
      <c r="T339" s="59" t="s">
        <v>46</v>
      </c>
      <c r="U339" s="326" t="e">
        <f ca="1">_xlfn.XLOOKUP(PAA_4[[#This Row],[ITEM]],[2]Contrato!A:A,[2]Contrato!Q:Q,"",0)</f>
        <v>#NAME?</v>
      </c>
      <c r="V339" s="47" t="s">
        <v>95</v>
      </c>
      <c r="W339" s="47" t="s">
        <v>194</v>
      </c>
      <c r="X339" s="47" t="s">
        <v>194</v>
      </c>
      <c r="Y339" s="55" t="e">
        <f ca="1">_xlfn.XLOOKUP(PAA_4[[#This Row],[ITEM]],[2]Contrato!A:A,[2]Contrato!B:B,"",0)</f>
        <v>#NAME?</v>
      </c>
      <c r="Z339" s="47" t="e">
        <f ca="1">_xlfn.XLOOKUP(PAA_4[[#This Row],[ITEM]],[2]Contrato!A:A,[2]Contrato!G:G,"",0)</f>
        <v>#NAME?</v>
      </c>
      <c r="AA339" s="47" t="e">
        <f ca="1">_xlfn.XLOOKUP(PAA_4[[#This Row],[ITEM]],[2]Contrato!A:A,[2]Contrato!T:T,"",0)</f>
        <v>#NAME?</v>
      </c>
      <c r="AB339" s="55" t="e">
        <f ca="1">+MAX(PAA_4[[#This Row],[Comprometido Contrato]],PAA_4[[#This Row],[Comprometido Bolsa]])</f>
        <v>#NAME?</v>
      </c>
      <c r="AC339" s="55" t="str">
        <f t="shared" ref="AC339" ca="1" si="189">IFERROR(I339-AB339,"")</f>
        <v/>
      </c>
      <c r="AD339" s="55" t="e">
        <f ca="1">IF(PAA_4[[#This Row],[ESTADO (formulado)]]="NO CONTRATADO",0,MAX(PAA_4[[#This Row],[Pago por Contrato]],PAA_4[[#This Row],[Pago por bolsa]]))</f>
        <v>#NAME?</v>
      </c>
      <c r="AE339" s="55" t="str">
        <f t="shared" ref="AE339" ca="1" si="190">+IFERROR(AB339-AD339,"")</f>
        <v/>
      </c>
      <c r="AF339" s="47" t="e">
        <f t="shared" ref="AF339" ca="1" si="191">+CONCATENATE(AA339,N339)</f>
        <v>#NAME?</v>
      </c>
      <c r="AG339" s="47">
        <f t="shared" ref="AG339" si="192">IFERROR(_xlfn.NUMBERVALUE(MID(G339,1,8)),"")</f>
        <v>41080301</v>
      </c>
      <c r="AH339" s="54">
        <f>IF(Q339="22",IF(ISNUMBER(SEARCH("econ",PAA_4[[#This Row],[Actividad3]])),"Económico",IF(ISNUMBER(SEARCH("alim",PAA_4[[#This Row],[Actividad3]])),"Alimentación",IF(ISNUMBER(SEARCH("educ",PAA_4[[#This Row],[Actividad3]])),"Educativo","Técnico"))),0)</f>
        <v>0</v>
      </c>
      <c r="AI339" s="47" t="e" cm="1">
        <f t="array" aca="1" ref="AI339" ca="1">_xlfn.XLOOKUP(PAA_4[[#This Row],[RCP-RUBRO]],[2]!COMPROMISOS_2024[[#All],[concatenado]],[2]!COMPROMISOS_2024[[#All],[Total pagado]],"",0)</f>
        <v>#NAME?</v>
      </c>
      <c r="AJ339" s="56">
        <f>IF(PAA_4[[#This Row],[BOLSA]]=0,0,SUMIFS([2]!COMPROMISOS_2024[[#All],[Total pagado]],[2]!COMPROMISOS_2024[[#All],[Bolsa]],PAA_4[[#This Row],[BOLSA]],[2]!COMPROMISOS_2024[[#All],[rubro]],PAA_4[[#This Row],[RCP-RUBRO]]))</f>
        <v>0</v>
      </c>
      <c r="AK339" s="47" t="e" cm="1">
        <f t="array" aca="1" ref="AK339" ca="1">_xlfn.XLOOKUP(PAA_4[[#This Row],[RCP-RUBRO]],[2]!COMPROMISOS_2024[[#All],[concatenado]],[2]!COMPROMISOS_2024[[#All],[Total Comprometido]],"",0)</f>
        <v>#NAME?</v>
      </c>
      <c r="AL339" s="47">
        <f>IF(PAA_4[[#This Row],[BOLSA]]=0,0,SUMIFS([2]!COMPROMISOS_2024[[#All],[Total Comprometido]],[2]!COMPROMISOS_2024[[#All],[Bolsa]],PAA_4[[#This Row],[BOLSA]],[2]!COMPROMISOS_2024[[#All],[concatenado]],PAA_4[[#This Row],[RCP-RUBRO]]))</f>
        <v>0</v>
      </c>
    </row>
    <row r="340" spans="1:38" s="19" customFormat="1" ht="31.5" customHeight="1">
      <c r="A340" s="47" t="s">
        <v>82</v>
      </c>
      <c r="B340" s="47"/>
      <c r="C340" s="47" t="str">
        <f>VLOOKUP(PAA_4[[#This Row],[PROYECTO (formulado)2]],[2]PROYECTOS!$G$1:$L$32,6,0)</f>
        <v>OFICINA DE SISTEMAS</v>
      </c>
      <c r="D340" s="47" t="str">
        <f>+IF(PAA_4[[#This Row],[UNIDAD DE CONTRATACION (formulado)]]="Subgerencia Administrativa y Financiera","FUNCIONAMIENTO","INVERSIÓN")</f>
        <v>INVERSIÓN</v>
      </c>
      <c r="E340" s="48" t="str">
        <f>VLOOKUP(Q340,[2]PROYECTOS!$G$1:$K$32,5,0)</f>
        <v>MEJORAMIENTO_DEL_SISTEMA_DE_INFORMACIÓN_DE_INDEPORTES_ANTIOQUIA</v>
      </c>
      <c r="F340" s="48">
        <f>VLOOKUP(E340,[2]PROYECTOS!$K$1:$M$32,3,0)</f>
        <v>2020003050272</v>
      </c>
      <c r="G340" s="49" t="s">
        <v>185</v>
      </c>
      <c r="H340" s="49">
        <f>VLOOKUP(Q340,[2]PROYECTOS!$V$1:$W$32,2,0)</f>
        <v>220320</v>
      </c>
      <c r="I340" s="50">
        <v>1789430</v>
      </c>
      <c r="J340" s="51" t="s">
        <v>1467</v>
      </c>
      <c r="K340" s="47" t="str">
        <f ca="1">IF(ISNONTEXT(Y340)=TRUE,"CONTRATADO","NO CONTRATADO")</f>
        <v>CONTRATADO</v>
      </c>
      <c r="L340" s="47" t="s">
        <v>42</v>
      </c>
      <c r="M340" s="47" t="s">
        <v>42</v>
      </c>
      <c r="N340" s="52" t="s">
        <v>192</v>
      </c>
      <c r="O340" s="51" t="e">
        <f>VLOOKUP(N340,[2]!RUBROS[#All],3,0)</f>
        <v>#REF!</v>
      </c>
      <c r="P340" s="53" t="e">
        <f>VLOOKUP(N340,[2]!RUBROS[#All],2,0)</f>
        <v>#REF!</v>
      </c>
      <c r="Q340" s="47" t="str">
        <f>+MID(N340,11,2)</f>
        <v>90</v>
      </c>
      <c r="R340" s="47" t="str">
        <f>+MID(N340,14,8)</f>
        <v>4-101124</v>
      </c>
      <c r="S340" s="339" t="s">
        <v>42</v>
      </c>
      <c r="T340" s="329" t="s">
        <v>42</v>
      </c>
      <c r="U340" s="326" t="e">
        <f ca="1">_xlfn.XLOOKUP(PAA_4[[#This Row],[ITEM]],[2]Contrato!A:A,[2]Contrato!Q:Q,"",0)</f>
        <v>#NAME?</v>
      </c>
      <c r="V340" s="47" t="s">
        <v>95</v>
      </c>
      <c r="W340" s="47" t="s">
        <v>42</v>
      </c>
      <c r="X340" s="47" t="s">
        <v>42</v>
      </c>
      <c r="Y340" s="55" t="e">
        <f ca="1">_xlfn.XLOOKUP(PAA_4[[#This Row],[ITEM]],[2]Contrato!A:A,[2]Contrato!B:B,"",0)</f>
        <v>#NAME?</v>
      </c>
      <c r="Z340" s="47" t="e">
        <f ca="1">_xlfn.XLOOKUP(PAA_4[[#This Row],[ITEM]],[2]Contrato!A:A,[2]Contrato!G:G,"",0)</f>
        <v>#NAME?</v>
      </c>
      <c r="AA340" s="47" t="e">
        <f ca="1">_xlfn.XLOOKUP(PAA_4[[#This Row],[ITEM]],[2]Contrato!A:A,[2]Contrato!T:T,"",0)</f>
        <v>#NAME?</v>
      </c>
      <c r="AB340" s="55" t="e">
        <f ca="1">+MAX(PAA_4[[#This Row],[Comprometido Contrato]],PAA_4[[#This Row],[Comprometido Bolsa]])</f>
        <v>#NAME?</v>
      </c>
      <c r="AC340" s="55" t="str">
        <f ca="1">IFERROR(I340-AB340,"")</f>
        <v/>
      </c>
      <c r="AD340" s="55" t="e">
        <f ca="1">IF(PAA_4[[#This Row],[ESTADO (formulado)]]="NO CONTRATADO",0,MAX(PAA_4[[#This Row],[Pago por Contrato]],PAA_4[[#This Row],[Pago por bolsa]]))</f>
        <v>#NAME?</v>
      </c>
      <c r="AE340" s="55" t="str">
        <f ca="1">+IFERROR(AB340-AD340,"")</f>
        <v/>
      </c>
      <c r="AF340" s="47" t="e">
        <f ca="1">+CONCATENATE(AA340,N340)</f>
        <v>#NAME?</v>
      </c>
      <c r="AG340" s="47">
        <f>IFERROR(_xlfn.NUMBERVALUE(MID(G340,1,8)),"")</f>
        <v>41080301</v>
      </c>
      <c r="AH340" s="54">
        <f>IF(Q340="22",IF(ISNUMBER(SEARCH("econ",PAA_4[[#This Row],[Actividad3]])),"Económico",IF(ISNUMBER(SEARCH("alim",PAA_4[[#This Row],[Actividad3]])),"Alimentación",IF(ISNUMBER(SEARCH("educ",PAA_4[[#This Row],[Actividad3]])),"Educativo","Técnico"))),0)</f>
        <v>0</v>
      </c>
      <c r="AI340" s="47" t="e" cm="1">
        <f t="array" aca="1" ref="AI340" ca="1">_xlfn.XLOOKUP(PAA_4[[#This Row],[RCP-RUBRO]],[2]!COMPROMISOS_2024[[#All],[concatenado]],[2]!COMPROMISOS_2024[[#All],[Total pagado]],"",0)</f>
        <v>#NAME?</v>
      </c>
      <c r="AJ340" s="56">
        <f>IF(PAA_4[[#This Row],[BOLSA]]=0,0,SUMIFS([2]!COMPROMISOS_2024[[#All],[Total pagado]],[2]!COMPROMISOS_2024[[#All],[Bolsa]],PAA_4[[#This Row],[BOLSA]],[2]!COMPROMISOS_2024[[#All],[rubro]],PAA_4[[#This Row],[RCP-RUBRO]]))</f>
        <v>0</v>
      </c>
      <c r="AK340" s="47" t="e" cm="1">
        <f t="array" aca="1" ref="AK340" ca="1">_xlfn.XLOOKUP(PAA_4[[#This Row],[RCP-RUBRO]],[2]!COMPROMISOS_2024[[#All],[concatenado]],[2]!COMPROMISOS_2024[[#All],[Total Comprometido]],"",0)</f>
        <v>#NAME?</v>
      </c>
      <c r="AL340" s="47">
        <f>IF(PAA_4[[#This Row],[BOLSA]]=0,0,SUMIFS([2]!COMPROMISOS_2024[[#All],[Total Comprometido]],[2]!COMPROMISOS_2024[[#All],[Bolsa]],PAA_4[[#This Row],[BOLSA]],[2]!COMPROMISOS_2024[[#All],[concatenado]],PAA_4[[#This Row],[RCP-RUBRO]]))</f>
        <v>0</v>
      </c>
    </row>
    <row r="341" spans="1:38" s="19" customFormat="1" ht="31.5" customHeight="1">
      <c r="A341" s="47">
        <v>766</v>
      </c>
      <c r="B341" s="47" t="s">
        <v>195</v>
      </c>
      <c r="C341" s="47" t="str">
        <f>VLOOKUP(PAA_4[[#This Row],[PROYECTO (formulado)2]],[2]PROYECTOS!$G$1:$L$32,6,0)</f>
        <v>OFICINA DE SISTEMAS</v>
      </c>
      <c r="D341" s="47" t="str">
        <f>+IF(PAA_4[[#This Row],[UNIDAD DE CONTRATACION (formulado)]]="Subgerencia Administrativa y Financiera","FUNCIONAMIENTO","INVERSIÓN")</f>
        <v>INVERSIÓN</v>
      </c>
      <c r="E341" s="48" t="str">
        <f>VLOOKUP(Q341,[2]PROYECTOS!$G$1:$K$32,5,0)</f>
        <v>MEJORAMIENTO_DEL_SISTEMA_DE_INFORMACIÓN_DE_INDEPORTES_ANTIOQUIA</v>
      </c>
      <c r="F341" s="48">
        <f>VLOOKUP(E341,[2]PROYECTOS!$K$1:$M$32,3,0)</f>
        <v>2020003050272</v>
      </c>
      <c r="G341" s="49" t="s">
        <v>185</v>
      </c>
      <c r="H341" s="49">
        <f>VLOOKUP(Q341,[2]PROYECTOS!$V$1:$W$32,2,0)</f>
        <v>220320</v>
      </c>
      <c r="I341" s="50">
        <f>20000000-1789430</f>
        <v>18210570</v>
      </c>
      <c r="J341" s="51" t="s">
        <v>1482</v>
      </c>
      <c r="K341" s="47" t="str">
        <f t="shared" ref="K341" ca="1" si="193">IF(ISNONTEXT(Y341)=TRUE,"CONTRATADO","NO CONTRATADO")</f>
        <v>CONTRATADO</v>
      </c>
      <c r="L341" s="47" t="s">
        <v>151</v>
      </c>
      <c r="M341" s="47" t="s">
        <v>89</v>
      </c>
      <c r="N341" s="52" t="s">
        <v>192</v>
      </c>
      <c r="O341" s="51" t="e">
        <f>VLOOKUP(N341,[2]!RUBROS[#All],3,0)</f>
        <v>#REF!</v>
      </c>
      <c r="P341" s="53" t="e">
        <f>VLOOKUP(N341,[2]!RUBROS[#All],2,0)</f>
        <v>#REF!</v>
      </c>
      <c r="Q341" s="47" t="str">
        <f t="shared" ref="Q341" si="194">+MID(N341,11,2)</f>
        <v>90</v>
      </c>
      <c r="R341" s="47" t="str">
        <f t="shared" ref="R341" si="195">+MID(N341,14,8)</f>
        <v>4-101124</v>
      </c>
      <c r="S341" s="339">
        <v>6</v>
      </c>
      <c r="T341" s="59" t="s">
        <v>46</v>
      </c>
      <c r="U341" s="326" t="e">
        <f ca="1">_xlfn.XLOOKUP(PAA_4[[#This Row],[ITEM]],[2]Contrato!A:A,[2]Contrato!Q:Q,"",0)</f>
        <v>#NAME?</v>
      </c>
      <c r="V341" s="47" t="s">
        <v>95</v>
      </c>
      <c r="W341" s="47" t="s">
        <v>154</v>
      </c>
      <c r="X341" s="47" t="s">
        <v>154</v>
      </c>
      <c r="Y341" s="55" t="e">
        <f ca="1">_xlfn.XLOOKUP(PAA_4[[#This Row],[ITEM]],[2]Contrato!A:A,[2]Contrato!B:B,"",0)</f>
        <v>#NAME?</v>
      </c>
      <c r="Z341" s="47" t="e">
        <f ca="1">_xlfn.XLOOKUP(PAA_4[[#This Row],[ITEM]],[2]Contrato!A:A,[2]Contrato!G:G,"",0)</f>
        <v>#NAME?</v>
      </c>
      <c r="AA341" s="47" t="e">
        <f ca="1">_xlfn.XLOOKUP(PAA_4[[#This Row],[ITEM]],[2]Contrato!A:A,[2]Contrato!T:T,"",0)</f>
        <v>#NAME?</v>
      </c>
      <c r="AB341" s="55" t="e">
        <f ca="1">+MAX(PAA_4[[#This Row],[Comprometido Contrato]],PAA_4[[#This Row],[Comprometido Bolsa]])</f>
        <v>#NAME?</v>
      </c>
      <c r="AC341" s="55" t="str">
        <f t="shared" ref="AC341" ca="1" si="196">IFERROR(I341-AB341,"")</f>
        <v/>
      </c>
      <c r="AD341" s="55" t="e">
        <f ca="1">IF(PAA_4[[#This Row],[ESTADO (formulado)]]="NO CONTRATADO",0,MAX(PAA_4[[#This Row],[Pago por Contrato]],PAA_4[[#This Row],[Pago por bolsa]]))</f>
        <v>#NAME?</v>
      </c>
      <c r="AE341" s="55" t="str">
        <f t="shared" ref="AE341" ca="1" si="197">+IFERROR(AB341-AD341,"")</f>
        <v/>
      </c>
      <c r="AF341" s="47" t="e">
        <f t="shared" ref="AF341" ca="1" si="198">+CONCATENATE(AA341,N341)</f>
        <v>#NAME?</v>
      </c>
      <c r="AG341" s="47">
        <f t="shared" ref="AG341" si="199">IFERROR(_xlfn.NUMBERVALUE(MID(G341,1,8)),"")</f>
        <v>41080301</v>
      </c>
      <c r="AH341" s="54">
        <f>IF(Q341="22",IF(ISNUMBER(SEARCH("econ",PAA_4[[#This Row],[Actividad3]])),"Económico",IF(ISNUMBER(SEARCH("alim",PAA_4[[#This Row],[Actividad3]])),"Alimentación",IF(ISNUMBER(SEARCH("educ",PAA_4[[#This Row],[Actividad3]])),"Educativo","Técnico"))),0)</f>
        <v>0</v>
      </c>
      <c r="AI341" s="47" t="e" cm="1">
        <f t="array" aca="1" ref="AI341" ca="1">_xlfn.XLOOKUP(PAA_4[[#This Row],[RCP-RUBRO]],[2]!COMPROMISOS_2024[[#All],[concatenado]],[2]!COMPROMISOS_2024[[#All],[Total pagado]],"",0)</f>
        <v>#NAME?</v>
      </c>
      <c r="AJ341" s="56">
        <f>IF(PAA_4[[#This Row],[BOLSA]]=0,0,SUMIFS([2]!COMPROMISOS_2024[[#All],[Total pagado]],[2]!COMPROMISOS_2024[[#All],[Bolsa]],PAA_4[[#This Row],[BOLSA]],[2]!COMPROMISOS_2024[[#All],[rubro]],PAA_4[[#This Row],[RCP-RUBRO]]))</f>
        <v>0</v>
      </c>
      <c r="AK341" s="47" t="e" cm="1">
        <f t="array" aca="1" ref="AK341" ca="1">_xlfn.XLOOKUP(PAA_4[[#This Row],[RCP-RUBRO]],[2]!COMPROMISOS_2024[[#All],[concatenado]],[2]!COMPROMISOS_2024[[#All],[Total Comprometido]],"",0)</f>
        <v>#NAME?</v>
      </c>
      <c r="AL341" s="47">
        <f>IF(PAA_4[[#This Row],[BOLSA]]=0,0,SUMIFS([2]!COMPROMISOS_2024[[#All],[Total Comprometido]],[2]!COMPROMISOS_2024[[#All],[Bolsa]],PAA_4[[#This Row],[BOLSA]],[2]!COMPROMISOS_2024[[#All],[concatenado]],PAA_4[[#This Row],[RCP-RUBRO]]))</f>
        <v>0</v>
      </c>
    </row>
    <row r="342" spans="1:38" s="19" customFormat="1" ht="31.5" customHeight="1">
      <c r="A342" s="47" t="s">
        <v>82</v>
      </c>
      <c r="B342" s="47" t="s">
        <v>42</v>
      </c>
      <c r="C342" s="47" t="str">
        <f>VLOOKUP(PAA_4[[#This Row],[PROYECTO (formulado)2]],[2]PROYECTOS!$G$1:$L$32,6,0)</f>
        <v>OFICINA DE SISTEMAS</v>
      </c>
      <c r="D342" s="47" t="str">
        <f>+IF(PAA_4[[#This Row],[UNIDAD DE CONTRATACION (formulado)]]="Subgerencia Administrativa y Financiera","FUNCIONAMIENTO","INVERSIÓN")</f>
        <v>INVERSIÓN</v>
      </c>
      <c r="E342" s="48" t="str">
        <f>VLOOKUP(Q342,[2]PROYECTOS!$G$1:$K$32,5,0)</f>
        <v>MEJORAMIENTO_DEL_SISTEMA_DE_INFORMACIÓN_DE_INDEPORTES_ANTIOQUIA</v>
      </c>
      <c r="F342" s="48">
        <f>VLOOKUP(E342,[2]PROYECTOS!$K$1:$M$32,3,0)</f>
        <v>2020003050272</v>
      </c>
      <c r="G342" s="49" t="s">
        <v>183</v>
      </c>
      <c r="H342" s="49">
        <f>VLOOKUP(Q342,[2]PROYECTOS!$V$1:$W$32,2,0)</f>
        <v>220320</v>
      </c>
      <c r="I342" s="50">
        <v>100000</v>
      </c>
      <c r="J342" s="51" t="s">
        <v>1467</v>
      </c>
      <c r="K342" s="47" t="str">
        <f ca="1">IF(ISNONTEXT(Y342)=TRUE,"CONTRATADO","NO CONTRATADO")</f>
        <v>CONTRATADO</v>
      </c>
      <c r="L342" s="47" t="s">
        <v>42</v>
      </c>
      <c r="M342" s="47" t="s">
        <v>42</v>
      </c>
      <c r="N342" s="52" t="s">
        <v>192</v>
      </c>
      <c r="O342" s="51" t="e">
        <f>VLOOKUP(N342,[2]!RUBROS[#All],3,0)</f>
        <v>#REF!</v>
      </c>
      <c r="P342" s="53" t="e">
        <f>VLOOKUP(N342,[2]!RUBROS[#All],2,0)</f>
        <v>#REF!</v>
      </c>
      <c r="Q342" s="47" t="str">
        <f>+MID(N342,11,2)</f>
        <v>90</v>
      </c>
      <c r="R342" s="47" t="str">
        <f>+MID(N342,14,8)</f>
        <v>4-101124</v>
      </c>
      <c r="S342" s="339" t="s">
        <v>42</v>
      </c>
      <c r="T342" s="329" t="s">
        <v>42</v>
      </c>
      <c r="U342" s="326" t="e">
        <f ca="1">_xlfn.XLOOKUP(PAA_4[[#This Row],[ITEM]],[2]Contrato!A:A,[2]Contrato!Q:Q,"",0)</f>
        <v>#NAME?</v>
      </c>
      <c r="V342" s="47" t="s">
        <v>95</v>
      </c>
      <c r="W342" s="47" t="s">
        <v>42</v>
      </c>
      <c r="X342" s="47" t="s">
        <v>42</v>
      </c>
      <c r="Y342" s="55" t="e">
        <f ca="1">_xlfn.XLOOKUP(PAA_4[[#This Row],[ITEM]],[2]Contrato!A:A,[2]Contrato!B:B,"",0)</f>
        <v>#NAME?</v>
      </c>
      <c r="Z342" s="47" t="e">
        <f ca="1">_xlfn.XLOOKUP(PAA_4[[#This Row],[ITEM]],[2]Contrato!A:A,[2]Contrato!G:G,"",0)</f>
        <v>#NAME?</v>
      </c>
      <c r="AA342" s="47" t="e">
        <f ca="1">_xlfn.XLOOKUP(PAA_4[[#This Row],[ITEM]],[2]Contrato!A:A,[2]Contrato!T:T,"",0)</f>
        <v>#NAME?</v>
      </c>
      <c r="AB342" s="55" t="e">
        <f ca="1">+MAX(PAA_4[[#This Row],[Comprometido Contrato]],PAA_4[[#This Row],[Comprometido Bolsa]])</f>
        <v>#NAME?</v>
      </c>
      <c r="AC342" s="55" t="str">
        <f ca="1">IFERROR(I342-AB342,"")</f>
        <v/>
      </c>
      <c r="AD342" s="55" t="e">
        <f ca="1">IF(PAA_4[[#This Row],[ESTADO (formulado)]]="NO CONTRATADO",0,MAX(PAA_4[[#This Row],[Pago por Contrato]],PAA_4[[#This Row],[Pago por bolsa]]))</f>
        <v>#NAME?</v>
      </c>
      <c r="AE342" s="55" t="str">
        <f ca="1">+IFERROR(AB342-AD342,"")</f>
        <v/>
      </c>
      <c r="AF342" s="47" t="e">
        <f ca="1">+CONCATENATE(AA342,N342)</f>
        <v>#NAME?</v>
      </c>
      <c r="AG342" s="47">
        <f>IFERROR(_xlfn.NUMBERVALUE(MID(G342,1,8)),"")</f>
        <v>41080301</v>
      </c>
      <c r="AH342" s="54">
        <f>IF(Q342="22",IF(ISNUMBER(SEARCH("econ",PAA_4[[#This Row],[Actividad3]])),"Económico",IF(ISNUMBER(SEARCH("alim",PAA_4[[#This Row],[Actividad3]])),"Alimentación",IF(ISNUMBER(SEARCH("educ",PAA_4[[#This Row],[Actividad3]])),"Educativo","Técnico"))),0)</f>
        <v>0</v>
      </c>
      <c r="AI342" s="47" t="e" cm="1">
        <f t="array" aca="1" ref="AI342" ca="1">_xlfn.XLOOKUP(PAA_4[[#This Row],[RCP-RUBRO]],[2]!COMPROMISOS_2024[[#All],[concatenado]],[2]!COMPROMISOS_2024[[#All],[Total pagado]],"",0)</f>
        <v>#NAME?</v>
      </c>
      <c r="AJ342" s="56">
        <f>IF(PAA_4[[#This Row],[BOLSA]]=0,0,SUMIFS([2]!COMPROMISOS_2024[[#All],[Total pagado]],[2]!COMPROMISOS_2024[[#All],[Bolsa]],PAA_4[[#This Row],[BOLSA]],[2]!COMPROMISOS_2024[[#All],[rubro]],PAA_4[[#This Row],[RCP-RUBRO]]))</f>
        <v>0</v>
      </c>
      <c r="AK342" s="47" t="e" cm="1">
        <f t="array" aca="1" ref="AK342" ca="1">_xlfn.XLOOKUP(PAA_4[[#This Row],[RCP-RUBRO]],[2]!COMPROMISOS_2024[[#All],[concatenado]],[2]!COMPROMISOS_2024[[#All],[Total Comprometido]],"",0)</f>
        <v>#NAME?</v>
      </c>
      <c r="AL342" s="47">
        <f>IF(PAA_4[[#This Row],[BOLSA]]=0,0,SUMIFS([2]!COMPROMISOS_2024[[#All],[Total Comprometido]],[2]!COMPROMISOS_2024[[#All],[Bolsa]],PAA_4[[#This Row],[BOLSA]],[2]!COMPROMISOS_2024[[#All],[concatenado]],PAA_4[[#This Row],[RCP-RUBRO]]))</f>
        <v>0</v>
      </c>
    </row>
    <row r="343" spans="1:38" s="19" customFormat="1" ht="31.5" customHeight="1">
      <c r="A343" s="47">
        <v>767</v>
      </c>
      <c r="B343" s="47">
        <v>43231500</v>
      </c>
      <c r="C343" s="47" t="str">
        <f>VLOOKUP(PAA_4[[#This Row],[PROYECTO (formulado)2]],[2]PROYECTOS!$G$1:$L$32,6,0)</f>
        <v>OFICINA DE SISTEMAS</v>
      </c>
      <c r="D343" s="47" t="str">
        <f>+IF(PAA_4[[#This Row],[UNIDAD DE CONTRATACION (formulado)]]="Subgerencia Administrativa y Financiera","FUNCIONAMIENTO","INVERSIÓN")</f>
        <v>INVERSIÓN</v>
      </c>
      <c r="E343" s="48" t="str">
        <f>VLOOKUP(Q343,[2]PROYECTOS!$G$1:$K$32,5,0)</f>
        <v>MEJORAMIENTO_DEL_SISTEMA_DE_INFORMACIÓN_DE_INDEPORTES_ANTIOQUIA</v>
      </c>
      <c r="F343" s="48">
        <f>VLOOKUP(E343,[2]PROYECTOS!$K$1:$M$32,3,0)</f>
        <v>2020003050272</v>
      </c>
      <c r="G343" s="49" t="s">
        <v>183</v>
      </c>
      <c r="H343" s="49">
        <f>VLOOKUP(Q343,[2]PROYECTOS!$V$1:$W$32,2,0)</f>
        <v>220320</v>
      </c>
      <c r="I343" s="50">
        <f>55000000-100000</f>
        <v>54900000</v>
      </c>
      <c r="J343" s="51" t="s">
        <v>1483</v>
      </c>
      <c r="K343" s="47" t="str">
        <f t="shared" ref="K343:K352" ca="1" si="200">IF(ISNONTEXT(Y343)=TRUE,"CONTRATADO","NO CONTRATADO")</f>
        <v>CONTRATADO</v>
      </c>
      <c r="L343" s="47" t="s">
        <v>197</v>
      </c>
      <c r="M343" s="47" t="s">
        <v>89</v>
      </c>
      <c r="N343" s="52" t="s">
        <v>192</v>
      </c>
      <c r="O343" s="51" t="e">
        <f>VLOOKUP(N343,[2]!RUBROS[#All],3,0)</f>
        <v>#REF!</v>
      </c>
      <c r="P343" s="53" t="e">
        <f>VLOOKUP(N343,[2]!RUBROS[#All],2,0)</f>
        <v>#REF!</v>
      </c>
      <c r="Q343" s="47" t="str">
        <f t="shared" ref="Q343:Q352" si="201">+MID(N343,11,2)</f>
        <v>90</v>
      </c>
      <c r="R343" s="47" t="str">
        <f t="shared" ref="R343:R352" si="202">+MID(N343,14,8)</f>
        <v>4-101124</v>
      </c>
      <c r="S343" s="339">
        <v>2</v>
      </c>
      <c r="T343" s="59" t="s">
        <v>46</v>
      </c>
      <c r="U343" s="326" t="e">
        <f ca="1">_xlfn.XLOOKUP(PAA_4[[#This Row],[ITEM]],[2]Contrato!A:A,[2]Contrato!Q:Q,"",0)</f>
        <v>#NAME?</v>
      </c>
      <c r="V343" s="47" t="s">
        <v>95</v>
      </c>
      <c r="W343" s="47" t="s">
        <v>193</v>
      </c>
      <c r="X343" s="47" t="s">
        <v>193</v>
      </c>
      <c r="Y343" s="55" t="e">
        <f ca="1">_xlfn.XLOOKUP(PAA_4[[#This Row],[ITEM]],[2]Contrato!A:A,[2]Contrato!B:B,"",0)</f>
        <v>#NAME?</v>
      </c>
      <c r="Z343" s="47" t="e">
        <f ca="1">_xlfn.XLOOKUP(PAA_4[[#This Row],[ITEM]],[2]Contrato!A:A,[2]Contrato!G:G,"",0)</f>
        <v>#NAME?</v>
      </c>
      <c r="AA343" s="47" t="e">
        <f ca="1">_xlfn.XLOOKUP(PAA_4[[#This Row],[ITEM]],[2]Contrato!A:A,[2]Contrato!T:T,"",0)</f>
        <v>#NAME?</v>
      </c>
      <c r="AB343" s="55" t="e">
        <f ca="1">+MAX(PAA_4[[#This Row],[Comprometido Contrato]],PAA_4[[#This Row],[Comprometido Bolsa]])</f>
        <v>#NAME?</v>
      </c>
      <c r="AC343" s="55" t="str">
        <f t="shared" ref="AC343:AC352" ca="1" si="203">IFERROR(I343-AB343,"")</f>
        <v/>
      </c>
      <c r="AD343" s="55" t="e">
        <f ca="1">IF(PAA_4[[#This Row],[ESTADO (formulado)]]="NO CONTRATADO",0,MAX(PAA_4[[#This Row],[Pago por Contrato]],PAA_4[[#This Row],[Pago por bolsa]]))</f>
        <v>#NAME?</v>
      </c>
      <c r="AE343" s="55" t="str">
        <f t="shared" ref="AE343:AE352" ca="1" si="204">+IFERROR(AB343-AD343,"")</f>
        <v/>
      </c>
      <c r="AF343" s="47" t="e">
        <f t="shared" ref="AF343:AF352" ca="1" si="205">+CONCATENATE(AA343,N343)</f>
        <v>#NAME?</v>
      </c>
      <c r="AG343" s="47">
        <f t="shared" ref="AG343:AG352" si="206">IFERROR(_xlfn.NUMBERVALUE(MID(G343,1,8)),"")</f>
        <v>41080301</v>
      </c>
      <c r="AH343" s="54">
        <f>IF(Q343="22",IF(ISNUMBER(SEARCH("econ",PAA_4[[#This Row],[Actividad3]])),"Económico",IF(ISNUMBER(SEARCH("alim",PAA_4[[#This Row],[Actividad3]])),"Alimentación",IF(ISNUMBER(SEARCH("educ",PAA_4[[#This Row],[Actividad3]])),"Educativo","Técnico"))),0)</f>
        <v>0</v>
      </c>
      <c r="AI343" s="47" t="e" cm="1">
        <f t="array" aca="1" ref="AI343" ca="1">_xlfn.XLOOKUP(PAA_4[[#This Row],[RCP-RUBRO]],[2]!COMPROMISOS_2024[[#All],[concatenado]],[2]!COMPROMISOS_2024[[#All],[Total pagado]],"",0)</f>
        <v>#NAME?</v>
      </c>
      <c r="AJ343" s="56">
        <f>IF(PAA_4[[#This Row],[BOLSA]]=0,0,SUMIFS([2]!COMPROMISOS_2024[[#All],[Total pagado]],[2]!COMPROMISOS_2024[[#All],[Bolsa]],PAA_4[[#This Row],[BOLSA]],[2]!COMPROMISOS_2024[[#All],[rubro]],PAA_4[[#This Row],[RCP-RUBRO]]))</f>
        <v>0</v>
      </c>
      <c r="AK343" s="47" t="e" cm="1">
        <f t="array" aca="1" ref="AK343" ca="1">_xlfn.XLOOKUP(PAA_4[[#This Row],[RCP-RUBRO]],[2]!COMPROMISOS_2024[[#All],[concatenado]],[2]!COMPROMISOS_2024[[#All],[Total Comprometido]],"",0)</f>
        <v>#NAME?</v>
      </c>
      <c r="AL343" s="47">
        <f>IF(PAA_4[[#This Row],[BOLSA]]=0,0,SUMIFS([2]!COMPROMISOS_2024[[#All],[Total Comprometido]],[2]!COMPROMISOS_2024[[#All],[Bolsa]],PAA_4[[#This Row],[BOLSA]],[2]!COMPROMISOS_2024[[#All],[concatenado]],PAA_4[[#This Row],[RCP-RUBRO]]))</f>
        <v>0</v>
      </c>
    </row>
    <row r="344" spans="1:38" s="19" customFormat="1" ht="31.5" customHeight="1">
      <c r="A344" s="47">
        <v>768</v>
      </c>
      <c r="B344" s="47" t="s">
        <v>198</v>
      </c>
      <c r="C344" s="47" t="str">
        <f>VLOOKUP(PAA_4[[#This Row],[PROYECTO (formulado)2]],[2]PROYECTOS!$G$1:$L$32,6,0)</f>
        <v>OFICINA DE SISTEMAS</v>
      </c>
      <c r="D344" s="47" t="str">
        <f>+IF(PAA_4[[#This Row],[UNIDAD DE CONTRATACION (formulado)]]="Subgerencia Administrativa y Financiera","FUNCIONAMIENTO","INVERSIÓN")</f>
        <v>INVERSIÓN</v>
      </c>
      <c r="E344" s="48" t="str">
        <f>VLOOKUP(Q344,[2]PROYECTOS!$G$1:$K$32,5,0)</f>
        <v>MEJORAMIENTO_DEL_SISTEMA_DE_INFORMACIÓN_DE_INDEPORTES_ANTIOQUIA</v>
      </c>
      <c r="F344" s="48">
        <f>VLOOKUP(E344,[2]PROYECTOS!$K$1:$M$32,3,0)</f>
        <v>2020003050272</v>
      </c>
      <c r="G344" s="49" t="s">
        <v>185</v>
      </c>
      <c r="H344" s="49">
        <f>VLOOKUP(Q344,[2]PROYECTOS!$V$1:$W$32,2,0)</f>
        <v>220320</v>
      </c>
      <c r="I344" s="50">
        <f>24450000-228361</f>
        <v>24221639</v>
      </c>
      <c r="J344" s="51" t="s">
        <v>1484</v>
      </c>
      <c r="K344" s="47" t="str">
        <f t="shared" ca="1" si="200"/>
        <v>CONTRATADO</v>
      </c>
      <c r="L344" s="47" t="s">
        <v>197</v>
      </c>
      <c r="M344" s="47" t="s">
        <v>89</v>
      </c>
      <c r="N344" s="52" t="s">
        <v>192</v>
      </c>
      <c r="O344" s="51" t="e">
        <f>VLOOKUP(N344,[2]!RUBROS[#All],3,0)</f>
        <v>#REF!</v>
      </c>
      <c r="P344" s="53" t="e">
        <f>VLOOKUP(N344,[2]!RUBROS[#All],2,0)</f>
        <v>#REF!</v>
      </c>
      <c r="Q344" s="47" t="str">
        <f t="shared" si="201"/>
        <v>90</v>
      </c>
      <c r="R344" s="47" t="str">
        <f t="shared" si="202"/>
        <v>4-101124</v>
      </c>
      <c r="S344" s="339">
        <v>2</v>
      </c>
      <c r="T344" s="59" t="s">
        <v>46</v>
      </c>
      <c r="U344" s="326" t="e">
        <f ca="1">_xlfn.XLOOKUP(PAA_4[[#This Row],[ITEM]],[2]Contrato!A:A,[2]Contrato!Q:Q,"",0)</f>
        <v>#NAME?</v>
      </c>
      <c r="V344" s="47" t="s">
        <v>95</v>
      </c>
      <c r="W344" s="47" t="s">
        <v>193</v>
      </c>
      <c r="X344" s="47" t="s">
        <v>193</v>
      </c>
      <c r="Y344" s="55" t="e">
        <f ca="1">_xlfn.XLOOKUP(PAA_4[[#This Row],[ITEM]],[2]Contrato!A:A,[2]Contrato!B:B,"",0)</f>
        <v>#NAME?</v>
      </c>
      <c r="Z344" s="47" t="e">
        <f ca="1">_xlfn.XLOOKUP(PAA_4[[#This Row],[ITEM]],[2]Contrato!A:A,[2]Contrato!G:G,"",0)</f>
        <v>#NAME?</v>
      </c>
      <c r="AA344" s="47" t="e">
        <f ca="1">_xlfn.XLOOKUP(PAA_4[[#This Row],[ITEM]],[2]Contrato!A:A,[2]Contrato!T:T,"",0)</f>
        <v>#NAME?</v>
      </c>
      <c r="AB344" s="55" t="e">
        <f ca="1">+MAX(PAA_4[[#This Row],[Comprometido Contrato]],PAA_4[[#This Row],[Comprometido Bolsa]])</f>
        <v>#NAME?</v>
      </c>
      <c r="AC344" s="55" t="str">
        <f t="shared" ca="1" si="203"/>
        <v/>
      </c>
      <c r="AD344" s="55" t="e">
        <f ca="1">IF(PAA_4[[#This Row],[ESTADO (formulado)]]="NO CONTRATADO",0,MAX(PAA_4[[#This Row],[Pago por Contrato]],PAA_4[[#This Row],[Pago por bolsa]]))</f>
        <v>#NAME?</v>
      </c>
      <c r="AE344" s="55" t="str">
        <f t="shared" ca="1" si="204"/>
        <v/>
      </c>
      <c r="AF344" s="47" t="e">
        <f t="shared" ca="1" si="205"/>
        <v>#NAME?</v>
      </c>
      <c r="AG344" s="47">
        <f t="shared" si="206"/>
        <v>41080301</v>
      </c>
      <c r="AH344" s="54">
        <f>IF(Q344="22",IF(ISNUMBER(SEARCH("econ",PAA_4[[#This Row],[Actividad3]])),"Económico",IF(ISNUMBER(SEARCH("alim",PAA_4[[#This Row],[Actividad3]])),"Alimentación",IF(ISNUMBER(SEARCH("educ",PAA_4[[#This Row],[Actividad3]])),"Educativo","Técnico"))),0)</f>
        <v>0</v>
      </c>
      <c r="AI344" s="47" t="e" cm="1">
        <f t="array" aca="1" ref="AI344" ca="1">_xlfn.XLOOKUP(PAA_4[[#This Row],[RCP-RUBRO]],[2]!COMPROMISOS_2024[[#All],[concatenado]],[2]!COMPROMISOS_2024[[#All],[Total pagado]],"",0)</f>
        <v>#NAME?</v>
      </c>
      <c r="AJ344" s="56">
        <f>IF(PAA_4[[#This Row],[BOLSA]]=0,0,SUMIFS([2]!COMPROMISOS_2024[[#All],[Total pagado]],[2]!COMPROMISOS_2024[[#All],[Bolsa]],PAA_4[[#This Row],[BOLSA]],[2]!COMPROMISOS_2024[[#All],[rubro]],PAA_4[[#This Row],[RCP-RUBRO]]))</f>
        <v>0</v>
      </c>
      <c r="AK344" s="47" t="e" cm="1">
        <f t="array" aca="1" ref="AK344" ca="1">_xlfn.XLOOKUP(PAA_4[[#This Row],[RCP-RUBRO]],[2]!COMPROMISOS_2024[[#All],[concatenado]],[2]!COMPROMISOS_2024[[#All],[Total Comprometido]],"",0)</f>
        <v>#NAME?</v>
      </c>
      <c r="AL344" s="47">
        <f>IF(PAA_4[[#This Row],[BOLSA]]=0,0,SUMIFS([2]!COMPROMISOS_2024[[#All],[Total Comprometido]],[2]!COMPROMISOS_2024[[#All],[Bolsa]],PAA_4[[#This Row],[BOLSA]],[2]!COMPROMISOS_2024[[#All],[concatenado]],PAA_4[[#This Row],[RCP-RUBRO]]))</f>
        <v>0</v>
      </c>
    </row>
    <row r="345" spans="1:38" s="19" customFormat="1" ht="31.5" customHeight="1">
      <c r="A345" s="47">
        <v>768</v>
      </c>
      <c r="B345" s="47" t="s">
        <v>198</v>
      </c>
      <c r="C345" s="47" t="str">
        <f>VLOOKUP(PAA_4[[#This Row],[PROYECTO (formulado)2]],[2]PROYECTOS!$G$1:$L$32,6,0)</f>
        <v>OFICINA DE SISTEMAS</v>
      </c>
      <c r="D345" s="47" t="str">
        <f>+IF(PAA_4[[#This Row],[UNIDAD DE CONTRATACION (formulado)]]="Subgerencia Administrativa y Financiera","FUNCIONAMIENTO","INVERSIÓN")</f>
        <v>INVERSIÓN</v>
      </c>
      <c r="E345" s="48" t="str">
        <f>VLOOKUP(Q345,[2]PROYECTOS!$G$1:$K$32,5,0)</f>
        <v>MEJORAMIENTO_DEL_SISTEMA_DE_INFORMACIÓN_DE_INDEPORTES_ANTIOQUIA</v>
      </c>
      <c r="F345" s="48">
        <f>VLOOKUP(E345,[2]PROYECTOS!$K$1:$M$32,3,0)</f>
        <v>2020003050272</v>
      </c>
      <c r="G345" s="49" t="s">
        <v>185</v>
      </c>
      <c r="H345" s="49">
        <f>VLOOKUP(Q345,[2]PROYECTOS!$V$1:$W$32,2,0)</f>
        <v>220320</v>
      </c>
      <c r="I345" s="50">
        <f>103550000-464100</f>
        <v>103085900</v>
      </c>
      <c r="J345" s="51" t="s">
        <v>1484</v>
      </c>
      <c r="K345" s="47" t="str">
        <f t="shared" ca="1" si="200"/>
        <v>CONTRATADO</v>
      </c>
      <c r="L345" s="47" t="s">
        <v>197</v>
      </c>
      <c r="M345" s="47" t="s">
        <v>89</v>
      </c>
      <c r="N345" s="52" t="s">
        <v>199</v>
      </c>
      <c r="O345" s="51" t="e">
        <f>VLOOKUP(N345,[2]!RUBROS[#All],3,0)</f>
        <v>#REF!</v>
      </c>
      <c r="P345" s="53" t="e">
        <f>VLOOKUP(N345,[2]!RUBROS[#All],2,0)</f>
        <v>#REF!</v>
      </c>
      <c r="Q345" s="47" t="str">
        <f t="shared" si="201"/>
        <v>90</v>
      </c>
      <c r="R345" s="47" t="str">
        <f t="shared" si="202"/>
        <v>4-101124</v>
      </c>
      <c r="S345" s="339">
        <v>2</v>
      </c>
      <c r="T345" s="59" t="s">
        <v>46</v>
      </c>
      <c r="U345" s="326" t="e">
        <f ca="1">_xlfn.XLOOKUP(PAA_4[[#This Row],[ITEM]],[2]Contrato!A:A,[2]Contrato!Q:Q,"",0)</f>
        <v>#NAME?</v>
      </c>
      <c r="V345" s="47" t="s">
        <v>95</v>
      </c>
      <c r="W345" s="47" t="s">
        <v>193</v>
      </c>
      <c r="X345" s="47" t="s">
        <v>193</v>
      </c>
      <c r="Y345" s="55" t="e">
        <f ca="1">_xlfn.XLOOKUP(PAA_4[[#This Row],[ITEM]],[2]Contrato!A:A,[2]Contrato!B:B,"",0)</f>
        <v>#NAME?</v>
      </c>
      <c r="Z345" s="47" t="e">
        <f ca="1">_xlfn.XLOOKUP(PAA_4[[#This Row],[ITEM]],[2]Contrato!A:A,[2]Contrato!G:G,"",0)</f>
        <v>#NAME?</v>
      </c>
      <c r="AA345" s="47" t="e">
        <f ca="1">_xlfn.XLOOKUP(PAA_4[[#This Row],[ITEM]],[2]Contrato!A:A,[2]Contrato!T:T,"",0)</f>
        <v>#NAME?</v>
      </c>
      <c r="AB345" s="55" t="e">
        <f ca="1">+MAX(PAA_4[[#This Row],[Comprometido Contrato]],PAA_4[[#This Row],[Comprometido Bolsa]])</f>
        <v>#NAME?</v>
      </c>
      <c r="AC345" s="55" t="str">
        <f t="shared" ca="1" si="203"/>
        <v/>
      </c>
      <c r="AD345" s="55" t="e">
        <f ca="1">IF(PAA_4[[#This Row],[ESTADO (formulado)]]="NO CONTRATADO",0,MAX(PAA_4[[#This Row],[Pago por Contrato]],PAA_4[[#This Row],[Pago por bolsa]]))</f>
        <v>#NAME?</v>
      </c>
      <c r="AE345" s="55" t="str">
        <f t="shared" ca="1" si="204"/>
        <v/>
      </c>
      <c r="AF345" s="47" t="e">
        <f t="shared" ca="1" si="205"/>
        <v>#NAME?</v>
      </c>
      <c r="AG345" s="47">
        <f t="shared" si="206"/>
        <v>41080301</v>
      </c>
      <c r="AH345" s="54">
        <f>IF(Q345="22",IF(ISNUMBER(SEARCH("econ",PAA_4[[#This Row],[Actividad3]])),"Económico",IF(ISNUMBER(SEARCH("alim",PAA_4[[#This Row],[Actividad3]])),"Alimentación",IF(ISNUMBER(SEARCH("educ",PAA_4[[#This Row],[Actividad3]])),"Educativo","Técnico"))),0)</f>
        <v>0</v>
      </c>
      <c r="AI345" s="47" t="e" cm="1">
        <f t="array" aca="1" ref="AI345" ca="1">_xlfn.XLOOKUP(PAA_4[[#This Row],[RCP-RUBRO]],[2]!COMPROMISOS_2024[[#All],[concatenado]],[2]!COMPROMISOS_2024[[#All],[Total pagado]],"",0)</f>
        <v>#NAME?</v>
      </c>
      <c r="AJ345" s="56">
        <f>IF(PAA_4[[#This Row],[BOLSA]]=0,0,SUMIFS([2]!COMPROMISOS_2024[[#All],[Total pagado]],[2]!COMPROMISOS_2024[[#All],[Bolsa]],PAA_4[[#This Row],[BOLSA]],[2]!COMPROMISOS_2024[[#All],[rubro]],PAA_4[[#This Row],[RCP-RUBRO]]))</f>
        <v>0</v>
      </c>
      <c r="AK345" s="47" t="e" cm="1">
        <f t="array" aca="1" ref="AK345" ca="1">_xlfn.XLOOKUP(PAA_4[[#This Row],[RCP-RUBRO]],[2]!COMPROMISOS_2024[[#All],[concatenado]],[2]!COMPROMISOS_2024[[#All],[Total Comprometido]],"",0)</f>
        <v>#NAME?</v>
      </c>
      <c r="AL345" s="47">
        <f>IF(PAA_4[[#This Row],[BOLSA]]=0,0,SUMIFS([2]!COMPROMISOS_2024[[#All],[Total Comprometido]],[2]!COMPROMISOS_2024[[#All],[Bolsa]],PAA_4[[#This Row],[BOLSA]],[2]!COMPROMISOS_2024[[#All],[concatenado]],PAA_4[[#This Row],[RCP-RUBRO]]))</f>
        <v>0</v>
      </c>
    </row>
    <row r="346" spans="1:38" s="19" customFormat="1" ht="31.5" customHeight="1">
      <c r="A346" s="47">
        <v>769</v>
      </c>
      <c r="B346" s="47">
        <v>81111702</v>
      </c>
      <c r="C346" s="47" t="str">
        <f>VLOOKUP(PAA_4[[#This Row],[PROYECTO (formulado)2]],[2]PROYECTOS!$G$1:$L$32,6,0)</f>
        <v>OFICINA DE SISTEMAS</v>
      </c>
      <c r="D346" s="47" t="str">
        <f>+IF(PAA_4[[#This Row],[UNIDAD DE CONTRATACION (formulado)]]="Subgerencia Administrativa y Financiera","FUNCIONAMIENTO","INVERSIÓN")</f>
        <v>INVERSIÓN</v>
      </c>
      <c r="E346" s="48" t="str">
        <f>VLOOKUP(Q346,[2]PROYECTOS!$G$1:$K$32,5,0)</f>
        <v>MEJORAMIENTO_DEL_SISTEMA_DE_INFORMACIÓN_DE_INDEPORTES_ANTIOQUIA</v>
      </c>
      <c r="F346" s="48">
        <f>VLOOKUP(E346,[2]PROYECTOS!$K$1:$M$32,3,0)</f>
        <v>2020003050272</v>
      </c>
      <c r="G346" s="49" t="s">
        <v>183</v>
      </c>
      <c r="H346" s="49">
        <f>VLOOKUP(Q346,[2]PROYECTOS!$V$1:$W$32,2,0)</f>
        <v>220320</v>
      </c>
      <c r="I346" s="50">
        <v>100813172</v>
      </c>
      <c r="J346" s="51" t="s">
        <v>1485</v>
      </c>
      <c r="K346" s="47" t="str">
        <f t="shared" ca="1" si="200"/>
        <v>CONTRATADO</v>
      </c>
      <c r="L346" s="47" t="s">
        <v>94</v>
      </c>
      <c r="M346" s="47" t="s">
        <v>89</v>
      </c>
      <c r="N346" s="52" t="s">
        <v>192</v>
      </c>
      <c r="O346" s="51" t="e">
        <f>VLOOKUP(N346,[2]!RUBROS[#All],3,0)</f>
        <v>#REF!</v>
      </c>
      <c r="P346" s="53" t="e">
        <f>VLOOKUP(N346,[2]!RUBROS[#All],2,0)</f>
        <v>#REF!</v>
      </c>
      <c r="Q346" s="47" t="str">
        <f t="shared" si="201"/>
        <v>90</v>
      </c>
      <c r="R346" s="47" t="str">
        <f t="shared" si="202"/>
        <v>4-101124</v>
      </c>
      <c r="S346" s="339">
        <v>5.5</v>
      </c>
      <c r="T346" s="59" t="s">
        <v>46</v>
      </c>
      <c r="U346" s="326" t="e">
        <f ca="1">_xlfn.XLOOKUP(PAA_4[[#This Row],[ITEM]],[2]Contrato!A:A,[2]Contrato!Q:Q,"",0)</f>
        <v>#NAME?</v>
      </c>
      <c r="V346" s="47" t="s">
        <v>95</v>
      </c>
      <c r="W346" s="47" t="s">
        <v>193</v>
      </c>
      <c r="X346" s="47" t="s">
        <v>193</v>
      </c>
      <c r="Y346" s="55" t="e">
        <f ca="1">_xlfn.XLOOKUP(PAA_4[[#This Row],[ITEM]],[2]Contrato!A:A,[2]Contrato!B:B,"",0)</f>
        <v>#NAME?</v>
      </c>
      <c r="Z346" s="47" t="e">
        <f ca="1">_xlfn.XLOOKUP(PAA_4[[#This Row],[ITEM]],[2]Contrato!A:A,[2]Contrato!G:G,"",0)</f>
        <v>#NAME?</v>
      </c>
      <c r="AA346" s="47" t="e">
        <f ca="1">_xlfn.XLOOKUP(PAA_4[[#This Row],[ITEM]],[2]Contrato!A:A,[2]Contrato!T:T,"",0)</f>
        <v>#NAME?</v>
      </c>
      <c r="AB346" s="55" t="e">
        <f ca="1">+MAX(PAA_4[[#This Row],[Comprometido Contrato]],PAA_4[[#This Row],[Comprometido Bolsa]])</f>
        <v>#NAME?</v>
      </c>
      <c r="AC346" s="55" t="str">
        <f t="shared" ca="1" si="203"/>
        <v/>
      </c>
      <c r="AD346" s="55" t="e">
        <f ca="1">IF(PAA_4[[#This Row],[ESTADO (formulado)]]="NO CONTRATADO",0,MAX(PAA_4[[#This Row],[Pago por Contrato]],PAA_4[[#This Row],[Pago por bolsa]]))</f>
        <v>#NAME?</v>
      </c>
      <c r="AE346" s="55" t="str">
        <f t="shared" ca="1" si="204"/>
        <v/>
      </c>
      <c r="AF346" s="47" t="e">
        <f t="shared" ca="1" si="205"/>
        <v>#NAME?</v>
      </c>
      <c r="AG346" s="47">
        <f t="shared" si="206"/>
        <v>41080301</v>
      </c>
      <c r="AH346" s="54">
        <f>IF(Q346="22",IF(ISNUMBER(SEARCH("econ",PAA_4[[#This Row],[Actividad3]])),"Económico",IF(ISNUMBER(SEARCH("alim",PAA_4[[#This Row],[Actividad3]])),"Alimentación",IF(ISNUMBER(SEARCH("educ",PAA_4[[#This Row],[Actividad3]])),"Educativo","Técnico"))),0)</f>
        <v>0</v>
      </c>
      <c r="AI346" s="47" t="e" cm="1">
        <f t="array" aca="1" ref="AI346" ca="1">_xlfn.XLOOKUP(PAA_4[[#This Row],[RCP-RUBRO]],[2]!COMPROMISOS_2024[[#All],[concatenado]],[2]!COMPROMISOS_2024[[#All],[Total pagado]],"",0)</f>
        <v>#NAME?</v>
      </c>
      <c r="AJ346" s="56">
        <f>IF(PAA_4[[#This Row],[BOLSA]]=0,0,SUMIFS([2]!COMPROMISOS_2024[[#All],[Total pagado]],[2]!COMPROMISOS_2024[[#All],[Bolsa]],PAA_4[[#This Row],[BOLSA]],[2]!COMPROMISOS_2024[[#All],[rubro]],PAA_4[[#This Row],[RCP-RUBRO]]))</f>
        <v>0</v>
      </c>
      <c r="AK346" s="47" t="e" cm="1">
        <f t="array" aca="1" ref="AK346" ca="1">_xlfn.XLOOKUP(PAA_4[[#This Row],[RCP-RUBRO]],[2]!COMPROMISOS_2024[[#All],[concatenado]],[2]!COMPROMISOS_2024[[#All],[Total Comprometido]],"",0)</f>
        <v>#NAME?</v>
      </c>
      <c r="AL346" s="47">
        <f>IF(PAA_4[[#This Row],[BOLSA]]=0,0,SUMIFS([2]!COMPROMISOS_2024[[#All],[Total Comprometido]],[2]!COMPROMISOS_2024[[#All],[Bolsa]],PAA_4[[#This Row],[BOLSA]],[2]!COMPROMISOS_2024[[#All],[concatenado]],PAA_4[[#This Row],[RCP-RUBRO]]))</f>
        <v>0</v>
      </c>
    </row>
    <row r="347" spans="1:38" s="19" customFormat="1" ht="31.5" customHeight="1">
      <c r="A347" s="47">
        <v>770</v>
      </c>
      <c r="B347" s="47">
        <v>43231513</v>
      </c>
      <c r="C347" s="47" t="str">
        <f>VLOOKUP(PAA_4[[#This Row],[PROYECTO (formulado)2]],[2]PROYECTOS!$G$1:$L$32,6,0)</f>
        <v>OFICINA DE SISTEMAS</v>
      </c>
      <c r="D347" s="47" t="str">
        <f>+IF(PAA_4[[#This Row],[UNIDAD DE CONTRATACION (formulado)]]="Subgerencia Administrativa y Financiera","FUNCIONAMIENTO","INVERSIÓN")</f>
        <v>INVERSIÓN</v>
      </c>
      <c r="E347" s="48" t="str">
        <f>VLOOKUP(Q347,[2]PROYECTOS!$G$1:$K$32,5,0)</f>
        <v>MEJORAMIENTO_DEL_SISTEMA_DE_INFORMACIÓN_DE_INDEPORTES_ANTIOQUIA</v>
      </c>
      <c r="F347" s="48">
        <f>VLOOKUP(E347,[2]PROYECTOS!$K$1:$M$32,3,0)</f>
        <v>2020003050272</v>
      </c>
      <c r="G347" s="49" t="s">
        <v>180</v>
      </c>
      <c r="H347" s="49">
        <f>VLOOKUP(Q347,[2]PROYECTOS!$V$1:$W$32,2,0)</f>
        <v>220320</v>
      </c>
      <c r="I347" s="50">
        <v>0</v>
      </c>
      <c r="J347" s="51" t="s">
        <v>1486</v>
      </c>
      <c r="K347" s="47" t="str">
        <f t="shared" ca="1" si="200"/>
        <v>CONTRATADO</v>
      </c>
      <c r="L347" s="47" t="s">
        <v>94</v>
      </c>
      <c r="M347" s="47" t="s">
        <v>89</v>
      </c>
      <c r="N347" s="52" t="s">
        <v>192</v>
      </c>
      <c r="O347" s="51" t="e">
        <f>VLOOKUP(N347,[2]!RUBROS[#All],3,0)</f>
        <v>#REF!</v>
      </c>
      <c r="P347" s="53" t="e">
        <f>VLOOKUP(N347,[2]!RUBROS[#All],2,0)</f>
        <v>#REF!</v>
      </c>
      <c r="Q347" s="47" t="str">
        <f t="shared" si="201"/>
        <v>90</v>
      </c>
      <c r="R347" s="47" t="str">
        <f t="shared" si="202"/>
        <v>4-101124</v>
      </c>
      <c r="S347" s="339">
        <v>1</v>
      </c>
      <c r="T347" s="59" t="s">
        <v>46</v>
      </c>
      <c r="U347" s="326" t="e">
        <f ca="1">_xlfn.XLOOKUP(PAA_4[[#This Row],[ITEM]],[2]Contrato!A:A,[2]Contrato!Q:Q,"",0)</f>
        <v>#NAME?</v>
      </c>
      <c r="V347" s="47" t="s">
        <v>95</v>
      </c>
      <c r="W347" s="47" t="s">
        <v>200</v>
      </c>
      <c r="X347" s="47" t="s">
        <v>201</v>
      </c>
      <c r="Y347" s="55" t="e">
        <f ca="1">_xlfn.XLOOKUP(PAA_4[[#This Row],[ITEM]],[2]Contrato!A:A,[2]Contrato!B:B,"",0)</f>
        <v>#NAME?</v>
      </c>
      <c r="Z347" s="47" t="e">
        <f ca="1">_xlfn.XLOOKUP(PAA_4[[#This Row],[ITEM]],[2]Contrato!A:A,[2]Contrato!G:G,"",0)</f>
        <v>#NAME?</v>
      </c>
      <c r="AA347" s="47" t="e">
        <f ca="1">_xlfn.XLOOKUP(PAA_4[[#This Row],[ITEM]],[2]Contrato!A:A,[2]Contrato!T:T,"",0)</f>
        <v>#NAME?</v>
      </c>
      <c r="AB347" s="55" t="e">
        <f ca="1">+MAX(PAA_4[[#This Row],[Comprometido Contrato]],PAA_4[[#This Row],[Comprometido Bolsa]])</f>
        <v>#NAME?</v>
      </c>
      <c r="AC347" s="55" t="str">
        <f t="shared" ca="1" si="203"/>
        <v/>
      </c>
      <c r="AD347" s="55" t="e">
        <f ca="1">IF(PAA_4[[#This Row],[ESTADO (formulado)]]="NO CONTRATADO",0,MAX(PAA_4[[#This Row],[Pago por Contrato]],PAA_4[[#This Row],[Pago por bolsa]]))</f>
        <v>#NAME?</v>
      </c>
      <c r="AE347" s="55" t="str">
        <f t="shared" ca="1" si="204"/>
        <v/>
      </c>
      <c r="AF347" s="47" t="e">
        <f t="shared" ca="1" si="205"/>
        <v>#NAME?</v>
      </c>
      <c r="AG347" s="47">
        <f t="shared" si="206"/>
        <v>41080301</v>
      </c>
      <c r="AH347" s="54">
        <f>IF(Q347="22",IF(ISNUMBER(SEARCH("econ",PAA_4[[#This Row],[Actividad3]])),"Económico",IF(ISNUMBER(SEARCH("alim",PAA_4[[#This Row],[Actividad3]])),"Alimentación",IF(ISNUMBER(SEARCH("educ",PAA_4[[#This Row],[Actividad3]])),"Educativo","Técnico"))),0)</f>
        <v>0</v>
      </c>
      <c r="AI347" s="47" t="e" cm="1">
        <f t="array" aca="1" ref="AI347" ca="1">_xlfn.XLOOKUP(PAA_4[[#This Row],[RCP-RUBRO]],[2]!COMPROMISOS_2024[[#All],[concatenado]],[2]!COMPROMISOS_2024[[#All],[Total pagado]],"",0)</f>
        <v>#NAME?</v>
      </c>
      <c r="AJ347" s="56">
        <f>IF(PAA_4[[#This Row],[BOLSA]]=0,0,SUMIFS([2]!COMPROMISOS_2024[[#All],[Total pagado]],[2]!COMPROMISOS_2024[[#All],[Bolsa]],PAA_4[[#This Row],[BOLSA]],[2]!COMPROMISOS_2024[[#All],[rubro]],PAA_4[[#This Row],[RCP-RUBRO]]))</f>
        <v>0</v>
      </c>
      <c r="AK347" s="47" t="e" cm="1">
        <f t="array" aca="1" ref="AK347" ca="1">_xlfn.XLOOKUP(PAA_4[[#This Row],[RCP-RUBRO]],[2]!COMPROMISOS_2024[[#All],[concatenado]],[2]!COMPROMISOS_2024[[#All],[Total Comprometido]],"",0)</f>
        <v>#NAME?</v>
      </c>
      <c r="AL347" s="47">
        <f>IF(PAA_4[[#This Row],[BOLSA]]=0,0,SUMIFS([2]!COMPROMISOS_2024[[#All],[Total Comprometido]],[2]!COMPROMISOS_2024[[#All],[Bolsa]],PAA_4[[#This Row],[BOLSA]],[2]!COMPROMISOS_2024[[#All],[concatenado]],PAA_4[[#This Row],[RCP-RUBRO]]))</f>
        <v>0</v>
      </c>
    </row>
    <row r="348" spans="1:38" s="19" customFormat="1" ht="31.5" customHeight="1">
      <c r="A348" s="47">
        <v>771</v>
      </c>
      <c r="B348" s="47">
        <v>80111600</v>
      </c>
      <c r="C348" s="47" t="str">
        <f>VLOOKUP(PAA_4[[#This Row],[PROYECTO (formulado)2]],[2]PROYECTOS!$G$1:$L$32,6,0)</f>
        <v>OFICINA DE SISTEMAS</v>
      </c>
      <c r="D348" s="47" t="str">
        <f>+IF(PAA_4[[#This Row],[UNIDAD DE CONTRATACION (formulado)]]="Subgerencia Administrativa y Financiera","FUNCIONAMIENTO","INVERSIÓN")</f>
        <v>INVERSIÓN</v>
      </c>
      <c r="E348" s="48" t="str">
        <f>VLOOKUP(Q348,[2]PROYECTOS!$G$1:$K$32,5,0)</f>
        <v>MEJORAMIENTO_DEL_SISTEMA_DE_INFORMACIÓN_DE_INDEPORTES_ANTIOQUIA</v>
      </c>
      <c r="F348" s="48">
        <f>VLOOKUP(E348,[2]PROYECTOS!$K$1:$M$32,3,0)</f>
        <v>2020003050272</v>
      </c>
      <c r="G348" s="49" t="s">
        <v>182</v>
      </c>
      <c r="H348" s="49">
        <f>VLOOKUP(Q348,[2]PROYECTOS!$V$1:$W$32,2,0)</f>
        <v>220320</v>
      </c>
      <c r="I348" s="50">
        <v>0</v>
      </c>
      <c r="J348" s="51" t="s">
        <v>1480</v>
      </c>
      <c r="K348" s="47" t="str">
        <f t="shared" ca="1" si="200"/>
        <v>CONTRATADO</v>
      </c>
      <c r="L348" s="47"/>
      <c r="M348" s="47"/>
      <c r="N348" s="52" t="s">
        <v>192</v>
      </c>
      <c r="O348" s="51" t="e">
        <f>VLOOKUP(N348,[2]!RUBROS[#All],3,0)</f>
        <v>#REF!</v>
      </c>
      <c r="P348" s="53" t="e">
        <f>VLOOKUP(N348,[2]!RUBROS[#All],2,0)</f>
        <v>#REF!</v>
      </c>
      <c r="Q348" s="47" t="str">
        <f t="shared" si="201"/>
        <v>90</v>
      </c>
      <c r="R348" s="47" t="str">
        <f t="shared" si="202"/>
        <v>4-101124</v>
      </c>
      <c r="S348" s="339"/>
      <c r="T348" s="59"/>
      <c r="U348" s="326" t="e">
        <f ca="1">_xlfn.XLOOKUP(PAA_4[[#This Row],[ITEM]],[2]Contrato!A:A,[2]Contrato!Q:Q,"",0)</f>
        <v>#NAME?</v>
      </c>
      <c r="V348" s="47" t="s">
        <v>95</v>
      </c>
      <c r="W348" s="47"/>
      <c r="X348" s="47"/>
      <c r="Y348" s="55" t="e">
        <f ca="1">_xlfn.XLOOKUP(PAA_4[[#This Row],[ITEM]],[2]Contrato!A:A,[2]Contrato!B:B,"",0)</f>
        <v>#NAME?</v>
      </c>
      <c r="Z348" s="47" t="e">
        <f ca="1">_xlfn.XLOOKUP(PAA_4[[#This Row],[ITEM]],[2]Contrato!A:A,[2]Contrato!G:G,"",0)</f>
        <v>#NAME?</v>
      </c>
      <c r="AA348" s="47" t="e">
        <f ca="1">_xlfn.XLOOKUP(PAA_4[[#This Row],[ITEM]],[2]Contrato!A:A,[2]Contrato!T:T,"",0)</f>
        <v>#NAME?</v>
      </c>
      <c r="AB348" s="55" t="e">
        <f ca="1">+MAX(PAA_4[[#This Row],[Comprometido Contrato]],PAA_4[[#This Row],[Comprometido Bolsa]])</f>
        <v>#NAME?</v>
      </c>
      <c r="AC348" s="55" t="str">
        <f t="shared" ca="1" si="203"/>
        <v/>
      </c>
      <c r="AD348" s="55" t="e">
        <f ca="1">IF(PAA_4[[#This Row],[ESTADO (formulado)]]="NO CONTRATADO",0,MAX(PAA_4[[#This Row],[Pago por Contrato]],PAA_4[[#This Row],[Pago por bolsa]]))</f>
        <v>#NAME?</v>
      </c>
      <c r="AE348" s="55" t="str">
        <f t="shared" ca="1" si="204"/>
        <v/>
      </c>
      <c r="AF348" s="47" t="e">
        <f t="shared" ca="1" si="205"/>
        <v>#NAME?</v>
      </c>
      <c r="AG348" s="47">
        <f t="shared" si="206"/>
        <v>41080301</v>
      </c>
      <c r="AH348" s="54">
        <f>IF(Q348="22",IF(ISNUMBER(SEARCH("econ",PAA_4[[#This Row],[Actividad3]])),"Económico",IF(ISNUMBER(SEARCH("alim",PAA_4[[#This Row],[Actividad3]])),"Alimentación",IF(ISNUMBER(SEARCH("educ",PAA_4[[#This Row],[Actividad3]])),"Educativo","Técnico"))),0)</f>
        <v>0</v>
      </c>
      <c r="AI348" s="47" t="e" cm="1">
        <f t="array" aca="1" ref="AI348" ca="1">_xlfn.XLOOKUP(PAA_4[[#This Row],[RCP-RUBRO]],[2]!COMPROMISOS_2024[[#All],[concatenado]],[2]!COMPROMISOS_2024[[#All],[Total pagado]],"",0)</f>
        <v>#NAME?</v>
      </c>
      <c r="AJ348" s="56">
        <f>IF(PAA_4[[#This Row],[BOLSA]]=0,0,SUMIFS([2]!COMPROMISOS_2024[[#All],[Total pagado]],[2]!COMPROMISOS_2024[[#All],[Bolsa]],PAA_4[[#This Row],[BOLSA]],[2]!COMPROMISOS_2024[[#All],[rubro]],PAA_4[[#This Row],[RCP-RUBRO]]))</f>
        <v>0</v>
      </c>
      <c r="AK348" s="47" t="e" cm="1">
        <f t="array" aca="1" ref="AK348" ca="1">_xlfn.XLOOKUP(PAA_4[[#This Row],[RCP-RUBRO]],[2]!COMPROMISOS_2024[[#All],[concatenado]],[2]!COMPROMISOS_2024[[#All],[Total Comprometido]],"",0)</f>
        <v>#NAME?</v>
      </c>
      <c r="AL348" s="47">
        <f>IF(PAA_4[[#This Row],[BOLSA]]=0,0,SUMIFS([2]!COMPROMISOS_2024[[#All],[Total Comprometido]],[2]!COMPROMISOS_2024[[#All],[Bolsa]],PAA_4[[#This Row],[BOLSA]],[2]!COMPROMISOS_2024[[#All],[concatenado]],PAA_4[[#This Row],[RCP-RUBRO]]))</f>
        <v>0</v>
      </c>
    </row>
    <row r="349" spans="1:38" s="19" customFormat="1" ht="31.5" customHeight="1">
      <c r="A349" s="47">
        <v>772</v>
      </c>
      <c r="B349" s="47" t="s">
        <v>202</v>
      </c>
      <c r="C349" s="47" t="str">
        <f>VLOOKUP(PAA_4[[#This Row],[PROYECTO (formulado)2]],[2]PROYECTOS!$G$1:$L$32,6,0)</f>
        <v>OFICINA DE SISTEMAS</v>
      </c>
      <c r="D349" s="47" t="str">
        <f>+IF(PAA_4[[#This Row],[UNIDAD DE CONTRATACION (formulado)]]="Subgerencia Administrativa y Financiera","FUNCIONAMIENTO","INVERSIÓN")</f>
        <v>INVERSIÓN</v>
      </c>
      <c r="E349" s="48" t="str">
        <f>VLOOKUP(Q349,[2]PROYECTOS!$G$1:$K$32,5,0)</f>
        <v>MEJORAMIENTO_DEL_SISTEMA_DE_INFORMACIÓN_DE_INDEPORTES_ANTIOQUIA</v>
      </c>
      <c r="F349" s="48">
        <f>VLOOKUP(E349,[2]PROYECTOS!$K$1:$M$32,3,0)</f>
        <v>2020003050272</v>
      </c>
      <c r="G349" s="49" t="s">
        <v>185</v>
      </c>
      <c r="H349" s="49">
        <f>VLOOKUP(Q349,[2]PROYECTOS!$V$1:$W$32,2,0)</f>
        <v>220320</v>
      </c>
      <c r="I349" s="50">
        <v>0</v>
      </c>
      <c r="J349" s="51" t="s">
        <v>1487</v>
      </c>
      <c r="K349" s="47" t="str">
        <f t="shared" ca="1" si="200"/>
        <v>CONTRATADO</v>
      </c>
      <c r="L349" s="47" t="s">
        <v>197</v>
      </c>
      <c r="M349" s="47" t="s">
        <v>89</v>
      </c>
      <c r="N349" s="52" t="s">
        <v>192</v>
      </c>
      <c r="O349" s="51" t="e">
        <f>VLOOKUP(N349,[2]!RUBROS[#All],3,0)</f>
        <v>#REF!</v>
      </c>
      <c r="P349" s="53" t="e">
        <f>VLOOKUP(N349,[2]!RUBROS[#All],2,0)</f>
        <v>#REF!</v>
      </c>
      <c r="Q349" s="47" t="str">
        <f t="shared" si="201"/>
        <v>90</v>
      </c>
      <c r="R349" s="47" t="str">
        <f t="shared" si="202"/>
        <v>4-101124</v>
      </c>
      <c r="S349" s="339">
        <v>2</v>
      </c>
      <c r="T349" s="59" t="s">
        <v>46</v>
      </c>
      <c r="U349" s="326" t="e">
        <f ca="1">_xlfn.XLOOKUP(PAA_4[[#This Row],[ITEM]],[2]Contrato!A:A,[2]Contrato!Q:Q,"",0)</f>
        <v>#NAME?</v>
      </c>
      <c r="V349" s="47" t="s">
        <v>95</v>
      </c>
      <c r="W349" s="47" t="s">
        <v>194</v>
      </c>
      <c r="X349" s="47" t="s">
        <v>203</v>
      </c>
      <c r="Y349" s="55" t="e">
        <f ca="1">_xlfn.XLOOKUP(PAA_4[[#This Row],[ITEM]],[2]Contrato!A:A,[2]Contrato!B:B,"",0)</f>
        <v>#NAME?</v>
      </c>
      <c r="Z349" s="47" t="e">
        <f ca="1">_xlfn.XLOOKUP(PAA_4[[#This Row],[ITEM]],[2]Contrato!A:A,[2]Contrato!G:G,"",0)</f>
        <v>#NAME?</v>
      </c>
      <c r="AA349" s="47" t="e">
        <f ca="1">_xlfn.XLOOKUP(PAA_4[[#This Row],[ITEM]],[2]Contrato!A:A,[2]Contrato!T:T,"",0)</f>
        <v>#NAME?</v>
      </c>
      <c r="AB349" s="55" t="e">
        <f ca="1">+MAX(PAA_4[[#This Row],[Comprometido Contrato]],PAA_4[[#This Row],[Comprometido Bolsa]])</f>
        <v>#NAME?</v>
      </c>
      <c r="AC349" s="55" t="str">
        <f t="shared" ca="1" si="203"/>
        <v/>
      </c>
      <c r="AD349" s="55" t="e">
        <f ca="1">IF(PAA_4[[#This Row],[ESTADO (formulado)]]="NO CONTRATADO",0,MAX(PAA_4[[#This Row],[Pago por Contrato]],PAA_4[[#This Row],[Pago por bolsa]]))</f>
        <v>#NAME?</v>
      </c>
      <c r="AE349" s="55" t="str">
        <f t="shared" ca="1" si="204"/>
        <v/>
      </c>
      <c r="AF349" s="47" t="e">
        <f t="shared" ca="1" si="205"/>
        <v>#NAME?</v>
      </c>
      <c r="AG349" s="47">
        <f t="shared" si="206"/>
        <v>41080301</v>
      </c>
      <c r="AH349" s="54">
        <f>IF(Q349="22",IF(ISNUMBER(SEARCH("econ",PAA_4[[#This Row],[Actividad3]])),"Económico",IF(ISNUMBER(SEARCH("alim",PAA_4[[#This Row],[Actividad3]])),"Alimentación",IF(ISNUMBER(SEARCH("educ",PAA_4[[#This Row],[Actividad3]])),"Educativo","Técnico"))),0)</f>
        <v>0</v>
      </c>
      <c r="AI349" s="47" t="e" cm="1">
        <f t="array" aca="1" ref="AI349" ca="1">_xlfn.XLOOKUP(PAA_4[[#This Row],[RCP-RUBRO]],[2]!COMPROMISOS_2024[[#All],[concatenado]],[2]!COMPROMISOS_2024[[#All],[Total pagado]],"",0)</f>
        <v>#NAME?</v>
      </c>
      <c r="AJ349" s="56">
        <f>IF(PAA_4[[#This Row],[BOLSA]]=0,0,SUMIFS([2]!COMPROMISOS_2024[[#All],[Total pagado]],[2]!COMPROMISOS_2024[[#All],[Bolsa]],PAA_4[[#This Row],[BOLSA]],[2]!COMPROMISOS_2024[[#All],[rubro]],PAA_4[[#This Row],[RCP-RUBRO]]))</f>
        <v>0</v>
      </c>
      <c r="AK349" s="47" t="e" cm="1">
        <f t="array" aca="1" ref="AK349" ca="1">_xlfn.XLOOKUP(PAA_4[[#This Row],[RCP-RUBRO]],[2]!COMPROMISOS_2024[[#All],[concatenado]],[2]!COMPROMISOS_2024[[#All],[Total Comprometido]],"",0)</f>
        <v>#NAME?</v>
      </c>
      <c r="AL349" s="47">
        <f>IF(PAA_4[[#This Row],[BOLSA]]=0,0,SUMIFS([2]!COMPROMISOS_2024[[#All],[Total Comprometido]],[2]!COMPROMISOS_2024[[#All],[Bolsa]],PAA_4[[#This Row],[BOLSA]],[2]!COMPROMISOS_2024[[#All],[concatenado]],PAA_4[[#This Row],[RCP-RUBRO]]))</f>
        <v>0</v>
      </c>
    </row>
    <row r="350" spans="1:38" s="19" customFormat="1" ht="31.5" customHeight="1">
      <c r="A350" s="47">
        <v>773</v>
      </c>
      <c r="B350" s="304">
        <v>80111600</v>
      </c>
      <c r="C350" s="47" t="str">
        <f>VLOOKUP(PAA_4[[#This Row],[PROYECTO (formulado)2]],[2]PROYECTOS!$G$1:$L$32,6,0)</f>
        <v>OFICINA DE SISTEMAS</v>
      </c>
      <c r="D350" s="47" t="str">
        <f>+IF(PAA_4[[#This Row],[UNIDAD DE CONTRATACION (formulado)]]="Subgerencia Administrativa y Financiera","FUNCIONAMIENTO","INVERSIÓN")</f>
        <v>INVERSIÓN</v>
      </c>
      <c r="E350" s="48" t="str">
        <f>VLOOKUP(Q350,[2]PROYECTOS!$G$1:$K$32,5,0)</f>
        <v>MEJORAMIENTO_DEL_SISTEMA_DE_INFORMACIÓN_DE_INDEPORTES_ANTIOQUIA</v>
      </c>
      <c r="F350" s="48">
        <f>VLOOKUP(E350,[2]PROYECTOS!$K$1:$M$32,3,0)</f>
        <v>2020003050272</v>
      </c>
      <c r="G350" s="49" t="s">
        <v>182</v>
      </c>
      <c r="H350" s="49">
        <f>VLOOKUP(Q350,[2]PROYECTOS!$V$1:$W$32,2,0)</f>
        <v>220320</v>
      </c>
      <c r="I350" s="50">
        <v>0</v>
      </c>
      <c r="J350" s="51" t="s">
        <v>1488</v>
      </c>
      <c r="K350" s="47" t="str">
        <f t="shared" ca="1" si="200"/>
        <v>CONTRATADO</v>
      </c>
      <c r="L350" s="47" t="s">
        <v>94</v>
      </c>
      <c r="M350" s="47" t="s">
        <v>1297</v>
      </c>
      <c r="N350" s="52" t="s">
        <v>192</v>
      </c>
      <c r="O350" s="51" t="e">
        <f>VLOOKUP(N350,[2]!RUBROS[#All],3,0)</f>
        <v>#REF!</v>
      </c>
      <c r="P350" s="53" t="e">
        <f>VLOOKUP(N350,[2]!RUBROS[#All],2,0)</f>
        <v>#REF!</v>
      </c>
      <c r="Q350" s="47" t="str">
        <f t="shared" si="201"/>
        <v>90</v>
      </c>
      <c r="R350" s="47" t="str">
        <f t="shared" si="202"/>
        <v>4-101124</v>
      </c>
      <c r="S350" s="339">
        <v>3</v>
      </c>
      <c r="T350" s="59" t="s">
        <v>46</v>
      </c>
      <c r="U350" s="326" t="e">
        <f ca="1">_xlfn.XLOOKUP(PAA_4[[#This Row],[ITEM]],[2]Contrato!A:A,[2]Contrato!Q:Q,"",0)</f>
        <v>#NAME?</v>
      </c>
      <c r="V350" s="47" t="s">
        <v>95</v>
      </c>
      <c r="W350" s="47" t="s">
        <v>203</v>
      </c>
      <c r="X350" s="47" t="s">
        <v>204</v>
      </c>
      <c r="Y350" s="55" t="e">
        <f ca="1">_xlfn.XLOOKUP(PAA_4[[#This Row],[ITEM]],[2]Contrato!A:A,[2]Contrato!B:B,"",0)</f>
        <v>#NAME?</v>
      </c>
      <c r="Z350" s="47" t="e">
        <f ca="1">_xlfn.XLOOKUP(PAA_4[[#This Row],[ITEM]],[2]Contrato!A:A,[2]Contrato!G:G,"",0)</f>
        <v>#NAME?</v>
      </c>
      <c r="AA350" s="47" t="e">
        <f ca="1">_xlfn.XLOOKUP(PAA_4[[#This Row],[ITEM]],[2]Contrato!A:A,[2]Contrato!T:T,"",0)</f>
        <v>#NAME?</v>
      </c>
      <c r="AB350" s="55" t="e">
        <f ca="1">+MAX(PAA_4[[#This Row],[Comprometido Contrato]],PAA_4[[#This Row],[Comprometido Bolsa]])</f>
        <v>#NAME?</v>
      </c>
      <c r="AC350" s="55" t="str">
        <f t="shared" ca="1" si="203"/>
        <v/>
      </c>
      <c r="AD350" s="55" t="e">
        <f ca="1">IF(PAA_4[[#This Row],[ESTADO (formulado)]]="NO CONTRATADO",0,MAX(PAA_4[[#This Row],[Pago por Contrato]],PAA_4[[#This Row],[Pago por bolsa]]))</f>
        <v>#NAME?</v>
      </c>
      <c r="AE350" s="55" t="str">
        <f t="shared" ca="1" si="204"/>
        <v/>
      </c>
      <c r="AF350" s="47" t="e">
        <f t="shared" ca="1" si="205"/>
        <v>#NAME?</v>
      </c>
      <c r="AG350" s="47">
        <f t="shared" si="206"/>
        <v>41080301</v>
      </c>
      <c r="AH350" s="54">
        <f>IF(Q350="22",IF(ISNUMBER(SEARCH("econ",PAA_4[[#This Row],[Actividad3]])),"Económico",IF(ISNUMBER(SEARCH("alim",PAA_4[[#This Row],[Actividad3]])),"Alimentación",IF(ISNUMBER(SEARCH("educ",PAA_4[[#This Row],[Actividad3]])),"Educativo","Técnico"))),0)</f>
        <v>0</v>
      </c>
      <c r="AI350" s="47" t="e" cm="1">
        <f t="array" aca="1" ref="AI350" ca="1">_xlfn.XLOOKUP(PAA_4[[#This Row],[RCP-RUBRO]],[2]!COMPROMISOS_2024[[#All],[concatenado]],[2]!COMPROMISOS_2024[[#All],[Total pagado]],"",0)</f>
        <v>#NAME?</v>
      </c>
      <c r="AJ350" s="56">
        <f>IF(PAA_4[[#This Row],[BOLSA]]=0,0,SUMIFS([2]!COMPROMISOS_2024[[#All],[Total pagado]],[2]!COMPROMISOS_2024[[#All],[Bolsa]],PAA_4[[#This Row],[BOLSA]],[2]!COMPROMISOS_2024[[#All],[rubro]],PAA_4[[#This Row],[RCP-RUBRO]]))</f>
        <v>0</v>
      </c>
      <c r="AK350" s="47" t="e" cm="1">
        <f t="array" aca="1" ref="AK350" ca="1">_xlfn.XLOOKUP(PAA_4[[#This Row],[RCP-RUBRO]],[2]!COMPROMISOS_2024[[#All],[concatenado]],[2]!COMPROMISOS_2024[[#All],[Total Comprometido]],"",0)</f>
        <v>#NAME?</v>
      </c>
      <c r="AL350" s="47">
        <f>IF(PAA_4[[#This Row],[BOLSA]]=0,0,SUMIFS([2]!COMPROMISOS_2024[[#All],[Total Comprometido]],[2]!COMPROMISOS_2024[[#All],[Bolsa]],PAA_4[[#This Row],[BOLSA]],[2]!COMPROMISOS_2024[[#All],[concatenado]],PAA_4[[#This Row],[RCP-RUBRO]]))</f>
        <v>0</v>
      </c>
    </row>
    <row r="351" spans="1:38" s="19" customFormat="1" ht="31.5" customHeight="1">
      <c r="A351" s="47">
        <v>774</v>
      </c>
      <c r="B351" s="304">
        <v>80111600</v>
      </c>
      <c r="C351" s="47" t="str">
        <f>VLOOKUP(PAA_4[[#This Row],[PROYECTO (formulado)2]],[2]PROYECTOS!$G$1:$L$32,6,0)</f>
        <v>OFICINA DE SISTEMAS</v>
      </c>
      <c r="D351" s="47" t="str">
        <f>+IF(PAA_4[[#This Row],[UNIDAD DE CONTRATACION (formulado)]]="Subgerencia Administrativa y Financiera","FUNCIONAMIENTO","INVERSIÓN")</f>
        <v>INVERSIÓN</v>
      </c>
      <c r="E351" s="48" t="str">
        <f>VLOOKUP(Q351,[2]PROYECTOS!$G$1:$K$32,5,0)</f>
        <v>MEJORAMIENTO_DEL_SISTEMA_DE_INFORMACIÓN_DE_INDEPORTES_ANTIOQUIA</v>
      </c>
      <c r="F351" s="48">
        <f>VLOOKUP(E351,[2]PROYECTOS!$K$1:$M$32,3,0)</f>
        <v>2020003050272</v>
      </c>
      <c r="G351" s="49" t="s">
        <v>182</v>
      </c>
      <c r="H351" s="49">
        <f>VLOOKUP(Q351,[2]PROYECTOS!$V$1:$W$32,2,0)</f>
        <v>220320</v>
      </c>
      <c r="I351" s="50">
        <v>0</v>
      </c>
      <c r="J351" s="51" t="s">
        <v>1489</v>
      </c>
      <c r="K351" s="47" t="str">
        <f t="shared" ca="1" si="200"/>
        <v>CONTRATADO</v>
      </c>
      <c r="L351" s="47" t="s">
        <v>94</v>
      </c>
      <c r="M351" s="47" t="s">
        <v>1297</v>
      </c>
      <c r="N351" s="52" t="s">
        <v>192</v>
      </c>
      <c r="O351" s="51" t="e">
        <f>VLOOKUP(N351,[2]!RUBROS[#All],3,0)</f>
        <v>#REF!</v>
      </c>
      <c r="P351" s="53" t="e">
        <f>VLOOKUP(N351,[2]!RUBROS[#All],2,0)</f>
        <v>#REF!</v>
      </c>
      <c r="Q351" s="47" t="str">
        <f t="shared" si="201"/>
        <v>90</v>
      </c>
      <c r="R351" s="47" t="str">
        <f t="shared" si="202"/>
        <v>4-101124</v>
      </c>
      <c r="S351" s="339">
        <v>4</v>
      </c>
      <c r="T351" s="59" t="s">
        <v>46</v>
      </c>
      <c r="U351" s="326" t="e">
        <f ca="1">_xlfn.XLOOKUP(PAA_4[[#This Row],[ITEM]],[2]Contrato!A:A,[2]Contrato!Q:Q,"",0)</f>
        <v>#NAME?</v>
      </c>
      <c r="V351" s="47" t="s">
        <v>95</v>
      </c>
      <c r="W351" s="47" t="s">
        <v>193</v>
      </c>
      <c r="X351" s="47" t="s">
        <v>194</v>
      </c>
      <c r="Y351" s="55" t="e">
        <f ca="1">_xlfn.XLOOKUP(PAA_4[[#This Row],[ITEM]],[2]Contrato!A:A,[2]Contrato!B:B,"",0)</f>
        <v>#NAME?</v>
      </c>
      <c r="Z351" s="47" t="e">
        <f ca="1">_xlfn.XLOOKUP(PAA_4[[#This Row],[ITEM]],[2]Contrato!A:A,[2]Contrato!G:G,"",0)</f>
        <v>#NAME?</v>
      </c>
      <c r="AA351" s="47" t="e">
        <f ca="1">_xlfn.XLOOKUP(PAA_4[[#This Row],[ITEM]],[2]Contrato!A:A,[2]Contrato!T:T,"",0)</f>
        <v>#NAME?</v>
      </c>
      <c r="AB351" s="55" t="e">
        <f ca="1">+MAX(PAA_4[[#This Row],[Comprometido Contrato]],PAA_4[[#This Row],[Comprometido Bolsa]])</f>
        <v>#NAME?</v>
      </c>
      <c r="AC351" s="55" t="str">
        <f t="shared" ca="1" si="203"/>
        <v/>
      </c>
      <c r="AD351" s="55" t="e">
        <f ca="1">IF(PAA_4[[#This Row],[ESTADO (formulado)]]="NO CONTRATADO",0,MAX(PAA_4[[#This Row],[Pago por Contrato]],PAA_4[[#This Row],[Pago por bolsa]]))</f>
        <v>#NAME?</v>
      </c>
      <c r="AE351" s="55" t="str">
        <f t="shared" ca="1" si="204"/>
        <v/>
      </c>
      <c r="AF351" s="47" t="e">
        <f t="shared" ca="1" si="205"/>
        <v>#NAME?</v>
      </c>
      <c r="AG351" s="47">
        <f t="shared" si="206"/>
        <v>41080301</v>
      </c>
      <c r="AH351" s="54">
        <f>IF(Q351="22",IF(ISNUMBER(SEARCH("econ",PAA_4[[#This Row],[Actividad3]])),"Económico",IF(ISNUMBER(SEARCH("alim",PAA_4[[#This Row],[Actividad3]])),"Alimentación",IF(ISNUMBER(SEARCH("educ",PAA_4[[#This Row],[Actividad3]])),"Educativo","Técnico"))),0)</f>
        <v>0</v>
      </c>
      <c r="AI351" s="47" t="e" cm="1">
        <f t="array" aca="1" ref="AI351" ca="1">_xlfn.XLOOKUP(PAA_4[[#This Row],[RCP-RUBRO]],[2]!COMPROMISOS_2024[[#All],[concatenado]],[2]!COMPROMISOS_2024[[#All],[Total pagado]],"",0)</f>
        <v>#NAME?</v>
      </c>
      <c r="AJ351" s="56">
        <f>IF(PAA_4[[#This Row],[BOLSA]]=0,0,SUMIFS([2]!COMPROMISOS_2024[[#All],[Total pagado]],[2]!COMPROMISOS_2024[[#All],[Bolsa]],PAA_4[[#This Row],[BOLSA]],[2]!COMPROMISOS_2024[[#All],[rubro]],PAA_4[[#This Row],[RCP-RUBRO]]))</f>
        <v>0</v>
      </c>
      <c r="AK351" s="47" t="e" cm="1">
        <f t="array" aca="1" ref="AK351" ca="1">_xlfn.XLOOKUP(PAA_4[[#This Row],[RCP-RUBRO]],[2]!COMPROMISOS_2024[[#All],[concatenado]],[2]!COMPROMISOS_2024[[#All],[Total Comprometido]],"",0)</f>
        <v>#NAME?</v>
      </c>
      <c r="AL351" s="47">
        <f>IF(PAA_4[[#This Row],[BOLSA]]=0,0,SUMIFS([2]!COMPROMISOS_2024[[#All],[Total Comprometido]],[2]!COMPROMISOS_2024[[#All],[Bolsa]],PAA_4[[#This Row],[BOLSA]],[2]!COMPROMISOS_2024[[#All],[concatenado]],PAA_4[[#This Row],[RCP-RUBRO]]))</f>
        <v>0</v>
      </c>
    </row>
    <row r="352" spans="1:38" s="19" customFormat="1" ht="31.5" customHeight="1">
      <c r="A352" s="47">
        <v>775</v>
      </c>
      <c r="B352" s="304">
        <v>80111600</v>
      </c>
      <c r="C352" s="47" t="str">
        <f>VLOOKUP(PAA_4[[#This Row],[PROYECTO (formulado)2]],[2]PROYECTOS!$G$1:$L$32,6,0)</f>
        <v>OFICINA DE SISTEMAS</v>
      </c>
      <c r="D352" s="47" t="str">
        <f>+IF(PAA_4[[#This Row],[UNIDAD DE CONTRATACION (formulado)]]="Subgerencia Administrativa y Financiera","FUNCIONAMIENTO","INVERSIÓN")</f>
        <v>INVERSIÓN</v>
      </c>
      <c r="E352" s="48" t="str">
        <f>VLOOKUP(Q352,[2]PROYECTOS!$G$1:$K$32,5,0)</f>
        <v>MEJORAMIENTO_DEL_SISTEMA_DE_INFORMACIÓN_DE_INDEPORTES_ANTIOQUIA</v>
      </c>
      <c r="F352" s="48">
        <f>VLOOKUP(E352,[2]PROYECTOS!$K$1:$M$32,3,0)</f>
        <v>2020003050272</v>
      </c>
      <c r="G352" s="49" t="s">
        <v>180</v>
      </c>
      <c r="H352" s="49">
        <f>VLOOKUP(Q352,[2]PROYECTOS!$V$1:$W$32,2,0)</f>
        <v>220320</v>
      </c>
      <c r="I352" s="50">
        <v>0</v>
      </c>
      <c r="J352" s="51" t="s">
        <v>1490</v>
      </c>
      <c r="K352" s="47" t="str">
        <f t="shared" ca="1" si="200"/>
        <v>CONTRATADO</v>
      </c>
      <c r="L352" s="47" t="s">
        <v>94</v>
      </c>
      <c r="M352" s="47" t="s">
        <v>1297</v>
      </c>
      <c r="N352" s="52" t="s">
        <v>192</v>
      </c>
      <c r="O352" s="51" t="e">
        <f>VLOOKUP(N352,[2]!RUBROS[#All],3,0)</f>
        <v>#REF!</v>
      </c>
      <c r="P352" s="53" t="e">
        <f>VLOOKUP(N352,[2]!RUBROS[#All],2,0)</f>
        <v>#REF!</v>
      </c>
      <c r="Q352" s="47" t="str">
        <f t="shared" si="201"/>
        <v>90</v>
      </c>
      <c r="R352" s="47" t="str">
        <f t="shared" si="202"/>
        <v>4-101124</v>
      </c>
      <c r="S352" s="339">
        <v>4</v>
      </c>
      <c r="T352" s="59" t="s">
        <v>46</v>
      </c>
      <c r="U352" s="326" t="e">
        <f ca="1">_xlfn.XLOOKUP(PAA_4[[#This Row],[ITEM]],[2]Contrato!A:A,[2]Contrato!Q:Q,"",0)</f>
        <v>#NAME?</v>
      </c>
      <c r="V352" s="47" t="s">
        <v>95</v>
      </c>
      <c r="W352" s="47" t="s">
        <v>194</v>
      </c>
      <c r="X352" s="47" t="s">
        <v>194</v>
      </c>
      <c r="Y352" s="55" t="e">
        <f ca="1">_xlfn.XLOOKUP(PAA_4[[#This Row],[ITEM]],[2]Contrato!A:A,[2]Contrato!B:B,"",0)</f>
        <v>#NAME?</v>
      </c>
      <c r="Z352" s="47" t="e">
        <f ca="1">_xlfn.XLOOKUP(PAA_4[[#This Row],[ITEM]],[2]Contrato!A:A,[2]Contrato!G:G,"",0)</f>
        <v>#NAME?</v>
      </c>
      <c r="AA352" s="47" t="e">
        <f ca="1">_xlfn.XLOOKUP(PAA_4[[#This Row],[ITEM]],[2]Contrato!A:A,[2]Contrato!T:T,"",0)</f>
        <v>#NAME?</v>
      </c>
      <c r="AB352" s="55" t="e">
        <f ca="1">+MAX(PAA_4[[#This Row],[Comprometido Contrato]],PAA_4[[#This Row],[Comprometido Bolsa]])</f>
        <v>#NAME?</v>
      </c>
      <c r="AC352" s="55" t="str">
        <f t="shared" ca="1" si="203"/>
        <v/>
      </c>
      <c r="AD352" s="55" t="e">
        <f ca="1">IF(PAA_4[[#This Row],[ESTADO (formulado)]]="NO CONTRATADO",0,MAX(PAA_4[[#This Row],[Pago por Contrato]],PAA_4[[#This Row],[Pago por bolsa]]))</f>
        <v>#NAME?</v>
      </c>
      <c r="AE352" s="55" t="str">
        <f t="shared" ca="1" si="204"/>
        <v/>
      </c>
      <c r="AF352" s="47" t="e">
        <f t="shared" ca="1" si="205"/>
        <v>#NAME?</v>
      </c>
      <c r="AG352" s="47">
        <f t="shared" si="206"/>
        <v>41080301</v>
      </c>
      <c r="AH352" s="54">
        <f>IF(Q352="22",IF(ISNUMBER(SEARCH("econ",PAA_4[[#This Row],[Actividad3]])),"Económico",IF(ISNUMBER(SEARCH("alim",PAA_4[[#This Row],[Actividad3]])),"Alimentación",IF(ISNUMBER(SEARCH("educ",PAA_4[[#This Row],[Actividad3]])),"Educativo","Técnico"))),0)</f>
        <v>0</v>
      </c>
      <c r="AI352" s="47" t="e" cm="1">
        <f t="array" aca="1" ref="AI352" ca="1">_xlfn.XLOOKUP(PAA_4[[#This Row],[RCP-RUBRO]],[2]!COMPROMISOS_2024[[#All],[concatenado]],[2]!COMPROMISOS_2024[[#All],[Total pagado]],"",0)</f>
        <v>#NAME?</v>
      </c>
      <c r="AJ352" s="56">
        <f>IF(PAA_4[[#This Row],[BOLSA]]=0,0,SUMIFS([2]!COMPROMISOS_2024[[#All],[Total pagado]],[2]!COMPROMISOS_2024[[#All],[Bolsa]],PAA_4[[#This Row],[BOLSA]],[2]!COMPROMISOS_2024[[#All],[rubro]],PAA_4[[#This Row],[RCP-RUBRO]]))</f>
        <v>0</v>
      </c>
      <c r="AK352" s="47" t="e" cm="1">
        <f t="array" aca="1" ref="AK352" ca="1">_xlfn.XLOOKUP(PAA_4[[#This Row],[RCP-RUBRO]],[2]!COMPROMISOS_2024[[#All],[concatenado]],[2]!COMPROMISOS_2024[[#All],[Total Comprometido]],"",0)</f>
        <v>#NAME?</v>
      </c>
      <c r="AL352" s="47">
        <f>IF(PAA_4[[#This Row],[BOLSA]]=0,0,SUMIFS([2]!COMPROMISOS_2024[[#All],[Total Comprometido]],[2]!COMPROMISOS_2024[[#All],[Bolsa]],PAA_4[[#This Row],[BOLSA]],[2]!COMPROMISOS_2024[[#All],[concatenado]],PAA_4[[#This Row],[RCP-RUBRO]]))</f>
        <v>0</v>
      </c>
    </row>
    <row r="353" spans="1:38" s="19" customFormat="1" ht="31.5" customHeight="1">
      <c r="A353" s="47" t="s">
        <v>82</v>
      </c>
      <c r="B353" s="304" t="s">
        <v>42</v>
      </c>
      <c r="C353" s="47" t="str">
        <f>VLOOKUP(PAA_4[[#This Row],[PROYECTO (formulado)2]],[2]PROYECTOS!$G$1:$L$32,6,0)</f>
        <v>OFICINA DE SISTEMAS</v>
      </c>
      <c r="D353" s="47" t="str">
        <f>+IF(PAA_4[[#This Row],[UNIDAD DE CONTRATACION (formulado)]]="Subgerencia Administrativa y Financiera","FUNCIONAMIENTO","INVERSIÓN")</f>
        <v>INVERSIÓN</v>
      </c>
      <c r="E353" s="48" t="str">
        <f>VLOOKUP(Q353,[2]PROYECTOS!$G$1:$K$32,5,0)</f>
        <v>MEJORAMIENTO_DEL_SISTEMA_DE_INFORMACIÓN_DE_INDEPORTES_ANTIOQUIA</v>
      </c>
      <c r="F353" s="48">
        <f>VLOOKUP(E353,[2]PROYECTOS!$K$1:$M$32,3,0)</f>
        <v>2020003050272</v>
      </c>
      <c r="G353" s="49" t="s">
        <v>182</v>
      </c>
      <c r="H353" s="49">
        <f>VLOOKUP(Q353,[2]PROYECTOS!$V$1:$W$32,2,0)</f>
        <v>220320</v>
      </c>
      <c r="I353" s="50">
        <v>1619411</v>
      </c>
      <c r="J353" s="51" t="s">
        <v>1467</v>
      </c>
      <c r="K353" s="47" t="str">
        <f ca="1">IF(ISNONTEXT(Y353)=TRUE,"CONTRATADO","NO CONTRATADO")</f>
        <v>CONTRATADO</v>
      </c>
      <c r="L353" s="47" t="s">
        <v>42</v>
      </c>
      <c r="M353" s="47" t="s">
        <v>42</v>
      </c>
      <c r="N353" s="52" t="s">
        <v>192</v>
      </c>
      <c r="O353" s="51" t="e">
        <f>VLOOKUP(N353,[2]!RUBROS[#All],3,0)</f>
        <v>#REF!</v>
      </c>
      <c r="P353" s="53" t="e">
        <f>VLOOKUP(N353,[2]!RUBROS[#All],2,0)</f>
        <v>#REF!</v>
      </c>
      <c r="Q353" s="47" t="str">
        <f>+MID(N353,11,2)</f>
        <v>90</v>
      </c>
      <c r="R353" s="47" t="str">
        <f>+MID(N353,14,8)</f>
        <v>4-101124</v>
      </c>
      <c r="S353" s="339" t="s">
        <v>42</v>
      </c>
      <c r="T353" s="329" t="s">
        <v>42</v>
      </c>
      <c r="U353" s="326" t="e">
        <f ca="1">_xlfn.XLOOKUP(PAA_4[[#This Row],[ITEM]],[2]Contrato!A:A,[2]Contrato!Q:Q,"",0)</f>
        <v>#NAME?</v>
      </c>
      <c r="V353" s="47" t="s">
        <v>95</v>
      </c>
      <c r="W353" s="47" t="s">
        <v>42</v>
      </c>
      <c r="X353" s="47" t="s">
        <v>42</v>
      </c>
      <c r="Y353" s="55" t="e">
        <f ca="1">_xlfn.XLOOKUP(PAA_4[[#This Row],[ITEM]],[2]Contrato!A:A,[2]Contrato!B:B,"",0)</f>
        <v>#NAME?</v>
      </c>
      <c r="Z353" s="47" t="e">
        <f ca="1">_xlfn.XLOOKUP(PAA_4[[#This Row],[ITEM]],[2]Contrato!A:A,[2]Contrato!G:G,"",0)</f>
        <v>#NAME?</v>
      </c>
      <c r="AA353" s="47" t="e">
        <f ca="1">_xlfn.XLOOKUP(PAA_4[[#This Row],[ITEM]],[2]Contrato!A:A,[2]Contrato!T:T,"",0)</f>
        <v>#NAME?</v>
      </c>
      <c r="AB353" s="55" t="e">
        <f ca="1">+MAX(PAA_4[[#This Row],[Comprometido Contrato]],PAA_4[[#This Row],[Comprometido Bolsa]])</f>
        <v>#NAME?</v>
      </c>
      <c r="AC353" s="55" t="str">
        <f ca="1">IFERROR(I353-AB353,"")</f>
        <v/>
      </c>
      <c r="AD353" s="55" t="e">
        <f ca="1">IF(PAA_4[[#This Row],[ESTADO (formulado)]]="NO CONTRATADO",0,MAX(PAA_4[[#This Row],[Pago por Contrato]],PAA_4[[#This Row],[Pago por bolsa]]))</f>
        <v>#NAME?</v>
      </c>
      <c r="AE353" s="55" t="str">
        <f ca="1">+IFERROR(AB353-AD353,"")</f>
        <v/>
      </c>
      <c r="AF353" s="47" t="e">
        <f ca="1">+CONCATENATE(AA353,N353)</f>
        <v>#NAME?</v>
      </c>
      <c r="AG353" s="47">
        <f>IFERROR(_xlfn.NUMBERVALUE(MID(G353,1,8)),"")</f>
        <v>41080301</v>
      </c>
      <c r="AH353" s="54">
        <f>IF(Q353="22",IF(ISNUMBER(SEARCH("econ",PAA_4[[#This Row],[Actividad3]])),"Económico",IF(ISNUMBER(SEARCH("alim",PAA_4[[#This Row],[Actividad3]])),"Alimentación",IF(ISNUMBER(SEARCH("educ",PAA_4[[#This Row],[Actividad3]])),"Educativo","Técnico"))),0)</f>
        <v>0</v>
      </c>
      <c r="AI353" s="47" t="e" cm="1">
        <f t="array" aca="1" ref="AI353" ca="1">_xlfn.XLOOKUP(PAA_4[[#This Row],[RCP-RUBRO]],[2]!COMPROMISOS_2024[[#All],[concatenado]],[2]!COMPROMISOS_2024[[#All],[Total pagado]],"",0)</f>
        <v>#NAME?</v>
      </c>
      <c r="AJ353" s="56">
        <f>IF(PAA_4[[#This Row],[BOLSA]]=0,0,SUMIFS([2]!COMPROMISOS_2024[[#All],[Total pagado]],[2]!COMPROMISOS_2024[[#All],[Bolsa]],PAA_4[[#This Row],[BOLSA]],[2]!COMPROMISOS_2024[[#All],[rubro]],PAA_4[[#This Row],[RCP-RUBRO]]))</f>
        <v>0</v>
      </c>
      <c r="AK353" s="47" t="e" cm="1">
        <f t="array" aca="1" ref="AK353" ca="1">_xlfn.XLOOKUP(PAA_4[[#This Row],[RCP-RUBRO]],[2]!COMPROMISOS_2024[[#All],[concatenado]],[2]!COMPROMISOS_2024[[#All],[Total Comprometido]],"",0)</f>
        <v>#NAME?</v>
      </c>
      <c r="AL353" s="47">
        <f>IF(PAA_4[[#This Row],[BOLSA]]=0,0,SUMIFS([2]!COMPROMISOS_2024[[#All],[Total Comprometido]],[2]!COMPROMISOS_2024[[#All],[Bolsa]],PAA_4[[#This Row],[BOLSA]],[2]!COMPROMISOS_2024[[#All],[concatenado]],PAA_4[[#This Row],[RCP-RUBRO]]))</f>
        <v>0</v>
      </c>
    </row>
    <row r="354" spans="1:38" s="19" customFormat="1" ht="31.5" customHeight="1">
      <c r="A354" s="47">
        <v>776</v>
      </c>
      <c r="B354" s="304">
        <v>80111600</v>
      </c>
      <c r="C354" s="47" t="str">
        <f>VLOOKUP(PAA_4[[#This Row],[PROYECTO (formulado)2]],[2]PROYECTOS!$G$1:$L$32,6,0)</f>
        <v>OFICINA DE SISTEMAS</v>
      </c>
      <c r="D354" s="47" t="str">
        <f>+IF(PAA_4[[#This Row],[UNIDAD DE CONTRATACION (formulado)]]="Subgerencia Administrativa y Financiera","FUNCIONAMIENTO","INVERSIÓN")</f>
        <v>INVERSIÓN</v>
      </c>
      <c r="E354" s="48" t="str">
        <f>VLOOKUP(Q354,[2]PROYECTOS!$G$1:$K$32,5,0)</f>
        <v>MEJORAMIENTO_DEL_SISTEMA_DE_INFORMACIÓN_DE_INDEPORTES_ANTIOQUIA</v>
      </c>
      <c r="F354" s="48">
        <f>VLOOKUP(E354,[2]PROYECTOS!$K$1:$M$32,3,0)</f>
        <v>2020003050272</v>
      </c>
      <c r="G354" s="49" t="s">
        <v>182</v>
      </c>
      <c r="H354" s="49">
        <f>VLOOKUP(Q354,[2]PROYECTOS!$V$1:$W$32,2,0)</f>
        <v>220320</v>
      </c>
      <c r="I354" s="50">
        <f>18302744-303341-1316070</f>
        <v>16683333</v>
      </c>
      <c r="J354" s="51" t="s">
        <v>1491</v>
      </c>
      <c r="K354" s="47" t="str">
        <f t="shared" ref="K354:K426" ca="1" si="207">IF(ISNONTEXT(Y354)=TRUE,"CONTRATADO","NO CONTRATADO")</f>
        <v>CONTRATADO</v>
      </c>
      <c r="L354" s="47" t="s">
        <v>94</v>
      </c>
      <c r="M354" s="47" t="s">
        <v>1297</v>
      </c>
      <c r="N354" s="52" t="s">
        <v>192</v>
      </c>
      <c r="O354" s="51" t="e">
        <f>VLOOKUP(N354,[2]!RUBROS[#All],3,0)</f>
        <v>#REF!</v>
      </c>
      <c r="P354" s="53" t="e">
        <f>VLOOKUP(N354,[2]!RUBROS[#All],2,0)</f>
        <v>#REF!</v>
      </c>
      <c r="Q354" s="47" t="str">
        <f t="shared" ref="Q354:Q363" si="208">+MID(N354,11,2)</f>
        <v>90</v>
      </c>
      <c r="R354" s="47" t="str">
        <f t="shared" ref="R354:R426" si="209">+MID(N354,14,8)</f>
        <v>4-101124</v>
      </c>
      <c r="S354" s="339">
        <v>4</v>
      </c>
      <c r="T354" s="59" t="s">
        <v>46</v>
      </c>
      <c r="U354" s="326" t="e">
        <f ca="1">_xlfn.XLOOKUP(PAA_4[[#This Row],[ITEM]],[2]Contrato!A:A,[2]Contrato!Q:Q,"",0)</f>
        <v>#NAME?</v>
      </c>
      <c r="V354" s="47" t="s">
        <v>95</v>
      </c>
      <c r="W354" s="47" t="s">
        <v>194</v>
      </c>
      <c r="X354" s="47" t="s">
        <v>194</v>
      </c>
      <c r="Y354" s="55" t="e">
        <f ca="1">_xlfn.XLOOKUP(PAA_4[[#This Row],[ITEM]],[2]Contrato!A:A,[2]Contrato!B:B,"",0)</f>
        <v>#NAME?</v>
      </c>
      <c r="Z354" s="47" t="e">
        <f ca="1">_xlfn.XLOOKUP(PAA_4[[#This Row],[ITEM]],[2]Contrato!A:A,[2]Contrato!G:G,"",0)</f>
        <v>#NAME?</v>
      </c>
      <c r="AA354" s="47" t="e">
        <f ca="1">_xlfn.XLOOKUP(PAA_4[[#This Row],[ITEM]],[2]Contrato!A:A,[2]Contrato!T:T,"",0)</f>
        <v>#NAME?</v>
      </c>
      <c r="AB354" s="55" t="e">
        <f ca="1">+MAX(PAA_4[[#This Row],[Comprometido Contrato]],PAA_4[[#This Row],[Comprometido Bolsa]])</f>
        <v>#NAME?</v>
      </c>
      <c r="AC354" s="55" t="str">
        <f t="shared" ref="AC354:AC432" ca="1" si="210">IFERROR(I354-AB354,"")</f>
        <v/>
      </c>
      <c r="AD354" s="55" t="e">
        <f ca="1">IF(PAA_4[[#This Row],[ESTADO (formulado)]]="NO CONTRATADO",0,MAX(PAA_4[[#This Row],[Pago por Contrato]],PAA_4[[#This Row],[Pago por bolsa]]))</f>
        <v>#NAME?</v>
      </c>
      <c r="AE354" s="55" t="str">
        <f t="shared" ref="AE354:AE426" ca="1" si="211">+IFERROR(AB354-AD354,"")</f>
        <v/>
      </c>
      <c r="AF354" s="47" t="e">
        <f t="shared" ref="AF354:AF426" ca="1" si="212">+CONCATENATE(AA354,N354)</f>
        <v>#NAME?</v>
      </c>
      <c r="AG354" s="47">
        <f t="shared" ref="AG354:AG426" si="213">IFERROR(_xlfn.NUMBERVALUE(MID(G354,1,8)),"")</f>
        <v>41080301</v>
      </c>
      <c r="AH354" s="54">
        <f>IF(Q354="22",IF(ISNUMBER(SEARCH("econ",PAA_4[[#This Row],[Actividad3]])),"Económico",IF(ISNUMBER(SEARCH("alim",PAA_4[[#This Row],[Actividad3]])),"Alimentación",IF(ISNUMBER(SEARCH("educ",PAA_4[[#This Row],[Actividad3]])),"Educativo","Técnico"))),0)</f>
        <v>0</v>
      </c>
      <c r="AI354" s="47" t="e" cm="1">
        <f t="array" aca="1" ref="AI354" ca="1">_xlfn.XLOOKUP(PAA_4[[#This Row],[RCP-RUBRO]],[2]!COMPROMISOS_2024[[#All],[concatenado]],[2]!COMPROMISOS_2024[[#All],[Total pagado]],"",0)</f>
        <v>#NAME?</v>
      </c>
      <c r="AJ354" s="56">
        <f>IF(PAA_4[[#This Row],[BOLSA]]=0,0,SUMIFS([2]!COMPROMISOS_2024[[#All],[Total pagado]],[2]!COMPROMISOS_2024[[#All],[Bolsa]],PAA_4[[#This Row],[BOLSA]],[2]!COMPROMISOS_2024[[#All],[rubro]],PAA_4[[#This Row],[RCP-RUBRO]]))</f>
        <v>0</v>
      </c>
      <c r="AK354" s="47" t="e" cm="1">
        <f t="array" aca="1" ref="AK354" ca="1">_xlfn.XLOOKUP(PAA_4[[#This Row],[RCP-RUBRO]],[2]!COMPROMISOS_2024[[#All],[concatenado]],[2]!COMPROMISOS_2024[[#All],[Total Comprometido]],"",0)</f>
        <v>#NAME?</v>
      </c>
      <c r="AL354" s="47">
        <f>IF(PAA_4[[#This Row],[BOLSA]]=0,0,SUMIFS([2]!COMPROMISOS_2024[[#All],[Total Comprometido]],[2]!COMPROMISOS_2024[[#All],[Bolsa]],PAA_4[[#This Row],[BOLSA]],[2]!COMPROMISOS_2024[[#All],[concatenado]],PAA_4[[#This Row],[RCP-RUBRO]]))</f>
        <v>0</v>
      </c>
    </row>
    <row r="355" spans="1:38" s="19" customFormat="1" ht="31.5" customHeight="1">
      <c r="A355" s="47">
        <v>777</v>
      </c>
      <c r="B355" s="304">
        <v>80111600</v>
      </c>
      <c r="C355" s="47" t="str">
        <f>VLOOKUP(PAA_4[[#This Row],[PROYECTO (formulado)2]],[2]PROYECTOS!$G$1:$L$32,6,0)</f>
        <v>OFICINA DE SISTEMAS</v>
      </c>
      <c r="D355" s="47" t="str">
        <f>+IF(PAA_4[[#This Row],[UNIDAD DE CONTRATACION (formulado)]]="Subgerencia Administrativa y Financiera","FUNCIONAMIENTO","INVERSIÓN")</f>
        <v>INVERSIÓN</v>
      </c>
      <c r="E355" s="48" t="str">
        <f>VLOOKUP(Q355,[2]PROYECTOS!$G$1:$K$32,5,0)</f>
        <v>MEJORAMIENTO_DEL_SISTEMA_DE_INFORMACIÓN_DE_INDEPORTES_ANTIOQUIA</v>
      </c>
      <c r="F355" s="48">
        <f>VLOOKUP(E355,[2]PROYECTOS!$K$1:$M$32,3,0)</f>
        <v>2020003050272</v>
      </c>
      <c r="G355" s="49" t="s">
        <v>180</v>
      </c>
      <c r="H355" s="49">
        <f>VLOOKUP(Q355,[2]PROYECTOS!$V$1:$W$32,2,0)</f>
        <v>220320</v>
      </c>
      <c r="I355" s="50">
        <v>0</v>
      </c>
      <c r="J355" s="51" t="s">
        <v>1492</v>
      </c>
      <c r="K355" s="47" t="str">
        <f t="shared" ca="1" si="207"/>
        <v>CONTRATADO</v>
      </c>
      <c r="L355" s="47" t="s">
        <v>94</v>
      </c>
      <c r="M355" s="47" t="s">
        <v>1297</v>
      </c>
      <c r="N355" s="52" t="s">
        <v>192</v>
      </c>
      <c r="O355" s="51" t="e">
        <f>VLOOKUP(N355,[2]!RUBROS[#All],3,0)</f>
        <v>#REF!</v>
      </c>
      <c r="P355" s="53" t="e">
        <f>VLOOKUP(N355,[2]!RUBROS[#All],2,0)</f>
        <v>#REF!</v>
      </c>
      <c r="Q355" s="47" t="str">
        <f t="shared" si="208"/>
        <v>90</v>
      </c>
      <c r="R355" s="47" t="str">
        <f t="shared" si="209"/>
        <v>4-101124</v>
      </c>
      <c r="S355" s="339">
        <v>2</v>
      </c>
      <c r="T355" s="59" t="s">
        <v>46</v>
      </c>
      <c r="U355" s="326" t="e">
        <f ca="1">_xlfn.XLOOKUP(PAA_4[[#This Row],[ITEM]],[2]Contrato!A:A,[2]Contrato!Q:Q,"",0)</f>
        <v>#NAME?</v>
      </c>
      <c r="V355" s="47" t="s">
        <v>95</v>
      </c>
      <c r="W355" s="47" t="s">
        <v>200</v>
      </c>
      <c r="X355" s="47" t="s">
        <v>200</v>
      </c>
      <c r="Y355" s="55" t="e">
        <f ca="1">_xlfn.XLOOKUP(PAA_4[[#This Row],[ITEM]],[2]Contrato!A:A,[2]Contrato!B:B,"",0)</f>
        <v>#NAME?</v>
      </c>
      <c r="Z355" s="47" t="e">
        <f ca="1">_xlfn.XLOOKUP(PAA_4[[#This Row],[ITEM]],[2]Contrato!A:A,[2]Contrato!G:G,"",0)</f>
        <v>#NAME?</v>
      </c>
      <c r="AA355" s="47" t="e">
        <f ca="1">_xlfn.XLOOKUP(PAA_4[[#This Row],[ITEM]],[2]Contrato!A:A,[2]Contrato!T:T,"",0)</f>
        <v>#NAME?</v>
      </c>
      <c r="AB355" s="55" t="e">
        <f ca="1">+MAX(PAA_4[[#This Row],[Comprometido Contrato]],PAA_4[[#This Row],[Comprometido Bolsa]])</f>
        <v>#NAME?</v>
      </c>
      <c r="AC355" s="55" t="str">
        <f t="shared" ca="1" si="210"/>
        <v/>
      </c>
      <c r="AD355" s="55" t="e">
        <f ca="1">IF(PAA_4[[#This Row],[ESTADO (formulado)]]="NO CONTRATADO",0,MAX(PAA_4[[#This Row],[Pago por Contrato]],PAA_4[[#This Row],[Pago por bolsa]]))</f>
        <v>#NAME?</v>
      </c>
      <c r="AE355" s="55" t="str">
        <f t="shared" ca="1" si="211"/>
        <v/>
      </c>
      <c r="AF355" s="47" t="e">
        <f t="shared" ca="1" si="212"/>
        <v>#NAME?</v>
      </c>
      <c r="AG355" s="47">
        <f t="shared" si="213"/>
        <v>41080301</v>
      </c>
      <c r="AH355" s="54">
        <f>IF(Q355="22",IF(ISNUMBER(SEARCH("econ",PAA_4[[#This Row],[Actividad3]])),"Económico",IF(ISNUMBER(SEARCH("alim",PAA_4[[#This Row],[Actividad3]])),"Alimentación",IF(ISNUMBER(SEARCH("educ",PAA_4[[#This Row],[Actividad3]])),"Educativo","Técnico"))),0)</f>
        <v>0</v>
      </c>
      <c r="AI355" s="47" t="e" cm="1">
        <f t="array" aca="1" ref="AI355" ca="1">_xlfn.XLOOKUP(PAA_4[[#This Row],[RCP-RUBRO]],[2]!COMPROMISOS_2024[[#All],[concatenado]],[2]!COMPROMISOS_2024[[#All],[Total pagado]],"",0)</f>
        <v>#NAME?</v>
      </c>
      <c r="AJ355" s="56">
        <f>IF(PAA_4[[#This Row],[BOLSA]]=0,0,SUMIFS([2]!COMPROMISOS_2024[[#All],[Total pagado]],[2]!COMPROMISOS_2024[[#All],[Bolsa]],PAA_4[[#This Row],[BOLSA]],[2]!COMPROMISOS_2024[[#All],[rubro]],PAA_4[[#This Row],[RCP-RUBRO]]))</f>
        <v>0</v>
      </c>
      <c r="AK355" s="47" t="e" cm="1">
        <f t="array" aca="1" ref="AK355" ca="1">_xlfn.XLOOKUP(PAA_4[[#This Row],[RCP-RUBRO]],[2]!COMPROMISOS_2024[[#All],[concatenado]],[2]!COMPROMISOS_2024[[#All],[Total Comprometido]],"",0)</f>
        <v>#NAME?</v>
      </c>
      <c r="AL355" s="47">
        <f>IF(PAA_4[[#This Row],[BOLSA]]=0,0,SUMIFS([2]!COMPROMISOS_2024[[#All],[Total Comprometido]],[2]!COMPROMISOS_2024[[#All],[Bolsa]],PAA_4[[#This Row],[BOLSA]],[2]!COMPROMISOS_2024[[#All],[concatenado]],PAA_4[[#This Row],[RCP-RUBRO]]))</f>
        <v>0</v>
      </c>
    </row>
    <row r="356" spans="1:38" s="19" customFormat="1" ht="31.5" customHeight="1">
      <c r="A356" s="47" t="s">
        <v>82</v>
      </c>
      <c r="B356" s="304" t="s">
        <v>42</v>
      </c>
      <c r="C356" s="47" t="str">
        <f>VLOOKUP(PAA_4[[#This Row],[PROYECTO (formulado)2]],[2]PROYECTOS!$G$1:$L$32,6,0)</f>
        <v>OFICINA DE SISTEMAS</v>
      </c>
      <c r="D356" s="47" t="str">
        <f>+IF(PAA_4[[#This Row],[UNIDAD DE CONTRATACION (formulado)]]="Subgerencia Administrativa y Financiera","FUNCIONAMIENTO","INVERSIÓN")</f>
        <v>INVERSIÓN</v>
      </c>
      <c r="E356" s="48" t="str">
        <f>VLOOKUP(Q356,[2]PROYECTOS!$G$1:$K$32,5,0)</f>
        <v>MEJORAMIENTO_DEL_SISTEMA_DE_INFORMACIÓN_DE_INDEPORTES_ANTIOQUIA</v>
      </c>
      <c r="F356" s="48">
        <f>VLOOKUP(E356,[2]PROYECTOS!$K$1:$M$32,3,0)</f>
        <v>2020003050272</v>
      </c>
      <c r="G356" s="49" t="s">
        <v>189</v>
      </c>
      <c r="H356" s="49">
        <f>VLOOKUP(Q356,[2]PROYECTOS!$V$1:$W$32,2,0)</f>
        <v>220320</v>
      </c>
      <c r="I356" s="50">
        <v>0</v>
      </c>
      <c r="J356" s="51" t="s">
        <v>1493</v>
      </c>
      <c r="K356" s="47" t="str">
        <f t="shared" ca="1" si="207"/>
        <v>CONTRATADO</v>
      </c>
      <c r="L356" s="47" t="s">
        <v>42</v>
      </c>
      <c r="M356" s="47" t="s">
        <v>42</v>
      </c>
      <c r="N356" s="52" t="s">
        <v>192</v>
      </c>
      <c r="O356" s="51" t="e">
        <f>VLOOKUP(N356,[2]!RUBROS[#All],3,0)</f>
        <v>#REF!</v>
      </c>
      <c r="P356" s="53" t="e">
        <f>VLOOKUP(N356,[2]!RUBROS[#All],2,0)</f>
        <v>#REF!</v>
      </c>
      <c r="Q356" s="47" t="str">
        <f t="shared" si="208"/>
        <v>90</v>
      </c>
      <c r="R356" s="47" t="str">
        <f t="shared" si="209"/>
        <v>4-101124</v>
      </c>
      <c r="S356" s="339" t="s">
        <v>42</v>
      </c>
      <c r="T356" s="59" t="s">
        <v>46</v>
      </c>
      <c r="U356" s="326" t="e">
        <f ca="1">_xlfn.XLOOKUP(PAA_4[[#This Row],[ITEM]],[2]Contrato!A:A,[2]Contrato!Q:Q,"",0)</f>
        <v>#NAME?</v>
      </c>
      <c r="V356" s="47" t="s">
        <v>95</v>
      </c>
      <c r="W356" s="47" t="s">
        <v>42</v>
      </c>
      <c r="X356" s="47" t="s">
        <v>42</v>
      </c>
      <c r="Y356" s="55" t="e">
        <f ca="1">_xlfn.XLOOKUP(PAA_4[[#This Row],[ITEM]],[2]Contrato!A:A,[2]Contrato!B:B,"",0)</f>
        <v>#NAME?</v>
      </c>
      <c r="Z356" s="47" t="e">
        <f ca="1">_xlfn.XLOOKUP(PAA_4[[#This Row],[ITEM]],[2]Contrato!A:A,[2]Contrato!G:G,"",0)</f>
        <v>#NAME?</v>
      </c>
      <c r="AA356" s="47" t="e">
        <f ca="1">_xlfn.XLOOKUP(PAA_4[[#This Row],[ITEM]],[2]Contrato!A:A,[2]Contrato!T:T,"",0)</f>
        <v>#NAME?</v>
      </c>
      <c r="AB356" s="55" t="e">
        <f ca="1">+MAX(PAA_4[[#This Row],[Comprometido Contrato]],PAA_4[[#This Row],[Comprometido Bolsa]])</f>
        <v>#NAME?</v>
      </c>
      <c r="AC356" s="55" t="str">
        <f t="shared" ca="1" si="210"/>
        <v/>
      </c>
      <c r="AD356" s="55" t="e">
        <f ca="1">IF(PAA_4[[#This Row],[ESTADO (formulado)]]="NO CONTRATADO",0,MAX(PAA_4[[#This Row],[Pago por Contrato]],PAA_4[[#This Row],[Pago por bolsa]]))</f>
        <v>#NAME?</v>
      </c>
      <c r="AE356" s="55" t="str">
        <f t="shared" ca="1" si="211"/>
        <v/>
      </c>
      <c r="AF356" s="47" t="e">
        <f t="shared" ca="1" si="212"/>
        <v>#NAME?</v>
      </c>
      <c r="AG356" s="47">
        <f t="shared" si="213"/>
        <v>41080301</v>
      </c>
      <c r="AH356" s="54">
        <f>IF(Q356="22",IF(ISNUMBER(SEARCH("econ",PAA_4[[#This Row],[Actividad3]])),"Económico",IF(ISNUMBER(SEARCH("alim",PAA_4[[#This Row],[Actividad3]])),"Alimentación",IF(ISNUMBER(SEARCH("educ",PAA_4[[#This Row],[Actividad3]])),"Educativo","Técnico"))),0)</f>
        <v>0</v>
      </c>
      <c r="AI356" s="47" t="e" cm="1">
        <f t="array" aca="1" ref="AI356" ca="1">_xlfn.XLOOKUP(PAA_4[[#This Row],[RCP-RUBRO]],[2]!COMPROMISOS_2024[[#All],[concatenado]],[2]!COMPROMISOS_2024[[#All],[Total pagado]],"",0)</f>
        <v>#NAME?</v>
      </c>
      <c r="AJ356" s="56">
        <f>IF(PAA_4[[#This Row],[BOLSA]]=0,0,SUMIFS([2]!COMPROMISOS_2024[[#All],[Total pagado]],[2]!COMPROMISOS_2024[[#All],[Bolsa]],PAA_4[[#This Row],[BOLSA]],[2]!COMPROMISOS_2024[[#All],[rubro]],PAA_4[[#This Row],[RCP-RUBRO]]))</f>
        <v>0</v>
      </c>
      <c r="AK356" s="47" t="e" cm="1">
        <f t="array" aca="1" ref="AK356" ca="1">_xlfn.XLOOKUP(PAA_4[[#This Row],[RCP-RUBRO]],[2]!COMPROMISOS_2024[[#All],[concatenado]],[2]!COMPROMISOS_2024[[#All],[Total Comprometido]],"",0)</f>
        <v>#NAME?</v>
      </c>
      <c r="AL356" s="47">
        <f>IF(PAA_4[[#This Row],[BOLSA]]=0,0,SUMIFS([2]!COMPROMISOS_2024[[#All],[Total Comprometido]],[2]!COMPROMISOS_2024[[#All],[Bolsa]],PAA_4[[#This Row],[BOLSA]],[2]!COMPROMISOS_2024[[#All],[concatenado]],PAA_4[[#This Row],[RCP-RUBRO]]))</f>
        <v>0</v>
      </c>
    </row>
    <row r="357" spans="1:38" s="19" customFormat="1" ht="31.5" customHeight="1">
      <c r="A357" s="47" t="s">
        <v>82</v>
      </c>
      <c r="B357" s="304" t="s">
        <v>42</v>
      </c>
      <c r="C357" s="47" t="str">
        <f>VLOOKUP(PAA_4[[#This Row],[PROYECTO (formulado)2]],[2]PROYECTOS!$G$1:$L$32,6,0)</f>
        <v>OFICINA DE SISTEMAS</v>
      </c>
      <c r="D357" s="47" t="str">
        <f>+IF(PAA_4[[#This Row],[UNIDAD DE CONTRATACION (formulado)]]="Subgerencia Administrativa y Financiera","FUNCIONAMIENTO","INVERSIÓN")</f>
        <v>INVERSIÓN</v>
      </c>
      <c r="E357" s="48" t="str">
        <f>VLOOKUP(Q357,[2]PROYECTOS!$G$1:$K$32,5,0)</f>
        <v>MEJORAMIENTO_DEL_SISTEMA_DE_INFORMACIÓN_DE_INDEPORTES_ANTIOQUIA</v>
      </c>
      <c r="F357" s="48">
        <f>VLOOKUP(E357,[2]PROYECTOS!$K$1:$M$32,3,0)</f>
        <v>2020003050272</v>
      </c>
      <c r="G357" s="49" t="s">
        <v>183</v>
      </c>
      <c r="H357" s="49">
        <f>VLOOKUP(Q357,[2]PROYECTOS!$V$1:$W$32,2,0)</f>
        <v>220320</v>
      </c>
      <c r="I357" s="50">
        <v>0</v>
      </c>
      <c r="J357" s="51" t="s">
        <v>1493</v>
      </c>
      <c r="K357" s="47" t="str">
        <f t="shared" ca="1" si="207"/>
        <v>CONTRATADO</v>
      </c>
      <c r="L357" s="47" t="s">
        <v>42</v>
      </c>
      <c r="M357" s="47" t="s">
        <v>42</v>
      </c>
      <c r="N357" s="52" t="s">
        <v>192</v>
      </c>
      <c r="O357" s="51" t="e">
        <f>VLOOKUP(N357,[2]!RUBROS[#All],3,0)</f>
        <v>#REF!</v>
      </c>
      <c r="P357" s="53" t="e">
        <f>VLOOKUP(N357,[2]!RUBROS[#All],2,0)</f>
        <v>#REF!</v>
      </c>
      <c r="Q357" s="47" t="str">
        <f t="shared" si="208"/>
        <v>90</v>
      </c>
      <c r="R357" s="47" t="str">
        <f t="shared" si="209"/>
        <v>4-101124</v>
      </c>
      <c r="S357" s="339" t="s">
        <v>42</v>
      </c>
      <c r="T357" s="59" t="s">
        <v>46</v>
      </c>
      <c r="U357" s="326" t="e">
        <f ca="1">_xlfn.XLOOKUP(PAA_4[[#This Row],[ITEM]],[2]Contrato!A:A,[2]Contrato!Q:Q,"",0)</f>
        <v>#NAME?</v>
      </c>
      <c r="V357" s="47" t="s">
        <v>95</v>
      </c>
      <c r="W357" s="47" t="s">
        <v>42</v>
      </c>
      <c r="X357" s="47" t="s">
        <v>42</v>
      </c>
      <c r="Y357" s="55" t="e">
        <f ca="1">_xlfn.XLOOKUP(PAA_4[[#This Row],[ITEM]],[2]Contrato!A:A,[2]Contrato!B:B,"",0)</f>
        <v>#NAME?</v>
      </c>
      <c r="Z357" s="47" t="e">
        <f ca="1">_xlfn.XLOOKUP(PAA_4[[#This Row],[ITEM]],[2]Contrato!A:A,[2]Contrato!G:G,"",0)</f>
        <v>#NAME?</v>
      </c>
      <c r="AA357" s="47" t="e">
        <f ca="1">_xlfn.XLOOKUP(PAA_4[[#This Row],[ITEM]],[2]Contrato!A:A,[2]Contrato!T:T,"",0)</f>
        <v>#NAME?</v>
      </c>
      <c r="AB357" s="55" t="e">
        <f ca="1">+MAX(PAA_4[[#This Row],[Comprometido Contrato]],PAA_4[[#This Row],[Comprometido Bolsa]])</f>
        <v>#NAME?</v>
      </c>
      <c r="AC357" s="55" t="str">
        <f t="shared" ca="1" si="210"/>
        <v/>
      </c>
      <c r="AD357" s="55" t="e">
        <f ca="1">IF(PAA_4[[#This Row],[ESTADO (formulado)]]="NO CONTRATADO",0,MAX(PAA_4[[#This Row],[Pago por Contrato]],PAA_4[[#This Row],[Pago por bolsa]]))</f>
        <v>#NAME?</v>
      </c>
      <c r="AE357" s="55" t="str">
        <f t="shared" ca="1" si="211"/>
        <v/>
      </c>
      <c r="AF357" s="47" t="e">
        <f t="shared" ca="1" si="212"/>
        <v>#NAME?</v>
      </c>
      <c r="AG357" s="47">
        <f t="shared" si="213"/>
        <v>41080301</v>
      </c>
      <c r="AH357" s="54">
        <f>IF(Q357="22",IF(ISNUMBER(SEARCH("econ",PAA_4[[#This Row],[Actividad3]])),"Económico",IF(ISNUMBER(SEARCH("alim",PAA_4[[#This Row],[Actividad3]])),"Alimentación",IF(ISNUMBER(SEARCH("educ",PAA_4[[#This Row],[Actividad3]])),"Educativo","Técnico"))),0)</f>
        <v>0</v>
      </c>
      <c r="AI357" s="47" t="e" cm="1">
        <f t="array" aca="1" ref="AI357" ca="1">_xlfn.XLOOKUP(PAA_4[[#This Row],[RCP-RUBRO]],[2]!COMPROMISOS_2024[[#All],[concatenado]],[2]!COMPROMISOS_2024[[#All],[Total pagado]],"",0)</f>
        <v>#NAME?</v>
      </c>
      <c r="AJ357" s="56">
        <f>IF(PAA_4[[#This Row],[BOLSA]]=0,0,SUMIFS([2]!COMPROMISOS_2024[[#All],[Total pagado]],[2]!COMPROMISOS_2024[[#All],[Bolsa]],PAA_4[[#This Row],[BOLSA]],[2]!COMPROMISOS_2024[[#All],[rubro]],PAA_4[[#This Row],[RCP-RUBRO]]))</f>
        <v>0</v>
      </c>
      <c r="AK357" s="47" t="e" cm="1">
        <f t="array" aca="1" ref="AK357" ca="1">_xlfn.XLOOKUP(PAA_4[[#This Row],[RCP-RUBRO]],[2]!COMPROMISOS_2024[[#All],[concatenado]],[2]!COMPROMISOS_2024[[#All],[Total Comprometido]],"",0)</f>
        <v>#NAME?</v>
      </c>
      <c r="AL357" s="47">
        <f>IF(PAA_4[[#This Row],[BOLSA]]=0,0,SUMIFS([2]!COMPROMISOS_2024[[#All],[Total Comprometido]],[2]!COMPROMISOS_2024[[#All],[Bolsa]],PAA_4[[#This Row],[BOLSA]],[2]!COMPROMISOS_2024[[#All],[concatenado]],PAA_4[[#This Row],[RCP-RUBRO]]))</f>
        <v>0</v>
      </c>
    </row>
    <row r="358" spans="1:38" s="19" customFormat="1" ht="31.5" customHeight="1">
      <c r="A358" s="47">
        <v>58</v>
      </c>
      <c r="B358" s="47" t="s">
        <v>205</v>
      </c>
      <c r="C358" s="47" t="str">
        <f>VLOOKUP(PAA_4[[#This Row],[PROYECTO (formulado)2]],[2]PROYECTOS!$G$1:$L$32,6,0)</f>
        <v>OFICINA DE SISTEMAS</v>
      </c>
      <c r="D358" s="47" t="str">
        <f>+IF(PAA_4[[#This Row],[UNIDAD DE CONTRATACION (formulado)]]="Subgerencia Administrativa y Financiera","FUNCIONAMIENTO","INVERSIÓN")</f>
        <v>INVERSIÓN</v>
      </c>
      <c r="E358" s="48" t="str">
        <f>VLOOKUP(Q358,[2]PROYECTOS!$G$1:$K$32,5,0)</f>
        <v>MEJORAMIENTO_DEL_SISTEMA_DE_INFORMACIÓN_DE_INDEPORTES_ANTIOQUIA</v>
      </c>
      <c r="F358" s="48">
        <f>VLOOKUP(E358,[2]PROYECTOS!$K$1:$M$32,3,0)</f>
        <v>2020003050272</v>
      </c>
      <c r="G358" s="49" t="s">
        <v>182</v>
      </c>
      <c r="H358" s="49">
        <f>VLOOKUP(Q358,[2]PROYECTOS!$V$1:$W$32,2,0)</f>
        <v>220320</v>
      </c>
      <c r="I358" s="50">
        <v>0</v>
      </c>
      <c r="J358" s="51" t="s">
        <v>1494</v>
      </c>
      <c r="K358" s="47" t="str">
        <f t="shared" ca="1" si="207"/>
        <v>CONTRATADO</v>
      </c>
      <c r="L358" s="47" t="s">
        <v>110</v>
      </c>
      <c r="M358" s="47" t="s">
        <v>191</v>
      </c>
      <c r="N358" s="52" t="s">
        <v>192</v>
      </c>
      <c r="O358" s="51" t="e">
        <f>VLOOKUP(N358,[2]!RUBROS[#All],3,0)</f>
        <v>#REF!</v>
      </c>
      <c r="P358" s="53" t="e">
        <f>VLOOKUP(N358,[2]!RUBROS[#All],2,0)</f>
        <v>#REF!</v>
      </c>
      <c r="Q358" s="47" t="str">
        <f t="shared" si="208"/>
        <v>90</v>
      </c>
      <c r="R358" s="47" t="str">
        <f t="shared" si="209"/>
        <v>4-101124</v>
      </c>
      <c r="S358" s="339">
        <v>1</v>
      </c>
      <c r="T358" s="59" t="s">
        <v>46</v>
      </c>
      <c r="U358" s="326" t="e">
        <f ca="1">_xlfn.XLOOKUP(PAA_4[[#This Row],[ITEM]],[2]Contrato!A:A,[2]Contrato!Q:Q,"",0)</f>
        <v>#NAME?</v>
      </c>
      <c r="V358" s="47" t="s">
        <v>95</v>
      </c>
      <c r="W358" s="47" t="s">
        <v>200</v>
      </c>
      <c r="X358" s="47" t="s">
        <v>201</v>
      </c>
      <c r="Y358" s="55" t="e">
        <f ca="1">_xlfn.XLOOKUP(PAA_4[[#This Row],[ITEM]],[2]Contrato!A:A,[2]Contrato!B:B,"",0)</f>
        <v>#NAME?</v>
      </c>
      <c r="Z358" s="47" t="e">
        <f ca="1">_xlfn.XLOOKUP(PAA_4[[#This Row],[ITEM]],[2]Contrato!A:A,[2]Contrato!G:G,"",0)</f>
        <v>#NAME?</v>
      </c>
      <c r="AA358" s="47" t="e">
        <f ca="1">_xlfn.XLOOKUP(PAA_4[[#This Row],[ITEM]],[2]Contrato!A:A,[2]Contrato!T:T,"",0)</f>
        <v>#NAME?</v>
      </c>
      <c r="AB358" s="55" t="e">
        <f ca="1">+MAX(PAA_4[[#This Row],[Comprometido Contrato]],PAA_4[[#This Row],[Comprometido Bolsa]])</f>
        <v>#NAME?</v>
      </c>
      <c r="AC358" s="55" t="str">
        <f t="shared" ca="1" si="210"/>
        <v/>
      </c>
      <c r="AD358" s="55" t="e">
        <f ca="1">IF(PAA_4[[#This Row],[ESTADO (formulado)]]="NO CONTRATADO",0,MAX(PAA_4[[#This Row],[Pago por Contrato]],PAA_4[[#This Row],[Pago por bolsa]]))</f>
        <v>#NAME?</v>
      </c>
      <c r="AE358" s="55" t="str">
        <f t="shared" ca="1" si="211"/>
        <v/>
      </c>
      <c r="AF358" s="47" t="e">
        <f t="shared" ca="1" si="212"/>
        <v>#NAME?</v>
      </c>
      <c r="AG358" s="47">
        <f t="shared" si="213"/>
        <v>41080301</v>
      </c>
      <c r="AH358" s="54">
        <f>IF(Q358="22",IF(ISNUMBER(SEARCH("econ",PAA_4[[#This Row],[Actividad3]])),"Económico",IF(ISNUMBER(SEARCH("alim",PAA_4[[#This Row],[Actividad3]])),"Alimentación",IF(ISNUMBER(SEARCH("educ",PAA_4[[#This Row],[Actividad3]])),"Educativo","Técnico"))),0)</f>
        <v>0</v>
      </c>
      <c r="AI358" s="47" t="e" cm="1">
        <f t="array" aca="1" ref="AI358" ca="1">_xlfn.XLOOKUP(PAA_4[[#This Row],[RCP-RUBRO]],[2]!COMPROMISOS_2024[[#All],[concatenado]],[2]!COMPROMISOS_2024[[#All],[Total pagado]],"",0)</f>
        <v>#NAME?</v>
      </c>
      <c r="AJ358" s="56">
        <f>IF(PAA_4[[#This Row],[BOLSA]]=0,0,SUMIFS([2]!COMPROMISOS_2024[[#All],[Total pagado]],[2]!COMPROMISOS_2024[[#All],[Bolsa]],PAA_4[[#This Row],[BOLSA]],[2]!COMPROMISOS_2024[[#All],[rubro]],PAA_4[[#This Row],[RCP-RUBRO]]))</f>
        <v>0</v>
      </c>
      <c r="AK358" s="47" t="e" cm="1">
        <f t="array" aca="1" ref="AK358" ca="1">_xlfn.XLOOKUP(PAA_4[[#This Row],[RCP-RUBRO]],[2]!COMPROMISOS_2024[[#All],[concatenado]],[2]!COMPROMISOS_2024[[#All],[Total Comprometido]],"",0)</f>
        <v>#NAME?</v>
      </c>
      <c r="AL358" s="47">
        <f>IF(PAA_4[[#This Row],[BOLSA]]=0,0,SUMIFS([2]!COMPROMISOS_2024[[#All],[Total Comprometido]],[2]!COMPROMISOS_2024[[#All],[Bolsa]],PAA_4[[#This Row],[BOLSA]],[2]!COMPROMISOS_2024[[#All],[concatenado]],PAA_4[[#This Row],[RCP-RUBRO]]))</f>
        <v>0</v>
      </c>
    </row>
    <row r="359" spans="1:38" s="19" customFormat="1" ht="31.5" customHeight="1">
      <c r="A359" s="47">
        <v>58</v>
      </c>
      <c r="B359" s="47" t="s">
        <v>205</v>
      </c>
      <c r="C359" s="47" t="str">
        <f>VLOOKUP(PAA_4[[#This Row],[PROYECTO (formulado)2]],[2]PROYECTOS!$G$1:$L$32,6,0)</f>
        <v>OFICINA DE SISTEMAS</v>
      </c>
      <c r="D359" s="47" t="str">
        <f>+IF(PAA_4[[#This Row],[UNIDAD DE CONTRATACION (formulado)]]="Subgerencia Administrativa y Financiera","FUNCIONAMIENTO","INVERSIÓN")</f>
        <v>INVERSIÓN</v>
      </c>
      <c r="E359" s="48" t="str">
        <f>VLOOKUP(Q359,[2]PROYECTOS!$G$1:$K$32,5,0)</f>
        <v>MEJORAMIENTO_DEL_SISTEMA_DE_INFORMACIÓN_DE_INDEPORTES_ANTIOQUIA</v>
      </c>
      <c r="F359" s="48">
        <f>VLOOKUP(E359,[2]PROYECTOS!$K$1:$M$32,3,0)</f>
        <v>2020003050272</v>
      </c>
      <c r="G359" s="49" t="s">
        <v>182</v>
      </c>
      <c r="H359" s="49">
        <f>VLOOKUP(Q359,[2]PROYECTOS!$V$1:$W$32,2,0)</f>
        <v>220320</v>
      </c>
      <c r="I359" s="50">
        <v>0</v>
      </c>
      <c r="J359" s="51" t="s">
        <v>1494</v>
      </c>
      <c r="K359" s="47" t="str">
        <f t="shared" ca="1" si="207"/>
        <v>CONTRATADO</v>
      </c>
      <c r="L359" s="47" t="s">
        <v>110</v>
      </c>
      <c r="M359" s="47" t="s">
        <v>191</v>
      </c>
      <c r="N359" s="52" t="s">
        <v>206</v>
      </c>
      <c r="O359" s="51" t="e">
        <f>VLOOKUP(N359,[2]!RUBROS[#All],3,0)</f>
        <v>#REF!</v>
      </c>
      <c r="P359" s="53" t="e">
        <f>VLOOKUP(N359,[2]!RUBROS[#All],2,0)</f>
        <v>#REF!</v>
      </c>
      <c r="Q359" s="47" t="str">
        <f t="shared" si="208"/>
        <v>90</v>
      </c>
      <c r="R359" s="47" t="str">
        <f t="shared" si="209"/>
        <v>0-101024</v>
      </c>
      <c r="S359" s="54">
        <v>1</v>
      </c>
      <c r="T359" s="59" t="s">
        <v>46</v>
      </c>
      <c r="U359" s="326" t="e">
        <f ca="1">_xlfn.XLOOKUP(PAA_4[[#This Row],[ITEM]],[2]Contrato!A:A,[2]Contrato!Q:Q,"",0)</f>
        <v>#NAME?</v>
      </c>
      <c r="V359" s="47" t="s">
        <v>95</v>
      </c>
      <c r="W359" s="47" t="s">
        <v>200</v>
      </c>
      <c r="X359" s="47" t="s">
        <v>200</v>
      </c>
      <c r="Y359" s="55" t="e">
        <f ca="1">_xlfn.XLOOKUP(PAA_4[[#This Row],[ITEM]],[2]Contrato!A:A,[2]Contrato!B:B,"",0)</f>
        <v>#NAME?</v>
      </c>
      <c r="Z359" s="47" t="e">
        <f ca="1">_xlfn.XLOOKUP(PAA_4[[#This Row],[ITEM]],[2]Contrato!A:A,[2]Contrato!G:G,"",0)</f>
        <v>#NAME?</v>
      </c>
      <c r="AA359" s="47" t="e">
        <f ca="1">_xlfn.XLOOKUP(PAA_4[[#This Row],[ITEM]],[2]Contrato!A:A,[2]Contrato!T:T,"",0)</f>
        <v>#NAME?</v>
      </c>
      <c r="AB359" s="55" t="e">
        <f ca="1">+MAX(PAA_4[[#This Row],[Comprometido Contrato]],PAA_4[[#This Row],[Comprometido Bolsa]])</f>
        <v>#NAME?</v>
      </c>
      <c r="AC359" s="55" t="str">
        <f t="shared" ca="1" si="210"/>
        <v/>
      </c>
      <c r="AD359" s="55" t="e">
        <f ca="1">IF(PAA_4[[#This Row],[ESTADO (formulado)]]="NO CONTRATADO",0,MAX(PAA_4[[#This Row],[Pago por Contrato]],PAA_4[[#This Row],[Pago por bolsa]]))</f>
        <v>#NAME?</v>
      </c>
      <c r="AE359" s="55" t="str">
        <f t="shared" ca="1" si="211"/>
        <v/>
      </c>
      <c r="AF359" s="47" t="e">
        <f t="shared" ca="1" si="212"/>
        <v>#NAME?</v>
      </c>
      <c r="AG359" s="47">
        <f t="shared" si="213"/>
        <v>41080301</v>
      </c>
      <c r="AH359" s="54">
        <f>IF(Q359="22",IF(ISNUMBER(SEARCH("econ",PAA_4[[#This Row],[Actividad3]])),"Económico",IF(ISNUMBER(SEARCH("alim",PAA_4[[#This Row],[Actividad3]])),"Alimentación",IF(ISNUMBER(SEARCH("educ",PAA_4[[#This Row],[Actividad3]])),"Educativo","Técnico"))),0)</f>
        <v>0</v>
      </c>
      <c r="AI359" s="47" t="e" cm="1">
        <f t="array" aca="1" ref="AI359" ca="1">_xlfn.XLOOKUP(PAA_4[[#This Row],[RCP-RUBRO]],[2]!COMPROMISOS_2024[[#All],[concatenado]],[2]!COMPROMISOS_2024[[#All],[Total pagado]],"",0)</f>
        <v>#NAME?</v>
      </c>
      <c r="AJ359" s="56">
        <f>IF(PAA_4[[#This Row],[BOLSA]]=0,0,SUMIFS([2]!COMPROMISOS_2024[[#All],[Total pagado]],[2]!COMPROMISOS_2024[[#All],[Bolsa]],PAA_4[[#This Row],[BOLSA]],[2]!COMPROMISOS_2024[[#All],[rubro]],PAA_4[[#This Row],[RCP-RUBRO]]))</f>
        <v>0</v>
      </c>
      <c r="AK359" s="47" t="e" cm="1">
        <f t="array" aca="1" ref="AK359" ca="1">_xlfn.XLOOKUP(PAA_4[[#This Row],[RCP-RUBRO]],[2]!COMPROMISOS_2024[[#All],[concatenado]],[2]!COMPROMISOS_2024[[#All],[Total Comprometido]],"",0)</f>
        <v>#NAME?</v>
      </c>
      <c r="AL359" s="47">
        <f>IF(PAA_4[[#This Row],[BOLSA]]=0,0,SUMIFS([2]!COMPROMISOS_2024[[#All],[Total Comprometido]],[2]!COMPROMISOS_2024[[#All],[Bolsa]],PAA_4[[#This Row],[BOLSA]],[2]!COMPROMISOS_2024[[#All],[concatenado]],PAA_4[[#This Row],[RCP-RUBRO]]))</f>
        <v>0</v>
      </c>
    </row>
    <row r="360" spans="1:38" s="19" customFormat="1" ht="31.5" customHeight="1">
      <c r="A360" s="47">
        <v>59</v>
      </c>
      <c r="B360" s="47">
        <v>80111600</v>
      </c>
      <c r="C360" s="47" t="str">
        <f>VLOOKUP(PAA_4[[#This Row],[PROYECTO (formulado)2]],[2]PROYECTOS!$G$1:$L$32,6,0)</f>
        <v>OFICINA DE MEDICINA DEPORTIVA</v>
      </c>
      <c r="D360" s="47" t="str">
        <f>+IF(PAA_4[[#This Row],[UNIDAD DE CONTRATACION (formulado)]]="Subgerencia Administrativa y Financiera","FUNCIONAMIENTO","INVERSIÓN")</f>
        <v>INVERSIÓN</v>
      </c>
      <c r="E360" s="48" t="str">
        <f>VLOOKUP(Q360,[2]PROYECTOS!$G$1:$K$32,5,0)</f>
        <v>APOYO_CIENTÍFICO_AL_RENDIMIENTO_DEPORTIVO_Y_LA_ACTIVIDAD_FÍSICA_EN_EL_DEPARTAMENTO_DE_ANTIOQUIA</v>
      </c>
      <c r="F360" s="48">
        <f>VLOOKUP(E360,[2]PROYECTOS!$K$1:$M$32,3,0)</f>
        <v>2021003050070</v>
      </c>
      <c r="G360" s="49" t="s">
        <v>207</v>
      </c>
      <c r="H360" s="49" t="str">
        <f>VLOOKUP(Q360,[2]PROYECTOS!$V$1:$W$32,2,0)</f>
        <v>050068</v>
      </c>
      <c r="I360" s="50">
        <v>20637243</v>
      </c>
      <c r="J360" s="51" t="s">
        <v>208</v>
      </c>
      <c r="K360" s="47" t="str">
        <f t="shared" ca="1" si="207"/>
        <v>CONTRATADO</v>
      </c>
      <c r="L360" s="47" t="s">
        <v>94</v>
      </c>
      <c r="M360" s="47" t="s">
        <v>1297</v>
      </c>
      <c r="N360" s="52" t="s">
        <v>209</v>
      </c>
      <c r="O360" s="51" t="e">
        <f>VLOOKUP(N360,[2]!RUBROS[#All],3,0)</f>
        <v>#REF!</v>
      </c>
      <c r="P360" s="53" t="e">
        <f>VLOOKUP(N360,[2]!RUBROS[#All],2,0)</f>
        <v>#REF!</v>
      </c>
      <c r="Q360" s="47" t="str">
        <f t="shared" si="208"/>
        <v>91</v>
      </c>
      <c r="R360" s="47" t="str">
        <f t="shared" si="209"/>
        <v>0-205400</v>
      </c>
      <c r="S360" s="54">
        <v>3</v>
      </c>
      <c r="T360" s="59" t="s">
        <v>46</v>
      </c>
      <c r="U360" s="326" t="e">
        <f ca="1">_xlfn.XLOOKUP(PAA_4[[#This Row],[ITEM]],[2]Contrato!A:A,[2]Contrato!Q:Q,"",0)</f>
        <v>#NAME?</v>
      </c>
      <c r="V360" s="47" t="s">
        <v>95</v>
      </c>
      <c r="W360" s="47" t="s">
        <v>48</v>
      </c>
      <c r="X360" s="47" t="s">
        <v>48</v>
      </c>
      <c r="Y360" s="55" t="e">
        <f ca="1">_xlfn.XLOOKUP(PAA_4[[#This Row],[ITEM]],[2]Contrato!A:A,[2]Contrato!B:B,"",0)</f>
        <v>#NAME?</v>
      </c>
      <c r="Z360" s="47" t="e">
        <f ca="1">_xlfn.XLOOKUP(PAA_4[[#This Row],[ITEM]],[2]Contrato!A:A,[2]Contrato!G:G,"",0)</f>
        <v>#NAME?</v>
      </c>
      <c r="AA360" s="47" t="e">
        <f ca="1">_xlfn.XLOOKUP(PAA_4[[#This Row],[ITEM]],[2]Contrato!A:A,[2]Contrato!T:T,"",0)</f>
        <v>#NAME?</v>
      </c>
      <c r="AB360" s="55" t="e">
        <f ca="1">+MAX(PAA_4[[#This Row],[Comprometido Contrato]],PAA_4[[#This Row],[Comprometido Bolsa]])</f>
        <v>#NAME?</v>
      </c>
      <c r="AC360" s="55" t="str">
        <f t="shared" ca="1" si="210"/>
        <v/>
      </c>
      <c r="AD360" s="55" t="e">
        <f ca="1">IF(PAA_4[[#This Row],[ESTADO (formulado)]]="NO CONTRATADO",0,MAX(PAA_4[[#This Row],[Pago por Contrato]],PAA_4[[#This Row],[Pago por bolsa]]))</f>
        <v>#NAME?</v>
      </c>
      <c r="AE360" s="55" t="str">
        <f t="shared" ca="1" si="211"/>
        <v/>
      </c>
      <c r="AF360" s="47" t="e">
        <f t="shared" ca="1" si="212"/>
        <v>#NAME?</v>
      </c>
      <c r="AG360" s="47">
        <f t="shared" si="213"/>
        <v>41080103</v>
      </c>
      <c r="AH360" s="54">
        <f>IF(Q360="22",IF(ISNUMBER(SEARCH("econ",PAA_4[[#This Row],[Actividad3]])),"Económico",IF(ISNUMBER(SEARCH("alim",PAA_4[[#This Row],[Actividad3]])),"Alimentación",IF(ISNUMBER(SEARCH("educ",PAA_4[[#This Row],[Actividad3]])),"Educativo","Técnico"))),0)</f>
        <v>0</v>
      </c>
      <c r="AI360" s="47" t="e" cm="1">
        <f t="array" aca="1" ref="AI360" ca="1">_xlfn.XLOOKUP(PAA_4[[#This Row],[RCP-RUBRO]],[2]!COMPROMISOS_2024[[#All],[concatenado]],[2]!COMPROMISOS_2024[[#All],[Total pagado]],"",0)</f>
        <v>#NAME?</v>
      </c>
      <c r="AJ360" s="56">
        <f>IF(PAA_4[[#This Row],[BOLSA]]=0,0,SUMIFS([2]!COMPROMISOS_2024[[#All],[Total pagado]],[2]!COMPROMISOS_2024[[#All],[Bolsa]],PAA_4[[#This Row],[BOLSA]],[2]!COMPROMISOS_2024[[#All],[rubro]],PAA_4[[#This Row],[RCP-RUBRO]]))</f>
        <v>0</v>
      </c>
      <c r="AK360" s="47" t="e" cm="1">
        <f t="array" aca="1" ref="AK360" ca="1">_xlfn.XLOOKUP(PAA_4[[#This Row],[RCP-RUBRO]],[2]!COMPROMISOS_2024[[#All],[concatenado]],[2]!COMPROMISOS_2024[[#All],[Total Comprometido]],"",0)</f>
        <v>#NAME?</v>
      </c>
      <c r="AL360" s="47">
        <f>IF(PAA_4[[#This Row],[BOLSA]]=0,0,SUMIFS([2]!COMPROMISOS_2024[[#All],[Total Comprometido]],[2]!COMPROMISOS_2024[[#All],[Bolsa]],PAA_4[[#This Row],[BOLSA]],[2]!COMPROMISOS_2024[[#All],[concatenado]],PAA_4[[#This Row],[RCP-RUBRO]]))</f>
        <v>0</v>
      </c>
    </row>
    <row r="361" spans="1:38" s="19" customFormat="1" ht="31.5" customHeight="1">
      <c r="A361" s="47" t="s">
        <v>82</v>
      </c>
      <c r="B361" s="47" t="s">
        <v>42</v>
      </c>
      <c r="C361" s="47" t="str">
        <f>VLOOKUP(PAA_4[[#This Row],[PROYECTO (formulado)2]],[2]PROYECTOS!$G$1:$L$32,6,0)</f>
        <v>OFICINA DE MEDICINA DEPORTIVA</v>
      </c>
      <c r="D361" s="47" t="str">
        <f>+IF(PAA_4[[#This Row],[UNIDAD DE CONTRATACION (formulado)]]="Subgerencia Administrativa y Financiera","FUNCIONAMIENTO","INVERSIÓN")</f>
        <v>INVERSIÓN</v>
      </c>
      <c r="E361" s="48" t="str">
        <f>VLOOKUP(Q361,[2]PROYECTOS!$G$1:$K$32,5,0)</f>
        <v>APOYO_CIENTÍFICO_AL_RENDIMIENTO_DEPORTIVO_Y_LA_ACTIVIDAD_FÍSICA_EN_EL_DEPARTAMENTO_DE_ANTIOQUIA</v>
      </c>
      <c r="F361" s="48">
        <f>VLOOKUP(E361,[2]PROYECTOS!$K$1:$M$32,3,0)</f>
        <v>2021003050070</v>
      </c>
      <c r="G361" s="49" t="s">
        <v>207</v>
      </c>
      <c r="H361" s="49" t="str">
        <f>VLOOKUP(Q361,[2]PROYECTOS!$V$1:$W$32,2,0)</f>
        <v>050068</v>
      </c>
      <c r="I361" s="50">
        <v>0</v>
      </c>
      <c r="J361" s="51" t="s">
        <v>42</v>
      </c>
      <c r="K361" s="47" t="str">
        <f t="shared" ca="1" si="207"/>
        <v>CONTRATADO</v>
      </c>
      <c r="L361" s="47" t="s">
        <v>94</v>
      </c>
      <c r="M361" s="47" t="s">
        <v>42</v>
      </c>
      <c r="N361" s="52" t="s">
        <v>209</v>
      </c>
      <c r="O361" s="51" t="e">
        <f>VLOOKUP(N361,[2]!RUBROS[#All],3,0)</f>
        <v>#REF!</v>
      </c>
      <c r="P361" s="53" t="e">
        <f>VLOOKUP(N361,[2]!RUBROS[#All],2,0)</f>
        <v>#REF!</v>
      </c>
      <c r="Q361" s="47" t="str">
        <f t="shared" si="208"/>
        <v>91</v>
      </c>
      <c r="R361" s="47" t="str">
        <f t="shared" si="209"/>
        <v>0-205400</v>
      </c>
      <c r="S361" s="54" t="s">
        <v>42</v>
      </c>
      <c r="T361" s="59" t="s">
        <v>42</v>
      </c>
      <c r="U361" s="326" t="e">
        <f ca="1">_xlfn.XLOOKUP(PAA_4[[#This Row],[ITEM]],[2]Contrato!A:A,[2]Contrato!Q:Q,"",0)</f>
        <v>#NAME?</v>
      </c>
      <c r="V361" s="47" t="s">
        <v>95</v>
      </c>
      <c r="W361" s="47" t="s">
        <v>102</v>
      </c>
      <c r="X361" s="47" t="s">
        <v>102</v>
      </c>
      <c r="Y361" s="55" t="e">
        <f ca="1">_xlfn.XLOOKUP(PAA_4[[#This Row],[ITEM]],[2]Contrato!A:A,[2]Contrato!B:B,"",0)</f>
        <v>#NAME?</v>
      </c>
      <c r="Z361" s="47" t="e">
        <f ca="1">_xlfn.XLOOKUP(PAA_4[[#This Row],[ITEM]],[2]Contrato!A:A,[2]Contrato!G:G,"",0)</f>
        <v>#NAME?</v>
      </c>
      <c r="AA361" s="47" t="e">
        <f ca="1">_xlfn.XLOOKUP(PAA_4[[#This Row],[ITEM]],[2]Contrato!A:A,[2]Contrato!T:T,"",0)</f>
        <v>#NAME?</v>
      </c>
      <c r="AB361" s="55" t="e">
        <f ca="1">+MAX(PAA_4[[#This Row],[Comprometido Contrato]],PAA_4[[#This Row],[Comprometido Bolsa]])</f>
        <v>#NAME?</v>
      </c>
      <c r="AC361" s="55" t="str">
        <f t="shared" ca="1" si="210"/>
        <v/>
      </c>
      <c r="AD361" s="55" t="e">
        <f ca="1">IF(PAA_4[[#This Row],[ESTADO (formulado)]]="NO CONTRATADO",0,MAX(PAA_4[[#This Row],[Pago por Contrato]],PAA_4[[#This Row],[Pago por bolsa]]))</f>
        <v>#NAME?</v>
      </c>
      <c r="AE361" s="55" t="str">
        <f t="shared" ca="1" si="211"/>
        <v/>
      </c>
      <c r="AF361" s="47" t="e">
        <f t="shared" ca="1" si="212"/>
        <v>#NAME?</v>
      </c>
      <c r="AG361" s="47">
        <f t="shared" si="213"/>
        <v>41080103</v>
      </c>
      <c r="AH361" s="54">
        <f>IF(Q361="22",IF(ISNUMBER(SEARCH("econ",PAA_4[[#This Row],[Actividad3]])),"Económico",IF(ISNUMBER(SEARCH("alim",PAA_4[[#This Row],[Actividad3]])),"Alimentación",IF(ISNUMBER(SEARCH("educ",PAA_4[[#This Row],[Actividad3]])),"Educativo","Técnico"))),0)</f>
        <v>0</v>
      </c>
      <c r="AI361" s="47" t="e" cm="1">
        <f t="array" aca="1" ref="AI361" ca="1">_xlfn.XLOOKUP(PAA_4[[#This Row],[RCP-RUBRO]],[2]!COMPROMISOS_2024[[#All],[concatenado]],[2]!COMPROMISOS_2024[[#All],[Total pagado]],"",0)</f>
        <v>#NAME?</v>
      </c>
      <c r="AJ361" s="56">
        <f>IF(PAA_4[[#This Row],[BOLSA]]=0,0,SUMIFS([2]!COMPROMISOS_2024[[#All],[Total pagado]],[2]!COMPROMISOS_2024[[#All],[Bolsa]],PAA_4[[#This Row],[BOLSA]],[2]!COMPROMISOS_2024[[#All],[rubro]],PAA_4[[#This Row],[RCP-RUBRO]]))</f>
        <v>0</v>
      </c>
      <c r="AK361" s="47" t="e" cm="1">
        <f t="array" aca="1" ref="AK361" ca="1">_xlfn.XLOOKUP(PAA_4[[#This Row],[RCP-RUBRO]],[2]!COMPROMISOS_2024[[#All],[concatenado]],[2]!COMPROMISOS_2024[[#All],[Total Comprometido]],"",0)</f>
        <v>#NAME?</v>
      </c>
      <c r="AL361" s="47">
        <f>IF(PAA_4[[#This Row],[BOLSA]]=0,0,SUMIFS([2]!COMPROMISOS_2024[[#All],[Total Comprometido]],[2]!COMPROMISOS_2024[[#All],[Bolsa]],PAA_4[[#This Row],[BOLSA]],[2]!COMPROMISOS_2024[[#All],[concatenado]],PAA_4[[#This Row],[RCP-RUBRO]]))</f>
        <v>0</v>
      </c>
    </row>
    <row r="362" spans="1:38" s="19" customFormat="1" ht="31.5" customHeight="1">
      <c r="A362" s="47">
        <v>60</v>
      </c>
      <c r="B362" s="47">
        <v>80111600</v>
      </c>
      <c r="C362" s="47" t="str">
        <f>VLOOKUP(PAA_4[[#This Row],[PROYECTO (formulado)2]],[2]PROYECTOS!$G$1:$L$32,6,0)</f>
        <v>OFICINA DE MEDICINA DEPORTIVA</v>
      </c>
      <c r="D362" s="47" t="str">
        <f>+IF(PAA_4[[#This Row],[UNIDAD DE CONTRATACION (formulado)]]="Subgerencia Administrativa y Financiera","FUNCIONAMIENTO","INVERSIÓN")</f>
        <v>INVERSIÓN</v>
      </c>
      <c r="E362" s="48" t="str">
        <f>VLOOKUP(Q362,[2]PROYECTOS!$G$1:$K$32,5,0)</f>
        <v>APOYO_CIENTÍFICO_AL_RENDIMIENTO_DEPORTIVO_Y_LA_ACTIVIDAD_FÍSICA_EN_EL_DEPARTAMENTO_DE_ANTIOQUIA</v>
      </c>
      <c r="F362" s="48">
        <f>VLOOKUP(E362,[2]PROYECTOS!$K$1:$M$32,3,0)</f>
        <v>2021003050070</v>
      </c>
      <c r="G362" s="49" t="s">
        <v>207</v>
      </c>
      <c r="H362" s="49" t="str">
        <f>VLOOKUP(Q362,[2]PROYECTOS!$V$1:$W$32,2,0)</f>
        <v>050068</v>
      </c>
      <c r="I362" s="50">
        <v>46142814</v>
      </c>
      <c r="J362" s="51" t="s">
        <v>1495</v>
      </c>
      <c r="K362" s="47" t="str">
        <f t="shared" ca="1" si="207"/>
        <v>CONTRATADO</v>
      </c>
      <c r="L362" s="47" t="s">
        <v>94</v>
      </c>
      <c r="M362" s="47" t="s">
        <v>1297</v>
      </c>
      <c r="N362" s="52" t="s">
        <v>209</v>
      </c>
      <c r="O362" s="51" t="e">
        <f>VLOOKUP(N362,[2]!RUBROS[#All],3,0)</f>
        <v>#REF!</v>
      </c>
      <c r="P362" s="53" t="e">
        <f>VLOOKUP(N362,[2]!RUBROS[#All],2,0)</f>
        <v>#REF!</v>
      </c>
      <c r="Q362" s="47" t="str">
        <f t="shared" si="208"/>
        <v>91</v>
      </c>
      <c r="R362" s="47" t="str">
        <f t="shared" si="209"/>
        <v>0-205400</v>
      </c>
      <c r="S362" s="54">
        <v>6</v>
      </c>
      <c r="T362" s="59" t="s">
        <v>46</v>
      </c>
      <c r="U362" s="326" t="e">
        <f ca="1">_xlfn.XLOOKUP(PAA_4[[#This Row],[ITEM]],[2]Contrato!A:A,[2]Contrato!Q:Q,"",0)</f>
        <v>#NAME?</v>
      </c>
      <c r="V362" s="47" t="s">
        <v>95</v>
      </c>
      <c r="W362" s="47" t="s">
        <v>91</v>
      </c>
      <c r="X362" s="47" t="s">
        <v>91</v>
      </c>
      <c r="Y362" s="55" t="e">
        <f ca="1">_xlfn.XLOOKUP(PAA_4[[#This Row],[ITEM]],[2]Contrato!A:A,[2]Contrato!B:B,"",0)</f>
        <v>#NAME?</v>
      </c>
      <c r="Z362" s="47" t="e">
        <f ca="1">_xlfn.XLOOKUP(PAA_4[[#This Row],[ITEM]],[2]Contrato!A:A,[2]Contrato!G:G,"",0)</f>
        <v>#NAME?</v>
      </c>
      <c r="AA362" s="47" t="e">
        <f ca="1">_xlfn.XLOOKUP(PAA_4[[#This Row],[ITEM]],[2]Contrato!A:A,[2]Contrato!T:T,"",0)</f>
        <v>#NAME?</v>
      </c>
      <c r="AB362" s="55" t="e">
        <f ca="1">+MAX(PAA_4[[#This Row],[Comprometido Contrato]],PAA_4[[#This Row],[Comprometido Bolsa]])</f>
        <v>#NAME?</v>
      </c>
      <c r="AC362" s="55" t="str">
        <f t="shared" ca="1" si="210"/>
        <v/>
      </c>
      <c r="AD362" s="55" t="e">
        <f ca="1">IF(PAA_4[[#This Row],[ESTADO (formulado)]]="NO CONTRATADO",0,MAX(PAA_4[[#This Row],[Pago por Contrato]],PAA_4[[#This Row],[Pago por bolsa]]))</f>
        <v>#NAME?</v>
      </c>
      <c r="AE362" s="55" t="str">
        <f t="shared" ca="1" si="211"/>
        <v/>
      </c>
      <c r="AF362" s="47" t="e">
        <f t="shared" ca="1" si="212"/>
        <v>#NAME?</v>
      </c>
      <c r="AG362" s="47">
        <f t="shared" si="213"/>
        <v>41080103</v>
      </c>
      <c r="AH362" s="54">
        <f>IF(Q362="22",IF(ISNUMBER(SEARCH("econ",PAA_4[[#This Row],[Actividad3]])),"Económico",IF(ISNUMBER(SEARCH("alim",PAA_4[[#This Row],[Actividad3]])),"Alimentación",IF(ISNUMBER(SEARCH("educ",PAA_4[[#This Row],[Actividad3]])),"Educativo","Técnico"))),0)</f>
        <v>0</v>
      </c>
      <c r="AI362" s="47" t="e" cm="1">
        <f t="array" aca="1" ref="AI362" ca="1">_xlfn.XLOOKUP(PAA_4[[#This Row],[RCP-RUBRO]],[2]!COMPROMISOS_2024[[#All],[concatenado]],[2]!COMPROMISOS_2024[[#All],[Total pagado]],"",0)</f>
        <v>#NAME?</v>
      </c>
      <c r="AJ362" s="56">
        <f>IF(PAA_4[[#This Row],[BOLSA]]=0,0,SUMIFS([2]!COMPROMISOS_2024[[#All],[Total pagado]],[2]!COMPROMISOS_2024[[#All],[Bolsa]],PAA_4[[#This Row],[BOLSA]],[2]!COMPROMISOS_2024[[#All],[rubro]],PAA_4[[#This Row],[RCP-RUBRO]]))</f>
        <v>0</v>
      </c>
      <c r="AK362" s="47" t="e" cm="1">
        <f t="array" aca="1" ref="AK362" ca="1">_xlfn.XLOOKUP(PAA_4[[#This Row],[RCP-RUBRO]],[2]!COMPROMISOS_2024[[#All],[concatenado]],[2]!COMPROMISOS_2024[[#All],[Total Comprometido]],"",0)</f>
        <v>#NAME?</v>
      </c>
      <c r="AL362" s="47">
        <f>IF(PAA_4[[#This Row],[BOLSA]]=0,0,SUMIFS([2]!COMPROMISOS_2024[[#All],[Total Comprometido]],[2]!COMPROMISOS_2024[[#All],[Bolsa]],PAA_4[[#This Row],[BOLSA]],[2]!COMPROMISOS_2024[[#All],[concatenado]],PAA_4[[#This Row],[RCP-RUBRO]]))</f>
        <v>0</v>
      </c>
    </row>
    <row r="363" spans="1:38" s="19" customFormat="1" ht="31.5" customHeight="1">
      <c r="A363" s="47">
        <v>61</v>
      </c>
      <c r="B363" s="47">
        <v>80111600</v>
      </c>
      <c r="C363" s="47" t="str">
        <f>VLOOKUP(PAA_4[[#This Row],[PROYECTO (formulado)2]],[2]PROYECTOS!$G$1:$L$32,6,0)</f>
        <v>OFICINA DE MEDICINA DEPORTIVA</v>
      </c>
      <c r="D363" s="47" t="str">
        <f>+IF(PAA_4[[#This Row],[UNIDAD DE CONTRATACION (formulado)]]="Subgerencia Administrativa y Financiera","FUNCIONAMIENTO","INVERSIÓN")</f>
        <v>INVERSIÓN</v>
      </c>
      <c r="E363" s="48" t="str">
        <f>VLOOKUP(Q363,[2]PROYECTOS!$G$1:$K$32,5,0)</f>
        <v>APOYO_CIENTÍFICO_AL_RENDIMIENTO_DEPORTIVO_Y_LA_ACTIVIDAD_FÍSICA_EN_EL_DEPARTAMENTO_DE_ANTIOQUIA</v>
      </c>
      <c r="F363" s="48">
        <f>VLOOKUP(E363,[2]PROYECTOS!$K$1:$M$32,3,0)</f>
        <v>2021003050070</v>
      </c>
      <c r="G363" s="49" t="s">
        <v>207</v>
      </c>
      <c r="H363" s="49" t="str">
        <f>VLOOKUP(Q363,[2]PROYECTOS!$V$1:$W$32,2,0)</f>
        <v>050068</v>
      </c>
      <c r="I363" s="50">
        <v>20637243</v>
      </c>
      <c r="J363" s="51" t="s">
        <v>211</v>
      </c>
      <c r="K363" s="47" t="str">
        <f t="shared" ca="1" si="207"/>
        <v>CONTRATADO</v>
      </c>
      <c r="L363" s="47" t="s">
        <v>94</v>
      </c>
      <c r="M363" s="47" t="s">
        <v>1297</v>
      </c>
      <c r="N363" s="52" t="s">
        <v>209</v>
      </c>
      <c r="O363" s="51" t="e">
        <f>VLOOKUP(N363,[2]!RUBROS[#All],3,0)</f>
        <v>#REF!</v>
      </c>
      <c r="P363" s="53" t="e">
        <f>VLOOKUP(N363,[2]!RUBROS[#All],2,0)</f>
        <v>#REF!</v>
      </c>
      <c r="Q363" s="47" t="str">
        <f t="shared" si="208"/>
        <v>91</v>
      </c>
      <c r="R363" s="47" t="str">
        <f t="shared" si="209"/>
        <v>0-205400</v>
      </c>
      <c r="S363" s="54">
        <v>3</v>
      </c>
      <c r="T363" s="59" t="s">
        <v>46</v>
      </c>
      <c r="U363" s="326" t="e">
        <f ca="1">_xlfn.XLOOKUP(PAA_4[[#This Row],[ITEM]],[2]Contrato!A:A,[2]Contrato!Q:Q,"",0)</f>
        <v>#NAME?</v>
      </c>
      <c r="V363" s="47" t="s">
        <v>95</v>
      </c>
      <c r="W363" s="47" t="s">
        <v>48</v>
      </c>
      <c r="X363" s="47" t="s">
        <v>48</v>
      </c>
      <c r="Y363" s="55" t="e">
        <f ca="1">_xlfn.XLOOKUP(PAA_4[[#This Row],[ITEM]],[2]Contrato!A:A,[2]Contrato!B:B,"",0)</f>
        <v>#NAME?</v>
      </c>
      <c r="Z363" s="47" t="e">
        <f ca="1">_xlfn.XLOOKUP(PAA_4[[#This Row],[ITEM]],[2]Contrato!A:A,[2]Contrato!G:G,"",0)</f>
        <v>#NAME?</v>
      </c>
      <c r="AA363" s="47" t="e">
        <f ca="1">_xlfn.XLOOKUP(PAA_4[[#This Row],[ITEM]],[2]Contrato!A:A,[2]Contrato!T:T,"",0)</f>
        <v>#NAME?</v>
      </c>
      <c r="AB363" s="55" t="e">
        <f ca="1">+MAX(PAA_4[[#This Row],[Comprometido Contrato]],PAA_4[[#This Row],[Comprometido Bolsa]])</f>
        <v>#NAME?</v>
      </c>
      <c r="AC363" s="55" t="str">
        <f t="shared" ca="1" si="210"/>
        <v/>
      </c>
      <c r="AD363" s="55" t="e">
        <f ca="1">IF(PAA_4[[#This Row],[ESTADO (formulado)]]="NO CONTRATADO",0,MAX(PAA_4[[#This Row],[Pago por Contrato]],PAA_4[[#This Row],[Pago por bolsa]]))</f>
        <v>#NAME?</v>
      </c>
      <c r="AE363" s="55" t="str">
        <f t="shared" ca="1" si="211"/>
        <v/>
      </c>
      <c r="AF363" s="47" t="e">
        <f t="shared" ca="1" si="212"/>
        <v>#NAME?</v>
      </c>
      <c r="AG363" s="47">
        <f t="shared" si="213"/>
        <v>41080103</v>
      </c>
      <c r="AH363" s="54">
        <f>IF(Q363="22",IF(ISNUMBER(SEARCH("econ",PAA_4[[#This Row],[Actividad3]])),"Económico",IF(ISNUMBER(SEARCH("alim",PAA_4[[#This Row],[Actividad3]])),"Alimentación",IF(ISNUMBER(SEARCH("educ",PAA_4[[#This Row],[Actividad3]])),"Educativo","Técnico"))),0)</f>
        <v>0</v>
      </c>
      <c r="AI363" s="47" t="e" cm="1">
        <f t="array" aca="1" ref="AI363" ca="1">_xlfn.XLOOKUP(PAA_4[[#This Row],[RCP-RUBRO]],[2]!COMPROMISOS_2024[[#All],[concatenado]],[2]!COMPROMISOS_2024[[#All],[Total pagado]],"",0)</f>
        <v>#NAME?</v>
      </c>
      <c r="AJ363" s="56">
        <f>IF(PAA_4[[#This Row],[BOLSA]]=0,0,SUMIFS([2]!COMPROMISOS_2024[[#All],[Total pagado]],[2]!COMPROMISOS_2024[[#All],[Bolsa]],PAA_4[[#This Row],[BOLSA]],[2]!COMPROMISOS_2024[[#All],[rubro]],PAA_4[[#This Row],[RCP-RUBRO]]))</f>
        <v>0</v>
      </c>
      <c r="AK363" s="47" t="e" cm="1">
        <f t="array" aca="1" ref="AK363" ca="1">_xlfn.XLOOKUP(PAA_4[[#This Row],[RCP-RUBRO]],[2]!COMPROMISOS_2024[[#All],[concatenado]],[2]!COMPROMISOS_2024[[#All],[Total Comprometido]],"",0)</f>
        <v>#NAME?</v>
      </c>
      <c r="AL363" s="47">
        <f>IF(PAA_4[[#This Row],[BOLSA]]=0,0,SUMIFS([2]!COMPROMISOS_2024[[#All],[Total Comprometido]],[2]!COMPROMISOS_2024[[#All],[Bolsa]],PAA_4[[#This Row],[BOLSA]],[2]!COMPROMISOS_2024[[#All],[concatenado]],PAA_4[[#This Row],[RCP-RUBRO]]))</f>
        <v>0</v>
      </c>
    </row>
    <row r="364" spans="1:38" s="19" customFormat="1" ht="31.5" customHeight="1">
      <c r="A364" s="47" t="s">
        <v>82</v>
      </c>
      <c r="B364" s="47" t="s">
        <v>42</v>
      </c>
      <c r="C364" s="47" t="str">
        <f>VLOOKUP(PAA_4[[#This Row],[PROYECTO (formulado)2]],[2]PROYECTOS!$G$1:$L$32,6,0)</f>
        <v>OFICINA DE MEDICINA DEPORTIVA</v>
      </c>
      <c r="D364" s="47" t="str">
        <f>+IF(PAA_4[[#This Row],[UNIDAD DE CONTRATACION (formulado)]]="Subgerencia Administrativa y Financiera","FUNCIONAMIENTO","INVERSIÓN")</f>
        <v>INVERSIÓN</v>
      </c>
      <c r="E364" s="48" t="str">
        <f>VLOOKUP(Q364,[2]PROYECTOS!$G$1:$K$32,5,0)</f>
        <v>APOYO_CIENTÍFICO_AL_RENDIMIENTO_DEPORTIVO_Y_LA_ACTIVIDAD_FÍSICA_EN_EL_DEPARTAMENTO_DE_ANTIOQUIA</v>
      </c>
      <c r="F364" s="48">
        <f>VLOOKUP(E364,[2]PROYECTOS!$K$1:$M$32,3,0)</f>
        <v>2021003050070</v>
      </c>
      <c r="G364" s="49" t="s">
        <v>212</v>
      </c>
      <c r="H364" s="49" t="str">
        <f>VLOOKUP(Q364,[2]PROYECTOS!$V$1:$W$32,2,0)</f>
        <v>050068</v>
      </c>
      <c r="I364" s="50">
        <v>0</v>
      </c>
      <c r="J364" s="51" t="s">
        <v>42</v>
      </c>
      <c r="K364" s="47" t="str">
        <f t="shared" ca="1" si="207"/>
        <v>CONTRATADO</v>
      </c>
      <c r="L364" s="47" t="s">
        <v>94</v>
      </c>
      <c r="M364" s="47" t="s">
        <v>42</v>
      </c>
      <c r="N364" s="52" t="s">
        <v>209</v>
      </c>
      <c r="O364" s="51" t="e">
        <f>VLOOKUP(N364,[2]!RUBROS[#All],3,0)</f>
        <v>#REF!</v>
      </c>
      <c r="P364" s="53" t="e">
        <f>VLOOKUP(N364,[2]!RUBROS[#All],2,0)</f>
        <v>#REF!</v>
      </c>
      <c r="Q364" s="47" t="s">
        <v>213</v>
      </c>
      <c r="R364" s="47" t="str">
        <f t="shared" si="209"/>
        <v>0-205400</v>
      </c>
      <c r="S364" s="54" t="s">
        <v>42</v>
      </c>
      <c r="T364" s="59" t="s">
        <v>42</v>
      </c>
      <c r="U364" s="326" t="e">
        <f ca="1">_xlfn.XLOOKUP(PAA_4[[#This Row],[ITEM]],[2]Contrato!A:A,[2]Contrato!Q:Q,"",0)</f>
        <v>#NAME?</v>
      </c>
      <c r="V364" s="47" t="s">
        <v>95</v>
      </c>
      <c r="W364" s="47" t="s">
        <v>96</v>
      </c>
      <c r="X364" s="47" t="s">
        <v>96</v>
      </c>
      <c r="Y364" s="55" t="e">
        <f ca="1">_xlfn.XLOOKUP(PAA_4[[#This Row],[ITEM]],[2]Contrato!A:A,[2]Contrato!B:B,"",0)</f>
        <v>#NAME?</v>
      </c>
      <c r="Z364" s="47" t="e">
        <f ca="1">_xlfn.XLOOKUP(PAA_4[[#This Row],[ITEM]],[2]Contrato!A:A,[2]Contrato!G:G,"",0)</f>
        <v>#NAME?</v>
      </c>
      <c r="AA364" s="47" t="e">
        <f ca="1">_xlfn.XLOOKUP(PAA_4[[#This Row],[ITEM]],[2]Contrato!A:A,[2]Contrato!T:T,"",0)</f>
        <v>#NAME?</v>
      </c>
      <c r="AB364" s="55" t="e">
        <f ca="1">+MAX(PAA_4[[#This Row],[Comprometido Contrato]],PAA_4[[#This Row],[Comprometido Bolsa]])</f>
        <v>#NAME?</v>
      </c>
      <c r="AC364" s="55" t="str">
        <f t="shared" ca="1" si="210"/>
        <v/>
      </c>
      <c r="AD364" s="55" t="e">
        <f ca="1">IF(PAA_4[[#This Row],[ESTADO (formulado)]]="NO CONTRATADO",0,MAX(PAA_4[[#This Row],[Pago por Contrato]],PAA_4[[#This Row],[Pago por bolsa]]))</f>
        <v>#NAME?</v>
      </c>
      <c r="AE364" s="55" t="str">
        <f t="shared" ca="1" si="211"/>
        <v/>
      </c>
      <c r="AF364" s="47" t="e">
        <f t="shared" ca="1" si="212"/>
        <v>#NAME?</v>
      </c>
      <c r="AG364" s="47">
        <f t="shared" si="213"/>
        <v>41080108</v>
      </c>
      <c r="AH364" s="54">
        <f>IF(Q364="22",IF(ISNUMBER(SEARCH("econ",PAA_4[[#This Row],[Actividad3]])),"Económico",IF(ISNUMBER(SEARCH("alim",PAA_4[[#This Row],[Actividad3]])),"Alimentación",IF(ISNUMBER(SEARCH("educ",PAA_4[[#This Row],[Actividad3]])),"Educativo","Técnico"))),0)</f>
        <v>0</v>
      </c>
      <c r="AI364" s="47" t="e" cm="1">
        <f t="array" aca="1" ref="AI364" ca="1">_xlfn.XLOOKUP(PAA_4[[#This Row],[RCP-RUBRO]],[2]!COMPROMISOS_2024[[#All],[concatenado]],[2]!COMPROMISOS_2024[[#All],[Total pagado]],"",0)</f>
        <v>#NAME?</v>
      </c>
      <c r="AJ364" s="56">
        <f>IF(PAA_4[[#This Row],[BOLSA]]=0,0,SUMIFS([2]!COMPROMISOS_2024[[#All],[Total pagado]],[2]!COMPROMISOS_2024[[#All],[Bolsa]],PAA_4[[#This Row],[BOLSA]],[2]!COMPROMISOS_2024[[#All],[rubro]],PAA_4[[#This Row],[RCP-RUBRO]]))</f>
        <v>0</v>
      </c>
      <c r="AK364" s="47" t="e" cm="1">
        <f t="array" aca="1" ref="AK364" ca="1">_xlfn.XLOOKUP(PAA_4[[#This Row],[RCP-RUBRO]],[2]!COMPROMISOS_2024[[#All],[concatenado]],[2]!COMPROMISOS_2024[[#All],[Total Comprometido]],"",0)</f>
        <v>#NAME?</v>
      </c>
      <c r="AL364" s="47">
        <f>IF(PAA_4[[#This Row],[BOLSA]]=0,0,SUMIFS([2]!COMPROMISOS_2024[[#All],[Total Comprometido]],[2]!COMPROMISOS_2024[[#All],[Bolsa]],PAA_4[[#This Row],[BOLSA]],[2]!COMPROMISOS_2024[[#All],[concatenado]],PAA_4[[#This Row],[RCP-RUBRO]]))</f>
        <v>0</v>
      </c>
    </row>
    <row r="365" spans="1:38" s="19" customFormat="1" ht="31.5" customHeight="1">
      <c r="A365" s="47" t="s">
        <v>82</v>
      </c>
      <c r="B365" s="47" t="s">
        <v>42</v>
      </c>
      <c r="C365" s="47" t="str">
        <f>VLOOKUP(PAA_4[[#This Row],[PROYECTO (formulado)2]],[2]PROYECTOS!$G$1:$L$32,6,0)</f>
        <v>OFICINA DE MEDICINA DEPORTIVA</v>
      </c>
      <c r="D365" s="47" t="str">
        <f>+IF(PAA_4[[#This Row],[UNIDAD DE CONTRATACION (formulado)]]="Subgerencia Administrativa y Financiera","FUNCIONAMIENTO","INVERSIÓN")</f>
        <v>INVERSIÓN</v>
      </c>
      <c r="E365" s="48" t="str">
        <f>VLOOKUP(Q365,[2]PROYECTOS!$G$1:$K$32,5,0)</f>
        <v>APOYO_CIENTÍFICO_AL_RENDIMIENTO_DEPORTIVO_Y_LA_ACTIVIDAD_FÍSICA_EN_EL_DEPARTAMENTO_DE_ANTIOQUIA</v>
      </c>
      <c r="F365" s="48">
        <f>VLOOKUP(E365,[2]PROYECTOS!$K$1:$M$32,3,0)</f>
        <v>2021003050070</v>
      </c>
      <c r="G365" s="49" t="s">
        <v>207</v>
      </c>
      <c r="H365" s="49" t="str">
        <f>VLOOKUP(Q365,[2]PROYECTOS!$V$1:$W$32,2,0)</f>
        <v>050068</v>
      </c>
      <c r="I365" s="50">
        <v>0</v>
      </c>
      <c r="J365" s="51" t="s">
        <v>42</v>
      </c>
      <c r="K365" s="47" t="str">
        <f t="shared" ca="1" si="207"/>
        <v>CONTRATADO</v>
      </c>
      <c r="L365" s="47" t="s">
        <v>94</v>
      </c>
      <c r="M365" s="47" t="s">
        <v>42</v>
      </c>
      <c r="N365" s="52" t="s">
        <v>209</v>
      </c>
      <c r="O365" s="51" t="e">
        <f>VLOOKUP(N365,[2]!RUBROS[#All],3,0)</f>
        <v>#REF!</v>
      </c>
      <c r="P365" s="53" t="e">
        <f>VLOOKUP(N365,[2]!RUBROS[#All],2,0)</f>
        <v>#REF!</v>
      </c>
      <c r="Q365" s="47" t="str">
        <f t="shared" ref="Q365:Q432" si="214">+MID(N365,11,2)</f>
        <v>91</v>
      </c>
      <c r="R365" s="47" t="str">
        <f t="shared" si="209"/>
        <v>0-205400</v>
      </c>
      <c r="S365" s="54" t="s">
        <v>42</v>
      </c>
      <c r="T365" s="59" t="s">
        <v>42</v>
      </c>
      <c r="U365" s="326" t="e">
        <f ca="1">_xlfn.XLOOKUP(PAA_4[[#This Row],[ITEM]],[2]Contrato!A:A,[2]Contrato!Q:Q,"",0)</f>
        <v>#NAME?</v>
      </c>
      <c r="V365" s="47" t="s">
        <v>47</v>
      </c>
      <c r="W365" s="47" t="s">
        <v>48</v>
      </c>
      <c r="X365" s="47" t="s">
        <v>83</v>
      </c>
      <c r="Y365" s="55" t="e">
        <f ca="1">_xlfn.XLOOKUP(PAA_4[[#This Row],[ITEM]],[2]Contrato!A:A,[2]Contrato!B:B,"",0)</f>
        <v>#NAME?</v>
      </c>
      <c r="Z365" s="47" t="e">
        <f ca="1">_xlfn.XLOOKUP(PAA_4[[#This Row],[ITEM]],[2]Contrato!A:A,[2]Contrato!G:G,"",0)</f>
        <v>#NAME?</v>
      </c>
      <c r="AA365" s="47" t="e">
        <f ca="1">_xlfn.XLOOKUP(PAA_4[[#This Row],[ITEM]],[2]Contrato!A:A,[2]Contrato!T:T,"",0)</f>
        <v>#NAME?</v>
      </c>
      <c r="AB365" s="55" t="e">
        <f ca="1">+MAX(PAA_4[[#This Row],[Comprometido Contrato]],PAA_4[[#This Row],[Comprometido Bolsa]])</f>
        <v>#NAME?</v>
      </c>
      <c r="AC365" s="55" t="str">
        <f t="shared" ca="1" si="210"/>
        <v/>
      </c>
      <c r="AD365" s="55" t="e">
        <f ca="1">IF(PAA_4[[#This Row],[ESTADO (formulado)]]="NO CONTRATADO",0,MAX(PAA_4[[#This Row],[Pago por Contrato]],PAA_4[[#This Row],[Pago por bolsa]]))</f>
        <v>#NAME?</v>
      </c>
      <c r="AE365" s="55" t="str">
        <f t="shared" ca="1" si="211"/>
        <v/>
      </c>
      <c r="AF365" s="47" t="e">
        <f t="shared" ca="1" si="212"/>
        <v>#NAME?</v>
      </c>
      <c r="AG365" s="47">
        <f t="shared" si="213"/>
        <v>41080103</v>
      </c>
      <c r="AH365" s="54">
        <f>IF(Q365="22",IF(ISNUMBER(SEARCH("econ",PAA_4[[#This Row],[Actividad3]])),"Económico",IF(ISNUMBER(SEARCH("alim",PAA_4[[#This Row],[Actividad3]])),"Alimentación",IF(ISNUMBER(SEARCH("educ",PAA_4[[#This Row],[Actividad3]])),"Educativo","Técnico"))),0)</f>
        <v>0</v>
      </c>
      <c r="AI365" s="47" t="e" cm="1">
        <f t="array" aca="1" ref="AI365" ca="1">_xlfn.XLOOKUP(PAA_4[[#This Row],[RCP-RUBRO]],[2]!COMPROMISOS_2024[[#All],[concatenado]],[2]!COMPROMISOS_2024[[#All],[Total pagado]],"",0)</f>
        <v>#NAME?</v>
      </c>
      <c r="AJ365" s="56">
        <f>IF(PAA_4[[#This Row],[BOLSA]]=0,0,SUMIFS([2]!COMPROMISOS_2024[[#All],[Total pagado]],[2]!COMPROMISOS_2024[[#All],[Bolsa]],PAA_4[[#This Row],[BOLSA]],[2]!COMPROMISOS_2024[[#All],[rubro]],PAA_4[[#This Row],[RCP-RUBRO]]))</f>
        <v>0</v>
      </c>
      <c r="AK365" s="47" t="e" cm="1">
        <f t="array" aca="1" ref="AK365" ca="1">_xlfn.XLOOKUP(PAA_4[[#This Row],[RCP-RUBRO]],[2]!COMPROMISOS_2024[[#All],[concatenado]],[2]!COMPROMISOS_2024[[#All],[Total Comprometido]],"",0)</f>
        <v>#NAME?</v>
      </c>
      <c r="AL365" s="47">
        <f>IF(PAA_4[[#This Row],[BOLSA]]=0,0,SUMIFS([2]!COMPROMISOS_2024[[#All],[Total Comprometido]],[2]!COMPROMISOS_2024[[#All],[Bolsa]],PAA_4[[#This Row],[BOLSA]],[2]!COMPROMISOS_2024[[#All],[concatenado]],PAA_4[[#This Row],[RCP-RUBRO]]))</f>
        <v>0</v>
      </c>
    </row>
    <row r="366" spans="1:38" s="19" customFormat="1" ht="31.5" customHeight="1">
      <c r="A366" s="47">
        <v>62</v>
      </c>
      <c r="B366" s="47">
        <v>80111600</v>
      </c>
      <c r="C366" s="47" t="str">
        <f>VLOOKUP(PAA_4[[#This Row],[PROYECTO (formulado)2]],[2]PROYECTOS!$G$1:$L$32,6,0)</f>
        <v>OFICINA DE MEDICINA DEPORTIVA</v>
      </c>
      <c r="D366" s="47" t="str">
        <f>+IF(PAA_4[[#This Row],[UNIDAD DE CONTRATACION (formulado)]]="Subgerencia Administrativa y Financiera","FUNCIONAMIENTO","INVERSIÓN")</f>
        <v>INVERSIÓN</v>
      </c>
      <c r="E366" s="48" t="str">
        <f>VLOOKUP(Q366,[2]PROYECTOS!$G$1:$K$32,5,0)</f>
        <v>APOYO_CIENTÍFICO_AL_RENDIMIENTO_DEPORTIVO_Y_LA_ACTIVIDAD_FÍSICA_EN_EL_DEPARTAMENTO_DE_ANTIOQUIA</v>
      </c>
      <c r="F366" s="48">
        <f>VLOOKUP(E366,[2]PROYECTOS!$K$1:$M$32,3,0)</f>
        <v>2021003050070</v>
      </c>
      <c r="G366" s="49" t="s">
        <v>207</v>
      </c>
      <c r="H366" s="49" t="str">
        <f>VLOOKUP(Q366,[2]PROYECTOS!$V$1:$W$32,2,0)</f>
        <v>050068</v>
      </c>
      <c r="I366" s="50">
        <v>41274486</v>
      </c>
      <c r="J366" s="51" t="s">
        <v>1496</v>
      </c>
      <c r="K366" s="47" t="str">
        <f t="shared" ca="1" si="207"/>
        <v>CONTRATADO</v>
      </c>
      <c r="L366" s="47" t="s">
        <v>94</v>
      </c>
      <c r="M366" s="47" t="s">
        <v>1297</v>
      </c>
      <c r="N366" s="52" t="s">
        <v>209</v>
      </c>
      <c r="O366" s="51" t="e">
        <f>VLOOKUP(N366,[2]!RUBROS[#All],3,0)</f>
        <v>#REF!</v>
      </c>
      <c r="P366" s="53" t="e">
        <f>VLOOKUP(N366,[2]!RUBROS[#All],2,0)</f>
        <v>#REF!</v>
      </c>
      <c r="Q366" s="47" t="str">
        <f t="shared" si="214"/>
        <v>91</v>
      </c>
      <c r="R366" s="47" t="str">
        <f t="shared" si="209"/>
        <v>0-205400</v>
      </c>
      <c r="S366" s="54">
        <v>6</v>
      </c>
      <c r="T366" s="59" t="s">
        <v>46</v>
      </c>
      <c r="U366" s="326" t="e">
        <f ca="1">_xlfn.XLOOKUP(PAA_4[[#This Row],[ITEM]],[2]Contrato!A:A,[2]Contrato!Q:Q,"",0)</f>
        <v>#NAME?</v>
      </c>
      <c r="V366" s="47" t="s">
        <v>95</v>
      </c>
      <c r="W366" s="47" t="s">
        <v>91</v>
      </c>
      <c r="X366" s="47" t="s">
        <v>91</v>
      </c>
      <c r="Y366" s="55" t="e">
        <f ca="1">_xlfn.XLOOKUP(PAA_4[[#This Row],[ITEM]],[2]Contrato!A:A,[2]Contrato!B:B,"",0)</f>
        <v>#NAME?</v>
      </c>
      <c r="Z366" s="47" t="e">
        <f ca="1">_xlfn.XLOOKUP(PAA_4[[#This Row],[ITEM]],[2]Contrato!A:A,[2]Contrato!G:G,"",0)</f>
        <v>#NAME?</v>
      </c>
      <c r="AA366" s="47" t="e">
        <f ca="1">_xlfn.XLOOKUP(PAA_4[[#This Row],[ITEM]],[2]Contrato!A:A,[2]Contrato!T:T,"",0)</f>
        <v>#NAME?</v>
      </c>
      <c r="AB366" s="55" t="e">
        <f ca="1">+MAX(PAA_4[[#This Row],[Comprometido Contrato]],PAA_4[[#This Row],[Comprometido Bolsa]])</f>
        <v>#NAME?</v>
      </c>
      <c r="AC366" s="55" t="str">
        <f t="shared" ca="1" si="210"/>
        <v/>
      </c>
      <c r="AD366" s="55" t="e">
        <f ca="1">IF(PAA_4[[#This Row],[ESTADO (formulado)]]="NO CONTRATADO",0,MAX(PAA_4[[#This Row],[Pago por Contrato]],PAA_4[[#This Row],[Pago por bolsa]]))</f>
        <v>#NAME?</v>
      </c>
      <c r="AE366" s="55" t="str">
        <f t="shared" ca="1" si="211"/>
        <v/>
      </c>
      <c r="AF366" s="47" t="e">
        <f t="shared" ca="1" si="212"/>
        <v>#NAME?</v>
      </c>
      <c r="AG366" s="47">
        <f t="shared" si="213"/>
        <v>41080103</v>
      </c>
      <c r="AH366" s="54">
        <f>IF(Q366="22",IF(ISNUMBER(SEARCH("econ",PAA_4[[#This Row],[Actividad3]])),"Económico",IF(ISNUMBER(SEARCH("alim",PAA_4[[#This Row],[Actividad3]])),"Alimentación",IF(ISNUMBER(SEARCH("educ",PAA_4[[#This Row],[Actividad3]])),"Educativo","Técnico"))),0)</f>
        <v>0</v>
      </c>
      <c r="AI366" s="47" t="e" cm="1">
        <f t="array" aca="1" ref="AI366" ca="1">_xlfn.XLOOKUP(PAA_4[[#This Row],[RCP-RUBRO]],[2]!COMPROMISOS_2024[[#All],[concatenado]],[2]!COMPROMISOS_2024[[#All],[Total pagado]],"",0)</f>
        <v>#NAME?</v>
      </c>
      <c r="AJ366" s="56">
        <f>IF(PAA_4[[#This Row],[BOLSA]]=0,0,SUMIFS([2]!COMPROMISOS_2024[[#All],[Total pagado]],[2]!COMPROMISOS_2024[[#All],[Bolsa]],PAA_4[[#This Row],[BOLSA]],[2]!COMPROMISOS_2024[[#All],[rubro]],PAA_4[[#This Row],[RCP-RUBRO]]))</f>
        <v>0</v>
      </c>
      <c r="AK366" s="47" t="e" cm="1">
        <f t="array" aca="1" ref="AK366" ca="1">_xlfn.XLOOKUP(PAA_4[[#This Row],[RCP-RUBRO]],[2]!COMPROMISOS_2024[[#All],[concatenado]],[2]!COMPROMISOS_2024[[#All],[Total Comprometido]],"",0)</f>
        <v>#NAME?</v>
      </c>
      <c r="AL366" s="47">
        <f>IF(PAA_4[[#This Row],[BOLSA]]=0,0,SUMIFS([2]!COMPROMISOS_2024[[#All],[Total Comprometido]],[2]!COMPROMISOS_2024[[#All],[Bolsa]],PAA_4[[#This Row],[BOLSA]],[2]!COMPROMISOS_2024[[#All],[concatenado]],PAA_4[[#This Row],[RCP-RUBRO]]))</f>
        <v>0</v>
      </c>
    </row>
    <row r="367" spans="1:38" s="19" customFormat="1" ht="31.5" customHeight="1">
      <c r="A367" s="47">
        <v>63</v>
      </c>
      <c r="B367" s="47">
        <v>80111600</v>
      </c>
      <c r="C367" s="47" t="str">
        <f>VLOOKUP(PAA_4[[#This Row],[PROYECTO (formulado)2]],[2]PROYECTOS!$G$1:$L$32,6,0)</f>
        <v>OFICINA DE MEDICINA DEPORTIVA</v>
      </c>
      <c r="D367" s="47" t="str">
        <f>+IF(PAA_4[[#This Row],[UNIDAD DE CONTRATACION (formulado)]]="Subgerencia Administrativa y Financiera","FUNCIONAMIENTO","INVERSIÓN")</f>
        <v>INVERSIÓN</v>
      </c>
      <c r="E367" s="48" t="str">
        <f>VLOOKUP(Q367,[2]PROYECTOS!$G$1:$K$32,5,0)</f>
        <v>APOYO_CIENTÍFICO_AL_RENDIMIENTO_DEPORTIVO_Y_LA_ACTIVIDAD_FÍSICA_EN_EL_DEPARTAMENTO_DE_ANTIOQUIA</v>
      </c>
      <c r="F367" s="48">
        <f>VLOOKUP(E367,[2]PROYECTOS!$K$1:$M$32,3,0)</f>
        <v>2021003050070</v>
      </c>
      <c r="G367" s="49" t="s">
        <v>212</v>
      </c>
      <c r="H367" s="49" t="str">
        <f>VLOOKUP(Q367,[2]PROYECTOS!$V$1:$W$32,2,0)</f>
        <v>050068</v>
      </c>
      <c r="I367" s="50">
        <v>20637243</v>
      </c>
      <c r="J367" s="51" t="s">
        <v>1497</v>
      </c>
      <c r="K367" s="47" t="str">
        <f t="shared" ca="1" si="207"/>
        <v>CONTRATADO</v>
      </c>
      <c r="L367" s="47" t="s">
        <v>94</v>
      </c>
      <c r="M367" s="47" t="s">
        <v>1297</v>
      </c>
      <c r="N367" s="52" t="s">
        <v>209</v>
      </c>
      <c r="O367" s="51" t="e">
        <f>VLOOKUP(N367,[2]!RUBROS[#All],3,0)</f>
        <v>#REF!</v>
      </c>
      <c r="P367" s="53" t="e">
        <f>VLOOKUP(N367,[2]!RUBROS[#All],2,0)</f>
        <v>#REF!</v>
      </c>
      <c r="Q367" s="47" t="str">
        <f t="shared" si="214"/>
        <v>91</v>
      </c>
      <c r="R367" s="47" t="str">
        <f t="shared" si="209"/>
        <v>0-205400</v>
      </c>
      <c r="S367" s="54">
        <v>3</v>
      </c>
      <c r="T367" s="59" t="s">
        <v>46</v>
      </c>
      <c r="U367" s="326" t="e">
        <f ca="1">_xlfn.XLOOKUP(PAA_4[[#This Row],[ITEM]],[2]Contrato!A:A,[2]Contrato!Q:Q,"",0)</f>
        <v>#NAME?</v>
      </c>
      <c r="V367" s="47" t="s">
        <v>95</v>
      </c>
      <c r="W367" s="47" t="s">
        <v>102</v>
      </c>
      <c r="X367" s="47" t="s">
        <v>102</v>
      </c>
      <c r="Y367" s="55" t="e">
        <f ca="1">_xlfn.XLOOKUP(PAA_4[[#This Row],[ITEM]],[2]Contrato!A:A,[2]Contrato!B:B,"",0)</f>
        <v>#NAME?</v>
      </c>
      <c r="Z367" s="47" t="e">
        <f ca="1">_xlfn.XLOOKUP(PAA_4[[#This Row],[ITEM]],[2]Contrato!A:A,[2]Contrato!G:G,"",0)</f>
        <v>#NAME?</v>
      </c>
      <c r="AA367" s="47" t="e">
        <f ca="1">_xlfn.XLOOKUP(PAA_4[[#This Row],[ITEM]],[2]Contrato!A:A,[2]Contrato!T:T,"",0)</f>
        <v>#NAME?</v>
      </c>
      <c r="AB367" s="55" t="e">
        <f ca="1">+MAX(PAA_4[[#This Row],[Comprometido Contrato]],PAA_4[[#This Row],[Comprometido Bolsa]])</f>
        <v>#NAME?</v>
      </c>
      <c r="AC367" s="55" t="str">
        <f t="shared" ca="1" si="210"/>
        <v/>
      </c>
      <c r="AD367" s="55" t="e">
        <f ca="1">IF(PAA_4[[#This Row],[ESTADO (formulado)]]="NO CONTRATADO",0,MAX(PAA_4[[#This Row],[Pago por Contrato]],PAA_4[[#This Row],[Pago por bolsa]]))</f>
        <v>#NAME?</v>
      </c>
      <c r="AE367" s="55" t="str">
        <f t="shared" ca="1" si="211"/>
        <v/>
      </c>
      <c r="AF367" s="47" t="e">
        <f t="shared" ca="1" si="212"/>
        <v>#NAME?</v>
      </c>
      <c r="AG367" s="47">
        <f t="shared" si="213"/>
        <v>41080108</v>
      </c>
      <c r="AH367" s="54">
        <f>IF(Q367="22",IF(ISNUMBER(SEARCH("econ",PAA_4[[#This Row],[Actividad3]])),"Económico",IF(ISNUMBER(SEARCH("alim",PAA_4[[#This Row],[Actividad3]])),"Alimentación",IF(ISNUMBER(SEARCH("educ",PAA_4[[#This Row],[Actividad3]])),"Educativo","Técnico"))),0)</f>
        <v>0</v>
      </c>
      <c r="AI367" s="47" t="e" cm="1">
        <f t="array" aca="1" ref="AI367" ca="1">_xlfn.XLOOKUP(PAA_4[[#This Row],[RCP-RUBRO]],[2]!COMPROMISOS_2024[[#All],[concatenado]],[2]!COMPROMISOS_2024[[#All],[Total pagado]],"",0)</f>
        <v>#NAME?</v>
      </c>
      <c r="AJ367" s="56">
        <f>IF(PAA_4[[#This Row],[BOLSA]]=0,0,SUMIFS([2]!COMPROMISOS_2024[[#All],[Total pagado]],[2]!COMPROMISOS_2024[[#All],[Bolsa]],PAA_4[[#This Row],[BOLSA]],[2]!COMPROMISOS_2024[[#All],[rubro]],PAA_4[[#This Row],[RCP-RUBRO]]))</f>
        <v>0</v>
      </c>
      <c r="AK367" s="47" t="e" cm="1">
        <f t="array" aca="1" ref="AK367" ca="1">_xlfn.XLOOKUP(PAA_4[[#This Row],[RCP-RUBRO]],[2]!COMPROMISOS_2024[[#All],[concatenado]],[2]!COMPROMISOS_2024[[#All],[Total Comprometido]],"",0)</f>
        <v>#NAME?</v>
      </c>
      <c r="AL367" s="47">
        <f>IF(PAA_4[[#This Row],[BOLSA]]=0,0,SUMIFS([2]!COMPROMISOS_2024[[#All],[Total Comprometido]],[2]!COMPROMISOS_2024[[#All],[Bolsa]],PAA_4[[#This Row],[BOLSA]],[2]!COMPROMISOS_2024[[#All],[concatenado]],PAA_4[[#This Row],[RCP-RUBRO]]))</f>
        <v>0</v>
      </c>
    </row>
    <row r="368" spans="1:38" s="19" customFormat="1" ht="31.5" customHeight="1">
      <c r="A368" s="47">
        <v>64</v>
      </c>
      <c r="B368" s="47">
        <v>80111600</v>
      </c>
      <c r="C368" s="47" t="str">
        <f>VLOOKUP(PAA_4[[#This Row],[PROYECTO (formulado)2]],[2]PROYECTOS!$G$1:$L$32,6,0)</f>
        <v>OFICINA DE MEDICINA DEPORTIVA</v>
      </c>
      <c r="D368" s="47" t="str">
        <f>+IF(PAA_4[[#This Row],[UNIDAD DE CONTRATACION (formulado)]]="Subgerencia Administrativa y Financiera","FUNCIONAMIENTO","INVERSIÓN")</f>
        <v>INVERSIÓN</v>
      </c>
      <c r="E368" s="48" t="str">
        <f>VLOOKUP(Q368,[2]PROYECTOS!$G$1:$K$32,5,0)</f>
        <v>APOYO_CIENTÍFICO_AL_RENDIMIENTO_DEPORTIVO_Y_LA_ACTIVIDAD_FÍSICA_EN_EL_DEPARTAMENTO_DE_ANTIOQUIA</v>
      </c>
      <c r="F368" s="48">
        <f>VLOOKUP(E368,[2]PROYECTOS!$K$1:$M$32,3,0)</f>
        <v>2021003050070</v>
      </c>
      <c r="G368" s="49" t="s">
        <v>207</v>
      </c>
      <c r="H368" s="49" t="str">
        <f>VLOOKUP(Q368,[2]PROYECTOS!$V$1:$W$32,2,0)</f>
        <v>050068</v>
      </c>
      <c r="I368" s="50">
        <v>23071407</v>
      </c>
      <c r="J368" s="51" t="s">
        <v>214</v>
      </c>
      <c r="K368" s="47" t="str">
        <f t="shared" ca="1" si="207"/>
        <v>CONTRATADO</v>
      </c>
      <c r="L368" s="47" t="s">
        <v>94</v>
      </c>
      <c r="M368" s="47" t="s">
        <v>1297</v>
      </c>
      <c r="N368" s="52" t="s">
        <v>209</v>
      </c>
      <c r="O368" s="51" t="e">
        <f>VLOOKUP(N368,[2]!RUBROS[#All],3,0)</f>
        <v>#REF!</v>
      </c>
      <c r="P368" s="53" t="e">
        <f>VLOOKUP(N368,[2]!RUBROS[#All],2,0)</f>
        <v>#REF!</v>
      </c>
      <c r="Q368" s="47" t="str">
        <f t="shared" si="214"/>
        <v>91</v>
      </c>
      <c r="R368" s="47" t="str">
        <f t="shared" si="209"/>
        <v>0-205400</v>
      </c>
      <c r="S368" s="54">
        <v>3</v>
      </c>
      <c r="T368" s="59" t="s">
        <v>46</v>
      </c>
      <c r="U368" s="326" t="e">
        <f ca="1">_xlfn.XLOOKUP(PAA_4[[#This Row],[ITEM]],[2]Contrato!A:A,[2]Contrato!Q:Q,"",0)</f>
        <v>#NAME?</v>
      </c>
      <c r="V368" s="47" t="s">
        <v>95</v>
      </c>
      <c r="W368" s="47" t="s">
        <v>48</v>
      </c>
      <c r="X368" s="47" t="s">
        <v>48</v>
      </c>
      <c r="Y368" s="55" t="e">
        <f ca="1">_xlfn.XLOOKUP(PAA_4[[#This Row],[ITEM]],[2]Contrato!A:A,[2]Contrato!B:B,"",0)</f>
        <v>#NAME?</v>
      </c>
      <c r="Z368" s="47" t="e">
        <f ca="1">_xlfn.XLOOKUP(PAA_4[[#This Row],[ITEM]],[2]Contrato!A:A,[2]Contrato!G:G,"",0)</f>
        <v>#NAME?</v>
      </c>
      <c r="AA368" s="47" t="e">
        <f ca="1">_xlfn.XLOOKUP(PAA_4[[#This Row],[ITEM]],[2]Contrato!A:A,[2]Contrato!T:T,"",0)</f>
        <v>#NAME?</v>
      </c>
      <c r="AB368" s="55" t="e">
        <f ca="1">+MAX(PAA_4[[#This Row],[Comprometido Contrato]],PAA_4[[#This Row],[Comprometido Bolsa]])</f>
        <v>#NAME?</v>
      </c>
      <c r="AC368" s="55" t="str">
        <f t="shared" ca="1" si="210"/>
        <v/>
      </c>
      <c r="AD368" s="55" t="e">
        <f ca="1">IF(PAA_4[[#This Row],[ESTADO (formulado)]]="NO CONTRATADO",0,MAX(PAA_4[[#This Row],[Pago por Contrato]],PAA_4[[#This Row],[Pago por bolsa]]))</f>
        <v>#NAME?</v>
      </c>
      <c r="AE368" s="55" t="str">
        <f t="shared" ca="1" si="211"/>
        <v/>
      </c>
      <c r="AF368" s="47" t="e">
        <f t="shared" ca="1" si="212"/>
        <v>#NAME?</v>
      </c>
      <c r="AG368" s="47">
        <f t="shared" si="213"/>
        <v>41080103</v>
      </c>
      <c r="AH368" s="54">
        <f>IF(Q368="22",IF(ISNUMBER(SEARCH("econ",PAA_4[[#This Row],[Actividad3]])),"Económico",IF(ISNUMBER(SEARCH("alim",PAA_4[[#This Row],[Actividad3]])),"Alimentación",IF(ISNUMBER(SEARCH("educ",PAA_4[[#This Row],[Actividad3]])),"Educativo","Técnico"))),0)</f>
        <v>0</v>
      </c>
      <c r="AI368" s="47" t="e" cm="1">
        <f t="array" aca="1" ref="AI368" ca="1">_xlfn.XLOOKUP(PAA_4[[#This Row],[RCP-RUBRO]],[2]!COMPROMISOS_2024[[#All],[concatenado]],[2]!COMPROMISOS_2024[[#All],[Total pagado]],"",0)</f>
        <v>#NAME?</v>
      </c>
      <c r="AJ368" s="56">
        <f>IF(PAA_4[[#This Row],[BOLSA]]=0,0,SUMIFS([2]!COMPROMISOS_2024[[#All],[Total pagado]],[2]!COMPROMISOS_2024[[#All],[Bolsa]],PAA_4[[#This Row],[BOLSA]],[2]!COMPROMISOS_2024[[#All],[rubro]],PAA_4[[#This Row],[RCP-RUBRO]]))</f>
        <v>0</v>
      </c>
      <c r="AK368" s="47" t="e" cm="1">
        <f t="array" aca="1" ref="AK368" ca="1">_xlfn.XLOOKUP(PAA_4[[#This Row],[RCP-RUBRO]],[2]!COMPROMISOS_2024[[#All],[concatenado]],[2]!COMPROMISOS_2024[[#All],[Total Comprometido]],"",0)</f>
        <v>#NAME?</v>
      </c>
      <c r="AL368" s="47">
        <f>IF(PAA_4[[#This Row],[BOLSA]]=0,0,SUMIFS([2]!COMPROMISOS_2024[[#All],[Total Comprometido]],[2]!COMPROMISOS_2024[[#All],[Bolsa]],PAA_4[[#This Row],[BOLSA]],[2]!COMPROMISOS_2024[[#All],[concatenado]],PAA_4[[#This Row],[RCP-RUBRO]]))</f>
        <v>0</v>
      </c>
    </row>
    <row r="369" spans="1:38" s="19" customFormat="1" ht="31.5" customHeight="1">
      <c r="A369" s="47" t="s">
        <v>82</v>
      </c>
      <c r="B369" s="47" t="s">
        <v>42</v>
      </c>
      <c r="C369" s="47" t="str">
        <f>VLOOKUP(PAA_4[[#This Row],[PROYECTO (formulado)2]],[2]PROYECTOS!$G$1:$L$32,6,0)</f>
        <v>OFICINA DE MEDICINA DEPORTIVA</v>
      </c>
      <c r="D369" s="47" t="str">
        <f>+IF(PAA_4[[#This Row],[UNIDAD DE CONTRATACION (formulado)]]="Subgerencia Administrativa y Financiera","FUNCIONAMIENTO","INVERSIÓN")</f>
        <v>INVERSIÓN</v>
      </c>
      <c r="E369" s="48" t="str">
        <f>VLOOKUP(Q369,[2]PROYECTOS!$G$1:$K$32,5,0)</f>
        <v>APOYO_CIENTÍFICO_AL_RENDIMIENTO_DEPORTIVO_Y_LA_ACTIVIDAD_FÍSICA_EN_EL_DEPARTAMENTO_DE_ANTIOQUIA</v>
      </c>
      <c r="F369" s="48">
        <f>VLOOKUP(E369,[2]PROYECTOS!$K$1:$M$32,3,0)</f>
        <v>2021003050070</v>
      </c>
      <c r="G369" s="49" t="s">
        <v>207</v>
      </c>
      <c r="H369" s="49" t="str">
        <f>VLOOKUP(Q369,[2]PROYECTOS!$V$1:$W$32,2,0)</f>
        <v>050068</v>
      </c>
      <c r="I369" s="50">
        <v>0</v>
      </c>
      <c r="J369" s="51" t="s">
        <v>42</v>
      </c>
      <c r="K369" s="47" t="str">
        <f t="shared" ca="1" si="207"/>
        <v>CONTRATADO</v>
      </c>
      <c r="L369" s="47" t="s">
        <v>94</v>
      </c>
      <c r="M369" s="47" t="s">
        <v>42</v>
      </c>
      <c r="N369" s="52" t="s">
        <v>209</v>
      </c>
      <c r="O369" s="51" t="e">
        <f>VLOOKUP(N369,[2]!RUBROS[#All],3,0)</f>
        <v>#REF!</v>
      </c>
      <c r="P369" s="53" t="e">
        <f>VLOOKUP(N369,[2]!RUBROS[#All],2,0)</f>
        <v>#REF!</v>
      </c>
      <c r="Q369" s="47" t="str">
        <f t="shared" si="214"/>
        <v>91</v>
      </c>
      <c r="R369" s="47" t="str">
        <f t="shared" si="209"/>
        <v>0-205400</v>
      </c>
      <c r="S369" s="54" t="s">
        <v>42</v>
      </c>
      <c r="T369" s="59" t="s">
        <v>42</v>
      </c>
      <c r="U369" s="326" t="e">
        <f ca="1">_xlfn.XLOOKUP(PAA_4[[#This Row],[ITEM]],[2]Contrato!A:A,[2]Contrato!Q:Q,"",0)</f>
        <v>#NAME?</v>
      </c>
      <c r="V369" s="47" t="s">
        <v>47</v>
      </c>
      <c r="W369" s="47" t="s">
        <v>96</v>
      </c>
      <c r="X369" s="47" t="s">
        <v>96</v>
      </c>
      <c r="Y369" s="55" t="e">
        <f ca="1">_xlfn.XLOOKUP(PAA_4[[#This Row],[ITEM]],[2]Contrato!A:A,[2]Contrato!B:B,"",0)</f>
        <v>#NAME?</v>
      </c>
      <c r="Z369" s="47" t="e">
        <f ca="1">_xlfn.XLOOKUP(PAA_4[[#This Row],[ITEM]],[2]Contrato!A:A,[2]Contrato!G:G,"",0)</f>
        <v>#NAME?</v>
      </c>
      <c r="AA369" s="47" t="e">
        <f ca="1">_xlfn.XLOOKUP(PAA_4[[#This Row],[ITEM]],[2]Contrato!A:A,[2]Contrato!T:T,"",0)</f>
        <v>#NAME?</v>
      </c>
      <c r="AB369" s="55" t="e">
        <f ca="1">+MAX(PAA_4[[#This Row],[Comprometido Contrato]],PAA_4[[#This Row],[Comprometido Bolsa]])</f>
        <v>#NAME?</v>
      </c>
      <c r="AC369" s="55" t="str">
        <f t="shared" ca="1" si="210"/>
        <v/>
      </c>
      <c r="AD369" s="55" t="e">
        <f ca="1">IF(PAA_4[[#This Row],[ESTADO (formulado)]]="NO CONTRATADO",0,MAX(PAA_4[[#This Row],[Pago por Contrato]],PAA_4[[#This Row],[Pago por bolsa]]))</f>
        <v>#NAME?</v>
      </c>
      <c r="AE369" s="55" t="str">
        <f t="shared" ca="1" si="211"/>
        <v/>
      </c>
      <c r="AF369" s="47" t="e">
        <f t="shared" ca="1" si="212"/>
        <v>#NAME?</v>
      </c>
      <c r="AG369" s="47">
        <f t="shared" si="213"/>
        <v>41080103</v>
      </c>
      <c r="AH369" s="54">
        <f>IF(Q369="22",IF(ISNUMBER(SEARCH("econ",PAA_4[[#This Row],[Actividad3]])),"Económico",IF(ISNUMBER(SEARCH("alim",PAA_4[[#This Row],[Actividad3]])),"Alimentación",IF(ISNUMBER(SEARCH("educ",PAA_4[[#This Row],[Actividad3]])),"Educativo","Técnico"))),0)</f>
        <v>0</v>
      </c>
      <c r="AI369" s="47" t="e" cm="1">
        <f t="array" aca="1" ref="AI369" ca="1">_xlfn.XLOOKUP(PAA_4[[#This Row],[RCP-RUBRO]],[2]!COMPROMISOS_2024[[#All],[concatenado]],[2]!COMPROMISOS_2024[[#All],[Total pagado]],"",0)</f>
        <v>#NAME?</v>
      </c>
      <c r="AJ369" s="56">
        <f>IF(PAA_4[[#This Row],[BOLSA]]=0,0,SUMIFS([2]!COMPROMISOS_2024[[#All],[Total pagado]],[2]!COMPROMISOS_2024[[#All],[Bolsa]],PAA_4[[#This Row],[BOLSA]],[2]!COMPROMISOS_2024[[#All],[rubro]],PAA_4[[#This Row],[RCP-RUBRO]]))</f>
        <v>0</v>
      </c>
      <c r="AK369" s="47" t="e" cm="1">
        <f t="array" aca="1" ref="AK369" ca="1">_xlfn.XLOOKUP(PAA_4[[#This Row],[RCP-RUBRO]],[2]!COMPROMISOS_2024[[#All],[concatenado]],[2]!COMPROMISOS_2024[[#All],[Total Comprometido]],"",0)</f>
        <v>#NAME?</v>
      </c>
      <c r="AL369" s="47">
        <f>IF(PAA_4[[#This Row],[BOLSA]]=0,0,SUMIFS([2]!COMPROMISOS_2024[[#All],[Total Comprometido]],[2]!COMPROMISOS_2024[[#All],[Bolsa]],PAA_4[[#This Row],[BOLSA]],[2]!COMPROMISOS_2024[[#All],[concatenado]],PAA_4[[#This Row],[RCP-RUBRO]]))</f>
        <v>0</v>
      </c>
    </row>
    <row r="370" spans="1:38" s="19" customFormat="1" ht="31.5" customHeight="1">
      <c r="A370" s="47">
        <v>65</v>
      </c>
      <c r="B370" s="47">
        <v>80111600</v>
      </c>
      <c r="C370" s="47" t="str">
        <f>VLOOKUP(PAA_4[[#This Row],[PROYECTO (formulado)2]],[2]PROYECTOS!$G$1:$L$32,6,0)</f>
        <v>OFICINA DE MEDICINA DEPORTIVA</v>
      </c>
      <c r="D370" s="47" t="str">
        <f>+IF(PAA_4[[#This Row],[UNIDAD DE CONTRATACION (formulado)]]="Subgerencia Administrativa y Financiera","FUNCIONAMIENTO","INVERSIÓN")</f>
        <v>INVERSIÓN</v>
      </c>
      <c r="E370" s="48" t="str">
        <f>VLOOKUP(Q370,[2]PROYECTOS!$G$1:$K$32,5,0)</f>
        <v>APOYO_CIENTÍFICO_AL_RENDIMIENTO_DEPORTIVO_Y_LA_ACTIVIDAD_FÍSICA_EN_EL_DEPARTAMENTO_DE_ANTIOQUIA</v>
      </c>
      <c r="F370" s="48">
        <f>VLOOKUP(E370,[2]PROYECTOS!$K$1:$M$32,3,0)</f>
        <v>2021003050070</v>
      </c>
      <c r="G370" s="49" t="s">
        <v>207</v>
      </c>
      <c r="H370" s="49" t="str">
        <f>VLOOKUP(Q370,[2]PROYECTOS!$V$1:$W$32,2,0)</f>
        <v>050068</v>
      </c>
      <c r="I370" s="50">
        <v>25763802</v>
      </c>
      <c r="J370" s="51" t="s">
        <v>1498</v>
      </c>
      <c r="K370" s="47" t="str">
        <f t="shared" ca="1" si="207"/>
        <v>CONTRATADO</v>
      </c>
      <c r="L370" s="47" t="s">
        <v>94</v>
      </c>
      <c r="M370" s="47" t="s">
        <v>1297</v>
      </c>
      <c r="N370" s="52" t="s">
        <v>209</v>
      </c>
      <c r="O370" s="51" t="e">
        <f>VLOOKUP(N370,[2]!RUBROS[#All],3,0)</f>
        <v>#REF!</v>
      </c>
      <c r="P370" s="53" t="e">
        <f>VLOOKUP(N370,[2]!RUBROS[#All],2,0)</f>
        <v>#REF!</v>
      </c>
      <c r="Q370" s="47" t="str">
        <f t="shared" si="214"/>
        <v>91</v>
      </c>
      <c r="R370" s="47" t="str">
        <f t="shared" si="209"/>
        <v>0-205400</v>
      </c>
      <c r="S370" s="54">
        <v>6</v>
      </c>
      <c r="T370" s="59" t="s">
        <v>46</v>
      </c>
      <c r="U370" s="326" t="e">
        <f ca="1">_xlfn.XLOOKUP(PAA_4[[#This Row],[ITEM]],[2]Contrato!A:A,[2]Contrato!Q:Q,"",0)</f>
        <v>#NAME?</v>
      </c>
      <c r="V370" s="47" t="s">
        <v>95</v>
      </c>
      <c r="W370" s="47" t="s">
        <v>91</v>
      </c>
      <c r="X370" s="47" t="s">
        <v>91</v>
      </c>
      <c r="Y370" s="55" t="e">
        <f ca="1">_xlfn.XLOOKUP(PAA_4[[#This Row],[ITEM]],[2]Contrato!A:A,[2]Contrato!B:B,"",0)</f>
        <v>#NAME?</v>
      </c>
      <c r="Z370" s="47" t="e">
        <f ca="1">_xlfn.XLOOKUP(PAA_4[[#This Row],[ITEM]],[2]Contrato!A:A,[2]Contrato!G:G,"",0)</f>
        <v>#NAME?</v>
      </c>
      <c r="AA370" s="47" t="e">
        <f ca="1">_xlfn.XLOOKUP(PAA_4[[#This Row],[ITEM]],[2]Contrato!A:A,[2]Contrato!T:T,"",0)</f>
        <v>#NAME?</v>
      </c>
      <c r="AB370" s="55" t="e">
        <f ca="1">+MAX(PAA_4[[#This Row],[Comprometido Contrato]],PAA_4[[#This Row],[Comprometido Bolsa]])</f>
        <v>#NAME?</v>
      </c>
      <c r="AC370" s="55" t="str">
        <f t="shared" ca="1" si="210"/>
        <v/>
      </c>
      <c r="AD370" s="55" t="e">
        <f ca="1">IF(PAA_4[[#This Row],[ESTADO (formulado)]]="NO CONTRATADO",0,MAX(PAA_4[[#This Row],[Pago por Contrato]],PAA_4[[#This Row],[Pago por bolsa]]))</f>
        <v>#NAME?</v>
      </c>
      <c r="AE370" s="55" t="str">
        <f t="shared" ca="1" si="211"/>
        <v/>
      </c>
      <c r="AF370" s="47" t="e">
        <f t="shared" ca="1" si="212"/>
        <v>#NAME?</v>
      </c>
      <c r="AG370" s="47">
        <f t="shared" si="213"/>
        <v>41080103</v>
      </c>
      <c r="AH370" s="54">
        <f>IF(Q370="22",IF(ISNUMBER(SEARCH("econ",PAA_4[[#This Row],[Actividad3]])),"Económico",IF(ISNUMBER(SEARCH("alim",PAA_4[[#This Row],[Actividad3]])),"Alimentación",IF(ISNUMBER(SEARCH("educ",PAA_4[[#This Row],[Actividad3]])),"Educativo","Técnico"))),0)</f>
        <v>0</v>
      </c>
      <c r="AI370" s="47" t="e" cm="1">
        <f t="array" aca="1" ref="AI370" ca="1">_xlfn.XLOOKUP(PAA_4[[#This Row],[RCP-RUBRO]],[2]!COMPROMISOS_2024[[#All],[concatenado]],[2]!COMPROMISOS_2024[[#All],[Total pagado]],"",0)</f>
        <v>#NAME?</v>
      </c>
      <c r="AJ370" s="56">
        <f>IF(PAA_4[[#This Row],[BOLSA]]=0,0,SUMIFS([2]!COMPROMISOS_2024[[#All],[Total pagado]],[2]!COMPROMISOS_2024[[#All],[Bolsa]],PAA_4[[#This Row],[BOLSA]],[2]!COMPROMISOS_2024[[#All],[rubro]],PAA_4[[#This Row],[RCP-RUBRO]]))</f>
        <v>0</v>
      </c>
      <c r="AK370" s="47" t="e" cm="1">
        <f t="array" aca="1" ref="AK370" ca="1">_xlfn.XLOOKUP(PAA_4[[#This Row],[RCP-RUBRO]],[2]!COMPROMISOS_2024[[#All],[concatenado]],[2]!COMPROMISOS_2024[[#All],[Total Comprometido]],"",0)</f>
        <v>#NAME?</v>
      </c>
      <c r="AL370" s="47">
        <f>IF(PAA_4[[#This Row],[BOLSA]]=0,0,SUMIFS([2]!COMPROMISOS_2024[[#All],[Total Comprometido]],[2]!COMPROMISOS_2024[[#All],[Bolsa]],PAA_4[[#This Row],[BOLSA]],[2]!COMPROMISOS_2024[[#All],[concatenado]],PAA_4[[#This Row],[RCP-RUBRO]]))</f>
        <v>0</v>
      </c>
    </row>
    <row r="371" spans="1:38" s="19" customFormat="1" ht="31.5" customHeight="1">
      <c r="A371" s="47">
        <v>66</v>
      </c>
      <c r="B371" s="47">
        <v>80111600</v>
      </c>
      <c r="C371" s="47" t="str">
        <f>VLOOKUP(PAA_4[[#This Row],[PROYECTO (formulado)2]],[2]PROYECTOS!$G$1:$L$32,6,0)</f>
        <v>OFICINA DE MEDICINA DEPORTIVA</v>
      </c>
      <c r="D371" s="47" t="str">
        <f>+IF(PAA_4[[#This Row],[UNIDAD DE CONTRATACION (formulado)]]="Subgerencia Administrativa y Financiera","FUNCIONAMIENTO","INVERSIÓN")</f>
        <v>INVERSIÓN</v>
      </c>
      <c r="E371" s="48" t="str">
        <f>VLOOKUP(Q371,[2]PROYECTOS!$G$1:$K$32,5,0)</f>
        <v>APOYO_CIENTÍFICO_AL_RENDIMIENTO_DEPORTIVO_Y_LA_ACTIVIDAD_FÍSICA_EN_EL_DEPARTAMENTO_DE_ANTIOQUIA</v>
      </c>
      <c r="F371" s="48">
        <f>VLOOKUP(E371,[2]PROYECTOS!$K$1:$M$32,3,0)</f>
        <v>2021003050070</v>
      </c>
      <c r="G371" s="49" t="s">
        <v>212</v>
      </c>
      <c r="H371" s="49" t="str">
        <f>VLOOKUP(Q371,[2]PROYECTOS!$V$1:$W$32,2,0)</f>
        <v>050068</v>
      </c>
      <c r="I371" s="50">
        <v>20637243</v>
      </c>
      <c r="J371" s="51" t="s">
        <v>1497</v>
      </c>
      <c r="K371" s="47" t="str">
        <f t="shared" ca="1" si="207"/>
        <v>CONTRATADO</v>
      </c>
      <c r="L371" s="47" t="s">
        <v>94</v>
      </c>
      <c r="M371" s="47" t="s">
        <v>1297</v>
      </c>
      <c r="N371" s="52" t="s">
        <v>209</v>
      </c>
      <c r="O371" s="51" t="e">
        <f>VLOOKUP(N371,[2]!RUBROS[#All],3,0)</f>
        <v>#REF!</v>
      </c>
      <c r="P371" s="53" t="e">
        <f>VLOOKUP(N371,[2]!RUBROS[#All],2,0)</f>
        <v>#REF!</v>
      </c>
      <c r="Q371" s="47" t="str">
        <f t="shared" si="214"/>
        <v>91</v>
      </c>
      <c r="R371" s="47" t="str">
        <f t="shared" si="209"/>
        <v>0-205400</v>
      </c>
      <c r="S371" s="54">
        <v>3</v>
      </c>
      <c r="T371" s="59" t="s">
        <v>46</v>
      </c>
      <c r="U371" s="326" t="e">
        <f ca="1">_xlfn.XLOOKUP(PAA_4[[#This Row],[ITEM]],[2]Contrato!A:A,[2]Contrato!Q:Q,"",0)</f>
        <v>#NAME?</v>
      </c>
      <c r="V371" s="47" t="s">
        <v>95</v>
      </c>
      <c r="W371" s="47" t="s">
        <v>102</v>
      </c>
      <c r="X371" s="47" t="s">
        <v>102</v>
      </c>
      <c r="Y371" s="55" t="e">
        <f ca="1">_xlfn.XLOOKUP(PAA_4[[#This Row],[ITEM]],[2]Contrato!A:A,[2]Contrato!B:B,"",0)</f>
        <v>#NAME?</v>
      </c>
      <c r="Z371" s="47" t="e">
        <f ca="1">_xlfn.XLOOKUP(PAA_4[[#This Row],[ITEM]],[2]Contrato!A:A,[2]Contrato!G:G,"",0)</f>
        <v>#NAME?</v>
      </c>
      <c r="AA371" s="47" t="e">
        <f ca="1">_xlfn.XLOOKUP(PAA_4[[#This Row],[ITEM]],[2]Contrato!A:A,[2]Contrato!T:T,"",0)</f>
        <v>#NAME?</v>
      </c>
      <c r="AB371" s="55" t="e">
        <f ca="1">+MAX(PAA_4[[#This Row],[Comprometido Contrato]],PAA_4[[#This Row],[Comprometido Bolsa]])</f>
        <v>#NAME?</v>
      </c>
      <c r="AC371" s="55" t="str">
        <f t="shared" ca="1" si="210"/>
        <v/>
      </c>
      <c r="AD371" s="55" t="e">
        <f ca="1">IF(PAA_4[[#This Row],[ESTADO (formulado)]]="NO CONTRATADO",0,MAX(PAA_4[[#This Row],[Pago por Contrato]],PAA_4[[#This Row],[Pago por bolsa]]))</f>
        <v>#NAME?</v>
      </c>
      <c r="AE371" s="55" t="str">
        <f t="shared" ca="1" si="211"/>
        <v/>
      </c>
      <c r="AF371" s="47" t="e">
        <f t="shared" ca="1" si="212"/>
        <v>#NAME?</v>
      </c>
      <c r="AG371" s="47">
        <f t="shared" si="213"/>
        <v>41080108</v>
      </c>
      <c r="AH371" s="54">
        <f>IF(Q371="22",IF(ISNUMBER(SEARCH("econ",PAA_4[[#This Row],[Actividad3]])),"Económico",IF(ISNUMBER(SEARCH("alim",PAA_4[[#This Row],[Actividad3]])),"Alimentación",IF(ISNUMBER(SEARCH("educ",PAA_4[[#This Row],[Actividad3]])),"Educativo","Técnico"))),0)</f>
        <v>0</v>
      </c>
      <c r="AI371" s="47" t="e" cm="1">
        <f t="array" aca="1" ref="AI371" ca="1">_xlfn.XLOOKUP(PAA_4[[#This Row],[RCP-RUBRO]],[2]!COMPROMISOS_2024[[#All],[concatenado]],[2]!COMPROMISOS_2024[[#All],[Total pagado]],"",0)</f>
        <v>#NAME?</v>
      </c>
      <c r="AJ371" s="56">
        <f>IF(PAA_4[[#This Row],[BOLSA]]=0,0,SUMIFS([2]!COMPROMISOS_2024[[#All],[Total pagado]],[2]!COMPROMISOS_2024[[#All],[Bolsa]],PAA_4[[#This Row],[BOLSA]],[2]!COMPROMISOS_2024[[#All],[rubro]],PAA_4[[#This Row],[RCP-RUBRO]]))</f>
        <v>0</v>
      </c>
      <c r="AK371" s="47" t="e" cm="1">
        <f t="array" aca="1" ref="AK371" ca="1">_xlfn.XLOOKUP(PAA_4[[#This Row],[RCP-RUBRO]],[2]!COMPROMISOS_2024[[#All],[concatenado]],[2]!COMPROMISOS_2024[[#All],[Total Comprometido]],"",0)</f>
        <v>#NAME?</v>
      </c>
      <c r="AL371" s="47">
        <f>IF(PAA_4[[#This Row],[BOLSA]]=0,0,SUMIFS([2]!COMPROMISOS_2024[[#All],[Total Comprometido]],[2]!COMPROMISOS_2024[[#All],[Bolsa]],PAA_4[[#This Row],[BOLSA]],[2]!COMPROMISOS_2024[[#All],[concatenado]],PAA_4[[#This Row],[RCP-RUBRO]]))</f>
        <v>0</v>
      </c>
    </row>
    <row r="372" spans="1:38" s="19" customFormat="1" ht="31.5" customHeight="1">
      <c r="A372" s="47">
        <v>67</v>
      </c>
      <c r="B372" s="47">
        <v>80111600</v>
      </c>
      <c r="C372" s="47" t="str">
        <f>VLOOKUP(PAA_4[[#This Row],[PROYECTO (formulado)2]],[2]PROYECTOS!$G$1:$L$32,6,0)</f>
        <v>OFICINA DE MEDICINA DEPORTIVA</v>
      </c>
      <c r="D372" s="47" t="str">
        <f>+IF(PAA_4[[#This Row],[UNIDAD DE CONTRATACION (formulado)]]="Subgerencia Administrativa y Financiera","FUNCIONAMIENTO","INVERSIÓN")</f>
        <v>INVERSIÓN</v>
      </c>
      <c r="E372" s="48" t="str">
        <f>VLOOKUP(Q372,[2]PROYECTOS!$G$1:$K$32,5,0)</f>
        <v>APOYO_CIENTÍFICO_AL_RENDIMIENTO_DEPORTIVO_Y_LA_ACTIVIDAD_FÍSICA_EN_EL_DEPARTAMENTO_DE_ANTIOQUIA</v>
      </c>
      <c r="F372" s="48">
        <f>VLOOKUP(E372,[2]PROYECTOS!$K$1:$M$32,3,0)</f>
        <v>2021003050070</v>
      </c>
      <c r="G372" s="49" t="s">
        <v>212</v>
      </c>
      <c r="H372" s="49" t="str">
        <f>VLOOKUP(Q372,[2]PROYECTOS!$V$1:$W$32,2,0)</f>
        <v>050068</v>
      </c>
      <c r="I372" s="50">
        <v>28099008</v>
      </c>
      <c r="J372" s="51" t="s">
        <v>1499</v>
      </c>
      <c r="K372" s="47" t="str">
        <f t="shared" ca="1" si="207"/>
        <v>CONTRATADO</v>
      </c>
      <c r="L372" s="47" t="s">
        <v>94</v>
      </c>
      <c r="M372" s="47" t="s">
        <v>1297</v>
      </c>
      <c r="N372" s="52" t="s">
        <v>209</v>
      </c>
      <c r="O372" s="51" t="e">
        <f>VLOOKUP(N372,[2]!RUBROS[#All],3,0)</f>
        <v>#REF!</v>
      </c>
      <c r="P372" s="53" t="e">
        <f>VLOOKUP(N372,[2]!RUBROS[#All],2,0)</f>
        <v>#REF!</v>
      </c>
      <c r="Q372" s="47" t="str">
        <f t="shared" si="214"/>
        <v>91</v>
      </c>
      <c r="R372" s="47" t="str">
        <f t="shared" si="209"/>
        <v>0-205400</v>
      </c>
      <c r="S372" s="54">
        <v>6</v>
      </c>
      <c r="T372" s="59" t="s">
        <v>46</v>
      </c>
      <c r="U372" s="326" t="e">
        <f ca="1">_xlfn.XLOOKUP(PAA_4[[#This Row],[ITEM]],[2]Contrato!A:A,[2]Contrato!Q:Q,"",0)</f>
        <v>#NAME?</v>
      </c>
      <c r="V372" s="47" t="s">
        <v>95</v>
      </c>
      <c r="W372" s="47" t="s">
        <v>48</v>
      </c>
      <c r="X372" s="47" t="s">
        <v>48</v>
      </c>
      <c r="Y372" s="55" t="e">
        <f ca="1">_xlfn.XLOOKUP(PAA_4[[#This Row],[ITEM]],[2]Contrato!A:A,[2]Contrato!B:B,"",0)</f>
        <v>#NAME?</v>
      </c>
      <c r="Z372" s="47" t="e">
        <f ca="1">_xlfn.XLOOKUP(PAA_4[[#This Row],[ITEM]],[2]Contrato!A:A,[2]Contrato!G:G,"",0)</f>
        <v>#NAME?</v>
      </c>
      <c r="AA372" s="47" t="e">
        <f ca="1">_xlfn.XLOOKUP(PAA_4[[#This Row],[ITEM]],[2]Contrato!A:A,[2]Contrato!T:T,"",0)</f>
        <v>#NAME?</v>
      </c>
      <c r="AB372" s="55" t="e">
        <f ca="1">+MAX(PAA_4[[#This Row],[Comprometido Contrato]],PAA_4[[#This Row],[Comprometido Bolsa]])</f>
        <v>#NAME?</v>
      </c>
      <c r="AC372" s="55" t="str">
        <f t="shared" ca="1" si="210"/>
        <v/>
      </c>
      <c r="AD372" s="55" t="e">
        <f ca="1">IF(PAA_4[[#This Row],[ESTADO (formulado)]]="NO CONTRATADO",0,MAX(PAA_4[[#This Row],[Pago por Contrato]],PAA_4[[#This Row],[Pago por bolsa]]))</f>
        <v>#NAME?</v>
      </c>
      <c r="AE372" s="55" t="str">
        <f t="shared" ca="1" si="211"/>
        <v/>
      </c>
      <c r="AF372" s="47" t="e">
        <f t="shared" ca="1" si="212"/>
        <v>#NAME?</v>
      </c>
      <c r="AG372" s="47">
        <f t="shared" si="213"/>
        <v>41080108</v>
      </c>
      <c r="AH372" s="54">
        <f>IF(Q372="22",IF(ISNUMBER(SEARCH("econ",PAA_4[[#This Row],[Actividad3]])),"Económico",IF(ISNUMBER(SEARCH("alim",PAA_4[[#This Row],[Actividad3]])),"Alimentación",IF(ISNUMBER(SEARCH("educ",PAA_4[[#This Row],[Actividad3]])),"Educativo","Técnico"))),0)</f>
        <v>0</v>
      </c>
      <c r="AI372" s="47" t="e" cm="1">
        <f t="array" aca="1" ref="AI372" ca="1">_xlfn.XLOOKUP(PAA_4[[#This Row],[RCP-RUBRO]],[2]!COMPROMISOS_2024[[#All],[concatenado]],[2]!COMPROMISOS_2024[[#All],[Total pagado]],"",0)</f>
        <v>#NAME?</v>
      </c>
      <c r="AJ372" s="56">
        <f>IF(PAA_4[[#This Row],[BOLSA]]=0,0,SUMIFS([2]!COMPROMISOS_2024[[#All],[Total pagado]],[2]!COMPROMISOS_2024[[#All],[Bolsa]],PAA_4[[#This Row],[BOLSA]],[2]!COMPROMISOS_2024[[#All],[rubro]],PAA_4[[#This Row],[RCP-RUBRO]]))</f>
        <v>0</v>
      </c>
      <c r="AK372" s="47" t="e" cm="1">
        <f t="array" aca="1" ref="AK372" ca="1">_xlfn.XLOOKUP(PAA_4[[#This Row],[RCP-RUBRO]],[2]!COMPROMISOS_2024[[#All],[concatenado]],[2]!COMPROMISOS_2024[[#All],[Total Comprometido]],"",0)</f>
        <v>#NAME?</v>
      </c>
      <c r="AL372" s="47">
        <f>IF(PAA_4[[#This Row],[BOLSA]]=0,0,SUMIFS([2]!COMPROMISOS_2024[[#All],[Total Comprometido]],[2]!COMPROMISOS_2024[[#All],[Bolsa]],PAA_4[[#This Row],[BOLSA]],[2]!COMPROMISOS_2024[[#All],[concatenado]],PAA_4[[#This Row],[RCP-RUBRO]]))</f>
        <v>0</v>
      </c>
    </row>
    <row r="373" spans="1:38" s="19" customFormat="1" ht="31.5" customHeight="1">
      <c r="A373" s="47" t="s">
        <v>82</v>
      </c>
      <c r="B373" s="47" t="s">
        <v>42</v>
      </c>
      <c r="C373" s="47" t="str">
        <f>VLOOKUP(PAA_4[[#This Row],[PROYECTO (formulado)2]],[2]PROYECTOS!$G$1:$L$32,6,0)</f>
        <v>OFICINA DE MEDICINA DEPORTIVA</v>
      </c>
      <c r="D373" s="47" t="str">
        <f>+IF(PAA_4[[#This Row],[UNIDAD DE CONTRATACION (formulado)]]="Subgerencia Administrativa y Financiera","FUNCIONAMIENTO","INVERSIÓN")</f>
        <v>INVERSIÓN</v>
      </c>
      <c r="E373" s="48" t="str">
        <f>VLOOKUP(Q373,[2]PROYECTOS!$G$1:$K$32,5,0)</f>
        <v>APOYO_CIENTÍFICO_AL_RENDIMIENTO_DEPORTIVO_Y_LA_ACTIVIDAD_FÍSICA_EN_EL_DEPARTAMENTO_DE_ANTIOQUIA</v>
      </c>
      <c r="F373" s="48">
        <f>VLOOKUP(E373,[2]PROYECTOS!$K$1:$M$32,3,0)</f>
        <v>2021003050070</v>
      </c>
      <c r="G373" s="49" t="s">
        <v>221</v>
      </c>
      <c r="H373" s="49" t="str">
        <f>VLOOKUP(Q373,[2]PROYECTOS!$V$1:$W$32,2,0)</f>
        <v>050068</v>
      </c>
      <c r="I373" s="50">
        <v>0</v>
      </c>
      <c r="J373" s="51" t="s">
        <v>42</v>
      </c>
      <c r="K373" s="47" t="str">
        <f t="shared" ca="1" si="207"/>
        <v>CONTRATADO</v>
      </c>
      <c r="L373" s="47" t="s">
        <v>42</v>
      </c>
      <c r="M373" s="47" t="s">
        <v>42</v>
      </c>
      <c r="N373" s="52" t="s">
        <v>209</v>
      </c>
      <c r="O373" s="51" t="e">
        <f>VLOOKUP(N373,[2]!RUBROS[#All],3,0)</f>
        <v>#REF!</v>
      </c>
      <c r="P373" s="53" t="e">
        <f>VLOOKUP(N373,[2]!RUBROS[#All],2,0)</f>
        <v>#REF!</v>
      </c>
      <c r="Q373" s="47" t="str">
        <f t="shared" si="214"/>
        <v>91</v>
      </c>
      <c r="R373" s="47" t="str">
        <f t="shared" si="209"/>
        <v>0-205400</v>
      </c>
      <c r="S373" s="54" t="s">
        <v>42</v>
      </c>
      <c r="T373" s="59" t="s">
        <v>42</v>
      </c>
      <c r="U373" s="326" t="e">
        <f ca="1">_xlfn.XLOOKUP(PAA_4[[#This Row],[ITEM]],[2]Contrato!A:A,[2]Contrato!Q:Q,"",0)</f>
        <v>#NAME?</v>
      </c>
      <c r="V373" s="54" t="s">
        <v>42</v>
      </c>
      <c r="W373" s="54" t="s">
        <v>42</v>
      </c>
      <c r="X373" s="54" t="s">
        <v>42</v>
      </c>
      <c r="Y373" s="55" t="e">
        <f ca="1">_xlfn.XLOOKUP(PAA_4[[#This Row],[ITEM]],[2]Contrato!A:A,[2]Contrato!B:B,"",0)</f>
        <v>#NAME?</v>
      </c>
      <c r="Z373" s="47" t="e">
        <f ca="1">_xlfn.XLOOKUP(PAA_4[[#This Row],[ITEM]],[2]Contrato!A:A,[2]Contrato!G:G,"",0)</f>
        <v>#NAME?</v>
      </c>
      <c r="AA373" s="47" t="e">
        <f ca="1">_xlfn.XLOOKUP(PAA_4[[#This Row],[ITEM]],[2]Contrato!A:A,[2]Contrato!T:T,"",0)</f>
        <v>#NAME?</v>
      </c>
      <c r="AB373" s="55" t="e">
        <f ca="1">+MAX(PAA_4[[#This Row],[Comprometido Contrato]],PAA_4[[#This Row],[Comprometido Bolsa]])</f>
        <v>#NAME?</v>
      </c>
      <c r="AC373" s="55" t="str">
        <f t="shared" ca="1" si="210"/>
        <v/>
      </c>
      <c r="AD373" s="55" t="e">
        <f ca="1">IF(PAA_4[[#This Row],[ESTADO (formulado)]]="NO CONTRATADO",0,MAX(PAA_4[[#This Row],[Pago por Contrato]],PAA_4[[#This Row],[Pago por bolsa]]))</f>
        <v>#NAME?</v>
      </c>
      <c r="AE373" s="55" t="str">
        <f t="shared" ca="1" si="211"/>
        <v/>
      </c>
      <c r="AF373" s="47" t="e">
        <f t="shared" ca="1" si="212"/>
        <v>#NAME?</v>
      </c>
      <c r="AG373" s="47">
        <f t="shared" si="213"/>
        <v>41080111</v>
      </c>
      <c r="AH373" s="54">
        <f>IF(Q373="22",IF(ISNUMBER(SEARCH("econ",PAA_4[[#This Row],[Actividad3]])),"Económico",IF(ISNUMBER(SEARCH("alim",PAA_4[[#This Row],[Actividad3]])),"Alimentación",IF(ISNUMBER(SEARCH("educ",PAA_4[[#This Row],[Actividad3]])),"Educativo","Técnico"))),0)</f>
        <v>0</v>
      </c>
      <c r="AI373" s="47" t="e" cm="1">
        <f t="array" aca="1" ref="AI373" ca="1">_xlfn.XLOOKUP(PAA_4[[#This Row],[RCP-RUBRO]],[2]!COMPROMISOS_2024[[#All],[concatenado]],[2]!COMPROMISOS_2024[[#All],[Total pagado]],"",0)</f>
        <v>#NAME?</v>
      </c>
      <c r="AJ373" s="56">
        <f>IF(PAA_4[[#This Row],[BOLSA]]=0,0,SUMIFS([2]!COMPROMISOS_2024[[#All],[Total pagado]],[2]!COMPROMISOS_2024[[#All],[Bolsa]],PAA_4[[#This Row],[BOLSA]],[2]!COMPROMISOS_2024[[#All],[rubro]],PAA_4[[#This Row],[RCP-RUBRO]]))</f>
        <v>0</v>
      </c>
      <c r="AK373" s="47" t="e" cm="1">
        <f t="array" aca="1" ref="AK373" ca="1">_xlfn.XLOOKUP(PAA_4[[#This Row],[RCP-RUBRO]],[2]!COMPROMISOS_2024[[#All],[concatenado]],[2]!COMPROMISOS_2024[[#All],[Total Comprometido]],"",0)</f>
        <v>#NAME?</v>
      </c>
      <c r="AL373" s="47">
        <f>IF(PAA_4[[#This Row],[BOLSA]]=0,0,SUMIFS([2]!COMPROMISOS_2024[[#All],[Total Comprometido]],[2]!COMPROMISOS_2024[[#All],[Bolsa]],PAA_4[[#This Row],[BOLSA]],[2]!COMPROMISOS_2024[[#All],[concatenado]],PAA_4[[#This Row],[RCP-RUBRO]]))</f>
        <v>0</v>
      </c>
    </row>
    <row r="374" spans="1:38" s="19" customFormat="1" ht="31.5" customHeight="1">
      <c r="A374" s="47">
        <v>68</v>
      </c>
      <c r="B374" s="47">
        <v>80111600</v>
      </c>
      <c r="C374" s="47" t="str">
        <f>VLOOKUP(PAA_4[[#This Row],[PROYECTO (formulado)2]],[2]PROYECTOS!$G$1:$L$32,6,0)</f>
        <v>OFICINA DE MEDICINA DEPORTIVA</v>
      </c>
      <c r="D374" s="47" t="str">
        <f>+IF(PAA_4[[#This Row],[UNIDAD DE CONTRATACION (formulado)]]="Subgerencia Administrativa y Financiera","FUNCIONAMIENTO","INVERSIÓN")</f>
        <v>INVERSIÓN</v>
      </c>
      <c r="E374" s="48" t="str">
        <f>VLOOKUP(Q374,[2]PROYECTOS!$G$1:$K$32,5,0)</f>
        <v>APOYO_CIENTÍFICO_AL_RENDIMIENTO_DEPORTIVO_Y_LA_ACTIVIDAD_FÍSICA_EN_EL_DEPARTAMENTO_DE_ANTIOQUIA</v>
      </c>
      <c r="F374" s="48">
        <f>VLOOKUP(E374,[2]PROYECTOS!$K$1:$M$32,3,0)</f>
        <v>2021003050070</v>
      </c>
      <c r="G374" s="49" t="s">
        <v>207</v>
      </c>
      <c r="H374" s="49" t="str">
        <f>VLOOKUP(Q374,[2]PROYECTOS!$V$1:$W$32,2,0)</f>
        <v>050068</v>
      </c>
      <c r="I374" s="50">
        <f>12574404-59874</f>
        <v>12514530</v>
      </c>
      <c r="J374" s="51" t="s">
        <v>1500</v>
      </c>
      <c r="K374" s="47" t="str">
        <f t="shared" ca="1" si="207"/>
        <v>CONTRATADO</v>
      </c>
      <c r="L374" s="47" t="s">
        <v>94</v>
      </c>
      <c r="M374" s="47" t="s">
        <v>1297</v>
      </c>
      <c r="N374" s="52" t="s">
        <v>209</v>
      </c>
      <c r="O374" s="51" t="e">
        <f>VLOOKUP(N374,[2]!RUBROS[#All],3,0)</f>
        <v>#REF!</v>
      </c>
      <c r="P374" s="53" t="e">
        <f>VLOOKUP(N374,[2]!RUBROS[#All],2,0)</f>
        <v>#REF!</v>
      </c>
      <c r="Q374" s="47" t="str">
        <f t="shared" si="214"/>
        <v>91</v>
      </c>
      <c r="R374" s="47" t="str">
        <f t="shared" si="209"/>
        <v>0-205400</v>
      </c>
      <c r="S374" s="54">
        <v>3</v>
      </c>
      <c r="T374" s="59" t="s">
        <v>46</v>
      </c>
      <c r="U374" s="326" t="e">
        <f ca="1">_xlfn.XLOOKUP(PAA_4[[#This Row],[ITEM]],[2]Contrato!A:A,[2]Contrato!Q:Q,"",0)</f>
        <v>#NAME?</v>
      </c>
      <c r="V374" s="47" t="s">
        <v>95</v>
      </c>
      <c r="W374" s="47" t="s">
        <v>102</v>
      </c>
      <c r="X374" s="47" t="s">
        <v>102</v>
      </c>
      <c r="Y374" s="55" t="e">
        <f ca="1">_xlfn.XLOOKUP(PAA_4[[#This Row],[ITEM]],[2]Contrato!A:A,[2]Contrato!B:B,"",0)</f>
        <v>#NAME?</v>
      </c>
      <c r="Z374" s="47" t="e">
        <f ca="1">_xlfn.XLOOKUP(PAA_4[[#This Row],[ITEM]],[2]Contrato!A:A,[2]Contrato!G:G,"",0)</f>
        <v>#NAME?</v>
      </c>
      <c r="AA374" s="47" t="e">
        <f ca="1">_xlfn.XLOOKUP(PAA_4[[#This Row],[ITEM]],[2]Contrato!A:A,[2]Contrato!T:T,"",0)</f>
        <v>#NAME?</v>
      </c>
      <c r="AB374" s="55" t="e">
        <f ca="1">+MAX(PAA_4[[#This Row],[Comprometido Contrato]],PAA_4[[#This Row],[Comprometido Bolsa]])</f>
        <v>#NAME?</v>
      </c>
      <c r="AC374" s="55" t="str">
        <f t="shared" ca="1" si="210"/>
        <v/>
      </c>
      <c r="AD374" s="55" t="e">
        <f ca="1">IF(PAA_4[[#This Row],[ESTADO (formulado)]]="NO CONTRATADO",0,MAX(PAA_4[[#This Row],[Pago por Contrato]],PAA_4[[#This Row],[Pago por bolsa]]))</f>
        <v>#NAME?</v>
      </c>
      <c r="AE374" s="55" t="str">
        <f t="shared" ca="1" si="211"/>
        <v/>
      </c>
      <c r="AF374" s="47" t="e">
        <f t="shared" ca="1" si="212"/>
        <v>#NAME?</v>
      </c>
      <c r="AG374" s="47">
        <f t="shared" si="213"/>
        <v>41080103</v>
      </c>
      <c r="AH374" s="54">
        <f>IF(Q374="22",IF(ISNUMBER(SEARCH("econ",PAA_4[[#This Row],[Actividad3]])),"Económico",IF(ISNUMBER(SEARCH("alim",PAA_4[[#This Row],[Actividad3]])),"Alimentación",IF(ISNUMBER(SEARCH("educ",PAA_4[[#This Row],[Actividad3]])),"Educativo","Técnico"))),0)</f>
        <v>0</v>
      </c>
      <c r="AI374" s="47" t="e" cm="1">
        <f t="array" aca="1" ref="AI374" ca="1">_xlfn.XLOOKUP(PAA_4[[#This Row],[RCP-RUBRO]],[2]!COMPROMISOS_2024[[#All],[concatenado]],[2]!COMPROMISOS_2024[[#All],[Total pagado]],"",0)</f>
        <v>#NAME?</v>
      </c>
      <c r="AJ374" s="56">
        <f>IF(PAA_4[[#This Row],[BOLSA]]=0,0,SUMIFS([2]!COMPROMISOS_2024[[#All],[Total pagado]],[2]!COMPROMISOS_2024[[#All],[Bolsa]],PAA_4[[#This Row],[BOLSA]],[2]!COMPROMISOS_2024[[#All],[rubro]],PAA_4[[#This Row],[RCP-RUBRO]]))</f>
        <v>0</v>
      </c>
      <c r="AK374" s="47" t="e" cm="1">
        <f t="array" aca="1" ref="AK374" ca="1">_xlfn.XLOOKUP(PAA_4[[#This Row],[RCP-RUBRO]],[2]!COMPROMISOS_2024[[#All],[concatenado]],[2]!COMPROMISOS_2024[[#All],[Total Comprometido]],"",0)</f>
        <v>#NAME?</v>
      </c>
      <c r="AL374" s="47">
        <f>IF(PAA_4[[#This Row],[BOLSA]]=0,0,SUMIFS([2]!COMPROMISOS_2024[[#All],[Total Comprometido]],[2]!COMPROMISOS_2024[[#All],[Bolsa]],PAA_4[[#This Row],[BOLSA]],[2]!COMPROMISOS_2024[[#All],[concatenado]],PAA_4[[#This Row],[RCP-RUBRO]]))</f>
        <v>0</v>
      </c>
    </row>
    <row r="375" spans="1:38" s="19" customFormat="1" ht="31.5" customHeight="1">
      <c r="A375" s="47" t="s">
        <v>82</v>
      </c>
      <c r="B375" s="47" t="s">
        <v>42</v>
      </c>
      <c r="C375" s="47" t="str">
        <f>VLOOKUP(PAA_4[[#This Row],[PROYECTO (formulado)2]],[2]PROYECTOS!$G$1:$L$32,6,0)</f>
        <v>OFICINA DE MEDICINA DEPORTIVA</v>
      </c>
      <c r="D375" s="47" t="str">
        <f>+IF(PAA_4[[#This Row],[UNIDAD DE CONTRATACION (formulado)]]="Subgerencia Administrativa y Financiera","FUNCIONAMIENTO","INVERSIÓN")</f>
        <v>INVERSIÓN</v>
      </c>
      <c r="E375" s="48" t="str">
        <f>VLOOKUP(Q375,[2]PROYECTOS!$G$1:$K$32,5,0)</f>
        <v>APOYO_CIENTÍFICO_AL_RENDIMIENTO_DEPORTIVO_Y_LA_ACTIVIDAD_FÍSICA_EN_EL_DEPARTAMENTO_DE_ANTIOQUIA</v>
      </c>
      <c r="F375" s="48">
        <f>VLOOKUP(E375,[2]PROYECTOS!$K$1:$M$32,3,0)</f>
        <v>2021003050070</v>
      </c>
      <c r="G375" s="49" t="s">
        <v>212</v>
      </c>
      <c r="H375" s="49" t="str">
        <f>VLOOKUP(Q375,[2]PROYECTOS!$V$1:$W$32,2,0)</f>
        <v>050068</v>
      </c>
      <c r="I375" s="50">
        <v>0</v>
      </c>
      <c r="J375" s="51" t="s">
        <v>42</v>
      </c>
      <c r="K375" s="47" t="str">
        <f t="shared" ca="1" si="207"/>
        <v>CONTRATADO</v>
      </c>
      <c r="L375" s="47" t="s">
        <v>94</v>
      </c>
      <c r="M375" s="47" t="s">
        <v>42</v>
      </c>
      <c r="N375" s="52" t="s">
        <v>209</v>
      </c>
      <c r="O375" s="51" t="e">
        <f>VLOOKUP(N375,[2]!RUBROS[#All],3,0)</f>
        <v>#REF!</v>
      </c>
      <c r="P375" s="53" t="e">
        <f>VLOOKUP(N375,[2]!RUBROS[#All],2,0)</f>
        <v>#REF!</v>
      </c>
      <c r="Q375" s="47" t="str">
        <f t="shared" si="214"/>
        <v>91</v>
      </c>
      <c r="R375" s="47" t="str">
        <f t="shared" si="209"/>
        <v>0-205400</v>
      </c>
      <c r="S375" s="54" t="s">
        <v>42</v>
      </c>
      <c r="T375" s="59" t="s">
        <v>42</v>
      </c>
      <c r="U375" s="326" t="e">
        <f ca="1">_xlfn.XLOOKUP(PAA_4[[#This Row],[ITEM]],[2]Contrato!A:A,[2]Contrato!Q:Q,"",0)</f>
        <v>#NAME?</v>
      </c>
      <c r="V375" s="47" t="s">
        <v>95</v>
      </c>
      <c r="W375" s="47" t="s">
        <v>96</v>
      </c>
      <c r="X375" s="47" t="s">
        <v>96</v>
      </c>
      <c r="Y375" s="55" t="e">
        <f ca="1">_xlfn.XLOOKUP(PAA_4[[#This Row],[ITEM]],[2]Contrato!A:A,[2]Contrato!B:B,"",0)</f>
        <v>#NAME?</v>
      </c>
      <c r="Z375" s="47" t="e">
        <f ca="1">_xlfn.XLOOKUP(PAA_4[[#This Row],[ITEM]],[2]Contrato!A:A,[2]Contrato!G:G,"",0)</f>
        <v>#NAME?</v>
      </c>
      <c r="AA375" s="47" t="e">
        <f ca="1">_xlfn.XLOOKUP(PAA_4[[#This Row],[ITEM]],[2]Contrato!A:A,[2]Contrato!T:T,"",0)</f>
        <v>#NAME?</v>
      </c>
      <c r="AB375" s="55" t="e">
        <f ca="1">+MAX(PAA_4[[#This Row],[Comprometido Contrato]],PAA_4[[#This Row],[Comprometido Bolsa]])</f>
        <v>#NAME?</v>
      </c>
      <c r="AC375" s="55" t="str">
        <f t="shared" ca="1" si="210"/>
        <v/>
      </c>
      <c r="AD375" s="55" t="e">
        <f ca="1">IF(PAA_4[[#This Row],[ESTADO (formulado)]]="NO CONTRATADO",0,MAX(PAA_4[[#This Row],[Pago por Contrato]],PAA_4[[#This Row],[Pago por bolsa]]))</f>
        <v>#NAME?</v>
      </c>
      <c r="AE375" s="55" t="str">
        <f t="shared" ca="1" si="211"/>
        <v/>
      </c>
      <c r="AF375" s="47" t="e">
        <f t="shared" ca="1" si="212"/>
        <v>#NAME?</v>
      </c>
      <c r="AG375" s="47">
        <f t="shared" si="213"/>
        <v>41080108</v>
      </c>
      <c r="AH375" s="54">
        <f>IF(Q375="22",IF(ISNUMBER(SEARCH("econ",PAA_4[[#This Row],[Actividad3]])),"Económico",IF(ISNUMBER(SEARCH("alim",PAA_4[[#This Row],[Actividad3]])),"Alimentación",IF(ISNUMBER(SEARCH("educ",PAA_4[[#This Row],[Actividad3]])),"Educativo","Técnico"))),0)</f>
        <v>0</v>
      </c>
      <c r="AI375" s="47" t="e" cm="1">
        <f t="array" aca="1" ref="AI375" ca="1">_xlfn.XLOOKUP(PAA_4[[#This Row],[RCP-RUBRO]],[2]!COMPROMISOS_2024[[#All],[concatenado]],[2]!COMPROMISOS_2024[[#All],[Total pagado]],"",0)</f>
        <v>#NAME?</v>
      </c>
      <c r="AJ375" s="56">
        <f>IF(PAA_4[[#This Row],[BOLSA]]=0,0,SUMIFS([2]!COMPROMISOS_2024[[#All],[Total pagado]],[2]!COMPROMISOS_2024[[#All],[Bolsa]],PAA_4[[#This Row],[BOLSA]],[2]!COMPROMISOS_2024[[#All],[rubro]],PAA_4[[#This Row],[RCP-RUBRO]]))</f>
        <v>0</v>
      </c>
      <c r="AK375" s="47" t="e" cm="1">
        <f t="array" aca="1" ref="AK375" ca="1">_xlfn.XLOOKUP(PAA_4[[#This Row],[RCP-RUBRO]],[2]!COMPROMISOS_2024[[#All],[concatenado]],[2]!COMPROMISOS_2024[[#All],[Total Comprometido]],"",0)</f>
        <v>#NAME?</v>
      </c>
      <c r="AL375" s="47">
        <f>IF(PAA_4[[#This Row],[BOLSA]]=0,0,SUMIFS([2]!COMPROMISOS_2024[[#All],[Total Comprometido]],[2]!COMPROMISOS_2024[[#All],[Bolsa]],PAA_4[[#This Row],[BOLSA]],[2]!COMPROMISOS_2024[[#All],[concatenado]],PAA_4[[#This Row],[RCP-RUBRO]]))</f>
        <v>0</v>
      </c>
    </row>
    <row r="376" spans="1:38" s="19" customFormat="1" ht="31.5" customHeight="1">
      <c r="A376" s="47">
        <v>69</v>
      </c>
      <c r="B376" s="47">
        <v>80111600</v>
      </c>
      <c r="C376" s="47" t="str">
        <f>VLOOKUP(PAA_4[[#This Row],[PROYECTO (formulado)2]],[2]PROYECTOS!$G$1:$L$32,6,0)</f>
        <v>OFICINA DE MEDICINA DEPORTIVA</v>
      </c>
      <c r="D376" s="47" t="str">
        <f>+IF(PAA_4[[#This Row],[UNIDAD DE CONTRATACION (formulado)]]="Subgerencia Administrativa y Financiera","FUNCIONAMIENTO","INVERSIÓN")</f>
        <v>INVERSIÓN</v>
      </c>
      <c r="E376" s="48" t="str">
        <f>VLOOKUP(Q376,[2]PROYECTOS!$G$1:$K$32,5,0)</f>
        <v>APOYO_CIENTÍFICO_AL_RENDIMIENTO_DEPORTIVO_Y_LA_ACTIVIDAD_FÍSICA_EN_EL_DEPARTAMENTO_DE_ANTIOQUIA</v>
      </c>
      <c r="F376" s="48">
        <f>VLOOKUP(E376,[2]PROYECTOS!$K$1:$M$32,3,0)</f>
        <v>2021003050070</v>
      </c>
      <c r="G376" s="49" t="s">
        <v>212</v>
      </c>
      <c r="H376" s="49" t="str">
        <f>VLOOKUP(Q376,[2]PROYECTOS!$V$1:$W$32,2,0)</f>
        <v>050068</v>
      </c>
      <c r="I376" s="50">
        <v>12574404</v>
      </c>
      <c r="J376" s="51" t="s">
        <v>215</v>
      </c>
      <c r="K376" s="47" t="str">
        <f t="shared" ca="1" si="207"/>
        <v>CONTRATADO</v>
      </c>
      <c r="L376" s="47" t="s">
        <v>94</v>
      </c>
      <c r="M376" s="47" t="s">
        <v>1297</v>
      </c>
      <c r="N376" s="52" t="s">
        <v>209</v>
      </c>
      <c r="O376" s="51" t="e">
        <f>VLOOKUP(N376,[2]!RUBROS[#All],3,0)</f>
        <v>#REF!</v>
      </c>
      <c r="P376" s="53" t="e">
        <f>VLOOKUP(N376,[2]!RUBROS[#All],2,0)</f>
        <v>#REF!</v>
      </c>
      <c r="Q376" s="47" t="str">
        <f t="shared" si="214"/>
        <v>91</v>
      </c>
      <c r="R376" s="47" t="str">
        <f t="shared" si="209"/>
        <v>0-205400</v>
      </c>
      <c r="S376" s="54">
        <v>3</v>
      </c>
      <c r="T376" s="59" t="s">
        <v>46</v>
      </c>
      <c r="U376" s="326" t="e">
        <f ca="1">_xlfn.XLOOKUP(PAA_4[[#This Row],[ITEM]],[2]Contrato!A:A,[2]Contrato!Q:Q,"",0)</f>
        <v>#NAME?</v>
      </c>
      <c r="V376" s="47" t="s">
        <v>95</v>
      </c>
      <c r="W376" s="47" t="s">
        <v>48</v>
      </c>
      <c r="X376" s="47" t="s">
        <v>48</v>
      </c>
      <c r="Y376" s="55" t="e">
        <f ca="1">_xlfn.XLOOKUP(PAA_4[[#This Row],[ITEM]],[2]Contrato!A:A,[2]Contrato!B:B,"",0)</f>
        <v>#NAME?</v>
      </c>
      <c r="Z376" s="47" t="e">
        <f ca="1">_xlfn.XLOOKUP(PAA_4[[#This Row],[ITEM]],[2]Contrato!A:A,[2]Contrato!G:G,"",0)</f>
        <v>#NAME?</v>
      </c>
      <c r="AA376" s="47" t="e">
        <f ca="1">_xlfn.XLOOKUP(PAA_4[[#This Row],[ITEM]],[2]Contrato!A:A,[2]Contrato!T:T,"",0)</f>
        <v>#NAME?</v>
      </c>
      <c r="AB376" s="55" t="e">
        <f ca="1">+MAX(PAA_4[[#This Row],[Comprometido Contrato]],PAA_4[[#This Row],[Comprometido Bolsa]])</f>
        <v>#NAME?</v>
      </c>
      <c r="AC376" s="55" t="str">
        <f t="shared" ca="1" si="210"/>
        <v/>
      </c>
      <c r="AD376" s="55" t="e">
        <f ca="1">IF(PAA_4[[#This Row],[ESTADO (formulado)]]="NO CONTRATADO",0,MAX(PAA_4[[#This Row],[Pago por Contrato]],PAA_4[[#This Row],[Pago por bolsa]]))</f>
        <v>#NAME?</v>
      </c>
      <c r="AE376" s="55" t="str">
        <f t="shared" ca="1" si="211"/>
        <v/>
      </c>
      <c r="AF376" s="47" t="e">
        <f t="shared" ca="1" si="212"/>
        <v>#NAME?</v>
      </c>
      <c r="AG376" s="47">
        <f t="shared" si="213"/>
        <v>41080108</v>
      </c>
      <c r="AH376" s="54">
        <f>IF(Q376="22",IF(ISNUMBER(SEARCH("econ",PAA_4[[#This Row],[Actividad3]])),"Económico",IF(ISNUMBER(SEARCH("alim",PAA_4[[#This Row],[Actividad3]])),"Alimentación",IF(ISNUMBER(SEARCH("educ",PAA_4[[#This Row],[Actividad3]])),"Educativo","Técnico"))),0)</f>
        <v>0</v>
      </c>
      <c r="AI376" s="47" t="e" cm="1">
        <f t="array" aca="1" ref="AI376" ca="1">_xlfn.XLOOKUP(PAA_4[[#This Row],[RCP-RUBRO]],[2]!COMPROMISOS_2024[[#All],[concatenado]],[2]!COMPROMISOS_2024[[#All],[Total pagado]],"",0)</f>
        <v>#NAME?</v>
      </c>
      <c r="AJ376" s="56">
        <f>IF(PAA_4[[#This Row],[BOLSA]]=0,0,SUMIFS([2]!COMPROMISOS_2024[[#All],[Total pagado]],[2]!COMPROMISOS_2024[[#All],[Bolsa]],PAA_4[[#This Row],[BOLSA]],[2]!COMPROMISOS_2024[[#All],[rubro]],PAA_4[[#This Row],[RCP-RUBRO]]))</f>
        <v>0</v>
      </c>
      <c r="AK376" s="47" t="e" cm="1">
        <f t="array" aca="1" ref="AK376" ca="1">_xlfn.XLOOKUP(PAA_4[[#This Row],[RCP-RUBRO]],[2]!COMPROMISOS_2024[[#All],[concatenado]],[2]!COMPROMISOS_2024[[#All],[Total Comprometido]],"",0)</f>
        <v>#NAME?</v>
      </c>
      <c r="AL376" s="47">
        <f>IF(PAA_4[[#This Row],[BOLSA]]=0,0,SUMIFS([2]!COMPROMISOS_2024[[#All],[Total Comprometido]],[2]!COMPROMISOS_2024[[#All],[Bolsa]],PAA_4[[#This Row],[BOLSA]],[2]!COMPROMISOS_2024[[#All],[concatenado]],PAA_4[[#This Row],[RCP-RUBRO]]))</f>
        <v>0</v>
      </c>
    </row>
    <row r="377" spans="1:38" s="19" customFormat="1" ht="31.5" customHeight="1">
      <c r="A377" s="47">
        <v>70</v>
      </c>
      <c r="B377" s="47">
        <v>80111600</v>
      </c>
      <c r="C377" s="47" t="str">
        <f>VLOOKUP(PAA_4[[#This Row],[PROYECTO (formulado)2]],[2]PROYECTOS!$G$1:$L$32,6,0)</f>
        <v>SUBGERENCIA DE ALTOS LOGROS Y DEPORTE ASOCIADO</v>
      </c>
      <c r="D377" s="47" t="str">
        <f>+IF(PAA_4[[#This Row],[UNIDAD DE CONTRATACION (formulado)]]="Subgerencia Administrativa y Financiera","FUNCIONAMIENTO","INVERSIÓN")</f>
        <v>INVERSIÓN</v>
      </c>
      <c r="E377" s="48" t="str">
        <f>VLOOKUP(Q377,[2]PROYECTOS!$G$1:$K$32,5,0)</f>
        <v>APOYO_TÉCNICO_Y_PSICOSOCIAL_A_LOS_DEPORTISTAS_DE_ANTIOQUIA</v>
      </c>
      <c r="F377" s="48">
        <f>VLOOKUP(E377,[2]PROYECTOS!$K$1:$M$32,3,0)</f>
        <v>2021003050069</v>
      </c>
      <c r="G377" s="49" t="s">
        <v>216</v>
      </c>
      <c r="H377" s="49" t="str">
        <f>VLOOKUP(Q377,[2]PROYECTOS!$V$1:$W$32,2,0)</f>
        <v>050069</v>
      </c>
      <c r="I377" s="50">
        <v>1208380000</v>
      </c>
      <c r="J377" s="51" t="s">
        <v>1501</v>
      </c>
      <c r="K377" s="47" t="str">
        <f t="shared" ca="1" si="207"/>
        <v>CONTRATADO</v>
      </c>
      <c r="L377" s="47" t="s">
        <v>44</v>
      </c>
      <c r="M377" s="47" t="s">
        <v>1236</v>
      </c>
      <c r="N377" s="52" t="s">
        <v>217</v>
      </c>
      <c r="O377" s="51" t="e">
        <f>VLOOKUP(N377,[2]!RUBROS[#All],3,0)</f>
        <v>#REF!</v>
      </c>
      <c r="P377" s="53" t="e">
        <f>VLOOKUP(N377,[2]!RUBROS[#All],2,0)</f>
        <v>#REF!</v>
      </c>
      <c r="Q377" s="47" t="str">
        <f t="shared" si="214"/>
        <v>22</v>
      </c>
      <c r="R377" s="47" t="str">
        <f t="shared" si="209"/>
        <v>0-205128</v>
      </c>
      <c r="S377" s="54">
        <v>12</v>
      </c>
      <c r="T377" s="59" t="s">
        <v>46</v>
      </c>
      <c r="U377" s="326" t="e">
        <f ca="1">_xlfn.XLOOKUP(PAA_4[[#This Row],[ITEM]],[2]Contrato!A:A,[2]Contrato!Q:Q,"",0)</f>
        <v>#NAME?</v>
      </c>
      <c r="V377" s="47" t="s">
        <v>95</v>
      </c>
      <c r="W377" s="47" t="s">
        <v>83</v>
      </c>
      <c r="X377" s="47" t="s">
        <v>83</v>
      </c>
      <c r="Y377" s="55" t="e">
        <f ca="1">_xlfn.XLOOKUP(PAA_4[[#This Row],[ITEM]],[2]Contrato!A:A,[2]Contrato!B:B,"",0)</f>
        <v>#NAME?</v>
      </c>
      <c r="Z377" s="47" t="e">
        <f ca="1">_xlfn.XLOOKUP(PAA_4[[#This Row],[ITEM]],[2]Contrato!A:A,[2]Contrato!G:G,"",0)</f>
        <v>#NAME?</v>
      </c>
      <c r="AA377" s="47" t="e">
        <f ca="1">_xlfn.XLOOKUP(PAA_4[[#This Row],[ITEM]],[2]Contrato!A:A,[2]Contrato!T:T,"",0)</f>
        <v>#NAME?</v>
      </c>
      <c r="AB377" s="55" t="e">
        <f ca="1">+MAX(PAA_4[[#This Row],[Comprometido Contrato]],PAA_4[[#This Row],[Comprometido Bolsa]])</f>
        <v>#NAME?</v>
      </c>
      <c r="AC377" s="55" t="str">
        <f t="shared" ca="1" si="210"/>
        <v/>
      </c>
      <c r="AD377" s="55" t="e">
        <f ca="1">IF(PAA_4[[#This Row],[ESTADO (formulado)]]="NO CONTRATADO",0,MAX(PAA_4[[#This Row],[Pago por Contrato]],PAA_4[[#This Row],[Pago por bolsa]]))</f>
        <v>#NAME?</v>
      </c>
      <c r="AE377" s="55" t="str">
        <f t="shared" ca="1" si="211"/>
        <v/>
      </c>
      <c r="AF377" s="47" t="e">
        <f t="shared" ca="1" si="212"/>
        <v>#NAME?</v>
      </c>
      <c r="AG377" s="47">
        <f t="shared" si="213"/>
        <v>41080105</v>
      </c>
      <c r="AH377" s="54" t="str">
        <f>IF(Q377="22",IF(ISNUMBER(SEARCH("econ",PAA_4[[#This Row],[Actividad3]])),"Económico",IF(ISNUMBER(SEARCH("alim",PAA_4[[#This Row],[Actividad3]])),"Alimentación",IF(ISNUMBER(SEARCH("educ",PAA_4[[#This Row],[Actividad3]])),"Educativo","Técnico"))),0)</f>
        <v>Alimentación</v>
      </c>
      <c r="AI377" s="47" t="e" cm="1">
        <f t="array" aca="1" ref="AI377" ca="1">_xlfn.XLOOKUP(PAA_4[[#This Row],[RCP-RUBRO]],[2]!COMPROMISOS_2024[[#All],[concatenado]],[2]!COMPROMISOS_2024[[#All],[Total pagado]],"",0)</f>
        <v>#NAME?</v>
      </c>
      <c r="AJ377" s="56" t="e">
        <f ca="1">IF(PAA_4[[#This Row],[BOLSA]]=0,0,SUMIFS([2]!COMPROMISOS_2024[[#All],[Total pagado]],[2]!COMPROMISOS_2024[[#All],[Bolsa]],PAA_4[[#This Row],[BOLSA]],[2]!COMPROMISOS_2024[[#All],[rubro]],PAA_4[[#This Row],[RCP-RUBRO]]))</f>
        <v>#REF!</v>
      </c>
      <c r="AK377" s="47" t="e" cm="1">
        <f t="array" aca="1" ref="AK377" ca="1">_xlfn.XLOOKUP(PAA_4[[#This Row],[RCP-RUBRO]],[2]!COMPROMISOS_2024[[#All],[concatenado]],[2]!COMPROMISOS_2024[[#All],[Total Comprometido]],"",0)</f>
        <v>#NAME?</v>
      </c>
      <c r="AL377" s="47" t="e">
        <f ca="1">IF(PAA_4[[#This Row],[BOLSA]]=0,0,SUMIFS([2]!COMPROMISOS_2024[[#All],[Total Comprometido]],[2]!COMPROMISOS_2024[[#All],[Bolsa]],PAA_4[[#This Row],[BOLSA]],[2]!COMPROMISOS_2024[[#All],[concatenado]],PAA_4[[#This Row],[RCP-RUBRO]]))</f>
        <v>#REF!</v>
      </c>
    </row>
    <row r="378" spans="1:38" s="19" customFormat="1" ht="31.5" customHeight="1">
      <c r="A378" s="47">
        <v>70</v>
      </c>
      <c r="B378" s="47">
        <v>80111600</v>
      </c>
      <c r="C378" s="47" t="str">
        <f>VLOOKUP(PAA_4[[#This Row],[PROYECTO (formulado)2]],[2]PROYECTOS!$G$1:$L$32,6,0)</f>
        <v>SUBGERENCIA DE ALTOS LOGROS Y DEPORTE ASOCIADO</v>
      </c>
      <c r="D378" s="47" t="str">
        <f>+IF(PAA_4[[#This Row],[UNIDAD DE CONTRATACION (formulado)]]="Subgerencia Administrativa y Financiera","FUNCIONAMIENTO","INVERSIÓN")</f>
        <v>INVERSIÓN</v>
      </c>
      <c r="E378" s="48" t="str">
        <f>VLOOKUP(Q378,[2]PROYECTOS!$G$1:$K$32,5,0)</f>
        <v>APOYO_TÉCNICO_Y_PSICOSOCIAL_A_LOS_DEPORTISTAS_DE_ANTIOQUIA</v>
      </c>
      <c r="F378" s="48">
        <f>VLOOKUP(E378,[2]PROYECTOS!$K$1:$M$32,3,0)</f>
        <v>2021003050069</v>
      </c>
      <c r="G378" s="49" t="s">
        <v>216</v>
      </c>
      <c r="H378" s="49" t="str">
        <f>VLOOKUP(Q378,[2]PROYECTOS!$V$1:$W$32,2,0)</f>
        <v>050069</v>
      </c>
      <c r="I378" s="50">
        <v>0</v>
      </c>
      <c r="J378" s="51" t="s">
        <v>1501</v>
      </c>
      <c r="K378" s="47" t="str">
        <f t="shared" ca="1" si="207"/>
        <v>CONTRATADO</v>
      </c>
      <c r="L378" s="47" t="s">
        <v>44</v>
      </c>
      <c r="M378" s="47" t="s">
        <v>1236</v>
      </c>
      <c r="N378" s="52" t="s">
        <v>217</v>
      </c>
      <c r="O378" s="51" t="e">
        <f>VLOOKUP(N378,[2]!RUBROS[#All],3,0)</f>
        <v>#REF!</v>
      </c>
      <c r="P378" s="53" t="e">
        <f>VLOOKUP(N378,[2]!RUBROS[#All],2,0)</f>
        <v>#REF!</v>
      </c>
      <c r="Q378" s="47" t="str">
        <f t="shared" si="214"/>
        <v>22</v>
      </c>
      <c r="R378" s="47" t="str">
        <f t="shared" si="209"/>
        <v>0-205128</v>
      </c>
      <c r="S378" s="54">
        <v>12</v>
      </c>
      <c r="T378" s="59" t="s">
        <v>46</v>
      </c>
      <c r="U378" s="326" t="e">
        <f ca="1">_xlfn.XLOOKUP(PAA_4[[#This Row],[ITEM]],[2]Contrato!A:A,[2]Contrato!Q:Q,"",0)</f>
        <v>#NAME?</v>
      </c>
      <c r="V378" s="47" t="s">
        <v>95</v>
      </c>
      <c r="W378" s="47" t="s">
        <v>83</v>
      </c>
      <c r="X378" s="47" t="s">
        <v>83</v>
      </c>
      <c r="Y378" s="55" t="e">
        <f ca="1">_xlfn.XLOOKUP(PAA_4[[#This Row],[ITEM]],[2]Contrato!A:A,[2]Contrato!B:B,"",0)</f>
        <v>#NAME?</v>
      </c>
      <c r="Z378" s="47" t="e">
        <f ca="1">_xlfn.XLOOKUP(PAA_4[[#This Row],[ITEM]],[2]Contrato!A:A,[2]Contrato!G:G,"",0)</f>
        <v>#NAME?</v>
      </c>
      <c r="AA378" s="47" t="e">
        <f ca="1">_xlfn.XLOOKUP(PAA_4[[#This Row],[ITEM]],[2]Contrato!A:A,[2]Contrato!T:T,"",0)</f>
        <v>#NAME?</v>
      </c>
      <c r="AB378" s="55" t="e">
        <f ca="1">+MAX(PAA_4[[#This Row],[Comprometido Contrato]],PAA_4[[#This Row],[Comprometido Bolsa]])</f>
        <v>#NAME?</v>
      </c>
      <c r="AC378" s="55" t="str">
        <f t="shared" ca="1" si="210"/>
        <v/>
      </c>
      <c r="AD378" s="55" t="e">
        <f ca="1">IF(PAA_4[[#This Row],[ESTADO (formulado)]]="NO CONTRATADO",0,MAX(PAA_4[[#This Row],[Pago por Contrato]],PAA_4[[#This Row],[Pago por bolsa]]))</f>
        <v>#NAME?</v>
      </c>
      <c r="AE378" s="55" t="str">
        <f t="shared" ca="1" si="211"/>
        <v/>
      </c>
      <c r="AF378" s="47" t="e">
        <f t="shared" ca="1" si="212"/>
        <v>#NAME?</v>
      </c>
      <c r="AG378" s="47">
        <f t="shared" si="213"/>
        <v>41080105</v>
      </c>
      <c r="AH378" s="54" t="str">
        <f>IF(Q378="22",IF(ISNUMBER(SEARCH("econ",PAA_4[[#This Row],[Actividad3]])),"Económico",IF(ISNUMBER(SEARCH("alim",PAA_4[[#This Row],[Actividad3]])),"Alimentación",IF(ISNUMBER(SEARCH("educ",PAA_4[[#This Row],[Actividad3]])),"Educativo","Técnico"))),0)</f>
        <v>Alimentación</v>
      </c>
      <c r="AI378" s="47" t="e" cm="1">
        <f t="array" aca="1" ref="AI378" ca="1">_xlfn.XLOOKUP(PAA_4[[#This Row],[RCP-RUBRO]],[2]!COMPROMISOS_2024[[#All],[concatenado]],[2]!COMPROMISOS_2024[[#All],[Total pagado]],"",0)</f>
        <v>#NAME?</v>
      </c>
      <c r="AJ378" s="56" t="e">
        <f ca="1">IF(PAA_4[[#This Row],[BOLSA]]=0,0,SUMIFS([2]!COMPROMISOS_2024[[#All],[Total pagado]],[2]!COMPROMISOS_2024[[#All],[Bolsa]],PAA_4[[#This Row],[BOLSA]],[2]!COMPROMISOS_2024[[#All],[rubro]],PAA_4[[#This Row],[RCP-RUBRO]]))</f>
        <v>#REF!</v>
      </c>
      <c r="AK378" s="47" t="e" cm="1">
        <f t="array" aca="1" ref="AK378" ca="1">_xlfn.XLOOKUP(PAA_4[[#This Row],[RCP-RUBRO]],[2]!COMPROMISOS_2024[[#All],[concatenado]],[2]!COMPROMISOS_2024[[#All],[Total Comprometido]],"",0)</f>
        <v>#NAME?</v>
      </c>
      <c r="AL378" s="47" t="e">
        <f ca="1">IF(PAA_4[[#This Row],[BOLSA]]=0,0,SUMIFS([2]!COMPROMISOS_2024[[#All],[Total Comprometido]],[2]!COMPROMISOS_2024[[#All],[Bolsa]],PAA_4[[#This Row],[BOLSA]],[2]!COMPROMISOS_2024[[#All],[concatenado]],PAA_4[[#This Row],[RCP-RUBRO]]))</f>
        <v>#REF!</v>
      </c>
    </row>
    <row r="379" spans="1:38" s="19" customFormat="1" ht="31.5" customHeight="1">
      <c r="A379" s="47" t="s">
        <v>82</v>
      </c>
      <c r="B379" s="47" t="s">
        <v>42</v>
      </c>
      <c r="C379" s="47" t="str">
        <f>VLOOKUP(PAA_4[[#This Row],[PROYECTO (formulado)2]],[2]PROYECTOS!$G$1:$L$32,6,0)</f>
        <v>SUBGERENCIA DE ALTOS LOGROS Y DEPORTE ASOCIADO</v>
      </c>
      <c r="D379" s="47" t="str">
        <f>+IF(PAA_4[[#This Row],[UNIDAD DE CONTRATACION (formulado)]]="Subgerencia Administrativa y Financiera","FUNCIONAMIENTO","INVERSIÓN")</f>
        <v>INVERSIÓN</v>
      </c>
      <c r="E379" s="48" t="str">
        <f>VLOOKUP(Q379,[2]PROYECTOS!$G$1:$K$32,5,0)</f>
        <v>APOYO_TÉCNICO_Y_PSICOSOCIAL_A_LOS_DEPORTISTAS_DE_ANTIOQUIA</v>
      </c>
      <c r="F379" s="48">
        <f>VLOOKUP(E379,[2]PROYECTOS!$K$1:$M$32,3,0)</f>
        <v>2021003050069</v>
      </c>
      <c r="G379" s="49" t="s">
        <v>218</v>
      </c>
      <c r="H379" s="49" t="str">
        <f>VLOOKUP(Q379,[2]PROYECTOS!$V$1:$W$32,2,0)</f>
        <v>050069</v>
      </c>
      <c r="I379" s="50">
        <v>3040050000</v>
      </c>
      <c r="J379" s="340" t="s">
        <v>1502</v>
      </c>
      <c r="K379" s="47" t="str">
        <f t="shared" ca="1" si="207"/>
        <v>CONTRATADO</v>
      </c>
      <c r="L379" s="52" t="s">
        <v>44</v>
      </c>
      <c r="M379" s="51" t="s">
        <v>1236</v>
      </c>
      <c r="N379" s="51" t="s">
        <v>219</v>
      </c>
      <c r="O379" s="51" t="e">
        <f>VLOOKUP(N379,[2]!RUBROS[#All],3,0)</f>
        <v>#REF!</v>
      </c>
      <c r="P379" s="53" t="e">
        <f>VLOOKUP(N379,[2]!RUBROS[#All],2,0)</f>
        <v>#REF!</v>
      </c>
      <c r="Q379" s="47" t="str">
        <f t="shared" si="214"/>
        <v>22</v>
      </c>
      <c r="R379" s="47" t="str">
        <f t="shared" si="209"/>
        <v>0-205400</v>
      </c>
      <c r="S379" s="54">
        <v>12</v>
      </c>
      <c r="T379" s="59" t="s">
        <v>46</v>
      </c>
      <c r="U379" s="326" t="e">
        <f ca="1">_xlfn.XLOOKUP(PAA_4[[#This Row],[ITEM]],[2]Contrato!A:A,[2]Contrato!Q:Q,"",0)</f>
        <v>#NAME?</v>
      </c>
      <c r="V379" s="47" t="s">
        <v>95</v>
      </c>
      <c r="W379" s="47" t="s">
        <v>83</v>
      </c>
      <c r="X379" s="47" t="s">
        <v>83</v>
      </c>
      <c r="Y379" s="55" t="e">
        <f ca="1">_xlfn.XLOOKUP(PAA_4[[#This Row],[ITEM]],[2]Contrato!A:A,[2]Contrato!B:B,"",0)</f>
        <v>#NAME?</v>
      </c>
      <c r="Z379" s="47" t="e">
        <f ca="1">_xlfn.XLOOKUP(PAA_4[[#This Row],[ITEM]],[2]Contrato!A:A,[2]Contrato!G:G,"",0)</f>
        <v>#NAME?</v>
      </c>
      <c r="AA379" s="47" t="e">
        <f ca="1">_xlfn.XLOOKUP(PAA_4[[#This Row],[ITEM]],[2]Contrato!A:A,[2]Contrato!T:T,"",0)</f>
        <v>#NAME?</v>
      </c>
      <c r="AB379" s="55" t="e">
        <f ca="1">+MAX(PAA_4[[#This Row],[Comprometido Contrato]],PAA_4[[#This Row],[Comprometido Bolsa]])</f>
        <v>#NAME?</v>
      </c>
      <c r="AC379" s="55" t="str">
        <f t="shared" ca="1" si="210"/>
        <v/>
      </c>
      <c r="AD379" s="55" t="e">
        <f ca="1">IF(PAA_4[[#This Row],[ESTADO (formulado)]]="NO CONTRATADO",0,MAX(PAA_4[[#This Row],[Pago por Contrato]],PAA_4[[#This Row],[Pago por bolsa]]))</f>
        <v>#NAME?</v>
      </c>
      <c r="AE379" s="55" t="str">
        <f t="shared" ca="1" si="211"/>
        <v/>
      </c>
      <c r="AF379" s="47" t="e">
        <f t="shared" ca="1" si="212"/>
        <v>#NAME?</v>
      </c>
      <c r="AG379" s="47">
        <f t="shared" si="213"/>
        <v>41080102</v>
      </c>
      <c r="AH379" s="54" t="str">
        <f>IF(Q379="22",IF(ISNUMBER(SEARCH("econ",PAA_4[[#This Row],[Actividad3]])),"Económico",IF(ISNUMBER(SEARCH("alim",PAA_4[[#This Row],[Actividad3]])),"Alimentación",IF(ISNUMBER(SEARCH("educ",PAA_4[[#This Row],[Actividad3]])),"Educativo","Técnico"))),0)</f>
        <v>Económico</v>
      </c>
      <c r="AI379" s="47" t="e" cm="1">
        <f t="array" aca="1" ref="AI379" ca="1">_xlfn.XLOOKUP(PAA_4[[#This Row],[RCP-RUBRO]],[2]!COMPROMISOS_2024[[#All],[concatenado]],[2]!COMPROMISOS_2024[[#All],[Total pagado]],"",0)</f>
        <v>#NAME?</v>
      </c>
      <c r="AJ379" s="56" t="e">
        <f ca="1">IF(PAA_4[[#This Row],[BOLSA]]=0,0,SUMIFS([2]!COMPROMISOS_2024[[#All],[Total pagado]],[2]!COMPROMISOS_2024[[#All],[Bolsa]],PAA_4[[#This Row],[BOLSA]],[2]!COMPROMISOS_2024[[#All],[rubro]],PAA_4[[#This Row],[RCP-RUBRO]]))</f>
        <v>#REF!</v>
      </c>
      <c r="AK379" s="47" t="e" cm="1">
        <f t="array" aca="1" ref="AK379" ca="1">_xlfn.XLOOKUP(PAA_4[[#This Row],[RCP-RUBRO]],[2]!COMPROMISOS_2024[[#All],[concatenado]],[2]!COMPROMISOS_2024[[#All],[Total Comprometido]],"",0)</f>
        <v>#NAME?</v>
      </c>
      <c r="AL379" s="47" t="e">
        <f ca="1">IF(PAA_4[[#This Row],[BOLSA]]=0,0,SUMIFS([2]!COMPROMISOS_2024[[#All],[Total Comprometido]],[2]!COMPROMISOS_2024[[#All],[Bolsa]],PAA_4[[#This Row],[BOLSA]],[2]!COMPROMISOS_2024[[#All],[concatenado]],PAA_4[[#This Row],[RCP-RUBRO]]))</f>
        <v>#REF!</v>
      </c>
    </row>
    <row r="380" spans="1:38" s="19" customFormat="1" ht="31.5" customHeight="1">
      <c r="A380" s="47">
        <v>71</v>
      </c>
      <c r="B380" s="47" t="s">
        <v>42</v>
      </c>
      <c r="C380" s="47" t="str">
        <f>VLOOKUP(PAA_4[[#This Row],[PROYECTO (formulado)2]],[2]PROYECTOS!$G$1:$L$32,6,0)</f>
        <v>SUBGERENCIA DE ALTOS LOGROS Y DEPORTE ASOCIADO</v>
      </c>
      <c r="D380" s="47" t="str">
        <f>+IF(PAA_4[[#This Row],[UNIDAD DE CONTRATACION (formulado)]]="Subgerencia Administrativa y Financiera","FUNCIONAMIENTO","INVERSIÓN")</f>
        <v>INVERSIÓN</v>
      </c>
      <c r="E380" s="48" t="str">
        <f>VLOOKUP(Q380,[2]PROYECTOS!$G$1:$K$32,5,0)</f>
        <v>APOYO_TÉCNICO_Y_PSICOSOCIAL_A_LOS_DEPORTISTAS_DE_ANTIOQUIA</v>
      </c>
      <c r="F380" s="48">
        <f>VLOOKUP(E380,[2]PROYECTOS!$K$1:$M$32,3,0)</f>
        <v>2021003050069</v>
      </c>
      <c r="G380" s="49" t="s">
        <v>218</v>
      </c>
      <c r="H380" s="49" t="str">
        <f>VLOOKUP(Q380,[2]PROYECTOS!$V$1:$W$32,2,0)</f>
        <v>050069</v>
      </c>
      <c r="I380" s="50">
        <v>0</v>
      </c>
      <c r="J380" s="340" t="s">
        <v>1502</v>
      </c>
      <c r="K380" s="47" t="str">
        <f t="shared" ca="1" si="207"/>
        <v>CONTRATADO</v>
      </c>
      <c r="L380" s="52" t="s">
        <v>44</v>
      </c>
      <c r="M380" s="51" t="s">
        <v>1236</v>
      </c>
      <c r="N380" s="51" t="s">
        <v>219</v>
      </c>
      <c r="O380" s="51" t="e">
        <f>VLOOKUP(N380,[2]!RUBROS[#All],3,0)</f>
        <v>#REF!</v>
      </c>
      <c r="P380" s="53" t="e">
        <f>VLOOKUP(N380,[2]!RUBROS[#All],2,0)</f>
        <v>#REF!</v>
      </c>
      <c r="Q380" s="47" t="str">
        <f t="shared" si="214"/>
        <v>22</v>
      </c>
      <c r="R380" s="47" t="str">
        <f t="shared" si="209"/>
        <v>0-205400</v>
      </c>
      <c r="S380" s="54">
        <v>12</v>
      </c>
      <c r="T380" s="59" t="s">
        <v>46</v>
      </c>
      <c r="U380" s="326" t="e">
        <f ca="1">_xlfn.XLOOKUP(PAA_4[[#This Row],[ITEM]],[2]Contrato!A:A,[2]Contrato!Q:Q,"",0)</f>
        <v>#NAME?</v>
      </c>
      <c r="V380" s="47" t="s">
        <v>95</v>
      </c>
      <c r="W380" s="47" t="s">
        <v>83</v>
      </c>
      <c r="X380" s="47" t="s">
        <v>83</v>
      </c>
      <c r="Y380" s="55" t="e">
        <f ca="1">_xlfn.XLOOKUP(PAA_4[[#This Row],[ITEM]],[2]Contrato!A:A,[2]Contrato!B:B,"",0)</f>
        <v>#NAME?</v>
      </c>
      <c r="Z380" s="47" t="e">
        <f ca="1">_xlfn.XLOOKUP(PAA_4[[#This Row],[ITEM]],[2]Contrato!A:A,[2]Contrato!G:G,"",0)</f>
        <v>#NAME?</v>
      </c>
      <c r="AA380" s="47" t="e">
        <f ca="1">_xlfn.XLOOKUP(PAA_4[[#This Row],[ITEM]],[2]Contrato!A:A,[2]Contrato!T:T,"",0)</f>
        <v>#NAME?</v>
      </c>
      <c r="AB380" s="55" t="e">
        <f ca="1">+MAX(PAA_4[[#This Row],[Comprometido Contrato]],PAA_4[[#This Row],[Comprometido Bolsa]])</f>
        <v>#NAME?</v>
      </c>
      <c r="AC380" s="55" t="str">
        <f t="shared" ca="1" si="210"/>
        <v/>
      </c>
      <c r="AD380" s="55" t="e">
        <f ca="1">IF(PAA_4[[#This Row],[ESTADO (formulado)]]="NO CONTRATADO",0,MAX(PAA_4[[#This Row],[Pago por Contrato]],PAA_4[[#This Row],[Pago por bolsa]]))</f>
        <v>#NAME?</v>
      </c>
      <c r="AE380" s="55" t="str">
        <f t="shared" ca="1" si="211"/>
        <v/>
      </c>
      <c r="AF380" s="47" t="e">
        <f t="shared" ca="1" si="212"/>
        <v>#NAME?</v>
      </c>
      <c r="AG380" s="47">
        <f t="shared" si="213"/>
        <v>41080102</v>
      </c>
      <c r="AH380" s="54" t="str">
        <f>IF(Q380="22",IF(ISNUMBER(SEARCH("econ",PAA_4[[#This Row],[Actividad3]])),"Económico",IF(ISNUMBER(SEARCH("alim",PAA_4[[#This Row],[Actividad3]])),"Alimentación",IF(ISNUMBER(SEARCH("educ",PAA_4[[#This Row],[Actividad3]])),"Educativo","Técnico"))),0)</f>
        <v>Económico</v>
      </c>
      <c r="AI380" s="47" t="e" cm="1">
        <f t="array" aca="1" ref="AI380" ca="1">_xlfn.XLOOKUP(PAA_4[[#This Row],[RCP-RUBRO]],[2]!COMPROMISOS_2024[[#All],[concatenado]],[2]!COMPROMISOS_2024[[#All],[Total pagado]],"",0)</f>
        <v>#NAME?</v>
      </c>
      <c r="AJ380" s="56" t="e">
        <f ca="1">IF(PAA_4[[#This Row],[BOLSA]]=0,0,SUMIFS([2]!COMPROMISOS_2024[[#All],[Total pagado]],[2]!COMPROMISOS_2024[[#All],[Bolsa]],PAA_4[[#This Row],[BOLSA]],[2]!COMPROMISOS_2024[[#All],[rubro]],PAA_4[[#This Row],[RCP-RUBRO]]))</f>
        <v>#REF!</v>
      </c>
      <c r="AK380" s="47" t="e" cm="1">
        <f t="array" aca="1" ref="AK380" ca="1">_xlfn.XLOOKUP(PAA_4[[#This Row],[RCP-RUBRO]],[2]!COMPROMISOS_2024[[#All],[concatenado]],[2]!COMPROMISOS_2024[[#All],[Total Comprometido]],"",0)</f>
        <v>#NAME?</v>
      </c>
      <c r="AL380" s="47" t="e">
        <f ca="1">IF(PAA_4[[#This Row],[BOLSA]]=0,0,SUMIFS([2]!COMPROMISOS_2024[[#All],[Total Comprometido]],[2]!COMPROMISOS_2024[[#All],[Bolsa]],PAA_4[[#This Row],[BOLSA]],[2]!COMPROMISOS_2024[[#All],[concatenado]],PAA_4[[#This Row],[RCP-RUBRO]]))</f>
        <v>#REF!</v>
      </c>
    </row>
    <row r="381" spans="1:38" s="19" customFormat="1" ht="31.5" customHeight="1">
      <c r="A381" s="47">
        <v>72</v>
      </c>
      <c r="B381" s="47" t="s">
        <v>42</v>
      </c>
      <c r="C381" s="47" t="str">
        <f>VLOOKUP(PAA_4[[#This Row],[PROYECTO (formulado)2]],[2]PROYECTOS!$G$1:$L$32,6,0)</f>
        <v>SUBGERENCIA DE ALTOS LOGROS Y DEPORTE ASOCIADO</v>
      </c>
      <c r="D381" s="47" t="str">
        <f>+IF(PAA_4[[#This Row],[UNIDAD DE CONTRATACION (formulado)]]="Subgerencia Administrativa y Financiera","FUNCIONAMIENTO","INVERSIÓN")</f>
        <v>INVERSIÓN</v>
      </c>
      <c r="E381" s="48" t="str">
        <f>VLOOKUP(Q381,[2]PROYECTOS!$G$1:$K$32,5,0)</f>
        <v>APOYO_TÉCNICO_Y_PSICOSOCIAL_A_LOS_DEPORTISTAS_DE_ANTIOQUIA</v>
      </c>
      <c r="F381" s="48">
        <f>VLOOKUP(E381,[2]PROYECTOS!$K$1:$M$32,3,0)</f>
        <v>2021003050069</v>
      </c>
      <c r="G381" s="49" t="s">
        <v>216</v>
      </c>
      <c r="H381" s="49" t="str">
        <f>VLOOKUP(Q381,[2]PROYECTOS!$V$1:$W$32,2,0)</f>
        <v>050069</v>
      </c>
      <c r="I381" s="50">
        <v>0</v>
      </c>
      <c r="J381" s="51" t="s">
        <v>1501</v>
      </c>
      <c r="K381" s="47" t="str">
        <f t="shared" ca="1" si="207"/>
        <v>CONTRATADO</v>
      </c>
      <c r="L381" s="52" t="s">
        <v>44</v>
      </c>
      <c r="M381" s="51" t="s">
        <v>1236</v>
      </c>
      <c r="N381" s="51" t="s">
        <v>219</v>
      </c>
      <c r="O381" s="51" t="e">
        <f>VLOOKUP(N381,[2]!RUBROS[#All],3,0)</f>
        <v>#REF!</v>
      </c>
      <c r="P381" s="53" t="e">
        <f>VLOOKUP(N381,[2]!RUBROS[#All],2,0)</f>
        <v>#REF!</v>
      </c>
      <c r="Q381" s="47" t="str">
        <f t="shared" si="214"/>
        <v>22</v>
      </c>
      <c r="R381" s="47" t="str">
        <f t="shared" si="209"/>
        <v>0-205400</v>
      </c>
      <c r="S381" s="54">
        <v>12</v>
      </c>
      <c r="T381" s="59" t="s">
        <v>46</v>
      </c>
      <c r="U381" s="326" t="e">
        <f ca="1">_xlfn.XLOOKUP(PAA_4[[#This Row],[ITEM]],[2]Contrato!A:A,[2]Contrato!Q:Q,"",0)</f>
        <v>#NAME?</v>
      </c>
      <c r="V381" s="47" t="s">
        <v>95</v>
      </c>
      <c r="W381" s="47" t="s">
        <v>83</v>
      </c>
      <c r="X381" s="47" t="s">
        <v>83</v>
      </c>
      <c r="Y381" s="55" t="e">
        <f ca="1">_xlfn.XLOOKUP(PAA_4[[#This Row],[ITEM]],[2]Contrato!A:A,[2]Contrato!B:B,"",0)</f>
        <v>#NAME?</v>
      </c>
      <c r="Z381" s="47" t="e">
        <f ca="1">_xlfn.XLOOKUP(PAA_4[[#This Row],[ITEM]],[2]Contrato!A:A,[2]Contrato!G:G,"",0)</f>
        <v>#NAME?</v>
      </c>
      <c r="AA381" s="47" t="e">
        <f ca="1">_xlfn.XLOOKUP(PAA_4[[#This Row],[ITEM]],[2]Contrato!A:A,[2]Contrato!T:T,"",0)</f>
        <v>#NAME?</v>
      </c>
      <c r="AB381" s="55" t="e">
        <f ca="1">+MAX(PAA_4[[#This Row],[Comprometido Contrato]],PAA_4[[#This Row],[Comprometido Bolsa]])</f>
        <v>#NAME?</v>
      </c>
      <c r="AC381" s="55" t="str">
        <f t="shared" ca="1" si="210"/>
        <v/>
      </c>
      <c r="AD381" s="55" t="e">
        <f ca="1">IF(PAA_4[[#This Row],[ESTADO (formulado)]]="NO CONTRATADO",0,MAX(PAA_4[[#This Row],[Pago por Contrato]],PAA_4[[#This Row],[Pago por bolsa]]))</f>
        <v>#NAME?</v>
      </c>
      <c r="AE381" s="55" t="str">
        <f t="shared" ca="1" si="211"/>
        <v/>
      </c>
      <c r="AF381" s="47" t="e">
        <f t="shared" ca="1" si="212"/>
        <v>#NAME?</v>
      </c>
      <c r="AG381" s="47">
        <f t="shared" si="213"/>
        <v>41080105</v>
      </c>
      <c r="AH381" s="54" t="str">
        <f>IF(Q381="22",IF(ISNUMBER(SEARCH("econ",PAA_4[[#This Row],[Actividad3]])),"Económico",IF(ISNUMBER(SEARCH("alim",PAA_4[[#This Row],[Actividad3]])),"Alimentación",IF(ISNUMBER(SEARCH("educ",PAA_4[[#This Row],[Actividad3]])),"Educativo","Técnico"))),0)</f>
        <v>Alimentación</v>
      </c>
      <c r="AI381" s="47" t="e" cm="1">
        <f t="array" aca="1" ref="AI381" ca="1">_xlfn.XLOOKUP(PAA_4[[#This Row],[RCP-RUBRO]],[2]!COMPROMISOS_2024[[#All],[concatenado]],[2]!COMPROMISOS_2024[[#All],[Total pagado]],"",0)</f>
        <v>#NAME?</v>
      </c>
      <c r="AJ381" s="56" t="e">
        <f ca="1">IF(PAA_4[[#This Row],[BOLSA]]=0,0,SUMIFS([2]!COMPROMISOS_2024[[#All],[Total pagado]],[2]!COMPROMISOS_2024[[#All],[Bolsa]],PAA_4[[#This Row],[BOLSA]],[2]!COMPROMISOS_2024[[#All],[rubro]],PAA_4[[#This Row],[RCP-RUBRO]]))</f>
        <v>#REF!</v>
      </c>
      <c r="AK381" s="47" t="e" cm="1">
        <f t="array" aca="1" ref="AK381" ca="1">_xlfn.XLOOKUP(PAA_4[[#This Row],[RCP-RUBRO]],[2]!COMPROMISOS_2024[[#All],[concatenado]],[2]!COMPROMISOS_2024[[#All],[Total Comprometido]],"",0)</f>
        <v>#NAME?</v>
      </c>
      <c r="AL381" s="47" t="e">
        <f ca="1">IF(PAA_4[[#This Row],[BOLSA]]=0,0,SUMIFS([2]!COMPROMISOS_2024[[#All],[Total Comprometido]],[2]!COMPROMISOS_2024[[#All],[Bolsa]],PAA_4[[#This Row],[BOLSA]],[2]!COMPROMISOS_2024[[#All],[concatenado]],PAA_4[[#This Row],[RCP-RUBRO]]))</f>
        <v>#REF!</v>
      </c>
    </row>
    <row r="382" spans="1:38" s="19" customFormat="1" ht="31.5" customHeight="1">
      <c r="A382" s="47">
        <v>73</v>
      </c>
      <c r="B382" s="47" t="s">
        <v>42</v>
      </c>
      <c r="C382" s="47" t="str">
        <f>VLOOKUP(PAA_4[[#This Row],[PROYECTO (formulado)2]],[2]PROYECTOS!$G$1:$L$32,6,0)</f>
        <v>SUBGERENCIA DE ALTOS LOGROS Y DEPORTE ASOCIADO</v>
      </c>
      <c r="D382" s="47" t="str">
        <f>+IF(PAA_4[[#This Row],[UNIDAD DE CONTRATACION (formulado)]]="Subgerencia Administrativa y Financiera","FUNCIONAMIENTO","INVERSIÓN")</f>
        <v>INVERSIÓN</v>
      </c>
      <c r="E382" s="48" t="str">
        <f>VLOOKUP(Q382,[2]PROYECTOS!$G$1:$K$32,5,0)</f>
        <v>APOYO_TÉCNICO_Y_PSICOSOCIAL_A_LOS_DEPORTISTAS_DE_ANTIOQUIA</v>
      </c>
      <c r="F382" s="48">
        <f>VLOOKUP(E382,[2]PROYECTOS!$K$1:$M$32,3,0)</f>
        <v>2021003050069</v>
      </c>
      <c r="G382" s="49" t="s">
        <v>220</v>
      </c>
      <c r="H382" s="49" t="str">
        <f>VLOOKUP(Q382,[2]PROYECTOS!$V$1:$W$32,2,0)</f>
        <v>050069</v>
      </c>
      <c r="I382" s="50">
        <v>148447385</v>
      </c>
      <c r="J382" s="51" t="s">
        <v>1503</v>
      </c>
      <c r="K382" s="47" t="str">
        <f t="shared" ca="1" si="207"/>
        <v>CONTRATADO</v>
      </c>
      <c r="L382" s="52" t="s">
        <v>44</v>
      </c>
      <c r="M382" s="51" t="s">
        <v>1236</v>
      </c>
      <c r="N382" s="51" t="s">
        <v>219</v>
      </c>
      <c r="O382" s="51" t="e">
        <f>VLOOKUP(N382,[2]!RUBROS[#All],3,0)</f>
        <v>#REF!</v>
      </c>
      <c r="P382" s="53" t="e">
        <f>VLOOKUP(N382,[2]!RUBROS[#All],2,0)</f>
        <v>#REF!</v>
      </c>
      <c r="Q382" s="47" t="str">
        <f t="shared" si="214"/>
        <v>22</v>
      </c>
      <c r="R382" s="47" t="str">
        <f t="shared" si="209"/>
        <v>0-205400</v>
      </c>
      <c r="S382" s="54">
        <v>12</v>
      </c>
      <c r="T382" s="59" t="s">
        <v>46</v>
      </c>
      <c r="U382" s="326" t="e">
        <f ca="1">_xlfn.XLOOKUP(PAA_4[[#This Row],[ITEM]],[2]Contrato!A:A,[2]Contrato!Q:Q,"",0)</f>
        <v>#NAME?</v>
      </c>
      <c r="V382" s="47" t="s">
        <v>95</v>
      </c>
      <c r="W382" s="47" t="s">
        <v>83</v>
      </c>
      <c r="X382" s="47" t="s">
        <v>83</v>
      </c>
      <c r="Y382" s="55" t="e">
        <f ca="1">_xlfn.XLOOKUP(PAA_4[[#This Row],[ITEM]],[2]Contrato!A:A,[2]Contrato!B:B,"",0)</f>
        <v>#NAME?</v>
      </c>
      <c r="Z382" s="47" t="e">
        <f ca="1">_xlfn.XLOOKUP(PAA_4[[#This Row],[ITEM]],[2]Contrato!A:A,[2]Contrato!G:G,"",0)</f>
        <v>#NAME?</v>
      </c>
      <c r="AA382" s="47" t="e">
        <f ca="1">_xlfn.XLOOKUP(PAA_4[[#This Row],[ITEM]],[2]Contrato!A:A,[2]Contrato!T:T,"",0)</f>
        <v>#NAME?</v>
      </c>
      <c r="AB382" s="55" t="e">
        <f ca="1">+MAX(PAA_4[[#This Row],[Comprometido Contrato]],PAA_4[[#This Row],[Comprometido Bolsa]])</f>
        <v>#NAME?</v>
      </c>
      <c r="AC382" s="55" t="str">
        <f t="shared" ca="1" si="210"/>
        <v/>
      </c>
      <c r="AD382" s="55" t="e">
        <f ca="1">IF(PAA_4[[#This Row],[ESTADO (formulado)]]="NO CONTRATADO",0,MAX(PAA_4[[#This Row],[Pago por Contrato]],PAA_4[[#This Row],[Pago por bolsa]]))</f>
        <v>#NAME?</v>
      </c>
      <c r="AE382" s="55" t="str">
        <f t="shared" ca="1" si="211"/>
        <v/>
      </c>
      <c r="AF382" s="47" t="e">
        <f t="shared" ca="1" si="212"/>
        <v>#NAME?</v>
      </c>
      <c r="AG382" s="47">
        <f t="shared" si="213"/>
        <v>41080104</v>
      </c>
      <c r="AH382" s="54" t="str">
        <f>IF(Q382="22",IF(ISNUMBER(SEARCH("econ",PAA_4[[#This Row],[Actividad3]])),"Económico",IF(ISNUMBER(SEARCH("alim",PAA_4[[#This Row],[Actividad3]])),"Alimentación",IF(ISNUMBER(SEARCH("educ",PAA_4[[#This Row],[Actividad3]])),"Educativo","Técnico"))),0)</f>
        <v>Educativo</v>
      </c>
      <c r="AI382" s="47" t="e" cm="1">
        <f t="array" aca="1" ref="AI382" ca="1">_xlfn.XLOOKUP(PAA_4[[#This Row],[RCP-RUBRO]],[2]!COMPROMISOS_2024[[#All],[concatenado]],[2]!COMPROMISOS_2024[[#All],[Total pagado]],"",0)</f>
        <v>#NAME?</v>
      </c>
      <c r="AJ382" s="56" t="e">
        <f ca="1">IF(PAA_4[[#This Row],[BOLSA]]=0,0,SUMIFS([2]!COMPROMISOS_2024[[#All],[Total pagado]],[2]!COMPROMISOS_2024[[#All],[Bolsa]],PAA_4[[#This Row],[BOLSA]],[2]!COMPROMISOS_2024[[#All],[rubro]],PAA_4[[#This Row],[RCP-RUBRO]]))</f>
        <v>#REF!</v>
      </c>
      <c r="AK382" s="47" t="e" cm="1">
        <f t="array" aca="1" ref="AK382" ca="1">_xlfn.XLOOKUP(PAA_4[[#This Row],[RCP-RUBRO]],[2]!COMPROMISOS_2024[[#All],[concatenado]],[2]!COMPROMISOS_2024[[#All],[Total Comprometido]],"",0)</f>
        <v>#NAME?</v>
      </c>
      <c r="AL382" s="47" t="e">
        <f ca="1">IF(PAA_4[[#This Row],[BOLSA]]=0,0,SUMIFS([2]!COMPROMISOS_2024[[#All],[Total Comprometido]],[2]!COMPROMISOS_2024[[#All],[Bolsa]],PAA_4[[#This Row],[BOLSA]],[2]!COMPROMISOS_2024[[#All],[concatenado]],PAA_4[[#This Row],[RCP-RUBRO]]))</f>
        <v>#REF!</v>
      </c>
    </row>
    <row r="383" spans="1:38" s="19" customFormat="1" ht="31.5" customHeight="1">
      <c r="A383" s="47" t="s">
        <v>82</v>
      </c>
      <c r="B383" s="47" t="s">
        <v>42</v>
      </c>
      <c r="C383" s="47" t="str">
        <f>VLOOKUP(PAA_4[[#This Row],[PROYECTO (formulado)2]],[2]PROYECTOS!$G$1:$L$32,6,0)</f>
        <v>SUBGERENCIA DE ALTOS LOGROS Y DEPORTE ASOCIADO</v>
      </c>
      <c r="D383" s="47" t="str">
        <f>+IF(PAA_4[[#This Row],[UNIDAD DE CONTRATACION (formulado)]]="Subgerencia Administrativa y Financiera","FUNCIONAMIENTO","INVERSIÓN")</f>
        <v>INVERSIÓN</v>
      </c>
      <c r="E383" s="48" t="str">
        <f>VLOOKUP(Q383,[2]PROYECTOS!$G$1:$K$32,5,0)</f>
        <v>FORTALECIMIENTO_DEL_PROGRAMA_DE_ALTOS_LOGROS_Y_LIDERAZGO_DEPORTIVO_EN_EL_DEPARTAMENTO_DE_ANTIOQUIA</v>
      </c>
      <c r="F383" s="48">
        <f>VLOOKUP(E383,[2]PROYECTOS!$K$1:$M$32,3,0)</f>
        <v>2020003050021</v>
      </c>
      <c r="G383" s="49" t="s">
        <v>221</v>
      </c>
      <c r="H383" s="49" t="str">
        <f>VLOOKUP(Q383,[2]PROYECTOS!$V$1:$W$32,2,0)</f>
        <v>050061</v>
      </c>
      <c r="I383" s="50">
        <v>0</v>
      </c>
      <c r="J383" s="51" t="s">
        <v>42</v>
      </c>
      <c r="K383" s="47" t="str">
        <f t="shared" ca="1" si="207"/>
        <v>CONTRATADO</v>
      </c>
      <c r="L383" s="47" t="s">
        <v>42</v>
      </c>
      <c r="M383" s="47" t="s">
        <v>42</v>
      </c>
      <c r="N383" s="52" t="s">
        <v>223</v>
      </c>
      <c r="O383" s="51" t="e">
        <f>VLOOKUP(N383,[2]!RUBROS[#All],3,0)</f>
        <v>#REF!</v>
      </c>
      <c r="P383" s="53" t="e">
        <f>VLOOKUP(N383,[2]!RUBROS[#All],2,0)</f>
        <v>#REF!</v>
      </c>
      <c r="Q383" s="47" t="str">
        <f t="shared" si="214"/>
        <v>20</v>
      </c>
      <c r="R383" s="47" t="str">
        <f t="shared" si="209"/>
        <v>0-205400</v>
      </c>
      <c r="S383" s="54" t="s">
        <v>42</v>
      </c>
      <c r="T383" s="59" t="s">
        <v>42</v>
      </c>
      <c r="U383" s="326" t="e">
        <f ca="1">_xlfn.XLOOKUP(PAA_4[[#This Row],[ITEM]],[2]Contrato!A:A,[2]Contrato!Q:Q,"",0)</f>
        <v>#NAME?</v>
      </c>
      <c r="V383" s="54" t="s">
        <v>42</v>
      </c>
      <c r="W383" s="54" t="s">
        <v>42</v>
      </c>
      <c r="X383" s="54" t="s">
        <v>42</v>
      </c>
      <c r="Y383" s="55" t="e">
        <f ca="1">_xlfn.XLOOKUP(PAA_4[[#This Row],[ITEM]],[2]Contrato!A:A,[2]Contrato!B:B,"",0)</f>
        <v>#NAME?</v>
      </c>
      <c r="Z383" s="47" t="e">
        <f ca="1">_xlfn.XLOOKUP(PAA_4[[#This Row],[ITEM]],[2]Contrato!A:A,[2]Contrato!G:G,"",0)</f>
        <v>#NAME?</v>
      </c>
      <c r="AA383" s="47" t="e">
        <f ca="1">_xlfn.XLOOKUP(PAA_4[[#This Row],[ITEM]],[2]Contrato!A:A,[2]Contrato!T:T,"",0)</f>
        <v>#NAME?</v>
      </c>
      <c r="AB383" s="55" t="e">
        <f ca="1">+MAX(PAA_4[[#This Row],[Comprometido Contrato]],PAA_4[[#This Row],[Comprometido Bolsa]])</f>
        <v>#NAME?</v>
      </c>
      <c r="AC383" s="55" t="str">
        <f t="shared" ca="1" si="210"/>
        <v/>
      </c>
      <c r="AD383" s="55" t="e">
        <f ca="1">IF(PAA_4[[#This Row],[ESTADO (formulado)]]="NO CONTRATADO",0,MAX(PAA_4[[#This Row],[Pago por Contrato]],PAA_4[[#This Row],[Pago por bolsa]]))</f>
        <v>#NAME?</v>
      </c>
      <c r="AE383" s="55" t="str">
        <f t="shared" ca="1" si="211"/>
        <v/>
      </c>
      <c r="AF383" s="47" t="e">
        <f t="shared" ca="1" si="212"/>
        <v>#NAME?</v>
      </c>
      <c r="AG383" s="47">
        <f t="shared" si="213"/>
        <v>41080111</v>
      </c>
      <c r="AH383" s="54">
        <f>IF(Q383="22",IF(ISNUMBER(SEARCH("econ",PAA_4[[#This Row],[Actividad3]])),"Económico",IF(ISNUMBER(SEARCH("alim",PAA_4[[#This Row],[Actividad3]])),"Alimentación",IF(ISNUMBER(SEARCH("educ",PAA_4[[#This Row],[Actividad3]])),"Educativo","Técnico"))),0)</f>
        <v>0</v>
      </c>
      <c r="AI383" s="47" t="e" cm="1">
        <f t="array" aca="1" ref="AI383" ca="1">_xlfn.XLOOKUP(PAA_4[[#This Row],[RCP-RUBRO]],[2]!COMPROMISOS_2024[[#All],[concatenado]],[2]!COMPROMISOS_2024[[#All],[Total pagado]],"",0)</f>
        <v>#NAME?</v>
      </c>
      <c r="AJ383" s="56">
        <f>IF(PAA_4[[#This Row],[BOLSA]]=0,0,SUMIFS([2]!COMPROMISOS_2024[[#All],[Total pagado]],[2]!COMPROMISOS_2024[[#All],[Bolsa]],PAA_4[[#This Row],[BOLSA]],[2]!COMPROMISOS_2024[[#All],[rubro]],PAA_4[[#This Row],[RCP-RUBRO]]))</f>
        <v>0</v>
      </c>
      <c r="AK383" s="47" t="e" cm="1">
        <f t="array" aca="1" ref="AK383" ca="1">_xlfn.XLOOKUP(PAA_4[[#This Row],[RCP-RUBRO]],[2]!COMPROMISOS_2024[[#All],[concatenado]],[2]!COMPROMISOS_2024[[#All],[Total Comprometido]],"",0)</f>
        <v>#NAME?</v>
      </c>
      <c r="AL383" s="47">
        <f>IF(PAA_4[[#This Row],[BOLSA]]=0,0,SUMIFS([2]!COMPROMISOS_2024[[#All],[Total Comprometido]],[2]!COMPROMISOS_2024[[#All],[Bolsa]],PAA_4[[#This Row],[BOLSA]],[2]!COMPROMISOS_2024[[#All],[concatenado]],PAA_4[[#This Row],[RCP-RUBRO]]))</f>
        <v>0</v>
      </c>
    </row>
    <row r="384" spans="1:38" s="19" customFormat="1" ht="31.5" customHeight="1">
      <c r="A384" s="47">
        <v>74</v>
      </c>
      <c r="B384" s="47">
        <v>80111600</v>
      </c>
      <c r="C384" s="47" t="str">
        <f>VLOOKUP(PAA_4[[#This Row],[PROYECTO (formulado)2]],[2]PROYECTOS!$G$1:$L$32,6,0)</f>
        <v>SUBGERENCIA DE ALTOS LOGROS Y DEPORTE ASOCIADO</v>
      </c>
      <c r="D384" s="47" t="str">
        <f>+IF(PAA_4[[#This Row],[UNIDAD DE CONTRATACION (formulado)]]="Subgerencia Administrativa y Financiera","FUNCIONAMIENTO","INVERSIÓN")</f>
        <v>INVERSIÓN</v>
      </c>
      <c r="E384" s="48" t="str">
        <f>VLOOKUP(Q384,[2]PROYECTOS!$G$1:$K$32,5,0)</f>
        <v>FORTALECIMIENTO_DEL_PROGRAMA_DE_ALTOS_LOGROS_Y_LIDERAZGO_DEPORTIVO_EN_EL_DEPARTAMENTO_DE_ANTIOQUIA</v>
      </c>
      <c r="F384" s="48">
        <f>VLOOKUP(E384,[2]PROYECTOS!$K$1:$M$32,3,0)</f>
        <v>2020003050021</v>
      </c>
      <c r="G384" s="49" t="s">
        <v>221</v>
      </c>
      <c r="H384" s="49" t="str">
        <f>VLOOKUP(Q384,[2]PROYECTOS!$V$1:$W$32,2,0)</f>
        <v>050061</v>
      </c>
      <c r="I384" s="50">
        <f>360000000-3299</f>
        <v>359996701</v>
      </c>
      <c r="J384" s="51" t="s">
        <v>1504</v>
      </c>
      <c r="K384" s="47" t="str">
        <f t="shared" ca="1" si="207"/>
        <v>CONTRATADO</v>
      </c>
      <c r="L384" s="47" t="s">
        <v>94</v>
      </c>
      <c r="M384" s="47" t="s">
        <v>222</v>
      </c>
      <c r="N384" s="52" t="s">
        <v>223</v>
      </c>
      <c r="O384" s="51" t="e">
        <f>VLOOKUP(N384,[2]!RUBROS[#All],3,0)</f>
        <v>#REF!</v>
      </c>
      <c r="P384" s="53" t="e">
        <f>VLOOKUP(N384,[2]!RUBROS[#All],2,0)</f>
        <v>#REF!</v>
      </c>
      <c r="Q384" s="47" t="str">
        <f t="shared" si="214"/>
        <v>20</v>
      </c>
      <c r="R384" s="47" t="str">
        <f t="shared" si="209"/>
        <v>0-205400</v>
      </c>
      <c r="S384" s="54">
        <v>4</v>
      </c>
      <c r="T384" s="59" t="s">
        <v>46</v>
      </c>
      <c r="U384" s="326" t="e">
        <f ca="1">_xlfn.XLOOKUP(PAA_4[[#This Row],[ITEM]],[2]Contrato!A:A,[2]Contrato!Q:Q,"",0)</f>
        <v>#NAME?</v>
      </c>
      <c r="V384" s="47" t="s">
        <v>95</v>
      </c>
      <c r="W384" s="47" t="s">
        <v>96</v>
      </c>
      <c r="X384" s="47" t="s">
        <v>96</v>
      </c>
      <c r="Y384" s="55" t="e">
        <f ca="1">_xlfn.XLOOKUP(PAA_4[[#This Row],[ITEM]],[2]Contrato!A:A,[2]Contrato!B:B,"",0)</f>
        <v>#NAME?</v>
      </c>
      <c r="Z384" s="47" t="e">
        <f ca="1">_xlfn.XLOOKUP(PAA_4[[#This Row],[ITEM]],[2]Contrato!A:A,[2]Contrato!G:G,"",0)</f>
        <v>#NAME?</v>
      </c>
      <c r="AA384" s="47" t="e">
        <f ca="1">_xlfn.XLOOKUP(PAA_4[[#This Row],[ITEM]],[2]Contrato!A:A,[2]Contrato!T:T,"",0)</f>
        <v>#NAME?</v>
      </c>
      <c r="AB384" s="55" t="e">
        <f ca="1">+MAX(PAA_4[[#This Row],[Comprometido Contrato]],PAA_4[[#This Row],[Comprometido Bolsa]])</f>
        <v>#NAME?</v>
      </c>
      <c r="AC384" s="55" t="str">
        <f t="shared" ca="1" si="210"/>
        <v/>
      </c>
      <c r="AD384" s="55" t="e">
        <f ca="1">IF(PAA_4[[#This Row],[ESTADO (formulado)]]="NO CONTRATADO",0,MAX(PAA_4[[#This Row],[Pago por Contrato]],PAA_4[[#This Row],[Pago por bolsa]]))</f>
        <v>#NAME?</v>
      </c>
      <c r="AE384" s="55" t="str">
        <f t="shared" ca="1" si="211"/>
        <v/>
      </c>
      <c r="AF384" s="47" t="e">
        <f t="shared" ca="1" si="212"/>
        <v>#NAME?</v>
      </c>
      <c r="AG384" s="47">
        <f t="shared" si="213"/>
        <v>41080111</v>
      </c>
      <c r="AH384" s="54">
        <f>IF(Q384="22",IF(ISNUMBER(SEARCH("econ",PAA_4[[#This Row],[Actividad3]])),"Económico",IF(ISNUMBER(SEARCH("alim",PAA_4[[#This Row],[Actividad3]])),"Alimentación",IF(ISNUMBER(SEARCH("educ",PAA_4[[#This Row],[Actividad3]])),"Educativo","Técnico"))),0)</f>
        <v>0</v>
      </c>
      <c r="AI384" s="47" t="e" cm="1">
        <f t="array" aca="1" ref="AI384" ca="1">_xlfn.XLOOKUP(PAA_4[[#This Row],[RCP-RUBRO]],[2]!COMPROMISOS_2024[[#All],[concatenado]],[2]!COMPROMISOS_2024[[#All],[Total pagado]],"",0)</f>
        <v>#NAME?</v>
      </c>
      <c r="AJ384" s="56">
        <f>IF(PAA_4[[#This Row],[BOLSA]]=0,0,SUMIFS([2]!COMPROMISOS_2024[[#All],[Total pagado]],[2]!COMPROMISOS_2024[[#All],[Bolsa]],PAA_4[[#This Row],[BOLSA]],[2]!COMPROMISOS_2024[[#All],[rubro]],PAA_4[[#This Row],[RCP-RUBRO]]))</f>
        <v>0</v>
      </c>
      <c r="AK384" s="47" t="e" cm="1">
        <f t="array" aca="1" ref="AK384" ca="1">_xlfn.XLOOKUP(PAA_4[[#This Row],[RCP-RUBRO]],[2]!COMPROMISOS_2024[[#All],[concatenado]],[2]!COMPROMISOS_2024[[#All],[Total Comprometido]],"",0)</f>
        <v>#NAME?</v>
      </c>
      <c r="AL384" s="47">
        <f>IF(PAA_4[[#This Row],[BOLSA]]=0,0,SUMIFS([2]!COMPROMISOS_2024[[#All],[Total Comprometido]],[2]!COMPROMISOS_2024[[#All],[Bolsa]],PAA_4[[#This Row],[BOLSA]],[2]!COMPROMISOS_2024[[#All],[concatenado]],PAA_4[[#This Row],[RCP-RUBRO]]))</f>
        <v>0</v>
      </c>
    </row>
    <row r="385" spans="1:38" s="19" customFormat="1" ht="31.5" customHeight="1">
      <c r="A385" s="47">
        <v>75</v>
      </c>
      <c r="B385" s="51">
        <v>90141502</v>
      </c>
      <c r="C385" s="47" t="str">
        <f>VLOOKUP(PAA_4[[#This Row],[PROYECTO (formulado)2]],[2]PROYECTOS!$G$1:$L$32,6,0)</f>
        <v>SUBGERENCIA DE ALTOS LOGROS Y DEPORTE ASOCIADO</v>
      </c>
      <c r="D385" s="47" t="str">
        <f>+IF(PAA_4[[#This Row],[UNIDAD DE CONTRATACION (formulado)]]="Subgerencia Administrativa y Financiera","FUNCIONAMIENTO","INVERSIÓN")</f>
        <v>INVERSIÓN</v>
      </c>
      <c r="E385" s="48" t="str">
        <f>VLOOKUP(Q385,[2]PROYECTOS!$G$1:$K$32,5,0)</f>
        <v>FORTALECIMIENTO_DEL_PROGRAMA_DE_ALTOS_LOGROS_Y_LIDERAZGO_DEPORTIVO_EN_EL_DEPARTAMENTO_DE_ANTIOQUIA</v>
      </c>
      <c r="F385" s="48">
        <f>VLOOKUP(E385,[2]PROYECTOS!$K$1:$M$32,3,0)</f>
        <v>2020003050021</v>
      </c>
      <c r="G385" s="49" t="s">
        <v>224</v>
      </c>
      <c r="H385" s="49" t="str">
        <f>VLOOKUP(Q385,[2]PROYECTOS!$V$1:$W$32,2,0)</f>
        <v>050061</v>
      </c>
      <c r="I385" s="50">
        <v>250000000</v>
      </c>
      <c r="J385" s="51" t="s">
        <v>1505</v>
      </c>
      <c r="K385" s="47" t="str">
        <f t="shared" ca="1" si="207"/>
        <v>CONTRATADO</v>
      </c>
      <c r="L385" s="47" t="s">
        <v>94</v>
      </c>
      <c r="M385" s="47" t="s">
        <v>222</v>
      </c>
      <c r="N385" s="52" t="s">
        <v>223</v>
      </c>
      <c r="O385" s="51" t="e">
        <f>VLOOKUP(N385,[2]!RUBROS[#All],3,0)</f>
        <v>#REF!</v>
      </c>
      <c r="P385" s="53" t="e">
        <f>VLOOKUP(N385,[2]!RUBROS[#All],2,0)</f>
        <v>#REF!</v>
      </c>
      <c r="Q385" s="47" t="str">
        <f t="shared" si="214"/>
        <v>20</v>
      </c>
      <c r="R385" s="47" t="str">
        <f t="shared" si="209"/>
        <v>0-205400</v>
      </c>
      <c r="S385" s="54">
        <v>225</v>
      </c>
      <c r="T385" s="59" t="s">
        <v>120</v>
      </c>
      <c r="U385" s="326" t="e">
        <f ca="1">_xlfn.XLOOKUP(PAA_4[[#This Row],[ITEM]],[2]Contrato!A:A,[2]Contrato!Q:Q,"",0)</f>
        <v>#NAME?</v>
      </c>
      <c r="V385" s="47" t="s">
        <v>95</v>
      </c>
      <c r="W385" s="47" t="s">
        <v>119</v>
      </c>
      <c r="X385" s="47" t="s">
        <v>119</v>
      </c>
      <c r="Y385" s="55" t="e">
        <f ca="1">_xlfn.XLOOKUP(PAA_4[[#This Row],[ITEM]],[2]Contrato!A:A,[2]Contrato!B:B,"",0)</f>
        <v>#NAME?</v>
      </c>
      <c r="Z385" s="47" t="e">
        <f ca="1">_xlfn.XLOOKUP(PAA_4[[#This Row],[ITEM]],[2]Contrato!A:A,[2]Contrato!G:G,"",0)</f>
        <v>#NAME?</v>
      </c>
      <c r="AA385" s="47" t="e">
        <f ca="1">_xlfn.XLOOKUP(PAA_4[[#This Row],[ITEM]],[2]Contrato!A:A,[2]Contrato!T:T,"",0)</f>
        <v>#NAME?</v>
      </c>
      <c r="AB385" s="55" t="e">
        <f ca="1">+MAX(PAA_4[[#This Row],[Comprometido Contrato]],PAA_4[[#This Row],[Comprometido Bolsa]])</f>
        <v>#NAME?</v>
      </c>
      <c r="AC385" s="55" t="str">
        <f t="shared" ca="1" si="210"/>
        <v/>
      </c>
      <c r="AD385" s="55" t="e">
        <f ca="1">IF(PAA_4[[#This Row],[ESTADO (formulado)]]="NO CONTRATADO",0,MAX(PAA_4[[#This Row],[Pago por Contrato]],PAA_4[[#This Row],[Pago por bolsa]]))</f>
        <v>#NAME?</v>
      </c>
      <c r="AE385" s="55" t="str">
        <f t="shared" ca="1" si="211"/>
        <v/>
      </c>
      <c r="AF385" s="47" t="e">
        <f t="shared" ca="1" si="212"/>
        <v>#NAME?</v>
      </c>
      <c r="AG385" s="47">
        <f t="shared" si="213"/>
        <v>41080111</v>
      </c>
      <c r="AH385" s="54">
        <f>IF(Q385="22",IF(ISNUMBER(SEARCH("econ",PAA_4[[#This Row],[Actividad3]])),"Económico",IF(ISNUMBER(SEARCH("alim",PAA_4[[#This Row],[Actividad3]])),"Alimentación",IF(ISNUMBER(SEARCH("educ",PAA_4[[#This Row],[Actividad3]])),"Educativo","Técnico"))),0)</f>
        <v>0</v>
      </c>
      <c r="AI385" s="47" t="e" cm="1">
        <f t="array" aca="1" ref="AI385" ca="1">_xlfn.XLOOKUP(PAA_4[[#This Row],[RCP-RUBRO]],[2]!COMPROMISOS_2024[[#All],[concatenado]],[2]!COMPROMISOS_2024[[#All],[Total pagado]],"",0)</f>
        <v>#NAME?</v>
      </c>
      <c r="AJ385" s="56">
        <f>IF(PAA_4[[#This Row],[BOLSA]]=0,0,SUMIFS([2]!COMPROMISOS_2024[[#All],[Total pagado]],[2]!COMPROMISOS_2024[[#All],[Bolsa]],PAA_4[[#This Row],[BOLSA]],[2]!COMPROMISOS_2024[[#All],[rubro]],PAA_4[[#This Row],[RCP-RUBRO]]))</f>
        <v>0</v>
      </c>
      <c r="AK385" s="47" t="e" cm="1">
        <f t="array" aca="1" ref="AK385" ca="1">_xlfn.XLOOKUP(PAA_4[[#This Row],[RCP-RUBRO]],[2]!COMPROMISOS_2024[[#All],[concatenado]],[2]!COMPROMISOS_2024[[#All],[Total Comprometido]],"",0)</f>
        <v>#NAME?</v>
      </c>
      <c r="AL385" s="47">
        <f>IF(PAA_4[[#This Row],[BOLSA]]=0,0,SUMIFS([2]!COMPROMISOS_2024[[#All],[Total Comprometido]],[2]!COMPROMISOS_2024[[#All],[Bolsa]],PAA_4[[#This Row],[BOLSA]],[2]!COMPROMISOS_2024[[#All],[concatenado]],PAA_4[[#This Row],[RCP-RUBRO]]))</f>
        <v>0</v>
      </c>
    </row>
    <row r="386" spans="1:38" s="19" customFormat="1" ht="31.5" customHeight="1">
      <c r="A386" s="47">
        <v>76</v>
      </c>
      <c r="B386" s="51">
        <v>90141502</v>
      </c>
      <c r="C386" s="47" t="str">
        <f>VLOOKUP(PAA_4[[#This Row],[PROYECTO (formulado)2]],[2]PROYECTOS!$G$1:$L$32,6,0)</f>
        <v>SUBGERENCIA DE ALTOS LOGROS Y DEPORTE ASOCIADO</v>
      </c>
      <c r="D386" s="47" t="str">
        <f>+IF(PAA_4[[#This Row],[UNIDAD DE CONTRATACION (formulado)]]="Subgerencia Administrativa y Financiera","FUNCIONAMIENTO","INVERSIÓN")</f>
        <v>INVERSIÓN</v>
      </c>
      <c r="E386" s="48" t="str">
        <f>VLOOKUP(Q386,[2]PROYECTOS!$G$1:$K$32,5,0)</f>
        <v>FORTALECIMIENTO_DEL_PROGRAMA_DE_ALTOS_LOGROS_Y_LIDERAZGO_DEPORTIVO_EN_EL_DEPARTAMENTO_DE_ANTIOQUIA</v>
      </c>
      <c r="F386" s="48">
        <f>VLOOKUP(E386,[2]PROYECTOS!$K$1:$M$32,3,0)</f>
        <v>2020003050021</v>
      </c>
      <c r="G386" s="49" t="s">
        <v>224</v>
      </c>
      <c r="H386" s="49" t="str">
        <f>VLOOKUP(Q386,[2]PROYECTOS!$V$1:$W$32,2,0)</f>
        <v>050061</v>
      </c>
      <c r="I386" s="50">
        <v>0</v>
      </c>
      <c r="J386" s="51" t="s">
        <v>42</v>
      </c>
      <c r="K386" s="47" t="str">
        <f t="shared" ca="1" si="207"/>
        <v>CONTRATADO</v>
      </c>
      <c r="L386" s="47" t="s">
        <v>94</v>
      </c>
      <c r="M386" s="47" t="s">
        <v>222</v>
      </c>
      <c r="N386" s="52" t="s">
        <v>223</v>
      </c>
      <c r="O386" s="51" t="e">
        <f>VLOOKUP(N386,[2]!RUBROS[#All],3,0)</f>
        <v>#REF!</v>
      </c>
      <c r="P386" s="53" t="e">
        <f>VLOOKUP(N386,[2]!RUBROS[#All],2,0)</f>
        <v>#REF!</v>
      </c>
      <c r="Q386" s="47" t="str">
        <f t="shared" si="214"/>
        <v>20</v>
      </c>
      <c r="R386" s="47" t="str">
        <f t="shared" si="209"/>
        <v>0-205400</v>
      </c>
      <c r="S386" s="54">
        <v>205</v>
      </c>
      <c r="T386" s="59" t="s">
        <v>120</v>
      </c>
      <c r="U386" s="326" t="e">
        <f ca="1">_xlfn.XLOOKUP(PAA_4[[#This Row],[ITEM]],[2]Contrato!A:A,[2]Contrato!Q:Q,"",0)</f>
        <v>#NAME?</v>
      </c>
      <c r="V386" s="47" t="s">
        <v>95</v>
      </c>
      <c r="W386" s="47" t="s">
        <v>119</v>
      </c>
      <c r="X386" s="47" t="s">
        <v>154</v>
      </c>
      <c r="Y386" s="55" t="e">
        <f ca="1">_xlfn.XLOOKUP(PAA_4[[#This Row],[ITEM]],[2]Contrato!A:A,[2]Contrato!B:B,"",0)</f>
        <v>#NAME?</v>
      </c>
      <c r="Z386" s="47" t="e">
        <f ca="1">_xlfn.XLOOKUP(PAA_4[[#This Row],[ITEM]],[2]Contrato!A:A,[2]Contrato!G:G,"",0)</f>
        <v>#NAME?</v>
      </c>
      <c r="AA386" s="47" t="e">
        <f ca="1">_xlfn.XLOOKUP(PAA_4[[#This Row],[ITEM]],[2]Contrato!A:A,[2]Contrato!T:T,"",0)</f>
        <v>#NAME?</v>
      </c>
      <c r="AB386" s="55" t="e">
        <f ca="1">+MAX(PAA_4[[#This Row],[Comprometido Contrato]],PAA_4[[#This Row],[Comprometido Bolsa]])</f>
        <v>#NAME?</v>
      </c>
      <c r="AC386" s="55" t="str">
        <f t="shared" ca="1" si="210"/>
        <v/>
      </c>
      <c r="AD386" s="55" t="e">
        <f ca="1">IF(PAA_4[[#This Row],[ESTADO (formulado)]]="NO CONTRATADO",0,MAX(PAA_4[[#This Row],[Pago por Contrato]],PAA_4[[#This Row],[Pago por bolsa]]))</f>
        <v>#NAME?</v>
      </c>
      <c r="AE386" s="55" t="str">
        <f t="shared" ca="1" si="211"/>
        <v/>
      </c>
      <c r="AF386" s="47" t="e">
        <f t="shared" ca="1" si="212"/>
        <v>#NAME?</v>
      </c>
      <c r="AG386" s="47">
        <f t="shared" si="213"/>
        <v>41080111</v>
      </c>
      <c r="AH386" s="54">
        <f>IF(Q386="22",IF(ISNUMBER(SEARCH("econ",PAA_4[[#This Row],[Actividad3]])),"Económico",IF(ISNUMBER(SEARCH("alim",PAA_4[[#This Row],[Actividad3]])),"Alimentación",IF(ISNUMBER(SEARCH("educ",PAA_4[[#This Row],[Actividad3]])),"Educativo","Técnico"))),0)</f>
        <v>0</v>
      </c>
      <c r="AI386" s="47" t="e" cm="1">
        <f t="array" aca="1" ref="AI386" ca="1">_xlfn.XLOOKUP(PAA_4[[#This Row],[RCP-RUBRO]],[2]!COMPROMISOS_2024[[#All],[concatenado]],[2]!COMPROMISOS_2024[[#All],[Total pagado]],"",0)</f>
        <v>#NAME?</v>
      </c>
      <c r="AJ386" s="56">
        <f>IF(PAA_4[[#This Row],[BOLSA]]=0,0,SUMIFS([2]!COMPROMISOS_2024[[#All],[Total pagado]],[2]!COMPROMISOS_2024[[#All],[Bolsa]],PAA_4[[#This Row],[BOLSA]],[2]!COMPROMISOS_2024[[#All],[rubro]],PAA_4[[#This Row],[RCP-RUBRO]]))</f>
        <v>0</v>
      </c>
      <c r="AK386" s="47" t="e" cm="1">
        <f t="array" aca="1" ref="AK386" ca="1">_xlfn.XLOOKUP(PAA_4[[#This Row],[RCP-RUBRO]],[2]!COMPROMISOS_2024[[#All],[concatenado]],[2]!COMPROMISOS_2024[[#All],[Total Comprometido]],"",0)</f>
        <v>#NAME?</v>
      </c>
      <c r="AL386" s="47">
        <f>IF(PAA_4[[#This Row],[BOLSA]]=0,0,SUMIFS([2]!COMPROMISOS_2024[[#All],[Total Comprometido]],[2]!COMPROMISOS_2024[[#All],[Bolsa]],PAA_4[[#This Row],[BOLSA]],[2]!COMPROMISOS_2024[[#All],[concatenado]],PAA_4[[#This Row],[RCP-RUBRO]]))</f>
        <v>0</v>
      </c>
    </row>
    <row r="387" spans="1:38" s="19" customFormat="1" ht="31.5" customHeight="1">
      <c r="A387" s="47">
        <v>77</v>
      </c>
      <c r="B387" s="47">
        <v>80111600</v>
      </c>
      <c r="C387" s="47" t="str">
        <f>VLOOKUP(PAA_4[[#This Row],[PROYECTO (formulado)2]],[2]PROYECTOS!$G$1:$L$32,6,0)</f>
        <v>SUBGERENCIA DE ALTOS LOGROS Y DEPORTE ASOCIADO</v>
      </c>
      <c r="D387" s="47" t="str">
        <f>+IF(PAA_4[[#This Row],[UNIDAD DE CONTRATACION (formulado)]]="Subgerencia Administrativa y Financiera","FUNCIONAMIENTO","INVERSIÓN")</f>
        <v>INVERSIÓN</v>
      </c>
      <c r="E387" s="48" t="str">
        <f>VLOOKUP(Q387,[2]PROYECTOS!$G$1:$K$32,5,0)</f>
        <v>FORTALECIMIENTO_DEL_PROGRAMA_DE_ALTOS_LOGROS_Y_LIDERAZGO_DEPORTIVO_EN_EL_DEPARTAMENTO_DE_ANTIOQUIA</v>
      </c>
      <c r="F387" s="48">
        <f>VLOOKUP(E387,[2]PROYECTOS!$K$1:$M$32,3,0)</f>
        <v>2020003050021</v>
      </c>
      <c r="G387" s="49" t="s">
        <v>224</v>
      </c>
      <c r="H387" s="49" t="str">
        <f>VLOOKUP(Q387,[2]PROYECTOS!$V$1:$W$32,2,0)</f>
        <v>050061</v>
      </c>
      <c r="I387" s="50">
        <v>0</v>
      </c>
      <c r="J387" s="51" t="s">
        <v>42</v>
      </c>
      <c r="K387" s="47" t="str">
        <f t="shared" ca="1" si="207"/>
        <v>CONTRATADO</v>
      </c>
      <c r="L387" s="47" t="s">
        <v>94</v>
      </c>
      <c r="M387" s="47" t="s">
        <v>222</v>
      </c>
      <c r="N387" s="52" t="s">
        <v>223</v>
      </c>
      <c r="O387" s="51" t="e">
        <f>VLOOKUP(N387,[2]!RUBROS[#All],3,0)</f>
        <v>#REF!</v>
      </c>
      <c r="P387" s="53" t="e">
        <f>VLOOKUP(N387,[2]!RUBROS[#All],2,0)</f>
        <v>#REF!</v>
      </c>
      <c r="Q387" s="47" t="str">
        <f t="shared" si="214"/>
        <v>20</v>
      </c>
      <c r="R387" s="47" t="str">
        <f t="shared" si="209"/>
        <v>0-205400</v>
      </c>
      <c r="S387" s="54">
        <v>205</v>
      </c>
      <c r="T387" s="59" t="s">
        <v>120</v>
      </c>
      <c r="U387" s="326" t="e">
        <f ca="1">_xlfn.XLOOKUP(PAA_4[[#This Row],[ITEM]],[2]Contrato!A:A,[2]Contrato!Q:Q,"",0)</f>
        <v>#NAME?</v>
      </c>
      <c r="V387" s="47" t="s">
        <v>95</v>
      </c>
      <c r="W387" s="47" t="s">
        <v>119</v>
      </c>
      <c r="X387" s="47" t="s">
        <v>154</v>
      </c>
      <c r="Y387" s="55" t="e">
        <f ca="1">_xlfn.XLOOKUP(PAA_4[[#This Row],[ITEM]],[2]Contrato!A:A,[2]Contrato!B:B,"",0)</f>
        <v>#NAME?</v>
      </c>
      <c r="Z387" s="47" t="e">
        <f ca="1">_xlfn.XLOOKUP(PAA_4[[#This Row],[ITEM]],[2]Contrato!A:A,[2]Contrato!G:G,"",0)</f>
        <v>#NAME?</v>
      </c>
      <c r="AA387" s="47" t="e">
        <f ca="1">_xlfn.XLOOKUP(PAA_4[[#This Row],[ITEM]],[2]Contrato!A:A,[2]Contrato!T:T,"",0)</f>
        <v>#NAME?</v>
      </c>
      <c r="AB387" s="55" t="e">
        <f ca="1">+MAX(PAA_4[[#This Row],[Comprometido Contrato]],PAA_4[[#This Row],[Comprometido Bolsa]])</f>
        <v>#NAME?</v>
      </c>
      <c r="AC387" s="55" t="str">
        <f t="shared" ca="1" si="210"/>
        <v/>
      </c>
      <c r="AD387" s="55" t="e">
        <f ca="1">IF(PAA_4[[#This Row],[ESTADO (formulado)]]="NO CONTRATADO",0,MAX(PAA_4[[#This Row],[Pago por Contrato]],PAA_4[[#This Row],[Pago por bolsa]]))</f>
        <v>#NAME?</v>
      </c>
      <c r="AE387" s="55" t="str">
        <f t="shared" ca="1" si="211"/>
        <v/>
      </c>
      <c r="AF387" s="47" t="e">
        <f t="shared" ca="1" si="212"/>
        <v>#NAME?</v>
      </c>
      <c r="AG387" s="47">
        <f t="shared" si="213"/>
        <v>41080111</v>
      </c>
      <c r="AH387" s="54">
        <f>IF(Q387="22",IF(ISNUMBER(SEARCH("econ",PAA_4[[#This Row],[Actividad3]])),"Económico",IF(ISNUMBER(SEARCH("alim",PAA_4[[#This Row],[Actividad3]])),"Alimentación",IF(ISNUMBER(SEARCH("educ",PAA_4[[#This Row],[Actividad3]])),"Educativo","Técnico"))),0)</f>
        <v>0</v>
      </c>
      <c r="AI387" s="47" t="e" cm="1">
        <f t="array" aca="1" ref="AI387" ca="1">_xlfn.XLOOKUP(PAA_4[[#This Row],[RCP-RUBRO]],[2]!COMPROMISOS_2024[[#All],[concatenado]],[2]!COMPROMISOS_2024[[#All],[Total pagado]],"",0)</f>
        <v>#NAME?</v>
      </c>
      <c r="AJ387" s="56">
        <f>IF(PAA_4[[#This Row],[BOLSA]]=0,0,SUMIFS([2]!COMPROMISOS_2024[[#All],[Total pagado]],[2]!COMPROMISOS_2024[[#All],[Bolsa]],PAA_4[[#This Row],[BOLSA]],[2]!COMPROMISOS_2024[[#All],[rubro]],PAA_4[[#This Row],[RCP-RUBRO]]))</f>
        <v>0</v>
      </c>
      <c r="AK387" s="47" t="e" cm="1">
        <f t="array" aca="1" ref="AK387" ca="1">_xlfn.XLOOKUP(PAA_4[[#This Row],[RCP-RUBRO]],[2]!COMPROMISOS_2024[[#All],[concatenado]],[2]!COMPROMISOS_2024[[#All],[Total Comprometido]],"",0)</f>
        <v>#NAME?</v>
      </c>
      <c r="AL387" s="47">
        <f>IF(PAA_4[[#This Row],[BOLSA]]=0,0,SUMIFS([2]!COMPROMISOS_2024[[#All],[Total Comprometido]],[2]!COMPROMISOS_2024[[#All],[Bolsa]],PAA_4[[#This Row],[BOLSA]],[2]!COMPROMISOS_2024[[#All],[concatenado]],PAA_4[[#This Row],[RCP-RUBRO]]))</f>
        <v>0</v>
      </c>
    </row>
    <row r="388" spans="1:38" s="19" customFormat="1" ht="31.5" customHeight="1">
      <c r="A388" s="47">
        <v>78</v>
      </c>
      <c r="B388" s="51">
        <v>90141502</v>
      </c>
      <c r="C388" s="47" t="str">
        <f>VLOOKUP(PAA_4[[#This Row],[PROYECTO (formulado)2]],[2]PROYECTOS!$G$1:$L$32,6,0)</f>
        <v>SUBGERENCIA DE ALTOS LOGROS Y DEPORTE ASOCIADO</v>
      </c>
      <c r="D388" s="47" t="str">
        <f>+IF(PAA_4[[#This Row],[UNIDAD DE CONTRATACION (formulado)]]="Subgerencia Administrativa y Financiera","FUNCIONAMIENTO","INVERSIÓN")</f>
        <v>INVERSIÓN</v>
      </c>
      <c r="E388" s="48" t="str">
        <f>VLOOKUP(Q388,[2]PROYECTOS!$G$1:$K$32,5,0)</f>
        <v>FORTALECIMIENTO_DEL_PROGRAMA_DE_ALTOS_LOGROS_Y_LIDERAZGO_DEPORTIVO_EN_EL_DEPARTAMENTO_DE_ANTIOQUIA</v>
      </c>
      <c r="F388" s="48">
        <f>VLOOKUP(E388,[2]PROYECTOS!$K$1:$M$32,3,0)</f>
        <v>2020003050021</v>
      </c>
      <c r="G388" s="49" t="s">
        <v>224</v>
      </c>
      <c r="H388" s="49" t="str">
        <f>VLOOKUP(Q388,[2]PROYECTOS!$V$1:$W$32,2,0)</f>
        <v>050061</v>
      </c>
      <c r="I388" s="50">
        <v>0</v>
      </c>
      <c r="J388" s="51" t="s">
        <v>42</v>
      </c>
      <c r="K388" s="47" t="str">
        <f t="shared" ca="1" si="207"/>
        <v>CONTRATADO</v>
      </c>
      <c r="L388" s="47" t="s">
        <v>94</v>
      </c>
      <c r="M388" s="47" t="s">
        <v>222</v>
      </c>
      <c r="N388" s="52" t="s">
        <v>223</v>
      </c>
      <c r="O388" s="51" t="e">
        <f>VLOOKUP(N388,[2]!RUBROS[#All],3,0)</f>
        <v>#REF!</v>
      </c>
      <c r="P388" s="53" t="e">
        <f>VLOOKUP(N388,[2]!RUBROS[#All],2,0)</f>
        <v>#REF!</v>
      </c>
      <c r="Q388" s="47" t="str">
        <f t="shared" si="214"/>
        <v>20</v>
      </c>
      <c r="R388" s="47" t="str">
        <f t="shared" si="209"/>
        <v>0-205400</v>
      </c>
      <c r="S388" s="54">
        <v>205</v>
      </c>
      <c r="T388" s="59" t="s">
        <v>120</v>
      </c>
      <c r="U388" s="326" t="e">
        <f ca="1">_xlfn.XLOOKUP(PAA_4[[#This Row],[ITEM]],[2]Contrato!A:A,[2]Contrato!Q:Q,"",0)</f>
        <v>#NAME?</v>
      </c>
      <c r="V388" s="47" t="s">
        <v>95</v>
      </c>
      <c r="W388" s="47" t="s">
        <v>119</v>
      </c>
      <c r="X388" s="47" t="s">
        <v>154</v>
      </c>
      <c r="Y388" s="55" t="e">
        <f ca="1">_xlfn.XLOOKUP(PAA_4[[#This Row],[ITEM]],[2]Contrato!A:A,[2]Contrato!B:B,"",0)</f>
        <v>#NAME?</v>
      </c>
      <c r="Z388" s="47" t="e">
        <f ca="1">_xlfn.XLOOKUP(PAA_4[[#This Row],[ITEM]],[2]Contrato!A:A,[2]Contrato!G:G,"",0)</f>
        <v>#NAME?</v>
      </c>
      <c r="AA388" s="47" t="e">
        <f ca="1">_xlfn.XLOOKUP(PAA_4[[#This Row],[ITEM]],[2]Contrato!A:A,[2]Contrato!T:T,"",0)</f>
        <v>#NAME?</v>
      </c>
      <c r="AB388" s="55" t="e">
        <f ca="1">+MAX(PAA_4[[#This Row],[Comprometido Contrato]],PAA_4[[#This Row],[Comprometido Bolsa]])</f>
        <v>#NAME?</v>
      </c>
      <c r="AC388" s="55" t="str">
        <f t="shared" ca="1" si="210"/>
        <v/>
      </c>
      <c r="AD388" s="55" t="e">
        <f ca="1">IF(PAA_4[[#This Row],[ESTADO (formulado)]]="NO CONTRATADO",0,MAX(PAA_4[[#This Row],[Pago por Contrato]],PAA_4[[#This Row],[Pago por bolsa]]))</f>
        <v>#NAME?</v>
      </c>
      <c r="AE388" s="55" t="str">
        <f t="shared" ca="1" si="211"/>
        <v/>
      </c>
      <c r="AF388" s="47" t="e">
        <f t="shared" ca="1" si="212"/>
        <v>#NAME?</v>
      </c>
      <c r="AG388" s="47">
        <f t="shared" si="213"/>
        <v>41080111</v>
      </c>
      <c r="AH388" s="54">
        <f>IF(Q388="22",IF(ISNUMBER(SEARCH("econ",PAA_4[[#This Row],[Actividad3]])),"Económico",IF(ISNUMBER(SEARCH("alim",PAA_4[[#This Row],[Actividad3]])),"Alimentación",IF(ISNUMBER(SEARCH("educ",PAA_4[[#This Row],[Actividad3]])),"Educativo","Técnico"))),0)</f>
        <v>0</v>
      </c>
      <c r="AI388" s="47" t="e" cm="1">
        <f t="array" aca="1" ref="AI388" ca="1">_xlfn.XLOOKUP(PAA_4[[#This Row],[RCP-RUBRO]],[2]!COMPROMISOS_2024[[#All],[concatenado]],[2]!COMPROMISOS_2024[[#All],[Total pagado]],"",0)</f>
        <v>#NAME?</v>
      </c>
      <c r="AJ388" s="56">
        <f>IF(PAA_4[[#This Row],[BOLSA]]=0,0,SUMIFS([2]!COMPROMISOS_2024[[#All],[Total pagado]],[2]!COMPROMISOS_2024[[#All],[Bolsa]],PAA_4[[#This Row],[BOLSA]],[2]!COMPROMISOS_2024[[#All],[rubro]],PAA_4[[#This Row],[RCP-RUBRO]]))</f>
        <v>0</v>
      </c>
      <c r="AK388" s="47" t="e" cm="1">
        <f t="array" aca="1" ref="AK388" ca="1">_xlfn.XLOOKUP(PAA_4[[#This Row],[RCP-RUBRO]],[2]!COMPROMISOS_2024[[#All],[concatenado]],[2]!COMPROMISOS_2024[[#All],[Total Comprometido]],"",0)</f>
        <v>#NAME?</v>
      </c>
      <c r="AL388" s="47">
        <f>IF(PAA_4[[#This Row],[BOLSA]]=0,0,SUMIFS([2]!COMPROMISOS_2024[[#All],[Total Comprometido]],[2]!COMPROMISOS_2024[[#All],[Bolsa]],PAA_4[[#This Row],[BOLSA]],[2]!COMPROMISOS_2024[[#All],[concatenado]],PAA_4[[#This Row],[RCP-RUBRO]]))</f>
        <v>0</v>
      </c>
    </row>
    <row r="389" spans="1:38" s="19" customFormat="1" ht="31.5" customHeight="1">
      <c r="A389" s="47">
        <v>79</v>
      </c>
      <c r="B389" s="47">
        <v>80111600</v>
      </c>
      <c r="C389" s="47" t="str">
        <f>VLOOKUP(PAA_4[[#This Row],[PROYECTO (formulado)2]],[2]PROYECTOS!$G$1:$L$32,6,0)</f>
        <v>SUBGERENCIA DE ALTOS LOGROS Y DEPORTE ASOCIADO</v>
      </c>
      <c r="D389" s="47" t="str">
        <f>+IF(PAA_4[[#This Row],[UNIDAD DE CONTRATACION (formulado)]]="Subgerencia Administrativa y Financiera","FUNCIONAMIENTO","INVERSIÓN")</f>
        <v>INVERSIÓN</v>
      </c>
      <c r="E389" s="48" t="str">
        <f>VLOOKUP(Q389,[2]PROYECTOS!$G$1:$K$32,5,0)</f>
        <v>FORTALECIMIENTO_DEL_PROGRAMA_DE_ALTOS_LOGROS_Y_LIDERAZGO_DEPORTIVO_EN_EL_DEPARTAMENTO_DE_ANTIOQUIA</v>
      </c>
      <c r="F389" s="48">
        <f>VLOOKUP(E389,[2]PROYECTOS!$K$1:$M$32,3,0)</f>
        <v>2020003050021</v>
      </c>
      <c r="G389" s="49" t="s">
        <v>224</v>
      </c>
      <c r="H389" s="49" t="str">
        <f>VLOOKUP(Q389,[2]PROYECTOS!$V$1:$W$32,2,0)</f>
        <v>050061</v>
      </c>
      <c r="I389" s="50">
        <v>0</v>
      </c>
      <c r="J389" s="51" t="s">
        <v>42</v>
      </c>
      <c r="K389" s="47" t="str">
        <f t="shared" ca="1" si="207"/>
        <v>CONTRATADO</v>
      </c>
      <c r="L389" s="47" t="s">
        <v>94</v>
      </c>
      <c r="M389" s="47" t="s">
        <v>222</v>
      </c>
      <c r="N389" s="52" t="s">
        <v>223</v>
      </c>
      <c r="O389" s="51" t="e">
        <f>VLOOKUP(N389,[2]!RUBROS[#All],3,0)</f>
        <v>#REF!</v>
      </c>
      <c r="P389" s="53" t="e">
        <f>VLOOKUP(N389,[2]!RUBROS[#All],2,0)</f>
        <v>#REF!</v>
      </c>
      <c r="Q389" s="47" t="str">
        <f t="shared" si="214"/>
        <v>20</v>
      </c>
      <c r="R389" s="47" t="str">
        <f t="shared" si="209"/>
        <v>0-205400</v>
      </c>
      <c r="S389" s="54">
        <v>205</v>
      </c>
      <c r="T389" s="59" t="s">
        <v>120</v>
      </c>
      <c r="U389" s="326" t="e">
        <f ca="1">_xlfn.XLOOKUP(PAA_4[[#This Row],[ITEM]],[2]Contrato!A:A,[2]Contrato!Q:Q,"",0)</f>
        <v>#NAME?</v>
      </c>
      <c r="V389" s="47" t="s">
        <v>95</v>
      </c>
      <c r="W389" s="47" t="s">
        <v>119</v>
      </c>
      <c r="X389" s="47" t="s">
        <v>154</v>
      </c>
      <c r="Y389" s="55" t="e">
        <f ca="1">_xlfn.XLOOKUP(PAA_4[[#This Row],[ITEM]],[2]Contrato!A:A,[2]Contrato!B:B,"",0)</f>
        <v>#NAME?</v>
      </c>
      <c r="Z389" s="47" t="e">
        <f ca="1">_xlfn.XLOOKUP(PAA_4[[#This Row],[ITEM]],[2]Contrato!A:A,[2]Contrato!G:G,"",0)</f>
        <v>#NAME?</v>
      </c>
      <c r="AA389" s="47" t="e">
        <f ca="1">_xlfn.XLOOKUP(PAA_4[[#This Row],[ITEM]],[2]Contrato!A:A,[2]Contrato!T:T,"",0)</f>
        <v>#NAME?</v>
      </c>
      <c r="AB389" s="55" t="e">
        <f ca="1">+MAX(PAA_4[[#This Row],[Comprometido Contrato]],PAA_4[[#This Row],[Comprometido Bolsa]])</f>
        <v>#NAME?</v>
      </c>
      <c r="AC389" s="55" t="str">
        <f t="shared" ca="1" si="210"/>
        <v/>
      </c>
      <c r="AD389" s="55" t="e">
        <f ca="1">IF(PAA_4[[#This Row],[ESTADO (formulado)]]="NO CONTRATADO",0,MAX(PAA_4[[#This Row],[Pago por Contrato]],PAA_4[[#This Row],[Pago por bolsa]]))</f>
        <v>#NAME?</v>
      </c>
      <c r="AE389" s="55" t="str">
        <f t="shared" ca="1" si="211"/>
        <v/>
      </c>
      <c r="AF389" s="47" t="e">
        <f t="shared" ca="1" si="212"/>
        <v>#NAME?</v>
      </c>
      <c r="AG389" s="47">
        <f t="shared" si="213"/>
        <v>41080111</v>
      </c>
      <c r="AH389" s="54">
        <f>IF(Q389="22",IF(ISNUMBER(SEARCH("econ",PAA_4[[#This Row],[Actividad3]])),"Económico",IF(ISNUMBER(SEARCH("alim",PAA_4[[#This Row],[Actividad3]])),"Alimentación",IF(ISNUMBER(SEARCH("educ",PAA_4[[#This Row],[Actividad3]])),"Educativo","Técnico"))),0)</f>
        <v>0</v>
      </c>
      <c r="AI389" s="47" t="e" cm="1">
        <f t="array" aca="1" ref="AI389" ca="1">_xlfn.XLOOKUP(PAA_4[[#This Row],[RCP-RUBRO]],[2]!COMPROMISOS_2024[[#All],[concatenado]],[2]!COMPROMISOS_2024[[#All],[Total pagado]],"",0)</f>
        <v>#NAME?</v>
      </c>
      <c r="AJ389" s="56">
        <f>IF(PAA_4[[#This Row],[BOLSA]]=0,0,SUMIFS([2]!COMPROMISOS_2024[[#All],[Total pagado]],[2]!COMPROMISOS_2024[[#All],[Bolsa]],PAA_4[[#This Row],[BOLSA]],[2]!COMPROMISOS_2024[[#All],[rubro]],PAA_4[[#This Row],[RCP-RUBRO]]))</f>
        <v>0</v>
      </c>
      <c r="AK389" s="47" t="e" cm="1">
        <f t="array" aca="1" ref="AK389" ca="1">_xlfn.XLOOKUP(PAA_4[[#This Row],[RCP-RUBRO]],[2]!COMPROMISOS_2024[[#All],[concatenado]],[2]!COMPROMISOS_2024[[#All],[Total Comprometido]],"",0)</f>
        <v>#NAME?</v>
      </c>
      <c r="AL389" s="47">
        <f>IF(PAA_4[[#This Row],[BOLSA]]=0,0,SUMIFS([2]!COMPROMISOS_2024[[#All],[Total Comprometido]],[2]!COMPROMISOS_2024[[#All],[Bolsa]],PAA_4[[#This Row],[BOLSA]],[2]!COMPROMISOS_2024[[#All],[concatenado]],PAA_4[[#This Row],[RCP-RUBRO]]))</f>
        <v>0</v>
      </c>
    </row>
    <row r="390" spans="1:38" s="19" customFormat="1" ht="31.5" customHeight="1">
      <c r="A390" s="47">
        <v>80</v>
      </c>
      <c r="B390" s="51">
        <v>90141502</v>
      </c>
      <c r="C390" s="47" t="str">
        <f>VLOOKUP(PAA_4[[#This Row],[PROYECTO (formulado)2]],[2]PROYECTOS!$G$1:$L$32,6,0)</f>
        <v>SUBGERENCIA DE ALTOS LOGROS Y DEPORTE ASOCIADO</v>
      </c>
      <c r="D390" s="47" t="str">
        <f>+IF(PAA_4[[#This Row],[UNIDAD DE CONTRATACION (formulado)]]="Subgerencia Administrativa y Financiera","FUNCIONAMIENTO","INVERSIÓN")</f>
        <v>INVERSIÓN</v>
      </c>
      <c r="E390" s="48" t="str">
        <f>VLOOKUP(Q390,[2]PROYECTOS!$G$1:$K$32,5,0)</f>
        <v>FORTALECIMIENTO_DEL_PROGRAMA_DE_ALTOS_LOGROS_Y_LIDERAZGO_DEPORTIVO_EN_EL_DEPARTAMENTO_DE_ANTIOQUIA</v>
      </c>
      <c r="F390" s="48">
        <f>VLOOKUP(E390,[2]PROYECTOS!$K$1:$M$32,3,0)</f>
        <v>2020003050021</v>
      </c>
      <c r="G390" s="49" t="s">
        <v>224</v>
      </c>
      <c r="H390" s="49" t="str">
        <f>VLOOKUP(Q390,[2]PROYECTOS!$V$1:$W$32,2,0)</f>
        <v>050061</v>
      </c>
      <c r="I390" s="50">
        <v>80000000</v>
      </c>
      <c r="J390" s="51" t="s">
        <v>1506</v>
      </c>
      <c r="K390" s="47" t="str">
        <f t="shared" ca="1" si="207"/>
        <v>CONTRATADO</v>
      </c>
      <c r="L390" s="47" t="s">
        <v>94</v>
      </c>
      <c r="M390" s="47" t="s">
        <v>222</v>
      </c>
      <c r="N390" s="52" t="s">
        <v>223</v>
      </c>
      <c r="O390" s="51" t="e">
        <f>VLOOKUP(N390,[2]!RUBROS[#All],3,0)</f>
        <v>#REF!</v>
      </c>
      <c r="P390" s="53" t="e">
        <f>VLOOKUP(N390,[2]!RUBROS[#All],2,0)</f>
        <v>#REF!</v>
      </c>
      <c r="Q390" s="47" t="str">
        <f t="shared" si="214"/>
        <v>20</v>
      </c>
      <c r="R390" s="47" t="str">
        <f t="shared" si="209"/>
        <v>0-205400</v>
      </c>
      <c r="S390" s="54">
        <v>6.5</v>
      </c>
      <c r="T390" s="59" t="s">
        <v>46</v>
      </c>
      <c r="U390" s="326" t="e">
        <f ca="1">_xlfn.XLOOKUP(PAA_4[[#This Row],[ITEM]],[2]Contrato!A:A,[2]Contrato!Q:Q,"",0)</f>
        <v>#NAME?</v>
      </c>
      <c r="V390" s="47" t="s">
        <v>95</v>
      </c>
      <c r="W390" s="47" t="s">
        <v>154</v>
      </c>
      <c r="X390" s="47" t="s">
        <v>154</v>
      </c>
      <c r="Y390" s="55" t="e">
        <f ca="1">_xlfn.XLOOKUP(PAA_4[[#This Row],[ITEM]],[2]Contrato!A:A,[2]Contrato!B:B,"",0)</f>
        <v>#NAME?</v>
      </c>
      <c r="Z390" s="47" t="e">
        <f ca="1">_xlfn.XLOOKUP(PAA_4[[#This Row],[ITEM]],[2]Contrato!A:A,[2]Contrato!G:G,"",0)</f>
        <v>#NAME?</v>
      </c>
      <c r="AA390" s="47" t="e">
        <f ca="1">_xlfn.XLOOKUP(PAA_4[[#This Row],[ITEM]],[2]Contrato!A:A,[2]Contrato!T:T,"",0)</f>
        <v>#NAME?</v>
      </c>
      <c r="AB390" s="55" t="e">
        <f ca="1">+MAX(PAA_4[[#This Row],[Comprometido Contrato]],PAA_4[[#This Row],[Comprometido Bolsa]])</f>
        <v>#NAME?</v>
      </c>
      <c r="AC390" s="55" t="str">
        <f t="shared" ca="1" si="210"/>
        <v/>
      </c>
      <c r="AD390" s="55" t="e">
        <f ca="1">IF(PAA_4[[#This Row],[ESTADO (formulado)]]="NO CONTRATADO",0,MAX(PAA_4[[#This Row],[Pago por Contrato]],PAA_4[[#This Row],[Pago por bolsa]]))</f>
        <v>#NAME?</v>
      </c>
      <c r="AE390" s="55" t="str">
        <f t="shared" ca="1" si="211"/>
        <v/>
      </c>
      <c r="AF390" s="47" t="e">
        <f t="shared" ca="1" si="212"/>
        <v>#NAME?</v>
      </c>
      <c r="AG390" s="47">
        <f t="shared" si="213"/>
        <v>41080111</v>
      </c>
      <c r="AH390" s="54">
        <f>IF(Q390="22",IF(ISNUMBER(SEARCH("econ",PAA_4[[#This Row],[Actividad3]])),"Económico",IF(ISNUMBER(SEARCH("alim",PAA_4[[#This Row],[Actividad3]])),"Alimentación",IF(ISNUMBER(SEARCH("educ",PAA_4[[#This Row],[Actividad3]])),"Educativo","Técnico"))),0)</f>
        <v>0</v>
      </c>
      <c r="AI390" s="47" t="e" cm="1">
        <f t="array" aca="1" ref="AI390" ca="1">_xlfn.XLOOKUP(PAA_4[[#This Row],[RCP-RUBRO]],[2]!COMPROMISOS_2024[[#All],[concatenado]],[2]!COMPROMISOS_2024[[#All],[Total pagado]],"",0)</f>
        <v>#NAME?</v>
      </c>
      <c r="AJ390" s="56">
        <f>IF(PAA_4[[#This Row],[BOLSA]]=0,0,SUMIFS([2]!COMPROMISOS_2024[[#All],[Total pagado]],[2]!COMPROMISOS_2024[[#All],[Bolsa]],PAA_4[[#This Row],[BOLSA]],[2]!COMPROMISOS_2024[[#All],[rubro]],PAA_4[[#This Row],[RCP-RUBRO]]))</f>
        <v>0</v>
      </c>
      <c r="AK390" s="47" t="e" cm="1">
        <f t="array" aca="1" ref="AK390" ca="1">_xlfn.XLOOKUP(PAA_4[[#This Row],[RCP-RUBRO]],[2]!COMPROMISOS_2024[[#All],[concatenado]],[2]!COMPROMISOS_2024[[#All],[Total Comprometido]],"",0)</f>
        <v>#NAME?</v>
      </c>
      <c r="AL390" s="47">
        <f>IF(PAA_4[[#This Row],[BOLSA]]=0,0,SUMIFS([2]!COMPROMISOS_2024[[#All],[Total Comprometido]],[2]!COMPROMISOS_2024[[#All],[Bolsa]],PAA_4[[#This Row],[BOLSA]],[2]!COMPROMISOS_2024[[#All],[concatenado]],PAA_4[[#This Row],[RCP-RUBRO]]))</f>
        <v>0</v>
      </c>
    </row>
    <row r="391" spans="1:38" s="19" customFormat="1" ht="31.5" customHeight="1">
      <c r="A391" s="47">
        <v>81</v>
      </c>
      <c r="B391" s="51">
        <v>90141502</v>
      </c>
      <c r="C391" s="47" t="str">
        <f>VLOOKUP(PAA_4[[#This Row],[PROYECTO (formulado)2]],[2]PROYECTOS!$G$1:$L$32,6,0)</f>
        <v>SUBGERENCIA DE ALTOS LOGROS Y DEPORTE ASOCIADO</v>
      </c>
      <c r="D391" s="47" t="str">
        <f>+IF(PAA_4[[#This Row],[UNIDAD DE CONTRATACION (formulado)]]="Subgerencia Administrativa y Financiera","FUNCIONAMIENTO","INVERSIÓN")</f>
        <v>INVERSIÓN</v>
      </c>
      <c r="E391" s="48" t="str">
        <f>VLOOKUP(Q391,[2]PROYECTOS!$G$1:$K$32,5,0)</f>
        <v>FORTALECIMIENTO_DEL_PROGRAMA_DE_ALTOS_LOGROS_Y_LIDERAZGO_DEPORTIVO_EN_EL_DEPARTAMENTO_DE_ANTIOQUIA</v>
      </c>
      <c r="F391" s="48">
        <f>VLOOKUP(E391,[2]PROYECTOS!$K$1:$M$32,3,0)</f>
        <v>2020003050021</v>
      </c>
      <c r="G391" s="49" t="s">
        <v>224</v>
      </c>
      <c r="H391" s="49" t="str">
        <f>VLOOKUP(Q391,[2]PROYECTOS!$V$1:$W$32,2,0)</f>
        <v>050061</v>
      </c>
      <c r="I391" s="50">
        <v>75000000</v>
      </c>
      <c r="J391" s="51" t="s">
        <v>1507</v>
      </c>
      <c r="K391" s="47" t="str">
        <f t="shared" ca="1" si="207"/>
        <v>CONTRATADO</v>
      </c>
      <c r="L391" s="47" t="s">
        <v>94</v>
      </c>
      <c r="M391" s="47" t="s">
        <v>222</v>
      </c>
      <c r="N391" s="52" t="s">
        <v>223</v>
      </c>
      <c r="O391" s="51" t="e">
        <f>VLOOKUP(N391,[2]!RUBROS[#All],3,0)</f>
        <v>#REF!</v>
      </c>
      <c r="P391" s="53" t="e">
        <f>VLOOKUP(N391,[2]!RUBROS[#All],2,0)</f>
        <v>#REF!</v>
      </c>
      <c r="Q391" s="47" t="str">
        <f t="shared" si="214"/>
        <v>20</v>
      </c>
      <c r="R391" s="47" t="str">
        <f t="shared" si="209"/>
        <v>0-205400</v>
      </c>
      <c r="S391" s="54">
        <v>225</v>
      </c>
      <c r="T391" s="59" t="s">
        <v>120</v>
      </c>
      <c r="U391" s="326" t="e">
        <f ca="1">_xlfn.XLOOKUP(PAA_4[[#This Row],[ITEM]],[2]Contrato!A:A,[2]Contrato!Q:Q,"",0)</f>
        <v>#NAME?</v>
      </c>
      <c r="V391" s="47" t="s">
        <v>95</v>
      </c>
      <c r="W391" s="47" t="s">
        <v>119</v>
      </c>
      <c r="X391" s="47" t="s">
        <v>119</v>
      </c>
      <c r="Y391" s="55" t="e">
        <f ca="1">_xlfn.XLOOKUP(PAA_4[[#This Row],[ITEM]],[2]Contrato!A:A,[2]Contrato!B:B,"",0)</f>
        <v>#NAME?</v>
      </c>
      <c r="Z391" s="47" t="e">
        <f ca="1">_xlfn.XLOOKUP(PAA_4[[#This Row],[ITEM]],[2]Contrato!A:A,[2]Contrato!G:G,"",0)</f>
        <v>#NAME?</v>
      </c>
      <c r="AA391" s="47" t="e">
        <f ca="1">_xlfn.XLOOKUP(PAA_4[[#This Row],[ITEM]],[2]Contrato!A:A,[2]Contrato!T:T,"",0)</f>
        <v>#NAME?</v>
      </c>
      <c r="AB391" s="55" t="e">
        <f ca="1">+MAX(PAA_4[[#This Row],[Comprometido Contrato]],PAA_4[[#This Row],[Comprometido Bolsa]])</f>
        <v>#NAME?</v>
      </c>
      <c r="AC391" s="55" t="str">
        <f t="shared" ca="1" si="210"/>
        <v/>
      </c>
      <c r="AD391" s="55" t="e">
        <f ca="1">IF(PAA_4[[#This Row],[ESTADO (formulado)]]="NO CONTRATADO",0,MAX(PAA_4[[#This Row],[Pago por Contrato]],PAA_4[[#This Row],[Pago por bolsa]]))</f>
        <v>#NAME?</v>
      </c>
      <c r="AE391" s="55" t="str">
        <f t="shared" ca="1" si="211"/>
        <v/>
      </c>
      <c r="AF391" s="47" t="e">
        <f t="shared" ca="1" si="212"/>
        <v>#NAME?</v>
      </c>
      <c r="AG391" s="47">
        <f t="shared" si="213"/>
        <v>41080111</v>
      </c>
      <c r="AH391" s="54">
        <f>IF(Q391="22",IF(ISNUMBER(SEARCH("econ",PAA_4[[#This Row],[Actividad3]])),"Económico",IF(ISNUMBER(SEARCH("alim",PAA_4[[#This Row],[Actividad3]])),"Alimentación",IF(ISNUMBER(SEARCH("educ",PAA_4[[#This Row],[Actividad3]])),"Educativo","Técnico"))),0)</f>
        <v>0</v>
      </c>
      <c r="AI391" s="47" t="e" cm="1">
        <f t="array" aca="1" ref="AI391" ca="1">_xlfn.XLOOKUP(PAA_4[[#This Row],[RCP-RUBRO]],[2]!COMPROMISOS_2024[[#All],[concatenado]],[2]!COMPROMISOS_2024[[#All],[Total pagado]],"",0)</f>
        <v>#NAME?</v>
      </c>
      <c r="AJ391" s="56">
        <f>IF(PAA_4[[#This Row],[BOLSA]]=0,0,SUMIFS([2]!COMPROMISOS_2024[[#All],[Total pagado]],[2]!COMPROMISOS_2024[[#All],[Bolsa]],PAA_4[[#This Row],[BOLSA]],[2]!COMPROMISOS_2024[[#All],[rubro]],PAA_4[[#This Row],[RCP-RUBRO]]))</f>
        <v>0</v>
      </c>
      <c r="AK391" s="47" t="e" cm="1">
        <f t="array" aca="1" ref="AK391" ca="1">_xlfn.XLOOKUP(PAA_4[[#This Row],[RCP-RUBRO]],[2]!COMPROMISOS_2024[[#All],[concatenado]],[2]!COMPROMISOS_2024[[#All],[Total Comprometido]],"",0)</f>
        <v>#NAME?</v>
      </c>
      <c r="AL391" s="47">
        <f>IF(PAA_4[[#This Row],[BOLSA]]=0,0,SUMIFS([2]!COMPROMISOS_2024[[#All],[Total Comprometido]],[2]!COMPROMISOS_2024[[#All],[Bolsa]],PAA_4[[#This Row],[BOLSA]],[2]!COMPROMISOS_2024[[#All],[concatenado]],PAA_4[[#This Row],[RCP-RUBRO]]))</f>
        <v>0</v>
      </c>
    </row>
    <row r="392" spans="1:38" s="19" customFormat="1" ht="31.5" customHeight="1">
      <c r="A392" s="47">
        <v>82</v>
      </c>
      <c r="B392" s="51">
        <v>90141502</v>
      </c>
      <c r="C392" s="47" t="str">
        <f>VLOOKUP(PAA_4[[#This Row],[PROYECTO (formulado)2]],[2]PROYECTOS!$G$1:$L$32,6,0)</f>
        <v>SUBGERENCIA DE ALTOS LOGROS Y DEPORTE ASOCIADO</v>
      </c>
      <c r="D392" s="47" t="str">
        <f>+IF(PAA_4[[#This Row],[UNIDAD DE CONTRATACION (formulado)]]="Subgerencia Administrativa y Financiera","FUNCIONAMIENTO","INVERSIÓN")</f>
        <v>INVERSIÓN</v>
      </c>
      <c r="E392" s="48" t="str">
        <f>VLOOKUP(Q392,[2]PROYECTOS!$G$1:$K$32,5,0)</f>
        <v>FORTALECIMIENTO_DEL_PROGRAMA_DE_ALTOS_LOGROS_Y_LIDERAZGO_DEPORTIVO_EN_EL_DEPARTAMENTO_DE_ANTIOQUIA</v>
      </c>
      <c r="F392" s="48">
        <f>VLOOKUP(E392,[2]PROYECTOS!$K$1:$M$32,3,0)</f>
        <v>2020003050021</v>
      </c>
      <c r="G392" s="49" t="s">
        <v>224</v>
      </c>
      <c r="H392" s="49" t="str">
        <f>VLOOKUP(Q392,[2]PROYECTOS!$V$1:$W$32,2,0)</f>
        <v>050061</v>
      </c>
      <c r="I392" s="50">
        <v>0</v>
      </c>
      <c r="J392" s="51" t="s">
        <v>42</v>
      </c>
      <c r="K392" s="47" t="str">
        <f t="shared" ca="1" si="207"/>
        <v>CONTRATADO</v>
      </c>
      <c r="L392" s="47" t="s">
        <v>94</v>
      </c>
      <c r="M392" s="47" t="s">
        <v>222</v>
      </c>
      <c r="N392" s="52" t="s">
        <v>223</v>
      </c>
      <c r="O392" s="51" t="e">
        <f>VLOOKUP(N392,[2]!RUBROS[#All],3,0)</f>
        <v>#REF!</v>
      </c>
      <c r="P392" s="53" t="e">
        <f>VLOOKUP(N392,[2]!RUBROS[#All],2,0)</f>
        <v>#REF!</v>
      </c>
      <c r="Q392" s="47" t="str">
        <f t="shared" si="214"/>
        <v>20</v>
      </c>
      <c r="R392" s="47" t="str">
        <f t="shared" si="209"/>
        <v>0-205400</v>
      </c>
      <c r="S392" s="54">
        <v>205</v>
      </c>
      <c r="T392" s="59" t="s">
        <v>120</v>
      </c>
      <c r="U392" s="326" t="e">
        <f ca="1">_xlfn.XLOOKUP(PAA_4[[#This Row],[ITEM]],[2]Contrato!A:A,[2]Contrato!Q:Q,"",0)</f>
        <v>#NAME?</v>
      </c>
      <c r="V392" s="47" t="s">
        <v>95</v>
      </c>
      <c r="W392" s="47" t="s">
        <v>119</v>
      </c>
      <c r="X392" s="47" t="s">
        <v>154</v>
      </c>
      <c r="Y392" s="55" t="e">
        <f ca="1">_xlfn.XLOOKUP(PAA_4[[#This Row],[ITEM]],[2]Contrato!A:A,[2]Contrato!B:B,"",0)</f>
        <v>#NAME?</v>
      </c>
      <c r="Z392" s="47" t="e">
        <f ca="1">_xlfn.XLOOKUP(PAA_4[[#This Row],[ITEM]],[2]Contrato!A:A,[2]Contrato!G:G,"",0)</f>
        <v>#NAME?</v>
      </c>
      <c r="AA392" s="47" t="e">
        <f ca="1">_xlfn.XLOOKUP(PAA_4[[#This Row],[ITEM]],[2]Contrato!A:A,[2]Contrato!T:T,"",0)</f>
        <v>#NAME?</v>
      </c>
      <c r="AB392" s="55" t="e">
        <f ca="1">+MAX(PAA_4[[#This Row],[Comprometido Contrato]],PAA_4[[#This Row],[Comprometido Bolsa]])</f>
        <v>#NAME?</v>
      </c>
      <c r="AC392" s="55" t="str">
        <f t="shared" ca="1" si="210"/>
        <v/>
      </c>
      <c r="AD392" s="55" t="e">
        <f ca="1">IF(PAA_4[[#This Row],[ESTADO (formulado)]]="NO CONTRATADO",0,MAX(PAA_4[[#This Row],[Pago por Contrato]],PAA_4[[#This Row],[Pago por bolsa]]))</f>
        <v>#NAME?</v>
      </c>
      <c r="AE392" s="55" t="str">
        <f t="shared" ca="1" si="211"/>
        <v/>
      </c>
      <c r="AF392" s="47" t="e">
        <f t="shared" ca="1" si="212"/>
        <v>#NAME?</v>
      </c>
      <c r="AG392" s="47">
        <f t="shared" si="213"/>
        <v>41080111</v>
      </c>
      <c r="AH392" s="54">
        <f>IF(Q392="22",IF(ISNUMBER(SEARCH("econ",PAA_4[[#This Row],[Actividad3]])),"Económico",IF(ISNUMBER(SEARCH("alim",PAA_4[[#This Row],[Actividad3]])),"Alimentación",IF(ISNUMBER(SEARCH("educ",PAA_4[[#This Row],[Actividad3]])),"Educativo","Técnico"))),0)</f>
        <v>0</v>
      </c>
      <c r="AI392" s="47" t="e" cm="1">
        <f t="array" aca="1" ref="AI392" ca="1">_xlfn.XLOOKUP(PAA_4[[#This Row],[RCP-RUBRO]],[2]!COMPROMISOS_2024[[#All],[concatenado]],[2]!COMPROMISOS_2024[[#All],[Total pagado]],"",0)</f>
        <v>#NAME?</v>
      </c>
      <c r="AJ392" s="56">
        <f>IF(PAA_4[[#This Row],[BOLSA]]=0,0,SUMIFS([2]!COMPROMISOS_2024[[#All],[Total pagado]],[2]!COMPROMISOS_2024[[#All],[Bolsa]],PAA_4[[#This Row],[BOLSA]],[2]!COMPROMISOS_2024[[#All],[rubro]],PAA_4[[#This Row],[RCP-RUBRO]]))</f>
        <v>0</v>
      </c>
      <c r="AK392" s="47" t="e" cm="1">
        <f t="array" aca="1" ref="AK392" ca="1">_xlfn.XLOOKUP(PAA_4[[#This Row],[RCP-RUBRO]],[2]!COMPROMISOS_2024[[#All],[concatenado]],[2]!COMPROMISOS_2024[[#All],[Total Comprometido]],"",0)</f>
        <v>#NAME?</v>
      </c>
      <c r="AL392" s="47">
        <f>IF(PAA_4[[#This Row],[BOLSA]]=0,0,SUMIFS([2]!COMPROMISOS_2024[[#All],[Total Comprometido]],[2]!COMPROMISOS_2024[[#All],[Bolsa]],PAA_4[[#This Row],[BOLSA]],[2]!COMPROMISOS_2024[[#All],[concatenado]],PAA_4[[#This Row],[RCP-RUBRO]]))</f>
        <v>0</v>
      </c>
    </row>
    <row r="393" spans="1:38" s="19" customFormat="1" ht="31.5" customHeight="1">
      <c r="A393" s="47">
        <v>83</v>
      </c>
      <c r="B393" s="51">
        <v>90141502</v>
      </c>
      <c r="C393" s="47" t="str">
        <f>VLOOKUP(PAA_4[[#This Row],[PROYECTO (formulado)2]],[2]PROYECTOS!$G$1:$L$32,6,0)</f>
        <v>SUBGERENCIA DE ALTOS LOGROS Y DEPORTE ASOCIADO</v>
      </c>
      <c r="D393" s="47" t="str">
        <f>+IF(PAA_4[[#This Row],[UNIDAD DE CONTRATACION (formulado)]]="Subgerencia Administrativa y Financiera","FUNCIONAMIENTO","INVERSIÓN")</f>
        <v>INVERSIÓN</v>
      </c>
      <c r="E393" s="48" t="str">
        <f>VLOOKUP(Q393,[2]PROYECTOS!$G$1:$K$32,5,0)</f>
        <v>FORTALECIMIENTO_DEL_PROGRAMA_DE_ALTOS_LOGROS_Y_LIDERAZGO_DEPORTIVO_EN_EL_DEPARTAMENTO_DE_ANTIOQUIA</v>
      </c>
      <c r="F393" s="48">
        <f>VLOOKUP(E393,[2]PROYECTOS!$K$1:$M$32,3,0)</f>
        <v>2020003050021</v>
      </c>
      <c r="G393" s="49" t="s">
        <v>224</v>
      </c>
      <c r="H393" s="49" t="str">
        <f>VLOOKUP(Q393,[2]PROYECTOS!$V$1:$W$32,2,0)</f>
        <v>050061</v>
      </c>
      <c r="I393" s="50">
        <v>0</v>
      </c>
      <c r="J393" s="51" t="s">
        <v>42</v>
      </c>
      <c r="K393" s="47" t="str">
        <f t="shared" ca="1" si="207"/>
        <v>CONTRATADO</v>
      </c>
      <c r="L393" s="47" t="s">
        <v>94</v>
      </c>
      <c r="M393" s="47" t="s">
        <v>222</v>
      </c>
      <c r="N393" s="52" t="s">
        <v>223</v>
      </c>
      <c r="O393" s="51" t="e">
        <f>VLOOKUP(N393,[2]!RUBROS[#All],3,0)</f>
        <v>#REF!</v>
      </c>
      <c r="P393" s="53" t="e">
        <f>VLOOKUP(N393,[2]!RUBROS[#All],2,0)</f>
        <v>#REF!</v>
      </c>
      <c r="Q393" s="47" t="str">
        <f t="shared" si="214"/>
        <v>20</v>
      </c>
      <c r="R393" s="47" t="str">
        <f t="shared" si="209"/>
        <v>0-205400</v>
      </c>
      <c r="S393" s="54">
        <v>205</v>
      </c>
      <c r="T393" s="59" t="s">
        <v>120</v>
      </c>
      <c r="U393" s="326" t="e">
        <f ca="1">_xlfn.XLOOKUP(PAA_4[[#This Row],[ITEM]],[2]Contrato!A:A,[2]Contrato!Q:Q,"",0)</f>
        <v>#NAME?</v>
      </c>
      <c r="V393" s="47" t="s">
        <v>95</v>
      </c>
      <c r="W393" s="47" t="s">
        <v>119</v>
      </c>
      <c r="X393" s="47" t="s">
        <v>154</v>
      </c>
      <c r="Y393" s="341" t="e">
        <f ca="1">_xlfn.XLOOKUP(PAA_4[[#This Row],[ITEM]],[2]Contrato!A:A,[2]Contrato!B:B,"",0)</f>
        <v>#NAME?</v>
      </c>
      <c r="Z393" s="47" t="e">
        <f ca="1">_xlfn.XLOOKUP(PAA_4[[#This Row],[ITEM]],[2]Contrato!A:A,[2]Contrato!G:G,"",0)</f>
        <v>#NAME?</v>
      </c>
      <c r="AA393" s="47" t="e">
        <f ca="1">_xlfn.XLOOKUP(PAA_4[[#This Row],[ITEM]],[2]Contrato!A:A,[2]Contrato!T:T,"",0)</f>
        <v>#NAME?</v>
      </c>
      <c r="AB393" s="55" t="e">
        <f ca="1">+MAX(PAA_4[[#This Row],[Comprometido Contrato]],PAA_4[[#This Row],[Comprometido Bolsa]])</f>
        <v>#NAME?</v>
      </c>
      <c r="AC393" s="55" t="str">
        <f t="shared" ca="1" si="210"/>
        <v/>
      </c>
      <c r="AD393" s="55" t="e">
        <f ca="1">IF(PAA_4[[#This Row],[ESTADO (formulado)]]="NO CONTRATADO",0,MAX(PAA_4[[#This Row],[Pago por Contrato]],PAA_4[[#This Row],[Pago por bolsa]]))</f>
        <v>#NAME?</v>
      </c>
      <c r="AE393" s="55" t="str">
        <f t="shared" ca="1" si="211"/>
        <v/>
      </c>
      <c r="AF393" s="47" t="e">
        <f t="shared" ca="1" si="212"/>
        <v>#NAME?</v>
      </c>
      <c r="AG393" s="47">
        <f t="shared" si="213"/>
        <v>41080111</v>
      </c>
      <c r="AH393" s="54">
        <f>IF(Q393="22",IF(ISNUMBER(SEARCH("econ",PAA_4[[#This Row],[Actividad3]])),"Económico",IF(ISNUMBER(SEARCH("alim",PAA_4[[#This Row],[Actividad3]])),"Alimentación",IF(ISNUMBER(SEARCH("educ",PAA_4[[#This Row],[Actividad3]])),"Educativo","Técnico"))),0)</f>
        <v>0</v>
      </c>
      <c r="AI393" s="47" t="e" cm="1">
        <f t="array" aca="1" ref="AI393" ca="1">_xlfn.XLOOKUP(PAA_4[[#This Row],[RCP-RUBRO]],[2]!COMPROMISOS_2024[[#All],[concatenado]],[2]!COMPROMISOS_2024[[#All],[Total pagado]],"",0)</f>
        <v>#NAME?</v>
      </c>
      <c r="AJ393" s="56">
        <f>IF(PAA_4[[#This Row],[BOLSA]]=0,0,SUMIFS([2]!COMPROMISOS_2024[[#All],[Total pagado]],[2]!COMPROMISOS_2024[[#All],[Bolsa]],PAA_4[[#This Row],[BOLSA]],[2]!COMPROMISOS_2024[[#All],[rubro]],PAA_4[[#This Row],[RCP-RUBRO]]))</f>
        <v>0</v>
      </c>
      <c r="AK393" s="47" t="e" cm="1">
        <f t="array" aca="1" ref="AK393" ca="1">_xlfn.XLOOKUP(PAA_4[[#This Row],[RCP-RUBRO]],[2]!COMPROMISOS_2024[[#All],[concatenado]],[2]!COMPROMISOS_2024[[#All],[Total Comprometido]],"",0)</f>
        <v>#NAME?</v>
      </c>
      <c r="AL393" s="47">
        <f>IF(PAA_4[[#This Row],[BOLSA]]=0,0,SUMIFS([2]!COMPROMISOS_2024[[#All],[Total Comprometido]],[2]!COMPROMISOS_2024[[#All],[Bolsa]],PAA_4[[#This Row],[BOLSA]],[2]!COMPROMISOS_2024[[#All],[concatenado]],PAA_4[[#This Row],[RCP-RUBRO]]))</f>
        <v>0</v>
      </c>
    </row>
    <row r="394" spans="1:38" s="19" customFormat="1" ht="31.5" customHeight="1">
      <c r="A394" s="47">
        <v>84</v>
      </c>
      <c r="B394" s="51">
        <v>90141502</v>
      </c>
      <c r="C394" s="47" t="str">
        <f>VLOOKUP(PAA_4[[#This Row],[PROYECTO (formulado)2]],[2]PROYECTOS!$G$1:$L$32,6,0)</f>
        <v>SUBGERENCIA DE ALTOS LOGROS Y DEPORTE ASOCIADO</v>
      </c>
      <c r="D394" s="47" t="str">
        <f>+IF(PAA_4[[#This Row],[UNIDAD DE CONTRATACION (formulado)]]="Subgerencia Administrativa y Financiera","FUNCIONAMIENTO","INVERSIÓN")</f>
        <v>INVERSIÓN</v>
      </c>
      <c r="E394" s="48" t="str">
        <f>VLOOKUP(Q394,[2]PROYECTOS!$G$1:$K$32,5,0)</f>
        <v>FORTALECIMIENTO_DEL_PROGRAMA_DE_ALTOS_LOGROS_Y_LIDERAZGO_DEPORTIVO_EN_EL_DEPARTAMENTO_DE_ANTIOQUIA</v>
      </c>
      <c r="F394" s="48">
        <f>VLOOKUP(E394,[2]PROYECTOS!$K$1:$M$32,3,0)</f>
        <v>2020003050021</v>
      </c>
      <c r="G394" s="49" t="s">
        <v>224</v>
      </c>
      <c r="H394" s="49" t="str">
        <f>VLOOKUP(Q394,[2]PROYECTOS!$V$1:$W$32,2,0)</f>
        <v>050061</v>
      </c>
      <c r="I394" s="50">
        <v>0</v>
      </c>
      <c r="J394" s="51" t="s">
        <v>42</v>
      </c>
      <c r="K394" s="47" t="str">
        <f t="shared" ca="1" si="207"/>
        <v>CONTRATADO</v>
      </c>
      <c r="L394" s="47" t="s">
        <v>94</v>
      </c>
      <c r="M394" s="47" t="s">
        <v>222</v>
      </c>
      <c r="N394" s="51" t="s">
        <v>223</v>
      </c>
      <c r="O394" s="51" t="e">
        <f>VLOOKUP(N394,[2]!RUBROS[#All],3,0)</f>
        <v>#REF!</v>
      </c>
      <c r="P394" s="53" t="e">
        <f>VLOOKUP(N394,[2]!RUBROS[#All],2,0)</f>
        <v>#REF!</v>
      </c>
      <c r="Q394" s="47" t="str">
        <f t="shared" si="214"/>
        <v>20</v>
      </c>
      <c r="R394" s="47" t="str">
        <f t="shared" si="209"/>
        <v>0-205400</v>
      </c>
      <c r="S394" s="54">
        <v>205</v>
      </c>
      <c r="T394" s="59" t="s">
        <v>120</v>
      </c>
      <c r="U394" s="326" t="e">
        <f ca="1">_xlfn.XLOOKUP(PAA_4[[#This Row],[ITEM]],[2]Contrato!A:A,[2]Contrato!Q:Q,"",0)</f>
        <v>#NAME?</v>
      </c>
      <c r="V394" s="47" t="s">
        <v>95</v>
      </c>
      <c r="W394" s="47" t="s">
        <v>119</v>
      </c>
      <c r="X394" s="47" t="s">
        <v>154</v>
      </c>
      <c r="Y394" s="55" t="e">
        <f ca="1">_xlfn.XLOOKUP(PAA_4[[#This Row],[ITEM]],[2]Contrato!A:A,[2]Contrato!B:B,"",0)</f>
        <v>#NAME?</v>
      </c>
      <c r="Z394" s="47" t="e">
        <f ca="1">_xlfn.XLOOKUP(PAA_4[[#This Row],[ITEM]],[2]Contrato!A:A,[2]Contrato!G:G,"",0)</f>
        <v>#NAME?</v>
      </c>
      <c r="AA394" s="47" t="e">
        <f ca="1">_xlfn.XLOOKUP(PAA_4[[#This Row],[ITEM]],[2]Contrato!A:A,[2]Contrato!T:T,"",0)</f>
        <v>#NAME?</v>
      </c>
      <c r="AB394" s="55" t="e">
        <f ca="1">+MAX(PAA_4[[#This Row],[Comprometido Contrato]],PAA_4[[#This Row],[Comprometido Bolsa]])</f>
        <v>#NAME?</v>
      </c>
      <c r="AC394" s="55" t="str">
        <f t="shared" ca="1" si="210"/>
        <v/>
      </c>
      <c r="AD394" s="55" t="e">
        <f ca="1">IF(PAA_4[[#This Row],[ESTADO (formulado)]]="NO CONTRATADO",0,MAX(PAA_4[[#This Row],[Pago por Contrato]],PAA_4[[#This Row],[Pago por bolsa]]))</f>
        <v>#NAME?</v>
      </c>
      <c r="AE394" s="55" t="str">
        <f t="shared" ca="1" si="211"/>
        <v/>
      </c>
      <c r="AF394" s="47" t="e">
        <f t="shared" ca="1" si="212"/>
        <v>#NAME?</v>
      </c>
      <c r="AG394" s="47">
        <f t="shared" si="213"/>
        <v>41080111</v>
      </c>
      <c r="AH394" s="54">
        <f>IF(Q394="22",IF(ISNUMBER(SEARCH("econ",PAA_4[[#This Row],[Actividad3]])),"Económico",IF(ISNUMBER(SEARCH("alim",PAA_4[[#This Row],[Actividad3]])),"Alimentación",IF(ISNUMBER(SEARCH("educ",PAA_4[[#This Row],[Actividad3]])),"Educativo","Técnico"))),0)</f>
        <v>0</v>
      </c>
      <c r="AI394" s="47" t="e" cm="1">
        <f t="array" aca="1" ref="AI394" ca="1">_xlfn.XLOOKUP(PAA_4[[#This Row],[RCP-RUBRO]],[2]!COMPROMISOS_2024[[#All],[concatenado]],[2]!COMPROMISOS_2024[[#All],[Total pagado]],"",0)</f>
        <v>#NAME?</v>
      </c>
      <c r="AJ394" s="56">
        <f>IF(PAA_4[[#This Row],[BOLSA]]=0,0,SUMIFS([2]!COMPROMISOS_2024[[#All],[Total pagado]],[2]!COMPROMISOS_2024[[#All],[Bolsa]],PAA_4[[#This Row],[BOLSA]],[2]!COMPROMISOS_2024[[#All],[rubro]],PAA_4[[#This Row],[RCP-RUBRO]]))</f>
        <v>0</v>
      </c>
      <c r="AK394" s="47" t="e" cm="1">
        <f t="array" aca="1" ref="AK394" ca="1">_xlfn.XLOOKUP(PAA_4[[#This Row],[RCP-RUBRO]],[2]!COMPROMISOS_2024[[#All],[concatenado]],[2]!COMPROMISOS_2024[[#All],[Total Comprometido]],"",0)</f>
        <v>#NAME?</v>
      </c>
      <c r="AL394" s="47">
        <f>IF(PAA_4[[#This Row],[BOLSA]]=0,0,SUMIFS([2]!COMPROMISOS_2024[[#All],[Total Comprometido]],[2]!COMPROMISOS_2024[[#All],[Bolsa]],PAA_4[[#This Row],[BOLSA]],[2]!COMPROMISOS_2024[[#All],[concatenado]],PAA_4[[#This Row],[RCP-RUBRO]]))</f>
        <v>0</v>
      </c>
    </row>
    <row r="395" spans="1:38" s="19" customFormat="1" ht="31.5" customHeight="1">
      <c r="A395" s="47">
        <v>85</v>
      </c>
      <c r="B395" s="51">
        <v>90141502</v>
      </c>
      <c r="C395" s="47" t="str">
        <f>VLOOKUP(PAA_4[[#This Row],[PROYECTO (formulado)2]],[2]PROYECTOS!$G$1:$L$32,6,0)</f>
        <v>SUBGERENCIA DE ALTOS LOGROS Y DEPORTE ASOCIADO</v>
      </c>
      <c r="D395" s="47" t="str">
        <f>+IF(PAA_4[[#This Row],[UNIDAD DE CONTRATACION (formulado)]]="Subgerencia Administrativa y Financiera","FUNCIONAMIENTO","INVERSIÓN")</f>
        <v>INVERSIÓN</v>
      </c>
      <c r="E395" s="48" t="str">
        <f>VLOOKUP(Q395,[2]PROYECTOS!$G$1:$K$32,5,0)</f>
        <v>FORTALECIMIENTO_DEL_PROGRAMA_DE_ALTOS_LOGROS_Y_LIDERAZGO_DEPORTIVO_EN_EL_DEPARTAMENTO_DE_ANTIOQUIA</v>
      </c>
      <c r="F395" s="48">
        <f>VLOOKUP(E395,[2]PROYECTOS!$K$1:$M$32,3,0)</f>
        <v>2020003050021</v>
      </c>
      <c r="G395" s="49" t="s">
        <v>224</v>
      </c>
      <c r="H395" s="49" t="str">
        <f>VLOOKUP(Q395,[2]PROYECTOS!$V$1:$W$32,2,0)</f>
        <v>050061</v>
      </c>
      <c r="I395" s="50">
        <v>0</v>
      </c>
      <c r="J395" s="51" t="s">
        <v>42</v>
      </c>
      <c r="K395" s="47" t="str">
        <f t="shared" ca="1" si="207"/>
        <v>CONTRATADO</v>
      </c>
      <c r="L395" s="47" t="s">
        <v>94</v>
      </c>
      <c r="M395" s="47" t="s">
        <v>222</v>
      </c>
      <c r="N395" s="51" t="s">
        <v>223</v>
      </c>
      <c r="O395" s="51" t="e">
        <f>VLOOKUP(N395,[2]!RUBROS[#All],3,0)</f>
        <v>#REF!</v>
      </c>
      <c r="P395" s="53" t="e">
        <f>VLOOKUP(N395,[2]!RUBROS[#All],2,0)</f>
        <v>#REF!</v>
      </c>
      <c r="Q395" s="47" t="str">
        <f t="shared" si="214"/>
        <v>20</v>
      </c>
      <c r="R395" s="47" t="str">
        <f t="shared" si="209"/>
        <v>0-205400</v>
      </c>
      <c r="S395" s="54">
        <v>205</v>
      </c>
      <c r="T395" s="59" t="s">
        <v>120</v>
      </c>
      <c r="U395" s="326" t="e">
        <f ca="1">_xlfn.XLOOKUP(PAA_4[[#This Row],[ITEM]],[2]Contrato!A:A,[2]Contrato!Q:Q,"",0)</f>
        <v>#NAME?</v>
      </c>
      <c r="V395" s="47" t="s">
        <v>95</v>
      </c>
      <c r="W395" s="47" t="s">
        <v>119</v>
      </c>
      <c r="X395" s="47" t="s">
        <v>154</v>
      </c>
      <c r="Y395" s="55" t="e">
        <f ca="1">_xlfn.XLOOKUP(PAA_4[[#This Row],[ITEM]],[2]Contrato!A:A,[2]Contrato!B:B,"",0)</f>
        <v>#NAME?</v>
      </c>
      <c r="Z395" s="47" t="e">
        <f ca="1">_xlfn.XLOOKUP(PAA_4[[#This Row],[ITEM]],[2]Contrato!A:A,[2]Contrato!G:G,"",0)</f>
        <v>#NAME?</v>
      </c>
      <c r="AA395" s="47" t="e">
        <f ca="1">_xlfn.XLOOKUP(PAA_4[[#This Row],[ITEM]],[2]Contrato!A:A,[2]Contrato!T:T,"",0)</f>
        <v>#NAME?</v>
      </c>
      <c r="AB395" s="55" t="e">
        <f ca="1">+MAX(PAA_4[[#This Row],[Comprometido Contrato]],PAA_4[[#This Row],[Comprometido Bolsa]])</f>
        <v>#NAME?</v>
      </c>
      <c r="AC395" s="55" t="str">
        <f t="shared" ca="1" si="210"/>
        <v/>
      </c>
      <c r="AD395" s="55" t="e">
        <f ca="1">IF(PAA_4[[#This Row],[ESTADO (formulado)]]="NO CONTRATADO",0,MAX(PAA_4[[#This Row],[Pago por Contrato]],PAA_4[[#This Row],[Pago por bolsa]]))</f>
        <v>#NAME?</v>
      </c>
      <c r="AE395" s="55" t="str">
        <f t="shared" ca="1" si="211"/>
        <v/>
      </c>
      <c r="AF395" s="47" t="e">
        <f t="shared" ca="1" si="212"/>
        <v>#NAME?</v>
      </c>
      <c r="AG395" s="47">
        <f t="shared" si="213"/>
        <v>41080111</v>
      </c>
      <c r="AH395" s="54">
        <f>IF(Q395="22",IF(ISNUMBER(SEARCH("econ",PAA_4[[#This Row],[Actividad3]])),"Económico",IF(ISNUMBER(SEARCH("alim",PAA_4[[#This Row],[Actividad3]])),"Alimentación",IF(ISNUMBER(SEARCH("educ",PAA_4[[#This Row],[Actividad3]])),"Educativo","Técnico"))),0)</f>
        <v>0</v>
      </c>
      <c r="AI395" s="47" t="e" cm="1">
        <f t="array" aca="1" ref="AI395" ca="1">_xlfn.XLOOKUP(PAA_4[[#This Row],[RCP-RUBRO]],[2]!COMPROMISOS_2024[[#All],[concatenado]],[2]!COMPROMISOS_2024[[#All],[Total pagado]],"",0)</f>
        <v>#NAME?</v>
      </c>
      <c r="AJ395" s="56">
        <f>IF(PAA_4[[#This Row],[BOLSA]]=0,0,SUMIFS([2]!COMPROMISOS_2024[[#All],[Total pagado]],[2]!COMPROMISOS_2024[[#All],[Bolsa]],PAA_4[[#This Row],[BOLSA]],[2]!COMPROMISOS_2024[[#All],[rubro]],PAA_4[[#This Row],[RCP-RUBRO]]))</f>
        <v>0</v>
      </c>
      <c r="AK395" s="47" t="e" cm="1">
        <f t="array" aca="1" ref="AK395" ca="1">_xlfn.XLOOKUP(PAA_4[[#This Row],[RCP-RUBRO]],[2]!COMPROMISOS_2024[[#All],[concatenado]],[2]!COMPROMISOS_2024[[#All],[Total Comprometido]],"",0)</f>
        <v>#NAME?</v>
      </c>
      <c r="AL395" s="47">
        <f>IF(PAA_4[[#This Row],[BOLSA]]=0,0,SUMIFS([2]!COMPROMISOS_2024[[#All],[Total Comprometido]],[2]!COMPROMISOS_2024[[#All],[Bolsa]],PAA_4[[#This Row],[BOLSA]],[2]!COMPROMISOS_2024[[#All],[concatenado]],PAA_4[[#This Row],[RCP-RUBRO]]))</f>
        <v>0</v>
      </c>
    </row>
    <row r="396" spans="1:38" s="19" customFormat="1" ht="31.5" customHeight="1">
      <c r="A396" s="47">
        <v>86</v>
      </c>
      <c r="B396" s="51">
        <v>90141502</v>
      </c>
      <c r="C396" s="47" t="str">
        <f>VLOOKUP(PAA_4[[#This Row],[PROYECTO (formulado)2]],[2]PROYECTOS!$G$1:$L$32,6,0)</f>
        <v>SUBGERENCIA DE ALTOS LOGROS Y DEPORTE ASOCIADO</v>
      </c>
      <c r="D396" s="47" t="str">
        <f>+IF(PAA_4[[#This Row],[UNIDAD DE CONTRATACION (formulado)]]="Subgerencia Administrativa y Financiera","FUNCIONAMIENTO","INVERSIÓN")</f>
        <v>INVERSIÓN</v>
      </c>
      <c r="E396" s="48" t="str">
        <f>VLOOKUP(Q396,[2]PROYECTOS!$G$1:$K$32,5,0)</f>
        <v>FORTALECIMIENTO_DEL_PROGRAMA_DE_ALTOS_LOGROS_Y_LIDERAZGO_DEPORTIVO_EN_EL_DEPARTAMENTO_DE_ANTIOQUIA</v>
      </c>
      <c r="F396" s="48">
        <f>VLOOKUP(E396,[2]PROYECTOS!$K$1:$M$32,3,0)</f>
        <v>2020003050021</v>
      </c>
      <c r="G396" s="49" t="s">
        <v>224</v>
      </c>
      <c r="H396" s="49" t="str">
        <f>VLOOKUP(Q396,[2]PROYECTOS!$V$1:$W$32,2,0)</f>
        <v>050061</v>
      </c>
      <c r="I396" s="50">
        <v>80000000</v>
      </c>
      <c r="J396" s="51" t="s">
        <v>1508</v>
      </c>
      <c r="K396" s="47" t="str">
        <f t="shared" ca="1" si="207"/>
        <v>CONTRATADO</v>
      </c>
      <c r="L396" s="47" t="s">
        <v>94</v>
      </c>
      <c r="M396" s="47" t="s">
        <v>222</v>
      </c>
      <c r="N396" s="51" t="s">
        <v>223</v>
      </c>
      <c r="O396" s="51" t="e">
        <f>VLOOKUP(N396,[2]!RUBROS[#All],3,0)</f>
        <v>#REF!</v>
      </c>
      <c r="P396" s="53" t="e">
        <f>VLOOKUP(N396,[2]!RUBROS[#All],2,0)</f>
        <v>#REF!</v>
      </c>
      <c r="Q396" s="47" t="str">
        <f t="shared" si="214"/>
        <v>20</v>
      </c>
      <c r="R396" s="47" t="str">
        <f t="shared" si="209"/>
        <v>0-205400</v>
      </c>
      <c r="S396" s="54">
        <v>225</v>
      </c>
      <c r="T396" s="59" t="s">
        <v>120</v>
      </c>
      <c r="U396" s="326" t="e">
        <f ca="1">_xlfn.XLOOKUP(PAA_4[[#This Row],[ITEM]],[2]Contrato!A:A,[2]Contrato!Q:Q,"",0)</f>
        <v>#NAME?</v>
      </c>
      <c r="V396" s="47" t="s">
        <v>95</v>
      </c>
      <c r="W396" s="47" t="s">
        <v>119</v>
      </c>
      <c r="X396" s="47" t="s">
        <v>119</v>
      </c>
      <c r="Y396" s="55" t="e">
        <f ca="1">_xlfn.XLOOKUP(PAA_4[[#This Row],[ITEM]],[2]Contrato!A:A,[2]Contrato!B:B,"",0)</f>
        <v>#NAME?</v>
      </c>
      <c r="Z396" s="47" t="e">
        <f ca="1">_xlfn.XLOOKUP(PAA_4[[#This Row],[ITEM]],[2]Contrato!A:A,[2]Contrato!G:G,"",0)</f>
        <v>#NAME?</v>
      </c>
      <c r="AA396" s="47" t="e">
        <f ca="1">_xlfn.XLOOKUP(PAA_4[[#This Row],[ITEM]],[2]Contrato!A:A,[2]Contrato!T:T,"",0)</f>
        <v>#NAME?</v>
      </c>
      <c r="AB396" s="55" t="e">
        <f ca="1">+MAX(PAA_4[[#This Row],[Comprometido Contrato]],PAA_4[[#This Row],[Comprometido Bolsa]])</f>
        <v>#NAME?</v>
      </c>
      <c r="AC396" s="55" t="str">
        <f t="shared" ca="1" si="210"/>
        <v/>
      </c>
      <c r="AD396" s="55" t="e">
        <f ca="1">IF(PAA_4[[#This Row],[ESTADO (formulado)]]="NO CONTRATADO",0,MAX(PAA_4[[#This Row],[Pago por Contrato]],PAA_4[[#This Row],[Pago por bolsa]]))</f>
        <v>#NAME?</v>
      </c>
      <c r="AE396" s="55" t="str">
        <f t="shared" ca="1" si="211"/>
        <v/>
      </c>
      <c r="AF396" s="47" t="e">
        <f t="shared" ca="1" si="212"/>
        <v>#NAME?</v>
      </c>
      <c r="AG396" s="47">
        <f t="shared" si="213"/>
        <v>41080111</v>
      </c>
      <c r="AH396" s="54">
        <f>IF(Q396="22",IF(ISNUMBER(SEARCH("econ",PAA_4[[#This Row],[Actividad3]])),"Económico",IF(ISNUMBER(SEARCH("alim",PAA_4[[#This Row],[Actividad3]])),"Alimentación",IF(ISNUMBER(SEARCH("educ",PAA_4[[#This Row],[Actividad3]])),"Educativo","Técnico"))),0)</f>
        <v>0</v>
      </c>
      <c r="AI396" s="47" t="e" cm="1">
        <f t="array" aca="1" ref="AI396" ca="1">_xlfn.XLOOKUP(PAA_4[[#This Row],[RCP-RUBRO]],[2]!COMPROMISOS_2024[[#All],[concatenado]],[2]!COMPROMISOS_2024[[#All],[Total pagado]],"",0)</f>
        <v>#NAME?</v>
      </c>
      <c r="AJ396" s="56">
        <f>IF(PAA_4[[#This Row],[BOLSA]]=0,0,SUMIFS([2]!COMPROMISOS_2024[[#All],[Total pagado]],[2]!COMPROMISOS_2024[[#All],[Bolsa]],PAA_4[[#This Row],[BOLSA]],[2]!COMPROMISOS_2024[[#All],[rubro]],PAA_4[[#This Row],[RCP-RUBRO]]))</f>
        <v>0</v>
      </c>
      <c r="AK396" s="47" t="e" cm="1">
        <f t="array" aca="1" ref="AK396" ca="1">_xlfn.XLOOKUP(PAA_4[[#This Row],[RCP-RUBRO]],[2]!COMPROMISOS_2024[[#All],[concatenado]],[2]!COMPROMISOS_2024[[#All],[Total Comprometido]],"",0)</f>
        <v>#NAME?</v>
      </c>
      <c r="AL396" s="47">
        <f>IF(PAA_4[[#This Row],[BOLSA]]=0,0,SUMIFS([2]!COMPROMISOS_2024[[#All],[Total Comprometido]],[2]!COMPROMISOS_2024[[#All],[Bolsa]],PAA_4[[#This Row],[BOLSA]],[2]!COMPROMISOS_2024[[#All],[concatenado]],PAA_4[[#This Row],[RCP-RUBRO]]))</f>
        <v>0</v>
      </c>
    </row>
    <row r="397" spans="1:38" s="19" customFormat="1" ht="31.5" customHeight="1">
      <c r="A397" s="47">
        <v>87</v>
      </c>
      <c r="B397" s="51">
        <v>90141502</v>
      </c>
      <c r="C397" s="47" t="str">
        <f>VLOOKUP(PAA_4[[#This Row],[PROYECTO (formulado)2]],[2]PROYECTOS!$G$1:$L$32,6,0)</f>
        <v>SUBGERENCIA DE ALTOS LOGROS Y DEPORTE ASOCIADO</v>
      </c>
      <c r="D397" s="47" t="str">
        <f>+IF(PAA_4[[#This Row],[UNIDAD DE CONTRATACION (formulado)]]="Subgerencia Administrativa y Financiera","FUNCIONAMIENTO","INVERSIÓN")</f>
        <v>INVERSIÓN</v>
      </c>
      <c r="E397" s="48" t="str">
        <f>VLOOKUP(Q397,[2]PROYECTOS!$G$1:$K$32,5,0)</f>
        <v>FORTALECIMIENTO_DEL_PROGRAMA_DE_ALTOS_LOGROS_Y_LIDERAZGO_DEPORTIVO_EN_EL_DEPARTAMENTO_DE_ANTIOQUIA</v>
      </c>
      <c r="F397" s="48">
        <f>VLOOKUP(E397,[2]PROYECTOS!$K$1:$M$32,3,0)</f>
        <v>2020003050021</v>
      </c>
      <c r="G397" s="49" t="s">
        <v>224</v>
      </c>
      <c r="H397" s="49" t="str">
        <f>VLOOKUP(Q397,[2]PROYECTOS!$V$1:$W$32,2,0)</f>
        <v>050061</v>
      </c>
      <c r="I397" s="50">
        <v>0</v>
      </c>
      <c r="J397" s="51" t="s">
        <v>42</v>
      </c>
      <c r="K397" s="47" t="str">
        <f t="shared" ca="1" si="207"/>
        <v>CONTRATADO</v>
      </c>
      <c r="L397" s="47" t="s">
        <v>94</v>
      </c>
      <c r="M397" s="47" t="s">
        <v>222</v>
      </c>
      <c r="N397" s="51" t="s">
        <v>223</v>
      </c>
      <c r="O397" s="51" t="e">
        <f>VLOOKUP(N397,[2]!RUBROS[#All],3,0)</f>
        <v>#REF!</v>
      </c>
      <c r="P397" s="53" t="e">
        <f>VLOOKUP(N397,[2]!RUBROS[#All],2,0)</f>
        <v>#REF!</v>
      </c>
      <c r="Q397" s="47" t="str">
        <f t="shared" si="214"/>
        <v>20</v>
      </c>
      <c r="R397" s="47" t="str">
        <f t="shared" si="209"/>
        <v>0-205400</v>
      </c>
      <c r="S397" s="54">
        <v>205</v>
      </c>
      <c r="T397" s="59" t="s">
        <v>120</v>
      </c>
      <c r="U397" s="326" t="e">
        <f ca="1">_xlfn.XLOOKUP(PAA_4[[#This Row],[ITEM]],[2]Contrato!A:A,[2]Contrato!Q:Q,"",0)</f>
        <v>#NAME?</v>
      </c>
      <c r="V397" s="47" t="s">
        <v>95</v>
      </c>
      <c r="W397" s="47" t="s">
        <v>119</v>
      </c>
      <c r="X397" s="47" t="s">
        <v>154</v>
      </c>
      <c r="Y397" s="55" t="e">
        <f ca="1">_xlfn.XLOOKUP(PAA_4[[#This Row],[ITEM]],[2]Contrato!A:A,[2]Contrato!B:B,"",0)</f>
        <v>#NAME?</v>
      </c>
      <c r="Z397" s="47" t="e">
        <f ca="1">_xlfn.XLOOKUP(PAA_4[[#This Row],[ITEM]],[2]Contrato!A:A,[2]Contrato!G:G,"",0)</f>
        <v>#NAME?</v>
      </c>
      <c r="AA397" s="47" t="e">
        <f ca="1">_xlfn.XLOOKUP(PAA_4[[#This Row],[ITEM]],[2]Contrato!A:A,[2]Contrato!T:T,"",0)</f>
        <v>#NAME?</v>
      </c>
      <c r="AB397" s="55" t="e">
        <f ca="1">+MAX(PAA_4[[#This Row],[Comprometido Contrato]],PAA_4[[#This Row],[Comprometido Bolsa]])</f>
        <v>#NAME?</v>
      </c>
      <c r="AC397" s="55" t="str">
        <f t="shared" ca="1" si="210"/>
        <v/>
      </c>
      <c r="AD397" s="55" t="e">
        <f ca="1">IF(PAA_4[[#This Row],[ESTADO (formulado)]]="NO CONTRATADO",0,MAX(PAA_4[[#This Row],[Pago por Contrato]],PAA_4[[#This Row],[Pago por bolsa]]))</f>
        <v>#NAME?</v>
      </c>
      <c r="AE397" s="55" t="str">
        <f t="shared" ca="1" si="211"/>
        <v/>
      </c>
      <c r="AF397" s="47" t="e">
        <f t="shared" ca="1" si="212"/>
        <v>#NAME?</v>
      </c>
      <c r="AG397" s="47">
        <f t="shared" si="213"/>
        <v>41080111</v>
      </c>
      <c r="AH397" s="54">
        <f>IF(Q397="22",IF(ISNUMBER(SEARCH("econ",PAA_4[[#This Row],[Actividad3]])),"Económico",IF(ISNUMBER(SEARCH("alim",PAA_4[[#This Row],[Actividad3]])),"Alimentación",IF(ISNUMBER(SEARCH("educ",PAA_4[[#This Row],[Actividad3]])),"Educativo","Técnico"))),0)</f>
        <v>0</v>
      </c>
      <c r="AI397" s="47" t="e" cm="1">
        <f t="array" aca="1" ref="AI397" ca="1">_xlfn.XLOOKUP(PAA_4[[#This Row],[RCP-RUBRO]],[2]!COMPROMISOS_2024[[#All],[concatenado]],[2]!COMPROMISOS_2024[[#All],[Total pagado]],"",0)</f>
        <v>#NAME?</v>
      </c>
      <c r="AJ397" s="56">
        <f>IF(PAA_4[[#This Row],[BOLSA]]=0,0,SUMIFS([2]!COMPROMISOS_2024[[#All],[Total pagado]],[2]!COMPROMISOS_2024[[#All],[Bolsa]],PAA_4[[#This Row],[BOLSA]],[2]!COMPROMISOS_2024[[#All],[rubro]],PAA_4[[#This Row],[RCP-RUBRO]]))</f>
        <v>0</v>
      </c>
      <c r="AK397" s="47" t="e" cm="1">
        <f t="array" aca="1" ref="AK397" ca="1">_xlfn.XLOOKUP(PAA_4[[#This Row],[RCP-RUBRO]],[2]!COMPROMISOS_2024[[#All],[concatenado]],[2]!COMPROMISOS_2024[[#All],[Total Comprometido]],"",0)</f>
        <v>#NAME?</v>
      </c>
      <c r="AL397" s="47">
        <f>IF(PAA_4[[#This Row],[BOLSA]]=0,0,SUMIFS([2]!COMPROMISOS_2024[[#All],[Total Comprometido]],[2]!COMPROMISOS_2024[[#All],[Bolsa]],PAA_4[[#This Row],[BOLSA]],[2]!COMPROMISOS_2024[[#All],[concatenado]],PAA_4[[#This Row],[RCP-RUBRO]]))</f>
        <v>0</v>
      </c>
    </row>
    <row r="398" spans="1:38" s="19" customFormat="1" ht="31.5" customHeight="1">
      <c r="A398" s="47">
        <v>88</v>
      </c>
      <c r="B398" s="47">
        <v>90141502</v>
      </c>
      <c r="C398" s="47" t="str">
        <f>VLOOKUP(PAA_4[[#This Row],[PROYECTO (formulado)2]],[2]PROYECTOS!$G$1:$L$32,6,0)</f>
        <v>SUBGERENCIA DE ALTOS LOGROS Y DEPORTE ASOCIADO</v>
      </c>
      <c r="D398" s="47" t="str">
        <f>+IF(PAA_4[[#This Row],[UNIDAD DE CONTRATACION (formulado)]]="Subgerencia Administrativa y Financiera","FUNCIONAMIENTO","INVERSIÓN")</f>
        <v>INVERSIÓN</v>
      </c>
      <c r="E398" s="48" t="str">
        <f>VLOOKUP(Q398,[2]PROYECTOS!$G$1:$K$32,5,0)</f>
        <v>FORTALECIMIENTO_DEL_PROGRAMA_DE_ALTOS_LOGROS_Y_LIDERAZGO_DEPORTIVO_EN_EL_DEPARTAMENTO_DE_ANTIOQUIA</v>
      </c>
      <c r="F398" s="48">
        <f>VLOOKUP(E398,[2]PROYECTOS!$K$1:$M$32,3,0)</f>
        <v>2020003050021</v>
      </c>
      <c r="G398" s="49" t="s">
        <v>224</v>
      </c>
      <c r="H398" s="49" t="str">
        <f>VLOOKUP(Q398,[2]PROYECTOS!$V$1:$W$32,2,0)</f>
        <v>050061</v>
      </c>
      <c r="I398" s="50">
        <v>70000000</v>
      </c>
      <c r="J398" s="51" t="s">
        <v>1509</v>
      </c>
      <c r="K398" s="47" t="str">
        <f t="shared" ca="1" si="207"/>
        <v>CONTRATADO</v>
      </c>
      <c r="L398" s="47" t="s">
        <v>94</v>
      </c>
      <c r="M398" s="47" t="s">
        <v>222</v>
      </c>
      <c r="N398" s="51" t="s">
        <v>223</v>
      </c>
      <c r="O398" s="51" t="e">
        <f>VLOOKUP(N398,[2]!RUBROS[#All],3,0)</f>
        <v>#REF!</v>
      </c>
      <c r="P398" s="53" t="e">
        <f>VLOOKUP(N398,[2]!RUBROS[#All],2,0)</f>
        <v>#REF!</v>
      </c>
      <c r="Q398" s="47" t="str">
        <f t="shared" si="214"/>
        <v>20</v>
      </c>
      <c r="R398" s="47" t="str">
        <f t="shared" si="209"/>
        <v>0-205400</v>
      </c>
      <c r="S398" s="54">
        <v>225</v>
      </c>
      <c r="T398" s="59" t="s">
        <v>81</v>
      </c>
      <c r="U398" s="326" t="e">
        <f ca="1">_xlfn.XLOOKUP(PAA_4[[#This Row],[ITEM]],[2]Contrato!A:A,[2]Contrato!Q:Q,"",0)</f>
        <v>#NAME?</v>
      </c>
      <c r="V398" s="47" t="s">
        <v>95</v>
      </c>
      <c r="W398" s="47" t="s">
        <v>119</v>
      </c>
      <c r="X398" s="47" t="s">
        <v>119</v>
      </c>
      <c r="Y398" s="55" t="e">
        <f ca="1">_xlfn.XLOOKUP(PAA_4[[#This Row],[ITEM]],[2]Contrato!A:A,[2]Contrato!B:B,"",0)</f>
        <v>#NAME?</v>
      </c>
      <c r="Z398" s="47" t="e">
        <f ca="1">_xlfn.XLOOKUP(PAA_4[[#This Row],[ITEM]],[2]Contrato!A:A,[2]Contrato!G:G,"",0)</f>
        <v>#NAME?</v>
      </c>
      <c r="AA398" s="47" t="e">
        <f ca="1">_xlfn.XLOOKUP(PAA_4[[#This Row],[ITEM]],[2]Contrato!A:A,[2]Contrato!T:T,"",0)</f>
        <v>#NAME?</v>
      </c>
      <c r="AB398" s="55" t="e">
        <f ca="1">+MAX(PAA_4[[#This Row],[Comprometido Contrato]],PAA_4[[#This Row],[Comprometido Bolsa]])</f>
        <v>#NAME?</v>
      </c>
      <c r="AC398" s="55" t="str">
        <f t="shared" ca="1" si="210"/>
        <v/>
      </c>
      <c r="AD398" s="55" t="e">
        <f ca="1">IF(PAA_4[[#This Row],[ESTADO (formulado)]]="NO CONTRATADO",0,MAX(PAA_4[[#This Row],[Pago por Contrato]],PAA_4[[#This Row],[Pago por bolsa]]))</f>
        <v>#NAME?</v>
      </c>
      <c r="AE398" s="55" t="str">
        <f t="shared" ca="1" si="211"/>
        <v/>
      </c>
      <c r="AF398" s="47" t="e">
        <f t="shared" ca="1" si="212"/>
        <v>#NAME?</v>
      </c>
      <c r="AG398" s="47">
        <f t="shared" si="213"/>
        <v>41080111</v>
      </c>
      <c r="AH398" s="54">
        <f>IF(Q398="22",IF(ISNUMBER(SEARCH("econ",PAA_4[[#This Row],[Actividad3]])),"Económico",IF(ISNUMBER(SEARCH("alim",PAA_4[[#This Row],[Actividad3]])),"Alimentación",IF(ISNUMBER(SEARCH("educ",PAA_4[[#This Row],[Actividad3]])),"Educativo","Técnico"))),0)</f>
        <v>0</v>
      </c>
      <c r="AI398" s="47" t="e" cm="1">
        <f t="array" aca="1" ref="AI398" ca="1">_xlfn.XLOOKUP(PAA_4[[#This Row],[RCP-RUBRO]],[2]!COMPROMISOS_2024[[#All],[concatenado]],[2]!COMPROMISOS_2024[[#All],[Total pagado]],"",0)</f>
        <v>#NAME?</v>
      </c>
      <c r="AJ398" s="56">
        <f>IF(PAA_4[[#This Row],[BOLSA]]=0,0,SUMIFS([2]!COMPROMISOS_2024[[#All],[Total pagado]],[2]!COMPROMISOS_2024[[#All],[Bolsa]],PAA_4[[#This Row],[BOLSA]],[2]!COMPROMISOS_2024[[#All],[rubro]],PAA_4[[#This Row],[RCP-RUBRO]]))</f>
        <v>0</v>
      </c>
      <c r="AK398" s="47" t="e" cm="1">
        <f t="array" aca="1" ref="AK398" ca="1">_xlfn.XLOOKUP(PAA_4[[#This Row],[RCP-RUBRO]],[2]!COMPROMISOS_2024[[#All],[concatenado]],[2]!COMPROMISOS_2024[[#All],[Total Comprometido]],"",0)</f>
        <v>#NAME?</v>
      </c>
      <c r="AL398" s="47">
        <f>IF(PAA_4[[#This Row],[BOLSA]]=0,0,SUMIFS([2]!COMPROMISOS_2024[[#All],[Total Comprometido]],[2]!COMPROMISOS_2024[[#All],[Bolsa]],PAA_4[[#This Row],[BOLSA]],[2]!COMPROMISOS_2024[[#All],[concatenado]],PAA_4[[#This Row],[RCP-RUBRO]]))</f>
        <v>0</v>
      </c>
    </row>
    <row r="399" spans="1:38" s="19" customFormat="1" ht="31.5" customHeight="1">
      <c r="A399" s="47">
        <v>89</v>
      </c>
      <c r="B399" s="47">
        <v>90141502</v>
      </c>
      <c r="C399" s="47" t="str">
        <f>VLOOKUP(PAA_4[[#This Row],[PROYECTO (formulado)2]],[2]PROYECTOS!$G$1:$L$32,6,0)</f>
        <v>SUBGERENCIA DE ALTOS LOGROS Y DEPORTE ASOCIADO</v>
      </c>
      <c r="D399" s="47" t="str">
        <f>+IF(PAA_4[[#This Row],[UNIDAD DE CONTRATACION (formulado)]]="Subgerencia Administrativa y Financiera","FUNCIONAMIENTO","INVERSIÓN")</f>
        <v>INVERSIÓN</v>
      </c>
      <c r="E399" s="48" t="str">
        <f>VLOOKUP(Q399,[2]PROYECTOS!$G$1:$K$32,5,0)</f>
        <v>FORTALECIMIENTO_DEL_PROGRAMA_DE_ALTOS_LOGROS_Y_LIDERAZGO_DEPORTIVO_EN_EL_DEPARTAMENTO_DE_ANTIOQUIA</v>
      </c>
      <c r="F399" s="48">
        <f>VLOOKUP(E399,[2]PROYECTOS!$K$1:$M$32,3,0)</f>
        <v>2020003050021</v>
      </c>
      <c r="G399" s="49" t="s">
        <v>224</v>
      </c>
      <c r="H399" s="49" t="str">
        <f>VLOOKUP(Q399,[2]PROYECTOS!$V$1:$W$32,2,0)</f>
        <v>050061</v>
      </c>
      <c r="I399" s="50">
        <v>0</v>
      </c>
      <c r="J399" s="51" t="s">
        <v>42</v>
      </c>
      <c r="K399" s="47" t="str">
        <f t="shared" ca="1" si="207"/>
        <v>CONTRATADO</v>
      </c>
      <c r="L399" s="47" t="s">
        <v>94</v>
      </c>
      <c r="M399" s="47" t="s">
        <v>222</v>
      </c>
      <c r="N399" s="51" t="s">
        <v>223</v>
      </c>
      <c r="O399" s="51" t="e">
        <f>VLOOKUP(N399,[2]!RUBROS[#All],3,0)</f>
        <v>#REF!</v>
      </c>
      <c r="P399" s="53" t="e">
        <f>VLOOKUP(N399,[2]!RUBROS[#All],2,0)</f>
        <v>#REF!</v>
      </c>
      <c r="Q399" s="47" t="str">
        <f t="shared" si="214"/>
        <v>20</v>
      </c>
      <c r="R399" s="47" t="str">
        <f t="shared" si="209"/>
        <v>0-205400</v>
      </c>
      <c r="S399" s="54">
        <v>205</v>
      </c>
      <c r="T399" s="59" t="s">
        <v>120</v>
      </c>
      <c r="U399" s="326" t="e">
        <f ca="1">_xlfn.XLOOKUP(PAA_4[[#This Row],[ITEM]],[2]Contrato!A:A,[2]Contrato!Q:Q,"",0)</f>
        <v>#NAME?</v>
      </c>
      <c r="V399" s="47" t="s">
        <v>95</v>
      </c>
      <c r="W399" s="47" t="s">
        <v>119</v>
      </c>
      <c r="X399" s="47" t="s">
        <v>154</v>
      </c>
      <c r="Y399" s="55" t="e">
        <f ca="1">_xlfn.XLOOKUP(PAA_4[[#This Row],[ITEM]],[2]Contrato!A:A,[2]Contrato!B:B,"",0)</f>
        <v>#NAME?</v>
      </c>
      <c r="Z399" s="47" t="e">
        <f ca="1">_xlfn.XLOOKUP(PAA_4[[#This Row],[ITEM]],[2]Contrato!A:A,[2]Contrato!G:G,"",0)</f>
        <v>#NAME?</v>
      </c>
      <c r="AA399" s="47" t="e">
        <f ca="1">_xlfn.XLOOKUP(PAA_4[[#This Row],[ITEM]],[2]Contrato!A:A,[2]Contrato!T:T,"",0)</f>
        <v>#NAME?</v>
      </c>
      <c r="AB399" s="55" t="e">
        <f ca="1">+MAX(PAA_4[[#This Row],[Comprometido Contrato]],PAA_4[[#This Row],[Comprometido Bolsa]])</f>
        <v>#NAME?</v>
      </c>
      <c r="AC399" s="55" t="str">
        <f t="shared" ca="1" si="210"/>
        <v/>
      </c>
      <c r="AD399" s="55" t="e">
        <f ca="1">IF(PAA_4[[#This Row],[ESTADO (formulado)]]="NO CONTRATADO",0,MAX(PAA_4[[#This Row],[Pago por Contrato]],PAA_4[[#This Row],[Pago por bolsa]]))</f>
        <v>#NAME?</v>
      </c>
      <c r="AE399" s="55" t="str">
        <f t="shared" ca="1" si="211"/>
        <v/>
      </c>
      <c r="AF399" s="47" t="e">
        <f t="shared" ca="1" si="212"/>
        <v>#NAME?</v>
      </c>
      <c r="AG399" s="47">
        <f t="shared" si="213"/>
        <v>41080111</v>
      </c>
      <c r="AH399" s="54">
        <f>IF(Q399="22",IF(ISNUMBER(SEARCH("econ",PAA_4[[#This Row],[Actividad3]])),"Económico",IF(ISNUMBER(SEARCH("alim",PAA_4[[#This Row],[Actividad3]])),"Alimentación",IF(ISNUMBER(SEARCH("educ",PAA_4[[#This Row],[Actividad3]])),"Educativo","Técnico"))),0)</f>
        <v>0</v>
      </c>
      <c r="AI399" s="47" t="e" cm="1">
        <f t="array" aca="1" ref="AI399" ca="1">_xlfn.XLOOKUP(PAA_4[[#This Row],[RCP-RUBRO]],[2]!COMPROMISOS_2024[[#All],[concatenado]],[2]!COMPROMISOS_2024[[#All],[Total pagado]],"",0)</f>
        <v>#NAME?</v>
      </c>
      <c r="AJ399" s="56">
        <f>IF(PAA_4[[#This Row],[BOLSA]]=0,0,SUMIFS([2]!COMPROMISOS_2024[[#All],[Total pagado]],[2]!COMPROMISOS_2024[[#All],[Bolsa]],PAA_4[[#This Row],[BOLSA]],[2]!COMPROMISOS_2024[[#All],[rubro]],PAA_4[[#This Row],[RCP-RUBRO]]))</f>
        <v>0</v>
      </c>
      <c r="AK399" s="47" t="e" cm="1">
        <f t="array" aca="1" ref="AK399" ca="1">_xlfn.XLOOKUP(PAA_4[[#This Row],[RCP-RUBRO]],[2]!COMPROMISOS_2024[[#All],[concatenado]],[2]!COMPROMISOS_2024[[#All],[Total Comprometido]],"",0)</f>
        <v>#NAME?</v>
      </c>
      <c r="AL399" s="47">
        <f>IF(PAA_4[[#This Row],[BOLSA]]=0,0,SUMIFS([2]!COMPROMISOS_2024[[#All],[Total Comprometido]],[2]!COMPROMISOS_2024[[#All],[Bolsa]],PAA_4[[#This Row],[BOLSA]],[2]!COMPROMISOS_2024[[#All],[concatenado]],PAA_4[[#This Row],[RCP-RUBRO]]))</f>
        <v>0</v>
      </c>
    </row>
    <row r="400" spans="1:38" s="19" customFormat="1" ht="31.5" customHeight="1">
      <c r="A400" s="47">
        <v>90</v>
      </c>
      <c r="B400" s="51">
        <v>90141502</v>
      </c>
      <c r="C400" s="47" t="str">
        <f>VLOOKUP(PAA_4[[#This Row],[PROYECTO (formulado)2]],[2]PROYECTOS!$G$1:$L$32,6,0)</f>
        <v>SUBGERENCIA DE ALTOS LOGROS Y DEPORTE ASOCIADO</v>
      </c>
      <c r="D400" s="47" t="str">
        <f>+IF(PAA_4[[#This Row],[UNIDAD DE CONTRATACION (formulado)]]="Subgerencia Administrativa y Financiera","FUNCIONAMIENTO","INVERSIÓN")</f>
        <v>INVERSIÓN</v>
      </c>
      <c r="E400" s="48" t="str">
        <f>VLOOKUP(Q400,[2]PROYECTOS!$G$1:$K$32,5,0)</f>
        <v>FORTALECIMIENTO_DEL_PROGRAMA_DE_ALTOS_LOGROS_Y_LIDERAZGO_DEPORTIVO_EN_EL_DEPARTAMENTO_DE_ANTIOQUIA</v>
      </c>
      <c r="F400" s="48">
        <f>VLOOKUP(E400,[2]PROYECTOS!$K$1:$M$32,3,0)</f>
        <v>2020003050021</v>
      </c>
      <c r="G400" s="49" t="s">
        <v>224</v>
      </c>
      <c r="H400" s="49" t="str">
        <f>VLOOKUP(Q400,[2]PROYECTOS!$V$1:$W$32,2,0)</f>
        <v>050061</v>
      </c>
      <c r="I400" s="50">
        <v>0</v>
      </c>
      <c r="J400" s="340" t="s">
        <v>42</v>
      </c>
      <c r="K400" s="47" t="str">
        <f t="shared" ca="1" si="207"/>
        <v>CONTRATADO</v>
      </c>
      <c r="L400" s="47" t="s">
        <v>94</v>
      </c>
      <c r="M400" s="47" t="s">
        <v>222</v>
      </c>
      <c r="N400" s="52" t="s">
        <v>223</v>
      </c>
      <c r="O400" s="51" t="e">
        <f>VLOOKUP(N400,[2]!RUBROS[#All],3,0)</f>
        <v>#REF!</v>
      </c>
      <c r="P400" s="53" t="e">
        <f>VLOOKUP(N400,[2]!RUBROS[#All],2,0)</f>
        <v>#REF!</v>
      </c>
      <c r="Q400" s="47" t="str">
        <f t="shared" si="214"/>
        <v>20</v>
      </c>
      <c r="R400" s="47" t="str">
        <f t="shared" si="209"/>
        <v>0-205400</v>
      </c>
      <c r="S400" s="54">
        <v>205</v>
      </c>
      <c r="T400" s="59" t="s">
        <v>120</v>
      </c>
      <c r="U400" s="326" t="e">
        <f ca="1">_xlfn.XLOOKUP(PAA_4[[#This Row],[ITEM]],[2]Contrato!A:A,[2]Contrato!Q:Q,"",0)</f>
        <v>#NAME?</v>
      </c>
      <c r="V400" s="47" t="s">
        <v>95</v>
      </c>
      <c r="W400" s="47" t="s">
        <v>119</v>
      </c>
      <c r="X400" s="47" t="s">
        <v>154</v>
      </c>
      <c r="Y400" s="55" t="e">
        <f ca="1">_xlfn.XLOOKUP(PAA_4[[#This Row],[ITEM]],[2]Contrato!A:A,[2]Contrato!B:B,"",0)</f>
        <v>#NAME?</v>
      </c>
      <c r="Z400" s="47" t="e">
        <f ca="1">_xlfn.XLOOKUP(PAA_4[[#This Row],[ITEM]],[2]Contrato!A:A,[2]Contrato!G:G,"",0)</f>
        <v>#NAME?</v>
      </c>
      <c r="AA400" s="47" t="e">
        <f ca="1">_xlfn.XLOOKUP(PAA_4[[#This Row],[ITEM]],[2]Contrato!A:A,[2]Contrato!T:T,"",0)</f>
        <v>#NAME?</v>
      </c>
      <c r="AB400" s="55" t="e">
        <f ca="1">+MAX(PAA_4[[#This Row],[Comprometido Contrato]],PAA_4[[#This Row],[Comprometido Bolsa]])</f>
        <v>#NAME?</v>
      </c>
      <c r="AC400" s="55" t="str">
        <f t="shared" ca="1" si="210"/>
        <v/>
      </c>
      <c r="AD400" s="55" t="e">
        <f ca="1">IF(PAA_4[[#This Row],[ESTADO (formulado)]]="NO CONTRATADO",0,MAX(PAA_4[[#This Row],[Pago por Contrato]],PAA_4[[#This Row],[Pago por bolsa]]))</f>
        <v>#NAME?</v>
      </c>
      <c r="AE400" s="55" t="str">
        <f t="shared" ca="1" si="211"/>
        <v/>
      </c>
      <c r="AF400" s="47" t="e">
        <f t="shared" ca="1" si="212"/>
        <v>#NAME?</v>
      </c>
      <c r="AG400" s="47">
        <f t="shared" si="213"/>
        <v>41080111</v>
      </c>
      <c r="AH400" s="54">
        <f>IF(Q400="22",IF(ISNUMBER(SEARCH("econ",PAA_4[[#This Row],[Actividad3]])),"Económico",IF(ISNUMBER(SEARCH("alim",PAA_4[[#This Row],[Actividad3]])),"Alimentación",IF(ISNUMBER(SEARCH("educ",PAA_4[[#This Row],[Actividad3]])),"Educativo","Técnico"))),0)</f>
        <v>0</v>
      </c>
      <c r="AI400" s="47" t="e" cm="1">
        <f t="array" aca="1" ref="AI400" ca="1">_xlfn.XLOOKUP(PAA_4[[#This Row],[RCP-RUBRO]],[2]!COMPROMISOS_2024[[#All],[concatenado]],[2]!COMPROMISOS_2024[[#All],[Total pagado]],"",0)</f>
        <v>#NAME?</v>
      </c>
      <c r="AJ400" s="56">
        <f>IF(PAA_4[[#This Row],[BOLSA]]=0,0,SUMIFS([2]!COMPROMISOS_2024[[#All],[Total pagado]],[2]!COMPROMISOS_2024[[#All],[Bolsa]],PAA_4[[#This Row],[BOLSA]],[2]!COMPROMISOS_2024[[#All],[rubro]],PAA_4[[#This Row],[RCP-RUBRO]]))</f>
        <v>0</v>
      </c>
      <c r="AK400" s="47" t="e" cm="1">
        <f t="array" aca="1" ref="AK400" ca="1">_xlfn.XLOOKUP(PAA_4[[#This Row],[RCP-RUBRO]],[2]!COMPROMISOS_2024[[#All],[concatenado]],[2]!COMPROMISOS_2024[[#All],[Total Comprometido]],"",0)</f>
        <v>#NAME?</v>
      </c>
      <c r="AL400" s="47">
        <f>IF(PAA_4[[#This Row],[BOLSA]]=0,0,SUMIFS([2]!COMPROMISOS_2024[[#All],[Total Comprometido]],[2]!COMPROMISOS_2024[[#All],[Bolsa]],PAA_4[[#This Row],[BOLSA]],[2]!COMPROMISOS_2024[[#All],[concatenado]],PAA_4[[#This Row],[RCP-RUBRO]]))</f>
        <v>0</v>
      </c>
    </row>
    <row r="401" spans="1:38" s="19" customFormat="1" ht="31.5" customHeight="1">
      <c r="A401" s="47">
        <v>91</v>
      </c>
      <c r="B401" s="51">
        <v>90141502</v>
      </c>
      <c r="C401" s="47" t="str">
        <f>VLOOKUP(PAA_4[[#This Row],[PROYECTO (formulado)2]],[2]PROYECTOS!$G$1:$L$32,6,0)</f>
        <v>SUBGERENCIA DE ALTOS LOGROS Y DEPORTE ASOCIADO</v>
      </c>
      <c r="D401" s="47" t="str">
        <f>+IF(PAA_4[[#This Row],[UNIDAD DE CONTRATACION (formulado)]]="Subgerencia Administrativa y Financiera","FUNCIONAMIENTO","INVERSIÓN")</f>
        <v>INVERSIÓN</v>
      </c>
      <c r="E401" s="48" t="str">
        <f>VLOOKUP(Q401,[2]PROYECTOS!$G$1:$K$32,5,0)</f>
        <v>FORTALECIMIENTO_DEL_PROGRAMA_DE_ALTOS_LOGROS_Y_LIDERAZGO_DEPORTIVO_EN_EL_DEPARTAMENTO_DE_ANTIOQUIA</v>
      </c>
      <c r="F401" s="48">
        <f>VLOOKUP(E401,[2]PROYECTOS!$K$1:$M$32,3,0)</f>
        <v>2020003050021</v>
      </c>
      <c r="G401" s="49" t="s">
        <v>224</v>
      </c>
      <c r="H401" s="49" t="str">
        <f>VLOOKUP(Q401,[2]PROYECTOS!$V$1:$W$32,2,0)</f>
        <v>050061</v>
      </c>
      <c r="I401" s="50">
        <f>60000000+130000000</f>
        <v>190000000</v>
      </c>
      <c r="J401" s="340" t="s">
        <v>1510</v>
      </c>
      <c r="K401" s="47" t="str">
        <f t="shared" ca="1" si="207"/>
        <v>CONTRATADO</v>
      </c>
      <c r="L401" s="47" t="s">
        <v>94</v>
      </c>
      <c r="M401" s="47" t="s">
        <v>222</v>
      </c>
      <c r="N401" s="52" t="s">
        <v>223</v>
      </c>
      <c r="O401" s="51" t="e">
        <f>VLOOKUP(N401,[2]!RUBROS[#All],3,0)</f>
        <v>#REF!</v>
      </c>
      <c r="P401" s="53" t="e">
        <f>VLOOKUP(N401,[2]!RUBROS[#All],2,0)</f>
        <v>#REF!</v>
      </c>
      <c r="Q401" s="47" t="str">
        <f t="shared" si="214"/>
        <v>20</v>
      </c>
      <c r="R401" s="47" t="str">
        <f t="shared" si="209"/>
        <v>0-205400</v>
      </c>
      <c r="S401" s="342">
        <v>170</v>
      </c>
      <c r="T401" s="59" t="s">
        <v>120</v>
      </c>
      <c r="U401" s="326" t="e">
        <f ca="1">_xlfn.XLOOKUP(PAA_4[[#This Row],[ITEM]],[2]Contrato!A:A,[2]Contrato!Q:Q,"",0)</f>
        <v>#NAME?</v>
      </c>
      <c r="V401" s="47" t="s">
        <v>95</v>
      </c>
      <c r="W401" s="343" t="s">
        <v>193</v>
      </c>
      <c r="X401" s="343" t="s">
        <v>193</v>
      </c>
      <c r="Y401" s="55" t="e">
        <f ca="1">_xlfn.XLOOKUP(PAA_4[[#This Row],[ITEM]],[2]Contrato!A:A,[2]Contrato!B:B,"",0)</f>
        <v>#NAME?</v>
      </c>
      <c r="Z401" s="47" t="e">
        <f ca="1">_xlfn.XLOOKUP(PAA_4[[#This Row],[ITEM]],[2]Contrato!A:A,[2]Contrato!G:G,"",0)</f>
        <v>#NAME?</v>
      </c>
      <c r="AA401" s="47" t="e">
        <f ca="1">_xlfn.XLOOKUP(PAA_4[[#This Row],[ITEM]],[2]Contrato!A:A,[2]Contrato!T:T,"",0)</f>
        <v>#NAME?</v>
      </c>
      <c r="AB401" s="55" t="e">
        <f ca="1">+MAX(PAA_4[[#This Row],[Comprometido Contrato]],PAA_4[[#This Row],[Comprometido Bolsa]])</f>
        <v>#NAME?</v>
      </c>
      <c r="AC401" s="55" t="str">
        <f t="shared" ca="1" si="210"/>
        <v/>
      </c>
      <c r="AD401" s="55" t="e">
        <f ca="1">IF(PAA_4[[#This Row],[ESTADO (formulado)]]="NO CONTRATADO",0,MAX(PAA_4[[#This Row],[Pago por Contrato]],PAA_4[[#This Row],[Pago por bolsa]]))</f>
        <v>#NAME?</v>
      </c>
      <c r="AE401" s="55" t="str">
        <f t="shared" ca="1" si="211"/>
        <v/>
      </c>
      <c r="AF401" s="47" t="e">
        <f t="shared" ca="1" si="212"/>
        <v>#NAME?</v>
      </c>
      <c r="AG401" s="47">
        <f t="shared" si="213"/>
        <v>41080111</v>
      </c>
      <c r="AH401" s="54">
        <f>IF(Q401="22",IF(ISNUMBER(SEARCH("econ",PAA_4[[#This Row],[Actividad3]])),"Económico",IF(ISNUMBER(SEARCH("alim",PAA_4[[#This Row],[Actividad3]])),"Alimentación",IF(ISNUMBER(SEARCH("educ",PAA_4[[#This Row],[Actividad3]])),"Educativo","Técnico"))),0)</f>
        <v>0</v>
      </c>
      <c r="AI401" s="47" t="e" cm="1">
        <f t="array" aca="1" ref="AI401" ca="1">_xlfn.XLOOKUP(PAA_4[[#This Row],[RCP-RUBRO]],[2]!COMPROMISOS_2024[[#All],[concatenado]],[2]!COMPROMISOS_2024[[#All],[Total pagado]],"",0)</f>
        <v>#NAME?</v>
      </c>
      <c r="AJ401" s="56">
        <f>IF(PAA_4[[#This Row],[BOLSA]]=0,0,SUMIFS([2]!COMPROMISOS_2024[[#All],[Total pagado]],[2]!COMPROMISOS_2024[[#All],[Bolsa]],PAA_4[[#This Row],[BOLSA]],[2]!COMPROMISOS_2024[[#All],[rubro]],PAA_4[[#This Row],[RCP-RUBRO]]))</f>
        <v>0</v>
      </c>
      <c r="AK401" s="47" t="e" cm="1">
        <f t="array" aca="1" ref="AK401" ca="1">_xlfn.XLOOKUP(PAA_4[[#This Row],[RCP-RUBRO]],[2]!COMPROMISOS_2024[[#All],[concatenado]],[2]!COMPROMISOS_2024[[#All],[Total Comprometido]],"",0)</f>
        <v>#NAME?</v>
      </c>
      <c r="AL401" s="47">
        <f>IF(PAA_4[[#This Row],[BOLSA]]=0,0,SUMIFS([2]!COMPROMISOS_2024[[#All],[Total Comprometido]],[2]!COMPROMISOS_2024[[#All],[Bolsa]],PAA_4[[#This Row],[BOLSA]],[2]!COMPROMISOS_2024[[#All],[concatenado]],PAA_4[[#This Row],[RCP-RUBRO]]))</f>
        <v>0</v>
      </c>
    </row>
    <row r="402" spans="1:38" s="19" customFormat="1" ht="31.5" customHeight="1">
      <c r="A402" s="47">
        <v>92</v>
      </c>
      <c r="B402" s="51">
        <v>90141502</v>
      </c>
      <c r="C402" s="47" t="str">
        <f>VLOOKUP(PAA_4[[#This Row],[PROYECTO (formulado)2]],[2]PROYECTOS!$G$1:$L$32,6,0)</f>
        <v>SUBGERENCIA DE ALTOS LOGROS Y DEPORTE ASOCIADO</v>
      </c>
      <c r="D402" s="47" t="str">
        <f>+IF(PAA_4[[#This Row],[UNIDAD DE CONTRATACION (formulado)]]="Subgerencia Administrativa y Financiera","FUNCIONAMIENTO","INVERSIÓN")</f>
        <v>INVERSIÓN</v>
      </c>
      <c r="E402" s="48" t="str">
        <f>VLOOKUP(Q402,[2]PROYECTOS!$G$1:$K$32,5,0)</f>
        <v>FORTALECIMIENTO_DEL_PROGRAMA_DE_ALTOS_LOGROS_Y_LIDERAZGO_DEPORTIVO_EN_EL_DEPARTAMENTO_DE_ANTIOQUIA</v>
      </c>
      <c r="F402" s="48">
        <f>VLOOKUP(E402,[2]PROYECTOS!$K$1:$M$32,3,0)</f>
        <v>2020003050021</v>
      </c>
      <c r="G402" s="49" t="s">
        <v>224</v>
      </c>
      <c r="H402" s="49" t="str">
        <f>VLOOKUP(Q402,[2]PROYECTOS!$V$1:$W$32,2,0)</f>
        <v>050061</v>
      </c>
      <c r="I402" s="50">
        <v>0</v>
      </c>
      <c r="J402" s="51" t="s">
        <v>42</v>
      </c>
      <c r="K402" s="47" t="str">
        <f t="shared" ca="1" si="207"/>
        <v>CONTRATADO</v>
      </c>
      <c r="L402" s="47" t="s">
        <v>94</v>
      </c>
      <c r="M402" s="47" t="s">
        <v>222</v>
      </c>
      <c r="N402" s="52" t="s">
        <v>223</v>
      </c>
      <c r="O402" s="51" t="e">
        <f>VLOOKUP(N402,[2]!RUBROS[#All],3,0)</f>
        <v>#REF!</v>
      </c>
      <c r="P402" s="53" t="e">
        <f>VLOOKUP(N402,[2]!RUBROS[#All],2,0)</f>
        <v>#REF!</v>
      </c>
      <c r="Q402" s="47" t="str">
        <f t="shared" si="214"/>
        <v>20</v>
      </c>
      <c r="R402" s="47" t="str">
        <f t="shared" si="209"/>
        <v>0-205400</v>
      </c>
      <c r="S402" s="54">
        <v>205</v>
      </c>
      <c r="T402" s="59" t="s">
        <v>120</v>
      </c>
      <c r="U402" s="326" t="e">
        <f ca="1">_xlfn.XLOOKUP(PAA_4[[#This Row],[ITEM]],[2]Contrato!A:A,[2]Contrato!Q:Q,"",0)</f>
        <v>#NAME?</v>
      </c>
      <c r="V402" s="47" t="s">
        <v>95</v>
      </c>
      <c r="W402" s="47" t="s">
        <v>119</v>
      </c>
      <c r="X402" s="47" t="s">
        <v>154</v>
      </c>
      <c r="Y402" s="55" t="e">
        <f ca="1">_xlfn.XLOOKUP(PAA_4[[#This Row],[ITEM]],[2]Contrato!A:A,[2]Contrato!B:B,"",0)</f>
        <v>#NAME?</v>
      </c>
      <c r="Z402" s="47" t="e">
        <f ca="1">_xlfn.XLOOKUP(PAA_4[[#This Row],[ITEM]],[2]Contrato!A:A,[2]Contrato!G:G,"",0)</f>
        <v>#NAME?</v>
      </c>
      <c r="AA402" s="47" t="e">
        <f ca="1">_xlfn.XLOOKUP(PAA_4[[#This Row],[ITEM]],[2]Contrato!A:A,[2]Contrato!T:T,"",0)</f>
        <v>#NAME?</v>
      </c>
      <c r="AB402" s="55" t="e">
        <f ca="1">+MAX(PAA_4[[#This Row],[Comprometido Contrato]],PAA_4[[#This Row],[Comprometido Bolsa]])</f>
        <v>#NAME?</v>
      </c>
      <c r="AC402" s="55" t="str">
        <f t="shared" ca="1" si="210"/>
        <v/>
      </c>
      <c r="AD402" s="55" t="e">
        <f ca="1">IF(PAA_4[[#This Row],[ESTADO (formulado)]]="NO CONTRATADO",0,MAX(PAA_4[[#This Row],[Pago por Contrato]],PAA_4[[#This Row],[Pago por bolsa]]))</f>
        <v>#NAME?</v>
      </c>
      <c r="AE402" s="55" t="str">
        <f t="shared" ca="1" si="211"/>
        <v/>
      </c>
      <c r="AF402" s="47" t="e">
        <f t="shared" ca="1" si="212"/>
        <v>#NAME?</v>
      </c>
      <c r="AG402" s="47">
        <f t="shared" si="213"/>
        <v>41080111</v>
      </c>
      <c r="AH402" s="54">
        <f>IF(Q402="22",IF(ISNUMBER(SEARCH("econ",PAA_4[[#This Row],[Actividad3]])),"Económico",IF(ISNUMBER(SEARCH("alim",PAA_4[[#This Row],[Actividad3]])),"Alimentación",IF(ISNUMBER(SEARCH("educ",PAA_4[[#This Row],[Actividad3]])),"Educativo","Técnico"))),0)</f>
        <v>0</v>
      </c>
      <c r="AI402" s="47" t="e" cm="1">
        <f t="array" aca="1" ref="AI402" ca="1">_xlfn.XLOOKUP(PAA_4[[#This Row],[RCP-RUBRO]],[2]!COMPROMISOS_2024[[#All],[concatenado]],[2]!COMPROMISOS_2024[[#All],[Total pagado]],"",0)</f>
        <v>#NAME?</v>
      </c>
      <c r="AJ402" s="56">
        <f>IF(PAA_4[[#This Row],[BOLSA]]=0,0,SUMIFS([2]!COMPROMISOS_2024[[#All],[Total pagado]],[2]!COMPROMISOS_2024[[#All],[Bolsa]],PAA_4[[#This Row],[BOLSA]],[2]!COMPROMISOS_2024[[#All],[rubro]],PAA_4[[#This Row],[RCP-RUBRO]]))</f>
        <v>0</v>
      </c>
      <c r="AK402" s="47" t="e" cm="1">
        <f t="array" aca="1" ref="AK402" ca="1">_xlfn.XLOOKUP(PAA_4[[#This Row],[RCP-RUBRO]],[2]!COMPROMISOS_2024[[#All],[concatenado]],[2]!COMPROMISOS_2024[[#All],[Total Comprometido]],"",0)</f>
        <v>#NAME?</v>
      </c>
      <c r="AL402" s="47">
        <f>IF(PAA_4[[#This Row],[BOLSA]]=0,0,SUMIFS([2]!COMPROMISOS_2024[[#All],[Total Comprometido]],[2]!COMPROMISOS_2024[[#All],[Bolsa]],PAA_4[[#This Row],[BOLSA]],[2]!COMPROMISOS_2024[[#All],[concatenado]],PAA_4[[#This Row],[RCP-RUBRO]]))</f>
        <v>0</v>
      </c>
    </row>
    <row r="403" spans="1:38" s="19" customFormat="1" ht="31.5" customHeight="1">
      <c r="A403" s="47">
        <v>93</v>
      </c>
      <c r="B403" s="51">
        <v>90141502</v>
      </c>
      <c r="C403" s="47" t="str">
        <f>VLOOKUP(PAA_4[[#This Row],[PROYECTO (formulado)2]],[2]PROYECTOS!$G$1:$L$32,6,0)</f>
        <v>SUBGERENCIA DE ALTOS LOGROS Y DEPORTE ASOCIADO</v>
      </c>
      <c r="D403" s="47" t="str">
        <f>+IF(PAA_4[[#This Row],[UNIDAD DE CONTRATACION (formulado)]]="Subgerencia Administrativa y Financiera","FUNCIONAMIENTO","INVERSIÓN")</f>
        <v>INVERSIÓN</v>
      </c>
      <c r="E403" s="48" t="str">
        <f>VLOOKUP(Q403,[2]PROYECTOS!$G$1:$K$32,5,0)</f>
        <v>FORTALECIMIENTO_DEL_PROGRAMA_DE_ALTOS_LOGROS_Y_LIDERAZGO_DEPORTIVO_EN_EL_DEPARTAMENTO_DE_ANTIOQUIA</v>
      </c>
      <c r="F403" s="48">
        <f>VLOOKUP(E403,[2]PROYECTOS!$K$1:$M$32,3,0)</f>
        <v>2020003050021</v>
      </c>
      <c r="G403" s="49" t="s">
        <v>224</v>
      </c>
      <c r="H403" s="49" t="str">
        <f>VLOOKUP(Q403,[2]PROYECTOS!$V$1:$W$32,2,0)</f>
        <v>050061</v>
      </c>
      <c r="I403" s="50">
        <v>0</v>
      </c>
      <c r="J403" s="51" t="s">
        <v>42</v>
      </c>
      <c r="K403" s="47" t="str">
        <f t="shared" ca="1" si="207"/>
        <v>CONTRATADO</v>
      </c>
      <c r="L403" s="47" t="s">
        <v>94</v>
      </c>
      <c r="M403" s="47" t="s">
        <v>222</v>
      </c>
      <c r="N403" s="52" t="s">
        <v>223</v>
      </c>
      <c r="O403" s="51" t="e">
        <f>VLOOKUP(N403,[2]!RUBROS[#All],3,0)</f>
        <v>#REF!</v>
      </c>
      <c r="P403" s="53" t="e">
        <f>VLOOKUP(N403,[2]!RUBROS[#All],2,0)</f>
        <v>#REF!</v>
      </c>
      <c r="Q403" s="47" t="str">
        <f t="shared" si="214"/>
        <v>20</v>
      </c>
      <c r="R403" s="47" t="str">
        <f t="shared" si="209"/>
        <v>0-205400</v>
      </c>
      <c r="S403" s="54">
        <v>205</v>
      </c>
      <c r="T403" s="59" t="s">
        <v>120</v>
      </c>
      <c r="U403" s="326" t="e">
        <f ca="1">_xlfn.XLOOKUP(PAA_4[[#This Row],[ITEM]],[2]Contrato!A:A,[2]Contrato!Q:Q,"",0)</f>
        <v>#NAME?</v>
      </c>
      <c r="V403" s="47" t="s">
        <v>95</v>
      </c>
      <c r="W403" s="47" t="s">
        <v>119</v>
      </c>
      <c r="X403" s="47" t="s">
        <v>154</v>
      </c>
      <c r="Y403" s="55" t="e">
        <f ca="1">_xlfn.XLOOKUP(PAA_4[[#This Row],[ITEM]],[2]Contrato!A:A,[2]Contrato!B:B,"",0)</f>
        <v>#NAME?</v>
      </c>
      <c r="Z403" s="47" t="e">
        <f ca="1">_xlfn.XLOOKUP(PAA_4[[#This Row],[ITEM]],[2]Contrato!A:A,[2]Contrato!G:G,"",0)</f>
        <v>#NAME?</v>
      </c>
      <c r="AA403" s="47" t="e">
        <f ca="1">_xlfn.XLOOKUP(PAA_4[[#This Row],[ITEM]],[2]Contrato!A:A,[2]Contrato!T:T,"",0)</f>
        <v>#NAME?</v>
      </c>
      <c r="AB403" s="55" t="e">
        <f ca="1">+MAX(PAA_4[[#This Row],[Comprometido Contrato]],PAA_4[[#This Row],[Comprometido Bolsa]])</f>
        <v>#NAME?</v>
      </c>
      <c r="AC403" s="55" t="str">
        <f t="shared" ca="1" si="210"/>
        <v/>
      </c>
      <c r="AD403" s="55" t="e">
        <f ca="1">IF(PAA_4[[#This Row],[ESTADO (formulado)]]="NO CONTRATADO",0,MAX(PAA_4[[#This Row],[Pago por Contrato]],PAA_4[[#This Row],[Pago por bolsa]]))</f>
        <v>#NAME?</v>
      </c>
      <c r="AE403" s="55" t="str">
        <f t="shared" ca="1" si="211"/>
        <v/>
      </c>
      <c r="AF403" s="47" t="e">
        <f t="shared" ca="1" si="212"/>
        <v>#NAME?</v>
      </c>
      <c r="AG403" s="47">
        <f t="shared" si="213"/>
        <v>41080111</v>
      </c>
      <c r="AH403" s="54">
        <f>IF(Q403="22",IF(ISNUMBER(SEARCH("econ",PAA_4[[#This Row],[Actividad3]])),"Económico",IF(ISNUMBER(SEARCH("alim",PAA_4[[#This Row],[Actividad3]])),"Alimentación",IF(ISNUMBER(SEARCH("educ",PAA_4[[#This Row],[Actividad3]])),"Educativo","Técnico"))),0)</f>
        <v>0</v>
      </c>
      <c r="AI403" s="47" t="e" cm="1">
        <f t="array" aca="1" ref="AI403" ca="1">_xlfn.XLOOKUP(PAA_4[[#This Row],[RCP-RUBRO]],[2]!COMPROMISOS_2024[[#All],[concatenado]],[2]!COMPROMISOS_2024[[#All],[Total pagado]],"",0)</f>
        <v>#NAME?</v>
      </c>
      <c r="AJ403" s="56">
        <f>IF(PAA_4[[#This Row],[BOLSA]]=0,0,SUMIFS([2]!COMPROMISOS_2024[[#All],[Total pagado]],[2]!COMPROMISOS_2024[[#All],[Bolsa]],PAA_4[[#This Row],[BOLSA]],[2]!COMPROMISOS_2024[[#All],[rubro]],PAA_4[[#This Row],[RCP-RUBRO]]))</f>
        <v>0</v>
      </c>
      <c r="AK403" s="47" t="e" cm="1">
        <f t="array" aca="1" ref="AK403" ca="1">_xlfn.XLOOKUP(PAA_4[[#This Row],[RCP-RUBRO]],[2]!COMPROMISOS_2024[[#All],[concatenado]],[2]!COMPROMISOS_2024[[#All],[Total Comprometido]],"",0)</f>
        <v>#NAME?</v>
      </c>
      <c r="AL403" s="47">
        <f>IF(PAA_4[[#This Row],[BOLSA]]=0,0,SUMIFS([2]!COMPROMISOS_2024[[#All],[Total Comprometido]],[2]!COMPROMISOS_2024[[#All],[Bolsa]],PAA_4[[#This Row],[BOLSA]],[2]!COMPROMISOS_2024[[#All],[concatenado]],PAA_4[[#This Row],[RCP-RUBRO]]))</f>
        <v>0</v>
      </c>
    </row>
    <row r="404" spans="1:38" s="19" customFormat="1" ht="31.5" customHeight="1">
      <c r="A404" s="47">
        <v>94</v>
      </c>
      <c r="B404" s="47">
        <v>90141502</v>
      </c>
      <c r="C404" s="47" t="str">
        <f>VLOOKUP(PAA_4[[#This Row],[PROYECTO (formulado)2]],[2]PROYECTOS!$G$1:$L$32,6,0)</f>
        <v>SUBGERENCIA DE ALTOS LOGROS Y DEPORTE ASOCIADO</v>
      </c>
      <c r="D404" s="47" t="str">
        <f>+IF(PAA_4[[#This Row],[UNIDAD DE CONTRATACION (formulado)]]="Subgerencia Administrativa y Financiera","FUNCIONAMIENTO","INVERSIÓN")</f>
        <v>INVERSIÓN</v>
      </c>
      <c r="E404" s="48" t="str">
        <f>VLOOKUP(Q404,[2]PROYECTOS!$G$1:$K$32,5,0)</f>
        <v>FORTALECIMIENTO_DEL_PROGRAMA_DE_ALTOS_LOGROS_Y_LIDERAZGO_DEPORTIVO_EN_EL_DEPARTAMENTO_DE_ANTIOQUIA</v>
      </c>
      <c r="F404" s="48">
        <f>VLOOKUP(E404,[2]PROYECTOS!$K$1:$M$32,3,0)</f>
        <v>2020003050021</v>
      </c>
      <c r="G404" s="49" t="s">
        <v>224</v>
      </c>
      <c r="H404" s="49" t="str">
        <f>VLOOKUP(Q404,[2]PROYECTOS!$V$1:$W$32,2,0)</f>
        <v>050061</v>
      </c>
      <c r="I404" s="50">
        <v>0</v>
      </c>
      <c r="J404" s="51" t="s">
        <v>42</v>
      </c>
      <c r="K404" s="47" t="str">
        <f t="shared" ca="1" si="207"/>
        <v>CONTRATADO</v>
      </c>
      <c r="L404" s="47" t="s">
        <v>94</v>
      </c>
      <c r="M404" s="47" t="s">
        <v>222</v>
      </c>
      <c r="N404" s="51" t="s">
        <v>223</v>
      </c>
      <c r="O404" s="51" t="e">
        <f>VLOOKUP(N404,[2]!RUBROS[#All],3,0)</f>
        <v>#REF!</v>
      </c>
      <c r="P404" s="53" t="e">
        <f>VLOOKUP(N404,[2]!RUBROS[#All],2,0)</f>
        <v>#REF!</v>
      </c>
      <c r="Q404" s="47" t="str">
        <f t="shared" si="214"/>
        <v>20</v>
      </c>
      <c r="R404" s="47" t="str">
        <f t="shared" si="209"/>
        <v>0-205400</v>
      </c>
      <c r="S404" s="54">
        <v>205</v>
      </c>
      <c r="T404" s="59" t="s">
        <v>120</v>
      </c>
      <c r="U404" s="326" t="e">
        <f ca="1">_xlfn.XLOOKUP(PAA_4[[#This Row],[ITEM]],[2]Contrato!A:A,[2]Contrato!Q:Q,"",0)</f>
        <v>#NAME?</v>
      </c>
      <c r="V404" s="47" t="s">
        <v>95</v>
      </c>
      <c r="W404" s="47" t="s">
        <v>119</v>
      </c>
      <c r="X404" s="47" t="s">
        <v>154</v>
      </c>
      <c r="Y404" s="55" t="e">
        <f ca="1">_xlfn.XLOOKUP(PAA_4[[#This Row],[ITEM]],[2]Contrato!A:A,[2]Contrato!B:B,"",0)</f>
        <v>#NAME?</v>
      </c>
      <c r="Z404" s="47" t="e">
        <f ca="1">_xlfn.XLOOKUP(PAA_4[[#This Row],[ITEM]],[2]Contrato!A:A,[2]Contrato!G:G,"",0)</f>
        <v>#NAME?</v>
      </c>
      <c r="AA404" s="47" t="e">
        <f ca="1">_xlfn.XLOOKUP(PAA_4[[#This Row],[ITEM]],[2]Contrato!A:A,[2]Contrato!T:T,"",0)</f>
        <v>#NAME?</v>
      </c>
      <c r="AB404" s="55" t="e">
        <f ca="1">+MAX(PAA_4[[#This Row],[Comprometido Contrato]],PAA_4[[#This Row],[Comprometido Bolsa]])</f>
        <v>#NAME?</v>
      </c>
      <c r="AC404" s="55" t="str">
        <f t="shared" ca="1" si="210"/>
        <v/>
      </c>
      <c r="AD404" s="55" t="e">
        <f ca="1">IF(PAA_4[[#This Row],[ESTADO (formulado)]]="NO CONTRATADO",0,MAX(PAA_4[[#This Row],[Pago por Contrato]],PAA_4[[#This Row],[Pago por bolsa]]))</f>
        <v>#NAME?</v>
      </c>
      <c r="AE404" s="55" t="str">
        <f t="shared" ca="1" si="211"/>
        <v/>
      </c>
      <c r="AF404" s="47" t="e">
        <f t="shared" ca="1" si="212"/>
        <v>#NAME?</v>
      </c>
      <c r="AG404" s="47">
        <f t="shared" si="213"/>
        <v>41080111</v>
      </c>
      <c r="AH404" s="54">
        <f>IF(Q404="22",IF(ISNUMBER(SEARCH("econ",PAA_4[[#This Row],[Actividad3]])),"Económico",IF(ISNUMBER(SEARCH("alim",PAA_4[[#This Row],[Actividad3]])),"Alimentación",IF(ISNUMBER(SEARCH("educ",PAA_4[[#This Row],[Actividad3]])),"Educativo","Técnico"))),0)</f>
        <v>0</v>
      </c>
      <c r="AI404" s="47" t="e" cm="1">
        <f t="array" aca="1" ref="AI404" ca="1">_xlfn.XLOOKUP(PAA_4[[#This Row],[RCP-RUBRO]],[2]!COMPROMISOS_2024[[#All],[concatenado]],[2]!COMPROMISOS_2024[[#All],[Total pagado]],"",0)</f>
        <v>#NAME?</v>
      </c>
      <c r="AJ404" s="56">
        <f>IF(PAA_4[[#This Row],[BOLSA]]=0,0,SUMIFS([2]!COMPROMISOS_2024[[#All],[Total pagado]],[2]!COMPROMISOS_2024[[#All],[Bolsa]],PAA_4[[#This Row],[BOLSA]],[2]!COMPROMISOS_2024[[#All],[rubro]],PAA_4[[#This Row],[RCP-RUBRO]]))</f>
        <v>0</v>
      </c>
      <c r="AK404" s="47" t="e" cm="1">
        <f t="array" aca="1" ref="AK404" ca="1">_xlfn.XLOOKUP(PAA_4[[#This Row],[RCP-RUBRO]],[2]!COMPROMISOS_2024[[#All],[concatenado]],[2]!COMPROMISOS_2024[[#All],[Total Comprometido]],"",0)</f>
        <v>#NAME?</v>
      </c>
      <c r="AL404" s="47">
        <f>IF(PAA_4[[#This Row],[BOLSA]]=0,0,SUMIFS([2]!COMPROMISOS_2024[[#All],[Total Comprometido]],[2]!COMPROMISOS_2024[[#All],[Bolsa]],PAA_4[[#This Row],[BOLSA]],[2]!COMPROMISOS_2024[[#All],[concatenado]],PAA_4[[#This Row],[RCP-RUBRO]]))</f>
        <v>0</v>
      </c>
    </row>
    <row r="405" spans="1:38" s="19" customFormat="1" ht="31.5" customHeight="1">
      <c r="A405" s="47">
        <v>95</v>
      </c>
      <c r="B405" s="47">
        <v>90141502</v>
      </c>
      <c r="C405" s="47" t="str">
        <f>VLOOKUP(PAA_4[[#This Row],[PROYECTO (formulado)2]],[2]PROYECTOS!$G$1:$L$32,6,0)</f>
        <v>SUBGERENCIA DE ALTOS LOGROS Y DEPORTE ASOCIADO</v>
      </c>
      <c r="D405" s="47" t="str">
        <f>+IF(PAA_4[[#This Row],[UNIDAD DE CONTRATACION (formulado)]]="Subgerencia Administrativa y Financiera","FUNCIONAMIENTO","INVERSIÓN")</f>
        <v>INVERSIÓN</v>
      </c>
      <c r="E405" s="48" t="str">
        <f>VLOOKUP(Q405,[2]PROYECTOS!$G$1:$K$32,5,0)</f>
        <v>FORTALECIMIENTO_DEL_PROGRAMA_DE_ALTOS_LOGROS_Y_LIDERAZGO_DEPORTIVO_EN_EL_DEPARTAMENTO_DE_ANTIOQUIA</v>
      </c>
      <c r="F405" s="48">
        <f>VLOOKUP(E405,[2]PROYECTOS!$K$1:$M$32,3,0)</f>
        <v>2020003050021</v>
      </c>
      <c r="G405" s="49" t="s">
        <v>224</v>
      </c>
      <c r="H405" s="49" t="str">
        <f>VLOOKUP(Q405,[2]PROYECTOS!$V$1:$W$32,2,0)</f>
        <v>050061</v>
      </c>
      <c r="I405" s="50">
        <v>0</v>
      </c>
      <c r="J405" s="51" t="s">
        <v>42</v>
      </c>
      <c r="K405" s="47" t="str">
        <f t="shared" ca="1" si="207"/>
        <v>CONTRATADO</v>
      </c>
      <c r="L405" s="47" t="s">
        <v>94</v>
      </c>
      <c r="M405" s="47" t="s">
        <v>222</v>
      </c>
      <c r="N405" s="51" t="s">
        <v>223</v>
      </c>
      <c r="O405" s="51" t="e">
        <f>VLOOKUP(N405,[2]!RUBROS[#All],3,0)</f>
        <v>#REF!</v>
      </c>
      <c r="P405" s="53" t="e">
        <f>VLOOKUP(N405,[2]!RUBROS[#All],2,0)</f>
        <v>#REF!</v>
      </c>
      <c r="Q405" s="47" t="str">
        <f t="shared" si="214"/>
        <v>20</v>
      </c>
      <c r="R405" s="47" t="str">
        <f t="shared" si="209"/>
        <v>0-205400</v>
      </c>
      <c r="S405" s="54">
        <v>205</v>
      </c>
      <c r="T405" s="59" t="s">
        <v>120</v>
      </c>
      <c r="U405" s="326" t="e">
        <f ca="1">_xlfn.XLOOKUP(PAA_4[[#This Row],[ITEM]],[2]Contrato!A:A,[2]Contrato!Q:Q,"",0)</f>
        <v>#NAME?</v>
      </c>
      <c r="V405" s="47" t="s">
        <v>95</v>
      </c>
      <c r="W405" s="47" t="s">
        <v>119</v>
      </c>
      <c r="X405" s="47" t="s">
        <v>154</v>
      </c>
      <c r="Y405" s="55" t="e">
        <f ca="1">_xlfn.XLOOKUP(PAA_4[[#This Row],[ITEM]],[2]Contrato!A:A,[2]Contrato!B:B,"",0)</f>
        <v>#NAME?</v>
      </c>
      <c r="Z405" s="47" t="e">
        <f ca="1">_xlfn.XLOOKUP(PAA_4[[#This Row],[ITEM]],[2]Contrato!A:A,[2]Contrato!G:G,"",0)</f>
        <v>#NAME?</v>
      </c>
      <c r="AA405" s="47" t="e">
        <f ca="1">_xlfn.XLOOKUP(PAA_4[[#This Row],[ITEM]],[2]Contrato!A:A,[2]Contrato!T:T,"",0)</f>
        <v>#NAME?</v>
      </c>
      <c r="AB405" s="55" t="e">
        <f ca="1">+MAX(PAA_4[[#This Row],[Comprometido Contrato]],PAA_4[[#This Row],[Comprometido Bolsa]])</f>
        <v>#NAME?</v>
      </c>
      <c r="AC405" s="55" t="str">
        <f t="shared" ca="1" si="210"/>
        <v/>
      </c>
      <c r="AD405" s="55" t="e">
        <f ca="1">IF(PAA_4[[#This Row],[ESTADO (formulado)]]="NO CONTRATADO",0,MAX(PAA_4[[#This Row],[Pago por Contrato]],PAA_4[[#This Row],[Pago por bolsa]]))</f>
        <v>#NAME?</v>
      </c>
      <c r="AE405" s="55" t="str">
        <f t="shared" ca="1" si="211"/>
        <v/>
      </c>
      <c r="AF405" s="47" t="e">
        <f t="shared" ca="1" si="212"/>
        <v>#NAME?</v>
      </c>
      <c r="AG405" s="47">
        <f t="shared" si="213"/>
        <v>41080111</v>
      </c>
      <c r="AH405" s="54">
        <f>IF(Q405="22",IF(ISNUMBER(SEARCH("econ",PAA_4[[#This Row],[Actividad3]])),"Económico",IF(ISNUMBER(SEARCH("alim",PAA_4[[#This Row],[Actividad3]])),"Alimentación",IF(ISNUMBER(SEARCH("educ",PAA_4[[#This Row],[Actividad3]])),"Educativo","Técnico"))),0)</f>
        <v>0</v>
      </c>
      <c r="AI405" s="47" t="e" cm="1">
        <f t="array" aca="1" ref="AI405" ca="1">_xlfn.XLOOKUP(PAA_4[[#This Row],[RCP-RUBRO]],[2]!COMPROMISOS_2024[[#All],[concatenado]],[2]!COMPROMISOS_2024[[#All],[Total pagado]],"",0)</f>
        <v>#NAME?</v>
      </c>
      <c r="AJ405" s="56">
        <f>IF(PAA_4[[#This Row],[BOLSA]]=0,0,SUMIFS([2]!COMPROMISOS_2024[[#All],[Total pagado]],[2]!COMPROMISOS_2024[[#All],[Bolsa]],PAA_4[[#This Row],[BOLSA]],[2]!COMPROMISOS_2024[[#All],[rubro]],PAA_4[[#This Row],[RCP-RUBRO]]))</f>
        <v>0</v>
      </c>
      <c r="AK405" s="47" t="e" cm="1">
        <f t="array" aca="1" ref="AK405" ca="1">_xlfn.XLOOKUP(PAA_4[[#This Row],[RCP-RUBRO]],[2]!COMPROMISOS_2024[[#All],[concatenado]],[2]!COMPROMISOS_2024[[#All],[Total Comprometido]],"",0)</f>
        <v>#NAME?</v>
      </c>
      <c r="AL405" s="47">
        <f>IF(PAA_4[[#This Row],[BOLSA]]=0,0,SUMIFS([2]!COMPROMISOS_2024[[#All],[Total Comprometido]],[2]!COMPROMISOS_2024[[#All],[Bolsa]],PAA_4[[#This Row],[BOLSA]],[2]!COMPROMISOS_2024[[#All],[concatenado]],PAA_4[[#This Row],[RCP-RUBRO]]))</f>
        <v>0</v>
      </c>
    </row>
    <row r="406" spans="1:38" s="19" customFormat="1" ht="31.5" customHeight="1">
      <c r="A406" s="47">
        <v>96</v>
      </c>
      <c r="B406" s="51">
        <v>90141502</v>
      </c>
      <c r="C406" s="47" t="str">
        <f>VLOOKUP(PAA_4[[#This Row],[PROYECTO (formulado)2]],[2]PROYECTOS!$G$1:$L$32,6,0)</f>
        <v>SUBGERENCIA DE ALTOS LOGROS Y DEPORTE ASOCIADO</v>
      </c>
      <c r="D406" s="47" t="str">
        <f>+IF(PAA_4[[#This Row],[UNIDAD DE CONTRATACION (formulado)]]="Subgerencia Administrativa y Financiera","FUNCIONAMIENTO","INVERSIÓN")</f>
        <v>INVERSIÓN</v>
      </c>
      <c r="E406" s="48" t="str">
        <f>VLOOKUP(Q406,[2]PROYECTOS!$G$1:$K$32,5,0)</f>
        <v>FORTALECIMIENTO_DEL_PROGRAMA_DE_ALTOS_LOGROS_Y_LIDERAZGO_DEPORTIVO_EN_EL_DEPARTAMENTO_DE_ANTIOQUIA</v>
      </c>
      <c r="F406" s="48">
        <f>VLOOKUP(E406,[2]PROYECTOS!$K$1:$M$32,3,0)</f>
        <v>2020003050021</v>
      </c>
      <c r="G406" s="49" t="s">
        <v>224</v>
      </c>
      <c r="H406" s="49" t="str">
        <f>VLOOKUP(Q406,[2]PROYECTOS!$V$1:$W$32,2,0)</f>
        <v>050061</v>
      </c>
      <c r="I406" s="50">
        <v>0</v>
      </c>
      <c r="J406" s="51" t="s">
        <v>42</v>
      </c>
      <c r="K406" s="47" t="str">
        <f t="shared" ca="1" si="207"/>
        <v>CONTRATADO</v>
      </c>
      <c r="L406" s="47" t="s">
        <v>94</v>
      </c>
      <c r="M406" s="47" t="s">
        <v>222</v>
      </c>
      <c r="N406" s="51" t="s">
        <v>223</v>
      </c>
      <c r="O406" s="51" t="e">
        <f>VLOOKUP(N406,[2]!RUBROS[#All],3,0)</f>
        <v>#REF!</v>
      </c>
      <c r="P406" s="53" t="e">
        <f>VLOOKUP(N406,[2]!RUBROS[#All],2,0)</f>
        <v>#REF!</v>
      </c>
      <c r="Q406" s="47" t="str">
        <f t="shared" si="214"/>
        <v>20</v>
      </c>
      <c r="R406" s="47" t="str">
        <f t="shared" si="209"/>
        <v>0-205400</v>
      </c>
      <c r="S406" s="54">
        <v>6.5</v>
      </c>
      <c r="T406" s="59" t="s">
        <v>46</v>
      </c>
      <c r="U406" s="326" t="e">
        <f ca="1">_xlfn.XLOOKUP(PAA_4[[#This Row],[ITEM]],[2]Contrato!A:A,[2]Contrato!Q:Q,"",0)</f>
        <v>#NAME?</v>
      </c>
      <c r="V406" s="47" t="s">
        <v>95</v>
      </c>
      <c r="W406" s="47" t="s">
        <v>154</v>
      </c>
      <c r="X406" s="47" t="s">
        <v>154</v>
      </c>
      <c r="Y406" s="55" t="e">
        <f ca="1">_xlfn.XLOOKUP(PAA_4[[#This Row],[ITEM]],[2]Contrato!A:A,[2]Contrato!B:B,"",0)</f>
        <v>#NAME?</v>
      </c>
      <c r="Z406" s="47" t="e">
        <f ca="1">_xlfn.XLOOKUP(PAA_4[[#This Row],[ITEM]],[2]Contrato!A:A,[2]Contrato!G:G,"",0)</f>
        <v>#NAME?</v>
      </c>
      <c r="AA406" s="47" t="e">
        <f ca="1">_xlfn.XLOOKUP(PAA_4[[#This Row],[ITEM]],[2]Contrato!A:A,[2]Contrato!T:T,"",0)</f>
        <v>#NAME?</v>
      </c>
      <c r="AB406" s="55" t="e">
        <f ca="1">+MAX(PAA_4[[#This Row],[Comprometido Contrato]],PAA_4[[#This Row],[Comprometido Bolsa]])</f>
        <v>#NAME?</v>
      </c>
      <c r="AC406" s="55" t="str">
        <f t="shared" ca="1" si="210"/>
        <v/>
      </c>
      <c r="AD406" s="55" t="e">
        <f ca="1">IF(PAA_4[[#This Row],[ESTADO (formulado)]]="NO CONTRATADO",0,MAX(PAA_4[[#This Row],[Pago por Contrato]],PAA_4[[#This Row],[Pago por bolsa]]))</f>
        <v>#NAME?</v>
      </c>
      <c r="AE406" s="55" t="str">
        <f t="shared" ca="1" si="211"/>
        <v/>
      </c>
      <c r="AF406" s="47" t="e">
        <f t="shared" ca="1" si="212"/>
        <v>#NAME?</v>
      </c>
      <c r="AG406" s="47">
        <f t="shared" si="213"/>
        <v>41080111</v>
      </c>
      <c r="AH406" s="54">
        <f>IF(Q406="22",IF(ISNUMBER(SEARCH("econ",PAA_4[[#This Row],[Actividad3]])),"Económico",IF(ISNUMBER(SEARCH("alim",PAA_4[[#This Row],[Actividad3]])),"Alimentación",IF(ISNUMBER(SEARCH("educ",PAA_4[[#This Row],[Actividad3]])),"Educativo","Técnico"))),0)</f>
        <v>0</v>
      </c>
      <c r="AI406" s="47" t="e" cm="1">
        <f t="array" aca="1" ref="AI406" ca="1">_xlfn.XLOOKUP(PAA_4[[#This Row],[RCP-RUBRO]],[2]!COMPROMISOS_2024[[#All],[concatenado]],[2]!COMPROMISOS_2024[[#All],[Total pagado]],"",0)</f>
        <v>#NAME?</v>
      </c>
      <c r="AJ406" s="56">
        <f>IF(PAA_4[[#This Row],[BOLSA]]=0,0,SUMIFS([2]!COMPROMISOS_2024[[#All],[Total pagado]],[2]!COMPROMISOS_2024[[#All],[Bolsa]],PAA_4[[#This Row],[BOLSA]],[2]!COMPROMISOS_2024[[#All],[rubro]],PAA_4[[#This Row],[RCP-RUBRO]]))</f>
        <v>0</v>
      </c>
      <c r="AK406" s="47" t="e" cm="1">
        <f t="array" aca="1" ref="AK406" ca="1">_xlfn.XLOOKUP(PAA_4[[#This Row],[RCP-RUBRO]],[2]!COMPROMISOS_2024[[#All],[concatenado]],[2]!COMPROMISOS_2024[[#All],[Total Comprometido]],"",0)</f>
        <v>#NAME?</v>
      </c>
      <c r="AL406" s="47">
        <f>IF(PAA_4[[#This Row],[BOLSA]]=0,0,SUMIFS([2]!COMPROMISOS_2024[[#All],[Total Comprometido]],[2]!COMPROMISOS_2024[[#All],[Bolsa]],PAA_4[[#This Row],[BOLSA]],[2]!COMPROMISOS_2024[[#All],[concatenado]],PAA_4[[#This Row],[RCP-RUBRO]]))</f>
        <v>0</v>
      </c>
    </row>
    <row r="407" spans="1:38" s="19" customFormat="1" ht="31.5" customHeight="1">
      <c r="A407" s="47">
        <v>97</v>
      </c>
      <c r="B407" s="51">
        <v>90141502</v>
      </c>
      <c r="C407" s="47" t="str">
        <f>VLOOKUP(PAA_4[[#This Row],[PROYECTO (formulado)2]],[2]PROYECTOS!$G$1:$L$32,6,0)</f>
        <v>SUBGERENCIA DE ALTOS LOGROS Y DEPORTE ASOCIADO</v>
      </c>
      <c r="D407" s="47" t="str">
        <f>+IF(PAA_4[[#This Row],[UNIDAD DE CONTRATACION (formulado)]]="Subgerencia Administrativa y Financiera","FUNCIONAMIENTO","INVERSIÓN")</f>
        <v>INVERSIÓN</v>
      </c>
      <c r="E407" s="48" t="str">
        <f>VLOOKUP(Q407,[2]PROYECTOS!$G$1:$K$32,5,0)</f>
        <v>FORTALECIMIENTO_DEL_PROGRAMA_DE_ALTOS_LOGROS_Y_LIDERAZGO_DEPORTIVO_EN_EL_DEPARTAMENTO_DE_ANTIOQUIA</v>
      </c>
      <c r="F407" s="48">
        <f>VLOOKUP(E407,[2]PROYECTOS!$K$1:$M$32,3,0)</f>
        <v>2020003050021</v>
      </c>
      <c r="G407" s="49" t="s">
        <v>224</v>
      </c>
      <c r="H407" s="49" t="str">
        <f>VLOOKUP(Q407,[2]PROYECTOS!$V$1:$W$32,2,0)</f>
        <v>050061</v>
      </c>
      <c r="I407" s="50">
        <v>0</v>
      </c>
      <c r="J407" s="51" t="s">
        <v>42</v>
      </c>
      <c r="K407" s="47" t="str">
        <f t="shared" ca="1" si="207"/>
        <v>CONTRATADO</v>
      </c>
      <c r="L407" s="47" t="s">
        <v>94</v>
      </c>
      <c r="M407" s="47" t="s">
        <v>222</v>
      </c>
      <c r="N407" s="51" t="s">
        <v>223</v>
      </c>
      <c r="O407" s="51" t="e">
        <f>VLOOKUP(N407,[2]!RUBROS[#All],3,0)</f>
        <v>#REF!</v>
      </c>
      <c r="P407" s="53" t="e">
        <f>VLOOKUP(N407,[2]!RUBROS[#All],2,0)</f>
        <v>#REF!</v>
      </c>
      <c r="Q407" s="47" t="str">
        <f t="shared" si="214"/>
        <v>20</v>
      </c>
      <c r="R407" s="47" t="str">
        <f t="shared" si="209"/>
        <v>0-205400</v>
      </c>
      <c r="S407" s="54">
        <v>6.5</v>
      </c>
      <c r="T407" s="59" t="s">
        <v>46</v>
      </c>
      <c r="U407" s="326" t="e">
        <f ca="1">_xlfn.XLOOKUP(PAA_4[[#This Row],[ITEM]],[2]Contrato!A:A,[2]Contrato!Q:Q,"",0)</f>
        <v>#NAME?</v>
      </c>
      <c r="V407" s="47" t="s">
        <v>95</v>
      </c>
      <c r="W407" s="47" t="s">
        <v>154</v>
      </c>
      <c r="X407" s="47" t="s">
        <v>154</v>
      </c>
      <c r="Y407" s="55" t="e">
        <f ca="1">_xlfn.XLOOKUP(PAA_4[[#This Row],[ITEM]],[2]Contrato!A:A,[2]Contrato!B:B,"",0)</f>
        <v>#NAME?</v>
      </c>
      <c r="Z407" s="47" t="e">
        <f ca="1">_xlfn.XLOOKUP(PAA_4[[#This Row],[ITEM]],[2]Contrato!A:A,[2]Contrato!G:G,"",0)</f>
        <v>#NAME?</v>
      </c>
      <c r="AA407" s="47" t="e">
        <f ca="1">_xlfn.XLOOKUP(PAA_4[[#This Row],[ITEM]],[2]Contrato!A:A,[2]Contrato!T:T,"",0)</f>
        <v>#NAME?</v>
      </c>
      <c r="AB407" s="55" t="e">
        <f ca="1">+MAX(PAA_4[[#This Row],[Comprometido Contrato]],PAA_4[[#This Row],[Comprometido Bolsa]])</f>
        <v>#NAME?</v>
      </c>
      <c r="AC407" s="55" t="str">
        <f t="shared" ca="1" si="210"/>
        <v/>
      </c>
      <c r="AD407" s="55" t="e">
        <f ca="1">IF(PAA_4[[#This Row],[ESTADO (formulado)]]="NO CONTRATADO",0,MAX(PAA_4[[#This Row],[Pago por Contrato]],PAA_4[[#This Row],[Pago por bolsa]]))</f>
        <v>#NAME?</v>
      </c>
      <c r="AE407" s="55" t="str">
        <f t="shared" ca="1" si="211"/>
        <v/>
      </c>
      <c r="AF407" s="47" t="e">
        <f t="shared" ca="1" si="212"/>
        <v>#NAME?</v>
      </c>
      <c r="AG407" s="47">
        <f t="shared" si="213"/>
        <v>41080111</v>
      </c>
      <c r="AH407" s="54">
        <f>IF(Q407="22",IF(ISNUMBER(SEARCH("econ",PAA_4[[#This Row],[Actividad3]])),"Económico",IF(ISNUMBER(SEARCH("alim",PAA_4[[#This Row],[Actividad3]])),"Alimentación",IF(ISNUMBER(SEARCH("educ",PAA_4[[#This Row],[Actividad3]])),"Educativo","Técnico"))),0)</f>
        <v>0</v>
      </c>
      <c r="AI407" s="47" t="e" cm="1">
        <f t="array" aca="1" ref="AI407" ca="1">_xlfn.XLOOKUP(PAA_4[[#This Row],[RCP-RUBRO]],[2]!COMPROMISOS_2024[[#All],[concatenado]],[2]!COMPROMISOS_2024[[#All],[Total pagado]],"",0)</f>
        <v>#NAME?</v>
      </c>
      <c r="AJ407" s="56">
        <f>IF(PAA_4[[#This Row],[BOLSA]]=0,0,SUMIFS([2]!COMPROMISOS_2024[[#All],[Total pagado]],[2]!COMPROMISOS_2024[[#All],[Bolsa]],PAA_4[[#This Row],[BOLSA]],[2]!COMPROMISOS_2024[[#All],[rubro]],PAA_4[[#This Row],[RCP-RUBRO]]))</f>
        <v>0</v>
      </c>
      <c r="AK407" s="47" t="e" cm="1">
        <f t="array" aca="1" ref="AK407" ca="1">_xlfn.XLOOKUP(PAA_4[[#This Row],[RCP-RUBRO]],[2]!COMPROMISOS_2024[[#All],[concatenado]],[2]!COMPROMISOS_2024[[#All],[Total Comprometido]],"",0)</f>
        <v>#NAME?</v>
      </c>
      <c r="AL407" s="47">
        <f>IF(PAA_4[[#This Row],[BOLSA]]=0,0,SUMIFS([2]!COMPROMISOS_2024[[#All],[Total Comprometido]],[2]!COMPROMISOS_2024[[#All],[Bolsa]],PAA_4[[#This Row],[BOLSA]],[2]!COMPROMISOS_2024[[#All],[concatenado]],PAA_4[[#This Row],[RCP-RUBRO]]))</f>
        <v>0</v>
      </c>
    </row>
    <row r="408" spans="1:38" s="19" customFormat="1" ht="31.5" customHeight="1">
      <c r="A408" s="47">
        <v>98</v>
      </c>
      <c r="B408" s="51">
        <v>90141502</v>
      </c>
      <c r="C408" s="47" t="str">
        <f>VLOOKUP(PAA_4[[#This Row],[PROYECTO (formulado)2]],[2]PROYECTOS!$G$1:$L$32,6,0)</f>
        <v>SUBGERENCIA DE ALTOS LOGROS Y DEPORTE ASOCIADO</v>
      </c>
      <c r="D408" s="47" t="str">
        <f>+IF(PAA_4[[#This Row],[UNIDAD DE CONTRATACION (formulado)]]="Subgerencia Administrativa y Financiera","FUNCIONAMIENTO","INVERSIÓN")</f>
        <v>INVERSIÓN</v>
      </c>
      <c r="E408" s="48" t="str">
        <f>VLOOKUP(Q408,[2]PROYECTOS!$G$1:$K$32,5,0)</f>
        <v>FORTALECIMIENTO_DEL_PROGRAMA_DE_ALTOS_LOGROS_Y_LIDERAZGO_DEPORTIVO_EN_EL_DEPARTAMENTO_DE_ANTIOQUIA</v>
      </c>
      <c r="F408" s="48">
        <f>VLOOKUP(E408,[2]PROYECTOS!$K$1:$M$32,3,0)</f>
        <v>2020003050021</v>
      </c>
      <c r="G408" s="49" t="s">
        <v>224</v>
      </c>
      <c r="H408" s="49" t="str">
        <f>VLOOKUP(Q408,[2]PROYECTOS!$V$1:$W$32,2,0)</f>
        <v>050061</v>
      </c>
      <c r="I408" s="50">
        <v>100000000</v>
      </c>
      <c r="J408" s="51" t="s">
        <v>1511</v>
      </c>
      <c r="K408" s="47" t="str">
        <f t="shared" ca="1" si="207"/>
        <v>CONTRATADO</v>
      </c>
      <c r="L408" s="47" t="s">
        <v>94</v>
      </c>
      <c r="M408" s="47" t="s">
        <v>222</v>
      </c>
      <c r="N408" s="51" t="s">
        <v>223</v>
      </c>
      <c r="O408" s="51" t="e">
        <f>VLOOKUP(N408,[2]!RUBROS[#All],3,0)</f>
        <v>#REF!</v>
      </c>
      <c r="P408" s="53" t="e">
        <f>VLOOKUP(N408,[2]!RUBROS[#All],2,0)</f>
        <v>#REF!</v>
      </c>
      <c r="Q408" s="47" t="str">
        <f t="shared" si="214"/>
        <v>20</v>
      </c>
      <c r="R408" s="47" t="str">
        <f t="shared" si="209"/>
        <v>0-205400</v>
      </c>
      <c r="S408" s="54">
        <v>225</v>
      </c>
      <c r="T408" s="59" t="s">
        <v>46</v>
      </c>
      <c r="U408" s="326" t="e">
        <f ca="1">_xlfn.XLOOKUP(PAA_4[[#This Row],[ITEM]],[2]Contrato!A:A,[2]Contrato!Q:Q,"",0)</f>
        <v>#NAME?</v>
      </c>
      <c r="V408" s="47" t="s">
        <v>95</v>
      </c>
      <c r="W408" s="47" t="s">
        <v>119</v>
      </c>
      <c r="X408" s="47" t="s">
        <v>119</v>
      </c>
      <c r="Y408" s="55" t="e">
        <f ca="1">_xlfn.XLOOKUP(PAA_4[[#This Row],[ITEM]],[2]Contrato!A:A,[2]Contrato!B:B,"",0)</f>
        <v>#NAME?</v>
      </c>
      <c r="Z408" s="47" t="e">
        <f ca="1">_xlfn.XLOOKUP(PAA_4[[#This Row],[ITEM]],[2]Contrato!A:A,[2]Contrato!G:G,"",0)</f>
        <v>#NAME?</v>
      </c>
      <c r="AA408" s="47" t="e">
        <f ca="1">_xlfn.XLOOKUP(PAA_4[[#This Row],[ITEM]],[2]Contrato!A:A,[2]Contrato!T:T,"",0)</f>
        <v>#NAME?</v>
      </c>
      <c r="AB408" s="55" t="e">
        <f ca="1">+MAX(PAA_4[[#This Row],[Comprometido Contrato]],PAA_4[[#This Row],[Comprometido Bolsa]])</f>
        <v>#NAME?</v>
      </c>
      <c r="AC408" s="55" t="str">
        <f t="shared" ca="1" si="210"/>
        <v/>
      </c>
      <c r="AD408" s="55" t="e">
        <f ca="1">IF(PAA_4[[#This Row],[ESTADO (formulado)]]="NO CONTRATADO",0,MAX(PAA_4[[#This Row],[Pago por Contrato]],PAA_4[[#This Row],[Pago por bolsa]]))</f>
        <v>#NAME?</v>
      </c>
      <c r="AE408" s="55" t="str">
        <f t="shared" ca="1" si="211"/>
        <v/>
      </c>
      <c r="AF408" s="47" t="e">
        <f t="shared" ca="1" si="212"/>
        <v>#NAME?</v>
      </c>
      <c r="AG408" s="47">
        <f t="shared" si="213"/>
        <v>41080111</v>
      </c>
      <c r="AH408" s="54">
        <f>IF(Q408="22",IF(ISNUMBER(SEARCH("econ",PAA_4[[#This Row],[Actividad3]])),"Económico",IF(ISNUMBER(SEARCH("alim",PAA_4[[#This Row],[Actividad3]])),"Alimentación",IF(ISNUMBER(SEARCH("educ",PAA_4[[#This Row],[Actividad3]])),"Educativo","Técnico"))),0)</f>
        <v>0</v>
      </c>
      <c r="AI408" s="47" t="e" cm="1">
        <f t="array" aca="1" ref="AI408" ca="1">_xlfn.XLOOKUP(PAA_4[[#This Row],[RCP-RUBRO]],[2]!COMPROMISOS_2024[[#All],[concatenado]],[2]!COMPROMISOS_2024[[#All],[Total pagado]],"",0)</f>
        <v>#NAME?</v>
      </c>
      <c r="AJ408" s="56">
        <f>IF(PAA_4[[#This Row],[BOLSA]]=0,0,SUMIFS([2]!COMPROMISOS_2024[[#All],[Total pagado]],[2]!COMPROMISOS_2024[[#All],[Bolsa]],PAA_4[[#This Row],[BOLSA]],[2]!COMPROMISOS_2024[[#All],[rubro]],PAA_4[[#This Row],[RCP-RUBRO]]))</f>
        <v>0</v>
      </c>
      <c r="AK408" s="47" t="e" cm="1">
        <f t="array" aca="1" ref="AK408" ca="1">_xlfn.XLOOKUP(PAA_4[[#This Row],[RCP-RUBRO]],[2]!COMPROMISOS_2024[[#All],[concatenado]],[2]!COMPROMISOS_2024[[#All],[Total Comprometido]],"",0)</f>
        <v>#NAME?</v>
      </c>
      <c r="AL408" s="47">
        <f>IF(PAA_4[[#This Row],[BOLSA]]=0,0,SUMIFS([2]!COMPROMISOS_2024[[#All],[Total Comprometido]],[2]!COMPROMISOS_2024[[#All],[Bolsa]],PAA_4[[#This Row],[BOLSA]],[2]!COMPROMISOS_2024[[#All],[concatenado]],PAA_4[[#This Row],[RCP-RUBRO]]))</f>
        <v>0</v>
      </c>
    </row>
    <row r="409" spans="1:38" s="19" customFormat="1" ht="31.5" customHeight="1">
      <c r="A409" s="47">
        <v>99</v>
      </c>
      <c r="B409" s="51">
        <v>90141502</v>
      </c>
      <c r="C409" s="47" t="str">
        <f>VLOOKUP(PAA_4[[#This Row],[PROYECTO (formulado)2]],[2]PROYECTOS!$G$1:$L$32,6,0)</f>
        <v>SUBGERENCIA DE ALTOS LOGROS Y DEPORTE ASOCIADO</v>
      </c>
      <c r="D409" s="47" t="str">
        <f>+IF(PAA_4[[#This Row],[UNIDAD DE CONTRATACION (formulado)]]="Subgerencia Administrativa y Financiera","FUNCIONAMIENTO","INVERSIÓN")</f>
        <v>INVERSIÓN</v>
      </c>
      <c r="E409" s="48" t="str">
        <f>VLOOKUP(Q409,[2]PROYECTOS!$G$1:$K$32,5,0)</f>
        <v>FORTALECIMIENTO_DEL_PROGRAMA_DE_ALTOS_LOGROS_Y_LIDERAZGO_DEPORTIVO_EN_EL_DEPARTAMENTO_DE_ANTIOQUIA</v>
      </c>
      <c r="F409" s="48">
        <f>VLOOKUP(E409,[2]PROYECTOS!$K$1:$M$32,3,0)</f>
        <v>2020003050021</v>
      </c>
      <c r="G409" s="49" t="s">
        <v>224</v>
      </c>
      <c r="H409" s="49" t="str">
        <f>VLOOKUP(Q409,[2]PROYECTOS!$V$1:$W$32,2,0)</f>
        <v>050061</v>
      </c>
      <c r="I409" s="50">
        <v>0</v>
      </c>
      <c r="J409" s="51" t="s">
        <v>42</v>
      </c>
      <c r="K409" s="47" t="str">
        <f t="shared" ca="1" si="207"/>
        <v>CONTRATADO</v>
      </c>
      <c r="L409" s="47" t="s">
        <v>94</v>
      </c>
      <c r="M409" s="47" t="s">
        <v>222</v>
      </c>
      <c r="N409" s="52" t="s">
        <v>223</v>
      </c>
      <c r="O409" s="51" t="e">
        <f>VLOOKUP(N409,[2]!RUBROS[#All],3,0)</f>
        <v>#REF!</v>
      </c>
      <c r="P409" s="53" t="e">
        <f>VLOOKUP(N409,[2]!RUBROS[#All],2,0)</f>
        <v>#REF!</v>
      </c>
      <c r="Q409" s="47" t="str">
        <f t="shared" si="214"/>
        <v>20</v>
      </c>
      <c r="R409" s="47" t="str">
        <f t="shared" si="209"/>
        <v>0-205400</v>
      </c>
      <c r="S409" s="54">
        <v>6.5</v>
      </c>
      <c r="T409" s="59" t="s">
        <v>46</v>
      </c>
      <c r="U409" s="326" t="e">
        <f ca="1">_xlfn.XLOOKUP(PAA_4[[#This Row],[ITEM]],[2]Contrato!A:A,[2]Contrato!Q:Q,"",0)</f>
        <v>#NAME?</v>
      </c>
      <c r="V409" s="47" t="s">
        <v>95</v>
      </c>
      <c r="W409" s="47" t="s">
        <v>154</v>
      </c>
      <c r="X409" s="47" t="s">
        <v>154</v>
      </c>
      <c r="Y409" s="55" t="e">
        <f ca="1">_xlfn.XLOOKUP(PAA_4[[#This Row],[ITEM]],[2]Contrato!A:A,[2]Contrato!B:B,"",0)</f>
        <v>#NAME?</v>
      </c>
      <c r="Z409" s="47" t="e">
        <f ca="1">_xlfn.XLOOKUP(PAA_4[[#This Row],[ITEM]],[2]Contrato!A:A,[2]Contrato!G:G,"",0)</f>
        <v>#NAME?</v>
      </c>
      <c r="AA409" s="47" t="e">
        <f ca="1">_xlfn.XLOOKUP(PAA_4[[#This Row],[ITEM]],[2]Contrato!A:A,[2]Contrato!T:T,"",0)</f>
        <v>#NAME?</v>
      </c>
      <c r="AB409" s="55" t="e">
        <f ca="1">+MAX(PAA_4[[#This Row],[Comprometido Contrato]],PAA_4[[#This Row],[Comprometido Bolsa]])</f>
        <v>#NAME?</v>
      </c>
      <c r="AC409" s="55" t="str">
        <f t="shared" ca="1" si="210"/>
        <v/>
      </c>
      <c r="AD409" s="55" t="e">
        <f ca="1">IF(PAA_4[[#This Row],[ESTADO (formulado)]]="NO CONTRATADO",0,MAX(PAA_4[[#This Row],[Pago por Contrato]],PAA_4[[#This Row],[Pago por bolsa]]))</f>
        <v>#NAME?</v>
      </c>
      <c r="AE409" s="55" t="str">
        <f t="shared" ca="1" si="211"/>
        <v/>
      </c>
      <c r="AF409" s="47" t="e">
        <f t="shared" ca="1" si="212"/>
        <v>#NAME?</v>
      </c>
      <c r="AG409" s="47">
        <f t="shared" si="213"/>
        <v>41080111</v>
      </c>
      <c r="AH409" s="54">
        <f>IF(Q409="22",IF(ISNUMBER(SEARCH("econ",PAA_4[[#This Row],[Actividad3]])),"Económico",IF(ISNUMBER(SEARCH("alim",PAA_4[[#This Row],[Actividad3]])),"Alimentación",IF(ISNUMBER(SEARCH("educ",PAA_4[[#This Row],[Actividad3]])),"Educativo","Técnico"))),0)</f>
        <v>0</v>
      </c>
      <c r="AI409" s="47" t="e" cm="1">
        <f t="array" aca="1" ref="AI409" ca="1">_xlfn.XLOOKUP(PAA_4[[#This Row],[RCP-RUBRO]],[2]!COMPROMISOS_2024[[#All],[concatenado]],[2]!COMPROMISOS_2024[[#All],[Total pagado]],"",0)</f>
        <v>#NAME?</v>
      </c>
      <c r="AJ409" s="56">
        <f>IF(PAA_4[[#This Row],[BOLSA]]=0,0,SUMIFS([2]!COMPROMISOS_2024[[#All],[Total pagado]],[2]!COMPROMISOS_2024[[#All],[Bolsa]],PAA_4[[#This Row],[BOLSA]],[2]!COMPROMISOS_2024[[#All],[rubro]],PAA_4[[#This Row],[RCP-RUBRO]]))</f>
        <v>0</v>
      </c>
      <c r="AK409" s="47" t="e" cm="1">
        <f t="array" aca="1" ref="AK409" ca="1">_xlfn.XLOOKUP(PAA_4[[#This Row],[RCP-RUBRO]],[2]!COMPROMISOS_2024[[#All],[concatenado]],[2]!COMPROMISOS_2024[[#All],[Total Comprometido]],"",0)</f>
        <v>#NAME?</v>
      </c>
      <c r="AL409" s="47">
        <f>IF(PAA_4[[#This Row],[BOLSA]]=0,0,SUMIFS([2]!COMPROMISOS_2024[[#All],[Total Comprometido]],[2]!COMPROMISOS_2024[[#All],[Bolsa]],PAA_4[[#This Row],[BOLSA]],[2]!COMPROMISOS_2024[[#All],[concatenado]],PAA_4[[#This Row],[RCP-RUBRO]]))</f>
        <v>0</v>
      </c>
    </row>
    <row r="410" spans="1:38" s="19" customFormat="1" ht="31.5" customHeight="1">
      <c r="A410" s="47">
        <v>100</v>
      </c>
      <c r="B410" s="47">
        <v>90141502</v>
      </c>
      <c r="C410" s="47" t="str">
        <f>VLOOKUP(PAA_4[[#This Row],[PROYECTO (formulado)2]],[2]PROYECTOS!$G$1:$L$32,6,0)</f>
        <v>SUBGERENCIA DE ALTOS LOGROS Y DEPORTE ASOCIADO</v>
      </c>
      <c r="D410" s="47" t="str">
        <f>+IF(PAA_4[[#This Row],[UNIDAD DE CONTRATACION (formulado)]]="Subgerencia Administrativa y Financiera","FUNCIONAMIENTO","INVERSIÓN")</f>
        <v>INVERSIÓN</v>
      </c>
      <c r="E410" s="48" t="str">
        <f>VLOOKUP(Q410,[2]PROYECTOS!$G$1:$K$32,5,0)</f>
        <v>FORTALECIMIENTO_DEL_PROGRAMA_DE_ALTOS_LOGROS_Y_LIDERAZGO_DEPORTIVO_EN_EL_DEPARTAMENTO_DE_ANTIOQUIA</v>
      </c>
      <c r="F410" s="48">
        <f>VLOOKUP(E410,[2]PROYECTOS!$K$1:$M$32,3,0)</f>
        <v>2020003050021</v>
      </c>
      <c r="G410" s="49" t="s">
        <v>224</v>
      </c>
      <c r="H410" s="49" t="str">
        <f>VLOOKUP(Q410,[2]PROYECTOS!$V$1:$W$32,2,0)</f>
        <v>050061</v>
      </c>
      <c r="I410" s="50">
        <v>0</v>
      </c>
      <c r="J410" s="51" t="s">
        <v>42</v>
      </c>
      <c r="K410" s="47" t="str">
        <f t="shared" ca="1" si="207"/>
        <v>CONTRATADO</v>
      </c>
      <c r="L410" s="47" t="s">
        <v>94</v>
      </c>
      <c r="M410" s="47" t="s">
        <v>222</v>
      </c>
      <c r="N410" s="52" t="s">
        <v>223</v>
      </c>
      <c r="O410" s="51" t="e">
        <f>VLOOKUP(N410,[2]!RUBROS[#All],3,0)</f>
        <v>#REF!</v>
      </c>
      <c r="P410" s="53" t="e">
        <f>VLOOKUP(N410,[2]!RUBROS[#All],2,0)</f>
        <v>#REF!</v>
      </c>
      <c r="Q410" s="47" t="str">
        <f t="shared" si="214"/>
        <v>20</v>
      </c>
      <c r="R410" s="47" t="str">
        <f t="shared" si="209"/>
        <v>0-205400</v>
      </c>
      <c r="S410" s="54">
        <v>6.5</v>
      </c>
      <c r="T410" s="59" t="s">
        <v>46</v>
      </c>
      <c r="U410" s="326" t="e">
        <f ca="1">_xlfn.XLOOKUP(PAA_4[[#This Row],[ITEM]],[2]Contrato!A:A,[2]Contrato!Q:Q,"",0)</f>
        <v>#NAME?</v>
      </c>
      <c r="V410" s="47" t="s">
        <v>95</v>
      </c>
      <c r="W410" s="47" t="s">
        <v>154</v>
      </c>
      <c r="X410" s="47" t="s">
        <v>154</v>
      </c>
      <c r="Y410" s="55" t="e">
        <f ca="1">_xlfn.XLOOKUP(PAA_4[[#This Row],[ITEM]],[2]Contrato!A:A,[2]Contrato!B:B,"",0)</f>
        <v>#NAME?</v>
      </c>
      <c r="Z410" s="47" t="e">
        <f ca="1">_xlfn.XLOOKUP(PAA_4[[#This Row],[ITEM]],[2]Contrato!A:A,[2]Contrato!G:G,"",0)</f>
        <v>#NAME?</v>
      </c>
      <c r="AA410" s="47" t="e">
        <f ca="1">_xlfn.XLOOKUP(PAA_4[[#This Row],[ITEM]],[2]Contrato!A:A,[2]Contrato!T:T,"",0)</f>
        <v>#NAME?</v>
      </c>
      <c r="AB410" s="55" t="e">
        <f ca="1">+MAX(PAA_4[[#This Row],[Comprometido Contrato]],PAA_4[[#This Row],[Comprometido Bolsa]])</f>
        <v>#NAME?</v>
      </c>
      <c r="AC410" s="55" t="str">
        <f t="shared" ca="1" si="210"/>
        <v/>
      </c>
      <c r="AD410" s="55" t="e">
        <f ca="1">IF(PAA_4[[#This Row],[ESTADO (formulado)]]="NO CONTRATADO",0,MAX(PAA_4[[#This Row],[Pago por Contrato]],PAA_4[[#This Row],[Pago por bolsa]]))</f>
        <v>#NAME?</v>
      </c>
      <c r="AE410" s="55" t="str">
        <f t="shared" ca="1" si="211"/>
        <v/>
      </c>
      <c r="AF410" s="47" t="e">
        <f t="shared" ca="1" si="212"/>
        <v>#NAME?</v>
      </c>
      <c r="AG410" s="47">
        <f t="shared" si="213"/>
        <v>41080111</v>
      </c>
      <c r="AH410" s="54">
        <f>IF(Q410="22",IF(ISNUMBER(SEARCH("econ",PAA_4[[#This Row],[Actividad3]])),"Económico",IF(ISNUMBER(SEARCH("alim",PAA_4[[#This Row],[Actividad3]])),"Alimentación",IF(ISNUMBER(SEARCH("educ",PAA_4[[#This Row],[Actividad3]])),"Educativo","Técnico"))),0)</f>
        <v>0</v>
      </c>
      <c r="AI410" s="47" t="e" cm="1">
        <f t="array" aca="1" ref="AI410" ca="1">_xlfn.XLOOKUP(PAA_4[[#This Row],[RCP-RUBRO]],[2]!COMPROMISOS_2024[[#All],[concatenado]],[2]!COMPROMISOS_2024[[#All],[Total pagado]],"",0)</f>
        <v>#NAME?</v>
      </c>
      <c r="AJ410" s="56">
        <f>IF(PAA_4[[#This Row],[BOLSA]]=0,0,SUMIFS([2]!COMPROMISOS_2024[[#All],[Total pagado]],[2]!COMPROMISOS_2024[[#All],[Bolsa]],PAA_4[[#This Row],[BOLSA]],[2]!COMPROMISOS_2024[[#All],[rubro]],PAA_4[[#This Row],[RCP-RUBRO]]))</f>
        <v>0</v>
      </c>
      <c r="AK410" s="47" t="e" cm="1">
        <f t="array" aca="1" ref="AK410" ca="1">_xlfn.XLOOKUP(PAA_4[[#This Row],[RCP-RUBRO]],[2]!COMPROMISOS_2024[[#All],[concatenado]],[2]!COMPROMISOS_2024[[#All],[Total Comprometido]],"",0)</f>
        <v>#NAME?</v>
      </c>
      <c r="AL410" s="47">
        <f>IF(PAA_4[[#This Row],[BOLSA]]=0,0,SUMIFS([2]!COMPROMISOS_2024[[#All],[Total Comprometido]],[2]!COMPROMISOS_2024[[#All],[Bolsa]],PAA_4[[#This Row],[BOLSA]],[2]!COMPROMISOS_2024[[#All],[concatenado]],PAA_4[[#This Row],[RCP-RUBRO]]))</f>
        <v>0</v>
      </c>
    </row>
    <row r="411" spans="1:38" s="19" customFormat="1" ht="31.5" customHeight="1">
      <c r="A411" s="47">
        <v>101</v>
      </c>
      <c r="B411" s="51">
        <v>90141502</v>
      </c>
      <c r="C411" s="47" t="str">
        <f>VLOOKUP(PAA_4[[#This Row],[PROYECTO (formulado)2]],[2]PROYECTOS!$G$1:$L$32,6,0)</f>
        <v>SUBGERENCIA DE ALTOS LOGROS Y DEPORTE ASOCIADO</v>
      </c>
      <c r="D411" s="47" t="str">
        <f>+IF(PAA_4[[#This Row],[UNIDAD DE CONTRATACION (formulado)]]="Subgerencia Administrativa y Financiera","FUNCIONAMIENTO","INVERSIÓN")</f>
        <v>INVERSIÓN</v>
      </c>
      <c r="E411" s="48" t="str">
        <f>VLOOKUP(Q411,[2]PROYECTOS!$G$1:$K$32,5,0)</f>
        <v>FORTALECIMIENTO_DEL_PROGRAMA_DE_ALTOS_LOGROS_Y_LIDERAZGO_DEPORTIVO_EN_EL_DEPARTAMENTO_DE_ANTIOQUIA</v>
      </c>
      <c r="F411" s="48">
        <f>VLOOKUP(E411,[2]PROYECTOS!$K$1:$M$32,3,0)</f>
        <v>2020003050021</v>
      </c>
      <c r="G411" s="49" t="s">
        <v>224</v>
      </c>
      <c r="H411" s="49" t="str">
        <f>VLOOKUP(Q411,[2]PROYECTOS!$V$1:$W$32,2,0)</f>
        <v>050061</v>
      </c>
      <c r="I411" s="50">
        <v>0</v>
      </c>
      <c r="J411" s="51" t="s">
        <v>42</v>
      </c>
      <c r="K411" s="47" t="str">
        <f t="shared" ca="1" si="207"/>
        <v>CONTRATADO</v>
      </c>
      <c r="L411" s="47" t="s">
        <v>94</v>
      </c>
      <c r="M411" s="47" t="s">
        <v>222</v>
      </c>
      <c r="N411" s="52" t="s">
        <v>223</v>
      </c>
      <c r="O411" s="51" t="e">
        <f>VLOOKUP(N411,[2]!RUBROS[#All],3,0)</f>
        <v>#REF!</v>
      </c>
      <c r="P411" s="53" t="e">
        <f>VLOOKUP(N411,[2]!RUBROS[#All],2,0)</f>
        <v>#REF!</v>
      </c>
      <c r="Q411" s="47" t="str">
        <f t="shared" si="214"/>
        <v>20</v>
      </c>
      <c r="R411" s="47" t="str">
        <f t="shared" si="209"/>
        <v>0-205400</v>
      </c>
      <c r="S411" s="54">
        <v>6.5</v>
      </c>
      <c r="T411" s="59" t="s">
        <v>46</v>
      </c>
      <c r="U411" s="326" t="e">
        <f ca="1">_xlfn.XLOOKUP(PAA_4[[#This Row],[ITEM]],[2]Contrato!A:A,[2]Contrato!Q:Q,"",0)</f>
        <v>#NAME?</v>
      </c>
      <c r="V411" s="47" t="s">
        <v>95</v>
      </c>
      <c r="W411" s="47" t="s">
        <v>154</v>
      </c>
      <c r="X411" s="47" t="s">
        <v>154</v>
      </c>
      <c r="Y411" s="55" t="e">
        <f ca="1">_xlfn.XLOOKUP(PAA_4[[#This Row],[ITEM]],[2]Contrato!A:A,[2]Contrato!B:B,"",0)</f>
        <v>#NAME?</v>
      </c>
      <c r="Z411" s="47" t="e">
        <f ca="1">_xlfn.XLOOKUP(PAA_4[[#This Row],[ITEM]],[2]Contrato!A:A,[2]Contrato!G:G,"",0)</f>
        <v>#NAME?</v>
      </c>
      <c r="AA411" s="47" t="e">
        <f ca="1">_xlfn.XLOOKUP(PAA_4[[#This Row],[ITEM]],[2]Contrato!A:A,[2]Contrato!T:T,"",0)</f>
        <v>#NAME?</v>
      </c>
      <c r="AB411" s="55" t="e">
        <f ca="1">+MAX(PAA_4[[#This Row],[Comprometido Contrato]],PAA_4[[#This Row],[Comprometido Bolsa]])</f>
        <v>#NAME?</v>
      </c>
      <c r="AC411" s="55" t="str">
        <f t="shared" ca="1" si="210"/>
        <v/>
      </c>
      <c r="AD411" s="55" t="e">
        <f ca="1">IF(PAA_4[[#This Row],[ESTADO (formulado)]]="NO CONTRATADO",0,MAX(PAA_4[[#This Row],[Pago por Contrato]],PAA_4[[#This Row],[Pago por bolsa]]))</f>
        <v>#NAME?</v>
      </c>
      <c r="AE411" s="55" t="str">
        <f t="shared" ca="1" si="211"/>
        <v/>
      </c>
      <c r="AF411" s="47" t="e">
        <f t="shared" ca="1" si="212"/>
        <v>#NAME?</v>
      </c>
      <c r="AG411" s="47">
        <f t="shared" si="213"/>
        <v>41080111</v>
      </c>
      <c r="AH411" s="54">
        <f>IF(Q411="22",IF(ISNUMBER(SEARCH("econ",PAA_4[[#This Row],[Actividad3]])),"Económico",IF(ISNUMBER(SEARCH("alim",PAA_4[[#This Row],[Actividad3]])),"Alimentación",IF(ISNUMBER(SEARCH("educ",PAA_4[[#This Row],[Actividad3]])),"Educativo","Técnico"))),0)</f>
        <v>0</v>
      </c>
      <c r="AI411" s="47" t="e" cm="1">
        <f t="array" aca="1" ref="AI411" ca="1">_xlfn.XLOOKUP(PAA_4[[#This Row],[RCP-RUBRO]],[2]!COMPROMISOS_2024[[#All],[concatenado]],[2]!COMPROMISOS_2024[[#All],[Total pagado]],"",0)</f>
        <v>#NAME?</v>
      </c>
      <c r="AJ411" s="56">
        <f>IF(PAA_4[[#This Row],[BOLSA]]=0,0,SUMIFS([2]!COMPROMISOS_2024[[#All],[Total pagado]],[2]!COMPROMISOS_2024[[#All],[Bolsa]],PAA_4[[#This Row],[BOLSA]],[2]!COMPROMISOS_2024[[#All],[rubro]],PAA_4[[#This Row],[RCP-RUBRO]]))</f>
        <v>0</v>
      </c>
      <c r="AK411" s="47" t="e" cm="1">
        <f t="array" aca="1" ref="AK411" ca="1">_xlfn.XLOOKUP(PAA_4[[#This Row],[RCP-RUBRO]],[2]!COMPROMISOS_2024[[#All],[concatenado]],[2]!COMPROMISOS_2024[[#All],[Total Comprometido]],"",0)</f>
        <v>#NAME?</v>
      </c>
      <c r="AL411" s="47">
        <f>IF(PAA_4[[#This Row],[BOLSA]]=0,0,SUMIFS([2]!COMPROMISOS_2024[[#All],[Total Comprometido]],[2]!COMPROMISOS_2024[[#All],[Bolsa]],PAA_4[[#This Row],[BOLSA]],[2]!COMPROMISOS_2024[[#All],[concatenado]],PAA_4[[#This Row],[RCP-RUBRO]]))</f>
        <v>0</v>
      </c>
    </row>
    <row r="412" spans="1:38" s="19" customFormat="1" ht="31.5" customHeight="1">
      <c r="A412" s="47">
        <v>102</v>
      </c>
      <c r="B412" s="51">
        <v>90141502</v>
      </c>
      <c r="C412" s="47" t="str">
        <f>VLOOKUP(PAA_4[[#This Row],[PROYECTO (formulado)2]],[2]PROYECTOS!$G$1:$L$32,6,0)</f>
        <v>SUBGERENCIA DE ALTOS LOGROS Y DEPORTE ASOCIADO</v>
      </c>
      <c r="D412" s="47" t="str">
        <f>+IF(PAA_4[[#This Row],[UNIDAD DE CONTRATACION (formulado)]]="Subgerencia Administrativa y Financiera","FUNCIONAMIENTO","INVERSIÓN")</f>
        <v>INVERSIÓN</v>
      </c>
      <c r="E412" s="48" t="str">
        <f>VLOOKUP(Q412,[2]PROYECTOS!$G$1:$K$32,5,0)</f>
        <v>FORTALECIMIENTO_DEL_PROGRAMA_DE_ALTOS_LOGROS_Y_LIDERAZGO_DEPORTIVO_EN_EL_DEPARTAMENTO_DE_ANTIOQUIA</v>
      </c>
      <c r="F412" s="48">
        <f>VLOOKUP(E412,[2]PROYECTOS!$K$1:$M$32,3,0)</f>
        <v>2020003050021</v>
      </c>
      <c r="G412" s="49" t="s">
        <v>224</v>
      </c>
      <c r="H412" s="49" t="str">
        <f>VLOOKUP(Q412,[2]PROYECTOS!$V$1:$W$32,2,0)</f>
        <v>050061</v>
      </c>
      <c r="I412" s="50">
        <v>0</v>
      </c>
      <c r="J412" s="51" t="s">
        <v>42</v>
      </c>
      <c r="K412" s="47" t="str">
        <f t="shared" ca="1" si="207"/>
        <v>CONTRATADO</v>
      </c>
      <c r="L412" s="47" t="s">
        <v>94</v>
      </c>
      <c r="M412" s="47" t="s">
        <v>222</v>
      </c>
      <c r="N412" s="52" t="s">
        <v>223</v>
      </c>
      <c r="O412" s="51" t="e">
        <f>VLOOKUP(N412,[2]!RUBROS[#All],3,0)</f>
        <v>#REF!</v>
      </c>
      <c r="P412" s="53" t="e">
        <f>VLOOKUP(N412,[2]!RUBROS[#All],2,0)</f>
        <v>#REF!</v>
      </c>
      <c r="Q412" s="47" t="str">
        <f t="shared" si="214"/>
        <v>20</v>
      </c>
      <c r="R412" s="47" t="str">
        <f t="shared" si="209"/>
        <v>0-205400</v>
      </c>
      <c r="S412" s="54">
        <v>6.5</v>
      </c>
      <c r="T412" s="59" t="s">
        <v>46</v>
      </c>
      <c r="U412" s="326" t="e">
        <f ca="1">_xlfn.XLOOKUP(PAA_4[[#This Row],[ITEM]],[2]Contrato!A:A,[2]Contrato!Q:Q,"",0)</f>
        <v>#NAME?</v>
      </c>
      <c r="V412" s="47" t="s">
        <v>95</v>
      </c>
      <c r="W412" s="47" t="s">
        <v>154</v>
      </c>
      <c r="X412" s="47" t="s">
        <v>154</v>
      </c>
      <c r="Y412" s="55" t="e">
        <f ca="1">_xlfn.XLOOKUP(PAA_4[[#This Row],[ITEM]],[2]Contrato!A:A,[2]Contrato!B:B,"",0)</f>
        <v>#NAME?</v>
      </c>
      <c r="Z412" s="47" t="e">
        <f ca="1">_xlfn.XLOOKUP(PAA_4[[#This Row],[ITEM]],[2]Contrato!A:A,[2]Contrato!G:G,"",0)</f>
        <v>#NAME?</v>
      </c>
      <c r="AA412" s="47" t="e">
        <f ca="1">_xlfn.XLOOKUP(PAA_4[[#This Row],[ITEM]],[2]Contrato!A:A,[2]Contrato!T:T,"",0)</f>
        <v>#NAME?</v>
      </c>
      <c r="AB412" s="55" t="e">
        <f ca="1">+MAX(PAA_4[[#This Row],[Comprometido Contrato]],PAA_4[[#This Row],[Comprometido Bolsa]])</f>
        <v>#NAME?</v>
      </c>
      <c r="AC412" s="55" t="str">
        <f t="shared" ca="1" si="210"/>
        <v/>
      </c>
      <c r="AD412" s="55" t="e">
        <f ca="1">IF(PAA_4[[#This Row],[ESTADO (formulado)]]="NO CONTRATADO",0,MAX(PAA_4[[#This Row],[Pago por Contrato]],PAA_4[[#This Row],[Pago por bolsa]]))</f>
        <v>#NAME?</v>
      </c>
      <c r="AE412" s="55" t="str">
        <f t="shared" ca="1" si="211"/>
        <v/>
      </c>
      <c r="AF412" s="47" t="e">
        <f t="shared" ca="1" si="212"/>
        <v>#NAME?</v>
      </c>
      <c r="AG412" s="47">
        <f t="shared" si="213"/>
        <v>41080111</v>
      </c>
      <c r="AH412" s="54">
        <f>IF(Q412="22",IF(ISNUMBER(SEARCH("econ",PAA_4[[#This Row],[Actividad3]])),"Económico",IF(ISNUMBER(SEARCH("alim",PAA_4[[#This Row],[Actividad3]])),"Alimentación",IF(ISNUMBER(SEARCH("educ",PAA_4[[#This Row],[Actividad3]])),"Educativo","Técnico"))),0)</f>
        <v>0</v>
      </c>
      <c r="AI412" s="47" t="e" cm="1">
        <f t="array" aca="1" ref="AI412" ca="1">_xlfn.XLOOKUP(PAA_4[[#This Row],[RCP-RUBRO]],[2]!COMPROMISOS_2024[[#All],[concatenado]],[2]!COMPROMISOS_2024[[#All],[Total pagado]],"",0)</f>
        <v>#NAME?</v>
      </c>
      <c r="AJ412" s="56">
        <f>IF(PAA_4[[#This Row],[BOLSA]]=0,0,SUMIFS([2]!COMPROMISOS_2024[[#All],[Total pagado]],[2]!COMPROMISOS_2024[[#All],[Bolsa]],PAA_4[[#This Row],[BOLSA]],[2]!COMPROMISOS_2024[[#All],[rubro]],PAA_4[[#This Row],[RCP-RUBRO]]))</f>
        <v>0</v>
      </c>
      <c r="AK412" s="47" t="e" cm="1">
        <f t="array" aca="1" ref="AK412" ca="1">_xlfn.XLOOKUP(PAA_4[[#This Row],[RCP-RUBRO]],[2]!COMPROMISOS_2024[[#All],[concatenado]],[2]!COMPROMISOS_2024[[#All],[Total Comprometido]],"",0)</f>
        <v>#NAME?</v>
      </c>
      <c r="AL412" s="47">
        <f>IF(PAA_4[[#This Row],[BOLSA]]=0,0,SUMIFS([2]!COMPROMISOS_2024[[#All],[Total Comprometido]],[2]!COMPROMISOS_2024[[#All],[Bolsa]],PAA_4[[#This Row],[BOLSA]],[2]!COMPROMISOS_2024[[#All],[concatenado]],PAA_4[[#This Row],[RCP-RUBRO]]))</f>
        <v>0</v>
      </c>
    </row>
    <row r="413" spans="1:38" s="19" customFormat="1" ht="31.5" customHeight="1">
      <c r="A413" s="47">
        <v>103</v>
      </c>
      <c r="B413" s="51">
        <v>90141502</v>
      </c>
      <c r="C413" s="47" t="str">
        <f>VLOOKUP(PAA_4[[#This Row],[PROYECTO (formulado)2]],[2]PROYECTOS!$G$1:$L$32,6,0)</f>
        <v>SUBGERENCIA DE ALTOS LOGROS Y DEPORTE ASOCIADO</v>
      </c>
      <c r="D413" s="47" t="str">
        <f>+IF(PAA_4[[#This Row],[UNIDAD DE CONTRATACION (formulado)]]="Subgerencia Administrativa y Financiera","FUNCIONAMIENTO","INVERSIÓN")</f>
        <v>INVERSIÓN</v>
      </c>
      <c r="E413" s="48" t="str">
        <f>VLOOKUP(Q413,[2]PROYECTOS!$G$1:$K$32,5,0)</f>
        <v>FORTALECIMIENTO_DEL_PROGRAMA_DE_ALTOS_LOGROS_Y_LIDERAZGO_DEPORTIVO_EN_EL_DEPARTAMENTO_DE_ANTIOQUIA</v>
      </c>
      <c r="F413" s="48">
        <f>VLOOKUP(E413,[2]PROYECTOS!$K$1:$M$32,3,0)</f>
        <v>2020003050021</v>
      </c>
      <c r="G413" s="49" t="s">
        <v>224</v>
      </c>
      <c r="H413" s="49" t="str">
        <f>VLOOKUP(Q413,[2]PROYECTOS!$V$1:$W$32,2,0)</f>
        <v>050061</v>
      </c>
      <c r="I413" s="50">
        <v>60000000</v>
      </c>
      <c r="J413" s="51" t="s">
        <v>1512</v>
      </c>
      <c r="K413" s="47" t="str">
        <f t="shared" ca="1" si="207"/>
        <v>CONTRATADO</v>
      </c>
      <c r="L413" s="47" t="s">
        <v>94</v>
      </c>
      <c r="M413" s="47" t="s">
        <v>222</v>
      </c>
      <c r="N413" s="52" t="s">
        <v>225</v>
      </c>
      <c r="O413" s="51" t="e">
        <f>VLOOKUP(N413,[2]!RUBROS[#All],3,0)</f>
        <v>#REF!</v>
      </c>
      <c r="P413" s="53" t="e">
        <f>VLOOKUP(N413,[2]!RUBROS[#All],2,0)</f>
        <v>#REF!</v>
      </c>
      <c r="Q413" s="47" t="str">
        <f t="shared" si="214"/>
        <v>20</v>
      </c>
      <c r="R413" s="47" t="str">
        <f t="shared" si="209"/>
        <v>4-101124</v>
      </c>
      <c r="S413" s="339">
        <v>205</v>
      </c>
      <c r="T413" s="59" t="s">
        <v>120</v>
      </c>
      <c r="U413" s="326" t="e">
        <f ca="1">_xlfn.XLOOKUP(PAA_4[[#This Row],[ITEM]],[2]Contrato!A:A,[2]Contrato!Q:Q,"",0)</f>
        <v>#NAME?</v>
      </c>
      <c r="V413" s="47" t="s">
        <v>95</v>
      </c>
      <c r="W413" s="47" t="s">
        <v>226</v>
      </c>
      <c r="X413" s="47" t="s">
        <v>154</v>
      </c>
      <c r="Y413" s="55" t="e">
        <f ca="1">_xlfn.XLOOKUP(PAA_4[[#This Row],[ITEM]],[2]Contrato!A:A,[2]Contrato!B:B,"",0)</f>
        <v>#NAME?</v>
      </c>
      <c r="Z413" s="47" t="e">
        <f ca="1">_xlfn.XLOOKUP(PAA_4[[#This Row],[ITEM]],[2]Contrato!A:A,[2]Contrato!G:G,"",0)</f>
        <v>#NAME?</v>
      </c>
      <c r="AA413" s="47" t="e">
        <f ca="1">_xlfn.XLOOKUP(PAA_4[[#This Row],[ITEM]],[2]Contrato!A:A,[2]Contrato!T:T,"",0)</f>
        <v>#NAME?</v>
      </c>
      <c r="AB413" s="55" t="e">
        <f ca="1">+MAX(PAA_4[[#This Row],[Comprometido Contrato]],PAA_4[[#This Row],[Comprometido Bolsa]])</f>
        <v>#NAME?</v>
      </c>
      <c r="AC413" s="55" t="str">
        <f t="shared" ca="1" si="210"/>
        <v/>
      </c>
      <c r="AD413" s="55" t="e">
        <f ca="1">IF(PAA_4[[#This Row],[ESTADO (formulado)]]="NO CONTRATADO",0,MAX(PAA_4[[#This Row],[Pago por Contrato]],PAA_4[[#This Row],[Pago por bolsa]]))</f>
        <v>#NAME?</v>
      </c>
      <c r="AE413" s="55" t="str">
        <f t="shared" ca="1" si="211"/>
        <v/>
      </c>
      <c r="AF413" s="47" t="e">
        <f t="shared" ca="1" si="212"/>
        <v>#NAME?</v>
      </c>
      <c r="AG413" s="47">
        <f t="shared" si="213"/>
        <v>41080111</v>
      </c>
      <c r="AH413" s="54">
        <f>IF(Q413="22",IF(ISNUMBER(SEARCH("econ",PAA_4[[#This Row],[Actividad3]])),"Económico",IF(ISNUMBER(SEARCH("alim",PAA_4[[#This Row],[Actividad3]])),"Alimentación",IF(ISNUMBER(SEARCH("educ",PAA_4[[#This Row],[Actividad3]])),"Educativo","Técnico"))),0)</f>
        <v>0</v>
      </c>
      <c r="AI413" s="47" t="e" cm="1">
        <f t="array" aca="1" ref="AI413" ca="1">_xlfn.XLOOKUP(PAA_4[[#This Row],[RCP-RUBRO]],[2]!COMPROMISOS_2024[[#All],[concatenado]],[2]!COMPROMISOS_2024[[#All],[Total pagado]],"",0)</f>
        <v>#NAME?</v>
      </c>
      <c r="AJ413" s="56">
        <f>IF(PAA_4[[#This Row],[BOLSA]]=0,0,SUMIFS([2]!COMPROMISOS_2024[[#All],[Total pagado]],[2]!COMPROMISOS_2024[[#All],[Bolsa]],PAA_4[[#This Row],[BOLSA]],[2]!COMPROMISOS_2024[[#All],[rubro]],PAA_4[[#This Row],[RCP-RUBRO]]))</f>
        <v>0</v>
      </c>
      <c r="AK413" s="47" t="e" cm="1">
        <f t="array" aca="1" ref="AK413" ca="1">_xlfn.XLOOKUP(PAA_4[[#This Row],[RCP-RUBRO]],[2]!COMPROMISOS_2024[[#All],[concatenado]],[2]!COMPROMISOS_2024[[#All],[Total Comprometido]],"",0)</f>
        <v>#NAME?</v>
      </c>
      <c r="AL413" s="47">
        <f>IF(PAA_4[[#This Row],[BOLSA]]=0,0,SUMIFS([2]!COMPROMISOS_2024[[#All],[Total Comprometido]],[2]!COMPROMISOS_2024[[#All],[Bolsa]],PAA_4[[#This Row],[BOLSA]],[2]!COMPROMISOS_2024[[#All],[concatenado]],PAA_4[[#This Row],[RCP-RUBRO]]))</f>
        <v>0</v>
      </c>
    </row>
    <row r="414" spans="1:38" s="19" customFormat="1" ht="31.5" customHeight="1">
      <c r="A414" s="47">
        <v>103</v>
      </c>
      <c r="B414" s="51">
        <v>90141502</v>
      </c>
      <c r="C414" s="47" t="str">
        <f>VLOOKUP(PAA_4[[#This Row],[PROYECTO (formulado)2]],[2]PROYECTOS!$G$1:$L$32,6,0)</f>
        <v>SUBGERENCIA DE ALTOS LOGROS Y DEPORTE ASOCIADO</v>
      </c>
      <c r="D414" s="47" t="str">
        <f>+IF(PAA_4[[#This Row],[UNIDAD DE CONTRATACION (formulado)]]="Subgerencia Administrativa y Financiera","FUNCIONAMIENTO","INVERSIÓN")</f>
        <v>INVERSIÓN</v>
      </c>
      <c r="E414" s="48" t="str">
        <f>VLOOKUP(Q414,[2]PROYECTOS!$G$1:$K$32,5,0)</f>
        <v>FORTALECIMIENTO_DEL_PROGRAMA_DE_ALTOS_LOGROS_Y_LIDERAZGO_DEPORTIVO_EN_EL_DEPARTAMENTO_DE_ANTIOQUIA</v>
      </c>
      <c r="F414" s="48">
        <f>VLOOKUP(E414,[2]PROYECTOS!$K$1:$M$32,3,0)</f>
        <v>2020003050021</v>
      </c>
      <c r="G414" s="49" t="s">
        <v>224</v>
      </c>
      <c r="H414" s="49" t="str">
        <f>VLOOKUP(Q414,[2]PROYECTOS!$V$1:$W$32,2,0)</f>
        <v>050061</v>
      </c>
      <c r="I414" s="50">
        <v>35000000</v>
      </c>
      <c r="J414" s="340" t="s">
        <v>1512</v>
      </c>
      <c r="K414" s="47" t="str">
        <f t="shared" ca="1" si="207"/>
        <v>CONTRATADO</v>
      </c>
      <c r="L414" s="47" t="s">
        <v>94</v>
      </c>
      <c r="M414" s="47" t="s">
        <v>222</v>
      </c>
      <c r="N414" s="52" t="s">
        <v>223</v>
      </c>
      <c r="O414" s="51" t="e">
        <f>VLOOKUP(N414,[2]!RUBROS[#All],3,0)</f>
        <v>#REF!</v>
      </c>
      <c r="P414" s="53" t="e">
        <f>VLOOKUP(N414,[2]!RUBROS[#All],2,0)</f>
        <v>#REF!</v>
      </c>
      <c r="Q414" s="47" t="str">
        <f t="shared" si="214"/>
        <v>20</v>
      </c>
      <c r="R414" s="47" t="str">
        <f t="shared" si="209"/>
        <v>0-205400</v>
      </c>
      <c r="S414" s="54">
        <v>205</v>
      </c>
      <c r="T414" s="59" t="s">
        <v>120</v>
      </c>
      <c r="U414" s="326" t="e">
        <f ca="1">_xlfn.XLOOKUP(PAA_4[[#This Row],[ITEM]],[2]Contrato!A:A,[2]Contrato!Q:Q,"",0)</f>
        <v>#NAME?</v>
      </c>
      <c r="V414" s="47" t="s">
        <v>95</v>
      </c>
      <c r="W414" s="47" t="s">
        <v>226</v>
      </c>
      <c r="X414" s="47" t="s">
        <v>154</v>
      </c>
      <c r="Y414" s="55" t="e">
        <f ca="1">_xlfn.XLOOKUP(PAA_4[[#This Row],[ITEM]],[2]Contrato!A:A,[2]Contrato!B:B,"",0)</f>
        <v>#NAME?</v>
      </c>
      <c r="Z414" s="47" t="e">
        <f ca="1">_xlfn.XLOOKUP(PAA_4[[#This Row],[ITEM]],[2]Contrato!A:A,[2]Contrato!G:G,"",0)</f>
        <v>#NAME?</v>
      </c>
      <c r="AA414" s="47" t="e">
        <f ca="1">_xlfn.XLOOKUP(PAA_4[[#This Row],[ITEM]],[2]Contrato!A:A,[2]Contrato!T:T,"",0)</f>
        <v>#NAME?</v>
      </c>
      <c r="AB414" s="55" t="e">
        <f ca="1">+MAX(PAA_4[[#This Row],[Comprometido Contrato]],PAA_4[[#This Row],[Comprometido Bolsa]])</f>
        <v>#NAME?</v>
      </c>
      <c r="AC414" s="55" t="str">
        <f t="shared" ca="1" si="210"/>
        <v/>
      </c>
      <c r="AD414" s="55" t="e">
        <f ca="1">IF(PAA_4[[#This Row],[ESTADO (formulado)]]="NO CONTRATADO",0,MAX(PAA_4[[#This Row],[Pago por Contrato]],PAA_4[[#This Row],[Pago por bolsa]]))</f>
        <v>#NAME?</v>
      </c>
      <c r="AE414" s="55" t="str">
        <f t="shared" ca="1" si="211"/>
        <v/>
      </c>
      <c r="AF414" s="47" t="e">
        <f t="shared" ca="1" si="212"/>
        <v>#NAME?</v>
      </c>
      <c r="AG414" s="47">
        <f t="shared" si="213"/>
        <v>41080111</v>
      </c>
      <c r="AH414" s="54">
        <f>IF(Q414="22",IF(ISNUMBER(SEARCH("econ",PAA_4[[#This Row],[Actividad3]])),"Económico",IF(ISNUMBER(SEARCH("alim",PAA_4[[#This Row],[Actividad3]])),"Alimentación",IF(ISNUMBER(SEARCH("educ",PAA_4[[#This Row],[Actividad3]])),"Educativo","Técnico"))),0)</f>
        <v>0</v>
      </c>
      <c r="AI414" s="47" t="e" cm="1">
        <f t="array" aca="1" ref="AI414" ca="1">_xlfn.XLOOKUP(PAA_4[[#This Row],[RCP-RUBRO]],[2]!COMPROMISOS_2024[[#All],[concatenado]],[2]!COMPROMISOS_2024[[#All],[Total pagado]],"",0)</f>
        <v>#NAME?</v>
      </c>
      <c r="AJ414" s="56">
        <f>IF(PAA_4[[#This Row],[BOLSA]]=0,0,SUMIFS([2]!COMPROMISOS_2024[[#All],[Total pagado]],[2]!COMPROMISOS_2024[[#All],[Bolsa]],PAA_4[[#This Row],[BOLSA]],[2]!COMPROMISOS_2024[[#All],[rubro]],PAA_4[[#This Row],[RCP-RUBRO]]))</f>
        <v>0</v>
      </c>
      <c r="AK414" s="47" t="e" cm="1">
        <f t="array" aca="1" ref="AK414" ca="1">_xlfn.XLOOKUP(PAA_4[[#This Row],[RCP-RUBRO]],[2]!COMPROMISOS_2024[[#All],[concatenado]],[2]!COMPROMISOS_2024[[#All],[Total Comprometido]],"",0)</f>
        <v>#NAME?</v>
      </c>
      <c r="AL414" s="47">
        <f>IF(PAA_4[[#This Row],[BOLSA]]=0,0,SUMIFS([2]!COMPROMISOS_2024[[#All],[Total Comprometido]],[2]!COMPROMISOS_2024[[#All],[Bolsa]],PAA_4[[#This Row],[BOLSA]],[2]!COMPROMISOS_2024[[#All],[concatenado]],PAA_4[[#This Row],[RCP-RUBRO]]))</f>
        <v>0</v>
      </c>
    </row>
    <row r="415" spans="1:38" s="19" customFormat="1" ht="31.5" customHeight="1">
      <c r="A415" s="47" t="s">
        <v>82</v>
      </c>
      <c r="B415" s="51" t="s">
        <v>42</v>
      </c>
      <c r="C415" s="47" t="str">
        <f>VLOOKUP(PAA_4[[#This Row],[PROYECTO (formulado)2]],[2]PROYECTOS!$G$1:$L$32,6,0)</f>
        <v>SUBGERENCIA DE ALTOS LOGROS Y DEPORTE ASOCIADO</v>
      </c>
      <c r="D415" s="47" t="str">
        <f>+IF(PAA_4[[#This Row],[UNIDAD DE CONTRATACION (formulado)]]="Subgerencia Administrativa y Financiera","FUNCIONAMIENTO","INVERSIÓN")</f>
        <v>INVERSIÓN</v>
      </c>
      <c r="E415" s="48" t="str">
        <f>VLOOKUP(Q415,[2]PROYECTOS!$G$1:$K$32,5,0)</f>
        <v>FORTALECIMIENTO_DEL_PROGRAMA_DE_ALTOS_LOGROS_Y_LIDERAZGO_DEPORTIVO_EN_EL_DEPARTAMENTO_DE_ANTIOQUIA</v>
      </c>
      <c r="F415" s="48">
        <f>VLOOKUP(E415,[2]PROYECTOS!$K$1:$M$32,3,0)</f>
        <v>2020003050021</v>
      </c>
      <c r="G415" s="344" t="s">
        <v>224</v>
      </c>
      <c r="H415" s="49" t="str">
        <f>VLOOKUP(Q415,[2]PROYECTOS!$V$1:$W$32,2,0)</f>
        <v>050061</v>
      </c>
      <c r="I415" s="50">
        <v>18000000</v>
      </c>
      <c r="J415" s="340" t="s">
        <v>1513</v>
      </c>
      <c r="K415" s="47" t="str">
        <f t="shared" ca="1" si="207"/>
        <v>CONTRATADO</v>
      </c>
      <c r="L415" s="47" t="s">
        <v>42</v>
      </c>
      <c r="M415" s="47" t="s">
        <v>42</v>
      </c>
      <c r="N415" s="344" t="s">
        <v>223</v>
      </c>
      <c r="O415" s="51" t="e">
        <f>VLOOKUP(N415,[2]!RUBROS[#All],3,0)</f>
        <v>#REF!</v>
      </c>
      <c r="P415" s="53" t="e">
        <f>VLOOKUP(N415,[2]!RUBROS[#All],2,0)</f>
        <v>#REF!</v>
      </c>
      <c r="Q415" s="47" t="str">
        <f t="shared" si="214"/>
        <v>20</v>
      </c>
      <c r="R415" s="47" t="str">
        <f t="shared" si="209"/>
        <v>0-205400</v>
      </c>
      <c r="S415" s="54" t="s">
        <v>42</v>
      </c>
      <c r="T415" s="329" t="s">
        <v>42</v>
      </c>
      <c r="U415" s="326" t="e">
        <f ca="1">_xlfn.XLOOKUP(PAA_4[[#This Row],[ITEM]],[2]Contrato!A:A,[2]Contrato!Q:Q,"",0)</f>
        <v>#NAME?</v>
      </c>
      <c r="V415" s="47" t="s">
        <v>95</v>
      </c>
      <c r="W415" s="47" t="s">
        <v>42</v>
      </c>
      <c r="X415" s="47" t="s">
        <v>42</v>
      </c>
      <c r="Y415" s="55" t="e">
        <f ca="1">_xlfn.XLOOKUP(PAA_4[[#This Row],[ITEM]],[2]Contrato!A:A,[2]Contrato!B:B,"",0)</f>
        <v>#NAME?</v>
      </c>
      <c r="Z415" s="47" t="e">
        <f ca="1">_xlfn.XLOOKUP(PAA_4[[#This Row],[ITEM]],[2]Contrato!A:A,[2]Contrato!G:G,"",0)</f>
        <v>#NAME?</v>
      </c>
      <c r="AA415" s="47" t="e">
        <f ca="1">_xlfn.XLOOKUP(PAA_4[[#This Row],[ITEM]],[2]Contrato!A:A,[2]Contrato!T:T,"",0)</f>
        <v>#NAME?</v>
      </c>
      <c r="AB415" s="55" t="e">
        <f ca="1">+MAX(PAA_4[[#This Row],[Comprometido Contrato]],PAA_4[[#This Row],[Comprometido Bolsa]])</f>
        <v>#NAME?</v>
      </c>
      <c r="AC415" s="55" t="str">
        <f t="shared" ca="1" si="210"/>
        <v/>
      </c>
      <c r="AD415" s="55" t="e">
        <f ca="1">IF(PAA_4[[#This Row],[ESTADO (formulado)]]="NO CONTRATADO",0,MAX(PAA_4[[#This Row],[Pago por Contrato]],PAA_4[[#This Row],[Pago por bolsa]]))</f>
        <v>#NAME?</v>
      </c>
      <c r="AE415" s="55" t="str">
        <f t="shared" ca="1" si="211"/>
        <v/>
      </c>
      <c r="AF415" s="47" t="e">
        <f t="shared" ca="1" si="212"/>
        <v>#NAME?</v>
      </c>
      <c r="AG415" s="47">
        <f t="shared" si="213"/>
        <v>41080111</v>
      </c>
      <c r="AH415" s="54">
        <f>IF(Q415="22",IF(ISNUMBER(SEARCH("econ",PAA_4[[#This Row],[Actividad3]])),"Económico",IF(ISNUMBER(SEARCH("alim",PAA_4[[#This Row],[Actividad3]])),"Alimentación",IF(ISNUMBER(SEARCH("educ",PAA_4[[#This Row],[Actividad3]])),"Educativo","Técnico"))),0)</f>
        <v>0</v>
      </c>
      <c r="AI415" s="47" t="e" cm="1">
        <f t="array" aca="1" ref="AI415" ca="1">_xlfn.XLOOKUP(PAA_4[[#This Row],[RCP-RUBRO]],[2]!COMPROMISOS_2024[[#All],[concatenado]],[2]!COMPROMISOS_2024[[#All],[Total pagado]],"",0)</f>
        <v>#NAME?</v>
      </c>
      <c r="AJ415" s="56">
        <f>IF(PAA_4[[#This Row],[BOLSA]]=0,0,SUMIFS([2]!COMPROMISOS_2024[[#All],[Total pagado]],[2]!COMPROMISOS_2024[[#All],[Bolsa]],PAA_4[[#This Row],[BOLSA]],[2]!COMPROMISOS_2024[[#All],[rubro]],PAA_4[[#This Row],[RCP-RUBRO]]))</f>
        <v>0</v>
      </c>
      <c r="AK415" s="47" t="e" cm="1">
        <f t="array" aca="1" ref="AK415" ca="1">_xlfn.XLOOKUP(PAA_4[[#This Row],[RCP-RUBRO]],[2]!COMPROMISOS_2024[[#All],[concatenado]],[2]!COMPROMISOS_2024[[#All],[Total Comprometido]],"",0)</f>
        <v>#NAME?</v>
      </c>
      <c r="AL415" s="47">
        <f>IF(PAA_4[[#This Row],[BOLSA]]=0,0,SUMIFS([2]!COMPROMISOS_2024[[#All],[Total Comprometido]],[2]!COMPROMISOS_2024[[#All],[Bolsa]],PAA_4[[#This Row],[BOLSA]],[2]!COMPROMISOS_2024[[#All],[concatenado]],PAA_4[[#This Row],[RCP-RUBRO]]))</f>
        <v>0</v>
      </c>
    </row>
    <row r="416" spans="1:38" s="19" customFormat="1" ht="31.5" customHeight="1">
      <c r="A416" s="47" t="s">
        <v>82</v>
      </c>
      <c r="B416" s="51" t="s">
        <v>42</v>
      </c>
      <c r="C416" s="47" t="str">
        <f>VLOOKUP(PAA_4[[#This Row],[PROYECTO (formulado)2]],[2]PROYECTOS!$G$1:$L$32,6,0)</f>
        <v>SUBGERENCIA DE ALTOS LOGROS Y DEPORTE ASOCIADO</v>
      </c>
      <c r="D416" s="47" t="str">
        <f>+IF(PAA_4[[#This Row],[UNIDAD DE CONTRATACION (formulado)]]="Subgerencia Administrativa y Financiera","FUNCIONAMIENTO","INVERSIÓN")</f>
        <v>INVERSIÓN</v>
      </c>
      <c r="E416" s="48" t="str">
        <f>VLOOKUP(Q416,[2]PROYECTOS!$G$1:$K$32,5,0)</f>
        <v>FORTALECIMIENTO_DEL_PROGRAMA_DE_ALTOS_LOGROS_Y_LIDERAZGO_DEPORTIVO_EN_EL_DEPARTAMENTO_DE_ANTIOQUIA</v>
      </c>
      <c r="F416" s="48">
        <f>VLOOKUP(E416,[2]PROYECTOS!$K$1:$M$32,3,0)</f>
        <v>2020003050021</v>
      </c>
      <c r="G416" s="344" t="s">
        <v>224</v>
      </c>
      <c r="H416" s="49" t="str">
        <f>VLOOKUP(Q416,[2]PROYECTOS!$V$1:$W$32,2,0)</f>
        <v>050061</v>
      </c>
      <c r="I416" s="50">
        <v>10807800</v>
      </c>
      <c r="J416" s="340" t="s">
        <v>1513</v>
      </c>
      <c r="K416" s="47" t="str">
        <f t="shared" ca="1" si="207"/>
        <v>CONTRATADO</v>
      </c>
      <c r="L416" s="47" t="s">
        <v>42</v>
      </c>
      <c r="M416" s="47" t="s">
        <v>42</v>
      </c>
      <c r="N416" s="344" t="s">
        <v>223</v>
      </c>
      <c r="O416" s="51" t="e">
        <f>VLOOKUP(N416,[2]!RUBROS[#All],3,0)</f>
        <v>#REF!</v>
      </c>
      <c r="P416" s="53" t="e">
        <f>VLOOKUP(N416,[2]!RUBROS[#All],2,0)</f>
        <v>#REF!</v>
      </c>
      <c r="Q416" s="47" t="str">
        <f t="shared" si="214"/>
        <v>20</v>
      </c>
      <c r="R416" s="47" t="str">
        <f t="shared" si="209"/>
        <v>0-205400</v>
      </c>
      <c r="S416" s="54" t="s">
        <v>42</v>
      </c>
      <c r="T416" s="329" t="s">
        <v>42</v>
      </c>
      <c r="U416" s="326" t="e">
        <f ca="1">_xlfn.XLOOKUP(PAA_4[[#This Row],[ITEM]],[2]Contrato!A:A,[2]Contrato!Q:Q,"",0)</f>
        <v>#NAME?</v>
      </c>
      <c r="V416" s="47" t="s">
        <v>95</v>
      </c>
      <c r="W416" s="47" t="s">
        <v>42</v>
      </c>
      <c r="X416" s="47" t="s">
        <v>42</v>
      </c>
      <c r="Y416" s="55" t="e">
        <f ca="1">_xlfn.XLOOKUP(PAA_4[[#This Row],[ITEM]],[2]Contrato!A:A,[2]Contrato!B:B,"",0)</f>
        <v>#NAME?</v>
      </c>
      <c r="Z416" s="47" t="e">
        <f ca="1">_xlfn.XLOOKUP(PAA_4[[#This Row],[ITEM]],[2]Contrato!A:A,[2]Contrato!G:G,"",0)</f>
        <v>#NAME?</v>
      </c>
      <c r="AA416" s="47" t="e">
        <f ca="1">_xlfn.XLOOKUP(PAA_4[[#This Row],[ITEM]],[2]Contrato!A:A,[2]Contrato!T:T,"",0)</f>
        <v>#NAME?</v>
      </c>
      <c r="AB416" s="55" t="e">
        <f ca="1">+MAX(PAA_4[[#This Row],[Comprometido Contrato]],PAA_4[[#This Row],[Comprometido Bolsa]])</f>
        <v>#NAME?</v>
      </c>
      <c r="AC416" s="55" t="str">
        <f t="shared" ca="1" si="210"/>
        <v/>
      </c>
      <c r="AD416" s="55" t="e">
        <f ca="1">IF(PAA_4[[#This Row],[ESTADO (formulado)]]="NO CONTRATADO",0,MAX(PAA_4[[#This Row],[Pago por Contrato]],PAA_4[[#This Row],[Pago por bolsa]]))</f>
        <v>#NAME?</v>
      </c>
      <c r="AE416" s="55" t="str">
        <f t="shared" ca="1" si="211"/>
        <v/>
      </c>
      <c r="AF416" s="47" t="e">
        <f t="shared" ca="1" si="212"/>
        <v>#NAME?</v>
      </c>
      <c r="AG416" s="47">
        <f t="shared" si="213"/>
        <v>41080111</v>
      </c>
      <c r="AH416" s="54">
        <f>IF(Q416="22",IF(ISNUMBER(SEARCH("econ",PAA_4[[#This Row],[Actividad3]])),"Económico",IF(ISNUMBER(SEARCH("alim",PAA_4[[#This Row],[Actividad3]])),"Alimentación",IF(ISNUMBER(SEARCH("educ",PAA_4[[#This Row],[Actividad3]])),"Educativo","Técnico"))),0)</f>
        <v>0</v>
      </c>
      <c r="AI416" s="47" t="e" cm="1">
        <f t="array" aca="1" ref="AI416" ca="1">_xlfn.XLOOKUP(PAA_4[[#This Row],[RCP-RUBRO]],[2]!COMPROMISOS_2024[[#All],[concatenado]],[2]!COMPROMISOS_2024[[#All],[Total pagado]],"",0)</f>
        <v>#NAME?</v>
      </c>
      <c r="AJ416" s="56">
        <f>IF(PAA_4[[#This Row],[BOLSA]]=0,0,SUMIFS([2]!COMPROMISOS_2024[[#All],[Total pagado]],[2]!COMPROMISOS_2024[[#All],[Bolsa]],PAA_4[[#This Row],[BOLSA]],[2]!COMPROMISOS_2024[[#All],[rubro]],PAA_4[[#This Row],[RCP-RUBRO]]))</f>
        <v>0</v>
      </c>
      <c r="AK416" s="47" t="e" cm="1">
        <f t="array" aca="1" ref="AK416" ca="1">_xlfn.XLOOKUP(PAA_4[[#This Row],[RCP-RUBRO]],[2]!COMPROMISOS_2024[[#All],[concatenado]],[2]!COMPROMISOS_2024[[#All],[Total Comprometido]],"",0)</f>
        <v>#NAME?</v>
      </c>
      <c r="AL416" s="47">
        <f>IF(PAA_4[[#This Row],[BOLSA]]=0,0,SUMIFS([2]!COMPROMISOS_2024[[#All],[Total Comprometido]],[2]!COMPROMISOS_2024[[#All],[Bolsa]],PAA_4[[#This Row],[BOLSA]],[2]!COMPROMISOS_2024[[#All],[concatenado]],PAA_4[[#This Row],[RCP-RUBRO]]))</f>
        <v>0</v>
      </c>
    </row>
    <row r="417" spans="1:38" s="19" customFormat="1" ht="31.5" customHeight="1">
      <c r="A417" s="47" t="s">
        <v>82</v>
      </c>
      <c r="B417" s="51" t="s">
        <v>42</v>
      </c>
      <c r="C417" s="47" t="str">
        <f>VLOOKUP(PAA_4[[#This Row],[PROYECTO (formulado)2]],[2]PROYECTOS!$G$1:$L$32,6,0)</f>
        <v>SUBGERENCIA DE ALTOS LOGROS Y DEPORTE ASOCIADO</v>
      </c>
      <c r="D417" s="47" t="str">
        <f>+IF(PAA_4[[#This Row],[UNIDAD DE CONTRATACION (formulado)]]="Subgerencia Administrativa y Financiera","FUNCIONAMIENTO","INVERSIÓN")</f>
        <v>INVERSIÓN</v>
      </c>
      <c r="E417" s="48" t="str">
        <f>VLOOKUP(Q417,[2]PROYECTOS!$G$1:$K$32,5,0)</f>
        <v>APOYO_TÉCNICO_Y_PSICOSOCIAL_A_LOS_DEPORTISTAS_DE_ANTIOQUIA</v>
      </c>
      <c r="F417" s="48">
        <f>VLOOKUP(E417,[2]PROYECTOS!$K$1:$M$32,3,0)</f>
        <v>2021003050069</v>
      </c>
      <c r="G417" s="344" t="s">
        <v>239</v>
      </c>
      <c r="H417" s="49" t="str">
        <f>VLOOKUP(Q417,[2]PROYECTOS!$V$1:$W$32,2,0)</f>
        <v>050069</v>
      </c>
      <c r="I417" s="50">
        <v>11000000</v>
      </c>
      <c r="J417" s="340" t="s">
        <v>1513</v>
      </c>
      <c r="K417" s="47" t="str">
        <f t="shared" ca="1" si="207"/>
        <v>CONTRATADO</v>
      </c>
      <c r="L417" s="47" t="s">
        <v>42</v>
      </c>
      <c r="M417" s="47" t="s">
        <v>42</v>
      </c>
      <c r="N417" s="344" t="s">
        <v>240</v>
      </c>
      <c r="O417" s="51" t="e">
        <f>VLOOKUP(N417,[2]!RUBROS[#All],3,0)</f>
        <v>#REF!</v>
      </c>
      <c r="P417" s="53" t="e">
        <f>VLOOKUP(N417,[2]!RUBROS[#All],2,0)</f>
        <v>#REF!</v>
      </c>
      <c r="Q417" s="47" t="str">
        <f t="shared" si="214"/>
        <v>22</v>
      </c>
      <c r="R417" s="47" t="str">
        <f t="shared" si="209"/>
        <v>0-205400</v>
      </c>
      <c r="S417" s="54" t="s">
        <v>42</v>
      </c>
      <c r="T417" s="329" t="s">
        <v>42</v>
      </c>
      <c r="U417" s="326" t="e">
        <f ca="1">_xlfn.XLOOKUP(PAA_4[[#This Row],[ITEM]],[2]Contrato!A:A,[2]Contrato!Q:Q,"",0)</f>
        <v>#NAME?</v>
      </c>
      <c r="V417" s="47" t="s">
        <v>95</v>
      </c>
      <c r="W417" s="47" t="s">
        <v>42</v>
      </c>
      <c r="X417" s="47" t="s">
        <v>42</v>
      </c>
      <c r="Y417" s="55" t="e">
        <f ca="1">_xlfn.XLOOKUP(PAA_4[[#This Row],[ITEM]],[2]Contrato!A:A,[2]Contrato!B:B,"",0)</f>
        <v>#NAME?</v>
      </c>
      <c r="Z417" s="47" t="e">
        <f ca="1">_xlfn.XLOOKUP(PAA_4[[#This Row],[ITEM]],[2]Contrato!A:A,[2]Contrato!G:G,"",0)</f>
        <v>#NAME?</v>
      </c>
      <c r="AA417" s="47" t="e">
        <f ca="1">_xlfn.XLOOKUP(PAA_4[[#This Row],[ITEM]],[2]Contrato!A:A,[2]Contrato!T:T,"",0)</f>
        <v>#NAME?</v>
      </c>
      <c r="AB417" s="55" t="e">
        <f ca="1">+MAX(PAA_4[[#This Row],[Comprometido Contrato]],PAA_4[[#This Row],[Comprometido Bolsa]])</f>
        <v>#NAME?</v>
      </c>
      <c r="AC417" s="55" t="str">
        <f t="shared" ca="1" si="210"/>
        <v/>
      </c>
      <c r="AD417" s="55" t="e">
        <f ca="1">IF(PAA_4[[#This Row],[ESTADO (formulado)]]="NO CONTRATADO",0,MAX(PAA_4[[#This Row],[Pago por Contrato]],PAA_4[[#This Row],[Pago por bolsa]]))</f>
        <v>#NAME?</v>
      </c>
      <c r="AE417" s="55" t="str">
        <f t="shared" ca="1" si="211"/>
        <v/>
      </c>
      <c r="AF417" s="47" t="e">
        <f t="shared" ca="1" si="212"/>
        <v>#NAME?</v>
      </c>
      <c r="AG417" s="47">
        <f t="shared" si="213"/>
        <v>41080101</v>
      </c>
      <c r="AH417" s="54" t="str">
        <f>IF(Q417="22",IF(ISNUMBER(SEARCH("econ",PAA_4[[#This Row],[Actividad3]])),"Económico",IF(ISNUMBER(SEARCH("alim",PAA_4[[#This Row],[Actividad3]])),"Alimentación",IF(ISNUMBER(SEARCH("educ",PAA_4[[#This Row],[Actividad3]])),"Educativo","Técnico"))),0)</f>
        <v>Técnico</v>
      </c>
      <c r="AI417" s="47" t="e" cm="1">
        <f t="array" aca="1" ref="AI417" ca="1">_xlfn.XLOOKUP(PAA_4[[#This Row],[RCP-RUBRO]],[2]!COMPROMISOS_2024[[#All],[concatenado]],[2]!COMPROMISOS_2024[[#All],[Total pagado]],"",0)</f>
        <v>#NAME?</v>
      </c>
      <c r="AJ417" s="56" t="e">
        <f ca="1">IF(PAA_4[[#This Row],[BOLSA]]=0,0,SUMIFS([2]!COMPROMISOS_2024[[#All],[Total pagado]],[2]!COMPROMISOS_2024[[#All],[Bolsa]],PAA_4[[#This Row],[BOLSA]],[2]!COMPROMISOS_2024[[#All],[rubro]],PAA_4[[#This Row],[RCP-RUBRO]]))</f>
        <v>#REF!</v>
      </c>
      <c r="AK417" s="47" t="e" cm="1">
        <f t="array" aca="1" ref="AK417" ca="1">_xlfn.XLOOKUP(PAA_4[[#This Row],[RCP-RUBRO]],[2]!COMPROMISOS_2024[[#All],[concatenado]],[2]!COMPROMISOS_2024[[#All],[Total Comprometido]],"",0)</f>
        <v>#NAME?</v>
      </c>
      <c r="AL417" s="47" t="e">
        <f ca="1">IF(PAA_4[[#This Row],[BOLSA]]=0,0,SUMIFS([2]!COMPROMISOS_2024[[#All],[Total Comprometido]],[2]!COMPROMISOS_2024[[#All],[Bolsa]],PAA_4[[#This Row],[BOLSA]],[2]!COMPROMISOS_2024[[#All],[concatenado]],PAA_4[[#This Row],[RCP-RUBRO]]))</f>
        <v>#REF!</v>
      </c>
    </row>
    <row r="418" spans="1:38" s="19" customFormat="1" ht="31.5" customHeight="1">
      <c r="A418" s="47" t="s">
        <v>82</v>
      </c>
      <c r="B418" s="51" t="s">
        <v>42</v>
      </c>
      <c r="C418" s="47" t="str">
        <f>VLOOKUP(PAA_4[[#This Row],[PROYECTO (formulado)2]],[2]PROYECTOS!$G$1:$L$32,6,0)</f>
        <v>SUBGERENCIA DE ALTOS LOGROS Y DEPORTE ASOCIADO</v>
      </c>
      <c r="D418" s="47" t="str">
        <f>+IF(PAA_4[[#This Row],[UNIDAD DE CONTRATACION (formulado)]]="Subgerencia Administrativa y Financiera","FUNCIONAMIENTO","INVERSIÓN")</f>
        <v>INVERSIÓN</v>
      </c>
      <c r="E418" s="48" t="str">
        <f>VLOOKUP(Q418,[2]PROYECTOS!$G$1:$K$32,5,0)</f>
        <v>APOYO_TÉCNICO_Y_PSICOSOCIAL_A_LOS_DEPORTISTAS_DE_ANTIOQUIA</v>
      </c>
      <c r="F418" s="48">
        <f>VLOOKUP(E418,[2]PROYECTOS!$K$1:$M$32,3,0)</f>
        <v>2021003050069</v>
      </c>
      <c r="G418" s="344" t="s">
        <v>239</v>
      </c>
      <c r="H418" s="49" t="str">
        <f>VLOOKUP(Q418,[2]PROYECTOS!$V$1:$W$32,2,0)</f>
        <v>050069</v>
      </c>
      <c r="I418" s="50">
        <v>450000</v>
      </c>
      <c r="J418" s="340" t="s">
        <v>1513</v>
      </c>
      <c r="K418" s="47" t="str">
        <f t="shared" ca="1" si="207"/>
        <v>CONTRATADO</v>
      </c>
      <c r="L418" s="47" t="s">
        <v>42</v>
      </c>
      <c r="M418" s="47" t="s">
        <v>42</v>
      </c>
      <c r="N418" s="344" t="s">
        <v>240</v>
      </c>
      <c r="O418" s="51" t="e">
        <f>VLOOKUP(N418,[2]!RUBROS[#All],3,0)</f>
        <v>#REF!</v>
      </c>
      <c r="P418" s="53" t="e">
        <f>VLOOKUP(N418,[2]!RUBROS[#All],2,0)</f>
        <v>#REF!</v>
      </c>
      <c r="Q418" s="47" t="str">
        <f t="shared" si="214"/>
        <v>22</v>
      </c>
      <c r="R418" s="47" t="str">
        <f t="shared" si="209"/>
        <v>0-205400</v>
      </c>
      <c r="S418" s="54" t="s">
        <v>42</v>
      </c>
      <c r="T418" s="329" t="s">
        <v>42</v>
      </c>
      <c r="U418" s="326" t="e">
        <f ca="1">_xlfn.XLOOKUP(PAA_4[[#This Row],[ITEM]],[2]Contrato!A:A,[2]Contrato!Q:Q,"",0)</f>
        <v>#NAME?</v>
      </c>
      <c r="V418" s="47" t="s">
        <v>95</v>
      </c>
      <c r="W418" s="47" t="s">
        <v>42</v>
      </c>
      <c r="X418" s="47" t="s">
        <v>42</v>
      </c>
      <c r="Y418" s="55" t="e">
        <f ca="1">_xlfn.XLOOKUP(PAA_4[[#This Row],[ITEM]],[2]Contrato!A:A,[2]Contrato!B:B,"",0)</f>
        <v>#NAME?</v>
      </c>
      <c r="Z418" s="47" t="e">
        <f ca="1">_xlfn.XLOOKUP(PAA_4[[#This Row],[ITEM]],[2]Contrato!A:A,[2]Contrato!G:G,"",0)</f>
        <v>#NAME?</v>
      </c>
      <c r="AA418" s="47" t="e">
        <f ca="1">_xlfn.XLOOKUP(PAA_4[[#This Row],[ITEM]],[2]Contrato!A:A,[2]Contrato!T:T,"",0)</f>
        <v>#NAME?</v>
      </c>
      <c r="AB418" s="55" t="e">
        <f ca="1">+MAX(PAA_4[[#This Row],[Comprometido Contrato]],PAA_4[[#This Row],[Comprometido Bolsa]])</f>
        <v>#NAME?</v>
      </c>
      <c r="AC418" s="55" t="str">
        <f t="shared" ca="1" si="210"/>
        <v/>
      </c>
      <c r="AD418" s="55" t="e">
        <f ca="1">IF(PAA_4[[#This Row],[ESTADO (formulado)]]="NO CONTRATADO",0,MAX(PAA_4[[#This Row],[Pago por Contrato]],PAA_4[[#This Row],[Pago por bolsa]]))</f>
        <v>#NAME?</v>
      </c>
      <c r="AE418" s="55" t="str">
        <f t="shared" ca="1" si="211"/>
        <v/>
      </c>
      <c r="AF418" s="47" t="e">
        <f t="shared" ca="1" si="212"/>
        <v>#NAME?</v>
      </c>
      <c r="AG418" s="47">
        <f t="shared" si="213"/>
        <v>41080101</v>
      </c>
      <c r="AH418" s="54" t="str">
        <f>IF(Q418="22",IF(ISNUMBER(SEARCH("econ",PAA_4[[#This Row],[Actividad3]])),"Económico",IF(ISNUMBER(SEARCH("alim",PAA_4[[#This Row],[Actividad3]])),"Alimentación",IF(ISNUMBER(SEARCH("educ",PAA_4[[#This Row],[Actividad3]])),"Educativo","Técnico"))),0)</f>
        <v>Técnico</v>
      </c>
      <c r="AI418" s="47" t="e" cm="1">
        <f t="array" aca="1" ref="AI418" ca="1">_xlfn.XLOOKUP(PAA_4[[#This Row],[RCP-RUBRO]],[2]!COMPROMISOS_2024[[#All],[concatenado]],[2]!COMPROMISOS_2024[[#All],[Total pagado]],"",0)</f>
        <v>#NAME?</v>
      </c>
      <c r="AJ418" s="56" t="e">
        <f ca="1">IF(PAA_4[[#This Row],[BOLSA]]=0,0,SUMIFS([2]!COMPROMISOS_2024[[#All],[Total pagado]],[2]!COMPROMISOS_2024[[#All],[Bolsa]],PAA_4[[#This Row],[BOLSA]],[2]!COMPROMISOS_2024[[#All],[rubro]],PAA_4[[#This Row],[RCP-RUBRO]]))</f>
        <v>#REF!</v>
      </c>
      <c r="AK418" s="47" t="e" cm="1">
        <f t="array" aca="1" ref="AK418" ca="1">_xlfn.XLOOKUP(PAA_4[[#This Row],[RCP-RUBRO]],[2]!COMPROMISOS_2024[[#All],[concatenado]],[2]!COMPROMISOS_2024[[#All],[Total Comprometido]],"",0)</f>
        <v>#NAME?</v>
      </c>
      <c r="AL418" s="47" t="e">
        <f ca="1">IF(PAA_4[[#This Row],[BOLSA]]=0,0,SUMIFS([2]!COMPROMISOS_2024[[#All],[Total Comprometido]],[2]!COMPROMISOS_2024[[#All],[Bolsa]],PAA_4[[#This Row],[BOLSA]],[2]!COMPROMISOS_2024[[#All],[concatenado]],PAA_4[[#This Row],[RCP-RUBRO]]))</f>
        <v>#REF!</v>
      </c>
    </row>
    <row r="419" spans="1:38" s="19" customFormat="1" ht="31.5" customHeight="1">
      <c r="A419" s="47" t="s">
        <v>82</v>
      </c>
      <c r="B419" s="51" t="s">
        <v>42</v>
      </c>
      <c r="C419" s="47" t="str">
        <f>VLOOKUP(PAA_4[[#This Row],[PROYECTO (formulado)2]],[2]PROYECTOS!$G$1:$L$32,6,0)</f>
        <v>SUBGERENCIA DE ALTOS LOGROS Y DEPORTE ASOCIADO</v>
      </c>
      <c r="D419" s="47" t="str">
        <f>+IF(PAA_4[[#This Row],[UNIDAD DE CONTRATACION (formulado)]]="Subgerencia Administrativa y Financiera","FUNCIONAMIENTO","INVERSIÓN")</f>
        <v>INVERSIÓN</v>
      </c>
      <c r="E419" s="48" t="str">
        <f>VLOOKUP(Q419,[2]PROYECTOS!$G$1:$K$32,5,0)</f>
        <v>FORTALECIMIENTO_DEL_PROGRAMA_DE_ALTOS_LOGROS_Y_LIDERAZGO_DEPORTIVO_EN_EL_DEPARTAMENTO_DE_ANTIOQUIA</v>
      </c>
      <c r="F419" s="48">
        <f>VLOOKUP(E419,[2]PROYECTOS!$K$1:$M$32,3,0)</f>
        <v>2020003050021</v>
      </c>
      <c r="G419" s="344" t="s">
        <v>224</v>
      </c>
      <c r="H419" s="49" t="str">
        <f>VLOOKUP(Q419,[2]PROYECTOS!$V$1:$W$32,2,0)</f>
        <v>050061</v>
      </c>
      <c r="I419" s="50">
        <v>79160</v>
      </c>
      <c r="J419" s="340" t="s">
        <v>1513</v>
      </c>
      <c r="K419" s="47" t="str">
        <f t="shared" ca="1" si="207"/>
        <v>CONTRATADO</v>
      </c>
      <c r="L419" s="47" t="s">
        <v>42</v>
      </c>
      <c r="M419" s="47" t="s">
        <v>42</v>
      </c>
      <c r="N419" s="344" t="s">
        <v>225</v>
      </c>
      <c r="O419" s="51" t="e">
        <f>VLOOKUP(N419,[2]!RUBROS[#All],3,0)</f>
        <v>#REF!</v>
      </c>
      <c r="P419" s="53" t="e">
        <f>VLOOKUP(N419,[2]!RUBROS[#All],2,0)</f>
        <v>#REF!</v>
      </c>
      <c r="Q419" s="47" t="str">
        <f t="shared" si="214"/>
        <v>20</v>
      </c>
      <c r="R419" s="47" t="str">
        <f t="shared" si="209"/>
        <v>4-101124</v>
      </c>
      <c r="S419" s="54" t="s">
        <v>42</v>
      </c>
      <c r="T419" s="329" t="s">
        <v>42</v>
      </c>
      <c r="U419" s="326" t="e">
        <f ca="1">_xlfn.XLOOKUP(PAA_4[[#This Row],[ITEM]],[2]Contrato!A:A,[2]Contrato!Q:Q,"",0)</f>
        <v>#NAME?</v>
      </c>
      <c r="V419" s="47" t="s">
        <v>95</v>
      </c>
      <c r="W419" s="47" t="s">
        <v>42</v>
      </c>
      <c r="X419" s="47" t="s">
        <v>42</v>
      </c>
      <c r="Y419" s="55" t="e">
        <f ca="1">_xlfn.XLOOKUP(PAA_4[[#This Row],[ITEM]],[2]Contrato!A:A,[2]Contrato!B:B,"",0)</f>
        <v>#NAME?</v>
      </c>
      <c r="Z419" s="47" t="e">
        <f ca="1">_xlfn.XLOOKUP(PAA_4[[#This Row],[ITEM]],[2]Contrato!A:A,[2]Contrato!G:G,"",0)</f>
        <v>#NAME?</v>
      </c>
      <c r="AA419" s="47" t="e">
        <f ca="1">_xlfn.XLOOKUP(PAA_4[[#This Row],[ITEM]],[2]Contrato!A:A,[2]Contrato!T:T,"",0)</f>
        <v>#NAME?</v>
      </c>
      <c r="AB419" s="55" t="e">
        <f ca="1">+MAX(PAA_4[[#This Row],[Comprometido Contrato]],PAA_4[[#This Row],[Comprometido Bolsa]])</f>
        <v>#NAME?</v>
      </c>
      <c r="AC419" s="55" t="str">
        <f t="shared" ca="1" si="210"/>
        <v/>
      </c>
      <c r="AD419" s="55" t="e">
        <f ca="1">IF(PAA_4[[#This Row],[ESTADO (formulado)]]="NO CONTRATADO",0,MAX(PAA_4[[#This Row],[Pago por Contrato]],PAA_4[[#This Row],[Pago por bolsa]]))</f>
        <v>#NAME?</v>
      </c>
      <c r="AE419" s="55" t="str">
        <f t="shared" ca="1" si="211"/>
        <v/>
      </c>
      <c r="AF419" s="47" t="e">
        <f t="shared" ca="1" si="212"/>
        <v>#NAME?</v>
      </c>
      <c r="AG419" s="47">
        <f t="shared" si="213"/>
        <v>41080111</v>
      </c>
      <c r="AH419" s="54">
        <f>IF(Q419="22",IF(ISNUMBER(SEARCH("econ",PAA_4[[#This Row],[Actividad3]])),"Económico",IF(ISNUMBER(SEARCH("alim",PAA_4[[#This Row],[Actividad3]])),"Alimentación",IF(ISNUMBER(SEARCH("educ",PAA_4[[#This Row],[Actividad3]])),"Educativo","Técnico"))),0)</f>
        <v>0</v>
      </c>
      <c r="AI419" s="47" t="e" cm="1">
        <f t="array" aca="1" ref="AI419" ca="1">_xlfn.XLOOKUP(PAA_4[[#This Row],[RCP-RUBRO]],[2]!COMPROMISOS_2024[[#All],[concatenado]],[2]!COMPROMISOS_2024[[#All],[Total pagado]],"",0)</f>
        <v>#NAME?</v>
      </c>
      <c r="AJ419" s="56">
        <f>IF(PAA_4[[#This Row],[BOLSA]]=0,0,SUMIFS([2]!COMPROMISOS_2024[[#All],[Total pagado]],[2]!COMPROMISOS_2024[[#All],[Bolsa]],PAA_4[[#This Row],[BOLSA]],[2]!COMPROMISOS_2024[[#All],[rubro]],PAA_4[[#This Row],[RCP-RUBRO]]))</f>
        <v>0</v>
      </c>
      <c r="AK419" s="47" t="e" cm="1">
        <f t="array" aca="1" ref="AK419" ca="1">_xlfn.XLOOKUP(PAA_4[[#This Row],[RCP-RUBRO]],[2]!COMPROMISOS_2024[[#All],[concatenado]],[2]!COMPROMISOS_2024[[#All],[Total Comprometido]],"",0)</f>
        <v>#NAME?</v>
      </c>
      <c r="AL419" s="47">
        <f>IF(PAA_4[[#This Row],[BOLSA]]=0,0,SUMIFS([2]!COMPROMISOS_2024[[#All],[Total Comprometido]],[2]!COMPROMISOS_2024[[#All],[Bolsa]],PAA_4[[#This Row],[BOLSA]],[2]!COMPROMISOS_2024[[#All],[concatenado]],PAA_4[[#This Row],[RCP-RUBRO]]))</f>
        <v>0</v>
      </c>
    </row>
    <row r="420" spans="1:38" s="19" customFormat="1" ht="31.5" customHeight="1">
      <c r="A420" s="47" t="s">
        <v>82</v>
      </c>
      <c r="B420" s="51" t="s">
        <v>42</v>
      </c>
      <c r="C420" s="47" t="str">
        <f>VLOOKUP(PAA_4[[#This Row],[PROYECTO (formulado)2]],[2]PROYECTOS!$G$1:$L$32,6,0)</f>
        <v>SUBGERENCIA DE ALTOS LOGROS Y DEPORTE ASOCIADO</v>
      </c>
      <c r="D420" s="47" t="str">
        <f>+IF(PAA_4[[#This Row],[UNIDAD DE CONTRATACION (formulado)]]="Subgerencia Administrativa y Financiera","FUNCIONAMIENTO","INVERSIÓN")</f>
        <v>INVERSIÓN</v>
      </c>
      <c r="E420" s="48" t="str">
        <f>VLOOKUP(Q420,[2]PROYECTOS!$G$1:$K$32,5,0)</f>
        <v>FORTALECIMIENTO_DEL_PROGRAMA_DE_ALTOS_LOGROS_Y_LIDERAZGO_DEPORTIVO_EN_EL_DEPARTAMENTO_DE_ANTIOQUIA</v>
      </c>
      <c r="F420" s="48">
        <f>VLOOKUP(E420,[2]PROYECTOS!$K$1:$M$32,3,0)</f>
        <v>2020003050021</v>
      </c>
      <c r="G420" s="344" t="s">
        <v>224</v>
      </c>
      <c r="H420" s="49" t="str">
        <f>VLOOKUP(Q420,[2]PROYECTOS!$V$1:$W$32,2,0)</f>
        <v>050061</v>
      </c>
      <c r="I420" s="50">
        <v>383</v>
      </c>
      <c r="J420" s="340" t="s">
        <v>1513</v>
      </c>
      <c r="K420" s="47" t="str">
        <f t="shared" ca="1" si="207"/>
        <v>CONTRATADO</v>
      </c>
      <c r="L420" s="47" t="s">
        <v>42</v>
      </c>
      <c r="M420" s="47" t="s">
        <v>42</v>
      </c>
      <c r="N420" s="344" t="s">
        <v>225</v>
      </c>
      <c r="O420" s="51" t="e">
        <f>VLOOKUP(N420,[2]!RUBROS[#All],3,0)</f>
        <v>#REF!</v>
      </c>
      <c r="P420" s="53" t="e">
        <f>VLOOKUP(N420,[2]!RUBROS[#All],2,0)</f>
        <v>#REF!</v>
      </c>
      <c r="Q420" s="47" t="str">
        <f t="shared" si="214"/>
        <v>20</v>
      </c>
      <c r="R420" s="47" t="str">
        <f t="shared" si="209"/>
        <v>4-101124</v>
      </c>
      <c r="S420" s="54" t="s">
        <v>42</v>
      </c>
      <c r="T420" s="329" t="s">
        <v>42</v>
      </c>
      <c r="U420" s="326" t="e">
        <f ca="1">_xlfn.XLOOKUP(PAA_4[[#This Row],[ITEM]],[2]Contrato!A:A,[2]Contrato!Q:Q,"",0)</f>
        <v>#NAME?</v>
      </c>
      <c r="V420" s="47" t="s">
        <v>95</v>
      </c>
      <c r="W420" s="47" t="s">
        <v>42</v>
      </c>
      <c r="X420" s="47" t="s">
        <v>42</v>
      </c>
      <c r="Y420" s="55" t="e">
        <f ca="1">_xlfn.XLOOKUP(PAA_4[[#This Row],[ITEM]],[2]Contrato!A:A,[2]Contrato!B:B,"",0)</f>
        <v>#NAME?</v>
      </c>
      <c r="Z420" s="47" t="e">
        <f ca="1">_xlfn.XLOOKUP(PAA_4[[#This Row],[ITEM]],[2]Contrato!A:A,[2]Contrato!G:G,"",0)</f>
        <v>#NAME?</v>
      </c>
      <c r="AA420" s="47" t="e">
        <f ca="1">_xlfn.XLOOKUP(PAA_4[[#This Row],[ITEM]],[2]Contrato!A:A,[2]Contrato!T:T,"",0)</f>
        <v>#NAME?</v>
      </c>
      <c r="AB420" s="55" t="e">
        <f ca="1">+MAX(PAA_4[[#This Row],[Comprometido Contrato]],PAA_4[[#This Row],[Comprometido Bolsa]])</f>
        <v>#NAME?</v>
      </c>
      <c r="AC420" s="55" t="str">
        <f t="shared" ca="1" si="210"/>
        <v/>
      </c>
      <c r="AD420" s="55" t="e">
        <f ca="1">IF(PAA_4[[#This Row],[ESTADO (formulado)]]="NO CONTRATADO",0,MAX(PAA_4[[#This Row],[Pago por Contrato]],PAA_4[[#This Row],[Pago por bolsa]]))</f>
        <v>#NAME?</v>
      </c>
      <c r="AE420" s="55" t="str">
        <f t="shared" ca="1" si="211"/>
        <v/>
      </c>
      <c r="AF420" s="47" t="e">
        <f t="shared" ca="1" si="212"/>
        <v>#NAME?</v>
      </c>
      <c r="AG420" s="47">
        <f t="shared" si="213"/>
        <v>41080111</v>
      </c>
      <c r="AH420" s="54">
        <f>IF(Q420="22",IF(ISNUMBER(SEARCH("econ",PAA_4[[#This Row],[Actividad3]])),"Económico",IF(ISNUMBER(SEARCH("alim",PAA_4[[#This Row],[Actividad3]])),"Alimentación",IF(ISNUMBER(SEARCH("educ",PAA_4[[#This Row],[Actividad3]])),"Educativo","Técnico"))),0)</f>
        <v>0</v>
      </c>
      <c r="AI420" s="47" t="e" cm="1">
        <f t="array" aca="1" ref="AI420" ca="1">_xlfn.XLOOKUP(PAA_4[[#This Row],[RCP-RUBRO]],[2]!COMPROMISOS_2024[[#All],[concatenado]],[2]!COMPROMISOS_2024[[#All],[Total pagado]],"",0)</f>
        <v>#NAME?</v>
      </c>
      <c r="AJ420" s="56">
        <f>IF(PAA_4[[#This Row],[BOLSA]]=0,0,SUMIFS([2]!COMPROMISOS_2024[[#All],[Total pagado]],[2]!COMPROMISOS_2024[[#All],[Bolsa]],PAA_4[[#This Row],[BOLSA]],[2]!COMPROMISOS_2024[[#All],[rubro]],PAA_4[[#This Row],[RCP-RUBRO]]))</f>
        <v>0</v>
      </c>
      <c r="AK420" s="47" t="e" cm="1">
        <f t="array" aca="1" ref="AK420" ca="1">_xlfn.XLOOKUP(PAA_4[[#This Row],[RCP-RUBRO]],[2]!COMPROMISOS_2024[[#All],[concatenado]],[2]!COMPROMISOS_2024[[#All],[Total Comprometido]],"",0)</f>
        <v>#NAME?</v>
      </c>
      <c r="AL420" s="47">
        <f>IF(PAA_4[[#This Row],[BOLSA]]=0,0,SUMIFS([2]!COMPROMISOS_2024[[#All],[Total Comprometido]],[2]!COMPROMISOS_2024[[#All],[Bolsa]],PAA_4[[#This Row],[BOLSA]],[2]!COMPROMISOS_2024[[#All],[concatenado]],PAA_4[[#This Row],[RCP-RUBRO]]))</f>
        <v>0</v>
      </c>
    </row>
    <row r="421" spans="1:38" s="19" customFormat="1" ht="31.5" customHeight="1">
      <c r="A421" s="47" t="s">
        <v>82</v>
      </c>
      <c r="B421" s="51" t="s">
        <v>42</v>
      </c>
      <c r="C421" s="47" t="str">
        <f>VLOOKUP(PAA_4[[#This Row],[PROYECTO (formulado)2]],[2]PROYECTOS!$G$1:$L$32,6,0)</f>
        <v>SUBGERENCIA DE ALTOS LOGROS Y DEPORTE ASOCIADO</v>
      </c>
      <c r="D421" s="47" t="str">
        <f>+IF(PAA_4[[#This Row],[UNIDAD DE CONTRATACION (formulado)]]="Subgerencia Administrativa y Financiera","FUNCIONAMIENTO","INVERSIÓN")</f>
        <v>INVERSIÓN</v>
      </c>
      <c r="E421" s="48" t="str">
        <f>VLOOKUP(Q421,[2]PROYECTOS!$G$1:$K$32,5,0)</f>
        <v>FORTALECIMIENTO_DEL_PROGRAMA_DE_ALTOS_LOGROS_Y_LIDERAZGO_DEPORTIVO_EN_EL_DEPARTAMENTO_DE_ANTIOQUIA</v>
      </c>
      <c r="F421" s="48">
        <f>VLOOKUP(E421,[2]PROYECTOS!$K$1:$M$32,3,0)</f>
        <v>2020003050021</v>
      </c>
      <c r="G421" s="344" t="s">
        <v>224</v>
      </c>
      <c r="H421" s="49" t="str">
        <f>VLOOKUP(Q421,[2]PROYECTOS!$V$1:$W$32,2,0)</f>
        <v>050061</v>
      </c>
      <c r="I421" s="50">
        <v>9621200</v>
      </c>
      <c r="J421" s="340" t="s">
        <v>1513</v>
      </c>
      <c r="K421" s="47" t="str">
        <f t="shared" ca="1" si="207"/>
        <v>CONTRATADO</v>
      </c>
      <c r="L421" s="47" t="s">
        <v>42</v>
      </c>
      <c r="M421" s="47" t="s">
        <v>42</v>
      </c>
      <c r="N421" s="344" t="s">
        <v>225</v>
      </c>
      <c r="O421" s="51" t="e">
        <f>VLOOKUP(N421,[2]!RUBROS[#All],3,0)</f>
        <v>#REF!</v>
      </c>
      <c r="P421" s="53" t="e">
        <f>VLOOKUP(N421,[2]!RUBROS[#All],2,0)</f>
        <v>#REF!</v>
      </c>
      <c r="Q421" s="47" t="str">
        <f t="shared" si="214"/>
        <v>20</v>
      </c>
      <c r="R421" s="47" t="str">
        <f t="shared" si="209"/>
        <v>4-101124</v>
      </c>
      <c r="S421" s="54" t="s">
        <v>42</v>
      </c>
      <c r="T421" s="329" t="s">
        <v>42</v>
      </c>
      <c r="U421" s="326" t="e">
        <f ca="1">_xlfn.XLOOKUP(PAA_4[[#This Row],[ITEM]],[2]Contrato!A:A,[2]Contrato!Q:Q,"",0)</f>
        <v>#NAME?</v>
      </c>
      <c r="V421" s="47" t="s">
        <v>95</v>
      </c>
      <c r="W421" s="47" t="s">
        <v>42</v>
      </c>
      <c r="X421" s="47" t="s">
        <v>42</v>
      </c>
      <c r="Y421" s="55" t="e">
        <f ca="1">_xlfn.XLOOKUP(PAA_4[[#This Row],[ITEM]],[2]Contrato!A:A,[2]Contrato!B:B,"",0)</f>
        <v>#NAME?</v>
      </c>
      <c r="Z421" s="47" t="e">
        <f ca="1">_xlfn.XLOOKUP(PAA_4[[#This Row],[ITEM]],[2]Contrato!A:A,[2]Contrato!G:G,"",0)</f>
        <v>#NAME?</v>
      </c>
      <c r="AA421" s="47" t="e">
        <f ca="1">_xlfn.XLOOKUP(PAA_4[[#This Row],[ITEM]],[2]Contrato!A:A,[2]Contrato!T:T,"",0)</f>
        <v>#NAME?</v>
      </c>
      <c r="AB421" s="55" t="e">
        <f ca="1">+MAX(PAA_4[[#This Row],[Comprometido Contrato]],PAA_4[[#This Row],[Comprometido Bolsa]])</f>
        <v>#NAME?</v>
      </c>
      <c r="AC421" s="55" t="str">
        <f t="shared" ca="1" si="210"/>
        <v/>
      </c>
      <c r="AD421" s="55" t="e">
        <f ca="1">IF(PAA_4[[#This Row],[ESTADO (formulado)]]="NO CONTRATADO",0,MAX(PAA_4[[#This Row],[Pago por Contrato]],PAA_4[[#This Row],[Pago por bolsa]]))</f>
        <v>#NAME?</v>
      </c>
      <c r="AE421" s="55" t="str">
        <f t="shared" ca="1" si="211"/>
        <v/>
      </c>
      <c r="AF421" s="47" t="e">
        <f t="shared" ca="1" si="212"/>
        <v>#NAME?</v>
      </c>
      <c r="AG421" s="47">
        <f t="shared" si="213"/>
        <v>41080111</v>
      </c>
      <c r="AH421" s="54">
        <f>IF(Q421="22",IF(ISNUMBER(SEARCH("econ",PAA_4[[#This Row],[Actividad3]])),"Económico",IF(ISNUMBER(SEARCH("alim",PAA_4[[#This Row],[Actividad3]])),"Alimentación",IF(ISNUMBER(SEARCH("educ",PAA_4[[#This Row],[Actividad3]])),"Educativo","Técnico"))),0)</f>
        <v>0</v>
      </c>
      <c r="AI421" s="47" t="e" cm="1">
        <f t="array" aca="1" ref="AI421" ca="1">_xlfn.XLOOKUP(PAA_4[[#This Row],[RCP-RUBRO]],[2]!COMPROMISOS_2024[[#All],[concatenado]],[2]!COMPROMISOS_2024[[#All],[Total pagado]],"",0)</f>
        <v>#NAME?</v>
      </c>
      <c r="AJ421" s="56">
        <f>IF(PAA_4[[#This Row],[BOLSA]]=0,0,SUMIFS([2]!COMPROMISOS_2024[[#All],[Total pagado]],[2]!COMPROMISOS_2024[[#All],[Bolsa]],PAA_4[[#This Row],[BOLSA]],[2]!COMPROMISOS_2024[[#All],[rubro]],PAA_4[[#This Row],[RCP-RUBRO]]))</f>
        <v>0</v>
      </c>
      <c r="AK421" s="47" t="e" cm="1">
        <f t="array" aca="1" ref="AK421" ca="1">_xlfn.XLOOKUP(PAA_4[[#This Row],[RCP-RUBRO]],[2]!COMPROMISOS_2024[[#All],[concatenado]],[2]!COMPROMISOS_2024[[#All],[Total Comprometido]],"",0)</f>
        <v>#NAME?</v>
      </c>
      <c r="AL421" s="47">
        <f>IF(PAA_4[[#This Row],[BOLSA]]=0,0,SUMIFS([2]!COMPROMISOS_2024[[#All],[Total Comprometido]],[2]!COMPROMISOS_2024[[#All],[Bolsa]],PAA_4[[#This Row],[BOLSA]],[2]!COMPROMISOS_2024[[#All],[concatenado]],PAA_4[[#This Row],[RCP-RUBRO]]))</f>
        <v>0</v>
      </c>
    </row>
    <row r="422" spans="1:38" s="19" customFormat="1" ht="31.5" customHeight="1">
      <c r="A422" s="47" t="s">
        <v>82</v>
      </c>
      <c r="B422" s="51" t="s">
        <v>42</v>
      </c>
      <c r="C422" s="47" t="str">
        <f>VLOOKUP(PAA_4[[#This Row],[PROYECTO (formulado)2]],[2]PROYECTOS!$G$1:$L$32,6,0)</f>
        <v>SUBGERENCIA DE ALTOS LOGROS Y DEPORTE ASOCIADO</v>
      </c>
      <c r="D422" s="47" t="str">
        <f>+IF(PAA_4[[#This Row],[UNIDAD DE CONTRATACION (formulado)]]="Subgerencia Administrativa y Financiera","FUNCIONAMIENTO","INVERSIÓN")</f>
        <v>INVERSIÓN</v>
      </c>
      <c r="E422" s="48" t="str">
        <f>VLOOKUP(Q422,[2]PROYECTOS!$G$1:$K$32,5,0)</f>
        <v>FORTALECIMIENTO_DEL_PROGRAMA_DE_ALTOS_LOGROS_Y_LIDERAZGO_DEPORTIVO_EN_EL_DEPARTAMENTO_DE_ANTIOQUIA</v>
      </c>
      <c r="F422" s="48">
        <f>VLOOKUP(E422,[2]PROYECTOS!$K$1:$M$32,3,0)</f>
        <v>2020003050021</v>
      </c>
      <c r="G422" s="344" t="s">
        <v>224</v>
      </c>
      <c r="H422" s="49" t="str">
        <f>VLOOKUP(Q422,[2]PROYECTOS!$V$1:$W$32,2,0)</f>
        <v>050061</v>
      </c>
      <c r="I422" s="50">
        <v>1420000</v>
      </c>
      <c r="J422" s="340" t="s">
        <v>1513</v>
      </c>
      <c r="K422" s="47" t="str">
        <f t="shared" ca="1" si="207"/>
        <v>CONTRATADO</v>
      </c>
      <c r="L422" s="47" t="s">
        <v>42</v>
      </c>
      <c r="M422" s="47" t="s">
        <v>42</v>
      </c>
      <c r="N422" s="344" t="s">
        <v>225</v>
      </c>
      <c r="O422" s="51" t="e">
        <f>VLOOKUP(N422,[2]!RUBROS[#All],3,0)</f>
        <v>#REF!</v>
      </c>
      <c r="P422" s="53" t="e">
        <f>VLOOKUP(N422,[2]!RUBROS[#All],2,0)</f>
        <v>#REF!</v>
      </c>
      <c r="Q422" s="47" t="str">
        <f t="shared" si="214"/>
        <v>20</v>
      </c>
      <c r="R422" s="47" t="str">
        <f t="shared" si="209"/>
        <v>4-101124</v>
      </c>
      <c r="S422" s="54" t="s">
        <v>42</v>
      </c>
      <c r="T422" s="329" t="s">
        <v>42</v>
      </c>
      <c r="U422" s="326" t="e">
        <f ca="1">_xlfn.XLOOKUP(PAA_4[[#This Row],[ITEM]],[2]Contrato!A:A,[2]Contrato!Q:Q,"",0)</f>
        <v>#NAME?</v>
      </c>
      <c r="V422" s="47" t="s">
        <v>95</v>
      </c>
      <c r="W422" s="47" t="s">
        <v>42</v>
      </c>
      <c r="X422" s="47" t="s">
        <v>42</v>
      </c>
      <c r="Y422" s="55" t="e">
        <f ca="1">_xlfn.XLOOKUP(PAA_4[[#This Row],[ITEM]],[2]Contrato!A:A,[2]Contrato!B:B,"",0)</f>
        <v>#NAME?</v>
      </c>
      <c r="Z422" s="47" t="e">
        <f ca="1">_xlfn.XLOOKUP(PAA_4[[#This Row],[ITEM]],[2]Contrato!A:A,[2]Contrato!G:G,"",0)</f>
        <v>#NAME?</v>
      </c>
      <c r="AA422" s="47" t="e">
        <f ca="1">_xlfn.XLOOKUP(PAA_4[[#This Row],[ITEM]],[2]Contrato!A:A,[2]Contrato!T:T,"",0)</f>
        <v>#NAME?</v>
      </c>
      <c r="AB422" s="55" t="e">
        <f ca="1">+MAX(PAA_4[[#This Row],[Comprometido Contrato]],PAA_4[[#This Row],[Comprometido Bolsa]])</f>
        <v>#NAME?</v>
      </c>
      <c r="AC422" s="55" t="str">
        <f t="shared" ca="1" si="210"/>
        <v/>
      </c>
      <c r="AD422" s="55" t="e">
        <f ca="1">IF(PAA_4[[#This Row],[ESTADO (formulado)]]="NO CONTRATADO",0,MAX(PAA_4[[#This Row],[Pago por Contrato]],PAA_4[[#This Row],[Pago por bolsa]]))</f>
        <v>#NAME?</v>
      </c>
      <c r="AE422" s="55" t="str">
        <f t="shared" ca="1" si="211"/>
        <v/>
      </c>
      <c r="AF422" s="47" t="e">
        <f t="shared" ca="1" si="212"/>
        <v>#NAME?</v>
      </c>
      <c r="AG422" s="47">
        <f t="shared" si="213"/>
        <v>41080111</v>
      </c>
      <c r="AH422" s="54">
        <f>IF(Q422="22",IF(ISNUMBER(SEARCH("econ",PAA_4[[#This Row],[Actividad3]])),"Económico",IF(ISNUMBER(SEARCH("alim",PAA_4[[#This Row],[Actividad3]])),"Alimentación",IF(ISNUMBER(SEARCH("educ",PAA_4[[#This Row],[Actividad3]])),"Educativo","Técnico"))),0)</f>
        <v>0</v>
      </c>
      <c r="AI422" s="47" t="e" cm="1">
        <f t="array" aca="1" ref="AI422" ca="1">_xlfn.XLOOKUP(PAA_4[[#This Row],[RCP-RUBRO]],[2]!COMPROMISOS_2024[[#All],[concatenado]],[2]!COMPROMISOS_2024[[#All],[Total pagado]],"",0)</f>
        <v>#NAME?</v>
      </c>
      <c r="AJ422" s="56">
        <f>IF(PAA_4[[#This Row],[BOLSA]]=0,0,SUMIFS([2]!COMPROMISOS_2024[[#All],[Total pagado]],[2]!COMPROMISOS_2024[[#All],[Bolsa]],PAA_4[[#This Row],[BOLSA]],[2]!COMPROMISOS_2024[[#All],[rubro]],PAA_4[[#This Row],[RCP-RUBRO]]))</f>
        <v>0</v>
      </c>
      <c r="AK422" s="47" t="e" cm="1">
        <f t="array" aca="1" ref="AK422" ca="1">_xlfn.XLOOKUP(PAA_4[[#This Row],[RCP-RUBRO]],[2]!COMPROMISOS_2024[[#All],[concatenado]],[2]!COMPROMISOS_2024[[#All],[Total Comprometido]],"",0)</f>
        <v>#NAME?</v>
      </c>
      <c r="AL422" s="47">
        <f>IF(PAA_4[[#This Row],[BOLSA]]=0,0,SUMIFS([2]!COMPROMISOS_2024[[#All],[Total Comprometido]],[2]!COMPROMISOS_2024[[#All],[Bolsa]],PAA_4[[#This Row],[BOLSA]],[2]!COMPROMISOS_2024[[#All],[concatenado]],PAA_4[[#This Row],[RCP-RUBRO]]))</f>
        <v>0</v>
      </c>
    </row>
    <row r="423" spans="1:38" s="19" customFormat="1" ht="31.5" customHeight="1">
      <c r="A423" s="47" t="s">
        <v>82</v>
      </c>
      <c r="B423" s="51" t="s">
        <v>42</v>
      </c>
      <c r="C423" s="47" t="str">
        <f>VLOOKUP(PAA_4[[#This Row],[PROYECTO (formulado)2]],[2]PROYECTOS!$G$1:$L$32,6,0)</f>
        <v>SUBGERENCIA DE ALTOS LOGROS Y DEPORTE ASOCIADO</v>
      </c>
      <c r="D423" s="47" t="str">
        <f>+IF(PAA_4[[#This Row],[UNIDAD DE CONTRATACION (formulado)]]="Subgerencia Administrativa y Financiera","FUNCIONAMIENTO","INVERSIÓN")</f>
        <v>INVERSIÓN</v>
      </c>
      <c r="E423" s="48" t="str">
        <f>VLOOKUP(Q423,[2]PROYECTOS!$G$1:$K$32,5,0)</f>
        <v>FORTALECIMIENTO_DEL_PROGRAMA_DE_ALTOS_LOGROS_Y_LIDERAZGO_DEPORTIVO_EN_EL_DEPARTAMENTO_DE_ANTIOQUIA</v>
      </c>
      <c r="F423" s="48">
        <f>VLOOKUP(E423,[2]PROYECTOS!$K$1:$M$32,3,0)</f>
        <v>2020003050021</v>
      </c>
      <c r="G423" s="344" t="s">
        <v>224</v>
      </c>
      <c r="H423" s="49" t="str">
        <f>VLOOKUP(Q423,[2]PROYECTOS!$V$1:$W$32,2,0)</f>
        <v>050061</v>
      </c>
      <c r="I423" s="50">
        <v>33154584</v>
      </c>
      <c r="J423" s="340" t="s">
        <v>1513</v>
      </c>
      <c r="K423" s="47" t="str">
        <f t="shared" ca="1" si="207"/>
        <v>CONTRATADO</v>
      </c>
      <c r="L423" s="47" t="s">
        <v>42</v>
      </c>
      <c r="M423" s="47" t="s">
        <v>42</v>
      </c>
      <c r="N423" s="344" t="s">
        <v>225</v>
      </c>
      <c r="O423" s="51" t="e">
        <f>VLOOKUP(N423,[2]!RUBROS[#All],3,0)</f>
        <v>#REF!</v>
      </c>
      <c r="P423" s="53" t="e">
        <f>VLOOKUP(N423,[2]!RUBROS[#All],2,0)</f>
        <v>#REF!</v>
      </c>
      <c r="Q423" s="47" t="str">
        <f t="shared" si="214"/>
        <v>20</v>
      </c>
      <c r="R423" s="47" t="str">
        <f t="shared" si="209"/>
        <v>4-101124</v>
      </c>
      <c r="S423" s="54" t="s">
        <v>42</v>
      </c>
      <c r="T423" s="329" t="s">
        <v>42</v>
      </c>
      <c r="U423" s="326" t="e">
        <f ca="1">_xlfn.XLOOKUP(PAA_4[[#This Row],[ITEM]],[2]Contrato!A:A,[2]Contrato!Q:Q,"",0)</f>
        <v>#NAME?</v>
      </c>
      <c r="V423" s="47" t="s">
        <v>95</v>
      </c>
      <c r="W423" s="47" t="s">
        <v>42</v>
      </c>
      <c r="X423" s="47" t="s">
        <v>42</v>
      </c>
      <c r="Y423" s="55" t="e">
        <f ca="1">_xlfn.XLOOKUP(PAA_4[[#This Row],[ITEM]],[2]Contrato!A:A,[2]Contrato!B:B,"",0)</f>
        <v>#NAME?</v>
      </c>
      <c r="Z423" s="47" t="e">
        <f ca="1">_xlfn.XLOOKUP(PAA_4[[#This Row],[ITEM]],[2]Contrato!A:A,[2]Contrato!G:G,"",0)</f>
        <v>#NAME?</v>
      </c>
      <c r="AA423" s="47" t="e">
        <f ca="1">_xlfn.XLOOKUP(PAA_4[[#This Row],[ITEM]],[2]Contrato!A:A,[2]Contrato!T:T,"",0)</f>
        <v>#NAME?</v>
      </c>
      <c r="AB423" s="55" t="e">
        <f ca="1">+MAX(PAA_4[[#This Row],[Comprometido Contrato]],PAA_4[[#This Row],[Comprometido Bolsa]])</f>
        <v>#NAME?</v>
      </c>
      <c r="AC423" s="55" t="str">
        <f t="shared" ca="1" si="210"/>
        <v/>
      </c>
      <c r="AD423" s="55" t="e">
        <f ca="1">IF(PAA_4[[#This Row],[ESTADO (formulado)]]="NO CONTRATADO",0,MAX(PAA_4[[#This Row],[Pago por Contrato]],PAA_4[[#This Row],[Pago por bolsa]]))</f>
        <v>#NAME?</v>
      </c>
      <c r="AE423" s="55" t="str">
        <f t="shared" ca="1" si="211"/>
        <v/>
      </c>
      <c r="AF423" s="47" t="e">
        <f t="shared" ca="1" si="212"/>
        <v>#NAME?</v>
      </c>
      <c r="AG423" s="47">
        <f t="shared" si="213"/>
        <v>41080111</v>
      </c>
      <c r="AH423" s="54">
        <f>IF(Q423="22",IF(ISNUMBER(SEARCH("econ",PAA_4[[#This Row],[Actividad3]])),"Económico",IF(ISNUMBER(SEARCH("alim",PAA_4[[#This Row],[Actividad3]])),"Alimentación",IF(ISNUMBER(SEARCH("educ",PAA_4[[#This Row],[Actividad3]])),"Educativo","Técnico"))),0)</f>
        <v>0</v>
      </c>
      <c r="AI423" s="47" t="e" cm="1">
        <f t="array" aca="1" ref="AI423" ca="1">_xlfn.XLOOKUP(PAA_4[[#This Row],[RCP-RUBRO]],[2]!COMPROMISOS_2024[[#All],[concatenado]],[2]!COMPROMISOS_2024[[#All],[Total pagado]],"",0)</f>
        <v>#NAME?</v>
      </c>
      <c r="AJ423" s="56">
        <f>IF(PAA_4[[#This Row],[BOLSA]]=0,0,SUMIFS([2]!COMPROMISOS_2024[[#All],[Total pagado]],[2]!COMPROMISOS_2024[[#All],[Bolsa]],PAA_4[[#This Row],[BOLSA]],[2]!COMPROMISOS_2024[[#All],[rubro]],PAA_4[[#This Row],[RCP-RUBRO]]))</f>
        <v>0</v>
      </c>
      <c r="AK423" s="47" t="e" cm="1">
        <f t="array" aca="1" ref="AK423" ca="1">_xlfn.XLOOKUP(PAA_4[[#This Row],[RCP-RUBRO]],[2]!COMPROMISOS_2024[[#All],[concatenado]],[2]!COMPROMISOS_2024[[#All],[Total Comprometido]],"",0)</f>
        <v>#NAME?</v>
      </c>
      <c r="AL423" s="47">
        <f>IF(PAA_4[[#This Row],[BOLSA]]=0,0,SUMIFS([2]!COMPROMISOS_2024[[#All],[Total Comprometido]],[2]!COMPROMISOS_2024[[#All],[Bolsa]],PAA_4[[#This Row],[BOLSA]],[2]!COMPROMISOS_2024[[#All],[concatenado]],PAA_4[[#This Row],[RCP-RUBRO]]))</f>
        <v>0</v>
      </c>
    </row>
    <row r="424" spans="1:38" s="19" customFormat="1" ht="31.5" customHeight="1">
      <c r="A424" s="47" t="s">
        <v>82</v>
      </c>
      <c r="B424" s="51" t="s">
        <v>42</v>
      </c>
      <c r="C424" s="47" t="str">
        <f>VLOOKUP(PAA_4[[#This Row],[PROYECTO (formulado)2]],[2]PROYECTOS!$G$1:$L$32,6,0)</f>
        <v>SUBGERENCIA DE ALTOS LOGROS Y DEPORTE ASOCIADO</v>
      </c>
      <c r="D424" s="47" t="str">
        <f>+IF(PAA_4[[#This Row],[UNIDAD DE CONTRATACION (formulado)]]="Subgerencia Administrativa y Financiera","FUNCIONAMIENTO","INVERSIÓN")</f>
        <v>INVERSIÓN</v>
      </c>
      <c r="E424" s="48" t="str">
        <f>VLOOKUP(Q424,[2]PROYECTOS!$G$1:$K$32,5,0)</f>
        <v>FORTALECIMIENTO_DEL_PROGRAMA_DE_ALTOS_LOGROS_Y_LIDERAZGO_DEPORTIVO_EN_EL_DEPARTAMENTO_DE_ANTIOQUIA</v>
      </c>
      <c r="F424" s="48">
        <f>VLOOKUP(E424,[2]PROYECTOS!$K$1:$M$32,3,0)</f>
        <v>2020003050021</v>
      </c>
      <c r="G424" s="344" t="s">
        <v>224</v>
      </c>
      <c r="H424" s="49" t="str">
        <f>VLOOKUP(Q424,[2]PROYECTOS!$V$1:$W$32,2,0)</f>
        <v>050061</v>
      </c>
      <c r="I424" s="50">
        <v>16025043</v>
      </c>
      <c r="J424" s="340" t="s">
        <v>1513</v>
      </c>
      <c r="K424" s="47" t="str">
        <f t="shared" ca="1" si="207"/>
        <v>CONTRATADO</v>
      </c>
      <c r="L424" s="47" t="s">
        <v>42</v>
      </c>
      <c r="M424" s="47" t="s">
        <v>42</v>
      </c>
      <c r="N424" s="344" t="s">
        <v>223</v>
      </c>
      <c r="O424" s="51" t="e">
        <f>VLOOKUP(N424,[2]!RUBROS[#All],3,0)</f>
        <v>#REF!</v>
      </c>
      <c r="P424" s="53" t="e">
        <f>VLOOKUP(N424,[2]!RUBROS[#All],2,0)</f>
        <v>#REF!</v>
      </c>
      <c r="Q424" s="47" t="str">
        <f t="shared" si="214"/>
        <v>20</v>
      </c>
      <c r="R424" s="47" t="str">
        <f t="shared" si="209"/>
        <v>0-205400</v>
      </c>
      <c r="S424" s="54" t="s">
        <v>42</v>
      </c>
      <c r="T424" s="329" t="s">
        <v>42</v>
      </c>
      <c r="U424" s="326" t="e">
        <f ca="1">_xlfn.XLOOKUP(PAA_4[[#This Row],[ITEM]],[2]Contrato!A:A,[2]Contrato!Q:Q,"",0)</f>
        <v>#NAME?</v>
      </c>
      <c r="V424" s="47" t="s">
        <v>95</v>
      </c>
      <c r="W424" s="47" t="s">
        <v>42</v>
      </c>
      <c r="X424" s="47" t="s">
        <v>42</v>
      </c>
      <c r="Y424" s="55" t="e">
        <f ca="1">_xlfn.XLOOKUP(PAA_4[[#This Row],[ITEM]],[2]Contrato!A:A,[2]Contrato!B:B,"",0)</f>
        <v>#NAME?</v>
      </c>
      <c r="Z424" s="47" t="e">
        <f ca="1">_xlfn.XLOOKUP(PAA_4[[#This Row],[ITEM]],[2]Contrato!A:A,[2]Contrato!G:G,"",0)</f>
        <v>#NAME?</v>
      </c>
      <c r="AA424" s="47" t="e">
        <f ca="1">_xlfn.XLOOKUP(PAA_4[[#This Row],[ITEM]],[2]Contrato!A:A,[2]Contrato!T:T,"",0)</f>
        <v>#NAME?</v>
      </c>
      <c r="AB424" s="55" t="e">
        <f ca="1">+MAX(PAA_4[[#This Row],[Comprometido Contrato]],PAA_4[[#This Row],[Comprometido Bolsa]])</f>
        <v>#NAME?</v>
      </c>
      <c r="AC424" s="55" t="str">
        <f t="shared" ca="1" si="210"/>
        <v/>
      </c>
      <c r="AD424" s="55" t="e">
        <f ca="1">IF(PAA_4[[#This Row],[ESTADO (formulado)]]="NO CONTRATADO",0,MAX(PAA_4[[#This Row],[Pago por Contrato]],PAA_4[[#This Row],[Pago por bolsa]]))</f>
        <v>#NAME?</v>
      </c>
      <c r="AE424" s="55" t="str">
        <f t="shared" ca="1" si="211"/>
        <v/>
      </c>
      <c r="AF424" s="47" t="e">
        <f t="shared" ca="1" si="212"/>
        <v>#NAME?</v>
      </c>
      <c r="AG424" s="47">
        <f t="shared" si="213"/>
        <v>41080111</v>
      </c>
      <c r="AH424" s="54">
        <f>IF(Q424="22",IF(ISNUMBER(SEARCH("econ",PAA_4[[#This Row],[Actividad3]])),"Económico",IF(ISNUMBER(SEARCH("alim",PAA_4[[#This Row],[Actividad3]])),"Alimentación",IF(ISNUMBER(SEARCH("educ",PAA_4[[#This Row],[Actividad3]])),"Educativo","Técnico"))),0)</f>
        <v>0</v>
      </c>
      <c r="AI424" s="47" t="e" cm="1">
        <f t="array" aca="1" ref="AI424" ca="1">_xlfn.XLOOKUP(PAA_4[[#This Row],[RCP-RUBRO]],[2]!COMPROMISOS_2024[[#All],[concatenado]],[2]!COMPROMISOS_2024[[#All],[Total pagado]],"",0)</f>
        <v>#NAME?</v>
      </c>
      <c r="AJ424" s="56">
        <f>IF(PAA_4[[#This Row],[BOLSA]]=0,0,SUMIFS([2]!COMPROMISOS_2024[[#All],[Total pagado]],[2]!COMPROMISOS_2024[[#All],[Bolsa]],PAA_4[[#This Row],[BOLSA]],[2]!COMPROMISOS_2024[[#All],[rubro]],PAA_4[[#This Row],[RCP-RUBRO]]))</f>
        <v>0</v>
      </c>
      <c r="AK424" s="47" t="e" cm="1">
        <f t="array" aca="1" ref="AK424" ca="1">_xlfn.XLOOKUP(PAA_4[[#This Row],[RCP-RUBRO]],[2]!COMPROMISOS_2024[[#All],[concatenado]],[2]!COMPROMISOS_2024[[#All],[Total Comprometido]],"",0)</f>
        <v>#NAME?</v>
      </c>
      <c r="AL424" s="47">
        <f>IF(PAA_4[[#This Row],[BOLSA]]=0,0,SUMIFS([2]!COMPROMISOS_2024[[#All],[Total Comprometido]],[2]!COMPROMISOS_2024[[#All],[Bolsa]],PAA_4[[#This Row],[BOLSA]],[2]!COMPROMISOS_2024[[#All],[concatenado]],PAA_4[[#This Row],[RCP-RUBRO]]))</f>
        <v>0</v>
      </c>
    </row>
    <row r="425" spans="1:38" s="19" customFormat="1" ht="31.5" customHeight="1">
      <c r="A425" s="47" t="s">
        <v>82</v>
      </c>
      <c r="B425" s="51" t="s">
        <v>42</v>
      </c>
      <c r="C425" s="47" t="str">
        <f>VLOOKUP(PAA_4[[#This Row],[PROYECTO (formulado)2]],[2]PROYECTOS!$G$1:$L$32,6,0)</f>
        <v>SUBGERENCIA DE ALTOS LOGROS Y DEPORTE ASOCIADO</v>
      </c>
      <c r="D425" s="47" t="str">
        <f>+IF(PAA_4[[#This Row],[UNIDAD DE CONTRATACION (formulado)]]="Subgerencia Administrativa y Financiera","FUNCIONAMIENTO","INVERSIÓN")</f>
        <v>INVERSIÓN</v>
      </c>
      <c r="E425" s="48" t="str">
        <f>VLOOKUP(Q425,[2]PROYECTOS!$G$1:$K$32,5,0)</f>
        <v>FORTALECIMIENTO_DEL_PROGRAMA_DE_ALTOS_LOGROS_Y_LIDERAZGO_DEPORTIVO_EN_EL_DEPARTAMENTO_DE_ANTIOQUIA</v>
      </c>
      <c r="F425" s="48">
        <f>VLOOKUP(E425,[2]PROYECTOS!$K$1:$M$32,3,0)</f>
        <v>2020003050021</v>
      </c>
      <c r="G425" s="344" t="s">
        <v>224</v>
      </c>
      <c r="H425" s="49" t="str">
        <f>VLOOKUP(Q425,[2]PROYECTOS!$V$1:$W$32,2,0)</f>
        <v>050061</v>
      </c>
      <c r="I425" s="50">
        <v>2068200</v>
      </c>
      <c r="J425" s="340" t="s">
        <v>1513</v>
      </c>
      <c r="K425" s="47" t="str">
        <f t="shared" ca="1" si="207"/>
        <v>CONTRATADO</v>
      </c>
      <c r="L425" s="47" t="s">
        <v>42</v>
      </c>
      <c r="M425" s="47" t="s">
        <v>42</v>
      </c>
      <c r="N425" s="344" t="s">
        <v>223</v>
      </c>
      <c r="O425" s="51" t="e">
        <f>VLOOKUP(N425,[2]!RUBROS[#All],3,0)</f>
        <v>#REF!</v>
      </c>
      <c r="P425" s="53" t="e">
        <f>VLOOKUP(N425,[2]!RUBROS[#All],2,0)</f>
        <v>#REF!</v>
      </c>
      <c r="Q425" s="47" t="str">
        <f t="shared" si="214"/>
        <v>20</v>
      </c>
      <c r="R425" s="47" t="str">
        <f t="shared" si="209"/>
        <v>0-205400</v>
      </c>
      <c r="S425" s="54" t="s">
        <v>42</v>
      </c>
      <c r="T425" s="329" t="s">
        <v>42</v>
      </c>
      <c r="U425" s="326" t="e">
        <f ca="1">_xlfn.XLOOKUP(PAA_4[[#This Row],[ITEM]],[2]Contrato!A:A,[2]Contrato!Q:Q,"",0)</f>
        <v>#NAME?</v>
      </c>
      <c r="V425" s="47" t="s">
        <v>95</v>
      </c>
      <c r="W425" s="47" t="s">
        <v>42</v>
      </c>
      <c r="X425" s="47" t="s">
        <v>42</v>
      </c>
      <c r="Y425" s="55" t="e">
        <f ca="1">_xlfn.XLOOKUP(PAA_4[[#This Row],[ITEM]],[2]Contrato!A:A,[2]Contrato!B:B,"",0)</f>
        <v>#NAME?</v>
      </c>
      <c r="Z425" s="47" t="e">
        <f ca="1">_xlfn.XLOOKUP(PAA_4[[#This Row],[ITEM]],[2]Contrato!A:A,[2]Contrato!G:G,"",0)</f>
        <v>#NAME?</v>
      </c>
      <c r="AA425" s="47" t="e">
        <f ca="1">_xlfn.XLOOKUP(PAA_4[[#This Row],[ITEM]],[2]Contrato!A:A,[2]Contrato!T:T,"",0)</f>
        <v>#NAME?</v>
      </c>
      <c r="AB425" s="55" t="e">
        <f ca="1">+MAX(PAA_4[[#This Row],[Comprometido Contrato]],PAA_4[[#This Row],[Comprometido Bolsa]])</f>
        <v>#NAME?</v>
      </c>
      <c r="AC425" s="55" t="str">
        <f t="shared" ca="1" si="210"/>
        <v/>
      </c>
      <c r="AD425" s="55" t="e">
        <f ca="1">IF(PAA_4[[#This Row],[ESTADO (formulado)]]="NO CONTRATADO",0,MAX(PAA_4[[#This Row],[Pago por Contrato]],PAA_4[[#This Row],[Pago por bolsa]]))</f>
        <v>#NAME?</v>
      </c>
      <c r="AE425" s="55" t="str">
        <f t="shared" ca="1" si="211"/>
        <v/>
      </c>
      <c r="AF425" s="47" t="e">
        <f t="shared" ca="1" si="212"/>
        <v>#NAME?</v>
      </c>
      <c r="AG425" s="47">
        <f t="shared" si="213"/>
        <v>41080111</v>
      </c>
      <c r="AH425" s="54">
        <f>IF(Q425="22",IF(ISNUMBER(SEARCH("econ",PAA_4[[#This Row],[Actividad3]])),"Económico",IF(ISNUMBER(SEARCH("alim",PAA_4[[#This Row],[Actividad3]])),"Alimentación",IF(ISNUMBER(SEARCH("educ",PAA_4[[#This Row],[Actividad3]])),"Educativo","Técnico"))),0)</f>
        <v>0</v>
      </c>
      <c r="AI425" s="47" t="e" cm="1">
        <f t="array" aca="1" ref="AI425" ca="1">_xlfn.XLOOKUP(PAA_4[[#This Row],[RCP-RUBRO]],[2]!COMPROMISOS_2024[[#All],[concatenado]],[2]!COMPROMISOS_2024[[#All],[Total pagado]],"",0)</f>
        <v>#NAME?</v>
      </c>
      <c r="AJ425" s="56">
        <f>IF(PAA_4[[#This Row],[BOLSA]]=0,0,SUMIFS([2]!COMPROMISOS_2024[[#All],[Total pagado]],[2]!COMPROMISOS_2024[[#All],[Bolsa]],PAA_4[[#This Row],[BOLSA]],[2]!COMPROMISOS_2024[[#All],[rubro]],PAA_4[[#This Row],[RCP-RUBRO]]))</f>
        <v>0</v>
      </c>
      <c r="AK425" s="47" t="e" cm="1">
        <f t="array" aca="1" ref="AK425" ca="1">_xlfn.XLOOKUP(PAA_4[[#This Row],[RCP-RUBRO]],[2]!COMPROMISOS_2024[[#All],[concatenado]],[2]!COMPROMISOS_2024[[#All],[Total Comprometido]],"",0)</f>
        <v>#NAME?</v>
      </c>
      <c r="AL425" s="47">
        <f>IF(PAA_4[[#This Row],[BOLSA]]=0,0,SUMIFS([2]!COMPROMISOS_2024[[#All],[Total Comprometido]],[2]!COMPROMISOS_2024[[#All],[Bolsa]],PAA_4[[#This Row],[BOLSA]],[2]!COMPROMISOS_2024[[#All],[concatenado]],PAA_4[[#This Row],[RCP-RUBRO]]))</f>
        <v>0</v>
      </c>
    </row>
    <row r="426" spans="1:38" s="19" customFormat="1" ht="31.5" customHeight="1">
      <c r="A426" s="47" t="s">
        <v>82</v>
      </c>
      <c r="B426" s="51" t="s">
        <v>42</v>
      </c>
      <c r="C426" s="47" t="str">
        <f>VLOOKUP(PAA_4[[#This Row],[PROYECTO (formulado)2]],[2]PROYECTOS!$G$1:$L$32,6,0)</f>
        <v>SUBGERENCIA DE ALTOS LOGROS Y DEPORTE ASOCIADO</v>
      </c>
      <c r="D426" s="47" t="str">
        <f>+IF(PAA_4[[#This Row],[UNIDAD DE CONTRATACION (formulado)]]="Subgerencia Administrativa y Financiera","FUNCIONAMIENTO","INVERSIÓN")</f>
        <v>INVERSIÓN</v>
      </c>
      <c r="E426" s="48" t="str">
        <f>VLOOKUP(Q426,[2]PROYECTOS!$G$1:$K$32,5,0)</f>
        <v>FORTALECIMIENTO_DEL_PROGRAMA_DE_ALTOS_LOGROS_Y_LIDERAZGO_DEPORTIVO_EN_EL_DEPARTAMENTO_DE_ANTIOQUIA</v>
      </c>
      <c r="F426" s="48">
        <f>VLOOKUP(E426,[2]PROYECTOS!$K$1:$M$32,3,0)</f>
        <v>2020003050021</v>
      </c>
      <c r="G426" s="344" t="s">
        <v>224</v>
      </c>
      <c r="H426" s="49" t="str">
        <f>VLOOKUP(Q426,[2]PROYECTOS!$V$1:$W$32,2,0)</f>
        <v>050061</v>
      </c>
      <c r="I426" s="50">
        <v>2454468</v>
      </c>
      <c r="J426" s="340" t="s">
        <v>1513</v>
      </c>
      <c r="K426" s="47" t="str">
        <f t="shared" ca="1" si="207"/>
        <v>CONTRATADO</v>
      </c>
      <c r="L426" s="47" t="s">
        <v>42</v>
      </c>
      <c r="M426" s="47" t="s">
        <v>42</v>
      </c>
      <c r="N426" s="344" t="s">
        <v>223</v>
      </c>
      <c r="O426" s="51" t="e">
        <f>VLOOKUP(N426,[2]!RUBROS[#All],3,0)</f>
        <v>#REF!</v>
      </c>
      <c r="P426" s="53" t="e">
        <f>VLOOKUP(N426,[2]!RUBROS[#All],2,0)</f>
        <v>#REF!</v>
      </c>
      <c r="Q426" s="47" t="str">
        <f t="shared" si="214"/>
        <v>20</v>
      </c>
      <c r="R426" s="47" t="str">
        <f t="shared" si="209"/>
        <v>0-205400</v>
      </c>
      <c r="S426" s="54" t="s">
        <v>42</v>
      </c>
      <c r="T426" s="329" t="s">
        <v>42</v>
      </c>
      <c r="U426" s="326" t="e">
        <f ca="1">_xlfn.XLOOKUP(PAA_4[[#This Row],[ITEM]],[2]Contrato!A:A,[2]Contrato!Q:Q,"",0)</f>
        <v>#NAME?</v>
      </c>
      <c r="V426" s="47" t="s">
        <v>95</v>
      </c>
      <c r="W426" s="47" t="s">
        <v>42</v>
      </c>
      <c r="X426" s="47" t="s">
        <v>42</v>
      </c>
      <c r="Y426" s="55" t="e">
        <f ca="1">_xlfn.XLOOKUP(PAA_4[[#This Row],[ITEM]],[2]Contrato!A:A,[2]Contrato!B:B,"",0)</f>
        <v>#NAME?</v>
      </c>
      <c r="Z426" s="47" t="e">
        <f ca="1">_xlfn.XLOOKUP(PAA_4[[#This Row],[ITEM]],[2]Contrato!A:A,[2]Contrato!G:G,"",0)</f>
        <v>#NAME?</v>
      </c>
      <c r="AA426" s="47" t="e">
        <f ca="1">_xlfn.XLOOKUP(PAA_4[[#This Row],[ITEM]],[2]Contrato!A:A,[2]Contrato!T:T,"",0)</f>
        <v>#NAME?</v>
      </c>
      <c r="AB426" s="55" t="e">
        <f ca="1">+MAX(PAA_4[[#This Row],[Comprometido Contrato]],PAA_4[[#This Row],[Comprometido Bolsa]])</f>
        <v>#NAME?</v>
      </c>
      <c r="AC426" s="55" t="str">
        <f t="shared" ca="1" si="210"/>
        <v/>
      </c>
      <c r="AD426" s="55" t="e">
        <f ca="1">IF(PAA_4[[#This Row],[ESTADO (formulado)]]="NO CONTRATADO",0,MAX(PAA_4[[#This Row],[Pago por Contrato]],PAA_4[[#This Row],[Pago por bolsa]]))</f>
        <v>#NAME?</v>
      </c>
      <c r="AE426" s="55" t="str">
        <f t="shared" ca="1" si="211"/>
        <v/>
      </c>
      <c r="AF426" s="47" t="e">
        <f t="shared" ca="1" si="212"/>
        <v>#NAME?</v>
      </c>
      <c r="AG426" s="47">
        <f t="shared" si="213"/>
        <v>41080111</v>
      </c>
      <c r="AH426" s="54">
        <f>IF(Q426="22",IF(ISNUMBER(SEARCH("econ",PAA_4[[#This Row],[Actividad3]])),"Económico",IF(ISNUMBER(SEARCH("alim",PAA_4[[#This Row],[Actividad3]])),"Alimentación",IF(ISNUMBER(SEARCH("educ",PAA_4[[#This Row],[Actividad3]])),"Educativo","Técnico"))),0)</f>
        <v>0</v>
      </c>
      <c r="AI426" s="47" t="e" cm="1">
        <f t="array" aca="1" ref="AI426" ca="1">_xlfn.XLOOKUP(PAA_4[[#This Row],[RCP-RUBRO]],[2]!COMPROMISOS_2024[[#All],[concatenado]],[2]!COMPROMISOS_2024[[#All],[Total pagado]],"",0)</f>
        <v>#NAME?</v>
      </c>
      <c r="AJ426" s="56">
        <f>IF(PAA_4[[#This Row],[BOLSA]]=0,0,SUMIFS([2]!COMPROMISOS_2024[[#All],[Total pagado]],[2]!COMPROMISOS_2024[[#All],[Bolsa]],PAA_4[[#This Row],[BOLSA]],[2]!COMPROMISOS_2024[[#All],[rubro]],PAA_4[[#This Row],[RCP-RUBRO]]))</f>
        <v>0</v>
      </c>
      <c r="AK426" s="47" t="e" cm="1">
        <f t="array" aca="1" ref="AK426" ca="1">_xlfn.XLOOKUP(PAA_4[[#This Row],[RCP-RUBRO]],[2]!COMPROMISOS_2024[[#All],[concatenado]],[2]!COMPROMISOS_2024[[#All],[Total Comprometido]],"",0)</f>
        <v>#NAME?</v>
      </c>
      <c r="AL426" s="47">
        <f>IF(PAA_4[[#This Row],[BOLSA]]=0,0,SUMIFS([2]!COMPROMISOS_2024[[#All],[Total Comprometido]],[2]!COMPROMISOS_2024[[#All],[Bolsa]],PAA_4[[#This Row],[BOLSA]],[2]!COMPROMISOS_2024[[#All],[concatenado]],PAA_4[[#This Row],[RCP-RUBRO]]))</f>
        <v>0</v>
      </c>
    </row>
    <row r="427" spans="1:38" s="19" customFormat="1" ht="31.5" customHeight="1">
      <c r="A427" s="47" t="s">
        <v>82</v>
      </c>
      <c r="B427" s="51" t="s">
        <v>42</v>
      </c>
      <c r="C427" s="47" t="str">
        <f>VLOOKUP(PAA_4[[#This Row],[PROYECTO (formulado)2]],[2]PROYECTOS!$G$1:$L$32,6,0)</f>
        <v>SUBGERENCIA DE ALTOS LOGROS Y DEPORTE ASOCIADO</v>
      </c>
      <c r="D427" s="47" t="str">
        <f>+IF(PAA_4[[#This Row],[UNIDAD DE CONTRATACION (formulado)]]="Subgerencia Administrativa y Financiera","FUNCIONAMIENTO","INVERSIÓN")</f>
        <v>INVERSIÓN</v>
      </c>
      <c r="E427" s="48" t="str">
        <f>VLOOKUP(Q427,[2]PROYECTOS!$G$1:$K$32,5,0)</f>
        <v>APOYO_TÉCNICO_Y_PSICOSOCIAL_A_LOS_DEPORTISTAS_DE_ANTIOQUIA</v>
      </c>
      <c r="F427" s="48">
        <f>VLOOKUP(E427,[2]PROYECTOS!$K$1:$M$32,3,0)</f>
        <v>2021003050069</v>
      </c>
      <c r="G427" s="344" t="s">
        <v>239</v>
      </c>
      <c r="H427" s="49" t="str">
        <f>VLOOKUP(Q427,[2]PROYECTOS!$V$1:$W$32,2,0)</f>
        <v>050069</v>
      </c>
      <c r="I427" s="50">
        <v>32831380</v>
      </c>
      <c r="J427" s="340" t="s">
        <v>1513</v>
      </c>
      <c r="K427" s="47" t="str">
        <f t="shared" ref="K427:K432" ca="1" si="215">IF(ISNONTEXT(Y427)=TRUE,"CONTRATADO","NO CONTRATADO")</f>
        <v>CONTRATADO</v>
      </c>
      <c r="L427" s="47" t="s">
        <v>42</v>
      </c>
      <c r="M427" s="47" t="s">
        <v>42</v>
      </c>
      <c r="N427" s="344" t="s">
        <v>240</v>
      </c>
      <c r="O427" s="51" t="e">
        <f>VLOOKUP(N427,[2]!RUBROS[#All],3,0)</f>
        <v>#REF!</v>
      </c>
      <c r="P427" s="53" t="e">
        <f>VLOOKUP(N427,[2]!RUBROS[#All],2,0)</f>
        <v>#REF!</v>
      </c>
      <c r="Q427" s="47" t="str">
        <f t="shared" si="214"/>
        <v>22</v>
      </c>
      <c r="R427" s="47" t="str">
        <f t="shared" ref="R427:R432" si="216">+MID(N427,14,8)</f>
        <v>0-205400</v>
      </c>
      <c r="S427" s="54" t="s">
        <v>42</v>
      </c>
      <c r="T427" s="329" t="s">
        <v>42</v>
      </c>
      <c r="U427" s="326" t="e">
        <f ca="1">_xlfn.XLOOKUP(PAA_4[[#This Row],[ITEM]],[2]Contrato!A:A,[2]Contrato!Q:Q,"",0)</f>
        <v>#NAME?</v>
      </c>
      <c r="V427" s="47" t="s">
        <v>95</v>
      </c>
      <c r="W427" s="47" t="s">
        <v>42</v>
      </c>
      <c r="X427" s="47" t="s">
        <v>42</v>
      </c>
      <c r="Y427" s="55" t="e">
        <f ca="1">_xlfn.XLOOKUP(PAA_4[[#This Row],[ITEM]],[2]Contrato!A:A,[2]Contrato!B:B,"",0)</f>
        <v>#NAME?</v>
      </c>
      <c r="Z427" s="47" t="e">
        <f ca="1">_xlfn.XLOOKUP(PAA_4[[#This Row],[ITEM]],[2]Contrato!A:A,[2]Contrato!G:G,"",0)</f>
        <v>#NAME?</v>
      </c>
      <c r="AA427" s="47" t="e">
        <f ca="1">_xlfn.XLOOKUP(PAA_4[[#This Row],[ITEM]],[2]Contrato!A:A,[2]Contrato!T:T,"",0)</f>
        <v>#NAME?</v>
      </c>
      <c r="AB427" s="55" t="e">
        <f ca="1">+MAX(PAA_4[[#This Row],[Comprometido Contrato]],PAA_4[[#This Row],[Comprometido Bolsa]])</f>
        <v>#NAME?</v>
      </c>
      <c r="AC427" s="55" t="str">
        <f t="shared" ca="1" si="210"/>
        <v/>
      </c>
      <c r="AD427" s="55" t="e">
        <f ca="1">IF(PAA_4[[#This Row],[ESTADO (formulado)]]="NO CONTRATADO",0,MAX(PAA_4[[#This Row],[Pago por Contrato]],PAA_4[[#This Row],[Pago por bolsa]]))</f>
        <v>#NAME?</v>
      </c>
      <c r="AE427" s="55" t="str">
        <f t="shared" ref="AE427:AE432" ca="1" si="217">+IFERROR(AB427-AD427,"")</f>
        <v/>
      </c>
      <c r="AF427" s="47" t="e">
        <f t="shared" ref="AF427:AF432" ca="1" si="218">+CONCATENATE(AA427,N427)</f>
        <v>#NAME?</v>
      </c>
      <c r="AG427" s="47">
        <f t="shared" ref="AG427:AG432" si="219">IFERROR(_xlfn.NUMBERVALUE(MID(G427,1,8)),"")</f>
        <v>41080101</v>
      </c>
      <c r="AH427" s="54" t="str">
        <f>IF(Q427="22",IF(ISNUMBER(SEARCH("econ",PAA_4[[#This Row],[Actividad3]])),"Económico",IF(ISNUMBER(SEARCH("alim",PAA_4[[#This Row],[Actividad3]])),"Alimentación",IF(ISNUMBER(SEARCH("educ",PAA_4[[#This Row],[Actividad3]])),"Educativo","Técnico"))),0)</f>
        <v>Técnico</v>
      </c>
      <c r="AI427" s="47" t="e" cm="1">
        <f t="array" aca="1" ref="AI427" ca="1">_xlfn.XLOOKUP(PAA_4[[#This Row],[RCP-RUBRO]],[2]!COMPROMISOS_2024[[#All],[concatenado]],[2]!COMPROMISOS_2024[[#All],[Total pagado]],"",0)</f>
        <v>#NAME?</v>
      </c>
      <c r="AJ427" s="56" t="e">
        <f ca="1">IF(PAA_4[[#This Row],[BOLSA]]=0,0,SUMIFS([2]!COMPROMISOS_2024[[#All],[Total pagado]],[2]!COMPROMISOS_2024[[#All],[Bolsa]],PAA_4[[#This Row],[BOLSA]],[2]!COMPROMISOS_2024[[#All],[rubro]],PAA_4[[#This Row],[RCP-RUBRO]]))</f>
        <v>#REF!</v>
      </c>
      <c r="AK427" s="47" t="e" cm="1">
        <f t="array" aca="1" ref="AK427" ca="1">_xlfn.XLOOKUP(PAA_4[[#This Row],[RCP-RUBRO]],[2]!COMPROMISOS_2024[[#All],[concatenado]],[2]!COMPROMISOS_2024[[#All],[Total Comprometido]],"",0)</f>
        <v>#NAME?</v>
      </c>
      <c r="AL427" s="47" t="e">
        <f ca="1">IF(PAA_4[[#This Row],[BOLSA]]=0,0,SUMIFS([2]!COMPROMISOS_2024[[#All],[Total Comprometido]],[2]!COMPROMISOS_2024[[#All],[Bolsa]],PAA_4[[#This Row],[BOLSA]],[2]!COMPROMISOS_2024[[#All],[concatenado]],PAA_4[[#This Row],[RCP-RUBRO]]))</f>
        <v>#REF!</v>
      </c>
    </row>
    <row r="428" spans="1:38" s="19" customFormat="1" ht="31.5" customHeight="1">
      <c r="A428" s="47" t="s">
        <v>82</v>
      </c>
      <c r="B428" s="51" t="s">
        <v>42</v>
      </c>
      <c r="C428" s="47" t="str">
        <f>VLOOKUP(PAA_4[[#This Row],[PROYECTO (formulado)2]],[2]PROYECTOS!$G$1:$L$32,6,0)</f>
        <v>SUBGERENCIA DE ALTOS LOGROS Y DEPORTE ASOCIADO</v>
      </c>
      <c r="D428" s="47" t="str">
        <f>+IF(PAA_4[[#This Row],[UNIDAD DE CONTRATACION (formulado)]]="Subgerencia Administrativa y Financiera","FUNCIONAMIENTO","INVERSIÓN")</f>
        <v>INVERSIÓN</v>
      </c>
      <c r="E428" s="48" t="str">
        <f>VLOOKUP(Q428,[2]PROYECTOS!$G$1:$K$32,5,0)</f>
        <v>APOYO_TÉCNICO_Y_PSICOSOCIAL_A_LOS_DEPORTISTAS_DE_ANTIOQUIA</v>
      </c>
      <c r="F428" s="48">
        <f>VLOOKUP(E428,[2]PROYECTOS!$K$1:$M$32,3,0)</f>
        <v>2021003050069</v>
      </c>
      <c r="G428" s="344" t="s">
        <v>239</v>
      </c>
      <c r="H428" s="49" t="str">
        <f>VLOOKUP(Q428,[2]PROYECTOS!$V$1:$W$32,2,0)</f>
        <v>050069</v>
      </c>
      <c r="I428" s="50">
        <v>85828</v>
      </c>
      <c r="J428" s="340" t="s">
        <v>1513</v>
      </c>
      <c r="K428" s="47" t="str">
        <f t="shared" ca="1" si="215"/>
        <v>CONTRATADO</v>
      </c>
      <c r="L428" s="47" t="s">
        <v>42</v>
      </c>
      <c r="M428" s="47" t="s">
        <v>42</v>
      </c>
      <c r="N428" s="344" t="s">
        <v>240</v>
      </c>
      <c r="O428" s="51" t="e">
        <f>VLOOKUP(N428,[2]!RUBROS[#All],3,0)</f>
        <v>#REF!</v>
      </c>
      <c r="P428" s="53" t="e">
        <f>VLOOKUP(N428,[2]!RUBROS[#All],2,0)</f>
        <v>#REF!</v>
      </c>
      <c r="Q428" s="47" t="str">
        <f t="shared" si="214"/>
        <v>22</v>
      </c>
      <c r="R428" s="47" t="str">
        <f t="shared" si="216"/>
        <v>0-205400</v>
      </c>
      <c r="S428" s="54" t="s">
        <v>42</v>
      </c>
      <c r="T428" s="329" t="s">
        <v>42</v>
      </c>
      <c r="U428" s="326" t="e">
        <f ca="1">_xlfn.XLOOKUP(PAA_4[[#This Row],[ITEM]],[2]Contrato!A:A,[2]Contrato!Q:Q,"",0)</f>
        <v>#NAME?</v>
      </c>
      <c r="V428" s="47" t="s">
        <v>95</v>
      </c>
      <c r="W428" s="47" t="s">
        <v>42</v>
      </c>
      <c r="X428" s="47" t="s">
        <v>42</v>
      </c>
      <c r="Y428" s="55" t="e">
        <f ca="1">_xlfn.XLOOKUP(PAA_4[[#This Row],[ITEM]],[2]Contrato!A:A,[2]Contrato!B:B,"",0)</f>
        <v>#NAME?</v>
      </c>
      <c r="Z428" s="47" t="e">
        <f ca="1">_xlfn.XLOOKUP(PAA_4[[#This Row],[ITEM]],[2]Contrato!A:A,[2]Contrato!G:G,"",0)</f>
        <v>#NAME?</v>
      </c>
      <c r="AA428" s="47" t="e">
        <f ca="1">_xlfn.XLOOKUP(PAA_4[[#This Row],[ITEM]],[2]Contrato!A:A,[2]Contrato!T:T,"",0)</f>
        <v>#NAME?</v>
      </c>
      <c r="AB428" s="55" t="e">
        <f ca="1">+MAX(PAA_4[[#This Row],[Comprometido Contrato]],PAA_4[[#This Row],[Comprometido Bolsa]])</f>
        <v>#NAME?</v>
      </c>
      <c r="AC428" s="55" t="str">
        <f t="shared" ca="1" si="210"/>
        <v/>
      </c>
      <c r="AD428" s="55" t="e">
        <f ca="1">IF(PAA_4[[#This Row],[ESTADO (formulado)]]="NO CONTRATADO",0,MAX(PAA_4[[#This Row],[Pago por Contrato]],PAA_4[[#This Row],[Pago por bolsa]]))</f>
        <v>#NAME?</v>
      </c>
      <c r="AE428" s="55" t="str">
        <f t="shared" ca="1" si="217"/>
        <v/>
      </c>
      <c r="AF428" s="47" t="e">
        <f t="shared" ca="1" si="218"/>
        <v>#NAME?</v>
      </c>
      <c r="AG428" s="47">
        <f t="shared" si="219"/>
        <v>41080101</v>
      </c>
      <c r="AH428" s="54" t="str">
        <f>IF(Q428="22",IF(ISNUMBER(SEARCH("econ",PAA_4[[#This Row],[Actividad3]])),"Económico",IF(ISNUMBER(SEARCH("alim",PAA_4[[#This Row],[Actividad3]])),"Alimentación",IF(ISNUMBER(SEARCH("educ",PAA_4[[#This Row],[Actividad3]])),"Educativo","Técnico"))),0)</f>
        <v>Técnico</v>
      </c>
      <c r="AI428" s="47" t="e" cm="1">
        <f t="array" aca="1" ref="AI428" ca="1">_xlfn.XLOOKUP(PAA_4[[#This Row],[RCP-RUBRO]],[2]!COMPROMISOS_2024[[#All],[concatenado]],[2]!COMPROMISOS_2024[[#All],[Total pagado]],"",0)</f>
        <v>#NAME?</v>
      </c>
      <c r="AJ428" s="56" t="e">
        <f ca="1">IF(PAA_4[[#This Row],[BOLSA]]=0,0,SUMIFS([2]!COMPROMISOS_2024[[#All],[Total pagado]],[2]!COMPROMISOS_2024[[#All],[Bolsa]],PAA_4[[#This Row],[BOLSA]],[2]!COMPROMISOS_2024[[#All],[rubro]],PAA_4[[#This Row],[RCP-RUBRO]]))</f>
        <v>#REF!</v>
      </c>
      <c r="AK428" s="47" t="e" cm="1">
        <f t="array" aca="1" ref="AK428" ca="1">_xlfn.XLOOKUP(PAA_4[[#This Row],[RCP-RUBRO]],[2]!COMPROMISOS_2024[[#All],[concatenado]],[2]!COMPROMISOS_2024[[#All],[Total Comprometido]],"",0)</f>
        <v>#NAME?</v>
      </c>
      <c r="AL428" s="47" t="e">
        <f ca="1">IF(PAA_4[[#This Row],[BOLSA]]=0,0,SUMIFS([2]!COMPROMISOS_2024[[#All],[Total Comprometido]],[2]!COMPROMISOS_2024[[#All],[Bolsa]],PAA_4[[#This Row],[BOLSA]],[2]!COMPROMISOS_2024[[#All],[concatenado]],PAA_4[[#This Row],[RCP-RUBRO]]))</f>
        <v>#REF!</v>
      </c>
    </row>
    <row r="429" spans="1:38" s="19" customFormat="1" ht="31.5" customHeight="1">
      <c r="A429" s="47" t="s">
        <v>82</v>
      </c>
      <c r="B429" s="51" t="s">
        <v>42</v>
      </c>
      <c r="C429" s="47" t="str">
        <f>VLOOKUP(PAA_4[[#This Row],[PROYECTO (formulado)2]],[2]PROYECTOS!$G$1:$L$32,6,0)</f>
        <v>SUBGERENCIA DE ALTOS LOGROS Y DEPORTE ASOCIADO</v>
      </c>
      <c r="D429" s="47" t="str">
        <f>+IF(PAA_4[[#This Row],[UNIDAD DE CONTRATACION (formulado)]]="Subgerencia Administrativa y Financiera","FUNCIONAMIENTO","INVERSIÓN")</f>
        <v>INVERSIÓN</v>
      </c>
      <c r="E429" s="48" t="str">
        <f>VLOOKUP(Q429,[2]PROYECTOS!$G$1:$K$32,5,0)</f>
        <v>APOYO_TÉCNICO_Y_PSICOSOCIAL_A_LOS_DEPORTISTAS_DE_ANTIOQUIA</v>
      </c>
      <c r="F429" s="48">
        <f>VLOOKUP(E429,[2]PROYECTOS!$K$1:$M$32,3,0)</f>
        <v>2021003050069</v>
      </c>
      <c r="G429" s="344" t="s">
        <v>239</v>
      </c>
      <c r="H429" s="49" t="str">
        <f>VLOOKUP(Q429,[2]PROYECTOS!$V$1:$W$32,2,0)</f>
        <v>050069</v>
      </c>
      <c r="I429" s="50">
        <v>85828</v>
      </c>
      <c r="J429" s="340" t="s">
        <v>1513</v>
      </c>
      <c r="K429" s="47" t="str">
        <f t="shared" ca="1" si="215"/>
        <v>CONTRATADO</v>
      </c>
      <c r="L429" s="47" t="s">
        <v>42</v>
      </c>
      <c r="M429" s="47" t="s">
        <v>42</v>
      </c>
      <c r="N429" s="344" t="s">
        <v>240</v>
      </c>
      <c r="O429" s="51" t="e">
        <f>VLOOKUP(N429,[2]!RUBROS[#All],3,0)</f>
        <v>#REF!</v>
      </c>
      <c r="P429" s="53" t="e">
        <f>VLOOKUP(N429,[2]!RUBROS[#All],2,0)</f>
        <v>#REF!</v>
      </c>
      <c r="Q429" s="47" t="str">
        <f t="shared" si="214"/>
        <v>22</v>
      </c>
      <c r="R429" s="47" t="str">
        <f t="shared" si="216"/>
        <v>0-205400</v>
      </c>
      <c r="S429" s="54" t="s">
        <v>42</v>
      </c>
      <c r="T429" s="329" t="s">
        <v>42</v>
      </c>
      <c r="U429" s="326" t="e">
        <f ca="1">_xlfn.XLOOKUP(PAA_4[[#This Row],[ITEM]],[2]Contrato!A:A,[2]Contrato!Q:Q,"",0)</f>
        <v>#NAME?</v>
      </c>
      <c r="V429" s="47" t="s">
        <v>95</v>
      </c>
      <c r="W429" s="47" t="s">
        <v>42</v>
      </c>
      <c r="X429" s="47" t="s">
        <v>42</v>
      </c>
      <c r="Y429" s="55" t="e">
        <f ca="1">_xlfn.XLOOKUP(PAA_4[[#This Row],[ITEM]],[2]Contrato!A:A,[2]Contrato!B:B,"",0)</f>
        <v>#NAME?</v>
      </c>
      <c r="Z429" s="47" t="e">
        <f ca="1">_xlfn.XLOOKUP(PAA_4[[#This Row],[ITEM]],[2]Contrato!A:A,[2]Contrato!G:G,"",0)</f>
        <v>#NAME?</v>
      </c>
      <c r="AA429" s="47" t="e">
        <f ca="1">_xlfn.XLOOKUP(PAA_4[[#This Row],[ITEM]],[2]Contrato!A:A,[2]Contrato!T:T,"",0)</f>
        <v>#NAME?</v>
      </c>
      <c r="AB429" s="55" t="e">
        <f ca="1">+MAX(PAA_4[[#This Row],[Comprometido Contrato]],PAA_4[[#This Row],[Comprometido Bolsa]])</f>
        <v>#NAME?</v>
      </c>
      <c r="AC429" s="55" t="str">
        <f t="shared" ca="1" si="210"/>
        <v/>
      </c>
      <c r="AD429" s="55" t="e">
        <f ca="1">IF(PAA_4[[#This Row],[ESTADO (formulado)]]="NO CONTRATADO",0,MAX(PAA_4[[#This Row],[Pago por Contrato]],PAA_4[[#This Row],[Pago por bolsa]]))</f>
        <v>#NAME?</v>
      </c>
      <c r="AE429" s="55" t="str">
        <f t="shared" ca="1" si="217"/>
        <v/>
      </c>
      <c r="AF429" s="47" t="e">
        <f t="shared" ca="1" si="218"/>
        <v>#NAME?</v>
      </c>
      <c r="AG429" s="47">
        <f t="shared" si="219"/>
        <v>41080101</v>
      </c>
      <c r="AH429" s="54" t="str">
        <f>IF(Q429="22",IF(ISNUMBER(SEARCH("econ",PAA_4[[#This Row],[Actividad3]])),"Económico",IF(ISNUMBER(SEARCH("alim",PAA_4[[#This Row],[Actividad3]])),"Alimentación",IF(ISNUMBER(SEARCH("educ",PAA_4[[#This Row],[Actividad3]])),"Educativo","Técnico"))),0)</f>
        <v>Técnico</v>
      </c>
      <c r="AI429" s="47" t="e" cm="1">
        <f t="array" aca="1" ref="AI429" ca="1">_xlfn.XLOOKUP(PAA_4[[#This Row],[RCP-RUBRO]],[2]!COMPROMISOS_2024[[#All],[concatenado]],[2]!COMPROMISOS_2024[[#All],[Total pagado]],"",0)</f>
        <v>#NAME?</v>
      </c>
      <c r="AJ429" s="56" t="e">
        <f ca="1">IF(PAA_4[[#This Row],[BOLSA]]=0,0,SUMIFS([2]!COMPROMISOS_2024[[#All],[Total pagado]],[2]!COMPROMISOS_2024[[#All],[Bolsa]],PAA_4[[#This Row],[BOLSA]],[2]!COMPROMISOS_2024[[#All],[rubro]],PAA_4[[#This Row],[RCP-RUBRO]]))</f>
        <v>#REF!</v>
      </c>
      <c r="AK429" s="47" t="e" cm="1">
        <f t="array" aca="1" ref="AK429" ca="1">_xlfn.XLOOKUP(PAA_4[[#This Row],[RCP-RUBRO]],[2]!COMPROMISOS_2024[[#All],[concatenado]],[2]!COMPROMISOS_2024[[#All],[Total Comprometido]],"",0)</f>
        <v>#NAME?</v>
      </c>
      <c r="AL429" s="47" t="e">
        <f ca="1">IF(PAA_4[[#This Row],[BOLSA]]=0,0,SUMIFS([2]!COMPROMISOS_2024[[#All],[Total Comprometido]],[2]!COMPROMISOS_2024[[#All],[Bolsa]],PAA_4[[#This Row],[BOLSA]],[2]!COMPROMISOS_2024[[#All],[concatenado]],PAA_4[[#This Row],[RCP-RUBRO]]))</f>
        <v>#REF!</v>
      </c>
    </row>
    <row r="430" spans="1:38" s="19" customFormat="1" ht="31.5" customHeight="1">
      <c r="A430" s="47" t="s">
        <v>82</v>
      </c>
      <c r="B430" s="51" t="s">
        <v>42</v>
      </c>
      <c r="C430" s="47" t="str">
        <f>VLOOKUP(PAA_4[[#This Row],[PROYECTO (formulado)2]],[2]PROYECTOS!$G$1:$L$32,6,0)</f>
        <v>SUBGERENCIA DE ALTOS LOGROS Y DEPORTE ASOCIADO</v>
      </c>
      <c r="D430" s="47" t="str">
        <f>+IF(PAA_4[[#This Row],[UNIDAD DE CONTRATACION (formulado)]]="Subgerencia Administrativa y Financiera","FUNCIONAMIENTO","INVERSIÓN")</f>
        <v>INVERSIÓN</v>
      </c>
      <c r="E430" s="48" t="str">
        <f>VLOOKUP(Q430,[2]PROYECTOS!$G$1:$K$32,5,0)</f>
        <v>Fortalecimiento del desarrollo deportivo con miras al alto rendimiento competitivo de los atletas del departamento de Antioquia</v>
      </c>
      <c r="F430" s="48">
        <f>VLOOKUP(E430,[2]PROYECTOS!$K$1:$M$32,3,0)</f>
        <v>2024003050087</v>
      </c>
      <c r="G430" s="344" t="s">
        <v>1514</v>
      </c>
      <c r="H430" s="49" t="str">
        <f>VLOOKUP(Q430,[2]PROYECTOS!$V$1:$W$32,2,0)</f>
        <v>050078</v>
      </c>
      <c r="I430" s="50">
        <v>1</v>
      </c>
      <c r="J430" s="340" t="s">
        <v>1513</v>
      </c>
      <c r="K430" s="47" t="str">
        <f t="shared" ca="1" si="215"/>
        <v>CONTRATADO</v>
      </c>
      <c r="L430" s="47" t="s">
        <v>42</v>
      </c>
      <c r="M430" s="47" t="s">
        <v>42</v>
      </c>
      <c r="N430" s="344" t="s">
        <v>1515</v>
      </c>
      <c r="O430" s="51" t="e">
        <f>VLOOKUP(N430,[2]!RUBROS[#All],3,0)</f>
        <v>#REF!</v>
      </c>
      <c r="P430" s="53" t="e">
        <f>VLOOKUP(N430,[2]!RUBROS[#All],2,0)</f>
        <v>#REF!</v>
      </c>
      <c r="Q430" s="47" t="str">
        <f t="shared" si="214"/>
        <v>87</v>
      </c>
      <c r="R430" s="47" t="str">
        <f t="shared" si="216"/>
        <v>0-205400</v>
      </c>
      <c r="S430" s="54" t="s">
        <v>42</v>
      </c>
      <c r="T430" s="329" t="s">
        <v>42</v>
      </c>
      <c r="U430" s="326" t="e">
        <f ca="1">_xlfn.XLOOKUP(PAA_4[[#This Row],[ITEM]],[2]Contrato!A:A,[2]Contrato!Q:Q,"",0)</f>
        <v>#NAME?</v>
      </c>
      <c r="V430" s="47" t="s">
        <v>95</v>
      </c>
      <c r="W430" s="47" t="s">
        <v>42</v>
      </c>
      <c r="X430" s="47" t="s">
        <v>42</v>
      </c>
      <c r="Y430" s="55" t="e">
        <f ca="1">_xlfn.XLOOKUP(PAA_4[[#This Row],[ITEM]],[2]Contrato!A:A,[2]Contrato!B:B,"",0)</f>
        <v>#NAME?</v>
      </c>
      <c r="Z430" s="47" t="e">
        <f ca="1">_xlfn.XLOOKUP(PAA_4[[#This Row],[ITEM]],[2]Contrato!A:A,[2]Contrato!G:G,"",0)</f>
        <v>#NAME?</v>
      </c>
      <c r="AA430" s="47" t="e">
        <f ca="1">_xlfn.XLOOKUP(PAA_4[[#This Row],[ITEM]],[2]Contrato!A:A,[2]Contrato!T:T,"",0)</f>
        <v>#NAME?</v>
      </c>
      <c r="AB430" s="55" t="e">
        <f ca="1">+MAX(PAA_4[[#This Row],[Comprometido Contrato]],PAA_4[[#This Row],[Comprometido Bolsa]])</f>
        <v>#NAME?</v>
      </c>
      <c r="AC430" s="55" t="str">
        <f t="shared" ca="1" si="210"/>
        <v/>
      </c>
      <c r="AD430" s="55" t="e">
        <f ca="1">IF(PAA_4[[#This Row],[ESTADO (formulado)]]="NO CONTRATADO",0,MAX(PAA_4[[#This Row],[Pago por Contrato]],PAA_4[[#This Row],[Pago por bolsa]]))</f>
        <v>#NAME?</v>
      </c>
      <c r="AE430" s="55" t="str">
        <f t="shared" ca="1" si="217"/>
        <v/>
      </c>
      <c r="AF430" s="47" t="e">
        <f t="shared" ca="1" si="218"/>
        <v>#NAME?</v>
      </c>
      <c r="AG430" s="47">
        <f t="shared" si="219"/>
        <v>52010805</v>
      </c>
      <c r="AH430" s="54">
        <f>IF(Q430="22",IF(ISNUMBER(SEARCH("econ",PAA_4[[#This Row],[Actividad3]])),"Económico",IF(ISNUMBER(SEARCH("alim",PAA_4[[#This Row],[Actividad3]])),"Alimentación",IF(ISNUMBER(SEARCH("educ",PAA_4[[#This Row],[Actividad3]])),"Educativo","Técnico"))),0)</f>
        <v>0</v>
      </c>
      <c r="AI430" s="47" t="e" cm="1">
        <f t="array" aca="1" ref="AI430" ca="1">_xlfn.XLOOKUP(PAA_4[[#This Row],[RCP-RUBRO]],[2]!COMPROMISOS_2024[[#All],[concatenado]],[2]!COMPROMISOS_2024[[#All],[Total pagado]],"",0)</f>
        <v>#NAME?</v>
      </c>
      <c r="AJ430" s="56">
        <f>IF(PAA_4[[#This Row],[BOLSA]]=0,0,SUMIFS([2]!COMPROMISOS_2024[[#All],[Total pagado]],[2]!COMPROMISOS_2024[[#All],[Bolsa]],PAA_4[[#This Row],[BOLSA]],[2]!COMPROMISOS_2024[[#All],[rubro]],PAA_4[[#This Row],[RCP-RUBRO]]))</f>
        <v>0</v>
      </c>
      <c r="AK430" s="47" t="e" cm="1">
        <f t="array" aca="1" ref="AK430" ca="1">_xlfn.XLOOKUP(PAA_4[[#This Row],[RCP-RUBRO]],[2]!COMPROMISOS_2024[[#All],[concatenado]],[2]!COMPROMISOS_2024[[#All],[Total Comprometido]],"",0)</f>
        <v>#NAME?</v>
      </c>
      <c r="AL430" s="47">
        <f>IF(PAA_4[[#This Row],[BOLSA]]=0,0,SUMIFS([2]!COMPROMISOS_2024[[#All],[Total Comprometido]],[2]!COMPROMISOS_2024[[#All],[Bolsa]],PAA_4[[#This Row],[BOLSA]],[2]!COMPROMISOS_2024[[#All],[concatenado]],PAA_4[[#This Row],[RCP-RUBRO]]))</f>
        <v>0</v>
      </c>
    </row>
    <row r="431" spans="1:38" s="19" customFormat="1" ht="31.5" customHeight="1">
      <c r="A431" s="47" t="s">
        <v>82</v>
      </c>
      <c r="B431" s="51" t="s">
        <v>42</v>
      </c>
      <c r="C431" s="47" t="str">
        <f>VLOOKUP(PAA_4[[#This Row],[PROYECTO (formulado)2]],[2]PROYECTOS!$G$1:$L$32,6,0)</f>
        <v>SUBGERENCIA DE ALTOS LOGROS Y DEPORTE ASOCIADO</v>
      </c>
      <c r="D431" s="47" t="str">
        <f>+IF(PAA_4[[#This Row],[UNIDAD DE CONTRATACION (formulado)]]="Subgerencia Administrativa y Financiera","FUNCIONAMIENTO","INVERSIÓN")</f>
        <v>INVERSIÓN</v>
      </c>
      <c r="E431" s="48" t="str">
        <f>VLOOKUP(Q431,[2]PROYECTOS!$G$1:$K$32,5,0)</f>
        <v>Apoyo económico a las organizaciones deportivas que representan en competencias al departamento de Antioquia</v>
      </c>
      <c r="F431" s="48">
        <f>VLOOKUP(E431,[2]PROYECTOS!$K$1:$M$32,3,0)</f>
        <v>2024003050102</v>
      </c>
      <c r="G431" s="344" t="s">
        <v>1516</v>
      </c>
      <c r="H431" s="49" t="str">
        <f>VLOOKUP(Q431,[2]PROYECTOS!$V$1:$W$32,2,0)</f>
        <v>050076</v>
      </c>
      <c r="I431" s="50">
        <v>593115</v>
      </c>
      <c r="J431" s="340" t="s">
        <v>1513</v>
      </c>
      <c r="K431" s="47" t="str">
        <f t="shared" ca="1" si="215"/>
        <v>CONTRATADO</v>
      </c>
      <c r="L431" s="47" t="s">
        <v>42</v>
      </c>
      <c r="M431" s="47" t="s">
        <v>42</v>
      </c>
      <c r="N431" s="344" t="s">
        <v>1517</v>
      </c>
      <c r="O431" s="51" t="e">
        <f>VLOOKUP(N431,[2]!RUBROS[#All],3,0)</f>
        <v>#REF!</v>
      </c>
      <c r="P431" s="53" t="e">
        <f>VLOOKUP(N431,[2]!RUBROS[#All],2,0)</f>
        <v>#REF!</v>
      </c>
      <c r="Q431" s="47" t="str">
        <f t="shared" si="214"/>
        <v>02</v>
      </c>
      <c r="R431" s="47" t="str">
        <f t="shared" si="216"/>
        <v>0-205400</v>
      </c>
      <c r="S431" s="54" t="s">
        <v>42</v>
      </c>
      <c r="T431" s="329" t="s">
        <v>42</v>
      </c>
      <c r="U431" s="326" t="e">
        <f ca="1">_xlfn.XLOOKUP(PAA_4[[#This Row],[ITEM]],[2]Contrato!A:A,[2]Contrato!Q:Q,"",0)</f>
        <v>#NAME?</v>
      </c>
      <c r="V431" s="47" t="s">
        <v>95</v>
      </c>
      <c r="W431" s="47" t="s">
        <v>42</v>
      </c>
      <c r="X431" s="47" t="s">
        <v>42</v>
      </c>
      <c r="Y431" s="55" t="e">
        <f ca="1">_xlfn.XLOOKUP(PAA_4[[#This Row],[ITEM]],[2]Contrato!A:A,[2]Contrato!B:B,"",0)</f>
        <v>#NAME?</v>
      </c>
      <c r="Z431" s="47" t="e">
        <f ca="1">_xlfn.XLOOKUP(PAA_4[[#This Row],[ITEM]],[2]Contrato!A:A,[2]Contrato!G:G,"",0)</f>
        <v>#NAME?</v>
      </c>
      <c r="AA431" s="47" t="e">
        <f ca="1">_xlfn.XLOOKUP(PAA_4[[#This Row],[ITEM]],[2]Contrato!A:A,[2]Contrato!T:T,"",0)</f>
        <v>#NAME?</v>
      </c>
      <c r="AB431" s="55" t="e">
        <f ca="1">+MAX(PAA_4[[#This Row],[Comprometido Contrato]],PAA_4[[#This Row],[Comprometido Bolsa]])</f>
        <v>#NAME?</v>
      </c>
      <c r="AC431" s="55" t="str">
        <f t="shared" ca="1" si="210"/>
        <v/>
      </c>
      <c r="AD431" s="55" t="e">
        <f ca="1">IF(PAA_4[[#This Row],[ESTADO (formulado)]]="NO CONTRATADO",0,MAX(PAA_4[[#This Row],[Pago por Contrato]],PAA_4[[#This Row],[Pago por bolsa]]))</f>
        <v>#NAME?</v>
      </c>
      <c r="AE431" s="55" t="str">
        <f t="shared" ca="1" si="217"/>
        <v/>
      </c>
      <c r="AF431" s="47" t="e">
        <f t="shared" ca="1" si="218"/>
        <v>#NAME?</v>
      </c>
      <c r="AG431" s="47">
        <f t="shared" si="219"/>
        <v>52010801</v>
      </c>
      <c r="AH431" s="54">
        <f>IF(Q431="22",IF(ISNUMBER(SEARCH("econ",PAA_4[[#This Row],[Actividad3]])),"Económico",IF(ISNUMBER(SEARCH("alim",PAA_4[[#This Row],[Actividad3]])),"Alimentación",IF(ISNUMBER(SEARCH("educ",PAA_4[[#This Row],[Actividad3]])),"Educativo","Técnico"))),0)</f>
        <v>0</v>
      </c>
      <c r="AI431" s="47" t="e" cm="1">
        <f t="array" aca="1" ref="AI431" ca="1">_xlfn.XLOOKUP(PAA_4[[#This Row],[RCP-RUBRO]],[2]!COMPROMISOS_2024[[#All],[concatenado]],[2]!COMPROMISOS_2024[[#All],[Total pagado]],"",0)</f>
        <v>#NAME?</v>
      </c>
      <c r="AJ431" s="56">
        <f>IF(PAA_4[[#This Row],[BOLSA]]=0,0,SUMIFS([2]!COMPROMISOS_2024[[#All],[Total pagado]],[2]!COMPROMISOS_2024[[#All],[Bolsa]],PAA_4[[#This Row],[BOLSA]],[2]!COMPROMISOS_2024[[#All],[rubro]],PAA_4[[#This Row],[RCP-RUBRO]]))</f>
        <v>0</v>
      </c>
      <c r="AK431" s="47" t="e" cm="1">
        <f t="array" aca="1" ref="AK431" ca="1">_xlfn.XLOOKUP(PAA_4[[#This Row],[RCP-RUBRO]],[2]!COMPROMISOS_2024[[#All],[concatenado]],[2]!COMPROMISOS_2024[[#All],[Total Comprometido]],"",0)</f>
        <v>#NAME?</v>
      </c>
      <c r="AL431" s="47">
        <f>IF(PAA_4[[#This Row],[BOLSA]]=0,0,SUMIFS([2]!COMPROMISOS_2024[[#All],[Total Comprometido]],[2]!COMPROMISOS_2024[[#All],[Bolsa]],PAA_4[[#This Row],[BOLSA]],[2]!COMPROMISOS_2024[[#All],[concatenado]],PAA_4[[#This Row],[RCP-RUBRO]]))</f>
        <v>0</v>
      </c>
    </row>
    <row r="432" spans="1:38" s="19" customFormat="1" ht="31.5" customHeight="1">
      <c r="A432" s="47" t="s">
        <v>82</v>
      </c>
      <c r="B432" s="51" t="s">
        <v>42</v>
      </c>
      <c r="C432" s="47" t="str">
        <f>VLOOKUP(PAA_4[[#This Row],[PROYECTO (formulado)2]],[2]PROYECTOS!$G$1:$L$32,6,0)</f>
        <v>SUBGERENCIA DE ALTOS LOGROS Y DEPORTE ASOCIADO</v>
      </c>
      <c r="D432" s="47" t="str">
        <f>+IF(PAA_4[[#This Row],[UNIDAD DE CONTRATACION (formulado)]]="Subgerencia Administrativa y Financiera","FUNCIONAMIENTO","INVERSIÓN")</f>
        <v>INVERSIÓN</v>
      </c>
      <c r="E432" s="48" t="str">
        <f>VLOOKUP(Q432,[2]PROYECTOS!$G$1:$K$32,5,0)</f>
        <v>Apoyo técnico a atletas y para-atletas que representan en alto rendimiento deportivo al departamento de Antioquia</v>
      </c>
      <c r="F432" s="48">
        <f>VLOOKUP(E432,[2]PROYECTOS!$K$1:$M$32,3,0)</f>
        <v>2024003050084</v>
      </c>
      <c r="G432" s="344" t="s">
        <v>1518</v>
      </c>
      <c r="H432" s="49" t="str">
        <f>VLOOKUP(Q432,[2]PROYECTOS!$V$1:$W$32,2,0)</f>
        <v>050079</v>
      </c>
      <c r="I432" s="50">
        <v>476</v>
      </c>
      <c r="J432" s="340" t="s">
        <v>1513</v>
      </c>
      <c r="K432" s="47" t="str">
        <f t="shared" ca="1" si="215"/>
        <v>CONTRATADO</v>
      </c>
      <c r="L432" s="47" t="s">
        <v>42</v>
      </c>
      <c r="M432" s="47" t="s">
        <v>42</v>
      </c>
      <c r="N432" s="344" t="s">
        <v>1519</v>
      </c>
      <c r="O432" s="51" t="e">
        <f>VLOOKUP(N432,[2]!RUBROS[#All],3,0)</f>
        <v>#REF!</v>
      </c>
      <c r="P432" s="53" t="e">
        <f>VLOOKUP(N432,[2]!RUBROS[#All],2,0)</f>
        <v>#REF!</v>
      </c>
      <c r="Q432" s="47" t="str">
        <f t="shared" si="214"/>
        <v>84</v>
      </c>
      <c r="R432" s="47" t="str">
        <f t="shared" si="216"/>
        <v>0-205400</v>
      </c>
      <c r="S432" s="54" t="s">
        <v>42</v>
      </c>
      <c r="T432" s="329" t="s">
        <v>42</v>
      </c>
      <c r="U432" s="326" t="e">
        <f ca="1">_xlfn.XLOOKUP(PAA_4[[#This Row],[ITEM]],[2]Contrato!A:A,[2]Contrato!Q:Q,"",0)</f>
        <v>#NAME?</v>
      </c>
      <c r="V432" s="47" t="s">
        <v>95</v>
      </c>
      <c r="W432" s="47" t="s">
        <v>42</v>
      </c>
      <c r="X432" s="47" t="s">
        <v>42</v>
      </c>
      <c r="Y432" s="55" t="e">
        <f ca="1">_xlfn.XLOOKUP(PAA_4[[#This Row],[ITEM]],[2]Contrato!A:A,[2]Contrato!B:B,"",0)</f>
        <v>#NAME?</v>
      </c>
      <c r="Z432" s="47" t="e">
        <f ca="1">_xlfn.XLOOKUP(PAA_4[[#This Row],[ITEM]],[2]Contrato!A:A,[2]Contrato!G:G,"",0)</f>
        <v>#NAME?</v>
      </c>
      <c r="AA432" s="47" t="e">
        <f ca="1">_xlfn.XLOOKUP(PAA_4[[#This Row],[ITEM]],[2]Contrato!A:A,[2]Contrato!T:T,"",0)</f>
        <v>#NAME?</v>
      </c>
      <c r="AB432" s="55" t="e">
        <f ca="1">+MAX(PAA_4[[#This Row],[Comprometido Contrato]],PAA_4[[#This Row],[Comprometido Bolsa]])</f>
        <v>#NAME?</v>
      </c>
      <c r="AC432" s="55" t="str">
        <f t="shared" ca="1" si="210"/>
        <v/>
      </c>
      <c r="AD432" s="55" t="e">
        <f ca="1">IF(PAA_4[[#This Row],[ESTADO (formulado)]]="NO CONTRATADO",0,MAX(PAA_4[[#This Row],[Pago por Contrato]],PAA_4[[#This Row],[Pago por bolsa]]))</f>
        <v>#NAME?</v>
      </c>
      <c r="AE432" s="55" t="str">
        <f t="shared" ca="1" si="217"/>
        <v/>
      </c>
      <c r="AF432" s="47" t="e">
        <f t="shared" ca="1" si="218"/>
        <v>#NAME?</v>
      </c>
      <c r="AG432" s="47">
        <f t="shared" si="219"/>
        <v>52010802</v>
      </c>
      <c r="AH432" s="54">
        <f>IF(Q432="22",IF(ISNUMBER(SEARCH("econ",PAA_4[[#This Row],[Actividad3]])),"Económico",IF(ISNUMBER(SEARCH("alim",PAA_4[[#This Row],[Actividad3]])),"Alimentación",IF(ISNUMBER(SEARCH("educ",PAA_4[[#This Row],[Actividad3]])),"Educativo","Técnico"))),0)</f>
        <v>0</v>
      </c>
      <c r="AI432" s="47" t="e" cm="1">
        <f t="array" aca="1" ref="AI432" ca="1">_xlfn.XLOOKUP(PAA_4[[#This Row],[RCP-RUBRO]],[2]!COMPROMISOS_2024[[#All],[concatenado]],[2]!COMPROMISOS_2024[[#All],[Total pagado]],"",0)</f>
        <v>#NAME?</v>
      </c>
      <c r="AJ432" s="56">
        <f>IF(PAA_4[[#This Row],[BOLSA]]=0,0,SUMIFS([2]!COMPROMISOS_2024[[#All],[Total pagado]],[2]!COMPROMISOS_2024[[#All],[Bolsa]],PAA_4[[#This Row],[BOLSA]],[2]!COMPROMISOS_2024[[#All],[rubro]],PAA_4[[#This Row],[RCP-RUBRO]]))</f>
        <v>0</v>
      </c>
      <c r="AK432" s="47" t="e" cm="1">
        <f t="array" aca="1" ref="AK432" ca="1">_xlfn.XLOOKUP(PAA_4[[#This Row],[RCP-RUBRO]],[2]!COMPROMISOS_2024[[#All],[concatenado]],[2]!COMPROMISOS_2024[[#All],[Total Comprometido]],"",0)</f>
        <v>#NAME?</v>
      </c>
      <c r="AL432" s="47">
        <f>IF(PAA_4[[#This Row],[BOLSA]]=0,0,SUMIFS([2]!COMPROMISOS_2024[[#All],[Total Comprometido]],[2]!COMPROMISOS_2024[[#All],[Bolsa]],PAA_4[[#This Row],[BOLSA]],[2]!COMPROMISOS_2024[[#All],[concatenado]],PAA_4[[#This Row],[RCP-RUBRO]]))</f>
        <v>0</v>
      </c>
    </row>
    <row r="433" spans="1:38" s="19" customFormat="1" ht="31.5" customHeight="1">
      <c r="A433" s="47" t="s">
        <v>82</v>
      </c>
      <c r="B433" s="51" t="s">
        <v>42</v>
      </c>
      <c r="C433" s="47" t="str">
        <f>VLOOKUP(PAA_4[[#This Row],[PROYECTO (formulado)2]],[2]PROYECTOS!$G$1:$L$32,6,0)</f>
        <v>SUBGERENCIA DE ALTOS LOGROS Y DEPORTE ASOCIADO</v>
      </c>
      <c r="D433" s="47" t="str">
        <f>+IF(PAA_4[[#This Row],[UNIDAD DE CONTRATACION (formulado)]]="Subgerencia Administrativa y Financiera","FUNCIONAMIENTO","INVERSIÓN")</f>
        <v>INVERSIÓN</v>
      </c>
      <c r="E433" s="48" t="str">
        <f>VLOOKUP(Q433,[2]PROYECTOS!$G$1:$K$32,5,0)</f>
        <v>Apoyo económico a las organizaciones deportivas que representan en competencias al departamento de Antioquia</v>
      </c>
      <c r="F433" s="48">
        <f>VLOOKUP(E433,[2]PROYECTOS!$K$1:$M$32,3,0)</f>
        <v>2024003050102</v>
      </c>
      <c r="G433" s="344" t="s">
        <v>1516</v>
      </c>
      <c r="H433" s="49" t="str">
        <f>VLOOKUP(Q433,[2]PROYECTOS!$V$1:$W$32,2,0)</f>
        <v>050076</v>
      </c>
      <c r="I433" s="50">
        <v>6044</v>
      </c>
      <c r="J433" s="340" t="s">
        <v>1513</v>
      </c>
      <c r="K433" s="47" t="str">
        <f ca="1">IF(ISNONTEXT(Y433)=TRUE,"CONTRATADO","NO CONTRATADO")</f>
        <v>CONTRATADO</v>
      </c>
      <c r="L433" s="47" t="s">
        <v>42</v>
      </c>
      <c r="M433" s="47" t="s">
        <v>42</v>
      </c>
      <c r="N433" s="344" t="s">
        <v>1520</v>
      </c>
      <c r="O433" s="51" t="e">
        <f>VLOOKUP(N433,[2]!RUBROS[#All],3,0)</f>
        <v>#REF!</v>
      </c>
      <c r="P433" s="53" t="e">
        <f>VLOOKUP(N433,[2]!RUBROS[#All],2,0)</f>
        <v>#REF!</v>
      </c>
      <c r="Q433" s="47" t="str">
        <f>+MID(N433,11,2)</f>
        <v>02</v>
      </c>
      <c r="R433" s="47" t="str">
        <f>+MID(N433,14,8)</f>
        <v>4-101124</v>
      </c>
      <c r="S433" s="54" t="s">
        <v>42</v>
      </c>
      <c r="T433" s="329" t="s">
        <v>42</v>
      </c>
      <c r="U433" s="326" t="e">
        <f ca="1">_xlfn.XLOOKUP(PAA_4[[#This Row],[ITEM]],[2]Contrato!A:A,[2]Contrato!Q:Q,"",0)</f>
        <v>#NAME?</v>
      </c>
      <c r="V433" s="47" t="s">
        <v>95</v>
      </c>
      <c r="W433" s="47" t="s">
        <v>42</v>
      </c>
      <c r="X433" s="47" t="s">
        <v>42</v>
      </c>
      <c r="Y433" s="55" t="e">
        <f ca="1">_xlfn.XLOOKUP(PAA_4[[#This Row],[ITEM]],[2]Contrato!A:A,[2]Contrato!B:B,"",0)</f>
        <v>#NAME?</v>
      </c>
      <c r="Z433" s="47" t="e">
        <f ca="1">_xlfn.XLOOKUP(PAA_4[[#This Row],[ITEM]],[2]Contrato!A:A,[2]Contrato!G:G,"",0)</f>
        <v>#NAME?</v>
      </c>
      <c r="AA433" s="47" t="e">
        <f ca="1">_xlfn.XLOOKUP(PAA_4[[#This Row],[ITEM]],[2]Contrato!A:A,[2]Contrato!T:T,"",0)</f>
        <v>#NAME?</v>
      </c>
      <c r="AB433" s="55" t="e">
        <f ca="1">+MAX(PAA_4[[#This Row],[Comprometido Contrato]],PAA_4[[#This Row],[Comprometido Bolsa]])</f>
        <v>#NAME?</v>
      </c>
      <c r="AC433" s="55" t="str">
        <f ca="1">IFERROR(I433-AB433,"")</f>
        <v/>
      </c>
      <c r="AD433" s="55" t="e">
        <f ca="1">IF(PAA_4[[#This Row],[ESTADO (formulado)]]="NO CONTRATADO",0,MAX(PAA_4[[#This Row],[Pago por Contrato]],PAA_4[[#This Row],[Pago por bolsa]]))</f>
        <v>#NAME?</v>
      </c>
      <c r="AE433" s="55" t="str">
        <f ca="1">+IFERROR(AB433-AD433,"")</f>
        <v/>
      </c>
      <c r="AF433" s="47" t="e">
        <f ca="1">+CONCATENATE(AA433,N433)</f>
        <v>#NAME?</v>
      </c>
      <c r="AG433" s="47">
        <f>IFERROR(_xlfn.NUMBERVALUE(MID(G433,1,8)),"")</f>
        <v>52010801</v>
      </c>
      <c r="AH433" s="54">
        <f>IF(Q433="22",IF(ISNUMBER(SEARCH("econ",PAA_4[[#This Row],[Actividad3]])),"Económico",IF(ISNUMBER(SEARCH("alim",PAA_4[[#This Row],[Actividad3]])),"Alimentación",IF(ISNUMBER(SEARCH("educ",PAA_4[[#This Row],[Actividad3]])),"Educativo","Técnico"))),0)</f>
        <v>0</v>
      </c>
      <c r="AI433" s="47" t="e" cm="1">
        <f t="array" aca="1" ref="AI433" ca="1">_xlfn.XLOOKUP(PAA_4[[#This Row],[RCP-RUBRO]],[2]!COMPROMISOS_2024[[#All],[concatenado]],[2]!COMPROMISOS_2024[[#All],[Total pagado]],"",0)</f>
        <v>#NAME?</v>
      </c>
      <c r="AJ433" s="56">
        <f>IF(PAA_4[[#This Row],[BOLSA]]=0,0,SUMIFS([2]!COMPROMISOS_2024[[#All],[Total pagado]],[2]!COMPROMISOS_2024[[#All],[Bolsa]],PAA_4[[#This Row],[BOLSA]],[2]!COMPROMISOS_2024[[#All],[rubro]],PAA_4[[#This Row],[RCP-RUBRO]]))</f>
        <v>0</v>
      </c>
      <c r="AK433" s="47" t="e" cm="1">
        <f t="array" aca="1" ref="AK433" ca="1">_xlfn.XLOOKUP(PAA_4[[#This Row],[RCP-RUBRO]],[2]!COMPROMISOS_2024[[#All],[concatenado]],[2]!COMPROMISOS_2024[[#All],[Total Comprometido]],"",0)</f>
        <v>#NAME?</v>
      </c>
      <c r="AL433" s="47">
        <f>IF(PAA_4[[#This Row],[BOLSA]]=0,0,SUMIFS([2]!COMPROMISOS_2024[[#All],[Total Comprometido]],[2]!COMPROMISOS_2024[[#All],[Bolsa]],PAA_4[[#This Row],[BOLSA]],[2]!COMPROMISOS_2024[[#All],[concatenado]],PAA_4[[#This Row],[RCP-RUBRO]]))</f>
        <v>0</v>
      </c>
    </row>
    <row r="434" spans="1:38" s="19" customFormat="1" ht="31.5" customHeight="1">
      <c r="A434" s="47" t="s">
        <v>82</v>
      </c>
      <c r="B434" s="51" t="s">
        <v>42</v>
      </c>
      <c r="C434" s="47" t="str">
        <f>VLOOKUP(PAA_4[[#This Row],[PROYECTO (formulado)2]],[2]PROYECTOS!$G$1:$L$32,6,0)</f>
        <v>SUBGERENCIA DE ALTOS LOGROS Y DEPORTE ASOCIADO</v>
      </c>
      <c r="D434" s="47" t="str">
        <f>+IF(PAA_4[[#This Row],[UNIDAD DE CONTRATACION (formulado)]]="Subgerencia Administrativa y Financiera","FUNCIONAMIENTO","INVERSIÓN")</f>
        <v>INVERSIÓN</v>
      </c>
      <c r="E434" s="48" t="str">
        <f>VLOOKUP(Q434,[2]PROYECTOS!$G$1:$K$32,5,0)</f>
        <v>Apoyo económico a las organizaciones deportivas que representan en competencias al departamento de Antioquia</v>
      </c>
      <c r="F434" s="48">
        <f>VLOOKUP(E434,[2]PROYECTOS!$K$1:$M$32,3,0)</f>
        <v>2024003050102</v>
      </c>
      <c r="G434" s="344" t="s">
        <v>1516</v>
      </c>
      <c r="H434" s="49" t="str">
        <f>VLOOKUP(Q434,[2]PROYECTOS!$V$1:$W$32,2,0)</f>
        <v>050076</v>
      </c>
      <c r="I434" s="50">
        <v>56000000</v>
      </c>
      <c r="J434" s="340" t="s">
        <v>1513</v>
      </c>
      <c r="K434" s="47" t="str">
        <f t="shared" ref="K434:K439" ca="1" si="220">IF(ISNONTEXT(Y434)=TRUE,"CONTRATADO","NO CONTRATADO")</f>
        <v>CONTRATADO</v>
      </c>
      <c r="L434" s="47" t="s">
        <v>42</v>
      </c>
      <c r="M434" s="47" t="s">
        <v>42</v>
      </c>
      <c r="N434" s="344" t="s">
        <v>1520</v>
      </c>
      <c r="O434" s="51" t="e">
        <f>VLOOKUP(N434,[2]!RUBROS[#All],3,0)</f>
        <v>#REF!</v>
      </c>
      <c r="P434" s="53" t="e">
        <f>VLOOKUP(N434,[2]!RUBROS[#All],2,0)</f>
        <v>#REF!</v>
      </c>
      <c r="Q434" s="47" t="str">
        <f t="shared" ref="Q434:Q439" si="221">+MID(N434,11,2)</f>
        <v>02</v>
      </c>
      <c r="R434" s="47" t="str">
        <f t="shared" ref="R434:R439" si="222">+MID(N434,14,8)</f>
        <v>4-101124</v>
      </c>
      <c r="S434" s="54" t="s">
        <v>42</v>
      </c>
      <c r="T434" s="329" t="s">
        <v>42</v>
      </c>
      <c r="U434" s="326" t="e">
        <f ca="1">_xlfn.XLOOKUP(PAA_4[[#This Row],[ITEM]],[2]Contrato!A:A,[2]Contrato!Q:Q,"",0)</f>
        <v>#NAME?</v>
      </c>
      <c r="V434" s="47" t="s">
        <v>95</v>
      </c>
      <c r="W434" s="47" t="s">
        <v>42</v>
      </c>
      <c r="X434" s="47" t="s">
        <v>42</v>
      </c>
      <c r="Y434" s="55" t="e">
        <f ca="1">_xlfn.XLOOKUP(PAA_4[[#This Row],[ITEM]],[2]Contrato!A:A,[2]Contrato!B:B,"",0)</f>
        <v>#NAME?</v>
      </c>
      <c r="Z434" s="47" t="e">
        <f ca="1">_xlfn.XLOOKUP(PAA_4[[#This Row],[ITEM]],[2]Contrato!A:A,[2]Contrato!G:G,"",0)</f>
        <v>#NAME?</v>
      </c>
      <c r="AA434" s="47" t="e">
        <f ca="1">_xlfn.XLOOKUP(PAA_4[[#This Row],[ITEM]],[2]Contrato!A:A,[2]Contrato!T:T,"",0)</f>
        <v>#NAME?</v>
      </c>
      <c r="AB434" s="55" t="e">
        <f ca="1">+MAX(PAA_4[[#This Row],[Comprometido Contrato]],PAA_4[[#This Row],[Comprometido Bolsa]])</f>
        <v>#NAME?</v>
      </c>
      <c r="AC434" s="55" t="str">
        <f t="shared" ref="AC434:AC439" ca="1" si="223">IFERROR(I434-AB434,"")</f>
        <v/>
      </c>
      <c r="AD434" s="55" t="e">
        <f ca="1">IF(PAA_4[[#This Row],[ESTADO (formulado)]]="NO CONTRATADO",0,MAX(PAA_4[[#This Row],[Pago por Contrato]],PAA_4[[#This Row],[Pago por bolsa]]))</f>
        <v>#NAME?</v>
      </c>
      <c r="AE434" s="55" t="str">
        <f t="shared" ref="AE434:AE439" ca="1" si="224">+IFERROR(AB434-AD434,"")</f>
        <v/>
      </c>
      <c r="AF434" s="47" t="e">
        <f t="shared" ref="AF434:AF439" ca="1" si="225">+CONCATENATE(AA434,N434)</f>
        <v>#NAME?</v>
      </c>
      <c r="AG434" s="47">
        <f t="shared" ref="AG434:AG439" si="226">IFERROR(_xlfn.NUMBERVALUE(MID(G434,1,8)),"")</f>
        <v>52010801</v>
      </c>
      <c r="AH434" s="54">
        <f>IF(Q434="22",IF(ISNUMBER(SEARCH("econ",PAA_4[[#This Row],[Actividad3]])),"Económico",IF(ISNUMBER(SEARCH("alim",PAA_4[[#This Row],[Actividad3]])),"Alimentación",IF(ISNUMBER(SEARCH("educ",PAA_4[[#This Row],[Actividad3]])),"Educativo","Técnico"))),0)</f>
        <v>0</v>
      </c>
      <c r="AI434" s="47" t="e" cm="1">
        <f t="array" aca="1" ref="AI434" ca="1">_xlfn.XLOOKUP(PAA_4[[#This Row],[RCP-RUBRO]],[2]!COMPROMISOS_2024[[#All],[concatenado]],[2]!COMPROMISOS_2024[[#All],[Total pagado]],"",0)</f>
        <v>#NAME?</v>
      </c>
      <c r="AJ434" s="56">
        <f>IF(PAA_4[[#This Row],[BOLSA]]=0,0,SUMIFS([2]!COMPROMISOS_2024[[#All],[Total pagado]],[2]!COMPROMISOS_2024[[#All],[Bolsa]],PAA_4[[#This Row],[BOLSA]],[2]!COMPROMISOS_2024[[#All],[rubro]],PAA_4[[#This Row],[RCP-RUBRO]]))</f>
        <v>0</v>
      </c>
      <c r="AK434" s="47" t="e" cm="1">
        <f t="array" aca="1" ref="AK434" ca="1">_xlfn.XLOOKUP(PAA_4[[#This Row],[RCP-RUBRO]],[2]!COMPROMISOS_2024[[#All],[concatenado]],[2]!COMPROMISOS_2024[[#All],[Total Comprometido]],"",0)</f>
        <v>#NAME?</v>
      </c>
      <c r="AL434" s="47">
        <f>IF(PAA_4[[#This Row],[BOLSA]]=0,0,SUMIFS([2]!COMPROMISOS_2024[[#All],[Total Comprometido]],[2]!COMPROMISOS_2024[[#All],[Bolsa]],PAA_4[[#This Row],[BOLSA]],[2]!COMPROMISOS_2024[[#All],[concatenado]],PAA_4[[#This Row],[RCP-RUBRO]]))</f>
        <v>0</v>
      </c>
    </row>
    <row r="435" spans="1:38" s="19" customFormat="1" ht="31.5" customHeight="1">
      <c r="A435" s="47" t="s">
        <v>82</v>
      </c>
      <c r="B435" s="51" t="s">
        <v>42</v>
      </c>
      <c r="C435" s="47" t="str">
        <f>VLOOKUP(PAA_4[[#This Row],[PROYECTO (formulado)2]],[2]PROYECTOS!$G$1:$L$32,6,0)</f>
        <v>SUBGERENCIA DE ALTOS LOGROS Y DEPORTE ASOCIADO</v>
      </c>
      <c r="D435" s="47" t="str">
        <f>+IF(PAA_4[[#This Row],[UNIDAD DE CONTRATACION (formulado)]]="Subgerencia Administrativa y Financiera","FUNCIONAMIENTO","INVERSIÓN")</f>
        <v>INVERSIÓN</v>
      </c>
      <c r="E435" s="48" t="str">
        <f>VLOOKUP(Q435,[2]PROYECTOS!$G$1:$K$32,5,0)</f>
        <v>Apoyo económico a las organizaciones deportivas que representan en competencias al departamento de Antioquia</v>
      </c>
      <c r="F435" s="48">
        <f>VLOOKUP(E435,[2]PROYECTOS!$K$1:$M$32,3,0)</f>
        <v>2024003050102</v>
      </c>
      <c r="G435" s="344" t="s">
        <v>1516</v>
      </c>
      <c r="H435" s="49" t="str">
        <f>VLOOKUP(Q435,[2]PROYECTOS!$V$1:$W$32,2,0)</f>
        <v>050076</v>
      </c>
      <c r="I435" s="50">
        <v>10600000</v>
      </c>
      <c r="J435" s="340" t="s">
        <v>1513</v>
      </c>
      <c r="K435" s="47" t="str">
        <f t="shared" ca="1" si="220"/>
        <v>CONTRATADO</v>
      </c>
      <c r="L435" s="47" t="s">
        <v>42</v>
      </c>
      <c r="M435" s="47" t="s">
        <v>42</v>
      </c>
      <c r="N435" s="344" t="s">
        <v>1520</v>
      </c>
      <c r="O435" s="51" t="e">
        <f>VLOOKUP(N435,[2]!RUBROS[#All],3,0)</f>
        <v>#REF!</v>
      </c>
      <c r="P435" s="53" t="e">
        <f>VLOOKUP(N435,[2]!RUBROS[#All],2,0)</f>
        <v>#REF!</v>
      </c>
      <c r="Q435" s="47" t="str">
        <f t="shared" si="221"/>
        <v>02</v>
      </c>
      <c r="R435" s="47" t="str">
        <f t="shared" si="222"/>
        <v>4-101124</v>
      </c>
      <c r="S435" s="54" t="s">
        <v>42</v>
      </c>
      <c r="T435" s="329" t="s">
        <v>42</v>
      </c>
      <c r="U435" s="326" t="e">
        <f ca="1">_xlfn.XLOOKUP(PAA_4[[#This Row],[ITEM]],[2]Contrato!A:A,[2]Contrato!Q:Q,"",0)</f>
        <v>#NAME?</v>
      </c>
      <c r="V435" s="47" t="s">
        <v>95</v>
      </c>
      <c r="W435" s="47" t="s">
        <v>42</v>
      </c>
      <c r="X435" s="47" t="s">
        <v>42</v>
      </c>
      <c r="Y435" s="55" t="e">
        <f ca="1">_xlfn.XLOOKUP(PAA_4[[#This Row],[ITEM]],[2]Contrato!A:A,[2]Contrato!B:B,"",0)</f>
        <v>#NAME?</v>
      </c>
      <c r="Z435" s="47" t="e">
        <f ca="1">_xlfn.XLOOKUP(PAA_4[[#This Row],[ITEM]],[2]Contrato!A:A,[2]Contrato!G:G,"",0)</f>
        <v>#NAME?</v>
      </c>
      <c r="AA435" s="47" t="e">
        <f ca="1">_xlfn.XLOOKUP(PAA_4[[#This Row],[ITEM]],[2]Contrato!A:A,[2]Contrato!T:T,"",0)</f>
        <v>#NAME?</v>
      </c>
      <c r="AB435" s="55" t="e">
        <f ca="1">+MAX(PAA_4[[#This Row],[Comprometido Contrato]],PAA_4[[#This Row],[Comprometido Bolsa]])</f>
        <v>#NAME?</v>
      </c>
      <c r="AC435" s="55" t="str">
        <f t="shared" ca="1" si="223"/>
        <v/>
      </c>
      <c r="AD435" s="55" t="e">
        <f ca="1">IF(PAA_4[[#This Row],[ESTADO (formulado)]]="NO CONTRATADO",0,MAX(PAA_4[[#This Row],[Pago por Contrato]],PAA_4[[#This Row],[Pago por bolsa]]))</f>
        <v>#NAME?</v>
      </c>
      <c r="AE435" s="55" t="str">
        <f t="shared" ca="1" si="224"/>
        <v/>
      </c>
      <c r="AF435" s="47" t="e">
        <f t="shared" ca="1" si="225"/>
        <v>#NAME?</v>
      </c>
      <c r="AG435" s="47">
        <f t="shared" si="226"/>
        <v>52010801</v>
      </c>
      <c r="AH435" s="54">
        <f>IF(Q435="22",IF(ISNUMBER(SEARCH("econ",PAA_4[[#This Row],[Actividad3]])),"Económico",IF(ISNUMBER(SEARCH("alim",PAA_4[[#This Row],[Actividad3]])),"Alimentación",IF(ISNUMBER(SEARCH("educ",PAA_4[[#This Row],[Actividad3]])),"Educativo","Técnico"))),0)</f>
        <v>0</v>
      </c>
      <c r="AI435" s="47" t="e" cm="1">
        <f t="array" aca="1" ref="AI435" ca="1">_xlfn.XLOOKUP(PAA_4[[#This Row],[RCP-RUBRO]],[2]!COMPROMISOS_2024[[#All],[concatenado]],[2]!COMPROMISOS_2024[[#All],[Total pagado]],"",0)</f>
        <v>#NAME?</v>
      </c>
      <c r="AJ435" s="56">
        <f>IF(PAA_4[[#This Row],[BOLSA]]=0,0,SUMIFS([2]!COMPROMISOS_2024[[#All],[Total pagado]],[2]!COMPROMISOS_2024[[#All],[Bolsa]],PAA_4[[#This Row],[BOLSA]],[2]!COMPROMISOS_2024[[#All],[rubro]],PAA_4[[#This Row],[RCP-RUBRO]]))</f>
        <v>0</v>
      </c>
      <c r="AK435" s="47" t="e" cm="1">
        <f t="array" aca="1" ref="AK435" ca="1">_xlfn.XLOOKUP(PAA_4[[#This Row],[RCP-RUBRO]],[2]!COMPROMISOS_2024[[#All],[concatenado]],[2]!COMPROMISOS_2024[[#All],[Total Comprometido]],"",0)</f>
        <v>#NAME?</v>
      </c>
      <c r="AL435" s="47">
        <f>IF(PAA_4[[#This Row],[BOLSA]]=0,0,SUMIFS([2]!COMPROMISOS_2024[[#All],[Total Comprometido]],[2]!COMPROMISOS_2024[[#All],[Bolsa]],PAA_4[[#This Row],[BOLSA]],[2]!COMPROMISOS_2024[[#All],[concatenado]],PAA_4[[#This Row],[RCP-RUBRO]]))</f>
        <v>0</v>
      </c>
    </row>
    <row r="436" spans="1:38" s="19" customFormat="1" ht="31.5" customHeight="1">
      <c r="A436" s="47" t="s">
        <v>82</v>
      </c>
      <c r="B436" s="51" t="s">
        <v>42</v>
      </c>
      <c r="C436" s="47" t="str">
        <f>VLOOKUP(PAA_4[[#This Row],[PROYECTO (formulado)2]],[2]PROYECTOS!$G$1:$L$32,6,0)</f>
        <v>SUBGERENCIA DE ALTOS LOGROS Y DEPORTE ASOCIADO</v>
      </c>
      <c r="D436" s="47" t="str">
        <f>+IF(PAA_4[[#This Row],[UNIDAD DE CONTRATACION (formulado)]]="Subgerencia Administrativa y Financiera","FUNCIONAMIENTO","INVERSIÓN")</f>
        <v>INVERSIÓN</v>
      </c>
      <c r="E436" s="48" t="str">
        <f>VLOOKUP(Q436,[2]PROYECTOS!$G$1:$K$32,5,0)</f>
        <v>Apoyo económico a las organizaciones deportivas que representan en competencias al departamento de Antioquia</v>
      </c>
      <c r="F436" s="48">
        <f>VLOOKUP(E436,[2]PROYECTOS!$K$1:$M$32,3,0)</f>
        <v>2024003050102</v>
      </c>
      <c r="G436" s="344" t="s">
        <v>1516</v>
      </c>
      <c r="H436" s="49" t="str">
        <f>VLOOKUP(Q436,[2]PROYECTOS!$V$1:$W$32,2,0)</f>
        <v>050076</v>
      </c>
      <c r="I436" s="50">
        <v>2277660</v>
      </c>
      <c r="J436" s="340" t="s">
        <v>1513</v>
      </c>
      <c r="K436" s="47" t="str">
        <f t="shared" ca="1" si="220"/>
        <v>CONTRATADO</v>
      </c>
      <c r="L436" s="47" t="s">
        <v>42</v>
      </c>
      <c r="M436" s="47" t="s">
        <v>42</v>
      </c>
      <c r="N436" s="344" t="s">
        <v>1520</v>
      </c>
      <c r="O436" s="51" t="e">
        <f>VLOOKUP(N436,[2]!RUBROS[#All],3,0)</f>
        <v>#REF!</v>
      </c>
      <c r="P436" s="53" t="e">
        <f>VLOOKUP(N436,[2]!RUBROS[#All],2,0)</f>
        <v>#REF!</v>
      </c>
      <c r="Q436" s="47" t="str">
        <f t="shared" si="221"/>
        <v>02</v>
      </c>
      <c r="R436" s="47" t="str">
        <f t="shared" si="222"/>
        <v>4-101124</v>
      </c>
      <c r="S436" s="54" t="s">
        <v>42</v>
      </c>
      <c r="T436" s="329" t="s">
        <v>42</v>
      </c>
      <c r="U436" s="326" t="e">
        <f ca="1">_xlfn.XLOOKUP(PAA_4[[#This Row],[ITEM]],[2]Contrato!A:A,[2]Contrato!Q:Q,"",0)</f>
        <v>#NAME?</v>
      </c>
      <c r="V436" s="47" t="s">
        <v>95</v>
      </c>
      <c r="W436" s="47" t="s">
        <v>42</v>
      </c>
      <c r="X436" s="47" t="s">
        <v>42</v>
      </c>
      <c r="Y436" s="55" t="e">
        <f ca="1">_xlfn.XLOOKUP(PAA_4[[#This Row],[ITEM]],[2]Contrato!A:A,[2]Contrato!B:B,"",0)</f>
        <v>#NAME?</v>
      </c>
      <c r="Z436" s="47" t="e">
        <f ca="1">_xlfn.XLOOKUP(PAA_4[[#This Row],[ITEM]],[2]Contrato!A:A,[2]Contrato!G:G,"",0)</f>
        <v>#NAME?</v>
      </c>
      <c r="AA436" s="47" t="e">
        <f ca="1">_xlfn.XLOOKUP(PAA_4[[#This Row],[ITEM]],[2]Contrato!A:A,[2]Contrato!T:T,"",0)</f>
        <v>#NAME?</v>
      </c>
      <c r="AB436" s="55" t="e">
        <f ca="1">+MAX(PAA_4[[#This Row],[Comprometido Contrato]],PAA_4[[#This Row],[Comprometido Bolsa]])</f>
        <v>#NAME?</v>
      </c>
      <c r="AC436" s="55" t="str">
        <f t="shared" ca="1" si="223"/>
        <v/>
      </c>
      <c r="AD436" s="55" t="e">
        <f ca="1">IF(PAA_4[[#This Row],[ESTADO (formulado)]]="NO CONTRATADO",0,MAX(PAA_4[[#This Row],[Pago por Contrato]],PAA_4[[#This Row],[Pago por bolsa]]))</f>
        <v>#NAME?</v>
      </c>
      <c r="AE436" s="55" t="str">
        <f t="shared" ca="1" si="224"/>
        <v/>
      </c>
      <c r="AF436" s="47" t="e">
        <f t="shared" ca="1" si="225"/>
        <v>#NAME?</v>
      </c>
      <c r="AG436" s="47">
        <f t="shared" si="226"/>
        <v>52010801</v>
      </c>
      <c r="AH436" s="54">
        <f>IF(Q436="22",IF(ISNUMBER(SEARCH("econ",PAA_4[[#This Row],[Actividad3]])),"Económico",IF(ISNUMBER(SEARCH("alim",PAA_4[[#This Row],[Actividad3]])),"Alimentación",IF(ISNUMBER(SEARCH("educ",PAA_4[[#This Row],[Actividad3]])),"Educativo","Técnico"))),0)</f>
        <v>0</v>
      </c>
      <c r="AI436" s="47" t="e" cm="1">
        <f t="array" aca="1" ref="AI436" ca="1">_xlfn.XLOOKUP(PAA_4[[#This Row],[RCP-RUBRO]],[2]!COMPROMISOS_2024[[#All],[concatenado]],[2]!COMPROMISOS_2024[[#All],[Total pagado]],"",0)</f>
        <v>#NAME?</v>
      </c>
      <c r="AJ436" s="56">
        <f>IF(PAA_4[[#This Row],[BOLSA]]=0,0,SUMIFS([2]!COMPROMISOS_2024[[#All],[Total pagado]],[2]!COMPROMISOS_2024[[#All],[Bolsa]],PAA_4[[#This Row],[BOLSA]],[2]!COMPROMISOS_2024[[#All],[rubro]],PAA_4[[#This Row],[RCP-RUBRO]]))</f>
        <v>0</v>
      </c>
      <c r="AK436" s="47" t="e" cm="1">
        <f t="array" aca="1" ref="AK436" ca="1">_xlfn.XLOOKUP(PAA_4[[#This Row],[RCP-RUBRO]],[2]!COMPROMISOS_2024[[#All],[concatenado]],[2]!COMPROMISOS_2024[[#All],[Total Comprometido]],"",0)</f>
        <v>#NAME?</v>
      </c>
      <c r="AL436" s="47">
        <f>IF(PAA_4[[#This Row],[BOLSA]]=0,0,SUMIFS([2]!COMPROMISOS_2024[[#All],[Total Comprometido]],[2]!COMPROMISOS_2024[[#All],[Bolsa]],PAA_4[[#This Row],[BOLSA]],[2]!COMPROMISOS_2024[[#All],[concatenado]],PAA_4[[#This Row],[RCP-RUBRO]]))</f>
        <v>0</v>
      </c>
    </row>
    <row r="437" spans="1:38" s="19" customFormat="1" ht="31.5" customHeight="1">
      <c r="A437" s="47" t="s">
        <v>82</v>
      </c>
      <c r="B437" s="51" t="s">
        <v>42</v>
      </c>
      <c r="C437" s="47" t="str">
        <f>VLOOKUP(PAA_4[[#This Row],[PROYECTO (formulado)2]],[2]PROYECTOS!$G$1:$L$32,6,0)</f>
        <v>SUBGERENCIA DE ALTOS LOGROS Y DEPORTE ASOCIADO</v>
      </c>
      <c r="D437" s="47" t="str">
        <f>+IF(PAA_4[[#This Row],[UNIDAD DE CONTRATACION (formulado)]]="Subgerencia Administrativa y Financiera","FUNCIONAMIENTO","INVERSIÓN")</f>
        <v>INVERSIÓN</v>
      </c>
      <c r="E437" s="48" t="str">
        <f>VLOOKUP(Q437,[2]PROYECTOS!$G$1:$K$32,5,0)</f>
        <v>Apoyo económico a las organizaciones deportivas que representan en competencias al departamento de Antioquia</v>
      </c>
      <c r="F437" s="48">
        <f>VLOOKUP(E437,[2]PROYECTOS!$K$1:$M$32,3,0)</f>
        <v>2024003050102</v>
      </c>
      <c r="G437" s="344" t="s">
        <v>1516</v>
      </c>
      <c r="H437" s="49" t="str">
        <f>VLOOKUP(Q437,[2]PROYECTOS!$V$1:$W$32,2,0)</f>
        <v>050076</v>
      </c>
      <c r="I437" s="50">
        <v>3891</v>
      </c>
      <c r="J437" s="340" t="s">
        <v>1513</v>
      </c>
      <c r="K437" s="47" t="str">
        <f t="shared" ca="1" si="220"/>
        <v>CONTRATADO</v>
      </c>
      <c r="L437" s="47" t="s">
        <v>42</v>
      </c>
      <c r="M437" s="47" t="s">
        <v>42</v>
      </c>
      <c r="N437" s="344" t="s">
        <v>1520</v>
      </c>
      <c r="O437" s="51" t="e">
        <f>VLOOKUP(N437,[2]!RUBROS[#All],3,0)</f>
        <v>#REF!</v>
      </c>
      <c r="P437" s="53" t="e">
        <f>VLOOKUP(N437,[2]!RUBROS[#All],2,0)</f>
        <v>#REF!</v>
      </c>
      <c r="Q437" s="47" t="str">
        <f t="shared" si="221"/>
        <v>02</v>
      </c>
      <c r="R437" s="47" t="str">
        <f t="shared" si="222"/>
        <v>4-101124</v>
      </c>
      <c r="S437" s="54" t="s">
        <v>42</v>
      </c>
      <c r="T437" s="329" t="s">
        <v>42</v>
      </c>
      <c r="U437" s="326" t="e">
        <f ca="1">_xlfn.XLOOKUP(PAA_4[[#This Row],[ITEM]],[2]Contrato!A:A,[2]Contrato!Q:Q,"",0)</f>
        <v>#NAME?</v>
      </c>
      <c r="V437" s="47" t="s">
        <v>95</v>
      </c>
      <c r="W437" s="47" t="s">
        <v>42</v>
      </c>
      <c r="X437" s="47" t="s">
        <v>42</v>
      </c>
      <c r="Y437" s="55" t="e">
        <f ca="1">_xlfn.XLOOKUP(PAA_4[[#This Row],[ITEM]],[2]Contrato!A:A,[2]Contrato!B:B,"",0)</f>
        <v>#NAME?</v>
      </c>
      <c r="Z437" s="47" t="e">
        <f ca="1">_xlfn.XLOOKUP(PAA_4[[#This Row],[ITEM]],[2]Contrato!A:A,[2]Contrato!G:G,"",0)</f>
        <v>#NAME?</v>
      </c>
      <c r="AA437" s="47" t="e">
        <f ca="1">_xlfn.XLOOKUP(PAA_4[[#This Row],[ITEM]],[2]Contrato!A:A,[2]Contrato!T:T,"",0)</f>
        <v>#NAME?</v>
      </c>
      <c r="AB437" s="55" t="e">
        <f ca="1">+MAX(PAA_4[[#This Row],[Comprometido Contrato]],PAA_4[[#This Row],[Comprometido Bolsa]])</f>
        <v>#NAME?</v>
      </c>
      <c r="AC437" s="55" t="str">
        <f t="shared" ca="1" si="223"/>
        <v/>
      </c>
      <c r="AD437" s="55" t="e">
        <f ca="1">IF(PAA_4[[#This Row],[ESTADO (formulado)]]="NO CONTRATADO",0,MAX(PAA_4[[#This Row],[Pago por Contrato]],PAA_4[[#This Row],[Pago por bolsa]]))</f>
        <v>#NAME?</v>
      </c>
      <c r="AE437" s="55" t="str">
        <f t="shared" ca="1" si="224"/>
        <v/>
      </c>
      <c r="AF437" s="47" t="e">
        <f t="shared" ca="1" si="225"/>
        <v>#NAME?</v>
      </c>
      <c r="AG437" s="47">
        <f t="shared" si="226"/>
        <v>52010801</v>
      </c>
      <c r="AH437" s="54">
        <f>IF(Q437="22",IF(ISNUMBER(SEARCH("econ",PAA_4[[#This Row],[Actividad3]])),"Económico",IF(ISNUMBER(SEARCH("alim",PAA_4[[#This Row],[Actividad3]])),"Alimentación",IF(ISNUMBER(SEARCH("educ",PAA_4[[#This Row],[Actividad3]])),"Educativo","Técnico"))),0)</f>
        <v>0</v>
      </c>
      <c r="AI437" s="47" t="e" cm="1">
        <f t="array" aca="1" ref="AI437" ca="1">_xlfn.XLOOKUP(PAA_4[[#This Row],[RCP-RUBRO]],[2]!COMPROMISOS_2024[[#All],[concatenado]],[2]!COMPROMISOS_2024[[#All],[Total pagado]],"",0)</f>
        <v>#NAME?</v>
      </c>
      <c r="AJ437" s="56">
        <f>IF(PAA_4[[#This Row],[BOLSA]]=0,0,SUMIFS([2]!COMPROMISOS_2024[[#All],[Total pagado]],[2]!COMPROMISOS_2024[[#All],[Bolsa]],PAA_4[[#This Row],[BOLSA]],[2]!COMPROMISOS_2024[[#All],[rubro]],PAA_4[[#This Row],[RCP-RUBRO]]))</f>
        <v>0</v>
      </c>
      <c r="AK437" s="47" t="e" cm="1">
        <f t="array" aca="1" ref="AK437" ca="1">_xlfn.XLOOKUP(PAA_4[[#This Row],[RCP-RUBRO]],[2]!COMPROMISOS_2024[[#All],[concatenado]],[2]!COMPROMISOS_2024[[#All],[Total Comprometido]],"",0)</f>
        <v>#NAME?</v>
      </c>
      <c r="AL437" s="47">
        <f>IF(PAA_4[[#This Row],[BOLSA]]=0,0,SUMIFS([2]!COMPROMISOS_2024[[#All],[Total Comprometido]],[2]!COMPROMISOS_2024[[#All],[Bolsa]],PAA_4[[#This Row],[BOLSA]],[2]!COMPROMISOS_2024[[#All],[concatenado]],PAA_4[[#This Row],[RCP-RUBRO]]))</f>
        <v>0</v>
      </c>
    </row>
    <row r="438" spans="1:38" s="19" customFormat="1" ht="31.5" customHeight="1">
      <c r="A438" s="47" t="s">
        <v>82</v>
      </c>
      <c r="B438" s="51" t="s">
        <v>42</v>
      </c>
      <c r="C438" s="47" t="str">
        <f>VLOOKUP(PAA_4[[#This Row],[PROYECTO (formulado)2]],[2]PROYECTOS!$G$1:$L$32,6,0)</f>
        <v>SUBGERENCIA DE ALTOS LOGROS Y DEPORTE ASOCIADO</v>
      </c>
      <c r="D438" s="47" t="str">
        <f>+IF(PAA_4[[#This Row],[UNIDAD DE CONTRATACION (formulado)]]="Subgerencia Administrativa y Financiera","FUNCIONAMIENTO","INVERSIÓN")</f>
        <v>INVERSIÓN</v>
      </c>
      <c r="E438" s="48" t="str">
        <f>VLOOKUP(Q438,[2]PROYECTOS!$G$1:$K$32,5,0)</f>
        <v>Apoyo económico a las organizaciones deportivas que representan en competencias al departamento de Antioquia</v>
      </c>
      <c r="F438" s="48">
        <f>VLOOKUP(E438,[2]PROYECTOS!$K$1:$M$32,3,0)</f>
        <v>2024003050102</v>
      </c>
      <c r="G438" s="344" t="s">
        <v>1521</v>
      </c>
      <c r="H438" s="49" t="str">
        <f>VLOOKUP(Q438,[2]PROYECTOS!$V$1:$W$32,2,0)</f>
        <v>050076</v>
      </c>
      <c r="I438" s="50">
        <v>3583200</v>
      </c>
      <c r="J438" s="340" t="s">
        <v>1513</v>
      </c>
      <c r="K438" s="47" t="str">
        <f t="shared" ca="1" si="220"/>
        <v>CONTRATADO</v>
      </c>
      <c r="L438" s="47" t="s">
        <v>42</v>
      </c>
      <c r="M438" s="47" t="s">
        <v>42</v>
      </c>
      <c r="N438" s="344" t="s">
        <v>1522</v>
      </c>
      <c r="O438" s="51" t="e">
        <f>VLOOKUP(N438,[2]!RUBROS[#All],3,0)</f>
        <v>#REF!</v>
      </c>
      <c r="P438" s="53" t="e">
        <f>VLOOKUP(N438,[2]!RUBROS[#All],2,0)</f>
        <v>#REF!</v>
      </c>
      <c r="Q438" s="47" t="str">
        <f t="shared" si="221"/>
        <v>02</v>
      </c>
      <c r="R438" s="47" t="str">
        <f t="shared" si="222"/>
        <v>0-101024</v>
      </c>
      <c r="S438" s="54" t="s">
        <v>42</v>
      </c>
      <c r="T438" s="329" t="s">
        <v>42</v>
      </c>
      <c r="U438" s="326" t="e">
        <f ca="1">_xlfn.XLOOKUP(PAA_4[[#This Row],[ITEM]],[2]Contrato!A:A,[2]Contrato!Q:Q,"",0)</f>
        <v>#NAME?</v>
      </c>
      <c r="V438" s="47" t="s">
        <v>95</v>
      </c>
      <c r="W438" s="47" t="s">
        <v>42</v>
      </c>
      <c r="X438" s="47" t="s">
        <v>42</v>
      </c>
      <c r="Y438" s="55" t="e">
        <f ca="1">_xlfn.XLOOKUP(PAA_4[[#This Row],[ITEM]],[2]Contrato!A:A,[2]Contrato!B:B,"",0)</f>
        <v>#NAME?</v>
      </c>
      <c r="Z438" s="47" t="e">
        <f ca="1">_xlfn.XLOOKUP(PAA_4[[#This Row],[ITEM]],[2]Contrato!A:A,[2]Contrato!G:G,"",0)</f>
        <v>#NAME?</v>
      </c>
      <c r="AA438" s="47" t="e">
        <f ca="1">_xlfn.XLOOKUP(PAA_4[[#This Row],[ITEM]],[2]Contrato!A:A,[2]Contrato!T:T,"",0)</f>
        <v>#NAME?</v>
      </c>
      <c r="AB438" s="55" t="e">
        <f ca="1">+MAX(PAA_4[[#This Row],[Comprometido Contrato]],PAA_4[[#This Row],[Comprometido Bolsa]])</f>
        <v>#NAME?</v>
      </c>
      <c r="AC438" s="55" t="str">
        <f t="shared" ca="1" si="223"/>
        <v/>
      </c>
      <c r="AD438" s="55" t="e">
        <f ca="1">IF(PAA_4[[#This Row],[ESTADO (formulado)]]="NO CONTRATADO",0,MAX(PAA_4[[#This Row],[Pago por Contrato]],PAA_4[[#This Row],[Pago por bolsa]]))</f>
        <v>#NAME?</v>
      </c>
      <c r="AE438" s="55" t="str">
        <f t="shared" ca="1" si="224"/>
        <v/>
      </c>
      <c r="AF438" s="47" t="e">
        <f t="shared" ca="1" si="225"/>
        <v>#NAME?</v>
      </c>
      <c r="AG438" s="47">
        <f t="shared" si="226"/>
        <v>52010801</v>
      </c>
      <c r="AH438" s="54">
        <f>IF(Q438="22",IF(ISNUMBER(SEARCH("econ",PAA_4[[#This Row],[Actividad3]])),"Económico",IF(ISNUMBER(SEARCH("alim",PAA_4[[#This Row],[Actividad3]])),"Alimentación",IF(ISNUMBER(SEARCH("educ",PAA_4[[#This Row],[Actividad3]])),"Educativo","Técnico"))),0)</f>
        <v>0</v>
      </c>
      <c r="AI438" s="47" t="e" cm="1">
        <f t="array" aca="1" ref="AI438" ca="1">_xlfn.XLOOKUP(PAA_4[[#This Row],[RCP-RUBRO]],[2]!COMPROMISOS_2024[[#All],[concatenado]],[2]!COMPROMISOS_2024[[#All],[Total pagado]],"",0)</f>
        <v>#NAME?</v>
      </c>
      <c r="AJ438" s="56">
        <f>IF(PAA_4[[#This Row],[BOLSA]]=0,0,SUMIFS([2]!COMPROMISOS_2024[[#All],[Total pagado]],[2]!COMPROMISOS_2024[[#All],[Bolsa]],PAA_4[[#This Row],[BOLSA]],[2]!COMPROMISOS_2024[[#All],[rubro]],PAA_4[[#This Row],[RCP-RUBRO]]))</f>
        <v>0</v>
      </c>
      <c r="AK438" s="47" t="e" cm="1">
        <f t="array" aca="1" ref="AK438" ca="1">_xlfn.XLOOKUP(PAA_4[[#This Row],[RCP-RUBRO]],[2]!COMPROMISOS_2024[[#All],[concatenado]],[2]!COMPROMISOS_2024[[#All],[Total Comprometido]],"",0)</f>
        <v>#NAME?</v>
      </c>
      <c r="AL438" s="47">
        <f>IF(PAA_4[[#This Row],[BOLSA]]=0,0,SUMIFS([2]!COMPROMISOS_2024[[#All],[Total Comprometido]],[2]!COMPROMISOS_2024[[#All],[Bolsa]],PAA_4[[#This Row],[BOLSA]],[2]!COMPROMISOS_2024[[#All],[concatenado]],PAA_4[[#This Row],[RCP-RUBRO]]))</f>
        <v>0</v>
      </c>
    </row>
    <row r="439" spans="1:38" s="19" customFormat="1" ht="31.5" customHeight="1">
      <c r="A439" s="47" t="s">
        <v>82</v>
      </c>
      <c r="B439" s="51" t="s">
        <v>42</v>
      </c>
      <c r="C439" s="47" t="str">
        <f>VLOOKUP(PAA_4[[#This Row],[PROYECTO (formulado)2]],[2]PROYECTOS!$G$1:$L$32,6,0)</f>
        <v>SUBGERENCIA DE ALTOS LOGROS Y DEPORTE ASOCIADO</v>
      </c>
      <c r="D439" s="47" t="str">
        <f>+IF(PAA_4[[#This Row],[UNIDAD DE CONTRATACION (formulado)]]="Subgerencia Administrativa y Financiera","FUNCIONAMIENTO","INVERSIÓN")</f>
        <v>INVERSIÓN</v>
      </c>
      <c r="E439" s="48" t="str">
        <f>VLOOKUP(Q439,[2]PROYECTOS!$G$1:$K$32,5,0)</f>
        <v>Apoyo económico a las organizaciones deportivas que representan en competencias al departamento de Antioquia</v>
      </c>
      <c r="F439" s="48">
        <f>VLOOKUP(E439,[2]PROYECTOS!$K$1:$M$32,3,0)</f>
        <v>2024003050102</v>
      </c>
      <c r="G439" s="344" t="s">
        <v>1521</v>
      </c>
      <c r="H439" s="49" t="str">
        <f>VLOOKUP(Q439,[2]PROYECTOS!$V$1:$W$32,2,0)</f>
        <v>050076</v>
      </c>
      <c r="I439" s="50">
        <v>1</v>
      </c>
      <c r="J439" s="340" t="s">
        <v>1513</v>
      </c>
      <c r="K439" s="47" t="str">
        <f t="shared" ca="1" si="220"/>
        <v>CONTRATADO</v>
      </c>
      <c r="L439" s="47" t="s">
        <v>42</v>
      </c>
      <c r="M439" s="47" t="s">
        <v>42</v>
      </c>
      <c r="N439" s="344" t="s">
        <v>1520</v>
      </c>
      <c r="O439" s="51" t="e">
        <f>VLOOKUP(N439,[2]!RUBROS[#All],3,0)</f>
        <v>#REF!</v>
      </c>
      <c r="P439" s="53" t="e">
        <f>VLOOKUP(N439,[2]!RUBROS[#All],2,0)</f>
        <v>#REF!</v>
      </c>
      <c r="Q439" s="47" t="str">
        <f t="shared" si="221"/>
        <v>02</v>
      </c>
      <c r="R439" s="47" t="str">
        <f t="shared" si="222"/>
        <v>4-101124</v>
      </c>
      <c r="S439" s="54" t="s">
        <v>42</v>
      </c>
      <c r="T439" s="329" t="s">
        <v>42</v>
      </c>
      <c r="U439" s="326" t="e">
        <f ca="1">_xlfn.XLOOKUP(PAA_4[[#This Row],[ITEM]],[2]Contrato!A:A,[2]Contrato!Q:Q,"",0)</f>
        <v>#NAME?</v>
      </c>
      <c r="V439" s="47" t="s">
        <v>95</v>
      </c>
      <c r="W439" s="47" t="s">
        <v>42</v>
      </c>
      <c r="X439" s="47" t="s">
        <v>42</v>
      </c>
      <c r="Y439" s="55" t="e">
        <f ca="1">_xlfn.XLOOKUP(PAA_4[[#This Row],[ITEM]],[2]Contrato!A:A,[2]Contrato!B:B,"",0)</f>
        <v>#NAME?</v>
      </c>
      <c r="Z439" s="47" t="e">
        <f ca="1">_xlfn.XLOOKUP(PAA_4[[#This Row],[ITEM]],[2]Contrato!A:A,[2]Contrato!G:G,"",0)</f>
        <v>#NAME?</v>
      </c>
      <c r="AA439" s="47" t="e">
        <f ca="1">_xlfn.XLOOKUP(PAA_4[[#This Row],[ITEM]],[2]Contrato!A:A,[2]Contrato!T:T,"",0)</f>
        <v>#NAME?</v>
      </c>
      <c r="AB439" s="55" t="e">
        <f ca="1">+MAX(PAA_4[[#This Row],[Comprometido Contrato]],PAA_4[[#This Row],[Comprometido Bolsa]])</f>
        <v>#NAME?</v>
      </c>
      <c r="AC439" s="55" t="str">
        <f t="shared" ca="1" si="223"/>
        <v/>
      </c>
      <c r="AD439" s="55" t="e">
        <f ca="1">IF(PAA_4[[#This Row],[ESTADO (formulado)]]="NO CONTRATADO",0,MAX(PAA_4[[#This Row],[Pago por Contrato]],PAA_4[[#This Row],[Pago por bolsa]]))</f>
        <v>#NAME?</v>
      </c>
      <c r="AE439" s="55" t="str">
        <f t="shared" ca="1" si="224"/>
        <v/>
      </c>
      <c r="AF439" s="47" t="e">
        <f t="shared" ca="1" si="225"/>
        <v>#NAME?</v>
      </c>
      <c r="AG439" s="47">
        <f t="shared" si="226"/>
        <v>52010801</v>
      </c>
      <c r="AH439" s="54">
        <f>IF(Q439="22",IF(ISNUMBER(SEARCH("econ",PAA_4[[#This Row],[Actividad3]])),"Económico",IF(ISNUMBER(SEARCH("alim",PAA_4[[#This Row],[Actividad3]])),"Alimentación",IF(ISNUMBER(SEARCH("educ",PAA_4[[#This Row],[Actividad3]])),"Educativo","Técnico"))),0)</f>
        <v>0</v>
      </c>
      <c r="AI439" s="47" t="e" cm="1">
        <f t="array" aca="1" ref="AI439" ca="1">_xlfn.XLOOKUP(PAA_4[[#This Row],[RCP-RUBRO]],[2]!COMPROMISOS_2024[[#All],[concatenado]],[2]!COMPROMISOS_2024[[#All],[Total pagado]],"",0)</f>
        <v>#NAME?</v>
      </c>
      <c r="AJ439" s="56">
        <f>IF(PAA_4[[#This Row],[BOLSA]]=0,0,SUMIFS([2]!COMPROMISOS_2024[[#All],[Total pagado]],[2]!COMPROMISOS_2024[[#All],[Bolsa]],PAA_4[[#This Row],[BOLSA]],[2]!COMPROMISOS_2024[[#All],[rubro]],PAA_4[[#This Row],[RCP-RUBRO]]))</f>
        <v>0</v>
      </c>
      <c r="AK439" s="47" t="e" cm="1">
        <f t="array" aca="1" ref="AK439" ca="1">_xlfn.XLOOKUP(PAA_4[[#This Row],[RCP-RUBRO]],[2]!COMPROMISOS_2024[[#All],[concatenado]],[2]!COMPROMISOS_2024[[#All],[Total Comprometido]],"",0)</f>
        <v>#NAME?</v>
      </c>
      <c r="AL439" s="47">
        <f>IF(PAA_4[[#This Row],[BOLSA]]=0,0,SUMIFS([2]!COMPROMISOS_2024[[#All],[Total Comprometido]],[2]!COMPROMISOS_2024[[#All],[Bolsa]],PAA_4[[#This Row],[BOLSA]],[2]!COMPROMISOS_2024[[#All],[concatenado]],PAA_4[[#This Row],[RCP-RUBRO]]))</f>
        <v>0</v>
      </c>
    </row>
    <row r="440" spans="1:38" s="19" customFormat="1" ht="31.5" customHeight="1">
      <c r="A440" s="47" t="s">
        <v>82</v>
      </c>
      <c r="B440" s="51" t="s">
        <v>42</v>
      </c>
      <c r="C440" s="47" t="str">
        <f>VLOOKUP(PAA_4[[#This Row],[PROYECTO (formulado)2]],[2]PROYECTOS!$G$1:$L$32,6,0)</f>
        <v>SUBGERENCIA DE ALTOS LOGROS Y DEPORTE ASOCIADO</v>
      </c>
      <c r="D440" s="47" t="str">
        <f>+IF(PAA_4[[#This Row],[UNIDAD DE CONTRATACION (formulado)]]="Subgerencia Administrativa y Financiera","FUNCIONAMIENTO","INVERSIÓN")</f>
        <v>INVERSIÓN</v>
      </c>
      <c r="E440" s="48" t="str">
        <f>VLOOKUP(Q440,[2]PROYECTOS!$G$1:$K$32,5,0)</f>
        <v>Apoyo económico a las organizaciones deportivas que representan en competencias al departamento de Antioquia</v>
      </c>
      <c r="F440" s="48">
        <f>VLOOKUP(E440,[2]PROYECTOS!$K$1:$M$32,3,0)</f>
        <v>2024003050102</v>
      </c>
      <c r="G440" s="344" t="s">
        <v>1521</v>
      </c>
      <c r="H440" s="49" t="str">
        <f>VLOOKUP(Q440,[2]PROYECTOS!$V$1:$W$32,2,0)</f>
        <v>050076</v>
      </c>
      <c r="I440" s="50">
        <v>9303143</v>
      </c>
      <c r="J440" s="340" t="s">
        <v>1513</v>
      </c>
      <c r="K440" s="47" t="str">
        <f ca="1">IF(ISNONTEXT(Y440)=TRUE,"CONTRATADO","NO CONTRATADO")</f>
        <v>CONTRATADO</v>
      </c>
      <c r="L440" s="47" t="s">
        <v>42</v>
      </c>
      <c r="M440" s="47" t="s">
        <v>42</v>
      </c>
      <c r="N440" s="344" t="s">
        <v>1522</v>
      </c>
      <c r="O440" s="51" t="e">
        <f>VLOOKUP(N440,[2]!RUBROS[#All],3,0)</f>
        <v>#REF!</v>
      </c>
      <c r="P440" s="53" t="e">
        <f>VLOOKUP(N440,[2]!RUBROS[#All],2,0)</f>
        <v>#REF!</v>
      </c>
      <c r="Q440" s="47" t="str">
        <f>+MID(N440,11,2)</f>
        <v>02</v>
      </c>
      <c r="R440" s="47" t="str">
        <f>+MID(N440,14,8)</f>
        <v>0-101024</v>
      </c>
      <c r="S440" s="54" t="s">
        <v>42</v>
      </c>
      <c r="T440" s="329" t="s">
        <v>42</v>
      </c>
      <c r="U440" s="326" t="e">
        <f ca="1">_xlfn.XLOOKUP(PAA_4[[#This Row],[ITEM]],[2]Contrato!A:A,[2]Contrato!Q:Q,"",0)</f>
        <v>#NAME?</v>
      </c>
      <c r="V440" s="47" t="s">
        <v>95</v>
      </c>
      <c r="W440" s="47" t="s">
        <v>42</v>
      </c>
      <c r="X440" s="47" t="s">
        <v>42</v>
      </c>
      <c r="Y440" s="55" t="e">
        <f ca="1">_xlfn.XLOOKUP(PAA_4[[#This Row],[ITEM]],[2]Contrato!A:A,[2]Contrato!B:B,"",0)</f>
        <v>#NAME?</v>
      </c>
      <c r="Z440" s="47" t="e">
        <f ca="1">_xlfn.XLOOKUP(PAA_4[[#This Row],[ITEM]],[2]Contrato!A:A,[2]Contrato!G:G,"",0)</f>
        <v>#NAME?</v>
      </c>
      <c r="AA440" s="47" t="e">
        <f ca="1">_xlfn.XLOOKUP(PAA_4[[#This Row],[ITEM]],[2]Contrato!A:A,[2]Contrato!T:T,"",0)</f>
        <v>#NAME?</v>
      </c>
      <c r="AB440" s="55" t="e">
        <f ca="1">+MAX(PAA_4[[#This Row],[Comprometido Contrato]],PAA_4[[#This Row],[Comprometido Bolsa]])</f>
        <v>#NAME?</v>
      </c>
      <c r="AC440" s="55" t="str">
        <f ca="1">IFERROR(I440-AB440,"")</f>
        <v/>
      </c>
      <c r="AD440" s="55" t="e">
        <f ca="1">IF(PAA_4[[#This Row],[ESTADO (formulado)]]="NO CONTRATADO",0,MAX(PAA_4[[#This Row],[Pago por Contrato]],PAA_4[[#This Row],[Pago por bolsa]]))</f>
        <v>#NAME?</v>
      </c>
      <c r="AE440" s="55" t="str">
        <f ca="1">+IFERROR(AB440-AD440,"")</f>
        <v/>
      </c>
      <c r="AF440" s="47" t="e">
        <f ca="1">+CONCATENATE(AA440,N440)</f>
        <v>#NAME?</v>
      </c>
      <c r="AG440" s="47">
        <f>IFERROR(_xlfn.NUMBERVALUE(MID(G440,1,8)),"")</f>
        <v>52010801</v>
      </c>
      <c r="AH440" s="54">
        <f>IF(Q440="22",IF(ISNUMBER(SEARCH("econ",PAA_4[[#This Row],[Actividad3]])),"Económico",IF(ISNUMBER(SEARCH("alim",PAA_4[[#This Row],[Actividad3]])),"Alimentación",IF(ISNUMBER(SEARCH("educ",PAA_4[[#This Row],[Actividad3]])),"Educativo","Técnico"))),0)</f>
        <v>0</v>
      </c>
      <c r="AI440" s="47" t="e" cm="1">
        <f t="array" aca="1" ref="AI440" ca="1">_xlfn.XLOOKUP(PAA_4[[#This Row],[RCP-RUBRO]],[2]!COMPROMISOS_2024[[#All],[concatenado]],[2]!COMPROMISOS_2024[[#All],[Total pagado]],"",0)</f>
        <v>#NAME?</v>
      </c>
      <c r="AJ440" s="56">
        <f>IF(PAA_4[[#This Row],[BOLSA]]=0,0,SUMIFS([2]!COMPROMISOS_2024[[#All],[Total pagado]],[2]!COMPROMISOS_2024[[#All],[Bolsa]],PAA_4[[#This Row],[BOLSA]],[2]!COMPROMISOS_2024[[#All],[rubro]],PAA_4[[#This Row],[RCP-RUBRO]]))</f>
        <v>0</v>
      </c>
      <c r="AK440" s="47" t="e" cm="1">
        <f t="array" aca="1" ref="AK440" ca="1">_xlfn.XLOOKUP(PAA_4[[#This Row],[RCP-RUBRO]],[2]!COMPROMISOS_2024[[#All],[concatenado]],[2]!COMPROMISOS_2024[[#All],[Total Comprometido]],"",0)</f>
        <v>#NAME?</v>
      </c>
      <c r="AL440" s="47">
        <f>IF(PAA_4[[#This Row],[BOLSA]]=0,0,SUMIFS([2]!COMPROMISOS_2024[[#All],[Total Comprometido]],[2]!COMPROMISOS_2024[[#All],[Bolsa]],PAA_4[[#This Row],[BOLSA]],[2]!COMPROMISOS_2024[[#All],[concatenado]],PAA_4[[#This Row],[RCP-RUBRO]]))</f>
        <v>0</v>
      </c>
    </row>
    <row r="441" spans="1:38" s="19" customFormat="1" ht="31.5" customHeight="1">
      <c r="A441" s="47" t="s">
        <v>82</v>
      </c>
      <c r="B441" s="51" t="s">
        <v>42</v>
      </c>
      <c r="C441" s="47" t="str">
        <f>VLOOKUP(PAA_4[[#This Row],[PROYECTO (formulado)2]],[2]PROYECTOS!$G$1:$L$32,6,0)</f>
        <v>SUBGERENCIA DE ALTOS LOGROS Y DEPORTE ASOCIADO</v>
      </c>
      <c r="D441" s="47" t="str">
        <f>+IF(PAA_4[[#This Row],[UNIDAD DE CONTRATACION (formulado)]]="Subgerencia Administrativa y Financiera","FUNCIONAMIENTO","INVERSIÓN")</f>
        <v>INVERSIÓN</v>
      </c>
      <c r="E441" s="48" t="str">
        <f>VLOOKUP(Q441,[2]PROYECTOS!$G$1:$K$32,5,0)</f>
        <v>Apoyo económico a las organizaciones deportivas que representan en competencias al departamento de Antioquia</v>
      </c>
      <c r="F441" s="48">
        <f>VLOOKUP(E441,[2]PROYECTOS!$K$1:$M$32,3,0)</f>
        <v>2024003050102</v>
      </c>
      <c r="G441" s="344" t="s">
        <v>1521</v>
      </c>
      <c r="H441" s="49" t="str">
        <f>VLOOKUP(Q441,[2]PROYECTOS!$V$1:$W$32,2,0)</f>
        <v>050076</v>
      </c>
      <c r="I441" s="50">
        <v>5547450</v>
      </c>
      <c r="J441" s="340" t="s">
        <v>1513</v>
      </c>
      <c r="K441" s="47" t="str">
        <f ca="1">IF(ISNONTEXT(Y441)=TRUE,"CONTRATADO","NO CONTRATADO")</f>
        <v>CONTRATADO</v>
      </c>
      <c r="L441" s="47" t="s">
        <v>42</v>
      </c>
      <c r="M441" s="47" t="s">
        <v>42</v>
      </c>
      <c r="N441" s="344" t="s">
        <v>1522</v>
      </c>
      <c r="O441" s="51" t="e">
        <f>VLOOKUP(N441,[2]!RUBROS[#All],3,0)</f>
        <v>#REF!</v>
      </c>
      <c r="P441" s="53" t="e">
        <f>VLOOKUP(N441,[2]!RUBROS[#All],2,0)</f>
        <v>#REF!</v>
      </c>
      <c r="Q441" s="47" t="str">
        <f>+MID(N441,11,2)</f>
        <v>02</v>
      </c>
      <c r="R441" s="47" t="str">
        <f>+MID(N441,14,8)</f>
        <v>0-101024</v>
      </c>
      <c r="S441" s="54" t="s">
        <v>42</v>
      </c>
      <c r="T441" s="329" t="s">
        <v>42</v>
      </c>
      <c r="U441" s="326" t="e">
        <f ca="1">_xlfn.XLOOKUP(PAA_4[[#This Row],[ITEM]],[2]Contrato!A:A,[2]Contrato!Q:Q,"",0)</f>
        <v>#NAME?</v>
      </c>
      <c r="V441" s="47" t="s">
        <v>95</v>
      </c>
      <c r="W441" s="47" t="s">
        <v>42</v>
      </c>
      <c r="X441" s="47" t="s">
        <v>42</v>
      </c>
      <c r="Y441" s="55" t="e">
        <f ca="1">_xlfn.XLOOKUP(PAA_4[[#This Row],[ITEM]],[2]Contrato!A:A,[2]Contrato!B:B,"",0)</f>
        <v>#NAME?</v>
      </c>
      <c r="Z441" s="47" t="e">
        <f ca="1">_xlfn.XLOOKUP(PAA_4[[#This Row],[ITEM]],[2]Contrato!A:A,[2]Contrato!G:G,"",0)</f>
        <v>#NAME?</v>
      </c>
      <c r="AA441" s="47" t="e">
        <f ca="1">_xlfn.XLOOKUP(PAA_4[[#This Row],[ITEM]],[2]Contrato!A:A,[2]Contrato!T:T,"",0)</f>
        <v>#NAME?</v>
      </c>
      <c r="AB441" s="55" t="e">
        <f ca="1">+MAX(PAA_4[[#This Row],[Comprometido Contrato]],PAA_4[[#This Row],[Comprometido Bolsa]])</f>
        <v>#NAME?</v>
      </c>
      <c r="AC441" s="55" t="str">
        <f ca="1">IFERROR(I441-AB441,"")</f>
        <v/>
      </c>
      <c r="AD441" s="55" t="e">
        <f ca="1">IF(PAA_4[[#This Row],[ESTADO (formulado)]]="NO CONTRATADO",0,MAX(PAA_4[[#This Row],[Pago por Contrato]],PAA_4[[#This Row],[Pago por bolsa]]))</f>
        <v>#NAME?</v>
      </c>
      <c r="AE441" s="55" t="str">
        <f ca="1">+IFERROR(AB441-AD441,"")</f>
        <v/>
      </c>
      <c r="AF441" s="47" t="e">
        <f ca="1">+CONCATENATE(AA441,N441)</f>
        <v>#NAME?</v>
      </c>
      <c r="AG441" s="47">
        <f>IFERROR(_xlfn.NUMBERVALUE(MID(G441,1,8)),"")</f>
        <v>52010801</v>
      </c>
      <c r="AH441" s="54">
        <f>IF(Q441="22",IF(ISNUMBER(SEARCH("econ",PAA_4[[#This Row],[Actividad3]])),"Económico",IF(ISNUMBER(SEARCH("alim",PAA_4[[#This Row],[Actividad3]])),"Alimentación",IF(ISNUMBER(SEARCH("educ",PAA_4[[#This Row],[Actividad3]])),"Educativo","Técnico"))),0)</f>
        <v>0</v>
      </c>
      <c r="AI441" s="47" t="e" cm="1">
        <f t="array" aca="1" ref="AI441" ca="1">_xlfn.XLOOKUP(PAA_4[[#This Row],[RCP-RUBRO]],[2]!COMPROMISOS_2024[[#All],[concatenado]],[2]!COMPROMISOS_2024[[#All],[Total pagado]],"",0)</f>
        <v>#NAME?</v>
      </c>
      <c r="AJ441" s="56">
        <f>IF(PAA_4[[#This Row],[BOLSA]]=0,0,SUMIFS([2]!COMPROMISOS_2024[[#All],[Total pagado]],[2]!COMPROMISOS_2024[[#All],[Bolsa]],PAA_4[[#This Row],[BOLSA]],[2]!COMPROMISOS_2024[[#All],[rubro]],PAA_4[[#This Row],[RCP-RUBRO]]))</f>
        <v>0</v>
      </c>
      <c r="AK441" s="47" t="e" cm="1">
        <f t="array" aca="1" ref="AK441" ca="1">_xlfn.XLOOKUP(PAA_4[[#This Row],[RCP-RUBRO]],[2]!COMPROMISOS_2024[[#All],[concatenado]],[2]!COMPROMISOS_2024[[#All],[Total Comprometido]],"",0)</f>
        <v>#NAME?</v>
      </c>
      <c r="AL441" s="47">
        <f>IF(PAA_4[[#This Row],[BOLSA]]=0,0,SUMIFS([2]!COMPROMISOS_2024[[#All],[Total Comprometido]],[2]!COMPROMISOS_2024[[#All],[Bolsa]],PAA_4[[#This Row],[BOLSA]],[2]!COMPROMISOS_2024[[#All],[concatenado]],PAA_4[[#This Row],[RCP-RUBRO]]))</f>
        <v>0</v>
      </c>
    </row>
    <row r="442" spans="1:38" s="19" customFormat="1" ht="31.5" customHeight="1">
      <c r="A442" s="47">
        <v>104</v>
      </c>
      <c r="B442" s="47">
        <v>90141502</v>
      </c>
      <c r="C442" s="47" t="str">
        <f>VLOOKUP(PAA_4[[#This Row],[PROYECTO (formulado)2]],[2]PROYECTOS!$G$1:$L$32,6,0)</f>
        <v>SUBGERENCIA DE ALTOS LOGROS Y DEPORTE ASOCIADO</v>
      </c>
      <c r="D442" s="47" t="str">
        <f>+IF(PAA_4[[#This Row],[UNIDAD DE CONTRATACION (formulado)]]="Subgerencia Administrativa y Financiera","FUNCIONAMIENTO","INVERSIÓN")</f>
        <v>INVERSIÓN</v>
      </c>
      <c r="E442" s="48" t="str">
        <f>VLOOKUP(Q442,[2]PROYECTOS!$G$1:$K$32,5,0)</f>
        <v>FORTALECIMIENTO_DEL_PROGRAMA_DE_ALTOS_LOGROS_Y_LIDERAZGO_DEPORTIVO_EN_EL_DEPARTAMENTO_DE_ANTIOQUIA</v>
      </c>
      <c r="F442" s="48">
        <f>VLOOKUP(E442,[2]PROYECTOS!$K$1:$M$32,3,0)</f>
        <v>2020003050021</v>
      </c>
      <c r="G442" s="49" t="s">
        <v>224</v>
      </c>
      <c r="H442" s="49" t="str">
        <f>VLOOKUP(Q442,[2]PROYECTOS!$V$1:$W$32,2,0)</f>
        <v>050061</v>
      </c>
      <c r="I442" s="50">
        <f>120000000-2277660</f>
        <v>117722340</v>
      </c>
      <c r="J442" s="51" t="s">
        <v>1523</v>
      </c>
      <c r="K442" s="47" t="str">
        <f t="shared" ref="K442:K505" ca="1" si="227">IF(ISNONTEXT(Y442)=TRUE,"CONTRATADO","NO CONTRATADO")</f>
        <v>CONTRATADO</v>
      </c>
      <c r="L442" s="47" t="s">
        <v>94</v>
      </c>
      <c r="M442" s="47" t="s">
        <v>222</v>
      </c>
      <c r="N442" s="51" t="s">
        <v>223</v>
      </c>
      <c r="O442" s="51" t="e">
        <f>VLOOKUP(N442,[2]!RUBROS[#All],3,0)</f>
        <v>#REF!</v>
      </c>
      <c r="P442" s="53" t="e">
        <f>VLOOKUP(N442,[2]!RUBROS[#All],2,0)</f>
        <v>#REF!</v>
      </c>
      <c r="Q442" s="47" t="str">
        <f t="shared" ref="Q442:Q505" si="228">+MID(N442,11,2)</f>
        <v>20</v>
      </c>
      <c r="R442" s="47" t="str">
        <f t="shared" ref="R442:R505" si="229">+MID(N442,14,8)</f>
        <v>0-205400</v>
      </c>
      <c r="S442" s="339">
        <v>11</v>
      </c>
      <c r="T442" s="59" t="s">
        <v>46</v>
      </c>
      <c r="U442" s="326" t="e">
        <f ca="1">_xlfn.XLOOKUP(PAA_4[[#This Row],[ITEM]],[2]Contrato!A:A,[2]Contrato!Q:Q,"",0)</f>
        <v>#NAME?</v>
      </c>
      <c r="V442" s="47" t="s">
        <v>95</v>
      </c>
      <c r="W442" s="47" t="s">
        <v>102</v>
      </c>
      <c r="X442" s="47" t="s">
        <v>102</v>
      </c>
      <c r="Y442" s="55" t="e">
        <f ca="1">_xlfn.XLOOKUP(PAA_4[[#This Row],[ITEM]],[2]Contrato!A:A,[2]Contrato!B:B,"",0)</f>
        <v>#NAME?</v>
      </c>
      <c r="Z442" s="47" t="e">
        <f ca="1">_xlfn.XLOOKUP(PAA_4[[#This Row],[ITEM]],[2]Contrato!A:A,[2]Contrato!G:G,"",0)</f>
        <v>#NAME?</v>
      </c>
      <c r="AA442" s="47" t="e">
        <f ca="1">_xlfn.XLOOKUP(PAA_4[[#This Row],[ITEM]],[2]Contrato!A:A,[2]Contrato!T:T,"",0)</f>
        <v>#NAME?</v>
      </c>
      <c r="AB442" s="55" t="e">
        <f ca="1">+MAX(PAA_4[[#This Row],[Comprometido Contrato]],PAA_4[[#This Row],[Comprometido Bolsa]])</f>
        <v>#NAME?</v>
      </c>
      <c r="AC442" s="55" t="str">
        <f t="shared" ref="AC442:AC505" ca="1" si="230">IFERROR(I442-AB442,"")</f>
        <v/>
      </c>
      <c r="AD442" s="55" t="e">
        <f ca="1">IF(PAA_4[[#This Row],[ESTADO (formulado)]]="NO CONTRATADO",0,MAX(PAA_4[[#This Row],[Pago por Contrato]],PAA_4[[#This Row],[Pago por bolsa]]))</f>
        <v>#NAME?</v>
      </c>
      <c r="AE442" s="55" t="str">
        <f t="shared" ref="AE442:AE505" ca="1" si="231">+IFERROR(AB442-AD442,"")</f>
        <v/>
      </c>
      <c r="AF442" s="47" t="e">
        <f t="shared" ref="AF442:AF505" ca="1" si="232">+CONCATENATE(AA442,N442)</f>
        <v>#NAME?</v>
      </c>
      <c r="AG442" s="47">
        <f t="shared" ref="AG442:AG505" si="233">IFERROR(_xlfn.NUMBERVALUE(MID(G442,1,8)),"")</f>
        <v>41080111</v>
      </c>
      <c r="AH442" s="54">
        <f>IF(Q442="22",IF(ISNUMBER(SEARCH("econ",PAA_4[[#This Row],[Actividad3]])),"Económico",IF(ISNUMBER(SEARCH("alim",PAA_4[[#This Row],[Actividad3]])),"Alimentación",IF(ISNUMBER(SEARCH("educ",PAA_4[[#This Row],[Actividad3]])),"Educativo","Técnico"))),0)</f>
        <v>0</v>
      </c>
      <c r="AI442" s="47" t="e" cm="1">
        <f t="array" aca="1" ref="AI442" ca="1">_xlfn.XLOOKUP(PAA_4[[#This Row],[RCP-RUBRO]],[2]!COMPROMISOS_2024[[#All],[concatenado]],[2]!COMPROMISOS_2024[[#All],[Total pagado]],"",0)</f>
        <v>#NAME?</v>
      </c>
      <c r="AJ442" s="56">
        <f>IF(PAA_4[[#This Row],[BOLSA]]=0,0,SUMIFS([2]!COMPROMISOS_2024[[#All],[Total pagado]],[2]!COMPROMISOS_2024[[#All],[Bolsa]],PAA_4[[#This Row],[BOLSA]],[2]!COMPROMISOS_2024[[#All],[rubro]],PAA_4[[#This Row],[RCP-RUBRO]]))</f>
        <v>0</v>
      </c>
      <c r="AK442" s="47" t="e" cm="1">
        <f t="array" aca="1" ref="AK442" ca="1">_xlfn.XLOOKUP(PAA_4[[#This Row],[RCP-RUBRO]],[2]!COMPROMISOS_2024[[#All],[concatenado]],[2]!COMPROMISOS_2024[[#All],[Total Comprometido]],"",0)</f>
        <v>#NAME?</v>
      </c>
      <c r="AL442" s="47">
        <f>IF(PAA_4[[#This Row],[BOLSA]]=0,0,SUMIFS([2]!COMPROMISOS_2024[[#All],[Total Comprometido]],[2]!COMPROMISOS_2024[[#All],[Bolsa]],PAA_4[[#This Row],[BOLSA]],[2]!COMPROMISOS_2024[[#All],[concatenado]],PAA_4[[#This Row],[RCP-RUBRO]]))</f>
        <v>0</v>
      </c>
    </row>
    <row r="443" spans="1:38" s="19" customFormat="1" ht="31.5" customHeight="1">
      <c r="A443" s="47">
        <v>105</v>
      </c>
      <c r="B443" s="47">
        <v>90141502</v>
      </c>
      <c r="C443" s="47" t="str">
        <f>VLOOKUP(PAA_4[[#This Row],[PROYECTO (formulado)2]],[2]PROYECTOS!$G$1:$L$32,6,0)</f>
        <v>SUBGERENCIA DE ALTOS LOGROS Y DEPORTE ASOCIADO</v>
      </c>
      <c r="D443" s="47" t="str">
        <f>+IF(PAA_4[[#This Row],[UNIDAD DE CONTRATACION (formulado)]]="Subgerencia Administrativa y Financiera","FUNCIONAMIENTO","INVERSIÓN")</f>
        <v>INVERSIÓN</v>
      </c>
      <c r="E443" s="48" t="str">
        <f>VLOOKUP(Q443,[2]PROYECTOS!$G$1:$K$32,5,0)</f>
        <v>FORTALECIMIENTO_DEL_PROGRAMA_DE_ALTOS_LOGROS_Y_LIDERAZGO_DEPORTIVO_EN_EL_DEPARTAMENTO_DE_ANTIOQUIA</v>
      </c>
      <c r="F443" s="48">
        <f>VLOOKUP(E443,[2]PROYECTOS!$K$1:$M$32,3,0)</f>
        <v>2020003050021</v>
      </c>
      <c r="G443" s="49" t="s">
        <v>224</v>
      </c>
      <c r="H443" s="49" t="str">
        <f>VLOOKUP(Q443,[2]PROYECTOS!$V$1:$W$32,2,0)</f>
        <v>050061</v>
      </c>
      <c r="I443" s="50">
        <v>0</v>
      </c>
      <c r="J443" s="51" t="s">
        <v>42</v>
      </c>
      <c r="K443" s="47" t="str">
        <f t="shared" ca="1" si="227"/>
        <v>CONTRATADO</v>
      </c>
      <c r="L443" s="47" t="s">
        <v>94</v>
      </c>
      <c r="M443" s="47" t="s">
        <v>222</v>
      </c>
      <c r="N443" s="52" t="s">
        <v>223</v>
      </c>
      <c r="O443" s="51" t="e">
        <f>VLOOKUP(N443,[2]!RUBROS[#All],3,0)</f>
        <v>#REF!</v>
      </c>
      <c r="P443" s="53" t="e">
        <f>VLOOKUP(N443,[2]!RUBROS[#All],2,0)</f>
        <v>#REF!</v>
      </c>
      <c r="Q443" s="47" t="str">
        <f t="shared" si="228"/>
        <v>20</v>
      </c>
      <c r="R443" s="47" t="str">
        <f t="shared" si="229"/>
        <v>0-205400</v>
      </c>
      <c r="S443" s="54">
        <v>205</v>
      </c>
      <c r="T443" s="59" t="s">
        <v>120</v>
      </c>
      <c r="U443" s="326" t="e">
        <f ca="1">_xlfn.XLOOKUP(PAA_4[[#This Row],[ITEM]],[2]Contrato!A:A,[2]Contrato!Q:Q,"",0)</f>
        <v>#NAME?</v>
      </c>
      <c r="V443" s="47" t="s">
        <v>95</v>
      </c>
      <c r="W443" s="47" t="s">
        <v>119</v>
      </c>
      <c r="X443" s="47" t="s">
        <v>154</v>
      </c>
      <c r="Y443" s="55" t="e">
        <f ca="1">_xlfn.XLOOKUP(PAA_4[[#This Row],[ITEM]],[2]Contrato!A:A,[2]Contrato!B:B,"",0)</f>
        <v>#NAME?</v>
      </c>
      <c r="Z443" s="47" t="e">
        <f ca="1">_xlfn.XLOOKUP(PAA_4[[#This Row],[ITEM]],[2]Contrato!A:A,[2]Contrato!G:G,"",0)</f>
        <v>#NAME?</v>
      </c>
      <c r="AA443" s="47" t="e">
        <f ca="1">_xlfn.XLOOKUP(PAA_4[[#This Row],[ITEM]],[2]Contrato!A:A,[2]Contrato!T:T,"",0)</f>
        <v>#NAME?</v>
      </c>
      <c r="AB443" s="55" t="e">
        <f ca="1">+MAX(PAA_4[[#This Row],[Comprometido Contrato]],PAA_4[[#This Row],[Comprometido Bolsa]])</f>
        <v>#NAME?</v>
      </c>
      <c r="AC443" s="55" t="str">
        <f t="shared" ca="1" si="230"/>
        <v/>
      </c>
      <c r="AD443" s="55" t="e">
        <f ca="1">IF(PAA_4[[#This Row],[ESTADO (formulado)]]="NO CONTRATADO",0,MAX(PAA_4[[#This Row],[Pago por Contrato]],PAA_4[[#This Row],[Pago por bolsa]]))</f>
        <v>#NAME?</v>
      </c>
      <c r="AE443" s="55" t="str">
        <f t="shared" ca="1" si="231"/>
        <v/>
      </c>
      <c r="AF443" s="47" t="e">
        <f t="shared" ca="1" si="232"/>
        <v>#NAME?</v>
      </c>
      <c r="AG443" s="47">
        <f t="shared" si="233"/>
        <v>41080111</v>
      </c>
      <c r="AH443" s="54">
        <f>IF(Q443="22",IF(ISNUMBER(SEARCH("econ",PAA_4[[#This Row],[Actividad3]])),"Económico",IF(ISNUMBER(SEARCH("alim",PAA_4[[#This Row],[Actividad3]])),"Alimentación",IF(ISNUMBER(SEARCH("educ",PAA_4[[#This Row],[Actividad3]])),"Educativo","Técnico"))),0)</f>
        <v>0</v>
      </c>
      <c r="AI443" s="47" t="e" cm="1">
        <f t="array" aca="1" ref="AI443" ca="1">_xlfn.XLOOKUP(PAA_4[[#This Row],[RCP-RUBRO]],[2]!COMPROMISOS_2024[[#All],[concatenado]],[2]!COMPROMISOS_2024[[#All],[Total pagado]],"",0)</f>
        <v>#NAME?</v>
      </c>
      <c r="AJ443" s="56">
        <f>IF(PAA_4[[#This Row],[BOLSA]]=0,0,SUMIFS([2]!COMPROMISOS_2024[[#All],[Total pagado]],[2]!COMPROMISOS_2024[[#All],[Bolsa]],PAA_4[[#This Row],[BOLSA]],[2]!COMPROMISOS_2024[[#All],[rubro]],PAA_4[[#This Row],[RCP-RUBRO]]))</f>
        <v>0</v>
      </c>
      <c r="AK443" s="47" t="e" cm="1">
        <f t="array" aca="1" ref="AK443" ca="1">_xlfn.XLOOKUP(PAA_4[[#This Row],[RCP-RUBRO]],[2]!COMPROMISOS_2024[[#All],[concatenado]],[2]!COMPROMISOS_2024[[#All],[Total Comprometido]],"",0)</f>
        <v>#NAME?</v>
      </c>
      <c r="AL443" s="47">
        <f>IF(PAA_4[[#This Row],[BOLSA]]=0,0,SUMIFS([2]!COMPROMISOS_2024[[#All],[Total Comprometido]],[2]!COMPROMISOS_2024[[#All],[Bolsa]],PAA_4[[#This Row],[BOLSA]],[2]!COMPROMISOS_2024[[#All],[concatenado]],PAA_4[[#This Row],[RCP-RUBRO]]))</f>
        <v>0</v>
      </c>
    </row>
    <row r="444" spans="1:38" s="19" customFormat="1" ht="31.5" customHeight="1">
      <c r="A444" s="47">
        <v>106</v>
      </c>
      <c r="B444" s="47">
        <v>90141502</v>
      </c>
      <c r="C444" s="47" t="str">
        <f>VLOOKUP(PAA_4[[#This Row],[PROYECTO (formulado)2]],[2]PROYECTOS!$G$1:$L$32,6,0)</f>
        <v>SUBGERENCIA DE ALTOS LOGROS Y DEPORTE ASOCIADO</v>
      </c>
      <c r="D444" s="47" t="str">
        <f>+IF(PAA_4[[#This Row],[UNIDAD DE CONTRATACION (formulado)]]="Subgerencia Administrativa y Financiera","FUNCIONAMIENTO","INVERSIÓN")</f>
        <v>INVERSIÓN</v>
      </c>
      <c r="E444" s="48" t="str">
        <f>VLOOKUP(Q444,[2]PROYECTOS!$G$1:$K$32,5,0)</f>
        <v>FORTALECIMIENTO_DEL_PROGRAMA_DE_ALTOS_LOGROS_Y_LIDERAZGO_DEPORTIVO_EN_EL_DEPARTAMENTO_DE_ANTIOQUIA</v>
      </c>
      <c r="F444" s="48">
        <f>VLOOKUP(E444,[2]PROYECTOS!$K$1:$M$32,3,0)</f>
        <v>2020003050021</v>
      </c>
      <c r="G444" s="49" t="s">
        <v>224</v>
      </c>
      <c r="H444" s="49" t="str">
        <f>VLOOKUP(Q444,[2]PROYECTOS!$V$1:$W$32,2,0)</f>
        <v>050061</v>
      </c>
      <c r="I444" s="50">
        <v>0</v>
      </c>
      <c r="J444" s="51" t="s">
        <v>42</v>
      </c>
      <c r="K444" s="47" t="str">
        <f t="shared" ca="1" si="227"/>
        <v>CONTRATADO</v>
      </c>
      <c r="L444" s="47" t="s">
        <v>94</v>
      </c>
      <c r="M444" s="47" t="s">
        <v>222</v>
      </c>
      <c r="N444" s="51" t="s">
        <v>223</v>
      </c>
      <c r="O444" s="51" t="e">
        <f>VLOOKUP(N444,[2]!RUBROS[#All],3,0)</f>
        <v>#REF!</v>
      </c>
      <c r="P444" s="53" t="e">
        <f>VLOOKUP(N444,[2]!RUBROS[#All],2,0)</f>
        <v>#REF!</v>
      </c>
      <c r="Q444" s="47" t="str">
        <f t="shared" si="228"/>
        <v>20</v>
      </c>
      <c r="R444" s="47" t="str">
        <f t="shared" si="229"/>
        <v>0-205400</v>
      </c>
      <c r="S444" s="54">
        <v>6.5</v>
      </c>
      <c r="T444" s="59" t="s">
        <v>46</v>
      </c>
      <c r="U444" s="326" t="e">
        <f ca="1">_xlfn.XLOOKUP(PAA_4[[#This Row],[ITEM]],[2]Contrato!A:A,[2]Contrato!Q:Q,"",0)</f>
        <v>#NAME?</v>
      </c>
      <c r="V444" s="47" t="s">
        <v>95</v>
      </c>
      <c r="W444" s="47" t="s">
        <v>154</v>
      </c>
      <c r="X444" s="47" t="s">
        <v>154</v>
      </c>
      <c r="Y444" s="55" t="e">
        <f ca="1">_xlfn.XLOOKUP(PAA_4[[#This Row],[ITEM]],[2]Contrato!A:A,[2]Contrato!B:B,"",0)</f>
        <v>#NAME?</v>
      </c>
      <c r="Z444" s="47" t="e">
        <f ca="1">_xlfn.XLOOKUP(PAA_4[[#This Row],[ITEM]],[2]Contrato!A:A,[2]Contrato!G:G,"",0)</f>
        <v>#NAME?</v>
      </c>
      <c r="AA444" s="47" t="e">
        <f ca="1">_xlfn.XLOOKUP(PAA_4[[#This Row],[ITEM]],[2]Contrato!A:A,[2]Contrato!T:T,"",0)</f>
        <v>#NAME?</v>
      </c>
      <c r="AB444" s="55" t="e">
        <f ca="1">+MAX(PAA_4[[#This Row],[Comprometido Contrato]],PAA_4[[#This Row],[Comprometido Bolsa]])</f>
        <v>#NAME?</v>
      </c>
      <c r="AC444" s="55" t="str">
        <f t="shared" ca="1" si="230"/>
        <v/>
      </c>
      <c r="AD444" s="55" t="e">
        <f ca="1">IF(PAA_4[[#This Row],[ESTADO (formulado)]]="NO CONTRATADO",0,MAX(PAA_4[[#This Row],[Pago por Contrato]],PAA_4[[#This Row],[Pago por bolsa]]))</f>
        <v>#NAME?</v>
      </c>
      <c r="AE444" s="55" t="str">
        <f t="shared" ca="1" si="231"/>
        <v/>
      </c>
      <c r="AF444" s="47" t="e">
        <f t="shared" ca="1" si="232"/>
        <v>#NAME?</v>
      </c>
      <c r="AG444" s="47">
        <f t="shared" si="233"/>
        <v>41080111</v>
      </c>
      <c r="AH444" s="54">
        <f>IF(Q444="22",IF(ISNUMBER(SEARCH("econ",PAA_4[[#This Row],[Actividad3]])),"Económico",IF(ISNUMBER(SEARCH("alim",PAA_4[[#This Row],[Actividad3]])),"Alimentación",IF(ISNUMBER(SEARCH("educ",PAA_4[[#This Row],[Actividad3]])),"Educativo","Técnico"))),0)</f>
        <v>0</v>
      </c>
      <c r="AI444" s="47" t="e" cm="1">
        <f t="array" aca="1" ref="AI444" ca="1">_xlfn.XLOOKUP(PAA_4[[#This Row],[RCP-RUBRO]],[2]!COMPROMISOS_2024[[#All],[concatenado]],[2]!COMPROMISOS_2024[[#All],[Total pagado]],"",0)</f>
        <v>#NAME?</v>
      </c>
      <c r="AJ444" s="56">
        <f>IF(PAA_4[[#This Row],[BOLSA]]=0,0,SUMIFS([2]!COMPROMISOS_2024[[#All],[Total pagado]],[2]!COMPROMISOS_2024[[#All],[Bolsa]],PAA_4[[#This Row],[BOLSA]],[2]!COMPROMISOS_2024[[#All],[rubro]],PAA_4[[#This Row],[RCP-RUBRO]]))</f>
        <v>0</v>
      </c>
      <c r="AK444" s="47" t="e" cm="1">
        <f t="array" aca="1" ref="AK444" ca="1">_xlfn.XLOOKUP(PAA_4[[#This Row],[RCP-RUBRO]],[2]!COMPROMISOS_2024[[#All],[concatenado]],[2]!COMPROMISOS_2024[[#All],[Total Comprometido]],"",0)</f>
        <v>#NAME?</v>
      </c>
      <c r="AL444" s="47">
        <f>IF(PAA_4[[#This Row],[BOLSA]]=0,0,SUMIFS([2]!COMPROMISOS_2024[[#All],[Total Comprometido]],[2]!COMPROMISOS_2024[[#All],[Bolsa]],PAA_4[[#This Row],[BOLSA]],[2]!COMPROMISOS_2024[[#All],[concatenado]],PAA_4[[#This Row],[RCP-RUBRO]]))</f>
        <v>0</v>
      </c>
    </row>
    <row r="445" spans="1:38" s="19" customFormat="1" ht="31.5" customHeight="1">
      <c r="A445" s="47">
        <v>107</v>
      </c>
      <c r="B445" s="47">
        <v>80111600</v>
      </c>
      <c r="C445" s="47" t="str">
        <f>VLOOKUP(PAA_4[[#This Row],[PROYECTO (formulado)2]],[2]PROYECTOS!$G$1:$L$32,6,0)</f>
        <v>SUBGERENCIA DE ALTOS LOGROS Y DEPORTE ASOCIADO</v>
      </c>
      <c r="D445" s="47" t="str">
        <f>+IF(PAA_4[[#This Row],[UNIDAD DE CONTRATACION (formulado)]]="Subgerencia Administrativa y Financiera","FUNCIONAMIENTO","INVERSIÓN")</f>
        <v>INVERSIÓN</v>
      </c>
      <c r="E445" s="48" t="str">
        <f>VLOOKUP(Q445,[2]PROYECTOS!$G$1:$K$32,5,0)</f>
        <v>FORTALECIMIENTO_DEL_PROGRAMA_DE_ALTOS_LOGROS_Y_LIDERAZGO_DEPORTIVO_EN_EL_DEPARTAMENTO_DE_ANTIOQUIA</v>
      </c>
      <c r="F445" s="48">
        <f>VLOOKUP(E445,[2]PROYECTOS!$K$1:$M$32,3,0)</f>
        <v>2020003050021</v>
      </c>
      <c r="G445" s="49" t="s">
        <v>224</v>
      </c>
      <c r="H445" s="49" t="str">
        <f>VLOOKUP(Q445,[2]PROYECTOS!$V$1:$W$32,2,0)</f>
        <v>050061</v>
      </c>
      <c r="I445" s="50">
        <v>0</v>
      </c>
      <c r="J445" s="51" t="s">
        <v>42</v>
      </c>
      <c r="K445" s="47" t="str">
        <f t="shared" ca="1" si="227"/>
        <v>CONTRATADO</v>
      </c>
      <c r="L445" s="47" t="s">
        <v>94</v>
      </c>
      <c r="M445" s="47" t="s">
        <v>222</v>
      </c>
      <c r="N445" s="52" t="s">
        <v>223</v>
      </c>
      <c r="O445" s="51" t="e">
        <f>VLOOKUP(N445,[2]!RUBROS[#All],3,0)</f>
        <v>#REF!</v>
      </c>
      <c r="P445" s="53" t="e">
        <f>VLOOKUP(N445,[2]!RUBROS[#All],2,0)</f>
        <v>#REF!</v>
      </c>
      <c r="Q445" s="47" t="str">
        <f t="shared" si="228"/>
        <v>20</v>
      </c>
      <c r="R445" s="47" t="str">
        <f t="shared" si="229"/>
        <v>0-205400</v>
      </c>
      <c r="S445" s="54">
        <v>6.5</v>
      </c>
      <c r="T445" s="59" t="s">
        <v>46</v>
      </c>
      <c r="U445" s="326" t="e">
        <f ca="1">_xlfn.XLOOKUP(PAA_4[[#This Row],[ITEM]],[2]Contrato!A:A,[2]Contrato!Q:Q,"",0)</f>
        <v>#NAME?</v>
      </c>
      <c r="V445" s="47" t="s">
        <v>95</v>
      </c>
      <c r="W445" s="47" t="s">
        <v>154</v>
      </c>
      <c r="X445" s="47" t="s">
        <v>154</v>
      </c>
      <c r="Y445" s="55" t="e">
        <f ca="1">_xlfn.XLOOKUP(PAA_4[[#This Row],[ITEM]],[2]Contrato!A:A,[2]Contrato!B:B,"",0)</f>
        <v>#NAME?</v>
      </c>
      <c r="Z445" s="47" t="e">
        <f ca="1">_xlfn.XLOOKUP(PAA_4[[#This Row],[ITEM]],[2]Contrato!A:A,[2]Contrato!G:G,"",0)</f>
        <v>#NAME?</v>
      </c>
      <c r="AA445" s="47" t="e">
        <f ca="1">_xlfn.XLOOKUP(PAA_4[[#This Row],[ITEM]],[2]Contrato!A:A,[2]Contrato!T:T,"",0)</f>
        <v>#NAME?</v>
      </c>
      <c r="AB445" s="55" t="e">
        <f ca="1">+MAX(PAA_4[[#This Row],[Comprometido Contrato]],PAA_4[[#This Row],[Comprometido Bolsa]])</f>
        <v>#NAME?</v>
      </c>
      <c r="AC445" s="55" t="str">
        <f t="shared" ca="1" si="230"/>
        <v/>
      </c>
      <c r="AD445" s="55" t="e">
        <f ca="1">IF(PAA_4[[#This Row],[ESTADO (formulado)]]="NO CONTRATADO",0,MAX(PAA_4[[#This Row],[Pago por Contrato]],PAA_4[[#This Row],[Pago por bolsa]]))</f>
        <v>#NAME?</v>
      </c>
      <c r="AE445" s="55" t="str">
        <f t="shared" ca="1" si="231"/>
        <v/>
      </c>
      <c r="AF445" s="47" t="e">
        <f t="shared" ca="1" si="232"/>
        <v>#NAME?</v>
      </c>
      <c r="AG445" s="47">
        <f t="shared" si="233"/>
        <v>41080111</v>
      </c>
      <c r="AH445" s="54">
        <f>IF(Q445="22",IF(ISNUMBER(SEARCH("econ",PAA_4[[#This Row],[Actividad3]])),"Económico",IF(ISNUMBER(SEARCH("alim",PAA_4[[#This Row],[Actividad3]])),"Alimentación",IF(ISNUMBER(SEARCH("educ",PAA_4[[#This Row],[Actividad3]])),"Educativo","Técnico"))),0)</f>
        <v>0</v>
      </c>
      <c r="AI445" s="47" t="e" cm="1">
        <f t="array" aca="1" ref="AI445" ca="1">_xlfn.XLOOKUP(PAA_4[[#This Row],[RCP-RUBRO]],[2]!COMPROMISOS_2024[[#All],[concatenado]],[2]!COMPROMISOS_2024[[#All],[Total pagado]],"",0)</f>
        <v>#NAME?</v>
      </c>
      <c r="AJ445" s="56">
        <f>IF(PAA_4[[#This Row],[BOLSA]]=0,0,SUMIFS([2]!COMPROMISOS_2024[[#All],[Total pagado]],[2]!COMPROMISOS_2024[[#All],[Bolsa]],PAA_4[[#This Row],[BOLSA]],[2]!COMPROMISOS_2024[[#All],[rubro]],PAA_4[[#This Row],[RCP-RUBRO]]))</f>
        <v>0</v>
      </c>
      <c r="AK445" s="47" t="e" cm="1">
        <f t="array" aca="1" ref="AK445" ca="1">_xlfn.XLOOKUP(PAA_4[[#This Row],[RCP-RUBRO]],[2]!COMPROMISOS_2024[[#All],[concatenado]],[2]!COMPROMISOS_2024[[#All],[Total Comprometido]],"",0)</f>
        <v>#NAME?</v>
      </c>
      <c r="AL445" s="47">
        <f>IF(PAA_4[[#This Row],[BOLSA]]=0,0,SUMIFS([2]!COMPROMISOS_2024[[#All],[Total Comprometido]],[2]!COMPROMISOS_2024[[#All],[Bolsa]],PAA_4[[#This Row],[BOLSA]],[2]!COMPROMISOS_2024[[#All],[concatenado]],PAA_4[[#This Row],[RCP-RUBRO]]))</f>
        <v>0</v>
      </c>
    </row>
    <row r="446" spans="1:38" s="19" customFormat="1" ht="31.5" customHeight="1">
      <c r="A446" s="47">
        <v>108</v>
      </c>
      <c r="B446" s="47">
        <v>90141502</v>
      </c>
      <c r="C446" s="47" t="str">
        <f>VLOOKUP(PAA_4[[#This Row],[PROYECTO (formulado)2]],[2]PROYECTOS!$G$1:$L$32,6,0)</f>
        <v>SUBGERENCIA DE ALTOS LOGROS Y DEPORTE ASOCIADO</v>
      </c>
      <c r="D446" s="47" t="str">
        <f>+IF(PAA_4[[#This Row],[UNIDAD DE CONTRATACION (formulado)]]="Subgerencia Administrativa y Financiera","FUNCIONAMIENTO","INVERSIÓN")</f>
        <v>INVERSIÓN</v>
      </c>
      <c r="E446" s="48" t="str">
        <f>VLOOKUP(Q446,[2]PROYECTOS!$G$1:$K$32,5,0)</f>
        <v>FORTALECIMIENTO_DEL_PROGRAMA_DE_ALTOS_LOGROS_Y_LIDERAZGO_DEPORTIVO_EN_EL_DEPARTAMENTO_DE_ANTIOQUIA</v>
      </c>
      <c r="F446" s="48">
        <f>VLOOKUP(E446,[2]PROYECTOS!$K$1:$M$32,3,0)</f>
        <v>2020003050021</v>
      </c>
      <c r="G446" s="49" t="s">
        <v>224</v>
      </c>
      <c r="H446" s="49" t="str">
        <f>VLOOKUP(Q446,[2]PROYECTOS!$V$1:$W$32,2,0)</f>
        <v>050061</v>
      </c>
      <c r="I446" s="50">
        <v>0</v>
      </c>
      <c r="J446" s="51" t="s">
        <v>42</v>
      </c>
      <c r="K446" s="47" t="str">
        <f t="shared" ca="1" si="227"/>
        <v>CONTRATADO</v>
      </c>
      <c r="L446" s="47" t="s">
        <v>94</v>
      </c>
      <c r="M446" s="47" t="s">
        <v>222</v>
      </c>
      <c r="N446" s="52" t="s">
        <v>223</v>
      </c>
      <c r="O446" s="51" t="e">
        <f>VLOOKUP(N446,[2]!RUBROS[#All],3,0)</f>
        <v>#REF!</v>
      </c>
      <c r="P446" s="53" t="e">
        <f>VLOOKUP(N446,[2]!RUBROS[#All],2,0)</f>
        <v>#REF!</v>
      </c>
      <c r="Q446" s="47" t="str">
        <f t="shared" si="228"/>
        <v>20</v>
      </c>
      <c r="R446" s="47" t="str">
        <f t="shared" si="229"/>
        <v>0-205400</v>
      </c>
      <c r="S446" s="54">
        <v>6.5</v>
      </c>
      <c r="T446" s="59" t="s">
        <v>46</v>
      </c>
      <c r="U446" s="326" t="e">
        <f ca="1">_xlfn.XLOOKUP(PAA_4[[#This Row],[ITEM]],[2]Contrato!A:A,[2]Contrato!Q:Q,"",0)</f>
        <v>#NAME?</v>
      </c>
      <c r="V446" s="47" t="s">
        <v>95</v>
      </c>
      <c r="W446" s="47" t="s">
        <v>154</v>
      </c>
      <c r="X446" s="47" t="s">
        <v>154</v>
      </c>
      <c r="Y446" s="55" t="e">
        <f ca="1">_xlfn.XLOOKUP(PAA_4[[#This Row],[ITEM]],[2]Contrato!A:A,[2]Contrato!B:B,"",0)</f>
        <v>#NAME?</v>
      </c>
      <c r="Z446" s="47" t="e">
        <f ca="1">_xlfn.XLOOKUP(PAA_4[[#This Row],[ITEM]],[2]Contrato!A:A,[2]Contrato!G:G,"",0)</f>
        <v>#NAME?</v>
      </c>
      <c r="AA446" s="47" t="e">
        <f ca="1">_xlfn.XLOOKUP(PAA_4[[#This Row],[ITEM]],[2]Contrato!A:A,[2]Contrato!T:T,"",0)</f>
        <v>#NAME?</v>
      </c>
      <c r="AB446" s="55" t="e">
        <f ca="1">+MAX(PAA_4[[#This Row],[Comprometido Contrato]],PAA_4[[#This Row],[Comprometido Bolsa]])</f>
        <v>#NAME?</v>
      </c>
      <c r="AC446" s="55" t="str">
        <f t="shared" ca="1" si="230"/>
        <v/>
      </c>
      <c r="AD446" s="55" t="e">
        <f ca="1">IF(PAA_4[[#This Row],[ESTADO (formulado)]]="NO CONTRATADO",0,MAX(PAA_4[[#This Row],[Pago por Contrato]],PAA_4[[#This Row],[Pago por bolsa]]))</f>
        <v>#NAME?</v>
      </c>
      <c r="AE446" s="55" t="str">
        <f t="shared" ca="1" si="231"/>
        <v/>
      </c>
      <c r="AF446" s="47" t="e">
        <f t="shared" ca="1" si="232"/>
        <v>#NAME?</v>
      </c>
      <c r="AG446" s="47">
        <f t="shared" si="233"/>
        <v>41080111</v>
      </c>
      <c r="AH446" s="54">
        <f>IF(Q446="22",IF(ISNUMBER(SEARCH("econ",PAA_4[[#This Row],[Actividad3]])),"Económico",IF(ISNUMBER(SEARCH("alim",PAA_4[[#This Row],[Actividad3]])),"Alimentación",IF(ISNUMBER(SEARCH("educ",PAA_4[[#This Row],[Actividad3]])),"Educativo","Técnico"))),0)</f>
        <v>0</v>
      </c>
      <c r="AI446" s="47" t="e" cm="1">
        <f t="array" aca="1" ref="AI446" ca="1">_xlfn.XLOOKUP(PAA_4[[#This Row],[RCP-RUBRO]],[2]!COMPROMISOS_2024[[#All],[concatenado]],[2]!COMPROMISOS_2024[[#All],[Total pagado]],"",0)</f>
        <v>#NAME?</v>
      </c>
      <c r="AJ446" s="56">
        <f>IF(PAA_4[[#This Row],[BOLSA]]=0,0,SUMIFS([2]!COMPROMISOS_2024[[#All],[Total pagado]],[2]!COMPROMISOS_2024[[#All],[Bolsa]],PAA_4[[#This Row],[BOLSA]],[2]!COMPROMISOS_2024[[#All],[rubro]],PAA_4[[#This Row],[RCP-RUBRO]]))</f>
        <v>0</v>
      </c>
      <c r="AK446" s="47" t="e" cm="1">
        <f t="array" aca="1" ref="AK446" ca="1">_xlfn.XLOOKUP(PAA_4[[#This Row],[RCP-RUBRO]],[2]!COMPROMISOS_2024[[#All],[concatenado]],[2]!COMPROMISOS_2024[[#All],[Total Comprometido]],"",0)</f>
        <v>#NAME?</v>
      </c>
      <c r="AL446" s="47">
        <f>IF(PAA_4[[#This Row],[BOLSA]]=0,0,SUMIFS([2]!COMPROMISOS_2024[[#All],[Total Comprometido]],[2]!COMPROMISOS_2024[[#All],[Bolsa]],PAA_4[[#This Row],[BOLSA]],[2]!COMPROMISOS_2024[[#All],[concatenado]],PAA_4[[#This Row],[RCP-RUBRO]]))</f>
        <v>0</v>
      </c>
    </row>
    <row r="447" spans="1:38" s="19" customFormat="1" ht="31.5" customHeight="1">
      <c r="A447" s="47">
        <v>109</v>
      </c>
      <c r="B447" s="51">
        <v>90141502</v>
      </c>
      <c r="C447" s="47" t="str">
        <f>VLOOKUP(PAA_4[[#This Row],[PROYECTO (formulado)2]],[2]PROYECTOS!$G$1:$L$32,6,0)</f>
        <v>SUBGERENCIA DE ALTOS LOGROS Y DEPORTE ASOCIADO</v>
      </c>
      <c r="D447" s="47" t="str">
        <f>+IF(PAA_4[[#This Row],[UNIDAD DE CONTRATACION (formulado)]]="Subgerencia Administrativa y Financiera","FUNCIONAMIENTO","INVERSIÓN")</f>
        <v>INVERSIÓN</v>
      </c>
      <c r="E447" s="48" t="str">
        <f>VLOOKUP(Q447,[2]PROYECTOS!$G$1:$K$32,5,0)</f>
        <v>FORTALECIMIENTO_DEL_PROGRAMA_DE_ALTOS_LOGROS_Y_LIDERAZGO_DEPORTIVO_EN_EL_DEPARTAMENTO_DE_ANTIOQUIA</v>
      </c>
      <c r="F447" s="48">
        <f>VLOOKUP(E447,[2]PROYECTOS!$K$1:$M$32,3,0)</f>
        <v>2020003050021</v>
      </c>
      <c r="G447" s="49" t="s">
        <v>224</v>
      </c>
      <c r="H447" s="49" t="str">
        <f>VLOOKUP(Q447,[2]PROYECTOS!$V$1:$W$32,2,0)</f>
        <v>050061</v>
      </c>
      <c r="I447" s="50">
        <f>15000000-9621200</f>
        <v>5378800</v>
      </c>
      <c r="J447" s="51" t="s">
        <v>1524</v>
      </c>
      <c r="K447" s="47" t="str">
        <f t="shared" ca="1" si="227"/>
        <v>CONTRATADO</v>
      </c>
      <c r="L447" s="47" t="s">
        <v>94</v>
      </c>
      <c r="M447" s="47" t="s">
        <v>222</v>
      </c>
      <c r="N447" s="52" t="s">
        <v>223</v>
      </c>
      <c r="O447" s="51" t="e">
        <f>VLOOKUP(N447,[2]!RUBROS[#All],3,0)</f>
        <v>#REF!</v>
      </c>
      <c r="P447" s="53" t="e">
        <f>VLOOKUP(N447,[2]!RUBROS[#All],2,0)</f>
        <v>#REF!</v>
      </c>
      <c r="Q447" s="47" t="str">
        <f t="shared" si="228"/>
        <v>20</v>
      </c>
      <c r="R447" s="47" t="str">
        <f t="shared" si="229"/>
        <v>0-205400</v>
      </c>
      <c r="S447" s="339">
        <v>225</v>
      </c>
      <c r="T447" s="59" t="s">
        <v>81</v>
      </c>
      <c r="U447" s="326" t="e">
        <f ca="1">_xlfn.XLOOKUP(PAA_4[[#This Row],[ITEM]],[2]Contrato!A:A,[2]Contrato!Q:Q,"",0)</f>
        <v>#NAME?</v>
      </c>
      <c r="V447" s="47" t="s">
        <v>95</v>
      </c>
      <c r="W447" s="47" t="s">
        <v>119</v>
      </c>
      <c r="X447" s="47" t="s">
        <v>119</v>
      </c>
      <c r="Y447" s="55" t="e">
        <f ca="1">_xlfn.XLOOKUP(PAA_4[[#This Row],[ITEM]],[2]Contrato!A:A,[2]Contrato!B:B,"",0)</f>
        <v>#NAME?</v>
      </c>
      <c r="Z447" s="47" t="e">
        <f ca="1">_xlfn.XLOOKUP(PAA_4[[#This Row],[ITEM]],[2]Contrato!A:A,[2]Contrato!G:G,"",0)</f>
        <v>#NAME?</v>
      </c>
      <c r="AA447" s="47" t="e">
        <f ca="1">_xlfn.XLOOKUP(PAA_4[[#This Row],[ITEM]],[2]Contrato!A:A,[2]Contrato!T:T,"",0)</f>
        <v>#NAME?</v>
      </c>
      <c r="AB447" s="55" t="e">
        <f ca="1">+MAX(PAA_4[[#This Row],[Comprometido Contrato]],PAA_4[[#This Row],[Comprometido Bolsa]])</f>
        <v>#NAME?</v>
      </c>
      <c r="AC447" s="55" t="str">
        <f t="shared" ca="1" si="230"/>
        <v/>
      </c>
      <c r="AD447" s="55" t="e">
        <f ca="1">IF(PAA_4[[#This Row],[ESTADO (formulado)]]="NO CONTRATADO",0,MAX(PAA_4[[#This Row],[Pago por Contrato]],PAA_4[[#This Row],[Pago por bolsa]]))</f>
        <v>#NAME?</v>
      </c>
      <c r="AE447" s="55" t="str">
        <f t="shared" ca="1" si="231"/>
        <v/>
      </c>
      <c r="AF447" s="47" t="e">
        <f t="shared" ca="1" si="232"/>
        <v>#NAME?</v>
      </c>
      <c r="AG447" s="47">
        <f t="shared" si="233"/>
        <v>41080111</v>
      </c>
      <c r="AH447" s="54">
        <f>IF(Q447="22",IF(ISNUMBER(SEARCH("econ",PAA_4[[#This Row],[Actividad3]])),"Económico",IF(ISNUMBER(SEARCH("alim",PAA_4[[#This Row],[Actividad3]])),"Alimentación",IF(ISNUMBER(SEARCH("educ",PAA_4[[#This Row],[Actividad3]])),"Educativo","Técnico"))),0)</f>
        <v>0</v>
      </c>
      <c r="AI447" s="47" t="e" cm="1">
        <f t="array" aca="1" ref="AI447" ca="1">_xlfn.XLOOKUP(PAA_4[[#This Row],[RCP-RUBRO]],[2]!COMPROMISOS_2024[[#All],[concatenado]],[2]!COMPROMISOS_2024[[#All],[Total pagado]],"",0)</f>
        <v>#NAME?</v>
      </c>
      <c r="AJ447" s="56">
        <f>IF(PAA_4[[#This Row],[BOLSA]]=0,0,SUMIFS([2]!COMPROMISOS_2024[[#All],[Total pagado]],[2]!COMPROMISOS_2024[[#All],[Bolsa]],PAA_4[[#This Row],[BOLSA]],[2]!COMPROMISOS_2024[[#All],[rubro]],PAA_4[[#This Row],[RCP-RUBRO]]))</f>
        <v>0</v>
      </c>
      <c r="AK447" s="47" t="e" cm="1">
        <f t="array" aca="1" ref="AK447" ca="1">_xlfn.XLOOKUP(PAA_4[[#This Row],[RCP-RUBRO]],[2]!COMPROMISOS_2024[[#All],[concatenado]],[2]!COMPROMISOS_2024[[#All],[Total Comprometido]],"",0)</f>
        <v>#NAME?</v>
      </c>
      <c r="AL447" s="47">
        <f>IF(PAA_4[[#This Row],[BOLSA]]=0,0,SUMIFS([2]!COMPROMISOS_2024[[#All],[Total Comprometido]],[2]!COMPROMISOS_2024[[#All],[Bolsa]],PAA_4[[#This Row],[BOLSA]],[2]!COMPROMISOS_2024[[#All],[concatenado]],PAA_4[[#This Row],[RCP-RUBRO]]))</f>
        <v>0</v>
      </c>
    </row>
    <row r="448" spans="1:38" s="19" customFormat="1" ht="31.5" customHeight="1">
      <c r="A448" s="47">
        <v>110</v>
      </c>
      <c r="B448" s="47">
        <v>80111600</v>
      </c>
      <c r="C448" s="47" t="str">
        <f>VLOOKUP(PAA_4[[#This Row],[PROYECTO (formulado)2]],[2]PROYECTOS!$G$1:$L$32,6,0)</f>
        <v>SUBGERENCIA DE ALTOS LOGROS Y DEPORTE ASOCIADO</v>
      </c>
      <c r="D448" s="47" t="str">
        <f>+IF(PAA_4[[#This Row],[UNIDAD DE CONTRATACION (formulado)]]="Subgerencia Administrativa y Financiera","FUNCIONAMIENTO","INVERSIÓN")</f>
        <v>INVERSIÓN</v>
      </c>
      <c r="E448" s="48" t="str">
        <f>VLOOKUP(Q448,[2]PROYECTOS!$G$1:$K$32,5,0)</f>
        <v>FORTALECIMIENTO_DEL_PROGRAMA_DE_ALTOS_LOGROS_Y_LIDERAZGO_DEPORTIVO_EN_EL_DEPARTAMENTO_DE_ANTIOQUIA</v>
      </c>
      <c r="F448" s="48">
        <f>VLOOKUP(E448,[2]PROYECTOS!$K$1:$M$32,3,0)</f>
        <v>2020003050021</v>
      </c>
      <c r="G448" s="49" t="s">
        <v>224</v>
      </c>
      <c r="H448" s="49" t="str">
        <f>VLOOKUP(Q448,[2]PROYECTOS!$V$1:$W$32,2,0)</f>
        <v>050061</v>
      </c>
      <c r="I448" s="50">
        <v>0</v>
      </c>
      <c r="J448" s="51" t="s">
        <v>42</v>
      </c>
      <c r="K448" s="47" t="str">
        <f t="shared" ca="1" si="227"/>
        <v>CONTRATADO</v>
      </c>
      <c r="L448" s="47" t="s">
        <v>94</v>
      </c>
      <c r="M448" s="47" t="s">
        <v>222</v>
      </c>
      <c r="N448" s="52" t="s">
        <v>223</v>
      </c>
      <c r="O448" s="51" t="e">
        <f>VLOOKUP(N448,[2]!RUBROS[#All],3,0)</f>
        <v>#REF!</v>
      </c>
      <c r="P448" s="53" t="e">
        <f>VLOOKUP(N448,[2]!RUBROS[#All],2,0)</f>
        <v>#REF!</v>
      </c>
      <c r="Q448" s="47" t="str">
        <f t="shared" si="228"/>
        <v>20</v>
      </c>
      <c r="R448" s="47" t="str">
        <f t="shared" si="229"/>
        <v>0-205400</v>
      </c>
      <c r="S448" s="54">
        <v>6.5</v>
      </c>
      <c r="T448" s="59" t="s">
        <v>46</v>
      </c>
      <c r="U448" s="326" t="e">
        <f ca="1">_xlfn.XLOOKUP(PAA_4[[#This Row],[ITEM]],[2]Contrato!A:A,[2]Contrato!Q:Q,"",0)</f>
        <v>#NAME?</v>
      </c>
      <c r="V448" s="47" t="s">
        <v>95</v>
      </c>
      <c r="W448" s="47" t="s">
        <v>154</v>
      </c>
      <c r="X448" s="47" t="s">
        <v>154</v>
      </c>
      <c r="Y448" s="55" t="e">
        <f ca="1">_xlfn.XLOOKUP(PAA_4[[#This Row],[ITEM]],[2]Contrato!A:A,[2]Contrato!B:B,"",0)</f>
        <v>#NAME?</v>
      </c>
      <c r="Z448" s="47" t="e">
        <f ca="1">_xlfn.XLOOKUP(PAA_4[[#This Row],[ITEM]],[2]Contrato!A:A,[2]Contrato!G:G,"",0)</f>
        <v>#NAME?</v>
      </c>
      <c r="AA448" s="47" t="e">
        <f ca="1">_xlfn.XLOOKUP(PAA_4[[#This Row],[ITEM]],[2]Contrato!A:A,[2]Contrato!T:T,"",0)</f>
        <v>#NAME?</v>
      </c>
      <c r="AB448" s="55" t="e">
        <f ca="1">+MAX(PAA_4[[#This Row],[Comprometido Contrato]],PAA_4[[#This Row],[Comprometido Bolsa]])</f>
        <v>#NAME?</v>
      </c>
      <c r="AC448" s="55" t="str">
        <f t="shared" ca="1" si="230"/>
        <v/>
      </c>
      <c r="AD448" s="55" t="e">
        <f ca="1">IF(PAA_4[[#This Row],[ESTADO (formulado)]]="NO CONTRATADO",0,MAX(PAA_4[[#This Row],[Pago por Contrato]],PAA_4[[#This Row],[Pago por bolsa]]))</f>
        <v>#NAME?</v>
      </c>
      <c r="AE448" s="55" t="str">
        <f t="shared" ca="1" si="231"/>
        <v/>
      </c>
      <c r="AF448" s="47" t="e">
        <f t="shared" ca="1" si="232"/>
        <v>#NAME?</v>
      </c>
      <c r="AG448" s="47">
        <f t="shared" si="233"/>
        <v>41080111</v>
      </c>
      <c r="AH448" s="54">
        <f>IF(Q448="22",IF(ISNUMBER(SEARCH("econ",PAA_4[[#This Row],[Actividad3]])),"Económico",IF(ISNUMBER(SEARCH("alim",PAA_4[[#This Row],[Actividad3]])),"Alimentación",IF(ISNUMBER(SEARCH("educ",PAA_4[[#This Row],[Actividad3]])),"Educativo","Técnico"))),0)</f>
        <v>0</v>
      </c>
      <c r="AI448" s="47" t="e" cm="1">
        <f t="array" aca="1" ref="AI448" ca="1">_xlfn.XLOOKUP(PAA_4[[#This Row],[RCP-RUBRO]],[2]!COMPROMISOS_2024[[#All],[concatenado]],[2]!COMPROMISOS_2024[[#All],[Total pagado]],"",0)</f>
        <v>#NAME?</v>
      </c>
      <c r="AJ448" s="56">
        <f>IF(PAA_4[[#This Row],[BOLSA]]=0,0,SUMIFS([2]!COMPROMISOS_2024[[#All],[Total pagado]],[2]!COMPROMISOS_2024[[#All],[Bolsa]],PAA_4[[#This Row],[BOLSA]],[2]!COMPROMISOS_2024[[#All],[rubro]],PAA_4[[#This Row],[RCP-RUBRO]]))</f>
        <v>0</v>
      </c>
      <c r="AK448" s="47" t="e" cm="1">
        <f t="array" aca="1" ref="AK448" ca="1">_xlfn.XLOOKUP(PAA_4[[#This Row],[RCP-RUBRO]],[2]!COMPROMISOS_2024[[#All],[concatenado]],[2]!COMPROMISOS_2024[[#All],[Total Comprometido]],"",0)</f>
        <v>#NAME?</v>
      </c>
      <c r="AL448" s="47">
        <f>IF(PAA_4[[#This Row],[BOLSA]]=0,0,SUMIFS([2]!COMPROMISOS_2024[[#All],[Total Comprometido]],[2]!COMPROMISOS_2024[[#All],[Bolsa]],PAA_4[[#This Row],[BOLSA]],[2]!COMPROMISOS_2024[[#All],[concatenado]],PAA_4[[#This Row],[RCP-RUBRO]]))</f>
        <v>0</v>
      </c>
    </row>
    <row r="449" spans="1:38" s="19" customFormat="1" ht="31.5" customHeight="1">
      <c r="A449" s="47">
        <v>111</v>
      </c>
      <c r="B449" s="47">
        <v>90141502</v>
      </c>
      <c r="C449" s="47" t="str">
        <f>VLOOKUP(PAA_4[[#This Row],[PROYECTO (formulado)2]],[2]PROYECTOS!$G$1:$L$32,6,0)</f>
        <v>SUBGERENCIA DE ALTOS LOGROS Y DEPORTE ASOCIADO</v>
      </c>
      <c r="D449" s="47" t="str">
        <f>+IF(PAA_4[[#This Row],[UNIDAD DE CONTRATACION (formulado)]]="Subgerencia Administrativa y Financiera","FUNCIONAMIENTO","INVERSIÓN")</f>
        <v>INVERSIÓN</v>
      </c>
      <c r="E449" s="48" t="str">
        <f>VLOOKUP(Q449,[2]PROYECTOS!$G$1:$K$32,5,0)</f>
        <v>FORTALECIMIENTO_DEL_PROGRAMA_DE_ALTOS_LOGROS_Y_LIDERAZGO_DEPORTIVO_EN_EL_DEPARTAMENTO_DE_ANTIOQUIA</v>
      </c>
      <c r="F449" s="48">
        <f>VLOOKUP(E449,[2]PROYECTOS!$K$1:$M$32,3,0)</f>
        <v>2020003050021</v>
      </c>
      <c r="G449" s="49" t="s">
        <v>224</v>
      </c>
      <c r="H449" s="49" t="str">
        <f>VLOOKUP(Q449,[2]PROYECTOS!$V$1:$W$32,2,0)</f>
        <v>050061</v>
      </c>
      <c r="I449" s="50">
        <v>147556103</v>
      </c>
      <c r="J449" s="51" t="s">
        <v>1525</v>
      </c>
      <c r="K449" s="47" t="str">
        <f t="shared" ca="1" si="227"/>
        <v>CONTRATADO</v>
      </c>
      <c r="L449" s="47" t="s">
        <v>94</v>
      </c>
      <c r="M449" s="47" t="s">
        <v>222</v>
      </c>
      <c r="N449" s="52" t="s">
        <v>223</v>
      </c>
      <c r="O449" s="51" t="e">
        <f>VLOOKUP(N449,[2]!RUBROS[#All],3,0)</f>
        <v>#REF!</v>
      </c>
      <c r="P449" s="53" t="e">
        <f>VLOOKUP(N449,[2]!RUBROS[#All],2,0)</f>
        <v>#REF!</v>
      </c>
      <c r="Q449" s="47" t="str">
        <f t="shared" si="228"/>
        <v>20</v>
      </c>
      <c r="R449" s="47" t="str">
        <f t="shared" si="229"/>
        <v>0-205400</v>
      </c>
      <c r="S449" s="54">
        <v>225</v>
      </c>
      <c r="T449" s="59" t="s">
        <v>81</v>
      </c>
      <c r="U449" s="326" t="e">
        <f ca="1">_xlfn.XLOOKUP(PAA_4[[#This Row],[ITEM]],[2]Contrato!A:A,[2]Contrato!Q:Q,"",0)</f>
        <v>#NAME?</v>
      </c>
      <c r="V449" s="47" t="s">
        <v>95</v>
      </c>
      <c r="W449" s="47" t="s">
        <v>119</v>
      </c>
      <c r="X449" s="47" t="s">
        <v>119</v>
      </c>
      <c r="Y449" s="55" t="e">
        <f ca="1">_xlfn.XLOOKUP(PAA_4[[#This Row],[ITEM]],[2]Contrato!A:A,[2]Contrato!B:B,"",0)</f>
        <v>#NAME?</v>
      </c>
      <c r="Z449" s="47" t="e">
        <f ca="1">_xlfn.XLOOKUP(PAA_4[[#This Row],[ITEM]],[2]Contrato!A:A,[2]Contrato!G:G,"",0)</f>
        <v>#NAME?</v>
      </c>
      <c r="AA449" s="47" t="e">
        <f ca="1">_xlfn.XLOOKUP(PAA_4[[#This Row],[ITEM]],[2]Contrato!A:A,[2]Contrato!T:T,"",0)</f>
        <v>#NAME?</v>
      </c>
      <c r="AB449" s="55" t="e">
        <f ca="1">+MAX(PAA_4[[#This Row],[Comprometido Contrato]],PAA_4[[#This Row],[Comprometido Bolsa]])</f>
        <v>#NAME?</v>
      </c>
      <c r="AC449" s="55" t="str">
        <f t="shared" ca="1" si="230"/>
        <v/>
      </c>
      <c r="AD449" s="55" t="e">
        <f ca="1">IF(PAA_4[[#This Row],[ESTADO (formulado)]]="NO CONTRATADO",0,MAX(PAA_4[[#This Row],[Pago por Contrato]],PAA_4[[#This Row],[Pago por bolsa]]))</f>
        <v>#NAME?</v>
      </c>
      <c r="AE449" s="55" t="str">
        <f t="shared" ca="1" si="231"/>
        <v/>
      </c>
      <c r="AF449" s="47" t="e">
        <f t="shared" ca="1" si="232"/>
        <v>#NAME?</v>
      </c>
      <c r="AG449" s="47">
        <f t="shared" si="233"/>
        <v>41080111</v>
      </c>
      <c r="AH449" s="54">
        <f>IF(Q449="22",IF(ISNUMBER(SEARCH("econ",PAA_4[[#This Row],[Actividad3]])),"Económico",IF(ISNUMBER(SEARCH("alim",PAA_4[[#This Row],[Actividad3]])),"Alimentación",IF(ISNUMBER(SEARCH("educ",PAA_4[[#This Row],[Actividad3]])),"Educativo","Técnico"))),0)</f>
        <v>0</v>
      </c>
      <c r="AI449" s="47" t="e" cm="1">
        <f t="array" aca="1" ref="AI449" ca="1">_xlfn.XLOOKUP(PAA_4[[#This Row],[RCP-RUBRO]],[2]!COMPROMISOS_2024[[#All],[concatenado]],[2]!COMPROMISOS_2024[[#All],[Total pagado]],"",0)</f>
        <v>#NAME?</v>
      </c>
      <c r="AJ449" s="56">
        <f>IF(PAA_4[[#This Row],[BOLSA]]=0,0,SUMIFS([2]!COMPROMISOS_2024[[#All],[Total pagado]],[2]!COMPROMISOS_2024[[#All],[Bolsa]],PAA_4[[#This Row],[BOLSA]],[2]!COMPROMISOS_2024[[#All],[rubro]],PAA_4[[#This Row],[RCP-RUBRO]]))</f>
        <v>0</v>
      </c>
      <c r="AK449" s="47" t="e" cm="1">
        <f t="array" aca="1" ref="AK449" ca="1">_xlfn.XLOOKUP(PAA_4[[#This Row],[RCP-RUBRO]],[2]!COMPROMISOS_2024[[#All],[concatenado]],[2]!COMPROMISOS_2024[[#All],[Total Comprometido]],"",0)</f>
        <v>#NAME?</v>
      </c>
      <c r="AL449" s="47">
        <f>IF(PAA_4[[#This Row],[BOLSA]]=0,0,SUMIFS([2]!COMPROMISOS_2024[[#All],[Total Comprometido]],[2]!COMPROMISOS_2024[[#All],[Bolsa]],PAA_4[[#This Row],[BOLSA]],[2]!COMPROMISOS_2024[[#All],[concatenado]],PAA_4[[#This Row],[RCP-RUBRO]]))</f>
        <v>0</v>
      </c>
    </row>
    <row r="450" spans="1:38" s="19" customFormat="1" ht="31.5" customHeight="1">
      <c r="A450" s="47">
        <v>112</v>
      </c>
      <c r="B450" s="47">
        <v>90141502</v>
      </c>
      <c r="C450" s="47" t="str">
        <f>VLOOKUP(PAA_4[[#This Row],[PROYECTO (formulado)2]],[2]PROYECTOS!$G$1:$L$32,6,0)</f>
        <v>SUBGERENCIA DE ALTOS LOGROS Y DEPORTE ASOCIADO</v>
      </c>
      <c r="D450" s="47" t="str">
        <f>+IF(PAA_4[[#This Row],[UNIDAD DE CONTRATACION (formulado)]]="Subgerencia Administrativa y Financiera","FUNCIONAMIENTO","INVERSIÓN")</f>
        <v>INVERSIÓN</v>
      </c>
      <c r="E450" s="48" t="str">
        <f>VLOOKUP(Q450,[2]PROYECTOS!$G$1:$K$32,5,0)</f>
        <v>FORTALECIMIENTO_DEL_PROGRAMA_DE_ALTOS_LOGROS_Y_LIDERAZGO_DEPORTIVO_EN_EL_DEPARTAMENTO_DE_ANTIOQUIA</v>
      </c>
      <c r="F450" s="48">
        <f>VLOOKUP(E450,[2]PROYECTOS!$K$1:$M$32,3,0)</f>
        <v>2020003050021</v>
      </c>
      <c r="G450" s="49" t="s">
        <v>224</v>
      </c>
      <c r="H450" s="49" t="str">
        <f>VLOOKUP(Q450,[2]PROYECTOS!$V$1:$W$32,2,0)</f>
        <v>050061</v>
      </c>
      <c r="I450" s="50">
        <v>0</v>
      </c>
      <c r="J450" s="51" t="s">
        <v>42</v>
      </c>
      <c r="K450" s="47" t="str">
        <f t="shared" ca="1" si="227"/>
        <v>CONTRATADO</v>
      </c>
      <c r="L450" s="47" t="s">
        <v>94</v>
      </c>
      <c r="M450" s="47" t="s">
        <v>222</v>
      </c>
      <c r="N450" s="52" t="s">
        <v>223</v>
      </c>
      <c r="O450" s="51" t="e">
        <f>VLOOKUP(N450,[2]!RUBROS[#All],3,0)</f>
        <v>#REF!</v>
      </c>
      <c r="P450" s="53" t="e">
        <f>VLOOKUP(N450,[2]!RUBROS[#All],2,0)</f>
        <v>#REF!</v>
      </c>
      <c r="Q450" s="47" t="str">
        <f t="shared" si="228"/>
        <v>20</v>
      </c>
      <c r="R450" s="47" t="str">
        <f t="shared" si="229"/>
        <v>0-205400</v>
      </c>
      <c r="S450" s="54">
        <v>215</v>
      </c>
      <c r="T450" s="59" t="s">
        <v>120</v>
      </c>
      <c r="U450" s="326" t="e">
        <f ca="1">_xlfn.XLOOKUP(PAA_4[[#This Row],[ITEM]],[2]Contrato!A:A,[2]Contrato!Q:Q,"",0)</f>
        <v>#NAME?</v>
      </c>
      <c r="V450" s="47" t="s">
        <v>95</v>
      </c>
      <c r="W450" s="47" t="s">
        <v>119</v>
      </c>
      <c r="X450" s="47" t="s">
        <v>119</v>
      </c>
      <c r="Y450" s="55" t="e">
        <f ca="1">_xlfn.XLOOKUP(PAA_4[[#This Row],[ITEM]],[2]Contrato!A:A,[2]Contrato!B:B,"",0)</f>
        <v>#NAME?</v>
      </c>
      <c r="Z450" s="47" t="e">
        <f ca="1">_xlfn.XLOOKUP(PAA_4[[#This Row],[ITEM]],[2]Contrato!A:A,[2]Contrato!G:G,"",0)</f>
        <v>#NAME?</v>
      </c>
      <c r="AA450" s="47" t="e">
        <f ca="1">_xlfn.XLOOKUP(PAA_4[[#This Row],[ITEM]],[2]Contrato!A:A,[2]Contrato!T:T,"",0)</f>
        <v>#NAME?</v>
      </c>
      <c r="AB450" s="55" t="e">
        <f ca="1">+MAX(PAA_4[[#This Row],[Comprometido Contrato]],PAA_4[[#This Row],[Comprometido Bolsa]])</f>
        <v>#NAME?</v>
      </c>
      <c r="AC450" s="55" t="str">
        <f t="shared" ca="1" si="230"/>
        <v/>
      </c>
      <c r="AD450" s="55" t="e">
        <f ca="1">IF(PAA_4[[#This Row],[ESTADO (formulado)]]="NO CONTRATADO",0,MAX(PAA_4[[#This Row],[Pago por Contrato]],PAA_4[[#This Row],[Pago por bolsa]]))</f>
        <v>#NAME?</v>
      </c>
      <c r="AE450" s="55" t="str">
        <f t="shared" ca="1" si="231"/>
        <v/>
      </c>
      <c r="AF450" s="47" t="e">
        <f t="shared" ca="1" si="232"/>
        <v>#NAME?</v>
      </c>
      <c r="AG450" s="47">
        <f t="shared" si="233"/>
        <v>41080111</v>
      </c>
      <c r="AH450" s="54">
        <f>IF(Q450="22",IF(ISNUMBER(SEARCH("econ",PAA_4[[#This Row],[Actividad3]])),"Económico",IF(ISNUMBER(SEARCH("alim",PAA_4[[#This Row],[Actividad3]])),"Alimentación",IF(ISNUMBER(SEARCH("educ",PAA_4[[#This Row],[Actividad3]])),"Educativo","Técnico"))),0)</f>
        <v>0</v>
      </c>
      <c r="AI450" s="47" t="e" cm="1">
        <f t="array" aca="1" ref="AI450" ca="1">_xlfn.XLOOKUP(PAA_4[[#This Row],[RCP-RUBRO]],[2]!COMPROMISOS_2024[[#All],[concatenado]],[2]!COMPROMISOS_2024[[#All],[Total pagado]],"",0)</f>
        <v>#NAME?</v>
      </c>
      <c r="AJ450" s="56">
        <f>IF(PAA_4[[#This Row],[BOLSA]]=0,0,SUMIFS([2]!COMPROMISOS_2024[[#All],[Total pagado]],[2]!COMPROMISOS_2024[[#All],[Bolsa]],PAA_4[[#This Row],[BOLSA]],[2]!COMPROMISOS_2024[[#All],[rubro]],PAA_4[[#This Row],[RCP-RUBRO]]))</f>
        <v>0</v>
      </c>
      <c r="AK450" s="47" t="e" cm="1">
        <f t="array" aca="1" ref="AK450" ca="1">_xlfn.XLOOKUP(PAA_4[[#This Row],[RCP-RUBRO]],[2]!COMPROMISOS_2024[[#All],[concatenado]],[2]!COMPROMISOS_2024[[#All],[Total Comprometido]],"",0)</f>
        <v>#NAME?</v>
      </c>
      <c r="AL450" s="47">
        <f>IF(PAA_4[[#This Row],[BOLSA]]=0,0,SUMIFS([2]!COMPROMISOS_2024[[#All],[Total Comprometido]],[2]!COMPROMISOS_2024[[#All],[Bolsa]],PAA_4[[#This Row],[BOLSA]],[2]!COMPROMISOS_2024[[#All],[concatenado]],PAA_4[[#This Row],[RCP-RUBRO]]))</f>
        <v>0</v>
      </c>
    </row>
    <row r="451" spans="1:38" s="19" customFormat="1" ht="31.5" customHeight="1">
      <c r="A451" s="47">
        <v>113</v>
      </c>
      <c r="B451" s="47">
        <v>90141502</v>
      </c>
      <c r="C451" s="47" t="str">
        <f>VLOOKUP(PAA_4[[#This Row],[PROYECTO (formulado)2]],[2]PROYECTOS!$G$1:$L$32,6,0)</f>
        <v>SUBGERENCIA DE ALTOS LOGROS Y DEPORTE ASOCIADO</v>
      </c>
      <c r="D451" s="47" t="str">
        <f>+IF(PAA_4[[#This Row],[UNIDAD DE CONTRATACION (formulado)]]="Subgerencia Administrativa y Financiera","FUNCIONAMIENTO","INVERSIÓN")</f>
        <v>INVERSIÓN</v>
      </c>
      <c r="E451" s="48" t="str">
        <f>VLOOKUP(Q451,[2]PROYECTOS!$G$1:$K$32,5,0)</f>
        <v>FORTALECIMIENTO_DEL_PROGRAMA_DE_ALTOS_LOGROS_Y_LIDERAZGO_DEPORTIVO_EN_EL_DEPARTAMENTO_DE_ANTIOQUIA</v>
      </c>
      <c r="F451" s="48">
        <f>VLOOKUP(E451,[2]PROYECTOS!$K$1:$M$32,3,0)</f>
        <v>2020003050021</v>
      </c>
      <c r="G451" s="49" t="s">
        <v>224</v>
      </c>
      <c r="H451" s="49" t="str">
        <f>VLOOKUP(Q451,[2]PROYECTOS!$V$1:$W$32,2,0)</f>
        <v>050061</v>
      </c>
      <c r="I451" s="50">
        <v>160000000</v>
      </c>
      <c r="J451" s="51" t="s">
        <v>1526</v>
      </c>
      <c r="K451" s="47" t="str">
        <f t="shared" ca="1" si="227"/>
        <v>CONTRATADO</v>
      </c>
      <c r="L451" s="47" t="s">
        <v>94</v>
      </c>
      <c r="M451" s="47" t="s">
        <v>222</v>
      </c>
      <c r="N451" s="52" t="s">
        <v>223</v>
      </c>
      <c r="O451" s="51" t="e">
        <f>VLOOKUP(N451,[2]!RUBROS[#All],3,0)</f>
        <v>#REF!</v>
      </c>
      <c r="P451" s="53" t="e">
        <f>VLOOKUP(N451,[2]!RUBROS[#All],2,0)</f>
        <v>#REF!</v>
      </c>
      <c r="Q451" s="47" t="str">
        <f t="shared" si="228"/>
        <v>20</v>
      </c>
      <c r="R451" s="47" t="str">
        <f t="shared" si="229"/>
        <v>0-205400</v>
      </c>
      <c r="S451" s="54">
        <v>215</v>
      </c>
      <c r="T451" s="59" t="s">
        <v>120</v>
      </c>
      <c r="U451" s="326" t="e">
        <f ca="1">_xlfn.XLOOKUP(PAA_4[[#This Row],[ITEM]],[2]Contrato!A:A,[2]Contrato!Q:Q,"",0)</f>
        <v>#NAME?</v>
      </c>
      <c r="V451" s="47" t="s">
        <v>95</v>
      </c>
      <c r="W451" s="47" t="s">
        <v>119</v>
      </c>
      <c r="X451" s="47" t="s">
        <v>119</v>
      </c>
      <c r="Y451" s="55" t="e">
        <f ca="1">_xlfn.XLOOKUP(PAA_4[[#This Row],[ITEM]],[2]Contrato!A:A,[2]Contrato!B:B,"",0)</f>
        <v>#NAME?</v>
      </c>
      <c r="Z451" s="47" t="e">
        <f ca="1">_xlfn.XLOOKUP(PAA_4[[#This Row],[ITEM]],[2]Contrato!A:A,[2]Contrato!G:G,"",0)</f>
        <v>#NAME?</v>
      </c>
      <c r="AA451" s="47" t="e">
        <f ca="1">_xlfn.XLOOKUP(PAA_4[[#This Row],[ITEM]],[2]Contrato!A:A,[2]Contrato!T:T,"",0)</f>
        <v>#NAME?</v>
      </c>
      <c r="AB451" s="55" t="e">
        <f ca="1">+MAX(PAA_4[[#This Row],[Comprometido Contrato]],PAA_4[[#This Row],[Comprometido Bolsa]])</f>
        <v>#NAME?</v>
      </c>
      <c r="AC451" s="55" t="str">
        <f t="shared" ca="1" si="230"/>
        <v/>
      </c>
      <c r="AD451" s="55" t="e">
        <f ca="1">IF(PAA_4[[#This Row],[ESTADO (formulado)]]="NO CONTRATADO",0,MAX(PAA_4[[#This Row],[Pago por Contrato]],PAA_4[[#This Row],[Pago por bolsa]]))</f>
        <v>#NAME?</v>
      </c>
      <c r="AE451" s="55" t="str">
        <f t="shared" ca="1" si="231"/>
        <v/>
      </c>
      <c r="AF451" s="47" t="e">
        <f t="shared" ca="1" si="232"/>
        <v>#NAME?</v>
      </c>
      <c r="AG451" s="47">
        <f t="shared" si="233"/>
        <v>41080111</v>
      </c>
      <c r="AH451" s="54">
        <f>IF(Q451="22",IF(ISNUMBER(SEARCH("econ",PAA_4[[#This Row],[Actividad3]])),"Económico",IF(ISNUMBER(SEARCH("alim",PAA_4[[#This Row],[Actividad3]])),"Alimentación",IF(ISNUMBER(SEARCH("educ",PAA_4[[#This Row],[Actividad3]])),"Educativo","Técnico"))),0)</f>
        <v>0</v>
      </c>
      <c r="AI451" s="47" t="e" cm="1">
        <f t="array" aca="1" ref="AI451" ca="1">_xlfn.XLOOKUP(PAA_4[[#This Row],[RCP-RUBRO]],[2]!COMPROMISOS_2024[[#All],[concatenado]],[2]!COMPROMISOS_2024[[#All],[Total pagado]],"",0)</f>
        <v>#NAME?</v>
      </c>
      <c r="AJ451" s="56">
        <f>IF(PAA_4[[#This Row],[BOLSA]]=0,0,SUMIFS([2]!COMPROMISOS_2024[[#All],[Total pagado]],[2]!COMPROMISOS_2024[[#All],[Bolsa]],PAA_4[[#This Row],[BOLSA]],[2]!COMPROMISOS_2024[[#All],[rubro]],PAA_4[[#This Row],[RCP-RUBRO]]))</f>
        <v>0</v>
      </c>
      <c r="AK451" s="47" t="e" cm="1">
        <f t="array" aca="1" ref="AK451" ca="1">_xlfn.XLOOKUP(PAA_4[[#This Row],[RCP-RUBRO]],[2]!COMPROMISOS_2024[[#All],[concatenado]],[2]!COMPROMISOS_2024[[#All],[Total Comprometido]],"",0)</f>
        <v>#NAME?</v>
      </c>
      <c r="AL451" s="47">
        <f>IF(PAA_4[[#This Row],[BOLSA]]=0,0,SUMIFS([2]!COMPROMISOS_2024[[#All],[Total Comprometido]],[2]!COMPROMISOS_2024[[#All],[Bolsa]],PAA_4[[#This Row],[BOLSA]],[2]!COMPROMISOS_2024[[#All],[concatenado]],PAA_4[[#This Row],[RCP-RUBRO]]))</f>
        <v>0</v>
      </c>
    </row>
    <row r="452" spans="1:38" s="19" customFormat="1" ht="31.5" customHeight="1">
      <c r="A452" s="47">
        <v>114</v>
      </c>
      <c r="B452" s="47">
        <v>90141502</v>
      </c>
      <c r="C452" s="47" t="str">
        <f>VLOOKUP(PAA_4[[#This Row],[PROYECTO (formulado)2]],[2]PROYECTOS!$G$1:$L$32,6,0)</f>
        <v>SUBGERENCIA DE ALTOS LOGROS Y DEPORTE ASOCIADO</v>
      </c>
      <c r="D452" s="47" t="str">
        <f>+IF(PAA_4[[#This Row],[UNIDAD DE CONTRATACION (formulado)]]="Subgerencia Administrativa y Financiera","FUNCIONAMIENTO","INVERSIÓN")</f>
        <v>INVERSIÓN</v>
      </c>
      <c r="E452" s="48" t="str">
        <f>VLOOKUP(Q452,[2]PROYECTOS!$G$1:$K$32,5,0)</f>
        <v>FORTALECIMIENTO_DEL_PROGRAMA_DE_ALTOS_LOGROS_Y_LIDERAZGO_DEPORTIVO_EN_EL_DEPARTAMENTO_DE_ANTIOQUIA</v>
      </c>
      <c r="F452" s="48">
        <f>VLOOKUP(E452,[2]PROYECTOS!$K$1:$M$32,3,0)</f>
        <v>2020003050021</v>
      </c>
      <c r="G452" s="49" t="s">
        <v>224</v>
      </c>
      <c r="H452" s="49" t="str">
        <f>VLOOKUP(Q452,[2]PROYECTOS!$V$1:$W$32,2,0)</f>
        <v>050061</v>
      </c>
      <c r="I452" s="50">
        <v>0</v>
      </c>
      <c r="J452" s="51" t="s">
        <v>1527</v>
      </c>
      <c r="K452" s="47" t="str">
        <f t="shared" ca="1" si="227"/>
        <v>CONTRATADO</v>
      </c>
      <c r="L452" s="47" t="s">
        <v>94</v>
      </c>
      <c r="M452" s="47" t="s">
        <v>222</v>
      </c>
      <c r="N452" s="52" t="s">
        <v>223</v>
      </c>
      <c r="O452" s="51" t="e">
        <f>VLOOKUP(N452,[2]!RUBROS[#All],3,0)</f>
        <v>#REF!</v>
      </c>
      <c r="P452" s="53" t="e">
        <f>VLOOKUP(N452,[2]!RUBROS[#All],2,0)</f>
        <v>#REF!</v>
      </c>
      <c r="Q452" s="47" t="str">
        <f t="shared" si="228"/>
        <v>20</v>
      </c>
      <c r="R452" s="47" t="str">
        <f t="shared" si="229"/>
        <v>0-205400</v>
      </c>
      <c r="S452" s="54">
        <v>215</v>
      </c>
      <c r="T452" s="59" t="s">
        <v>120</v>
      </c>
      <c r="U452" s="326" t="e">
        <f ca="1">_xlfn.XLOOKUP(PAA_4[[#This Row],[ITEM]],[2]Contrato!A:A,[2]Contrato!Q:Q,"",0)</f>
        <v>#NAME?</v>
      </c>
      <c r="V452" s="47" t="s">
        <v>95</v>
      </c>
      <c r="W452" s="47" t="s">
        <v>119</v>
      </c>
      <c r="X452" s="47" t="s">
        <v>119</v>
      </c>
      <c r="Y452" s="55" t="e">
        <f ca="1">_xlfn.XLOOKUP(PAA_4[[#This Row],[ITEM]],[2]Contrato!A:A,[2]Contrato!B:B,"",0)</f>
        <v>#NAME?</v>
      </c>
      <c r="Z452" s="47" t="e">
        <f ca="1">_xlfn.XLOOKUP(PAA_4[[#This Row],[ITEM]],[2]Contrato!A:A,[2]Contrato!G:G,"",0)</f>
        <v>#NAME?</v>
      </c>
      <c r="AA452" s="47" t="e">
        <f ca="1">_xlfn.XLOOKUP(PAA_4[[#This Row],[ITEM]],[2]Contrato!A:A,[2]Contrato!T:T,"",0)</f>
        <v>#NAME?</v>
      </c>
      <c r="AB452" s="55" t="e">
        <f ca="1">+MAX(PAA_4[[#This Row],[Comprometido Contrato]],PAA_4[[#This Row],[Comprometido Bolsa]])</f>
        <v>#NAME?</v>
      </c>
      <c r="AC452" s="55" t="str">
        <f t="shared" ca="1" si="230"/>
        <v/>
      </c>
      <c r="AD452" s="55" t="e">
        <f ca="1">IF(PAA_4[[#This Row],[ESTADO (formulado)]]="NO CONTRATADO",0,MAX(PAA_4[[#This Row],[Pago por Contrato]],PAA_4[[#This Row],[Pago por bolsa]]))</f>
        <v>#NAME?</v>
      </c>
      <c r="AE452" s="55" t="str">
        <f t="shared" ca="1" si="231"/>
        <v/>
      </c>
      <c r="AF452" s="47" t="e">
        <f t="shared" ca="1" si="232"/>
        <v>#NAME?</v>
      </c>
      <c r="AG452" s="47">
        <f t="shared" si="233"/>
        <v>41080111</v>
      </c>
      <c r="AH452" s="54">
        <f>IF(Q452="22",IF(ISNUMBER(SEARCH("econ",PAA_4[[#This Row],[Actividad3]])),"Económico",IF(ISNUMBER(SEARCH("alim",PAA_4[[#This Row],[Actividad3]])),"Alimentación",IF(ISNUMBER(SEARCH("educ",PAA_4[[#This Row],[Actividad3]])),"Educativo","Técnico"))),0)</f>
        <v>0</v>
      </c>
      <c r="AI452" s="47" t="e" cm="1">
        <f t="array" aca="1" ref="AI452" ca="1">_xlfn.XLOOKUP(PAA_4[[#This Row],[RCP-RUBRO]],[2]!COMPROMISOS_2024[[#All],[concatenado]],[2]!COMPROMISOS_2024[[#All],[Total pagado]],"",0)</f>
        <v>#NAME?</v>
      </c>
      <c r="AJ452" s="56">
        <f>IF(PAA_4[[#This Row],[BOLSA]]=0,0,SUMIFS([2]!COMPROMISOS_2024[[#All],[Total pagado]],[2]!COMPROMISOS_2024[[#All],[Bolsa]],PAA_4[[#This Row],[BOLSA]],[2]!COMPROMISOS_2024[[#All],[rubro]],PAA_4[[#This Row],[RCP-RUBRO]]))</f>
        <v>0</v>
      </c>
      <c r="AK452" s="47" t="e" cm="1">
        <f t="array" aca="1" ref="AK452" ca="1">_xlfn.XLOOKUP(PAA_4[[#This Row],[RCP-RUBRO]],[2]!COMPROMISOS_2024[[#All],[concatenado]],[2]!COMPROMISOS_2024[[#All],[Total Comprometido]],"",0)</f>
        <v>#NAME?</v>
      </c>
      <c r="AL452" s="47">
        <f>IF(PAA_4[[#This Row],[BOLSA]]=0,0,SUMIFS([2]!COMPROMISOS_2024[[#All],[Total Comprometido]],[2]!COMPROMISOS_2024[[#All],[Bolsa]],PAA_4[[#This Row],[BOLSA]],[2]!COMPROMISOS_2024[[#All],[concatenado]],PAA_4[[#This Row],[RCP-RUBRO]]))</f>
        <v>0</v>
      </c>
    </row>
    <row r="453" spans="1:38" s="19" customFormat="1" ht="31.5" customHeight="1">
      <c r="A453" s="47">
        <v>115</v>
      </c>
      <c r="B453" s="47">
        <v>80111600</v>
      </c>
      <c r="C453" s="47" t="str">
        <f>VLOOKUP(PAA_4[[#This Row],[PROYECTO (formulado)2]],[2]PROYECTOS!$G$1:$L$32,6,0)</f>
        <v>SUBGERENCIA DE ALTOS LOGROS Y DEPORTE ASOCIADO</v>
      </c>
      <c r="D453" s="47" t="str">
        <f>+IF(PAA_4[[#This Row],[UNIDAD DE CONTRATACION (formulado)]]="Subgerencia Administrativa y Financiera","FUNCIONAMIENTO","INVERSIÓN")</f>
        <v>INVERSIÓN</v>
      </c>
      <c r="E453" s="48" t="str">
        <f>VLOOKUP(Q453,[2]PROYECTOS!$G$1:$K$32,5,0)</f>
        <v>FORTALECIMIENTO_DEL_PROGRAMA_DE_ALTOS_LOGROS_Y_LIDERAZGO_DEPORTIVO_EN_EL_DEPARTAMENTO_DE_ANTIOQUIA</v>
      </c>
      <c r="F453" s="48">
        <f>VLOOKUP(E453,[2]PROYECTOS!$K$1:$M$32,3,0)</f>
        <v>2020003050021</v>
      </c>
      <c r="G453" s="49" t="s">
        <v>224</v>
      </c>
      <c r="H453" s="49" t="str">
        <f>VLOOKUP(Q453,[2]PROYECTOS!$V$1:$W$32,2,0)</f>
        <v>050061</v>
      </c>
      <c r="I453" s="50">
        <v>0</v>
      </c>
      <c r="J453" s="51" t="s">
        <v>1528</v>
      </c>
      <c r="K453" s="47" t="str">
        <f t="shared" ca="1" si="227"/>
        <v>CONTRATADO</v>
      </c>
      <c r="L453" s="47" t="s">
        <v>94</v>
      </c>
      <c r="M453" s="47" t="s">
        <v>222</v>
      </c>
      <c r="N453" s="52" t="s">
        <v>223</v>
      </c>
      <c r="O453" s="51" t="e">
        <f>VLOOKUP(N453,[2]!RUBROS[#All],3,0)</f>
        <v>#REF!</v>
      </c>
      <c r="P453" s="53" t="e">
        <f>VLOOKUP(N453,[2]!RUBROS[#All],2,0)</f>
        <v>#REF!</v>
      </c>
      <c r="Q453" s="47" t="str">
        <f t="shared" si="228"/>
        <v>20</v>
      </c>
      <c r="R453" s="47" t="str">
        <f t="shared" si="229"/>
        <v>0-205400</v>
      </c>
      <c r="S453" s="54"/>
      <c r="T453" s="59" t="s">
        <v>46</v>
      </c>
      <c r="U453" s="326" t="e">
        <f ca="1">_xlfn.XLOOKUP(PAA_4[[#This Row],[ITEM]],[2]Contrato!A:A,[2]Contrato!Q:Q,"",0)</f>
        <v>#NAME?</v>
      </c>
      <c r="V453" s="47" t="s">
        <v>95</v>
      </c>
      <c r="W453" s="47" t="s">
        <v>91</v>
      </c>
      <c r="X453" s="47" t="s">
        <v>91</v>
      </c>
      <c r="Y453" s="55" t="e">
        <f ca="1">_xlfn.XLOOKUP(PAA_4[[#This Row],[ITEM]],[2]Contrato!A:A,[2]Contrato!B:B,"",0)</f>
        <v>#NAME?</v>
      </c>
      <c r="Z453" s="47" t="e">
        <f ca="1">_xlfn.XLOOKUP(PAA_4[[#This Row],[ITEM]],[2]Contrato!A:A,[2]Contrato!G:G,"",0)</f>
        <v>#NAME?</v>
      </c>
      <c r="AA453" s="47" t="e">
        <f ca="1">_xlfn.XLOOKUP(PAA_4[[#This Row],[ITEM]],[2]Contrato!A:A,[2]Contrato!T:T,"",0)</f>
        <v>#NAME?</v>
      </c>
      <c r="AB453" s="55" t="e">
        <f ca="1">+MAX(PAA_4[[#This Row],[Comprometido Contrato]],PAA_4[[#This Row],[Comprometido Bolsa]])</f>
        <v>#NAME?</v>
      </c>
      <c r="AC453" s="55" t="str">
        <f t="shared" ca="1" si="230"/>
        <v/>
      </c>
      <c r="AD453" s="55" t="e">
        <f ca="1">IF(PAA_4[[#This Row],[ESTADO (formulado)]]="NO CONTRATADO",0,MAX(PAA_4[[#This Row],[Pago por Contrato]],PAA_4[[#This Row],[Pago por bolsa]]))</f>
        <v>#NAME?</v>
      </c>
      <c r="AE453" s="55" t="str">
        <f t="shared" ca="1" si="231"/>
        <v/>
      </c>
      <c r="AF453" s="47" t="e">
        <f t="shared" ca="1" si="232"/>
        <v>#NAME?</v>
      </c>
      <c r="AG453" s="47">
        <f t="shared" si="233"/>
        <v>41080111</v>
      </c>
      <c r="AH453" s="54">
        <f>IF(Q453="22",IF(ISNUMBER(SEARCH("econ",PAA_4[[#This Row],[Actividad3]])),"Económico",IF(ISNUMBER(SEARCH("alim",PAA_4[[#This Row],[Actividad3]])),"Alimentación",IF(ISNUMBER(SEARCH("educ",PAA_4[[#This Row],[Actividad3]])),"Educativo","Técnico"))),0)</f>
        <v>0</v>
      </c>
      <c r="AI453" s="47" t="e" cm="1">
        <f t="array" aca="1" ref="AI453" ca="1">_xlfn.XLOOKUP(PAA_4[[#This Row],[RCP-RUBRO]],[2]!COMPROMISOS_2024[[#All],[concatenado]],[2]!COMPROMISOS_2024[[#All],[Total pagado]],"",0)</f>
        <v>#NAME?</v>
      </c>
      <c r="AJ453" s="56">
        <f>IF(PAA_4[[#This Row],[BOLSA]]=0,0,SUMIFS([2]!COMPROMISOS_2024[[#All],[Total pagado]],[2]!COMPROMISOS_2024[[#All],[Bolsa]],PAA_4[[#This Row],[BOLSA]],[2]!COMPROMISOS_2024[[#All],[rubro]],PAA_4[[#This Row],[RCP-RUBRO]]))</f>
        <v>0</v>
      </c>
      <c r="AK453" s="47" t="e" cm="1">
        <f t="array" aca="1" ref="AK453" ca="1">_xlfn.XLOOKUP(PAA_4[[#This Row],[RCP-RUBRO]],[2]!COMPROMISOS_2024[[#All],[concatenado]],[2]!COMPROMISOS_2024[[#All],[Total Comprometido]],"",0)</f>
        <v>#NAME?</v>
      </c>
      <c r="AL453" s="47">
        <f>IF(PAA_4[[#This Row],[BOLSA]]=0,0,SUMIFS([2]!COMPROMISOS_2024[[#All],[Total Comprometido]],[2]!COMPROMISOS_2024[[#All],[Bolsa]],PAA_4[[#This Row],[BOLSA]],[2]!COMPROMISOS_2024[[#All],[concatenado]],PAA_4[[#This Row],[RCP-RUBRO]]))</f>
        <v>0</v>
      </c>
    </row>
    <row r="454" spans="1:38" s="19" customFormat="1" ht="31.5" customHeight="1">
      <c r="A454" s="47">
        <v>116</v>
      </c>
      <c r="B454" s="47">
        <v>80111600</v>
      </c>
      <c r="C454" s="47" t="str">
        <f>VLOOKUP(PAA_4[[#This Row],[PROYECTO (formulado)2]],[2]PROYECTOS!$G$1:$L$32,6,0)</f>
        <v>SUBGERENCIA DE ALTOS LOGROS Y DEPORTE ASOCIADO</v>
      </c>
      <c r="D454" s="47" t="str">
        <f>+IF(PAA_4[[#This Row],[UNIDAD DE CONTRATACION (formulado)]]="Subgerencia Administrativa y Financiera","FUNCIONAMIENTO","INVERSIÓN")</f>
        <v>INVERSIÓN</v>
      </c>
      <c r="E454" s="48" t="str">
        <f>VLOOKUP(Q454,[2]PROYECTOS!$G$1:$K$32,5,0)</f>
        <v>FORTALECIMIENTO_DEL_PROGRAMA_DE_ALTOS_LOGROS_Y_LIDERAZGO_DEPORTIVO_EN_EL_DEPARTAMENTO_DE_ANTIOQUIA</v>
      </c>
      <c r="F454" s="48">
        <f>VLOOKUP(E454,[2]PROYECTOS!$K$1:$M$32,3,0)</f>
        <v>2020003050021</v>
      </c>
      <c r="G454" s="49" t="s">
        <v>224</v>
      </c>
      <c r="H454" s="49" t="str">
        <f>VLOOKUP(Q454,[2]PROYECTOS!$V$1:$W$32,2,0)</f>
        <v>050061</v>
      </c>
      <c r="I454" s="50">
        <v>0</v>
      </c>
      <c r="J454" s="51" t="s">
        <v>1529</v>
      </c>
      <c r="K454" s="47" t="str">
        <f t="shared" ca="1" si="227"/>
        <v>CONTRATADO</v>
      </c>
      <c r="L454" s="47" t="s">
        <v>94</v>
      </c>
      <c r="M454" s="47" t="s">
        <v>222</v>
      </c>
      <c r="N454" s="52" t="s">
        <v>223</v>
      </c>
      <c r="O454" s="51" t="e">
        <f>VLOOKUP(N454,[2]!RUBROS[#All],3,0)</f>
        <v>#REF!</v>
      </c>
      <c r="P454" s="53" t="e">
        <f>VLOOKUP(N454,[2]!RUBROS[#All],2,0)</f>
        <v>#REF!</v>
      </c>
      <c r="Q454" s="47" t="str">
        <f t="shared" si="228"/>
        <v>20</v>
      </c>
      <c r="R454" s="47" t="str">
        <f t="shared" si="229"/>
        <v>0-205400</v>
      </c>
      <c r="S454" s="54"/>
      <c r="T454" s="59" t="s">
        <v>46</v>
      </c>
      <c r="U454" s="326" t="e">
        <f ca="1">_xlfn.XLOOKUP(PAA_4[[#This Row],[ITEM]],[2]Contrato!A:A,[2]Contrato!Q:Q,"",0)</f>
        <v>#NAME?</v>
      </c>
      <c r="V454" s="47" t="s">
        <v>95</v>
      </c>
      <c r="W454" s="47" t="s">
        <v>91</v>
      </c>
      <c r="X454" s="47" t="s">
        <v>91</v>
      </c>
      <c r="Y454" s="55" t="e">
        <f ca="1">_xlfn.XLOOKUP(PAA_4[[#This Row],[ITEM]],[2]Contrato!A:A,[2]Contrato!B:B,"",0)</f>
        <v>#NAME?</v>
      </c>
      <c r="Z454" s="47" t="e">
        <f ca="1">_xlfn.XLOOKUP(PAA_4[[#This Row],[ITEM]],[2]Contrato!A:A,[2]Contrato!G:G,"",0)</f>
        <v>#NAME?</v>
      </c>
      <c r="AA454" s="47" t="e">
        <f ca="1">_xlfn.XLOOKUP(PAA_4[[#This Row],[ITEM]],[2]Contrato!A:A,[2]Contrato!T:T,"",0)</f>
        <v>#NAME?</v>
      </c>
      <c r="AB454" s="55" t="e">
        <f ca="1">+MAX(PAA_4[[#This Row],[Comprometido Contrato]],PAA_4[[#This Row],[Comprometido Bolsa]])</f>
        <v>#NAME?</v>
      </c>
      <c r="AC454" s="55" t="str">
        <f t="shared" ca="1" si="230"/>
        <v/>
      </c>
      <c r="AD454" s="55" t="e">
        <f ca="1">IF(PAA_4[[#This Row],[ESTADO (formulado)]]="NO CONTRATADO",0,MAX(PAA_4[[#This Row],[Pago por Contrato]],PAA_4[[#This Row],[Pago por bolsa]]))</f>
        <v>#NAME?</v>
      </c>
      <c r="AE454" s="55" t="str">
        <f t="shared" ca="1" si="231"/>
        <v/>
      </c>
      <c r="AF454" s="47" t="e">
        <f t="shared" ca="1" si="232"/>
        <v>#NAME?</v>
      </c>
      <c r="AG454" s="47">
        <f t="shared" si="233"/>
        <v>41080111</v>
      </c>
      <c r="AH454" s="54">
        <f>IF(Q454="22",IF(ISNUMBER(SEARCH("econ",PAA_4[[#This Row],[Actividad3]])),"Económico",IF(ISNUMBER(SEARCH("alim",PAA_4[[#This Row],[Actividad3]])),"Alimentación",IF(ISNUMBER(SEARCH("educ",PAA_4[[#This Row],[Actividad3]])),"Educativo","Técnico"))),0)</f>
        <v>0</v>
      </c>
      <c r="AI454" s="47" t="e" cm="1">
        <f t="array" aca="1" ref="AI454" ca="1">_xlfn.XLOOKUP(PAA_4[[#This Row],[RCP-RUBRO]],[2]!COMPROMISOS_2024[[#All],[concatenado]],[2]!COMPROMISOS_2024[[#All],[Total pagado]],"",0)</f>
        <v>#NAME?</v>
      </c>
      <c r="AJ454" s="56">
        <f>IF(PAA_4[[#This Row],[BOLSA]]=0,0,SUMIFS([2]!COMPROMISOS_2024[[#All],[Total pagado]],[2]!COMPROMISOS_2024[[#All],[Bolsa]],PAA_4[[#This Row],[BOLSA]],[2]!COMPROMISOS_2024[[#All],[rubro]],PAA_4[[#This Row],[RCP-RUBRO]]))</f>
        <v>0</v>
      </c>
      <c r="AK454" s="47" t="e" cm="1">
        <f t="array" aca="1" ref="AK454" ca="1">_xlfn.XLOOKUP(PAA_4[[#This Row],[RCP-RUBRO]],[2]!COMPROMISOS_2024[[#All],[concatenado]],[2]!COMPROMISOS_2024[[#All],[Total Comprometido]],"",0)</f>
        <v>#NAME?</v>
      </c>
      <c r="AL454" s="47">
        <f>IF(PAA_4[[#This Row],[BOLSA]]=0,0,SUMIFS([2]!COMPROMISOS_2024[[#All],[Total Comprometido]],[2]!COMPROMISOS_2024[[#All],[Bolsa]],PAA_4[[#This Row],[BOLSA]],[2]!COMPROMISOS_2024[[#All],[concatenado]],PAA_4[[#This Row],[RCP-RUBRO]]))</f>
        <v>0</v>
      </c>
    </row>
    <row r="455" spans="1:38" s="19" customFormat="1" ht="31.5" customHeight="1">
      <c r="A455" s="47">
        <v>117</v>
      </c>
      <c r="B455" s="47">
        <v>80111600</v>
      </c>
      <c r="C455" s="47" t="str">
        <f>VLOOKUP(PAA_4[[#This Row],[PROYECTO (formulado)2]],[2]PROYECTOS!$G$1:$L$32,6,0)</f>
        <v>SUBGERENCIA DE ALTOS LOGROS Y DEPORTE ASOCIADO</v>
      </c>
      <c r="D455" s="47" t="str">
        <f>+IF(PAA_4[[#This Row],[UNIDAD DE CONTRATACION (formulado)]]="Subgerencia Administrativa y Financiera","FUNCIONAMIENTO","INVERSIÓN")</f>
        <v>INVERSIÓN</v>
      </c>
      <c r="E455" s="48" t="str">
        <f>VLOOKUP(Q455,[2]PROYECTOS!$G$1:$K$32,5,0)</f>
        <v>FORTALECIMIENTO_DEL_PROGRAMA_DE_ALTOS_LOGROS_Y_LIDERAZGO_DEPORTIVO_EN_EL_DEPARTAMENTO_DE_ANTIOQUIA</v>
      </c>
      <c r="F455" s="48">
        <f>VLOOKUP(E455,[2]PROYECTOS!$K$1:$M$32,3,0)</f>
        <v>2020003050021</v>
      </c>
      <c r="G455" s="49" t="s">
        <v>224</v>
      </c>
      <c r="H455" s="49" t="str">
        <f>VLOOKUP(Q455,[2]PROYECTOS!$V$1:$W$32,2,0)</f>
        <v>050061</v>
      </c>
      <c r="I455" s="50">
        <v>0</v>
      </c>
      <c r="J455" s="51" t="s">
        <v>1530</v>
      </c>
      <c r="K455" s="47" t="str">
        <f t="shared" ca="1" si="227"/>
        <v>CONTRATADO</v>
      </c>
      <c r="L455" s="47" t="s">
        <v>94</v>
      </c>
      <c r="M455" s="47" t="s">
        <v>222</v>
      </c>
      <c r="N455" s="52" t="s">
        <v>223</v>
      </c>
      <c r="O455" s="51" t="e">
        <f>VLOOKUP(N455,[2]!RUBROS[#All],3,0)</f>
        <v>#REF!</v>
      </c>
      <c r="P455" s="53" t="e">
        <f>VLOOKUP(N455,[2]!RUBROS[#All],2,0)</f>
        <v>#REF!</v>
      </c>
      <c r="Q455" s="47" t="str">
        <f t="shared" si="228"/>
        <v>20</v>
      </c>
      <c r="R455" s="47" t="str">
        <f t="shared" si="229"/>
        <v>0-205400</v>
      </c>
      <c r="S455" s="54"/>
      <c r="T455" s="59" t="s">
        <v>46</v>
      </c>
      <c r="U455" s="326" t="e">
        <f ca="1">_xlfn.XLOOKUP(PAA_4[[#This Row],[ITEM]],[2]Contrato!A:A,[2]Contrato!Q:Q,"",0)</f>
        <v>#NAME?</v>
      </c>
      <c r="V455" s="47" t="s">
        <v>95</v>
      </c>
      <c r="W455" s="47" t="s">
        <v>91</v>
      </c>
      <c r="X455" s="47" t="s">
        <v>91</v>
      </c>
      <c r="Y455" s="55" t="e">
        <f ca="1">_xlfn.XLOOKUP(PAA_4[[#This Row],[ITEM]],[2]Contrato!A:A,[2]Contrato!B:B,"",0)</f>
        <v>#NAME?</v>
      </c>
      <c r="Z455" s="47" t="e">
        <f ca="1">_xlfn.XLOOKUP(PAA_4[[#This Row],[ITEM]],[2]Contrato!A:A,[2]Contrato!G:G,"",0)</f>
        <v>#NAME?</v>
      </c>
      <c r="AA455" s="47" t="e">
        <f ca="1">_xlfn.XLOOKUP(PAA_4[[#This Row],[ITEM]],[2]Contrato!A:A,[2]Contrato!T:T,"",0)</f>
        <v>#NAME?</v>
      </c>
      <c r="AB455" s="55" t="e">
        <f ca="1">+MAX(PAA_4[[#This Row],[Comprometido Contrato]],PAA_4[[#This Row],[Comprometido Bolsa]])</f>
        <v>#NAME?</v>
      </c>
      <c r="AC455" s="55" t="str">
        <f t="shared" ca="1" si="230"/>
        <v/>
      </c>
      <c r="AD455" s="55" t="e">
        <f ca="1">IF(PAA_4[[#This Row],[ESTADO (formulado)]]="NO CONTRATADO",0,MAX(PAA_4[[#This Row],[Pago por Contrato]],PAA_4[[#This Row],[Pago por bolsa]]))</f>
        <v>#NAME?</v>
      </c>
      <c r="AE455" s="55" t="str">
        <f t="shared" ca="1" si="231"/>
        <v/>
      </c>
      <c r="AF455" s="47" t="e">
        <f t="shared" ca="1" si="232"/>
        <v>#NAME?</v>
      </c>
      <c r="AG455" s="47">
        <f t="shared" si="233"/>
        <v>41080111</v>
      </c>
      <c r="AH455" s="54">
        <f>IF(Q455="22",IF(ISNUMBER(SEARCH("econ",PAA_4[[#This Row],[Actividad3]])),"Económico",IF(ISNUMBER(SEARCH("alim",PAA_4[[#This Row],[Actividad3]])),"Alimentación",IF(ISNUMBER(SEARCH("educ",PAA_4[[#This Row],[Actividad3]])),"Educativo","Técnico"))),0)</f>
        <v>0</v>
      </c>
      <c r="AI455" s="47" t="e" cm="1">
        <f t="array" aca="1" ref="AI455" ca="1">_xlfn.XLOOKUP(PAA_4[[#This Row],[RCP-RUBRO]],[2]!COMPROMISOS_2024[[#All],[concatenado]],[2]!COMPROMISOS_2024[[#All],[Total pagado]],"",0)</f>
        <v>#NAME?</v>
      </c>
      <c r="AJ455" s="56">
        <f>IF(PAA_4[[#This Row],[BOLSA]]=0,0,SUMIFS([2]!COMPROMISOS_2024[[#All],[Total pagado]],[2]!COMPROMISOS_2024[[#All],[Bolsa]],PAA_4[[#This Row],[BOLSA]],[2]!COMPROMISOS_2024[[#All],[rubro]],PAA_4[[#This Row],[RCP-RUBRO]]))</f>
        <v>0</v>
      </c>
      <c r="AK455" s="47" t="e" cm="1">
        <f t="array" aca="1" ref="AK455" ca="1">_xlfn.XLOOKUP(PAA_4[[#This Row],[RCP-RUBRO]],[2]!COMPROMISOS_2024[[#All],[concatenado]],[2]!COMPROMISOS_2024[[#All],[Total Comprometido]],"",0)</f>
        <v>#NAME?</v>
      </c>
      <c r="AL455" s="47">
        <f>IF(PAA_4[[#This Row],[BOLSA]]=0,0,SUMIFS([2]!COMPROMISOS_2024[[#All],[Total Comprometido]],[2]!COMPROMISOS_2024[[#All],[Bolsa]],PAA_4[[#This Row],[BOLSA]],[2]!COMPROMISOS_2024[[#All],[concatenado]],PAA_4[[#This Row],[RCP-RUBRO]]))</f>
        <v>0</v>
      </c>
    </row>
    <row r="456" spans="1:38" s="19" customFormat="1" ht="31.5" customHeight="1">
      <c r="A456" s="47">
        <v>118</v>
      </c>
      <c r="B456" s="47">
        <v>80111600</v>
      </c>
      <c r="C456" s="47" t="str">
        <f>VLOOKUP(PAA_4[[#This Row],[PROYECTO (formulado)2]],[2]PROYECTOS!$G$1:$L$32,6,0)</f>
        <v>SUBGERENCIA DE ALTOS LOGROS Y DEPORTE ASOCIADO</v>
      </c>
      <c r="D456" s="47" t="str">
        <f>+IF(PAA_4[[#This Row],[UNIDAD DE CONTRATACION (formulado)]]="Subgerencia Administrativa y Financiera","FUNCIONAMIENTO","INVERSIÓN")</f>
        <v>INVERSIÓN</v>
      </c>
      <c r="E456" s="48" t="str">
        <f>VLOOKUP(Q456,[2]PROYECTOS!$G$1:$K$32,5,0)</f>
        <v>FORTALECIMIENTO_DEL_PROGRAMA_DE_ALTOS_LOGROS_Y_LIDERAZGO_DEPORTIVO_EN_EL_DEPARTAMENTO_DE_ANTIOQUIA</v>
      </c>
      <c r="F456" s="48">
        <f>VLOOKUP(E456,[2]PROYECTOS!$K$1:$M$32,3,0)</f>
        <v>2020003050021</v>
      </c>
      <c r="G456" s="49" t="s">
        <v>224</v>
      </c>
      <c r="H456" s="49" t="str">
        <f>VLOOKUP(Q456,[2]PROYECTOS!$V$1:$W$32,2,0)</f>
        <v>050061</v>
      </c>
      <c r="I456" s="50">
        <v>0</v>
      </c>
      <c r="J456" s="51" t="s">
        <v>1531</v>
      </c>
      <c r="K456" s="47" t="str">
        <f t="shared" ca="1" si="227"/>
        <v>CONTRATADO</v>
      </c>
      <c r="L456" s="47" t="s">
        <v>94</v>
      </c>
      <c r="M456" s="47" t="s">
        <v>222</v>
      </c>
      <c r="N456" s="52" t="s">
        <v>223</v>
      </c>
      <c r="O456" s="51" t="e">
        <f>VLOOKUP(N456,[2]!RUBROS[#All],3,0)</f>
        <v>#REF!</v>
      </c>
      <c r="P456" s="53" t="e">
        <f>VLOOKUP(N456,[2]!RUBROS[#All],2,0)</f>
        <v>#REF!</v>
      </c>
      <c r="Q456" s="47" t="str">
        <f t="shared" si="228"/>
        <v>20</v>
      </c>
      <c r="R456" s="47" t="str">
        <f t="shared" si="229"/>
        <v>0-205400</v>
      </c>
      <c r="S456" s="54"/>
      <c r="T456" s="59" t="s">
        <v>46</v>
      </c>
      <c r="U456" s="326" t="e">
        <f ca="1">_xlfn.XLOOKUP(PAA_4[[#This Row],[ITEM]],[2]Contrato!A:A,[2]Contrato!Q:Q,"",0)</f>
        <v>#NAME?</v>
      </c>
      <c r="V456" s="47" t="s">
        <v>95</v>
      </c>
      <c r="W456" s="47" t="s">
        <v>91</v>
      </c>
      <c r="X456" s="47" t="s">
        <v>91</v>
      </c>
      <c r="Y456" s="55" t="e">
        <f ca="1">_xlfn.XLOOKUP(PAA_4[[#This Row],[ITEM]],[2]Contrato!A:A,[2]Contrato!B:B,"",0)</f>
        <v>#NAME?</v>
      </c>
      <c r="Z456" s="47" t="e">
        <f ca="1">_xlfn.XLOOKUP(PAA_4[[#This Row],[ITEM]],[2]Contrato!A:A,[2]Contrato!G:G,"",0)</f>
        <v>#NAME?</v>
      </c>
      <c r="AA456" s="47" t="e">
        <f ca="1">_xlfn.XLOOKUP(PAA_4[[#This Row],[ITEM]],[2]Contrato!A:A,[2]Contrato!T:T,"",0)</f>
        <v>#NAME?</v>
      </c>
      <c r="AB456" s="55" t="e">
        <f ca="1">+MAX(PAA_4[[#This Row],[Comprometido Contrato]],PAA_4[[#This Row],[Comprometido Bolsa]])</f>
        <v>#NAME?</v>
      </c>
      <c r="AC456" s="55" t="str">
        <f t="shared" ca="1" si="230"/>
        <v/>
      </c>
      <c r="AD456" s="55" t="e">
        <f ca="1">IF(PAA_4[[#This Row],[ESTADO (formulado)]]="NO CONTRATADO",0,MAX(PAA_4[[#This Row],[Pago por Contrato]],PAA_4[[#This Row],[Pago por bolsa]]))</f>
        <v>#NAME?</v>
      </c>
      <c r="AE456" s="55" t="str">
        <f t="shared" ca="1" si="231"/>
        <v/>
      </c>
      <c r="AF456" s="47" t="e">
        <f t="shared" ca="1" si="232"/>
        <v>#NAME?</v>
      </c>
      <c r="AG456" s="47">
        <f t="shared" si="233"/>
        <v>41080111</v>
      </c>
      <c r="AH456" s="54">
        <f>IF(Q456="22",IF(ISNUMBER(SEARCH("econ",PAA_4[[#This Row],[Actividad3]])),"Económico",IF(ISNUMBER(SEARCH("alim",PAA_4[[#This Row],[Actividad3]])),"Alimentación",IF(ISNUMBER(SEARCH("educ",PAA_4[[#This Row],[Actividad3]])),"Educativo","Técnico"))),0)</f>
        <v>0</v>
      </c>
      <c r="AI456" s="47" t="e" cm="1">
        <f t="array" aca="1" ref="AI456" ca="1">_xlfn.XLOOKUP(PAA_4[[#This Row],[RCP-RUBRO]],[2]!COMPROMISOS_2024[[#All],[concatenado]],[2]!COMPROMISOS_2024[[#All],[Total pagado]],"",0)</f>
        <v>#NAME?</v>
      </c>
      <c r="AJ456" s="56">
        <f>IF(PAA_4[[#This Row],[BOLSA]]=0,0,SUMIFS([2]!COMPROMISOS_2024[[#All],[Total pagado]],[2]!COMPROMISOS_2024[[#All],[Bolsa]],PAA_4[[#This Row],[BOLSA]],[2]!COMPROMISOS_2024[[#All],[rubro]],PAA_4[[#This Row],[RCP-RUBRO]]))</f>
        <v>0</v>
      </c>
      <c r="AK456" s="47" t="e" cm="1">
        <f t="array" aca="1" ref="AK456" ca="1">_xlfn.XLOOKUP(PAA_4[[#This Row],[RCP-RUBRO]],[2]!COMPROMISOS_2024[[#All],[concatenado]],[2]!COMPROMISOS_2024[[#All],[Total Comprometido]],"",0)</f>
        <v>#NAME?</v>
      </c>
      <c r="AL456" s="47">
        <f>IF(PAA_4[[#This Row],[BOLSA]]=0,0,SUMIFS([2]!COMPROMISOS_2024[[#All],[Total Comprometido]],[2]!COMPROMISOS_2024[[#All],[Bolsa]],PAA_4[[#This Row],[BOLSA]],[2]!COMPROMISOS_2024[[#All],[concatenado]],PAA_4[[#This Row],[RCP-RUBRO]]))</f>
        <v>0</v>
      </c>
    </row>
    <row r="457" spans="1:38" s="19" customFormat="1" ht="31.5" customHeight="1">
      <c r="A457" s="47">
        <v>119</v>
      </c>
      <c r="B457" s="47">
        <v>80111600</v>
      </c>
      <c r="C457" s="47" t="str">
        <f>VLOOKUP(PAA_4[[#This Row],[PROYECTO (formulado)2]],[2]PROYECTOS!$G$1:$L$32,6,0)</f>
        <v>SUBGERENCIA DE ALTOS LOGROS Y DEPORTE ASOCIADO</v>
      </c>
      <c r="D457" s="47" t="str">
        <f>+IF(PAA_4[[#This Row],[UNIDAD DE CONTRATACION (formulado)]]="Subgerencia Administrativa y Financiera","FUNCIONAMIENTO","INVERSIÓN")</f>
        <v>INVERSIÓN</v>
      </c>
      <c r="E457" s="48" t="str">
        <f>VLOOKUP(Q457,[2]PROYECTOS!$G$1:$K$32,5,0)</f>
        <v>FORTALECIMIENTO_DEL_PROGRAMA_DE_ALTOS_LOGROS_Y_LIDERAZGO_DEPORTIVO_EN_EL_DEPARTAMENTO_DE_ANTIOQUIA</v>
      </c>
      <c r="F457" s="48">
        <f>VLOOKUP(E457,[2]PROYECTOS!$K$1:$M$32,3,0)</f>
        <v>2020003050021</v>
      </c>
      <c r="G457" s="49" t="s">
        <v>224</v>
      </c>
      <c r="H457" s="49" t="str">
        <f>VLOOKUP(Q457,[2]PROYECTOS!$V$1:$W$32,2,0)</f>
        <v>050061</v>
      </c>
      <c r="I457" s="50">
        <v>0</v>
      </c>
      <c r="J457" s="51" t="s">
        <v>1532</v>
      </c>
      <c r="K457" s="47" t="str">
        <f t="shared" ca="1" si="227"/>
        <v>CONTRATADO</v>
      </c>
      <c r="L457" s="47" t="s">
        <v>94</v>
      </c>
      <c r="M457" s="47" t="s">
        <v>222</v>
      </c>
      <c r="N457" s="52" t="s">
        <v>223</v>
      </c>
      <c r="O457" s="51" t="e">
        <f>VLOOKUP(N457,[2]!RUBROS[#All],3,0)</f>
        <v>#REF!</v>
      </c>
      <c r="P457" s="53" t="e">
        <f>VLOOKUP(N457,[2]!RUBROS[#All],2,0)</f>
        <v>#REF!</v>
      </c>
      <c r="Q457" s="47" t="str">
        <f t="shared" si="228"/>
        <v>20</v>
      </c>
      <c r="R457" s="47" t="str">
        <f t="shared" si="229"/>
        <v>0-205400</v>
      </c>
      <c r="S457" s="54"/>
      <c r="T457" s="59" t="s">
        <v>46</v>
      </c>
      <c r="U457" s="326" t="e">
        <f ca="1">_xlfn.XLOOKUP(PAA_4[[#This Row],[ITEM]],[2]Contrato!A:A,[2]Contrato!Q:Q,"",0)</f>
        <v>#NAME?</v>
      </c>
      <c r="V457" s="47" t="s">
        <v>95</v>
      </c>
      <c r="W457" s="47" t="s">
        <v>91</v>
      </c>
      <c r="X457" s="47" t="s">
        <v>91</v>
      </c>
      <c r="Y457" s="55" t="e">
        <f ca="1">_xlfn.XLOOKUP(PAA_4[[#This Row],[ITEM]],[2]Contrato!A:A,[2]Contrato!B:B,"",0)</f>
        <v>#NAME?</v>
      </c>
      <c r="Z457" s="47" t="e">
        <f ca="1">_xlfn.XLOOKUP(PAA_4[[#This Row],[ITEM]],[2]Contrato!A:A,[2]Contrato!G:G,"",0)</f>
        <v>#NAME?</v>
      </c>
      <c r="AA457" s="47" t="e">
        <f ca="1">_xlfn.XLOOKUP(PAA_4[[#This Row],[ITEM]],[2]Contrato!A:A,[2]Contrato!T:T,"",0)</f>
        <v>#NAME?</v>
      </c>
      <c r="AB457" s="55" t="e">
        <f ca="1">+MAX(PAA_4[[#This Row],[Comprometido Contrato]],PAA_4[[#This Row],[Comprometido Bolsa]])</f>
        <v>#NAME?</v>
      </c>
      <c r="AC457" s="55" t="str">
        <f t="shared" ca="1" si="230"/>
        <v/>
      </c>
      <c r="AD457" s="55" t="e">
        <f ca="1">IF(PAA_4[[#This Row],[ESTADO (formulado)]]="NO CONTRATADO",0,MAX(PAA_4[[#This Row],[Pago por Contrato]],PAA_4[[#This Row],[Pago por bolsa]]))</f>
        <v>#NAME?</v>
      </c>
      <c r="AE457" s="55" t="str">
        <f t="shared" ca="1" si="231"/>
        <v/>
      </c>
      <c r="AF457" s="47" t="e">
        <f t="shared" ca="1" si="232"/>
        <v>#NAME?</v>
      </c>
      <c r="AG457" s="47">
        <f t="shared" si="233"/>
        <v>41080111</v>
      </c>
      <c r="AH457" s="54">
        <f>IF(Q457="22",IF(ISNUMBER(SEARCH("econ",PAA_4[[#This Row],[Actividad3]])),"Económico",IF(ISNUMBER(SEARCH("alim",PAA_4[[#This Row],[Actividad3]])),"Alimentación",IF(ISNUMBER(SEARCH("educ",PAA_4[[#This Row],[Actividad3]])),"Educativo","Técnico"))),0)</f>
        <v>0</v>
      </c>
      <c r="AI457" s="47" t="e" cm="1">
        <f t="array" aca="1" ref="AI457" ca="1">_xlfn.XLOOKUP(PAA_4[[#This Row],[RCP-RUBRO]],[2]!COMPROMISOS_2024[[#All],[concatenado]],[2]!COMPROMISOS_2024[[#All],[Total pagado]],"",0)</f>
        <v>#NAME?</v>
      </c>
      <c r="AJ457" s="56">
        <f>IF(PAA_4[[#This Row],[BOLSA]]=0,0,SUMIFS([2]!COMPROMISOS_2024[[#All],[Total pagado]],[2]!COMPROMISOS_2024[[#All],[Bolsa]],PAA_4[[#This Row],[BOLSA]],[2]!COMPROMISOS_2024[[#All],[rubro]],PAA_4[[#This Row],[RCP-RUBRO]]))</f>
        <v>0</v>
      </c>
      <c r="AK457" s="47" t="e" cm="1">
        <f t="array" aca="1" ref="AK457" ca="1">_xlfn.XLOOKUP(PAA_4[[#This Row],[RCP-RUBRO]],[2]!COMPROMISOS_2024[[#All],[concatenado]],[2]!COMPROMISOS_2024[[#All],[Total Comprometido]],"",0)</f>
        <v>#NAME?</v>
      </c>
      <c r="AL457" s="47">
        <f>IF(PAA_4[[#This Row],[BOLSA]]=0,0,SUMIFS([2]!COMPROMISOS_2024[[#All],[Total Comprometido]],[2]!COMPROMISOS_2024[[#All],[Bolsa]],PAA_4[[#This Row],[BOLSA]],[2]!COMPROMISOS_2024[[#All],[concatenado]],PAA_4[[#This Row],[RCP-RUBRO]]))</f>
        <v>0</v>
      </c>
    </row>
    <row r="458" spans="1:38" s="19" customFormat="1" ht="31.5" customHeight="1">
      <c r="A458" s="47" t="s">
        <v>82</v>
      </c>
      <c r="B458" s="47">
        <v>80111600</v>
      </c>
      <c r="C458" s="47" t="str">
        <f>VLOOKUP(PAA_4[[#This Row],[PROYECTO (formulado)2]],[2]PROYECTOS!$G$1:$L$32,6,0)</f>
        <v>SUBGERENCIA DE ALTOS LOGROS Y DEPORTE ASOCIADO</v>
      </c>
      <c r="D458" s="47" t="str">
        <f>+IF(PAA_4[[#This Row],[UNIDAD DE CONTRATACION (formulado)]]="Subgerencia Administrativa y Financiera","FUNCIONAMIENTO","INVERSIÓN")</f>
        <v>INVERSIÓN</v>
      </c>
      <c r="E458" s="48" t="str">
        <f>VLOOKUP(Q458,[2]PROYECTOS!$G$1:$K$32,5,0)</f>
        <v>FORTALECIMIENTO_DEL_PROGRAMA_DE_ALTOS_LOGROS_Y_LIDERAZGO_DEPORTIVO_EN_EL_DEPARTAMENTO_DE_ANTIOQUIA</v>
      </c>
      <c r="F458" s="48">
        <f>VLOOKUP(E458,[2]PROYECTOS!$K$1:$M$32,3,0)</f>
        <v>2020003050021</v>
      </c>
      <c r="G458" s="49" t="s">
        <v>224</v>
      </c>
      <c r="H458" s="49" t="str">
        <f>VLOOKUP(Q458,[2]PROYECTOS!$V$1:$W$32,2,0)</f>
        <v>050061</v>
      </c>
      <c r="I458" s="50">
        <v>126819377</v>
      </c>
      <c r="J458" s="51" t="s">
        <v>1533</v>
      </c>
      <c r="K458" s="47" t="str">
        <f t="shared" ca="1" si="227"/>
        <v>CONTRATADO</v>
      </c>
      <c r="L458" s="47" t="s">
        <v>44</v>
      </c>
      <c r="M458" s="47" t="s">
        <v>1236</v>
      </c>
      <c r="N458" s="52" t="s">
        <v>223</v>
      </c>
      <c r="O458" s="51" t="e">
        <f>VLOOKUP(N458,[2]!RUBROS[#All],3,0)</f>
        <v>#REF!</v>
      </c>
      <c r="P458" s="53" t="e">
        <f>VLOOKUP(N458,[2]!RUBROS[#All],2,0)</f>
        <v>#REF!</v>
      </c>
      <c r="Q458" s="47" t="str">
        <f t="shared" si="228"/>
        <v>20</v>
      </c>
      <c r="R458" s="47" t="str">
        <f t="shared" si="229"/>
        <v>0-205400</v>
      </c>
      <c r="S458" s="54">
        <v>6</v>
      </c>
      <c r="T458" s="59" t="s">
        <v>46</v>
      </c>
      <c r="U458" s="326" t="e">
        <f ca="1">_xlfn.XLOOKUP(PAA_4[[#This Row],[ITEM]],[2]Contrato!A:A,[2]Contrato!Q:Q,"",0)</f>
        <v>#NAME?</v>
      </c>
      <c r="V458" s="47" t="s">
        <v>95</v>
      </c>
      <c r="W458" s="47" t="s">
        <v>91</v>
      </c>
      <c r="X458" s="47" t="s">
        <v>91</v>
      </c>
      <c r="Y458" s="55" t="e">
        <f ca="1">_xlfn.XLOOKUP(PAA_4[[#This Row],[ITEM]],[2]Contrato!A:A,[2]Contrato!B:B,"",0)</f>
        <v>#NAME?</v>
      </c>
      <c r="Z458" s="47" t="e">
        <f ca="1">_xlfn.XLOOKUP(PAA_4[[#This Row],[ITEM]],[2]Contrato!A:A,[2]Contrato!G:G,"",0)</f>
        <v>#NAME?</v>
      </c>
      <c r="AA458" s="47" t="e">
        <f ca="1">_xlfn.XLOOKUP(PAA_4[[#This Row],[ITEM]],[2]Contrato!A:A,[2]Contrato!T:T,"",0)</f>
        <v>#NAME?</v>
      </c>
      <c r="AB458" s="55" t="e">
        <f ca="1">+MAX(PAA_4[[#This Row],[Comprometido Contrato]],PAA_4[[#This Row],[Comprometido Bolsa]])</f>
        <v>#NAME?</v>
      </c>
      <c r="AC458" s="55" t="str">
        <f t="shared" ca="1" si="230"/>
        <v/>
      </c>
      <c r="AD458" s="55" t="e">
        <f ca="1">IF(PAA_4[[#This Row],[ESTADO (formulado)]]="NO CONTRATADO",0,MAX(PAA_4[[#This Row],[Pago por Contrato]],PAA_4[[#This Row],[Pago por bolsa]]))</f>
        <v>#NAME?</v>
      </c>
      <c r="AE458" s="55" t="str">
        <f t="shared" ca="1" si="231"/>
        <v/>
      </c>
      <c r="AF458" s="47" t="e">
        <f t="shared" ca="1" si="232"/>
        <v>#NAME?</v>
      </c>
      <c r="AG458" s="47">
        <f t="shared" si="233"/>
        <v>41080111</v>
      </c>
      <c r="AH458" s="54">
        <f>IF(Q458="22",IF(ISNUMBER(SEARCH("econ",PAA_4[[#This Row],[Actividad3]])),"Económico",IF(ISNUMBER(SEARCH("alim",PAA_4[[#This Row],[Actividad3]])),"Alimentación",IF(ISNUMBER(SEARCH("educ",PAA_4[[#This Row],[Actividad3]])),"Educativo","Técnico"))),0)</f>
        <v>0</v>
      </c>
      <c r="AI458" s="47" t="e" cm="1">
        <f t="array" aca="1" ref="AI458" ca="1">_xlfn.XLOOKUP(PAA_4[[#This Row],[RCP-RUBRO]],[2]!COMPROMISOS_2024[[#All],[concatenado]],[2]!COMPROMISOS_2024[[#All],[Total pagado]],"",0)</f>
        <v>#NAME?</v>
      </c>
      <c r="AJ458" s="56">
        <f>IF(PAA_4[[#This Row],[BOLSA]]=0,0,SUMIFS([2]!COMPROMISOS_2024[[#All],[Total pagado]],[2]!COMPROMISOS_2024[[#All],[Bolsa]],PAA_4[[#This Row],[BOLSA]],[2]!COMPROMISOS_2024[[#All],[rubro]],PAA_4[[#This Row],[RCP-RUBRO]]))</f>
        <v>0</v>
      </c>
      <c r="AK458" s="47" t="e" cm="1">
        <f t="array" aca="1" ref="AK458" ca="1">_xlfn.XLOOKUP(PAA_4[[#This Row],[RCP-RUBRO]],[2]!COMPROMISOS_2024[[#All],[concatenado]],[2]!COMPROMISOS_2024[[#All],[Total Comprometido]],"",0)</f>
        <v>#NAME?</v>
      </c>
      <c r="AL458" s="47">
        <f>IF(PAA_4[[#This Row],[BOLSA]]=0,0,SUMIFS([2]!COMPROMISOS_2024[[#All],[Total Comprometido]],[2]!COMPROMISOS_2024[[#All],[Bolsa]],PAA_4[[#This Row],[BOLSA]],[2]!COMPROMISOS_2024[[#All],[concatenado]],PAA_4[[#This Row],[RCP-RUBRO]]))</f>
        <v>0</v>
      </c>
    </row>
    <row r="459" spans="1:38" s="19" customFormat="1" ht="31.5" customHeight="1">
      <c r="A459" s="47">
        <v>121</v>
      </c>
      <c r="B459" s="47">
        <v>80111600</v>
      </c>
      <c r="C459" s="47" t="str">
        <f>VLOOKUP(PAA_4[[#This Row],[PROYECTO (formulado)2]],[2]PROYECTOS!$G$1:$L$32,6,0)</f>
        <v>SUBGERENCIA DE ALTOS LOGROS Y DEPORTE ASOCIADO</v>
      </c>
      <c r="D459" s="47" t="str">
        <f>+IF(PAA_4[[#This Row],[UNIDAD DE CONTRATACION (formulado)]]="Subgerencia Administrativa y Financiera","FUNCIONAMIENTO","INVERSIÓN")</f>
        <v>INVERSIÓN</v>
      </c>
      <c r="E459" s="48" t="str">
        <f>VLOOKUP(Q459,[2]PROYECTOS!$G$1:$K$32,5,0)</f>
        <v>FORTALECIMIENTO_DEL_PROGRAMA_DE_ALTOS_LOGROS_Y_LIDERAZGO_DEPORTIVO_EN_EL_DEPARTAMENTO_DE_ANTIOQUIA</v>
      </c>
      <c r="F459" s="48">
        <f>VLOOKUP(E459,[2]PROYECTOS!$K$1:$M$32,3,0)</f>
        <v>2020003050021</v>
      </c>
      <c r="G459" s="49" t="s">
        <v>224</v>
      </c>
      <c r="H459" s="49" t="str">
        <f>VLOOKUP(Q459,[2]PROYECTOS!$V$1:$W$32,2,0)</f>
        <v>050061</v>
      </c>
      <c r="I459" s="50">
        <v>0</v>
      </c>
      <c r="J459" s="51" t="s">
        <v>1534</v>
      </c>
      <c r="K459" s="47" t="str">
        <f t="shared" ca="1" si="227"/>
        <v>CONTRATADO</v>
      </c>
      <c r="L459" s="47" t="s">
        <v>94</v>
      </c>
      <c r="M459" s="47" t="s">
        <v>222</v>
      </c>
      <c r="N459" s="52" t="s">
        <v>223</v>
      </c>
      <c r="O459" s="51" t="e">
        <f>VLOOKUP(N459,[2]!RUBROS[#All],3,0)</f>
        <v>#REF!</v>
      </c>
      <c r="P459" s="53" t="e">
        <f>VLOOKUP(N459,[2]!RUBROS[#All],2,0)</f>
        <v>#REF!</v>
      </c>
      <c r="Q459" s="47" t="str">
        <f t="shared" si="228"/>
        <v>20</v>
      </c>
      <c r="R459" s="47" t="str">
        <f t="shared" si="229"/>
        <v>0-205400</v>
      </c>
      <c r="S459" s="54">
        <v>215</v>
      </c>
      <c r="T459" s="59" t="s">
        <v>120</v>
      </c>
      <c r="U459" s="326" t="e">
        <f ca="1">_xlfn.XLOOKUP(PAA_4[[#This Row],[ITEM]],[2]Contrato!A:A,[2]Contrato!Q:Q,"",0)</f>
        <v>#NAME?</v>
      </c>
      <c r="V459" s="47" t="s">
        <v>95</v>
      </c>
      <c r="W459" s="47" t="s">
        <v>119</v>
      </c>
      <c r="X459" s="47" t="s">
        <v>119</v>
      </c>
      <c r="Y459" s="55" t="e">
        <f ca="1">_xlfn.XLOOKUP(PAA_4[[#This Row],[ITEM]],[2]Contrato!A:A,[2]Contrato!B:B,"",0)</f>
        <v>#NAME?</v>
      </c>
      <c r="Z459" s="47" t="e">
        <f ca="1">_xlfn.XLOOKUP(PAA_4[[#This Row],[ITEM]],[2]Contrato!A:A,[2]Contrato!G:G,"",0)</f>
        <v>#NAME?</v>
      </c>
      <c r="AA459" s="47" t="e">
        <f ca="1">_xlfn.XLOOKUP(PAA_4[[#This Row],[ITEM]],[2]Contrato!A:A,[2]Contrato!T:T,"",0)</f>
        <v>#NAME?</v>
      </c>
      <c r="AB459" s="55" t="e">
        <f ca="1">+MAX(PAA_4[[#This Row],[Comprometido Contrato]],PAA_4[[#This Row],[Comprometido Bolsa]])</f>
        <v>#NAME?</v>
      </c>
      <c r="AC459" s="55" t="str">
        <f t="shared" ca="1" si="230"/>
        <v/>
      </c>
      <c r="AD459" s="55" t="e">
        <f ca="1">IF(PAA_4[[#This Row],[ESTADO (formulado)]]="NO CONTRATADO",0,MAX(PAA_4[[#This Row],[Pago por Contrato]],PAA_4[[#This Row],[Pago por bolsa]]))</f>
        <v>#NAME?</v>
      </c>
      <c r="AE459" s="55" t="str">
        <f t="shared" ca="1" si="231"/>
        <v/>
      </c>
      <c r="AF459" s="47" t="e">
        <f t="shared" ca="1" si="232"/>
        <v>#NAME?</v>
      </c>
      <c r="AG459" s="47">
        <f t="shared" si="233"/>
        <v>41080111</v>
      </c>
      <c r="AH459" s="54">
        <f>IF(Q459="22",IF(ISNUMBER(SEARCH("econ",PAA_4[[#This Row],[Actividad3]])),"Económico",IF(ISNUMBER(SEARCH("alim",PAA_4[[#This Row],[Actividad3]])),"Alimentación",IF(ISNUMBER(SEARCH("educ",PAA_4[[#This Row],[Actividad3]])),"Educativo","Técnico"))),0)</f>
        <v>0</v>
      </c>
      <c r="AI459" s="47" t="e" cm="1">
        <f t="array" aca="1" ref="AI459" ca="1">_xlfn.XLOOKUP(PAA_4[[#This Row],[RCP-RUBRO]],[2]!COMPROMISOS_2024[[#All],[concatenado]],[2]!COMPROMISOS_2024[[#All],[Total pagado]],"",0)</f>
        <v>#NAME?</v>
      </c>
      <c r="AJ459" s="56">
        <f>IF(PAA_4[[#This Row],[BOLSA]]=0,0,SUMIFS([2]!COMPROMISOS_2024[[#All],[Total pagado]],[2]!COMPROMISOS_2024[[#All],[Bolsa]],PAA_4[[#This Row],[BOLSA]],[2]!COMPROMISOS_2024[[#All],[rubro]],PAA_4[[#This Row],[RCP-RUBRO]]))</f>
        <v>0</v>
      </c>
      <c r="AK459" s="47" t="e" cm="1">
        <f t="array" aca="1" ref="AK459" ca="1">_xlfn.XLOOKUP(PAA_4[[#This Row],[RCP-RUBRO]],[2]!COMPROMISOS_2024[[#All],[concatenado]],[2]!COMPROMISOS_2024[[#All],[Total Comprometido]],"",0)</f>
        <v>#NAME?</v>
      </c>
      <c r="AL459" s="47">
        <f>IF(PAA_4[[#This Row],[BOLSA]]=0,0,SUMIFS([2]!COMPROMISOS_2024[[#All],[Total Comprometido]],[2]!COMPROMISOS_2024[[#All],[Bolsa]],PAA_4[[#This Row],[BOLSA]],[2]!COMPROMISOS_2024[[#All],[concatenado]],PAA_4[[#This Row],[RCP-RUBRO]]))</f>
        <v>0</v>
      </c>
    </row>
    <row r="460" spans="1:38" s="19" customFormat="1" ht="31.5" customHeight="1">
      <c r="A460" s="47">
        <v>122</v>
      </c>
      <c r="B460" s="47">
        <v>80111600</v>
      </c>
      <c r="C460" s="47" t="str">
        <f>VLOOKUP(PAA_4[[#This Row],[PROYECTO (formulado)2]],[2]PROYECTOS!$G$1:$L$32,6,0)</f>
        <v>SUBGERENCIA DE ALTOS LOGROS Y DEPORTE ASOCIADO</v>
      </c>
      <c r="D460" s="47" t="str">
        <f>+IF(PAA_4[[#This Row],[UNIDAD DE CONTRATACION (formulado)]]="Subgerencia Administrativa y Financiera","FUNCIONAMIENTO","INVERSIÓN")</f>
        <v>INVERSIÓN</v>
      </c>
      <c r="E460" s="48" t="str">
        <f>VLOOKUP(Q460,[2]PROYECTOS!$G$1:$K$32,5,0)</f>
        <v>FORTALECIMIENTO_DEL_PROGRAMA_DE_ALTOS_LOGROS_Y_LIDERAZGO_DEPORTIVO_EN_EL_DEPARTAMENTO_DE_ANTIOQUIA</v>
      </c>
      <c r="F460" s="48">
        <f>VLOOKUP(E460,[2]PROYECTOS!$K$1:$M$32,3,0)</f>
        <v>2020003050021</v>
      </c>
      <c r="G460" s="49" t="s">
        <v>224</v>
      </c>
      <c r="H460" s="49" t="str">
        <f>VLOOKUP(Q460,[2]PROYECTOS!$V$1:$W$32,2,0)</f>
        <v>050061</v>
      </c>
      <c r="I460" s="50">
        <v>0</v>
      </c>
      <c r="J460" s="51" t="s">
        <v>42</v>
      </c>
      <c r="K460" s="47" t="str">
        <f t="shared" ca="1" si="227"/>
        <v>CONTRATADO</v>
      </c>
      <c r="L460" s="47" t="s">
        <v>94</v>
      </c>
      <c r="M460" s="47" t="s">
        <v>222</v>
      </c>
      <c r="N460" s="52" t="s">
        <v>223</v>
      </c>
      <c r="O460" s="51" t="e">
        <f>VLOOKUP(N460,[2]!RUBROS[#All],3,0)</f>
        <v>#REF!</v>
      </c>
      <c r="P460" s="53" t="e">
        <f>VLOOKUP(N460,[2]!RUBROS[#All],2,0)</f>
        <v>#REF!</v>
      </c>
      <c r="Q460" s="47" t="str">
        <f t="shared" si="228"/>
        <v>20</v>
      </c>
      <c r="R460" s="47" t="str">
        <f t="shared" si="229"/>
        <v>0-205400</v>
      </c>
      <c r="S460" s="54">
        <v>205</v>
      </c>
      <c r="T460" s="59" t="s">
        <v>120</v>
      </c>
      <c r="U460" s="326" t="e">
        <f ca="1">_xlfn.XLOOKUP(PAA_4[[#This Row],[ITEM]],[2]Contrato!A:A,[2]Contrato!Q:Q,"",0)</f>
        <v>#NAME?</v>
      </c>
      <c r="V460" s="47" t="s">
        <v>95</v>
      </c>
      <c r="W460" s="47" t="s">
        <v>119</v>
      </c>
      <c r="X460" s="47" t="s">
        <v>154</v>
      </c>
      <c r="Y460" s="55" t="e">
        <f ca="1">_xlfn.XLOOKUP(PAA_4[[#This Row],[ITEM]],[2]Contrato!A:A,[2]Contrato!B:B,"",0)</f>
        <v>#NAME?</v>
      </c>
      <c r="Z460" s="47" t="e">
        <f ca="1">_xlfn.XLOOKUP(PAA_4[[#This Row],[ITEM]],[2]Contrato!A:A,[2]Contrato!G:G,"",0)</f>
        <v>#NAME?</v>
      </c>
      <c r="AA460" s="47" t="e">
        <f ca="1">_xlfn.XLOOKUP(PAA_4[[#This Row],[ITEM]],[2]Contrato!A:A,[2]Contrato!T:T,"",0)</f>
        <v>#NAME?</v>
      </c>
      <c r="AB460" s="55" t="e">
        <f ca="1">+MAX(PAA_4[[#This Row],[Comprometido Contrato]],PAA_4[[#This Row],[Comprometido Bolsa]])</f>
        <v>#NAME?</v>
      </c>
      <c r="AC460" s="55" t="str">
        <f t="shared" ca="1" si="230"/>
        <v/>
      </c>
      <c r="AD460" s="55" t="e">
        <f ca="1">IF(PAA_4[[#This Row],[ESTADO (formulado)]]="NO CONTRATADO",0,MAX(PAA_4[[#This Row],[Pago por Contrato]],PAA_4[[#This Row],[Pago por bolsa]]))</f>
        <v>#NAME?</v>
      </c>
      <c r="AE460" s="55" t="str">
        <f t="shared" ca="1" si="231"/>
        <v/>
      </c>
      <c r="AF460" s="47" t="e">
        <f t="shared" ca="1" si="232"/>
        <v>#NAME?</v>
      </c>
      <c r="AG460" s="47">
        <f t="shared" si="233"/>
        <v>41080111</v>
      </c>
      <c r="AH460" s="54">
        <f>IF(Q460="22",IF(ISNUMBER(SEARCH("econ",PAA_4[[#This Row],[Actividad3]])),"Económico",IF(ISNUMBER(SEARCH("alim",PAA_4[[#This Row],[Actividad3]])),"Alimentación",IF(ISNUMBER(SEARCH("educ",PAA_4[[#This Row],[Actividad3]])),"Educativo","Técnico"))),0)</f>
        <v>0</v>
      </c>
      <c r="AI460" s="47" t="e" cm="1">
        <f t="array" aca="1" ref="AI460" ca="1">_xlfn.XLOOKUP(PAA_4[[#This Row],[RCP-RUBRO]],[2]!COMPROMISOS_2024[[#All],[concatenado]],[2]!COMPROMISOS_2024[[#All],[Total pagado]],"",0)</f>
        <v>#NAME?</v>
      </c>
      <c r="AJ460" s="56">
        <f>IF(PAA_4[[#This Row],[BOLSA]]=0,0,SUMIFS([2]!COMPROMISOS_2024[[#All],[Total pagado]],[2]!COMPROMISOS_2024[[#All],[Bolsa]],PAA_4[[#This Row],[BOLSA]],[2]!COMPROMISOS_2024[[#All],[rubro]],PAA_4[[#This Row],[RCP-RUBRO]]))</f>
        <v>0</v>
      </c>
      <c r="AK460" s="47" t="e" cm="1">
        <f t="array" aca="1" ref="AK460" ca="1">_xlfn.XLOOKUP(PAA_4[[#This Row],[RCP-RUBRO]],[2]!COMPROMISOS_2024[[#All],[concatenado]],[2]!COMPROMISOS_2024[[#All],[Total Comprometido]],"",0)</f>
        <v>#NAME?</v>
      </c>
      <c r="AL460" s="47">
        <f>IF(PAA_4[[#This Row],[BOLSA]]=0,0,SUMIFS([2]!COMPROMISOS_2024[[#All],[Total Comprometido]],[2]!COMPROMISOS_2024[[#All],[Bolsa]],PAA_4[[#This Row],[BOLSA]],[2]!COMPROMISOS_2024[[#All],[concatenado]],PAA_4[[#This Row],[RCP-RUBRO]]))</f>
        <v>0</v>
      </c>
    </row>
    <row r="461" spans="1:38" s="19" customFormat="1" ht="31.5" customHeight="1">
      <c r="A461" s="47">
        <v>123</v>
      </c>
      <c r="B461" s="47">
        <v>80111600</v>
      </c>
      <c r="C461" s="47" t="str">
        <f>VLOOKUP(PAA_4[[#This Row],[PROYECTO (formulado)2]],[2]PROYECTOS!$G$1:$L$32,6,0)</f>
        <v>SUBGERENCIA DE ALTOS LOGROS Y DEPORTE ASOCIADO</v>
      </c>
      <c r="D461" s="47" t="str">
        <f>+IF(PAA_4[[#This Row],[UNIDAD DE CONTRATACION (formulado)]]="Subgerencia Administrativa y Financiera","FUNCIONAMIENTO","INVERSIÓN")</f>
        <v>INVERSIÓN</v>
      </c>
      <c r="E461" s="48" t="str">
        <f>VLOOKUP(Q461,[2]PROYECTOS!$G$1:$K$32,5,0)</f>
        <v>FORTALECIMIENTO_DEL_PROGRAMA_DE_ALTOS_LOGROS_Y_LIDERAZGO_DEPORTIVO_EN_EL_DEPARTAMENTO_DE_ANTIOQUIA</v>
      </c>
      <c r="F461" s="48">
        <f>VLOOKUP(E461,[2]PROYECTOS!$K$1:$M$32,3,0)</f>
        <v>2020003050021</v>
      </c>
      <c r="G461" s="49" t="s">
        <v>224</v>
      </c>
      <c r="H461" s="49" t="str">
        <f>VLOOKUP(Q461,[2]PROYECTOS!$V$1:$W$32,2,0)</f>
        <v>050061</v>
      </c>
      <c r="I461" s="50">
        <v>0</v>
      </c>
      <c r="J461" s="51" t="s">
        <v>42</v>
      </c>
      <c r="K461" s="47" t="str">
        <f t="shared" ca="1" si="227"/>
        <v>CONTRATADO</v>
      </c>
      <c r="L461" s="47" t="s">
        <v>94</v>
      </c>
      <c r="M461" s="47" t="s">
        <v>222</v>
      </c>
      <c r="N461" s="52" t="s">
        <v>223</v>
      </c>
      <c r="O461" s="51" t="e">
        <f>VLOOKUP(N461,[2]!RUBROS[#All],3,0)</f>
        <v>#REF!</v>
      </c>
      <c r="P461" s="53" t="e">
        <f>VLOOKUP(N461,[2]!RUBROS[#All],2,0)</f>
        <v>#REF!</v>
      </c>
      <c r="Q461" s="47" t="str">
        <f t="shared" si="228"/>
        <v>20</v>
      </c>
      <c r="R461" s="47" t="str">
        <f t="shared" si="229"/>
        <v>0-205400</v>
      </c>
      <c r="S461" s="54">
        <v>205</v>
      </c>
      <c r="T461" s="59" t="s">
        <v>120</v>
      </c>
      <c r="U461" s="326" t="e">
        <f ca="1">_xlfn.XLOOKUP(PAA_4[[#This Row],[ITEM]],[2]Contrato!A:A,[2]Contrato!Q:Q,"",0)</f>
        <v>#NAME?</v>
      </c>
      <c r="V461" s="47" t="s">
        <v>95</v>
      </c>
      <c r="W461" s="47" t="s">
        <v>119</v>
      </c>
      <c r="X461" s="47" t="s">
        <v>154</v>
      </c>
      <c r="Y461" s="55" t="e">
        <f ca="1">_xlfn.XLOOKUP(PAA_4[[#This Row],[ITEM]],[2]Contrato!A:A,[2]Contrato!B:B,"",0)</f>
        <v>#NAME?</v>
      </c>
      <c r="Z461" s="47" t="e">
        <f ca="1">_xlfn.XLOOKUP(PAA_4[[#This Row],[ITEM]],[2]Contrato!A:A,[2]Contrato!G:G,"",0)</f>
        <v>#NAME?</v>
      </c>
      <c r="AA461" s="47" t="e">
        <f ca="1">_xlfn.XLOOKUP(PAA_4[[#This Row],[ITEM]],[2]Contrato!A:A,[2]Contrato!T:T,"",0)</f>
        <v>#NAME?</v>
      </c>
      <c r="AB461" s="55" t="e">
        <f ca="1">+MAX(PAA_4[[#This Row],[Comprometido Contrato]],PAA_4[[#This Row],[Comprometido Bolsa]])</f>
        <v>#NAME?</v>
      </c>
      <c r="AC461" s="55" t="str">
        <f t="shared" ca="1" si="230"/>
        <v/>
      </c>
      <c r="AD461" s="55" t="e">
        <f ca="1">IF(PAA_4[[#This Row],[ESTADO (formulado)]]="NO CONTRATADO",0,MAX(PAA_4[[#This Row],[Pago por Contrato]],PAA_4[[#This Row],[Pago por bolsa]]))</f>
        <v>#NAME?</v>
      </c>
      <c r="AE461" s="55" t="str">
        <f t="shared" ca="1" si="231"/>
        <v/>
      </c>
      <c r="AF461" s="47" t="e">
        <f t="shared" ca="1" si="232"/>
        <v>#NAME?</v>
      </c>
      <c r="AG461" s="47">
        <f t="shared" si="233"/>
        <v>41080111</v>
      </c>
      <c r="AH461" s="54">
        <f>IF(Q461="22",IF(ISNUMBER(SEARCH("econ",PAA_4[[#This Row],[Actividad3]])),"Económico",IF(ISNUMBER(SEARCH("alim",PAA_4[[#This Row],[Actividad3]])),"Alimentación",IF(ISNUMBER(SEARCH("educ",PAA_4[[#This Row],[Actividad3]])),"Educativo","Técnico"))),0)</f>
        <v>0</v>
      </c>
      <c r="AI461" s="47" t="e" cm="1">
        <f t="array" aca="1" ref="AI461" ca="1">_xlfn.XLOOKUP(PAA_4[[#This Row],[RCP-RUBRO]],[2]!COMPROMISOS_2024[[#All],[concatenado]],[2]!COMPROMISOS_2024[[#All],[Total pagado]],"",0)</f>
        <v>#NAME?</v>
      </c>
      <c r="AJ461" s="56">
        <f>IF(PAA_4[[#This Row],[BOLSA]]=0,0,SUMIFS([2]!COMPROMISOS_2024[[#All],[Total pagado]],[2]!COMPROMISOS_2024[[#All],[Bolsa]],PAA_4[[#This Row],[BOLSA]],[2]!COMPROMISOS_2024[[#All],[rubro]],PAA_4[[#This Row],[RCP-RUBRO]]))</f>
        <v>0</v>
      </c>
      <c r="AK461" s="47" t="e" cm="1">
        <f t="array" aca="1" ref="AK461" ca="1">_xlfn.XLOOKUP(PAA_4[[#This Row],[RCP-RUBRO]],[2]!COMPROMISOS_2024[[#All],[concatenado]],[2]!COMPROMISOS_2024[[#All],[Total Comprometido]],"",0)</f>
        <v>#NAME?</v>
      </c>
      <c r="AL461" s="47">
        <f>IF(PAA_4[[#This Row],[BOLSA]]=0,0,SUMIFS([2]!COMPROMISOS_2024[[#All],[Total Comprometido]],[2]!COMPROMISOS_2024[[#All],[Bolsa]],PAA_4[[#This Row],[BOLSA]],[2]!COMPROMISOS_2024[[#All],[concatenado]],PAA_4[[#This Row],[RCP-RUBRO]]))</f>
        <v>0</v>
      </c>
    </row>
    <row r="462" spans="1:38" s="19" customFormat="1" ht="31.5" customHeight="1">
      <c r="A462" s="47">
        <v>625</v>
      </c>
      <c r="B462" s="47">
        <v>80111600</v>
      </c>
      <c r="C462" s="47" t="str">
        <f>VLOOKUP(PAA_4[[#This Row],[PROYECTO (formulado)2]],[2]PROYECTOS!$G$1:$L$32,6,0)</f>
        <v>OFICINA DE MEDICINA DEPORTIVA</v>
      </c>
      <c r="D462" s="47" t="str">
        <f>+IF(PAA_4[[#This Row],[UNIDAD DE CONTRATACION (formulado)]]="Subgerencia Administrativa y Financiera","FUNCIONAMIENTO","INVERSIÓN")</f>
        <v>INVERSIÓN</v>
      </c>
      <c r="E462" s="48" t="str">
        <f>VLOOKUP(Q462,[2]PROYECTOS!$G$1:$K$32,5,0)</f>
        <v>APOYO_CIENTÍFICO_AL_RENDIMIENTO_DEPORTIVO_Y_LA_ACTIVIDAD_FÍSICA_EN_EL_DEPARTAMENTO_DE_ANTIOQUIA</v>
      </c>
      <c r="F462" s="48">
        <f>VLOOKUP(E462,[2]PROYECTOS!$K$1:$M$32,3,0)</f>
        <v>2021003050070</v>
      </c>
      <c r="G462" s="49" t="s">
        <v>207</v>
      </c>
      <c r="H462" s="49" t="str">
        <f>VLOOKUP(Q462,[2]PROYECTOS!$V$1:$W$32,2,0)</f>
        <v>050068</v>
      </c>
      <c r="I462" s="50">
        <v>20637243</v>
      </c>
      <c r="J462" s="51" t="s">
        <v>1535</v>
      </c>
      <c r="K462" s="47" t="str">
        <f t="shared" ca="1" si="227"/>
        <v>CONTRATADO</v>
      </c>
      <c r="L462" s="47" t="s">
        <v>94</v>
      </c>
      <c r="M462" s="47" t="s">
        <v>1297</v>
      </c>
      <c r="N462" s="52" t="s">
        <v>209</v>
      </c>
      <c r="O462" s="51" t="e">
        <f>VLOOKUP(N462,[2]!RUBROS[#All],3,0)</f>
        <v>#REF!</v>
      </c>
      <c r="P462" s="53" t="e">
        <f>VLOOKUP(N462,[2]!RUBROS[#All],2,0)</f>
        <v>#REF!</v>
      </c>
      <c r="Q462" s="47" t="str">
        <f t="shared" si="228"/>
        <v>91</v>
      </c>
      <c r="R462" s="47" t="str">
        <f t="shared" si="229"/>
        <v>0-205400</v>
      </c>
      <c r="S462" s="54">
        <v>3</v>
      </c>
      <c r="T462" s="59" t="s">
        <v>46</v>
      </c>
      <c r="U462" s="326" t="e">
        <f ca="1">_xlfn.XLOOKUP(PAA_4[[#This Row],[ITEM]],[2]Contrato!A:A,[2]Contrato!Q:Q,"",0)</f>
        <v>#NAME?</v>
      </c>
      <c r="V462" s="47" t="s">
        <v>95</v>
      </c>
      <c r="W462" s="47" t="s">
        <v>102</v>
      </c>
      <c r="X462" s="47" t="s">
        <v>102</v>
      </c>
      <c r="Y462" s="55" t="e">
        <f ca="1">_xlfn.XLOOKUP(PAA_4[[#This Row],[ITEM]],[2]Contrato!A:A,[2]Contrato!B:B,"",0)</f>
        <v>#NAME?</v>
      </c>
      <c r="Z462" s="47" t="e">
        <f ca="1">_xlfn.XLOOKUP(PAA_4[[#This Row],[ITEM]],[2]Contrato!A:A,[2]Contrato!G:G,"",0)</f>
        <v>#NAME?</v>
      </c>
      <c r="AA462" s="47" t="e">
        <f ca="1">_xlfn.XLOOKUP(PAA_4[[#This Row],[ITEM]],[2]Contrato!A:A,[2]Contrato!T:T,"",0)</f>
        <v>#NAME?</v>
      </c>
      <c r="AB462" s="55" t="e">
        <f ca="1">+MAX(PAA_4[[#This Row],[Comprometido Contrato]],PAA_4[[#This Row],[Comprometido Bolsa]])</f>
        <v>#NAME?</v>
      </c>
      <c r="AC462" s="55" t="str">
        <f t="shared" ca="1" si="230"/>
        <v/>
      </c>
      <c r="AD462" s="55" t="e">
        <f ca="1">IF(PAA_4[[#This Row],[ESTADO (formulado)]]="NO CONTRATADO",0,MAX(PAA_4[[#This Row],[Pago por Contrato]],PAA_4[[#This Row],[Pago por bolsa]]))</f>
        <v>#NAME?</v>
      </c>
      <c r="AE462" s="55" t="str">
        <f t="shared" ca="1" si="231"/>
        <v/>
      </c>
      <c r="AF462" s="47" t="e">
        <f t="shared" ca="1" si="232"/>
        <v>#NAME?</v>
      </c>
      <c r="AG462" s="47">
        <f t="shared" si="233"/>
        <v>41080103</v>
      </c>
      <c r="AH462" s="54">
        <f>IF(Q462="22",IF(ISNUMBER(SEARCH("econ",PAA_4[[#This Row],[Actividad3]])),"Económico",IF(ISNUMBER(SEARCH("alim",PAA_4[[#This Row],[Actividad3]])),"Alimentación",IF(ISNUMBER(SEARCH("educ",PAA_4[[#This Row],[Actividad3]])),"Educativo","Técnico"))),0)</f>
        <v>0</v>
      </c>
      <c r="AI462" s="47" t="e" cm="1">
        <f t="array" aca="1" ref="AI462" ca="1">_xlfn.XLOOKUP(PAA_4[[#This Row],[RCP-RUBRO]],[2]!COMPROMISOS_2024[[#All],[concatenado]],[2]!COMPROMISOS_2024[[#All],[Total pagado]],"",0)</f>
        <v>#NAME?</v>
      </c>
      <c r="AJ462" s="56">
        <f>IF(PAA_4[[#This Row],[BOLSA]]=0,0,SUMIFS([2]!COMPROMISOS_2024[[#All],[Total pagado]],[2]!COMPROMISOS_2024[[#All],[Bolsa]],PAA_4[[#This Row],[BOLSA]],[2]!COMPROMISOS_2024[[#All],[rubro]],PAA_4[[#This Row],[RCP-RUBRO]]))</f>
        <v>0</v>
      </c>
      <c r="AK462" s="47" t="e" cm="1">
        <f t="array" aca="1" ref="AK462" ca="1">_xlfn.XLOOKUP(PAA_4[[#This Row],[RCP-RUBRO]],[2]!COMPROMISOS_2024[[#All],[concatenado]],[2]!COMPROMISOS_2024[[#All],[Total Comprometido]],"",0)</f>
        <v>#NAME?</v>
      </c>
      <c r="AL462" s="47">
        <f>IF(PAA_4[[#This Row],[BOLSA]]=0,0,SUMIFS([2]!COMPROMISOS_2024[[#All],[Total Comprometido]],[2]!COMPROMISOS_2024[[#All],[Bolsa]],PAA_4[[#This Row],[BOLSA]],[2]!COMPROMISOS_2024[[#All],[concatenado]],PAA_4[[#This Row],[RCP-RUBRO]]))</f>
        <v>0</v>
      </c>
    </row>
    <row r="463" spans="1:38" s="19" customFormat="1" ht="31.5" customHeight="1">
      <c r="A463" s="47">
        <v>626</v>
      </c>
      <c r="B463" s="47">
        <v>80111600</v>
      </c>
      <c r="C463" s="47" t="str">
        <f>VLOOKUP(PAA_4[[#This Row],[PROYECTO (formulado)2]],[2]PROYECTOS!$G$1:$L$32,6,0)</f>
        <v>OFICINA DE MEDICINA DEPORTIVA</v>
      </c>
      <c r="D463" s="47" t="str">
        <f>+IF(PAA_4[[#This Row],[UNIDAD DE CONTRATACION (formulado)]]="Subgerencia Administrativa y Financiera","FUNCIONAMIENTO","INVERSIÓN")</f>
        <v>INVERSIÓN</v>
      </c>
      <c r="E463" s="48" t="str">
        <f>VLOOKUP(Q463,[2]PROYECTOS!$G$1:$K$32,5,0)</f>
        <v>APOYO_CIENTÍFICO_AL_RENDIMIENTO_DEPORTIVO_Y_LA_ACTIVIDAD_FÍSICA_EN_EL_DEPARTAMENTO_DE_ANTIOQUIA</v>
      </c>
      <c r="F463" s="48">
        <f>VLOOKUP(E463,[2]PROYECTOS!$K$1:$M$32,3,0)</f>
        <v>2021003050070</v>
      </c>
      <c r="G463" s="49" t="s">
        <v>207</v>
      </c>
      <c r="H463" s="49" t="str">
        <f>VLOOKUP(Q463,[2]PROYECTOS!$V$1:$W$32,2,0)</f>
        <v>050068</v>
      </c>
      <c r="I463" s="50">
        <v>20637243</v>
      </c>
      <c r="J463" s="51" t="s">
        <v>1536</v>
      </c>
      <c r="K463" s="47" t="str">
        <f t="shared" ca="1" si="227"/>
        <v>CONTRATADO</v>
      </c>
      <c r="L463" s="47" t="s">
        <v>94</v>
      </c>
      <c r="M463" s="47" t="s">
        <v>1297</v>
      </c>
      <c r="N463" s="52" t="s">
        <v>209</v>
      </c>
      <c r="O463" s="51" t="e">
        <f>VLOOKUP(N463,[2]!RUBROS[#All],3,0)</f>
        <v>#REF!</v>
      </c>
      <c r="P463" s="53" t="e">
        <f>VLOOKUP(N463,[2]!RUBROS[#All],2,0)</f>
        <v>#REF!</v>
      </c>
      <c r="Q463" s="47" t="str">
        <f t="shared" si="228"/>
        <v>91</v>
      </c>
      <c r="R463" s="47" t="str">
        <f t="shared" si="229"/>
        <v>0-205400</v>
      </c>
      <c r="S463" s="54">
        <v>3</v>
      </c>
      <c r="T463" s="59" t="s">
        <v>46</v>
      </c>
      <c r="U463" s="326" t="e">
        <f ca="1">_xlfn.XLOOKUP(PAA_4[[#This Row],[ITEM]],[2]Contrato!A:A,[2]Contrato!Q:Q,"",0)</f>
        <v>#NAME?</v>
      </c>
      <c r="V463" s="47" t="s">
        <v>95</v>
      </c>
      <c r="W463" s="47" t="s">
        <v>102</v>
      </c>
      <c r="X463" s="47" t="s">
        <v>102</v>
      </c>
      <c r="Y463" s="55" t="e">
        <f ca="1">_xlfn.XLOOKUP(PAA_4[[#This Row],[ITEM]],[2]Contrato!A:A,[2]Contrato!B:B,"",0)</f>
        <v>#NAME?</v>
      </c>
      <c r="Z463" s="47" t="e">
        <f ca="1">_xlfn.XLOOKUP(PAA_4[[#This Row],[ITEM]],[2]Contrato!A:A,[2]Contrato!G:G,"",0)</f>
        <v>#NAME?</v>
      </c>
      <c r="AA463" s="47" t="e">
        <f ca="1">_xlfn.XLOOKUP(PAA_4[[#This Row],[ITEM]],[2]Contrato!A:A,[2]Contrato!T:T,"",0)</f>
        <v>#NAME?</v>
      </c>
      <c r="AB463" s="55" t="e">
        <f ca="1">+MAX(PAA_4[[#This Row],[Comprometido Contrato]],PAA_4[[#This Row],[Comprometido Bolsa]])</f>
        <v>#NAME?</v>
      </c>
      <c r="AC463" s="55" t="str">
        <f t="shared" ca="1" si="230"/>
        <v/>
      </c>
      <c r="AD463" s="55" t="e">
        <f ca="1">IF(PAA_4[[#This Row],[ESTADO (formulado)]]="NO CONTRATADO",0,MAX(PAA_4[[#This Row],[Pago por Contrato]],PAA_4[[#This Row],[Pago por bolsa]]))</f>
        <v>#NAME?</v>
      </c>
      <c r="AE463" s="55" t="str">
        <f t="shared" ca="1" si="231"/>
        <v/>
      </c>
      <c r="AF463" s="47" t="e">
        <f t="shared" ca="1" si="232"/>
        <v>#NAME?</v>
      </c>
      <c r="AG463" s="47">
        <f t="shared" si="233"/>
        <v>41080103</v>
      </c>
      <c r="AH463" s="54">
        <f>IF(Q463="22",IF(ISNUMBER(SEARCH("econ",PAA_4[[#This Row],[Actividad3]])),"Económico",IF(ISNUMBER(SEARCH("alim",PAA_4[[#This Row],[Actividad3]])),"Alimentación",IF(ISNUMBER(SEARCH("educ",PAA_4[[#This Row],[Actividad3]])),"Educativo","Técnico"))),0)</f>
        <v>0</v>
      </c>
      <c r="AI463" s="47" t="e" cm="1">
        <f t="array" aca="1" ref="AI463" ca="1">_xlfn.XLOOKUP(PAA_4[[#This Row],[RCP-RUBRO]],[2]!COMPROMISOS_2024[[#All],[concatenado]],[2]!COMPROMISOS_2024[[#All],[Total pagado]],"",0)</f>
        <v>#NAME?</v>
      </c>
      <c r="AJ463" s="56">
        <f>IF(PAA_4[[#This Row],[BOLSA]]=0,0,SUMIFS([2]!COMPROMISOS_2024[[#All],[Total pagado]],[2]!COMPROMISOS_2024[[#All],[Bolsa]],PAA_4[[#This Row],[BOLSA]],[2]!COMPROMISOS_2024[[#All],[rubro]],PAA_4[[#This Row],[RCP-RUBRO]]))</f>
        <v>0</v>
      </c>
      <c r="AK463" s="47" t="e" cm="1">
        <f t="array" aca="1" ref="AK463" ca="1">_xlfn.XLOOKUP(PAA_4[[#This Row],[RCP-RUBRO]],[2]!COMPROMISOS_2024[[#All],[concatenado]],[2]!COMPROMISOS_2024[[#All],[Total Comprometido]],"",0)</f>
        <v>#NAME?</v>
      </c>
      <c r="AL463" s="47">
        <f>IF(PAA_4[[#This Row],[BOLSA]]=0,0,SUMIFS([2]!COMPROMISOS_2024[[#All],[Total Comprometido]],[2]!COMPROMISOS_2024[[#All],[Bolsa]],PAA_4[[#This Row],[BOLSA]],[2]!COMPROMISOS_2024[[#All],[concatenado]],PAA_4[[#This Row],[RCP-RUBRO]]))</f>
        <v>0</v>
      </c>
    </row>
    <row r="464" spans="1:38" s="19" customFormat="1" ht="31.5" customHeight="1">
      <c r="A464" s="47">
        <v>627</v>
      </c>
      <c r="B464" s="47">
        <v>80111600</v>
      </c>
      <c r="C464" s="47" t="str">
        <f>VLOOKUP(PAA_4[[#This Row],[PROYECTO (formulado)2]],[2]PROYECTOS!$G$1:$L$32,6,0)</f>
        <v>OFICINA DE MEDICINA DEPORTIVA</v>
      </c>
      <c r="D464" s="47" t="str">
        <f>+IF(PAA_4[[#This Row],[UNIDAD DE CONTRATACION (formulado)]]="Subgerencia Administrativa y Financiera","FUNCIONAMIENTO","INVERSIÓN")</f>
        <v>INVERSIÓN</v>
      </c>
      <c r="E464" s="48" t="str">
        <f>VLOOKUP(Q464,[2]PROYECTOS!$G$1:$K$32,5,0)</f>
        <v>APOYO_CIENTÍFICO_AL_RENDIMIENTO_DEPORTIVO_Y_LA_ACTIVIDAD_FÍSICA_EN_EL_DEPARTAMENTO_DE_ANTIOQUIA</v>
      </c>
      <c r="F464" s="48">
        <f>VLOOKUP(E464,[2]PROYECTOS!$K$1:$M$32,3,0)</f>
        <v>2021003050070</v>
      </c>
      <c r="G464" s="49" t="s">
        <v>207</v>
      </c>
      <c r="H464" s="49" t="str">
        <f>VLOOKUP(Q464,[2]PROYECTOS!$V$1:$W$32,2,0)</f>
        <v>050068</v>
      </c>
      <c r="I464" s="50">
        <v>34395405</v>
      </c>
      <c r="J464" s="51" t="s">
        <v>1537</v>
      </c>
      <c r="K464" s="47" t="str">
        <f t="shared" ca="1" si="227"/>
        <v>CONTRATADO</v>
      </c>
      <c r="L464" s="47" t="s">
        <v>94</v>
      </c>
      <c r="M464" s="47" t="s">
        <v>1297</v>
      </c>
      <c r="N464" s="52" t="s">
        <v>209</v>
      </c>
      <c r="O464" s="51" t="e">
        <f>VLOOKUP(N464,[2]!RUBROS[#All],3,0)</f>
        <v>#REF!</v>
      </c>
      <c r="P464" s="53" t="e">
        <f>VLOOKUP(N464,[2]!RUBROS[#All],2,0)</f>
        <v>#REF!</v>
      </c>
      <c r="Q464" s="47" t="str">
        <f t="shared" si="228"/>
        <v>91</v>
      </c>
      <c r="R464" s="47" t="str">
        <f t="shared" si="229"/>
        <v>0-205400</v>
      </c>
      <c r="S464" s="54">
        <v>5</v>
      </c>
      <c r="T464" s="59" t="s">
        <v>46</v>
      </c>
      <c r="U464" s="326" t="e">
        <f ca="1">_xlfn.XLOOKUP(PAA_4[[#This Row],[ITEM]],[2]Contrato!A:A,[2]Contrato!Q:Q,"",0)</f>
        <v>#NAME?</v>
      </c>
      <c r="V464" s="47" t="s">
        <v>95</v>
      </c>
      <c r="W464" s="47" t="s">
        <v>102</v>
      </c>
      <c r="X464" s="47" t="s">
        <v>102</v>
      </c>
      <c r="Y464" s="55" t="e">
        <f ca="1">_xlfn.XLOOKUP(PAA_4[[#This Row],[ITEM]],[2]Contrato!A:A,[2]Contrato!B:B,"",0)</f>
        <v>#NAME?</v>
      </c>
      <c r="Z464" s="47" t="e">
        <f ca="1">_xlfn.XLOOKUP(PAA_4[[#This Row],[ITEM]],[2]Contrato!A:A,[2]Contrato!G:G,"",0)</f>
        <v>#NAME?</v>
      </c>
      <c r="AA464" s="47" t="e">
        <f ca="1">_xlfn.XLOOKUP(PAA_4[[#This Row],[ITEM]],[2]Contrato!A:A,[2]Contrato!T:T,"",0)</f>
        <v>#NAME?</v>
      </c>
      <c r="AB464" s="55" t="e">
        <f ca="1">+MAX(PAA_4[[#This Row],[Comprometido Contrato]],PAA_4[[#This Row],[Comprometido Bolsa]])</f>
        <v>#NAME?</v>
      </c>
      <c r="AC464" s="55" t="str">
        <f t="shared" ca="1" si="230"/>
        <v/>
      </c>
      <c r="AD464" s="55" t="e">
        <f ca="1">IF(PAA_4[[#This Row],[ESTADO (formulado)]]="NO CONTRATADO",0,MAX(PAA_4[[#This Row],[Pago por Contrato]],PAA_4[[#This Row],[Pago por bolsa]]))</f>
        <v>#NAME?</v>
      </c>
      <c r="AE464" s="55" t="str">
        <f t="shared" ca="1" si="231"/>
        <v/>
      </c>
      <c r="AF464" s="47" t="e">
        <f t="shared" ca="1" si="232"/>
        <v>#NAME?</v>
      </c>
      <c r="AG464" s="47">
        <f t="shared" si="233"/>
        <v>41080103</v>
      </c>
      <c r="AH464" s="54">
        <f>IF(Q464="22",IF(ISNUMBER(SEARCH("econ",PAA_4[[#This Row],[Actividad3]])),"Económico",IF(ISNUMBER(SEARCH("alim",PAA_4[[#This Row],[Actividad3]])),"Alimentación",IF(ISNUMBER(SEARCH("educ",PAA_4[[#This Row],[Actividad3]])),"Educativo","Técnico"))),0)</f>
        <v>0</v>
      </c>
      <c r="AI464" s="47" t="e" cm="1">
        <f t="array" aca="1" ref="AI464" ca="1">_xlfn.XLOOKUP(PAA_4[[#This Row],[RCP-RUBRO]],[2]!COMPROMISOS_2024[[#All],[concatenado]],[2]!COMPROMISOS_2024[[#All],[Total pagado]],"",0)</f>
        <v>#NAME?</v>
      </c>
      <c r="AJ464" s="56">
        <f>IF(PAA_4[[#This Row],[BOLSA]]=0,0,SUMIFS([2]!COMPROMISOS_2024[[#All],[Total pagado]],[2]!COMPROMISOS_2024[[#All],[Bolsa]],PAA_4[[#This Row],[BOLSA]],[2]!COMPROMISOS_2024[[#All],[rubro]],PAA_4[[#This Row],[RCP-RUBRO]]))</f>
        <v>0</v>
      </c>
      <c r="AK464" s="47" t="e" cm="1">
        <f t="array" aca="1" ref="AK464" ca="1">_xlfn.XLOOKUP(PAA_4[[#This Row],[RCP-RUBRO]],[2]!COMPROMISOS_2024[[#All],[concatenado]],[2]!COMPROMISOS_2024[[#All],[Total Comprometido]],"",0)</f>
        <v>#NAME?</v>
      </c>
      <c r="AL464" s="47">
        <f>IF(PAA_4[[#This Row],[BOLSA]]=0,0,SUMIFS([2]!COMPROMISOS_2024[[#All],[Total Comprometido]],[2]!COMPROMISOS_2024[[#All],[Bolsa]],PAA_4[[#This Row],[BOLSA]],[2]!COMPROMISOS_2024[[#All],[concatenado]],PAA_4[[#This Row],[RCP-RUBRO]]))</f>
        <v>0</v>
      </c>
    </row>
    <row r="465" spans="1:38" s="19" customFormat="1" ht="31.5" customHeight="1">
      <c r="A465" s="47">
        <v>628</v>
      </c>
      <c r="B465" s="47">
        <v>80111600</v>
      </c>
      <c r="C465" s="47" t="str">
        <f>VLOOKUP(PAA_4[[#This Row],[PROYECTO (formulado)2]],[2]PROYECTOS!$G$1:$L$32,6,0)</f>
        <v>OFICINA DE MEDICINA DEPORTIVA</v>
      </c>
      <c r="D465" s="47" t="str">
        <f>+IF(PAA_4[[#This Row],[UNIDAD DE CONTRATACION (formulado)]]="Subgerencia Administrativa y Financiera","FUNCIONAMIENTO","INVERSIÓN")</f>
        <v>INVERSIÓN</v>
      </c>
      <c r="E465" s="48" t="str">
        <f>VLOOKUP(Q465,[2]PROYECTOS!$G$1:$K$32,5,0)</f>
        <v>APOYO_CIENTÍFICO_AL_RENDIMIENTO_DEPORTIVO_Y_LA_ACTIVIDAD_FÍSICA_EN_EL_DEPARTAMENTO_DE_ANTIOQUIA</v>
      </c>
      <c r="F465" s="48">
        <f>VLOOKUP(E465,[2]PROYECTOS!$K$1:$M$32,3,0)</f>
        <v>2021003050070</v>
      </c>
      <c r="G465" s="49" t="s">
        <v>212</v>
      </c>
      <c r="H465" s="49" t="str">
        <f>VLOOKUP(Q465,[2]PROYECTOS!$V$1:$W$32,2,0)</f>
        <v>050068</v>
      </c>
      <c r="I465" s="50">
        <v>46734120</v>
      </c>
      <c r="J465" s="51" t="s">
        <v>1538</v>
      </c>
      <c r="K465" s="47" t="str">
        <f t="shared" ca="1" si="227"/>
        <v>CONTRATADO</v>
      </c>
      <c r="L465" s="47" t="s">
        <v>94</v>
      </c>
      <c r="M465" s="47" t="s">
        <v>1297</v>
      </c>
      <c r="N465" s="52" t="s">
        <v>209</v>
      </c>
      <c r="O465" s="51" t="e">
        <f>VLOOKUP(N465,[2]!RUBROS[#All],3,0)</f>
        <v>#REF!</v>
      </c>
      <c r="P465" s="53" t="e">
        <f>VLOOKUP(N465,[2]!RUBROS[#All],2,0)</f>
        <v>#REF!</v>
      </c>
      <c r="Q465" s="47" t="str">
        <f t="shared" si="228"/>
        <v>91</v>
      </c>
      <c r="R465" s="47" t="str">
        <f t="shared" si="229"/>
        <v>0-205400</v>
      </c>
      <c r="S465" s="54">
        <v>5</v>
      </c>
      <c r="T465" s="59" t="s">
        <v>46</v>
      </c>
      <c r="U465" s="326" t="e">
        <f ca="1">_xlfn.XLOOKUP(PAA_4[[#This Row],[ITEM]],[2]Contrato!A:A,[2]Contrato!Q:Q,"",0)</f>
        <v>#NAME?</v>
      </c>
      <c r="V465" s="47" t="s">
        <v>95</v>
      </c>
      <c r="W465" s="47" t="s">
        <v>96</v>
      </c>
      <c r="X465" s="47" t="s">
        <v>96</v>
      </c>
      <c r="Y465" s="55" t="e">
        <f ca="1">_xlfn.XLOOKUP(PAA_4[[#This Row],[ITEM]],[2]Contrato!A:A,[2]Contrato!B:B,"",0)</f>
        <v>#NAME?</v>
      </c>
      <c r="Z465" s="47" t="e">
        <f ca="1">_xlfn.XLOOKUP(PAA_4[[#This Row],[ITEM]],[2]Contrato!A:A,[2]Contrato!G:G,"",0)</f>
        <v>#NAME?</v>
      </c>
      <c r="AA465" s="47" t="e">
        <f ca="1">_xlfn.XLOOKUP(PAA_4[[#This Row],[ITEM]],[2]Contrato!A:A,[2]Contrato!T:T,"",0)</f>
        <v>#NAME?</v>
      </c>
      <c r="AB465" s="55" t="e">
        <f ca="1">+MAX(PAA_4[[#This Row],[Comprometido Contrato]],PAA_4[[#This Row],[Comprometido Bolsa]])</f>
        <v>#NAME?</v>
      </c>
      <c r="AC465" s="55" t="str">
        <f t="shared" ca="1" si="230"/>
        <v/>
      </c>
      <c r="AD465" s="55" t="e">
        <f ca="1">IF(PAA_4[[#This Row],[ESTADO (formulado)]]="NO CONTRATADO",0,MAX(PAA_4[[#This Row],[Pago por Contrato]],PAA_4[[#This Row],[Pago por bolsa]]))</f>
        <v>#NAME?</v>
      </c>
      <c r="AE465" s="55" t="str">
        <f t="shared" ca="1" si="231"/>
        <v/>
      </c>
      <c r="AF465" s="47" t="e">
        <f t="shared" ca="1" si="232"/>
        <v>#NAME?</v>
      </c>
      <c r="AG465" s="47">
        <f t="shared" si="233"/>
        <v>41080108</v>
      </c>
      <c r="AH465" s="54">
        <f>IF(Q465="22",IF(ISNUMBER(SEARCH("econ",PAA_4[[#This Row],[Actividad3]])),"Económico",IF(ISNUMBER(SEARCH("alim",PAA_4[[#This Row],[Actividad3]])),"Alimentación",IF(ISNUMBER(SEARCH("educ",PAA_4[[#This Row],[Actividad3]])),"Educativo","Técnico"))),0)</f>
        <v>0</v>
      </c>
      <c r="AI465" s="47" t="e" cm="1">
        <f t="array" aca="1" ref="AI465" ca="1">_xlfn.XLOOKUP(PAA_4[[#This Row],[RCP-RUBRO]],[2]!COMPROMISOS_2024[[#All],[concatenado]],[2]!COMPROMISOS_2024[[#All],[Total pagado]],"",0)</f>
        <v>#NAME?</v>
      </c>
      <c r="AJ465" s="56">
        <f>IF(PAA_4[[#This Row],[BOLSA]]=0,0,SUMIFS([2]!COMPROMISOS_2024[[#All],[Total pagado]],[2]!COMPROMISOS_2024[[#All],[Bolsa]],PAA_4[[#This Row],[BOLSA]],[2]!COMPROMISOS_2024[[#All],[rubro]],PAA_4[[#This Row],[RCP-RUBRO]]))</f>
        <v>0</v>
      </c>
      <c r="AK465" s="47" t="e" cm="1">
        <f t="array" aca="1" ref="AK465" ca="1">_xlfn.XLOOKUP(PAA_4[[#This Row],[RCP-RUBRO]],[2]!COMPROMISOS_2024[[#All],[concatenado]],[2]!COMPROMISOS_2024[[#All],[Total Comprometido]],"",0)</f>
        <v>#NAME?</v>
      </c>
      <c r="AL465" s="47">
        <f>IF(PAA_4[[#This Row],[BOLSA]]=0,0,SUMIFS([2]!COMPROMISOS_2024[[#All],[Total Comprometido]],[2]!COMPROMISOS_2024[[#All],[Bolsa]],PAA_4[[#This Row],[BOLSA]],[2]!COMPROMISOS_2024[[#All],[concatenado]],PAA_4[[#This Row],[RCP-RUBRO]]))</f>
        <v>0</v>
      </c>
    </row>
    <row r="466" spans="1:38" s="19" customFormat="1" ht="31.5" customHeight="1">
      <c r="A466" s="47" t="s">
        <v>82</v>
      </c>
      <c r="B466" s="47" t="s">
        <v>42</v>
      </c>
      <c r="C466" s="47" t="str">
        <f>VLOOKUP(PAA_4[[#This Row],[PROYECTO (formulado)2]],[2]PROYECTOS!$G$1:$L$32,6,0)</f>
        <v>OFICINA DE MEDICINA DEPORTIVA</v>
      </c>
      <c r="D466" s="47" t="str">
        <f>+IF(PAA_4[[#This Row],[UNIDAD DE CONTRATACION (formulado)]]="Subgerencia Administrativa y Financiera","FUNCIONAMIENTO","INVERSIÓN")</f>
        <v>INVERSIÓN</v>
      </c>
      <c r="E466" s="48" t="str">
        <f>VLOOKUP(Q466,[2]PROYECTOS!$G$1:$K$32,5,0)</f>
        <v>APOYO_CIENTÍFICO_AL_RENDIMIENTO_DEPORTIVO_Y_LA_ACTIVIDAD_FÍSICA_EN_EL_DEPARTAMENTO_DE_ANTIOQUIA</v>
      </c>
      <c r="F466" s="48">
        <f>VLOOKUP(E466,[2]PROYECTOS!$K$1:$M$32,3,0)</f>
        <v>2021003050070</v>
      </c>
      <c r="G466" s="49" t="s">
        <v>207</v>
      </c>
      <c r="H466" s="49" t="str">
        <f>VLOOKUP(Q466,[2]PROYECTOS!$V$1:$W$32,2,0)</f>
        <v>050068</v>
      </c>
      <c r="I466" s="50">
        <v>0</v>
      </c>
      <c r="J466" s="51" t="s">
        <v>42</v>
      </c>
      <c r="K466" s="47" t="str">
        <f t="shared" ca="1" si="227"/>
        <v>CONTRATADO</v>
      </c>
      <c r="L466" s="47" t="s">
        <v>42</v>
      </c>
      <c r="M466" s="47" t="s">
        <v>42</v>
      </c>
      <c r="N466" s="52" t="s">
        <v>209</v>
      </c>
      <c r="O466" s="51" t="e">
        <f>VLOOKUP(N466,[2]!RUBROS[#All],3,0)</f>
        <v>#REF!</v>
      </c>
      <c r="P466" s="53" t="e">
        <f>VLOOKUP(N466,[2]!RUBROS[#All],2,0)</f>
        <v>#REF!</v>
      </c>
      <c r="Q466" s="47" t="str">
        <f t="shared" si="228"/>
        <v>91</v>
      </c>
      <c r="R466" s="47" t="str">
        <f t="shared" si="229"/>
        <v>0-205400</v>
      </c>
      <c r="S466" s="54" t="s">
        <v>42</v>
      </c>
      <c r="T466" s="59" t="s">
        <v>42</v>
      </c>
      <c r="U466" s="326" t="e">
        <f ca="1">_xlfn.XLOOKUP(PAA_4[[#This Row],[ITEM]],[2]Contrato!A:A,[2]Contrato!Q:Q,"",0)</f>
        <v>#NAME?</v>
      </c>
      <c r="V466" s="54" t="s">
        <v>42</v>
      </c>
      <c r="W466" s="54" t="s">
        <v>42</v>
      </c>
      <c r="X466" s="54" t="s">
        <v>42</v>
      </c>
      <c r="Y466" s="55" t="e">
        <f ca="1">_xlfn.XLOOKUP(PAA_4[[#This Row],[ITEM]],[2]Contrato!A:A,[2]Contrato!B:B,"",0)</f>
        <v>#NAME?</v>
      </c>
      <c r="Z466" s="47" t="e">
        <f ca="1">_xlfn.XLOOKUP(PAA_4[[#This Row],[ITEM]],[2]Contrato!A:A,[2]Contrato!G:G,"",0)</f>
        <v>#NAME?</v>
      </c>
      <c r="AA466" s="47" t="e">
        <f ca="1">_xlfn.XLOOKUP(PAA_4[[#This Row],[ITEM]],[2]Contrato!A:A,[2]Contrato!T:T,"",0)</f>
        <v>#NAME?</v>
      </c>
      <c r="AB466" s="55" t="e">
        <f ca="1">+MAX(PAA_4[[#This Row],[Comprometido Contrato]],PAA_4[[#This Row],[Comprometido Bolsa]])</f>
        <v>#NAME?</v>
      </c>
      <c r="AC466" s="55" t="str">
        <f t="shared" ca="1" si="230"/>
        <v/>
      </c>
      <c r="AD466" s="55" t="e">
        <f ca="1">IF(PAA_4[[#This Row],[ESTADO (formulado)]]="NO CONTRATADO",0,MAX(PAA_4[[#This Row],[Pago por Contrato]],PAA_4[[#This Row],[Pago por bolsa]]))</f>
        <v>#NAME?</v>
      </c>
      <c r="AE466" s="55" t="str">
        <f t="shared" ca="1" si="231"/>
        <v/>
      </c>
      <c r="AF466" s="47" t="e">
        <f t="shared" ca="1" si="232"/>
        <v>#NAME?</v>
      </c>
      <c r="AG466" s="47">
        <f t="shared" si="233"/>
        <v>41080103</v>
      </c>
      <c r="AH466" s="54">
        <f>IF(Q466="22",IF(ISNUMBER(SEARCH("econ",PAA_4[[#This Row],[Actividad3]])),"Económico",IF(ISNUMBER(SEARCH("alim",PAA_4[[#This Row],[Actividad3]])),"Alimentación",IF(ISNUMBER(SEARCH("educ",PAA_4[[#This Row],[Actividad3]])),"Educativo","Técnico"))),0)</f>
        <v>0</v>
      </c>
      <c r="AI466" s="47" t="e" cm="1">
        <f t="array" aca="1" ref="AI466" ca="1">_xlfn.XLOOKUP(PAA_4[[#This Row],[RCP-RUBRO]],[2]!COMPROMISOS_2024[[#All],[concatenado]],[2]!COMPROMISOS_2024[[#All],[Total pagado]],"",0)</f>
        <v>#NAME?</v>
      </c>
      <c r="AJ466" s="56">
        <f>IF(PAA_4[[#This Row],[BOLSA]]=0,0,SUMIFS([2]!COMPROMISOS_2024[[#All],[Total pagado]],[2]!COMPROMISOS_2024[[#All],[Bolsa]],PAA_4[[#This Row],[BOLSA]],[2]!COMPROMISOS_2024[[#All],[rubro]],PAA_4[[#This Row],[RCP-RUBRO]]))</f>
        <v>0</v>
      </c>
      <c r="AK466" s="47" t="e" cm="1">
        <f t="array" aca="1" ref="AK466" ca="1">_xlfn.XLOOKUP(PAA_4[[#This Row],[RCP-RUBRO]],[2]!COMPROMISOS_2024[[#All],[concatenado]],[2]!COMPROMISOS_2024[[#All],[Total Comprometido]],"",0)</f>
        <v>#NAME?</v>
      </c>
      <c r="AL466" s="47">
        <f>IF(PAA_4[[#This Row],[BOLSA]]=0,0,SUMIFS([2]!COMPROMISOS_2024[[#All],[Total Comprometido]],[2]!COMPROMISOS_2024[[#All],[Bolsa]],PAA_4[[#This Row],[BOLSA]],[2]!COMPROMISOS_2024[[#All],[concatenado]],PAA_4[[#This Row],[RCP-RUBRO]]))</f>
        <v>0</v>
      </c>
    </row>
    <row r="467" spans="1:38" s="19" customFormat="1" ht="31.5" customHeight="1">
      <c r="A467" s="47">
        <v>635</v>
      </c>
      <c r="B467" s="47">
        <v>80111600</v>
      </c>
      <c r="C467" s="47" t="str">
        <f>VLOOKUP(PAA_4[[#This Row],[PROYECTO (formulado)2]],[2]PROYECTOS!$G$1:$L$32,6,0)</f>
        <v>OFICINA DE MEDICINA DEPORTIVA</v>
      </c>
      <c r="D467" s="47" t="str">
        <f>+IF(PAA_4[[#This Row],[UNIDAD DE CONTRATACION (formulado)]]="Subgerencia Administrativa y Financiera","FUNCIONAMIENTO","INVERSIÓN")</f>
        <v>INVERSIÓN</v>
      </c>
      <c r="E467" s="48" t="str">
        <f>VLOOKUP(Q467,[2]PROYECTOS!$G$1:$K$32,5,0)</f>
        <v>APOYO_CIENTÍFICO_AL_RENDIMIENTO_DEPORTIVO_Y_LA_ACTIVIDAD_FÍSICA_EN_EL_DEPARTAMENTO_DE_ANTIOQUIA</v>
      </c>
      <c r="F467" s="48">
        <f>VLOOKUP(E467,[2]PROYECTOS!$K$1:$M$32,3,0)</f>
        <v>2021003050070</v>
      </c>
      <c r="G467" s="49" t="s">
        <v>207</v>
      </c>
      <c r="H467" s="49" t="str">
        <f>VLOOKUP(Q467,[2]PROYECTOS!$V$1:$W$32,2,0)</f>
        <v>050068</v>
      </c>
      <c r="I467" s="50">
        <f>10318622-1</f>
        <v>10318621</v>
      </c>
      <c r="J467" s="51" t="s">
        <v>1539</v>
      </c>
      <c r="K467" s="47" t="str">
        <f t="shared" ca="1" si="227"/>
        <v>CONTRATADO</v>
      </c>
      <c r="L467" s="47" t="s">
        <v>94</v>
      </c>
      <c r="M467" s="47" t="s">
        <v>1297</v>
      </c>
      <c r="N467" s="52" t="s">
        <v>209</v>
      </c>
      <c r="O467" s="51" t="e">
        <f>VLOOKUP(N467,[2]!RUBROS[#All],3,0)</f>
        <v>#REF!</v>
      </c>
      <c r="P467" s="53" t="e">
        <f>VLOOKUP(N467,[2]!RUBROS[#All],2,0)</f>
        <v>#REF!</v>
      </c>
      <c r="Q467" s="47" t="str">
        <f t="shared" si="228"/>
        <v>91</v>
      </c>
      <c r="R467" s="47" t="str">
        <f t="shared" si="229"/>
        <v>0-205400</v>
      </c>
      <c r="S467" s="54">
        <v>1.5</v>
      </c>
      <c r="T467" s="59" t="s">
        <v>46</v>
      </c>
      <c r="U467" s="326" t="e">
        <f ca="1">_xlfn.XLOOKUP(PAA_4[[#This Row],[ITEM]],[2]Contrato!A:A,[2]Contrato!Q:Q,"",0)</f>
        <v>#NAME?</v>
      </c>
      <c r="V467" s="47" t="s">
        <v>95</v>
      </c>
      <c r="W467" s="47" t="s">
        <v>102</v>
      </c>
      <c r="X467" s="47" t="s">
        <v>102</v>
      </c>
      <c r="Y467" s="55" t="e">
        <f ca="1">_xlfn.XLOOKUP(PAA_4[[#This Row],[ITEM]],[2]Contrato!A:A,[2]Contrato!B:B,"",0)</f>
        <v>#NAME?</v>
      </c>
      <c r="Z467" s="47" t="e">
        <f ca="1">_xlfn.XLOOKUP(PAA_4[[#This Row],[ITEM]],[2]Contrato!A:A,[2]Contrato!G:G,"",0)</f>
        <v>#NAME?</v>
      </c>
      <c r="AA467" s="47" t="e">
        <f ca="1">_xlfn.XLOOKUP(PAA_4[[#This Row],[ITEM]],[2]Contrato!A:A,[2]Contrato!T:T,"",0)</f>
        <v>#NAME?</v>
      </c>
      <c r="AB467" s="55" t="e">
        <f ca="1">+MAX(PAA_4[[#This Row],[Comprometido Contrato]],PAA_4[[#This Row],[Comprometido Bolsa]])</f>
        <v>#NAME?</v>
      </c>
      <c r="AC467" s="55" t="str">
        <f t="shared" ca="1" si="230"/>
        <v/>
      </c>
      <c r="AD467" s="55" t="e">
        <f ca="1">IF(PAA_4[[#This Row],[ESTADO (formulado)]]="NO CONTRATADO",0,MAX(PAA_4[[#This Row],[Pago por Contrato]],PAA_4[[#This Row],[Pago por bolsa]]))</f>
        <v>#NAME?</v>
      </c>
      <c r="AE467" s="55" t="str">
        <f t="shared" ca="1" si="231"/>
        <v/>
      </c>
      <c r="AF467" s="47" t="e">
        <f t="shared" ca="1" si="232"/>
        <v>#NAME?</v>
      </c>
      <c r="AG467" s="47">
        <f t="shared" si="233"/>
        <v>41080103</v>
      </c>
      <c r="AH467" s="54">
        <f>IF(Q467="22",IF(ISNUMBER(SEARCH("econ",PAA_4[[#This Row],[Actividad3]])),"Económico",IF(ISNUMBER(SEARCH("alim",PAA_4[[#This Row],[Actividad3]])),"Alimentación",IF(ISNUMBER(SEARCH("educ",PAA_4[[#This Row],[Actividad3]])),"Educativo","Técnico"))),0)</f>
        <v>0</v>
      </c>
      <c r="AI467" s="47" t="e" cm="1">
        <f t="array" aca="1" ref="AI467" ca="1">_xlfn.XLOOKUP(PAA_4[[#This Row],[RCP-RUBRO]],[2]!COMPROMISOS_2024[[#All],[concatenado]],[2]!COMPROMISOS_2024[[#All],[Total pagado]],"",0)</f>
        <v>#NAME?</v>
      </c>
      <c r="AJ467" s="56">
        <f>IF(PAA_4[[#This Row],[BOLSA]]=0,0,SUMIFS([2]!COMPROMISOS_2024[[#All],[Total pagado]],[2]!COMPROMISOS_2024[[#All],[Bolsa]],PAA_4[[#This Row],[BOLSA]],[2]!COMPROMISOS_2024[[#All],[rubro]],PAA_4[[#This Row],[RCP-RUBRO]]))</f>
        <v>0</v>
      </c>
      <c r="AK467" s="47" t="e" cm="1">
        <f t="array" aca="1" ref="AK467" ca="1">_xlfn.XLOOKUP(PAA_4[[#This Row],[RCP-RUBRO]],[2]!COMPROMISOS_2024[[#All],[concatenado]],[2]!COMPROMISOS_2024[[#All],[Total Comprometido]],"",0)</f>
        <v>#NAME?</v>
      </c>
      <c r="AL467" s="47">
        <f>IF(PAA_4[[#This Row],[BOLSA]]=0,0,SUMIFS([2]!COMPROMISOS_2024[[#All],[Total Comprometido]],[2]!COMPROMISOS_2024[[#All],[Bolsa]],PAA_4[[#This Row],[BOLSA]],[2]!COMPROMISOS_2024[[#All],[concatenado]],PAA_4[[#This Row],[RCP-RUBRO]]))</f>
        <v>0</v>
      </c>
    </row>
    <row r="468" spans="1:38" s="19" customFormat="1" ht="31.5" customHeight="1">
      <c r="A468" s="47">
        <v>636</v>
      </c>
      <c r="B468" s="47">
        <v>80111600</v>
      </c>
      <c r="C468" s="47" t="str">
        <f>VLOOKUP(PAA_4[[#This Row],[PROYECTO (formulado)2]],[2]PROYECTOS!$G$1:$L$32,6,0)</f>
        <v>OFICINA DE MEDICINA DEPORTIVA</v>
      </c>
      <c r="D468" s="47" t="str">
        <f>+IF(PAA_4[[#This Row],[UNIDAD DE CONTRATACION (formulado)]]="Subgerencia Administrativa y Financiera","FUNCIONAMIENTO","INVERSIÓN")</f>
        <v>INVERSIÓN</v>
      </c>
      <c r="E468" s="48" t="str">
        <f>VLOOKUP(Q468,[2]PROYECTOS!$G$1:$K$32,5,0)</f>
        <v>APOYO_CIENTÍFICO_AL_RENDIMIENTO_DEPORTIVO_Y_LA_ACTIVIDAD_FÍSICA_EN_EL_DEPARTAMENTO_DE_ANTIOQUIA</v>
      </c>
      <c r="F468" s="48">
        <f>VLOOKUP(E468,[2]PROYECTOS!$K$1:$M$32,3,0)</f>
        <v>2021003050070</v>
      </c>
      <c r="G468" s="49" t="s">
        <v>207</v>
      </c>
      <c r="H468" s="49" t="str">
        <f>VLOOKUP(Q468,[2]PROYECTOS!$V$1:$W$32,2,0)</f>
        <v>050068</v>
      </c>
      <c r="I468" s="50">
        <f>10318622-1</f>
        <v>10318621</v>
      </c>
      <c r="J468" s="51" t="s">
        <v>1540</v>
      </c>
      <c r="K468" s="47" t="str">
        <f t="shared" ca="1" si="227"/>
        <v>CONTRATADO</v>
      </c>
      <c r="L468" s="47" t="s">
        <v>94</v>
      </c>
      <c r="M468" s="47" t="s">
        <v>1297</v>
      </c>
      <c r="N468" s="52" t="s">
        <v>209</v>
      </c>
      <c r="O468" s="51" t="e">
        <f>VLOOKUP(N468,[2]!RUBROS[#All],3,0)</f>
        <v>#REF!</v>
      </c>
      <c r="P468" s="53" t="e">
        <f>VLOOKUP(N468,[2]!RUBROS[#All],2,0)</f>
        <v>#REF!</v>
      </c>
      <c r="Q468" s="47" t="str">
        <f t="shared" si="228"/>
        <v>91</v>
      </c>
      <c r="R468" s="47" t="str">
        <f t="shared" si="229"/>
        <v>0-205400</v>
      </c>
      <c r="S468" s="54">
        <v>1.5</v>
      </c>
      <c r="T468" s="59" t="s">
        <v>46</v>
      </c>
      <c r="U468" s="326" t="e">
        <f ca="1">_xlfn.XLOOKUP(PAA_4[[#This Row],[ITEM]],[2]Contrato!A:A,[2]Contrato!Q:Q,"",0)</f>
        <v>#NAME?</v>
      </c>
      <c r="V468" s="47" t="s">
        <v>95</v>
      </c>
      <c r="W468" s="47" t="s">
        <v>102</v>
      </c>
      <c r="X468" s="47" t="s">
        <v>102</v>
      </c>
      <c r="Y468" s="55" t="e">
        <f ca="1">_xlfn.XLOOKUP(PAA_4[[#This Row],[ITEM]],[2]Contrato!A:A,[2]Contrato!B:B,"",0)</f>
        <v>#NAME?</v>
      </c>
      <c r="Z468" s="47" t="e">
        <f ca="1">_xlfn.XLOOKUP(PAA_4[[#This Row],[ITEM]],[2]Contrato!A:A,[2]Contrato!G:G,"",0)</f>
        <v>#NAME?</v>
      </c>
      <c r="AA468" s="47" t="e">
        <f ca="1">_xlfn.XLOOKUP(PAA_4[[#This Row],[ITEM]],[2]Contrato!A:A,[2]Contrato!T:T,"",0)</f>
        <v>#NAME?</v>
      </c>
      <c r="AB468" s="55" t="e">
        <f ca="1">+MAX(PAA_4[[#This Row],[Comprometido Contrato]],PAA_4[[#This Row],[Comprometido Bolsa]])</f>
        <v>#NAME?</v>
      </c>
      <c r="AC468" s="55" t="str">
        <f t="shared" ca="1" si="230"/>
        <v/>
      </c>
      <c r="AD468" s="55" t="e">
        <f ca="1">IF(PAA_4[[#This Row],[ESTADO (formulado)]]="NO CONTRATADO",0,MAX(PAA_4[[#This Row],[Pago por Contrato]],PAA_4[[#This Row],[Pago por bolsa]]))</f>
        <v>#NAME?</v>
      </c>
      <c r="AE468" s="55" t="str">
        <f t="shared" ca="1" si="231"/>
        <v/>
      </c>
      <c r="AF468" s="47" t="e">
        <f t="shared" ca="1" si="232"/>
        <v>#NAME?</v>
      </c>
      <c r="AG468" s="47">
        <f t="shared" si="233"/>
        <v>41080103</v>
      </c>
      <c r="AH468" s="54">
        <f>IF(Q468="22",IF(ISNUMBER(SEARCH("econ",PAA_4[[#This Row],[Actividad3]])),"Económico",IF(ISNUMBER(SEARCH("alim",PAA_4[[#This Row],[Actividad3]])),"Alimentación",IF(ISNUMBER(SEARCH("educ",PAA_4[[#This Row],[Actividad3]])),"Educativo","Técnico"))),0)</f>
        <v>0</v>
      </c>
      <c r="AI468" s="47" t="e" cm="1">
        <f t="array" aca="1" ref="AI468" ca="1">_xlfn.XLOOKUP(PAA_4[[#This Row],[RCP-RUBRO]],[2]!COMPROMISOS_2024[[#All],[concatenado]],[2]!COMPROMISOS_2024[[#All],[Total pagado]],"",0)</f>
        <v>#NAME?</v>
      </c>
      <c r="AJ468" s="56">
        <f>IF(PAA_4[[#This Row],[BOLSA]]=0,0,SUMIFS([2]!COMPROMISOS_2024[[#All],[Total pagado]],[2]!COMPROMISOS_2024[[#All],[Bolsa]],PAA_4[[#This Row],[BOLSA]],[2]!COMPROMISOS_2024[[#All],[rubro]],PAA_4[[#This Row],[RCP-RUBRO]]))</f>
        <v>0</v>
      </c>
      <c r="AK468" s="47" t="e" cm="1">
        <f t="array" aca="1" ref="AK468" ca="1">_xlfn.XLOOKUP(PAA_4[[#This Row],[RCP-RUBRO]],[2]!COMPROMISOS_2024[[#All],[concatenado]],[2]!COMPROMISOS_2024[[#All],[Total Comprometido]],"",0)</f>
        <v>#NAME?</v>
      </c>
      <c r="AL468" s="47">
        <f>IF(PAA_4[[#This Row],[BOLSA]]=0,0,SUMIFS([2]!COMPROMISOS_2024[[#All],[Total Comprometido]],[2]!COMPROMISOS_2024[[#All],[Bolsa]],PAA_4[[#This Row],[BOLSA]],[2]!COMPROMISOS_2024[[#All],[concatenado]],PAA_4[[#This Row],[RCP-RUBRO]]))</f>
        <v>0</v>
      </c>
    </row>
    <row r="469" spans="1:38" s="19" customFormat="1" ht="31.5" customHeight="1">
      <c r="A469" s="47">
        <v>637</v>
      </c>
      <c r="B469" s="47">
        <v>80111600</v>
      </c>
      <c r="C469" s="47" t="str">
        <f>VLOOKUP(PAA_4[[#This Row],[PROYECTO (formulado)2]],[2]PROYECTOS!$G$1:$L$32,6,0)</f>
        <v>OFICINA DE MEDICINA DEPORTIVA</v>
      </c>
      <c r="D469" s="47" t="str">
        <f>+IF(PAA_4[[#This Row],[UNIDAD DE CONTRATACION (formulado)]]="Subgerencia Administrativa y Financiera","FUNCIONAMIENTO","INVERSIÓN")</f>
        <v>INVERSIÓN</v>
      </c>
      <c r="E469" s="48" t="str">
        <f>VLOOKUP(Q469,[2]PROYECTOS!$G$1:$K$32,5,0)</f>
        <v>APOYO_CIENTÍFICO_AL_RENDIMIENTO_DEPORTIVO_Y_LA_ACTIVIDAD_FÍSICA_EN_EL_DEPARTAMENTO_DE_ANTIOQUIA</v>
      </c>
      <c r="F469" s="48">
        <f>VLOOKUP(E469,[2]PROYECTOS!$K$1:$M$32,3,0)</f>
        <v>2021003050070</v>
      </c>
      <c r="G469" s="49" t="s">
        <v>207</v>
      </c>
      <c r="H469" s="49" t="str">
        <f>VLOOKUP(Q469,[2]PROYECTOS!$V$1:$W$32,2,0)</f>
        <v>050068</v>
      </c>
      <c r="I469" s="50">
        <f>11535704-1</f>
        <v>11535703</v>
      </c>
      <c r="J469" s="51" t="s">
        <v>1541</v>
      </c>
      <c r="K469" s="47" t="str">
        <f t="shared" ca="1" si="227"/>
        <v>CONTRATADO</v>
      </c>
      <c r="L469" s="47" t="s">
        <v>94</v>
      </c>
      <c r="M469" s="47" t="s">
        <v>1297</v>
      </c>
      <c r="N469" s="52" t="s">
        <v>209</v>
      </c>
      <c r="O469" s="51" t="e">
        <f>VLOOKUP(N469,[2]!RUBROS[#All],3,0)</f>
        <v>#REF!</v>
      </c>
      <c r="P469" s="53" t="e">
        <f>VLOOKUP(N469,[2]!RUBROS[#All],2,0)</f>
        <v>#REF!</v>
      </c>
      <c r="Q469" s="47" t="str">
        <f t="shared" si="228"/>
        <v>91</v>
      </c>
      <c r="R469" s="47" t="str">
        <f t="shared" si="229"/>
        <v>0-205400</v>
      </c>
      <c r="S469" s="54">
        <v>1.5</v>
      </c>
      <c r="T469" s="59" t="s">
        <v>46</v>
      </c>
      <c r="U469" s="326" t="e">
        <f ca="1">_xlfn.XLOOKUP(PAA_4[[#This Row],[ITEM]],[2]Contrato!A:A,[2]Contrato!Q:Q,"",0)</f>
        <v>#NAME?</v>
      </c>
      <c r="V469" s="47" t="s">
        <v>95</v>
      </c>
      <c r="W469" s="47" t="s">
        <v>102</v>
      </c>
      <c r="X469" s="47" t="s">
        <v>102</v>
      </c>
      <c r="Y469" s="55" t="e">
        <f ca="1">_xlfn.XLOOKUP(PAA_4[[#This Row],[ITEM]],[2]Contrato!A:A,[2]Contrato!B:B,"",0)</f>
        <v>#NAME?</v>
      </c>
      <c r="Z469" s="47" t="e">
        <f ca="1">_xlfn.XLOOKUP(PAA_4[[#This Row],[ITEM]],[2]Contrato!A:A,[2]Contrato!G:G,"",0)</f>
        <v>#NAME?</v>
      </c>
      <c r="AA469" s="47" t="e">
        <f ca="1">_xlfn.XLOOKUP(PAA_4[[#This Row],[ITEM]],[2]Contrato!A:A,[2]Contrato!T:T,"",0)</f>
        <v>#NAME?</v>
      </c>
      <c r="AB469" s="55" t="e">
        <f ca="1">+MAX(PAA_4[[#This Row],[Comprometido Contrato]],PAA_4[[#This Row],[Comprometido Bolsa]])</f>
        <v>#NAME?</v>
      </c>
      <c r="AC469" s="55" t="str">
        <f t="shared" ca="1" si="230"/>
        <v/>
      </c>
      <c r="AD469" s="55" t="e">
        <f ca="1">IF(PAA_4[[#This Row],[ESTADO (formulado)]]="NO CONTRATADO",0,MAX(PAA_4[[#This Row],[Pago por Contrato]],PAA_4[[#This Row],[Pago por bolsa]]))</f>
        <v>#NAME?</v>
      </c>
      <c r="AE469" s="55" t="str">
        <f t="shared" ca="1" si="231"/>
        <v/>
      </c>
      <c r="AF469" s="47" t="e">
        <f t="shared" ca="1" si="232"/>
        <v>#NAME?</v>
      </c>
      <c r="AG469" s="47">
        <f t="shared" si="233"/>
        <v>41080103</v>
      </c>
      <c r="AH469" s="54">
        <f>IF(Q469="22",IF(ISNUMBER(SEARCH("econ",PAA_4[[#This Row],[Actividad3]])),"Económico",IF(ISNUMBER(SEARCH("alim",PAA_4[[#This Row],[Actividad3]])),"Alimentación",IF(ISNUMBER(SEARCH("educ",PAA_4[[#This Row],[Actividad3]])),"Educativo","Técnico"))),0)</f>
        <v>0</v>
      </c>
      <c r="AI469" s="47" t="e" cm="1">
        <f t="array" aca="1" ref="AI469" ca="1">_xlfn.XLOOKUP(PAA_4[[#This Row],[RCP-RUBRO]],[2]!COMPROMISOS_2024[[#All],[concatenado]],[2]!COMPROMISOS_2024[[#All],[Total pagado]],"",0)</f>
        <v>#NAME?</v>
      </c>
      <c r="AJ469" s="56">
        <f>IF(PAA_4[[#This Row],[BOLSA]]=0,0,SUMIFS([2]!COMPROMISOS_2024[[#All],[Total pagado]],[2]!COMPROMISOS_2024[[#All],[Bolsa]],PAA_4[[#This Row],[BOLSA]],[2]!COMPROMISOS_2024[[#All],[rubro]],PAA_4[[#This Row],[RCP-RUBRO]]))</f>
        <v>0</v>
      </c>
      <c r="AK469" s="47" t="e" cm="1">
        <f t="array" aca="1" ref="AK469" ca="1">_xlfn.XLOOKUP(PAA_4[[#This Row],[RCP-RUBRO]],[2]!COMPROMISOS_2024[[#All],[concatenado]],[2]!COMPROMISOS_2024[[#All],[Total Comprometido]],"",0)</f>
        <v>#NAME?</v>
      </c>
      <c r="AL469" s="47">
        <f>IF(PAA_4[[#This Row],[BOLSA]]=0,0,SUMIFS([2]!COMPROMISOS_2024[[#All],[Total Comprometido]],[2]!COMPROMISOS_2024[[#All],[Bolsa]],PAA_4[[#This Row],[BOLSA]],[2]!COMPROMISOS_2024[[#All],[concatenado]],PAA_4[[#This Row],[RCP-RUBRO]]))</f>
        <v>0</v>
      </c>
    </row>
    <row r="470" spans="1:38" s="19" customFormat="1" ht="31.5" customHeight="1">
      <c r="A470" s="47">
        <v>638</v>
      </c>
      <c r="B470" s="47">
        <v>80111600</v>
      </c>
      <c r="C470" s="47" t="str">
        <f>VLOOKUP(PAA_4[[#This Row],[PROYECTO (formulado)2]],[2]PROYECTOS!$G$1:$L$32,6,0)</f>
        <v>OFICINA DE MEDICINA DEPORTIVA</v>
      </c>
      <c r="D470" s="47" t="str">
        <f>+IF(PAA_4[[#This Row],[UNIDAD DE CONTRATACION (formulado)]]="Subgerencia Administrativa y Financiera","FUNCIONAMIENTO","INVERSIÓN")</f>
        <v>INVERSIÓN</v>
      </c>
      <c r="E470" s="48" t="str">
        <f>VLOOKUP(Q470,[2]PROYECTOS!$G$1:$K$32,5,0)</f>
        <v>APOYO_CIENTÍFICO_AL_RENDIMIENTO_DEPORTIVO_Y_LA_ACTIVIDAD_FÍSICA_EN_EL_DEPARTAMENTO_DE_ANTIOQUIA</v>
      </c>
      <c r="F470" s="48">
        <f>VLOOKUP(E470,[2]PROYECTOS!$K$1:$M$32,3,0)</f>
        <v>2021003050070</v>
      </c>
      <c r="G470" s="49" t="s">
        <v>212</v>
      </c>
      <c r="H470" s="49" t="str">
        <f>VLOOKUP(Q470,[2]PROYECTOS!$V$1:$W$32,2,0)</f>
        <v>050068</v>
      </c>
      <c r="I470" s="50">
        <v>6287202</v>
      </c>
      <c r="J470" s="51" t="s">
        <v>1542</v>
      </c>
      <c r="K470" s="47" t="str">
        <f t="shared" ca="1" si="227"/>
        <v>CONTRATADO</v>
      </c>
      <c r="L470" s="47" t="s">
        <v>94</v>
      </c>
      <c r="M470" s="47" t="s">
        <v>1297</v>
      </c>
      <c r="N470" s="52" t="s">
        <v>209</v>
      </c>
      <c r="O470" s="51" t="e">
        <f>VLOOKUP(N470,[2]!RUBROS[#All],3,0)</f>
        <v>#REF!</v>
      </c>
      <c r="P470" s="53" t="e">
        <f>VLOOKUP(N470,[2]!RUBROS[#All],2,0)</f>
        <v>#REF!</v>
      </c>
      <c r="Q470" s="47" t="str">
        <f t="shared" si="228"/>
        <v>91</v>
      </c>
      <c r="R470" s="47" t="str">
        <f t="shared" si="229"/>
        <v>0-205400</v>
      </c>
      <c r="S470" s="54">
        <v>1.5</v>
      </c>
      <c r="T470" s="59" t="s">
        <v>46</v>
      </c>
      <c r="U470" s="326" t="e">
        <f ca="1">_xlfn.XLOOKUP(PAA_4[[#This Row],[ITEM]],[2]Contrato!A:A,[2]Contrato!Q:Q,"",0)</f>
        <v>#NAME?</v>
      </c>
      <c r="V470" s="47" t="s">
        <v>95</v>
      </c>
      <c r="W470" s="47" t="s">
        <v>102</v>
      </c>
      <c r="X470" s="47" t="s">
        <v>102</v>
      </c>
      <c r="Y470" s="55" t="e">
        <f ca="1">_xlfn.XLOOKUP(PAA_4[[#This Row],[ITEM]],[2]Contrato!A:A,[2]Contrato!B:B,"",0)</f>
        <v>#NAME?</v>
      </c>
      <c r="Z470" s="47" t="e">
        <f ca="1">_xlfn.XLOOKUP(PAA_4[[#This Row],[ITEM]],[2]Contrato!A:A,[2]Contrato!G:G,"",0)</f>
        <v>#NAME?</v>
      </c>
      <c r="AA470" s="47" t="e">
        <f ca="1">_xlfn.XLOOKUP(PAA_4[[#This Row],[ITEM]],[2]Contrato!A:A,[2]Contrato!T:T,"",0)</f>
        <v>#NAME?</v>
      </c>
      <c r="AB470" s="55" t="e">
        <f ca="1">+MAX(PAA_4[[#This Row],[Comprometido Contrato]],PAA_4[[#This Row],[Comprometido Bolsa]])</f>
        <v>#NAME?</v>
      </c>
      <c r="AC470" s="55" t="str">
        <f t="shared" ca="1" si="230"/>
        <v/>
      </c>
      <c r="AD470" s="55" t="e">
        <f ca="1">IF(PAA_4[[#This Row],[ESTADO (formulado)]]="NO CONTRATADO",0,MAX(PAA_4[[#This Row],[Pago por Contrato]],PAA_4[[#This Row],[Pago por bolsa]]))</f>
        <v>#NAME?</v>
      </c>
      <c r="AE470" s="55" t="str">
        <f t="shared" ca="1" si="231"/>
        <v/>
      </c>
      <c r="AF470" s="47" t="e">
        <f t="shared" ca="1" si="232"/>
        <v>#NAME?</v>
      </c>
      <c r="AG470" s="47">
        <f t="shared" si="233"/>
        <v>41080108</v>
      </c>
      <c r="AH470" s="54">
        <f>IF(Q470="22",IF(ISNUMBER(SEARCH("econ",PAA_4[[#This Row],[Actividad3]])),"Económico",IF(ISNUMBER(SEARCH("alim",PAA_4[[#This Row],[Actividad3]])),"Alimentación",IF(ISNUMBER(SEARCH("educ",PAA_4[[#This Row],[Actividad3]])),"Educativo","Técnico"))),0)</f>
        <v>0</v>
      </c>
      <c r="AI470" s="47" t="e" cm="1">
        <f t="array" aca="1" ref="AI470" ca="1">_xlfn.XLOOKUP(PAA_4[[#This Row],[RCP-RUBRO]],[2]!COMPROMISOS_2024[[#All],[concatenado]],[2]!COMPROMISOS_2024[[#All],[Total pagado]],"",0)</f>
        <v>#NAME?</v>
      </c>
      <c r="AJ470" s="56">
        <f>IF(PAA_4[[#This Row],[BOLSA]]=0,0,SUMIFS([2]!COMPROMISOS_2024[[#All],[Total pagado]],[2]!COMPROMISOS_2024[[#All],[Bolsa]],PAA_4[[#This Row],[BOLSA]],[2]!COMPROMISOS_2024[[#All],[rubro]],PAA_4[[#This Row],[RCP-RUBRO]]))</f>
        <v>0</v>
      </c>
      <c r="AK470" s="47" t="e" cm="1">
        <f t="array" aca="1" ref="AK470" ca="1">_xlfn.XLOOKUP(PAA_4[[#This Row],[RCP-RUBRO]],[2]!COMPROMISOS_2024[[#All],[concatenado]],[2]!COMPROMISOS_2024[[#All],[Total Comprometido]],"",0)</f>
        <v>#NAME?</v>
      </c>
      <c r="AL470" s="47">
        <f>IF(PAA_4[[#This Row],[BOLSA]]=0,0,SUMIFS([2]!COMPROMISOS_2024[[#All],[Total Comprometido]],[2]!COMPROMISOS_2024[[#All],[Bolsa]],PAA_4[[#This Row],[BOLSA]],[2]!COMPROMISOS_2024[[#All],[concatenado]],PAA_4[[#This Row],[RCP-RUBRO]]))</f>
        <v>0</v>
      </c>
    </row>
    <row r="471" spans="1:38" s="19" customFormat="1" ht="31.5" customHeight="1">
      <c r="A471" s="47" t="s">
        <v>82</v>
      </c>
      <c r="B471" s="47" t="s">
        <v>42</v>
      </c>
      <c r="C471" s="47" t="str">
        <f>VLOOKUP(PAA_4[[#This Row],[PROYECTO (formulado)2]],[2]PROYECTOS!$G$1:$L$32,6,0)</f>
        <v>OFICINA DE MEDICINA DEPORTIVA</v>
      </c>
      <c r="D471" s="47" t="str">
        <f>+IF(PAA_4[[#This Row],[UNIDAD DE CONTRATACION (formulado)]]="Subgerencia Administrativa y Financiera","FUNCIONAMIENTO","INVERSIÓN")</f>
        <v>INVERSIÓN</v>
      </c>
      <c r="E471" s="48" t="str">
        <f>VLOOKUP(Q471,[2]PROYECTOS!$G$1:$K$32,5,0)</f>
        <v>APOYO_CIENTÍFICO_AL_RENDIMIENTO_DEPORTIVO_Y_LA_ACTIVIDAD_FÍSICA_EN_EL_DEPARTAMENTO_DE_ANTIOQUIA</v>
      </c>
      <c r="F471" s="48">
        <f>VLOOKUP(E471,[2]PROYECTOS!$K$1:$M$32,3,0)</f>
        <v>2021003050070</v>
      </c>
      <c r="G471" s="49" t="s">
        <v>212</v>
      </c>
      <c r="H471" s="49" t="str">
        <f>VLOOKUP(Q471,[2]PROYECTOS!$V$1:$W$32,2,0)</f>
        <v>050068</v>
      </c>
      <c r="I471" s="50">
        <v>0</v>
      </c>
      <c r="J471" s="51" t="s">
        <v>42</v>
      </c>
      <c r="K471" s="47" t="str">
        <f t="shared" ca="1" si="227"/>
        <v>CONTRATADO</v>
      </c>
      <c r="L471" s="47" t="s">
        <v>42</v>
      </c>
      <c r="M471" s="47" t="s">
        <v>42</v>
      </c>
      <c r="N471" s="52" t="s">
        <v>209</v>
      </c>
      <c r="O471" s="51" t="e">
        <f>VLOOKUP(N471,[2]!RUBROS[#All],3,0)</f>
        <v>#REF!</v>
      </c>
      <c r="P471" s="53" t="e">
        <f>VLOOKUP(N471,[2]!RUBROS[#All],2,0)</f>
        <v>#REF!</v>
      </c>
      <c r="Q471" s="47" t="str">
        <f t="shared" si="228"/>
        <v>91</v>
      </c>
      <c r="R471" s="47" t="str">
        <f t="shared" si="229"/>
        <v>0-205400</v>
      </c>
      <c r="S471" s="54" t="s">
        <v>42</v>
      </c>
      <c r="T471" s="59" t="s">
        <v>42</v>
      </c>
      <c r="U471" s="326" t="e">
        <f ca="1">_xlfn.XLOOKUP(PAA_4[[#This Row],[ITEM]],[2]Contrato!A:A,[2]Contrato!Q:Q,"",0)</f>
        <v>#NAME?</v>
      </c>
      <c r="V471" s="54" t="s">
        <v>42</v>
      </c>
      <c r="W471" s="54" t="s">
        <v>42</v>
      </c>
      <c r="X471" s="54" t="s">
        <v>42</v>
      </c>
      <c r="Y471" s="55" t="e">
        <f ca="1">_xlfn.XLOOKUP(PAA_4[[#This Row],[ITEM]],[2]Contrato!A:A,[2]Contrato!B:B,"",0)</f>
        <v>#NAME?</v>
      </c>
      <c r="Z471" s="47" t="e">
        <f ca="1">_xlfn.XLOOKUP(PAA_4[[#This Row],[ITEM]],[2]Contrato!A:A,[2]Contrato!G:G,"",0)</f>
        <v>#NAME?</v>
      </c>
      <c r="AA471" s="47" t="e">
        <f ca="1">_xlfn.XLOOKUP(PAA_4[[#This Row],[ITEM]],[2]Contrato!A:A,[2]Contrato!T:T,"",0)</f>
        <v>#NAME?</v>
      </c>
      <c r="AB471" s="55" t="e">
        <f ca="1">+MAX(PAA_4[[#This Row],[Comprometido Contrato]],PAA_4[[#This Row],[Comprometido Bolsa]])</f>
        <v>#NAME?</v>
      </c>
      <c r="AC471" s="55" t="str">
        <f t="shared" ca="1" si="230"/>
        <v/>
      </c>
      <c r="AD471" s="55" t="e">
        <f ca="1">IF(PAA_4[[#This Row],[ESTADO (formulado)]]="NO CONTRATADO",0,MAX(PAA_4[[#This Row],[Pago por Contrato]],PAA_4[[#This Row],[Pago por bolsa]]))</f>
        <v>#NAME?</v>
      </c>
      <c r="AE471" s="55" t="str">
        <f t="shared" ca="1" si="231"/>
        <v/>
      </c>
      <c r="AF471" s="47" t="e">
        <f t="shared" ca="1" si="232"/>
        <v>#NAME?</v>
      </c>
      <c r="AG471" s="47">
        <f t="shared" si="233"/>
        <v>41080108</v>
      </c>
      <c r="AH471" s="54">
        <f>IF(Q471="22",IF(ISNUMBER(SEARCH("econ",PAA_4[[#This Row],[Actividad3]])),"Económico",IF(ISNUMBER(SEARCH("alim",PAA_4[[#This Row],[Actividad3]])),"Alimentación",IF(ISNUMBER(SEARCH("educ",PAA_4[[#This Row],[Actividad3]])),"Educativo","Técnico"))),0)</f>
        <v>0</v>
      </c>
      <c r="AI471" s="47" t="e" cm="1">
        <f t="array" aca="1" ref="AI471" ca="1">_xlfn.XLOOKUP(PAA_4[[#This Row],[RCP-RUBRO]],[2]!COMPROMISOS_2024[[#All],[concatenado]],[2]!COMPROMISOS_2024[[#All],[Total pagado]],"",0)</f>
        <v>#NAME?</v>
      </c>
      <c r="AJ471" s="56">
        <f>IF(PAA_4[[#This Row],[BOLSA]]=0,0,SUMIFS([2]!COMPROMISOS_2024[[#All],[Total pagado]],[2]!COMPROMISOS_2024[[#All],[Bolsa]],PAA_4[[#This Row],[BOLSA]],[2]!COMPROMISOS_2024[[#All],[rubro]],PAA_4[[#This Row],[RCP-RUBRO]]))</f>
        <v>0</v>
      </c>
      <c r="AK471" s="47" t="e" cm="1">
        <f t="array" aca="1" ref="AK471" ca="1">_xlfn.XLOOKUP(PAA_4[[#This Row],[RCP-RUBRO]],[2]!COMPROMISOS_2024[[#All],[concatenado]],[2]!COMPROMISOS_2024[[#All],[Total Comprometido]],"",0)</f>
        <v>#NAME?</v>
      </c>
      <c r="AL471" s="47">
        <f>IF(PAA_4[[#This Row],[BOLSA]]=0,0,SUMIFS([2]!COMPROMISOS_2024[[#All],[Total Comprometido]],[2]!COMPROMISOS_2024[[#All],[Bolsa]],PAA_4[[#This Row],[BOLSA]],[2]!COMPROMISOS_2024[[#All],[concatenado]],PAA_4[[#This Row],[RCP-RUBRO]]))</f>
        <v>0</v>
      </c>
    </row>
    <row r="472" spans="1:38" s="19" customFormat="1" ht="31.5" customHeight="1">
      <c r="A472" s="47">
        <v>629</v>
      </c>
      <c r="B472" s="47">
        <v>80111600</v>
      </c>
      <c r="C472" s="47" t="str">
        <f>VLOOKUP(PAA_4[[#This Row],[PROYECTO (formulado)2]],[2]PROYECTOS!$G$1:$L$32,6,0)</f>
        <v>OFICINA DE MEDICINA DEPORTIVA</v>
      </c>
      <c r="D472" s="47" t="str">
        <f>+IF(PAA_4[[#This Row],[UNIDAD DE CONTRATACION (formulado)]]="Subgerencia Administrativa y Financiera","FUNCIONAMIENTO","INVERSIÓN")</f>
        <v>INVERSIÓN</v>
      </c>
      <c r="E472" s="48" t="str">
        <f>VLOOKUP(Q472,[2]PROYECTOS!$G$1:$K$32,5,0)</f>
        <v>APOYO_CIENTÍFICO_AL_RENDIMIENTO_DEPORTIVO_Y_LA_ACTIVIDAD_FÍSICA_EN_EL_DEPARTAMENTO_DE_ANTIOQUIA</v>
      </c>
      <c r="F472" s="48">
        <f>VLOOKUP(E472,[2]PROYECTOS!$K$1:$M$32,3,0)</f>
        <v>2021003050070</v>
      </c>
      <c r="G472" s="49" t="s">
        <v>212</v>
      </c>
      <c r="H472" s="49" t="str">
        <f>VLOOKUP(Q472,[2]PROYECTOS!$V$1:$W$32,2,0)</f>
        <v>050068</v>
      </c>
      <c r="I472" s="50">
        <f>12574404-59874</f>
        <v>12514530</v>
      </c>
      <c r="J472" s="51" t="s">
        <v>1543</v>
      </c>
      <c r="K472" s="47" t="str">
        <f t="shared" ca="1" si="227"/>
        <v>CONTRATADO</v>
      </c>
      <c r="L472" s="47" t="s">
        <v>94</v>
      </c>
      <c r="M472" s="47" t="s">
        <v>1297</v>
      </c>
      <c r="N472" s="52" t="s">
        <v>209</v>
      </c>
      <c r="O472" s="51" t="e">
        <f>VLOOKUP(N472,[2]!RUBROS[#All],3,0)</f>
        <v>#REF!</v>
      </c>
      <c r="P472" s="53" t="e">
        <f>VLOOKUP(N472,[2]!RUBROS[#All],2,0)</f>
        <v>#REF!</v>
      </c>
      <c r="Q472" s="47" t="str">
        <f t="shared" si="228"/>
        <v>91</v>
      </c>
      <c r="R472" s="47" t="str">
        <f t="shared" si="229"/>
        <v>0-205400</v>
      </c>
      <c r="S472" s="54">
        <v>3</v>
      </c>
      <c r="T472" s="59" t="s">
        <v>46</v>
      </c>
      <c r="U472" s="326" t="e">
        <f ca="1">_xlfn.XLOOKUP(PAA_4[[#This Row],[ITEM]],[2]Contrato!A:A,[2]Contrato!Q:Q,"",0)</f>
        <v>#NAME?</v>
      </c>
      <c r="V472" s="47" t="s">
        <v>95</v>
      </c>
      <c r="W472" s="47" t="s">
        <v>102</v>
      </c>
      <c r="X472" s="47" t="s">
        <v>102</v>
      </c>
      <c r="Y472" s="55" t="e">
        <f ca="1">_xlfn.XLOOKUP(PAA_4[[#This Row],[ITEM]],[2]Contrato!A:A,[2]Contrato!B:B,"",0)</f>
        <v>#NAME?</v>
      </c>
      <c r="Z472" s="47" t="e">
        <f ca="1">_xlfn.XLOOKUP(PAA_4[[#This Row],[ITEM]],[2]Contrato!A:A,[2]Contrato!G:G,"",0)</f>
        <v>#NAME?</v>
      </c>
      <c r="AA472" s="47" t="e">
        <f ca="1">_xlfn.XLOOKUP(PAA_4[[#This Row],[ITEM]],[2]Contrato!A:A,[2]Contrato!T:T,"",0)</f>
        <v>#NAME?</v>
      </c>
      <c r="AB472" s="55" t="e">
        <f ca="1">+MAX(PAA_4[[#This Row],[Comprometido Contrato]],PAA_4[[#This Row],[Comprometido Bolsa]])</f>
        <v>#NAME?</v>
      </c>
      <c r="AC472" s="55" t="str">
        <f t="shared" ca="1" si="230"/>
        <v/>
      </c>
      <c r="AD472" s="55" t="e">
        <f ca="1">IF(PAA_4[[#This Row],[ESTADO (formulado)]]="NO CONTRATADO",0,MAX(PAA_4[[#This Row],[Pago por Contrato]],PAA_4[[#This Row],[Pago por bolsa]]))</f>
        <v>#NAME?</v>
      </c>
      <c r="AE472" s="55" t="str">
        <f t="shared" ca="1" si="231"/>
        <v/>
      </c>
      <c r="AF472" s="47" t="e">
        <f t="shared" ca="1" si="232"/>
        <v>#NAME?</v>
      </c>
      <c r="AG472" s="47">
        <f t="shared" si="233"/>
        <v>41080108</v>
      </c>
      <c r="AH472" s="54">
        <f>IF(Q472="22",IF(ISNUMBER(SEARCH("econ",PAA_4[[#This Row],[Actividad3]])),"Económico",IF(ISNUMBER(SEARCH("alim",PAA_4[[#This Row],[Actividad3]])),"Alimentación",IF(ISNUMBER(SEARCH("educ",PAA_4[[#This Row],[Actividad3]])),"Educativo","Técnico"))),0)</f>
        <v>0</v>
      </c>
      <c r="AI472" s="47" t="e" cm="1">
        <f t="array" aca="1" ref="AI472" ca="1">_xlfn.XLOOKUP(PAA_4[[#This Row],[RCP-RUBRO]],[2]!COMPROMISOS_2024[[#All],[concatenado]],[2]!COMPROMISOS_2024[[#All],[Total pagado]],"",0)</f>
        <v>#NAME?</v>
      </c>
      <c r="AJ472" s="56">
        <f>IF(PAA_4[[#This Row],[BOLSA]]=0,0,SUMIFS([2]!COMPROMISOS_2024[[#All],[Total pagado]],[2]!COMPROMISOS_2024[[#All],[Bolsa]],PAA_4[[#This Row],[BOLSA]],[2]!COMPROMISOS_2024[[#All],[rubro]],PAA_4[[#This Row],[RCP-RUBRO]]))</f>
        <v>0</v>
      </c>
      <c r="AK472" s="47" t="e" cm="1">
        <f t="array" aca="1" ref="AK472" ca="1">_xlfn.XLOOKUP(PAA_4[[#This Row],[RCP-RUBRO]],[2]!COMPROMISOS_2024[[#All],[concatenado]],[2]!COMPROMISOS_2024[[#All],[Total Comprometido]],"",0)</f>
        <v>#NAME?</v>
      </c>
      <c r="AL472" s="47">
        <f>IF(PAA_4[[#This Row],[BOLSA]]=0,0,SUMIFS([2]!COMPROMISOS_2024[[#All],[Total Comprometido]],[2]!COMPROMISOS_2024[[#All],[Bolsa]],PAA_4[[#This Row],[BOLSA]],[2]!COMPROMISOS_2024[[#All],[concatenado]],PAA_4[[#This Row],[RCP-RUBRO]]))</f>
        <v>0</v>
      </c>
    </row>
    <row r="473" spans="1:38" s="19" customFormat="1" ht="31.5" customHeight="1">
      <c r="A473" s="47" t="s">
        <v>82</v>
      </c>
      <c r="B473" s="47">
        <v>80111600</v>
      </c>
      <c r="C473" s="47" t="str">
        <f>VLOOKUP(PAA_4[[#This Row],[PROYECTO (formulado)2]],[2]PROYECTOS!$G$1:$L$32,6,0)</f>
        <v>SUBGERENCIA DE ALTOS LOGROS Y DEPORTE ASOCIADO</v>
      </c>
      <c r="D473" s="47" t="str">
        <f>+IF(PAA_4[[#This Row],[UNIDAD DE CONTRATACION (formulado)]]="Subgerencia Administrativa y Financiera","FUNCIONAMIENTO","INVERSIÓN")</f>
        <v>INVERSIÓN</v>
      </c>
      <c r="E473" s="48" t="str">
        <f>VLOOKUP(Q473,[2]PROYECTOS!$G$1:$K$32,5,0)</f>
        <v>DESARROLLO_DEL_POTENCIAL_DEPORTIVO_EN_EL_DEPARTAMENTO_DE_ANTIOQUIA</v>
      </c>
      <c r="F473" s="48">
        <f>VLOOKUP(E473,[2]PROYECTOS!$K$1:$M$32,3,0)</f>
        <v>2020003050022</v>
      </c>
      <c r="G473" s="49" t="s">
        <v>227</v>
      </c>
      <c r="H473" s="49" t="str">
        <f>VLOOKUP(Q473,[2]PROYECTOS!$V$1:$W$32,2,0)</f>
        <v>050065</v>
      </c>
      <c r="I473" s="50">
        <v>0</v>
      </c>
      <c r="J473" s="51" t="s">
        <v>42</v>
      </c>
      <c r="K473" s="47" t="str">
        <f t="shared" ca="1" si="227"/>
        <v>CONTRATADO</v>
      </c>
      <c r="L473" s="47" t="s">
        <v>94</v>
      </c>
      <c r="M473" s="47" t="s">
        <v>94</v>
      </c>
      <c r="N473" s="52" t="s">
        <v>228</v>
      </c>
      <c r="O473" s="51" t="e">
        <f>VLOOKUP(N473,[2]!RUBROS[#All],3,0)</f>
        <v>#REF!</v>
      </c>
      <c r="P473" s="53" t="e">
        <f>VLOOKUP(N473,[2]!RUBROS[#All],2,0)</f>
        <v>#REF!</v>
      </c>
      <c r="Q473" s="47" t="str">
        <f t="shared" si="228"/>
        <v>21</v>
      </c>
      <c r="R473" s="47" t="str">
        <f t="shared" si="229"/>
        <v>0-205400</v>
      </c>
      <c r="S473" s="54">
        <v>6</v>
      </c>
      <c r="T473" s="59" t="s">
        <v>46</v>
      </c>
      <c r="U473" s="326" t="e">
        <f ca="1">_xlfn.XLOOKUP(PAA_4[[#This Row],[ITEM]],[2]Contrato!A:A,[2]Contrato!Q:Q,"",0)</f>
        <v>#NAME?</v>
      </c>
      <c r="V473" s="47" t="s">
        <v>95</v>
      </c>
      <c r="W473" s="47" t="s">
        <v>96</v>
      </c>
      <c r="X473" s="47" t="s">
        <v>96</v>
      </c>
      <c r="Y473" s="55" t="e">
        <f ca="1">_xlfn.XLOOKUP(PAA_4[[#This Row],[ITEM]],[2]Contrato!A:A,[2]Contrato!B:B,"",0)</f>
        <v>#NAME?</v>
      </c>
      <c r="Z473" s="47" t="e">
        <f ca="1">_xlfn.XLOOKUP(PAA_4[[#This Row],[ITEM]],[2]Contrato!A:A,[2]Contrato!G:G,"",0)</f>
        <v>#NAME?</v>
      </c>
      <c r="AA473" s="47" t="e">
        <f ca="1">_xlfn.XLOOKUP(PAA_4[[#This Row],[ITEM]],[2]Contrato!A:A,[2]Contrato!T:T,"",0)</f>
        <v>#NAME?</v>
      </c>
      <c r="AB473" s="55" t="e">
        <f ca="1">+MAX(PAA_4[[#This Row],[Comprometido Contrato]],PAA_4[[#This Row],[Comprometido Bolsa]])</f>
        <v>#NAME?</v>
      </c>
      <c r="AC473" s="55" t="str">
        <f t="shared" ca="1" si="230"/>
        <v/>
      </c>
      <c r="AD473" s="55" t="e">
        <f ca="1">IF(PAA_4[[#This Row],[ESTADO (formulado)]]="NO CONTRATADO",0,MAX(PAA_4[[#This Row],[Pago por Contrato]],PAA_4[[#This Row],[Pago por bolsa]]))</f>
        <v>#NAME?</v>
      </c>
      <c r="AE473" s="55" t="str">
        <f t="shared" ca="1" si="231"/>
        <v/>
      </c>
      <c r="AF473" s="47" t="e">
        <f t="shared" ca="1" si="232"/>
        <v>#NAME?</v>
      </c>
      <c r="AG473" s="47">
        <f t="shared" si="233"/>
        <v>41080112</v>
      </c>
      <c r="AH473" s="54">
        <f>IF(Q473="22",IF(ISNUMBER(SEARCH("econ",PAA_4[[#This Row],[Actividad3]])),"Económico",IF(ISNUMBER(SEARCH("alim",PAA_4[[#This Row],[Actividad3]])),"Alimentación",IF(ISNUMBER(SEARCH("educ",PAA_4[[#This Row],[Actividad3]])),"Educativo","Técnico"))),0)</f>
        <v>0</v>
      </c>
      <c r="AI473" s="47" t="e" cm="1">
        <f t="array" aca="1" ref="AI473" ca="1">_xlfn.XLOOKUP(PAA_4[[#This Row],[RCP-RUBRO]],[2]!COMPROMISOS_2024[[#All],[concatenado]],[2]!COMPROMISOS_2024[[#All],[Total pagado]],"",0)</f>
        <v>#NAME?</v>
      </c>
      <c r="AJ473" s="56">
        <f>IF(PAA_4[[#This Row],[BOLSA]]=0,0,SUMIFS([2]!COMPROMISOS_2024[[#All],[Total pagado]],[2]!COMPROMISOS_2024[[#All],[Bolsa]],PAA_4[[#This Row],[BOLSA]],[2]!COMPROMISOS_2024[[#All],[rubro]],PAA_4[[#This Row],[RCP-RUBRO]]))</f>
        <v>0</v>
      </c>
      <c r="AK473" s="47" t="e" cm="1">
        <f t="array" aca="1" ref="AK473" ca="1">_xlfn.XLOOKUP(PAA_4[[#This Row],[RCP-RUBRO]],[2]!COMPROMISOS_2024[[#All],[concatenado]],[2]!COMPROMISOS_2024[[#All],[Total Comprometido]],"",0)</f>
        <v>#NAME?</v>
      </c>
      <c r="AL473" s="47">
        <f>IF(PAA_4[[#This Row],[BOLSA]]=0,0,SUMIFS([2]!COMPROMISOS_2024[[#All],[Total Comprometido]],[2]!COMPROMISOS_2024[[#All],[Bolsa]],PAA_4[[#This Row],[BOLSA]],[2]!COMPROMISOS_2024[[#All],[concatenado]],PAA_4[[#This Row],[RCP-RUBRO]]))</f>
        <v>0</v>
      </c>
    </row>
    <row r="474" spans="1:38" s="19" customFormat="1" ht="31.5" customHeight="1">
      <c r="A474" s="47" t="s">
        <v>82</v>
      </c>
      <c r="B474" s="47" t="s">
        <v>42</v>
      </c>
      <c r="C474" s="47" t="str">
        <f>VLOOKUP(PAA_4[[#This Row],[PROYECTO (formulado)2]],[2]PROYECTOS!$G$1:$L$32,6,0)</f>
        <v>SUBGERENCIA DE ALTOS LOGROS Y DEPORTE ASOCIADO</v>
      </c>
      <c r="D474" s="47" t="str">
        <f>+IF(PAA_4[[#This Row],[UNIDAD DE CONTRATACION (formulado)]]="Subgerencia Administrativa y Financiera","FUNCIONAMIENTO","INVERSIÓN")</f>
        <v>INVERSIÓN</v>
      </c>
      <c r="E474" s="48" t="str">
        <f>VLOOKUP(Q474,[2]PROYECTOS!$G$1:$K$32,5,0)</f>
        <v>DESARROLLO_DEL_POTENCIAL_DEPORTIVO_EN_EL_DEPARTAMENTO_DE_ANTIOQUIA</v>
      </c>
      <c r="F474" s="48">
        <f>VLOOKUP(E474,[2]PROYECTOS!$K$1:$M$32,3,0)</f>
        <v>2020003050022</v>
      </c>
      <c r="G474" s="49" t="s">
        <v>227</v>
      </c>
      <c r="H474" s="49" t="str">
        <f>VLOOKUP(Q474,[2]PROYECTOS!$V$1:$W$32,2,0)</f>
        <v>050065</v>
      </c>
      <c r="I474" s="50">
        <v>0</v>
      </c>
      <c r="J474" s="51" t="s">
        <v>42</v>
      </c>
      <c r="K474" s="47" t="str">
        <f t="shared" ca="1" si="227"/>
        <v>CONTRATADO</v>
      </c>
      <c r="L474" s="47" t="s">
        <v>42</v>
      </c>
      <c r="M474" s="47" t="s">
        <v>42</v>
      </c>
      <c r="N474" s="52" t="s">
        <v>228</v>
      </c>
      <c r="O474" s="51" t="e">
        <f>VLOOKUP(N474,[2]!RUBROS[#All],3,0)</f>
        <v>#REF!</v>
      </c>
      <c r="P474" s="53" t="e">
        <f>VLOOKUP(N474,[2]!RUBROS[#All],2,0)</f>
        <v>#REF!</v>
      </c>
      <c r="Q474" s="47" t="str">
        <f t="shared" si="228"/>
        <v>21</v>
      </c>
      <c r="R474" s="47" t="str">
        <f t="shared" si="229"/>
        <v>0-205400</v>
      </c>
      <c r="S474" s="54" t="s">
        <v>42</v>
      </c>
      <c r="T474" s="59" t="s">
        <v>42</v>
      </c>
      <c r="U474" s="326" t="e">
        <f ca="1">_xlfn.XLOOKUP(PAA_4[[#This Row],[ITEM]],[2]Contrato!A:A,[2]Contrato!Q:Q,"",0)</f>
        <v>#NAME?</v>
      </c>
      <c r="V474" s="54" t="s">
        <v>42</v>
      </c>
      <c r="W474" s="54" t="s">
        <v>42</v>
      </c>
      <c r="X474" s="54" t="s">
        <v>42</v>
      </c>
      <c r="Y474" s="55" t="e">
        <f ca="1">_xlfn.XLOOKUP(PAA_4[[#This Row],[ITEM]],[2]Contrato!A:A,[2]Contrato!B:B,"",0)</f>
        <v>#NAME?</v>
      </c>
      <c r="Z474" s="47" t="e">
        <f ca="1">_xlfn.XLOOKUP(PAA_4[[#This Row],[ITEM]],[2]Contrato!A:A,[2]Contrato!G:G,"",0)</f>
        <v>#NAME?</v>
      </c>
      <c r="AA474" s="47" t="e">
        <f ca="1">_xlfn.XLOOKUP(PAA_4[[#This Row],[ITEM]],[2]Contrato!A:A,[2]Contrato!T:T,"",0)</f>
        <v>#NAME?</v>
      </c>
      <c r="AB474" s="55" t="e">
        <f ca="1">+MAX(PAA_4[[#This Row],[Comprometido Contrato]],PAA_4[[#This Row],[Comprometido Bolsa]])</f>
        <v>#NAME?</v>
      </c>
      <c r="AC474" s="55" t="str">
        <f t="shared" ca="1" si="230"/>
        <v/>
      </c>
      <c r="AD474" s="55" t="e">
        <f ca="1">IF(PAA_4[[#This Row],[ESTADO (formulado)]]="NO CONTRATADO",0,MAX(PAA_4[[#This Row],[Pago por Contrato]],PAA_4[[#This Row],[Pago por bolsa]]))</f>
        <v>#NAME?</v>
      </c>
      <c r="AE474" s="55" t="str">
        <f t="shared" ca="1" si="231"/>
        <v/>
      </c>
      <c r="AF474" s="47" t="e">
        <f t="shared" ca="1" si="232"/>
        <v>#NAME?</v>
      </c>
      <c r="AG474" s="47">
        <f t="shared" si="233"/>
        <v>41080112</v>
      </c>
      <c r="AH474" s="54">
        <f>IF(Q474="22",IF(ISNUMBER(SEARCH("econ",PAA_4[[#This Row],[Actividad3]])),"Económico",IF(ISNUMBER(SEARCH("alim",PAA_4[[#This Row],[Actividad3]])),"Alimentación",IF(ISNUMBER(SEARCH("educ",PAA_4[[#This Row],[Actividad3]])),"Educativo","Técnico"))),0)</f>
        <v>0</v>
      </c>
      <c r="AI474" s="47" t="e" cm="1">
        <f t="array" aca="1" ref="AI474" ca="1">_xlfn.XLOOKUP(PAA_4[[#This Row],[RCP-RUBRO]],[2]!COMPROMISOS_2024[[#All],[concatenado]],[2]!COMPROMISOS_2024[[#All],[Total pagado]],"",0)</f>
        <v>#NAME?</v>
      </c>
      <c r="AJ474" s="56">
        <f>IF(PAA_4[[#This Row],[BOLSA]]=0,0,SUMIFS([2]!COMPROMISOS_2024[[#All],[Total pagado]],[2]!COMPROMISOS_2024[[#All],[Bolsa]],PAA_4[[#This Row],[BOLSA]],[2]!COMPROMISOS_2024[[#All],[rubro]],PAA_4[[#This Row],[RCP-RUBRO]]))</f>
        <v>0</v>
      </c>
      <c r="AK474" s="47" t="e" cm="1">
        <f t="array" aca="1" ref="AK474" ca="1">_xlfn.XLOOKUP(PAA_4[[#This Row],[RCP-RUBRO]],[2]!COMPROMISOS_2024[[#All],[concatenado]],[2]!COMPROMISOS_2024[[#All],[Total Comprometido]],"",0)</f>
        <v>#NAME?</v>
      </c>
      <c r="AL474" s="47">
        <f>IF(PAA_4[[#This Row],[BOLSA]]=0,0,SUMIFS([2]!COMPROMISOS_2024[[#All],[Total Comprometido]],[2]!COMPROMISOS_2024[[#All],[Bolsa]],PAA_4[[#This Row],[BOLSA]],[2]!COMPROMISOS_2024[[#All],[concatenado]],PAA_4[[#This Row],[RCP-RUBRO]]))</f>
        <v>0</v>
      </c>
    </row>
    <row r="475" spans="1:38" s="19" customFormat="1" ht="31.5" customHeight="1">
      <c r="A475" s="47">
        <v>124</v>
      </c>
      <c r="B475" s="47">
        <v>80111600</v>
      </c>
      <c r="C475" s="47" t="str">
        <f>VLOOKUP(PAA_4[[#This Row],[PROYECTO (formulado)2]],[2]PROYECTOS!$G$1:$L$32,6,0)</f>
        <v>SUBGERENCIA DE ALTOS LOGROS Y DEPORTE ASOCIADO</v>
      </c>
      <c r="D475" s="47" t="str">
        <f>+IF(PAA_4[[#This Row],[UNIDAD DE CONTRATACION (formulado)]]="Subgerencia Administrativa y Financiera","FUNCIONAMIENTO","INVERSIÓN")</f>
        <v>INVERSIÓN</v>
      </c>
      <c r="E475" s="48" t="str">
        <f>VLOOKUP(Q475,[2]PROYECTOS!$G$1:$K$32,5,0)</f>
        <v>DESARROLLO_DEL_POTENCIAL_DEPORTIVO_EN_EL_DEPARTAMENTO_DE_ANTIOQUIA</v>
      </c>
      <c r="F475" s="48">
        <f>VLOOKUP(E475,[2]PROYECTOS!$K$1:$M$32,3,0)</f>
        <v>2020003050022</v>
      </c>
      <c r="G475" s="49" t="s">
        <v>227</v>
      </c>
      <c r="H475" s="49" t="str">
        <f>VLOOKUP(Q475,[2]PROYECTOS!$V$1:$W$32,2,0)</f>
        <v>050065</v>
      </c>
      <c r="I475" s="50">
        <f>400000000-6535</f>
        <v>399993465</v>
      </c>
      <c r="J475" s="51" t="s">
        <v>1544</v>
      </c>
      <c r="K475" s="47" t="str">
        <f t="shared" ca="1" si="227"/>
        <v>CONTRATADO</v>
      </c>
      <c r="L475" s="47" t="s">
        <v>94</v>
      </c>
      <c r="M475" s="47" t="s">
        <v>222</v>
      </c>
      <c r="N475" s="52" t="s">
        <v>228</v>
      </c>
      <c r="O475" s="51" t="e">
        <f>VLOOKUP(N475,[2]!RUBROS[#All],3,0)</f>
        <v>#REF!</v>
      </c>
      <c r="P475" s="53" t="e">
        <f>VLOOKUP(N475,[2]!RUBROS[#All],2,0)</f>
        <v>#REF!</v>
      </c>
      <c r="Q475" s="47" t="str">
        <f t="shared" si="228"/>
        <v>21</v>
      </c>
      <c r="R475" s="47" t="str">
        <f t="shared" si="229"/>
        <v>0-205400</v>
      </c>
      <c r="S475" s="54">
        <v>9.5</v>
      </c>
      <c r="T475" s="59" t="s">
        <v>46</v>
      </c>
      <c r="U475" s="326" t="e">
        <f ca="1">_xlfn.XLOOKUP(PAA_4[[#This Row],[ITEM]],[2]Contrato!A:A,[2]Contrato!Q:Q,"",0)</f>
        <v>#NAME?</v>
      </c>
      <c r="V475" s="47" t="s">
        <v>95</v>
      </c>
      <c r="W475" s="47" t="s">
        <v>96</v>
      </c>
      <c r="X475" s="47" t="s">
        <v>96</v>
      </c>
      <c r="Y475" s="55" t="e">
        <f ca="1">_xlfn.XLOOKUP(PAA_4[[#This Row],[ITEM]],[2]Contrato!A:A,[2]Contrato!B:B,"",0)</f>
        <v>#NAME?</v>
      </c>
      <c r="Z475" s="47" t="e">
        <f ca="1">_xlfn.XLOOKUP(PAA_4[[#This Row],[ITEM]],[2]Contrato!A:A,[2]Contrato!G:G,"",0)</f>
        <v>#NAME?</v>
      </c>
      <c r="AA475" s="47" t="e">
        <f ca="1">_xlfn.XLOOKUP(PAA_4[[#This Row],[ITEM]],[2]Contrato!A:A,[2]Contrato!T:T,"",0)</f>
        <v>#NAME?</v>
      </c>
      <c r="AB475" s="55" t="e">
        <f ca="1">+MAX(PAA_4[[#This Row],[Comprometido Contrato]],PAA_4[[#This Row],[Comprometido Bolsa]])</f>
        <v>#NAME?</v>
      </c>
      <c r="AC475" s="55" t="str">
        <f t="shared" ca="1" si="230"/>
        <v/>
      </c>
      <c r="AD475" s="55" t="e">
        <f ca="1">IF(PAA_4[[#This Row],[ESTADO (formulado)]]="NO CONTRATADO",0,MAX(PAA_4[[#This Row],[Pago por Contrato]],PAA_4[[#This Row],[Pago por bolsa]]))</f>
        <v>#NAME?</v>
      </c>
      <c r="AE475" s="55" t="str">
        <f t="shared" ca="1" si="231"/>
        <v/>
      </c>
      <c r="AF475" s="47" t="e">
        <f t="shared" ca="1" si="232"/>
        <v>#NAME?</v>
      </c>
      <c r="AG475" s="47">
        <f t="shared" si="233"/>
        <v>41080112</v>
      </c>
      <c r="AH475" s="54">
        <f>IF(Q475="22",IF(ISNUMBER(SEARCH("econ",PAA_4[[#This Row],[Actividad3]])),"Económico",IF(ISNUMBER(SEARCH("alim",PAA_4[[#This Row],[Actividad3]])),"Alimentación",IF(ISNUMBER(SEARCH("educ",PAA_4[[#This Row],[Actividad3]])),"Educativo","Técnico"))),0)</f>
        <v>0</v>
      </c>
      <c r="AI475" s="47" t="e" cm="1">
        <f t="array" aca="1" ref="AI475" ca="1">_xlfn.XLOOKUP(PAA_4[[#This Row],[RCP-RUBRO]],[2]!COMPROMISOS_2024[[#All],[concatenado]],[2]!COMPROMISOS_2024[[#All],[Total pagado]],"",0)</f>
        <v>#NAME?</v>
      </c>
      <c r="AJ475" s="56">
        <f>IF(PAA_4[[#This Row],[BOLSA]]=0,0,SUMIFS([2]!COMPROMISOS_2024[[#All],[Total pagado]],[2]!COMPROMISOS_2024[[#All],[Bolsa]],PAA_4[[#This Row],[BOLSA]],[2]!COMPROMISOS_2024[[#All],[rubro]],PAA_4[[#This Row],[RCP-RUBRO]]))</f>
        <v>0</v>
      </c>
      <c r="AK475" s="47" t="e" cm="1">
        <f t="array" aca="1" ref="AK475" ca="1">_xlfn.XLOOKUP(PAA_4[[#This Row],[RCP-RUBRO]],[2]!COMPROMISOS_2024[[#All],[concatenado]],[2]!COMPROMISOS_2024[[#All],[Total Comprometido]],"",0)</f>
        <v>#NAME?</v>
      </c>
      <c r="AL475" s="47">
        <f>IF(PAA_4[[#This Row],[BOLSA]]=0,0,SUMIFS([2]!COMPROMISOS_2024[[#All],[Total Comprometido]],[2]!COMPROMISOS_2024[[#All],[Bolsa]],PAA_4[[#This Row],[BOLSA]],[2]!COMPROMISOS_2024[[#All],[concatenado]],PAA_4[[#This Row],[RCP-RUBRO]]))</f>
        <v>0</v>
      </c>
    </row>
    <row r="476" spans="1:38" s="19" customFormat="1" ht="31.5" customHeight="1">
      <c r="A476" s="47">
        <v>125</v>
      </c>
      <c r="B476" s="47">
        <v>90141502</v>
      </c>
      <c r="C476" s="47" t="str">
        <f>VLOOKUP(PAA_4[[#This Row],[PROYECTO (formulado)2]],[2]PROYECTOS!$G$1:$L$32,6,0)</f>
        <v>SUBGERENCIA DE ALTOS LOGROS Y DEPORTE ASOCIADO</v>
      </c>
      <c r="D476" s="47" t="str">
        <f>+IF(PAA_4[[#This Row],[UNIDAD DE CONTRATACION (formulado)]]="Subgerencia Administrativa y Financiera","FUNCIONAMIENTO","INVERSIÓN")</f>
        <v>INVERSIÓN</v>
      </c>
      <c r="E476" s="48" t="str">
        <f>VLOOKUP(Q476,[2]PROYECTOS!$G$1:$K$32,5,0)</f>
        <v>DESARROLLO_DEL_POTENCIAL_DEPORTIVO_EN_EL_DEPARTAMENTO_DE_ANTIOQUIA</v>
      </c>
      <c r="F476" s="48">
        <f>VLOOKUP(E476,[2]PROYECTOS!$K$1:$M$32,3,0)</f>
        <v>2020003050022</v>
      </c>
      <c r="G476" s="49" t="s">
        <v>229</v>
      </c>
      <c r="H476" s="49" t="str">
        <f>VLOOKUP(Q476,[2]PROYECTOS!$V$1:$W$32,2,0)</f>
        <v>050065</v>
      </c>
      <c r="I476" s="50">
        <v>450000000</v>
      </c>
      <c r="J476" s="51" t="s">
        <v>1545</v>
      </c>
      <c r="K476" s="47" t="str">
        <f t="shared" ca="1" si="227"/>
        <v>CONTRATADO</v>
      </c>
      <c r="L476" s="47" t="s">
        <v>94</v>
      </c>
      <c r="M476" s="47" t="s">
        <v>222</v>
      </c>
      <c r="N476" s="52" t="s">
        <v>228</v>
      </c>
      <c r="O476" s="51" t="e">
        <f>VLOOKUP(N476,[2]!RUBROS[#All],3,0)</f>
        <v>#REF!</v>
      </c>
      <c r="P476" s="53" t="e">
        <f>VLOOKUP(N476,[2]!RUBROS[#All],2,0)</f>
        <v>#REF!</v>
      </c>
      <c r="Q476" s="47" t="str">
        <f t="shared" si="228"/>
        <v>21</v>
      </c>
      <c r="R476" s="47" t="str">
        <f t="shared" si="229"/>
        <v>0-205400</v>
      </c>
      <c r="S476" s="54">
        <v>6</v>
      </c>
      <c r="T476" s="59" t="s">
        <v>46</v>
      </c>
      <c r="U476" s="326" t="e">
        <f ca="1">_xlfn.XLOOKUP(PAA_4[[#This Row],[ITEM]],[2]Contrato!A:A,[2]Contrato!Q:Q,"",0)</f>
        <v>#NAME?</v>
      </c>
      <c r="V476" s="47" t="s">
        <v>95</v>
      </c>
      <c r="W476" s="47" t="s">
        <v>96</v>
      </c>
      <c r="X476" s="47" t="s">
        <v>96</v>
      </c>
      <c r="Y476" s="55" t="e">
        <f ca="1">_xlfn.XLOOKUP(PAA_4[[#This Row],[ITEM]],[2]Contrato!A:A,[2]Contrato!B:B,"",0)</f>
        <v>#NAME?</v>
      </c>
      <c r="Z476" s="47" t="e">
        <f ca="1">_xlfn.XLOOKUP(PAA_4[[#This Row],[ITEM]],[2]Contrato!A:A,[2]Contrato!G:G,"",0)</f>
        <v>#NAME?</v>
      </c>
      <c r="AA476" s="47" t="e">
        <f ca="1">_xlfn.XLOOKUP(PAA_4[[#This Row],[ITEM]],[2]Contrato!A:A,[2]Contrato!T:T,"",0)</f>
        <v>#NAME?</v>
      </c>
      <c r="AB476" s="55" t="e">
        <f ca="1">+MAX(PAA_4[[#This Row],[Comprometido Contrato]],PAA_4[[#This Row],[Comprometido Bolsa]])</f>
        <v>#NAME?</v>
      </c>
      <c r="AC476" s="55" t="str">
        <f t="shared" ca="1" si="230"/>
        <v/>
      </c>
      <c r="AD476" s="55" t="e">
        <f ca="1">IF(PAA_4[[#This Row],[ESTADO (formulado)]]="NO CONTRATADO",0,MAX(PAA_4[[#This Row],[Pago por Contrato]],PAA_4[[#This Row],[Pago por bolsa]]))</f>
        <v>#NAME?</v>
      </c>
      <c r="AE476" s="55" t="str">
        <f t="shared" ca="1" si="231"/>
        <v/>
      </c>
      <c r="AF476" s="47" t="e">
        <f t="shared" ca="1" si="232"/>
        <v>#NAME?</v>
      </c>
      <c r="AG476" s="47">
        <f t="shared" si="233"/>
        <v>41080112</v>
      </c>
      <c r="AH476" s="54">
        <f>IF(Q476="22",IF(ISNUMBER(SEARCH("econ",PAA_4[[#This Row],[Actividad3]])),"Económico",IF(ISNUMBER(SEARCH("alim",PAA_4[[#This Row],[Actividad3]])),"Alimentación",IF(ISNUMBER(SEARCH("educ",PAA_4[[#This Row],[Actividad3]])),"Educativo","Técnico"))),0)</f>
        <v>0</v>
      </c>
      <c r="AI476" s="47" t="e" cm="1">
        <f t="array" aca="1" ref="AI476" ca="1">_xlfn.XLOOKUP(PAA_4[[#This Row],[RCP-RUBRO]],[2]!COMPROMISOS_2024[[#All],[concatenado]],[2]!COMPROMISOS_2024[[#All],[Total pagado]],"",0)</f>
        <v>#NAME?</v>
      </c>
      <c r="AJ476" s="56">
        <f>IF(PAA_4[[#This Row],[BOLSA]]=0,0,SUMIFS([2]!COMPROMISOS_2024[[#All],[Total pagado]],[2]!COMPROMISOS_2024[[#All],[Bolsa]],PAA_4[[#This Row],[BOLSA]],[2]!COMPROMISOS_2024[[#All],[rubro]],PAA_4[[#This Row],[RCP-RUBRO]]))</f>
        <v>0</v>
      </c>
      <c r="AK476" s="47" t="e" cm="1">
        <f t="array" aca="1" ref="AK476" ca="1">_xlfn.XLOOKUP(PAA_4[[#This Row],[RCP-RUBRO]],[2]!COMPROMISOS_2024[[#All],[concatenado]],[2]!COMPROMISOS_2024[[#All],[Total Comprometido]],"",0)</f>
        <v>#NAME?</v>
      </c>
      <c r="AL476" s="47">
        <f>IF(PAA_4[[#This Row],[BOLSA]]=0,0,SUMIFS([2]!COMPROMISOS_2024[[#All],[Total Comprometido]],[2]!COMPROMISOS_2024[[#All],[Bolsa]],PAA_4[[#This Row],[BOLSA]],[2]!COMPROMISOS_2024[[#All],[concatenado]],PAA_4[[#This Row],[RCP-RUBRO]]))</f>
        <v>0</v>
      </c>
    </row>
    <row r="477" spans="1:38" s="19" customFormat="1" ht="31.5" customHeight="1">
      <c r="A477" s="47">
        <v>126</v>
      </c>
      <c r="B477" s="47">
        <v>90141502</v>
      </c>
      <c r="C477" s="47" t="str">
        <f>VLOOKUP(PAA_4[[#This Row],[PROYECTO (formulado)2]],[2]PROYECTOS!$G$1:$L$32,6,0)</f>
        <v>SUBGERENCIA DE ALTOS LOGROS Y DEPORTE ASOCIADO</v>
      </c>
      <c r="D477" s="47" t="str">
        <f>+IF(PAA_4[[#This Row],[UNIDAD DE CONTRATACION (formulado)]]="Subgerencia Administrativa y Financiera","FUNCIONAMIENTO","INVERSIÓN")</f>
        <v>INVERSIÓN</v>
      </c>
      <c r="E477" s="48" t="str">
        <f>VLOOKUP(Q477,[2]PROYECTOS!$G$1:$K$32,5,0)</f>
        <v>DESARROLLO_DEL_POTENCIAL_DEPORTIVO_EN_EL_DEPARTAMENTO_DE_ANTIOQUIA</v>
      </c>
      <c r="F477" s="48">
        <f>VLOOKUP(E477,[2]PROYECTOS!$K$1:$M$32,3,0)</f>
        <v>2020003050022</v>
      </c>
      <c r="G477" s="49" t="s">
        <v>230</v>
      </c>
      <c r="H477" s="49" t="str">
        <f>VLOOKUP(Q477,[2]PROYECTOS!$V$1:$W$32,2,0)</f>
        <v>050065</v>
      </c>
      <c r="I477" s="50">
        <v>0</v>
      </c>
      <c r="J477" s="51" t="s">
        <v>42</v>
      </c>
      <c r="K477" s="47" t="str">
        <f t="shared" ca="1" si="227"/>
        <v>CONTRATADO</v>
      </c>
      <c r="L477" s="47" t="s">
        <v>94</v>
      </c>
      <c r="M477" s="47" t="s">
        <v>222</v>
      </c>
      <c r="N477" s="52" t="s">
        <v>228</v>
      </c>
      <c r="O477" s="51" t="e">
        <f>VLOOKUP(N477,[2]!RUBROS[#All],3,0)</f>
        <v>#REF!</v>
      </c>
      <c r="P477" s="53" t="e">
        <f>VLOOKUP(N477,[2]!RUBROS[#All],2,0)</f>
        <v>#REF!</v>
      </c>
      <c r="Q477" s="47" t="str">
        <f t="shared" si="228"/>
        <v>21</v>
      </c>
      <c r="R477" s="47" t="str">
        <f t="shared" si="229"/>
        <v>0-205400</v>
      </c>
      <c r="S477" s="54">
        <v>225</v>
      </c>
      <c r="T477" s="59" t="s">
        <v>81</v>
      </c>
      <c r="U477" s="326" t="e">
        <f ca="1">_xlfn.XLOOKUP(PAA_4[[#This Row],[ITEM]],[2]Contrato!A:A,[2]Contrato!Q:Q,"",0)</f>
        <v>#NAME?</v>
      </c>
      <c r="V477" s="47" t="s">
        <v>95</v>
      </c>
      <c r="W477" s="47" t="s">
        <v>119</v>
      </c>
      <c r="X477" s="47" t="s">
        <v>119</v>
      </c>
      <c r="Y477" s="55" t="e">
        <f ca="1">_xlfn.XLOOKUP(PAA_4[[#This Row],[ITEM]],[2]Contrato!A:A,[2]Contrato!B:B,"",0)</f>
        <v>#NAME?</v>
      </c>
      <c r="Z477" s="47" t="e">
        <f ca="1">_xlfn.XLOOKUP(PAA_4[[#This Row],[ITEM]],[2]Contrato!A:A,[2]Contrato!G:G,"",0)</f>
        <v>#NAME?</v>
      </c>
      <c r="AA477" s="47" t="e">
        <f ca="1">_xlfn.XLOOKUP(PAA_4[[#This Row],[ITEM]],[2]Contrato!A:A,[2]Contrato!T:T,"",0)</f>
        <v>#NAME?</v>
      </c>
      <c r="AB477" s="55" t="e">
        <f ca="1">+MAX(PAA_4[[#This Row],[Comprometido Contrato]],PAA_4[[#This Row],[Comprometido Bolsa]])</f>
        <v>#NAME?</v>
      </c>
      <c r="AC477" s="55" t="str">
        <f t="shared" ca="1" si="230"/>
        <v/>
      </c>
      <c r="AD477" s="55" t="e">
        <f ca="1">IF(PAA_4[[#This Row],[ESTADO (formulado)]]="NO CONTRATADO",0,MAX(PAA_4[[#This Row],[Pago por Contrato]],PAA_4[[#This Row],[Pago por bolsa]]))</f>
        <v>#NAME?</v>
      </c>
      <c r="AE477" s="55" t="str">
        <f t="shared" ca="1" si="231"/>
        <v/>
      </c>
      <c r="AF477" s="47" t="e">
        <f t="shared" ca="1" si="232"/>
        <v>#NAME?</v>
      </c>
      <c r="AG477" s="47">
        <f t="shared" si="233"/>
        <v>41080112</v>
      </c>
      <c r="AH477" s="54">
        <f>IF(Q477="22",IF(ISNUMBER(SEARCH("econ",PAA_4[[#This Row],[Actividad3]])),"Económico",IF(ISNUMBER(SEARCH("alim",PAA_4[[#This Row],[Actividad3]])),"Alimentación",IF(ISNUMBER(SEARCH("educ",PAA_4[[#This Row],[Actividad3]])),"Educativo","Técnico"))),0)</f>
        <v>0</v>
      </c>
      <c r="AI477" s="47" t="e" cm="1">
        <f t="array" aca="1" ref="AI477" ca="1">_xlfn.XLOOKUP(PAA_4[[#This Row],[RCP-RUBRO]],[2]!COMPROMISOS_2024[[#All],[concatenado]],[2]!COMPROMISOS_2024[[#All],[Total pagado]],"",0)</f>
        <v>#NAME?</v>
      </c>
      <c r="AJ477" s="56">
        <f>IF(PAA_4[[#This Row],[BOLSA]]=0,0,SUMIFS([2]!COMPROMISOS_2024[[#All],[Total pagado]],[2]!COMPROMISOS_2024[[#All],[Bolsa]],PAA_4[[#This Row],[BOLSA]],[2]!COMPROMISOS_2024[[#All],[rubro]],PAA_4[[#This Row],[RCP-RUBRO]]))</f>
        <v>0</v>
      </c>
      <c r="AK477" s="47" t="e" cm="1">
        <f t="array" aca="1" ref="AK477" ca="1">_xlfn.XLOOKUP(PAA_4[[#This Row],[RCP-RUBRO]],[2]!COMPROMISOS_2024[[#All],[concatenado]],[2]!COMPROMISOS_2024[[#All],[Total Comprometido]],"",0)</f>
        <v>#NAME?</v>
      </c>
      <c r="AL477" s="47">
        <f>IF(PAA_4[[#This Row],[BOLSA]]=0,0,SUMIFS([2]!COMPROMISOS_2024[[#All],[Total Comprometido]],[2]!COMPROMISOS_2024[[#All],[Bolsa]],PAA_4[[#This Row],[BOLSA]],[2]!COMPROMISOS_2024[[#All],[concatenado]],PAA_4[[#This Row],[RCP-RUBRO]]))</f>
        <v>0</v>
      </c>
    </row>
    <row r="478" spans="1:38" s="19" customFormat="1" ht="31.5" customHeight="1">
      <c r="A478" s="47">
        <v>127</v>
      </c>
      <c r="B478" s="47">
        <v>90141502</v>
      </c>
      <c r="C478" s="47" t="str">
        <f>VLOOKUP(PAA_4[[#This Row],[PROYECTO (formulado)2]],[2]PROYECTOS!$G$1:$L$32,6,0)</f>
        <v>SUBGERENCIA DE ALTOS LOGROS Y DEPORTE ASOCIADO</v>
      </c>
      <c r="D478" s="47" t="str">
        <f>+IF(PAA_4[[#This Row],[UNIDAD DE CONTRATACION (formulado)]]="Subgerencia Administrativa y Financiera","FUNCIONAMIENTO","INVERSIÓN")</f>
        <v>INVERSIÓN</v>
      </c>
      <c r="E478" s="48" t="str">
        <f>VLOOKUP(Q478,[2]PROYECTOS!$G$1:$K$32,5,0)</f>
        <v>DESARROLLO_DEL_POTENCIAL_DEPORTIVO_EN_EL_DEPARTAMENTO_DE_ANTIOQUIA</v>
      </c>
      <c r="F478" s="48">
        <f>VLOOKUP(E478,[2]PROYECTOS!$K$1:$M$32,3,0)</f>
        <v>2020003050022</v>
      </c>
      <c r="G478" s="49" t="s">
        <v>231</v>
      </c>
      <c r="H478" s="49" t="str">
        <f>VLOOKUP(Q478,[2]PROYECTOS!$V$1:$W$32,2,0)</f>
        <v>050065</v>
      </c>
      <c r="I478" s="50">
        <v>720000000</v>
      </c>
      <c r="J478" s="51" t="s">
        <v>1546</v>
      </c>
      <c r="K478" s="47" t="str">
        <f t="shared" ca="1" si="227"/>
        <v>CONTRATADO</v>
      </c>
      <c r="L478" s="47" t="s">
        <v>94</v>
      </c>
      <c r="M478" s="47" t="s">
        <v>222</v>
      </c>
      <c r="N478" s="52" t="s">
        <v>228</v>
      </c>
      <c r="O478" s="51" t="e">
        <f>VLOOKUP(N478,[2]!RUBROS[#All],3,0)</f>
        <v>#REF!</v>
      </c>
      <c r="P478" s="53" t="e">
        <f>VLOOKUP(N478,[2]!RUBROS[#All],2,0)</f>
        <v>#REF!</v>
      </c>
      <c r="Q478" s="47" t="str">
        <f t="shared" si="228"/>
        <v>21</v>
      </c>
      <c r="R478" s="47" t="str">
        <f t="shared" si="229"/>
        <v>0-205400</v>
      </c>
      <c r="S478" s="54">
        <v>225</v>
      </c>
      <c r="T478" s="59" t="s">
        <v>81</v>
      </c>
      <c r="U478" s="326" t="e">
        <f ca="1">_xlfn.XLOOKUP(PAA_4[[#This Row],[ITEM]],[2]Contrato!A:A,[2]Contrato!Q:Q,"",0)</f>
        <v>#NAME?</v>
      </c>
      <c r="V478" s="47" t="s">
        <v>95</v>
      </c>
      <c r="W478" s="47" t="s">
        <v>119</v>
      </c>
      <c r="X478" s="47" t="s">
        <v>119</v>
      </c>
      <c r="Y478" s="55" t="e">
        <f ca="1">_xlfn.XLOOKUP(PAA_4[[#This Row],[ITEM]],[2]Contrato!A:A,[2]Contrato!B:B,"",0)</f>
        <v>#NAME?</v>
      </c>
      <c r="Z478" s="47" t="e">
        <f ca="1">_xlfn.XLOOKUP(PAA_4[[#This Row],[ITEM]],[2]Contrato!A:A,[2]Contrato!G:G,"",0)</f>
        <v>#NAME?</v>
      </c>
      <c r="AA478" s="47" t="e">
        <f ca="1">_xlfn.XLOOKUP(PAA_4[[#This Row],[ITEM]],[2]Contrato!A:A,[2]Contrato!T:T,"",0)</f>
        <v>#NAME?</v>
      </c>
      <c r="AB478" s="55" t="e">
        <f ca="1">+MAX(PAA_4[[#This Row],[Comprometido Contrato]],PAA_4[[#This Row],[Comprometido Bolsa]])</f>
        <v>#NAME?</v>
      </c>
      <c r="AC478" s="55" t="str">
        <f t="shared" ca="1" si="230"/>
        <v/>
      </c>
      <c r="AD478" s="55" t="e">
        <f ca="1">IF(PAA_4[[#This Row],[ESTADO (formulado)]]="NO CONTRATADO",0,MAX(PAA_4[[#This Row],[Pago por Contrato]],PAA_4[[#This Row],[Pago por bolsa]]))</f>
        <v>#NAME?</v>
      </c>
      <c r="AE478" s="55" t="str">
        <f t="shared" ca="1" si="231"/>
        <v/>
      </c>
      <c r="AF478" s="47" t="e">
        <f t="shared" ca="1" si="232"/>
        <v>#NAME?</v>
      </c>
      <c r="AG478" s="47">
        <f t="shared" si="233"/>
        <v>41080112</v>
      </c>
      <c r="AH478" s="54">
        <f>IF(Q478="22",IF(ISNUMBER(SEARCH("econ",PAA_4[[#This Row],[Actividad3]])),"Económico",IF(ISNUMBER(SEARCH("alim",PAA_4[[#This Row],[Actividad3]])),"Alimentación",IF(ISNUMBER(SEARCH("educ",PAA_4[[#This Row],[Actividad3]])),"Educativo","Técnico"))),0)</f>
        <v>0</v>
      </c>
      <c r="AI478" s="47" t="e" cm="1">
        <f t="array" aca="1" ref="AI478" ca="1">_xlfn.XLOOKUP(PAA_4[[#This Row],[RCP-RUBRO]],[2]!COMPROMISOS_2024[[#All],[concatenado]],[2]!COMPROMISOS_2024[[#All],[Total pagado]],"",0)</f>
        <v>#NAME?</v>
      </c>
      <c r="AJ478" s="56">
        <f>IF(PAA_4[[#This Row],[BOLSA]]=0,0,SUMIFS([2]!COMPROMISOS_2024[[#All],[Total pagado]],[2]!COMPROMISOS_2024[[#All],[Bolsa]],PAA_4[[#This Row],[BOLSA]],[2]!COMPROMISOS_2024[[#All],[rubro]],PAA_4[[#This Row],[RCP-RUBRO]]))</f>
        <v>0</v>
      </c>
      <c r="AK478" s="47" t="e" cm="1">
        <f t="array" aca="1" ref="AK478" ca="1">_xlfn.XLOOKUP(PAA_4[[#This Row],[RCP-RUBRO]],[2]!COMPROMISOS_2024[[#All],[concatenado]],[2]!COMPROMISOS_2024[[#All],[Total Comprometido]],"",0)</f>
        <v>#NAME?</v>
      </c>
      <c r="AL478" s="47">
        <f>IF(PAA_4[[#This Row],[BOLSA]]=0,0,SUMIFS([2]!COMPROMISOS_2024[[#All],[Total Comprometido]],[2]!COMPROMISOS_2024[[#All],[Bolsa]],PAA_4[[#This Row],[BOLSA]],[2]!COMPROMISOS_2024[[#All],[concatenado]],PAA_4[[#This Row],[RCP-RUBRO]]))</f>
        <v>0</v>
      </c>
    </row>
    <row r="479" spans="1:38" s="19" customFormat="1" ht="31.5" customHeight="1">
      <c r="A479" s="47">
        <v>128</v>
      </c>
      <c r="B479" s="47">
        <v>80111600</v>
      </c>
      <c r="C479" s="47" t="str">
        <f>VLOOKUP(PAA_4[[#This Row],[PROYECTO (formulado)2]],[2]PROYECTOS!$G$1:$L$32,6,0)</f>
        <v>SUBGERENCIA DE ALTOS LOGROS Y DEPORTE ASOCIADO</v>
      </c>
      <c r="D479" s="47" t="str">
        <f>+IF(PAA_4[[#This Row],[UNIDAD DE CONTRATACION (formulado)]]="Subgerencia Administrativa y Financiera","FUNCIONAMIENTO","INVERSIÓN")</f>
        <v>INVERSIÓN</v>
      </c>
      <c r="E479" s="48" t="str">
        <f>VLOOKUP(Q479,[2]PROYECTOS!$G$1:$K$32,5,0)</f>
        <v>DESARROLLO_DEL_POTENCIAL_DEPORTIVO_EN_EL_DEPARTAMENTO_DE_ANTIOQUIA</v>
      </c>
      <c r="F479" s="48">
        <f>VLOOKUP(E479,[2]PROYECTOS!$K$1:$M$32,3,0)</f>
        <v>2020003050022</v>
      </c>
      <c r="G479" s="49" t="s">
        <v>232</v>
      </c>
      <c r="H479" s="49" t="str">
        <f>VLOOKUP(Q479,[2]PROYECTOS!$V$1:$W$32,2,0)</f>
        <v>050065</v>
      </c>
      <c r="I479" s="50">
        <v>0</v>
      </c>
      <c r="J479" s="51" t="s">
        <v>42</v>
      </c>
      <c r="K479" s="47" t="str">
        <f t="shared" ca="1" si="227"/>
        <v>CONTRATADO</v>
      </c>
      <c r="L479" s="47" t="s">
        <v>94</v>
      </c>
      <c r="M479" s="47" t="s">
        <v>222</v>
      </c>
      <c r="N479" s="52" t="s">
        <v>228</v>
      </c>
      <c r="O479" s="51" t="e">
        <f>VLOOKUP(N479,[2]!RUBROS[#All],3,0)</f>
        <v>#REF!</v>
      </c>
      <c r="P479" s="53" t="e">
        <f>VLOOKUP(N479,[2]!RUBROS[#All],2,0)</f>
        <v>#REF!</v>
      </c>
      <c r="Q479" s="47" t="str">
        <f t="shared" si="228"/>
        <v>21</v>
      </c>
      <c r="R479" s="47" t="str">
        <f t="shared" si="229"/>
        <v>0-205400</v>
      </c>
      <c r="S479" s="54">
        <v>11</v>
      </c>
      <c r="T479" s="59" t="s">
        <v>46</v>
      </c>
      <c r="U479" s="326" t="e">
        <f ca="1">_xlfn.XLOOKUP(PAA_4[[#This Row],[ITEM]],[2]Contrato!A:A,[2]Contrato!Q:Q,"",0)</f>
        <v>#NAME?</v>
      </c>
      <c r="V479" s="47" t="s">
        <v>95</v>
      </c>
      <c r="W479" s="47" t="s">
        <v>91</v>
      </c>
      <c r="X479" s="47" t="s">
        <v>91</v>
      </c>
      <c r="Y479" s="55" t="e">
        <f ca="1">_xlfn.XLOOKUP(PAA_4[[#This Row],[ITEM]],[2]Contrato!A:A,[2]Contrato!B:B,"",0)</f>
        <v>#NAME?</v>
      </c>
      <c r="Z479" s="47" t="e">
        <f ca="1">_xlfn.XLOOKUP(PAA_4[[#This Row],[ITEM]],[2]Contrato!A:A,[2]Contrato!G:G,"",0)</f>
        <v>#NAME?</v>
      </c>
      <c r="AA479" s="47" t="e">
        <f ca="1">_xlfn.XLOOKUP(PAA_4[[#This Row],[ITEM]],[2]Contrato!A:A,[2]Contrato!T:T,"",0)</f>
        <v>#NAME?</v>
      </c>
      <c r="AB479" s="55" t="e">
        <f ca="1">+MAX(PAA_4[[#This Row],[Comprometido Contrato]],PAA_4[[#This Row],[Comprometido Bolsa]])</f>
        <v>#NAME?</v>
      </c>
      <c r="AC479" s="55" t="str">
        <f t="shared" ca="1" si="230"/>
        <v/>
      </c>
      <c r="AD479" s="55" t="e">
        <f ca="1">IF(PAA_4[[#This Row],[ESTADO (formulado)]]="NO CONTRATADO",0,MAX(PAA_4[[#This Row],[Pago por Contrato]],PAA_4[[#This Row],[Pago por bolsa]]))</f>
        <v>#NAME?</v>
      </c>
      <c r="AE479" s="55" t="str">
        <f t="shared" ca="1" si="231"/>
        <v/>
      </c>
      <c r="AF479" s="47" t="e">
        <f t="shared" ca="1" si="232"/>
        <v>#NAME?</v>
      </c>
      <c r="AG479" s="47">
        <f t="shared" si="233"/>
        <v>41080112</v>
      </c>
      <c r="AH479" s="54">
        <f>IF(Q479="22",IF(ISNUMBER(SEARCH("econ",PAA_4[[#This Row],[Actividad3]])),"Económico",IF(ISNUMBER(SEARCH("alim",PAA_4[[#This Row],[Actividad3]])),"Alimentación",IF(ISNUMBER(SEARCH("educ",PAA_4[[#This Row],[Actividad3]])),"Educativo","Técnico"))),0)</f>
        <v>0</v>
      </c>
      <c r="AI479" s="47" t="e" cm="1">
        <f t="array" aca="1" ref="AI479" ca="1">_xlfn.XLOOKUP(PAA_4[[#This Row],[RCP-RUBRO]],[2]!COMPROMISOS_2024[[#All],[concatenado]],[2]!COMPROMISOS_2024[[#All],[Total pagado]],"",0)</f>
        <v>#NAME?</v>
      </c>
      <c r="AJ479" s="56">
        <f>IF(PAA_4[[#This Row],[BOLSA]]=0,0,SUMIFS([2]!COMPROMISOS_2024[[#All],[Total pagado]],[2]!COMPROMISOS_2024[[#All],[Bolsa]],PAA_4[[#This Row],[BOLSA]],[2]!COMPROMISOS_2024[[#All],[rubro]],PAA_4[[#This Row],[RCP-RUBRO]]))</f>
        <v>0</v>
      </c>
      <c r="AK479" s="47" t="e" cm="1">
        <f t="array" aca="1" ref="AK479" ca="1">_xlfn.XLOOKUP(PAA_4[[#This Row],[RCP-RUBRO]],[2]!COMPROMISOS_2024[[#All],[concatenado]],[2]!COMPROMISOS_2024[[#All],[Total Comprometido]],"",0)</f>
        <v>#NAME?</v>
      </c>
      <c r="AL479" s="47">
        <f>IF(PAA_4[[#This Row],[BOLSA]]=0,0,SUMIFS([2]!COMPROMISOS_2024[[#All],[Total Comprometido]],[2]!COMPROMISOS_2024[[#All],[Bolsa]],PAA_4[[#This Row],[BOLSA]],[2]!COMPROMISOS_2024[[#All],[concatenado]],PAA_4[[#This Row],[RCP-RUBRO]]))</f>
        <v>0</v>
      </c>
    </row>
    <row r="480" spans="1:38" s="19" customFormat="1" ht="31.5" customHeight="1">
      <c r="A480" s="47">
        <v>129</v>
      </c>
      <c r="B480" s="47">
        <v>90141502</v>
      </c>
      <c r="C480" s="47" t="str">
        <f>VLOOKUP(PAA_4[[#This Row],[PROYECTO (formulado)2]],[2]PROYECTOS!$G$1:$L$32,6,0)</f>
        <v>SUBGERENCIA DE ALTOS LOGROS Y DEPORTE ASOCIADO</v>
      </c>
      <c r="D480" s="47" t="str">
        <f>+IF(PAA_4[[#This Row],[UNIDAD DE CONTRATACION (formulado)]]="Subgerencia Administrativa y Financiera","FUNCIONAMIENTO","INVERSIÓN")</f>
        <v>INVERSIÓN</v>
      </c>
      <c r="E480" s="48" t="str">
        <f>VLOOKUP(Q480,[2]PROYECTOS!$G$1:$K$32,5,0)</f>
        <v>DESARROLLO_DEL_POTENCIAL_DEPORTIVO_EN_EL_DEPARTAMENTO_DE_ANTIOQUIA</v>
      </c>
      <c r="F480" s="48">
        <f>VLOOKUP(E480,[2]PROYECTOS!$K$1:$M$32,3,0)</f>
        <v>2020003050022</v>
      </c>
      <c r="G480" s="49" t="s">
        <v>233</v>
      </c>
      <c r="H480" s="49" t="str">
        <f>VLOOKUP(Q480,[2]PROYECTOS!$V$1:$W$32,2,0)</f>
        <v>050065</v>
      </c>
      <c r="I480" s="50">
        <v>0</v>
      </c>
      <c r="J480" s="51" t="s">
        <v>42</v>
      </c>
      <c r="K480" s="47" t="str">
        <f t="shared" ca="1" si="227"/>
        <v>CONTRATADO</v>
      </c>
      <c r="L480" s="47" t="s">
        <v>94</v>
      </c>
      <c r="M480" s="47" t="s">
        <v>222</v>
      </c>
      <c r="N480" s="52" t="s">
        <v>228</v>
      </c>
      <c r="O480" s="51" t="e">
        <f>VLOOKUP(N480,[2]!RUBROS[#All],3,0)</f>
        <v>#REF!</v>
      </c>
      <c r="P480" s="53" t="e">
        <f>VLOOKUP(N480,[2]!RUBROS[#All],2,0)</f>
        <v>#REF!</v>
      </c>
      <c r="Q480" s="47" t="str">
        <f t="shared" si="228"/>
        <v>21</v>
      </c>
      <c r="R480" s="47" t="str">
        <f t="shared" si="229"/>
        <v>0-205400</v>
      </c>
      <c r="S480" s="54">
        <v>11</v>
      </c>
      <c r="T480" s="59" t="s">
        <v>46</v>
      </c>
      <c r="U480" s="326" t="e">
        <f ca="1">_xlfn.XLOOKUP(PAA_4[[#This Row],[ITEM]],[2]Contrato!A:A,[2]Contrato!Q:Q,"",0)</f>
        <v>#NAME?</v>
      </c>
      <c r="V480" s="47" t="s">
        <v>95</v>
      </c>
      <c r="W480" s="47" t="s">
        <v>102</v>
      </c>
      <c r="X480" s="47" t="s">
        <v>102</v>
      </c>
      <c r="Y480" s="55" t="e">
        <f ca="1">_xlfn.XLOOKUP(PAA_4[[#This Row],[ITEM]],[2]Contrato!A:A,[2]Contrato!B:B,"",0)</f>
        <v>#NAME?</v>
      </c>
      <c r="Z480" s="47" t="e">
        <f ca="1">_xlfn.XLOOKUP(PAA_4[[#This Row],[ITEM]],[2]Contrato!A:A,[2]Contrato!G:G,"",0)</f>
        <v>#NAME?</v>
      </c>
      <c r="AA480" s="47" t="e">
        <f ca="1">_xlfn.XLOOKUP(PAA_4[[#This Row],[ITEM]],[2]Contrato!A:A,[2]Contrato!T:T,"",0)</f>
        <v>#NAME?</v>
      </c>
      <c r="AB480" s="55" t="e">
        <f ca="1">+MAX(PAA_4[[#This Row],[Comprometido Contrato]],PAA_4[[#This Row],[Comprometido Bolsa]])</f>
        <v>#NAME?</v>
      </c>
      <c r="AC480" s="55" t="str">
        <f t="shared" ca="1" si="230"/>
        <v/>
      </c>
      <c r="AD480" s="55" t="e">
        <f ca="1">IF(PAA_4[[#This Row],[ESTADO (formulado)]]="NO CONTRATADO",0,MAX(PAA_4[[#This Row],[Pago por Contrato]],PAA_4[[#This Row],[Pago por bolsa]]))</f>
        <v>#NAME?</v>
      </c>
      <c r="AE480" s="55" t="str">
        <f t="shared" ca="1" si="231"/>
        <v/>
      </c>
      <c r="AF480" s="47" t="e">
        <f t="shared" ca="1" si="232"/>
        <v>#NAME?</v>
      </c>
      <c r="AG480" s="47">
        <f t="shared" si="233"/>
        <v>41080112</v>
      </c>
      <c r="AH480" s="54">
        <f>IF(Q480="22",IF(ISNUMBER(SEARCH("econ",PAA_4[[#This Row],[Actividad3]])),"Económico",IF(ISNUMBER(SEARCH("alim",PAA_4[[#This Row],[Actividad3]])),"Alimentación",IF(ISNUMBER(SEARCH("educ",PAA_4[[#This Row],[Actividad3]])),"Educativo","Técnico"))),0)</f>
        <v>0</v>
      </c>
      <c r="AI480" s="47" t="e" cm="1">
        <f t="array" aca="1" ref="AI480" ca="1">_xlfn.XLOOKUP(PAA_4[[#This Row],[RCP-RUBRO]],[2]!COMPROMISOS_2024[[#All],[concatenado]],[2]!COMPROMISOS_2024[[#All],[Total pagado]],"",0)</f>
        <v>#NAME?</v>
      </c>
      <c r="AJ480" s="56">
        <f>IF(PAA_4[[#This Row],[BOLSA]]=0,0,SUMIFS([2]!COMPROMISOS_2024[[#All],[Total pagado]],[2]!COMPROMISOS_2024[[#All],[Bolsa]],PAA_4[[#This Row],[BOLSA]],[2]!COMPROMISOS_2024[[#All],[rubro]],PAA_4[[#This Row],[RCP-RUBRO]]))</f>
        <v>0</v>
      </c>
      <c r="AK480" s="47" t="e" cm="1">
        <f t="array" aca="1" ref="AK480" ca="1">_xlfn.XLOOKUP(PAA_4[[#This Row],[RCP-RUBRO]],[2]!COMPROMISOS_2024[[#All],[concatenado]],[2]!COMPROMISOS_2024[[#All],[Total Comprometido]],"",0)</f>
        <v>#NAME?</v>
      </c>
      <c r="AL480" s="47">
        <f>IF(PAA_4[[#This Row],[BOLSA]]=0,0,SUMIFS([2]!COMPROMISOS_2024[[#All],[Total Comprometido]],[2]!COMPROMISOS_2024[[#All],[Bolsa]],PAA_4[[#This Row],[BOLSA]],[2]!COMPROMISOS_2024[[#All],[concatenado]],PAA_4[[#This Row],[RCP-RUBRO]]))</f>
        <v>0</v>
      </c>
    </row>
    <row r="481" spans="1:38" s="19" customFormat="1" ht="31.5" customHeight="1">
      <c r="A481" s="47">
        <v>130</v>
      </c>
      <c r="B481" s="47">
        <v>90141502</v>
      </c>
      <c r="C481" s="47" t="str">
        <f>VLOOKUP(PAA_4[[#This Row],[PROYECTO (formulado)2]],[2]PROYECTOS!$G$1:$L$32,6,0)</f>
        <v>SUBGERENCIA DE ALTOS LOGROS Y DEPORTE ASOCIADO</v>
      </c>
      <c r="D481" s="47" t="str">
        <f>+IF(PAA_4[[#This Row],[UNIDAD DE CONTRATACION (formulado)]]="Subgerencia Administrativa y Financiera","FUNCIONAMIENTO","INVERSIÓN")</f>
        <v>INVERSIÓN</v>
      </c>
      <c r="E481" s="48" t="str">
        <f>VLOOKUP(Q481,[2]PROYECTOS!$G$1:$K$32,5,0)</f>
        <v>DESARROLLO_DEL_POTENCIAL_DEPORTIVO_EN_EL_DEPARTAMENTO_DE_ANTIOQUIA</v>
      </c>
      <c r="F481" s="48">
        <f>VLOOKUP(E481,[2]PROYECTOS!$K$1:$M$32,3,0)</f>
        <v>2020003050022</v>
      </c>
      <c r="G481" s="49" t="s">
        <v>234</v>
      </c>
      <c r="H481" s="49" t="str">
        <f>VLOOKUP(Q481,[2]PROYECTOS!$V$1:$W$32,2,0)</f>
        <v>050065</v>
      </c>
      <c r="I481" s="50">
        <v>0</v>
      </c>
      <c r="J481" s="51" t="s">
        <v>42</v>
      </c>
      <c r="K481" s="47" t="str">
        <f t="shared" ca="1" si="227"/>
        <v>CONTRATADO</v>
      </c>
      <c r="L481" s="47" t="s">
        <v>94</v>
      </c>
      <c r="M481" s="47" t="s">
        <v>222</v>
      </c>
      <c r="N481" s="52" t="s">
        <v>228</v>
      </c>
      <c r="O481" s="51" t="e">
        <f>VLOOKUP(N481,[2]!RUBROS[#All],3,0)</f>
        <v>#REF!</v>
      </c>
      <c r="P481" s="53" t="e">
        <f>VLOOKUP(N481,[2]!RUBROS[#All],2,0)</f>
        <v>#REF!</v>
      </c>
      <c r="Q481" s="47" t="str">
        <f t="shared" si="228"/>
        <v>21</v>
      </c>
      <c r="R481" s="47" t="str">
        <f t="shared" si="229"/>
        <v>0-205400</v>
      </c>
      <c r="S481" s="54">
        <v>11</v>
      </c>
      <c r="T481" s="59" t="s">
        <v>46</v>
      </c>
      <c r="U481" s="326" t="e">
        <f ca="1">_xlfn.XLOOKUP(PAA_4[[#This Row],[ITEM]],[2]Contrato!A:A,[2]Contrato!Q:Q,"",0)</f>
        <v>#NAME?</v>
      </c>
      <c r="V481" s="47" t="s">
        <v>95</v>
      </c>
      <c r="W481" s="47" t="s">
        <v>122</v>
      </c>
      <c r="X481" s="47" t="s">
        <v>122</v>
      </c>
      <c r="Y481" s="55" t="e">
        <f ca="1">_xlfn.XLOOKUP(PAA_4[[#This Row],[ITEM]],[2]Contrato!A:A,[2]Contrato!B:B,"",0)</f>
        <v>#NAME?</v>
      </c>
      <c r="Z481" s="47" t="e">
        <f ca="1">_xlfn.XLOOKUP(PAA_4[[#This Row],[ITEM]],[2]Contrato!A:A,[2]Contrato!G:G,"",0)</f>
        <v>#NAME?</v>
      </c>
      <c r="AA481" s="47" t="e">
        <f ca="1">_xlfn.XLOOKUP(PAA_4[[#This Row],[ITEM]],[2]Contrato!A:A,[2]Contrato!T:T,"",0)</f>
        <v>#NAME?</v>
      </c>
      <c r="AB481" s="55" t="e">
        <f ca="1">+MAX(PAA_4[[#This Row],[Comprometido Contrato]],PAA_4[[#This Row],[Comprometido Bolsa]])</f>
        <v>#NAME?</v>
      </c>
      <c r="AC481" s="55" t="str">
        <f t="shared" ca="1" si="230"/>
        <v/>
      </c>
      <c r="AD481" s="55" t="e">
        <f ca="1">IF(PAA_4[[#This Row],[ESTADO (formulado)]]="NO CONTRATADO",0,MAX(PAA_4[[#This Row],[Pago por Contrato]],PAA_4[[#This Row],[Pago por bolsa]]))</f>
        <v>#NAME?</v>
      </c>
      <c r="AE481" s="55" t="str">
        <f t="shared" ca="1" si="231"/>
        <v/>
      </c>
      <c r="AF481" s="47" t="e">
        <f t="shared" ca="1" si="232"/>
        <v>#NAME?</v>
      </c>
      <c r="AG481" s="47">
        <f t="shared" si="233"/>
        <v>41080112</v>
      </c>
      <c r="AH481" s="54">
        <f>IF(Q481="22",IF(ISNUMBER(SEARCH("econ",PAA_4[[#This Row],[Actividad3]])),"Económico",IF(ISNUMBER(SEARCH("alim",PAA_4[[#This Row],[Actividad3]])),"Alimentación",IF(ISNUMBER(SEARCH("educ",PAA_4[[#This Row],[Actividad3]])),"Educativo","Técnico"))),0)</f>
        <v>0</v>
      </c>
      <c r="AI481" s="47" t="e" cm="1">
        <f t="array" aca="1" ref="AI481" ca="1">_xlfn.XLOOKUP(PAA_4[[#This Row],[RCP-RUBRO]],[2]!COMPROMISOS_2024[[#All],[concatenado]],[2]!COMPROMISOS_2024[[#All],[Total pagado]],"",0)</f>
        <v>#NAME?</v>
      </c>
      <c r="AJ481" s="56">
        <f>IF(PAA_4[[#This Row],[BOLSA]]=0,0,SUMIFS([2]!COMPROMISOS_2024[[#All],[Total pagado]],[2]!COMPROMISOS_2024[[#All],[Bolsa]],PAA_4[[#This Row],[BOLSA]],[2]!COMPROMISOS_2024[[#All],[rubro]],PAA_4[[#This Row],[RCP-RUBRO]]))</f>
        <v>0</v>
      </c>
      <c r="AK481" s="47" t="e" cm="1">
        <f t="array" aca="1" ref="AK481" ca="1">_xlfn.XLOOKUP(PAA_4[[#This Row],[RCP-RUBRO]],[2]!COMPROMISOS_2024[[#All],[concatenado]],[2]!COMPROMISOS_2024[[#All],[Total Comprometido]],"",0)</f>
        <v>#NAME?</v>
      </c>
      <c r="AL481" s="47">
        <f>IF(PAA_4[[#This Row],[BOLSA]]=0,0,SUMIFS([2]!COMPROMISOS_2024[[#All],[Total Comprometido]],[2]!COMPROMISOS_2024[[#All],[Bolsa]],PAA_4[[#This Row],[BOLSA]],[2]!COMPROMISOS_2024[[#All],[concatenado]],PAA_4[[#This Row],[RCP-RUBRO]]))</f>
        <v>0</v>
      </c>
    </row>
    <row r="482" spans="1:38" s="19" customFormat="1" ht="31.5" customHeight="1">
      <c r="A482" s="47">
        <v>131</v>
      </c>
      <c r="B482" s="47">
        <v>80111600</v>
      </c>
      <c r="C482" s="47" t="str">
        <f>VLOOKUP(PAA_4[[#This Row],[PROYECTO (formulado)2]],[2]PROYECTOS!$G$1:$L$32,6,0)</f>
        <v>SUBGERENCIA DE ALTOS LOGROS Y DEPORTE ASOCIADO</v>
      </c>
      <c r="D482" s="47" t="str">
        <f>+IF(PAA_4[[#This Row],[UNIDAD DE CONTRATACION (formulado)]]="Subgerencia Administrativa y Financiera","FUNCIONAMIENTO","INVERSIÓN")</f>
        <v>INVERSIÓN</v>
      </c>
      <c r="E482" s="48" t="str">
        <f>VLOOKUP(Q482,[2]PROYECTOS!$G$1:$K$32,5,0)</f>
        <v>FORTALECIMIENTO_DEL_PROGRAMA_DE_ALTOS_LOGROS_Y_LIDERAZGO_DEPORTIVO_EN_EL_DEPARTAMENTO_DE_ANTIOQUIA</v>
      </c>
      <c r="F482" s="48">
        <f>VLOOKUP(E482,[2]PROYECTOS!$K$1:$M$32,3,0)</f>
        <v>2020003050021</v>
      </c>
      <c r="G482" s="49" t="s">
        <v>235</v>
      </c>
      <c r="H482" s="49" t="str">
        <f>VLOOKUP(Q482,[2]PROYECTOS!$V$1:$W$32,2,0)</f>
        <v>050061</v>
      </c>
      <c r="I482" s="50">
        <v>28040472</v>
      </c>
      <c r="J482" s="51" t="s">
        <v>236</v>
      </c>
      <c r="K482" s="47" t="str">
        <f t="shared" ca="1" si="227"/>
        <v>CONTRATADO</v>
      </c>
      <c r="L482" s="47" t="s">
        <v>94</v>
      </c>
      <c r="M482" s="47" t="s">
        <v>1297</v>
      </c>
      <c r="N482" s="52" t="s">
        <v>237</v>
      </c>
      <c r="O482" s="51" t="e">
        <f>VLOOKUP(N482,[2]!RUBROS[#All],3,0)</f>
        <v>#REF!</v>
      </c>
      <c r="P482" s="53" t="e">
        <f>VLOOKUP(N482,[2]!RUBROS[#All],2,0)</f>
        <v>#REF!</v>
      </c>
      <c r="Q482" s="47" t="str">
        <f t="shared" si="228"/>
        <v>20</v>
      </c>
      <c r="R482" s="47" t="str">
        <f t="shared" si="229"/>
        <v>0-205400</v>
      </c>
      <c r="S482" s="54">
        <v>3</v>
      </c>
      <c r="T482" s="59" t="s">
        <v>46</v>
      </c>
      <c r="U482" s="326" t="e">
        <f ca="1">_xlfn.XLOOKUP(PAA_4[[#This Row],[ITEM]],[2]Contrato!A:A,[2]Contrato!Q:Q,"",0)</f>
        <v>#NAME?</v>
      </c>
      <c r="V482" s="47" t="s">
        <v>95</v>
      </c>
      <c r="W482" s="47" t="s">
        <v>83</v>
      </c>
      <c r="X482" s="47" t="s">
        <v>83</v>
      </c>
      <c r="Y482" s="55" t="e">
        <f ca="1">_xlfn.XLOOKUP(PAA_4[[#This Row],[ITEM]],[2]Contrato!A:A,[2]Contrato!B:B,"",0)</f>
        <v>#NAME?</v>
      </c>
      <c r="Z482" s="47" t="e">
        <f ca="1">_xlfn.XLOOKUP(PAA_4[[#This Row],[ITEM]],[2]Contrato!A:A,[2]Contrato!G:G,"",0)</f>
        <v>#NAME?</v>
      </c>
      <c r="AA482" s="47" t="e">
        <f ca="1">_xlfn.XLOOKUP(PAA_4[[#This Row],[ITEM]],[2]Contrato!A:A,[2]Contrato!T:T,"",0)</f>
        <v>#NAME?</v>
      </c>
      <c r="AB482" s="55" t="e">
        <f ca="1">+MAX(PAA_4[[#This Row],[Comprometido Contrato]],PAA_4[[#This Row],[Comprometido Bolsa]])</f>
        <v>#NAME?</v>
      </c>
      <c r="AC482" s="55" t="str">
        <f t="shared" ca="1" si="230"/>
        <v/>
      </c>
      <c r="AD482" s="55" t="e">
        <f ca="1">IF(PAA_4[[#This Row],[ESTADO (formulado)]]="NO CONTRATADO",0,MAX(PAA_4[[#This Row],[Pago por Contrato]],PAA_4[[#This Row],[Pago por bolsa]]))</f>
        <v>#NAME?</v>
      </c>
      <c r="AE482" s="55" t="str">
        <f t="shared" ca="1" si="231"/>
        <v/>
      </c>
      <c r="AF482" s="47" t="e">
        <f t="shared" ca="1" si="232"/>
        <v>#NAME?</v>
      </c>
      <c r="AG482" s="47">
        <f t="shared" si="233"/>
        <v>41080111</v>
      </c>
      <c r="AH482" s="54">
        <f>IF(Q482="22",IF(ISNUMBER(SEARCH("econ",PAA_4[[#This Row],[Actividad3]])),"Económico",IF(ISNUMBER(SEARCH("alim",PAA_4[[#This Row],[Actividad3]])),"Alimentación",IF(ISNUMBER(SEARCH("educ",PAA_4[[#This Row],[Actividad3]])),"Educativo","Técnico"))),0)</f>
        <v>0</v>
      </c>
      <c r="AI482" s="47" t="e" cm="1">
        <f t="array" aca="1" ref="AI482" ca="1">_xlfn.XLOOKUP(PAA_4[[#This Row],[RCP-RUBRO]],[2]!COMPROMISOS_2024[[#All],[concatenado]],[2]!COMPROMISOS_2024[[#All],[Total pagado]],"",0)</f>
        <v>#NAME?</v>
      </c>
      <c r="AJ482" s="56">
        <f>IF(PAA_4[[#This Row],[BOLSA]]=0,0,SUMIFS([2]!COMPROMISOS_2024[[#All],[Total pagado]],[2]!COMPROMISOS_2024[[#All],[Bolsa]],PAA_4[[#This Row],[BOLSA]],[2]!COMPROMISOS_2024[[#All],[rubro]],PAA_4[[#This Row],[RCP-RUBRO]]))</f>
        <v>0</v>
      </c>
      <c r="AK482" s="47" t="e" cm="1">
        <f t="array" aca="1" ref="AK482" ca="1">_xlfn.XLOOKUP(PAA_4[[#This Row],[RCP-RUBRO]],[2]!COMPROMISOS_2024[[#All],[concatenado]],[2]!COMPROMISOS_2024[[#All],[Total Comprometido]],"",0)</f>
        <v>#NAME?</v>
      </c>
      <c r="AL482" s="47">
        <f>IF(PAA_4[[#This Row],[BOLSA]]=0,0,SUMIFS([2]!COMPROMISOS_2024[[#All],[Total Comprometido]],[2]!COMPROMISOS_2024[[#All],[Bolsa]],PAA_4[[#This Row],[BOLSA]],[2]!COMPROMISOS_2024[[#All],[concatenado]],PAA_4[[#This Row],[RCP-RUBRO]]))</f>
        <v>0</v>
      </c>
    </row>
    <row r="483" spans="1:38" s="19" customFormat="1" ht="31.5" customHeight="1">
      <c r="A483" s="47" t="s">
        <v>82</v>
      </c>
      <c r="B483" s="47">
        <v>80111600</v>
      </c>
      <c r="C483" s="47" t="str">
        <f>VLOOKUP(PAA_4[[#This Row],[PROYECTO (formulado)2]],[2]PROYECTOS!$G$1:$L$32,6,0)</f>
        <v>SUBGERENCIA DE ALTOS LOGROS Y DEPORTE ASOCIADO</v>
      </c>
      <c r="D483" s="47" t="str">
        <f>+IF(PAA_4[[#This Row],[UNIDAD DE CONTRATACION (formulado)]]="Subgerencia Administrativa y Financiera","FUNCIONAMIENTO","INVERSIÓN")</f>
        <v>INVERSIÓN</v>
      </c>
      <c r="E483" s="48" t="str">
        <f>VLOOKUP(Q483,[2]PROYECTOS!$G$1:$K$32,5,0)</f>
        <v>FORTALECIMIENTO_DEL_PROGRAMA_DE_ALTOS_LOGROS_Y_LIDERAZGO_DEPORTIVO_EN_EL_DEPARTAMENTO_DE_ANTIOQUIA</v>
      </c>
      <c r="F483" s="48">
        <f>VLOOKUP(E483,[2]PROYECTOS!$K$1:$M$32,3,0)</f>
        <v>2020003050021</v>
      </c>
      <c r="G483" s="49" t="s">
        <v>235</v>
      </c>
      <c r="H483" s="49" t="str">
        <f>VLOOKUP(Q483,[2]PROYECTOS!$V$1:$W$32,2,0)</f>
        <v>050061</v>
      </c>
      <c r="I483" s="50">
        <v>0</v>
      </c>
      <c r="J483" s="51" t="s">
        <v>42</v>
      </c>
      <c r="K483" s="47" t="str">
        <f t="shared" ca="1" si="227"/>
        <v>CONTRATADO</v>
      </c>
      <c r="L483" s="47" t="s">
        <v>94</v>
      </c>
      <c r="M483" s="47" t="s">
        <v>1297</v>
      </c>
      <c r="N483" s="52" t="s">
        <v>237</v>
      </c>
      <c r="O483" s="51" t="e">
        <f>VLOOKUP(N483,[2]!RUBROS[#All],3,0)</f>
        <v>#REF!</v>
      </c>
      <c r="P483" s="53" t="e">
        <f>VLOOKUP(N483,[2]!RUBROS[#All],2,0)</f>
        <v>#REF!</v>
      </c>
      <c r="Q483" s="47" t="str">
        <f t="shared" si="228"/>
        <v>20</v>
      </c>
      <c r="R483" s="47" t="str">
        <f t="shared" si="229"/>
        <v>0-205400</v>
      </c>
      <c r="S483" s="54"/>
      <c r="T483" s="59"/>
      <c r="U483" s="326" t="e">
        <f ca="1">_xlfn.XLOOKUP(PAA_4[[#This Row],[ITEM]],[2]Contrato!A:A,[2]Contrato!Q:Q,"",0)</f>
        <v>#NAME?</v>
      </c>
      <c r="V483" s="47" t="s">
        <v>95</v>
      </c>
      <c r="W483" s="47" t="s">
        <v>102</v>
      </c>
      <c r="X483" s="47" t="s">
        <v>102</v>
      </c>
      <c r="Y483" s="55" t="e">
        <f ca="1">_xlfn.XLOOKUP(PAA_4[[#This Row],[ITEM]],[2]Contrato!A:A,[2]Contrato!B:B,"",0)</f>
        <v>#NAME?</v>
      </c>
      <c r="Z483" s="47" t="e">
        <f ca="1">_xlfn.XLOOKUP(PAA_4[[#This Row],[ITEM]],[2]Contrato!A:A,[2]Contrato!G:G,"",0)</f>
        <v>#NAME?</v>
      </c>
      <c r="AA483" s="47" t="e">
        <f ca="1">_xlfn.XLOOKUP(PAA_4[[#This Row],[ITEM]],[2]Contrato!A:A,[2]Contrato!T:T,"",0)</f>
        <v>#NAME?</v>
      </c>
      <c r="AB483" s="55" t="e">
        <f ca="1">+MAX(PAA_4[[#This Row],[Comprometido Contrato]],PAA_4[[#This Row],[Comprometido Bolsa]])</f>
        <v>#NAME?</v>
      </c>
      <c r="AC483" s="55" t="str">
        <f t="shared" ca="1" si="230"/>
        <v/>
      </c>
      <c r="AD483" s="55" t="e">
        <f ca="1">IF(PAA_4[[#This Row],[ESTADO (formulado)]]="NO CONTRATADO",0,MAX(PAA_4[[#This Row],[Pago por Contrato]],PAA_4[[#This Row],[Pago por bolsa]]))</f>
        <v>#NAME?</v>
      </c>
      <c r="AE483" s="55" t="str">
        <f t="shared" ca="1" si="231"/>
        <v/>
      </c>
      <c r="AF483" s="47" t="e">
        <f t="shared" ca="1" si="232"/>
        <v>#NAME?</v>
      </c>
      <c r="AG483" s="47">
        <f t="shared" si="233"/>
        <v>41080111</v>
      </c>
      <c r="AH483" s="54">
        <f>IF(Q483="22",IF(ISNUMBER(SEARCH("econ",PAA_4[[#This Row],[Actividad3]])),"Económico",IF(ISNUMBER(SEARCH("alim",PAA_4[[#This Row],[Actividad3]])),"Alimentación",IF(ISNUMBER(SEARCH("educ",PAA_4[[#This Row],[Actividad3]])),"Educativo","Técnico"))),0)</f>
        <v>0</v>
      </c>
      <c r="AI483" s="47" t="e" cm="1">
        <f t="array" aca="1" ref="AI483" ca="1">_xlfn.XLOOKUP(PAA_4[[#This Row],[RCP-RUBRO]],[2]!COMPROMISOS_2024[[#All],[concatenado]],[2]!COMPROMISOS_2024[[#All],[Total pagado]],"",0)</f>
        <v>#NAME?</v>
      </c>
      <c r="AJ483" s="56">
        <f>IF(PAA_4[[#This Row],[BOLSA]]=0,0,SUMIFS([2]!COMPROMISOS_2024[[#All],[Total pagado]],[2]!COMPROMISOS_2024[[#All],[Bolsa]],PAA_4[[#This Row],[BOLSA]],[2]!COMPROMISOS_2024[[#All],[rubro]],PAA_4[[#This Row],[RCP-RUBRO]]))</f>
        <v>0</v>
      </c>
      <c r="AK483" s="47" t="e" cm="1">
        <f t="array" aca="1" ref="AK483" ca="1">_xlfn.XLOOKUP(PAA_4[[#This Row],[RCP-RUBRO]],[2]!COMPROMISOS_2024[[#All],[concatenado]],[2]!COMPROMISOS_2024[[#All],[Total Comprometido]],"",0)</f>
        <v>#NAME?</v>
      </c>
      <c r="AL483" s="47">
        <f>IF(PAA_4[[#This Row],[BOLSA]]=0,0,SUMIFS([2]!COMPROMISOS_2024[[#All],[Total Comprometido]],[2]!COMPROMISOS_2024[[#All],[Bolsa]],PAA_4[[#This Row],[BOLSA]],[2]!COMPROMISOS_2024[[#All],[concatenado]],PAA_4[[#This Row],[RCP-RUBRO]]))</f>
        <v>0</v>
      </c>
    </row>
    <row r="484" spans="1:38" s="19" customFormat="1" ht="31.5" customHeight="1">
      <c r="A484" s="47" t="s">
        <v>82</v>
      </c>
      <c r="B484" s="47" t="s">
        <v>42</v>
      </c>
      <c r="C484" s="47" t="str">
        <f>VLOOKUP(PAA_4[[#This Row],[PROYECTO (formulado)2]],[2]PROYECTOS!$G$1:$L$32,6,0)</f>
        <v>SUBGERENCIA DE ALTOS LOGROS Y DEPORTE ASOCIADO</v>
      </c>
      <c r="D484" s="47" t="str">
        <f>+IF(PAA_4[[#This Row],[UNIDAD DE CONTRATACION (formulado)]]="Subgerencia Administrativa y Financiera","FUNCIONAMIENTO","INVERSIÓN")</f>
        <v>INVERSIÓN</v>
      </c>
      <c r="E484" s="48" t="str">
        <f>VLOOKUP(Q484,[2]PROYECTOS!$G$1:$K$32,5,0)</f>
        <v>FORTALECIMIENTO_DEL_PROGRAMA_DE_ALTOS_LOGROS_Y_LIDERAZGO_DEPORTIVO_EN_EL_DEPARTAMENTO_DE_ANTIOQUIA</v>
      </c>
      <c r="F484" s="48">
        <f>VLOOKUP(E484,[2]PROYECTOS!$K$1:$M$32,3,0)</f>
        <v>2020003050021</v>
      </c>
      <c r="G484" s="344" t="s">
        <v>235</v>
      </c>
      <c r="H484" s="49" t="str">
        <f>VLOOKUP(Q484,[2]PROYECTOS!$V$1:$W$32,2,0)</f>
        <v>050061</v>
      </c>
      <c r="I484" s="50">
        <v>1</v>
      </c>
      <c r="J484" s="51" t="s">
        <v>1547</v>
      </c>
      <c r="K484" s="47" t="str">
        <f t="shared" ca="1" si="227"/>
        <v>CONTRATADO</v>
      </c>
      <c r="L484" s="47" t="s">
        <v>42</v>
      </c>
      <c r="M484" s="47" t="s">
        <v>42</v>
      </c>
      <c r="N484" s="344" t="s">
        <v>237</v>
      </c>
      <c r="O484" s="51" t="e">
        <f>VLOOKUP(N484,[2]!RUBROS[#All],3,0)</f>
        <v>#REF!</v>
      </c>
      <c r="P484" s="53" t="e">
        <f>VLOOKUP(N484,[2]!RUBROS[#All],2,0)</f>
        <v>#REF!</v>
      </c>
      <c r="Q484" s="47" t="str">
        <f t="shared" si="228"/>
        <v>20</v>
      </c>
      <c r="R484" s="47" t="str">
        <f t="shared" si="229"/>
        <v>0-205400</v>
      </c>
      <c r="S484" s="47" t="s">
        <v>42</v>
      </c>
      <c r="T484" s="63" t="s">
        <v>42</v>
      </c>
      <c r="U484" s="326" t="e">
        <f ca="1">_xlfn.XLOOKUP(PAA_4[[#This Row],[ITEM]],[2]Contrato!A:A,[2]Contrato!Q:Q,"",0)</f>
        <v>#NAME?</v>
      </c>
      <c r="V484" s="47" t="s">
        <v>95</v>
      </c>
      <c r="W484" s="47" t="s">
        <v>42</v>
      </c>
      <c r="X484" s="47" t="s">
        <v>42</v>
      </c>
      <c r="Y484" s="55" t="e">
        <f ca="1">_xlfn.XLOOKUP(PAA_4[[#This Row],[ITEM]],[2]Contrato!A:A,[2]Contrato!B:B,"",0)</f>
        <v>#NAME?</v>
      </c>
      <c r="Z484" s="47" t="e">
        <f ca="1">_xlfn.XLOOKUP(PAA_4[[#This Row],[ITEM]],[2]Contrato!A:A,[2]Contrato!G:G,"",0)</f>
        <v>#NAME?</v>
      </c>
      <c r="AA484" s="47" t="e">
        <f ca="1">_xlfn.XLOOKUP(PAA_4[[#This Row],[ITEM]],[2]Contrato!A:A,[2]Contrato!T:T,"",0)</f>
        <v>#NAME?</v>
      </c>
      <c r="AB484" s="55" t="e">
        <f ca="1">+MAX(PAA_4[[#This Row],[Comprometido Contrato]],PAA_4[[#This Row],[Comprometido Bolsa]])</f>
        <v>#NAME?</v>
      </c>
      <c r="AC484" s="55" t="str">
        <f t="shared" ca="1" si="230"/>
        <v/>
      </c>
      <c r="AD484" s="55" t="e">
        <f ca="1">IF(PAA_4[[#This Row],[ESTADO (formulado)]]="NO CONTRATADO",0,MAX(PAA_4[[#This Row],[Pago por Contrato]],PAA_4[[#This Row],[Pago por bolsa]]))</f>
        <v>#NAME?</v>
      </c>
      <c r="AE484" s="55" t="str">
        <f t="shared" ca="1" si="231"/>
        <v/>
      </c>
      <c r="AF484" s="47" t="e">
        <f t="shared" ca="1" si="232"/>
        <v>#NAME?</v>
      </c>
      <c r="AG484" s="47">
        <f t="shared" si="233"/>
        <v>41080111</v>
      </c>
      <c r="AH484" s="54">
        <f>IF(Q484="22",IF(ISNUMBER(SEARCH("econ",PAA_4[[#This Row],[Actividad3]])),"Económico",IF(ISNUMBER(SEARCH("alim",PAA_4[[#This Row],[Actividad3]])),"Alimentación",IF(ISNUMBER(SEARCH("educ",PAA_4[[#This Row],[Actividad3]])),"Educativo","Técnico"))),0)</f>
        <v>0</v>
      </c>
      <c r="AI484" s="47" t="e" cm="1">
        <f t="array" aca="1" ref="AI484" ca="1">_xlfn.XLOOKUP(PAA_4[[#This Row],[RCP-RUBRO]],[2]!COMPROMISOS_2024[[#All],[concatenado]],[2]!COMPROMISOS_2024[[#All],[Total pagado]],"",0)</f>
        <v>#NAME?</v>
      </c>
      <c r="AJ484" s="56">
        <f>IF(PAA_4[[#This Row],[BOLSA]]=0,0,SUMIFS([2]!COMPROMISOS_2024[[#All],[Total pagado]],[2]!COMPROMISOS_2024[[#All],[Bolsa]],PAA_4[[#This Row],[BOLSA]],[2]!COMPROMISOS_2024[[#All],[rubro]],PAA_4[[#This Row],[RCP-RUBRO]]))</f>
        <v>0</v>
      </c>
      <c r="AK484" s="47" t="e" cm="1">
        <f t="array" aca="1" ref="AK484" ca="1">_xlfn.XLOOKUP(PAA_4[[#This Row],[RCP-RUBRO]],[2]!COMPROMISOS_2024[[#All],[concatenado]],[2]!COMPROMISOS_2024[[#All],[Total Comprometido]],"",0)</f>
        <v>#NAME?</v>
      </c>
      <c r="AL484" s="47">
        <f>IF(PAA_4[[#This Row],[BOLSA]]=0,0,SUMIFS([2]!COMPROMISOS_2024[[#All],[Total Comprometido]],[2]!COMPROMISOS_2024[[#All],[Bolsa]],PAA_4[[#This Row],[BOLSA]],[2]!COMPROMISOS_2024[[#All],[concatenado]],PAA_4[[#This Row],[RCP-RUBRO]]))</f>
        <v>0</v>
      </c>
    </row>
    <row r="485" spans="1:38" s="19" customFormat="1" ht="31.5" customHeight="1">
      <c r="A485" s="47" t="s">
        <v>82</v>
      </c>
      <c r="B485" s="47" t="s">
        <v>42</v>
      </c>
      <c r="C485" s="47" t="str">
        <f>VLOOKUP(PAA_4[[#This Row],[PROYECTO (formulado)2]],[2]PROYECTOS!$G$1:$L$32,6,0)</f>
        <v>SUBGERENCIA DE ALTOS LOGROS Y DEPORTE ASOCIADO</v>
      </c>
      <c r="D485" s="47" t="str">
        <f>+IF(PAA_4[[#This Row],[UNIDAD DE CONTRATACION (formulado)]]="Subgerencia Administrativa y Financiera","FUNCIONAMIENTO","INVERSIÓN")</f>
        <v>INVERSIÓN</v>
      </c>
      <c r="E485" s="48" t="str">
        <f>VLOOKUP(Q485,[2]PROYECTOS!$G$1:$K$32,5,0)</f>
        <v>FORTALECIMIENTO_DEL_PROGRAMA_DE_ALTOS_LOGROS_Y_LIDERAZGO_DEPORTIVO_EN_EL_DEPARTAMENTO_DE_ANTIOQUIA</v>
      </c>
      <c r="F485" s="48">
        <f>VLOOKUP(E485,[2]PROYECTOS!$K$1:$M$32,3,0)</f>
        <v>2020003050021</v>
      </c>
      <c r="G485" s="344" t="s">
        <v>235</v>
      </c>
      <c r="H485" s="49" t="str">
        <f>VLOOKUP(Q485,[2]PROYECTOS!$V$1:$W$32,2,0)</f>
        <v>050061</v>
      </c>
      <c r="I485" s="50">
        <v>12901933</v>
      </c>
      <c r="J485" s="51" t="s">
        <v>1547</v>
      </c>
      <c r="K485" s="47" t="str">
        <f t="shared" ca="1" si="227"/>
        <v>CONTRATADO</v>
      </c>
      <c r="L485" s="47" t="s">
        <v>42</v>
      </c>
      <c r="M485" s="47" t="s">
        <v>42</v>
      </c>
      <c r="N485" s="344" t="s">
        <v>245</v>
      </c>
      <c r="O485" s="51" t="e">
        <f>VLOOKUP(N485,[2]!RUBROS[#All],3,0)</f>
        <v>#REF!</v>
      </c>
      <c r="P485" s="53" t="e">
        <f>VLOOKUP(N485,[2]!RUBROS[#All],2,0)</f>
        <v>#REF!</v>
      </c>
      <c r="Q485" s="47" t="str">
        <f t="shared" si="228"/>
        <v>20</v>
      </c>
      <c r="R485" s="47" t="str">
        <f t="shared" si="229"/>
        <v>0-205400</v>
      </c>
      <c r="S485" s="47" t="s">
        <v>42</v>
      </c>
      <c r="T485" s="63" t="s">
        <v>42</v>
      </c>
      <c r="U485" s="326" t="e">
        <f ca="1">_xlfn.XLOOKUP(PAA_4[[#This Row],[ITEM]],[2]Contrato!A:A,[2]Contrato!Q:Q,"",0)</f>
        <v>#NAME?</v>
      </c>
      <c r="V485" s="47" t="s">
        <v>95</v>
      </c>
      <c r="W485" s="47" t="s">
        <v>42</v>
      </c>
      <c r="X485" s="47" t="s">
        <v>42</v>
      </c>
      <c r="Y485" s="55" t="e">
        <f ca="1">_xlfn.XLOOKUP(PAA_4[[#This Row],[ITEM]],[2]Contrato!A:A,[2]Contrato!B:B,"",0)</f>
        <v>#NAME?</v>
      </c>
      <c r="Z485" s="47" t="e">
        <f ca="1">_xlfn.XLOOKUP(PAA_4[[#This Row],[ITEM]],[2]Contrato!A:A,[2]Contrato!G:G,"",0)</f>
        <v>#NAME?</v>
      </c>
      <c r="AA485" s="47" t="e">
        <f ca="1">_xlfn.XLOOKUP(PAA_4[[#This Row],[ITEM]],[2]Contrato!A:A,[2]Contrato!T:T,"",0)</f>
        <v>#NAME?</v>
      </c>
      <c r="AB485" s="55" t="e">
        <f ca="1">+MAX(PAA_4[[#This Row],[Comprometido Contrato]],PAA_4[[#This Row],[Comprometido Bolsa]])</f>
        <v>#NAME?</v>
      </c>
      <c r="AC485" s="55" t="str">
        <f t="shared" ca="1" si="230"/>
        <v/>
      </c>
      <c r="AD485" s="55" t="e">
        <f ca="1">IF(PAA_4[[#This Row],[ESTADO (formulado)]]="NO CONTRATADO",0,MAX(PAA_4[[#This Row],[Pago por Contrato]],PAA_4[[#This Row],[Pago por bolsa]]))</f>
        <v>#NAME?</v>
      </c>
      <c r="AE485" s="55" t="str">
        <f t="shared" ca="1" si="231"/>
        <v/>
      </c>
      <c r="AF485" s="47" t="e">
        <f t="shared" ca="1" si="232"/>
        <v>#NAME?</v>
      </c>
      <c r="AG485" s="47">
        <f t="shared" si="233"/>
        <v>41080111</v>
      </c>
      <c r="AH485" s="54">
        <f>IF(Q485="22",IF(ISNUMBER(SEARCH("econ",PAA_4[[#This Row],[Actividad3]])),"Económico",IF(ISNUMBER(SEARCH("alim",PAA_4[[#This Row],[Actividad3]])),"Alimentación",IF(ISNUMBER(SEARCH("educ",PAA_4[[#This Row],[Actividad3]])),"Educativo","Técnico"))),0)</f>
        <v>0</v>
      </c>
      <c r="AI485" s="47" t="e" cm="1">
        <f t="array" aca="1" ref="AI485" ca="1">_xlfn.XLOOKUP(PAA_4[[#This Row],[RCP-RUBRO]],[2]!COMPROMISOS_2024[[#All],[concatenado]],[2]!COMPROMISOS_2024[[#All],[Total pagado]],"",0)</f>
        <v>#NAME?</v>
      </c>
      <c r="AJ485" s="56">
        <f>IF(PAA_4[[#This Row],[BOLSA]]=0,0,SUMIFS([2]!COMPROMISOS_2024[[#All],[Total pagado]],[2]!COMPROMISOS_2024[[#All],[Bolsa]],PAA_4[[#This Row],[BOLSA]],[2]!COMPROMISOS_2024[[#All],[rubro]],PAA_4[[#This Row],[RCP-RUBRO]]))</f>
        <v>0</v>
      </c>
      <c r="AK485" s="47" t="e" cm="1">
        <f t="array" aca="1" ref="AK485" ca="1">_xlfn.XLOOKUP(PAA_4[[#This Row],[RCP-RUBRO]],[2]!COMPROMISOS_2024[[#All],[concatenado]],[2]!COMPROMISOS_2024[[#All],[Total Comprometido]],"",0)</f>
        <v>#NAME?</v>
      </c>
      <c r="AL485" s="47">
        <f>IF(PAA_4[[#This Row],[BOLSA]]=0,0,SUMIFS([2]!COMPROMISOS_2024[[#All],[Total Comprometido]],[2]!COMPROMISOS_2024[[#All],[Bolsa]],PAA_4[[#This Row],[BOLSA]],[2]!COMPROMISOS_2024[[#All],[concatenado]],PAA_4[[#This Row],[RCP-RUBRO]]))</f>
        <v>0</v>
      </c>
    </row>
    <row r="486" spans="1:38" s="19" customFormat="1" ht="31.5" customHeight="1">
      <c r="A486" s="47" t="s">
        <v>82</v>
      </c>
      <c r="B486" s="47" t="s">
        <v>42</v>
      </c>
      <c r="C486" s="47" t="str">
        <f>VLOOKUP(PAA_4[[#This Row],[PROYECTO (formulado)2]],[2]PROYECTOS!$G$1:$L$32,6,0)</f>
        <v>SUBGERENCIA DE ALTOS LOGROS Y DEPORTE ASOCIADO</v>
      </c>
      <c r="D486" s="47" t="str">
        <f>+IF(PAA_4[[#This Row],[UNIDAD DE CONTRATACION (formulado)]]="Subgerencia Administrativa y Financiera","FUNCIONAMIENTO","INVERSIÓN")</f>
        <v>INVERSIÓN</v>
      </c>
      <c r="E486" s="48" t="str">
        <f>VLOOKUP(Q486,[2]PROYECTOS!$G$1:$K$32,5,0)</f>
        <v>FORTALECIMIENTO_DEL_PROGRAMA_DE_ALTOS_LOGROS_Y_LIDERAZGO_DEPORTIVO_EN_EL_DEPARTAMENTO_DE_ANTIOQUIA</v>
      </c>
      <c r="F486" s="48">
        <f>VLOOKUP(E486,[2]PROYECTOS!$K$1:$M$32,3,0)</f>
        <v>2020003050021</v>
      </c>
      <c r="G486" s="344" t="s">
        <v>235</v>
      </c>
      <c r="H486" s="49" t="str">
        <f>VLOOKUP(Q486,[2]PROYECTOS!$V$1:$W$32,2,0)</f>
        <v>050061</v>
      </c>
      <c r="I486" s="50">
        <v>6352800</v>
      </c>
      <c r="J486" s="51" t="s">
        <v>1547</v>
      </c>
      <c r="K486" s="47" t="str">
        <f t="shared" ca="1" si="227"/>
        <v>CONTRATADO</v>
      </c>
      <c r="L486" s="47" t="s">
        <v>42</v>
      </c>
      <c r="M486" s="47" t="s">
        <v>42</v>
      </c>
      <c r="N486" s="344" t="s">
        <v>237</v>
      </c>
      <c r="O486" s="51" t="e">
        <f>VLOOKUP(N486,[2]!RUBROS[#All],3,0)</f>
        <v>#REF!</v>
      </c>
      <c r="P486" s="53" t="e">
        <f>VLOOKUP(N486,[2]!RUBROS[#All],2,0)</f>
        <v>#REF!</v>
      </c>
      <c r="Q486" s="47" t="str">
        <f t="shared" si="228"/>
        <v>20</v>
      </c>
      <c r="R486" s="47" t="str">
        <f t="shared" si="229"/>
        <v>0-205400</v>
      </c>
      <c r="S486" s="47" t="s">
        <v>42</v>
      </c>
      <c r="T486" s="63" t="s">
        <v>42</v>
      </c>
      <c r="U486" s="326" t="e">
        <f ca="1">_xlfn.XLOOKUP(PAA_4[[#This Row],[ITEM]],[2]Contrato!A:A,[2]Contrato!Q:Q,"",0)</f>
        <v>#NAME?</v>
      </c>
      <c r="V486" s="47" t="s">
        <v>95</v>
      </c>
      <c r="W486" s="47" t="s">
        <v>42</v>
      </c>
      <c r="X486" s="47" t="s">
        <v>42</v>
      </c>
      <c r="Y486" s="55" t="e">
        <f ca="1">_xlfn.XLOOKUP(PAA_4[[#This Row],[ITEM]],[2]Contrato!A:A,[2]Contrato!B:B,"",0)</f>
        <v>#NAME?</v>
      </c>
      <c r="Z486" s="47" t="e">
        <f ca="1">_xlfn.XLOOKUP(PAA_4[[#This Row],[ITEM]],[2]Contrato!A:A,[2]Contrato!G:G,"",0)</f>
        <v>#NAME?</v>
      </c>
      <c r="AA486" s="47" t="e">
        <f ca="1">_xlfn.XLOOKUP(PAA_4[[#This Row],[ITEM]],[2]Contrato!A:A,[2]Contrato!T:T,"",0)</f>
        <v>#NAME?</v>
      </c>
      <c r="AB486" s="55" t="e">
        <f ca="1">+MAX(PAA_4[[#This Row],[Comprometido Contrato]],PAA_4[[#This Row],[Comprometido Bolsa]])</f>
        <v>#NAME?</v>
      </c>
      <c r="AC486" s="55" t="str">
        <f t="shared" ca="1" si="230"/>
        <v/>
      </c>
      <c r="AD486" s="55" t="e">
        <f ca="1">IF(PAA_4[[#This Row],[ESTADO (formulado)]]="NO CONTRATADO",0,MAX(PAA_4[[#This Row],[Pago por Contrato]],PAA_4[[#This Row],[Pago por bolsa]]))</f>
        <v>#NAME?</v>
      </c>
      <c r="AE486" s="55" t="str">
        <f t="shared" ca="1" si="231"/>
        <v/>
      </c>
      <c r="AF486" s="47" t="e">
        <f t="shared" ca="1" si="232"/>
        <v>#NAME?</v>
      </c>
      <c r="AG486" s="47">
        <f t="shared" si="233"/>
        <v>41080111</v>
      </c>
      <c r="AH486" s="54">
        <f>IF(Q486="22",IF(ISNUMBER(SEARCH("econ",PAA_4[[#This Row],[Actividad3]])),"Económico",IF(ISNUMBER(SEARCH("alim",PAA_4[[#This Row],[Actividad3]])),"Alimentación",IF(ISNUMBER(SEARCH("educ",PAA_4[[#This Row],[Actividad3]])),"Educativo","Técnico"))),0)</f>
        <v>0</v>
      </c>
      <c r="AI486" s="47" t="e" cm="1">
        <f t="array" aca="1" ref="AI486" ca="1">_xlfn.XLOOKUP(PAA_4[[#This Row],[RCP-RUBRO]],[2]!COMPROMISOS_2024[[#All],[concatenado]],[2]!COMPROMISOS_2024[[#All],[Total pagado]],"",0)</f>
        <v>#NAME?</v>
      </c>
      <c r="AJ486" s="56">
        <f>IF(PAA_4[[#This Row],[BOLSA]]=0,0,SUMIFS([2]!COMPROMISOS_2024[[#All],[Total pagado]],[2]!COMPROMISOS_2024[[#All],[Bolsa]],PAA_4[[#This Row],[BOLSA]],[2]!COMPROMISOS_2024[[#All],[rubro]],PAA_4[[#This Row],[RCP-RUBRO]]))</f>
        <v>0</v>
      </c>
      <c r="AK486" s="47" t="e" cm="1">
        <f t="array" aca="1" ref="AK486" ca="1">_xlfn.XLOOKUP(PAA_4[[#This Row],[RCP-RUBRO]],[2]!COMPROMISOS_2024[[#All],[concatenado]],[2]!COMPROMISOS_2024[[#All],[Total Comprometido]],"",0)</f>
        <v>#NAME?</v>
      </c>
      <c r="AL486" s="47">
        <f>IF(PAA_4[[#This Row],[BOLSA]]=0,0,SUMIFS([2]!COMPROMISOS_2024[[#All],[Total Comprometido]],[2]!COMPROMISOS_2024[[#All],[Bolsa]],PAA_4[[#This Row],[BOLSA]],[2]!COMPROMISOS_2024[[#All],[concatenado]],PAA_4[[#This Row],[RCP-RUBRO]]))</f>
        <v>0</v>
      </c>
    </row>
    <row r="487" spans="1:38" s="19" customFormat="1" ht="31.5" customHeight="1">
      <c r="A487" s="47" t="s">
        <v>82</v>
      </c>
      <c r="B487" s="47" t="s">
        <v>42</v>
      </c>
      <c r="C487" s="47" t="str">
        <f>VLOOKUP(PAA_4[[#This Row],[PROYECTO (formulado)2]],[2]PROYECTOS!$G$1:$L$32,6,0)</f>
        <v>SUBGERENCIA DE ALTOS LOGROS Y DEPORTE ASOCIADO</v>
      </c>
      <c r="D487" s="47" t="str">
        <f>+IF(PAA_4[[#This Row],[UNIDAD DE CONTRATACION (formulado)]]="Subgerencia Administrativa y Financiera","FUNCIONAMIENTO","INVERSIÓN")</f>
        <v>INVERSIÓN</v>
      </c>
      <c r="E487" s="48" t="str">
        <f>VLOOKUP(Q487,[2]PROYECTOS!$G$1:$K$32,5,0)</f>
        <v>FORTALECIMIENTO_DEL_PROGRAMA_DE_ALTOS_LOGROS_Y_LIDERAZGO_DEPORTIVO_EN_EL_DEPARTAMENTO_DE_ANTIOQUIA</v>
      </c>
      <c r="F487" s="48">
        <f>VLOOKUP(E487,[2]PROYECTOS!$K$1:$M$32,3,0)</f>
        <v>2020003050021</v>
      </c>
      <c r="G487" s="344" t="s">
        <v>235</v>
      </c>
      <c r="H487" s="49" t="str">
        <f>VLOOKUP(Q487,[2]PROYECTOS!$V$1:$W$32,2,0)</f>
        <v>050061</v>
      </c>
      <c r="I487" s="50">
        <v>139716</v>
      </c>
      <c r="J487" s="51" t="s">
        <v>1547</v>
      </c>
      <c r="K487" s="47" t="str">
        <f t="shared" ca="1" si="227"/>
        <v>CONTRATADO</v>
      </c>
      <c r="L487" s="47" t="s">
        <v>42</v>
      </c>
      <c r="M487" s="47" t="s">
        <v>42</v>
      </c>
      <c r="N487" s="344" t="s">
        <v>225</v>
      </c>
      <c r="O487" s="51" t="e">
        <f>VLOOKUP(N487,[2]!RUBROS[#All],3,0)</f>
        <v>#REF!</v>
      </c>
      <c r="P487" s="53" t="e">
        <f>VLOOKUP(N487,[2]!RUBROS[#All],2,0)</f>
        <v>#REF!</v>
      </c>
      <c r="Q487" s="47" t="str">
        <f t="shared" si="228"/>
        <v>20</v>
      </c>
      <c r="R487" s="47" t="str">
        <f t="shared" si="229"/>
        <v>4-101124</v>
      </c>
      <c r="S487" s="47" t="s">
        <v>42</v>
      </c>
      <c r="T487" s="63" t="s">
        <v>42</v>
      </c>
      <c r="U487" s="326" t="e">
        <f ca="1">_xlfn.XLOOKUP(PAA_4[[#This Row],[ITEM]],[2]Contrato!A:A,[2]Contrato!Q:Q,"",0)</f>
        <v>#NAME?</v>
      </c>
      <c r="V487" s="47" t="s">
        <v>95</v>
      </c>
      <c r="W487" s="47" t="s">
        <v>42</v>
      </c>
      <c r="X487" s="47" t="s">
        <v>42</v>
      </c>
      <c r="Y487" s="55" t="e">
        <f ca="1">_xlfn.XLOOKUP(PAA_4[[#This Row],[ITEM]],[2]Contrato!A:A,[2]Contrato!B:B,"",0)</f>
        <v>#NAME?</v>
      </c>
      <c r="Z487" s="47" t="e">
        <f ca="1">_xlfn.XLOOKUP(PAA_4[[#This Row],[ITEM]],[2]Contrato!A:A,[2]Contrato!G:G,"",0)</f>
        <v>#NAME?</v>
      </c>
      <c r="AA487" s="47" t="e">
        <f ca="1">_xlfn.XLOOKUP(PAA_4[[#This Row],[ITEM]],[2]Contrato!A:A,[2]Contrato!T:T,"",0)</f>
        <v>#NAME?</v>
      </c>
      <c r="AB487" s="55" t="e">
        <f ca="1">+MAX(PAA_4[[#This Row],[Comprometido Contrato]],PAA_4[[#This Row],[Comprometido Bolsa]])</f>
        <v>#NAME?</v>
      </c>
      <c r="AC487" s="55" t="str">
        <f t="shared" ca="1" si="230"/>
        <v/>
      </c>
      <c r="AD487" s="55" t="e">
        <f ca="1">IF(PAA_4[[#This Row],[ESTADO (formulado)]]="NO CONTRATADO",0,MAX(PAA_4[[#This Row],[Pago por Contrato]],PAA_4[[#This Row],[Pago por bolsa]]))</f>
        <v>#NAME?</v>
      </c>
      <c r="AE487" s="55" t="str">
        <f t="shared" ca="1" si="231"/>
        <v/>
      </c>
      <c r="AF487" s="47" t="e">
        <f t="shared" ca="1" si="232"/>
        <v>#NAME?</v>
      </c>
      <c r="AG487" s="47">
        <f t="shared" si="233"/>
        <v>41080111</v>
      </c>
      <c r="AH487" s="54">
        <f>IF(Q487="22",IF(ISNUMBER(SEARCH("econ",PAA_4[[#This Row],[Actividad3]])),"Económico",IF(ISNUMBER(SEARCH("alim",PAA_4[[#This Row],[Actividad3]])),"Alimentación",IF(ISNUMBER(SEARCH("educ",PAA_4[[#This Row],[Actividad3]])),"Educativo","Técnico"))),0)</f>
        <v>0</v>
      </c>
      <c r="AI487" s="47" t="e" cm="1">
        <f t="array" aca="1" ref="AI487" ca="1">_xlfn.XLOOKUP(PAA_4[[#This Row],[RCP-RUBRO]],[2]!COMPROMISOS_2024[[#All],[concatenado]],[2]!COMPROMISOS_2024[[#All],[Total pagado]],"",0)</f>
        <v>#NAME?</v>
      </c>
      <c r="AJ487" s="56">
        <f>IF(PAA_4[[#This Row],[BOLSA]]=0,0,SUMIFS([2]!COMPROMISOS_2024[[#All],[Total pagado]],[2]!COMPROMISOS_2024[[#All],[Bolsa]],PAA_4[[#This Row],[BOLSA]],[2]!COMPROMISOS_2024[[#All],[rubro]],PAA_4[[#This Row],[RCP-RUBRO]]))</f>
        <v>0</v>
      </c>
      <c r="AK487" s="47" t="e" cm="1">
        <f t="array" aca="1" ref="AK487" ca="1">_xlfn.XLOOKUP(PAA_4[[#This Row],[RCP-RUBRO]],[2]!COMPROMISOS_2024[[#All],[concatenado]],[2]!COMPROMISOS_2024[[#All],[Total Comprometido]],"",0)</f>
        <v>#NAME?</v>
      </c>
      <c r="AL487" s="47">
        <f>IF(PAA_4[[#This Row],[BOLSA]]=0,0,SUMIFS([2]!COMPROMISOS_2024[[#All],[Total Comprometido]],[2]!COMPROMISOS_2024[[#All],[Bolsa]],PAA_4[[#This Row],[BOLSA]],[2]!COMPROMISOS_2024[[#All],[concatenado]],PAA_4[[#This Row],[RCP-RUBRO]]))</f>
        <v>0</v>
      </c>
    </row>
    <row r="488" spans="1:38" s="19" customFormat="1" ht="31.5" customHeight="1">
      <c r="A488" s="47" t="s">
        <v>82</v>
      </c>
      <c r="B488" s="47" t="s">
        <v>42</v>
      </c>
      <c r="C488" s="47" t="str">
        <f>VLOOKUP(PAA_4[[#This Row],[PROYECTO (formulado)2]],[2]PROYECTOS!$G$1:$L$32,6,0)</f>
        <v>SUBGERENCIA DE ALTOS LOGROS Y DEPORTE ASOCIADO</v>
      </c>
      <c r="D488" s="47" t="str">
        <f>+IF(PAA_4[[#This Row],[UNIDAD DE CONTRATACION (formulado)]]="Subgerencia Administrativa y Financiera","FUNCIONAMIENTO","INVERSIÓN")</f>
        <v>INVERSIÓN</v>
      </c>
      <c r="E488" s="48" t="str">
        <f>VLOOKUP(Q488,[2]PROYECTOS!$G$1:$K$32,5,0)</f>
        <v>DESARROLLO_DEL_POTENCIAL_DEPORTIVO_EN_EL_DEPARTAMENTO_DE_ANTIOQUIA</v>
      </c>
      <c r="F488" s="48">
        <f>VLOOKUP(E488,[2]PROYECTOS!$K$1:$M$32,3,0)</f>
        <v>2020003050022</v>
      </c>
      <c r="G488" s="344" t="s">
        <v>273</v>
      </c>
      <c r="H488" s="49" t="str">
        <f>VLOOKUP(Q488,[2]PROYECTOS!$V$1:$W$32,2,0)</f>
        <v>050065</v>
      </c>
      <c r="I488" s="50">
        <v>112662</v>
      </c>
      <c r="J488" s="51" t="s">
        <v>1547</v>
      </c>
      <c r="K488" s="47" t="str">
        <f t="shared" ca="1" si="227"/>
        <v>CONTRATADO</v>
      </c>
      <c r="L488" s="47" t="s">
        <v>42</v>
      </c>
      <c r="M488" s="47" t="s">
        <v>42</v>
      </c>
      <c r="N488" s="344" t="s">
        <v>274</v>
      </c>
      <c r="O488" s="51" t="e">
        <f>VLOOKUP(N488,[2]!RUBROS[#All],3,0)</f>
        <v>#REF!</v>
      </c>
      <c r="P488" s="53" t="e">
        <f>VLOOKUP(N488,[2]!RUBROS[#All],2,0)</f>
        <v>#REF!</v>
      </c>
      <c r="Q488" s="47" t="str">
        <f t="shared" si="228"/>
        <v>21</v>
      </c>
      <c r="R488" s="47" t="str">
        <f t="shared" si="229"/>
        <v>4-101124</v>
      </c>
      <c r="S488" s="47" t="s">
        <v>42</v>
      </c>
      <c r="T488" s="63" t="s">
        <v>42</v>
      </c>
      <c r="U488" s="326" t="e">
        <f ca="1">_xlfn.XLOOKUP(PAA_4[[#This Row],[ITEM]],[2]Contrato!A:A,[2]Contrato!Q:Q,"",0)</f>
        <v>#NAME?</v>
      </c>
      <c r="V488" s="47" t="s">
        <v>95</v>
      </c>
      <c r="W488" s="47" t="s">
        <v>42</v>
      </c>
      <c r="X488" s="47" t="s">
        <v>42</v>
      </c>
      <c r="Y488" s="55" t="e">
        <f ca="1">_xlfn.XLOOKUP(PAA_4[[#This Row],[ITEM]],[2]Contrato!A:A,[2]Contrato!B:B,"",0)</f>
        <v>#NAME?</v>
      </c>
      <c r="Z488" s="47" t="e">
        <f ca="1">_xlfn.XLOOKUP(PAA_4[[#This Row],[ITEM]],[2]Contrato!A:A,[2]Contrato!G:G,"",0)</f>
        <v>#NAME?</v>
      </c>
      <c r="AA488" s="47" t="e">
        <f ca="1">_xlfn.XLOOKUP(PAA_4[[#This Row],[ITEM]],[2]Contrato!A:A,[2]Contrato!T:T,"",0)</f>
        <v>#NAME?</v>
      </c>
      <c r="AB488" s="55" t="e">
        <f ca="1">+MAX(PAA_4[[#This Row],[Comprometido Contrato]],PAA_4[[#This Row],[Comprometido Bolsa]])</f>
        <v>#NAME?</v>
      </c>
      <c r="AC488" s="55" t="str">
        <f t="shared" ca="1" si="230"/>
        <v/>
      </c>
      <c r="AD488" s="55" t="e">
        <f ca="1">IF(PAA_4[[#This Row],[ESTADO (formulado)]]="NO CONTRATADO",0,MAX(PAA_4[[#This Row],[Pago por Contrato]],PAA_4[[#This Row],[Pago por bolsa]]))</f>
        <v>#NAME?</v>
      </c>
      <c r="AE488" s="55" t="str">
        <f t="shared" ca="1" si="231"/>
        <v/>
      </c>
      <c r="AF488" s="47" t="e">
        <f t="shared" ca="1" si="232"/>
        <v>#NAME?</v>
      </c>
      <c r="AG488" s="47">
        <f t="shared" si="233"/>
        <v>41080112</v>
      </c>
      <c r="AH488" s="54">
        <f>IF(Q488="22",IF(ISNUMBER(SEARCH("econ",PAA_4[[#This Row],[Actividad3]])),"Económico",IF(ISNUMBER(SEARCH("alim",PAA_4[[#This Row],[Actividad3]])),"Alimentación",IF(ISNUMBER(SEARCH("educ",PAA_4[[#This Row],[Actividad3]])),"Educativo","Técnico"))),0)</f>
        <v>0</v>
      </c>
      <c r="AI488" s="47" t="e" cm="1">
        <f t="array" aca="1" ref="AI488" ca="1">_xlfn.XLOOKUP(PAA_4[[#This Row],[RCP-RUBRO]],[2]!COMPROMISOS_2024[[#All],[concatenado]],[2]!COMPROMISOS_2024[[#All],[Total pagado]],"",0)</f>
        <v>#NAME?</v>
      </c>
      <c r="AJ488" s="56">
        <f>IF(PAA_4[[#This Row],[BOLSA]]=0,0,SUMIFS([2]!COMPROMISOS_2024[[#All],[Total pagado]],[2]!COMPROMISOS_2024[[#All],[Bolsa]],PAA_4[[#This Row],[BOLSA]],[2]!COMPROMISOS_2024[[#All],[rubro]],PAA_4[[#This Row],[RCP-RUBRO]]))</f>
        <v>0</v>
      </c>
      <c r="AK488" s="47" t="e" cm="1">
        <f t="array" aca="1" ref="AK488" ca="1">_xlfn.XLOOKUP(PAA_4[[#This Row],[RCP-RUBRO]],[2]!COMPROMISOS_2024[[#All],[concatenado]],[2]!COMPROMISOS_2024[[#All],[Total Comprometido]],"",0)</f>
        <v>#NAME?</v>
      </c>
      <c r="AL488" s="47">
        <f>IF(PAA_4[[#This Row],[BOLSA]]=0,0,SUMIFS([2]!COMPROMISOS_2024[[#All],[Total Comprometido]],[2]!COMPROMISOS_2024[[#All],[Bolsa]],PAA_4[[#This Row],[BOLSA]],[2]!COMPROMISOS_2024[[#All],[concatenado]],PAA_4[[#This Row],[RCP-RUBRO]]))</f>
        <v>0</v>
      </c>
    </row>
    <row r="489" spans="1:38" s="19" customFormat="1" ht="31.5" customHeight="1">
      <c r="A489" s="47" t="s">
        <v>82</v>
      </c>
      <c r="B489" s="47" t="s">
        <v>42</v>
      </c>
      <c r="C489" s="47" t="str">
        <f>VLOOKUP(PAA_4[[#This Row],[PROYECTO (formulado)2]],[2]PROYECTOS!$G$1:$L$32,6,0)</f>
        <v>SUBGERENCIA DE ALTOS LOGROS Y DEPORTE ASOCIADO</v>
      </c>
      <c r="D489" s="47" t="str">
        <f>+IF(PAA_4[[#This Row],[UNIDAD DE CONTRATACION (formulado)]]="Subgerencia Administrativa y Financiera","FUNCIONAMIENTO","INVERSIÓN")</f>
        <v>INVERSIÓN</v>
      </c>
      <c r="E489" s="48" t="str">
        <f>VLOOKUP(Q489,[2]PROYECTOS!$G$1:$K$32,5,0)</f>
        <v>DESARROLLO_DEL_POTENCIAL_DEPORTIVO_EN_EL_DEPARTAMENTO_DE_ANTIOQUIA</v>
      </c>
      <c r="F489" s="48">
        <f>VLOOKUP(E489,[2]PROYECTOS!$K$1:$M$32,3,0)</f>
        <v>2020003050022</v>
      </c>
      <c r="G489" s="344" t="s">
        <v>273</v>
      </c>
      <c r="H489" s="49" t="str">
        <f>VLOOKUP(Q489,[2]PROYECTOS!$V$1:$W$32,2,0)</f>
        <v>050065</v>
      </c>
      <c r="I489" s="50">
        <v>458602</v>
      </c>
      <c r="J489" s="51" t="s">
        <v>1547</v>
      </c>
      <c r="K489" s="47" t="str">
        <f t="shared" ca="1" si="227"/>
        <v>CONTRATADO</v>
      </c>
      <c r="L489" s="47" t="s">
        <v>42</v>
      </c>
      <c r="M489" s="47" t="s">
        <v>42</v>
      </c>
      <c r="N489" s="344" t="s">
        <v>274</v>
      </c>
      <c r="O489" s="51" t="e">
        <f>VLOOKUP(N489,[2]!RUBROS[#All],3,0)</f>
        <v>#REF!</v>
      </c>
      <c r="P489" s="53" t="e">
        <f>VLOOKUP(N489,[2]!RUBROS[#All],2,0)</f>
        <v>#REF!</v>
      </c>
      <c r="Q489" s="47" t="str">
        <f t="shared" si="228"/>
        <v>21</v>
      </c>
      <c r="R489" s="47" t="str">
        <f t="shared" si="229"/>
        <v>4-101124</v>
      </c>
      <c r="S489" s="47" t="s">
        <v>42</v>
      </c>
      <c r="T489" s="63" t="s">
        <v>42</v>
      </c>
      <c r="U489" s="326" t="e">
        <f ca="1">_xlfn.XLOOKUP(PAA_4[[#This Row],[ITEM]],[2]Contrato!A:A,[2]Contrato!Q:Q,"",0)</f>
        <v>#NAME?</v>
      </c>
      <c r="V489" s="47" t="s">
        <v>95</v>
      </c>
      <c r="W489" s="47" t="s">
        <v>42</v>
      </c>
      <c r="X489" s="47" t="s">
        <v>42</v>
      </c>
      <c r="Y489" s="55" t="e">
        <f ca="1">_xlfn.XLOOKUP(PAA_4[[#This Row],[ITEM]],[2]Contrato!A:A,[2]Contrato!B:B,"",0)</f>
        <v>#NAME?</v>
      </c>
      <c r="Z489" s="47" t="e">
        <f ca="1">_xlfn.XLOOKUP(PAA_4[[#This Row],[ITEM]],[2]Contrato!A:A,[2]Contrato!G:G,"",0)</f>
        <v>#NAME?</v>
      </c>
      <c r="AA489" s="47" t="e">
        <f ca="1">_xlfn.XLOOKUP(PAA_4[[#This Row],[ITEM]],[2]Contrato!A:A,[2]Contrato!T:T,"",0)</f>
        <v>#NAME?</v>
      </c>
      <c r="AB489" s="55" t="e">
        <f ca="1">+MAX(PAA_4[[#This Row],[Comprometido Contrato]],PAA_4[[#This Row],[Comprometido Bolsa]])</f>
        <v>#NAME?</v>
      </c>
      <c r="AC489" s="55" t="str">
        <f t="shared" ca="1" si="230"/>
        <v/>
      </c>
      <c r="AD489" s="55" t="e">
        <f ca="1">IF(PAA_4[[#This Row],[ESTADO (formulado)]]="NO CONTRATADO",0,MAX(PAA_4[[#This Row],[Pago por Contrato]],PAA_4[[#This Row],[Pago por bolsa]]))</f>
        <v>#NAME?</v>
      </c>
      <c r="AE489" s="55" t="str">
        <f t="shared" ca="1" si="231"/>
        <v/>
      </c>
      <c r="AF489" s="47" t="e">
        <f t="shared" ca="1" si="232"/>
        <v>#NAME?</v>
      </c>
      <c r="AG489" s="47">
        <f t="shared" si="233"/>
        <v>41080112</v>
      </c>
      <c r="AH489" s="54">
        <f>IF(Q489="22",IF(ISNUMBER(SEARCH("econ",PAA_4[[#This Row],[Actividad3]])),"Económico",IF(ISNUMBER(SEARCH("alim",PAA_4[[#This Row],[Actividad3]])),"Alimentación",IF(ISNUMBER(SEARCH("educ",PAA_4[[#This Row],[Actividad3]])),"Educativo","Técnico"))),0)</f>
        <v>0</v>
      </c>
      <c r="AI489" s="47" t="e" cm="1">
        <f t="array" aca="1" ref="AI489" ca="1">_xlfn.XLOOKUP(PAA_4[[#This Row],[RCP-RUBRO]],[2]!COMPROMISOS_2024[[#All],[concatenado]],[2]!COMPROMISOS_2024[[#All],[Total pagado]],"",0)</f>
        <v>#NAME?</v>
      </c>
      <c r="AJ489" s="56">
        <f>IF(PAA_4[[#This Row],[BOLSA]]=0,0,SUMIFS([2]!COMPROMISOS_2024[[#All],[Total pagado]],[2]!COMPROMISOS_2024[[#All],[Bolsa]],PAA_4[[#This Row],[BOLSA]],[2]!COMPROMISOS_2024[[#All],[rubro]],PAA_4[[#This Row],[RCP-RUBRO]]))</f>
        <v>0</v>
      </c>
      <c r="AK489" s="47" t="e" cm="1">
        <f t="array" aca="1" ref="AK489" ca="1">_xlfn.XLOOKUP(PAA_4[[#This Row],[RCP-RUBRO]],[2]!COMPROMISOS_2024[[#All],[concatenado]],[2]!COMPROMISOS_2024[[#All],[Total Comprometido]],"",0)</f>
        <v>#NAME?</v>
      </c>
      <c r="AL489" s="47">
        <f>IF(PAA_4[[#This Row],[BOLSA]]=0,0,SUMIFS([2]!COMPROMISOS_2024[[#All],[Total Comprometido]],[2]!COMPROMISOS_2024[[#All],[Bolsa]],PAA_4[[#This Row],[BOLSA]],[2]!COMPROMISOS_2024[[#All],[concatenado]],PAA_4[[#This Row],[RCP-RUBRO]]))</f>
        <v>0</v>
      </c>
    </row>
    <row r="490" spans="1:38" s="19" customFormat="1" ht="31.5" customHeight="1">
      <c r="A490" s="47" t="s">
        <v>82</v>
      </c>
      <c r="B490" s="47" t="s">
        <v>42</v>
      </c>
      <c r="C490" s="47" t="str">
        <f>VLOOKUP(PAA_4[[#This Row],[PROYECTO (formulado)2]],[2]PROYECTOS!$G$1:$L$32,6,0)</f>
        <v>SUBGERENCIA DE ALTOS LOGROS Y DEPORTE ASOCIADO</v>
      </c>
      <c r="D490" s="47" t="str">
        <f>+IF(PAA_4[[#This Row],[UNIDAD DE CONTRATACION (formulado)]]="Subgerencia Administrativa y Financiera","FUNCIONAMIENTO","INVERSIÓN")</f>
        <v>INVERSIÓN</v>
      </c>
      <c r="E490" s="48" t="str">
        <f>VLOOKUP(Q490,[2]PROYECTOS!$G$1:$K$32,5,0)</f>
        <v>DESARROLLO_DEL_POTENCIAL_DEPORTIVO_EN_EL_DEPARTAMENTO_DE_ANTIOQUIA</v>
      </c>
      <c r="F490" s="48">
        <f>VLOOKUP(E490,[2]PROYECTOS!$K$1:$M$32,3,0)</f>
        <v>2020003050022</v>
      </c>
      <c r="G490" s="344" t="s">
        <v>273</v>
      </c>
      <c r="H490" s="49" t="str">
        <f>VLOOKUP(Q490,[2]PROYECTOS!$V$1:$W$32,2,0)</f>
        <v>050065</v>
      </c>
      <c r="I490" s="50">
        <v>458609</v>
      </c>
      <c r="J490" s="51" t="s">
        <v>1547</v>
      </c>
      <c r="K490" s="47" t="str">
        <f t="shared" ca="1" si="227"/>
        <v>CONTRATADO</v>
      </c>
      <c r="L490" s="47" t="s">
        <v>42</v>
      </c>
      <c r="M490" s="47" t="s">
        <v>42</v>
      </c>
      <c r="N490" s="344" t="s">
        <v>274</v>
      </c>
      <c r="O490" s="51" t="e">
        <f>VLOOKUP(N490,[2]!RUBROS[#All],3,0)</f>
        <v>#REF!</v>
      </c>
      <c r="P490" s="53" t="e">
        <f>VLOOKUP(N490,[2]!RUBROS[#All],2,0)</f>
        <v>#REF!</v>
      </c>
      <c r="Q490" s="47" t="str">
        <f t="shared" si="228"/>
        <v>21</v>
      </c>
      <c r="R490" s="47" t="str">
        <f t="shared" si="229"/>
        <v>4-101124</v>
      </c>
      <c r="S490" s="47" t="s">
        <v>42</v>
      </c>
      <c r="T490" s="63" t="s">
        <v>42</v>
      </c>
      <c r="U490" s="326" t="e">
        <f ca="1">_xlfn.XLOOKUP(PAA_4[[#This Row],[ITEM]],[2]Contrato!A:A,[2]Contrato!Q:Q,"",0)</f>
        <v>#NAME?</v>
      </c>
      <c r="V490" s="47" t="s">
        <v>95</v>
      </c>
      <c r="W490" s="47" t="s">
        <v>42</v>
      </c>
      <c r="X490" s="47" t="s">
        <v>42</v>
      </c>
      <c r="Y490" s="55" t="e">
        <f ca="1">_xlfn.XLOOKUP(PAA_4[[#This Row],[ITEM]],[2]Contrato!A:A,[2]Contrato!B:B,"",0)</f>
        <v>#NAME?</v>
      </c>
      <c r="Z490" s="47" t="e">
        <f ca="1">_xlfn.XLOOKUP(PAA_4[[#This Row],[ITEM]],[2]Contrato!A:A,[2]Contrato!G:G,"",0)</f>
        <v>#NAME?</v>
      </c>
      <c r="AA490" s="47" t="e">
        <f ca="1">_xlfn.XLOOKUP(PAA_4[[#This Row],[ITEM]],[2]Contrato!A:A,[2]Contrato!T:T,"",0)</f>
        <v>#NAME?</v>
      </c>
      <c r="AB490" s="55" t="e">
        <f ca="1">+MAX(PAA_4[[#This Row],[Comprometido Contrato]],PAA_4[[#This Row],[Comprometido Bolsa]])</f>
        <v>#NAME?</v>
      </c>
      <c r="AC490" s="55" t="str">
        <f t="shared" ca="1" si="230"/>
        <v/>
      </c>
      <c r="AD490" s="55" t="e">
        <f ca="1">IF(PAA_4[[#This Row],[ESTADO (formulado)]]="NO CONTRATADO",0,MAX(PAA_4[[#This Row],[Pago por Contrato]],PAA_4[[#This Row],[Pago por bolsa]]))</f>
        <v>#NAME?</v>
      </c>
      <c r="AE490" s="55" t="str">
        <f t="shared" ca="1" si="231"/>
        <v/>
      </c>
      <c r="AF490" s="47" t="e">
        <f t="shared" ca="1" si="232"/>
        <v>#NAME?</v>
      </c>
      <c r="AG490" s="47">
        <f t="shared" si="233"/>
        <v>41080112</v>
      </c>
      <c r="AH490" s="54">
        <f>IF(Q490="22",IF(ISNUMBER(SEARCH("econ",PAA_4[[#This Row],[Actividad3]])),"Económico",IF(ISNUMBER(SEARCH("alim",PAA_4[[#This Row],[Actividad3]])),"Alimentación",IF(ISNUMBER(SEARCH("educ",PAA_4[[#This Row],[Actividad3]])),"Educativo","Técnico"))),0)</f>
        <v>0</v>
      </c>
      <c r="AI490" s="47" t="e" cm="1">
        <f t="array" aca="1" ref="AI490" ca="1">_xlfn.XLOOKUP(PAA_4[[#This Row],[RCP-RUBRO]],[2]!COMPROMISOS_2024[[#All],[concatenado]],[2]!COMPROMISOS_2024[[#All],[Total pagado]],"",0)</f>
        <v>#NAME?</v>
      </c>
      <c r="AJ490" s="56">
        <f>IF(PAA_4[[#This Row],[BOLSA]]=0,0,SUMIFS([2]!COMPROMISOS_2024[[#All],[Total pagado]],[2]!COMPROMISOS_2024[[#All],[Bolsa]],PAA_4[[#This Row],[BOLSA]],[2]!COMPROMISOS_2024[[#All],[rubro]],PAA_4[[#This Row],[RCP-RUBRO]]))</f>
        <v>0</v>
      </c>
      <c r="AK490" s="47" t="e" cm="1">
        <f t="array" aca="1" ref="AK490" ca="1">_xlfn.XLOOKUP(PAA_4[[#This Row],[RCP-RUBRO]],[2]!COMPROMISOS_2024[[#All],[concatenado]],[2]!COMPROMISOS_2024[[#All],[Total Comprometido]],"",0)</f>
        <v>#NAME?</v>
      </c>
      <c r="AL490" s="47">
        <f>IF(PAA_4[[#This Row],[BOLSA]]=0,0,SUMIFS([2]!COMPROMISOS_2024[[#All],[Total Comprometido]],[2]!COMPROMISOS_2024[[#All],[Bolsa]],PAA_4[[#This Row],[BOLSA]],[2]!COMPROMISOS_2024[[#All],[concatenado]],PAA_4[[#This Row],[RCP-RUBRO]]))</f>
        <v>0</v>
      </c>
    </row>
    <row r="491" spans="1:38" s="19" customFormat="1" ht="31.5" customHeight="1">
      <c r="A491" s="47" t="s">
        <v>82</v>
      </c>
      <c r="B491" s="47" t="s">
        <v>42</v>
      </c>
      <c r="C491" s="47" t="str">
        <f>VLOOKUP(PAA_4[[#This Row],[PROYECTO (formulado)2]],[2]PROYECTOS!$G$1:$L$32,6,0)</f>
        <v>SUBGERENCIA DE ALTOS LOGROS Y DEPORTE ASOCIADO</v>
      </c>
      <c r="D491" s="47" t="str">
        <f>+IF(PAA_4[[#This Row],[UNIDAD DE CONTRATACION (formulado)]]="Subgerencia Administrativa y Financiera","FUNCIONAMIENTO","INVERSIÓN")</f>
        <v>INVERSIÓN</v>
      </c>
      <c r="E491" s="48" t="str">
        <f>VLOOKUP(Q491,[2]PROYECTOS!$G$1:$K$32,5,0)</f>
        <v>DESARROLLO_DEL_POTENCIAL_DEPORTIVO_EN_EL_DEPARTAMENTO_DE_ANTIOQUIA</v>
      </c>
      <c r="F491" s="48">
        <f>VLOOKUP(E491,[2]PROYECTOS!$K$1:$M$32,3,0)</f>
        <v>2020003050022</v>
      </c>
      <c r="G491" s="344" t="s">
        <v>273</v>
      </c>
      <c r="H491" s="49" t="str">
        <f>VLOOKUP(Q491,[2]PROYECTOS!$V$1:$W$32,2,0)</f>
        <v>050065</v>
      </c>
      <c r="I491" s="50">
        <v>2866282</v>
      </c>
      <c r="J491" s="51" t="s">
        <v>1547</v>
      </c>
      <c r="K491" s="47" t="str">
        <f t="shared" ca="1" si="227"/>
        <v>CONTRATADO</v>
      </c>
      <c r="L491" s="47" t="s">
        <v>42</v>
      </c>
      <c r="M491" s="47" t="s">
        <v>42</v>
      </c>
      <c r="N491" s="344" t="s">
        <v>274</v>
      </c>
      <c r="O491" s="51" t="e">
        <f>VLOOKUP(N491,[2]!RUBROS[#All],3,0)</f>
        <v>#REF!</v>
      </c>
      <c r="P491" s="53" t="e">
        <f>VLOOKUP(N491,[2]!RUBROS[#All],2,0)</f>
        <v>#REF!</v>
      </c>
      <c r="Q491" s="47" t="str">
        <f t="shared" si="228"/>
        <v>21</v>
      </c>
      <c r="R491" s="47" t="str">
        <f t="shared" si="229"/>
        <v>4-101124</v>
      </c>
      <c r="S491" s="47" t="s">
        <v>42</v>
      </c>
      <c r="T491" s="63" t="s">
        <v>42</v>
      </c>
      <c r="U491" s="326" t="e">
        <f ca="1">_xlfn.XLOOKUP(PAA_4[[#This Row],[ITEM]],[2]Contrato!A:A,[2]Contrato!Q:Q,"",0)</f>
        <v>#NAME?</v>
      </c>
      <c r="V491" s="47" t="s">
        <v>95</v>
      </c>
      <c r="W491" s="47" t="s">
        <v>42</v>
      </c>
      <c r="X491" s="47" t="s">
        <v>42</v>
      </c>
      <c r="Y491" s="55" t="e">
        <f ca="1">_xlfn.XLOOKUP(PAA_4[[#This Row],[ITEM]],[2]Contrato!A:A,[2]Contrato!B:B,"",0)</f>
        <v>#NAME?</v>
      </c>
      <c r="Z491" s="47" t="e">
        <f ca="1">_xlfn.XLOOKUP(PAA_4[[#This Row],[ITEM]],[2]Contrato!A:A,[2]Contrato!G:G,"",0)</f>
        <v>#NAME?</v>
      </c>
      <c r="AA491" s="47" t="e">
        <f ca="1">_xlfn.XLOOKUP(PAA_4[[#This Row],[ITEM]],[2]Contrato!A:A,[2]Contrato!T:T,"",0)</f>
        <v>#NAME?</v>
      </c>
      <c r="AB491" s="55" t="e">
        <f ca="1">+MAX(PAA_4[[#This Row],[Comprometido Contrato]],PAA_4[[#This Row],[Comprometido Bolsa]])</f>
        <v>#NAME?</v>
      </c>
      <c r="AC491" s="55" t="str">
        <f t="shared" ca="1" si="230"/>
        <v/>
      </c>
      <c r="AD491" s="55" t="e">
        <f ca="1">IF(PAA_4[[#This Row],[ESTADO (formulado)]]="NO CONTRATADO",0,MAX(PAA_4[[#This Row],[Pago por Contrato]],PAA_4[[#This Row],[Pago por bolsa]]))</f>
        <v>#NAME?</v>
      </c>
      <c r="AE491" s="55" t="str">
        <f t="shared" ca="1" si="231"/>
        <v/>
      </c>
      <c r="AF491" s="47" t="e">
        <f t="shared" ca="1" si="232"/>
        <v>#NAME?</v>
      </c>
      <c r="AG491" s="47">
        <f t="shared" si="233"/>
        <v>41080112</v>
      </c>
      <c r="AH491" s="54">
        <f>IF(Q491="22",IF(ISNUMBER(SEARCH("econ",PAA_4[[#This Row],[Actividad3]])),"Económico",IF(ISNUMBER(SEARCH("alim",PAA_4[[#This Row],[Actividad3]])),"Alimentación",IF(ISNUMBER(SEARCH("educ",PAA_4[[#This Row],[Actividad3]])),"Educativo","Técnico"))),0)</f>
        <v>0</v>
      </c>
      <c r="AI491" s="47" t="e" cm="1">
        <f t="array" aca="1" ref="AI491" ca="1">_xlfn.XLOOKUP(PAA_4[[#This Row],[RCP-RUBRO]],[2]!COMPROMISOS_2024[[#All],[concatenado]],[2]!COMPROMISOS_2024[[#All],[Total pagado]],"",0)</f>
        <v>#NAME?</v>
      </c>
      <c r="AJ491" s="56">
        <f>IF(PAA_4[[#This Row],[BOLSA]]=0,0,SUMIFS([2]!COMPROMISOS_2024[[#All],[Total pagado]],[2]!COMPROMISOS_2024[[#All],[Bolsa]],PAA_4[[#This Row],[BOLSA]],[2]!COMPROMISOS_2024[[#All],[rubro]],PAA_4[[#This Row],[RCP-RUBRO]]))</f>
        <v>0</v>
      </c>
      <c r="AK491" s="47" t="e" cm="1">
        <f t="array" aca="1" ref="AK491" ca="1">_xlfn.XLOOKUP(PAA_4[[#This Row],[RCP-RUBRO]],[2]!COMPROMISOS_2024[[#All],[concatenado]],[2]!COMPROMISOS_2024[[#All],[Total Comprometido]],"",0)</f>
        <v>#NAME?</v>
      </c>
      <c r="AL491" s="47">
        <f>IF(PAA_4[[#This Row],[BOLSA]]=0,0,SUMIFS([2]!COMPROMISOS_2024[[#All],[Total Comprometido]],[2]!COMPROMISOS_2024[[#All],[Bolsa]],PAA_4[[#This Row],[BOLSA]],[2]!COMPROMISOS_2024[[#All],[concatenado]],PAA_4[[#This Row],[RCP-RUBRO]]))</f>
        <v>0</v>
      </c>
    </row>
    <row r="492" spans="1:38" s="19" customFormat="1" ht="31.5" customHeight="1">
      <c r="A492" s="47" t="s">
        <v>82</v>
      </c>
      <c r="B492" s="47" t="s">
        <v>42</v>
      </c>
      <c r="C492" s="47" t="str">
        <f>VLOOKUP(PAA_4[[#This Row],[PROYECTO (formulado)2]],[2]PROYECTOS!$G$1:$L$32,6,0)</f>
        <v>SUBGERENCIA DE ALTOS LOGROS Y DEPORTE ASOCIADO</v>
      </c>
      <c r="D492" s="47" t="str">
        <f>+IF(PAA_4[[#This Row],[UNIDAD DE CONTRATACION (formulado)]]="Subgerencia Administrativa y Financiera","FUNCIONAMIENTO","INVERSIÓN")</f>
        <v>INVERSIÓN</v>
      </c>
      <c r="E492" s="48" t="str">
        <f>VLOOKUP(Q492,[2]PROYECTOS!$G$1:$K$32,5,0)</f>
        <v>DESARROLLO_DEL_POTENCIAL_DEPORTIVO_EN_EL_DEPARTAMENTO_DE_ANTIOQUIA</v>
      </c>
      <c r="F492" s="48">
        <f>VLOOKUP(E492,[2]PROYECTOS!$K$1:$M$32,3,0)</f>
        <v>2020003050022</v>
      </c>
      <c r="G492" s="344" t="s">
        <v>273</v>
      </c>
      <c r="H492" s="49" t="str">
        <f>VLOOKUP(Q492,[2]PROYECTOS!$V$1:$W$32,2,0)</f>
        <v>050065</v>
      </c>
      <c r="I492" s="50">
        <v>2866286</v>
      </c>
      <c r="J492" s="51" t="s">
        <v>1547</v>
      </c>
      <c r="K492" s="47" t="str">
        <f t="shared" ca="1" si="227"/>
        <v>CONTRATADO</v>
      </c>
      <c r="L492" s="47" t="s">
        <v>42</v>
      </c>
      <c r="M492" s="47" t="s">
        <v>42</v>
      </c>
      <c r="N492" s="344" t="s">
        <v>274</v>
      </c>
      <c r="O492" s="51" t="e">
        <f>VLOOKUP(N492,[2]!RUBROS[#All],3,0)</f>
        <v>#REF!</v>
      </c>
      <c r="P492" s="53" t="e">
        <f>VLOOKUP(N492,[2]!RUBROS[#All],2,0)</f>
        <v>#REF!</v>
      </c>
      <c r="Q492" s="47" t="str">
        <f t="shared" si="228"/>
        <v>21</v>
      </c>
      <c r="R492" s="47" t="str">
        <f t="shared" si="229"/>
        <v>4-101124</v>
      </c>
      <c r="S492" s="47" t="s">
        <v>42</v>
      </c>
      <c r="T492" s="63" t="s">
        <v>42</v>
      </c>
      <c r="U492" s="326" t="e">
        <f ca="1">_xlfn.XLOOKUP(PAA_4[[#This Row],[ITEM]],[2]Contrato!A:A,[2]Contrato!Q:Q,"",0)</f>
        <v>#NAME?</v>
      </c>
      <c r="V492" s="47" t="s">
        <v>95</v>
      </c>
      <c r="W492" s="47" t="s">
        <v>42</v>
      </c>
      <c r="X492" s="47" t="s">
        <v>42</v>
      </c>
      <c r="Y492" s="55" t="e">
        <f ca="1">_xlfn.XLOOKUP(PAA_4[[#This Row],[ITEM]],[2]Contrato!A:A,[2]Contrato!B:B,"",0)</f>
        <v>#NAME?</v>
      </c>
      <c r="Z492" s="47" t="e">
        <f ca="1">_xlfn.XLOOKUP(PAA_4[[#This Row],[ITEM]],[2]Contrato!A:A,[2]Contrato!G:G,"",0)</f>
        <v>#NAME?</v>
      </c>
      <c r="AA492" s="47" t="e">
        <f ca="1">_xlfn.XLOOKUP(PAA_4[[#This Row],[ITEM]],[2]Contrato!A:A,[2]Contrato!T:T,"",0)</f>
        <v>#NAME?</v>
      </c>
      <c r="AB492" s="55" t="e">
        <f ca="1">+MAX(PAA_4[[#This Row],[Comprometido Contrato]],PAA_4[[#This Row],[Comprometido Bolsa]])</f>
        <v>#NAME?</v>
      </c>
      <c r="AC492" s="55" t="str">
        <f t="shared" ca="1" si="230"/>
        <v/>
      </c>
      <c r="AD492" s="55" t="e">
        <f ca="1">IF(PAA_4[[#This Row],[ESTADO (formulado)]]="NO CONTRATADO",0,MAX(PAA_4[[#This Row],[Pago por Contrato]],PAA_4[[#This Row],[Pago por bolsa]]))</f>
        <v>#NAME?</v>
      </c>
      <c r="AE492" s="55" t="str">
        <f t="shared" ca="1" si="231"/>
        <v/>
      </c>
      <c r="AF492" s="47" t="e">
        <f t="shared" ca="1" si="232"/>
        <v>#NAME?</v>
      </c>
      <c r="AG492" s="47">
        <f t="shared" si="233"/>
        <v>41080112</v>
      </c>
      <c r="AH492" s="54">
        <f>IF(Q492="22",IF(ISNUMBER(SEARCH("econ",PAA_4[[#This Row],[Actividad3]])),"Económico",IF(ISNUMBER(SEARCH("alim",PAA_4[[#This Row],[Actividad3]])),"Alimentación",IF(ISNUMBER(SEARCH("educ",PAA_4[[#This Row],[Actividad3]])),"Educativo","Técnico"))),0)</f>
        <v>0</v>
      </c>
      <c r="AI492" s="47" t="e" cm="1">
        <f t="array" aca="1" ref="AI492" ca="1">_xlfn.XLOOKUP(PAA_4[[#This Row],[RCP-RUBRO]],[2]!COMPROMISOS_2024[[#All],[concatenado]],[2]!COMPROMISOS_2024[[#All],[Total pagado]],"",0)</f>
        <v>#NAME?</v>
      </c>
      <c r="AJ492" s="56">
        <f>IF(PAA_4[[#This Row],[BOLSA]]=0,0,SUMIFS([2]!COMPROMISOS_2024[[#All],[Total pagado]],[2]!COMPROMISOS_2024[[#All],[Bolsa]],PAA_4[[#This Row],[BOLSA]],[2]!COMPROMISOS_2024[[#All],[rubro]],PAA_4[[#This Row],[RCP-RUBRO]]))</f>
        <v>0</v>
      </c>
      <c r="AK492" s="47" t="e" cm="1">
        <f t="array" aca="1" ref="AK492" ca="1">_xlfn.XLOOKUP(PAA_4[[#This Row],[RCP-RUBRO]],[2]!COMPROMISOS_2024[[#All],[concatenado]],[2]!COMPROMISOS_2024[[#All],[Total Comprometido]],"",0)</f>
        <v>#NAME?</v>
      </c>
      <c r="AL492" s="47">
        <f>IF(PAA_4[[#This Row],[BOLSA]]=0,0,SUMIFS([2]!COMPROMISOS_2024[[#All],[Total Comprometido]],[2]!COMPROMISOS_2024[[#All],[Bolsa]],PAA_4[[#This Row],[BOLSA]],[2]!COMPROMISOS_2024[[#All],[concatenado]],PAA_4[[#This Row],[RCP-RUBRO]]))</f>
        <v>0</v>
      </c>
    </row>
    <row r="493" spans="1:38" s="19" customFormat="1" ht="31.5" customHeight="1">
      <c r="A493" s="47" t="s">
        <v>82</v>
      </c>
      <c r="B493" s="47" t="s">
        <v>42</v>
      </c>
      <c r="C493" s="47" t="str">
        <f>VLOOKUP(PAA_4[[#This Row],[PROYECTO (formulado)2]],[2]PROYECTOS!$G$1:$L$32,6,0)</f>
        <v>SUBGERENCIA DE ALTOS LOGROS Y DEPORTE ASOCIADO</v>
      </c>
      <c r="D493" s="47" t="str">
        <f>+IF(PAA_4[[#This Row],[UNIDAD DE CONTRATACION (formulado)]]="Subgerencia Administrativa y Financiera","FUNCIONAMIENTO","INVERSIÓN")</f>
        <v>INVERSIÓN</v>
      </c>
      <c r="E493" s="48" t="str">
        <f>VLOOKUP(Q493,[2]PROYECTOS!$G$1:$K$32,5,0)</f>
        <v>DESARROLLO_DEL_POTENCIAL_DEPORTIVO_EN_EL_DEPARTAMENTO_DE_ANTIOQUIA</v>
      </c>
      <c r="F493" s="48">
        <f>VLOOKUP(E493,[2]PROYECTOS!$K$1:$M$32,3,0)</f>
        <v>2020003050022</v>
      </c>
      <c r="G493" s="344" t="s">
        <v>273</v>
      </c>
      <c r="H493" s="49" t="str">
        <f>VLOOKUP(Q493,[2]PROYECTOS!$V$1:$W$32,2,0)</f>
        <v>050065</v>
      </c>
      <c r="I493" s="50">
        <v>7998244</v>
      </c>
      <c r="J493" s="51" t="s">
        <v>1547</v>
      </c>
      <c r="K493" s="47" t="str">
        <f t="shared" ca="1" si="227"/>
        <v>CONTRATADO</v>
      </c>
      <c r="L493" s="47" t="s">
        <v>42</v>
      </c>
      <c r="M493" s="47" t="s">
        <v>42</v>
      </c>
      <c r="N493" s="344" t="s">
        <v>274</v>
      </c>
      <c r="O493" s="51" t="e">
        <f>VLOOKUP(N493,[2]!RUBROS[#All],3,0)</f>
        <v>#REF!</v>
      </c>
      <c r="P493" s="53" t="e">
        <f>VLOOKUP(N493,[2]!RUBROS[#All],2,0)</f>
        <v>#REF!</v>
      </c>
      <c r="Q493" s="47" t="str">
        <f t="shared" si="228"/>
        <v>21</v>
      </c>
      <c r="R493" s="47" t="str">
        <f t="shared" si="229"/>
        <v>4-101124</v>
      </c>
      <c r="S493" s="47" t="s">
        <v>42</v>
      </c>
      <c r="T493" s="63" t="s">
        <v>42</v>
      </c>
      <c r="U493" s="326" t="e">
        <f ca="1">_xlfn.XLOOKUP(PAA_4[[#This Row],[ITEM]],[2]Contrato!A:A,[2]Contrato!Q:Q,"",0)</f>
        <v>#NAME?</v>
      </c>
      <c r="V493" s="47" t="s">
        <v>95</v>
      </c>
      <c r="W493" s="47" t="s">
        <v>42</v>
      </c>
      <c r="X493" s="47" t="s">
        <v>42</v>
      </c>
      <c r="Y493" s="55" t="e">
        <f ca="1">_xlfn.XLOOKUP(PAA_4[[#This Row],[ITEM]],[2]Contrato!A:A,[2]Contrato!B:B,"",0)</f>
        <v>#NAME?</v>
      </c>
      <c r="Z493" s="47" t="e">
        <f ca="1">_xlfn.XLOOKUP(PAA_4[[#This Row],[ITEM]],[2]Contrato!A:A,[2]Contrato!G:G,"",0)</f>
        <v>#NAME?</v>
      </c>
      <c r="AA493" s="47" t="e">
        <f ca="1">_xlfn.XLOOKUP(PAA_4[[#This Row],[ITEM]],[2]Contrato!A:A,[2]Contrato!T:T,"",0)</f>
        <v>#NAME?</v>
      </c>
      <c r="AB493" s="55" t="e">
        <f ca="1">+MAX(PAA_4[[#This Row],[Comprometido Contrato]],PAA_4[[#This Row],[Comprometido Bolsa]])</f>
        <v>#NAME?</v>
      </c>
      <c r="AC493" s="55" t="str">
        <f t="shared" ca="1" si="230"/>
        <v/>
      </c>
      <c r="AD493" s="55" t="e">
        <f ca="1">IF(PAA_4[[#This Row],[ESTADO (formulado)]]="NO CONTRATADO",0,MAX(PAA_4[[#This Row],[Pago por Contrato]],PAA_4[[#This Row],[Pago por bolsa]]))</f>
        <v>#NAME?</v>
      </c>
      <c r="AE493" s="55" t="str">
        <f t="shared" ca="1" si="231"/>
        <v/>
      </c>
      <c r="AF493" s="47" t="e">
        <f t="shared" ca="1" si="232"/>
        <v>#NAME?</v>
      </c>
      <c r="AG493" s="47">
        <f t="shared" si="233"/>
        <v>41080112</v>
      </c>
      <c r="AH493" s="54">
        <f>IF(Q493="22",IF(ISNUMBER(SEARCH("econ",PAA_4[[#This Row],[Actividad3]])),"Económico",IF(ISNUMBER(SEARCH("alim",PAA_4[[#This Row],[Actividad3]])),"Alimentación",IF(ISNUMBER(SEARCH("educ",PAA_4[[#This Row],[Actividad3]])),"Educativo","Técnico"))),0)</f>
        <v>0</v>
      </c>
      <c r="AI493" s="47" t="e" cm="1">
        <f t="array" aca="1" ref="AI493" ca="1">_xlfn.XLOOKUP(PAA_4[[#This Row],[RCP-RUBRO]],[2]!COMPROMISOS_2024[[#All],[concatenado]],[2]!COMPROMISOS_2024[[#All],[Total pagado]],"",0)</f>
        <v>#NAME?</v>
      </c>
      <c r="AJ493" s="56">
        <f>IF(PAA_4[[#This Row],[BOLSA]]=0,0,SUMIFS([2]!COMPROMISOS_2024[[#All],[Total pagado]],[2]!COMPROMISOS_2024[[#All],[Bolsa]],PAA_4[[#This Row],[BOLSA]],[2]!COMPROMISOS_2024[[#All],[rubro]],PAA_4[[#This Row],[RCP-RUBRO]]))</f>
        <v>0</v>
      </c>
      <c r="AK493" s="47" t="e" cm="1">
        <f t="array" aca="1" ref="AK493" ca="1">_xlfn.XLOOKUP(PAA_4[[#This Row],[RCP-RUBRO]],[2]!COMPROMISOS_2024[[#All],[concatenado]],[2]!COMPROMISOS_2024[[#All],[Total Comprometido]],"",0)</f>
        <v>#NAME?</v>
      </c>
      <c r="AL493" s="47">
        <f>IF(PAA_4[[#This Row],[BOLSA]]=0,0,SUMIFS([2]!COMPROMISOS_2024[[#All],[Total Comprometido]],[2]!COMPROMISOS_2024[[#All],[Bolsa]],PAA_4[[#This Row],[BOLSA]],[2]!COMPROMISOS_2024[[#All],[concatenado]],PAA_4[[#This Row],[RCP-RUBRO]]))</f>
        <v>0</v>
      </c>
    </row>
    <row r="494" spans="1:38" s="19" customFormat="1" ht="31.5" customHeight="1">
      <c r="A494" s="47" t="s">
        <v>82</v>
      </c>
      <c r="B494" s="47" t="s">
        <v>42</v>
      </c>
      <c r="C494" s="47" t="str">
        <f>VLOOKUP(PAA_4[[#This Row],[PROYECTO (formulado)2]],[2]PROYECTOS!$G$1:$L$32,6,0)</f>
        <v>SUBGERENCIA DE ALTOS LOGROS Y DEPORTE ASOCIADO</v>
      </c>
      <c r="D494" s="47" t="str">
        <f>+IF(PAA_4[[#This Row],[UNIDAD DE CONTRATACION (formulado)]]="Subgerencia Administrativa y Financiera","FUNCIONAMIENTO","INVERSIÓN")</f>
        <v>INVERSIÓN</v>
      </c>
      <c r="E494" s="48" t="str">
        <f>VLOOKUP(Q494,[2]PROYECTOS!$G$1:$K$32,5,0)</f>
        <v>FORTALECIMIENTO_DEL_PROGRAMA_DE_ALTOS_LOGROS_Y_LIDERAZGO_DEPORTIVO_EN_EL_DEPARTAMENTO_DE_ANTIOQUIA</v>
      </c>
      <c r="F494" s="48">
        <f>VLOOKUP(E494,[2]PROYECTOS!$K$1:$M$32,3,0)</f>
        <v>2020003050021</v>
      </c>
      <c r="G494" s="344" t="s">
        <v>235</v>
      </c>
      <c r="H494" s="49" t="str">
        <f>VLOOKUP(Q494,[2]PROYECTOS!$V$1:$W$32,2,0)</f>
        <v>050061</v>
      </c>
      <c r="I494" s="50">
        <v>1605119</v>
      </c>
      <c r="J494" s="51" t="s">
        <v>1547</v>
      </c>
      <c r="K494" s="47" t="str">
        <f t="shared" ca="1" si="227"/>
        <v>CONTRATADO</v>
      </c>
      <c r="L494" s="47" t="s">
        <v>42</v>
      </c>
      <c r="M494" s="47" t="s">
        <v>42</v>
      </c>
      <c r="N494" s="344" t="s">
        <v>278</v>
      </c>
      <c r="O494" s="51" t="e">
        <f>VLOOKUP(N494,[2]!RUBROS[#All],3,0)</f>
        <v>#REF!</v>
      </c>
      <c r="P494" s="53" t="e">
        <f>VLOOKUP(N494,[2]!RUBROS[#All],2,0)</f>
        <v>#REF!</v>
      </c>
      <c r="Q494" s="47" t="str">
        <f t="shared" si="228"/>
        <v>20</v>
      </c>
      <c r="R494" s="47" t="str">
        <f t="shared" si="229"/>
        <v>4-101124</v>
      </c>
      <c r="S494" s="47" t="s">
        <v>42</v>
      </c>
      <c r="T494" s="63" t="s">
        <v>42</v>
      </c>
      <c r="U494" s="326" t="e">
        <f ca="1">_xlfn.XLOOKUP(PAA_4[[#This Row],[ITEM]],[2]Contrato!A:A,[2]Contrato!Q:Q,"",0)</f>
        <v>#NAME?</v>
      </c>
      <c r="V494" s="47" t="s">
        <v>95</v>
      </c>
      <c r="W494" s="47" t="s">
        <v>42</v>
      </c>
      <c r="X494" s="47" t="s">
        <v>42</v>
      </c>
      <c r="Y494" s="55" t="e">
        <f ca="1">_xlfn.XLOOKUP(PAA_4[[#This Row],[ITEM]],[2]Contrato!A:A,[2]Contrato!B:B,"",0)</f>
        <v>#NAME?</v>
      </c>
      <c r="Z494" s="47" t="e">
        <f ca="1">_xlfn.XLOOKUP(PAA_4[[#This Row],[ITEM]],[2]Contrato!A:A,[2]Contrato!G:G,"",0)</f>
        <v>#NAME?</v>
      </c>
      <c r="AA494" s="47" t="e">
        <f ca="1">_xlfn.XLOOKUP(PAA_4[[#This Row],[ITEM]],[2]Contrato!A:A,[2]Contrato!T:T,"",0)</f>
        <v>#NAME?</v>
      </c>
      <c r="AB494" s="55" t="e">
        <f ca="1">+MAX(PAA_4[[#This Row],[Comprometido Contrato]],PAA_4[[#This Row],[Comprometido Bolsa]])</f>
        <v>#NAME?</v>
      </c>
      <c r="AC494" s="55" t="str">
        <f t="shared" ca="1" si="230"/>
        <v/>
      </c>
      <c r="AD494" s="55" t="e">
        <f ca="1">IF(PAA_4[[#This Row],[ESTADO (formulado)]]="NO CONTRATADO",0,MAX(PAA_4[[#This Row],[Pago por Contrato]],PAA_4[[#This Row],[Pago por bolsa]]))</f>
        <v>#NAME?</v>
      </c>
      <c r="AE494" s="55" t="str">
        <f t="shared" ca="1" si="231"/>
        <v/>
      </c>
      <c r="AF494" s="47" t="e">
        <f t="shared" ca="1" si="232"/>
        <v>#NAME?</v>
      </c>
      <c r="AG494" s="47">
        <f t="shared" si="233"/>
        <v>41080111</v>
      </c>
      <c r="AH494" s="54">
        <f>IF(Q494="22",IF(ISNUMBER(SEARCH("econ",PAA_4[[#This Row],[Actividad3]])),"Económico",IF(ISNUMBER(SEARCH("alim",PAA_4[[#This Row],[Actividad3]])),"Alimentación",IF(ISNUMBER(SEARCH("educ",PAA_4[[#This Row],[Actividad3]])),"Educativo","Técnico"))),0)</f>
        <v>0</v>
      </c>
      <c r="AI494" s="47" t="e" cm="1">
        <f t="array" aca="1" ref="AI494" ca="1">_xlfn.XLOOKUP(PAA_4[[#This Row],[RCP-RUBRO]],[2]!COMPROMISOS_2024[[#All],[concatenado]],[2]!COMPROMISOS_2024[[#All],[Total pagado]],"",0)</f>
        <v>#NAME?</v>
      </c>
      <c r="AJ494" s="56">
        <f>IF(PAA_4[[#This Row],[BOLSA]]=0,0,SUMIFS([2]!COMPROMISOS_2024[[#All],[Total pagado]],[2]!COMPROMISOS_2024[[#All],[Bolsa]],PAA_4[[#This Row],[BOLSA]],[2]!COMPROMISOS_2024[[#All],[rubro]],PAA_4[[#This Row],[RCP-RUBRO]]))</f>
        <v>0</v>
      </c>
      <c r="AK494" s="47" t="e" cm="1">
        <f t="array" aca="1" ref="AK494" ca="1">_xlfn.XLOOKUP(PAA_4[[#This Row],[RCP-RUBRO]],[2]!COMPROMISOS_2024[[#All],[concatenado]],[2]!COMPROMISOS_2024[[#All],[Total Comprometido]],"",0)</f>
        <v>#NAME?</v>
      </c>
      <c r="AL494" s="47">
        <f>IF(PAA_4[[#This Row],[BOLSA]]=0,0,SUMIFS([2]!COMPROMISOS_2024[[#All],[Total Comprometido]],[2]!COMPROMISOS_2024[[#All],[Bolsa]],PAA_4[[#This Row],[BOLSA]],[2]!COMPROMISOS_2024[[#All],[concatenado]],PAA_4[[#This Row],[RCP-RUBRO]]))</f>
        <v>0</v>
      </c>
    </row>
    <row r="495" spans="1:38" s="19" customFormat="1" ht="31.5" customHeight="1">
      <c r="A495" s="47" t="s">
        <v>82</v>
      </c>
      <c r="B495" s="47" t="s">
        <v>42</v>
      </c>
      <c r="C495" s="47" t="str">
        <f>VLOOKUP(PAA_4[[#This Row],[PROYECTO (formulado)2]],[2]PROYECTOS!$G$1:$L$32,6,0)</f>
        <v>SUBGERENCIA DE ALTOS LOGROS Y DEPORTE ASOCIADO</v>
      </c>
      <c r="D495" s="47" t="str">
        <f>+IF(PAA_4[[#This Row],[UNIDAD DE CONTRATACION (formulado)]]="Subgerencia Administrativa y Financiera","FUNCIONAMIENTO","INVERSIÓN")</f>
        <v>INVERSIÓN</v>
      </c>
      <c r="E495" s="48" t="str">
        <f>VLOOKUP(Q495,[2]PROYECTOS!$G$1:$K$32,5,0)</f>
        <v>DESARROLLO_DEL_POTENCIAL_DEPORTIVO_EN_EL_DEPARTAMENTO_DE_ANTIOQUIA</v>
      </c>
      <c r="F495" s="48">
        <f>VLOOKUP(E495,[2]PROYECTOS!$K$1:$M$32,3,0)</f>
        <v>2020003050022</v>
      </c>
      <c r="G495" s="344" t="s">
        <v>273</v>
      </c>
      <c r="H495" s="49" t="str">
        <f>VLOOKUP(Q495,[2]PROYECTOS!$V$1:$W$32,2,0)</f>
        <v>050065</v>
      </c>
      <c r="I495" s="50">
        <v>1605120</v>
      </c>
      <c r="J495" s="51" t="s">
        <v>1547</v>
      </c>
      <c r="K495" s="47" t="str">
        <f t="shared" ca="1" si="227"/>
        <v>CONTRATADO</v>
      </c>
      <c r="L495" s="47" t="s">
        <v>42</v>
      </c>
      <c r="M495" s="47" t="s">
        <v>42</v>
      </c>
      <c r="N495" s="344" t="s">
        <v>274</v>
      </c>
      <c r="O495" s="51" t="e">
        <f>VLOOKUP(N495,[2]!RUBROS[#All],3,0)</f>
        <v>#REF!</v>
      </c>
      <c r="P495" s="53" t="e">
        <f>VLOOKUP(N495,[2]!RUBROS[#All],2,0)</f>
        <v>#REF!</v>
      </c>
      <c r="Q495" s="47" t="str">
        <f t="shared" si="228"/>
        <v>21</v>
      </c>
      <c r="R495" s="47" t="str">
        <f t="shared" si="229"/>
        <v>4-101124</v>
      </c>
      <c r="S495" s="47" t="s">
        <v>42</v>
      </c>
      <c r="T495" s="63" t="s">
        <v>42</v>
      </c>
      <c r="U495" s="326" t="e">
        <f ca="1">_xlfn.XLOOKUP(PAA_4[[#This Row],[ITEM]],[2]Contrato!A:A,[2]Contrato!Q:Q,"",0)</f>
        <v>#NAME?</v>
      </c>
      <c r="V495" s="47" t="s">
        <v>95</v>
      </c>
      <c r="W495" s="47" t="s">
        <v>42</v>
      </c>
      <c r="X495" s="47" t="s">
        <v>42</v>
      </c>
      <c r="Y495" s="55" t="e">
        <f ca="1">_xlfn.XLOOKUP(PAA_4[[#This Row],[ITEM]],[2]Contrato!A:A,[2]Contrato!B:B,"",0)</f>
        <v>#NAME?</v>
      </c>
      <c r="Z495" s="47" t="e">
        <f ca="1">_xlfn.XLOOKUP(PAA_4[[#This Row],[ITEM]],[2]Contrato!A:A,[2]Contrato!G:G,"",0)</f>
        <v>#NAME?</v>
      </c>
      <c r="AA495" s="47" t="e">
        <f ca="1">_xlfn.XLOOKUP(PAA_4[[#This Row],[ITEM]],[2]Contrato!A:A,[2]Contrato!T:T,"",0)</f>
        <v>#NAME?</v>
      </c>
      <c r="AB495" s="55" t="e">
        <f ca="1">+MAX(PAA_4[[#This Row],[Comprometido Contrato]],PAA_4[[#This Row],[Comprometido Bolsa]])</f>
        <v>#NAME?</v>
      </c>
      <c r="AC495" s="55" t="str">
        <f t="shared" ca="1" si="230"/>
        <v/>
      </c>
      <c r="AD495" s="55" t="e">
        <f ca="1">IF(PAA_4[[#This Row],[ESTADO (formulado)]]="NO CONTRATADO",0,MAX(PAA_4[[#This Row],[Pago por Contrato]],PAA_4[[#This Row],[Pago por bolsa]]))</f>
        <v>#NAME?</v>
      </c>
      <c r="AE495" s="55" t="str">
        <f t="shared" ca="1" si="231"/>
        <v/>
      </c>
      <c r="AF495" s="47" t="e">
        <f t="shared" ca="1" si="232"/>
        <v>#NAME?</v>
      </c>
      <c r="AG495" s="47">
        <f t="shared" si="233"/>
        <v>41080112</v>
      </c>
      <c r="AH495" s="54">
        <f>IF(Q495="22",IF(ISNUMBER(SEARCH("econ",PAA_4[[#This Row],[Actividad3]])),"Económico",IF(ISNUMBER(SEARCH("alim",PAA_4[[#This Row],[Actividad3]])),"Alimentación",IF(ISNUMBER(SEARCH("educ",PAA_4[[#This Row],[Actividad3]])),"Educativo","Técnico"))),0)</f>
        <v>0</v>
      </c>
      <c r="AI495" s="47" t="e" cm="1">
        <f t="array" aca="1" ref="AI495" ca="1">_xlfn.XLOOKUP(PAA_4[[#This Row],[RCP-RUBRO]],[2]!COMPROMISOS_2024[[#All],[concatenado]],[2]!COMPROMISOS_2024[[#All],[Total pagado]],"",0)</f>
        <v>#NAME?</v>
      </c>
      <c r="AJ495" s="56">
        <f>IF(PAA_4[[#This Row],[BOLSA]]=0,0,SUMIFS([2]!COMPROMISOS_2024[[#All],[Total pagado]],[2]!COMPROMISOS_2024[[#All],[Bolsa]],PAA_4[[#This Row],[BOLSA]],[2]!COMPROMISOS_2024[[#All],[rubro]],PAA_4[[#This Row],[RCP-RUBRO]]))</f>
        <v>0</v>
      </c>
      <c r="AK495" s="47" t="e" cm="1">
        <f t="array" aca="1" ref="AK495" ca="1">_xlfn.XLOOKUP(PAA_4[[#This Row],[RCP-RUBRO]],[2]!COMPROMISOS_2024[[#All],[concatenado]],[2]!COMPROMISOS_2024[[#All],[Total Comprometido]],"",0)</f>
        <v>#NAME?</v>
      </c>
      <c r="AL495" s="47">
        <f>IF(PAA_4[[#This Row],[BOLSA]]=0,0,SUMIFS([2]!COMPROMISOS_2024[[#All],[Total Comprometido]],[2]!COMPROMISOS_2024[[#All],[Bolsa]],PAA_4[[#This Row],[BOLSA]],[2]!COMPROMISOS_2024[[#All],[concatenado]],PAA_4[[#This Row],[RCP-RUBRO]]))</f>
        <v>0</v>
      </c>
    </row>
    <row r="496" spans="1:38" s="19" customFormat="1" ht="31.5" customHeight="1">
      <c r="A496" s="47" t="s">
        <v>82</v>
      </c>
      <c r="B496" s="47" t="s">
        <v>42</v>
      </c>
      <c r="C496" s="47" t="str">
        <f>VLOOKUP(PAA_4[[#This Row],[PROYECTO (formulado)2]],[2]PROYECTOS!$G$1:$L$32,6,0)</f>
        <v>SUBGERENCIA DE ALTOS LOGROS Y DEPORTE ASOCIADO</v>
      </c>
      <c r="D496" s="47" t="str">
        <f>+IF(PAA_4[[#This Row],[UNIDAD DE CONTRATACION (formulado)]]="Subgerencia Administrativa y Financiera","FUNCIONAMIENTO","INVERSIÓN")</f>
        <v>INVERSIÓN</v>
      </c>
      <c r="E496" s="48" t="str">
        <f>VLOOKUP(Q496,[2]PROYECTOS!$G$1:$K$32,5,0)</f>
        <v>FORTALECIMIENTO_DEL_PROGRAMA_DE_ALTOS_LOGROS_Y_LIDERAZGO_DEPORTIVO_EN_EL_DEPARTAMENTO_DE_ANTIOQUIA</v>
      </c>
      <c r="F496" s="48">
        <f>VLOOKUP(E496,[2]PROYECTOS!$K$1:$M$32,3,0)</f>
        <v>2020003050021</v>
      </c>
      <c r="G496" s="344" t="s">
        <v>235</v>
      </c>
      <c r="H496" s="49" t="str">
        <f>VLOOKUP(Q496,[2]PROYECTOS!$V$1:$W$32,2,0)</f>
        <v>050061</v>
      </c>
      <c r="I496" s="50">
        <v>3000000</v>
      </c>
      <c r="J496" s="51" t="s">
        <v>1547</v>
      </c>
      <c r="K496" s="47" t="str">
        <f t="shared" ca="1" si="227"/>
        <v>CONTRATADO</v>
      </c>
      <c r="L496" s="47" t="s">
        <v>42</v>
      </c>
      <c r="M496" s="47" t="s">
        <v>42</v>
      </c>
      <c r="N496" s="344" t="s">
        <v>278</v>
      </c>
      <c r="O496" s="51" t="e">
        <f>VLOOKUP(N496,[2]!RUBROS[#All],3,0)</f>
        <v>#REF!</v>
      </c>
      <c r="P496" s="53" t="e">
        <f>VLOOKUP(N496,[2]!RUBROS[#All],2,0)</f>
        <v>#REF!</v>
      </c>
      <c r="Q496" s="47" t="str">
        <f t="shared" si="228"/>
        <v>20</v>
      </c>
      <c r="R496" s="47" t="str">
        <f t="shared" si="229"/>
        <v>4-101124</v>
      </c>
      <c r="S496" s="47" t="s">
        <v>42</v>
      </c>
      <c r="T496" s="63" t="s">
        <v>42</v>
      </c>
      <c r="U496" s="326" t="e">
        <f ca="1">_xlfn.XLOOKUP(PAA_4[[#This Row],[ITEM]],[2]Contrato!A:A,[2]Contrato!Q:Q,"",0)</f>
        <v>#NAME?</v>
      </c>
      <c r="V496" s="47" t="s">
        <v>95</v>
      </c>
      <c r="W496" s="47" t="s">
        <v>42</v>
      </c>
      <c r="X496" s="47" t="s">
        <v>42</v>
      </c>
      <c r="Y496" s="55" t="e">
        <f ca="1">_xlfn.XLOOKUP(PAA_4[[#This Row],[ITEM]],[2]Contrato!A:A,[2]Contrato!B:B,"",0)</f>
        <v>#NAME?</v>
      </c>
      <c r="Z496" s="47" t="e">
        <f ca="1">_xlfn.XLOOKUP(PAA_4[[#This Row],[ITEM]],[2]Contrato!A:A,[2]Contrato!G:G,"",0)</f>
        <v>#NAME?</v>
      </c>
      <c r="AA496" s="47" t="e">
        <f ca="1">_xlfn.XLOOKUP(PAA_4[[#This Row],[ITEM]],[2]Contrato!A:A,[2]Contrato!T:T,"",0)</f>
        <v>#NAME?</v>
      </c>
      <c r="AB496" s="55" t="e">
        <f ca="1">+MAX(PAA_4[[#This Row],[Comprometido Contrato]],PAA_4[[#This Row],[Comprometido Bolsa]])</f>
        <v>#NAME?</v>
      </c>
      <c r="AC496" s="55" t="str">
        <f t="shared" ca="1" si="230"/>
        <v/>
      </c>
      <c r="AD496" s="55" t="e">
        <f ca="1">IF(PAA_4[[#This Row],[ESTADO (formulado)]]="NO CONTRATADO",0,MAX(PAA_4[[#This Row],[Pago por Contrato]],PAA_4[[#This Row],[Pago por bolsa]]))</f>
        <v>#NAME?</v>
      </c>
      <c r="AE496" s="55" t="str">
        <f t="shared" ca="1" si="231"/>
        <v/>
      </c>
      <c r="AF496" s="47" t="e">
        <f t="shared" ca="1" si="232"/>
        <v>#NAME?</v>
      </c>
      <c r="AG496" s="47">
        <f t="shared" si="233"/>
        <v>41080111</v>
      </c>
      <c r="AH496" s="54">
        <f>IF(Q496="22",IF(ISNUMBER(SEARCH("econ",PAA_4[[#This Row],[Actividad3]])),"Económico",IF(ISNUMBER(SEARCH("alim",PAA_4[[#This Row],[Actividad3]])),"Alimentación",IF(ISNUMBER(SEARCH("educ",PAA_4[[#This Row],[Actividad3]])),"Educativo","Técnico"))),0)</f>
        <v>0</v>
      </c>
      <c r="AI496" s="47" t="e" cm="1">
        <f t="array" aca="1" ref="AI496" ca="1">_xlfn.XLOOKUP(PAA_4[[#This Row],[RCP-RUBRO]],[2]!COMPROMISOS_2024[[#All],[concatenado]],[2]!COMPROMISOS_2024[[#All],[Total pagado]],"",0)</f>
        <v>#NAME?</v>
      </c>
      <c r="AJ496" s="56">
        <f>IF(PAA_4[[#This Row],[BOLSA]]=0,0,SUMIFS([2]!COMPROMISOS_2024[[#All],[Total pagado]],[2]!COMPROMISOS_2024[[#All],[Bolsa]],PAA_4[[#This Row],[BOLSA]],[2]!COMPROMISOS_2024[[#All],[rubro]],PAA_4[[#This Row],[RCP-RUBRO]]))</f>
        <v>0</v>
      </c>
      <c r="AK496" s="47" t="e" cm="1">
        <f t="array" aca="1" ref="AK496" ca="1">_xlfn.XLOOKUP(PAA_4[[#This Row],[RCP-RUBRO]],[2]!COMPROMISOS_2024[[#All],[concatenado]],[2]!COMPROMISOS_2024[[#All],[Total Comprometido]],"",0)</f>
        <v>#NAME?</v>
      </c>
      <c r="AL496" s="47">
        <f>IF(PAA_4[[#This Row],[BOLSA]]=0,0,SUMIFS([2]!COMPROMISOS_2024[[#All],[Total Comprometido]],[2]!COMPROMISOS_2024[[#All],[Bolsa]],PAA_4[[#This Row],[BOLSA]],[2]!COMPROMISOS_2024[[#All],[concatenado]],PAA_4[[#This Row],[RCP-RUBRO]]))</f>
        <v>0</v>
      </c>
    </row>
    <row r="497" spans="1:38" s="19" customFormat="1" ht="31.5" customHeight="1">
      <c r="A497" s="47" t="s">
        <v>82</v>
      </c>
      <c r="B497" s="47" t="s">
        <v>42</v>
      </c>
      <c r="C497" s="47" t="str">
        <f>VLOOKUP(PAA_4[[#This Row],[PROYECTO (formulado)2]],[2]PROYECTOS!$G$1:$L$32,6,0)</f>
        <v>SUBGERENCIA DE ALTOS LOGROS Y DEPORTE ASOCIADO</v>
      </c>
      <c r="D497" s="47" t="str">
        <f>+IF(PAA_4[[#This Row],[UNIDAD DE CONTRATACION (formulado)]]="Subgerencia Administrativa y Financiera","FUNCIONAMIENTO","INVERSIÓN")</f>
        <v>INVERSIÓN</v>
      </c>
      <c r="E497" s="48" t="str">
        <f>VLOOKUP(Q497,[2]PROYECTOS!$G$1:$K$32,5,0)</f>
        <v>DESARROLLO_DEL_POTENCIAL_DEPORTIVO_EN_EL_DEPARTAMENTO_DE_ANTIOQUIA</v>
      </c>
      <c r="F497" s="48">
        <f>VLOOKUP(E497,[2]PROYECTOS!$K$1:$M$32,3,0)</f>
        <v>2020003050022</v>
      </c>
      <c r="G497" s="344" t="s">
        <v>273</v>
      </c>
      <c r="H497" s="49" t="str">
        <f>VLOOKUP(Q497,[2]PROYECTOS!$V$1:$W$32,2,0)</f>
        <v>050065</v>
      </c>
      <c r="I497" s="50">
        <v>3645000</v>
      </c>
      <c r="J497" s="51" t="s">
        <v>1547</v>
      </c>
      <c r="K497" s="47" t="str">
        <f t="shared" ca="1" si="227"/>
        <v>CONTRATADO</v>
      </c>
      <c r="L497" s="47" t="s">
        <v>42</v>
      </c>
      <c r="M497" s="47" t="s">
        <v>42</v>
      </c>
      <c r="N497" s="344" t="s">
        <v>246</v>
      </c>
      <c r="O497" s="51" t="e">
        <f>VLOOKUP(N497,[2]!RUBROS[#All],3,0)</f>
        <v>#REF!</v>
      </c>
      <c r="P497" s="53" t="e">
        <f>VLOOKUP(N497,[2]!RUBROS[#All],2,0)</f>
        <v>#REF!</v>
      </c>
      <c r="Q497" s="47" t="str">
        <f t="shared" si="228"/>
        <v>21</v>
      </c>
      <c r="R497" s="47" t="str">
        <f t="shared" si="229"/>
        <v>0-205400</v>
      </c>
      <c r="S497" s="47" t="s">
        <v>42</v>
      </c>
      <c r="T497" s="63" t="s">
        <v>42</v>
      </c>
      <c r="U497" s="326" t="e">
        <f ca="1">_xlfn.XLOOKUP(PAA_4[[#This Row],[ITEM]],[2]Contrato!A:A,[2]Contrato!Q:Q,"",0)</f>
        <v>#NAME?</v>
      </c>
      <c r="V497" s="47" t="s">
        <v>95</v>
      </c>
      <c r="W497" s="47" t="s">
        <v>42</v>
      </c>
      <c r="X497" s="47" t="s">
        <v>42</v>
      </c>
      <c r="Y497" s="55" t="e">
        <f ca="1">_xlfn.XLOOKUP(PAA_4[[#This Row],[ITEM]],[2]Contrato!A:A,[2]Contrato!B:B,"",0)</f>
        <v>#NAME?</v>
      </c>
      <c r="Z497" s="47" t="e">
        <f ca="1">_xlfn.XLOOKUP(PAA_4[[#This Row],[ITEM]],[2]Contrato!A:A,[2]Contrato!G:G,"",0)</f>
        <v>#NAME?</v>
      </c>
      <c r="AA497" s="47" t="e">
        <f ca="1">_xlfn.XLOOKUP(PAA_4[[#This Row],[ITEM]],[2]Contrato!A:A,[2]Contrato!T:T,"",0)</f>
        <v>#NAME?</v>
      </c>
      <c r="AB497" s="55" t="e">
        <f ca="1">+MAX(PAA_4[[#This Row],[Comprometido Contrato]],PAA_4[[#This Row],[Comprometido Bolsa]])</f>
        <v>#NAME?</v>
      </c>
      <c r="AC497" s="55" t="str">
        <f t="shared" ca="1" si="230"/>
        <v/>
      </c>
      <c r="AD497" s="55" t="e">
        <f ca="1">IF(PAA_4[[#This Row],[ESTADO (formulado)]]="NO CONTRATADO",0,MAX(PAA_4[[#This Row],[Pago por Contrato]],PAA_4[[#This Row],[Pago por bolsa]]))</f>
        <v>#NAME?</v>
      </c>
      <c r="AE497" s="55" t="str">
        <f t="shared" ca="1" si="231"/>
        <v/>
      </c>
      <c r="AF497" s="47" t="e">
        <f t="shared" ca="1" si="232"/>
        <v>#NAME?</v>
      </c>
      <c r="AG497" s="47">
        <f t="shared" si="233"/>
        <v>41080112</v>
      </c>
      <c r="AH497" s="54">
        <f>IF(Q497="22",IF(ISNUMBER(SEARCH("econ",PAA_4[[#This Row],[Actividad3]])),"Económico",IF(ISNUMBER(SEARCH("alim",PAA_4[[#This Row],[Actividad3]])),"Alimentación",IF(ISNUMBER(SEARCH("educ",PAA_4[[#This Row],[Actividad3]])),"Educativo","Técnico"))),0)</f>
        <v>0</v>
      </c>
      <c r="AI497" s="47" t="e" cm="1">
        <f t="array" aca="1" ref="AI497" ca="1">_xlfn.XLOOKUP(PAA_4[[#This Row],[RCP-RUBRO]],[2]!COMPROMISOS_2024[[#All],[concatenado]],[2]!COMPROMISOS_2024[[#All],[Total pagado]],"",0)</f>
        <v>#NAME?</v>
      </c>
      <c r="AJ497" s="56">
        <f>IF(PAA_4[[#This Row],[BOLSA]]=0,0,SUMIFS([2]!COMPROMISOS_2024[[#All],[Total pagado]],[2]!COMPROMISOS_2024[[#All],[Bolsa]],PAA_4[[#This Row],[BOLSA]],[2]!COMPROMISOS_2024[[#All],[rubro]],PAA_4[[#This Row],[RCP-RUBRO]]))</f>
        <v>0</v>
      </c>
      <c r="AK497" s="47" t="e" cm="1">
        <f t="array" aca="1" ref="AK497" ca="1">_xlfn.XLOOKUP(PAA_4[[#This Row],[RCP-RUBRO]],[2]!COMPROMISOS_2024[[#All],[concatenado]],[2]!COMPROMISOS_2024[[#All],[Total Comprometido]],"",0)</f>
        <v>#NAME?</v>
      </c>
      <c r="AL497" s="47">
        <f>IF(PAA_4[[#This Row],[BOLSA]]=0,0,SUMIFS([2]!COMPROMISOS_2024[[#All],[Total Comprometido]],[2]!COMPROMISOS_2024[[#All],[Bolsa]],PAA_4[[#This Row],[BOLSA]],[2]!COMPROMISOS_2024[[#All],[concatenado]],PAA_4[[#This Row],[RCP-RUBRO]]))</f>
        <v>0</v>
      </c>
    </row>
    <row r="498" spans="1:38" s="19" customFormat="1" ht="31.5" customHeight="1">
      <c r="A498" s="47" t="s">
        <v>82</v>
      </c>
      <c r="B498" s="47" t="s">
        <v>42</v>
      </c>
      <c r="C498" s="47" t="str">
        <f>VLOOKUP(PAA_4[[#This Row],[PROYECTO (formulado)2]],[2]PROYECTOS!$G$1:$L$32,6,0)</f>
        <v>SUBGERENCIA DE ALTOS LOGROS Y DEPORTE ASOCIADO</v>
      </c>
      <c r="D498" s="47" t="str">
        <f>+IF(PAA_4[[#This Row],[UNIDAD DE CONTRATACION (formulado)]]="Subgerencia Administrativa y Financiera","FUNCIONAMIENTO","INVERSIÓN")</f>
        <v>INVERSIÓN</v>
      </c>
      <c r="E498" s="48" t="str">
        <f>VLOOKUP(Q498,[2]PROYECTOS!$G$1:$K$32,5,0)</f>
        <v>FORTALECIMIENTO_DEL_PROGRAMA_DE_ALTOS_LOGROS_Y_LIDERAZGO_DEPORTIVO_EN_EL_DEPARTAMENTO_DE_ANTIOQUIA</v>
      </c>
      <c r="F498" s="48">
        <f>VLOOKUP(E498,[2]PROYECTOS!$K$1:$M$32,3,0)</f>
        <v>2020003050021</v>
      </c>
      <c r="G498" s="344" t="s">
        <v>235</v>
      </c>
      <c r="H498" s="49" t="str">
        <f>VLOOKUP(Q498,[2]PROYECTOS!$V$1:$W$32,2,0)</f>
        <v>050061</v>
      </c>
      <c r="I498" s="50">
        <v>4500000</v>
      </c>
      <c r="J498" s="51" t="s">
        <v>1547</v>
      </c>
      <c r="K498" s="47" t="str">
        <f t="shared" ca="1" si="227"/>
        <v>CONTRATADO</v>
      </c>
      <c r="L498" s="47" t="s">
        <v>42</v>
      </c>
      <c r="M498" s="47" t="s">
        <v>42</v>
      </c>
      <c r="N498" s="344" t="s">
        <v>278</v>
      </c>
      <c r="O498" s="51" t="e">
        <f>VLOOKUP(N498,[2]!RUBROS[#All],3,0)</f>
        <v>#REF!</v>
      </c>
      <c r="P498" s="53" t="e">
        <f>VLOOKUP(N498,[2]!RUBROS[#All],2,0)</f>
        <v>#REF!</v>
      </c>
      <c r="Q498" s="47" t="str">
        <f t="shared" si="228"/>
        <v>20</v>
      </c>
      <c r="R498" s="47" t="str">
        <f t="shared" si="229"/>
        <v>4-101124</v>
      </c>
      <c r="S498" s="47" t="s">
        <v>42</v>
      </c>
      <c r="T498" s="63" t="s">
        <v>42</v>
      </c>
      <c r="U498" s="326" t="e">
        <f ca="1">_xlfn.XLOOKUP(PAA_4[[#This Row],[ITEM]],[2]Contrato!A:A,[2]Contrato!Q:Q,"",0)</f>
        <v>#NAME?</v>
      </c>
      <c r="V498" s="47" t="s">
        <v>95</v>
      </c>
      <c r="W498" s="47" t="s">
        <v>42</v>
      </c>
      <c r="X498" s="47" t="s">
        <v>42</v>
      </c>
      <c r="Y498" s="55" t="e">
        <f ca="1">_xlfn.XLOOKUP(PAA_4[[#This Row],[ITEM]],[2]Contrato!A:A,[2]Contrato!B:B,"",0)</f>
        <v>#NAME?</v>
      </c>
      <c r="Z498" s="47" t="e">
        <f ca="1">_xlfn.XLOOKUP(PAA_4[[#This Row],[ITEM]],[2]Contrato!A:A,[2]Contrato!G:G,"",0)</f>
        <v>#NAME?</v>
      </c>
      <c r="AA498" s="47" t="e">
        <f ca="1">_xlfn.XLOOKUP(PAA_4[[#This Row],[ITEM]],[2]Contrato!A:A,[2]Contrato!T:T,"",0)</f>
        <v>#NAME?</v>
      </c>
      <c r="AB498" s="55" t="e">
        <f ca="1">+MAX(PAA_4[[#This Row],[Comprometido Contrato]],PAA_4[[#This Row],[Comprometido Bolsa]])</f>
        <v>#NAME?</v>
      </c>
      <c r="AC498" s="55" t="str">
        <f t="shared" ca="1" si="230"/>
        <v/>
      </c>
      <c r="AD498" s="55" t="e">
        <f ca="1">IF(PAA_4[[#This Row],[ESTADO (formulado)]]="NO CONTRATADO",0,MAX(PAA_4[[#This Row],[Pago por Contrato]],PAA_4[[#This Row],[Pago por bolsa]]))</f>
        <v>#NAME?</v>
      </c>
      <c r="AE498" s="55" t="str">
        <f t="shared" ca="1" si="231"/>
        <v/>
      </c>
      <c r="AF498" s="47" t="e">
        <f t="shared" ca="1" si="232"/>
        <v>#NAME?</v>
      </c>
      <c r="AG498" s="47">
        <f t="shared" si="233"/>
        <v>41080111</v>
      </c>
      <c r="AH498" s="54">
        <f>IF(Q498="22",IF(ISNUMBER(SEARCH("econ",PAA_4[[#This Row],[Actividad3]])),"Económico",IF(ISNUMBER(SEARCH("alim",PAA_4[[#This Row],[Actividad3]])),"Alimentación",IF(ISNUMBER(SEARCH("educ",PAA_4[[#This Row],[Actividad3]])),"Educativo","Técnico"))),0)</f>
        <v>0</v>
      </c>
      <c r="AI498" s="47" t="e" cm="1">
        <f t="array" aca="1" ref="AI498" ca="1">_xlfn.XLOOKUP(PAA_4[[#This Row],[RCP-RUBRO]],[2]!COMPROMISOS_2024[[#All],[concatenado]],[2]!COMPROMISOS_2024[[#All],[Total pagado]],"",0)</f>
        <v>#NAME?</v>
      </c>
      <c r="AJ498" s="56">
        <f>IF(PAA_4[[#This Row],[BOLSA]]=0,0,SUMIFS([2]!COMPROMISOS_2024[[#All],[Total pagado]],[2]!COMPROMISOS_2024[[#All],[Bolsa]],PAA_4[[#This Row],[BOLSA]],[2]!COMPROMISOS_2024[[#All],[rubro]],PAA_4[[#This Row],[RCP-RUBRO]]))</f>
        <v>0</v>
      </c>
      <c r="AK498" s="47" t="e" cm="1">
        <f t="array" aca="1" ref="AK498" ca="1">_xlfn.XLOOKUP(PAA_4[[#This Row],[RCP-RUBRO]],[2]!COMPROMISOS_2024[[#All],[concatenado]],[2]!COMPROMISOS_2024[[#All],[Total Comprometido]],"",0)</f>
        <v>#NAME?</v>
      </c>
      <c r="AL498" s="47">
        <f>IF(PAA_4[[#This Row],[BOLSA]]=0,0,SUMIFS([2]!COMPROMISOS_2024[[#All],[Total Comprometido]],[2]!COMPROMISOS_2024[[#All],[Bolsa]],PAA_4[[#This Row],[BOLSA]],[2]!COMPROMISOS_2024[[#All],[concatenado]],PAA_4[[#This Row],[RCP-RUBRO]]))</f>
        <v>0</v>
      </c>
    </row>
    <row r="499" spans="1:38" s="19" customFormat="1" ht="31.5" customHeight="1">
      <c r="A499" s="47" t="s">
        <v>82</v>
      </c>
      <c r="B499" s="47" t="s">
        <v>42</v>
      </c>
      <c r="C499" s="47" t="str">
        <f>VLOOKUP(PAA_4[[#This Row],[PROYECTO (formulado)2]],[2]PROYECTOS!$G$1:$L$32,6,0)</f>
        <v>SUBGERENCIA DE ALTOS LOGROS Y DEPORTE ASOCIADO</v>
      </c>
      <c r="D499" s="47" t="str">
        <f>+IF(PAA_4[[#This Row],[UNIDAD DE CONTRATACION (formulado)]]="Subgerencia Administrativa y Financiera","FUNCIONAMIENTO","INVERSIÓN")</f>
        <v>INVERSIÓN</v>
      </c>
      <c r="E499" s="48" t="str">
        <f>VLOOKUP(Q499,[2]PROYECTOS!$G$1:$K$32,5,0)</f>
        <v>FORTALECIMIENTO_DEL_PROGRAMA_DE_ALTOS_LOGROS_Y_LIDERAZGO_DEPORTIVO_EN_EL_DEPARTAMENTO_DE_ANTIOQUIA</v>
      </c>
      <c r="F499" s="48">
        <f>VLOOKUP(E499,[2]PROYECTOS!$K$1:$M$32,3,0)</f>
        <v>2020003050021</v>
      </c>
      <c r="G499" s="344" t="s">
        <v>235</v>
      </c>
      <c r="H499" s="49" t="str">
        <f>VLOOKUP(Q499,[2]PROYECTOS!$V$1:$W$32,2,0)</f>
        <v>050061</v>
      </c>
      <c r="I499" s="50">
        <v>110450</v>
      </c>
      <c r="J499" s="51" t="s">
        <v>1547</v>
      </c>
      <c r="K499" s="47" t="str">
        <f t="shared" ca="1" si="227"/>
        <v>CONTRATADO</v>
      </c>
      <c r="L499" s="47" t="s">
        <v>42</v>
      </c>
      <c r="M499" s="47" t="s">
        <v>42</v>
      </c>
      <c r="N499" s="344" t="s">
        <v>278</v>
      </c>
      <c r="O499" s="51" t="e">
        <f>VLOOKUP(N499,[2]!RUBROS[#All],3,0)</f>
        <v>#REF!</v>
      </c>
      <c r="P499" s="53" t="e">
        <f>VLOOKUP(N499,[2]!RUBROS[#All],2,0)</f>
        <v>#REF!</v>
      </c>
      <c r="Q499" s="47" t="str">
        <f t="shared" si="228"/>
        <v>20</v>
      </c>
      <c r="R499" s="47" t="str">
        <f t="shared" si="229"/>
        <v>4-101124</v>
      </c>
      <c r="S499" s="47" t="s">
        <v>42</v>
      </c>
      <c r="T499" s="63" t="s">
        <v>42</v>
      </c>
      <c r="U499" s="326" t="e">
        <f ca="1">_xlfn.XLOOKUP(PAA_4[[#This Row],[ITEM]],[2]Contrato!A:A,[2]Contrato!Q:Q,"",0)</f>
        <v>#NAME?</v>
      </c>
      <c r="V499" s="47" t="s">
        <v>95</v>
      </c>
      <c r="W499" s="47" t="s">
        <v>42</v>
      </c>
      <c r="X499" s="47" t="s">
        <v>42</v>
      </c>
      <c r="Y499" s="55" t="e">
        <f ca="1">_xlfn.XLOOKUP(PAA_4[[#This Row],[ITEM]],[2]Contrato!A:A,[2]Contrato!B:B,"",0)</f>
        <v>#NAME?</v>
      </c>
      <c r="Z499" s="47" t="e">
        <f ca="1">_xlfn.XLOOKUP(PAA_4[[#This Row],[ITEM]],[2]Contrato!A:A,[2]Contrato!G:G,"",0)</f>
        <v>#NAME?</v>
      </c>
      <c r="AA499" s="47" t="e">
        <f ca="1">_xlfn.XLOOKUP(PAA_4[[#This Row],[ITEM]],[2]Contrato!A:A,[2]Contrato!T:T,"",0)</f>
        <v>#NAME?</v>
      </c>
      <c r="AB499" s="55" t="e">
        <f ca="1">+MAX(PAA_4[[#This Row],[Comprometido Contrato]],PAA_4[[#This Row],[Comprometido Bolsa]])</f>
        <v>#NAME?</v>
      </c>
      <c r="AC499" s="55" t="str">
        <f t="shared" ca="1" si="230"/>
        <v/>
      </c>
      <c r="AD499" s="55" t="e">
        <f ca="1">IF(PAA_4[[#This Row],[ESTADO (formulado)]]="NO CONTRATADO",0,MAX(PAA_4[[#This Row],[Pago por Contrato]],PAA_4[[#This Row],[Pago por bolsa]]))</f>
        <v>#NAME?</v>
      </c>
      <c r="AE499" s="55" t="str">
        <f t="shared" ca="1" si="231"/>
        <v/>
      </c>
      <c r="AF499" s="47" t="e">
        <f t="shared" ca="1" si="232"/>
        <v>#NAME?</v>
      </c>
      <c r="AG499" s="47">
        <f t="shared" si="233"/>
        <v>41080111</v>
      </c>
      <c r="AH499" s="54">
        <f>IF(Q499="22",IF(ISNUMBER(SEARCH("econ",PAA_4[[#This Row],[Actividad3]])),"Económico",IF(ISNUMBER(SEARCH("alim",PAA_4[[#This Row],[Actividad3]])),"Alimentación",IF(ISNUMBER(SEARCH("educ",PAA_4[[#This Row],[Actividad3]])),"Educativo","Técnico"))),0)</f>
        <v>0</v>
      </c>
      <c r="AI499" s="47" t="e" cm="1">
        <f t="array" aca="1" ref="AI499" ca="1">_xlfn.XLOOKUP(PAA_4[[#This Row],[RCP-RUBRO]],[2]!COMPROMISOS_2024[[#All],[concatenado]],[2]!COMPROMISOS_2024[[#All],[Total pagado]],"",0)</f>
        <v>#NAME?</v>
      </c>
      <c r="AJ499" s="56">
        <f>IF(PAA_4[[#This Row],[BOLSA]]=0,0,SUMIFS([2]!COMPROMISOS_2024[[#All],[Total pagado]],[2]!COMPROMISOS_2024[[#All],[Bolsa]],PAA_4[[#This Row],[BOLSA]],[2]!COMPROMISOS_2024[[#All],[rubro]],PAA_4[[#This Row],[RCP-RUBRO]]))</f>
        <v>0</v>
      </c>
      <c r="AK499" s="47" t="e" cm="1">
        <f t="array" aca="1" ref="AK499" ca="1">_xlfn.XLOOKUP(PAA_4[[#This Row],[RCP-RUBRO]],[2]!COMPROMISOS_2024[[#All],[concatenado]],[2]!COMPROMISOS_2024[[#All],[Total Comprometido]],"",0)</f>
        <v>#NAME?</v>
      </c>
      <c r="AL499" s="47">
        <f>IF(PAA_4[[#This Row],[BOLSA]]=0,0,SUMIFS([2]!COMPROMISOS_2024[[#All],[Total Comprometido]],[2]!COMPROMISOS_2024[[#All],[Bolsa]],PAA_4[[#This Row],[BOLSA]],[2]!COMPROMISOS_2024[[#All],[concatenado]],PAA_4[[#This Row],[RCP-RUBRO]]))</f>
        <v>0</v>
      </c>
    </row>
    <row r="500" spans="1:38" s="19" customFormat="1" ht="31.5" customHeight="1">
      <c r="A500" s="47" t="s">
        <v>82</v>
      </c>
      <c r="B500" s="47" t="s">
        <v>42</v>
      </c>
      <c r="C500" s="47" t="str">
        <f>VLOOKUP(PAA_4[[#This Row],[PROYECTO (formulado)2]],[2]PROYECTOS!$G$1:$L$32,6,0)</f>
        <v>SUBGERENCIA DE ALTOS LOGROS Y DEPORTE ASOCIADO</v>
      </c>
      <c r="D500" s="47" t="str">
        <f>+IF(PAA_4[[#This Row],[UNIDAD DE CONTRATACION (formulado)]]="Subgerencia Administrativa y Financiera","FUNCIONAMIENTO","INVERSIÓN")</f>
        <v>INVERSIÓN</v>
      </c>
      <c r="E500" s="48" t="str">
        <f>VLOOKUP(Q500,[2]PROYECTOS!$G$1:$K$32,5,0)</f>
        <v>FORTALECIMIENTO_DEL_PROGRAMA_DE_ALTOS_LOGROS_Y_LIDERAZGO_DEPORTIVO_EN_EL_DEPARTAMENTO_DE_ANTIOQUIA</v>
      </c>
      <c r="F500" s="48">
        <f>VLOOKUP(E500,[2]PROYECTOS!$K$1:$M$32,3,0)</f>
        <v>2020003050021</v>
      </c>
      <c r="G500" s="344" t="s">
        <v>235</v>
      </c>
      <c r="H500" s="49" t="str">
        <f>VLOOKUP(Q500,[2]PROYECTOS!$V$1:$W$32,2,0)</f>
        <v>050061</v>
      </c>
      <c r="I500" s="50">
        <v>110450</v>
      </c>
      <c r="J500" s="51" t="s">
        <v>1547</v>
      </c>
      <c r="K500" s="47" t="str">
        <f t="shared" ca="1" si="227"/>
        <v>CONTRATADO</v>
      </c>
      <c r="L500" s="47" t="s">
        <v>42</v>
      </c>
      <c r="M500" s="47" t="s">
        <v>42</v>
      </c>
      <c r="N500" s="344" t="s">
        <v>278</v>
      </c>
      <c r="O500" s="51" t="e">
        <f>VLOOKUP(N500,[2]!RUBROS[#All],3,0)</f>
        <v>#REF!</v>
      </c>
      <c r="P500" s="53" t="e">
        <f>VLOOKUP(N500,[2]!RUBROS[#All],2,0)</f>
        <v>#REF!</v>
      </c>
      <c r="Q500" s="47" t="str">
        <f t="shared" si="228"/>
        <v>20</v>
      </c>
      <c r="R500" s="47" t="str">
        <f t="shared" si="229"/>
        <v>4-101124</v>
      </c>
      <c r="S500" s="47" t="s">
        <v>42</v>
      </c>
      <c r="T500" s="63" t="s">
        <v>42</v>
      </c>
      <c r="U500" s="326" t="e">
        <f ca="1">_xlfn.XLOOKUP(PAA_4[[#This Row],[ITEM]],[2]Contrato!A:A,[2]Contrato!Q:Q,"",0)</f>
        <v>#NAME?</v>
      </c>
      <c r="V500" s="47" t="s">
        <v>95</v>
      </c>
      <c r="W500" s="47" t="s">
        <v>42</v>
      </c>
      <c r="X500" s="47" t="s">
        <v>42</v>
      </c>
      <c r="Y500" s="55" t="e">
        <f ca="1">_xlfn.XLOOKUP(PAA_4[[#This Row],[ITEM]],[2]Contrato!A:A,[2]Contrato!B:B,"",0)</f>
        <v>#NAME?</v>
      </c>
      <c r="Z500" s="47" t="e">
        <f ca="1">_xlfn.XLOOKUP(PAA_4[[#This Row],[ITEM]],[2]Contrato!A:A,[2]Contrato!G:G,"",0)</f>
        <v>#NAME?</v>
      </c>
      <c r="AA500" s="47" t="e">
        <f ca="1">_xlfn.XLOOKUP(PAA_4[[#This Row],[ITEM]],[2]Contrato!A:A,[2]Contrato!T:T,"",0)</f>
        <v>#NAME?</v>
      </c>
      <c r="AB500" s="55" t="e">
        <f ca="1">+MAX(PAA_4[[#This Row],[Comprometido Contrato]],PAA_4[[#This Row],[Comprometido Bolsa]])</f>
        <v>#NAME?</v>
      </c>
      <c r="AC500" s="55" t="str">
        <f t="shared" ca="1" si="230"/>
        <v/>
      </c>
      <c r="AD500" s="55" t="e">
        <f ca="1">IF(PAA_4[[#This Row],[ESTADO (formulado)]]="NO CONTRATADO",0,MAX(PAA_4[[#This Row],[Pago por Contrato]],PAA_4[[#This Row],[Pago por bolsa]]))</f>
        <v>#NAME?</v>
      </c>
      <c r="AE500" s="55" t="str">
        <f t="shared" ca="1" si="231"/>
        <v/>
      </c>
      <c r="AF500" s="47" t="e">
        <f t="shared" ca="1" si="232"/>
        <v>#NAME?</v>
      </c>
      <c r="AG500" s="47">
        <f t="shared" si="233"/>
        <v>41080111</v>
      </c>
      <c r="AH500" s="54">
        <f>IF(Q500="22",IF(ISNUMBER(SEARCH("econ",PAA_4[[#This Row],[Actividad3]])),"Económico",IF(ISNUMBER(SEARCH("alim",PAA_4[[#This Row],[Actividad3]])),"Alimentación",IF(ISNUMBER(SEARCH("educ",PAA_4[[#This Row],[Actividad3]])),"Educativo","Técnico"))),0)</f>
        <v>0</v>
      </c>
      <c r="AI500" s="47" t="e" cm="1">
        <f t="array" aca="1" ref="AI500" ca="1">_xlfn.XLOOKUP(PAA_4[[#This Row],[RCP-RUBRO]],[2]!COMPROMISOS_2024[[#All],[concatenado]],[2]!COMPROMISOS_2024[[#All],[Total pagado]],"",0)</f>
        <v>#NAME?</v>
      </c>
      <c r="AJ500" s="56">
        <f>IF(PAA_4[[#This Row],[BOLSA]]=0,0,SUMIFS([2]!COMPROMISOS_2024[[#All],[Total pagado]],[2]!COMPROMISOS_2024[[#All],[Bolsa]],PAA_4[[#This Row],[BOLSA]],[2]!COMPROMISOS_2024[[#All],[rubro]],PAA_4[[#This Row],[RCP-RUBRO]]))</f>
        <v>0</v>
      </c>
      <c r="AK500" s="47" t="e" cm="1">
        <f t="array" aca="1" ref="AK500" ca="1">_xlfn.XLOOKUP(PAA_4[[#This Row],[RCP-RUBRO]],[2]!COMPROMISOS_2024[[#All],[concatenado]],[2]!COMPROMISOS_2024[[#All],[Total Comprometido]],"",0)</f>
        <v>#NAME?</v>
      </c>
      <c r="AL500" s="47">
        <f>IF(PAA_4[[#This Row],[BOLSA]]=0,0,SUMIFS([2]!COMPROMISOS_2024[[#All],[Total Comprometido]],[2]!COMPROMISOS_2024[[#All],[Bolsa]],PAA_4[[#This Row],[BOLSA]],[2]!COMPROMISOS_2024[[#All],[concatenado]],PAA_4[[#This Row],[RCP-RUBRO]]))</f>
        <v>0</v>
      </c>
    </row>
    <row r="501" spans="1:38" s="19" customFormat="1" ht="31.5" customHeight="1">
      <c r="A501" s="47" t="s">
        <v>82</v>
      </c>
      <c r="B501" s="47" t="s">
        <v>42</v>
      </c>
      <c r="C501" s="47" t="str">
        <f>VLOOKUP(PAA_4[[#This Row],[PROYECTO (formulado)2]],[2]PROYECTOS!$G$1:$L$32,6,0)</f>
        <v>SUBGERENCIA DE ALTOS LOGROS Y DEPORTE ASOCIADO</v>
      </c>
      <c r="D501" s="47" t="str">
        <f>+IF(PAA_4[[#This Row],[UNIDAD DE CONTRATACION (formulado)]]="Subgerencia Administrativa y Financiera","FUNCIONAMIENTO","INVERSIÓN")</f>
        <v>INVERSIÓN</v>
      </c>
      <c r="E501" s="48" t="str">
        <f>VLOOKUP(Q501,[2]PROYECTOS!$G$1:$K$32,5,0)</f>
        <v>FORTALECIMIENTO_DEL_PROGRAMA_DE_ALTOS_LOGROS_Y_LIDERAZGO_DEPORTIVO_EN_EL_DEPARTAMENTO_DE_ANTIOQUIA</v>
      </c>
      <c r="F501" s="48">
        <f>VLOOKUP(E501,[2]PROYECTOS!$K$1:$M$32,3,0)</f>
        <v>2020003050021</v>
      </c>
      <c r="G501" s="344" t="s">
        <v>235</v>
      </c>
      <c r="H501" s="49" t="str">
        <f>VLOOKUP(Q501,[2]PROYECTOS!$V$1:$W$32,2,0)</f>
        <v>050061</v>
      </c>
      <c r="I501" s="50">
        <v>2079470</v>
      </c>
      <c r="J501" s="51" t="s">
        <v>1547</v>
      </c>
      <c r="K501" s="47" t="str">
        <f t="shared" ca="1" si="227"/>
        <v>CONTRATADO</v>
      </c>
      <c r="L501" s="47" t="s">
        <v>42</v>
      </c>
      <c r="M501" s="47" t="s">
        <v>42</v>
      </c>
      <c r="N501" s="344" t="s">
        <v>278</v>
      </c>
      <c r="O501" s="51" t="e">
        <f>VLOOKUP(N501,[2]!RUBROS[#All],3,0)</f>
        <v>#REF!</v>
      </c>
      <c r="P501" s="53" t="e">
        <f>VLOOKUP(N501,[2]!RUBROS[#All],2,0)</f>
        <v>#REF!</v>
      </c>
      <c r="Q501" s="47" t="str">
        <f t="shared" si="228"/>
        <v>20</v>
      </c>
      <c r="R501" s="47" t="str">
        <f t="shared" si="229"/>
        <v>4-101124</v>
      </c>
      <c r="S501" s="47" t="s">
        <v>42</v>
      </c>
      <c r="T501" s="63" t="s">
        <v>42</v>
      </c>
      <c r="U501" s="326" t="e">
        <f ca="1">_xlfn.XLOOKUP(PAA_4[[#This Row],[ITEM]],[2]Contrato!A:A,[2]Contrato!Q:Q,"",0)</f>
        <v>#NAME?</v>
      </c>
      <c r="V501" s="47" t="s">
        <v>95</v>
      </c>
      <c r="W501" s="47" t="s">
        <v>42</v>
      </c>
      <c r="X501" s="47" t="s">
        <v>42</v>
      </c>
      <c r="Y501" s="55" t="e">
        <f ca="1">_xlfn.XLOOKUP(PAA_4[[#This Row],[ITEM]],[2]Contrato!A:A,[2]Contrato!B:B,"",0)</f>
        <v>#NAME?</v>
      </c>
      <c r="Z501" s="47" t="e">
        <f ca="1">_xlfn.XLOOKUP(PAA_4[[#This Row],[ITEM]],[2]Contrato!A:A,[2]Contrato!G:G,"",0)</f>
        <v>#NAME?</v>
      </c>
      <c r="AA501" s="47" t="e">
        <f ca="1">_xlfn.XLOOKUP(PAA_4[[#This Row],[ITEM]],[2]Contrato!A:A,[2]Contrato!T:T,"",0)</f>
        <v>#NAME?</v>
      </c>
      <c r="AB501" s="55" t="e">
        <f ca="1">+MAX(PAA_4[[#This Row],[Comprometido Contrato]],PAA_4[[#This Row],[Comprometido Bolsa]])</f>
        <v>#NAME?</v>
      </c>
      <c r="AC501" s="55" t="str">
        <f t="shared" ca="1" si="230"/>
        <v/>
      </c>
      <c r="AD501" s="55" t="e">
        <f ca="1">IF(PAA_4[[#This Row],[ESTADO (formulado)]]="NO CONTRATADO",0,MAX(PAA_4[[#This Row],[Pago por Contrato]],PAA_4[[#This Row],[Pago por bolsa]]))</f>
        <v>#NAME?</v>
      </c>
      <c r="AE501" s="55" t="str">
        <f t="shared" ca="1" si="231"/>
        <v/>
      </c>
      <c r="AF501" s="47" t="e">
        <f t="shared" ca="1" si="232"/>
        <v>#NAME?</v>
      </c>
      <c r="AG501" s="47">
        <f t="shared" si="233"/>
        <v>41080111</v>
      </c>
      <c r="AH501" s="54">
        <f>IF(Q501="22",IF(ISNUMBER(SEARCH("econ",PAA_4[[#This Row],[Actividad3]])),"Económico",IF(ISNUMBER(SEARCH("alim",PAA_4[[#This Row],[Actividad3]])),"Alimentación",IF(ISNUMBER(SEARCH("educ",PAA_4[[#This Row],[Actividad3]])),"Educativo","Técnico"))),0)</f>
        <v>0</v>
      </c>
      <c r="AI501" s="47" t="e" cm="1">
        <f t="array" aca="1" ref="AI501" ca="1">_xlfn.XLOOKUP(PAA_4[[#This Row],[RCP-RUBRO]],[2]!COMPROMISOS_2024[[#All],[concatenado]],[2]!COMPROMISOS_2024[[#All],[Total pagado]],"",0)</f>
        <v>#NAME?</v>
      </c>
      <c r="AJ501" s="56">
        <f>IF(PAA_4[[#This Row],[BOLSA]]=0,0,SUMIFS([2]!COMPROMISOS_2024[[#All],[Total pagado]],[2]!COMPROMISOS_2024[[#All],[Bolsa]],PAA_4[[#This Row],[BOLSA]],[2]!COMPROMISOS_2024[[#All],[rubro]],PAA_4[[#This Row],[RCP-RUBRO]]))</f>
        <v>0</v>
      </c>
      <c r="AK501" s="47" t="e" cm="1">
        <f t="array" aca="1" ref="AK501" ca="1">_xlfn.XLOOKUP(PAA_4[[#This Row],[RCP-RUBRO]],[2]!COMPROMISOS_2024[[#All],[concatenado]],[2]!COMPROMISOS_2024[[#All],[Total Comprometido]],"",0)</f>
        <v>#NAME?</v>
      </c>
      <c r="AL501" s="47">
        <f>IF(PAA_4[[#This Row],[BOLSA]]=0,0,SUMIFS([2]!COMPROMISOS_2024[[#All],[Total Comprometido]],[2]!COMPROMISOS_2024[[#All],[Bolsa]],PAA_4[[#This Row],[BOLSA]],[2]!COMPROMISOS_2024[[#All],[concatenado]],PAA_4[[#This Row],[RCP-RUBRO]]))</f>
        <v>0</v>
      </c>
    </row>
    <row r="502" spans="1:38" s="19" customFormat="1" ht="31.5" customHeight="1">
      <c r="A502" s="47" t="s">
        <v>82</v>
      </c>
      <c r="B502" s="47" t="s">
        <v>42</v>
      </c>
      <c r="C502" s="47" t="str">
        <f>VLOOKUP(PAA_4[[#This Row],[PROYECTO (formulado)2]],[2]PROYECTOS!$G$1:$L$32,6,0)</f>
        <v>SUBGERENCIA DE ALTOS LOGROS Y DEPORTE ASOCIADO</v>
      </c>
      <c r="D502" s="47" t="str">
        <f>+IF(PAA_4[[#This Row],[UNIDAD DE CONTRATACION (formulado)]]="Subgerencia Administrativa y Financiera","FUNCIONAMIENTO","INVERSIÓN")</f>
        <v>INVERSIÓN</v>
      </c>
      <c r="E502" s="48" t="str">
        <f>VLOOKUP(Q502,[2]PROYECTOS!$G$1:$K$32,5,0)</f>
        <v>FORTALECIMIENTO_DEL_PROGRAMA_DE_ALTOS_LOGROS_Y_LIDERAZGO_DEPORTIVO_EN_EL_DEPARTAMENTO_DE_ANTIOQUIA</v>
      </c>
      <c r="F502" s="48">
        <f>VLOOKUP(E502,[2]PROYECTOS!$K$1:$M$32,3,0)</f>
        <v>2020003050021</v>
      </c>
      <c r="G502" s="344" t="s">
        <v>235</v>
      </c>
      <c r="H502" s="49" t="str">
        <f>VLOOKUP(Q502,[2]PROYECTOS!$V$1:$W$32,2,0)</f>
        <v>050061</v>
      </c>
      <c r="I502" s="50">
        <v>4000000</v>
      </c>
      <c r="J502" s="51" t="s">
        <v>1547</v>
      </c>
      <c r="K502" s="47" t="str">
        <f t="shared" ca="1" si="227"/>
        <v>CONTRATADO</v>
      </c>
      <c r="L502" s="47" t="s">
        <v>42</v>
      </c>
      <c r="M502" s="47" t="s">
        <v>42</v>
      </c>
      <c r="N502" s="344" t="s">
        <v>278</v>
      </c>
      <c r="O502" s="51" t="e">
        <f>VLOOKUP(N502,[2]!RUBROS[#All],3,0)</f>
        <v>#REF!</v>
      </c>
      <c r="P502" s="53" t="e">
        <f>VLOOKUP(N502,[2]!RUBROS[#All],2,0)</f>
        <v>#REF!</v>
      </c>
      <c r="Q502" s="47" t="str">
        <f t="shared" si="228"/>
        <v>20</v>
      </c>
      <c r="R502" s="47" t="str">
        <f t="shared" si="229"/>
        <v>4-101124</v>
      </c>
      <c r="S502" s="47" t="s">
        <v>42</v>
      </c>
      <c r="T502" s="63" t="s">
        <v>42</v>
      </c>
      <c r="U502" s="326" t="e">
        <f ca="1">_xlfn.XLOOKUP(PAA_4[[#This Row],[ITEM]],[2]Contrato!A:A,[2]Contrato!Q:Q,"",0)</f>
        <v>#NAME?</v>
      </c>
      <c r="V502" s="47" t="s">
        <v>95</v>
      </c>
      <c r="W502" s="47" t="s">
        <v>42</v>
      </c>
      <c r="X502" s="47" t="s">
        <v>42</v>
      </c>
      <c r="Y502" s="55" t="e">
        <f ca="1">_xlfn.XLOOKUP(PAA_4[[#This Row],[ITEM]],[2]Contrato!A:A,[2]Contrato!B:B,"",0)</f>
        <v>#NAME?</v>
      </c>
      <c r="Z502" s="47" t="e">
        <f ca="1">_xlfn.XLOOKUP(PAA_4[[#This Row],[ITEM]],[2]Contrato!A:A,[2]Contrato!G:G,"",0)</f>
        <v>#NAME?</v>
      </c>
      <c r="AA502" s="47" t="e">
        <f ca="1">_xlfn.XLOOKUP(PAA_4[[#This Row],[ITEM]],[2]Contrato!A:A,[2]Contrato!T:T,"",0)</f>
        <v>#NAME?</v>
      </c>
      <c r="AB502" s="55" t="e">
        <f ca="1">+MAX(PAA_4[[#This Row],[Comprometido Contrato]],PAA_4[[#This Row],[Comprometido Bolsa]])</f>
        <v>#NAME?</v>
      </c>
      <c r="AC502" s="55" t="str">
        <f t="shared" ca="1" si="230"/>
        <v/>
      </c>
      <c r="AD502" s="55" t="e">
        <f ca="1">IF(PAA_4[[#This Row],[ESTADO (formulado)]]="NO CONTRATADO",0,MAX(PAA_4[[#This Row],[Pago por Contrato]],PAA_4[[#This Row],[Pago por bolsa]]))</f>
        <v>#NAME?</v>
      </c>
      <c r="AE502" s="55" t="str">
        <f t="shared" ca="1" si="231"/>
        <v/>
      </c>
      <c r="AF502" s="47" t="e">
        <f t="shared" ca="1" si="232"/>
        <v>#NAME?</v>
      </c>
      <c r="AG502" s="47">
        <f t="shared" si="233"/>
        <v>41080111</v>
      </c>
      <c r="AH502" s="54">
        <f>IF(Q502="22",IF(ISNUMBER(SEARCH("econ",PAA_4[[#This Row],[Actividad3]])),"Económico",IF(ISNUMBER(SEARCH("alim",PAA_4[[#This Row],[Actividad3]])),"Alimentación",IF(ISNUMBER(SEARCH("educ",PAA_4[[#This Row],[Actividad3]])),"Educativo","Técnico"))),0)</f>
        <v>0</v>
      </c>
      <c r="AI502" s="47" t="e" cm="1">
        <f t="array" aca="1" ref="AI502" ca="1">_xlfn.XLOOKUP(PAA_4[[#This Row],[RCP-RUBRO]],[2]!COMPROMISOS_2024[[#All],[concatenado]],[2]!COMPROMISOS_2024[[#All],[Total pagado]],"",0)</f>
        <v>#NAME?</v>
      </c>
      <c r="AJ502" s="56">
        <f>IF(PAA_4[[#This Row],[BOLSA]]=0,0,SUMIFS([2]!COMPROMISOS_2024[[#All],[Total pagado]],[2]!COMPROMISOS_2024[[#All],[Bolsa]],PAA_4[[#This Row],[BOLSA]],[2]!COMPROMISOS_2024[[#All],[rubro]],PAA_4[[#This Row],[RCP-RUBRO]]))</f>
        <v>0</v>
      </c>
      <c r="AK502" s="47" t="e" cm="1">
        <f t="array" aca="1" ref="AK502" ca="1">_xlfn.XLOOKUP(PAA_4[[#This Row],[RCP-RUBRO]],[2]!COMPROMISOS_2024[[#All],[concatenado]],[2]!COMPROMISOS_2024[[#All],[Total Comprometido]],"",0)</f>
        <v>#NAME?</v>
      </c>
      <c r="AL502" s="47">
        <f>IF(PAA_4[[#This Row],[BOLSA]]=0,0,SUMIFS([2]!COMPROMISOS_2024[[#All],[Total Comprometido]],[2]!COMPROMISOS_2024[[#All],[Bolsa]],PAA_4[[#This Row],[BOLSA]],[2]!COMPROMISOS_2024[[#All],[concatenado]],PAA_4[[#This Row],[RCP-RUBRO]]))</f>
        <v>0</v>
      </c>
    </row>
    <row r="503" spans="1:38" s="19" customFormat="1" ht="31.5" customHeight="1">
      <c r="A503" s="47" t="s">
        <v>82</v>
      </c>
      <c r="B503" s="47" t="s">
        <v>42</v>
      </c>
      <c r="C503" s="47" t="str">
        <f>VLOOKUP(PAA_4[[#This Row],[PROYECTO (formulado)2]],[2]PROYECTOS!$G$1:$L$32,6,0)</f>
        <v>SUBGERENCIA DE ALTOS LOGROS Y DEPORTE ASOCIADO</v>
      </c>
      <c r="D503" s="47" t="str">
        <f>+IF(PAA_4[[#This Row],[UNIDAD DE CONTRATACION (formulado)]]="Subgerencia Administrativa y Financiera","FUNCIONAMIENTO","INVERSIÓN")</f>
        <v>INVERSIÓN</v>
      </c>
      <c r="E503" s="48" t="str">
        <f>VLOOKUP(Q503,[2]PROYECTOS!$G$1:$K$32,5,0)</f>
        <v>FORTALECIMIENTO_DEL_PROGRAMA_DE_ALTOS_LOGROS_Y_LIDERAZGO_DEPORTIVO_EN_EL_DEPARTAMENTO_DE_ANTIOQUIA</v>
      </c>
      <c r="F503" s="48">
        <f>VLOOKUP(E503,[2]PROYECTOS!$K$1:$M$32,3,0)</f>
        <v>2020003050021</v>
      </c>
      <c r="G503" s="344" t="s">
        <v>235</v>
      </c>
      <c r="H503" s="49" t="str">
        <f>VLOOKUP(Q503,[2]PROYECTOS!$V$1:$W$32,2,0)</f>
        <v>050061</v>
      </c>
      <c r="I503" s="50">
        <v>1999998</v>
      </c>
      <c r="J503" s="51" t="s">
        <v>1547</v>
      </c>
      <c r="K503" s="47" t="str">
        <f t="shared" ca="1" si="227"/>
        <v>CONTRATADO</v>
      </c>
      <c r="L503" s="47" t="s">
        <v>42</v>
      </c>
      <c r="M503" s="47" t="s">
        <v>42</v>
      </c>
      <c r="N503" s="344" t="s">
        <v>278</v>
      </c>
      <c r="O503" s="51" t="e">
        <f>VLOOKUP(N503,[2]!RUBROS[#All],3,0)</f>
        <v>#REF!</v>
      </c>
      <c r="P503" s="53" t="e">
        <f>VLOOKUP(N503,[2]!RUBROS[#All],2,0)</f>
        <v>#REF!</v>
      </c>
      <c r="Q503" s="47" t="str">
        <f t="shared" si="228"/>
        <v>20</v>
      </c>
      <c r="R503" s="47" t="str">
        <f t="shared" si="229"/>
        <v>4-101124</v>
      </c>
      <c r="S503" s="47" t="s">
        <v>42</v>
      </c>
      <c r="T503" s="63" t="s">
        <v>42</v>
      </c>
      <c r="U503" s="326" t="e">
        <f ca="1">_xlfn.XLOOKUP(PAA_4[[#This Row],[ITEM]],[2]Contrato!A:A,[2]Contrato!Q:Q,"",0)</f>
        <v>#NAME?</v>
      </c>
      <c r="V503" s="47" t="s">
        <v>95</v>
      </c>
      <c r="W503" s="47" t="s">
        <v>42</v>
      </c>
      <c r="X503" s="47" t="s">
        <v>42</v>
      </c>
      <c r="Y503" s="55" t="e">
        <f ca="1">_xlfn.XLOOKUP(PAA_4[[#This Row],[ITEM]],[2]Contrato!A:A,[2]Contrato!B:B,"",0)</f>
        <v>#NAME?</v>
      </c>
      <c r="Z503" s="47" t="e">
        <f ca="1">_xlfn.XLOOKUP(PAA_4[[#This Row],[ITEM]],[2]Contrato!A:A,[2]Contrato!G:G,"",0)</f>
        <v>#NAME?</v>
      </c>
      <c r="AA503" s="47" t="e">
        <f ca="1">_xlfn.XLOOKUP(PAA_4[[#This Row],[ITEM]],[2]Contrato!A:A,[2]Contrato!T:T,"",0)</f>
        <v>#NAME?</v>
      </c>
      <c r="AB503" s="55" t="e">
        <f ca="1">+MAX(PAA_4[[#This Row],[Comprometido Contrato]],PAA_4[[#This Row],[Comprometido Bolsa]])</f>
        <v>#NAME?</v>
      </c>
      <c r="AC503" s="55" t="str">
        <f t="shared" ca="1" si="230"/>
        <v/>
      </c>
      <c r="AD503" s="55" t="e">
        <f ca="1">IF(PAA_4[[#This Row],[ESTADO (formulado)]]="NO CONTRATADO",0,MAX(PAA_4[[#This Row],[Pago por Contrato]],PAA_4[[#This Row],[Pago por bolsa]]))</f>
        <v>#NAME?</v>
      </c>
      <c r="AE503" s="55" t="str">
        <f t="shared" ca="1" si="231"/>
        <v/>
      </c>
      <c r="AF503" s="47" t="e">
        <f t="shared" ca="1" si="232"/>
        <v>#NAME?</v>
      </c>
      <c r="AG503" s="47">
        <f t="shared" si="233"/>
        <v>41080111</v>
      </c>
      <c r="AH503" s="54">
        <f>IF(Q503="22",IF(ISNUMBER(SEARCH("econ",PAA_4[[#This Row],[Actividad3]])),"Económico",IF(ISNUMBER(SEARCH("alim",PAA_4[[#This Row],[Actividad3]])),"Alimentación",IF(ISNUMBER(SEARCH("educ",PAA_4[[#This Row],[Actividad3]])),"Educativo","Técnico"))),0)</f>
        <v>0</v>
      </c>
      <c r="AI503" s="47" t="e" cm="1">
        <f t="array" aca="1" ref="AI503" ca="1">_xlfn.XLOOKUP(PAA_4[[#This Row],[RCP-RUBRO]],[2]!COMPROMISOS_2024[[#All],[concatenado]],[2]!COMPROMISOS_2024[[#All],[Total pagado]],"",0)</f>
        <v>#NAME?</v>
      </c>
      <c r="AJ503" s="56">
        <f>IF(PAA_4[[#This Row],[BOLSA]]=0,0,SUMIFS([2]!COMPROMISOS_2024[[#All],[Total pagado]],[2]!COMPROMISOS_2024[[#All],[Bolsa]],PAA_4[[#This Row],[BOLSA]],[2]!COMPROMISOS_2024[[#All],[rubro]],PAA_4[[#This Row],[RCP-RUBRO]]))</f>
        <v>0</v>
      </c>
      <c r="AK503" s="47" t="e" cm="1">
        <f t="array" aca="1" ref="AK503" ca="1">_xlfn.XLOOKUP(PAA_4[[#This Row],[RCP-RUBRO]],[2]!COMPROMISOS_2024[[#All],[concatenado]],[2]!COMPROMISOS_2024[[#All],[Total Comprometido]],"",0)</f>
        <v>#NAME?</v>
      </c>
      <c r="AL503" s="47">
        <f>IF(PAA_4[[#This Row],[BOLSA]]=0,0,SUMIFS([2]!COMPROMISOS_2024[[#All],[Total Comprometido]],[2]!COMPROMISOS_2024[[#All],[Bolsa]],PAA_4[[#This Row],[BOLSA]],[2]!COMPROMISOS_2024[[#All],[concatenado]],PAA_4[[#This Row],[RCP-RUBRO]]))</f>
        <v>0</v>
      </c>
    </row>
    <row r="504" spans="1:38" s="19" customFormat="1" ht="31.5" customHeight="1">
      <c r="A504" s="47" t="s">
        <v>82</v>
      </c>
      <c r="B504" s="47" t="s">
        <v>42</v>
      </c>
      <c r="C504" s="47" t="str">
        <f>VLOOKUP(PAA_4[[#This Row],[PROYECTO (formulado)2]],[2]PROYECTOS!$G$1:$L$32,6,0)</f>
        <v>SUBGERENCIA DE ALTOS LOGROS Y DEPORTE ASOCIADO</v>
      </c>
      <c r="D504" s="47" t="str">
        <f>+IF(PAA_4[[#This Row],[UNIDAD DE CONTRATACION (formulado)]]="Subgerencia Administrativa y Financiera","FUNCIONAMIENTO","INVERSIÓN")</f>
        <v>INVERSIÓN</v>
      </c>
      <c r="E504" s="48" t="str">
        <f>VLOOKUP(Q504,[2]PROYECTOS!$G$1:$K$32,5,0)</f>
        <v>Fortalecimiento del desarrollo deportivo con miras al alto rendimiento competitivo de los atletas del departamento de Antioquia</v>
      </c>
      <c r="F504" s="48">
        <f>VLOOKUP(E504,[2]PROYECTOS!$K$1:$M$32,3,0)</f>
        <v>2024003050087</v>
      </c>
      <c r="G504" s="344" t="s">
        <v>1548</v>
      </c>
      <c r="H504" s="49" t="str">
        <f>VLOOKUP(Q504,[2]PROYECTOS!$V$1:$W$32,2,0)</f>
        <v>050078</v>
      </c>
      <c r="I504" s="50">
        <v>2000002</v>
      </c>
      <c r="J504" s="51" t="s">
        <v>1547</v>
      </c>
      <c r="K504" s="47" t="str">
        <f t="shared" ca="1" si="227"/>
        <v>CONTRATADO</v>
      </c>
      <c r="L504" s="47" t="s">
        <v>42</v>
      </c>
      <c r="M504" s="47" t="s">
        <v>42</v>
      </c>
      <c r="N504" s="344" t="s">
        <v>1549</v>
      </c>
      <c r="O504" s="51" t="e">
        <f>VLOOKUP(N504,[2]!RUBROS[#All],3,0)</f>
        <v>#REF!</v>
      </c>
      <c r="P504" s="53" t="e">
        <f>VLOOKUP(N504,[2]!RUBROS[#All],2,0)</f>
        <v>#REF!</v>
      </c>
      <c r="Q504" s="47" t="str">
        <f t="shared" si="228"/>
        <v>87</v>
      </c>
      <c r="R504" s="47" t="str">
        <f t="shared" si="229"/>
        <v>0-205400</v>
      </c>
      <c r="S504" s="47" t="s">
        <v>42</v>
      </c>
      <c r="T504" s="63" t="s">
        <v>42</v>
      </c>
      <c r="U504" s="326" t="e">
        <f ca="1">_xlfn.XLOOKUP(PAA_4[[#This Row],[ITEM]],[2]Contrato!A:A,[2]Contrato!Q:Q,"",0)</f>
        <v>#NAME?</v>
      </c>
      <c r="V504" s="47" t="s">
        <v>95</v>
      </c>
      <c r="W504" s="47" t="s">
        <v>42</v>
      </c>
      <c r="X504" s="47" t="s">
        <v>42</v>
      </c>
      <c r="Y504" s="55" t="e">
        <f ca="1">_xlfn.XLOOKUP(PAA_4[[#This Row],[ITEM]],[2]Contrato!A:A,[2]Contrato!B:B,"",0)</f>
        <v>#NAME?</v>
      </c>
      <c r="Z504" s="47" t="e">
        <f ca="1">_xlfn.XLOOKUP(PAA_4[[#This Row],[ITEM]],[2]Contrato!A:A,[2]Contrato!G:G,"",0)</f>
        <v>#NAME?</v>
      </c>
      <c r="AA504" s="47" t="e">
        <f ca="1">_xlfn.XLOOKUP(PAA_4[[#This Row],[ITEM]],[2]Contrato!A:A,[2]Contrato!T:T,"",0)</f>
        <v>#NAME?</v>
      </c>
      <c r="AB504" s="55" t="e">
        <f ca="1">+MAX(PAA_4[[#This Row],[Comprometido Contrato]],PAA_4[[#This Row],[Comprometido Bolsa]])</f>
        <v>#NAME?</v>
      </c>
      <c r="AC504" s="55" t="str">
        <f t="shared" ca="1" si="230"/>
        <v/>
      </c>
      <c r="AD504" s="55" t="e">
        <f ca="1">IF(PAA_4[[#This Row],[ESTADO (formulado)]]="NO CONTRATADO",0,MAX(PAA_4[[#This Row],[Pago por Contrato]],PAA_4[[#This Row],[Pago por bolsa]]))</f>
        <v>#NAME?</v>
      </c>
      <c r="AE504" s="55" t="str">
        <f t="shared" ca="1" si="231"/>
        <v/>
      </c>
      <c r="AF504" s="47" t="e">
        <f t="shared" ca="1" si="232"/>
        <v>#NAME?</v>
      </c>
      <c r="AG504" s="47">
        <f t="shared" si="233"/>
        <v>52010805</v>
      </c>
      <c r="AH504" s="54">
        <f>IF(Q504="22",IF(ISNUMBER(SEARCH("econ",PAA_4[[#This Row],[Actividad3]])),"Económico",IF(ISNUMBER(SEARCH("alim",PAA_4[[#This Row],[Actividad3]])),"Alimentación",IF(ISNUMBER(SEARCH("educ",PAA_4[[#This Row],[Actividad3]])),"Educativo","Técnico"))),0)</f>
        <v>0</v>
      </c>
      <c r="AI504" s="47" t="e" cm="1">
        <f t="array" aca="1" ref="AI504" ca="1">_xlfn.XLOOKUP(PAA_4[[#This Row],[RCP-RUBRO]],[2]!COMPROMISOS_2024[[#All],[concatenado]],[2]!COMPROMISOS_2024[[#All],[Total pagado]],"",0)</f>
        <v>#NAME?</v>
      </c>
      <c r="AJ504" s="56">
        <f>IF(PAA_4[[#This Row],[BOLSA]]=0,0,SUMIFS([2]!COMPROMISOS_2024[[#All],[Total pagado]],[2]!COMPROMISOS_2024[[#All],[Bolsa]],PAA_4[[#This Row],[BOLSA]],[2]!COMPROMISOS_2024[[#All],[rubro]],PAA_4[[#This Row],[RCP-RUBRO]]))</f>
        <v>0</v>
      </c>
      <c r="AK504" s="47" t="e" cm="1">
        <f t="array" aca="1" ref="AK504" ca="1">_xlfn.XLOOKUP(PAA_4[[#This Row],[RCP-RUBRO]],[2]!COMPROMISOS_2024[[#All],[concatenado]],[2]!COMPROMISOS_2024[[#All],[Total Comprometido]],"",0)</f>
        <v>#NAME?</v>
      </c>
      <c r="AL504" s="47">
        <f>IF(PAA_4[[#This Row],[BOLSA]]=0,0,SUMIFS([2]!COMPROMISOS_2024[[#All],[Total Comprometido]],[2]!COMPROMISOS_2024[[#All],[Bolsa]],PAA_4[[#This Row],[BOLSA]],[2]!COMPROMISOS_2024[[#All],[concatenado]],PAA_4[[#This Row],[RCP-RUBRO]]))</f>
        <v>0</v>
      </c>
    </row>
    <row r="505" spans="1:38" s="19" customFormat="1" ht="31.5" customHeight="1">
      <c r="A505" s="47" t="s">
        <v>82</v>
      </c>
      <c r="B505" s="47" t="s">
        <v>42</v>
      </c>
      <c r="C505" s="47" t="str">
        <f>VLOOKUP(PAA_4[[#This Row],[PROYECTO (formulado)2]],[2]PROYECTOS!$G$1:$L$32,6,0)</f>
        <v>SUBGERENCIA DE ALTOS LOGROS Y DEPORTE ASOCIADO</v>
      </c>
      <c r="D505" s="47" t="str">
        <f>+IF(PAA_4[[#This Row],[UNIDAD DE CONTRATACION (formulado)]]="Subgerencia Administrativa y Financiera","FUNCIONAMIENTO","INVERSIÓN")</f>
        <v>INVERSIÓN</v>
      </c>
      <c r="E505" s="48" t="str">
        <f>VLOOKUP(Q505,[2]PROYECTOS!$G$1:$K$32,5,0)</f>
        <v>Apoyo económico a las organizaciones deportivas que representan en competencias al departamento de Antioquia</v>
      </c>
      <c r="F505" s="48">
        <f>VLOOKUP(E505,[2]PROYECTOS!$K$1:$M$32,3,0)</f>
        <v>2024003050102</v>
      </c>
      <c r="G505" s="344" t="s">
        <v>1550</v>
      </c>
      <c r="H505" s="49" t="str">
        <f>VLOOKUP(Q505,[2]PROYECTOS!$V$1:$W$32,2,0)</f>
        <v>050076</v>
      </c>
      <c r="I505" s="50">
        <v>901293</v>
      </c>
      <c r="J505" s="51" t="s">
        <v>1547</v>
      </c>
      <c r="K505" s="47" t="str">
        <f t="shared" ca="1" si="227"/>
        <v>CONTRATADO</v>
      </c>
      <c r="L505" s="47" t="s">
        <v>42</v>
      </c>
      <c r="M505" s="47" t="s">
        <v>42</v>
      </c>
      <c r="N505" s="344" t="s">
        <v>1551</v>
      </c>
      <c r="O505" s="51" t="e">
        <f>VLOOKUP(N505,[2]!RUBROS[#All],3,0)</f>
        <v>#REF!</v>
      </c>
      <c r="P505" s="53" t="e">
        <f>VLOOKUP(N505,[2]!RUBROS[#All],2,0)</f>
        <v>#REF!</v>
      </c>
      <c r="Q505" s="47" t="str">
        <f t="shared" si="228"/>
        <v>02</v>
      </c>
      <c r="R505" s="47" t="str">
        <f t="shared" si="229"/>
        <v>4-101124</v>
      </c>
      <c r="S505" s="47" t="s">
        <v>42</v>
      </c>
      <c r="T505" s="63" t="s">
        <v>42</v>
      </c>
      <c r="U505" s="326" t="e">
        <f ca="1">_xlfn.XLOOKUP(PAA_4[[#This Row],[ITEM]],[2]Contrato!A:A,[2]Contrato!Q:Q,"",0)</f>
        <v>#NAME?</v>
      </c>
      <c r="V505" s="47" t="s">
        <v>95</v>
      </c>
      <c r="W505" s="47" t="s">
        <v>42</v>
      </c>
      <c r="X505" s="47" t="s">
        <v>42</v>
      </c>
      <c r="Y505" s="55" t="e">
        <f ca="1">_xlfn.XLOOKUP(PAA_4[[#This Row],[ITEM]],[2]Contrato!A:A,[2]Contrato!B:B,"",0)</f>
        <v>#NAME?</v>
      </c>
      <c r="Z505" s="47" t="e">
        <f ca="1">_xlfn.XLOOKUP(PAA_4[[#This Row],[ITEM]],[2]Contrato!A:A,[2]Contrato!G:G,"",0)</f>
        <v>#NAME?</v>
      </c>
      <c r="AA505" s="47" t="e">
        <f ca="1">_xlfn.XLOOKUP(PAA_4[[#This Row],[ITEM]],[2]Contrato!A:A,[2]Contrato!T:T,"",0)</f>
        <v>#NAME?</v>
      </c>
      <c r="AB505" s="55" t="e">
        <f ca="1">+MAX(PAA_4[[#This Row],[Comprometido Contrato]],PAA_4[[#This Row],[Comprometido Bolsa]])</f>
        <v>#NAME?</v>
      </c>
      <c r="AC505" s="55" t="str">
        <f t="shared" ca="1" si="230"/>
        <v/>
      </c>
      <c r="AD505" s="55" t="e">
        <f ca="1">IF(PAA_4[[#This Row],[ESTADO (formulado)]]="NO CONTRATADO",0,MAX(PAA_4[[#This Row],[Pago por Contrato]],PAA_4[[#This Row],[Pago por bolsa]]))</f>
        <v>#NAME?</v>
      </c>
      <c r="AE505" s="55" t="str">
        <f t="shared" ca="1" si="231"/>
        <v/>
      </c>
      <c r="AF505" s="47" t="e">
        <f t="shared" ca="1" si="232"/>
        <v>#NAME?</v>
      </c>
      <c r="AG505" s="47">
        <f t="shared" si="233"/>
        <v>52010801</v>
      </c>
      <c r="AH505" s="54">
        <f>IF(Q505="22",IF(ISNUMBER(SEARCH("econ",PAA_4[[#This Row],[Actividad3]])),"Económico",IF(ISNUMBER(SEARCH("alim",PAA_4[[#This Row],[Actividad3]])),"Alimentación",IF(ISNUMBER(SEARCH("educ",PAA_4[[#This Row],[Actividad3]])),"Educativo","Técnico"))),0)</f>
        <v>0</v>
      </c>
      <c r="AI505" s="47" t="e" cm="1">
        <f t="array" aca="1" ref="AI505" ca="1">_xlfn.XLOOKUP(PAA_4[[#This Row],[RCP-RUBRO]],[2]!COMPROMISOS_2024[[#All],[concatenado]],[2]!COMPROMISOS_2024[[#All],[Total pagado]],"",0)</f>
        <v>#NAME?</v>
      </c>
      <c r="AJ505" s="56">
        <f>IF(PAA_4[[#This Row],[BOLSA]]=0,0,SUMIFS([2]!COMPROMISOS_2024[[#All],[Total pagado]],[2]!COMPROMISOS_2024[[#All],[Bolsa]],PAA_4[[#This Row],[BOLSA]],[2]!COMPROMISOS_2024[[#All],[rubro]],PAA_4[[#This Row],[RCP-RUBRO]]))</f>
        <v>0</v>
      </c>
      <c r="AK505" s="47" t="e" cm="1">
        <f t="array" aca="1" ref="AK505" ca="1">_xlfn.XLOOKUP(PAA_4[[#This Row],[RCP-RUBRO]],[2]!COMPROMISOS_2024[[#All],[concatenado]],[2]!COMPROMISOS_2024[[#All],[Total Comprometido]],"",0)</f>
        <v>#NAME?</v>
      </c>
      <c r="AL505" s="47">
        <f>IF(PAA_4[[#This Row],[BOLSA]]=0,0,SUMIFS([2]!COMPROMISOS_2024[[#All],[Total Comprometido]],[2]!COMPROMISOS_2024[[#All],[Bolsa]],PAA_4[[#This Row],[BOLSA]],[2]!COMPROMISOS_2024[[#All],[concatenado]],PAA_4[[#This Row],[RCP-RUBRO]]))</f>
        <v>0</v>
      </c>
    </row>
    <row r="506" spans="1:38" s="19" customFormat="1" ht="31.5" customHeight="1">
      <c r="A506" s="47" t="s">
        <v>82</v>
      </c>
      <c r="B506" s="47" t="s">
        <v>42</v>
      </c>
      <c r="C506" s="47" t="str">
        <f>VLOOKUP(PAA_4[[#This Row],[PROYECTO (formulado)2]],[2]PROYECTOS!$G$1:$L$32,6,0)</f>
        <v>SUBGERENCIA DE ALTOS LOGROS Y DEPORTE ASOCIADO</v>
      </c>
      <c r="D506" s="47" t="str">
        <f>+IF(PAA_4[[#This Row],[UNIDAD DE CONTRATACION (formulado)]]="Subgerencia Administrativa y Financiera","FUNCIONAMIENTO","INVERSIÓN")</f>
        <v>INVERSIÓN</v>
      </c>
      <c r="E506" s="48" t="str">
        <f>VLOOKUP(Q506,[2]PROYECTOS!$G$1:$K$32,5,0)</f>
        <v>Apoyo económico a las organizaciones deportivas que representan en competencias al departamento de Antioquia</v>
      </c>
      <c r="F506" s="48">
        <f>VLOOKUP(E506,[2]PROYECTOS!$K$1:$M$32,3,0)</f>
        <v>2024003050102</v>
      </c>
      <c r="G506" s="344" t="s">
        <v>1550</v>
      </c>
      <c r="H506" s="49" t="str">
        <f>VLOOKUP(Q506,[2]PROYECTOS!$V$1:$W$32,2,0)</f>
        <v>050076</v>
      </c>
      <c r="I506" s="50">
        <v>1668333</v>
      </c>
      <c r="J506" s="51" t="s">
        <v>1547</v>
      </c>
      <c r="K506" s="47" t="str">
        <f ca="1">IF(ISNONTEXT(Y506)=TRUE,"CONTRATADO","NO CONTRATADO")</f>
        <v>CONTRATADO</v>
      </c>
      <c r="L506" s="47" t="s">
        <v>42</v>
      </c>
      <c r="M506" s="47" t="s">
        <v>42</v>
      </c>
      <c r="N506" s="344" t="s">
        <v>1551</v>
      </c>
      <c r="O506" s="51" t="e">
        <f>VLOOKUP(N506,[2]!RUBROS[#All],3,0)</f>
        <v>#REF!</v>
      </c>
      <c r="P506" s="53" t="e">
        <f>VLOOKUP(N506,[2]!RUBROS[#All],2,0)</f>
        <v>#REF!</v>
      </c>
      <c r="Q506" s="47" t="str">
        <f>+MID(N506,11,2)</f>
        <v>02</v>
      </c>
      <c r="R506" s="47" t="str">
        <f>+MID(N506,14,8)</f>
        <v>4-101124</v>
      </c>
      <c r="S506" s="47" t="s">
        <v>42</v>
      </c>
      <c r="T506" s="63" t="s">
        <v>42</v>
      </c>
      <c r="U506" s="326" t="e">
        <f ca="1">_xlfn.XLOOKUP(PAA_4[[#This Row],[ITEM]],[2]Contrato!A:A,[2]Contrato!Q:Q,"",0)</f>
        <v>#NAME?</v>
      </c>
      <c r="V506" s="47" t="s">
        <v>95</v>
      </c>
      <c r="W506" s="47" t="s">
        <v>42</v>
      </c>
      <c r="X506" s="47" t="s">
        <v>42</v>
      </c>
      <c r="Y506" s="55" t="e">
        <f ca="1">_xlfn.XLOOKUP(PAA_4[[#This Row],[ITEM]],[2]Contrato!A:A,[2]Contrato!B:B,"",0)</f>
        <v>#NAME?</v>
      </c>
      <c r="Z506" s="47" t="e">
        <f ca="1">_xlfn.XLOOKUP(PAA_4[[#This Row],[ITEM]],[2]Contrato!A:A,[2]Contrato!G:G,"",0)</f>
        <v>#NAME?</v>
      </c>
      <c r="AA506" s="47" t="e">
        <f ca="1">_xlfn.XLOOKUP(PAA_4[[#This Row],[ITEM]],[2]Contrato!A:A,[2]Contrato!T:T,"",0)</f>
        <v>#NAME?</v>
      </c>
      <c r="AB506" s="55" t="e">
        <f ca="1">+MAX(PAA_4[[#This Row],[Comprometido Contrato]],PAA_4[[#This Row],[Comprometido Bolsa]])</f>
        <v>#NAME?</v>
      </c>
      <c r="AC506" s="55" t="str">
        <f ca="1">IFERROR(I506-AB506,"")</f>
        <v/>
      </c>
      <c r="AD506" s="55" t="e">
        <f ca="1">IF(PAA_4[[#This Row],[ESTADO (formulado)]]="NO CONTRATADO",0,MAX(PAA_4[[#This Row],[Pago por Contrato]],PAA_4[[#This Row],[Pago por bolsa]]))</f>
        <v>#NAME?</v>
      </c>
      <c r="AE506" s="55" t="str">
        <f ca="1">+IFERROR(AB506-AD506,"")</f>
        <v/>
      </c>
      <c r="AF506" s="47" t="e">
        <f ca="1">+CONCATENATE(AA506,N506)</f>
        <v>#NAME?</v>
      </c>
      <c r="AG506" s="47">
        <f>IFERROR(_xlfn.NUMBERVALUE(MID(G506,1,8)),"")</f>
        <v>52010801</v>
      </c>
      <c r="AH506" s="54">
        <f>IF(Q506="22",IF(ISNUMBER(SEARCH("econ",PAA_4[[#This Row],[Actividad3]])),"Económico",IF(ISNUMBER(SEARCH("alim",PAA_4[[#This Row],[Actividad3]])),"Alimentación",IF(ISNUMBER(SEARCH("educ",PAA_4[[#This Row],[Actividad3]])),"Educativo","Técnico"))),0)</f>
        <v>0</v>
      </c>
      <c r="AI506" s="47" t="e" cm="1">
        <f t="array" aca="1" ref="AI506" ca="1">_xlfn.XLOOKUP(PAA_4[[#This Row],[RCP-RUBRO]],[2]!COMPROMISOS_2024[[#All],[concatenado]],[2]!COMPROMISOS_2024[[#All],[Total pagado]],"",0)</f>
        <v>#NAME?</v>
      </c>
      <c r="AJ506" s="56">
        <f>IF(PAA_4[[#This Row],[BOLSA]]=0,0,SUMIFS([2]!COMPROMISOS_2024[[#All],[Total pagado]],[2]!COMPROMISOS_2024[[#All],[Bolsa]],PAA_4[[#This Row],[BOLSA]],[2]!COMPROMISOS_2024[[#All],[rubro]],PAA_4[[#This Row],[RCP-RUBRO]]))</f>
        <v>0</v>
      </c>
      <c r="AK506" s="47" t="e" cm="1">
        <f t="array" aca="1" ref="AK506" ca="1">_xlfn.XLOOKUP(PAA_4[[#This Row],[RCP-RUBRO]],[2]!COMPROMISOS_2024[[#All],[concatenado]],[2]!COMPROMISOS_2024[[#All],[Total Comprometido]],"",0)</f>
        <v>#NAME?</v>
      </c>
      <c r="AL506" s="47">
        <f>IF(PAA_4[[#This Row],[BOLSA]]=0,0,SUMIFS([2]!COMPROMISOS_2024[[#All],[Total Comprometido]],[2]!COMPROMISOS_2024[[#All],[Bolsa]],PAA_4[[#This Row],[BOLSA]],[2]!COMPROMISOS_2024[[#All],[concatenado]],PAA_4[[#This Row],[RCP-RUBRO]]))</f>
        <v>0</v>
      </c>
    </row>
    <row r="507" spans="1:38" s="19" customFormat="1" ht="31.5" customHeight="1">
      <c r="A507" s="47" t="s">
        <v>82</v>
      </c>
      <c r="B507" s="47" t="s">
        <v>42</v>
      </c>
      <c r="C507" s="47" t="str">
        <f>VLOOKUP(PAA_4[[#This Row],[PROYECTO (formulado)2]],[2]PROYECTOS!$G$1:$L$32,6,0)</f>
        <v>SUBGERENCIA DE ALTOS LOGROS Y DEPORTE ASOCIADO</v>
      </c>
      <c r="D507" s="47" t="str">
        <f>+IF(PAA_4[[#This Row],[UNIDAD DE CONTRATACION (formulado)]]="Subgerencia Administrativa y Financiera","FUNCIONAMIENTO","INVERSIÓN")</f>
        <v>INVERSIÓN</v>
      </c>
      <c r="E507" s="48" t="str">
        <f>VLOOKUP(Q507,[2]PROYECTOS!$G$1:$K$32,5,0)</f>
        <v>Apoyo económico a las organizaciones deportivas que representan en competencias al departamento de Antioquia</v>
      </c>
      <c r="F507" s="48">
        <f>VLOOKUP(E507,[2]PROYECTOS!$K$1:$M$32,3,0)</f>
        <v>2024003050102</v>
      </c>
      <c r="G507" s="344" t="s">
        <v>1550</v>
      </c>
      <c r="H507" s="49" t="str">
        <f>VLOOKUP(Q507,[2]PROYECTOS!$V$1:$W$32,2,0)</f>
        <v>050076</v>
      </c>
      <c r="I507" s="50">
        <v>108333</v>
      </c>
      <c r="J507" s="51" t="s">
        <v>1547</v>
      </c>
      <c r="K507" s="47" t="str">
        <f ca="1">IF(ISNONTEXT(Y507)=TRUE,"CONTRATADO","NO CONTRATADO")</f>
        <v>CONTRATADO</v>
      </c>
      <c r="L507" s="47" t="s">
        <v>42</v>
      </c>
      <c r="M507" s="47" t="s">
        <v>42</v>
      </c>
      <c r="N507" s="344" t="s">
        <v>1551</v>
      </c>
      <c r="O507" s="51" t="e">
        <f>VLOOKUP(N507,[2]!RUBROS[#All],3,0)</f>
        <v>#REF!</v>
      </c>
      <c r="P507" s="53" t="e">
        <f>VLOOKUP(N507,[2]!RUBROS[#All],2,0)</f>
        <v>#REF!</v>
      </c>
      <c r="Q507" s="47" t="str">
        <f>+MID(N507,11,2)</f>
        <v>02</v>
      </c>
      <c r="R507" s="47" t="str">
        <f>+MID(N507,14,8)</f>
        <v>4-101124</v>
      </c>
      <c r="S507" s="47" t="s">
        <v>42</v>
      </c>
      <c r="T507" s="63" t="s">
        <v>42</v>
      </c>
      <c r="U507" s="326" t="e">
        <f ca="1">_xlfn.XLOOKUP(PAA_4[[#This Row],[ITEM]],[2]Contrato!A:A,[2]Contrato!Q:Q,"",0)</f>
        <v>#NAME?</v>
      </c>
      <c r="V507" s="47" t="s">
        <v>95</v>
      </c>
      <c r="W507" s="47" t="s">
        <v>42</v>
      </c>
      <c r="X507" s="47" t="s">
        <v>42</v>
      </c>
      <c r="Y507" s="55" t="e">
        <f ca="1">_xlfn.XLOOKUP(PAA_4[[#This Row],[ITEM]],[2]Contrato!A:A,[2]Contrato!B:B,"",0)</f>
        <v>#NAME?</v>
      </c>
      <c r="Z507" s="47" t="e">
        <f ca="1">_xlfn.XLOOKUP(PAA_4[[#This Row],[ITEM]],[2]Contrato!A:A,[2]Contrato!G:G,"",0)</f>
        <v>#NAME?</v>
      </c>
      <c r="AA507" s="47" t="e">
        <f ca="1">_xlfn.XLOOKUP(PAA_4[[#This Row],[ITEM]],[2]Contrato!A:A,[2]Contrato!T:T,"",0)</f>
        <v>#NAME?</v>
      </c>
      <c r="AB507" s="55" t="e">
        <f ca="1">+MAX(PAA_4[[#This Row],[Comprometido Contrato]],PAA_4[[#This Row],[Comprometido Bolsa]])</f>
        <v>#NAME?</v>
      </c>
      <c r="AC507" s="55" t="str">
        <f ca="1">IFERROR(I507-AB507,"")</f>
        <v/>
      </c>
      <c r="AD507" s="55" t="e">
        <f ca="1">IF(PAA_4[[#This Row],[ESTADO (formulado)]]="NO CONTRATADO",0,MAX(PAA_4[[#This Row],[Pago por Contrato]],PAA_4[[#This Row],[Pago por bolsa]]))</f>
        <v>#NAME?</v>
      </c>
      <c r="AE507" s="55" t="str">
        <f ca="1">+IFERROR(AB507-AD507,"")</f>
        <v/>
      </c>
      <c r="AF507" s="47" t="e">
        <f ca="1">+CONCATENATE(AA507,N507)</f>
        <v>#NAME?</v>
      </c>
      <c r="AG507" s="47">
        <f>IFERROR(_xlfn.NUMBERVALUE(MID(G507,1,8)),"")</f>
        <v>52010801</v>
      </c>
      <c r="AH507" s="54">
        <f>IF(Q507="22",IF(ISNUMBER(SEARCH("econ",PAA_4[[#This Row],[Actividad3]])),"Económico",IF(ISNUMBER(SEARCH("alim",PAA_4[[#This Row],[Actividad3]])),"Alimentación",IF(ISNUMBER(SEARCH("educ",PAA_4[[#This Row],[Actividad3]])),"Educativo","Técnico"))),0)</f>
        <v>0</v>
      </c>
      <c r="AI507" s="47" t="e" cm="1">
        <f t="array" aca="1" ref="AI507" ca="1">_xlfn.XLOOKUP(PAA_4[[#This Row],[RCP-RUBRO]],[2]!COMPROMISOS_2024[[#All],[concatenado]],[2]!COMPROMISOS_2024[[#All],[Total pagado]],"",0)</f>
        <v>#NAME?</v>
      </c>
      <c r="AJ507" s="56">
        <f>IF(PAA_4[[#This Row],[BOLSA]]=0,0,SUMIFS([2]!COMPROMISOS_2024[[#All],[Total pagado]],[2]!COMPROMISOS_2024[[#All],[Bolsa]],PAA_4[[#This Row],[BOLSA]],[2]!COMPROMISOS_2024[[#All],[rubro]],PAA_4[[#This Row],[RCP-RUBRO]]))</f>
        <v>0</v>
      </c>
      <c r="AK507" s="47" t="e" cm="1">
        <f t="array" aca="1" ref="AK507" ca="1">_xlfn.XLOOKUP(PAA_4[[#This Row],[RCP-RUBRO]],[2]!COMPROMISOS_2024[[#All],[concatenado]],[2]!COMPROMISOS_2024[[#All],[Total Comprometido]],"",0)</f>
        <v>#NAME?</v>
      </c>
      <c r="AL507" s="47">
        <f>IF(PAA_4[[#This Row],[BOLSA]]=0,0,SUMIFS([2]!COMPROMISOS_2024[[#All],[Total Comprometido]],[2]!COMPROMISOS_2024[[#All],[Bolsa]],PAA_4[[#This Row],[BOLSA]],[2]!COMPROMISOS_2024[[#All],[concatenado]],PAA_4[[#This Row],[RCP-RUBRO]]))</f>
        <v>0</v>
      </c>
    </row>
    <row r="508" spans="1:38" s="19" customFormat="1" ht="31.5" customHeight="1">
      <c r="A508" s="47" t="s">
        <v>82</v>
      </c>
      <c r="B508" s="47" t="s">
        <v>42</v>
      </c>
      <c r="C508" s="47" t="str">
        <f>VLOOKUP(PAA_4[[#This Row],[PROYECTO (formulado)2]],[2]PROYECTOS!$G$1:$L$32,6,0)</f>
        <v>SUBGERENCIA DE ALTOS LOGROS Y DEPORTE ASOCIADO</v>
      </c>
      <c r="D508" s="47" t="str">
        <f>+IF(PAA_4[[#This Row],[UNIDAD DE CONTRATACION (formulado)]]="Subgerencia Administrativa y Financiera","FUNCIONAMIENTO","INVERSIÓN")</f>
        <v>INVERSIÓN</v>
      </c>
      <c r="E508" s="48" t="str">
        <f>VLOOKUP(Q508,[2]PROYECTOS!$G$1:$K$32,5,0)</f>
        <v>Apoyo económico a las organizaciones deportivas que representan en competencias al departamento de Antioquia</v>
      </c>
      <c r="F508" s="48">
        <f>VLOOKUP(E508,[2]PROYECTOS!$K$1:$M$32,3,0)</f>
        <v>2024003050102</v>
      </c>
      <c r="G508" s="344" t="s">
        <v>1550</v>
      </c>
      <c r="H508" s="49" t="str">
        <f>VLOOKUP(Q508,[2]PROYECTOS!$V$1:$W$32,2,0)</f>
        <v>050076</v>
      </c>
      <c r="I508" s="50">
        <v>216666</v>
      </c>
      <c r="J508" s="51" t="s">
        <v>1547</v>
      </c>
      <c r="K508" s="47" t="str">
        <f ca="1">IF(ISNONTEXT(Y508)=TRUE,"CONTRATADO","NO CONTRATADO")</f>
        <v>CONTRATADO</v>
      </c>
      <c r="L508" s="47" t="s">
        <v>42</v>
      </c>
      <c r="M508" s="47" t="s">
        <v>42</v>
      </c>
      <c r="N508" s="344" t="s">
        <v>1551</v>
      </c>
      <c r="O508" s="51" t="e">
        <f>VLOOKUP(N508,[2]!RUBROS[#All],3,0)</f>
        <v>#REF!</v>
      </c>
      <c r="P508" s="53" t="e">
        <f>VLOOKUP(N508,[2]!RUBROS[#All],2,0)</f>
        <v>#REF!</v>
      </c>
      <c r="Q508" s="47" t="str">
        <f>+MID(N508,11,2)</f>
        <v>02</v>
      </c>
      <c r="R508" s="47" t="str">
        <f>+MID(N508,14,8)</f>
        <v>4-101124</v>
      </c>
      <c r="S508" s="47" t="s">
        <v>42</v>
      </c>
      <c r="T508" s="63" t="s">
        <v>42</v>
      </c>
      <c r="U508" s="326" t="e">
        <f ca="1">_xlfn.XLOOKUP(PAA_4[[#This Row],[ITEM]],[2]Contrato!A:A,[2]Contrato!Q:Q,"",0)</f>
        <v>#NAME?</v>
      </c>
      <c r="V508" s="47" t="s">
        <v>95</v>
      </c>
      <c r="W508" s="47" t="s">
        <v>42</v>
      </c>
      <c r="X508" s="47" t="s">
        <v>42</v>
      </c>
      <c r="Y508" s="55" t="e">
        <f ca="1">_xlfn.XLOOKUP(PAA_4[[#This Row],[ITEM]],[2]Contrato!A:A,[2]Contrato!B:B,"",0)</f>
        <v>#NAME?</v>
      </c>
      <c r="Z508" s="47" t="e">
        <f ca="1">_xlfn.XLOOKUP(PAA_4[[#This Row],[ITEM]],[2]Contrato!A:A,[2]Contrato!G:G,"",0)</f>
        <v>#NAME?</v>
      </c>
      <c r="AA508" s="47" t="e">
        <f ca="1">_xlfn.XLOOKUP(PAA_4[[#This Row],[ITEM]],[2]Contrato!A:A,[2]Contrato!T:T,"",0)</f>
        <v>#NAME?</v>
      </c>
      <c r="AB508" s="55" t="e">
        <f ca="1">+MAX(PAA_4[[#This Row],[Comprometido Contrato]],PAA_4[[#This Row],[Comprometido Bolsa]])</f>
        <v>#NAME?</v>
      </c>
      <c r="AC508" s="55" t="str">
        <f ca="1">IFERROR(I508-AB508,"")</f>
        <v/>
      </c>
      <c r="AD508" s="55" t="e">
        <f ca="1">IF(PAA_4[[#This Row],[ESTADO (formulado)]]="NO CONTRATADO",0,MAX(PAA_4[[#This Row],[Pago por Contrato]],PAA_4[[#This Row],[Pago por bolsa]]))</f>
        <v>#NAME?</v>
      </c>
      <c r="AE508" s="55" t="str">
        <f ca="1">+IFERROR(AB508-AD508,"")</f>
        <v/>
      </c>
      <c r="AF508" s="47" t="e">
        <f ca="1">+CONCATENATE(AA508,N508)</f>
        <v>#NAME?</v>
      </c>
      <c r="AG508" s="47">
        <f>IFERROR(_xlfn.NUMBERVALUE(MID(G508,1,8)),"")</f>
        <v>52010801</v>
      </c>
      <c r="AH508" s="54">
        <f>IF(Q508="22",IF(ISNUMBER(SEARCH("econ",PAA_4[[#This Row],[Actividad3]])),"Económico",IF(ISNUMBER(SEARCH("alim",PAA_4[[#This Row],[Actividad3]])),"Alimentación",IF(ISNUMBER(SEARCH("educ",PAA_4[[#This Row],[Actividad3]])),"Educativo","Técnico"))),0)</f>
        <v>0</v>
      </c>
      <c r="AI508" s="47" t="e" cm="1">
        <f t="array" aca="1" ref="AI508" ca="1">_xlfn.XLOOKUP(PAA_4[[#This Row],[RCP-RUBRO]],[2]!COMPROMISOS_2024[[#All],[concatenado]],[2]!COMPROMISOS_2024[[#All],[Total pagado]],"",0)</f>
        <v>#NAME?</v>
      </c>
      <c r="AJ508" s="56">
        <f>IF(PAA_4[[#This Row],[BOLSA]]=0,0,SUMIFS([2]!COMPROMISOS_2024[[#All],[Total pagado]],[2]!COMPROMISOS_2024[[#All],[Bolsa]],PAA_4[[#This Row],[BOLSA]],[2]!COMPROMISOS_2024[[#All],[rubro]],PAA_4[[#This Row],[RCP-RUBRO]]))</f>
        <v>0</v>
      </c>
      <c r="AK508" s="47" t="e" cm="1">
        <f t="array" aca="1" ref="AK508" ca="1">_xlfn.XLOOKUP(PAA_4[[#This Row],[RCP-RUBRO]],[2]!COMPROMISOS_2024[[#All],[concatenado]],[2]!COMPROMISOS_2024[[#All],[Total Comprometido]],"",0)</f>
        <v>#NAME?</v>
      </c>
      <c r="AL508" s="47">
        <f>IF(PAA_4[[#This Row],[BOLSA]]=0,0,SUMIFS([2]!COMPROMISOS_2024[[#All],[Total Comprometido]],[2]!COMPROMISOS_2024[[#All],[Bolsa]],PAA_4[[#This Row],[BOLSA]],[2]!COMPROMISOS_2024[[#All],[concatenado]],PAA_4[[#This Row],[RCP-RUBRO]]))</f>
        <v>0</v>
      </c>
    </row>
    <row r="509" spans="1:38" s="19" customFormat="1" ht="31.5" customHeight="1">
      <c r="A509" s="47">
        <v>132</v>
      </c>
      <c r="B509" s="47">
        <v>80111600</v>
      </c>
      <c r="C509" s="47" t="str">
        <f>VLOOKUP(PAA_4[[#This Row],[PROYECTO (formulado)2]],[2]PROYECTOS!$G$1:$L$32,6,0)</f>
        <v>SUBGERENCIA DE ALTOS LOGROS Y DEPORTE ASOCIADO</v>
      </c>
      <c r="D509" s="47" t="str">
        <f>+IF(PAA_4[[#This Row],[UNIDAD DE CONTRATACION (formulado)]]="Subgerencia Administrativa y Financiera","FUNCIONAMIENTO","INVERSIÓN")</f>
        <v>INVERSIÓN</v>
      </c>
      <c r="E509" s="48" t="str">
        <f>VLOOKUP(Q509,[2]PROYECTOS!$G$1:$K$32,5,0)</f>
        <v>FORTALECIMIENTO_DEL_PROGRAMA_DE_ALTOS_LOGROS_Y_LIDERAZGO_DEPORTIVO_EN_EL_DEPARTAMENTO_DE_ANTIOQUIA</v>
      </c>
      <c r="F509" s="48">
        <f>VLOOKUP(E509,[2]PROYECTOS!$K$1:$M$32,3,0)</f>
        <v>2020003050021</v>
      </c>
      <c r="G509" s="49" t="s">
        <v>235</v>
      </c>
      <c r="H509" s="49" t="str">
        <f>VLOOKUP(Q509,[2]PROYECTOS!$V$1:$W$32,2,0)</f>
        <v>050061</v>
      </c>
      <c r="I509" s="50">
        <f>83059456-12901933</f>
        <v>70157523</v>
      </c>
      <c r="J509" s="51" t="s">
        <v>1552</v>
      </c>
      <c r="K509" s="47" t="str">
        <f t="shared" ref="K509:K597" ca="1" si="234">IF(ISNONTEXT(Y509)=TRUE,"CONTRATADO","NO CONTRATADO")</f>
        <v>CONTRATADO</v>
      </c>
      <c r="L509" s="47" t="s">
        <v>94</v>
      </c>
      <c r="M509" s="47" t="s">
        <v>1297</v>
      </c>
      <c r="N509" s="52" t="s">
        <v>237</v>
      </c>
      <c r="O509" s="51" t="e">
        <f>VLOOKUP(N509,[2]!RUBROS[#All],3,0)</f>
        <v>#REF!</v>
      </c>
      <c r="P509" s="53" t="e">
        <f>VLOOKUP(N509,[2]!RUBROS[#All],2,0)</f>
        <v>#REF!</v>
      </c>
      <c r="Q509" s="47" t="str">
        <f t="shared" ref="Q509:Q597" si="235">+MID(N509,11,2)</f>
        <v>20</v>
      </c>
      <c r="R509" s="47" t="str">
        <f t="shared" ref="R509:R597" si="236">+MID(N509,14,8)</f>
        <v>0-205400</v>
      </c>
      <c r="S509" s="54" t="s">
        <v>238</v>
      </c>
      <c r="T509" s="59" t="s">
        <v>81</v>
      </c>
      <c r="U509" s="326" t="e">
        <f ca="1">_xlfn.XLOOKUP(PAA_4[[#This Row],[ITEM]],[2]Contrato!A:A,[2]Contrato!Q:Q,"",0)</f>
        <v>#NAME?</v>
      </c>
      <c r="V509" s="47" t="s">
        <v>95</v>
      </c>
      <c r="W509" s="47" t="s">
        <v>96</v>
      </c>
      <c r="X509" s="47" t="s">
        <v>96</v>
      </c>
      <c r="Y509" s="55" t="e">
        <f ca="1">_xlfn.XLOOKUP(PAA_4[[#This Row],[ITEM]],[2]Contrato!A:A,[2]Contrato!B:B,"",0)</f>
        <v>#NAME?</v>
      </c>
      <c r="Z509" s="47" t="e">
        <f ca="1">_xlfn.XLOOKUP(PAA_4[[#This Row],[ITEM]],[2]Contrato!A:A,[2]Contrato!G:G,"",0)</f>
        <v>#NAME?</v>
      </c>
      <c r="AA509" s="47" t="e">
        <f ca="1">_xlfn.XLOOKUP(PAA_4[[#This Row],[ITEM]],[2]Contrato!A:A,[2]Contrato!T:T,"",0)</f>
        <v>#NAME?</v>
      </c>
      <c r="AB509" s="55" t="e">
        <f ca="1">+MAX(PAA_4[[#This Row],[Comprometido Contrato]],PAA_4[[#This Row],[Comprometido Bolsa]])</f>
        <v>#NAME?</v>
      </c>
      <c r="AC509" s="55" t="str">
        <f t="shared" ref="AC509:AC597" ca="1" si="237">IFERROR(I509-AB509,"")</f>
        <v/>
      </c>
      <c r="AD509" s="55" t="e">
        <f ca="1">IF(PAA_4[[#This Row],[ESTADO (formulado)]]="NO CONTRATADO",0,MAX(PAA_4[[#This Row],[Pago por Contrato]],PAA_4[[#This Row],[Pago por bolsa]]))</f>
        <v>#NAME?</v>
      </c>
      <c r="AE509" s="55" t="str">
        <f t="shared" ref="AE509:AE597" ca="1" si="238">+IFERROR(AB509-AD509,"")</f>
        <v/>
      </c>
      <c r="AF509" s="47" t="e">
        <f t="shared" ref="AF509:AF545" ca="1" si="239">+CONCATENATE(AA509,N509)</f>
        <v>#NAME?</v>
      </c>
      <c r="AG509" s="47">
        <f t="shared" ref="AG509:AG597" si="240">IFERROR(_xlfn.NUMBERVALUE(MID(G509,1,8)),"")</f>
        <v>41080111</v>
      </c>
      <c r="AH509" s="54">
        <f>IF(Q509="22",IF(ISNUMBER(SEARCH("econ",PAA_4[[#This Row],[Actividad3]])),"Económico",IF(ISNUMBER(SEARCH("alim",PAA_4[[#This Row],[Actividad3]])),"Alimentación",IF(ISNUMBER(SEARCH("educ",PAA_4[[#This Row],[Actividad3]])),"Educativo","Técnico"))),0)</f>
        <v>0</v>
      </c>
      <c r="AI509" s="47" t="e" cm="1">
        <f t="array" aca="1" ref="AI509" ca="1">_xlfn.XLOOKUP(PAA_4[[#This Row],[RCP-RUBRO]],[2]!COMPROMISOS_2024[[#All],[concatenado]],[2]!COMPROMISOS_2024[[#All],[Total pagado]],"",0)</f>
        <v>#NAME?</v>
      </c>
      <c r="AJ509" s="56">
        <f>IF(PAA_4[[#This Row],[BOLSA]]=0,0,SUMIFS([2]!COMPROMISOS_2024[[#All],[Total pagado]],[2]!COMPROMISOS_2024[[#All],[Bolsa]],PAA_4[[#This Row],[BOLSA]],[2]!COMPROMISOS_2024[[#All],[rubro]],PAA_4[[#This Row],[RCP-RUBRO]]))</f>
        <v>0</v>
      </c>
      <c r="AK509" s="47" t="e" cm="1">
        <f t="array" aca="1" ref="AK509" ca="1">_xlfn.XLOOKUP(PAA_4[[#This Row],[RCP-RUBRO]],[2]!COMPROMISOS_2024[[#All],[concatenado]],[2]!COMPROMISOS_2024[[#All],[Total Comprometido]],"",0)</f>
        <v>#NAME?</v>
      </c>
      <c r="AL509" s="47">
        <f>IF(PAA_4[[#This Row],[BOLSA]]=0,0,SUMIFS([2]!COMPROMISOS_2024[[#All],[Total Comprometido]],[2]!COMPROMISOS_2024[[#All],[Bolsa]],PAA_4[[#This Row],[BOLSA]],[2]!COMPROMISOS_2024[[#All],[concatenado]],PAA_4[[#This Row],[RCP-RUBRO]]))</f>
        <v>0</v>
      </c>
    </row>
    <row r="510" spans="1:38" s="19" customFormat="1" ht="31.5" customHeight="1">
      <c r="A510" s="47">
        <v>133</v>
      </c>
      <c r="B510" s="47">
        <v>80111600</v>
      </c>
      <c r="C510" s="47" t="str">
        <f>VLOOKUP(PAA_4[[#This Row],[PROYECTO (formulado)2]],[2]PROYECTOS!$G$1:$L$32,6,0)</f>
        <v>SUBGERENCIA DE ALTOS LOGROS Y DEPORTE ASOCIADO</v>
      </c>
      <c r="D510" s="47" t="str">
        <f>+IF(PAA_4[[#This Row],[UNIDAD DE CONTRATACION (formulado)]]="Subgerencia Administrativa y Financiera","FUNCIONAMIENTO","INVERSIÓN")</f>
        <v>INVERSIÓN</v>
      </c>
      <c r="E510" s="48" t="str">
        <f>VLOOKUP(Q510,[2]PROYECTOS!$G$1:$K$32,5,0)</f>
        <v>APOYO_TÉCNICO_Y_PSICOSOCIAL_A_LOS_DEPORTISTAS_DE_ANTIOQUIA</v>
      </c>
      <c r="F510" s="48">
        <f>VLOOKUP(E510,[2]PROYECTOS!$K$1:$M$32,3,0)</f>
        <v>2021003050069</v>
      </c>
      <c r="G510" s="49" t="s">
        <v>239</v>
      </c>
      <c r="H510" s="49" t="str">
        <f>VLOOKUP(Q510,[2]PROYECTOS!$V$1:$W$32,2,0)</f>
        <v>050069</v>
      </c>
      <c r="I510" s="50">
        <v>41521014</v>
      </c>
      <c r="J510" s="51" t="s">
        <v>1553</v>
      </c>
      <c r="K510" s="47" t="str">
        <f t="shared" ca="1" si="234"/>
        <v>CONTRATADO</v>
      </c>
      <c r="L510" s="47" t="s">
        <v>94</v>
      </c>
      <c r="M510" s="47" t="s">
        <v>1297</v>
      </c>
      <c r="N510" s="52" t="s">
        <v>240</v>
      </c>
      <c r="O510" s="51" t="e">
        <f>VLOOKUP(N510,[2]!RUBROS[#All],3,0)</f>
        <v>#REF!</v>
      </c>
      <c r="P510" s="53" t="e">
        <f>VLOOKUP(N510,[2]!RUBROS[#All],2,0)</f>
        <v>#REF!</v>
      </c>
      <c r="Q510" s="47" t="str">
        <f t="shared" si="235"/>
        <v>22</v>
      </c>
      <c r="R510" s="47" t="str">
        <f t="shared" si="236"/>
        <v>0-205400</v>
      </c>
      <c r="S510" s="54">
        <v>6</v>
      </c>
      <c r="T510" s="59" t="s">
        <v>46</v>
      </c>
      <c r="U510" s="326" t="e">
        <f ca="1">_xlfn.XLOOKUP(PAA_4[[#This Row],[ITEM]],[2]Contrato!A:A,[2]Contrato!Q:Q,"",0)</f>
        <v>#NAME?</v>
      </c>
      <c r="V510" s="47" t="s">
        <v>47</v>
      </c>
      <c r="W510" s="47" t="s">
        <v>137</v>
      </c>
      <c r="X510" s="47" t="s">
        <v>137</v>
      </c>
      <c r="Y510" s="55" t="e">
        <f ca="1">_xlfn.XLOOKUP(PAA_4[[#This Row],[ITEM]],[2]Contrato!A:A,[2]Contrato!B:B,"",0)</f>
        <v>#NAME?</v>
      </c>
      <c r="Z510" s="47" t="e">
        <f ca="1">_xlfn.XLOOKUP(PAA_4[[#This Row],[ITEM]],[2]Contrato!A:A,[2]Contrato!G:G,"",0)</f>
        <v>#NAME?</v>
      </c>
      <c r="AA510" s="47" t="e">
        <f ca="1">_xlfn.XLOOKUP(PAA_4[[#This Row],[ITEM]],[2]Contrato!A:A,[2]Contrato!T:T,"",0)</f>
        <v>#NAME?</v>
      </c>
      <c r="AB510" s="55" t="e">
        <f ca="1">+MAX(PAA_4[[#This Row],[Comprometido Contrato]],PAA_4[[#This Row],[Comprometido Bolsa]])</f>
        <v>#NAME?</v>
      </c>
      <c r="AC510" s="55" t="str">
        <f t="shared" ca="1" si="237"/>
        <v/>
      </c>
      <c r="AD510" s="55" t="e">
        <f ca="1">IF(PAA_4[[#This Row],[ESTADO (formulado)]]="NO CONTRATADO",0,MAX(PAA_4[[#This Row],[Pago por Contrato]],PAA_4[[#This Row],[Pago por bolsa]]))</f>
        <v>#NAME?</v>
      </c>
      <c r="AE510" s="55" t="str">
        <f t="shared" ca="1" si="238"/>
        <v/>
      </c>
      <c r="AF510" s="47" t="e">
        <f t="shared" ca="1" si="239"/>
        <v>#NAME?</v>
      </c>
      <c r="AG510" s="47">
        <f t="shared" si="240"/>
        <v>41080101</v>
      </c>
      <c r="AH510" s="54" t="str">
        <f>IF(Q510="22",IF(ISNUMBER(SEARCH("econ",PAA_4[[#This Row],[Actividad3]])),"Económico",IF(ISNUMBER(SEARCH("alim",PAA_4[[#This Row],[Actividad3]])),"Alimentación",IF(ISNUMBER(SEARCH("educ",PAA_4[[#This Row],[Actividad3]])),"Educativo","Técnico"))),0)</f>
        <v>Técnico</v>
      </c>
      <c r="AI510" s="47" t="e" cm="1">
        <f t="array" aca="1" ref="AI510" ca="1">_xlfn.XLOOKUP(PAA_4[[#This Row],[RCP-RUBRO]],[2]!COMPROMISOS_2024[[#All],[concatenado]],[2]!COMPROMISOS_2024[[#All],[Total pagado]],"",0)</f>
        <v>#NAME?</v>
      </c>
      <c r="AJ510" s="56" t="e">
        <f ca="1">IF(PAA_4[[#This Row],[BOLSA]]=0,0,SUMIFS([2]!COMPROMISOS_2024[[#All],[Total pagado]],[2]!COMPROMISOS_2024[[#All],[Bolsa]],PAA_4[[#This Row],[BOLSA]],[2]!COMPROMISOS_2024[[#All],[rubro]],PAA_4[[#This Row],[RCP-RUBRO]]))</f>
        <v>#REF!</v>
      </c>
      <c r="AK510" s="47" t="e" cm="1">
        <f t="array" aca="1" ref="AK510" ca="1">_xlfn.XLOOKUP(PAA_4[[#This Row],[RCP-RUBRO]],[2]!COMPROMISOS_2024[[#All],[concatenado]],[2]!COMPROMISOS_2024[[#All],[Total Comprometido]],"",0)</f>
        <v>#NAME?</v>
      </c>
      <c r="AL510" s="47" t="e">
        <f ca="1">IF(PAA_4[[#This Row],[BOLSA]]=0,0,SUMIFS([2]!COMPROMISOS_2024[[#All],[Total Comprometido]],[2]!COMPROMISOS_2024[[#All],[Bolsa]],PAA_4[[#This Row],[BOLSA]],[2]!COMPROMISOS_2024[[#All],[concatenado]],PAA_4[[#This Row],[RCP-RUBRO]]))</f>
        <v>#REF!</v>
      </c>
    </row>
    <row r="511" spans="1:38" s="19" customFormat="1" ht="31.5" customHeight="1">
      <c r="A511" s="47">
        <v>134</v>
      </c>
      <c r="B511" s="47">
        <v>80111600</v>
      </c>
      <c r="C511" s="47" t="str">
        <f>VLOOKUP(PAA_4[[#This Row],[PROYECTO (formulado)2]],[2]PROYECTOS!$G$1:$L$32,6,0)</f>
        <v>SUBGERENCIA DE ALTOS LOGROS Y DEPORTE ASOCIADO</v>
      </c>
      <c r="D511" s="47" t="str">
        <f>+IF(PAA_4[[#This Row],[UNIDAD DE CONTRATACION (formulado)]]="Subgerencia Administrativa y Financiera","FUNCIONAMIENTO","INVERSIÓN")</f>
        <v>INVERSIÓN</v>
      </c>
      <c r="E511" s="48" t="str">
        <f>VLOOKUP(Q511,[2]PROYECTOS!$G$1:$K$32,5,0)</f>
        <v>APOYO_TÉCNICO_Y_PSICOSOCIAL_A_LOS_DEPORTISTAS_DE_ANTIOQUIA</v>
      </c>
      <c r="F511" s="48">
        <f>VLOOKUP(E511,[2]PROYECTOS!$K$1:$M$32,3,0)</f>
        <v>2021003050069</v>
      </c>
      <c r="G511" s="49" t="s">
        <v>239</v>
      </c>
      <c r="H511" s="49" t="str">
        <f>VLOOKUP(Q511,[2]PROYECTOS!$V$1:$W$32,2,0)</f>
        <v>050069</v>
      </c>
      <c r="I511" s="50">
        <v>35586894</v>
      </c>
      <c r="J511" s="51" t="s">
        <v>1554</v>
      </c>
      <c r="K511" s="47" t="str">
        <f t="shared" ca="1" si="234"/>
        <v>CONTRATADO</v>
      </c>
      <c r="L511" s="47" t="s">
        <v>94</v>
      </c>
      <c r="M511" s="47" t="s">
        <v>1297</v>
      </c>
      <c r="N511" s="52" t="s">
        <v>240</v>
      </c>
      <c r="O511" s="51" t="e">
        <f>VLOOKUP(N511,[2]!RUBROS[#All],3,0)</f>
        <v>#REF!</v>
      </c>
      <c r="P511" s="53" t="e">
        <f>VLOOKUP(N511,[2]!RUBROS[#All],2,0)</f>
        <v>#REF!</v>
      </c>
      <c r="Q511" s="47" t="str">
        <f t="shared" si="235"/>
        <v>22</v>
      </c>
      <c r="R511" s="47" t="str">
        <f t="shared" si="236"/>
        <v>0-205400</v>
      </c>
      <c r="S511" s="54">
        <v>6</v>
      </c>
      <c r="T511" s="59" t="s">
        <v>46</v>
      </c>
      <c r="U511" s="326" t="e">
        <f ca="1">_xlfn.XLOOKUP(PAA_4[[#This Row],[ITEM]],[2]Contrato!A:A,[2]Contrato!Q:Q,"",0)</f>
        <v>#NAME?</v>
      </c>
      <c r="V511" s="47" t="s">
        <v>47</v>
      </c>
      <c r="W511" s="47" t="s">
        <v>137</v>
      </c>
      <c r="X511" s="47" t="s">
        <v>137</v>
      </c>
      <c r="Y511" s="55" t="e">
        <f ca="1">_xlfn.XLOOKUP(PAA_4[[#This Row],[ITEM]],[2]Contrato!A:A,[2]Contrato!B:B,"",0)</f>
        <v>#NAME?</v>
      </c>
      <c r="Z511" s="47" t="e">
        <f ca="1">_xlfn.XLOOKUP(PAA_4[[#This Row],[ITEM]],[2]Contrato!A:A,[2]Contrato!G:G,"",0)</f>
        <v>#NAME?</v>
      </c>
      <c r="AA511" s="47" t="e">
        <f ca="1">_xlfn.XLOOKUP(PAA_4[[#This Row],[ITEM]],[2]Contrato!A:A,[2]Contrato!T:T,"",0)</f>
        <v>#NAME?</v>
      </c>
      <c r="AB511" s="55" t="e">
        <f ca="1">+MAX(PAA_4[[#This Row],[Comprometido Contrato]],PAA_4[[#This Row],[Comprometido Bolsa]])</f>
        <v>#NAME?</v>
      </c>
      <c r="AC511" s="55" t="str">
        <f t="shared" ca="1" si="237"/>
        <v/>
      </c>
      <c r="AD511" s="55" t="e">
        <f ca="1">IF(PAA_4[[#This Row],[ESTADO (formulado)]]="NO CONTRATADO",0,MAX(PAA_4[[#This Row],[Pago por Contrato]],PAA_4[[#This Row],[Pago por bolsa]]))</f>
        <v>#NAME?</v>
      </c>
      <c r="AE511" s="55" t="str">
        <f t="shared" ca="1" si="238"/>
        <v/>
      </c>
      <c r="AF511" s="47" t="e">
        <f t="shared" ca="1" si="239"/>
        <v>#NAME?</v>
      </c>
      <c r="AG511" s="47">
        <f t="shared" si="240"/>
        <v>41080101</v>
      </c>
      <c r="AH511" s="54" t="str">
        <f>IF(Q511="22",IF(ISNUMBER(SEARCH("econ",PAA_4[[#This Row],[Actividad3]])),"Económico",IF(ISNUMBER(SEARCH("alim",PAA_4[[#This Row],[Actividad3]])),"Alimentación",IF(ISNUMBER(SEARCH("educ",PAA_4[[#This Row],[Actividad3]])),"Educativo","Técnico"))),0)</f>
        <v>Técnico</v>
      </c>
      <c r="AI511" s="47" t="e" cm="1">
        <f t="array" aca="1" ref="AI511" ca="1">_xlfn.XLOOKUP(PAA_4[[#This Row],[RCP-RUBRO]],[2]!COMPROMISOS_2024[[#All],[concatenado]],[2]!COMPROMISOS_2024[[#All],[Total pagado]],"",0)</f>
        <v>#NAME?</v>
      </c>
      <c r="AJ511" s="56" t="e">
        <f ca="1">IF(PAA_4[[#This Row],[BOLSA]]=0,0,SUMIFS([2]!COMPROMISOS_2024[[#All],[Total pagado]],[2]!COMPROMISOS_2024[[#All],[Bolsa]],PAA_4[[#This Row],[BOLSA]],[2]!COMPROMISOS_2024[[#All],[rubro]],PAA_4[[#This Row],[RCP-RUBRO]]))</f>
        <v>#REF!</v>
      </c>
      <c r="AK511" s="47" t="e" cm="1">
        <f t="array" aca="1" ref="AK511" ca="1">_xlfn.XLOOKUP(PAA_4[[#This Row],[RCP-RUBRO]],[2]!COMPROMISOS_2024[[#All],[concatenado]],[2]!COMPROMISOS_2024[[#All],[Total Comprometido]],"",0)</f>
        <v>#NAME?</v>
      </c>
      <c r="AL511" s="47" t="e">
        <f ca="1">IF(PAA_4[[#This Row],[BOLSA]]=0,0,SUMIFS([2]!COMPROMISOS_2024[[#All],[Total Comprometido]],[2]!COMPROMISOS_2024[[#All],[Bolsa]],PAA_4[[#This Row],[BOLSA]],[2]!COMPROMISOS_2024[[#All],[concatenado]],PAA_4[[#This Row],[RCP-RUBRO]]))</f>
        <v>#REF!</v>
      </c>
    </row>
    <row r="512" spans="1:38" s="19" customFormat="1" ht="31.5" customHeight="1">
      <c r="A512" s="47">
        <v>135</v>
      </c>
      <c r="B512" s="47">
        <v>80111600</v>
      </c>
      <c r="C512" s="47" t="str">
        <f>VLOOKUP(PAA_4[[#This Row],[PROYECTO (formulado)2]],[2]PROYECTOS!$G$1:$L$32,6,0)</f>
        <v>SUBGERENCIA DE ALTOS LOGROS Y DEPORTE ASOCIADO</v>
      </c>
      <c r="D512" s="47" t="str">
        <f>+IF(PAA_4[[#This Row],[UNIDAD DE CONTRATACION (formulado)]]="Subgerencia Administrativa y Financiera","FUNCIONAMIENTO","INVERSIÓN")</f>
        <v>INVERSIÓN</v>
      </c>
      <c r="E512" s="48" t="str">
        <f>VLOOKUP(Q512,[2]PROYECTOS!$G$1:$K$32,5,0)</f>
        <v>APOYO_TÉCNICO_Y_PSICOSOCIAL_A_LOS_DEPORTISTAS_DE_ANTIOQUIA</v>
      </c>
      <c r="F512" s="48">
        <f>VLOOKUP(E512,[2]PROYECTOS!$K$1:$M$32,3,0)</f>
        <v>2021003050069</v>
      </c>
      <c r="G512" s="49" t="s">
        <v>239</v>
      </c>
      <c r="H512" s="49" t="str">
        <f>VLOOKUP(Q512,[2]PROYECTOS!$V$1:$W$32,2,0)</f>
        <v>050069</v>
      </c>
      <c r="I512" s="50">
        <v>29453616</v>
      </c>
      <c r="J512" s="51" t="s">
        <v>1555</v>
      </c>
      <c r="K512" s="47" t="str">
        <f t="shared" ca="1" si="234"/>
        <v>CONTRATADO</v>
      </c>
      <c r="L512" s="47" t="s">
        <v>94</v>
      </c>
      <c r="M512" s="47" t="s">
        <v>1297</v>
      </c>
      <c r="N512" s="52" t="s">
        <v>240</v>
      </c>
      <c r="O512" s="51" t="e">
        <f>VLOOKUP(N512,[2]!RUBROS[#All],3,0)</f>
        <v>#REF!</v>
      </c>
      <c r="P512" s="53" t="e">
        <f>VLOOKUP(N512,[2]!RUBROS[#All],2,0)</f>
        <v>#REF!</v>
      </c>
      <c r="Q512" s="47" t="str">
        <f t="shared" si="235"/>
        <v>22</v>
      </c>
      <c r="R512" s="47" t="str">
        <f t="shared" si="236"/>
        <v>0-205400</v>
      </c>
      <c r="S512" s="54">
        <v>6</v>
      </c>
      <c r="T512" s="59" t="s">
        <v>46</v>
      </c>
      <c r="U512" s="326" t="e">
        <f ca="1">_xlfn.XLOOKUP(PAA_4[[#This Row],[ITEM]],[2]Contrato!A:A,[2]Contrato!Q:Q,"",0)</f>
        <v>#NAME?</v>
      </c>
      <c r="V512" s="47" t="s">
        <v>47</v>
      </c>
      <c r="W512" s="47" t="s">
        <v>137</v>
      </c>
      <c r="X512" s="47" t="s">
        <v>137</v>
      </c>
      <c r="Y512" s="55" t="e">
        <f ca="1">_xlfn.XLOOKUP(PAA_4[[#This Row],[ITEM]],[2]Contrato!A:A,[2]Contrato!B:B,"",0)</f>
        <v>#NAME?</v>
      </c>
      <c r="Z512" s="47" t="e">
        <f ca="1">_xlfn.XLOOKUP(PAA_4[[#This Row],[ITEM]],[2]Contrato!A:A,[2]Contrato!G:G,"",0)</f>
        <v>#NAME?</v>
      </c>
      <c r="AA512" s="47" t="e">
        <f ca="1">_xlfn.XLOOKUP(PAA_4[[#This Row],[ITEM]],[2]Contrato!A:A,[2]Contrato!T:T,"",0)</f>
        <v>#NAME?</v>
      </c>
      <c r="AB512" s="55" t="e">
        <f ca="1">+MAX(PAA_4[[#This Row],[Comprometido Contrato]],PAA_4[[#This Row],[Comprometido Bolsa]])</f>
        <v>#NAME?</v>
      </c>
      <c r="AC512" s="55" t="str">
        <f t="shared" ca="1" si="237"/>
        <v/>
      </c>
      <c r="AD512" s="55" t="e">
        <f ca="1">IF(PAA_4[[#This Row],[ESTADO (formulado)]]="NO CONTRATADO",0,MAX(PAA_4[[#This Row],[Pago por Contrato]],PAA_4[[#This Row],[Pago por bolsa]]))</f>
        <v>#NAME?</v>
      </c>
      <c r="AE512" s="55" t="str">
        <f t="shared" ca="1" si="238"/>
        <v/>
      </c>
      <c r="AF512" s="47" t="e">
        <f t="shared" ca="1" si="239"/>
        <v>#NAME?</v>
      </c>
      <c r="AG512" s="47">
        <f t="shared" si="240"/>
        <v>41080101</v>
      </c>
      <c r="AH512" s="54" t="str">
        <f>IF(Q512="22",IF(ISNUMBER(SEARCH("econ",PAA_4[[#This Row],[Actividad3]])),"Económico",IF(ISNUMBER(SEARCH("alim",PAA_4[[#This Row],[Actividad3]])),"Alimentación",IF(ISNUMBER(SEARCH("educ",PAA_4[[#This Row],[Actividad3]])),"Educativo","Técnico"))),0)</f>
        <v>Técnico</v>
      </c>
      <c r="AI512" s="47" t="e" cm="1">
        <f t="array" aca="1" ref="AI512" ca="1">_xlfn.XLOOKUP(PAA_4[[#This Row],[RCP-RUBRO]],[2]!COMPROMISOS_2024[[#All],[concatenado]],[2]!COMPROMISOS_2024[[#All],[Total pagado]],"",0)</f>
        <v>#NAME?</v>
      </c>
      <c r="AJ512" s="56" t="e">
        <f ca="1">IF(PAA_4[[#This Row],[BOLSA]]=0,0,SUMIFS([2]!COMPROMISOS_2024[[#All],[Total pagado]],[2]!COMPROMISOS_2024[[#All],[Bolsa]],PAA_4[[#This Row],[BOLSA]],[2]!COMPROMISOS_2024[[#All],[rubro]],PAA_4[[#This Row],[RCP-RUBRO]]))</f>
        <v>#REF!</v>
      </c>
      <c r="AK512" s="47" t="e" cm="1">
        <f t="array" aca="1" ref="AK512" ca="1">_xlfn.XLOOKUP(PAA_4[[#This Row],[RCP-RUBRO]],[2]!COMPROMISOS_2024[[#All],[concatenado]],[2]!COMPROMISOS_2024[[#All],[Total Comprometido]],"",0)</f>
        <v>#NAME?</v>
      </c>
      <c r="AL512" s="47" t="e">
        <f ca="1">IF(PAA_4[[#This Row],[BOLSA]]=0,0,SUMIFS([2]!COMPROMISOS_2024[[#All],[Total Comprometido]],[2]!COMPROMISOS_2024[[#All],[Bolsa]],PAA_4[[#This Row],[BOLSA]],[2]!COMPROMISOS_2024[[#All],[concatenado]],PAA_4[[#This Row],[RCP-RUBRO]]))</f>
        <v>#REF!</v>
      </c>
    </row>
    <row r="513" spans="1:38" s="19" customFormat="1" ht="31.5" customHeight="1">
      <c r="A513" s="47">
        <v>136</v>
      </c>
      <c r="B513" s="47">
        <v>80111600</v>
      </c>
      <c r="C513" s="47" t="str">
        <f>VLOOKUP(PAA_4[[#This Row],[PROYECTO (formulado)2]],[2]PROYECTOS!$G$1:$L$32,6,0)</f>
        <v>SUBGERENCIA DE ALTOS LOGROS Y DEPORTE ASOCIADO</v>
      </c>
      <c r="D513" s="47" t="str">
        <f>+IF(PAA_4[[#This Row],[UNIDAD DE CONTRATACION (formulado)]]="Subgerencia Administrativa y Financiera","FUNCIONAMIENTO","INVERSIÓN")</f>
        <v>INVERSIÓN</v>
      </c>
      <c r="E513" s="48" t="str">
        <f>VLOOKUP(Q513,[2]PROYECTOS!$G$1:$K$32,5,0)</f>
        <v>APOYO_TÉCNICO_Y_PSICOSOCIAL_A_LOS_DEPORTISTAS_DE_ANTIOQUIA</v>
      </c>
      <c r="F513" s="48">
        <f>VLOOKUP(E513,[2]PROYECTOS!$K$1:$M$32,3,0)</f>
        <v>2021003050069</v>
      </c>
      <c r="G513" s="49" t="s">
        <v>239</v>
      </c>
      <c r="H513" s="49" t="str">
        <f>VLOOKUP(Q513,[2]PROYECTOS!$V$1:$W$32,2,0)</f>
        <v>050069</v>
      </c>
      <c r="I513" s="50">
        <v>15449052</v>
      </c>
      <c r="J513" s="51" t="s">
        <v>1556</v>
      </c>
      <c r="K513" s="47" t="str">
        <f t="shared" ca="1" si="234"/>
        <v>CONTRATADO</v>
      </c>
      <c r="L513" s="47" t="s">
        <v>94</v>
      </c>
      <c r="M513" s="47" t="s">
        <v>1297</v>
      </c>
      <c r="N513" s="52" t="s">
        <v>240</v>
      </c>
      <c r="O513" s="51" t="e">
        <f>VLOOKUP(N513,[2]!RUBROS[#All],3,0)</f>
        <v>#REF!</v>
      </c>
      <c r="P513" s="53" t="e">
        <f>VLOOKUP(N513,[2]!RUBROS[#All],2,0)</f>
        <v>#REF!</v>
      </c>
      <c r="Q513" s="47" t="str">
        <f t="shared" si="235"/>
        <v>22</v>
      </c>
      <c r="R513" s="47" t="str">
        <f t="shared" si="236"/>
        <v>0-205400</v>
      </c>
      <c r="S513" s="54">
        <v>6</v>
      </c>
      <c r="T513" s="59" t="s">
        <v>46</v>
      </c>
      <c r="U513" s="326" t="e">
        <f ca="1">_xlfn.XLOOKUP(PAA_4[[#This Row],[ITEM]],[2]Contrato!A:A,[2]Contrato!Q:Q,"",0)</f>
        <v>#NAME?</v>
      </c>
      <c r="V513" s="47" t="s">
        <v>47</v>
      </c>
      <c r="W513" s="47" t="s">
        <v>137</v>
      </c>
      <c r="X513" s="47" t="s">
        <v>137</v>
      </c>
      <c r="Y513" s="55" t="e">
        <f ca="1">_xlfn.XLOOKUP(PAA_4[[#This Row],[ITEM]],[2]Contrato!A:A,[2]Contrato!B:B,"",0)</f>
        <v>#NAME?</v>
      </c>
      <c r="Z513" s="47" t="e">
        <f ca="1">_xlfn.XLOOKUP(PAA_4[[#This Row],[ITEM]],[2]Contrato!A:A,[2]Contrato!G:G,"",0)</f>
        <v>#NAME?</v>
      </c>
      <c r="AA513" s="47" t="e">
        <f ca="1">_xlfn.XLOOKUP(PAA_4[[#This Row],[ITEM]],[2]Contrato!A:A,[2]Contrato!T:T,"",0)</f>
        <v>#NAME?</v>
      </c>
      <c r="AB513" s="55" t="e">
        <f ca="1">+MAX(PAA_4[[#This Row],[Comprometido Contrato]],PAA_4[[#This Row],[Comprometido Bolsa]])</f>
        <v>#NAME?</v>
      </c>
      <c r="AC513" s="55" t="str">
        <f t="shared" ca="1" si="237"/>
        <v/>
      </c>
      <c r="AD513" s="55" t="e">
        <f ca="1">IF(PAA_4[[#This Row],[ESTADO (formulado)]]="NO CONTRATADO",0,MAX(PAA_4[[#This Row],[Pago por Contrato]],PAA_4[[#This Row],[Pago por bolsa]]))</f>
        <v>#NAME?</v>
      </c>
      <c r="AE513" s="55" t="str">
        <f t="shared" ca="1" si="238"/>
        <v/>
      </c>
      <c r="AF513" s="47" t="e">
        <f t="shared" ca="1" si="239"/>
        <v>#NAME?</v>
      </c>
      <c r="AG513" s="47">
        <f t="shared" si="240"/>
        <v>41080101</v>
      </c>
      <c r="AH513" s="54" t="str">
        <f>IF(Q513="22",IF(ISNUMBER(SEARCH("econ",PAA_4[[#This Row],[Actividad3]])),"Económico",IF(ISNUMBER(SEARCH("alim",PAA_4[[#This Row],[Actividad3]])),"Alimentación",IF(ISNUMBER(SEARCH("educ",PAA_4[[#This Row],[Actividad3]])),"Educativo","Técnico"))),0)</f>
        <v>Técnico</v>
      </c>
      <c r="AI513" s="47" t="e" cm="1">
        <f t="array" aca="1" ref="AI513" ca="1">_xlfn.XLOOKUP(PAA_4[[#This Row],[RCP-RUBRO]],[2]!COMPROMISOS_2024[[#All],[concatenado]],[2]!COMPROMISOS_2024[[#All],[Total pagado]],"",0)</f>
        <v>#NAME?</v>
      </c>
      <c r="AJ513" s="56" t="e">
        <f ca="1">IF(PAA_4[[#This Row],[BOLSA]]=0,0,SUMIFS([2]!COMPROMISOS_2024[[#All],[Total pagado]],[2]!COMPROMISOS_2024[[#All],[Bolsa]],PAA_4[[#This Row],[BOLSA]],[2]!COMPROMISOS_2024[[#All],[rubro]],PAA_4[[#This Row],[RCP-RUBRO]]))</f>
        <v>#REF!</v>
      </c>
      <c r="AK513" s="47" t="e" cm="1">
        <f t="array" aca="1" ref="AK513" ca="1">_xlfn.XLOOKUP(PAA_4[[#This Row],[RCP-RUBRO]],[2]!COMPROMISOS_2024[[#All],[concatenado]],[2]!COMPROMISOS_2024[[#All],[Total Comprometido]],"",0)</f>
        <v>#NAME?</v>
      </c>
      <c r="AL513" s="47" t="e">
        <f ca="1">IF(PAA_4[[#This Row],[BOLSA]]=0,0,SUMIFS([2]!COMPROMISOS_2024[[#All],[Total Comprometido]],[2]!COMPROMISOS_2024[[#All],[Bolsa]],PAA_4[[#This Row],[BOLSA]],[2]!COMPROMISOS_2024[[#All],[concatenado]],PAA_4[[#This Row],[RCP-RUBRO]]))</f>
        <v>#REF!</v>
      </c>
    </row>
    <row r="514" spans="1:38" s="19" customFormat="1" ht="31.5" customHeight="1">
      <c r="A514" s="47">
        <v>137</v>
      </c>
      <c r="B514" s="47">
        <v>80111600</v>
      </c>
      <c r="C514" s="47" t="str">
        <f>VLOOKUP(PAA_4[[#This Row],[PROYECTO (formulado)2]],[2]PROYECTOS!$G$1:$L$32,6,0)</f>
        <v>SUBGERENCIA DE ALTOS LOGROS Y DEPORTE ASOCIADO</v>
      </c>
      <c r="D514" s="47" t="str">
        <f>+IF(PAA_4[[#This Row],[UNIDAD DE CONTRATACION (formulado)]]="Subgerencia Administrativa y Financiera","FUNCIONAMIENTO","INVERSIÓN")</f>
        <v>INVERSIÓN</v>
      </c>
      <c r="E514" s="48" t="str">
        <f>VLOOKUP(Q514,[2]PROYECTOS!$G$1:$K$32,5,0)</f>
        <v>APOYO_TÉCNICO_Y_PSICOSOCIAL_A_LOS_DEPORTISTAS_DE_ANTIOQUIA</v>
      </c>
      <c r="F514" s="48">
        <f>VLOOKUP(E514,[2]PROYECTOS!$K$1:$M$32,3,0)</f>
        <v>2021003050069</v>
      </c>
      <c r="G514" s="49" t="s">
        <v>239</v>
      </c>
      <c r="H514" s="49" t="str">
        <f>VLOOKUP(Q514,[2]PROYECTOS!$V$1:$W$32,2,0)</f>
        <v>050069</v>
      </c>
      <c r="I514" s="50">
        <v>35586894</v>
      </c>
      <c r="J514" s="51" t="s">
        <v>1557</v>
      </c>
      <c r="K514" s="47" t="str">
        <f t="shared" ca="1" si="234"/>
        <v>CONTRATADO</v>
      </c>
      <c r="L514" s="47" t="s">
        <v>94</v>
      </c>
      <c r="M514" s="47" t="s">
        <v>1297</v>
      </c>
      <c r="N514" s="52" t="s">
        <v>240</v>
      </c>
      <c r="O514" s="51" t="e">
        <f>VLOOKUP(N514,[2]!RUBROS[#All],3,0)</f>
        <v>#REF!</v>
      </c>
      <c r="P514" s="53" t="e">
        <f>VLOOKUP(N514,[2]!RUBROS[#All],2,0)</f>
        <v>#REF!</v>
      </c>
      <c r="Q514" s="47" t="str">
        <f t="shared" si="235"/>
        <v>22</v>
      </c>
      <c r="R514" s="47" t="str">
        <f t="shared" si="236"/>
        <v>0-205400</v>
      </c>
      <c r="S514" s="54">
        <v>6</v>
      </c>
      <c r="T514" s="59" t="s">
        <v>46</v>
      </c>
      <c r="U514" s="326" t="e">
        <f ca="1">_xlfn.XLOOKUP(PAA_4[[#This Row],[ITEM]],[2]Contrato!A:A,[2]Contrato!Q:Q,"",0)</f>
        <v>#NAME?</v>
      </c>
      <c r="V514" s="47" t="s">
        <v>47</v>
      </c>
      <c r="W514" s="47" t="s">
        <v>137</v>
      </c>
      <c r="X514" s="47" t="s">
        <v>137</v>
      </c>
      <c r="Y514" s="55" t="e">
        <f ca="1">_xlfn.XLOOKUP(PAA_4[[#This Row],[ITEM]],[2]Contrato!A:A,[2]Contrato!B:B,"",0)</f>
        <v>#NAME?</v>
      </c>
      <c r="Z514" s="47" t="e">
        <f ca="1">_xlfn.XLOOKUP(PAA_4[[#This Row],[ITEM]],[2]Contrato!A:A,[2]Contrato!G:G,"",0)</f>
        <v>#NAME?</v>
      </c>
      <c r="AA514" s="47" t="e">
        <f ca="1">_xlfn.XLOOKUP(PAA_4[[#This Row],[ITEM]],[2]Contrato!A:A,[2]Contrato!T:T,"",0)</f>
        <v>#NAME?</v>
      </c>
      <c r="AB514" s="55" t="e">
        <f ca="1">+MAX(PAA_4[[#This Row],[Comprometido Contrato]],PAA_4[[#This Row],[Comprometido Bolsa]])</f>
        <v>#NAME?</v>
      </c>
      <c r="AC514" s="55" t="str">
        <f t="shared" ca="1" si="237"/>
        <v/>
      </c>
      <c r="AD514" s="55" t="e">
        <f ca="1">IF(PAA_4[[#This Row],[ESTADO (formulado)]]="NO CONTRATADO",0,MAX(PAA_4[[#This Row],[Pago por Contrato]],PAA_4[[#This Row],[Pago por bolsa]]))</f>
        <v>#NAME?</v>
      </c>
      <c r="AE514" s="55" t="str">
        <f t="shared" ca="1" si="238"/>
        <v/>
      </c>
      <c r="AF514" s="47" t="e">
        <f t="shared" ca="1" si="239"/>
        <v>#NAME?</v>
      </c>
      <c r="AG514" s="47">
        <f t="shared" si="240"/>
        <v>41080101</v>
      </c>
      <c r="AH514" s="54" t="str">
        <f>IF(Q514="22",IF(ISNUMBER(SEARCH("econ",PAA_4[[#This Row],[Actividad3]])),"Económico",IF(ISNUMBER(SEARCH("alim",PAA_4[[#This Row],[Actividad3]])),"Alimentación",IF(ISNUMBER(SEARCH("educ",PAA_4[[#This Row],[Actividad3]])),"Educativo","Técnico"))),0)</f>
        <v>Técnico</v>
      </c>
      <c r="AI514" s="47" t="e" cm="1">
        <f t="array" aca="1" ref="AI514" ca="1">_xlfn.XLOOKUP(PAA_4[[#This Row],[RCP-RUBRO]],[2]!COMPROMISOS_2024[[#All],[concatenado]],[2]!COMPROMISOS_2024[[#All],[Total pagado]],"",0)</f>
        <v>#NAME?</v>
      </c>
      <c r="AJ514" s="56" t="e">
        <f ca="1">IF(PAA_4[[#This Row],[BOLSA]]=0,0,SUMIFS([2]!COMPROMISOS_2024[[#All],[Total pagado]],[2]!COMPROMISOS_2024[[#All],[Bolsa]],PAA_4[[#This Row],[BOLSA]],[2]!COMPROMISOS_2024[[#All],[rubro]],PAA_4[[#This Row],[RCP-RUBRO]]))</f>
        <v>#REF!</v>
      </c>
      <c r="AK514" s="47" t="e" cm="1">
        <f t="array" aca="1" ref="AK514" ca="1">_xlfn.XLOOKUP(PAA_4[[#This Row],[RCP-RUBRO]],[2]!COMPROMISOS_2024[[#All],[concatenado]],[2]!COMPROMISOS_2024[[#All],[Total Comprometido]],"",0)</f>
        <v>#NAME?</v>
      </c>
      <c r="AL514" s="47" t="e">
        <f ca="1">IF(PAA_4[[#This Row],[BOLSA]]=0,0,SUMIFS([2]!COMPROMISOS_2024[[#All],[Total Comprometido]],[2]!COMPROMISOS_2024[[#All],[Bolsa]],PAA_4[[#This Row],[BOLSA]],[2]!COMPROMISOS_2024[[#All],[concatenado]],PAA_4[[#This Row],[RCP-RUBRO]]))</f>
        <v>#REF!</v>
      </c>
    </row>
    <row r="515" spans="1:38" s="19" customFormat="1" ht="31.5" customHeight="1">
      <c r="A515" s="47">
        <v>138</v>
      </c>
      <c r="B515" s="47">
        <v>80111600</v>
      </c>
      <c r="C515" s="47" t="str">
        <f>VLOOKUP(PAA_4[[#This Row],[PROYECTO (formulado)2]],[2]PROYECTOS!$G$1:$L$32,6,0)</f>
        <v>SUBGERENCIA DE ALTOS LOGROS Y DEPORTE ASOCIADO</v>
      </c>
      <c r="D515" s="47" t="str">
        <f>+IF(PAA_4[[#This Row],[UNIDAD DE CONTRATACION (formulado)]]="Subgerencia Administrativa y Financiera","FUNCIONAMIENTO","INVERSIÓN")</f>
        <v>INVERSIÓN</v>
      </c>
      <c r="E515" s="48" t="str">
        <f>VLOOKUP(Q515,[2]PROYECTOS!$G$1:$K$32,5,0)</f>
        <v>APOYO_TÉCNICO_Y_PSICOSOCIAL_A_LOS_DEPORTISTAS_DE_ANTIOQUIA</v>
      </c>
      <c r="F515" s="48">
        <f>VLOOKUP(E515,[2]PROYECTOS!$K$1:$M$32,3,0)</f>
        <v>2021003050069</v>
      </c>
      <c r="G515" s="49" t="s">
        <v>239</v>
      </c>
      <c r="H515" s="49" t="str">
        <f>VLOOKUP(Q515,[2]PROYECTOS!$V$1:$W$32,2,0)</f>
        <v>050069</v>
      </c>
      <c r="I515" s="50">
        <v>23714292</v>
      </c>
      <c r="J515" s="51" t="s">
        <v>1558</v>
      </c>
      <c r="K515" s="47" t="str">
        <f t="shared" ca="1" si="234"/>
        <v>CONTRATADO</v>
      </c>
      <c r="L515" s="47" t="s">
        <v>94</v>
      </c>
      <c r="M515" s="47" t="s">
        <v>1297</v>
      </c>
      <c r="N515" s="52" t="s">
        <v>240</v>
      </c>
      <c r="O515" s="51" t="e">
        <f>VLOOKUP(N515,[2]!RUBROS[#All],3,0)</f>
        <v>#REF!</v>
      </c>
      <c r="P515" s="53" t="e">
        <f>VLOOKUP(N515,[2]!RUBROS[#All],2,0)</f>
        <v>#REF!</v>
      </c>
      <c r="Q515" s="47" t="str">
        <f t="shared" si="235"/>
        <v>22</v>
      </c>
      <c r="R515" s="47" t="str">
        <f t="shared" si="236"/>
        <v>0-205400</v>
      </c>
      <c r="S515" s="54">
        <v>6</v>
      </c>
      <c r="T515" s="59" t="s">
        <v>46</v>
      </c>
      <c r="U515" s="326" t="e">
        <f ca="1">_xlfn.XLOOKUP(PAA_4[[#This Row],[ITEM]],[2]Contrato!A:A,[2]Contrato!Q:Q,"",0)</f>
        <v>#NAME?</v>
      </c>
      <c r="V515" s="47" t="s">
        <v>47</v>
      </c>
      <c r="W515" s="47" t="s">
        <v>137</v>
      </c>
      <c r="X515" s="47" t="s">
        <v>137</v>
      </c>
      <c r="Y515" s="55" t="e">
        <f ca="1">_xlfn.XLOOKUP(PAA_4[[#This Row],[ITEM]],[2]Contrato!A:A,[2]Contrato!B:B,"",0)</f>
        <v>#NAME?</v>
      </c>
      <c r="Z515" s="47" t="e">
        <f ca="1">_xlfn.XLOOKUP(PAA_4[[#This Row],[ITEM]],[2]Contrato!A:A,[2]Contrato!G:G,"",0)</f>
        <v>#NAME?</v>
      </c>
      <c r="AA515" s="47" t="e">
        <f ca="1">_xlfn.XLOOKUP(PAA_4[[#This Row],[ITEM]],[2]Contrato!A:A,[2]Contrato!T:T,"",0)</f>
        <v>#NAME?</v>
      </c>
      <c r="AB515" s="55" t="e">
        <f ca="1">+MAX(PAA_4[[#This Row],[Comprometido Contrato]],PAA_4[[#This Row],[Comprometido Bolsa]])</f>
        <v>#NAME?</v>
      </c>
      <c r="AC515" s="55" t="str">
        <f t="shared" ca="1" si="237"/>
        <v/>
      </c>
      <c r="AD515" s="55" t="e">
        <f ca="1">IF(PAA_4[[#This Row],[ESTADO (formulado)]]="NO CONTRATADO",0,MAX(PAA_4[[#This Row],[Pago por Contrato]],PAA_4[[#This Row],[Pago por bolsa]]))</f>
        <v>#NAME?</v>
      </c>
      <c r="AE515" s="55" t="str">
        <f t="shared" ca="1" si="238"/>
        <v/>
      </c>
      <c r="AF515" s="47" t="e">
        <f t="shared" ca="1" si="239"/>
        <v>#NAME?</v>
      </c>
      <c r="AG515" s="47">
        <f t="shared" si="240"/>
        <v>41080101</v>
      </c>
      <c r="AH515" s="54" t="str">
        <f>IF(Q515="22",IF(ISNUMBER(SEARCH("econ",PAA_4[[#This Row],[Actividad3]])),"Económico",IF(ISNUMBER(SEARCH("alim",PAA_4[[#This Row],[Actividad3]])),"Alimentación",IF(ISNUMBER(SEARCH("educ",PAA_4[[#This Row],[Actividad3]])),"Educativo","Técnico"))),0)</f>
        <v>Técnico</v>
      </c>
      <c r="AI515" s="47" t="e" cm="1">
        <f t="array" aca="1" ref="AI515" ca="1">_xlfn.XLOOKUP(PAA_4[[#This Row],[RCP-RUBRO]],[2]!COMPROMISOS_2024[[#All],[concatenado]],[2]!COMPROMISOS_2024[[#All],[Total pagado]],"",0)</f>
        <v>#NAME?</v>
      </c>
      <c r="AJ515" s="56" t="e">
        <f ca="1">IF(PAA_4[[#This Row],[BOLSA]]=0,0,SUMIFS([2]!COMPROMISOS_2024[[#All],[Total pagado]],[2]!COMPROMISOS_2024[[#All],[Bolsa]],PAA_4[[#This Row],[BOLSA]],[2]!COMPROMISOS_2024[[#All],[rubro]],PAA_4[[#This Row],[RCP-RUBRO]]))</f>
        <v>#REF!</v>
      </c>
      <c r="AK515" s="47" t="e" cm="1">
        <f t="array" aca="1" ref="AK515" ca="1">_xlfn.XLOOKUP(PAA_4[[#This Row],[RCP-RUBRO]],[2]!COMPROMISOS_2024[[#All],[concatenado]],[2]!COMPROMISOS_2024[[#All],[Total Comprometido]],"",0)</f>
        <v>#NAME?</v>
      </c>
      <c r="AL515" s="47" t="e">
        <f ca="1">IF(PAA_4[[#This Row],[BOLSA]]=0,0,SUMIFS([2]!COMPROMISOS_2024[[#All],[Total Comprometido]],[2]!COMPROMISOS_2024[[#All],[Bolsa]],PAA_4[[#This Row],[BOLSA]],[2]!COMPROMISOS_2024[[#All],[concatenado]],PAA_4[[#This Row],[RCP-RUBRO]]))</f>
        <v>#REF!</v>
      </c>
    </row>
    <row r="516" spans="1:38" s="19" customFormat="1" ht="31.5" customHeight="1">
      <c r="A516" s="47">
        <v>139</v>
      </c>
      <c r="B516" s="47">
        <v>80111600</v>
      </c>
      <c r="C516" s="47" t="str">
        <f>VLOOKUP(PAA_4[[#This Row],[PROYECTO (formulado)2]],[2]PROYECTOS!$G$1:$L$32,6,0)</f>
        <v>SUBGERENCIA DE ALTOS LOGROS Y DEPORTE ASOCIADO</v>
      </c>
      <c r="D516" s="47" t="str">
        <f>+IF(PAA_4[[#This Row],[UNIDAD DE CONTRATACION (formulado)]]="Subgerencia Administrativa y Financiera","FUNCIONAMIENTO","INVERSIÓN")</f>
        <v>INVERSIÓN</v>
      </c>
      <c r="E516" s="48" t="str">
        <f>VLOOKUP(Q516,[2]PROYECTOS!$G$1:$K$32,5,0)</f>
        <v>APOYO_TÉCNICO_Y_PSICOSOCIAL_A_LOS_DEPORTISTAS_DE_ANTIOQUIA</v>
      </c>
      <c r="F516" s="48">
        <f>VLOOKUP(E516,[2]PROYECTOS!$K$1:$M$32,3,0)</f>
        <v>2021003050069</v>
      </c>
      <c r="G516" s="49" t="s">
        <v>239</v>
      </c>
      <c r="H516" s="49" t="str">
        <f>VLOOKUP(Q516,[2]PROYECTOS!$V$1:$W$32,2,0)</f>
        <v>050069</v>
      </c>
      <c r="I516" s="50">
        <v>35586894</v>
      </c>
      <c r="J516" s="51" t="s">
        <v>1559</v>
      </c>
      <c r="K516" s="47" t="str">
        <f t="shared" ca="1" si="234"/>
        <v>CONTRATADO</v>
      </c>
      <c r="L516" s="47" t="s">
        <v>94</v>
      </c>
      <c r="M516" s="47" t="s">
        <v>1297</v>
      </c>
      <c r="N516" s="52" t="s">
        <v>240</v>
      </c>
      <c r="O516" s="51" t="e">
        <f>VLOOKUP(N516,[2]!RUBROS[#All],3,0)</f>
        <v>#REF!</v>
      </c>
      <c r="P516" s="53" t="e">
        <f>VLOOKUP(N516,[2]!RUBROS[#All],2,0)</f>
        <v>#REF!</v>
      </c>
      <c r="Q516" s="47" t="str">
        <f t="shared" si="235"/>
        <v>22</v>
      </c>
      <c r="R516" s="47" t="str">
        <f t="shared" si="236"/>
        <v>0-205400</v>
      </c>
      <c r="S516" s="54">
        <v>6</v>
      </c>
      <c r="T516" s="59" t="s">
        <v>46</v>
      </c>
      <c r="U516" s="326" t="e">
        <f ca="1">_xlfn.XLOOKUP(PAA_4[[#This Row],[ITEM]],[2]Contrato!A:A,[2]Contrato!Q:Q,"",0)</f>
        <v>#NAME?</v>
      </c>
      <c r="V516" s="47" t="s">
        <v>47</v>
      </c>
      <c r="W516" s="47" t="s">
        <v>137</v>
      </c>
      <c r="X516" s="47" t="s">
        <v>137</v>
      </c>
      <c r="Y516" s="55" t="e">
        <f ca="1">_xlfn.XLOOKUP(PAA_4[[#This Row],[ITEM]],[2]Contrato!A:A,[2]Contrato!B:B,"",0)</f>
        <v>#NAME?</v>
      </c>
      <c r="Z516" s="47" t="e">
        <f ca="1">_xlfn.XLOOKUP(PAA_4[[#This Row],[ITEM]],[2]Contrato!A:A,[2]Contrato!G:G,"",0)</f>
        <v>#NAME?</v>
      </c>
      <c r="AA516" s="47" t="e">
        <f ca="1">_xlfn.XLOOKUP(PAA_4[[#This Row],[ITEM]],[2]Contrato!A:A,[2]Contrato!T:T,"",0)</f>
        <v>#NAME?</v>
      </c>
      <c r="AB516" s="55" t="e">
        <f ca="1">+MAX(PAA_4[[#This Row],[Comprometido Contrato]],PAA_4[[#This Row],[Comprometido Bolsa]])</f>
        <v>#NAME?</v>
      </c>
      <c r="AC516" s="55" t="str">
        <f t="shared" ca="1" si="237"/>
        <v/>
      </c>
      <c r="AD516" s="55" t="e">
        <f ca="1">IF(PAA_4[[#This Row],[ESTADO (formulado)]]="NO CONTRATADO",0,MAX(PAA_4[[#This Row],[Pago por Contrato]],PAA_4[[#This Row],[Pago por bolsa]]))</f>
        <v>#NAME?</v>
      </c>
      <c r="AE516" s="55" t="str">
        <f t="shared" ca="1" si="238"/>
        <v/>
      </c>
      <c r="AF516" s="47" t="e">
        <f t="shared" ca="1" si="239"/>
        <v>#NAME?</v>
      </c>
      <c r="AG516" s="47">
        <f t="shared" si="240"/>
        <v>41080101</v>
      </c>
      <c r="AH516" s="54" t="str">
        <f>IF(Q516="22",IF(ISNUMBER(SEARCH("econ",PAA_4[[#This Row],[Actividad3]])),"Económico",IF(ISNUMBER(SEARCH("alim",PAA_4[[#This Row],[Actividad3]])),"Alimentación",IF(ISNUMBER(SEARCH("educ",PAA_4[[#This Row],[Actividad3]])),"Educativo","Técnico"))),0)</f>
        <v>Técnico</v>
      </c>
      <c r="AI516" s="47" t="e" cm="1">
        <f t="array" aca="1" ref="AI516" ca="1">_xlfn.XLOOKUP(PAA_4[[#This Row],[RCP-RUBRO]],[2]!COMPROMISOS_2024[[#All],[concatenado]],[2]!COMPROMISOS_2024[[#All],[Total pagado]],"",0)</f>
        <v>#NAME?</v>
      </c>
      <c r="AJ516" s="56" t="e">
        <f ca="1">IF(PAA_4[[#This Row],[BOLSA]]=0,0,SUMIFS([2]!COMPROMISOS_2024[[#All],[Total pagado]],[2]!COMPROMISOS_2024[[#All],[Bolsa]],PAA_4[[#This Row],[BOLSA]],[2]!COMPROMISOS_2024[[#All],[rubro]],PAA_4[[#This Row],[RCP-RUBRO]]))</f>
        <v>#REF!</v>
      </c>
      <c r="AK516" s="47" t="e" cm="1">
        <f t="array" aca="1" ref="AK516" ca="1">_xlfn.XLOOKUP(PAA_4[[#This Row],[RCP-RUBRO]],[2]!COMPROMISOS_2024[[#All],[concatenado]],[2]!COMPROMISOS_2024[[#All],[Total Comprometido]],"",0)</f>
        <v>#NAME?</v>
      </c>
      <c r="AL516" s="47" t="e">
        <f ca="1">IF(PAA_4[[#This Row],[BOLSA]]=0,0,SUMIFS([2]!COMPROMISOS_2024[[#All],[Total Comprometido]],[2]!COMPROMISOS_2024[[#All],[Bolsa]],PAA_4[[#This Row],[BOLSA]],[2]!COMPROMISOS_2024[[#All],[concatenado]],PAA_4[[#This Row],[RCP-RUBRO]]))</f>
        <v>#REF!</v>
      </c>
    </row>
    <row r="517" spans="1:38" s="19" customFormat="1" ht="31.5" customHeight="1">
      <c r="A517" s="47">
        <v>140</v>
      </c>
      <c r="B517" s="47">
        <v>80111600</v>
      </c>
      <c r="C517" s="47" t="str">
        <f>VLOOKUP(PAA_4[[#This Row],[PROYECTO (formulado)2]],[2]PROYECTOS!$G$1:$L$32,6,0)</f>
        <v>SUBGERENCIA DE ALTOS LOGROS Y DEPORTE ASOCIADO</v>
      </c>
      <c r="D517" s="47" t="str">
        <f>+IF(PAA_4[[#This Row],[UNIDAD DE CONTRATACION (formulado)]]="Subgerencia Administrativa y Financiera","FUNCIONAMIENTO","INVERSIÓN")</f>
        <v>INVERSIÓN</v>
      </c>
      <c r="E517" s="48" t="str">
        <f>VLOOKUP(Q517,[2]PROYECTOS!$G$1:$K$32,5,0)</f>
        <v>APOYO_TÉCNICO_Y_PSICOSOCIAL_A_LOS_DEPORTISTAS_DE_ANTIOQUIA</v>
      </c>
      <c r="F517" s="48">
        <f>VLOOKUP(E517,[2]PROYECTOS!$K$1:$M$32,3,0)</f>
        <v>2021003050069</v>
      </c>
      <c r="G517" s="49" t="s">
        <v>239</v>
      </c>
      <c r="H517" s="49" t="str">
        <f>VLOOKUP(Q517,[2]PROYECTOS!$V$1:$W$32,2,0)</f>
        <v>050069</v>
      </c>
      <c r="I517" s="50">
        <v>15449052</v>
      </c>
      <c r="J517" s="51" t="s">
        <v>1560</v>
      </c>
      <c r="K517" s="47" t="str">
        <f t="shared" ca="1" si="234"/>
        <v>CONTRATADO</v>
      </c>
      <c r="L517" s="47" t="s">
        <v>94</v>
      </c>
      <c r="M517" s="47" t="s">
        <v>1297</v>
      </c>
      <c r="N517" s="52" t="s">
        <v>240</v>
      </c>
      <c r="O517" s="51" t="e">
        <f>VLOOKUP(N517,[2]!RUBROS[#All],3,0)</f>
        <v>#REF!</v>
      </c>
      <c r="P517" s="53" t="e">
        <f>VLOOKUP(N517,[2]!RUBROS[#All],2,0)</f>
        <v>#REF!</v>
      </c>
      <c r="Q517" s="47" t="str">
        <f t="shared" si="235"/>
        <v>22</v>
      </c>
      <c r="R517" s="47" t="str">
        <f t="shared" si="236"/>
        <v>0-205400</v>
      </c>
      <c r="S517" s="54">
        <v>6</v>
      </c>
      <c r="T517" s="59" t="s">
        <v>46</v>
      </c>
      <c r="U517" s="326" t="e">
        <f ca="1">_xlfn.XLOOKUP(PAA_4[[#This Row],[ITEM]],[2]Contrato!A:A,[2]Contrato!Q:Q,"",0)</f>
        <v>#NAME?</v>
      </c>
      <c r="V517" s="47" t="s">
        <v>47</v>
      </c>
      <c r="W517" s="47" t="s">
        <v>137</v>
      </c>
      <c r="X517" s="47" t="s">
        <v>137</v>
      </c>
      <c r="Y517" s="55" t="e">
        <f ca="1">_xlfn.XLOOKUP(PAA_4[[#This Row],[ITEM]],[2]Contrato!A:A,[2]Contrato!B:B,"",0)</f>
        <v>#NAME?</v>
      </c>
      <c r="Z517" s="47" t="e">
        <f ca="1">_xlfn.XLOOKUP(PAA_4[[#This Row],[ITEM]],[2]Contrato!A:A,[2]Contrato!G:G,"",0)</f>
        <v>#NAME?</v>
      </c>
      <c r="AA517" s="47" t="e">
        <f ca="1">_xlfn.XLOOKUP(PAA_4[[#This Row],[ITEM]],[2]Contrato!A:A,[2]Contrato!T:T,"",0)</f>
        <v>#NAME?</v>
      </c>
      <c r="AB517" s="55" t="e">
        <f ca="1">+MAX(PAA_4[[#This Row],[Comprometido Contrato]],PAA_4[[#This Row],[Comprometido Bolsa]])</f>
        <v>#NAME?</v>
      </c>
      <c r="AC517" s="55" t="str">
        <f t="shared" ca="1" si="237"/>
        <v/>
      </c>
      <c r="AD517" s="55" t="e">
        <f ca="1">IF(PAA_4[[#This Row],[ESTADO (formulado)]]="NO CONTRATADO",0,MAX(PAA_4[[#This Row],[Pago por Contrato]],PAA_4[[#This Row],[Pago por bolsa]]))</f>
        <v>#NAME?</v>
      </c>
      <c r="AE517" s="55" t="str">
        <f t="shared" ca="1" si="238"/>
        <v/>
      </c>
      <c r="AF517" s="47" t="e">
        <f t="shared" ca="1" si="239"/>
        <v>#NAME?</v>
      </c>
      <c r="AG517" s="47">
        <f t="shared" si="240"/>
        <v>41080101</v>
      </c>
      <c r="AH517" s="54" t="str">
        <f>IF(Q517="22",IF(ISNUMBER(SEARCH("econ",PAA_4[[#This Row],[Actividad3]])),"Económico",IF(ISNUMBER(SEARCH("alim",PAA_4[[#This Row],[Actividad3]])),"Alimentación",IF(ISNUMBER(SEARCH("educ",PAA_4[[#This Row],[Actividad3]])),"Educativo","Técnico"))),0)</f>
        <v>Técnico</v>
      </c>
      <c r="AI517" s="47" t="e" cm="1">
        <f t="array" aca="1" ref="AI517" ca="1">_xlfn.XLOOKUP(PAA_4[[#This Row],[RCP-RUBRO]],[2]!COMPROMISOS_2024[[#All],[concatenado]],[2]!COMPROMISOS_2024[[#All],[Total pagado]],"",0)</f>
        <v>#NAME?</v>
      </c>
      <c r="AJ517" s="56" t="e">
        <f ca="1">IF(PAA_4[[#This Row],[BOLSA]]=0,0,SUMIFS([2]!COMPROMISOS_2024[[#All],[Total pagado]],[2]!COMPROMISOS_2024[[#All],[Bolsa]],PAA_4[[#This Row],[BOLSA]],[2]!COMPROMISOS_2024[[#All],[rubro]],PAA_4[[#This Row],[RCP-RUBRO]]))</f>
        <v>#REF!</v>
      </c>
      <c r="AK517" s="47" t="e" cm="1">
        <f t="array" aca="1" ref="AK517" ca="1">_xlfn.XLOOKUP(PAA_4[[#This Row],[RCP-RUBRO]],[2]!COMPROMISOS_2024[[#All],[concatenado]],[2]!COMPROMISOS_2024[[#All],[Total Comprometido]],"",0)</f>
        <v>#NAME?</v>
      </c>
      <c r="AL517" s="47" t="e">
        <f ca="1">IF(PAA_4[[#This Row],[BOLSA]]=0,0,SUMIFS([2]!COMPROMISOS_2024[[#All],[Total Comprometido]],[2]!COMPROMISOS_2024[[#All],[Bolsa]],PAA_4[[#This Row],[BOLSA]],[2]!COMPROMISOS_2024[[#All],[concatenado]],PAA_4[[#This Row],[RCP-RUBRO]]))</f>
        <v>#REF!</v>
      </c>
    </row>
    <row r="518" spans="1:38" s="19" customFormat="1" ht="31.5" customHeight="1">
      <c r="A518" s="47">
        <v>141</v>
      </c>
      <c r="B518" s="47">
        <v>80111600</v>
      </c>
      <c r="C518" s="47" t="str">
        <f>VLOOKUP(PAA_4[[#This Row],[PROYECTO (formulado)2]],[2]PROYECTOS!$G$1:$L$32,6,0)</f>
        <v>SUBGERENCIA DE ALTOS LOGROS Y DEPORTE ASOCIADO</v>
      </c>
      <c r="D518" s="47" t="str">
        <f>+IF(PAA_4[[#This Row],[UNIDAD DE CONTRATACION (formulado)]]="Subgerencia Administrativa y Financiera","FUNCIONAMIENTO","INVERSIÓN")</f>
        <v>INVERSIÓN</v>
      </c>
      <c r="E518" s="48" t="str">
        <f>VLOOKUP(Q518,[2]PROYECTOS!$G$1:$K$32,5,0)</f>
        <v>APOYO_TÉCNICO_Y_PSICOSOCIAL_A_LOS_DEPORTISTAS_DE_ANTIOQUIA</v>
      </c>
      <c r="F518" s="48">
        <f>VLOOKUP(E518,[2]PROYECTOS!$K$1:$M$32,3,0)</f>
        <v>2021003050069</v>
      </c>
      <c r="G518" s="49" t="s">
        <v>239</v>
      </c>
      <c r="H518" s="49" t="str">
        <f>VLOOKUP(Q518,[2]PROYECTOS!$V$1:$W$32,2,0)</f>
        <v>050069</v>
      </c>
      <c r="I518" s="50">
        <v>29453616</v>
      </c>
      <c r="J518" s="51" t="s">
        <v>1561</v>
      </c>
      <c r="K518" s="47" t="str">
        <f t="shared" ca="1" si="234"/>
        <v>CONTRATADO</v>
      </c>
      <c r="L518" s="47" t="s">
        <v>94</v>
      </c>
      <c r="M518" s="47" t="s">
        <v>1297</v>
      </c>
      <c r="N518" s="52" t="s">
        <v>240</v>
      </c>
      <c r="O518" s="51" t="e">
        <f>VLOOKUP(N518,[2]!RUBROS[#All],3,0)</f>
        <v>#REF!</v>
      </c>
      <c r="P518" s="53" t="e">
        <f>VLOOKUP(N518,[2]!RUBROS[#All],2,0)</f>
        <v>#REF!</v>
      </c>
      <c r="Q518" s="47" t="str">
        <f t="shared" si="235"/>
        <v>22</v>
      </c>
      <c r="R518" s="47" t="str">
        <f t="shared" si="236"/>
        <v>0-205400</v>
      </c>
      <c r="S518" s="54">
        <v>6</v>
      </c>
      <c r="T518" s="59" t="s">
        <v>46</v>
      </c>
      <c r="U518" s="326" t="e">
        <f ca="1">_xlfn.XLOOKUP(PAA_4[[#This Row],[ITEM]],[2]Contrato!A:A,[2]Contrato!Q:Q,"",0)</f>
        <v>#NAME?</v>
      </c>
      <c r="V518" s="47" t="s">
        <v>47</v>
      </c>
      <c r="W518" s="47" t="s">
        <v>137</v>
      </c>
      <c r="X518" s="47" t="s">
        <v>137</v>
      </c>
      <c r="Y518" s="55" t="e">
        <f ca="1">_xlfn.XLOOKUP(PAA_4[[#This Row],[ITEM]],[2]Contrato!A:A,[2]Contrato!B:B,"",0)</f>
        <v>#NAME?</v>
      </c>
      <c r="Z518" s="47" t="e">
        <f ca="1">_xlfn.XLOOKUP(PAA_4[[#This Row],[ITEM]],[2]Contrato!A:A,[2]Contrato!G:G,"",0)</f>
        <v>#NAME?</v>
      </c>
      <c r="AA518" s="47" t="e">
        <f ca="1">_xlfn.XLOOKUP(PAA_4[[#This Row],[ITEM]],[2]Contrato!A:A,[2]Contrato!T:T,"",0)</f>
        <v>#NAME?</v>
      </c>
      <c r="AB518" s="55" t="e">
        <f ca="1">+MAX(PAA_4[[#This Row],[Comprometido Contrato]],PAA_4[[#This Row],[Comprometido Bolsa]])</f>
        <v>#NAME?</v>
      </c>
      <c r="AC518" s="55" t="str">
        <f t="shared" ca="1" si="237"/>
        <v/>
      </c>
      <c r="AD518" s="55" t="e">
        <f ca="1">IF(PAA_4[[#This Row],[ESTADO (formulado)]]="NO CONTRATADO",0,MAX(PAA_4[[#This Row],[Pago por Contrato]],PAA_4[[#This Row],[Pago por bolsa]]))</f>
        <v>#NAME?</v>
      </c>
      <c r="AE518" s="55" t="str">
        <f t="shared" ca="1" si="238"/>
        <v/>
      </c>
      <c r="AF518" s="47" t="e">
        <f t="shared" ca="1" si="239"/>
        <v>#NAME?</v>
      </c>
      <c r="AG518" s="47">
        <f t="shared" si="240"/>
        <v>41080101</v>
      </c>
      <c r="AH518" s="54" t="str">
        <f>IF(Q518="22",IF(ISNUMBER(SEARCH("econ",PAA_4[[#This Row],[Actividad3]])),"Económico",IF(ISNUMBER(SEARCH("alim",PAA_4[[#This Row],[Actividad3]])),"Alimentación",IF(ISNUMBER(SEARCH("educ",PAA_4[[#This Row],[Actividad3]])),"Educativo","Técnico"))),0)</f>
        <v>Técnico</v>
      </c>
      <c r="AI518" s="47" t="e" cm="1">
        <f t="array" aca="1" ref="AI518" ca="1">_xlfn.XLOOKUP(PAA_4[[#This Row],[RCP-RUBRO]],[2]!COMPROMISOS_2024[[#All],[concatenado]],[2]!COMPROMISOS_2024[[#All],[Total pagado]],"",0)</f>
        <v>#NAME?</v>
      </c>
      <c r="AJ518" s="56" t="e">
        <f ca="1">IF(PAA_4[[#This Row],[BOLSA]]=0,0,SUMIFS([2]!COMPROMISOS_2024[[#All],[Total pagado]],[2]!COMPROMISOS_2024[[#All],[Bolsa]],PAA_4[[#This Row],[BOLSA]],[2]!COMPROMISOS_2024[[#All],[rubro]],PAA_4[[#This Row],[RCP-RUBRO]]))</f>
        <v>#REF!</v>
      </c>
      <c r="AK518" s="47" t="e" cm="1">
        <f t="array" aca="1" ref="AK518" ca="1">_xlfn.XLOOKUP(PAA_4[[#This Row],[RCP-RUBRO]],[2]!COMPROMISOS_2024[[#All],[concatenado]],[2]!COMPROMISOS_2024[[#All],[Total Comprometido]],"",0)</f>
        <v>#NAME?</v>
      </c>
      <c r="AL518" s="47" t="e">
        <f ca="1">IF(PAA_4[[#This Row],[BOLSA]]=0,0,SUMIFS([2]!COMPROMISOS_2024[[#All],[Total Comprometido]],[2]!COMPROMISOS_2024[[#All],[Bolsa]],PAA_4[[#This Row],[BOLSA]],[2]!COMPROMISOS_2024[[#All],[concatenado]],PAA_4[[#This Row],[RCP-RUBRO]]))</f>
        <v>#REF!</v>
      </c>
    </row>
    <row r="519" spans="1:38" s="19" customFormat="1" ht="31.5" customHeight="1">
      <c r="A519" s="47">
        <v>142</v>
      </c>
      <c r="B519" s="47">
        <v>80111600</v>
      </c>
      <c r="C519" s="47" t="str">
        <f>VLOOKUP(PAA_4[[#This Row],[PROYECTO (formulado)2]],[2]PROYECTOS!$G$1:$L$32,6,0)</f>
        <v>SUBGERENCIA DE ALTOS LOGROS Y DEPORTE ASOCIADO</v>
      </c>
      <c r="D519" s="47" t="str">
        <f>+IF(PAA_4[[#This Row],[UNIDAD DE CONTRATACION (formulado)]]="Subgerencia Administrativa y Financiera","FUNCIONAMIENTO","INVERSIÓN")</f>
        <v>INVERSIÓN</v>
      </c>
      <c r="E519" s="48" t="str">
        <f>VLOOKUP(Q519,[2]PROYECTOS!$G$1:$K$32,5,0)</f>
        <v>APOYO_TÉCNICO_Y_PSICOSOCIAL_A_LOS_DEPORTISTAS_DE_ANTIOQUIA</v>
      </c>
      <c r="F519" s="48">
        <f>VLOOKUP(E519,[2]PROYECTOS!$K$1:$M$32,3,0)</f>
        <v>2021003050069</v>
      </c>
      <c r="G519" s="49" t="s">
        <v>239</v>
      </c>
      <c r="H519" s="49" t="str">
        <f>VLOOKUP(Q519,[2]PROYECTOS!$V$1:$W$32,2,0)</f>
        <v>050069</v>
      </c>
      <c r="I519" s="50">
        <v>29453616</v>
      </c>
      <c r="J519" s="51" t="s">
        <v>1562</v>
      </c>
      <c r="K519" s="47" t="str">
        <f t="shared" ca="1" si="234"/>
        <v>CONTRATADO</v>
      </c>
      <c r="L519" s="47" t="s">
        <v>94</v>
      </c>
      <c r="M519" s="47" t="s">
        <v>1297</v>
      </c>
      <c r="N519" s="52" t="s">
        <v>240</v>
      </c>
      <c r="O519" s="51" t="e">
        <f>VLOOKUP(N519,[2]!RUBROS[#All],3,0)</f>
        <v>#REF!</v>
      </c>
      <c r="P519" s="53" t="e">
        <f>VLOOKUP(N519,[2]!RUBROS[#All],2,0)</f>
        <v>#REF!</v>
      </c>
      <c r="Q519" s="47" t="str">
        <f t="shared" si="235"/>
        <v>22</v>
      </c>
      <c r="R519" s="47" t="str">
        <f t="shared" si="236"/>
        <v>0-205400</v>
      </c>
      <c r="S519" s="54">
        <v>6</v>
      </c>
      <c r="T519" s="59" t="s">
        <v>46</v>
      </c>
      <c r="U519" s="326" t="e">
        <f ca="1">_xlfn.XLOOKUP(PAA_4[[#This Row],[ITEM]],[2]Contrato!A:A,[2]Contrato!Q:Q,"",0)</f>
        <v>#NAME?</v>
      </c>
      <c r="V519" s="47" t="s">
        <v>47</v>
      </c>
      <c r="W519" s="47" t="s">
        <v>137</v>
      </c>
      <c r="X519" s="47" t="s">
        <v>137</v>
      </c>
      <c r="Y519" s="55" t="e">
        <f ca="1">_xlfn.XLOOKUP(PAA_4[[#This Row],[ITEM]],[2]Contrato!A:A,[2]Contrato!B:B,"",0)</f>
        <v>#NAME?</v>
      </c>
      <c r="Z519" s="47" t="e">
        <f ca="1">_xlfn.XLOOKUP(PAA_4[[#This Row],[ITEM]],[2]Contrato!A:A,[2]Contrato!G:G,"",0)</f>
        <v>#NAME?</v>
      </c>
      <c r="AA519" s="47" t="e">
        <f ca="1">_xlfn.XLOOKUP(PAA_4[[#This Row],[ITEM]],[2]Contrato!A:A,[2]Contrato!T:T,"",0)</f>
        <v>#NAME?</v>
      </c>
      <c r="AB519" s="55" t="e">
        <f ca="1">+MAX(PAA_4[[#This Row],[Comprometido Contrato]],PAA_4[[#This Row],[Comprometido Bolsa]])</f>
        <v>#NAME?</v>
      </c>
      <c r="AC519" s="55" t="str">
        <f t="shared" ca="1" si="237"/>
        <v/>
      </c>
      <c r="AD519" s="55" t="e">
        <f ca="1">IF(PAA_4[[#This Row],[ESTADO (formulado)]]="NO CONTRATADO",0,MAX(PAA_4[[#This Row],[Pago por Contrato]],PAA_4[[#This Row],[Pago por bolsa]]))</f>
        <v>#NAME?</v>
      </c>
      <c r="AE519" s="55" t="str">
        <f t="shared" ca="1" si="238"/>
        <v/>
      </c>
      <c r="AF519" s="47" t="e">
        <f t="shared" ca="1" si="239"/>
        <v>#NAME?</v>
      </c>
      <c r="AG519" s="47">
        <f t="shared" si="240"/>
        <v>41080101</v>
      </c>
      <c r="AH519" s="54" t="str">
        <f>IF(Q519="22",IF(ISNUMBER(SEARCH("econ",PAA_4[[#This Row],[Actividad3]])),"Económico",IF(ISNUMBER(SEARCH("alim",PAA_4[[#This Row],[Actividad3]])),"Alimentación",IF(ISNUMBER(SEARCH("educ",PAA_4[[#This Row],[Actividad3]])),"Educativo","Técnico"))),0)</f>
        <v>Técnico</v>
      </c>
      <c r="AI519" s="47" t="e" cm="1">
        <f t="array" aca="1" ref="AI519" ca="1">_xlfn.XLOOKUP(PAA_4[[#This Row],[RCP-RUBRO]],[2]!COMPROMISOS_2024[[#All],[concatenado]],[2]!COMPROMISOS_2024[[#All],[Total pagado]],"",0)</f>
        <v>#NAME?</v>
      </c>
      <c r="AJ519" s="56" t="e">
        <f ca="1">IF(PAA_4[[#This Row],[BOLSA]]=0,0,SUMIFS([2]!COMPROMISOS_2024[[#All],[Total pagado]],[2]!COMPROMISOS_2024[[#All],[Bolsa]],PAA_4[[#This Row],[BOLSA]],[2]!COMPROMISOS_2024[[#All],[rubro]],PAA_4[[#This Row],[RCP-RUBRO]]))</f>
        <v>#REF!</v>
      </c>
      <c r="AK519" s="47" t="e" cm="1">
        <f t="array" aca="1" ref="AK519" ca="1">_xlfn.XLOOKUP(PAA_4[[#This Row],[RCP-RUBRO]],[2]!COMPROMISOS_2024[[#All],[concatenado]],[2]!COMPROMISOS_2024[[#All],[Total Comprometido]],"",0)</f>
        <v>#NAME?</v>
      </c>
      <c r="AL519" s="47" t="e">
        <f ca="1">IF(PAA_4[[#This Row],[BOLSA]]=0,0,SUMIFS([2]!COMPROMISOS_2024[[#All],[Total Comprometido]],[2]!COMPROMISOS_2024[[#All],[Bolsa]],PAA_4[[#This Row],[BOLSA]],[2]!COMPROMISOS_2024[[#All],[concatenado]],PAA_4[[#This Row],[RCP-RUBRO]]))</f>
        <v>#REF!</v>
      </c>
    </row>
    <row r="520" spans="1:38" s="19" customFormat="1" ht="31.5" customHeight="1">
      <c r="A520" s="47">
        <v>143</v>
      </c>
      <c r="B520" s="47">
        <v>80111600</v>
      </c>
      <c r="C520" s="47" t="str">
        <f>VLOOKUP(PAA_4[[#This Row],[PROYECTO (formulado)2]],[2]PROYECTOS!$G$1:$L$32,6,0)</f>
        <v>SUBGERENCIA DE ALTOS LOGROS Y DEPORTE ASOCIADO</v>
      </c>
      <c r="D520" s="47" t="str">
        <f>+IF(PAA_4[[#This Row],[UNIDAD DE CONTRATACION (formulado)]]="Subgerencia Administrativa y Financiera","FUNCIONAMIENTO","INVERSIÓN")</f>
        <v>INVERSIÓN</v>
      </c>
      <c r="E520" s="48" t="str">
        <f>VLOOKUP(Q520,[2]PROYECTOS!$G$1:$K$32,5,0)</f>
        <v>APOYO_TÉCNICO_Y_PSICOSOCIAL_A_LOS_DEPORTISTAS_DE_ANTIOQUIA</v>
      </c>
      <c r="F520" s="48">
        <f>VLOOKUP(E520,[2]PROYECTOS!$K$1:$M$32,3,0)</f>
        <v>2021003050069</v>
      </c>
      <c r="G520" s="49" t="s">
        <v>239</v>
      </c>
      <c r="H520" s="49" t="str">
        <f>VLOOKUP(Q520,[2]PROYECTOS!$V$1:$W$32,2,0)</f>
        <v>050069</v>
      </c>
      <c r="I520" s="50">
        <v>29453616</v>
      </c>
      <c r="J520" s="51" t="s">
        <v>1563</v>
      </c>
      <c r="K520" s="47" t="str">
        <f t="shared" ca="1" si="234"/>
        <v>CONTRATADO</v>
      </c>
      <c r="L520" s="47" t="s">
        <v>94</v>
      </c>
      <c r="M520" s="47" t="s">
        <v>1297</v>
      </c>
      <c r="N520" s="52" t="s">
        <v>240</v>
      </c>
      <c r="O520" s="51" t="e">
        <f>VLOOKUP(N520,[2]!RUBROS[#All],3,0)</f>
        <v>#REF!</v>
      </c>
      <c r="P520" s="53" t="e">
        <f>VLOOKUP(N520,[2]!RUBROS[#All],2,0)</f>
        <v>#REF!</v>
      </c>
      <c r="Q520" s="47" t="str">
        <f t="shared" si="235"/>
        <v>22</v>
      </c>
      <c r="R520" s="47" t="str">
        <f t="shared" si="236"/>
        <v>0-205400</v>
      </c>
      <c r="S520" s="54">
        <v>6</v>
      </c>
      <c r="T520" s="59" t="s">
        <v>46</v>
      </c>
      <c r="U520" s="326" t="e">
        <f ca="1">_xlfn.XLOOKUP(PAA_4[[#This Row],[ITEM]],[2]Contrato!A:A,[2]Contrato!Q:Q,"",0)</f>
        <v>#NAME?</v>
      </c>
      <c r="V520" s="47" t="s">
        <v>47</v>
      </c>
      <c r="W520" s="47" t="s">
        <v>137</v>
      </c>
      <c r="X520" s="47" t="s">
        <v>137</v>
      </c>
      <c r="Y520" s="55" t="e">
        <f ca="1">_xlfn.XLOOKUP(PAA_4[[#This Row],[ITEM]],[2]Contrato!A:A,[2]Contrato!B:B,"",0)</f>
        <v>#NAME?</v>
      </c>
      <c r="Z520" s="47" t="e">
        <f ca="1">_xlfn.XLOOKUP(PAA_4[[#This Row],[ITEM]],[2]Contrato!A:A,[2]Contrato!G:G,"",0)</f>
        <v>#NAME?</v>
      </c>
      <c r="AA520" s="47" t="e">
        <f ca="1">_xlfn.XLOOKUP(PAA_4[[#This Row],[ITEM]],[2]Contrato!A:A,[2]Contrato!T:T,"",0)</f>
        <v>#NAME?</v>
      </c>
      <c r="AB520" s="55" t="e">
        <f ca="1">+MAX(PAA_4[[#This Row],[Comprometido Contrato]],PAA_4[[#This Row],[Comprometido Bolsa]])</f>
        <v>#NAME?</v>
      </c>
      <c r="AC520" s="55" t="str">
        <f t="shared" ca="1" si="237"/>
        <v/>
      </c>
      <c r="AD520" s="55" t="e">
        <f ca="1">IF(PAA_4[[#This Row],[ESTADO (formulado)]]="NO CONTRATADO",0,MAX(PAA_4[[#This Row],[Pago por Contrato]],PAA_4[[#This Row],[Pago por bolsa]]))</f>
        <v>#NAME?</v>
      </c>
      <c r="AE520" s="55" t="str">
        <f t="shared" ca="1" si="238"/>
        <v/>
      </c>
      <c r="AF520" s="47" t="e">
        <f t="shared" ca="1" si="239"/>
        <v>#NAME?</v>
      </c>
      <c r="AG520" s="47">
        <f t="shared" si="240"/>
        <v>41080101</v>
      </c>
      <c r="AH520" s="54" t="str">
        <f>IF(Q520="22",IF(ISNUMBER(SEARCH("econ",PAA_4[[#This Row],[Actividad3]])),"Económico",IF(ISNUMBER(SEARCH("alim",PAA_4[[#This Row],[Actividad3]])),"Alimentación",IF(ISNUMBER(SEARCH("educ",PAA_4[[#This Row],[Actividad3]])),"Educativo","Técnico"))),0)</f>
        <v>Técnico</v>
      </c>
      <c r="AI520" s="47" t="e" cm="1">
        <f t="array" aca="1" ref="AI520" ca="1">_xlfn.XLOOKUP(PAA_4[[#This Row],[RCP-RUBRO]],[2]!COMPROMISOS_2024[[#All],[concatenado]],[2]!COMPROMISOS_2024[[#All],[Total pagado]],"",0)</f>
        <v>#NAME?</v>
      </c>
      <c r="AJ520" s="56" t="e">
        <f ca="1">IF(PAA_4[[#This Row],[BOLSA]]=0,0,SUMIFS([2]!COMPROMISOS_2024[[#All],[Total pagado]],[2]!COMPROMISOS_2024[[#All],[Bolsa]],PAA_4[[#This Row],[BOLSA]],[2]!COMPROMISOS_2024[[#All],[rubro]],PAA_4[[#This Row],[RCP-RUBRO]]))</f>
        <v>#REF!</v>
      </c>
      <c r="AK520" s="47" t="e" cm="1">
        <f t="array" aca="1" ref="AK520" ca="1">_xlfn.XLOOKUP(PAA_4[[#This Row],[RCP-RUBRO]],[2]!COMPROMISOS_2024[[#All],[concatenado]],[2]!COMPROMISOS_2024[[#All],[Total Comprometido]],"",0)</f>
        <v>#NAME?</v>
      </c>
      <c r="AL520" s="47" t="e">
        <f ca="1">IF(PAA_4[[#This Row],[BOLSA]]=0,0,SUMIFS([2]!COMPROMISOS_2024[[#All],[Total Comprometido]],[2]!COMPROMISOS_2024[[#All],[Bolsa]],PAA_4[[#This Row],[BOLSA]],[2]!COMPROMISOS_2024[[#All],[concatenado]],PAA_4[[#This Row],[RCP-RUBRO]]))</f>
        <v>#REF!</v>
      </c>
    </row>
    <row r="521" spans="1:38" s="19" customFormat="1" ht="31.5" customHeight="1">
      <c r="A521" s="47">
        <v>144</v>
      </c>
      <c r="B521" s="47">
        <v>80111600</v>
      </c>
      <c r="C521" s="47" t="str">
        <f>VLOOKUP(PAA_4[[#This Row],[PROYECTO (formulado)2]],[2]PROYECTOS!$G$1:$L$32,6,0)</f>
        <v>SUBGERENCIA DE ALTOS LOGROS Y DEPORTE ASOCIADO</v>
      </c>
      <c r="D521" s="47" t="str">
        <f>+IF(PAA_4[[#This Row],[UNIDAD DE CONTRATACION (formulado)]]="Subgerencia Administrativa y Financiera","FUNCIONAMIENTO","INVERSIÓN")</f>
        <v>INVERSIÓN</v>
      </c>
      <c r="E521" s="48" t="str">
        <f>VLOOKUP(Q521,[2]PROYECTOS!$G$1:$K$32,5,0)</f>
        <v>APOYO_TÉCNICO_Y_PSICOSOCIAL_A_LOS_DEPORTISTAS_DE_ANTIOQUIA</v>
      </c>
      <c r="F521" s="48">
        <f>VLOOKUP(E521,[2]PROYECTOS!$K$1:$M$32,3,0)</f>
        <v>2021003050069</v>
      </c>
      <c r="G521" s="49" t="s">
        <v>239</v>
      </c>
      <c r="H521" s="49" t="str">
        <f>VLOOKUP(Q521,[2]PROYECTOS!$V$1:$W$32,2,0)</f>
        <v>050069</v>
      </c>
      <c r="I521" s="50">
        <v>29453616</v>
      </c>
      <c r="J521" s="51" t="s">
        <v>1564</v>
      </c>
      <c r="K521" s="47" t="str">
        <f t="shared" ca="1" si="234"/>
        <v>CONTRATADO</v>
      </c>
      <c r="L521" s="47" t="s">
        <v>94</v>
      </c>
      <c r="M521" s="47" t="s">
        <v>1297</v>
      </c>
      <c r="N521" s="52" t="s">
        <v>240</v>
      </c>
      <c r="O521" s="51" t="e">
        <f>VLOOKUP(N521,[2]!RUBROS[#All],3,0)</f>
        <v>#REF!</v>
      </c>
      <c r="P521" s="53" t="e">
        <f>VLOOKUP(N521,[2]!RUBROS[#All],2,0)</f>
        <v>#REF!</v>
      </c>
      <c r="Q521" s="47" t="str">
        <f t="shared" si="235"/>
        <v>22</v>
      </c>
      <c r="R521" s="47" t="str">
        <f t="shared" si="236"/>
        <v>0-205400</v>
      </c>
      <c r="S521" s="54">
        <v>6</v>
      </c>
      <c r="T521" s="59" t="s">
        <v>46</v>
      </c>
      <c r="U521" s="326" t="e">
        <f ca="1">_xlfn.XLOOKUP(PAA_4[[#This Row],[ITEM]],[2]Contrato!A:A,[2]Contrato!Q:Q,"",0)</f>
        <v>#NAME?</v>
      </c>
      <c r="V521" s="47" t="s">
        <v>47</v>
      </c>
      <c r="W521" s="47" t="s">
        <v>137</v>
      </c>
      <c r="X521" s="47" t="s">
        <v>137</v>
      </c>
      <c r="Y521" s="55" t="e">
        <f ca="1">_xlfn.XLOOKUP(PAA_4[[#This Row],[ITEM]],[2]Contrato!A:A,[2]Contrato!B:B,"",0)</f>
        <v>#NAME?</v>
      </c>
      <c r="Z521" s="47" t="e">
        <f ca="1">_xlfn.XLOOKUP(PAA_4[[#This Row],[ITEM]],[2]Contrato!A:A,[2]Contrato!G:G,"",0)</f>
        <v>#NAME?</v>
      </c>
      <c r="AA521" s="47" t="e">
        <f ca="1">_xlfn.XLOOKUP(PAA_4[[#This Row],[ITEM]],[2]Contrato!A:A,[2]Contrato!T:T,"",0)</f>
        <v>#NAME?</v>
      </c>
      <c r="AB521" s="55" t="e">
        <f ca="1">+MAX(PAA_4[[#This Row],[Comprometido Contrato]],PAA_4[[#This Row],[Comprometido Bolsa]])</f>
        <v>#NAME?</v>
      </c>
      <c r="AC521" s="55" t="str">
        <f t="shared" ca="1" si="237"/>
        <v/>
      </c>
      <c r="AD521" s="55" t="e">
        <f ca="1">IF(PAA_4[[#This Row],[ESTADO (formulado)]]="NO CONTRATADO",0,MAX(PAA_4[[#This Row],[Pago por Contrato]],PAA_4[[#This Row],[Pago por bolsa]]))</f>
        <v>#NAME?</v>
      </c>
      <c r="AE521" s="55" t="str">
        <f t="shared" ca="1" si="238"/>
        <v/>
      </c>
      <c r="AF521" s="47" t="e">
        <f t="shared" ca="1" si="239"/>
        <v>#NAME?</v>
      </c>
      <c r="AG521" s="47">
        <f t="shared" si="240"/>
        <v>41080101</v>
      </c>
      <c r="AH521" s="54" t="str">
        <f>IF(Q521="22",IF(ISNUMBER(SEARCH("econ",PAA_4[[#This Row],[Actividad3]])),"Económico",IF(ISNUMBER(SEARCH("alim",PAA_4[[#This Row],[Actividad3]])),"Alimentación",IF(ISNUMBER(SEARCH("educ",PAA_4[[#This Row],[Actividad3]])),"Educativo","Técnico"))),0)</f>
        <v>Técnico</v>
      </c>
      <c r="AI521" s="47" t="e" cm="1">
        <f t="array" aca="1" ref="AI521" ca="1">_xlfn.XLOOKUP(PAA_4[[#This Row],[RCP-RUBRO]],[2]!COMPROMISOS_2024[[#All],[concatenado]],[2]!COMPROMISOS_2024[[#All],[Total pagado]],"",0)</f>
        <v>#NAME?</v>
      </c>
      <c r="AJ521" s="56" t="e">
        <f ca="1">IF(PAA_4[[#This Row],[BOLSA]]=0,0,SUMIFS([2]!COMPROMISOS_2024[[#All],[Total pagado]],[2]!COMPROMISOS_2024[[#All],[Bolsa]],PAA_4[[#This Row],[BOLSA]],[2]!COMPROMISOS_2024[[#All],[rubro]],PAA_4[[#This Row],[RCP-RUBRO]]))</f>
        <v>#REF!</v>
      </c>
      <c r="AK521" s="47" t="e" cm="1">
        <f t="array" aca="1" ref="AK521" ca="1">_xlfn.XLOOKUP(PAA_4[[#This Row],[RCP-RUBRO]],[2]!COMPROMISOS_2024[[#All],[concatenado]],[2]!COMPROMISOS_2024[[#All],[Total Comprometido]],"",0)</f>
        <v>#NAME?</v>
      </c>
      <c r="AL521" s="47" t="e">
        <f ca="1">IF(PAA_4[[#This Row],[BOLSA]]=0,0,SUMIFS([2]!COMPROMISOS_2024[[#All],[Total Comprometido]],[2]!COMPROMISOS_2024[[#All],[Bolsa]],PAA_4[[#This Row],[BOLSA]],[2]!COMPROMISOS_2024[[#All],[concatenado]],PAA_4[[#This Row],[RCP-RUBRO]]))</f>
        <v>#REF!</v>
      </c>
    </row>
    <row r="522" spans="1:38" s="19" customFormat="1" ht="31.5" customHeight="1">
      <c r="A522" s="47">
        <v>145</v>
      </c>
      <c r="B522" s="47">
        <v>80111600</v>
      </c>
      <c r="C522" s="47" t="str">
        <f>VLOOKUP(PAA_4[[#This Row],[PROYECTO (formulado)2]],[2]PROYECTOS!$G$1:$L$32,6,0)</f>
        <v>SUBGERENCIA DE ALTOS LOGROS Y DEPORTE ASOCIADO</v>
      </c>
      <c r="D522" s="47" t="str">
        <f>+IF(PAA_4[[#This Row],[UNIDAD DE CONTRATACION (formulado)]]="Subgerencia Administrativa y Financiera","FUNCIONAMIENTO","INVERSIÓN")</f>
        <v>INVERSIÓN</v>
      </c>
      <c r="E522" s="48" t="str">
        <f>VLOOKUP(Q522,[2]PROYECTOS!$G$1:$K$32,5,0)</f>
        <v>APOYO_TÉCNICO_Y_PSICOSOCIAL_A_LOS_DEPORTISTAS_DE_ANTIOQUIA</v>
      </c>
      <c r="F522" s="48">
        <f>VLOOKUP(E522,[2]PROYECTOS!$K$1:$M$32,3,0)</f>
        <v>2021003050069</v>
      </c>
      <c r="G522" s="49" t="s">
        <v>239</v>
      </c>
      <c r="H522" s="49" t="str">
        <f>VLOOKUP(Q522,[2]PROYECTOS!$V$1:$W$32,2,0)</f>
        <v>050069</v>
      </c>
      <c r="I522" s="50">
        <v>29453616</v>
      </c>
      <c r="J522" s="51" t="s">
        <v>1565</v>
      </c>
      <c r="K522" s="47" t="str">
        <f t="shared" ca="1" si="234"/>
        <v>CONTRATADO</v>
      </c>
      <c r="L522" s="47" t="s">
        <v>94</v>
      </c>
      <c r="M522" s="47" t="s">
        <v>1297</v>
      </c>
      <c r="N522" s="52" t="s">
        <v>240</v>
      </c>
      <c r="O522" s="51" t="e">
        <f>VLOOKUP(N522,[2]!RUBROS[#All],3,0)</f>
        <v>#REF!</v>
      </c>
      <c r="P522" s="53" t="e">
        <f>VLOOKUP(N522,[2]!RUBROS[#All],2,0)</f>
        <v>#REF!</v>
      </c>
      <c r="Q522" s="47" t="str">
        <f t="shared" si="235"/>
        <v>22</v>
      </c>
      <c r="R522" s="47" t="str">
        <f t="shared" si="236"/>
        <v>0-205400</v>
      </c>
      <c r="S522" s="54">
        <v>6</v>
      </c>
      <c r="T522" s="59" t="s">
        <v>46</v>
      </c>
      <c r="U522" s="326" t="e">
        <f ca="1">_xlfn.XLOOKUP(PAA_4[[#This Row],[ITEM]],[2]Contrato!A:A,[2]Contrato!Q:Q,"",0)</f>
        <v>#NAME?</v>
      </c>
      <c r="V522" s="47" t="s">
        <v>47</v>
      </c>
      <c r="W522" s="47" t="s">
        <v>137</v>
      </c>
      <c r="X522" s="47" t="s">
        <v>137</v>
      </c>
      <c r="Y522" s="55" t="e">
        <f ca="1">_xlfn.XLOOKUP(PAA_4[[#This Row],[ITEM]],[2]Contrato!A:A,[2]Contrato!B:B,"",0)</f>
        <v>#NAME?</v>
      </c>
      <c r="Z522" s="47" t="e">
        <f ca="1">_xlfn.XLOOKUP(PAA_4[[#This Row],[ITEM]],[2]Contrato!A:A,[2]Contrato!G:G,"",0)</f>
        <v>#NAME?</v>
      </c>
      <c r="AA522" s="47" t="e">
        <f ca="1">_xlfn.XLOOKUP(PAA_4[[#This Row],[ITEM]],[2]Contrato!A:A,[2]Contrato!T:T,"",0)</f>
        <v>#NAME?</v>
      </c>
      <c r="AB522" s="55" t="e">
        <f ca="1">+MAX(PAA_4[[#This Row],[Comprometido Contrato]],PAA_4[[#This Row],[Comprometido Bolsa]])</f>
        <v>#NAME?</v>
      </c>
      <c r="AC522" s="55" t="str">
        <f t="shared" ca="1" si="237"/>
        <v/>
      </c>
      <c r="AD522" s="55" t="e">
        <f ca="1">IF(PAA_4[[#This Row],[ESTADO (formulado)]]="NO CONTRATADO",0,MAX(PAA_4[[#This Row],[Pago por Contrato]],PAA_4[[#This Row],[Pago por bolsa]]))</f>
        <v>#NAME?</v>
      </c>
      <c r="AE522" s="55" t="str">
        <f t="shared" ca="1" si="238"/>
        <v/>
      </c>
      <c r="AF522" s="47" t="e">
        <f t="shared" ca="1" si="239"/>
        <v>#NAME?</v>
      </c>
      <c r="AG522" s="47">
        <f t="shared" si="240"/>
        <v>41080101</v>
      </c>
      <c r="AH522" s="54" t="str">
        <f>IF(Q522="22",IF(ISNUMBER(SEARCH("econ",PAA_4[[#This Row],[Actividad3]])),"Económico",IF(ISNUMBER(SEARCH("alim",PAA_4[[#This Row],[Actividad3]])),"Alimentación",IF(ISNUMBER(SEARCH("educ",PAA_4[[#This Row],[Actividad3]])),"Educativo","Técnico"))),0)</f>
        <v>Técnico</v>
      </c>
      <c r="AI522" s="47" t="e" cm="1">
        <f t="array" aca="1" ref="AI522" ca="1">_xlfn.XLOOKUP(PAA_4[[#This Row],[RCP-RUBRO]],[2]!COMPROMISOS_2024[[#All],[concatenado]],[2]!COMPROMISOS_2024[[#All],[Total pagado]],"",0)</f>
        <v>#NAME?</v>
      </c>
      <c r="AJ522" s="56" t="e">
        <f ca="1">IF(PAA_4[[#This Row],[BOLSA]]=0,0,SUMIFS([2]!COMPROMISOS_2024[[#All],[Total pagado]],[2]!COMPROMISOS_2024[[#All],[Bolsa]],PAA_4[[#This Row],[BOLSA]],[2]!COMPROMISOS_2024[[#All],[rubro]],PAA_4[[#This Row],[RCP-RUBRO]]))</f>
        <v>#REF!</v>
      </c>
      <c r="AK522" s="47" t="e" cm="1">
        <f t="array" aca="1" ref="AK522" ca="1">_xlfn.XLOOKUP(PAA_4[[#This Row],[RCP-RUBRO]],[2]!COMPROMISOS_2024[[#All],[concatenado]],[2]!COMPROMISOS_2024[[#All],[Total Comprometido]],"",0)</f>
        <v>#NAME?</v>
      </c>
      <c r="AL522" s="47" t="e">
        <f ca="1">IF(PAA_4[[#This Row],[BOLSA]]=0,0,SUMIFS([2]!COMPROMISOS_2024[[#All],[Total Comprometido]],[2]!COMPROMISOS_2024[[#All],[Bolsa]],PAA_4[[#This Row],[BOLSA]],[2]!COMPROMISOS_2024[[#All],[concatenado]],PAA_4[[#This Row],[RCP-RUBRO]]))</f>
        <v>#REF!</v>
      </c>
    </row>
    <row r="523" spans="1:38" s="19" customFormat="1" ht="31.5" customHeight="1">
      <c r="A523" s="47">
        <v>146</v>
      </c>
      <c r="B523" s="47">
        <v>80111600</v>
      </c>
      <c r="C523" s="47" t="str">
        <f>VLOOKUP(PAA_4[[#This Row],[PROYECTO (formulado)2]],[2]PROYECTOS!$G$1:$L$32,6,0)</f>
        <v>SUBGERENCIA DE ALTOS LOGROS Y DEPORTE ASOCIADO</v>
      </c>
      <c r="D523" s="47" t="str">
        <f>+IF(PAA_4[[#This Row],[UNIDAD DE CONTRATACION (formulado)]]="Subgerencia Administrativa y Financiera","FUNCIONAMIENTO","INVERSIÓN")</f>
        <v>INVERSIÓN</v>
      </c>
      <c r="E523" s="48" t="str">
        <f>VLOOKUP(Q523,[2]PROYECTOS!$G$1:$K$32,5,0)</f>
        <v>APOYO_TÉCNICO_Y_PSICOSOCIAL_A_LOS_DEPORTISTAS_DE_ANTIOQUIA</v>
      </c>
      <c r="F523" s="48">
        <f>VLOOKUP(E523,[2]PROYECTOS!$K$1:$M$32,3,0)</f>
        <v>2021003050069</v>
      </c>
      <c r="G523" s="49" t="s">
        <v>239</v>
      </c>
      <c r="H523" s="49" t="str">
        <f>VLOOKUP(Q523,[2]PROYECTOS!$V$1:$W$32,2,0)</f>
        <v>050069</v>
      </c>
      <c r="I523" s="50">
        <v>29453616</v>
      </c>
      <c r="J523" s="51" t="s">
        <v>1566</v>
      </c>
      <c r="K523" s="47" t="str">
        <f t="shared" ca="1" si="234"/>
        <v>CONTRATADO</v>
      </c>
      <c r="L523" s="47" t="s">
        <v>94</v>
      </c>
      <c r="M523" s="47" t="s">
        <v>1297</v>
      </c>
      <c r="N523" s="52" t="s">
        <v>240</v>
      </c>
      <c r="O523" s="51" t="e">
        <f>VLOOKUP(N523,[2]!RUBROS[#All],3,0)</f>
        <v>#REF!</v>
      </c>
      <c r="P523" s="53" t="e">
        <f>VLOOKUP(N523,[2]!RUBROS[#All],2,0)</f>
        <v>#REF!</v>
      </c>
      <c r="Q523" s="47" t="str">
        <f t="shared" si="235"/>
        <v>22</v>
      </c>
      <c r="R523" s="47" t="str">
        <f t="shared" si="236"/>
        <v>0-205400</v>
      </c>
      <c r="S523" s="54">
        <v>6</v>
      </c>
      <c r="T523" s="59" t="s">
        <v>46</v>
      </c>
      <c r="U523" s="326" t="e">
        <f ca="1">_xlfn.XLOOKUP(PAA_4[[#This Row],[ITEM]],[2]Contrato!A:A,[2]Contrato!Q:Q,"",0)</f>
        <v>#NAME?</v>
      </c>
      <c r="V523" s="47" t="s">
        <v>47</v>
      </c>
      <c r="W523" s="47" t="s">
        <v>137</v>
      </c>
      <c r="X523" s="47" t="s">
        <v>137</v>
      </c>
      <c r="Y523" s="55" t="e">
        <f ca="1">_xlfn.XLOOKUP(PAA_4[[#This Row],[ITEM]],[2]Contrato!A:A,[2]Contrato!B:B,"",0)</f>
        <v>#NAME?</v>
      </c>
      <c r="Z523" s="47" t="e">
        <f ca="1">_xlfn.XLOOKUP(PAA_4[[#This Row],[ITEM]],[2]Contrato!A:A,[2]Contrato!G:G,"",0)</f>
        <v>#NAME?</v>
      </c>
      <c r="AA523" s="47" t="e">
        <f ca="1">_xlfn.XLOOKUP(PAA_4[[#This Row],[ITEM]],[2]Contrato!A:A,[2]Contrato!T:T,"",0)</f>
        <v>#NAME?</v>
      </c>
      <c r="AB523" s="55" t="e">
        <f ca="1">+MAX(PAA_4[[#This Row],[Comprometido Contrato]],PAA_4[[#This Row],[Comprometido Bolsa]])</f>
        <v>#NAME?</v>
      </c>
      <c r="AC523" s="55" t="str">
        <f t="shared" ca="1" si="237"/>
        <v/>
      </c>
      <c r="AD523" s="55" t="e">
        <f ca="1">IF(PAA_4[[#This Row],[ESTADO (formulado)]]="NO CONTRATADO",0,MAX(PAA_4[[#This Row],[Pago por Contrato]],PAA_4[[#This Row],[Pago por bolsa]]))</f>
        <v>#NAME?</v>
      </c>
      <c r="AE523" s="55" t="str">
        <f t="shared" ca="1" si="238"/>
        <v/>
      </c>
      <c r="AF523" s="47" t="e">
        <f t="shared" ca="1" si="239"/>
        <v>#NAME?</v>
      </c>
      <c r="AG523" s="47">
        <f t="shared" si="240"/>
        <v>41080101</v>
      </c>
      <c r="AH523" s="54" t="str">
        <f>IF(Q523="22",IF(ISNUMBER(SEARCH("econ",PAA_4[[#This Row],[Actividad3]])),"Económico",IF(ISNUMBER(SEARCH("alim",PAA_4[[#This Row],[Actividad3]])),"Alimentación",IF(ISNUMBER(SEARCH("educ",PAA_4[[#This Row],[Actividad3]])),"Educativo","Técnico"))),0)</f>
        <v>Técnico</v>
      </c>
      <c r="AI523" s="47" t="e" cm="1">
        <f t="array" aca="1" ref="AI523" ca="1">_xlfn.XLOOKUP(PAA_4[[#This Row],[RCP-RUBRO]],[2]!COMPROMISOS_2024[[#All],[concatenado]],[2]!COMPROMISOS_2024[[#All],[Total pagado]],"",0)</f>
        <v>#NAME?</v>
      </c>
      <c r="AJ523" s="56" t="e">
        <f ca="1">IF(PAA_4[[#This Row],[BOLSA]]=0,0,SUMIFS([2]!COMPROMISOS_2024[[#All],[Total pagado]],[2]!COMPROMISOS_2024[[#All],[Bolsa]],PAA_4[[#This Row],[BOLSA]],[2]!COMPROMISOS_2024[[#All],[rubro]],PAA_4[[#This Row],[RCP-RUBRO]]))</f>
        <v>#REF!</v>
      </c>
      <c r="AK523" s="47" t="e" cm="1">
        <f t="array" aca="1" ref="AK523" ca="1">_xlfn.XLOOKUP(PAA_4[[#This Row],[RCP-RUBRO]],[2]!COMPROMISOS_2024[[#All],[concatenado]],[2]!COMPROMISOS_2024[[#All],[Total Comprometido]],"",0)</f>
        <v>#NAME?</v>
      </c>
      <c r="AL523" s="47" t="e">
        <f ca="1">IF(PAA_4[[#This Row],[BOLSA]]=0,0,SUMIFS([2]!COMPROMISOS_2024[[#All],[Total Comprometido]],[2]!COMPROMISOS_2024[[#All],[Bolsa]],PAA_4[[#This Row],[BOLSA]],[2]!COMPROMISOS_2024[[#All],[concatenado]],PAA_4[[#This Row],[RCP-RUBRO]]))</f>
        <v>#REF!</v>
      </c>
    </row>
    <row r="524" spans="1:38" s="19" customFormat="1" ht="31.5" customHeight="1">
      <c r="A524" s="47">
        <v>147</v>
      </c>
      <c r="B524" s="47">
        <v>80111600</v>
      </c>
      <c r="C524" s="47" t="str">
        <f>VLOOKUP(PAA_4[[#This Row],[PROYECTO (formulado)2]],[2]PROYECTOS!$G$1:$L$32,6,0)</f>
        <v>SUBGERENCIA DE ALTOS LOGROS Y DEPORTE ASOCIADO</v>
      </c>
      <c r="D524" s="47" t="str">
        <f>+IF(PAA_4[[#This Row],[UNIDAD DE CONTRATACION (formulado)]]="Subgerencia Administrativa y Financiera","FUNCIONAMIENTO","INVERSIÓN")</f>
        <v>INVERSIÓN</v>
      </c>
      <c r="E524" s="48" t="str">
        <f>VLOOKUP(Q524,[2]PROYECTOS!$G$1:$K$32,5,0)</f>
        <v>APOYO_TÉCNICO_Y_PSICOSOCIAL_A_LOS_DEPORTISTAS_DE_ANTIOQUIA</v>
      </c>
      <c r="F524" s="48">
        <f>VLOOKUP(E524,[2]PROYECTOS!$K$1:$M$32,3,0)</f>
        <v>2021003050069</v>
      </c>
      <c r="G524" s="49" t="s">
        <v>239</v>
      </c>
      <c r="H524" s="49" t="str">
        <f>VLOOKUP(Q524,[2]PROYECTOS!$V$1:$W$32,2,0)</f>
        <v>050069</v>
      </c>
      <c r="I524" s="50">
        <v>29453616</v>
      </c>
      <c r="J524" s="51" t="s">
        <v>1567</v>
      </c>
      <c r="K524" s="47" t="str">
        <f t="shared" ca="1" si="234"/>
        <v>CONTRATADO</v>
      </c>
      <c r="L524" s="47" t="s">
        <v>94</v>
      </c>
      <c r="M524" s="47" t="s">
        <v>1297</v>
      </c>
      <c r="N524" s="52" t="s">
        <v>240</v>
      </c>
      <c r="O524" s="51" t="e">
        <f>VLOOKUP(N524,[2]!RUBROS[#All],3,0)</f>
        <v>#REF!</v>
      </c>
      <c r="P524" s="53" t="e">
        <f>VLOOKUP(N524,[2]!RUBROS[#All],2,0)</f>
        <v>#REF!</v>
      </c>
      <c r="Q524" s="47" t="str">
        <f t="shared" si="235"/>
        <v>22</v>
      </c>
      <c r="R524" s="47" t="str">
        <f t="shared" si="236"/>
        <v>0-205400</v>
      </c>
      <c r="S524" s="54">
        <v>6</v>
      </c>
      <c r="T524" s="59" t="s">
        <v>46</v>
      </c>
      <c r="U524" s="326" t="e">
        <f ca="1">_xlfn.XLOOKUP(PAA_4[[#This Row],[ITEM]],[2]Contrato!A:A,[2]Contrato!Q:Q,"",0)</f>
        <v>#NAME?</v>
      </c>
      <c r="V524" s="47" t="s">
        <v>47</v>
      </c>
      <c r="W524" s="47" t="s">
        <v>137</v>
      </c>
      <c r="X524" s="47" t="s">
        <v>137</v>
      </c>
      <c r="Y524" s="55" t="e">
        <f ca="1">_xlfn.XLOOKUP(PAA_4[[#This Row],[ITEM]],[2]Contrato!A:A,[2]Contrato!B:B,"",0)</f>
        <v>#NAME?</v>
      </c>
      <c r="Z524" s="47" t="e">
        <f ca="1">_xlfn.XLOOKUP(PAA_4[[#This Row],[ITEM]],[2]Contrato!A:A,[2]Contrato!G:G,"",0)</f>
        <v>#NAME?</v>
      </c>
      <c r="AA524" s="47" t="e">
        <f ca="1">_xlfn.XLOOKUP(PAA_4[[#This Row],[ITEM]],[2]Contrato!A:A,[2]Contrato!T:T,"",0)</f>
        <v>#NAME?</v>
      </c>
      <c r="AB524" s="55" t="e">
        <f ca="1">+MAX(PAA_4[[#This Row],[Comprometido Contrato]],PAA_4[[#This Row],[Comprometido Bolsa]])</f>
        <v>#NAME?</v>
      </c>
      <c r="AC524" s="55" t="str">
        <f t="shared" ca="1" si="237"/>
        <v/>
      </c>
      <c r="AD524" s="55" t="e">
        <f ca="1">IF(PAA_4[[#This Row],[ESTADO (formulado)]]="NO CONTRATADO",0,MAX(PAA_4[[#This Row],[Pago por Contrato]],PAA_4[[#This Row],[Pago por bolsa]]))</f>
        <v>#NAME?</v>
      </c>
      <c r="AE524" s="55" t="str">
        <f t="shared" ca="1" si="238"/>
        <v/>
      </c>
      <c r="AF524" s="47" t="e">
        <f t="shared" ca="1" si="239"/>
        <v>#NAME?</v>
      </c>
      <c r="AG524" s="47">
        <f t="shared" si="240"/>
        <v>41080101</v>
      </c>
      <c r="AH524" s="54" t="str">
        <f>IF(Q524="22",IF(ISNUMBER(SEARCH("econ",PAA_4[[#This Row],[Actividad3]])),"Económico",IF(ISNUMBER(SEARCH("alim",PAA_4[[#This Row],[Actividad3]])),"Alimentación",IF(ISNUMBER(SEARCH("educ",PAA_4[[#This Row],[Actividad3]])),"Educativo","Técnico"))),0)</f>
        <v>Técnico</v>
      </c>
      <c r="AI524" s="47" t="e" cm="1">
        <f t="array" aca="1" ref="AI524" ca="1">_xlfn.XLOOKUP(PAA_4[[#This Row],[RCP-RUBRO]],[2]!COMPROMISOS_2024[[#All],[concatenado]],[2]!COMPROMISOS_2024[[#All],[Total pagado]],"",0)</f>
        <v>#NAME?</v>
      </c>
      <c r="AJ524" s="56" t="e">
        <f ca="1">IF(PAA_4[[#This Row],[BOLSA]]=0,0,SUMIFS([2]!COMPROMISOS_2024[[#All],[Total pagado]],[2]!COMPROMISOS_2024[[#All],[Bolsa]],PAA_4[[#This Row],[BOLSA]],[2]!COMPROMISOS_2024[[#All],[rubro]],PAA_4[[#This Row],[RCP-RUBRO]]))</f>
        <v>#REF!</v>
      </c>
      <c r="AK524" s="47" t="e" cm="1">
        <f t="array" aca="1" ref="AK524" ca="1">_xlfn.XLOOKUP(PAA_4[[#This Row],[RCP-RUBRO]],[2]!COMPROMISOS_2024[[#All],[concatenado]],[2]!COMPROMISOS_2024[[#All],[Total Comprometido]],"",0)</f>
        <v>#NAME?</v>
      </c>
      <c r="AL524" s="47" t="e">
        <f ca="1">IF(PAA_4[[#This Row],[BOLSA]]=0,0,SUMIFS([2]!COMPROMISOS_2024[[#All],[Total Comprometido]],[2]!COMPROMISOS_2024[[#All],[Bolsa]],PAA_4[[#This Row],[BOLSA]],[2]!COMPROMISOS_2024[[#All],[concatenado]],PAA_4[[#This Row],[RCP-RUBRO]]))</f>
        <v>#REF!</v>
      </c>
    </row>
    <row r="525" spans="1:38" s="19" customFormat="1" ht="31.5" customHeight="1">
      <c r="A525" s="47">
        <v>148</v>
      </c>
      <c r="B525" s="47">
        <v>80111600</v>
      </c>
      <c r="C525" s="47" t="str">
        <f>VLOOKUP(PAA_4[[#This Row],[PROYECTO (formulado)2]],[2]PROYECTOS!$G$1:$L$32,6,0)</f>
        <v>SUBGERENCIA DE ALTOS LOGROS Y DEPORTE ASOCIADO</v>
      </c>
      <c r="D525" s="47" t="str">
        <f>+IF(PAA_4[[#This Row],[UNIDAD DE CONTRATACION (formulado)]]="Subgerencia Administrativa y Financiera","FUNCIONAMIENTO","INVERSIÓN")</f>
        <v>INVERSIÓN</v>
      </c>
      <c r="E525" s="48" t="str">
        <f>VLOOKUP(Q525,[2]PROYECTOS!$G$1:$K$32,5,0)</f>
        <v>APOYO_TÉCNICO_Y_PSICOSOCIAL_A_LOS_DEPORTISTAS_DE_ANTIOQUIA</v>
      </c>
      <c r="F525" s="48">
        <f>VLOOKUP(E525,[2]PROYECTOS!$K$1:$M$32,3,0)</f>
        <v>2021003050069</v>
      </c>
      <c r="G525" s="49" t="s">
        <v>239</v>
      </c>
      <c r="H525" s="49" t="str">
        <f>VLOOKUP(Q525,[2]PROYECTOS!$V$1:$W$32,2,0)</f>
        <v>050069</v>
      </c>
      <c r="I525" s="50">
        <v>23714292</v>
      </c>
      <c r="J525" s="51" t="s">
        <v>1568</v>
      </c>
      <c r="K525" s="47" t="str">
        <f t="shared" ca="1" si="234"/>
        <v>CONTRATADO</v>
      </c>
      <c r="L525" s="47" t="s">
        <v>94</v>
      </c>
      <c r="M525" s="47" t="s">
        <v>1297</v>
      </c>
      <c r="N525" s="52" t="s">
        <v>240</v>
      </c>
      <c r="O525" s="51" t="e">
        <f>VLOOKUP(N525,[2]!RUBROS[#All],3,0)</f>
        <v>#REF!</v>
      </c>
      <c r="P525" s="53" t="e">
        <f>VLOOKUP(N525,[2]!RUBROS[#All],2,0)</f>
        <v>#REF!</v>
      </c>
      <c r="Q525" s="47" t="str">
        <f t="shared" si="235"/>
        <v>22</v>
      </c>
      <c r="R525" s="47" t="str">
        <f t="shared" si="236"/>
        <v>0-205400</v>
      </c>
      <c r="S525" s="54">
        <v>6</v>
      </c>
      <c r="T525" s="59" t="s">
        <v>46</v>
      </c>
      <c r="U525" s="326" t="e">
        <f ca="1">_xlfn.XLOOKUP(PAA_4[[#This Row],[ITEM]],[2]Contrato!A:A,[2]Contrato!Q:Q,"",0)</f>
        <v>#NAME?</v>
      </c>
      <c r="V525" s="47" t="s">
        <v>47</v>
      </c>
      <c r="W525" s="47" t="s">
        <v>137</v>
      </c>
      <c r="X525" s="47" t="s">
        <v>137</v>
      </c>
      <c r="Y525" s="55" t="e">
        <f ca="1">_xlfn.XLOOKUP(PAA_4[[#This Row],[ITEM]],[2]Contrato!A:A,[2]Contrato!B:B,"",0)</f>
        <v>#NAME?</v>
      </c>
      <c r="Z525" s="47" t="e">
        <f ca="1">_xlfn.XLOOKUP(PAA_4[[#This Row],[ITEM]],[2]Contrato!A:A,[2]Contrato!G:G,"",0)</f>
        <v>#NAME?</v>
      </c>
      <c r="AA525" s="47" t="e">
        <f ca="1">_xlfn.XLOOKUP(PAA_4[[#This Row],[ITEM]],[2]Contrato!A:A,[2]Contrato!T:T,"",0)</f>
        <v>#NAME?</v>
      </c>
      <c r="AB525" s="55" t="e">
        <f ca="1">+MAX(PAA_4[[#This Row],[Comprometido Contrato]],PAA_4[[#This Row],[Comprometido Bolsa]])</f>
        <v>#NAME?</v>
      </c>
      <c r="AC525" s="55" t="str">
        <f t="shared" ca="1" si="237"/>
        <v/>
      </c>
      <c r="AD525" s="55" t="e">
        <f ca="1">IF(PAA_4[[#This Row],[ESTADO (formulado)]]="NO CONTRATADO",0,MAX(PAA_4[[#This Row],[Pago por Contrato]],PAA_4[[#This Row],[Pago por bolsa]]))</f>
        <v>#NAME?</v>
      </c>
      <c r="AE525" s="55" t="str">
        <f t="shared" ca="1" si="238"/>
        <v/>
      </c>
      <c r="AF525" s="47" t="e">
        <f t="shared" ca="1" si="239"/>
        <v>#NAME?</v>
      </c>
      <c r="AG525" s="47">
        <f t="shared" si="240"/>
        <v>41080101</v>
      </c>
      <c r="AH525" s="54" t="str">
        <f>IF(Q525="22",IF(ISNUMBER(SEARCH("econ",PAA_4[[#This Row],[Actividad3]])),"Económico",IF(ISNUMBER(SEARCH("alim",PAA_4[[#This Row],[Actividad3]])),"Alimentación",IF(ISNUMBER(SEARCH("educ",PAA_4[[#This Row],[Actividad3]])),"Educativo","Técnico"))),0)</f>
        <v>Técnico</v>
      </c>
      <c r="AI525" s="47" t="e" cm="1">
        <f t="array" aca="1" ref="AI525" ca="1">_xlfn.XLOOKUP(PAA_4[[#This Row],[RCP-RUBRO]],[2]!COMPROMISOS_2024[[#All],[concatenado]],[2]!COMPROMISOS_2024[[#All],[Total pagado]],"",0)</f>
        <v>#NAME?</v>
      </c>
      <c r="AJ525" s="56" t="e">
        <f ca="1">IF(PAA_4[[#This Row],[BOLSA]]=0,0,SUMIFS([2]!COMPROMISOS_2024[[#All],[Total pagado]],[2]!COMPROMISOS_2024[[#All],[Bolsa]],PAA_4[[#This Row],[BOLSA]],[2]!COMPROMISOS_2024[[#All],[rubro]],PAA_4[[#This Row],[RCP-RUBRO]]))</f>
        <v>#REF!</v>
      </c>
      <c r="AK525" s="47" t="e" cm="1">
        <f t="array" aca="1" ref="AK525" ca="1">_xlfn.XLOOKUP(PAA_4[[#This Row],[RCP-RUBRO]],[2]!COMPROMISOS_2024[[#All],[concatenado]],[2]!COMPROMISOS_2024[[#All],[Total Comprometido]],"",0)</f>
        <v>#NAME?</v>
      </c>
      <c r="AL525" s="47" t="e">
        <f ca="1">IF(PAA_4[[#This Row],[BOLSA]]=0,0,SUMIFS([2]!COMPROMISOS_2024[[#All],[Total Comprometido]],[2]!COMPROMISOS_2024[[#All],[Bolsa]],PAA_4[[#This Row],[BOLSA]],[2]!COMPROMISOS_2024[[#All],[concatenado]],PAA_4[[#This Row],[RCP-RUBRO]]))</f>
        <v>#REF!</v>
      </c>
    </row>
    <row r="526" spans="1:38" s="19" customFormat="1" ht="31.5" customHeight="1">
      <c r="A526" s="47">
        <v>149</v>
      </c>
      <c r="B526" s="47">
        <v>80111600</v>
      </c>
      <c r="C526" s="47" t="str">
        <f>VLOOKUP(PAA_4[[#This Row],[PROYECTO (formulado)2]],[2]PROYECTOS!$G$1:$L$32,6,0)</f>
        <v>SUBGERENCIA DE ALTOS LOGROS Y DEPORTE ASOCIADO</v>
      </c>
      <c r="D526" s="47" t="str">
        <f>+IF(PAA_4[[#This Row],[UNIDAD DE CONTRATACION (formulado)]]="Subgerencia Administrativa y Financiera","FUNCIONAMIENTO","INVERSIÓN")</f>
        <v>INVERSIÓN</v>
      </c>
      <c r="E526" s="48" t="str">
        <f>VLOOKUP(Q526,[2]PROYECTOS!$G$1:$K$32,5,0)</f>
        <v>APOYO_TÉCNICO_Y_PSICOSOCIAL_A_LOS_DEPORTISTAS_DE_ANTIOQUIA</v>
      </c>
      <c r="F526" s="48">
        <f>VLOOKUP(E526,[2]PROYECTOS!$K$1:$M$32,3,0)</f>
        <v>2021003050069</v>
      </c>
      <c r="G526" s="49" t="s">
        <v>239</v>
      </c>
      <c r="H526" s="49" t="str">
        <f>VLOOKUP(Q526,[2]PROYECTOS!$V$1:$W$32,2,0)</f>
        <v>050069</v>
      </c>
      <c r="I526" s="50">
        <v>29453616</v>
      </c>
      <c r="J526" s="51" t="s">
        <v>1569</v>
      </c>
      <c r="K526" s="47" t="str">
        <f t="shared" ca="1" si="234"/>
        <v>CONTRATADO</v>
      </c>
      <c r="L526" s="47" t="s">
        <v>94</v>
      </c>
      <c r="M526" s="47" t="s">
        <v>1297</v>
      </c>
      <c r="N526" s="52" t="s">
        <v>240</v>
      </c>
      <c r="O526" s="51" t="e">
        <f>VLOOKUP(N526,[2]!RUBROS[#All],3,0)</f>
        <v>#REF!</v>
      </c>
      <c r="P526" s="53" t="e">
        <f>VLOOKUP(N526,[2]!RUBROS[#All],2,0)</f>
        <v>#REF!</v>
      </c>
      <c r="Q526" s="47" t="str">
        <f t="shared" si="235"/>
        <v>22</v>
      </c>
      <c r="R526" s="47" t="str">
        <f t="shared" si="236"/>
        <v>0-205400</v>
      </c>
      <c r="S526" s="54">
        <v>6</v>
      </c>
      <c r="T526" s="59" t="s">
        <v>46</v>
      </c>
      <c r="U526" s="326" t="e">
        <f ca="1">_xlfn.XLOOKUP(PAA_4[[#This Row],[ITEM]],[2]Contrato!A:A,[2]Contrato!Q:Q,"",0)</f>
        <v>#NAME?</v>
      </c>
      <c r="V526" s="47" t="s">
        <v>47</v>
      </c>
      <c r="W526" s="47" t="s">
        <v>137</v>
      </c>
      <c r="X526" s="47" t="s">
        <v>137</v>
      </c>
      <c r="Y526" s="55" t="e">
        <f ca="1">_xlfn.XLOOKUP(PAA_4[[#This Row],[ITEM]],[2]Contrato!A:A,[2]Contrato!B:B,"",0)</f>
        <v>#NAME?</v>
      </c>
      <c r="Z526" s="47" t="e">
        <f ca="1">_xlfn.XLOOKUP(PAA_4[[#This Row],[ITEM]],[2]Contrato!A:A,[2]Contrato!G:G,"",0)</f>
        <v>#NAME?</v>
      </c>
      <c r="AA526" s="47" t="e">
        <f ca="1">_xlfn.XLOOKUP(PAA_4[[#This Row],[ITEM]],[2]Contrato!A:A,[2]Contrato!T:T,"",0)</f>
        <v>#NAME?</v>
      </c>
      <c r="AB526" s="55" t="e">
        <f ca="1">+MAX(PAA_4[[#This Row],[Comprometido Contrato]],PAA_4[[#This Row],[Comprometido Bolsa]])</f>
        <v>#NAME?</v>
      </c>
      <c r="AC526" s="55" t="str">
        <f t="shared" ca="1" si="237"/>
        <v/>
      </c>
      <c r="AD526" s="55" t="e">
        <f ca="1">IF(PAA_4[[#This Row],[ESTADO (formulado)]]="NO CONTRATADO",0,MAX(PAA_4[[#This Row],[Pago por Contrato]],PAA_4[[#This Row],[Pago por bolsa]]))</f>
        <v>#NAME?</v>
      </c>
      <c r="AE526" s="55" t="str">
        <f t="shared" ca="1" si="238"/>
        <v/>
      </c>
      <c r="AF526" s="47" t="e">
        <f t="shared" ca="1" si="239"/>
        <v>#NAME?</v>
      </c>
      <c r="AG526" s="47">
        <f t="shared" si="240"/>
        <v>41080101</v>
      </c>
      <c r="AH526" s="54" t="str">
        <f>IF(Q526="22",IF(ISNUMBER(SEARCH("econ",PAA_4[[#This Row],[Actividad3]])),"Económico",IF(ISNUMBER(SEARCH("alim",PAA_4[[#This Row],[Actividad3]])),"Alimentación",IF(ISNUMBER(SEARCH("educ",PAA_4[[#This Row],[Actividad3]])),"Educativo","Técnico"))),0)</f>
        <v>Técnico</v>
      </c>
      <c r="AI526" s="47" t="e" cm="1">
        <f t="array" aca="1" ref="AI526" ca="1">_xlfn.XLOOKUP(PAA_4[[#This Row],[RCP-RUBRO]],[2]!COMPROMISOS_2024[[#All],[concatenado]],[2]!COMPROMISOS_2024[[#All],[Total pagado]],"",0)</f>
        <v>#NAME?</v>
      </c>
      <c r="AJ526" s="56" t="e">
        <f ca="1">IF(PAA_4[[#This Row],[BOLSA]]=0,0,SUMIFS([2]!COMPROMISOS_2024[[#All],[Total pagado]],[2]!COMPROMISOS_2024[[#All],[Bolsa]],PAA_4[[#This Row],[BOLSA]],[2]!COMPROMISOS_2024[[#All],[rubro]],PAA_4[[#This Row],[RCP-RUBRO]]))</f>
        <v>#REF!</v>
      </c>
      <c r="AK526" s="47" t="e" cm="1">
        <f t="array" aca="1" ref="AK526" ca="1">_xlfn.XLOOKUP(PAA_4[[#This Row],[RCP-RUBRO]],[2]!COMPROMISOS_2024[[#All],[concatenado]],[2]!COMPROMISOS_2024[[#All],[Total Comprometido]],"",0)</f>
        <v>#NAME?</v>
      </c>
      <c r="AL526" s="47" t="e">
        <f ca="1">IF(PAA_4[[#This Row],[BOLSA]]=0,0,SUMIFS([2]!COMPROMISOS_2024[[#All],[Total Comprometido]],[2]!COMPROMISOS_2024[[#All],[Bolsa]],PAA_4[[#This Row],[BOLSA]],[2]!COMPROMISOS_2024[[#All],[concatenado]],PAA_4[[#This Row],[RCP-RUBRO]]))</f>
        <v>#REF!</v>
      </c>
    </row>
    <row r="527" spans="1:38" s="19" customFormat="1" ht="31.5" customHeight="1">
      <c r="A527" s="47">
        <v>150</v>
      </c>
      <c r="B527" s="47">
        <v>80111600</v>
      </c>
      <c r="C527" s="47" t="str">
        <f>VLOOKUP(PAA_4[[#This Row],[PROYECTO (formulado)2]],[2]PROYECTOS!$G$1:$L$32,6,0)</f>
        <v>SUBGERENCIA DE ALTOS LOGROS Y DEPORTE ASOCIADO</v>
      </c>
      <c r="D527" s="47" t="str">
        <f>+IF(PAA_4[[#This Row],[UNIDAD DE CONTRATACION (formulado)]]="Subgerencia Administrativa y Financiera","FUNCIONAMIENTO","INVERSIÓN")</f>
        <v>INVERSIÓN</v>
      </c>
      <c r="E527" s="48" t="str">
        <f>VLOOKUP(Q527,[2]PROYECTOS!$G$1:$K$32,5,0)</f>
        <v>APOYO_TÉCNICO_Y_PSICOSOCIAL_A_LOS_DEPORTISTAS_DE_ANTIOQUIA</v>
      </c>
      <c r="F527" s="48">
        <f>VLOOKUP(E527,[2]PROYECTOS!$K$1:$M$32,3,0)</f>
        <v>2021003050069</v>
      </c>
      <c r="G527" s="49" t="s">
        <v>239</v>
      </c>
      <c r="H527" s="49" t="str">
        <f>VLOOKUP(Q527,[2]PROYECTOS!$V$1:$W$32,2,0)</f>
        <v>050069</v>
      </c>
      <c r="I527" s="50">
        <v>23714292</v>
      </c>
      <c r="J527" s="51" t="s">
        <v>1570</v>
      </c>
      <c r="K527" s="47" t="str">
        <f t="shared" ca="1" si="234"/>
        <v>CONTRATADO</v>
      </c>
      <c r="L527" s="47" t="s">
        <v>94</v>
      </c>
      <c r="M527" s="47" t="s">
        <v>1297</v>
      </c>
      <c r="N527" s="52" t="s">
        <v>240</v>
      </c>
      <c r="O527" s="51" t="e">
        <f>VLOOKUP(N527,[2]!RUBROS[#All],3,0)</f>
        <v>#REF!</v>
      </c>
      <c r="P527" s="53" t="e">
        <f>VLOOKUP(N527,[2]!RUBROS[#All],2,0)</f>
        <v>#REF!</v>
      </c>
      <c r="Q527" s="47" t="str">
        <f t="shared" si="235"/>
        <v>22</v>
      </c>
      <c r="R527" s="47" t="str">
        <f t="shared" si="236"/>
        <v>0-205400</v>
      </c>
      <c r="S527" s="54">
        <v>6</v>
      </c>
      <c r="T527" s="59" t="s">
        <v>46</v>
      </c>
      <c r="U527" s="326" t="e">
        <f ca="1">_xlfn.XLOOKUP(PAA_4[[#This Row],[ITEM]],[2]Contrato!A:A,[2]Contrato!Q:Q,"",0)</f>
        <v>#NAME?</v>
      </c>
      <c r="V527" s="47" t="s">
        <v>47</v>
      </c>
      <c r="W527" s="47" t="s">
        <v>137</v>
      </c>
      <c r="X527" s="47" t="s">
        <v>137</v>
      </c>
      <c r="Y527" s="55" t="e">
        <f ca="1">_xlfn.XLOOKUP(PAA_4[[#This Row],[ITEM]],[2]Contrato!A:A,[2]Contrato!B:B,"",0)</f>
        <v>#NAME?</v>
      </c>
      <c r="Z527" s="47" t="e">
        <f ca="1">_xlfn.XLOOKUP(PAA_4[[#This Row],[ITEM]],[2]Contrato!A:A,[2]Contrato!G:G,"",0)</f>
        <v>#NAME?</v>
      </c>
      <c r="AA527" s="47" t="e">
        <f ca="1">_xlfn.XLOOKUP(PAA_4[[#This Row],[ITEM]],[2]Contrato!A:A,[2]Contrato!T:T,"",0)</f>
        <v>#NAME?</v>
      </c>
      <c r="AB527" s="55" t="e">
        <f ca="1">+MAX(PAA_4[[#This Row],[Comprometido Contrato]],PAA_4[[#This Row],[Comprometido Bolsa]])</f>
        <v>#NAME?</v>
      </c>
      <c r="AC527" s="55" t="str">
        <f t="shared" ca="1" si="237"/>
        <v/>
      </c>
      <c r="AD527" s="55" t="e">
        <f ca="1">IF(PAA_4[[#This Row],[ESTADO (formulado)]]="NO CONTRATADO",0,MAX(PAA_4[[#This Row],[Pago por Contrato]],PAA_4[[#This Row],[Pago por bolsa]]))</f>
        <v>#NAME?</v>
      </c>
      <c r="AE527" s="55" t="str">
        <f t="shared" ca="1" si="238"/>
        <v/>
      </c>
      <c r="AF527" s="47" t="e">
        <f t="shared" ca="1" si="239"/>
        <v>#NAME?</v>
      </c>
      <c r="AG527" s="47">
        <f t="shared" si="240"/>
        <v>41080101</v>
      </c>
      <c r="AH527" s="54" t="str">
        <f>IF(Q527="22",IF(ISNUMBER(SEARCH("econ",PAA_4[[#This Row],[Actividad3]])),"Económico",IF(ISNUMBER(SEARCH("alim",PAA_4[[#This Row],[Actividad3]])),"Alimentación",IF(ISNUMBER(SEARCH("educ",PAA_4[[#This Row],[Actividad3]])),"Educativo","Técnico"))),0)</f>
        <v>Técnico</v>
      </c>
      <c r="AI527" s="47" t="e" cm="1">
        <f t="array" aca="1" ref="AI527" ca="1">_xlfn.XLOOKUP(PAA_4[[#This Row],[RCP-RUBRO]],[2]!COMPROMISOS_2024[[#All],[concatenado]],[2]!COMPROMISOS_2024[[#All],[Total pagado]],"",0)</f>
        <v>#NAME?</v>
      </c>
      <c r="AJ527" s="56" t="e">
        <f ca="1">IF(PAA_4[[#This Row],[BOLSA]]=0,0,SUMIFS([2]!COMPROMISOS_2024[[#All],[Total pagado]],[2]!COMPROMISOS_2024[[#All],[Bolsa]],PAA_4[[#This Row],[BOLSA]],[2]!COMPROMISOS_2024[[#All],[rubro]],PAA_4[[#This Row],[RCP-RUBRO]]))</f>
        <v>#REF!</v>
      </c>
      <c r="AK527" s="47" t="e" cm="1">
        <f t="array" aca="1" ref="AK527" ca="1">_xlfn.XLOOKUP(PAA_4[[#This Row],[RCP-RUBRO]],[2]!COMPROMISOS_2024[[#All],[concatenado]],[2]!COMPROMISOS_2024[[#All],[Total Comprometido]],"",0)</f>
        <v>#NAME?</v>
      </c>
      <c r="AL527" s="47" t="e">
        <f ca="1">IF(PAA_4[[#This Row],[BOLSA]]=0,0,SUMIFS([2]!COMPROMISOS_2024[[#All],[Total Comprometido]],[2]!COMPROMISOS_2024[[#All],[Bolsa]],PAA_4[[#This Row],[BOLSA]],[2]!COMPROMISOS_2024[[#All],[concatenado]],PAA_4[[#This Row],[RCP-RUBRO]]))</f>
        <v>#REF!</v>
      </c>
    </row>
    <row r="528" spans="1:38" s="19" customFormat="1" ht="31.5" customHeight="1">
      <c r="A528" s="47">
        <v>151</v>
      </c>
      <c r="B528" s="47">
        <v>80111600</v>
      </c>
      <c r="C528" s="47" t="str">
        <f>VLOOKUP(PAA_4[[#This Row],[PROYECTO (formulado)2]],[2]PROYECTOS!$G$1:$L$32,6,0)</f>
        <v>SUBGERENCIA DE ALTOS LOGROS Y DEPORTE ASOCIADO</v>
      </c>
      <c r="D528" s="47" t="str">
        <f>+IF(PAA_4[[#This Row],[UNIDAD DE CONTRATACION (formulado)]]="Subgerencia Administrativa y Financiera","FUNCIONAMIENTO","INVERSIÓN")</f>
        <v>INVERSIÓN</v>
      </c>
      <c r="E528" s="48" t="str">
        <f>VLOOKUP(Q528,[2]PROYECTOS!$G$1:$K$32,5,0)</f>
        <v>APOYO_TÉCNICO_Y_PSICOSOCIAL_A_LOS_DEPORTISTAS_DE_ANTIOQUIA</v>
      </c>
      <c r="F528" s="48">
        <f>VLOOKUP(E528,[2]PROYECTOS!$K$1:$M$32,3,0)</f>
        <v>2021003050069</v>
      </c>
      <c r="G528" s="49" t="s">
        <v>239</v>
      </c>
      <c r="H528" s="49" t="str">
        <f>VLOOKUP(Q528,[2]PROYECTOS!$V$1:$W$32,2,0)</f>
        <v>050069</v>
      </c>
      <c r="I528" s="50">
        <v>47452590</v>
      </c>
      <c r="J528" s="51" t="s">
        <v>1571</v>
      </c>
      <c r="K528" s="47" t="str">
        <f t="shared" ca="1" si="234"/>
        <v>CONTRATADO</v>
      </c>
      <c r="L528" s="47" t="s">
        <v>94</v>
      </c>
      <c r="M528" s="47" t="s">
        <v>1297</v>
      </c>
      <c r="N528" s="52" t="s">
        <v>240</v>
      </c>
      <c r="O528" s="51" t="e">
        <f>VLOOKUP(N528,[2]!RUBROS[#All],3,0)</f>
        <v>#REF!</v>
      </c>
      <c r="P528" s="53" t="e">
        <f>VLOOKUP(N528,[2]!RUBROS[#All],2,0)</f>
        <v>#REF!</v>
      </c>
      <c r="Q528" s="47" t="str">
        <f t="shared" si="235"/>
        <v>22</v>
      </c>
      <c r="R528" s="47" t="str">
        <f t="shared" si="236"/>
        <v>0-205400</v>
      </c>
      <c r="S528" s="54">
        <v>6</v>
      </c>
      <c r="T528" s="59" t="s">
        <v>46</v>
      </c>
      <c r="U528" s="326" t="e">
        <f ca="1">_xlfn.XLOOKUP(PAA_4[[#This Row],[ITEM]],[2]Contrato!A:A,[2]Contrato!Q:Q,"",0)</f>
        <v>#NAME?</v>
      </c>
      <c r="V528" s="47" t="s">
        <v>47</v>
      </c>
      <c r="W528" s="47" t="s">
        <v>137</v>
      </c>
      <c r="X528" s="47" t="s">
        <v>137</v>
      </c>
      <c r="Y528" s="55" t="e">
        <f ca="1">_xlfn.XLOOKUP(PAA_4[[#This Row],[ITEM]],[2]Contrato!A:A,[2]Contrato!B:B,"",0)</f>
        <v>#NAME?</v>
      </c>
      <c r="Z528" s="47" t="e">
        <f ca="1">_xlfn.XLOOKUP(PAA_4[[#This Row],[ITEM]],[2]Contrato!A:A,[2]Contrato!G:G,"",0)</f>
        <v>#NAME?</v>
      </c>
      <c r="AA528" s="47" t="e">
        <f ca="1">_xlfn.XLOOKUP(PAA_4[[#This Row],[ITEM]],[2]Contrato!A:A,[2]Contrato!T:T,"",0)</f>
        <v>#NAME?</v>
      </c>
      <c r="AB528" s="55" t="e">
        <f ca="1">+MAX(PAA_4[[#This Row],[Comprometido Contrato]],PAA_4[[#This Row],[Comprometido Bolsa]])</f>
        <v>#NAME?</v>
      </c>
      <c r="AC528" s="55" t="str">
        <f t="shared" ca="1" si="237"/>
        <v/>
      </c>
      <c r="AD528" s="55" t="e">
        <f ca="1">IF(PAA_4[[#This Row],[ESTADO (formulado)]]="NO CONTRATADO",0,MAX(PAA_4[[#This Row],[Pago por Contrato]],PAA_4[[#This Row],[Pago por bolsa]]))</f>
        <v>#NAME?</v>
      </c>
      <c r="AE528" s="55" t="str">
        <f t="shared" ca="1" si="238"/>
        <v/>
      </c>
      <c r="AF528" s="47" t="e">
        <f t="shared" ca="1" si="239"/>
        <v>#NAME?</v>
      </c>
      <c r="AG528" s="47">
        <f t="shared" si="240"/>
        <v>41080101</v>
      </c>
      <c r="AH528" s="54" t="str">
        <f>IF(Q528="22",IF(ISNUMBER(SEARCH("econ",PAA_4[[#This Row],[Actividad3]])),"Económico",IF(ISNUMBER(SEARCH("alim",PAA_4[[#This Row],[Actividad3]])),"Alimentación",IF(ISNUMBER(SEARCH("educ",PAA_4[[#This Row],[Actividad3]])),"Educativo","Técnico"))),0)</f>
        <v>Técnico</v>
      </c>
      <c r="AI528" s="47" t="e" cm="1">
        <f t="array" aca="1" ref="AI528" ca="1">_xlfn.XLOOKUP(PAA_4[[#This Row],[RCP-RUBRO]],[2]!COMPROMISOS_2024[[#All],[concatenado]],[2]!COMPROMISOS_2024[[#All],[Total pagado]],"",0)</f>
        <v>#NAME?</v>
      </c>
      <c r="AJ528" s="56" t="e">
        <f ca="1">IF(PAA_4[[#This Row],[BOLSA]]=0,0,SUMIFS([2]!COMPROMISOS_2024[[#All],[Total pagado]],[2]!COMPROMISOS_2024[[#All],[Bolsa]],PAA_4[[#This Row],[BOLSA]],[2]!COMPROMISOS_2024[[#All],[rubro]],PAA_4[[#This Row],[RCP-RUBRO]]))</f>
        <v>#REF!</v>
      </c>
      <c r="AK528" s="47" t="e" cm="1">
        <f t="array" aca="1" ref="AK528" ca="1">_xlfn.XLOOKUP(PAA_4[[#This Row],[RCP-RUBRO]],[2]!COMPROMISOS_2024[[#All],[concatenado]],[2]!COMPROMISOS_2024[[#All],[Total Comprometido]],"",0)</f>
        <v>#NAME?</v>
      </c>
      <c r="AL528" s="47" t="e">
        <f ca="1">IF(PAA_4[[#This Row],[BOLSA]]=0,0,SUMIFS([2]!COMPROMISOS_2024[[#All],[Total Comprometido]],[2]!COMPROMISOS_2024[[#All],[Bolsa]],PAA_4[[#This Row],[BOLSA]],[2]!COMPROMISOS_2024[[#All],[concatenado]],PAA_4[[#This Row],[RCP-RUBRO]]))</f>
        <v>#REF!</v>
      </c>
    </row>
    <row r="529" spans="1:38" s="19" customFormat="1" ht="31.5" customHeight="1">
      <c r="A529" s="47">
        <v>152</v>
      </c>
      <c r="B529" s="47">
        <v>80111600</v>
      </c>
      <c r="C529" s="47" t="str">
        <f>VLOOKUP(PAA_4[[#This Row],[PROYECTO (formulado)2]],[2]PROYECTOS!$G$1:$L$32,6,0)</f>
        <v>SUBGERENCIA DE ALTOS LOGROS Y DEPORTE ASOCIADO</v>
      </c>
      <c r="D529" s="47" t="str">
        <f>+IF(PAA_4[[#This Row],[UNIDAD DE CONTRATACION (formulado)]]="Subgerencia Administrativa y Financiera","FUNCIONAMIENTO","INVERSIÓN")</f>
        <v>INVERSIÓN</v>
      </c>
      <c r="E529" s="48" t="str">
        <f>VLOOKUP(Q529,[2]PROYECTOS!$G$1:$K$32,5,0)</f>
        <v>APOYO_TÉCNICO_Y_PSICOSOCIAL_A_LOS_DEPORTISTAS_DE_ANTIOQUIA</v>
      </c>
      <c r="F529" s="48">
        <f>VLOOKUP(E529,[2]PROYECTOS!$K$1:$M$32,3,0)</f>
        <v>2021003050069</v>
      </c>
      <c r="G529" s="49" t="s">
        <v>239</v>
      </c>
      <c r="H529" s="49" t="str">
        <f>VLOOKUP(Q529,[2]PROYECTOS!$V$1:$W$32,2,0)</f>
        <v>050069</v>
      </c>
      <c r="I529" s="50">
        <v>23714292</v>
      </c>
      <c r="J529" s="51" t="s">
        <v>1572</v>
      </c>
      <c r="K529" s="47" t="str">
        <f t="shared" ca="1" si="234"/>
        <v>CONTRATADO</v>
      </c>
      <c r="L529" s="47" t="s">
        <v>94</v>
      </c>
      <c r="M529" s="47" t="s">
        <v>1297</v>
      </c>
      <c r="N529" s="52" t="s">
        <v>240</v>
      </c>
      <c r="O529" s="51" t="e">
        <f>VLOOKUP(N529,[2]!RUBROS[#All],3,0)</f>
        <v>#REF!</v>
      </c>
      <c r="P529" s="53" t="e">
        <f>VLOOKUP(N529,[2]!RUBROS[#All],2,0)</f>
        <v>#REF!</v>
      </c>
      <c r="Q529" s="47" t="str">
        <f t="shared" si="235"/>
        <v>22</v>
      </c>
      <c r="R529" s="47" t="str">
        <f t="shared" si="236"/>
        <v>0-205400</v>
      </c>
      <c r="S529" s="54">
        <v>6</v>
      </c>
      <c r="T529" s="59" t="s">
        <v>46</v>
      </c>
      <c r="U529" s="326" t="e">
        <f ca="1">_xlfn.XLOOKUP(PAA_4[[#This Row],[ITEM]],[2]Contrato!A:A,[2]Contrato!Q:Q,"",0)</f>
        <v>#NAME?</v>
      </c>
      <c r="V529" s="47" t="s">
        <v>47</v>
      </c>
      <c r="W529" s="64" t="s">
        <v>137</v>
      </c>
      <c r="X529" s="64" t="s">
        <v>137</v>
      </c>
      <c r="Y529" s="55" t="e">
        <f ca="1">_xlfn.XLOOKUP(PAA_4[[#This Row],[ITEM]],[2]Contrato!A:A,[2]Contrato!B:B,"",0)</f>
        <v>#NAME?</v>
      </c>
      <c r="Z529" s="47" t="e">
        <f ca="1">_xlfn.XLOOKUP(PAA_4[[#This Row],[ITEM]],[2]Contrato!A:A,[2]Contrato!G:G,"",0)</f>
        <v>#NAME?</v>
      </c>
      <c r="AA529" s="47" t="e">
        <f ca="1">_xlfn.XLOOKUP(PAA_4[[#This Row],[ITEM]],[2]Contrato!A:A,[2]Contrato!T:T,"",0)</f>
        <v>#NAME?</v>
      </c>
      <c r="AB529" s="55" t="e">
        <f ca="1">+MAX(PAA_4[[#This Row],[Comprometido Contrato]],PAA_4[[#This Row],[Comprometido Bolsa]])</f>
        <v>#NAME?</v>
      </c>
      <c r="AC529" s="55" t="str">
        <f t="shared" ca="1" si="237"/>
        <v/>
      </c>
      <c r="AD529" s="55" t="e">
        <f ca="1">IF(PAA_4[[#This Row],[ESTADO (formulado)]]="NO CONTRATADO",0,MAX(PAA_4[[#This Row],[Pago por Contrato]],PAA_4[[#This Row],[Pago por bolsa]]))</f>
        <v>#NAME?</v>
      </c>
      <c r="AE529" s="55" t="str">
        <f t="shared" ca="1" si="238"/>
        <v/>
      </c>
      <c r="AF529" s="47" t="e">
        <f t="shared" ca="1" si="239"/>
        <v>#NAME?</v>
      </c>
      <c r="AG529" s="47">
        <f t="shared" si="240"/>
        <v>41080101</v>
      </c>
      <c r="AH529" s="54" t="str">
        <f>IF(Q529="22",IF(ISNUMBER(SEARCH("econ",PAA_4[[#This Row],[Actividad3]])),"Económico",IF(ISNUMBER(SEARCH("alim",PAA_4[[#This Row],[Actividad3]])),"Alimentación",IF(ISNUMBER(SEARCH("educ",PAA_4[[#This Row],[Actividad3]])),"Educativo","Técnico"))),0)</f>
        <v>Técnico</v>
      </c>
      <c r="AI529" s="47" t="e" cm="1">
        <f t="array" aca="1" ref="AI529" ca="1">_xlfn.XLOOKUP(PAA_4[[#This Row],[RCP-RUBRO]],[2]!COMPROMISOS_2024[[#All],[concatenado]],[2]!COMPROMISOS_2024[[#All],[Total pagado]],"",0)</f>
        <v>#NAME?</v>
      </c>
      <c r="AJ529" s="56" t="e">
        <f ca="1">IF(PAA_4[[#This Row],[BOLSA]]=0,0,SUMIFS([2]!COMPROMISOS_2024[[#All],[Total pagado]],[2]!COMPROMISOS_2024[[#All],[Bolsa]],PAA_4[[#This Row],[BOLSA]],[2]!COMPROMISOS_2024[[#All],[rubro]],PAA_4[[#This Row],[RCP-RUBRO]]))</f>
        <v>#REF!</v>
      </c>
      <c r="AK529" s="47" t="e" cm="1">
        <f t="array" aca="1" ref="AK529" ca="1">_xlfn.XLOOKUP(PAA_4[[#This Row],[RCP-RUBRO]],[2]!COMPROMISOS_2024[[#All],[concatenado]],[2]!COMPROMISOS_2024[[#All],[Total Comprometido]],"",0)</f>
        <v>#NAME?</v>
      </c>
      <c r="AL529" s="47" t="e">
        <f ca="1">IF(PAA_4[[#This Row],[BOLSA]]=0,0,SUMIFS([2]!COMPROMISOS_2024[[#All],[Total Comprometido]],[2]!COMPROMISOS_2024[[#All],[Bolsa]],PAA_4[[#This Row],[BOLSA]],[2]!COMPROMISOS_2024[[#All],[concatenado]],PAA_4[[#This Row],[RCP-RUBRO]]))</f>
        <v>#REF!</v>
      </c>
    </row>
    <row r="530" spans="1:38" s="19" customFormat="1" ht="31.5" customHeight="1">
      <c r="A530" s="47">
        <v>153</v>
      </c>
      <c r="B530" s="65">
        <v>80111600</v>
      </c>
      <c r="C530" s="47" t="str">
        <f>VLOOKUP(PAA_4[[#This Row],[PROYECTO (formulado)2]],[2]PROYECTOS!$G$1:$L$32,6,0)</f>
        <v>SUBGERENCIA DE ALTOS LOGROS Y DEPORTE ASOCIADO</v>
      </c>
      <c r="D530" s="65" t="str">
        <f>+IF(PAA_4[[#This Row],[UNIDAD DE CONTRATACION (formulado)]]="Subgerencia Administrativa y Financiera","FUNCIONAMIENTO","INVERSIÓN")</f>
        <v>INVERSIÓN</v>
      </c>
      <c r="E530" s="66" t="str">
        <f>VLOOKUP(Q530,[2]PROYECTOS!$G$1:$K$32,5,0)</f>
        <v>APOYO_TÉCNICO_Y_PSICOSOCIAL_A_LOS_DEPORTISTAS_DE_ANTIOQUIA</v>
      </c>
      <c r="F530" s="48">
        <f>VLOOKUP(E530,[2]PROYECTOS!$K$1:$M$32,3,0)</f>
        <v>2021003050069</v>
      </c>
      <c r="G530" s="49" t="s">
        <v>239</v>
      </c>
      <c r="H530" s="67" t="str">
        <f>VLOOKUP(Q530,[2]PROYECTOS!$V$1:$W$32,2,0)</f>
        <v>050069</v>
      </c>
      <c r="I530" s="68">
        <v>35586894</v>
      </c>
      <c r="J530" s="53" t="s">
        <v>1573</v>
      </c>
      <c r="K530" s="65" t="str">
        <f t="shared" ca="1" si="234"/>
        <v>CONTRATADO</v>
      </c>
      <c r="L530" s="47" t="s">
        <v>94</v>
      </c>
      <c r="M530" s="47" t="s">
        <v>1297</v>
      </c>
      <c r="N530" s="52" t="s">
        <v>240</v>
      </c>
      <c r="O530" s="51" t="e">
        <f>VLOOKUP(N530,[2]!RUBROS[#All],3,0)</f>
        <v>#REF!</v>
      </c>
      <c r="P530" s="53" t="e">
        <f>VLOOKUP(N530,[2]!RUBROS[#All],2,0)</f>
        <v>#REF!</v>
      </c>
      <c r="Q530" s="65" t="str">
        <f t="shared" si="235"/>
        <v>22</v>
      </c>
      <c r="R530" s="47" t="str">
        <f t="shared" si="236"/>
        <v>0-205400</v>
      </c>
      <c r="S530" s="65">
        <v>6</v>
      </c>
      <c r="T530" s="59" t="s">
        <v>46</v>
      </c>
      <c r="U530" s="345" t="e">
        <f ca="1">_xlfn.XLOOKUP(PAA_4[[#This Row],[ITEM]],[2]Contrato!A:A,[2]Contrato!Q:Q,"",0)</f>
        <v>#NAME?</v>
      </c>
      <c r="V530" s="65" t="s">
        <v>47</v>
      </c>
      <c r="W530" s="65" t="s">
        <v>137</v>
      </c>
      <c r="X530" s="65" t="s">
        <v>137</v>
      </c>
      <c r="Y530" s="69" t="e">
        <f ca="1">_xlfn.XLOOKUP(PAA_4[[#This Row],[ITEM]],[2]Contrato!A:A,[2]Contrato!B:B,"",0)</f>
        <v>#NAME?</v>
      </c>
      <c r="Z530" s="65" t="e">
        <f ca="1">_xlfn.XLOOKUP(PAA_4[[#This Row],[ITEM]],[2]Contrato!A:A,[2]Contrato!G:G,"",0)</f>
        <v>#NAME?</v>
      </c>
      <c r="AA530" s="65" t="e">
        <f ca="1">_xlfn.XLOOKUP(PAA_4[[#This Row],[ITEM]],[2]Contrato!A:A,[2]Contrato!T:T,"",0)</f>
        <v>#NAME?</v>
      </c>
      <c r="AB530" s="69" t="e">
        <f ca="1">+MAX(PAA_4[[#This Row],[Comprometido Contrato]],PAA_4[[#This Row],[Comprometido Bolsa]])</f>
        <v>#NAME?</v>
      </c>
      <c r="AC530" s="69" t="str">
        <f t="shared" ca="1" si="237"/>
        <v/>
      </c>
      <c r="AD530" s="69" t="e">
        <f ca="1">IF(PAA_4[[#This Row],[ESTADO (formulado)]]="NO CONTRATADO",0,MAX(PAA_4[[#This Row],[Pago por Contrato]],PAA_4[[#This Row],[Pago por bolsa]]))</f>
        <v>#NAME?</v>
      </c>
      <c r="AE530" s="69" t="str">
        <f t="shared" ca="1" si="238"/>
        <v/>
      </c>
      <c r="AF530" s="65" t="e">
        <f t="shared" ca="1" si="239"/>
        <v>#NAME?</v>
      </c>
      <c r="AG530" s="47">
        <f t="shared" si="240"/>
        <v>41080101</v>
      </c>
      <c r="AH530" s="54" t="str">
        <f>IF(Q530="22",IF(ISNUMBER(SEARCH("econ",PAA_4[[#This Row],[Actividad3]])),"Económico",IF(ISNUMBER(SEARCH("alim",PAA_4[[#This Row],[Actividad3]])),"Alimentación",IF(ISNUMBER(SEARCH("educ",PAA_4[[#This Row],[Actividad3]])),"Educativo","Técnico"))),0)</f>
        <v>Técnico</v>
      </c>
      <c r="AI530" s="47" t="e" cm="1">
        <f t="array" aca="1" ref="AI530" ca="1">_xlfn.XLOOKUP(PAA_4[[#This Row],[RCP-RUBRO]],[2]!COMPROMISOS_2024[[#All],[concatenado]],[2]!COMPROMISOS_2024[[#All],[Total pagado]],"",0)</f>
        <v>#NAME?</v>
      </c>
      <c r="AJ530" s="56" t="e">
        <f ca="1">IF(PAA_4[[#This Row],[BOLSA]]=0,0,SUMIFS([2]!COMPROMISOS_2024[[#All],[Total pagado]],[2]!COMPROMISOS_2024[[#All],[Bolsa]],PAA_4[[#This Row],[BOLSA]],[2]!COMPROMISOS_2024[[#All],[rubro]],PAA_4[[#This Row],[RCP-RUBRO]]))</f>
        <v>#REF!</v>
      </c>
      <c r="AK530" s="65" t="e" cm="1">
        <f t="array" aca="1" ref="AK530" ca="1">_xlfn.XLOOKUP(PAA_4[[#This Row],[RCP-RUBRO]],[2]!COMPROMISOS_2024[[#All],[concatenado]],[2]!COMPROMISOS_2024[[#All],[Total Comprometido]],"",0)</f>
        <v>#NAME?</v>
      </c>
      <c r="AL530" s="65" t="e">
        <f ca="1">IF(PAA_4[[#This Row],[BOLSA]]=0,0,SUMIFS([2]!COMPROMISOS_2024[[#All],[Total Comprometido]],[2]!COMPROMISOS_2024[[#All],[Bolsa]],PAA_4[[#This Row],[BOLSA]],[2]!COMPROMISOS_2024[[#All],[concatenado]],PAA_4[[#This Row],[RCP-RUBRO]]))</f>
        <v>#REF!</v>
      </c>
    </row>
    <row r="531" spans="1:38" s="19" customFormat="1" ht="31.5" customHeight="1">
      <c r="A531" s="47">
        <v>154</v>
      </c>
      <c r="B531" s="65">
        <v>80111600</v>
      </c>
      <c r="C531" s="47" t="str">
        <f>VLOOKUP(PAA_4[[#This Row],[PROYECTO (formulado)2]],[2]PROYECTOS!$G$1:$L$32,6,0)</f>
        <v>SUBGERENCIA DE ALTOS LOGROS Y DEPORTE ASOCIADO</v>
      </c>
      <c r="D531" s="65" t="str">
        <f>+IF(PAA_4[[#This Row],[UNIDAD DE CONTRATACION (formulado)]]="Subgerencia Administrativa y Financiera","FUNCIONAMIENTO","INVERSIÓN")</f>
        <v>INVERSIÓN</v>
      </c>
      <c r="E531" s="66" t="str">
        <f>VLOOKUP(Q531,[2]PROYECTOS!$G$1:$K$32,5,0)</f>
        <v>APOYO_TÉCNICO_Y_PSICOSOCIAL_A_LOS_DEPORTISTAS_DE_ANTIOQUIA</v>
      </c>
      <c r="F531" s="48">
        <f>VLOOKUP(E531,[2]PROYECTOS!$K$1:$M$32,3,0)</f>
        <v>2021003050069</v>
      </c>
      <c r="G531" s="49" t="s">
        <v>239</v>
      </c>
      <c r="H531" s="67" t="str">
        <f>VLOOKUP(Q531,[2]PROYECTOS!$V$1:$W$32,2,0)</f>
        <v>050069</v>
      </c>
      <c r="I531" s="68">
        <v>15449052</v>
      </c>
      <c r="J531" s="53" t="s">
        <v>1572</v>
      </c>
      <c r="K531" s="65" t="str">
        <f t="shared" ca="1" si="234"/>
        <v>CONTRATADO</v>
      </c>
      <c r="L531" s="47" t="s">
        <v>94</v>
      </c>
      <c r="M531" s="47" t="s">
        <v>1297</v>
      </c>
      <c r="N531" s="52" t="s">
        <v>240</v>
      </c>
      <c r="O531" s="51" t="e">
        <f>VLOOKUP(N531,[2]!RUBROS[#All],3,0)</f>
        <v>#REF!</v>
      </c>
      <c r="P531" s="53" t="e">
        <f>VLOOKUP(N531,[2]!RUBROS[#All],2,0)</f>
        <v>#REF!</v>
      </c>
      <c r="Q531" s="65" t="str">
        <f t="shared" si="235"/>
        <v>22</v>
      </c>
      <c r="R531" s="47" t="str">
        <f t="shared" si="236"/>
        <v>0-205400</v>
      </c>
      <c r="S531" s="65">
        <v>6</v>
      </c>
      <c r="T531" s="59" t="s">
        <v>46</v>
      </c>
      <c r="U531" s="345" t="e">
        <f ca="1">_xlfn.XLOOKUP(PAA_4[[#This Row],[ITEM]],[2]Contrato!A:A,[2]Contrato!Q:Q,"",0)</f>
        <v>#NAME?</v>
      </c>
      <c r="V531" s="65" t="s">
        <v>47</v>
      </c>
      <c r="W531" s="65" t="s">
        <v>137</v>
      </c>
      <c r="X531" s="65" t="s">
        <v>137</v>
      </c>
      <c r="Y531" s="69" t="e">
        <f ca="1">_xlfn.XLOOKUP(PAA_4[[#This Row],[ITEM]],[2]Contrato!A:A,[2]Contrato!B:B,"",0)</f>
        <v>#NAME?</v>
      </c>
      <c r="Z531" s="65" t="e">
        <f ca="1">_xlfn.XLOOKUP(PAA_4[[#This Row],[ITEM]],[2]Contrato!A:A,[2]Contrato!G:G,"",0)</f>
        <v>#NAME?</v>
      </c>
      <c r="AA531" s="65" t="e">
        <f ca="1">_xlfn.XLOOKUP(PAA_4[[#This Row],[ITEM]],[2]Contrato!A:A,[2]Contrato!T:T,"",0)</f>
        <v>#NAME?</v>
      </c>
      <c r="AB531" s="69" t="e">
        <f ca="1">+MAX(PAA_4[[#This Row],[Comprometido Contrato]],PAA_4[[#This Row],[Comprometido Bolsa]])</f>
        <v>#NAME?</v>
      </c>
      <c r="AC531" s="69" t="str">
        <f t="shared" ca="1" si="237"/>
        <v/>
      </c>
      <c r="AD531" s="69" t="e">
        <f ca="1">IF(PAA_4[[#This Row],[ESTADO (formulado)]]="NO CONTRATADO",0,MAX(PAA_4[[#This Row],[Pago por Contrato]],PAA_4[[#This Row],[Pago por bolsa]]))</f>
        <v>#NAME?</v>
      </c>
      <c r="AE531" s="69" t="str">
        <f t="shared" ca="1" si="238"/>
        <v/>
      </c>
      <c r="AF531" s="65" t="e">
        <f t="shared" ca="1" si="239"/>
        <v>#NAME?</v>
      </c>
      <c r="AG531" s="47">
        <f t="shared" si="240"/>
        <v>41080101</v>
      </c>
      <c r="AH531" s="54" t="str">
        <f>IF(Q531="22",IF(ISNUMBER(SEARCH("econ",PAA_4[[#This Row],[Actividad3]])),"Económico",IF(ISNUMBER(SEARCH("alim",PAA_4[[#This Row],[Actividad3]])),"Alimentación",IF(ISNUMBER(SEARCH("educ",PAA_4[[#This Row],[Actividad3]])),"Educativo","Técnico"))),0)</f>
        <v>Técnico</v>
      </c>
      <c r="AI531" s="47" t="e" cm="1">
        <f t="array" aca="1" ref="AI531" ca="1">_xlfn.XLOOKUP(PAA_4[[#This Row],[RCP-RUBRO]],[2]!COMPROMISOS_2024[[#All],[concatenado]],[2]!COMPROMISOS_2024[[#All],[Total pagado]],"",0)</f>
        <v>#NAME?</v>
      </c>
      <c r="AJ531" s="56" t="e">
        <f ca="1">IF(PAA_4[[#This Row],[BOLSA]]=0,0,SUMIFS([2]!COMPROMISOS_2024[[#All],[Total pagado]],[2]!COMPROMISOS_2024[[#All],[Bolsa]],PAA_4[[#This Row],[BOLSA]],[2]!COMPROMISOS_2024[[#All],[rubro]],PAA_4[[#This Row],[RCP-RUBRO]]))</f>
        <v>#REF!</v>
      </c>
      <c r="AK531" s="65" t="e" cm="1">
        <f t="array" aca="1" ref="AK531" ca="1">_xlfn.XLOOKUP(PAA_4[[#This Row],[RCP-RUBRO]],[2]!COMPROMISOS_2024[[#All],[concatenado]],[2]!COMPROMISOS_2024[[#All],[Total Comprometido]],"",0)</f>
        <v>#NAME?</v>
      </c>
      <c r="AL531" s="65" t="e">
        <f ca="1">IF(PAA_4[[#This Row],[BOLSA]]=0,0,SUMIFS([2]!COMPROMISOS_2024[[#All],[Total Comprometido]],[2]!COMPROMISOS_2024[[#All],[Bolsa]],PAA_4[[#This Row],[BOLSA]],[2]!COMPROMISOS_2024[[#All],[concatenado]],PAA_4[[#This Row],[RCP-RUBRO]]))</f>
        <v>#REF!</v>
      </c>
    </row>
    <row r="532" spans="1:38" s="19" customFormat="1" ht="31.5" customHeight="1">
      <c r="A532" s="47">
        <v>155</v>
      </c>
      <c r="B532" s="65">
        <v>80111600</v>
      </c>
      <c r="C532" s="47" t="str">
        <f>VLOOKUP(PAA_4[[#This Row],[PROYECTO (formulado)2]],[2]PROYECTOS!$G$1:$L$32,6,0)</f>
        <v>SUBGERENCIA DE ALTOS LOGROS Y DEPORTE ASOCIADO</v>
      </c>
      <c r="D532" s="65" t="str">
        <f>+IF(PAA_4[[#This Row],[UNIDAD DE CONTRATACION (formulado)]]="Subgerencia Administrativa y Financiera","FUNCIONAMIENTO","INVERSIÓN")</f>
        <v>INVERSIÓN</v>
      </c>
      <c r="E532" s="66" t="str">
        <f>VLOOKUP(Q532,[2]PROYECTOS!$G$1:$K$32,5,0)</f>
        <v>APOYO_TÉCNICO_Y_PSICOSOCIAL_A_LOS_DEPORTISTAS_DE_ANTIOQUIA</v>
      </c>
      <c r="F532" s="48">
        <f>VLOOKUP(E532,[2]PROYECTOS!$K$1:$M$32,3,0)</f>
        <v>2021003050069</v>
      </c>
      <c r="G532" s="49" t="s">
        <v>241</v>
      </c>
      <c r="H532" s="67" t="str">
        <f>VLOOKUP(Q532,[2]PROYECTOS!$V$1:$W$32,2,0)</f>
        <v>050069</v>
      </c>
      <c r="I532" s="68">
        <v>29453616</v>
      </c>
      <c r="J532" s="53" t="s">
        <v>1574</v>
      </c>
      <c r="K532" s="65" t="str">
        <f t="shared" ca="1" si="234"/>
        <v>CONTRATADO</v>
      </c>
      <c r="L532" s="47" t="s">
        <v>94</v>
      </c>
      <c r="M532" s="47" t="s">
        <v>1297</v>
      </c>
      <c r="N532" s="52" t="s">
        <v>240</v>
      </c>
      <c r="O532" s="51" t="e">
        <f>VLOOKUP(N532,[2]!RUBROS[#All],3,0)</f>
        <v>#REF!</v>
      </c>
      <c r="P532" s="53" t="e">
        <f>VLOOKUP(N532,[2]!RUBROS[#All],2,0)</f>
        <v>#REF!</v>
      </c>
      <c r="Q532" s="65" t="str">
        <f t="shared" si="235"/>
        <v>22</v>
      </c>
      <c r="R532" s="47" t="str">
        <f t="shared" si="236"/>
        <v>0-205400</v>
      </c>
      <c r="S532" s="65">
        <v>6</v>
      </c>
      <c r="T532" s="59" t="s">
        <v>46</v>
      </c>
      <c r="U532" s="345" t="e">
        <f ca="1">_xlfn.XLOOKUP(PAA_4[[#This Row],[ITEM]],[2]Contrato!A:A,[2]Contrato!Q:Q,"",0)</f>
        <v>#NAME?</v>
      </c>
      <c r="V532" s="65" t="s">
        <v>47</v>
      </c>
      <c r="W532" s="65" t="s">
        <v>137</v>
      </c>
      <c r="X532" s="65" t="s">
        <v>137</v>
      </c>
      <c r="Y532" s="69" t="e">
        <f ca="1">_xlfn.XLOOKUP(PAA_4[[#This Row],[ITEM]],[2]Contrato!A:A,[2]Contrato!B:B,"",0)</f>
        <v>#NAME?</v>
      </c>
      <c r="Z532" s="65" t="e">
        <f ca="1">_xlfn.XLOOKUP(PAA_4[[#This Row],[ITEM]],[2]Contrato!A:A,[2]Contrato!G:G,"",0)</f>
        <v>#NAME?</v>
      </c>
      <c r="AA532" s="65" t="e">
        <f ca="1">_xlfn.XLOOKUP(PAA_4[[#This Row],[ITEM]],[2]Contrato!A:A,[2]Contrato!T:T,"",0)</f>
        <v>#NAME?</v>
      </c>
      <c r="AB532" s="69" t="e">
        <f ca="1">+MAX(PAA_4[[#This Row],[Comprometido Contrato]],PAA_4[[#This Row],[Comprometido Bolsa]])</f>
        <v>#NAME?</v>
      </c>
      <c r="AC532" s="69" t="str">
        <f t="shared" ca="1" si="237"/>
        <v/>
      </c>
      <c r="AD532" s="69" t="e">
        <f ca="1">IF(PAA_4[[#This Row],[ESTADO (formulado)]]="NO CONTRATADO",0,MAX(PAA_4[[#This Row],[Pago por Contrato]],PAA_4[[#This Row],[Pago por bolsa]]))</f>
        <v>#NAME?</v>
      </c>
      <c r="AE532" s="69" t="str">
        <f t="shared" ca="1" si="238"/>
        <v/>
      </c>
      <c r="AF532" s="65" t="e">
        <f t="shared" ca="1" si="239"/>
        <v>#NAME?</v>
      </c>
      <c r="AG532" s="47">
        <f t="shared" si="240"/>
        <v>41080106</v>
      </c>
      <c r="AH532" s="54" t="str">
        <f>IF(Q532="22",IF(ISNUMBER(SEARCH("econ",PAA_4[[#This Row],[Actividad3]])),"Económico",IF(ISNUMBER(SEARCH("alim",PAA_4[[#This Row],[Actividad3]])),"Alimentación",IF(ISNUMBER(SEARCH("educ",PAA_4[[#This Row],[Actividad3]])),"Educativo","Técnico"))),0)</f>
        <v>Técnico</v>
      </c>
      <c r="AI532" s="47" t="e" cm="1">
        <f t="array" aca="1" ref="AI532" ca="1">_xlfn.XLOOKUP(PAA_4[[#This Row],[RCP-RUBRO]],[2]!COMPROMISOS_2024[[#All],[concatenado]],[2]!COMPROMISOS_2024[[#All],[Total pagado]],"",0)</f>
        <v>#NAME?</v>
      </c>
      <c r="AJ532" s="56" t="e">
        <f ca="1">IF(PAA_4[[#This Row],[BOLSA]]=0,0,SUMIFS([2]!COMPROMISOS_2024[[#All],[Total pagado]],[2]!COMPROMISOS_2024[[#All],[Bolsa]],PAA_4[[#This Row],[BOLSA]],[2]!COMPROMISOS_2024[[#All],[rubro]],PAA_4[[#This Row],[RCP-RUBRO]]))</f>
        <v>#REF!</v>
      </c>
      <c r="AK532" s="65" t="e" cm="1">
        <f t="array" aca="1" ref="AK532" ca="1">_xlfn.XLOOKUP(PAA_4[[#This Row],[RCP-RUBRO]],[2]!COMPROMISOS_2024[[#All],[concatenado]],[2]!COMPROMISOS_2024[[#All],[Total Comprometido]],"",0)</f>
        <v>#NAME?</v>
      </c>
      <c r="AL532" s="65" t="e">
        <f ca="1">IF(PAA_4[[#This Row],[BOLSA]]=0,0,SUMIFS([2]!COMPROMISOS_2024[[#All],[Total Comprometido]],[2]!COMPROMISOS_2024[[#All],[Bolsa]],PAA_4[[#This Row],[BOLSA]],[2]!COMPROMISOS_2024[[#All],[concatenado]],PAA_4[[#This Row],[RCP-RUBRO]]))</f>
        <v>#REF!</v>
      </c>
    </row>
    <row r="533" spans="1:38" s="19" customFormat="1" ht="31.5" customHeight="1">
      <c r="A533" s="47">
        <v>156</v>
      </c>
      <c r="B533" s="47">
        <v>80111600</v>
      </c>
      <c r="C533" s="47" t="str">
        <f>VLOOKUP(PAA_4[[#This Row],[PROYECTO (formulado)2]],[2]PROYECTOS!$G$1:$L$32,6,0)</f>
        <v>SUBGERENCIA DE ALTOS LOGROS Y DEPORTE ASOCIADO</v>
      </c>
      <c r="D533" s="47" t="str">
        <f>+IF(PAA_4[[#This Row],[UNIDAD DE CONTRATACION (formulado)]]="Subgerencia Administrativa y Financiera","FUNCIONAMIENTO","INVERSIÓN")</f>
        <v>INVERSIÓN</v>
      </c>
      <c r="E533" s="48" t="str">
        <f>VLOOKUP(Q533,[2]PROYECTOS!$G$1:$K$32,5,0)</f>
        <v>APOYO_TÉCNICO_Y_PSICOSOCIAL_A_LOS_DEPORTISTAS_DE_ANTIOQUIA</v>
      </c>
      <c r="F533" s="48">
        <f>VLOOKUP(E533,[2]PROYECTOS!$K$1:$M$32,3,0)</f>
        <v>2021003050069</v>
      </c>
      <c r="G533" s="49" t="s">
        <v>241</v>
      </c>
      <c r="H533" s="49" t="str">
        <f>VLOOKUP(Q533,[2]PROYECTOS!$V$1:$W$32,2,0)</f>
        <v>050069</v>
      </c>
      <c r="I533" s="50">
        <v>35586894</v>
      </c>
      <c r="J533" s="51" t="s">
        <v>1575</v>
      </c>
      <c r="K533" s="47" t="str">
        <f t="shared" ca="1" si="234"/>
        <v>CONTRATADO</v>
      </c>
      <c r="L533" s="47" t="s">
        <v>94</v>
      </c>
      <c r="M533" s="47" t="s">
        <v>1297</v>
      </c>
      <c r="N533" s="52" t="s">
        <v>240</v>
      </c>
      <c r="O533" s="51" t="e">
        <f>VLOOKUP(N533,[2]!RUBROS[#All],3,0)</f>
        <v>#REF!</v>
      </c>
      <c r="P533" s="53" t="e">
        <f>VLOOKUP(N533,[2]!RUBROS[#All],2,0)</f>
        <v>#REF!</v>
      </c>
      <c r="Q533" s="47" t="str">
        <f t="shared" si="235"/>
        <v>22</v>
      </c>
      <c r="R533" s="47" t="str">
        <f t="shared" si="236"/>
        <v>0-205400</v>
      </c>
      <c r="S533" s="54">
        <v>6</v>
      </c>
      <c r="T533" s="59" t="s">
        <v>46</v>
      </c>
      <c r="U533" s="326" t="e">
        <f ca="1">_xlfn.XLOOKUP(PAA_4[[#This Row],[ITEM]],[2]Contrato!A:A,[2]Contrato!Q:Q,"",0)</f>
        <v>#NAME?</v>
      </c>
      <c r="V533" s="47" t="s">
        <v>47</v>
      </c>
      <c r="W533" s="47" t="s">
        <v>137</v>
      </c>
      <c r="X533" s="47" t="s">
        <v>137</v>
      </c>
      <c r="Y533" s="55" t="e">
        <f ca="1">_xlfn.XLOOKUP(PAA_4[[#This Row],[ITEM]],[2]Contrato!A:A,[2]Contrato!B:B,"",0)</f>
        <v>#NAME?</v>
      </c>
      <c r="Z533" s="47" t="e">
        <f ca="1">_xlfn.XLOOKUP(PAA_4[[#This Row],[ITEM]],[2]Contrato!A:A,[2]Contrato!G:G,"",0)</f>
        <v>#NAME?</v>
      </c>
      <c r="AA533" s="47" t="e">
        <f ca="1">_xlfn.XLOOKUP(PAA_4[[#This Row],[ITEM]],[2]Contrato!A:A,[2]Contrato!T:T,"",0)</f>
        <v>#NAME?</v>
      </c>
      <c r="AB533" s="55" t="e">
        <f ca="1">+MAX(PAA_4[[#This Row],[Comprometido Contrato]],PAA_4[[#This Row],[Comprometido Bolsa]])</f>
        <v>#NAME?</v>
      </c>
      <c r="AC533" s="55" t="str">
        <f t="shared" ca="1" si="237"/>
        <v/>
      </c>
      <c r="AD533" s="55" t="e">
        <f ca="1">IF(PAA_4[[#This Row],[ESTADO (formulado)]]="NO CONTRATADO",0,MAX(PAA_4[[#This Row],[Pago por Contrato]],PAA_4[[#This Row],[Pago por bolsa]]))</f>
        <v>#NAME?</v>
      </c>
      <c r="AE533" s="55" t="str">
        <f t="shared" ca="1" si="238"/>
        <v/>
      </c>
      <c r="AF533" s="47" t="e">
        <f t="shared" ca="1" si="239"/>
        <v>#NAME?</v>
      </c>
      <c r="AG533" s="47">
        <f t="shared" si="240"/>
        <v>41080106</v>
      </c>
      <c r="AH533" s="54" t="str">
        <f>IF(Q533="22",IF(ISNUMBER(SEARCH("econ",PAA_4[[#This Row],[Actividad3]])),"Económico",IF(ISNUMBER(SEARCH("alim",PAA_4[[#This Row],[Actividad3]])),"Alimentación",IF(ISNUMBER(SEARCH("educ",PAA_4[[#This Row],[Actividad3]])),"Educativo","Técnico"))),0)</f>
        <v>Técnico</v>
      </c>
      <c r="AI533" s="47" t="e" cm="1">
        <f t="array" aca="1" ref="AI533" ca="1">_xlfn.XLOOKUP(PAA_4[[#This Row],[RCP-RUBRO]],[2]!COMPROMISOS_2024[[#All],[concatenado]],[2]!COMPROMISOS_2024[[#All],[Total pagado]],"",0)</f>
        <v>#NAME?</v>
      </c>
      <c r="AJ533" s="56" t="e">
        <f ca="1">IF(PAA_4[[#This Row],[BOLSA]]=0,0,SUMIFS([2]!COMPROMISOS_2024[[#All],[Total pagado]],[2]!COMPROMISOS_2024[[#All],[Bolsa]],PAA_4[[#This Row],[BOLSA]],[2]!COMPROMISOS_2024[[#All],[rubro]],PAA_4[[#This Row],[RCP-RUBRO]]))</f>
        <v>#REF!</v>
      </c>
      <c r="AK533" s="47" t="e" cm="1">
        <f t="array" aca="1" ref="AK533" ca="1">_xlfn.XLOOKUP(PAA_4[[#This Row],[RCP-RUBRO]],[2]!COMPROMISOS_2024[[#All],[concatenado]],[2]!COMPROMISOS_2024[[#All],[Total Comprometido]],"",0)</f>
        <v>#NAME?</v>
      </c>
      <c r="AL533" s="47" t="e">
        <f ca="1">IF(PAA_4[[#This Row],[BOLSA]]=0,0,SUMIFS([2]!COMPROMISOS_2024[[#All],[Total Comprometido]],[2]!COMPROMISOS_2024[[#All],[Bolsa]],PAA_4[[#This Row],[BOLSA]],[2]!COMPROMISOS_2024[[#All],[concatenado]],PAA_4[[#This Row],[RCP-RUBRO]]))</f>
        <v>#REF!</v>
      </c>
    </row>
    <row r="534" spans="1:38" s="19" customFormat="1" ht="31.5" customHeight="1">
      <c r="A534" s="47">
        <v>157</v>
      </c>
      <c r="B534" s="47">
        <v>80111600</v>
      </c>
      <c r="C534" s="47" t="str">
        <f>VLOOKUP(PAA_4[[#This Row],[PROYECTO (formulado)2]],[2]PROYECTOS!$G$1:$L$32,6,0)</f>
        <v>SUBGERENCIA DE ALTOS LOGROS Y DEPORTE ASOCIADO</v>
      </c>
      <c r="D534" s="47" t="str">
        <f>+IF(PAA_4[[#This Row],[UNIDAD DE CONTRATACION (formulado)]]="Subgerencia Administrativa y Financiera","FUNCIONAMIENTO","INVERSIÓN")</f>
        <v>INVERSIÓN</v>
      </c>
      <c r="E534" s="48" t="str">
        <f>VLOOKUP(Q534,[2]PROYECTOS!$G$1:$K$32,5,0)</f>
        <v>APOYO_TÉCNICO_Y_PSICOSOCIAL_A_LOS_DEPORTISTAS_DE_ANTIOQUIA</v>
      </c>
      <c r="F534" s="48">
        <f>VLOOKUP(E534,[2]PROYECTOS!$K$1:$M$32,3,0)</f>
        <v>2021003050069</v>
      </c>
      <c r="G534" s="49" t="s">
        <v>241</v>
      </c>
      <c r="H534" s="49" t="str">
        <f>VLOOKUP(Q534,[2]PROYECTOS!$V$1:$W$32,2,0)</f>
        <v>050069</v>
      </c>
      <c r="I534" s="50">
        <v>23714292</v>
      </c>
      <c r="J534" s="51" t="s">
        <v>1576</v>
      </c>
      <c r="K534" s="47" t="str">
        <f t="shared" ca="1" si="234"/>
        <v>CONTRATADO</v>
      </c>
      <c r="L534" s="47" t="s">
        <v>94</v>
      </c>
      <c r="M534" s="47" t="s">
        <v>1297</v>
      </c>
      <c r="N534" s="52" t="s">
        <v>240</v>
      </c>
      <c r="O534" s="51" t="e">
        <f>VLOOKUP(N534,[2]!RUBROS[#All],3,0)</f>
        <v>#REF!</v>
      </c>
      <c r="P534" s="53" t="e">
        <f>VLOOKUP(N534,[2]!RUBROS[#All],2,0)</f>
        <v>#REF!</v>
      </c>
      <c r="Q534" s="47" t="str">
        <f t="shared" si="235"/>
        <v>22</v>
      </c>
      <c r="R534" s="47" t="str">
        <f t="shared" si="236"/>
        <v>0-205400</v>
      </c>
      <c r="S534" s="54">
        <v>6</v>
      </c>
      <c r="T534" s="59" t="s">
        <v>46</v>
      </c>
      <c r="U534" s="326" t="e">
        <f ca="1">_xlfn.XLOOKUP(PAA_4[[#This Row],[ITEM]],[2]Contrato!A:A,[2]Contrato!Q:Q,"",0)</f>
        <v>#NAME?</v>
      </c>
      <c r="V534" s="47" t="s">
        <v>47</v>
      </c>
      <c r="W534" s="64" t="s">
        <v>137</v>
      </c>
      <c r="X534" s="64" t="s">
        <v>137</v>
      </c>
      <c r="Y534" s="55" t="e">
        <f ca="1">_xlfn.XLOOKUP(PAA_4[[#This Row],[ITEM]],[2]Contrato!A:A,[2]Contrato!B:B,"",0)</f>
        <v>#NAME?</v>
      </c>
      <c r="Z534" s="47" t="e">
        <f ca="1">_xlfn.XLOOKUP(PAA_4[[#This Row],[ITEM]],[2]Contrato!A:A,[2]Contrato!G:G,"",0)</f>
        <v>#NAME?</v>
      </c>
      <c r="AA534" s="47" t="e">
        <f ca="1">_xlfn.XLOOKUP(PAA_4[[#This Row],[ITEM]],[2]Contrato!A:A,[2]Contrato!T:T,"",0)</f>
        <v>#NAME?</v>
      </c>
      <c r="AB534" s="55" t="e">
        <f ca="1">+MAX(PAA_4[[#This Row],[Comprometido Contrato]],PAA_4[[#This Row],[Comprometido Bolsa]])</f>
        <v>#NAME?</v>
      </c>
      <c r="AC534" s="55" t="str">
        <f t="shared" ca="1" si="237"/>
        <v/>
      </c>
      <c r="AD534" s="55" t="e">
        <f ca="1">IF(PAA_4[[#This Row],[ESTADO (formulado)]]="NO CONTRATADO",0,MAX(PAA_4[[#This Row],[Pago por Contrato]],PAA_4[[#This Row],[Pago por bolsa]]))</f>
        <v>#NAME?</v>
      </c>
      <c r="AE534" s="55" t="str">
        <f t="shared" ca="1" si="238"/>
        <v/>
      </c>
      <c r="AF534" s="47" t="e">
        <f t="shared" ca="1" si="239"/>
        <v>#NAME?</v>
      </c>
      <c r="AG534" s="47">
        <f t="shared" si="240"/>
        <v>41080106</v>
      </c>
      <c r="AH534" s="54" t="str">
        <f>IF(Q534="22",IF(ISNUMBER(SEARCH("econ",PAA_4[[#This Row],[Actividad3]])),"Económico",IF(ISNUMBER(SEARCH("alim",PAA_4[[#This Row],[Actividad3]])),"Alimentación",IF(ISNUMBER(SEARCH("educ",PAA_4[[#This Row],[Actividad3]])),"Educativo","Técnico"))),0)</f>
        <v>Técnico</v>
      </c>
      <c r="AI534" s="47" t="e" cm="1">
        <f t="array" aca="1" ref="AI534" ca="1">_xlfn.XLOOKUP(PAA_4[[#This Row],[RCP-RUBRO]],[2]!COMPROMISOS_2024[[#All],[concatenado]],[2]!COMPROMISOS_2024[[#All],[Total pagado]],"",0)</f>
        <v>#NAME?</v>
      </c>
      <c r="AJ534" s="56" t="e">
        <f ca="1">IF(PAA_4[[#This Row],[BOLSA]]=0,0,SUMIFS([2]!COMPROMISOS_2024[[#All],[Total pagado]],[2]!COMPROMISOS_2024[[#All],[Bolsa]],PAA_4[[#This Row],[BOLSA]],[2]!COMPROMISOS_2024[[#All],[rubro]],PAA_4[[#This Row],[RCP-RUBRO]]))</f>
        <v>#REF!</v>
      </c>
      <c r="AK534" s="47" t="e" cm="1">
        <f t="array" aca="1" ref="AK534" ca="1">_xlfn.XLOOKUP(PAA_4[[#This Row],[RCP-RUBRO]],[2]!COMPROMISOS_2024[[#All],[concatenado]],[2]!COMPROMISOS_2024[[#All],[Total Comprometido]],"",0)</f>
        <v>#NAME?</v>
      </c>
      <c r="AL534" s="47" t="e">
        <f ca="1">IF(PAA_4[[#This Row],[BOLSA]]=0,0,SUMIFS([2]!COMPROMISOS_2024[[#All],[Total Comprometido]],[2]!COMPROMISOS_2024[[#All],[Bolsa]],PAA_4[[#This Row],[BOLSA]],[2]!COMPROMISOS_2024[[#All],[concatenado]],PAA_4[[#This Row],[RCP-RUBRO]]))</f>
        <v>#REF!</v>
      </c>
    </row>
    <row r="535" spans="1:38" s="19" customFormat="1" ht="31.5" customHeight="1">
      <c r="A535" s="47">
        <v>158</v>
      </c>
      <c r="B535" s="47">
        <v>80111600</v>
      </c>
      <c r="C535" s="47" t="str">
        <f>VLOOKUP(PAA_4[[#This Row],[PROYECTO (formulado)2]],[2]PROYECTOS!$G$1:$L$32,6,0)</f>
        <v>SUBGERENCIA DE ALTOS LOGROS Y DEPORTE ASOCIADO</v>
      </c>
      <c r="D535" s="47" t="str">
        <f>+IF(PAA_4[[#This Row],[UNIDAD DE CONTRATACION (formulado)]]="Subgerencia Administrativa y Financiera","FUNCIONAMIENTO","INVERSIÓN")</f>
        <v>INVERSIÓN</v>
      </c>
      <c r="E535" s="48" t="str">
        <f>VLOOKUP(Q535,[2]PROYECTOS!$G$1:$K$32,5,0)</f>
        <v>APOYO_TÉCNICO_Y_PSICOSOCIAL_A_LOS_DEPORTISTAS_DE_ANTIOQUIA</v>
      </c>
      <c r="F535" s="48">
        <f>VLOOKUP(E535,[2]PROYECTOS!$K$1:$M$32,3,0)</f>
        <v>2021003050069</v>
      </c>
      <c r="G535" s="49" t="s">
        <v>241</v>
      </c>
      <c r="H535" s="49" t="str">
        <f>VLOOKUP(Q535,[2]PROYECTOS!$V$1:$W$32,2,0)</f>
        <v>050069</v>
      </c>
      <c r="I535" s="50">
        <v>23714292</v>
      </c>
      <c r="J535" s="51" t="s">
        <v>1577</v>
      </c>
      <c r="K535" s="47" t="str">
        <f t="shared" ca="1" si="234"/>
        <v>CONTRATADO</v>
      </c>
      <c r="L535" s="47" t="s">
        <v>94</v>
      </c>
      <c r="M535" s="47" t="s">
        <v>1297</v>
      </c>
      <c r="N535" s="52" t="s">
        <v>240</v>
      </c>
      <c r="O535" s="51" t="e">
        <f>VLOOKUP(N535,[2]!RUBROS[#All],3,0)</f>
        <v>#REF!</v>
      </c>
      <c r="P535" s="53" t="e">
        <f>VLOOKUP(N535,[2]!RUBROS[#All],2,0)</f>
        <v>#REF!</v>
      </c>
      <c r="Q535" s="47" t="str">
        <f t="shared" si="235"/>
        <v>22</v>
      </c>
      <c r="R535" s="47" t="str">
        <f t="shared" si="236"/>
        <v>0-205400</v>
      </c>
      <c r="S535" s="54">
        <v>6</v>
      </c>
      <c r="T535" s="59" t="s">
        <v>46</v>
      </c>
      <c r="U535" s="326" t="e">
        <f ca="1">_xlfn.XLOOKUP(PAA_4[[#This Row],[ITEM]],[2]Contrato!A:A,[2]Contrato!Q:Q,"",0)</f>
        <v>#NAME?</v>
      </c>
      <c r="V535" s="47" t="s">
        <v>47</v>
      </c>
      <c r="W535" s="64" t="s">
        <v>137</v>
      </c>
      <c r="X535" s="64" t="s">
        <v>137</v>
      </c>
      <c r="Y535" s="55" t="e">
        <f ca="1">_xlfn.XLOOKUP(PAA_4[[#This Row],[ITEM]],[2]Contrato!A:A,[2]Contrato!B:B,"",0)</f>
        <v>#NAME?</v>
      </c>
      <c r="Z535" s="47" t="e">
        <f ca="1">_xlfn.XLOOKUP(PAA_4[[#This Row],[ITEM]],[2]Contrato!A:A,[2]Contrato!G:G,"",0)</f>
        <v>#NAME?</v>
      </c>
      <c r="AA535" s="47" t="e">
        <f ca="1">_xlfn.XLOOKUP(PAA_4[[#This Row],[ITEM]],[2]Contrato!A:A,[2]Contrato!T:T,"",0)</f>
        <v>#NAME?</v>
      </c>
      <c r="AB535" s="55" t="e">
        <f ca="1">+MAX(PAA_4[[#This Row],[Comprometido Contrato]],PAA_4[[#This Row],[Comprometido Bolsa]])</f>
        <v>#NAME?</v>
      </c>
      <c r="AC535" s="55" t="str">
        <f t="shared" ca="1" si="237"/>
        <v/>
      </c>
      <c r="AD535" s="55" t="e">
        <f ca="1">IF(PAA_4[[#This Row],[ESTADO (formulado)]]="NO CONTRATADO",0,MAX(PAA_4[[#This Row],[Pago por Contrato]],PAA_4[[#This Row],[Pago por bolsa]]))</f>
        <v>#NAME?</v>
      </c>
      <c r="AE535" s="55" t="str">
        <f t="shared" ca="1" si="238"/>
        <v/>
      </c>
      <c r="AF535" s="47" t="e">
        <f t="shared" ca="1" si="239"/>
        <v>#NAME?</v>
      </c>
      <c r="AG535" s="47">
        <f t="shared" si="240"/>
        <v>41080106</v>
      </c>
      <c r="AH535" s="54" t="str">
        <f>IF(Q535="22",IF(ISNUMBER(SEARCH("econ",PAA_4[[#This Row],[Actividad3]])),"Económico",IF(ISNUMBER(SEARCH("alim",PAA_4[[#This Row],[Actividad3]])),"Alimentación",IF(ISNUMBER(SEARCH("educ",PAA_4[[#This Row],[Actividad3]])),"Educativo","Técnico"))),0)</f>
        <v>Técnico</v>
      </c>
      <c r="AI535" s="47" t="e" cm="1">
        <f t="array" aca="1" ref="AI535" ca="1">_xlfn.XLOOKUP(PAA_4[[#This Row],[RCP-RUBRO]],[2]!COMPROMISOS_2024[[#All],[concatenado]],[2]!COMPROMISOS_2024[[#All],[Total pagado]],"",0)</f>
        <v>#NAME?</v>
      </c>
      <c r="AJ535" s="56" t="e">
        <f ca="1">IF(PAA_4[[#This Row],[BOLSA]]=0,0,SUMIFS([2]!COMPROMISOS_2024[[#All],[Total pagado]],[2]!COMPROMISOS_2024[[#All],[Bolsa]],PAA_4[[#This Row],[BOLSA]],[2]!COMPROMISOS_2024[[#All],[rubro]],PAA_4[[#This Row],[RCP-RUBRO]]))</f>
        <v>#REF!</v>
      </c>
      <c r="AK535" s="47" t="e" cm="1">
        <f t="array" aca="1" ref="AK535" ca="1">_xlfn.XLOOKUP(PAA_4[[#This Row],[RCP-RUBRO]],[2]!COMPROMISOS_2024[[#All],[concatenado]],[2]!COMPROMISOS_2024[[#All],[Total Comprometido]],"",0)</f>
        <v>#NAME?</v>
      </c>
      <c r="AL535" s="47" t="e">
        <f ca="1">IF(PAA_4[[#This Row],[BOLSA]]=0,0,SUMIFS([2]!COMPROMISOS_2024[[#All],[Total Comprometido]],[2]!COMPROMISOS_2024[[#All],[Bolsa]],PAA_4[[#This Row],[BOLSA]],[2]!COMPROMISOS_2024[[#All],[concatenado]],PAA_4[[#This Row],[RCP-RUBRO]]))</f>
        <v>#REF!</v>
      </c>
    </row>
    <row r="536" spans="1:38" s="19" customFormat="1" ht="31.5" customHeight="1">
      <c r="A536" s="47">
        <v>159</v>
      </c>
      <c r="B536" s="47">
        <v>80111600</v>
      </c>
      <c r="C536" s="47" t="str">
        <f>VLOOKUP(PAA_4[[#This Row],[PROYECTO (formulado)2]],[2]PROYECTOS!$G$1:$L$32,6,0)</f>
        <v>SUBGERENCIA DE ALTOS LOGROS Y DEPORTE ASOCIADO</v>
      </c>
      <c r="D536" s="47" t="str">
        <f>+IF(PAA_4[[#This Row],[UNIDAD DE CONTRATACION (formulado)]]="Subgerencia Administrativa y Financiera","FUNCIONAMIENTO","INVERSIÓN")</f>
        <v>INVERSIÓN</v>
      </c>
      <c r="E536" s="48" t="str">
        <f>VLOOKUP(Q536,[2]PROYECTOS!$G$1:$K$32,5,0)</f>
        <v>APOYO_TÉCNICO_Y_PSICOSOCIAL_A_LOS_DEPORTISTAS_DE_ANTIOQUIA</v>
      </c>
      <c r="F536" s="48">
        <f>VLOOKUP(E536,[2]PROYECTOS!$K$1:$M$32,3,0)</f>
        <v>2021003050069</v>
      </c>
      <c r="G536" s="49" t="s">
        <v>241</v>
      </c>
      <c r="H536" s="49" t="str">
        <f>VLOOKUP(Q536,[2]PROYECTOS!$V$1:$W$32,2,0)</f>
        <v>050069</v>
      </c>
      <c r="I536" s="50">
        <v>23714292</v>
      </c>
      <c r="J536" s="51" t="s">
        <v>1578</v>
      </c>
      <c r="K536" s="47" t="str">
        <f t="shared" ca="1" si="234"/>
        <v>CONTRATADO</v>
      </c>
      <c r="L536" s="47" t="s">
        <v>94</v>
      </c>
      <c r="M536" s="47" t="s">
        <v>1297</v>
      </c>
      <c r="N536" s="52" t="s">
        <v>240</v>
      </c>
      <c r="O536" s="51" t="e">
        <f>VLOOKUP(N536,[2]!RUBROS[#All],3,0)</f>
        <v>#REF!</v>
      </c>
      <c r="P536" s="53" t="e">
        <f>VLOOKUP(N536,[2]!RUBROS[#All],2,0)</f>
        <v>#REF!</v>
      </c>
      <c r="Q536" s="47" t="str">
        <f t="shared" si="235"/>
        <v>22</v>
      </c>
      <c r="R536" s="47" t="str">
        <f t="shared" si="236"/>
        <v>0-205400</v>
      </c>
      <c r="S536" s="54">
        <v>6</v>
      </c>
      <c r="T536" s="59" t="s">
        <v>46</v>
      </c>
      <c r="U536" s="326" t="e">
        <f ca="1">_xlfn.XLOOKUP(PAA_4[[#This Row],[ITEM]],[2]Contrato!A:A,[2]Contrato!Q:Q,"",0)</f>
        <v>#NAME?</v>
      </c>
      <c r="V536" s="47" t="s">
        <v>47</v>
      </c>
      <c r="W536" s="64" t="s">
        <v>137</v>
      </c>
      <c r="X536" s="64" t="s">
        <v>137</v>
      </c>
      <c r="Y536" s="55" t="e">
        <f ca="1">_xlfn.XLOOKUP(PAA_4[[#This Row],[ITEM]],[2]Contrato!A:A,[2]Contrato!B:B,"",0)</f>
        <v>#NAME?</v>
      </c>
      <c r="Z536" s="47" t="e">
        <f ca="1">_xlfn.XLOOKUP(PAA_4[[#This Row],[ITEM]],[2]Contrato!A:A,[2]Contrato!G:G,"",0)</f>
        <v>#NAME?</v>
      </c>
      <c r="AA536" s="47" t="e">
        <f ca="1">_xlfn.XLOOKUP(PAA_4[[#This Row],[ITEM]],[2]Contrato!A:A,[2]Contrato!T:T,"",0)</f>
        <v>#NAME?</v>
      </c>
      <c r="AB536" s="55" t="e">
        <f ca="1">+MAX(PAA_4[[#This Row],[Comprometido Contrato]],PAA_4[[#This Row],[Comprometido Bolsa]])</f>
        <v>#NAME?</v>
      </c>
      <c r="AC536" s="55" t="str">
        <f t="shared" ca="1" si="237"/>
        <v/>
      </c>
      <c r="AD536" s="55" t="e">
        <f ca="1">IF(PAA_4[[#This Row],[ESTADO (formulado)]]="NO CONTRATADO",0,MAX(PAA_4[[#This Row],[Pago por Contrato]],PAA_4[[#This Row],[Pago por bolsa]]))</f>
        <v>#NAME?</v>
      </c>
      <c r="AE536" s="55" t="str">
        <f t="shared" ca="1" si="238"/>
        <v/>
      </c>
      <c r="AF536" s="47" t="e">
        <f t="shared" ca="1" si="239"/>
        <v>#NAME?</v>
      </c>
      <c r="AG536" s="47">
        <f t="shared" si="240"/>
        <v>41080106</v>
      </c>
      <c r="AH536" s="54" t="str">
        <f>IF(Q536="22",IF(ISNUMBER(SEARCH("econ",PAA_4[[#This Row],[Actividad3]])),"Económico",IF(ISNUMBER(SEARCH("alim",PAA_4[[#This Row],[Actividad3]])),"Alimentación",IF(ISNUMBER(SEARCH("educ",PAA_4[[#This Row],[Actividad3]])),"Educativo","Técnico"))),0)</f>
        <v>Técnico</v>
      </c>
      <c r="AI536" s="47" t="e" cm="1">
        <f t="array" aca="1" ref="AI536" ca="1">_xlfn.XLOOKUP(PAA_4[[#This Row],[RCP-RUBRO]],[2]!COMPROMISOS_2024[[#All],[concatenado]],[2]!COMPROMISOS_2024[[#All],[Total pagado]],"",0)</f>
        <v>#NAME?</v>
      </c>
      <c r="AJ536" s="56" t="e">
        <f ca="1">IF(PAA_4[[#This Row],[BOLSA]]=0,0,SUMIFS([2]!COMPROMISOS_2024[[#All],[Total pagado]],[2]!COMPROMISOS_2024[[#All],[Bolsa]],PAA_4[[#This Row],[BOLSA]],[2]!COMPROMISOS_2024[[#All],[rubro]],PAA_4[[#This Row],[RCP-RUBRO]]))</f>
        <v>#REF!</v>
      </c>
      <c r="AK536" s="47" t="e" cm="1">
        <f t="array" aca="1" ref="AK536" ca="1">_xlfn.XLOOKUP(PAA_4[[#This Row],[RCP-RUBRO]],[2]!COMPROMISOS_2024[[#All],[concatenado]],[2]!COMPROMISOS_2024[[#All],[Total Comprometido]],"",0)</f>
        <v>#NAME?</v>
      </c>
      <c r="AL536" s="47" t="e">
        <f ca="1">IF(PAA_4[[#This Row],[BOLSA]]=0,0,SUMIFS([2]!COMPROMISOS_2024[[#All],[Total Comprometido]],[2]!COMPROMISOS_2024[[#All],[Bolsa]],PAA_4[[#This Row],[BOLSA]],[2]!COMPROMISOS_2024[[#All],[concatenado]],PAA_4[[#This Row],[RCP-RUBRO]]))</f>
        <v>#REF!</v>
      </c>
    </row>
    <row r="537" spans="1:38" s="19" customFormat="1" ht="31.5" customHeight="1">
      <c r="A537" s="47">
        <v>160</v>
      </c>
      <c r="B537" s="47">
        <v>80111600</v>
      </c>
      <c r="C537" s="47" t="str">
        <f>VLOOKUP(PAA_4[[#This Row],[PROYECTO (formulado)2]],[2]PROYECTOS!$G$1:$L$32,6,0)</f>
        <v>SUBGERENCIA DE ALTOS LOGROS Y DEPORTE ASOCIADO</v>
      </c>
      <c r="D537" s="47" t="str">
        <f>+IF(PAA_4[[#This Row],[UNIDAD DE CONTRATACION (formulado)]]="Subgerencia Administrativa y Financiera","FUNCIONAMIENTO","INVERSIÓN")</f>
        <v>INVERSIÓN</v>
      </c>
      <c r="E537" s="48" t="str">
        <f>VLOOKUP(Q537,[2]PROYECTOS!$G$1:$K$32,5,0)</f>
        <v>APOYO_TÉCNICO_Y_PSICOSOCIAL_A_LOS_DEPORTISTAS_DE_ANTIOQUIA</v>
      </c>
      <c r="F537" s="48">
        <f>VLOOKUP(E537,[2]PROYECTOS!$K$1:$M$32,3,0)</f>
        <v>2021003050069</v>
      </c>
      <c r="G537" s="49" t="s">
        <v>241</v>
      </c>
      <c r="H537" s="49" t="str">
        <f>VLOOKUP(Q537,[2]PROYECTOS!$V$1:$W$32,2,0)</f>
        <v>050069</v>
      </c>
      <c r="I537" s="50">
        <v>23714292</v>
      </c>
      <c r="J537" s="51" t="s">
        <v>1579</v>
      </c>
      <c r="K537" s="47" t="str">
        <f t="shared" ca="1" si="234"/>
        <v>CONTRATADO</v>
      </c>
      <c r="L537" s="47" t="s">
        <v>94</v>
      </c>
      <c r="M537" s="47" t="s">
        <v>1297</v>
      </c>
      <c r="N537" s="52" t="s">
        <v>240</v>
      </c>
      <c r="O537" s="51" t="e">
        <f>VLOOKUP(N537,[2]!RUBROS[#All],3,0)</f>
        <v>#REF!</v>
      </c>
      <c r="P537" s="53" t="e">
        <f>VLOOKUP(N537,[2]!RUBROS[#All],2,0)</f>
        <v>#REF!</v>
      </c>
      <c r="Q537" s="47" t="str">
        <f t="shared" si="235"/>
        <v>22</v>
      </c>
      <c r="R537" s="47" t="str">
        <f t="shared" si="236"/>
        <v>0-205400</v>
      </c>
      <c r="S537" s="54">
        <v>6</v>
      </c>
      <c r="T537" s="59" t="s">
        <v>46</v>
      </c>
      <c r="U537" s="326" t="e">
        <f ca="1">_xlfn.XLOOKUP(PAA_4[[#This Row],[ITEM]],[2]Contrato!A:A,[2]Contrato!Q:Q,"",0)</f>
        <v>#NAME?</v>
      </c>
      <c r="V537" s="47" t="s">
        <v>47</v>
      </c>
      <c r="W537" s="64" t="s">
        <v>137</v>
      </c>
      <c r="X537" s="64" t="s">
        <v>137</v>
      </c>
      <c r="Y537" s="55" t="e">
        <f ca="1">_xlfn.XLOOKUP(PAA_4[[#This Row],[ITEM]],[2]Contrato!A:A,[2]Contrato!B:B,"",0)</f>
        <v>#NAME?</v>
      </c>
      <c r="Z537" s="47" t="e">
        <f ca="1">_xlfn.XLOOKUP(PAA_4[[#This Row],[ITEM]],[2]Contrato!A:A,[2]Contrato!G:G,"",0)</f>
        <v>#NAME?</v>
      </c>
      <c r="AA537" s="47" t="e">
        <f ca="1">_xlfn.XLOOKUP(PAA_4[[#This Row],[ITEM]],[2]Contrato!A:A,[2]Contrato!T:T,"",0)</f>
        <v>#NAME?</v>
      </c>
      <c r="AB537" s="55" t="e">
        <f ca="1">+MAX(PAA_4[[#This Row],[Comprometido Contrato]],PAA_4[[#This Row],[Comprometido Bolsa]])</f>
        <v>#NAME?</v>
      </c>
      <c r="AC537" s="55" t="str">
        <f t="shared" ca="1" si="237"/>
        <v/>
      </c>
      <c r="AD537" s="55" t="e">
        <f ca="1">IF(PAA_4[[#This Row],[ESTADO (formulado)]]="NO CONTRATADO",0,MAX(PAA_4[[#This Row],[Pago por Contrato]],PAA_4[[#This Row],[Pago por bolsa]]))</f>
        <v>#NAME?</v>
      </c>
      <c r="AE537" s="55" t="str">
        <f t="shared" ca="1" si="238"/>
        <v/>
      </c>
      <c r="AF537" s="47" t="e">
        <f t="shared" ca="1" si="239"/>
        <v>#NAME?</v>
      </c>
      <c r="AG537" s="47">
        <f t="shared" si="240"/>
        <v>41080106</v>
      </c>
      <c r="AH537" s="54" t="str">
        <f>IF(Q537="22",IF(ISNUMBER(SEARCH("econ",PAA_4[[#This Row],[Actividad3]])),"Económico",IF(ISNUMBER(SEARCH("alim",PAA_4[[#This Row],[Actividad3]])),"Alimentación",IF(ISNUMBER(SEARCH("educ",PAA_4[[#This Row],[Actividad3]])),"Educativo","Técnico"))),0)</f>
        <v>Técnico</v>
      </c>
      <c r="AI537" s="47" t="e" cm="1">
        <f t="array" aca="1" ref="AI537" ca="1">_xlfn.XLOOKUP(PAA_4[[#This Row],[RCP-RUBRO]],[2]!COMPROMISOS_2024[[#All],[concatenado]],[2]!COMPROMISOS_2024[[#All],[Total pagado]],"",0)</f>
        <v>#NAME?</v>
      </c>
      <c r="AJ537" s="56" t="e">
        <f ca="1">IF(PAA_4[[#This Row],[BOLSA]]=0,0,SUMIFS([2]!COMPROMISOS_2024[[#All],[Total pagado]],[2]!COMPROMISOS_2024[[#All],[Bolsa]],PAA_4[[#This Row],[BOLSA]],[2]!COMPROMISOS_2024[[#All],[rubro]],PAA_4[[#This Row],[RCP-RUBRO]]))</f>
        <v>#REF!</v>
      </c>
      <c r="AK537" s="47" t="e" cm="1">
        <f t="array" aca="1" ref="AK537" ca="1">_xlfn.XLOOKUP(PAA_4[[#This Row],[RCP-RUBRO]],[2]!COMPROMISOS_2024[[#All],[concatenado]],[2]!COMPROMISOS_2024[[#All],[Total Comprometido]],"",0)</f>
        <v>#NAME?</v>
      </c>
      <c r="AL537" s="47" t="e">
        <f ca="1">IF(PAA_4[[#This Row],[BOLSA]]=0,0,SUMIFS([2]!COMPROMISOS_2024[[#All],[Total Comprometido]],[2]!COMPROMISOS_2024[[#All],[Bolsa]],PAA_4[[#This Row],[BOLSA]],[2]!COMPROMISOS_2024[[#All],[concatenado]],PAA_4[[#This Row],[RCP-RUBRO]]))</f>
        <v>#REF!</v>
      </c>
    </row>
    <row r="538" spans="1:38" s="19" customFormat="1" ht="31.5" customHeight="1">
      <c r="A538" s="47">
        <v>161</v>
      </c>
      <c r="B538" s="65">
        <v>80111600</v>
      </c>
      <c r="C538" s="47" t="str">
        <f>VLOOKUP(PAA_4[[#This Row],[PROYECTO (formulado)2]],[2]PROYECTOS!$G$1:$L$32,6,0)</f>
        <v>SUBGERENCIA DE ALTOS LOGROS Y DEPORTE ASOCIADO</v>
      </c>
      <c r="D538" s="65" t="str">
        <f>+IF(PAA_4[[#This Row],[UNIDAD DE CONTRATACION (formulado)]]="Subgerencia Administrativa y Financiera","FUNCIONAMIENTO","INVERSIÓN")</f>
        <v>INVERSIÓN</v>
      </c>
      <c r="E538" s="66" t="str">
        <f>VLOOKUP(Q538,[2]PROYECTOS!$G$1:$K$32,5,0)</f>
        <v>APOYO_TÉCNICO_Y_PSICOSOCIAL_A_LOS_DEPORTISTAS_DE_ANTIOQUIA</v>
      </c>
      <c r="F538" s="48">
        <f>VLOOKUP(E538,[2]PROYECTOS!$K$1:$M$32,3,0)</f>
        <v>2021003050069</v>
      </c>
      <c r="G538" s="49" t="s">
        <v>241</v>
      </c>
      <c r="H538" s="67" t="str">
        <f>VLOOKUP(Q538,[2]PROYECTOS!$V$1:$W$32,2,0)</f>
        <v>050069</v>
      </c>
      <c r="I538" s="68">
        <v>29453616</v>
      </c>
      <c r="J538" s="53" t="s">
        <v>1580</v>
      </c>
      <c r="K538" s="65" t="str">
        <f t="shared" ca="1" si="234"/>
        <v>CONTRATADO</v>
      </c>
      <c r="L538" s="47" t="s">
        <v>94</v>
      </c>
      <c r="M538" s="47" t="s">
        <v>1297</v>
      </c>
      <c r="N538" s="52" t="s">
        <v>240</v>
      </c>
      <c r="O538" s="51" t="e">
        <f>VLOOKUP(N538,[2]!RUBROS[#All],3,0)</f>
        <v>#REF!</v>
      </c>
      <c r="P538" s="53" t="e">
        <f>VLOOKUP(N538,[2]!RUBROS[#All],2,0)</f>
        <v>#REF!</v>
      </c>
      <c r="Q538" s="65" t="str">
        <f t="shared" si="235"/>
        <v>22</v>
      </c>
      <c r="R538" s="47" t="str">
        <f t="shared" si="236"/>
        <v>0-205400</v>
      </c>
      <c r="S538" s="65">
        <v>6</v>
      </c>
      <c r="T538" s="59" t="s">
        <v>46</v>
      </c>
      <c r="U538" s="345" t="e">
        <f ca="1">_xlfn.XLOOKUP(PAA_4[[#This Row],[ITEM]],[2]Contrato!A:A,[2]Contrato!Q:Q,"",0)</f>
        <v>#NAME?</v>
      </c>
      <c r="V538" s="65" t="s">
        <v>47</v>
      </c>
      <c r="W538" s="65" t="s">
        <v>137</v>
      </c>
      <c r="X538" s="65" t="s">
        <v>137</v>
      </c>
      <c r="Y538" s="69" t="e">
        <f ca="1">_xlfn.XLOOKUP(PAA_4[[#This Row],[ITEM]],[2]Contrato!A:A,[2]Contrato!B:B,"",0)</f>
        <v>#NAME?</v>
      </c>
      <c r="Z538" s="65" t="e">
        <f ca="1">_xlfn.XLOOKUP(PAA_4[[#This Row],[ITEM]],[2]Contrato!A:A,[2]Contrato!G:G,"",0)</f>
        <v>#NAME?</v>
      </c>
      <c r="AA538" s="65" t="e">
        <f ca="1">_xlfn.XLOOKUP(PAA_4[[#This Row],[ITEM]],[2]Contrato!A:A,[2]Contrato!T:T,"",0)</f>
        <v>#NAME?</v>
      </c>
      <c r="AB538" s="69" t="e">
        <f ca="1">+MAX(PAA_4[[#This Row],[Comprometido Contrato]],PAA_4[[#This Row],[Comprometido Bolsa]])</f>
        <v>#NAME?</v>
      </c>
      <c r="AC538" s="69" t="str">
        <f t="shared" ca="1" si="237"/>
        <v/>
      </c>
      <c r="AD538" s="69" t="e">
        <f ca="1">IF(PAA_4[[#This Row],[ESTADO (formulado)]]="NO CONTRATADO",0,MAX(PAA_4[[#This Row],[Pago por Contrato]],PAA_4[[#This Row],[Pago por bolsa]]))</f>
        <v>#NAME?</v>
      </c>
      <c r="AE538" s="69" t="str">
        <f t="shared" ca="1" si="238"/>
        <v/>
      </c>
      <c r="AF538" s="65" t="e">
        <f t="shared" ca="1" si="239"/>
        <v>#NAME?</v>
      </c>
      <c r="AG538" s="47">
        <f t="shared" si="240"/>
        <v>41080106</v>
      </c>
      <c r="AH538" s="54" t="str">
        <f>IF(Q538="22",IF(ISNUMBER(SEARCH("econ",PAA_4[[#This Row],[Actividad3]])),"Económico",IF(ISNUMBER(SEARCH("alim",PAA_4[[#This Row],[Actividad3]])),"Alimentación",IF(ISNUMBER(SEARCH("educ",PAA_4[[#This Row],[Actividad3]])),"Educativo","Técnico"))),0)</f>
        <v>Técnico</v>
      </c>
      <c r="AI538" s="47" t="e" cm="1">
        <f t="array" aca="1" ref="AI538" ca="1">_xlfn.XLOOKUP(PAA_4[[#This Row],[RCP-RUBRO]],[2]!COMPROMISOS_2024[[#All],[concatenado]],[2]!COMPROMISOS_2024[[#All],[Total pagado]],"",0)</f>
        <v>#NAME?</v>
      </c>
      <c r="AJ538" s="56" t="e">
        <f ca="1">IF(PAA_4[[#This Row],[BOLSA]]=0,0,SUMIFS([2]!COMPROMISOS_2024[[#All],[Total pagado]],[2]!COMPROMISOS_2024[[#All],[Bolsa]],PAA_4[[#This Row],[BOLSA]],[2]!COMPROMISOS_2024[[#All],[rubro]],PAA_4[[#This Row],[RCP-RUBRO]]))</f>
        <v>#REF!</v>
      </c>
      <c r="AK538" s="65" t="e" cm="1">
        <f t="array" aca="1" ref="AK538" ca="1">_xlfn.XLOOKUP(PAA_4[[#This Row],[RCP-RUBRO]],[2]!COMPROMISOS_2024[[#All],[concatenado]],[2]!COMPROMISOS_2024[[#All],[Total Comprometido]],"",0)</f>
        <v>#NAME?</v>
      </c>
      <c r="AL538" s="65" t="e">
        <f ca="1">IF(PAA_4[[#This Row],[BOLSA]]=0,0,SUMIFS([2]!COMPROMISOS_2024[[#All],[Total Comprometido]],[2]!COMPROMISOS_2024[[#All],[Bolsa]],PAA_4[[#This Row],[BOLSA]],[2]!COMPROMISOS_2024[[#All],[concatenado]],PAA_4[[#This Row],[RCP-RUBRO]]))</f>
        <v>#REF!</v>
      </c>
    </row>
    <row r="539" spans="1:38" s="19" customFormat="1" ht="31.5" customHeight="1">
      <c r="A539" s="47">
        <v>162</v>
      </c>
      <c r="B539" s="53">
        <v>80111600</v>
      </c>
      <c r="C539" s="47" t="str">
        <f>VLOOKUP(PAA_4[[#This Row],[PROYECTO (formulado)2]],[2]PROYECTOS!$G$1:$L$32,6,0)</f>
        <v>SUBGERENCIA DE ALTOS LOGROS Y DEPORTE ASOCIADO</v>
      </c>
      <c r="D539" s="65" t="str">
        <f>+IF(PAA_4[[#This Row],[UNIDAD DE CONTRATACION (formulado)]]="Subgerencia Administrativa y Financiera","FUNCIONAMIENTO","INVERSIÓN")</f>
        <v>INVERSIÓN</v>
      </c>
      <c r="E539" s="66" t="str">
        <f>VLOOKUP(Q539,[2]PROYECTOS!$G$1:$K$32,5,0)</f>
        <v>APOYO_TÉCNICO_Y_PSICOSOCIAL_A_LOS_DEPORTISTAS_DE_ANTIOQUIA</v>
      </c>
      <c r="F539" s="48">
        <f>VLOOKUP(E539,[2]PROYECTOS!$K$1:$M$32,3,0)</f>
        <v>2021003050069</v>
      </c>
      <c r="G539" s="49" t="s">
        <v>241</v>
      </c>
      <c r="H539" s="67" t="str">
        <f>VLOOKUP(Q539,[2]PROYECTOS!$V$1:$W$32,2,0)</f>
        <v>050069</v>
      </c>
      <c r="I539" s="68">
        <v>23714292</v>
      </c>
      <c r="J539" s="53" t="s">
        <v>1581</v>
      </c>
      <c r="K539" s="65" t="str">
        <f t="shared" ca="1" si="234"/>
        <v>CONTRATADO</v>
      </c>
      <c r="L539" s="47" t="s">
        <v>94</v>
      </c>
      <c r="M539" s="47" t="s">
        <v>1297</v>
      </c>
      <c r="N539" s="52" t="s">
        <v>240</v>
      </c>
      <c r="O539" s="51" t="e">
        <f>VLOOKUP(N539,[2]!RUBROS[#All],3,0)</f>
        <v>#REF!</v>
      </c>
      <c r="P539" s="53" t="e">
        <f>VLOOKUP(N539,[2]!RUBROS[#All],2,0)</f>
        <v>#REF!</v>
      </c>
      <c r="Q539" s="65" t="str">
        <f t="shared" si="235"/>
        <v>22</v>
      </c>
      <c r="R539" s="47" t="str">
        <f t="shared" si="236"/>
        <v>0-205400</v>
      </c>
      <c r="S539" s="65">
        <v>6</v>
      </c>
      <c r="T539" s="59" t="s">
        <v>46</v>
      </c>
      <c r="U539" s="345" t="e">
        <f ca="1">_xlfn.XLOOKUP(PAA_4[[#This Row],[ITEM]],[2]Contrato!A:A,[2]Contrato!Q:Q,"",0)</f>
        <v>#NAME?</v>
      </c>
      <c r="V539" s="65" t="s">
        <v>47</v>
      </c>
      <c r="W539" s="65" t="s">
        <v>137</v>
      </c>
      <c r="X539" s="65" t="s">
        <v>137</v>
      </c>
      <c r="Y539" s="69" t="e">
        <f ca="1">_xlfn.XLOOKUP(PAA_4[[#This Row],[ITEM]],[2]Contrato!A:A,[2]Contrato!B:B,"",0)</f>
        <v>#NAME?</v>
      </c>
      <c r="Z539" s="65" t="e">
        <f ca="1">_xlfn.XLOOKUP(PAA_4[[#This Row],[ITEM]],[2]Contrato!A:A,[2]Contrato!G:G,"",0)</f>
        <v>#NAME?</v>
      </c>
      <c r="AA539" s="65" t="e">
        <f ca="1">_xlfn.XLOOKUP(PAA_4[[#This Row],[ITEM]],[2]Contrato!A:A,[2]Contrato!T:T,"",0)</f>
        <v>#NAME?</v>
      </c>
      <c r="AB539" s="69" t="e">
        <f ca="1">+MAX(PAA_4[[#This Row],[Comprometido Contrato]],PAA_4[[#This Row],[Comprometido Bolsa]])</f>
        <v>#NAME?</v>
      </c>
      <c r="AC539" s="69" t="str">
        <f t="shared" ca="1" si="237"/>
        <v/>
      </c>
      <c r="AD539" s="69" t="e">
        <f ca="1">IF(PAA_4[[#This Row],[ESTADO (formulado)]]="NO CONTRATADO",0,MAX(PAA_4[[#This Row],[Pago por Contrato]],PAA_4[[#This Row],[Pago por bolsa]]))</f>
        <v>#NAME?</v>
      </c>
      <c r="AE539" s="69" t="str">
        <f t="shared" ca="1" si="238"/>
        <v/>
      </c>
      <c r="AF539" s="65" t="e">
        <f t="shared" ca="1" si="239"/>
        <v>#NAME?</v>
      </c>
      <c r="AG539" s="47">
        <f t="shared" si="240"/>
        <v>41080106</v>
      </c>
      <c r="AH539" s="54" t="str">
        <f>IF(Q539="22",IF(ISNUMBER(SEARCH("econ",PAA_4[[#This Row],[Actividad3]])),"Económico",IF(ISNUMBER(SEARCH("alim",PAA_4[[#This Row],[Actividad3]])),"Alimentación",IF(ISNUMBER(SEARCH("educ",PAA_4[[#This Row],[Actividad3]])),"Educativo","Técnico"))),0)</f>
        <v>Técnico</v>
      </c>
      <c r="AI539" s="47" t="e" cm="1">
        <f t="array" aca="1" ref="AI539" ca="1">_xlfn.XLOOKUP(PAA_4[[#This Row],[RCP-RUBRO]],[2]!COMPROMISOS_2024[[#All],[concatenado]],[2]!COMPROMISOS_2024[[#All],[Total pagado]],"",0)</f>
        <v>#NAME?</v>
      </c>
      <c r="AJ539" s="56" t="e">
        <f ca="1">IF(PAA_4[[#This Row],[BOLSA]]=0,0,SUMIFS([2]!COMPROMISOS_2024[[#All],[Total pagado]],[2]!COMPROMISOS_2024[[#All],[Bolsa]],PAA_4[[#This Row],[BOLSA]],[2]!COMPROMISOS_2024[[#All],[rubro]],PAA_4[[#This Row],[RCP-RUBRO]]))</f>
        <v>#REF!</v>
      </c>
      <c r="AK539" s="65" t="e" cm="1">
        <f t="array" aca="1" ref="AK539" ca="1">_xlfn.XLOOKUP(PAA_4[[#This Row],[RCP-RUBRO]],[2]!COMPROMISOS_2024[[#All],[concatenado]],[2]!COMPROMISOS_2024[[#All],[Total Comprometido]],"",0)</f>
        <v>#NAME?</v>
      </c>
      <c r="AL539" s="65" t="e">
        <f ca="1">IF(PAA_4[[#This Row],[BOLSA]]=0,0,SUMIFS([2]!COMPROMISOS_2024[[#All],[Total Comprometido]],[2]!COMPROMISOS_2024[[#All],[Bolsa]],PAA_4[[#This Row],[BOLSA]],[2]!COMPROMISOS_2024[[#All],[concatenado]],PAA_4[[#This Row],[RCP-RUBRO]]))</f>
        <v>#REF!</v>
      </c>
    </row>
    <row r="540" spans="1:38" s="19" customFormat="1" ht="31.5" customHeight="1">
      <c r="A540" s="47">
        <v>163</v>
      </c>
      <c r="B540" s="65">
        <v>80111600</v>
      </c>
      <c r="C540" s="47" t="str">
        <f>VLOOKUP(PAA_4[[#This Row],[PROYECTO (formulado)2]],[2]PROYECTOS!$G$1:$L$32,6,0)</f>
        <v>SUBGERENCIA DE ALTOS LOGROS Y DEPORTE ASOCIADO</v>
      </c>
      <c r="D540" s="65" t="str">
        <f>+IF(PAA_4[[#This Row],[UNIDAD DE CONTRATACION (formulado)]]="Subgerencia Administrativa y Financiera","FUNCIONAMIENTO","INVERSIÓN")</f>
        <v>INVERSIÓN</v>
      </c>
      <c r="E540" s="66" t="str">
        <f>VLOOKUP(Q540,[2]PROYECTOS!$G$1:$K$32,5,0)</f>
        <v>APOYO_TÉCNICO_Y_PSICOSOCIAL_A_LOS_DEPORTISTAS_DE_ANTIOQUIA</v>
      </c>
      <c r="F540" s="48">
        <f>VLOOKUP(E540,[2]PROYECTOS!$K$1:$M$32,3,0)</f>
        <v>2021003050069</v>
      </c>
      <c r="G540" s="67" t="s">
        <v>241</v>
      </c>
      <c r="H540" s="67" t="str">
        <f>VLOOKUP(Q540,[2]PROYECTOS!$V$1:$W$32,2,0)</f>
        <v>050069</v>
      </c>
      <c r="I540" s="68">
        <v>23714292</v>
      </c>
      <c r="J540" s="53" t="s">
        <v>1582</v>
      </c>
      <c r="K540" s="65" t="str">
        <f t="shared" ca="1" si="234"/>
        <v>CONTRATADO</v>
      </c>
      <c r="L540" s="47" t="s">
        <v>94</v>
      </c>
      <c r="M540" s="47" t="s">
        <v>1297</v>
      </c>
      <c r="N540" s="52" t="s">
        <v>240</v>
      </c>
      <c r="O540" s="51" t="e">
        <f>VLOOKUP(N540,[2]!RUBROS[#All],3,0)</f>
        <v>#REF!</v>
      </c>
      <c r="P540" s="53" t="e">
        <f>VLOOKUP(N540,[2]!RUBROS[#All],2,0)</f>
        <v>#REF!</v>
      </c>
      <c r="Q540" s="65" t="str">
        <f t="shared" si="235"/>
        <v>22</v>
      </c>
      <c r="R540" s="47" t="str">
        <f t="shared" si="236"/>
        <v>0-205400</v>
      </c>
      <c r="S540" s="65">
        <v>6</v>
      </c>
      <c r="T540" s="59" t="s">
        <v>46</v>
      </c>
      <c r="U540" s="345" t="e">
        <f ca="1">_xlfn.XLOOKUP(PAA_4[[#This Row],[ITEM]],[2]Contrato!A:A,[2]Contrato!Q:Q,"",0)</f>
        <v>#NAME?</v>
      </c>
      <c r="V540" s="65" t="s">
        <v>47</v>
      </c>
      <c r="W540" s="65" t="s">
        <v>137</v>
      </c>
      <c r="X540" s="65" t="s">
        <v>137</v>
      </c>
      <c r="Y540" s="69" t="e">
        <f ca="1">_xlfn.XLOOKUP(PAA_4[[#This Row],[ITEM]],[2]Contrato!A:A,[2]Contrato!B:B,"",0)</f>
        <v>#NAME?</v>
      </c>
      <c r="Z540" s="65" t="e">
        <f ca="1">_xlfn.XLOOKUP(PAA_4[[#This Row],[ITEM]],[2]Contrato!A:A,[2]Contrato!G:G,"",0)</f>
        <v>#NAME?</v>
      </c>
      <c r="AA540" s="65" t="e">
        <f ca="1">_xlfn.XLOOKUP(PAA_4[[#This Row],[ITEM]],[2]Contrato!A:A,[2]Contrato!T:T,"",0)</f>
        <v>#NAME?</v>
      </c>
      <c r="AB540" s="69" t="e">
        <f ca="1">+MAX(PAA_4[[#This Row],[Comprometido Contrato]],PAA_4[[#This Row],[Comprometido Bolsa]])</f>
        <v>#NAME?</v>
      </c>
      <c r="AC540" s="69" t="str">
        <f t="shared" ca="1" si="237"/>
        <v/>
      </c>
      <c r="AD540" s="69" t="e">
        <f ca="1">IF(PAA_4[[#This Row],[ESTADO (formulado)]]="NO CONTRATADO",0,MAX(PAA_4[[#This Row],[Pago por Contrato]],PAA_4[[#This Row],[Pago por bolsa]]))</f>
        <v>#NAME?</v>
      </c>
      <c r="AE540" s="69" t="str">
        <f t="shared" ca="1" si="238"/>
        <v/>
      </c>
      <c r="AF540" s="65" t="e">
        <f t="shared" ca="1" si="239"/>
        <v>#NAME?</v>
      </c>
      <c r="AG540" s="47">
        <f t="shared" si="240"/>
        <v>41080106</v>
      </c>
      <c r="AH540" s="54" t="str">
        <f>IF(Q540="22",IF(ISNUMBER(SEARCH("econ",PAA_4[[#This Row],[Actividad3]])),"Económico",IF(ISNUMBER(SEARCH("alim",PAA_4[[#This Row],[Actividad3]])),"Alimentación",IF(ISNUMBER(SEARCH("educ",PAA_4[[#This Row],[Actividad3]])),"Educativo","Técnico"))),0)</f>
        <v>Técnico</v>
      </c>
      <c r="AI540" s="47" t="e" cm="1">
        <f t="array" aca="1" ref="AI540" ca="1">_xlfn.XLOOKUP(PAA_4[[#This Row],[RCP-RUBRO]],[2]!COMPROMISOS_2024[[#All],[concatenado]],[2]!COMPROMISOS_2024[[#All],[Total pagado]],"",0)</f>
        <v>#NAME?</v>
      </c>
      <c r="AJ540" s="56" t="e">
        <f ca="1">IF(PAA_4[[#This Row],[BOLSA]]=0,0,SUMIFS([2]!COMPROMISOS_2024[[#All],[Total pagado]],[2]!COMPROMISOS_2024[[#All],[Bolsa]],PAA_4[[#This Row],[BOLSA]],[2]!COMPROMISOS_2024[[#All],[rubro]],PAA_4[[#This Row],[RCP-RUBRO]]))</f>
        <v>#REF!</v>
      </c>
      <c r="AK540" s="65" t="e" cm="1">
        <f t="array" aca="1" ref="AK540" ca="1">_xlfn.XLOOKUP(PAA_4[[#This Row],[RCP-RUBRO]],[2]!COMPROMISOS_2024[[#All],[concatenado]],[2]!COMPROMISOS_2024[[#All],[Total Comprometido]],"",0)</f>
        <v>#NAME?</v>
      </c>
      <c r="AL540" s="65" t="e">
        <f ca="1">IF(PAA_4[[#This Row],[BOLSA]]=0,0,SUMIFS([2]!COMPROMISOS_2024[[#All],[Total Comprometido]],[2]!COMPROMISOS_2024[[#All],[Bolsa]],PAA_4[[#This Row],[BOLSA]],[2]!COMPROMISOS_2024[[#All],[concatenado]],PAA_4[[#This Row],[RCP-RUBRO]]))</f>
        <v>#REF!</v>
      </c>
    </row>
    <row r="541" spans="1:38" s="19" customFormat="1" ht="31.5" customHeight="1">
      <c r="A541" s="47" t="s">
        <v>82</v>
      </c>
      <c r="B541" s="65" t="s">
        <v>42</v>
      </c>
      <c r="C541" s="47" t="str">
        <f>VLOOKUP(PAA_4[[#This Row],[PROYECTO (formulado)2]],[2]PROYECTOS!$G$1:$L$32,6,0)</f>
        <v>SUBGERENCIA DE ALTOS LOGROS Y DEPORTE ASOCIADO</v>
      </c>
      <c r="D541" s="65" t="str">
        <f>+IF(PAA_4[[#This Row],[UNIDAD DE CONTRATACION (formulado)]]="Subgerencia Administrativa y Financiera","FUNCIONAMIENTO","INVERSIÓN")</f>
        <v>INVERSIÓN</v>
      </c>
      <c r="E541" s="66" t="str">
        <f>VLOOKUP(Q541,[2]PROYECTOS!$G$1:$K$32,5,0)</f>
        <v>Apoyo y subvención para satisfacer necesidades propias del proceso de preparación y competencia de los Atletas y Para-atletas de alto rendimiento del departamento de Antioquia</v>
      </c>
      <c r="F541" s="48">
        <f>VLOOKUP(E541,[2]PROYECTOS!$K$1:$M$32,3,0)</f>
        <v>2024003050085</v>
      </c>
      <c r="G541" s="346" t="s">
        <v>1583</v>
      </c>
      <c r="H541" s="67" t="str">
        <f>VLOOKUP(Q541,[2]PROYECTOS!$V$1:$W$32,2,0)</f>
        <v>050077</v>
      </c>
      <c r="I541" s="347">
        <v>1590092226</v>
      </c>
      <c r="J541" s="348" t="s">
        <v>1584</v>
      </c>
      <c r="K541" s="65" t="str">
        <f t="shared" ca="1" si="234"/>
        <v>CONTRATADO</v>
      </c>
      <c r="L541" s="47" t="s">
        <v>44</v>
      </c>
      <c r="M541" s="47" t="s">
        <v>44</v>
      </c>
      <c r="N541" s="52" t="s">
        <v>1585</v>
      </c>
      <c r="O541" s="51" t="e">
        <f>VLOOKUP(N541,[2]!RUBROS[#All],3,0)</f>
        <v>#REF!</v>
      </c>
      <c r="P541" s="53" t="e">
        <f>VLOOKUP(N541,[2]!RUBROS[#All],2,0)</f>
        <v>#REF!</v>
      </c>
      <c r="Q541" s="65" t="str">
        <f t="shared" si="235"/>
        <v>85</v>
      </c>
      <c r="R541" s="47" t="str">
        <f t="shared" si="236"/>
        <v>0-205400</v>
      </c>
      <c r="S541" s="65">
        <v>1</v>
      </c>
      <c r="T541" s="59" t="s">
        <v>46</v>
      </c>
      <c r="U541" s="345" t="e">
        <f ca="1">_xlfn.XLOOKUP(PAA_4[[#This Row],[ITEM]],[2]Contrato!A:A,[2]Contrato!Q:Q,"",0)</f>
        <v>#NAME?</v>
      </c>
      <c r="V541" s="65" t="s">
        <v>95</v>
      </c>
      <c r="W541" s="65" t="s">
        <v>42</v>
      </c>
      <c r="X541" s="65" t="s">
        <v>42</v>
      </c>
      <c r="Y541" s="69" t="e">
        <f ca="1">_xlfn.XLOOKUP(PAA_4[[#This Row],[ITEM]],[2]Contrato!A:A,[2]Contrato!B:B,"",0)</f>
        <v>#NAME?</v>
      </c>
      <c r="Z541" s="65" t="e">
        <f ca="1">_xlfn.XLOOKUP(PAA_4[[#This Row],[ITEM]],[2]Contrato!A:A,[2]Contrato!G:G,"",0)</f>
        <v>#NAME?</v>
      </c>
      <c r="AA541" s="65" t="e">
        <f ca="1">_xlfn.XLOOKUP(PAA_4[[#This Row],[ITEM]],[2]Contrato!A:A,[2]Contrato!T:T,"",0)</f>
        <v>#NAME?</v>
      </c>
      <c r="AB541" s="69" t="e">
        <f ca="1">+MAX(PAA_4[[#This Row],[Comprometido Contrato]],PAA_4[[#This Row],[Comprometido Bolsa]])</f>
        <v>#NAME?</v>
      </c>
      <c r="AC541" s="69" t="str">
        <f t="shared" ca="1" si="237"/>
        <v/>
      </c>
      <c r="AD541" s="69" t="e">
        <f ca="1">IF(PAA_4[[#This Row],[ESTADO (formulado)]]="NO CONTRATADO",0,MAX(PAA_4[[#This Row],[Pago por Contrato]],PAA_4[[#This Row],[Pago por bolsa]]))</f>
        <v>#NAME?</v>
      </c>
      <c r="AE541" s="69" t="str">
        <f t="shared" ca="1" si="238"/>
        <v/>
      </c>
      <c r="AF541" s="65" t="e">
        <f t="shared" ca="1" si="239"/>
        <v>#NAME?</v>
      </c>
      <c r="AG541" s="47">
        <f t="shared" si="240"/>
        <v>52010803</v>
      </c>
      <c r="AH541" s="54">
        <f>IF(Q541="22",IF(ISNUMBER(SEARCH("econ",PAA_4[[#This Row],[Actividad3]])),"Económico",IF(ISNUMBER(SEARCH("alim",PAA_4[[#This Row],[Actividad3]])),"Alimentación",IF(ISNUMBER(SEARCH("educ",PAA_4[[#This Row],[Actividad3]])),"Educativo","Técnico"))),0)</f>
        <v>0</v>
      </c>
      <c r="AI541" s="47" t="e" cm="1">
        <f t="array" aca="1" ref="AI541" ca="1">_xlfn.XLOOKUP(PAA_4[[#This Row],[RCP-RUBRO]],[2]!COMPROMISOS_2024[[#All],[concatenado]],[2]!COMPROMISOS_2024[[#All],[Total pagado]],"",0)</f>
        <v>#NAME?</v>
      </c>
      <c r="AJ541" s="56">
        <f>IF(PAA_4[[#This Row],[BOLSA]]=0,0,SUMIFS([2]!COMPROMISOS_2024[[#All],[Total pagado]],[2]!COMPROMISOS_2024[[#All],[Bolsa]],PAA_4[[#This Row],[BOLSA]],[2]!COMPROMISOS_2024[[#All],[rubro]],PAA_4[[#This Row],[RCP-RUBRO]]))</f>
        <v>0</v>
      </c>
      <c r="AK541" s="65" t="e" cm="1">
        <f t="array" aca="1" ref="AK541" ca="1">_xlfn.XLOOKUP(PAA_4[[#This Row],[RCP-RUBRO]],[2]!COMPROMISOS_2024[[#All],[concatenado]],[2]!COMPROMISOS_2024[[#All],[Total Comprometido]],"",0)</f>
        <v>#NAME?</v>
      </c>
      <c r="AL541" s="65">
        <f>IF(PAA_4[[#This Row],[BOLSA]]=0,0,SUMIFS([2]!COMPROMISOS_2024[[#All],[Total Comprometido]],[2]!COMPROMISOS_2024[[#All],[Bolsa]],PAA_4[[#This Row],[BOLSA]],[2]!COMPROMISOS_2024[[#All],[concatenado]],PAA_4[[#This Row],[RCP-RUBRO]]))</f>
        <v>0</v>
      </c>
    </row>
    <row r="542" spans="1:38" s="19" customFormat="1" ht="31.5" customHeight="1">
      <c r="A542" s="47" t="s">
        <v>82</v>
      </c>
      <c r="B542" s="65" t="s">
        <v>42</v>
      </c>
      <c r="C542" s="47" t="str">
        <f>VLOOKUP(PAA_4[[#This Row],[PROYECTO (formulado)2]],[2]PROYECTOS!$G$1:$L$32,6,0)</f>
        <v>SUBGERENCIA DE ALTOS LOGROS Y DEPORTE ASOCIADO</v>
      </c>
      <c r="D542" s="65" t="str">
        <f>+IF(PAA_4[[#This Row],[UNIDAD DE CONTRATACION (formulado)]]="Subgerencia Administrativa y Financiera","FUNCIONAMIENTO","INVERSIÓN")</f>
        <v>INVERSIÓN</v>
      </c>
      <c r="E542" s="66" t="str">
        <f>VLOOKUP(Q542,[2]PROYECTOS!$G$1:$K$32,5,0)</f>
        <v>Apoyo y subvención para satisfacer necesidades propias del proceso de preparación y competencia de los Atletas y Para-atletas de alto rendimiento del departamento de Antioquia</v>
      </c>
      <c r="F542" s="48">
        <f>VLOOKUP(E542,[2]PROYECTOS!$K$1:$M$32,3,0)</f>
        <v>2024003050085</v>
      </c>
      <c r="G542" s="346" t="s">
        <v>1583</v>
      </c>
      <c r="H542" s="67" t="str">
        <f>VLOOKUP(Q542,[2]PROYECTOS!$V$1:$W$32,2,0)</f>
        <v>050077</v>
      </c>
      <c r="I542" s="347">
        <v>215513515</v>
      </c>
      <c r="J542" s="348" t="s">
        <v>1584</v>
      </c>
      <c r="K542" s="65" t="str">
        <f t="shared" ca="1" si="234"/>
        <v>CONTRATADO</v>
      </c>
      <c r="L542" s="47" t="s">
        <v>44</v>
      </c>
      <c r="M542" s="47" t="s">
        <v>44</v>
      </c>
      <c r="N542" s="52" t="s">
        <v>1585</v>
      </c>
      <c r="O542" s="51" t="e">
        <f>VLOOKUP(N542,[2]!RUBROS[#All],3,0)</f>
        <v>#REF!</v>
      </c>
      <c r="P542" s="53" t="e">
        <f>VLOOKUP(N542,[2]!RUBROS[#All],2,0)</f>
        <v>#REF!</v>
      </c>
      <c r="Q542" s="65" t="str">
        <f t="shared" si="235"/>
        <v>85</v>
      </c>
      <c r="R542" s="47" t="str">
        <f t="shared" si="236"/>
        <v>0-205400</v>
      </c>
      <c r="S542" s="65">
        <v>1</v>
      </c>
      <c r="T542" s="59"/>
      <c r="U542" s="345" t="e">
        <f ca="1">_xlfn.XLOOKUP(PAA_4[[#This Row],[ITEM]],[2]Contrato!A:A,[2]Contrato!Q:Q,"",0)</f>
        <v>#NAME?</v>
      </c>
      <c r="V542" s="65" t="s">
        <v>95</v>
      </c>
      <c r="W542" s="65" t="s">
        <v>42</v>
      </c>
      <c r="X542" s="65" t="s">
        <v>42</v>
      </c>
      <c r="Y542" s="69" t="e">
        <f ca="1">_xlfn.XLOOKUP(PAA_4[[#This Row],[ITEM]],[2]Contrato!A:A,[2]Contrato!B:B,"",0)</f>
        <v>#NAME?</v>
      </c>
      <c r="Z542" s="65" t="e">
        <f ca="1">_xlfn.XLOOKUP(PAA_4[[#This Row],[ITEM]],[2]Contrato!A:A,[2]Contrato!G:G,"",0)</f>
        <v>#NAME?</v>
      </c>
      <c r="AA542" s="65" t="e">
        <f ca="1">_xlfn.XLOOKUP(PAA_4[[#This Row],[ITEM]],[2]Contrato!A:A,[2]Contrato!T:T,"",0)</f>
        <v>#NAME?</v>
      </c>
      <c r="AB542" s="69" t="e">
        <f ca="1">+MAX(PAA_4[[#This Row],[Comprometido Contrato]],PAA_4[[#This Row],[Comprometido Bolsa]])</f>
        <v>#NAME?</v>
      </c>
      <c r="AC542" s="69" t="str">
        <f t="shared" ca="1" si="237"/>
        <v/>
      </c>
      <c r="AD542" s="69" t="e">
        <f ca="1">IF(PAA_4[[#This Row],[ESTADO (formulado)]]="NO CONTRATADO",0,MAX(PAA_4[[#This Row],[Pago por Contrato]],PAA_4[[#This Row],[Pago por bolsa]]))</f>
        <v>#NAME?</v>
      </c>
      <c r="AE542" s="69" t="str">
        <f t="shared" ca="1" si="238"/>
        <v/>
      </c>
      <c r="AF542" s="65" t="e">
        <f t="shared" ca="1" si="239"/>
        <v>#NAME?</v>
      </c>
      <c r="AG542" s="47">
        <f t="shared" si="240"/>
        <v>52010803</v>
      </c>
      <c r="AH542" s="54">
        <f>IF(Q542="22",IF(ISNUMBER(SEARCH("econ",PAA_4[[#This Row],[Actividad3]])),"Económico",IF(ISNUMBER(SEARCH("alim",PAA_4[[#This Row],[Actividad3]])),"Alimentación",IF(ISNUMBER(SEARCH("educ",PAA_4[[#This Row],[Actividad3]])),"Educativo","Técnico"))),0)</f>
        <v>0</v>
      </c>
      <c r="AI542" s="47" t="e" cm="1">
        <f t="array" aca="1" ref="AI542" ca="1">_xlfn.XLOOKUP(PAA_4[[#This Row],[RCP-RUBRO]],[2]!COMPROMISOS_2024[[#All],[concatenado]],[2]!COMPROMISOS_2024[[#All],[Total pagado]],"",0)</f>
        <v>#NAME?</v>
      </c>
      <c r="AJ542" s="56">
        <f>IF(PAA_4[[#This Row],[BOLSA]]=0,0,SUMIFS([2]!COMPROMISOS_2024[[#All],[Total pagado]],[2]!COMPROMISOS_2024[[#All],[Bolsa]],PAA_4[[#This Row],[BOLSA]],[2]!COMPROMISOS_2024[[#All],[rubro]],PAA_4[[#This Row],[RCP-RUBRO]]))</f>
        <v>0</v>
      </c>
      <c r="AK542" s="65" t="e" cm="1">
        <f t="array" aca="1" ref="AK542" ca="1">_xlfn.XLOOKUP(PAA_4[[#This Row],[RCP-RUBRO]],[2]!COMPROMISOS_2024[[#All],[concatenado]],[2]!COMPROMISOS_2024[[#All],[Total Comprometido]],"",0)</f>
        <v>#NAME?</v>
      </c>
      <c r="AL542" s="65">
        <f>IF(PAA_4[[#This Row],[BOLSA]]=0,0,SUMIFS([2]!COMPROMISOS_2024[[#All],[Total Comprometido]],[2]!COMPROMISOS_2024[[#All],[Bolsa]],PAA_4[[#This Row],[BOLSA]],[2]!COMPROMISOS_2024[[#All],[concatenado]],PAA_4[[#This Row],[RCP-RUBRO]]))</f>
        <v>0</v>
      </c>
    </row>
    <row r="543" spans="1:38" s="19" customFormat="1" ht="31.5" customHeight="1">
      <c r="A543" s="47" t="s">
        <v>82</v>
      </c>
      <c r="B543" s="65" t="s">
        <v>42</v>
      </c>
      <c r="C543" s="47" t="str">
        <f>VLOOKUP(PAA_4[[#This Row],[PROYECTO (formulado)2]],[2]PROYECTOS!$G$1:$L$32,6,0)</f>
        <v>SUBGERENCIA DE ALTOS LOGROS Y DEPORTE ASOCIADO</v>
      </c>
      <c r="D543" s="65" t="str">
        <f>+IF(PAA_4[[#This Row],[UNIDAD DE CONTRATACION (formulado)]]="Subgerencia Administrativa y Financiera","FUNCIONAMIENTO","INVERSIÓN")</f>
        <v>INVERSIÓN</v>
      </c>
      <c r="E543" s="66" t="str">
        <f>VLOOKUP(Q543,[2]PROYECTOS!$G$1:$K$32,5,0)</f>
        <v>Apoyo y subvención para satisfacer necesidades propias del proceso de preparación y competencia de los Atletas y Para-atletas de alto rendimiento del departamento de Antioquia</v>
      </c>
      <c r="F543" s="48">
        <f>VLOOKUP(E543,[2]PROYECTOS!$K$1:$M$32,3,0)</f>
        <v>2024003050085</v>
      </c>
      <c r="G543" s="346" t="s">
        <v>1583</v>
      </c>
      <c r="H543" s="67" t="str">
        <f>VLOOKUP(Q543,[2]PROYECTOS!$V$1:$W$32,2,0)</f>
        <v>050077</v>
      </c>
      <c r="I543" s="347">
        <v>256901847</v>
      </c>
      <c r="J543" s="348" t="s">
        <v>1584</v>
      </c>
      <c r="K543" s="65" t="str">
        <f t="shared" ca="1" si="234"/>
        <v>CONTRATADO</v>
      </c>
      <c r="L543" s="47" t="s">
        <v>44</v>
      </c>
      <c r="M543" s="47" t="s">
        <v>44</v>
      </c>
      <c r="N543" s="52" t="s">
        <v>1585</v>
      </c>
      <c r="O543" s="51" t="e">
        <f>VLOOKUP(N543,[2]!RUBROS[#All],3,0)</f>
        <v>#REF!</v>
      </c>
      <c r="P543" s="53" t="e">
        <f>VLOOKUP(N543,[2]!RUBROS[#All],2,0)</f>
        <v>#REF!</v>
      </c>
      <c r="Q543" s="65" t="str">
        <f t="shared" si="235"/>
        <v>85</v>
      </c>
      <c r="R543" s="47" t="str">
        <f t="shared" si="236"/>
        <v>0-205400</v>
      </c>
      <c r="S543" s="65">
        <v>1</v>
      </c>
      <c r="T543" s="59"/>
      <c r="U543" s="345" t="e">
        <f ca="1">_xlfn.XLOOKUP(PAA_4[[#This Row],[ITEM]],[2]Contrato!A:A,[2]Contrato!Q:Q,"",0)</f>
        <v>#NAME?</v>
      </c>
      <c r="V543" s="65" t="s">
        <v>95</v>
      </c>
      <c r="W543" s="65" t="s">
        <v>42</v>
      </c>
      <c r="X543" s="65" t="s">
        <v>42</v>
      </c>
      <c r="Y543" s="69" t="e">
        <f ca="1">_xlfn.XLOOKUP(PAA_4[[#This Row],[ITEM]],[2]Contrato!A:A,[2]Contrato!B:B,"",0)</f>
        <v>#NAME?</v>
      </c>
      <c r="Z543" s="65" t="e">
        <f ca="1">_xlfn.XLOOKUP(PAA_4[[#This Row],[ITEM]],[2]Contrato!A:A,[2]Contrato!G:G,"",0)</f>
        <v>#NAME?</v>
      </c>
      <c r="AA543" s="65" t="e">
        <f ca="1">_xlfn.XLOOKUP(PAA_4[[#This Row],[ITEM]],[2]Contrato!A:A,[2]Contrato!T:T,"",0)</f>
        <v>#NAME?</v>
      </c>
      <c r="AB543" s="69" t="e">
        <f ca="1">+MAX(PAA_4[[#This Row],[Comprometido Contrato]],PAA_4[[#This Row],[Comprometido Bolsa]])</f>
        <v>#NAME?</v>
      </c>
      <c r="AC543" s="69" t="str">
        <f t="shared" ca="1" si="237"/>
        <v/>
      </c>
      <c r="AD543" s="69" t="e">
        <f ca="1">IF(PAA_4[[#This Row],[ESTADO (formulado)]]="NO CONTRATADO",0,MAX(PAA_4[[#This Row],[Pago por Contrato]],PAA_4[[#This Row],[Pago por bolsa]]))</f>
        <v>#NAME?</v>
      </c>
      <c r="AE543" s="69" t="str">
        <f t="shared" ca="1" si="238"/>
        <v/>
      </c>
      <c r="AF543" s="65" t="e">
        <f t="shared" ca="1" si="239"/>
        <v>#NAME?</v>
      </c>
      <c r="AG543" s="47">
        <f t="shared" si="240"/>
        <v>52010803</v>
      </c>
      <c r="AH543" s="54">
        <f>IF(Q543="22",IF(ISNUMBER(SEARCH("econ",PAA_4[[#This Row],[Actividad3]])),"Económico",IF(ISNUMBER(SEARCH("alim",PAA_4[[#This Row],[Actividad3]])),"Alimentación",IF(ISNUMBER(SEARCH("educ",PAA_4[[#This Row],[Actividad3]])),"Educativo","Técnico"))),0)</f>
        <v>0</v>
      </c>
      <c r="AI543" s="47" t="e" cm="1">
        <f t="array" aca="1" ref="AI543" ca="1">_xlfn.XLOOKUP(PAA_4[[#This Row],[RCP-RUBRO]],[2]!COMPROMISOS_2024[[#All],[concatenado]],[2]!COMPROMISOS_2024[[#All],[Total pagado]],"",0)</f>
        <v>#NAME?</v>
      </c>
      <c r="AJ543" s="56">
        <f>IF(PAA_4[[#This Row],[BOLSA]]=0,0,SUMIFS([2]!COMPROMISOS_2024[[#All],[Total pagado]],[2]!COMPROMISOS_2024[[#All],[Bolsa]],PAA_4[[#This Row],[BOLSA]],[2]!COMPROMISOS_2024[[#All],[rubro]],PAA_4[[#This Row],[RCP-RUBRO]]))</f>
        <v>0</v>
      </c>
      <c r="AK543" s="65" t="e" cm="1">
        <f t="array" aca="1" ref="AK543" ca="1">_xlfn.XLOOKUP(PAA_4[[#This Row],[RCP-RUBRO]],[2]!COMPROMISOS_2024[[#All],[concatenado]],[2]!COMPROMISOS_2024[[#All],[Total Comprometido]],"",0)</f>
        <v>#NAME?</v>
      </c>
      <c r="AL543" s="65">
        <f>IF(PAA_4[[#This Row],[BOLSA]]=0,0,SUMIFS([2]!COMPROMISOS_2024[[#All],[Total Comprometido]],[2]!COMPROMISOS_2024[[#All],[Bolsa]],PAA_4[[#This Row],[BOLSA]],[2]!COMPROMISOS_2024[[#All],[concatenado]],PAA_4[[#This Row],[RCP-RUBRO]]))</f>
        <v>0</v>
      </c>
    </row>
    <row r="544" spans="1:38" s="19" customFormat="1" ht="31.5" customHeight="1">
      <c r="A544" s="47" t="s">
        <v>82</v>
      </c>
      <c r="B544" s="65" t="s">
        <v>42</v>
      </c>
      <c r="C544" s="47" t="str">
        <f>VLOOKUP(PAA_4[[#This Row],[PROYECTO (formulado)2]],[2]PROYECTOS!$G$1:$L$32,6,0)</f>
        <v>SUBGERENCIA DE ALTOS LOGROS Y DEPORTE ASOCIADO</v>
      </c>
      <c r="D544" s="65" t="str">
        <f>+IF(PAA_4[[#This Row],[UNIDAD DE CONTRATACION (formulado)]]="Subgerencia Administrativa y Financiera","FUNCIONAMIENTO","INVERSIÓN")</f>
        <v>INVERSIÓN</v>
      </c>
      <c r="E544" s="66" t="str">
        <f>VLOOKUP(Q544,[2]PROYECTOS!$G$1:$K$32,5,0)</f>
        <v>Apoyo y subvención para satisfacer necesidades propias del proceso de preparación y competencia de los Atletas y Para-atletas de alto rendimiento del departamento de Antioquia</v>
      </c>
      <c r="F544" s="48">
        <f>VLOOKUP(E544,[2]PROYECTOS!$K$1:$M$32,3,0)</f>
        <v>2024003050085</v>
      </c>
      <c r="G544" s="346" t="s">
        <v>1583</v>
      </c>
      <c r="H544" s="67" t="str">
        <f>VLOOKUP(Q544,[2]PROYECTOS!$V$1:$W$32,2,0)</f>
        <v>050077</v>
      </c>
      <c r="I544" s="347">
        <v>200000</v>
      </c>
      <c r="J544" s="348" t="s">
        <v>1584</v>
      </c>
      <c r="K544" s="65" t="str">
        <f t="shared" ca="1" si="234"/>
        <v>CONTRATADO</v>
      </c>
      <c r="L544" s="47" t="s">
        <v>44</v>
      </c>
      <c r="M544" s="47" t="s">
        <v>44</v>
      </c>
      <c r="N544" s="52" t="s">
        <v>1585</v>
      </c>
      <c r="O544" s="51" t="e">
        <f>VLOOKUP(N544,[2]!RUBROS[#All],3,0)</f>
        <v>#REF!</v>
      </c>
      <c r="P544" s="53" t="e">
        <f>VLOOKUP(N544,[2]!RUBROS[#All],2,0)</f>
        <v>#REF!</v>
      </c>
      <c r="Q544" s="65" t="str">
        <f t="shared" si="235"/>
        <v>85</v>
      </c>
      <c r="R544" s="47" t="str">
        <f t="shared" si="236"/>
        <v>0-205400</v>
      </c>
      <c r="S544" s="65">
        <v>1</v>
      </c>
      <c r="T544" s="59"/>
      <c r="U544" s="345" t="e">
        <f ca="1">_xlfn.XLOOKUP(PAA_4[[#This Row],[ITEM]],[2]Contrato!A:A,[2]Contrato!Q:Q,"",0)</f>
        <v>#NAME?</v>
      </c>
      <c r="V544" s="65" t="s">
        <v>95</v>
      </c>
      <c r="W544" s="65" t="s">
        <v>42</v>
      </c>
      <c r="X544" s="65" t="s">
        <v>42</v>
      </c>
      <c r="Y544" s="69" t="e">
        <f ca="1">_xlfn.XLOOKUP(PAA_4[[#This Row],[ITEM]],[2]Contrato!A:A,[2]Contrato!B:B,"",0)</f>
        <v>#NAME?</v>
      </c>
      <c r="Z544" s="65" t="e">
        <f ca="1">_xlfn.XLOOKUP(PAA_4[[#This Row],[ITEM]],[2]Contrato!A:A,[2]Contrato!G:G,"",0)</f>
        <v>#NAME?</v>
      </c>
      <c r="AA544" s="65" t="e">
        <f ca="1">_xlfn.XLOOKUP(PAA_4[[#This Row],[ITEM]],[2]Contrato!A:A,[2]Contrato!T:T,"",0)</f>
        <v>#NAME?</v>
      </c>
      <c r="AB544" s="69" t="e">
        <f ca="1">+MAX(PAA_4[[#This Row],[Comprometido Contrato]],PAA_4[[#This Row],[Comprometido Bolsa]])</f>
        <v>#NAME?</v>
      </c>
      <c r="AC544" s="69" t="str">
        <f t="shared" ca="1" si="237"/>
        <v/>
      </c>
      <c r="AD544" s="69" t="e">
        <f ca="1">IF(PAA_4[[#This Row],[ESTADO (formulado)]]="NO CONTRATADO",0,MAX(PAA_4[[#This Row],[Pago por Contrato]],PAA_4[[#This Row],[Pago por bolsa]]))</f>
        <v>#NAME?</v>
      </c>
      <c r="AE544" s="69" t="str">
        <f t="shared" ca="1" si="238"/>
        <v/>
      </c>
      <c r="AF544" s="65" t="e">
        <f t="shared" ca="1" si="239"/>
        <v>#NAME?</v>
      </c>
      <c r="AG544" s="47">
        <f t="shared" si="240"/>
        <v>52010803</v>
      </c>
      <c r="AH544" s="54">
        <f>IF(Q544="22",IF(ISNUMBER(SEARCH("econ",PAA_4[[#This Row],[Actividad3]])),"Económico",IF(ISNUMBER(SEARCH("alim",PAA_4[[#This Row],[Actividad3]])),"Alimentación",IF(ISNUMBER(SEARCH("educ",PAA_4[[#This Row],[Actividad3]])),"Educativo","Técnico"))),0)</f>
        <v>0</v>
      </c>
      <c r="AI544" s="47" t="e" cm="1">
        <f t="array" aca="1" ref="AI544" ca="1">_xlfn.XLOOKUP(PAA_4[[#This Row],[RCP-RUBRO]],[2]!COMPROMISOS_2024[[#All],[concatenado]],[2]!COMPROMISOS_2024[[#All],[Total pagado]],"",0)</f>
        <v>#NAME?</v>
      </c>
      <c r="AJ544" s="56">
        <f>IF(PAA_4[[#This Row],[BOLSA]]=0,0,SUMIFS([2]!COMPROMISOS_2024[[#All],[Total pagado]],[2]!COMPROMISOS_2024[[#All],[Bolsa]],PAA_4[[#This Row],[BOLSA]],[2]!COMPROMISOS_2024[[#All],[rubro]],PAA_4[[#This Row],[RCP-RUBRO]]))</f>
        <v>0</v>
      </c>
      <c r="AK544" s="65" t="e" cm="1">
        <f t="array" aca="1" ref="AK544" ca="1">_xlfn.XLOOKUP(PAA_4[[#This Row],[RCP-RUBRO]],[2]!COMPROMISOS_2024[[#All],[concatenado]],[2]!COMPROMISOS_2024[[#All],[Total Comprometido]],"",0)</f>
        <v>#NAME?</v>
      </c>
      <c r="AL544" s="65">
        <f>IF(PAA_4[[#This Row],[BOLSA]]=0,0,SUMIFS([2]!COMPROMISOS_2024[[#All],[Total Comprometido]],[2]!COMPROMISOS_2024[[#All],[Bolsa]],PAA_4[[#This Row],[BOLSA]],[2]!COMPROMISOS_2024[[#All],[concatenado]],PAA_4[[#This Row],[RCP-RUBRO]]))</f>
        <v>0</v>
      </c>
    </row>
    <row r="545" spans="1:38" s="19" customFormat="1" ht="31.5" customHeight="1">
      <c r="A545" s="47" t="s">
        <v>82</v>
      </c>
      <c r="B545" s="65" t="s">
        <v>42</v>
      </c>
      <c r="C545" s="47" t="str">
        <f>VLOOKUP(PAA_4[[#This Row],[PROYECTO (formulado)2]],[2]PROYECTOS!$G$1:$L$32,6,0)</f>
        <v>SUBGERENCIA DE ALTOS LOGROS Y DEPORTE ASOCIADO</v>
      </c>
      <c r="D545" s="65" t="str">
        <f>+IF(PAA_4[[#This Row],[UNIDAD DE CONTRATACION (formulado)]]="Subgerencia Administrativa y Financiera","FUNCIONAMIENTO","INVERSIÓN")</f>
        <v>INVERSIÓN</v>
      </c>
      <c r="E545" s="66" t="str">
        <f>VLOOKUP(Q545,[2]PROYECTOS!$G$1:$K$32,5,0)</f>
        <v>Apoyo y subvención para satisfacer necesidades propias del proceso de preparación y competencia de los Atletas y Para-atletas de alto rendimiento del departamento de Antioquia</v>
      </c>
      <c r="F545" s="48">
        <f>VLOOKUP(E545,[2]PROYECTOS!$K$1:$M$32,3,0)</f>
        <v>2024003050085</v>
      </c>
      <c r="G545" s="346" t="s">
        <v>1583</v>
      </c>
      <c r="H545" s="67" t="str">
        <f>VLOOKUP(Q545,[2]PROYECTOS!$V$1:$W$32,2,0)</f>
        <v>050077</v>
      </c>
      <c r="I545" s="347">
        <v>1250000</v>
      </c>
      <c r="J545" s="348" t="s">
        <v>1584</v>
      </c>
      <c r="K545" s="65" t="str">
        <f t="shared" ca="1" si="234"/>
        <v>CONTRATADO</v>
      </c>
      <c r="L545" s="47" t="s">
        <v>44</v>
      </c>
      <c r="M545" s="47" t="s">
        <v>44</v>
      </c>
      <c r="N545" s="52" t="s">
        <v>1585</v>
      </c>
      <c r="O545" s="51" t="e">
        <f>VLOOKUP(N545,[2]!RUBROS[#All],3,0)</f>
        <v>#REF!</v>
      </c>
      <c r="P545" s="53" t="e">
        <f>VLOOKUP(N545,[2]!RUBROS[#All],2,0)</f>
        <v>#REF!</v>
      </c>
      <c r="Q545" s="65" t="str">
        <f t="shared" si="235"/>
        <v>85</v>
      </c>
      <c r="R545" s="47" t="str">
        <f t="shared" si="236"/>
        <v>0-205400</v>
      </c>
      <c r="S545" s="65">
        <v>1</v>
      </c>
      <c r="T545" s="59"/>
      <c r="U545" s="345" t="e">
        <f ca="1">_xlfn.XLOOKUP(PAA_4[[#This Row],[ITEM]],[2]Contrato!A:A,[2]Contrato!Q:Q,"",0)</f>
        <v>#NAME?</v>
      </c>
      <c r="V545" s="65" t="s">
        <v>95</v>
      </c>
      <c r="W545" s="65" t="s">
        <v>42</v>
      </c>
      <c r="X545" s="65" t="s">
        <v>42</v>
      </c>
      <c r="Y545" s="69" t="e">
        <f ca="1">_xlfn.XLOOKUP(PAA_4[[#This Row],[ITEM]],[2]Contrato!A:A,[2]Contrato!B:B,"",0)</f>
        <v>#NAME?</v>
      </c>
      <c r="Z545" s="65" t="e">
        <f ca="1">_xlfn.XLOOKUP(PAA_4[[#This Row],[ITEM]],[2]Contrato!A:A,[2]Contrato!G:G,"",0)</f>
        <v>#NAME?</v>
      </c>
      <c r="AA545" s="65" t="e">
        <f ca="1">_xlfn.XLOOKUP(PAA_4[[#This Row],[ITEM]],[2]Contrato!A:A,[2]Contrato!T:T,"",0)</f>
        <v>#NAME?</v>
      </c>
      <c r="AB545" s="69" t="e">
        <f ca="1">+MAX(PAA_4[[#This Row],[Comprometido Contrato]],PAA_4[[#This Row],[Comprometido Bolsa]])</f>
        <v>#NAME?</v>
      </c>
      <c r="AC545" s="69" t="str">
        <f t="shared" ca="1" si="237"/>
        <v/>
      </c>
      <c r="AD545" s="69" t="e">
        <f ca="1">IF(PAA_4[[#This Row],[ESTADO (formulado)]]="NO CONTRATADO",0,MAX(PAA_4[[#This Row],[Pago por Contrato]],PAA_4[[#This Row],[Pago por bolsa]]))</f>
        <v>#NAME?</v>
      </c>
      <c r="AE545" s="69" t="str">
        <f t="shared" ca="1" si="238"/>
        <v/>
      </c>
      <c r="AF545" s="65" t="e">
        <f t="shared" ca="1" si="239"/>
        <v>#NAME?</v>
      </c>
      <c r="AG545" s="47">
        <f t="shared" si="240"/>
        <v>52010803</v>
      </c>
      <c r="AH545" s="54">
        <f>IF(Q545="22",IF(ISNUMBER(SEARCH("econ",PAA_4[[#This Row],[Actividad3]])),"Económico",IF(ISNUMBER(SEARCH("alim",PAA_4[[#This Row],[Actividad3]])),"Alimentación",IF(ISNUMBER(SEARCH("educ",PAA_4[[#This Row],[Actividad3]])),"Educativo","Técnico"))),0)</f>
        <v>0</v>
      </c>
      <c r="AI545" s="47" t="e" cm="1">
        <f t="array" aca="1" ref="AI545" ca="1">_xlfn.XLOOKUP(PAA_4[[#This Row],[RCP-RUBRO]],[2]!COMPROMISOS_2024[[#All],[concatenado]],[2]!COMPROMISOS_2024[[#All],[Total pagado]],"",0)</f>
        <v>#NAME?</v>
      </c>
      <c r="AJ545" s="56">
        <f>IF(PAA_4[[#This Row],[BOLSA]]=0,0,SUMIFS([2]!COMPROMISOS_2024[[#All],[Total pagado]],[2]!COMPROMISOS_2024[[#All],[Bolsa]],PAA_4[[#This Row],[BOLSA]],[2]!COMPROMISOS_2024[[#All],[rubro]],PAA_4[[#This Row],[RCP-RUBRO]]))</f>
        <v>0</v>
      </c>
      <c r="AK545" s="65" t="e" cm="1">
        <f t="array" aca="1" ref="AK545" ca="1">_xlfn.XLOOKUP(PAA_4[[#This Row],[RCP-RUBRO]],[2]!COMPROMISOS_2024[[#All],[concatenado]],[2]!COMPROMISOS_2024[[#All],[Total Comprometido]],"",0)</f>
        <v>#NAME?</v>
      </c>
      <c r="AL545" s="65">
        <f>IF(PAA_4[[#This Row],[BOLSA]]=0,0,SUMIFS([2]!COMPROMISOS_2024[[#All],[Total Comprometido]],[2]!COMPROMISOS_2024[[#All],[Bolsa]],PAA_4[[#This Row],[BOLSA]],[2]!COMPROMISOS_2024[[#All],[concatenado]],PAA_4[[#This Row],[RCP-RUBRO]]))</f>
        <v>0</v>
      </c>
    </row>
    <row r="546" spans="1:38" s="19" customFormat="1" ht="31.5" customHeight="1">
      <c r="A546" s="47" t="s">
        <v>82</v>
      </c>
      <c r="B546" s="65" t="s">
        <v>42</v>
      </c>
      <c r="C546" s="47" t="str">
        <f>VLOOKUP(PAA_4[[#This Row],[PROYECTO (formulado)2]],[2]PROYECTOS!$G$1:$L$32,6,0)</f>
        <v>SUBGERENCIA DE ALTOS LOGROS Y DEPORTE ASOCIADO</v>
      </c>
      <c r="D546" s="65" t="str">
        <f>+IF(PAA_4[[#This Row],[UNIDAD DE CONTRATACION (formulado)]]="Subgerencia Administrativa y Financiera","FUNCIONAMIENTO","INVERSIÓN")</f>
        <v>INVERSIÓN</v>
      </c>
      <c r="E546" s="66" t="str">
        <f>VLOOKUP(Q546,[2]PROYECTOS!$G$1:$K$32,5,0)</f>
        <v>APOYO_TÉCNICO_Y_PSICOSOCIAL_A_LOS_DEPORTISTAS_DE_ANTIOQUIA</v>
      </c>
      <c r="F546" s="48">
        <f>VLOOKUP(E546,[2]PROYECTOS!$K$1:$M$32,3,0)</f>
        <v>2021003050069</v>
      </c>
      <c r="G546" s="67" t="s">
        <v>239</v>
      </c>
      <c r="H546" s="67" t="str">
        <f>VLOOKUP(Q546,[2]PROYECTOS!$V$1:$W$32,2,0)</f>
        <v>050069</v>
      </c>
      <c r="I546" s="68">
        <v>0</v>
      </c>
      <c r="J546" s="53" t="s">
        <v>1586</v>
      </c>
      <c r="K546" s="65" t="str">
        <f t="shared" ca="1" si="234"/>
        <v>CONTRATADO</v>
      </c>
      <c r="L546" s="47" t="s">
        <v>42</v>
      </c>
      <c r="M546" s="47" t="s">
        <v>42</v>
      </c>
      <c r="N546" s="52" t="s">
        <v>240</v>
      </c>
      <c r="O546" s="51" t="e">
        <f>VLOOKUP(N546,[2]!RUBROS[#All],3,0)</f>
        <v>#REF!</v>
      </c>
      <c r="P546" s="53" t="e">
        <f>VLOOKUP(N546,[2]!RUBROS[#All],2,0)</f>
        <v>#REF!</v>
      </c>
      <c r="Q546" s="65" t="str">
        <f t="shared" si="235"/>
        <v>22</v>
      </c>
      <c r="R546" s="47" t="str">
        <f t="shared" si="236"/>
        <v>0-205400</v>
      </c>
      <c r="S546" s="65" t="s">
        <v>42</v>
      </c>
      <c r="T546" s="63" t="s">
        <v>344</v>
      </c>
      <c r="U546" s="345" t="e">
        <f ca="1">_xlfn.XLOOKUP(PAA_4[[#This Row],[ITEM]],[2]Contrato!A:A,[2]Contrato!Q:Q,"",0)</f>
        <v>#NAME?</v>
      </c>
      <c r="V546" s="65" t="s">
        <v>95</v>
      </c>
      <c r="W546" s="65" t="s">
        <v>42</v>
      </c>
      <c r="X546" s="65" t="s">
        <v>42</v>
      </c>
      <c r="Y546" s="69" t="e">
        <f ca="1">_xlfn.XLOOKUP(PAA_4[[#This Row],[ITEM]],[2]Contrato!A:A,[2]Contrato!B:B,"",0)</f>
        <v>#NAME?</v>
      </c>
      <c r="Z546" s="65" t="e">
        <f ca="1">_xlfn.XLOOKUP(PAA_4[[#This Row],[ITEM]],[2]Contrato!A:A,[2]Contrato!G:G,"",0)</f>
        <v>#NAME?</v>
      </c>
      <c r="AA546" s="65" t="e">
        <f ca="1">_xlfn.XLOOKUP(PAA_4[[#This Row],[ITEM]],[2]Contrato!A:A,[2]Contrato!T:T,"",0)</f>
        <v>#NAME?</v>
      </c>
      <c r="AB546" s="69" t="e">
        <f ca="1">+MAX(PAA_4[[#This Row],[Comprometido Contrato]],PAA_4[[#This Row],[Comprometido Bolsa]])</f>
        <v>#NAME?</v>
      </c>
      <c r="AC546" s="69" t="str">
        <f t="shared" ca="1" si="237"/>
        <v/>
      </c>
      <c r="AD546" s="69" t="e">
        <f ca="1">IF(PAA_4[[#This Row],[ESTADO (formulado)]]="NO CONTRATADO",0,MAX(PAA_4[[#This Row],[Pago por Contrato]],PAA_4[[#This Row],[Pago por bolsa]]))</f>
        <v>#NAME?</v>
      </c>
      <c r="AE546" s="69" t="str">
        <f t="shared" ca="1" si="238"/>
        <v/>
      </c>
      <c r="AF546" s="65" t="e">
        <f ca="1">+CONCATENATE(AA546,N546)</f>
        <v>#NAME?</v>
      </c>
      <c r="AG546" s="47">
        <f t="shared" si="240"/>
        <v>41080101</v>
      </c>
      <c r="AH546" s="54" t="str">
        <f>IF(Q546="22",IF(ISNUMBER(SEARCH("econ",PAA_4[[#This Row],[Actividad3]])),"Económico",IF(ISNUMBER(SEARCH("alim",PAA_4[[#This Row],[Actividad3]])),"Alimentación",IF(ISNUMBER(SEARCH("educ",PAA_4[[#This Row],[Actividad3]])),"Educativo","Técnico"))),0)</f>
        <v>Técnico</v>
      </c>
      <c r="AI546" s="47" t="e" cm="1">
        <f t="array" aca="1" ref="AI546" ca="1">_xlfn.XLOOKUP(PAA_4[[#This Row],[RCP-RUBRO]],[2]!COMPROMISOS_2024[[#All],[concatenado]],[2]!COMPROMISOS_2024[[#All],[Total pagado]],"",0)</f>
        <v>#NAME?</v>
      </c>
      <c r="AJ546" s="56" t="e">
        <f ca="1">IF(PAA_4[[#This Row],[BOLSA]]=0,0,SUMIFS([2]!COMPROMISOS_2024[[#All],[Total pagado]],[2]!COMPROMISOS_2024[[#All],[Bolsa]],PAA_4[[#This Row],[BOLSA]],[2]!COMPROMISOS_2024[[#All],[rubro]],PAA_4[[#This Row],[RCP-RUBRO]]))</f>
        <v>#REF!</v>
      </c>
      <c r="AK546" s="65" t="e" cm="1">
        <f t="array" aca="1" ref="AK546" ca="1">_xlfn.XLOOKUP(PAA_4[[#This Row],[RCP-RUBRO]],[2]!COMPROMISOS_2024[[#All],[concatenado]],[2]!COMPROMISOS_2024[[#All],[Total Comprometido]],"",0)</f>
        <v>#NAME?</v>
      </c>
      <c r="AL546" s="65" t="e">
        <f ca="1">IF(PAA_4[[#This Row],[BOLSA]]=0,0,SUMIFS([2]!COMPROMISOS_2024[[#All],[Total Comprometido]],[2]!COMPROMISOS_2024[[#All],[Bolsa]],PAA_4[[#This Row],[BOLSA]],[2]!COMPROMISOS_2024[[#All],[concatenado]],PAA_4[[#This Row],[RCP-RUBRO]]))</f>
        <v>#REF!</v>
      </c>
    </row>
    <row r="547" spans="1:38" s="19" customFormat="1" ht="31.5" customHeight="1">
      <c r="A547" s="47">
        <v>164</v>
      </c>
      <c r="B547" s="53">
        <v>80111600</v>
      </c>
      <c r="C547" s="47" t="str">
        <f>VLOOKUP(PAA_4[[#This Row],[PROYECTO (formulado)2]],[2]PROYECTOS!$G$1:$L$32,6,0)</f>
        <v>SUBGERENCIA DE ALTOS LOGROS Y DEPORTE ASOCIADO</v>
      </c>
      <c r="D547" s="65" t="str">
        <f>+IF(PAA_4[[#This Row],[UNIDAD DE CONTRATACION (formulado)]]="Subgerencia Administrativa y Financiera","FUNCIONAMIENTO","INVERSIÓN")</f>
        <v>INVERSIÓN</v>
      </c>
      <c r="E547" s="66" t="str">
        <f>VLOOKUP(Q547,[2]PROYECTOS!$G$1:$K$32,5,0)</f>
        <v>APOYO_TÉCNICO_Y_PSICOSOCIAL_A_LOS_DEPORTISTAS_DE_ANTIOQUIA</v>
      </c>
      <c r="F547" s="48">
        <f>VLOOKUP(E547,[2]PROYECTOS!$K$1:$M$32,3,0)</f>
        <v>2021003050069</v>
      </c>
      <c r="G547" s="67" t="s">
        <v>239</v>
      </c>
      <c r="H547" s="67" t="str">
        <f>VLOOKUP(Q547,[2]PROYECTOS!$V$1:$W$32,2,0)</f>
        <v>050069</v>
      </c>
      <c r="I547" s="68">
        <f>23714292-21738101</f>
        <v>1976191</v>
      </c>
      <c r="J547" s="53" t="s">
        <v>1587</v>
      </c>
      <c r="K547" s="65" t="str">
        <f t="shared" ca="1" si="234"/>
        <v>CONTRATADO</v>
      </c>
      <c r="L547" s="47" t="s">
        <v>94</v>
      </c>
      <c r="M547" s="47" t="s">
        <v>1297</v>
      </c>
      <c r="N547" s="52" t="s">
        <v>240</v>
      </c>
      <c r="O547" s="51" t="e">
        <f>VLOOKUP(N547,[2]!RUBROS[#All],3,0)</f>
        <v>#REF!</v>
      </c>
      <c r="P547" s="53" t="e">
        <f>VLOOKUP(N547,[2]!RUBROS[#All],2,0)</f>
        <v>#REF!</v>
      </c>
      <c r="Q547" s="65" t="str">
        <f t="shared" si="235"/>
        <v>22</v>
      </c>
      <c r="R547" s="47" t="str">
        <f t="shared" si="236"/>
        <v>0-205400</v>
      </c>
      <c r="S547" s="65">
        <v>6</v>
      </c>
      <c r="T547" s="63" t="s">
        <v>46</v>
      </c>
      <c r="U547" s="345" t="e">
        <f ca="1">_xlfn.XLOOKUP(PAA_4[[#This Row],[ITEM]],[2]Contrato!A:A,[2]Contrato!Q:Q,"",0)</f>
        <v>#NAME?</v>
      </c>
      <c r="V547" s="65" t="s">
        <v>47</v>
      </c>
      <c r="W547" s="65" t="s">
        <v>137</v>
      </c>
      <c r="X547" s="65" t="s">
        <v>137</v>
      </c>
      <c r="Y547" s="69" t="e">
        <f ca="1">_xlfn.XLOOKUP(PAA_4[[#This Row],[ITEM]],[2]Contrato!A:A,[2]Contrato!B:B,"",0)</f>
        <v>#NAME?</v>
      </c>
      <c r="Z547" s="65" t="e">
        <f ca="1">_xlfn.XLOOKUP(PAA_4[[#This Row],[ITEM]],[2]Contrato!A:A,[2]Contrato!G:G,"",0)</f>
        <v>#NAME?</v>
      </c>
      <c r="AA547" s="65" t="e">
        <f ca="1">_xlfn.XLOOKUP(PAA_4[[#This Row],[ITEM]],[2]Contrato!A:A,[2]Contrato!T:T,"",0)</f>
        <v>#NAME?</v>
      </c>
      <c r="AB547" s="69" t="e">
        <f ca="1">+MAX(PAA_4[[#This Row],[Comprometido Contrato]],PAA_4[[#This Row],[Comprometido Bolsa]])</f>
        <v>#NAME?</v>
      </c>
      <c r="AC547" s="69" t="str">
        <f t="shared" ca="1" si="237"/>
        <v/>
      </c>
      <c r="AD547" s="69" t="e">
        <f ca="1">IF(PAA_4[[#This Row],[ESTADO (formulado)]]="NO CONTRATADO",0,MAX(PAA_4[[#This Row],[Pago por Contrato]],PAA_4[[#This Row],[Pago por bolsa]]))</f>
        <v>#NAME?</v>
      </c>
      <c r="AE547" s="69" t="str">
        <f t="shared" ca="1" si="238"/>
        <v/>
      </c>
      <c r="AF547" s="65" t="e">
        <f t="shared" ref="AF547:AF635" ca="1" si="241">+CONCATENATE(AA547,N547)</f>
        <v>#NAME?</v>
      </c>
      <c r="AG547" s="47">
        <f t="shared" si="240"/>
        <v>41080101</v>
      </c>
      <c r="AH547" s="54" t="str">
        <f>IF(Q547="22",IF(ISNUMBER(SEARCH("econ",PAA_4[[#This Row],[Actividad3]])),"Económico",IF(ISNUMBER(SEARCH("alim",PAA_4[[#This Row],[Actividad3]])),"Alimentación",IF(ISNUMBER(SEARCH("educ",PAA_4[[#This Row],[Actividad3]])),"Educativo","Técnico"))),0)</f>
        <v>Técnico</v>
      </c>
      <c r="AI547" s="47" t="e" cm="1">
        <f t="array" aca="1" ref="AI547" ca="1">_xlfn.XLOOKUP(PAA_4[[#This Row],[RCP-RUBRO]],[2]!COMPROMISOS_2024[[#All],[concatenado]],[2]!COMPROMISOS_2024[[#All],[Total pagado]],"",0)</f>
        <v>#NAME?</v>
      </c>
      <c r="AJ547" s="56" t="e">
        <f ca="1">IF(PAA_4[[#This Row],[BOLSA]]=0,0,SUMIFS([2]!COMPROMISOS_2024[[#All],[Total pagado]],[2]!COMPROMISOS_2024[[#All],[Bolsa]],PAA_4[[#This Row],[BOLSA]],[2]!COMPROMISOS_2024[[#All],[rubro]],PAA_4[[#This Row],[RCP-RUBRO]]))</f>
        <v>#REF!</v>
      </c>
      <c r="AK547" s="65" t="e" cm="1">
        <f t="array" aca="1" ref="AK547" ca="1">_xlfn.XLOOKUP(PAA_4[[#This Row],[RCP-RUBRO]],[2]!COMPROMISOS_2024[[#All],[concatenado]],[2]!COMPROMISOS_2024[[#All],[Total Comprometido]],"",0)</f>
        <v>#NAME?</v>
      </c>
      <c r="AL547" s="65" t="e">
        <f ca="1">IF(PAA_4[[#This Row],[BOLSA]]=0,0,SUMIFS([2]!COMPROMISOS_2024[[#All],[Total Comprometido]],[2]!COMPROMISOS_2024[[#All],[Bolsa]],PAA_4[[#This Row],[BOLSA]],[2]!COMPROMISOS_2024[[#All],[concatenado]],PAA_4[[#This Row],[RCP-RUBRO]]))</f>
        <v>#REF!</v>
      </c>
    </row>
    <row r="548" spans="1:38" s="19" customFormat="1" ht="31.5" customHeight="1">
      <c r="A548" s="47" t="s">
        <v>82</v>
      </c>
      <c r="B548" s="53" t="s">
        <v>42</v>
      </c>
      <c r="C548" s="47" t="str">
        <f>VLOOKUP(PAA_4[[#This Row],[PROYECTO (formulado)2]],[2]PROYECTOS!$G$1:$L$32,6,0)</f>
        <v>SUBGERENCIA DE ALTOS LOGROS Y DEPORTE ASOCIADO</v>
      </c>
      <c r="D548" s="65" t="str">
        <f>+IF(PAA_4[[#This Row],[UNIDAD DE CONTRATACION (formulado)]]="Subgerencia Administrativa y Financiera","FUNCIONAMIENTO","INVERSIÓN")</f>
        <v>INVERSIÓN</v>
      </c>
      <c r="E548" s="66" t="str">
        <f>VLOOKUP(Q548,[2]PROYECTOS!$G$1:$K$32,5,0)</f>
        <v>APOYO_TÉCNICO_Y_PSICOSOCIAL_A_LOS_DEPORTISTAS_DE_ANTIOQUIA</v>
      </c>
      <c r="F548" s="48">
        <f>VLOOKUP(E548,[2]PROYECTOS!$K$1:$M$32,3,0)</f>
        <v>2021003050069</v>
      </c>
      <c r="G548" s="67" t="s">
        <v>239</v>
      </c>
      <c r="H548" s="67" t="str">
        <f>VLOOKUP(Q548,[2]PROYECTOS!$V$1:$W$32,2,0)</f>
        <v>050069</v>
      </c>
      <c r="I548" s="68">
        <v>0</v>
      </c>
      <c r="J548" s="51" t="s">
        <v>42</v>
      </c>
      <c r="K548" s="65" t="str">
        <f t="shared" ca="1" si="234"/>
        <v>CONTRATADO</v>
      </c>
      <c r="L548" s="47" t="s">
        <v>42</v>
      </c>
      <c r="M548" s="47" t="s">
        <v>42</v>
      </c>
      <c r="N548" s="52" t="s">
        <v>240</v>
      </c>
      <c r="O548" s="51" t="e">
        <f>VLOOKUP(N548,[2]!RUBROS[#All],3,0)</f>
        <v>#REF!</v>
      </c>
      <c r="P548" s="53" t="e">
        <f>VLOOKUP(N548,[2]!RUBROS[#All],2,0)</f>
        <v>#REF!</v>
      </c>
      <c r="Q548" s="65" t="str">
        <f t="shared" si="235"/>
        <v>22</v>
      </c>
      <c r="R548" s="47" t="str">
        <f t="shared" si="236"/>
        <v>0-205400</v>
      </c>
      <c r="S548" s="54" t="s">
        <v>42</v>
      </c>
      <c r="T548" s="63" t="s">
        <v>42</v>
      </c>
      <c r="U548" s="345" t="e">
        <f ca="1">_xlfn.XLOOKUP(PAA_4[[#This Row],[ITEM]],[2]Contrato!A:A,[2]Contrato!Q:Q,"",0)</f>
        <v>#NAME?</v>
      </c>
      <c r="V548" s="54" t="s">
        <v>42</v>
      </c>
      <c r="W548" s="54" t="s">
        <v>42</v>
      </c>
      <c r="X548" s="54" t="s">
        <v>42</v>
      </c>
      <c r="Y548" s="69" t="e">
        <f ca="1">_xlfn.XLOOKUP(PAA_4[[#This Row],[ITEM]],[2]Contrato!A:A,[2]Contrato!B:B,"",0)</f>
        <v>#NAME?</v>
      </c>
      <c r="Z548" s="65" t="e">
        <f ca="1">_xlfn.XLOOKUP(PAA_4[[#This Row],[ITEM]],[2]Contrato!A:A,[2]Contrato!G:G,"",0)</f>
        <v>#NAME?</v>
      </c>
      <c r="AA548" s="65" t="e">
        <f ca="1">_xlfn.XLOOKUP(PAA_4[[#This Row],[ITEM]],[2]Contrato!A:A,[2]Contrato!T:T,"",0)</f>
        <v>#NAME?</v>
      </c>
      <c r="AB548" s="69" t="e">
        <f ca="1">+MAX(PAA_4[[#This Row],[Comprometido Contrato]],PAA_4[[#This Row],[Comprometido Bolsa]])</f>
        <v>#NAME?</v>
      </c>
      <c r="AC548" s="69" t="str">
        <f t="shared" ca="1" si="237"/>
        <v/>
      </c>
      <c r="AD548" s="69" t="e">
        <f ca="1">IF(PAA_4[[#This Row],[ESTADO (formulado)]]="NO CONTRATADO",0,MAX(PAA_4[[#This Row],[Pago por Contrato]],PAA_4[[#This Row],[Pago por bolsa]]))</f>
        <v>#NAME?</v>
      </c>
      <c r="AE548" s="69" t="str">
        <f t="shared" ca="1" si="238"/>
        <v/>
      </c>
      <c r="AF548" s="65" t="e">
        <f t="shared" ca="1" si="241"/>
        <v>#NAME?</v>
      </c>
      <c r="AG548" s="47">
        <f t="shared" si="240"/>
        <v>41080101</v>
      </c>
      <c r="AH548" s="54" t="str">
        <f>IF(Q548="22",IF(ISNUMBER(SEARCH("econ",PAA_4[[#This Row],[Actividad3]])),"Económico",IF(ISNUMBER(SEARCH("alim",PAA_4[[#This Row],[Actividad3]])),"Alimentación",IF(ISNUMBER(SEARCH("educ",PAA_4[[#This Row],[Actividad3]])),"Educativo","Técnico"))),0)</f>
        <v>Técnico</v>
      </c>
      <c r="AI548" s="47" t="e" cm="1">
        <f t="array" aca="1" ref="AI548" ca="1">_xlfn.XLOOKUP(PAA_4[[#This Row],[RCP-RUBRO]],[2]!COMPROMISOS_2024[[#All],[concatenado]],[2]!COMPROMISOS_2024[[#All],[Total pagado]],"",0)</f>
        <v>#NAME?</v>
      </c>
      <c r="AJ548" s="56" t="e">
        <f ca="1">IF(PAA_4[[#This Row],[BOLSA]]=0,0,SUMIFS([2]!COMPROMISOS_2024[[#All],[Total pagado]],[2]!COMPROMISOS_2024[[#All],[Bolsa]],PAA_4[[#This Row],[BOLSA]],[2]!COMPROMISOS_2024[[#All],[rubro]],PAA_4[[#This Row],[RCP-RUBRO]]))</f>
        <v>#REF!</v>
      </c>
      <c r="AK548" s="65" t="e" cm="1">
        <f t="array" aca="1" ref="AK548" ca="1">_xlfn.XLOOKUP(PAA_4[[#This Row],[RCP-RUBRO]],[2]!COMPROMISOS_2024[[#All],[concatenado]],[2]!COMPROMISOS_2024[[#All],[Total Comprometido]],"",0)</f>
        <v>#NAME?</v>
      </c>
      <c r="AL548" s="65" t="e">
        <f ca="1">IF(PAA_4[[#This Row],[BOLSA]]=0,0,SUMIFS([2]!COMPROMISOS_2024[[#All],[Total Comprometido]],[2]!COMPROMISOS_2024[[#All],[Bolsa]],PAA_4[[#This Row],[BOLSA]],[2]!COMPROMISOS_2024[[#All],[concatenado]],PAA_4[[#This Row],[RCP-RUBRO]]))</f>
        <v>#REF!</v>
      </c>
    </row>
    <row r="549" spans="1:38" s="19" customFormat="1" ht="31.5" customHeight="1">
      <c r="A549" s="47">
        <v>165</v>
      </c>
      <c r="B549" s="65">
        <v>80111600</v>
      </c>
      <c r="C549" s="47" t="str">
        <f>VLOOKUP(PAA_4[[#This Row],[PROYECTO (formulado)2]],[2]PROYECTOS!$G$1:$L$32,6,0)</f>
        <v>SUBGERENCIA DE ALTOS LOGROS Y DEPORTE ASOCIADO</v>
      </c>
      <c r="D549" s="65" t="str">
        <f>+IF(PAA_4[[#This Row],[UNIDAD DE CONTRATACION (formulado)]]="Subgerencia Administrativa y Financiera","FUNCIONAMIENTO","INVERSIÓN")</f>
        <v>INVERSIÓN</v>
      </c>
      <c r="E549" s="66" t="str">
        <f>VLOOKUP(Q549,[2]PROYECTOS!$G$1:$K$32,5,0)</f>
        <v>APOYO_TÉCNICO_Y_PSICOSOCIAL_A_LOS_DEPORTISTAS_DE_ANTIOQUIA</v>
      </c>
      <c r="F549" s="48">
        <f>VLOOKUP(E549,[2]PROYECTOS!$K$1:$M$32,3,0)</f>
        <v>2021003050069</v>
      </c>
      <c r="G549" s="67" t="s">
        <v>239</v>
      </c>
      <c r="H549" s="67" t="str">
        <f>VLOOKUP(Q549,[2]PROYECTOS!$V$1:$W$32,2,0)</f>
        <v>050069</v>
      </c>
      <c r="I549" s="68">
        <f>44681322-2372459</f>
        <v>42308863</v>
      </c>
      <c r="J549" s="53" t="s">
        <v>1588</v>
      </c>
      <c r="K549" s="65" t="str">
        <f t="shared" ca="1" si="234"/>
        <v>CONTRATADO</v>
      </c>
      <c r="L549" s="47" t="s">
        <v>94</v>
      </c>
      <c r="M549" s="47" t="s">
        <v>1297</v>
      </c>
      <c r="N549" s="52" t="s">
        <v>240</v>
      </c>
      <c r="O549" s="51" t="e">
        <f>VLOOKUP(N549,[2]!RUBROS[#All],3,0)</f>
        <v>#REF!</v>
      </c>
      <c r="P549" s="53" t="e">
        <f>VLOOKUP(N549,[2]!RUBROS[#All],2,0)</f>
        <v>#REF!</v>
      </c>
      <c r="Q549" s="65" t="str">
        <f t="shared" si="235"/>
        <v>22</v>
      </c>
      <c r="R549" s="47" t="str">
        <f t="shared" si="236"/>
        <v>0-205400</v>
      </c>
      <c r="S549" s="65">
        <f>210+15</f>
        <v>225</v>
      </c>
      <c r="T549" s="63" t="s">
        <v>120</v>
      </c>
      <c r="U549" s="345" t="e">
        <f ca="1">_xlfn.XLOOKUP(PAA_4[[#This Row],[ITEM]],[2]Contrato!A:A,[2]Contrato!Q:Q,"",0)</f>
        <v>#NAME?</v>
      </c>
      <c r="V549" s="65" t="s">
        <v>47</v>
      </c>
      <c r="W549" s="65" t="s">
        <v>122</v>
      </c>
      <c r="X549" s="65" t="s">
        <v>242</v>
      </c>
      <c r="Y549" s="69" t="e">
        <f ca="1">_xlfn.XLOOKUP(PAA_4[[#This Row],[ITEM]],[2]Contrato!A:A,[2]Contrato!B:B,"",0)</f>
        <v>#NAME?</v>
      </c>
      <c r="Z549" s="65" t="e">
        <f ca="1">_xlfn.XLOOKUP(PAA_4[[#This Row],[ITEM]],[2]Contrato!A:A,[2]Contrato!G:G,"",0)</f>
        <v>#NAME?</v>
      </c>
      <c r="AA549" s="65" t="e">
        <f ca="1">_xlfn.XLOOKUP(PAA_4[[#This Row],[ITEM]],[2]Contrato!A:A,[2]Contrato!T:T,"",0)</f>
        <v>#NAME?</v>
      </c>
      <c r="AB549" s="69" t="e">
        <f ca="1">+MAX(PAA_4[[#This Row],[Comprometido Contrato]],PAA_4[[#This Row],[Comprometido Bolsa]])</f>
        <v>#NAME?</v>
      </c>
      <c r="AC549" s="69" t="str">
        <f t="shared" ca="1" si="237"/>
        <v/>
      </c>
      <c r="AD549" s="69" t="e">
        <f ca="1">IF(PAA_4[[#This Row],[ESTADO (formulado)]]="NO CONTRATADO",0,MAX(PAA_4[[#This Row],[Pago por Contrato]],PAA_4[[#This Row],[Pago por bolsa]]))</f>
        <v>#NAME?</v>
      </c>
      <c r="AE549" s="69" t="str">
        <f t="shared" ca="1" si="238"/>
        <v/>
      </c>
      <c r="AF549" s="65" t="e">
        <f t="shared" ca="1" si="241"/>
        <v>#NAME?</v>
      </c>
      <c r="AG549" s="47">
        <f t="shared" si="240"/>
        <v>41080101</v>
      </c>
      <c r="AH549" s="54" t="str">
        <f>IF(Q549="22",IF(ISNUMBER(SEARCH("econ",PAA_4[[#This Row],[Actividad3]])),"Económico",IF(ISNUMBER(SEARCH("alim",PAA_4[[#This Row],[Actividad3]])),"Alimentación",IF(ISNUMBER(SEARCH("educ",PAA_4[[#This Row],[Actividad3]])),"Educativo","Técnico"))),0)</f>
        <v>Técnico</v>
      </c>
      <c r="AI549" s="47" t="e" cm="1">
        <f t="array" aca="1" ref="AI549" ca="1">_xlfn.XLOOKUP(PAA_4[[#This Row],[RCP-RUBRO]],[2]!COMPROMISOS_2024[[#All],[concatenado]],[2]!COMPROMISOS_2024[[#All],[Total pagado]],"",0)</f>
        <v>#NAME?</v>
      </c>
      <c r="AJ549" s="56" t="e">
        <f ca="1">IF(PAA_4[[#This Row],[BOLSA]]=0,0,SUMIFS([2]!COMPROMISOS_2024[[#All],[Total pagado]],[2]!COMPROMISOS_2024[[#All],[Bolsa]],PAA_4[[#This Row],[BOLSA]],[2]!COMPROMISOS_2024[[#All],[rubro]],PAA_4[[#This Row],[RCP-RUBRO]]))</f>
        <v>#REF!</v>
      </c>
      <c r="AK549" s="65" t="e" cm="1">
        <f t="array" aca="1" ref="AK549" ca="1">_xlfn.XLOOKUP(PAA_4[[#This Row],[RCP-RUBRO]],[2]!COMPROMISOS_2024[[#All],[concatenado]],[2]!COMPROMISOS_2024[[#All],[Total Comprometido]],"",0)</f>
        <v>#NAME?</v>
      </c>
      <c r="AL549" s="65" t="e">
        <f ca="1">IF(PAA_4[[#This Row],[BOLSA]]=0,0,SUMIFS([2]!COMPROMISOS_2024[[#All],[Total Comprometido]],[2]!COMPROMISOS_2024[[#All],[Bolsa]],PAA_4[[#This Row],[BOLSA]],[2]!COMPROMISOS_2024[[#All],[concatenado]],PAA_4[[#This Row],[RCP-RUBRO]]))</f>
        <v>#REF!</v>
      </c>
    </row>
    <row r="550" spans="1:38" s="19" customFormat="1" ht="31.5" customHeight="1">
      <c r="A550" s="47" t="s">
        <v>1589</v>
      </c>
      <c r="B550" s="65">
        <v>80111600</v>
      </c>
      <c r="C550" s="47" t="str">
        <f>VLOOKUP(PAA_4[[#This Row],[PROYECTO (formulado)2]],[2]PROYECTOS!$G$1:$L$32,6,0)</f>
        <v>SUBGERENCIA DE ALTOS LOGROS Y DEPORTE ASOCIADO</v>
      </c>
      <c r="D550" s="65" t="str">
        <f>+IF(PAA_4[[#This Row],[UNIDAD DE CONTRATACION (formulado)]]="Subgerencia Administrativa y Financiera","FUNCIONAMIENTO","INVERSIÓN")</f>
        <v>INVERSIÓN</v>
      </c>
      <c r="E550" s="66" t="str">
        <f>VLOOKUP(Q550,[2]PROYECTOS!$G$1:$K$32,5,0)</f>
        <v>APOYO_TÉCNICO_Y_PSICOSOCIAL_A_LOS_DEPORTISTAS_DE_ANTIOQUIA</v>
      </c>
      <c r="F550" s="48">
        <f>VLOOKUP(E550,[2]PROYECTOS!$K$1:$M$32,3,0)</f>
        <v>2021003050069</v>
      </c>
      <c r="G550" s="49" t="s">
        <v>239</v>
      </c>
      <c r="H550" s="67" t="str">
        <f>VLOOKUP(Q550,[2]PROYECTOS!$V$1:$W$32,2,0)</f>
        <v>050069</v>
      </c>
      <c r="I550" s="68">
        <v>14827872</v>
      </c>
      <c r="J550" s="53" t="s">
        <v>1590</v>
      </c>
      <c r="K550" s="65" t="str">
        <f t="shared" ca="1" si="234"/>
        <v>CONTRATADO</v>
      </c>
      <c r="L550" s="47" t="s">
        <v>94</v>
      </c>
      <c r="M550" s="47" t="s">
        <v>1297</v>
      </c>
      <c r="N550" s="52" t="s">
        <v>240</v>
      </c>
      <c r="O550" s="51" t="e">
        <f>VLOOKUP(N550,[2]!RUBROS[#All],3,0)</f>
        <v>#REF!</v>
      </c>
      <c r="P550" s="53" t="e">
        <f>VLOOKUP(N550,[2]!RUBROS[#All],2,0)</f>
        <v>#REF!</v>
      </c>
      <c r="Q550" s="65" t="str">
        <f t="shared" si="235"/>
        <v>22</v>
      </c>
      <c r="R550" s="47" t="str">
        <f t="shared" si="236"/>
        <v>0-205400</v>
      </c>
      <c r="S550" s="65">
        <v>6</v>
      </c>
      <c r="T550" s="63" t="s">
        <v>46</v>
      </c>
      <c r="U550" s="345" t="e">
        <f ca="1">_xlfn.XLOOKUP(PAA_4[[#This Row],[ITEM]],[2]Contrato!A:A,[2]Contrato!Q:Q,"",0)</f>
        <v>#NAME?</v>
      </c>
      <c r="V550" s="65" t="s">
        <v>47</v>
      </c>
      <c r="W550" s="65" t="s">
        <v>96</v>
      </c>
      <c r="X550" s="65" t="s">
        <v>96</v>
      </c>
      <c r="Y550" s="69" t="e">
        <f ca="1">_xlfn.XLOOKUP(PAA_4[[#This Row],[ITEM]],[2]Contrato!A:A,[2]Contrato!B:B,"",0)</f>
        <v>#NAME?</v>
      </c>
      <c r="Z550" s="65" t="e">
        <f ca="1">_xlfn.XLOOKUP(PAA_4[[#This Row],[ITEM]],[2]Contrato!A:A,[2]Contrato!G:G,"",0)</f>
        <v>#NAME?</v>
      </c>
      <c r="AA550" s="65" t="e">
        <f ca="1">_xlfn.XLOOKUP(PAA_4[[#This Row],[ITEM]],[2]Contrato!A:A,[2]Contrato!T:T,"",0)</f>
        <v>#NAME?</v>
      </c>
      <c r="AB550" s="69" t="e">
        <f ca="1">+MAX(PAA_4[[#This Row],[Comprometido Contrato]],PAA_4[[#This Row],[Comprometido Bolsa]])</f>
        <v>#NAME?</v>
      </c>
      <c r="AC550" s="69" t="str">
        <f t="shared" ca="1" si="237"/>
        <v/>
      </c>
      <c r="AD550" s="69" t="e">
        <f ca="1">IF(PAA_4[[#This Row],[ESTADO (formulado)]]="NO CONTRATADO",0,MAX(PAA_4[[#This Row],[Pago por Contrato]],PAA_4[[#This Row],[Pago por bolsa]]))</f>
        <v>#NAME?</v>
      </c>
      <c r="AE550" s="69" t="str">
        <f t="shared" ca="1" si="238"/>
        <v/>
      </c>
      <c r="AF550" s="65" t="e">
        <f t="shared" ca="1" si="241"/>
        <v>#NAME?</v>
      </c>
      <c r="AG550" s="47">
        <f t="shared" si="240"/>
        <v>41080101</v>
      </c>
      <c r="AH550" s="54" t="str">
        <f>IF(Q550="22",IF(ISNUMBER(SEARCH("econ",PAA_4[[#This Row],[Actividad3]])),"Económico",IF(ISNUMBER(SEARCH("alim",PAA_4[[#This Row],[Actividad3]])),"Alimentación",IF(ISNUMBER(SEARCH("educ",PAA_4[[#This Row],[Actividad3]])),"Educativo","Técnico"))),0)</f>
        <v>Técnico</v>
      </c>
      <c r="AI550" s="47" t="e" cm="1">
        <f t="array" aca="1" ref="AI550" ca="1">_xlfn.XLOOKUP(PAA_4[[#This Row],[RCP-RUBRO]],[2]!COMPROMISOS_2024[[#All],[concatenado]],[2]!COMPROMISOS_2024[[#All],[Total pagado]],"",0)</f>
        <v>#NAME?</v>
      </c>
      <c r="AJ550" s="56" t="e">
        <f ca="1">IF(PAA_4[[#This Row],[BOLSA]]=0,0,SUMIFS([2]!COMPROMISOS_2024[[#All],[Total pagado]],[2]!COMPROMISOS_2024[[#All],[Bolsa]],PAA_4[[#This Row],[BOLSA]],[2]!COMPROMISOS_2024[[#All],[rubro]],PAA_4[[#This Row],[RCP-RUBRO]]))</f>
        <v>#REF!</v>
      </c>
      <c r="AK550" s="65" t="e" cm="1">
        <f t="array" aca="1" ref="AK550" ca="1">_xlfn.XLOOKUP(PAA_4[[#This Row],[RCP-RUBRO]],[2]!COMPROMISOS_2024[[#All],[concatenado]],[2]!COMPROMISOS_2024[[#All],[Total Comprometido]],"",0)</f>
        <v>#NAME?</v>
      </c>
      <c r="AL550" s="65" t="e">
        <f ca="1">IF(PAA_4[[#This Row],[BOLSA]]=0,0,SUMIFS([2]!COMPROMISOS_2024[[#All],[Total Comprometido]],[2]!COMPROMISOS_2024[[#All],[Bolsa]],PAA_4[[#This Row],[BOLSA]],[2]!COMPROMISOS_2024[[#All],[concatenado]],PAA_4[[#This Row],[RCP-RUBRO]]))</f>
        <v>#REF!</v>
      </c>
    </row>
    <row r="551" spans="1:38" s="19" customFormat="1" ht="31.5" customHeight="1">
      <c r="A551" s="47">
        <v>166</v>
      </c>
      <c r="B551" s="65">
        <v>80111600</v>
      </c>
      <c r="C551" s="47" t="str">
        <f>VLOOKUP(PAA_4[[#This Row],[PROYECTO (formulado)2]],[2]PROYECTOS!$G$1:$L$32,6,0)</f>
        <v>SUBGERENCIA DE ALTOS LOGROS Y DEPORTE ASOCIADO</v>
      </c>
      <c r="D551" s="65" t="str">
        <f>+IF(PAA_4[[#This Row],[UNIDAD DE CONTRATACION (formulado)]]="Subgerencia Administrativa y Financiera","FUNCIONAMIENTO","INVERSIÓN")</f>
        <v>INVERSIÓN</v>
      </c>
      <c r="E551" s="66" t="str">
        <f>VLOOKUP(Q551,[2]PROYECTOS!$G$1:$K$32,5,0)</f>
        <v>APOYO_TÉCNICO_Y_PSICOSOCIAL_A_LOS_DEPORTISTAS_DE_ANTIOQUIA</v>
      </c>
      <c r="F551" s="48">
        <f>VLOOKUP(E551,[2]PROYECTOS!$K$1:$M$32,3,0)</f>
        <v>2021003050069</v>
      </c>
      <c r="G551" s="49" t="s">
        <v>239</v>
      </c>
      <c r="H551" s="67" t="str">
        <f>VLOOKUP(Q551,[2]PROYECTOS!$V$1:$W$32,2,0)</f>
        <v>050069</v>
      </c>
      <c r="I551" s="68">
        <f>35586894-14827872</f>
        <v>20759022</v>
      </c>
      <c r="J551" s="53" t="s">
        <v>1590</v>
      </c>
      <c r="K551" s="65" t="str">
        <f t="shared" ca="1" si="234"/>
        <v>CONTRATADO</v>
      </c>
      <c r="L551" s="47" t="s">
        <v>94</v>
      </c>
      <c r="M551" s="47" t="s">
        <v>1297</v>
      </c>
      <c r="N551" s="52" t="s">
        <v>240</v>
      </c>
      <c r="O551" s="51" t="e">
        <f>VLOOKUP(N551,[2]!RUBROS[#All],3,0)</f>
        <v>#REF!</v>
      </c>
      <c r="P551" s="53" t="e">
        <f>VLOOKUP(N551,[2]!RUBROS[#All],2,0)</f>
        <v>#REF!</v>
      </c>
      <c r="Q551" s="65" t="str">
        <f t="shared" si="235"/>
        <v>22</v>
      </c>
      <c r="R551" s="47" t="str">
        <f t="shared" si="236"/>
        <v>0-205400</v>
      </c>
      <c r="S551" s="65">
        <v>6</v>
      </c>
      <c r="T551" s="63" t="s">
        <v>46</v>
      </c>
      <c r="U551" s="345" t="e">
        <f ca="1">_xlfn.XLOOKUP(PAA_4[[#This Row],[ITEM]],[2]Contrato!A:A,[2]Contrato!Q:Q,"",0)</f>
        <v>#NAME?</v>
      </c>
      <c r="V551" s="65" t="s">
        <v>47</v>
      </c>
      <c r="W551" s="65" t="s">
        <v>137</v>
      </c>
      <c r="X551" s="65" t="s">
        <v>137</v>
      </c>
      <c r="Y551" s="69" t="e">
        <f ca="1">_xlfn.XLOOKUP(PAA_4[[#This Row],[ITEM]],[2]Contrato!A:A,[2]Contrato!B:B,"",0)</f>
        <v>#NAME?</v>
      </c>
      <c r="Z551" s="65" t="e">
        <f ca="1">_xlfn.XLOOKUP(PAA_4[[#This Row],[ITEM]],[2]Contrato!A:A,[2]Contrato!G:G,"",0)</f>
        <v>#NAME?</v>
      </c>
      <c r="AA551" s="65" t="e">
        <f ca="1">_xlfn.XLOOKUP(PAA_4[[#This Row],[ITEM]],[2]Contrato!A:A,[2]Contrato!T:T,"",0)</f>
        <v>#NAME?</v>
      </c>
      <c r="AB551" s="69" t="e">
        <f ca="1">+MAX(PAA_4[[#This Row],[Comprometido Contrato]],PAA_4[[#This Row],[Comprometido Bolsa]])</f>
        <v>#NAME?</v>
      </c>
      <c r="AC551" s="69" t="str">
        <f t="shared" ca="1" si="237"/>
        <v/>
      </c>
      <c r="AD551" s="69" t="e">
        <f ca="1">IF(PAA_4[[#This Row],[ESTADO (formulado)]]="NO CONTRATADO",0,MAX(PAA_4[[#This Row],[Pago por Contrato]],PAA_4[[#This Row],[Pago por bolsa]]))</f>
        <v>#NAME?</v>
      </c>
      <c r="AE551" s="69" t="str">
        <f t="shared" ca="1" si="238"/>
        <v/>
      </c>
      <c r="AF551" s="65" t="e">
        <f t="shared" ca="1" si="241"/>
        <v>#NAME?</v>
      </c>
      <c r="AG551" s="47">
        <f t="shared" si="240"/>
        <v>41080101</v>
      </c>
      <c r="AH551" s="54" t="str">
        <f>IF(Q551="22",IF(ISNUMBER(SEARCH("econ",PAA_4[[#This Row],[Actividad3]])),"Económico",IF(ISNUMBER(SEARCH("alim",PAA_4[[#This Row],[Actividad3]])),"Alimentación",IF(ISNUMBER(SEARCH("educ",PAA_4[[#This Row],[Actividad3]])),"Educativo","Técnico"))),0)</f>
        <v>Técnico</v>
      </c>
      <c r="AI551" s="47" t="e" cm="1">
        <f t="array" aca="1" ref="AI551" ca="1">_xlfn.XLOOKUP(PAA_4[[#This Row],[RCP-RUBRO]],[2]!COMPROMISOS_2024[[#All],[concatenado]],[2]!COMPROMISOS_2024[[#All],[Total pagado]],"",0)</f>
        <v>#NAME?</v>
      </c>
      <c r="AJ551" s="56" t="e">
        <f ca="1">IF(PAA_4[[#This Row],[BOLSA]]=0,0,SUMIFS([2]!COMPROMISOS_2024[[#All],[Total pagado]],[2]!COMPROMISOS_2024[[#All],[Bolsa]],PAA_4[[#This Row],[BOLSA]],[2]!COMPROMISOS_2024[[#All],[rubro]],PAA_4[[#This Row],[RCP-RUBRO]]))</f>
        <v>#REF!</v>
      </c>
      <c r="AK551" s="65" t="e" cm="1">
        <f t="array" aca="1" ref="AK551" ca="1">_xlfn.XLOOKUP(PAA_4[[#This Row],[RCP-RUBRO]],[2]!COMPROMISOS_2024[[#All],[concatenado]],[2]!COMPROMISOS_2024[[#All],[Total Comprometido]],"",0)</f>
        <v>#NAME?</v>
      </c>
      <c r="AL551" s="65" t="e">
        <f ca="1">IF(PAA_4[[#This Row],[BOLSA]]=0,0,SUMIFS([2]!COMPROMISOS_2024[[#All],[Total Comprometido]],[2]!COMPROMISOS_2024[[#All],[Bolsa]],PAA_4[[#This Row],[BOLSA]],[2]!COMPROMISOS_2024[[#All],[concatenado]],PAA_4[[#This Row],[RCP-RUBRO]]))</f>
        <v>#REF!</v>
      </c>
    </row>
    <row r="552" spans="1:38" s="19" customFormat="1" ht="31.5" customHeight="1">
      <c r="A552" s="47">
        <v>167</v>
      </c>
      <c r="B552" s="53">
        <v>80111600</v>
      </c>
      <c r="C552" s="47" t="str">
        <f>VLOOKUP(PAA_4[[#This Row],[PROYECTO (formulado)2]],[2]PROYECTOS!$G$1:$L$32,6,0)</f>
        <v>SUBGERENCIA DE ALTOS LOGROS Y DEPORTE ASOCIADO</v>
      </c>
      <c r="D552" s="65" t="str">
        <f>+IF(PAA_4[[#This Row],[UNIDAD DE CONTRATACION (formulado)]]="Subgerencia Administrativa y Financiera","FUNCIONAMIENTO","INVERSIÓN")</f>
        <v>INVERSIÓN</v>
      </c>
      <c r="E552" s="66" t="str">
        <f>VLOOKUP(Q552,[2]PROYECTOS!$G$1:$K$32,5,0)</f>
        <v>APOYO_TÉCNICO_Y_PSICOSOCIAL_A_LOS_DEPORTISTAS_DE_ANTIOQUIA</v>
      </c>
      <c r="F552" s="48">
        <f>VLOOKUP(E552,[2]PROYECTOS!$K$1:$M$32,3,0)</f>
        <v>2021003050069</v>
      </c>
      <c r="G552" s="67" t="s">
        <v>239</v>
      </c>
      <c r="H552" s="67" t="str">
        <f>VLOOKUP(Q552,[2]PROYECTOS!$V$1:$W$32,2,0)</f>
        <v>050069</v>
      </c>
      <c r="I552" s="68">
        <v>15449052</v>
      </c>
      <c r="J552" s="53" t="s">
        <v>1591</v>
      </c>
      <c r="K552" s="65" t="str">
        <f t="shared" ca="1" si="234"/>
        <v>CONTRATADO</v>
      </c>
      <c r="L552" s="47" t="s">
        <v>94</v>
      </c>
      <c r="M552" s="47" t="s">
        <v>1297</v>
      </c>
      <c r="N552" s="52" t="s">
        <v>240</v>
      </c>
      <c r="O552" s="51" t="e">
        <f>VLOOKUP(N552,[2]!RUBROS[#All],3,0)</f>
        <v>#REF!</v>
      </c>
      <c r="P552" s="53" t="e">
        <f>VLOOKUP(N552,[2]!RUBROS[#All],2,0)</f>
        <v>#REF!</v>
      </c>
      <c r="Q552" s="65" t="str">
        <f t="shared" si="235"/>
        <v>22</v>
      </c>
      <c r="R552" s="47" t="str">
        <f t="shared" si="236"/>
        <v>0-205400</v>
      </c>
      <c r="S552" s="65">
        <v>6</v>
      </c>
      <c r="T552" s="63" t="s">
        <v>46</v>
      </c>
      <c r="U552" s="345" t="e">
        <f ca="1">_xlfn.XLOOKUP(PAA_4[[#This Row],[ITEM]],[2]Contrato!A:A,[2]Contrato!Q:Q,"",0)</f>
        <v>#NAME?</v>
      </c>
      <c r="V552" s="65" t="s">
        <v>47</v>
      </c>
      <c r="W552" s="65" t="s">
        <v>137</v>
      </c>
      <c r="X552" s="65" t="s">
        <v>137</v>
      </c>
      <c r="Y552" s="69" t="e">
        <f ca="1">_xlfn.XLOOKUP(PAA_4[[#This Row],[ITEM]],[2]Contrato!A:A,[2]Contrato!B:B,"",0)</f>
        <v>#NAME?</v>
      </c>
      <c r="Z552" s="65" t="e">
        <f ca="1">_xlfn.XLOOKUP(PAA_4[[#This Row],[ITEM]],[2]Contrato!A:A,[2]Contrato!G:G,"",0)</f>
        <v>#NAME?</v>
      </c>
      <c r="AA552" s="65" t="e">
        <f ca="1">_xlfn.XLOOKUP(PAA_4[[#This Row],[ITEM]],[2]Contrato!A:A,[2]Contrato!T:T,"",0)</f>
        <v>#NAME?</v>
      </c>
      <c r="AB552" s="69" t="e">
        <f ca="1">+MAX(PAA_4[[#This Row],[Comprometido Contrato]],PAA_4[[#This Row],[Comprometido Bolsa]])</f>
        <v>#NAME?</v>
      </c>
      <c r="AC552" s="69" t="str">
        <f t="shared" ca="1" si="237"/>
        <v/>
      </c>
      <c r="AD552" s="69" t="e">
        <f ca="1">IF(PAA_4[[#This Row],[ESTADO (formulado)]]="NO CONTRATADO",0,MAX(PAA_4[[#This Row],[Pago por Contrato]],PAA_4[[#This Row],[Pago por bolsa]]))</f>
        <v>#NAME?</v>
      </c>
      <c r="AE552" s="69" t="str">
        <f t="shared" ca="1" si="238"/>
        <v/>
      </c>
      <c r="AF552" s="65" t="e">
        <f t="shared" ca="1" si="241"/>
        <v>#NAME?</v>
      </c>
      <c r="AG552" s="47">
        <f t="shared" si="240"/>
        <v>41080101</v>
      </c>
      <c r="AH552" s="54" t="str">
        <f>IF(Q552="22",IF(ISNUMBER(SEARCH("econ",PAA_4[[#This Row],[Actividad3]])),"Económico",IF(ISNUMBER(SEARCH("alim",PAA_4[[#This Row],[Actividad3]])),"Alimentación",IF(ISNUMBER(SEARCH("educ",PAA_4[[#This Row],[Actividad3]])),"Educativo","Técnico"))),0)</f>
        <v>Técnico</v>
      </c>
      <c r="AI552" s="47" t="e" cm="1">
        <f t="array" aca="1" ref="AI552" ca="1">_xlfn.XLOOKUP(PAA_4[[#This Row],[RCP-RUBRO]],[2]!COMPROMISOS_2024[[#All],[concatenado]],[2]!COMPROMISOS_2024[[#All],[Total pagado]],"",0)</f>
        <v>#NAME?</v>
      </c>
      <c r="AJ552" s="56" t="e">
        <f ca="1">IF(PAA_4[[#This Row],[BOLSA]]=0,0,SUMIFS([2]!COMPROMISOS_2024[[#All],[Total pagado]],[2]!COMPROMISOS_2024[[#All],[Bolsa]],PAA_4[[#This Row],[BOLSA]],[2]!COMPROMISOS_2024[[#All],[rubro]],PAA_4[[#This Row],[RCP-RUBRO]]))</f>
        <v>#REF!</v>
      </c>
      <c r="AK552" s="65" t="e" cm="1">
        <f t="array" aca="1" ref="AK552" ca="1">_xlfn.XLOOKUP(PAA_4[[#This Row],[RCP-RUBRO]],[2]!COMPROMISOS_2024[[#All],[concatenado]],[2]!COMPROMISOS_2024[[#All],[Total Comprometido]],"",0)</f>
        <v>#NAME?</v>
      </c>
      <c r="AL552" s="65" t="e">
        <f ca="1">IF(PAA_4[[#This Row],[BOLSA]]=0,0,SUMIFS([2]!COMPROMISOS_2024[[#All],[Total Comprometido]],[2]!COMPROMISOS_2024[[#All],[Bolsa]],PAA_4[[#This Row],[BOLSA]],[2]!COMPROMISOS_2024[[#All],[concatenado]],PAA_4[[#This Row],[RCP-RUBRO]]))</f>
        <v>#REF!</v>
      </c>
    </row>
    <row r="553" spans="1:38" s="19" customFormat="1" ht="31.5" customHeight="1">
      <c r="A553" s="47">
        <v>168</v>
      </c>
      <c r="B553" s="47">
        <v>80111600</v>
      </c>
      <c r="C553" s="47" t="str">
        <f>VLOOKUP(PAA_4[[#This Row],[PROYECTO (formulado)2]],[2]PROYECTOS!$G$1:$L$32,6,0)</f>
        <v>SUBGERENCIA DE ALTOS LOGROS Y DEPORTE ASOCIADO</v>
      </c>
      <c r="D553" s="47" t="str">
        <f>+IF(PAA_4[[#This Row],[UNIDAD DE CONTRATACION (formulado)]]="Subgerencia Administrativa y Financiera","FUNCIONAMIENTO","INVERSIÓN")</f>
        <v>INVERSIÓN</v>
      </c>
      <c r="E553" s="48" t="str">
        <f>VLOOKUP(Q553,[2]PROYECTOS!$G$1:$K$32,5,0)</f>
        <v>APOYO_TÉCNICO_Y_PSICOSOCIAL_A_LOS_DEPORTISTAS_DE_ANTIOQUIA</v>
      </c>
      <c r="F553" s="48">
        <f>VLOOKUP(E553,[2]PROYECTOS!$K$1:$M$32,3,0)</f>
        <v>2021003050069</v>
      </c>
      <c r="G553" s="49" t="s">
        <v>239</v>
      </c>
      <c r="H553" s="49" t="str">
        <f>VLOOKUP(Q553,[2]PROYECTOS!$V$1:$W$32,2,0)</f>
        <v>050069</v>
      </c>
      <c r="I553" s="50">
        <v>15449052</v>
      </c>
      <c r="J553" s="51" t="s">
        <v>1592</v>
      </c>
      <c r="K553" s="47" t="str">
        <f t="shared" ca="1" si="234"/>
        <v>CONTRATADO</v>
      </c>
      <c r="L553" s="47" t="s">
        <v>94</v>
      </c>
      <c r="M553" s="47" t="s">
        <v>1297</v>
      </c>
      <c r="N553" s="52" t="s">
        <v>240</v>
      </c>
      <c r="O553" s="51" t="e">
        <f>VLOOKUP(N553,[2]!RUBROS[#All],3,0)</f>
        <v>#REF!</v>
      </c>
      <c r="P553" s="53" t="e">
        <f>VLOOKUP(N553,[2]!RUBROS[#All],2,0)</f>
        <v>#REF!</v>
      </c>
      <c r="Q553" s="47" t="str">
        <f t="shared" si="235"/>
        <v>22</v>
      </c>
      <c r="R553" s="47" t="str">
        <f t="shared" si="236"/>
        <v>0-205400</v>
      </c>
      <c r="S553" s="54">
        <v>6</v>
      </c>
      <c r="T553" s="63" t="s">
        <v>46</v>
      </c>
      <c r="U553" s="326" t="e">
        <f ca="1">_xlfn.XLOOKUP(PAA_4[[#This Row],[ITEM]],[2]Contrato!A:A,[2]Contrato!Q:Q,"",0)</f>
        <v>#NAME?</v>
      </c>
      <c r="V553" s="47" t="s">
        <v>47</v>
      </c>
      <c r="W553" s="47" t="s">
        <v>137</v>
      </c>
      <c r="X553" s="47" t="s">
        <v>137</v>
      </c>
      <c r="Y553" s="55" t="e">
        <f ca="1">_xlfn.XLOOKUP(PAA_4[[#This Row],[ITEM]],[2]Contrato!A:A,[2]Contrato!B:B,"",0)</f>
        <v>#NAME?</v>
      </c>
      <c r="Z553" s="47" t="e">
        <f ca="1">_xlfn.XLOOKUP(PAA_4[[#This Row],[ITEM]],[2]Contrato!A:A,[2]Contrato!G:G,"",0)</f>
        <v>#NAME?</v>
      </c>
      <c r="AA553" s="47" t="e">
        <f ca="1">_xlfn.XLOOKUP(PAA_4[[#This Row],[ITEM]],[2]Contrato!A:A,[2]Contrato!T:T,"",0)</f>
        <v>#NAME?</v>
      </c>
      <c r="AB553" s="55" t="e">
        <f ca="1">+MAX(PAA_4[[#This Row],[Comprometido Contrato]],PAA_4[[#This Row],[Comprometido Bolsa]])</f>
        <v>#NAME?</v>
      </c>
      <c r="AC553" s="55" t="str">
        <f t="shared" ca="1" si="237"/>
        <v/>
      </c>
      <c r="AD553" s="55" t="e">
        <f ca="1">IF(PAA_4[[#This Row],[ESTADO (formulado)]]="NO CONTRATADO",0,MAX(PAA_4[[#This Row],[Pago por Contrato]],PAA_4[[#This Row],[Pago por bolsa]]))</f>
        <v>#NAME?</v>
      </c>
      <c r="AE553" s="55" t="str">
        <f t="shared" ca="1" si="238"/>
        <v/>
      </c>
      <c r="AF553" s="47" t="e">
        <f t="shared" ca="1" si="241"/>
        <v>#NAME?</v>
      </c>
      <c r="AG553" s="47">
        <f t="shared" si="240"/>
        <v>41080101</v>
      </c>
      <c r="AH553" s="54" t="str">
        <f>IF(Q553="22",IF(ISNUMBER(SEARCH("econ",PAA_4[[#This Row],[Actividad3]])),"Económico",IF(ISNUMBER(SEARCH("alim",PAA_4[[#This Row],[Actividad3]])),"Alimentación",IF(ISNUMBER(SEARCH("educ",PAA_4[[#This Row],[Actividad3]])),"Educativo","Técnico"))),0)</f>
        <v>Técnico</v>
      </c>
      <c r="AI553" s="47" t="e" cm="1">
        <f t="array" aca="1" ref="AI553" ca="1">_xlfn.XLOOKUP(PAA_4[[#This Row],[RCP-RUBRO]],[2]!COMPROMISOS_2024[[#All],[concatenado]],[2]!COMPROMISOS_2024[[#All],[Total pagado]],"",0)</f>
        <v>#NAME?</v>
      </c>
      <c r="AJ553" s="56" t="e">
        <f ca="1">IF(PAA_4[[#This Row],[BOLSA]]=0,0,SUMIFS([2]!COMPROMISOS_2024[[#All],[Total pagado]],[2]!COMPROMISOS_2024[[#All],[Bolsa]],PAA_4[[#This Row],[BOLSA]],[2]!COMPROMISOS_2024[[#All],[rubro]],PAA_4[[#This Row],[RCP-RUBRO]]))</f>
        <v>#REF!</v>
      </c>
      <c r="AK553" s="47" t="e" cm="1">
        <f t="array" aca="1" ref="AK553" ca="1">_xlfn.XLOOKUP(PAA_4[[#This Row],[RCP-RUBRO]],[2]!COMPROMISOS_2024[[#All],[concatenado]],[2]!COMPROMISOS_2024[[#All],[Total Comprometido]],"",0)</f>
        <v>#NAME?</v>
      </c>
      <c r="AL553" s="47" t="e">
        <f ca="1">IF(PAA_4[[#This Row],[BOLSA]]=0,0,SUMIFS([2]!COMPROMISOS_2024[[#All],[Total Comprometido]],[2]!COMPROMISOS_2024[[#All],[Bolsa]],PAA_4[[#This Row],[BOLSA]],[2]!COMPROMISOS_2024[[#All],[concatenado]],PAA_4[[#This Row],[RCP-RUBRO]]))</f>
        <v>#REF!</v>
      </c>
    </row>
    <row r="554" spans="1:38" s="19" customFormat="1" ht="31.5" customHeight="1">
      <c r="A554" s="47">
        <v>169</v>
      </c>
      <c r="B554" s="47">
        <v>80111600</v>
      </c>
      <c r="C554" s="47" t="str">
        <f>VLOOKUP(PAA_4[[#This Row],[PROYECTO (formulado)2]],[2]PROYECTOS!$G$1:$L$32,6,0)</f>
        <v>SUBGERENCIA DE ALTOS LOGROS Y DEPORTE ASOCIADO</v>
      </c>
      <c r="D554" s="47" t="str">
        <f>+IF(PAA_4[[#This Row],[UNIDAD DE CONTRATACION (formulado)]]="Subgerencia Administrativa y Financiera","FUNCIONAMIENTO","INVERSIÓN")</f>
        <v>INVERSIÓN</v>
      </c>
      <c r="E554" s="48" t="str">
        <f>VLOOKUP(Q554,[2]PROYECTOS!$G$1:$K$32,5,0)</f>
        <v>APOYO_TÉCNICO_Y_PSICOSOCIAL_A_LOS_DEPORTISTAS_DE_ANTIOQUIA</v>
      </c>
      <c r="F554" s="48">
        <f>VLOOKUP(E554,[2]PROYECTOS!$K$1:$M$32,3,0)</f>
        <v>2021003050069</v>
      </c>
      <c r="G554" s="49" t="s">
        <v>239</v>
      </c>
      <c r="H554" s="49" t="str">
        <f>VLOOKUP(Q554,[2]PROYECTOS!$V$1:$W$32,2,0)</f>
        <v>050069</v>
      </c>
      <c r="I554" s="50">
        <v>29453616</v>
      </c>
      <c r="J554" s="51" t="s">
        <v>1593</v>
      </c>
      <c r="K554" s="47" t="str">
        <f t="shared" ca="1" si="234"/>
        <v>CONTRATADO</v>
      </c>
      <c r="L554" s="47" t="s">
        <v>94</v>
      </c>
      <c r="M554" s="47" t="s">
        <v>1297</v>
      </c>
      <c r="N554" s="52" t="s">
        <v>240</v>
      </c>
      <c r="O554" s="51" t="e">
        <f>VLOOKUP(N554,[2]!RUBROS[#All],3,0)</f>
        <v>#REF!</v>
      </c>
      <c r="P554" s="53" t="e">
        <f>VLOOKUP(N554,[2]!RUBROS[#All],2,0)</f>
        <v>#REF!</v>
      </c>
      <c r="Q554" s="47" t="str">
        <f t="shared" si="235"/>
        <v>22</v>
      </c>
      <c r="R554" s="47" t="str">
        <f t="shared" si="236"/>
        <v>0-205400</v>
      </c>
      <c r="S554" s="54">
        <v>6</v>
      </c>
      <c r="T554" s="63" t="s">
        <v>46</v>
      </c>
      <c r="U554" s="326" t="e">
        <f ca="1">_xlfn.XLOOKUP(PAA_4[[#This Row],[ITEM]],[2]Contrato!A:A,[2]Contrato!Q:Q,"",0)</f>
        <v>#NAME?</v>
      </c>
      <c r="V554" s="47" t="s">
        <v>47</v>
      </c>
      <c r="W554" s="64" t="s">
        <v>137</v>
      </c>
      <c r="X554" s="64" t="s">
        <v>137</v>
      </c>
      <c r="Y554" s="55" t="e">
        <f ca="1">_xlfn.XLOOKUP(PAA_4[[#This Row],[ITEM]],[2]Contrato!A:A,[2]Contrato!B:B,"",0)</f>
        <v>#NAME?</v>
      </c>
      <c r="Z554" s="47" t="e">
        <f ca="1">_xlfn.XLOOKUP(PAA_4[[#This Row],[ITEM]],[2]Contrato!A:A,[2]Contrato!G:G,"",0)</f>
        <v>#NAME?</v>
      </c>
      <c r="AA554" s="47" t="e">
        <f ca="1">_xlfn.XLOOKUP(PAA_4[[#This Row],[ITEM]],[2]Contrato!A:A,[2]Contrato!T:T,"",0)</f>
        <v>#NAME?</v>
      </c>
      <c r="AB554" s="55" t="e">
        <f ca="1">+MAX(PAA_4[[#This Row],[Comprometido Contrato]],PAA_4[[#This Row],[Comprometido Bolsa]])</f>
        <v>#NAME?</v>
      </c>
      <c r="AC554" s="55" t="str">
        <f t="shared" ca="1" si="237"/>
        <v/>
      </c>
      <c r="AD554" s="55" t="e">
        <f ca="1">IF(PAA_4[[#This Row],[ESTADO (formulado)]]="NO CONTRATADO",0,MAX(PAA_4[[#This Row],[Pago por Contrato]],PAA_4[[#This Row],[Pago por bolsa]]))</f>
        <v>#NAME?</v>
      </c>
      <c r="AE554" s="55" t="str">
        <f t="shared" ca="1" si="238"/>
        <v/>
      </c>
      <c r="AF554" s="47" t="e">
        <f t="shared" ca="1" si="241"/>
        <v>#NAME?</v>
      </c>
      <c r="AG554" s="47">
        <f t="shared" si="240"/>
        <v>41080101</v>
      </c>
      <c r="AH554" s="54" t="str">
        <f>IF(Q554="22",IF(ISNUMBER(SEARCH("econ",PAA_4[[#This Row],[Actividad3]])),"Económico",IF(ISNUMBER(SEARCH("alim",PAA_4[[#This Row],[Actividad3]])),"Alimentación",IF(ISNUMBER(SEARCH("educ",PAA_4[[#This Row],[Actividad3]])),"Educativo","Técnico"))),0)</f>
        <v>Técnico</v>
      </c>
      <c r="AI554" s="47" t="e" cm="1">
        <f t="array" aca="1" ref="AI554" ca="1">_xlfn.XLOOKUP(PAA_4[[#This Row],[RCP-RUBRO]],[2]!COMPROMISOS_2024[[#All],[concatenado]],[2]!COMPROMISOS_2024[[#All],[Total pagado]],"",0)</f>
        <v>#NAME?</v>
      </c>
      <c r="AJ554" s="56" t="e">
        <f ca="1">IF(PAA_4[[#This Row],[BOLSA]]=0,0,SUMIFS([2]!COMPROMISOS_2024[[#All],[Total pagado]],[2]!COMPROMISOS_2024[[#All],[Bolsa]],PAA_4[[#This Row],[BOLSA]],[2]!COMPROMISOS_2024[[#All],[rubro]],PAA_4[[#This Row],[RCP-RUBRO]]))</f>
        <v>#REF!</v>
      </c>
      <c r="AK554" s="47" t="e" cm="1">
        <f t="array" aca="1" ref="AK554" ca="1">_xlfn.XLOOKUP(PAA_4[[#This Row],[RCP-RUBRO]],[2]!COMPROMISOS_2024[[#All],[concatenado]],[2]!COMPROMISOS_2024[[#All],[Total Comprometido]],"",0)</f>
        <v>#NAME?</v>
      </c>
      <c r="AL554" s="47" t="e">
        <f ca="1">IF(PAA_4[[#This Row],[BOLSA]]=0,0,SUMIFS([2]!COMPROMISOS_2024[[#All],[Total Comprometido]],[2]!COMPROMISOS_2024[[#All],[Bolsa]],PAA_4[[#This Row],[BOLSA]],[2]!COMPROMISOS_2024[[#All],[concatenado]],PAA_4[[#This Row],[RCP-RUBRO]]))</f>
        <v>#REF!</v>
      </c>
    </row>
    <row r="555" spans="1:38" s="19" customFormat="1" ht="31.5" customHeight="1">
      <c r="A555" s="47">
        <v>170</v>
      </c>
      <c r="B555" s="47">
        <v>80111600</v>
      </c>
      <c r="C555" s="47" t="str">
        <f>VLOOKUP(PAA_4[[#This Row],[PROYECTO (formulado)2]],[2]PROYECTOS!$G$1:$L$32,6,0)</f>
        <v>SUBGERENCIA DE ALTOS LOGROS Y DEPORTE ASOCIADO</v>
      </c>
      <c r="D555" s="47" t="str">
        <f>+IF(PAA_4[[#This Row],[UNIDAD DE CONTRATACION (formulado)]]="Subgerencia Administrativa y Financiera","FUNCIONAMIENTO","INVERSIÓN")</f>
        <v>INVERSIÓN</v>
      </c>
      <c r="E555" s="48" t="str">
        <f>VLOOKUP(Q555,[2]PROYECTOS!$G$1:$K$32,5,0)</f>
        <v>APOYO_TÉCNICO_Y_PSICOSOCIAL_A_LOS_DEPORTISTAS_DE_ANTIOQUIA</v>
      </c>
      <c r="F555" s="48">
        <f>VLOOKUP(E555,[2]PROYECTOS!$K$1:$M$32,3,0)</f>
        <v>2021003050069</v>
      </c>
      <c r="G555" s="49" t="s">
        <v>239</v>
      </c>
      <c r="H555" s="49" t="str">
        <f>VLOOKUP(Q555,[2]PROYECTOS!$V$1:$W$32,2,0)</f>
        <v>050069</v>
      </c>
      <c r="I555" s="50">
        <v>35586894</v>
      </c>
      <c r="J555" s="51" t="s">
        <v>1594</v>
      </c>
      <c r="K555" s="47" t="str">
        <f t="shared" ca="1" si="234"/>
        <v>CONTRATADO</v>
      </c>
      <c r="L555" s="47" t="s">
        <v>94</v>
      </c>
      <c r="M555" s="47" t="s">
        <v>1297</v>
      </c>
      <c r="N555" s="52" t="s">
        <v>240</v>
      </c>
      <c r="O555" s="51" t="e">
        <f>VLOOKUP(N555,[2]!RUBROS[#All],3,0)</f>
        <v>#REF!</v>
      </c>
      <c r="P555" s="53" t="e">
        <f>VLOOKUP(N555,[2]!RUBROS[#All],2,0)</f>
        <v>#REF!</v>
      </c>
      <c r="Q555" s="47" t="str">
        <f t="shared" si="235"/>
        <v>22</v>
      </c>
      <c r="R555" s="47" t="str">
        <f t="shared" si="236"/>
        <v>0-205400</v>
      </c>
      <c r="S555" s="54">
        <v>6</v>
      </c>
      <c r="T555" s="63" t="s">
        <v>46</v>
      </c>
      <c r="U555" s="326" t="e">
        <f ca="1">_xlfn.XLOOKUP(PAA_4[[#This Row],[ITEM]],[2]Contrato!A:A,[2]Contrato!Q:Q,"",0)</f>
        <v>#NAME?</v>
      </c>
      <c r="V555" s="47" t="s">
        <v>47</v>
      </c>
      <c r="W555" s="47" t="s">
        <v>137</v>
      </c>
      <c r="X555" s="47" t="s">
        <v>137</v>
      </c>
      <c r="Y555" s="55" t="e">
        <f ca="1">_xlfn.XLOOKUP(PAA_4[[#This Row],[ITEM]],[2]Contrato!A:A,[2]Contrato!B:B,"",0)</f>
        <v>#NAME?</v>
      </c>
      <c r="Z555" s="47" t="e">
        <f ca="1">_xlfn.XLOOKUP(PAA_4[[#This Row],[ITEM]],[2]Contrato!A:A,[2]Contrato!G:G,"",0)</f>
        <v>#NAME?</v>
      </c>
      <c r="AA555" s="47" t="e">
        <f ca="1">_xlfn.XLOOKUP(PAA_4[[#This Row],[ITEM]],[2]Contrato!A:A,[2]Contrato!T:T,"",0)</f>
        <v>#NAME?</v>
      </c>
      <c r="AB555" s="55" t="e">
        <f ca="1">+MAX(PAA_4[[#This Row],[Comprometido Contrato]],PAA_4[[#This Row],[Comprometido Bolsa]])</f>
        <v>#NAME?</v>
      </c>
      <c r="AC555" s="55" t="str">
        <f t="shared" ca="1" si="237"/>
        <v/>
      </c>
      <c r="AD555" s="55" t="e">
        <f ca="1">IF(PAA_4[[#This Row],[ESTADO (formulado)]]="NO CONTRATADO",0,MAX(PAA_4[[#This Row],[Pago por Contrato]],PAA_4[[#This Row],[Pago por bolsa]]))</f>
        <v>#NAME?</v>
      </c>
      <c r="AE555" s="55" t="str">
        <f t="shared" ca="1" si="238"/>
        <v/>
      </c>
      <c r="AF555" s="47" t="e">
        <f t="shared" ca="1" si="241"/>
        <v>#NAME?</v>
      </c>
      <c r="AG555" s="47">
        <f t="shared" si="240"/>
        <v>41080101</v>
      </c>
      <c r="AH555" s="54" t="str">
        <f>IF(Q555="22",IF(ISNUMBER(SEARCH("econ",PAA_4[[#This Row],[Actividad3]])),"Económico",IF(ISNUMBER(SEARCH("alim",PAA_4[[#This Row],[Actividad3]])),"Alimentación",IF(ISNUMBER(SEARCH("educ",PAA_4[[#This Row],[Actividad3]])),"Educativo","Técnico"))),0)</f>
        <v>Técnico</v>
      </c>
      <c r="AI555" s="47" t="e" cm="1">
        <f t="array" aca="1" ref="AI555" ca="1">_xlfn.XLOOKUP(PAA_4[[#This Row],[RCP-RUBRO]],[2]!COMPROMISOS_2024[[#All],[concatenado]],[2]!COMPROMISOS_2024[[#All],[Total pagado]],"",0)</f>
        <v>#NAME?</v>
      </c>
      <c r="AJ555" s="56" t="e">
        <f ca="1">IF(PAA_4[[#This Row],[BOLSA]]=0,0,SUMIFS([2]!COMPROMISOS_2024[[#All],[Total pagado]],[2]!COMPROMISOS_2024[[#All],[Bolsa]],PAA_4[[#This Row],[BOLSA]],[2]!COMPROMISOS_2024[[#All],[rubro]],PAA_4[[#This Row],[RCP-RUBRO]]))</f>
        <v>#REF!</v>
      </c>
      <c r="AK555" s="47" t="e" cm="1">
        <f t="array" aca="1" ref="AK555" ca="1">_xlfn.XLOOKUP(PAA_4[[#This Row],[RCP-RUBRO]],[2]!COMPROMISOS_2024[[#All],[concatenado]],[2]!COMPROMISOS_2024[[#All],[Total Comprometido]],"",0)</f>
        <v>#NAME?</v>
      </c>
      <c r="AL555" s="47" t="e">
        <f ca="1">IF(PAA_4[[#This Row],[BOLSA]]=0,0,SUMIFS([2]!COMPROMISOS_2024[[#All],[Total Comprometido]],[2]!COMPROMISOS_2024[[#All],[Bolsa]],PAA_4[[#This Row],[BOLSA]],[2]!COMPROMISOS_2024[[#All],[concatenado]],PAA_4[[#This Row],[RCP-RUBRO]]))</f>
        <v>#REF!</v>
      </c>
    </row>
    <row r="556" spans="1:38" s="19" customFormat="1" ht="31.5" customHeight="1">
      <c r="A556" s="47">
        <v>171</v>
      </c>
      <c r="B556" s="47">
        <v>80111600</v>
      </c>
      <c r="C556" s="47" t="str">
        <f>VLOOKUP(PAA_4[[#This Row],[PROYECTO (formulado)2]],[2]PROYECTOS!$G$1:$L$32,6,0)</f>
        <v>SUBGERENCIA DE ALTOS LOGROS Y DEPORTE ASOCIADO</v>
      </c>
      <c r="D556" s="47" t="str">
        <f>+IF(PAA_4[[#This Row],[UNIDAD DE CONTRATACION (formulado)]]="Subgerencia Administrativa y Financiera","FUNCIONAMIENTO","INVERSIÓN")</f>
        <v>INVERSIÓN</v>
      </c>
      <c r="E556" s="48" t="str">
        <f>VLOOKUP(Q556,[2]PROYECTOS!$G$1:$K$32,5,0)</f>
        <v>APOYO_TÉCNICO_Y_PSICOSOCIAL_A_LOS_DEPORTISTAS_DE_ANTIOQUIA</v>
      </c>
      <c r="F556" s="48">
        <f>VLOOKUP(E556,[2]PROYECTOS!$K$1:$M$32,3,0)</f>
        <v>2021003050069</v>
      </c>
      <c r="G556" s="49" t="s">
        <v>239</v>
      </c>
      <c r="H556" s="49" t="str">
        <f>VLOOKUP(Q556,[2]PROYECTOS!$V$1:$W$32,2,0)</f>
        <v>050069</v>
      </c>
      <c r="I556" s="50">
        <v>23714292</v>
      </c>
      <c r="J556" s="51" t="s">
        <v>1595</v>
      </c>
      <c r="K556" s="47" t="str">
        <f t="shared" ca="1" si="234"/>
        <v>CONTRATADO</v>
      </c>
      <c r="L556" s="47" t="s">
        <v>94</v>
      </c>
      <c r="M556" s="47" t="s">
        <v>1297</v>
      </c>
      <c r="N556" s="52" t="s">
        <v>240</v>
      </c>
      <c r="O556" s="51" t="e">
        <f>VLOOKUP(N556,[2]!RUBROS[#All],3,0)</f>
        <v>#REF!</v>
      </c>
      <c r="P556" s="53" t="e">
        <f>VLOOKUP(N556,[2]!RUBROS[#All],2,0)</f>
        <v>#REF!</v>
      </c>
      <c r="Q556" s="47" t="str">
        <f t="shared" si="235"/>
        <v>22</v>
      </c>
      <c r="R556" s="47" t="str">
        <f t="shared" si="236"/>
        <v>0-205400</v>
      </c>
      <c r="S556" s="54">
        <v>6</v>
      </c>
      <c r="T556" s="63" t="s">
        <v>46</v>
      </c>
      <c r="U556" s="326" t="e">
        <f ca="1">_xlfn.XLOOKUP(PAA_4[[#This Row],[ITEM]],[2]Contrato!A:A,[2]Contrato!Q:Q,"",0)</f>
        <v>#NAME?</v>
      </c>
      <c r="V556" s="47" t="s">
        <v>47</v>
      </c>
      <c r="W556" s="47" t="s">
        <v>137</v>
      </c>
      <c r="X556" s="47" t="s">
        <v>137</v>
      </c>
      <c r="Y556" s="55" t="e">
        <f ca="1">_xlfn.XLOOKUP(PAA_4[[#This Row],[ITEM]],[2]Contrato!A:A,[2]Contrato!B:B,"",0)</f>
        <v>#NAME?</v>
      </c>
      <c r="Z556" s="47" t="e">
        <f ca="1">_xlfn.XLOOKUP(PAA_4[[#This Row],[ITEM]],[2]Contrato!A:A,[2]Contrato!G:G,"",0)</f>
        <v>#NAME?</v>
      </c>
      <c r="AA556" s="47" t="e">
        <f ca="1">_xlfn.XLOOKUP(PAA_4[[#This Row],[ITEM]],[2]Contrato!A:A,[2]Contrato!T:T,"",0)</f>
        <v>#NAME?</v>
      </c>
      <c r="AB556" s="55" t="e">
        <f ca="1">+MAX(PAA_4[[#This Row],[Comprometido Contrato]],PAA_4[[#This Row],[Comprometido Bolsa]])</f>
        <v>#NAME?</v>
      </c>
      <c r="AC556" s="55" t="str">
        <f t="shared" ca="1" si="237"/>
        <v/>
      </c>
      <c r="AD556" s="55" t="e">
        <f ca="1">IF(PAA_4[[#This Row],[ESTADO (formulado)]]="NO CONTRATADO",0,MAX(PAA_4[[#This Row],[Pago por Contrato]],PAA_4[[#This Row],[Pago por bolsa]]))</f>
        <v>#NAME?</v>
      </c>
      <c r="AE556" s="55" t="str">
        <f t="shared" ca="1" si="238"/>
        <v/>
      </c>
      <c r="AF556" s="47" t="e">
        <f t="shared" ca="1" si="241"/>
        <v>#NAME?</v>
      </c>
      <c r="AG556" s="47">
        <f t="shared" si="240"/>
        <v>41080101</v>
      </c>
      <c r="AH556" s="54" t="str">
        <f>IF(Q556="22",IF(ISNUMBER(SEARCH("econ",PAA_4[[#This Row],[Actividad3]])),"Económico",IF(ISNUMBER(SEARCH("alim",PAA_4[[#This Row],[Actividad3]])),"Alimentación",IF(ISNUMBER(SEARCH("educ",PAA_4[[#This Row],[Actividad3]])),"Educativo","Técnico"))),0)</f>
        <v>Técnico</v>
      </c>
      <c r="AI556" s="47" t="e" cm="1">
        <f t="array" aca="1" ref="AI556" ca="1">_xlfn.XLOOKUP(PAA_4[[#This Row],[RCP-RUBRO]],[2]!COMPROMISOS_2024[[#All],[concatenado]],[2]!COMPROMISOS_2024[[#All],[Total pagado]],"",0)</f>
        <v>#NAME?</v>
      </c>
      <c r="AJ556" s="56" t="e">
        <f ca="1">IF(PAA_4[[#This Row],[BOLSA]]=0,0,SUMIFS([2]!COMPROMISOS_2024[[#All],[Total pagado]],[2]!COMPROMISOS_2024[[#All],[Bolsa]],PAA_4[[#This Row],[BOLSA]],[2]!COMPROMISOS_2024[[#All],[rubro]],PAA_4[[#This Row],[RCP-RUBRO]]))</f>
        <v>#REF!</v>
      </c>
      <c r="AK556" s="47" t="e" cm="1">
        <f t="array" aca="1" ref="AK556" ca="1">_xlfn.XLOOKUP(PAA_4[[#This Row],[RCP-RUBRO]],[2]!COMPROMISOS_2024[[#All],[concatenado]],[2]!COMPROMISOS_2024[[#All],[Total Comprometido]],"",0)</f>
        <v>#NAME?</v>
      </c>
      <c r="AL556" s="47" t="e">
        <f ca="1">IF(PAA_4[[#This Row],[BOLSA]]=0,0,SUMIFS([2]!COMPROMISOS_2024[[#All],[Total Comprometido]],[2]!COMPROMISOS_2024[[#All],[Bolsa]],PAA_4[[#This Row],[BOLSA]],[2]!COMPROMISOS_2024[[#All],[concatenado]],PAA_4[[#This Row],[RCP-RUBRO]]))</f>
        <v>#REF!</v>
      </c>
    </row>
    <row r="557" spans="1:38" s="19" customFormat="1" ht="31.5" customHeight="1">
      <c r="A557" s="47">
        <v>172</v>
      </c>
      <c r="B557" s="47">
        <v>80111600</v>
      </c>
      <c r="C557" s="47" t="str">
        <f>VLOOKUP(PAA_4[[#This Row],[PROYECTO (formulado)2]],[2]PROYECTOS!$G$1:$L$32,6,0)</f>
        <v>SUBGERENCIA DE ALTOS LOGROS Y DEPORTE ASOCIADO</v>
      </c>
      <c r="D557" s="47" t="str">
        <f>+IF(PAA_4[[#This Row],[UNIDAD DE CONTRATACION (formulado)]]="Subgerencia Administrativa y Financiera","FUNCIONAMIENTO","INVERSIÓN")</f>
        <v>INVERSIÓN</v>
      </c>
      <c r="E557" s="48" t="str">
        <f>VLOOKUP(Q557,[2]PROYECTOS!$G$1:$K$32,5,0)</f>
        <v>APOYO_TÉCNICO_Y_PSICOSOCIAL_A_LOS_DEPORTISTAS_DE_ANTIOQUIA</v>
      </c>
      <c r="F557" s="48">
        <f>VLOOKUP(E557,[2]PROYECTOS!$K$1:$M$32,3,0)</f>
        <v>2021003050069</v>
      </c>
      <c r="G557" s="49" t="s">
        <v>239</v>
      </c>
      <c r="H557" s="49" t="str">
        <f>VLOOKUP(Q557,[2]PROYECTOS!$V$1:$W$32,2,0)</f>
        <v>050069</v>
      </c>
      <c r="I557" s="50">
        <v>35586894</v>
      </c>
      <c r="J557" s="51" t="s">
        <v>1596</v>
      </c>
      <c r="K557" s="47" t="str">
        <f t="shared" ca="1" si="234"/>
        <v>CONTRATADO</v>
      </c>
      <c r="L557" s="47" t="s">
        <v>94</v>
      </c>
      <c r="M557" s="47" t="s">
        <v>1297</v>
      </c>
      <c r="N557" s="52" t="s">
        <v>240</v>
      </c>
      <c r="O557" s="51" t="e">
        <f>VLOOKUP(N557,[2]!RUBROS[#All],3,0)</f>
        <v>#REF!</v>
      </c>
      <c r="P557" s="53" t="e">
        <f>VLOOKUP(N557,[2]!RUBROS[#All],2,0)</f>
        <v>#REF!</v>
      </c>
      <c r="Q557" s="47" t="str">
        <f t="shared" si="235"/>
        <v>22</v>
      </c>
      <c r="R557" s="47" t="str">
        <f t="shared" si="236"/>
        <v>0-205400</v>
      </c>
      <c r="S557" s="54">
        <v>6</v>
      </c>
      <c r="T557" s="63" t="s">
        <v>46</v>
      </c>
      <c r="U557" s="326" t="e">
        <f ca="1">_xlfn.XLOOKUP(PAA_4[[#This Row],[ITEM]],[2]Contrato!A:A,[2]Contrato!Q:Q,"",0)</f>
        <v>#NAME?</v>
      </c>
      <c r="V557" s="47" t="s">
        <v>47</v>
      </c>
      <c r="W557" s="47" t="s">
        <v>137</v>
      </c>
      <c r="X557" s="47" t="s">
        <v>137</v>
      </c>
      <c r="Y557" s="55" t="e">
        <f ca="1">_xlfn.XLOOKUP(PAA_4[[#This Row],[ITEM]],[2]Contrato!A:A,[2]Contrato!B:B,"",0)</f>
        <v>#NAME?</v>
      </c>
      <c r="Z557" s="47" t="e">
        <f ca="1">_xlfn.XLOOKUP(PAA_4[[#This Row],[ITEM]],[2]Contrato!A:A,[2]Contrato!G:G,"",0)</f>
        <v>#NAME?</v>
      </c>
      <c r="AA557" s="47" t="e">
        <f ca="1">_xlfn.XLOOKUP(PAA_4[[#This Row],[ITEM]],[2]Contrato!A:A,[2]Contrato!T:T,"",0)</f>
        <v>#NAME?</v>
      </c>
      <c r="AB557" s="55" t="e">
        <f ca="1">+MAX(PAA_4[[#This Row],[Comprometido Contrato]],PAA_4[[#This Row],[Comprometido Bolsa]])</f>
        <v>#NAME?</v>
      </c>
      <c r="AC557" s="55" t="str">
        <f t="shared" ca="1" si="237"/>
        <v/>
      </c>
      <c r="AD557" s="55" t="e">
        <f ca="1">IF(PAA_4[[#This Row],[ESTADO (formulado)]]="NO CONTRATADO",0,MAX(PAA_4[[#This Row],[Pago por Contrato]],PAA_4[[#This Row],[Pago por bolsa]]))</f>
        <v>#NAME?</v>
      </c>
      <c r="AE557" s="55" t="str">
        <f t="shared" ca="1" si="238"/>
        <v/>
      </c>
      <c r="AF557" s="47" t="e">
        <f t="shared" ca="1" si="241"/>
        <v>#NAME?</v>
      </c>
      <c r="AG557" s="47">
        <f t="shared" si="240"/>
        <v>41080101</v>
      </c>
      <c r="AH557" s="54" t="str">
        <f>IF(Q557="22",IF(ISNUMBER(SEARCH("econ",PAA_4[[#This Row],[Actividad3]])),"Económico",IF(ISNUMBER(SEARCH("alim",PAA_4[[#This Row],[Actividad3]])),"Alimentación",IF(ISNUMBER(SEARCH("educ",PAA_4[[#This Row],[Actividad3]])),"Educativo","Técnico"))),0)</f>
        <v>Técnico</v>
      </c>
      <c r="AI557" s="47" t="e" cm="1">
        <f t="array" aca="1" ref="AI557" ca="1">_xlfn.XLOOKUP(PAA_4[[#This Row],[RCP-RUBRO]],[2]!COMPROMISOS_2024[[#All],[concatenado]],[2]!COMPROMISOS_2024[[#All],[Total pagado]],"",0)</f>
        <v>#NAME?</v>
      </c>
      <c r="AJ557" s="56" t="e">
        <f ca="1">IF(PAA_4[[#This Row],[BOLSA]]=0,0,SUMIFS([2]!COMPROMISOS_2024[[#All],[Total pagado]],[2]!COMPROMISOS_2024[[#All],[Bolsa]],PAA_4[[#This Row],[BOLSA]],[2]!COMPROMISOS_2024[[#All],[rubro]],PAA_4[[#This Row],[RCP-RUBRO]]))</f>
        <v>#REF!</v>
      </c>
      <c r="AK557" s="47" t="e" cm="1">
        <f t="array" aca="1" ref="AK557" ca="1">_xlfn.XLOOKUP(PAA_4[[#This Row],[RCP-RUBRO]],[2]!COMPROMISOS_2024[[#All],[concatenado]],[2]!COMPROMISOS_2024[[#All],[Total Comprometido]],"",0)</f>
        <v>#NAME?</v>
      </c>
      <c r="AL557" s="47" t="e">
        <f ca="1">IF(PAA_4[[#This Row],[BOLSA]]=0,0,SUMIFS([2]!COMPROMISOS_2024[[#All],[Total Comprometido]],[2]!COMPROMISOS_2024[[#All],[Bolsa]],PAA_4[[#This Row],[BOLSA]],[2]!COMPROMISOS_2024[[#All],[concatenado]],PAA_4[[#This Row],[RCP-RUBRO]]))</f>
        <v>#REF!</v>
      </c>
    </row>
    <row r="558" spans="1:38" s="19" customFormat="1" ht="31.5" customHeight="1">
      <c r="A558" s="47">
        <v>173</v>
      </c>
      <c r="B558" s="47">
        <v>80111600</v>
      </c>
      <c r="C558" s="47" t="str">
        <f>VLOOKUP(PAA_4[[#This Row],[PROYECTO (formulado)2]],[2]PROYECTOS!$G$1:$L$32,6,0)</f>
        <v>SUBGERENCIA DE ALTOS LOGROS Y DEPORTE ASOCIADO</v>
      </c>
      <c r="D558" s="47" t="str">
        <f>+IF(PAA_4[[#This Row],[UNIDAD DE CONTRATACION (formulado)]]="Subgerencia Administrativa y Financiera","FUNCIONAMIENTO","INVERSIÓN")</f>
        <v>INVERSIÓN</v>
      </c>
      <c r="E558" s="48" t="str">
        <f>VLOOKUP(Q558,[2]PROYECTOS!$G$1:$K$32,5,0)</f>
        <v>APOYO_TÉCNICO_Y_PSICOSOCIAL_A_LOS_DEPORTISTAS_DE_ANTIOQUIA</v>
      </c>
      <c r="F558" s="48">
        <f>VLOOKUP(E558,[2]PROYECTOS!$K$1:$M$32,3,0)</f>
        <v>2021003050069</v>
      </c>
      <c r="G558" s="49" t="s">
        <v>239</v>
      </c>
      <c r="H558" s="49" t="str">
        <f>VLOOKUP(Q558,[2]PROYECTOS!$V$1:$W$32,2,0)</f>
        <v>050069</v>
      </c>
      <c r="I558" s="50">
        <v>47452590</v>
      </c>
      <c r="J558" s="51" t="s">
        <v>1597</v>
      </c>
      <c r="K558" s="47" t="str">
        <f t="shared" ca="1" si="234"/>
        <v>CONTRATADO</v>
      </c>
      <c r="L558" s="47" t="s">
        <v>94</v>
      </c>
      <c r="M558" s="47" t="s">
        <v>1297</v>
      </c>
      <c r="N558" s="52" t="s">
        <v>240</v>
      </c>
      <c r="O558" s="51" t="e">
        <f>VLOOKUP(N558,[2]!RUBROS[#All],3,0)</f>
        <v>#REF!</v>
      </c>
      <c r="P558" s="53" t="e">
        <f>VLOOKUP(N558,[2]!RUBROS[#All],2,0)</f>
        <v>#REF!</v>
      </c>
      <c r="Q558" s="47" t="str">
        <f t="shared" si="235"/>
        <v>22</v>
      </c>
      <c r="R558" s="47" t="str">
        <f t="shared" si="236"/>
        <v>0-205400</v>
      </c>
      <c r="S558" s="54">
        <v>6</v>
      </c>
      <c r="T558" s="63" t="s">
        <v>46</v>
      </c>
      <c r="U558" s="326" t="e">
        <f ca="1">_xlfn.XLOOKUP(PAA_4[[#This Row],[ITEM]],[2]Contrato!A:A,[2]Contrato!Q:Q,"",0)</f>
        <v>#NAME?</v>
      </c>
      <c r="V558" s="47" t="s">
        <v>47</v>
      </c>
      <c r="W558" s="47" t="s">
        <v>137</v>
      </c>
      <c r="X558" s="47" t="s">
        <v>137</v>
      </c>
      <c r="Y558" s="55" t="e">
        <f ca="1">_xlfn.XLOOKUP(PAA_4[[#This Row],[ITEM]],[2]Contrato!A:A,[2]Contrato!B:B,"",0)</f>
        <v>#NAME?</v>
      </c>
      <c r="Z558" s="47" t="e">
        <f ca="1">_xlfn.XLOOKUP(PAA_4[[#This Row],[ITEM]],[2]Contrato!A:A,[2]Contrato!G:G,"",0)</f>
        <v>#NAME?</v>
      </c>
      <c r="AA558" s="47" t="e">
        <f ca="1">_xlfn.XLOOKUP(PAA_4[[#This Row],[ITEM]],[2]Contrato!A:A,[2]Contrato!T:T,"",0)</f>
        <v>#NAME?</v>
      </c>
      <c r="AB558" s="55" t="e">
        <f ca="1">+MAX(PAA_4[[#This Row],[Comprometido Contrato]],PAA_4[[#This Row],[Comprometido Bolsa]])</f>
        <v>#NAME?</v>
      </c>
      <c r="AC558" s="55" t="str">
        <f t="shared" ca="1" si="237"/>
        <v/>
      </c>
      <c r="AD558" s="55" t="e">
        <f ca="1">IF(PAA_4[[#This Row],[ESTADO (formulado)]]="NO CONTRATADO",0,MAX(PAA_4[[#This Row],[Pago por Contrato]],PAA_4[[#This Row],[Pago por bolsa]]))</f>
        <v>#NAME?</v>
      </c>
      <c r="AE558" s="55" t="str">
        <f t="shared" ca="1" si="238"/>
        <v/>
      </c>
      <c r="AF558" s="47" t="e">
        <f t="shared" ca="1" si="241"/>
        <v>#NAME?</v>
      </c>
      <c r="AG558" s="47">
        <f t="shared" si="240"/>
        <v>41080101</v>
      </c>
      <c r="AH558" s="54" t="str">
        <f>IF(Q558="22",IF(ISNUMBER(SEARCH("econ",PAA_4[[#This Row],[Actividad3]])),"Económico",IF(ISNUMBER(SEARCH("alim",PAA_4[[#This Row],[Actividad3]])),"Alimentación",IF(ISNUMBER(SEARCH("educ",PAA_4[[#This Row],[Actividad3]])),"Educativo","Técnico"))),0)</f>
        <v>Técnico</v>
      </c>
      <c r="AI558" s="47" t="e" cm="1">
        <f t="array" aca="1" ref="AI558" ca="1">_xlfn.XLOOKUP(PAA_4[[#This Row],[RCP-RUBRO]],[2]!COMPROMISOS_2024[[#All],[concatenado]],[2]!COMPROMISOS_2024[[#All],[Total pagado]],"",0)</f>
        <v>#NAME?</v>
      </c>
      <c r="AJ558" s="56" t="e">
        <f ca="1">IF(PAA_4[[#This Row],[BOLSA]]=0,0,SUMIFS([2]!COMPROMISOS_2024[[#All],[Total pagado]],[2]!COMPROMISOS_2024[[#All],[Bolsa]],PAA_4[[#This Row],[BOLSA]],[2]!COMPROMISOS_2024[[#All],[rubro]],PAA_4[[#This Row],[RCP-RUBRO]]))</f>
        <v>#REF!</v>
      </c>
      <c r="AK558" s="47" t="e" cm="1">
        <f t="array" aca="1" ref="AK558" ca="1">_xlfn.XLOOKUP(PAA_4[[#This Row],[RCP-RUBRO]],[2]!COMPROMISOS_2024[[#All],[concatenado]],[2]!COMPROMISOS_2024[[#All],[Total Comprometido]],"",0)</f>
        <v>#NAME?</v>
      </c>
      <c r="AL558" s="47" t="e">
        <f ca="1">IF(PAA_4[[#This Row],[BOLSA]]=0,0,SUMIFS([2]!COMPROMISOS_2024[[#All],[Total Comprometido]],[2]!COMPROMISOS_2024[[#All],[Bolsa]],PAA_4[[#This Row],[BOLSA]],[2]!COMPROMISOS_2024[[#All],[concatenado]],PAA_4[[#This Row],[RCP-RUBRO]]))</f>
        <v>#REF!</v>
      </c>
    </row>
    <row r="559" spans="1:38" s="19" customFormat="1" ht="31.5" customHeight="1">
      <c r="A559" s="47">
        <v>174</v>
      </c>
      <c r="B559" s="47">
        <v>80111600</v>
      </c>
      <c r="C559" s="47" t="str">
        <f>VLOOKUP(PAA_4[[#This Row],[PROYECTO (formulado)2]],[2]PROYECTOS!$G$1:$L$32,6,0)</f>
        <v>SUBGERENCIA DE ALTOS LOGROS Y DEPORTE ASOCIADO</v>
      </c>
      <c r="D559" s="47" t="str">
        <f>+IF(PAA_4[[#This Row],[UNIDAD DE CONTRATACION (formulado)]]="Subgerencia Administrativa y Financiera","FUNCIONAMIENTO","INVERSIÓN")</f>
        <v>INVERSIÓN</v>
      </c>
      <c r="E559" s="48" t="str">
        <f>VLOOKUP(Q559,[2]PROYECTOS!$G$1:$K$32,5,0)</f>
        <v>APOYO_TÉCNICO_Y_PSICOSOCIAL_A_LOS_DEPORTISTAS_DE_ANTIOQUIA</v>
      </c>
      <c r="F559" s="48">
        <f>VLOOKUP(E559,[2]PROYECTOS!$K$1:$M$32,3,0)</f>
        <v>2021003050069</v>
      </c>
      <c r="G559" s="49" t="s">
        <v>239</v>
      </c>
      <c r="H559" s="49" t="str">
        <f>VLOOKUP(Q559,[2]PROYECTOS!$V$1:$W$32,2,0)</f>
        <v>050069</v>
      </c>
      <c r="I559" s="50">
        <v>29453616</v>
      </c>
      <c r="J559" s="51" t="s">
        <v>1598</v>
      </c>
      <c r="K559" s="47" t="str">
        <f t="shared" ca="1" si="234"/>
        <v>CONTRATADO</v>
      </c>
      <c r="L559" s="47" t="s">
        <v>94</v>
      </c>
      <c r="M559" s="47" t="s">
        <v>1297</v>
      </c>
      <c r="N559" s="52" t="s">
        <v>240</v>
      </c>
      <c r="O559" s="51" t="e">
        <f>VLOOKUP(N559,[2]!RUBROS[#All],3,0)</f>
        <v>#REF!</v>
      </c>
      <c r="P559" s="53" t="e">
        <f>VLOOKUP(N559,[2]!RUBROS[#All],2,0)</f>
        <v>#REF!</v>
      </c>
      <c r="Q559" s="47" t="str">
        <f t="shared" si="235"/>
        <v>22</v>
      </c>
      <c r="R559" s="47" t="str">
        <f t="shared" si="236"/>
        <v>0-205400</v>
      </c>
      <c r="S559" s="54">
        <v>6</v>
      </c>
      <c r="T559" s="63" t="s">
        <v>46</v>
      </c>
      <c r="U559" s="326" t="e">
        <f ca="1">_xlfn.XLOOKUP(PAA_4[[#This Row],[ITEM]],[2]Contrato!A:A,[2]Contrato!Q:Q,"",0)</f>
        <v>#NAME?</v>
      </c>
      <c r="V559" s="47" t="s">
        <v>47</v>
      </c>
      <c r="W559" s="47" t="s">
        <v>137</v>
      </c>
      <c r="X559" s="47" t="s">
        <v>137</v>
      </c>
      <c r="Y559" s="55" t="e">
        <f ca="1">_xlfn.XLOOKUP(PAA_4[[#This Row],[ITEM]],[2]Contrato!A:A,[2]Contrato!B:B,"",0)</f>
        <v>#NAME?</v>
      </c>
      <c r="Z559" s="47" t="e">
        <f ca="1">_xlfn.XLOOKUP(PAA_4[[#This Row],[ITEM]],[2]Contrato!A:A,[2]Contrato!G:G,"",0)</f>
        <v>#NAME?</v>
      </c>
      <c r="AA559" s="47" t="e">
        <f ca="1">_xlfn.XLOOKUP(PAA_4[[#This Row],[ITEM]],[2]Contrato!A:A,[2]Contrato!T:T,"",0)</f>
        <v>#NAME?</v>
      </c>
      <c r="AB559" s="55" t="e">
        <f ca="1">+MAX(PAA_4[[#This Row],[Comprometido Contrato]],PAA_4[[#This Row],[Comprometido Bolsa]])</f>
        <v>#NAME?</v>
      </c>
      <c r="AC559" s="55" t="str">
        <f t="shared" ca="1" si="237"/>
        <v/>
      </c>
      <c r="AD559" s="55" t="e">
        <f ca="1">IF(PAA_4[[#This Row],[ESTADO (formulado)]]="NO CONTRATADO",0,MAX(PAA_4[[#This Row],[Pago por Contrato]],PAA_4[[#This Row],[Pago por bolsa]]))</f>
        <v>#NAME?</v>
      </c>
      <c r="AE559" s="55" t="str">
        <f t="shared" ca="1" si="238"/>
        <v/>
      </c>
      <c r="AF559" s="47" t="e">
        <f t="shared" ca="1" si="241"/>
        <v>#NAME?</v>
      </c>
      <c r="AG559" s="47">
        <f t="shared" si="240"/>
        <v>41080101</v>
      </c>
      <c r="AH559" s="54" t="str">
        <f>IF(Q559="22",IF(ISNUMBER(SEARCH("econ",PAA_4[[#This Row],[Actividad3]])),"Económico",IF(ISNUMBER(SEARCH("alim",PAA_4[[#This Row],[Actividad3]])),"Alimentación",IF(ISNUMBER(SEARCH("educ",PAA_4[[#This Row],[Actividad3]])),"Educativo","Técnico"))),0)</f>
        <v>Técnico</v>
      </c>
      <c r="AI559" s="47" t="e" cm="1">
        <f t="array" aca="1" ref="AI559" ca="1">_xlfn.XLOOKUP(PAA_4[[#This Row],[RCP-RUBRO]],[2]!COMPROMISOS_2024[[#All],[concatenado]],[2]!COMPROMISOS_2024[[#All],[Total pagado]],"",0)</f>
        <v>#NAME?</v>
      </c>
      <c r="AJ559" s="56" t="e">
        <f ca="1">IF(PAA_4[[#This Row],[BOLSA]]=0,0,SUMIFS([2]!COMPROMISOS_2024[[#All],[Total pagado]],[2]!COMPROMISOS_2024[[#All],[Bolsa]],PAA_4[[#This Row],[BOLSA]],[2]!COMPROMISOS_2024[[#All],[rubro]],PAA_4[[#This Row],[RCP-RUBRO]]))</f>
        <v>#REF!</v>
      </c>
      <c r="AK559" s="47" t="e" cm="1">
        <f t="array" aca="1" ref="AK559" ca="1">_xlfn.XLOOKUP(PAA_4[[#This Row],[RCP-RUBRO]],[2]!COMPROMISOS_2024[[#All],[concatenado]],[2]!COMPROMISOS_2024[[#All],[Total Comprometido]],"",0)</f>
        <v>#NAME?</v>
      </c>
      <c r="AL559" s="47" t="e">
        <f ca="1">IF(PAA_4[[#This Row],[BOLSA]]=0,0,SUMIFS([2]!COMPROMISOS_2024[[#All],[Total Comprometido]],[2]!COMPROMISOS_2024[[#All],[Bolsa]],PAA_4[[#This Row],[BOLSA]],[2]!COMPROMISOS_2024[[#All],[concatenado]],PAA_4[[#This Row],[RCP-RUBRO]]))</f>
        <v>#REF!</v>
      </c>
    </row>
    <row r="560" spans="1:38" s="19" customFormat="1" ht="31.5" customHeight="1">
      <c r="A560" s="47">
        <v>175</v>
      </c>
      <c r="B560" s="47">
        <v>80111600</v>
      </c>
      <c r="C560" s="47" t="str">
        <f>VLOOKUP(PAA_4[[#This Row],[PROYECTO (formulado)2]],[2]PROYECTOS!$G$1:$L$32,6,0)</f>
        <v>SUBGERENCIA DE ALTOS LOGROS Y DEPORTE ASOCIADO</v>
      </c>
      <c r="D560" s="47" t="str">
        <f>+IF(PAA_4[[#This Row],[UNIDAD DE CONTRATACION (formulado)]]="Subgerencia Administrativa y Financiera","FUNCIONAMIENTO","INVERSIÓN")</f>
        <v>INVERSIÓN</v>
      </c>
      <c r="E560" s="48" t="str">
        <f>VLOOKUP(Q560,[2]PROYECTOS!$G$1:$K$32,5,0)</f>
        <v>APOYO_TÉCNICO_Y_PSICOSOCIAL_A_LOS_DEPORTISTAS_DE_ANTIOQUIA</v>
      </c>
      <c r="F560" s="48">
        <f>VLOOKUP(E560,[2]PROYECTOS!$K$1:$M$32,3,0)</f>
        <v>2021003050069</v>
      </c>
      <c r="G560" s="49" t="s">
        <v>239</v>
      </c>
      <c r="H560" s="49" t="str">
        <f>VLOOKUP(Q560,[2]PROYECTOS!$V$1:$W$32,2,0)</f>
        <v>050069</v>
      </c>
      <c r="I560" s="50">
        <v>55277934</v>
      </c>
      <c r="J560" s="51" t="s">
        <v>1599</v>
      </c>
      <c r="K560" s="47" t="str">
        <f t="shared" ca="1" si="234"/>
        <v>CONTRATADO</v>
      </c>
      <c r="L560" s="47" t="s">
        <v>94</v>
      </c>
      <c r="M560" s="47" t="s">
        <v>1297</v>
      </c>
      <c r="N560" s="52" t="s">
        <v>240</v>
      </c>
      <c r="O560" s="51" t="e">
        <f>VLOOKUP(N560,[2]!RUBROS[#All],3,0)</f>
        <v>#REF!</v>
      </c>
      <c r="P560" s="53" t="e">
        <f>VLOOKUP(N560,[2]!RUBROS[#All],2,0)</f>
        <v>#REF!</v>
      </c>
      <c r="Q560" s="47" t="str">
        <f t="shared" si="235"/>
        <v>22</v>
      </c>
      <c r="R560" s="47" t="str">
        <f t="shared" si="236"/>
        <v>0-205400</v>
      </c>
      <c r="S560" s="54">
        <v>6</v>
      </c>
      <c r="T560" s="63" t="s">
        <v>46</v>
      </c>
      <c r="U560" s="326" t="e">
        <f ca="1">_xlfn.XLOOKUP(PAA_4[[#This Row],[ITEM]],[2]Contrato!A:A,[2]Contrato!Q:Q,"",0)</f>
        <v>#NAME?</v>
      </c>
      <c r="V560" s="47" t="s">
        <v>47</v>
      </c>
      <c r="W560" s="64" t="s">
        <v>137</v>
      </c>
      <c r="X560" s="64" t="s">
        <v>137</v>
      </c>
      <c r="Y560" s="55" t="e">
        <f ca="1">_xlfn.XLOOKUP(PAA_4[[#This Row],[ITEM]],[2]Contrato!A:A,[2]Contrato!B:B,"",0)</f>
        <v>#NAME?</v>
      </c>
      <c r="Z560" s="47" t="e">
        <f ca="1">_xlfn.XLOOKUP(PAA_4[[#This Row],[ITEM]],[2]Contrato!A:A,[2]Contrato!G:G,"",0)</f>
        <v>#NAME?</v>
      </c>
      <c r="AA560" s="47" t="e">
        <f ca="1">_xlfn.XLOOKUP(PAA_4[[#This Row],[ITEM]],[2]Contrato!A:A,[2]Contrato!T:T,"",0)</f>
        <v>#NAME?</v>
      </c>
      <c r="AB560" s="55" t="e">
        <f ca="1">+MAX(PAA_4[[#This Row],[Comprometido Contrato]],PAA_4[[#This Row],[Comprometido Bolsa]])</f>
        <v>#NAME?</v>
      </c>
      <c r="AC560" s="55" t="str">
        <f t="shared" ca="1" si="237"/>
        <v/>
      </c>
      <c r="AD560" s="55" t="e">
        <f ca="1">IF(PAA_4[[#This Row],[ESTADO (formulado)]]="NO CONTRATADO",0,MAX(PAA_4[[#This Row],[Pago por Contrato]],PAA_4[[#This Row],[Pago por bolsa]]))</f>
        <v>#NAME?</v>
      </c>
      <c r="AE560" s="55" t="str">
        <f t="shared" ca="1" si="238"/>
        <v/>
      </c>
      <c r="AF560" s="47" t="e">
        <f t="shared" ca="1" si="241"/>
        <v>#NAME?</v>
      </c>
      <c r="AG560" s="47">
        <f t="shared" si="240"/>
        <v>41080101</v>
      </c>
      <c r="AH560" s="54" t="str">
        <f>IF(Q560="22",IF(ISNUMBER(SEARCH("econ",PAA_4[[#This Row],[Actividad3]])),"Económico",IF(ISNUMBER(SEARCH("alim",PAA_4[[#This Row],[Actividad3]])),"Alimentación",IF(ISNUMBER(SEARCH("educ",PAA_4[[#This Row],[Actividad3]])),"Educativo","Técnico"))),0)</f>
        <v>Técnico</v>
      </c>
      <c r="AI560" s="47" t="e" cm="1">
        <f t="array" aca="1" ref="AI560" ca="1">_xlfn.XLOOKUP(PAA_4[[#This Row],[RCP-RUBRO]],[2]!COMPROMISOS_2024[[#All],[concatenado]],[2]!COMPROMISOS_2024[[#All],[Total pagado]],"",0)</f>
        <v>#NAME?</v>
      </c>
      <c r="AJ560" s="56" t="e">
        <f ca="1">IF(PAA_4[[#This Row],[BOLSA]]=0,0,SUMIFS([2]!COMPROMISOS_2024[[#All],[Total pagado]],[2]!COMPROMISOS_2024[[#All],[Bolsa]],PAA_4[[#This Row],[BOLSA]],[2]!COMPROMISOS_2024[[#All],[rubro]],PAA_4[[#This Row],[RCP-RUBRO]]))</f>
        <v>#REF!</v>
      </c>
      <c r="AK560" s="47" t="e" cm="1">
        <f t="array" aca="1" ref="AK560" ca="1">_xlfn.XLOOKUP(PAA_4[[#This Row],[RCP-RUBRO]],[2]!COMPROMISOS_2024[[#All],[concatenado]],[2]!COMPROMISOS_2024[[#All],[Total Comprometido]],"",0)</f>
        <v>#NAME?</v>
      </c>
      <c r="AL560" s="47" t="e">
        <f ca="1">IF(PAA_4[[#This Row],[BOLSA]]=0,0,SUMIFS([2]!COMPROMISOS_2024[[#All],[Total Comprometido]],[2]!COMPROMISOS_2024[[#All],[Bolsa]],PAA_4[[#This Row],[BOLSA]],[2]!COMPROMISOS_2024[[#All],[concatenado]],PAA_4[[#This Row],[RCP-RUBRO]]))</f>
        <v>#REF!</v>
      </c>
    </row>
    <row r="561" spans="1:38" s="19" customFormat="1" ht="31.5" customHeight="1">
      <c r="A561" s="47">
        <v>176</v>
      </c>
      <c r="B561" s="47">
        <v>80111600</v>
      </c>
      <c r="C561" s="47" t="str">
        <f>VLOOKUP(PAA_4[[#This Row],[PROYECTO (formulado)2]],[2]PROYECTOS!$G$1:$L$32,6,0)</f>
        <v>SUBGERENCIA DE ALTOS LOGROS Y DEPORTE ASOCIADO</v>
      </c>
      <c r="D561" s="47" t="str">
        <f>+IF(PAA_4[[#This Row],[UNIDAD DE CONTRATACION (formulado)]]="Subgerencia Administrativa y Financiera","FUNCIONAMIENTO","INVERSIÓN")</f>
        <v>INVERSIÓN</v>
      </c>
      <c r="E561" s="48" t="str">
        <f>VLOOKUP(Q561,[2]PROYECTOS!$G$1:$K$32,5,0)</f>
        <v>APOYO_TÉCNICO_Y_PSICOSOCIAL_A_LOS_DEPORTISTAS_DE_ANTIOQUIA</v>
      </c>
      <c r="F561" s="48">
        <f>VLOOKUP(E561,[2]PROYECTOS!$K$1:$M$32,3,0)</f>
        <v>2021003050069</v>
      </c>
      <c r="G561" s="49" t="s">
        <v>239</v>
      </c>
      <c r="H561" s="49" t="str">
        <f>VLOOKUP(Q561,[2]PROYECTOS!$V$1:$W$32,2,0)</f>
        <v>050069</v>
      </c>
      <c r="I561" s="50">
        <v>47452590</v>
      </c>
      <c r="J561" s="51" t="s">
        <v>1600</v>
      </c>
      <c r="K561" s="47" t="str">
        <f t="shared" ca="1" si="234"/>
        <v>CONTRATADO</v>
      </c>
      <c r="L561" s="47" t="s">
        <v>94</v>
      </c>
      <c r="M561" s="47" t="s">
        <v>1297</v>
      </c>
      <c r="N561" s="52" t="s">
        <v>240</v>
      </c>
      <c r="O561" s="51" t="e">
        <f>VLOOKUP(N561,[2]!RUBROS[#All],3,0)</f>
        <v>#REF!</v>
      </c>
      <c r="P561" s="53" t="e">
        <f>VLOOKUP(N561,[2]!RUBROS[#All],2,0)</f>
        <v>#REF!</v>
      </c>
      <c r="Q561" s="47" t="str">
        <f t="shared" si="235"/>
        <v>22</v>
      </c>
      <c r="R561" s="47" t="str">
        <f t="shared" si="236"/>
        <v>0-205400</v>
      </c>
      <c r="S561" s="54">
        <v>6</v>
      </c>
      <c r="T561" s="63" t="s">
        <v>46</v>
      </c>
      <c r="U561" s="326" t="e">
        <f ca="1">_xlfn.XLOOKUP(PAA_4[[#This Row],[ITEM]],[2]Contrato!A:A,[2]Contrato!Q:Q,"",0)</f>
        <v>#NAME?</v>
      </c>
      <c r="V561" s="47" t="s">
        <v>47</v>
      </c>
      <c r="W561" s="64" t="s">
        <v>137</v>
      </c>
      <c r="X561" s="64" t="s">
        <v>137</v>
      </c>
      <c r="Y561" s="55" t="e">
        <f ca="1">_xlfn.XLOOKUP(PAA_4[[#This Row],[ITEM]],[2]Contrato!A:A,[2]Contrato!B:B,"",0)</f>
        <v>#NAME?</v>
      </c>
      <c r="Z561" s="47" t="e">
        <f ca="1">_xlfn.XLOOKUP(PAA_4[[#This Row],[ITEM]],[2]Contrato!A:A,[2]Contrato!G:G,"",0)</f>
        <v>#NAME?</v>
      </c>
      <c r="AA561" s="47" t="e">
        <f ca="1">_xlfn.XLOOKUP(PAA_4[[#This Row],[ITEM]],[2]Contrato!A:A,[2]Contrato!T:T,"",0)</f>
        <v>#NAME?</v>
      </c>
      <c r="AB561" s="55" t="e">
        <f ca="1">+MAX(PAA_4[[#This Row],[Comprometido Contrato]],PAA_4[[#This Row],[Comprometido Bolsa]])</f>
        <v>#NAME?</v>
      </c>
      <c r="AC561" s="55" t="str">
        <f t="shared" ca="1" si="237"/>
        <v/>
      </c>
      <c r="AD561" s="55" t="e">
        <f ca="1">IF(PAA_4[[#This Row],[ESTADO (formulado)]]="NO CONTRATADO",0,MAX(PAA_4[[#This Row],[Pago por Contrato]],PAA_4[[#This Row],[Pago por bolsa]]))</f>
        <v>#NAME?</v>
      </c>
      <c r="AE561" s="55" t="str">
        <f t="shared" ca="1" si="238"/>
        <v/>
      </c>
      <c r="AF561" s="47" t="e">
        <f t="shared" ca="1" si="241"/>
        <v>#NAME?</v>
      </c>
      <c r="AG561" s="47">
        <f t="shared" si="240"/>
        <v>41080101</v>
      </c>
      <c r="AH561" s="54" t="str">
        <f>IF(Q561="22",IF(ISNUMBER(SEARCH("econ",PAA_4[[#This Row],[Actividad3]])),"Económico",IF(ISNUMBER(SEARCH("alim",PAA_4[[#This Row],[Actividad3]])),"Alimentación",IF(ISNUMBER(SEARCH("educ",PAA_4[[#This Row],[Actividad3]])),"Educativo","Técnico"))),0)</f>
        <v>Técnico</v>
      </c>
      <c r="AI561" s="47" t="e" cm="1">
        <f t="array" aca="1" ref="AI561" ca="1">_xlfn.XLOOKUP(PAA_4[[#This Row],[RCP-RUBRO]],[2]!COMPROMISOS_2024[[#All],[concatenado]],[2]!COMPROMISOS_2024[[#All],[Total pagado]],"",0)</f>
        <v>#NAME?</v>
      </c>
      <c r="AJ561" s="56" t="e">
        <f ca="1">IF(PAA_4[[#This Row],[BOLSA]]=0,0,SUMIFS([2]!COMPROMISOS_2024[[#All],[Total pagado]],[2]!COMPROMISOS_2024[[#All],[Bolsa]],PAA_4[[#This Row],[BOLSA]],[2]!COMPROMISOS_2024[[#All],[rubro]],PAA_4[[#This Row],[RCP-RUBRO]]))</f>
        <v>#REF!</v>
      </c>
      <c r="AK561" s="47" t="e" cm="1">
        <f t="array" aca="1" ref="AK561" ca="1">_xlfn.XLOOKUP(PAA_4[[#This Row],[RCP-RUBRO]],[2]!COMPROMISOS_2024[[#All],[concatenado]],[2]!COMPROMISOS_2024[[#All],[Total Comprometido]],"",0)</f>
        <v>#NAME?</v>
      </c>
      <c r="AL561" s="47" t="e">
        <f ca="1">IF(PAA_4[[#This Row],[BOLSA]]=0,0,SUMIFS([2]!COMPROMISOS_2024[[#All],[Total Comprometido]],[2]!COMPROMISOS_2024[[#All],[Bolsa]],PAA_4[[#This Row],[BOLSA]],[2]!COMPROMISOS_2024[[#All],[concatenado]],PAA_4[[#This Row],[RCP-RUBRO]]))</f>
        <v>#REF!</v>
      </c>
    </row>
    <row r="562" spans="1:38" s="19" customFormat="1" ht="31.5" customHeight="1">
      <c r="A562" s="47">
        <v>177</v>
      </c>
      <c r="B562" s="47">
        <v>80111600</v>
      </c>
      <c r="C562" s="47" t="str">
        <f>VLOOKUP(PAA_4[[#This Row],[PROYECTO (formulado)2]],[2]PROYECTOS!$G$1:$L$32,6,0)</f>
        <v>SUBGERENCIA DE ALTOS LOGROS Y DEPORTE ASOCIADO</v>
      </c>
      <c r="D562" s="47" t="str">
        <f>+IF(PAA_4[[#This Row],[UNIDAD DE CONTRATACION (formulado)]]="Subgerencia Administrativa y Financiera","FUNCIONAMIENTO","INVERSIÓN")</f>
        <v>INVERSIÓN</v>
      </c>
      <c r="E562" s="48" t="str">
        <f>VLOOKUP(Q562,[2]PROYECTOS!$G$1:$K$32,5,0)</f>
        <v>APOYO_TÉCNICO_Y_PSICOSOCIAL_A_LOS_DEPORTISTAS_DE_ANTIOQUIA</v>
      </c>
      <c r="F562" s="48">
        <f>VLOOKUP(E562,[2]PROYECTOS!$K$1:$M$32,3,0)</f>
        <v>2021003050069</v>
      </c>
      <c r="G562" s="49" t="s">
        <v>239</v>
      </c>
      <c r="H562" s="49" t="str">
        <f>VLOOKUP(Q562,[2]PROYECTOS!$V$1:$W$32,2,0)</f>
        <v>050069</v>
      </c>
      <c r="I562" s="50">
        <v>29453616</v>
      </c>
      <c r="J562" s="51" t="s">
        <v>1601</v>
      </c>
      <c r="K562" s="47" t="str">
        <f t="shared" ca="1" si="234"/>
        <v>CONTRATADO</v>
      </c>
      <c r="L562" s="47" t="s">
        <v>94</v>
      </c>
      <c r="M562" s="47" t="s">
        <v>1297</v>
      </c>
      <c r="N562" s="52" t="s">
        <v>240</v>
      </c>
      <c r="O562" s="51" t="e">
        <f>VLOOKUP(N562,[2]!RUBROS[#All],3,0)</f>
        <v>#REF!</v>
      </c>
      <c r="P562" s="53" t="e">
        <f>VLOOKUP(N562,[2]!RUBROS[#All],2,0)</f>
        <v>#REF!</v>
      </c>
      <c r="Q562" s="47" t="str">
        <f t="shared" si="235"/>
        <v>22</v>
      </c>
      <c r="R562" s="47" t="str">
        <f t="shared" si="236"/>
        <v>0-205400</v>
      </c>
      <c r="S562" s="54">
        <v>6</v>
      </c>
      <c r="T562" s="63" t="s">
        <v>46</v>
      </c>
      <c r="U562" s="326" t="e">
        <f ca="1">_xlfn.XLOOKUP(PAA_4[[#This Row],[ITEM]],[2]Contrato!A:A,[2]Contrato!Q:Q,"",0)</f>
        <v>#NAME?</v>
      </c>
      <c r="V562" s="47" t="s">
        <v>47</v>
      </c>
      <c r="W562" s="47" t="s">
        <v>137</v>
      </c>
      <c r="X562" s="47" t="s">
        <v>137</v>
      </c>
      <c r="Y562" s="55" t="e">
        <f ca="1">_xlfn.XLOOKUP(PAA_4[[#This Row],[ITEM]],[2]Contrato!A:A,[2]Contrato!B:B,"",0)</f>
        <v>#NAME?</v>
      </c>
      <c r="Z562" s="47" t="e">
        <f ca="1">_xlfn.XLOOKUP(PAA_4[[#This Row],[ITEM]],[2]Contrato!A:A,[2]Contrato!G:G,"",0)</f>
        <v>#NAME?</v>
      </c>
      <c r="AA562" s="47" t="e">
        <f ca="1">_xlfn.XLOOKUP(PAA_4[[#This Row],[ITEM]],[2]Contrato!A:A,[2]Contrato!T:T,"",0)</f>
        <v>#NAME?</v>
      </c>
      <c r="AB562" s="55" t="e">
        <f ca="1">+MAX(PAA_4[[#This Row],[Comprometido Contrato]],PAA_4[[#This Row],[Comprometido Bolsa]])</f>
        <v>#NAME?</v>
      </c>
      <c r="AC562" s="55" t="str">
        <f t="shared" ca="1" si="237"/>
        <v/>
      </c>
      <c r="AD562" s="55" t="e">
        <f ca="1">IF(PAA_4[[#This Row],[ESTADO (formulado)]]="NO CONTRATADO",0,MAX(PAA_4[[#This Row],[Pago por Contrato]],PAA_4[[#This Row],[Pago por bolsa]]))</f>
        <v>#NAME?</v>
      </c>
      <c r="AE562" s="55" t="str">
        <f t="shared" ca="1" si="238"/>
        <v/>
      </c>
      <c r="AF562" s="47" t="e">
        <f t="shared" ca="1" si="241"/>
        <v>#NAME?</v>
      </c>
      <c r="AG562" s="47">
        <f t="shared" si="240"/>
        <v>41080101</v>
      </c>
      <c r="AH562" s="54" t="str">
        <f>IF(Q562="22",IF(ISNUMBER(SEARCH("econ",PAA_4[[#This Row],[Actividad3]])),"Económico",IF(ISNUMBER(SEARCH("alim",PAA_4[[#This Row],[Actividad3]])),"Alimentación",IF(ISNUMBER(SEARCH("educ",PAA_4[[#This Row],[Actividad3]])),"Educativo","Técnico"))),0)</f>
        <v>Técnico</v>
      </c>
      <c r="AI562" s="47" t="e" cm="1">
        <f t="array" aca="1" ref="AI562" ca="1">_xlfn.XLOOKUP(PAA_4[[#This Row],[RCP-RUBRO]],[2]!COMPROMISOS_2024[[#All],[concatenado]],[2]!COMPROMISOS_2024[[#All],[Total pagado]],"",0)</f>
        <v>#NAME?</v>
      </c>
      <c r="AJ562" s="56" t="e">
        <f ca="1">IF(PAA_4[[#This Row],[BOLSA]]=0,0,SUMIFS([2]!COMPROMISOS_2024[[#All],[Total pagado]],[2]!COMPROMISOS_2024[[#All],[Bolsa]],PAA_4[[#This Row],[BOLSA]],[2]!COMPROMISOS_2024[[#All],[rubro]],PAA_4[[#This Row],[RCP-RUBRO]]))</f>
        <v>#REF!</v>
      </c>
      <c r="AK562" s="47" t="e" cm="1">
        <f t="array" aca="1" ref="AK562" ca="1">_xlfn.XLOOKUP(PAA_4[[#This Row],[RCP-RUBRO]],[2]!COMPROMISOS_2024[[#All],[concatenado]],[2]!COMPROMISOS_2024[[#All],[Total Comprometido]],"",0)</f>
        <v>#NAME?</v>
      </c>
      <c r="AL562" s="47" t="e">
        <f ca="1">IF(PAA_4[[#This Row],[BOLSA]]=0,0,SUMIFS([2]!COMPROMISOS_2024[[#All],[Total Comprometido]],[2]!COMPROMISOS_2024[[#All],[Bolsa]],PAA_4[[#This Row],[BOLSA]],[2]!COMPROMISOS_2024[[#All],[concatenado]],PAA_4[[#This Row],[RCP-RUBRO]]))</f>
        <v>#REF!</v>
      </c>
    </row>
    <row r="563" spans="1:38" s="19" customFormat="1" ht="31.5" customHeight="1">
      <c r="A563" s="47">
        <v>178</v>
      </c>
      <c r="B563" s="47">
        <v>80111600</v>
      </c>
      <c r="C563" s="47" t="str">
        <f>VLOOKUP(PAA_4[[#This Row],[PROYECTO (formulado)2]],[2]PROYECTOS!$G$1:$L$32,6,0)</f>
        <v>SUBGERENCIA DE ALTOS LOGROS Y DEPORTE ASOCIADO</v>
      </c>
      <c r="D563" s="47" t="str">
        <f>+IF(PAA_4[[#This Row],[UNIDAD DE CONTRATACION (formulado)]]="Subgerencia Administrativa y Financiera","FUNCIONAMIENTO","INVERSIÓN")</f>
        <v>INVERSIÓN</v>
      </c>
      <c r="E563" s="48" t="str">
        <f>VLOOKUP(Q563,[2]PROYECTOS!$G$1:$K$32,5,0)</f>
        <v>APOYO_TÉCNICO_Y_PSICOSOCIAL_A_LOS_DEPORTISTAS_DE_ANTIOQUIA</v>
      </c>
      <c r="F563" s="48">
        <f>VLOOKUP(E563,[2]PROYECTOS!$K$1:$M$32,3,0)</f>
        <v>2021003050069</v>
      </c>
      <c r="G563" s="49" t="s">
        <v>239</v>
      </c>
      <c r="H563" s="49" t="str">
        <f>VLOOKUP(Q563,[2]PROYECTOS!$V$1:$W$32,2,0)</f>
        <v>050069</v>
      </c>
      <c r="I563" s="50">
        <v>29453616</v>
      </c>
      <c r="J563" s="51" t="s">
        <v>1602</v>
      </c>
      <c r="K563" s="47" t="str">
        <f t="shared" ca="1" si="234"/>
        <v>CONTRATADO</v>
      </c>
      <c r="L563" s="47" t="s">
        <v>94</v>
      </c>
      <c r="M563" s="47" t="s">
        <v>1297</v>
      </c>
      <c r="N563" s="52" t="s">
        <v>240</v>
      </c>
      <c r="O563" s="51" t="e">
        <f>VLOOKUP(N563,[2]!RUBROS[#All],3,0)</f>
        <v>#REF!</v>
      </c>
      <c r="P563" s="53" t="e">
        <f>VLOOKUP(N563,[2]!RUBROS[#All],2,0)</f>
        <v>#REF!</v>
      </c>
      <c r="Q563" s="47" t="str">
        <f t="shared" si="235"/>
        <v>22</v>
      </c>
      <c r="R563" s="47" t="str">
        <f t="shared" si="236"/>
        <v>0-205400</v>
      </c>
      <c r="S563" s="54">
        <v>6</v>
      </c>
      <c r="T563" s="63" t="s">
        <v>46</v>
      </c>
      <c r="U563" s="326" t="e">
        <f ca="1">_xlfn.XLOOKUP(PAA_4[[#This Row],[ITEM]],[2]Contrato!A:A,[2]Contrato!Q:Q,"",0)</f>
        <v>#NAME?</v>
      </c>
      <c r="V563" s="47" t="s">
        <v>47</v>
      </c>
      <c r="W563" s="47" t="s">
        <v>137</v>
      </c>
      <c r="X563" s="47" t="s">
        <v>137</v>
      </c>
      <c r="Y563" s="55" t="e">
        <f ca="1">_xlfn.XLOOKUP(PAA_4[[#This Row],[ITEM]],[2]Contrato!A:A,[2]Contrato!B:B,"",0)</f>
        <v>#NAME?</v>
      </c>
      <c r="Z563" s="47" t="e">
        <f ca="1">_xlfn.XLOOKUP(PAA_4[[#This Row],[ITEM]],[2]Contrato!A:A,[2]Contrato!G:G,"",0)</f>
        <v>#NAME?</v>
      </c>
      <c r="AA563" s="47" t="e">
        <f ca="1">_xlfn.XLOOKUP(PAA_4[[#This Row],[ITEM]],[2]Contrato!A:A,[2]Contrato!T:T,"",0)</f>
        <v>#NAME?</v>
      </c>
      <c r="AB563" s="55" t="e">
        <f ca="1">+MAX(PAA_4[[#This Row],[Comprometido Contrato]],PAA_4[[#This Row],[Comprometido Bolsa]])</f>
        <v>#NAME?</v>
      </c>
      <c r="AC563" s="55" t="str">
        <f t="shared" ca="1" si="237"/>
        <v/>
      </c>
      <c r="AD563" s="55" t="e">
        <f ca="1">IF(PAA_4[[#This Row],[ESTADO (formulado)]]="NO CONTRATADO",0,MAX(PAA_4[[#This Row],[Pago por Contrato]],PAA_4[[#This Row],[Pago por bolsa]]))</f>
        <v>#NAME?</v>
      </c>
      <c r="AE563" s="55" t="str">
        <f t="shared" ca="1" si="238"/>
        <v/>
      </c>
      <c r="AF563" s="47" t="e">
        <f t="shared" ca="1" si="241"/>
        <v>#NAME?</v>
      </c>
      <c r="AG563" s="47">
        <f t="shared" si="240"/>
        <v>41080101</v>
      </c>
      <c r="AH563" s="54" t="str">
        <f>IF(Q563="22",IF(ISNUMBER(SEARCH("econ",PAA_4[[#This Row],[Actividad3]])),"Económico",IF(ISNUMBER(SEARCH("alim",PAA_4[[#This Row],[Actividad3]])),"Alimentación",IF(ISNUMBER(SEARCH("educ",PAA_4[[#This Row],[Actividad3]])),"Educativo","Técnico"))),0)</f>
        <v>Técnico</v>
      </c>
      <c r="AI563" s="47" t="e" cm="1">
        <f t="array" aca="1" ref="AI563" ca="1">_xlfn.XLOOKUP(PAA_4[[#This Row],[RCP-RUBRO]],[2]!COMPROMISOS_2024[[#All],[concatenado]],[2]!COMPROMISOS_2024[[#All],[Total pagado]],"",0)</f>
        <v>#NAME?</v>
      </c>
      <c r="AJ563" s="56" t="e">
        <f ca="1">IF(PAA_4[[#This Row],[BOLSA]]=0,0,SUMIFS([2]!COMPROMISOS_2024[[#All],[Total pagado]],[2]!COMPROMISOS_2024[[#All],[Bolsa]],PAA_4[[#This Row],[BOLSA]],[2]!COMPROMISOS_2024[[#All],[rubro]],PAA_4[[#This Row],[RCP-RUBRO]]))</f>
        <v>#REF!</v>
      </c>
      <c r="AK563" s="47" t="e" cm="1">
        <f t="array" aca="1" ref="AK563" ca="1">_xlfn.XLOOKUP(PAA_4[[#This Row],[RCP-RUBRO]],[2]!COMPROMISOS_2024[[#All],[concatenado]],[2]!COMPROMISOS_2024[[#All],[Total Comprometido]],"",0)</f>
        <v>#NAME?</v>
      </c>
      <c r="AL563" s="47" t="e">
        <f ca="1">IF(PAA_4[[#This Row],[BOLSA]]=0,0,SUMIFS([2]!COMPROMISOS_2024[[#All],[Total Comprometido]],[2]!COMPROMISOS_2024[[#All],[Bolsa]],PAA_4[[#This Row],[BOLSA]],[2]!COMPROMISOS_2024[[#All],[concatenado]],PAA_4[[#This Row],[RCP-RUBRO]]))</f>
        <v>#REF!</v>
      </c>
    </row>
    <row r="564" spans="1:38" s="19" customFormat="1" ht="31.5" customHeight="1">
      <c r="A564" s="47">
        <v>179</v>
      </c>
      <c r="B564" s="51">
        <v>80111600</v>
      </c>
      <c r="C564" s="47" t="str">
        <f>VLOOKUP(PAA_4[[#This Row],[PROYECTO (formulado)2]],[2]PROYECTOS!$G$1:$L$32,6,0)</f>
        <v>SUBGERENCIA DE ALTOS LOGROS Y DEPORTE ASOCIADO</v>
      </c>
      <c r="D564" s="47" t="str">
        <f>+IF(PAA_4[[#This Row],[UNIDAD DE CONTRATACION (formulado)]]="Subgerencia Administrativa y Financiera","FUNCIONAMIENTO","INVERSIÓN")</f>
        <v>INVERSIÓN</v>
      </c>
      <c r="E564" s="48" t="str">
        <f>VLOOKUP(Q564,[2]PROYECTOS!$G$1:$K$32,5,0)</f>
        <v>APOYO_TÉCNICO_Y_PSICOSOCIAL_A_LOS_DEPORTISTAS_DE_ANTIOQUIA</v>
      </c>
      <c r="F564" s="48">
        <f>VLOOKUP(E564,[2]PROYECTOS!$K$1:$M$32,3,0)</f>
        <v>2021003050069</v>
      </c>
      <c r="G564" s="49" t="s">
        <v>239</v>
      </c>
      <c r="H564" s="49" t="str">
        <f>VLOOKUP(Q564,[2]PROYECTOS!$V$1:$W$32,2,0)</f>
        <v>050069</v>
      </c>
      <c r="I564" s="50">
        <v>15449052</v>
      </c>
      <c r="J564" s="51" t="s">
        <v>1603</v>
      </c>
      <c r="K564" s="47" t="str">
        <f t="shared" ca="1" si="234"/>
        <v>CONTRATADO</v>
      </c>
      <c r="L564" s="47" t="s">
        <v>94</v>
      </c>
      <c r="M564" s="47" t="s">
        <v>1297</v>
      </c>
      <c r="N564" s="52" t="s">
        <v>240</v>
      </c>
      <c r="O564" s="51" t="e">
        <f>VLOOKUP(N564,[2]!RUBROS[#All],3,0)</f>
        <v>#REF!</v>
      </c>
      <c r="P564" s="53" t="e">
        <f>VLOOKUP(N564,[2]!RUBROS[#All],2,0)</f>
        <v>#REF!</v>
      </c>
      <c r="Q564" s="47" t="str">
        <f t="shared" si="235"/>
        <v>22</v>
      </c>
      <c r="R564" s="47" t="str">
        <f t="shared" si="236"/>
        <v>0-205400</v>
      </c>
      <c r="S564" s="54">
        <v>6</v>
      </c>
      <c r="T564" s="63" t="s">
        <v>46</v>
      </c>
      <c r="U564" s="326" t="e">
        <f ca="1">_xlfn.XLOOKUP(PAA_4[[#This Row],[ITEM]],[2]Contrato!A:A,[2]Contrato!Q:Q,"",0)</f>
        <v>#NAME?</v>
      </c>
      <c r="V564" s="47" t="s">
        <v>47</v>
      </c>
      <c r="W564" s="64" t="s">
        <v>137</v>
      </c>
      <c r="X564" s="64" t="s">
        <v>137</v>
      </c>
      <c r="Y564" s="55" t="e">
        <f ca="1">_xlfn.XLOOKUP(PAA_4[[#This Row],[ITEM]],[2]Contrato!A:A,[2]Contrato!B:B,"",0)</f>
        <v>#NAME?</v>
      </c>
      <c r="Z564" s="47" t="e">
        <f ca="1">_xlfn.XLOOKUP(PAA_4[[#This Row],[ITEM]],[2]Contrato!A:A,[2]Contrato!G:G,"",0)</f>
        <v>#NAME?</v>
      </c>
      <c r="AA564" s="47" t="e">
        <f ca="1">_xlfn.XLOOKUP(PAA_4[[#This Row],[ITEM]],[2]Contrato!A:A,[2]Contrato!T:T,"",0)</f>
        <v>#NAME?</v>
      </c>
      <c r="AB564" s="55" t="e">
        <f ca="1">+MAX(PAA_4[[#This Row],[Comprometido Contrato]],PAA_4[[#This Row],[Comprometido Bolsa]])</f>
        <v>#NAME?</v>
      </c>
      <c r="AC564" s="55" t="str">
        <f t="shared" ca="1" si="237"/>
        <v/>
      </c>
      <c r="AD564" s="55" t="e">
        <f ca="1">IF(PAA_4[[#This Row],[ESTADO (formulado)]]="NO CONTRATADO",0,MAX(PAA_4[[#This Row],[Pago por Contrato]],PAA_4[[#This Row],[Pago por bolsa]]))</f>
        <v>#NAME?</v>
      </c>
      <c r="AE564" s="55" t="str">
        <f t="shared" ca="1" si="238"/>
        <v/>
      </c>
      <c r="AF564" s="47" t="e">
        <f t="shared" ca="1" si="241"/>
        <v>#NAME?</v>
      </c>
      <c r="AG564" s="47">
        <f t="shared" si="240"/>
        <v>41080101</v>
      </c>
      <c r="AH564" s="54" t="str">
        <f>IF(Q564="22",IF(ISNUMBER(SEARCH("econ",PAA_4[[#This Row],[Actividad3]])),"Económico",IF(ISNUMBER(SEARCH("alim",PAA_4[[#This Row],[Actividad3]])),"Alimentación",IF(ISNUMBER(SEARCH("educ",PAA_4[[#This Row],[Actividad3]])),"Educativo","Técnico"))),0)</f>
        <v>Técnico</v>
      </c>
      <c r="AI564" s="47" t="e" cm="1">
        <f t="array" aca="1" ref="AI564" ca="1">_xlfn.XLOOKUP(PAA_4[[#This Row],[RCP-RUBRO]],[2]!COMPROMISOS_2024[[#All],[concatenado]],[2]!COMPROMISOS_2024[[#All],[Total pagado]],"",0)</f>
        <v>#NAME?</v>
      </c>
      <c r="AJ564" s="56" t="e">
        <f ca="1">IF(PAA_4[[#This Row],[BOLSA]]=0,0,SUMIFS([2]!COMPROMISOS_2024[[#All],[Total pagado]],[2]!COMPROMISOS_2024[[#All],[Bolsa]],PAA_4[[#This Row],[BOLSA]],[2]!COMPROMISOS_2024[[#All],[rubro]],PAA_4[[#This Row],[RCP-RUBRO]]))</f>
        <v>#REF!</v>
      </c>
      <c r="AK564" s="47" t="e" cm="1">
        <f t="array" aca="1" ref="AK564" ca="1">_xlfn.XLOOKUP(PAA_4[[#This Row],[RCP-RUBRO]],[2]!COMPROMISOS_2024[[#All],[concatenado]],[2]!COMPROMISOS_2024[[#All],[Total Comprometido]],"",0)</f>
        <v>#NAME?</v>
      </c>
      <c r="AL564" s="47" t="e">
        <f ca="1">IF(PAA_4[[#This Row],[BOLSA]]=0,0,SUMIFS([2]!COMPROMISOS_2024[[#All],[Total Comprometido]],[2]!COMPROMISOS_2024[[#All],[Bolsa]],PAA_4[[#This Row],[BOLSA]],[2]!COMPROMISOS_2024[[#All],[concatenado]],PAA_4[[#This Row],[RCP-RUBRO]]))</f>
        <v>#REF!</v>
      </c>
    </row>
    <row r="565" spans="1:38" s="19" customFormat="1" ht="31.5" customHeight="1">
      <c r="A565" s="47">
        <v>180</v>
      </c>
      <c r="B565" s="47">
        <v>80111600</v>
      </c>
      <c r="C565" s="47" t="str">
        <f>VLOOKUP(PAA_4[[#This Row],[PROYECTO (formulado)2]],[2]PROYECTOS!$G$1:$L$32,6,0)</f>
        <v>SUBGERENCIA DE ALTOS LOGROS Y DEPORTE ASOCIADO</v>
      </c>
      <c r="D565" s="47" t="str">
        <f>+IF(PAA_4[[#This Row],[UNIDAD DE CONTRATACION (formulado)]]="Subgerencia Administrativa y Financiera","FUNCIONAMIENTO","INVERSIÓN")</f>
        <v>INVERSIÓN</v>
      </c>
      <c r="E565" s="48" t="str">
        <f>VLOOKUP(Q565,[2]PROYECTOS!$G$1:$K$32,5,0)</f>
        <v>APOYO_TÉCNICO_Y_PSICOSOCIAL_A_LOS_DEPORTISTAS_DE_ANTIOQUIA</v>
      </c>
      <c r="F565" s="48">
        <f>VLOOKUP(E565,[2]PROYECTOS!$K$1:$M$32,3,0)</f>
        <v>2021003050069</v>
      </c>
      <c r="G565" s="49" t="s">
        <v>239</v>
      </c>
      <c r="H565" s="49" t="str">
        <f>VLOOKUP(Q565,[2]PROYECTOS!$V$1:$W$32,2,0)</f>
        <v>050069</v>
      </c>
      <c r="I565" s="50">
        <v>23714292</v>
      </c>
      <c r="J565" s="51" t="s">
        <v>1604</v>
      </c>
      <c r="K565" s="47" t="str">
        <f t="shared" ca="1" si="234"/>
        <v>CONTRATADO</v>
      </c>
      <c r="L565" s="47" t="s">
        <v>94</v>
      </c>
      <c r="M565" s="47" t="s">
        <v>1297</v>
      </c>
      <c r="N565" s="52" t="s">
        <v>240</v>
      </c>
      <c r="O565" s="51" t="e">
        <f>VLOOKUP(N565,[2]!RUBROS[#All],3,0)</f>
        <v>#REF!</v>
      </c>
      <c r="P565" s="53" t="e">
        <f>VLOOKUP(N565,[2]!RUBROS[#All],2,0)</f>
        <v>#REF!</v>
      </c>
      <c r="Q565" s="47" t="str">
        <f t="shared" si="235"/>
        <v>22</v>
      </c>
      <c r="R565" s="47" t="str">
        <f t="shared" si="236"/>
        <v>0-205400</v>
      </c>
      <c r="S565" s="54">
        <v>6</v>
      </c>
      <c r="T565" s="63" t="s">
        <v>46</v>
      </c>
      <c r="U565" s="326" t="e">
        <f ca="1">_xlfn.XLOOKUP(PAA_4[[#This Row],[ITEM]],[2]Contrato!A:A,[2]Contrato!Q:Q,"",0)</f>
        <v>#NAME?</v>
      </c>
      <c r="V565" s="47" t="s">
        <v>47</v>
      </c>
      <c r="W565" s="47" t="s">
        <v>137</v>
      </c>
      <c r="X565" s="47" t="s">
        <v>137</v>
      </c>
      <c r="Y565" s="55" t="e">
        <f ca="1">_xlfn.XLOOKUP(PAA_4[[#This Row],[ITEM]],[2]Contrato!A:A,[2]Contrato!B:B,"",0)</f>
        <v>#NAME?</v>
      </c>
      <c r="Z565" s="47" t="e">
        <f ca="1">_xlfn.XLOOKUP(PAA_4[[#This Row],[ITEM]],[2]Contrato!A:A,[2]Contrato!G:G,"",0)</f>
        <v>#NAME?</v>
      </c>
      <c r="AA565" s="47" t="e">
        <f ca="1">_xlfn.XLOOKUP(PAA_4[[#This Row],[ITEM]],[2]Contrato!A:A,[2]Contrato!T:T,"",0)</f>
        <v>#NAME?</v>
      </c>
      <c r="AB565" s="55" t="e">
        <f ca="1">+MAX(PAA_4[[#This Row],[Comprometido Contrato]],PAA_4[[#This Row],[Comprometido Bolsa]])</f>
        <v>#NAME?</v>
      </c>
      <c r="AC565" s="55" t="str">
        <f t="shared" ca="1" si="237"/>
        <v/>
      </c>
      <c r="AD565" s="55" t="e">
        <f ca="1">IF(PAA_4[[#This Row],[ESTADO (formulado)]]="NO CONTRATADO",0,MAX(PAA_4[[#This Row],[Pago por Contrato]],PAA_4[[#This Row],[Pago por bolsa]]))</f>
        <v>#NAME?</v>
      </c>
      <c r="AE565" s="55" t="str">
        <f t="shared" ca="1" si="238"/>
        <v/>
      </c>
      <c r="AF565" s="47" t="e">
        <f t="shared" ca="1" si="241"/>
        <v>#NAME?</v>
      </c>
      <c r="AG565" s="47">
        <f t="shared" si="240"/>
        <v>41080101</v>
      </c>
      <c r="AH565" s="54" t="str">
        <f>IF(Q565="22",IF(ISNUMBER(SEARCH("econ",PAA_4[[#This Row],[Actividad3]])),"Económico",IF(ISNUMBER(SEARCH("alim",PAA_4[[#This Row],[Actividad3]])),"Alimentación",IF(ISNUMBER(SEARCH("educ",PAA_4[[#This Row],[Actividad3]])),"Educativo","Técnico"))),0)</f>
        <v>Técnico</v>
      </c>
      <c r="AI565" s="47" t="e" cm="1">
        <f t="array" aca="1" ref="AI565" ca="1">_xlfn.XLOOKUP(PAA_4[[#This Row],[RCP-RUBRO]],[2]!COMPROMISOS_2024[[#All],[concatenado]],[2]!COMPROMISOS_2024[[#All],[Total pagado]],"",0)</f>
        <v>#NAME?</v>
      </c>
      <c r="AJ565" s="56" t="e">
        <f ca="1">IF(PAA_4[[#This Row],[BOLSA]]=0,0,SUMIFS([2]!COMPROMISOS_2024[[#All],[Total pagado]],[2]!COMPROMISOS_2024[[#All],[Bolsa]],PAA_4[[#This Row],[BOLSA]],[2]!COMPROMISOS_2024[[#All],[rubro]],PAA_4[[#This Row],[RCP-RUBRO]]))</f>
        <v>#REF!</v>
      </c>
      <c r="AK565" s="47" t="e" cm="1">
        <f t="array" aca="1" ref="AK565" ca="1">_xlfn.XLOOKUP(PAA_4[[#This Row],[RCP-RUBRO]],[2]!COMPROMISOS_2024[[#All],[concatenado]],[2]!COMPROMISOS_2024[[#All],[Total Comprometido]],"",0)</f>
        <v>#NAME?</v>
      </c>
      <c r="AL565" s="47" t="e">
        <f ca="1">IF(PAA_4[[#This Row],[BOLSA]]=0,0,SUMIFS([2]!COMPROMISOS_2024[[#All],[Total Comprometido]],[2]!COMPROMISOS_2024[[#All],[Bolsa]],PAA_4[[#This Row],[BOLSA]],[2]!COMPROMISOS_2024[[#All],[concatenado]],PAA_4[[#This Row],[RCP-RUBRO]]))</f>
        <v>#REF!</v>
      </c>
    </row>
    <row r="566" spans="1:38" s="19" customFormat="1" ht="31.5" customHeight="1">
      <c r="A566" s="47" t="s">
        <v>82</v>
      </c>
      <c r="B566" s="65" t="s">
        <v>42</v>
      </c>
      <c r="C566" s="47" t="str">
        <f>VLOOKUP(PAA_4[[#This Row],[PROYECTO (formulado)2]],[2]PROYECTOS!$G$1:$L$32,6,0)</f>
        <v>SUBGERENCIA DE ALTOS LOGROS Y DEPORTE ASOCIADO</v>
      </c>
      <c r="D566" s="47" t="str">
        <f>+IF(PAA_4[[#This Row],[UNIDAD DE CONTRATACION (formulado)]]="Subgerencia Administrativa y Financiera","FUNCIONAMIENTO","INVERSIÓN")</f>
        <v>INVERSIÓN</v>
      </c>
      <c r="E566" s="48" t="str">
        <f>VLOOKUP(Q566,[2]PROYECTOS!$G$1:$K$32,5,0)</f>
        <v>APOYO_TÉCNICO_Y_PSICOSOCIAL_A_LOS_DEPORTISTAS_DE_ANTIOQUIA</v>
      </c>
      <c r="F566" s="48">
        <f>VLOOKUP(E566,[2]PROYECTOS!$K$1:$M$32,3,0)</f>
        <v>2021003050069</v>
      </c>
      <c r="G566" s="49" t="s">
        <v>239</v>
      </c>
      <c r="H566" s="49" t="str">
        <f>VLOOKUP(Q566,[2]PROYECTOS!$V$1:$W$32,2,0)</f>
        <v>050069</v>
      </c>
      <c r="I566" s="50">
        <v>0</v>
      </c>
      <c r="J566" s="53" t="s">
        <v>1586</v>
      </c>
      <c r="K566" s="47" t="str">
        <f t="shared" ca="1" si="234"/>
        <v>CONTRATADO</v>
      </c>
      <c r="L566" s="47" t="s">
        <v>42</v>
      </c>
      <c r="M566" s="47" t="s">
        <v>42</v>
      </c>
      <c r="N566" s="52" t="s">
        <v>240</v>
      </c>
      <c r="O566" s="51" t="e">
        <f>VLOOKUP(N566,[2]!RUBROS[#All],3,0)</f>
        <v>#REF!</v>
      </c>
      <c r="P566" s="53" t="e">
        <f>VLOOKUP(N566,[2]!RUBROS[#All],2,0)</f>
        <v>#REF!</v>
      </c>
      <c r="Q566" s="47" t="str">
        <f t="shared" si="235"/>
        <v>22</v>
      </c>
      <c r="R566" s="47" t="str">
        <f t="shared" si="236"/>
        <v>0-205400</v>
      </c>
      <c r="S566" s="65" t="s">
        <v>42</v>
      </c>
      <c r="T566" s="63" t="s">
        <v>344</v>
      </c>
      <c r="U566" s="326" t="e">
        <f ca="1">_xlfn.XLOOKUP(PAA_4[[#This Row],[ITEM]],[2]Contrato!A:A,[2]Contrato!Q:Q,"",0)</f>
        <v>#NAME?</v>
      </c>
      <c r="V566" s="65" t="s">
        <v>95</v>
      </c>
      <c r="W566" s="65" t="s">
        <v>42</v>
      </c>
      <c r="X566" s="65" t="s">
        <v>42</v>
      </c>
      <c r="Y566" s="55" t="e">
        <f ca="1">_xlfn.XLOOKUP(PAA_4[[#This Row],[ITEM]],[2]Contrato!A:A,[2]Contrato!B:B,"",0)</f>
        <v>#NAME?</v>
      </c>
      <c r="Z566" s="47" t="e">
        <f ca="1">_xlfn.XLOOKUP(PAA_4[[#This Row],[ITEM]],[2]Contrato!A:A,[2]Contrato!G:G,"",0)</f>
        <v>#NAME?</v>
      </c>
      <c r="AA566" s="47" t="e">
        <f ca="1">_xlfn.XLOOKUP(PAA_4[[#This Row],[ITEM]],[2]Contrato!A:A,[2]Contrato!T:T,"",0)</f>
        <v>#NAME?</v>
      </c>
      <c r="AB566" s="55" t="e">
        <f ca="1">+MAX(PAA_4[[#This Row],[Comprometido Contrato]],PAA_4[[#This Row],[Comprometido Bolsa]])</f>
        <v>#NAME?</v>
      </c>
      <c r="AC566" s="55" t="str">
        <f t="shared" ca="1" si="237"/>
        <v/>
      </c>
      <c r="AD566" s="55" t="e">
        <f ca="1">IF(PAA_4[[#This Row],[ESTADO (formulado)]]="NO CONTRATADO",0,MAX(PAA_4[[#This Row],[Pago por Contrato]],PAA_4[[#This Row],[Pago por bolsa]]))</f>
        <v>#NAME?</v>
      </c>
      <c r="AE566" s="55" t="str">
        <f t="shared" ca="1" si="238"/>
        <v/>
      </c>
      <c r="AF566" s="47" t="e">
        <f t="shared" ca="1" si="241"/>
        <v>#NAME?</v>
      </c>
      <c r="AG566" s="47">
        <f t="shared" si="240"/>
        <v>41080101</v>
      </c>
      <c r="AH566" s="54" t="str">
        <f>IF(Q566="22",IF(ISNUMBER(SEARCH("econ",PAA_4[[#This Row],[Actividad3]])),"Económico",IF(ISNUMBER(SEARCH("alim",PAA_4[[#This Row],[Actividad3]])),"Alimentación",IF(ISNUMBER(SEARCH("educ",PAA_4[[#This Row],[Actividad3]])),"Educativo","Técnico"))),0)</f>
        <v>Técnico</v>
      </c>
      <c r="AI566" s="47" t="e" cm="1">
        <f t="array" aca="1" ref="AI566" ca="1">_xlfn.XLOOKUP(PAA_4[[#This Row],[RCP-RUBRO]],[2]!COMPROMISOS_2024[[#All],[concatenado]],[2]!COMPROMISOS_2024[[#All],[Total pagado]],"",0)</f>
        <v>#NAME?</v>
      </c>
      <c r="AJ566" s="56" t="e">
        <f ca="1">IF(PAA_4[[#This Row],[BOLSA]]=0,0,SUMIFS([2]!COMPROMISOS_2024[[#All],[Total pagado]],[2]!COMPROMISOS_2024[[#All],[Bolsa]],PAA_4[[#This Row],[BOLSA]],[2]!COMPROMISOS_2024[[#All],[rubro]],PAA_4[[#This Row],[RCP-RUBRO]]))</f>
        <v>#REF!</v>
      </c>
      <c r="AK566" s="47" t="e" cm="1">
        <f t="array" aca="1" ref="AK566" ca="1">_xlfn.XLOOKUP(PAA_4[[#This Row],[RCP-RUBRO]],[2]!COMPROMISOS_2024[[#All],[concatenado]],[2]!COMPROMISOS_2024[[#All],[Total Comprometido]],"",0)</f>
        <v>#NAME?</v>
      </c>
      <c r="AL566" s="47" t="e">
        <f ca="1">IF(PAA_4[[#This Row],[BOLSA]]=0,0,SUMIFS([2]!COMPROMISOS_2024[[#All],[Total Comprometido]],[2]!COMPROMISOS_2024[[#All],[Bolsa]],PAA_4[[#This Row],[BOLSA]],[2]!COMPROMISOS_2024[[#All],[concatenado]],PAA_4[[#This Row],[RCP-RUBRO]]))</f>
        <v>#REF!</v>
      </c>
    </row>
    <row r="567" spans="1:38" s="19" customFormat="1" ht="31.5" customHeight="1">
      <c r="A567" s="47">
        <v>181</v>
      </c>
      <c r="B567" s="51">
        <v>80111600</v>
      </c>
      <c r="C567" s="47" t="str">
        <f>VLOOKUP(PAA_4[[#This Row],[PROYECTO (formulado)2]],[2]PROYECTOS!$G$1:$L$32,6,0)</f>
        <v>SUBGERENCIA DE ALTOS LOGROS Y DEPORTE ASOCIADO</v>
      </c>
      <c r="D567" s="47" t="str">
        <f>+IF(PAA_4[[#This Row],[UNIDAD DE CONTRATACION (formulado)]]="Subgerencia Administrativa y Financiera","FUNCIONAMIENTO","INVERSIÓN")</f>
        <v>INVERSIÓN</v>
      </c>
      <c r="E567" s="48" t="str">
        <f>VLOOKUP(Q567,[2]PROYECTOS!$G$1:$K$32,5,0)</f>
        <v>APOYO_TÉCNICO_Y_PSICOSOCIAL_A_LOS_DEPORTISTAS_DE_ANTIOQUIA</v>
      </c>
      <c r="F567" s="48">
        <f>VLOOKUP(E567,[2]PROYECTOS!$K$1:$M$32,3,0)</f>
        <v>2021003050069</v>
      </c>
      <c r="G567" s="49" t="s">
        <v>239</v>
      </c>
      <c r="H567" s="49" t="str">
        <f>VLOOKUP(Q567,[2]PROYECTOS!$V$1:$W$32,2,0)</f>
        <v>050069</v>
      </c>
      <c r="I567" s="50">
        <f>35586894-26690170</f>
        <v>8896724</v>
      </c>
      <c r="J567" s="51" t="s">
        <v>1605</v>
      </c>
      <c r="K567" s="47" t="str">
        <f t="shared" ca="1" si="234"/>
        <v>CONTRATADO</v>
      </c>
      <c r="L567" s="47" t="s">
        <v>94</v>
      </c>
      <c r="M567" s="47" t="s">
        <v>1297</v>
      </c>
      <c r="N567" s="52" t="s">
        <v>240</v>
      </c>
      <c r="O567" s="51" t="e">
        <f>VLOOKUP(N567,[2]!RUBROS[#All],3,0)</f>
        <v>#REF!</v>
      </c>
      <c r="P567" s="53" t="e">
        <f>VLOOKUP(N567,[2]!RUBROS[#All],2,0)</f>
        <v>#REF!</v>
      </c>
      <c r="Q567" s="47" t="str">
        <f t="shared" si="235"/>
        <v>22</v>
      </c>
      <c r="R567" s="47" t="str">
        <f t="shared" si="236"/>
        <v>0-205400</v>
      </c>
      <c r="S567" s="54">
        <v>6</v>
      </c>
      <c r="T567" s="63" t="s">
        <v>46</v>
      </c>
      <c r="U567" s="326" t="e">
        <f ca="1">_xlfn.XLOOKUP(PAA_4[[#This Row],[ITEM]],[2]Contrato!A:A,[2]Contrato!Q:Q,"",0)</f>
        <v>#NAME?</v>
      </c>
      <c r="V567" s="47" t="s">
        <v>47</v>
      </c>
      <c r="W567" s="47" t="s">
        <v>137</v>
      </c>
      <c r="X567" s="47" t="s">
        <v>137</v>
      </c>
      <c r="Y567" s="55" t="e">
        <f ca="1">_xlfn.XLOOKUP(PAA_4[[#This Row],[ITEM]],[2]Contrato!A:A,[2]Contrato!B:B,"",0)</f>
        <v>#NAME?</v>
      </c>
      <c r="Z567" s="47" t="e">
        <f ca="1">_xlfn.XLOOKUP(PAA_4[[#This Row],[ITEM]],[2]Contrato!A:A,[2]Contrato!G:G,"",0)</f>
        <v>#NAME?</v>
      </c>
      <c r="AA567" s="47" t="e">
        <f ca="1">_xlfn.XLOOKUP(PAA_4[[#This Row],[ITEM]],[2]Contrato!A:A,[2]Contrato!T:T,"",0)</f>
        <v>#NAME?</v>
      </c>
      <c r="AB567" s="55" t="e">
        <f ca="1">+MAX(PAA_4[[#This Row],[Comprometido Contrato]],PAA_4[[#This Row],[Comprometido Bolsa]])</f>
        <v>#NAME?</v>
      </c>
      <c r="AC567" s="55" t="str">
        <f t="shared" ca="1" si="237"/>
        <v/>
      </c>
      <c r="AD567" s="55" t="e">
        <f ca="1">IF(PAA_4[[#This Row],[ESTADO (formulado)]]="NO CONTRATADO",0,MAX(PAA_4[[#This Row],[Pago por Contrato]],PAA_4[[#This Row],[Pago por bolsa]]))</f>
        <v>#NAME?</v>
      </c>
      <c r="AE567" s="55" t="str">
        <f t="shared" ca="1" si="238"/>
        <v/>
      </c>
      <c r="AF567" s="47" t="e">
        <f t="shared" ca="1" si="241"/>
        <v>#NAME?</v>
      </c>
      <c r="AG567" s="47">
        <f t="shared" si="240"/>
        <v>41080101</v>
      </c>
      <c r="AH567" s="54" t="str">
        <f>IF(Q567="22",IF(ISNUMBER(SEARCH("econ",PAA_4[[#This Row],[Actividad3]])),"Económico",IF(ISNUMBER(SEARCH("alim",PAA_4[[#This Row],[Actividad3]])),"Alimentación",IF(ISNUMBER(SEARCH("educ",PAA_4[[#This Row],[Actividad3]])),"Educativo","Técnico"))),0)</f>
        <v>Técnico</v>
      </c>
      <c r="AI567" s="47" t="e" cm="1">
        <f t="array" aca="1" ref="AI567" ca="1">_xlfn.XLOOKUP(PAA_4[[#This Row],[RCP-RUBRO]],[2]!COMPROMISOS_2024[[#All],[concatenado]],[2]!COMPROMISOS_2024[[#All],[Total pagado]],"",0)</f>
        <v>#NAME?</v>
      </c>
      <c r="AJ567" s="56" t="e">
        <f ca="1">IF(PAA_4[[#This Row],[BOLSA]]=0,0,SUMIFS([2]!COMPROMISOS_2024[[#All],[Total pagado]],[2]!COMPROMISOS_2024[[#All],[Bolsa]],PAA_4[[#This Row],[BOLSA]],[2]!COMPROMISOS_2024[[#All],[rubro]],PAA_4[[#This Row],[RCP-RUBRO]]))</f>
        <v>#REF!</v>
      </c>
      <c r="AK567" s="47" t="e" cm="1">
        <f t="array" aca="1" ref="AK567" ca="1">_xlfn.XLOOKUP(PAA_4[[#This Row],[RCP-RUBRO]],[2]!COMPROMISOS_2024[[#All],[concatenado]],[2]!COMPROMISOS_2024[[#All],[Total Comprometido]],"",0)</f>
        <v>#NAME?</v>
      </c>
      <c r="AL567" s="47" t="e">
        <f ca="1">IF(PAA_4[[#This Row],[BOLSA]]=0,0,SUMIFS([2]!COMPROMISOS_2024[[#All],[Total Comprometido]],[2]!COMPROMISOS_2024[[#All],[Bolsa]],PAA_4[[#This Row],[BOLSA]],[2]!COMPROMISOS_2024[[#All],[concatenado]],PAA_4[[#This Row],[RCP-RUBRO]]))</f>
        <v>#REF!</v>
      </c>
    </row>
    <row r="568" spans="1:38" s="19" customFormat="1" ht="31.5" customHeight="1">
      <c r="A568" s="47">
        <v>182</v>
      </c>
      <c r="B568" s="51">
        <v>80111600</v>
      </c>
      <c r="C568" s="47" t="str">
        <f>VLOOKUP(PAA_4[[#This Row],[PROYECTO (formulado)2]],[2]PROYECTOS!$G$1:$L$32,6,0)</f>
        <v>SUBGERENCIA DE ALTOS LOGROS Y DEPORTE ASOCIADO</v>
      </c>
      <c r="D568" s="47" t="str">
        <f>+IF(PAA_4[[#This Row],[UNIDAD DE CONTRATACION (formulado)]]="Subgerencia Administrativa y Financiera","FUNCIONAMIENTO","INVERSIÓN")</f>
        <v>INVERSIÓN</v>
      </c>
      <c r="E568" s="48" t="str">
        <f>VLOOKUP(Q568,[2]PROYECTOS!$G$1:$K$32,5,0)</f>
        <v>APOYO_TÉCNICO_Y_PSICOSOCIAL_A_LOS_DEPORTISTAS_DE_ANTIOQUIA</v>
      </c>
      <c r="F568" s="48">
        <f>VLOOKUP(E568,[2]PROYECTOS!$K$1:$M$32,3,0)</f>
        <v>2021003050069</v>
      </c>
      <c r="G568" s="49" t="s">
        <v>239</v>
      </c>
      <c r="H568" s="49" t="str">
        <f>VLOOKUP(Q568,[2]PROYECTOS!$V$1:$W$32,2,0)</f>
        <v>050069</v>
      </c>
      <c r="I568" s="50">
        <v>29453616</v>
      </c>
      <c r="J568" s="51" t="s">
        <v>1606</v>
      </c>
      <c r="K568" s="47" t="str">
        <f t="shared" ca="1" si="234"/>
        <v>CONTRATADO</v>
      </c>
      <c r="L568" s="47" t="s">
        <v>94</v>
      </c>
      <c r="M568" s="47" t="s">
        <v>1297</v>
      </c>
      <c r="N568" s="52" t="s">
        <v>240</v>
      </c>
      <c r="O568" s="51" t="e">
        <f>VLOOKUP(N568,[2]!RUBROS[#All],3,0)</f>
        <v>#REF!</v>
      </c>
      <c r="P568" s="53" t="e">
        <f>VLOOKUP(N568,[2]!RUBROS[#All],2,0)</f>
        <v>#REF!</v>
      </c>
      <c r="Q568" s="47" t="str">
        <f t="shared" si="235"/>
        <v>22</v>
      </c>
      <c r="R568" s="47" t="str">
        <f t="shared" si="236"/>
        <v>0-205400</v>
      </c>
      <c r="S568" s="54">
        <v>6</v>
      </c>
      <c r="T568" s="63" t="s">
        <v>46</v>
      </c>
      <c r="U568" s="326" t="e">
        <f ca="1">_xlfn.XLOOKUP(PAA_4[[#This Row],[ITEM]],[2]Contrato!A:A,[2]Contrato!Q:Q,"",0)</f>
        <v>#NAME?</v>
      </c>
      <c r="V568" s="47" t="s">
        <v>47</v>
      </c>
      <c r="W568" s="47" t="s">
        <v>137</v>
      </c>
      <c r="X568" s="47" t="s">
        <v>137</v>
      </c>
      <c r="Y568" s="55" t="e">
        <f ca="1">_xlfn.XLOOKUP(PAA_4[[#This Row],[ITEM]],[2]Contrato!A:A,[2]Contrato!B:B,"",0)</f>
        <v>#NAME?</v>
      </c>
      <c r="Z568" s="47" t="e">
        <f ca="1">_xlfn.XLOOKUP(PAA_4[[#This Row],[ITEM]],[2]Contrato!A:A,[2]Contrato!G:G,"",0)</f>
        <v>#NAME?</v>
      </c>
      <c r="AA568" s="47" t="e">
        <f ca="1">_xlfn.XLOOKUP(PAA_4[[#This Row],[ITEM]],[2]Contrato!A:A,[2]Contrato!T:T,"",0)</f>
        <v>#NAME?</v>
      </c>
      <c r="AB568" s="55" t="e">
        <f ca="1">+MAX(PAA_4[[#This Row],[Comprometido Contrato]],PAA_4[[#This Row],[Comprometido Bolsa]])</f>
        <v>#NAME?</v>
      </c>
      <c r="AC568" s="55" t="str">
        <f t="shared" ca="1" si="237"/>
        <v/>
      </c>
      <c r="AD568" s="55" t="e">
        <f ca="1">IF(PAA_4[[#This Row],[ESTADO (formulado)]]="NO CONTRATADO",0,MAX(PAA_4[[#This Row],[Pago por Contrato]],PAA_4[[#This Row],[Pago por bolsa]]))</f>
        <v>#NAME?</v>
      </c>
      <c r="AE568" s="55" t="str">
        <f t="shared" ca="1" si="238"/>
        <v/>
      </c>
      <c r="AF568" s="47" t="e">
        <f t="shared" ca="1" si="241"/>
        <v>#NAME?</v>
      </c>
      <c r="AG568" s="47">
        <f t="shared" si="240"/>
        <v>41080101</v>
      </c>
      <c r="AH568" s="54" t="str">
        <f>IF(Q568="22",IF(ISNUMBER(SEARCH("econ",PAA_4[[#This Row],[Actividad3]])),"Económico",IF(ISNUMBER(SEARCH("alim",PAA_4[[#This Row],[Actividad3]])),"Alimentación",IF(ISNUMBER(SEARCH("educ",PAA_4[[#This Row],[Actividad3]])),"Educativo","Técnico"))),0)</f>
        <v>Técnico</v>
      </c>
      <c r="AI568" s="47" t="e" cm="1">
        <f t="array" aca="1" ref="AI568" ca="1">_xlfn.XLOOKUP(PAA_4[[#This Row],[RCP-RUBRO]],[2]!COMPROMISOS_2024[[#All],[concatenado]],[2]!COMPROMISOS_2024[[#All],[Total pagado]],"",0)</f>
        <v>#NAME?</v>
      </c>
      <c r="AJ568" s="56" t="e">
        <f ca="1">IF(PAA_4[[#This Row],[BOLSA]]=0,0,SUMIFS([2]!COMPROMISOS_2024[[#All],[Total pagado]],[2]!COMPROMISOS_2024[[#All],[Bolsa]],PAA_4[[#This Row],[BOLSA]],[2]!COMPROMISOS_2024[[#All],[rubro]],PAA_4[[#This Row],[RCP-RUBRO]]))</f>
        <v>#REF!</v>
      </c>
      <c r="AK568" s="47" t="e" cm="1">
        <f t="array" aca="1" ref="AK568" ca="1">_xlfn.XLOOKUP(PAA_4[[#This Row],[RCP-RUBRO]],[2]!COMPROMISOS_2024[[#All],[concatenado]],[2]!COMPROMISOS_2024[[#All],[Total Comprometido]],"",0)</f>
        <v>#NAME?</v>
      </c>
      <c r="AL568" s="47" t="e">
        <f ca="1">IF(PAA_4[[#This Row],[BOLSA]]=0,0,SUMIFS([2]!COMPROMISOS_2024[[#All],[Total Comprometido]],[2]!COMPROMISOS_2024[[#All],[Bolsa]],PAA_4[[#This Row],[BOLSA]],[2]!COMPROMISOS_2024[[#All],[concatenado]],PAA_4[[#This Row],[RCP-RUBRO]]))</f>
        <v>#REF!</v>
      </c>
    </row>
    <row r="569" spans="1:38" s="19" customFormat="1" ht="31.5" customHeight="1">
      <c r="A569" s="47">
        <v>183</v>
      </c>
      <c r="B569" s="51">
        <v>80111600</v>
      </c>
      <c r="C569" s="47" t="str">
        <f>VLOOKUP(PAA_4[[#This Row],[PROYECTO (formulado)2]],[2]PROYECTOS!$G$1:$L$32,6,0)</f>
        <v>SUBGERENCIA DE ALTOS LOGROS Y DEPORTE ASOCIADO</v>
      </c>
      <c r="D569" s="47" t="str">
        <f>+IF(PAA_4[[#This Row],[UNIDAD DE CONTRATACION (formulado)]]="Subgerencia Administrativa y Financiera","FUNCIONAMIENTO","INVERSIÓN")</f>
        <v>INVERSIÓN</v>
      </c>
      <c r="E569" s="48" t="str">
        <f>VLOOKUP(Q569,[2]PROYECTOS!$G$1:$K$32,5,0)</f>
        <v>APOYO_TÉCNICO_Y_PSICOSOCIAL_A_LOS_DEPORTISTAS_DE_ANTIOQUIA</v>
      </c>
      <c r="F569" s="48">
        <f>VLOOKUP(E569,[2]PROYECTOS!$K$1:$M$32,3,0)</f>
        <v>2021003050069</v>
      </c>
      <c r="G569" s="49" t="s">
        <v>239</v>
      </c>
      <c r="H569" s="49" t="str">
        <f>VLOOKUP(Q569,[2]PROYECTOS!$V$1:$W$32,2,0)</f>
        <v>050069</v>
      </c>
      <c r="I569" s="50">
        <v>29453616</v>
      </c>
      <c r="J569" s="51" t="s">
        <v>1607</v>
      </c>
      <c r="K569" s="47" t="str">
        <f t="shared" ca="1" si="234"/>
        <v>CONTRATADO</v>
      </c>
      <c r="L569" s="47" t="s">
        <v>94</v>
      </c>
      <c r="M569" s="47" t="s">
        <v>1297</v>
      </c>
      <c r="N569" s="52" t="s">
        <v>240</v>
      </c>
      <c r="O569" s="51" t="e">
        <f>VLOOKUP(N569,[2]!RUBROS[#All],3,0)</f>
        <v>#REF!</v>
      </c>
      <c r="P569" s="53" t="e">
        <f>VLOOKUP(N569,[2]!RUBROS[#All],2,0)</f>
        <v>#REF!</v>
      </c>
      <c r="Q569" s="47" t="str">
        <f t="shared" si="235"/>
        <v>22</v>
      </c>
      <c r="R569" s="47" t="str">
        <f t="shared" si="236"/>
        <v>0-205400</v>
      </c>
      <c r="S569" s="54">
        <v>6</v>
      </c>
      <c r="T569" s="63" t="s">
        <v>46</v>
      </c>
      <c r="U569" s="326" t="e">
        <f ca="1">_xlfn.XLOOKUP(PAA_4[[#This Row],[ITEM]],[2]Contrato!A:A,[2]Contrato!Q:Q,"",0)</f>
        <v>#NAME?</v>
      </c>
      <c r="V569" s="47" t="s">
        <v>47</v>
      </c>
      <c r="W569" s="47" t="s">
        <v>137</v>
      </c>
      <c r="X569" s="47" t="s">
        <v>137</v>
      </c>
      <c r="Y569" s="55" t="e">
        <f ca="1">_xlfn.XLOOKUP(PAA_4[[#This Row],[ITEM]],[2]Contrato!A:A,[2]Contrato!B:B,"",0)</f>
        <v>#NAME?</v>
      </c>
      <c r="Z569" s="47" t="e">
        <f ca="1">_xlfn.XLOOKUP(PAA_4[[#This Row],[ITEM]],[2]Contrato!A:A,[2]Contrato!G:G,"",0)</f>
        <v>#NAME?</v>
      </c>
      <c r="AA569" s="47" t="e">
        <f ca="1">_xlfn.XLOOKUP(PAA_4[[#This Row],[ITEM]],[2]Contrato!A:A,[2]Contrato!T:T,"",0)</f>
        <v>#NAME?</v>
      </c>
      <c r="AB569" s="55" t="e">
        <f ca="1">+MAX(PAA_4[[#This Row],[Comprometido Contrato]],PAA_4[[#This Row],[Comprometido Bolsa]])</f>
        <v>#NAME?</v>
      </c>
      <c r="AC569" s="55" t="str">
        <f t="shared" ca="1" si="237"/>
        <v/>
      </c>
      <c r="AD569" s="55" t="e">
        <f ca="1">IF(PAA_4[[#This Row],[ESTADO (formulado)]]="NO CONTRATADO",0,MAX(PAA_4[[#This Row],[Pago por Contrato]],PAA_4[[#This Row],[Pago por bolsa]]))</f>
        <v>#NAME?</v>
      </c>
      <c r="AE569" s="55" t="str">
        <f t="shared" ca="1" si="238"/>
        <v/>
      </c>
      <c r="AF569" s="47" t="e">
        <f t="shared" ca="1" si="241"/>
        <v>#NAME?</v>
      </c>
      <c r="AG569" s="47">
        <f t="shared" si="240"/>
        <v>41080101</v>
      </c>
      <c r="AH569" s="54" t="str">
        <f>IF(Q569="22",IF(ISNUMBER(SEARCH("econ",PAA_4[[#This Row],[Actividad3]])),"Económico",IF(ISNUMBER(SEARCH("alim",PAA_4[[#This Row],[Actividad3]])),"Alimentación",IF(ISNUMBER(SEARCH("educ",PAA_4[[#This Row],[Actividad3]])),"Educativo","Técnico"))),0)</f>
        <v>Técnico</v>
      </c>
      <c r="AI569" s="47" t="e" cm="1">
        <f t="array" aca="1" ref="AI569" ca="1">_xlfn.XLOOKUP(PAA_4[[#This Row],[RCP-RUBRO]],[2]!COMPROMISOS_2024[[#All],[concatenado]],[2]!COMPROMISOS_2024[[#All],[Total pagado]],"",0)</f>
        <v>#NAME?</v>
      </c>
      <c r="AJ569" s="56" t="e">
        <f ca="1">IF(PAA_4[[#This Row],[BOLSA]]=0,0,SUMIFS([2]!COMPROMISOS_2024[[#All],[Total pagado]],[2]!COMPROMISOS_2024[[#All],[Bolsa]],PAA_4[[#This Row],[BOLSA]],[2]!COMPROMISOS_2024[[#All],[rubro]],PAA_4[[#This Row],[RCP-RUBRO]]))</f>
        <v>#REF!</v>
      </c>
      <c r="AK569" s="47" t="e" cm="1">
        <f t="array" aca="1" ref="AK569" ca="1">_xlfn.XLOOKUP(PAA_4[[#This Row],[RCP-RUBRO]],[2]!COMPROMISOS_2024[[#All],[concatenado]],[2]!COMPROMISOS_2024[[#All],[Total Comprometido]],"",0)</f>
        <v>#NAME?</v>
      </c>
      <c r="AL569" s="47" t="e">
        <f ca="1">IF(PAA_4[[#This Row],[BOLSA]]=0,0,SUMIFS([2]!COMPROMISOS_2024[[#All],[Total Comprometido]],[2]!COMPROMISOS_2024[[#All],[Bolsa]],PAA_4[[#This Row],[BOLSA]],[2]!COMPROMISOS_2024[[#All],[concatenado]],PAA_4[[#This Row],[RCP-RUBRO]]))</f>
        <v>#REF!</v>
      </c>
    </row>
    <row r="570" spans="1:38" s="19" customFormat="1" ht="31.5" customHeight="1">
      <c r="A570" s="47">
        <v>184</v>
      </c>
      <c r="B570" s="51">
        <v>80111600</v>
      </c>
      <c r="C570" s="47" t="str">
        <f>VLOOKUP(PAA_4[[#This Row],[PROYECTO (formulado)2]],[2]PROYECTOS!$G$1:$L$32,6,0)</f>
        <v>SUBGERENCIA DE ALTOS LOGROS Y DEPORTE ASOCIADO</v>
      </c>
      <c r="D570" s="47" t="str">
        <f>+IF(PAA_4[[#This Row],[UNIDAD DE CONTRATACION (formulado)]]="Subgerencia Administrativa y Financiera","FUNCIONAMIENTO","INVERSIÓN")</f>
        <v>INVERSIÓN</v>
      </c>
      <c r="E570" s="48" t="str">
        <f>VLOOKUP(Q570,[2]PROYECTOS!$G$1:$K$32,5,0)</f>
        <v>APOYO_TÉCNICO_Y_PSICOSOCIAL_A_LOS_DEPORTISTAS_DE_ANTIOQUIA</v>
      </c>
      <c r="F570" s="48">
        <f>VLOOKUP(E570,[2]PROYECTOS!$K$1:$M$32,3,0)</f>
        <v>2021003050069</v>
      </c>
      <c r="G570" s="49" t="s">
        <v>239</v>
      </c>
      <c r="H570" s="49" t="str">
        <f>VLOOKUP(Q570,[2]PROYECTOS!$V$1:$W$32,2,0)</f>
        <v>050069</v>
      </c>
      <c r="I570" s="50">
        <v>29453616</v>
      </c>
      <c r="J570" s="51" t="s">
        <v>1608</v>
      </c>
      <c r="K570" s="47" t="str">
        <f t="shared" ca="1" si="234"/>
        <v>CONTRATADO</v>
      </c>
      <c r="L570" s="47" t="s">
        <v>94</v>
      </c>
      <c r="M570" s="47" t="s">
        <v>1297</v>
      </c>
      <c r="N570" s="52" t="s">
        <v>240</v>
      </c>
      <c r="O570" s="51" t="e">
        <f>VLOOKUP(N570,[2]!RUBROS[#All],3,0)</f>
        <v>#REF!</v>
      </c>
      <c r="P570" s="53" t="e">
        <f>VLOOKUP(N570,[2]!RUBROS[#All],2,0)</f>
        <v>#REF!</v>
      </c>
      <c r="Q570" s="47" t="str">
        <f t="shared" si="235"/>
        <v>22</v>
      </c>
      <c r="R570" s="47" t="str">
        <f t="shared" si="236"/>
        <v>0-205400</v>
      </c>
      <c r="S570" s="54">
        <v>6</v>
      </c>
      <c r="T570" s="63" t="s">
        <v>46</v>
      </c>
      <c r="U570" s="326" t="e">
        <f ca="1">_xlfn.XLOOKUP(PAA_4[[#This Row],[ITEM]],[2]Contrato!A:A,[2]Contrato!Q:Q,"",0)</f>
        <v>#NAME?</v>
      </c>
      <c r="V570" s="47" t="s">
        <v>47</v>
      </c>
      <c r="W570" s="47" t="s">
        <v>137</v>
      </c>
      <c r="X570" s="47" t="s">
        <v>137</v>
      </c>
      <c r="Y570" s="55" t="e">
        <f ca="1">_xlfn.XLOOKUP(PAA_4[[#This Row],[ITEM]],[2]Contrato!A:A,[2]Contrato!B:B,"",0)</f>
        <v>#NAME?</v>
      </c>
      <c r="Z570" s="47" t="e">
        <f ca="1">_xlfn.XLOOKUP(PAA_4[[#This Row],[ITEM]],[2]Contrato!A:A,[2]Contrato!G:G,"",0)</f>
        <v>#NAME?</v>
      </c>
      <c r="AA570" s="47" t="e">
        <f ca="1">_xlfn.XLOOKUP(PAA_4[[#This Row],[ITEM]],[2]Contrato!A:A,[2]Contrato!T:T,"",0)</f>
        <v>#NAME?</v>
      </c>
      <c r="AB570" s="55" t="e">
        <f ca="1">+MAX(PAA_4[[#This Row],[Comprometido Contrato]],PAA_4[[#This Row],[Comprometido Bolsa]])</f>
        <v>#NAME?</v>
      </c>
      <c r="AC570" s="55" t="str">
        <f t="shared" ca="1" si="237"/>
        <v/>
      </c>
      <c r="AD570" s="55" t="e">
        <f ca="1">IF(PAA_4[[#This Row],[ESTADO (formulado)]]="NO CONTRATADO",0,MAX(PAA_4[[#This Row],[Pago por Contrato]],PAA_4[[#This Row],[Pago por bolsa]]))</f>
        <v>#NAME?</v>
      </c>
      <c r="AE570" s="55" t="str">
        <f t="shared" ca="1" si="238"/>
        <v/>
      </c>
      <c r="AF570" s="47" t="e">
        <f t="shared" ca="1" si="241"/>
        <v>#NAME?</v>
      </c>
      <c r="AG570" s="47">
        <f t="shared" si="240"/>
        <v>41080101</v>
      </c>
      <c r="AH570" s="54" t="str">
        <f>IF(Q570="22",IF(ISNUMBER(SEARCH("econ",PAA_4[[#This Row],[Actividad3]])),"Económico",IF(ISNUMBER(SEARCH("alim",PAA_4[[#This Row],[Actividad3]])),"Alimentación",IF(ISNUMBER(SEARCH("educ",PAA_4[[#This Row],[Actividad3]])),"Educativo","Técnico"))),0)</f>
        <v>Técnico</v>
      </c>
      <c r="AI570" s="47" t="e" cm="1">
        <f t="array" aca="1" ref="AI570" ca="1">_xlfn.XLOOKUP(PAA_4[[#This Row],[RCP-RUBRO]],[2]!COMPROMISOS_2024[[#All],[concatenado]],[2]!COMPROMISOS_2024[[#All],[Total pagado]],"",0)</f>
        <v>#NAME?</v>
      </c>
      <c r="AJ570" s="56" t="e">
        <f ca="1">IF(PAA_4[[#This Row],[BOLSA]]=0,0,SUMIFS([2]!COMPROMISOS_2024[[#All],[Total pagado]],[2]!COMPROMISOS_2024[[#All],[Bolsa]],PAA_4[[#This Row],[BOLSA]],[2]!COMPROMISOS_2024[[#All],[rubro]],PAA_4[[#This Row],[RCP-RUBRO]]))</f>
        <v>#REF!</v>
      </c>
      <c r="AK570" s="47" t="e" cm="1">
        <f t="array" aca="1" ref="AK570" ca="1">_xlfn.XLOOKUP(PAA_4[[#This Row],[RCP-RUBRO]],[2]!COMPROMISOS_2024[[#All],[concatenado]],[2]!COMPROMISOS_2024[[#All],[Total Comprometido]],"",0)</f>
        <v>#NAME?</v>
      </c>
      <c r="AL570" s="47" t="e">
        <f ca="1">IF(PAA_4[[#This Row],[BOLSA]]=0,0,SUMIFS([2]!COMPROMISOS_2024[[#All],[Total Comprometido]],[2]!COMPROMISOS_2024[[#All],[Bolsa]],PAA_4[[#This Row],[BOLSA]],[2]!COMPROMISOS_2024[[#All],[concatenado]],PAA_4[[#This Row],[RCP-RUBRO]]))</f>
        <v>#REF!</v>
      </c>
    </row>
    <row r="571" spans="1:38" s="19" customFormat="1" ht="31.5" customHeight="1">
      <c r="A571" s="47">
        <v>185</v>
      </c>
      <c r="B571" s="47">
        <v>80111600</v>
      </c>
      <c r="C571" s="47" t="str">
        <f>VLOOKUP(PAA_4[[#This Row],[PROYECTO (formulado)2]],[2]PROYECTOS!$G$1:$L$32,6,0)</f>
        <v>SUBGERENCIA DE ALTOS LOGROS Y DEPORTE ASOCIADO</v>
      </c>
      <c r="D571" s="47" t="str">
        <f>+IF(PAA_4[[#This Row],[UNIDAD DE CONTRATACION (formulado)]]="Subgerencia Administrativa y Financiera","FUNCIONAMIENTO","INVERSIÓN")</f>
        <v>INVERSIÓN</v>
      </c>
      <c r="E571" s="48" t="str">
        <f>VLOOKUP(Q571,[2]PROYECTOS!$G$1:$K$32,5,0)</f>
        <v>APOYO_TÉCNICO_Y_PSICOSOCIAL_A_LOS_DEPORTISTAS_DE_ANTIOQUIA</v>
      </c>
      <c r="F571" s="48">
        <f>VLOOKUP(E571,[2]PROYECTOS!$K$1:$M$32,3,0)</f>
        <v>2021003050069</v>
      </c>
      <c r="G571" s="49" t="s">
        <v>239</v>
      </c>
      <c r="H571" s="49" t="str">
        <f>VLOOKUP(Q571,[2]PROYECTOS!$V$1:$W$32,2,0)</f>
        <v>050069</v>
      </c>
      <c r="I571" s="50">
        <v>23714292</v>
      </c>
      <c r="J571" s="51" t="s">
        <v>1609</v>
      </c>
      <c r="K571" s="47" t="str">
        <f t="shared" ca="1" si="234"/>
        <v>CONTRATADO</v>
      </c>
      <c r="L571" s="47" t="s">
        <v>94</v>
      </c>
      <c r="M571" s="47" t="s">
        <v>1297</v>
      </c>
      <c r="N571" s="52" t="s">
        <v>240</v>
      </c>
      <c r="O571" s="51" t="e">
        <f>VLOOKUP(N571,[2]!RUBROS[#All],3,0)</f>
        <v>#REF!</v>
      </c>
      <c r="P571" s="53" t="e">
        <f>VLOOKUP(N571,[2]!RUBROS[#All],2,0)</f>
        <v>#REF!</v>
      </c>
      <c r="Q571" s="47" t="str">
        <f t="shared" si="235"/>
        <v>22</v>
      </c>
      <c r="R571" s="47" t="str">
        <f t="shared" si="236"/>
        <v>0-205400</v>
      </c>
      <c r="S571" s="54">
        <v>6</v>
      </c>
      <c r="T571" s="63" t="s">
        <v>46</v>
      </c>
      <c r="U571" s="326" t="e">
        <f ca="1">_xlfn.XLOOKUP(PAA_4[[#This Row],[ITEM]],[2]Contrato!A:A,[2]Contrato!Q:Q,"",0)</f>
        <v>#NAME?</v>
      </c>
      <c r="V571" s="47" t="s">
        <v>47</v>
      </c>
      <c r="W571" s="47" t="s">
        <v>137</v>
      </c>
      <c r="X571" s="47" t="s">
        <v>137</v>
      </c>
      <c r="Y571" s="55" t="e">
        <f ca="1">_xlfn.XLOOKUP(PAA_4[[#This Row],[ITEM]],[2]Contrato!A:A,[2]Contrato!B:B,"",0)</f>
        <v>#NAME?</v>
      </c>
      <c r="Z571" s="47" t="e">
        <f ca="1">_xlfn.XLOOKUP(PAA_4[[#This Row],[ITEM]],[2]Contrato!A:A,[2]Contrato!G:G,"",0)</f>
        <v>#NAME?</v>
      </c>
      <c r="AA571" s="47" t="e">
        <f ca="1">_xlfn.XLOOKUP(PAA_4[[#This Row],[ITEM]],[2]Contrato!A:A,[2]Contrato!T:T,"",0)</f>
        <v>#NAME?</v>
      </c>
      <c r="AB571" s="55" t="e">
        <f ca="1">+MAX(PAA_4[[#This Row],[Comprometido Contrato]],PAA_4[[#This Row],[Comprometido Bolsa]])</f>
        <v>#NAME?</v>
      </c>
      <c r="AC571" s="55" t="str">
        <f t="shared" ca="1" si="237"/>
        <v/>
      </c>
      <c r="AD571" s="55" t="e">
        <f ca="1">IF(PAA_4[[#This Row],[ESTADO (formulado)]]="NO CONTRATADO",0,MAX(PAA_4[[#This Row],[Pago por Contrato]],PAA_4[[#This Row],[Pago por bolsa]]))</f>
        <v>#NAME?</v>
      </c>
      <c r="AE571" s="55" t="str">
        <f t="shared" ca="1" si="238"/>
        <v/>
      </c>
      <c r="AF571" s="47" t="e">
        <f t="shared" ca="1" si="241"/>
        <v>#NAME?</v>
      </c>
      <c r="AG571" s="47">
        <f t="shared" si="240"/>
        <v>41080101</v>
      </c>
      <c r="AH571" s="54" t="str">
        <f>IF(Q571="22",IF(ISNUMBER(SEARCH("econ",PAA_4[[#This Row],[Actividad3]])),"Económico",IF(ISNUMBER(SEARCH("alim",PAA_4[[#This Row],[Actividad3]])),"Alimentación",IF(ISNUMBER(SEARCH("educ",PAA_4[[#This Row],[Actividad3]])),"Educativo","Técnico"))),0)</f>
        <v>Técnico</v>
      </c>
      <c r="AI571" s="47" t="e" cm="1">
        <f t="array" aca="1" ref="AI571" ca="1">_xlfn.XLOOKUP(PAA_4[[#This Row],[RCP-RUBRO]],[2]!COMPROMISOS_2024[[#All],[concatenado]],[2]!COMPROMISOS_2024[[#All],[Total pagado]],"",0)</f>
        <v>#NAME?</v>
      </c>
      <c r="AJ571" s="56" t="e">
        <f ca="1">IF(PAA_4[[#This Row],[BOLSA]]=0,0,SUMIFS([2]!COMPROMISOS_2024[[#All],[Total pagado]],[2]!COMPROMISOS_2024[[#All],[Bolsa]],PAA_4[[#This Row],[BOLSA]],[2]!COMPROMISOS_2024[[#All],[rubro]],PAA_4[[#This Row],[RCP-RUBRO]]))</f>
        <v>#REF!</v>
      </c>
      <c r="AK571" s="47" t="e" cm="1">
        <f t="array" aca="1" ref="AK571" ca="1">_xlfn.XLOOKUP(PAA_4[[#This Row],[RCP-RUBRO]],[2]!COMPROMISOS_2024[[#All],[concatenado]],[2]!COMPROMISOS_2024[[#All],[Total Comprometido]],"",0)</f>
        <v>#NAME?</v>
      </c>
      <c r="AL571" s="47" t="e">
        <f ca="1">IF(PAA_4[[#This Row],[BOLSA]]=0,0,SUMIFS([2]!COMPROMISOS_2024[[#All],[Total Comprometido]],[2]!COMPROMISOS_2024[[#All],[Bolsa]],PAA_4[[#This Row],[BOLSA]],[2]!COMPROMISOS_2024[[#All],[concatenado]],PAA_4[[#This Row],[RCP-RUBRO]]))</f>
        <v>#REF!</v>
      </c>
    </row>
    <row r="572" spans="1:38" s="19" customFormat="1" ht="31.5" customHeight="1">
      <c r="A572" s="47">
        <v>186</v>
      </c>
      <c r="B572" s="47">
        <v>80111600</v>
      </c>
      <c r="C572" s="47" t="str">
        <f>VLOOKUP(PAA_4[[#This Row],[PROYECTO (formulado)2]],[2]PROYECTOS!$G$1:$L$32,6,0)</f>
        <v>SUBGERENCIA DE ALTOS LOGROS Y DEPORTE ASOCIADO</v>
      </c>
      <c r="D572" s="47" t="str">
        <f>+IF(PAA_4[[#This Row],[UNIDAD DE CONTRATACION (formulado)]]="Subgerencia Administrativa y Financiera","FUNCIONAMIENTO","INVERSIÓN")</f>
        <v>INVERSIÓN</v>
      </c>
      <c r="E572" s="48" t="str">
        <f>VLOOKUP(Q572,[2]PROYECTOS!$G$1:$K$32,5,0)</f>
        <v>APOYO_TÉCNICO_Y_PSICOSOCIAL_A_LOS_DEPORTISTAS_DE_ANTIOQUIA</v>
      </c>
      <c r="F572" s="48">
        <f>VLOOKUP(E572,[2]PROYECTOS!$K$1:$M$32,3,0)</f>
        <v>2021003050069</v>
      </c>
      <c r="G572" s="49" t="s">
        <v>239</v>
      </c>
      <c r="H572" s="49" t="str">
        <f>VLOOKUP(Q572,[2]PROYECTOS!$V$1:$W$32,2,0)</f>
        <v>050069</v>
      </c>
      <c r="I572" s="50">
        <v>23714292</v>
      </c>
      <c r="J572" s="51" t="s">
        <v>1610</v>
      </c>
      <c r="K572" s="47" t="str">
        <f t="shared" ca="1" si="234"/>
        <v>CONTRATADO</v>
      </c>
      <c r="L572" s="47" t="s">
        <v>94</v>
      </c>
      <c r="M572" s="47" t="s">
        <v>1297</v>
      </c>
      <c r="N572" s="52" t="s">
        <v>240</v>
      </c>
      <c r="O572" s="51" t="e">
        <f>VLOOKUP(N572,[2]!RUBROS[#All],3,0)</f>
        <v>#REF!</v>
      </c>
      <c r="P572" s="53" t="e">
        <f>VLOOKUP(N572,[2]!RUBROS[#All],2,0)</f>
        <v>#REF!</v>
      </c>
      <c r="Q572" s="47" t="str">
        <f t="shared" si="235"/>
        <v>22</v>
      </c>
      <c r="R572" s="47" t="str">
        <f t="shared" si="236"/>
        <v>0-205400</v>
      </c>
      <c r="S572" s="54">
        <v>6</v>
      </c>
      <c r="T572" s="63" t="s">
        <v>46</v>
      </c>
      <c r="U572" s="326" t="e">
        <f ca="1">_xlfn.XLOOKUP(PAA_4[[#This Row],[ITEM]],[2]Contrato!A:A,[2]Contrato!Q:Q,"",0)</f>
        <v>#NAME?</v>
      </c>
      <c r="V572" s="47" t="s">
        <v>47</v>
      </c>
      <c r="W572" s="47" t="s">
        <v>137</v>
      </c>
      <c r="X572" s="47" t="s">
        <v>137</v>
      </c>
      <c r="Y572" s="55" t="e">
        <f ca="1">_xlfn.XLOOKUP(PAA_4[[#This Row],[ITEM]],[2]Contrato!A:A,[2]Contrato!B:B,"",0)</f>
        <v>#NAME?</v>
      </c>
      <c r="Z572" s="47" t="e">
        <f ca="1">_xlfn.XLOOKUP(PAA_4[[#This Row],[ITEM]],[2]Contrato!A:A,[2]Contrato!G:G,"",0)</f>
        <v>#NAME?</v>
      </c>
      <c r="AA572" s="47" t="e">
        <f ca="1">_xlfn.XLOOKUP(PAA_4[[#This Row],[ITEM]],[2]Contrato!A:A,[2]Contrato!T:T,"",0)</f>
        <v>#NAME?</v>
      </c>
      <c r="AB572" s="55" t="e">
        <f ca="1">+MAX(PAA_4[[#This Row],[Comprometido Contrato]],PAA_4[[#This Row],[Comprometido Bolsa]])</f>
        <v>#NAME?</v>
      </c>
      <c r="AC572" s="55" t="str">
        <f t="shared" ca="1" si="237"/>
        <v/>
      </c>
      <c r="AD572" s="55" t="e">
        <f ca="1">IF(PAA_4[[#This Row],[ESTADO (formulado)]]="NO CONTRATADO",0,MAX(PAA_4[[#This Row],[Pago por Contrato]],PAA_4[[#This Row],[Pago por bolsa]]))</f>
        <v>#NAME?</v>
      </c>
      <c r="AE572" s="55" t="str">
        <f t="shared" ca="1" si="238"/>
        <v/>
      </c>
      <c r="AF572" s="47" t="e">
        <f t="shared" ca="1" si="241"/>
        <v>#NAME?</v>
      </c>
      <c r="AG572" s="47">
        <f t="shared" si="240"/>
        <v>41080101</v>
      </c>
      <c r="AH572" s="54" t="str">
        <f>IF(Q572="22",IF(ISNUMBER(SEARCH("econ",PAA_4[[#This Row],[Actividad3]])),"Económico",IF(ISNUMBER(SEARCH("alim",PAA_4[[#This Row],[Actividad3]])),"Alimentación",IF(ISNUMBER(SEARCH("educ",PAA_4[[#This Row],[Actividad3]])),"Educativo","Técnico"))),0)</f>
        <v>Técnico</v>
      </c>
      <c r="AI572" s="47" t="e" cm="1">
        <f t="array" aca="1" ref="AI572" ca="1">_xlfn.XLOOKUP(PAA_4[[#This Row],[RCP-RUBRO]],[2]!COMPROMISOS_2024[[#All],[concatenado]],[2]!COMPROMISOS_2024[[#All],[Total pagado]],"",0)</f>
        <v>#NAME?</v>
      </c>
      <c r="AJ572" s="56" t="e">
        <f ca="1">IF(PAA_4[[#This Row],[BOLSA]]=0,0,SUMIFS([2]!COMPROMISOS_2024[[#All],[Total pagado]],[2]!COMPROMISOS_2024[[#All],[Bolsa]],PAA_4[[#This Row],[BOLSA]],[2]!COMPROMISOS_2024[[#All],[rubro]],PAA_4[[#This Row],[RCP-RUBRO]]))</f>
        <v>#REF!</v>
      </c>
      <c r="AK572" s="47" t="e" cm="1">
        <f t="array" aca="1" ref="AK572" ca="1">_xlfn.XLOOKUP(PAA_4[[#This Row],[RCP-RUBRO]],[2]!COMPROMISOS_2024[[#All],[concatenado]],[2]!COMPROMISOS_2024[[#All],[Total Comprometido]],"",0)</f>
        <v>#NAME?</v>
      </c>
      <c r="AL572" s="47" t="e">
        <f ca="1">IF(PAA_4[[#This Row],[BOLSA]]=0,0,SUMIFS([2]!COMPROMISOS_2024[[#All],[Total Comprometido]],[2]!COMPROMISOS_2024[[#All],[Bolsa]],PAA_4[[#This Row],[BOLSA]],[2]!COMPROMISOS_2024[[#All],[concatenado]],PAA_4[[#This Row],[RCP-RUBRO]]))</f>
        <v>#REF!</v>
      </c>
    </row>
    <row r="573" spans="1:38" s="19" customFormat="1" ht="31.5" customHeight="1">
      <c r="A573" s="47">
        <v>187</v>
      </c>
      <c r="B573" s="47">
        <v>80111600</v>
      </c>
      <c r="C573" s="47" t="str">
        <f>VLOOKUP(PAA_4[[#This Row],[PROYECTO (formulado)2]],[2]PROYECTOS!$G$1:$L$32,6,0)</f>
        <v>SUBGERENCIA DE ALTOS LOGROS Y DEPORTE ASOCIADO</v>
      </c>
      <c r="D573" s="47" t="str">
        <f>+IF(PAA_4[[#This Row],[UNIDAD DE CONTRATACION (formulado)]]="Subgerencia Administrativa y Financiera","FUNCIONAMIENTO","INVERSIÓN")</f>
        <v>INVERSIÓN</v>
      </c>
      <c r="E573" s="48" t="str">
        <f>VLOOKUP(Q573,[2]PROYECTOS!$G$1:$K$32,5,0)</f>
        <v>APOYO_TÉCNICO_Y_PSICOSOCIAL_A_LOS_DEPORTISTAS_DE_ANTIOQUIA</v>
      </c>
      <c r="F573" s="48">
        <f>VLOOKUP(E573,[2]PROYECTOS!$K$1:$M$32,3,0)</f>
        <v>2021003050069</v>
      </c>
      <c r="G573" s="49" t="s">
        <v>241</v>
      </c>
      <c r="H573" s="49" t="str">
        <f>VLOOKUP(Q573,[2]PROYECTOS!$V$1:$W$32,2,0)</f>
        <v>050069</v>
      </c>
      <c r="I573" s="50">
        <v>23714292</v>
      </c>
      <c r="J573" s="51" t="s">
        <v>1611</v>
      </c>
      <c r="K573" s="47" t="str">
        <f t="shared" ca="1" si="234"/>
        <v>CONTRATADO</v>
      </c>
      <c r="L573" s="47" t="s">
        <v>94</v>
      </c>
      <c r="M573" s="47" t="s">
        <v>1297</v>
      </c>
      <c r="N573" s="52" t="s">
        <v>240</v>
      </c>
      <c r="O573" s="51" t="e">
        <f>VLOOKUP(N573,[2]!RUBROS[#All],3,0)</f>
        <v>#REF!</v>
      </c>
      <c r="P573" s="53" t="e">
        <f>VLOOKUP(N573,[2]!RUBROS[#All],2,0)</f>
        <v>#REF!</v>
      </c>
      <c r="Q573" s="47" t="str">
        <f t="shared" si="235"/>
        <v>22</v>
      </c>
      <c r="R573" s="47" t="str">
        <f t="shared" si="236"/>
        <v>0-205400</v>
      </c>
      <c r="S573" s="54">
        <v>6</v>
      </c>
      <c r="T573" s="63" t="s">
        <v>46</v>
      </c>
      <c r="U573" s="326" t="e">
        <f ca="1">_xlfn.XLOOKUP(PAA_4[[#This Row],[ITEM]],[2]Contrato!A:A,[2]Contrato!Q:Q,"",0)</f>
        <v>#NAME?</v>
      </c>
      <c r="V573" s="47" t="s">
        <v>47</v>
      </c>
      <c r="W573" s="47" t="s">
        <v>137</v>
      </c>
      <c r="X573" s="47" t="s">
        <v>137</v>
      </c>
      <c r="Y573" s="55" t="e">
        <f ca="1">_xlfn.XLOOKUP(PAA_4[[#This Row],[ITEM]],[2]Contrato!A:A,[2]Contrato!B:B,"",0)</f>
        <v>#NAME?</v>
      </c>
      <c r="Z573" s="47" t="e">
        <f ca="1">_xlfn.XLOOKUP(PAA_4[[#This Row],[ITEM]],[2]Contrato!A:A,[2]Contrato!G:G,"",0)</f>
        <v>#NAME?</v>
      </c>
      <c r="AA573" s="47" t="e">
        <f ca="1">_xlfn.XLOOKUP(PAA_4[[#This Row],[ITEM]],[2]Contrato!A:A,[2]Contrato!T:T,"",0)</f>
        <v>#NAME?</v>
      </c>
      <c r="AB573" s="55" t="e">
        <f ca="1">+MAX(PAA_4[[#This Row],[Comprometido Contrato]],PAA_4[[#This Row],[Comprometido Bolsa]])</f>
        <v>#NAME?</v>
      </c>
      <c r="AC573" s="55" t="str">
        <f t="shared" ca="1" si="237"/>
        <v/>
      </c>
      <c r="AD573" s="55" t="e">
        <f ca="1">IF(PAA_4[[#This Row],[ESTADO (formulado)]]="NO CONTRATADO",0,MAX(PAA_4[[#This Row],[Pago por Contrato]],PAA_4[[#This Row],[Pago por bolsa]]))</f>
        <v>#NAME?</v>
      </c>
      <c r="AE573" s="55" t="str">
        <f t="shared" ca="1" si="238"/>
        <v/>
      </c>
      <c r="AF573" s="47" t="e">
        <f t="shared" ca="1" si="241"/>
        <v>#NAME?</v>
      </c>
      <c r="AG573" s="47">
        <f t="shared" si="240"/>
        <v>41080106</v>
      </c>
      <c r="AH573" s="54" t="str">
        <f>IF(Q573="22",IF(ISNUMBER(SEARCH("econ",PAA_4[[#This Row],[Actividad3]])),"Económico",IF(ISNUMBER(SEARCH("alim",PAA_4[[#This Row],[Actividad3]])),"Alimentación",IF(ISNUMBER(SEARCH("educ",PAA_4[[#This Row],[Actividad3]])),"Educativo","Técnico"))),0)</f>
        <v>Técnico</v>
      </c>
      <c r="AI573" s="47" t="e" cm="1">
        <f t="array" aca="1" ref="AI573" ca="1">_xlfn.XLOOKUP(PAA_4[[#This Row],[RCP-RUBRO]],[2]!COMPROMISOS_2024[[#All],[concatenado]],[2]!COMPROMISOS_2024[[#All],[Total pagado]],"",0)</f>
        <v>#NAME?</v>
      </c>
      <c r="AJ573" s="56" t="e">
        <f ca="1">IF(PAA_4[[#This Row],[BOLSA]]=0,0,SUMIFS([2]!COMPROMISOS_2024[[#All],[Total pagado]],[2]!COMPROMISOS_2024[[#All],[Bolsa]],PAA_4[[#This Row],[BOLSA]],[2]!COMPROMISOS_2024[[#All],[rubro]],PAA_4[[#This Row],[RCP-RUBRO]]))</f>
        <v>#REF!</v>
      </c>
      <c r="AK573" s="47" t="e" cm="1">
        <f t="array" aca="1" ref="AK573" ca="1">_xlfn.XLOOKUP(PAA_4[[#This Row],[RCP-RUBRO]],[2]!COMPROMISOS_2024[[#All],[concatenado]],[2]!COMPROMISOS_2024[[#All],[Total Comprometido]],"",0)</f>
        <v>#NAME?</v>
      </c>
      <c r="AL573" s="47" t="e">
        <f ca="1">IF(PAA_4[[#This Row],[BOLSA]]=0,0,SUMIFS([2]!COMPROMISOS_2024[[#All],[Total Comprometido]],[2]!COMPROMISOS_2024[[#All],[Bolsa]],PAA_4[[#This Row],[BOLSA]],[2]!COMPROMISOS_2024[[#All],[concatenado]],PAA_4[[#This Row],[RCP-RUBRO]]))</f>
        <v>#REF!</v>
      </c>
    </row>
    <row r="574" spans="1:38" s="19" customFormat="1" ht="31.5" customHeight="1">
      <c r="A574" s="47">
        <v>188</v>
      </c>
      <c r="B574" s="47">
        <v>80111600</v>
      </c>
      <c r="C574" s="47" t="str">
        <f>VLOOKUP(PAA_4[[#This Row],[PROYECTO (formulado)2]],[2]PROYECTOS!$G$1:$L$32,6,0)</f>
        <v>SUBGERENCIA DE ALTOS LOGROS Y DEPORTE ASOCIADO</v>
      </c>
      <c r="D574" s="47" t="str">
        <f>+IF(PAA_4[[#This Row],[UNIDAD DE CONTRATACION (formulado)]]="Subgerencia Administrativa y Financiera","FUNCIONAMIENTO","INVERSIÓN")</f>
        <v>INVERSIÓN</v>
      </c>
      <c r="E574" s="48" t="str">
        <f>VLOOKUP(Q574,[2]PROYECTOS!$G$1:$K$32,5,0)</f>
        <v>APOYO_TÉCNICO_Y_PSICOSOCIAL_A_LOS_DEPORTISTAS_DE_ANTIOQUIA</v>
      </c>
      <c r="F574" s="48">
        <f>VLOOKUP(E574,[2]PROYECTOS!$K$1:$M$32,3,0)</f>
        <v>2021003050069</v>
      </c>
      <c r="G574" s="49" t="s">
        <v>239</v>
      </c>
      <c r="H574" s="49" t="str">
        <f>VLOOKUP(Q574,[2]PROYECTOS!$V$1:$W$32,2,0)</f>
        <v>050069</v>
      </c>
      <c r="I574" s="50">
        <v>35586894</v>
      </c>
      <c r="J574" s="51" t="s">
        <v>1612</v>
      </c>
      <c r="K574" s="47" t="str">
        <f t="shared" ca="1" si="234"/>
        <v>CONTRATADO</v>
      </c>
      <c r="L574" s="47" t="s">
        <v>94</v>
      </c>
      <c r="M574" s="47" t="s">
        <v>1297</v>
      </c>
      <c r="N574" s="52" t="s">
        <v>240</v>
      </c>
      <c r="O574" s="51" t="e">
        <f>VLOOKUP(N574,[2]!RUBROS[#All],3,0)</f>
        <v>#REF!</v>
      </c>
      <c r="P574" s="53" t="e">
        <f>VLOOKUP(N574,[2]!RUBROS[#All],2,0)</f>
        <v>#REF!</v>
      </c>
      <c r="Q574" s="47" t="str">
        <f t="shared" si="235"/>
        <v>22</v>
      </c>
      <c r="R574" s="47" t="str">
        <f t="shared" si="236"/>
        <v>0-205400</v>
      </c>
      <c r="S574" s="54">
        <v>6</v>
      </c>
      <c r="T574" s="63" t="s">
        <v>46</v>
      </c>
      <c r="U574" s="326" t="e">
        <f ca="1">_xlfn.XLOOKUP(PAA_4[[#This Row],[ITEM]],[2]Contrato!A:A,[2]Contrato!Q:Q,"",0)</f>
        <v>#NAME?</v>
      </c>
      <c r="V574" s="47" t="s">
        <v>47</v>
      </c>
      <c r="W574" s="47" t="s">
        <v>137</v>
      </c>
      <c r="X574" s="47" t="s">
        <v>137</v>
      </c>
      <c r="Y574" s="55" t="e">
        <f ca="1">_xlfn.XLOOKUP(PAA_4[[#This Row],[ITEM]],[2]Contrato!A:A,[2]Contrato!B:B,"",0)</f>
        <v>#NAME?</v>
      </c>
      <c r="Z574" s="47" t="e">
        <f ca="1">_xlfn.XLOOKUP(PAA_4[[#This Row],[ITEM]],[2]Contrato!A:A,[2]Contrato!G:G,"",0)</f>
        <v>#NAME?</v>
      </c>
      <c r="AA574" s="47" t="e">
        <f ca="1">_xlfn.XLOOKUP(PAA_4[[#This Row],[ITEM]],[2]Contrato!A:A,[2]Contrato!T:T,"",0)</f>
        <v>#NAME?</v>
      </c>
      <c r="AB574" s="55" t="e">
        <f ca="1">+MAX(PAA_4[[#This Row],[Comprometido Contrato]],PAA_4[[#This Row],[Comprometido Bolsa]])</f>
        <v>#NAME?</v>
      </c>
      <c r="AC574" s="55" t="str">
        <f t="shared" ca="1" si="237"/>
        <v/>
      </c>
      <c r="AD574" s="55" t="e">
        <f ca="1">IF(PAA_4[[#This Row],[ESTADO (formulado)]]="NO CONTRATADO",0,MAX(PAA_4[[#This Row],[Pago por Contrato]],PAA_4[[#This Row],[Pago por bolsa]]))</f>
        <v>#NAME?</v>
      </c>
      <c r="AE574" s="55" t="str">
        <f t="shared" ca="1" si="238"/>
        <v/>
      </c>
      <c r="AF574" s="47" t="e">
        <f t="shared" ca="1" si="241"/>
        <v>#NAME?</v>
      </c>
      <c r="AG574" s="47">
        <f t="shared" si="240"/>
        <v>41080101</v>
      </c>
      <c r="AH574" s="54" t="str">
        <f>IF(Q574="22",IF(ISNUMBER(SEARCH("econ",PAA_4[[#This Row],[Actividad3]])),"Económico",IF(ISNUMBER(SEARCH("alim",PAA_4[[#This Row],[Actividad3]])),"Alimentación",IF(ISNUMBER(SEARCH("educ",PAA_4[[#This Row],[Actividad3]])),"Educativo","Técnico"))),0)</f>
        <v>Técnico</v>
      </c>
      <c r="AI574" s="47" t="e" cm="1">
        <f t="array" aca="1" ref="AI574" ca="1">_xlfn.XLOOKUP(PAA_4[[#This Row],[RCP-RUBRO]],[2]!COMPROMISOS_2024[[#All],[concatenado]],[2]!COMPROMISOS_2024[[#All],[Total pagado]],"",0)</f>
        <v>#NAME?</v>
      </c>
      <c r="AJ574" s="56" t="e">
        <f ca="1">IF(PAA_4[[#This Row],[BOLSA]]=0,0,SUMIFS([2]!COMPROMISOS_2024[[#All],[Total pagado]],[2]!COMPROMISOS_2024[[#All],[Bolsa]],PAA_4[[#This Row],[BOLSA]],[2]!COMPROMISOS_2024[[#All],[rubro]],PAA_4[[#This Row],[RCP-RUBRO]]))</f>
        <v>#REF!</v>
      </c>
      <c r="AK574" s="47" t="e" cm="1">
        <f t="array" aca="1" ref="AK574" ca="1">_xlfn.XLOOKUP(PAA_4[[#This Row],[RCP-RUBRO]],[2]!COMPROMISOS_2024[[#All],[concatenado]],[2]!COMPROMISOS_2024[[#All],[Total Comprometido]],"",0)</f>
        <v>#NAME?</v>
      </c>
      <c r="AL574" s="47" t="e">
        <f ca="1">IF(PAA_4[[#This Row],[BOLSA]]=0,0,SUMIFS([2]!COMPROMISOS_2024[[#All],[Total Comprometido]],[2]!COMPROMISOS_2024[[#All],[Bolsa]],PAA_4[[#This Row],[BOLSA]],[2]!COMPROMISOS_2024[[#All],[concatenado]],PAA_4[[#This Row],[RCP-RUBRO]]))</f>
        <v>#REF!</v>
      </c>
    </row>
    <row r="575" spans="1:38" s="19" customFormat="1" ht="31.5" customHeight="1">
      <c r="A575" s="47">
        <v>189</v>
      </c>
      <c r="B575" s="47">
        <v>80111600</v>
      </c>
      <c r="C575" s="47" t="str">
        <f>VLOOKUP(PAA_4[[#This Row],[PROYECTO (formulado)2]],[2]PROYECTOS!$G$1:$L$32,6,0)</f>
        <v>SUBGERENCIA DE ALTOS LOGROS Y DEPORTE ASOCIADO</v>
      </c>
      <c r="D575" s="47" t="str">
        <f>+IF(PAA_4[[#This Row],[UNIDAD DE CONTRATACION (formulado)]]="Subgerencia Administrativa y Financiera","FUNCIONAMIENTO","INVERSIÓN")</f>
        <v>INVERSIÓN</v>
      </c>
      <c r="E575" s="48" t="str">
        <f>VLOOKUP(Q575,[2]PROYECTOS!$G$1:$K$32,5,0)</f>
        <v>APOYO_TÉCNICO_Y_PSICOSOCIAL_A_LOS_DEPORTISTAS_DE_ANTIOQUIA</v>
      </c>
      <c r="F575" s="48">
        <f>VLOOKUP(E575,[2]PROYECTOS!$K$1:$M$32,3,0)</f>
        <v>2021003050069</v>
      </c>
      <c r="G575" s="49" t="s">
        <v>239</v>
      </c>
      <c r="H575" s="49" t="str">
        <f>VLOOKUP(Q575,[2]PROYECTOS!$V$1:$W$32,2,0)</f>
        <v>050069</v>
      </c>
      <c r="I575" s="50">
        <v>47452590</v>
      </c>
      <c r="J575" s="51" t="s">
        <v>1613</v>
      </c>
      <c r="K575" s="47" t="str">
        <f t="shared" ca="1" si="234"/>
        <v>CONTRATADO</v>
      </c>
      <c r="L575" s="47" t="s">
        <v>94</v>
      </c>
      <c r="M575" s="47" t="s">
        <v>1297</v>
      </c>
      <c r="N575" s="52" t="s">
        <v>240</v>
      </c>
      <c r="O575" s="51" t="e">
        <f>VLOOKUP(N575,[2]!RUBROS[#All],3,0)</f>
        <v>#REF!</v>
      </c>
      <c r="P575" s="53" t="e">
        <f>VLOOKUP(N575,[2]!RUBROS[#All],2,0)</f>
        <v>#REF!</v>
      </c>
      <c r="Q575" s="47" t="str">
        <f t="shared" si="235"/>
        <v>22</v>
      </c>
      <c r="R575" s="47" t="str">
        <f t="shared" si="236"/>
        <v>0-205400</v>
      </c>
      <c r="S575" s="54">
        <v>6</v>
      </c>
      <c r="T575" s="63" t="s">
        <v>46</v>
      </c>
      <c r="U575" s="326" t="e">
        <f ca="1">_xlfn.XLOOKUP(PAA_4[[#This Row],[ITEM]],[2]Contrato!A:A,[2]Contrato!Q:Q,"",0)</f>
        <v>#NAME?</v>
      </c>
      <c r="V575" s="47" t="s">
        <v>47</v>
      </c>
      <c r="W575" s="47" t="s">
        <v>137</v>
      </c>
      <c r="X575" s="47" t="s">
        <v>137</v>
      </c>
      <c r="Y575" s="55" t="e">
        <f ca="1">_xlfn.XLOOKUP(PAA_4[[#This Row],[ITEM]],[2]Contrato!A:A,[2]Contrato!B:B,"",0)</f>
        <v>#NAME?</v>
      </c>
      <c r="Z575" s="47" t="e">
        <f ca="1">_xlfn.XLOOKUP(PAA_4[[#This Row],[ITEM]],[2]Contrato!A:A,[2]Contrato!G:G,"",0)</f>
        <v>#NAME?</v>
      </c>
      <c r="AA575" s="47" t="e">
        <f ca="1">_xlfn.XLOOKUP(PAA_4[[#This Row],[ITEM]],[2]Contrato!A:A,[2]Contrato!T:T,"",0)</f>
        <v>#NAME?</v>
      </c>
      <c r="AB575" s="55" t="e">
        <f ca="1">+MAX(PAA_4[[#This Row],[Comprometido Contrato]],PAA_4[[#This Row],[Comprometido Bolsa]])</f>
        <v>#NAME?</v>
      </c>
      <c r="AC575" s="55" t="str">
        <f t="shared" ca="1" si="237"/>
        <v/>
      </c>
      <c r="AD575" s="55" t="e">
        <f ca="1">IF(PAA_4[[#This Row],[ESTADO (formulado)]]="NO CONTRATADO",0,MAX(PAA_4[[#This Row],[Pago por Contrato]],PAA_4[[#This Row],[Pago por bolsa]]))</f>
        <v>#NAME?</v>
      </c>
      <c r="AE575" s="55" t="str">
        <f t="shared" ca="1" si="238"/>
        <v/>
      </c>
      <c r="AF575" s="47" t="e">
        <f t="shared" ca="1" si="241"/>
        <v>#NAME?</v>
      </c>
      <c r="AG575" s="47">
        <f t="shared" si="240"/>
        <v>41080101</v>
      </c>
      <c r="AH575" s="54" t="str">
        <f>IF(Q575="22",IF(ISNUMBER(SEARCH("econ",PAA_4[[#This Row],[Actividad3]])),"Económico",IF(ISNUMBER(SEARCH("alim",PAA_4[[#This Row],[Actividad3]])),"Alimentación",IF(ISNUMBER(SEARCH("educ",PAA_4[[#This Row],[Actividad3]])),"Educativo","Técnico"))),0)</f>
        <v>Técnico</v>
      </c>
      <c r="AI575" s="47" t="e" cm="1">
        <f t="array" aca="1" ref="AI575" ca="1">_xlfn.XLOOKUP(PAA_4[[#This Row],[RCP-RUBRO]],[2]!COMPROMISOS_2024[[#All],[concatenado]],[2]!COMPROMISOS_2024[[#All],[Total pagado]],"",0)</f>
        <v>#NAME?</v>
      </c>
      <c r="AJ575" s="56" t="e">
        <f ca="1">IF(PAA_4[[#This Row],[BOLSA]]=0,0,SUMIFS([2]!COMPROMISOS_2024[[#All],[Total pagado]],[2]!COMPROMISOS_2024[[#All],[Bolsa]],PAA_4[[#This Row],[BOLSA]],[2]!COMPROMISOS_2024[[#All],[rubro]],PAA_4[[#This Row],[RCP-RUBRO]]))</f>
        <v>#REF!</v>
      </c>
      <c r="AK575" s="47" t="e" cm="1">
        <f t="array" aca="1" ref="AK575" ca="1">_xlfn.XLOOKUP(PAA_4[[#This Row],[RCP-RUBRO]],[2]!COMPROMISOS_2024[[#All],[concatenado]],[2]!COMPROMISOS_2024[[#All],[Total Comprometido]],"",0)</f>
        <v>#NAME?</v>
      </c>
      <c r="AL575" s="47" t="e">
        <f ca="1">IF(PAA_4[[#This Row],[BOLSA]]=0,0,SUMIFS([2]!COMPROMISOS_2024[[#All],[Total Comprometido]],[2]!COMPROMISOS_2024[[#All],[Bolsa]],PAA_4[[#This Row],[BOLSA]],[2]!COMPROMISOS_2024[[#All],[concatenado]],PAA_4[[#This Row],[RCP-RUBRO]]))</f>
        <v>#REF!</v>
      </c>
    </row>
    <row r="576" spans="1:38" s="19" customFormat="1" ht="31.5" customHeight="1">
      <c r="A576" s="47">
        <v>190</v>
      </c>
      <c r="B576" s="47">
        <v>80111600</v>
      </c>
      <c r="C576" s="47" t="str">
        <f>VLOOKUP(PAA_4[[#This Row],[PROYECTO (formulado)2]],[2]PROYECTOS!$G$1:$L$32,6,0)</f>
        <v>SUBGERENCIA DE ALTOS LOGROS Y DEPORTE ASOCIADO</v>
      </c>
      <c r="D576" s="47" t="str">
        <f>+IF(PAA_4[[#This Row],[UNIDAD DE CONTRATACION (formulado)]]="Subgerencia Administrativa y Financiera","FUNCIONAMIENTO","INVERSIÓN")</f>
        <v>INVERSIÓN</v>
      </c>
      <c r="E576" s="48" t="str">
        <f>VLOOKUP(Q576,[2]PROYECTOS!$G$1:$K$32,5,0)</f>
        <v>APOYO_TÉCNICO_Y_PSICOSOCIAL_A_LOS_DEPORTISTAS_DE_ANTIOQUIA</v>
      </c>
      <c r="F576" s="48">
        <f>VLOOKUP(E576,[2]PROYECTOS!$K$1:$M$32,3,0)</f>
        <v>2021003050069</v>
      </c>
      <c r="G576" s="49" t="s">
        <v>239</v>
      </c>
      <c r="H576" s="49" t="str">
        <f>VLOOKUP(Q576,[2]PROYECTOS!$V$1:$W$32,2,0)</f>
        <v>050069</v>
      </c>
      <c r="I576" s="50">
        <v>29453616</v>
      </c>
      <c r="J576" s="51" t="s">
        <v>1614</v>
      </c>
      <c r="K576" s="47" t="str">
        <f t="shared" ca="1" si="234"/>
        <v>CONTRATADO</v>
      </c>
      <c r="L576" s="47" t="s">
        <v>94</v>
      </c>
      <c r="M576" s="47" t="s">
        <v>1297</v>
      </c>
      <c r="N576" s="52" t="s">
        <v>240</v>
      </c>
      <c r="O576" s="51" t="e">
        <f>VLOOKUP(N576,[2]!RUBROS[#All],3,0)</f>
        <v>#REF!</v>
      </c>
      <c r="P576" s="53" t="e">
        <f>VLOOKUP(N576,[2]!RUBROS[#All],2,0)</f>
        <v>#REF!</v>
      </c>
      <c r="Q576" s="47" t="str">
        <f t="shared" si="235"/>
        <v>22</v>
      </c>
      <c r="R576" s="47" t="str">
        <f t="shared" si="236"/>
        <v>0-205400</v>
      </c>
      <c r="S576" s="54">
        <v>6</v>
      </c>
      <c r="T576" s="63" t="s">
        <v>46</v>
      </c>
      <c r="U576" s="326" t="e">
        <f ca="1">_xlfn.XLOOKUP(PAA_4[[#This Row],[ITEM]],[2]Contrato!A:A,[2]Contrato!Q:Q,"",0)</f>
        <v>#NAME?</v>
      </c>
      <c r="V576" s="47" t="s">
        <v>47</v>
      </c>
      <c r="W576" s="47" t="s">
        <v>137</v>
      </c>
      <c r="X576" s="47" t="s">
        <v>137</v>
      </c>
      <c r="Y576" s="55" t="e">
        <f ca="1">_xlfn.XLOOKUP(PAA_4[[#This Row],[ITEM]],[2]Contrato!A:A,[2]Contrato!B:B,"",0)</f>
        <v>#NAME?</v>
      </c>
      <c r="Z576" s="47" t="e">
        <f ca="1">_xlfn.XLOOKUP(PAA_4[[#This Row],[ITEM]],[2]Contrato!A:A,[2]Contrato!G:G,"",0)</f>
        <v>#NAME?</v>
      </c>
      <c r="AA576" s="47" t="e">
        <f ca="1">_xlfn.XLOOKUP(PAA_4[[#This Row],[ITEM]],[2]Contrato!A:A,[2]Contrato!T:T,"",0)</f>
        <v>#NAME?</v>
      </c>
      <c r="AB576" s="55" t="e">
        <f ca="1">+MAX(PAA_4[[#This Row],[Comprometido Contrato]],PAA_4[[#This Row],[Comprometido Bolsa]])</f>
        <v>#NAME?</v>
      </c>
      <c r="AC576" s="55" t="str">
        <f t="shared" ca="1" si="237"/>
        <v/>
      </c>
      <c r="AD576" s="55" t="e">
        <f ca="1">IF(PAA_4[[#This Row],[ESTADO (formulado)]]="NO CONTRATADO",0,MAX(PAA_4[[#This Row],[Pago por Contrato]],PAA_4[[#This Row],[Pago por bolsa]]))</f>
        <v>#NAME?</v>
      </c>
      <c r="AE576" s="55" t="str">
        <f t="shared" ca="1" si="238"/>
        <v/>
      </c>
      <c r="AF576" s="47" t="e">
        <f t="shared" ca="1" si="241"/>
        <v>#NAME?</v>
      </c>
      <c r="AG576" s="47">
        <f t="shared" si="240"/>
        <v>41080101</v>
      </c>
      <c r="AH576" s="54" t="str">
        <f>IF(Q576="22",IF(ISNUMBER(SEARCH("econ",PAA_4[[#This Row],[Actividad3]])),"Económico",IF(ISNUMBER(SEARCH("alim",PAA_4[[#This Row],[Actividad3]])),"Alimentación",IF(ISNUMBER(SEARCH("educ",PAA_4[[#This Row],[Actividad3]])),"Educativo","Técnico"))),0)</f>
        <v>Técnico</v>
      </c>
      <c r="AI576" s="47" t="e" cm="1">
        <f t="array" aca="1" ref="AI576" ca="1">_xlfn.XLOOKUP(PAA_4[[#This Row],[RCP-RUBRO]],[2]!COMPROMISOS_2024[[#All],[concatenado]],[2]!COMPROMISOS_2024[[#All],[Total pagado]],"",0)</f>
        <v>#NAME?</v>
      </c>
      <c r="AJ576" s="56" t="e">
        <f ca="1">IF(PAA_4[[#This Row],[BOLSA]]=0,0,SUMIFS([2]!COMPROMISOS_2024[[#All],[Total pagado]],[2]!COMPROMISOS_2024[[#All],[Bolsa]],PAA_4[[#This Row],[BOLSA]],[2]!COMPROMISOS_2024[[#All],[rubro]],PAA_4[[#This Row],[RCP-RUBRO]]))</f>
        <v>#REF!</v>
      </c>
      <c r="AK576" s="47" t="e" cm="1">
        <f t="array" aca="1" ref="AK576" ca="1">_xlfn.XLOOKUP(PAA_4[[#This Row],[RCP-RUBRO]],[2]!COMPROMISOS_2024[[#All],[concatenado]],[2]!COMPROMISOS_2024[[#All],[Total Comprometido]],"",0)</f>
        <v>#NAME?</v>
      </c>
      <c r="AL576" s="47" t="e">
        <f ca="1">IF(PAA_4[[#This Row],[BOLSA]]=0,0,SUMIFS([2]!COMPROMISOS_2024[[#All],[Total Comprometido]],[2]!COMPROMISOS_2024[[#All],[Bolsa]],PAA_4[[#This Row],[BOLSA]],[2]!COMPROMISOS_2024[[#All],[concatenado]],PAA_4[[#This Row],[RCP-RUBRO]]))</f>
        <v>#REF!</v>
      </c>
    </row>
    <row r="577" spans="1:38" s="19" customFormat="1" ht="31.5" customHeight="1">
      <c r="A577" s="47">
        <v>191</v>
      </c>
      <c r="B577" s="47">
        <v>80111600</v>
      </c>
      <c r="C577" s="47" t="str">
        <f>VLOOKUP(PAA_4[[#This Row],[PROYECTO (formulado)2]],[2]PROYECTOS!$G$1:$L$32,6,0)</f>
        <v>SUBGERENCIA DE ALTOS LOGROS Y DEPORTE ASOCIADO</v>
      </c>
      <c r="D577" s="47" t="str">
        <f>+IF(PAA_4[[#This Row],[UNIDAD DE CONTRATACION (formulado)]]="Subgerencia Administrativa y Financiera","FUNCIONAMIENTO","INVERSIÓN")</f>
        <v>INVERSIÓN</v>
      </c>
      <c r="E577" s="48" t="str">
        <f>VLOOKUP(Q577,[2]PROYECTOS!$G$1:$K$32,5,0)</f>
        <v>APOYO_TÉCNICO_Y_PSICOSOCIAL_A_LOS_DEPORTISTAS_DE_ANTIOQUIA</v>
      </c>
      <c r="F577" s="48">
        <f>VLOOKUP(E577,[2]PROYECTOS!$K$1:$M$32,3,0)</f>
        <v>2021003050069</v>
      </c>
      <c r="G577" s="49" t="s">
        <v>239</v>
      </c>
      <c r="H577" s="49" t="str">
        <f>VLOOKUP(Q577,[2]PROYECTOS!$V$1:$W$32,2,0)</f>
        <v>050069</v>
      </c>
      <c r="I577" s="50">
        <f>29453616-2454468</f>
        <v>26999148</v>
      </c>
      <c r="J577" s="51" t="s">
        <v>1615</v>
      </c>
      <c r="K577" s="47" t="str">
        <f t="shared" ca="1" si="234"/>
        <v>CONTRATADO</v>
      </c>
      <c r="L577" s="47" t="s">
        <v>94</v>
      </c>
      <c r="M577" s="47" t="s">
        <v>1297</v>
      </c>
      <c r="N577" s="52" t="s">
        <v>240</v>
      </c>
      <c r="O577" s="51" t="e">
        <f>VLOOKUP(N577,[2]!RUBROS[#All],3,0)</f>
        <v>#REF!</v>
      </c>
      <c r="P577" s="53" t="e">
        <f>VLOOKUP(N577,[2]!RUBROS[#All],2,0)</f>
        <v>#REF!</v>
      </c>
      <c r="Q577" s="47" t="str">
        <f t="shared" si="235"/>
        <v>22</v>
      </c>
      <c r="R577" s="47" t="str">
        <f t="shared" si="236"/>
        <v>0-205400</v>
      </c>
      <c r="S577" s="339">
        <v>6</v>
      </c>
      <c r="T577" s="63" t="s">
        <v>46</v>
      </c>
      <c r="U577" s="326" t="e">
        <f ca="1">_xlfn.XLOOKUP(PAA_4[[#This Row],[ITEM]],[2]Contrato!A:A,[2]Contrato!Q:Q,"",0)</f>
        <v>#NAME?</v>
      </c>
      <c r="V577" s="47" t="s">
        <v>47</v>
      </c>
      <c r="W577" s="47" t="s">
        <v>137</v>
      </c>
      <c r="X577" s="47" t="s">
        <v>137</v>
      </c>
      <c r="Y577" s="55" t="e">
        <f ca="1">_xlfn.XLOOKUP(PAA_4[[#This Row],[ITEM]],[2]Contrato!A:A,[2]Contrato!B:B,"",0)</f>
        <v>#NAME?</v>
      </c>
      <c r="Z577" s="47" t="e">
        <f ca="1">_xlfn.XLOOKUP(PAA_4[[#This Row],[ITEM]],[2]Contrato!A:A,[2]Contrato!G:G,"",0)</f>
        <v>#NAME?</v>
      </c>
      <c r="AA577" s="47" t="e">
        <f ca="1">_xlfn.XLOOKUP(PAA_4[[#This Row],[ITEM]],[2]Contrato!A:A,[2]Contrato!T:T,"",0)</f>
        <v>#NAME?</v>
      </c>
      <c r="AB577" s="55" t="e">
        <f ca="1">+MAX(PAA_4[[#This Row],[Comprometido Contrato]],PAA_4[[#This Row],[Comprometido Bolsa]])</f>
        <v>#NAME?</v>
      </c>
      <c r="AC577" s="55" t="str">
        <f t="shared" ca="1" si="237"/>
        <v/>
      </c>
      <c r="AD577" s="55" t="e">
        <f ca="1">IF(PAA_4[[#This Row],[ESTADO (formulado)]]="NO CONTRATADO",0,MAX(PAA_4[[#This Row],[Pago por Contrato]],PAA_4[[#This Row],[Pago por bolsa]]))</f>
        <v>#NAME?</v>
      </c>
      <c r="AE577" s="55" t="str">
        <f t="shared" ca="1" si="238"/>
        <v/>
      </c>
      <c r="AF577" s="47" t="e">
        <f t="shared" ca="1" si="241"/>
        <v>#NAME?</v>
      </c>
      <c r="AG577" s="47">
        <f t="shared" si="240"/>
        <v>41080101</v>
      </c>
      <c r="AH577" s="54" t="str">
        <f>IF(Q577="22",IF(ISNUMBER(SEARCH("econ",PAA_4[[#This Row],[Actividad3]])),"Económico",IF(ISNUMBER(SEARCH("alim",PAA_4[[#This Row],[Actividad3]])),"Alimentación",IF(ISNUMBER(SEARCH("educ",PAA_4[[#This Row],[Actividad3]])),"Educativo","Técnico"))),0)</f>
        <v>Técnico</v>
      </c>
      <c r="AI577" s="47" t="e" cm="1">
        <f t="array" aca="1" ref="AI577" ca="1">_xlfn.XLOOKUP(PAA_4[[#This Row],[RCP-RUBRO]],[2]!COMPROMISOS_2024[[#All],[concatenado]],[2]!COMPROMISOS_2024[[#All],[Total pagado]],"",0)</f>
        <v>#NAME?</v>
      </c>
      <c r="AJ577" s="56" t="e">
        <f ca="1">IF(PAA_4[[#This Row],[BOLSA]]=0,0,SUMIFS([2]!COMPROMISOS_2024[[#All],[Total pagado]],[2]!COMPROMISOS_2024[[#All],[Bolsa]],PAA_4[[#This Row],[BOLSA]],[2]!COMPROMISOS_2024[[#All],[rubro]],PAA_4[[#This Row],[RCP-RUBRO]]))</f>
        <v>#REF!</v>
      </c>
      <c r="AK577" s="47" t="e" cm="1">
        <f t="array" aca="1" ref="AK577" ca="1">_xlfn.XLOOKUP(PAA_4[[#This Row],[RCP-RUBRO]],[2]!COMPROMISOS_2024[[#All],[concatenado]],[2]!COMPROMISOS_2024[[#All],[Total Comprometido]],"",0)</f>
        <v>#NAME?</v>
      </c>
      <c r="AL577" s="47" t="e">
        <f ca="1">IF(PAA_4[[#This Row],[BOLSA]]=0,0,SUMIFS([2]!COMPROMISOS_2024[[#All],[Total Comprometido]],[2]!COMPROMISOS_2024[[#All],[Bolsa]],PAA_4[[#This Row],[BOLSA]],[2]!COMPROMISOS_2024[[#All],[concatenado]],PAA_4[[#This Row],[RCP-RUBRO]]))</f>
        <v>#REF!</v>
      </c>
    </row>
    <row r="578" spans="1:38" s="19" customFormat="1" ht="31.5" customHeight="1">
      <c r="A578" s="47">
        <v>192</v>
      </c>
      <c r="B578" s="47">
        <v>80111600</v>
      </c>
      <c r="C578" s="47" t="str">
        <f>VLOOKUP(PAA_4[[#This Row],[PROYECTO (formulado)2]],[2]PROYECTOS!$G$1:$L$32,6,0)</f>
        <v>SUBGERENCIA DE ALTOS LOGROS Y DEPORTE ASOCIADO</v>
      </c>
      <c r="D578" s="47" t="str">
        <f>+IF(PAA_4[[#This Row],[UNIDAD DE CONTRATACION (formulado)]]="Subgerencia Administrativa y Financiera","FUNCIONAMIENTO","INVERSIÓN")</f>
        <v>INVERSIÓN</v>
      </c>
      <c r="E578" s="48" t="str">
        <f>VLOOKUP(Q578,[2]PROYECTOS!$G$1:$K$32,5,0)</f>
        <v>APOYO_TÉCNICO_Y_PSICOSOCIAL_A_LOS_DEPORTISTAS_DE_ANTIOQUIA</v>
      </c>
      <c r="F578" s="48">
        <f>VLOOKUP(E578,[2]PROYECTOS!$K$1:$M$32,3,0)</f>
        <v>2021003050069</v>
      </c>
      <c r="G578" s="49" t="s">
        <v>239</v>
      </c>
      <c r="H578" s="49" t="str">
        <f>VLOOKUP(Q578,[2]PROYECTOS!$V$1:$W$32,2,0)</f>
        <v>050069</v>
      </c>
      <c r="I578" s="50">
        <v>29453616</v>
      </c>
      <c r="J578" s="51" t="s">
        <v>1616</v>
      </c>
      <c r="K578" s="47" t="str">
        <f t="shared" ca="1" si="234"/>
        <v>CONTRATADO</v>
      </c>
      <c r="L578" s="47" t="s">
        <v>94</v>
      </c>
      <c r="M578" s="47" t="s">
        <v>1297</v>
      </c>
      <c r="N578" s="52" t="s">
        <v>240</v>
      </c>
      <c r="O578" s="51" t="e">
        <f>VLOOKUP(N578,[2]!RUBROS[#All],3,0)</f>
        <v>#REF!</v>
      </c>
      <c r="P578" s="53" t="e">
        <f>VLOOKUP(N578,[2]!RUBROS[#All],2,0)</f>
        <v>#REF!</v>
      </c>
      <c r="Q578" s="47" t="str">
        <f t="shared" si="235"/>
        <v>22</v>
      </c>
      <c r="R578" s="47" t="str">
        <f t="shared" si="236"/>
        <v>0-205400</v>
      </c>
      <c r="S578" s="54">
        <v>6</v>
      </c>
      <c r="T578" s="63" t="s">
        <v>46</v>
      </c>
      <c r="U578" s="326" t="e">
        <f ca="1">_xlfn.XLOOKUP(PAA_4[[#This Row],[ITEM]],[2]Contrato!A:A,[2]Contrato!Q:Q,"",0)</f>
        <v>#NAME?</v>
      </c>
      <c r="V578" s="47" t="s">
        <v>47</v>
      </c>
      <c r="W578" s="47" t="s">
        <v>137</v>
      </c>
      <c r="X578" s="47" t="s">
        <v>137</v>
      </c>
      <c r="Y578" s="55" t="e">
        <f ca="1">_xlfn.XLOOKUP(PAA_4[[#This Row],[ITEM]],[2]Contrato!A:A,[2]Contrato!B:B,"",0)</f>
        <v>#NAME?</v>
      </c>
      <c r="Z578" s="47" t="e">
        <f ca="1">_xlfn.XLOOKUP(PAA_4[[#This Row],[ITEM]],[2]Contrato!A:A,[2]Contrato!G:G,"",0)</f>
        <v>#NAME?</v>
      </c>
      <c r="AA578" s="47" t="e">
        <f ca="1">_xlfn.XLOOKUP(PAA_4[[#This Row],[ITEM]],[2]Contrato!A:A,[2]Contrato!T:T,"",0)</f>
        <v>#NAME?</v>
      </c>
      <c r="AB578" s="55" t="e">
        <f ca="1">+MAX(PAA_4[[#This Row],[Comprometido Contrato]],PAA_4[[#This Row],[Comprometido Bolsa]])</f>
        <v>#NAME?</v>
      </c>
      <c r="AC578" s="55" t="str">
        <f t="shared" ca="1" si="237"/>
        <v/>
      </c>
      <c r="AD578" s="55" t="e">
        <f ca="1">IF(PAA_4[[#This Row],[ESTADO (formulado)]]="NO CONTRATADO",0,MAX(PAA_4[[#This Row],[Pago por Contrato]],PAA_4[[#This Row],[Pago por bolsa]]))</f>
        <v>#NAME?</v>
      </c>
      <c r="AE578" s="55" t="str">
        <f t="shared" ca="1" si="238"/>
        <v/>
      </c>
      <c r="AF578" s="47" t="e">
        <f t="shared" ca="1" si="241"/>
        <v>#NAME?</v>
      </c>
      <c r="AG578" s="47">
        <f t="shared" si="240"/>
        <v>41080101</v>
      </c>
      <c r="AH578" s="54" t="str">
        <f>IF(Q578="22",IF(ISNUMBER(SEARCH("econ",PAA_4[[#This Row],[Actividad3]])),"Económico",IF(ISNUMBER(SEARCH("alim",PAA_4[[#This Row],[Actividad3]])),"Alimentación",IF(ISNUMBER(SEARCH("educ",PAA_4[[#This Row],[Actividad3]])),"Educativo","Técnico"))),0)</f>
        <v>Técnico</v>
      </c>
      <c r="AI578" s="47" t="e" cm="1">
        <f t="array" aca="1" ref="AI578" ca="1">_xlfn.XLOOKUP(PAA_4[[#This Row],[RCP-RUBRO]],[2]!COMPROMISOS_2024[[#All],[concatenado]],[2]!COMPROMISOS_2024[[#All],[Total pagado]],"",0)</f>
        <v>#NAME?</v>
      </c>
      <c r="AJ578" s="56" t="e">
        <f ca="1">IF(PAA_4[[#This Row],[BOLSA]]=0,0,SUMIFS([2]!COMPROMISOS_2024[[#All],[Total pagado]],[2]!COMPROMISOS_2024[[#All],[Bolsa]],PAA_4[[#This Row],[BOLSA]],[2]!COMPROMISOS_2024[[#All],[rubro]],PAA_4[[#This Row],[RCP-RUBRO]]))</f>
        <v>#REF!</v>
      </c>
      <c r="AK578" s="47" t="e" cm="1">
        <f t="array" aca="1" ref="AK578" ca="1">_xlfn.XLOOKUP(PAA_4[[#This Row],[RCP-RUBRO]],[2]!COMPROMISOS_2024[[#All],[concatenado]],[2]!COMPROMISOS_2024[[#All],[Total Comprometido]],"",0)</f>
        <v>#NAME?</v>
      </c>
      <c r="AL578" s="47" t="e">
        <f ca="1">IF(PAA_4[[#This Row],[BOLSA]]=0,0,SUMIFS([2]!COMPROMISOS_2024[[#All],[Total Comprometido]],[2]!COMPROMISOS_2024[[#All],[Bolsa]],PAA_4[[#This Row],[BOLSA]],[2]!COMPROMISOS_2024[[#All],[concatenado]],PAA_4[[#This Row],[RCP-RUBRO]]))</f>
        <v>#REF!</v>
      </c>
    </row>
    <row r="579" spans="1:38" s="19" customFormat="1" ht="31.5" customHeight="1">
      <c r="A579" s="47">
        <v>193</v>
      </c>
      <c r="B579" s="47">
        <v>80111600</v>
      </c>
      <c r="C579" s="47" t="str">
        <f>VLOOKUP(PAA_4[[#This Row],[PROYECTO (formulado)2]],[2]PROYECTOS!$G$1:$L$32,6,0)</f>
        <v>SUBGERENCIA DE ALTOS LOGROS Y DEPORTE ASOCIADO</v>
      </c>
      <c r="D579" s="47" t="str">
        <f>+IF(PAA_4[[#This Row],[UNIDAD DE CONTRATACION (formulado)]]="Subgerencia Administrativa y Financiera","FUNCIONAMIENTO","INVERSIÓN")</f>
        <v>INVERSIÓN</v>
      </c>
      <c r="E579" s="48" t="str">
        <f>VLOOKUP(Q579,[2]PROYECTOS!$G$1:$K$32,5,0)</f>
        <v>APOYO_TÉCNICO_Y_PSICOSOCIAL_A_LOS_DEPORTISTAS_DE_ANTIOQUIA</v>
      </c>
      <c r="F579" s="48">
        <f>VLOOKUP(E579,[2]PROYECTOS!$K$1:$M$32,3,0)</f>
        <v>2021003050069</v>
      </c>
      <c r="G579" s="49" t="s">
        <v>239</v>
      </c>
      <c r="H579" s="49" t="str">
        <f>VLOOKUP(Q579,[2]PROYECTOS!$V$1:$W$32,2,0)</f>
        <v>050069</v>
      </c>
      <c r="I579" s="50">
        <v>35586894</v>
      </c>
      <c r="J579" s="51" t="s">
        <v>1617</v>
      </c>
      <c r="K579" s="47" t="str">
        <f t="shared" ca="1" si="234"/>
        <v>CONTRATADO</v>
      </c>
      <c r="L579" s="47" t="s">
        <v>94</v>
      </c>
      <c r="M579" s="47" t="s">
        <v>1297</v>
      </c>
      <c r="N579" s="52" t="s">
        <v>240</v>
      </c>
      <c r="O579" s="51" t="e">
        <f>VLOOKUP(N579,[2]!RUBROS[#All],3,0)</f>
        <v>#REF!</v>
      </c>
      <c r="P579" s="53" t="e">
        <f>VLOOKUP(N579,[2]!RUBROS[#All],2,0)</f>
        <v>#REF!</v>
      </c>
      <c r="Q579" s="47" t="str">
        <f t="shared" si="235"/>
        <v>22</v>
      </c>
      <c r="R579" s="47" t="str">
        <f t="shared" si="236"/>
        <v>0-205400</v>
      </c>
      <c r="S579" s="54">
        <v>6</v>
      </c>
      <c r="T579" s="63" t="s">
        <v>46</v>
      </c>
      <c r="U579" s="326" t="e">
        <f ca="1">_xlfn.XLOOKUP(PAA_4[[#This Row],[ITEM]],[2]Contrato!A:A,[2]Contrato!Q:Q,"",0)</f>
        <v>#NAME?</v>
      </c>
      <c r="V579" s="47" t="s">
        <v>47</v>
      </c>
      <c r="W579" s="47" t="s">
        <v>137</v>
      </c>
      <c r="X579" s="47" t="s">
        <v>137</v>
      </c>
      <c r="Y579" s="55" t="e">
        <f ca="1">_xlfn.XLOOKUP(PAA_4[[#This Row],[ITEM]],[2]Contrato!A:A,[2]Contrato!B:B,"",0)</f>
        <v>#NAME?</v>
      </c>
      <c r="Z579" s="47" t="e">
        <f ca="1">_xlfn.XLOOKUP(PAA_4[[#This Row],[ITEM]],[2]Contrato!A:A,[2]Contrato!G:G,"",0)</f>
        <v>#NAME?</v>
      </c>
      <c r="AA579" s="47" t="e">
        <f ca="1">_xlfn.XLOOKUP(PAA_4[[#This Row],[ITEM]],[2]Contrato!A:A,[2]Contrato!T:T,"",0)</f>
        <v>#NAME?</v>
      </c>
      <c r="AB579" s="55" t="e">
        <f ca="1">+MAX(PAA_4[[#This Row],[Comprometido Contrato]],PAA_4[[#This Row],[Comprometido Bolsa]])</f>
        <v>#NAME?</v>
      </c>
      <c r="AC579" s="55" t="str">
        <f t="shared" ca="1" si="237"/>
        <v/>
      </c>
      <c r="AD579" s="55" t="e">
        <f ca="1">IF(PAA_4[[#This Row],[ESTADO (formulado)]]="NO CONTRATADO",0,MAX(PAA_4[[#This Row],[Pago por Contrato]],PAA_4[[#This Row],[Pago por bolsa]]))</f>
        <v>#NAME?</v>
      </c>
      <c r="AE579" s="55" t="str">
        <f t="shared" ca="1" si="238"/>
        <v/>
      </c>
      <c r="AF579" s="47" t="e">
        <f t="shared" ca="1" si="241"/>
        <v>#NAME?</v>
      </c>
      <c r="AG579" s="47">
        <f t="shared" si="240"/>
        <v>41080101</v>
      </c>
      <c r="AH579" s="54" t="str">
        <f>IF(Q579="22",IF(ISNUMBER(SEARCH("econ",PAA_4[[#This Row],[Actividad3]])),"Económico",IF(ISNUMBER(SEARCH("alim",PAA_4[[#This Row],[Actividad3]])),"Alimentación",IF(ISNUMBER(SEARCH("educ",PAA_4[[#This Row],[Actividad3]])),"Educativo","Técnico"))),0)</f>
        <v>Técnico</v>
      </c>
      <c r="AI579" s="47" t="e" cm="1">
        <f t="array" aca="1" ref="AI579" ca="1">_xlfn.XLOOKUP(PAA_4[[#This Row],[RCP-RUBRO]],[2]!COMPROMISOS_2024[[#All],[concatenado]],[2]!COMPROMISOS_2024[[#All],[Total pagado]],"",0)</f>
        <v>#NAME?</v>
      </c>
      <c r="AJ579" s="56" t="e">
        <f ca="1">IF(PAA_4[[#This Row],[BOLSA]]=0,0,SUMIFS([2]!COMPROMISOS_2024[[#All],[Total pagado]],[2]!COMPROMISOS_2024[[#All],[Bolsa]],PAA_4[[#This Row],[BOLSA]],[2]!COMPROMISOS_2024[[#All],[rubro]],PAA_4[[#This Row],[RCP-RUBRO]]))</f>
        <v>#REF!</v>
      </c>
      <c r="AK579" s="47" t="e" cm="1">
        <f t="array" aca="1" ref="AK579" ca="1">_xlfn.XLOOKUP(PAA_4[[#This Row],[RCP-RUBRO]],[2]!COMPROMISOS_2024[[#All],[concatenado]],[2]!COMPROMISOS_2024[[#All],[Total Comprometido]],"",0)</f>
        <v>#NAME?</v>
      </c>
      <c r="AL579" s="47" t="e">
        <f ca="1">IF(PAA_4[[#This Row],[BOLSA]]=0,0,SUMIFS([2]!COMPROMISOS_2024[[#All],[Total Comprometido]],[2]!COMPROMISOS_2024[[#All],[Bolsa]],PAA_4[[#This Row],[BOLSA]],[2]!COMPROMISOS_2024[[#All],[concatenado]],PAA_4[[#This Row],[RCP-RUBRO]]))</f>
        <v>#REF!</v>
      </c>
    </row>
    <row r="580" spans="1:38" s="19" customFormat="1" ht="31.5" customHeight="1">
      <c r="A580" s="47">
        <v>194</v>
      </c>
      <c r="B580" s="47">
        <v>80111600</v>
      </c>
      <c r="C580" s="47" t="str">
        <f>VLOOKUP(PAA_4[[#This Row],[PROYECTO (formulado)2]],[2]PROYECTOS!$G$1:$L$32,6,0)</f>
        <v>SUBGERENCIA DE ALTOS LOGROS Y DEPORTE ASOCIADO</v>
      </c>
      <c r="D580" s="47" t="str">
        <f>+IF(PAA_4[[#This Row],[UNIDAD DE CONTRATACION (formulado)]]="Subgerencia Administrativa y Financiera","FUNCIONAMIENTO","INVERSIÓN")</f>
        <v>INVERSIÓN</v>
      </c>
      <c r="E580" s="48" t="str">
        <f>VLOOKUP(Q580,[2]PROYECTOS!$G$1:$K$32,5,0)</f>
        <v>APOYO_TÉCNICO_Y_PSICOSOCIAL_A_LOS_DEPORTISTAS_DE_ANTIOQUIA</v>
      </c>
      <c r="F580" s="48">
        <f>VLOOKUP(E580,[2]PROYECTOS!$K$1:$M$32,3,0)</f>
        <v>2021003050069</v>
      </c>
      <c r="G580" s="49" t="s">
        <v>239</v>
      </c>
      <c r="H580" s="49" t="str">
        <f>VLOOKUP(Q580,[2]PROYECTOS!$V$1:$W$32,2,0)</f>
        <v>050069</v>
      </c>
      <c r="I580" s="50">
        <v>35586894</v>
      </c>
      <c r="J580" s="51" t="s">
        <v>1618</v>
      </c>
      <c r="K580" s="47" t="str">
        <f t="shared" ca="1" si="234"/>
        <v>CONTRATADO</v>
      </c>
      <c r="L580" s="47" t="s">
        <v>94</v>
      </c>
      <c r="M580" s="47" t="s">
        <v>1297</v>
      </c>
      <c r="N580" s="52" t="s">
        <v>240</v>
      </c>
      <c r="O580" s="51" t="e">
        <f>VLOOKUP(N580,[2]!RUBROS[#All],3,0)</f>
        <v>#REF!</v>
      </c>
      <c r="P580" s="53" t="e">
        <f>VLOOKUP(N580,[2]!RUBROS[#All],2,0)</f>
        <v>#REF!</v>
      </c>
      <c r="Q580" s="47" t="str">
        <f t="shared" si="235"/>
        <v>22</v>
      </c>
      <c r="R580" s="47" t="str">
        <f t="shared" si="236"/>
        <v>0-205400</v>
      </c>
      <c r="S580" s="54">
        <v>6</v>
      </c>
      <c r="T580" s="63" t="s">
        <v>46</v>
      </c>
      <c r="U580" s="326" t="e">
        <f ca="1">_xlfn.XLOOKUP(PAA_4[[#This Row],[ITEM]],[2]Contrato!A:A,[2]Contrato!Q:Q,"",0)</f>
        <v>#NAME?</v>
      </c>
      <c r="V580" s="47" t="s">
        <v>47</v>
      </c>
      <c r="W580" s="47" t="s">
        <v>137</v>
      </c>
      <c r="X580" s="47" t="s">
        <v>137</v>
      </c>
      <c r="Y580" s="55" t="e">
        <f ca="1">_xlfn.XLOOKUP(PAA_4[[#This Row],[ITEM]],[2]Contrato!A:A,[2]Contrato!B:B,"",0)</f>
        <v>#NAME?</v>
      </c>
      <c r="Z580" s="47" t="e">
        <f ca="1">_xlfn.XLOOKUP(PAA_4[[#This Row],[ITEM]],[2]Contrato!A:A,[2]Contrato!G:G,"",0)</f>
        <v>#NAME?</v>
      </c>
      <c r="AA580" s="47" t="e">
        <f ca="1">_xlfn.XLOOKUP(PAA_4[[#This Row],[ITEM]],[2]Contrato!A:A,[2]Contrato!T:T,"",0)</f>
        <v>#NAME?</v>
      </c>
      <c r="AB580" s="55" t="e">
        <f ca="1">+MAX(PAA_4[[#This Row],[Comprometido Contrato]],PAA_4[[#This Row],[Comprometido Bolsa]])</f>
        <v>#NAME?</v>
      </c>
      <c r="AC580" s="55" t="str">
        <f t="shared" ca="1" si="237"/>
        <v/>
      </c>
      <c r="AD580" s="55" t="e">
        <f ca="1">IF(PAA_4[[#This Row],[ESTADO (formulado)]]="NO CONTRATADO",0,MAX(PAA_4[[#This Row],[Pago por Contrato]],PAA_4[[#This Row],[Pago por bolsa]]))</f>
        <v>#NAME?</v>
      </c>
      <c r="AE580" s="55" t="str">
        <f t="shared" ca="1" si="238"/>
        <v/>
      </c>
      <c r="AF580" s="47" t="e">
        <f t="shared" ca="1" si="241"/>
        <v>#NAME?</v>
      </c>
      <c r="AG580" s="47">
        <f t="shared" si="240"/>
        <v>41080101</v>
      </c>
      <c r="AH580" s="54" t="str">
        <f>IF(Q580="22",IF(ISNUMBER(SEARCH("econ",PAA_4[[#This Row],[Actividad3]])),"Económico",IF(ISNUMBER(SEARCH("alim",PAA_4[[#This Row],[Actividad3]])),"Alimentación",IF(ISNUMBER(SEARCH("educ",PAA_4[[#This Row],[Actividad3]])),"Educativo","Técnico"))),0)</f>
        <v>Técnico</v>
      </c>
      <c r="AI580" s="47" t="e" cm="1">
        <f t="array" aca="1" ref="AI580" ca="1">_xlfn.XLOOKUP(PAA_4[[#This Row],[RCP-RUBRO]],[2]!COMPROMISOS_2024[[#All],[concatenado]],[2]!COMPROMISOS_2024[[#All],[Total pagado]],"",0)</f>
        <v>#NAME?</v>
      </c>
      <c r="AJ580" s="56" t="e">
        <f ca="1">IF(PAA_4[[#This Row],[BOLSA]]=0,0,SUMIFS([2]!COMPROMISOS_2024[[#All],[Total pagado]],[2]!COMPROMISOS_2024[[#All],[Bolsa]],PAA_4[[#This Row],[BOLSA]],[2]!COMPROMISOS_2024[[#All],[rubro]],PAA_4[[#This Row],[RCP-RUBRO]]))</f>
        <v>#REF!</v>
      </c>
      <c r="AK580" s="47" t="e" cm="1">
        <f t="array" aca="1" ref="AK580" ca="1">_xlfn.XLOOKUP(PAA_4[[#This Row],[RCP-RUBRO]],[2]!COMPROMISOS_2024[[#All],[concatenado]],[2]!COMPROMISOS_2024[[#All],[Total Comprometido]],"",0)</f>
        <v>#NAME?</v>
      </c>
      <c r="AL580" s="47" t="e">
        <f ca="1">IF(PAA_4[[#This Row],[BOLSA]]=0,0,SUMIFS([2]!COMPROMISOS_2024[[#All],[Total Comprometido]],[2]!COMPROMISOS_2024[[#All],[Bolsa]],PAA_4[[#This Row],[BOLSA]],[2]!COMPROMISOS_2024[[#All],[concatenado]],PAA_4[[#This Row],[RCP-RUBRO]]))</f>
        <v>#REF!</v>
      </c>
    </row>
    <row r="581" spans="1:38" s="19" customFormat="1" ht="31.5" customHeight="1">
      <c r="A581" s="47">
        <v>195</v>
      </c>
      <c r="B581" s="47">
        <v>80111600</v>
      </c>
      <c r="C581" s="47" t="str">
        <f>VLOOKUP(PAA_4[[#This Row],[PROYECTO (formulado)2]],[2]PROYECTOS!$G$1:$L$32,6,0)</f>
        <v>SUBGERENCIA DE ALTOS LOGROS Y DEPORTE ASOCIADO</v>
      </c>
      <c r="D581" s="47" t="str">
        <f>+IF(PAA_4[[#This Row],[UNIDAD DE CONTRATACION (formulado)]]="Subgerencia Administrativa y Financiera","FUNCIONAMIENTO","INVERSIÓN")</f>
        <v>INVERSIÓN</v>
      </c>
      <c r="E581" s="48" t="str">
        <f>VLOOKUP(Q581,[2]PROYECTOS!$G$1:$K$32,5,0)</f>
        <v>APOYO_TÉCNICO_Y_PSICOSOCIAL_A_LOS_DEPORTISTAS_DE_ANTIOQUIA</v>
      </c>
      <c r="F581" s="48">
        <f>VLOOKUP(E581,[2]PROYECTOS!$K$1:$M$32,3,0)</f>
        <v>2021003050069</v>
      </c>
      <c r="G581" s="49" t="s">
        <v>239</v>
      </c>
      <c r="H581" s="49" t="str">
        <f>VLOOKUP(Q581,[2]PROYECTOS!$V$1:$W$32,2,0)</f>
        <v>050069</v>
      </c>
      <c r="I581" s="50">
        <v>15449052</v>
      </c>
      <c r="J581" s="51" t="s">
        <v>1619</v>
      </c>
      <c r="K581" s="47" t="str">
        <f t="shared" ca="1" si="234"/>
        <v>CONTRATADO</v>
      </c>
      <c r="L581" s="47" t="s">
        <v>94</v>
      </c>
      <c r="M581" s="47" t="s">
        <v>1297</v>
      </c>
      <c r="N581" s="52" t="s">
        <v>240</v>
      </c>
      <c r="O581" s="51" t="e">
        <f>VLOOKUP(N581,[2]!RUBROS[#All],3,0)</f>
        <v>#REF!</v>
      </c>
      <c r="P581" s="53" t="e">
        <f>VLOOKUP(N581,[2]!RUBROS[#All],2,0)</f>
        <v>#REF!</v>
      </c>
      <c r="Q581" s="47" t="str">
        <f t="shared" si="235"/>
        <v>22</v>
      </c>
      <c r="R581" s="47" t="str">
        <f t="shared" si="236"/>
        <v>0-205400</v>
      </c>
      <c r="S581" s="54">
        <v>6</v>
      </c>
      <c r="T581" s="63" t="s">
        <v>46</v>
      </c>
      <c r="U581" s="326" t="e">
        <f ca="1">_xlfn.XLOOKUP(PAA_4[[#This Row],[ITEM]],[2]Contrato!A:A,[2]Contrato!Q:Q,"",0)</f>
        <v>#NAME?</v>
      </c>
      <c r="V581" s="47" t="s">
        <v>47</v>
      </c>
      <c r="W581" s="47" t="s">
        <v>137</v>
      </c>
      <c r="X581" s="47" t="s">
        <v>137</v>
      </c>
      <c r="Y581" s="55" t="e">
        <f ca="1">_xlfn.XLOOKUP(PAA_4[[#This Row],[ITEM]],[2]Contrato!A:A,[2]Contrato!B:B,"",0)</f>
        <v>#NAME?</v>
      </c>
      <c r="Z581" s="47" t="e">
        <f ca="1">_xlfn.XLOOKUP(PAA_4[[#This Row],[ITEM]],[2]Contrato!A:A,[2]Contrato!G:G,"",0)</f>
        <v>#NAME?</v>
      </c>
      <c r="AA581" s="47" t="e">
        <f ca="1">_xlfn.XLOOKUP(PAA_4[[#This Row],[ITEM]],[2]Contrato!A:A,[2]Contrato!T:T,"",0)</f>
        <v>#NAME?</v>
      </c>
      <c r="AB581" s="55" t="e">
        <f ca="1">+MAX(PAA_4[[#This Row],[Comprometido Contrato]],PAA_4[[#This Row],[Comprometido Bolsa]])</f>
        <v>#NAME?</v>
      </c>
      <c r="AC581" s="55" t="str">
        <f t="shared" ca="1" si="237"/>
        <v/>
      </c>
      <c r="AD581" s="55" t="e">
        <f ca="1">IF(PAA_4[[#This Row],[ESTADO (formulado)]]="NO CONTRATADO",0,MAX(PAA_4[[#This Row],[Pago por Contrato]],PAA_4[[#This Row],[Pago por bolsa]]))</f>
        <v>#NAME?</v>
      </c>
      <c r="AE581" s="55" t="str">
        <f t="shared" ca="1" si="238"/>
        <v/>
      </c>
      <c r="AF581" s="47" t="e">
        <f t="shared" ca="1" si="241"/>
        <v>#NAME?</v>
      </c>
      <c r="AG581" s="47">
        <f t="shared" si="240"/>
        <v>41080101</v>
      </c>
      <c r="AH581" s="54" t="str">
        <f>IF(Q581="22",IF(ISNUMBER(SEARCH("econ",PAA_4[[#This Row],[Actividad3]])),"Económico",IF(ISNUMBER(SEARCH("alim",PAA_4[[#This Row],[Actividad3]])),"Alimentación",IF(ISNUMBER(SEARCH("educ",PAA_4[[#This Row],[Actividad3]])),"Educativo","Técnico"))),0)</f>
        <v>Técnico</v>
      </c>
      <c r="AI581" s="47" t="e" cm="1">
        <f t="array" aca="1" ref="AI581" ca="1">_xlfn.XLOOKUP(PAA_4[[#This Row],[RCP-RUBRO]],[2]!COMPROMISOS_2024[[#All],[concatenado]],[2]!COMPROMISOS_2024[[#All],[Total pagado]],"",0)</f>
        <v>#NAME?</v>
      </c>
      <c r="AJ581" s="56" t="e">
        <f ca="1">IF(PAA_4[[#This Row],[BOLSA]]=0,0,SUMIFS([2]!COMPROMISOS_2024[[#All],[Total pagado]],[2]!COMPROMISOS_2024[[#All],[Bolsa]],PAA_4[[#This Row],[BOLSA]],[2]!COMPROMISOS_2024[[#All],[rubro]],PAA_4[[#This Row],[RCP-RUBRO]]))</f>
        <v>#REF!</v>
      </c>
      <c r="AK581" s="47" t="e" cm="1">
        <f t="array" aca="1" ref="AK581" ca="1">_xlfn.XLOOKUP(PAA_4[[#This Row],[RCP-RUBRO]],[2]!COMPROMISOS_2024[[#All],[concatenado]],[2]!COMPROMISOS_2024[[#All],[Total Comprometido]],"",0)</f>
        <v>#NAME?</v>
      </c>
      <c r="AL581" s="47" t="e">
        <f ca="1">IF(PAA_4[[#This Row],[BOLSA]]=0,0,SUMIFS([2]!COMPROMISOS_2024[[#All],[Total Comprometido]],[2]!COMPROMISOS_2024[[#All],[Bolsa]],PAA_4[[#This Row],[BOLSA]],[2]!COMPROMISOS_2024[[#All],[concatenado]],PAA_4[[#This Row],[RCP-RUBRO]]))</f>
        <v>#REF!</v>
      </c>
    </row>
    <row r="582" spans="1:38" s="19" customFormat="1" ht="31.5" customHeight="1">
      <c r="A582" s="47">
        <v>196</v>
      </c>
      <c r="B582" s="47">
        <v>80111600</v>
      </c>
      <c r="C582" s="47" t="str">
        <f>VLOOKUP(PAA_4[[#This Row],[PROYECTO (formulado)2]],[2]PROYECTOS!$G$1:$L$32,6,0)</f>
        <v>SUBGERENCIA DE ALTOS LOGROS Y DEPORTE ASOCIADO</v>
      </c>
      <c r="D582" s="47" t="str">
        <f>+IF(PAA_4[[#This Row],[UNIDAD DE CONTRATACION (formulado)]]="Subgerencia Administrativa y Financiera","FUNCIONAMIENTO","INVERSIÓN")</f>
        <v>INVERSIÓN</v>
      </c>
      <c r="E582" s="48" t="str">
        <f>VLOOKUP(Q582,[2]PROYECTOS!$G$1:$K$32,5,0)</f>
        <v>APOYO_TÉCNICO_Y_PSICOSOCIAL_A_LOS_DEPORTISTAS_DE_ANTIOQUIA</v>
      </c>
      <c r="F582" s="48">
        <f>VLOOKUP(E582,[2]PROYECTOS!$K$1:$M$32,3,0)</f>
        <v>2021003050069</v>
      </c>
      <c r="G582" s="49" t="s">
        <v>239</v>
      </c>
      <c r="H582" s="49" t="str">
        <f>VLOOKUP(Q582,[2]PROYECTOS!$V$1:$W$32,2,0)</f>
        <v>050069</v>
      </c>
      <c r="I582" s="50">
        <v>23714292</v>
      </c>
      <c r="J582" s="51" t="s">
        <v>1620</v>
      </c>
      <c r="K582" s="47" t="str">
        <f t="shared" ca="1" si="234"/>
        <v>CONTRATADO</v>
      </c>
      <c r="L582" s="47" t="s">
        <v>94</v>
      </c>
      <c r="M582" s="47" t="s">
        <v>1297</v>
      </c>
      <c r="N582" s="52" t="s">
        <v>240</v>
      </c>
      <c r="O582" s="51" t="e">
        <f>VLOOKUP(N582,[2]!RUBROS[#All],3,0)</f>
        <v>#REF!</v>
      </c>
      <c r="P582" s="53" t="e">
        <f>VLOOKUP(N582,[2]!RUBROS[#All],2,0)</f>
        <v>#REF!</v>
      </c>
      <c r="Q582" s="47" t="str">
        <f t="shared" si="235"/>
        <v>22</v>
      </c>
      <c r="R582" s="47" t="str">
        <f t="shared" si="236"/>
        <v>0-205400</v>
      </c>
      <c r="S582" s="54">
        <v>6</v>
      </c>
      <c r="T582" s="63" t="s">
        <v>46</v>
      </c>
      <c r="U582" s="326" t="e">
        <f ca="1">_xlfn.XLOOKUP(PAA_4[[#This Row],[ITEM]],[2]Contrato!A:A,[2]Contrato!Q:Q,"",0)</f>
        <v>#NAME?</v>
      </c>
      <c r="V582" s="47" t="s">
        <v>47</v>
      </c>
      <c r="W582" s="47" t="s">
        <v>137</v>
      </c>
      <c r="X582" s="47" t="s">
        <v>137</v>
      </c>
      <c r="Y582" s="55" t="e">
        <f ca="1">_xlfn.XLOOKUP(PAA_4[[#This Row],[ITEM]],[2]Contrato!A:A,[2]Contrato!B:B,"",0)</f>
        <v>#NAME?</v>
      </c>
      <c r="Z582" s="47" t="e">
        <f ca="1">_xlfn.XLOOKUP(PAA_4[[#This Row],[ITEM]],[2]Contrato!A:A,[2]Contrato!G:G,"",0)</f>
        <v>#NAME?</v>
      </c>
      <c r="AA582" s="47" t="e">
        <f ca="1">_xlfn.XLOOKUP(PAA_4[[#This Row],[ITEM]],[2]Contrato!A:A,[2]Contrato!T:T,"",0)</f>
        <v>#NAME?</v>
      </c>
      <c r="AB582" s="55" t="e">
        <f ca="1">+MAX(PAA_4[[#This Row],[Comprometido Contrato]],PAA_4[[#This Row],[Comprometido Bolsa]])</f>
        <v>#NAME?</v>
      </c>
      <c r="AC582" s="55" t="str">
        <f t="shared" ca="1" si="237"/>
        <v/>
      </c>
      <c r="AD582" s="55" t="e">
        <f ca="1">IF(PAA_4[[#This Row],[ESTADO (formulado)]]="NO CONTRATADO",0,MAX(PAA_4[[#This Row],[Pago por Contrato]],PAA_4[[#This Row],[Pago por bolsa]]))</f>
        <v>#NAME?</v>
      </c>
      <c r="AE582" s="55" t="str">
        <f t="shared" ca="1" si="238"/>
        <v/>
      </c>
      <c r="AF582" s="47" t="e">
        <f t="shared" ca="1" si="241"/>
        <v>#NAME?</v>
      </c>
      <c r="AG582" s="47">
        <f t="shared" si="240"/>
        <v>41080101</v>
      </c>
      <c r="AH582" s="54" t="str">
        <f>IF(Q582="22",IF(ISNUMBER(SEARCH("econ",PAA_4[[#This Row],[Actividad3]])),"Económico",IF(ISNUMBER(SEARCH("alim",PAA_4[[#This Row],[Actividad3]])),"Alimentación",IF(ISNUMBER(SEARCH("educ",PAA_4[[#This Row],[Actividad3]])),"Educativo","Técnico"))),0)</f>
        <v>Técnico</v>
      </c>
      <c r="AI582" s="47" t="e" cm="1">
        <f t="array" aca="1" ref="AI582" ca="1">_xlfn.XLOOKUP(PAA_4[[#This Row],[RCP-RUBRO]],[2]!COMPROMISOS_2024[[#All],[concatenado]],[2]!COMPROMISOS_2024[[#All],[Total pagado]],"",0)</f>
        <v>#NAME?</v>
      </c>
      <c r="AJ582" s="56" t="e">
        <f ca="1">IF(PAA_4[[#This Row],[BOLSA]]=0,0,SUMIFS([2]!COMPROMISOS_2024[[#All],[Total pagado]],[2]!COMPROMISOS_2024[[#All],[Bolsa]],PAA_4[[#This Row],[BOLSA]],[2]!COMPROMISOS_2024[[#All],[rubro]],PAA_4[[#This Row],[RCP-RUBRO]]))</f>
        <v>#REF!</v>
      </c>
      <c r="AK582" s="47" t="e" cm="1">
        <f t="array" aca="1" ref="AK582" ca="1">_xlfn.XLOOKUP(PAA_4[[#This Row],[RCP-RUBRO]],[2]!COMPROMISOS_2024[[#All],[concatenado]],[2]!COMPROMISOS_2024[[#All],[Total Comprometido]],"",0)</f>
        <v>#NAME?</v>
      </c>
      <c r="AL582" s="47" t="e">
        <f ca="1">IF(PAA_4[[#This Row],[BOLSA]]=0,0,SUMIFS([2]!COMPROMISOS_2024[[#All],[Total Comprometido]],[2]!COMPROMISOS_2024[[#All],[Bolsa]],PAA_4[[#This Row],[BOLSA]],[2]!COMPROMISOS_2024[[#All],[concatenado]],PAA_4[[#This Row],[RCP-RUBRO]]))</f>
        <v>#REF!</v>
      </c>
    </row>
    <row r="583" spans="1:38" s="19" customFormat="1" ht="31.5" customHeight="1">
      <c r="A583" s="47">
        <v>197</v>
      </c>
      <c r="B583" s="47">
        <v>80111600</v>
      </c>
      <c r="C583" s="47" t="str">
        <f>VLOOKUP(PAA_4[[#This Row],[PROYECTO (formulado)2]],[2]PROYECTOS!$G$1:$L$32,6,0)</f>
        <v>SUBGERENCIA DE ALTOS LOGROS Y DEPORTE ASOCIADO</v>
      </c>
      <c r="D583" s="47" t="str">
        <f>+IF(PAA_4[[#This Row],[UNIDAD DE CONTRATACION (formulado)]]="Subgerencia Administrativa y Financiera","FUNCIONAMIENTO","INVERSIÓN")</f>
        <v>INVERSIÓN</v>
      </c>
      <c r="E583" s="48" t="str">
        <f>VLOOKUP(Q583,[2]PROYECTOS!$G$1:$K$32,5,0)</f>
        <v>APOYO_TÉCNICO_Y_PSICOSOCIAL_A_LOS_DEPORTISTAS_DE_ANTIOQUIA</v>
      </c>
      <c r="F583" s="48">
        <f>VLOOKUP(E583,[2]PROYECTOS!$K$1:$M$32,3,0)</f>
        <v>2021003050069</v>
      </c>
      <c r="G583" s="49" t="s">
        <v>239</v>
      </c>
      <c r="H583" s="49" t="str">
        <f>VLOOKUP(Q583,[2]PROYECTOS!$V$1:$W$32,2,0)</f>
        <v>050069</v>
      </c>
      <c r="I583" s="50">
        <v>15449052</v>
      </c>
      <c r="J583" s="51" t="s">
        <v>1621</v>
      </c>
      <c r="K583" s="47" t="str">
        <f t="shared" ca="1" si="234"/>
        <v>CONTRATADO</v>
      </c>
      <c r="L583" s="47" t="s">
        <v>94</v>
      </c>
      <c r="M583" s="47" t="s">
        <v>1297</v>
      </c>
      <c r="N583" s="52" t="s">
        <v>240</v>
      </c>
      <c r="O583" s="51" t="e">
        <f>VLOOKUP(N583,[2]!RUBROS[#All],3,0)</f>
        <v>#REF!</v>
      </c>
      <c r="P583" s="53" t="e">
        <f>VLOOKUP(N583,[2]!RUBROS[#All],2,0)</f>
        <v>#REF!</v>
      </c>
      <c r="Q583" s="47" t="str">
        <f t="shared" si="235"/>
        <v>22</v>
      </c>
      <c r="R583" s="47" t="str">
        <f t="shared" si="236"/>
        <v>0-205400</v>
      </c>
      <c r="S583" s="54">
        <v>6</v>
      </c>
      <c r="T583" s="63" t="s">
        <v>46</v>
      </c>
      <c r="U583" s="326" t="e">
        <f ca="1">_xlfn.XLOOKUP(PAA_4[[#This Row],[ITEM]],[2]Contrato!A:A,[2]Contrato!Q:Q,"",0)</f>
        <v>#NAME?</v>
      </c>
      <c r="V583" s="47" t="s">
        <v>47</v>
      </c>
      <c r="W583" s="47" t="s">
        <v>137</v>
      </c>
      <c r="X583" s="47" t="s">
        <v>137</v>
      </c>
      <c r="Y583" s="55" t="e">
        <f ca="1">_xlfn.XLOOKUP(PAA_4[[#This Row],[ITEM]],[2]Contrato!A:A,[2]Contrato!B:B,"",0)</f>
        <v>#NAME?</v>
      </c>
      <c r="Z583" s="47" t="e">
        <f ca="1">_xlfn.XLOOKUP(PAA_4[[#This Row],[ITEM]],[2]Contrato!A:A,[2]Contrato!G:G,"",0)</f>
        <v>#NAME?</v>
      </c>
      <c r="AA583" s="47" t="e">
        <f ca="1">_xlfn.XLOOKUP(PAA_4[[#This Row],[ITEM]],[2]Contrato!A:A,[2]Contrato!T:T,"",0)</f>
        <v>#NAME?</v>
      </c>
      <c r="AB583" s="55" t="e">
        <f ca="1">+MAX(PAA_4[[#This Row],[Comprometido Contrato]],PAA_4[[#This Row],[Comprometido Bolsa]])</f>
        <v>#NAME?</v>
      </c>
      <c r="AC583" s="55" t="str">
        <f t="shared" ca="1" si="237"/>
        <v/>
      </c>
      <c r="AD583" s="55" t="e">
        <f ca="1">IF(PAA_4[[#This Row],[ESTADO (formulado)]]="NO CONTRATADO",0,MAX(PAA_4[[#This Row],[Pago por Contrato]],PAA_4[[#This Row],[Pago por bolsa]]))</f>
        <v>#NAME?</v>
      </c>
      <c r="AE583" s="55" t="str">
        <f t="shared" ca="1" si="238"/>
        <v/>
      </c>
      <c r="AF583" s="47" t="e">
        <f t="shared" ca="1" si="241"/>
        <v>#NAME?</v>
      </c>
      <c r="AG583" s="47">
        <f t="shared" si="240"/>
        <v>41080101</v>
      </c>
      <c r="AH583" s="54" t="str">
        <f>IF(Q583="22",IF(ISNUMBER(SEARCH("econ",PAA_4[[#This Row],[Actividad3]])),"Económico",IF(ISNUMBER(SEARCH("alim",PAA_4[[#This Row],[Actividad3]])),"Alimentación",IF(ISNUMBER(SEARCH("educ",PAA_4[[#This Row],[Actividad3]])),"Educativo","Técnico"))),0)</f>
        <v>Técnico</v>
      </c>
      <c r="AI583" s="47" t="e" cm="1">
        <f t="array" aca="1" ref="AI583" ca="1">_xlfn.XLOOKUP(PAA_4[[#This Row],[RCP-RUBRO]],[2]!COMPROMISOS_2024[[#All],[concatenado]],[2]!COMPROMISOS_2024[[#All],[Total pagado]],"",0)</f>
        <v>#NAME?</v>
      </c>
      <c r="AJ583" s="56" t="e">
        <f ca="1">IF(PAA_4[[#This Row],[BOLSA]]=0,0,SUMIFS([2]!COMPROMISOS_2024[[#All],[Total pagado]],[2]!COMPROMISOS_2024[[#All],[Bolsa]],PAA_4[[#This Row],[BOLSA]],[2]!COMPROMISOS_2024[[#All],[rubro]],PAA_4[[#This Row],[RCP-RUBRO]]))</f>
        <v>#REF!</v>
      </c>
      <c r="AK583" s="47" t="e" cm="1">
        <f t="array" aca="1" ref="AK583" ca="1">_xlfn.XLOOKUP(PAA_4[[#This Row],[RCP-RUBRO]],[2]!COMPROMISOS_2024[[#All],[concatenado]],[2]!COMPROMISOS_2024[[#All],[Total Comprometido]],"",0)</f>
        <v>#NAME?</v>
      </c>
      <c r="AL583" s="47" t="e">
        <f ca="1">IF(PAA_4[[#This Row],[BOLSA]]=0,0,SUMIFS([2]!COMPROMISOS_2024[[#All],[Total Comprometido]],[2]!COMPROMISOS_2024[[#All],[Bolsa]],PAA_4[[#This Row],[BOLSA]],[2]!COMPROMISOS_2024[[#All],[concatenado]],PAA_4[[#This Row],[RCP-RUBRO]]))</f>
        <v>#REF!</v>
      </c>
    </row>
    <row r="584" spans="1:38" s="19" customFormat="1" ht="31.5" customHeight="1">
      <c r="A584" s="47">
        <v>198</v>
      </c>
      <c r="B584" s="47">
        <v>80111600</v>
      </c>
      <c r="C584" s="47" t="str">
        <f>VLOOKUP(PAA_4[[#This Row],[PROYECTO (formulado)2]],[2]PROYECTOS!$G$1:$L$32,6,0)</f>
        <v>SUBGERENCIA DE ALTOS LOGROS Y DEPORTE ASOCIADO</v>
      </c>
      <c r="D584" s="47" t="str">
        <f>+IF(PAA_4[[#This Row],[UNIDAD DE CONTRATACION (formulado)]]="Subgerencia Administrativa y Financiera","FUNCIONAMIENTO","INVERSIÓN")</f>
        <v>INVERSIÓN</v>
      </c>
      <c r="E584" s="48" t="str">
        <f>VLOOKUP(Q584,[2]PROYECTOS!$G$1:$K$32,5,0)</f>
        <v>APOYO_TÉCNICO_Y_PSICOSOCIAL_A_LOS_DEPORTISTAS_DE_ANTIOQUIA</v>
      </c>
      <c r="F584" s="48">
        <f>VLOOKUP(E584,[2]PROYECTOS!$K$1:$M$32,3,0)</f>
        <v>2021003050069</v>
      </c>
      <c r="G584" s="49" t="s">
        <v>239</v>
      </c>
      <c r="H584" s="49" t="str">
        <f>VLOOKUP(Q584,[2]PROYECTOS!$V$1:$W$32,2,0)</f>
        <v>050069</v>
      </c>
      <c r="I584" s="50">
        <v>47452590</v>
      </c>
      <c r="J584" s="51" t="s">
        <v>1622</v>
      </c>
      <c r="K584" s="47" t="str">
        <f t="shared" ca="1" si="234"/>
        <v>CONTRATADO</v>
      </c>
      <c r="L584" s="47" t="s">
        <v>94</v>
      </c>
      <c r="M584" s="47" t="s">
        <v>1297</v>
      </c>
      <c r="N584" s="52" t="s">
        <v>240</v>
      </c>
      <c r="O584" s="51" t="e">
        <f>VLOOKUP(N584,[2]!RUBROS[#All],3,0)</f>
        <v>#REF!</v>
      </c>
      <c r="P584" s="53" t="e">
        <f>VLOOKUP(N584,[2]!RUBROS[#All],2,0)</f>
        <v>#REF!</v>
      </c>
      <c r="Q584" s="47" t="str">
        <f t="shared" si="235"/>
        <v>22</v>
      </c>
      <c r="R584" s="47" t="str">
        <f t="shared" si="236"/>
        <v>0-205400</v>
      </c>
      <c r="S584" s="54">
        <v>6</v>
      </c>
      <c r="T584" s="63" t="s">
        <v>46</v>
      </c>
      <c r="U584" s="326" t="e">
        <f ca="1">_xlfn.XLOOKUP(PAA_4[[#This Row],[ITEM]],[2]Contrato!A:A,[2]Contrato!Q:Q,"",0)</f>
        <v>#NAME?</v>
      </c>
      <c r="V584" s="47" t="s">
        <v>47</v>
      </c>
      <c r="W584" s="64" t="s">
        <v>137</v>
      </c>
      <c r="X584" s="64" t="s">
        <v>137</v>
      </c>
      <c r="Y584" s="55" t="e">
        <f ca="1">_xlfn.XLOOKUP(PAA_4[[#This Row],[ITEM]],[2]Contrato!A:A,[2]Contrato!B:B,"",0)</f>
        <v>#NAME?</v>
      </c>
      <c r="Z584" s="47" t="e">
        <f ca="1">_xlfn.XLOOKUP(PAA_4[[#This Row],[ITEM]],[2]Contrato!A:A,[2]Contrato!G:G,"",0)</f>
        <v>#NAME?</v>
      </c>
      <c r="AA584" s="47" t="e">
        <f ca="1">_xlfn.XLOOKUP(PAA_4[[#This Row],[ITEM]],[2]Contrato!A:A,[2]Contrato!T:T,"",0)</f>
        <v>#NAME?</v>
      </c>
      <c r="AB584" s="55" t="e">
        <f ca="1">+MAX(PAA_4[[#This Row],[Comprometido Contrato]],PAA_4[[#This Row],[Comprometido Bolsa]])</f>
        <v>#NAME?</v>
      </c>
      <c r="AC584" s="55" t="str">
        <f t="shared" ca="1" si="237"/>
        <v/>
      </c>
      <c r="AD584" s="55" t="e">
        <f ca="1">IF(PAA_4[[#This Row],[ESTADO (formulado)]]="NO CONTRATADO",0,MAX(PAA_4[[#This Row],[Pago por Contrato]],PAA_4[[#This Row],[Pago por bolsa]]))</f>
        <v>#NAME?</v>
      </c>
      <c r="AE584" s="55" t="str">
        <f t="shared" ca="1" si="238"/>
        <v/>
      </c>
      <c r="AF584" s="47" t="e">
        <f t="shared" ca="1" si="241"/>
        <v>#NAME?</v>
      </c>
      <c r="AG584" s="47">
        <f t="shared" si="240"/>
        <v>41080101</v>
      </c>
      <c r="AH584" s="54" t="str">
        <f>IF(Q584="22",IF(ISNUMBER(SEARCH("econ",PAA_4[[#This Row],[Actividad3]])),"Económico",IF(ISNUMBER(SEARCH("alim",PAA_4[[#This Row],[Actividad3]])),"Alimentación",IF(ISNUMBER(SEARCH("educ",PAA_4[[#This Row],[Actividad3]])),"Educativo","Técnico"))),0)</f>
        <v>Técnico</v>
      </c>
      <c r="AI584" s="47" t="e" cm="1">
        <f t="array" aca="1" ref="AI584" ca="1">_xlfn.XLOOKUP(PAA_4[[#This Row],[RCP-RUBRO]],[2]!COMPROMISOS_2024[[#All],[concatenado]],[2]!COMPROMISOS_2024[[#All],[Total pagado]],"",0)</f>
        <v>#NAME?</v>
      </c>
      <c r="AJ584" s="56" t="e">
        <f ca="1">IF(PAA_4[[#This Row],[BOLSA]]=0,0,SUMIFS([2]!COMPROMISOS_2024[[#All],[Total pagado]],[2]!COMPROMISOS_2024[[#All],[Bolsa]],PAA_4[[#This Row],[BOLSA]],[2]!COMPROMISOS_2024[[#All],[rubro]],PAA_4[[#This Row],[RCP-RUBRO]]))</f>
        <v>#REF!</v>
      </c>
      <c r="AK584" s="47" t="e" cm="1">
        <f t="array" aca="1" ref="AK584" ca="1">_xlfn.XLOOKUP(PAA_4[[#This Row],[RCP-RUBRO]],[2]!COMPROMISOS_2024[[#All],[concatenado]],[2]!COMPROMISOS_2024[[#All],[Total Comprometido]],"",0)</f>
        <v>#NAME?</v>
      </c>
      <c r="AL584" s="47" t="e">
        <f ca="1">IF(PAA_4[[#This Row],[BOLSA]]=0,0,SUMIFS([2]!COMPROMISOS_2024[[#All],[Total Comprometido]],[2]!COMPROMISOS_2024[[#All],[Bolsa]],PAA_4[[#This Row],[BOLSA]],[2]!COMPROMISOS_2024[[#All],[concatenado]],PAA_4[[#This Row],[RCP-RUBRO]]))</f>
        <v>#REF!</v>
      </c>
    </row>
    <row r="585" spans="1:38" s="19" customFormat="1" ht="31.5" customHeight="1">
      <c r="A585" s="47">
        <v>199</v>
      </c>
      <c r="B585" s="47">
        <v>80111600</v>
      </c>
      <c r="C585" s="47" t="str">
        <f>VLOOKUP(PAA_4[[#This Row],[PROYECTO (formulado)2]],[2]PROYECTOS!$G$1:$L$32,6,0)</f>
        <v>SUBGERENCIA DE ALTOS LOGROS Y DEPORTE ASOCIADO</v>
      </c>
      <c r="D585" s="47" t="str">
        <f>+IF(PAA_4[[#This Row],[UNIDAD DE CONTRATACION (formulado)]]="Subgerencia Administrativa y Financiera","FUNCIONAMIENTO","INVERSIÓN")</f>
        <v>INVERSIÓN</v>
      </c>
      <c r="E585" s="48" t="str">
        <f>VLOOKUP(Q585,[2]PROYECTOS!$G$1:$K$32,5,0)</f>
        <v>APOYO_TÉCNICO_Y_PSICOSOCIAL_A_LOS_DEPORTISTAS_DE_ANTIOQUIA</v>
      </c>
      <c r="F585" s="48">
        <f>VLOOKUP(E585,[2]PROYECTOS!$K$1:$M$32,3,0)</f>
        <v>2021003050069</v>
      </c>
      <c r="G585" s="49" t="s">
        <v>239</v>
      </c>
      <c r="H585" s="49" t="str">
        <f>VLOOKUP(Q585,[2]PROYECTOS!$V$1:$W$32,2,0)</f>
        <v>050069</v>
      </c>
      <c r="I585" s="50">
        <v>41521014</v>
      </c>
      <c r="J585" s="51" t="s">
        <v>1623</v>
      </c>
      <c r="K585" s="47" t="str">
        <f t="shared" ca="1" si="234"/>
        <v>CONTRATADO</v>
      </c>
      <c r="L585" s="47" t="s">
        <v>94</v>
      </c>
      <c r="M585" s="47" t="s">
        <v>1297</v>
      </c>
      <c r="N585" s="52" t="s">
        <v>240</v>
      </c>
      <c r="O585" s="51" t="e">
        <f>VLOOKUP(N585,[2]!RUBROS[#All],3,0)</f>
        <v>#REF!</v>
      </c>
      <c r="P585" s="53" t="e">
        <f>VLOOKUP(N585,[2]!RUBROS[#All],2,0)</f>
        <v>#REF!</v>
      </c>
      <c r="Q585" s="47" t="str">
        <f t="shared" si="235"/>
        <v>22</v>
      </c>
      <c r="R585" s="47" t="str">
        <f t="shared" si="236"/>
        <v>0-205400</v>
      </c>
      <c r="S585" s="54">
        <v>6</v>
      </c>
      <c r="T585" s="63" t="s">
        <v>46</v>
      </c>
      <c r="U585" s="326" t="e">
        <f ca="1">_xlfn.XLOOKUP(PAA_4[[#This Row],[ITEM]],[2]Contrato!A:A,[2]Contrato!Q:Q,"",0)</f>
        <v>#NAME?</v>
      </c>
      <c r="V585" s="47" t="s">
        <v>47</v>
      </c>
      <c r="W585" s="64" t="s">
        <v>137</v>
      </c>
      <c r="X585" s="64" t="s">
        <v>137</v>
      </c>
      <c r="Y585" s="55" t="e">
        <f ca="1">_xlfn.XLOOKUP(PAA_4[[#This Row],[ITEM]],[2]Contrato!A:A,[2]Contrato!B:B,"",0)</f>
        <v>#NAME?</v>
      </c>
      <c r="Z585" s="47" t="e">
        <f ca="1">_xlfn.XLOOKUP(PAA_4[[#This Row],[ITEM]],[2]Contrato!A:A,[2]Contrato!G:G,"",0)</f>
        <v>#NAME?</v>
      </c>
      <c r="AA585" s="47" t="e">
        <f ca="1">_xlfn.XLOOKUP(PAA_4[[#This Row],[ITEM]],[2]Contrato!A:A,[2]Contrato!T:T,"",0)</f>
        <v>#NAME?</v>
      </c>
      <c r="AB585" s="55" t="e">
        <f ca="1">+MAX(PAA_4[[#This Row],[Comprometido Contrato]],PAA_4[[#This Row],[Comprometido Bolsa]])</f>
        <v>#NAME?</v>
      </c>
      <c r="AC585" s="55" t="str">
        <f t="shared" ca="1" si="237"/>
        <v/>
      </c>
      <c r="AD585" s="55" t="e">
        <f ca="1">IF(PAA_4[[#This Row],[ESTADO (formulado)]]="NO CONTRATADO",0,MAX(PAA_4[[#This Row],[Pago por Contrato]],PAA_4[[#This Row],[Pago por bolsa]]))</f>
        <v>#NAME?</v>
      </c>
      <c r="AE585" s="55" t="str">
        <f t="shared" ca="1" si="238"/>
        <v/>
      </c>
      <c r="AF585" s="47" t="e">
        <f t="shared" ca="1" si="241"/>
        <v>#NAME?</v>
      </c>
      <c r="AG585" s="47">
        <f t="shared" si="240"/>
        <v>41080101</v>
      </c>
      <c r="AH585" s="54" t="str">
        <f>IF(Q585="22",IF(ISNUMBER(SEARCH("econ",PAA_4[[#This Row],[Actividad3]])),"Económico",IF(ISNUMBER(SEARCH("alim",PAA_4[[#This Row],[Actividad3]])),"Alimentación",IF(ISNUMBER(SEARCH("educ",PAA_4[[#This Row],[Actividad3]])),"Educativo","Técnico"))),0)</f>
        <v>Técnico</v>
      </c>
      <c r="AI585" s="47" t="e" cm="1">
        <f t="array" aca="1" ref="AI585" ca="1">_xlfn.XLOOKUP(PAA_4[[#This Row],[RCP-RUBRO]],[2]!COMPROMISOS_2024[[#All],[concatenado]],[2]!COMPROMISOS_2024[[#All],[Total pagado]],"",0)</f>
        <v>#NAME?</v>
      </c>
      <c r="AJ585" s="56" t="e">
        <f ca="1">IF(PAA_4[[#This Row],[BOLSA]]=0,0,SUMIFS([2]!COMPROMISOS_2024[[#All],[Total pagado]],[2]!COMPROMISOS_2024[[#All],[Bolsa]],PAA_4[[#This Row],[BOLSA]],[2]!COMPROMISOS_2024[[#All],[rubro]],PAA_4[[#This Row],[RCP-RUBRO]]))</f>
        <v>#REF!</v>
      </c>
      <c r="AK585" s="47" t="e" cm="1">
        <f t="array" aca="1" ref="AK585" ca="1">_xlfn.XLOOKUP(PAA_4[[#This Row],[RCP-RUBRO]],[2]!COMPROMISOS_2024[[#All],[concatenado]],[2]!COMPROMISOS_2024[[#All],[Total Comprometido]],"",0)</f>
        <v>#NAME?</v>
      </c>
      <c r="AL585" s="47" t="e">
        <f ca="1">IF(PAA_4[[#This Row],[BOLSA]]=0,0,SUMIFS([2]!COMPROMISOS_2024[[#All],[Total Comprometido]],[2]!COMPROMISOS_2024[[#All],[Bolsa]],PAA_4[[#This Row],[BOLSA]],[2]!COMPROMISOS_2024[[#All],[concatenado]],PAA_4[[#This Row],[RCP-RUBRO]]))</f>
        <v>#REF!</v>
      </c>
    </row>
    <row r="586" spans="1:38" s="19" customFormat="1" ht="31.5" customHeight="1">
      <c r="A586" s="47">
        <v>200</v>
      </c>
      <c r="B586" s="47">
        <v>80111600</v>
      </c>
      <c r="C586" s="47" t="str">
        <f>VLOOKUP(PAA_4[[#This Row],[PROYECTO (formulado)2]],[2]PROYECTOS!$G$1:$L$32,6,0)</f>
        <v>SUBGERENCIA DE ALTOS LOGROS Y DEPORTE ASOCIADO</v>
      </c>
      <c r="D586" s="47" t="str">
        <f>+IF(PAA_4[[#This Row],[UNIDAD DE CONTRATACION (formulado)]]="Subgerencia Administrativa y Financiera","FUNCIONAMIENTO","INVERSIÓN")</f>
        <v>INVERSIÓN</v>
      </c>
      <c r="E586" s="48" t="str">
        <f>VLOOKUP(Q586,[2]PROYECTOS!$G$1:$K$32,5,0)</f>
        <v>APOYO_TÉCNICO_Y_PSICOSOCIAL_A_LOS_DEPORTISTAS_DE_ANTIOQUIA</v>
      </c>
      <c r="F586" s="48">
        <f>VLOOKUP(E586,[2]PROYECTOS!$K$1:$M$32,3,0)</f>
        <v>2021003050069</v>
      </c>
      <c r="G586" s="49" t="s">
        <v>239</v>
      </c>
      <c r="H586" s="49" t="str">
        <f>VLOOKUP(Q586,[2]PROYECTOS!$V$1:$W$32,2,0)</f>
        <v>050069</v>
      </c>
      <c r="I586" s="50">
        <v>29453616</v>
      </c>
      <c r="J586" s="51" t="s">
        <v>1624</v>
      </c>
      <c r="K586" s="47" t="str">
        <f t="shared" ca="1" si="234"/>
        <v>CONTRATADO</v>
      </c>
      <c r="L586" s="47" t="s">
        <v>94</v>
      </c>
      <c r="M586" s="47" t="s">
        <v>1297</v>
      </c>
      <c r="N586" s="52" t="s">
        <v>240</v>
      </c>
      <c r="O586" s="51" t="e">
        <f>VLOOKUP(N586,[2]!RUBROS[#All],3,0)</f>
        <v>#REF!</v>
      </c>
      <c r="P586" s="53" t="e">
        <f>VLOOKUP(N586,[2]!RUBROS[#All],2,0)</f>
        <v>#REF!</v>
      </c>
      <c r="Q586" s="47" t="str">
        <f t="shared" si="235"/>
        <v>22</v>
      </c>
      <c r="R586" s="47" t="str">
        <f t="shared" si="236"/>
        <v>0-205400</v>
      </c>
      <c r="S586" s="54">
        <v>6</v>
      </c>
      <c r="T586" s="63" t="s">
        <v>46</v>
      </c>
      <c r="U586" s="326" t="e">
        <f ca="1">_xlfn.XLOOKUP(PAA_4[[#This Row],[ITEM]],[2]Contrato!A:A,[2]Contrato!Q:Q,"",0)</f>
        <v>#NAME?</v>
      </c>
      <c r="V586" s="47" t="s">
        <v>47</v>
      </c>
      <c r="W586" s="47" t="s">
        <v>137</v>
      </c>
      <c r="X586" s="47" t="s">
        <v>137</v>
      </c>
      <c r="Y586" s="55" t="e">
        <f ca="1">_xlfn.XLOOKUP(PAA_4[[#This Row],[ITEM]],[2]Contrato!A:A,[2]Contrato!B:B,"",0)</f>
        <v>#NAME?</v>
      </c>
      <c r="Z586" s="47" t="e">
        <f ca="1">_xlfn.XLOOKUP(PAA_4[[#This Row],[ITEM]],[2]Contrato!A:A,[2]Contrato!G:G,"",0)</f>
        <v>#NAME?</v>
      </c>
      <c r="AA586" s="47" t="e">
        <f ca="1">_xlfn.XLOOKUP(PAA_4[[#This Row],[ITEM]],[2]Contrato!A:A,[2]Contrato!T:T,"",0)</f>
        <v>#NAME?</v>
      </c>
      <c r="AB586" s="55" t="e">
        <f ca="1">+MAX(PAA_4[[#This Row],[Comprometido Contrato]],PAA_4[[#This Row],[Comprometido Bolsa]])</f>
        <v>#NAME?</v>
      </c>
      <c r="AC586" s="55" t="str">
        <f t="shared" ca="1" si="237"/>
        <v/>
      </c>
      <c r="AD586" s="55" t="e">
        <f ca="1">IF(PAA_4[[#This Row],[ESTADO (formulado)]]="NO CONTRATADO",0,MAX(PAA_4[[#This Row],[Pago por Contrato]],PAA_4[[#This Row],[Pago por bolsa]]))</f>
        <v>#NAME?</v>
      </c>
      <c r="AE586" s="55" t="str">
        <f t="shared" ca="1" si="238"/>
        <v/>
      </c>
      <c r="AF586" s="47" t="e">
        <f t="shared" ca="1" si="241"/>
        <v>#NAME?</v>
      </c>
      <c r="AG586" s="47">
        <f t="shared" si="240"/>
        <v>41080101</v>
      </c>
      <c r="AH586" s="54" t="str">
        <f>IF(Q586="22",IF(ISNUMBER(SEARCH("econ",PAA_4[[#This Row],[Actividad3]])),"Económico",IF(ISNUMBER(SEARCH("alim",PAA_4[[#This Row],[Actividad3]])),"Alimentación",IF(ISNUMBER(SEARCH("educ",PAA_4[[#This Row],[Actividad3]])),"Educativo","Técnico"))),0)</f>
        <v>Técnico</v>
      </c>
      <c r="AI586" s="47" t="e" cm="1">
        <f t="array" aca="1" ref="AI586" ca="1">_xlfn.XLOOKUP(PAA_4[[#This Row],[RCP-RUBRO]],[2]!COMPROMISOS_2024[[#All],[concatenado]],[2]!COMPROMISOS_2024[[#All],[Total pagado]],"",0)</f>
        <v>#NAME?</v>
      </c>
      <c r="AJ586" s="56" t="e">
        <f ca="1">IF(PAA_4[[#This Row],[BOLSA]]=0,0,SUMIFS([2]!COMPROMISOS_2024[[#All],[Total pagado]],[2]!COMPROMISOS_2024[[#All],[Bolsa]],PAA_4[[#This Row],[BOLSA]],[2]!COMPROMISOS_2024[[#All],[rubro]],PAA_4[[#This Row],[RCP-RUBRO]]))</f>
        <v>#REF!</v>
      </c>
      <c r="AK586" s="47" t="e" cm="1">
        <f t="array" aca="1" ref="AK586" ca="1">_xlfn.XLOOKUP(PAA_4[[#This Row],[RCP-RUBRO]],[2]!COMPROMISOS_2024[[#All],[concatenado]],[2]!COMPROMISOS_2024[[#All],[Total Comprometido]],"",0)</f>
        <v>#NAME?</v>
      </c>
      <c r="AL586" s="47" t="e">
        <f ca="1">IF(PAA_4[[#This Row],[BOLSA]]=0,0,SUMIFS([2]!COMPROMISOS_2024[[#All],[Total Comprometido]],[2]!COMPROMISOS_2024[[#All],[Bolsa]],PAA_4[[#This Row],[BOLSA]],[2]!COMPROMISOS_2024[[#All],[concatenado]],PAA_4[[#This Row],[RCP-RUBRO]]))</f>
        <v>#REF!</v>
      </c>
    </row>
    <row r="587" spans="1:38" s="19" customFormat="1" ht="31.5" customHeight="1">
      <c r="A587" s="47">
        <v>201</v>
      </c>
      <c r="B587" s="47">
        <v>80111600</v>
      </c>
      <c r="C587" s="47" t="str">
        <f>VLOOKUP(PAA_4[[#This Row],[PROYECTO (formulado)2]],[2]PROYECTOS!$G$1:$L$32,6,0)</f>
        <v>SUBGERENCIA DE ALTOS LOGROS Y DEPORTE ASOCIADO</v>
      </c>
      <c r="D587" s="47" t="str">
        <f>+IF(PAA_4[[#This Row],[UNIDAD DE CONTRATACION (formulado)]]="Subgerencia Administrativa y Financiera","FUNCIONAMIENTO","INVERSIÓN")</f>
        <v>INVERSIÓN</v>
      </c>
      <c r="E587" s="48" t="str">
        <f>VLOOKUP(Q587,[2]PROYECTOS!$G$1:$K$32,5,0)</f>
        <v>APOYO_TÉCNICO_Y_PSICOSOCIAL_A_LOS_DEPORTISTAS_DE_ANTIOQUIA</v>
      </c>
      <c r="F587" s="48">
        <f>VLOOKUP(E587,[2]PROYECTOS!$K$1:$M$32,3,0)</f>
        <v>2021003050069</v>
      </c>
      <c r="G587" s="49" t="s">
        <v>241</v>
      </c>
      <c r="H587" s="49" t="str">
        <f>VLOOKUP(Q587,[2]PROYECTOS!$V$1:$W$32,2,0)</f>
        <v>050069</v>
      </c>
      <c r="I587" s="50">
        <v>23714292</v>
      </c>
      <c r="J587" s="51" t="s">
        <v>1625</v>
      </c>
      <c r="K587" s="47" t="str">
        <f t="shared" ca="1" si="234"/>
        <v>CONTRATADO</v>
      </c>
      <c r="L587" s="47" t="s">
        <v>94</v>
      </c>
      <c r="M587" s="47" t="s">
        <v>1297</v>
      </c>
      <c r="N587" s="52" t="s">
        <v>240</v>
      </c>
      <c r="O587" s="51" t="e">
        <f>VLOOKUP(N587,[2]!RUBROS[#All],3,0)</f>
        <v>#REF!</v>
      </c>
      <c r="P587" s="53" t="e">
        <f>VLOOKUP(N587,[2]!RUBROS[#All],2,0)</f>
        <v>#REF!</v>
      </c>
      <c r="Q587" s="47" t="str">
        <f t="shared" si="235"/>
        <v>22</v>
      </c>
      <c r="R587" s="47" t="str">
        <f t="shared" si="236"/>
        <v>0-205400</v>
      </c>
      <c r="S587" s="54">
        <v>6</v>
      </c>
      <c r="T587" s="63" t="s">
        <v>46</v>
      </c>
      <c r="U587" s="326" t="e">
        <f ca="1">_xlfn.XLOOKUP(PAA_4[[#This Row],[ITEM]],[2]Contrato!A:A,[2]Contrato!Q:Q,"",0)</f>
        <v>#NAME?</v>
      </c>
      <c r="V587" s="47" t="s">
        <v>47</v>
      </c>
      <c r="W587" s="47" t="s">
        <v>137</v>
      </c>
      <c r="X587" s="47" t="s">
        <v>137</v>
      </c>
      <c r="Y587" s="55" t="e">
        <f ca="1">_xlfn.XLOOKUP(PAA_4[[#This Row],[ITEM]],[2]Contrato!A:A,[2]Contrato!B:B,"",0)</f>
        <v>#NAME?</v>
      </c>
      <c r="Z587" s="47" t="e">
        <f ca="1">_xlfn.XLOOKUP(PAA_4[[#This Row],[ITEM]],[2]Contrato!A:A,[2]Contrato!G:G,"",0)</f>
        <v>#NAME?</v>
      </c>
      <c r="AA587" s="47" t="e">
        <f ca="1">_xlfn.XLOOKUP(PAA_4[[#This Row],[ITEM]],[2]Contrato!A:A,[2]Contrato!T:T,"",0)</f>
        <v>#NAME?</v>
      </c>
      <c r="AB587" s="55" t="e">
        <f ca="1">+MAX(PAA_4[[#This Row],[Comprometido Contrato]],PAA_4[[#This Row],[Comprometido Bolsa]])</f>
        <v>#NAME?</v>
      </c>
      <c r="AC587" s="55" t="str">
        <f t="shared" ca="1" si="237"/>
        <v/>
      </c>
      <c r="AD587" s="55" t="e">
        <f ca="1">IF(PAA_4[[#This Row],[ESTADO (formulado)]]="NO CONTRATADO",0,MAX(PAA_4[[#This Row],[Pago por Contrato]],PAA_4[[#This Row],[Pago por bolsa]]))</f>
        <v>#NAME?</v>
      </c>
      <c r="AE587" s="55" t="str">
        <f t="shared" ca="1" si="238"/>
        <v/>
      </c>
      <c r="AF587" s="47" t="e">
        <f t="shared" ca="1" si="241"/>
        <v>#NAME?</v>
      </c>
      <c r="AG587" s="47">
        <f t="shared" si="240"/>
        <v>41080106</v>
      </c>
      <c r="AH587" s="54" t="str">
        <f>IF(Q587="22",IF(ISNUMBER(SEARCH("econ",PAA_4[[#This Row],[Actividad3]])),"Económico",IF(ISNUMBER(SEARCH("alim",PAA_4[[#This Row],[Actividad3]])),"Alimentación",IF(ISNUMBER(SEARCH("educ",PAA_4[[#This Row],[Actividad3]])),"Educativo","Técnico"))),0)</f>
        <v>Técnico</v>
      </c>
      <c r="AI587" s="47" t="e" cm="1">
        <f t="array" aca="1" ref="AI587" ca="1">_xlfn.XLOOKUP(PAA_4[[#This Row],[RCP-RUBRO]],[2]!COMPROMISOS_2024[[#All],[concatenado]],[2]!COMPROMISOS_2024[[#All],[Total pagado]],"",0)</f>
        <v>#NAME?</v>
      </c>
      <c r="AJ587" s="56" t="e">
        <f ca="1">IF(PAA_4[[#This Row],[BOLSA]]=0,0,SUMIFS([2]!COMPROMISOS_2024[[#All],[Total pagado]],[2]!COMPROMISOS_2024[[#All],[Bolsa]],PAA_4[[#This Row],[BOLSA]],[2]!COMPROMISOS_2024[[#All],[rubro]],PAA_4[[#This Row],[RCP-RUBRO]]))</f>
        <v>#REF!</v>
      </c>
      <c r="AK587" s="47" t="e" cm="1">
        <f t="array" aca="1" ref="AK587" ca="1">_xlfn.XLOOKUP(PAA_4[[#This Row],[RCP-RUBRO]],[2]!COMPROMISOS_2024[[#All],[concatenado]],[2]!COMPROMISOS_2024[[#All],[Total Comprometido]],"",0)</f>
        <v>#NAME?</v>
      </c>
      <c r="AL587" s="47" t="e">
        <f ca="1">IF(PAA_4[[#This Row],[BOLSA]]=0,0,SUMIFS([2]!COMPROMISOS_2024[[#All],[Total Comprometido]],[2]!COMPROMISOS_2024[[#All],[Bolsa]],PAA_4[[#This Row],[BOLSA]],[2]!COMPROMISOS_2024[[#All],[concatenado]],PAA_4[[#This Row],[RCP-RUBRO]]))</f>
        <v>#REF!</v>
      </c>
    </row>
    <row r="588" spans="1:38" s="19" customFormat="1" ht="31.5" customHeight="1">
      <c r="A588" s="47" t="s">
        <v>82</v>
      </c>
      <c r="B588" s="47">
        <v>80111600</v>
      </c>
      <c r="C588" s="47" t="str">
        <f>VLOOKUP(PAA_4[[#This Row],[PROYECTO (formulado)2]],[2]PROYECTOS!$G$1:$L$32,6,0)</f>
        <v>SUBGERENCIA DE ALTOS LOGROS Y DEPORTE ASOCIADO</v>
      </c>
      <c r="D588" s="47" t="str">
        <f>+IF(PAA_4[[#This Row],[UNIDAD DE CONTRATACION (formulado)]]="Subgerencia Administrativa y Financiera","FUNCIONAMIENTO","INVERSIÓN")</f>
        <v>INVERSIÓN</v>
      </c>
      <c r="E588" s="48" t="str">
        <f>VLOOKUP(Q588,[2]PROYECTOS!$G$1:$K$32,5,0)</f>
        <v>APOYO_TÉCNICO_Y_PSICOSOCIAL_A_LOS_DEPORTISTAS_DE_ANTIOQUIA</v>
      </c>
      <c r="F588" s="48">
        <f>VLOOKUP(E588,[2]PROYECTOS!$K$1:$M$32,3,0)</f>
        <v>2021003050069</v>
      </c>
      <c r="G588" s="49" t="s">
        <v>239</v>
      </c>
      <c r="H588" s="49" t="str">
        <f>VLOOKUP(Q588,[2]PROYECTOS!$V$1:$W$32,2,0)</f>
        <v>050069</v>
      </c>
      <c r="I588" s="50">
        <v>0</v>
      </c>
      <c r="J588" s="51" t="s">
        <v>42</v>
      </c>
      <c r="K588" s="47" t="str">
        <f t="shared" ca="1" si="234"/>
        <v>CONTRATADO</v>
      </c>
      <c r="L588" s="47" t="s">
        <v>94</v>
      </c>
      <c r="M588" s="47" t="s">
        <v>1297</v>
      </c>
      <c r="N588" s="52" t="s">
        <v>240</v>
      </c>
      <c r="O588" s="51" t="e">
        <f>VLOOKUP(N588,[2]!RUBROS[#All],3,0)</f>
        <v>#REF!</v>
      </c>
      <c r="P588" s="53" t="e">
        <f>VLOOKUP(N588,[2]!RUBROS[#All],2,0)</f>
        <v>#REF!</v>
      </c>
      <c r="Q588" s="47" t="str">
        <f t="shared" si="235"/>
        <v>22</v>
      </c>
      <c r="R588" s="47" t="str">
        <f t="shared" si="236"/>
        <v>0-205400</v>
      </c>
      <c r="S588" s="54" t="s">
        <v>42</v>
      </c>
      <c r="T588" s="63" t="s">
        <v>42</v>
      </c>
      <c r="U588" s="326" t="e">
        <f ca="1">_xlfn.XLOOKUP(PAA_4[[#This Row],[ITEM]],[2]Contrato!A:A,[2]Contrato!Q:Q,"",0)</f>
        <v>#NAME?</v>
      </c>
      <c r="V588" s="47" t="s">
        <v>47</v>
      </c>
      <c r="W588" s="47" t="s">
        <v>42</v>
      </c>
      <c r="X588" s="47" t="s">
        <v>42</v>
      </c>
      <c r="Y588" s="55" t="e">
        <f ca="1">_xlfn.XLOOKUP(PAA_4[[#This Row],[ITEM]],[2]Contrato!A:A,[2]Contrato!B:B,"",0)</f>
        <v>#NAME?</v>
      </c>
      <c r="Z588" s="47" t="e">
        <f ca="1">_xlfn.XLOOKUP(PAA_4[[#This Row],[ITEM]],[2]Contrato!A:A,[2]Contrato!G:G,"",0)</f>
        <v>#NAME?</v>
      </c>
      <c r="AA588" s="47" t="e">
        <f ca="1">_xlfn.XLOOKUP(PAA_4[[#This Row],[ITEM]],[2]Contrato!A:A,[2]Contrato!T:T,"",0)</f>
        <v>#NAME?</v>
      </c>
      <c r="AB588" s="55" t="e">
        <f ca="1">+MAX(PAA_4[[#This Row],[Comprometido Contrato]],PAA_4[[#This Row],[Comprometido Bolsa]])</f>
        <v>#NAME?</v>
      </c>
      <c r="AC588" s="55" t="str">
        <f t="shared" ca="1" si="237"/>
        <v/>
      </c>
      <c r="AD588" s="55" t="e">
        <f ca="1">IF(PAA_4[[#This Row],[ESTADO (formulado)]]="NO CONTRATADO",0,MAX(PAA_4[[#This Row],[Pago por Contrato]],PAA_4[[#This Row],[Pago por bolsa]]))</f>
        <v>#NAME?</v>
      </c>
      <c r="AE588" s="55" t="str">
        <f t="shared" ca="1" si="238"/>
        <v/>
      </c>
      <c r="AF588" s="47" t="e">
        <f t="shared" ca="1" si="241"/>
        <v>#NAME?</v>
      </c>
      <c r="AG588" s="47">
        <f t="shared" si="240"/>
        <v>41080101</v>
      </c>
      <c r="AH588" s="54" t="str">
        <f>IF(Q588="22",IF(ISNUMBER(SEARCH("econ",PAA_4[[#This Row],[Actividad3]])),"Económico",IF(ISNUMBER(SEARCH("alim",PAA_4[[#This Row],[Actividad3]])),"Alimentación",IF(ISNUMBER(SEARCH("educ",PAA_4[[#This Row],[Actividad3]])),"Educativo","Técnico"))),0)</f>
        <v>Técnico</v>
      </c>
      <c r="AI588" s="47" t="e" cm="1">
        <f t="array" aca="1" ref="AI588" ca="1">_xlfn.XLOOKUP(PAA_4[[#This Row],[RCP-RUBRO]],[2]!COMPROMISOS_2024[[#All],[concatenado]],[2]!COMPROMISOS_2024[[#All],[Total pagado]],"",0)</f>
        <v>#NAME?</v>
      </c>
      <c r="AJ588" s="56" t="e">
        <f ca="1">IF(PAA_4[[#This Row],[BOLSA]]=0,0,SUMIFS([2]!COMPROMISOS_2024[[#All],[Total pagado]],[2]!COMPROMISOS_2024[[#All],[Bolsa]],PAA_4[[#This Row],[BOLSA]],[2]!COMPROMISOS_2024[[#All],[rubro]],PAA_4[[#This Row],[RCP-RUBRO]]))</f>
        <v>#REF!</v>
      </c>
      <c r="AK588" s="47" t="e" cm="1">
        <f t="array" aca="1" ref="AK588" ca="1">_xlfn.XLOOKUP(PAA_4[[#This Row],[RCP-RUBRO]],[2]!COMPROMISOS_2024[[#All],[concatenado]],[2]!COMPROMISOS_2024[[#All],[Total Comprometido]],"",0)</f>
        <v>#NAME?</v>
      </c>
      <c r="AL588" s="47" t="e">
        <f ca="1">IF(PAA_4[[#This Row],[BOLSA]]=0,0,SUMIFS([2]!COMPROMISOS_2024[[#All],[Total Comprometido]],[2]!COMPROMISOS_2024[[#All],[Bolsa]],PAA_4[[#This Row],[BOLSA]],[2]!COMPROMISOS_2024[[#All],[concatenado]],PAA_4[[#This Row],[RCP-RUBRO]]))</f>
        <v>#REF!</v>
      </c>
    </row>
    <row r="589" spans="1:38" s="19" customFormat="1" ht="31.5" customHeight="1">
      <c r="A589" s="47">
        <v>202</v>
      </c>
      <c r="B589" s="47">
        <v>80111600</v>
      </c>
      <c r="C589" s="47" t="str">
        <f>VLOOKUP(PAA_4[[#This Row],[PROYECTO (formulado)2]],[2]PROYECTOS!$G$1:$L$32,6,0)</f>
        <v>SUBGERENCIA DE ALTOS LOGROS Y DEPORTE ASOCIADO</v>
      </c>
      <c r="D589" s="47" t="str">
        <f>+IF(PAA_4[[#This Row],[UNIDAD DE CONTRATACION (formulado)]]="Subgerencia Administrativa y Financiera","FUNCIONAMIENTO","INVERSIÓN")</f>
        <v>INVERSIÓN</v>
      </c>
      <c r="E589" s="48" t="str">
        <f>VLOOKUP(Q589,[2]PROYECTOS!$G$1:$K$32,5,0)</f>
        <v>APOYO_TÉCNICO_Y_PSICOSOCIAL_A_LOS_DEPORTISTAS_DE_ANTIOQUIA</v>
      </c>
      <c r="F589" s="48">
        <f>VLOOKUP(E589,[2]PROYECTOS!$K$1:$M$32,3,0)</f>
        <v>2021003050069</v>
      </c>
      <c r="G589" s="49" t="s">
        <v>239</v>
      </c>
      <c r="H589" s="49" t="str">
        <f>VLOOKUP(Q589,[2]PROYECTOS!$V$1:$W$32,2,0)</f>
        <v>050069</v>
      </c>
      <c r="I589" s="50">
        <v>18453785</v>
      </c>
      <c r="J589" s="51" t="s">
        <v>1626</v>
      </c>
      <c r="K589" s="47" t="str">
        <f t="shared" ca="1" si="234"/>
        <v>CONTRATADO</v>
      </c>
      <c r="L589" s="47" t="s">
        <v>94</v>
      </c>
      <c r="M589" s="47" t="s">
        <v>1297</v>
      </c>
      <c r="N589" s="52" t="s">
        <v>240</v>
      </c>
      <c r="O589" s="51" t="e">
        <f>VLOOKUP(N589,[2]!RUBROS[#All],3,0)</f>
        <v>#REF!</v>
      </c>
      <c r="P589" s="53" t="e">
        <f>VLOOKUP(N589,[2]!RUBROS[#All],2,0)</f>
        <v>#REF!</v>
      </c>
      <c r="Q589" s="47" t="str">
        <f t="shared" si="235"/>
        <v>22</v>
      </c>
      <c r="R589" s="47" t="str">
        <f t="shared" si="236"/>
        <v>0-205400</v>
      </c>
      <c r="S589" s="54">
        <v>6</v>
      </c>
      <c r="T589" s="63" t="s">
        <v>46</v>
      </c>
      <c r="U589" s="326" t="e">
        <f ca="1">_xlfn.XLOOKUP(PAA_4[[#This Row],[ITEM]],[2]Contrato!A:A,[2]Contrato!Q:Q,"",0)</f>
        <v>#NAME?</v>
      </c>
      <c r="V589" s="47" t="s">
        <v>47</v>
      </c>
      <c r="W589" s="47" t="s">
        <v>137</v>
      </c>
      <c r="X589" s="47" t="s">
        <v>137</v>
      </c>
      <c r="Y589" s="55" t="e">
        <f ca="1">_xlfn.XLOOKUP(PAA_4[[#This Row],[ITEM]],[2]Contrato!A:A,[2]Contrato!B:B,"",0)</f>
        <v>#NAME?</v>
      </c>
      <c r="Z589" s="47" t="e">
        <f ca="1">_xlfn.XLOOKUP(PAA_4[[#This Row],[ITEM]],[2]Contrato!A:A,[2]Contrato!G:G,"",0)</f>
        <v>#NAME?</v>
      </c>
      <c r="AA589" s="47" t="e">
        <f ca="1">_xlfn.XLOOKUP(PAA_4[[#This Row],[ITEM]],[2]Contrato!A:A,[2]Contrato!T:T,"",0)</f>
        <v>#NAME?</v>
      </c>
      <c r="AB589" s="55" t="e">
        <f ca="1">+MAX(PAA_4[[#This Row],[Comprometido Contrato]],PAA_4[[#This Row],[Comprometido Bolsa]])</f>
        <v>#NAME?</v>
      </c>
      <c r="AC589" s="55" t="str">
        <f t="shared" ca="1" si="237"/>
        <v/>
      </c>
      <c r="AD589" s="55" t="e">
        <f ca="1">IF(PAA_4[[#This Row],[ESTADO (formulado)]]="NO CONTRATADO",0,MAX(PAA_4[[#This Row],[Pago por Contrato]],PAA_4[[#This Row],[Pago por bolsa]]))</f>
        <v>#NAME?</v>
      </c>
      <c r="AE589" s="55" t="str">
        <f t="shared" ca="1" si="238"/>
        <v/>
      </c>
      <c r="AF589" s="47" t="e">
        <f t="shared" ca="1" si="241"/>
        <v>#NAME?</v>
      </c>
      <c r="AG589" s="47">
        <f t="shared" si="240"/>
        <v>41080101</v>
      </c>
      <c r="AH589" s="54" t="str">
        <f>IF(Q589="22",IF(ISNUMBER(SEARCH("econ",PAA_4[[#This Row],[Actividad3]])),"Económico",IF(ISNUMBER(SEARCH("alim",PAA_4[[#This Row],[Actividad3]])),"Alimentación",IF(ISNUMBER(SEARCH("educ",PAA_4[[#This Row],[Actividad3]])),"Educativo","Técnico"))),0)</f>
        <v>Técnico</v>
      </c>
      <c r="AI589" s="47" t="e" cm="1">
        <f t="array" aca="1" ref="AI589" ca="1">_xlfn.XLOOKUP(PAA_4[[#This Row],[RCP-RUBRO]],[2]!COMPROMISOS_2024[[#All],[concatenado]],[2]!COMPROMISOS_2024[[#All],[Total pagado]],"",0)</f>
        <v>#NAME?</v>
      </c>
      <c r="AJ589" s="56" t="e">
        <f ca="1">IF(PAA_4[[#This Row],[BOLSA]]=0,0,SUMIFS([2]!COMPROMISOS_2024[[#All],[Total pagado]],[2]!COMPROMISOS_2024[[#All],[Bolsa]],PAA_4[[#This Row],[BOLSA]],[2]!COMPROMISOS_2024[[#All],[rubro]],PAA_4[[#This Row],[RCP-RUBRO]]))</f>
        <v>#REF!</v>
      </c>
      <c r="AK589" s="47" t="e" cm="1">
        <f t="array" aca="1" ref="AK589" ca="1">_xlfn.XLOOKUP(PAA_4[[#This Row],[RCP-RUBRO]],[2]!COMPROMISOS_2024[[#All],[concatenado]],[2]!COMPROMISOS_2024[[#All],[Total Comprometido]],"",0)</f>
        <v>#NAME?</v>
      </c>
      <c r="AL589" s="47" t="e">
        <f ca="1">IF(PAA_4[[#This Row],[BOLSA]]=0,0,SUMIFS([2]!COMPROMISOS_2024[[#All],[Total Comprometido]],[2]!COMPROMISOS_2024[[#All],[Bolsa]],PAA_4[[#This Row],[BOLSA]],[2]!COMPROMISOS_2024[[#All],[concatenado]],PAA_4[[#This Row],[RCP-RUBRO]]))</f>
        <v>#REF!</v>
      </c>
    </row>
    <row r="590" spans="1:38" s="19" customFormat="1" ht="31.5" customHeight="1">
      <c r="A590" s="47">
        <v>203</v>
      </c>
      <c r="B590" s="47">
        <v>80111600</v>
      </c>
      <c r="C590" s="47" t="str">
        <f>VLOOKUP(PAA_4[[#This Row],[PROYECTO (formulado)2]],[2]PROYECTOS!$G$1:$L$32,6,0)</f>
        <v>SUBGERENCIA DE ALTOS LOGROS Y DEPORTE ASOCIADO</v>
      </c>
      <c r="D590" s="47" t="str">
        <f>+IF(PAA_4[[#This Row],[UNIDAD DE CONTRATACION (formulado)]]="Subgerencia Administrativa y Financiera","FUNCIONAMIENTO","INVERSIÓN")</f>
        <v>INVERSIÓN</v>
      </c>
      <c r="E590" s="48" t="str">
        <f>VLOOKUP(Q590,[2]PROYECTOS!$G$1:$K$32,5,0)</f>
        <v>APOYO_TÉCNICO_Y_PSICOSOCIAL_A_LOS_DEPORTISTAS_DE_ANTIOQUIA</v>
      </c>
      <c r="F590" s="48">
        <f>VLOOKUP(E590,[2]PROYECTOS!$K$1:$M$32,3,0)</f>
        <v>2021003050069</v>
      </c>
      <c r="G590" s="49" t="s">
        <v>239</v>
      </c>
      <c r="H590" s="49" t="str">
        <f>VLOOKUP(Q590,[2]PROYECTOS!$V$1:$W$32,2,0)</f>
        <v>050069</v>
      </c>
      <c r="I590" s="50">
        <v>15449052</v>
      </c>
      <c r="J590" s="51" t="s">
        <v>1627</v>
      </c>
      <c r="K590" s="47" t="str">
        <f t="shared" ca="1" si="234"/>
        <v>CONTRATADO</v>
      </c>
      <c r="L590" s="47" t="s">
        <v>94</v>
      </c>
      <c r="M590" s="47" t="s">
        <v>1297</v>
      </c>
      <c r="N590" s="52" t="s">
        <v>240</v>
      </c>
      <c r="O590" s="51" t="e">
        <f>VLOOKUP(N590,[2]!RUBROS[#All],3,0)</f>
        <v>#REF!</v>
      </c>
      <c r="P590" s="53" t="e">
        <f>VLOOKUP(N590,[2]!RUBROS[#All],2,0)</f>
        <v>#REF!</v>
      </c>
      <c r="Q590" s="47" t="str">
        <f t="shared" si="235"/>
        <v>22</v>
      </c>
      <c r="R590" s="47" t="str">
        <f t="shared" si="236"/>
        <v>0-205400</v>
      </c>
      <c r="S590" s="54">
        <v>6</v>
      </c>
      <c r="T590" s="63" t="s">
        <v>46</v>
      </c>
      <c r="U590" s="326" t="e">
        <f ca="1">_xlfn.XLOOKUP(PAA_4[[#This Row],[ITEM]],[2]Contrato!A:A,[2]Contrato!Q:Q,"",0)</f>
        <v>#NAME?</v>
      </c>
      <c r="V590" s="47" t="s">
        <v>47</v>
      </c>
      <c r="W590" s="47" t="s">
        <v>137</v>
      </c>
      <c r="X590" s="47" t="s">
        <v>137</v>
      </c>
      <c r="Y590" s="55" t="e">
        <f ca="1">_xlfn.XLOOKUP(PAA_4[[#This Row],[ITEM]],[2]Contrato!A:A,[2]Contrato!B:B,"",0)</f>
        <v>#NAME?</v>
      </c>
      <c r="Z590" s="47" t="e">
        <f ca="1">_xlfn.XLOOKUP(PAA_4[[#This Row],[ITEM]],[2]Contrato!A:A,[2]Contrato!G:G,"",0)</f>
        <v>#NAME?</v>
      </c>
      <c r="AA590" s="47" t="e">
        <f ca="1">_xlfn.XLOOKUP(PAA_4[[#This Row],[ITEM]],[2]Contrato!A:A,[2]Contrato!T:T,"",0)</f>
        <v>#NAME?</v>
      </c>
      <c r="AB590" s="55" t="e">
        <f ca="1">+MAX(PAA_4[[#This Row],[Comprometido Contrato]],PAA_4[[#This Row],[Comprometido Bolsa]])</f>
        <v>#NAME?</v>
      </c>
      <c r="AC590" s="55" t="str">
        <f t="shared" ca="1" si="237"/>
        <v/>
      </c>
      <c r="AD590" s="55" t="e">
        <f ca="1">IF(PAA_4[[#This Row],[ESTADO (formulado)]]="NO CONTRATADO",0,MAX(PAA_4[[#This Row],[Pago por Contrato]],PAA_4[[#This Row],[Pago por bolsa]]))</f>
        <v>#NAME?</v>
      </c>
      <c r="AE590" s="55" t="str">
        <f t="shared" ca="1" si="238"/>
        <v/>
      </c>
      <c r="AF590" s="47" t="e">
        <f t="shared" ca="1" si="241"/>
        <v>#NAME?</v>
      </c>
      <c r="AG590" s="47">
        <f t="shared" si="240"/>
        <v>41080101</v>
      </c>
      <c r="AH590" s="54" t="str">
        <f>IF(Q590="22",IF(ISNUMBER(SEARCH("econ",PAA_4[[#This Row],[Actividad3]])),"Económico",IF(ISNUMBER(SEARCH("alim",PAA_4[[#This Row],[Actividad3]])),"Alimentación",IF(ISNUMBER(SEARCH("educ",PAA_4[[#This Row],[Actividad3]])),"Educativo","Técnico"))),0)</f>
        <v>Técnico</v>
      </c>
      <c r="AI590" s="47" t="e" cm="1">
        <f t="array" aca="1" ref="AI590" ca="1">_xlfn.XLOOKUP(PAA_4[[#This Row],[RCP-RUBRO]],[2]!COMPROMISOS_2024[[#All],[concatenado]],[2]!COMPROMISOS_2024[[#All],[Total pagado]],"",0)</f>
        <v>#NAME?</v>
      </c>
      <c r="AJ590" s="56" t="e">
        <f ca="1">IF(PAA_4[[#This Row],[BOLSA]]=0,0,SUMIFS([2]!COMPROMISOS_2024[[#All],[Total pagado]],[2]!COMPROMISOS_2024[[#All],[Bolsa]],PAA_4[[#This Row],[BOLSA]],[2]!COMPROMISOS_2024[[#All],[rubro]],PAA_4[[#This Row],[RCP-RUBRO]]))</f>
        <v>#REF!</v>
      </c>
      <c r="AK590" s="47" t="e" cm="1">
        <f t="array" aca="1" ref="AK590" ca="1">_xlfn.XLOOKUP(PAA_4[[#This Row],[RCP-RUBRO]],[2]!COMPROMISOS_2024[[#All],[concatenado]],[2]!COMPROMISOS_2024[[#All],[Total Comprometido]],"",0)</f>
        <v>#NAME?</v>
      </c>
      <c r="AL590" s="47" t="e">
        <f ca="1">IF(PAA_4[[#This Row],[BOLSA]]=0,0,SUMIFS([2]!COMPROMISOS_2024[[#All],[Total Comprometido]],[2]!COMPROMISOS_2024[[#All],[Bolsa]],PAA_4[[#This Row],[BOLSA]],[2]!COMPROMISOS_2024[[#All],[concatenado]],PAA_4[[#This Row],[RCP-RUBRO]]))</f>
        <v>#REF!</v>
      </c>
    </row>
    <row r="591" spans="1:38" s="19" customFormat="1" ht="31.5" customHeight="1">
      <c r="A591" s="47">
        <v>204</v>
      </c>
      <c r="B591" s="47">
        <v>80111600</v>
      </c>
      <c r="C591" s="47" t="str">
        <f>VLOOKUP(PAA_4[[#This Row],[PROYECTO (formulado)2]],[2]PROYECTOS!$G$1:$L$32,6,0)</f>
        <v>SUBGERENCIA DE ALTOS LOGROS Y DEPORTE ASOCIADO</v>
      </c>
      <c r="D591" s="47" t="str">
        <f>+IF(PAA_4[[#This Row],[UNIDAD DE CONTRATACION (formulado)]]="Subgerencia Administrativa y Financiera","FUNCIONAMIENTO","INVERSIÓN")</f>
        <v>INVERSIÓN</v>
      </c>
      <c r="E591" s="48" t="str">
        <f>VLOOKUP(Q591,[2]PROYECTOS!$G$1:$K$32,5,0)</f>
        <v>APOYO_TÉCNICO_Y_PSICOSOCIAL_A_LOS_DEPORTISTAS_DE_ANTIOQUIA</v>
      </c>
      <c r="F591" s="48">
        <f>VLOOKUP(E591,[2]PROYECTOS!$K$1:$M$32,3,0)</f>
        <v>2021003050069</v>
      </c>
      <c r="G591" s="49" t="s">
        <v>239</v>
      </c>
      <c r="H591" s="49" t="str">
        <f>VLOOKUP(Q591,[2]PROYECTOS!$V$1:$W$32,2,0)</f>
        <v>050069</v>
      </c>
      <c r="I591" s="50">
        <v>15449052</v>
      </c>
      <c r="J591" s="51" t="s">
        <v>1628</v>
      </c>
      <c r="K591" s="47" t="str">
        <f t="shared" ca="1" si="234"/>
        <v>CONTRATADO</v>
      </c>
      <c r="L591" s="47" t="s">
        <v>94</v>
      </c>
      <c r="M591" s="47" t="s">
        <v>1297</v>
      </c>
      <c r="N591" s="52" t="s">
        <v>240</v>
      </c>
      <c r="O591" s="51" t="e">
        <f>VLOOKUP(N591,[2]!RUBROS[#All],3,0)</f>
        <v>#REF!</v>
      </c>
      <c r="P591" s="53" t="e">
        <f>VLOOKUP(N591,[2]!RUBROS[#All],2,0)</f>
        <v>#REF!</v>
      </c>
      <c r="Q591" s="47" t="str">
        <f t="shared" si="235"/>
        <v>22</v>
      </c>
      <c r="R591" s="47" t="str">
        <f t="shared" si="236"/>
        <v>0-205400</v>
      </c>
      <c r="S591" s="54">
        <v>6</v>
      </c>
      <c r="T591" s="63" t="s">
        <v>46</v>
      </c>
      <c r="U591" s="326" t="e">
        <f ca="1">_xlfn.XLOOKUP(PAA_4[[#This Row],[ITEM]],[2]Contrato!A:A,[2]Contrato!Q:Q,"",0)</f>
        <v>#NAME?</v>
      </c>
      <c r="V591" s="47" t="s">
        <v>47</v>
      </c>
      <c r="W591" s="47" t="s">
        <v>137</v>
      </c>
      <c r="X591" s="47" t="s">
        <v>137</v>
      </c>
      <c r="Y591" s="55" t="e">
        <f ca="1">_xlfn.XLOOKUP(PAA_4[[#This Row],[ITEM]],[2]Contrato!A:A,[2]Contrato!B:B,"",0)</f>
        <v>#NAME?</v>
      </c>
      <c r="Z591" s="47" t="e">
        <f ca="1">_xlfn.XLOOKUP(PAA_4[[#This Row],[ITEM]],[2]Contrato!A:A,[2]Contrato!G:G,"",0)</f>
        <v>#NAME?</v>
      </c>
      <c r="AA591" s="47" t="e">
        <f ca="1">_xlfn.XLOOKUP(PAA_4[[#This Row],[ITEM]],[2]Contrato!A:A,[2]Contrato!T:T,"",0)</f>
        <v>#NAME?</v>
      </c>
      <c r="AB591" s="55" t="e">
        <f ca="1">+MAX(PAA_4[[#This Row],[Comprometido Contrato]],PAA_4[[#This Row],[Comprometido Bolsa]])</f>
        <v>#NAME?</v>
      </c>
      <c r="AC591" s="55" t="str">
        <f t="shared" ca="1" si="237"/>
        <v/>
      </c>
      <c r="AD591" s="55" t="e">
        <f ca="1">IF(PAA_4[[#This Row],[ESTADO (formulado)]]="NO CONTRATADO",0,MAX(PAA_4[[#This Row],[Pago por Contrato]],PAA_4[[#This Row],[Pago por bolsa]]))</f>
        <v>#NAME?</v>
      </c>
      <c r="AE591" s="55" t="str">
        <f t="shared" ca="1" si="238"/>
        <v/>
      </c>
      <c r="AF591" s="47" t="e">
        <f t="shared" ca="1" si="241"/>
        <v>#NAME?</v>
      </c>
      <c r="AG591" s="47">
        <f t="shared" si="240"/>
        <v>41080101</v>
      </c>
      <c r="AH591" s="54" t="str">
        <f>IF(Q591="22",IF(ISNUMBER(SEARCH("econ",PAA_4[[#This Row],[Actividad3]])),"Económico",IF(ISNUMBER(SEARCH("alim",PAA_4[[#This Row],[Actividad3]])),"Alimentación",IF(ISNUMBER(SEARCH("educ",PAA_4[[#This Row],[Actividad3]])),"Educativo","Técnico"))),0)</f>
        <v>Técnico</v>
      </c>
      <c r="AI591" s="47" t="e" cm="1">
        <f t="array" aca="1" ref="AI591" ca="1">_xlfn.XLOOKUP(PAA_4[[#This Row],[RCP-RUBRO]],[2]!COMPROMISOS_2024[[#All],[concatenado]],[2]!COMPROMISOS_2024[[#All],[Total pagado]],"",0)</f>
        <v>#NAME?</v>
      </c>
      <c r="AJ591" s="56" t="e">
        <f ca="1">IF(PAA_4[[#This Row],[BOLSA]]=0,0,SUMIFS([2]!COMPROMISOS_2024[[#All],[Total pagado]],[2]!COMPROMISOS_2024[[#All],[Bolsa]],PAA_4[[#This Row],[BOLSA]],[2]!COMPROMISOS_2024[[#All],[rubro]],PAA_4[[#This Row],[RCP-RUBRO]]))</f>
        <v>#REF!</v>
      </c>
      <c r="AK591" s="47" t="e" cm="1">
        <f t="array" aca="1" ref="AK591" ca="1">_xlfn.XLOOKUP(PAA_4[[#This Row],[RCP-RUBRO]],[2]!COMPROMISOS_2024[[#All],[concatenado]],[2]!COMPROMISOS_2024[[#All],[Total Comprometido]],"",0)</f>
        <v>#NAME?</v>
      </c>
      <c r="AL591" s="47" t="e">
        <f ca="1">IF(PAA_4[[#This Row],[BOLSA]]=0,0,SUMIFS([2]!COMPROMISOS_2024[[#All],[Total Comprometido]],[2]!COMPROMISOS_2024[[#All],[Bolsa]],PAA_4[[#This Row],[BOLSA]],[2]!COMPROMISOS_2024[[#All],[concatenado]],PAA_4[[#This Row],[RCP-RUBRO]]))</f>
        <v>#REF!</v>
      </c>
    </row>
    <row r="592" spans="1:38" s="19" customFormat="1" ht="31.5" customHeight="1">
      <c r="A592" s="47">
        <v>205</v>
      </c>
      <c r="B592" s="47">
        <v>80111600</v>
      </c>
      <c r="C592" s="47" t="str">
        <f>VLOOKUP(PAA_4[[#This Row],[PROYECTO (formulado)2]],[2]PROYECTOS!$G$1:$L$32,6,0)</f>
        <v>SUBGERENCIA DE ALTOS LOGROS Y DEPORTE ASOCIADO</v>
      </c>
      <c r="D592" s="47" t="str">
        <f>+IF(PAA_4[[#This Row],[UNIDAD DE CONTRATACION (formulado)]]="Subgerencia Administrativa y Financiera","FUNCIONAMIENTO","INVERSIÓN")</f>
        <v>INVERSIÓN</v>
      </c>
      <c r="E592" s="48" t="str">
        <f>VLOOKUP(Q592,[2]PROYECTOS!$G$1:$K$32,5,0)</f>
        <v>APOYO_TÉCNICO_Y_PSICOSOCIAL_A_LOS_DEPORTISTAS_DE_ANTIOQUIA</v>
      </c>
      <c r="F592" s="48">
        <f>VLOOKUP(E592,[2]PROYECTOS!$K$1:$M$32,3,0)</f>
        <v>2021003050069</v>
      </c>
      <c r="G592" s="49" t="s">
        <v>239</v>
      </c>
      <c r="H592" s="49" t="str">
        <f>VLOOKUP(Q592,[2]PROYECTOS!$V$1:$W$32,2,0)</f>
        <v>050069</v>
      </c>
      <c r="I592" s="50">
        <v>15449052</v>
      </c>
      <c r="J592" s="51" t="s">
        <v>1629</v>
      </c>
      <c r="K592" s="47" t="str">
        <f t="shared" ca="1" si="234"/>
        <v>CONTRATADO</v>
      </c>
      <c r="L592" s="47" t="s">
        <v>94</v>
      </c>
      <c r="M592" s="47" t="s">
        <v>1297</v>
      </c>
      <c r="N592" s="52" t="s">
        <v>240</v>
      </c>
      <c r="O592" s="51" t="e">
        <f>VLOOKUP(N592,[2]!RUBROS[#All],3,0)</f>
        <v>#REF!</v>
      </c>
      <c r="P592" s="53" t="e">
        <f>VLOOKUP(N592,[2]!RUBROS[#All],2,0)</f>
        <v>#REF!</v>
      </c>
      <c r="Q592" s="47" t="str">
        <f t="shared" si="235"/>
        <v>22</v>
      </c>
      <c r="R592" s="47" t="str">
        <f t="shared" si="236"/>
        <v>0-205400</v>
      </c>
      <c r="S592" s="54">
        <v>6</v>
      </c>
      <c r="T592" s="63" t="s">
        <v>46</v>
      </c>
      <c r="U592" s="326" t="e">
        <f ca="1">_xlfn.XLOOKUP(PAA_4[[#This Row],[ITEM]],[2]Contrato!A:A,[2]Contrato!Q:Q,"",0)</f>
        <v>#NAME?</v>
      </c>
      <c r="V592" s="47" t="s">
        <v>47</v>
      </c>
      <c r="W592" s="47" t="s">
        <v>137</v>
      </c>
      <c r="X592" s="47" t="s">
        <v>137</v>
      </c>
      <c r="Y592" s="55" t="e">
        <f ca="1">_xlfn.XLOOKUP(PAA_4[[#This Row],[ITEM]],[2]Contrato!A:A,[2]Contrato!B:B,"",0)</f>
        <v>#NAME?</v>
      </c>
      <c r="Z592" s="47" t="e">
        <f ca="1">_xlfn.XLOOKUP(PAA_4[[#This Row],[ITEM]],[2]Contrato!A:A,[2]Contrato!G:G,"",0)</f>
        <v>#NAME?</v>
      </c>
      <c r="AA592" s="47" t="e">
        <f ca="1">_xlfn.XLOOKUP(PAA_4[[#This Row],[ITEM]],[2]Contrato!A:A,[2]Contrato!T:T,"",0)</f>
        <v>#NAME?</v>
      </c>
      <c r="AB592" s="55" t="e">
        <f ca="1">+MAX(PAA_4[[#This Row],[Comprometido Contrato]],PAA_4[[#This Row],[Comprometido Bolsa]])</f>
        <v>#NAME?</v>
      </c>
      <c r="AC592" s="55" t="str">
        <f t="shared" ca="1" si="237"/>
        <v/>
      </c>
      <c r="AD592" s="55" t="e">
        <f ca="1">IF(PAA_4[[#This Row],[ESTADO (formulado)]]="NO CONTRATADO",0,MAX(PAA_4[[#This Row],[Pago por Contrato]],PAA_4[[#This Row],[Pago por bolsa]]))</f>
        <v>#NAME?</v>
      </c>
      <c r="AE592" s="55" t="str">
        <f t="shared" ca="1" si="238"/>
        <v/>
      </c>
      <c r="AF592" s="47" t="e">
        <f t="shared" ca="1" si="241"/>
        <v>#NAME?</v>
      </c>
      <c r="AG592" s="47">
        <f t="shared" si="240"/>
        <v>41080101</v>
      </c>
      <c r="AH592" s="54" t="str">
        <f>IF(Q592="22",IF(ISNUMBER(SEARCH("econ",PAA_4[[#This Row],[Actividad3]])),"Económico",IF(ISNUMBER(SEARCH("alim",PAA_4[[#This Row],[Actividad3]])),"Alimentación",IF(ISNUMBER(SEARCH("educ",PAA_4[[#This Row],[Actividad3]])),"Educativo","Técnico"))),0)</f>
        <v>Técnico</v>
      </c>
      <c r="AI592" s="47" t="e" cm="1">
        <f t="array" aca="1" ref="AI592" ca="1">_xlfn.XLOOKUP(PAA_4[[#This Row],[RCP-RUBRO]],[2]!COMPROMISOS_2024[[#All],[concatenado]],[2]!COMPROMISOS_2024[[#All],[Total pagado]],"",0)</f>
        <v>#NAME?</v>
      </c>
      <c r="AJ592" s="56" t="e">
        <f ca="1">IF(PAA_4[[#This Row],[BOLSA]]=0,0,SUMIFS([2]!COMPROMISOS_2024[[#All],[Total pagado]],[2]!COMPROMISOS_2024[[#All],[Bolsa]],PAA_4[[#This Row],[BOLSA]],[2]!COMPROMISOS_2024[[#All],[rubro]],PAA_4[[#This Row],[RCP-RUBRO]]))</f>
        <v>#REF!</v>
      </c>
      <c r="AK592" s="47" t="e" cm="1">
        <f t="array" aca="1" ref="AK592" ca="1">_xlfn.XLOOKUP(PAA_4[[#This Row],[RCP-RUBRO]],[2]!COMPROMISOS_2024[[#All],[concatenado]],[2]!COMPROMISOS_2024[[#All],[Total Comprometido]],"",0)</f>
        <v>#NAME?</v>
      </c>
      <c r="AL592" s="47" t="e">
        <f ca="1">IF(PAA_4[[#This Row],[BOLSA]]=0,0,SUMIFS([2]!COMPROMISOS_2024[[#All],[Total Comprometido]],[2]!COMPROMISOS_2024[[#All],[Bolsa]],PAA_4[[#This Row],[BOLSA]],[2]!COMPROMISOS_2024[[#All],[concatenado]],PAA_4[[#This Row],[RCP-RUBRO]]))</f>
        <v>#REF!</v>
      </c>
    </row>
    <row r="593" spans="1:38" s="19" customFormat="1" ht="31.5" customHeight="1">
      <c r="A593" s="47">
        <v>206</v>
      </c>
      <c r="B593" s="47">
        <v>80111600</v>
      </c>
      <c r="C593" s="47" t="str">
        <f>VLOOKUP(PAA_4[[#This Row],[PROYECTO (formulado)2]],[2]PROYECTOS!$G$1:$L$32,6,0)</f>
        <v>SUBGERENCIA DE ALTOS LOGROS Y DEPORTE ASOCIADO</v>
      </c>
      <c r="D593" s="47" t="str">
        <f>+IF(PAA_4[[#This Row],[UNIDAD DE CONTRATACION (formulado)]]="Subgerencia Administrativa y Financiera","FUNCIONAMIENTO","INVERSIÓN")</f>
        <v>INVERSIÓN</v>
      </c>
      <c r="E593" s="48" t="str">
        <f>VLOOKUP(Q593,[2]PROYECTOS!$G$1:$K$32,5,0)</f>
        <v>APOYO_TÉCNICO_Y_PSICOSOCIAL_A_LOS_DEPORTISTAS_DE_ANTIOQUIA</v>
      </c>
      <c r="F593" s="48">
        <f>VLOOKUP(E593,[2]PROYECTOS!$K$1:$M$32,3,0)</f>
        <v>2021003050069</v>
      </c>
      <c r="G593" s="49" t="s">
        <v>239</v>
      </c>
      <c r="H593" s="49" t="str">
        <f>VLOOKUP(Q593,[2]PROYECTOS!$V$1:$W$32,2,0)</f>
        <v>050069</v>
      </c>
      <c r="I593" s="50">
        <v>15449052</v>
      </c>
      <c r="J593" s="51" t="s">
        <v>1630</v>
      </c>
      <c r="K593" s="47" t="str">
        <f t="shared" ca="1" si="234"/>
        <v>CONTRATADO</v>
      </c>
      <c r="L593" s="47" t="s">
        <v>94</v>
      </c>
      <c r="M593" s="47" t="s">
        <v>1297</v>
      </c>
      <c r="N593" s="52" t="s">
        <v>240</v>
      </c>
      <c r="O593" s="51" t="e">
        <f>VLOOKUP(N593,[2]!RUBROS[#All],3,0)</f>
        <v>#REF!</v>
      </c>
      <c r="P593" s="53" t="e">
        <f>VLOOKUP(N593,[2]!RUBROS[#All],2,0)</f>
        <v>#REF!</v>
      </c>
      <c r="Q593" s="47" t="str">
        <f t="shared" si="235"/>
        <v>22</v>
      </c>
      <c r="R593" s="47" t="str">
        <f t="shared" si="236"/>
        <v>0-205400</v>
      </c>
      <c r="S593" s="54">
        <v>6</v>
      </c>
      <c r="T593" s="63" t="s">
        <v>46</v>
      </c>
      <c r="U593" s="326" t="e">
        <f ca="1">_xlfn.XLOOKUP(PAA_4[[#This Row],[ITEM]],[2]Contrato!A:A,[2]Contrato!Q:Q,"",0)</f>
        <v>#NAME?</v>
      </c>
      <c r="V593" s="47" t="s">
        <v>47</v>
      </c>
      <c r="W593" s="47" t="s">
        <v>137</v>
      </c>
      <c r="X593" s="47" t="s">
        <v>137</v>
      </c>
      <c r="Y593" s="55" t="e">
        <f ca="1">_xlfn.XLOOKUP(PAA_4[[#This Row],[ITEM]],[2]Contrato!A:A,[2]Contrato!B:B,"",0)</f>
        <v>#NAME?</v>
      </c>
      <c r="Z593" s="47" t="e">
        <f ca="1">_xlfn.XLOOKUP(PAA_4[[#This Row],[ITEM]],[2]Contrato!A:A,[2]Contrato!G:G,"",0)</f>
        <v>#NAME?</v>
      </c>
      <c r="AA593" s="47" t="e">
        <f ca="1">_xlfn.XLOOKUP(PAA_4[[#This Row],[ITEM]],[2]Contrato!A:A,[2]Contrato!T:T,"",0)</f>
        <v>#NAME?</v>
      </c>
      <c r="AB593" s="55" t="e">
        <f ca="1">+MAX(PAA_4[[#This Row],[Comprometido Contrato]],PAA_4[[#This Row],[Comprometido Bolsa]])</f>
        <v>#NAME?</v>
      </c>
      <c r="AC593" s="55" t="str">
        <f t="shared" ca="1" si="237"/>
        <v/>
      </c>
      <c r="AD593" s="55" t="e">
        <f ca="1">IF(PAA_4[[#This Row],[ESTADO (formulado)]]="NO CONTRATADO",0,MAX(PAA_4[[#This Row],[Pago por Contrato]],PAA_4[[#This Row],[Pago por bolsa]]))</f>
        <v>#NAME?</v>
      </c>
      <c r="AE593" s="55" t="str">
        <f t="shared" ca="1" si="238"/>
        <v/>
      </c>
      <c r="AF593" s="47" t="e">
        <f t="shared" ca="1" si="241"/>
        <v>#NAME?</v>
      </c>
      <c r="AG593" s="47">
        <f t="shared" si="240"/>
        <v>41080101</v>
      </c>
      <c r="AH593" s="54" t="str">
        <f>IF(Q593="22",IF(ISNUMBER(SEARCH("econ",PAA_4[[#This Row],[Actividad3]])),"Económico",IF(ISNUMBER(SEARCH("alim",PAA_4[[#This Row],[Actividad3]])),"Alimentación",IF(ISNUMBER(SEARCH("educ",PAA_4[[#This Row],[Actividad3]])),"Educativo","Técnico"))),0)</f>
        <v>Técnico</v>
      </c>
      <c r="AI593" s="47" t="e" cm="1">
        <f t="array" aca="1" ref="AI593" ca="1">_xlfn.XLOOKUP(PAA_4[[#This Row],[RCP-RUBRO]],[2]!COMPROMISOS_2024[[#All],[concatenado]],[2]!COMPROMISOS_2024[[#All],[Total pagado]],"",0)</f>
        <v>#NAME?</v>
      </c>
      <c r="AJ593" s="56" t="e">
        <f ca="1">IF(PAA_4[[#This Row],[BOLSA]]=0,0,SUMIFS([2]!COMPROMISOS_2024[[#All],[Total pagado]],[2]!COMPROMISOS_2024[[#All],[Bolsa]],PAA_4[[#This Row],[BOLSA]],[2]!COMPROMISOS_2024[[#All],[rubro]],PAA_4[[#This Row],[RCP-RUBRO]]))</f>
        <v>#REF!</v>
      </c>
      <c r="AK593" s="47" t="e" cm="1">
        <f t="array" aca="1" ref="AK593" ca="1">_xlfn.XLOOKUP(PAA_4[[#This Row],[RCP-RUBRO]],[2]!COMPROMISOS_2024[[#All],[concatenado]],[2]!COMPROMISOS_2024[[#All],[Total Comprometido]],"",0)</f>
        <v>#NAME?</v>
      </c>
      <c r="AL593" s="47" t="e">
        <f ca="1">IF(PAA_4[[#This Row],[BOLSA]]=0,0,SUMIFS([2]!COMPROMISOS_2024[[#All],[Total Comprometido]],[2]!COMPROMISOS_2024[[#All],[Bolsa]],PAA_4[[#This Row],[BOLSA]],[2]!COMPROMISOS_2024[[#All],[concatenado]],PAA_4[[#This Row],[RCP-RUBRO]]))</f>
        <v>#REF!</v>
      </c>
    </row>
    <row r="594" spans="1:38" s="19" customFormat="1" ht="31.5" customHeight="1">
      <c r="A594" s="47">
        <v>207</v>
      </c>
      <c r="B594" s="47">
        <v>80111600</v>
      </c>
      <c r="C594" s="47" t="str">
        <f>VLOOKUP(PAA_4[[#This Row],[PROYECTO (formulado)2]],[2]PROYECTOS!$G$1:$L$32,6,0)</f>
        <v>SUBGERENCIA DE ALTOS LOGROS Y DEPORTE ASOCIADO</v>
      </c>
      <c r="D594" s="47" t="str">
        <f>+IF(PAA_4[[#This Row],[UNIDAD DE CONTRATACION (formulado)]]="Subgerencia Administrativa y Financiera","FUNCIONAMIENTO","INVERSIÓN")</f>
        <v>INVERSIÓN</v>
      </c>
      <c r="E594" s="48" t="str">
        <f>VLOOKUP(Q594,[2]PROYECTOS!$G$1:$K$32,5,0)</f>
        <v>APOYO_TÉCNICO_Y_PSICOSOCIAL_A_LOS_DEPORTISTAS_DE_ANTIOQUIA</v>
      </c>
      <c r="F594" s="48">
        <f>VLOOKUP(E594,[2]PROYECTOS!$K$1:$M$32,3,0)</f>
        <v>2021003050069</v>
      </c>
      <c r="G594" s="49" t="s">
        <v>239</v>
      </c>
      <c r="H594" s="49" t="str">
        <f>VLOOKUP(Q594,[2]PROYECTOS!$V$1:$W$32,2,0)</f>
        <v>050069</v>
      </c>
      <c r="I594" s="50">
        <v>23714292</v>
      </c>
      <c r="J594" s="51" t="s">
        <v>1631</v>
      </c>
      <c r="K594" s="47" t="str">
        <f t="shared" ca="1" si="234"/>
        <v>CONTRATADO</v>
      </c>
      <c r="L594" s="47" t="s">
        <v>94</v>
      </c>
      <c r="M594" s="47" t="s">
        <v>1297</v>
      </c>
      <c r="N594" s="52" t="s">
        <v>240</v>
      </c>
      <c r="O594" s="51" t="e">
        <f>VLOOKUP(N594,[2]!RUBROS[#All],3,0)</f>
        <v>#REF!</v>
      </c>
      <c r="P594" s="53" t="e">
        <f>VLOOKUP(N594,[2]!RUBROS[#All],2,0)</f>
        <v>#REF!</v>
      </c>
      <c r="Q594" s="47" t="str">
        <f t="shared" si="235"/>
        <v>22</v>
      </c>
      <c r="R594" s="47" t="str">
        <f t="shared" si="236"/>
        <v>0-205400</v>
      </c>
      <c r="S594" s="54">
        <v>6</v>
      </c>
      <c r="T594" s="63" t="s">
        <v>46</v>
      </c>
      <c r="U594" s="326" t="e">
        <f ca="1">_xlfn.XLOOKUP(PAA_4[[#This Row],[ITEM]],[2]Contrato!A:A,[2]Contrato!Q:Q,"",0)</f>
        <v>#NAME?</v>
      </c>
      <c r="V594" s="47" t="s">
        <v>47</v>
      </c>
      <c r="W594" s="47" t="s">
        <v>137</v>
      </c>
      <c r="X594" s="47" t="s">
        <v>137</v>
      </c>
      <c r="Y594" s="55" t="e">
        <f ca="1">_xlfn.XLOOKUP(PAA_4[[#This Row],[ITEM]],[2]Contrato!A:A,[2]Contrato!B:B,"",0)</f>
        <v>#NAME?</v>
      </c>
      <c r="Z594" s="47" t="e">
        <f ca="1">_xlfn.XLOOKUP(PAA_4[[#This Row],[ITEM]],[2]Contrato!A:A,[2]Contrato!G:G,"",0)</f>
        <v>#NAME?</v>
      </c>
      <c r="AA594" s="47" t="e">
        <f ca="1">_xlfn.XLOOKUP(PAA_4[[#This Row],[ITEM]],[2]Contrato!A:A,[2]Contrato!T:T,"",0)</f>
        <v>#NAME?</v>
      </c>
      <c r="AB594" s="55" t="e">
        <f ca="1">+MAX(PAA_4[[#This Row],[Comprometido Contrato]],PAA_4[[#This Row],[Comprometido Bolsa]])</f>
        <v>#NAME?</v>
      </c>
      <c r="AC594" s="55" t="str">
        <f t="shared" ca="1" si="237"/>
        <v/>
      </c>
      <c r="AD594" s="55" t="e">
        <f ca="1">IF(PAA_4[[#This Row],[ESTADO (formulado)]]="NO CONTRATADO",0,MAX(PAA_4[[#This Row],[Pago por Contrato]],PAA_4[[#This Row],[Pago por bolsa]]))</f>
        <v>#NAME?</v>
      </c>
      <c r="AE594" s="55" t="str">
        <f t="shared" ca="1" si="238"/>
        <v/>
      </c>
      <c r="AF594" s="47" t="e">
        <f t="shared" ca="1" si="241"/>
        <v>#NAME?</v>
      </c>
      <c r="AG594" s="47">
        <f t="shared" si="240"/>
        <v>41080101</v>
      </c>
      <c r="AH594" s="54" t="str">
        <f>IF(Q594="22",IF(ISNUMBER(SEARCH("econ",PAA_4[[#This Row],[Actividad3]])),"Económico",IF(ISNUMBER(SEARCH("alim",PAA_4[[#This Row],[Actividad3]])),"Alimentación",IF(ISNUMBER(SEARCH("educ",PAA_4[[#This Row],[Actividad3]])),"Educativo","Técnico"))),0)</f>
        <v>Técnico</v>
      </c>
      <c r="AI594" s="47" t="e" cm="1">
        <f t="array" aca="1" ref="AI594" ca="1">_xlfn.XLOOKUP(PAA_4[[#This Row],[RCP-RUBRO]],[2]!COMPROMISOS_2024[[#All],[concatenado]],[2]!COMPROMISOS_2024[[#All],[Total pagado]],"",0)</f>
        <v>#NAME?</v>
      </c>
      <c r="AJ594" s="56" t="e">
        <f ca="1">IF(PAA_4[[#This Row],[BOLSA]]=0,0,SUMIFS([2]!COMPROMISOS_2024[[#All],[Total pagado]],[2]!COMPROMISOS_2024[[#All],[Bolsa]],PAA_4[[#This Row],[BOLSA]],[2]!COMPROMISOS_2024[[#All],[rubro]],PAA_4[[#This Row],[RCP-RUBRO]]))</f>
        <v>#REF!</v>
      </c>
      <c r="AK594" s="47" t="e" cm="1">
        <f t="array" aca="1" ref="AK594" ca="1">_xlfn.XLOOKUP(PAA_4[[#This Row],[RCP-RUBRO]],[2]!COMPROMISOS_2024[[#All],[concatenado]],[2]!COMPROMISOS_2024[[#All],[Total Comprometido]],"",0)</f>
        <v>#NAME?</v>
      </c>
      <c r="AL594" s="47" t="e">
        <f ca="1">IF(PAA_4[[#This Row],[BOLSA]]=0,0,SUMIFS([2]!COMPROMISOS_2024[[#All],[Total Comprometido]],[2]!COMPROMISOS_2024[[#All],[Bolsa]],PAA_4[[#This Row],[BOLSA]],[2]!COMPROMISOS_2024[[#All],[concatenado]],PAA_4[[#This Row],[RCP-RUBRO]]))</f>
        <v>#REF!</v>
      </c>
    </row>
    <row r="595" spans="1:38" s="19" customFormat="1" ht="31.5" customHeight="1">
      <c r="A595" s="47">
        <v>208</v>
      </c>
      <c r="B595" s="47">
        <v>80111600</v>
      </c>
      <c r="C595" s="47" t="str">
        <f>VLOOKUP(PAA_4[[#This Row],[PROYECTO (formulado)2]],[2]PROYECTOS!$G$1:$L$32,6,0)</f>
        <v>SUBGERENCIA DE ALTOS LOGROS Y DEPORTE ASOCIADO</v>
      </c>
      <c r="D595" s="47" t="str">
        <f>+IF(PAA_4[[#This Row],[UNIDAD DE CONTRATACION (formulado)]]="Subgerencia Administrativa y Financiera","FUNCIONAMIENTO","INVERSIÓN")</f>
        <v>INVERSIÓN</v>
      </c>
      <c r="E595" s="48" t="str">
        <f>VLOOKUP(Q595,[2]PROYECTOS!$G$1:$K$32,5,0)</f>
        <v>APOYO_TÉCNICO_Y_PSICOSOCIAL_A_LOS_DEPORTISTAS_DE_ANTIOQUIA</v>
      </c>
      <c r="F595" s="48">
        <f>VLOOKUP(E595,[2]PROYECTOS!$K$1:$M$32,3,0)</f>
        <v>2021003050069</v>
      </c>
      <c r="G595" s="49" t="s">
        <v>239</v>
      </c>
      <c r="H595" s="49" t="str">
        <f>VLOOKUP(Q595,[2]PROYECTOS!$V$1:$W$32,2,0)</f>
        <v>050069</v>
      </c>
      <c r="I595" s="50">
        <v>29453616</v>
      </c>
      <c r="J595" s="51" t="s">
        <v>1632</v>
      </c>
      <c r="K595" s="47" t="str">
        <f t="shared" ca="1" si="234"/>
        <v>CONTRATADO</v>
      </c>
      <c r="L595" s="47" t="s">
        <v>94</v>
      </c>
      <c r="M595" s="47" t="s">
        <v>1297</v>
      </c>
      <c r="N595" s="52" t="s">
        <v>240</v>
      </c>
      <c r="O595" s="51" t="e">
        <f>VLOOKUP(N595,[2]!RUBROS[#All],3,0)</f>
        <v>#REF!</v>
      </c>
      <c r="P595" s="53" t="e">
        <f>VLOOKUP(N595,[2]!RUBROS[#All],2,0)</f>
        <v>#REF!</v>
      </c>
      <c r="Q595" s="47" t="str">
        <f t="shared" si="235"/>
        <v>22</v>
      </c>
      <c r="R595" s="47" t="str">
        <f t="shared" si="236"/>
        <v>0-205400</v>
      </c>
      <c r="S595" s="54">
        <v>6</v>
      </c>
      <c r="T595" s="63" t="s">
        <v>46</v>
      </c>
      <c r="U595" s="326" t="e">
        <f ca="1">_xlfn.XLOOKUP(PAA_4[[#This Row],[ITEM]],[2]Contrato!A:A,[2]Contrato!Q:Q,"",0)</f>
        <v>#NAME?</v>
      </c>
      <c r="V595" s="47" t="s">
        <v>47</v>
      </c>
      <c r="W595" s="64" t="s">
        <v>137</v>
      </c>
      <c r="X595" s="64" t="s">
        <v>137</v>
      </c>
      <c r="Y595" s="55" t="e">
        <f ca="1">_xlfn.XLOOKUP(PAA_4[[#This Row],[ITEM]],[2]Contrato!A:A,[2]Contrato!B:B,"",0)</f>
        <v>#NAME?</v>
      </c>
      <c r="Z595" s="47" t="e">
        <f ca="1">_xlfn.XLOOKUP(PAA_4[[#This Row],[ITEM]],[2]Contrato!A:A,[2]Contrato!G:G,"",0)</f>
        <v>#NAME?</v>
      </c>
      <c r="AA595" s="47" t="e">
        <f ca="1">_xlfn.XLOOKUP(PAA_4[[#This Row],[ITEM]],[2]Contrato!A:A,[2]Contrato!T:T,"",0)</f>
        <v>#NAME?</v>
      </c>
      <c r="AB595" s="55" t="e">
        <f ca="1">+MAX(PAA_4[[#This Row],[Comprometido Contrato]],PAA_4[[#This Row],[Comprometido Bolsa]])</f>
        <v>#NAME?</v>
      </c>
      <c r="AC595" s="55" t="str">
        <f t="shared" ca="1" si="237"/>
        <v/>
      </c>
      <c r="AD595" s="55" t="e">
        <f ca="1">IF(PAA_4[[#This Row],[ESTADO (formulado)]]="NO CONTRATADO",0,MAX(PAA_4[[#This Row],[Pago por Contrato]],PAA_4[[#This Row],[Pago por bolsa]]))</f>
        <v>#NAME?</v>
      </c>
      <c r="AE595" s="55" t="str">
        <f t="shared" ca="1" si="238"/>
        <v/>
      </c>
      <c r="AF595" s="47" t="e">
        <f t="shared" ca="1" si="241"/>
        <v>#NAME?</v>
      </c>
      <c r="AG595" s="47">
        <f t="shared" si="240"/>
        <v>41080101</v>
      </c>
      <c r="AH595" s="54" t="str">
        <f>IF(Q595="22",IF(ISNUMBER(SEARCH("econ",PAA_4[[#This Row],[Actividad3]])),"Económico",IF(ISNUMBER(SEARCH("alim",PAA_4[[#This Row],[Actividad3]])),"Alimentación",IF(ISNUMBER(SEARCH("educ",PAA_4[[#This Row],[Actividad3]])),"Educativo","Técnico"))),0)</f>
        <v>Técnico</v>
      </c>
      <c r="AI595" s="47" t="e" cm="1">
        <f t="array" aca="1" ref="AI595" ca="1">_xlfn.XLOOKUP(PAA_4[[#This Row],[RCP-RUBRO]],[2]!COMPROMISOS_2024[[#All],[concatenado]],[2]!COMPROMISOS_2024[[#All],[Total pagado]],"",0)</f>
        <v>#NAME?</v>
      </c>
      <c r="AJ595" s="56" t="e">
        <f ca="1">IF(PAA_4[[#This Row],[BOLSA]]=0,0,SUMIFS([2]!COMPROMISOS_2024[[#All],[Total pagado]],[2]!COMPROMISOS_2024[[#All],[Bolsa]],PAA_4[[#This Row],[BOLSA]],[2]!COMPROMISOS_2024[[#All],[rubro]],PAA_4[[#This Row],[RCP-RUBRO]]))</f>
        <v>#REF!</v>
      </c>
      <c r="AK595" s="47" t="e" cm="1">
        <f t="array" aca="1" ref="AK595" ca="1">_xlfn.XLOOKUP(PAA_4[[#This Row],[RCP-RUBRO]],[2]!COMPROMISOS_2024[[#All],[concatenado]],[2]!COMPROMISOS_2024[[#All],[Total Comprometido]],"",0)</f>
        <v>#NAME?</v>
      </c>
      <c r="AL595" s="47" t="e">
        <f ca="1">IF(PAA_4[[#This Row],[BOLSA]]=0,0,SUMIFS([2]!COMPROMISOS_2024[[#All],[Total Comprometido]],[2]!COMPROMISOS_2024[[#All],[Bolsa]],PAA_4[[#This Row],[BOLSA]],[2]!COMPROMISOS_2024[[#All],[concatenado]],PAA_4[[#This Row],[RCP-RUBRO]]))</f>
        <v>#REF!</v>
      </c>
    </row>
    <row r="596" spans="1:38" s="19" customFormat="1" ht="31.5" customHeight="1">
      <c r="A596" s="47">
        <v>210</v>
      </c>
      <c r="B596" s="47">
        <v>80111600</v>
      </c>
      <c r="C596" s="47" t="str">
        <f>VLOOKUP(PAA_4[[#This Row],[PROYECTO (formulado)2]],[2]PROYECTOS!$G$1:$L$32,6,0)</f>
        <v>SUBGERENCIA DE ALTOS LOGROS Y DEPORTE ASOCIADO</v>
      </c>
      <c r="D596" s="47" t="str">
        <f>+IF(PAA_4[[#This Row],[UNIDAD DE CONTRATACION (formulado)]]="Subgerencia Administrativa y Financiera","FUNCIONAMIENTO","INVERSIÓN")</f>
        <v>INVERSIÓN</v>
      </c>
      <c r="E596" s="48" t="str">
        <f>VLOOKUP(Q596,[2]PROYECTOS!$G$1:$K$32,5,0)</f>
        <v>APOYO_TÉCNICO_Y_PSICOSOCIAL_A_LOS_DEPORTISTAS_DE_ANTIOQUIA</v>
      </c>
      <c r="F596" s="48">
        <f>VLOOKUP(E596,[2]PROYECTOS!$K$1:$M$32,3,0)</f>
        <v>2021003050069</v>
      </c>
      <c r="G596" s="49" t="s">
        <v>241</v>
      </c>
      <c r="H596" s="49" t="str">
        <f>VLOOKUP(Q596,[2]PROYECTOS!$V$1:$W$32,2,0)</f>
        <v>050069</v>
      </c>
      <c r="I596" s="50">
        <v>15449052</v>
      </c>
      <c r="J596" s="51" t="s">
        <v>1633</v>
      </c>
      <c r="K596" s="47" t="str">
        <f t="shared" ca="1" si="234"/>
        <v>CONTRATADO</v>
      </c>
      <c r="L596" s="47" t="s">
        <v>94</v>
      </c>
      <c r="M596" s="47" t="s">
        <v>1297</v>
      </c>
      <c r="N596" s="52" t="s">
        <v>240</v>
      </c>
      <c r="O596" s="51" t="e">
        <f>VLOOKUP(N596,[2]!RUBROS[#All],3,0)</f>
        <v>#REF!</v>
      </c>
      <c r="P596" s="53" t="e">
        <f>VLOOKUP(N596,[2]!RUBROS[#All],2,0)</f>
        <v>#REF!</v>
      </c>
      <c r="Q596" s="47" t="str">
        <f t="shared" si="235"/>
        <v>22</v>
      </c>
      <c r="R596" s="47" t="str">
        <f t="shared" si="236"/>
        <v>0-205400</v>
      </c>
      <c r="S596" s="54">
        <v>6</v>
      </c>
      <c r="T596" s="63" t="s">
        <v>46</v>
      </c>
      <c r="U596" s="326" t="e">
        <f ca="1">_xlfn.XLOOKUP(PAA_4[[#This Row],[ITEM]],[2]Contrato!A:A,[2]Contrato!Q:Q,"",0)</f>
        <v>#NAME?</v>
      </c>
      <c r="V596" s="47" t="s">
        <v>47</v>
      </c>
      <c r="W596" s="64" t="s">
        <v>137</v>
      </c>
      <c r="X596" s="64" t="s">
        <v>137</v>
      </c>
      <c r="Y596" s="55" t="e">
        <f ca="1">_xlfn.XLOOKUP(PAA_4[[#This Row],[ITEM]],[2]Contrato!A:A,[2]Contrato!B:B,"",0)</f>
        <v>#NAME?</v>
      </c>
      <c r="Z596" s="47" t="e">
        <f ca="1">_xlfn.XLOOKUP(PAA_4[[#This Row],[ITEM]],[2]Contrato!A:A,[2]Contrato!G:G,"",0)</f>
        <v>#NAME?</v>
      </c>
      <c r="AA596" s="47" t="e">
        <f ca="1">_xlfn.XLOOKUP(PAA_4[[#This Row],[ITEM]],[2]Contrato!A:A,[2]Contrato!T:T,"",0)</f>
        <v>#NAME?</v>
      </c>
      <c r="AB596" s="55" t="e">
        <f ca="1">+MAX(PAA_4[[#This Row],[Comprometido Contrato]],PAA_4[[#This Row],[Comprometido Bolsa]])</f>
        <v>#NAME?</v>
      </c>
      <c r="AC596" s="55" t="str">
        <f t="shared" ca="1" si="237"/>
        <v/>
      </c>
      <c r="AD596" s="55" t="e">
        <f ca="1">IF(PAA_4[[#This Row],[ESTADO (formulado)]]="NO CONTRATADO",0,MAX(PAA_4[[#This Row],[Pago por Contrato]],PAA_4[[#This Row],[Pago por bolsa]]))</f>
        <v>#NAME?</v>
      </c>
      <c r="AE596" s="55" t="str">
        <f t="shared" ca="1" si="238"/>
        <v/>
      </c>
      <c r="AF596" s="47" t="e">
        <f t="shared" ca="1" si="241"/>
        <v>#NAME?</v>
      </c>
      <c r="AG596" s="47">
        <f t="shared" si="240"/>
        <v>41080106</v>
      </c>
      <c r="AH596" s="54" t="str">
        <f>IF(Q596="22",IF(ISNUMBER(SEARCH("econ",PAA_4[[#This Row],[Actividad3]])),"Económico",IF(ISNUMBER(SEARCH("alim",PAA_4[[#This Row],[Actividad3]])),"Alimentación",IF(ISNUMBER(SEARCH("educ",PAA_4[[#This Row],[Actividad3]])),"Educativo","Técnico"))),0)</f>
        <v>Técnico</v>
      </c>
      <c r="AI596" s="47" t="e" cm="1">
        <f t="array" aca="1" ref="AI596" ca="1">_xlfn.XLOOKUP(PAA_4[[#This Row],[RCP-RUBRO]],[2]!COMPROMISOS_2024[[#All],[concatenado]],[2]!COMPROMISOS_2024[[#All],[Total pagado]],"",0)</f>
        <v>#NAME?</v>
      </c>
      <c r="AJ596" s="56" t="e">
        <f ca="1">IF(PAA_4[[#This Row],[BOLSA]]=0,0,SUMIFS([2]!COMPROMISOS_2024[[#All],[Total pagado]],[2]!COMPROMISOS_2024[[#All],[Bolsa]],PAA_4[[#This Row],[BOLSA]],[2]!COMPROMISOS_2024[[#All],[rubro]],PAA_4[[#This Row],[RCP-RUBRO]]))</f>
        <v>#REF!</v>
      </c>
      <c r="AK596" s="47" t="e" cm="1">
        <f t="array" aca="1" ref="AK596" ca="1">_xlfn.XLOOKUP(PAA_4[[#This Row],[RCP-RUBRO]],[2]!COMPROMISOS_2024[[#All],[concatenado]],[2]!COMPROMISOS_2024[[#All],[Total Comprometido]],"",0)</f>
        <v>#NAME?</v>
      </c>
      <c r="AL596" s="47" t="e">
        <f ca="1">IF(PAA_4[[#This Row],[BOLSA]]=0,0,SUMIFS([2]!COMPROMISOS_2024[[#All],[Total Comprometido]],[2]!COMPROMISOS_2024[[#All],[Bolsa]],PAA_4[[#This Row],[BOLSA]],[2]!COMPROMISOS_2024[[#All],[concatenado]],PAA_4[[#This Row],[RCP-RUBRO]]))</f>
        <v>#REF!</v>
      </c>
    </row>
    <row r="597" spans="1:38" s="19" customFormat="1" ht="31.5" customHeight="1">
      <c r="A597" s="47">
        <v>211</v>
      </c>
      <c r="B597" s="47">
        <v>80111600</v>
      </c>
      <c r="C597" s="47" t="str">
        <f>VLOOKUP(PAA_4[[#This Row],[PROYECTO (formulado)2]],[2]PROYECTOS!$G$1:$L$32,6,0)</f>
        <v>SUBGERENCIA DE ALTOS LOGROS Y DEPORTE ASOCIADO</v>
      </c>
      <c r="D597" s="47" t="str">
        <f>+IF(PAA_4[[#This Row],[UNIDAD DE CONTRATACION (formulado)]]="Subgerencia Administrativa y Financiera","FUNCIONAMIENTO","INVERSIÓN")</f>
        <v>INVERSIÓN</v>
      </c>
      <c r="E597" s="48" t="str">
        <f>VLOOKUP(Q597,[2]PROYECTOS!$G$1:$K$32,5,0)</f>
        <v>APOYO_TÉCNICO_Y_PSICOSOCIAL_A_LOS_DEPORTISTAS_DE_ANTIOQUIA</v>
      </c>
      <c r="F597" s="48">
        <f>VLOOKUP(E597,[2]PROYECTOS!$K$1:$M$32,3,0)</f>
        <v>2021003050069</v>
      </c>
      <c r="G597" s="49" t="s">
        <v>239</v>
      </c>
      <c r="H597" s="49" t="str">
        <f>VLOOKUP(Q597,[2]PROYECTOS!$V$1:$W$32,2,0)</f>
        <v>050069</v>
      </c>
      <c r="I597" s="50">
        <f>36980651-1963574</f>
        <v>35017077</v>
      </c>
      <c r="J597" s="51" t="s">
        <v>1634</v>
      </c>
      <c r="K597" s="47" t="str">
        <f t="shared" ca="1" si="234"/>
        <v>CONTRATADO</v>
      </c>
      <c r="L597" s="47" t="s">
        <v>94</v>
      </c>
      <c r="M597" s="47" t="s">
        <v>1297</v>
      </c>
      <c r="N597" s="52" t="s">
        <v>240</v>
      </c>
      <c r="O597" s="51" t="e">
        <f>VLOOKUP(N597,[2]!RUBROS[#All],3,0)</f>
        <v>#REF!</v>
      </c>
      <c r="P597" s="53" t="e">
        <f>VLOOKUP(N597,[2]!RUBROS[#All],2,0)</f>
        <v>#REF!</v>
      </c>
      <c r="Q597" s="47" t="str">
        <f t="shared" si="235"/>
        <v>22</v>
      </c>
      <c r="R597" s="47" t="str">
        <f t="shared" si="236"/>
        <v>0-205400</v>
      </c>
      <c r="S597" s="65">
        <f>210+15</f>
        <v>225</v>
      </c>
      <c r="T597" s="63" t="s">
        <v>120</v>
      </c>
      <c r="U597" s="326" t="e">
        <f ca="1">_xlfn.XLOOKUP(PAA_4[[#This Row],[ITEM]],[2]Contrato!A:A,[2]Contrato!Q:Q,"",0)</f>
        <v>#NAME?</v>
      </c>
      <c r="V597" s="47" t="s">
        <v>47</v>
      </c>
      <c r="W597" s="65" t="s">
        <v>122</v>
      </c>
      <c r="X597" s="65" t="s">
        <v>242</v>
      </c>
      <c r="Y597" s="55" t="e">
        <f ca="1">_xlfn.XLOOKUP(PAA_4[[#This Row],[ITEM]],[2]Contrato!A:A,[2]Contrato!B:B,"",0)</f>
        <v>#NAME?</v>
      </c>
      <c r="Z597" s="47" t="e">
        <f ca="1">_xlfn.XLOOKUP(PAA_4[[#This Row],[ITEM]],[2]Contrato!A:A,[2]Contrato!G:G,"",0)</f>
        <v>#NAME?</v>
      </c>
      <c r="AA597" s="47" t="e">
        <f ca="1">_xlfn.XLOOKUP(PAA_4[[#This Row],[ITEM]],[2]Contrato!A:A,[2]Contrato!T:T,"",0)</f>
        <v>#NAME?</v>
      </c>
      <c r="AB597" s="55" t="e">
        <f ca="1">+MAX(PAA_4[[#This Row],[Comprometido Contrato]],PAA_4[[#This Row],[Comprometido Bolsa]])</f>
        <v>#NAME?</v>
      </c>
      <c r="AC597" s="55" t="str">
        <f t="shared" ca="1" si="237"/>
        <v/>
      </c>
      <c r="AD597" s="55" t="e">
        <f ca="1">IF(PAA_4[[#This Row],[ESTADO (formulado)]]="NO CONTRATADO",0,MAX(PAA_4[[#This Row],[Pago por Contrato]],PAA_4[[#This Row],[Pago por bolsa]]))</f>
        <v>#NAME?</v>
      </c>
      <c r="AE597" s="55" t="str">
        <f t="shared" ca="1" si="238"/>
        <v/>
      </c>
      <c r="AF597" s="47" t="e">
        <f t="shared" ca="1" si="241"/>
        <v>#NAME?</v>
      </c>
      <c r="AG597" s="47">
        <f t="shared" si="240"/>
        <v>41080101</v>
      </c>
      <c r="AH597" s="54" t="str">
        <f>IF(Q597="22",IF(ISNUMBER(SEARCH("econ",PAA_4[[#This Row],[Actividad3]])),"Económico",IF(ISNUMBER(SEARCH("alim",PAA_4[[#This Row],[Actividad3]])),"Alimentación",IF(ISNUMBER(SEARCH("educ",PAA_4[[#This Row],[Actividad3]])),"Educativo","Técnico"))),0)</f>
        <v>Técnico</v>
      </c>
      <c r="AI597" s="47" t="e" cm="1">
        <f t="array" aca="1" ref="AI597" ca="1">_xlfn.XLOOKUP(PAA_4[[#This Row],[RCP-RUBRO]],[2]!COMPROMISOS_2024[[#All],[concatenado]],[2]!COMPROMISOS_2024[[#All],[Total pagado]],"",0)</f>
        <v>#NAME?</v>
      </c>
      <c r="AJ597" s="56" t="e">
        <f ca="1">IF(PAA_4[[#This Row],[BOLSA]]=0,0,SUMIFS([2]!COMPROMISOS_2024[[#All],[Total pagado]],[2]!COMPROMISOS_2024[[#All],[Bolsa]],PAA_4[[#This Row],[BOLSA]],[2]!COMPROMISOS_2024[[#All],[rubro]],PAA_4[[#This Row],[RCP-RUBRO]]))</f>
        <v>#REF!</v>
      </c>
      <c r="AK597" s="47" t="e" cm="1">
        <f t="array" aca="1" ref="AK597" ca="1">_xlfn.XLOOKUP(PAA_4[[#This Row],[RCP-RUBRO]],[2]!COMPROMISOS_2024[[#All],[concatenado]],[2]!COMPROMISOS_2024[[#All],[Total Comprometido]],"",0)</f>
        <v>#NAME?</v>
      </c>
      <c r="AL597" s="47" t="e">
        <f ca="1">IF(PAA_4[[#This Row],[BOLSA]]=0,0,SUMIFS([2]!COMPROMISOS_2024[[#All],[Total Comprometido]],[2]!COMPROMISOS_2024[[#All],[Bolsa]],PAA_4[[#This Row],[BOLSA]],[2]!COMPROMISOS_2024[[#All],[concatenado]],PAA_4[[#This Row],[RCP-RUBRO]]))</f>
        <v>#REF!</v>
      </c>
    </row>
    <row r="598" spans="1:38" s="19" customFormat="1" ht="31.5" customHeight="1">
      <c r="A598" s="47">
        <v>212</v>
      </c>
      <c r="B598" s="47">
        <v>80111600</v>
      </c>
      <c r="C598" s="47" t="str">
        <f>VLOOKUP(PAA_4[[#This Row],[PROYECTO (formulado)2]],[2]PROYECTOS!$G$1:$L$32,6,0)</f>
        <v>SUBGERENCIA DE ALTOS LOGROS Y DEPORTE ASOCIADO</v>
      </c>
      <c r="D598" s="47" t="str">
        <f>+IF(PAA_4[[#This Row],[UNIDAD DE CONTRATACION (formulado)]]="Subgerencia Administrativa y Financiera","FUNCIONAMIENTO","INVERSIÓN")</f>
        <v>INVERSIÓN</v>
      </c>
      <c r="E598" s="48" t="str">
        <f>VLOOKUP(Q598,[2]PROYECTOS!$G$1:$K$32,5,0)</f>
        <v>APOYO_TÉCNICO_Y_PSICOSOCIAL_A_LOS_DEPORTISTAS_DE_ANTIOQUIA</v>
      </c>
      <c r="F598" s="48">
        <f>VLOOKUP(E598,[2]PROYECTOS!$K$1:$M$32,3,0)</f>
        <v>2021003050069</v>
      </c>
      <c r="G598" s="49" t="s">
        <v>239</v>
      </c>
      <c r="H598" s="49" t="str">
        <f>VLOOKUP(Q598,[2]PROYECTOS!$V$1:$W$32,2,0)</f>
        <v>050069</v>
      </c>
      <c r="I598" s="50">
        <v>23714292</v>
      </c>
      <c r="J598" s="51" t="s">
        <v>1635</v>
      </c>
      <c r="K598" s="47" t="str">
        <f t="shared" ref="K598:K669" ca="1" si="242">IF(ISNONTEXT(Y598)=TRUE,"CONTRATADO","NO CONTRATADO")</f>
        <v>CONTRATADO</v>
      </c>
      <c r="L598" s="47" t="s">
        <v>94</v>
      </c>
      <c r="M598" s="47" t="s">
        <v>1297</v>
      </c>
      <c r="N598" s="52" t="s">
        <v>240</v>
      </c>
      <c r="O598" s="51" t="e">
        <f>VLOOKUP(N598,[2]!RUBROS[#All],3,0)</f>
        <v>#REF!</v>
      </c>
      <c r="P598" s="53" t="e">
        <f>VLOOKUP(N598,[2]!RUBROS[#All],2,0)</f>
        <v>#REF!</v>
      </c>
      <c r="Q598" s="47" t="str">
        <f t="shared" ref="Q598:Q661" si="243">+MID(N598,11,2)</f>
        <v>22</v>
      </c>
      <c r="R598" s="47" t="str">
        <f t="shared" ref="R598:R669" si="244">+MID(N598,14,8)</f>
        <v>0-205400</v>
      </c>
      <c r="S598" s="54">
        <v>6</v>
      </c>
      <c r="T598" s="63" t="s">
        <v>46</v>
      </c>
      <c r="U598" s="326" t="e">
        <f ca="1">_xlfn.XLOOKUP(PAA_4[[#This Row],[ITEM]],[2]Contrato!A:A,[2]Contrato!Q:Q,"",0)</f>
        <v>#NAME?</v>
      </c>
      <c r="V598" s="47" t="s">
        <v>47</v>
      </c>
      <c r="W598" s="64" t="s">
        <v>137</v>
      </c>
      <c r="X598" s="64" t="s">
        <v>137</v>
      </c>
      <c r="Y598" s="55" t="e">
        <f ca="1">_xlfn.XLOOKUP(PAA_4[[#This Row],[ITEM]],[2]Contrato!A:A,[2]Contrato!B:B,"",0)</f>
        <v>#NAME?</v>
      </c>
      <c r="Z598" s="47" t="e">
        <f ca="1">_xlfn.XLOOKUP(PAA_4[[#This Row],[ITEM]],[2]Contrato!A:A,[2]Contrato!G:G,"",0)</f>
        <v>#NAME?</v>
      </c>
      <c r="AA598" s="47" t="e">
        <f ca="1">_xlfn.XLOOKUP(PAA_4[[#This Row],[ITEM]],[2]Contrato!A:A,[2]Contrato!T:T,"",0)</f>
        <v>#NAME?</v>
      </c>
      <c r="AB598" s="55" t="e">
        <f ca="1">+MAX(PAA_4[[#This Row],[Comprometido Contrato]],PAA_4[[#This Row],[Comprometido Bolsa]])</f>
        <v>#NAME?</v>
      </c>
      <c r="AC598" s="55" t="str">
        <f t="shared" ref="AC598:AC669" ca="1" si="245">IFERROR(I598-AB598,"")</f>
        <v/>
      </c>
      <c r="AD598" s="55" t="e">
        <f ca="1">IF(PAA_4[[#This Row],[ESTADO (formulado)]]="NO CONTRATADO",0,MAX(PAA_4[[#This Row],[Pago por Contrato]],PAA_4[[#This Row],[Pago por bolsa]]))</f>
        <v>#NAME?</v>
      </c>
      <c r="AE598" s="55" t="str">
        <f t="shared" ref="AE598:AE669" ca="1" si="246">+IFERROR(AB598-AD598,"")</f>
        <v/>
      </c>
      <c r="AF598" s="47" t="e">
        <f t="shared" ca="1" si="241"/>
        <v>#NAME?</v>
      </c>
      <c r="AG598" s="47">
        <f t="shared" ref="AG598:AG669" si="247">IFERROR(_xlfn.NUMBERVALUE(MID(G598,1,8)),"")</f>
        <v>41080101</v>
      </c>
      <c r="AH598" s="54" t="str">
        <f>IF(Q598="22",IF(ISNUMBER(SEARCH("econ",PAA_4[[#This Row],[Actividad3]])),"Económico",IF(ISNUMBER(SEARCH("alim",PAA_4[[#This Row],[Actividad3]])),"Alimentación",IF(ISNUMBER(SEARCH("educ",PAA_4[[#This Row],[Actividad3]])),"Educativo","Técnico"))),0)</f>
        <v>Técnico</v>
      </c>
      <c r="AI598" s="47" t="e" cm="1">
        <f t="array" aca="1" ref="AI598" ca="1">_xlfn.XLOOKUP(PAA_4[[#This Row],[RCP-RUBRO]],[2]!COMPROMISOS_2024[[#All],[concatenado]],[2]!COMPROMISOS_2024[[#All],[Total pagado]],"",0)</f>
        <v>#NAME?</v>
      </c>
      <c r="AJ598" s="56" t="e">
        <f ca="1">IF(PAA_4[[#This Row],[BOLSA]]=0,0,SUMIFS([2]!COMPROMISOS_2024[[#All],[Total pagado]],[2]!COMPROMISOS_2024[[#All],[Bolsa]],PAA_4[[#This Row],[BOLSA]],[2]!COMPROMISOS_2024[[#All],[rubro]],PAA_4[[#This Row],[RCP-RUBRO]]))</f>
        <v>#REF!</v>
      </c>
      <c r="AK598" s="47" t="e" cm="1">
        <f t="array" aca="1" ref="AK598" ca="1">_xlfn.XLOOKUP(PAA_4[[#This Row],[RCP-RUBRO]],[2]!COMPROMISOS_2024[[#All],[concatenado]],[2]!COMPROMISOS_2024[[#All],[Total Comprometido]],"",0)</f>
        <v>#NAME?</v>
      </c>
      <c r="AL598" s="47" t="e">
        <f ca="1">IF(PAA_4[[#This Row],[BOLSA]]=0,0,SUMIFS([2]!COMPROMISOS_2024[[#All],[Total Comprometido]],[2]!COMPROMISOS_2024[[#All],[Bolsa]],PAA_4[[#This Row],[BOLSA]],[2]!COMPROMISOS_2024[[#All],[concatenado]],PAA_4[[#This Row],[RCP-RUBRO]]))</f>
        <v>#REF!</v>
      </c>
    </row>
    <row r="599" spans="1:38" s="19" customFormat="1" ht="31.5" customHeight="1">
      <c r="A599" s="47">
        <v>213</v>
      </c>
      <c r="B599" s="47">
        <v>80111600</v>
      </c>
      <c r="C599" s="47" t="str">
        <f>VLOOKUP(PAA_4[[#This Row],[PROYECTO (formulado)2]],[2]PROYECTOS!$G$1:$L$32,6,0)</f>
        <v>SUBGERENCIA DE ALTOS LOGROS Y DEPORTE ASOCIADO</v>
      </c>
      <c r="D599" s="47" t="str">
        <f>+IF(PAA_4[[#This Row],[UNIDAD DE CONTRATACION (formulado)]]="Subgerencia Administrativa y Financiera","FUNCIONAMIENTO","INVERSIÓN")</f>
        <v>INVERSIÓN</v>
      </c>
      <c r="E599" s="48" t="str">
        <f>VLOOKUP(Q599,[2]PROYECTOS!$G$1:$K$32,5,0)</f>
        <v>APOYO_TÉCNICO_Y_PSICOSOCIAL_A_LOS_DEPORTISTAS_DE_ANTIOQUIA</v>
      </c>
      <c r="F599" s="48">
        <f>VLOOKUP(E599,[2]PROYECTOS!$K$1:$M$32,3,0)</f>
        <v>2021003050069</v>
      </c>
      <c r="G599" s="49" t="s">
        <v>239</v>
      </c>
      <c r="H599" s="49" t="str">
        <f>VLOOKUP(Q599,[2]PROYECTOS!$V$1:$W$32,2,0)</f>
        <v>050069</v>
      </c>
      <c r="I599" s="50">
        <v>35586894</v>
      </c>
      <c r="J599" s="51" t="s">
        <v>1636</v>
      </c>
      <c r="K599" s="47" t="str">
        <f t="shared" ca="1" si="242"/>
        <v>CONTRATADO</v>
      </c>
      <c r="L599" s="47" t="s">
        <v>94</v>
      </c>
      <c r="M599" s="47" t="s">
        <v>1297</v>
      </c>
      <c r="N599" s="52" t="s">
        <v>240</v>
      </c>
      <c r="O599" s="51" t="e">
        <f>VLOOKUP(N599,[2]!RUBROS[#All],3,0)</f>
        <v>#REF!</v>
      </c>
      <c r="P599" s="53" t="e">
        <f>VLOOKUP(N599,[2]!RUBROS[#All],2,0)</f>
        <v>#REF!</v>
      </c>
      <c r="Q599" s="47" t="str">
        <f t="shared" si="243"/>
        <v>22</v>
      </c>
      <c r="R599" s="47" t="str">
        <f t="shared" si="244"/>
        <v>0-205400</v>
      </c>
      <c r="S599" s="54">
        <v>6</v>
      </c>
      <c r="T599" s="63" t="s">
        <v>46</v>
      </c>
      <c r="U599" s="326" t="e">
        <f ca="1">_xlfn.XLOOKUP(PAA_4[[#This Row],[ITEM]],[2]Contrato!A:A,[2]Contrato!Q:Q,"",0)</f>
        <v>#NAME?</v>
      </c>
      <c r="V599" s="47" t="s">
        <v>47</v>
      </c>
      <c r="W599" s="64" t="s">
        <v>137</v>
      </c>
      <c r="X599" s="64" t="s">
        <v>137</v>
      </c>
      <c r="Y599" s="55" t="e">
        <f ca="1">_xlfn.XLOOKUP(PAA_4[[#This Row],[ITEM]],[2]Contrato!A:A,[2]Contrato!B:B,"",0)</f>
        <v>#NAME?</v>
      </c>
      <c r="Z599" s="47" t="e">
        <f ca="1">_xlfn.XLOOKUP(PAA_4[[#This Row],[ITEM]],[2]Contrato!A:A,[2]Contrato!G:G,"",0)</f>
        <v>#NAME?</v>
      </c>
      <c r="AA599" s="47" t="e">
        <f ca="1">_xlfn.XLOOKUP(PAA_4[[#This Row],[ITEM]],[2]Contrato!A:A,[2]Contrato!T:T,"",0)</f>
        <v>#NAME?</v>
      </c>
      <c r="AB599" s="55" t="e">
        <f ca="1">+MAX(PAA_4[[#This Row],[Comprometido Contrato]],PAA_4[[#This Row],[Comprometido Bolsa]])</f>
        <v>#NAME?</v>
      </c>
      <c r="AC599" s="55" t="str">
        <f t="shared" ca="1" si="245"/>
        <v/>
      </c>
      <c r="AD599" s="55" t="e">
        <f ca="1">IF(PAA_4[[#This Row],[ESTADO (formulado)]]="NO CONTRATADO",0,MAX(PAA_4[[#This Row],[Pago por Contrato]],PAA_4[[#This Row],[Pago por bolsa]]))</f>
        <v>#NAME?</v>
      </c>
      <c r="AE599" s="55" t="str">
        <f t="shared" ca="1" si="246"/>
        <v/>
      </c>
      <c r="AF599" s="47" t="e">
        <f t="shared" ca="1" si="241"/>
        <v>#NAME?</v>
      </c>
      <c r="AG599" s="47">
        <f t="shared" si="247"/>
        <v>41080101</v>
      </c>
      <c r="AH599" s="54" t="str">
        <f>IF(Q599="22",IF(ISNUMBER(SEARCH("econ",PAA_4[[#This Row],[Actividad3]])),"Económico",IF(ISNUMBER(SEARCH("alim",PAA_4[[#This Row],[Actividad3]])),"Alimentación",IF(ISNUMBER(SEARCH("educ",PAA_4[[#This Row],[Actividad3]])),"Educativo","Técnico"))),0)</f>
        <v>Técnico</v>
      </c>
      <c r="AI599" s="47" t="e" cm="1">
        <f t="array" aca="1" ref="AI599" ca="1">_xlfn.XLOOKUP(PAA_4[[#This Row],[RCP-RUBRO]],[2]!COMPROMISOS_2024[[#All],[concatenado]],[2]!COMPROMISOS_2024[[#All],[Total pagado]],"",0)</f>
        <v>#NAME?</v>
      </c>
      <c r="AJ599" s="56" t="e">
        <f ca="1">IF(PAA_4[[#This Row],[BOLSA]]=0,0,SUMIFS([2]!COMPROMISOS_2024[[#All],[Total pagado]],[2]!COMPROMISOS_2024[[#All],[Bolsa]],PAA_4[[#This Row],[BOLSA]],[2]!COMPROMISOS_2024[[#All],[rubro]],PAA_4[[#This Row],[RCP-RUBRO]]))</f>
        <v>#REF!</v>
      </c>
      <c r="AK599" s="47" t="e" cm="1">
        <f t="array" aca="1" ref="AK599" ca="1">_xlfn.XLOOKUP(PAA_4[[#This Row],[RCP-RUBRO]],[2]!COMPROMISOS_2024[[#All],[concatenado]],[2]!COMPROMISOS_2024[[#All],[Total Comprometido]],"",0)</f>
        <v>#NAME?</v>
      </c>
      <c r="AL599" s="47" t="e">
        <f ca="1">IF(PAA_4[[#This Row],[BOLSA]]=0,0,SUMIFS([2]!COMPROMISOS_2024[[#All],[Total Comprometido]],[2]!COMPROMISOS_2024[[#All],[Bolsa]],PAA_4[[#This Row],[BOLSA]],[2]!COMPROMISOS_2024[[#All],[concatenado]],PAA_4[[#This Row],[RCP-RUBRO]]))</f>
        <v>#REF!</v>
      </c>
    </row>
    <row r="600" spans="1:38" s="19" customFormat="1" ht="31.5" customHeight="1">
      <c r="A600" s="47">
        <v>214</v>
      </c>
      <c r="B600" s="47">
        <v>80111600</v>
      </c>
      <c r="C600" s="47" t="str">
        <f>VLOOKUP(PAA_4[[#This Row],[PROYECTO (formulado)2]],[2]PROYECTOS!$G$1:$L$32,6,0)</f>
        <v>SUBGERENCIA DE ALTOS LOGROS Y DEPORTE ASOCIADO</v>
      </c>
      <c r="D600" s="47" t="str">
        <f>+IF(PAA_4[[#This Row],[UNIDAD DE CONTRATACION (formulado)]]="Subgerencia Administrativa y Financiera","FUNCIONAMIENTO","INVERSIÓN")</f>
        <v>INVERSIÓN</v>
      </c>
      <c r="E600" s="48" t="str">
        <f>VLOOKUP(Q600,[2]PROYECTOS!$G$1:$K$32,5,0)</f>
        <v>APOYO_TÉCNICO_Y_PSICOSOCIAL_A_LOS_DEPORTISTAS_DE_ANTIOQUIA</v>
      </c>
      <c r="F600" s="48">
        <f>VLOOKUP(E600,[2]PROYECTOS!$K$1:$M$32,3,0)</f>
        <v>2021003050069</v>
      </c>
      <c r="G600" s="49" t="s">
        <v>239</v>
      </c>
      <c r="H600" s="49" t="str">
        <f>VLOOKUP(Q600,[2]PROYECTOS!$V$1:$W$32,2,0)</f>
        <v>050069</v>
      </c>
      <c r="I600" s="50">
        <v>41521014</v>
      </c>
      <c r="J600" s="51" t="s">
        <v>1637</v>
      </c>
      <c r="K600" s="47" t="str">
        <f t="shared" ca="1" si="242"/>
        <v>CONTRATADO</v>
      </c>
      <c r="L600" s="47" t="s">
        <v>94</v>
      </c>
      <c r="M600" s="47" t="s">
        <v>1297</v>
      </c>
      <c r="N600" s="52" t="s">
        <v>240</v>
      </c>
      <c r="O600" s="51" t="e">
        <f>VLOOKUP(N600,[2]!RUBROS[#All],3,0)</f>
        <v>#REF!</v>
      </c>
      <c r="P600" s="53" t="e">
        <f>VLOOKUP(N600,[2]!RUBROS[#All],2,0)</f>
        <v>#REF!</v>
      </c>
      <c r="Q600" s="47" t="str">
        <f t="shared" si="243"/>
        <v>22</v>
      </c>
      <c r="R600" s="47" t="str">
        <f t="shared" si="244"/>
        <v>0-205400</v>
      </c>
      <c r="S600" s="54">
        <v>6</v>
      </c>
      <c r="T600" s="63" t="s">
        <v>46</v>
      </c>
      <c r="U600" s="326" t="e">
        <f ca="1">_xlfn.XLOOKUP(PAA_4[[#This Row],[ITEM]],[2]Contrato!A:A,[2]Contrato!Q:Q,"",0)</f>
        <v>#NAME?</v>
      </c>
      <c r="V600" s="47" t="s">
        <v>47</v>
      </c>
      <c r="W600" s="47" t="s">
        <v>137</v>
      </c>
      <c r="X600" s="47" t="s">
        <v>137</v>
      </c>
      <c r="Y600" s="55" t="e">
        <f ca="1">_xlfn.XLOOKUP(PAA_4[[#This Row],[ITEM]],[2]Contrato!A:A,[2]Contrato!B:B,"",0)</f>
        <v>#NAME?</v>
      </c>
      <c r="Z600" s="47" t="e">
        <f ca="1">_xlfn.XLOOKUP(PAA_4[[#This Row],[ITEM]],[2]Contrato!A:A,[2]Contrato!G:G,"",0)</f>
        <v>#NAME?</v>
      </c>
      <c r="AA600" s="47" t="e">
        <f ca="1">_xlfn.XLOOKUP(PAA_4[[#This Row],[ITEM]],[2]Contrato!A:A,[2]Contrato!T:T,"",0)</f>
        <v>#NAME?</v>
      </c>
      <c r="AB600" s="55" t="e">
        <f ca="1">+MAX(PAA_4[[#This Row],[Comprometido Contrato]],PAA_4[[#This Row],[Comprometido Bolsa]])</f>
        <v>#NAME?</v>
      </c>
      <c r="AC600" s="55" t="str">
        <f t="shared" ca="1" si="245"/>
        <v/>
      </c>
      <c r="AD600" s="55" t="e">
        <f ca="1">IF(PAA_4[[#This Row],[ESTADO (formulado)]]="NO CONTRATADO",0,MAX(PAA_4[[#This Row],[Pago por Contrato]],PAA_4[[#This Row],[Pago por bolsa]]))</f>
        <v>#NAME?</v>
      </c>
      <c r="AE600" s="55" t="str">
        <f t="shared" ca="1" si="246"/>
        <v/>
      </c>
      <c r="AF600" s="47" t="e">
        <f t="shared" ca="1" si="241"/>
        <v>#NAME?</v>
      </c>
      <c r="AG600" s="47">
        <f t="shared" si="247"/>
        <v>41080101</v>
      </c>
      <c r="AH600" s="54" t="str">
        <f>IF(Q600="22",IF(ISNUMBER(SEARCH("econ",PAA_4[[#This Row],[Actividad3]])),"Económico",IF(ISNUMBER(SEARCH("alim",PAA_4[[#This Row],[Actividad3]])),"Alimentación",IF(ISNUMBER(SEARCH("educ",PAA_4[[#This Row],[Actividad3]])),"Educativo","Técnico"))),0)</f>
        <v>Técnico</v>
      </c>
      <c r="AI600" s="47" t="e" cm="1">
        <f t="array" aca="1" ref="AI600" ca="1">_xlfn.XLOOKUP(PAA_4[[#This Row],[RCP-RUBRO]],[2]!COMPROMISOS_2024[[#All],[concatenado]],[2]!COMPROMISOS_2024[[#All],[Total pagado]],"",0)</f>
        <v>#NAME?</v>
      </c>
      <c r="AJ600" s="56" t="e">
        <f ca="1">IF(PAA_4[[#This Row],[BOLSA]]=0,0,SUMIFS([2]!COMPROMISOS_2024[[#All],[Total pagado]],[2]!COMPROMISOS_2024[[#All],[Bolsa]],PAA_4[[#This Row],[BOLSA]],[2]!COMPROMISOS_2024[[#All],[rubro]],PAA_4[[#This Row],[RCP-RUBRO]]))</f>
        <v>#REF!</v>
      </c>
      <c r="AK600" s="47" t="e" cm="1">
        <f t="array" aca="1" ref="AK600" ca="1">_xlfn.XLOOKUP(PAA_4[[#This Row],[RCP-RUBRO]],[2]!COMPROMISOS_2024[[#All],[concatenado]],[2]!COMPROMISOS_2024[[#All],[Total Comprometido]],"",0)</f>
        <v>#NAME?</v>
      </c>
      <c r="AL600" s="47" t="e">
        <f ca="1">IF(PAA_4[[#This Row],[BOLSA]]=0,0,SUMIFS([2]!COMPROMISOS_2024[[#All],[Total Comprometido]],[2]!COMPROMISOS_2024[[#All],[Bolsa]],PAA_4[[#This Row],[BOLSA]],[2]!COMPROMISOS_2024[[#All],[concatenado]],PAA_4[[#This Row],[RCP-RUBRO]]))</f>
        <v>#REF!</v>
      </c>
    </row>
    <row r="601" spans="1:38" s="19" customFormat="1" ht="31.5" customHeight="1">
      <c r="A601" s="47">
        <v>215</v>
      </c>
      <c r="B601" s="47">
        <v>80111600</v>
      </c>
      <c r="C601" s="47" t="str">
        <f>VLOOKUP(PAA_4[[#This Row],[PROYECTO (formulado)2]],[2]PROYECTOS!$G$1:$L$32,6,0)</f>
        <v>SUBGERENCIA DE ALTOS LOGROS Y DEPORTE ASOCIADO</v>
      </c>
      <c r="D601" s="47" t="str">
        <f>+IF(PAA_4[[#This Row],[UNIDAD DE CONTRATACION (formulado)]]="Subgerencia Administrativa y Financiera","FUNCIONAMIENTO","INVERSIÓN")</f>
        <v>INVERSIÓN</v>
      </c>
      <c r="E601" s="48" t="str">
        <f>VLOOKUP(Q601,[2]PROYECTOS!$G$1:$K$32,5,0)</f>
        <v>APOYO_TÉCNICO_Y_PSICOSOCIAL_A_LOS_DEPORTISTAS_DE_ANTIOQUIA</v>
      </c>
      <c r="F601" s="48">
        <f>VLOOKUP(E601,[2]PROYECTOS!$K$1:$M$32,3,0)</f>
        <v>2021003050069</v>
      </c>
      <c r="G601" s="49" t="s">
        <v>239</v>
      </c>
      <c r="H601" s="49" t="str">
        <f>VLOOKUP(Q601,[2]PROYECTOS!$V$1:$W$32,2,0)</f>
        <v>050069</v>
      </c>
      <c r="I601" s="50">
        <v>29453616</v>
      </c>
      <c r="J601" s="51" t="s">
        <v>1638</v>
      </c>
      <c r="K601" s="47" t="str">
        <f t="shared" ca="1" si="242"/>
        <v>CONTRATADO</v>
      </c>
      <c r="L601" s="47" t="s">
        <v>94</v>
      </c>
      <c r="M601" s="47" t="s">
        <v>1297</v>
      </c>
      <c r="N601" s="52" t="s">
        <v>240</v>
      </c>
      <c r="O601" s="51" t="e">
        <f>VLOOKUP(N601,[2]!RUBROS[#All],3,0)</f>
        <v>#REF!</v>
      </c>
      <c r="P601" s="53" t="e">
        <f>VLOOKUP(N601,[2]!RUBROS[#All],2,0)</f>
        <v>#REF!</v>
      </c>
      <c r="Q601" s="47" t="str">
        <f t="shared" si="243"/>
        <v>22</v>
      </c>
      <c r="R601" s="47" t="str">
        <f t="shared" si="244"/>
        <v>0-205400</v>
      </c>
      <c r="S601" s="54">
        <v>6</v>
      </c>
      <c r="T601" s="63" t="s">
        <v>46</v>
      </c>
      <c r="U601" s="326" t="e">
        <f ca="1">_xlfn.XLOOKUP(PAA_4[[#This Row],[ITEM]],[2]Contrato!A:A,[2]Contrato!Q:Q,"",0)</f>
        <v>#NAME?</v>
      </c>
      <c r="V601" s="47" t="s">
        <v>47</v>
      </c>
      <c r="W601" s="47" t="s">
        <v>137</v>
      </c>
      <c r="X601" s="47" t="s">
        <v>137</v>
      </c>
      <c r="Y601" s="55" t="e">
        <f ca="1">_xlfn.XLOOKUP(PAA_4[[#This Row],[ITEM]],[2]Contrato!A:A,[2]Contrato!B:B,"",0)</f>
        <v>#NAME?</v>
      </c>
      <c r="Z601" s="47" t="e">
        <f ca="1">_xlfn.XLOOKUP(PAA_4[[#This Row],[ITEM]],[2]Contrato!A:A,[2]Contrato!G:G,"",0)</f>
        <v>#NAME?</v>
      </c>
      <c r="AA601" s="47" t="e">
        <f ca="1">_xlfn.XLOOKUP(PAA_4[[#This Row],[ITEM]],[2]Contrato!A:A,[2]Contrato!T:T,"",0)</f>
        <v>#NAME?</v>
      </c>
      <c r="AB601" s="55" t="e">
        <f ca="1">+MAX(PAA_4[[#This Row],[Comprometido Contrato]],PAA_4[[#This Row],[Comprometido Bolsa]])</f>
        <v>#NAME?</v>
      </c>
      <c r="AC601" s="55" t="str">
        <f t="shared" ca="1" si="245"/>
        <v/>
      </c>
      <c r="AD601" s="55" t="e">
        <f ca="1">IF(PAA_4[[#This Row],[ESTADO (formulado)]]="NO CONTRATADO",0,MAX(PAA_4[[#This Row],[Pago por Contrato]],PAA_4[[#This Row],[Pago por bolsa]]))</f>
        <v>#NAME?</v>
      </c>
      <c r="AE601" s="55" t="str">
        <f t="shared" ca="1" si="246"/>
        <v/>
      </c>
      <c r="AF601" s="47" t="e">
        <f t="shared" ca="1" si="241"/>
        <v>#NAME?</v>
      </c>
      <c r="AG601" s="47">
        <f t="shared" si="247"/>
        <v>41080101</v>
      </c>
      <c r="AH601" s="54" t="str">
        <f>IF(Q601="22",IF(ISNUMBER(SEARCH("econ",PAA_4[[#This Row],[Actividad3]])),"Económico",IF(ISNUMBER(SEARCH("alim",PAA_4[[#This Row],[Actividad3]])),"Alimentación",IF(ISNUMBER(SEARCH("educ",PAA_4[[#This Row],[Actividad3]])),"Educativo","Técnico"))),0)</f>
        <v>Técnico</v>
      </c>
      <c r="AI601" s="47" t="e" cm="1">
        <f t="array" aca="1" ref="AI601" ca="1">_xlfn.XLOOKUP(PAA_4[[#This Row],[RCP-RUBRO]],[2]!COMPROMISOS_2024[[#All],[concatenado]],[2]!COMPROMISOS_2024[[#All],[Total pagado]],"",0)</f>
        <v>#NAME?</v>
      </c>
      <c r="AJ601" s="56" t="e">
        <f ca="1">IF(PAA_4[[#This Row],[BOLSA]]=0,0,SUMIFS([2]!COMPROMISOS_2024[[#All],[Total pagado]],[2]!COMPROMISOS_2024[[#All],[Bolsa]],PAA_4[[#This Row],[BOLSA]],[2]!COMPROMISOS_2024[[#All],[rubro]],PAA_4[[#This Row],[RCP-RUBRO]]))</f>
        <v>#REF!</v>
      </c>
      <c r="AK601" s="47" t="e" cm="1">
        <f t="array" aca="1" ref="AK601" ca="1">_xlfn.XLOOKUP(PAA_4[[#This Row],[RCP-RUBRO]],[2]!COMPROMISOS_2024[[#All],[concatenado]],[2]!COMPROMISOS_2024[[#All],[Total Comprometido]],"",0)</f>
        <v>#NAME?</v>
      </c>
      <c r="AL601" s="47" t="e">
        <f ca="1">IF(PAA_4[[#This Row],[BOLSA]]=0,0,SUMIFS([2]!COMPROMISOS_2024[[#All],[Total Comprometido]],[2]!COMPROMISOS_2024[[#All],[Bolsa]],PAA_4[[#This Row],[BOLSA]],[2]!COMPROMISOS_2024[[#All],[concatenado]],PAA_4[[#This Row],[RCP-RUBRO]]))</f>
        <v>#REF!</v>
      </c>
    </row>
    <row r="602" spans="1:38" s="19" customFormat="1" ht="31.5" customHeight="1">
      <c r="A602" s="47">
        <v>216</v>
      </c>
      <c r="B602" s="47">
        <v>80111600</v>
      </c>
      <c r="C602" s="47" t="str">
        <f>VLOOKUP(PAA_4[[#This Row],[PROYECTO (formulado)2]],[2]PROYECTOS!$G$1:$L$32,6,0)</f>
        <v>SUBGERENCIA DE ALTOS LOGROS Y DEPORTE ASOCIADO</v>
      </c>
      <c r="D602" s="47" t="str">
        <f>+IF(PAA_4[[#This Row],[UNIDAD DE CONTRATACION (formulado)]]="Subgerencia Administrativa y Financiera","FUNCIONAMIENTO","INVERSIÓN")</f>
        <v>INVERSIÓN</v>
      </c>
      <c r="E602" s="48" t="str">
        <f>VLOOKUP(Q602,[2]PROYECTOS!$G$1:$K$32,5,0)</f>
        <v>APOYO_TÉCNICO_Y_PSICOSOCIAL_A_LOS_DEPORTISTAS_DE_ANTIOQUIA</v>
      </c>
      <c r="F602" s="48">
        <f>VLOOKUP(E602,[2]PROYECTOS!$K$1:$M$32,3,0)</f>
        <v>2021003050069</v>
      </c>
      <c r="G602" s="49" t="s">
        <v>239</v>
      </c>
      <c r="H602" s="49" t="str">
        <f>VLOOKUP(Q602,[2]PROYECTOS!$V$1:$W$32,2,0)</f>
        <v>050069</v>
      </c>
      <c r="I602" s="50">
        <v>35586894</v>
      </c>
      <c r="J602" s="51" t="s">
        <v>1639</v>
      </c>
      <c r="K602" s="47" t="str">
        <f t="shared" ca="1" si="242"/>
        <v>CONTRATADO</v>
      </c>
      <c r="L602" s="47" t="s">
        <v>94</v>
      </c>
      <c r="M602" s="47" t="s">
        <v>1297</v>
      </c>
      <c r="N602" s="52" t="s">
        <v>240</v>
      </c>
      <c r="O602" s="51" t="e">
        <f>VLOOKUP(N602,[2]!RUBROS[#All],3,0)</f>
        <v>#REF!</v>
      </c>
      <c r="P602" s="53" t="e">
        <f>VLOOKUP(N602,[2]!RUBROS[#All],2,0)</f>
        <v>#REF!</v>
      </c>
      <c r="Q602" s="47" t="str">
        <f t="shared" si="243"/>
        <v>22</v>
      </c>
      <c r="R602" s="47" t="str">
        <f t="shared" si="244"/>
        <v>0-205400</v>
      </c>
      <c r="S602" s="54">
        <v>6</v>
      </c>
      <c r="T602" s="63" t="s">
        <v>46</v>
      </c>
      <c r="U602" s="326" t="e">
        <f ca="1">_xlfn.XLOOKUP(PAA_4[[#This Row],[ITEM]],[2]Contrato!A:A,[2]Contrato!Q:Q,"",0)</f>
        <v>#NAME?</v>
      </c>
      <c r="V602" s="47" t="s">
        <v>47</v>
      </c>
      <c r="W602" s="64" t="s">
        <v>137</v>
      </c>
      <c r="X602" s="64" t="s">
        <v>137</v>
      </c>
      <c r="Y602" s="55" t="e">
        <f ca="1">_xlfn.XLOOKUP(PAA_4[[#This Row],[ITEM]],[2]Contrato!A:A,[2]Contrato!B:B,"",0)</f>
        <v>#NAME?</v>
      </c>
      <c r="Z602" s="47" t="e">
        <f ca="1">_xlfn.XLOOKUP(PAA_4[[#This Row],[ITEM]],[2]Contrato!A:A,[2]Contrato!G:G,"",0)</f>
        <v>#NAME?</v>
      </c>
      <c r="AA602" s="47" t="e">
        <f ca="1">_xlfn.XLOOKUP(PAA_4[[#This Row],[ITEM]],[2]Contrato!A:A,[2]Contrato!T:T,"",0)</f>
        <v>#NAME?</v>
      </c>
      <c r="AB602" s="55" t="e">
        <f ca="1">+MAX(PAA_4[[#This Row],[Comprometido Contrato]],PAA_4[[#This Row],[Comprometido Bolsa]])</f>
        <v>#NAME?</v>
      </c>
      <c r="AC602" s="55" t="str">
        <f t="shared" ca="1" si="245"/>
        <v/>
      </c>
      <c r="AD602" s="55" t="e">
        <f ca="1">IF(PAA_4[[#This Row],[ESTADO (formulado)]]="NO CONTRATADO",0,MAX(PAA_4[[#This Row],[Pago por Contrato]],PAA_4[[#This Row],[Pago por bolsa]]))</f>
        <v>#NAME?</v>
      </c>
      <c r="AE602" s="55" t="str">
        <f t="shared" ca="1" si="246"/>
        <v/>
      </c>
      <c r="AF602" s="47" t="e">
        <f t="shared" ca="1" si="241"/>
        <v>#NAME?</v>
      </c>
      <c r="AG602" s="47">
        <f t="shared" si="247"/>
        <v>41080101</v>
      </c>
      <c r="AH602" s="54" t="str">
        <f>IF(Q602="22",IF(ISNUMBER(SEARCH("econ",PAA_4[[#This Row],[Actividad3]])),"Económico",IF(ISNUMBER(SEARCH("alim",PAA_4[[#This Row],[Actividad3]])),"Alimentación",IF(ISNUMBER(SEARCH("educ",PAA_4[[#This Row],[Actividad3]])),"Educativo","Técnico"))),0)</f>
        <v>Técnico</v>
      </c>
      <c r="AI602" s="47" t="e" cm="1">
        <f t="array" aca="1" ref="AI602" ca="1">_xlfn.XLOOKUP(PAA_4[[#This Row],[RCP-RUBRO]],[2]!COMPROMISOS_2024[[#All],[concatenado]],[2]!COMPROMISOS_2024[[#All],[Total pagado]],"",0)</f>
        <v>#NAME?</v>
      </c>
      <c r="AJ602" s="56" t="e">
        <f ca="1">IF(PAA_4[[#This Row],[BOLSA]]=0,0,SUMIFS([2]!COMPROMISOS_2024[[#All],[Total pagado]],[2]!COMPROMISOS_2024[[#All],[Bolsa]],PAA_4[[#This Row],[BOLSA]],[2]!COMPROMISOS_2024[[#All],[rubro]],PAA_4[[#This Row],[RCP-RUBRO]]))</f>
        <v>#REF!</v>
      </c>
      <c r="AK602" s="47" t="e" cm="1">
        <f t="array" aca="1" ref="AK602" ca="1">_xlfn.XLOOKUP(PAA_4[[#This Row],[RCP-RUBRO]],[2]!COMPROMISOS_2024[[#All],[concatenado]],[2]!COMPROMISOS_2024[[#All],[Total Comprometido]],"",0)</f>
        <v>#NAME?</v>
      </c>
      <c r="AL602" s="47" t="e">
        <f ca="1">IF(PAA_4[[#This Row],[BOLSA]]=0,0,SUMIFS([2]!COMPROMISOS_2024[[#All],[Total Comprometido]],[2]!COMPROMISOS_2024[[#All],[Bolsa]],PAA_4[[#This Row],[BOLSA]],[2]!COMPROMISOS_2024[[#All],[concatenado]],PAA_4[[#This Row],[RCP-RUBRO]]))</f>
        <v>#REF!</v>
      </c>
    </row>
    <row r="603" spans="1:38" s="19" customFormat="1" ht="31.5" customHeight="1">
      <c r="A603" s="47">
        <v>217</v>
      </c>
      <c r="B603" s="47">
        <v>80111600</v>
      </c>
      <c r="C603" s="47" t="str">
        <f>VLOOKUP(PAA_4[[#This Row],[PROYECTO (formulado)2]],[2]PROYECTOS!$G$1:$L$32,6,0)</f>
        <v>SUBGERENCIA DE ALTOS LOGROS Y DEPORTE ASOCIADO</v>
      </c>
      <c r="D603" s="47" t="str">
        <f>+IF(PAA_4[[#This Row],[UNIDAD DE CONTRATACION (formulado)]]="Subgerencia Administrativa y Financiera","FUNCIONAMIENTO","INVERSIÓN")</f>
        <v>INVERSIÓN</v>
      </c>
      <c r="E603" s="48" t="str">
        <f>VLOOKUP(Q603,[2]PROYECTOS!$G$1:$K$32,5,0)</f>
        <v>APOYO_TÉCNICO_Y_PSICOSOCIAL_A_LOS_DEPORTISTAS_DE_ANTIOQUIA</v>
      </c>
      <c r="F603" s="48">
        <f>VLOOKUP(E603,[2]PROYECTOS!$K$1:$M$32,3,0)</f>
        <v>2021003050069</v>
      </c>
      <c r="G603" s="49" t="s">
        <v>239</v>
      </c>
      <c r="H603" s="49" t="str">
        <f>VLOOKUP(Q603,[2]PROYECTOS!$V$1:$W$32,2,0)</f>
        <v>050069</v>
      </c>
      <c r="I603" s="50">
        <v>23714292</v>
      </c>
      <c r="J603" s="51" t="s">
        <v>1640</v>
      </c>
      <c r="K603" s="47" t="str">
        <f t="shared" ca="1" si="242"/>
        <v>CONTRATADO</v>
      </c>
      <c r="L603" s="47" t="s">
        <v>94</v>
      </c>
      <c r="M603" s="47" t="s">
        <v>1297</v>
      </c>
      <c r="N603" s="52" t="s">
        <v>240</v>
      </c>
      <c r="O603" s="51" t="e">
        <f>VLOOKUP(N603,[2]!RUBROS[#All],3,0)</f>
        <v>#REF!</v>
      </c>
      <c r="P603" s="53" t="e">
        <f>VLOOKUP(N603,[2]!RUBROS[#All],2,0)</f>
        <v>#REF!</v>
      </c>
      <c r="Q603" s="47" t="str">
        <f t="shared" si="243"/>
        <v>22</v>
      </c>
      <c r="R603" s="47" t="str">
        <f t="shared" si="244"/>
        <v>0-205400</v>
      </c>
      <c r="S603" s="54">
        <v>6</v>
      </c>
      <c r="T603" s="63" t="s">
        <v>46</v>
      </c>
      <c r="U603" s="326" t="e">
        <f ca="1">_xlfn.XLOOKUP(PAA_4[[#This Row],[ITEM]],[2]Contrato!A:A,[2]Contrato!Q:Q,"",0)</f>
        <v>#NAME?</v>
      </c>
      <c r="V603" s="47" t="s">
        <v>47</v>
      </c>
      <c r="W603" s="64" t="s">
        <v>137</v>
      </c>
      <c r="X603" s="64" t="s">
        <v>137</v>
      </c>
      <c r="Y603" s="55" t="e">
        <f ca="1">_xlfn.XLOOKUP(PAA_4[[#This Row],[ITEM]],[2]Contrato!A:A,[2]Contrato!B:B,"",0)</f>
        <v>#NAME?</v>
      </c>
      <c r="Z603" s="47" t="e">
        <f ca="1">_xlfn.XLOOKUP(PAA_4[[#This Row],[ITEM]],[2]Contrato!A:A,[2]Contrato!G:G,"",0)</f>
        <v>#NAME?</v>
      </c>
      <c r="AA603" s="47" t="e">
        <f ca="1">_xlfn.XLOOKUP(PAA_4[[#This Row],[ITEM]],[2]Contrato!A:A,[2]Contrato!T:T,"",0)</f>
        <v>#NAME?</v>
      </c>
      <c r="AB603" s="55" t="e">
        <f ca="1">+MAX(PAA_4[[#This Row],[Comprometido Contrato]],PAA_4[[#This Row],[Comprometido Bolsa]])</f>
        <v>#NAME?</v>
      </c>
      <c r="AC603" s="55" t="str">
        <f t="shared" ca="1" si="245"/>
        <v/>
      </c>
      <c r="AD603" s="55" t="e">
        <f ca="1">IF(PAA_4[[#This Row],[ESTADO (formulado)]]="NO CONTRATADO",0,MAX(PAA_4[[#This Row],[Pago por Contrato]],PAA_4[[#This Row],[Pago por bolsa]]))</f>
        <v>#NAME?</v>
      </c>
      <c r="AE603" s="55" t="str">
        <f t="shared" ca="1" si="246"/>
        <v/>
      </c>
      <c r="AF603" s="47" t="e">
        <f t="shared" ca="1" si="241"/>
        <v>#NAME?</v>
      </c>
      <c r="AG603" s="47">
        <f t="shared" si="247"/>
        <v>41080101</v>
      </c>
      <c r="AH603" s="54" t="str">
        <f>IF(Q603="22",IF(ISNUMBER(SEARCH("econ",PAA_4[[#This Row],[Actividad3]])),"Económico",IF(ISNUMBER(SEARCH("alim",PAA_4[[#This Row],[Actividad3]])),"Alimentación",IF(ISNUMBER(SEARCH("educ",PAA_4[[#This Row],[Actividad3]])),"Educativo","Técnico"))),0)</f>
        <v>Técnico</v>
      </c>
      <c r="AI603" s="47" t="e" cm="1">
        <f t="array" aca="1" ref="AI603" ca="1">_xlfn.XLOOKUP(PAA_4[[#This Row],[RCP-RUBRO]],[2]!COMPROMISOS_2024[[#All],[concatenado]],[2]!COMPROMISOS_2024[[#All],[Total pagado]],"",0)</f>
        <v>#NAME?</v>
      </c>
      <c r="AJ603" s="56" t="e">
        <f ca="1">IF(PAA_4[[#This Row],[BOLSA]]=0,0,SUMIFS([2]!COMPROMISOS_2024[[#All],[Total pagado]],[2]!COMPROMISOS_2024[[#All],[Bolsa]],PAA_4[[#This Row],[BOLSA]],[2]!COMPROMISOS_2024[[#All],[rubro]],PAA_4[[#This Row],[RCP-RUBRO]]))</f>
        <v>#REF!</v>
      </c>
      <c r="AK603" s="47" t="e" cm="1">
        <f t="array" aca="1" ref="AK603" ca="1">_xlfn.XLOOKUP(PAA_4[[#This Row],[RCP-RUBRO]],[2]!COMPROMISOS_2024[[#All],[concatenado]],[2]!COMPROMISOS_2024[[#All],[Total Comprometido]],"",0)</f>
        <v>#NAME?</v>
      </c>
      <c r="AL603" s="47" t="e">
        <f ca="1">IF(PAA_4[[#This Row],[BOLSA]]=0,0,SUMIFS([2]!COMPROMISOS_2024[[#All],[Total Comprometido]],[2]!COMPROMISOS_2024[[#All],[Bolsa]],PAA_4[[#This Row],[BOLSA]],[2]!COMPROMISOS_2024[[#All],[concatenado]],PAA_4[[#This Row],[RCP-RUBRO]]))</f>
        <v>#REF!</v>
      </c>
    </row>
    <row r="604" spans="1:38" s="19" customFormat="1" ht="31.5" customHeight="1">
      <c r="A604" s="47">
        <v>218</v>
      </c>
      <c r="B604" s="47">
        <v>80111600</v>
      </c>
      <c r="C604" s="47" t="str">
        <f>VLOOKUP(PAA_4[[#This Row],[PROYECTO (formulado)2]],[2]PROYECTOS!$G$1:$L$32,6,0)</f>
        <v>SUBGERENCIA DE ALTOS LOGROS Y DEPORTE ASOCIADO</v>
      </c>
      <c r="D604" s="47" t="str">
        <f>+IF(PAA_4[[#This Row],[UNIDAD DE CONTRATACION (formulado)]]="Subgerencia Administrativa y Financiera","FUNCIONAMIENTO","INVERSIÓN")</f>
        <v>INVERSIÓN</v>
      </c>
      <c r="E604" s="48" t="str">
        <f>VLOOKUP(Q604,[2]PROYECTOS!$G$1:$K$32,5,0)</f>
        <v>APOYO_TÉCNICO_Y_PSICOSOCIAL_A_LOS_DEPORTISTAS_DE_ANTIOQUIA</v>
      </c>
      <c r="F604" s="48">
        <f>VLOOKUP(E604,[2]PROYECTOS!$K$1:$M$32,3,0)</f>
        <v>2021003050069</v>
      </c>
      <c r="G604" s="49" t="s">
        <v>239</v>
      </c>
      <c r="H604" s="49" t="str">
        <f>VLOOKUP(Q604,[2]PROYECTOS!$V$1:$W$32,2,0)</f>
        <v>050069</v>
      </c>
      <c r="I604" s="50">
        <f>23714292-5928573</f>
        <v>17785719</v>
      </c>
      <c r="J604" s="51" t="s">
        <v>1641</v>
      </c>
      <c r="K604" s="47" t="str">
        <f t="shared" ca="1" si="242"/>
        <v>CONTRATADO</v>
      </c>
      <c r="L604" s="47" t="s">
        <v>94</v>
      </c>
      <c r="M604" s="47" t="s">
        <v>1297</v>
      </c>
      <c r="N604" s="52" t="s">
        <v>240</v>
      </c>
      <c r="O604" s="51" t="e">
        <f>VLOOKUP(N604,[2]!RUBROS[#All],3,0)</f>
        <v>#REF!</v>
      </c>
      <c r="P604" s="53" t="e">
        <f>VLOOKUP(N604,[2]!RUBROS[#All],2,0)</f>
        <v>#REF!</v>
      </c>
      <c r="Q604" s="47" t="str">
        <f t="shared" si="243"/>
        <v>22</v>
      </c>
      <c r="R604" s="47" t="str">
        <f t="shared" si="244"/>
        <v>0-205400</v>
      </c>
      <c r="S604" s="54">
        <v>6</v>
      </c>
      <c r="T604" s="63" t="s">
        <v>46</v>
      </c>
      <c r="U604" s="326" t="e">
        <f ca="1">_xlfn.XLOOKUP(PAA_4[[#This Row],[ITEM]],[2]Contrato!A:A,[2]Contrato!Q:Q,"",0)</f>
        <v>#NAME?</v>
      </c>
      <c r="V604" s="47" t="s">
        <v>47</v>
      </c>
      <c r="W604" s="64" t="s">
        <v>137</v>
      </c>
      <c r="X604" s="64" t="s">
        <v>137</v>
      </c>
      <c r="Y604" s="55" t="e">
        <f ca="1">_xlfn.XLOOKUP(PAA_4[[#This Row],[ITEM]],[2]Contrato!A:A,[2]Contrato!B:B,"",0)</f>
        <v>#NAME?</v>
      </c>
      <c r="Z604" s="47" t="e">
        <f ca="1">_xlfn.XLOOKUP(PAA_4[[#This Row],[ITEM]],[2]Contrato!A:A,[2]Contrato!G:G,"",0)</f>
        <v>#NAME?</v>
      </c>
      <c r="AA604" s="47" t="e">
        <f ca="1">_xlfn.XLOOKUP(PAA_4[[#This Row],[ITEM]],[2]Contrato!A:A,[2]Contrato!T:T,"",0)</f>
        <v>#NAME?</v>
      </c>
      <c r="AB604" s="55" t="e">
        <f ca="1">+MAX(PAA_4[[#This Row],[Comprometido Contrato]],PAA_4[[#This Row],[Comprometido Bolsa]])</f>
        <v>#NAME?</v>
      </c>
      <c r="AC604" s="55" t="str">
        <f t="shared" ca="1" si="245"/>
        <v/>
      </c>
      <c r="AD604" s="55" t="e">
        <f ca="1">IF(PAA_4[[#This Row],[ESTADO (formulado)]]="NO CONTRATADO",0,MAX(PAA_4[[#This Row],[Pago por Contrato]],PAA_4[[#This Row],[Pago por bolsa]]))</f>
        <v>#NAME?</v>
      </c>
      <c r="AE604" s="55" t="str">
        <f t="shared" ca="1" si="246"/>
        <v/>
      </c>
      <c r="AF604" s="47" t="e">
        <f t="shared" ca="1" si="241"/>
        <v>#NAME?</v>
      </c>
      <c r="AG604" s="47">
        <f t="shared" si="247"/>
        <v>41080101</v>
      </c>
      <c r="AH604" s="54" t="str">
        <f>IF(Q604="22",IF(ISNUMBER(SEARCH("econ",PAA_4[[#This Row],[Actividad3]])),"Económico",IF(ISNUMBER(SEARCH("alim",PAA_4[[#This Row],[Actividad3]])),"Alimentación",IF(ISNUMBER(SEARCH("educ",PAA_4[[#This Row],[Actividad3]])),"Educativo","Técnico"))),0)</f>
        <v>Técnico</v>
      </c>
      <c r="AI604" s="47" t="e" cm="1">
        <f t="array" aca="1" ref="AI604" ca="1">_xlfn.XLOOKUP(PAA_4[[#This Row],[RCP-RUBRO]],[2]!COMPROMISOS_2024[[#All],[concatenado]],[2]!COMPROMISOS_2024[[#All],[Total pagado]],"",0)</f>
        <v>#NAME?</v>
      </c>
      <c r="AJ604" s="56" t="e">
        <f ca="1">IF(PAA_4[[#This Row],[BOLSA]]=0,0,SUMIFS([2]!COMPROMISOS_2024[[#All],[Total pagado]],[2]!COMPROMISOS_2024[[#All],[Bolsa]],PAA_4[[#This Row],[BOLSA]],[2]!COMPROMISOS_2024[[#All],[rubro]],PAA_4[[#This Row],[RCP-RUBRO]]))</f>
        <v>#REF!</v>
      </c>
      <c r="AK604" s="47" t="e" cm="1">
        <f t="array" aca="1" ref="AK604" ca="1">_xlfn.XLOOKUP(PAA_4[[#This Row],[RCP-RUBRO]],[2]!COMPROMISOS_2024[[#All],[concatenado]],[2]!COMPROMISOS_2024[[#All],[Total Comprometido]],"",0)</f>
        <v>#NAME?</v>
      </c>
      <c r="AL604" s="47" t="e">
        <f ca="1">IF(PAA_4[[#This Row],[BOLSA]]=0,0,SUMIFS([2]!COMPROMISOS_2024[[#All],[Total Comprometido]],[2]!COMPROMISOS_2024[[#All],[Bolsa]],PAA_4[[#This Row],[BOLSA]],[2]!COMPROMISOS_2024[[#All],[concatenado]],PAA_4[[#This Row],[RCP-RUBRO]]))</f>
        <v>#REF!</v>
      </c>
    </row>
    <row r="605" spans="1:38" s="19" customFormat="1" ht="31.5" customHeight="1">
      <c r="A605" s="47">
        <v>219</v>
      </c>
      <c r="B605" s="47">
        <v>80111600</v>
      </c>
      <c r="C605" s="47" t="str">
        <f>VLOOKUP(PAA_4[[#This Row],[PROYECTO (formulado)2]],[2]PROYECTOS!$G$1:$L$32,6,0)</f>
        <v>SUBGERENCIA DE ALTOS LOGROS Y DEPORTE ASOCIADO</v>
      </c>
      <c r="D605" s="47" t="str">
        <f>+IF(PAA_4[[#This Row],[UNIDAD DE CONTRATACION (formulado)]]="Subgerencia Administrativa y Financiera","FUNCIONAMIENTO","INVERSIÓN")</f>
        <v>INVERSIÓN</v>
      </c>
      <c r="E605" s="48" t="str">
        <f>VLOOKUP(Q605,[2]PROYECTOS!$G$1:$K$32,5,0)</f>
        <v>APOYO_TÉCNICO_Y_PSICOSOCIAL_A_LOS_DEPORTISTAS_DE_ANTIOQUIA</v>
      </c>
      <c r="F605" s="48">
        <f>VLOOKUP(E605,[2]PROYECTOS!$K$1:$M$32,3,0)</f>
        <v>2021003050069</v>
      </c>
      <c r="G605" s="49" t="s">
        <v>239</v>
      </c>
      <c r="H605" s="49" t="str">
        <f>VLOOKUP(Q605,[2]PROYECTOS!$V$1:$W$32,2,0)</f>
        <v>050069</v>
      </c>
      <c r="I605" s="50">
        <v>35586894</v>
      </c>
      <c r="J605" s="51" t="s">
        <v>1642</v>
      </c>
      <c r="K605" s="47" t="str">
        <f t="shared" ca="1" si="242"/>
        <v>CONTRATADO</v>
      </c>
      <c r="L605" s="47" t="s">
        <v>94</v>
      </c>
      <c r="M605" s="47" t="s">
        <v>1297</v>
      </c>
      <c r="N605" s="52" t="s">
        <v>240</v>
      </c>
      <c r="O605" s="51" t="e">
        <f>VLOOKUP(N605,[2]!RUBROS[#All],3,0)</f>
        <v>#REF!</v>
      </c>
      <c r="P605" s="53" t="e">
        <f>VLOOKUP(N605,[2]!RUBROS[#All],2,0)</f>
        <v>#REF!</v>
      </c>
      <c r="Q605" s="47" t="str">
        <f t="shared" si="243"/>
        <v>22</v>
      </c>
      <c r="R605" s="47" t="str">
        <f t="shared" si="244"/>
        <v>0-205400</v>
      </c>
      <c r="S605" s="54">
        <v>6</v>
      </c>
      <c r="T605" s="63" t="s">
        <v>46</v>
      </c>
      <c r="U605" s="326" t="e">
        <f ca="1">_xlfn.XLOOKUP(PAA_4[[#This Row],[ITEM]],[2]Contrato!A:A,[2]Contrato!Q:Q,"",0)</f>
        <v>#NAME?</v>
      </c>
      <c r="V605" s="47" t="s">
        <v>47</v>
      </c>
      <c r="W605" s="64" t="s">
        <v>137</v>
      </c>
      <c r="X605" s="64" t="s">
        <v>137</v>
      </c>
      <c r="Y605" s="55" t="e">
        <f ca="1">_xlfn.XLOOKUP(PAA_4[[#This Row],[ITEM]],[2]Contrato!A:A,[2]Contrato!B:B,"",0)</f>
        <v>#NAME?</v>
      </c>
      <c r="Z605" s="47" t="e">
        <f ca="1">_xlfn.XLOOKUP(PAA_4[[#This Row],[ITEM]],[2]Contrato!A:A,[2]Contrato!G:G,"",0)</f>
        <v>#NAME?</v>
      </c>
      <c r="AA605" s="47" t="e">
        <f ca="1">_xlfn.XLOOKUP(PAA_4[[#This Row],[ITEM]],[2]Contrato!A:A,[2]Contrato!T:T,"",0)</f>
        <v>#NAME?</v>
      </c>
      <c r="AB605" s="55" t="e">
        <f ca="1">+MAX(PAA_4[[#This Row],[Comprometido Contrato]],PAA_4[[#This Row],[Comprometido Bolsa]])</f>
        <v>#NAME?</v>
      </c>
      <c r="AC605" s="55" t="str">
        <f t="shared" ca="1" si="245"/>
        <v/>
      </c>
      <c r="AD605" s="55" t="e">
        <f ca="1">IF(PAA_4[[#This Row],[ESTADO (formulado)]]="NO CONTRATADO",0,MAX(PAA_4[[#This Row],[Pago por Contrato]],PAA_4[[#This Row],[Pago por bolsa]]))</f>
        <v>#NAME?</v>
      </c>
      <c r="AE605" s="55" t="str">
        <f t="shared" ca="1" si="246"/>
        <v/>
      </c>
      <c r="AF605" s="47" t="e">
        <f t="shared" ca="1" si="241"/>
        <v>#NAME?</v>
      </c>
      <c r="AG605" s="47">
        <f t="shared" si="247"/>
        <v>41080101</v>
      </c>
      <c r="AH605" s="54" t="str">
        <f>IF(Q605="22",IF(ISNUMBER(SEARCH("econ",PAA_4[[#This Row],[Actividad3]])),"Económico",IF(ISNUMBER(SEARCH("alim",PAA_4[[#This Row],[Actividad3]])),"Alimentación",IF(ISNUMBER(SEARCH("educ",PAA_4[[#This Row],[Actividad3]])),"Educativo","Técnico"))),0)</f>
        <v>Técnico</v>
      </c>
      <c r="AI605" s="47" t="e" cm="1">
        <f t="array" aca="1" ref="AI605" ca="1">_xlfn.XLOOKUP(PAA_4[[#This Row],[RCP-RUBRO]],[2]!COMPROMISOS_2024[[#All],[concatenado]],[2]!COMPROMISOS_2024[[#All],[Total pagado]],"",0)</f>
        <v>#NAME?</v>
      </c>
      <c r="AJ605" s="56" t="e">
        <f ca="1">IF(PAA_4[[#This Row],[BOLSA]]=0,0,SUMIFS([2]!COMPROMISOS_2024[[#All],[Total pagado]],[2]!COMPROMISOS_2024[[#All],[Bolsa]],PAA_4[[#This Row],[BOLSA]],[2]!COMPROMISOS_2024[[#All],[rubro]],PAA_4[[#This Row],[RCP-RUBRO]]))</f>
        <v>#REF!</v>
      </c>
      <c r="AK605" s="47" t="e" cm="1">
        <f t="array" aca="1" ref="AK605" ca="1">_xlfn.XLOOKUP(PAA_4[[#This Row],[RCP-RUBRO]],[2]!COMPROMISOS_2024[[#All],[concatenado]],[2]!COMPROMISOS_2024[[#All],[Total Comprometido]],"",0)</f>
        <v>#NAME?</v>
      </c>
      <c r="AL605" s="47" t="e">
        <f ca="1">IF(PAA_4[[#This Row],[BOLSA]]=0,0,SUMIFS([2]!COMPROMISOS_2024[[#All],[Total Comprometido]],[2]!COMPROMISOS_2024[[#All],[Bolsa]],PAA_4[[#This Row],[BOLSA]],[2]!COMPROMISOS_2024[[#All],[concatenado]],PAA_4[[#This Row],[RCP-RUBRO]]))</f>
        <v>#REF!</v>
      </c>
    </row>
    <row r="606" spans="1:38" s="19" customFormat="1" ht="31.5" customHeight="1">
      <c r="A606" s="47">
        <v>220</v>
      </c>
      <c r="B606" s="47">
        <v>80111600</v>
      </c>
      <c r="C606" s="47" t="str">
        <f>VLOOKUP(PAA_4[[#This Row],[PROYECTO (formulado)2]],[2]PROYECTOS!$G$1:$L$32,6,0)</f>
        <v>SUBGERENCIA DE ALTOS LOGROS Y DEPORTE ASOCIADO</v>
      </c>
      <c r="D606" s="47" t="str">
        <f>+IF(PAA_4[[#This Row],[UNIDAD DE CONTRATACION (formulado)]]="Subgerencia Administrativa y Financiera","FUNCIONAMIENTO","INVERSIÓN")</f>
        <v>INVERSIÓN</v>
      </c>
      <c r="E606" s="48" t="str">
        <f>VLOOKUP(Q606,[2]PROYECTOS!$G$1:$K$32,5,0)</f>
        <v>APOYO_TÉCNICO_Y_PSICOSOCIAL_A_LOS_DEPORTISTAS_DE_ANTIOQUIA</v>
      </c>
      <c r="F606" s="48">
        <f>VLOOKUP(E606,[2]PROYECTOS!$K$1:$M$32,3,0)</f>
        <v>2021003050069</v>
      </c>
      <c r="G606" s="49" t="s">
        <v>239</v>
      </c>
      <c r="H606" s="49" t="str">
        <f>VLOOKUP(Q606,[2]PROYECTOS!$V$1:$W$32,2,0)</f>
        <v>050069</v>
      </c>
      <c r="I606" s="50">
        <v>29453616</v>
      </c>
      <c r="J606" s="51" t="s">
        <v>1643</v>
      </c>
      <c r="K606" s="47" t="str">
        <f t="shared" ca="1" si="242"/>
        <v>CONTRATADO</v>
      </c>
      <c r="L606" s="47" t="s">
        <v>94</v>
      </c>
      <c r="M606" s="47" t="s">
        <v>1297</v>
      </c>
      <c r="N606" s="52" t="s">
        <v>240</v>
      </c>
      <c r="O606" s="51" t="e">
        <f>VLOOKUP(N606,[2]!RUBROS[#All],3,0)</f>
        <v>#REF!</v>
      </c>
      <c r="P606" s="53" t="e">
        <f>VLOOKUP(N606,[2]!RUBROS[#All],2,0)</f>
        <v>#REF!</v>
      </c>
      <c r="Q606" s="47" t="str">
        <f t="shared" si="243"/>
        <v>22</v>
      </c>
      <c r="R606" s="47" t="str">
        <f t="shared" si="244"/>
        <v>0-205400</v>
      </c>
      <c r="S606" s="54">
        <v>6</v>
      </c>
      <c r="T606" s="63" t="s">
        <v>46</v>
      </c>
      <c r="U606" s="326" t="e">
        <f ca="1">_xlfn.XLOOKUP(PAA_4[[#This Row],[ITEM]],[2]Contrato!A:A,[2]Contrato!Q:Q,"",0)</f>
        <v>#NAME?</v>
      </c>
      <c r="V606" s="47" t="s">
        <v>47</v>
      </c>
      <c r="W606" s="64" t="s">
        <v>137</v>
      </c>
      <c r="X606" s="64" t="s">
        <v>137</v>
      </c>
      <c r="Y606" s="55" t="e">
        <f ca="1">_xlfn.XLOOKUP(PAA_4[[#This Row],[ITEM]],[2]Contrato!A:A,[2]Contrato!B:B,"",0)</f>
        <v>#NAME?</v>
      </c>
      <c r="Z606" s="47" t="e">
        <f ca="1">_xlfn.XLOOKUP(PAA_4[[#This Row],[ITEM]],[2]Contrato!A:A,[2]Contrato!G:G,"",0)</f>
        <v>#NAME?</v>
      </c>
      <c r="AA606" s="47" t="e">
        <f ca="1">_xlfn.XLOOKUP(PAA_4[[#This Row],[ITEM]],[2]Contrato!A:A,[2]Contrato!T:T,"",0)</f>
        <v>#NAME?</v>
      </c>
      <c r="AB606" s="55" t="e">
        <f ca="1">+MAX(PAA_4[[#This Row],[Comprometido Contrato]],PAA_4[[#This Row],[Comprometido Bolsa]])</f>
        <v>#NAME?</v>
      </c>
      <c r="AC606" s="55" t="str">
        <f t="shared" ca="1" si="245"/>
        <v/>
      </c>
      <c r="AD606" s="55" t="e">
        <f ca="1">IF(PAA_4[[#This Row],[ESTADO (formulado)]]="NO CONTRATADO",0,MAX(PAA_4[[#This Row],[Pago por Contrato]],PAA_4[[#This Row],[Pago por bolsa]]))</f>
        <v>#NAME?</v>
      </c>
      <c r="AE606" s="55" t="str">
        <f t="shared" ca="1" si="246"/>
        <v/>
      </c>
      <c r="AF606" s="47" t="e">
        <f t="shared" ca="1" si="241"/>
        <v>#NAME?</v>
      </c>
      <c r="AG606" s="47">
        <f t="shared" si="247"/>
        <v>41080101</v>
      </c>
      <c r="AH606" s="54" t="str">
        <f>IF(Q606="22",IF(ISNUMBER(SEARCH("econ",PAA_4[[#This Row],[Actividad3]])),"Económico",IF(ISNUMBER(SEARCH("alim",PAA_4[[#This Row],[Actividad3]])),"Alimentación",IF(ISNUMBER(SEARCH("educ",PAA_4[[#This Row],[Actividad3]])),"Educativo","Técnico"))),0)</f>
        <v>Técnico</v>
      </c>
      <c r="AI606" s="47" t="e" cm="1">
        <f t="array" aca="1" ref="AI606" ca="1">_xlfn.XLOOKUP(PAA_4[[#This Row],[RCP-RUBRO]],[2]!COMPROMISOS_2024[[#All],[concatenado]],[2]!COMPROMISOS_2024[[#All],[Total pagado]],"",0)</f>
        <v>#NAME?</v>
      </c>
      <c r="AJ606" s="56" t="e">
        <f ca="1">IF(PAA_4[[#This Row],[BOLSA]]=0,0,SUMIFS([2]!COMPROMISOS_2024[[#All],[Total pagado]],[2]!COMPROMISOS_2024[[#All],[Bolsa]],PAA_4[[#This Row],[BOLSA]],[2]!COMPROMISOS_2024[[#All],[rubro]],PAA_4[[#This Row],[RCP-RUBRO]]))</f>
        <v>#REF!</v>
      </c>
      <c r="AK606" s="47" t="e" cm="1">
        <f t="array" aca="1" ref="AK606" ca="1">_xlfn.XLOOKUP(PAA_4[[#This Row],[RCP-RUBRO]],[2]!COMPROMISOS_2024[[#All],[concatenado]],[2]!COMPROMISOS_2024[[#All],[Total Comprometido]],"",0)</f>
        <v>#NAME?</v>
      </c>
      <c r="AL606" s="47" t="e">
        <f ca="1">IF(PAA_4[[#This Row],[BOLSA]]=0,0,SUMIFS([2]!COMPROMISOS_2024[[#All],[Total Comprometido]],[2]!COMPROMISOS_2024[[#All],[Bolsa]],PAA_4[[#This Row],[BOLSA]],[2]!COMPROMISOS_2024[[#All],[concatenado]],PAA_4[[#This Row],[RCP-RUBRO]]))</f>
        <v>#REF!</v>
      </c>
    </row>
    <row r="607" spans="1:38" s="19" customFormat="1" ht="31.5" customHeight="1">
      <c r="A607" s="47">
        <v>221</v>
      </c>
      <c r="B607" s="47">
        <v>80111600</v>
      </c>
      <c r="C607" s="47" t="str">
        <f>VLOOKUP(PAA_4[[#This Row],[PROYECTO (formulado)2]],[2]PROYECTOS!$G$1:$L$32,6,0)</f>
        <v>SUBGERENCIA DE ALTOS LOGROS Y DEPORTE ASOCIADO</v>
      </c>
      <c r="D607" s="47" t="str">
        <f>+IF(PAA_4[[#This Row],[UNIDAD DE CONTRATACION (formulado)]]="Subgerencia Administrativa y Financiera","FUNCIONAMIENTO","INVERSIÓN")</f>
        <v>INVERSIÓN</v>
      </c>
      <c r="E607" s="48" t="str">
        <f>VLOOKUP(Q607,[2]PROYECTOS!$G$1:$K$32,5,0)</f>
        <v>APOYO_TÉCNICO_Y_PSICOSOCIAL_A_LOS_DEPORTISTAS_DE_ANTIOQUIA</v>
      </c>
      <c r="F607" s="48">
        <f>VLOOKUP(E607,[2]PROYECTOS!$K$1:$M$32,3,0)</f>
        <v>2021003050069</v>
      </c>
      <c r="G607" s="49" t="s">
        <v>239</v>
      </c>
      <c r="H607" s="49" t="str">
        <f>VLOOKUP(Q607,[2]PROYECTOS!$V$1:$W$32,2,0)</f>
        <v>050069</v>
      </c>
      <c r="I607" s="50">
        <v>35586894</v>
      </c>
      <c r="J607" s="51" t="s">
        <v>1644</v>
      </c>
      <c r="K607" s="47" t="str">
        <f t="shared" ca="1" si="242"/>
        <v>CONTRATADO</v>
      </c>
      <c r="L607" s="47" t="s">
        <v>94</v>
      </c>
      <c r="M607" s="47" t="s">
        <v>1297</v>
      </c>
      <c r="N607" s="52" t="s">
        <v>240</v>
      </c>
      <c r="O607" s="51" t="e">
        <f>VLOOKUP(N607,[2]!RUBROS[#All],3,0)</f>
        <v>#REF!</v>
      </c>
      <c r="P607" s="53" t="e">
        <f>VLOOKUP(N607,[2]!RUBROS[#All],2,0)</f>
        <v>#REF!</v>
      </c>
      <c r="Q607" s="47" t="str">
        <f t="shared" si="243"/>
        <v>22</v>
      </c>
      <c r="R607" s="47" t="str">
        <f t="shared" si="244"/>
        <v>0-205400</v>
      </c>
      <c r="S607" s="54">
        <v>6</v>
      </c>
      <c r="T607" s="63" t="s">
        <v>46</v>
      </c>
      <c r="U607" s="326" t="e">
        <f ca="1">_xlfn.XLOOKUP(PAA_4[[#This Row],[ITEM]],[2]Contrato!A:A,[2]Contrato!Q:Q,"",0)</f>
        <v>#NAME?</v>
      </c>
      <c r="V607" s="47" t="s">
        <v>47</v>
      </c>
      <c r="W607" s="64" t="s">
        <v>137</v>
      </c>
      <c r="X607" s="64" t="s">
        <v>137</v>
      </c>
      <c r="Y607" s="55" t="e">
        <f ca="1">_xlfn.XLOOKUP(PAA_4[[#This Row],[ITEM]],[2]Contrato!A:A,[2]Contrato!B:B,"",0)</f>
        <v>#NAME?</v>
      </c>
      <c r="Z607" s="47" t="e">
        <f ca="1">_xlfn.XLOOKUP(PAA_4[[#This Row],[ITEM]],[2]Contrato!A:A,[2]Contrato!G:G,"",0)</f>
        <v>#NAME?</v>
      </c>
      <c r="AA607" s="47" t="e">
        <f ca="1">_xlfn.XLOOKUP(PAA_4[[#This Row],[ITEM]],[2]Contrato!A:A,[2]Contrato!T:T,"",0)</f>
        <v>#NAME?</v>
      </c>
      <c r="AB607" s="55" t="e">
        <f ca="1">+MAX(PAA_4[[#This Row],[Comprometido Contrato]],PAA_4[[#This Row],[Comprometido Bolsa]])</f>
        <v>#NAME?</v>
      </c>
      <c r="AC607" s="55" t="str">
        <f t="shared" ca="1" si="245"/>
        <v/>
      </c>
      <c r="AD607" s="55" t="e">
        <f ca="1">IF(PAA_4[[#This Row],[ESTADO (formulado)]]="NO CONTRATADO",0,MAX(PAA_4[[#This Row],[Pago por Contrato]],PAA_4[[#This Row],[Pago por bolsa]]))</f>
        <v>#NAME?</v>
      </c>
      <c r="AE607" s="55" t="str">
        <f t="shared" ca="1" si="246"/>
        <v/>
      </c>
      <c r="AF607" s="47" t="e">
        <f t="shared" ca="1" si="241"/>
        <v>#NAME?</v>
      </c>
      <c r="AG607" s="47">
        <f t="shared" si="247"/>
        <v>41080101</v>
      </c>
      <c r="AH607" s="54" t="str">
        <f>IF(Q607="22",IF(ISNUMBER(SEARCH("econ",PAA_4[[#This Row],[Actividad3]])),"Económico",IF(ISNUMBER(SEARCH("alim",PAA_4[[#This Row],[Actividad3]])),"Alimentación",IF(ISNUMBER(SEARCH("educ",PAA_4[[#This Row],[Actividad3]])),"Educativo","Técnico"))),0)</f>
        <v>Técnico</v>
      </c>
      <c r="AI607" s="47" t="e" cm="1">
        <f t="array" aca="1" ref="AI607" ca="1">_xlfn.XLOOKUP(PAA_4[[#This Row],[RCP-RUBRO]],[2]!COMPROMISOS_2024[[#All],[concatenado]],[2]!COMPROMISOS_2024[[#All],[Total pagado]],"",0)</f>
        <v>#NAME?</v>
      </c>
      <c r="AJ607" s="56" t="e">
        <f ca="1">IF(PAA_4[[#This Row],[BOLSA]]=0,0,SUMIFS([2]!COMPROMISOS_2024[[#All],[Total pagado]],[2]!COMPROMISOS_2024[[#All],[Bolsa]],PAA_4[[#This Row],[BOLSA]],[2]!COMPROMISOS_2024[[#All],[rubro]],PAA_4[[#This Row],[RCP-RUBRO]]))</f>
        <v>#REF!</v>
      </c>
      <c r="AK607" s="47" t="e" cm="1">
        <f t="array" aca="1" ref="AK607" ca="1">_xlfn.XLOOKUP(PAA_4[[#This Row],[RCP-RUBRO]],[2]!COMPROMISOS_2024[[#All],[concatenado]],[2]!COMPROMISOS_2024[[#All],[Total Comprometido]],"",0)</f>
        <v>#NAME?</v>
      </c>
      <c r="AL607" s="47" t="e">
        <f ca="1">IF(PAA_4[[#This Row],[BOLSA]]=0,0,SUMIFS([2]!COMPROMISOS_2024[[#All],[Total Comprometido]],[2]!COMPROMISOS_2024[[#All],[Bolsa]],PAA_4[[#This Row],[BOLSA]],[2]!COMPROMISOS_2024[[#All],[concatenado]],PAA_4[[#This Row],[RCP-RUBRO]]))</f>
        <v>#REF!</v>
      </c>
    </row>
    <row r="608" spans="1:38" s="19" customFormat="1" ht="31.5" customHeight="1">
      <c r="A608" s="47">
        <v>222</v>
      </c>
      <c r="B608" s="47">
        <v>80111600</v>
      </c>
      <c r="C608" s="47" t="str">
        <f>VLOOKUP(PAA_4[[#This Row],[PROYECTO (formulado)2]],[2]PROYECTOS!$G$1:$L$32,6,0)</f>
        <v>SUBGERENCIA DE ALTOS LOGROS Y DEPORTE ASOCIADO</v>
      </c>
      <c r="D608" s="47" t="str">
        <f>+IF(PAA_4[[#This Row],[UNIDAD DE CONTRATACION (formulado)]]="Subgerencia Administrativa y Financiera","FUNCIONAMIENTO","INVERSIÓN")</f>
        <v>INVERSIÓN</v>
      </c>
      <c r="E608" s="48" t="str">
        <f>VLOOKUP(Q608,[2]PROYECTOS!$G$1:$K$32,5,0)</f>
        <v>APOYO_TÉCNICO_Y_PSICOSOCIAL_A_LOS_DEPORTISTAS_DE_ANTIOQUIA</v>
      </c>
      <c r="F608" s="48">
        <f>VLOOKUP(E608,[2]PROYECTOS!$K$1:$M$32,3,0)</f>
        <v>2021003050069</v>
      </c>
      <c r="G608" s="49" t="s">
        <v>239</v>
      </c>
      <c r="H608" s="49" t="str">
        <f>VLOOKUP(Q608,[2]PROYECTOS!$V$1:$W$32,2,0)</f>
        <v>050069</v>
      </c>
      <c r="I608" s="50">
        <v>47452590</v>
      </c>
      <c r="J608" s="51" t="s">
        <v>1645</v>
      </c>
      <c r="K608" s="47" t="str">
        <f t="shared" ca="1" si="242"/>
        <v>CONTRATADO</v>
      </c>
      <c r="L608" s="47" t="s">
        <v>94</v>
      </c>
      <c r="M608" s="47" t="s">
        <v>1297</v>
      </c>
      <c r="N608" s="52" t="s">
        <v>240</v>
      </c>
      <c r="O608" s="51" t="e">
        <f>VLOOKUP(N608,[2]!RUBROS[#All],3,0)</f>
        <v>#REF!</v>
      </c>
      <c r="P608" s="53" t="e">
        <f>VLOOKUP(N608,[2]!RUBROS[#All],2,0)</f>
        <v>#REF!</v>
      </c>
      <c r="Q608" s="47" t="str">
        <f t="shared" si="243"/>
        <v>22</v>
      </c>
      <c r="R608" s="47" t="str">
        <f t="shared" si="244"/>
        <v>0-205400</v>
      </c>
      <c r="S608" s="54">
        <v>6</v>
      </c>
      <c r="T608" s="63" t="s">
        <v>46</v>
      </c>
      <c r="U608" s="326" t="e">
        <f ca="1">_xlfn.XLOOKUP(PAA_4[[#This Row],[ITEM]],[2]Contrato!A:A,[2]Contrato!Q:Q,"",0)</f>
        <v>#NAME?</v>
      </c>
      <c r="V608" s="47" t="s">
        <v>47</v>
      </c>
      <c r="W608" s="64" t="s">
        <v>137</v>
      </c>
      <c r="X608" s="64" t="s">
        <v>137</v>
      </c>
      <c r="Y608" s="55" t="e">
        <f ca="1">_xlfn.XLOOKUP(PAA_4[[#This Row],[ITEM]],[2]Contrato!A:A,[2]Contrato!B:B,"",0)</f>
        <v>#NAME?</v>
      </c>
      <c r="Z608" s="47" t="e">
        <f ca="1">_xlfn.XLOOKUP(PAA_4[[#This Row],[ITEM]],[2]Contrato!A:A,[2]Contrato!G:G,"",0)</f>
        <v>#NAME?</v>
      </c>
      <c r="AA608" s="47" t="e">
        <f ca="1">_xlfn.XLOOKUP(PAA_4[[#This Row],[ITEM]],[2]Contrato!A:A,[2]Contrato!T:T,"",0)</f>
        <v>#NAME?</v>
      </c>
      <c r="AB608" s="55" t="e">
        <f ca="1">+MAX(PAA_4[[#This Row],[Comprometido Contrato]],PAA_4[[#This Row],[Comprometido Bolsa]])</f>
        <v>#NAME?</v>
      </c>
      <c r="AC608" s="55" t="str">
        <f t="shared" ca="1" si="245"/>
        <v/>
      </c>
      <c r="AD608" s="55" t="e">
        <f ca="1">IF(PAA_4[[#This Row],[ESTADO (formulado)]]="NO CONTRATADO",0,MAX(PAA_4[[#This Row],[Pago por Contrato]],PAA_4[[#This Row],[Pago por bolsa]]))</f>
        <v>#NAME?</v>
      </c>
      <c r="AE608" s="55" t="str">
        <f t="shared" ca="1" si="246"/>
        <v/>
      </c>
      <c r="AF608" s="47" t="e">
        <f t="shared" ca="1" si="241"/>
        <v>#NAME?</v>
      </c>
      <c r="AG608" s="47">
        <f t="shared" si="247"/>
        <v>41080101</v>
      </c>
      <c r="AH608" s="54" t="str">
        <f>IF(Q608="22",IF(ISNUMBER(SEARCH("econ",PAA_4[[#This Row],[Actividad3]])),"Económico",IF(ISNUMBER(SEARCH("alim",PAA_4[[#This Row],[Actividad3]])),"Alimentación",IF(ISNUMBER(SEARCH("educ",PAA_4[[#This Row],[Actividad3]])),"Educativo","Técnico"))),0)</f>
        <v>Técnico</v>
      </c>
      <c r="AI608" s="47" t="e" cm="1">
        <f t="array" aca="1" ref="AI608" ca="1">_xlfn.XLOOKUP(PAA_4[[#This Row],[RCP-RUBRO]],[2]!COMPROMISOS_2024[[#All],[concatenado]],[2]!COMPROMISOS_2024[[#All],[Total pagado]],"",0)</f>
        <v>#NAME?</v>
      </c>
      <c r="AJ608" s="56" t="e">
        <f ca="1">IF(PAA_4[[#This Row],[BOLSA]]=0,0,SUMIFS([2]!COMPROMISOS_2024[[#All],[Total pagado]],[2]!COMPROMISOS_2024[[#All],[Bolsa]],PAA_4[[#This Row],[BOLSA]],[2]!COMPROMISOS_2024[[#All],[rubro]],PAA_4[[#This Row],[RCP-RUBRO]]))</f>
        <v>#REF!</v>
      </c>
      <c r="AK608" s="47" t="e" cm="1">
        <f t="array" aca="1" ref="AK608" ca="1">_xlfn.XLOOKUP(PAA_4[[#This Row],[RCP-RUBRO]],[2]!COMPROMISOS_2024[[#All],[concatenado]],[2]!COMPROMISOS_2024[[#All],[Total Comprometido]],"",0)</f>
        <v>#NAME?</v>
      </c>
      <c r="AL608" s="47" t="e">
        <f ca="1">IF(PAA_4[[#This Row],[BOLSA]]=0,0,SUMIFS([2]!COMPROMISOS_2024[[#All],[Total Comprometido]],[2]!COMPROMISOS_2024[[#All],[Bolsa]],PAA_4[[#This Row],[BOLSA]],[2]!COMPROMISOS_2024[[#All],[concatenado]],PAA_4[[#This Row],[RCP-RUBRO]]))</f>
        <v>#REF!</v>
      </c>
    </row>
    <row r="609" spans="1:38" s="19" customFormat="1" ht="31.5" customHeight="1">
      <c r="A609" s="47">
        <v>223</v>
      </c>
      <c r="B609" s="47">
        <v>80111600</v>
      </c>
      <c r="C609" s="47" t="str">
        <f>VLOOKUP(PAA_4[[#This Row],[PROYECTO (formulado)2]],[2]PROYECTOS!$G$1:$L$32,6,0)</f>
        <v>SUBGERENCIA DE ALTOS LOGROS Y DEPORTE ASOCIADO</v>
      </c>
      <c r="D609" s="47" t="str">
        <f>+IF(PAA_4[[#This Row],[UNIDAD DE CONTRATACION (formulado)]]="Subgerencia Administrativa y Financiera","FUNCIONAMIENTO","INVERSIÓN")</f>
        <v>INVERSIÓN</v>
      </c>
      <c r="E609" s="48" t="str">
        <f>VLOOKUP(Q609,[2]PROYECTOS!$G$1:$K$32,5,0)</f>
        <v>APOYO_TÉCNICO_Y_PSICOSOCIAL_A_LOS_DEPORTISTAS_DE_ANTIOQUIA</v>
      </c>
      <c r="F609" s="48">
        <f>VLOOKUP(E609,[2]PROYECTOS!$K$1:$M$32,3,0)</f>
        <v>2021003050069</v>
      </c>
      <c r="G609" s="49" t="s">
        <v>239</v>
      </c>
      <c r="H609" s="49" t="str">
        <f>VLOOKUP(Q609,[2]PROYECTOS!$V$1:$W$32,2,0)</f>
        <v>050069</v>
      </c>
      <c r="I609" s="50">
        <v>47452590</v>
      </c>
      <c r="J609" s="51" t="s">
        <v>1646</v>
      </c>
      <c r="K609" s="47" t="str">
        <f t="shared" ca="1" si="242"/>
        <v>CONTRATADO</v>
      </c>
      <c r="L609" s="47" t="s">
        <v>94</v>
      </c>
      <c r="M609" s="47" t="s">
        <v>1297</v>
      </c>
      <c r="N609" s="52" t="s">
        <v>240</v>
      </c>
      <c r="O609" s="51" t="e">
        <f>VLOOKUP(N609,[2]!RUBROS[#All],3,0)</f>
        <v>#REF!</v>
      </c>
      <c r="P609" s="53" t="e">
        <f>VLOOKUP(N609,[2]!RUBROS[#All],2,0)</f>
        <v>#REF!</v>
      </c>
      <c r="Q609" s="47" t="str">
        <f t="shared" si="243"/>
        <v>22</v>
      </c>
      <c r="R609" s="47" t="str">
        <f t="shared" si="244"/>
        <v>0-205400</v>
      </c>
      <c r="S609" s="54">
        <v>6</v>
      </c>
      <c r="T609" s="63" t="s">
        <v>46</v>
      </c>
      <c r="U609" s="326" t="e">
        <f ca="1">_xlfn.XLOOKUP(PAA_4[[#This Row],[ITEM]],[2]Contrato!A:A,[2]Contrato!Q:Q,"",0)</f>
        <v>#NAME?</v>
      </c>
      <c r="V609" s="47" t="s">
        <v>47</v>
      </c>
      <c r="W609" s="64" t="s">
        <v>137</v>
      </c>
      <c r="X609" s="64" t="s">
        <v>137</v>
      </c>
      <c r="Y609" s="55" t="e">
        <f ca="1">_xlfn.XLOOKUP(PAA_4[[#This Row],[ITEM]],[2]Contrato!A:A,[2]Contrato!B:B,"",0)</f>
        <v>#NAME?</v>
      </c>
      <c r="Z609" s="47" t="e">
        <f ca="1">_xlfn.XLOOKUP(PAA_4[[#This Row],[ITEM]],[2]Contrato!A:A,[2]Contrato!G:G,"",0)</f>
        <v>#NAME?</v>
      </c>
      <c r="AA609" s="47" t="e">
        <f ca="1">_xlfn.XLOOKUP(PAA_4[[#This Row],[ITEM]],[2]Contrato!A:A,[2]Contrato!T:T,"",0)</f>
        <v>#NAME?</v>
      </c>
      <c r="AB609" s="55" t="e">
        <f ca="1">+MAX(PAA_4[[#This Row],[Comprometido Contrato]],PAA_4[[#This Row],[Comprometido Bolsa]])</f>
        <v>#NAME?</v>
      </c>
      <c r="AC609" s="55" t="str">
        <f t="shared" ca="1" si="245"/>
        <v/>
      </c>
      <c r="AD609" s="55" t="e">
        <f ca="1">IF(PAA_4[[#This Row],[ESTADO (formulado)]]="NO CONTRATADO",0,MAX(PAA_4[[#This Row],[Pago por Contrato]],PAA_4[[#This Row],[Pago por bolsa]]))</f>
        <v>#NAME?</v>
      </c>
      <c r="AE609" s="55" t="str">
        <f t="shared" ca="1" si="246"/>
        <v/>
      </c>
      <c r="AF609" s="47" t="e">
        <f t="shared" ca="1" si="241"/>
        <v>#NAME?</v>
      </c>
      <c r="AG609" s="47">
        <f t="shared" si="247"/>
        <v>41080101</v>
      </c>
      <c r="AH609" s="54" t="str">
        <f>IF(Q609="22",IF(ISNUMBER(SEARCH("econ",PAA_4[[#This Row],[Actividad3]])),"Económico",IF(ISNUMBER(SEARCH("alim",PAA_4[[#This Row],[Actividad3]])),"Alimentación",IF(ISNUMBER(SEARCH("educ",PAA_4[[#This Row],[Actividad3]])),"Educativo","Técnico"))),0)</f>
        <v>Técnico</v>
      </c>
      <c r="AI609" s="47" t="e" cm="1">
        <f t="array" aca="1" ref="AI609" ca="1">_xlfn.XLOOKUP(PAA_4[[#This Row],[RCP-RUBRO]],[2]!COMPROMISOS_2024[[#All],[concatenado]],[2]!COMPROMISOS_2024[[#All],[Total pagado]],"",0)</f>
        <v>#NAME?</v>
      </c>
      <c r="AJ609" s="56" t="e">
        <f ca="1">IF(PAA_4[[#This Row],[BOLSA]]=0,0,SUMIFS([2]!COMPROMISOS_2024[[#All],[Total pagado]],[2]!COMPROMISOS_2024[[#All],[Bolsa]],PAA_4[[#This Row],[BOLSA]],[2]!COMPROMISOS_2024[[#All],[rubro]],PAA_4[[#This Row],[RCP-RUBRO]]))</f>
        <v>#REF!</v>
      </c>
      <c r="AK609" s="47" t="e" cm="1">
        <f t="array" aca="1" ref="AK609" ca="1">_xlfn.XLOOKUP(PAA_4[[#This Row],[RCP-RUBRO]],[2]!COMPROMISOS_2024[[#All],[concatenado]],[2]!COMPROMISOS_2024[[#All],[Total Comprometido]],"",0)</f>
        <v>#NAME?</v>
      </c>
      <c r="AL609" s="47" t="e">
        <f ca="1">IF(PAA_4[[#This Row],[BOLSA]]=0,0,SUMIFS([2]!COMPROMISOS_2024[[#All],[Total Comprometido]],[2]!COMPROMISOS_2024[[#All],[Bolsa]],PAA_4[[#This Row],[BOLSA]],[2]!COMPROMISOS_2024[[#All],[concatenado]],PAA_4[[#This Row],[RCP-RUBRO]]))</f>
        <v>#REF!</v>
      </c>
    </row>
    <row r="610" spans="1:38" s="19" customFormat="1" ht="31.5" customHeight="1">
      <c r="A610" s="47">
        <v>224</v>
      </c>
      <c r="B610" s="47">
        <v>80111600</v>
      </c>
      <c r="C610" s="47" t="str">
        <f>VLOOKUP(PAA_4[[#This Row],[PROYECTO (formulado)2]],[2]PROYECTOS!$G$1:$L$32,6,0)</f>
        <v>SUBGERENCIA DE ALTOS LOGROS Y DEPORTE ASOCIADO</v>
      </c>
      <c r="D610" s="47" t="str">
        <f>+IF(PAA_4[[#This Row],[UNIDAD DE CONTRATACION (formulado)]]="Subgerencia Administrativa y Financiera","FUNCIONAMIENTO","INVERSIÓN")</f>
        <v>INVERSIÓN</v>
      </c>
      <c r="E610" s="48" t="str">
        <f>VLOOKUP(Q610,[2]PROYECTOS!$G$1:$K$32,5,0)</f>
        <v>APOYO_TÉCNICO_Y_PSICOSOCIAL_A_LOS_DEPORTISTAS_DE_ANTIOQUIA</v>
      </c>
      <c r="F610" s="48">
        <f>VLOOKUP(E610,[2]PROYECTOS!$K$1:$M$32,3,0)</f>
        <v>2021003050069</v>
      </c>
      <c r="G610" s="49" t="s">
        <v>241</v>
      </c>
      <c r="H610" s="49" t="str">
        <f>VLOOKUP(Q610,[2]PROYECTOS!$V$1:$W$32,2,0)</f>
        <v>050069</v>
      </c>
      <c r="I610" s="50">
        <v>23714292</v>
      </c>
      <c r="J610" s="51" t="s">
        <v>1647</v>
      </c>
      <c r="K610" s="47" t="str">
        <f t="shared" ca="1" si="242"/>
        <v>CONTRATADO</v>
      </c>
      <c r="L610" s="47" t="s">
        <v>94</v>
      </c>
      <c r="M610" s="47" t="s">
        <v>1297</v>
      </c>
      <c r="N610" s="52" t="s">
        <v>240</v>
      </c>
      <c r="O610" s="51" t="e">
        <f>VLOOKUP(N610,[2]!RUBROS[#All],3,0)</f>
        <v>#REF!</v>
      </c>
      <c r="P610" s="53" t="e">
        <f>VLOOKUP(N610,[2]!RUBROS[#All],2,0)</f>
        <v>#REF!</v>
      </c>
      <c r="Q610" s="47" t="str">
        <f t="shared" si="243"/>
        <v>22</v>
      </c>
      <c r="R610" s="47" t="str">
        <f t="shared" si="244"/>
        <v>0-205400</v>
      </c>
      <c r="S610" s="54">
        <v>6</v>
      </c>
      <c r="T610" s="63" t="s">
        <v>46</v>
      </c>
      <c r="U610" s="326" t="e">
        <f ca="1">_xlfn.XLOOKUP(PAA_4[[#This Row],[ITEM]],[2]Contrato!A:A,[2]Contrato!Q:Q,"",0)</f>
        <v>#NAME?</v>
      </c>
      <c r="V610" s="47" t="s">
        <v>47</v>
      </c>
      <c r="W610" s="64" t="s">
        <v>137</v>
      </c>
      <c r="X610" s="64" t="s">
        <v>137</v>
      </c>
      <c r="Y610" s="55" t="e">
        <f ca="1">_xlfn.XLOOKUP(PAA_4[[#This Row],[ITEM]],[2]Contrato!A:A,[2]Contrato!B:B,"",0)</f>
        <v>#NAME?</v>
      </c>
      <c r="Z610" s="47" t="e">
        <f ca="1">_xlfn.XLOOKUP(PAA_4[[#This Row],[ITEM]],[2]Contrato!A:A,[2]Contrato!G:G,"",0)</f>
        <v>#NAME?</v>
      </c>
      <c r="AA610" s="47" t="e">
        <f ca="1">_xlfn.XLOOKUP(PAA_4[[#This Row],[ITEM]],[2]Contrato!A:A,[2]Contrato!T:T,"",0)</f>
        <v>#NAME?</v>
      </c>
      <c r="AB610" s="55" t="e">
        <f ca="1">+MAX(PAA_4[[#This Row],[Comprometido Contrato]],PAA_4[[#This Row],[Comprometido Bolsa]])</f>
        <v>#NAME?</v>
      </c>
      <c r="AC610" s="55" t="str">
        <f t="shared" ca="1" si="245"/>
        <v/>
      </c>
      <c r="AD610" s="55" t="e">
        <f ca="1">IF(PAA_4[[#This Row],[ESTADO (formulado)]]="NO CONTRATADO",0,MAX(PAA_4[[#This Row],[Pago por Contrato]],PAA_4[[#This Row],[Pago por bolsa]]))</f>
        <v>#NAME?</v>
      </c>
      <c r="AE610" s="55" t="str">
        <f t="shared" ca="1" si="246"/>
        <v/>
      </c>
      <c r="AF610" s="47" t="e">
        <f t="shared" ca="1" si="241"/>
        <v>#NAME?</v>
      </c>
      <c r="AG610" s="47">
        <f t="shared" si="247"/>
        <v>41080106</v>
      </c>
      <c r="AH610" s="54" t="str">
        <f>IF(Q610="22",IF(ISNUMBER(SEARCH("econ",PAA_4[[#This Row],[Actividad3]])),"Económico",IF(ISNUMBER(SEARCH("alim",PAA_4[[#This Row],[Actividad3]])),"Alimentación",IF(ISNUMBER(SEARCH("educ",PAA_4[[#This Row],[Actividad3]])),"Educativo","Técnico"))),0)</f>
        <v>Técnico</v>
      </c>
      <c r="AI610" s="47" t="e" cm="1">
        <f t="array" aca="1" ref="AI610" ca="1">_xlfn.XLOOKUP(PAA_4[[#This Row],[RCP-RUBRO]],[2]!COMPROMISOS_2024[[#All],[concatenado]],[2]!COMPROMISOS_2024[[#All],[Total pagado]],"",0)</f>
        <v>#NAME?</v>
      </c>
      <c r="AJ610" s="56" t="e">
        <f ca="1">IF(PAA_4[[#This Row],[BOLSA]]=0,0,SUMIFS([2]!COMPROMISOS_2024[[#All],[Total pagado]],[2]!COMPROMISOS_2024[[#All],[Bolsa]],PAA_4[[#This Row],[BOLSA]],[2]!COMPROMISOS_2024[[#All],[rubro]],PAA_4[[#This Row],[RCP-RUBRO]]))</f>
        <v>#REF!</v>
      </c>
      <c r="AK610" s="47" t="e" cm="1">
        <f t="array" aca="1" ref="AK610" ca="1">_xlfn.XLOOKUP(PAA_4[[#This Row],[RCP-RUBRO]],[2]!COMPROMISOS_2024[[#All],[concatenado]],[2]!COMPROMISOS_2024[[#All],[Total Comprometido]],"",0)</f>
        <v>#NAME?</v>
      </c>
      <c r="AL610" s="47" t="e">
        <f ca="1">IF(PAA_4[[#This Row],[BOLSA]]=0,0,SUMIFS([2]!COMPROMISOS_2024[[#All],[Total Comprometido]],[2]!COMPROMISOS_2024[[#All],[Bolsa]],PAA_4[[#This Row],[BOLSA]],[2]!COMPROMISOS_2024[[#All],[concatenado]],PAA_4[[#This Row],[RCP-RUBRO]]))</f>
        <v>#REF!</v>
      </c>
    </row>
    <row r="611" spans="1:38" s="19" customFormat="1" ht="31.5" customHeight="1">
      <c r="A611" s="47">
        <v>225</v>
      </c>
      <c r="B611" s="47">
        <v>80111600</v>
      </c>
      <c r="C611" s="47" t="str">
        <f>VLOOKUP(PAA_4[[#This Row],[PROYECTO (formulado)2]],[2]PROYECTOS!$G$1:$L$32,6,0)</f>
        <v>SUBGERENCIA DE ALTOS LOGROS Y DEPORTE ASOCIADO</v>
      </c>
      <c r="D611" s="47" t="str">
        <f>+IF(PAA_4[[#This Row],[UNIDAD DE CONTRATACION (formulado)]]="Subgerencia Administrativa y Financiera","FUNCIONAMIENTO","INVERSIÓN")</f>
        <v>INVERSIÓN</v>
      </c>
      <c r="E611" s="48" t="str">
        <f>VLOOKUP(Q611,[2]PROYECTOS!$G$1:$K$32,5,0)</f>
        <v>APOYO_TÉCNICO_Y_PSICOSOCIAL_A_LOS_DEPORTISTAS_DE_ANTIOQUIA</v>
      </c>
      <c r="F611" s="48">
        <f>VLOOKUP(E611,[2]PROYECTOS!$K$1:$M$32,3,0)</f>
        <v>2021003050069</v>
      </c>
      <c r="G611" s="49" t="s">
        <v>241</v>
      </c>
      <c r="H611" s="49" t="str">
        <f>VLOOKUP(Q611,[2]PROYECTOS!$V$1:$W$32,2,0)</f>
        <v>050069</v>
      </c>
      <c r="I611" s="50">
        <v>23714292</v>
      </c>
      <c r="J611" s="51" t="s">
        <v>1648</v>
      </c>
      <c r="K611" s="47" t="str">
        <f t="shared" ca="1" si="242"/>
        <v>CONTRATADO</v>
      </c>
      <c r="L611" s="47" t="s">
        <v>94</v>
      </c>
      <c r="M611" s="47" t="s">
        <v>1297</v>
      </c>
      <c r="N611" s="52" t="s">
        <v>240</v>
      </c>
      <c r="O611" s="51" t="e">
        <f>VLOOKUP(N611,[2]!RUBROS[#All],3,0)</f>
        <v>#REF!</v>
      </c>
      <c r="P611" s="53" t="e">
        <f>VLOOKUP(N611,[2]!RUBROS[#All],2,0)</f>
        <v>#REF!</v>
      </c>
      <c r="Q611" s="47" t="str">
        <f t="shared" si="243"/>
        <v>22</v>
      </c>
      <c r="R611" s="47" t="str">
        <f t="shared" si="244"/>
        <v>0-205400</v>
      </c>
      <c r="S611" s="54">
        <v>6</v>
      </c>
      <c r="T611" s="63" t="s">
        <v>46</v>
      </c>
      <c r="U611" s="326" t="e">
        <f ca="1">_xlfn.XLOOKUP(PAA_4[[#This Row],[ITEM]],[2]Contrato!A:A,[2]Contrato!Q:Q,"",0)</f>
        <v>#NAME?</v>
      </c>
      <c r="V611" s="47" t="s">
        <v>47</v>
      </c>
      <c r="W611" s="47" t="s">
        <v>137</v>
      </c>
      <c r="X611" s="47" t="s">
        <v>137</v>
      </c>
      <c r="Y611" s="55" t="e">
        <f ca="1">_xlfn.XLOOKUP(PAA_4[[#This Row],[ITEM]],[2]Contrato!A:A,[2]Contrato!B:B,"",0)</f>
        <v>#NAME?</v>
      </c>
      <c r="Z611" s="47" t="e">
        <f ca="1">_xlfn.XLOOKUP(PAA_4[[#This Row],[ITEM]],[2]Contrato!A:A,[2]Contrato!G:G,"",0)</f>
        <v>#NAME?</v>
      </c>
      <c r="AA611" s="47" t="e">
        <f ca="1">_xlfn.XLOOKUP(PAA_4[[#This Row],[ITEM]],[2]Contrato!A:A,[2]Contrato!T:T,"",0)</f>
        <v>#NAME?</v>
      </c>
      <c r="AB611" s="55" t="e">
        <f ca="1">+MAX(PAA_4[[#This Row],[Comprometido Contrato]],PAA_4[[#This Row],[Comprometido Bolsa]])</f>
        <v>#NAME?</v>
      </c>
      <c r="AC611" s="55" t="str">
        <f t="shared" ca="1" si="245"/>
        <v/>
      </c>
      <c r="AD611" s="55" t="e">
        <f ca="1">IF(PAA_4[[#This Row],[ESTADO (formulado)]]="NO CONTRATADO",0,MAX(PAA_4[[#This Row],[Pago por Contrato]],PAA_4[[#This Row],[Pago por bolsa]]))</f>
        <v>#NAME?</v>
      </c>
      <c r="AE611" s="55" t="str">
        <f t="shared" ca="1" si="246"/>
        <v/>
      </c>
      <c r="AF611" s="47" t="e">
        <f t="shared" ca="1" si="241"/>
        <v>#NAME?</v>
      </c>
      <c r="AG611" s="47">
        <f t="shared" si="247"/>
        <v>41080106</v>
      </c>
      <c r="AH611" s="54" t="str">
        <f>IF(Q611="22",IF(ISNUMBER(SEARCH("econ",PAA_4[[#This Row],[Actividad3]])),"Económico",IF(ISNUMBER(SEARCH("alim",PAA_4[[#This Row],[Actividad3]])),"Alimentación",IF(ISNUMBER(SEARCH("educ",PAA_4[[#This Row],[Actividad3]])),"Educativo","Técnico"))),0)</f>
        <v>Técnico</v>
      </c>
      <c r="AI611" s="47" t="e" cm="1">
        <f t="array" aca="1" ref="AI611" ca="1">_xlfn.XLOOKUP(PAA_4[[#This Row],[RCP-RUBRO]],[2]!COMPROMISOS_2024[[#All],[concatenado]],[2]!COMPROMISOS_2024[[#All],[Total pagado]],"",0)</f>
        <v>#NAME?</v>
      </c>
      <c r="AJ611" s="56" t="e">
        <f ca="1">IF(PAA_4[[#This Row],[BOLSA]]=0,0,SUMIFS([2]!COMPROMISOS_2024[[#All],[Total pagado]],[2]!COMPROMISOS_2024[[#All],[Bolsa]],PAA_4[[#This Row],[BOLSA]],[2]!COMPROMISOS_2024[[#All],[rubro]],PAA_4[[#This Row],[RCP-RUBRO]]))</f>
        <v>#REF!</v>
      </c>
      <c r="AK611" s="47" t="e" cm="1">
        <f t="array" aca="1" ref="AK611" ca="1">_xlfn.XLOOKUP(PAA_4[[#This Row],[RCP-RUBRO]],[2]!COMPROMISOS_2024[[#All],[concatenado]],[2]!COMPROMISOS_2024[[#All],[Total Comprometido]],"",0)</f>
        <v>#NAME?</v>
      </c>
      <c r="AL611" s="47" t="e">
        <f ca="1">IF(PAA_4[[#This Row],[BOLSA]]=0,0,SUMIFS([2]!COMPROMISOS_2024[[#All],[Total Comprometido]],[2]!COMPROMISOS_2024[[#All],[Bolsa]],PAA_4[[#This Row],[BOLSA]],[2]!COMPROMISOS_2024[[#All],[concatenado]],PAA_4[[#This Row],[RCP-RUBRO]]))</f>
        <v>#REF!</v>
      </c>
    </row>
    <row r="612" spans="1:38" s="19" customFormat="1" ht="31.5" customHeight="1">
      <c r="A612" s="47">
        <v>226</v>
      </c>
      <c r="B612" s="47">
        <v>80111600</v>
      </c>
      <c r="C612" s="47" t="str">
        <f>VLOOKUP(PAA_4[[#This Row],[PROYECTO (formulado)2]],[2]PROYECTOS!$G$1:$L$32,6,0)</f>
        <v>SUBGERENCIA DE ALTOS LOGROS Y DEPORTE ASOCIADO</v>
      </c>
      <c r="D612" s="47" t="str">
        <f>+IF(PAA_4[[#This Row],[UNIDAD DE CONTRATACION (formulado)]]="Subgerencia Administrativa y Financiera","FUNCIONAMIENTO","INVERSIÓN")</f>
        <v>INVERSIÓN</v>
      </c>
      <c r="E612" s="48" t="str">
        <f>VLOOKUP(Q612,[2]PROYECTOS!$G$1:$K$32,5,0)</f>
        <v>APOYO_TÉCNICO_Y_PSICOSOCIAL_A_LOS_DEPORTISTAS_DE_ANTIOQUIA</v>
      </c>
      <c r="F612" s="48">
        <f>VLOOKUP(E612,[2]PROYECTOS!$K$1:$M$32,3,0)</f>
        <v>2021003050069</v>
      </c>
      <c r="G612" s="49" t="s">
        <v>241</v>
      </c>
      <c r="H612" s="49" t="str">
        <f>VLOOKUP(Q612,[2]PROYECTOS!$V$1:$W$32,2,0)</f>
        <v>050069</v>
      </c>
      <c r="I612" s="50">
        <v>29453616</v>
      </c>
      <c r="J612" s="51" t="s">
        <v>1649</v>
      </c>
      <c r="K612" s="47" t="str">
        <f t="shared" ca="1" si="242"/>
        <v>CONTRATADO</v>
      </c>
      <c r="L612" s="47" t="s">
        <v>94</v>
      </c>
      <c r="M612" s="47" t="s">
        <v>1297</v>
      </c>
      <c r="N612" s="52" t="s">
        <v>240</v>
      </c>
      <c r="O612" s="51" t="e">
        <f>VLOOKUP(N612,[2]!RUBROS[#All],3,0)</f>
        <v>#REF!</v>
      </c>
      <c r="P612" s="53" t="e">
        <f>VLOOKUP(N612,[2]!RUBROS[#All],2,0)</f>
        <v>#REF!</v>
      </c>
      <c r="Q612" s="47" t="str">
        <f t="shared" si="243"/>
        <v>22</v>
      </c>
      <c r="R612" s="47" t="str">
        <f t="shared" si="244"/>
        <v>0-205400</v>
      </c>
      <c r="S612" s="54">
        <v>6</v>
      </c>
      <c r="T612" s="63" t="s">
        <v>46</v>
      </c>
      <c r="U612" s="326" t="e">
        <f ca="1">_xlfn.XLOOKUP(PAA_4[[#This Row],[ITEM]],[2]Contrato!A:A,[2]Contrato!Q:Q,"",0)</f>
        <v>#NAME?</v>
      </c>
      <c r="V612" s="47" t="s">
        <v>47</v>
      </c>
      <c r="W612" s="47" t="s">
        <v>137</v>
      </c>
      <c r="X612" s="47" t="s">
        <v>137</v>
      </c>
      <c r="Y612" s="55" t="e">
        <f ca="1">_xlfn.XLOOKUP(PAA_4[[#This Row],[ITEM]],[2]Contrato!A:A,[2]Contrato!B:B,"",0)</f>
        <v>#NAME?</v>
      </c>
      <c r="Z612" s="47" t="e">
        <f ca="1">_xlfn.XLOOKUP(PAA_4[[#This Row],[ITEM]],[2]Contrato!A:A,[2]Contrato!G:G,"",0)</f>
        <v>#NAME?</v>
      </c>
      <c r="AA612" s="47" t="e">
        <f ca="1">_xlfn.XLOOKUP(PAA_4[[#This Row],[ITEM]],[2]Contrato!A:A,[2]Contrato!T:T,"",0)</f>
        <v>#NAME?</v>
      </c>
      <c r="AB612" s="55" t="e">
        <f ca="1">+MAX(PAA_4[[#This Row],[Comprometido Contrato]],PAA_4[[#This Row],[Comprometido Bolsa]])</f>
        <v>#NAME?</v>
      </c>
      <c r="AC612" s="55" t="str">
        <f t="shared" ca="1" si="245"/>
        <v/>
      </c>
      <c r="AD612" s="55" t="e">
        <f ca="1">IF(PAA_4[[#This Row],[ESTADO (formulado)]]="NO CONTRATADO",0,MAX(PAA_4[[#This Row],[Pago por Contrato]],PAA_4[[#This Row],[Pago por bolsa]]))</f>
        <v>#NAME?</v>
      </c>
      <c r="AE612" s="55" t="str">
        <f t="shared" ca="1" si="246"/>
        <v/>
      </c>
      <c r="AF612" s="47" t="e">
        <f t="shared" ca="1" si="241"/>
        <v>#NAME?</v>
      </c>
      <c r="AG612" s="47">
        <f t="shared" si="247"/>
        <v>41080106</v>
      </c>
      <c r="AH612" s="54" t="str">
        <f>IF(Q612="22",IF(ISNUMBER(SEARCH("econ",PAA_4[[#This Row],[Actividad3]])),"Económico",IF(ISNUMBER(SEARCH("alim",PAA_4[[#This Row],[Actividad3]])),"Alimentación",IF(ISNUMBER(SEARCH("educ",PAA_4[[#This Row],[Actividad3]])),"Educativo","Técnico"))),0)</f>
        <v>Técnico</v>
      </c>
      <c r="AI612" s="47" t="e" cm="1">
        <f t="array" aca="1" ref="AI612" ca="1">_xlfn.XLOOKUP(PAA_4[[#This Row],[RCP-RUBRO]],[2]!COMPROMISOS_2024[[#All],[concatenado]],[2]!COMPROMISOS_2024[[#All],[Total pagado]],"",0)</f>
        <v>#NAME?</v>
      </c>
      <c r="AJ612" s="56" t="e">
        <f ca="1">IF(PAA_4[[#This Row],[BOLSA]]=0,0,SUMIFS([2]!COMPROMISOS_2024[[#All],[Total pagado]],[2]!COMPROMISOS_2024[[#All],[Bolsa]],PAA_4[[#This Row],[BOLSA]],[2]!COMPROMISOS_2024[[#All],[rubro]],PAA_4[[#This Row],[RCP-RUBRO]]))</f>
        <v>#REF!</v>
      </c>
      <c r="AK612" s="47" t="e" cm="1">
        <f t="array" aca="1" ref="AK612" ca="1">_xlfn.XLOOKUP(PAA_4[[#This Row],[RCP-RUBRO]],[2]!COMPROMISOS_2024[[#All],[concatenado]],[2]!COMPROMISOS_2024[[#All],[Total Comprometido]],"",0)</f>
        <v>#NAME?</v>
      </c>
      <c r="AL612" s="47" t="e">
        <f ca="1">IF(PAA_4[[#This Row],[BOLSA]]=0,0,SUMIFS([2]!COMPROMISOS_2024[[#All],[Total Comprometido]],[2]!COMPROMISOS_2024[[#All],[Bolsa]],PAA_4[[#This Row],[BOLSA]],[2]!COMPROMISOS_2024[[#All],[concatenado]],PAA_4[[#This Row],[RCP-RUBRO]]))</f>
        <v>#REF!</v>
      </c>
    </row>
    <row r="613" spans="1:38" s="19" customFormat="1" ht="31.5" customHeight="1">
      <c r="A613" s="47">
        <v>227</v>
      </c>
      <c r="B613" s="47">
        <v>80111600</v>
      </c>
      <c r="C613" s="47" t="str">
        <f>VLOOKUP(PAA_4[[#This Row],[PROYECTO (formulado)2]],[2]PROYECTOS!$G$1:$L$32,6,0)</f>
        <v>SUBGERENCIA DE ALTOS LOGROS Y DEPORTE ASOCIADO</v>
      </c>
      <c r="D613" s="47" t="str">
        <f>+IF(PAA_4[[#This Row],[UNIDAD DE CONTRATACION (formulado)]]="Subgerencia Administrativa y Financiera","FUNCIONAMIENTO","INVERSIÓN")</f>
        <v>INVERSIÓN</v>
      </c>
      <c r="E613" s="48" t="str">
        <f>VLOOKUP(Q613,[2]PROYECTOS!$G$1:$K$32,5,0)</f>
        <v>APOYO_TÉCNICO_Y_PSICOSOCIAL_A_LOS_DEPORTISTAS_DE_ANTIOQUIA</v>
      </c>
      <c r="F613" s="48">
        <f>VLOOKUP(E613,[2]PROYECTOS!$K$1:$M$32,3,0)</f>
        <v>2021003050069</v>
      </c>
      <c r="G613" s="49" t="s">
        <v>239</v>
      </c>
      <c r="H613" s="49" t="str">
        <f>VLOOKUP(Q613,[2]PROYECTOS!$V$1:$W$32,2,0)</f>
        <v>050069</v>
      </c>
      <c r="I613" s="50">
        <v>29453616</v>
      </c>
      <c r="J613" s="51" t="s">
        <v>1650</v>
      </c>
      <c r="K613" s="47" t="str">
        <f t="shared" ca="1" si="242"/>
        <v>CONTRATADO</v>
      </c>
      <c r="L613" s="47" t="s">
        <v>94</v>
      </c>
      <c r="M613" s="47" t="s">
        <v>1297</v>
      </c>
      <c r="N613" s="52" t="s">
        <v>240</v>
      </c>
      <c r="O613" s="51" t="e">
        <f>VLOOKUP(N613,[2]!RUBROS[#All],3,0)</f>
        <v>#REF!</v>
      </c>
      <c r="P613" s="53" t="e">
        <f>VLOOKUP(N613,[2]!RUBROS[#All],2,0)</f>
        <v>#REF!</v>
      </c>
      <c r="Q613" s="47" t="str">
        <f t="shared" si="243"/>
        <v>22</v>
      </c>
      <c r="R613" s="47" t="str">
        <f t="shared" si="244"/>
        <v>0-205400</v>
      </c>
      <c r="S613" s="54">
        <v>6</v>
      </c>
      <c r="T613" s="63" t="s">
        <v>46</v>
      </c>
      <c r="U613" s="326" t="e">
        <f ca="1">_xlfn.XLOOKUP(PAA_4[[#This Row],[ITEM]],[2]Contrato!A:A,[2]Contrato!Q:Q,"",0)</f>
        <v>#NAME?</v>
      </c>
      <c r="V613" s="47" t="s">
        <v>47</v>
      </c>
      <c r="W613" s="47" t="s">
        <v>137</v>
      </c>
      <c r="X613" s="47" t="s">
        <v>137</v>
      </c>
      <c r="Y613" s="55" t="e">
        <f ca="1">_xlfn.XLOOKUP(PAA_4[[#This Row],[ITEM]],[2]Contrato!A:A,[2]Contrato!B:B,"",0)</f>
        <v>#NAME?</v>
      </c>
      <c r="Z613" s="47" t="e">
        <f ca="1">_xlfn.XLOOKUP(PAA_4[[#This Row],[ITEM]],[2]Contrato!A:A,[2]Contrato!G:G,"",0)</f>
        <v>#NAME?</v>
      </c>
      <c r="AA613" s="47" t="e">
        <f ca="1">_xlfn.XLOOKUP(PAA_4[[#This Row],[ITEM]],[2]Contrato!A:A,[2]Contrato!T:T,"",0)</f>
        <v>#NAME?</v>
      </c>
      <c r="AB613" s="55" t="e">
        <f ca="1">+MAX(PAA_4[[#This Row],[Comprometido Contrato]],PAA_4[[#This Row],[Comprometido Bolsa]])</f>
        <v>#NAME?</v>
      </c>
      <c r="AC613" s="55" t="str">
        <f t="shared" ca="1" si="245"/>
        <v/>
      </c>
      <c r="AD613" s="55" t="e">
        <f ca="1">IF(PAA_4[[#This Row],[ESTADO (formulado)]]="NO CONTRATADO",0,MAX(PAA_4[[#This Row],[Pago por Contrato]],PAA_4[[#This Row],[Pago por bolsa]]))</f>
        <v>#NAME?</v>
      </c>
      <c r="AE613" s="55" t="str">
        <f t="shared" ca="1" si="246"/>
        <v/>
      </c>
      <c r="AF613" s="47" t="e">
        <f t="shared" ca="1" si="241"/>
        <v>#NAME?</v>
      </c>
      <c r="AG613" s="47">
        <f t="shared" si="247"/>
        <v>41080101</v>
      </c>
      <c r="AH613" s="54" t="str">
        <f>IF(Q613="22",IF(ISNUMBER(SEARCH("econ",PAA_4[[#This Row],[Actividad3]])),"Económico",IF(ISNUMBER(SEARCH("alim",PAA_4[[#This Row],[Actividad3]])),"Alimentación",IF(ISNUMBER(SEARCH("educ",PAA_4[[#This Row],[Actividad3]])),"Educativo","Técnico"))),0)</f>
        <v>Técnico</v>
      </c>
      <c r="AI613" s="47" t="e" cm="1">
        <f t="array" aca="1" ref="AI613" ca="1">_xlfn.XLOOKUP(PAA_4[[#This Row],[RCP-RUBRO]],[2]!COMPROMISOS_2024[[#All],[concatenado]],[2]!COMPROMISOS_2024[[#All],[Total pagado]],"",0)</f>
        <v>#NAME?</v>
      </c>
      <c r="AJ613" s="56" t="e">
        <f ca="1">IF(PAA_4[[#This Row],[BOLSA]]=0,0,SUMIFS([2]!COMPROMISOS_2024[[#All],[Total pagado]],[2]!COMPROMISOS_2024[[#All],[Bolsa]],PAA_4[[#This Row],[BOLSA]],[2]!COMPROMISOS_2024[[#All],[rubro]],PAA_4[[#This Row],[RCP-RUBRO]]))</f>
        <v>#REF!</v>
      </c>
      <c r="AK613" s="47" t="e" cm="1">
        <f t="array" aca="1" ref="AK613" ca="1">_xlfn.XLOOKUP(PAA_4[[#This Row],[RCP-RUBRO]],[2]!COMPROMISOS_2024[[#All],[concatenado]],[2]!COMPROMISOS_2024[[#All],[Total Comprometido]],"",0)</f>
        <v>#NAME?</v>
      </c>
      <c r="AL613" s="47" t="e">
        <f ca="1">IF(PAA_4[[#This Row],[BOLSA]]=0,0,SUMIFS([2]!COMPROMISOS_2024[[#All],[Total Comprometido]],[2]!COMPROMISOS_2024[[#All],[Bolsa]],PAA_4[[#This Row],[BOLSA]],[2]!COMPROMISOS_2024[[#All],[concatenado]],PAA_4[[#This Row],[RCP-RUBRO]]))</f>
        <v>#REF!</v>
      </c>
    </row>
    <row r="614" spans="1:38" s="19" customFormat="1" ht="31.5" customHeight="1">
      <c r="A614" s="47">
        <v>228</v>
      </c>
      <c r="B614" s="47">
        <v>80111600</v>
      </c>
      <c r="C614" s="47" t="str">
        <f>VLOOKUP(PAA_4[[#This Row],[PROYECTO (formulado)2]],[2]PROYECTOS!$G$1:$L$32,6,0)</f>
        <v>SUBGERENCIA DE ALTOS LOGROS Y DEPORTE ASOCIADO</v>
      </c>
      <c r="D614" s="47" t="str">
        <f>+IF(PAA_4[[#This Row],[UNIDAD DE CONTRATACION (formulado)]]="Subgerencia Administrativa y Financiera","FUNCIONAMIENTO","INVERSIÓN")</f>
        <v>INVERSIÓN</v>
      </c>
      <c r="E614" s="48" t="str">
        <f>VLOOKUP(Q614,[2]PROYECTOS!$G$1:$K$32,5,0)</f>
        <v>APOYO_TÉCNICO_Y_PSICOSOCIAL_A_LOS_DEPORTISTAS_DE_ANTIOQUIA</v>
      </c>
      <c r="F614" s="48">
        <f>VLOOKUP(E614,[2]PROYECTOS!$K$1:$M$32,3,0)</f>
        <v>2021003050069</v>
      </c>
      <c r="G614" s="49" t="s">
        <v>239</v>
      </c>
      <c r="H614" s="49" t="str">
        <f>VLOOKUP(Q614,[2]PROYECTOS!$V$1:$W$32,2,0)</f>
        <v>050069</v>
      </c>
      <c r="I614" s="50">
        <v>41521014</v>
      </c>
      <c r="J614" s="51" t="s">
        <v>1651</v>
      </c>
      <c r="K614" s="47" t="str">
        <f t="shared" ca="1" si="242"/>
        <v>CONTRATADO</v>
      </c>
      <c r="L614" s="47" t="s">
        <v>94</v>
      </c>
      <c r="M614" s="47" t="s">
        <v>1297</v>
      </c>
      <c r="N614" s="52" t="s">
        <v>240</v>
      </c>
      <c r="O614" s="51" t="e">
        <f>VLOOKUP(N614,[2]!RUBROS[#All],3,0)</f>
        <v>#REF!</v>
      </c>
      <c r="P614" s="53" t="e">
        <f>VLOOKUP(N614,[2]!RUBROS[#All],2,0)</f>
        <v>#REF!</v>
      </c>
      <c r="Q614" s="47" t="str">
        <f t="shared" si="243"/>
        <v>22</v>
      </c>
      <c r="R614" s="47" t="str">
        <f t="shared" si="244"/>
        <v>0-205400</v>
      </c>
      <c r="S614" s="54">
        <v>6</v>
      </c>
      <c r="T614" s="63" t="s">
        <v>46</v>
      </c>
      <c r="U614" s="326" t="e">
        <f ca="1">_xlfn.XLOOKUP(PAA_4[[#This Row],[ITEM]],[2]Contrato!A:A,[2]Contrato!Q:Q,"",0)</f>
        <v>#NAME?</v>
      </c>
      <c r="V614" s="47" t="s">
        <v>47</v>
      </c>
      <c r="W614" s="47" t="s">
        <v>137</v>
      </c>
      <c r="X614" s="47" t="s">
        <v>137</v>
      </c>
      <c r="Y614" s="55" t="e">
        <f ca="1">_xlfn.XLOOKUP(PAA_4[[#This Row],[ITEM]],[2]Contrato!A:A,[2]Contrato!B:B,"",0)</f>
        <v>#NAME?</v>
      </c>
      <c r="Z614" s="47" t="e">
        <f ca="1">_xlfn.XLOOKUP(PAA_4[[#This Row],[ITEM]],[2]Contrato!A:A,[2]Contrato!G:G,"",0)</f>
        <v>#NAME?</v>
      </c>
      <c r="AA614" s="47" t="e">
        <f ca="1">_xlfn.XLOOKUP(PAA_4[[#This Row],[ITEM]],[2]Contrato!A:A,[2]Contrato!T:T,"",0)</f>
        <v>#NAME?</v>
      </c>
      <c r="AB614" s="55" t="e">
        <f ca="1">+MAX(PAA_4[[#This Row],[Comprometido Contrato]],PAA_4[[#This Row],[Comprometido Bolsa]])</f>
        <v>#NAME?</v>
      </c>
      <c r="AC614" s="55" t="str">
        <f t="shared" ca="1" si="245"/>
        <v/>
      </c>
      <c r="AD614" s="55" t="e">
        <f ca="1">IF(PAA_4[[#This Row],[ESTADO (formulado)]]="NO CONTRATADO",0,MAX(PAA_4[[#This Row],[Pago por Contrato]],PAA_4[[#This Row],[Pago por bolsa]]))</f>
        <v>#NAME?</v>
      </c>
      <c r="AE614" s="55" t="str">
        <f t="shared" ca="1" si="246"/>
        <v/>
      </c>
      <c r="AF614" s="47" t="e">
        <f t="shared" ca="1" si="241"/>
        <v>#NAME?</v>
      </c>
      <c r="AG614" s="47">
        <f t="shared" si="247"/>
        <v>41080101</v>
      </c>
      <c r="AH614" s="54" t="str">
        <f>IF(Q614="22",IF(ISNUMBER(SEARCH("econ",PAA_4[[#This Row],[Actividad3]])),"Económico",IF(ISNUMBER(SEARCH("alim",PAA_4[[#This Row],[Actividad3]])),"Alimentación",IF(ISNUMBER(SEARCH("educ",PAA_4[[#This Row],[Actividad3]])),"Educativo","Técnico"))),0)</f>
        <v>Técnico</v>
      </c>
      <c r="AI614" s="47" t="e" cm="1">
        <f t="array" aca="1" ref="AI614" ca="1">_xlfn.XLOOKUP(PAA_4[[#This Row],[RCP-RUBRO]],[2]!COMPROMISOS_2024[[#All],[concatenado]],[2]!COMPROMISOS_2024[[#All],[Total pagado]],"",0)</f>
        <v>#NAME?</v>
      </c>
      <c r="AJ614" s="56" t="e">
        <f ca="1">IF(PAA_4[[#This Row],[BOLSA]]=0,0,SUMIFS([2]!COMPROMISOS_2024[[#All],[Total pagado]],[2]!COMPROMISOS_2024[[#All],[Bolsa]],PAA_4[[#This Row],[BOLSA]],[2]!COMPROMISOS_2024[[#All],[rubro]],PAA_4[[#This Row],[RCP-RUBRO]]))</f>
        <v>#REF!</v>
      </c>
      <c r="AK614" s="47" t="e" cm="1">
        <f t="array" aca="1" ref="AK614" ca="1">_xlfn.XLOOKUP(PAA_4[[#This Row],[RCP-RUBRO]],[2]!COMPROMISOS_2024[[#All],[concatenado]],[2]!COMPROMISOS_2024[[#All],[Total Comprometido]],"",0)</f>
        <v>#NAME?</v>
      </c>
      <c r="AL614" s="47" t="e">
        <f ca="1">IF(PAA_4[[#This Row],[BOLSA]]=0,0,SUMIFS([2]!COMPROMISOS_2024[[#All],[Total Comprometido]],[2]!COMPROMISOS_2024[[#All],[Bolsa]],PAA_4[[#This Row],[BOLSA]],[2]!COMPROMISOS_2024[[#All],[concatenado]],PAA_4[[#This Row],[RCP-RUBRO]]))</f>
        <v>#REF!</v>
      </c>
    </row>
    <row r="615" spans="1:38" s="19" customFormat="1" ht="31.5" customHeight="1">
      <c r="A615" s="47">
        <v>229</v>
      </c>
      <c r="B615" s="47">
        <v>80111600</v>
      </c>
      <c r="C615" s="47" t="str">
        <f>VLOOKUP(PAA_4[[#This Row],[PROYECTO (formulado)2]],[2]PROYECTOS!$G$1:$L$32,6,0)</f>
        <v>SUBGERENCIA DE ALTOS LOGROS Y DEPORTE ASOCIADO</v>
      </c>
      <c r="D615" s="47" t="str">
        <f>+IF(PAA_4[[#This Row],[UNIDAD DE CONTRATACION (formulado)]]="Subgerencia Administrativa y Financiera","FUNCIONAMIENTO","INVERSIÓN")</f>
        <v>INVERSIÓN</v>
      </c>
      <c r="E615" s="48" t="str">
        <f>VLOOKUP(Q615,[2]PROYECTOS!$G$1:$K$32,5,0)</f>
        <v>APOYO_TÉCNICO_Y_PSICOSOCIAL_A_LOS_DEPORTISTAS_DE_ANTIOQUIA</v>
      </c>
      <c r="F615" s="48">
        <f>VLOOKUP(E615,[2]PROYECTOS!$K$1:$M$32,3,0)</f>
        <v>2021003050069</v>
      </c>
      <c r="G615" s="49" t="s">
        <v>239</v>
      </c>
      <c r="H615" s="49" t="str">
        <f>VLOOKUP(Q615,[2]PROYECTOS!$V$1:$W$32,2,0)</f>
        <v>050069</v>
      </c>
      <c r="I615" s="50">
        <v>23714292</v>
      </c>
      <c r="J615" s="51" t="s">
        <v>1652</v>
      </c>
      <c r="K615" s="47" t="str">
        <f t="shared" ca="1" si="242"/>
        <v>CONTRATADO</v>
      </c>
      <c r="L615" s="47" t="s">
        <v>94</v>
      </c>
      <c r="M615" s="47" t="s">
        <v>1297</v>
      </c>
      <c r="N615" s="52" t="s">
        <v>240</v>
      </c>
      <c r="O615" s="51" t="e">
        <f>VLOOKUP(N615,[2]!RUBROS[#All],3,0)</f>
        <v>#REF!</v>
      </c>
      <c r="P615" s="53" t="e">
        <f>VLOOKUP(N615,[2]!RUBROS[#All],2,0)</f>
        <v>#REF!</v>
      </c>
      <c r="Q615" s="47" t="str">
        <f t="shared" si="243"/>
        <v>22</v>
      </c>
      <c r="R615" s="47" t="str">
        <f t="shared" si="244"/>
        <v>0-205400</v>
      </c>
      <c r="S615" s="54">
        <v>6</v>
      </c>
      <c r="T615" s="63" t="s">
        <v>46</v>
      </c>
      <c r="U615" s="326" t="e">
        <f ca="1">_xlfn.XLOOKUP(PAA_4[[#This Row],[ITEM]],[2]Contrato!A:A,[2]Contrato!Q:Q,"",0)</f>
        <v>#NAME?</v>
      </c>
      <c r="V615" s="47" t="s">
        <v>47</v>
      </c>
      <c r="W615" s="47" t="s">
        <v>137</v>
      </c>
      <c r="X615" s="47" t="s">
        <v>137</v>
      </c>
      <c r="Y615" s="55" t="e">
        <f ca="1">_xlfn.XLOOKUP(PAA_4[[#This Row],[ITEM]],[2]Contrato!A:A,[2]Contrato!B:B,"",0)</f>
        <v>#NAME?</v>
      </c>
      <c r="Z615" s="47" t="e">
        <f ca="1">_xlfn.XLOOKUP(PAA_4[[#This Row],[ITEM]],[2]Contrato!A:A,[2]Contrato!G:G,"",0)</f>
        <v>#NAME?</v>
      </c>
      <c r="AA615" s="47" t="e">
        <f ca="1">_xlfn.XLOOKUP(PAA_4[[#This Row],[ITEM]],[2]Contrato!A:A,[2]Contrato!T:T,"",0)</f>
        <v>#NAME?</v>
      </c>
      <c r="AB615" s="55" t="e">
        <f ca="1">+MAX(PAA_4[[#This Row],[Comprometido Contrato]],PAA_4[[#This Row],[Comprometido Bolsa]])</f>
        <v>#NAME?</v>
      </c>
      <c r="AC615" s="55" t="str">
        <f t="shared" ca="1" si="245"/>
        <v/>
      </c>
      <c r="AD615" s="55" t="e">
        <f ca="1">IF(PAA_4[[#This Row],[ESTADO (formulado)]]="NO CONTRATADO",0,MAX(PAA_4[[#This Row],[Pago por Contrato]],PAA_4[[#This Row],[Pago por bolsa]]))</f>
        <v>#NAME?</v>
      </c>
      <c r="AE615" s="55" t="str">
        <f t="shared" ca="1" si="246"/>
        <v/>
      </c>
      <c r="AF615" s="47" t="e">
        <f t="shared" ca="1" si="241"/>
        <v>#NAME?</v>
      </c>
      <c r="AG615" s="47">
        <f t="shared" si="247"/>
        <v>41080101</v>
      </c>
      <c r="AH615" s="54" t="str">
        <f>IF(Q615="22",IF(ISNUMBER(SEARCH("econ",PAA_4[[#This Row],[Actividad3]])),"Económico",IF(ISNUMBER(SEARCH("alim",PAA_4[[#This Row],[Actividad3]])),"Alimentación",IF(ISNUMBER(SEARCH("educ",PAA_4[[#This Row],[Actividad3]])),"Educativo","Técnico"))),0)</f>
        <v>Técnico</v>
      </c>
      <c r="AI615" s="47" t="e" cm="1">
        <f t="array" aca="1" ref="AI615" ca="1">_xlfn.XLOOKUP(PAA_4[[#This Row],[RCP-RUBRO]],[2]!COMPROMISOS_2024[[#All],[concatenado]],[2]!COMPROMISOS_2024[[#All],[Total pagado]],"",0)</f>
        <v>#NAME?</v>
      </c>
      <c r="AJ615" s="56" t="e">
        <f ca="1">IF(PAA_4[[#This Row],[BOLSA]]=0,0,SUMIFS([2]!COMPROMISOS_2024[[#All],[Total pagado]],[2]!COMPROMISOS_2024[[#All],[Bolsa]],PAA_4[[#This Row],[BOLSA]],[2]!COMPROMISOS_2024[[#All],[rubro]],PAA_4[[#This Row],[RCP-RUBRO]]))</f>
        <v>#REF!</v>
      </c>
      <c r="AK615" s="47" t="e" cm="1">
        <f t="array" aca="1" ref="AK615" ca="1">_xlfn.XLOOKUP(PAA_4[[#This Row],[RCP-RUBRO]],[2]!COMPROMISOS_2024[[#All],[concatenado]],[2]!COMPROMISOS_2024[[#All],[Total Comprometido]],"",0)</f>
        <v>#NAME?</v>
      </c>
      <c r="AL615" s="47" t="e">
        <f ca="1">IF(PAA_4[[#This Row],[BOLSA]]=0,0,SUMIFS([2]!COMPROMISOS_2024[[#All],[Total Comprometido]],[2]!COMPROMISOS_2024[[#All],[Bolsa]],PAA_4[[#This Row],[BOLSA]],[2]!COMPROMISOS_2024[[#All],[concatenado]],PAA_4[[#This Row],[RCP-RUBRO]]))</f>
        <v>#REF!</v>
      </c>
    </row>
    <row r="616" spans="1:38" s="19" customFormat="1" ht="31.5" customHeight="1">
      <c r="A616" s="47">
        <v>230</v>
      </c>
      <c r="B616" s="47">
        <v>80111600</v>
      </c>
      <c r="C616" s="47" t="str">
        <f>VLOOKUP(PAA_4[[#This Row],[PROYECTO (formulado)2]],[2]PROYECTOS!$G$1:$L$32,6,0)</f>
        <v>SUBGERENCIA DE ALTOS LOGROS Y DEPORTE ASOCIADO</v>
      </c>
      <c r="D616" s="47" t="str">
        <f>+IF(PAA_4[[#This Row],[UNIDAD DE CONTRATACION (formulado)]]="Subgerencia Administrativa y Financiera","FUNCIONAMIENTO","INVERSIÓN")</f>
        <v>INVERSIÓN</v>
      </c>
      <c r="E616" s="48" t="str">
        <f>VLOOKUP(Q616,[2]PROYECTOS!$G$1:$K$32,5,0)</f>
        <v>APOYO_TÉCNICO_Y_PSICOSOCIAL_A_LOS_DEPORTISTAS_DE_ANTIOQUIA</v>
      </c>
      <c r="F616" s="48">
        <f>VLOOKUP(E616,[2]PROYECTOS!$K$1:$M$32,3,0)</f>
        <v>2021003050069</v>
      </c>
      <c r="G616" s="49" t="s">
        <v>239</v>
      </c>
      <c r="H616" s="49" t="str">
        <f>VLOOKUP(Q616,[2]PROYECTOS!$V$1:$W$32,2,0)</f>
        <v>050069</v>
      </c>
      <c r="I616" s="50">
        <v>15449052</v>
      </c>
      <c r="J616" s="51" t="s">
        <v>1653</v>
      </c>
      <c r="K616" s="47" t="str">
        <f t="shared" ca="1" si="242"/>
        <v>CONTRATADO</v>
      </c>
      <c r="L616" s="47" t="s">
        <v>94</v>
      </c>
      <c r="M616" s="47" t="s">
        <v>1297</v>
      </c>
      <c r="N616" s="52" t="s">
        <v>240</v>
      </c>
      <c r="O616" s="51" t="e">
        <f>VLOOKUP(N616,[2]!RUBROS[#All],3,0)</f>
        <v>#REF!</v>
      </c>
      <c r="P616" s="53" t="e">
        <f>VLOOKUP(N616,[2]!RUBROS[#All],2,0)</f>
        <v>#REF!</v>
      </c>
      <c r="Q616" s="47" t="str">
        <f t="shared" si="243"/>
        <v>22</v>
      </c>
      <c r="R616" s="47" t="str">
        <f t="shared" si="244"/>
        <v>0-205400</v>
      </c>
      <c r="S616" s="54">
        <v>6</v>
      </c>
      <c r="T616" s="63" t="s">
        <v>46</v>
      </c>
      <c r="U616" s="326" t="e">
        <f ca="1">_xlfn.XLOOKUP(PAA_4[[#This Row],[ITEM]],[2]Contrato!A:A,[2]Contrato!Q:Q,"",0)</f>
        <v>#NAME?</v>
      </c>
      <c r="V616" s="47" t="s">
        <v>47</v>
      </c>
      <c r="W616" s="47" t="s">
        <v>137</v>
      </c>
      <c r="X616" s="47" t="s">
        <v>137</v>
      </c>
      <c r="Y616" s="55" t="e">
        <f ca="1">_xlfn.XLOOKUP(PAA_4[[#This Row],[ITEM]],[2]Contrato!A:A,[2]Contrato!B:B,"",0)</f>
        <v>#NAME?</v>
      </c>
      <c r="Z616" s="47" t="e">
        <f ca="1">_xlfn.XLOOKUP(PAA_4[[#This Row],[ITEM]],[2]Contrato!A:A,[2]Contrato!G:G,"",0)</f>
        <v>#NAME?</v>
      </c>
      <c r="AA616" s="47" t="e">
        <f ca="1">_xlfn.XLOOKUP(PAA_4[[#This Row],[ITEM]],[2]Contrato!A:A,[2]Contrato!T:T,"",0)</f>
        <v>#NAME?</v>
      </c>
      <c r="AB616" s="55" t="e">
        <f ca="1">+MAX(PAA_4[[#This Row],[Comprometido Contrato]],PAA_4[[#This Row],[Comprometido Bolsa]])</f>
        <v>#NAME?</v>
      </c>
      <c r="AC616" s="55" t="str">
        <f t="shared" ca="1" si="245"/>
        <v/>
      </c>
      <c r="AD616" s="55" t="e">
        <f ca="1">IF(PAA_4[[#This Row],[ESTADO (formulado)]]="NO CONTRATADO",0,MAX(PAA_4[[#This Row],[Pago por Contrato]],PAA_4[[#This Row],[Pago por bolsa]]))</f>
        <v>#NAME?</v>
      </c>
      <c r="AE616" s="55" t="str">
        <f t="shared" ca="1" si="246"/>
        <v/>
      </c>
      <c r="AF616" s="47" t="e">
        <f t="shared" ca="1" si="241"/>
        <v>#NAME?</v>
      </c>
      <c r="AG616" s="47">
        <f t="shared" si="247"/>
        <v>41080101</v>
      </c>
      <c r="AH616" s="54" t="str">
        <f>IF(Q616="22",IF(ISNUMBER(SEARCH("econ",PAA_4[[#This Row],[Actividad3]])),"Económico",IF(ISNUMBER(SEARCH("alim",PAA_4[[#This Row],[Actividad3]])),"Alimentación",IF(ISNUMBER(SEARCH("educ",PAA_4[[#This Row],[Actividad3]])),"Educativo","Técnico"))),0)</f>
        <v>Técnico</v>
      </c>
      <c r="AI616" s="47" t="e" cm="1">
        <f t="array" aca="1" ref="AI616" ca="1">_xlfn.XLOOKUP(PAA_4[[#This Row],[RCP-RUBRO]],[2]!COMPROMISOS_2024[[#All],[concatenado]],[2]!COMPROMISOS_2024[[#All],[Total pagado]],"",0)</f>
        <v>#NAME?</v>
      </c>
      <c r="AJ616" s="56" t="e">
        <f ca="1">IF(PAA_4[[#This Row],[BOLSA]]=0,0,SUMIFS([2]!COMPROMISOS_2024[[#All],[Total pagado]],[2]!COMPROMISOS_2024[[#All],[Bolsa]],PAA_4[[#This Row],[BOLSA]],[2]!COMPROMISOS_2024[[#All],[rubro]],PAA_4[[#This Row],[RCP-RUBRO]]))</f>
        <v>#REF!</v>
      </c>
      <c r="AK616" s="47" t="e" cm="1">
        <f t="array" aca="1" ref="AK616" ca="1">_xlfn.XLOOKUP(PAA_4[[#This Row],[RCP-RUBRO]],[2]!COMPROMISOS_2024[[#All],[concatenado]],[2]!COMPROMISOS_2024[[#All],[Total Comprometido]],"",0)</f>
        <v>#NAME?</v>
      </c>
      <c r="AL616" s="47" t="e">
        <f ca="1">IF(PAA_4[[#This Row],[BOLSA]]=0,0,SUMIFS([2]!COMPROMISOS_2024[[#All],[Total Comprometido]],[2]!COMPROMISOS_2024[[#All],[Bolsa]],PAA_4[[#This Row],[BOLSA]],[2]!COMPROMISOS_2024[[#All],[concatenado]],PAA_4[[#This Row],[RCP-RUBRO]]))</f>
        <v>#REF!</v>
      </c>
    </row>
    <row r="617" spans="1:38" s="19" customFormat="1" ht="31.5" customHeight="1">
      <c r="A617" s="47">
        <v>231</v>
      </c>
      <c r="B617" s="47">
        <v>80111600</v>
      </c>
      <c r="C617" s="47" t="str">
        <f>VLOOKUP(PAA_4[[#This Row],[PROYECTO (formulado)2]],[2]PROYECTOS!$G$1:$L$32,6,0)</f>
        <v>SUBGERENCIA DE ALTOS LOGROS Y DEPORTE ASOCIADO</v>
      </c>
      <c r="D617" s="47" t="str">
        <f>+IF(PAA_4[[#This Row],[UNIDAD DE CONTRATACION (formulado)]]="Subgerencia Administrativa y Financiera","FUNCIONAMIENTO","INVERSIÓN")</f>
        <v>INVERSIÓN</v>
      </c>
      <c r="E617" s="48" t="str">
        <f>VLOOKUP(Q617,[2]PROYECTOS!$G$1:$K$32,5,0)</f>
        <v>APOYO_TÉCNICO_Y_PSICOSOCIAL_A_LOS_DEPORTISTAS_DE_ANTIOQUIA</v>
      </c>
      <c r="F617" s="48">
        <f>VLOOKUP(E617,[2]PROYECTOS!$K$1:$M$32,3,0)</f>
        <v>2021003050069</v>
      </c>
      <c r="G617" s="49" t="s">
        <v>239</v>
      </c>
      <c r="H617" s="49" t="str">
        <f>VLOOKUP(Q617,[2]PROYECTOS!$V$1:$W$32,2,0)</f>
        <v>050069</v>
      </c>
      <c r="I617" s="50">
        <f>36980651-1963574</f>
        <v>35017077</v>
      </c>
      <c r="J617" s="51" t="s">
        <v>1634</v>
      </c>
      <c r="K617" s="47" t="str">
        <f t="shared" ca="1" si="242"/>
        <v>CONTRATADO</v>
      </c>
      <c r="L617" s="47" t="s">
        <v>94</v>
      </c>
      <c r="M617" s="47" t="s">
        <v>1297</v>
      </c>
      <c r="N617" s="52" t="s">
        <v>240</v>
      </c>
      <c r="O617" s="51" t="e">
        <f>VLOOKUP(N617,[2]!RUBROS[#All],3,0)</f>
        <v>#REF!</v>
      </c>
      <c r="P617" s="53" t="e">
        <f>VLOOKUP(N617,[2]!RUBROS[#All],2,0)</f>
        <v>#REF!</v>
      </c>
      <c r="Q617" s="47" t="str">
        <f t="shared" si="243"/>
        <v>22</v>
      </c>
      <c r="R617" s="47" t="str">
        <f t="shared" si="244"/>
        <v>0-205400</v>
      </c>
      <c r="S617" s="65">
        <f>210+15</f>
        <v>225</v>
      </c>
      <c r="T617" s="63" t="s">
        <v>120</v>
      </c>
      <c r="U617" s="326" t="e">
        <f ca="1">_xlfn.XLOOKUP(PAA_4[[#This Row],[ITEM]],[2]Contrato!A:A,[2]Contrato!Q:Q,"",0)</f>
        <v>#NAME?</v>
      </c>
      <c r="V617" s="47" t="s">
        <v>47</v>
      </c>
      <c r="W617" s="65" t="s">
        <v>122</v>
      </c>
      <c r="X617" s="65" t="s">
        <v>242</v>
      </c>
      <c r="Y617" s="55" t="e">
        <f ca="1">_xlfn.XLOOKUP(PAA_4[[#This Row],[ITEM]],[2]Contrato!A:A,[2]Contrato!B:B,"",0)</f>
        <v>#NAME?</v>
      </c>
      <c r="Z617" s="47" t="e">
        <f ca="1">_xlfn.XLOOKUP(PAA_4[[#This Row],[ITEM]],[2]Contrato!A:A,[2]Contrato!G:G,"",0)</f>
        <v>#NAME?</v>
      </c>
      <c r="AA617" s="47" t="e">
        <f ca="1">_xlfn.XLOOKUP(PAA_4[[#This Row],[ITEM]],[2]Contrato!A:A,[2]Contrato!T:T,"",0)</f>
        <v>#NAME?</v>
      </c>
      <c r="AB617" s="55" t="e">
        <f ca="1">+MAX(PAA_4[[#This Row],[Comprometido Contrato]],PAA_4[[#This Row],[Comprometido Bolsa]])</f>
        <v>#NAME?</v>
      </c>
      <c r="AC617" s="55" t="str">
        <f t="shared" ca="1" si="245"/>
        <v/>
      </c>
      <c r="AD617" s="55" t="e">
        <f ca="1">IF(PAA_4[[#This Row],[ESTADO (formulado)]]="NO CONTRATADO",0,MAX(PAA_4[[#This Row],[Pago por Contrato]],PAA_4[[#This Row],[Pago por bolsa]]))</f>
        <v>#NAME?</v>
      </c>
      <c r="AE617" s="55" t="str">
        <f t="shared" ca="1" si="246"/>
        <v/>
      </c>
      <c r="AF617" s="47" t="e">
        <f t="shared" ca="1" si="241"/>
        <v>#NAME?</v>
      </c>
      <c r="AG617" s="47">
        <f t="shared" si="247"/>
        <v>41080101</v>
      </c>
      <c r="AH617" s="54" t="str">
        <f>IF(Q617="22",IF(ISNUMBER(SEARCH("econ",PAA_4[[#This Row],[Actividad3]])),"Económico",IF(ISNUMBER(SEARCH("alim",PAA_4[[#This Row],[Actividad3]])),"Alimentación",IF(ISNUMBER(SEARCH("educ",PAA_4[[#This Row],[Actividad3]])),"Educativo","Técnico"))),0)</f>
        <v>Técnico</v>
      </c>
      <c r="AI617" s="47" t="e" cm="1">
        <f t="array" aca="1" ref="AI617" ca="1">_xlfn.XLOOKUP(PAA_4[[#This Row],[RCP-RUBRO]],[2]!COMPROMISOS_2024[[#All],[concatenado]],[2]!COMPROMISOS_2024[[#All],[Total pagado]],"",0)</f>
        <v>#NAME?</v>
      </c>
      <c r="AJ617" s="56" t="e">
        <f ca="1">IF(PAA_4[[#This Row],[BOLSA]]=0,0,SUMIFS([2]!COMPROMISOS_2024[[#All],[Total pagado]],[2]!COMPROMISOS_2024[[#All],[Bolsa]],PAA_4[[#This Row],[BOLSA]],[2]!COMPROMISOS_2024[[#All],[rubro]],PAA_4[[#This Row],[RCP-RUBRO]]))</f>
        <v>#REF!</v>
      </c>
      <c r="AK617" s="47" t="e" cm="1">
        <f t="array" aca="1" ref="AK617" ca="1">_xlfn.XLOOKUP(PAA_4[[#This Row],[RCP-RUBRO]],[2]!COMPROMISOS_2024[[#All],[concatenado]],[2]!COMPROMISOS_2024[[#All],[Total Comprometido]],"",0)</f>
        <v>#NAME?</v>
      </c>
      <c r="AL617" s="47" t="e">
        <f ca="1">IF(PAA_4[[#This Row],[BOLSA]]=0,0,SUMIFS([2]!COMPROMISOS_2024[[#All],[Total Comprometido]],[2]!COMPROMISOS_2024[[#All],[Bolsa]],PAA_4[[#This Row],[BOLSA]],[2]!COMPROMISOS_2024[[#All],[concatenado]],PAA_4[[#This Row],[RCP-RUBRO]]))</f>
        <v>#REF!</v>
      </c>
    </row>
    <row r="618" spans="1:38" s="19" customFormat="1" ht="31.5" customHeight="1">
      <c r="A618" s="47">
        <v>232</v>
      </c>
      <c r="B618" s="47">
        <v>80111600</v>
      </c>
      <c r="C618" s="47" t="str">
        <f>VLOOKUP(PAA_4[[#This Row],[PROYECTO (formulado)2]],[2]PROYECTOS!$G$1:$L$32,6,0)</f>
        <v>SUBGERENCIA DE ALTOS LOGROS Y DEPORTE ASOCIADO</v>
      </c>
      <c r="D618" s="47" t="str">
        <f>+IF(PAA_4[[#This Row],[UNIDAD DE CONTRATACION (formulado)]]="Subgerencia Administrativa y Financiera","FUNCIONAMIENTO","INVERSIÓN")</f>
        <v>INVERSIÓN</v>
      </c>
      <c r="E618" s="48" t="str">
        <f>VLOOKUP(Q618,[2]PROYECTOS!$G$1:$K$32,5,0)</f>
        <v>APOYO_TÉCNICO_Y_PSICOSOCIAL_A_LOS_DEPORTISTAS_DE_ANTIOQUIA</v>
      </c>
      <c r="F618" s="48">
        <f>VLOOKUP(E618,[2]PROYECTOS!$K$1:$M$32,3,0)</f>
        <v>2021003050069</v>
      </c>
      <c r="G618" s="49" t="s">
        <v>239</v>
      </c>
      <c r="H618" s="49" t="str">
        <f>VLOOKUP(Q618,[2]PROYECTOS!$V$1:$W$32,2,0)</f>
        <v>050069</v>
      </c>
      <c r="I618" s="50">
        <v>15449052</v>
      </c>
      <c r="J618" s="51" t="s">
        <v>1654</v>
      </c>
      <c r="K618" s="47" t="str">
        <f t="shared" ca="1" si="242"/>
        <v>CONTRATADO</v>
      </c>
      <c r="L618" s="47" t="s">
        <v>94</v>
      </c>
      <c r="M618" s="47" t="s">
        <v>1297</v>
      </c>
      <c r="N618" s="52" t="s">
        <v>240</v>
      </c>
      <c r="O618" s="51" t="e">
        <f>VLOOKUP(N618,[2]!RUBROS[#All],3,0)</f>
        <v>#REF!</v>
      </c>
      <c r="P618" s="53" t="e">
        <f>VLOOKUP(N618,[2]!RUBROS[#All],2,0)</f>
        <v>#REF!</v>
      </c>
      <c r="Q618" s="47" t="str">
        <f t="shared" si="243"/>
        <v>22</v>
      </c>
      <c r="R618" s="47" t="str">
        <f t="shared" si="244"/>
        <v>0-205400</v>
      </c>
      <c r="S618" s="54">
        <v>6</v>
      </c>
      <c r="T618" s="63" t="s">
        <v>46</v>
      </c>
      <c r="U618" s="326" t="e">
        <f ca="1">_xlfn.XLOOKUP(PAA_4[[#This Row],[ITEM]],[2]Contrato!A:A,[2]Contrato!Q:Q,"",0)</f>
        <v>#NAME?</v>
      </c>
      <c r="V618" s="47" t="s">
        <v>47</v>
      </c>
      <c r="W618" s="47" t="s">
        <v>137</v>
      </c>
      <c r="X618" s="47" t="s">
        <v>137</v>
      </c>
      <c r="Y618" s="55" t="e">
        <f ca="1">_xlfn.XLOOKUP(PAA_4[[#This Row],[ITEM]],[2]Contrato!A:A,[2]Contrato!B:B,"",0)</f>
        <v>#NAME?</v>
      </c>
      <c r="Z618" s="47" t="e">
        <f ca="1">_xlfn.XLOOKUP(PAA_4[[#This Row],[ITEM]],[2]Contrato!A:A,[2]Contrato!G:G,"",0)</f>
        <v>#NAME?</v>
      </c>
      <c r="AA618" s="47" t="e">
        <f ca="1">_xlfn.XLOOKUP(PAA_4[[#This Row],[ITEM]],[2]Contrato!A:A,[2]Contrato!T:T,"",0)</f>
        <v>#NAME?</v>
      </c>
      <c r="AB618" s="55" t="e">
        <f ca="1">+MAX(PAA_4[[#This Row],[Comprometido Contrato]],PAA_4[[#This Row],[Comprometido Bolsa]])</f>
        <v>#NAME?</v>
      </c>
      <c r="AC618" s="55" t="str">
        <f t="shared" ca="1" si="245"/>
        <v/>
      </c>
      <c r="AD618" s="55" t="e">
        <f ca="1">IF(PAA_4[[#This Row],[ESTADO (formulado)]]="NO CONTRATADO",0,MAX(PAA_4[[#This Row],[Pago por Contrato]],PAA_4[[#This Row],[Pago por bolsa]]))</f>
        <v>#NAME?</v>
      </c>
      <c r="AE618" s="55" t="str">
        <f t="shared" ca="1" si="246"/>
        <v/>
      </c>
      <c r="AF618" s="47" t="e">
        <f t="shared" ca="1" si="241"/>
        <v>#NAME?</v>
      </c>
      <c r="AG618" s="47">
        <f t="shared" si="247"/>
        <v>41080101</v>
      </c>
      <c r="AH618" s="54" t="str">
        <f>IF(Q618="22",IF(ISNUMBER(SEARCH("econ",PAA_4[[#This Row],[Actividad3]])),"Económico",IF(ISNUMBER(SEARCH("alim",PAA_4[[#This Row],[Actividad3]])),"Alimentación",IF(ISNUMBER(SEARCH("educ",PAA_4[[#This Row],[Actividad3]])),"Educativo","Técnico"))),0)</f>
        <v>Técnico</v>
      </c>
      <c r="AI618" s="47" t="e" cm="1">
        <f t="array" aca="1" ref="AI618" ca="1">_xlfn.XLOOKUP(PAA_4[[#This Row],[RCP-RUBRO]],[2]!COMPROMISOS_2024[[#All],[concatenado]],[2]!COMPROMISOS_2024[[#All],[Total pagado]],"",0)</f>
        <v>#NAME?</v>
      </c>
      <c r="AJ618" s="56" t="e">
        <f ca="1">IF(PAA_4[[#This Row],[BOLSA]]=0,0,SUMIFS([2]!COMPROMISOS_2024[[#All],[Total pagado]],[2]!COMPROMISOS_2024[[#All],[Bolsa]],PAA_4[[#This Row],[BOLSA]],[2]!COMPROMISOS_2024[[#All],[rubro]],PAA_4[[#This Row],[RCP-RUBRO]]))</f>
        <v>#REF!</v>
      </c>
      <c r="AK618" s="47" t="e" cm="1">
        <f t="array" aca="1" ref="AK618" ca="1">_xlfn.XLOOKUP(PAA_4[[#This Row],[RCP-RUBRO]],[2]!COMPROMISOS_2024[[#All],[concatenado]],[2]!COMPROMISOS_2024[[#All],[Total Comprometido]],"",0)</f>
        <v>#NAME?</v>
      </c>
      <c r="AL618" s="47" t="e">
        <f ca="1">IF(PAA_4[[#This Row],[BOLSA]]=0,0,SUMIFS([2]!COMPROMISOS_2024[[#All],[Total Comprometido]],[2]!COMPROMISOS_2024[[#All],[Bolsa]],PAA_4[[#This Row],[BOLSA]],[2]!COMPROMISOS_2024[[#All],[concatenado]],PAA_4[[#This Row],[RCP-RUBRO]]))</f>
        <v>#REF!</v>
      </c>
    </row>
    <row r="619" spans="1:38" s="19" customFormat="1" ht="31.5" customHeight="1">
      <c r="A619" s="47">
        <v>233</v>
      </c>
      <c r="B619" s="47">
        <v>80111600</v>
      </c>
      <c r="C619" s="47" t="str">
        <f>VLOOKUP(PAA_4[[#This Row],[PROYECTO (formulado)2]],[2]PROYECTOS!$G$1:$L$32,6,0)</f>
        <v>SUBGERENCIA DE ALTOS LOGROS Y DEPORTE ASOCIADO</v>
      </c>
      <c r="D619" s="47" t="str">
        <f>+IF(PAA_4[[#This Row],[UNIDAD DE CONTRATACION (formulado)]]="Subgerencia Administrativa y Financiera","FUNCIONAMIENTO","INVERSIÓN")</f>
        <v>INVERSIÓN</v>
      </c>
      <c r="E619" s="48" t="str">
        <f>VLOOKUP(Q619,[2]PROYECTOS!$G$1:$K$32,5,0)</f>
        <v>APOYO_TÉCNICO_Y_PSICOSOCIAL_A_LOS_DEPORTISTAS_DE_ANTIOQUIA</v>
      </c>
      <c r="F619" s="48">
        <f>VLOOKUP(E619,[2]PROYECTOS!$K$1:$M$32,3,0)</f>
        <v>2021003050069</v>
      </c>
      <c r="G619" s="49" t="s">
        <v>241</v>
      </c>
      <c r="H619" s="49" t="str">
        <f>VLOOKUP(Q619,[2]PROYECTOS!$V$1:$W$32,2,0)</f>
        <v>050069</v>
      </c>
      <c r="I619" s="50">
        <v>23714292</v>
      </c>
      <c r="J619" s="51" t="s">
        <v>1655</v>
      </c>
      <c r="K619" s="47" t="str">
        <f t="shared" ca="1" si="242"/>
        <v>CONTRATADO</v>
      </c>
      <c r="L619" s="47" t="s">
        <v>94</v>
      </c>
      <c r="M619" s="47" t="s">
        <v>1297</v>
      </c>
      <c r="N619" s="52" t="s">
        <v>240</v>
      </c>
      <c r="O619" s="51" t="e">
        <f>VLOOKUP(N619,[2]!RUBROS[#All],3,0)</f>
        <v>#REF!</v>
      </c>
      <c r="P619" s="53" t="e">
        <f>VLOOKUP(N619,[2]!RUBROS[#All],2,0)</f>
        <v>#REF!</v>
      </c>
      <c r="Q619" s="47" t="str">
        <f t="shared" si="243"/>
        <v>22</v>
      </c>
      <c r="R619" s="47" t="str">
        <f t="shared" si="244"/>
        <v>0-205400</v>
      </c>
      <c r="S619" s="54">
        <v>6</v>
      </c>
      <c r="T619" s="63" t="s">
        <v>46</v>
      </c>
      <c r="U619" s="326" t="e">
        <f ca="1">_xlfn.XLOOKUP(PAA_4[[#This Row],[ITEM]],[2]Contrato!A:A,[2]Contrato!Q:Q,"",0)</f>
        <v>#NAME?</v>
      </c>
      <c r="V619" s="47" t="s">
        <v>47</v>
      </c>
      <c r="W619" s="47" t="s">
        <v>137</v>
      </c>
      <c r="X619" s="47" t="s">
        <v>137</v>
      </c>
      <c r="Y619" s="55" t="e">
        <f ca="1">_xlfn.XLOOKUP(PAA_4[[#This Row],[ITEM]],[2]Contrato!A:A,[2]Contrato!B:B,"",0)</f>
        <v>#NAME?</v>
      </c>
      <c r="Z619" s="47" t="e">
        <f ca="1">_xlfn.XLOOKUP(PAA_4[[#This Row],[ITEM]],[2]Contrato!A:A,[2]Contrato!G:G,"",0)</f>
        <v>#NAME?</v>
      </c>
      <c r="AA619" s="47" t="e">
        <f ca="1">_xlfn.XLOOKUP(PAA_4[[#This Row],[ITEM]],[2]Contrato!A:A,[2]Contrato!T:T,"",0)</f>
        <v>#NAME?</v>
      </c>
      <c r="AB619" s="55" t="e">
        <f ca="1">+MAX(PAA_4[[#This Row],[Comprometido Contrato]],PAA_4[[#This Row],[Comprometido Bolsa]])</f>
        <v>#NAME?</v>
      </c>
      <c r="AC619" s="55" t="str">
        <f t="shared" ca="1" si="245"/>
        <v/>
      </c>
      <c r="AD619" s="55" t="e">
        <f ca="1">IF(PAA_4[[#This Row],[ESTADO (formulado)]]="NO CONTRATADO",0,MAX(PAA_4[[#This Row],[Pago por Contrato]],PAA_4[[#This Row],[Pago por bolsa]]))</f>
        <v>#NAME?</v>
      </c>
      <c r="AE619" s="55" t="str">
        <f t="shared" ca="1" si="246"/>
        <v/>
      </c>
      <c r="AF619" s="47" t="e">
        <f t="shared" ca="1" si="241"/>
        <v>#NAME?</v>
      </c>
      <c r="AG619" s="47">
        <f t="shared" si="247"/>
        <v>41080106</v>
      </c>
      <c r="AH619" s="54" t="str">
        <f>IF(Q619="22",IF(ISNUMBER(SEARCH("econ",PAA_4[[#This Row],[Actividad3]])),"Económico",IF(ISNUMBER(SEARCH("alim",PAA_4[[#This Row],[Actividad3]])),"Alimentación",IF(ISNUMBER(SEARCH("educ",PAA_4[[#This Row],[Actividad3]])),"Educativo","Técnico"))),0)</f>
        <v>Técnico</v>
      </c>
      <c r="AI619" s="47" t="e" cm="1">
        <f t="array" aca="1" ref="AI619" ca="1">_xlfn.XLOOKUP(PAA_4[[#This Row],[RCP-RUBRO]],[2]!COMPROMISOS_2024[[#All],[concatenado]],[2]!COMPROMISOS_2024[[#All],[Total pagado]],"",0)</f>
        <v>#NAME?</v>
      </c>
      <c r="AJ619" s="56" t="e">
        <f ca="1">IF(PAA_4[[#This Row],[BOLSA]]=0,0,SUMIFS([2]!COMPROMISOS_2024[[#All],[Total pagado]],[2]!COMPROMISOS_2024[[#All],[Bolsa]],PAA_4[[#This Row],[BOLSA]],[2]!COMPROMISOS_2024[[#All],[rubro]],PAA_4[[#This Row],[RCP-RUBRO]]))</f>
        <v>#REF!</v>
      </c>
      <c r="AK619" s="47" t="e" cm="1">
        <f t="array" aca="1" ref="AK619" ca="1">_xlfn.XLOOKUP(PAA_4[[#This Row],[RCP-RUBRO]],[2]!COMPROMISOS_2024[[#All],[concatenado]],[2]!COMPROMISOS_2024[[#All],[Total Comprometido]],"",0)</f>
        <v>#NAME?</v>
      </c>
      <c r="AL619" s="47" t="e">
        <f ca="1">IF(PAA_4[[#This Row],[BOLSA]]=0,0,SUMIFS([2]!COMPROMISOS_2024[[#All],[Total Comprometido]],[2]!COMPROMISOS_2024[[#All],[Bolsa]],PAA_4[[#This Row],[BOLSA]],[2]!COMPROMISOS_2024[[#All],[concatenado]],PAA_4[[#This Row],[RCP-RUBRO]]))</f>
        <v>#REF!</v>
      </c>
    </row>
    <row r="620" spans="1:38" s="19" customFormat="1" ht="31.5" customHeight="1">
      <c r="A620" s="47">
        <v>234</v>
      </c>
      <c r="B620" s="47">
        <v>80111600</v>
      </c>
      <c r="C620" s="47" t="str">
        <f>VLOOKUP(PAA_4[[#This Row],[PROYECTO (formulado)2]],[2]PROYECTOS!$G$1:$L$32,6,0)</f>
        <v>SUBGERENCIA DE ALTOS LOGROS Y DEPORTE ASOCIADO</v>
      </c>
      <c r="D620" s="47" t="str">
        <f>+IF(PAA_4[[#This Row],[UNIDAD DE CONTRATACION (formulado)]]="Subgerencia Administrativa y Financiera","FUNCIONAMIENTO","INVERSIÓN")</f>
        <v>INVERSIÓN</v>
      </c>
      <c r="E620" s="48" t="str">
        <f>VLOOKUP(Q620,[2]PROYECTOS!$G$1:$K$32,5,0)</f>
        <v>APOYO_TÉCNICO_Y_PSICOSOCIAL_A_LOS_DEPORTISTAS_DE_ANTIOQUIA</v>
      </c>
      <c r="F620" s="48">
        <f>VLOOKUP(E620,[2]PROYECTOS!$K$1:$M$32,3,0)</f>
        <v>2021003050069</v>
      </c>
      <c r="G620" s="49" t="s">
        <v>239</v>
      </c>
      <c r="H620" s="49" t="str">
        <f>VLOOKUP(Q620,[2]PROYECTOS!$V$1:$W$32,2,0)</f>
        <v>050069</v>
      </c>
      <c r="I620" s="50">
        <v>15449052</v>
      </c>
      <c r="J620" s="51" t="s">
        <v>1656</v>
      </c>
      <c r="K620" s="47" t="str">
        <f t="shared" ca="1" si="242"/>
        <v>CONTRATADO</v>
      </c>
      <c r="L620" s="47" t="s">
        <v>94</v>
      </c>
      <c r="M620" s="47" t="s">
        <v>1297</v>
      </c>
      <c r="N620" s="52" t="s">
        <v>240</v>
      </c>
      <c r="O620" s="51" t="e">
        <f>VLOOKUP(N620,[2]!RUBROS[#All],3,0)</f>
        <v>#REF!</v>
      </c>
      <c r="P620" s="53" t="e">
        <f>VLOOKUP(N620,[2]!RUBROS[#All],2,0)</f>
        <v>#REF!</v>
      </c>
      <c r="Q620" s="47" t="str">
        <f t="shared" si="243"/>
        <v>22</v>
      </c>
      <c r="R620" s="47" t="str">
        <f t="shared" si="244"/>
        <v>0-205400</v>
      </c>
      <c r="S620" s="54">
        <v>6</v>
      </c>
      <c r="T620" s="63" t="s">
        <v>46</v>
      </c>
      <c r="U620" s="326" t="e">
        <f ca="1">_xlfn.XLOOKUP(PAA_4[[#This Row],[ITEM]],[2]Contrato!A:A,[2]Contrato!Q:Q,"",0)</f>
        <v>#NAME?</v>
      </c>
      <c r="V620" s="47" t="s">
        <v>47</v>
      </c>
      <c r="W620" s="47" t="s">
        <v>137</v>
      </c>
      <c r="X620" s="47" t="s">
        <v>137</v>
      </c>
      <c r="Y620" s="55" t="e">
        <f ca="1">_xlfn.XLOOKUP(PAA_4[[#This Row],[ITEM]],[2]Contrato!A:A,[2]Contrato!B:B,"",0)</f>
        <v>#NAME?</v>
      </c>
      <c r="Z620" s="47" t="e">
        <f ca="1">_xlfn.XLOOKUP(PAA_4[[#This Row],[ITEM]],[2]Contrato!A:A,[2]Contrato!G:G,"",0)</f>
        <v>#NAME?</v>
      </c>
      <c r="AA620" s="47" t="e">
        <f ca="1">_xlfn.XLOOKUP(PAA_4[[#This Row],[ITEM]],[2]Contrato!A:A,[2]Contrato!T:T,"",0)</f>
        <v>#NAME?</v>
      </c>
      <c r="AB620" s="55" t="e">
        <f ca="1">+MAX(PAA_4[[#This Row],[Comprometido Contrato]],PAA_4[[#This Row],[Comprometido Bolsa]])</f>
        <v>#NAME?</v>
      </c>
      <c r="AC620" s="55" t="str">
        <f t="shared" ca="1" si="245"/>
        <v/>
      </c>
      <c r="AD620" s="55" t="e">
        <f ca="1">IF(PAA_4[[#This Row],[ESTADO (formulado)]]="NO CONTRATADO",0,MAX(PAA_4[[#This Row],[Pago por Contrato]],PAA_4[[#This Row],[Pago por bolsa]]))</f>
        <v>#NAME?</v>
      </c>
      <c r="AE620" s="55" t="str">
        <f t="shared" ca="1" si="246"/>
        <v/>
      </c>
      <c r="AF620" s="47" t="e">
        <f t="shared" ca="1" si="241"/>
        <v>#NAME?</v>
      </c>
      <c r="AG620" s="47">
        <f t="shared" si="247"/>
        <v>41080101</v>
      </c>
      <c r="AH620" s="54" t="str">
        <f>IF(Q620="22",IF(ISNUMBER(SEARCH("econ",PAA_4[[#This Row],[Actividad3]])),"Económico",IF(ISNUMBER(SEARCH("alim",PAA_4[[#This Row],[Actividad3]])),"Alimentación",IF(ISNUMBER(SEARCH("educ",PAA_4[[#This Row],[Actividad3]])),"Educativo","Técnico"))),0)</f>
        <v>Técnico</v>
      </c>
      <c r="AI620" s="47" t="e" cm="1">
        <f t="array" aca="1" ref="AI620" ca="1">_xlfn.XLOOKUP(PAA_4[[#This Row],[RCP-RUBRO]],[2]!COMPROMISOS_2024[[#All],[concatenado]],[2]!COMPROMISOS_2024[[#All],[Total pagado]],"",0)</f>
        <v>#NAME?</v>
      </c>
      <c r="AJ620" s="56" t="e">
        <f ca="1">IF(PAA_4[[#This Row],[BOLSA]]=0,0,SUMIFS([2]!COMPROMISOS_2024[[#All],[Total pagado]],[2]!COMPROMISOS_2024[[#All],[Bolsa]],PAA_4[[#This Row],[BOLSA]],[2]!COMPROMISOS_2024[[#All],[rubro]],PAA_4[[#This Row],[RCP-RUBRO]]))</f>
        <v>#REF!</v>
      </c>
      <c r="AK620" s="47" t="e" cm="1">
        <f t="array" aca="1" ref="AK620" ca="1">_xlfn.XLOOKUP(PAA_4[[#This Row],[RCP-RUBRO]],[2]!COMPROMISOS_2024[[#All],[concatenado]],[2]!COMPROMISOS_2024[[#All],[Total Comprometido]],"",0)</f>
        <v>#NAME?</v>
      </c>
      <c r="AL620" s="47" t="e">
        <f ca="1">IF(PAA_4[[#This Row],[BOLSA]]=0,0,SUMIFS([2]!COMPROMISOS_2024[[#All],[Total Comprometido]],[2]!COMPROMISOS_2024[[#All],[Bolsa]],PAA_4[[#This Row],[BOLSA]],[2]!COMPROMISOS_2024[[#All],[concatenado]],PAA_4[[#This Row],[RCP-RUBRO]]))</f>
        <v>#REF!</v>
      </c>
    </row>
    <row r="621" spans="1:38" s="19" customFormat="1" ht="31.5" customHeight="1">
      <c r="A621" s="47">
        <v>235</v>
      </c>
      <c r="B621" s="47">
        <v>80111600</v>
      </c>
      <c r="C621" s="47" t="str">
        <f>VLOOKUP(PAA_4[[#This Row],[PROYECTO (formulado)2]],[2]PROYECTOS!$G$1:$L$32,6,0)</f>
        <v>SUBGERENCIA DE ALTOS LOGROS Y DEPORTE ASOCIADO</v>
      </c>
      <c r="D621" s="47" t="str">
        <f>+IF(PAA_4[[#This Row],[UNIDAD DE CONTRATACION (formulado)]]="Subgerencia Administrativa y Financiera","FUNCIONAMIENTO","INVERSIÓN")</f>
        <v>INVERSIÓN</v>
      </c>
      <c r="E621" s="48" t="str">
        <f>VLOOKUP(Q621,[2]PROYECTOS!$G$1:$K$32,5,0)</f>
        <v>APOYO_TÉCNICO_Y_PSICOSOCIAL_A_LOS_DEPORTISTAS_DE_ANTIOQUIA</v>
      </c>
      <c r="F621" s="48">
        <f>VLOOKUP(E621,[2]PROYECTOS!$K$1:$M$32,3,0)</f>
        <v>2021003050069</v>
      </c>
      <c r="G621" s="49" t="s">
        <v>239</v>
      </c>
      <c r="H621" s="49" t="str">
        <f>VLOOKUP(Q621,[2]PROYECTOS!$V$1:$W$32,2,0)</f>
        <v>050069</v>
      </c>
      <c r="I621" s="50">
        <v>15449052</v>
      </c>
      <c r="J621" s="51" t="s">
        <v>1657</v>
      </c>
      <c r="K621" s="47" t="str">
        <f t="shared" ca="1" si="242"/>
        <v>CONTRATADO</v>
      </c>
      <c r="L621" s="47" t="s">
        <v>94</v>
      </c>
      <c r="M621" s="47" t="s">
        <v>1297</v>
      </c>
      <c r="N621" s="52" t="s">
        <v>240</v>
      </c>
      <c r="O621" s="51" t="e">
        <f>VLOOKUP(N621,[2]!RUBROS[#All],3,0)</f>
        <v>#REF!</v>
      </c>
      <c r="P621" s="53" t="e">
        <f>VLOOKUP(N621,[2]!RUBROS[#All],2,0)</f>
        <v>#REF!</v>
      </c>
      <c r="Q621" s="47" t="str">
        <f t="shared" si="243"/>
        <v>22</v>
      </c>
      <c r="R621" s="47" t="str">
        <f t="shared" si="244"/>
        <v>0-205400</v>
      </c>
      <c r="S621" s="54">
        <v>6</v>
      </c>
      <c r="T621" s="63" t="s">
        <v>46</v>
      </c>
      <c r="U621" s="326" t="e">
        <f ca="1">_xlfn.XLOOKUP(PAA_4[[#This Row],[ITEM]],[2]Contrato!A:A,[2]Contrato!Q:Q,"",0)</f>
        <v>#NAME?</v>
      </c>
      <c r="V621" s="47" t="s">
        <v>47</v>
      </c>
      <c r="W621" s="47" t="s">
        <v>137</v>
      </c>
      <c r="X621" s="47" t="s">
        <v>137</v>
      </c>
      <c r="Y621" s="55" t="e">
        <f ca="1">_xlfn.XLOOKUP(PAA_4[[#This Row],[ITEM]],[2]Contrato!A:A,[2]Contrato!B:B,"",0)</f>
        <v>#NAME?</v>
      </c>
      <c r="Z621" s="47" t="e">
        <f ca="1">_xlfn.XLOOKUP(PAA_4[[#This Row],[ITEM]],[2]Contrato!A:A,[2]Contrato!G:G,"",0)</f>
        <v>#NAME?</v>
      </c>
      <c r="AA621" s="47" t="e">
        <f ca="1">_xlfn.XLOOKUP(PAA_4[[#This Row],[ITEM]],[2]Contrato!A:A,[2]Contrato!T:T,"",0)</f>
        <v>#NAME?</v>
      </c>
      <c r="AB621" s="55" t="e">
        <f ca="1">+MAX(PAA_4[[#This Row],[Comprometido Contrato]],PAA_4[[#This Row],[Comprometido Bolsa]])</f>
        <v>#NAME?</v>
      </c>
      <c r="AC621" s="55" t="str">
        <f t="shared" ca="1" si="245"/>
        <v/>
      </c>
      <c r="AD621" s="55" t="e">
        <f ca="1">IF(PAA_4[[#This Row],[ESTADO (formulado)]]="NO CONTRATADO",0,MAX(PAA_4[[#This Row],[Pago por Contrato]],PAA_4[[#This Row],[Pago por bolsa]]))</f>
        <v>#NAME?</v>
      </c>
      <c r="AE621" s="55" t="str">
        <f t="shared" ca="1" si="246"/>
        <v/>
      </c>
      <c r="AF621" s="47" t="e">
        <f t="shared" ca="1" si="241"/>
        <v>#NAME?</v>
      </c>
      <c r="AG621" s="47">
        <f t="shared" si="247"/>
        <v>41080101</v>
      </c>
      <c r="AH621" s="54" t="str">
        <f>IF(Q621="22",IF(ISNUMBER(SEARCH("econ",PAA_4[[#This Row],[Actividad3]])),"Económico",IF(ISNUMBER(SEARCH("alim",PAA_4[[#This Row],[Actividad3]])),"Alimentación",IF(ISNUMBER(SEARCH("educ",PAA_4[[#This Row],[Actividad3]])),"Educativo","Técnico"))),0)</f>
        <v>Técnico</v>
      </c>
      <c r="AI621" s="47" t="e" cm="1">
        <f t="array" aca="1" ref="AI621" ca="1">_xlfn.XLOOKUP(PAA_4[[#This Row],[RCP-RUBRO]],[2]!COMPROMISOS_2024[[#All],[concatenado]],[2]!COMPROMISOS_2024[[#All],[Total pagado]],"",0)</f>
        <v>#NAME?</v>
      </c>
      <c r="AJ621" s="56" t="e">
        <f ca="1">IF(PAA_4[[#This Row],[BOLSA]]=0,0,SUMIFS([2]!COMPROMISOS_2024[[#All],[Total pagado]],[2]!COMPROMISOS_2024[[#All],[Bolsa]],PAA_4[[#This Row],[BOLSA]],[2]!COMPROMISOS_2024[[#All],[rubro]],PAA_4[[#This Row],[RCP-RUBRO]]))</f>
        <v>#REF!</v>
      </c>
      <c r="AK621" s="47" t="e" cm="1">
        <f t="array" aca="1" ref="AK621" ca="1">_xlfn.XLOOKUP(PAA_4[[#This Row],[RCP-RUBRO]],[2]!COMPROMISOS_2024[[#All],[concatenado]],[2]!COMPROMISOS_2024[[#All],[Total Comprometido]],"",0)</f>
        <v>#NAME?</v>
      </c>
      <c r="AL621" s="47" t="e">
        <f ca="1">IF(PAA_4[[#This Row],[BOLSA]]=0,0,SUMIFS([2]!COMPROMISOS_2024[[#All],[Total Comprometido]],[2]!COMPROMISOS_2024[[#All],[Bolsa]],PAA_4[[#This Row],[BOLSA]],[2]!COMPROMISOS_2024[[#All],[concatenado]],PAA_4[[#This Row],[RCP-RUBRO]]))</f>
        <v>#REF!</v>
      </c>
    </row>
    <row r="622" spans="1:38" s="19" customFormat="1" ht="31.5" customHeight="1">
      <c r="A622" s="47">
        <v>236</v>
      </c>
      <c r="B622" s="47">
        <v>80111600</v>
      </c>
      <c r="C622" s="47" t="str">
        <f>VLOOKUP(PAA_4[[#This Row],[PROYECTO (formulado)2]],[2]PROYECTOS!$G$1:$L$32,6,0)</f>
        <v>SUBGERENCIA DE ALTOS LOGROS Y DEPORTE ASOCIADO</v>
      </c>
      <c r="D622" s="47" t="str">
        <f>+IF(PAA_4[[#This Row],[UNIDAD DE CONTRATACION (formulado)]]="Subgerencia Administrativa y Financiera","FUNCIONAMIENTO","INVERSIÓN")</f>
        <v>INVERSIÓN</v>
      </c>
      <c r="E622" s="48" t="str">
        <f>VLOOKUP(Q622,[2]PROYECTOS!$G$1:$K$32,5,0)</f>
        <v>APOYO_TÉCNICO_Y_PSICOSOCIAL_A_LOS_DEPORTISTAS_DE_ANTIOQUIA</v>
      </c>
      <c r="F622" s="48">
        <f>VLOOKUP(E622,[2]PROYECTOS!$K$1:$M$32,3,0)</f>
        <v>2021003050069</v>
      </c>
      <c r="G622" s="49" t="s">
        <v>239</v>
      </c>
      <c r="H622" s="49" t="str">
        <f>VLOOKUP(Q622,[2]PROYECTOS!$V$1:$W$32,2,0)</f>
        <v>050069</v>
      </c>
      <c r="I622" s="50">
        <v>35586894</v>
      </c>
      <c r="J622" s="51" t="s">
        <v>1658</v>
      </c>
      <c r="K622" s="47" t="str">
        <f t="shared" ca="1" si="242"/>
        <v>CONTRATADO</v>
      </c>
      <c r="L622" s="47" t="s">
        <v>94</v>
      </c>
      <c r="M622" s="47" t="s">
        <v>1297</v>
      </c>
      <c r="N622" s="52" t="s">
        <v>240</v>
      </c>
      <c r="O622" s="51" t="e">
        <f>VLOOKUP(N622,[2]!RUBROS[#All],3,0)</f>
        <v>#REF!</v>
      </c>
      <c r="P622" s="53" t="e">
        <f>VLOOKUP(N622,[2]!RUBROS[#All],2,0)</f>
        <v>#REF!</v>
      </c>
      <c r="Q622" s="47" t="str">
        <f t="shared" si="243"/>
        <v>22</v>
      </c>
      <c r="R622" s="47" t="str">
        <f t="shared" si="244"/>
        <v>0-205400</v>
      </c>
      <c r="S622" s="54">
        <v>6</v>
      </c>
      <c r="T622" s="63" t="s">
        <v>46</v>
      </c>
      <c r="U622" s="326" t="e">
        <f ca="1">_xlfn.XLOOKUP(PAA_4[[#This Row],[ITEM]],[2]Contrato!A:A,[2]Contrato!Q:Q,"",0)</f>
        <v>#NAME?</v>
      </c>
      <c r="V622" s="47" t="s">
        <v>47</v>
      </c>
      <c r="W622" s="47" t="s">
        <v>137</v>
      </c>
      <c r="X622" s="47" t="s">
        <v>137</v>
      </c>
      <c r="Y622" s="55" t="e">
        <f ca="1">_xlfn.XLOOKUP(PAA_4[[#This Row],[ITEM]],[2]Contrato!A:A,[2]Contrato!B:B,"",0)</f>
        <v>#NAME?</v>
      </c>
      <c r="Z622" s="47" t="e">
        <f ca="1">_xlfn.XLOOKUP(PAA_4[[#This Row],[ITEM]],[2]Contrato!A:A,[2]Contrato!G:G,"",0)</f>
        <v>#NAME?</v>
      </c>
      <c r="AA622" s="47" t="e">
        <f ca="1">_xlfn.XLOOKUP(PAA_4[[#This Row],[ITEM]],[2]Contrato!A:A,[2]Contrato!T:T,"",0)</f>
        <v>#NAME?</v>
      </c>
      <c r="AB622" s="55" t="e">
        <f ca="1">+MAX(PAA_4[[#This Row],[Comprometido Contrato]],PAA_4[[#This Row],[Comprometido Bolsa]])</f>
        <v>#NAME?</v>
      </c>
      <c r="AC622" s="55" t="str">
        <f t="shared" ca="1" si="245"/>
        <v/>
      </c>
      <c r="AD622" s="55" t="e">
        <f ca="1">IF(PAA_4[[#This Row],[ESTADO (formulado)]]="NO CONTRATADO",0,MAX(PAA_4[[#This Row],[Pago por Contrato]],PAA_4[[#This Row],[Pago por bolsa]]))</f>
        <v>#NAME?</v>
      </c>
      <c r="AE622" s="55" t="str">
        <f t="shared" ca="1" si="246"/>
        <v/>
      </c>
      <c r="AF622" s="47" t="e">
        <f t="shared" ca="1" si="241"/>
        <v>#NAME?</v>
      </c>
      <c r="AG622" s="47">
        <f t="shared" si="247"/>
        <v>41080101</v>
      </c>
      <c r="AH622" s="54" t="str">
        <f>IF(Q622="22",IF(ISNUMBER(SEARCH("econ",PAA_4[[#This Row],[Actividad3]])),"Económico",IF(ISNUMBER(SEARCH("alim",PAA_4[[#This Row],[Actividad3]])),"Alimentación",IF(ISNUMBER(SEARCH("educ",PAA_4[[#This Row],[Actividad3]])),"Educativo","Técnico"))),0)</f>
        <v>Técnico</v>
      </c>
      <c r="AI622" s="47" t="e" cm="1">
        <f t="array" aca="1" ref="AI622" ca="1">_xlfn.XLOOKUP(PAA_4[[#This Row],[RCP-RUBRO]],[2]!COMPROMISOS_2024[[#All],[concatenado]],[2]!COMPROMISOS_2024[[#All],[Total pagado]],"",0)</f>
        <v>#NAME?</v>
      </c>
      <c r="AJ622" s="56" t="e">
        <f ca="1">IF(PAA_4[[#This Row],[BOLSA]]=0,0,SUMIFS([2]!COMPROMISOS_2024[[#All],[Total pagado]],[2]!COMPROMISOS_2024[[#All],[Bolsa]],PAA_4[[#This Row],[BOLSA]],[2]!COMPROMISOS_2024[[#All],[rubro]],PAA_4[[#This Row],[RCP-RUBRO]]))</f>
        <v>#REF!</v>
      </c>
      <c r="AK622" s="47" t="e" cm="1">
        <f t="array" aca="1" ref="AK622" ca="1">_xlfn.XLOOKUP(PAA_4[[#This Row],[RCP-RUBRO]],[2]!COMPROMISOS_2024[[#All],[concatenado]],[2]!COMPROMISOS_2024[[#All],[Total Comprometido]],"",0)</f>
        <v>#NAME?</v>
      </c>
      <c r="AL622" s="47" t="e">
        <f ca="1">IF(PAA_4[[#This Row],[BOLSA]]=0,0,SUMIFS([2]!COMPROMISOS_2024[[#All],[Total Comprometido]],[2]!COMPROMISOS_2024[[#All],[Bolsa]],PAA_4[[#This Row],[BOLSA]],[2]!COMPROMISOS_2024[[#All],[concatenado]],PAA_4[[#This Row],[RCP-RUBRO]]))</f>
        <v>#REF!</v>
      </c>
    </row>
    <row r="623" spans="1:38" s="19" customFormat="1" ht="31.5" customHeight="1">
      <c r="A623" s="47">
        <v>237</v>
      </c>
      <c r="B623" s="47">
        <v>80111600</v>
      </c>
      <c r="C623" s="47" t="str">
        <f>VLOOKUP(PAA_4[[#This Row],[PROYECTO (formulado)2]],[2]PROYECTOS!$G$1:$L$32,6,0)</f>
        <v>SUBGERENCIA DE ALTOS LOGROS Y DEPORTE ASOCIADO</v>
      </c>
      <c r="D623" s="47" t="str">
        <f>+IF(PAA_4[[#This Row],[UNIDAD DE CONTRATACION (formulado)]]="Subgerencia Administrativa y Financiera","FUNCIONAMIENTO","INVERSIÓN")</f>
        <v>INVERSIÓN</v>
      </c>
      <c r="E623" s="48" t="str">
        <f>VLOOKUP(Q623,[2]PROYECTOS!$G$1:$K$32,5,0)</f>
        <v>APOYO_TÉCNICO_Y_PSICOSOCIAL_A_LOS_DEPORTISTAS_DE_ANTIOQUIA</v>
      </c>
      <c r="F623" s="48">
        <f>VLOOKUP(E623,[2]PROYECTOS!$K$1:$M$32,3,0)</f>
        <v>2021003050069</v>
      </c>
      <c r="G623" s="49" t="s">
        <v>239</v>
      </c>
      <c r="H623" s="49" t="str">
        <f>VLOOKUP(Q623,[2]PROYECTOS!$V$1:$W$32,2,0)</f>
        <v>050069</v>
      </c>
      <c r="I623" s="50">
        <v>15449052</v>
      </c>
      <c r="J623" s="51" t="s">
        <v>1659</v>
      </c>
      <c r="K623" s="47" t="str">
        <f t="shared" ca="1" si="242"/>
        <v>CONTRATADO</v>
      </c>
      <c r="L623" s="47" t="s">
        <v>94</v>
      </c>
      <c r="M623" s="47" t="s">
        <v>1297</v>
      </c>
      <c r="N623" s="52" t="s">
        <v>240</v>
      </c>
      <c r="O623" s="51" t="e">
        <f>VLOOKUP(N623,[2]!RUBROS[#All],3,0)</f>
        <v>#REF!</v>
      </c>
      <c r="P623" s="53" t="e">
        <f>VLOOKUP(N623,[2]!RUBROS[#All],2,0)</f>
        <v>#REF!</v>
      </c>
      <c r="Q623" s="47" t="str">
        <f t="shared" si="243"/>
        <v>22</v>
      </c>
      <c r="R623" s="47" t="str">
        <f t="shared" si="244"/>
        <v>0-205400</v>
      </c>
      <c r="S623" s="54">
        <v>6</v>
      </c>
      <c r="T623" s="63" t="s">
        <v>46</v>
      </c>
      <c r="U623" s="326" t="e">
        <f ca="1">_xlfn.XLOOKUP(PAA_4[[#This Row],[ITEM]],[2]Contrato!A:A,[2]Contrato!Q:Q,"",0)</f>
        <v>#NAME?</v>
      </c>
      <c r="V623" s="47" t="s">
        <v>47</v>
      </c>
      <c r="W623" s="47" t="s">
        <v>137</v>
      </c>
      <c r="X623" s="47" t="s">
        <v>137</v>
      </c>
      <c r="Y623" s="55" t="e">
        <f ca="1">_xlfn.XLOOKUP(PAA_4[[#This Row],[ITEM]],[2]Contrato!A:A,[2]Contrato!B:B,"",0)</f>
        <v>#NAME?</v>
      </c>
      <c r="Z623" s="47" t="e">
        <f ca="1">_xlfn.XLOOKUP(PAA_4[[#This Row],[ITEM]],[2]Contrato!A:A,[2]Contrato!G:G,"",0)</f>
        <v>#NAME?</v>
      </c>
      <c r="AA623" s="47" t="e">
        <f ca="1">_xlfn.XLOOKUP(PAA_4[[#This Row],[ITEM]],[2]Contrato!A:A,[2]Contrato!T:T,"",0)</f>
        <v>#NAME?</v>
      </c>
      <c r="AB623" s="55" t="e">
        <f ca="1">+MAX(PAA_4[[#This Row],[Comprometido Contrato]],PAA_4[[#This Row],[Comprometido Bolsa]])</f>
        <v>#NAME?</v>
      </c>
      <c r="AC623" s="55" t="str">
        <f t="shared" ca="1" si="245"/>
        <v/>
      </c>
      <c r="AD623" s="55" t="e">
        <f ca="1">IF(PAA_4[[#This Row],[ESTADO (formulado)]]="NO CONTRATADO",0,MAX(PAA_4[[#This Row],[Pago por Contrato]],PAA_4[[#This Row],[Pago por bolsa]]))</f>
        <v>#NAME?</v>
      </c>
      <c r="AE623" s="55" t="str">
        <f t="shared" ca="1" si="246"/>
        <v/>
      </c>
      <c r="AF623" s="47" t="e">
        <f t="shared" ca="1" si="241"/>
        <v>#NAME?</v>
      </c>
      <c r="AG623" s="47">
        <f t="shared" si="247"/>
        <v>41080101</v>
      </c>
      <c r="AH623" s="54" t="str">
        <f>IF(Q623="22",IF(ISNUMBER(SEARCH("econ",PAA_4[[#This Row],[Actividad3]])),"Económico",IF(ISNUMBER(SEARCH("alim",PAA_4[[#This Row],[Actividad3]])),"Alimentación",IF(ISNUMBER(SEARCH("educ",PAA_4[[#This Row],[Actividad3]])),"Educativo","Técnico"))),0)</f>
        <v>Técnico</v>
      </c>
      <c r="AI623" s="47" t="e" cm="1">
        <f t="array" aca="1" ref="AI623" ca="1">_xlfn.XLOOKUP(PAA_4[[#This Row],[RCP-RUBRO]],[2]!COMPROMISOS_2024[[#All],[concatenado]],[2]!COMPROMISOS_2024[[#All],[Total pagado]],"",0)</f>
        <v>#NAME?</v>
      </c>
      <c r="AJ623" s="56" t="e">
        <f ca="1">IF(PAA_4[[#This Row],[BOLSA]]=0,0,SUMIFS([2]!COMPROMISOS_2024[[#All],[Total pagado]],[2]!COMPROMISOS_2024[[#All],[Bolsa]],PAA_4[[#This Row],[BOLSA]],[2]!COMPROMISOS_2024[[#All],[rubro]],PAA_4[[#This Row],[RCP-RUBRO]]))</f>
        <v>#REF!</v>
      </c>
      <c r="AK623" s="47" t="e" cm="1">
        <f t="array" aca="1" ref="AK623" ca="1">_xlfn.XLOOKUP(PAA_4[[#This Row],[RCP-RUBRO]],[2]!COMPROMISOS_2024[[#All],[concatenado]],[2]!COMPROMISOS_2024[[#All],[Total Comprometido]],"",0)</f>
        <v>#NAME?</v>
      </c>
      <c r="AL623" s="47" t="e">
        <f ca="1">IF(PAA_4[[#This Row],[BOLSA]]=0,0,SUMIFS([2]!COMPROMISOS_2024[[#All],[Total Comprometido]],[2]!COMPROMISOS_2024[[#All],[Bolsa]],PAA_4[[#This Row],[BOLSA]],[2]!COMPROMISOS_2024[[#All],[concatenado]],PAA_4[[#This Row],[RCP-RUBRO]]))</f>
        <v>#REF!</v>
      </c>
    </row>
    <row r="624" spans="1:38" s="19" customFormat="1" ht="31.5" customHeight="1">
      <c r="A624" s="47">
        <v>238</v>
      </c>
      <c r="B624" s="47">
        <v>80111600</v>
      </c>
      <c r="C624" s="47" t="str">
        <f>VLOOKUP(PAA_4[[#This Row],[PROYECTO (formulado)2]],[2]PROYECTOS!$G$1:$L$32,6,0)</f>
        <v>SUBGERENCIA DE ALTOS LOGROS Y DEPORTE ASOCIADO</v>
      </c>
      <c r="D624" s="47" t="str">
        <f>+IF(PAA_4[[#This Row],[UNIDAD DE CONTRATACION (formulado)]]="Subgerencia Administrativa y Financiera","FUNCIONAMIENTO","INVERSIÓN")</f>
        <v>INVERSIÓN</v>
      </c>
      <c r="E624" s="48" t="str">
        <f>VLOOKUP(Q624,[2]PROYECTOS!$G$1:$K$32,5,0)</f>
        <v>APOYO_TÉCNICO_Y_PSICOSOCIAL_A_LOS_DEPORTISTAS_DE_ANTIOQUIA</v>
      </c>
      <c r="F624" s="48">
        <f>VLOOKUP(E624,[2]PROYECTOS!$K$1:$M$32,3,0)</f>
        <v>2021003050069</v>
      </c>
      <c r="G624" s="49" t="s">
        <v>241</v>
      </c>
      <c r="H624" s="49" t="str">
        <f>VLOOKUP(Q624,[2]PROYECTOS!$V$1:$W$32,2,0)</f>
        <v>050069</v>
      </c>
      <c r="I624" s="50">
        <v>29453616</v>
      </c>
      <c r="J624" s="51" t="s">
        <v>1660</v>
      </c>
      <c r="K624" s="47" t="str">
        <f t="shared" ca="1" si="242"/>
        <v>CONTRATADO</v>
      </c>
      <c r="L624" s="47" t="s">
        <v>94</v>
      </c>
      <c r="M624" s="47" t="s">
        <v>1297</v>
      </c>
      <c r="N624" s="52" t="s">
        <v>240</v>
      </c>
      <c r="O624" s="51" t="e">
        <f>VLOOKUP(N624,[2]!RUBROS[#All],3,0)</f>
        <v>#REF!</v>
      </c>
      <c r="P624" s="53" t="e">
        <f>VLOOKUP(N624,[2]!RUBROS[#All],2,0)</f>
        <v>#REF!</v>
      </c>
      <c r="Q624" s="47" t="str">
        <f t="shared" si="243"/>
        <v>22</v>
      </c>
      <c r="R624" s="47" t="str">
        <f t="shared" si="244"/>
        <v>0-205400</v>
      </c>
      <c r="S624" s="54">
        <v>6</v>
      </c>
      <c r="T624" s="63" t="s">
        <v>46</v>
      </c>
      <c r="U624" s="326" t="e">
        <f ca="1">_xlfn.XLOOKUP(PAA_4[[#This Row],[ITEM]],[2]Contrato!A:A,[2]Contrato!Q:Q,"",0)</f>
        <v>#NAME?</v>
      </c>
      <c r="V624" s="47" t="s">
        <v>47</v>
      </c>
      <c r="W624" s="47" t="s">
        <v>137</v>
      </c>
      <c r="X624" s="47" t="s">
        <v>137</v>
      </c>
      <c r="Y624" s="55" t="e">
        <f ca="1">_xlfn.XLOOKUP(PAA_4[[#This Row],[ITEM]],[2]Contrato!A:A,[2]Contrato!B:B,"",0)</f>
        <v>#NAME?</v>
      </c>
      <c r="Z624" s="47" t="e">
        <f ca="1">_xlfn.XLOOKUP(PAA_4[[#This Row],[ITEM]],[2]Contrato!A:A,[2]Contrato!G:G,"",0)</f>
        <v>#NAME?</v>
      </c>
      <c r="AA624" s="47" t="e">
        <f ca="1">_xlfn.XLOOKUP(PAA_4[[#This Row],[ITEM]],[2]Contrato!A:A,[2]Contrato!T:T,"",0)</f>
        <v>#NAME?</v>
      </c>
      <c r="AB624" s="55" t="e">
        <f ca="1">+MAX(PAA_4[[#This Row],[Comprometido Contrato]],PAA_4[[#This Row],[Comprometido Bolsa]])</f>
        <v>#NAME?</v>
      </c>
      <c r="AC624" s="55" t="str">
        <f t="shared" ca="1" si="245"/>
        <v/>
      </c>
      <c r="AD624" s="55" t="e">
        <f ca="1">IF(PAA_4[[#This Row],[ESTADO (formulado)]]="NO CONTRATADO",0,MAX(PAA_4[[#This Row],[Pago por Contrato]],PAA_4[[#This Row],[Pago por bolsa]]))</f>
        <v>#NAME?</v>
      </c>
      <c r="AE624" s="55" t="str">
        <f t="shared" ca="1" si="246"/>
        <v/>
      </c>
      <c r="AF624" s="47" t="e">
        <f t="shared" ca="1" si="241"/>
        <v>#NAME?</v>
      </c>
      <c r="AG624" s="47">
        <f t="shared" si="247"/>
        <v>41080106</v>
      </c>
      <c r="AH624" s="54" t="str">
        <f>IF(Q624="22",IF(ISNUMBER(SEARCH("econ",PAA_4[[#This Row],[Actividad3]])),"Económico",IF(ISNUMBER(SEARCH("alim",PAA_4[[#This Row],[Actividad3]])),"Alimentación",IF(ISNUMBER(SEARCH("educ",PAA_4[[#This Row],[Actividad3]])),"Educativo","Técnico"))),0)</f>
        <v>Técnico</v>
      </c>
      <c r="AI624" s="47" t="e" cm="1">
        <f t="array" aca="1" ref="AI624" ca="1">_xlfn.XLOOKUP(PAA_4[[#This Row],[RCP-RUBRO]],[2]!COMPROMISOS_2024[[#All],[concatenado]],[2]!COMPROMISOS_2024[[#All],[Total pagado]],"",0)</f>
        <v>#NAME?</v>
      </c>
      <c r="AJ624" s="56" t="e">
        <f ca="1">IF(PAA_4[[#This Row],[BOLSA]]=0,0,SUMIFS([2]!COMPROMISOS_2024[[#All],[Total pagado]],[2]!COMPROMISOS_2024[[#All],[Bolsa]],PAA_4[[#This Row],[BOLSA]],[2]!COMPROMISOS_2024[[#All],[rubro]],PAA_4[[#This Row],[RCP-RUBRO]]))</f>
        <v>#REF!</v>
      </c>
      <c r="AK624" s="47" t="e" cm="1">
        <f t="array" aca="1" ref="AK624" ca="1">_xlfn.XLOOKUP(PAA_4[[#This Row],[RCP-RUBRO]],[2]!COMPROMISOS_2024[[#All],[concatenado]],[2]!COMPROMISOS_2024[[#All],[Total Comprometido]],"",0)</f>
        <v>#NAME?</v>
      </c>
      <c r="AL624" s="47" t="e">
        <f ca="1">IF(PAA_4[[#This Row],[BOLSA]]=0,0,SUMIFS([2]!COMPROMISOS_2024[[#All],[Total Comprometido]],[2]!COMPROMISOS_2024[[#All],[Bolsa]],PAA_4[[#This Row],[BOLSA]],[2]!COMPROMISOS_2024[[#All],[concatenado]],PAA_4[[#This Row],[RCP-RUBRO]]))</f>
        <v>#REF!</v>
      </c>
    </row>
    <row r="625" spans="1:38" s="19" customFormat="1" ht="31.5" customHeight="1">
      <c r="A625" s="47">
        <v>239</v>
      </c>
      <c r="B625" s="47">
        <v>80111600</v>
      </c>
      <c r="C625" s="47" t="str">
        <f>VLOOKUP(PAA_4[[#This Row],[PROYECTO (formulado)2]],[2]PROYECTOS!$G$1:$L$32,6,0)</f>
        <v>SUBGERENCIA DE ALTOS LOGROS Y DEPORTE ASOCIADO</v>
      </c>
      <c r="D625" s="47" t="str">
        <f>+IF(PAA_4[[#This Row],[UNIDAD DE CONTRATACION (formulado)]]="Subgerencia Administrativa y Financiera","FUNCIONAMIENTO","INVERSIÓN")</f>
        <v>INVERSIÓN</v>
      </c>
      <c r="E625" s="48" t="str">
        <f>VLOOKUP(Q625,[2]PROYECTOS!$G$1:$K$32,5,0)</f>
        <v>APOYO_TÉCNICO_Y_PSICOSOCIAL_A_LOS_DEPORTISTAS_DE_ANTIOQUIA</v>
      </c>
      <c r="F625" s="48">
        <f>VLOOKUP(E625,[2]PROYECTOS!$K$1:$M$32,3,0)</f>
        <v>2021003050069</v>
      </c>
      <c r="G625" s="49" t="s">
        <v>239</v>
      </c>
      <c r="H625" s="49" t="str">
        <f>VLOOKUP(Q625,[2]PROYECTOS!$V$1:$W$32,2,0)</f>
        <v>050069</v>
      </c>
      <c r="I625" s="50">
        <f>36980651-1963574</f>
        <v>35017077</v>
      </c>
      <c r="J625" s="51" t="s">
        <v>1634</v>
      </c>
      <c r="K625" s="47" t="str">
        <f t="shared" ca="1" si="242"/>
        <v>CONTRATADO</v>
      </c>
      <c r="L625" s="47" t="s">
        <v>94</v>
      </c>
      <c r="M625" s="47" t="s">
        <v>1297</v>
      </c>
      <c r="N625" s="52" t="s">
        <v>240</v>
      </c>
      <c r="O625" s="51" t="e">
        <f>VLOOKUP(N625,[2]!RUBROS[#All],3,0)</f>
        <v>#REF!</v>
      </c>
      <c r="P625" s="53" t="e">
        <f>VLOOKUP(N625,[2]!RUBROS[#All],2,0)</f>
        <v>#REF!</v>
      </c>
      <c r="Q625" s="47" t="str">
        <f t="shared" si="243"/>
        <v>22</v>
      </c>
      <c r="R625" s="47" t="str">
        <f t="shared" si="244"/>
        <v>0-205400</v>
      </c>
      <c r="S625" s="65">
        <f>210+15</f>
        <v>225</v>
      </c>
      <c r="T625" s="63" t="s">
        <v>120</v>
      </c>
      <c r="U625" s="326" t="e">
        <f ca="1">_xlfn.XLOOKUP(PAA_4[[#This Row],[ITEM]],[2]Contrato!A:A,[2]Contrato!Q:Q,"",0)</f>
        <v>#NAME?</v>
      </c>
      <c r="V625" s="47" t="s">
        <v>47</v>
      </c>
      <c r="W625" s="65" t="s">
        <v>122</v>
      </c>
      <c r="X625" s="65" t="s">
        <v>242</v>
      </c>
      <c r="Y625" s="55" t="e">
        <f ca="1">_xlfn.XLOOKUP(PAA_4[[#This Row],[ITEM]],[2]Contrato!A:A,[2]Contrato!B:B,"",0)</f>
        <v>#NAME?</v>
      </c>
      <c r="Z625" s="47" t="e">
        <f ca="1">_xlfn.XLOOKUP(PAA_4[[#This Row],[ITEM]],[2]Contrato!A:A,[2]Contrato!G:G,"",0)</f>
        <v>#NAME?</v>
      </c>
      <c r="AA625" s="47" t="e">
        <f ca="1">_xlfn.XLOOKUP(PAA_4[[#This Row],[ITEM]],[2]Contrato!A:A,[2]Contrato!T:T,"",0)</f>
        <v>#NAME?</v>
      </c>
      <c r="AB625" s="55" t="e">
        <f ca="1">+MAX(PAA_4[[#This Row],[Comprometido Contrato]],PAA_4[[#This Row],[Comprometido Bolsa]])</f>
        <v>#NAME?</v>
      </c>
      <c r="AC625" s="55" t="str">
        <f t="shared" ca="1" si="245"/>
        <v/>
      </c>
      <c r="AD625" s="55" t="e">
        <f ca="1">IF(PAA_4[[#This Row],[ESTADO (formulado)]]="NO CONTRATADO",0,MAX(PAA_4[[#This Row],[Pago por Contrato]],PAA_4[[#This Row],[Pago por bolsa]]))</f>
        <v>#NAME?</v>
      </c>
      <c r="AE625" s="55" t="str">
        <f t="shared" ca="1" si="246"/>
        <v/>
      </c>
      <c r="AF625" s="47" t="e">
        <f t="shared" ca="1" si="241"/>
        <v>#NAME?</v>
      </c>
      <c r="AG625" s="47">
        <f t="shared" si="247"/>
        <v>41080101</v>
      </c>
      <c r="AH625" s="54" t="str">
        <f>IF(Q625="22",IF(ISNUMBER(SEARCH("econ",PAA_4[[#This Row],[Actividad3]])),"Económico",IF(ISNUMBER(SEARCH("alim",PAA_4[[#This Row],[Actividad3]])),"Alimentación",IF(ISNUMBER(SEARCH("educ",PAA_4[[#This Row],[Actividad3]])),"Educativo","Técnico"))),0)</f>
        <v>Técnico</v>
      </c>
      <c r="AI625" s="47" t="e" cm="1">
        <f t="array" aca="1" ref="AI625" ca="1">_xlfn.XLOOKUP(PAA_4[[#This Row],[RCP-RUBRO]],[2]!COMPROMISOS_2024[[#All],[concatenado]],[2]!COMPROMISOS_2024[[#All],[Total pagado]],"",0)</f>
        <v>#NAME?</v>
      </c>
      <c r="AJ625" s="56" t="e">
        <f ca="1">IF(PAA_4[[#This Row],[BOLSA]]=0,0,SUMIFS([2]!COMPROMISOS_2024[[#All],[Total pagado]],[2]!COMPROMISOS_2024[[#All],[Bolsa]],PAA_4[[#This Row],[BOLSA]],[2]!COMPROMISOS_2024[[#All],[rubro]],PAA_4[[#This Row],[RCP-RUBRO]]))</f>
        <v>#REF!</v>
      </c>
      <c r="AK625" s="47" t="e" cm="1">
        <f t="array" aca="1" ref="AK625" ca="1">_xlfn.XLOOKUP(PAA_4[[#This Row],[RCP-RUBRO]],[2]!COMPROMISOS_2024[[#All],[concatenado]],[2]!COMPROMISOS_2024[[#All],[Total Comprometido]],"",0)</f>
        <v>#NAME?</v>
      </c>
      <c r="AL625" s="47" t="e">
        <f ca="1">IF(PAA_4[[#This Row],[BOLSA]]=0,0,SUMIFS([2]!COMPROMISOS_2024[[#All],[Total Comprometido]],[2]!COMPROMISOS_2024[[#All],[Bolsa]],PAA_4[[#This Row],[BOLSA]],[2]!COMPROMISOS_2024[[#All],[concatenado]],PAA_4[[#This Row],[RCP-RUBRO]]))</f>
        <v>#REF!</v>
      </c>
    </row>
    <row r="626" spans="1:38" s="19" customFormat="1" ht="31.5" customHeight="1">
      <c r="A626" s="47">
        <v>240</v>
      </c>
      <c r="B626" s="47">
        <v>80111600</v>
      </c>
      <c r="C626" s="47" t="str">
        <f>VLOOKUP(PAA_4[[#This Row],[PROYECTO (formulado)2]],[2]PROYECTOS!$G$1:$L$32,6,0)</f>
        <v>SUBGERENCIA DE ALTOS LOGROS Y DEPORTE ASOCIADO</v>
      </c>
      <c r="D626" s="47" t="str">
        <f>+IF(PAA_4[[#This Row],[UNIDAD DE CONTRATACION (formulado)]]="Subgerencia Administrativa y Financiera","FUNCIONAMIENTO","INVERSIÓN")</f>
        <v>INVERSIÓN</v>
      </c>
      <c r="E626" s="48" t="str">
        <f>VLOOKUP(Q626,[2]PROYECTOS!$G$1:$K$32,5,0)</f>
        <v>APOYO_TÉCNICO_Y_PSICOSOCIAL_A_LOS_DEPORTISTAS_DE_ANTIOQUIA</v>
      </c>
      <c r="F626" s="48">
        <f>VLOOKUP(E626,[2]PROYECTOS!$K$1:$M$32,3,0)</f>
        <v>2021003050069</v>
      </c>
      <c r="G626" s="49" t="s">
        <v>241</v>
      </c>
      <c r="H626" s="49" t="str">
        <f>VLOOKUP(Q626,[2]PROYECTOS!$V$1:$W$32,2,0)</f>
        <v>050069</v>
      </c>
      <c r="I626" s="50">
        <v>23714292</v>
      </c>
      <c r="J626" s="51" t="s">
        <v>1661</v>
      </c>
      <c r="K626" s="47" t="str">
        <f t="shared" ca="1" si="242"/>
        <v>CONTRATADO</v>
      </c>
      <c r="L626" s="47" t="s">
        <v>94</v>
      </c>
      <c r="M626" s="47" t="s">
        <v>1297</v>
      </c>
      <c r="N626" s="52" t="s">
        <v>240</v>
      </c>
      <c r="O626" s="51" t="e">
        <f>VLOOKUP(N626,[2]!RUBROS[#All],3,0)</f>
        <v>#REF!</v>
      </c>
      <c r="P626" s="53" t="e">
        <f>VLOOKUP(N626,[2]!RUBROS[#All],2,0)</f>
        <v>#REF!</v>
      </c>
      <c r="Q626" s="47" t="str">
        <f t="shared" si="243"/>
        <v>22</v>
      </c>
      <c r="R626" s="47" t="str">
        <f t="shared" si="244"/>
        <v>0-205400</v>
      </c>
      <c r="S626" s="54">
        <v>6</v>
      </c>
      <c r="T626" s="63" t="s">
        <v>46</v>
      </c>
      <c r="U626" s="326" t="e">
        <f ca="1">_xlfn.XLOOKUP(PAA_4[[#This Row],[ITEM]],[2]Contrato!A:A,[2]Contrato!Q:Q,"",0)</f>
        <v>#NAME?</v>
      </c>
      <c r="V626" s="47" t="s">
        <v>47</v>
      </c>
      <c r="W626" s="47" t="s">
        <v>137</v>
      </c>
      <c r="X626" s="47" t="s">
        <v>137</v>
      </c>
      <c r="Y626" s="55" t="e">
        <f ca="1">_xlfn.XLOOKUP(PAA_4[[#This Row],[ITEM]],[2]Contrato!A:A,[2]Contrato!B:B,"",0)</f>
        <v>#NAME?</v>
      </c>
      <c r="Z626" s="47" t="e">
        <f ca="1">_xlfn.XLOOKUP(PAA_4[[#This Row],[ITEM]],[2]Contrato!A:A,[2]Contrato!G:G,"",0)</f>
        <v>#NAME?</v>
      </c>
      <c r="AA626" s="47" t="e">
        <f ca="1">_xlfn.XLOOKUP(PAA_4[[#This Row],[ITEM]],[2]Contrato!A:A,[2]Contrato!T:T,"",0)</f>
        <v>#NAME?</v>
      </c>
      <c r="AB626" s="55" t="e">
        <f ca="1">+MAX(PAA_4[[#This Row],[Comprometido Contrato]],PAA_4[[#This Row],[Comprometido Bolsa]])</f>
        <v>#NAME?</v>
      </c>
      <c r="AC626" s="55" t="str">
        <f t="shared" ca="1" si="245"/>
        <v/>
      </c>
      <c r="AD626" s="55" t="e">
        <f ca="1">IF(PAA_4[[#This Row],[ESTADO (formulado)]]="NO CONTRATADO",0,MAX(PAA_4[[#This Row],[Pago por Contrato]],PAA_4[[#This Row],[Pago por bolsa]]))</f>
        <v>#NAME?</v>
      </c>
      <c r="AE626" s="55" t="str">
        <f t="shared" ca="1" si="246"/>
        <v/>
      </c>
      <c r="AF626" s="47" t="e">
        <f t="shared" ca="1" si="241"/>
        <v>#NAME?</v>
      </c>
      <c r="AG626" s="47">
        <f t="shared" si="247"/>
        <v>41080106</v>
      </c>
      <c r="AH626" s="54" t="str">
        <f>IF(Q626="22",IF(ISNUMBER(SEARCH("econ",PAA_4[[#This Row],[Actividad3]])),"Económico",IF(ISNUMBER(SEARCH("alim",PAA_4[[#This Row],[Actividad3]])),"Alimentación",IF(ISNUMBER(SEARCH("educ",PAA_4[[#This Row],[Actividad3]])),"Educativo","Técnico"))),0)</f>
        <v>Técnico</v>
      </c>
      <c r="AI626" s="47" t="e" cm="1">
        <f t="array" aca="1" ref="AI626" ca="1">_xlfn.XLOOKUP(PAA_4[[#This Row],[RCP-RUBRO]],[2]!COMPROMISOS_2024[[#All],[concatenado]],[2]!COMPROMISOS_2024[[#All],[Total pagado]],"",0)</f>
        <v>#NAME?</v>
      </c>
      <c r="AJ626" s="56" t="e">
        <f ca="1">IF(PAA_4[[#This Row],[BOLSA]]=0,0,SUMIFS([2]!COMPROMISOS_2024[[#All],[Total pagado]],[2]!COMPROMISOS_2024[[#All],[Bolsa]],PAA_4[[#This Row],[BOLSA]],[2]!COMPROMISOS_2024[[#All],[rubro]],PAA_4[[#This Row],[RCP-RUBRO]]))</f>
        <v>#REF!</v>
      </c>
      <c r="AK626" s="47" t="e" cm="1">
        <f t="array" aca="1" ref="AK626" ca="1">_xlfn.XLOOKUP(PAA_4[[#This Row],[RCP-RUBRO]],[2]!COMPROMISOS_2024[[#All],[concatenado]],[2]!COMPROMISOS_2024[[#All],[Total Comprometido]],"",0)</f>
        <v>#NAME?</v>
      </c>
      <c r="AL626" s="47" t="e">
        <f ca="1">IF(PAA_4[[#This Row],[BOLSA]]=0,0,SUMIFS([2]!COMPROMISOS_2024[[#All],[Total Comprometido]],[2]!COMPROMISOS_2024[[#All],[Bolsa]],PAA_4[[#This Row],[BOLSA]],[2]!COMPROMISOS_2024[[#All],[concatenado]],PAA_4[[#This Row],[RCP-RUBRO]]))</f>
        <v>#REF!</v>
      </c>
    </row>
    <row r="627" spans="1:38" s="19" customFormat="1" ht="31.5" customHeight="1">
      <c r="A627" s="47">
        <v>241</v>
      </c>
      <c r="B627" s="47">
        <v>80111600</v>
      </c>
      <c r="C627" s="47" t="str">
        <f>VLOOKUP(PAA_4[[#This Row],[PROYECTO (formulado)2]],[2]PROYECTOS!$G$1:$L$32,6,0)</f>
        <v>SUBGERENCIA DE ALTOS LOGROS Y DEPORTE ASOCIADO</v>
      </c>
      <c r="D627" s="47" t="str">
        <f>+IF(PAA_4[[#This Row],[UNIDAD DE CONTRATACION (formulado)]]="Subgerencia Administrativa y Financiera","FUNCIONAMIENTO","INVERSIÓN")</f>
        <v>INVERSIÓN</v>
      </c>
      <c r="E627" s="48" t="str">
        <f>VLOOKUP(Q627,[2]PROYECTOS!$G$1:$K$32,5,0)</f>
        <v>APOYO_TÉCNICO_Y_PSICOSOCIAL_A_LOS_DEPORTISTAS_DE_ANTIOQUIA</v>
      </c>
      <c r="F627" s="48">
        <f>VLOOKUP(E627,[2]PROYECTOS!$K$1:$M$32,3,0)</f>
        <v>2021003050069</v>
      </c>
      <c r="G627" s="49" t="s">
        <v>241</v>
      </c>
      <c r="H627" s="49" t="str">
        <f>VLOOKUP(Q627,[2]PROYECTOS!$V$1:$W$32,2,0)</f>
        <v>050069</v>
      </c>
      <c r="I627" s="50">
        <v>23714292</v>
      </c>
      <c r="J627" s="51" t="s">
        <v>1662</v>
      </c>
      <c r="K627" s="47" t="str">
        <f t="shared" ca="1" si="242"/>
        <v>CONTRATADO</v>
      </c>
      <c r="L627" s="47" t="s">
        <v>94</v>
      </c>
      <c r="M627" s="47" t="s">
        <v>1297</v>
      </c>
      <c r="N627" s="52" t="s">
        <v>240</v>
      </c>
      <c r="O627" s="51" t="e">
        <f>VLOOKUP(N627,[2]!RUBROS[#All],3,0)</f>
        <v>#REF!</v>
      </c>
      <c r="P627" s="53" t="e">
        <f>VLOOKUP(N627,[2]!RUBROS[#All],2,0)</f>
        <v>#REF!</v>
      </c>
      <c r="Q627" s="47" t="str">
        <f t="shared" si="243"/>
        <v>22</v>
      </c>
      <c r="R627" s="47" t="str">
        <f t="shared" si="244"/>
        <v>0-205400</v>
      </c>
      <c r="S627" s="54">
        <v>6</v>
      </c>
      <c r="T627" s="63" t="s">
        <v>46</v>
      </c>
      <c r="U627" s="326" t="e">
        <f ca="1">_xlfn.XLOOKUP(PAA_4[[#This Row],[ITEM]],[2]Contrato!A:A,[2]Contrato!Q:Q,"",0)</f>
        <v>#NAME?</v>
      </c>
      <c r="V627" s="47" t="s">
        <v>47</v>
      </c>
      <c r="W627" s="47" t="s">
        <v>137</v>
      </c>
      <c r="X627" s="47" t="s">
        <v>137</v>
      </c>
      <c r="Y627" s="55" t="e">
        <f ca="1">_xlfn.XLOOKUP(PAA_4[[#This Row],[ITEM]],[2]Contrato!A:A,[2]Contrato!B:B,"",0)</f>
        <v>#NAME?</v>
      </c>
      <c r="Z627" s="47" t="e">
        <f ca="1">_xlfn.XLOOKUP(PAA_4[[#This Row],[ITEM]],[2]Contrato!A:A,[2]Contrato!G:G,"",0)</f>
        <v>#NAME?</v>
      </c>
      <c r="AA627" s="47" t="e">
        <f ca="1">_xlfn.XLOOKUP(PAA_4[[#This Row],[ITEM]],[2]Contrato!A:A,[2]Contrato!T:T,"",0)</f>
        <v>#NAME?</v>
      </c>
      <c r="AB627" s="55" t="e">
        <f ca="1">+MAX(PAA_4[[#This Row],[Comprometido Contrato]],PAA_4[[#This Row],[Comprometido Bolsa]])</f>
        <v>#NAME?</v>
      </c>
      <c r="AC627" s="55" t="str">
        <f t="shared" ca="1" si="245"/>
        <v/>
      </c>
      <c r="AD627" s="55" t="e">
        <f ca="1">IF(PAA_4[[#This Row],[ESTADO (formulado)]]="NO CONTRATADO",0,MAX(PAA_4[[#This Row],[Pago por Contrato]],PAA_4[[#This Row],[Pago por bolsa]]))</f>
        <v>#NAME?</v>
      </c>
      <c r="AE627" s="55" t="str">
        <f t="shared" ca="1" si="246"/>
        <v/>
      </c>
      <c r="AF627" s="47" t="e">
        <f t="shared" ca="1" si="241"/>
        <v>#NAME?</v>
      </c>
      <c r="AG627" s="47">
        <f t="shared" si="247"/>
        <v>41080106</v>
      </c>
      <c r="AH627" s="54" t="str">
        <f>IF(Q627="22",IF(ISNUMBER(SEARCH("econ",PAA_4[[#This Row],[Actividad3]])),"Económico",IF(ISNUMBER(SEARCH("alim",PAA_4[[#This Row],[Actividad3]])),"Alimentación",IF(ISNUMBER(SEARCH("educ",PAA_4[[#This Row],[Actividad3]])),"Educativo","Técnico"))),0)</f>
        <v>Técnico</v>
      </c>
      <c r="AI627" s="47" t="e" cm="1">
        <f t="array" aca="1" ref="AI627" ca="1">_xlfn.XLOOKUP(PAA_4[[#This Row],[RCP-RUBRO]],[2]!COMPROMISOS_2024[[#All],[concatenado]],[2]!COMPROMISOS_2024[[#All],[Total pagado]],"",0)</f>
        <v>#NAME?</v>
      </c>
      <c r="AJ627" s="56" t="e">
        <f ca="1">IF(PAA_4[[#This Row],[BOLSA]]=0,0,SUMIFS([2]!COMPROMISOS_2024[[#All],[Total pagado]],[2]!COMPROMISOS_2024[[#All],[Bolsa]],PAA_4[[#This Row],[BOLSA]],[2]!COMPROMISOS_2024[[#All],[rubro]],PAA_4[[#This Row],[RCP-RUBRO]]))</f>
        <v>#REF!</v>
      </c>
      <c r="AK627" s="47" t="e" cm="1">
        <f t="array" aca="1" ref="AK627" ca="1">_xlfn.XLOOKUP(PAA_4[[#This Row],[RCP-RUBRO]],[2]!COMPROMISOS_2024[[#All],[concatenado]],[2]!COMPROMISOS_2024[[#All],[Total Comprometido]],"",0)</f>
        <v>#NAME?</v>
      </c>
      <c r="AL627" s="47" t="e">
        <f ca="1">IF(PAA_4[[#This Row],[BOLSA]]=0,0,SUMIFS([2]!COMPROMISOS_2024[[#All],[Total Comprometido]],[2]!COMPROMISOS_2024[[#All],[Bolsa]],PAA_4[[#This Row],[BOLSA]],[2]!COMPROMISOS_2024[[#All],[concatenado]],PAA_4[[#This Row],[RCP-RUBRO]]))</f>
        <v>#REF!</v>
      </c>
    </row>
    <row r="628" spans="1:38" s="19" customFormat="1" ht="31.5" customHeight="1">
      <c r="A628" s="47">
        <v>242</v>
      </c>
      <c r="B628" s="47">
        <v>80111600</v>
      </c>
      <c r="C628" s="47" t="str">
        <f>VLOOKUP(PAA_4[[#This Row],[PROYECTO (formulado)2]],[2]PROYECTOS!$G$1:$L$32,6,0)</f>
        <v>SUBGERENCIA DE ALTOS LOGROS Y DEPORTE ASOCIADO</v>
      </c>
      <c r="D628" s="47" t="str">
        <f>+IF(PAA_4[[#This Row],[UNIDAD DE CONTRATACION (formulado)]]="Subgerencia Administrativa y Financiera","FUNCIONAMIENTO","INVERSIÓN")</f>
        <v>INVERSIÓN</v>
      </c>
      <c r="E628" s="48" t="str">
        <f>VLOOKUP(Q628,[2]PROYECTOS!$G$1:$K$32,5,0)</f>
        <v>APOYO_TÉCNICO_Y_PSICOSOCIAL_A_LOS_DEPORTISTAS_DE_ANTIOQUIA</v>
      </c>
      <c r="F628" s="48">
        <f>VLOOKUP(E628,[2]PROYECTOS!$K$1:$M$32,3,0)</f>
        <v>2021003050069</v>
      </c>
      <c r="G628" s="49" t="s">
        <v>239</v>
      </c>
      <c r="H628" s="49" t="str">
        <f>VLOOKUP(Q628,[2]PROYECTOS!$V$1:$W$32,2,0)</f>
        <v>050069</v>
      </c>
      <c r="I628" s="50">
        <v>23714292</v>
      </c>
      <c r="J628" s="51" t="s">
        <v>1663</v>
      </c>
      <c r="K628" s="47" t="str">
        <f t="shared" ca="1" si="242"/>
        <v>CONTRATADO</v>
      </c>
      <c r="L628" s="47" t="s">
        <v>94</v>
      </c>
      <c r="M628" s="47" t="s">
        <v>1297</v>
      </c>
      <c r="N628" s="52" t="s">
        <v>240</v>
      </c>
      <c r="O628" s="51" t="e">
        <f>VLOOKUP(N628,[2]!RUBROS[#All],3,0)</f>
        <v>#REF!</v>
      </c>
      <c r="P628" s="53" t="e">
        <f>VLOOKUP(N628,[2]!RUBROS[#All],2,0)</f>
        <v>#REF!</v>
      </c>
      <c r="Q628" s="47" t="str">
        <f t="shared" si="243"/>
        <v>22</v>
      </c>
      <c r="R628" s="47" t="str">
        <f t="shared" si="244"/>
        <v>0-205400</v>
      </c>
      <c r="S628" s="54">
        <v>6</v>
      </c>
      <c r="T628" s="63" t="s">
        <v>46</v>
      </c>
      <c r="U628" s="326" t="e">
        <f ca="1">_xlfn.XLOOKUP(PAA_4[[#This Row],[ITEM]],[2]Contrato!A:A,[2]Contrato!Q:Q,"",0)</f>
        <v>#NAME?</v>
      </c>
      <c r="V628" s="47" t="s">
        <v>47</v>
      </c>
      <c r="W628" s="64" t="s">
        <v>137</v>
      </c>
      <c r="X628" s="64" t="s">
        <v>137</v>
      </c>
      <c r="Y628" s="55" t="e">
        <f ca="1">_xlfn.XLOOKUP(PAA_4[[#This Row],[ITEM]],[2]Contrato!A:A,[2]Contrato!B:B,"",0)</f>
        <v>#NAME?</v>
      </c>
      <c r="Z628" s="47" t="e">
        <f ca="1">_xlfn.XLOOKUP(PAA_4[[#This Row],[ITEM]],[2]Contrato!A:A,[2]Contrato!G:G,"",0)</f>
        <v>#NAME?</v>
      </c>
      <c r="AA628" s="47" t="e">
        <f ca="1">_xlfn.XLOOKUP(PAA_4[[#This Row],[ITEM]],[2]Contrato!A:A,[2]Contrato!T:T,"",0)</f>
        <v>#NAME?</v>
      </c>
      <c r="AB628" s="55" t="e">
        <f ca="1">+MAX(PAA_4[[#This Row],[Comprometido Contrato]],PAA_4[[#This Row],[Comprometido Bolsa]])</f>
        <v>#NAME?</v>
      </c>
      <c r="AC628" s="55" t="str">
        <f t="shared" ca="1" si="245"/>
        <v/>
      </c>
      <c r="AD628" s="55" t="e">
        <f ca="1">IF(PAA_4[[#This Row],[ESTADO (formulado)]]="NO CONTRATADO",0,MAX(PAA_4[[#This Row],[Pago por Contrato]],PAA_4[[#This Row],[Pago por bolsa]]))</f>
        <v>#NAME?</v>
      </c>
      <c r="AE628" s="55" t="str">
        <f t="shared" ca="1" si="246"/>
        <v/>
      </c>
      <c r="AF628" s="47" t="e">
        <f t="shared" ca="1" si="241"/>
        <v>#NAME?</v>
      </c>
      <c r="AG628" s="47">
        <f t="shared" si="247"/>
        <v>41080101</v>
      </c>
      <c r="AH628" s="54" t="str">
        <f>IF(Q628="22",IF(ISNUMBER(SEARCH("econ",PAA_4[[#This Row],[Actividad3]])),"Económico",IF(ISNUMBER(SEARCH("alim",PAA_4[[#This Row],[Actividad3]])),"Alimentación",IF(ISNUMBER(SEARCH("educ",PAA_4[[#This Row],[Actividad3]])),"Educativo","Técnico"))),0)</f>
        <v>Técnico</v>
      </c>
      <c r="AI628" s="47" t="e" cm="1">
        <f t="array" aca="1" ref="AI628" ca="1">_xlfn.XLOOKUP(PAA_4[[#This Row],[RCP-RUBRO]],[2]!COMPROMISOS_2024[[#All],[concatenado]],[2]!COMPROMISOS_2024[[#All],[Total pagado]],"",0)</f>
        <v>#NAME?</v>
      </c>
      <c r="AJ628" s="56" t="e">
        <f ca="1">IF(PAA_4[[#This Row],[BOLSA]]=0,0,SUMIFS([2]!COMPROMISOS_2024[[#All],[Total pagado]],[2]!COMPROMISOS_2024[[#All],[Bolsa]],PAA_4[[#This Row],[BOLSA]],[2]!COMPROMISOS_2024[[#All],[rubro]],PAA_4[[#This Row],[RCP-RUBRO]]))</f>
        <v>#REF!</v>
      </c>
      <c r="AK628" s="47" t="e" cm="1">
        <f t="array" aca="1" ref="AK628" ca="1">_xlfn.XLOOKUP(PAA_4[[#This Row],[RCP-RUBRO]],[2]!COMPROMISOS_2024[[#All],[concatenado]],[2]!COMPROMISOS_2024[[#All],[Total Comprometido]],"",0)</f>
        <v>#NAME?</v>
      </c>
      <c r="AL628" s="47" t="e">
        <f ca="1">IF(PAA_4[[#This Row],[BOLSA]]=0,0,SUMIFS([2]!COMPROMISOS_2024[[#All],[Total Comprometido]],[2]!COMPROMISOS_2024[[#All],[Bolsa]],PAA_4[[#This Row],[BOLSA]],[2]!COMPROMISOS_2024[[#All],[concatenado]],PAA_4[[#This Row],[RCP-RUBRO]]))</f>
        <v>#REF!</v>
      </c>
    </row>
    <row r="629" spans="1:38" s="19" customFormat="1" ht="31.5" customHeight="1">
      <c r="A629" s="47" t="s">
        <v>82</v>
      </c>
      <c r="B629" s="47" t="s">
        <v>42</v>
      </c>
      <c r="C629" s="47" t="str">
        <f>VLOOKUP(PAA_4[[#This Row],[PROYECTO (formulado)2]],[2]PROYECTOS!$G$1:$L$32,6,0)</f>
        <v>SUBGERENCIA DE ALTOS LOGROS Y DEPORTE ASOCIADO</v>
      </c>
      <c r="D629" s="47" t="str">
        <f>+IF(PAA_4[[#This Row],[UNIDAD DE CONTRATACION (formulado)]]="Subgerencia Administrativa y Financiera","FUNCIONAMIENTO","INVERSIÓN")</f>
        <v>INVERSIÓN</v>
      </c>
      <c r="E629" s="48" t="str">
        <f>VLOOKUP(Q629,[2]PROYECTOS!$G$1:$K$32,5,0)</f>
        <v>APOYO_TÉCNICO_Y_PSICOSOCIAL_A_LOS_DEPORTISTAS_DE_ANTIOQUIA</v>
      </c>
      <c r="F629" s="48">
        <f>VLOOKUP(E629,[2]PROYECTOS!$K$1:$M$32,3,0)</f>
        <v>2021003050069</v>
      </c>
      <c r="G629" s="49" t="s">
        <v>239</v>
      </c>
      <c r="H629" s="49" t="str">
        <f>VLOOKUP(Q629,[2]PROYECTOS!$V$1:$W$32,2,0)</f>
        <v>050069</v>
      </c>
      <c r="I629" s="50">
        <v>9</v>
      </c>
      <c r="J629" s="51" t="s">
        <v>1664</v>
      </c>
      <c r="K629" s="47" t="str">
        <f t="shared" ca="1" si="242"/>
        <v>CONTRATADO</v>
      </c>
      <c r="L629" s="47" t="s">
        <v>42</v>
      </c>
      <c r="M629" s="47" t="s">
        <v>42</v>
      </c>
      <c r="N629" s="52" t="s">
        <v>240</v>
      </c>
      <c r="O629" s="51" t="e">
        <f>VLOOKUP(N629,[2]!RUBROS[#All],3,0)</f>
        <v>#REF!</v>
      </c>
      <c r="P629" s="53" t="e">
        <f>VLOOKUP(N629,[2]!RUBROS[#All],2,0)</f>
        <v>#REF!</v>
      </c>
      <c r="Q629" s="47" t="str">
        <f t="shared" si="243"/>
        <v>22</v>
      </c>
      <c r="R629" s="47" t="str">
        <f t="shared" si="244"/>
        <v>0-205400</v>
      </c>
      <c r="S629" s="54" t="s">
        <v>42</v>
      </c>
      <c r="T629" s="329" t="s">
        <v>42</v>
      </c>
      <c r="U629" s="326" t="e">
        <f ca="1">_xlfn.XLOOKUP(PAA_4[[#This Row],[ITEM]],[2]Contrato!A:A,[2]Contrato!Q:Q,"",0)</f>
        <v>#NAME?</v>
      </c>
      <c r="V629" s="47" t="s">
        <v>95</v>
      </c>
      <c r="W629" s="64" t="s">
        <v>42</v>
      </c>
      <c r="X629" s="64" t="s">
        <v>42</v>
      </c>
      <c r="Y629" s="55" t="e">
        <f ca="1">_xlfn.XLOOKUP(PAA_4[[#This Row],[ITEM]],[2]Contrato!A:A,[2]Contrato!B:B,"",0)</f>
        <v>#NAME?</v>
      </c>
      <c r="Z629" s="47" t="e">
        <f ca="1">_xlfn.XLOOKUP(PAA_4[[#This Row],[ITEM]],[2]Contrato!A:A,[2]Contrato!G:G,"",0)</f>
        <v>#NAME?</v>
      </c>
      <c r="AA629" s="47" t="e">
        <f ca="1">_xlfn.XLOOKUP(PAA_4[[#This Row],[ITEM]],[2]Contrato!A:A,[2]Contrato!T:T,"",0)</f>
        <v>#NAME?</v>
      </c>
      <c r="AB629" s="55" t="e">
        <f ca="1">+MAX(PAA_4[[#This Row],[Comprometido Contrato]],PAA_4[[#This Row],[Comprometido Bolsa]])</f>
        <v>#NAME?</v>
      </c>
      <c r="AC629" s="55" t="str">
        <f t="shared" ca="1" si="245"/>
        <v/>
      </c>
      <c r="AD629" s="55" t="e">
        <f ca="1">IF(PAA_4[[#This Row],[ESTADO (formulado)]]="NO CONTRATADO",0,MAX(PAA_4[[#This Row],[Pago por Contrato]],PAA_4[[#This Row],[Pago por bolsa]]))</f>
        <v>#NAME?</v>
      </c>
      <c r="AE629" s="55" t="str">
        <f t="shared" ca="1" si="246"/>
        <v/>
      </c>
      <c r="AF629" s="47" t="e">
        <f t="shared" ca="1" si="241"/>
        <v>#NAME?</v>
      </c>
      <c r="AG629" s="47">
        <f t="shared" si="247"/>
        <v>41080101</v>
      </c>
      <c r="AH629" s="54" t="str">
        <f>IF(Q629="22",IF(ISNUMBER(SEARCH("econ",PAA_4[[#This Row],[Actividad3]])),"Económico",IF(ISNUMBER(SEARCH("alim",PAA_4[[#This Row],[Actividad3]])),"Alimentación",IF(ISNUMBER(SEARCH("educ",PAA_4[[#This Row],[Actividad3]])),"Educativo","Técnico"))),0)</f>
        <v>Técnico</v>
      </c>
      <c r="AI629" s="47" t="e" cm="1">
        <f t="array" aca="1" ref="AI629" ca="1">_xlfn.XLOOKUP(PAA_4[[#This Row],[RCP-RUBRO]],[2]!COMPROMISOS_2024[[#All],[concatenado]],[2]!COMPROMISOS_2024[[#All],[Total pagado]],"",0)</f>
        <v>#NAME?</v>
      </c>
      <c r="AJ629" s="56" t="e">
        <f ca="1">IF(PAA_4[[#This Row],[BOLSA]]=0,0,SUMIFS([2]!COMPROMISOS_2024[[#All],[Total pagado]],[2]!COMPROMISOS_2024[[#All],[Bolsa]],PAA_4[[#This Row],[BOLSA]],[2]!COMPROMISOS_2024[[#All],[rubro]],PAA_4[[#This Row],[RCP-RUBRO]]))</f>
        <v>#REF!</v>
      </c>
      <c r="AK629" s="47" t="e" cm="1">
        <f t="array" aca="1" ref="AK629" ca="1">_xlfn.XLOOKUP(PAA_4[[#This Row],[RCP-RUBRO]],[2]!COMPROMISOS_2024[[#All],[concatenado]],[2]!COMPROMISOS_2024[[#All],[Total Comprometido]],"",0)</f>
        <v>#NAME?</v>
      </c>
      <c r="AL629" s="47" t="e">
        <f ca="1">IF(PAA_4[[#This Row],[BOLSA]]=0,0,SUMIFS([2]!COMPROMISOS_2024[[#All],[Total Comprometido]],[2]!COMPROMISOS_2024[[#All],[Bolsa]],PAA_4[[#This Row],[BOLSA]],[2]!COMPROMISOS_2024[[#All],[concatenado]],PAA_4[[#This Row],[RCP-RUBRO]]))</f>
        <v>#REF!</v>
      </c>
    </row>
    <row r="630" spans="1:38" s="19" customFormat="1" ht="31.5" customHeight="1">
      <c r="A630" s="47" t="s">
        <v>82</v>
      </c>
      <c r="B630" s="47" t="s">
        <v>42</v>
      </c>
      <c r="C630" s="47" t="str">
        <f>VLOOKUP(PAA_4[[#This Row],[PROYECTO (formulado)2]],[2]PROYECTOS!$G$1:$L$32,6,0)</f>
        <v>SUBGERENCIA DE ALTOS LOGROS Y DEPORTE ASOCIADO</v>
      </c>
      <c r="D630" s="47" t="str">
        <f>+IF(PAA_4[[#This Row],[UNIDAD DE CONTRATACION (formulado)]]="Subgerencia Administrativa y Financiera","FUNCIONAMIENTO","INVERSIÓN")</f>
        <v>INVERSIÓN</v>
      </c>
      <c r="E630" s="48" t="str">
        <f>VLOOKUP(Q630,[2]PROYECTOS!$G$1:$K$32,5,0)</f>
        <v>APOYO_TÉCNICO_Y_PSICOSOCIAL_A_LOS_DEPORTISTAS_DE_ANTIOQUIA</v>
      </c>
      <c r="F630" s="48">
        <f>VLOOKUP(E630,[2]PROYECTOS!$K$1:$M$32,3,0)</f>
        <v>2021003050069</v>
      </c>
      <c r="G630" s="49" t="s">
        <v>239</v>
      </c>
      <c r="H630" s="49" t="str">
        <f>VLOOKUP(Q630,[2]PROYECTOS!$V$1:$W$32,2,0)</f>
        <v>050069</v>
      </c>
      <c r="I630" s="50">
        <v>2</v>
      </c>
      <c r="J630" s="51" t="s">
        <v>1664</v>
      </c>
      <c r="K630" s="47" t="str">
        <f t="shared" ca="1" si="242"/>
        <v>CONTRATADO</v>
      </c>
      <c r="L630" s="47" t="s">
        <v>42</v>
      </c>
      <c r="M630" s="47" t="s">
        <v>42</v>
      </c>
      <c r="N630" s="52" t="s">
        <v>240</v>
      </c>
      <c r="O630" s="51" t="e">
        <f>VLOOKUP(N630,[2]!RUBROS[#All],3,0)</f>
        <v>#REF!</v>
      </c>
      <c r="P630" s="53" t="e">
        <f>VLOOKUP(N630,[2]!RUBROS[#All],2,0)</f>
        <v>#REF!</v>
      </c>
      <c r="Q630" s="47" t="str">
        <f t="shared" si="243"/>
        <v>22</v>
      </c>
      <c r="R630" s="47" t="str">
        <f t="shared" si="244"/>
        <v>0-205400</v>
      </c>
      <c r="S630" s="54" t="s">
        <v>42</v>
      </c>
      <c r="T630" s="329" t="s">
        <v>42</v>
      </c>
      <c r="U630" s="326" t="e">
        <f ca="1">_xlfn.XLOOKUP(PAA_4[[#This Row],[ITEM]],[2]Contrato!A:A,[2]Contrato!Q:Q,"",0)</f>
        <v>#NAME?</v>
      </c>
      <c r="V630" s="47" t="s">
        <v>95</v>
      </c>
      <c r="W630" s="64" t="s">
        <v>42</v>
      </c>
      <c r="X630" s="64" t="s">
        <v>42</v>
      </c>
      <c r="Y630" s="55" t="e">
        <f ca="1">_xlfn.XLOOKUP(PAA_4[[#This Row],[ITEM]],[2]Contrato!A:A,[2]Contrato!B:B,"",0)</f>
        <v>#NAME?</v>
      </c>
      <c r="Z630" s="47" t="e">
        <f ca="1">_xlfn.XLOOKUP(PAA_4[[#This Row],[ITEM]],[2]Contrato!A:A,[2]Contrato!G:G,"",0)</f>
        <v>#NAME?</v>
      </c>
      <c r="AA630" s="47" t="e">
        <f ca="1">_xlfn.XLOOKUP(PAA_4[[#This Row],[ITEM]],[2]Contrato!A:A,[2]Contrato!T:T,"",0)</f>
        <v>#NAME?</v>
      </c>
      <c r="AB630" s="55" t="e">
        <f ca="1">+MAX(PAA_4[[#This Row],[Comprometido Contrato]],PAA_4[[#This Row],[Comprometido Bolsa]])</f>
        <v>#NAME?</v>
      </c>
      <c r="AC630" s="55" t="str">
        <f t="shared" ca="1" si="245"/>
        <v/>
      </c>
      <c r="AD630" s="55" t="e">
        <f ca="1">IF(PAA_4[[#This Row],[ESTADO (formulado)]]="NO CONTRATADO",0,MAX(PAA_4[[#This Row],[Pago por Contrato]],PAA_4[[#This Row],[Pago por bolsa]]))</f>
        <v>#NAME?</v>
      </c>
      <c r="AE630" s="55" t="str">
        <f t="shared" ca="1" si="246"/>
        <v/>
      </c>
      <c r="AF630" s="47" t="e">
        <f t="shared" ca="1" si="241"/>
        <v>#NAME?</v>
      </c>
      <c r="AG630" s="47">
        <f t="shared" si="247"/>
        <v>41080101</v>
      </c>
      <c r="AH630" s="54" t="str">
        <f>IF(Q630="22",IF(ISNUMBER(SEARCH("econ",PAA_4[[#This Row],[Actividad3]])),"Económico",IF(ISNUMBER(SEARCH("alim",PAA_4[[#This Row],[Actividad3]])),"Alimentación",IF(ISNUMBER(SEARCH("educ",PAA_4[[#This Row],[Actividad3]])),"Educativo","Técnico"))),0)</f>
        <v>Técnico</v>
      </c>
      <c r="AI630" s="47" t="e" cm="1">
        <f t="array" aca="1" ref="AI630" ca="1">_xlfn.XLOOKUP(PAA_4[[#This Row],[RCP-RUBRO]],[2]!COMPROMISOS_2024[[#All],[concatenado]],[2]!COMPROMISOS_2024[[#All],[Total pagado]],"",0)</f>
        <v>#NAME?</v>
      </c>
      <c r="AJ630" s="56" t="e">
        <f ca="1">IF(PAA_4[[#This Row],[BOLSA]]=0,0,SUMIFS([2]!COMPROMISOS_2024[[#All],[Total pagado]],[2]!COMPROMISOS_2024[[#All],[Bolsa]],PAA_4[[#This Row],[BOLSA]],[2]!COMPROMISOS_2024[[#All],[rubro]],PAA_4[[#This Row],[RCP-RUBRO]]))</f>
        <v>#REF!</v>
      </c>
      <c r="AK630" s="47" t="e" cm="1">
        <f t="array" aca="1" ref="AK630" ca="1">_xlfn.XLOOKUP(PAA_4[[#This Row],[RCP-RUBRO]],[2]!COMPROMISOS_2024[[#All],[concatenado]],[2]!COMPROMISOS_2024[[#All],[Total Comprometido]],"",0)</f>
        <v>#NAME?</v>
      </c>
      <c r="AL630" s="47" t="e">
        <f ca="1">IF(PAA_4[[#This Row],[BOLSA]]=0,0,SUMIFS([2]!COMPROMISOS_2024[[#All],[Total Comprometido]],[2]!COMPROMISOS_2024[[#All],[Bolsa]],PAA_4[[#This Row],[BOLSA]],[2]!COMPROMISOS_2024[[#All],[concatenado]],PAA_4[[#This Row],[RCP-RUBRO]]))</f>
        <v>#REF!</v>
      </c>
    </row>
    <row r="631" spans="1:38" s="19" customFormat="1" ht="31.5" customHeight="1">
      <c r="A631" s="47" t="s">
        <v>82</v>
      </c>
      <c r="B631" s="47" t="s">
        <v>42</v>
      </c>
      <c r="C631" s="47" t="str">
        <f>VLOOKUP(PAA_4[[#This Row],[PROYECTO (formulado)2]],[2]PROYECTOS!$G$1:$L$32,6,0)</f>
        <v>SUBGERENCIA DE ALTOS LOGROS Y DEPORTE ASOCIADO</v>
      </c>
      <c r="D631" s="47" t="str">
        <f>+IF(PAA_4[[#This Row],[UNIDAD DE CONTRATACION (formulado)]]="Subgerencia Administrativa y Financiera","FUNCIONAMIENTO","INVERSIÓN")</f>
        <v>INVERSIÓN</v>
      </c>
      <c r="E631" s="48" t="str">
        <f>VLOOKUP(Q631,[2]PROYECTOS!$G$1:$K$32,5,0)</f>
        <v>FORTALECIMIENTO_DEL_PROGRAMA_DE_ALTOS_LOGROS_Y_LIDERAZGO_DEPORTIVO_EN_EL_DEPARTAMENTO_DE_ANTIOQUIA</v>
      </c>
      <c r="F631" s="48">
        <f>VLOOKUP(E631,[2]PROYECTOS!$K$1:$M$32,3,0)</f>
        <v>2020003050021</v>
      </c>
      <c r="G631" s="49" t="s">
        <v>235</v>
      </c>
      <c r="H631" s="49" t="str">
        <f>VLOOKUP(Q631,[2]PROYECTOS!$V$1:$W$32,2,0)</f>
        <v>050061</v>
      </c>
      <c r="I631" s="50">
        <v>135</v>
      </c>
      <c r="J631" s="51" t="s">
        <v>1664</v>
      </c>
      <c r="K631" s="47" t="str">
        <f t="shared" ca="1" si="242"/>
        <v>CONTRATADO</v>
      </c>
      <c r="L631" s="47" t="s">
        <v>42</v>
      </c>
      <c r="M631" s="47" t="s">
        <v>42</v>
      </c>
      <c r="N631" s="52" t="s">
        <v>245</v>
      </c>
      <c r="O631" s="51" t="e">
        <f>VLOOKUP(N631,[2]!RUBROS[#All],3,0)</f>
        <v>#REF!</v>
      </c>
      <c r="P631" s="53" t="e">
        <f>VLOOKUP(N631,[2]!RUBROS[#All],2,0)</f>
        <v>#REF!</v>
      </c>
      <c r="Q631" s="47" t="str">
        <f t="shared" si="243"/>
        <v>20</v>
      </c>
      <c r="R631" s="47" t="str">
        <f t="shared" si="244"/>
        <v>0-205400</v>
      </c>
      <c r="S631" s="54" t="s">
        <v>42</v>
      </c>
      <c r="T631" s="329" t="s">
        <v>42</v>
      </c>
      <c r="U631" s="326" t="e">
        <f ca="1">_xlfn.XLOOKUP(PAA_4[[#This Row],[ITEM]],[2]Contrato!A:A,[2]Contrato!Q:Q,"",0)</f>
        <v>#NAME?</v>
      </c>
      <c r="V631" s="47" t="s">
        <v>95</v>
      </c>
      <c r="W631" s="64" t="s">
        <v>42</v>
      </c>
      <c r="X631" s="64" t="s">
        <v>42</v>
      </c>
      <c r="Y631" s="55" t="e">
        <f ca="1">_xlfn.XLOOKUP(PAA_4[[#This Row],[ITEM]],[2]Contrato!A:A,[2]Contrato!B:B,"",0)</f>
        <v>#NAME?</v>
      </c>
      <c r="Z631" s="47" t="e">
        <f ca="1">_xlfn.XLOOKUP(PAA_4[[#This Row],[ITEM]],[2]Contrato!A:A,[2]Contrato!G:G,"",0)</f>
        <v>#NAME?</v>
      </c>
      <c r="AA631" s="47" t="e">
        <f ca="1">_xlfn.XLOOKUP(PAA_4[[#This Row],[ITEM]],[2]Contrato!A:A,[2]Contrato!T:T,"",0)</f>
        <v>#NAME?</v>
      </c>
      <c r="AB631" s="55" t="e">
        <f ca="1">+MAX(PAA_4[[#This Row],[Comprometido Contrato]],PAA_4[[#This Row],[Comprometido Bolsa]])</f>
        <v>#NAME?</v>
      </c>
      <c r="AC631" s="55" t="str">
        <f t="shared" ca="1" si="245"/>
        <v/>
      </c>
      <c r="AD631" s="55" t="e">
        <f ca="1">IF(PAA_4[[#This Row],[ESTADO (formulado)]]="NO CONTRATADO",0,MAX(PAA_4[[#This Row],[Pago por Contrato]],PAA_4[[#This Row],[Pago por bolsa]]))</f>
        <v>#NAME?</v>
      </c>
      <c r="AE631" s="55" t="str">
        <f t="shared" ca="1" si="246"/>
        <v/>
      </c>
      <c r="AF631" s="47" t="e">
        <f t="shared" ca="1" si="241"/>
        <v>#NAME?</v>
      </c>
      <c r="AG631" s="47">
        <f t="shared" si="247"/>
        <v>41080111</v>
      </c>
      <c r="AH631" s="54">
        <f>IF(Q631="22",IF(ISNUMBER(SEARCH("econ",PAA_4[[#This Row],[Actividad3]])),"Económico",IF(ISNUMBER(SEARCH("alim",PAA_4[[#This Row],[Actividad3]])),"Alimentación",IF(ISNUMBER(SEARCH("educ",PAA_4[[#This Row],[Actividad3]])),"Educativo","Técnico"))),0)</f>
        <v>0</v>
      </c>
      <c r="AI631" s="47" t="e" cm="1">
        <f t="array" aca="1" ref="AI631" ca="1">_xlfn.XLOOKUP(PAA_4[[#This Row],[RCP-RUBRO]],[2]!COMPROMISOS_2024[[#All],[concatenado]],[2]!COMPROMISOS_2024[[#All],[Total pagado]],"",0)</f>
        <v>#NAME?</v>
      </c>
      <c r="AJ631" s="56">
        <f>IF(PAA_4[[#This Row],[BOLSA]]=0,0,SUMIFS([2]!COMPROMISOS_2024[[#All],[Total pagado]],[2]!COMPROMISOS_2024[[#All],[Bolsa]],PAA_4[[#This Row],[BOLSA]],[2]!COMPROMISOS_2024[[#All],[rubro]],PAA_4[[#This Row],[RCP-RUBRO]]))</f>
        <v>0</v>
      </c>
      <c r="AK631" s="47" t="e" cm="1">
        <f t="array" aca="1" ref="AK631" ca="1">_xlfn.XLOOKUP(PAA_4[[#This Row],[RCP-RUBRO]],[2]!COMPROMISOS_2024[[#All],[concatenado]],[2]!COMPROMISOS_2024[[#All],[Total Comprometido]],"",0)</f>
        <v>#NAME?</v>
      </c>
      <c r="AL631" s="47">
        <f>IF(PAA_4[[#This Row],[BOLSA]]=0,0,SUMIFS([2]!COMPROMISOS_2024[[#All],[Total Comprometido]],[2]!COMPROMISOS_2024[[#All],[Bolsa]],PAA_4[[#This Row],[BOLSA]],[2]!COMPROMISOS_2024[[#All],[concatenado]],PAA_4[[#This Row],[RCP-RUBRO]]))</f>
        <v>0</v>
      </c>
    </row>
    <row r="632" spans="1:38" s="19" customFormat="1" ht="31.5" customHeight="1">
      <c r="A632" s="47" t="s">
        <v>82</v>
      </c>
      <c r="B632" s="47" t="s">
        <v>42</v>
      </c>
      <c r="C632" s="47" t="str">
        <f>VLOOKUP(PAA_4[[#This Row],[PROYECTO (formulado)2]],[2]PROYECTOS!$G$1:$L$32,6,0)</f>
        <v>SUBGERENCIA DE ALTOS LOGROS Y DEPORTE ASOCIADO</v>
      </c>
      <c r="D632" s="47" t="str">
        <f>+IF(PAA_4[[#This Row],[UNIDAD DE CONTRATACION (formulado)]]="Subgerencia Administrativa y Financiera","FUNCIONAMIENTO","INVERSIÓN")</f>
        <v>INVERSIÓN</v>
      </c>
      <c r="E632" s="48" t="str">
        <f>VLOOKUP(Q632,[2]PROYECTOS!$G$1:$K$32,5,0)</f>
        <v>DESARROLLO_DEL_POTENCIAL_DEPORTIVO_EN_EL_DEPARTAMENTO_DE_ANTIOQUIA</v>
      </c>
      <c r="F632" s="48">
        <f>VLOOKUP(E632,[2]PROYECTOS!$K$1:$M$32,3,0)</f>
        <v>2020003050022</v>
      </c>
      <c r="G632" s="49" t="s">
        <v>273</v>
      </c>
      <c r="H632" s="49" t="str">
        <f>VLOOKUP(Q632,[2]PROYECTOS!$V$1:$W$32,2,0)</f>
        <v>050065</v>
      </c>
      <c r="I632" s="50">
        <v>135</v>
      </c>
      <c r="J632" s="51" t="s">
        <v>1664</v>
      </c>
      <c r="K632" s="47" t="str">
        <f t="shared" ca="1" si="242"/>
        <v>CONTRATADO</v>
      </c>
      <c r="L632" s="47" t="s">
        <v>42</v>
      </c>
      <c r="M632" s="47" t="s">
        <v>42</v>
      </c>
      <c r="N632" s="52" t="s">
        <v>246</v>
      </c>
      <c r="O632" s="51" t="e">
        <f>VLOOKUP(N632,[2]!RUBROS[#All],3,0)</f>
        <v>#REF!</v>
      </c>
      <c r="P632" s="53" t="e">
        <f>VLOOKUP(N632,[2]!RUBROS[#All],2,0)</f>
        <v>#REF!</v>
      </c>
      <c r="Q632" s="47" t="str">
        <f t="shared" si="243"/>
        <v>21</v>
      </c>
      <c r="R632" s="47" t="str">
        <f t="shared" si="244"/>
        <v>0-205400</v>
      </c>
      <c r="S632" s="54" t="s">
        <v>42</v>
      </c>
      <c r="T632" s="329" t="s">
        <v>42</v>
      </c>
      <c r="U632" s="326" t="e">
        <f ca="1">_xlfn.XLOOKUP(PAA_4[[#This Row],[ITEM]],[2]Contrato!A:A,[2]Contrato!Q:Q,"",0)</f>
        <v>#NAME?</v>
      </c>
      <c r="V632" s="47" t="s">
        <v>95</v>
      </c>
      <c r="W632" s="64" t="s">
        <v>42</v>
      </c>
      <c r="X632" s="64" t="s">
        <v>42</v>
      </c>
      <c r="Y632" s="55" t="e">
        <f ca="1">_xlfn.XLOOKUP(PAA_4[[#This Row],[ITEM]],[2]Contrato!A:A,[2]Contrato!B:B,"",0)</f>
        <v>#NAME?</v>
      </c>
      <c r="Z632" s="47" t="e">
        <f ca="1">_xlfn.XLOOKUP(PAA_4[[#This Row],[ITEM]],[2]Contrato!A:A,[2]Contrato!G:G,"",0)</f>
        <v>#NAME?</v>
      </c>
      <c r="AA632" s="47" t="e">
        <f ca="1">_xlfn.XLOOKUP(PAA_4[[#This Row],[ITEM]],[2]Contrato!A:A,[2]Contrato!T:T,"",0)</f>
        <v>#NAME?</v>
      </c>
      <c r="AB632" s="55" t="e">
        <f ca="1">+MAX(PAA_4[[#This Row],[Comprometido Contrato]],PAA_4[[#This Row],[Comprometido Bolsa]])</f>
        <v>#NAME?</v>
      </c>
      <c r="AC632" s="55" t="str">
        <f t="shared" ca="1" si="245"/>
        <v/>
      </c>
      <c r="AD632" s="55" t="e">
        <f ca="1">IF(PAA_4[[#This Row],[ESTADO (formulado)]]="NO CONTRATADO",0,MAX(PAA_4[[#This Row],[Pago por Contrato]],PAA_4[[#This Row],[Pago por bolsa]]))</f>
        <v>#NAME?</v>
      </c>
      <c r="AE632" s="55" t="str">
        <f t="shared" ca="1" si="246"/>
        <v/>
      </c>
      <c r="AF632" s="47" t="e">
        <f t="shared" ca="1" si="241"/>
        <v>#NAME?</v>
      </c>
      <c r="AG632" s="47">
        <f t="shared" si="247"/>
        <v>41080112</v>
      </c>
      <c r="AH632" s="54">
        <f>IF(Q632="22",IF(ISNUMBER(SEARCH("econ",PAA_4[[#This Row],[Actividad3]])),"Económico",IF(ISNUMBER(SEARCH("alim",PAA_4[[#This Row],[Actividad3]])),"Alimentación",IF(ISNUMBER(SEARCH("educ",PAA_4[[#This Row],[Actividad3]])),"Educativo","Técnico"))),0)</f>
        <v>0</v>
      </c>
      <c r="AI632" s="47" t="e" cm="1">
        <f t="array" aca="1" ref="AI632" ca="1">_xlfn.XLOOKUP(PAA_4[[#This Row],[RCP-RUBRO]],[2]!COMPROMISOS_2024[[#All],[concatenado]],[2]!COMPROMISOS_2024[[#All],[Total pagado]],"",0)</f>
        <v>#NAME?</v>
      </c>
      <c r="AJ632" s="56">
        <f>IF(PAA_4[[#This Row],[BOLSA]]=0,0,SUMIFS([2]!COMPROMISOS_2024[[#All],[Total pagado]],[2]!COMPROMISOS_2024[[#All],[Bolsa]],PAA_4[[#This Row],[BOLSA]],[2]!COMPROMISOS_2024[[#All],[rubro]],PAA_4[[#This Row],[RCP-RUBRO]]))</f>
        <v>0</v>
      </c>
      <c r="AK632" s="47" t="e" cm="1">
        <f t="array" aca="1" ref="AK632" ca="1">_xlfn.XLOOKUP(PAA_4[[#This Row],[RCP-RUBRO]],[2]!COMPROMISOS_2024[[#All],[concatenado]],[2]!COMPROMISOS_2024[[#All],[Total Comprometido]],"",0)</f>
        <v>#NAME?</v>
      </c>
      <c r="AL632" s="47">
        <f>IF(PAA_4[[#This Row],[BOLSA]]=0,0,SUMIFS([2]!COMPROMISOS_2024[[#All],[Total Comprometido]],[2]!COMPROMISOS_2024[[#All],[Bolsa]],PAA_4[[#This Row],[BOLSA]],[2]!COMPROMISOS_2024[[#All],[concatenado]],PAA_4[[#This Row],[RCP-RUBRO]]))</f>
        <v>0</v>
      </c>
    </row>
    <row r="633" spans="1:38" s="19" customFormat="1" ht="31.5" customHeight="1">
      <c r="A633" s="47" t="s">
        <v>82</v>
      </c>
      <c r="B633" s="47" t="s">
        <v>42</v>
      </c>
      <c r="C633" s="47" t="str">
        <f>VLOOKUP(PAA_4[[#This Row],[PROYECTO (formulado)2]],[2]PROYECTOS!$G$1:$L$32,6,0)</f>
        <v>SUBGERENCIA DE ALTOS LOGROS Y DEPORTE ASOCIADO</v>
      </c>
      <c r="D633" s="47" t="str">
        <f>+IF(PAA_4[[#This Row],[UNIDAD DE CONTRATACION (formulado)]]="Subgerencia Administrativa y Financiera","FUNCIONAMIENTO","INVERSIÓN")</f>
        <v>INVERSIÓN</v>
      </c>
      <c r="E633" s="48" t="str">
        <f>VLOOKUP(Q633,[2]PROYECTOS!$G$1:$K$32,5,0)</f>
        <v>APOYO_TÉCNICO_Y_PSICOSOCIAL_A_LOS_DEPORTISTAS_DE_ANTIOQUIA</v>
      </c>
      <c r="F633" s="48">
        <f>VLOOKUP(E633,[2]PROYECTOS!$K$1:$M$32,3,0)</f>
        <v>2021003050069</v>
      </c>
      <c r="G633" s="49" t="s">
        <v>239</v>
      </c>
      <c r="H633" s="49" t="str">
        <f>VLOOKUP(Q633,[2]PROYECTOS!$V$1:$W$32,2,0)</f>
        <v>050069</v>
      </c>
      <c r="I633" s="50">
        <v>2</v>
      </c>
      <c r="J633" s="51" t="s">
        <v>1664</v>
      </c>
      <c r="K633" s="47" t="str">
        <f t="shared" ca="1" si="242"/>
        <v>CONTRATADO</v>
      </c>
      <c r="L633" s="47" t="s">
        <v>42</v>
      </c>
      <c r="M633" s="47" t="s">
        <v>42</v>
      </c>
      <c r="N633" s="52" t="s">
        <v>240</v>
      </c>
      <c r="O633" s="51" t="e">
        <f>VLOOKUP(N633,[2]!RUBROS[#All],3,0)</f>
        <v>#REF!</v>
      </c>
      <c r="P633" s="53" t="e">
        <f>VLOOKUP(N633,[2]!RUBROS[#All],2,0)</f>
        <v>#REF!</v>
      </c>
      <c r="Q633" s="47" t="str">
        <f t="shared" si="243"/>
        <v>22</v>
      </c>
      <c r="R633" s="47" t="str">
        <f t="shared" si="244"/>
        <v>0-205400</v>
      </c>
      <c r="S633" s="54" t="s">
        <v>42</v>
      </c>
      <c r="T633" s="329" t="s">
        <v>42</v>
      </c>
      <c r="U633" s="326" t="e">
        <f ca="1">_xlfn.XLOOKUP(PAA_4[[#This Row],[ITEM]],[2]Contrato!A:A,[2]Contrato!Q:Q,"",0)</f>
        <v>#NAME?</v>
      </c>
      <c r="V633" s="47" t="s">
        <v>95</v>
      </c>
      <c r="W633" s="64" t="s">
        <v>42</v>
      </c>
      <c r="X633" s="64" t="s">
        <v>42</v>
      </c>
      <c r="Y633" s="55" t="e">
        <f ca="1">_xlfn.XLOOKUP(PAA_4[[#This Row],[ITEM]],[2]Contrato!A:A,[2]Contrato!B:B,"",0)</f>
        <v>#NAME?</v>
      </c>
      <c r="Z633" s="47" t="e">
        <f ca="1">_xlfn.XLOOKUP(PAA_4[[#This Row],[ITEM]],[2]Contrato!A:A,[2]Contrato!G:G,"",0)</f>
        <v>#NAME?</v>
      </c>
      <c r="AA633" s="47" t="e">
        <f ca="1">_xlfn.XLOOKUP(PAA_4[[#This Row],[ITEM]],[2]Contrato!A:A,[2]Contrato!T:T,"",0)</f>
        <v>#NAME?</v>
      </c>
      <c r="AB633" s="55" t="e">
        <f ca="1">+MAX(PAA_4[[#This Row],[Comprometido Contrato]],PAA_4[[#This Row],[Comprometido Bolsa]])</f>
        <v>#NAME?</v>
      </c>
      <c r="AC633" s="55" t="str">
        <f t="shared" ca="1" si="245"/>
        <v/>
      </c>
      <c r="AD633" s="55" t="e">
        <f ca="1">IF(PAA_4[[#This Row],[ESTADO (formulado)]]="NO CONTRATADO",0,MAX(PAA_4[[#This Row],[Pago por Contrato]],PAA_4[[#This Row],[Pago por bolsa]]))</f>
        <v>#NAME?</v>
      </c>
      <c r="AE633" s="55" t="str">
        <f t="shared" ca="1" si="246"/>
        <v/>
      </c>
      <c r="AF633" s="47" t="e">
        <f t="shared" ca="1" si="241"/>
        <v>#NAME?</v>
      </c>
      <c r="AG633" s="47">
        <f t="shared" si="247"/>
        <v>41080101</v>
      </c>
      <c r="AH633" s="54" t="str">
        <f>IF(Q633="22",IF(ISNUMBER(SEARCH("econ",PAA_4[[#This Row],[Actividad3]])),"Económico",IF(ISNUMBER(SEARCH("alim",PAA_4[[#This Row],[Actividad3]])),"Alimentación",IF(ISNUMBER(SEARCH("educ",PAA_4[[#This Row],[Actividad3]])),"Educativo","Técnico"))),0)</f>
        <v>Técnico</v>
      </c>
      <c r="AI633" s="47" t="e" cm="1">
        <f t="array" aca="1" ref="AI633" ca="1">_xlfn.XLOOKUP(PAA_4[[#This Row],[RCP-RUBRO]],[2]!COMPROMISOS_2024[[#All],[concatenado]],[2]!COMPROMISOS_2024[[#All],[Total pagado]],"",0)</f>
        <v>#NAME?</v>
      </c>
      <c r="AJ633" s="56" t="e">
        <f ca="1">IF(PAA_4[[#This Row],[BOLSA]]=0,0,SUMIFS([2]!COMPROMISOS_2024[[#All],[Total pagado]],[2]!COMPROMISOS_2024[[#All],[Bolsa]],PAA_4[[#This Row],[BOLSA]],[2]!COMPROMISOS_2024[[#All],[rubro]],PAA_4[[#This Row],[RCP-RUBRO]]))</f>
        <v>#REF!</v>
      </c>
      <c r="AK633" s="47" t="e" cm="1">
        <f t="array" aca="1" ref="AK633" ca="1">_xlfn.XLOOKUP(PAA_4[[#This Row],[RCP-RUBRO]],[2]!COMPROMISOS_2024[[#All],[concatenado]],[2]!COMPROMISOS_2024[[#All],[Total Comprometido]],"",0)</f>
        <v>#NAME?</v>
      </c>
      <c r="AL633" s="47" t="e">
        <f ca="1">IF(PAA_4[[#This Row],[BOLSA]]=0,0,SUMIFS([2]!COMPROMISOS_2024[[#All],[Total Comprometido]],[2]!COMPROMISOS_2024[[#All],[Bolsa]],PAA_4[[#This Row],[BOLSA]],[2]!COMPROMISOS_2024[[#All],[concatenado]],PAA_4[[#This Row],[RCP-RUBRO]]))</f>
        <v>#REF!</v>
      </c>
    </row>
    <row r="634" spans="1:38" s="19" customFormat="1" ht="31.5" customHeight="1">
      <c r="A634" s="47" t="s">
        <v>82</v>
      </c>
      <c r="B634" s="47" t="s">
        <v>42</v>
      </c>
      <c r="C634" s="47" t="str">
        <f>VLOOKUP(PAA_4[[#This Row],[PROYECTO (formulado)2]],[2]PROYECTOS!$G$1:$L$32,6,0)</f>
        <v>SUBGERENCIA DE ALTOS LOGROS Y DEPORTE ASOCIADO</v>
      </c>
      <c r="D634" s="47" t="str">
        <f>+IF(PAA_4[[#This Row],[UNIDAD DE CONTRATACION (formulado)]]="Subgerencia Administrativa y Financiera","FUNCIONAMIENTO","INVERSIÓN")</f>
        <v>INVERSIÓN</v>
      </c>
      <c r="E634" s="48" t="str">
        <f>VLOOKUP(Q634,[2]PROYECTOS!$G$1:$K$32,5,0)</f>
        <v>APOYO_TÉCNICO_Y_PSICOSOCIAL_A_LOS_DEPORTISTAS_DE_ANTIOQUIA</v>
      </c>
      <c r="F634" s="48">
        <f>VLOOKUP(E634,[2]PROYECTOS!$K$1:$M$32,3,0)</f>
        <v>2021003050069</v>
      </c>
      <c r="G634" s="49" t="s">
        <v>239</v>
      </c>
      <c r="H634" s="49" t="str">
        <f>VLOOKUP(Q634,[2]PROYECTOS!$V$1:$W$32,2,0)</f>
        <v>050069</v>
      </c>
      <c r="I634" s="50">
        <v>1</v>
      </c>
      <c r="J634" s="51" t="s">
        <v>1664</v>
      </c>
      <c r="K634" s="47" t="str">
        <f t="shared" ca="1" si="242"/>
        <v>CONTRATADO</v>
      </c>
      <c r="L634" s="47" t="s">
        <v>42</v>
      </c>
      <c r="M634" s="47" t="s">
        <v>42</v>
      </c>
      <c r="N634" s="52" t="s">
        <v>240</v>
      </c>
      <c r="O634" s="51" t="e">
        <f>VLOOKUP(N634,[2]!RUBROS[#All],3,0)</f>
        <v>#REF!</v>
      </c>
      <c r="P634" s="53" t="e">
        <f>VLOOKUP(N634,[2]!RUBROS[#All],2,0)</f>
        <v>#REF!</v>
      </c>
      <c r="Q634" s="47" t="str">
        <f t="shared" si="243"/>
        <v>22</v>
      </c>
      <c r="R634" s="47" t="str">
        <f t="shared" si="244"/>
        <v>0-205400</v>
      </c>
      <c r="S634" s="54" t="s">
        <v>42</v>
      </c>
      <c r="T634" s="329" t="s">
        <v>42</v>
      </c>
      <c r="U634" s="326" t="e">
        <f ca="1">_xlfn.XLOOKUP(PAA_4[[#This Row],[ITEM]],[2]Contrato!A:A,[2]Contrato!Q:Q,"",0)</f>
        <v>#NAME?</v>
      </c>
      <c r="V634" s="47" t="s">
        <v>95</v>
      </c>
      <c r="W634" s="64" t="s">
        <v>42</v>
      </c>
      <c r="X634" s="64" t="s">
        <v>42</v>
      </c>
      <c r="Y634" s="55" t="e">
        <f ca="1">_xlfn.XLOOKUP(PAA_4[[#This Row],[ITEM]],[2]Contrato!A:A,[2]Contrato!B:B,"",0)</f>
        <v>#NAME?</v>
      </c>
      <c r="Z634" s="47" t="e">
        <f ca="1">_xlfn.XLOOKUP(PAA_4[[#This Row],[ITEM]],[2]Contrato!A:A,[2]Contrato!G:G,"",0)</f>
        <v>#NAME?</v>
      </c>
      <c r="AA634" s="47" t="e">
        <f ca="1">_xlfn.XLOOKUP(PAA_4[[#This Row],[ITEM]],[2]Contrato!A:A,[2]Contrato!T:T,"",0)</f>
        <v>#NAME?</v>
      </c>
      <c r="AB634" s="55" t="e">
        <f ca="1">+MAX(PAA_4[[#This Row],[Comprometido Contrato]],PAA_4[[#This Row],[Comprometido Bolsa]])</f>
        <v>#NAME?</v>
      </c>
      <c r="AC634" s="55" t="str">
        <f t="shared" ca="1" si="245"/>
        <v/>
      </c>
      <c r="AD634" s="55" t="e">
        <f ca="1">IF(PAA_4[[#This Row],[ESTADO (formulado)]]="NO CONTRATADO",0,MAX(PAA_4[[#This Row],[Pago por Contrato]],PAA_4[[#This Row],[Pago por bolsa]]))</f>
        <v>#NAME?</v>
      </c>
      <c r="AE634" s="55" t="str">
        <f t="shared" ca="1" si="246"/>
        <v/>
      </c>
      <c r="AF634" s="47" t="e">
        <f t="shared" ca="1" si="241"/>
        <v>#NAME?</v>
      </c>
      <c r="AG634" s="47">
        <f t="shared" si="247"/>
        <v>41080101</v>
      </c>
      <c r="AH634" s="54" t="str">
        <f>IF(Q634="22",IF(ISNUMBER(SEARCH("econ",PAA_4[[#This Row],[Actividad3]])),"Económico",IF(ISNUMBER(SEARCH("alim",PAA_4[[#This Row],[Actividad3]])),"Alimentación",IF(ISNUMBER(SEARCH("educ",PAA_4[[#This Row],[Actividad3]])),"Educativo","Técnico"))),0)</f>
        <v>Técnico</v>
      </c>
      <c r="AI634" s="47" t="e" cm="1">
        <f t="array" aca="1" ref="AI634" ca="1">_xlfn.XLOOKUP(PAA_4[[#This Row],[RCP-RUBRO]],[2]!COMPROMISOS_2024[[#All],[concatenado]],[2]!COMPROMISOS_2024[[#All],[Total pagado]],"",0)</f>
        <v>#NAME?</v>
      </c>
      <c r="AJ634" s="56" t="e">
        <f ca="1">IF(PAA_4[[#This Row],[BOLSA]]=0,0,SUMIFS([2]!COMPROMISOS_2024[[#All],[Total pagado]],[2]!COMPROMISOS_2024[[#All],[Bolsa]],PAA_4[[#This Row],[BOLSA]],[2]!COMPROMISOS_2024[[#All],[rubro]],PAA_4[[#This Row],[RCP-RUBRO]]))</f>
        <v>#REF!</v>
      </c>
      <c r="AK634" s="47" t="e" cm="1">
        <f t="array" aca="1" ref="AK634" ca="1">_xlfn.XLOOKUP(PAA_4[[#This Row],[RCP-RUBRO]],[2]!COMPROMISOS_2024[[#All],[concatenado]],[2]!COMPROMISOS_2024[[#All],[Total Comprometido]],"",0)</f>
        <v>#NAME?</v>
      </c>
      <c r="AL634" s="47" t="e">
        <f ca="1">IF(PAA_4[[#This Row],[BOLSA]]=0,0,SUMIFS([2]!COMPROMISOS_2024[[#All],[Total Comprometido]],[2]!COMPROMISOS_2024[[#All],[Bolsa]],PAA_4[[#This Row],[BOLSA]],[2]!COMPROMISOS_2024[[#All],[concatenado]],PAA_4[[#This Row],[RCP-RUBRO]]))</f>
        <v>#REF!</v>
      </c>
    </row>
    <row r="635" spans="1:38" s="19" customFormat="1" ht="31.5" customHeight="1">
      <c r="A635" s="47" t="s">
        <v>82</v>
      </c>
      <c r="B635" s="47" t="s">
        <v>42</v>
      </c>
      <c r="C635" s="47" t="str">
        <f>VLOOKUP(PAA_4[[#This Row],[PROYECTO (formulado)2]],[2]PROYECTOS!$G$1:$L$32,6,0)</f>
        <v>SUBGERENCIA DE ALTOS LOGROS Y DEPORTE ASOCIADO</v>
      </c>
      <c r="D635" s="47" t="str">
        <f>+IF(PAA_4[[#This Row],[UNIDAD DE CONTRATACION (formulado)]]="Subgerencia Administrativa y Financiera","FUNCIONAMIENTO","INVERSIÓN")</f>
        <v>INVERSIÓN</v>
      </c>
      <c r="E635" s="48" t="str">
        <f>VLOOKUP(Q635,[2]PROYECTOS!$G$1:$K$32,5,0)</f>
        <v>APOYO_TÉCNICO_Y_PSICOSOCIAL_A_LOS_DEPORTISTAS_DE_ANTIOQUIA</v>
      </c>
      <c r="F635" s="48">
        <f>VLOOKUP(E635,[2]PROYECTOS!$K$1:$M$32,3,0)</f>
        <v>2021003050069</v>
      </c>
      <c r="G635" s="49" t="s">
        <v>241</v>
      </c>
      <c r="H635" s="49" t="str">
        <f>VLOOKUP(Q635,[2]PROYECTOS!$V$1:$W$32,2,0)</f>
        <v>050069</v>
      </c>
      <c r="I635" s="50">
        <v>6000</v>
      </c>
      <c r="J635" s="51" t="s">
        <v>1664</v>
      </c>
      <c r="K635" s="47" t="str">
        <f t="shared" ca="1" si="242"/>
        <v>CONTRATADO</v>
      </c>
      <c r="L635" s="47" t="s">
        <v>42</v>
      </c>
      <c r="M635" s="47" t="s">
        <v>42</v>
      </c>
      <c r="N635" s="52" t="s">
        <v>240</v>
      </c>
      <c r="O635" s="51" t="e">
        <f>VLOOKUP(N635,[2]!RUBROS[#All],3,0)</f>
        <v>#REF!</v>
      </c>
      <c r="P635" s="53" t="e">
        <f>VLOOKUP(N635,[2]!RUBROS[#All],2,0)</f>
        <v>#REF!</v>
      </c>
      <c r="Q635" s="47" t="str">
        <f t="shared" si="243"/>
        <v>22</v>
      </c>
      <c r="R635" s="47" t="str">
        <f t="shared" si="244"/>
        <v>0-205400</v>
      </c>
      <c r="S635" s="54" t="s">
        <v>42</v>
      </c>
      <c r="T635" s="329" t="s">
        <v>42</v>
      </c>
      <c r="U635" s="326" t="e">
        <f ca="1">_xlfn.XLOOKUP(PAA_4[[#This Row],[ITEM]],[2]Contrato!A:A,[2]Contrato!Q:Q,"",0)</f>
        <v>#NAME?</v>
      </c>
      <c r="V635" s="47" t="s">
        <v>95</v>
      </c>
      <c r="W635" s="64" t="s">
        <v>42</v>
      </c>
      <c r="X635" s="64" t="s">
        <v>42</v>
      </c>
      <c r="Y635" s="55" t="e">
        <f ca="1">_xlfn.XLOOKUP(PAA_4[[#This Row],[ITEM]],[2]Contrato!A:A,[2]Contrato!B:B,"",0)</f>
        <v>#NAME?</v>
      </c>
      <c r="Z635" s="47" t="e">
        <f ca="1">_xlfn.XLOOKUP(PAA_4[[#This Row],[ITEM]],[2]Contrato!A:A,[2]Contrato!G:G,"",0)</f>
        <v>#NAME?</v>
      </c>
      <c r="AA635" s="47" t="e">
        <f ca="1">_xlfn.XLOOKUP(PAA_4[[#This Row],[ITEM]],[2]Contrato!A:A,[2]Contrato!T:T,"",0)</f>
        <v>#NAME?</v>
      </c>
      <c r="AB635" s="55" t="e">
        <f ca="1">+MAX(PAA_4[[#This Row],[Comprometido Contrato]],PAA_4[[#This Row],[Comprometido Bolsa]])</f>
        <v>#NAME?</v>
      </c>
      <c r="AC635" s="55" t="str">
        <f t="shared" ca="1" si="245"/>
        <v/>
      </c>
      <c r="AD635" s="55" t="e">
        <f ca="1">IF(PAA_4[[#This Row],[ESTADO (formulado)]]="NO CONTRATADO",0,MAX(PAA_4[[#This Row],[Pago por Contrato]],PAA_4[[#This Row],[Pago por bolsa]]))</f>
        <v>#NAME?</v>
      </c>
      <c r="AE635" s="55" t="str">
        <f t="shared" ca="1" si="246"/>
        <v/>
      </c>
      <c r="AF635" s="47" t="e">
        <f t="shared" ca="1" si="241"/>
        <v>#NAME?</v>
      </c>
      <c r="AG635" s="47">
        <f t="shared" si="247"/>
        <v>41080106</v>
      </c>
      <c r="AH635" s="54" t="str">
        <f>IF(Q635="22",IF(ISNUMBER(SEARCH("econ",PAA_4[[#This Row],[Actividad3]])),"Económico",IF(ISNUMBER(SEARCH("alim",PAA_4[[#This Row],[Actividad3]])),"Alimentación",IF(ISNUMBER(SEARCH("educ",PAA_4[[#This Row],[Actividad3]])),"Educativo","Técnico"))),0)</f>
        <v>Técnico</v>
      </c>
      <c r="AI635" s="47" t="e" cm="1">
        <f t="array" aca="1" ref="AI635" ca="1">_xlfn.XLOOKUP(PAA_4[[#This Row],[RCP-RUBRO]],[2]!COMPROMISOS_2024[[#All],[concatenado]],[2]!COMPROMISOS_2024[[#All],[Total pagado]],"",0)</f>
        <v>#NAME?</v>
      </c>
      <c r="AJ635" s="56" t="e">
        <f ca="1">IF(PAA_4[[#This Row],[BOLSA]]=0,0,SUMIFS([2]!COMPROMISOS_2024[[#All],[Total pagado]],[2]!COMPROMISOS_2024[[#All],[Bolsa]],PAA_4[[#This Row],[BOLSA]],[2]!COMPROMISOS_2024[[#All],[rubro]],PAA_4[[#This Row],[RCP-RUBRO]]))</f>
        <v>#REF!</v>
      </c>
      <c r="AK635" s="47" t="e" cm="1">
        <f t="array" aca="1" ref="AK635" ca="1">_xlfn.XLOOKUP(PAA_4[[#This Row],[RCP-RUBRO]],[2]!COMPROMISOS_2024[[#All],[concatenado]],[2]!COMPROMISOS_2024[[#All],[Total Comprometido]],"",0)</f>
        <v>#NAME?</v>
      </c>
      <c r="AL635" s="47" t="e">
        <f ca="1">IF(PAA_4[[#This Row],[BOLSA]]=0,0,SUMIFS([2]!COMPROMISOS_2024[[#All],[Total Comprometido]],[2]!COMPROMISOS_2024[[#All],[Bolsa]],PAA_4[[#This Row],[BOLSA]],[2]!COMPROMISOS_2024[[#All],[concatenado]],PAA_4[[#This Row],[RCP-RUBRO]]))</f>
        <v>#REF!</v>
      </c>
    </row>
    <row r="636" spans="1:38" s="19" customFormat="1" ht="31.5" customHeight="1">
      <c r="A636" s="47" t="s">
        <v>82</v>
      </c>
      <c r="B636" s="47" t="s">
        <v>42</v>
      </c>
      <c r="C636" s="47" t="str">
        <f>VLOOKUP(PAA_4[[#This Row],[PROYECTO (formulado)2]],[2]PROYECTOS!$G$1:$L$32,6,0)</f>
        <v>SUBGERENCIA DE ALTOS LOGROS Y DEPORTE ASOCIADO</v>
      </c>
      <c r="D636" s="47" t="str">
        <f>+IF(PAA_4[[#This Row],[UNIDAD DE CONTRATACION (formulado)]]="Subgerencia Administrativa y Financiera","FUNCIONAMIENTO","INVERSIÓN")</f>
        <v>INVERSIÓN</v>
      </c>
      <c r="E636" s="48" t="str">
        <f>VLOOKUP(Q636,[2]PROYECTOS!$G$1:$K$32,5,0)</f>
        <v>APOYO_TÉCNICO_Y_PSICOSOCIAL_A_LOS_DEPORTISTAS_DE_ANTIOQUIA</v>
      </c>
      <c r="F636" s="48">
        <f>VLOOKUP(E636,[2]PROYECTOS!$K$1:$M$32,3,0)</f>
        <v>2021003050069</v>
      </c>
      <c r="G636" s="49" t="s">
        <v>239</v>
      </c>
      <c r="H636" s="49" t="str">
        <f>VLOOKUP(Q636,[2]PROYECTOS!$V$1:$W$32,2,0)</f>
        <v>050069</v>
      </c>
      <c r="I636" s="50">
        <v>1</v>
      </c>
      <c r="J636" s="51" t="s">
        <v>1664</v>
      </c>
      <c r="K636" s="47" t="str">
        <f t="shared" ca="1" si="242"/>
        <v>CONTRATADO</v>
      </c>
      <c r="L636" s="47" t="s">
        <v>42</v>
      </c>
      <c r="M636" s="47" t="s">
        <v>42</v>
      </c>
      <c r="N636" s="52" t="s">
        <v>240</v>
      </c>
      <c r="O636" s="51" t="e">
        <f>VLOOKUP(N636,[2]!RUBROS[#All],3,0)</f>
        <v>#REF!</v>
      </c>
      <c r="P636" s="53" t="e">
        <f>VLOOKUP(N636,[2]!RUBROS[#All],2,0)</f>
        <v>#REF!</v>
      </c>
      <c r="Q636" s="47" t="str">
        <f t="shared" si="243"/>
        <v>22</v>
      </c>
      <c r="R636" s="47" t="str">
        <f t="shared" si="244"/>
        <v>0-205400</v>
      </c>
      <c r="S636" s="54" t="s">
        <v>42</v>
      </c>
      <c r="T636" s="329" t="s">
        <v>42</v>
      </c>
      <c r="U636" s="326" t="e">
        <f ca="1">_xlfn.XLOOKUP(PAA_4[[#This Row],[ITEM]],[2]Contrato!A:A,[2]Contrato!Q:Q,"",0)</f>
        <v>#NAME?</v>
      </c>
      <c r="V636" s="47" t="s">
        <v>95</v>
      </c>
      <c r="W636" s="64" t="s">
        <v>42</v>
      </c>
      <c r="X636" s="64" t="s">
        <v>42</v>
      </c>
      <c r="Y636" s="55" t="e">
        <f ca="1">_xlfn.XLOOKUP(PAA_4[[#This Row],[ITEM]],[2]Contrato!A:A,[2]Contrato!B:B,"",0)</f>
        <v>#NAME?</v>
      </c>
      <c r="Z636" s="47" t="e">
        <f ca="1">_xlfn.XLOOKUP(PAA_4[[#This Row],[ITEM]],[2]Contrato!A:A,[2]Contrato!G:G,"",0)</f>
        <v>#NAME?</v>
      </c>
      <c r="AA636" s="47" t="e">
        <f ca="1">_xlfn.XLOOKUP(PAA_4[[#This Row],[ITEM]],[2]Contrato!A:A,[2]Contrato!T:T,"",0)</f>
        <v>#NAME?</v>
      </c>
      <c r="AB636" s="55" t="e">
        <f ca="1">+MAX(PAA_4[[#This Row],[Comprometido Contrato]],PAA_4[[#This Row],[Comprometido Bolsa]])</f>
        <v>#NAME?</v>
      </c>
      <c r="AC636" s="55" t="str">
        <f t="shared" ca="1" si="245"/>
        <v/>
      </c>
      <c r="AD636" s="55" t="e">
        <f ca="1">IF(PAA_4[[#This Row],[ESTADO (formulado)]]="NO CONTRATADO",0,MAX(PAA_4[[#This Row],[Pago por Contrato]],PAA_4[[#This Row],[Pago por bolsa]]))</f>
        <v>#NAME?</v>
      </c>
      <c r="AE636" s="55" t="str">
        <f t="shared" ca="1" si="246"/>
        <v/>
      </c>
      <c r="AF636" s="47" t="e">
        <f t="shared" ref="AF636:AF666" ca="1" si="248">+CONCATENATE(AA636,N636)</f>
        <v>#NAME?</v>
      </c>
      <c r="AG636" s="47">
        <f t="shared" si="247"/>
        <v>41080101</v>
      </c>
      <c r="AH636" s="54" t="str">
        <f>IF(Q636="22",IF(ISNUMBER(SEARCH("econ",PAA_4[[#This Row],[Actividad3]])),"Económico",IF(ISNUMBER(SEARCH("alim",PAA_4[[#This Row],[Actividad3]])),"Alimentación",IF(ISNUMBER(SEARCH("educ",PAA_4[[#This Row],[Actividad3]])),"Educativo","Técnico"))),0)</f>
        <v>Técnico</v>
      </c>
      <c r="AI636" s="47" t="e" cm="1">
        <f t="array" aca="1" ref="AI636" ca="1">_xlfn.XLOOKUP(PAA_4[[#This Row],[RCP-RUBRO]],[2]!COMPROMISOS_2024[[#All],[concatenado]],[2]!COMPROMISOS_2024[[#All],[Total pagado]],"",0)</f>
        <v>#NAME?</v>
      </c>
      <c r="AJ636" s="56" t="e">
        <f ca="1">IF(PAA_4[[#This Row],[BOLSA]]=0,0,SUMIFS([2]!COMPROMISOS_2024[[#All],[Total pagado]],[2]!COMPROMISOS_2024[[#All],[Bolsa]],PAA_4[[#This Row],[BOLSA]],[2]!COMPROMISOS_2024[[#All],[rubro]],PAA_4[[#This Row],[RCP-RUBRO]]))</f>
        <v>#REF!</v>
      </c>
      <c r="AK636" s="47" t="e" cm="1">
        <f t="array" aca="1" ref="AK636" ca="1">_xlfn.XLOOKUP(PAA_4[[#This Row],[RCP-RUBRO]],[2]!COMPROMISOS_2024[[#All],[concatenado]],[2]!COMPROMISOS_2024[[#All],[Total Comprometido]],"",0)</f>
        <v>#NAME?</v>
      </c>
      <c r="AL636" s="47" t="e">
        <f ca="1">IF(PAA_4[[#This Row],[BOLSA]]=0,0,SUMIFS([2]!COMPROMISOS_2024[[#All],[Total Comprometido]],[2]!COMPROMISOS_2024[[#All],[Bolsa]],PAA_4[[#This Row],[BOLSA]],[2]!COMPROMISOS_2024[[#All],[concatenado]],PAA_4[[#This Row],[RCP-RUBRO]]))</f>
        <v>#REF!</v>
      </c>
    </row>
    <row r="637" spans="1:38" s="19" customFormat="1" ht="31.5" customHeight="1">
      <c r="A637" s="47">
        <v>243</v>
      </c>
      <c r="B637" s="47">
        <v>80111600</v>
      </c>
      <c r="C637" s="47" t="str">
        <f>VLOOKUP(PAA_4[[#This Row],[PROYECTO (formulado)2]],[2]PROYECTOS!$G$1:$L$32,6,0)</f>
        <v>SUBGERENCIA DE ALTOS LOGROS Y DEPORTE ASOCIADO</v>
      </c>
      <c r="D637" s="47" t="str">
        <f>+IF(PAA_4[[#This Row],[UNIDAD DE CONTRATACION (formulado)]]="Subgerencia Administrativa y Financiera","FUNCIONAMIENTO","INVERSIÓN")</f>
        <v>INVERSIÓN</v>
      </c>
      <c r="E637" s="48" t="str">
        <f>VLOOKUP(Q637,[2]PROYECTOS!$G$1:$K$32,5,0)</f>
        <v>APOYO_TÉCNICO_Y_PSICOSOCIAL_A_LOS_DEPORTISTAS_DE_ANTIOQUIA</v>
      </c>
      <c r="F637" s="48">
        <f>VLOOKUP(E637,[2]PROYECTOS!$K$1:$M$32,3,0)</f>
        <v>2021003050069</v>
      </c>
      <c r="G637" s="49" t="s">
        <v>239</v>
      </c>
      <c r="H637" s="49" t="str">
        <f>VLOOKUP(Q637,[2]PROYECTOS!$V$1:$W$32,2,0)</f>
        <v>050069</v>
      </c>
      <c r="I637" s="50">
        <f>47452590-9</f>
        <v>47452581</v>
      </c>
      <c r="J637" s="51" t="s">
        <v>1665</v>
      </c>
      <c r="K637" s="47" t="str">
        <f t="shared" ca="1" si="242"/>
        <v>CONTRATADO</v>
      </c>
      <c r="L637" s="47" t="s">
        <v>94</v>
      </c>
      <c r="M637" s="47" t="s">
        <v>1297</v>
      </c>
      <c r="N637" s="52" t="s">
        <v>240</v>
      </c>
      <c r="O637" s="51" t="e">
        <f>VLOOKUP(N637,[2]!RUBROS[#All],3,0)</f>
        <v>#REF!</v>
      </c>
      <c r="P637" s="53" t="e">
        <f>VLOOKUP(N637,[2]!RUBROS[#All],2,0)</f>
        <v>#REF!</v>
      </c>
      <c r="Q637" s="47" t="str">
        <f t="shared" si="243"/>
        <v>22</v>
      </c>
      <c r="R637" s="47" t="str">
        <f t="shared" si="244"/>
        <v>0-205400</v>
      </c>
      <c r="S637" s="54">
        <v>6</v>
      </c>
      <c r="T637" s="59" t="s">
        <v>46</v>
      </c>
      <c r="U637" s="326" t="e">
        <f ca="1">_xlfn.XLOOKUP(PAA_4[[#This Row],[ITEM]],[2]Contrato!A:A,[2]Contrato!Q:Q,"",0)</f>
        <v>#NAME?</v>
      </c>
      <c r="V637" s="47" t="s">
        <v>47</v>
      </c>
      <c r="W637" s="64" t="s">
        <v>137</v>
      </c>
      <c r="X637" s="64" t="s">
        <v>137</v>
      </c>
      <c r="Y637" s="55" t="e">
        <f ca="1">_xlfn.XLOOKUP(PAA_4[[#This Row],[ITEM]],[2]Contrato!A:A,[2]Contrato!B:B,"",0)</f>
        <v>#NAME?</v>
      </c>
      <c r="Z637" s="47" t="e">
        <f ca="1">_xlfn.XLOOKUP(PAA_4[[#This Row],[ITEM]],[2]Contrato!A:A,[2]Contrato!G:G,"",0)</f>
        <v>#NAME?</v>
      </c>
      <c r="AA637" s="47" t="e">
        <f ca="1">_xlfn.XLOOKUP(PAA_4[[#This Row],[ITEM]],[2]Contrato!A:A,[2]Contrato!T:T,"",0)</f>
        <v>#NAME?</v>
      </c>
      <c r="AB637" s="55" t="e">
        <f ca="1">+MAX(PAA_4[[#This Row],[Comprometido Contrato]],PAA_4[[#This Row],[Comprometido Bolsa]])</f>
        <v>#NAME?</v>
      </c>
      <c r="AC637" s="55" t="str">
        <f t="shared" ca="1" si="245"/>
        <v/>
      </c>
      <c r="AD637" s="55" t="e">
        <f ca="1">IF(PAA_4[[#This Row],[ESTADO (formulado)]]="NO CONTRATADO",0,MAX(PAA_4[[#This Row],[Pago por Contrato]],PAA_4[[#This Row],[Pago por bolsa]]))</f>
        <v>#NAME?</v>
      </c>
      <c r="AE637" s="55" t="str">
        <f t="shared" ca="1" si="246"/>
        <v/>
      </c>
      <c r="AF637" s="47" t="e">
        <f t="shared" ca="1" si="248"/>
        <v>#NAME?</v>
      </c>
      <c r="AG637" s="47">
        <f t="shared" si="247"/>
        <v>41080101</v>
      </c>
      <c r="AH637" s="54" t="str">
        <f>IF(Q637="22",IF(ISNUMBER(SEARCH("econ",PAA_4[[#This Row],[Actividad3]])),"Económico",IF(ISNUMBER(SEARCH("alim",PAA_4[[#This Row],[Actividad3]])),"Alimentación",IF(ISNUMBER(SEARCH("educ",PAA_4[[#This Row],[Actividad3]])),"Educativo","Técnico"))),0)</f>
        <v>Técnico</v>
      </c>
      <c r="AI637" s="47" t="e" cm="1">
        <f t="array" aca="1" ref="AI637" ca="1">_xlfn.XLOOKUP(PAA_4[[#This Row],[RCP-RUBRO]],[2]!COMPROMISOS_2024[[#All],[concatenado]],[2]!COMPROMISOS_2024[[#All],[Total pagado]],"",0)</f>
        <v>#NAME?</v>
      </c>
      <c r="AJ637" s="56" t="e">
        <f ca="1">IF(PAA_4[[#This Row],[BOLSA]]=0,0,SUMIFS([2]!COMPROMISOS_2024[[#All],[Total pagado]],[2]!COMPROMISOS_2024[[#All],[Bolsa]],PAA_4[[#This Row],[BOLSA]],[2]!COMPROMISOS_2024[[#All],[rubro]],PAA_4[[#This Row],[RCP-RUBRO]]))</f>
        <v>#REF!</v>
      </c>
      <c r="AK637" s="47" t="e" cm="1">
        <f t="array" aca="1" ref="AK637" ca="1">_xlfn.XLOOKUP(PAA_4[[#This Row],[RCP-RUBRO]],[2]!COMPROMISOS_2024[[#All],[concatenado]],[2]!COMPROMISOS_2024[[#All],[Total Comprometido]],"",0)</f>
        <v>#NAME?</v>
      </c>
      <c r="AL637" s="47" t="e">
        <f ca="1">IF(PAA_4[[#This Row],[BOLSA]]=0,0,SUMIFS([2]!COMPROMISOS_2024[[#All],[Total Comprometido]],[2]!COMPROMISOS_2024[[#All],[Bolsa]],PAA_4[[#This Row],[BOLSA]],[2]!COMPROMISOS_2024[[#All],[concatenado]],PAA_4[[#This Row],[RCP-RUBRO]]))</f>
        <v>#REF!</v>
      </c>
    </row>
    <row r="638" spans="1:38" s="19" customFormat="1" ht="31.5" customHeight="1">
      <c r="A638" s="47">
        <v>244</v>
      </c>
      <c r="B638" s="47">
        <v>80111600</v>
      </c>
      <c r="C638" s="47" t="str">
        <f>VLOOKUP(PAA_4[[#This Row],[PROYECTO (formulado)2]],[2]PROYECTOS!$G$1:$L$32,6,0)</f>
        <v>SUBGERENCIA DE ALTOS LOGROS Y DEPORTE ASOCIADO</v>
      </c>
      <c r="D638" s="47" t="str">
        <f>+IF(PAA_4[[#This Row],[UNIDAD DE CONTRATACION (formulado)]]="Subgerencia Administrativa y Financiera","FUNCIONAMIENTO","INVERSIÓN")</f>
        <v>INVERSIÓN</v>
      </c>
      <c r="E638" s="48" t="str">
        <f>VLOOKUP(Q638,[2]PROYECTOS!$G$1:$K$32,5,0)</f>
        <v>APOYO_TÉCNICO_Y_PSICOSOCIAL_A_LOS_DEPORTISTAS_DE_ANTIOQUIA</v>
      </c>
      <c r="F638" s="48">
        <f>VLOOKUP(E638,[2]PROYECTOS!$K$1:$M$32,3,0)</f>
        <v>2021003050069</v>
      </c>
      <c r="G638" s="49" t="s">
        <v>239</v>
      </c>
      <c r="H638" s="49" t="str">
        <f>VLOOKUP(Q638,[2]PROYECTOS!$V$1:$W$32,2,0)</f>
        <v>050069</v>
      </c>
      <c r="I638" s="50">
        <v>35586894</v>
      </c>
      <c r="J638" s="51" t="s">
        <v>1666</v>
      </c>
      <c r="K638" s="47" t="str">
        <f t="shared" ca="1" si="242"/>
        <v>CONTRATADO</v>
      </c>
      <c r="L638" s="47" t="s">
        <v>94</v>
      </c>
      <c r="M638" s="47" t="s">
        <v>1297</v>
      </c>
      <c r="N638" s="52" t="s">
        <v>240</v>
      </c>
      <c r="O638" s="51" t="e">
        <f>VLOOKUP(N638,[2]!RUBROS[#All],3,0)</f>
        <v>#REF!</v>
      </c>
      <c r="P638" s="53" t="e">
        <f>VLOOKUP(N638,[2]!RUBROS[#All],2,0)</f>
        <v>#REF!</v>
      </c>
      <c r="Q638" s="47" t="str">
        <f t="shared" si="243"/>
        <v>22</v>
      </c>
      <c r="R638" s="47" t="str">
        <f t="shared" si="244"/>
        <v>0-205400</v>
      </c>
      <c r="S638" s="54">
        <v>6</v>
      </c>
      <c r="T638" s="59" t="s">
        <v>46</v>
      </c>
      <c r="U638" s="326" t="e">
        <f ca="1">_xlfn.XLOOKUP(PAA_4[[#This Row],[ITEM]],[2]Contrato!A:A,[2]Contrato!Q:Q,"",0)</f>
        <v>#NAME?</v>
      </c>
      <c r="V638" s="47" t="s">
        <v>47</v>
      </c>
      <c r="W638" s="47" t="s">
        <v>137</v>
      </c>
      <c r="X638" s="47" t="s">
        <v>137</v>
      </c>
      <c r="Y638" s="55" t="e">
        <f ca="1">_xlfn.XLOOKUP(PAA_4[[#This Row],[ITEM]],[2]Contrato!A:A,[2]Contrato!B:B,"",0)</f>
        <v>#NAME?</v>
      </c>
      <c r="Z638" s="47" t="e">
        <f ca="1">_xlfn.XLOOKUP(PAA_4[[#This Row],[ITEM]],[2]Contrato!A:A,[2]Contrato!G:G,"",0)</f>
        <v>#NAME?</v>
      </c>
      <c r="AA638" s="47" t="e">
        <f ca="1">_xlfn.XLOOKUP(PAA_4[[#This Row],[ITEM]],[2]Contrato!A:A,[2]Contrato!T:T,"",0)</f>
        <v>#NAME?</v>
      </c>
      <c r="AB638" s="55" t="e">
        <f ca="1">+MAX(PAA_4[[#This Row],[Comprometido Contrato]],PAA_4[[#This Row],[Comprometido Bolsa]])</f>
        <v>#NAME?</v>
      </c>
      <c r="AC638" s="55" t="str">
        <f t="shared" ca="1" si="245"/>
        <v/>
      </c>
      <c r="AD638" s="55" t="e">
        <f ca="1">IF(PAA_4[[#This Row],[ESTADO (formulado)]]="NO CONTRATADO",0,MAX(PAA_4[[#This Row],[Pago por Contrato]],PAA_4[[#This Row],[Pago por bolsa]]))</f>
        <v>#NAME?</v>
      </c>
      <c r="AE638" s="55" t="str">
        <f t="shared" ca="1" si="246"/>
        <v/>
      </c>
      <c r="AF638" s="47" t="e">
        <f t="shared" ca="1" si="248"/>
        <v>#NAME?</v>
      </c>
      <c r="AG638" s="47">
        <f t="shared" si="247"/>
        <v>41080101</v>
      </c>
      <c r="AH638" s="54" t="str">
        <f>IF(Q638="22",IF(ISNUMBER(SEARCH("econ",PAA_4[[#This Row],[Actividad3]])),"Económico",IF(ISNUMBER(SEARCH("alim",PAA_4[[#This Row],[Actividad3]])),"Alimentación",IF(ISNUMBER(SEARCH("educ",PAA_4[[#This Row],[Actividad3]])),"Educativo","Técnico"))),0)</f>
        <v>Técnico</v>
      </c>
      <c r="AI638" s="47" t="e" cm="1">
        <f t="array" aca="1" ref="AI638" ca="1">_xlfn.XLOOKUP(PAA_4[[#This Row],[RCP-RUBRO]],[2]!COMPROMISOS_2024[[#All],[concatenado]],[2]!COMPROMISOS_2024[[#All],[Total pagado]],"",0)</f>
        <v>#NAME?</v>
      </c>
      <c r="AJ638" s="56" t="e">
        <f ca="1">IF(PAA_4[[#This Row],[BOLSA]]=0,0,SUMIFS([2]!COMPROMISOS_2024[[#All],[Total pagado]],[2]!COMPROMISOS_2024[[#All],[Bolsa]],PAA_4[[#This Row],[BOLSA]],[2]!COMPROMISOS_2024[[#All],[rubro]],PAA_4[[#This Row],[RCP-RUBRO]]))</f>
        <v>#REF!</v>
      </c>
      <c r="AK638" s="47" t="e" cm="1">
        <f t="array" aca="1" ref="AK638" ca="1">_xlfn.XLOOKUP(PAA_4[[#This Row],[RCP-RUBRO]],[2]!COMPROMISOS_2024[[#All],[concatenado]],[2]!COMPROMISOS_2024[[#All],[Total Comprometido]],"",0)</f>
        <v>#NAME?</v>
      </c>
      <c r="AL638" s="47" t="e">
        <f ca="1">IF(PAA_4[[#This Row],[BOLSA]]=0,0,SUMIFS([2]!COMPROMISOS_2024[[#All],[Total Comprometido]],[2]!COMPROMISOS_2024[[#All],[Bolsa]],PAA_4[[#This Row],[BOLSA]],[2]!COMPROMISOS_2024[[#All],[concatenado]],PAA_4[[#This Row],[RCP-RUBRO]]))</f>
        <v>#REF!</v>
      </c>
    </row>
    <row r="639" spans="1:38" s="19" customFormat="1" ht="31.5" customHeight="1">
      <c r="A639" s="47">
        <v>245</v>
      </c>
      <c r="B639" s="47">
        <v>80111600</v>
      </c>
      <c r="C639" s="47" t="str">
        <f>VLOOKUP(PAA_4[[#This Row],[PROYECTO (formulado)2]],[2]PROYECTOS!$G$1:$L$32,6,0)</f>
        <v>SUBGERENCIA DE ALTOS LOGROS Y DEPORTE ASOCIADO</v>
      </c>
      <c r="D639" s="47" t="str">
        <f>+IF(PAA_4[[#This Row],[UNIDAD DE CONTRATACION (formulado)]]="Subgerencia Administrativa y Financiera","FUNCIONAMIENTO","INVERSIÓN")</f>
        <v>INVERSIÓN</v>
      </c>
      <c r="E639" s="48" t="str">
        <f>VLOOKUP(Q639,[2]PROYECTOS!$G$1:$K$32,5,0)</f>
        <v>APOYO_TÉCNICO_Y_PSICOSOCIAL_A_LOS_DEPORTISTAS_DE_ANTIOQUIA</v>
      </c>
      <c r="F639" s="48">
        <f>VLOOKUP(E639,[2]PROYECTOS!$K$1:$M$32,3,0)</f>
        <v>2021003050069</v>
      </c>
      <c r="G639" s="49" t="s">
        <v>239</v>
      </c>
      <c r="H639" s="49" t="str">
        <f>VLOOKUP(Q639,[2]PROYECTOS!$V$1:$W$32,2,0)</f>
        <v>050069</v>
      </c>
      <c r="I639" s="50">
        <v>35586894</v>
      </c>
      <c r="J639" s="51" t="s">
        <v>1667</v>
      </c>
      <c r="K639" s="47" t="str">
        <f t="shared" ca="1" si="242"/>
        <v>CONTRATADO</v>
      </c>
      <c r="L639" s="47" t="s">
        <v>94</v>
      </c>
      <c r="M639" s="47" t="s">
        <v>1297</v>
      </c>
      <c r="N639" s="52" t="s">
        <v>240</v>
      </c>
      <c r="O639" s="51" t="e">
        <f>VLOOKUP(N639,[2]!RUBROS[#All],3,0)</f>
        <v>#REF!</v>
      </c>
      <c r="P639" s="53" t="e">
        <f>VLOOKUP(N639,[2]!RUBROS[#All],2,0)</f>
        <v>#REF!</v>
      </c>
      <c r="Q639" s="47" t="str">
        <f t="shared" si="243"/>
        <v>22</v>
      </c>
      <c r="R639" s="47" t="str">
        <f t="shared" si="244"/>
        <v>0-205400</v>
      </c>
      <c r="S639" s="54">
        <v>6</v>
      </c>
      <c r="T639" s="59" t="s">
        <v>46</v>
      </c>
      <c r="U639" s="326" t="e">
        <f ca="1">_xlfn.XLOOKUP(PAA_4[[#This Row],[ITEM]],[2]Contrato!A:A,[2]Contrato!Q:Q,"",0)</f>
        <v>#NAME?</v>
      </c>
      <c r="V639" s="47" t="s">
        <v>47</v>
      </c>
      <c r="W639" s="47" t="s">
        <v>137</v>
      </c>
      <c r="X639" s="47" t="s">
        <v>137</v>
      </c>
      <c r="Y639" s="55" t="e">
        <f ca="1">_xlfn.XLOOKUP(PAA_4[[#This Row],[ITEM]],[2]Contrato!A:A,[2]Contrato!B:B,"",0)</f>
        <v>#NAME?</v>
      </c>
      <c r="Z639" s="47" t="e">
        <f ca="1">_xlfn.XLOOKUP(PAA_4[[#This Row],[ITEM]],[2]Contrato!A:A,[2]Contrato!G:G,"",0)</f>
        <v>#NAME?</v>
      </c>
      <c r="AA639" s="47" t="e">
        <f ca="1">_xlfn.XLOOKUP(PAA_4[[#This Row],[ITEM]],[2]Contrato!A:A,[2]Contrato!T:T,"",0)</f>
        <v>#NAME?</v>
      </c>
      <c r="AB639" s="55" t="e">
        <f ca="1">+MAX(PAA_4[[#This Row],[Comprometido Contrato]],PAA_4[[#This Row],[Comprometido Bolsa]])</f>
        <v>#NAME?</v>
      </c>
      <c r="AC639" s="55" t="str">
        <f t="shared" ca="1" si="245"/>
        <v/>
      </c>
      <c r="AD639" s="55" t="e">
        <f ca="1">IF(PAA_4[[#This Row],[ESTADO (formulado)]]="NO CONTRATADO",0,MAX(PAA_4[[#This Row],[Pago por Contrato]],PAA_4[[#This Row],[Pago por bolsa]]))</f>
        <v>#NAME?</v>
      </c>
      <c r="AE639" s="55" t="str">
        <f t="shared" ca="1" si="246"/>
        <v/>
      </c>
      <c r="AF639" s="47" t="e">
        <f t="shared" ca="1" si="248"/>
        <v>#NAME?</v>
      </c>
      <c r="AG639" s="47">
        <f t="shared" si="247"/>
        <v>41080101</v>
      </c>
      <c r="AH639" s="54" t="str">
        <f>IF(Q639="22",IF(ISNUMBER(SEARCH("econ",PAA_4[[#This Row],[Actividad3]])),"Económico",IF(ISNUMBER(SEARCH("alim",PAA_4[[#This Row],[Actividad3]])),"Alimentación",IF(ISNUMBER(SEARCH("educ",PAA_4[[#This Row],[Actividad3]])),"Educativo","Técnico"))),0)</f>
        <v>Técnico</v>
      </c>
      <c r="AI639" s="47" t="e" cm="1">
        <f t="array" aca="1" ref="AI639" ca="1">_xlfn.XLOOKUP(PAA_4[[#This Row],[RCP-RUBRO]],[2]!COMPROMISOS_2024[[#All],[concatenado]],[2]!COMPROMISOS_2024[[#All],[Total pagado]],"",0)</f>
        <v>#NAME?</v>
      </c>
      <c r="AJ639" s="56" t="e">
        <f ca="1">IF(PAA_4[[#This Row],[BOLSA]]=0,0,SUMIFS([2]!COMPROMISOS_2024[[#All],[Total pagado]],[2]!COMPROMISOS_2024[[#All],[Bolsa]],PAA_4[[#This Row],[BOLSA]],[2]!COMPROMISOS_2024[[#All],[rubro]],PAA_4[[#This Row],[RCP-RUBRO]]))</f>
        <v>#REF!</v>
      </c>
      <c r="AK639" s="47" t="e" cm="1">
        <f t="array" aca="1" ref="AK639" ca="1">_xlfn.XLOOKUP(PAA_4[[#This Row],[RCP-RUBRO]],[2]!COMPROMISOS_2024[[#All],[concatenado]],[2]!COMPROMISOS_2024[[#All],[Total Comprometido]],"",0)</f>
        <v>#NAME?</v>
      </c>
      <c r="AL639" s="47" t="e">
        <f ca="1">IF(PAA_4[[#This Row],[BOLSA]]=0,0,SUMIFS([2]!COMPROMISOS_2024[[#All],[Total Comprometido]],[2]!COMPROMISOS_2024[[#All],[Bolsa]],PAA_4[[#This Row],[BOLSA]],[2]!COMPROMISOS_2024[[#All],[concatenado]],PAA_4[[#This Row],[RCP-RUBRO]]))</f>
        <v>#REF!</v>
      </c>
    </row>
    <row r="640" spans="1:38" s="19" customFormat="1" ht="31.5" customHeight="1">
      <c r="A640" s="47">
        <v>246</v>
      </c>
      <c r="B640" s="47">
        <v>80111600</v>
      </c>
      <c r="C640" s="47" t="str">
        <f>VLOOKUP(PAA_4[[#This Row],[PROYECTO (formulado)2]],[2]PROYECTOS!$G$1:$L$32,6,0)</f>
        <v>SUBGERENCIA DE ALTOS LOGROS Y DEPORTE ASOCIADO</v>
      </c>
      <c r="D640" s="47" t="str">
        <f>+IF(PAA_4[[#This Row],[UNIDAD DE CONTRATACION (formulado)]]="Subgerencia Administrativa y Financiera","FUNCIONAMIENTO","INVERSIÓN")</f>
        <v>INVERSIÓN</v>
      </c>
      <c r="E640" s="48" t="str">
        <f>VLOOKUP(Q640,[2]PROYECTOS!$G$1:$K$32,5,0)</f>
        <v>APOYO_TÉCNICO_Y_PSICOSOCIAL_A_LOS_DEPORTISTAS_DE_ANTIOQUIA</v>
      </c>
      <c r="F640" s="48">
        <f>VLOOKUP(E640,[2]PROYECTOS!$K$1:$M$32,3,0)</f>
        <v>2021003050069</v>
      </c>
      <c r="G640" s="49" t="s">
        <v>239</v>
      </c>
      <c r="H640" s="49" t="str">
        <f>VLOOKUP(Q640,[2]PROYECTOS!$V$1:$W$32,2,0)</f>
        <v>050069</v>
      </c>
      <c r="I640" s="50">
        <v>41521014</v>
      </c>
      <c r="J640" s="51" t="s">
        <v>1668</v>
      </c>
      <c r="K640" s="47" t="str">
        <f t="shared" ca="1" si="242"/>
        <v>CONTRATADO</v>
      </c>
      <c r="L640" s="47" t="s">
        <v>94</v>
      </c>
      <c r="M640" s="47" t="s">
        <v>1297</v>
      </c>
      <c r="N640" s="52" t="s">
        <v>240</v>
      </c>
      <c r="O640" s="51" t="e">
        <f>VLOOKUP(N640,[2]!RUBROS[#All],3,0)</f>
        <v>#REF!</v>
      </c>
      <c r="P640" s="53" t="e">
        <f>VLOOKUP(N640,[2]!RUBROS[#All],2,0)</f>
        <v>#REF!</v>
      </c>
      <c r="Q640" s="47" t="str">
        <f t="shared" si="243"/>
        <v>22</v>
      </c>
      <c r="R640" s="47" t="str">
        <f t="shared" si="244"/>
        <v>0-205400</v>
      </c>
      <c r="S640" s="54">
        <v>6</v>
      </c>
      <c r="T640" s="59" t="s">
        <v>46</v>
      </c>
      <c r="U640" s="326" t="e">
        <f ca="1">_xlfn.XLOOKUP(PAA_4[[#This Row],[ITEM]],[2]Contrato!A:A,[2]Contrato!Q:Q,"",0)</f>
        <v>#NAME?</v>
      </c>
      <c r="V640" s="47" t="s">
        <v>47</v>
      </c>
      <c r="W640" s="64" t="s">
        <v>137</v>
      </c>
      <c r="X640" s="64" t="s">
        <v>137</v>
      </c>
      <c r="Y640" s="55" t="e">
        <f ca="1">_xlfn.XLOOKUP(PAA_4[[#This Row],[ITEM]],[2]Contrato!A:A,[2]Contrato!B:B,"",0)</f>
        <v>#NAME?</v>
      </c>
      <c r="Z640" s="47" t="e">
        <f ca="1">_xlfn.XLOOKUP(PAA_4[[#This Row],[ITEM]],[2]Contrato!A:A,[2]Contrato!G:G,"",0)</f>
        <v>#NAME?</v>
      </c>
      <c r="AA640" s="47" t="e">
        <f ca="1">_xlfn.XLOOKUP(PAA_4[[#This Row],[ITEM]],[2]Contrato!A:A,[2]Contrato!T:T,"",0)</f>
        <v>#NAME?</v>
      </c>
      <c r="AB640" s="55" t="e">
        <f ca="1">+MAX(PAA_4[[#This Row],[Comprometido Contrato]],PAA_4[[#This Row],[Comprometido Bolsa]])</f>
        <v>#NAME?</v>
      </c>
      <c r="AC640" s="55" t="str">
        <f t="shared" ca="1" si="245"/>
        <v/>
      </c>
      <c r="AD640" s="55" t="e">
        <f ca="1">IF(PAA_4[[#This Row],[ESTADO (formulado)]]="NO CONTRATADO",0,MAX(PAA_4[[#This Row],[Pago por Contrato]],PAA_4[[#This Row],[Pago por bolsa]]))</f>
        <v>#NAME?</v>
      </c>
      <c r="AE640" s="55" t="str">
        <f t="shared" ca="1" si="246"/>
        <v/>
      </c>
      <c r="AF640" s="47" t="e">
        <f t="shared" ca="1" si="248"/>
        <v>#NAME?</v>
      </c>
      <c r="AG640" s="47">
        <f t="shared" si="247"/>
        <v>41080101</v>
      </c>
      <c r="AH640" s="54" t="str">
        <f>IF(Q640="22",IF(ISNUMBER(SEARCH("econ",PAA_4[[#This Row],[Actividad3]])),"Económico",IF(ISNUMBER(SEARCH("alim",PAA_4[[#This Row],[Actividad3]])),"Alimentación",IF(ISNUMBER(SEARCH("educ",PAA_4[[#This Row],[Actividad3]])),"Educativo","Técnico"))),0)</f>
        <v>Técnico</v>
      </c>
      <c r="AI640" s="47" t="e" cm="1">
        <f t="array" aca="1" ref="AI640" ca="1">_xlfn.XLOOKUP(PAA_4[[#This Row],[RCP-RUBRO]],[2]!COMPROMISOS_2024[[#All],[concatenado]],[2]!COMPROMISOS_2024[[#All],[Total pagado]],"",0)</f>
        <v>#NAME?</v>
      </c>
      <c r="AJ640" s="56" t="e">
        <f ca="1">IF(PAA_4[[#This Row],[BOLSA]]=0,0,SUMIFS([2]!COMPROMISOS_2024[[#All],[Total pagado]],[2]!COMPROMISOS_2024[[#All],[Bolsa]],PAA_4[[#This Row],[BOLSA]],[2]!COMPROMISOS_2024[[#All],[rubro]],PAA_4[[#This Row],[RCP-RUBRO]]))</f>
        <v>#REF!</v>
      </c>
      <c r="AK640" s="47" t="e" cm="1">
        <f t="array" aca="1" ref="AK640" ca="1">_xlfn.XLOOKUP(PAA_4[[#This Row],[RCP-RUBRO]],[2]!COMPROMISOS_2024[[#All],[concatenado]],[2]!COMPROMISOS_2024[[#All],[Total Comprometido]],"",0)</f>
        <v>#NAME?</v>
      </c>
      <c r="AL640" s="47" t="e">
        <f ca="1">IF(PAA_4[[#This Row],[BOLSA]]=0,0,SUMIFS([2]!COMPROMISOS_2024[[#All],[Total Comprometido]],[2]!COMPROMISOS_2024[[#All],[Bolsa]],PAA_4[[#This Row],[BOLSA]],[2]!COMPROMISOS_2024[[#All],[concatenado]],PAA_4[[#This Row],[RCP-RUBRO]]))</f>
        <v>#REF!</v>
      </c>
    </row>
    <row r="641" spans="1:38" s="19" customFormat="1" ht="31.5" customHeight="1">
      <c r="A641" s="47">
        <v>247</v>
      </c>
      <c r="B641" s="47">
        <v>80111600</v>
      </c>
      <c r="C641" s="47" t="str">
        <f>VLOOKUP(PAA_4[[#This Row],[PROYECTO (formulado)2]],[2]PROYECTOS!$G$1:$L$32,6,0)</f>
        <v>SUBGERENCIA DE ALTOS LOGROS Y DEPORTE ASOCIADO</v>
      </c>
      <c r="D641" s="47" t="str">
        <f>+IF(PAA_4[[#This Row],[UNIDAD DE CONTRATACION (formulado)]]="Subgerencia Administrativa y Financiera","FUNCIONAMIENTO","INVERSIÓN")</f>
        <v>INVERSIÓN</v>
      </c>
      <c r="E641" s="48" t="str">
        <f>VLOOKUP(Q641,[2]PROYECTOS!$G$1:$K$32,5,0)</f>
        <v>APOYO_TÉCNICO_Y_PSICOSOCIAL_A_LOS_DEPORTISTAS_DE_ANTIOQUIA</v>
      </c>
      <c r="F641" s="48">
        <f>VLOOKUP(E641,[2]PROYECTOS!$K$1:$M$32,3,0)</f>
        <v>2021003050069</v>
      </c>
      <c r="G641" s="49" t="s">
        <v>239</v>
      </c>
      <c r="H641" s="49" t="str">
        <f>VLOOKUP(Q641,[2]PROYECTOS!$V$1:$W$32,2,0)</f>
        <v>050069</v>
      </c>
      <c r="I641" s="50">
        <v>15449052</v>
      </c>
      <c r="J641" s="51" t="s">
        <v>1669</v>
      </c>
      <c r="K641" s="47" t="str">
        <f t="shared" ca="1" si="242"/>
        <v>CONTRATADO</v>
      </c>
      <c r="L641" s="47" t="s">
        <v>94</v>
      </c>
      <c r="M641" s="47" t="s">
        <v>1297</v>
      </c>
      <c r="N641" s="52" t="s">
        <v>240</v>
      </c>
      <c r="O641" s="51" t="e">
        <f>VLOOKUP(N641,[2]!RUBROS[#All],3,0)</f>
        <v>#REF!</v>
      </c>
      <c r="P641" s="53" t="e">
        <f>VLOOKUP(N641,[2]!RUBROS[#All],2,0)</f>
        <v>#REF!</v>
      </c>
      <c r="Q641" s="47" t="str">
        <f t="shared" si="243"/>
        <v>22</v>
      </c>
      <c r="R641" s="47" t="str">
        <f t="shared" si="244"/>
        <v>0-205400</v>
      </c>
      <c r="S641" s="54">
        <v>6</v>
      </c>
      <c r="T641" s="59" t="s">
        <v>46</v>
      </c>
      <c r="U641" s="326" t="e">
        <f ca="1">_xlfn.XLOOKUP(PAA_4[[#This Row],[ITEM]],[2]Contrato!A:A,[2]Contrato!Q:Q,"",0)</f>
        <v>#NAME?</v>
      </c>
      <c r="V641" s="47" t="s">
        <v>47</v>
      </c>
      <c r="W641" s="64" t="s">
        <v>137</v>
      </c>
      <c r="X641" s="64" t="s">
        <v>137</v>
      </c>
      <c r="Y641" s="55" t="e">
        <f ca="1">_xlfn.XLOOKUP(PAA_4[[#This Row],[ITEM]],[2]Contrato!A:A,[2]Contrato!B:B,"",0)</f>
        <v>#NAME?</v>
      </c>
      <c r="Z641" s="47" t="e">
        <f ca="1">_xlfn.XLOOKUP(PAA_4[[#This Row],[ITEM]],[2]Contrato!A:A,[2]Contrato!G:G,"",0)</f>
        <v>#NAME?</v>
      </c>
      <c r="AA641" s="47" t="e">
        <f ca="1">_xlfn.XLOOKUP(PAA_4[[#This Row],[ITEM]],[2]Contrato!A:A,[2]Contrato!T:T,"",0)</f>
        <v>#NAME?</v>
      </c>
      <c r="AB641" s="55" t="e">
        <f ca="1">+MAX(PAA_4[[#This Row],[Comprometido Contrato]],PAA_4[[#This Row],[Comprometido Bolsa]])</f>
        <v>#NAME?</v>
      </c>
      <c r="AC641" s="55" t="str">
        <f t="shared" ca="1" si="245"/>
        <v/>
      </c>
      <c r="AD641" s="55" t="e">
        <f ca="1">IF(PAA_4[[#This Row],[ESTADO (formulado)]]="NO CONTRATADO",0,MAX(PAA_4[[#This Row],[Pago por Contrato]],PAA_4[[#This Row],[Pago por bolsa]]))</f>
        <v>#NAME?</v>
      </c>
      <c r="AE641" s="55" t="str">
        <f t="shared" ca="1" si="246"/>
        <v/>
      </c>
      <c r="AF641" s="47" t="e">
        <f t="shared" ca="1" si="248"/>
        <v>#NAME?</v>
      </c>
      <c r="AG641" s="47">
        <f t="shared" si="247"/>
        <v>41080101</v>
      </c>
      <c r="AH641" s="54" t="str">
        <f>IF(Q641="22",IF(ISNUMBER(SEARCH("econ",PAA_4[[#This Row],[Actividad3]])),"Económico",IF(ISNUMBER(SEARCH("alim",PAA_4[[#This Row],[Actividad3]])),"Alimentación",IF(ISNUMBER(SEARCH("educ",PAA_4[[#This Row],[Actividad3]])),"Educativo","Técnico"))),0)</f>
        <v>Técnico</v>
      </c>
      <c r="AI641" s="47" t="e" cm="1">
        <f t="array" aca="1" ref="AI641" ca="1">_xlfn.XLOOKUP(PAA_4[[#This Row],[RCP-RUBRO]],[2]!COMPROMISOS_2024[[#All],[concatenado]],[2]!COMPROMISOS_2024[[#All],[Total pagado]],"",0)</f>
        <v>#NAME?</v>
      </c>
      <c r="AJ641" s="56" t="e">
        <f ca="1">IF(PAA_4[[#This Row],[BOLSA]]=0,0,SUMIFS([2]!COMPROMISOS_2024[[#All],[Total pagado]],[2]!COMPROMISOS_2024[[#All],[Bolsa]],PAA_4[[#This Row],[BOLSA]],[2]!COMPROMISOS_2024[[#All],[rubro]],PAA_4[[#This Row],[RCP-RUBRO]]))</f>
        <v>#REF!</v>
      </c>
      <c r="AK641" s="47" t="e" cm="1">
        <f t="array" aca="1" ref="AK641" ca="1">_xlfn.XLOOKUP(PAA_4[[#This Row],[RCP-RUBRO]],[2]!COMPROMISOS_2024[[#All],[concatenado]],[2]!COMPROMISOS_2024[[#All],[Total Comprometido]],"",0)</f>
        <v>#NAME?</v>
      </c>
      <c r="AL641" s="47" t="e">
        <f ca="1">IF(PAA_4[[#This Row],[BOLSA]]=0,0,SUMIFS([2]!COMPROMISOS_2024[[#All],[Total Comprometido]],[2]!COMPROMISOS_2024[[#All],[Bolsa]],PAA_4[[#This Row],[BOLSA]],[2]!COMPROMISOS_2024[[#All],[concatenado]],PAA_4[[#This Row],[RCP-RUBRO]]))</f>
        <v>#REF!</v>
      </c>
    </row>
    <row r="642" spans="1:38" s="19" customFormat="1" ht="31.5" customHeight="1">
      <c r="A642" s="47">
        <v>248</v>
      </c>
      <c r="B642" s="47">
        <v>80111600</v>
      </c>
      <c r="C642" s="47" t="str">
        <f>VLOOKUP(PAA_4[[#This Row],[PROYECTO (formulado)2]],[2]PROYECTOS!$G$1:$L$32,6,0)</f>
        <v>SUBGERENCIA DE ALTOS LOGROS Y DEPORTE ASOCIADO</v>
      </c>
      <c r="D642" s="47" t="str">
        <f>+IF(PAA_4[[#This Row],[UNIDAD DE CONTRATACION (formulado)]]="Subgerencia Administrativa y Financiera","FUNCIONAMIENTO","INVERSIÓN")</f>
        <v>INVERSIÓN</v>
      </c>
      <c r="E642" s="48" t="str">
        <f>VLOOKUP(Q642,[2]PROYECTOS!$G$1:$K$32,5,0)</f>
        <v>APOYO_TÉCNICO_Y_PSICOSOCIAL_A_LOS_DEPORTISTAS_DE_ANTIOQUIA</v>
      </c>
      <c r="F642" s="48">
        <f>VLOOKUP(E642,[2]PROYECTOS!$K$1:$M$32,3,0)</f>
        <v>2021003050069</v>
      </c>
      <c r="G642" s="49" t="s">
        <v>239</v>
      </c>
      <c r="H642" s="49" t="str">
        <f>VLOOKUP(Q642,[2]PROYECTOS!$V$1:$W$32,2,0)</f>
        <v>050069</v>
      </c>
      <c r="I642" s="50">
        <v>35586894</v>
      </c>
      <c r="J642" s="51" t="s">
        <v>1670</v>
      </c>
      <c r="K642" s="47" t="str">
        <f t="shared" ca="1" si="242"/>
        <v>CONTRATADO</v>
      </c>
      <c r="L642" s="47" t="s">
        <v>94</v>
      </c>
      <c r="M642" s="47" t="s">
        <v>1297</v>
      </c>
      <c r="N642" s="52" t="s">
        <v>240</v>
      </c>
      <c r="O642" s="51" t="e">
        <f>VLOOKUP(N642,[2]!RUBROS[#All],3,0)</f>
        <v>#REF!</v>
      </c>
      <c r="P642" s="53" t="e">
        <f>VLOOKUP(N642,[2]!RUBROS[#All],2,0)</f>
        <v>#REF!</v>
      </c>
      <c r="Q642" s="47" t="str">
        <f t="shared" si="243"/>
        <v>22</v>
      </c>
      <c r="R642" s="47" t="str">
        <f t="shared" si="244"/>
        <v>0-205400</v>
      </c>
      <c r="S642" s="54">
        <v>6</v>
      </c>
      <c r="T642" s="59" t="s">
        <v>46</v>
      </c>
      <c r="U642" s="326" t="e">
        <f ca="1">_xlfn.XLOOKUP(PAA_4[[#This Row],[ITEM]],[2]Contrato!A:A,[2]Contrato!Q:Q,"",0)</f>
        <v>#NAME?</v>
      </c>
      <c r="V642" s="47" t="s">
        <v>47</v>
      </c>
      <c r="W642" s="47" t="s">
        <v>137</v>
      </c>
      <c r="X642" s="47" t="s">
        <v>137</v>
      </c>
      <c r="Y642" s="55" t="e">
        <f ca="1">_xlfn.XLOOKUP(PAA_4[[#This Row],[ITEM]],[2]Contrato!A:A,[2]Contrato!B:B,"",0)</f>
        <v>#NAME?</v>
      </c>
      <c r="Z642" s="47" t="e">
        <f ca="1">_xlfn.XLOOKUP(PAA_4[[#This Row],[ITEM]],[2]Contrato!A:A,[2]Contrato!G:G,"",0)</f>
        <v>#NAME?</v>
      </c>
      <c r="AA642" s="47" t="e">
        <f ca="1">_xlfn.XLOOKUP(PAA_4[[#This Row],[ITEM]],[2]Contrato!A:A,[2]Contrato!T:T,"",0)</f>
        <v>#NAME?</v>
      </c>
      <c r="AB642" s="55" t="e">
        <f ca="1">+MAX(PAA_4[[#This Row],[Comprometido Contrato]],PAA_4[[#This Row],[Comprometido Bolsa]])</f>
        <v>#NAME?</v>
      </c>
      <c r="AC642" s="55" t="str">
        <f t="shared" ca="1" si="245"/>
        <v/>
      </c>
      <c r="AD642" s="55" t="e">
        <f ca="1">IF(PAA_4[[#This Row],[ESTADO (formulado)]]="NO CONTRATADO",0,MAX(PAA_4[[#This Row],[Pago por Contrato]],PAA_4[[#This Row],[Pago por bolsa]]))</f>
        <v>#NAME?</v>
      </c>
      <c r="AE642" s="55" t="str">
        <f t="shared" ca="1" si="246"/>
        <v/>
      </c>
      <c r="AF642" s="47" t="e">
        <f t="shared" ca="1" si="248"/>
        <v>#NAME?</v>
      </c>
      <c r="AG642" s="47">
        <f t="shared" si="247"/>
        <v>41080101</v>
      </c>
      <c r="AH642" s="54" t="str">
        <f>IF(Q642="22",IF(ISNUMBER(SEARCH("econ",PAA_4[[#This Row],[Actividad3]])),"Económico",IF(ISNUMBER(SEARCH("alim",PAA_4[[#This Row],[Actividad3]])),"Alimentación",IF(ISNUMBER(SEARCH("educ",PAA_4[[#This Row],[Actividad3]])),"Educativo","Técnico"))),0)</f>
        <v>Técnico</v>
      </c>
      <c r="AI642" s="47" t="e" cm="1">
        <f t="array" aca="1" ref="AI642" ca="1">_xlfn.XLOOKUP(PAA_4[[#This Row],[RCP-RUBRO]],[2]!COMPROMISOS_2024[[#All],[concatenado]],[2]!COMPROMISOS_2024[[#All],[Total pagado]],"",0)</f>
        <v>#NAME?</v>
      </c>
      <c r="AJ642" s="56" t="e">
        <f ca="1">IF(PAA_4[[#This Row],[BOLSA]]=0,0,SUMIFS([2]!COMPROMISOS_2024[[#All],[Total pagado]],[2]!COMPROMISOS_2024[[#All],[Bolsa]],PAA_4[[#This Row],[BOLSA]],[2]!COMPROMISOS_2024[[#All],[rubro]],PAA_4[[#This Row],[RCP-RUBRO]]))</f>
        <v>#REF!</v>
      </c>
      <c r="AK642" s="47" t="e" cm="1">
        <f t="array" aca="1" ref="AK642" ca="1">_xlfn.XLOOKUP(PAA_4[[#This Row],[RCP-RUBRO]],[2]!COMPROMISOS_2024[[#All],[concatenado]],[2]!COMPROMISOS_2024[[#All],[Total Comprometido]],"",0)</f>
        <v>#NAME?</v>
      </c>
      <c r="AL642" s="47" t="e">
        <f ca="1">IF(PAA_4[[#This Row],[BOLSA]]=0,0,SUMIFS([2]!COMPROMISOS_2024[[#All],[Total Comprometido]],[2]!COMPROMISOS_2024[[#All],[Bolsa]],PAA_4[[#This Row],[BOLSA]],[2]!COMPROMISOS_2024[[#All],[concatenado]],PAA_4[[#This Row],[RCP-RUBRO]]))</f>
        <v>#REF!</v>
      </c>
    </row>
    <row r="643" spans="1:38" s="19" customFormat="1" ht="31.5" customHeight="1">
      <c r="A643" s="47">
        <v>249</v>
      </c>
      <c r="B643" s="47">
        <v>80111600</v>
      </c>
      <c r="C643" s="47" t="str">
        <f>VLOOKUP(PAA_4[[#This Row],[PROYECTO (formulado)2]],[2]PROYECTOS!$G$1:$L$32,6,0)</f>
        <v>SUBGERENCIA DE ALTOS LOGROS Y DEPORTE ASOCIADO</v>
      </c>
      <c r="D643" s="47" t="str">
        <f>+IF(PAA_4[[#This Row],[UNIDAD DE CONTRATACION (formulado)]]="Subgerencia Administrativa y Financiera","FUNCIONAMIENTO","INVERSIÓN")</f>
        <v>INVERSIÓN</v>
      </c>
      <c r="E643" s="48" t="str">
        <f>VLOOKUP(Q643,[2]PROYECTOS!$G$1:$K$32,5,0)</f>
        <v>APOYO_TÉCNICO_Y_PSICOSOCIAL_A_LOS_DEPORTISTAS_DE_ANTIOQUIA</v>
      </c>
      <c r="F643" s="48">
        <f>VLOOKUP(E643,[2]PROYECTOS!$K$1:$M$32,3,0)</f>
        <v>2021003050069</v>
      </c>
      <c r="G643" s="49" t="s">
        <v>239</v>
      </c>
      <c r="H643" s="49" t="str">
        <f>VLOOKUP(Q643,[2]PROYECTOS!$V$1:$W$32,2,0)</f>
        <v>050069</v>
      </c>
      <c r="I643" s="50">
        <v>35586894</v>
      </c>
      <c r="J643" s="51" t="s">
        <v>1671</v>
      </c>
      <c r="K643" s="47" t="str">
        <f t="shared" ca="1" si="242"/>
        <v>CONTRATADO</v>
      </c>
      <c r="L643" s="47" t="s">
        <v>94</v>
      </c>
      <c r="M643" s="47" t="s">
        <v>1297</v>
      </c>
      <c r="N643" s="52" t="s">
        <v>240</v>
      </c>
      <c r="O643" s="51" t="e">
        <f>VLOOKUP(N643,[2]!RUBROS[#All],3,0)</f>
        <v>#REF!</v>
      </c>
      <c r="P643" s="53" t="e">
        <f>VLOOKUP(N643,[2]!RUBROS[#All],2,0)</f>
        <v>#REF!</v>
      </c>
      <c r="Q643" s="47" t="str">
        <f t="shared" si="243"/>
        <v>22</v>
      </c>
      <c r="R643" s="47" t="str">
        <f t="shared" si="244"/>
        <v>0-205400</v>
      </c>
      <c r="S643" s="54">
        <v>6</v>
      </c>
      <c r="T643" s="59" t="s">
        <v>46</v>
      </c>
      <c r="U643" s="326" t="e">
        <f ca="1">_xlfn.XLOOKUP(PAA_4[[#This Row],[ITEM]],[2]Contrato!A:A,[2]Contrato!Q:Q,"",0)</f>
        <v>#NAME?</v>
      </c>
      <c r="V643" s="47" t="s">
        <v>47</v>
      </c>
      <c r="W643" s="47" t="s">
        <v>137</v>
      </c>
      <c r="X643" s="47" t="s">
        <v>137</v>
      </c>
      <c r="Y643" s="55" t="e">
        <f ca="1">_xlfn.XLOOKUP(PAA_4[[#This Row],[ITEM]],[2]Contrato!A:A,[2]Contrato!B:B,"",0)</f>
        <v>#NAME?</v>
      </c>
      <c r="Z643" s="47" t="e">
        <f ca="1">_xlfn.XLOOKUP(PAA_4[[#This Row],[ITEM]],[2]Contrato!A:A,[2]Contrato!G:G,"",0)</f>
        <v>#NAME?</v>
      </c>
      <c r="AA643" s="47" t="e">
        <f ca="1">_xlfn.XLOOKUP(PAA_4[[#This Row],[ITEM]],[2]Contrato!A:A,[2]Contrato!T:T,"",0)</f>
        <v>#NAME?</v>
      </c>
      <c r="AB643" s="55" t="e">
        <f ca="1">+MAX(PAA_4[[#This Row],[Comprometido Contrato]],PAA_4[[#This Row],[Comprometido Bolsa]])</f>
        <v>#NAME?</v>
      </c>
      <c r="AC643" s="55" t="str">
        <f t="shared" ca="1" si="245"/>
        <v/>
      </c>
      <c r="AD643" s="55" t="e">
        <f ca="1">IF(PAA_4[[#This Row],[ESTADO (formulado)]]="NO CONTRATADO",0,MAX(PAA_4[[#This Row],[Pago por Contrato]],PAA_4[[#This Row],[Pago por bolsa]]))</f>
        <v>#NAME?</v>
      </c>
      <c r="AE643" s="55" t="str">
        <f t="shared" ca="1" si="246"/>
        <v/>
      </c>
      <c r="AF643" s="47" t="e">
        <f t="shared" ca="1" si="248"/>
        <v>#NAME?</v>
      </c>
      <c r="AG643" s="47">
        <f t="shared" si="247"/>
        <v>41080101</v>
      </c>
      <c r="AH643" s="54" t="str">
        <f>IF(Q643="22",IF(ISNUMBER(SEARCH("econ",PAA_4[[#This Row],[Actividad3]])),"Económico",IF(ISNUMBER(SEARCH("alim",PAA_4[[#This Row],[Actividad3]])),"Alimentación",IF(ISNUMBER(SEARCH("educ",PAA_4[[#This Row],[Actividad3]])),"Educativo","Técnico"))),0)</f>
        <v>Técnico</v>
      </c>
      <c r="AI643" s="47" t="e" cm="1">
        <f t="array" aca="1" ref="AI643" ca="1">_xlfn.XLOOKUP(PAA_4[[#This Row],[RCP-RUBRO]],[2]!COMPROMISOS_2024[[#All],[concatenado]],[2]!COMPROMISOS_2024[[#All],[Total pagado]],"",0)</f>
        <v>#NAME?</v>
      </c>
      <c r="AJ643" s="56" t="e">
        <f ca="1">IF(PAA_4[[#This Row],[BOLSA]]=0,0,SUMIFS([2]!COMPROMISOS_2024[[#All],[Total pagado]],[2]!COMPROMISOS_2024[[#All],[Bolsa]],PAA_4[[#This Row],[BOLSA]],[2]!COMPROMISOS_2024[[#All],[rubro]],PAA_4[[#This Row],[RCP-RUBRO]]))</f>
        <v>#REF!</v>
      </c>
      <c r="AK643" s="47" t="e" cm="1">
        <f t="array" aca="1" ref="AK643" ca="1">_xlfn.XLOOKUP(PAA_4[[#This Row],[RCP-RUBRO]],[2]!COMPROMISOS_2024[[#All],[concatenado]],[2]!COMPROMISOS_2024[[#All],[Total Comprometido]],"",0)</f>
        <v>#NAME?</v>
      </c>
      <c r="AL643" s="47" t="e">
        <f ca="1">IF(PAA_4[[#This Row],[BOLSA]]=0,0,SUMIFS([2]!COMPROMISOS_2024[[#All],[Total Comprometido]],[2]!COMPROMISOS_2024[[#All],[Bolsa]],PAA_4[[#This Row],[BOLSA]],[2]!COMPROMISOS_2024[[#All],[concatenado]],PAA_4[[#This Row],[RCP-RUBRO]]))</f>
        <v>#REF!</v>
      </c>
    </row>
    <row r="644" spans="1:38" s="19" customFormat="1" ht="31.5" customHeight="1">
      <c r="A644" s="47">
        <v>250</v>
      </c>
      <c r="B644" s="47">
        <v>80111600</v>
      </c>
      <c r="C644" s="47" t="str">
        <f>VLOOKUP(PAA_4[[#This Row],[PROYECTO (formulado)2]],[2]PROYECTOS!$G$1:$L$32,6,0)</f>
        <v>SUBGERENCIA DE ALTOS LOGROS Y DEPORTE ASOCIADO</v>
      </c>
      <c r="D644" s="47" t="str">
        <f>+IF(PAA_4[[#This Row],[UNIDAD DE CONTRATACION (formulado)]]="Subgerencia Administrativa y Financiera","FUNCIONAMIENTO","INVERSIÓN")</f>
        <v>INVERSIÓN</v>
      </c>
      <c r="E644" s="48" t="str">
        <f>VLOOKUP(Q644,[2]PROYECTOS!$G$1:$K$32,5,0)</f>
        <v>APOYO_TÉCNICO_Y_PSICOSOCIAL_A_LOS_DEPORTISTAS_DE_ANTIOQUIA</v>
      </c>
      <c r="F644" s="48">
        <f>VLOOKUP(E644,[2]PROYECTOS!$K$1:$M$32,3,0)</f>
        <v>2021003050069</v>
      </c>
      <c r="G644" s="49" t="s">
        <v>241</v>
      </c>
      <c r="H644" s="49" t="str">
        <f>VLOOKUP(Q644,[2]PROYECTOS!$V$1:$W$32,2,0)</f>
        <v>050069</v>
      </c>
      <c r="I644" s="50">
        <v>35586894</v>
      </c>
      <c r="J644" s="51" t="s">
        <v>1672</v>
      </c>
      <c r="K644" s="47" t="str">
        <f t="shared" ca="1" si="242"/>
        <v>CONTRATADO</v>
      </c>
      <c r="L644" s="47" t="s">
        <v>94</v>
      </c>
      <c r="M644" s="47" t="s">
        <v>1297</v>
      </c>
      <c r="N644" s="52" t="s">
        <v>240</v>
      </c>
      <c r="O644" s="51" t="e">
        <f>VLOOKUP(N644,[2]!RUBROS[#All],3,0)</f>
        <v>#REF!</v>
      </c>
      <c r="P644" s="53" t="e">
        <f>VLOOKUP(N644,[2]!RUBROS[#All],2,0)</f>
        <v>#REF!</v>
      </c>
      <c r="Q644" s="47" t="str">
        <f t="shared" si="243"/>
        <v>22</v>
      </c>
      <c r="R644" s="47" t="str">
        <f t="shared" si="244"/>
        <v>0-205400</v>
      </c>
      <c r="S644" s="54">
        <v>6</v>
      </c>
      <c r="T644" s="59" t="s">
        <v>46</v>
      </c>
      <c r="U644" s="326" t="e">
        <f ca="1">_xlfn.XLOOKUP(PAA_4[[#This Row],[ITEM]],[2]Contrato!A:A,[2]Contrato!Q:Q,"",0)</f>
        <v>#NAME?</v>
      </c>
      <c r="V644" s="47" t="s">
        <v>47</v>
      </c>
      <c r="W644" s="47" t="s">
        <v>137</v>
      </c>
      <c r="X644" s="47" t="s">
        <v>137</v>
      </c>
      <c r="Y644" s="55" t="e">
        <f ca="1">_xlfn.XLOOKUP(PAA_4[[#This Row],[ITEM]],[2]Contrato!A:A,[2]Contrato!B:B,"",0)</f>
        <v>#NAME?</v>
      </c>
      <c r="Z644" s="47" t="e">
        <f ca="1">_xlfn.XLOOKUP(PAA_4[[#This Row],[ITEM]],[2]Contrato!A:A,[2]Contrato!G:G,"",0)</f>
        <v>#NAME?</v>
      </c>
      <c r="AA644" s="47" t="e">
        <f ca="1">_xlfn.XLOOKUP(PAA_4[[#This Row],[ITEM]],[2]Contrato!A:A,[2]Contrato!T:T,"",0)</f>
        <v>#NAME?</v>
      </c>
      <c r="AB644" s="55" t="e">
        <f ca="1">+MAX(PAA_4[[#This Row],[Comprometido Contrato]],PAA_4[[#This Row],[Comprometido Bolsa]])</f>
        <v>#NAME?</v>
      </c>
      <c r="AC644" s="55" t="str">
        <f t="shared" ca="1" si="245"/>
        <v/>
      </c>
      <c r="AD644" s="55" t="e">
        <f ca="1">IF(PAA_4[[#This Row],[ESTADO (formulado)]]="NO CONTRATADO",0,MAX(PAA_4[[#This Row],[Pago por Contrato]],PAA_4[[#This Row],[Pago por bolsa]]))</f>
        <v>#NAME?</v>
      </c>
      <c r="AE644" s="55" t="str">
        <f t="shared" ca="1" si="246"/>
        <v/>
      </c>
      <c r="AF644" s="47" t="e">
        <f t="shared" ca="1" si="248"/>
        <v>#NAME?</v>
      </c>
      <c r="AG644" s="47">
        <f t="shared" si="247"/>
        <v>41080106</v>
      </c>
      <c r="AH644" s="54" t="str">
        <f>IF(Q644="22",IF(ISNUMBER(SEARCH("econ",PAA_4[[#This Row],[Actividad3]])),"Económico",IF(ISNUMBER(SEARCH("alim",PAA_4[[#This Row],[Actividad3]])),"Alimentación",IF(ISNUMBER(SEARCH("educ",PAA_4[[#This Row],[Actividad3]])),"Educativo","Técnico"))),0)</f>
        <v>Técnico</v>
      </c>
      <c r="AI644" s="47" t="e" cm="1">
        <f t="array" aca="1" ref="AI644" ca="1">_xlfn.XLOOKUP(PAA_4[[#This Row],[RCP-RUBRO]],[2]!COMPROMISOS_2024[[#All],[concatenado]],[2]!COMPROMISOS_2024[[#All],[Total pagado]],"",0)</f>
        <v>#NAME?</v>
      </c>
      <c r="AJ644" s="56" t="e">
        <f ca="1">IF(PAA_4[[#This Row],[BOLSA]]=0,0,SUMIFS([2]!COMPROMISOS_2024[[#All],[Total pagado]],[2]!COMPROMISOS_2024[[#All],[Bolsa]],PAA_4[[#This Row],[BOLSA]],[2]!COMPROMISOS_2024[[#All],[rubro]],PAA_4[[#This Row],[RCP-RUBRO]]))</f>
        <v>#REF!</v>
      </c>
      <c r="AK644" s="47" t="e" cm="1">
        <f t="array" aca="1" ref="AK644" ca="1">_xlfn.XLOOKUP(PAA_4[[#This Row],[RCP-RUBRO]],[2]!COMPROMISOS_2024[[#All],[concatenado]],[2]!COMPROMISOS_2024[[#All],[Total Comprometido]],"",0)</f>
        <v>#NAME?</v>
      </c>
      <c r="AL644" s="47" t="e">
        <f ca="1">IF(PAA_4[[#This Row],[BOLSA]]=0,0,SUMIFS([2]!COMPROMISOS_2024[[#All],[Total Comprometido]],[2]!COMPROMISOS_2024[[#All],[Bolsa]],PAA_4[[#This Row],[BOLSA]],[2]!COMPROMISOS_2024[[#All],[concatenado]],PAA_4[[#This Row],[RCP-RUBRO]]))</f>
        <v>#REF!</v>
      </c>
    </row>
    <row r="645" spans="1:38" s="19" customFormat="1" ht="31.5" customHeight="1">
      <c r="A645" s="47">
        <v>251</v>
      </c>
      <c r="B645" s="47">
        <v>80111600</v>
      </c>
      <c r="C645" s="47" t="str">
        <f>VLOOKUP(PAA_4[[#This Row],[PROYECTO (formulado)2]],[2]PROYECTOS!$G$1:$L$32,6,0)</f>
        <v>SUBGERENCIA DE ALTOS LOGROS Y DEPORTE ASOCIADO</v>
      </c>
      <c r="D645" s="47" t="str">
        <f>+IF(PAA_4[[#This Row],[UNIDAD DE CONTRATACION (formulado)]]="Subgerencia Administrativa y Financiera","FUNCIONAMIENTO","INVERSIÓN")</f>
        <v>INVERSIÓN</v>
      </c>
      <c r="E645" s="48" t="str">
        <f>VLOOKUP(Q645,[2]PROYECTOS!$G$1:$K$32,5,0)</f>
        <v>APOYO_TÉCNICO_Y_PSICOSOCIAL_A_LOS_DEPORTISTAS_DE_ANTIOQUIA</v>
      </c>
      <c r="F645" s="48">
        <f>VLOOKUP(E645,[2]PROYECTOS!$K$1:$M$32,3,0)</f>
        <v>2021003050069</v>
      </c>
      <c r="G645" s="49" t="s">
        <v>241</v>
      </c>
      <c r="H645" s="49" t="str">
        <f>VLOOKUP(Q645,[2]PROYECTOS!$V$1:$W$32,2,0)</f>
        <v>050069</v>
      </c>
      <c r="I645" s="50">
        <v>35586894</v>
      </c>
      <c r="J645" s="51" t="s">
        <v>1673</v>
      </c>
      <c r="K645" s="47" t="str">
        <f t="shared" ca="1" si="242"/>
        <v>CONTRATADO</v>
      </c>
      <c r="L645" s="47" t="s">
        <v>94</v>
      </c>
      <c r="M645" s="47" t="s">
        <v>1297</v>
      </c>
      <c r="N645" s="52" t="s">
        <v>240</v>
      </c>
      <c r="O645" s="51" t="e">
        <f>VLOOKUP(N645,[2]!RUBROS[#All],3,0)</f>
        <v>#REF!</v>
      </c>
      <c r="P645" s="53" t="e">
        <f>VLOOKUP(N645,[2]!RUBROS[#All],2,0)</f>
        <v>#REF!</v>
      </c>
      <c r="Q645" s="47" t="str">
        <f t="shared" si="243"/>
        <v>22</v>
      </c>
      <c r="R645" s="47" t="str">
        <f t="shared" si="244"/>
        <v>0-205400</v>
      </c>
      <c r="S645" s="54">
        <v>6</v>
      </c>
      <c r="T645" s="59" t="s">
        <v>46</v>
      </c>
      <c r="U645" s="326" t="e">
        <f ca="1">_xlfn.XLOOKUP(PAA_4[[#This Row],[ITEM]],[2]Contrato!A:A,[2]Contrato!Q:Q,"",0)</f>
        <v>#NAME?</v>
      </c>
      <c r="V645" s="47" t="s">
        <v>47</v>
      </c>
      <c r="W645" s="47" t="s">
        <v>137</v>
      </c>
      <c r="X645" s="47" t="s">
        <v>137</v>
      </c>
      <c r="Y645" s="55" t="e">
        <f ca="1">_xlfn.XLOOKUP(PAA_4[[#This Row],[ITEM]],[2]Contrato!A:A,[2]Contrato!B:B,"",0)</f>
        <v>#NAME?</v>
      </c>
      <c r="Z645" s="47" t="e">
        <f ca="1">_xlfn.XLOOKUP(PAA_4[[#This Row],[ITEM]],[2]Contrato!A:A,[2]Contrato!G:G,"",0)</f>
        <v>#NAME?</v>
      </c>
      <c r="AA645" s="47" t="e">
        <f ca="1">_xlfn.XLOOKUP(PAA_4[[#This Row],[ITEM]],[2]Contrato!A:A,[2]Contrato!T:T,"",0)</f>
        <v>#NAME?</v>
      </c>
      <c r="AB645" s="55" t="e">
        <f ca="1">+MAX(PAA_4[[#This Row],[Comprometido Contrato]],PAA_4[[#This Row],[Comprometido Bolsa]])</f>
        <v>#NAME?</v>
      </c>
      <c r="AC645" s="55" t="str">
        <f t="shared" ca="1" si="245"/>
        <v/>
      </c>
      <c r="AD645" s="55" t="e">
        <f ca="1">IF(PAA_4[[#This Row],[ESTADO (formulado)]]="NO CONTRATADO",0,MAX(PAA_4[[#This Row],[Pago por Contrato]],PAA_4[[#This Row],[Pago por bolsa]]))</f>
        <v>#NAME?</v>
      </c>
      <c r="AE645" s="55" t="str">
        <f t="shared" ca="1" si="246"/>
        <v/>
      </c>
      <c r="AF645" s="47" t="e">
        <f t="shared" ca="1" si="248"/>
        <v>#NAME?</v>
      </c>
      <c r="AG645" s="47">
        <f t="shared" si="247"/>
        <v>41080106</v>
      </c>
      <c r="AH645" s="54" t="str">
        <f>IF(Q645="22",IF(ISNUMBER(SEARCH("econ",PAA_4[[#This Row],[Actividad3]])),"Económico",IF(ISNUMBER(SEARCH("alim",PAA_4[[#This Row],[Actividad3]])),"Alimentación",IF(ISNUMBER(SEARCH("educ",PAA_4[[#This Row],[Actividad3]])),"Educativo","Técnico"))),0)</f>
        <v>Técnico</v>
      </c>
      <c r="AI645" s="47" t="e" cm="1">
        <f t="array" aca="1" ref="AI645" ca="1">_xlfn.XLOOKUP(PAA_4[[#This Row],[RCP-RUBRO]],[2]!COMPROMISOS_2024[[#All],[concatenado]],[2]!COMPROMISOS_2024[[#All],[Total pagado]],"",0)</f>
        <v>#NAME?</v>
      </c>
      <c r="AJ645" s="56" t="e">
        <f ca="1">IF(PAA_4[[#This Row],[BOLSA]]=0,0,SUMIFS([2]!COMPROMISOS_2024[[#All],[Total pagado]],[2]!COMPROMISOS_2024[[#All],[Bolsa]],PAA_4[[#This Row],[BOLSA]],[2]!COMPROMISOS_2024[[#All],[rubro]],PAA_4[[#This Row],[RCP-RUBRO]]))</f>
        <v>#REF!</v>
      </c>
      <c r="AK645" s="47" t="e" cm="1">
        <f t="array" aca="1" ref="AK645" ca="1">_xlfn.XLOOKUP(PAA_4[[#This Row],[RCP-RUBRO]],[2]!COMPROMISOS_2024[[#All],[concatenado]],[2]!COMPROMISOS_2024[[#All],[Total Comprometido]],"",0)</f>
        <v>#NAME?</v>
      </c>
      <c r="AL645" s="47" t="e">
        <f ca="1">IF(PAA_4[[#This Row],[BOLSA]]=0,0,SUMIFS([2]!COMPROMISOS_2024[[#All],[Total Comprometido]],[2]!COMPROMISOS_2024[[#All],[Bolsa]],PAA_4[[#This Row],[BOLSA]],[2]!COMPROMISOS_2024[[#All],[concatenado]],PAA_4[[#This Row],[RCP-RUBRO]]))</f>
        <v>#REF!</v>
      </c>
    </row>
    <row r="646" spans="1:38" s="19" customFormat="1" ht="31.5" customHeight="1">
      <c r="A646" s="47">
        <v>252</v>
      </c>
      <c r="B646" s="47">
        <v>80111600</v>
      </c>
      <c r="C646" s="47" t="str">
        <f>VLOOKUP(PAA_4[[#This Row],[PROYECTO (formulado)2]],[2]PROYECTOS!$G$1:$L$32,6,0)</f>
        <v>SUBGERENCIA DE ALTOS LOGROS Y DEPORTE ASOCIADO</v>
      </c>
      <c r="D646" s="47" t="str">
        <f>+IF(PAA_4[[#This Row],[UNIDAD DE CONTRATACION (formulado)]]="Subgerencia Administrativa y Financiera","FUNCIONAMIENTO","INVERSIÓN")</f>
        <v>INVERSIÓN</v>
      </c>
      <c r="E646" s="48" t="str">
        <f>VLOOKUP(Q646,[2]PROYECTOS!$G$1:$K$32,5,0)</f>
        <v>APOYO_TÉCNICO_Y_PSICOSOCIAL_A_LOS_DEPORTISTAS_DE_ANTIOQUIA</v>
      </c>
      <c r="F646" s="48">
        <f>VLOOKUP(E646,[2]PROYECTOS!$K$1:$M$32,3,0)</f>
        <v>2021003050069</v>
      </c>
      <c r="G646" s="49" t="s">
        <v>239</v>
      </c>
      <c r="H646" s="49" t="str">
        <f>VLOOKUP(Q646,[2]PROYECTOS!$V$1:$W$32,2,0)</f>
        <v>050069</v>
      </c>
      <c r="I646" s="50">
        <v>35586894</v>
      </c>
      <c r="J646" s="51" t="s">
        <v>1674</v>
      </c>
      <c r="K646" s="47" t="str">
        <f t="shared" ca="1" si="242"/>
        <v>CONTRATADO</v>
      </c>
      <c r="L646" s="47" t="s">
        <v>94</v>
      </c>
      <c r="M646" s="47" t="s">
        <v>1297</v>
      </c>
      <c r="N646" s="52" t="s">
        <v>240</v>
      </c>
      <c r="O646" s="51" t="e">
        <f>VLOOKUP(N646,[2]!RUBROS[#All],3,0)</f>
        <v>#REF!</v>
      </c>
      <c r="P646" s="53" t="e">
        <f>VLOOKUP(N646,[2]!RUBROS[#All],2,0)</f>
        <v>#REF!</v>
      </c>
      <c r="Q646" s="47" t="str">
        <f t="shared" si="243"/>
        <v>22</v>
      </c>
      <c r="R646" s="47" t="str">
        <f t="shared" si="244"/>
        <v>0-205400</v>
      </c>
      <c r="S646" s="54">
        <v>6</v>
      </c>
      <c r="T646" s="59" t="s">
        <v>46</v>
      </c>
      <c r="U646" s="326" t="e">
        <f ca="1">_xlfn.XLOOKUP(PAA_4[[#This Row],[ITEM]],[2]Contrato!A:A,[2]Contrato!Q:Q,"",0)</f>
        <v>#NAME?</v>
      </c>
      <c r="V646" s="47" t="s">
        <v>47</v>
      </c>
      <c r="W646" s="47" t="s">
        <v>137</v>
      </c>
      <c r="X646" s="47" t="s">
        <v>137</v>
      </c>
      <c r="Y646" s="55" t="e">
        <f ca="1">_xlfn.XLOOKUP(PAA_4[[#This Row],[ITEM]],[2]Contrato!A:A,[2]Contrato!B:B,"",0)</f>
        <v>#NAME?</v>
      </c>
      <c r="Z646" s="47" t="e">
        <f ca="1">_xlfn.XLOOKUP(PAA_4[[#This Row],[ITEM]],[2]Contrato!A:A,[2]Contrato!G:G,"",0)</f>
        <v>#NAME?</v>
      </c>
      <c r="AA646" s="47" t="e">
        <f ca="1">_xlfn.XLOOKUP(PAA_4[[#This Row],[ITEM]],[2]Contrato!A:A,[2]Contrato!T:T,"",0)</f>
        <v>#NAME?</v>
      </c>
      <c r="AB646" s="55" t="e">
        <f ca="1">+MAX(PAA_4[[#This Row],[Comprometido Contrato]],PAA_4[[#This Row],[Comprometido Bolsa]])</f>
        <v>#NAME?</v>
      </c>
      <c r="AC646" s="55" t="str">
        <f t="shared" ca="1" si="245"/>
        <v/>
      </c>
      <c r="AD646" s="55" t="e">
        <f ca="1">IF(PAA_4[[#This Row],[ESTADO (formulado)]]="NO CONTRATADO",0,MAX(PAA_4[[#This Row],[Pago por Contrato]],PAA_4[[#This Row],[Pago por bolsa]]))</f>
        <v>#NAME?</v>
      </c>
      <c r="AE646" s="55" t="str">
        <f t="shared" ca="1" si="246"/>
        <v/>
      </c>
      <c r="AF646" s="47" t="e">
        <f t="shared" ca="1" si="248"/>
        <v>#NAME?</v>
      </c>
      <c r="AG646" s="47">
        <f t="shared" si="247"/>
        <v>41080101</v>
      </c>
      <c r="AH646" s="54" t="str">
        <f>IF(Q646="22",IF(ISNUMBER(SEARCH("econ",PAA_4[[#This Row],[Actividad3]])),"Económico",IF(ISNUMBER(SEARCH("alim",PAA_4[[#This Row],[Actividad3]])),"Alimentación",IF(ISNUMBER(SEARCH("educ",PAA_4[[#This Row],[Actividad3]])),"Educativo","Técnico"))),0)</f>
        <v>Técnico</v>
      </c>
      <c r="AI646" s="47" t="e" cm="1">
        <f t="array" aca="1" ref="AI646" ca="1">_xlfn.XLOOKUP(PAA_4[[#This Row],[RCP-RUBRO]],[2]!COMPROMISOS_2024[[#All],[concatenado]],[2]!COMPROMISOS_2024[[#All],[Total pagado]],"",0)</f>
        <v>#NAME?</v>
      </c>
      <c r="AJ646" s="56" t="e">
        <f ca="1">IF(PAA_4[[#This Row],[BOLSA]]=0,0,SUMIFS([2]!COMPROMISOS_2024[[#All],[Total pagado]],[2]!COMPROMISOS_2024[[#All],[Bolsa]],PAA_4[[#This Row],[BOLSA]],[2]!COMPROMISOS_2024[[#All],[rubro]],PAA_4[[#This Row],[RCP-RUBRO]]))</f>
        <v>#REF!</v>
      </c>
      <c r="AK646" s="47" t="e" cm="1">
        <f t="array" aca="1" ref="AK646" ca="1">_xlfn.XLOOKUP(PAA_4[[#This Row],[RCP-RUBRO]],[2]!COMPROMISOS_2024[[#All],[concatenado]],[2]!COMPROMISOS_2024[[#All],[Total Comprometido]],"",0)</f>
        <v>#NAME?</v>
      </c>
      <c r="AL646" s="47" t="e">
        <f ca="1">IF(PAA_4[[#This Row],[BOLSA]]=0,0,SUMIFS([2]!COMPROMISOS_2024[[#All],[Total Comprometido]],[2]!COMPROMISOS_2024[[#All],[Bolsa]],PAA_4[[#This Row],[BOLSA]],[2]!COMPROMISOS_2024[[#All],[concatenado]],PAA_4[[#This Row],[RCP-RUBRO]]))</f>
        <v>#REF!</v>
      </c>
    </row>
    <row r="647" spans="1:38" s="19" customFormat="1" ht="31.5" customHeight="1">
      <c r="A647" s="47">
        <v>253</v>
      </c>
      <c r="B647" s="47">
        <v>80111600</v>
      </c>
      <c r="C647" s="47" t="str">
        <f>VLOOKUP(PAA_4[[#This Row],[PROYECTO (formulado)2]],[2]PROYECTOS!$G$1:$L$32,6,0)</f>
        <v>SUBGERENCIA DE ALTOS LOGROS Y DEPORTE ASOCIADO</v>
      </c>
      <c r="D647" s="47" t="str">
        <f>+IF(PAA_4[[#This Row],[UNIDAD DE CONTRATACION (formulado)]]="Subgerencia Administrativa y Financiera","FUNCIONAMIENTO","INVERSIÓN")</f>
        <v>INVERSIÓN</v>
      </c>
      <c r="E647" s="48" t="str">
        <f>VLOOKUP(Q647,[2]PROYECTOS!$G$1:$K$32,5,0)</f>
        <v>APOYO_TÉCNICO_Y_PSICOSOCIAL_A_LOS_DEPORTISTAS_DE_ANTIOQUIA</v>
      </c>
      <c r="F647" s="48">
        <f>VLOOKUP(E647,[2]PROYECTOS!$K$1:$M$32,3,0)</f>
        <v>2021003050069</v>
      </c>
      <c r="G647" s="49" t="s">
        <v>239</v>
      </c>
      <c r="H647" s="49" t="str">
        <f>VLOOKUP(Q647,[2]PROYECTOS!$V$1:$W$32,2,0)</f>
        <v>050069</v>
      </c>
      <c r="I647" s="50">
        <v>23714292</v>
      </c>
      <c r="J647" s="51" t="s">
        <v>1675</v>
      </c>
      <c r="K647" s="47" t="str">
        <f t="shared" ca="1" si="242"/>
        <v>CONTRATADO</v>
      </c>
      <c r="L647" s="47" t="s">
        <v>94</v>
      </c>
      <c r="M647" s="47" t="s">
        <v>1297</v>
      </c>
      <c r="N647" s="52" t="s">
        <v>240</v>
      </c>
      <c r="O647" s="51" t="e">
        <f>VLOOKUP(N647,[2]!RUBROS[#All],3,0)</f>
        <v>#REF!</v>
      </c>
      <c r="P647" s="53" t="e">
        <f>VLOOKUP(N647,[2]!RUBROS[#All],2,0)</f>
        <v>#REF!</v>
      </c>
      <c r="Q647" s="47" t="str">
        <f t="shared" si="243"/>
        <v>22</v>
      </c>
      <c r="R647" s="47" t="str">
        <f t="shared" si="244"/>
        <v>0-205400</v>
      </c>
      <c r="S647" s="54">
        <v>6</v>
      </c>
      <c r="T647" s="59" t="s">
        <v>46</v>
      </c>
      <c r="U647" s="326" t="e">
        <f ca="1">_xlfn.XLOOKUP(PAA_4[[#This Row],[ITEM]],[2]Contrato!A:A,[2]Contrato!Q:Q,"",0)</f>
        <v>#NAME?</v>
      </c>
      <c r="V647" s="47" t="s">
        <v>47</v>
      </c>
      <c r="W647" s="47" t="s">
        <v>137</v>
      </c>
      <c r="X647" s="47" t="s">
        <v>137</v>
      </c>
      <c r="Y647" s="55" t="e">
        <f ca="1">_xlfn.XLOOKUP(PAA_4[[#This Row],[ITEM]],[2]Contrato!A:A,[2]Contrato!B:B,"",0)</f>
        <v>#NAME?</v>
      </c>
      <c r="Z647" s="47" t="e">
        <f ca="1">_xlfn.XLOOKUP(PAA_4[[#This Row],[ITEM]],[2]Contrato!A:A,[2]Contrato!G:G,"",0)</f>
        <v>#NAME?</v>
      </c>
      <c r="AA647" s="47" t="e">
        <f ca="1">_xlfn.XLOOKUP(PAA_4[[#This Row],[ITEM]],[2]Contrato!A:A,[2]Contrato!T:T,"",0)</f>
        <v>#NAME?</v>
      </c>
      <c r="AB647" s="55" t="e">
        <f ca="1">+MAX(PAA_4[[#This Row],[Comprometido Contrato]],PAA_4[[#This Row],[Comprometido Bolsa]])</f>
        <v>#NAME?</v>
      </c>
      <c r="AC647" s="55" t="str">
        <f t="shared" ca="1" si="245"/>
        <v/>
      </c>
      <c r="AD647" s="55" t="e">
        <f ca="1">IF(PAA_4[[#This Row],[ESTADO (formulado)]]="NO CONTRATADO",0,MAX(PAA_4[[#This Row],[Pago por Contrato]],PAA_4[[#This Row],[Pago por bolsa]]))</f>
        <v>#NAME?</v>
      </c>
      <c r="AE647" s="55" t="str">
        <f t="shared" ca="1" si="246"/>
        <v/>
      </c>
      <c r="AF647" s="47" t="e">
        <f t="shared" ca="1" si="248"/>
        <v>#NAME?</v>
      </c>
      <c r="AG647" s="47">
        <f t="shared" si="247"/>
        <v>41080101</v>
      </c>
      <c r="AH647" s="54" t="str">
        <f>IF(Q647="22",IF(ISNUMBER(SEARCH("econ",PAA_4[[#This Row],[Actividad3]])),"Económico",IF(ISNUMBER(SEARCH("alim",PAA_4[[#This Row],[Actividad3]])),"Alimentación",IF(ISNUMBER(SEARCH("educ",PAA_4[[#This Row],[Actividad3]])),"Educativo","Técnico"))),0)</f>
        <v>Técnico</v>
      </c>
      <c r="AI647" s="47" t="e" cm="1">
        <f t="array" aca="1" ref="AI647" ca="1">_xlfn.XLOOKUP(PAA_4[[#This Row],[RCP-RUBRO]],[2]!COMPROMISOS_2024[[#All],[concatenado]],[2]!COMPROMISOS_2024[[#All],[Total pagado]],"",0)</f>
        <v>#NAME?</v>
      </c>
      <c r="AJ647" s="56" t="e">
        <f ca="1">IF(PAA_4[[#This Row],[BOLSA]]=0,0,SUMIFS([2]!COMPROMISOS_2024[[#All],[Total pagado]],[2]!COMPROMISOS_2024[[#All],[Bolsa]],PAA_4[[#This Row],[BOLSA]],[2]!COMPROMISOS_2024[[#All],[rubro]],PAA_4[[#This Row],[RCP-RUBRO]]))</f>
        <v>#REF!</v>
      </c>
      <c r="AK647" s="47" t="e" cm="1">
        <f t="array" aca="1" ref="AK647" ca="1">_xlfn.XLOOKUP(PAA_4[[#This Row],[RCP-RUBRO]],[2]!COMPROMISOS_2024[[#All],[concatenado]],[2]!COMPROMISOS_2024[[#All],[Total Comprometido]],"",0)</f>
        <v>#NAME?</v>
      </c>
      <c r="AL647" s="47" t="e">
        <f ca="1">IF(PAA_4[[#This Row],[BOLSA]]=0,0,SUMIFS([2]!COMPROMISOS_2024[[#All],[Total Comprometido]],[2]!COMPROMISOS_2024[[#All],[Bolsa]],PAA_4[[#This Row],[BOLSA]],[2]!COMPROMISOS_2024[[#All],[concatenado]],PAA_4[[#This Row],[RCP-RUBRO]]))</f>
        <v>#REF!</v>
      </c>
    </row>
    <row r="648" spans="1:38" s="19" customFormat="1" ht="31.5" customHeight="1">
      <c r="A648" s="47">
        <v>254</v>
      </c>
      <c r="B648" s="47">
        <v>80111600</v>
      </c>
      <c r="C648" s="47" t="str">
        <f>VLOOKUP(PAA_4[[#This Row],[PROYECTO (formulado)2]],[2]PROYECTOS!$G$1:$L$32,6,0)</f>
        <v>SUBGERENCIA DE ALTOS LOGROS Y DEPORTE ASOCIADO</v>
      </c>
      <c r="D648" s="47" t="str">
        <f>+IF(PAA_4[[#This Row],[UNIDAD DE CONTRATACION (formulado)]]="Subgerencia Administrativa y Financiera","FUNCIONAMIENTO","INVERSIÓN")</f>
        <v>INVERSIÓN</v>
      </c>
      <c r="E648" s="48" t="str">
        <f>VLOOKUP(Q648,[2]PROYECTOS!$G$1:$K$32,5,0)</f>
        <v>APOYO_TÉCNICO_Y_PSICOSOCIAL_A_LOS_DEPORTISTAS_DE_ANTIOQUIA</v>
      </c>
      <c r="F648" s="48">
        <f>VLOOKUP(E648,[2]PROYECTOS!$K$1:$M$32,3,0)</f>
        <v>2021003050069</v>
      </c>
      <c r="G648" s="49" t="s">
        <v>239</v>
      </c>
      <c r="H648" s="49" t="str">
        <f>VLOOKUP(Q648,[2]PROYECTOS!$V$1:$W$32,2,0)</f>
        <v>050069</v>
      </c>
      <c r="I648" s="50">
        <v>35586894</v>
      </c>
      <c r="J648" s="51" t="s">
        <v>1676</v>
      </c>
      <c r="K648" s="47" t="str">
        <f t="shared" ca="1" si="242"/>
        <v>CONTRATADO</v>
      </c>
      <c r="L648" s="47" t="s">
        <v>94</v>
      </c>
      <c r="M648" s="47" t="s">
        <v>1297</v>
      </c>
      <c r="N648" s="52" t="s">
        <v>240</v>
      </c>
      <c r="O648" s="51" t="e">
        <f>VLOOKUP(N648,[2]!RUBROS[#All],3,0)</f>
        <v>#REF!</v>
      </c>
      <c r="P648" s="53" t="e">
        <f>VLOOKUP(N648,[2]!RUBROS[#All],2,0)</f>
        <v>#REF!</v>
      </c>
      <c r="Q648" s="47" t="str">
        <f t="shared" si="243"/>
        <v>22</v>
      </c>
      <c r="R648" s="47" t="str">
        <f t="shared" si="244"/>
        <v>0-205400</v>
      </c>
      <c r="S648" s="54">
        <v>6</v>
      </c>
      <c r="T648" s="59" t="s">
        <v>46</v>
      </c>
      <c r="U648" s="326" t="e">
        <f ca="1">_xlfn.XLOOKUP(PAA_4[[#This Row],[ITEM]],[2]Contrato!A:A,[2]Contrato!Q:Q,"",0)</f>
        <v>#NAME?</v>
      </c>
      <c r="V648" s="47" t="s">
        <v>47</v>
      </c>
      <c r="W648" s="47" t="s">
        <v>137</v>
      </c>
      <c r="X648" s="47" t="s">
        <v>137</v>
      </c>
      <c r="Y648" s="55" t="e">
        <f ca="1">_xlfn.XLOOKUP(PAA_4[[#This Row],[ITEM]],[2]Contrato!A:A,[2]Contrato!B:B,"",0)</f>
        <v>#NAME?</v>
      </c>
      <c r="Z648" s="47" t="e">
        <f ca="1">_xlfn.XLOOKUP(PAA_4[[#This Row],[ITEM]],[2]Contrato!A:A,[2]Contrato!G:G,"",0)</f>
        <v>#NAME?</v>
      </c>
      <c r="AA648" s="47" t="e">
        <f ca="1">_xlfn.XLOOKUP(PAA_4[[#This Row],[ITEM]],[2]Contrato!A:A,[2]Contrato!T:T,"",0)</f>
        <v>#NAME?</v>
      </c>
      <c r="AB648" s="55" t="e">
        <f ca="1">+MAX(PAA_4[[#This Row],[Comprometido Contrato]],PAA_4[[#This Row],[Comprometido Bolsa]])</f>
        <v>#NAME?</v>
      </c>
      <c r="AC648" s="55" t="str">
        <f t="shared" ca="1" si="245"/>
        <v/>
      </c>
      <c r="AD648" s="55" t="e">
        <f ca="1">IF(PAA_4[[#This Row],[ESTADO (formulado)]]="NO CONTRATADO",0,MAX(PAA_4[[#This Row],[Pago por Contrato]],PAA_4[[#This Row],[Pago por bolsa]]))</f>
        <v>#NAME?</v>
      </c>
      <c r="AE648" s="55" t="str">
        <f t="shared" ca="1" si="246"/>
        <v/>
      </c>
      <c r="AF648" s="47" t="e">
        <f t="shared" ca="1" si="248"/>
        <v>#NAME?</v>
      </c>
      <c r="AG648" s="47">
        <f t="shared" si="247"/>
        <v>41080101</v>
      </c>
      <c r="AH648" s="54" t="str">
        <f>IF(Q648="22",IF(ISNUMBER(SEARCH("econ",PAA_4[[#This Row],[Actividad3]])),"Económico",IF(ISNUMBER(SEARCH("alim",PAA_4[[#This Row],[Actividad3]])),"Alimentación",IF(ISNUMBER(SEARCH("educ",PAA_4[[#This Row],[Actividad3]])),"Educativo","Técnico"))),0)</f>
        <v>Técnico</v>
      </c>
      <c r="AI648" s="47" t="e" cm="1">
        <f t="array" aca="1" ref="AI648" ca="1">_xlfn.XLOOKUP(PAA_4[[#This Row],[RCP-RUBRO]],[2]!COMPROMISOS_2024[[#All],[concatenado]],[2]!COMPROMISOS_2024[[#All],[Total pagado]],"",0)</f>
        <v>#NAME?</v>
      </c>
      <c r="AJ648" s="56" t="e">
        <f ca="1">IF(PAA_4[[#This Row],[BOLSA]]=0,0,SUMIFS([2]!COMPROMISOS_2024[[#All],[Total pagado]],[2]!COMPROMISOS_2024[[#All],[Bolsa]],PAA_4[[#This Row],[BOLSA]],[2]!COMPROMISOS_2024[[#All],[rubro]],PAA_4[[#This Row],[RCP-RUBRO]]))</f>
        <v>#REF!</v>
      </c>
      <c r="AK648" s="47" t="e" cm="1">
        <f t="array" aca="1" ref="AK648" ca="1">_xlfn.XLOOKUP(PAA_4[[#This Row],[RCP-RUBRO]],[2]!COMPROMISOS_2024[[#All],[concatenado]],[2]!COMPROMISOS_2024[[#All],[Total Comprometido]],"",0)</f>
        <v>#NAME?</v>
      </c>
      <c r="AL648" s="47" t="e">
        <f ca="1">IF(PAA_4[[#This Row],[BOLSA]]=0,0,SUMIFS([2]!COMPROMISOS_2024[[#All],[Total Comprometido]],[2]!COMPROMISOS_2024[[#All],[Bolsa]],PAA_4[[#This Row],[BOLSA]],[2]!COMPROMISOS_2024[[#All],[concatenado]],PAA_4[[#This Row],[RCP-RUBRO]]))</f>
        <v>#REF!</v>
      </c>
    </row>
    <row r="649" spans="1:38" s="19" customFormat="1" ht="31.5" customHeight="1">
      <c r="A649" s="47">
        <v>255</v>
      </c>
      <c r="B649" s="47">
        <v>80111600</v>
      </c>
      <c r="C649" s="47" t="str">
        <f>VLOOKUP(PAA_4[[#This Row],[PROYECTO (formulado)2]],[2]PROYECTOS!$G$1:$L$32,6,0)</f>
        <v>SUBGERENCIA DE ALTOS LOGROS Y DEPORTE ASOCIADO</v>
      </c>
      <c r="D649" s="47" t="str">
        <f>+IF(PAA_4[[#This Row],[UNIDAD DE CONTRATACION (formulado)]]="Subgerencia Administrativa y Financiera","FUNCIONAMIENTO","INVERSIÓN")</f>
        <v>INVERSIÓN</v>
      </c>
      <c r="E649" s="48" t="str">
        <f>VLOOKUP(Q649,[2]PROYECTOS!$G$1:$K$32,5,0)</f>
        <v>APOYO_TÉCNICO_Y_PSICOSOCIAL_A_LOS_DEPORTISTAS_DE_ANTIOQUIA</v>
      </c>
      <c r="F649" s="48">
        <f>VLOOKUP(E649,[2]PROYECTOS!$K$1:$M$32,3,0)</f>
        <v>2021003050069</v>
      </c>
      <c r="G649" s="49" t="s">
        <v>239</v>
      </c>
      <c r="H649" s="49" t="str">
        <f>VLOOKUP(Q649,[2]PROYECTOS!$V$1:$W$32,2,0)</f>
        <v>050069</v>
      </c>
      <c r="I649" s="50">
        <v>15449052</v>
      </c>
      <c r="J649" s="51" t="s">
        <v>1677</v>
      </c>
      <c r="K649" s="47" t="str">
        <f t="shared" ca="1" si="242"/>
        <v>CONTRATADO</v>
      </c>
      <c r="L649" s="47" t="s">
        <v>94</v>
      </c>
      <c r="M649" s="47" t="s">
        <v>1297</v>
      </c>
      <c r="N649" s="52" t="s">
        <v>240</v>
      </c>
      <c r="O649" s="51" t="e">
        <f>VLOOKUP(N649,[2]!RUBROS[#All],3,0)</f>
        <v>#REF!</v>
      </c>
      <c r="P649" s="53" t="e">
        <f>VLOOKUP(N649,[2]!RUBROS[#All],2,0)</f>
        <v>#REF!</v>
      </c>
      <c r="Q649" s="47" t="str">
        <f t="shared" si="243"/>
        <v>22</v>
      </c>
      <c r="R649" s="47" t="str">
        <f t="shared" si="244"/>
        <v>0-205400</v>
      </c>
      <c r="S649" s="54">
        <v>6</v>
      </c>
      <c r="T649" s="59" t="s">
        <v>46</v>
      </c>
      <c r="U649" s="326" t="e">
        <f ca="1">_xlfn.XLOOKUP(PAA_4[[#This Row],[ITEM]],[2]Contrato!A:A,[2]Contrato!Q:Q,"",0)</f>
        <v>#NAME?</v>
      </c>
      <c r="V649" s="47" t="s">
        <v>47</v>
      </c>
      <c r="W649" s="47" t="s">
        <v>137</v>
      </c>
      <c r="X649" s="47" t="s">
        <v>137</v>
      </c>
      <c r="Y649" s="55" t="e">
        <f ca="1">_xlfn.XLOOKUP(PAA_4[[#This Row],[ITEM]],[2]Contrato!A:A,[2]Contrato!B:B,"",0)</f>
        <v>#NAME?</v>
      </c>
      <c r="Z649" s="47" t="e">
        <f ca="1">_xlfn.XLOOKUP(PAA_4[[#This Row],[ITEM]],[2]Contrato!A:A,[2]Contrato!G:G,"",0)</f>
        <v>#NAME?</v>
      </c>
      <c r="AA649" s="47" t="e">
        <f ca="1">_xlfn.XLOOKUP(PAA_4[[#This Row],[ITEM]],[2]Contrato!A:A,[2]Contrato!T:T,"",0)</f>
        <v>#NAME?</v>
      </c>
      <c r="AB649" s="55" t="e">
        <f ca="1">+MAX(PAA_4[[#This Row],[Comprometido Contrato]],PAA_4[[#This Row],[Comprometido Bolsa]])</f>
        <v>#NAME?</v>
      </c>
      <c r="AC649" s="55" t="str">
        <f t="shared" ca="1" si="245"/>
        <v/>
      </c>
      <c r="AD649" s="55" t="e">
        <f ca="1">IF(PAA_4[[#This Row],[ESTADO (formulado)]]="NO CONTRATADO",0,MAX(PAA_4[[#This Row],[Pago por Contrato]],PAA_4[[#This Row],[Pago por bolsa]]))</f>
        <v>#NAME?</v>
      </c>
      <c r="AE649" s="55" t="str">
        <f t="shared" ca="1" si="246"/>
        <v/>
      </c>
      <c r="AF649" s="47" t="e">
        <f t="shared" ca="1" si="248"/>
        <v>#NAME?</v>
      </c>
      <c r="AG649" s="47">
        <f t="shared" si="247"/>
        <v>41080101</v>
      </c>
      <c r="AH649" s="54" t="str">
        <f>IF(Q649="22",IF(ISNUMBER(SEARCH("econ",PAA_4[[#This Row],[Actividad3]])),"Económico",IF(ISNUMBER(SEARCH("alim",PAA_4[[#This Row],[Actividad3]])),"Alimentación",IF(ISNUMBER(SEARCH("educ",PAA_4[[#This Row],[Actividad3]])),"Educativo","Técnico"))),0)</f>
        <v>Técnico</v>
      </c>
      <c r="AI649" s="47" t="e" cm="1">
        <f t="array" aca="1" ref="AI649" ca="1">_xlfn.XLOOKUP(PAA_4[[#This Row],[RCP-RUBRO]],[2]!COMPROMISOS_2024[[#All],[concatenado]],[2]!COMPROMISOS_2024[[#All],[Total pagado]],"",0)</f>
        <v>#NAME?</v>
      </c>
      <c r="AJ649" s="56" t="e">
        <f ca="1">IF(PAA_4[[#This Row],[BOLSA]]=0,0,SUMIFS([2]!COMPROMISOS_2024[[#All],[Total pagado]],[2]!COMPROMISOS_2024[[#All],[Bolsa]],PAA_4[[#This Row],[BOLSA]],[2]!COMPROMISOS_2024[[#All],[rubro]],PAA_4[[#This Row],[RCP-RUBRO]]))</f>
        <v>#REF!</v>
      </c>
      <c r="AK649" s="47" t="e" cm="1">
        <f t="array" aca="1" ref="AK649" ca="1">_xlfn.XLOOKUP(PAA_4[[#This Row],[RCP-RUBRO]],[2]!COMPROMISOS_2024[[#All],[concatenado]],[2]!COMPROMISOS_2024[[#All],[Total Comprometido]],"",0)</f>
        <v>#NAME?</v>
      </c>
      <c r="AL649" s="47" t="e">
        <f ca="1">IF(PAA_4[[#This Row],[BOLSA]]=0,0,SUMIFS([2]!COMPROMISOS_2024[[#All],[Total Comprometido]],[2]!COMPROMISOS_2024[[#All],[Bolsa]],PAA_4[[#This Row],[BOLSA]],[2]!COMPROMISOS_2024[[#All],[concatenado]],PAA_4[[#This Row],[RCP-RUBRO]]))</f>
        <v>#REF!</v>
      </c>
    </row>
    <row r="650" spans="1:38" s="19" customFormat="1" ht="31.5" customHeight="1">
      <c r="A650" s="47">
        <v>256</v>
      </c>
      <c r="B650" s="47">
        <v>80111600</v>
      </c>
      <c r="C650" s="47" t="str">
        <f>VLOOKUP(PAA_4[[#This Row],[PROYECTO (formulado)2]],[2]PROYECTOS!$G$1:$L$32,6,0)</f>
        <v>SUBGERENCIA DE ALTOS LOGROS Y DEPORTE ASOCIADO</v>
      </c>
      <c r="D650" s="47" t="str">
        <f>+IF(PAA_4[[#This Row],[UNIDAD DE CONTRATACION (formulado)]]="Subgerencia Administrativa y Financiera","FUNCIONAMIENTO","INVERSIÓN")</f>
        <v>INVERSIÓN</v>
      </c>
      <c r="E650" s="48" t="str">
        <f>VLOOKUP(Q650,[2]PROYECTOS!$G$1:$K$32,5,0)</f>
        <v>APOYO_TÉCNICO_Y_PSICOSOCIAL_A_LOS_DEPORTISTAS_DE_ANTIOQUIA</v>
      </c>
      <c r="F650" s="48">
        <f>VLOOKUP(E650,[2]PROYECTOS!$K$1:$M$32,3,0)</f>
        <v>2021003050069</v>
      </c>
      <c r="G650" s="49" t="s">
        <v>241</v>
      </c>
      <c r="H650" s="49" t="str">
        <f>VLOOKUP(Q650,[2]PROYECTOS!$V$1:$W$32,2,0)</f>
        <v>050069</v>
      </c>
      <c r="I650" s="50">
        <v>23714292</v>
      </c>
      <c r="J650" s="51" t="s">
        <v>1678</v>
      </c>
      <c r="K650" s="47" t="str">
        <f t="shared" ca="1" si="242"/>
        <v>CONTRATADO</v>
      </c>
      <c r="L650" s="47" t="s">
        <v>94</v>
      </c>
      <c r="M650" s="47" t="s">
        <v>1297</v>
      </c>
      <c r="N650" s="52" t="s">
        <v>240</v>
      </c>
      <c r="O650" s="51" t="e">
        <f>VLOOKUP(N650,[2]!RUBROS[#All],3,0)</f>
        <v>#REF!</v>
      </c>
      <c r="P650" s="53" t="e">
        <f>VLOOKUP(N650,[2]!RUBROS[#All],2,0)</f>
        <v>#REF!</v>
      </c>
      <c r="Q650" s="47" t="str">
        <f t="shared" si="243"/>
        <v>22</v>
      </c>
      <c r="R650" s="47" t="str">
        <f t="shared" si="244"/>
        <v>0-205400</v>
      </c>
      <c r="S650" s="54">
        <v>6</v>
      </c>
      <c r="T650" s="59" t="s">
        <v>46</v>
      </c>
      <c r="U650" s="326" t="e">
        <f ca="1">_xlfn.XLOOKUP(PAA_4[[#This Row],[ITEM]],[2]Contrato!A:A,[2]Contrato!Q:Q,"",0)</f>
        <v>#NAME?</v>
      </c>
      <c r="V650" s="47" t="s">
        <v>47</v>
      </c>
      <c r="W650" s="47" t="s">
        <v>137</v>
      </c>
      <c r="X650" s="47" t="s">
        <v>137</v>
      </c>
      <c r="Y650" s="55" t="e">
        <f ca="1">_xlfn.XLOOKUP(PAA_4[[#This Row],[ITEM]],[2]Contrato!A:A,[2]Contrato!B:B,"",0)</f>
        <v>#NAME?</v>
      </c>
      <c r="Z650" s="47" t="e">
        <f ca="1">_xlfn.XLOOKUP(PAA_4[[#This Row],[ITEM]],[2]Contrato!A:A,[2]Contrato!G:G,"",0)</f>
        <v>#NAME?</v>
      </c>
      <c r="AA650" s="47" t="e">
        <f ca="1">_xlfn.XLOOKUP(PAA_4[[#This Row],[ITEM]],[2]Contrato!A:A,[2]Contrato!T:T,"",0)</f>
        <v>#NAME?</v>
      </c>
      <c r="AB650" s="55" t="e">
        <f ca="1">+MAX(PAA_4[[#This Row],[Comprometido Contrato]],PAA_4[[#This Row],[Comprometido Bolsa]])</f>
        <v>#NAME?</v>
      </c>
      <c r="AC650" s="55" t="str">
        <f t="shared" ca="1" si="245"/>
        <v/>
      </c>
      <c r="AD650" s="55" t="e">
        <f ca="1">IF(PAA_4[[#This Row],[ESTADO (formulado)]]="NO CONTRATADO",0,MAX(PAA_4[[#This Row],[Pago por Contrato]],PAA_4[[#This Row],[Pago por bolsa]]))</f>
        <v>#NAME?</v>
      </c>
      <c r="AE650" s="55" t="str">
        <f t="shared" ca="1" si="246"/>
        <v/>
      </c>
      <c r="AF650" s="47" t="e">
        <f t="shared" ca="1" si="248"/>
        <v>#NAME?</v>
      </c>
      <c r="AG650" s="47">
        <f t="shared" si="247"/>
        <v>41080106</v>
      </c>
      <c r="AH650" s="54" t="str">
        <f>IF(Q650="22",IF(ISNUMBER(SEARCH("econ",PAA_4[[#This Row],[Actividad3]])),"Económico",IF(ISNUMBER(SEARCH("alim",PAA_4[[#This Row],[Actividad3]])),"Alimentación",IF(ISNUMBER(SEARCH("educ",PAA_4[[#This Row],[Actividad3]])),"Educativo","Técnico"))),0)</f>
        <v>Técnico</v>
      </c>
      <c r="AI650" s="47" t="e" cm="1">
        <f t="array" aca="1" ref="AI650" ca="1">_xlfn.XLOOKUP(PAA_4[[#This Row],[RCP-RUBRO]],[2]!COMPROMISOS_2024[[#All],[concatenado]],[2]!COMPROMISOS_2024[[#All],[Total pagado]],"",0)</f>
        <v>#NAME?</v>
      </c>
      <c r="AJ650" s="56" t="e">
        <f ca="1">IF(PAA_4[[#This Row],[BOLSA]]=0,0,SUMIFS([2]!COMPROMISOS_2024[[#All],[Total pagado]],[2]!COMPROMISOS_2024[[#All],[Bolsa]],PAA_4[[#This Row],[BOLSA]],[2]!COMPROMISOS_2024[[#All],[rubro]],PAA_4[[#This Row],[RCP-RUBRO]]))</f>
        <v>#REF!</v>
      </c>
      <c r="AK650" s="47" t="e" cm="1">
        <f t="array" aca="1" ref="AK650" ca="1">_xlfn.XLOOKUP(PAA_4[[#This Row],[RCP-RUBRO]],[2]!COMPROMISOS_2024[[#All],[concatenado]],[2]!COMPROMISOS_2024[[#All],[Total Comprometido]],"",0)</f>
        <v>#NAME?</v>
      </c>
      <c r="AL650" s="47" t="e">
        <f ca="1">IF(PAA_4[[#This Row],[BOLSA]]=0,0,SUMIFS([2]!COMPROMISOS_2024[[#All],[Total Comprometido]],[2]!COMPROMISOS_2024[[#All],[Bolsa]],PAA_4[[#This Row],[BOLSA]],[2]!COMPROMISOS_2024[[#All],[concatenado]],PAA_4[[#This Row],[RCP-RUBRO]]))</f>
        <v>#REF!</v>
      </c>
    </row>
    <row r="651" spans="1:38" s="19" customFormat="1" ht="31.5" customHeight="1">
      <c r="A651" s="47">
        <v>257</v>
      </c>
      <c r="B651" s="47">
        <v>80111600</v>
      </c>
      <c r="C651" s="47" t="str">
        <f>VLOOKUP(PAA_4[[#This Row],[PROYECTO (formulado)2]],[2]PROYECTOS!$G$1:$L$32,6,0)</f>
        <v>SUBGERENCIA DE ALTOS LOGROS Y DEPORTE ASOCIADO</v>
      </c>
      <c r="D651" s="47" t="str">
        <f>+IF(PAA_4[[#This Row],[UNIDAD DE CONTRATACION (formulado)]]="Subgerencia Administrativa y Financiera","FUNCIONAMIENTO","INVERSIÓN")</f>
        <v>INVERSIÓN</v>
      </c>
      <c r="E651" s="48" t="str">
        <f>VLOOKUP(Q651,[2]PROYECTOS!$G$1:$K$32,5,0)</f>
        <v>APOYO_TÉCNICO_Y_PSICOSOCIAL_A_LOS_DEPORTISTAS_DE_ANTIOQUIA</v>
      </c>
      <c r="F651" s="48">
        <f>VLOOKUP(E651,[2]PROYECTOS!$K$1:$M$32,3,0)</f>
        <v>2021003050069</v>
      </c>
      <c r="G651" s="49" t="s">
        <v>241</v>
      </c>
      <c r="H651" s="49" t="str">
        <f>VLOOKUP(Q651,[2]PROYECTOS!$V$1:$W$32,2,0)</f>
        <v>050069</v>
      </c>
      <c r="I651" s="50">
        <v>23714292</v>
      </c>
      <c r="J651" s="51" t="s">
        <v>1679</v>
      </c>
      <c r="K651" s="47" t="str">
        <f t="shared" ca="1" si="242"/>
        <v>CONTRATADO</v>
      </c>
      <c r="L651" s="47" t="s">
        <v>94</v>
      </c>
      <c r="M651" s="47" t="s">
        <v>1297</v>
      </c>
      <c r="N651" s="52" t="s">
        <v>240</v>
      </c>
      <c r="O651" s="51" t="e">
        <f>VLOOKUP(N651,[2]!RUBROS[#All],3,0)</f>
        <v>#REF!</v>
      </c>
      <c r="P651" s="53" t="e">
        <f>VLOOKUP(N651,[2]!RUBROS[#All],2,0)</f>
        <v>#REF!</v>
      </c>
      <c r="Q651" s="47" t="str">
        <f t="shared" si="243"/>
        <v>22</v>
      </c>
      <c r="R651" s="47" t="str">
        <f t="shared" si="244"/>
        <v>0-205400</v>
      </c>
      <c r="S651" s="54">
        <v>6</v>
      </c>
      <c r="T651" s="59" t="s">
        <v>46</v>
      </c>
      <c r="U651" s="326" t="e">
        <f ca="1">_xlfn.XLOOKUP(PAA_4[[#This Row],[ITEM]],[2]Contrato!A:A,[2]Contrato!Q:Q,"",0)</f>
        <v>#NAME?</v>
      </c>
      <c r="V651" s="47" t="s">
        <v>47</v>
      </c>
      <c r="W651" s="47" t="s">
        <v>137</v>
      </c>
      <c r="X651" s="47" t="s">
        <v>137</v>
      </c>
      <c r="Y651" s="55" t="e">
        <f ca="1">_xlfn.XLOOKUP(PAA_4[[#This Row],[ITEM]],[2]Contrato!A:A,[2]Contrato!B:B,"",0)</f>
        <v>#NAME?</v>
      </c>
      <c r="Z651" s="47" t="e">
        <f ca="1">_xlfn.XLOOKUP(PAA_4[[#This Row],[ITEM]],[2]Contrato!A:A,[2]Contrato!G:G,"",0)</f>
        <v>#NAME?</v>
      </c>
      <c r="AA651" s="47" t="e">
        <f ca="1">_xlfn.XLOOKUP(PAA_4[[#This Row],[ITEM]],[2]Contrato!A:A,[2]Contrato!T:T,"",0)</f>
        <v>#NAME?</v>
      </c>
      <c r="AB651" s="55" t="e">
        <f ca="1">+MAX(PAA_4[[#This Row],[Comprometido Contrato]],PAA_4[[#This Row],[Comprometido Bolsa]])</f>
        <v>#NAME?</v>
      </c>
      <c r="AC651" s="55" t="str">
        <f t="shared" ca="1" si="245"/>
        <v/>
      </c>
      <c r="AD651" s="55" t="e">
        <f ca="1">IF(PAA_4[[#This Row],[ESTADO (formulado)]]="NO CONTRATADO",0,MAX(PAA_4[[#This Row],[Pago por Contrato]],PAA_4[[#This Row],[Pago por bolsa]]))</f>
        <v>#NAME?</v>
      </c>
      <c r="AE651" s="55" t="str">
        <f t="shared" ca="1" si="246"/>
        <v/>
      </c>
      <c r="AF651" s="47" t="e">
        <f t="shared" ca="1" si="248"/>
        <v>#NAME?</v>
      </c>
      <c r="AG651" s="47">
        <f t="shared" si="247"/>
        <v>41080106</v>
      </c>
      <c r="AH651" s="54" t="str">
        <f>IF(Q651="22",IF(ISNUMBER(SEARCH("econ",PAA_4[[#This Row],[Actividad3]])),"Económico",IF(ISNUMBER(SEARCH("alim",PAA_4[[#This Row],[Actividad3]])),"Alimentación",IF(ISNUMBER(SEARCH("educ",PAA_4[[#This Row],[Actividad3]])),"Educativo","Técnico"))),0)</f>
        <v>Técnico</v>
      </c>
      <c r="AI651" s="47" t="e" cm="1">
        <f t="array" aca="1" ref="AI651" ca="1">_xlfn.XLOOKUP(PAA_4[[#This Row],[RCP-RUBRO]],[2]!COMPROMISOS_2024[[#All],[concatenado]],[2]!COMPROMISOS_2024[[#All],[Total pagado]],"",0)</f>
        <v>#NAME?</v>
      </c>
      <c r="AJ651" s="56" t="e">
        <f ca="1">IF(PAA_4[[#This Row],[BOLSA]]=0,0,SUMIFS([2]!COMPROMISOS_2024[[#All],[Total pagado]],[2]!COMPROMISOS_2024[[#All],[Bolsa]],PAA_4[[#This Row],[BOLSA]],[2]!COMPROMISOS_2024[[#All],[rubro]],PAA_4[[#This Row],[RCP-RUBRO]]))</f>
        <v>#REF!</v>
      </c>
      <c r="AK651" s="47" t="e" cm="1">
        <f t="array" aca="1" ref="AK651" ca="1">_xlfn.XLOOKUP(PAA_4[[#This Row],[RCP-RUBRO]],[2]!COMPROMISOS_2024[[#All],[concatenado]],[2]!COMPROMISOS_2024[[#All],[Total Comprometido]],"",0)</f>
        <v>#NAME?</v>
      </c>
      <c r="AL651" s="47" t="e">
        <f ca="1">IF(PAA_4[[#This Row],[BOLSA]]=0,0,SUMIFS([2]!COMPROMISOS_2024[[#All],[Total Comprometido]],[2]!COMPROMISOS_2024[[#All],[Bolsa]],PAA_4[[#This Row],[BOLSA]],[2]!COMPROMISOS_2024[[#All],[concatenado]],PAA_4[[#This Row],[RCP-RUBRO]]))</f>
        <v>#REF!</v>
      </c>
    </row>
    <row r="652" spans="1:38" s="19" customFormat="1" ht="31.5" customHeight="1">
      <c r="A652" s="47">
        <v>258</v>
      </c>
      <c r="B652" s="47">
        <v>80111600</v>
      </c>
      <c r="C652" s="47" t="str">
        <f>VLOOKUP(PAA_4[[#This Row],[PROYECTO (formulado)2]],[2]PROYECTOS!$G$1:$L$32,6,0)</f>
        <v>SUBGERENCIA DE ALTOS LOGROS Y DEPORTE ASOCIADO</v>
      </c>
      <c r="D652" s="47" t="str">
        <f>+IF(PAA_4[[#This Row],[UNIDAD DE CONTRATACION (formulado)]]="Subgerencia Administrativa y Financiera","FUNCIONAMIENTO","INVERSIÓN")</f>
        <v>INVERSIÓN</v>
      </c>
      <c r="E652" s="48" t="str">
        <f>VLOOKUP(Q652,[2]PROYECTOS!$G$1:$K$32,5,0)</f>
        <v>APOYO_TÉCNICO_Y_PSICOSOCIAL_A_LOS_DEPORTISTAS_DE_ANTIOQUIA</v>
      </c>
      <c r="F652" s="48">
        <f>VLOOKUP(E652,[2]PROYECTOS!$K$1:$M$32,3,0)</f>
        <v>2021003050069</v>
      </c>
      <c r="G652" s="49" t="s">
        <v>239</v>
      </c>
      <c r="H652" s="49" t="str">
        <f>VLOOKUP(Q652,[2]PROYECTOS!$V$1:$W$32,2,0)</f>
        <v>050069</v>
      </c>
      <c r="I652" s="50">
        <v>47452590</v>
      </c>
      <c r="J652" s="51" t="s">
        <v>1680</v>
      </c>
      <c r="K652" s="47" t="str">
        <f t="shared" ca="1" si="242"/>
        <v>CONTRATADO</v>
      </c>
      <c r="L652" s="47" t="s">
        <v>94</v>
      </c>
      <c r="M652" s="47" t="s">
        <v>1297</v>
      </c>
      <c r="N652" s="52" t="s">
        <v>240</v>
      </c>
      <c r="O652" s="51" t="e">
        <f>VLOOKUP(N652,[2]!RUBROS[#All],3,0)</f>
        <v>#REF!</v>
      </c>
      <c r="P652" s="53" t="e">
        <f>VLOOKUP(N652,[2]!RUBROS[#All],2,0)</f>
        <v>#REF!</v>
      </c>
      <c r="Q652" s="47" t="str">
        <f t="shared" si="243"/>
        <v>22</v>
      </c>
      <c r="R652" s="47" t="str">
        <f t="shared" si="244"/>
        <v>0-205400</v>
      </c>
      <c r="S652" s="54">
        <v>6</v>
      </c>
      <c r="T652" s="59" t="s">
        <v>46</v>
      </c>
      <c r="U652" s="326" t="e">
        <f ca="1">_xlfn.XLOOKUP(PAA_4[[#This Row],[ITEM]],[2]Contrato!A:A,[2]Contrato!Q:Q,"",0)</f>
        <v>#NAME?</v>
      </c>
      <c r="V652" s="47" t="s">
        <v>47</v>
      </c>
      <c r="W652" s="47" t="s">
        <v>137</v>
      </c>
      <c r="X652" s="47" t="s">
        <v>137</v>
      </c>
      <c r="Y652" s="55" t="e">
        <f ca="1">_xlfn.XLOOKUP(PAA_4[[#This Row],[ITEM]],[2]Contrato!A:A,[2]Contrato!B:B,"",0)</f>
        <v>#NAME?</v>
      </c>
      <c r="Z652" s="47" t="e">
        <f ca="1">_xlfn.XLOOKUP(PAA_4[[#This Row],[ITEM]],[2]Contrato!A:A,[2]Contrato!G:G,"",0)</f>
        <v>#NAME?</v>
      </c>
      <c r="AA652" s="47" t="e">
        <f ca="1">_xlfn.XLOOKUP(PAA_4[[#This Row],[ITEM]],[2]Contrato!A:A,[2]Contrato!T:T,"",0)</f>
        <v>#NAME?</v>
      </c>
      <c r="AB652" s="55" t="e">
        <f ca="1">+MAX(PAA_4[[#This Row],[Comprometido Contrato]],PAA_4[[#This Row],[Comprometido Bolsa]])</f>
        <v>#NAME?</v>
      </c>
      <c r="AC652" s="55" t="str">
        <f t="shared" ca="1" si="245"/>
        <v/>
      </c>
      <c r="AD652" s="55" t="e">
        <f ca="1">IF(PAA_4[[#This Row],[ESTADO (formulado)]]="NO CONTRATADO",0,MAX(PAA_4[[#This Row],[Pago por Contrato]],PAA_4[[#This Row],[Pago por bolsa]]))</f>
        <v>#NAME?</v>
      </c>
      <c r="AE652" s="55" t="str">
        <f t="shared" ca="1" si="246"/>
        <v/>
      </c>
      <c r="AF652" s="47" t="e">
        <f t="shared" ca="1" si="248"/>
        <v>#NAME?</v>
      </c>
      <c r="AG652" s="47">
        <f t="shared" si="247"/>
        <v>41080101</v>
      </c>
      <c r="AH652" s="54" t="str">
        <f>IF(Q652="22",IF(ISNUMBER(SEARCH("econ",PAA_4[[#This Row],[Actividad3]])),"Económico",IF(ISNUMBER(SEARCH("alim",PAA_4[[#This Row],[Actividad3]])),"Alimentación",IF(ISNUMBER(SEARCH("educ",PAA_4[[#This Row],[Actividad3]])),"Educativo","Técnico"))),0)</f>
        <v>Técnico</v>
      </c>
      <c r="AI652" s="47" t="e" cm="1">
        <f t="array" aca="1" ref="AI652" ca="1">_xlfn.XLOOKUP(PAA_4[[#This Row],[RCP-RUBRO]],[2]!COMPROMISOS_2024[[#All],[concatenado]],[2]!COMPROMISOS_2024[[#All],[Total pagado]],"",0)</f>
        <v>#NAME?</v>
      </c>
      <c r="AJ652" s="56" t="e">
        <f ca="1">IF(PAA_4[[#This Row],[BOLSA]]=0,0,SUMIFS([2]!COMPROMISOS_2024[[#All],[Total pagado]],[2]!COMPROMISOS_2024[[#All],[Bolsa]],PAA_4[[#This Row],[BOLSA]],[2]!COMPROMISOS_2024[[#All],[rubro]],PAA_4[[#This Row],[RCP-RUBRO]]))</f>
        <v>#REF!</v>
      </c>
      <c r="AK652" s="47" t="e" cm="1">
        <f t="array" aca="1" ref="AK652" ca="1">_xlfn.XLOOKUP(PAA_4[[#This Row],[RCP-RUBRO]],[2]!COMPROMISOS_2024[[#All],[concatenado]],[2]!COMPROMISOS_2024[[#All],[Total Comprometido]],"",0)</f>
        <v>#NAME?</v>
      </c>
      <c r="AL652" s="47" t="e">
        <f ca="1">IF(PAA_4[[#This Row],[BOLSA]]=0,0,SUMIFS([2]!COMPROMISOS_2024[[#All],[Total Comprometido]],[2]!COMPROMISOS_2024[[#All],[Bolsa]],PAA_4[[#This Row],[BOLSA]],[2]!COMPROMISOS_2024[[#All],[concatenado]],PAA_4[[#This Row],[RCP-RUBRO]]))</f>
        <v>#REF!</v>
      </c>
    </row>
    <row r="653" spans="1:38" s="19" customFormat="1" ht="31.5" customHeight="1">
      <c r="A653" s="47">
        <v>259</v>
      </c>
      <c r="B653" s="47">
        <v>80111600</v>
      </c>
      <c r="C653" s="47" t="str">
        <f>VLOOKUP(PAA_4[[#This Row],[PROYECTO (formulado)2]],[2]PROYECTOS!$G$1:$L$32,6,0)</f>
        <v>SUBGERENCIA DE ALTOS LOGROS Y DEPORTE ASOCIADO</v>
      </c>
      <c r="D653" s="47" t="str">
        <f>+IF(PAA_4[[#This Row],[UNIDAD DE CONTRATACION (formulado)]]="Subgerencia Administrativa y Financiera","FUNCIONAMIENTO","INVERSIÓN")</f>
        <v>INVERSIÓN</v>
      </c>
      <c r="E653" s="48" t="str">
        <f>VLOOKUP(Q653,[2]PROYECTOS!$G$1:$K$32,5,0)</f>
        <v>APOYO_TÉCNICO_Y_PSICOSOCIAL_A_LOS_DEPORTISTAS_DE_ANTIOQUIA</v>
      </c>
      <c r="F653" s="48">
        <f>VLOOKUP(E653,[2]PROYECTOS!$K$1:$M$32,3,0)</f>
        <v>2021003050069</v>
      </c>
      <c r="G653" s="49" t="s">
        <v>239</v>
      </c>
      <c r="H653" s="49" t="str">
        <f>VLOOKUP(Q653,[2]PROYECTOS!$V$1:$W$32,2,0)</f>
        <v>050069</v>
      </c>
      <c r="I653" s="50">
        <v>41521014</v>
      </c>
      <c r="J653" s="51" t="s">
        <v>1681</v>
      </c>
      <c r="K653" s="47" t="str">
        <f t="shared" ca="1" si="242"/>
        <v>CONTRATADO</v>
      </c>
      <c r="L653" s="47" t="s">
        <v>94</v>
      </c>
      <c r="M653" s="47" t="s">
        <v>1297</v>
      </c>
      <c r="N653" s="52" t="s">
        <v>240</v>
      </c>
      <c r="O653" s="51" t="e">
        <f>VLOOKUP(N653,[2]!RUBROS[#All],3,0)</f>
        <v>#REF!</v>
      </c>
      <c r="P653" s="53" t="e">
        <f>VLOOKUP(N653,[2]!RUBROS[#All],2,0)</f>
        <v>#REF!</v>
      </c>
      <c r="Q653" s="47" t="str">
        <f t="shared" si="243"/>
        <v>22</v>
      </c>
      <c r="R653" s="47" t="str">
        <f t="shared" si="244"/>
        <v>0-205400</v>
      </c>
      <c r="S653" s="54">
        <v>6</v>
      </c>
      <c r="T653" s="59" t="s">
        <v>46</v>
      </c>
      <c r="U653" s="326" t="e">
        <f ca="1">_xlfn.XLOOKUP(PAA_4[[#This Row],[ITEM]],[2]Contrato!A:A,[2]Contrato!Q:Q,"",0)</f>
        <v>#NAME?</v>
      </c>
      <c r="V653" s="47" t="s">
        <v>47</v>
      </c>
      <c r="W653" s="47" t="s">
        <v>137</v>
      </c>
      <c r="X653" s="47" t="s">
        <v>137</v>
      </c>
      <c r="Y653" s="55" t="e">
        <f ca="1">_xlfn.XLOOKUP(PAA_4[[#This Row],[ITEM]],[2]Contrato!A:A,[2]Contrato!B:B,"",0)</f>
        <v>#NAME?</v>
      </c>
      <c r="Z653" s="47" t="e">
        <f ca="1">_xlfn.XLOOKUP(PAA_4[[#This Row],[ITEM]],[2]Contrato!A:A,[2]Contrato!G:G,"",0)</f>
        <v>#NAME?</v>
      </c>
      <c r="AA653" s="47" t="e">
        <f ca="1">_xlfn.XLOOKUP(PAA_4[[#This Row],[ITEM]],[2]Contrato!A:A,[2]Contrato!T:T,"",0)</f>
        <v>#NAME?</v>
      </c>
      <c r="AB653" s="55" t="e">
        <f ca="1">+MAX(PAA_4[[#This Row],[Comprometido Contrato]],PAA_4[[#This Row],[Comprometido Bolsa]])</f>
        <v>#NAME?</v>
      </c>
      <c r="AC653" s="55" t="str">
        <f t="shared" ca="1" si="245"/>
        <v/>
      </c>
      <c r="AD653" s="55" t="e">
        <f ca="1">IF(PAA_4[[#This Row],[ESTADO (formulado)]]="NO CONTRATADO",0,MAX(PAA_4[[#This Row],[Pago por Contrato]],PAA_4[[#This Row],[Pago por bolsa]]))</f>
        <v>#NAME?</v>
      </c>
      <c r="AE653" s="55" t="str">
        <f t="shared" ca="1" si="246"/>
        <v/>
      </c>
      <c r="AF653" s="47" t="e">
        <f t="shared" ca="1" si="248"/>
        <v>#NAME?</v>
      </c>
      <c r="AG653" s="47">
        <f t="shared" si="247"/>
        <v>41080101</v>
      </c>
      <c r="AH653" s="54" t="str">
        <f>IF(Q653="22",IF(ISNUMBER(SEARCH("econ",PAA_4[[#This Row],[Actividad3]])),"Económico",IF(ISNUMBER(SEARCH("alim",PAA_4[[#This Row],[Actividad3]])),"Alimentación",IF(ISNUMBER(SEARCH("educ",PAA_4[[#This Row],[Actividad3]])),"Educativo","Técnico"))),0)</f>
        <v>Técnico</v>
      </c>
      <c r="AI653" s="47" t="e" cm="1">
        <f t="array" aca="1" ref="AI653" ca="1">_xlfn.XLOOKUP(PAA_4[[#This Row],[RCP-RUBRO]],[2]!COMPROMISOS_2024[[#All],[concatenado]],[2]!COMPROMISOS_2024[[#All],[Total pagado]],"",0)</f>
        <v>#NAME?</v>
      </c>
      <c r="AJ653" s="56" t="e">
        <f ca="1">IF(PAA_4[[#This Row],[BOLSA]]=0,0,SUMIFS([2]!COMPROMISOS_2024[[#All],[Total pagado]],[2]!COMPROMISOS_2024[[#All],[Bolsa]],PAA_4[[#This Row],[BOLSA]],[2]!COMPROMISOS_2024[[#All],[rubro]],PAA_4[[#This Row],[RCP-RUBRO]]))</f>
        <v>#REF!</v>
      </c>
      <c r="AK653" s="47" t="e" cm="1">
        <f t="array" aca="1" ref="AK653" ca="1">_xlfn.XLOOKUP(PAA_4[[#This Row],[RCP-RUBRO]],[2]!COMPROMISOS_2024[[#All],[concatenado]],[2]!COMPROMISOS_2024[[#All],[Total Comprometido]],"",0)</f>
        <v>#NAME?</v>
      </c>
      <c r="AL653" s="47" t="e">
        <f ca="1">IF(PAA_4[[#This Row],[BOLSA]]=0,0,SUMIFS([2]!COMPROMISOS_2024[[#All],[Total Comprometido]],[2]!COMPROMISOS_2024[[#All],[Bolsa]],PAA_4[[#This Row],[BOLSA]],[2]!COMPROMISOS_2024[[#All],[concatenado]],PAA_4[[#This Row],[RCP-RUBRO]]))</f>
        <v>#REF!</v>
      </c>
    </row>
    <row r="654" spans="1:38" s="19" customFormat="1" ht="31.5" customHeight="1">
      <c r="A654" s="47">
        <v>260</v>
      </c>
      <c r="B654" s="47">
        <v>80111600</v>
      </c>
      <c r="C654" s="47" t="str">
        <f>VLOOKUP(PAA_4[[#This Row],[PROYECTO (formulado)2]],[2]PROYECTOS!$G$1:$L$32,6,0)</f>
        <v>SUBGERENCIA DE ALTOS LOGROS Y DEPORTE ASOCIADO</v>
      </c>
      <c r="D654" s="47" t="str">
        <f>+IF(PAA_4[[#This Row],[UNIDAD DE CONTRATACION (formulado)]]="Subgerencia Administrativa y Financiera","FUNCIONAMIENTO","INVERSIÓN")</f>
        <v>INVERSIÓN</v>
      </c>
      <c r="E654" s="48" t="str">
        <f>VLOOKUP(Q654,[2]PROYECTOS!$G$1:$K$32,5,0)</f>
        <v>APOYO_TÉCNICO_Y_PSICOSOCIAL_A_LOS_DEPORTISTAS_DE_ANTIOQUIA</v>
      </c>
      <c r="F654" s="48">
        <f>VLOOKUP(E654,[2]PROYECTOS!$K$1:$M$32,3,0)</f>
        <v>2021003050069</v>
      </c>
      <c r="G654" s="49" t="s">
        <v>239</v>
      </c>
      <c r="H654" s="49" t="str">
        <f>VLOOKUP(Q654,[2]PROYECTOS!$V$1:$W$32,2,0)</f>
        <v>050069</v>
      </c>
      <c r="I654" s="50">
        <v>15449052</v>
      </c>
      <c r="J654" s="51" t="s">
        <v>1682</v>
      </c>
      <c r="K654" s="47" t="str">
        <f t="shared" ca="1" si="242"/>
        <v>CONTRATADO</v>
      </c>
      <c r="L654" s="47" t="s">
        <v>94</v>
      </c>
      <c r="M654" s="47" t="s">
        <v>1297</v>
      </c>
      <c r="N654" s="52" t="s">
        <v>240</v>
      </c>
      <c r="O654" s="51" t="e">
        <f>VLOOKUP(N654,[2]!RUBROS[#All],3,0)</f>
        <v>#REF!</v>
      </c>
      <c r="P654" s="53" t="e">
        <f>VLOOKUP(N654,[2]!RUBROS[#All],2,0)</f>
        <v>#REF!</v>
      </c>
      <c r="Q654" s="47" t="str">
        <f t="shared" si="243"/>
        <v>22</v>
      </c>
      <c r="R654" s="47" t="str">
        <f t="shared" si="244"/>
        <v>0-205400</v>
      </c>
      <c r="S654" s="54">
        <v>6</v>
      </c>
      <c r="T654" s="59" t="s">
        <v>46</v>
      </c>
      <c r="U654" s="326" t="e">
        <f ca="1">_xlfn.XLOOKUP(PAA_4[[#This Row],[ITEM]],[2]Contrato!A:A,[2]Contrato!Q:Q,"",0)</f>
        <v>#NAME?</v>
      </c>
      <c r="V654" s="47" t="s">
        <v>47</v>
      </c>
      <c r="W654" s="64" t="s">
        <v>137</v>
      </c>
      <c r="X654" s="64" t="s">
        <v>137</v>
      </c>
      <c r="Y654" s="55" t="e">
        <f ca="1">_xlfn.XLOOKUP(PAA_4[[#This Row],[ITEM]],[2]Contrato!A:A,[2]Contrato!B:B,"",0)</f>
        <v>#NAME?</v>
      </c>
      <c r="Z654" s="47" t="e">
        <f ca="1">_xlfn.XLOOKUP(PAA_4[[#This Row],[ITEM]],[2]Contrato!A:A,[2]Contrato!G:G,"",0)</f>
        <v>#NAME?</v>
      </c>
      <c r="AA654" s="47" t="e">
        <f ca="1">_xlfn.XLOOKUP(PAA_4[[#This Row],[ITEM]],[2]Contrato!A:A,[2]Contrato!T:T,"",0)</f>
        <v>#NAME?</v>
      </c>
      <c r="AB654" s="55" t="e">
        <f ca="1">+MAX(PAA_4[[#This Row],[Comprometido Contrato]],PAA_4[[#This Row],[Comprometido Bolsa]])</f>
        <v>#NAME?</v>
      </c>
      <c r="AC654" s="55" t="str">
        <f t="shared" ca="1" si="245"/>
        <v/>
      </c>
      <c r="AD654" s="55" t="e">
        <f ca="1">IF(PAA_4[[#This Row],[ESTADO (formulado)]]="NO CONTRATADO",0,MAX(PAA_4[[#This Row],[Pago por Contrato]],PAA_4[[#This Row],[Pago por bolsa]]))</f>
        <v>#NAME?</v>
      </c>
      <c r="AE654" s="55" t="str">
        <f t="shared" ca="1" si="246"/>
        <v/>
      </c>
      <c r="AF654" s="47" t="e">
        <f t="shared" ca="1" si="248"/>
        <v>#NAME?</v>
      </c>
      <c r="AG654" s="47">
        <f t="shared" si="247"/>
        <v>41080101</v>
      </c>
      <c r="AH654" s="54" t="str">
        <f>IF(Q654="22",IF(ISNUMBER(SEARCH("econ",PAA_4[[#This Row],[Actividad3]])),"Económico",IF(ISNUMBER(SEARCH("alim",PAA_4[[#This Row],[Actividad3]])),"Alimentación",IF(ISNUMBER(SEARCH("educ",PAA_4[[#This Row],[Actividad3]])),"Educativo","Técnico"))),0)</f>
        <v>Técnico</v>
      </c>
      <c r="AI654" s="47" t="e" cm="1">
        <f t="array" aca="1" ref="AI654" ca="1">_xlfn.XLOOKUP(PAA_4[[#This Row],[RCP-RUBRO]],[2]!COMPROMISOS_2024[[#All],[concatenado]],[2]!COMPROMISOS_2024[[#All],[Total pagado]],"",0)</f>
        <v>#NAME?</v>
      </c>
      <c r="AJ654" s="56" t="e">
        <f ca="1">IF(PAA_4[[#This Row],[BOLSA]]=0,0,SUMIFS([2]!COMPROMISOS_2024[[#All],[Total pagado]],[2]!COMPROMISOS_2024[[#All],[Bolsa]],PAA_4[[#This Row],[BOLSA]],[2]!COMPROMISOS_2024[[#All],[rubro]],PAA_4[[#This Row],[RCP-RUBRO]]))</f>
        <v>#REF!</v>
      </c>
      <c r="AK654" s="47" t="e" cm="1">
        <f t="array" aca="1" ref="AK654" ca="1">_xlfn.XLOOKUP(PAA_4[[#This Row],[RCP-RUBRO]],[2]!COMPROMISOS_2024[[#All],[concatenado]],[2]!COMPROMISOS_2024[[#All],[Total Comprometido]],"",0)</f>
        <v>#NAME?</v>
      </c>
      <c r="AL654" s="47" t="e">
        <f ca="1">IF(PAA_4[[#This Row],[BOLSA]]=0,0,SUMIFS([2]!COMPROMISOS_2024[[#All],[Total Comprometido]],[2]!COMPROMISOS_2024[[#All],[Bolsa]],PAA_4[[#This Row],[BOLSA]],[2]!COMPROMISOS_2024[[#All],[concatenado]],PAA_4[[#This Row],[RCP-RUBRO]]))</f>
        <v>#REF!</v>
      </c>
    </row>
    <row r="655" spans="1:38" s="19" customFormat="1" ht="31.5" customHeight="1">
      <c r="A655" s="47">
        <v>261</v>
      </c>
      <c r="B655" s="47">
        <v>80111600</v>
      </c>
      <c r="C655" s="47" t="str">
        <f>VLOOKUP(PAA_4[[#This Row],[PROYECTO (formulado)2]],[2]PROYECTOS!$G$1:$L$32,6,0)</f>
        <v>SUBGERENCIA DE ALTOS LOGROS Y DEPORTE ASOCIADO</v>
      </c>
      <c r="D655" s="47" t="str">
        <f>+IF(PAA_4[[#This Row],[UNIDAD DE CONTRATACION (formulado)]]="Subgerencia Administrativa y Financiera","FUNCIONAMIENTO","INVERSIÓN")</f>
        <v>INVERSIÓN</v>
      </c>
      <c r="E655" s="48" t="str">
        <f>VLOOKUP(Q655,[2]PROYECTOS!$G$1:$K$32,5,0)</f>
        <v>APOYO_TÉCNICO_Y_PSICOSOCIAL_A_LOS_DEPORTISTAS_DE_ANTIOQUIA</v>
      </c>
      <c r="F655" s="48">
        <f>VLOOKUP(E655,[2]PROYECTOS!$K$1:$M$32,3,0)</f>
        <v>2021003050069</v>
      </c>
      <c r="G655" s="49" t="s">
        <v>239</v>
      </c>
      <c r="H655" s="49" t="str">
        <f>VLOOKUP(Q655,[2]PROYECTOS!$V$1:$W$32,2,0)</f>
        <v>050069</v>
      </c>
      <c r="I655" s="50">
        <v>15449052</v>
      </c>
      <c r="J655" s="51" t="s">
        <v>1683</v>
      </c>
      <c r="K655" s="47" t="str">
        <f t="shared" ca="1" si="242"/>
        <v>CONTRATADO</v>
      </c>
      <c r="L655" s="47" t="s">
        <v>94</v>
      </c>
      <c r="M655" s="47" t="s">
        <v>1297</v>
      </c>
      <c r="N655" s="52" t="s">
        <v>240</v>
      </c>
      <c r="O655" s="51" t="e">
        <f>VLOOKUP(N655,[2]!RUBROS[#All],3,0)</f>
        <v>#REF!</v>
      </c>
      <c r="P655" s="53" t="e">
        <f>VLOOKUP(N655,[2]!RUBROS[#All],2,0)</f>
        <v>#REF!</v>
      </c>
      <c r="Q655" s="47" t="str">
        <f t="shared" si="243"/>
        <v>22</v>
      </c>
      <c r="R655" s="47" t="str">
        <f t="shared" si="244"/>
        <v>0-205400</v>
      </c>
      <c r="S655" s="54">
        <v>6</v>
      </c>
      <c r="T655" s="59" t="s">
        <v>46</v>
      </c>
      <c r="U655" s="326" t="e">
        <f ca="1">_xlfn.XLOOKUP(PAA_4[[#This Row],[ITEM]],[2]Contrato!A:A,[2]Contrato!Q:Q,"",0)</f>
        <v>#NAME?</v>
      </c>
      <c r="V655" s="47" t="s">
        <v>47</v>
      </c>
      <c r="W655" s="64" t="s">
        <v>137</v>
      </c>
      <c r="X655" s="64" t="s">
        <v>137</v>
      </c>
      <c r="Y655" s="55" t="e">
        <f ca="1">_xlfn.XLOOKUP(PAA_4[[#This Row],[ITEM]],[2]Contrato!A:A,[2]Contrato!B:B,"",0)</f>
        <v>#NAME?</v>
      </c>
      <c r="Z655" s="47" t="e">
        <f ca="1">_xlfn.XLOOKUP(PAA_4[[#This Row],[ITEM]],[2]Contrato!A:A,[2]Contrato!G:G,"",0)</f>
        <v>#NAME?</v>
      </c>
      <c r="AA655" s="47" t="e">
        <f ca="1">_xlfn.XLOOKUP(PAA_4[[#This Row],[ITEM]],[2]Contrato!A:A,[2]Contrato!T:T,"",0)</f>
        <v>#NAME?</v>
      </c>
      <c r="AB655" s="55" t="e">
        <f ca="1">+MAX(PAA_4[[#This Row],[Comprometido Contrato]],PAA_4[[#This Row],[Comprometido Bolsa]])</f>
        <v>#NAME?</v>
      </c>
      <c r="AC655" s="55" t="str">
        <f t="shared" ca="1" si="245"/>
        <v/>
      </c>
      <c r="AD655" s="55" t="e">
        <f ca="1">IF(PAA_4[[#This Row],[ESTADO (formulado)]]="NO CONTRATADO",0,MAX(PAA_4[[#This Row],[Pago por Contrato]],PAA_4[[#This Row],[Pago por bolsa]]))</f>
        <v>#NAME?</v>
      </c>
      <c r="AE655" s="55" t="str">
        <f t="shared" ca="1" si="246"/>
        <v/>
      </c>
      <c r="AF655" s="47" t="e">
        <f t="shared" ca="1" si="248"/>
        <v>#NAME?</v>
      </c>
      <c r="AG655" s="47">
        <f t="shared" si="247"/>
        <v>41080101</v>
      </c>
      <c r="AH655" s="54" t="str">
        <f>IF(Q655="22",IF(ISNUMBER(SEARCH("econ",PAA_4[[#This Row],[Actividad3]])),"Económico",IF(ISNUMBER(SEARCH("alim",PAA_4[[#This Row],[Actividad3]])),"Alimentación",IF(ISNUMBER(SEARCH("educ",PAA_4[[#This Row],[Actividad3]])),"Educativo","Técnico"))),0)</f>
        <v>Técnico</v>
      </c>
      <c r="AI655" s="47" t="e" cm="1">
        <f t="array" aca="1" ref="AI655" ca="1">_xlfn.XLOOKUP(PAA_4[[#This Row],[RCP-RUBRO]],[2]!COMPROMISOS_2024[[#All],[concatenado]],[2]!COMPROMISOS_2024[[#All],[Total pagado]],"",0)</f>
        <v>#NAME?</v>
      </c>
      <c r="AJ655" s="56" t="e">
        <f ca="1">IF(PAA_4[[#This Row],[BOLSA]]=0,0,SUMIFS([2]!COMPROMISOS_2024[[#All],[Total pagado]],[2]!COMPROMISOS_2024[[#All],[Bolsa]],PAA_4[[#This Row],[BOLSA]],[2]!COMPROMISOS_2024[[#All],[rubro]],PAA_4[[#This Row],[RCP-RUBRO]]))</f>
        <v>#REF!</v>
      </c>
      <c r="AK655" s="47" t="e" cm="1">
        <f t="array" aca="1" ref="AK655" ca="1">_xlfn.XLOOKUP(PAA_4[[#This Row],[RCP-RUBRO]],[2]!COMPROMISOS_2024[[#All],[concatenado]],[2]!COMPROMISOS_2024[[#All],[Total Comprometido]],"",0)</f>
        <v>#NAME?</v>
      </c>
      <c r="AL655" s="47" t="e">
        <f ca="1">IF(PAA_4[[#This Row],[BOLSA]]=0,0,SUMIFS([2]!COMPROMISOS_2024[[#All],[Total Comprometido]],[2]!COMPROMISOS_2024[[#All],[Bolsa]],PAA_4[[#This Row],[BOLSA]],[2]!COMPROMISOS_2024[[#All],[concatenado]],PAA_4[[#This Row],[RCP-RUBRO]]))</f>
        <v>#REF!</v>
      </c>
    </row>
    <row r="656" spans="1:38" s="19" customFormat="1" ht="31.5" customHeight="1">
      <c r="A656" s="47">
        <v>262</v>
      </c>
      <c r="B656" s="47">
        <v>80111600</v>
      </c>
      <c r="C656" s="47" t="str">
        <f>VLOOKUP(PAA_4[[#This Row],[PROYECTO (formulado)2]],[2]PROYECTOS!$G$1:$L$32,6,0)</f>
        <v>SUBGERENCIA DE ALTOS LOGROS Y DEPORTE ASOCIADO</v>
      </c>
      <c r="D656" s="47" t="str">
        <f>+IF(PAA_4[[#This Row],[UNIDAD DE CONTRATACION (formulado)]]="Subgerencia Administrativa y Financiera","FUNCIONAMIENTO","INVERSIÓN")</f>
        <v>INVERSIÓN</v>
      </c>
      <c r="E656" s="48" t="str">
        <f>VLOOKUP(Q656,[2]PROYECTOS!$G$1:$K$32,5,0)</f>
        <v>APOYO_TÉCNICO_Y_PSICOSOCIAL_A_LOS_DEPORTISTAS_DE_ANTIOQUIA</v>
      </c>
      <c r="F656" s="48">
        <f>VLOOKUP(E656,[2]PROYECTOS!$K$1:$M$32,3,0)</f>
        <v>2021003050069</v>
      </c>
      <c r="G656" s="49" t="s">
        <v>241</v>
      </c>
      <c r="H656" s="49" t="str">
        <f>VLOOKUP(Q656,[2]PROYECTOS!$V$1:$W$32,2,0)</f>
        <v>050069</v>
      </c>
      <c r="I656" s="50">
        <v>23714292</v>
      </c>
      <c r="J656" s="51" t="s">
        <v>1684</v>
      </c>
      <c r="K656" s="47" t="str">
        <f t="shared" ca="1" si="242"/>
        <v>CONTRATADO</v>
      </c>
      <c r="L656" s="47" t="s">
        <v>94</v>
      </c>
      <c r="M656" s="47" t="s">
        <v>1297</v>
      </c>
      <c r="N656" s="52" t="s">
        <v>240</v>
      </c>
      <c r="O656" s="51" t="e">
        <f>VLOOKUP(N656,[2]!RUBROS[#All],3,0)</f>
        <v>#REF!</v>
      </c>
      <c r="P656" s="53" t="e">
        <f>VLOOKUP(N656,[2]!RUBROS[#All],2,0)</f>
        <v>#REF!</v>
      </c>
      <c r="Q656" s="47" t="str">
        <f t="shared" si="243"/>
        <v>22</v>
      </c>
      <c r="R656" s="47" t="str">
        <f t="shared" si="244"/>
        <v>0-205400</v>
      </c>
      <c r="S656" s="54">
        <v>6</v>
      </c>
      <c r="T656" s="59" t="s">
        <v>46</v>
      </c>
      <c r="U656" s="326" t="e">
        <f ca="1">_xlfn.XLOOKUP(PAA_4[[#This Row],[ITEM]],[2]Contrato!A:A,[2]Contrato!Q:Q,"",0)</f>
        <v>#NAME?</v>
      </c>
      <c r="V656" s="47" t="s">
        <v>47</v>
      </c>
      <c r="W656" s="47" t="s">
        <v>137</v>
      </c>
      <c r="X656" s="47" t="s">
        <v>137</v>
      </c>
      <c r="Y656" s="55" t="e">
        <f ca="1">_xlfn.XLOOKUP(PAA_4[[#This Row],[ITEM]],[2]Contrato!A:A,[2]Contrato!B:B,"",0)</f>
        <v>#NAME?</v>
      </c>
      <c r="Z656" s="47" t="e">
        <f ca="1">_xlfn.XLOOKUP(PAA_4[[#This Row],[ITEM]],[2]Contrato!A:A,[2]Contrato!G:G,"",0)</f>
        <v>#NAME?</v>
      </c>
      <c r="AA656" s="47" t="e">
        <f ca="1">_xlfn.XLOOKUP(PAA_4[[#This Row],[ITEM]],[2]Contrato!A:A,[2]Contrato!T:T,"",0)</f>
        <v>#NAME?</v>
      </c>
      <c r="AB656" s="55" t="e">
        <f ca="1">+MAX(PAA_4[[#This Row],[Comprometido Contrato]],PAA_4[[#This Row],[Comprometido Bolsa]])</f>
        <v>#NAME?</v>
      </c>
      <c r="AC656" s="55" t="str">
        <f t="shared" ca="1" si="245"/>
        <v/>
      </c>
      <c r="AD656" s="55" t="e">
        <f ca="1">IF(PAA_4[[#This Row],[ESTADO (formulado)]]="NO CONTRATADO",0,MAX(PAA_4[[#This Row],[Pago por Contrato]],PAA_4[[#This Row],[Pago por bolsa]]))</f>
        <v>#NAME?</v>
      </c>
      <c r="AE656" s="55" t="str">
        <f t="shared" ca="1" si="246"/>
        <v/>
      </c>
      <c r="AF656" s="47" t="e">
        <f t="shared" ca="1" si="248"/>
        <v>#NAME?</v>
      </c>
      <c r="AG656" s="47">
        <f t="shared" si="247"/>
        <v>41080106</v>
      </c>
      <c r="AH656" s="54" t="str">
        <f>IF(Q656="22",IF(ISNUMBER(SEARCH("econ",PAA_4[[#This Row],[Actividad3]])),"Económico",IF(ISNUMBER(SEARCH("alim",PAA_4[[#This Row],[Actividad3]])),"Alimentación",IF(ISNUMBER(SEARCH("educ",PAA_4[[#This Row],[Actividad3]])),"Educativo","Técnico"))),0)</f>
        <v>Técnico</v>
      </c>
      <c r="AI656" s="47" t="e" cm="1">
        <f t="array" aca="1" ref="AI656" ca="1">_xlfn.XLOOKUP(PAA_4[[#This Row],[RCP-RUBRO]],[2]!COMPROMISOS_2024[[#All],[concatenado]],[2]!COMPROMISOS_2024[[#All],[Total pagado]],"",0)</f>
        <v>#NAME?</v>
      </c>
      <c r="AJ656" s="56" t="e">
        <f ca="1">IF(PAA_4[[#This Row],[BOLSA]]=0,0,SUMIFS([2]!COMPROMISOS_2024[[#All],[Total pagado]],[2]!COMPROMISOS_2024[[#All],[Bolsa]],PAA_4[[#This Row],[BOLSA]],[2]!COMPROMISOS_2024[[#All],[rubro]],PAA_4[[#This Row],[RCP-RUBRO]]))</f>
        <v>#REF!</v>
      </c>
      <c r="AK656" s="47" t="e" cm="1">
        <f t="array" aca="1" ref="AK656" ca="1">_xlfn.XLOOKUP(PAA_4[[#This Row],[RCP-RUBRO]],[2]!COMPROMISOS_2024[[#All],[concatenado]],[2]!COMPROMISOS_2024[[#All],[Total Comprometido]],"",0)</f>
        <v>#NAME?</v>
      </c>
      <c r="AL656" s="47" t="e">
        <f ca="1">IF(PAA_4[[#This Row],[BOLSA]]=0,0,SUMIFS([2]!COMPROMISOS_2024[[#All],[Total Comprometido]],[2]!COMPROMISOS_2024[[#All],[Bolsa]],PAA_4[[#This Row],[BOLSA]],[2]!COMPROMISOS_2024[[#All],[concatenado]],PAA_4[[#This Row],[RCP-RUBRO]]))</f>
        <v>#REF!</v>
      </c>
    </row>
    <row r="657" spans="1:38" s="19" customFormat="1" ht="31.5" customHeight="1">
      <c r="A657" s="47" t="s">
        <v>82</v>
      </c>
      <c r="B657" s="65" t="s">
        <v>42</v>
      </c>
      <c r="C657" s="47" t="str">
        <f>VLOOKUP(PAA_4[[#This Row],[PROYECTO (formulado)2]],[2]PROYECTOS!$G$1:$L$32,6,0)</f>
        <v>SUBGERENCIA DE ALTOS LOGROS Y DEPORTE ASOCIADO</v>
      </c>
      <c r="D657" s="47" t="str">
        <f>+IF(PAA_4[[#This Row],[UNIDAD DE CONTRATACION (formulado)]]="Subgerencia Administrativa y Financiera","FUNCIONAMIENTO","INVERSIÓN")</f>
        <v>INVERSIÓN</v>
      </c>
      <c r="E657" s="48" t="str">
        <f>VLOOKUP(Q657,[2]PROYECTOS!$G$1:$K$32,5,0)</f>
        <v>APOYO_TÉCNICO_Y_PSICOSOCIAL_A_LOS_DEPORTISTAS_DE_ANTIOQUIA</v>
      </c>
      <c r="F657" s="48">
        <f>VLOOKUP(E657,[2]PROYECTOS!$K$1:$M$32,3,0)</f>
        <v>2021003050069</v>
      </c>
      <c r="G657" s="49" t="s">
        <v>241</v>
      </c>
      <c r="H657" s="49" t="str">
        <f>VLOOKUP(Q657,[2]PROYECTOS!$V$1:$W$32,2,0)</f>
        <v>050069</v>
      </c>
      <c r="I657" s="50">
        <v>0</v>
      </c>
      <c r="J657" s="53" t="s">
        <v>1586</v>
      </c>
      <c r="K657" s="47" t="str">
        <f t="shared" ca="1" si="242"/>
        <v>CONTRATADO</v>
      </c>
      <c r="L657" s="47" t="s">
        <v>42</v>
      </c>
      <c r="M657" s="47" t="s">
        <v>42</v>
      </c>
      <c r="N657" s="52" t="s">
        <v>240</v>
      </c>
      <c r="O657" s="51" t="e">
        <f>VLOOKUP(N657,[2]!RUBROS[#All],3,0)</f>
        <v>#REF!</v>
      </c>
      <c r="P657" s="53" t="e">
        <f>VLOOKUP(N657,[2]!RUBROS[#All],2,0)</f>
        <v>#REF!</v>
      </c>
      <c r="Q657" s="47" t="str">
        <f t="shared" si="243"/>
        <v>22</v>
      </c>
      <c r="R657" s="47" t="str">
        <f t="shared" si="244"/>
        <v>0-205400</v>
      </c>
      <c r="S657" s="65" t="s">
        <v>42</v>
      </c>
      <c r="T657" s="59" t="s">
        <v>344</v>
      </c>
      <c r="U657" s="326" t="e">
        <f ca="1">_xlfn.XLOOKUP(PAA_4[[#This Row],[ITEM]],[2]Contrato!A:A,[2]Contrato!Q:Q,"",0)</f>
        <v>#NAME?</v>
      </c>
      <c r="V657" s="65" t="s">
        <v>95</v>
      </c>
      <c r="W657" s="65" t="s">
        <v>42</v>
      </c>
      <c r="X657" s="65" t="s">
        <v>42</v>
      </c>
      <c r="Y657" s="55" t="e">
        <f ca="1">_xlfn.XLOOKUP(PAA_4[[#This Row],[ITEM]],[2]Contrato!A:A,[2]Contrato!B:B,"",0)</f>
        <v>#NAME?</v>
      </c>
      <c r="Z657" s="47" t="e">
        <f ca="1">_xlfn.XLOOKUP(PAA_4[[#This Row],[ITEM]],[2]Contrato!A:A,[2]Contrato!G:G,"",0)</f>
        <v>#NAME?</v>
      </c>
      <c r="AA657" s="47" t="e">
        <f ca="1">_xlfn.XLOOKUP(PAA_4[[#This Row],[ITEM]],[2]Contrato!A:A,[2]Contrato!T:T,"",0)</f>
        <v>#NAME?</v>
      </c>
      <c r="AB657" s="55" t="e">
        <f ca="1">+MAX(PAA_4[[#This Row],[Comprometido Contrato]],PAA_4[[#This Row],[Comprometido Bolsa]])</f>
        <v>#NAME?</v>
      </c>
      <c r="AC657" s="55" t="str">
        <f t="shared" ca="1" si="245"/>
        <v/>
      </c>
      <c r="AD657" s="55" t="e">
        <f ca="1">IF(PAA_4[[#This Row],[ESTADO (formulado)]]="NO CONTRATADO",0,MAX(PAA_4[[#This Row],[Pago por Contrato]],PAA_4[[#This Row],[Pago por bolsa]]))</f>
        <v>#NAME?</v>
      </c>
      <c r="AE657" s="55" t="str">
        <f t="shared" ca="1" si="246"/>
        <v/>
      </c>
      <c r="AF657" s="47" t="e">
        <f t="shared" ca="1" si="248"/>
        <v>#NAME?</v>
      </c>
      <c r="AG657" s="47">
        <f t="shared" si="247"/>
        <v>41080106</v>
      </c>
      <c r="AH657" s="54" t="str">
        <f>IF(Q657="22",IF(ISNUMBER(SEARCH("econ",PAA_4[[#This Row],[Actividad3]])),"Económico",IF(ISNUMBER(SEARCH("alim",PAA_4[[#This Row],[Actividad3]])),"Alimentación",IF(ISNUMBER(SEARCH("educ",PAA_4[[#This Row],[Actividad3]])),"Educativo","Técnico"))),0)</f>
        <v>Técnico</v>
      </c>
      <c r="AI657" s="47" t="e" cm="1">
        <f t="array" aca="1" ref="AI657" ca="1">_xlfn.XLOOKUP(PAA_4[[#This Row],[RCP-RUBRO]],[2]!COMPROMISOS_2024[[#All],[concatenado]],[2]!COMPROMISOS_2024[[#All],[Total pagado]],"",0)</f>
        <v>#NAME?</v>
      </c>
      <c r="AJ657" s="56" t="e">
        <f ca="1">IF(PAA_4[[#This Row],[BOLSA]]=0,0,SUMIFS([2]!COMPROMISOS_2024[[#All],[Total pagado]],[2]!COMPROMISOS_2024[[#All],[Bolsa]],PAA_4[[#This Row],[BOLSA]],[2]!COMPROMISOS_2024[[#All],[rubro]],PAA_4[[#This Row],[RCP-RUBRO]]))</f>
        <v>#REF!</v>
      </c>
      <c r="AK657" s="47" t="e" cm="1">
        <f t="array" aca="1" ref="AK657" ca="1">_xlfn.XLOOKUP(PAA_4[[#This Row],[RCP-RUBRO]],[2]!COMPROMISOS_2024[[#All],[concatenado]],[2]!COMPROMISOS_2024[[#All],[Total Comprometido]],"",0)</f>
        <v>#NAME?</v>
      </c>
      <c r="AL657" s="47" t="e">
        <f ca="1">IF(PAA_4[[#This Row],[BOLSA]]=0,0,SUMIFS([2]!COMPROMISOS_2024[[#All],[Total Comprometido]],[2]!COMPROMISOS_2024[[#All],[Bolsa]],PAA_4[[#This Row],[BOLSA]],[2]!COMPROMISOS_2024[[#All],[concatenado]],PAA_4[[#This Row],[RCP-RUBRO]]))</f>
        <v>#REF!</v>
      </c>
    </row>
    <row r="658" spans="1:38" s="19" customFormat="1" ht="31.5" customHeight="1">
      <c r="A658" s="47">
        <v>263</v>
      </c>
      <c r="B658" s="47">
        <v>80111600</v>
      </c>
      <c r="C658" s="47" t="str">
        <f>VLOOKUP(PAA_4[[#This Row],[PROYECTO (formulado)2]],[2]PROYECTOS!$G$1:$L$32,6,0)</f>
        <v>SUBGERENCIA DE ALTOS LOGROS Y DEPORTE ASOCIADO</v>
      </c>
      <c r="D658" s="47" t="str">
        <f>+IF(PAA_4[[#This Row],[UNIDAD DE CONTRATACION (formulado)]]="Subgerencia Administrativa y Financiera","FUNCIONAMIENTO","INVERSIÓN")</f>
        <v>INVERSIÓN</v>
      </c>
      <c r="E658" s="48" t="str">
        <f>VLOOKUP(Q658,[2]PROYECTOS!$G$1:$K$32,5,0)</f>
        <v>APOYO_TÉCNICO_Y_PSICOSOCIAL_A_LOS_DEPORTISTAS_DE_ANTIOQUIA</v>
      </c>
      <c r="F658" s="48">
        <f>VLOOKUP(E658,[2]PROYECTOS!$K$1:$M$32,3,0)</f>
        <v>2021003050069</v>
      </c>
      <c r="G658" s="49" t="s">
        <v>241</v>
      </c>
      <c r="H658" s="49" t="str">
        <f>VLOOKUP(Q658,[2]PROYECTOS!$V$1:$W$32,2,0)</f>
        <v>050069</v>
      </c>
      <c r="I658" s="50">
        <f>23714292-19761910</f>
        <v>3952382</v>
      </c>
      <c r="J658" s="51" t="s">
        <v>1685</v>
      </c>
      <c r="K658" s="47" t="str">
        <f t="shared" ca="1" si="242"/>
        <v>CONTRATADO</v>
      </c>
      <c r="L658" s="47" t="s">
        <v>94</v>
      </c>
      <c r="M658" s="47" t="s">
        <v>1297</v>
      </c>
      <c r="N658" s="52" t="s">
        <v>240</v>
      </c>
      <c r="O658" s="51" t="e">
        <f>VLOOKUP(N658,[2]!RUBROS[#All],3,0)</f>
        <v>#REF!</v>
      </c>
      <c r="P658" s="53" t="e">
        <f>VLOOKUP(N658,[2]!RUBROS[#All],2,0)</f>
        <v>#REF!</v>
      </c>
      <c r="Q658" s="47" t="str">
        <f t="shared" si="243"/>
        <v>22</v>
      </c>
      <c r="R658" s="47" t="str">
        <f t="shared" si="244"/>
        <v>0-205400</v>
      </c>
      <c r="S658" s="54">
        <v>6</v>
      </c>
      <c r="T658" s="59" t="s">
        <v>46</v>
      </c>
      <c r="U658" s="326" t="e">
        <f ca="1">_xlfn.XLOOKUP(PAA_4[[#This Row],[ITEM]],[2]Contrato!A:A,[2]Contrato!Q:Q,"",0)</f>
        <v>#NAME?</v>
      </c>
      <c r="V658" s="47" t="s">
        <v>47</v>
      </c>
      <c r="W658" s="47" t="s">
        <v>137</v>
      </c>
      <c r="X658" s="47" t="s">
        <v>137</v>
      </c>
      <c r="Y658" s="55" t="e">
        <f ca="1">_xlfn.XLOOKUP(PAA_4[[#This Row],[ITEM]],[2]Contrato!A:A,[2]Contrato!B:B,"",0)</f>
        <v>#NAME?</v>
      </c>
      <c r="Z658" s="47" t="e">
        <f ca="1">_xlfn.XLOOKUP(PAA_4[[#This Row],[ITEM]],[2]Contrato!A:A,[2]Contrato!G:G,"",0)</f>
        <v>#NAME?</v>
      </c>
      <c r="AA658" s="47" t="e">
        <f ca="1">_xlfn.XLOOKUP(PAA_4[[#This Row],[ITEM]],[2]Contrato!A:A,[2]Contrato!T:T,"",0)</f>
        <v>#NAME?</v>
      </c>
      <c r="AB658" s="55" t="e">
        <f ca="1">+MAX(PAA_4[[#This Row],[Comprometido Contrato]],PAA_4[[#This Row],[Comprometido Bolsa]])</f>
        <v>#NAME?</v>
      </c>
      <c r="AC658" s="55" t="str">
        <f t="shared" ca="1" si="245"/>
        <v/>
      </c>
      <c r="AD658" s="55" t="e">
        <f ca="1">IF(PAA_4[[#This Row],[ESTADO (formulado)]]="NO CONTRATADO",0,MAX(PAA_4[[#This Row],[Pago por Contrato]],PAA_4[[#This Row],[Pago por bolsa]]))</f>
        <v>#NAME?</v>
      </c>
      <c r="AE658" s="55" t="str">
        <f t="shared" ca="1" si="246"/>
        <v/>
      </c>
      <c r="AF658" s="47" t="e">
        <f t="shared" ca="1" si="248"/>
        <v>#NAME?</v>
      </c>
      <c r="AG658" s="47">
        <f t="shared" si="247"/>
        <v>41080106</v>
      </c>
      <c r="AH658" s="54" t="str">
        <f>IF(Q658="22",IF(ISNUMBER(SEARCH("econ",PAA_4[[#This Row],[Actividad3]])),"Económico",IF(ISNUMBER(SEARCH("alim",PAA_4[[#This Row],[Actividad3]])),"Alimentación",IF(ISNUMBER(SEARCH("educ",PAA_4[[#This Row],[Actividad3]])),"Educativo","Técnico"))),0)</f>
        <v>Técnico</v>
      </c>
      <c r="AI658" s="47" t="e" cm="1">
        <f t="array" aca="1" ref="AI658" ca="1">_xlfn.XLOOKUP(PAA_4[[#This Row],[RCP-RUBRO]],[2]!COMPROMISOS_2024[[#All],[concatenado]],[2]!COMPROMISOS_2024[[#All],[Total pagado]],"",0)</f>
        <v>#NAME?</v>
      </c>
      <c r="AJ658" s="56" t="e">
        <f ca="1">IF(PAA_4[[#This Row],[BOLSA]]=0,0,SUMIFS([2]!COMPROMISOS_2024[[#All],[Total pagado]],[2]!COMPROMISOS_2024[[#All],[Bolsa]],PAA_4[[#This Row],[BOLSA]],[2]!COMPROMISOS_2024[[#All],[rubro]],PAA_4[[#This Row],[RCP-RUBRO]]))</f>
        <v>#REF!</v>
      </c>
      <c r="AK658" s="47" t="e" cm="1">
        <f t="array" aca="1" ref="AK658" ca="1">_xlfn.XLOOKUP(PAA_4[[#This Row],[RCP-RUBRO]],[2]!COMPROMISOS_2024[[#All],[concatenado]],[2]!COMPROMISOS_2024[[#All],[Total Comprometido]],"",0)</f>
        <v>#NAME?</v>
      </c>
      <c r="AL658" s="47" t="e">
        <f ca="1">IF(PAA_4[[#This Row],[BOLSA]]=0,0,SUMIFS([2]!COMPROMISOS_2024[[#All],[Total Comprometido]],[2]!COMPROMISOS_2024[[#All],[Bolsa]],PAA_4[[#This Row],[BOLSA]],[2]!COMPROMISOS_2024[[#All],[concatenado]],PAA_4[[#This Row],[RCP-RUBRO]]))</f>
        <v>#REF!</v>
      </c>
    </row>
    <row r="659" spans="1:38" s="19" customFormat="1" ht="31.5" customHeight="1">
      <c r="A659" s="47">
        <v>264</v>
      </c>
      <c r="B659" s="47">
        <v>80111600</v>
      </c>
      <c r="C659" s="47" t="str">
        <f>VLOOKUP(PAA_4[[#This Row],[PROYECTO (formulado)2]],[2]PROYECTOS!$G$1:$L$32,6,0)</f>
        <v>SUBGERENCIA DE ALTOS LOGROS Y DEPORTE ASOCIADO</v>
      </c>
      <c r="D659" s="47" t="str">
        <f>+IF(PAA_4[[#This Row],[UNIDAD DE CONTRATACION (formulado)]]="Subgerencia Administrativa y Financiera","FUNCIONAMIENTO","INVERSIÓN")</f>
        <v>INVERSIÓN</v>
      </c>
      <c r="E659" s="48" t="str">
        <f>VLOOKUP(Q659,[2]PROYECTOS!$G$1:$K$32,5,0)</f>
        <v>APOYO_TÉCNICO_Y_PSICOSOCIAL_A_LOS_DEPORTISTAS_DE_ANTIOQUIA</v>
      </c>
      <c r="F659" s="48">
        <f>VLOOKUP(E659,[2]PROYECTOS!$K$1:$M$32,3,0)</f>
        <v>2021003050069</v>
      </c>
      <c r="G659" s="49" t="s">
        <v>241</v>
      </c>
      <c r="H659" s="49" t="str">
        <f>VLOOKUP(Q659,[2]PROYECTOS!$V$1:$W$32,2,0)</f>
        <v>050069</v>
      </c>
      <c r="I659" s="50">
        <v>15449052</v>
      </c>
      <c r="J659" s="70" t="s">
        <v>1686</v>
      </c>
      <c r="K659" s="47" t="str">
        <f t="shared" ca="1" si="242"/>
        <v>CONTRATADO</v>
      </c>
      <c r="L659" s="47" t="s">
        <v>94</v>
      </c>
      <c r="M659" s="47" t="s">
        <v>1297</v>
      </c>
      <c r="N659" s="52" t="s">
        <v>240</v>
      </c>
      <c r="O659" s="51" t="e">
        <f>VLOOKUP(N659,[2]!RUBROS[#All],3,0)</f>
        <v>#REF!</v>
      </c>
      <c r="P659" s="53" t="e">
        <f>VLOOKUP(N659,[2]!RUBROS[#All],2,0)</f>
        <v>#REF!</v>
      </c>
      <c r="Q659" s="47" t="str">
        <f t="shared" si="243"/>
        <v>22</v>
      </c>
      <c r="R659" s="47" t="str">
        <f t="shared" si="244"/>
        <v>0-205400</v>
      </c>
      <c r="S659" s="54">
        <v>6</v>
      </c>
      <c r="T659" s="59" t="s">
        <v>46</v>
      </c>
      <c r="U659" s="326" t="e">
        <f ca="1">_xlfn.XLOOKUP(PAA_4[[#This Row],[ITEM]],[2]Contrato!A:A,[2]Contrato!Q:Q,"",0)</f>
        <v>#NAME?</v>
      </c>
      <c r="V659" s="47" t="s">
        <v>47</v>
      </c>
      <c r="W659" s="71" t="s">
        <v>137</v>
      </c>
      <c r="X659" s="47" t="s">
        <v>137</v>
      </c>
      <c r="Y659" s="55" t="e">
        <f ca="1">_xlfn.XLOOKUP(PAA_4[[#This Row],[ITEM]],[2]Contrato!A:A,[2]Contrato!B:B,"",0)</f>
        <v>#NAME?</v>
      </c>
      <c r="Z659" s="47" t="e">
        <f ca="1">_xlfn.XLOOKUP(PAA_4[[#This Row],[ITEM]],[2]Contrato!A:A,[2]Contrato!G:G,"",0)</f>
        <v>#NAME?</v>
      </c>
      <c r="AA659" s="47" t="e">
        <f ca="1">_xlfn.XLOOKUP(PAA_4[[#This Row],[ITEM]],[2]Contrato!A:A,[2]Contrato!T:T,"",0)</f>
        <v>#NAME?</v>
      </c>
      <c r="AB659" s="55" t="e">
        <f ca="1">+MAX(PAA_4[[#This Row],[Comprometido Contrato]],PAA_4[[#This Row],[Comprometido Bolsa]])</f>
        <v>#NAME?</v>
      </c>
      <c r="AC659" s="55" t="str">
        <f t="shared" ca="1" si="245"/>
        <v/>
      </c>
      <c r="AD659" s="55" t="e">
        <f ca="1">IF(PAA_4[[#This Row],[ESTADO (formulado)]]="NO CONTRATADO",0,MAX(PAA_4[[#This Row],[Pago por Contrato]],PAA_4[[#This Row],[Pago por bolsa]]))</f>
        <v>#NAME?</v>
      </c>
      <c r="AE659" s="55" t="str">
        <f t="shared" ca="1" si="246"/>
        <v/>
      </c>
      <c r="AF659" s="47" t="e">
        <f t="shared" ca="1" si="248"/>
        <v>#NAME?</v>
      </c>
      <c r="AG659" s="47">
        <f t="shared" si="247"/>
        <v>41080106</v>
      </c>
      <c r="AH659" s="54" t="str">
        <f>IF(Q659="22",IF(ISNUMBER(SEARCH("econ",PAA_4[[#This Row],[Actividad3]])),"Económico",IF(ISNUMBER(SEARCH("alim",PAA_4[[#This Row],[Actividad3]])),"Alimentación",IF(ISNUMBER(SEARCH("educ",PAA_4[[#This Row],[Actividad3]])),"Educativo","Técnico"))),0)</f>
        <v>Técnico</v>
      </c>
      <c r="AI659" s="47" t="e" cm="1">
        <f t="array" aca="1" ref="AI659" ca="1">_xlfn.XLOOKUP(PAA_4[[#This Row],[RCP-RUBRO]],[2]!COMPROMISOS_2024[[#All],[concatenado]],[2]!COMPROMISOS_2024[[#All],[Total pagado]],"",0)</f>
        <v>#NAME?</v>
      </c>
      <c r="AJ659" s="56" t="e">
        <f ca="1">IF(PAA_4[[#This Row],[BOLSA]]=0,0,SUMIFS([2]!COMPROMISOS_2024[[#All],[Total pagado]],[2]!COMPROMISOS_2024[[#All],[Bolsa]],PAA_4[[#This Row],[BOLSA]],[2]!COMPROMISOS_2024[[#All],[rubro]],PAA_4[[#This Row],[RCP-RUBRO]]))</f>
        <v>#REF!</v>
      </c>
      <c r="AK659" s="47" t="e" cm="1">
        <f t="array" aca="1" ref="AK659" ca="1">_xlfn.XLOOKUP(PAA_4[[#This Row],[RCP-RUBRO]],[2]!COMPROMISOS_2024[[#All],[concatenado]],[2]!COMPROMISOS_2024[[#All],[Total Comprometido]],"",0)</f>
        <v>#NAME?</v>
      </c>
      <c r="AL659" s="47" t="e">
        <f ca="1">IF(PAA_4[[#This Row],[BOLSA]]=0,0,SUMIFS([2]!COMPROMISOS_2024[[#All],[Total Comprometido]],[2]!COMPROMISOS_2024[[#All],[Bolsa]],PAA_4[[#This Row],[BOLSA]],[2]!COMPROMISOS_2024[[#All],[concatenado]],PAA_4[[#This Row],[RCP-RUBRO]]))</f>
        <v>#REF!</v>
      </c>
    </row>
    <row r="660" spans="1:38" s="19" customFormat="1" ht="31.5" customHeight="1">
      <c r="A660" s="47">
        <v>265</v>
      </c>
      <c r="B660" s="47">
        <v>80111600</v>
      </c>
      <c r="C660" s="47" t="str">
        <f>VLOOKUP(PAA_4[[#This Row],[PROYECTO (formulado)2]],[2]PROYECTOS!$G$1:$L$32,6,0)</f>
        <v>SUBGERENCIA DE ALTOS LOGROS Y DEPORTE ASOCIADO</v>
      </c>
      <c r="D660" s="47" t="str">
        <f>+IF(PAA_4[[#This Row],[UNIDAD DE CONTRATACION (formulado)]]="Subgerencia Administrativa y Financiera","FUNCIONAMIENTO","INVERSIÓN")</f>
        <v>INVERSIÓN</v>
      </c>
      <c r="E660" s="48" t="str">
        <f>VLOOKUP(Q660,[2]PROYECTOS!$G$1:$K$32,5,0)</f>
        <v>APOYO_TÉCNICO_Y_PSICOSOCIAL_A_LOS_DEPORTISTAS_DE_ANTIOQUIA</v>
      </c>
      <c r="F660" s="48">
        <f>VLOOKUP(E660,[2]PROYECTOS!$K$1:$M$32,3,0)</f>
        <v>2021003050069</v>
      </c>
      <c r="G660" s="49" t="s">
        <v>241</v>
      </c>
      <c r="H660" s="49" t="str">
        <f>VLOOKUP(Q660,[2]PROYECTOS!$V$1:$W$32,2,0)</f>
        <v>050069</v>
      </c>
      <c r="I660" s="50">
        <v>23714292</v>
      </c>
      <c r="J660" s="51" t="s">
        <v>1687</v>
      </c>
      <c r="K660" s="47" t="str">
        <f t="shared" ca="1" si="242"/>
        <v>CONTRATADO</v>
      </c>
      <c r="L660" s="47" t="s">
        <v>94</v>
      </c>
      <c r="M660" s="47" t="s">
        <v>1297</v>
      </c>
      <c r="N660" s="52" t="s">
        <v>240</v>
      </c>
      <c r="O660" s="51" t="e">
        <f>VLOOKUP(N660,[2]!RUBROS[#All],3,0)</f>
        <v>#REF!</v>
      </c>
      <c r="P660" s="53" t="e">
        <f>VLOOKUP(N660,[2]!RUBROS[#All],2,0)</f>
        <v>#REF!</v>
      </c>
      <c r="Q660" s="47" t="str">
        <f t="shared" si="243"/>
        <v>22</v>
      </c>
      <c r="R660" s="47" t="str">
        <f t="shared" si="244"/>
        <v>0-205400</v>
      </c>
      <c r="S660" s="54">
        <v>6</v>
      </c>
      <c r="T660" s="59" t="s">
        <v>46</v>
      </c>
      <c r="U660" s="326" t="e">
        <f ca="1">_xlfn.XLOOKUP(PAA_4[[#This Row],[ITEM]],[2]Contrato!A:A,[2]Contrato!Q:Q,"",0)</f>
        <v>#NAME?</v>
      </c>
      <c r="V660" s="47" t="s">
        <v>47</v>
      </c>
      <c r="W660" s="64" t="s">
        <v>137</v>
      </c>
      <c r="X660" s="64" t="s">
        <v>137</v>
      </c>
      <c r="Y660" s="55" t="e">
        <f ca="1">_xlfn.XLOOKUP(PAA_4[[#This Row],[ITEM]],[2]Contrato!A:A,[2]Contrato!B:B,"",0)</f>
        <v>#NAME?</v>
      </c>
      <c r="Z660" s="47" t="e">
        <f ca="1">_xlfn.XLOOKUP(PAA_4[[#This Row],[ITEM]],[2]Contrato!A:A,[2]Contrato!G:G,"",0)</f>
        <v>#NAME?</v>
      </c>
      <c r="AA660" s="47" t="e">
        <f ca="1">_xlfn.XLOOKUP(PAA_4[[#This Row],[ITEM]],[2]Contrato!A:A,[2]Contrato!T:T,"",0)</f>
        <v>#NAME?</v>
      </c>
      <c r="AB660" s="55" t="e">
        <f ca="1">+MAX(PAA_4[[#This Row],[Comprometido Contrato]],PAA_4[[#This Row],[Comprometido Bolsa]])</f>
        <v>#NAME?</v>
      </c>
      <c r="AC660" s="55" t="str">
        <f t="shared" ca="1" si="245"/>
        <v/>
      </c>
      <c r="AD660" s="55" t="e">
        <f ca="1">IF(PAA_4[[#This Row],[ESTADO (formulado)]]="NO CONTRATADO",0,MAX(PAA_4[[#This Row],[Pago por Contrato]],PAA_4[[#This Row],[Pago por bolsa]]))</f>
        <v>#NAME?</v>
      </c>
      <c r="AE660" s="55" t="str">
        <f t="shared" ca="1" si="246"/>
        <v/>
      </c>
      <c r="AF660" s="47" t="e">
        <f t="shared" ca="1" si="248"/>
        <v>#NAME?</v>
      </c>
      <c r="AG660" s="47">
        <f t="shared" si="247"/>
        <v>41080106</v>
      </c>
      <c r="AH660" s="54" t="str">
        <f>IF(Q660="22",IF(ISNUMBER(SEARCH("econ",PAA_4[[#This Row],[Actividad3]])),"Económico",IF(ISNUMBER(SEARCH("alim",PAA_4[[#This Row],[Actividad3]])),"Alimentación",IF(ISNUMBER(SEARCH("educ",PAA_4[[#This Row],[Actividad3]])),"Educativo","Técnico"))),0)</f>
        <v>Técnico</v>
      </c>
      <c r="AI660" s="47" t="e" cm="1">
        <f t="array" aca="1" ref="AI660" ca="1">_xlfn.XLOOKUP(PAA_4[[#This Row],[RCP-RUBRO]],[2]!COMPROMISOS_2024[[#All],[concatenado]],[2]!COMPROMISOS_2024[[#All],[Total pagado]],"",0)</f>
        <v>#NAME?</v>
      </c>
      <c r="AJ660" s="56" t="e">
        <f ca="1">IF(PAA_4[[#This Row],[BOLSA]]=0,0,SUMIFS([2]!COMPROMISOS_2024[[#All],[Total pagado]],[2]!COMPROMISOS_2024[[#All],[Bolsa]],PAA_4[[#This Row],[BOLSA]],[2]!COMPROMISOS_2024[[#All],[rubro]],PAA_4[[#This Row],[RCP-RUBRO]]))</f>
        <v>#REF!</v>
      </c>
      <c r="AK660" s="47" t="e" cm="1">
        <f t="array" aca="1" ref="AK660" ca="1">_xlfn.XLOOKUP(PAA_4[[#This Row],[RCP-RUBRO]],[2]!COMPROMISOS_2024[[#All],[concatenado]],[2]!COMPROMISOS_2024[[#All],[Total Comprometido]],"",0)</f>
        <v>#NAME?</v>
      </c>
      <c r="AL660" s="47" t="e">
        <f ca="1">IF(PAA_4[[#This Row],[BOLSA]]=0,0,SUMIFS([2]!COMPROMISOS_2024[[#All],[Total Comprometido]],[2]!COMPROMISOS_2024[[#All],[Bolsa]],PAA_4[[#This Row],[BOLSA]],[2]!COMPROMISOS_2024[[#All],[concatenado]],PAA_4[[#This Row],[RCP-RUBRO]]))</f>
        <v>#REF!</v>
      </c>
    </row>
    <row r="661" spans="1:38" s="19" customFormat="1" ht="31.5" customHeight="1">
      <c r="A661" s="47">
        <v>266</v>
      </c>
      <c r="B661" s="47">
        <v>80111600</v>
      </c>
      <c r="C661" s="47" t="str">
        <f>VLOOKUP(PAA_4[[#This Row],[PROYECTO (formulado)2]],[2]PROYECTOS!$G$1:$L$32,6,0)</f>
        <v>SUBGERENCIA DE ALTOS LOGROS Y DEPORTE ASOCIADO</v>
      </c>
      <c r="D661" s="47" t="str">
        <f>+IF(PAA_4[[#This Row],[UNIDAD DE CONTRATACION (formulado)]]="Subgerencia Administrativa y Financiera","FUNCIONAMIENTO","INVERSIÓN")</f>
        <v>INVERSIÓN</v>
      </c>
      <c r="E661" s="48" t="str">
        <f>VLOOKUP(Q661,[2]PROYECTOS!$G$1:$K$32,5,0)</f>
        <v>APOYO_TÉCNICO_Y_PSICOSOCIAL_A_LOS_DEPORTISTAS_DE_ANTIOQUIA</v>
      </c>
      <c r="F661" s="48">
        <f>VLOOKUP(E661,[2]PROYECTOS!$K$1:$M$32,3,0)</f>
        <v>2021003050069</v>
      </c>
      <c r="G661" s="49" t="s">
        <v>239</v>
      </c>
      <c r="H661" s="49" t="str">
        <f>VLOOKUP(Q661,[2]PROYECTOS!$V$1:$W$32,2,0)</f>
        <v>050069</v>
      </c>
      <c r="I661" s="50">
        <v>15449052</v>
      </c>
      <c r="J661" s="51" t="s">
        <v>1688</v>
      </c>
      <c r="K661" s="47" t="str">
        <f t="shared" ca="1" si="242"/>
        <v>CONTRATADO</v>
      </c>
      <c r="L661" s="47" t="s">
        <v>94</v>
      </c>
      <c r="M661" s="47" t="s">
        <v>1297</v>
      </c>
      <c r="N661" s="52" t="s">
        <v>240</v>
      </c>
      <c r="O661" s="51" t="e">
        <f>VLOOKUP(N661,[2]!RUBROS[#All],3,0)</f>
        <v>#REF!</v>
      </c>
      <c r="P661" s="53" t="e">
        <f>VLOOKUP(N661,[2]!RUBROS[#All],2,0)</f>
        <v>#REF!</v>
      </c>
      <c r="Q661" s="47" t="str">
        <f t="shared" si="243"/>
        <v>22</v>
      </c>
      <c r="R661" s="47" t="str">
        <f t="shared" si="244"/>
        <v>0-205400</v>
      </c>
      <c r="S661" s="54">
        <v>6</v>
      </c>
      <c r="T661" s="59" t="s">
        <v>46</v>
      </c>
      <c r="U661" s="326" t="e">
        <f ca="1">_xlfn.XLOOKUP(PAA_4[[#This Row],[ITEM]],[2]Contrato!A:A,[2]Contrato!Q:Q,"",0)</f>
        <v>#NAME?</v>
      </c>
      <c r="V661" s="47" t="s">
        <v>47</v>
      </c>
      <c r="W661" s="64" t="s">
        <v>137</v>
      </c>
      <c r="X661" s="64" t="s">
        <v>137</v>
      </c>
      <c r="Y661" s="55" t="e">
        <f ca="1">_xlfn.XLOOKUP(PAA_4[[#This Row],[ITEM]],[2]Contrato!A:A,[2]Contrato!B:B,"",0)</f>
        <v>#NAME?</v>
      </c>
      <c r="Z661" s="47" t="e">
        <f ca="1">_xlfn.XLOOKUP(PAA_4[[#This Row],[ITEM]],[2]Contrato!A:A,[2]Contrato!G:G,"",0)</f>
        <v>#NAME?</v>
      </c>
      <c r="AA661" s="47" t="e">
        <f ca="1">_xlfn.XLOOKUP(PAA_4[[#This Row],[ITEM]],[2]Contrato!A:A,[2]Contrato!T:T,"",0)</f>
        <v>#NAME?</v>
      </c>
      <c r="AB661" s="55" t="e">
        <f ca="1">+MAX(PAA_4[[#This Row],[Comprometido Contrato]],PAA_4[[#This Row],[Comprometido Bolsa]])</f>
        <v>#NAME?</v>
      </c>
      <c r="AC661" s="55" t="str">
        <f t="shared" ca="1" si="245"/>
        <v/>
      </c>
      <c r="AD661" s="55" t="e">
        <f ca="1">IF(PAA_4[[#This Row],[ESTADO (formulado)]]="NO CONTRATADO",0,MAX(PAA_4[[#This Row],[Pago por Contrato]],PAA_4[[#This Row],[Pago por bolsa]]))</f>
        <v>#NAME?</v>
      </c>
      <c r="AE661" s="55" t="str">
        <f t="shared" ca="1" si="246"/>
        <v/>
      </c>
      <c r="AF661" s="47" t="e">
        <f t="shared" ca="1" si="248"/>
        <v>#NAME?</v>
      </c>
      <c r="AG661" s="47">
        <f t="shared" si="247"/>
        <v>41080101</v>
      </c>
      <c r="AH661" s="54" t="str">
        <f>IF(Q661="22",IF(ISNUMBER(SEARCH("econ",PAA_4[[#This Row],[Actividad3]])),"Económico",IF(ISNUMBER(SEARCH("alim",PAA_4[[#This Row],[Actividad3]])),"Alimentación",IF(ISNUMBER(SEARCH("educ",PAA_4[[#This Row],[Actividad3]])),"Educativo","Técnico"))),0)</f>
        <v>Técnico</v>
      </c>
      <c r="AI661" s="47" t="e" cm="1">
        <f t="array" aca="1" ref="AI661" ca="1">_xlfn.XLOOKUP(PAA_4[[#This Row],[RCP-RUBRO]],[2]!COMPROMISOS_2024[[#All],[concatenado]],[2]!COMPROMISOS_2024[[#All],[Total pagado]],"",0)</f>
        <v>#NAME?</v>
      </c>
      <c r="AJ661" s="56" t="e">
        <f ca="1">IF(PAA_4[[#This Row],[BOLSA]]=0,0,SUMIFS([2]!COMPROMISOS_2024[[#All],[Total pagado]],[2]!COMPROMISOS_2024[[#All],[Bolsa]],PAA_4[[#This Row],[BOLSA]],[2]!COMPROMISOS_2024[[#All],[rubro]],PAA_4[[#This Row],[RCP-RUBRO]]))</f>
        <v>#REF!</v>
      </c>
      <c r="AK661" s="47" t="e" cm="1">
        <f t="array" aca="1" ref="AK661" ca="1">_xlfn.XLOOKUP(PAA_4[[#This Row],[RCP-RUBRO]],[2]!COMPROMISOS_2024[[#All],[concatenado]],[2]!COMPROMISOS_2024[[#All],[Total Comprometido]],"",0)</f>
        <v>#NAME?</v>
      </c>
      <c r="AL661" s="47" t="e">
        <f ca="1">IF(PAA_4[[#This Row],[BOLSA]]=0,0,SUMIFS([2]!COMPROMISOS_2024[[#All],[Total Comprometido]],[2]!COMPROMISOS_2024[[#All],[Bolsa]],PAA_4[[#This Row],[BOLSA]],[2]!COMPROMISOS_2024[[#All],[concatenado]],PAA_4[[#This Row],[RCP-RUBRO]]))</f>
        <v>#REF!</v>
      </c>
    </row>
    <row r="662" spans="1:38" s="19" customFormat="1" ht="31.5" customHeight="1">
      <c r="A662" s="47">
        <v>267</v>
      </c>
      <c r="B662" s="47">
        <v>80111600</v>
      </c>
      <c r="C662" s="47" t="str">
        <f>VLOOKUP(PAA_4[[#This Row],[PROYECTO (formulado)2]],[2]PROYECTOS!$G$1:$L$32,6,0)</f>
        <v>SUBGERENCIA DE ALTOS LOGROS Y DEPORTE ASOCIADO</v>
      </c>
      <c r="D662" s="47" t="str">
        <f>+IF(PAA_4[[#This Row],[UNIDAD DE CONTRATACION (formulado)]]="Subgerencia Administrativa y Financiera","FUNCIONAMIENTO","INVERSIÓN")</f>
        <v>INVERSIÓN</v>
      </c>
      <c r="E662" s="48" t="str">
        <f>VLOOKUP(Q662,[2]PROYECTOS!$G$1:$K$32,5,0)</f>
        <v>APOYO_TÉCNICO_Y_PSICOSOCIAL_A_LOS_DEPORTISTAS_DE_ANTIOQUIA</v>
      </c>
      <c r="F662" s="48">
        <f>VLOOKUP(E662,[2]PROYECTOS!$K$1:$M$32,3,0)</f>
        <v>2021003050069</v>
      </c>
      <c r="G662" s="49" t="s">
        <v>239</v>
      </c>
      <c r="H662" s="49" t="str">
        <f>VLOOKUP(Q662,[2]PROYECTOS!$V$1:$W$32,2,0)</f>
        <v>050069</v>
      </c>
      <c r="I662" s="50">
        <v>7724526</v>
      </c>
      <c r="J662" s="51" t="s">
        <v>1689</v>
      </c>
      <c r="K662" s="47" t="str">
        <f t="shared" ca="1" si="242"/>
        <v>CONTRATADO</v>
      </c>
      <c r="L662" s="47" t="s">
        <v>94</v>
      </c>
      <c r="M662" s="47" t="s">
        <v>1297</v>
      </c>
      <c r="N662" s="52" t="s">
        <v>240</v>
      </c>
      <c r="O662" s="51" t="e">
        <f>VLOOKUP(N662,[2]!RUBROS[#All],3,0)</f>
        <v>#REF!</v>
      </c>
      <c r="P662" s="53" t="e">
        <f>VLOOKUP(N662,[2]!RUBROS[#All],2,0)</f>
        <v>#REF!</v>
      </c>
      <c r="Q662" s="47" t="str">
        <f t="shared" ref="Q662:Q733" si="249">+MID(N662,11,2)</f>
        <v>22</v>
      </c>
      <c r="R662" s="47" t="str">
        <f t="shared" si="244"/>
        <v>0-205400</v>
      </c>
      <c r="S662" s="54">
        <v>3</v>
      </c>
      <c r="T662" s="59" t="s">
        <v>46</v>
      </c>
      <c r="U662" s="326" t="e">
        <f ca="1">_xlfn.XLOOKUP(PAA_4[[#This Row],[ITEM]],[2]Contrato!A:A,[2]Contrato!Q:Q,"",0)</f>
        <v>#NAME?</v>
      </c>
      <c r="V662" s="47" t="s">
        <v>47</v>
      </c>
      <c r="W662" s="47" t="s">
        <v>96</v>
      </c>
      <c r="X662" s="47" t="s">
        <v>96</v>
      </c>
      <c r="Y662" s="55" t="e">
        <f ca="1">_xlfn.XLOOKUP(PAA_4[[#This Row],[ITEM]],[2]Contrato!A:A,[2]Contrato!B:B,"",0)</f>
        <v>#NAME?</v>
      </c>
      <c r="Z662" s="47" t="e">
        <f ca="1">_xlfn.XLOOKUP(PAA_4[[#This Row],[ITEM]],[2]Contrato!A:A,[2]Contrato!G:G,"",0)</f>
        <v>#NAME?</v>
      </c>
      <c r="AA662" s="47" t="e">
        <f ca="1">_xlfn.XLOOKUP(PAA_4[[#This Row],[ITEM]],[2]Contrato!A:A,[2]Contrato!T:T,"",0)</f>
        <v>#NAME?</v>
      </c>
      <c r="AB662" s="55" t="e">
        <f ca="1">+MAX(PAA_4[[#This Row],[Comprometido Contrato]],PAA_4[[#This Row],[Comprometido Bolsa]])</f>
        <v>#NAME?</v>
      </c>
      <c r="AC662" s="55" t="str">
        <f t="shared" ca="1" si="245"/>
        <v/>
      </c>
      <c r="AD662" s="55" t="e">
        <f ca="1">IF(PAA_4[[#This Row],[ESTADO (formulado)]]="NO CONTRATADO",0,MAX(PAA_4[[#This Row],[Pago por Contrato]],PAA_4[[#This Row],[Pago por bolsa]]))</f>
        <v>#NAME?</v>
      </c>
      <c r="AE662" s="55" t="str">
        <f t="shared" ca="1" si="246"/>
        <v/>
      </c>
      <c r="AF662" s="47" t="e">
        <f t="shared" ca="1" si="248"/>
        <v>#NAME?</v>
      </c>
      <c r="AG662" s="47">
        <f t="shared" si="247"/>
        <v>41080101</v>
      </c>
      <c r="AH662" s="54" t="str">
        <f>IF(Q662="22",IF(ISNUMBER(SEARCH("econ",PAA_4[[#This Row],[Actividad3]])),"Económico",IF(ISNUMBER(SEARCH("alim",PAA_4[[#This Row],[Actividad3]])),"Alimentación",IF(ISNUMBER(SEARCH("educ",PAA_4[[#This Row],[Actividad3]])),"Educativo","Técnico"))),0)</f>
        <v>Técnico</v>
      </c>
      <c r="AI662" s="47" t="e" cm="1">
        <f t="array" aca="1" ref="AI662" ca="1">_xlfn.XLOOKUP(PAA_4[[#This Row],[RCP-RUBRO]],[2]!COMPROMISOS_2024[[#All],[concatenado]],[2]!COMPROMISOS_2024[[#All],[Total pagado]],"",0)</f>
        <v>#NAME?</v>
      </c>
      <c r="AJ662" s="56" t="e">
        <f ca="1">IF(PAA_4[[#This Row],[BOLSA]]=0,0,SUMIFS([2]!COMPROMISOS_2024[[#All],[Total pagado]],[2]!COMPROMISOS_2024[[#All],[Bolsa]],PAA_4[[#This Row],[BOLSA]],[2]!COMPROMISOS_2024[[#All],[rubro]],PAA_4[[#This Row],[RCP-RUBRO]]))</f>
        <v>#REF!</v>
      </c>
      <c r="AK662" s="47" t="e" cm="1">
        <f t="array" aca="1" ref="AK662" ca="1">_xlfn.XLOOKUP(PAA_4[[#This Row],[RCP-RUBRO]],[2]!COMPROMISOS_2024[[#All],[concatenado]],[2]!COMPROMISOS_2024[[#All],[Total Comprometido]],"",0)</f>
        <v>#NAME?</v>
      </c>
      <c r="AL662" s="47" t="e">
        <f ca="1">IF(PAA_4[[#This Row],[BOLSA]]=0,0,SUMIFS([2]!COMPROMISOS_2024[[#All],[Total Comprometido]],[2]!COMPROMISOS_2024[[#All],[Bolsa]],PAA_4[[#This Row],[BOLSA]],[2]!COMPROMISOS_2024[[#All],[concatenado]],PAA_4[[#This Row],[RCP-RUBRO]]))</f>
        <v>#REF!</v>
      </c>
    </row>
    <row r="663" spans="1:38" s="19" customFormat="1" ht="31.5" customHeight="1">
      <c r="A663" s="47">
        <v>268</v>
      </c>
      <c r="B663" s="47">
        <v>80111600</v>
      </c>
      <c r="C663" s="47" t="str">
        <f>VLOOKUP(PAA_4[[#This Row],[PROYECTO (formulado)2]],[2]PROYECTOS!$G$1:$L$32,6,0)</f>
        <v>SUBGERENCIA DE ALTOS LOGROS Y DEPORTE ASOCIADO</v>
      </c>
      <c r="D663" s="47" t="str">
        <f>+IF(PAA_4[[#This Row],[UNIDAD DE CONTRATACION (formulado)]]="Subgerencia Administrativa y Financiera","FUNCIONAMIENTO","INVERSIÓN")</f>
        <v>INVERSIÓN</v>
      </c>
      <c r="E663" s="48" t="str">
        <f>VLOOKUP(Q663,[2]PROYECTOS!$G$1:$K$32,5,0)</f>
        <v>APOYO_TÉCNICO_Y_PSICOSOCIAL_A_LOS_DEPORTISTAS_DE_ANTIOQUIA</v>
      </c>
      <c r="F663" s="48">
        <f>VLOOKUP(E663,[2]PROYECTOS!$K$1:$M$32,3,0)</f>
        <v>2021003050069</v>
      </c>
      <c r="G663" s="49" t="s">
        <v>239</v>
      </c>
      <c r="H663" s="49" t="str">
        <f>VLOOKUP(Q663,[2]PROYECTOS!$V$1:$W$32,2,0)</f>
        <v>050069</v>
      </c>
      <c r="I663" s="50">
        <f>74198919-6566276</f>
        <v>67632643</v>
      </c>
      <c r="J663" s="51" t="s">
        <v>1690</v>
      </c>
      <c r="K663" s="47" t="str">
        <f t="shared" ca="1" si="242"/>
        <v>CONTRATADO</v>
      </c>
      <c r="L663" s="47" t="s">
        <v>94</v>
      </c>
      <c r="M663" s="47" t="s">
        <v>1297</v>
      </c>
      <c r="N663" s="52" t="s">
        <v>240</v>
      </c>
      <c r="O663" s="51" t="e">
        <f>VLOOKUP(N663,[2]!RUBROS[#All],3,0)</f>
        <v>#REF!</v>
      </c>
      <c r="P663" s="53" t="e">
        <f>VLOOKUP(N663,[2]!RUBROS[#All],2,0)</f>
        <v>#REF!</v>
      </c>
      <c r="Q663" s="47" t="str">
        <f t="shared" si="249"/>
        <v>22</v>
      </c>
      <c r="R663" s="47" t="str">
        <f t="shared" si="244"/>
        <v>0-205400</v>
      </c>
      <c r="S663" s="65">
        <f>210+15</f>
        <v>225</v>
      </c>
      <c r="T663" s="59" t="s">
        <v>120</v>
      </c>
      <c r="U663" s="326" t="e">
        <f ca="1">_xlfn.XLOOKUP(PAA_4[[#This Row],[ITEM]],[2]Contrato!A:A,[2]Contrato!Q:Q,"",0)</f>
        <v>#NAME?</v>
      </c>
      <c r="V663" s="47" t="s">
        <v>47</v>
      </c>
      <c r="W663" s="65" t="s">
        <v>122</v>
      </c>
      <c r="X663" s="65" t="s">
        <v>242</v>
      </c>
      <c r="Y663" s="55" t="e">
        <f ca="1">_xlfn.XLOOKUP(PAA_4[[#This Row],[ITEM]],[2]Contrato!A:A,[2]Contrato!B:B,"",0)</f>
        <v>#NAME?</v>
      </c>
      <c r="Z663" s="47" t="e">
        <f ca="1">_xlfn.XLOOKUP(PAA_4[[#This Row],[ITEM]],[2]Contrato!A:A,[2]Contrato!G:G,"",0)</f>
        <v>#NAME?</v>
      </c>
      <c r="AA663" s="47" t="e">
        <f ca="1">_xlfn.XLOOKUP(PAA_4[[#This Row],[ITEM]],[2]Contrato!A:A,[2]Contrato!T:T,"",0)</f>
        <v>#NAME?</v>
      </c>
      <c r="AB663" s="55" t="e">
        <f ca="1">+MAX(PAA_4[[#This Row],[Comprometido Contrato]],PAA_4[[#This Row],[Comprometido Bolsa]])</f>
        <v>#NAME?</v>
      </c>
      <c r="AC663" s="55" t="str">
        <f t="shared" ca="1" si="245"/>
        <v/>
      </c>
      <c r="AD663" s="55" t="e">
        <f ca="1">IF(PAA_4[[#This Row],[ESTADO (formulado)]]="NO CONTRATADO",0,MAX(PAA_4[[#This Row],[Pago por Contrato]],PAA_4[[#This Row],[Pago por bolsa]]))</f>
        <v>#NAME?</v>
      </c>
      <c r="AE663" s="55" t="str">
        <f t="shared" ca="1" si="246"/>
        <v/>
      </c>
      <c r="AF663" s="47" t="e">
        <f t="shared" ca="1" si="248"/>
        <v>#NAME?</v>
      </c>
      <c r="AG663" s="47">
        <f t="shared" si="247"/>
        <v>41080101</v>
      </c>
      <c r="AH663" s="54" t="str">
        <f>IF(Q663="22",IF(ISNUMBER(SEARCH("econ",PAA_4[[#This Row],[Actividad3]])),"Económico",IF(ISNUMBER(SEARCH("alim",PAA_4[[#This Row],[Actividad3]])),"Alimentación",IF(ISNUMBER(SEARCH("educ",PAA_4[[#This Row],[Actividad3]])),"Educativo","Técnico"))),0)</f>
        <v>Técnico</v>
      </c>
      <c r="AI663" s="47" t="e" cm="1">
        <f t="array" aca="1" ref="AI663" ca="1">_xlfn.XLOOKUP(PAA_4[[#This Row],[RCP-RUBRO]],[2]!COMPROMISOS_2024[[#All],[concatenado]],[2]!COMPROMISOS_2024[[#All],[Total pagado]],"",0)</f>
        <v>#NAME?</v>
      </c>
      <c r="AJ663" s="56" t="e">
        <f ca="1">IF(PAA_4[[#This Row],[BOLSA]]=0,0,SUMIFS([2]!COMPROMISOS_2024[[#All],[Total pagado]],[2]!COMPROMISOS_2024[[#All],[Bolsa]],PAA_4[[#This Row],[BOLSA]],[2]!COMPROMISOS_2024[[#All],[rubro]],PAA_4[[#This Row],[RCP-RUBRO]]))</f>
        <v>#REF!</v>
      </c>
      <c r="AK663" s="47" t="e" cm="1">
        <f t="array" aca="1" ref="AK663" ca="1">_xlfn.XLOOKUP(PAA_4[[#This Row],[RCP-RUBRO]],[2]!COMPROMISOS_2024[[#All],[concatenado]],[2]!COMPROMISOS_2024[[#All],[Total Comprometido]],"",0)</f>
        <v>#NAME?</v>
      </c>
      <c r="AL663" s="47" t="e">
        <f ca="1">IF(PAA_4[[#This Row],[BOLSA]]=0,0,SUMIFS([2]!COMPROMISOS_2024[[#All],[Total Comprometido]],[2]!COMPROMISOS_2024[[#All],[Bolsa]],PAA_4[[#This Row],[BOLSA]],[2]!COMPROMISOS_2024[[#All],[concatenado]],PAA_4[[#This Row],[RCP-RUBRO]]))</f>
        <v>#REF!</v>
      </c>
    </row>
    <row r="664" spans="1:38" s="19" customFormat="1" ht="31.5" customHeight="1">
      <c r="A664" s="47">
        <v>269</v>
      </c>
      <c r="B664" s="47">
        <v>80111600</v>
      </c>
      <c r="C664" s="47" t="str">
        <f>VLOOKUP(PAA_4[[#This Row],[PROYECTO (formulado)2]],[2]PROYECTOS!$G$1:$L$32,6,0)</f>
        <v>SUBGERENCIA DE ALTOS LOGROS Y DEPORTE ASOCIADO</v>
      </c>
      <c r="D664" s="47" t="str">
        <f>+IF(PAA_4[[#This Row],[UNIDAD DE CONTRATACION (formulado)]]="Subgerencia Administrativa y Financiera","FUNCIONAMIENTO","INVERSIÓN")</f>
        <v>INVERSIÓN</v>
      </c>
      <c r="E664" s="48" t="str">
        <f>VLOOKUP(Q664,[2]PROYECTOS!$G$1:$K$32,5,0)</f>
        <v>APOYO_TÉCNICO_Y_PSICOSOCIAL_A_LOS_DEPORTISTAS_DE_ANTIOQUIA</v>
      </c>
      <c r="F664" s="48">
        <f>VLOOKUP(E664,[2]PROYECTOS!$K$1:$M$32,3,0)</f>
        <v>2021003050069</v>
      </c>
      <c r="G664" s="49" t="s">
        <v>239</v>
      </c>
      <c r="H664" s="49" t="str">
        <f>VLOOKUP(Q664,[2]PROYECTOS!$V$1:$W$32,2,0)</f>
        <v>050069</v>
      </c>
      <c r="I664" s="50">
        <v>23714292</v>
      </c>
      <c r="J664" s="51" t="s">
        <v>1691</v>
      </c>
      <c r="K664" s="47" t="str">
        <f t="shared" ca="1" si="242"/>
        <v>CONTRATADO</v>
      </c>
      <c r="L664" s="47" t="s">
        <v>94</v>
      </c>
      <c r="M664" s="47" t="s">
        <v>1297</v>
      </c>
      <c r="N664" s="52" t="s">
        <v>240</v>
      </c>
      <c r="O664" s="51" t="e">
        <f>VLOOKUP(N664,[2]!RUBROS[#All],3,0)</f>
        <v>#REF!</v>
      </c>
      <c r="P664" s="53" t="e">
        <f>VLOOKUP(N664,[2]!RUBROS[#All],2,0)</f>
        <v>#REF!</v>
      </c>
      <c r="Q664" s="47" t="str">
        <f t="shared" si="249"/>
        <v>22</v>
      </c>
      <c r="R664" s="47" t="str">
        <f t="shared" si="244"/>
        <v>0-205400</v>
      </c>
      <c r="S664" s="54">
        <v>6</v>
      </c>
      <c r="T664" s="59" t="s">
        <v>46</v>
      </c>
      <c r="U664" s="326" t="e">
        <f ca="1">_xlfn.XLOOKUP(PAA_4[[#This Row],[ITEM]],[2]Contrato!A:A,[2]Contrato!Q:Q,"",0)</f>
        <v>#NAME?</v>
      </c>
      <c r="V664" s="47" t="s">
        <v>47</v>
      </c>
      <c r="W664" s="47" t="s">
        <v>137</v>
      </c>
      <c r="X664" s="47" t="s">
        <v>137</v>
      </c>
      <c r="Y664" s="55" t="e">
        <f ca="1">_xlfn.XLOOKUP(PAA_4[[#This Row],[ITEM]],[2]Contrato!A:A,[2]Contrato!B:B,"",0)</f>
        <v>#NAME?</v>
      </c>
      <c r="Z664" s="47" t="e">
        <f ca="1">_xlfn.XLOOKUP(PAA_4[[#This Row],[ITEM]],[2]Contrato!A:A,[2]Contrato!G:G,"",0)</f>
        <v>#NAME?</v>
      </c>
      <c r="AA664" s="47" t="e">
        <f ca="1">_xlfn.XLOOKUP(PAA_4[[#This Row],[ITEM]],[2]Contrato!A:A,[2]Contrato!T:T,"",0)</f>
        <v>#NAME?</v>
      </c>
      <c r="AB664" s="55" t="e">
        <f ca="1">+MAX(PAA_4[[#This Row],[Comprometido Contrato]],PAA_4[[#This Row],[Comprometido Bolsa]])</f>
        <v>#NAME?</v>
      </c>
      <c r="AC664" s="55" t="str">
        <f t="shared" ca="1" si="245"/>
        <v/>
      </c>
      <c r="AD664" s="55" t="e">
        <f ca="1">IF(PAA_4[[#This Row],[ESTADO (formulado)]]="NO CONTRATADO",0,MAX(PAA_4[[#This Row],[Pago por Contrato]],PAA_4[[#This Row],[Pago por bolsa]]))</f>
        <v>#NAME?</v>
      </c>
      <c r="AE664" s="55" t="str">
        <f t="shared" ca="1" si="246"/>
        <v/>
      </c>
      <c r="AF664" s="47" t="e">
        <f t="shared" ca="1" si="248"/>
        <v>#NAME?</v>
      </c>
      <c r="AG664" s="47">
        <f t="shared" si="247"/>
        <v>41080101</v>
      </c>
      <c r="AH664" s="54" t="str">
        <f>IF(Q664="22",IF(ISNUMBER(SEARCH("econ",PAA_4[[#This Row],[Actividad3]])),"Económico",IF(ISNUMBER(SEARCH("alim",PAA_4[[#This Row],[Actividad3]])),"Alimentación",IF(ISNUMBER(SEARCH("educ",PAA_4[[#This Row],[Actividad3]])),"Educativo","Técnico"))),0)</f>
        <v>Técnico</v>
      </c>
      <c r="AI664" s="47" t="e" cm="1">
        <f t="array" aca="1" ref="AI664" ca="1">_xlfn.XLOOKUP(PAA_4[[#This Row],[RCP-RUBRO]],[2]!COMPROMISOS_2024[[#All],[concatenado]],[2]!COMPROMISOS_2024[[#All],[Total pagado]],"",0)</f>
        <v>#NAME?</v>
      </c>
      <c r="AJ664" s="56" t="e">
        <f ca="1">IF(PAA_4[[#This Row],[BOLSA]]=0,0,SUMIFS([2]!COMPROMISOS_2024[[#All],[Total pagado]],[2]!COMPROMISOS_2024[[#All],[Bolsa]],PAA_4[[#This Row],[BOLSA]],[2]!COMPROMISOS_2024[[#All],[rubro]],PAA_4[[#This Row],[RCP-RUBRO]]))</f>
        <v>#REF!</v>
      </c>
      <c r="AK664" s="47" t="e" cm="1">
        <f t="array" aca="1" ref="AK664" ca="1">_xlfn.XLOOKUP(PAA_4[[#This Row],[RCP-RUBRO]],[2]!COMPROMISOS_2024[[#All],[concatenado]],[2]!COMPROMISOS_2024[[#All],[Total Comprometido]],"",0)</f>
        <v>#NAME?</v>
      </c>
      <c r="AL664" s="47" t="e">
        <f ca="1">IF(PAA_4[[#This Row],[BOLSA]]=0,0,SUMIFS([2]!COMPROMISOS_2024[[#All],[Total Comprometido]],[2]!COMPROMISOS_2024[[#All],[Bolsa]],PAA_4[[#This Row],[BOLSA]],[2]!COMPROMISOS_2024[[#All],[concatenado]],PAA_4[[#This Row],[RCP-RUBRO]]))</f>
        <v>#REF!</v>
      </c>
    </row>
    <row r="665" spans="1:38" s="19" customFormat="1" ht="31.5" customHeight="1">
      <c r="A665" s="47">
        <v>270</v>
      </c>
      <c r="B665" s="47">
        <v>80111600</v>
      </c>
      <c r="C665" s="47" t="str">
        <f>VLOOKUP(PAA_4[[#This Row],[PROYECTO (formulado)2]],[2]PROYECTOS!$G$1:$L$32,6,0)</f>
        <v>SUBGERENCIA DE ALTOS LOGROS Y DEPORTE ASOCIADO</v>
      </c>
      <c r="D665" s="47" t="str">
        <f>+IF(PAA_4[[#This Row],[UNIDAD DE CONTRATACION (formulado)]]="Subgerencia Administrativa y Financiera","FUNCIONAMIENTO","INVERSIÓN")</f>
        <v>INVERSIÓN</v>
      </c>
      <c r="E665" s="48" t="str">
        <f>VLOOKUP(Q665,[2]PROYECTOS!$G$1:$K$32,5,0)</f>
        <v>APOYO_TÉCNICO_Y_PSICOSOCIAL_A_LOS_DEPORTISTAS_DE_ANTIOQUIA</v>
      </c>
      <c r="F665" s="48">
        <f>VLOOKUP(E665,[2]PROYECTOS!$K$1:$M$32,3,0)</f>
        <v>2021003050069</v>
      </c>
      <c r="G665" s="49" t="s">
        <v>239</v>
      </c>
      <c r="H665" s="49" t="str">
        <f>VLOOKUP(Q665,[2]PROYECTOS!$V$1:$W$32,2,0)</f>
        <v>050069</v>
      </c>
      <c r="I665" s="50">
        <f>29453616-2</f>
        <v>29453614</v>
      </c>
      <c r="J665" s="51" t="s">
        <v>1692</v>
      </c>
      <c r="K665" s="47" t="str">
        <f t="shared" ca="1" si="242"/>
        <v>CONTRATADO</v>
      </c>
      <c r="L665" s="47" t="s">
        <v>94</v>
      </c>
      <c r="M665" s="47" t="s">
        <v>1297</v>
      </c>
      <c r="N665" s="52" t="s">
        <v>240</v>
      </c>
      <c r="O665" s="51" t="e">
        <f>VLOOKUP(N665,[2]!RUBROS[#All],3,0)</f>
        <v>#REF!</v>
      </c>
      <c r="P665" s="53" t="e">
        <f>VLOOKUP(N665,[2]!RUBROS[#All],2,0)</f>
        <v>#REF!</v>
      </c>
      <c r="Q665" s="47" t="str">
        <f t="shared" si="249"/>
        <v>22</v>
      </c>
      <c r="R665" s="47" t="str">
        <f t="shared" si="244"/>
        <v>0-205400</v>
      </c>
      <c r="S665" s="54">
        <v>6</v>
      </c>
      <c r="T665" s="59" t="s">
        <v>46</v>
      </c>
      <c r="U665" s="326" t="e">
        <f ca="1">_xlfn.XLOOKUP(PAA_4[[#This Row],[ITEM]],[2]Contrato!A:A,[2]Contrato!Q:Q,"",0)</f>
        <v>#NAME?</v>
      </c>
      <c r="V665" s="47" t="s">
        <v>47</v>
      </c>
      <c r="W665" s="47" t="s">
        <v>137</v>
      </c>
      <c r="X665" s="47" t="s">
        <v>137</v>
      </c>
      <c r="Y665" s="55" t="e">
        <f ca="1">_xlfn.XLOOKUP(PAA_4[[#This Row],[ITEM]],[2]Contrato!A:A,[2]Contrato!B:B,"",0)</f>
        <v>#NAME?</v>
      </c>
      <c r="Z665" s="47" t="e">
        <f ca="1">_xlfn.XLOOKUP(PAA_4[[#This Row],[ITEM]],[2]Contrato!A:A,[2]Contrato!G:G,"",0)</f>
        <v>#NAME?</v>
      </c>
      <c r="AA665" s="47" t="e">
        <f ca="1">_xlfn.XLOOKUP(PAA_4[[#This Row],[ITEM]],[2]Contrato!A:A,[2]Contrato!T:T,"",0)</f>
        <v>#NAME?</v>
      </c>
      <c r="AB665" s="55" t="e">
        <f ca="1">+MAX(PAA_4[[#This Row],[Comprometido Contrato]],PAA_4[[#This Row],[Comprometido Bolsa]])</f>
        <v>#NAME?</v>
      </c>
      <c r="AC665" s="55" t="str">
        <f t="shared" ca="1" si="245"/>
        <v/>
      </c>
      <c r="AD665" s="55" t="e">
        <f ca="1">IF(PAA_4[[#This Row],[ESTADO (formulado)]]="NO CONTRATADO",0,MAX(PAA_4[[#This Row],[Pago por Contrato]],PAA_4[[#This Row],[Pago por bolsa]]))</f>
        <v>#NAME?</v>
      </c>
      <c r="AE665" s="55" t="str">
        <f t="shared" ca="1" si="246"/>
        <v/>
      </c>
      <c r="AF665" s="47" t="e">
        <f t="shared" ca="1" si="248"/>
        <v>#NAME?</v>
      </c>
      <c r="AG665" s="47">
        <f t="shared" si="247"/>
        <v>41080101</v>
      </c>
      <c r="AH665" s="54" t="str">
        <f>IF(Q665="22",IF(ISNUMBER(SEARCH("econ",PAA_4[[#This Row],[Actividad3]])),"Económico",IF(ISNUMBER(SEARCH("alim",PAA_4[[#This Row],[Actividad3]])),"Alimentación",IF(ISNUMBER(SEARCH("educ",PAA_4[[#This Row],[Actividad3]])),"Educativo","Técnico"))),0)</f>
        <v>Técnico</v>
      </c>
      <c r="AI665" s="47" t="e" cm="1">
        <f t="array" aca="1" ref="AI665" ca="1">_xlfn.XLOOKUP(PAA_4[[#This Row],[RCP-RUBRO]],[2]!COMPROMISOS_2024[[#All],[concatenado]],[2]!COMPROMISOS_2024[[#All],[Total pagado]],"",0)</f>
        <v>#NAME?</v>
      </c>
      <c r="AJ665" s="56" t="e">
        <f ca="1">IF(PAA_4[[#This Row],[BOLSA]]=0,0,SUMIFS([2]!COMPROMISOS_2024[[#All],[Total pagado]],[2]!COMPROMISOS_2024[[#All],[Bolsa]],PAA_4[[#This Row],[BOLSA]],[2]!COMPROMISOS_2024[[#All],[rubro]],PAA_4[[#This Row],[RCP-RUBRO]]))</f>
        <v>#REF!</v>
      </c>
      <c r="AK665" s="47" t="e" cm="1">
        <f t="array" aca="1" ref="AK665" ca="1">_xlfn.XLOOKUP(PAA_4[[#This Row],[RCP-RUBRO]],[2]!COMPROMISOS_2024[[#All],[concatenado]],[2]!COMPROMISOS_2024[[#All],[Total Comprometido]],"",0)</f>
        <v>#NAME?</v>
      </c>
      <c r="AL665" s="47" t="e">
        <f ca="1">IF(PAA_4[[#This Row],[BOLSA]]=0,0,SUMIFS([2]!COMPROMISOS_2024[[#All],[Total Comprometido]],[2]!COMPROMISOS_2024[[#All],[Bolsa]],PAA_4[[#This Row],[BOLSA]],[2]!COMPROMISOS_2024[[#All],[concatenado]],PAA_4[[#This Row],[RCP-RUBRO]]))</f>
        <v>#REF!</v>
      </c>
    </row>
    <row r="666" spans="1:38" s="19" customFormat="1" ht="31.5" customHeight="1">
      <c r="A666" s="47">
        <v>271</v>
      </c>
      <c r="B666" s="47">
        <v>80111600</v>
      </c>
      <c r="C666" s="47" t="str">
        <f>VLOOKUP(PAA_4[[#This Row],[PROYECTO (formulado)2]],[2]PROYECTOS!$G$1:$L$32,6,0)</f>
        <v>SUBGERENCIA DE ALTOS LOGROS Y DEPORTE ASOCIADO</v>
      </c>
      <c r="D666" s="47" t="str">
        <f>+IF(PAA_4[[#This Row],[UNIDAD DE CONTRATACION (formulado)]]="Subgerencia Administrativa y Financiera","FUNCIONAMIENTO","INVERSIÓN")</f>
        <v>INVERSIÓN</v>
      </c>
      <c r="E666" s="48" t="str">
        <f>VLOOKUP(Q666,[2]PROYECTOS!$G$1:$K$32,5,0)</f>
        <v>APOYO_TÉCNICO_Y_PSICOSOCIAL_A_LOS_DEPORTISTAS_DE_ANTIOQUIA</v>
      </c>
      <c r="F666" s="48">
        <f>VLOOKUP(E666,[2]PROYECTOS!$K$1:$M$32,3,0)</f>
        <v>2021003050069</v>
      </c>
      <c r="G666" s="49" t="s">
        <v>239</v>
      </c>
      <c r="H666" s="49" t="str">
        <f>VLOOKUP(Q666,[2]PROYECTOS!$V$1:$W$32,2,0)</f>
        <v>050069</v>
      </c>
      <c r="I666" s="50">
        <v>0</v>
      </c>
      <c r="J666" s="51" t="s">
        <v>1693</v>
      </c>
      <c r="K666" s="47" t="str">
        <f t="shared" ca="1" si="242"/>
        <v>CONTRATADO</v>
      </c>
      <c r="L666" s="47" t="s">
        <v>94</v>
      </c>
      <c r="M666" s="47" t="s">
        <v>1297</v>
      </c>
      <c r="N666" s="52" t="s">
        <v>240</v>
      </c>
      <c r="O666" s="51" t="e">
        <f>VLOOKUP(N666,[2]!RUBROS[#All],3,0)</f>
        <v>#REF!</v>
      </c>
      <c r="P666" s="53" t="e">
        <f>VLOOKUP(N666,[2]!RUBROS[#All],2,0)</f>
        <v>#REF!</v>
      </c>
      <c r="Q666" s="47" t="str">
        <f t="shared" si="249"/>
        <v>22</v>
      </c>
      <c r="R666" s="47" t="str">
        <f t="shared" si="244"/>
        <v>0-205400</v>
      </c>
      <c r="S666" s="54">
        <v>6</v>
      </c>
      <c r="T666" s="59" t="s">
        <v>46</v>
      </c>
      <c r="U666" s="326" t="e">
        <f ca="1">_xlfn.XLOOKUP(PAA_4[[#This Row],[ITEM]],[2]Contrato!A:A,[2]Contrato!Q:Q,"",0)</f>
        <v>#NAME?</v>
      </c>
      <c r="V666" s="47" t="s">
        <v>47</v>
      </c>
      <c r="W666" s="47"/>
      <c r="X666" s="47"/>
      <c r="Y666" s="55" t="e">
        <f ca="1">_xlfn.XLOOKUP(PAA_4[[#This Row],[ITEM]],[2]Contrato!A:A,[2]Contrato!B:B,"",0)</f>
        <v>#NAME?</v>
      </c>
      <c r="Z666" s="47" t="e">
        <f ca="1">_xlfn.XLOOKUP(PAA_4[[#This Row],[ITEM]],[2]Contrato!A:A,[2]Contrato!G:G,"",0)</f>
        <v>#NAME?</v>
      </c>
      <c r="AA666" s="47" t="e">
        <f ca="1">_xlfn.XLOOKUP(PAA_4[[#This Row],[ITEM]],[2]Contrato!A:A,[2]Contrato!T:T,"",0)</f>
        <v>#NAME?</v>
      </c>
      <c r="AB666" s="55" t="e">
        <f ca="1">+MAX(PAA_4[[#This Row],[Comprometido Contrato]],PAA_4[[#This Row],[Comprometido Bolsa]])</f>
        <v>#NAME?</v>
      </c>
      <c r="AC666" s="55" t="str">
        <f t="shared" ca="1" si="245"/>
        <v/>
      </c>
      <c r="AD666" s="55" t="e">
        <f ca="1">IF(PAA_4[[#This Row],[ESTADO (formulado)]]="NO CONTRATADO",0,MAX(PAA_4[[#This Row],[Pago por Contrato]],PAA_4[[#This Row],[Pago por bolsa]]))</f>
        <v>#NAME?</v>
      </c>
      <c r="AE666" s="55" t="str">
        <f t="shared" ca="1" si="246"/>
        <v/>
      </c>
      <c r="AF666" s="47" t="e">
        <f t="shared" ca="1" si="248"/>
        <v>#NAME?</v>
      </c>
      <c r="AG666" s="47">
        <f t="shared" si="247"/>
        <v>41080101</v>
      </c>
      <c r="AH666" s="54" t="str">
        <f>IF(Q666="22",IF(ISNUMBER(SEARCH("econ",PAA_4[[#This Row],[Actividad3]])),"Económico",IF(ISNUMBER(SEARCH("alim",PAA_4[[#This Row],[Actividad3]])),"Alimentación",IF(ISNUMBER(SEARCH("educ",PAA_4[[#This Row],[Actividad3]])),"Educativo","Técnico"))),0)</f>
        <v>Técnico</v>
      </c>
      <c r="AI666" s="47" t="e" cm="1">
        <f t="array" aca="1" ref="AI666" ca="1">_xlfn.XLOOKUP(PAA_4[[#This Row],[RCP-RUBRO]],[2]!COMPROMISOS_2024[[#All],[concatenado]],[2]!COMPROMISOS_2024[[#All],[Total pagado]],"",0)</f>
        <v>#NAME?</v>
      </c>
      <c r="AJ666" s="56" t="e">
        <f ca="1">IF(PAA_4[[#This Row],[BOLSA]]=0,0,SUMIFS([2]!COMPROMISOS_2024[[#All],[Total pagado]],[2]!COMPROMISOS_2024[[#All],[Bolsa]],PAA_4[[#This Row],[BOLSA]],[2]!COMPROMISOS_2024[[#All],[rubro]],PAA_4[[#This Row],[RCP-RUBRO]]))</f>
        <v>#REF!</v>
      </c>
      <c r="AK666" s="47" t="e" cm="1">
        <f t="array" aca="1" ref="AK666" ca="1">_xlfn.XLOOKUP(PAA_4[[#This Row],[RCP-RUBRO]],[2]!COMPROMISOS_2024[[#All],[concatenado]],[2]!COMPROMISOS_2024[[#All],[Total Comprometido]],"",0)</f>
        <v>#NAME?</v>
      </c>
      <c r="AL666" s="47" t="e">
        <f ca="1">IF(PAA_4[[#This Row],[BOLSA]]=0,0,SUMIFS([2]!COMPROMISOS_2024[[#All],[Total Comprometido]],[2]!COMPROMISOS_2024[[#All],[Bolsa]],PAA_4[[#This Row],[BOLSA]],[2]!COMPROMISOS_2024[[#All],[concatenado]],PAA_4[[#This Row],[RCP-RUBRO]]))</f>
        <v>#REF!</v>
      </c>
    </row>
    <row r="667" spans="1:38" s="19" customFormat="1" ht="31.5" customHeight="1">
      <c r="A667" s="47">
        <v>272</v>
      </c>
      <c r="B667" s="47">
        <v>80111600</v>
      </c>
      <c r="C667" s="47" t="str">
        <f>VLOOKUP(PAA_4[[#This Row],[PROYECTO (formulado)2]],[2]PROYECTOS!$G$1:$L$32,6,0)</f>
        <v>SUBGERENCIA DE ALTOS LOGROS Y DEPORTE ASOCIADO</v>
      </c>
      <c r="D667" s="47" t="str">
        <f>+IF(PAA_4[[#This Row],[UNIDAD DE CONTRATACION (formulado)]]="Subgerencia Administrativa y Financiera","FUNCIONAMIENTO","INVERSIÓN")</f>
        <v>INVERSIÓN</v>
      </c>
      <c r="E667" s="48" t="str">
        <f>VLOOKUP(Q667,[2]PROYECTOS!$G$1:$K$32,5,0)</f>
        <v>APOYO_TÉCNICO_Y_PSICOSOCIAL_A_LOS_DEPORTISTAS_DE_ANTIOQUIA</v>
      </c>
      <c r="F667" s="48">
        <f>VLOOKUP(E667,[2]PROYECTOS!$K$1:$M$32,3,0)</f>
        <v>2021003050069</v>
      </c>
      <c r="G667" s="49" t="s">
        <v>239</v>
      </c>
      <c r="H667" s="49" t="str">
        <f>VLOOKUP(Q667,[2]PROYECTOS!$V$1:$W$32,2,0)</f>
        <v>050069</v>
      </c>
      <c r="I667" s="50">
        <v>0</v>
      </c>
      <c r="J667" s="51" t="s">
        <v>1693</v>
      </c>
      <c r="K667" s="47" t="str">
        <f t="shared" ca="1" si="242"/>
        <v>CONTRATADO</v>
      </c>
      <c r="L667" s="47" t="s">
        <v>94</v>
      </c>
      <c r="M667" s="47" t="s">
        <v>1297</v>
      </c>
      <c r="N667" s="52" t="s">
        <v>240</v>
      </c>
      <c r="O667" s="51" t="e">
        <f>VLOOKUP(N667,[2]!RUBROS[#All],3,0)</f>
        <v>#REF!</v>
      </c>
      <c r="P667" s="53" t="e">
        <f>VLOOKUP(N667,[2]!RUBROS[#All],2,0)</f>
        <v>#REF!</v>
      </c>
      <c r="Q667" s="47" t="str">
        <f t="shared" si="249"/>
        <v>22</v>
      </c>
      <c r="R667" s="47" t="str">
        <f t="shared" si="244"/>
        <v>0-205400</v>
      </c>
      <c r="S667" s="54">
        <v>6</v>
      </c>
      <c r="T667" s="59" t="s">
        <v>46</v>
      </c>
      <c r="U667" s="326" t="e">
        <f ca="1">_xlfn.XLOOKUP(PAA_4[[#This Row],[ITEM]],[2]Contrato!A:A,[2]Contrato!Q:Q,"",0)</f>
        <v>#NAME?</v>
      </c>
      <c r="V667" s="47" t="s">
        <v>47</v>
      </c>
      <c r="W667" s="47"/>
      <c r="X667" s="47"/>
      <c r="Y667" s="55" t="e">
        <f ca="1">_xlfn.XLOOKUP(PAA_4[[#This Row],[ITEM]],[2]Contrato!A:A,[2]Contrato!B:B,"",0)</f>
        <v>#NAME?</v>
      </c>
      <c r="Z667" s="47" t="e">
        <f ca="1">_xlfn.XLOOKUP(PAA_4[[#This Row],[ITEM]],[2]Contrato!A:A,[2]Contrato!G:G,"",0)</f>
        <v>#NAME?</v>
      </c>
      <c r="AA667" s="47" t="e">
        <f ca="1">_xlfn.XLOOKUP(PAA_4[[#This Row],[ITEM]],[2]Contrato!A:A,[2]Contrato!T:T,"",0)</f>
        <v>#NAME?</v>
      </c>
      <c r="AB667" s="55" t="e">
        <f ca="1">+MAX(PAA_4[[#This Row],[Comprometido Contrato]],PAA_4[[#This Row],[Comprometido Bolsa]])</f>
        <v>#NAME?</v>
      </c>
      <c r="AC667" s="55" t="str">
        <f t="shared" ca="1" si="245"/>
        <v/>
      </c>
      <c r="AD667" s="55" t="e">
        <f ca="1">IF(PAA_4[[#This Row],[ESTADO (formulado)]]="NO CONTRATADO",0,MAX(PAA_4[[#This Row],[Pago por Contrato]],PAA_4[[#This Row],[Pago por bolsa]]))</f>
        <v>#NAME?</v>
      </c>
      <c r="AE667" s="55" t="str">
        <f t="shared" ca="1" si="246"/>
        <v/>
      </c>
      <c r="AF667" s="47" t="s">
        <v>243</v>
      </c>
      <c r="AG667" s="47">
        <f t="shared" si="247"/>
        <v>41080101</v>
      </c>
      <c r="AH667" s="54" t="str">
        <f>IF(Q667="22",IF(ISNUMBER(SEARCH("econ",PAA_4[[#This Row],[Actividad3]])),"Económico",IF(ISNUMBER(SEARCH("alim",PAA_4[[#This Row],[Actividad3]])),"Alimentación",IF(ISNUMBER(SEARCH("educ",PAA_4[[#This Row],[Actividad3]])),"Educativo","Técnico"))),0)</f>
        <v>Técnico</v>
      </c>
      <c r="AI667" s="47" t="e" cm="1">
        <f t="array" aca="1" ref="AI667" ca="1">_xlfn.XLOOKUP(PAA_4[[#This Row],[RCP-RUBRO]],[2]!COMPROMISOS_2024[[#All],[concatenado]],[2]!COMPROMISOS_2024[[#All],[Total pagado]],"",0)</f>
        <v>#NAME?</v>
      </c>
      <c r="AJ667" s="56" t="e">
        <f>IF(PAA_4[[#This Row],[BOLSA]]=0,0,SUMIFS([2]!COMPROMISOS_2024[[#All],[Total pagado]],[2]!COMPROMISOS_2024[[#All],[Bolsa]],PAA_4[[#This Row],[BOLSA]],[2]!COMPROMISOS_2024[[#All],[rubro]],PAA_4[[#This Row],[RCP-RUBRO]]))</f>
        <v>#REF!</v>
      </c>
      <c r="AK667" s="47" t="e" cm="1">
        <f t="array" aca="1" ref="AK667" ca="1">_xlfn.XLOOKUP(PAA_4[[#This Row],[RCP-RUBRO]],[2]!COMPROMISOS_2024[[#All],[concatenado]],[2]!COMPROMISOS_2024[[#All],[Total Comprometido]],"",0)</f>
        <v>#NAME?</v>
      </c>
      <c r="AL667" s="47" t="e">
        <f>IF(PAA_4[[#This Row],[BOLSA]]=0,0,SUMIFS([2]!COMPROMISOS_2024[[#All],[Total Comprometido]],[2]!COMPROMISOS_2024[[#All],[Bolsa]],PAA_4[[#This Row],[BOLSA]],[2]!COMPROMISOS_2024[[#All],[concatenado]],PAA_4[[#This Row],[RCP-RUBRO]]))</f>
        <v>#REF!</v>
      </c>
    </row>
    <row r="668" spans="1:38" s="19" customFormat="1" ht="31.5" customHeight="1">
      <c r="A668" s="47">
        <v>273</v>
      </c>
      <c r="B668" s="47">
        <v>80111600</v>
      </c>
      <c r="C668" s="47" t="str">
        <f>VLOOKUP(PAA_4[[#This Row],[PROYECTO (formulado)2]],[2]PROYECTOS!$G$1:$L$32,6,0)</f>
        <v>SUBGERENCIA DE ALTOS LOGROS Y DEPORTE ASOCIADO</v>
      </c>
      <c r="D668" s="47" t="str">
        <f>+IF(PAA_4[[#This Row],[UNIDAD DE CONTRATACION (formulado)]]="Subgerencia Administrativa y Financiera","FUNCIONAMIENTO","INVERSIÓN")</f>
        <v>INVERSIÓN</v>
      </c>
      <c r="E668" s="48" t="str">
        <f>VLOOKUP(Q668,[2]PROYECTOS!$G$1:$K$32,5,0)</f>
        <v>APOYO_TÉCNICO_Y_PSICOSOCIAL_A_LOS_DEPORTISTAS_DE_ANTIOQUIA</v>
      </c>
      <c r="F668" s="48">
        <f>VLOOKUP(E668,[2]PROYECTOS!$K$1:$M$32,3,0)</f>
        <v>2021003050069</v>
      </c>
      <c r="G668" s="49" t="s">
        <v>239</v>
      </c>
      <c r="H668" s="49" t="str">
        <f>VLOOKUP(Q668,[2]PROYECTOS!$V$1:$W$32,2,0)</f>
        <v>050069</v>
      </c>
      <c r="I668" s="50">
        <v>0</v>
      </c>
      <c r="J668" s="51" t="s">
        <v>1693</v>
      </c>
      <c r="K668" s="47" t="str">
        <f t="shared" ca="1" si="242"/>
        <v>CONTRATADO</v>
      </c>
      <c r="L668" s="47" t="s">
        <v>94</v>
      </c>
      <c r="M668" s="47" t="s">
        <v>1297</v>
      </c>
      <c r="N668" s="52" t="s">
        <v>240</v>
      </c>
      <c r="O668" s="51" t="e">
        <f>VLOOKUP(N668,[2]!RUBROS[#All],3,0)</f>
        <v>#REF!</v>
      </c>
      <c r="P668" s="53" t="e">
        <f>VLOOKUP(N668,[2]!RUBROS[#All],2,0)</f>
        <v>#REF!</v>
      </c>
      <c r="Q668" s="47" t="str">
        <f t="shared" si="249"/>
        <v>22</v>
      </c>
      <c r="R668" s="47" t="str">
        <f t="shared" si="244"/>
        <v>0-205400</v>
      </c>
      <c r="S668" s="54">
        <v>6</v>
      </c>
      <c r="T668" s="59" t="s">
        <v>46</v>
      </c>
      <c r="U668" s="326" t="e">
        <f ca="1">_xlfn.XLOOKUP(PAA_4[[#This Row],[ITEM]],[2]Contrato!A:A,[2]Contrato!Q:Q,"",0)</f>
        <v>#NAME?</v>
      </c>
      <c r="V668" s="47" t="s">
        <v>47</v>
      </c>
      <c r="W668" s="47"/>
      <c r="X668" s="47"/>
      <c r="Y668" s="55" t="e">
        <f ca="1">_xlfn.XLOOKUP(PAA_4[[#This Row],[ITEM]],[2]Contrato!A:A,[2]Contrato!B:B,"",0)</f>
        <v>#NAME?</v>
      </c>
      <c r="Z668" s="47" t="e">
        <f ca="1">_xlfn.XLOOKUP(PAA_4[[#This Row],[ITEM]],[2]Contrato!A:A,[2]Contrato!G:G,"",0)</f>
        <v>#NAME?</v>
      </c>
      <c r="AA668" s="47" t="e">
        <f ca="1">_xlfn.XLOOKUP(PAA_4[[#This Row],[ITEM]],[2]Contrato!A:A,[2]Contrato!T:T,"",0)</f>
        <v>#NAME?</v>
      </c>
      <c r="AB668" s="55" t="e">
        <f ca="1">+MAX(PAA_4[[#This Row],[Comprometido Contrato]],PAA_4[[#This Row],[Comprometido Bolsa]])</f>
        <v>#NAME?</v>
      </c>
      <c r="AC668" s="55" t="str">
        <f t="shared" ca="1" si="245"/>
        <v/>
      </c>
      <c r="AD668" s="55" t="e">
        <f ca="1">IF(PAA_4[[#This Row],[ESTADO (formulado)]]="NO CONTRATADO",0,MAX(PAA_4[[#This Row],[Pago por Contrato]],PAA_4[[#This Row],[Pago por bolsa]]))</f>
        <v>#NAME?</v>
      </c>
      <c r="AE668" s="55" t="str">
        <f t="shared" ca="1" si="246"/>
        <v/>
      </c>
      <c r="AF668" s="47" t="s">
        <v>243</v>
      </c>
      <c r="AG668" s="47">
        <f t="shared" si="247"/>
        <v>41080101</v>
      </c>
      <c r="AH668" s="54" t="str">
        <f>IF(Q668="22",IF(ISNUMBER(SEARCH("econ",PAA_4[[#This Row],[Actividad3]])),"Económico",IF(ISNUMBER(SEARCH("alim",PAA_4[[#This Row],[Actividad3]])),"Alimentación",IF(ISNUMBER(SEARCH("educ",PAA_4[[#This Row],[Actividad3]])),"Educativo","Técnico"))),0)</f>
        <v>Técnico</v>
      </c>
      <c r="AI668" s="47" t="e" cm="1">
        <f t="array" aca="1" ref="AI668" ca="1">_xlfn.XLOOKUP(PAA_4[[#This Row],[RCP-RUBRO]],[2]!COMPROMISOS_2024[[#All],[concatenado]],[2]!COMPROMISOS_2024[[#All],[Total pagado]],"",0)</f>
        <v>#NAME?</v>
      </c>
      <c r="AJ668" s="56" t="e">
        <f>IF(PAA_4[[#This Row],[BOLSA]]=0,0,SUMIFS([2]!COMPROMISOS_2024[[#All],[Total pagado]],[2]!COMPROMISOS_2024[[#All],[Bolsa]],PAA_4[[#This Row],[BOLSA]],[2]!COMPROMISOS_2024[[#All],[rubro]],PAA_4[[#This Row],[RCP-RUBRO]]))</f>
        <v>#REF!</v>
      </c>
      <c r="AK668" s="47" t="e" cm="1">
        <f t="array" aca="1" ref="AK668" ca="1">_xlfn.XLOOKUP(PAA_4[[#This Row],[RCP-RUBRO]],[2]!COMPROMISOS_2024[[#All],[concatenado]],[2]!COMPROMISOS_2024[[#All],[Total Comprometido]],"",0)</f>
        <v>#NAME?</v>
      </c>
      <c r="AL668" s="47" t="e">
        <f>IF(PAA_4[[#This Row],[BOLSA]]=0,0,SUMIFS([2]!COMPROMISOS_2024[[#All],[Total Comprometido]],[2]!COMPROMISOS_2024[[#All],[Bolsa]],PAA_4[[#This Row],[BOLSA]],[2]!COMPROMISOS_2024[[#All],[concatenado]],PAA_4[[#This Row],[RCP-RUBRO]]))</f>
        <v>#REF!</v>
      </c>
    </row>
    <row r="669" spans="1:38" s="19" customFormat="1" ht="31.5" customHeight="1">
      <c r="A669" s="47">
        <v>274</v>
      </c>
      <c r="B669" s="47">
        <v>80111600</v>
      </c>
      <c r="C669" s="47" t="str">
        <f>VLOOKUP(PAA_4[[#This Row],[PROYECTO (formulado)2]],[2]PROYECTOS!$G$1:$L$32,6,0)</f>
        <v>SUBGERENCIA DE ALTOS LOGROS Y DEPORTE ASOCIADO</v>
      </c>
      <c r="D669" s="47" t="str">
        <f>+IF(PAA_4[[#This Row],[UNIDAD DE CONTRATACION (formulado)]]="Subgerencia Administrativa y Financiera","FUNCIONAMIENTO","INVERSIÓN")</f>
        <v>INVERSIÓN</v>
      </c>
      <c r="E669" s="48" t="str">
        <f>VLOOKUP(Q669,[2]PROYECTOS!$G$1:$K$32,5,0)</f>
        <v>APOYO_TÉCNICO_Y_PSICOSOCIAL_A_LOS_DEPORTISTAS_DE_ANTIOQUIA</v>
      </c>
      <c r="F669" s="48">
        <f>VLOOKUP(E669,[2]PROYECTOS!$K$1:$M$32,3,0)</f>
        <v>2021003050069</v>
      </c>
      <c r="G669" s="49" t="s">
        <v>239</v>
      </c>
      <c r="H669" s="49" t="str">
        <f>VLOOKUP(Q669,[2]PROYECTOS!$V$1:$W$32,2,0)</f>
        <v>050069</v>
      </c>
      <c r="I669" s="50">
        <v>0</v>
      </c>
      <c r="J669" s="51" t="s">
        <v>1693</v>
      </c>
      <c r="K669" s="47" t="str">
        <f t="shared" ca="1" si="242"/>
        <v>CONTRATADO</v>
      </c>
      <c r="L669" s="47" t="s">
        <v>94</v>
      </c>
      <c r="M669" s="47" t="s">
        <v>1297</v>
      </c>
      <c r="N669" s="52" t="s">
        <v>240</v>
      </c>
      <c r="O669" s="51" t="e">
        <f>VLOOKUP(N669,[2]!RUBROS[#All],3,0)</f>
        <v>#REF!</v>
      </c>
      <c r="P669" s="53" t="e">
        <f>VLOOKUP(N669,[2]!RUBROS[#All],2,0)</f>
        <v>#REF!</v>
      </c>
      <c r="Q669" s="47" t="str">
        <f t="shared" si="249"/>
        <v>22</v>
      </c>
      <c r="R669" s="47" t="str">
        <f t="shared" si="244"/>
        <v>0-205400</v>
      </c>
      <c r="S669" s="54">
        <v>6</v>
      </c>
      <c r="T669" s="59" t="s">
        <v>46</v>
      </c>
      <c r="U669" s="326" t="e">
        <f ca="1">_xlfn.XLOOKUP(PAA_4[[#This Row],[ITEM]],[2]Contrato!A:A,[2]Contrato!Q:Q,"",0)</f>
        <v>#NAME?</v>
      </c>
      <c r="V669" s="47" t="s">
        <v>47</v>
      </c>
      <c r="W669" s="64"/>
      <c r="X669" s="64"/>
      <c r="Y669" s="55" t="e">
        <f ca="1">_xlfn.XLOOKUP(PAA_4[[#This Row],[ITEM]],[2]Contrato!A:A,[2]Contrato!B:B,"",0)</f>
        <v>#NAME?</v>
      </c>
      <c r="Z669" s="47" t="e">
        <f ca="1">_xlfn.XLOOKUP(PAA_4[[#This Row],[ITEM]],[2]Contrato!A:A,[2]Contrato!G:G,"",0)</f>
        <v>#NAME?</v>
      </c>
      <c r="AA669" s="47" t="e">
        <f ca="1">_xlfn.XLOOKUP(PAA_4[[#This Row],[ITEM]],[2]Contrato!A:A,[2]Contrato!T:T,"",0)</f>
        <v>#NAME?</v>
      </c>
      <c r="AB669" s="55" t="e">
        <f ca="1">+MAX(PAA_4[[#This Row],[Comprometido Contrato]],PAA_4[[#This Row],[Comprometido Bolsa]])</f>
        <v>#NAME?</v>
      </c>
      <c r="AC669" s="55" t="str">
        <f t="shared" ca="1" si="245"/>
        <v/>
      </c>
      <c r="AD669" s="55" t="e">
        <f ca="1">IF(PAA_4[[#This Row],[ESTADO (formulado)]]="NO CONTRATADO",0,MAX(PAA_4[[#This Row],[Pago por Contrato]],PAA_4[[#This Row],[Pago por bolsa]]))</f>
        <v>#NAME?</v>
      </c>
      <c r="AE669" s="55" t="str">
        <f t="shared" ca="1" si="246"/>
        <v/>
      </c>
      <c r="AF669" s="47" t="e">
        <f ca="1">+CONCATENATE(AA669,N669)</f>
        <v>#NAME?</v>
      </c>
      <c r="AG669" s="47">
        <f t="shared" si="247"/>
        <v>41080101</v>
      </c>
      <c r="AH669" s="54" t="str">
        <f>IF(Q669="22",IF(ISNUMBER(SEARCH("econ",PAA_4[[#This Row],[Actividad3]])),"Económico",IF(ISNUMBER(SEARCH("alim",PAA_4[[#This Row],[Actividad3]])),"Alimentación",IF(ISNUMBER(SEARCH("educ",PAA_4[[#This Row],[Actividad3]])),"Educativo","Técnico"))),0)</f>
        <v>Técnico</v>
      </c>
      <c r="AI669" s="47" t="e" cm="1">
        <f t="array" aca="1" ref="AI669" ca="1">_xlfn.XLOOKUP(PAA_4[[#This Row],[RCP-RUBRO]],[2]!COMPROMISOS_2024[[#All],[concatenado]],[2]!COMPROMISOS_2024[[#All],[Total pagado]],"",0)</f>
        <v>#NAME?</v>
      </c>
      <c r="AJ669" s="56" t="e">
        <f ca="1">IF(PAA_4[[#This Row],[BOLSA]]=0,0,SUMIFS([2]!COMPROMISOS_2024[[#All],[Total pagado]],[2]!COMPROMISOS_2024[[#All],[Bolsa]],PAA_4[[#This Row],[BOLSA]],[2]!COMPROMISOS_2024[[#All],[rubro]],PAA_4[[#This Row],[RCP-RUBRO]]))</f>
        <v>#REF!</v>
      </c>
      <c r="AK669" s="47" t="e" cm="1">
        <f t="array" aca="1" ref="AK669" ca="1">_xlfn.XLOOKUP(PAA_4[[#This Row],[RCP-RUBRO]],[2]!COMPROMISOS_2024[[#All],[concatenado]],[2]!COMPROMISOS_2024[[#All],[Total Comprometido]],"",0)</f>
        <v>#NAME?</v>
      </c>
      <c r="AL669" s="47" t="e">
        <f ca="1">IF(PAA_4[[#This Row],[BOLSA]]=0,0,SUMIFS([2]!COMPROMISOS_2024[[#All],[Total Comprometido]],[2]!COMPROMISOS_2024[[#All],[Bolsa]],PAA_4[[#This Row],[BOLSA]],[2]!COMPROMISOS_2024[[#All],[concatenado]],PAA_4[[#This Row],[RCP-RUBRO]]))</f>
        <v>#REF!</v>
      </c>
    </row>
    <row r="670" spans="1:38" s="19" customFormat="1" ht="31.5" customHeight="1">
      <c r="A670" s="47">
        <v>275</v>
      </c>
      <c r="B670" s="47">
        <v>80111600</v>
      </c>
      <c r="C670" s="47" t="str">
        <f>VLOOKUP(PAA_4[[#This Row],[PROYECTO (formulado)2]],[2]PROYECTOS!$G$1:$L$32,6,0)</f>
        <v>SUBGERENCIA DE ALTOS LOGROS Y DEPORTE ASOCIADO</v>
      </c>
      <c r="D670" s="47" t="str">
        <f>+IF(PAA_4[[#This Row],[UNIDAD DE CONTRATACION (formulado)]]="Subgerencia Administrativa y Financiera","FUNCIONAMIENTO","INVERSIÓN")</f>
        <v>INVERSIÓN</v>
      </c>
      <c r="E670" s="48" t="str">
        <f>VLOOKUP(Q670,[2]PROYECTOS!$G$1:$K$32,5,0)</f>
        <v>APOYO_TÉCNICO_Y_PSICOSOCIAL_A_LOS_DEPORTISTAS_DE_ANTIOQUIA</v>
      </c>
      <c r="F670" s="48">
        <f>VLOOKUP(E670,[2]PROYECTOS!$K$1:$M$32,3,0)</f>
        <v>2021003050069</v>
      </c>
      <c r="G670" s="49" t="s">
        <v>239</v>
      </c>
      <c r="H670" s="49" t="str">
        <f>VLOOKUP(Q670,[2]PROYECTOS!$V$1:$W$32,2,0)</f>
        <v>050069</v>
      </c>
      <c r="I670" s="50">
        <v>0</v>
      </c>
      <c r="J670" s="51" t="s">
        <v>1693</v>
      </c>
      <c r="K670" s="47" t="str">
        <f t="shared" ref="K670:K733" ca="1" si="250">IF(ISNONTEXT(Y670)=TRUE,"CONTRATADO","NO CONTRATADO")</f>
        <v>CONTRATADO</v>
      </c>
      <c r="L670" s="47" t="s">
        <v>94</v>
      </c>
      <c r="M670" s="47" t="s">
        <v>1297</v>
      </c>
      <c r="N670" s="52" t="s">
        <v>240</v>
      </c>
      <c r="O670" s="51" t="e">
        <f>VLOOKUP(N670,[2]!RUBROS[#All],3,0)</f>
        <v>#REF!</v>
      </c>
      <c r="P670" s="53" t="e">
        <f>VLOOKUP(N670,[2]!RUBROS[#All],2,0)</f>
        <v>#REF!</v>
      </c>
      <c r="Q670" s="47" t="str">
        <f t="shared" si="249"/>
        <v>22</v>
      </c>
      <c r="R670" s="47" t="str">
        <f t="shared" ref="R670:R733" si="251">+MID(N670,14,8)</f>
        <v>0-205400</v>
      </c>
      <c r="S670" s="54">
        <v>6</v>
      </c>
      <c r="T670" s="59" t="s">
        <v>46</v>
      </c>
      <c r="U670" s="326" t="e">
        <f ca="1">_xlfn.XLOOKUP(PAA_4[[#This Row],[ITEM]],[2]Contrato!A:A,[2]Contrato!Q:Q,"",0)</f>
        <v>#NAME?</v>
      </c>
      <c r="V670" s="47" t="s">
        <v>47</v>
      </c>
      <c r="W670" s="47"/>
      <c r="X670" s="47"/>
      <c r="Y670" s="55" t="e">
        <f ca="1">_xlfn.XLOOKUP(PAA_4[[#This Row],[ITEM]],[2]Contrato!A:A,[2]Contrato!B:B,"",0)</f>
        <v>#NAME?</v>
      </c>
      <c r="Z670" s="47" t="e">
        <f ca="1">_xlfn.XLOOKUP(PAA_4[[#This Row],[ITEM]],[2]Contrato!A:A,[2]Contrato!G:G,"",0)</f>
        <v>#NAME?</v>
      </c>
      <c r="AA670" s="47" t="e">
        <f ca="1">_xlfn.XLOOKUP(PAA_4[[#This Row],[ITEM]],[2]Contrato!A:A,[2]Contrato!T:T,"",0)</f>
        <v>#NAME?</v>
      </c>
      <c r="AB670" s="55" t="e">
        <f ca="1">+MAX(PAA_4[[#This Row],[Comprometido Contrato]],PAA_4[[#This Row],[Comprometido Bolsa]])</f>
        <v>#NAME?</v>
      </c>
      <c r="AC670" s="55" t="str">
        <f t="shared" ref="AC670:AC733" ca="1" si="252">IFERROR(I670-AB670,"")</f>
        <v/>
      </c>
      <c r="AD670" s="55" t="e">
        <f ca="1">IF(PAA_4[[#This Row],[ESTADO (formulado)]]="NO CONTRATADO",0,MAX(PAA_4[[#This Row],[Pago por Contrato]],PAA_4[[#This Row],[Pago por bolsa]]))</f>
        <v>#NAME?</v>
      </c>
      <c r="AE670" s="55" t="str">
        <f t="shared" ref="AE670:AE733" ca="1" si="253">+IFERROR(AB670-AD670,"")</f>
        <v/>
      </c>
      <c r="AF670" s="47" t="s">
        <v>243</v>
      </c>
      <c r="AG670" s="47">
        <f t="shared" ref="AG670:AG733" si="254">IFERROR(_xlfn.NUMBERVALUE(MID(G670,1,8)),"")</f>
        <v>41080101</v>
      </c>
      <c r="AH670" s="54" t="str">
        <f>IF(Q670="22",IF(ISNUMBER(SEARCH("econ",PAA_4[[#This Row],[Actividad3]])),"Económico",IF(ISNUMBER(SEARCH("alim",PAA_4[[#This Row],[Actividad3]])),"Alimentación",IF(ISNUMBER(SEARCH("educ",PAA_4[[#This Row],[Actividad3]])),"Educativo","Técnico"))),0)</f>
        <v>Técnico</v>
      </c>
      <c r="AI670" s="47" t="e" cm="1">
        <f t="array" aca="1" ref="AI670" ca="1">_xlfn.XLOOKUP(PAA_4[[#This Row],[RCP-RUBRO]],[2]!COMPROMISOS_2024[[#All],[concatenado]],[2]!COMPROMISOS_2024[[#All],[Total pagado]],"",0)</f>
        <v>#NAME?</v>
      </c>
      <c r="AJ670" s="56" t="e">
        <f>IF(PAA_4[[#This Row],[BOLSA]]=0,0,SUMIFS([2]!COMPROMISOS_2024[[#All],[Total pagado]],[2]!COMPROMISOS_2024[[#All],[Bolsa]],PAA_4[[#This Row],[BOLSA]],[2]!COMPROMISOS_2024[[#All],[rubro]],PAA_4[[#This Row],[RCP-RUBRO]]))</f>
        <v>#REF!</v>
      </c>
      <c r="AK670" s="47" t="e" cm="1">
        <f t="array" aca="1" ref="AK670" ca="1">_xlfn.XLOOKUP(PAA_4[[#This Row],[RCP-RUBRO]],[2]!COMPROMISOS_2024[[#All],[concatenado]],[2]!COMPROMISOS_2024[[#All],[Total Comprometido]],"",0)</f>
        <v>#NAME?</v>
      </c>
      <c r="AL670" s="47" t="e">
        <f>IF(PAA_4[[#This Row],[BOLSA]]=0,0,SUMIFS([2]!COMPROMISOS_2024[[#All],[Total Comprometido]],[2]!COMPROMISOS_2024[[#All],[Bolsa]],PAA_4[[#This Row],[BOLSA]],[2]!COMPROMISOS_2024[[#All],[concatenado]],PAA_4[[#This Row],[RCP-RUBRO]]))</f>
        <v>#REF!</v>
      </c>
    </row>
    <row r="671" spans="1:38" s="19" customFormat="1" ht="31.5" customHeight="1">
      <c r="A671" s="47">
        <v>276</v>
      </c>
      <c r="B671" s="47">
        <v>80111600</v>
      </c>
      <c r="C671" s="47" t="str">
        <f>VLOOKUP(PAA_4[[#This Row],[PROYECTO (formulado)2]],[2]PROYECTOS!$G$1:$L$32,6,0)</f>
        <v>SUBGERENCIA DE ALTOS LOGROS Y DEPORTE ASOCIADO</v>
      </c>
      <c r="D671" s="47" t="str">
        <f>+IF(PAA_4[[#This Row],[UNIDAD DE CONTRATACION (formulado)]]="Subgerencia Administrativa y Financiera","FUNCIONAMIENTO","INVERSIÓN")</f>
        <v>INVERSIÓN</v>
      </c>
      <c r="E671" s="48" t="str">
        <f>VLOOKUP(Q671,[2]PROYECTOS!$G$1:$K$32,5,0)</f>
        <v>APOYO_TÉCNICO_Y_PSICOSOCIAL_A_LOS_DEPORTISTAS_DE_ANTIOQUIA</v>
      </c>
      <c r="F671" s="48">
        <f>VLOOKUP(E671,[2]PROYECTOS!$K$1:$M$32,3,0)</f>
        <v>2021003050069</v>
      </c>
      <c r="G671" s="49" t="s">
        <v>239</v>
      </c>
      <c r="H671" s="49" t="str">
        <f>VLOOKUP(Q671,[2]PROYECTOS!$V$1:$W$32,2,0)</f>
        <v>050069</v>
      </c>
      <c r="I671" s="50">
        <v>0</v>
      </c>
      <c r="J671" s="51" t="s">
        <v>1693</v>
      </c>
      <c r="K671" s="47" t="str">
        <f t="shared" ca="1" si="250"/>
        <v>CONTRATADO</v>
      </c>
      <c r="L671" s="47" t="s">
        <v>94</v>
      </c>
      <c r="M671" s="47" t="s">
        <v>1297</v>
      </c>
      <c r="N671" s="52" t="s">
        <v>240</v>
      </c>
      <c r="O671" s="51" t="e">
        <f>VLOOKUP(N671,[2]!RUBROS[#All],3,0)</f>
        <v>#REF!</v>
      </c>
      <c r="P671" s="53" t="e">
        <f>VLOOKUP(N671,[2]!RUBROS[#All],2,0)</f>
        <v>#REF!</v>
      </c>
      <c r="Q671" s="47" t="str">
        <f t="shared" si="249"/>
        <v>22</v>
      </c>
      <c r="R671" s="47" t="str">
        <f t="shared" si="251"/>
        <v>0-205400</v>
      </c>
      <c r="S671" s="54">
        <v>6</v>
      </c>
      <c r="T671" s="59" t="s">
        <v>46</v>
      </c>
      <c r="U671" s="326" t="e">
        <f ca="1">_xlfn.XLOOKUP(PAA_4[[#This Row],[ITEM]],[2]Contrato!A:A,[2]Contrato!Q:Q,"",0)</f>
        <v>#NAME?</v>
      </c>
      <c r="V671" s="47" t="s">
        <v>47</v>
      </c>
      <c r="W671" s="47"/>
      <c r="X671" s="47"/>
      <c r="Y671" s="55" t="e">
        <f ca="1">_xlfn.XLOOKUP(PAA_4[[#This Row],[ITEM]],[2]Contrato!A:A,[2]Contrato!B:B,"",0)</f>
        <v>#NAME?</v>
      </c>
      <c r="Z671" s="47" t="e">
        <f ca="1">_xlfn.XLOOKUP(PAA_4[[#This Row],[ITEM]],[2]Contrato!A:A,[2]Contrato!G:G,"",0)</f>
        <v>#NAME?</v>
      </c>
      <c r="AA671" s="47" t="e">
        <f ca="1">_xlfn.XLOOKUP(PAA_4[[#This Row],[ITEM]],[2]Contrato!A:A,[2]Contrato!T:T,"",0)</f>
        <v>#NAME?</v>
      </c>
      <c r="AB671" s="55" t="e">
        <f ca="1">+MAX(PAA_4[[#This Row],[Comprometido Contrato]],PAA_4[[#This Row],[Comprometido Bolsa]])</f>
        <v>#NAME?</v>
      </c>
      <c r="AC671" s="55" t="str">
        <f t="shared" ca="1" si="252"/>
        <v/>
      </c>
      <c r="AD671" s="55" t="e">
        <f ca="1">IF(PAA_4[[#This Row],[ESTADO (formulado)]]="NO CONTRATADO",0,MAX(PAA_4[[#This Row],[Pago por Contrato]],PAA_4[[#This Row],[Pago por bolsa]]))</f>
        <v>#NAME?</v>
      </c>
      <c r="AE671" s="55" t="str">
        <f t="shared" ca="1" si="253"/>
        <v/>
      </c>
      <c r="AF671" s="47" t="s">
        <v>243</v>
      </c>
      <c r="AG671" s="47">
        <f t="shared" si="254"/>
        <v>41080101</v>
      </c>
      <c r="AH671" s="54" t="str">
        <f>IF(Q671="22",IF(ISNUMBER(SEARCH("econ",PAA_4[[#This Row],[Actividad3]])),"Económico",IF(ISNUMBER(SEARCH("alim",PAA_4[[#This Row],[Actividad3]])),"Alimentación",IF(ISNUMBER(SEARCH("educ",PAA_4[[#This Row],[Actividad3]])),"Educativo","Técnico"))),0)</f>
        <v>Técnico</v>
      </c>
      <c r="AI671" s="47" t="e" cm="1">
        <f t="array" aca="1" ref="AI671" ca="1">_xlfn.XLOOKUP(PAA_4[[#This Row],[RCP-RUBRO]],[2]!COMPROMISOS_2024[[#All],[concatenado]],[2]!COMPROMISOS_2024[[#All],[Total pagado]],"",0)</f>
        <v>#NAME?</v>
      </c>
      <c r="AJ671" s="56" t="e">
        <f>IF(PAA_4[[#This Row],[BOLSA]]=0,0,SUMIFS([2]!COMPROMISOS_2024[[#All],[Total pagado]],[2]!COMPROMISOS_2024[[#All],[Bolsa]],PAA_4[[#This Row],[BOLSA]],[2]!COMPROMISOS_2024[[#All],[rubro]],PAA_4[[#This Row],[RCP-RUBRO]]))</f>
        <v>#REF!</v>
      </c>
      <c r="AK671" s="47" t="e" cm="1">
        <f t="array" aca="1" ref="AK671" ca="1">_xlfn.XLOOKUP(PAA_4[[#This Row],[RCP-RUBRO]],[2]!COMPROMISOS_2024[[#All],[concatenado]],[2]!COMPROMISOS_2024[[#All],[Total Comprometido]],"",0)</f>
        <v>#NAME?</v>
      </c>
      <c r="AL671" s="47" t="e">
        <f>IF(PAA_4[[#This Row],[BOLSA]]=0,0,SUMIFS([2]!COMPROMISOS_2024[[#All],[Total Comprometido]],[2]!COMPROMISOS_2024[[#All],[Bolsa]],PAA_4[[#This Row],[BOLSA]],[2]!COMPROMISOS_2024[[#All],[concatenado]],PAA_4[[#This Row],[RCP-RUBRO]]))</f>
        <v>#REF!</v>
      </c>
    </row>
    <row r="672" spans="1:38" s="19" customFormat="1" ht="31.5" customHeight="1">
      <c r="A672" s="47">
        <v>277</v>
      </c>
      <c r="B672" s="47">
        <v>80111600</v>
      </c>
      <c r="C672" s="47" t="str">
        <f>VLOOKUP(PAA_4[[#This Row],[PROYECTO (formulado)2]],[2]PROYECTOS!$G$1:$L$32,6,0)</f>
        <v>SUBGERENCIA DE ALTOS LOGROS Y DEPORTE ASOCIADO</v>
      </c>
      <c r="D672" s="47" t="str">
        <f>+IF(PAA_4[[#This Row],[UNIDAD DE CONTRATACION (formulado)]]="Subgerencia Administrativa y Financiera","FUNCIONAMIENTO","INVERSIÓN")</f>
        <v>INVERSIÓN</v>
      </c>
      <c r="E672" s="48" t="str">
        <f>VLOOKUP(Q672,[2]PROYECTOS!$G$1:$K$32,5,0)</f>
        <v>APOYO_TÉCNICO_Y_PSICOSOCIAL_A_LOS_DEPORTISTAS_DE_ANTIOQUIA</v>
      </c>
      <c r="F672" s="48">
        <f>VLOOKUP(E672,[2]PROYECTOS!$K$1:$M$32,3,0)</f>
        <v>2021003050069</v>
      </c>
      <c r="G672" s="49" t="s">
        <v>239</v>
      </c>
      <c r="H672" s="49" t="str">
        <f>VLOOKUP(Q672,[2]PROYECTOS!$V$1:$W$32,2,0)</f>
        <v>050069</v>
      </c>
      <c r="I672" s="50">
        <v>0</v>
      </c>
      <c r="J672" s="51" t="s">
        <v>1693</v>
      </c>
      <c r="K672" s="47" t="str">
        <f t="shared" ca="1" si="250"/>
        <v>CONTRATADO</v>
      </c>
      <c r="L672" s="47" t="s">
        <v>94</v>
      </c>
      <c r="M672" s="47" t="s">
        <v>1297</v>
      </c>
      <c r="N672" s="52" t="s">
        <v>240</v>
      </c>
      <c r="O672" s="51" t="e">
        <f>VLOOKUP(N672,[2]!RUBROS[#All],3,0)</f>
        <v>#REF!</v>
      </c>
      <c r="P672" s="53" t="e">
        <f>VLOOKUP(N672,[2]!RUBROS[#All],2,0)</f>
        <v>#REF!</v>
      </c>
      <c r="Q672" s="47" t="str">
        <f t="shared" si="249"/>
        <v>22</v>
      </c>
      <c r="R672" s="47" t="str">
        <f t="shared" si="251"/>
        <v>0-205400</v>
      </c>
      <c r="S672" s="54">
        <v>6</v>
      </c>
      <c r="T672" s="59" t="s">
        <v>46</v>
      </c>
      <c r="U672" s="326" t="e">
        <f ca="1">_xlfn.XLOOKUP(PAA_4[[#This Row],[ITEM]],[2]Contrato!A:A,[2]Contrato!Q:Q,"",0)</f>
        <v>#NAME?</v>
      </c>
      <c r="V672" s="47" t="s">
        <v>47</v>
      </c>
      <c r="W672" s="47"/>
      <c r="X672" s="47"/>
      <c r="Y672" s="55" t="e">
        <f ca="1">_xlfn.XLOOKUP(PAA_4[[#This Row],[ITEM]],[2]Contrato!A:A,[2]Contrato!B:B,"",0)</f>
        <v>#NAME?</v>
      </c>
      <c r="Z672" s="47" t="e">
        <f ca="1">_xlfn.XLOOKUP(PAA_4[[#This Row],[ITEM]],[2]Contrato!A:A,[2]Contrato!G:G,"",0)</f>
        <v>#NAME?</v>
      </c>
      <c r="AA672" s="47" t="e">
        <f ca="1">_xlfn.XLOOKUP(PAA_4[[#This Row],[ITEM]],[2]Contrato!A:A,[2]Contrato!T:T,"",0)</f>
        <v>#NAME?</v>
      </c>
      <c r="AB672" s="55" t="e">
        <f ca="1">+MAX(PAA_4[[#This Row],[Comprometido Contrato]],PAA_4[[#This Row],[Comprometido Bolsa]])</f>
        <v>#NAME?</v>
      </c>
      <c r="AC672" s="55" t="str">
        <f t="shared" ca="1" si="252"/>
        <v/>
      </c>
      <c r="AD672" s="55" t="e">
        <f ca="1">IF(PAA_4[[#This Row],[ESTADO (formulado)]]="NO CONTRATADO",0,MAX(PAA_4[[#This Row],[Pago por Contrato]],PAA_4[[#This Row],[Pago por bolsa]]))</f>
        <v>#NAME?</v>
      </c>
      <c r="AE672" s="55" t="str">
        <f t="shared" ca="1" si="253"/>
        <v/>
      </c>
      <c r="AF672" s="47" t="s">
        <v>243</v>
      </c>
      <c r="AG672" s="47">
        <f t="shared" si="254"/>
        <v>41080101</v>
      </c>
      <c r="AH672" s="54" t="str">
        <f>IF(Q672="22",IF(ISNUMBER(SEARCH("econ",PAA_4[[#This Row],[Actividad3]])),"Económico",IF(ISNUMBER(SEARCH("alim",PAA_4[[#This Row],[Actividad3]])),"Alimentación",IF(ISNUMBER(SEARCH("educ",PAA_4[[#This Row],[Actividad3]])),"Educativo","Técnico"))),0)</f>
        <v>Técnico</v>
      </c>
      <c r="AI672" s="47" t="e" cm="1">
        <f t="array" aca="1" ref="AI672" ca="1">_xlfn.XLOOKUP(PAA_4[[#This Row],[RCP-RUBRO]],[2]!COMPROMISOS_2024[[#All],[concatenado]],[2]!COMPROMISOS_2024[[#All],[Total pagado]],"",0)</f>
        <v>#NAME?</v>
      </c>
      <c r="AJ672" s="56" t="e">
        <f>IF(PAA_4[[#This Row],[BOLSA]]=0,0,SUMIFS([2]!COMPROMISOS_2024[[#All],[Total pagado]],[2]!COMPROMISOS_2024[[#All],[Bolsa]],PAA_4[[#This Row],[BOLSA]],[2]!COMPROMISOS_2024[[#All],[rubro]],PAA_4[[#This Row],[RCP-RUBRO]]))</f>
        <v>#REF!</v>
      </c>
      <c r="AK672" s="47" t="e" cm="1">
        <f t="array" aca="1" ref="AK672" ca="1">_xlfn.XLOOKUP(PAA_4[[#This Row],[RCP-RUBRO]],[2]!COMPROMISOS_2024[[#All],[concatenado]],[2]!COMPROMISOS_2024[[#All],[Total Comprometido]],"",0)</f>
        <v>#NAME?</v>
      </c>
      <c r="AL672" s="47" t="e">
        <f>IF(PAA_4[[#This Row],[BOLSA]]=0,0,SUMIFS([2]!COMPROMISOS_2024[[#All],[Total Comprometido]],[2]!COMPROMISOS_2024[[#All],[Bolsa]],PAA_4[[#This Row],[BOLSA]],[2]!COMPROMISOS_2024[[#All],[concatenado]],PAA_4[[#This Row],[RCP-RUBRO]]))</f>
        <v>#REF!</v>
      </c>
    </row>
    <row r="673" spans="1:38" s="19" customFormat="1" ht="31.5" customHeight="1">
      <c r="A673" s="47">
        <v>278</v>
      </c>
      <c r="B673" s="47">
        <v>80111600</v>
      </c>
      <c r="C673" s="47" t="str">
        <f>VLOOKUP(PAA_4[[#This Row],[PROYECTO (formulado)2]],[2]PROYECTOS!$G$1:$L$32,6,0)</f>
        <v>SUBGERENCIA DE ALTOS LOGROS Y DEPORTE ASOCIADO</v>
      </c>
      <c r="D673" s="47" t="str">
        <f>+IF(PAA_4[[#This Row],[UNIDAD DE CONTRATACION (formulado)]]="Subgerencia Administrativa y Financiera","FUNCIONAMIENTO","INVERSIÓN")</f>
        <v>INVERSIÓN</v>
      </c>
      <c r="E673" s="48" t="str">
        <f>VLOOKUP(Q673,[2]PROYECTOS!$G$1:$K$32,5,0)</f>
        <v>APOYO_TÉCNICO_Y_PSICOSOCIAL_A_LOS_DEPORTISTAS_DE_ANTIOQUIA</v>
      </c>
      <c r="F673" s="48">
        <f>VLOOKUP(E673,[2]PROYECTOS!$K$1:$M$32,3,0)</f>
        <v>2021003050069</v>
      </c>
      <c r="G673" s="49" t="s">
        <v>239</v>
      </c>
      <c r="H673" s="49" t="str">
        <f>VLOOKUP(Q673,[2]PROYECTOS!$V$1:$W$32,2,0)</f>
        <v>050069</v>
      </c>
      <c r="I673" s="50">
        <v>0</v>
      </c>
      <c r="J673" s="51" t="s">
        <v>1693</v>
      </c>
      <c r="K673" s="47" t="str">
        <f t="shared" ca="1" si="250"/>
        <v>CONTRATADO</v>
      </c>
      <c r="L673" s="47" t="s">
        <v>94</v>
      </c>
      <c r="M673" s="47" t="s">
        <v>1297</v>
      </c>
      <c r="N673" s="52" t="s">
        <v>240</v>
      </c>
      <c r="O673" s="51" t="e">
        <f>VLOOKUP(N673,[2]!RUBROS[#All],3,0)</f>
        <v>#REF!</v>
      </c>
      <c r="P673" s="53" t="e">
        <f>VLOOKUP(N673,[2]!RUBROS[#All],2,0)</f>
        <v>#REF!</v>
      </c>
      <c r="Q673" s="47" t="str">
        <f t="shared" si="249"/>
        <v>22</v>
      </c>
      <c r="R673" s="47" t="str">
        <f t="shared" si="251"/>
        <v>0-205400</v>
      </c>
      <c r="S673" s="54">
        <v>6</v>
      </c>
      <c r="T673" s="59" t="s">
        <v>46</v>
      </c>
      <c r="U673" s="326" t="e">
        <f ca="1">_xlfn.XLOOKUP(PAA_4[[#This Row],[ITEM]],[2]Contrato!A:A,[2]Contrato!Q:Q,"",0)</f>
        <v>#NAME?</v>
      </c>
      <c r="V673" s="47" t="s">
        <v>47</v>
      </c>
      <c r="W673" s="47"/>
      <c r="X673" s="47"/>
      <c r="Y673" s="55" t="e">
        <f ca="1">_xlfn.XLOOKUP(PAA_4[[#This Row],[ITEM]],[2]Contrato!A:A,[2]Contrato!B:B,"",0)</f>
        <v>#NAME?</v>
      </c>
      <c r="Z673" s="47" t="e">
        <f ca="1">_xlfn.XLOOKUP(PAA_4[[#This Row],[ITEM]],[2]Contrato!A:A,[2]Contrato!G:G,"",0)</f>
        <v>#NAME?</v>
      </c>
      <c r="AA673" s="47" t="e">
        <f ca="1">_xlfn.XLOOKUP(PAA_4[[#This Row],[ITEM]],[2]Contrato!A:A,[2]Contrato!T:T,"",0)</f>
        <v>#NAME?</v>
      </c>
      <c r="AB673" s="55" t="e">
        <f ca="1">+MAX(PAA_4[[#This Row],[Comprometido Contrato]],PAA_4[[#This Row],[Comprometido Bolsa]])</f>
        <v>#NAME?</v>
      </c>
      <c r="AC673" s="55" t="str">
        <f t="shared" ca="1" si="252"/>
        <v/>
      </c>
      <c r="AD673" s="55" t="e">
        <f ca="1">IF(PAA_4[[#This Row],[ESTADO (formulado)]]="NO CONTRATADO",0,MAX(PAA_4[[#This Row],[Pago por Contrato]],PAA_4[[#This Row],[Pago por bolsa]]))</f>
        <v>#NAME?</v>
      </c>
      <c r="AE673" s="55" t="str">
        <f t="shared" ca="1" si="253"/>
        <v/>
      </c>
      <c r="AF673" s="47" t="s">
        <v>243</v>
      </c>
      <c r="AG673" s="47">
        <f t="shared" si="254"/>
        <v>41080101</v>
      </c>
      <c r="AH673" s="54" t="str">
        <f>IF(Q673="22",IF(ISNUMBER(SEARCH("econ",PAA_4[[#This Row],[Actividad3]])),"Económico",IF(ISNUMBER(SEARCH("alim",PAA_4[[#This Row],[Actividad3]])),"Alimentación",IF(ISNUMBER(SEARCH("educ",PAA_4[[#This Row],[Actividad3]])),"Educativo","Técnico"))),0)</f>
        <v>Técnico</v>
      </c>
      <c r="AI673" s="47" t="e" cm="1">
        <f t="array" aca="1" ref="AI673" ca="1">_xlfn.XLOOKUP(PAA_4[[#This Row],[RCP-RUBRO]],[2]!COMPROMISOS_2024[[#All],[concatenado]],[2]!COMPROMISOS_2024[[#All],[Total pagado]],"",0)</f>
        <v>#NAME?</v>
      </c>
      <c r="AJ673" s="56" t="e">
        <f>IF(PAA_4[[#This Row],[BOLSA]]=0,0,SUMIFS([2]!COMPROMISOS_2024[[#All],[Total pagado]],[2]!COMPROMISOS_2024[[#All],[Bolsa]],PAA_4[[#This Row],[BOLSA]],[2]!COMPROMISOS_2024[[#All],[rubro]],PAA_4[[#This Row],[RCP-RUBRO]]))</f>
        <v>#REF!</v>
      </c>
      <c r="AK673" s="47" t="e" cm="1">
        <f t="array" aca="1" ref="AK673" ca="1">_xlfn.XLOOKUP(PAA_4[[#This Row],[RCP-RUBRO]],[2]!COMPROMISOS_2024[[#All],[concatenado]],[2]!COMPROMISOS_2024[[#All],[Total Comprometido]],"",0)</f>
        <v>#NAME?</v>
      </c>
      <c r="AL673" s="47" t="e">
        <f>IF(PAA_4[[#This Row],[BOLSA]]=0,0,SUMIFS([2]!COMPROMISOS_2024[[#All],[Total Comprometido]],[2]!COMPROMISOS_2024[[#All],[Bolsa]],PAA_4[[#This Row],[BOLSA]],[2]!COMPROMISOS_2024[[#All],[concatenado]],PAA_4[[#This Row],[RCP-RUBRO]]))</f>
        <v>#REF!</v>
      </c>
    </row>
    <row r="674" spans="1:38" s="19" customFormat="1" ht="31.5" customHeight="1">
      <c r="A674" s="47">
        <v>279</v>
      </c>
      <c r="B674" s="47">
        <v>80111600</v>
      </c>
      <c r="C674" s="47" t="str">
        <f>VLOOKUP(PAA_4[[#This Row],[PROYECTO (formulado)2]],[2]PROYECTOS!$G$1:$L$32,6,0)</f>
        <v>SUBGERENCIA DE ALTOS LOGROS Y DEPORTE ASOCIADO</v>
      </c>
      <c r="D674" s="47" t="str">
        <f>+IF(PAA_4[[#This Row],[UNIDAD DE CONTRATACION (formulado)]]="Subgerencia Administrativa y Financiera","FUNCIONAMIENTO","INVERSIÓN")</f>
        <v>INVERSIÓN</v>
      </c>
      <c r="E674" s="48" t="str">
        <f>VLOOKUP(Q674,[2]PROYECTOS!$G$1:$K$32,5,0)</f>
        <v>APOYO_TÉCNICO_Y_PSICOSOCIAL_A_LOS_DEPORTISTAS_DE_ANTIOQUIA</v>
      </c>
      <c r="F674" s="48">
        <f>VLOOKUP(E674,[2]PROYECTOS!$K$1:$M$32,3,0)</f>
        <v>2021003050069</v>
      </c>
      <c r="G674" s="49" t="s">
        <v>239</v>
      </c>
      <c r="H674" s="49" t="str">
        <f>VLOOKUP(Q674,[2]PROYECTOS!$V$1:$W$32,2,0)</f>
        <v>050069</v>
      </c>
      <c r="I674" s="50">
        <v>0</v>
      </c>
      <c r="J674" s="51" t="s">
        <v>1693</v>
      </c>
      <c r="K674" s="47" t="str">
        <f t="shared" ca="1" si="250"/>
        <v>CONTRATADO</v>
      </c>
      <c r="L674" s="47" t="s">
        <v>94</v>
      </c>
      <c r="M674" s="47" t="s">
        <v>1297</v>
      </c>
      <c r="N674" s="52" t="s">
        <v>240</v>
      </c>
      <c r="O674" s="51" t="e">
        <f>VLOOKUP(N674,[2]!RUBROS[#All],3,0)</f>
        <v>#REF!</v>
      </c>
      <c r="P674" s="53" t="e">
        <f>VLOOKUP(N674,[2]!RUBROS[#All],2,0)</f>
        <v>#REF!</v>
      </c>
      <c r="Q674" s="47" t="str">
        <f t="shared" si="249"/>
        <v>22</v>
      </c>
      <c r="R674" s="47" t="str">
        <f t="shared" si="251"/>
        <v>0-205400</v>
      </c>
      <c r="S674" s="54">
        <v>6</v>
      </c>
      <c r="T674" s="59" t="s">
        <v>46</v>
      </c>
      <c r="U674" s="326" t="e">
        <f ca="1">_xlfn.XLOOKUP(PAA_4[[#This Row],[ITEM]],[2]Contrato!A:A,[2]Contrato!Q:Q,"",0)</f>
        <v>#NAME?</v>
      </c>
      <c r="V674" s="47" t="s">
        <v>47</v>
      </c>
      <c r="W674" s="47"/>
      <c r="X674" s="47"/>
      <c r="Y674" s="55" t="e">
        <f ca="1">_xlfn.XLOOKUP(PAA_4[[#This Row],[ITEM]],[2]Contrato!A:A,[2]Contrato!B:B,"",0)</f>
        <v>#NAME?</v>
      </c>
      <c r="Z674" s="47" t="e">
        <f ca="1">_xlfn.XLOOKUP(PAA_4[[#This Row],[ITEM]],[2]Contrato!A:A,[2]Contrato!G:G,"",0)</f>
        <v>#NAME?</v>
      </c>
      <c r="AA674" s="47" t="e">
        <f ca="1">_xlfn.XLOOKUP(PAA_4[[#This Row],[ITEM]],[2]Contrato!A:A,[2]Contrato!T:T,"",0)</f>
        <v>#NAME?</v>
      </c>
      <c r="AB674" s="55" t="e">
        <f ca="1">+MAX(PAA_4[[#This Row],[Comprometido Contrato]],PAA_4[[#This Row],[Comprometido Bolsa]])</f>
        <v>#NAME?</v>
      </c>
      <c r="AC674" s="55" t="str">
        <f t="shared" ca="1" si="252"/>
        <v/>
      </c>
      <c r="AD674" s="55" t="e">
        <f ca="1">IF(PAA_4[[#This Row],[ESTADO (formulado)]]="NO CONTRATADO",0,MAX(PAA_4[[#This Row],[Pago por Contrato]],PAA_4[[#This Row],[Pago por bolsa]]))</f>
        <v>#NAME?</v>
      </c>
      <c r="AE674" s="55" t="str">
        <f t="shared" ca="1" si="253"/>
        <v/>
      </c>
      <c r="AF674" s="47" t="s">
        <v>243</v>
      </c>
      <c r="AG674" s="47">
        <f t="shared" si="254"/>
        <v>41080101</v>
      </c>
      <c r="AH674" s="54" t="str">
        <f>IF(Q674="22",IF(ISNUMBER(SEARCH("econ",PAA_4[[#This Row],[Actividad3]])),"Económico",IF(ISNUMBER(SEARCH("alim",PAA_4[[#This Row],[Actividad3]])),"Alimentación",IF(ISNUMBER(SEARCH("educ",PAA_4[[#This Row],[Actividad3]])),"Educativo","Técnico"))),0)</f>
        <v>Técnico</v>
      </c>
      <c r="AI674" s="47" t="e" cm="1">
        <f t="array" aca="1" ref="AI674" ca="1">_xlfn.XLOOKUP(PAA_4[[#This Row],[RCP-RUBRO]],[2]!COMPROMISOS_2024[[#All],[concatenado]],[2]!COMPROMISOS_2024[[#All],[Total pagado]],"",0)</f>
        <v>#NAME?</v>
      </c>
      <c r="AJ674" s="56" t="e">
        <f>IF(PAA_4[[#This Row],[BOLSA]]=0,0,SUMIFS([2]!COMPROMISOS_2024[[#All],[Total pagado]],[2]!COMPROMISOS_2024[[#All],[Bolsa]],PAA_4[[#This Row],[BOLSA]],[2]!COMPROMISOS_2024[[#All],[rubro]],PAA_4[[#This Row],[RCP-RUBRO]]))</f>
        <v>#REF!</v>
      </c>
      <c r="AK674" s="47" t="e" cm="1">
        <f t="array" aca="1" ref="AK674" ca="1">_xlfn.XLOOKUP(PAA_4[[#This Row],[RCP-RUBRO]],[2]!COMPROMISOS_2024[[#All],[concatenado]],[2]!COMPROMISOS_2024[[#All],[Total Comprometido]],"",0)</f>
        <v>#NAME?</v>
      </c>
      <c r="AL674" s="47" t="e">
        <f>IF(PAA_4[[#This Row],[BOLSA]]=0,0,SUMIFS([2]!COMPROMISOS_2024[[#All],[Total Comprometido]],[2]!COMPROMISOS_2024[[#All],[Bolsa]],PAA_4[[#This Row],[BOLSA]],[2]!COMPROMISOS_2024[[#All],[concatenado]],PAA_4[[#This Row],[RCP-RUBRO]]))</f>
        <v>#REF!</v>
      </c>
    </row>
    <row r="675" spans="1:38" s="19" customFormat="1" ht="31.5" customHeight="1">
      <c r="A675" s="47">
        <v>280</v>
      </c>
      <c r="B675" s="47">
        <v>80111600</v>
      </c>
      <c r="C675" s="47" t="str">
        <f>VLOOKUP(PAA_4[[#This Row],[PROYECTO (formulado)2]],[2]PROYECTOS!$G$1:$L$32,6,0)</f>
        <v>SUBGERENCIA DE ALTOS LOGROS Y DEPORTE ASOCIADO</v>
      </c>
      <c r="D675" s="47" t="str">
        <f>+IF(PAA_4[[#This Row],[UNIDAD DE CONTRATACION (formulado)]]="Subgerencia Administrativa y Financiera","FUNCIONAMIENTO","INVERSIÓN")</f>
        <v>INVERSIÓN</v>
      </c>
      <c r="E675" s="48" t="str">
        <f>VLOOKUP(Q675,[2]PROYECTOS!$G$1:$K$32,5,0)</f>
        <v>APOYO_TÉCNICO_Y_PSICOSOCIAL_A_LOS_DEPORTISTAS_DE_ANTIOQUIA</v>
      </c>
      <c r="F675" s="48">
        <f>VLOOKUP(E675,[2]PROYECTOS!$K$1:$M$32,3,0)</f>
        <v>2021003050069</v>
      </c>
      <c r="G675" s="49" t="s">
        <v>239</v>
      </c>
      <c r="H675" s="49" t="str">
        <f>VLOOKUP(Q675,[2]PROYECTOS!$V$1:$W$32,2,0)</f>
        <v>050069</v>
      </c>
      <c r="I675" s="50">
        <v>0</v>
      </c>
      <c r="J675" s="51" t="s">
        <v>1693</v>
      </c>
      <c r="K675" s="47" t="str">
        <f t="shared" ca="1" si="250"/>
        <v>CONTRATADO</v>
      </c>
      <c r="L675" s="47" t="s">
        <v>94</v>
      </c>
      <c r="M675" s="47" t="s">
        <v>1297</v>
      </c>
      <c r="N675" s="52" t="s">
        <v>240</v>
      </c>
      <c r="O675" s="51" t="e">
        <f>VLOOKUP(N675,[2]!RUBROS[#All],3,0)</f>
        <v>#REF!</v>
      </c>
      <c r="P675" s="53" t="e">
        <f>VLOOKUP(N675,[2]!RUBROS[#All],2,0)</f>
        <v>#REF!</v>
      </c>
      <c r="Q675" s="47" t="str">
        <f t="shared" si="249"/>
        <v>22</v>
      </c>
      <c r="R675" s="47" t="str">
        <f t="shared" si="251"/>
        <v>0-205400</v>
      </c>
      <c r="S675" s="54">
        <v>6</v>
      </c>
      <c r="T675" s="59" t="s">
        <v>46</v>
      </c>
      <c r="U675" s="326" t="e">
        <f ca="1">_xlfn.XLOOKUP(PAA_4[[#This Row],[ITEM]],[2]Contrato!A:A,[2]Contrato!Q:Q,"",0)</f>
        <v>#NAME?</v>
      </c>
      <c r="V675" s="47" t="s">
        <v>47</v>
      </c>
      <c r="W675" s="47"/>
      <c r="X675" s="47"/>
      <c r="Y675" s="55" t="e">
        <f ca="1">_xlfn.XLOOKUP(PAA_4[[#This Row],[ITEM]],[2]Contrato!A:A,[2]Contrato!B:B,"",0)</f>
        <v>#NAME?</v>
      </c>
      <c r="Z675" s="47" t="e">
        <f ca="1">_xlfn.XLOOKUP(PAA_4[[#This Row],[ITEM]],[2]Contrato!A:A,[2]Contrato!G:G,"",0)</f>
        <v>#NAME?</v>
      </c>
      <c r="AA675" s="47" t="e">
        <f ca="1">_xlfn.XLOOKUP(PAA_4[[#This Row],[ITEM]],[2]Contrato!A:A,[2]Contrato!T:T,"",0)</f>
        <v>#NAME?</v>
      </c>
      <c r="AB675" s="55" t="e">
        <f ca="1">+MAX(PAA_4[[#This Row],[Comprometido Contrato]],PAA_4[[#This Row],[Comprometido Bolsa]])</f>
        <v>#NAME?</v>
      </c>
      <c r="AC675" s="55" t="str">
        <f t="shared" ca="1" si="252"/>
        <v/>
      </c>
      <c r="AD675" s="55" t="e">
        <f ca="1">IF(PAA_4[[#This Row],[ESTADO (formulado)]]="NO CONTRATADO",0,MAX(PAA_4[[#This Row],[Pago por Contrato]],PAA_4[[#This Row],[Pago por bolsa]]))</f>
        <v>#NAME?</v>
      </c>
      <c r="AE675" s="55" t="str">
        <f t="shared" ca="1" si="253"/>
        <v/>
      </c>
      <c r="AF675" s="47" t="e">
        <f t="shared" ref="AF675:AF738" ca="1" si="255">+CONCATENATE(AA675,N675)</f>
        <v>#NAME?</v>
      </c>
      <c r="AG675" s="47">
        <f t="shared" si="254"/>
        <v>41080101</v>
      </c>
      <c r="AH675" s="54" t="str">
        <f>IF(Q675="22",IF(ISNUMBER(SEARCH("econ",PAA_4[[#This Row],[Actividad3]])),"Económico",IF(ISNUMBER(SEARCH("alim",PAA_4[[#This Row],[Actividad3]])),"Alimentación",IF(ISNUMBER(SEARCH("educ",PAA_4[[#This Row],[Actividad3]])),"Educativo","Técnico"))),0)</f>
        <v>Técnico</v>
      </c>
      <c r="AI675" s="47" t="e" cm="1">
        <f t="array" aca="1" ref="AI675" ca="1">_xlfn.XLOOKUP(PAA_4[[#This Row],[RCP-RUBRO]],[2]!COMPROMISOS_2024[[#All],[concatenado]],[2]!COMPROMISOS_2024[[#All],[Total pagado]],"",0)</f>
        <v>#NAME?</v>
      </c>
      <c r="AJ675" s="56" t="e">
        <f ca="1">IF(PAA_4[[#This Row],[BOLSA]]=0,0,SUMIFS([2]!COMPROMISOS_2024[[#All],[Total pagado]],[2]!COMPROMISOS_2024[[#All],[Bolsa]],PAA_4[[#This Row],[BOLSA]],[2]!COMPROMISOS_2024[[#All],[rubro]],PAA_4[[#This Row],[RCP-RUBRO]]))</f>
        <v>#REF!</v>
      </c>
      <c r="AK675" s="47" t="e" cm="1">
        <f t="array" aca="1" ref="AK675" ca="1">_xlfn.XLOOKUP(PAA_4[[#This Row],[RCP-RUBRO]],[2]!COMPROMISOS_2024[[#All],[concatenado]],[2]!COMPROMISOS_2024[[#All],[Total Comprometido]],"",0)</f>
        <v>#NAME?</v>
      </c>
      <c r="AL675" s="47" t="e">
        <f ca="1">IF(PAA_4[[#This Row],[BOLSA]]=0,0,SUMIFS([2]!COMPROMISOS_2024[[#All],[Total Comprometido]],[2]!COMPROMISOS_2024[[#All],[Bolsa]],PAA_4[[#This Row],[BOLSA]],[2]!COMPROMISOS_2024[[#All],[concatenado]],PAA_4[[#This Row],[RCP-RUBRO]]))</f>
        <v>#REF!</v>
      </c>
    </row>
    <row r="676" spans="1:38" s="19" customFormat="1" ht="31.5" customHeight="1">
      <c r="A676" s="47">
        <v>281</v>
      </c>
      <c r="B676" s="47">
        <v>80111600</v>
      </c>
      <c r="C676" s="47" t="str">
        <f>VLOOKUP(PAA_4[[#This Row],[PROYECTO (formulado)2]],[2]PROYECTOS!$G$1:$L$32,6,0)</f>
        <v>SUBGERENCIA DE ALTOS LOGROS Y DEPORTE ASOCIADO</v>
      </c>
      <c r="D676" s="47" t="str">
        <f>+IF(PAA_4[[#This Row],[UNIDAD DE CONTRATACION (formulado)]]="Subgerencia Administrativa y Financiera","FUNCIONAMIENTO","INVERSIÓN")</f>
        <v>INVERSIÓN</v>
      </c>
      <c r="E676" s="48" t="str">
        <f>VLOOKUP(Q676,[2]PROYECTOS!$G$1:$K$32,5,0)</f>
        <v>APOYO_TÉCNICO_Y_PSICOSOCIAL_A_LOS_DEPORTISTAS_DE_ANTIOQUIA</v>
      </c>
      <c r="F676" s="48">
        <f>VLOOKUP(E676,[2]PROYECTOS!$K$1:$M$32,3,0)</f>
        <v>2021003050069</v>
      </c>
      <c r="G676" s="49" t="s">
        <v>239</v>
      </c>
      <c r="H676" s="49" t="str">
        <f>VLOOKUP(Q676,[2]PROYECTOS!$V$1:$W$32,2,0)</f>
        <v>050069</v>
      </c>
      <c r="I676" s="50">
        <v>0</v>
      </c>
      <c r="J676" s="51" t="s">
        <v>1693</v>
      </c>
      <c r="K676" s="47" t="str">
        <f t="shared" ca="1" si="250"/>
        <v>CONTRATADO</v>
      </c>
      <c r="L676" s="47" t="s">
        <v>94</v>
      </c>
      <c r="M676" s="47" t="s">
        <v>1297</v>
      </c>
      <c r="N676" s="52" t="s">
        <v>240</v>
      </c>
      <c r="O676" s="51" t="e">
        <f>VLOOKUP(N676,[2]!RUBROS[#All],3,0)</f>
        <v>#REF!</v>
      </c>
      <c r="P676" s="53" t="e">
        <f>VLOOKUP(N676,[2]!RUBROS[#All],2,0)</f>
        <v>#REF!</v>
      </c>
      <c r="Q676" s="47" t="str">
        <f t="shared" si="249"/>
        <v>22</v>
      </c>
      <c r="R676" s="47" t="str">
        <f t="shared" si="251"/>
        <v>0-205400</v>
      </c>
      <c r="S676" s="54">
        <v>6</v>
      </c>
      <c r="T676" s="59" t="s">
        <v>46</v>
      </c>
      <c r="U676" s="326" t="e">
        <f ca="1">_xlfn.XLOOKUP(PAA_4[[#This Row],[ITEM]],[2]Contrato!A:A,[2]Contrato!Q:Q,"",0)</f>
        <v>#NAME?</v>
      </c>
      <c r="V676" s="47" t="s">
        <v>47</v>
      </c>
      <c r="W676" s="47"/>
      <c r="X676" s="47"/>
      <c r="Y676" s="55" t="e">
        <f ca="1">_xlfn.XLOOKUP(PAA_4[[#This Row],[ITEM]],[2]Contrato!A:A,[2]Contrato!B:B,"",0)</f>
        <v>#NAME?</v>
      </c>
      <c r="Z676" s="47" t="e">
        <f ca="1">_xlfn.XLOOKUP(PAA_4[[#This Row],[ITEM]],[2]Contrato!A:A,[2]Contrato!G:G,"",0)</f>
        <v>#NAME?</v>
      </c>
      <c r="AA676" s="47" t="e">
        <f ca="1">_xlfn.XLOOKUP(PAA_4[[#This Row],[ITEM]],[2]Contrato!A:A,[2]Contrato!T:T,"",0)</f>
        <v>#NAME?</v>
      </c>
      <c r="AB676" s="55" t="e">
        <f ca="1">+MAX(PAA_4[[#This Row],[Comprometido Contrato]],PAA_4[[#This Row],[Comprometido Bolsa]])</f>
        <v>#NAME?</v>
      </c>
      <c r="AC676" s="55" t="str">
        <f t="shared" ca="1" si="252"/>
        <v/>
      </c>
      <c r="AD676" s="55" t="e">
        <f ca="1">IF(PAA_4[[#This Row],[ESTADO (formulado)]]="NO CONTRATADO",0,MAX(PAA_4[[#This Row],[Pago por Contrato]],PAA_4[[#This Row],[Pago por bolsa]]))</f>
        <v>#NAME?</v>
      </c>
      <c r="AE676" s="55" t="str">
        <f t="shared" ca="1" si="253"/>
        <v/>
      </c>
      <c r="AF676" s="47" t="e">
        <f t="shared" ca="1" si="255"/>
        <v>#NAME?</v>
      </c>
      <c r="AG676" s="47">
        <f t="shared" si="254"/>
        <v>41080101</v>
      </c>
      <c r="AH676" s="54" t="str">
        <f>IF(Q676="22",IF(ISNUMBER(SEARCH("econ",PAA_4[[#This Row],[Actividad3]])),"Económico",IF(ISNUMBER(SEARCH("alim",PAA_4[[#This Row],[Actividad3]])),"Alimentación",IF(ISNUMBER(SEARCH("educ",PAA_4[[#This Row],[Actividad3]])),"Educativo","Técnico"))),0)</f>
        <v>Técnico</v>
      </c>
      <c r="AI676" s="47" t="e" cm="1">
        <f t="array" aca="1" ref="AI676" ca="1">_xlfn.XLOOKUP(PAA_4[[#This Row],[RCP-RUBRO]],[2]!COMPROMISOS_2024[[#All],[concatenado]],[2]!COMPROMISOS_2024[[#All],[Total pagado]],"",0)</f>
        <v>#NAME?</v>
      </c>
      <c r="AJ676" s="56" t="e">
        <f ca="1">IF(PAA_4[[#This Row],[BOLSA]]=0,0,SUMIFS([2]!COMPROMISOS_2024[[#All],[Total pagado]],[2]!COMPROMISOS_2024[[#All],[Bolsa]],PAA_4[[#This Row],[BOLSA]],[2]!COMPROMISOS_2024[[#All],[rubro]],PAA_4[[#This Row],[RCP-RUBRO]]))</f>
        <v>#REF!</v>
      </c>
      <c r="AK676" s="47" t="e" cm="1">
        <f t="array" aca="1" ref="AK676" ca="1">_xlfn.XLOOKUP(PAA_4[[#This Row],[RCP-RUBRO]],[2]!COMPROMISOS_2024[[#All],[concatenado]],[2]!COMPROMISOS_2024[[#All],[Total Comprometido]],"",0)</f>
        <v>#NAME?</v>
      </c>
      <c r="AL676" s="47" t="e">
        <f ca="1">IF(PAA_4[[#This Row],[BOLSA]]=0,0,SUMIFS([2]!COMPROMISOS_2024[[#All],[Total Comprometido]],[2]!COMPROMISOS_2024[[#All],[Bolsa]],PAA_4[[#This Row],[BOLSA]],[2]!COMPROMISOS_2024[[#All],[concatenado]],PAA_4[[#This Row],[RCP-RUBRO]]))</f>
        <v>#REF!</v>
      </c>
    </row>
    <row r="677" spans="1:38" s="19" customFormat="1" ht="31.5" customHeight="1">
      <c r="A677" s="47">
        <v>282</v>
      </c>
      <c r="B677" s="47">
        <v>80111600</v>
      </c>
      <c r="C677" s="47" t="str">
        <f>VLOOKUP(PAA_4[[#This Row],[PROYECTO (formulado)2]],[2]PROYECTOS!$G$1:$L$32,6,0)</f>
        <v>SUBGERENCIA DE ALTOS LOGROS Y DEPORTE ASOCIADO</v>
      </c>
      <c r="D677" s="47" t="str">
        <f>+IF(PAA_4[[#This Row],[UNIDAD DE CONTRATACION (formulado)]]="Subgerencia Administrativa y Financiera","FUNCIONAMIENTO","INVERSIÓN")</f>
        <v>INVERSIÓN</v>
      </c>
      <c r="E677" s="48" t="str">
        <f>VLOOKUP(Q677,[2]PROYECTOS!$G$1:$K$32,5,0)</f>
        <v>APOYO_TÉCNICO_Y_PSICOSOCIAL_A_LOS_DEPORTISTAS_DE_ANTIOQUIA</v>
      </c>
      <c r="F677" s="48">
        <f>VLOOKUP(E677,[2]PROYECTOS!$K$1:$M$32,3,0)</f>
        <v>2021003050069</v>
      </c>
      <c r="G677" s="49" t="s">
        <v>239</v>
      </c>
      <c r="H677" s="49" t="str">
        <f>VLOOKUP(Q677,[2]PROYECTOS!$V$1:$W$32,2,0)</f>
        <v>050069</v>
      </c>
      <c r="I677" s="50">
        <v>0</v>
      </c>
      <c r="J677" s="51" t="s">
        <v>1693</v>
      </c>
      <c r="K677" s="47" t="str">
        <f t="shared" ca="1" si="250"/>
        <v>CONTRATADO</v>
      </c>
      <c r="L677" s="47" t="s">
        <v>94</v>
      </c>
      <c r="M677" s="47" t="s">
        <v>1297</v>
      </c>
      <c r="N677" s="52" t="s">
        <v>240</v>
      </c>
      <c r="O677" s="51" t="e">
        <f>VLOOKUP(N677,[2]!RUBROS[#All],3,0)</f>
        <v>#REF!</v>
      </c>
      <c r="P677" s="53" t="e">
        <f>VLOOKUP(N677,[2]!RUBROS[#All],2,0)</f>
        <v>#REF!</v>
      </c>
      <c r="Q677" s="47" t="str">
        <f t="shared" si="249"/>
        <v>22</v>
      </c>
      <c r="R677" s="47" t="str">
        <f t="shared" si="251"/>
        <v>0-205400</v>
      </c>
      <c r="S677" s="54">
        <v>6</v>
      </c>
      <c r="T677" s="59" t="s">
        <v>46</v>
      </c>
      <c r="U677" s="326" t="e">
        <f ca="1">_xlfn.XLOOKUP(PAA_4[[#This Row],[ITEM]],[2]Contrato!A:A,[2]Contrato!Q:Q,"",0)</f>
        <v>#NAME?</v>
      </c>
      <c r="V677" s="47" t="s">
        <v>47</v>
      </c>
      <c r="W677" s="47"/>
      <c r="X677" s="47"/>
      <c r="Y677" s="55" t="e">
        <f ca="1">_xlfn.XLOOKUP(PAA_4[[#This Row],[ITEM]],[2]Contrato!A:A,[2]Contrato!B:B,"",0)</f>
        <v>#NAME?</v>
      </c>
      <c r="Z677" s="47" t="e">
        <f ca="1">_xlfn.XLOOKUP(PAA_4[[#This Row],[ITEM]],[2]Contrato!A:A,[2]Contrato!G:G,"",0)</f>
        <v>#NAME?</v>
      </c>
      <c r="AA677" s="47" t="e">
        <f ca="1">_xlfn.XLOOKUP(PAA_4[[#This Row],[ITEM]],[2]Contrato!A:A,[2]Contrato!T:T,"",0)</f>
        <v>#NAME?</v>
      </c>
      <c r="AB677" s="55" t="e">
        <f ca="1">+MAX(PAA_4[[#This Row],[Comprometido Contrato]],PAA_4[[#This Row],[Comprometido Bolsa]])</f>
        <v>#NAME?</v>
      </c>
      <c r="AC677" s="55" t="str">
        <f t="shared" ca="1" si="252"/>
        <v/>
      </c>
      <c r="AD677" s="55" t="e">
        <f ca="1">IF(PAA_4[[#This Row],[ESTADO (formulado)]]="NO CONTRATADO",0,MAX(PAA_4[[#This Row],[Pago por Contrato]],PAA_4[[#This Row],[Pago por bolsa]]))</f>
        <v>#NAME?</v>
      </c>
      <c r="AE677" s="55" t="str">
        <f t="shared" ca="1" si="253"/>
        <v/>
      </c>
      <c r="AF677" s="47" t="e">
        <f t="shared" ca="1" si="255"/>
        <v>#NAME?</v>
      </c>
      <c r="AG677" s="47">
        <f t="shared" si="254"/>
        <v>41080101</v>
      </c>
      <c r="AH677" s="54" t="str">
        <f>IF(Q677="22",IF(ISNUMBER(SEARCH("econ",PAA_4[[#This Row],[Actividad3]])),"Económico",IF(ISNUMBER(SEARCH("alim",PAA_4[[#This Row],[Actividad3]])),"Alimentación",IF(ISNUMBER(SEARCH("educ",PAA_4[[#This Row],[Actividad3]])),"Educativo","Técnico"))),0)</f>
        <v>Técnico</v>
      </c>
      <c r="AI677" s="47" t="e" cm="1">
        <f t="array" aca="1" ref="AI677" ca="1">_xlfn.XLOOKUP(PAA_4[[#This Row],[RCP-RUBRO]],[2]!COMPROMISOS_2024[[#All],[concatenado]],[2]!COMPROMISOS_2024[[#All],[Total pagado]],"",0)</f>
        <v>#NAME?</v>
      </c>
      <c r="AJ677" s="56" t="e">
        <f ca="1">IF(PAA_4[[#This Row],[BOLSA]]=0,0,SUMIFS([2]!COMPROMISOS_2024[[#All],[Total pagado]],[2]!COMPROMISOS_2024[[#All],[Bolsa]],PAA_4[[#This Row],[BOLSA]],[2]!COMPROMISOS_2024[[#All],[rubro]],PAA_4[[#This Row],[RCP-RUBRO]]))</f>
        <v>#REF!</v>
      </c>
      <c r="AK677" s="47" t="e" cm="1">
        <f t="array" aca="1" ref="AK677" ca="1">_xlfn.XLOOKUP(PAA_4[[#This Row],[RCP-RUBRO]],[2]!COMPROMISOS_2024[[#All],[concatenado]],[2]!COMPROMISOS_2024[[#All],[Total Comprometido]],"",0)</f>
        <v>#NAME?</v>
      </c>
      <c r="AL677" s="47" t="e">
        <f ca="1">IF(PAA_4[[#This Row],[BOLSA]]=0,0,SUMIFS([2]!COMPROMISOS_2024[[#All],[Total Comprometido]],[2]!COMPROMISOS_2024[[#All],[Bolsa]],PAA_4[[#This Row],[BOLSA]],[2]!COMPROMISOS_2024[[#All],[concatenado]],PAA_4[[#This Row],[RCP-RUBRO]]))</f>
        <v>#REF!</v>
      </c>
    </row>
    <row r="678" spans="1:38" s="19" customFormat="1" ht="31.5" customHeight="1">
      <c r="A678" s="47">
        <v>283</v>
      </c>
      <c r="B678" s="47">
        <v>80111600</v>
      </c>
      <c r="C678" s="47" t="str">
        <f>VLOOKUP(PAA_4[[#This Row],[PROYECTO (formulado)2]],[2]PROYECTOS!$G$1:$L$32,6,0)</f>
        <v>SUBGERENCIA DE ALTOS LOGROS Y DEPORTE ASOCIADO</v>
      </c>
      <c r="D678" s="47" t="str">
        <f>+IF(PAA_4[[#This Row],[UNIDAD DE CONTRATACION (formulado)]]="Subgerencia Administrativa y Financiera","FUNCIONAMIENTO","INVERSIÓN")</f>
        <v>INVERSIÓN</v>
      </c>
      <c r="E678" s="48" t="str">
        <f>VLOOKUP(Q678,[2]PROYECTOS!$G$1:$K$32,5,0)</f>
        <v>APOYO_TÉCNICO_Y_PSICOSOCIAL_A_LOS_DEPORTISTAS_DE_ANTIOQUIA</v>
      </c>
      <c r="F678" s="48">
        <f>VLOOKUP(E678,[2]PROYECTOS!$K$1:$M$32,3,0)</f>
        <v>2021003050069</v>
      </c>
      <c r="G678" s="49" t="s">
        <v>239</v>
      </c>
      <c r="H678" s="49" t="str">
        <f>VLOOKUP(Q678,[2]PROYECTOS!$V$1:$W$32,2,0)</f>
        <v>050069</v>
      </c>
      <c r="I678" s="50">
        <v>0</v>
      </c>
      <c r="J678" s="51" t="s">
        <v>1693</v>
      </c>
      <c r="K678" s="47" t="str">
        <f t="shared" ca="1" si="250"/>
        <v>CONTRATADO</v>
      </c>
      <c r="L678" s="47" t="s">
        <v>94</v>
      </c>
      <c r="M678" s="47" t="s">
        <v>1297</v>
      </c>
      <c r="N678" s="52" t="s">
        <v>240</v>
      </c>
      <c r="O678" s="51" t="e">
        <f>VLOOKUP(N678,[2]!RUBROS[#All],3,0)</f>
        <v>#REF!</v>
      </c>
      <c r="P678" s="53" t="e">
        <f>VLOOKUP(N678,[2]!RUBROS[#All],2,0)</f>
        <v>#REF!</v>
      </c>
      <c r="Q678" s="47" t="str">
        <f t="shared" si="249"/>
        <v>22</v>
      </c>
      <c r="R678" s="47" t="str">
        <f t="shared" si="251"/>
        <v>0-205400</v>
      </c>
      <c r="S678" s="54">
        <v>6</v>
      </c>
      <c r="T678" s="59" t="s">
        <v>46</v>
      </c>
      <c r="U678" s="326" t="e">
        <f ca="1">_xlfn.XLOOKUP(PAA_4[[#This Row],[ITEM]],[2]Contrato!A:A,[2]Contrato!Q:Q,"",0)</f>
        <v>#NAME?</v>
      </c>
      <c r="V678" s="47" t="s">
        <v>47</v>
      </c>
      <c r="W678" s="47"/>
      <c r="X678" s="47"/>
      <c r="Y678" s="55" t="e">
        <f ca="1">_xlfn.XLOOKUP(PAA_4[[#This Row],[ITEM]],[2]Contrato!A:A,[2]Contrato!B:B,"",0)</f>
        <v>#NAME?</v>
      </c>
      <c r="Z678" s="47" t="e">
        <f ca="1">_xlfn.XLOOKUP(PAA_4[[#This Row],[ITEM]],[2]Contrato!A:A,[2]Contrato!G:G,"",0)</f>
        <v>#NAME?</v>
      </c>
      <c r="AA678" s="47" t="e">
        <f ca="1">_xlfn.XLOOKUP(PAA_4[[#This Row],[ITEM]],[2]Contrato!A:A,[2]Contrato!T:T,"",0)</f>
        <v>#NAME?</v>
      </c>
      <c r="AB678" s="55" t="e">
        <f ca="1">+MAX(PAA_4[[#This Row],[Comprometido Contrato]],PAA_4[[#This Row],[Comprometido Bolsa]])</f>
        <v>#NAME?</v>
      </c>
      <c r="AC678" s="55" t="str">
        <f t="shared" ca="1" si="252"/>
        <v/>
      </c>
      <c r="AD678" s="55" t="e">
        <f ca="1">IF(PAA_4[[#This Row],[ESTADO (formulado)]]="NO CONTRATADO",0,MAX(PAA_4[[#This Row],[Pago por Contrato]],PAA_4[[#This Row],[Pago por bolsa]]))</f>
        <v>#NAME?</v>
      </c>
      <c r="AE678" s="55" t="str">
        <f t="shared" ca="1" si="253"/>
        <v/>
      </c>
      <c r="AF678" s="47" t="e">
        <f t="shared" ca="1" si="255"/>
        <v>#NAME?</v>
      </c>
      <c r="AG678" s="47">
        <f t="shared" si="254"/>
        <v>41080101</v>
      </c>
      <c r="AH678" s="54" t="str">
        <f>IF(Q678="22",IF(ISNUMBER(SEARCH("econ",PAA_4[[#This Row],[Actividad3]])),"Económico",IF(ISNUMBER(SEARCH("alim",PAA_4[[#This Row],[Actividad3]])),"Alimentación",IF(ISNUMBER(SEARCH("educ",PAA_4[[#This Row],[Actividad3]])),"Educativo","Técnico"))),0)</f>
        <v>Técnico</v>
      </c>
      <c r="AI678" s="47" t="e" cm="1">
        <f t="array" aca="1" ref="AI678" ca="1">_xlfn.XLOOKUP(PAA_4[[#This Row],[RCP-RUBRO]],[2]!COMPROMISOS_2024[[#All],[concatenado]],[2]!COMPROMISOS_2024[[#All],[Total pagado]],"",0)</f>
        <v>#NAME?</v>
      </c>
      <c r="AJ678" s="56" t="e">
        <f ca="1">IF(PAA_4[[#This Row],[BOLSA]]=0,0,SUMIFS([2]!COMPROMISOS_2024[[#All],[Total pagado]],[2]!COMPROMISOS_2024[[#All],[Bolsa]],PAA_4[[#This Row],[BOLSA]],[2]!COMPROMISOS_2024[[#All],[rubro]],PAA_4[[#This Row],[RCP-RUBRO]]))</f>
        <v>#REF!</v>
      </c>
      <c r="AK678" s="47" t="e" cm="1">
        <f t="array" aca="1" ref="AK678" ca="1">_xlfn.XLOOKUP(PAA_4[[#This Row],[RCP-RUBRO]],[2]!COMPROMISOS_2024[[#All],[concatenado]],[2]!COMPROMISOS_2024[[#All],[Total Comprometido]],"",0)</f>
        <v>#NAME?</v>
      </c>
      <c r="AL678" s="47" t="e">
        <f ca="1">IF(PAA_4[[#This Row],[BOLSA]]=0,0,SUMIFS([2]!COMPROMISOS_2024[[#All],[Total Comprometido]],[2]!COMPROMISOS_2024[[#All],[Bolsa]],PAA_4[[#This Row],[BOLSA]],[2]!COMPROMISOS_2024[[#All],[concatenado]],PAA_4[[#This Row],[RCP-RUBRO]]))</f>
        <v>#REF!</v>
      </c>
    </row>
    <row r="679" spans="1:38" s="19" customFormat="1" ht="31.5" customHeight="1">
      <c r="A679" s="47">
        <v>284</v>
      </c>
      <c r="B679" s="47">
        <v>80111600</v>
      </c>
      <c r="C679" s="47" t="str">
        <f>VLOOKUP(PAA_4[[#This Row],[PROYECTO (formulado)2]],[2]PROYECTOS!$G$1:$L$32,6,0)</f>
        <v>SUBGERENCIA DE ALTOS LOGROS Y DEPORTE ASOCIADO</v>
      </c>
      <c r="D679" s="47" t="str">
        <f>+IF(PAA_4[[#This Row],[UNIDAD DE CONTRATACION (formulado)]]="Subgerencia Administrativa y Financiera","FUNCIONAMIENTO","INVERSIÓN")</f>
        <v>INVERSIÓN</v>
      </c>
      <c r="E679" s="48" t="str">
        <f>VLOOKUP(Q679,[2]PROYECTOS!$G$1:$K$32,5,0)</f>
        <v>APOYO_TÉCNICO_Y_PSICOSOCIAL_A_LOS_DEPORTISTAS_DE_ANTIOQUIA</v>
      </c>
      <c r="F679" s="48">
        <f>VLOOKUP(E679,[2]PROYECTOS!$K$1:$M$32,3,0)</f>
        <v>2021003050069</v>
      </c>
      <c r="G679" s="49" t="s">
        <v>239</v>
      </c>
      <c r="H679" s="49" t="str">
        <f>VLOOKUP(Q679,[2]PROYECTOS!$V$1:$W$32,2,0)</f>
        <v>050069</v>
      </c>
      <c r="I679" s="50">
        <v>0</v>
      </c>
      <c r="J679" s="51" t="s">
        <v>1693</v>
      </c>
      <c r="K679" s="47" t="str">
        <f t="shared" ca="1" si="250"/>
        <v>CONTRATADO</v>
      </c>
      <c r="L679" s="47" t="s">
        <v>94</v>
      </c>
      <c r="M679" s="47" t="s">
        <v>1297</v>
      </c>
      <c r="N679" s="52" t="s">
        <v>240</v>
      </c>
      <c r="O679" s="51" t="e">
        <f>VLOOKUP(N679,[2]!RUBROS[#All],3,0)</f>
        <v>#REF!</v>
      </c>
      <c r="P679" s="53" t="e">
        <f>VLOOKUP(N679,[2]!RUBROS[#All],2,0)</f>
        <v>#REF!</v>
      </c>
      <c r="Q679" s="47" t="str">
        <f t="shared" si="249"/>
        <v>22</v>
      </c>
      <c r="R679" s="47" t="str">
        <f t="shared" si="251"/>
        <v>0-205400</v>
      </c>
      <c r="S679" s="54">
        <v>6</v>
      </c>
      <c r="T679" s="59" t="s">
        <v>46</v>
      </c>
      <c r="U679" s="326" t="e">
        <f ca="1">_xlfn.XLOOKUP(PAA_4[[#This Row],[ITEM]],[2]Contrato!A:A,[2]Contrato!Q:Q,"",0)</f>
        <v>#NAME?</v>
      </c>
      <c r="V679" s="47" t="s">
        <v>47</v>
      </c>
      <c r="W679" s="47"/>
      <c r="X679" s="47"/>
      <c r="Y679" s="55" t="e">
        <f ca="1">_xlfn.XLOOKUP(PAA_4[[#This Row],[ITEM]],[2]Contrato!A:A,[2]Contrato!B:B,"",0)</f>
        <v>#NAME?</v>
      </c>
      <c r="Z679" s="47" t="e">
        <f ca="1">_xlfn.XLOOKUP(PAA_4[[#This Row],[ITEM]],[2]Contrato!A:A,[2]Contrato!G:G,"",0)</f>
        <v>#NAME?</v>
      </c>
      <c r="AA679" s="47" t="e">
        <f ca="1">_xlfn.XLOOKUP(PAA_4[[#This Row],[ITEM]],[2]Contrato!A:A,[2]Contrato!T:T,"",0)</f>
        <v>#NAME?</v>
      </c>
      <c r="AB679" s="55" t="e">
        <f ca="1">+MAX(PAA_4[[#This Row],[Comprometido Contrato]],PAA_4[[#This Row],[Comprometido Bolsa]])</f>
        <v>#NAME?</v>
      </c>
      <c r="AC679" s="55" t="str">
        <f t="shared" ca="1" si="252"/>
        <v/>
      </c>
      <c r="AD679" s="55" t="e">
        <f ca="1">IF(PAA_4[[#This Row],[ESTADO (formulado)]]="NO CONTRATADO",0,MAX(PAA_4[[#This Row],[Pago por Contrato]],PAA_4[[#This Row],[Pago por bolsa]]))</f>
        <v>#NAME?</v>
      </c>
      <c r="AE679" s="55" t="str">
        <f t="shared" ca="1" si="253"/>
        <v/>
      </c>
      <c r="AF679" s="47" t="e">
        <f t="shared" ca="1" si="255"/>
        <v>#NAME?</v>
      </c>
      <c r="AG679" s="47">
        <f t="shared" si="254"/>
        <v>41080101</v>
      </c>
      <c r="AH679" s="54" t="str">
        <f>IF(Q679="22",IF(ISNUMBER(SEARCH("econ",PAA_4[[#This Row],[Actividad3]])),"Económico",IF(ISNUMBER(SEARCH("alim",PAA_4[[#This Row],[Actividad3]])),"Alimentación",IF(ISNUMBER(SEARCH("educ",PAA_4[[#This Row],[Actividad3]])),"Educativo","Técnico"))),0)</f>
        <v>Técnico</v>
      </c>
      <c r="AI679" s="47" t="e" cm="1">
        <f t="array" aca="1" ref="AI679" ca="1">_xlfn.XLOOKUP(PAA_4[[#This Row],[RCP-RUBRO]],[2]!COMPROMISOS_2024[[#All],[concatenado]],[2]!COMPROMISOS_2024[[#All],[Total pagado]],"",0)</f>
        <v>#NAME?</v>
      </c>
      <c r="AJ679" s="56" t="e">
        <f ca="1">IF(PAA_4[[#This Row],[BOLSA]]=0,0,SUMIFS([2]!COMPROMISOS_2024[[#All],[Total pagado]],[2]!COMPROMISOS_2024[[#All],[Bolsa]],PAA_4[[#This Row],[BOLSA]],[2]!COMPROMISOS_2024[[#All],[rubro]],PAA_4[[#This Row],[RCP-RUBRO]]))</f>
        <v>#REF!</v>
      </c>
      <c r="AK679" s="47" t="e" cm="1">
        <f t="array" aca="1" ref="AK679" ca="1">_xlfn.XLOOKUP(PAA_4[[#This Row],[RCP-RUBRO]],[2]!COMPROMISOS_2024[[#All],[concatenado]],[2]!COMPROMISOS_2024[[#All],[Total Comprometido]],"",0)</f>
        <v>#NAME?</v>
      </c>
      <c r="AL679" s="47" t="e">
        <f ca="1">IF(PAA_4[[#This Row],[BOLSA]]=0,0,SUMIFS([2]!COMPROMISOS_2024[[#All],[Total Comprometido]],[2]!COMPROMISOS_2024[[#All],[Bolsa]],PAA_4[[#This Row],[BOLSA]],[2]!COMPROMISOS_2024[[#All],[concatenado]],PAA_4[[#This Row],[RCP-RUBRO]]))</f>
        <v>#REF!</v>
      </c>
    </row>
    <row r="680" spans="1:38" s="19" customFormat="1" ht="31.5" customHeight="1">
      <c r="A680" s="47">
        <v>285</v>
      </c>
      <c r="B680" s="47">
        <v>80111600</v>
      </c>
      <c r="C680" s="47" t="str">
        <f>VLOOKUP(PAA_4[[#This Row],[PROYECTO (formulado)2]],[2]PROYECTOS!$G$1:$L$32,6,0)</f>
        <v>SUBGERENCIA DE ALTOS LOGROS Y DEPORTE ASOCIADO</v>
      </c>
      <c r="D680" s="47" t="str">
        <f>+IF(PAA_4[[#This Row],[UNIDAD DE CONTRATACION (formulado)]]="Subgerencia Administrativa y Financiera","FUNCIONAMIENTO","INVERSIÓN")</f>
        <v>INVERSIÓN</v>
      </c>
      <c r="E680" s="48" t="str">
        <f>VLOOKUP(Q680,[2]PROYECTOS!$G$1:$K$32,5,0)</f>
        <v>APOYO_TÉCNICO_Y_PSICOSOCIAL_A_LOS_DEPORTISTAS_DE_ANTIOQUIA</v>
      </c>
      <c r="F680" s="48">
        <f>VLOOKUP(E680,[2]PROYECTOS!$K$1:$M$32,3,0)</f>
        <v>2021003050069</v>
      </c>
      <c r="G680" s="49" t="s">
        <v>239</v>
      </c>
      <c r="H680" s="49" t="str">
        <f>VLOOKUP(Q680,[2]PROYECTOS!$V$1:$W$32,2,0)</f>
        <v>050069</v>
      </c>
      <c r="I680" s="50">
        <v>0</v>
      </c>
      <c r="J680" s="51" t="s">
        <v>1693</v>
      </c>
      <c r="K680" s="47" t="str">
        <f t="shared" ca="1" si="250"/>
        <v>CONTRATADO</v>
      </c>
      <c r="L680" s="47" t="s">
        <v>94</v>
      </c>
      <c r="M680" s="47" t="s">
        <v>1297</v>
      </c>
      <c r="N680" s="52" t="s">
        <v>240</v>
      </c>
      <c r="O680" s="51" t="e">
        <f>VLOOKUP(N680,[2]!RUBROS[#All],3,0)</f>
        <v>#REF!</v>
      </c>
      <c r="P680" s="53" t="e">
        <f>VLOOKUP(N680,[2]!RUBROS[#All],2,0)</f>
        <v>#REF!</v>
      </c>
      <c r="Q680" s="47" t="str">
        <f t="shared" si="249"/>
        <v>22</v>
      </c>
      <c r="R680" s="47" t="str">
        <f t="shared" si="251"/>
        <v>0-205400</v>
      </c>
      <c r="S680" s="54">
        <v>6</v>
      </c>
      <c r="T680" s="59" t="s">
        <v>46</v>
      </c>
      <c r="U680" s="326" t="e">
        <f ca="1">_xlfn.XLOOKUP(PAA_4[[#This Row],[ITEM]],[2]Contrato!A:A,[2]Contrato!Q:Q,"",0)</f>
        <v>#NAME?</v>
      </c>
      <c r="V680" s="47" t="s">
        <v>47</v>
      </c>
      <c r="W680" s="47"/>
      <c r="X680" s="47"/>
      <c r="Y680" s="55" t="e">
        <f ca="1">_xlfn.XLOOKUP(PAA_4[[#This Row],[ITEM]],[2]Contrato!A:A,[2]Contrato!B:B,"",0)</f>
        <v>#NAME?</v>
      </c>
      <c r="Z680" s="47" t="e">
        <f ca="1">_xlfn.XLOOKUP(PAA_4[[#This Row],[ITEM]],[2]Contrato!A:A,[2]Contrato!G:G,"",0)</f>
        <v>#NAME?</v>
      </c>
      <c r="AA680" s="47" t="e">
        <f ca="1">_xlfn.XLOOKUP(PAA_4[[#This Row],[ITEM]],[2]Contrato!A:A,[2]Contrato!T:T,"",0)</f>
        <v>#NAME?</v>
      </c>
      <c r="AB680" s="55" t="e">
        <f ca="1">+MAX(PAA_4[[#This Row],[Comprometido Contrato]],PAA_4[[#This Row],[Comprometido Bolsa]])</f>
        <v>#NAME?</v>
      </c>
      <c r="AC680" s="55" t="str">
        <f t="shared" ca="1" si="252"/>
        <v/>
      </c>
      <c r="AD680" s="55" t="e">
        <f ca="1">IF(PAA_4[[#This Row],[ESTADO (formulado)]]="NO CONTRATADO",0,MAX(PAA_4[[#This Row],[Pago por Contrato]],PAA_4[[#This Row],[Pago por bolsa]]))</f>
        <v>#NAME?</v>
      </c>
      <c r="AE680" s="55" t="str">
        <f t="shared" ca="1" si="253"/>
        <v/>
      </c>
      <c r="AF680" s="47" t="e">
        <f t="shared" ca="1" si="255"/>
        <v>#NAME?</v>
      </c>
      <c r="AG680" s="47">
        <f t="shared" si="254"/>
        <v>41080101</v>
      </c>
      <c r="AH680" s="54" t="str">
        <f>IF(Q680="22",IF(ISNUMBER(SEARCH("econ",PAA_4[[#This Row],[Actividad3]])),"Económico",IF(ISNUMBER(SEARCH("alim",PAA_4[[#This Row],[Actividad3]])),"Alimentación",IF(ISNUMBER(SEARCH("educ",PAA_4[[#This Row],[Actividad3]])),"Educativo","Técnico"))),0)</f>
        <v>Técnico</v>
      </c>
      <c r="AI680" s="47" t="e" cm="1">
        <f t="array" aca="1" ref="AI680" ca="1">_xlfn.XLOOKUP(PAA_4[[#This Row],[RCP-RUBRO]],[2]!COMPROMISOS_2024[[#All],[concatenado]],[2]!COMPROMISOS_2024[[#All],[Total pagado]],"",0)</f>
        <v>#NAME?</v>
      </c>
      <c r="AJ680" s="56" t="e">
        <f ca="1">IF(PAA_4[[#This Row],[BOLSA]]=0,0,SUMIFS([2]!COMPROMISOS_2024[[#All],[Total pagado]],[2]!COMPROMISOS_2024[[#All],[Bolsa]],PAA_4[[#This Row],[BOLSA]],[2]!COMPROMISOS_2024[[#All],[rubro]],PAA_4[[#This Row],[RCP-RUBRO]]))</f>
        <v>#REF!</v>
      </c>
      <c r="AK680" s="47" t="e" cm="1">
        <f t="array" aca="1" ref="AK680" ca="1">_xlfn.XLOOKUP(PAA_4[[#This Row],[RCP-RUBRO]],[2]!COMPROMISOS_2024[[#All],[concatenado]],[2]!COMPROMISOS_2024[[#All],[Total Comprometido]],"",0)</f>
        <v>#NAME?</v>
      </c>
      <c r="AL680" s="47" t="e">
        <f ca="1">IF(PAA_4[[#This Row],[BOLSA]]=0,0,SUMIFS([2]!COMPROMISOS_2024[[#All],[Total Comprometido]],[2]!COMPROMISOS_2024[[#All],[Bolsa]],PAA_4[[#This Row],[BOLSA]],[2]!COMPROMISOS_2024[[#All],[concatenado]],PAA_4[[#This Row],[RCP-RUBRO]]))</f>
        <v>#REF!</v>
      </c>
    </row>
    <row r="681" spans="1:38" s="19" customFormat="1" ht="31.5" customHeight="1">
      <c r="A681" s="47">
        <v>286</v>
      </c>
      <c r="B681" s="47">
        <v>80111600</v>
      </c>
      <c r="C681" s="47" t="str">
        <f>VLOOKUP(PAA_4[[#This Row],[PROYECTO (formulado)2]],[2]PROYECTOS!$G$1:$L$32,6,0)</f>
        <v>SUBGERENCIA DE ALTOS LOGROS Y DEPORTE ASOCIADO</v>
      </c>
      <c r="D681" s="47" t="str">
        <f>+IF(PAA_4[[#This Row],[UNIDAD DE CONTRATACION (formulado)]]="Subgerencia Administrativa y Financiera","FUNCIONAMIENTO","INVERSIÓN")</f>
        <v>INVERSIÓN</v>
      </c>
      <c r="E681" s="48" t="str">
        <f>VLOOKUP(Q681,[2]PROYECTOS!$G$1:$K$32,5,0)</f>
        <v>APOYO_TÉCNICO_Y_PSICOSOCIAL_A_LOS_DEPORTISTAS_DE_ANTIOQUIA</v>
      </c>
      <c r="F681" s="48">
        <f>VLOOKUP(E681,[2]PROYECTOS!$K$1:$M$32,3,0)</f>
        <v>2021003050069</v>
      </c>
      <c r="G681" s="49" t="s">
        <v>239</v>
      </c>
      <c r="H681" s="49" t="str">
        <f>VLOOKUP(Q681,[2]PROYECTOS!$V$1:$W$32,2,0)</f>
        <v>050069</v>
      </c>
      <c r="I681" s="50">
        <v>0</v>
      </c>
      <c r="J681" s="51" t="s">
        <v>1693</v>
      </c>
      <c r="K681" s="47" t="str">
        <f t="shared" ca="1" si="250"/>
        <v>CONTRATADO</v>
      </c>
      <c r="L681" s="47" t="s">
        <v>94</v>
      </c>
      <c r="M681" s="47" t="s">
        <v>1297</v>
      </c>
      <c r="N681" s="52" t="s">
        <v>240</v>
      </c>
      <c r="O681" s="51" t="e">
        <f>VLOOKUP(N681,[2]!RUBROS[#All],3,0)</f>
        <v>#REF!</v>
      </c>
      <c r="P681" s="53" t="e">
        <f>VLOOKUP(N681,[2]!RUBROS[#All],2,0)</f>
        <v>#REF!</v>
      </c>
      <c r="Q681" s="47" t="str">
        <f t="shared" si="249"/>
        <v>22</v>
      </c>
      <c r="R681" s="47" t="str">
        <f t="shared" si="251"/>
        <v>0-205400</v>
      </c>
      <c r="S681" s="54">
        <v>6</v>
      </c>
      <c r="T681" s="59" t="s">
        <v>46</v>
      </c>
      <c r="U681" s="326" t="e">
        <f ca="1">_xlfn.XLOOKUP(PAA_4[[#This Row],[ITEM]],[2]Contrato!A:A,[2]Contrato!Q:Q,"",0)</f>
        <v>#NAME?</v>
      </c>
      <c r="V681" s="47" t="s">
        <v>47</v>
      </c>
      <c r="W681" s="64"/>
      <c r="X681" s="64"/>
      <c r="Y681" s="55" t="e">
        <f ca="1">_xlfn.XLOOKUP(PAA_4[[#This Row],[ITEM]],[2]Contrato!A:A,[2]Contrato!B:B,"",0)</f>
        <v>#NAME?</v>
      </c>
      <c r="Z681" s="47" t="e">
        <f ca="1">_xlfn.XLOOKUP(PAA_4[[#This Row],[ITEM]],[2]Contrato!A:A,[2]Contrato!G:G,"",0)</f>
        <v>#NAME?</v>
      </c>
      <c r="AA681" s="47" t="e">
        <f ca="1">_xlfn.XLOOKUP(PAA_4[[#This Row],[ITEM]],[2]Contrato!A:A,[2]Contrato!T:T,"",0)</f>
        <v>#NAME?</v>
      </c>
      <c r="AB681" s="55" t="e">
        <f ca="1">+MAX(PAA_4[[#This Row],[Comprometido Contrato]],PAA_4[[#This Row],[Comprometido Bolsa]])</f>
        <v>#NAME?</v>
      </c>
      <c r="AC681" s="55" t="str">
        <f t="shared" ca="1" si="252"/>
        <v/>
      </c>
      <c r="AD681" s="55" t="e">
        <f ca="1">IF(PAA_4[[#This Row],[ESTADO (formulado)]]="NO CONTRATADO",0,MAX(PAA_4[[#This Row],[Pago por Contrato]],PAA_4[[#This Row],[Pago por bolsa]]))</f>
        <v>#NAME?</v>
      </c>
      <c r="AE681" s="55" t="str">
        <f t="shared" ca="1" si="253"/>
        <v/>
      </c>
      <c r="AF681" s="47" t="e">
        <f t="shared" ca="1" si="255"/>
        <v>#NAME?</v>
      </c>
      <c r="AG681" s="47">
        <f t="shared" si="254"/>
        <v>41080101</v>
      </c>
      <c r="AH681" s="54" t="str">
        <f>IF(Q681="22",IF(ISNUMBER(SEARCH("econ",PAA_4[[#This Row],[Actividad3]])),"Económico",IF(ISNUMBER(SEARCH("alim",PAA_4[[#This Row],[Actividad3]])),"Alimentación",IF(ISNUMBER(SEARCH("educ",PAA_4[[#This Row],[Actividad3]])),"Educativo","Técnico"))),0)</f>
        <v>Técnico</v>
      </c>
      <c r="AI681" s="47" t="e" cm="1">
        <f t="array" aca="1" ref="AI681" ca="1">_xlfn.XLOOKUP(PAA_4[[#This Row],[RCP-RUBRO]],[2]!COMPROMISOS_2024[[#All],[concatenado]],[2]!COMPROMISOS_2024[[#All],[Total pagado]],"",0)</f>
        <v>#NAME?</v>
      </c>
      <c r="AJ681" s="56" t="e">
        <f ca="1">IF(PAA_4[[#This Row],[BOLSA]]=0,0,SUMIFS([2]!COMPROMISOS_2024[[#All],[Total pagado]],[2]!COMPROMISOS_2024[[#All],[Bolsa]],PAA_4[[#This Row],[BOLSA]],[2]!COMPROMISOS_2024[[#All],[rubro]],PAA_4[[#This Row],[RCP-RUBRO]]))</f>
        <v>#REF!</v>
      </c>
      <c r="AK681" s="47" t="e" cm="1">
        <f t="array" aca="1" ref="AK681" ca="1">_xlfn.XLOOKUP(PAA_4[[#This Row],[RCP-RUBRO]],[2]!COMPROMISOS_2024[[#All],[concatenado]],[2]!COMPROMISOS_2024[[#All],[Total Comprometido]],"",0)</f>
        <v>#NAME?</v>
      </c>
      <c r="AL681" s="47" t="e">
        <f ca="1">IF(PAA_4[[#This Row],[BOLSA]]=0,0,SUMIFS([2]!COMPROMISOS_2024[[#All],[Total Comprometido]],[2]!COMPROMISOS_2024[[#All],[Bolsa]],PAA_4[[#This Row],[BOLSA]],[2]!COMPROMISOS_2024[[#All],[concatenado]],PAA_4[[#This Row],[RCP-RUBRO]]))</f>
        <v>#REF!</v>
      </c>
    </row>
    <row r="682" spans="1:38" s="19" customFormat="1" ht="31.5" customHeight="1">
      <c r="A682" s="47">
        <v>287</v>
      </c>
      <c r="B682" s="47">
        <v>80111600</v>
      </c>
      <c r="C682" s="47" t="str">
        <f>VLOOKUP(PAA_4[[#This Row],[PROYECTO (formulado)2]],[2]PROYECTOS!$G$1:$L$32,6,0)</f>
        <v>SUBGERENCIA DE ALTOS LOGROS Y DEPORTE ASOCIADO</v>
      </c>
      <c r="D682" s="47" t="str">
        <f>+IF(PAA_4[[#This Row],[UNIDAD DE CONTRATACION (formulado)]]="Subgerencia Administrativa y Financiera","FUNCIONAMIENTO","INVERSIÓN")</f>
        <v>INVERSIÓN</v>
      </c>
      <c r="E682" s="48" t="str">
        <f>VLOOKUP(Q682,[2]PROYECTOS!$G$1:$K$32,5,0)</f>
        <v>APOYO_TÉCNICO_Y_PSICOSOCIAL_A_LOS_DEPORTISTAS_DE_ANTIOQUIA</v>
      </c>
      <c r="F682" s="48">
        <f>VLOOKUP(E682,[2]PROYECTOS!$K$1:$M$32,3,0)</f>
        <v>2021003050069</v>
      </c>
      <c r="G682" s="49" t="s">
        <v>239</v>
      </c>
      <c r="H682" s="49" t="str">
        <f>VLOOKUP(Q682,[2]PROYECTOS!$V$1:$W$32,2,0)</f>
        <v>050069</v>
      </c>
      <c r="I682" s="50">
        <v>0</v>
      </c>
      <c r="J682" s="51" t="s">
        <v>1693</v>
      </c>
      <c r="K682" s="47" t="str">
        <f t="shared" ca="1" si="250"/>
        <v>CONTRATADO</v>
      </c>
      <c r="L682" s="47" t="s">
        <v>94</v>
      </c>
      <c r="M682" s="47" t="s">
        <v>1297</v>
      </c>
      <c r="N682" s="52" t="s">
        <v>240</v>
      </c>
      <c r="O682" s="51" t="e">
        <f>VLOOKUP(N682,[2]!RUBROS[#All],3,0)</f>
        <v>#REF!</v>
      </c>
      <c r="P682" s="53" t="e">
        <f>VLOOKUP(N682,[2]!RUBROS[#All],2,0)</f>
        <v>#REF!</v>
      </c>
      <c r="Q682" s="47" t="str">
        <f t="shared" si="249"/>
        <v>22</v>
      </c>
      <c r="R682" s="47" t="str">
        <f t="shared" si="251"/>
        <v>0-205400</v>
      </c>
      <c r="S682" s="54">
        <v>6</v>
      </c>
      <c r="T682" s="59" t="s">
        <v>46</v>
      </c>
      <c r="U682" s="326" t="e">
        <f ca="1">_xlfn.XLOOKUP(PAA_4[[#This Row],[ITEM]],[2]Contrato!A:A,[2]Contrato!Q:Q,"",0)</f>
        <v>#NAME?</v>
      </c>
      <c r="V682" s="47" t="s">
        <v>47</v>
      </c>
      <c r="W682" s="47"/>
      <c r="X682" s="47"/>
      <c r="Y682" s="55" t="e">
        <f ca="1">_xlfn.XLOOKUP(PAA_4[[#This Row],[ITEM]],[2]Contrato!A:A,[2]Contrato!B:B,"",0)</f>
        <v>#NAME?</v>
      </c>
      <c r="Z682" s="47" t="e">
        <f ca="1">_xlfn.XLOOKUP(PAA_4[[#This Row],[ITEM]],[2]Contrato!A:A,[2]Contrato!G:G,"",0)</f>
        <v>#NAME?</v>
      </c>
      <c r="AA682" s="47" t="e">
        <f ca="1">_xlfn.XLOOKUP(PAA_4[[#This Row],[ITEM]],[2]Contrato!A:A,[2]Contrato!T:T,"",0)</f>
        <v>#NAME?</v>
      </c>
      <c r="AB682" s="55" t="e">
        <f ca="1">+MAX(PAA_4[[#This Row],[Comprometido Contrato]],PAA_4[[#This Row],[Comprometido Bolsa]])</f>
        <v>#NAME?</v>
      </c>
      <c r="AC682" s="55" t="str">
        <f t="shared" ca="1" si="252"/>
        <v/>
      </c>
      <c r="AD682" s="55" t="e">
        <f ca="1">IF(PAA_4[[#This Row],[ESTADO (formulado)]]="NO CONTRATADO",0,MAX(PAA_4[[#This Row],[Pago por Contrato]],PAA_4[[#This Row],[Pago por bolsa]]))</f>
        <v>#NAME?</v>
      </c>
      <c r="AE682" s="55" t="str">
        <f t="shared" ca="1" si="253"/>
        <v/>
      </c>
      <c r="AF682" s="47" t="e">
        <f t="shared" ca="1" si="255"/>
        <v>#NAME?</v>
      </c>
      <c r="AG682" s="47">
        <f t="shared" si="254"/>
        <v>41080101</v>
      </c>
      <c r="AH682" s="54" t="str">
        <f>IF(Q682="22",IF(ISNUMBER(SEARCH("econ",PAA_4[[#This Row],[Actividad3]])),"Económico",IF(ISNUMBER(SEARCH("alim",PAA_4[[#This Row],[Actividad3]])),"Alimentación",IF(ISNUMBER(SEARCH("educ",PAA_4[[#This Row],[Actividad3]])),"Educativo","Técnico"))),0)</f>
        <v>Técnico</v>
      </c>
      <c r="AI682" s="47" t="e" cm="1">
        <f t="array" aca="1" ref="AI682" ca="1">_xlfn.XLOOKUP(PAA_4[[#This Row],[RCP-RUBRO]],[2]!COMPROMISOS_2024[[#All],[concatenado]],[2]!COMPROMISOS_2024[[#All],[Total pagado]],"",0)</f>
        <v>#NAME?</v>
      </c>
      <c r="AJ682" s="56" t="e">
        <f ca="1">IF(PAA_4[[#This Row],[BOLSA]]=0,0,SUMIFS([2]!COMPROMISOS_2024[[#All],[Total pagado]],[2]!COMPROMISOS_2024[[#All],[Bolsa]],PAA_4[[#This Row],[BOLSA]],[2]!COMPROMISOS_2024[[#All],[rubro]],PAA_4[[#This Row],[RCP-RUBRO]]))</f>
        <v>#REF!</v>
      </c>
      <c r="AK682" s="47" t="e" cm="1">
        <f t="array" aca="1" ref="AK682" ca="1">_xlfn.XLOOKUP(PAA_4[[#This Row],[RCP-RUBRO]],[2]!COMPROMISOS_2024[[#All],[concatenado]],[2]!COMPROMISOS_2024[[#All],[Total Comprometido]],"",0)</f>
        <v>#NAME?</v>
      </c>
      <c r="AL682" s="47" t="e">
        <f ca="1">IF(PAA_4[[#This Row],[BOLSA]]=0,0,SUMIFS([2]!COMPROMISOS_2024[[#All],[Total Comprometido]],[2]!COMPROMISOS_2024[[#All],[Bolsa]],PAA_4[[#This Row],[BOLSA]],[2]!COMPROMISOS_2024[[#All],[concatenado]],PAA_4[[#This Row],[RCP-RUBRO]]))</f>
        <v>#REF!</v>
      </c>
    </row>
    <row r="683" spans="1:38" s="19" customFormat="1" ht="31.5" customHeight="1">
      <c r="A683" s="47">
        <v>288</v>
      </c>
      <c r="B683" s="47">
        <v>80111600</v>
      </c>
      <c r="C683" s="47" t="str">
        <f>VLOOKUP(PAA_4[[#This Row],[PROYECTO (formulado)2]],[2]PROYECTOS!$G$1:$L$32,6,0)</f>
        <v>SUBGERENCIA DE ALTOS LOGROS Y DEPORTE ASOCIADO</v>
      </c>
      <c r="D683" s="47" t="str">
        <f>+IF(PAA_4[[#This Row],[UNIDAD DE CONTRATACION (formulado)]]="Subgerencia Administrativa y Financiera","FUNCIONAMIENTO","INVERSIÓN")</f>
        <v>INVERSIÓN</v>
      </c>
      <c r="E683" s="48" t="str">
        <f>VLOOKUP(Q683,[2]PROYECTOS!$G$1:$K$32,5,0)</f>
        <v>APOYO_TÉCNICO_Y_PSICOSOCIAL_A_LOS_DEPORTISTAS_DE_ANTIOQUIA</v>
      </c>
      <c r="F683" s="48">
        <f>VLOOKUP(E683,[2]PROYECTOS!$K$1:$M$32,3,0)</f>
        <v>2021003050069</v>
      </c>
      <c r="G683" s="49" t="s">
        <v>239</v>
      </c>
      <c r="H683" s="49" t="str">
        <f>VLOOKUP(Q683,[2]PROYECTOS!$V$1:$W$32,2,0)</f>
        <v>050069</v>
      </c>
      <c r="I683" s="50">
        <v>0</v>
      </c>
      <c r="J683" s="51" t="s">
        <v>1693</v>
      </c>
      <c r="K683" s="47" t="str">
        <f t="shared" ca="1" si="250"/>
        <v>CONTRATADO</v>
      </c>
      <c r="L683" s="47" t="s">
        <v>94</v>
      </c>
      <c r="M683" s="47" t="s">
        <v>1297</v>
      </c>
      <c r="N683" s="52" t="s">
        <v>240</v>
      </c>
      <c r="O683" s="51" t="e">
        <f>VLOOKUP(N683,[2]!RUBROS[#All],3,0)</f>
        <v>#REF!</v>
      </c>
      <c r="P683" s="53" t="e">
        <f>VLOOKUP(N683,[2]!RUBROS[#All],2,0)</f>
        <v>#REF!</v>
      </c>
      <c r="Q683" s="47" t="str">
        <f t="shared" si="249"/>
        <v>22</v>
      </c>
      <c r="R683" s="47" t="str">
        <f t="shared" si="251"/>
        <v>0-205400</v>
      </c>
      <c r="S683" s="54">
        <v>6</v>
      </c>
      <c r="T683" s="59" t="s">
        <v>46</v>
      </c>
      <c r="U683" s="326" t="e">
        <f ca="1">_xlfn.XLOOKUP(PAA_4[[#This Row],[ITEM]],[2]Contrato!A:A,[2]Contrato!Q:Q,"",0)</f>
        <v>#NAME?</v>
      </c>
      <c r="V683" s="47" t="s">
        <v>47</v>
      </c>
      <c r="W683" s="64"/>
      <c r="X683" s="64"/>
      <c r="Y683" s="55" t="e">
        <f ca="1">_xlfn.XLOOKUP(PAA_4[[#This Row],[ITEM]],[2]Contrato!A:A,[2]Contrato!B:B,"",0)</f>
        <v>#NAME?</v>
      </c>
      <c r="Z683" s="47" t="e">
        <f ca="1">_xlfn.XLOOKUP(PAA_4[[#This Row],[ITEM]],[2]Contrato!A:A,[2]Contrato!G:G,"",0)</f>
        <v>#NAME?</v>
      </c>
      <c r="AA683" s="47" t="e">
        <f ca="1">_xlfn.XLOOKUP(PAA_4[[#This Row],[ITEM]],[2]Contrato!A:A,[2]Contrato!T:T,"",0)</f>
        <v>#NAME?</v>
      </c>
      <c r="AB683" s="55" t="e">
        <f ca="1">+MAX(PAA_4[[#This Row],[Comprometido Contrato]],PAA_4[[#This Row],[Comprometido Bolsa]])</f>
        <v>#NAME?</v>
      </c>
      <c r="AC683" s="55" t="str">
        <f t="shared" ca="1" si="252"/>
        <v/>
      </c>
      <c r="AD683" s="55" t="e">
        <f ca="1">IF(PAA_4[[#This Row],[ESTADO (formulado)]]="NO CONTRATADO",0,MAX(PAA_4[[#This Row],[Pago por Contrato]],PAA_4[[#This Row],[Pago por bolsa]]))</f>
        <v>#NAME?</v>
      </c>
      <c r="AE683" s="55" t="str">
        <f t="shared" ca="1" si="253"/>
        <v/>
      </c>
      <c r="AF683" s="47" t="e">
        <f t="shared" ca="1" si="255"/>
        <v>#NAME?</v>
      </c>
      <c r="AG683" s="47">
        <f t="shared" si="254"/>
        <v>41080101</v>
      </c>
      <c r="AH683" s="54" t="str">
        <f>IF(Q683="22",IF(ISNUMBER(SEARCH("econ",PAA_4[[#This Row],[Actividad3]])),"Económico",IF(ISNUMBER(SEARCH("alim",PAA_4[[#This Row],[Actividad3]])),"Alimentación",IF(ISNUMBER(SEARCH("educ",PAA_4[[#This Row],[Actividad3]])),"Educativo","Técnico"))),0)</f>
        <v>Técnico</v>
      </c>
      <c r="AI683" s="47" t="e" cm="1">
        <f t="array" aca="1" ref="AI683" ca="1">_xlfn.XLOOKUP(PAA_4[[#This Row],[RCP-RUBRO]],[2]!COMPROMISOS_2024[[#All],[concatenado]],[2]!COMPROMISOS_2024[[#All],[Total pagado]],"",0)</f>
        <v>#NAME?</v>
      </c>
      <c r="AJ683" s="56" t="e">
        <f ca="1">IF(PAA_4[[#This Row],[BOLSA]]=0,0,SUMIFS([2]!COMPROMISOS_2024[[#All],[Total pagado]],[2]!COMPROMISOS_2024[[#All],[Bolsa]],PAA_4[[#This Row],[BOLSA]],[2]!COMPROMISOS_2024[[#All],[rubro]],PAA_4[[#This Row],[RCP-RUBRO]]))</f>
        <v>#REF!</v>
      </c>
      <c r="AK683" s="47" t="e" cm="1">
        <f t="array" aca="1" ref="AK683" ca="1">_xlfn.XLOOKUP(PAA_4[[#This Row],[RCP-RUBRO]],[2]!COMPROMISOS_2024[[#All],[concatenado]],[2]!COMPROMISOS_2024[[#All],[Total Comprometido]],"",0)</f>
        <v>#NAME?</v>
      </c>
      <c r="AL683" s="47" t="e">
        <f ca="1">IF(PAA_4[[#This Row],[BOLSA]]=0,0,SUMIFS([2]!COMPROMISOS_2024[[#All],[Total Comprometido]],[2]!COMPROMISOS_2024[[#All],[Bolsa]],PAA_4[[#This Row],[BOLSA]],[2]!COMPROMISOS_2024[[#All],[concatenado]],PAA_4[[#This Row],[RCP-RUBRO]]))</f>
        <v>#REF!</v>
      </c>
    </row>
    <row r="684" spans="1:38" s="19" customFormat="1" ht="31.5" customHeight="1">
      <c r="A684" s="47">
        <v>289</v>
      </c>
      <c r="B684" s="47">
        <v>80111600</v>
      </c>
      <c r="C684" s="47" t="str">
        <f>VLOOKUP(PAA_4[[#This Row],[PROYECTO (formulado)2]],[2]PROYECTOS!$G$1:$L$32,6,0)</f>
        <v>SUBGERENCIA DE ALTOS LOGROS Y DEPORTE ASOCIADO</v>
      </c>
      <c r="D684" s="47" t="str">
        <f>+IF(PAA_4[[#This Row],[UNIDAD DE CONTRATACION (formulado)]]="Subgerencia Administrativa y Financiera","FUNCIONAMIENTO","INVERSIÓN")</f>
        <v>INVERSIÓN</v>
      </c>
      <c r="E684" s="48" t="str">
        <f>VLOOKUP(Q684,[2]PROYECTOS!$G$1:$K$32,5,0)</f>
        <v>APOYO_TÉCNICO_Y_PSICOSOCIAL_A_LOS_DEPORTISTAS_DE_ANTIOQUIA</v>
      </c>
      <c r="F684" s="48">
        <f>VLOOKUP(E684,[2]PROYECTOS!$K$1:$M$32,3,0)</f>
        <v>2021003050069</v>
      </c>
      <c r="G684" s="49" t="s">
        <v>239</v>
      </c>
      <c r="H684" s="49" t="str">
        <f>VLOOKUP(Q684,[2]PROYECTOS!$V$1:$W$32,2,0)</f>
        <v>050069</v>
      </c>
      <c r="I684" s="50">
        <v>0</v>
      </c>
      <c r="J684" s="51" t="s">
        <v>1693</v>
      </c>
      <c r="K684" s="47" t="str">
        <f t="shared" ca="1" si="250"/>
        <v>CONTRATADO</v>
      </c>
      <c r="L684" s="47" t="s">
        <v>94</v>
      </c>
      <c r="M684" s="47" t="s">
        <v>1297</v>
      </c>
      <c r="N684" s="52" t="s">
        <v>240</v>
      </c>
      <c r="O684" s="51" t="e">
        <f>VLOOKUP(N684,[2]!RUBROS[#All],3,0)</f>
        <v>#REF!</v>
      </c>
      <c r="P684" s="53" t="e">
        <f>VLOOKUP(N684,[2]!RUBROS[#All],2,0)</f>
        <v>#REF!</v>
      </c>
      <c r="Q684" s="47" t="str">
        <f t="shared" si="249"/>
        <v>22</v>
      </c>
      <c r="R684" s="47" t="str">
        <f t="shared" si="251"/>
        <v>0-205400</v>
      </c>
      <c r="S684" s="54">
        <v>6</v>
      </c>
      <c r="T684" s="59" t="s">
        <v>46</v>
      </c>
      <c r="U684" s="326" t="e">
        <f ca="1">_xlfn.XLOOKUP(PAA_4[[#This Row],[ITEM]],[2]Contrato!A:A,[2]Contrato!Q:Q,"",0)</f>
        <v>#NAME?</v>
      </c>
      <c r="V684" s="47" t="s">
        <v>47</v>
      </c>
      <c r="W684" s="64"/>
      <c r="X684" s="64"/>
      <c r="Y684" s="55" t="e">
        <f ca="1">_xlfn.XLOOKUP(PAA_4[[#This Row],[ITEM]],[2]Contrato!A:A,[2]Contrato!B:B,"",0)</f>
        <v>#NAME?</v>
      </c>
      <c r="Z684" s="47" t="e">
        <f ca="1">_xlfn.XLOOKUP(PAA_4[[#This Row],[ITEM]],[2]Contrato!A:A,[2]Contrato!G:G,"",0)</f>
        <v>#NAME?</v>
      </c>
      <c r="AA684" s="47" t="e">
        <f ca="1">_xlfn.XLOOKUP(PAA_4[[#This Row],[ITEM]],[2]Contrato!A:A,[2]Contrato!T:T,"",0)</f>
        <v>#NAME?</v>
      </c>
      <c r="AB684" s="55" t="e">
        <f ca="1">+MAX(PAA_4[[#This Row],[Comprometido Contrato]],PAA_4[[#This Row],[Comprometido Bolsa]])</f>
        <v>#NAME?</v>
      </c>
      <c r="AC684" s="55" t="str">
        <f t="shared" ca="1" si="252"/>
        <v/>
      </c>
      <c r="AD684" s="55" t="e">
        <f ca="1">IF(PAA_4[[#This Row],[ESTADO (formulado)]]="NO CONTRATADO",0,MAX(PAA_4[[#This Row],[Pago por Contrato]],PAA_4[[#This Row],[Pago por bolsa]]))</f>
        <v>#NAME?</v>
      </c>
      <c r="AE684" s="55" t="str">
        <f t="shared" ca="1" si="253"/>
        <v/>
      </c>
      <c r="AF684" s="47" t="e">
        <f t="shared" ca="1" si="255"/>
        <v>#NAME?</v>
      </c>
      <c r="AG684" s="47">
        <f t="shared" si="254"/>
        <v>41080101</v>
      </c>
      <c r="AH684" s="54" t="str">
        <f>IF(Q684="22",IF(ISNUMBER(SEARCH("econ",PAA_4[[#This Row],[Actividad3]])),"Económico",IF(ISNUMBER(SEARCH("alim",PAA_4[[#This Row],[Actividad3]])),"Alimentación",IF(ISNUMBER(SEARCH("educ",PAA_4[[#This Row],[Actividad3]])),"Educativo","Técnico"))),0)</f>
        <v>Técnico</v>
      </c>
      <c r="AI684" s="47" t="e" cm="1">
        <f t="array" aca="1" ref="AI684" ca="1">_xlfn.XLOOKUP(PAA_4[[#This Row],[RCP-RUBRO]],[2]!COMPROMISOS_2024[[#All],[concatenado]],[2]!COMPROMISOS_2024[[#All],[Total pagado]],"",0)</f>
        <v>#NAME?</v>
      </c>
      <c r="AJ684" s="56" t="e">
        <f ca="1">IF(PAA_4[[#This Row],[BOLSA]]=0,0,SUMIFS([2]!COMPROMISOS_2024[[#All],[Total pagado]],[2]!COMPROMISOS_2024[[#All],[Bolsa]],PAA_4[[#This Row],[BOLSA]],[2]!COMPROMISOS_2024[[#All],[rubro]],PAA_4[[#This Row],[RCP-RUBRO]]))</f>
        <v>#REF!</v>
      </c>
      <c r="AK684" s="47" t="e" cm="1">
        <f t="array" aca="1" ref="AK684" ca="1">_xlfn.XLOOKUP(PAA_4[[#This Row],[RCP-RUBRO]],[2]!COMPROMISOS_2024[[#All],[concatenado]],[2]!COMPROMISOS_2024[[#All],[Total Comprometido]],"",0)</f>
        <v>#NAME?</v>
      </c>
      <c r="AL684" s="47" t="e">
        <f ca="1">IF(PAA_4[[#This Row],[BOLSA]]=0,0,SUMIFS([2]!COMPROMISOS_2024[[#All],[Total Comprometido]],[2]!COMPROMISOS_2024[[#All],[Bolsa]],PAA_4[[#This Row],[BOLSA]],[2]!COMPROMISOS_2024[[#All],[concatenado]],PAA_4[[#This Row],[RCP-RUBRO]]))</f>
        <v>#REF!</v>
      </c>
    </row>
    <row r="685" spans="1:38" s="19" customFormat="1" ht="31.5" customHeight="1">
      <c r="A685" s="47">
        <v>290</v>
      </c>
      <c r="B685" s="47">
        <v>80111600</v>
      </c>
      <c r="C685" s="47" t="str">
        <f>VLOOKUP(PAA_4[[#This Row],[PROYECTO (formulado)2]],[2]PROYECTOS!$G$1:$L$32,6,0)</f>
        <v>SUBGERENCIA DE ALTOS LOGROS Y DEPORTE ASOCIADO</v>
      </c>
      <c r="D685" s="47" t="str">
        <f>+IF(PAA_4[[#This Row],[UNIDAD DE CONTRATACION (formulado)]]="Subgerencia Administrativa y Financiera","FUNCIONAMIENTO","INVERSIÓN")</f>
        <v>INVERSIÓN</v>
      </c>
      <c r="E685" s="48" t="str">
        <f>VLOOKUP(Q685,[2]PROYECTOS!$G$1:$K$32,5,0)</f>
        <v>APOYO_TÉCNICO_Y_PSICOSOCIAL_A_LOS_DEPORTISTAS_DE_ANTIOQUIA</v>
      </c>
      <c r="F685" s="48">
        <f>VLOOKUP(E685,[2]PROYECTOS!$K$1:$M$32,3,0)</f>
        <v>2021003050069</v>
      </c>
      <c r="G685" s="49" t="s">
        <v>239</v>
      </c>
      <c r="H685" s="49" t="str">
        <f>VLOOKUP(Q685,[2]PROYECTOS!$V$1:$W$32,2,0)</f>
        <v>050069</v>
      </c>
      <c r="I685" s="50">
        <v>0</v>
      </c>
      <c r="J685" s="51" t="s">
        <v>1693</v>
      </c>
      <c r="K685" s="47" t="str">
        <f t="shared" ca="1" si="250"/>
        <v>CONTRATADO</v>
      </c>
      <c r="L685" s="47" t="s">
        <v>94</v>
      </c>
      <c r="M685" s="47" t="s">
        <v>1297</v>
      </c>
      <c r="N685" s="52" t="s">
        <v>240</v>
      </c>
      <c r="O685" s="51" t="e">
        <f>VLOOKUP(N685,[2]!RUBROS[#All],3,0)</f>
        <v>#REF!</v>
      </c>
      <c r="P685" s="53" t="e">
        <f>VLOOKUP(N685,[2]!RUBROS[#All],2,0)</f>
        <v>#REF!</v>
      </c>
      <c r="Q685" s="47" t="str">
        <f t="shared" si="249"/>
        <v>22</v>
      </c>
      <c r="R685" s="47" t="str">
        <f t="shared" si="251"/>
        <v>0-205400</v>
      </c>
      <c r="S685" s="54">
        <v>6</v>
      </c>
      <c r="T685" s="59" t="s">
        <v>46</v>
      </c>
      <c r="U685" s="326" t="e">
        <f ca="1">_xlfn.XLOOKUP(PAA_4[[#This Row],[ITEM]],[2]Contrato!A:A,[2]Contrato!Q:Q,"",0)</f>
        <v>#NAME?</v>
      </c>
      <c r="V685" s="47" t="s">
        <v>47</v>
      </c>
      <c r="W685" s="64"/>
      <c r="X685" s="64"/>
      <c r="Y685" s="55" t="e">
        <f ca="1">_xlfn.XLOOKUP(PAA_4[[#This Row],[ITEM]],[2]Contrato!A:A,[2]Contrato!B:B,"",0)</f>
        <v>#NAME?</v>
      </c>
      <c r="Z685" s="47" t="e">
        <f ca="1">_xlfn.XLOOKUP(PAA_4[[#This Row],[ITEM]],[2]Contrato!A:A,[2]Contrato!G:G,"",0)</f>
        <v>#NAME?</v>
      </c>
      <c r="AA685" s="47" t="e">
        <f ca="1">_xlfn.XLOOKUP(PAA_4[[#This Row],[ITEM]],[2]Contrato!A:A,[2]Contrato!T:T,"",0)</f>
        <v>#NAME?</v>
      </c>
      <c r="AB685" s="55" t="e">
        <f ca="1">+MAX(PAA_4[[#This Row],[Comprometido Contrato]],PAA_4[[#This Row],[Comprometido Bolsa]])</f>
        <v>#NAME?</v>
      </c>
      <c r="AC685" s="55" t="str">
        <f t="shared" ca="1" si="252"/>
        <v/>
      </c>
      <c r="AD685" s="55" t="e">
        <f ca="1">IF(PAA_4[[#This Row],[ESTADO (formulado)]]="NO CONTRATADO",0,MAX(PAA_4[[#This Row],[Pago por Contrato]],PAA_4[[#This Row],[Pago por bolsa]]))</f>
        <v>#NAME?</v>
      </c>
      <c r="AE685" s="55" t="str">
        <f t="shared" ca="1" si="253"/>
        <v/>
      </c>
      <c r="AF685" s="47" t="e">
        <f t="shared" ca="1" si="255"/>
        <v>#NAME?</v>
      </c>
      <c r="AG685" s="47">
        <f t="shared" si="254"/>
        <v>41080101</v>
      </c>
      <c r="AH685" s="54" t="str">
        <f>IF(Q685="22",IF(ISNUMBER(SEARCH("econ",PAA_4[[#This Row],[Actividad3]])),"Económico",IF(ISNUMBER(SEARCH("alim",PAA_4[[#This Row],[Actividad3]])),"Alimentación",IF(ISNUMBER(SEARCH("educ",PAA_4[[#This Row],[Actividad3]])),"Educativo","Técnico"))),0)</f>
        <v>Técnico</v>
      </c>
      <c r="AI685" s="47" t="e" cm="1">
        <f t="array" aca="1" ref="AI685" ca="1">_xlfn.XLOOKUP(PAA_4[[#This Row],[RCP-RUBRO]],[2]!COMPROMISOS_2024[[#All],[concatenado]],[2]!COMPROMISOS_2024[[#All],[Total pagado]],"",0)</f>
        <v>#NAME?</v>
      </c>
      <c r="AJ685" s="56" t="e">
        <f ca="1">IF(PAA_4[[#This Row],[BOLSA]]=0,0,SUMIFS([2]!COMPROMISOS_2024[[#All],[Total pagado]],[2]!COMPROMISOS_2024[[#All],[Bolsa]],PAA_4[[#This Row],[BOLSA]],[2]!COMPROMISOS_2024[[#All],[rubro]],PAA_4[[#This Row],[RCP-RUBRO]]))</f>
        <v>#REF!</v>
      </c>
      <c r="AK685" s="47" t="e" cm="1">
        <f t="array" aca="1" ref="AK685" ca="1">_xlfn.XLOOKUP(PAA_4[[#This Row],[RCP-RUBRO]],[2]!COMPROMISOS_2024[[#All],[concatenado]],[2]!COMPROMISOS_2024[[#All],[Total Comprometido]],"",0)</f>
        <v>#NAME?</v>
      </c>
      <c r="AL685" s="47" t="e">
        <f ca="1">IF(PAA_4[[#This Row],[BOLSA]]=0,0,SUMIFS([2]!COMPROMISOS_2024[[#All],[Total Comprometido]],[2]!COMPROMISOS_2024[[#All],[Bolsa]],PAA_4[[#This Row],[BOLSA]],[2]!COMPROMISOS_2024[[#All],[concatenado]],PAA_4[[#This Row],[RCP-RUBRO]]))</f>
        <v>#REF!</v>
      </c>
    </row>
    <row r="686" spans="1:38" s="19" customFormat="1" ht="31.5" customHeight="1">
      <c r="A686" s="47">
        <v>291</v>
      </c>
      <c r="B686" s="47">
        <v>80111600</v>
      </c>
      <c r="C686" s="47" t="str">
        <f>VLOOKUP(PAA_4[[#This Row],[PROYECTO (formulado)2]],[2]PROYECTOS!$G$1:$L$32,6,0)</f>
        <v>SUBGERENCIA DE ALTOS LOGROS Y DEPORTE ASOCIADO</v>
      </c>
      <c r="D686" s="47" t="str">
        <f>+IF(PAA_4[[#This Row],[UNIDAD DE CONTRATACION (formulado)]]="Subgerencia Administrativa y Financiera","FUNCIONAMIENTO","INVERSIÓN")</f>
        <v>INVERSIÓN</v>
      </c>
      <c r="E686" s="48" t="str">
        <f>VLOOKUP(Q686,[2]PROYECTOS!$G$1:$K$32,5,0)</f>
        <v>APOYO_TÉCNICO_Y_PSICOSOCIAL_A_LOS_DEPORTISTAS_DE_ANTIOQUIA</v>
      </c>
      <c r="F686" s="48">
        <f>VLOOKUP(E686,[2]PROYECTOS!$K$1:$M$32,3,0)</f>
        <v>2021003050069</v>
      </c>
      <c r="G686" s="49" t="s">
        <v>239</v>
      </c>
      <c r="H686" s="49" t="str">
        <f>VLOOKUP(Q686,[2]PROYECTOS!$V$1:$W$32,2,0)</f>
        <v>050069</v>
      </c>
      <c r="I686" s="50">
        <v>0</v>
      </c>
      <c r="J686" s="51" t="s">
        <v>1693</v>
      </c>
      <c r="K686" s="47" t="str">
        <f t="shared" ca="1" si="250"/>
        <v>CONTRATADO</v>
      </c>
      <c r="L686" s="47" t="s">
        <v>94</v>
      </c>
      <c r="M686" s="47" t="s">
        <v>1297</v>
      </c>
      <c r="N686" s="52" t="s">
        <v>240</v>
      </c>
      <c r="O686" s="51" t="e">
        <f>VLOOKUP(N686,[2]!RUBROS[#All],3,0)</f>
        <v>#REF!</v>
      </c>
      <c r="P686" s="53" t="e">
        <f>VLOOKUP(N686,[2]!RUBROS[#All],2,0)</f>
        <v>#REF!</v>
      </c>
      <c r="Q686" s="47" t="str">
        <f t="shared" si="249"/>
        <v>22</v>
      </c>
      <c r="R686" s="47" t="str">
        <f t="shared" si="251"/>
        <v>0-205400</v>
      </c>
      <c r="S686" s="54">
        <v>6</v>
      </c>
      <c r="T686" s="59" t="s">
        <v>46</v>
      </c>
      <c r="U686" s="326" t="e">
        <f ca="1">_xlfn.XLOOKUP(PAA_4[[#This Row],[ITEM]],[2]Contrato!A:A,[2]Contrato!Q:Q,"",0)</f>
        <v>#NAME?</v>
      </c>
      <c r="V686" s="47" t="s">
        <v>47</v>
      </c>
      <c r="W686" s="64"/>
      <c r="X686" s="64"/>
      <c r="Y686" s="55" t="e">
        <f ca="1">_xlfn.XLOOKUP(PAA_4[[#This Row],[ITEM]],[2]Contrato!A:A,[2]Contrato!B:B,"",0)</f>
        <v>#NAME?</v>
      </c>
      <c r="Z686" s="47" t="e">
        <f ca="1">_xlfn.XLOOKUP(PAA_4[[#This Row],[ITEM]],[2]Contrato!A:A,[2]Contrato!G:G,"",0)</f>
        <v>#NAME?</v>
      </c>
      <c r="AA686" s="47" t="e">
        <f ca="1">_xlfn.XLOOKUP(PAA_4[[#This Row],[ITEM]],[2]Contrato!A:A,[2]Contrato!T:T,"",0)</f>
        <v>#NAME?</v>
      </c>
      <c r="AB686" s="55" t="e">
        <f ca="1">+MAX(PAA_4[[#This Row],[Comprometido Contrato]],PAA_4[[#This Row],[Comprometido Bolsa]])</f>
        <v>#NAME?</v>
      </c>
      <c r="AC686" s="55" t="str">
        <f t="shared" ca="1" si="252"/>
        <v/>
      </c>
      <c r="AD686" s="55" t="e">
        <f ca="1">IF(PAA_4[[#This Row],[ESTADO (formulado)]]="NO CONTRATADO",0,MAX(PAA_4[[#This Row],[Pago por Contrato]],PAA_4[[#This Row],[Pago por bolsa]]))</f>
        <v>#NAME?</v>
      </c>
      <c r="AE686" s="55" t="str">
        <f t="shared" ca="1" si="253"/>
        <v/>
      </c>
      <c r="AF686" s="47" t="e">
        <f t="shared" ca="1" si="255"/>
        <v>#NAME?</v>
      </c>
      <c r="AG686" s="47">
        <f t="shared" si="254"/>
        <v>41080101</v>
      </c>
      <c r="AH686" s="54" t="str">
        <f>IF(Q686="22",IF(ISNUMBER(SEARCH("econ",PAA_4[[#This Row],[Actividad3]])),"Económico",IF(ISNUMBER(SEARCH("alim",PAA_4[[#This Row],[Actividad3]])),"Alimentación",IF(ISNUMBER(SEARCH("educ",PAA_4[[#This Row],[Actividad3]])),"Educativo","Técnico"))),0)</f>
        <v>Técnico</v>
      </c>
      <c r="AI686" s="47" t="e" cm="1">
        <f t="array" aca="1" ref="AI686" ca="1">_xlfn.XLOOKUP(PAA_4[[#This Row],[RCP-RUBRO]],[2]!COMPROMISOS_2024[[#All],[concatenado]],[2]!COMPROMISOS_2024[[#All],[Total pagado]],"",0)</f>
        <v>#NAME?</v>
      </c>
      <c r="AJ686" s="56" t="e">
        <f ca="1">IF(PAA_4[[#This Row],[BOLSA]]=0,0,SUMIFS([2]!COMPROMISOS_2024[[#All],[Total pagado]],[2]!COMPROMISOS_2024[[#All],[Bolsa]],PAA_4[[#This Row],[BOLSA]],[2]!COMPROMISOS_2024[[#All],[rubro]],PAA_4[[#This Row],[RCP-RUBRO]]))</f>
        <v>#REF!</v>
      </c>
      <c r="AK686" s="47" t="e" cm="1">
        <f t="array" aca="1" ref="AK686" ca="1">_xlfn.XLOOKUP(PAA_4[[#This Row],[RCP-RUBRO]],[2]!COMPROMISOS_2024[[#All],[concatenado]],[2]!COMPROMISOS_2024[[#All],[Total Comprometido]],"",0)</f>
        <v>#NAME?</v>
      </c>
      <c r="AL686" s="47" t="e">
        <f ca="1">IF(PAA_4[[#This Row],[BOLSA]]=0,0,SUMIFS([2]!COMPROMISOS_2024[[#All],[Total Comprometido]],[2]!COMPROMISOS_2024[[#All],[Bolsa]],PAA_4[[#This Row],[BOLSA]],[2]!COMPROMISOS_2024[[#All],[concatenado]],PAA_4[[#This Row],[RCP-RUBRO]]))</f>
        <v>#REF!</v>
      </c>
    </row>
    <row r="687" spans="1:38" s="19" customFormat="1" ht="31.5" customHeight="1">
      <c r="A687" s="47">
        <v>292</v>
      </c>
      <c r="B687" s="47">
        <v>80111600</v>
      </c>
      <c r="C687" s="47" t="str">
        <f>VLOOKUP(PAA_4[[#This Row],[PROYECTO (formulado)2]],[2]PROYECTOS!$G$1:$L$32,6,0)</f>
        <v>SUBGERENCIA DE ALTOS LOGROS Y DEPORTE ASOCIADO</v>
      </c>
      <c r="D687" s="47" t="str">
        <f>+IF(PAA_4[[#This Row],[UNIDAD DE CONTRATACION (formulado)]]="Subgerencia Administrativa y Financiera","FUNCIONAMIENTO","INVERSIÓN")</f>
        <v>INVERSIÓN</v>
      </c>
      <c r="E687" s="48" t="str">
        <f>VLOOKUP(Q687,[2]PROYECTOS!$G$1:$K$32,5,0)</f>
        <v>APOYO_TÉCNICO_Y_PSICOSOCIAL_A_LOS_DEPORTISTAS_DE_ANTIOQUIA</v>
      </c>
      <c r="F687" s="48">
        <f>VLOOKUP(E687,[2]PROYECTOS!$K$1:$M$32,3,0)</f>
        <v>2021003050069</v>
      </c>
      <c r="G687" s="49" t="s">
        <v>239</v>
      </c>
      <c r="H687" s="49" t="str">
        <f>VLOOKUP(Q687,[2]PROYECTOS!$V$1:$W$32,2,0)</f>
        <v>050069</v>
      </c>
      <c r="I687" s="50">
        <v>0</v>
      </c>
      <c r="J687" s="51" t="s">
        <v>1693</v>
      </c>
      <c r="K687" s="47" t="str">
        <f t="shared" ca="1" si="250"/>
        <v>CONTRATADO</v>
      </c>
      <c r="L687" s="47" t="s">
        <v>94</v>
      </c>
      <c r="M687" s="47" t="s">
        <v>1297</v>
      </c>
      <c r="N687" s="52" t="s">
        <v>240</v>
      </c>
      <c r="O687" s="51" t="e">
        <f>VLOOKUP(N687,[2]!RUBROS[#All],3,0)</f>
        <v>#REF!</v>
      </c>
      <c r="P687" s="53" t="e">
        <f>VLOOKUP(N687,[2]!RUBROS[#All],2,0)</f>
        <v>#REF!</v>
      </c>
      <c r="Q687" s="47" t="str">
        <f t="shared" si="249"/>
        <v>22</v>
      </c>
      <c r="R687" s="47" t="str">
        <f t="shared" si="251"/>
        <v>0-205400</v>
      </c>
      <c r="S687" s="54">
        <v>6</v>
      </c>
      <c r="T687" s="59" t="s">
        <v>46</v>
      </c>
      <c r="U687" s="326" t="e">
        <f ca="1">_xlfn.XLOOKUP(PAA_4[[#This Row],[ITEM]],[2]Contrato!A:A,[2]Contrato!Q:Q,"",0)</f>
        <v>#NAME?</v>
      </c>
      <c r="V687" s="47" t="s">
        <v>47</v>
      </c>
      <c r="W687" s="64"/>
      <c r="X687" s="64"/>
      <c r="Y687" s="55" t="e">
        <f ca="1">_xlfn.XLOOKUP(PAA_4[[#This Row],[ITEM]],[2]Contrato!A:A,[2]Contrato!B:B,"",0)</f>
        <v>#NAME?</v>
      </c>
      <c r="Z687" s="47" t="e">
        <f ca="1">_xlfn.XLOOKUP(PAA_4[[#This Row],[ITEM]],[2]Contrato!A:A,[2]Contrato!G:G,"",0)</f>
        <v>#NAME?</v>
      </c>
      <c r="AA687" s="47" t="e">
        <f ca="1">_xlfn.XLOOKUP(PAA_4[[#This Row],[ITEM]],[2]Contrato!A:A,[2]Contrato!T:T,"",0)</f>
        <v>#NAME?</v>
      </c>
      <c r="AB687" s="55" t="e">
        <f ca="1">+MAX(PAA_4[[#This Row],[Comprometido Contrato]],PAA_4[[#This Row],[Comprometido Bolsa]])</f>
        <v>#NAME?</v>
      </c>
      <c r="AC687" s="55" t="str">
        <f t="shared" ca="1" si="252"/>
        <v/>
      </c>
      <c r="AD687" s="55" t="e">
        <f ca="1">IF(PAA_4[[#This Row],[ESTADO (formulado)]]="NO CONTRATADO",0,MAX(PAA_4[[#This Row],[Pago por Contrato]],PAA_4[[#This Row],[Pago por bolsa]]))</f>
        <v>#NAME?</v>
      </c>
      <c r="AE687" s="55" t="str">
        <f t="shared" ca="1" si="253"/>
        <v/>
      </c>
      <c r="AF687" s="47" t="e">
        <f t="shared" ca="1" si="255"/>
        <v>#NAME?</v>
      </c>
      <c r="AG687" s="47">
        <f t="shared" si="254"/>
        <v>41080101</v>
      </c>
      <c r="AH687" s="54" t="str">
        <f>IF(Q687="22",IF(ISNUMBER(SEARCH("econ",PAA_4[[#This Row],[Actividad3]])),"Económico",IF(ISNUMBER(SEARCH("alim",PAA_4[[#This Row],[Actividad3]])),"Alimentación",IF(ISNUMBER(SEARCH("educ",PAA_4[[#This Row],[Actividad3]])),"Educativo","Técnico"))),0)</f>
        <v>Técnico</v>
      </c>
      <c r="AI687" s="47" t="e" cm="1">
        <f t="array" aca="1" ref="AI687" ca="1">_xlfn.XLOOKUP(PAA_4[[#This Row],[RCP-RUBRO]],[2]!COMPROMISOS_2024[[#All],[concatenado]],[2]!COMPROMISOS_2024[[#All],[Total pagado]],"",0)</f>
        <v>#NAME?</v>
      </c>
      <c r="AJ687" s="56" t="e">
        <f ca="1">IF(PAA_4[[#This Row],[BOLSA]]=0,0,SUMIFS([2]!COMPROMISOS_2024[[#All],[Total pagado]],[2]!COMPROMISOS_2024[[#All],[Bolsa]],PAA_4[[#This Row],[BOLSA]],[2]!COMPROMISOS_2024[[#All],[rubro]],PAA_4[[#This Row],[RCP-RUBRO]]))</f>
        <v>#REF!</v>
      </c>
      <c r="AK687" s="47" t="e" cm="1">
        <f t="array" aca="1" ref="AK687" ca="1">_xlfn.XLOOKUP(PAA_4[[#This Row],[RCP-RUBRO]],[2]!COMPROMISOS_2024[[#All],[concatenado]],[2]!COMPROMISOS_2024[[#All],[Total Comprometido]],"",0)</f>
        <v>#NAME?</v>
      </c>
      <c r="AL687" s="47" t="e">
        <f ca="1">IF(PAA_4[[#This Row],[BOLSA]]=0,0,SUMIFS([2]!COMPROMISOS_2024[[#All],[Total Comprometido]],[2]!COMPROMISOS_2024[[#All],[Bolsa]],PAA_4[[#This Row],[BOLSA]],[2]!COMPROMISOS_2024[[#All],[concatenado]],PAA_4[[#This Row],[RCP-RUBRO]]))</f>
        <v>#REF!</v>
      </c>
    </row>
    <row r="688" spans="1:38" s="19" customFormat="1" ht="31.5" customHeight="1">
      <c r="A688" s="47">
        <v>293</v>
      </c>
      <c r="B688" s="47">
        <v>80111600</v>
      </c>
      <c r="C688" s="47" t="str">
        <f>VLOOKUP(PAA_4[[#This Row],[PROYECTO (formulado)2]],[2]PROYECTOS!$G$1:$L$32,6,0)</f>
        <v>SUBGERENCIA DE ALTOS LOGROS Y DEPORTE ASOCIADO</v>
      </c>
      <c r="D688" s="47" t="str">
        <f>+IF(PAA_4[[#This Row],[UNIDAD DE CONTRATACION (formulado)]]="Subgerencia Administrativa y Financiera","FUNCIONAMIENTO","INVERSIÓN")</f>
        <v>INVERSIÓN</v>
      </c>
      <c r="E688" s="48" t="str">
        <f>VLOOKUP(Q688,[2]PROYECTOS!$G$1:$K$32,5,0)</f>
        <v>APOYO_TÉCNICO_Y_PSICOSOCIAL_A_LOS_DEPORTISTAS_DE_ANTIOQUIA</v>
      </c>
      <c r="F688" s="48">
        <f>VLOOKUP(E688,[2]PROYECTOS!$K$1:$M$32,3,0)</f>
        <v>2021003050069</v>
      </c>
      <c r="G688" s="49" t="s">
        <v>239</v>
      </c>
      <c r="H688" s="49" t="str">
        <f>VLOOKUP(Q688,[2]PROYECTOS!$V$1:$W$32,2,0)</f>
        <v>050069</v>
      </c>
      <c r="I688" s="50">
        <v>0</v>
      </c>
      <c r="J688" s="51" t="s">
        <v>1693</v>
      </c>
      <c r="K688" s="47" t="str">
        <f t="shared" ca="1" si="250"/>
        <v>CONTRATADO</v>
      </c>
      <c r="L688" s="47" t="s">
        <v>94</v>
      </c>
      <c r="M688" s="47" t="s">
        <v>1297</v>
      </c>
      <c r="N688" s="52" t="s">
        <v>240</v>
      </c>
      <c r="O688" s="51" t="e">
        <f>VLOOKUP(N688,[2]!RUBROS[#All],3,0)</f>
        <v>#REF!</v>
      </c>
      <c r="P688" s="53" t="e">
        <f>VLOOKUP(N688,[2]!RUBROS[#All],2,0)</f>
        <v>#REF!</v>
      </c>
      <c r="Q688" s="47" t="str">
        <f t="shared" si="249"/>
        <v>22</v>
      </c>
      <c r="R688" s="47" t="str">
        <f t="shared" si="251"/>
        <v>0-205400</v>
      </c>
      <c r="S688" s="54">
        <v>6</v>
      </c>
      <c r="T688" s="59" t="s">
        <v>46</v>
      </c>
      <c r="U688" s="326" t="e">
        <f ca="1">_xlfn.XLOOKUP(PAA_4[[#This Row],[ITEM]],[2]Contrato!A:A,[2]Contrato!Q:Q,"",0)</f>
        <v>#NAME?</v>
      </c>
      <c r="V688" s="47" t="s">
        <v>47</v>
      </c>
      <c r="W688" s="47"/>
      <c r="X688" s="47"/>
      <c r="Y688" s="55" t="e">
        <f ca="1">_xlfn.XLOOKUP(PAA_4[[#This Row],[ITEM]],[2]Contrato!A:A,[2]Contrato!B:B,"",0)</f>
        <v>#NAME?</v>
      </c>
      <c r="Z688" s="47" t="e">
        <f ca="1">_xlfn.XLOOKUP(PAA_4[[#This Row],[ITEM]],[2]Contrato!A:A,[2]Contrato!G:G,"",0)</f>
        <v>#NAME?</v>
      </c>
      <c r="AA688" s="47" t="e">
        <f ca="1">_xlfn.XLOOKUP(PAA_4[[#This Row],[ITEM]],[2]Contrato!A:A,[2]Contrato!T:T,"",0)</f>
        <v>#NAME?</v>
      </c>
      <c r="AB688" s="55" t="e">
        <f ca="1">+MAX(PAA_4[[#This Row],[Comprometido Contrato]],PAA_4[[#This Row],[Comprometido Bolsa]])</f>
        <v>#NAME?</v>
      </c>
      <c r="AC688" s="55" t="str">
        <f t="shared" ca="1" si="252"/>
        <v/>
      </c>
      <c r="AD688" s="55" t="e">
        <f ca="1">IF(PAA_4[[#This Row],[ESTADO (formulado)]]="NO CONTRATADO",0,MAX(PAA_4[[#This Row],[Pago por Contrato]],PAA_4[[#This Row],[Pago por bolsa]]))</f>
        <v>#NAME?</v>
      </c>
      <c r="AE688" s="55" t="str">
        <f t="shared" ca="1" si="253"/>
        <v/>
      </c>
      <c r="AF688" s="47" t="e">
        <f t="shared" ca="1" si="255"/>
        <v>#NAME?</v>
      </c>
      <c r="AG688" s="47">
        <f t="shared" si="254"/>
        <v>41080101</v>
      </c>
      <c r="AH688" s="54" t="str">
        <f>IF(Q688="22",IF(ISNUMBER(SEARCH("econ",PAA_4[[#This Row],[Actividad3]])),"Económico",IF(ISNUMBER(SEARCH("alim",PAA_4[[#This Row],[Actividad3]])),"Alimentación",IF(ISNUMBER(SEARCH("educ",PAA_4[[#This Row],[Actividad3]])),"Educativo","Técnico"))),0)</f>
        <v>Técnico</v>
      </c>
      <c r="AI688" s="47" t="e" cm="1">
        <f t="array" aca="1" ref="AI688" ca="1">_xlfn.XLOOKUP(PAA_4[[#This Row],[RCP-RUBRO]],[2]!COMPROMISOS_2024[[#All],[concatenado]],[2]!COMPROMISOS_2024[[#All],[Total pagado]],"",0)</f>
        <v>#NAME?</v>
      </c>
      <c r="AJ688" s="56" t="e">
        <f ca="1">IF(PAA_4[[#This Row],[BOLSA]]=0,0,SUMIFS([2]!COMPROMISOS_2024[[#All],[Total pagado]],[2]!COMPROMISOS_2024[[#All],[Bolsa]],PAA_4[[#This Row],[BOLSA]],[2]!COMPROMISOS_2024[[#All],[rubro]],PAA_4[[#This Row],[RCP-RUBRO]]))</f>
        <v>#REF!</v>
      </c>
      <c r="AK688" s="47" t="e" cm="1">
        <f t="array" aca="1" ref="AK688" ca="1">_xlfn.XLOOKUP(PAA_4[[#This Row],[RCP-RUBRO]],[2]!COMPROMISOS_2024[[#All],[concatenado]],[2]!COMPROMISOS_2024[[#All],[Total Comprometido]],"",0)</f>
        <v>#NAME?</v>
      </c>
      <c r="AL688" s="47" t="e">
        <f ca="1">IF(PAA_4[[#This Row],[BOLSA]]=0,0,SUMIFS([2]!COMPROMISOS_2024[[#All],[Total Comprometido]],[2]!COMPROMISOS_2024[[#All],[Bolsa]],PAA_4[[#This Row],[BOLSA]],[2]!COMPROMISOS_2024[[#All],[concatenado]],PAA_4[[#This Row],[RCP-RUBRO]]))</f>
        <v>#REF!</v>
      </c>
    </row>
    <row r="689" spans="1:38" s="19" customFormat="1" ht="31.5" customHeight="1">
      <c r="A689" s="47">
        <v>294</v>
      </c>
      <c r="B689" s="47">
        <v>80111600</v>
      </c>
      <c r="C689" s="47" t="str">
        <f>VLOOKUP(PAA_4[[#This Row],[PROYECTO (formulado)2]],[2]PROYECTOS!$G$1:$L$32,6,0)</f>
        <v>SUBGERENCIA DE ALTOS LOGROS Y DEPORTE ASOCIADO</v>
      </c>
      <c r="D689" s="47" t="str">
        <f>+IF(PAA_4[[#This Row],[UNIDAD DE CONTRATACION (formulado)]]="Subgerencia Administrativa y Financiera","FUNCIONAMIENTO","INVERSIÓN")</f>
        <v>INVERSIÓN</v>
      </c>
      <c r="E689" s="48" t="str">
        <f>VLOOKUP(Q689,[2]PROYECTOS!$G$1:$K$32,5,0)</f>
        <v>APOYO_TÉCNICO_Y_PSICOSOCIAL_A_LOS_DEPORTISTAS_DE_ANTIOQUIA</v>
      </c>
      <c r="F689" s="48">
        <f>VLOOKUP(E689,[2]PROYECTOS!$K$1:$M$32,3,0)</f>
        <v>2021003050069</v>
      </c>
      <c r="G689" s="49" t="s">
        <v>239</v>
      </c>
      <c r="H689" s="49" t="str">
        <f>VLOOKUP(Q689,[2]PROYECTOS!$V$1:$W$32,2,0)</f>
        <v>050069</v>
      </c>
      <c r="I689" s="50">
        <v>0</v>
      </c>
      <c r="J689" s="51" t="s">
        <v>1693</v>
      </c>
      <c r="K689" s="47" t="str">
        <f t="shared" ca="1" si="250"/>
        <v>CONTRATADO</v>
      </c>
      <c r="L689" s="47" t="s">
        <v>94</v>
      </c>
      <c r="M689" s="47" t="s">
        <v>1297</v>
      </c>
      <c r="N689" s="52" t="s">
        <v>240</v>
      </c>
      <c r="O689" s="51" t="e">
        <f>VLOOKUP(N689,[2]!RUBROS[#All],3,0)</f>
        <v>#REF!</v>
      </c>
      <c r="P689" s="53" t="e">
        <f>VLOOKUP(N689,[2]!RUBROS[#All],2,0)</f>
        <v>#REF!</v>
      </c>
      <c r="Q689" s="47" t="str">
        <f t="shared" si="249"/>
        <v>22</v>
      </c>
      <c r="R689" s="47" t="str">
        <f t="shared" si="251"/>
        <v>0-205400</v>
      </c>
      <c r="S689" s="54">
        <v>6</v>
      </c>
      <c r="T689" s="59" t="s">
        <v>46</v>
      </c>
      <c r="U689" s="326" t="e">
        <f ca="1">_xlfn.XLOOKUP(PAA_4[[#This Row],[ITEM]],[2]Contrato!A:A,[2]Contrato!Q:Q,"",0)</f>
        <v>#NAME?</v>
      </c>
      <c r="V689" s="47" t="s">
        <v>47</v>
      </c>
      <c r="W689" s="47"/>
      <c r="X689" s="47"/>
      <c r="Y689" s="55" t="e">
        <f ca="1">_xlfn.XLOOKUP(PAA_4[[#This Row],[ITEM]],[2]Contrato!A:A,[2]Contrato!B:B,"",0)</f>
        <v>#NAME?</v>
      </c>
      <c r="Z689" s="47" t="e">
        <f ca="1">_xlfn.XLOOKUP(PAA_4[[#This Row],[ITEM]],[2]Contrato!A:A,[2]Contrato!G:G,"",0)</f>
        <v>#NAME?</v>
      </c>
      <c r="AA689" s="47" t="e">
        <f ca="1">_xlfn.XLOOKUP(PAA_4[[#This Row],[ITEM]],[2]Contrato!A:A,[2]Contrato!T:T,"",0)</f>
        <v>#NAME?</v>
      </c>
      <c r="AB689" s="55" t="e">
        <f ca="1">+MAX(PAA_4[[#This Row],[Comprometido Contrato]],PAA_4[[#This Row],[Comprometido Bolsa]])</f>
        <v>#NAME?</v>
      </c>
      <c r="AC689" s="55" t="str">
        <f t="shared" ca="1" si="252"/>
        <v/>
      </c>
      <c r="AD689" s="55" t="e">
        <f ca="1">IF(PAA_4[[#This Row],[ESTADO (formulado)]]="NO CONTRATADO",0,MAX(PAA_4[[#This Row],[Pago por Contrato]],PAA_4[[#This Row],[Pago por bolsa]]))</f>
        <v>#NAME?</v>
      </c>
      <c r="AE689" s="55" t="str">
        <f t="shared" ca="1" si="253"/>
        <v/>
      </c>
      <c r="AF689" s="47" t="e">
        <f t="shared" ca="1" si="255"/>
        <v>#NAME?</v>
      </c>
      <c r="AG689" s="47">
        <f t="shared" si="254"/>
        <v>41080101</v>
      </c>
      <c r="AH689" s="54" t="str">
        <f>IF(Q689="22",IF(ISNUMBER(SEARCH("econ",PAA_4[[#This Row],[Actividad3]])),"Económico",IF(ISNUMBER(SEARCH("alim",PAA_4[[#This Row],[Actividad3]])),"Alimentación",IF(ISNUMBER(SEARCH("educ",PAA_4[[#This Row],[Actividad3]])),"Educativo","Técnico"))),0)</f>
        <v>Técnico</v>
      </c>
      <c r="AI689" s="47" t="e" cm="1">
        <f t="array" aca="1" ref="AI689" ca="1">_xlfn.XLOOKUP(PAA_4[[#This Row],[RCP-RUBRO]],[2]!COMPROMISOS_2024[[#All],[concatenado]],[2]!COMPROMISOS_2024[[#All],[Total pagado]],"",0)</f>
        <v>#NAME?</v>
      </c>
      <c r="AJ689" s="56" t="e">
        <f ca="1">IF(PAA_4[[#This Row],[BOLSA]]=0,0,SUMIFS([2]!COMPROMISOS_2024[[#All],[Total pagado]],[2]!COMPROMISOS_2024[[#All],[Bolsa]],PAA_4[[#This Row],[BOLSA]],[2]!COMPROMISOS_2024[[#All],[rubro]],PAA_4[[#This Row],[RCP-RUBRO]]))</f>
        <v>#REF!</v>
      </c>
      <c r="AK689" s="47" t="e" cm="1">
        <f t="array" aca="1" ref="AK689" ca="1">_xlfn.XLOOKUP(PAA_4[[#This Row],[RCP-RUBRO]],[2]!COMPROMISOS_2024[[#All],[concatenado]],[2]!COMPROMISOS_2024[[#All],[Total Comprometido]],"",0)</f>
        <v>#NAME?</v>
      </c>
      <c r="AL689" s="47" t="e">
        <f ca="1">IF(PAA_4[[#This Row],[BOLSA]]=0,0,SUMIFS([2]!COMPROMISOS_2024[[#All],[Total Comprometido]],[2]!COMPROMISOS_2024[[#All],[Bolsa]],PAA_4[[#This Row],[BOLSA]],[2]!COMPROMISOS_2024[[#All],[concatenado]],PAA_4[[#This Row],[RCP-RUBRO]]))</f>
        <v>#REF!</v>
      </c>
    </row>
    <row r="690" spans="1:38" s="19" customFormat="1" ht="31.5" customHeight="1">
      <c r="A690" s="47">
        <v>295</v>
      </c>
      <c r="B690" s="47">
        <v>80111600</v>
      </c>
      <c r="C690" s="47" t="str">
        <f>VLOOKUP(PAA_4[[#This Row],[PROYECTO (formulado)2]],[2]PROYECTOS!$G$1:$L$32,6,0)</f>
        <v>SUBGERENCIA DE ALTOS LOGROS Y DEPORTE ASOCIADO</v>
      </c>
      <c r="D690" s="47" t="str">
        <f>+IF(PAA_4[[#This Row],[UNIDAD DE CONTRATACION (formulado)]]="Subgerencia Administrativa y Financiera","FUNCIONAMIENTO","INVERSIÓN")</f>
        <v>INVERSIÓN</v>
      </c>
      <c r="E690" s="48" t="str">
        <f>VLOOKUP(Q690,[2]PROYECTOS!$G$1:$K$32,5,0)</f>
        <v>APOYO_TÉCNICO_Y_PSICOSOCIAL_A_LOS_DEPORTISTAS_DE_ANTIOQUIA</v>
      </c>
      <c r="F690" s="48">
        <f>VLOOKUP(E690,[2]PROYECTOS!$K$1:$M$32,3,0)</f>
        <v>2021003050069</v>
      </c>
      <c r="G690" s="49" t="s">
        <v>239</v>
      </c>
      <c r="H690" s="49" t="str">
        <f>VLOOKUP(Q690,[2]PROYECTOS!$V$1:$W$32,2,0)</f>
        <v>050069</v>
      </c>
      <c r="I690" s="50">
        <v>0</v>
      </c>
      <c r="J690" s="51" t="s">
        <v>1693</v>
      </c>
      <c r="K690" s="47" t="str">
        <f t="shared" ca="1" si="250"/>
        <v>CONTRATADO</v>
      </c>
      <c r="L690" s="47" t="s">
        <v>94</v>
      </c>
      <c r="M690" s="47" t="s">
        <v>1297</v>
      </c>
      <c r="N690" s="52" t="s">
        <v>240</v>
      </c>
      <c r="O690" s="51" t="e">
        <f>VLOOKUP(N690,[2]!RUBROS[#All],3,0)</f>
        <v>#REF!</v>
      </c>
      <c r="P690" s="53" t="e">
        <f>VLOOKUP(N690,[2]!RUBROS[#All],2,0)</f>
        <v>#REF!</v>
      </c>
      <c r="Q690" s="47" t="str">
        <f t="shared" si="249"/>
        <v>22</v>
      </c>
      <c r="R690" s="47" t="str">
        <f t="shared" si="251"/>
        <v>0-205400</v>
      </c>
      <c r="S690" s="54">
        <v>6</v>
      </c>
      <c r="T690" s="59" t="s">
        <v>46</v>
      </c>
      <c r="U690" s="326" t="e">
        <f ca="1">_xlfn.XLOOKUP(PAA_4[[#This Row],[ITEM]],[2]Contrato!A:A,[2]Contrato!Q:Q,"",0)</f>
        <v>#NAME?</v>
      </c>
      <c r="V690" s="47" t="s">
        <v>47</v>
      </c>
      <c r="W690" s="47"/>
      <c r="X690" s="47"/>
      <c r="Y690" s="55" t="e">
        <f ca="1">_xlfn.XLOOKUP(PAA_4[[#This Row],[ITEM]],[2]Contrato!A:A,[2]Contrato!B:B,"",0)</f>
        <v>#NAME?</v>
      </c>
      <c r="Z690" s="47" t="e">
        <f ca="1">_xlfn.XLOOKUP(PAA_4[[#This Row],[ITEM]],[2]Contrato!A:A,[2]Contrato!G:G,"",0)</f>
        <v>#NAME?</v>
      </c>
      <c r="AA690" s="47" t="e">
        <f ca="1">_xlfn.XLOOKUP(PAA_4[[#This Row],[ITEM]],[2]Contrato!A:A,[2]Contrato!T:T,"",0)</f>
        <v>#NAME?</v>
      </c>
      <c r="AB690" s="55" t="e">
        <f ca="1">+MAX(PAA_4[[#This Row],[Comprometido Contrato]],PAA_4[[#This Row],[Comprometido Bolsa]])</f>
        <v>#NAME?</v>
      </c>
      <c r="AC690" s="55" t="str">
        <f t="shared" ca="1" si="252"/>
        <v/>
      </c>
      <c r="AD690" s="55" t="e">
        <f ca="1">IF(PAA_4[[#This Row],[ESTADO (formulado)]]="NO CONTRATADO",0,MAX(PAA_4[[#This Row],[Pago por Contrato]],PAA_4[[#This Row],[Pago por bolsa]]))</f>
        <v>#NAME?</v>
      </c>
      <c r="AE690" s="55" t="str">
        <f t="shared" ca="1" si="253"/>
        <v/>
      </c>
      <c r="AF690" s="47" t="e">
        <f t="shared" ca="1" si="255"/>
        <v>#NAME?</v>
      </c>
      <c r="AG690" s="47">
        <f t="shared" si="254"/>
        <v>41080101</v>
      </c>
      <c r="AH690" s="54" t="str">
        <f>IF(Q690="22",IF(ISNUMBER(SEARCH("econ",PAA_4[[#This Row],[Actividad3]])),"Económico",IF(ISNUMBER(SEARCH("alim",PAA_4[[#This Row],[Actividad3]])),"Alimentación",IF(ISNUMBER(SEARCH("educ",PAA_4[[#This Row],[Actividad3]])),"Educativo","Técnico"))),0)</f>
        <v>Técnico</v>
      </c>
      <c r="AI690" s="47" t="e" cm="1">
        <f t="array" aca="1" ref="AI690" ca="1">_xlfn.XLOOKUP(PAA_4[[#This Row],[RCP-RUBRO]],[2]!COMPROMISOS_2024[[#All],[concatenado]],[2]!COMPROMISOS_2024[[#All],[Total pagado]],"",0)</f>
        <v>#NAME?</v>
      </c>
      <c r="AJ690" s="56" t="e">
        <f ca="1">IF(PAA_4[[#This Row],[BOLSA]]=0,0,SUMIFS([2]!COMPROMISOS_2024[[#All],[Total pagado]],[2]!COMPROMISOS_2024[[#All],[Bolsa]],PAA_4[[#This Row],[BOLSA]],[2]!COMPROMISOS_2024[[#All],[rubro]],PAA_4[[#This Row],[RCP-RUBRO]]))</f>
        <v>#REF!</v>
      </c>
      <c r="AK690" s="47" t="e" cm="1">
        <f t="array" aca="1" ref="AK690" ca="1">_xlfn.XLOOKUP(PAA_4[[#This Row],[RCP-RUBRO]],[2]!COMPROMISOS_2024[[#All],[concatenado]],[2]!COMPROMISOS_2024[[#All],[Total Comprometido]],"",0)</f>
        <v>#NAME?</v>
      </c>
      <c r="AL690" s="47" t="e">
        <f ca="1">IF(PAA_4[[#This Row],[BOLSA]]=0,0,SUMIFS([2]!COMPROMISOS_2024[[#All],[Total Comprometido]],[2]!COMPROMISOS_2024[[#All],[Bolsa]],PAA_4[[#This Row],[BOLSA]],[2]!COMPROMISOS_2024[[#All],[concatenado]],PAA_4[[#This Row],[RCP-RUBRO]]))</f>
        <v>#REF!</v>
      </c>
    </row>
    <row r="691" spans="1:38" s="19" customFormat="1" ht="31.5" customHeight="1">
      <c r="A691" s="47">
        <v>296</v>
      </c>
      <c r="B691" s="47">
        <v>80111600</v>
      </c>
      <c r="C691" s="47" t="str">
        <f>VLOOKUP(PAA_4[[#This Row],[PROYECTO (formulado)2]],[2]PROYECTOS!$G$1:$L$32,6,0)</f>
        <v>SUBGERENCIA DE ALTOS LOGROS Y DEPORTE ASOCIADO</v>
      </c>
      <c r="D691" s="47" t="str">
        <f>+IF(PAA_4[[#This Row],[UNIDAD DE CONTRATACION (formulado)]]="Subgerencia Administrativa y Financiera","FUNCIONAMIENTO","INVERSIÓN")</f>
        <v>INVERSIÓN</v>
      </c>
      <c r="E691" s="48" t="str">
        <f>VLOOKUP(Q691,[2]PROYECTOS!$G$1:$K$32,5,0)</f>
        <v>APOYO_TÉCNICO_Y_PSICOSOCIAL_A_LOS_DEPORTISTAS_DE_ANTIOQUIA</v>
      </c>
      <c r="F691" s="48">
        <f>VLOOKUP(E691,[2]PROYECTOS!$K$1:$M$32,3,0)</f>
        <v>2021003050069</v>
      </c>
      <c r="G691" s="49" t="s">
        <v>239</v>
      </c>
      <c r="H691" s="49" t="str">
        <f>VLOOKUP(Q691,[2]PROYECTOS!$V$1:$W$32,2,0)</f>
        <v>050069</v>
      </c>
      <c r="I691" s="50">
        <v>0</v>
      </c>
      <c r="J691" s="51" t="s">
        <v>1693</v>
      </c>
      <c r="K691" s="47" t="str">
        <f t="shared" ca="1" si="250"/>
        <v>CONTRATADO</v>
      </c>
      <c r="L691" s="47" t="s">
        <v>94</v>
      </c>
      <c r="M691" s="47" t="s">
        <v>1297</v>
      </c>
      <c r="N691" s="52" t="s">
        <v>240</v>
      </c>
      <c r="O691" s="51" t="e">
        <f>VLOOKUP(N691,[2]!RUBROS[#All],3,0)</f>
        <v>#REF!</v>
      </c>
      <c r="P691" s="53" t="e">
        <f>VLOOKUP(N691,[2]!RUBROS[#All],2,0)</f>
        <v>#REF!</v>
      </c>
      <c r="Q691" s="47" t="str">
        <f t="shared" si="249"/>
        <v>22</v>
      </c>
      <c r="R691" s="47" t="str">
        <f t="shared" si="251"/>
        <v>0-205400</v>
      </c>
      <c r="S691" s="54">
        <v>6</v>
      </c>
      <c r="T691" s="59" t="s">
        <v>46</v>
      </c>
      <c r="U691" s="326" t="e">
        <f ca="1">_xlfn.XLOOKUP(PAA_4[[#This Row],[ITEM]],[2]Contrato!A:A,[2]Contrato!Q:Q,"",0)</f>
        <v>#NAME?</v>
      </c>
      <c r="V691" s="47" t="s">
        <v>47</v>
      </c>
      <c r="W691" s="47"/>
      <c r="X691" s="47"/>
      <c r="Y691" s="55" t="e">
        <f ca="1">_xlfn.XLOOKUP(PAA_4[[#This Row],[ITEM]],[2]Contrato!A:A,[2]Contrato!B:B,"",0)</f>
        <v>#NAME?</v>
      </c>
      <c r="Z691" s="47" t="e">
        <f ca="1">_xlfn.XLOOKUP(PAA_4[[#This Row],[ITEM]],[2]Contrato!A:A,[2]Contrato!G:G,"",0)</f>
        <v>#NAME?</v>
      </c>
      <c r="AA691" s="47" t="e">
        <f ca="1">_xlfn.XLOOKUP(PAA_4[[#This Row],[ITEM]],[2]Contrato!A:A,[2]Contrato!T:T,"",0)</f>
        <v>#NAME?</v>
      </c>
      <c r="AB691" s="55" t="e">
        <f ca="1">+MAX(PAA_4[[#This Row],[Comprometido Contrato]],PAA_4[[#This Row],[Comprometido Bolsa]])</f>
        <v>#NAME?</v>
      </c>
      <c r="AC691" s="55" t="str">
        <f t="shared" ca="1" si="252"/>
        <v/>
      </c>
      <c r="AD691" s="55" t="e">
        <f ca="1">IF(PAA_4[[#This Row],[ESTADO (formulado)]]="NO CONTRATADO",0,MAX(PAA_4[[#This Row],[Pago por Contrato]],PAA_4[[#This Row],[Pago por bolsa]]))</f>
        <v>#NAME?</v>
      </c>
      <c r="AE691" s="55" t="str">
        <f t="shared" ca="1" si="253"/>
        <v/>
      </c>
      <c r="AF691" s="47" t="e">
        <f t="shared" ca="1" si="255"/>
        <v>#NAME?</v>
      </c>
      <c r="AG691" s="47">
        <f t="shared" si="254"/>
        <v>41080101</v>
      </c>
      <c r="AH691" s="54" t="str">
        <f>IF(Q691="22",IF(ISNUMBER(SEARCH("econ",PAA_4[[#This Row],[Actividad3]])),"Económico",IF(ISNUMBER(SEARCH("alim",PAA_4[[#This Row],[Actividad3]])),"Alimentación",IF(ISNUMBER(SEARCH("educ",PAA_4[[#This Row],[Actividad3]])),"Educativo","Técnico"))),0)</f>
        <v>Técnico</v>
      </c>
      <c r="AI691" s="47" t="e" cm="1">
        <f t="array" aca="1" ref="AI691" ca="1">_xlfn.XLOOKUP(PAA_4[[#This Row],[RCP-RUBRO]],[2]!COMPROMISOS_2024[[#All],[concatenado]],[2]!COMPROMISOS_2024[[#All],[Total pagado]],"",0)</f>
        <v>#NAME?</v>
      </c>
      <c r="AJ691" s="56" t="e">
        <f ca="1">IF(PAA_4[[#This Row],[BOLSA]]=0,0,SUMIFS([2]!COMPROMISOS_2024[[#All],[Total pagado]],[2]!COMPROMISOS_2024[[#All],[Bolsa]],PAA_4[[#This Row],[BOLSA]],[2]!COMPROMISOS_2024[[#All],[rubro]],PAA_4[[#This Row],[RCP-RUBRO]]))</f>
        <v>#REF!</v>
      </c>
      <c r="AK691" s="47" t="e" cm="1">
        <f t="array" aca="1" ref="AK691" ca="1">_xlfn.XLOOKUP(PAA_4[[#This Row],[RCP-RUBRO]],[2]!COMPROMISOS_2024[[#All],[concatenado]],[2]!COMPROMISOS_2024[[#All],[Total Comprometido]],"",0)</f>
        <v>#NAME?</v>
      </c>
      <c r="AL691" s="47" t="e">
        <f ca="1">IF(PAA_4[[#This Row],[BOLSA]]=0,0,SUMIFS([2]!COMPROMISOS_2024[[#All],[Total Comprometido]],[2]!COMPROMISOS_2024[[#All],[Bolsa]],PAA_4[[#This Row],[BOLSA]],[2]!COMPROMISOS_2024[[#All],[concatenado]],PAA_4[[#This Row],[RCP-RUBRO]]))</f>
        <v>#REF!</v>
      </c>
    </row>
    <row r="692" spans="1:38" s="19" customFormat="1" ht="31.5" customHeight="1">
      <c r="A692" s="47">
        <v>297</v>
      </c>
      <c r="B692" s="47">
        <v>80111600</v>
      </c>
      <c r="C692" s="47" t="str">
        <f>VLOOKUP(PAA_4[[#This Row],[PROYECTO (formulado)2]],[2]PROYECTOS!$G$1:$L$32,6,0)</f>
        <v>SUBGERENCIA DE ALTOS LOGROS Y DEPORTE ASOCIADO</v>
      </c>
      <c r="D692" s="47" t="str">
        <f>+IF(PAA_4[[#This Row],[UNIDAD DE CONTRATACION (formulado)]]="Subgerencia Administrativa y Financiera","FUNCIONAMIENTO","INVERSIÓN")</f>
        <v>INVERSIÓN</v>
      </c>
      <c r="E692" s="48" t="str">
        <f>VLOOKUP(Q692,[2]PROYECTOS!$G$1:$K$32,5,0)</f>
        <v>APOYO_TÉCNICO_Y_PSICOSOCIAL_A_LOS_DEPORTISTAS_DE_ANTIOQUIA</v>
      </c>
      <c r="F692" s="48">
        <f>VLOOKUP(E692,[2]PROYECTOS!$K$1:$M$32,3,0)</f>
        <v>2021003050069</v>
      </c>
      <c r="G692" s="49" t="s">
        <v>239</v>
      </c>
      <c r="H692" s="49" t="str">
        <f>VLOOKUP(Q692,[2]PROYECTOS!$V$1:$W$32,2,0)</f>
        <v>050069</v>
      </c>
      <c r="I692" s="50">
        <v>0</v>
      </c>
      <c r="J692" s="51" t="s">
        <v>1693</v>
      </c>
      <c r="K692" s="47" t="str">
        <f t="shared" ca="1" si="250"/>
        <v>CONTRATADO</v>
      </c>
      <c r="L692" s="47" t="s">
        <v>94</v>
      </c>
      <c r="M692" s="47" t="s">
        <v>1297</v>
      </c>
      <c r="N692" s="52" t="s">
        <v>240</v>
      </c>
      <c r="O692" s="51" t="e">
        <f>VLOOKUP(N692,[2]!RUBROS[#All],3,0)</f>
        <v>#REF!</v>
      </c>
      <c r="P692" s="53" t="e">
        <f>VLOOKUP(N692,[2]!RUBROS[#All],2,0)</f>
        <v>#REF!</v>
      </c>
      <c r="Q692" s="47" t="str">
        <f t="shared" si="249"/>
        <v>22</v>
      </c>
      <c r="R692" s="47" t="str">
        <f t="shared" si="251"/>
        <v>0-205400</v>
      </c>
      <c r="S692" s="54">
        <v>6</v>
      </c>
      <c r="T692" s="59" t="s">
        <v>46</v>
      </c>
      <c r="U692" s="326" t="e">
        <f ca="1">_xlfn.XLOOKUP(PAA_4[[#This Row],[ITEM]],[2]Contrato!A:A,[2]Contrato!Q:Q,"",0)</f>
        <v>#NAME?</v>
      </c>
      <c r="V692" s="47" t="s">
        <v>47</v>
      </c>
      <c r="W692" s="47"/>
      <c r="X692" s="47"/>
      <c r="Y692" s="55" t="e">
        <f ca="1">_xlfn.XLOOKUP(PAA_4[[#This Row],[ITEM]],[2]Contrato!A:A,[2]Contrato!B:B,"",0)</f>
        <v>#NAME?</v>
      </c>
      <c r="Z692" s="47" t="e">
        <f ca="1">_xlfn.XLOOKUP(PAA_4[[#This Row],[ITEM]],[2]Contrato!A:A,[2]Contrato!G:G,"",0)</f>
        <v>#NAME?</v>
      </c>
      <c r="AA692" s="47" t="e">
        <f ca="1">_xlfn.XLOOKUP(PAA_4[[#This Row],[ITEM]],[2]Contrato!A:A,[2]Contrato!T:T,"",0)</f>
        <v>#NAME?</v>
      </c>
      <c r="AB692" s="55" t="e">
        <f ca="1">+MAX(PAA_4[[#This Row],[Comprometido Contrato]],PAA_4[[#This Row],[Comprometido Bolsa]])</f>
        <v>#NAME?</v>
      </c>
      <c r="AC692" s="55" t="str">
        <f t="shared" ca="1" si="252"/>
        <v/>
      </c>
      <c r="AD692" s="55" t="e">
        <f ca="1">IF(PAA_4[[#This Row],[ESTADO (formulado)]]="NO CONTRATADO",0,MAX(PAA_4[[#This Row],[Pago por Contrato]],PAA_4[[#This Row],[Pago por bolsa]]))</f>
        <v>#NAME?</v>
      </c>
      <c r="AE692" s="55" t="str">
        <f t="shared" ca="1" si="253"/>
        <v/>
      </c>
      <c r="AF692" s="47" t="e">
        <f t="shared" ca="1" si="255"/>
        <v>#NAME?</v>
      </c>
      <c r="AG692" s="47">
        <f t="shared" si="254"/>
        <v>41080101</v>
      </c>
      <c r="AH692" s="54" t="str">
        <f>IF(Q692="22",IF(ISNUMBER(SEARCH("econ",PAA_4[[#This Row],[Actividad3]])),"Económico",IF(ISNUMBER(SEARCH("alim",PAA_4[[#This Row],[Actividad3]])),"Alimentación",IF(ISNUMBER(SEARCH("educ",PAA_4[[#This Row],[Actividad3]])),"Educativo","Técnico"))),0)</f>
        <v>Técnico</v>
      </c>
      <c r="AI692" s="47" t="e" cm="1">
        <f t="array" aca="1" ref="AI692" ca="1">_xlfn.XLOOKUP(PAA_4[[#This Row],[RCP-RUBRO]],[2]!COMPROMISOS_2024[[#All],[concatenado]],[2]!COMPROMISOS_2024[[#All],[Total pagado]],"",0)</f>
        <v>#NAME?</v>
      </c>
      <c r="AJ692" s="56" t="e">
        <f ca="1">IF(PAA_4[[#This Row],[BOLSA]]=0,0,SUMIFS([2]!COMPROMISOS_2024[[#All],[Total pagado]],[2]!COMPROMISOS_2024[[#All],[Bolsa]],PAA_4[[#This Row],[BOLSA]],[2]!COMPROMISOS_2024[[#All],[rubro]],PAA_4[[#This Row],[RCP-RUBRO]]))</f>
        <v>#REF!</v>
      </c>
      <c r="AK692" s="47" t="e" cm="1">
        <f t="array" aca="1" ref="AK692" ca="1">_xlfn.XLOOKUP(PAA_4[[#This Row],[RCP-RUBRO]],[2]!COMPROMISOS_2024[[#All],[concatenado]],[2]!COMPROMISOS_2024[[#All],[Total Comprometido]],"",0)</f>
        <v>#NAME?</v>
      </c>
      <c r="AL692" s="47" t="e">
        <f ca="1">IF(PAA_4[[#This Row],[BOLSA]]=0,0,SUMIFS([2]!COMPROMISOS_2024[[#All],[Total Comprometido]],[2]!COMPROMISOS_2024[[#All],[Bolsa]],PAA_4[[#This Row],[BOLSA]],[2]!COMPROMISOS_2024[[#All],[concatenado]],PAA_4[[#This Row],[RCP-RUBRO]]))</f>
        <v>#REF!</v>
      </c>
    </row>
    <row r="693" spans="1:38" s="19" customFormat="1" ht="31.5" customHeight="1">
      <c r="A693" s="47">
        <v>298</v>
      </c>
      <c r="B693" s="47">
        <v>80111600</v>
      </c>
      <c r="C693" s="47" t="str">
        <f>VLOOKUP(PAA_4[[#This Row],[PROYECTO (formulado)2]],[2]PROYECTOS!$G$1:$L$32,6,0)</f>
        <v>SUBGERENCIA DE ALTOS LOGROS Y DEPORTE ASOCIADO</v>
      </c>
      <c r="D693" s="47" t="str">
        <f>+IF(PAA_4[[#This Row],[UNIDAD DE CONTRATACION (formulado)]]="Subgerencia Administrativa y Financiera","FUNCIONAMIENTO","INVERSIÓN")</f>
        <v>INVERSIÓN</v>
      </c>
      <c r="E693" s="48" t="str">
        <f>VLOOKUP(Q693,[2]PROYECTOS!$G$1:$K$32,5,0)</f>
        <v>APOYO_TÉCNICO_Y_PSICOSOCIAL_A_LOS_DEPORTISTAS_DE_ANTIOQUIA</v>
      </c>
      <c r="F693" s="48">
        <f>VLOOKUP(E693,[2]PROYECTOS!$K$1:$M$32,3,0)</f>
        <v>2021003050069</v>
      </c>
      <c r="G693" s="49" t="s">
        <v>239</v>
      </c>
      <c r="H693" s="49" t="str">
        <f>VLOOKUP(Q693,[2]PROYECTOS!$V$1:$W$32,2,0)</f>
        <v>050069</v>
      </c>
      <c r="I693" s="50">
        <v>0</v>
      </c>
      <c r="J693" s="51" t="s">
        <v>1693</v>
      </c>
      <c r="K693" s="47" t="str">
        <f t="shared" ca="1" si="250"/>
        <v>CONTRATADO</v>
      </c>
      <c r="L693" s="47" t="s">
        <v>94</v>
      </c>
      <c r="M693" s="47" t="s">
        <v>1297</v>
      </c>
      <c r="N693" s="52" t="s">
        <v>240</v>
      </c>
      <c r="O693" s="51" t="e">
        <f>VLOOKUP(N693,[2]!RUBROS[#All],3,0)</f>
        <v>#REF!</v>
      </c>
      <c r="P693" s="53" t="e">
        <f>VLOOKUP(N693,[2]!RUBROS[#All],2,0)</f>
        <v>#REF!</v>
      </c>
      <c r="Q693" s="47" t="str">
        <f t="shared" si="249"/>
        <v>22</v>
      </c>
      <c r="R693" s="47" t="str">
        <f t="shared" si="251"/>
        <v>0-205400</v>
      </c>
      <c r="S693" s="54">
        <v>6</v>
      </c>
      <c r="T693" s="59" t="s">
        <v>46</v>
      </c>
      <c r="U693" s="326" t="e">
        <f ca="1">_xlfn.XLOOKUP(PAA_4[[#This Row],[ITEM]],[2]Contrato!A:A,[2]Contrato!Q:Q,"",0)</f>
        <v>#NAME?</v>
      </c>
      <c r="V693" s="47" t="s">
        <v>47</v>
      </c>
      <c r="W693" s="64"/>
      <c r="X693" s="64"/>
      <c r="Y693" s="55" t="e">
        <f ca="1">_xlfn.XLOOKUP(PAA_4[[#This Row],[ITEM]],[2]Contrato!A:A,[2]Contrato!B:B,"",0)</f>
        <v>#NAME?</v>
      </c>
      <c r="Z693" s="47" t="e">
        <f ca="1">_xlfn.XLOOKUP(PAA_4[[#This Row],[ITEM]],[2]Contrato!A:A,[2]Contrato!G:G,"",0)</f>
        <v>#NAME?</v>
      </c>
      <c r="AA693" s="47" t="e">
        <f ca="1">_xlfn.XLOOKUP(PAA_4[[#This Row],[ITEM]],[2]Contrato!A:A,[2]Contrato!T:T,"",0)</f>
        <v>#NAME?</v>
      </c>
      <c r="AB693" s="55" t="e">
        <f ca="1">+MAX(PAA_4[[#This Row],[Comprometido Contrato]],PAA_4[[#This Row],[Comprometido Bolsa]])</f>
        <v>#NAME?</v>
      </c>
      <c r="AC693" s="55" t="str">
        <f t="shared" ca="1" si="252"/>
        <v/>
      </c>
      <c r="AD693" s="55" t="e">
        <f ca="1">IF(PAA_4[[#This Row],[ESTADO (formulado)]]="NO CONTRATADO",0,MAX(PAA_4[[#This Row],[Pago por Contrato]],PAA_4[[#This Row],[Pago por bolsa]]))</f>
        <v>#NAME?</v>
      </c>
      <c r="AE693" s="55" t="str">
        <f t="shared" ca="1" si="253"/>
        <v/>
      </c>
      <c r="AF693" s="47" t="e">
        <f t="shared" ca="1" si="255"/>
        <v>#NAME?</v>
      </c>
      <c r="AG693" s="47">
        <f t="shared" si="254"/>
        <v>41080101</v>
      </c>
      <c r="AH693" s="54" t="str">
        <f>IF(Q693="22",IF(ISNUMBER(SEARCH("econ",PAA_4[[#This Row],[Actividad3]])),"Económico",IF(ISNUMBER(SEARCH("alim",PAA_4[[#This Row],[Actividad3]])),"Alimentación",IF(ISNUMBER(SEARCH("educ",PAA_4[[#This Row],[Actividad3]])),"Educativo","Técnico"))),0)</f>
        <v>Técnico</v>
      </c>
      <c r="AI693" s="47" t="e" cm="1">
        <f t="array" aca="1" ref="AI693" ca="1">_xlfn.XLOOKUP(PAA_4[[#This Row],[RCP-RUBRO]],[2]!COMPROMISOS_2024[[#All],[concatenado]],[2]!COMPROMISOS_2024[[#All],[Total pagado]],"",0)</f>
        <v>#NAME?</v>
      </c>
      <c r="AJ693" s="56" t="e">
        <f ca="1">IF(PAA_4[[#This Row],[BOLSA]]=0,0,SUMIFS([2]!COMPROMISOS_2024[[#All],[Total pagado]],[2]!COMPROMISOS_2024[[#All],[Bolsa]],PAA_4[[#This Row],[BOLSA]],[2]!COMPROMISOS_2024[[#All],[rubro]],PAA_4[[#This Row],[RCP-RUBRO]]))</f>
        <v>#REF!</v>
      </c>
      <c r="AK693" s="47" t="e" cm="1">
        <f t="array" aca="1" ref="AK693" ca="1">_xlfn.XLOOKUP(PAA_4[[#This Row],[RCP-RUBRO]],[2]!COMPROMISOS_2024[[#All],[concatenado]],[2]!COMPROMISOS_2024[[#All],[Total Comprometido]],"",0)</f>
        <v>#NAME?</v>
      </c>
      <c r="AL693" s="47" t="e">
        <f ca="1">IF(PAA_4[[#This Row],[BOLSA]]=0,0,SUMIFS([2]!COMPROMISOS_2024[[#All],[Total Comprometido]],[2]!COMPROMISOS_2024[[#All],[Bolsa]],PAA_4[[#This Row],[BOLSA]],[2]!COMPROMISOS_2024[[#All],[concatenado]],PAA_4[[#This Row],[RCP-RUBRO]]))</f>
        <v>#REF!</v>
      </c>
    </row>
    <row r="694" spans="1:38" s="19" customFormat="1" ht="31.5" customHeight="1">
      <c r="A694" s="47">
        <v>299</v>
      </c>
      <c r="B694" s="47">
        <v>80111600</v>
      </c>
      <c r="C694" s="47" t="str">
        <f>VLOOKUP(PAA_4[[#This Row],[PROYECTO (formulado)2]],[2]PROYECTOS!$G$1:$L$32,6,0)</f>
        <v>SUBGERENCIA DE ALTOS LOGROS Y DEPORTE ASOCIADO</v>
      </c>
      <c r="D694" s="47" t="str">
        <f>+IF(PAA_4[[#This Row],[UNIDAD DE CONTRATACION (formulado)]]="Subgerencia Administrativa y Financiera","FUNCIONAMIENTO","INVERSIÓN")</f>
        <v>INVERSIÓN</v>
      </c>
      <c r="E694" s="48" t="str">
        <f>VLOOKUP(Q694,[2]PROYECTOS!$G$1:$K$32,5,0)</f>
        <v>APOYO_TÉCNICO_Y_PSICOSOCIAL_A_LOS_DEPORTISTAS_DE_ANTIOQUIA</v>
      </c>
      <c r="F694" s="48">
        <f>VLOOKUP(E694,[2]PROYECTOS!$K$1:$M$32,3,0)</f>
        <v>2021003050069</v>
      </c>
      <c r="G694" s="49" t="s">
        <v>239</v>
      </c>
      <c r="H694" s="49" t="str">
        <f>VLOOKUP(Q694,[2]PROYECTOS!$V$1:$W$32,2,0)</f>
        <v>050069</v>
      </c>
      <c r="I694" s="50">
        <v>0</v>
      </c>
      <c r="J694" s="51" t="s">
        <v>1693</v>
      </c>
      <c r="K694" s="47" t="str">
        <f t="shared" ca="1" si="250"/>
        <v>CONTRATADO</v>
      </c>
      <c r="L694" s="47" t="s">
        <v>94</v>
      </c>
      <c r="M694" s="47" t="s">
        <v>1297</v>
      </c>
      <c r="N694" s="52" t="s">
        <v>240</v>
      </c>
      <c r="O694" s="51" t="e">
        <f>VLOOKUP(N694,[2]!RUBROS[#All],3,0)</f>
        <v>#REF!</v>
      </c>
      <c r="P694" s="53" t="e">
        <f>VLOOKUP(N694,[2]!RUBROS[#All],2,0)</f>
        <v>#REF!</v>
      </c>
      <c r="Q694" s="47" t="str">
        <f t="shared" si="249"/>
        <v>22</v>
      </c>
      <c r="R694" s="47" t="str">
        <f t="shared" si="251"/>
        <v>0-205400</v>
      </c>
      <c r="S694" s="54">
        <v>6</v>
      </c>
      <c r="T694" s="59" t="s">
        <v>46</v>
      </c>
      <c r="U694" s="326" t="e">
        <f ca="1">_xlfn.XLOOKUP(PAA_4[[#This Row],[ITEM]],[2]Contrato!A:A,[2]Contrato!Q:Q,"",0)</f>
        <v>#NAME?</v>
      </c>
      <c r="V694" s="47" t="s">
        <v>47</v>
      </c>
      <c r="W694" s="64"/>
      <c r="X694" s="64"/>
      <c r="Y694" s="55" t="e">
        <f ca="1">_xlfn.XLOOKUP(PAA_4[[#This Row],[ITEM]],[2]Contrato!A:A,[2]Contrato!B:B,"",0)</f>
        <v>#NAME?</v>
      </c>
      <c r="Z694" s="47" t="e">
        <f ca="1">_xlfn.XLOOKUP(PAA_4[[#This Row],[ITEM]],[2]Contrato!A:A,[2]Contrato!G:G,"",0)</f>
        <v>#NAME?</v>
      </c>
      <c r="AA694" s="47" t="e">
        <f ca="1">_xlfn.XLOOKUP(PAA_4[[#This Row],[ITEM]],[2]Contrato!A:A,[2]Contrato!T:T,"",0)</f>
        <v>#NAME?</v>
      </c>
      <c r="AB694" s="55" t="e">
        <f ca="1">+MAX(PAA_4[[#This Row],[Comprometido Contrato]],PAA_4[[#This Row],[Comprometido Bolsa]])</f>
        <v>#NAME?</v>
      </c>
      <c r="AC694" s="55" t="str">
        <f t="shared" ca="1" si="252"/>
        <v/>
      </c>
      <c r="AD694" s="55" t="e">
        <f ca="1">IF(PAA_4[[#This Row],[ESTADO (formulado)]]="NO CONTRATADO",0,MAX(PAA_4[[#This Row],[Pago por Contrato]],PAA_4[[#This Row],[Pago por bolsa]]))</f>
        <v>#NAME?</v>
      </c>
      <c r="AE694" s="55" t="str">
        <f t="shared" ca="1" si="253"/>
        <v/>
      </c>
      <c r="AF694" s="47" t="e">
        <f t="shared" ca="1" si="255"/>
        <v>#NAME?</v>
      </c>
      <c r="AG694" s="47">
        <f t="shared" si="254"/>
        <v>41080101</v>
      </c>
      <c r="AH694" s="54" t="str">
        <f>IF(Q694="22",IF(ISNUMBER(SEARCH("econ",PAA_4[[#This Row],[Actividad3]])),"Económico",IF(ISNUMBER(SEARCH("alim",PAA_4[[#This Row],[Actividad3]])),"Alimentación",IF(ISNUMBER(SEARCH("educ",PAA_4[[#This Row],[Actividad3]])),"Educativo","Técnico"))),0)</f>
        <v>Técnico</v>
      </c>
      <c r="AI694" s="47" t="e" cm="1">
        <f t="array" aca="1" ref="AI694" ca="1">_xlfn.XLOOKUP(PAA_4[[#This Row],[RCP-RUBRO]],[2]!COMPROMISOS_2024[[#All],[concatenado]],[2]!COMPROMISOS_2024[[#All],[Total pagado]],"",0)</f>
        <v>#NAME?</v>
      </c>
      <c r="AJ694" s="56" t="e">
        <f ca="1">IF(PAA_4[[#This Row],[BOLSA]]=0,0,SUMIFS([2]!COMPROMISOS_2024[[#All],[Total pagado]],[2]!COMPROMISOS_2024[[#All],[Bolsa]],PAA_4[[#This Row],[BOLSA]],[2]!COMPROMISOS_2024[[#All],[rubro]],PAA_4[[#This Row],[RCP-RUBRO]]))</f>
        <v>#REF!</v>
      </c>
      <c r="AK694" s="47" t="e" cm="1">
        <f t="array" aca="1" ref="AK694" ca="1">_xlfn.XLOOKUP(PAA_4[[#This Row],[RCP-RUBRO]],[2]!COMPROMISOS_2024[[#All],[concatenado]],[2]!COMPROMISOS_2024[[#All],[Total Comprometido]],"",0)</f>
        <v>#NAME?</v>
      </c>
      <c r="AL694" s="47" t="e">
        <f ca="1">IF(PAA_4[[#This Row],[BOLSA]]=0,0,SUMIFS([2]!COMPROMISOS_2024[[#All],[Total Comprometido]],[2]!COMPROMISOS_2024[[#All],[Bolsa]],PAA_4[[#This Row],[BOLSA]],[2]!COMPROMISOS_2024[[#All],[concatenado]],PAA_4[[#This Row],[RCP-RUBRO]]))</f>
        <v>#REF!</v>
      </c>
    </row>
    <row r="695" spans="1:38" s="19" customFormat="1" ht="31.5" customHeight="1">
      <c r="A695" s="47">
        <v>300</v>
      </c>
      <c r="B695" s="47">
        <v>80111600</v>
      </c>
      <c r="C695" s="47" t="str">
        <f>VLOOKUP(PAA_4[[#This Row],[PROYECTO (formulado)2]],[2]PROYECTOS!$G$1:$L$32,6,0)</f>
        <v>SUBGERENCIA DE ALTOS LOGROS Y DEPORTE ASOCIADO</v>
      </c>
      <c r="D695" s="47" t="str">
        <f>+IF(PAA_4[[#This Row],[UNIDAD DE CONTRATACION (formulado)]]="Subgerencia Administrativa y Financiera","FUNCIONAMIENTO","INVERSIÓN")</f>
        <v>INVERSIÓN</v>
      </c>
      <c r="E695" s="48" t="str">
        <f>VLOOKUP(Q695,[2]PROYECTOS!$G$1:$K$32,5,0)</f>
        <v>APOYO_TÉCNICO_Y_PSICOSOCIAL_A_LOS_DEPORTISTAS_DE_ANTIOQUIA</v>
      </c>
      <c r="F695" s="48">
        <f>VLOOKUP(E695,[2]PROYECTOS!$K$1:$M$32,3,0)</f>
        <v>2021003050069</v>
      </c>
      <c r="G695" s="49" t="s">
        <v>239</v>
      </c>
      <c r="H695" s="49" t="str">
        <f>VLOOKUP(Q695,[2]PROYECTOS!$V$1:$W$32,2,0)</f>
        <v>050069</v>
      </c>
      <c r="I695" s="50">
        <v>0</v>
      </c>
      <c r="J695" s="51" t="s">
        <v>1693</v>
      </c>
      <c r="K695" s="47" t="str">
        <f t="shared" ca="1" si="250"/>
        <v>CONTRATADO</v>
      </c>
      <c r="L695" s="47" t="s">
        <v>94</v>
      </c>
      <c r="M695" s="47" t="s">
        <v>1297</v>
      </c>
      <c r="N695" s="52" t="s">
        <v>240</v>
      </c>
      <c r="O695" s="51" t="e">
        <f>VLOOKUP(N695,[2]!RUBROS[#All],3,0)</f>
        <v>#REF!</v>
      </c>
      <c r="P695" s="53" t="e">
        <f>VLOOKUP(N695,[2]!RUBROS[#All],2,0)</f>
        <v>#REF!</v>
      </c>
      <c r="Q695" s="47" t="str">
        <f t="shared" si="249"/>
        <v>22</v>
      </c>
      <c r="R695" s="47" t="str">
        <f t="shared" si="251"/>
        <v>0-205400</v>
      </c>
      <c r="S695" s="54">
        <v>6</v>
      </c>
      <c r="T695" s="59" t="s">
        <v>46</v>
      </c>
      <c r="U695" s="326" t="e">
        <f ca="1">_xlfn.XLOOKUP(PAA_4[[#This Row],[ITEM]],[2]Contrato!A:A,[2]Contrato!Q:Q,"",0)</f>
        <v>#NAME?</v>
      </c>
      <c r="V695" s="47" t="s">
        <v>47</v>
      </c>
      <c r="W695" s="47"/>
      <c r="X695" s="47"/>
      <c r="Y695" s="55" t="e">
        <f ca="1">_xlfn.XLOOKUP(PAA_4[[#This Row],[ITEM]],[2]Contrato!A:A,[2]Contrato!B:B,"",0)</f>
        <v>#NAME?</v>
      </c>
      <c r="Z695" s="47" t="e">
        <f ca="1">_xlfn.XLOOKUP(PAA_4[[#This Row],[ITEM]],[2]Contrato!A:A,[2]Contrato!G:G,"",0)</f>
        <v>#NAME?</v>
      </c>
      <c r="AA695" s="47" t="e">
        <f ca="1">_xlfn.XLOOKUP(PAA_4[[#This Row],[ITEM]],[2]Contrato!A:A,[2]Contrato!T:T,"",0)</f>
        <v>#NAME?</v>
      </c>
      <c r="AB695" s="55" t="e">
        <f ca="1">+MAX(PAA_4[[#This Row],[Comprometido Contrato]],PAA_4[[#This Row],[Comprometido Bolsa]])</f>
        <v>#NAME?</v>
      </c>
      <c r="AC695" s="55" t="str">
        <f t="shared" ca="1" si="252"/>
        <v/>
      </c>
      <c r="AD695" s="55" t="e">
        <f ca="1">IF(PAA_4[[#This Row],[ESTADO (formulado)]]="NO CONTRATADO",0,MAX(PAA_4[[#This Row],[Pago por Contrato]],PAA_4[[#This Row],[Pago por bolsa]]))</f>
        <v>#NAME?</v>
      </c>
      <c r="AE695" s="55" t="str">
        <f t="shared" ca="1" si="253"/>
        <v/>
      </c>
      <c r="AF695" s="47" t="e">
        <f t="shared" ca="1" si="255"/>
        <v>#NAME?</v>
      </c>
      <c r="AG695" s="47">
        <f t="shared" si="254"/>
        <v>41080101</v>
      </c>
      <c r="AH695" s="54" t="str">
        <f>IF(Q695="22",IF(ISNUMBER(SEARCH("econ",PAA_4[[#This Row],[Actividad3]])),"Económico",IF(ISNUMBER(SEARCH("alim",PAA_4[[#This Row],[Actividad3]])),"Alimentación",IF(ISNUMBER(SEARCH("educ",PAA_4[[#This Row],[Actividad3]])),"Educativo","Técnico"))),0)</f>
        <v>Técnico</v>
      </c>
      <c r="AI695" s="47" t="e" cm="1">
        <f t="array" aca="1" ref="AI695" ca="1">_xlfn.XLOOKUP(PAA_4[[#This Row],[RCP-RUBRO]],[2]!COMPROMISOS_2024[[#All],[concatenado]],[2]!COMPROMISOS_2024[[#All],[Total pagado]],"",0)</f>
        <v>#NAME?</v>
      </c>
      <c r="AJ695" s="56" t="e">
        <f ca="1">IF(PAA_4[[#This Row],[BOLSA]]=0,0,SUMIFS([2]!COMPROMISOS_2024[[#All],[Total pagado]],[2]!COMPROMISOS_2024[[#All],[Bolsa]],PAA_4[[#This Row],[BOLSA]],[2]!COMPROMISOS_2024[[#All],[rubro]],PAA_4[[#This Row],[RCP-RUBRO]]))</f>
        <v>#REF!</v>
      </c>
      <c r="AK695" s="47" t="e" cm="1">
        <f t="array" aca="1" ref="AK695" ca="1">_xlfn.XLOOKUP(PAA_4[[#This Row],[RCP-RUBRO]],[2]!COMPROMISOS_2024[[#All],[concatenado]],[2]!COMPROMISOS_2024[[#All],[Total Comprometido]],"",0)</f>
        <v>#NAME?</v>
      </c>
      <c r="AL695" s="47" t="e">
        <f ca="1">IF(PAA_4[[#This Row],[BOLSA]]=0,0,SUMIFS([2]!COMPROMISOS_2024[[#All],[Total Comprometido]],[2]!COMPROMISOS_2024[[#All],[Bolsa]],PAA_4[[#This Row],[BOLSA]],[2]!COMPROMISOS_2024[[#All],[concatenado]],PAA_4[[#This Row],[RCP-RUBRO]]))</f>
        <v>#REF!</v>
      </c>
    </row>
    <row r="696" spans="1:38" s="19" customFormat="1" ht="31.5" customHeight="1">
      <c r="A696" s="47">
        <v>301</v>
      </c>
      <c r="B696" s="47">
        <v>80111600</v>
      </c>
      <c r="C696" s="47" t="str">
        <f>VLOOKUP(PAA_4[[#This Row],[PROYECTO (formulado)2]],[2]PROYECTOS!$G$1:$L$32,6,0)</f>
        <v>SUBGERENCIA DE ALTOS LOGROS Y DEPORTE ASOCIADO</v>
      </c>
      <c r="D696" s="47" t="str">
        <f>+IF(PAA_4[[#This Row],[UNIDAD DE CONTRATACION (formulado)]]="Subgerencia Administrativa y Financiera","FUNCIONAMIENTO","INVERSIÓN")</f>
        <v>INVERSIÓN</v>
      </c>
      <c r="E696" s="48" t="str">
        <f>VLOOKUP(Q696,[2]PROYECTOS!$G$1:$K$32,5,0)</f>
        <v>APOYO_TÉCNICO_Y_PSICOSOCIAL_A_LOS_DEPORTISTAS_DE_ANTIOQUIA</v>
      </c>
      <c r="F696" s="48">
        <f>VLOOKUP(E696,[2]PROYECTOS!$K$1:$M$32,3,0)</f>
        <v>2021003050069</v>
      </c>
      <c r="G696" s="49" t="s">
        <v>239</v>
      </c>
      <c r="H696" s="49" t="str">
        <f>VLOOKUP(Q696,[2]PROYECTOS!$V$1:$W$32,2,0)</f>
        <v>050069</v>
      </c>
      <c r="I696" s="50">
        <v>0</v>
      </c>
      <c r="J696" s="51" t="s">
        <v>1693</v>
      </c>
      <c r="K696" s="47" t="str">
        <f t="shared" ca="1" si="250"/>
        <v>CONTRATADO</v>
      </c>
      <c r="L696" s="47" t="s">
        <v>94</v>
      </c>
      <c r="M696" s="47" t="s">
        <v>1297</v>
      </c>
      <c r="N696" s="52" t="s">
        <v>240</v>
      </c>
      <c r="O696" s="51" t="e">
        <f>VLOOKUP(N696,[2]!RUBROS[#All],3,0)</f>
        <v>#REF!</v>
      </c>
      <c r="P696" s="53" t="e">
        <f>VLOOKUP(N696,[2]!RUBROS[#All],2,0)</f>
        <v>#REF!</v>
      </c>
      <c r="Q696" s="47" t="str">
        <f t="shared" si="249"/>
        <v>22</v>
      </c>
      <c r="R696" s="47" t="str">
        <f t="shared" si="251"/>
        <v>0-205400</v>
      </c>
      <c r="S696" s="54">
        <v>6</v>
      </c>
      <c r="T696" s="59" t="s">
        <v>46</v>
      </c>
      <c r="U696" s="326" t="e">
        <f ca="1">_xlfn.XLOOKUP(PAA_4[[#This Row],[ITEM]],[2]Contrato!A:A,[2]Contrato!Q:Q,"",0)</f>
        <v>#NAME?</v>
      </c>
      <c r="V696" s="47" t="s">
        <v>47</v>
      </c>
      <c r="W696" s="47"/>
      <c r="X696" s="47"/>
      <c r="Y696" s="55" t="e">
        <f ca="1">_xlfn.XLOOKUP(PAA_4[[#This Row],[ITEM]],[2]Contrato!A:A,[2]Contrato!B:B,"",0)</f>
        <v>#NAME?</v>
      </c>
      <c r="Z696" s="47" t="e">
        <f ca="1">_xlfn.XLOOKUP(PAA_4[[#This Row],[ITEM]],[2]Contrato!A:A,[2]Contrato!G:G,"",0)</f>
        <v>#NAME?</v>
      </c>
      <c r="AA696" s="47" t="e">
        <f ca="1">_xlfn.XLOOKUP(PAA_4[[#This Row],[ITEM]],[2]Contrato!A:A,[2]Contrato!T:T,"",0)</f>
        <v>#NAME?</v>
      </c>
      <c r="AB696" s="55" t="e">
        <f ca="1">+MAX(PAA_4[[#This Row],[Comprometido Contrato]],PAA_4[[#This Row],[Comprometido Bolsa]])</f>
        <v>#NAME?</v>
      </c>
      <c r="AC696" s="55" t="str">
        <f t="shared" ca="1" si="252"/>
        <v/>
      </c>
      <c r="AD696" s="55" t="e">
        <f ca="1">IF(PAA_4[[#This Row],[ESTADO (formulado)]]="NO CONTRATADO",0,MAX(PAA_4[[#This Row],[Pago por Contrato]],PAA_4[[#This Row],[Pago por bolsa]]))</f>
        <v>#NAME?</v>
      </c>
      <c r="AE696" s="55" t="str">
        <f t="shared" ca="1" si="253"/>
        <v/>
      </c>
      <c r="AF696" s="47" t="e">
        <f t="shared" ca="1" si="255"/>
        <v>#NAME?</v>
      </c>
      <c r="AG696" s="47">
        <f t="shared" si="254"/>
        <v>41080101</v>
      </c>
      <c r="AH696" s="54" t="str">
        <f>IF(Q696="22",IF(ISNUMBER(SEARCH("econ",PAA_4[[#This Row],[Actividad3]])),"Económico",IF(ISNUMBER(SEARCH("alim",PAA_4[[#This Row],[Actividad3]])),"Alimentación",IF(ISNUMBER(SEARCH("educ",PAA_4[[#This Row],[Actividad3]])),"Educativo","Técnico"))),0)</f>
        <v>Técnico</v>
      </c>
      <c r="AI696" s="47" t="e" cm="1">
        <f t="array" aca="1" ref="AI696" ca="1">_xlfn.XLOOKUP(PAA_4[[#This Row],[RCP-RUBRO]],[2]!COMPROMISOS_2024[[#All],[concatenado]],[2]!COMPROMISOS_2024[[#All],[Total pagado]],"",0)</f>
        <v>#NAME?</v>
      </c>
      <c r="AJ696" s="56" t="e">
        <f ca="1">IF(PAA_4[[#This Row],[BOLSA]]=0,0,SUMIFS([2]!COMPROMISOS_2024[[#All],[Total pagado]],[2]!COMPROMISOS_2024[[#All],[Bolsa]],PAA_4[[#This Row],[BOLSA]],[2]!COMPROMISOS_2024[[#All],[rubro]],PAA_4[[#This Row],[RCP-RUBRO]]))</f>
        <v>#REF!</v>
      </c>
      <c r="AK696" s="47" t="e" cm="1">
        <f t="array" aca="1" ref="AK696" ca="1">_xlfn.XLOOKUP(PAA_4[[#This Row],[RCP-RUBRO]],[2]!COMPROMISOS_2024[[#All],[concatenado]],[2]!COMPROMISOS_2024[[#All],[Total Comprometido]],"",0)</f>
        <v>#NAME?</v>
      </c>
      <c r="AL696" s="47" t="e">
        <f ca="1">IF(PAA_4[[#This Row],[BOLSA]]=0,0,SUMIFS([2]!COMPROMISOS_2024[[#All],[Total Comprometido]],[2]!COMPROMISOS_2024[[#All],[Bolsa]],PAA_4[[#This Row],[BOLSA]],[2]!COMPROMISOS_2024[[#All],[concatenado]],PAA_4[[#This Row],[RCP-RUBRO]]))</f>
        <v>#REF!</v>
      </c>
    </row>
    <row r="697" spans="1:38" s="19" customFormat="1" ht="31.5" customHeight="1">
      <c r="A697" s="47">
        <v>302</v>
      </c>
      <c r="B697" s="47">
        <v>80111600</v>
      </c>
      <c r="C697" s="47" t="str">
        <f>VLOOKUP(PAA_4[[#This Row],[PROYECTO (formulado)2]],[2]PROYECTOS!$G$1:$L$32,6,0)</f>
        <v>SUBGERENCIA DE ALTOS LOGROS Y DEPORTE ASOCIADO</v>
      </c>
      <c r="D697" s="47" t="str">
        <f>+IF(PAA_4[[#This Row],[UNIDAD DE CONTRATACION (formulado)]]="Subgerencia Administrativa y Financiera","FUNCIONAMIENTO","INVERSIÓN")</f>
        <v>INVERSIÓN</v>
      </c>
      <c r="E697" s="48" t="str">
        <f>VLOOKUP(Q697,[2]PROYECTOS!$G$1:$K$32,5,0)</f>
        <v>APOYO_TÉCNICO_Y_PSICOSOCIAL_A_LOS_DEPORTISTAS_DE_ANTIOQUIA</v>
      </c>
      <c r="F697" s="48">
        <f>VLOOKUP(E697,[2]PROYECTOS!$K$1:$M$32,3,0)</f>
        <v>2021003050069</v>
      </c>
      <c r="G697" s="49" t="s">
        <v>239</v>
      </c>
      <c r="H697" s="49" t="str">
        <f>VLOOKUP(Q697,[2]PROYECTOS!$V$1:$W$32,2,0)</f>
        <v>050069</v>
      </c>
      <c r="I697" s="50">
        <v>0</v>
      </c>
      <c r="J697" s="51" t="s">
        <v>1693</v>
      </c>
      <c r="K697" s="47" t="str">
        <f t="shared" ca="1" si="250"/>
        <v>CONTRATADO</v>
      </c>
      <c r="L697" s="47" t="s">
        <v>94</v>
      </c>
      <c r="M697" s="47" t="s">
        <v>1297</v>
      </c>
      <c r="N697" s="52" t="s">
        <v>240</v>
      </c>
      <c r="O697" s="51" t="e">
        <f>VLOOKUP(N697,[2]!RUBROS[#All],3,0)</f>
        <v>#REF!</v>
      </c>
      <c r="P697" s="53" t="e">
        <f>VLOOKUP(N697,[2]!RUBROS[#All],2,0)</f>
        <v>#REF!</v>
      </c>
      <c r="Q697" s="47" t="str">
        <f t="shared" si="249"/>
        <v>22</v>
      </c>
      <c r="R697" s="47" t="str">
        <f t="shared" si="251"/>
        <v>0-205400</v>
      </c>
      <c r="S697" s="54">
        <v>6</v>
      </c>
      <c r="T697" s="59" t="s">
        <v>46</v>
      </c>
      <c r="U697" s="326" t="e">
        <f ca="1">_xlfn.XLOOKUP(PAA_4[[#This Row],[ITEM]],[2]Contrato!A:A,[2]Contrato!Q:Q,"",0)</f>
        <v>#NAME?</v>
      </c>
      <c r="V697" s="47" t="s">
        <v>47</v>
      </c>
      <c r="W697" s="64"/>
      <c r="X697" s="64"/>
      <c r="Y697" s="55" t="e">
        <f ca="1">_xlfn.XLOOKUP(PAA_4[[#This Row],[ITEM]],[2]Contrato!A:A,[2]Contrato!B:B,"",0)</f>
        <v>#NAME?</v>
      </c>
      <c r="Z697" s="47" t="e">
        <f ca="1">_xlfn.XLOOKUP(PAA_4[[#This Row],[ITEM]],[2]Contrato!A:A,[2]Contrato!G:G,"",0)</f>
        <v>#NAME?</v>
      </c>
      <c r="AA697" s="47" t="e">
        <f ca="1">_xlfn.XLOOKUP(PAA_4[[#This Row],[ITEM]],[2]Contrato!A:A,[2]Contrato!T:T,"",0)</f>
        <v>#NAME?</v>
      </c>
      <c r="AB697" s="55" t="e">
        <f ca="1">+MAX(PAA_4[[#This Row],[Comprometido Contrato]],PAA_4[[#This Row],[Comprometido Bolsa]])</f>
        <v>#NAME?</v>
      </c>
      <c r="AC697" s="55" t="str">
        <f t="shared" ca="1" si="252"/>
        <v/>
      </c>
      <c r="AD697" s="55" t="e">
        <f ca="1">IF(PAA_4[[#This Row],[ESTADO (formulado)]]="NO CONTRATADO",0,MAX(PAA_4[[#This Row],[Pago por Contrato]],PAA_4[[#This Row],[Pago por bolsa]]))</f>
        <v>#NAME?</v>
      </c>
      <c r="AE697" s="55" t="str">
        <f t="shared" ca="1" si="253"/>
        <v/>
      </c>
      <c r="AF697" s="47" t="e">
        <f t="shared" ca="1" si="255"/>
        <v>#NAME?</v>
      </c>
      <c r="AG697" s="47">
        <f t="shared" si="254"/>
        <v>41080101</v>
      </c>
      <c r="AH697" s="54" t="str">
        <f>IF(Q697="22",IF(ISNUMBER(SEARCH("econ",PAA_4[[#This Row],[Actividad3]])),"Económico",IF(ISNUMBER(SEARCH("alim",PAA_4[[#This Row],[Actividad3]])),"Alimentación",IF(ISNUMBER(SEARCH("educ",PAA_4[[#This Row],[Actividad3]])),"Educativo","Técnico"))),0)</f>
        <v>Técnico</v>
      </c>
      <c r="AI697" s="47" t="e" cm="1">
        <f t="array" aca="1" ref="AI697" ca="1">_xlfn.XLOOKUP(PAA_4[[#This Row],[RCP-RUBRO]],[2]!COMPROMISOS_2024[[#All],[concatenado]],[2]!COMPROMISOS_2024[[#All],[Total pagado]],"",0)</f>
        <v>#NAME?</v>
      </c>
      <c r="AJ697" s="56" t="e">
        <f ca="1">IF(PAA_4[[#This Row],[BOLSA]]=0,0,SUMIFS([2]!COMPROMISOS_2024[[#All],[Total pagado]],[2]!COMPROMISOS_2024[[#All],[Bolsa]],PAA_4[[#This Row],[BOLSA]],[2]!COMPROMISOS_2024[[#All],[rubro]],PAA_4[[#This Row],[RCP-RUBRO]]))</f>
        <v>#REF!</v>
      </c>
      <c r="AK697" s="47" t="e" cm="1">
        <f t="array" aca="1" ref="AK697" ca="1">_xlfn.XLOOKUP(PAA_4[[#This Row],[RCP-RUBRO]],[2]!COMPROMISOS_2024[[#All],[concatenado]],[2]!COMPROMISOS_2024[[#All],[Total Comprometido]],"",0)</f>
        <v>#NAME?</v>
      </c>
      <c r="AL697" s="47" t="e">
        <f ca="1">IF(PAA_4[[#This Row],[BOLSA]]=0,0,SUMIFS([2]!COMPROMISOS_2024[[#All],[Total Comprometido]],[2]!COMPROMISOS_2024[[#All],[Bolsa]],PAA_4[[#This Row],[BOLSA]],[2]!COMPROMISOS_2024[[#All],[concatenado]],PAA_4[[#This Row],[RCP-RUBRO]]))</f>
        <v>#REF!</v>
      </c>
    </row>
    <row r="698" spans="1:38" s="19" customFormat="1" ht="31.5" customHeight="1">
      <c r="A698" s="47">
        <v>303</v>
      </c>
      <c r="B698" s="47">
        <v>80111600</v>
      </c>
      <c r="C698" s="47" t="str">
        <f>VLOOKUP(PAA_4[[#This Row],[PROYECTO (formulado)2]],[2]PROYECTOS!$G$1:$L$32,6,0)</f>
        <v>SUBGERENCIA DE ALTOS LOGROS Y DEPORTE ASOCIADO</v>
      </c>
      <c r="D698" s="47" t="str">
        <f>+IF(PAA_4[[#This Row],[UNIDAD DE CONTRATACION (formulado)]]="Subgerencia Administrativa y Financiera","FUNCIONAMIENTO","INVERSIÓN")</f>
        <v>INVERSIÓN</v>
      </c>
      <c r="E698" s="48" t="str">
        <f>VLOOKUP(Q698,[2]PROYECTOS!$G$1:$K$32,5,0)</f>
        <v>APOYO_TÉCNICO_Y_PSICOSOCIAL_A_LOS_DEPORTISTAS_DE_ANTIOQUIA</v>
      </c>
      <c r="F698" s="48">
        <f>VLOOKUP(E698,[2]PROYECTOS!$K$1:$M$32,3,0)</f>
        <v>2021003050069</v>
      </c>
      <c r="G698" s="49" t="s">
        <v>239</v>
      </c>
      <c r="H698" s="49" t="str">
        <f>VLOOKUP(Q698,[2]PROYECTOS!$V$1:$W$32,2,0)</f>
        <v>050069</v>
      </c>
      <c r="I698" s="50">
        <v>0</v>
      </c>
      <c r="J698" s="51" t="s">
        <v>1693</v>
      </c>
      <c r="K698" s="47" t="str">
        <f t="shared" ca="1" si="250"/>
        <v>CONTRATADO</v>
      </c>
      <c r="L698" s="47" t="s">
        <v>94</v>
      </c>
      <c r="M698" s="47" t="s">
        <v>1297</v>
      </c>
      <c r="N698" s="52" t="s">
        <v>240</v>
      </c>
      <c r="O698" s="51" t="e">
        <f>VLOOKUP(N698,[2]!RUBROS[#All],3,0)</f>
        <v>#REF!</v>
      </c>
      <c r="P698" s="53" t="e">
        <f>VLOOKUP(N698,[2]!RUBROS[#All],2,0)</f>
        <v>#REF!</v>
      </c>
      <c r="Q698" s="47" t="str">
        <f t="shared" si="249"/>
        <v>22</v>
      </c>
      <c r="R698" s="47" t="str">
        <f t="shared" si="251"/>
        <v>0-205400</v>
      </c>
      <c r="S698" s="54">
        <v>6</v>
      </c>
      <c r="T698" s="59" t="s">
        <v>46</v>
      </c>
      <c r="U698" s="326" t="e">
        <f ca="1">_xlfn.XLOOKUP(PAA_4[[#This Row],[ITEM]],[2]Contrato!A:A,[2]Contrato!Q:Q,"",0)</f>
        <v>#NAME?</v>
      </c>
      <c r="V698" s="47" t="s">
        <v>47</v>
      </c>
      <c r="W698" s="64"/>
      <c r="X698" s="64"/>
      <c r="Y698" s="55" t="e">
        <f ca="1">_xlfn.XLOOKUP(PAA_4[[#This Row],[ITEM]],[2]Contrato!A:A,[2]Contrato!B:B,"",0)</f>
        <v>#NAME?</v>
      </c>
      <c r="Z698" s="47" t="e">
        <f ca="1">_xlfn.XLOOKUP(PAA_4[[#This Row],[ITEM]],[2]Contrato!A:A,[2]Contrato!G:G,"",0)</f>
        <v>#NAME?</v>
      </c>
      <c r="AA698" s="47" t="e">
        <f ca="1">_xlfn.XLOOKUP(PAA_4[[#This Row],[ITEM]],[2]Contrato!A:A,[2]Contrato!T:T,"",0)</f>
        <v>#NAME?</v>
      </c>
      <c r="AB698" s="55" t="e">
        <f ca="1">+MAX(PAA_4[[#This Row],[Comprometido Contrato]],PAA_4[[#This Row],[Comprometido Bolsa]])</f>
        <v>#NAME?</v>
      </c>
      <c r="AC698" s="55" t="str">
        <f t="shared" ca="1" si="252"/>
        <v/>
      </c>
      <c r="AD698" s="55" t="e">
        <f ca="1">IF(PAA_4[[#This Row],[ESTADO (formulado)]]="NO CONTRATADO",0,MAX(PAA_4[[#This Row],[Pago por Contrato]],PAA_4[[#This Row],[Pago por bolsa]]))</f>
        <v>#NAME?</v>
      </c>
      <c r="AE698" s="55" t="str">
        <f t="shared" ca="1" si="253"/>
        <v/>
      </c>
      <c r="AF698" s="47" t="e">
        <f t="shared" ca="1" si="255"/>
        <v>#NAME?</v>
      </c>
      <c r="AG698" s="47">
        <f t="shared" si="254"/>
        <v>41080101</v>
      </c>
      <c r="AH698" s="54" t="str">
        <f>IF(Q698="22",IF(ISNUMBER(SEARCH("econ",PAA_4[[#This Row],[Actividad3]])),"Económico",IF(ISNUMBER(SEARCH("alim",PAA_4[[#This Row],[Actividad3]])),"Alimentación",IF(ISNUMBER(SEARCH("educ",PAA_4[[#This Row],[Actividad3]])),"Educativo","Técnico"))),0)</f>
        <v>Técnico</v>
      </c>
      <c r="AI698" s="47" t="e" cm="1">
        <f t="array" aca="1" ref="AI698" ca="1">_xlfn.XLOOKUP(PAA_4[[#This Row],[RCP-RUBRO]],[2]!COMPROMISOS_2024[[#All],[concatenado]],[2]!COMPROMISOS_2024[[#All],[Total pagado]],"",0)</f>
        <v>#NAME?</v>
      </c>
      <c r="AJ698" s="56" t="e">
        <f ca="1">IF(PAA_4[[#This Row],[BOLSA]]=0,0,SUMIFS([2]!COMPROMISOS_2024[[#All],[Total pagado]],[2]!COMPROMISOS_2024[[#All],[Bolsa]],PAA_4[[#This Row],[BOLSA]],[2]!COMPROMISOS_2024[[#All],[rubro]],PAA_4[[#This Row],[RCP-RUBRO]]))</f>
        <v>#REF!</v>
      </c>
      <c r="AK698" s="47" t="e" cm="1">
        <f t="array" aca="1" ref="AK698" ca="1">_xlfn.XLOOKUP(PAA_4[[#This Row],[RCP-RUBRO]],[2]!COMPROMISOS_2024[[#All],[concatenado]],[2]!COMPROMISOS_2024[[#All],[Total Comprometido]],"",0)</f>
        <v>#NAME?</v>
      </c>
      <c r="AL698" s="47" t="e">
        <f ca="1">IF(PAA_4[[#This Row],[BOLSA]]=0,0,SUMIFS([2]!COMPROMISOS_2024[[#All],[Total Comprometido]],[2]!COMPROMISOS_2024[[#All],[Bolsa]],PAA_4[[#This Row],[BOLSA]],[2]!COMPROMISOS_2024[[#All],[concatenado]],PAA_4[[#This Row],[RCP-RUBRO]]))</f>
        <v>#REF!</v>
      </c>
    </row>
    <row r="699" spans="1:38" s="19" customFormat="1" ht="31.5" customHeight="1">
      <c r="A699" s="47">
        <v>304</v>
      </c>
      <c r="B699" s="47">
        <v>80111600</v>
      </c>
      <c r="C699" s="47" t="str">
        <f>VLOOKUP(PAA_4[[#This Row],[PROYECTO (formulado)2]],[2]PROYECTOS!$G$1:$L$32,6,0)</f>
        <v>SUBGERENCIA DE ALTOS LOGROS Y DEPORTE ASOCIADO</v>
      </c>
      <c r="D699" s="47" t="str">
        <f>+IF(PAA_4[[#This Row],[UNIDAD DE CONTRATACION (formulado)]]="Subgerencia Administrativa y Financiera","FUNCIONAMIENTO","INVERSIÓN")</f>
        <v>INVERSIÓN</v>
      </c>
      <c r="E699" s="48" t="str">
        <f>VLOOKUP(Q699,[2]PROYECTOS!$G$1:$K$32,5,0)</f>
        <v>APOYO_TÉCNICO_Y_PSICOSOCIAL_A_LOS_DEPORTISTAS_DE_ANTIOQUIA</v>
      </c>
      <c r="F699" s="48">
        <f>VLOOKUP(E699,[2]PROYECTOS!$K$1:$M$32,3,0)</f>
        <v>2021003050069</v>
      </c>
      <c r="G699" s="49" t="s">
        <v>239</v>
      </c>
      <c r="H699" s="49" t="str">
        <f>VLOOKUP(Q699,[2]PROYECTOS!$V$1:$W$32,2,0)</f>
        <v>050069</v>
      </c>
      <c r="I699" s="50">
        <v>0</v>
      </c>
      <c r="J699" s="51" t="s">
        <v>1693</v>
      </c>
      <c r="K699" s="47" t="str">
        <f t="shared" ca="1" si="250"/>
        <v>CONTRATADO</v>
      </c>
      <c r="L699" s="47" t="s">
        <v>94</v>
      </c>
      <c r="M699" s="47" t="s">
        <v>1297</v>
      </c>
      <c r="N699" s="52" t="s">
        <v>240</v>
      </c>
      <c r="O699" s="51" t="e">
        <f>VLOOKUP(N699,[2]!RUBROS[#All],3,0)</f>
        <v>#REF!</v>
      </c>
      <c r="P699" s="53" t="e">
        <f>VLOOKUP(N699,[2]!RUBROS[#All],2,0)</f>
        <v>#REF!</v>
      </c>
      <c r="Q699" s="47" t="str">
        <f t="shared" si="249"/>
        <v>22</v>
      </c>
      <c r="R699" s="47" t="str">
        <f t="shared" si="251"/>
        <v>0-205400</v>
      </c>
      <c r="S699" s="54">
        <v>6</v>
      </c>
      <c r="T699" s="59" t="s">
        <v>46</v>
      </c>
      <c r="U699" s="326" t="e">
        <f ca="1">_xlfn.XLOOKUP(PAA_4[[#This Row],[ITEM]],[2]Contrato!A:A,[2]Contrato!Q:Q,"",0)</f>
        <v>#NAME?</v>
      </c>
      <c r="V699" s="47" t="s">
        <v>47</v>
      </c>
      <c r="W699" s="47"/>
      <c r="X699" s="47"/>
      <c r="Y699" s="55" t="e">
        <f ca="1">_xlfn.XLOOKUP(PAA_4[[#This Row],[ITEM]],[2]Contrato!A:A,[2]Contrato!B:B,"",0)</f>
        <v>#NAME?</v>
      </c>
      <c r="Z699" s="47" t="e">
        <f ca="1">_xlfn.XLOOKUP(PAA_4[[#This Row],[ITEM]],[2]Contrato!A:A,[2]Contrato!G:G,"",0)</f>
        <v>#NAME?</v>
      </c>
      <c r="AA699" s="47" t="e">
        <f ca="1">_xlfn.XLOOKUP(PAA_4[[#This Row],[ITEM]],[2]Contrato!A:A,[2]Contrato!T:T,"",0)</f>
        <v>#NAME?</v>
      </c>
      <c r="AB699" s="55" t="e">
        <f ca="1">+MAX(PAA_4[[#This Row],[Comprometido Contrato]],PAA_4[[#This Row],[Comprometido Bolsa]])</f>
        <v>#NAME?</v>
      </c>
      <c r="AC699" s="55" t="str">
        <f t="shared" ca="1" si="252"/>
        <v/>
      </c>
      <c r="AD699" s="55" t="e">
        <f ca="1">IF(PAA_4[[#This Row],[ESTADO (formulado)]]="NO CONTRATADO",0,MAX(PAA_4[[#This Row],[Pago por Contrato]],PAA_4[[#This Row],[Pago por bolsa]]))</f>
        <v>#NAME?</v>
      </c>
      <c r="AE699" s="55" t="str">
        <f t="shared" ca="1" si="253"/>
        <v/>
      </c>
      <c r="AF699" s="47" t="e">
        <f t="shared" ca="1" si="255"/>
        <v>#NAME?</v>
      </c>
      <c r="AG699" s="47">
        <f t="shared" si="254"/>
        <v>41080101</v>
      </c>
      <c r="AH699" s="54" t="str">
        <f>IF(Q699="22",IF(ISNUMBER(SEARCH("econ",PAA_4[[#This Row],[Actividad3]])),"Económico",IF(ISNUMBER(SEARCH("alim",PAA_4[[#This Row],[Actividad3]])),"Alimentación",IF(ISNUMBER(SEARCH("educ",PAA_4[[#This Row],[Actividad3]])),"Educativo","Técnico"))),0)</f>
        <v>Técnico</v>
      </c>
      <c r="AI699" s="47" t="e" cm="1">
        <f t="array" aca="1" ref="AI699" ca="1">_xlfn.XLOOKUP(PAA_4[[#This Row],[RCP-RUBRO]],[2]!COMPROMISOS_2024[[#All],[concatenado]],[2]!COMPROMISOS_2024[[#All],[Total pagado]],"",0)</f>
        <v>#NAME?</v>
      </c>
      <c r="AJ699" s="56" t="e">
        <f ca="1">IF(PAA_4[[#This Row],[BOLSA]]=0,0,SUMIFS([2]!COMPROMISOS_2024[[#All],[Total pagado]],[2]!COMPROMISOS_2024[[#All],[Bolsa]],PAA_4[[#This Row],[BOLSA]],[2]!COMPROMISOS_2024[[#All],[rubro]],PAA_4[[#This Row],[RCP-RUBRO]]))</f>
        <v>#REF!</v>
      </c>
      <c r="AK699" s="47" t="e" cm="1">
        <f t="array" aca="1" ref="AK699" ca="1">_xlfn.XLOOKUP(PAA_4[[#This Row],[RCP-RUBRO]],[2]!COMPROMISOS_2024[[#All],[concatenado]],[2]!COMPROMISOS_2024[[#All],[Total Comprometido]],"",0)</f>
        <v>#NAME?</v>
      </c>
      <c r="AL699" s="47" t="e">
        <f ca="1">IF(PAA_4[[#This Row],[BOLSA]]=0,0,SUMIFS([2]!COMPROMISOS_2024[[#All],[Total Comprometido]],[2]!COMPROMISOS_2024[[#All],[Bolsa]],PAA_4[[#This Row],[BOLSA]],[2]!COMPROMISOS_2024[[#All],[concatenado]],PAA_4[[#This Row],[RCP-RUBRO]]))</f>
        <v>#REF!</v>
      </c>
    </row>
    <row r="700" spans="1:38" s="19" customFormat="1" ht="31.5" customHeight="1">
      <c r="A700" s="47">
        <v>305</v>
      </c>
      <c r="B700" s="47">
        <v>80111600</v>
      </c>
      <c r="C700" s="47" t="str">
        <f>VLOOKUP(PAA_4[[#This Row],[PROYECTO (formulado)2]],[2]PROYECTOS!$G$1:$L$32,6,0)</f>
        <v>SUBGERENCIA DE ALTOS LOGROS Y DEPORTE ASOCIADO</v>
      </c>
      <c r="D700" s="47" t="str">
        <f>+IF(PAA_4[[#This Row],[UNIDAD DE CONTRATACION (formulado)]]="Subgerencia Administrativa y Financiera","FUNCIONAMIENTO","INVERSIÓN")</f>
        <v>INVERSIÓN</v>
      </c>
      <c r="E700" s="48" t="str">
        <f>VLOOKUP(Q700,[2]PROYECTOS!$G$1:$K$32,5,0)</f>
        <v>APOYO_TÉCNICO_Y_PSICOSOCIAL_A_LOS_DEPORTISTAS_DE_ANTIOQUIA</v>
      </c>
      <c r="F700" s="48">
        <f>VLOOKUP(E700,[2]PROYECTOS!$K$1:$M$32,3,0)</f>
        <v>2021003050069</v>
      </c>
      <c r="G700" s="49" t="s">
        <v>239</v>
      </c>
      <c r="H700" s="49" t="str">
        <f>VLOOKUP(Q700,[2]PROYECTOS!$V$1:$W$32,2,0)</f>
        <v>050069</v>
      </c>
      <c r="I700" s="50">
        <v>0</v>
      </c>
      <c r="J700" s="51" t="s">
        <v>1693</v>
      </c>
      <c r="K700" s="47" t="str">
        <f t="shared" ca="1" si="250"/>
        <v>CONTRATADO</v>
      </c>
      <c r="L700" s="47" t="s">
        <v>94</v>
      </c>
      <c r="M700" s="47" t="s">
        <v>1297</v>
      </c>
      <c r="N700" s="52" t="s">
        <v>240</v>
      </c>
      <c r="O700" s="51" t="e">
        <f>VLOOKUP(N700,[2]!RUBROS[#All],3,0)</f>
        <v>#REF!</v>
      </c>
      <c r="P700" s="53" t="e">
        <f>VLOOKUP(N700,[2]!RUBROS[#All],2,0)</f>
        <v>#REF!</v>
      </c>
      <c r="Q700" s="47" t="str">
        <f t="shared" si="249"/>
        <v>22</v>
      </c>
      <c r="R700" s="47" t="str">
        <f t="shared" si="251"/>
        <v>0-205400</v>
      </c>
      <c r="S700" s="54">
        <v>6</v>
      </c>
      <c r="T700" s="59" t="s">
        <v>46</v>
      </c>
      <c r="U700" s="326" t="e">
        <f ca="1">_xlfn.XLOOKUP(PAA_4[[#This Row],[ITEM]],[2]Contrato!A:A,[2]Contrato!Q:Q,"",0)</f>
        <v>#NAME?</v>
      </c>
      <c r="V700" s="47" t="s">
        <v>47</v>
      </c>
      <c r="W700" s="47"/>
      <c r="X700" s="47"/>
      <c r="Y700" s="55" t="e">
        <f ca="1">_xlfn.XLOOKUP(PAA_4[[#This Row],[ITEM]],[2]Contrato!A:A,[2]Contrato!B:B,"",0)</f>
        <v>#NAME?</v>
      </c>
      <c r="Z700" s="47" t="e">
        <f ca="1">_xlfn.XLOOKUP(PAA_4[[#This Row],[ITEM]],[2]Contrato!A:A,[2]Contrato!G:G,"",0)</f>
        <v>#NAME?</v>
      </c>
      <c r="AA700" s="47" t="e">
        <f ca="1">_xlfn.XLOOKUP(PAA_4[[#This Row],[ITEM]],[2]Contrato!A:A,[2]Contrato!T:T,"",0)</f>
        <v>#NAME?</v>
      </c>
      <c r="AB700" s="55" t="e">
        <f ca="1">+MAX(PAA_4[[#This Row],[Comprometido Contrato]],PAA_4[[#This Row],[Comprometido Bolsa]])</f>
        <v>#NAME?</v>
      </c>
      <c r="AC700" s="55" t="str">
        <f t="shared" ca="1" si="252"/>
        <v/>
      </c>
      <c r="AD700" s="55" t="e">
        <f ca="1">IF(PAA_4[[#This Row],[ESTADO (formulado)]]="NO CONTRATADO",0,MAX(PAA_4[[#This Row],[Pago por Contrato]],PAA_4[[#This Row],[Pago por bolsa]]))</f>
        <v>#NAME?</v>
      </c>
      <c r="AE700" s="55" t="str">
        <f t="shared" ca="1" si="253"/>
        <v/>
      </c>
      <c r="AF700" s="47" t="e">
        <f t="shared" ca="1" si="255"/>
        <v>#NAME?</v>
      </c>
      <c r="AG700" s="47">
        <f t="shared" si="254"/>
        <v>41080101</v>
      </c>
      <c r="AH700" s="54" t="str">
        <f>IF(Q700="22",IF(ISNUMBER(SEARCH("econ",PAA_4[[#This Row],[Actividad3]])),"Económico",IF(ISNUMBER(SEARCH("alim",PAA_4[[#This Row],[Actividad3]])),"Alimentación",IF(ISNUMBER(SEARCH("educ",PAA_4[[#This Row],[Actividad3]])),"Educativo","Técnico"))),0)</f>
        <v>Técnico</v>
      </c>
      <c r="AI700" s="47" t="e" cm="1">
        <f t="array" aca="1" ref="AI700" ca="1">_xlfn.XLOOKUP(PAA_4[[#This Row],[RCP-RUBRO]],[2]!COMPROMISOS_2024[[#All],[concatenado]],[2]!COMPROMISOS_2024[[#All],[Total pagado]],"",0)</f>
        <v>#NAME?</v>
      </c>
      <c r="AJ700" s="56" t="e">
        <f ca="1">IF(PAA_4[[#This Row],[BOLSA]]=0,0,SUMIFS([2]!COMPROMISOS_2024[[#All],[Total pagado]],[2]!COMPROMISOS_2024[[#All],[Bolsa]],PAA_4[[#This Row],[BOLSA]],[2]!COMPROMISOS_2024[[#All],[rubro]],PAA_4[[#This Row],[RCP-RUBRO]]))</f>
        <v>#REF!</v>
      </c>
      <c r="AK700" s="47" t="e" cm="1">
        <f t="array" aca="1" ref="AK700" ca="1">_xlfn.XLOOKUP(PAA_4[[#This Row],[RCP-RUBRO]],[2]!COMPROMISOS_2024[[#All],[concatenado]],[2]!COMPROMISOS_2024[[#All],[Total Comprometido]],"",0)</f>
        <v>#NAME?</v>
      </c>
      <c r="AL700" s="47" t="e">
        <f ca="1">IF(PAA_4[[#This Row],[BOLSA]]=0,0,SUMIFS([2]!COMPROMISOS_2024[[#All],[Total Comprometido]],[2]!COMPROMISOS_2024[[#All],[Bolsa]],PAA_4[[#This Row],[BOLSA]],[2]!COMPROMISOS_2024[[#All],[concatenado]],PAA_4[[#This Row],[RCP-RUBRO]]))</f>
        <v>#REF!</v>
      </c>
    </row>
    <row r="701" spans="1:38" s="19" customFormat="1" ht="31.5" customHeight="1">
      <c r="A701" s="47">
        <v>306</v>
      </c>
      <c r="B701" s="47">
        <v>80111600</v>
      </c>
      <c r="C701" s="47" t="str">
        <f>VLOOKUP(PAA_4[[#This Row],[PROYECTO (formulado)2]],[2]PROYECTOS!$G$1:$L$32,6,0)</f>
        <v>SUBGERENCIA DE ALTOS LOGROS Y DEPORTE ASOCIADO</v>
      </c>
      <c r="D701" s="47" t="str">
        <f>+IF(PAA_4[[#This Row],[UNIDAD DE CONTRATACION (formulado)]]="Subgerencia Administrativa y Financiera","FUNCIONAMIENTO","INVERSIÓN")</f>
        <v>INVERSIÓN</v>
      </c>
      <c r="E701" s="48" t="str">
        <f>VLOOKUP(Q701,[2]PROYECTOS!$G$1:$K$32,5,0)</f>
        <v>APOYO_TÉCNICO_Y_PSICOSOCIAL_A_LOS_DEPORTISTAS_DE_ANTIOQUIA</v>
      </c>
      <c r="F701" s="48">
        <f>VLOOKUP(E701,[2]PROYECTOS!$K$1:$M$32,3,0)</f>
        <v>2021003050069</v>
      </c>
      <c r="G701" s="49" t="s">
        <v>239</v>
      </c>
      <c r="H701" s="49" t="str">
        <f>VLOOKUP(Q701,[2]PROYECTOS!$V$1:$W$32,2,0)</f>
        <v>050069</v>
      </c>
      <c r="I701" s="50">
        <v>0</v>
      </c>
      <c r="J701" s="51" t="s">
        <v>1693</v>
      </c>
      <c r="K701" s="47" t="str">
        <f t="shared" ca="1" si="250"/>
        <v>CONTRATADO</v>
      </c>
      <c r="L701" s="47" t="s">
        <v>94</v>
      </c>
      <c r="M701" s="47" t="s">
        <v>1297</v>
      </c>
      <c r="N701" s="52" t="s">
        <v>240</v>
      </c>
      <c r="O701" s="51" t="e">
        <f>VLOOKUP(N701,[2]!RUBROS[#All],3,0)</f>
        <v>#REF!</v>
      </c>
      <c r="P701" s="53" t="e">
        <f>VLOOKUP(N701,[2]!RUBROS[#All],2,0)</f>
        <v>#REF!</v>
      </c>
      <c r="Q701" s="47" t="str">
        <f t="shared" si="249"/>
        <v>22</v>
      </c>
      <c r="R701" s="47" t="str">
        <f t="shared" si="251"/>
        <v>0-205400</v>
      </c>
      <c r="S701" s="54">
        <v>6</v>
      </c>
      <c r="T701" s="59" t="s">
        <v>46</v>
      </c>
      <c r="U701" s="326" t="e">
        <f ca="1">_xlfn.XLOOKUP(PAA_4[[#This Row],[ITEM]],[2]Contrato!A:A,[2]Contrato!Q:Q,"",0)</f>
        <v>#NAME?</v>
      </c>
      <c r="V701" s="47" t="s">
        <v>47</v>
      </c>
      <c r="W701" s="47"/>
      <c r="X701" s="47"/>
      <c r="Y701" s="55" t="e">
        <f ca="1">_xlfn.XLOOKUP(PAA_4[[#This Row],[ITEM]],[2]Contrato!A:A,[2]Contrato!B:B,"",0)</f>
        <v>#NAME?</v>
      </c>
      <c r="Z701" s="47" t="e">
        <f ca="1">_xlfn.XLOOKUP(PAA_4[[#This Row],[ITEM]],[2]Contrato!A:A,[2]Contrato!G:G,"",0)</f>
        <v>#NAME?</v>
      </c>
      <c r="AA701" s="47" t="e">
        <f ca="1">_xlfn.XLOOKUP(PAA_4[[#This Row],[ITEM]],[2]Contrato!A:A,[2]Contrato!T:T,"",0)</f>
        <v>#NAME?</v>
      </c>
      <c r="AB701" s="55" t="e">
        <f ca="1">+MAX(PAA_4[[#This Row],[Comprometido Contrato]],PAA_4[[#This Row],[Comprometido Bolsa]])</f>
        <v>#NAME?</v>
      </c>
      <c r="AC701" s="55" t="str">
        <f t="shared" ca="1" si="252"/>
        <v/>
      </c>
      <c r="AD701" s="55" t="e">
        <f ca="1">IF(PAA_4[[#This Row],[ESTADO (formulado)]]="NO CONTRATADO",0,MAX(PAA_4[[#This Row],[Pago por Contrato]],PAA_4[[#This Row],[Pago por bolsa]]))</f>
        <v>#NAME?</v>
      </c>
      <c r="AE701" s="55" t="str">
        <f t="shared" ca="1" si="253"/>
        <v/>
      </c>
      <c r="AF701" s="47" t="e">
        <f t="shared" ca="1" si="255"/>
        <v>#NAME?</v>
      </c>
      <c r="AG701" s="47">
        <f t="shared" si="254"/>
        <v>41080101</v>
      </c>
      <c r="AH701" s="54" t="str">
        <f>IF(Q701="22",IF(ISNUMBER(SEARCH("econ",PAA_4[[#This Row],[Actividad3]])),"Económico",IF(ISNUMBER(SEARCH("alim",PAA_4[[#This Row],[Actividad3]])),"Alimentación",IF(ISNUMBER(SEARCH("educ",PAA_4[[#This Row],[Actividad3]])),"Educativo","Técnico"))),0)</f>
        <v>Técnico</v>
      </c>
      <c r="AI701" s="47" t="e" cm="1">
        <f t="array" aca="1" ref="AI701" ca="1">_xlfn.XLOOKUP(PAA_4[[#This Row],[RCP-RUBRO]],[2]!COMPROMISOS_2024[[#All],[concatenado]],[2]!COMPROMISOS_2024[[#All],[Total pagado]],"",0)</f>
        <v>#NAME?</v>
      </c>
      <c r="AJ701" s="56" t="e">
        <f ca="1">IF(PAA_4[[#This Row],[BOLSA]]=0,0,SUMIFS([2]!COMPROMISOS_2024[[#All],[Total pagado]],[2]!COMPROMISOS_2024[[#All],[Bolsa]],PAA_4[[#This Row],[BOLSA]],[2]!COMPROMISOS_2024[[#All],[rubro]],PAA_4[[#This Row],[RCP-RUBRO]]))</f>
        <v>#REF!</v>
      </c>
      <c r="AK701" s="47" t="e" cm="1">
        <f t="array" aca="1" ref="AK701" ca="1">_xlfn.XLOOKUP(PAA_4[[#This Row],[RCP-RUBRO]],[2]!COMPROMISOS_2024[[#All],[concatenado]],[2]!COMPROMISOS_2024[[#All],[Total Comprometido]],"",0)</f>
        <v>#NAME?</v>
      </c>
      <c r="AL701" s="47" t="e">
        <f ca="1">IF(PAA_4[[#This Row],[BOLSA]]=0,0,SUMIFS([2]!COMPROMISOS_2024[[#All],[Total Comprometido]],[2]!COMPROMISOS_2024[[#All],[Bolsa]],PAA_4[[#This Row],[BOLSA]],[2]!COMPROMISOS_2024[[#All],[concatenado]],PAA_4[[#This Row],[RCP-RUBRO]]))</f>
        <v>#REF!</v>
      </c>
    </row>
    <row r="702" spans="1:38" s="19" customFormat="1" ht="31.5" customHeight="1">
      <c r="A702" s="47">
        <v>307</v>
      </c>
      <c r="B702" s="47">
        <v>80111600</v>
      </c>
      <c r="C702" s="47" t="str">
        <f>VLOOKUP(PAA_4[[#This Row],[PROYECTO (formulado)2]],[2]PROYECTOS!$G$1:$L$32,6,0)</f>
        <v>SUBGERENCIA DE ALTOS LOGROS Y DEPORTE ASOCIADO</v>
      </c>
      <c r="D702" s="47" t="str">
        <f>+IF(PAA_4[[#This Row],[UNIDAD DE CONTRATACION (formulado)]]="Subgerencia Administrativa y Financiera","FUNCIONAMIENTO","INVERSIÓN")</f>
        <v>INVERSIÓN</v>
      </c>
      <c r="E702" s="48" t="str">
        <f>VLOOKUP(Q702,[2]PROYECTOS!$G$1:$K$32,5,0)</f>
        <v>APOYO_TÉCNICO_Y_PSICOSOCIAL_A_LOS_DEPORTISTAS_DE_ANTIOQUIA</v>
      </c>
      <c r="F702" s="48">
        <f>VLOOKUP(E702,[2]PROYECTOS!$K$1:$M$32,3,0)</f>
        <v>2021003050069</v>
      </c>
      <c r="G702" s="49" t="s">
        <v>239</v>
      </c>
      <c r="H702" s="49" t="str">
        <f>VLOOKUP(Q702,[2]PROYECTOS!$V$1:$W$32,2,0)</f>
        <v>050069</v>
      </c>
      <c r="I702" s="50">
        <v>0</v>
      </c>
      <c r="J702" s="51" t="s">
        <v>1693</v>
      </c>
      <c r="K702" s="47" t="str">
        <f t="shared" ca="1" si="250"/>
        <v>CONTRATADO</v>
      </c>
      <c r="L702" s="47" t="s">
        <v>94</v>
      </c>
      <c r="M702" s="47" t="s">
        <v>1297</v>
      </c>
      <c r="N702" s="52" t="s">
        <v>240</v>
      </c>
      <c r="O702" s="51" t="e">
        <f>VLOOKUP(N702,[2]!RUBROS[#All],3,0)</f>
        <v>#REF!</v>
      </c>
      <c r="P702" s="53" t="e">
        <f>VLOOKUP(N702,[2]!RUBROS[#All],2,0)</f>
        <v>#REF!</v>
      </c>
      <c r="Q702" s="47" t="str">
        <f t="shared" si="249"/>
        <v>22</v>
      </c>
      <c r="R702" s="47" t="str">
        <f t="shared" si="251"/>
        <v>0-205400</v>
      </c>
      <c r="S702" s="54">
        <v>6</v>
      </c>
      <c r="T702" s="59" t="s">
        <v>46</v>
      </c>
      <c r="U702" s="326" t="e">
        <f ca="1">_xlfn.XLOOKUP(PAA_4[[#This Row],[ITEM]],[2]Contrato!A:A,[2]Contrato!Q:Q,"",0)</f>
        <v>#NAME?</v>
      </c>
      <c r="V702" s="47" t="s">
        <v>47</v>
      </c>
      <c r="W702" s="47"/>
      <c r="X702" s="47"/>
      <c r="Y702" s="55" t="e">
        <f ca="1">_xlfn.XLOOKUP(PAA_4[[#This Row],[ITEM]],[2]Contrato!A:A,[2]Contrato!B:B,"",0)</f>
        <v>#NAME?</v>
      </c>
      <c r="Z702" s="47" t="e">
        <f ca="1">_xlfn.XLOOKUP(PAA_4[[#This Row],[ITEM]],[2]Contrato!A:A,[2]Contrato!G:G,"",0)</f>
        <v>#NAME?</v>
      </c>
      <c r="AA702" s="47" t="e">
        <f ca="1">_xlfn.XLOOKUP(PAA_4[[#This Row],[ITEM]],[2]Contrato!A:A,[2]Contrato!T:T,"",0)</f>
        <v>#NAME?</v>
      </c>
      <c r="AB702" s="55" t="e">
        <f ca="1">+MAX(PAA_4[[#This Row],[Comprometido Contrato]],PAA_4[[#This Row],[Comprometido Bolsa]])</f>
        <v>#NAME?</v>
      </c>
      <c r="AC702" s="55" t="str">
        <f t="shared" ca="1" si="252"/>
        <v/>
      </c>
      <c r="AD702" s="55" t="e">
        <f ca="1">IF(PAA_4[[#This Row],[ESTADO (formulado)]]="NO CONTRATADO",0,MAX(PAA_4[[#This Row],[Pago por Contrato]],PAA_4[[#This Row],[Pago por bolsa]]))</f>
        <v>#NAME?</v>
      </c>
      <c r="AE702" s="55" t="str">
        <f t="shared" ca="1" si="253"/>
        <v/>
      </c>
      <c r="AF702" s="47" t="e">
        <f t="shared" ca="1" si="255"/>
        <v>#NAME?</v>
      </c>
      <c r="AG702" s="47">
        <f t="shared" si="254"/>
        <v>41080101</v>
      </c>
      <c r="AH702" s="54" t="str">
        <f>IF(Q702="22",IF(ISNUMBER(SEARCH("econ",PAA_4[[#This Row],[Actividad3]])),"Económico",IF(ISNUMBER(SEARCH("alim",PAA_4[[#This Row],[Actividad3]])),"Alimentación",IF(ISNUMBER(SEARCH("educ",PAA_4[[#This Row],[Actividad3]])),"Educativo","Técnico"))),0)</f>
        <v>Técnico</v>
      </c>
      <c r="AI702" s="47" t="e" cm="1">
        <f t="array" aca="1" ref="AI702" ca="1">_xlfn.XLOOKUP(PAA_4[[#This Row],[RCP-RUBRO]],[2]!COMPROMISOS_2024[[#All],[concatenado]],[2]!COMPROMISOS_2024[[#All],[Total pagado]],"",0)</f>
        <v>#NAME?</v>
      </c>
      <c r="AJ702" s="56" t="e">
        <f ca="1">IF(PAA_4[[#This Row],[BOLSA]]=0,0,SUMIFS([2]!COMPROMISOS_2024[[#All],[Total pagado]],[2]!COMPROMISOS_2024[[#All],[Bolsa]],PAA_4[[#This Row],[BOLSA]],[2]!COMPROMISOS_2024[[#All],[rubro]],PAA_4[[#This Row],[RCP-RUBRO]]))</f>
        <v>#REF!</v>
      </c>
      <c r="AK702" s="47" t="e" cm="1">
        <f t="array" aca="1" ref="AK702" ca="1">_xlfn.XLOOKUP(PAA_4[[#This Row],[RCP-RUBRO]],[2]!COMPROMISOS_2024[[#All],[concatenado]],[2]!COMPROMISOS_2024[[#All],[Total Comprometido]],"",0)</f>
        <v>#NAME?</v>
      </c>
      <c r="AL702" s="47" t="e">
        <f ca="1">IF(PAA_4[[#This Row],[BOLSA]]=0,0,SUMIFS([2]!COMPROMISOS_2024[[#All],[Total Comprometido]],[2]!COMPROMISOS_2024[[#All],[Bolsa]],PAA_4[[#This Row],[BOLSA]],[2]!COMPROMISOS_2024[[#All],[concatenado]],PAA_4[[#This Row],[RCP-RUBRO]]))</f>
        <v>#REF!</v>
      </c>
    </row>
    <row r="703" spans="1:38" s="19" customFormat="1" ht="31.5" customHeight="1">
      <c r="A703" s="47">
        <v>308</v>
      </c>
      <c r="B703" s="47">
        <v>80111600</v>
      </c>
      <c r="C703" s="47" t="str">
        <f>VLOOKUP(PAA_4[[#This Row],[PROYECTO (formulado)2]],[2]PROYECTOS!$G$1:$L$32,6,0)</f>
        <v>SUBGERENCIA DE ALTOS LOGROS Y DEPORTE ASOCIADO</v>
      </c>
      <c r="D703" s="47" t="str">
        <f>+IF(PAA_4[[#This Row],[UNIDAD DE CONTRATACION (formulado)]]="Subgerencia Administrativa y Financiera","FUNCIONAMIENTO","INVERSIÓN")</f>
        <v>INVERSIÓN</v>
      </c>
      <c r="E703" s="48" t="str">
        <f>VLOOKUP(Q703,[2]PROYECTOS!$G$1:$K$32,5,0)</f>
        <v>APOYO_TÉCNICO_Y_PSICOSOCIAL_A_LOS_DEPORTISTAS_DE_ANTIOQUIA</v>
      </c>
      <c r="F703" s="48">
        <f>VLOOKUP(E703,[2]PROYECTOS!$K$1:$M$32,3,0)</f>
        <v>2021003050069</v>
      </c>
      <c r="G703" s="49" t="s">
        <v>239</v>
      </c>
      <c r="H703" s="49" t="str">
        <f>VLOOKUP(Q703,[2]PROYECTOS!$V$1:$W$32,2,0)</f>
        <v>050069</v>
      </c>
      <c r="I703" s="50">
        <v>0</v>
      </c>
      <c r="J703" s="51" t="s">
        <v>1693</v>
      </c>
      <c r="K703" s="47" t="str">
        <f t="shared" ca="1" si="250"/>
        <v>CONTRATADO</v>
      </c>
      <c r="L703" s="47" t="s">
        <v>94</v>
      </c>
      <c r="M703" s="47" t="s">
        <v>1297</v>
      </c>
      <c r="N703" s="52" t="s">
        <v>240</v>
      </c>
      <c r="O703" s="51" t="e">
        <f>VLOOKUP(N703,[2]!RUBROS[#All],3,0)</f>
        <v>#REF!</v>
      </c>
      <c r="P703" s="53" t="e">
        <f>VLOOKUP(N703,[2]!RUBROS[#All],2,0)</f>
        <v>#REF!</v>
      </c>
      <c r="Q703" s="47" t="str">
        <f t="shared" si="249"/>
        <v>22</v>
      </c>
      <c r="R703" s="47" t="str">
        <f t="shared" si="251"/>
        <v>0-205400</v>
      </c>
      <c r="S703" s="54">
        <v>6</v>
      </c>
      <c r="T703" s="59" t="s">
        <v>46</v>
      </c>
      <c r="U703" s="326" t="e">
        <f ca="1">_xlfn.XLOOKUP(PAA_4[[#This Row],[ITEM]],[2]Contrato!A:A,[2]Contrato!Q:Q,"",0)</f>
        <v>#NAME?</v>
      </c>
      <c r="V703" s="47" t="s">
        <v>47</v>
      </c>
      <c r="W703" s="47"/>
      <c r="X703" s="47"/>
      <c r="Y703" s="55" t="e">
        <f ca="1">_xlfn.XLOOKUP(PAA_4[[#This Row],[ITEM]],[2]Contrato!A:A,[2]Contrato!B:B,"",0)</f>
        <v>#NAME?</v>
      </c>
      <c r="Z703" s="47" t="e">
        <f ca="1">_xlfn.XLOOKUP(PAA_4[[#This Row],[ITEM]],[2]Contrato!A:A,[2]Contrato!G:G,"",0)</f>
        <v>#NAME?</v>
      </c>
      <c r="AA703" s="47" t="e">
        <f ca="1">_xlfn.XLOOKUP(PAA_4[[#This Row],[ITEM]],[2]Contrato!A:A,[2]Contrato!T:T,"",0)</f>
        <v>#NAME?</v>
      </c>
      <c r="AB703" s="55" t="e">
        <f ca="1">+MAX(PAA_4[[#This Row],[Comprometido Contrato]],PAA_4[[#This Row],[Comprometido Bolsa]])</f>
        <v>#NAME?</v>
      </c>
      <c r="AC703" s="55" t="str">
        <f t="shared" ca="1" si="252"/>
        <v/>
      </c>
      <c r="AD703" s="55" t="e">
        <f ca="1">IF(PAA_4[[#This Row],[ESTADO (formulado)]]="NO CONTRATADO",0,MAX(PAA_4[[#This Row],[Pago por Contrato]],PAA_4[[#This Row],[Pago por bolsa]]))</f>
        <v>#NAME?</v>
      </c>
      <c r="AE703" s="55" t="str">
        <f t="shared" ca="1" si="253"/>
        <v/>
      </c>
      <c r="AF703" s="47" t="e">
        <f t="shared" ca="1" si="255"/>
        <v>#NAME?</v>
      </c>
      <c r="AG703" s="47">
        <f t="shared" si="254"/>
        <v>41080101</v>
      </c>
      <c r="AH703" s="54" t="str">
        <f>IF(Q703="22",IF(ISNUMBER(SEARCH("econ",PAA_4[[#This Row],[Actividad3]])),"Económico",IF(ISNUMBER(SEARCH("alim",PAA_4[[#This Row],[Actividad3]])),"Alimentación",IF(ISNUMBER(SEARCH("educ",PAA_4[[#This Row],[Actividad3]])),"Educativo","Técnico"))),0)</f>
        <v>Técnico</v>
      </c>
      <c r="AI703" s="47" t="e" cm="1">
        <f t="array" aca="1" ref="AI703" ca="1">_xlfn.XLOOKUP(PAA_4[[#This Row],[RCP-RUBRO]],[2]!COMPROMISOS_2024[[#All],[concatenado]],[2]!COMPROMISOS_2024[[#All],[Total pagado]],"",0)</f>
        <v>#NAME?</v>
      </c>
      <c r="AJ703" s="56" t="e">
        <f ca="1">IF(PAA_4[[#This Row],[BOLSA]]=0,0,SUMIFS([2]!COMPROMISOS_2024[[#All],[Total pagado]],[2]!COMPROMISOS_2024[[#All],[Bolsa]],PAA_4[[#This Row],[BOLSA]],[2]!COMPROMISOS_2024[[#All],[rubro]],PAA_4[[#This Row],[RCP-RUBRO]]))</f>
        <v>#REF!</v>
      </c>
      <c r="AK703" s="47" t="e" cm="1">
        <f t="array" aca="1" ref="AK703" ca="1">_xlfn.XLOOKUP(PAA_4[[#This Row],[RCP-RUBRO]],[2]!COMPROMISOS_2024[[#All],[concatenado]],[2]!COMPROMISOS_2024[[#All],[Total Comprometido]],"",0)</f>
        <v>#NAME?</v>
      </c>
      <c r="AL703" s="47" t="e">
        <f ca="1">IF(PAA_4[[#This Row],[BOLSA]]=0,0,SUMIFS([2]!COMPROMISOS_2024[[#All],[Total Comprometido]],[2]!COMPROMISOS_2024[[#All],[Bolsa]],PAA_4[[#This Row],[BOLSA]],[2]!COMPROMISOS_2024[[#All],[concatenado]],PAA_4[[#This Row],[RCP-RUBRO]]))</f>
        <v>#REF!</v>
      </c>
    </row>
    <row r="704" spans="1:38" s="19" customFormat="1" ht="31.5" customHeight="1">
      <c r="A704" s="47">
        <v>309</v>
      </c>
      <c r="B704" s="47">
        <v>80111600</v>
      </c>
      <c r="C704" s="47" t="str">
        <f>VLOOKUP(PAA_4[[#This Row],[PROYECTO (formulado)2]],[2]PROYECTOS!$G$1:$L$32,6,0)</f>
        <v>SUBGERENCIA DE ALTOS LOGROS Y DEPORTE ASOCIADO</v>
      </c>
      <c r="D704" s="47" t="str">
        <f>+IF(PAA_4[[#This Row],[UNIDAD DE CONTRATACION (formulado)]]="Subgerencia Administrativa y Financiera","FUNCIONAMIENTO","INVERSIÓN")</f>
        <v>INVERSIÓN</v>
      </c>
      <c r="E704" s="48" t="str">
        <f>VLOOKUP(Q704,[2]PROYECTOS!$G$1:$K$32,5,0)</f>
        <v>APOYO_TÉCNICO_Y_PSICOSOCIAL_A_LOS_DEPORTISTAS_DE_ANTIOQUIA</v>
      </c>
      <c r="F704" s="48">
        <f>VLOOKUP(E704,[2]PROYECTOS!$K$1:$M$32,3,0)</f>
        <v>2021003050069</v>
      </c>
      <c r="G704" s="49" t="s">
        <v>239</v>
      </c>
      <c r="H704" s="49" t="str">
        <f>VLOOKUP(Q704,[2]PROYECTOS!$V$1:$W$32,2,0)</f>
        <v>050069</v>
      </c>
      <c r="I704" s="50">
        <v>0</v>
      </c>
      <c r="J704" s="51" t="s">
        <v>1693</v>
      </c>
      <c r="K704" s="47" t="str">
        <f t="shared" ca="1" si="250"/>
        <v>CONTRATADO</v>
      </c>
      <c r="L704" s="47" t="s">
        <v>94</v>
      </c>
      <c r="M704" s="47" t="s">
        <v>1297</v>
      </c>
      <c r="N704" s="52" t="s">
        <v>240</v>
      </c>
      <c r="O704" s="51" t="e">
        <f>VLOOKUP(N704,[2]!RUBROS[#All],3,0)</f>
        <v>#REF!</v>
      </c>
      <c r="P704" s="53" t="e">
        <f>VLOOKUP(N704,[2]!RUBROS[#All],2,0)</f>
        <v>#REF!</v>
      </c>
      <c r="Q704" s="47" t="str">
        <f t="shared" si="249"/>
        <v>22</v>
      </c>
      <c r="R704" s="47" t="str">
        <f t="shared" si="251"/>
        <v>0-205400</v>
      </c>
      <c r="S704" s="54">
        <v>6</v>
      </c>
      <c r="T704" s="59" t="s">
        <v>46</v>
      </c>
      <c r="U704" s="326" t="e">
        <f ca="1">_xlfn.XLOOKUP(PAA_4[[#This Row],[ITEM]],[2]Contrato!A:A,[2]Contrato!Q:Q,"",0)</f>
        <v>#NAME?</v>
      </c>
      <c r="V704" s="47" t="s">
        <v>47</v>
      </c>
      <c r="W704" s="47"/>
      <c r="X704" s="47"/>
      <c r="Y704" s="55" t="e">
        <f ca="1">_xlfn.XLOOKUP(PAA_4[[#This Row],[ITEM]],[2]Contrato!A:A,[2]Contrato!B:B,"",0)</f>
        <v>#NAME?</v>
      </c>
      <c r="Z704" s="47" t="e">
        <f ca="1">_xlfn.XLOOKUP(PAA_4[[#This Row],[ITEM]],[2]Contrato!A:A,[2]Contrato!G:G,"",0)</f>
        <v>#NAME?</v>
      </c>
      <c r="AA704" s="47" t="e">
        <f ca="1">_xlfn.XLOOKUP(PAA_4[[#This Row],[ITEM]],[2]Contrato!A:A,[2]Contrato!T:T,"",0)</f>
        <v>#NAME?</v>
      </c>
      <c r="AB704" s="55" t="e">
        <f ca="1">+MAX(PAA_4[[#This Row],[Comprometido Contrato]],PAA_4[[#This Row],[Comprometido Bolsa]])</f>
        <v>#NAME?</v>
      </c>
      <c r="AC704" s="55" t="str">
        <f t="shared" ca="1" si="252"/>
        <v/>
      </c>
      <c r="AD704" s="55" t="e">
        <f ca="1">IF(PAA_4[[#This Row],[ESTADO (formulado)]]="NO CONTRATADO",0,MAX(PAA_4[[#This Row],[Pago por Contrato]],PAA_4[[#This Row],[Pago por bolsa]]))</f>
        <v>#NAME?</v>
      </c>
      <c r="AE704" s="55" t="str">
        <f t="shared" ca="1" si="253"/>
        <v/>
      </c>
      <c r="AF704" s="47" t="e">
        <f t="shared" ca="1" si="255"/>
        <v>#NAME?</v>
      </c>
      <c r="AG704" s="47">
        <f t="shared" si="254"/>
        <v>41080101</v>
      </c>
      <c r="AH704" s="54" t="str">
        <f>IF(Q704="22",IF(ISNUMBER(SEARCH("econ",PAA_4[[#This Row],[Actividad3]])),"Económico",IF(ISNUMBER(SEARCH("alim",PAA_4[[#This Row],[Actividad3]])),"Alimentación",IF(ISNUMBER(SEARCH("educ",PAA_4[[#This Row],[Actividad3]])),"Educativo","Técnico"))),0)</f>
        <v>Técnico</v>
      </c>
      <c r="AI704" s="47" t="e" cm="1">
        <f t="array" aca="1" ref="AI704" ca="1">_xlfn.XLOOKUP(PAA_4[[#This Row],[RCP-RUBRO]],[2]!COMPROMISOS_2024[[#All],[concatenado]],[2]!COMPROMISOS_2024[[#All],[Total pagado]],"",0)</f>
        <v>#NAME?</v>
      </c>
      <c r="AJ704" s="56" t="e">
        <f ca="1">IF(PAA_4[[#This Row],[BOLSA]]=0,0,SUMIFS([2]!COMPROMISOS_2024[[#All],[Total pagado]],[2]!COMPROMISOS_2024[[#All],[Bolsa]],PAA_4[[#This Row],[BOLSA]],[2]!COMPROMISOS_2024[[#All],[rubro]],PAA_4[[#This Row],[RCP-RUBRO]]))</f>
        <v>#REF!</v>
      </c>
      <c r="AK704" s="47" t="e" cm="1">
        <f t="array" aca="1" ref="AK704" ca="1">_xlfn.XLOOKUP(PAA_4[[#This Row],[RCP-RUBRO]],[2]!COMPROMISOS_2024[[#All],[concatenado]],[2]!COMPROMISOS_2024[[#All],[Total Comprometido]],"",0)</f>
        <v>#NAME?</v>
      </c>
      <c r="AL704" s="47" t="e">
        <f ca="1">IF(PAA_4[[#This Row],[BOLSA]]=0,0,SUMIFS([2]!COMPROMISOS_2024[[#All],[Total Comprometido]],[2]!COMPROMISOS_2024[[#All],[Bolsa]],PAA_4[[#This Row],[BOLSA]],[2]!COMPROMISOS_2024[[#All],[concatenado]],PAA_4[[#This Row],[RCP-RUBRO]]))</f>
        <v>#REF!</v>
      </c>
    </row>
    <row r="705" spans="1:38" s="19" customFormat="1" ht="31.5" customHeight="1">
      <c r="A705" s="47">
        <v>310</v>
      </c>
      <c r="B705" s="47">
        <v>80111600</v>
      </c>
      <c r="C705" s="47" t="str">
        <f>VLOOKUP(PAA_4[[#This Row],[PROYECTO (formulado)2]],[2]PROYECTOS!$G$1:$L$32,6,0)</f>
        <v>SUBGERENCIA DE ALTOS LOGROS Y DEPORTE ASOCIADO</v>
      </c>
      <c r="D705" s="47" t="str">
        <f>+IF(PAA_4[[#This Row],[UNIDAD DE CONTRATACION (formulado)]]="Subgerencia Administrativa y Financiera","FUNCIONAMIENTO","INVERSIÓN")</f>
        <v>INVERSIÓN</v>
      </c>
      <c r="E705" s="48" t="str">
        <f>VLOOKUP(Q705,[2]PROYECTOS!$G$1:$K$32,5,0)</f>
        <v>APOYO_TÉCNICO_Y_PSICOSOCIAL_A_LOS_DEPORTISTAS_DE_ANTIOQUIA</v>
      </c>
      <c r="F705" s="48">
        <f>VLOOKUP(E705,[2]PROYECTOS!$K$1:$M$32,3,0)</f>
        <v>2021003050069</v>
      </c>
      <c r="G705" s="49" t="s">
        <v>239</v>
      </c>
      <c r="H705" s="49" t="str">
        <f>VLOOKUP(Q705,[2]PROYECTOS!$V$1:$W$32,2,0)</f>
        <v>050069</v>
      </c>
      <c r="I705" s="50">
        <v>0</v>
      </c>
      <c r="J705" s="51" t="s">
        <v>1693</v>
      </c>
      <c r="K705" s="47" t="str">
        <f t="shared" ca="1" si="250"/>
        <v>CONTRATADO</v>
      </c>
      <c r="L705" s="47" t="s">
        <v>94</v>
      </c>
      <c r="M705" s="47" t="s">
        <v>1297</v>
      </c>
      <c r="N705" s="52" t="s">
        <v>240</v>
      </c>
      <c r="O705" s="51" t="e">
        <f>VLOOKUP(N705,[2]!RUBROS[#All],3,0)</f>
        <v>#REF!</v>
      </c>
      <c r="P705" s="53" t="e">
        <f>VLOOKUP(N705,[2]!RUBROS[#All],2,0)</f>
        <v>#REF!</v>
      </c>
      <c r="Q705" s="47" t="str">
        <f t="shared" si="249"/>
        <v>22</v>
      </c>
      <c r="R705" s="47" t="str">
        <f t="shared" si="251"/>
        <v>0-205400</v>
      </c>
      <c r="S705" s="54">
        <v>6</v>
      </c>
      <c r="T705" s="59" t="s">
        <v>46</v>
      </c>
      <c r="U705" s="326" t="e">
        <f ca="1">_xlfn.XLOOKUP(PAA_4[[#This Row],[ITEM]],[2]Contrato!A:A,[2]Contrato!Q:Q,"",0)</f>
        <v>#NAME?</v>
      </c>
      <c r="V705" s="47" t="s">
        <v>47</v>
      </c>
      <c r="W705" s="47"/>
      <c r="X705" s="47"/>
      <c r="Y705" s="55" t="e">
        <f ca="1">_xlfn.XLOOKUP(PAA_4[[#This Row],[ITEM]],[2]Contrato!A:A,[2]Contrato!B:B,"",0)</f>
        <v>#NAME?</v>
      </c>
      <c r="Z705" s="47" t="e">
        <f ca="1">_xlfn.XLOOKUP(PAA_4[[#This Row],[ITEM]],[2]Contrato!A:A,[2]Contrato!G:G,"",0)</f>
        <v>#NAME?</v>
      </c>
      <c r="AA705" s="47" t="e">
        <f ca="1">_xlfn.XLOOKUP(PAA_4[[#This Row],[ITEM]],[2]Contrato!A:A,[2]Contrato!T:T,"",0)</f>
        <v>#NAME?</v>
      </c>
      <c r="AB705" s="55" t="e">
        <f ca="1">+MAX(PAA_4[[#This Row],[Comprometido Contrato]],PAA_4[[#This Row],[Comprometido Bolsa]])</f>
        <v>#NAME?</v>
      </c>
      <c r="AC705" s="55" t="str">
        <f t="shared" ca="1" si="252"/>
        <v/>
      </c>
      <c r="AD705" s="55" t="e">
        <f ca="1">IF(PAA_4[[#This Row],[ESTADO (formulado)]]="NO CONTRATADO",0,MAX(PAA_4[[#This Row],[Pago por Contrato]],PAA_4[[#This Row],[Pago por bolsa]]))</f>
        <v>#NAME?</v>
      </c>
      <c r="AE705" s="55" t="str">
        <f t="shared" ca="1" si="253"/>
        <v/>
      </c>
      <c r="AF705" s="47" t="e">
        <f t="shared" ca="1" si="255"/>
        <v>#NAME?</v>
      </c>
      <c r="AG705" s="47">
        <f t="shared" si="254"/>
        <v>41080101</v>
      </c>
      <c r="AH705" s="54" t="str">
        <f>IF(Q705="22",IF(ISNUMBER(SEARCH("econ",PAA_4[[#This Row],[Actividad3]])),"Económico",IF(ISNUMBER(SEARCH("alim",PAA_4[[#This Row],[Actividad3]])),"Alimentación",IF(ISNUMBER(SEARCH("educ",PAA_4[[#This Row],[Actividad3]])),"Educativo","Técnico"))),0)</f>
        <v>Técnico</v>
      </c>
      <c r="AI705" s="47" t="e" cm="1">
        <f t="array" aca="1" ref="AI705" ca="1">_xlfn.XLOOKUP(PAA_4[[#This Row],[RCP-RUBRO]],[2]!COMPROMISOS_2024[[#All],[concatenado]],[2]!COMPROMISOS_2024[[#All],[Total pagado]],"",0)</f>
        <v>#NAME?</v>
      </c>
      <c r="AJ705" s="56" t="e">
        <f ca="1">IF(PAA_4[[#This Row],[BOLSA]]=0,0,SUMIFS([2]!COMPROMISOS_2024[[#All],[Total pagado]],[2]!COMPROMISOS_2024[[#All],[Bolsa]],PAA_4[[#This Row],[BOLSA]],[2]!COMPROMISOS_2024[[#All],[rubro]],PAA_4[[#This Row],[RCP-RUBRO]]))</f>
        <v>#REF!</v>
      </c>
      <c r="AK705" s="47" t="e" cm="1">
        <f t="array" aca="1" ref="AK705" ca="1">_xlfn.XLOOKUP(PAA_4[[#This Row],[RCP-RUBRO]],[2]!COMPROMISOS_2024[[#All],[concatenado]],[2]!COMPROMISOS_2024[[#All],[Total Comprometido]],"",0)</f>
        <v>#NAME?</v>
      </c>
      <c r="AL705" s="47" t="e">
        <f ca="1">IF(PAA_4[[#This Row],[BOLSA]]=0,0,SUMIFS([2]!COMPROMISOS_2024[[#All],[Total Comprometido]],[2]!COMPROMISOS_2024[[#All],[Bolsa]],PAA_4[[#This Row],[BOLSA]],[2]!COMPROMISOS_2024[[#All],[concatenado]],PAA_4[[#This Row],[RCP-RUBRO]]))</f>
        <v>#REF!</v>
      </c>
    </row>
    <row r="706" spans="1:38" s="19" customFormat="1" ht="31.5" customHeight="1">
      <c r="A706" s="47">
        <v>311</v>
      </c>
      <c r="B706" s="47">
        <v>80111600</v>
      </c>
      <c r="C706" s="47" t="str">
        <f>VLOOKUP(PAA_4[[#This Row],[PROYECTO (formulado)2]],[2]PROYECTOS!$G$1:$L$32,6,0)</f>
        <v>SUBGERENCIA DE ALTOS LOGROS Y DEPORTE ASOCIADO</v>
      </c>
      <c r="D706" s="47" t="str">
        <f>+IF(PAA_4[[#This Row],[UNIDAD DE CONTRATACION (formulado)]]="Subgerencia Administrativa y Financiera","FUNCIONAMIENTO","INVERSIÓN")</f>
        <v>INVERSIÓN</v>
      </c>
      <c r="E706" s="48" t="str">
        <f>VLOOKUP(Q706,[2]PROYECTOS!$G$1:$K$32,5,0)</f>
        <v>APOYO_TÉCNICO_Y_PSICOSOCIAL_A_LOS_DEPORTISTAS_DE_ANTIOQUIA</v>
      </c>
      <c r="F706" s="48">
        <f>VLOOKUP(E706,[2]PROYECTOS!$K$1:$M$32,3,0)</f>
        <v>2021003050069</v>
      </c>
      <c r="G706" s="49" t="s">
        <v>239</v>
      </c>
      <c r="H706" s="49" t="str">
        <f>VLOOKUP(Q706,[2]PROYECTOS!$V$1:$W$32,2,0)</f>
        <v>050069</v>
      </c>
      <c r="I706" s="50">
        <v>0</v>
      </c>
      <c r="J706" s="51" t="s">
        <v>1693</v>
      </c>
      <c r="K706" s="47" t="str">
        <f t="shared" ca="1" si="250"/>
        <v>CONTRATADO</v>
      </c>
      <c r="L706" s="47" t="s">
        <v>94</v>
      </c>
      <c r="M706" s="47" t="s">
        <v>1297</v>
      </c>
      <c r="N706" s="52" t="s">
        <v>240</v>
      </c>
      <c r="O706" s="51" t="e">
        <f>VLOOKUP(N706,[2]!RUBROS[#All],3,0)</f>
        <v>#REF!</v>
      </c>
      <c r="P706" s="53" t="e">
        <f>VLOOKUP(N706,[2]!RUBROS[#All],2,0)</f>
        <v>#REF!</v>
      </c>
      <c r="Q706" s="47" t="str">
        <f t="shared" si="249"/>
        <v>22</v>
      </c>
      <c r="R706" s="47" t="str">
        <f t="shared" si="251"/>
        <v>0-205400</v>
      </c>
      <c r="S706" s="54">
        <v>6</v>
      </c>
      <c r="T706" s="59" t="s">
        <v>46</v>
      </c>
      <c r="U706" s="326" t="e">
        <f ca="1">_xlfn.XLOOKUP(PAA_4[[#This Row],[ITEM]],[2]Contrato!A:A,[2]Contrato!Q:Q,"",0)</f>
        <v>#NAME?</v>
      </c>
      <c r="V706" s="47" t="s">
        <v>47</v>
      </c>
      <c r="W706" s="47"/>
      <c r="X706" s="47"/>
      <c r="Y706" s="55" t="e">
        <f ca="1">_xlfn.XLOOKUP(PAA_4[[#This Row],[ITEM]],[2]Contrato!A:A,[2]Contrato!B:B,"",0)</f>
        <v>#NAME?</v>
      </c>
      <c r="Z706" s="47" t="e">
        <f ca="1">_xlfn.XLOOKUP(PAA_4[[#This Row],[ITEM]],[2]Contrato!A:A,[2]Contrato!G:G,"",0)</f>
        <v>#NAME?</v>
      </c>
      <c r="AA706" s="47" t="e">
        <f ca="1">_xlfn.XLOOKUP(PAA_4[[#This Row],[ITEM]],[2]Contrato!A:A,[2]Contrato!T:T,"",0)</f>
        <v>#NAME?</v>
      </c>
      <c r="AB706" s="55" t="e">
        <f ca="1">+MAX(PAA_4[[#This Row],[Comprometido Contrato]],PAA_4[[#This Row],[Comprometido Bolsa]])</f>
        <v>#NAME?</v>
      </c>
      <c r="AC706" s="55" t="str">
        <f t="shared" ca="1" si="252"/>
        <v/>
      </c>
      <c r="AD706" s="55" t="e">
        <f ca="1">IF(PAA_4[[#This Row],[ESTADO (formulado)]]="NO CONTRATADO",0,MAX(PAA_4[[#This Row],[Pago por Contrato]],PAA_4[[#This Row],[Pago por bolsa]]))</f>
        <v>#NAME?</v>
      </c>
      <c r="AE706" s="55" t="str">
        <f t="shared" ca="1" si="253"/>
        <v/>
      </c>
      <c r="AF706" s="47" t="e">
        <f t="shared" ca="1" si="255"/>
        <v>#NAME?</v>
      </c>
      <c r="AG706" s="47">
        <f t="shared" si="254"/>
        <v>41080101</v>
      </c>
      <c r="AH706" s="54" t="str">
        <f>IF(Q706="22",IF(ISNUMBER(SEARCH("econ",PAA_4[[#This Row],[Actividad3]])),"Económico",IF(ISNUMBER(SEARCH("alim",PAA_4[[#This Row],[Actividad3]])),"Alimentación",IF(ISNUMBER(SEARCH("educ",PAA_4[[#This Row],[Actividad3]])),"Educativo","Técnico"))),0)</f>
        <v>Técnico</v>
      </c>
      <c r="AI706" s="47" t="e" cm="1">
        <f t="array" aca="1" ref="AI706" ca="1">_xlfn.XLOOKUP(PAA_4[[#This Row],[RCP-RUBRO]],[2]!COMPROMISOS_2024[[#All],[concatenado]],[2]!COMPROMISOS_2024[[#All],[Total pagado]],"",0)</f>
        <v>#NAME?</v>
      </c>
      <c r="AJ706" s="56" t="e">
        <f ca="1">IF(PAA_4[[#This Row],[BOLSA]]=0,0,SUMIFS([2]!COMPROMISOS_2024[[#All],[Total pagado]],[2]!COMPROMISOS_2024[[#All],[Bolsa]],PAA_4[[#This Row],[BOLSA]],[2]!COMPROMISOS_2024[[#All],[rubro]],PAA_4[[#This Row],[RCP-RUBRO]]))</f>
        <v>#REF!</v>
      </c>
      <c r="AK706" s="47" t="e" cm="1">
        <f t="array" aca="1" ref="AK706" ca="1">_xlfn.XLOOKUP(PAA_4[[#This Row],[RCP-RUBRO]],[2]!COMPROMISOS_2024[[#All],[concatenado]],[2]!COMPROMISOS_2024[[#All],[Total Comprometido]],"",0)</f>
        <v>#NAME?</v>
      </c>
      <c r="AL706" s="47" t="e">
        <f ca="1">IF(PAA_4[[#This Row],[BOLSA]]=0,0,SUMIFS([2]!COMPROMISOS_2024[[#All],[Total Comprometido]],[2]!COMPROMISOS_2024[[#All],[Bolsa]],PAA_4[[#This Row],[BOLSA]],[2]!COMPROMISOS_2024[[#All],[concatenado]],PAA_4[[#This Row],[RCP-RUBRO]]))</f>
        <v>#REF!</v>
      </c>
    </row>
    <row r="707" spans="1:38" s="19" customFormat="1" ht="31.5" customHeight="1">
      <c r="A707" s="47">
        <v>312</v>
      </c>
      <c r="B707" s="47">
        <v>80111600</v>
      </c>
      <c r="C707" s="47" t="str">
        <f>VLOOKUP(PAA_4[[#This Row],[PROYECTO (formulado)2]],[2]PROYECTOS!$G$1:$L$32,6,0)</f>
        <v>SUBGERENCIA DE ALTOS LOGROS Y DEPORTE ASOCIADO</v>
      </c>
      <c r="D707" s="47" t="str">
        <f>+IF(PAA_4[[#This Row],[UNIDAD DE CONTRATACION (formulado)]]="Subgerencia Administrativa y Financiera","FUNCIONAMIENTO","INVERSIÓN")</f>
        <v>INVERSIÓN</v>
      </c>
      <c r="E707" s="48" t="str">
        <f>VLOOKUP(Q707,[2]PROYECTOS!$G$1:$K$32,5,0)</f>
        <v>APOYO_TÉCNICO_Y_PSICOSOCIAL_A_LOS_DEPORTISTAS_DE_ANTIOQUIA</v>
      </c>
      <c r="F707" s="48">
        <f>VLOOKUP(E707,[2]PROYECTOS!$K$1:$M$32,3,0)</f>
        <v>2021003050069</v>
      </c>
      <c r="G707" s="49" t="s">
        <v>239</v>
      </c>
      <c r="H707" s="49" t="str">
        <f>VLOOKUP(Q707,[2]PROYECTOS!$V$1:$W$32,2,0)</f>
        <v>050069</v>
      </c>
      <c r="I707" s="50">
        <v>0</v>
      </c>
      <c r="J707" s="51" t="s">
        <v>1693</v>
      </c>
      <c r="K707" s="47" t="str">
        <f t="shared" ca="1" si="250"/>
        <v>CONTRATADO</v>
      </c>
      <c r="L707" s="47" t="s">
        <v>94</v>
      </c>
      <c r="M707" s="47" t="s">
        <v>1297</v>
      </c>
      <c r="N707" s="52" t="s">
        <v>240</v>
      </c>
      <c r="O707" s="51" t="e">
        <f>VLOOKUP(N707,[2]!RUBROS[#All],3,0)</f>
        <v>#REF!</v>
      </c>
      <c r="P707" s="53" t="e">
        <f>VLOOKUP(N707,[2]!RUBROS[#All],2,0)</f>
        <v>#REF!</v>
      </c>
      <c r="Q707" s="47" t="str">
        <f t="shared" si="249"/>
        <v>22</v>
      </c>
      <c r="R707" s="47" t="str">
        <f t="shared" si="251"/>
        <v>0-205400</v>
      </c>
      <c r="S707" s="54">
        <v>6</v>
      </c>
      <c r="T707" s="59" t="s">
        <v>46</v>
      </c>
      <c r="U707" s="326" t="e">
        <f ca="1">_xlfn.XLOOKUP(PAA_4[[#This Row],[ITEM]],[2]Contrato!A:A,[2]Contrato!Q:Q,"",0)</f>
        <v>#NAME?</v>
      </c>
      <c r="V707" s="47" t="s">
        <v>47</v>
      </c>
      <c r="W707" s="47"/>
      <c r="X707" s="47"/>
      <c r="Y707" s="55" t="e">
        <f ca="1">_xlfn.XLOOKUP(PAA_4[[#This Row],[ITEM]],[2]Contrato!A:A,[2]Contrato!B:B,"",0)</f>
        <v>#NAME?</v>
      </c>
      <c r="Z707" s="47" t="e">
        <f ca="1">_xlfn.XLOOKUP(PAA_4[[#This Row],[ITEM]],[2]Contrato!A:A,[2]Contrato!G:G,"",0)</f>
        <v>#NAME?</v>
      </c>
      <c r="AA707" s="47" t="e">
        <f ca="1">_xlfn.XLOOKUP(PAA_4[[#This Row],[ITEM]],[2]Contrato!A:A,[2]Contrato!T:T,"",0)</f>
        <v>#NAME?</v>
      </c>
      <c r="AB707" s="55" t="e">
        <f ca="1">+MAX(PAA_4[[#This Row],[Comprometido Contrato]],PAA_4[[#This Row],[Comprometido Bolsa]])</f>
        <v>#NAME?</v>
      </c>
      <c r="AC707" s="55" t="str">
        <f t="shared" ca="1" si="252"/>
        <v/>
      </c>
      <c r="AD707" s="55" t="e">
        <f ca="1">IF(PAA_4[[#This Row],[ESTADO (formulado)]]="NO CONTRATADO",0,MAX(PAA_4[[#This Row],[Pago por Contrato]],PAA_4[[#This Row],[Pago por bolsa]]))</f>
        <v>#NAME?</v>
      </c>
      <c r="AE707" s="55" t="str">
        <f t="shared" ca="1" si="253"/>
        <v/>
      </c>
      <c r="AF707" s="47" t="e">
        <f t="shared" ca="1" si="255"/>
        <v>#NAME?</v>
      </c>
      <c r="AG707" s="47">
        <f t="shared" si="254"/>
        <v>41080101</v>
      </c>
      <c r="AH707" s="54" t="str">
        <f>IF(Q707="22",IF(ISNUMBER(SEARCH("econ",PAA_4[[#This Row],[Actividad3]])),"Económico",IF(ISNUMBER(SEARCH("alim",PAA_4[[#This Row],[Actividad3]])),"Alimentación",IF(ISNUMBER(SEARCH("educ",PAA_4[[#This Row],[Actividad3]])),"Educativo","Técnico"))),0)</f>
        <v>Técnico</v>
      </c>
      <c r="AI707" s="47" t="e" cm="1">
        <f t="array" aca="1" ref="AI707" ca="1">_xlfn.XLOOKUP(PAA_4[[#This Row],[RCP-RUBRO]],[2]!COMPROMISOS_2024[[#All],[concatenado]],[2]!COMPROMISOS_2024[[#All],[Total pagado]],"",0)</f>
        <v>#NAME?</v>
      </c>
      <c r="AJ707" s="56" t="e">
        <f ca="1">IF(PAA_4[[#This Row],[BOLSA]]=0,0,SUMIFS([2]!COMPROMISOS_2024[[#All],[Total pagado]],[2]!COMPROMISOS_2024[[#All],[Bolsa]],PAA_4[[#This Row],[BOLSA]],[2]!COMPROMISOS_2024[[#All],[rubro]],PAA_4[[#This Row],[RCP-RUBRO]]))</f>
        <v>#REF!</v>
      </c>
      <c r="AK707" s="47" t="e" cm="1">
        <f t="array" aca="1" ref="AK707" ca="1">_xlfn.XLOOKUP(PAA_4[[#This Row],[RCP-RUBRO]],[2]!COMPROMISOS_2024[[#All],[concatenado]],[2]!COMPROMISOS_2024[[#All],[Total Comprometido]],"",0)</f>
        <v>#NAME?</v>
      </c>
      <c r="AL707" s="47" t="e">
        <f ca="1">IF(PAA_4[[#This Row],[BOLSA]]=0,0,SUMIFS([2]!COMPROMISOS_2024[[#All],[Total Comprometido]],[2]!COMPROMISOS_2024[[#All],[Bolsa]],PAA_4[[#This Row],[BOLSA]],[2]!COMPROMISOS_2024[[#All],[concatenado]],PAA_4[[#This Row],[RCP-RUBRO]]))</f>
        <v>#REF!</v>
      </c>
    </row>
    <row r="708" spans="1:38" s="19" customFormat="1" ht="31.5" customHeight="1">
      <c r="A708" s="47">
        <v>313</v>
      </c>
      <c r="B708" s="47">
        <v>80111600</v>
      </c>
      <c r="C708" s="47" t="str">
        <f>VLOOKUP(PAA_4[[#This Row],[PROYECTO (formulado)2]],[2]PROYECTOS!$G$1:$L$32,6,0)</f>
        <v>SUBGERENCIA DE ALTOS LOGROS Y DEPORTE ASOCIADO</v>
      </c>
      <c r="D708" s="47" t="str">
        <f>+IF(PAA_4[[#This Row],[UNIDAD DE CONTRATACION (formulado)]]="Subgerencia Administrativa y Financiera","FUNCIONAMIENTO","INVERSIÓN")</f>
        <v>INVERSIÓN</v>
      </c>
      <c r="E708" s="48" t="str">
        <f>VLOOKUP(Q708,[2]PROYECTOS!$G$1:$K$32,5,0)</f>
        <v>APOYO_TÉCNICO_Y_PSICOSOCIAL_A_LOS_DEPORTISTAS_DE_ANTIOQUIA</v>
      </c>
      <c r="F708" s="48">
        <f>VLOOKUP(E708,[2]PROYECTOS!$K$1:$M$32,3,0)</f>
        <v>2021003050069</v>
      </c>
      <c r="G708" s="49" t="s">
        <v>239</v>
      </c>
      <c r="H708" s="49" t="str">
        <f>VLOOKUP(Q708,[2]PROYECTOS!$V$1:$W$32,2,0)</f>
        <v>050069</v>
      </c>
      <c r="I708" s="50">
        <v>0</v>
      </c>
      <c r="J708" s="51" t="s">
        <v>1693</v>
      </c>
      <c r="K708" s="47" t="str">
        <f t="shared" ca="1" si="250"/>
        <v>CONTRATADO</v>
      </c>
      <c r="L708" s="47" t="s">
        <v>94</v>
      </c>
      <c r="M708" s="47" t="s">
        <v>1297</v>
      </c>
      <c r="N708" s="52" t="s">
        <v>240</v>
      </c>
      <c r="O708" s="51" t="e">
        <f>VLOOKUP(N708,[2]!RUBROS[#All],3,0)</f>
        <v>#REF!</v>
      </c>
      <c r="P708" s="53" t="e">
        <f>VLOOKUP(N708,[2]!RUBROS[#All],2,0)</f>
        <v>#REF!</v>
      </c>
      <c r="Q708" s="47" t="str">
        <f t="shared" si="249"/>
        <v>22</v>
      </c>
      <c r="R708" s="47" t="str">
        <f t="shared" si="251"/>
        <v>0-205400</v>
      </c>
      <c r="S708" s="54">
        <v>6</v>
      </c>
      <c r="T708" s="59" t="s">
        <v>46</v>
      </c>
      <c r="U708" s="326" t="e">
        <f ca="1">_xlfn.XLOOKUP(PAA_4[[#This Row],[ITEM]],[2]Contrato!A:A,[2]Contrato!Q:Q,"",0)</f>
        <v>#NAME?</v>
      </c>
      <c r="V708" s="47" t="s">
        <v>47</v>
      </c>
      <c r="W708" s="47"/>
      <c r="X708" s="47"/>
      <c r="Y708" s="55" t="e">
        <f ca="1">_xlfn.XLOOKUP(PAA_4[[#This Row],[ITEM]],[2]Contrato!A:A,[2]Contrato!B:B,"",0)</f>
        <v>#NAME?</v>
      </c>
      <c r="Z708" s="47" t="e">
        <f ca="1">_xlfn.XLOOKUP(PAA_4[[#This Row],[ITEM]],[2]Contrato!A:A,[2]Contrato!G:G,"",0)</f>
        <v>#NAME?</v>
      </c>
      <c r="AA708" s="47" t="e">
        <f ca="1">_xlfn.XLOOKUP(PAA_4[[#This Row],[ITEM]],[2]Contrato!A:A,[2]Contrato!T:T,"",0)</f>
        <v>#NAME?</v>
      </c>
      <c r="AB708" s="55" t="e">
        <f ca="1">+MAX(PAA_4[[#This Row],[Comprometido Contrato]],PAA_4[[#This Row],[Comprometido Bolsa]])</f>
        <v>#NAME?</v>
      </c>
      <c r="AC708" s="55" t="str">
        <f t="shared" ca="1" si="252"/>
        <v/>
      </c>
      <c r="AD708" s="55" t="e">
        <f ca="1">IF(PAA_4[[#This Row],[ESTADO (formulado)]]="NO CONTRATADO",0,MAX(PAA_4[[#This Row],[Pago por Contrato]],PAA_4[[#This Row],[Pago por bolsa]]))</f>
        <v>#NAME?</v>
      </c>
      <c r="AE708" s="55" t="str">
        <f t="shared" ca="1" si="253"/>
        <v/>
      </c>
      <c r="AF708" s="47" t="e">
        <f t="shared" ca="1" si="255"/>
        <v>#NAME?</v>
      </c>
      <c r="AG708" s="47">
        <f t="shared" si="254"/>
        <v>41080101</v>
      </c>
      <c r="AH708" s="54" t="str">
        <f>IF(Q708="22",IF(ISNUMBER(SEARCH("econ",PAA_4[[#This Row],[Actividad3]])),"Económico",IF(ISNUMBER(SEARCH("alim",PAA_4[[#This Row],[Actividad3]])),"Alimentación",IF(ISNUMBER(SEARCH("educ",PAA_4[[#This Row],[Actividad3]])),"Educativo","Técnico"))),0)</f>
        <v>Técnico</v>
      </c>
      <c r="AI708" s="47" t="e" cm="1">
        <f t="array" aca="1" ref="AI708" ca="1">_xlfn.XLOOKUP(PAA_4[[#This Row],[RCP-RUBRO]],[2]!COMPROMISOS_2024[[#All],[concatenado]],[2]!COMPROMISOS_2024[[#All],[Total pagado]],"",0)</f>
        <v>#NAME?</v>
      </c>
      <c r="AJ708" s="56" t="e">
        <f ca="1">IF(PAA_4[[#This Row],[BOLSA]]=0,0,SUMIFS([2]!COMPROMISOS_2024[[#All],[Total pagado]],[2]!COMPROMISOS_2024[[#All],[Bolsa]],PAA_4[[#This Row],[BOLSA]],[2]!COMPROMISOS_2024[[#All],[rubro]],PAA_4[[#This Row],[RCP-RUBRO]]))</f>
        <v>#REF!</v>
      </c>
      <c r="AK708" s="47" t="e" cm="1">
        <f t="array" aca="1" ref="AK708" ca="1">_xlfn.XLOOKUP(PAA_4[[#This Row],[RCP-RUBRO]],[2]!COMPROMISOS_2024[[#All],[concatenado]],[2]!COMPROMISOS_2024[[#All],[Total Comprometido]],"",0)</f>
        <v>#NAME?</v>
      </c>
      <c r="AL708" s="47" t="e">
        <f ca="1">IF(PAA_4[[#This Row],[BOLSA]]=0,0,SUMIFS([2]!COMPROMISOS_2024[[#All],[Total Comprometido]],[2]!COMPROMISOS_2024[[#All],[Bolsa]],PAA_4[[#This Row],[BOLSA]],[2]!COMPROMISOS_2024[[#All],[concatenado]],PAA_4[[#This Row],[RCP-RUBRO]]))</f>
        <v>#REF!</v>
      </c>
    </row>
    <row r="709" spans="1:38" s="19" customFormat="1" ht="31.5" customHeight="1">
      <c r="A709" s="47">
        <v>314</v>
      </c>
      <c r="B709" s="47">
        <v>80111600</v>
      </c>
      <c r="C709" s="47" t="str">
        <f>VLOOKUP(PAA_4[[#This Row],[PROYECTO (formulado)2]],[2]PROYECTOS!$G$1:$L$32,6,0)</f>
        <v>SUBGERENCIA DE ALTOS LOGROS Y DEPORTE ASOCIADO</v>
      </c>
      <c r="D709" s="47" t="str">
        <f>+IF(PAA_4[[#This Row],[UNIDAD DE CONTRATACION (formulado)]]="Subgerencia Administrativa y Financiera","FUNCIONAMIENTO","INVERSIÓN")</f>
        <v>INVERSIÓN</v>
      </c>
      <c r="E709" s="48" t="str">
        <f>VLOOKUP(Q709,[2]PROYECTOS!$G$1:$K$32,5,0)</f>
        <v>APOYO_TÉCNICO_Y_PSICOSOCIAL_A_LOS_DEPORTISTAS_DE_ANTIOQUIA</v>
      </c>
      <c r="F709" s="48">
        <f>VLOOKUP(E709,[2]PROYECTOS!$K$1:$M$32,3,0)</f>
        <v>2021003050069</v>
      </c>
      <c r="G709" s="49" t="s">
        <v>239</v>
      </c>
      <c r="H709" s="49" t="str">
        <f>VLOOKUP(Q709,[2]PROYECTOS!$V$1:$W$32,2,0)</f>
        <v>050069</v>
      </c>
      <c r="I709" s="50">
        <v>0</v>
      </c>
      <c r="J709" s="51" t="s">
        <v>1693</v>
      </c>
      <c r="K709" s="47" t="str">
        <f t="shared" ca="1" si="250"/>
        <v>CONTRATADO</v>
      </c>
      <c r="L709" s="47" t="s">
        <v>94</v>
      </c>
      <c r="M709" s="47" t="s">
        <v>1297</v>
      </c>
      <c r="N709" s="52" t="s">
        <v>240</v>
      </c>
      <c r="O709" s="51" t="e">
        <f>VLOOKUP(N709,[2]!RUBROS[#All],3,0)</f>
        <v>#REF!</v>
      </c>
      <c r="P709" s="53" t="e">
        <f>VLOOKUP(N709,[2]!RUBROS[#All],2,0)</f>
        <v>#REF!</v>
      </c>
      <c r="Q709" s="47" t="str">
        <f t="shared" si="249"/>
        <v>22</v>
      </c>
      <c r="R709" s="47" t="str">
        <f t="shared" si="251"/>
        <v>0-205400</v>
      </c>
      <c r="S709" s="54">
        <v>6</v>
      </c>
      <c r="T709" s="59" t="s">
        <v>46</v>
      </c>
      <c r="U709" s="326" t="e">
        <f ca="1">_xlfn.XLOOKUP(PAA_4[[#This Row],[ITEM]],[2]Contrato!A:A,[2]Contrato!Q:Q,"",0)</f>
        <v>#NAME?</v>
      </c>
      <c r="V709" s="47" t="s">
        <v>47</v>
      </c>
      <c r="W709" s="47"/>
      <c r="X709" s="47"/>
      <c r="Y709" s="55" t="e">
        <f ca="1">_xlfn.XLOOKUP(PAA_4[[#This Row],[ITEM]],[2]Contrato!A:A,[2]Contrato!B:B,"",0)</f>
        <v>#NAME?</v>
      </c>
      <c r="Z709" s="47" t="e">
        <f ca="1">_xlfn.XLOOKUP(PAA_4[[#This Row],[ITEM]],[2]Contrato!A:A,[2]Contrato!G:G,"",0)</f>
        <v>#NAME?</v>
      </c>
      <c r="AA709" s="47" t="e">
        <f ca="1">_xlfn.XLOOKUP(PAA_4[[#This Row],[ITEM]],[2]Contrato!A:A,[2]Contrato!T:T,"",0)</f>
        <v>#NAME?</v>
      </c>
      <c r="AB709" s="55" t="e">
        <f ca="1">+MAX(PAA_4[[#This Row],[Comprometido Contrato]],PAA_4[[#This Row],[Comprometido Bolsa]])</f>
        <v>#NAME?</v>
      </c>
      <c r="AC709" s="55" t="str">
        <f t="shared" ca="1" si="252"/>
        <v/>
      </c>
      <c r="AD709" s="55" t="e">
        <f ca="1">IF(PAA_4[[#This Row],[ESTADO (formulado)]]="NO CONTRATADO",0,MAX(PAA_4[[#This Row],[Pago por Contrato]],PAA_4[[#This Row],[Pago por bolsa]]))</f>
        <v>#NAME?</v>
      </c>
      <c r="AE709" s="55" t="str">
        <f t="shared" ca="1" si="253"/>
        <v/>
      </c>
      <c r="AF709" s="47" t="e">
        <f t="shared" ca="1" si="255"/>
        <v>#NAME?</v>
      </c>
      <c r="AG709" s="47">
        <f t="shared" si="254"/>
        <v>41080101</v>
      </c>
      <c r="AH709" s="54" t="str">
        <f>IF(Q709="22",IF(ISNUMBER(SEARCH("econ",PAA_4[[#This Row],[Actividad3]])),"Económico",IF(ISNUMBER(SEARCH("alim",PAA_4[[#This Row],[Actividad3]])),"Alimentación",IF(ISNUMBER(SEARCH("educ",PAA_4[[#This Row],[Actividad3]])),"Educativo","Técnico"))),0)</f>
        <v>Técnico</v>
      </c>
      <c r="AI709" s="47" t="e" cm="1">
        <f t="array" aca="1" ref="AI709" ca="1">_xlfn.XLOOKUP(PAA_4[[#This Row],[RCP-RUBRO]],[2]!COMPROMISOS_2024[[#All],[concatenado]],[2]!COMPROMISOS_2024[[#All],[Total pagado]],"",0)</f>
        <v>#NAME?</v>
      </c>
      <c r="AJ709" s="56" t="e">
        <f ca="1">IF(PAA_4[[#This Row],[BOLSA]]=0,0,SUMIFS([2]!COMPROMISOS_2024[[#All],[Total pagado]],[2]!COMPROMISOS_2024[[#All],[Bolsa]],PAA_4[[#This Row],[BOLSA]],[2]!COMPROMISOS_2024[[#All],[rubro]],PAA_4[[#This Row],[RCP-RUBRO]]))</f>
        <v>#REF!</v>
      </c>
      <c r="AK709" s="47" t="e" cm="1">
        <f t="array" aca="1" ref="AK709" ca="1">_xlfn.XLOOKUP(PAA_4[[#This Row],[RCP-RUBRO]],[2]!COMPROMISOS_2024[[#All],[concatenado]],[2]!COMPROMISOS_2024[[#All],[Total Comprometido]],"",0)</f>
        <v>#NAME?</v>
      </c>
      <c r="AL709" s="47" t="e">
        <f ca="1">IF(PAA_4[[#This Row],[BOLSA]]=0,0,SUMIFS([2]!COMPROMISOS_2024[[#All],[Total Comprometido]],[2]!COMPROMISOS_2024[[#All],[Bolsa]],PAA_4[[#This Row],[BOLSA]],[2]!COMPROMISOS_2024[[#All],[concatenado]],PAA_4[[#This Row],[RCP-RUBRO]]))</f>
        <v>#REF!</v>
      </c>
    </row>
    <row r="710" spans="1:38" s="19" customFormat="1" ht="31.5" customHeight="1">
      <c r="A710" s="47">
        <v>315</v>
      </c>
      <c r="B710" s="47">
        <v>80111600</v>
      </c>
      <c r="C710" s="47" t="str">
        <f>VLOOKUP(PAA_4[[#This Row],[PROYECTO (formulado)2]],[2]PROYECTOS!$G$1:$L$32,6,0)</f>
        <v>SUBGERENCIA DE ALTOS LOGROS Y DEPORTE ASOCIADO</v>
      </c>
      <c r="D710" s="47" t="str">
        <f>+IF(PAA_4[[#This Row],[UNIDAD DE CONTRATACION (formulado)]]="Subgerencia Administrativa y Financiera","FUNCIONAMIENTO","INVERSIÓN")</f>
        <v>INVERSIÓN</v>
      </c>
      <c r="E710" s="48" t="str">
        <f>VLOOKUP(Q710,[2]PROYECTOS!$G$1:$K$32,5,0)</f>
        <v>APOYO_TÉCNICO_Y_PSICOSOCIAL_A_LOS_DEPORTISTAS_DE_ANTIOQUIA</v>
      </c>
      <c r="F710" s="48">
        <f>VLOOKUP(E710,[2]PROYECTOS!$K$1:$M$32,3,0)</f>
        <v>2021003050069</v>
      </c>
      <c r="G710" s="49" t="s">
        <v>239</v>
      </c>
      <c r="H710" s="49" t="str">
        <f>VLOOKUP(Q710,[2]PROYECTOS!$V$1:$W$32,2,0)</f>
        <v>050069</v>
      </c>
      <c r="I710" s="50">
        <v>0</v>
      </c>
      <c r="J710" s="51" t="s">
        <v>1693</v>
      </c>
      <c r="K710" s="47" t="str">
        <f t="shared" ca="1" si="250"/>
        <v>CONTRATADO</v>
      </c>
      <c r="L710" s="47" t="s">
        <v>94</v>
      </c>
      <c r="M710" s="47" t="s">
        <v>1297</v>
      </c>
      <c r="N710" s="52" t="s">
        <v>240</v>
      </c>
      <c r="O710" s="51" t="e">
        <f>VLOOKUP(N710,[2]!RUBROS[#All],3,0)</f>
        <v>#REF!</v>
      </c>
      <c r="P710" s="53" t="e">
        <f>VLOOKUP(N710,[2]!RUBROS[#All],2,0)</f>
        <v>#REF!</v>
      </c>
      <c r="Q710" s="47" t="str">
        <f t="shared" si="249"/>
        <v>22</v>
      </c>
      <c r="R710" s="47" t="str">
        <f t="shared" si="251"/>
        <v>0-205400</v>
      </c>
      <c r="S710" s="54">
        <v>6</v>
      </c>
      <c r="T710" s="59" t="s">
        <v>46</v>
      </c>
      <c r="U710" s="326" t="e">
        <f ca="1">_xlfn.XLOOKUP(PAA_4[[#This Row],[ITEM]],[2]Contrato!A:A,[2]Contrato!Q:Q,"",0)</f>
        <v>#NAME?</v>
      </c>
      <c r="V710" s="47" t="s">
        <v>47</v>
      </c>
      <c r="W710" s="47"/>
      <c r="X710" s="47"/>
      <c r="Y710" s="55" t="e">
        <f ca="1">_xlfn.XLOOKUP(PAA_4[[#This Row],[ITEM]],[2]Contrato!A:A,[2]Contrato!B:B,"",0)</f>
        <v>#NAME?</v>
      </c>
      <c r="Z710" s="47" t="e">
        <f ca="1">_xlfn.XLOOKUP(PAA_4[[#This Row],[ITEM]],[2]Contrato!A:A,[2]Contrato!G:G,"",0)</f>
        <v>#NAME?</v>
      </c>
      <c r="AA710" s="47" t="e">
        <f ca="1">_xlfn.XLOOKUP(PAA_4[[#This Row],[ITEM]],[2]Contrato!A:A,[2]Contrato!T:T,"",0)</f>
        <v>#NAME?</v>
      </c>
      <c r="AB710" s="55" t="e">
        <f ca="1">+MAX(PAA_4[[#This Row],[Comprometido Contrato]],PAA_4[[#This Row],[Comprometido Bolsa]])</f>
        <v>#NAME?</v>
      </c>
      <c r="AC710" s="55" t="str">
        <f t="shared" ca="1" si="252"/>
        <v/>
      </c>
      <c r="AD710" s="55" t="e">
        <f ca="1">IF(PAA_4[[#This Row],[ESTADO (formulado)]]="NO CONTRATADO",0,MAX(PAA_4[[#This Row],[Pago por Contrato]],PAA_4[[#This Row],[Pago por bolsa]]))</f>
        <v>#NAME?</v>
      </c>
      <c r="AE710" s="55" t="str">
        <f t="shared" ca="1" si="253"/>
        <v/>
      </c>
      <c r="AF710" s="47" t="e">
        <f t="shared" ca="1" si="255"/>
        <v>#NAME?</v>
      </c>
      <c r="AG710" s="47">
        <f t="shared" si="254"/>
        <v>41080101</v>
      </c>
      <c r="AH710" s="54" t="str">
        <f>IF(Q710="22",IF(ISNUMBER(SEARCH("econ",PAA_4[[#This Row],[Actividad3]])),"Económico",IF(ISNUMBER(SEARCH("alim",PAA_4[[#This Row],[Actividad3]])),"Alimentación",IF(ISNUMBER(SEARCH("educ",PAA_4[[#This Row],[Actividad3]])),"Educativo","Técnico"))),0)</f>
        <v>Técnico</v>
      </c>
      <c r="AI710" s="47" t="e" cm="1">
        <f t="array" aca="1" ref="AI710" ca="1">_xlfn.XLOOKUP(PAA_4[[#This Row],[RCP-RUBRO]],[2]!COMPROMISOS_2024[[#All],[concatenado]],[2]!COMPROMISOS_2024[[#All],[Total pagado]],"",0)</f>
        <v>#NAME?</v>
      </c>
      <c r="AJ710" s="56" t="e">
        <f ca="1">IF(PAA_4[[#This Row],[BOLSA]]=0,0,SUMIFS([2]!COMPROMISOS_2024[[#All],[Total pagado]],[2]!COMPROMISOS_2024[[#All],[Bolsa]],PAA_4[[#This Row],[BOLSA]],[2]!COMPROMISOS_2024[[#All],[rubro]],PAA_4[[#This Row],[RCP-RUBRO]]))</f>
        <v>#REF!</v>
      </c>
      <c r="AK710" s="47" t="e" cm="1">
        <f t="array" aca="1" ref="AK710" ca="1">_xlfn.XLOOKUP(PAA_4[[#This Row],[RCP-RUBRO]],[2]!COMPROMISOS_2024[[#All],[concatenado]],[2]!COMPROMISOS_2024[[#All],[Total Comprometido]],"",0)</f>
        <v>#NAME?</v>
      </c>
      <c r="AL710" s="47" t="e">
        <f ca="1">IF(PAA_4[[#This Row],[BOLSA]]=0,0,SUMIFS([2]!COMPROMISOS_2024[[#All],[Total Comprometido]],[2]!COMPROMISOS_2024[[#All],[Bolsa]],PAA_4[[#This Row],[BOLSA]],[2]!COMPROMISOS_2024[[#All],[concatenado]],PAA_4[[#This Row],[RCP-RUBRO]]))</f>
        <v>#REF!</v>
      </c>
    </row>
    <row r="711" spans="1:38" s="19" customFormat="1" ht="31.5" customHeight="1">
      <c r="A711" s="47">
        <v>316</v>
      </c>
      <c r="B711" s="47">
        <v>80111600</v>
      </c>
      <c r="C711" s="47" t="str">
        <f>VLOOKUP(PAA_4[[#This Row],[PROYECTO (formulado)2]],[2]PROYECTOS!$G$1:$L$32,6,0)</f>
        <v>SUBGERENCIA DE ALTOS LOGROS Y DEPORTE ASOCIADO</v>
      </c>
      <c r="D711" s="47" t="str">
        <f>+IF(PAA_4[[#This Row],[UNIDAD DE CONTRATACION (formulado)]]="Subgerencia Administrativa y Financiera","FUNCIONAMIENTO","INVERSIÓN")</f>
        <v>INVERSIÓN</v>
      </c>
      <c r="E711" s="48" t="str">
        <f>VLOOKUP(Q711,[2]PROYECTOS!$G$1:$K$32,5,0)</f>
        <v>APOYO_TÉCNICO_Y_PSICOSOCIAL_A_LOS_DEPORTISTAS_DE_ANTIOQUIA</v>
      </c>
      <c r="F711" s="48">
        <f>VLOOKUP(E711,[2]PROYECTOS!$K$1:$M$32,3,0)</f>
        <v>2021003050069</v>
      </c>
      <c r="G711" s="49" t="s">
        <v>239</v>
      </c>
      <c r="H711" s="49" t="str">
        <f>VLOOKUP(Q711,[2]PROYECTOS!$V$1:$W$32,2,0)</f>
        <v>050069</v>
      </c>
      <c r="I711" s="50">
        <v>0</v>
      </c>
      <c r="J711" s="51" t="s">
        <v>1693</v>
      </c>
      <c r="K711" s="47" t="str">
        <f t="shared" ca="1" si="250"/>
        <v>CONTRATADO</v>
      </c>
      <c r="L711" s="47" t="s">
        <v>94</v>
      </c>
      <c r="M711" s="47" t="s">
        <v>1297</v>
      </c>
      <c r="N711" s="52" t="s">
        <v>240</v>
      </c>
      <c r="O711" s="51" t="e">
        <f>VLOOKUP(N711,[2]!RUBROS[#All],3,0)</f>
        <v>#REF!</v>
      </c>
      <c r="P711" s="53" t="e">
        <f>VLOOKUP(N711,[2]!RUBROS[#All],2,0)</f>
        <v>#REF!</v>
      </c>
      <c r="Q711" s="47" t="str">
        <f t="shared" si="249"/>
        <v>22</v>
      </c>
      <c r="R711" s="47" t="str">
        <f t="shared" si="251"/>
        <v>0-205400</v>
      </c>
      <c r="S711" s="54">
        <v>6</v>
      </c>
      <c r="T711" s="59" t="s">
        <v>46</v>
      </c>
      <c r="U711" s="326" t="e">
        <f ca="1">_xlfn.XLOOKUP(PAA_4[[#This Row],[ITEM]],[2]Contrato!A:A,[2]Contrato!Q:Q,"",0)</f>
        <v>#NAME?</v>
      </c>
      <c r="V711" s="47" t="s">
        <v>47</v>
      </c>
      <c r="W711" s="47"/>
      <c r="X711" s="47"/>
      <c r="Y711" s="55" t="e">
        <f ca="1">_xlfn.XLOOKUP(PAA_4[[#This Row],[ITEM]],[2]Contrato!A:A,[2]Contrato!B:B,"",0)</f>
        <v>#NAME?</v>
      </c>
      <c r="Z711" s="47" t="e">
        <f ca="1">_xlfn.XLOOKUP(PAA_4[[#This Row],[ITEM]],[2]Contrato!A:A,[2]Contrato!G:G,"",0)</f>
        <v>#NAME?</v>
      </c>
      <c r="AA711" s="47" t="e">
        <f ca="1">_xlfn.XLOOKUP(PAA_4[[#This Row],[ITEM]],[2]Contrato!A:A,[2]Contrato!T:T,"",0)</f>
        <v>#NAME?</v>
      </c>
      <c r="AB711" s="55" t="e">
        <f ca="1">+MAX(PAA_4[[#This Row],[Comprometido Contrato]],PAA_4[[#This Row],[Comprometido Bolsa]])</f>
        <v>#NAME?</v>
      </c>
      <c r="AC711" s="55" t="str">
        <f t="shared" ca="1" si="252"/>
        <v/>
      </c>
      <c r="AD711" s="55" t="e">
        <f ca="1">IF(PAA_4[[#This Row],[ESTADO (formulado)]]="NO CONTRATADO",0,MAX(PAA_4[[#This Row],[Pago por Contrato]],PAA_4[[#This Row],[Pago por bolsa]]))</f>
        <v>#NAME?</v>
      </c>
      <c r="AE711" s="55" t="str">
        <f t="shared" ca="1" si="253"/>
        <v/>
      </c>
      <c r="AF711" s="47" t="e">
        <f t="shared" ca="1" si="255"/>
        <v>#NAME?</v>
      </c>
      <c r="AG711" s="47">
        <f t="shared" si="254"/>
        <v>41080101</v>
      </c>
      <c r="AH711" s="54" t="str">
        <f>IF(Q711="22",IF(ISNUMBER(SEARCH("econ",PAA_4[[#This Row],[Actividad3]])),"Económico",IF(ISNUMBER(SEARCH("alim",PAA_4[[#This Row],[Actividad3]])),"Alimentación",IF(ISNUMBER(SEARCH("educ",PAA_4[[#This Row],[Actividad3]])),"Educativo","Técnico"))),0)</f>
        <v>Técnico</v>
      </c>
      <c r="AI711" s="47" t="e" cm="1">
        <f t="array" aca="1" ref="AI711" ca="1">_xlfn.XLOOKUP(PAA_4[[#This Row],[RCP-RUBRO]],[2]!COMPROMISOS_2024[[#All],[concatenado]],[2]!COMPROMISOS_2024[[#All],[Total pagado]],"",0)</f>
        <v>#NAME?</v>
      </c>
      <c r="AJ711" s="56" t="e">
        <f ca="1">IF(PAA_4[[#This Row],[BOLSA]]=0,0,SUMIFS([2]!COMPROMISOS_2024[[#All],[Total pagado]],[2]!COMPROMISOS_2024[[#All],[Bolsa]],PAA_4[[#This Row],[BOLSA]],[2]!COMPROMISOS_2024[[#All],[rubro]],PAA_4[[#This Row],[RCP-RUBRO]]))</f>
        <v>#REF!</v>
      </c>
      <c r="AK711" s="47" t="e" cm="1">
        <f t="array" aca="1" ref="AK711" ca="1">_xlfn.XLOOKUP(PAA_4[[#This Row],[RCP-RUBRO]],[2]!COMPROMISOS_2024[[#All],[concatenado]],[2]!COMPROMISOS_2024[[#All],[Total Comprometido]],"",0)</f>
        <v>#NAME?</v>
      </c>
      <c r="AL711" s="47" t="e">
        <f ca="1">IF(PAA_4[[#This Row],[BOLSA]]=0,0,SUMIFS([2]!COMPROMISOS_2024[[#All],[Total Comprometido]],[2]!COMPROMISOS_2024[[#All],[Bolsa]],PAA_4[[#This Row],[BOLSA]],[2]!COMPROMISOS_2024[[#All],[concatenado]],PAA_4[[#This Row],[RCP-RUBRO]]))</f>
        <v>#REF!</v>
      </c>
    </row>
    <row r="712" spans="1:38" s="19" customFormat="1" ht="31.5" customHeight="1">
      <c r="A712" s="47">
        <v>317</v>
      </c>
      <c r="B712" s="47">
        <v>80111600</v>
      </c>
      <c r="C712" s="47" t="str">
        <f>VLOOKUP(PAA_4[[#This Row],[PROYECTO (formulado)2]],[2]PROYECTOS!$G$1:$L$32,6,0)</f>
        <v>SUBGERENCIA DE ALTOS LOGROS Y DEPORTE ASOCIADO</v>
      </c>
      <c r="D712" s="47" t="str">
        <f>+IF(PAA_4[[#This Row],[UNIDAD DE CONTRATACION (formulado)]]="Subgerencia Administrativa y Financiera","FUNCIONAMIENTO","INVERSIÓN")</f>
        <v>INVERSIÓN</v>
      </c>
      <c r="E712" s="48" t="str">
        <f>VLOOKUP(Q712,[2]PROYECTOS!$G$1:$K$32,5,0)</f>
        <v>APOYO_TÉCNICO_Y_PSICOSOCIAL_A_LOS_DEPORTISTAS_DE_ANTIOQUIA</v>
      </c>
      <c r="F712" s="48">
        <f>VLOOKUP(E712,[2]PROYECTOS!$K$1:$M$32,3,0)</f>
        <v>2021003050069</v>
      </c>
      <c r="G712" s="49" t="s">
        <v>239</v>
      </c>
      <c r="H712" s="49" t="str">
        <f>VLOOKUP(Q712,[2]PROYECTOS!$V$1:$W$32,2,0)</f>
        <v>050069</v>
      </c>
      <c r="I712" s="50">
        <v>0</v>
      </c>
      <c r="J712" s="51" t="s">
        <v>1693</v>
      </c>
      <c r="K712" s="47" t="str">
        <f t="shared" ca="1" si="250"/>
        <v>CONTRATADO</v>
      </c>
      <c r="L712" s="47" t="s">
        <v>94</v>
      </c>
      <c r="M712" s="47" t="s">
        <v>1297</v>
      </c>
      <c r="N712" s="52" t="s">
        <v>240</v>
      </c>
      <c r="O712" s="51" t="e">
        <f>VLOOKUP(N712,[2]!RUBROS[#All],3,0)</f>
        <v>#REF!</v>
      </c>
      <c r="P712" s="53" t="e">
        <f>VLOOKUP(N712,[2]!RUBROS[#All],2,0)</f>
        <v>#REF!</v>
      </c>
      <c r="Q712" s="47" t="str">
        <f t="shared" si="249"/>
        <v>22</v>
      </c>
      <c r="R712" s="47" t="str">
        <f t="shared" si="251"/>
        <v>0-205400</v>
      </c>
      <c r="S712" s="54">
        <v>6</v>
      </c>
      <c r="T712" s="59" t="s">
        <v>46</v>
      </c>
      <c r="U712" s="326" t="e">
        <f ca="1">_xlfn.XLOOKUP(PAA_4[[#This Row],[ITEM]],[2]Contrato!A:A,[2]Contrato!Q:Q,"",0)</f>
        <v>#NAME?</v>
      </c>
      <c r="V712" s="47" t="s">
        <v>47</v>
      </c>
      <c r="W712" s="47"/>
      <c r="X712" s="47"/>
      <c r="Y712" s="55" t="e">
        <f ca="1">_xlfn.XLOOKUP(PAA_4[[#This Row],[ITEM]],[2]Contrato!A:A,[2]Contrato!B:B,"",0)</f>
        <v>#NAME?</v>
      </c>
      <c r="Z712" s="47" t="e">
        <f ca="1">_xlfn.XLOOKUP(PAA_4[[#This Row],[ITEM]],[2]Contrato!A:A,[2]Contrato!G:G,"",0)</f>
        <v>#NAME?</v>
      </c>
      <c r="AA712" s="47" t="e">
        <f ca="1">_xlfn.XLOOKUP(PAA_4[[#This Row],[ITEM]],[2]Contrato!A:A,[2]Contrato!T:T,"",0)</f>
        <v>#NAME?</v>
      </c>
      <c r="AB712" s="55" t="e">
        <f ca="1">+MAX(PAA_4[[#This Row],[Comprometido Contrato]],PAA_4[[#This Row],[Comprometido Bolsa]])</f>
        <v>#NAME?</v>
      </c>
      <c r="AC712" s="55" t="str">
        <f t="shared" ca="1" si="252"/>
        <v/>
      </c>
      <c r="AD712" s="55" t="e">
        <f ca="1">IF(PAA_4[[#This Row],[ESTADO (formulado)]]="NO CONTRATADO",0,MAX(PAA_4[[#This Row],[Pago por Contrato]],PAA_4[[#This Row],[Pago por bolsa]]))</f>
        <v>#NAME?</v>
      </c>
      <c r="AE712" s="55" t="str">
        <f t="shared" ca="1" si="253"/>
        <v/>
      </c>
      <c r="AF712" s="47" t="e">
        <f t="shared" ca="1" si="255"/>
        <v>#NAME?</v>
      </c>
      <c r="AG712" s="47">
        <f t="shared" si="254"/>
        <v>41080101</v>
      </c>
      <c r="AH712" s="54" t="str">
        <f>IF(Q712="22",IF(ISNUMBER(SEARCH("econ",PAA_4[[#This Row],[Actividad3]])),"Económico",IF(ISNUMBER(SEARCH("alim",PAA_4[[#This Row],[Actividad3]])),"Alimentación",IF(ISNUMBER(SEARCH("educ",PAA_4[[#This Row],[Actividad3]])),"Educativo","Técnico"))),0)</f>
        <v>Técnico</v>
      </c>
      <c r="AI712" s="47" t="e" cm="1">
        <f t="array" aca="1" ref="AI712" ca="1">_xlfn.XLOOKUP(PAA_4[[#This Row],[RCP-RUBRO]],[2]!COMPROMISOS_2024[[#All],[concatenado]],[2]!COMPROMISOS_2024[[#All],[Total pagado]],"",0)</f>
        <v>#NAME?</v>
      </c>
      <c r="AJ712" s="56" t="e">
        <f ca="1">IF(PAA_4[[#This Row],[BOLSA]]=0,0,SUMIFS([2]!COMPROMISOS_2024[[#All],[Total pagado]],[2]!COMPROMISOS_2024[[#All],[Bolsa]],PAA_4[[#This Row],[BOLSA]],[2]!COMPROMISOS_2024[[#All],[rubro]],PAA_4[[#This Row],[RCP-RUBRO]]))</f>
        <v>#REF!</v>
      </c>
      <c r="AK712" s="47" t="e" cm="1">
        <f t="array" aca="1" ref="AK712" ca="1">_xlfn.XLOOKUP(PAA_4[[#This Row],[RCP-RUBRO]],[2]!COMPROMISOS_2024[[#All],[concatenado]],[2]!COMPROMISOS_2024[[#All],[Total Comprometido]],"",0)</f>
        <v>#NAME?</v>
      </c>
      <c r="AL712" s="47" t="e">
        <f ca="1">IF(PAA_4[[#This Row],[BOLSA]]=0,0,SUMIFS([2]!COMPROMISOS_2024[[#All],[Total Comprometido]],[2]!COMPROMISOS_2024[[#All],[Bolsa]],PAA_4[[#This Row],[BOLSA]],[2]!COMPROMISOS_2024[[#All],[concatenado]],PAA_4[[#This Row],[RCP-RUBRO]]))</f>
        <v>#REF!</v>
      </c>
    </row>
    <row r="713" spans="1:38" s="19" customFormat="1" ht="31.5" customHeight="1">
      <c r="A713" s="47">
        <v>318</v>
      </c>
      <c r="B713" s="47">
        <v>80111600</v>
      </c>
      <c r="C713" s="47" t="str">
        <f>VLOOKUP(PAA_4[[#This Row],[PROYECTO (formulado)2]],[2]PROYECTOS!$G$1:$L$32,6,0)</f>
        <v>SUBGERENCIA DE ALTOS LOGROS Y DEPORTE ASOCIADO</v>
      </c>
      <c r="D713" s="47" t="str">
        <f>+IF(PAA_4[[#This Row],[UNIDAD DE CONTRATACION (formulado)]]="Subgerencia Administrativa y Financiera","FUNCIONAMIENTO","INVERSIÓN")</f>
        <v>INVERSIÓN</v>
      </c>
      <c r="E713" s="48" t="str">
        <f>VLOOKUP(Q713,[2]PROYECTOS!$G$1:$K$32,5,0)</f>
        <v>APOYO_TÉCNICO_Y_PSICOSOCIAL_A_LOS_DEPORTISTAS_DE_ANTIOQUIA</v>
      </c>
      <c r="F713" s="48">
        <f>VLOOKUP(E713,[2]PROYECTOS!$K$1:$M$32,3,0)</f>
        <v>2021003050069</v>
      </c>
      <c r="G713" s="49" t="s">
        <v>239</v>
      </c>
      <c r="H713" s="49" t="str">
        <f>VLOOKUP(Q713,[2]PROYECTOS!$V$1:$W$32,2,0)</f>
        <v>050069</v>
      </c>
      <c r="I713" s="50">
        <v>0</v>
      </c>
      <c r="J713" s="51" t="s">
        <v>1693</v>
      </c>
      <c r="K713" s="47" t="str">
        <f t="shared" ca="1" si="250"/>
        <v>CONTRATADO</v>
      </c>
      <c r="L713" s="47" t="s">
        <v>94</v>
      </c>
      <c r="M713" s="47" t="s">
        <v>1297</v>
      </c>
      <c r="N713" s="52" t="s">
        <v>240</v>
      </c>
      <c r="O713" s="51" t="e">
        <f>VLOOKUP(N713,[2]!RUBROS[#All],3,0)</f>
        <v>#REF!</v>
      </c>
      <c r="P713" s="53" t="e">
        <f>VLOOKUP(N713,[2]!RUBROS[#All],2,0)</f>
        <v>#REF!</v>
      </c>
      <c r="Q713" s="47" t="str">
        <f t="shared" si="249"/>
        <v>22</v>
      </c>
      <c r="R713" s="47" t="str">
        <f t="shared" si="251"/>
        <v>0-205400</v>
      </c>
      <c r="S713" s="54">
        <v>6</v>
      </c>
      <c r="T713" s="59" t="s">
        <v>46</v>
      </c>
      <c r="U713" s="326" t="e">
        <f ca="1">_xlfn.XLOOKUP(PAA_4[[#This Row],[ITEM]],[2]Contrato!A:A,[2]Contrato!Q:Q,"",0)</f>
        <v>#NAME?</v>
      </c>
      <c r="V713" s="47" t="s">
        <v>47</v>
      </c>
      <c r="W713" s="47"/>
      <c r="X713" s="47"/>
      <c r="Y713" s="55" t="e">
        <f ca="1">_xlfn.XLOOKUP(PAA_4[[#This Row],[ITEM]],[2]Contrato!A:A,[2]Contrato!B:B,"",0)</f>
        <v>#NAME?</v>
      </c>
      <c r="Z713" s="47" t="e">
        <f ca="1">_xlfn.XLOOKUP(PAA_4[[#This Row],[ITEM]],[2]Contrato!A:A,[2]Contrato!G:G,"",0)</f>
        <v>#NAME?</v>
      </c>
      <c r="AA713" s="47" t="e">
        <f ca="1">_xlfn.XLOOKUP(PAA_4[[#This Row],[ITEM]],[2]Contrato!A:A,[2]Contrato!T:T,"",0)</f>
        <v>#NAME?</v>
      </c>
      <c r="AB713" s="55" t="e">
        <f ca="1">+MAX(PAA_4[[#This Row],[Comprometido Contrato]],PAA_4[[#This Row],[Comprometido Bolsa]])</f>
        <v>#NAME?</v>
      </c>
      <c r="AC713" s="55" t="str">
        <f t="shared" ca="1" si="252"/>
        <v/>
      </c>
      <c r="AD713" s="55" t="e">
        <f ca="1">IF(PAA_4[[#This Row],[ESTADO (formulado)]]="NO CONTRATADO",0,MAX(PAA_4[[#This Row],[Pago por Contrato]],PAA_4[[#This Row],[Pago por bolsa]]))</f>
        <v>#NAME?</v>
      </c>
      <c r="AE713" s="55" t="str">
        <f t="shared" ca="1" si="253"/>
        <v/>
      </c>
      <c r="AF713" s="47" t="e">
        <f t="shared" ca="1" si="255"/>
        <v>#NAME?</v>
      </c>
      <c r="AG713" s="47">
        <f t="shared" si="254"/>
        <v>41080101</v>
      </c>
      <c r="AH713" s="54" t="str">
        <f>IF(Q713="22",IF(ISNUMBER(SEARCH("econ",PAA_4[[#This Row],[Actividad3]])),"Económico",IF(ISNUMBER(SEARCH("alim",PAA_4[[#This Row],[Actividad3]])),"Alimentación",IF(ISNUMBER(SEARCH("educ",PAA_4[[#This Row],[Actividad3]])),"Educativo","Técnico"))),0)</f>
        <v>Técnico</v>
      </c>
      <c r="AI713" s="47" t="e" cm="1">
        <f t="array" aca="1" ref="AI713" ca="1">_xlfn.XLOOKUP(PAA_4[[#This Row],[RCP-RUBRO]],[2]!COMPROMISOS_2024[[#All],[concatenado]],[2]!COMPROMISOS_2024[[#All],[Total pagado]],"",0)</f>
        <v>#NAME?</v>
      </c>
      <c r="AJ713" s="56" t="e">
        <f ca="1">IF(PAA_4[[#This Row],[BOLSA]]=0,0,SUMIFS([2]!COMPROMISOS_2024[[#All],[Total pagado]],[2]!COMPROMISOS_2024[[#All],[Bolsa]],PAA_4[[#This Row],[BOLSA]],[2]!COMPROMISOS_2024[[#All],[rubro]],PAA_4[[#This Row],[RCP-RUBRO]]))</f>
        <v>#REF!</v>
      </c>
      <c r="AK713" s="47" t="e" cm="1">
        <f t="array" aca="1" ref="AK713" ca="1">_xlfn.XLOOKUP(PAA_4[[#This Row],[RCP-RUBRO]],[2]!COMPROMISOS_2024[[#All],[concatenado]],[2]!COMPROMISOS_2024[[#All],[Total Comprometido]],"",0)</f>
        <v>#NAME?</v>
      </c>
      <c r="AL713" s="47" t="e">
        <f ca="1">IF(PAA_4[[#This Row],[BOLSA]]=0,0,SUMIFS([2]!COMPROMISOS_2024[[#All],[Total Comprometido]],[2]!COMPROMISOS_2024[[#All],[Bolsa]],PAA_4[[#This Row],[BOLSA]],[2]!COMPROMISOS_2024[[#All],[concatenado]],PAA_4[[#This Row],[RCP-RUBRO]]))</f>
        <v>#REF!</v>
      </c>
    </row>
    <row r="714" spans="1:38" s="19" customFormat="1" ht="31.5" customHeight="1">
      <c r="A714" s="47">
        <v>319</v>
      </c>
      <c r="B714" s="47">
        <v>80111600</v>
      </c>
      <c r="C714" s="47" t="str">
        <f>VLOOKUP(PAA_4[[#This Row],[PROYECTO (formulado)2]],[2]PROYECTOS!$G$1:$L$32,6,0)</f>
        <v>SUBGERENCIA DE ALTOS LOGROS Y DEPORTE ASOCIADO</v>
      </c>
      <c r="D714" s="47" t="str">
        <f>+IF(PAA_4[[#This Row],[UNIDAD DE CONTRATACION (formulado)]]="Subgerencia Administrativa y Financiera","FUNCIONAMIENTO","INVERSIÓN")</f>
        <v>INVERSIÓN</v>
      </c>
      <c r="E714" s="48" t="str">
        <f>VLOOKUP(Q714,[2]PROYECTOS!$G$1:$K$32,5,0)</f>
        <v>APOYO_TÉCNICO_Y_PSICOSOCIAL_A_LOS_DEPORTISTAS_DE_ANTIOQUIA</v>
      </c>
      <c r="F714" s="48">
        <f>VLOOKUP(E714,[2]PROYECTOS!$K$1:$M$32,3,0)</f>
        <v>2021003050069</v>
      </c>
      <c r="G714" s="49" t="s">
        <v>239</v>
      </c>
      <c r="H714" s="49" t="str">
        <f>VLOOKUP(Q714,[2]PROYECTOS!$V$1:$W$32,2,0)</f>
        <v>050069</v>
      </c>
      <c r="I714" s="50">
        <v>0</v>
      </c>
      <c r="J714" s="51" t="s">
        <v>1693</v>
      </c>
      <c r="K714" s="47" t="str">
        <f t="shared" ca="1" si="250"/>
        <v>CONTRATADO</v>
      </c>
      <c r="L714" s="47" t="s">
        <v>94</v>
      </c>
      <c r="M714" s="47" t="s">
        <v>1297</v>
      </c>
      <c r="N714" s="52" t="s">
        <v>240</v>
      </c>
      <c r="O714" s="51" t="e">
        <f>VLOOKUP(N714,[2]!RUBROS[#All],3,0)</f>
        <v>#REF!</v>
      </c>
      <c r="P714" s="53" t="e">
        <f>VLOOKUP(N714,[2]!RUBROS[#All],2,0)</f>
        <v>#REF!</v>
      </c>
      <c r="Q714" s="47" t="str">
        <f t="shared" si="249"/>
        <v>22</v>
      </c>
      <c r="R714" s="47" t="str">
        <f t="shared" si="251"/>
        <v>0-205400</v>
      </c>
      <c r="S714" s="54">
        <v>6</v>
      </c>
      <c r="T714" s="59" t="s">
        <v>46</v>
      </c>
      <c r="U714" s="326" t="e">
        <f ca="1">_xlfn.XLOOKUP(PAA_4[[#This Row],[ITEM]],[2]Contrato!A:A,[2]Contrato!Q:Q,"",0)</f>
        <v>#NAME?</v>
      </c>
      <c r="V714" s="47" t="s">
        <v>47</v>
      </c>
      <c r="W714" s="47"/>
      <c r="X714" s="47"/>
      <c r="Y714" s="55" t="e">
        <f ca="1">_xlfn.XLOOKUP(PAA_4[[#This Row],[ITEM]],[2]Contrato!A:A,[2]Contrato!B:B,"",0)</f>
        <v>#NAME?</v>
      </c>
      <c r="Z714" s="47" t="e">
        <f ca="1">_xlfn.XLOOKUP(PAA_4[[#This Row],[ITEM]],[2]Contrato!A:A,[2]Contrato!G:G,"",0)</f>
        <v>#NAME?</v>
      </c>
      <c r="AA714" s="47" t="e">
        <f ca="1">_xlfn.XLOOKUP(PAA_4[[#This Row],[ITEM]],[2]Contrato!A:A,[2]Contrato!T:T,"",0)</f>
        <v>#NAME?</v>
      </c>
      <c r="AB714" s="55" t="e">
        <f ca="1">+MAX(PAA_4[[#This Row],[Comprometido Contrato]],PAA_4[[#This Row],[Comprometido Bolsa]])</f>
        <v>#NAME?</v>
      </c>
      <c r="AC714" s="55" t="str">
        <f t="shared" ca="1" si="252"/>
        <v/>
      </c>
      <c r="AD714" s="55" t="e">
        <f ca="1">IF(PAA_4[[#This Row],[ESTADO (formulado)]]="NO CONTRATADO",0,MAX(PAA_4[[#This Row],[Pago por Contrato]],PAA_4[[#This Row],[Pago por bolsa]]))</f>
        <v>#NAME?</v>
      </c>
      <c r="AE714" s="55" t="str">
        <f t="shared" ca="1" si="253"/>
        <v/>
      </c>
      <c r="AF714" s="47" t="e">
        <f t="shared" ca="1" si="255"/>
        <v>#NAME?</v>
      </c>
      <c r="AG714" s="47">
        <f t="shared" si="254"/>
        <v>41080101</v>
      </c>
      <c r="AH714" s="54" t="str">
        <f>IF(Q714="22",IF(ISNUMBER(SEARCH("econ",PAA_4[[#This Row],[Actividad3]])),"Económico",IF(ISNUMBER(SEARCH("alim",PAA_4[[#This Row],[Actividad3]])),"Alimentación",IF(ISNUMBER(SEARCH("educ",PAA_4[[#This Row],[Actividad3]])),"Educativo","Técnico"))),0)</f>
        <v>Técnico</v>
      </c>
      <c r="AI714" s="47" t="e" cm="1">
        <f t="array" aca="1" ref="AI714" ca="1">_xlfn.XLOOKUP(PAA_4[[#This Row],[RCP-RUBRO]],[2]!COMPROMISOS_2024[[#All],[concatenado]],[2]!COMPROMISOS_2024[[#All],[Total pagado]],"",0)</f>
        <v>#NAME?</v>
      </c>
      <c r="AJ714" s="56" t="e">
        <f ca="1">IF(PAA_4[[#This Row],[BOLSA]]=0,0,SUMIFS([2]!COMPROMISOS_2024[[#All],[Total pagado]],[2]!COMPROMISOS_2024[[#All],[Bolsa]],PAA_4[[#This Row],[BOLSA]],[2]!COMPROMISOS_2024[[#All],[rubro]],PAA_4[[#This Row],[RCP-RUBRO]]))</f>
        <v>#REF!</v>
      </c>
      <c r="AK714" s="47" t="e" cm="1">
        <f t="array" aca="1" ref="AK714" ca="1">_xlfn.XLOOKUP(PAA_4[[#This Row],[RCP-RUBRO]],[2]!COMPROMISOS_2024[[#All],[concatenado]],[2]!COMPROMISOS_2024[[#All],[Total Comprometido]],"",0)</f>
        <v>#NAME?</v>
      </c>
      <c r="AL714" s="47" t="e">
        <f ca="1">IF(PAA_4[[#This Row],[BOLSA]]=0,0,SUMIFS([2]!COMPROMISOS_2024[[#All],[Total Comprometido]],[2]!COMPROMISOS_2024[[#All],[Bolsa]],PAA_4[[#This Row],[BOLSA]],[2]!COMPROMISOS_2024[[#All],[concatenado]],PAA_4[[#This Row],[RCP-RUBRO]]))</f>
        <v>#REF!</v>
      </c>
    </row>
    <row r="715" spans="1:38" s="19" customFormat="1" ht="31.5" customHeight="1">
      <c r="A715" s="47">
        <v>320</v>
      </c>
      <c r="B715" s="47">
        <v>80111600</v>
      </c>
      <c r="C715" s="47" t="str">
        <f>VLOOKUP(PAA_4[[#This Row],[PROYECTO (formulado)2]],[2]PROYECTOS!$G$1:$L$32,6,0)</f>
        <v>SUBGERENCIA DE ALTOS LOGROS Y DEPORTE ASOCIADO</v>
      </c>
      <c r="D715" s="47" t="str">
        <f>+IF(PAA_4[[#This Row],[UNIDAD DE CONTRATACION (formulado)]]="Subgerencia Administrativa y Financiera","FUNCIONAMIENTO","INVERSIÓN")</f>
        <v>INVERSIÓN</v>
      </c>
      <c r="E715" s="48" t="str">
        <f>VLOOKUP(Q715,[2]PROYECTOS!$G$1:$K$32,5,0)</f>
        <v>APOYO_TÉCNICO_Y_PSICOSOCIAL_A_LOS_DEPORTISTAS_DE_ANTIOQUIA</v>
      </c>
      <c r="F715" s="48">
        <f>VLOOKUP(E715,[2]PROYECTOS!$K$1:$M$32,3,0)</f>
        <v>2021003050069</v>
      </c>
      <c r="G715" s="49" t="s">
        <v>239</v>
      </c>
      <c r="H715" s="49" t="str">
        <f>VLOOKUP(Q715,[2]PROYECTOS!$V$1:$W$32,2,0)</f>
        <v>050069</v>
      </c>
      <c r="I715" s="50">
        <v>0</v>
      </c>
      <c r="J715" s="51" t="s">
        <v>1693</v>
      </c>
      <c r="K715" s="47" t="str">
        <f t="shared" ca="1" si="250"/>
        <v>CONTRATADO</v>
      </c>
      <c r="L715" s="47" t="s">
        <v>94</v>
      </c>
      <c r="M715" s="47" t="s">
        <v>1297</v>
      </c>
      <c r="N715" s="52" t="s">
        <v>240</v>
      </c>
      <c r="O715" s="51" t="e">
        <f>VLOOKUP(N715,[2]!RUBROS[#All],3,0)</f>
        <v>#REF!</v>
      </c>
      <c r="P715" s="53" t="e">
        <f>VLOOKUP(N715,[2]!RUBROS[#All],2,0)</f>
        <v>#REF!</v>
      </c>
      <c r="Q715" s="47" t="str">
        <f t="shared" si="249"/>
        <v>22</v>
      </c>
      <c r="R715" s="47" t="str">
        <f t="shared" si="251"/>
        <v>0-205400</v>
      </c>
      <c r="S715" s="54">
        <v>6</v>
      </c>
      <c r="T715" s="59" t="s">
        <v>46</v>
      </c>
      <c r="U715" s="326" t="e">
        <f ca="1">_xlfn.XLOOKUP(PAA_4[[#This Row],[ITEM]],[2]Contrato!A:A,[2]Contrato!Q:Q,"",0)</f>
        <v>#NAME?</v>
      </c>
      <c r="V715" s="47" t="s">
        <v>47</v>
      </c>
      <c r="W715" s="47"/>
      <c r="X715" s="47"/>
      <c r="Y715" s="55" t="e">
        <f ca="1">_xlfn.XLOOKUP(PAA_4[[#This Row],[ITEM]],[2]Contrato!A:A,[2]Contrato!B:B,"",0)</f>
        <v>#NAME?</v>
      </c>
      <c r="Z715" s="47" t="e">
        <f ca="1">_xlfn.XLOOKUP(PAA_4[[#This Row],[ITEM]],[2]Contrato!A:A,[2]Contrato!G:G,"",0)</f>
        <v>#NAME?</v>
      </c>
      <c r="AA715" s="47" t="e">
        <f ca="1">_xlfn.XLOOKUP(PAA_4[[#This Row],[ITEM]],[2]Contrato!A:A,[2]Contrato!T:T,"",0)</f>
        <v>#NAME?</v>
      </c>
      <c r="AB715" s="55" t="e">
        <f ca="1">+MAX(PAA_4[[#This Row],[Comprometido Contrato]],PAA_4[[#This Row],[Comprometido Bolsa]])</f>
        <v>#NAME?</v>
      </c>
      <c r="AC715" s="55" t="str">
        <f t="shared" ca="1" si="252"/>
        <v/>
      </c>
      <c r="AD715" s="55" t="e">
        <f ca="1">IF(PAA_4[[#This Row],[ESTADO (formulado)]]="NO CONTRATADO",0,MAX(PAA_4[[#This Row],[Pago por Contrato]],PAA_4[[#This Row],[Pago por bolsa]]))</f>
        <v>#NAME?</v>
      </c>
      <c r="AE715" s="55" t="str">
        <f t="shared" ca="1" si="253"/>
        <v/>
      </c>
      <c r="AF715" s="47" t="e">
        <f t="shared" ca="1" si="255"/>
        <v>#NAME?</v>
      </c>
      <c r="AG715" s="47">
        <f t="shared" si="254"/>
        <v>41080101</v>
      </c>
      <c r="AH715" s="54" t="str">
        <f>IF(Q715="22",IF(ISNUMBER(SEARCH("econ",PAA_4[[#This Row],[Actividad3]])),"Económico",IF(ISNUMBER(SEARCH("alim",PAA_4[[#This Row],[Actividad3]])),"Alimentación",IF(ISNUMBER(SEARCH("educ",PAA_4[[#This Row],[Actividad3]])),"Educativo","Técnico"))),0)</f>
        <v>Técnico</v>
      </c>
      <c r="AI715" s="47" t="e" cm="1">
        <f t="array" aca="1" ref="AI715" ca="1">_xlfn.XLOOKUP(PAA_4[[#This Row],[RCP-RUBRO]],[2]!COMPROMISOS_2024[[#All],[concatenado]],[2]!COMPROMISOS_2024[[#All],[Total pagado]],"",0)</f>
        <v>#NAME?</v>
      </c>
      <c r="AJ715" s="56" t="e">
        <f ca="1">IF(PAA_4[[#This Row],[BOLSA]]=0,0,SUMIFS([2]!COMPROMISOS_2024[[#All],[Total pagado]],[2]!COMPROMISOS_2024[[#All],[Bolsa]],PAA_4[[#This Row],[BOLSA]],[2]!COMPROMISOS_2024[[#All],[rubro]],PAA_4[[#This Row],[RCP-RUBRO]]))</f>
        <v>#REF!</v>
      </c>
      <c r="AK715" s="47" t="e" cm="1">
        <f t="array" aca="1" ref="AK715" ca="1">_xlfn.XLOOKUP(PAA_4[[#This Row],[RCP-RUBRO]],[2]!COMPROMISOS_2024[[#All],[concatenado]],[2]!COMPROMISOS_2024[[#All],[Total Comprometido]],"",0)</f>
        <v>#NAME?</v>
      </c>
      <c r="AL715" s="47" t="e">
        <f ca="1">IF(PAA_4[[#This Row],[BOLSA]]=0,0,SUMIFS([2]!COMPROMISOS_2024[[#All],[Total Comprometido]],[2]!COMPROMISOS_2024[[#All],[Bolsa]],PAA_4[[#This Row],[BOLSA]],[2]!COMPROMISOS_2024[[#All],[concatenado]],PAA_4[[#This Row],[RCP-RUBRO]]))</f>
        <v>#REF!</v>
      </c>
    </row>
    <row r="716" spans="1:38" s="19" customFormat="1" ht="31.5" customHeight="1">
      <c r="A716" s="47">
        <v>321</v>
      </c>
      <c r="B716" s="47">
        <v>80111600</v>
      </c>
      <c r="C716" s="47" t="str">
        <f>VLOOKUP(PAA_4[[#This Row],[PROYECTO (formulado)2]],[2]PROYECTOS!$G$1:$L$32,6,0)</f>
        <v>SUBGERENCIA DE ALTOS LOGROS Y DEPORTE ASOCIADO</v>
      </c>
      <c r="D716" s="47" t="str">
        <f>+IF(PAA_4[[#This Row],[UNIDAD DE CONTRATACION (formulado)]]="Subgerencia Administrativa y Financiera","FUNCIONAMIENTO","INVERSIÓN")</f>
        <v>INVERSIÓN</v>
      </c>
      <c r="E716" s="48" t="str">
        <f>VLOOKUP(Q716,[2]PROYECTOS!$G$1:$K$32,5,0)</f>
        <v>FORTALECIMIENTO_DEL_PROGRAMA_DE_ALTOS_LOGROS_Y_LIDERAZGO_DEPORTIVO_EN_EL_DEPARTAMENTO_DE_ANTIOQUIA</v>
      </c>
      <c r="F716" s="48">
        <f>VLOOKUP(E716,[2]PROYECTOS!$K$1:$M$32,3,0)</f>
        <v>2020003050021</v>
      </c>
      <c r="G716" s="49" t="s">
        <v>235</v>
      </c>
      <c r="H716" s="49" t="str">
        <f>VLOOKUP(Q716,[2]PROYECTOS!$V$1:$W$32,2,0)</f>
        <v>050061</v>
      </c>
      <c r="I716" s="50">
        <f>14020371-135</f>
        <v>14020236</v>
      </c>
      <c r="J716" s="51" t="s">
        <v>244</v>
      </c>
      <c r="K716" s="47" t="str">
        <f t="shared" ca="1" si="250"/>
        <v>CONTRATADO</v>
      </c>
      <c r="L716" s="47" t="s">
        <v>94</v>
      </c>
      <c r="M716" s="47" t="s">
        <v>1297</v>
      </c>
      <c r="N716" s="52" t="s">
        <v>245</v>
      </c>
      <c r="O716" s="51" t="e">
        <f>VLOOKUP(N716,[2]!RUBROS[#All],3,0)</f>
        <v>#REF!</v>
      </c>
      <c r="P716" s="53" t="e">
        <f>VLOOKUP(N716,[2]!RUBROS[#All],2,0)</f>
        <v>#REF!</v>
      </c>
      <c r="Q716" s="47" t="str">
        <f t="shared" si="249"/>
        <v>20</v>
      </c>
      <c r="R716" s="47" t="str">
        <f t="shared" si="251"/>
        <v>0-205400</v>
      </c>
      <c r="S716" s="54">
        <v>3</v>
      </c>
      <c r="T716" s="59" t="s">
        <v>46</v>
      </c>
      <c r="U716" s="326" t="e">
        <f ca="1">_xlfn.XLOOKUP(PAA_4[[#This Row],[ITEM]],[2]Contrato!A:A,[2]Contrato!Q:Q,"",0)</f>
        <v>#NAME?</v>
      </c>
      <c r="V716" s="47" t="s">
        <v>47</v>
      </c>
      <c r="W716" s="47" t="s">
        <v>83</v>
      </c>
      <c r="X716" s="47" t="s">
        <v>83</v>
      </c>
      <c r="Y716" s="55" t="e">
        <f ca="1">_xlfn.XLOOKUP(PAA_4[[#This Row],[ITEM]],[2]Contrato!A:A,[2]Contrato!B:B,"",0)</f>
        <v>#NAME?</v>
      </c>
      <c r="Z716" s="47" t="e">
        <f ca="1">_xlfn.XLOOKUP(PAA_4[[#This Row],[ITEM]],[2]Contrato!A:A,[2]Contrato!G:G,"",0)</f>
        <v>#NAME?</v>
      </c>
      <c r="AA716" s="47" t="e">
        <f ca="1">_xlfn.XLOOKUP(PAA_4[[#This Row],[ITEM]],[2]Contrato!A:A,[2]Contrato!T:T,"",0)</f>
        <v>#NAME?</v>
      </c>
      <c r="AB716" s="55" t="e">
        <f ca="1">+MAX(PAA_4[[#This Row],[Comprometido Contrato]],PAA_4[[#This Row],[Comprometido Bolsa]])</f>
        <v>#NAME?</v>
      </c>
      <c r="AC716" s="55" t="str">
        <f t="shared" ca="1" si="252"/>
        <v/>
      </c>
      <c r="AD716" s="55" t="e">
        <f ca="1">IF(PAA_4[[#This Row],[ESTADO (formulado)]]="NO CONTRATADO",0,MAX(PAA_4[[#This Row],[Pago por Contrato]],PAA_4[[#This Row],[Pago por bolsa]]))</f>
        <v>#NAME?</v>
      </c>
      <c r="AE716" s="55" t="str">
        <f t="shared" ca="1" si="253"/>
        <v/>
      </c>
      <c r="AF716" s="47" t="e">
        <f t="shared" ca="1" si="255"/>
        <v>#NAME?</v>
      </c>
      <c r="AG716" s="47">
        <f t="shared" si="254"/>
        <v>41080111</v>
      </c>
      <c r="AH716" s="54">
        <f>IF(Q716="22",IF(ISNUMBER(SEARCH("econ",PAA_4[[#This Row],[Actividad3]])),"Económico",IF(ISNUMBER(SEARCH("alim",PAA_4[[#This Row],[Actividad3]])),"Alimentación",IF(ISNUMBER(SEARCH("educ",PAA_4[[#This Row],[Actividad3]])),"Educativo","Técnico"))),0)</f>
        <v>0</v>
      </c>
      <c r="AI716" s="47" t="e" cm="1">
        <f t="array" aca="1" ref="AI716" ca="1">_xlfn.XLOOKUP(PAA_4[[#This Row],[RCP-RUBRO]],[2]!COMPROMISOS_2024[[#All],[concatenado]],[2]!COMPROMISOS_2024[[#All],[Total pagado]],"",0)</f>
        <v>#NAME?</v>
      </c>
      <c r="AJ716" s="56">
        <f>IF(PAA_4[[#This Row],[BOLSA]]=0,0,SUMIFS([2]!COMPROMISOS_2024[[#All],[Total pagado]],[2]!COMPROMISOS_2024[[#All],[Bolsa]],PAA_4[[#This Row],[BOLSA]],[2]!COMPROMISOS_2024[[#All],[rubro]],PAA_4[[#This Row],[RCP-RUBRO]]))</f>
        <v>0</v>
      </c>
      <c r="AK716" s="47" t="e" cm="1">
        <f t="array" aca="1" ref="AK716" ca="1">_xlfn.XLOOKUP(PAA_4[[#This Row],[RCP-RUBRO]],[2]!COMPROMISOS_2024[[#All],[concatenado]],[2]!COMPROMISOS_2024[[#All],[Total Comprometido]],"",0)</f>
        <v>#NAME?</v>
      </c>
      <c r="AL716" s="47">
        <f>IF(PAA_4[[#This Row],[BOLSA]]=0,0,SUMIFS([2]!COMPROMISOS_2024[[#All],[Total Comprometido]],[2]!COMPROMISOS_2024[[#All],[Bolsa]],PAA_4[[#This Row],[BOLSA]],[2]!COMPROMISOS_2024[[#All],[concatenado]],PAA_4[[#This Row],[RCP-RUBRO]]))</f>
        <v>0</v>
      </c>
    </row>
    <row r="717" spans="1:38" s="19" customFormat="1" ht="31.5" customHeight="1">
      <c r="A717" s="47" t="s">
        <v>82</v>
      </c>
      <c r="B717" s="65" t="s">
        <v>42</v>
      </c>
      <c r="C717" s="47" t="str">
        <f>VLOOKUP(PAA_4[[#This Row],[PROYECTO (formulado)2]],[2]PROYECTOS!$G$1:$L$32,6,0)</f>
        <v>SUBGERENCIA DE ALTOS LOGROS Y DEPORTE ASOCIADO</v>
      </c>
      <c r="D717" s="47" t="str">
        <f>+IF(PAA_4[[#This Row],[UNIDAD DE CONTRATACION (formulado)]]="Subgerencia Administrativa y Financiera","FUNCIONAMIENTO","INVERSIÓN")</f>
        <v>INVERSIÓN</v>
      </c>
      <c r="E717" s="48" t="str">
        <f>VLOOKUP(Q717,[2]PROYECTOS!$G$1:$K$32,5,0)</f>
        <v>DESARROLLO_DEL_POTENCIAL_DEPORTIVO_EN_EL_DEPARTAMENTO_DE_ANTIOQUIA</v>
      </c>
      <c r="F717" s="48">
        <f>VLOOKUP(E717,[2]PROYECTOS!$K$1:$M$32,3,0)</f>
        <v>2020003050022</v>
      </c>
      <c r="G717" s="49" t="s">
        <v>273</v>
      </c>
      <c r="H717" s="49" t="str">
        <f>VLOOKUP(Q717,[2]PROYECTOS!$V$1:$W$32,2,0)</f>
        <v>050065</v>
      </c>
      <c r="I717" s="50">
        <v>0</v>
      </c>
      <c r="J717" s="51" t="s">
        <v>42</v>
      </c>
      <c r="K717" s="47" t="str">
        <f t="shared" ca="1" si="250"/>
        <v>CONTRATADO</v>
      </c>
      <c r="L717" s="47" t="s">
        <v>42</v>
      </c>
      <c r="M717" s="47" t="s">
        <v>42</v>
      </c>
      <c r="N717" s="52" t="s">
        <v>246</v>
      </c>
      <c r="O717" s="51" t="e">
        <f>VLOOKUP(N717,[2]!RUBROS[#All],3,0)</f>
        <v>#REF!</v>
      </c>
      <c r="P717" s="53" t="e">
        <f>VLOOKUP(N717,[2]!RUBROS[#All],2,0)</f>
        <v>#REF!</v>
      </c>
      <c r="Q717" s="47" t="str">
        <f t="shared" si="249"/>
        <v>21</v>
      </c>
      <c r="R717" s="47" t="str">
        <f t="shared" si="251"/>
        <v>0-205400</v>
      </c>
      <c r="S717" s="65" t="s">
        <v>42</v>
      </c>
      <c r="T717" s="59" t="s">
        <v>344</v>
      </c>
      <c r="U717" s="326" t="e">
        <f ca="1">_xlfn.XLOOKUP(PAA_4[[#This Row],[ITEM]],[2]Contrato!A:A,[2]Contrato!Q:Q,"",0)</f>
        <v>#NAME?</v>
      </c>
      <c r="V717" s="65" t="s">
        <v>95</v>
      </c>
      <c r="W717" s="65" t="s">
        <v>42</v>
      </c>
      <c r="X717" s="65" t="s">
        <v>42</v>
      </c>
      <c r="Y717" s="55" t="e">
        <f ca="1">_xlfn.XLOOKUP(PAA_4[[#This Row],[ITEM]],[2]Contrato!A:A,[2]Contrato!B:B,"",0)</f>
        <v>#NAME?</v>
      </c>
      <c r="Z717" s="47" t="e">
        <f ca="1">_xlfn.XLOOKUP(PAA_4[[#This Row],[ITEM]],[2]Contrato!A:A,[2]Contrato!G:G,"",0)</f>
        <v>#NAME?</v>
      </c>
      <c r="AA717" s="47" t="e">
        <f ca="1">_xlfn.XLOOKUP(PAA_4[[#This Row],[ITEM]],[2]Contrato!A:A,[2]Contrato!T:T,"",0)</f>
        <v>#NAME?</v>
      </c>
      <c r="AB717" s="55" t="e">
        <f ca="1">+MAX(PAA_4[[#This Row],[Comprometido Contrato]],PAA_4[[#This Row],[Comprometido Bolsa]])</f>
        <v>#NAME?</v>
      </c>
      <c r="AC717" s="55" t="str">
        <f t="shared" ca="1" si="252"/>
        <v/>
      </c>
      <c r="AD717" s="55" t="e">
        <f ca="1">IF(PAA_4[[#This Row],[ESTADO (formulado)]]="NO CONTRATADO",0,MAX(PAA_4[[#This Row],[Pago por Contrato]],PAA_4[[#This Row],[Pago por bolsa]]))</f>
        <v>#NAME?</v>
      </c>
      <c r="AE717" s="55" t="str">
        <f t="shared" ca="1" si="253"/>
        <v/>
      </c>
      <c r="AF717" s="47" t="e">
        <f t="shared" ca="1" si="255"/>
        <v>#NAME?</v>
      </c>
      <c r="AG717" s="47">
        <f t="shared" si="254"/>
        <v>41080112</v>
      </c>
      <c r="AH717" s="54">
        <f>IF(Q717="22",IF(ISNUMBER(SEARCH("econ",PAA_4[[#This Row],[Actividad3]])),"Económico",IF(ISNUMBER(SEARCH("alim",PAA_4[[#This Row],[Actividad3]])),"Alimentación",IF(ISNUMBER(SEARCH("educ",PAA_4[[#This Row],[Actividad3]])),"Educativo","Técnico"))),0)</f>
        <v>0</v>
      </c>
      <c r="AI717" s="47" t="e" cm="1">
        <f t="array" aca="1" ref="AI717" ca="1">_xlfn.XLOOKUP(PAA_4[[#This Row],[RCP-RUBRO]],[2]!COMPROMISOS_2024[[#All],[concatenado]],[2]!COMPROMISOS_2024[[#All],[Total pagado]],"",0)</f>
        <v>#NAME?</v>
      </c>
      <c r="AJ717" s="56">
        <f>IF(PAA_4[[#This Row],[BOLSA]]=0,0,SUMIFS([2]!COMPROMISOS_2024[[#All],[Total pagado]],[2]!COMPROMISOS_2024[[#All],[Bolsa]],PAA_4[[#This Row],[BOLSA]],[2]!COMPROMISOS_2024[[#All],[rubro]],PAA_4[[#This Row],[RCP-RUBRO]]))</f>
        <v>0</v>
      </c>
      <c r="AK717" s="47" t="e" cm="1">
        <f t="array" aca="1" ref="AK717" ca="1">_xlfn.XLOOKUP(PAA_4[[#This Row],[RCP-RUBRO]],[2]!COMPROMISOS_2024[[#All],[concatenado]],[2]!COMPROMISOS_2024[[#All],[Total Comprometido]],"",0)</f>
        <v>#NAME?</v>
      </c>
      <c r="AL717" s="47">
        <f>IF(PAA_4[[#This Row],[BOLSA]]=0,0,SUMIFS([2]!COMPROMISOS_2024[[#All],[Total Comprometido]],[2]!COMPROMISOS_2024[[#All],[Bolsa]],PAA_4[[#This Row],[BOLSA]],[2]!COMPROMISOS_2024[[#All],[concatenado]],PAA_4[[#This Row],[RCP-RUBRO]]))</f>
        <v>0</v>
      </c>
    </row>
    <row r="718" spans="1:38" s="19" customFormat="1" ht="31.5" customHeight="1">
      <c r="A718" s="47">
        <v>321</v>
      </c>
      <c r="B718" s="47">
        <v>80111600</v>
      </c>
      <c r="C718" s="47" t="str">
        <f>VLOOKUP(PAA_4[[#This Row],[PROYECTO (formulado)2]],[2]PROYECTOS!$G$1:$L$32,6,0)</f>
        <v>SUBGERENCIA DE ALTOS LOGROS Y DEPORTE ASOCIADO</v>
      </c>
      <c r="D718" s="47" t="str">
        <f>+IF(PAA_4[[#This Row],[UNIDAD DE CONTRATACION (formulado)]]="Subgerencia Administrativa y Financiera","FUNCIONAMIENTO","INVERSIÓN")</f>
        <v>INVERSIÓN</v>
      </c>
      <c r="E718" s="48" t="str">
        <f>VLOOKUP(Q718,[2]PROYECTOS!$G$1:$K$32,5,0)</f>
        <v>DESARROLLO_DEL_POTENCIAL_DEPORTIVO_EN_EL_DEPARTAMENTO_DE_ANTIOQUIA</v>
      </c>
      <c r="F718" s="48">
        <f>VLOOKUP(E718,[2]PROYECTOS!$K$1:$M$32,3,0)</f>
        <v>2020003050022</v>
      </c>
      <c r="G718" s="49" t="s">
        <v>273</v>
      </c>
      <c r="H718" s="49" t="str">
        <f>VLOOKUP(Q718,[2]PROYECTOS!$V$1:$W$32,2,0)</f>
        <v>050065</v>
      </c>
      <c r="I718" s="50">
        <f>18693648-4673277-135</f>
        <v>14020236</v>
      </c>
      <c r="J718" s="51" t="s">
        <v>244</v>
      </c>
      <c r="K718" s="47" t="str">
        <f t="shared" ca="1" si="250"/>
        <v>CONTRATADO</v>
      </c>
      <c r="L718" s="47" t="s">
        <v>94</v>
      </c>
      <c r="M718" s="47" t="s">
        <v>1297</v>
      </c>
      <c r="N718" s="52" t="s">
        <v>246</v>
      </c>
      <c r="O718" s="51" t="e">
        <f>VLOOKUP(N718,[2]!RUBROS[#All],3,0)</f>
        <v>#REF!</v>
      </c>
      <c r="P718" s="53" t="e">
        <f>VLOOKUP(N718,[2]!RUBROS[#All],2,0)</f>
        <v>#REF!</v>
      </c>
      <c r="Q718" s="47" t="str">
        <f t="shared" si="249"/>
        <v>21</v>
      </c>
      <c r="R718" s="47" t="str">
        <f t="shared" si="251"/>
        <v>0-205400</v>
      </c>
      <c r="S718" s="54">
        <v>3</v>
      </c>
      <c r="T718" s="59" t="s">
        <v>46</v>
      </c>
      <c r="U718" s="326" t="e">
        <f ca="1">_xlfn.XLOOKUP(PAA_4[[#This Row],[ITEM]],[2]Contrato!A:A,[2]Contrato!Q:Q,"",0)</f>
        <v>#NAME?</v>
      </c>
      <c r="V718" s="47" t="s">
        <v>47</v>
      </c>
      <c r="W718" s="47" t="s">
        <v>83</v>
      </c>
      <c r="X718" s="47" t="s">
        <v>83</v>
      </c>
      <c r="Y718" s="55" t="e">
        <f ca="1">_xlfn.XLOOKUP(PAA_4[[#This Row],[ITEM]],[2]Contrato!A:A,[2]Contrato!B:B,"",0)</f>
        <v>#NAME?</v>
      </c>
      <c r="Z718" s="47" t="e">
        <f ca="1">_xlfn.XLOOKUP(PAA_4[[#This Row],[ITEM]],[2]Contrato!A:A,[2]Contrato!G:G,"",0)</f>
        <v>#NAME?</v>
      </c>
      <c r="AA718" s="47" t="e">
        <f ca="1">_xlfn.XLOOKUP(PAA_4[[#This Row],[ITEM]],[2]Contrato!A:A,[2]Contrato!T:T,"",0)</f>
        <v>#NAME?</v>
      </c>
      <c r="AB718" s="55" t="e">
        <f ca="1">+MAX(PAA_4[[#This Row],[Comprometido Contrato]],PAA_4[[#This Row],[Comprometido Bolsa]])</f>
        <v>#NAME?</v>
      </c>
      <c r="AC718" s="55" t="str">
        <f t="shared" ca="1" si="252"/>
        <v/>
      </c>
      <c r="AD718" s="55" t="e">
        <f ca="1">IF(PAA_4[[#This Row],[ESTADO (formulado)]]="NO CONTRATADO",0,MAX(PAA_4[[#This Row],[Pago por Contrato]],PAA_4[[#This Row],[Pago por bolsa]]))</f>
        <v>#NAME?</v>
      </c>
      <c r="AE718" s="55" t="str">
        <f t="shared" ca="1" si="253"/>
        <v/>
      </c>
      <c r="AF718" s="47" t="e">
        <f t="shared" ca="1" si="255"/>
        <v>#NAME?</v>
      </c>
      <c r="AG718" s="47">
        <f t="shared" si="254"/>
        <v>41080112</v>
      </c>
      <c r="AH718" s="54">
        <f>IF(Q718="22",IF(ISNUMBER(SEARCH("econ",PAA_4[[#This Row],[Actividad3]])),"Económico",IF(ISNUMBER(SEARCH("alim",PAA_4[[#This Row],[Actividad3]])),"Alimentación",IF(ISNUMBER(SEARCH("educ",PAA_4[[#This Row],[Actividad3]])),"Educativo","Técnico"))),0)</f>
        <v>0</v>
      </c>
      <c r="AI718" s="47" t="e" cm="1">
        <f t="array" aca="1" ref="AI718" ca="1">_xlfn.XLOOKUP(PAA_4[[#This Row],[RCP-RUBRO]],[2]!COMPROMISOS_2024[[#All],[concatenado]],[2]!COMPROMISOS_2024[[#All],[Total pagado]],"",0)</f>
        <v>#NAME?</v>
      </c>
      <c r="AJ718" s="56">
        <f>IF(PAA_4[[#This Row],[BOLSA]]=0,0,SUMIFS([2]!COMPROMISOS_2024[[#All],[Total pagado]],[2]!COMPROMISOS_2024[[#All],[Bolsa]],PAA_4[[#This Row],[BOLSA]],[2]!COMPROMISOS_2024[[#All],[rubro]],PAA_4[[#This Row],[RCP-RUBRO]]))</f>
        <v>0</v>
      </c>
      <c r="AK718" s="47" t="e" cm="1">
        <f t="array" aca="1" ref="AK718" ca="1">_xlfn.XLOOKUP(PAA_4[[#This Row],[RCP-RUBRO]],[2]!COMPROMISOS_2024[[#All],[concatenado]],[2]!COMPROMISOS_2024[[#All],[Total Comprometido]],"",0)</f>
        <v>#NAME?</v>
      </c>
      <c r="AL718" s="47">
        <f>IF(PAA_4[[#This Row],[BOLSA]]=0,0,SUMIFS([2]!COMPROMISOS_2024[[#All],[Total Comprometido]],[2]!COMPROMISOS_2024[[#All],[Bolsa]],PAA_4[[#This Row],[BOLSA]],[2]!COMPROMISOS_2024[[#All],[concatenado]],PAA_4[[#This Row],[RCP-RUBRO]]))</f>
        <v>0</v>
      </c>
    </row>
    <row r="719" spans="1:38" s="19" customFormat="1" ht="31.5" customHeight="1">
      <c r="A719" s="47">
        <v>322</v>
      </c>
      <c r="B719" s="47">
        <v>80111600</v>
      </c>
      <c r="C719" s="47" t="str">
        <f>VLOOKUP(PAA_4[[#This Row],[PROYECTO (formulado)2]],[2]PROYECTOS!$G$1:$L$32,6,0)</f>
        <v>SUBGERENCIA DE ALTOS LOGROS Y DEPORTE ASOCIADO</v>
      </c>
      <c r="D719" s="47" t="str">
        <f>+IF(PAA_4[[#This Row],[UNIDAD DE CONTRATACION (formulado)]]="Subgerencia Administrativa y Financiera","FUNCIONAMIENTO","INVERSIÓN")</f>
        <v>INVERSIÓN</v>
      </c>
      <c r="E719" s="48" t="str">
        <f>VLOOKUP(Q719,[2]PROYECTOS!$G$1:$K$32,5,0)</f>
        <v>FORTALECIMIENTO_DEL_PROGRAMA_DE_ALTOS_LOGROS_Y_LIDERAZGO_DEPORTIVO_EN_EL_DEPARTAMENTO_DE_ANTIOQUIA</v>
      </c>
      <c r="F719" s="48">
        <f>VLOOKUP(E719,[2]PROYECTOS!$K$1:$M$32,3,0)</f>
        <v>2020003050021</v>
      </c>
      <c r="G719" s="49" t="s">
        <v>235</v>
      </c>
      <c r="H719" s="49" t="str">
        <f>VLOOKUP(Q719,[2]PROYECTOS!$V$1:$W$32,2,0)</f>
        <v>050061</v>
      </c>
      <c r="I719" s="50">
        <v>18693648</v>
      </c>
      <c r="J719" s="51" t="s">
        <v>247</v>
      </c>
      <c r="K719" s="47" t="str">
        <f t="shared" ca="1" si="250"/>
        <v>CONTRATADO</v>
      </c>
      <c r="L719" s="47" t="s">
        <v>94</v>
      </c>
      <c r="M719" s="47" t="s">
        <v>1297</v>
      </c>
      <c r="N719" s="52" t="s">
        <v>245</v>
      </c>
      <c r="O719" s="51" t="e">
        <f>VLOOKUP(N719,[2]!RUBROS[#All],3,0)</f>
        <v>#REF!</v>
      </c>
      <c r="P719" s="53" t="e">
        <f>VLOOKUP(N719,[2]!RUBROS[#All],2,0)</f>
        <v>#REF!</v>
      </c>
      <c r="Q719" s="47" t="str">
        <f t="shared" si="249"/>
        <v>20</v>
      </c>
      <c r="R719" s="47" t="str">
        <f t="shared" si="251"/>
        <v>0-205400</v>
      </c>
      <c r="S719" s="54">
        <v>3</v>
      </c>
      <c r="T719" s="59" t="s">
        <v>46</v>
      </c>
      <c r="U719" s="326" t="e">
        <f ca="1">_xlfn.XLOOKUP(PAA_4[[#This Row],[ITEM]],[2]Contrato!A:A,[2]Contrato!Q:Q,"",0)</f>
        <v>#NAME?</v>
      </c>
      <c r="V719" s="47" t="s">
        <v>47</v>
      </c>
      <c r="W719" s="47" t="s">
        <v>83</v>
      </c>
      <c r="X719" s="47" t="s">
        <v>83</v>
      </c>
      <c r="Y719" s="55" t="e">
        <f ca="1">_xlfn.XLOOKUP(PAA_4[[#This Row],[ITEM]],[2]Contrato!A:A,[2]Contrato!B:B,"",0)</f>
        <v>#NAME?</v>
      </c>
      <c r="Z719" s="47" t="e">
        <f ca="1">_xlfn.XLOOKUP(PAA_4[[#This Row],[ITEM]],[2]Contrato!A:A,[2]Contrato!G:G,"",0)</f>
        <v>#NAME?</v>
      </c>
      <c r="AA719" s="47" t="e">
        <f ca="1">_xlfn.XLOOKUP(PAA_4[[#This Row],[ITEM]],[2]Contrato!A:A,[2]Contrato!T:T,"",0)</f>
        <v>#NAME?</v>
      </c>
      <c r="AB719" s="55" t="e">
        <f ca="1">+MAX(PAA_4[[#This Row],[Comprometido Contrato]],PAA_4[[#This Row],[Comprometido Bolsa]])</f>
        <v>#NAME?</v>
      </c>
      <c r="AC719" s="55" t="str">
        <f t="shared" ca="1" si="252"/>
        <v/>
      </c>
      <c r="AD719" s="55" t="e">
        <f ca="1">IF(PAA_4[[#This Row],[ESTADO (formulado)]]="NO CONTRATADO",0,MAX(PAA_4[[#This Row],[Pago por Contrato]],PAA_4[[#This Row],[Pago por bolsa]]))</f>
        <v>#NAME?</v>
      </c>
      <c r="AE719" s="55" t="str">
        <f t="shared" ca="1" si="253"/>
        <v/>
      </c>
      <c r="AF719" s="47" t="e">
        <f t="shared" ca="1" si="255"/>
        <v>#NAME?</v>
      </c>
      <c r="AG719" s="47">
        <f t="shared" si="254"/>
        <v>41080111</v>
      </c>
      <c r="AH719" s="54">
        <f>IF(Q719="22",IF(ISNUMBER(SEARCH("econ",PAA_4[[#This Row],[Actividad3]])),"Económico",IF(ISNUMBER(SEARCH("alim",PAA_4[[#This Row],[Actividad3]])),"Alimentación",IF(ISNUMBER(SEARCH("educ",PAA_4[[#This Row],[Actividad3]])),"Educativo","Técnico"))),0)</f>
        <v>0</v>
      </c>
      <c r="AI719" s="47" t="e" cm="1">
        <f t="array" aca="1" ref="AI719" ca="1">_xlfn.XLOOKUP(PAA_4[[#This Row],[RCP-RUBRO]],[2]!COMPROMISOS_2024[[#All],[concatenado]],[2]!COMPROMISOS_2024[[#All],[Total pagado]],"",0)</f>
        <v>#NAME?</v>
      </c>
      <c r="AJ719" s="56">
        <f>IF(PAA_4[[#This Row],[BOLSA]]=0,0,SUMIFS([2]!COMPROMISOS_2024[[#All],[Total pagado]],[2]!COMPROMISOS_2024[[#All],[Bolsa]],PAA_4[[#This Row],[BOLSA]],[2]!COMPROMISOS_2024[[#All],[rubro]],PAA_4[[#This Row],[RCP-RUBRO]]))</f>
        <v>0</v>
      </c>
      <c r="AK719" s="47" t="e" cm="1">
        <f t="array" aca="1" ref="AK719" ca="1">_xlfn.XLOOKUP(PAA_4[[#This Row],[RCP-RUBRO]],[2]!COMPROMISOS_2024[[#All],[concatenado]],[2]!COMPROMISOS_2024[[#All],[Total Comprometido]],"",0)</f>
        <v>#NAME?</v>
      </c>
      <c r="AL719" s="47">
        <f>IF(PAA_4[[#This Row],[BOLSA]]=0,0,SUMIFS([2]!COMPROMISOS_2024[[#All],[Total Comprometido]],[2]!COMPROMISOS_2024[[#All],[Bolsa]],PAA_4[[#This Row],[BOLSA]],[2]!COMPROMISOS_2024[[#All],[concatenado]],PAA_4[[#This Row],[RCP-RUBRO]]))</f>
        <v>0</v>
      </c>
    </row>
    <row r="720" spans="1:38" s="19" customFormat="1" ht="31.5" customHeight="1">
      <c r="A720" s="47" t="s">
        <v>82</v>
      </c>
      <c r="B720" s="65" t="s">
        <v>42</v>
      </c>
      <c r="C720" s="47" t="str">
        <f>VLOOKUP(PAA_4[[#This Row],[PROYECTO (formulado)2]],[2]PROYECTOS!$G$1:$L$32,6,0)</f>
        <v>SUBGERENCIA DE ALTOS LOGROS Y DEPORTE ASOCIADO</v>
      </c>
      <c r="D720" s="47" t="str">
        <f>+IF(PAA_4[[#This Row],[UNIDAD DE CONTRATACION (formulado)]]="Subgerencia Administrativa y Financiera","FUNCIONAMIENTO","INVERSIÓN")</f>
        <v>INVERSIÓN</v>
      </c>
      <c r="E720" s="48" t="str">
        <f>VLOOKUP(Q720,[2]PROYECTOS!$G$1:$K$32,5,0)</f>
        <v>DESARROLLO_DEL_POTENCIAL_DEPORTIVO_EN_EL_DEPARTAMENTO_DE_ANTIOQUIA</v>
      </c>
      <c r="F720" s="48">
        <f>VLOOKUP(E720,[2]PROYECTOS!$K$1:$M$32,3,0)</f>
        <v>2020003050022</v>
      </c>
      <c r="G720" s="49" t="s">
        <v>273</v>
      </c>
      <c r="H720" s="49" t="str">
        <f>VLOOKUP(Q720,[2]PROYECTOS!$V$1:$W$32,2,0)</f>
        <v>050065</v>
      </c>
      <c r="I720" s="50">
        <v>0</v>
      </c>
      <c r="J720" s="51" t="s">
        <v>42</v>
      </c>
      <c r="K720" s="47" t="str">
        <f t="shared" ca="1" si="250"/>
        <v>CONTRATADO</v>
      </c>
      <c r="L720" s="47" t="s">
        <v>42</v>
      </c>
      <c r="M720" s="47" t="s">
        <v>42</v>
      </c>
      <c r="N720" s="52" t="s">
        <v>246</v>
      </c>
      <c r="O720" s="51" t="e">
        <f>VLOOKUP(N720,[2]!RUBROS[#All],3,0)</f>
        <v>#REF!</v>
      </c>
      <c r="P720" s="53" t="e">
        <f>VLOOKUP(N720,[2]!RUBROS[#All],2,0)</f>
        <v>#REF!</v>
      </c>
      <c r="Q720" s="47" t="str">
        <f t="shared" si="249"/>
        <v>21</v>
      </c>
      <c r="R720" s="47" t="str">
        <f t="shared" si="251"/>
        <v>0-205400</v>
      </c>
      <c r="S720" s="65" t="s">
        <v>42</v>
      </c>
      <c r="T720" s="59" t="s">
        <v>344</v>
      </c>
      <c r="U720" s="326" t="e">
        <f ca="1">_xlfn.XLOOKUP(PAA_4[[#This Row],[ITEM]],[2]Contrato!A:A,[2]Contrato!Q:Q,"",0)</f>
        <v>#NAME?</v>
      </c>
      <c r="V720" s="65" t="s">
        <v>95</v>
      </c>
      <c r="W720" s="65" t="s">
        <v>42</v>
      </c>
      <c r="X720" s="65" t="s">
        <v>42</v>
      </c>
      <c r="Y720" s="55" t="e">
        <f ca="1">_xlfn.XLOOKUP(PAA_4[[#This Row],[ITEM]],[2]Contrato!A:A,[2]Contrato!B:B,"",0)</f>
        <v>#NAME?</v>
      </c>
      <c r="Z720" s="47" t="e">
        <f ca="1">_xlfn.XLOOKUP(PAA_4[[#This Row],[ITEM]],[2]Contrato!A:A,[2]Contrato!G:G,"",0)</f>
        <v>#NAME?</v>
      </c>
      <c r="AA720" s="47" t="e">
        <f ca="1">_xlfn.XLOOKUP(PAA_4[[#This Row],[ITEM]],[2]Contrato!A:A,[2]Contrato!T:T,"",0)</f>
        <v>#NAME?</v>
      </c>
      <c r="AB720" s="55" t="e">
        <f ca="1">+MAX(PAA_4[[#This Row],[Comprometido Contrato]],PAA_4[[#This Row],[Comprometido Bolsa]])</f>
        <v>#NAME?</v>
      </c>
      <c r="AC720" s="55" t="str">
        <f t="shared" ca="1" si="252"/>
        <v/>
      </c>
      <c r="AD720" s="55" t="e">
        <f ca="1">IF(PAA_4[[#This Row],[ESTADO (formulado)]]="NO CONTRATADO",0,MAX(PAA_4[[#This Row],[Pago por Contrato]],PAA_4[[#This Row],[Pago por bolsa]]))</f>
        <v>#NAME?</v>
      </c>
      <c r="AE720" s="55" t="str">
        <f t="shared" ca="1" si="253"/>
        <v/>
      </c>
      <c r="AF720" s="47" t="e">
        <f t="shared" ca="1" si="255"/>
        <v>#NAME?</v>
      </c>
      <c r="AG720" s="47">
        <f t="shared" si="254"/>
        <v>41080112</v>
      </c>
      <c r="AH720" s="54">
        <f>IF(Q720="22",IF(ISNUMBER(SEARCH("econ",PAA_4[[#This Row],[Actividad3]])),"Económico",IF(ISNUMBER(SEARCH("alim",PAA_4[[#This Row],[Actividad3]])),"Alimentación",IF(ISNUMBER(SEARCH("educ",PAA_4[[#This Row],[Actividad3]])),"Educativo","Técnico"))),0)</f>
        <v>0</v>
      </c>
      <c r="AI720" s="47" t="e" cm="1">
        <f t="array" aca="1" ref="AI720" ca="1">_xlfn.XLOOKUP(PAA_4[[#This Row],[RCP-RUBRO]],[2]!COMPROMISOS_2024[[#All],[concatenado]],[2]!COMPROMISOS_2024[[#All],[Total pagado]],"",0)</f>
        <v>#NAME?</v>
      </c>
      <c r="AJ720" s="56">
        <f>IF(PAA_4[[#This Row],[BOLSA]]=0,0,SUMIFS([2]!COMPROMISOS_2024[[#All],[Total pagado]],[2]!COMPROMISOS_2024[[#All],[Bolsa]],PAA_4[[#This Row],[BOLSA]],[2]!COMPROMISOS_2024[[#All],[rubro]],PAA_4[[#This Row],[RCP-RUBRO]]))</f>
        <v>0</v>
      </c>
      <c r="AK720" s="47" t="e" cm="1">
        <f t="array" aca="1" ref="AK720" ca="1">_xlfn.XLOOKUP(PAA_4[[#This Row],[RCP-RUBRO]],[2]!COMPROMISOS_2024[[#All],[concatenado]],[2]!COMPROMISOS_2024[[#All],[Total Comprometido]],"",0)</f>
        <v>#NAME?</v>
      </c>
      <c r="AL720" s="47">
        <f>IF(PAA_4[[#This Row],[BOLSA]]=0,0,SUMIFS([2]!COMPROMISOS_2024[[#All],[Total Comprometido]],[2]!COMPROMISOS_2024[[#All],[Bolsa]],PAA_4[[#This Row],[BOLSA]],[2]!COMPROMISOS_2024[[#All],[concatenado]],PAA_4[[#This Row],[RCP-RUBRO]]))</f>
        <v>0</v>
      </c>
    </row>
    <row r="721" spans="1:38" s="19" customFormat="1" ht="31.5" customHeight="1">
      <c r="A721" s="47">
        <v>322</v>
      </c>
      <c r="B721" s="47">
        <v>80111600</v>
      </c>
      <c r="C721" s="47" t="str">
        <f>VLOOKUP(PAA_4[[#This Row],[PROYECTO (formulado)2]],[2]PROYECTOS!$G$1:$L$32,6,0)</f>
        <v>SUBGERENCIA DE ALTOS LOGROS Y DEPORTE ASOCIADO</v>
      </c>
      <c r="D721" s="47" t="str">
        <f>+IF(PAA_4[[#This Row],[UNIDAD DE CONTRATACION (formulado)]]="Subgerencia Administrativa y Financiera","FUNCIONAMIENTO","INVERSIÓN")</f>
        <v>INVERSIÓN</v>
      </c>
      <c r="E721" s="48" t="str">
        <f>VLOOKUP(Q721,[2]PROYECTOS!$G$1:$K$32,5,0)</f>
        <v>DESARROLLO_DEL_POTENCIAL_DEPORTIVO_EN_EL_DEPARTAMENTO_DE_ANTIOQUIA</v>
      </c>
      <c r="F721" s="48">
        <f>VLOOKUP(E721,[2]PROYECTOS!$K$1:$M$32,3,0)</f>
        <v>2020003050022</v>
      </c>
      <c r="G721" s="49" t="s">
        <v>273</v>
      </c>
      <c r="H721" s="49" t="str">
        <f>VLOOKUP(Q721,[2]PROYECTOS!$V$1:$W$32,2,0)</f>
        <v>050065</v>
      </c>
      <c r="I721" s="50">
        <f>18693648-9346824</f>
        <v>9346824</v>
      </c>
      <c r="J721" s="51" t="s">
        <v>247</v>
      </c>
      <c r="K721" s="47" t="str">
        <f t="shared" ca="1" si="250"/>
        <v>CONTRATADO</v>
      </c>
      <c r="L721" s="47" t="s">
        <v>94</v>
      </c>
      <c r="M721" s="47" t="s">
        <v>1297</v>
      </c>
      <c r="N721" s="52" t="s">
        <v>246</v>
      </c>
      <c r="O721" s="51" t="e">
        <f>VLOOKUP(N721,[2]!RUBROS[#All],3,0)</f>
        <v>#REF!</v>
      </c>
      <c r="P721" s="53" t="e">
        <f>VLOOKUP(N721,[2]!RUBROS[#All],2,0)</f>
        <v>#REF!</v>
      </c>
      <c r="Q721" s="47" t="str">
        <f t="shared" si="249"/>
        <v>21</v>
      </c>
      <c r="R721" s="47" t="str">
        <f t="shared" si="251"/>
        <v>0-205400</v>
      </c>
      <c r="S721" s="54">
        <v>3</v>
      </c>
      <c r="T721" s="59" t="s">
        <v>46</v>
      </c>
      <c r="U721" s="326" t="e">
        <f ca="1">_xlfn.XLOOKUP(PAA_4[[#This Row],[ITEM]],[2]Contrato!A:A,[2]Contrato!Q:Q,"",0)</f>
        <v>#NAME?</v>
      </c>
      <c r="V721" s="47" t="s">
        <v>47</v>
      </c>
      <c r="W721" s="47" t="s">
        <v>83</v>
      </c>
      <c r="X721" s="47" t="s">
        <v>83</v>
      </c>
      <c r="Y721" s="55" t="e">
        <f ca="1">_xlfn.XLOOKUP(PAA_4[[#This Row],[ITEM]],[2]Contrato!A:A,[2]Contrato!B:B,"",0)</f>
        <v>#NAME?</v>
      </c>
      <c r="Z721" s="47" t="e">
        <f ca="1">_xlfn.XLOOKUP(PAA_4[[#This Row],[ITEM]],[2]Contrato!A:A,[2]Contrato!G:G,"",0)</f>
        <v>#NAME?</v>
      </c>
      <c r="AA721" s="47" t="e">
        <f ca="1">_xlfn.XLOOKUP(PAA_4[[#This Row],[ITEM]],[2]Contrato!A:A,[2]Contrato!T:T,"",0)</f>
        <v>#NAME?</v>
      </c>
      <c r="AB721" s="55" t="e">
        <f ca="1">+MAX(PAA_4[[#This Row],[Comprometido Contrato]],PAA_4[[#This Row],[Comprometido Bolsa]])</f>
        <v>#NAME?</v>
      </c>
      <c r="AC721" s="55" t="str">
        <f t="shared" ca="1" si="252"/>
        <v/>
      </c>
      <c r="AD721" s="55" t="e">
        <f ca="1">IF(PAA_4[[#This Row],[ESTADO (formulado)]]="NO CONTRATADO",0,MAX(PAA_4[[#This Row],[Pago por Contrato]],PAA_4[[#This Row],[Pago por bolsa]]))</f>
        <v>#NAME?</v>
      </c>
      <c r="AE721" s="55" t="str">
        <f t="shared" ca="1" si="253"/>
        <v/>
      </c>
      <c r="AF721" s="47" t="e">
        <f t="shared" ca="1" si="255"/>
        <v>#NAME?</v>
      </c>
      <c r="AG721" s="47">
        <f t="shared" si="254"/>
        <v>41080112</v>
      </c>
      <c r="AH721" s="54">
        <f>IF(Q721="22",IF(ISNUMBER(SEARCH("econ",PAA_4[[#This Row],[Actividad3]])),"Económico",IF(ISNUMBER(SEARCH("alim",PAA_4[[#This Row],[Actividad3]])),"Alimentación",IF(ISNUMBER(SEARCH("educ",PAA_4[[#This Row],[Actividad3]])),"Educativo","Técnico"))),0)</f>
        <v>0</v>
      </c>
      <c r="AI721" s="47" t="e" cm="1">
        <f t="array" aca="1" ref="AI721" ca="1">_xlfn.XLOOKUP(PAA_4[[#This Row],[RCP-RUBRO]],[2]!COMPROMISOS_2024[[#All],[concatenado]],[2]!COMPROMISOS_2024[[#All],[Total pagado]],"",0)</f>
        <v>#NAME?</v>
      </c>
      <c r="AJ721" s="56">
        <f>IF(PAA_4[[#This Row],[BOLSA]]=0,0,SUMIFS([2]!COMPROMISOS_2024[[#All],[Total pagado]],[2]!COMPROMISOS_2024[[#All],[Bolsa]],PAA_4[[#This Row],[BOLSA]],[2]!COMPROMISOS_2024[[#All],[rubro]],PAA_4[[#This Row],[RCP-RUBRO]]))</f>
        <v>0</v>
      </c>
      <c r="AK721" s="47" t="e" cm="1">
        <f t="array" aca="1" ref="AK721" ca="1">_xlfn.XLOOKUP(PAA_4[[#This Row],[RCP-RUBRO]],[2]!COMPROMISOS_2024[[#All],[concatenado]],[2]!COMPROMISOS_2024[[#All],[Total Comprometido]],"",0)</f>
        <v>#NAME?</v>
      </c>
      <c r="AL721" s="47">
        <f>IF(PAA_4[[#This Row],[BOLSA]]=0,0,SUMIFS([2]!COMPROMISOS_2024[[#All],[Total Comprometido]],[2]!COMPROMISOS_2024[[#All],[Bolsa]],PAA_4[[#This Row],[BOLSA]],[2]!COMPROMISOS_2024[[#All],[concatenado]],PAA_4[[#This Row],[RCP-RUBRO]]))</f>
        <v>0</v>
      </c>
    </row>
    <row r="722" spans="1:38" s="19" customFormat="1" ht="31.5" customHeight="1">
      <c r="A722" s="47">
        <v>323</v>
      </c>
      <c r="B722" s="47">
        <v>80111600</v>
      </c>
      <c r="C722" s="47" t="str">
        <f>VLOOKUP(PAA_4[[#This Row],[PROYECTO (formulado)2]],[2]PROYECTOS!$G$1:$L$32,6,0)</f>
        <v>SUBGERENCIA DE ALTOS LOGROS Y DEPORTE ASOCIADO</v>
      </c>
      <c r="D722" s="47" t="str">
        <f>+IF(PAA_4[[#This Row],[UNIDAD DE CONTRATACION (formulado)]]="Subgerencia Administrativa y Financiera","FUNCIONAMIENTO","INVERSIÓN")</f>
        <v>INVERSIÓN</v>
      </c>
      <c r="E722" s="48" t="str">
        <f>VLOOKUP(Q722,[2]PROYECTOS!$G$1:$K$32,5,0)</f>
        <v>FORTALECIMIENTO_DEL_PROGRAMA_DE_ALTOS_LOGROS_Y_LIDERAZGO_DEPORTIVO_EN_EL_DEPARTAMENTO_DE_ANTIOQUIA</v>
      </c>
      <c r="F722" s="48">
        <f>VLOOKUP(E722,[2]PROYECTOS!$K$1:$M$32,3,0)</f>
        <v>2020003050021</v>
      </c>
      <c r="G722" s="49" t="s">
        <v>235</v>
      </c>
      <c r="H722" s="49" t="str">
        <f>VLOOKUP(Q722,[2]PROYECTOS!$V$1:$W$32,2,0)</f>
        <v>050061</v>
      </c>
      <c r="I722" s="50">
        <v>20637243</v>
      </c>
      <c r="J722" s="51" t="s">
        <v>641</v>
      </c>
      <c r="K722" s="47" t="str">
        <f t="shared" ca="1" si="250"/>
        <v>CONTRATADO</v>
      </c>
      <c r="L722" s="47" t="s">
        <v>94</v>
      </c>
      <c r="M722" s="47" t="s">
        <v>1297</v>
      </c>
      <c r="N722" s="52" t="s">
        <v>245</v>
      </c>
      <c r="O722" s="51" t="e">
        <f>VLOOKUP(N722,[2]!RUBROS[#All],3,0)</f>
        <v>#REF!</v>
      </c>
      <c r="P722" s="53" t="e">
        <f>VLOOKUP(N722,[2]!RUBROS[#All],2,0)</f>
        <v>#REF!</v>
      </c>
      <c r="Q722" s="47" t="str">
        <f t="shared" si="249"/>
        <v>20</v>
      </c>
      <c r="R722" s="47" t="str">
        <f t="shared" si="251"/>
        <v>0-205400</v>
      </c>
      <c r="S722" s="54">
        <v>6</v>
      </c>
      <c r="T722" s="59" t="s">
        <v>46</v>
      </c>
      <c r="U722" s="326" t="e">
        <f ca="1">_xlfn.XLOOKUP(PAA_4[[#This Row],[ITEM]],[2]Contrato!A:A,[2]Contrato!Q:Q,"",0)</f>
        <v>#NAME?</v>
      </c>
      <c r="V722" s="47" t="s">
        <v>47</v>
      </c>
      <c r="W722" s="47" t="s">
        <v>91</v>
      </c>
      <c r="X722" s="47" t="s">
        <v>92</v>
      </c>
      <c r="Y722" s="55" t="e">
        <f ca="1">_xlfn.XLOOKUP(PAA_4[[#This Row],[ITEM]],[2]Contrato!A:A,[2]Contrato!B:B,"",0)</f>
        <v>#NAME?</v>
      </c>
      <c r="Z722" s="47" t="e">
        <f ca="1">_xlfn.XLOOKUP(PAA_4[[#This Row],[ITEM]],[2]Contrato!A:A,[2]Contrato!G:G,"",0)</f>
        <v>#NAME?</v>
      </c>
      <c r="AA722" s="47" t="e">
        <f ca="1">_xlfn.XLOOKUP(PAA_4[[#This Row],[ITEM]],[2]Contrato!A:A,[2]Contrato!T:T,"",0)</f>
        <v>#NAME?</v>
      </c>
      <c r="AB722" s="55" t="e">
        <f ca="1">+MAX(PAA_4[[#This Row],[Comprometido Contrato]],PAA_4[[#This Row],[Comprometido Bolsa]])</f>
        <v>#NAME?</v>
      </c>
      <c r="AC722" s="55" t="str">
        <f t="shared" ca="1" si="252"/>
        <v/>
      </c>
      <c r="AD722" s="55" t="e">
        <f ca="1">IF(PAA_4[[#This Row],[ESTADO (formulado)]]="NO CONTRATADO",0,MAX(PAA_4[[#This Row],[Pago por Contrato]],PAA_4[[#This Row],[Pago por bolsa]]))</f>
        <v>#NAME?</v>
      </c>
      <c r="AE722" s="55" t="str">
        <f t="shared" ca="1" si="253"/>
        <v/>
      </c>
      <c r="AF722" s="47" t="e">
        <f t="shared" ca="1" si="255"/>
        <v>#NAME?</v>
      </c>
      <c r="AG722" s="47">
        <f t="shared" si="254"/>
        <v>41080111</v>
      </c>
      <c r="AH722" s="54">
        <f>IF(Q722="22",IF(ISNUMBER(SEARCH("econ",PAA_4[[#This Row],[Actividad3]])),"Económico",IF(ISNUMBER(SEARCH("alim",PAA_4[[#This Row],[Actividad3]])),"Alimentación",IF(ISNUMBER(SEARCH("educ",PAA_4[[#This Row],[Actividad3]])),"Educativo","Técnico"))),0)</f>
        <v>0</v>
      </c>
      <c r="AI722" s="47" t="e" cm="1">
        <f t="array" aca="1" ref="AI722" ca="1">_xlfn.XLOOKUP(PAA_4[[#This Row],[RCP-RUBRO]],[2]!COMPROMISOS_2024[[#All],[concatenado]],[2]!COMPROMISOS_2024[[#All],[Total pagado]],"",0)</f>
        <v>#NAME?</v>
      </c>
      <c r="AJ722" s="56">
        <f>IF(PAA_4[[#This Row],[BOLSA]]=0,0,SUMIFS([2]!COMPROMISOS_2024[[#All],[Total pagado]],[2]!COMPROMISOS_2024[[#All],[Bolsa]],PAA_4[[#This Row],[BOLSA]],[2]!COMPROMISOS_2024[[#All],[rubro]],PAA_4[[#This Row],[RCP-RUBRO]]))</f>
        <v>0</v>
      </c>
      <c r="AK722" s="47" t="e" cm="1">
        <f t="array" aca="1" ref="AK722" ca="1">_xlfn.XLOOKUP(PAA_4[[#This Row],[RCP-RUBRO]],[2]!COMPROMISOS_2024[[#All],[concatenado]],[2]!COMPROMISOS_2024[[#All],[Total Comprometido]],"",0)</f>
        <v>#NAME?</v>
      </c>
      <c r="AL722" s="47">
        <f>IF(PAA_4[[#This Row],[BOLSA]]=0,0,SUMIFS([2]!COMPROMISOS_2024[[#All],[Total Comprometido]],[2]!COMPROMISOS_2024[[#All],[Bolsa]],PAA_4[[#This Row],[BOLSA]],[2]!COMPROMISOS_2024[[#All],[concatenado]],PAA_4[[#This Row],[RCP-RUBRO]]))</f>
        <v>0</v>
      </c>
    </row>
    <row r="723" spans="1:38" s="19" customFormat="1" ht="31.5" customHeight="1">
      <c r="A723" s="47">
        <v>323</v>
      </c>
      <c r="B723" s="47">
        <v>80111600</v>
      </c>
      <c r="C723" s="47" t="str">
        <f>VLOOKUP(PAA_4[[#This Row],[PROYECTO (formulado)2]],[2]PROYECTOS!$G$1:$L$32,6,0)</f>
        <v>SUBGERENCIA DE ALTOS LOGROS Y DEPORTE ASOCIADO</v>
      </c>
      <c r="D723" s="47" t="str">
        <f>+IF(PAA_4[[#This Row],[UNIDAD DE CONTRATACION (formulado)]]="Subgerencia Administrativa y Financiera","FUNCIONAMIENTO","INVERSIÓN")</f>
        <v>INVERSIÓN</v>
      </c>
      <c r="E723" s="48" t="str">
        <f>VLOOKUP(Q723,[2]PROYECTOS!$G$1:$K$32,5,0)</f>
        <v>DESARROLLO_DEL_POTENCIAL_DEPORTIVO_EN_EL_DEPARTAMENTO_DE_ANTIOQUIA</v>
      </c>
      <c r="F723" s="48">
        <f>VLOOKUP(E723,[2]PROYECTOS!$K$1:$M$32,3,0)</f>
        <v>2020003050022</v>
      </c>
      <c r="G723" s="49" t="s">
        <v>273</v>
      </c>
      <c r="H723" s="49" t="str">
        <f>VLOOKUP(Q723,[2]PROYECTOS!$V$1:$W$32,2,0)</f>
        <v>050065</v>
      </c>
      <c r="I723" s="50">
        <v>20637243</v>
      </c>
      <c r="J723" s="51" t="s">
        <v>641</v>
      </c>
      <c r="K723" s="47" t="str">
        <f t="shared" ca="1" si="250"/>
        <v>CONTRATADO</v>
      </c>
      <c r="L723" s="47" t="s">
        <v>94</v>
      </c>
      <c r="M723" s="47" t="s">
        <v>1297</v>
      </c>
      <c r="N723" s="52" t="s">
        <v>246</v>
      </c>
      <c r="O723" s="51" t="e">
        <f>VLOOKUP(N723,[2]!RUBROS[#All],3,0)</f>
        <v>#REF!</v>
      </c>
      <c r="P723" s="53" t="e">
        <f>VLOOKUP(N723,[2]!RUBROS[#All],2,0)</f>
        <v>#REF!</v>
      </c>
      <c r="Q723" s="47" t="str">
        <f t="shared" si="249"/>
        <v>21</v>
      </c>
      <c r="R723" s="47" t="str">
        <f t="shared" si="251"/>
        <v>0-205400</v>
      </c>
      <c r="S723" s="54">
        <v>6</v>
      </c>
      <c r="T723" s="59" t="s">
        <v>46</v>
      </c>
      <c r="U723" s="326" t="e">
        <f ca="1">_xlfn.XLOOKUP(PAA_4[[#This Row],[ITEM]],[2]Contrato!A:A,[2]Contrato!Q:Q,"",0)</f>
        <v>#NAME?</v>
      </c>
      <c r="V723" s="47" t="s">
        <v>47</v>
      </c>
      <c r="W723" s="47" t="s">
        <v>91</v>
      </c>
      <c r="X723" s="47" t="s">
        <v>92</v>
      </c>
      <c r="Y723" s="55" t="e">
        <f ca="1">_xlfn.XLOOKUP(PAA_4[[#This Row],[ITEM]],[2]Contrato!A:A,[2]Contrato!B:B,"",0)</f>
        <v>#NAME?</v>
      </c>
      <c r="Z723" s="47" t="e">
        <f ca="1">_xlfn.XLOOKUP(PAA_4[[#This Row],[ITEM]],[2]Contrato!A:A,[2]Contrato!G:G,"",0)</f>
        <v>#NAME?</v>
      </c>
      <c r="AA723" s="47" t="e">
        <f ca="1">_xlfn.XLOOKUP(PAA_4[[#This Row],[ITEM]],[2]Contrato!A:A,[2]Contrato!T:T,"",0)</f>
        <v>#NAME?</v>
      </c>
      <c r="AB723" s="55" t="e">
        <f ca="1">+MAX(PAA_4[[#This Row],[Comprometido Contrato]],PAA_4[[#This Row],[Comprometido Bolsa]])</f>
        <v>#NAME?</v>
      </c>
      <c r="AC723" s="55" t="str">
        <f t="shared" ca="1" si="252"/>
        <v/>
      </c>
      <c r="AD723" s="55" t="e">
        <f ca="1">IF(PAA_4[[#This Row],[ESTADO (formulado)]]="NO CONTRATADO",0,MAX(PAA_4[[#This Row],[Pago por Contrato]],PAA_4[[#This Row],[Pago por bolsa]]))</f>
        <v>#NAME?</v>
      </c>
      <c r="AE723" s="55" t="str">
        <f t="shared" ca="1" si="253"/>
        <v/>
      </c>
      <c r="AF723" s="47" t="e">
        <f t="shared" ca="1" si="255"/>
        <v>#NAME?</v>
      </c>
      <c r="AG723" s="47">
        <f t="shared" si="254"/>
        <v>41080112</v>
      </c>
      <c r="AH723" s="54">
        <f>IF(Q723="22",IF(ISNUMBER(SEARCH("econ",PAA_4[[#This Row],[Actividad3]])),"Económico",IF(ISNUMBER(SEARCH("alim",PAA_4[[#This Row],[Actividad3]])),"Alimentación",IF(ISNUMBER(SEARCH("educ",PAA_4[[#This Row],[Actividad3]])),"Educativo","Técnico"))),0)</f>
        <v>0</v>
      </c>
      <c r="AI723" s="47" t="e" cm="1">
        <f t="array" aca="1" ref="AI723" ca="1">_xlfn.XLOOKUP(PAA_4[[#This Row],[RCP-RUBRO]],[2]!COMPROMISOS_2024[[#All],[concatenado]],[2]!COMPROMISOS_2024[[#All],[Total pagado]],"",0)</f>
        <v>#NAME?</v>
      </c>
      <c r="AJ723" s="56">
        <f>IF(PAA_4[[#This Row],[BOLSA]]=0,0,SUMIFS([2]!COMPROMISOS_2024[[#All],[Total pagado]],[2]!COMPROMISOS_2024[[#All],[Bolsa]],PAA_4[[#This Row],[BOLSA]],[2]!COMPROMISOS_2024[[#All],[rubro]],PAA_4[[#This Row],[RCP-RUBRO]]))</f>
        <v>0</v>
      </c>
      <c r="AK723" s="47" t="e" cm="1">
        <f t="array" aca="1" ref="AK723" ca="1">_xlfn.XLOOKUP(PAA_4[[#This Row],[RCP-RUBRO]],[2]!COMPROMISOS_2024[[#All],[concatenado]],[2]!COMPROMISOS_2024[[#All],[Total Comprometido]],"",0)</f>
        <v>#NAME?</v>
      </c>
      <c r="AL723" s="47">
        <f>IF(PAA_4[[#This Row],[BOLSA]]=0,0,SUMIFS([2]!COMPROMISOS_2024[[#All],[Total Comprometido]],[2]!COMPROMISOS_2024[[#All],[Bolsa]],PAA_4[[#This Row],[BOLSA]],[2]!COMPROMISOS_2024[[#All],[concatenado]],PAA_4[[#This Row],[RCP-RUBRO]]))</f>
        <v>0</v>
      </c>
    </row>
    <row r="724" spans="1:38" s="19" customFormat="1" ht="31.5" customHeight="1">
      <c r="A724" s="47">
        <v>324</v>
      </c>
      <c r="B724" s="47">
        <v>80111600</v>
      </c>
      <c r="C724" s="47" t="str">
        <f>VLOOKUP(PAA_4[[#This Row],[PROYECTO (formulado)2]],[2]PROYECTOS!$G$1:$L$32,6,0)</f>
        <v>SUBGERENCIA DE ALTOS LOGROS Y DEPORTE ASOCIADO</v>
      </c>
      <c r="D724" s="47" t="str">
        <f>+IF(PAA_4[[#This Row],[UNIDAD DE CONTRATACION (formulado)]]="Subgerencia Administrativa y Financiera","FUNCIONAMIENTO","INVERSIÓN")</f>
        <v>INVERSIÓN</v>
      </c>
      <c r="E724" s="48" t="str">
        <f>VLOOKUP(Q724,[2]PROYECTOS!$G$1:$K$32,5,0)</f>
        <v>FORTALECIMIENTO_DEL_PROGRAMA_DE_ALTOS_LOGROS_Y_LIDERAZGO_DEPORTIVO_EN_EL_DEPARTAMENTO_DE_ANTIOQUIA</v>
      </c>
      <c r="F724" s="48">
        <f>VLOOKUP(E724,[2]PROYECTOS!$K$1:$M$32,3,0)</f>
        <v>2020003050021</v>
      </c>
      <c r="G724" s="49" t="s">
        <v>235</v>
      </c>
      <c r="H724" s="49" t="str">
        <f>VLOOKUP(Q724,[2]PROYECTOS!$V$1:$W$32,2,0)</f>
        <v>050061</v>
      </c>
      <c r="I724" s="50">
        <v>6287202</v>
      </c>
      <c r="J724" s="51" t="s">
        <v>1694</v>
      </c>
      <c r="K724" s="47" t="str">
        <f t="shared" ca="1" si="250"/>
        <v>CONTRATADO</v>
      </c>
      <c r="L724" s="47" t="s">
        <v>94</v>
      </c>
      <c r="M724" s="47" t="s">
        <v>1297</v>
      </c>
      <c r="N724" s="52" t="s">
        <v>245</v>
      </c>
      <c r="O724" s="51" t="e">
        <f>VLOOKUP(N724,[2]!RUBROS[#All],3,0)</f>
        <v>#REF!</v>
      </c>
      <c r="P724" s="53" t="e">
        <f>VLOOKUP(N724,[2]!RUBROS[#All],2,0)</f>
        <v>#REF!</v>
      </c>
      <c r="Q724" s="47" t="str">
        <f t="shared" si="249"/>
        <v>20</v>
      </c>
      <c r="R724" s="47" t="str">
        <f t="shared" si="251"/>
        <v>0-205400</v>
      </c>
      <c r="S724" s="54">
        <v>3</v>
      </c>
      <c r="T724" s="59" t="s">
        <v>46</v>
      </c>
      <c r="U724" s="326" t="e">
        <f ca="1">_xlfn.XLOOKUP(PAA_4[[#This Row],[ITEM]],[2]Contrato!A:A,[2]Contrato!Q:Q,"",0)</f>
        <v>#NAME?</v>
      </c>
      <c r="V724" s="47" t="s">
        <v>47</v>
      </c>
      <c r="W724" s="47" t="s">
        <v>91</v>
      </c>
      <c r="X724" s="47" t="s">
        <v>92</v>
      </c>
      <c r="Y724" s="55" t="e">
        <f ca="1">_xlfn.XLOOKUP(PAA_4[[#This Row],[ITEM]],[2]Contrato!A:A,[2]Contrato!B:B,"",0)</f>
        <v>#NAME?</v>
      </c>
      <c r="Z724" s="47" t="e">
        <f ca="1">_xlfn.XLOOKUP(PAA_4[[#This Row],[ITEM]],[2]Contrato!A:A,[2]Contrato!G:G,"",0)</f>
        <v>#NAME?</v>
      </c>
      <c r="AA724" s="47" t="e">
        <f ca="1">_xlfn.XLOOKUP(PAA_4[[#This Row],[ITEM]],[2]Contrato!A:A,[2]Contrato!T:T,"",0)</f>
        <v>#NAME?</v>
      </c>
      <c r="AB724" s="55" t="e">
        <f ca="1">+MAX(PAA_4[[#This Row],[Comprometido Contrato]],PAA_4[[#This Row],[Comprometido Bolsa]])</f>
        <v>#NAME?</v>
      </c>
      <c r="AC724" s="55" t="str">
        <f t="shared" ca="1" si="252"/>
        <v/>
      </c>
      <c r="AD724" s="55" t="e">
        <f ca="1">IF(PAA_4[[#This Row],[ESTADO (formulado)]]="NO CONTRATADO",0,MAX(PAA_4[[#This Row],[Pago por Contrato]],PAA_4[[#This Row],[Pago por bolsa]]))</f>
        <v>#NAME?</v>
      </c>
      <c r="AE724" s="55" t="str">
        <f t="shared" ca="1" si="253"/>
        <v/>
      </c>
      <c r="AF724" s="47" t="e">
        <f t="shared" ca="1" si="255"/>
        <v>#NAME?</v>
      </c>
      <c r="AG724" s="47">
        <f t="shared" si="254"/>
        <v>41080111</v>
      </c>
      <c r="AH724" s="54">
        <f>IF(Q724="22",IF(ISNUMBER(SEARCH("econ",PAA_4[[#This Row],[Actividad3]])),"Económico",IF(ISNUMBER(SEARCH("alim",PAA_4[[#This Row],[Actividad3]])),"Alimentación",IF(ISNUMBER(SEARCH("educ",PAA_4[[#This Row],[Actividad3]])),"Educativo","Técnico"))),0)</f>
        <v>0</v>
      </c>
      <c r="AI724" s="47" t="e" cm="1">
        <f t="array" aca="1" ref="AI724" ca="1">_xlfn.XLOOKUP(PAA_4[[#This Row],[RCP-RUBRO]],[2]!COMPROMISOS_2024[[#All],[concatenado]],[2]!COMPROMISOS_2024[[#All],[Total pagado]],"",0)</f>
        <v>#NAME?</v>
      </c>
      <c r="AJ724" s="56">
        <f>IF(PAA_4[[#This Row],[BOLSA]]=0,0,SUMIFS([2]!COMPROMISOS_2024[[#All],[Total pagado]],[2]!COMPROMISOS_2024[[#All],[Bolsa]],PAA_4[[#This Row],[BOLSA]],[2]!COMPROMISOS_2024[[#All],[rubro]],PAA_4[[#This Row],[RCP-RUBRO]]))</f>
        <v>0</v>
      </c>
      <c r="AK724" s="47" t="e" cm="1">
        <f t="array" aca="1" ref="AK724" ca="1">_xlfn.XLOOKUP(PAA_4[[#This Row],[RCP-RUBRO]],[2]!COMPROMISOS_2024[[#All],[concatenado]],[2]!COMPROMISOS_2024[[#All],[Total Comprometido]],"",0)</f>
        <v>#NAME?</v>
      </c>
      <c r="AL724" s="47">
        <f>IF(PAA_4[[#This Row],[BOLSA]]=0,0,SUMIFS([2]!COMPROMISOS_2024[[#All],[Total Comprometido]],[2]!COMPROMISOS_2024[[#All],[Bolsa]],PAA_4[[#This Row],[BOLSA]],[2]!COMPROMISOS_2024[[#All],[concatenado]],PAA_4[[#This Row],[RCP-RUBRO]]))</f>
        <v>0</v>
      </c>
    </row>
    <row r="725" spans="1:38" s="19" customFormat="1" ht="31.5" customHeight="1">
      <c r="A725" s="47">
        <v>324</v>
      </c>
      <c r="B725" s="47">
        <v>80111600</v>
      </c>
      <c r="C725" s="47" t="str">
        <f>VLOOKUP(PAA_4[[#This Row],[PROYECTO (formulado)2]],[2]PROYECTOS!$G$1:$L$32,6,0)</f>
        <v>SUBGERENCIA DE ALTOS LOGROS Y DEPORTE ASOCIADO</v>
      </c>
      <c r="D725" s="47" t="str">
        <f>+IF(PAA_4[[#This Row],[UNIDAD DE CONTRATACION (formulado)]]="Subgerencia Administrativa y Financiera","FUNCIONAMIENTO","INVERSIÓN")</f>
        <v>INVERSIÓN</v>
      </c>
      <c r="E725" s="48" t="str">
        <f>VLOOKUP(Q725,[2]PROYECTOS!$G$1:$K$32,5,0)</f>
        <v>DESARROLLO_DEL_POTENCIAL_DEPORTIVO_EN_EL_DEPARTAMENTO_DE_ANTIOQUIA</v>
      </c>
      <c r="F725" s="48">
        <f>VLOOKUP(E725,[2]PROYECTOS!$K$1:$M$32,3,0)</f>
        <v>2020003050022</v>
      </c>
      <c r="G725" s="49" t="s">
        <v>273</v>
      </c>
      <c r="H725" s="49" t="str">
        <f>VLOOKUP(Q725,[2]PROYECTOS!$V$1:$W$32,2,0)</f>
        <v>050065</v>
      </c>
      <c r="I725" s="50">
        <v>6287202</v>
      </c>
      <c r="J725" s="51" t="s">
        <v>1694</v>
      </c>
      <c r="K725" s="47" t="str">
        <f t="shared" ca="1" si="250"/>
        <v>CONTRATADO</v>
      </c>
      <c r="L725" s="47" t="s">
        <v>94</v>
      </c>
      <c r="M725" s="47" t="s">
        <v>1297</v>
      </c>
      <c r="N725" s="52" t="s">
        <v>246</v>
      </c>
      <c r="O725" s="51" t="e">
        <f>VLOOKUP(N725,[2]!RUBROS[#All],3,0)</f>
        <v>#REF!</v>
      </c>
      <c r="P725" s="53" t="e">
        <f>VLOOKUP(N725,[2]!RUBROS[#All],2,0)</f>
        <v>#REF!</v>
      </c>
      <c r="Q725" s="47" t="str">
        <f t="shared" si="249"/>
        <v>21</v>
      </c>
      <c r="R725" s="47" t="str">
        <f t="shared" si="251"/>
        <v>0-205400</v>
      </c>
      <c r="S725" s="54">
        <v>3</v>
      </c>
      <c r="T725" s="59" t="s">
        <v>46</v>
      </c>
      <c r="U725" s="326" t="e">
        <f ca="1">_xlfn.XLOOKUP(PAA_4[[#This Row],[ITEM]],[2]Contrato!A:A,[2]Contrato!Q:Q,"",0)</f>
        <v>#NAME?</v>
      </c>
      <c r="V725" s="47" t="s">
        <v>47</v>
      </c>
      <c r="W725" s="47" t="s">
        <v>91</v>
      </c>
      <c r="X725" s="47" t="s">
        <v>92</v>
      </c>
      <c r="Y725" s="55" t="e">
        <f ca="1">_xlfn.XLOOKUP(PAA_4[[#This Row],[ITEM]],[2]Contrato!A:A,[2]Contrato!B:B,"",0)</f>
        <v>#NAME?</v>
      </c>
      <c r="Z725" s="47" t="e">
        <f ca="1">_xlfn.XLOOKUP(PAA_4[[#This Row],[ITEM]],[2]Contrato!A:A,[2]Contrato!G:G,"",0)</f>
        <v>#NAME?</v>
      </c>
      <c r="AA725" s="47" t="e">
        <f ca="1">_xlfn.XLOOKUP(PAA_4[[#This Row],[ITEM]],[2]Contrato!A:A,[2]Contrato!T:T,"",0)</f>
        <v>#NAME?</v>
      </c>
      <c r="AB725" s="55" t="e">
        <f ca="1">+MAX(PAA_4[[#This Row],[Comprometido Contrato]],PAA_4[[#This Row],[Comprometido Bolsa]])</f>
        <v>#NAME?</v>
      </c>
      <c r="AC725" s="55" t="str">
        <f t="shared" ca="1" si="252"/>
        <v/>
      </c>
      <c r="AD725" s="55" t="e">
        <f ca="1">IF(PAA_4[[#This Row],[ESTADO (formulado)]]="NO CONTRATADO",0,MAX(PAA_4[[#This Row],[Pago por Contrato]],PAA_4[[#This Row],[Pago por bolsa]]))</f>
        <v>#NAME?</v>
      </c>
      <c r="AE725" s="55" t="str">
        <f t="shared" ca="1" si="253"/>
        <v/>
      </c>
      <c r="AF725" s="47" t="e">
        <f t="shared" ca="1" si="255"/>
        <v>#NAME?</v>
      </c>
      <c r="AG725" s="47">
        <f t="shared" si="254"/>
        <v>41080112</v>
      </c>
      <c r="AH725" s="54">
        <f>IF(Q725="22",IF(ISNUMBER(SEARCH("econ",PAA_4[[#This Row],[Actividad3]])),"Económico",IF(ISNUMBER(SEARCH("alim",PAA_4[[#This Row],[Actividad3]])),"Alimentación",IF(ISNUMBER(SEARCH("educ",PAA_4[[#This Row],[Actividad3]])),"Educativo","Técnico"))),0)</f>
        <v>0</v>
      </c>
      <c r="AI725" s="47" t="e" cm="1">
        <f t="array" aca="1" ref="AI725" ca="1">_xlfn.XLOOKUP(PAA_4[[#This Row],[RCP-RUBRO]],[2]!COMPROMISOS_2024[[#All],[concatenado]],[2]!COMPROMISOS_2024[[#All],[Total pagado]],"",0)</f>
        <v>#NAME?</v>
      </c>
      <c r="AJ725" s="56">
        <f>IF(PAA_4[[#This Row],[BOLSA]]=0,0,SUMIFS([2]!COMPROMISOS_2024[[#All],[Total pagado]],[2]!COMPROMISOS_2024[[#All],[Bolsa]],PAA_4[[#This Row],[BOLSA]],[2]!COMPROMISOS_2024[[#All],[rubro]],PAA_4[[#This Row],[RCP-RUBRO]]))</f>
        <v>0</v>
      </c>
      <c r="AK725" s="47" t="e" cm="1">
        <f t="array" aca="1" ref="AK725" ca="1">_xlfn.XLOOKUP(PAA_4[[#This Row],[RCP-RUBRO]],[2]!COMPROMISOS_2024[[#All],[concatenado]],[2]!COMPROMISOS_2024[[#All],[Total Comprometido]],"",0)</f>
        <v>#NAME?</v>
      </c>
      <c r="AL725" s="47">
        <f>IF(PAA_4[[#This Row],[BOLSA]]=0,0,SUMIFS([2]!COMPROMISOS_2024[[#All],[Total Comprometido]],[2]!COMPROMISOS_2024[[#All],[Bolsa]],PAA_4[[#This Row],[BOLSA]],[2]!COMPROMISOS_2024[[#All],[concatenado]],PAA_4[[#This Row],[RCP-RUBRO]]))</f>
        <v>0</v>
      </c>
    </row>
    <row r="726" spans="1:38" s="19" customFormat="1" ht="31.5" customHeight="1">
      <c r="A726" s="47">
        <v>325</v>
      </c>
      <c r="B726" s="47">
        <v>80111600</v>
      </c>
      <c r="C726" s="47" t="str">
        <f>VLOOKUP(PAA_4[[#This Row],[PROYECTO (formulado)2]],[2]PROYECTOS!$G$1:$L$32,6,0)</f>
        <v>SUBGERENCIA DE ALTOS LOGROS Y DEPORTE ASOCIADO</v>
      </c>
      <c r="D726" s="47" t="str">
        <f>+IF(PAA_4[[#This Row],[UNIDAD DE CONTRATACION (formulado)]]="Subgerencia Administrativa y Financiera","FUNCIONAMIENTO","INVERSIÓN")</f>
        <v>INVERSIÓN</v>
      </c>
      <c r="E726" s="48" t="str">
        <f>VLOOKUP(Q726,[2]PROYECTOS!$G$1:$K$32,5,0)</f>
        <v>FORTALECIMIENTO_DEL_PROGRAMA_DE_ALTOS_LOGROS_Y_LIDERAZGO_DEPORTIVO_EN_EL_DEPARTAMENTO_DE_ANTIOQUIA</v>
      </c>
      <c r="F726" s="48">
        <f>VLOOKUP(E726,[2]PROYECTOS!$K$1:$M$32,3,0)</f>
        <v>2020003050021</v>
      </c>
      <c r="G726" s="49" t="s">
        <v>235</v>
      </c>
      <c r="H726" s="49" t="str">
        <f>VLOOKUP(Q726,[2]PROYECTOS!$V$1:$W$32,2,0)</f>
        <v>050061</v>
      </c>
      <c r="I726" s="50">
        <v>20637243</v>
      </c>
      <c r="J726" s="51" t="s">
        <v>637</v>
      </c>
      <c r="K726" s="47" t="str">
        <f t="shared" ca="1" si="250"/>
        <v>CONTRATADO</v>
      </c>
      <c r="L726" s="47" t="s">
        <v>94</v>
      </c>
      <c r="M726" s="47" t="s">
        <v>1297</v>
      </c>
      <c r="N726" s="52" t="s">
        <v>245</v>
      </c>
      <c r="O726" s="51" t="e">
        <f>VLOOKUP(N726,[2]!RUBROS[#All],3,0)</f>
        <v>#REF!</v>
      </c>
      <c r="P726" s="53" t="e">
        <f>VLOOKUP(N726,[2]!RUBROS[#All],2,0)</f>
        <v>#REF!</v>
      </c>
      <c r="Q726" s="47" t="str">
        <f t="shared" si="249"/>
        <v>20</v>
      </c>
      <c r="R726" s="47" t="str">
        <f t="shared" si="251"/>
        <v>0-205400</v>
      </c>
      <c r="S726" s="54">
        <v>6</v>
      </c>
      <c r="T726" s="59" t="s">
        <v>46</v>
      </c>
      <c r="U726" s="326" t="e">
        <f ca="1">_xlfn.XLOOKUP(PAA_4[[#This Row],[ITEM]],[2]Contrato!A:A,[2]Contrato!Q:Q,"",0)</f>
        <v>#NAME?</v>
      </c>
      <c r="V726" s="47" t="s">
        <v>47</v>
      </c>
      <c r="W726" s="47" t="s">
        <v>91</v>
      </c>
      <c r="X726" s="47" t="s">
        <v>92</v>
      </c>
      <c r="Y726" s="55" t="e">
        <f ca="1">_xlfn.XLOOKUP(PAA_4[[#This Row],[ITEM]],[2]Contrato!A:A,[2]Contrato!B:B,"",0)</f>
        <v>#NAME?</v>
      </c>
      <c r="Z726" s="47" t="e">
        <f ca="1">_xlfn.XLOOKUP(PAA_4[[#This Row],[ITEM]],[2]Contrato!A:A,[2]Contrato!G:G,"",0)</f>
        <v>#NAME?</v>
      </c>
      <c r="AA726" s="47" t="e">
        <f ca="1">_xlfn.XLOOKUP(PAA_4[[#This Row],[ITEM]],[2]Contrato!A:A,[2]Contrato!T:T,"",0)</f>
        <v>#NAME?</v>
      </c>
      <c r="AB726" s="55" t="e">
        <f ca="1">+MAX(PAA_4[[#This Row],[Comprometido Contrato]],PAA_4[[#This Row],[Comprometido Bolsa]])</f>
        <v>#NAME?</v>
      </c>
      <c r="AC726" s="55" t="str">
        <f t="shared" ca="1" si="252"/>
        <v/>
      </c>
      <c r="AD726" s="55" t="e">
        <f ca="1">IF(PAA_4[[#This Row],[ESTADO (formulado)]]="NO CONTRATADO",0,MAX(PAA_4[[#This Row],[Pago por Contrato]],PAA_4[[#This Row],[Pago por bolsa]]))</f>
        <v>#NAME?</v>
      </c>
      <c r="AE726" s="55" t="str">
        <f t="shared" ca="1" si="253"/>
        <v/>
      </c>
      <c r="AF726" s="47" t="e">
        <f t="shared" ca="1" si="255"/>
        <v>#NAME?</v>
      </c>
      <c r="AG726" s="47">
        <f t="shared" si="254"/>
        <v>41080111</v>
      </c>
      <c r="AH726" s="54">
        <f>IF(Q726="22",IF(ISNUMBER(SEARCH("econ",PAA_4[[#This Row],[Actividad3]])),"Económico",IF(ISNUMBER(SEARCH("alim",PAA_4[[#This Row],[Actividad3]])),"Alimentación",IF(ISNUMBER(SEARCH("educ",PAA_4[[#This Row],[Actividad3]])),"Educativo","Técnico"))),0)</f>
        <v>0</v>
      </c>
      <c r="AI726" s="47" t="e" cm="1">
        <f t="array" aca="1" ref="AI726" ca="1">_xlfn.XLOOKUP(PAA_4[[#This Row],[RCP-RUBRO]],[2]!COMPROMISOS_2024[[#All],[concatenado]],[2]!COMPROMISOS_2024[[#All],[Total pagado]],"",0)</f>
        <v>#NAME?</v>
      </c>
      <c r="AJ726" s="56">
        <f>IF(PAA_4[[#This Row],[BOLSA]]=0,0,SUMIFS([2]!COMPROMISOS_2024[[#All],[Total pagado]],[2]!COMPROMISOS_2024[[#All],[Bolsa]],PAA_4[[#This Row],[BOLSA]],[2]!COMPROMISOS_2024[[#All],[rubro]],PAA_4[[#This Row],[RCP-RUBRO]]))</f>
        <v>0</v>
      </c>
      <c r="AK726" s="47" t="e" cm="1">
        <f t="array" aca="1" ref="AK726" ca="1">_xlfn.XLOOKUP(PAA_4[[#This Row],[RCP-RUBRO]],[2]!COMPROMISOS_2024[[#All],[concatenado]],[2]!COMPROMISOS_2024[[#All],[Total Comprometido]],"",0)</f>
        <v>#NAME?</v>
      </c>
      <c r="AL726" s="47">
        <f>IF(PAA_4[[#This Row],[BOLSA]]=0,0,SUMIFS([2]!COMPROMISOS_2024[[#All],[Total Comprometido]],[2]!COMPROMISOS_2024[[#All],[Bolsa]],PAA_4[[#This Row],[BOLSA]],[2]!COMPROMISOS_2024[[#All],[concatenado]],PAA_4[[#This Row],[RCP-RUBRO]]))</f>
        <v>0</v>
      </c>
    </row>
    <row r="727" spans="1:38" s="19" customFormat="1" ht="31.5" customHeight="1">
      <c r="A727" s="47">
        <v>325</v>
      </c>
      <c r="B727" s="47">
        <v>80111600</v>
      </c>
      <c r="C727" s="47" t="str">
        <f>VLOOKUP(PAA_4[[#This Row],[PROYECTO (formulado)2]],[2]PROYECTOS!$G$1:$L$32,6,0)</f>
        <v>SUBGERENCIA DE ALTOS LOGROS Y DEPORTE ASOCIADO</v>
      </c>
      <c r="D727" s="47" t="str">
        <f>+IF(PAA_4[[#This Row],[UNIDAD DE CONTRATACION (formulado)]]="Subgerencia Administrativa y Financiera","FUNCIONAMIENTO","INVERSIÓN")</f>
        <v>INVERSIÓN</v>
      </c>
      <c r="E727" s="48" t="str">
        <f>VLOOKUP(Q727,[2]PROYECTOS!$G$1:$K$32,5,0)</f>
        <v>DESARROLLO_DEL_POTENCIAL_DEPORTIVO_EN_EL_DEPARTAMENTO_DE_ANTIOQUIA</v>
      </c>
      <c r="F727" s="48">
        <f>VLOOKUP(E727,[2]PROYECTOS!$K$1:$M$32,3,0)</f>
        <v>2020003050022</v>
      </c>
      <c r="G727" s="49" t="s">
        <v>273</v>
      </c>
      <c r="H727" s="49" t="str">
        <f>VLOOKUP(Q727,[2]PROYECTOS!$V$1:$W$32,2,0)</f>
        <v>050065</v>
      </c>
      <c r="I727" s="50">
        <v>20637243</v>
      </c>
      <c r="J727" s="51" t="s">
        <v>637</v>
      </c>
      <c r="K727" s="47" t="str">
        <f t="shared" ca="1" si="250"/>
        <v>CONTRATADO</v>
      </c>
      <c r="L727" s="47" t="s">
        <v>94</v>
      </c>
      <c r="M727" s="47" t="s">
        <v>1297</v>
      </c>
      <c r="N727" s="52" t="s">
        <v>246</v>
      </c>
      <c r="O727" s="51" t="e">
        <f>VLOOKUP(N727,[2]!RUBROS[#All],3,0)</f>
        <v>#REF!</v>
      </c>
      <c r="P727" s="53" t="e">
        <f>VLOOKUP(N727,[2]!RUBROS[#All],2,0)</f>
        <v>#REF!</v>
      </c>
      <c r="Q727" s="47" t="str">
        <f t="shared" si="249"/>
        <v>21</v>
      </c>
      <c r="R727" s="47" t="str">
        <f t="shared" si="251"/>
        <v>0-205400</v>
      </c>
      <c r="S727" s="54">
        <v>6</v>
      </c>
      <c r="T727" s="59" t="s">
        <v>46</v>
      </c>
      <c r="U727" s="326" t="e">
        <f ca="1">_xlfn.XLOOKUP(PAA_4[[#This Row],[ITEM]],[2]Contrato!A:A,[2]Contrato!Q:Q,"",0)</f>
        <v>#NAME?</v>
      </c>
      <c r="V727" s="47" t="s">
        <v>47</v>
      </c>
      <c r="W727" s="47" t="s">
        <v>91</v>
      </c>
      <c r="X727" s="47" t="s">
        <v>92</v>
      </c>
      <c r="Y727" s="55" t="e">
        <f ca="1">_xlfn.XLOOKUP(PAA_4[[#This Row],[ITEM]],[2]Contrato!A:A,[2]Contrato!B:B,"",0)</f>
        <v>#NAME?</v>
      </c>
      <c r="Z727" s="47" t="e">
        <f ca="1">_xlfn.XLOOKUP(PAA_4[[#This Row],[ITEM]],[2]Contrato!A:A,[2]Contrato!G:G,"",0)</f>
        <v>#NAME?</v>
      </c>
      <c r="AA727" s="47" t="e">
        <f ca="1">_xlfn.XLOOKUP(PAA_4[[#This Row],[ITEM]],[2]Contrato!A:A,[2]Contrato!T:T,"",0)</f>
        <v>#NAME?</v>
      </c>
      <c r="AB727" s="55" t="e">
        <f ca="1">+MAX(PAA_4[[#This Row],[Comprometido Contrato]],PAA_4[[#This Row],[Comprometido Bolsa]])</f>
        <v>#NAME?</v>
      </c>
      <c r="AC727" s="55" t="str">
        <f t="shared" ca="1" si="252"/>
        <v/>
      </c>
      <c r="AD727" s="55" t="e">
        <f ca="1">IF(PAA_4[[#This Row],[ESTADO (formulado)]]="NO CONTRATADO",0,MAX(PAA_4[[#This Row],[Pago por Contrato]],PAA_4[[#This Row],[Pago por bolsa]]))</f>
        <v>#NAME?</v>
      </c>
      <c r="AE727" s="55" t="str">
        <f t="shared" ca="1" si="253"/>
        <v/>
      </c>
      <c r="AF727" s="47" t="e">
        <f t="shared" ca="1" si="255"/>
        <v>#NAME?</v>
      </c>
      <c r="AG727" s="47">
        <f t="shared" si="254"/>
        <v>41080112</v>
      </c>
      <c r="AH727" s="54">
        <f>IF(Q727="22",IF(ISNUMBER(SEARCH("econ",PAA_4[[#This Row],[Actividad3]])),"Económico",IF(ISNUMBER(SEARCH("alim",PAA_4[[#This Row],[Actividad3]])),"Alimentación",IF(ISNUMBER(SEARCH("educ",PAA_4[[#This Row],[Actividad3]])),"Educativo","Técnico"))),0)</f>
        <v>0</v>
      </c>
      <c r="AI727" s="47" t="e" cm="1">
        <f t="array" aca="1" ref="AI727" ca="1">_xlfn.XLOOKUP(PAA_4[[#This Row],[RCP-RUBRO]],[2]!COMPROMISOS_2024[[#All],[concatenado]],[2]!COMPROMISOS_2024[[#All],[Total pagado]],"",0)</f>
        <v>#NAME?</v>
      </c>
      <c r="AJ727" s="56">
        <f>IF(PAA_4[[#This Row],[BOLSA]]=0,0,SUMIFS([2]!COMPROMISOS_2024[[#All],[Total pagado]],[2]!COMPROMISOS_2024[[#All],[Bolsa]],PAA_4[[#This Row],[BOLSA]],[2]!COMPROMISOS_2024[[#All],[rubro]],PAA_4[[#This Row],[RCP-RUBRO]]))</f>
        <v>0</v>
      </c>
      <c r="AK727" s="47" t="e" cm="1">
        <f t="array" aca="1" ref="AK727" ca="1">_xlfn.XLOOKUP(PAA_4[[#This Row],[RCP-RUBRO]],[2]!COMPROMISOS_2024[[#All],[concatenado]],[2]!COMPROMISOS_2024[[#All],[Total Comprometido]],"",0)</f>
        <v>#NAME?</v>
      </c>
      <c r="AL727" s="47">
        <f>IF(PAA_4[[#This Row],[BOLSA]]=0,0,SUMIFS([2]!COMPROMISOS_2024[[#All],[Total Comprometido]],[2]!COMPROMISOS_2024[[#All],[Bolsa]],PAA_4[[#This Row],[BOLSA]],[2]!COMPROMISOS_2024[[#All],[concatenado]],PAA_4[[#This Row],[RCP-RUBRO]]))</f>
        <v>0</v>
      </c>
    </row>
    <row r="728" spans="1:38" s="19" customFormat="1" ht="31.5" customHeight="1">
      <c r="A728" s="47">
        <v>326</v>
      </c>
      <c r="B728" s="47">
        <v>80111600</v>
      </c>
      <c r="C728" s="47" t="str">
        <f>VLOOKUP(PAA_4[[#This Row],[PROYECTO (formulado)2]],[2]PROYECTOS!$G$1:$L$32,6,0)</f>
        <v>SUBGERENCIA DE ALTOS LOGROS Y DEPORTE ASOCIADO</v>
      </c>
      <c r="D728" s="47" t="str">
        <f>+IF(PAA_4[[#This Row],[UNIDAD DE CONTRATACION (formulado)]]="Subgerencia Administrativa y Financiera","FUNCIONAMIENTO","INVERSIÓN")</f>
        <v>INVERSIÓN</v>
      </c>
      <c r="E728" s="48" t="str">
        <f>VLOOKUP(Q728,[2]PROYECTOS!$G$1:$K$32,5,0)</f>
        <v>FORTALECIMIENTO_DEL_PROGRAMA_DE_ALTOS_LOGROS_Y_LIDERAZGO_DEPORTIVO_EN_EL_DEPARTAMENTO_DE_ANTIOQUIA</v>
      </c>
      <c r="F728" s="48">
        <f>VLOOKUP(E728,[2]PROYECTOS!$K$1:$M$32,3,0)</f>
        <v>2020003050021</v>
      </c>
      <c r="G728" s="49" t="s">
        <v>235</v>
      </c>
      <c r="H728" s="49" t="str">
        <f>VLOOKUP(Q728,[2]PROYECTOS!$V$1:$W$32,2,0)</f>
        <v>050061</v>
      </c>
      <c r="I728" s="349">
        <v>11958183</v>
      </c>
      <c r="J728" s="51" t="s">
        <v>1695</v>
      </c>
      <c r="K728" s="47" t="str">
        <f t="shared" ca="1" si="250"/>
        <v>CONTRATADO</v>
      </c>
      <c r="L728" s="47" t="s">
        <v>94</v>
      </c>
      <c r="M728" s="47" t="s">
        <v>1297</v>
      </c>
      <c r="N728" s="52" t="s">
        <v>245</v>
      </c>
      <c r="O728" s="51" t="e">
        <f>VLOOKUP(N728,[2]!RUBROS[#All],3,0)</f>
        <v>#REF!</v>
      </c>
      <c r="P728" s="53" t="e">
        <f>VLOOKUP(N728,[2]!RUBROS[#All],2,0)</f>
        <v>#REF!</v>
      </c>
      <c r="Q728" s="47" t="str">
        <f t="shared" si="249"/>
        <v>20</v>
      </c>
      <c r="R728" s="47" t="str">
        <f t="shared" si="251"/>
        <v>0-205400</v>
      </c>
      <c r="S728" s="54">
        <v>3</v>
      </c>
      <c r="T728" s="59" t="s">
        <v>46</v>
      </c>
      <c r="U728" s="326" t="e">
        <f ca="1">_xlfn.XLOOKUP(PAA_4[[#This Row],[ITEM]],[2]Contrato!A:A,[2]Contrato!Q:Q,"",0)</f>
        <v>#NAME?</v>
      </c>
      <c r="V728" s="47" t="s">
        <v>47</v>
      </c>
      <c r="W728" s="47" t="s">
        <v>83</v>
      </c>
      <c r="X728" s="47" t="s">
        <v>83</v>
      </c>
      <c r="Y728" s="55" t="e">
        <f ca="1">_xlfn.XLOOKUP(PAA_4[[#This Row],[ITEM]],[2]Contrato!A:A,[2]Contrato!B:B,"",0)</f>
        <v>#NAME?</v>
      </c>
      <c r="Z728" s="47" t="e">
        <f ca="1">_xlfn.XLOOKUP(PAA_4[[#This Row],[ITEM]],[2]Contrato!A:A,[2]Contrato!G:G,"",0)</f>
        <v>#NAME?</v>
      </c>
      <c r="AA728" s="47" t="e">
        <f ca="1">_xlfn.XLOOKUP(PAA_4[[#This Row],[ITEM]],[2]Contrato!A:A,[2]Contrato!T:T,"",0)</f>
        <v>#NAME?</v>
      </c>
      <c r="AB728" s="55" t="e">
        <f ca="1">+MAX(PAA_4[[#This Row],[Comprometido Contrato]],PAA_4[[#This Row],[Comprometido Bolsa]])</f>
        <v>#NAME?</v>
      </c>
      <c r="AC728" s="55" t="str">
        <f t="shared" ca="1" si="252"/>
        <v/>
      </c>
      <c r="AD728" s="55" t="e">
        <f ca="1">IF(PAA_4[[#This Row],[ESTADO (formulado)]]="NO CONTRATADO",0,MAX(PAA_4[[#This Row],[Pago por Contrato]],PAA_4[[#This Row],[Pago por bolsa]]))</f>
        <v>#NAME?</v>
      </c>
      <c r="AE728" s="55" t="str">
        <f t="shared" ca="1" si="253"/>
        <v/>
      </c>
      <c r="AF728" s="47" t="e">
        <f t="shared" ca="1" si="255"/>
        <v>#NAME?</v>
      </c>
      <c r="AG728" s="47">
        <f t="shared" si="254"/>
        <v>41080111</v>
      </c>
      <c r="AH728" s="54">
        <f>IF(Q728="22",IF(ISNUMBER(SEARCH("econ",PAA_4[[#This Row],[Actividad3]])),"Económico",IF(ISNUMBER(SEARCH("alim",PAA_4[[#This Row],[Actividad3]])),"Alimentación",IF(ISNUMBER(SEARCH("educ",PAA_4[[#This Row],[Actividad3]])),"Educativo","Técnico"))),0)</f>
        <v>0</v>
      </c>
      <c r="AI728" s="47" t="e" cm="1">
        <f t="array" aca="1" ref="AI728" ca="1">_xlfn.XLOOKUP(PAA_4[[#This Row],[RCP-RUBRO]],[2]!COMPROMISOS_2024[[#All],[concatenado]],[2]!COMPROMISOS_2024[[#All],[Total pagado]],"",0)</f>
        <v>#NAME?</v>
      </c>
      <c r="AJ728" s="56">
        <f>IF(PAA_4[[#This Row],[BOLSA]]=0,0,SUMIFS([2]!COMPROMISOS_2024[[#All],[Total pagado]],[2]!COMPROMISOS_2024[[#All],[Bolsa]],PAA_4[[#This Row],[BOLSA]],[2]!COMPROMISOS_2024[[#All],[rubro]],PAA_4[[#This Row],[RCP-RUBRO]]))</f>
        <v>0</v>
      </c>
      <c r="AK728" s="47" t="e" cm="1">
        <f t="array" aca="1" ref="AK728" ca="1">_xlfn.XLOOKUP(PAA_4[[#This Row],[RCP-RUBRO]],[2]!COMPROMISOS_2024[[#All],[concatenado]],[2]!COMPROMISOS_2024[[#All],[Total Comprometido]],"",0)</f>
        <v>#NAME?</v>
      </c>
      <c r="AL728" s="47">
        <f>IF(PAA_4[[#This Row],[BOLSA]]=0,0,SUMIFS([2]!COMPROMISOS_2024[[#All],[Total Comprometido]],[2]!COMPROMISOS_2024[[#All],[Bolsa]],PAA_4[[#This Row],[BOLSA]],[2]!COMPROMISOS_2024[[#All],[concatenado]],PAA_4[[#This Row],[RCP-RUBRO]]))</f>
        <v>0</v>
      </c>
    </row>
    <row r="729" spans="1:38" s="19" customFormat="1" ht="31.5" customHeight="1">
      <c r="A729" s="47" t="s">
        <v>82</v>
      </c>
      <c r="B729" s="47">
        <v>80111600</v>
      </c>
      <c r="C729" s="47" t="str">
        <f>VLOOKUP(PAA_4[[#This Row],[PROYECTO (formulado)2]],[2]PROYECTOS!$G$1:$L$32,6,0)</f>
        <v>SUBGERENCIA DE ALTOS LOGROS Y DEPORTE ASOCIADO</v>
      </c>
      <c r="D729" s="47" t="str">
        <f>+IF(PAA_4[[#This Row],[UNIDAD DE CONTRATACION (formulado)]]="Subgerencia Administrativa y Financiera","FUNCIONAMIENTO","INVERSIÓN")</f>
        <v>INVERSIÓN</v>
      </c>
      <c r="E729" s="48" t="str">
        <f>VLOOKUP(Q729,[2]PROYECTOS!$G$1:$K$32,5,0)</f>
        <v>FORTALECIMIENTO_DEL_PROGRAMA_DE_ALTOS_LOGROS_Y_LIDERAZGO_DEPORTIVO_EN_EL_DEPARTAMENTO_DE_ANTIOQUIA</v>
      </c>
      <c r="F729" s="48">
        <f>VLOOKUP(E729,[2]PROYECTOS!$K$1:$M$32,3,0)</f>
        <v>2020003050021</v>
      </c>
      <c r="G729" s="49" t="s">
        <v>235</v>
      </c>
      <c r="H729" s="49" t="str">
        <f>VLOOKUP(Q729,[2]PROYECTOS!$V$1:$W$32,2,0)</f>
        <v>050061</v>
      </c>
      <c r="I729" s="50">
        <v>0</v>
      </c>
      <c r="J729" s="51" t="s">
        <v>248</v>
      </c>
      <c r="K729" s="47" t="str">
        <f t="shared" ca="1" si="250"/>
        <v>CONTRATADO</v>
      </c>
      <c r="L729" s="47" t="s">
        <v>94</v>
      </c>
      <c r="M729" s="47" t="s">
        <v>1297</v>
      </c>
      <c r="N729" s="52" t="s">
        <v>245</v>
      </c>
      <c r="O729" s="51" t="e">
        <f>VLOOKUP(N729,[2]!RUBROS[#All],3,0)</f>
        <v>#REF!</v>
      </c>
      <c r="P729" s="53" t="e">
        <f>VLOOKUP(N729,[2]!RUBROS[#All],2,0)</f>
        <v>#REF!</v>
      </c>
      <c r="Q729" s="47" t="str">
        <f t="shared" si="249"/>
        <v>20</v>
      </c>
      <c r="R729" s="47" t="str">
        <f t="shared" si="251"/>
        <v>0-205400</v>
      </c>
      <c r="S729" s="54">
        <v>6</v>
      </c>
      <c r="T729" s="59" t="s">
        <v>46</v>
      </c>
      <c r="U729" s="326" t="e">
        <f ca="1">_xlfn.XLOOKUP(PAA_4[[#This Row],[ITEM]],[2]Contrato!A:A,[2]Contrato!Q:Q,"",0)</f>
        <v>#NAME?</v>
      </c>
      <c r="V729" s="47" t="s">
        <v>47</v>
      </c>
      <c r="W729" s="47" t="s">
        <v>96</v>
      </c>
      <c r="X729" s="47" t="s">
        <v>96</v>
      </c>
      <c r="Y729" s="55" t="e">
        <f ca="1">_xlfn.XLOOKUP(PAA_4[[#This Row],[ITEM]],[2]Contrato!A:A,[2]Contrato!B:B,"",0)</f>
        <v>#NAME?</v>
      </c>
      <c r="Z729" s="47" t="e">
        <f ca="1">_xlfn.XLOOKUP(PAA_4[[#This Row],[ITEM]],[2]Contrato!A:A,[2]Contrato!G:G,"",0)</f>
        <v>#NAME?</v>
      </c>
      <c r="AA729" s="47" t="e">
        <f ca="1">_xlfn.XLOOKUP(PAA_4[[#This Row],[ITEM]],[2]Contrato!A:A,[2]Contrato!T:T,"",0)</f>
        <v>#NAME?</v>
      </c>
      <c r="AB729" s="55" t="e">
        <f ca="1">+MAX(PAA_4[[#This Row],[Comprometido Contrato]],PAA_4[[#This Row],[Comprometido Bolsa]])</f>
        <v>#NAME?</v>
      </c>
      <c r="AC729" s="55" t="str">
        <f t="shared" ca="1" si="252"/>
        <v/>
      </c>
      <c r="AD729" s="55" t="e">
        <f ca="1">IF(PAA_4[[#This Row],[ESTADO (formulado)]]="NO CONTRATADO",0,MAX(PAA_4[[#This Row],[Pago por Contrato]],PAA_4[[#This Row],[Pago por bolsa]]))</f>
        <v>#NAME?</v>
      </c>
      <c r="AE729" s="55" t="str">
        <f t="shared" ca="1" si="253"/>
        <v/>
      </c>
      <c r="AF729" s="47" t="e">
        <f t="shared" ca="1" si="255"/>
        <v>#NAME?</v>
      </c>
      <c r="AG729" s="47">
        <f t="shared" si="254"/>
        <v>41080111</v>
      </c>
      <c r="AH729" s="54">
        <f>IF(Q729="22",IF(ISNUMBER(SEARCH("econ",PAA_4[[#This Row],[Actividad3]])),"Económico",IF(ISNUMBER(SEARCH("alim",PAA_4[[#This Row],[Actividad3]])),"Alimentación",IF(ISNUMBER(SEARCH("educ",PAA_4[[#This Row],[Actividad3]])),"Educativo","Técnico"))),0)</f>
        <v>0</v>
      </c>
      <c r="AI729" s="47" t="e" cm="1">
        <f t="array" aca="1" ref="AI729" ca="1">_xlfn.XLOOKUP(PAA_4[[#This Row],[RCP-RUBRO]],[2]!COMPROMISOS_2024[[#All],[concatenado]],[2]!COMPROMISOS_2024[[#All],[Total pagado]],"",0)</f>
        <v>#NAME?</v>
      </c>
      <c r="AJ729" s="56">
        <f>IF(PAA_4[[#This Row],[BOLSA]]=0,0,SUMIFS([2]!COMPROMISOS_2024[[#All],[Total pagado]],[2]!COMPROMISOS_2024[[#All],[Bolsa]],PAA_4[[#This Row],[BOLSA]],[2]!COMPROMISOS_2024[[#All],[rubro]],PAA_4[[#This Row],[RCP-RUBRO]]))</f>
        <v>0</v>
      </c>
      <c r="AK729" s="47" t="e" cm="1">
        <f t="array" aca="1" ref="AK729" ca="1">_xlfn.XLOOKUP(PAA_4[[#This Row],[RCP-RUBRO]],[2]!COMPROMISOS_2024[[#All],[concatenado]],[2]!COMPROMISOS_2024[[#All],[Total Comprometido]],"",0)</f>
        <v>#NAME?</v>
      </c>
      <c r="AL729" s="47">
        <f>IF(PAA_4[[#This Row],[BOLSA]]=0,0,SUMIFS([2]!COMPROMISOS_2024[[#All],[Total Comprometido]],[2]!COMPROMISOS_2024[[#All],[Bolsa]],PAA_4[[#This Row],[BOLSA]],[2]!COMPROMISOS_2024[[#All],[concatenado]],PAA_4[[#This Row],[RCP-RUBRO]]))</f>
        <v>0</v>
      </c>
    </row>
    <row r="730" spans="1:38" s="19" customFormat="1" ht="31.5" customHeight="1">
      <c r="A730" s="47">
        <v>327</v>
      </c>
      <c r="B730" s="47">
        <v>80111600</v>
      </c>
      <c r="C730" s="47" t="str">
        <f>VLOOKUP(PAA_4[[#This Row],[PROYECTO (formulado)2]],[2]PROYECTOS!$G$1:$L$32,6,0)</f>
        <v>SUBGERENCIA DE ALTOS LOGROS Y DEPORTE ASOCIADO</v>
      </c>
      <c r="D730" s="47" t="str">
        <f>+IF(PAA_4[[#This Row],[UNIDAD DE CONTRATACION (formulado)]]="Subgerencia Administrativa y Financiera","FUNCIONAMIENTO","INVERSIÓN")</f>
        <v>INVERSIÓN</v>
      </c>
      <c r="E730" s="48" t="str">
        <f>VLOOKUP(Q730,[2]PROYECTOS!$G$1:$K$32,5,0)</f>
        <v>FORTALECIMIENTO_DEL_PROGRAMA_DE_ALTOS_LOGROS_Y_LIDERAZGO_DEPORTIVO_EN_EL_DEPARTAMENTO_DE_ANTIOQUIA</v>
      </c>
      <c r="F730" s="48">
        <f>VLOOKUP(E730,[2]PROYECTOS!$K$1:$M$32,3,0)</f>
        <v>2020003050021</v>
      </c>
      <c r="G730" s="49" t="s">
        <v>235</v>
      </c>
      <c r="H730" s="49" t="str">
        <f>VLOOKUP(Q730,[2]PROYECTOS!$V$1:$W$32,2,0)</f>
        <v>050061</v>
      </c>
      <c r="I730" s="50">
        <v>14020236</v>
      </c>
      <c r="J730" s="51" t="s">
        <v>249</v>
      </c>
      <c r="K730" s="47" t="str">
        <f t="shared" ca="1" si="250"/>
        <v>CONTRATADO</v>
      </c>
      <c r="L730" s="47" t="s">
        <v>94</v>
      </c>
      <c r="M730" s="47" t="s">
        <v>1297</v>
      </c>
      <c r="N730" s="52" t="s">
        <v>245</v>
      </c>
      <c r="O730" s="51" t="e">
        <f>VLOOKUP(N730,[2]!RUBROS[#All],3,0)</f>
        <v>#REF!</v>
      </c>
      <c r="P730" s="53" t="e">
        <f>VLOOKUP(N730,[2]!RUBROS[#All],2,0)</f>
        <v>#REF!</v>
      </c>
      <c r="Q730" s="47" t="str">
        <f t="shared" si="249"/>
        <v>20</v>
      </c>
      <c r="R730" s="47" t="str">
        <f t="shared" si="251"/>
        <v>0-205400</v>
      </c>
      <c r="S730" s="54">
        <v>3</v>
      </c>
      <c r="T730" s="59" t="s">
        <v>46</v>
      </c>
      <c r="U730" s="326" t="e">
        <f ca="1">_xlfn.XLOOKUP(PAA_4[[#This Row],[ITEM]],[2]Contrato!A:A,[2]Contrato!Q:Q,"",0)</f>
        <v>#NAME?</v>
      </c>
      <c r="V730" s="47" t="s">
        <v>47</v>
      </c>
      <c r="W730" s="47" t="s">
        <v>83</v>
      </c>
      <c r="X730" s="47" t="s">
        <v>83</v>
      </c>
      <c r="Y730" s="55" t="e">
        <f ca="1">_xlfn.XLOOKUP(PAA_4[[#This Row],[ITEM]],[2]Contrato!A:A,[2]Contrato!B:B,"",0)</f>
        <v>#NAME?</v>
      </c>
      <c r="Z730" s="47" t="e">
        <f ca="1">_xlfn.XLOOKUP(PAA_4[[#This Row],[ITEM]],[2]Contrato!A:A,[2]Contrato!G:G,"",0)</f>
        <v>#NAME?</v>
      </c>
      <c r="AA730" s="47" t="e">
        <f ca="1">_xlfn.XLOOKUP(PAA_4[[#This Row],[ITEM]],[2]Contrato!A:A,[2]Contrato!T:T,"",0)</f>
        <v>#NAME?</v>
      </c>
      <c r="AB730" s="55" t="e">
        <f ca="1">+MAX(PAA_4[[#This Row],[Comprometido Contrato]],PAA_4[[#This Row],[Comprometido Bolsa]])</f>
        <v>#NAME?</v>
      </c>
      <c r="AC730" s="55" t="str">
        <f t="shared" ca="1" si="252"/>
        <v/>
      </c>
      <c r="AD730" s="55" t="e">
        <f ca="1">IF(PAA_4[[#This Row],[ESTADO (formulado)]]="NO CONTRATADO",0,MAX(PAA_4[[#This Row],[Pago por Contrato]],PAA_4[[#This Row],[Pago por bolsa]]))</f>
        <v>#NAME?</v>
      </c>
      <c r="AE730" s="55" t="str">
        <f t="shared" ca="1" si="253"/>
        <v/>
      </c>
      <c r="AF730" s="47" t="e">
        <f t="shared" ca="1" si="255"/>
        <v>#NAME?</v>
      </c>
      <c r="AG730" s="47">
        <f t="shared" si="254"/>
        <v>41080111</v>
      </c>
      <c r="AH730" s="54">
        <f>IF(Q730="22",IF(ISNUMBER(SEARCH("econ",PAA_4[[#This Row],[Actividad3]])),"Económico",IF(ISNUMBER(SEARCH("alim",PAA_4[[#This Row],[Actividad3]])),"Alimentación",IF(ISNUMBER(SEARCH("educ",PAA_4[[#This Row],[Actividad3]])),"Educativo","Técnico"))),0)</f>
        <v>0</v>
      </c>
      <c r="AI730" s="47" t="e" cm="1">
        <f t="array" aca="1" ref="AI730" ca="1">_xlfn.XLOOKUP(PAA_4[[#This Row],[RCP-RUBRO]],[2]!COMPROMISOS_2024[[#All],[concatenado]],[2]!COMPROMISOS_2024[[#All],[Total pagado]],"",0)</f>
        <v>#NAME?</v>
      </c>
      <c r="AJ730" s="56">
        <f>IF(PAA_4[[#This Row],[BOLSA]]=0,0,SUMIFS([2]!COMPROMISOS_2024[[#All],[Total pagado]],[2]!COMPROMISOS_2024[[#All],[Bolsa]],PAA_4[[#This Row],[BOLSA]],[2]!COMPROMISOS_2024[[#All],[rubro]],PAA_4[[#This Row],[RCP-RUBRO]]))</f>
        <v>0</v>
      </c>
      <c r="AK730" s="47" t="e" cm="1">
        <f t="array" aca="1" ref="AK730" ca="1">_xlfn.XLOOKUP(PAA_4[[#This Row],[RCP-RUBRO]],[2]!COMPROMISOS_2024[[#All],[concatenado]],[2]!COMPROMISOS_2024[[#All],[Total Comprometido]],"",0)</f>
        <v>#NAME?</v>
      </c>
      <c r="AL730" s="47">
        <f>IF(PAA_4[[#This Row],[BOLSA]]=0,0,SUMIFS([2]!COMPROMISOS_2024[[#All],[Total Comprometido]],[2]!COMPROMISOS_2024[[#All],[Bolsa]],PAA_4[[#This Row],[BOLSA]],[2]!COMPROMISOS_2024[[#All],[concatenado]],PAA_4[[#This Row],[RCP-RUBRO]]))</f>
        <v>0</v>
      </c>
    </row>
    <row r="731" spans="1:38" s="19" customFormat="1" ht="31.5" customHeight="1">
      <c r="A731" s="47" t="s">
        <v>82</v>
      </c>
      <c r="B731" s="65" t="s">
        <v>42</v>
      </c>
      <c r="C731" s="47" t="str">
        <f>VLOOKUP(PAA_4[[#This Row],[PROYECTO (formulado)2]],[2]PROYECTOS!$G$1:$L$32,6,0)</f>
        <v>SUBGERENCIA DE ALTOS LOGROS Y DEPORTE ASOCIADO</v>
      </c>
      <c r="D731" s="47" t="str">
        <f>+IF(PAA_4[[#This Row],[UNIDAD DE CONTRATACION (formulado)]]="Subgerencia Administrativa y Financiera","FUNCIONAMIENTO","INVERSIÓN")</f>
        <v>INVERSIÓN</v>
      </c>
      <c r="E731" s="48" t="str">
        <f>VLOOKUP(Q731,[2]PROYECTOS!$G$1:$K$32,5,0)</f>
        <v>DESARROLLO_DEL_POTENCIAL_DEPORTIVO_EN_EL_DEPARTAMENTO_DE_ANTIOQUIA</v>
      </c>
      <c r="F731" s="48">
        <f>VLOOKUP(E731,[2]PROYECTOS!$K$1:$M$32,3,0)</f>
        <v>2020003050022</v>
      </c>
      <c r="G731" s="49" t="s">
        <v>273</v>
      </c>
      <c r="H731" s="49" t="str">
        <f>VLOOKUP(Q731,[2]PROYECTOS!$V$1:$W$32,2,0)</f>
        <v>050065</v>
      </c>
      <c r="I731" s="50">
        <v>0</v>
      </c>
      <c r="J731" s="51" t="s">
        <v>42</v>
      </c>
      <c r="K731" s="47" t="str">
        <f t="shared" ca="1" si="250"/>
        <v>CONTRATADO</v>
      </c>
      <c r="L731" s="47" t="s">
        <v>42</v>
      </c>
      <c r="M731" s="47" t="s">
        <v>42</v>
      </c>
      <c r="N731" s="52" t="s">
        <v>246</v>
      </c>
      <c r="O731" s="51" t="e">
        <f>VLOOKUP(N731,[2]!RUBROS[#All],3,0)</f>
        <v>#REF!</v>
      </c>
      <c r="P731" s="53" t="e">
        <f>VLOOKUP(N731,[2]!RUBROS[#All],2,0)</f>
        <v>#REF!</v>
      </c>
      <c r="Q731" s="47" t="str">
        <f t="shared" si="249"/>
        <v>21</v>
      </c>
      <c r="R731" s="47" t="str">
        <f t="shared" si="251"/>
        <v>0-205400</v>
      </c>
      <c r="S731" s="65" t="s">
        <v>42</v>
      </c>
      <c r="T731" s="59" t="s">
        <v>344</v>
      </c>
      <c r="U731" s="326" t="e">
        <f ca="1">_xlfn.XLOOKUP(PAA_4[[#This Row],[ITEM]],[2]Contrato!A:A,[2]Contrato!Q:Q,"",0)</f>
        <v>#NAME?</v>
      </c>
      <c r="V731" s="65" t="s">
        <v>95</v>
      </c>
      <c r="W731" s="65" t="s">
        <v>42</v>
      </c>
      <c r="X731" s="65" t="s">
        <v>42</v>
      </c>
      <c r="Y731" s="55" t="e">
        <f ca="1">_xlfn.XLOOKUP(PAA_4[[#This Row],[ITEM]],[2]Contrato!A:A,[2]Contrato!B:B,"",0)</f>
        <v>#NAME?</v>
      </c>
      <c r="Z731" s="47" t="e">
        <f ca="1">_xlfn.XLOOKUP(PAA_4[[#This Row],[ITEM]],[2]Contrato!A:A,[2]Contrato!G:G,"",0)</f>
        <v>#NAME?</v>
      </c>
      <c r="AA731" s="47" t="e">
        <f ca="1">_xlfn.XLOOKUP(PAA_4[[#This Row],[ITEM]],[2]Contrato!A:A,[2]Contrato!T:T,"",0)</f>
        <v>#NAME?</v>
      </c>
      <c r="AB731" s="55" t="e">
        <f ca="1">+MAX(PAA_4[[#This Row],[Comprometido Contrato]],PAA_4[[#This Row],[Comprometido Bolsa]])</f>
        <v>#NAME?</v>
      </c>
      <c r="AC731" s="55" t="str">
        <f t="shared" ca="1" si="252"/>
        <v/>
      </c>
      <c r="AD731" s="55" t="e">
        <f ca="1">IF(PAA_4[[#This Row],[ESTADO (formulado)]]="NO CONTRATADO",0,MAX(PAA_4[[#This Row],[Pago por Contrato]],PAA_4[[#This Row],[Pago por bolsa]]))</f>
        <v>#NAME?</v>
      </c>
      <c r="AE731" s="55" t="str">
        <f t="shared" ca="1" si="253"/>
        <v/>
      </c>
      <c r="AF731" s="47" t="e">
        <f t="shared" ca="1" si="255"/>
        <v>#NAME?</v>
      </c>
      <c r="AG731" s="47">
        <f t="shared" si="254"/>
        <v>41080112</v>
      </c>
      <c r="AH731" s="54">
        <f>IF(Q731="22",IF(ISNUMBER(SEARCH("econ",PAA_4[[#This Row],[Actividad3]])),"Económico",IF(ISNUMBER(SEARCH("alim",PAA_4[[#This Row],[Actividad3]])),"Alimentación",IF(ISNUMBER(SEARCH("educ",PAA_4[[#This Row],[Actividad3]])),"Educativo","Técnico"))),0)</f>
        <v>0</v>
      </c>
      <c r="AI731" s="47" t="e" cm="1">
        <f t="array" aca="1" ref="AI731" ca="1">_xlfn.XLOOKUP(PAA_4[[#This Row],[RCP-RUBRO]],[2]!COMPROMISOS_2024[[#All],[concatenado]],[2]!COMPROMISOS_2024[[#All],[Total pagado]],"",0)</f>
        <v>#NAME?</v>
      </c>
      <c r="AJ731" s="56">
        <f>IF(PAA_4[[#This Row],[BOLSA]]=0,0,SUMIFS([2]!COMPROMISOS_2024[[#All],[Total pagado]],[2]!COMPROMISOS_2024[[#All],[Bolsa]],PAA_4[[#This Row],[BOLSA]],[2]!COMPROMISOS_2024[[#All],[rubro]],PAA_4[[#This Row],[RCP-RUBRO]]))</f>
        <v>0</v>
      </c>
      <c r="AK731" s="47" t="e" cm="1">
        <f t="array" aca="1" ref="AK731" ca="1">_xlfn.XLOOKUP(PAA_4[[#This Row],[RCP-RUBRO]],[2]!COMPROMISOS_2024[[#All],[concatenado]],[2]!COMPROMISOS_2024[[#All],[Total Comprometido]],"",0)</f>
        <v>#NAME?</v>
      </c>
      <c r="AL731" s="47">
        <f>IF(PAA_4[[#This Row],[BOLSA]]=0,0,SUMIFS([2]!COMPROMISOS_2024[[#All],[Total Comprometido]],[2]!COMPROMISOS_2024[[#All],[Bolsa]],PAA_4[[#This Row],[BOLSA]],[2]!COMPROMISOS_2024[[#All],[concatenado]],PAA_4[[#This Row],[RCP-RUBRO]]))</f>
        <v>0</v>
      </c>
    </row>
    <row r="732" spans="1:38" s="19" customFormat="1" ht="31.5" customHeight="1">
      <c r="A732" s="47">
        <v>327</v>
      </c>
      <c r="B732" s="47">
        <v>80111600</v>
      </c>
      <c r="C732" s="47" t="str">
        <f>VLOOKUP(PAA_4[[#This Row],[PROYECTO (formulado)2]],[2]PROYECTOS!$G$1:$L$32,6,0)</f>
        <v>SUBGERENCIA DE ALTOS LOGROS Y DEPORTE ASOCIADO</v>
      </c>
      <c r="D732" s="47" t="str">
        <f>+IF(PAA_4[[#This Row],[UNIDAD DE CONTRATACION (formulado)]]="Subgerencia Administrativa y Financiera","FUNCIONAMIENTO","INVERSIÓN")</f>
        <v>INVERSIÓN</v>
      </c>
      <c r="E732" s="48" t="str">
        <f>VLOOKUP(Q732,[2]PROYECTOS!$G$1:$K$32,5,0)</f>
        <v>DESARROLLO_DEL_POTENCIAL_DEPORTIVO_EN_EL_DEPARTAMENTO_DE_ANTIOQUIA</v>
      </c>
      <c r="F732" s="48">
        <f>VLOOKUP(E732,[2]PROYECTOS!$K$1:$M$32,3,0)</f>
        <v>2020003050022</v>
      </c>
      <c r="G732" s="49" t="s">
        <v>273</v>
      </c>
      <c r="H732" s="49" t="str">
        <f>VLOOKUP(Q732,[2]PROYECTOS!$V$1:$W$32,2,0)</f>
        <v>050065</v>
      </c>
      <c r="I732" s="50">
        <f>18693648-4673412</f>
        <v>14020236</v>
      </c>
      <c r="J732" s="51" t="s">
        <v>249</v>
      </c>
      <c r="K732" s="47" t="str">
        <f t="shared" ca="1" si="250"/>
        <v>CONTRATADO</v>
      </c>
      <c r="L732" s="47" t="s">
        <v>94</v>
      </c>
      <c r="M732" s="47" t="s">
        <v>1297</v>
      </c>
      <c r="N732" s="52" t="s">
        <v>246</v>
      </c>
      <c r="O732" s="51" t="e">
        <f>VLOOKUP(N732,[2]!RUBROS[#All],3,0)</f>
        <v>#REF!</v>
      </c>
      <c r="P732" s="53" t="e">
        <f>VLOOKUP(N732,[2]!RUBROS[#All],2,0)</f>
        <v>#REF!</v>
      </c>
      <c r="Q732" s="47" t="str">
        <f t="shared" si="249"/>
        <v>21</v>
      </c>
      <c r="R732" s="47" t="str">
        <f t="shared" si="251"/>
        <v>0-205400</v>
      </c>
      <c r="S732" s="54">
        <v>3</v>
      </c>
      <c r="T732" s="59" t="s">
        <v>46</v>
      </c>
      <c r="U732" s="326" t="e">
        <f ca="1">_xlfn.XLOOKUP(PAA_4[[#This Row],[ITEM]],[2]Contrato!A:A,[2]Contrato!Q:Q,"",0)</f>
        <v>#NAME?</v>
      </c>
      <c r="V732" s="47" t="s">
        <v>47</v>
      </c>
      <c r="W732" s="47" t="s">
        <v>83</v>
      </c>
      <c r="X732" s="47" t="s">
        <v>83</v>
      </c>
      <c r="Y732" s="55" t="e">
        <f ca="1">_xlfn.XLOOKUP(PAA_4[[#This Row],[ITEM]],[2]Contrato!A:A,[2]Contrato!B:B,"",0)</f>
        <v>#NAME?</v>
      </c>
      <c r="Z732" s="47" t="e">
        <f ca="1">_xlfn.XLOOKUP(PAA_4[[#This Row],[ITEM]],[2]Contrato!A:A,[2]Contrato!G:G,"",0)</f>
        <v>#NAME?</v>
      </c>
      <c r="AA732" s="47" t="e">
        <f ca="1">_xlfn.XLOOKUP(PAA_4[[#This Row],[ITEM]],[2]Contrato!A:A,[2]Contrato!T:T,"",0)</f>
        <v>#NAME?</v>
      </c>
      <c r="AB732" s="55" t="e">
        <f ca="1">+MAX(PAA_4[[#This Row],[Comprometido Contrato]],PAA_4[[#This Row],[Comprometido Bolsa]])</f>
        <v>#NAME?</v>
      </c>
      <c r="AC732" s="55" t="str">
        <f t="shared" ca="1" si="252"/>
        <v/>
      </c>
      <c r="AD732" s="55" t="e">
        <f ca="1">IF(PAA_4[[#This Row],[ESTADO (formulado)]]="NO CONTRATADO",0,MAX(PAA_4[[#This Row],[Pago por Contrato]],PAA_4[[#This Row],[Pago por bolsa]]))</f>
        <v>#NAME?</v>
      </c>
      <c r="AE732" s="55" t="str">
        <f t="shared" ca="1" si="253"/>
        <v/>
      </c>
      <c r="AF732" s="47" t="e">
        <f t="shared" ca="1" si="255"/>
        <v>#NAME?</v>
      </c>
      <c r="AG732" s="47">
        <f t="shared" si="254"/>
        <v>41080112</v>
      </c>
      <c r="AH732" s="54">
        <f>IF(Q732="22",IF(ISNUMBER(SEARCH("econ",PAA_4[[#This Row],[Actividad3]])),"Económico",IF(ISNUMBER(SEARCH("alim",PAA_4[[#This Row],[Actividad3]])),"Alimentación",IF(ISNUMBER(SEARCH("educ",PAA_4[[#This Row],[Actividad3]])),"Educativo","Técnico"))),0)</f>
        <v>0</v>
      </c>
      <c r="AI732" s="47" t="e" cm="1">
        <f t="array" aca="1" ref="AI732" ca="1">_xlfn.XLOOKUP(PAA_4[[#This Row],[RCP-RUBRO]],[2]!COMPROMISOS_2024[[#All],[concatenado]],[2]!COMPROMISOS_2024[[#All],[Total pagado]],"",0)</f>
        <v>#NAME?</v>
      </c>
      <c r="AJ732" s="56">
        <f>IF(PAA_4[[#This Row],[BOLSA]]=0,0,SUMIFS([2]!COMPROMISOS_2024[[#All],[Total pagado]],[2]!COMPROMISOS_2024[[#All],[Bolsa]],PAA_4[[#This Row],[BOLSA]],[2]!COMPROMISOS_2024[[#All],[rubro]],PAA_4[[#This Row],[RCP-RUBRO]]))</f>
        <v>0</v>
      </c>
      <c r="AK732" s="47" t="e" cm="1">
        <f t="array" aca="1" ref="AK732" ca="1">_xlfn.XLOOKUP(PAA_4[[#This Row],[RCP-RUBRO]],[2]!COMPROMISOS_2024[[#All],[concatenado]],[2]!COMPROMISOS_2024[[#All],[Total Comprometido]],"",0)</f>
        <v>#NAME?</v>
      </c>
      <c r="AL732" s="47">
        <f>IF(PAA_4[[#This Row],[BOLSA]]=0,0,SUMIFS([2]!COMPROMISOS_2024[[#All],[Total Comprometido]],[2]!COMPROMISOS_2024[[#All],[Bolsa]],PAA_4[[#This Row],[BOLSA]],[2]!COMPROMISOS_2024[[#All],[concatenado]],PAA_4[[#This Row],[RCP-RUBRO]]))</f>
        <v>0</v>
      </c>
    </row>
    <row r="733" spans="1:38" s="19" customFormat="1" ht="31.5" customHeight="1">
      <c r="A733" s="47">
        <v>328</v>
      </c>
      <c r="B733" s="47">
        <v>80111600</v>
      </c>
      <c r="C733" s="47" t="str">
        <f>VLOOKUP(PAA_4[[#This Row],[PROYECTO (formulado)2]],[2]PROYECTOS!$G$1:$L$32,6,0)</f>
        <v>SUBGERENCIA DE ALTOS LOGROS Y DEPORTE ASOCIADO</v>
      </c>
      <c r="D733" s="47" t="str">
        <f>+IF(PAA_4[[#This Row],[UNIDAD DE CONTRATACION (formulado)]]="Subgerencia Administrativa y Financiera","FUNCIONAMIENTO","INVERSIÓN")</f>
        <v>INVERSIÓN</v>
      </c>
      <c r="E733" s="48" t="str">
        <f>VLOOKUP(Q733,[2]PROYECTOS!$G$1:$K$32,5,0)</f>
        <v>FORTALECIMIENTO_DEL_PROGRAMA_DE_ALTOS_LOGROS_Y_LIDERAZGO_DEPORTIVO_EN_EL_DEPARTAMENTO_DE_ANTIOQUIA</v>
      </c>
      <c r="F733" s="48">
        <f>VLOOKUP(E733,[2]PROYECTOS!$K$1:$M$32,3,0)</f>
        <v>2020003050021</v>
      </c>
      <c r="G733" s="49" t="s">
        <v>235</v>
      </c>
      <c r="H733" s="49" t="str">
        <f>VLOOKUP(Q733,[2]PROYECTOS!$V$1:$W$32,2,0)</f>
        <v>050061</v>
      </c>
      <c r="I733" s="50">
        <v>20637243</v>
      </c>
      <c r="J733" s="51" t="s">
        <v>641</v>
      </c>
      <c r="K733" s="47" t="str">
        <f t="shared" ca="1" si="250"/>
        <v>CONTRATADO</v>
      </c>
      <c r="L733" s="47" t="s">
        <v>94</v>
      </c>
      <c r="M733" s="47" t="s">
        <v>1297</v>
      </c>
      <c r="N733" s="52" t="s">
        <v>245</v>
      </c>
      <c r="O733" s="51" t="e">
        <f>VLOOKUP(N733,[2]!RUBROS[#All],3,0)</f>
        <v>#REF!</v>
      </c>
      <c r="P733" s="53" t="e">
        <f>VLOOKUP(N733,[2]!RUBROS[#All],2,0)</f>
        <v>#REF!</v>
      </c>
      <c r="Q733" s="47" t="str">
        <f t="shared" si="249"/>
        <v>20</v>
      </c>
      <c r="R733" s="47" t="str">
        <f t="shared" si="251"/>
        <v>0-205400</v>
      </c>
      <c r="S733" s="54">
        <v>201</v>
      </c>
      <c r="T733" s="59" t="s">
        <v>250</v>
      </c>
      <c r="U733" s="326" t="e">
        <f ca="1">_xlfn.XLOOKUP(PAA_4[[#This Row],[ITEM]],[2]Contrato!A:A,[2]Contrato!Q:Q,"",0)</f>
        <v>#NAME?</v>
      </c>
      <c r="V733" s="47" t="s">
        <v>47</v>
      </c>
      <c r="W733" s="47" t="s">
        <v>83</v>
      </c>
      <c r="X733" s="47" t="s">
        <v>83</v>
      </c>
      <c r="Y733" s="55" t="e">
        <f ca="1">_xlfn.XLOOKUP(PAA_4[[#This Row],[ITEM]],[2]Contrato!A:A,[2]Contrato!B:B,"",0)</f>
        <v>#NAME?</v>
      </c>
      <c r="Z733" s="47" t="e">
        <f ca="1">_xlfn.XLOOKUP(PAA_4[[#This Row],[ITEM]],[2]Contrato!A:A,[2]Contrato!G:G,"",0)</f>
        <v>#NAME?</v>
      </c>
      <c r="AA733" s="47" t="e">
        <f ca="1">_xlfn.XLOOKUP(PAA_4[[#This Row],[ITEM]],[2]Contrato!A:A,[2]Contrato!T:T,"",0)</f>
        <v>#NAME?</v>
      </c>
      <c r="AB733" s="55" t="e">
        <f ca="1">+MAX(PAA_4[[#This Row],[Comprometido Contrato]],PAA_4[[#This Row],[Comprometido Bolsa]])</f>
        <v>#NAME?</v>
      </c>
      <c r="AC733" s="55" t="str">
        <f t="shared" ca="1" si="252"/>
        <v/>
      </c>
      <c r="AD733" s="55" t="e">
        <f ca="1">IF(PAA_4[[#This Row],[ESTADO (formulado)]]="NO CONTRATADO",0,MAX(PAA_4[[#This Row],[Pago por Contrato]],PAA_4[[#This Row],[Pago por bolsa]]))</f>
        <v>#NAME?</v>
      </c>
      <c r="AE733" s="55" t="str">
        <f t="shared" ca="1" si="253"/>
        <v/>
      </c>
      <c r="AF733" s="47" t="e">
        <f t="shared" ca="1" si="255"/>
        <v>#NAME?</v>
      </c>
      <c r="AG733" s="47">
        <f t="shared" si="254"/>
        <v>41080111</v>
      </c>
      <c r="AH733" s="54">
        <f>IF(Q733="22",IF(ISNUMBER(SEARCH("econ",PAA_4[[#This Row],[Actividad3]])),"Económico",IF(ISNUMBER(SEARCH("alim",PAA_4[[#This Row],[Actividad3]])),"Alimentación",IF(ISNUMBER(SEARCH("educ",PAA_4[[#This Row],[Actividad3]])),"Educativo","Técnico"))),0)</f>
        <v>0</v>
      </c>
      <c r="AI733" s="47" t="e" cm="1">
        <f t="array" aca="1" ref="AI733" ca="1">_xlfn.XLOOKUP(PAA_4[[#This Row],[RCP-RUBRO]],[2]!COMPROMISOS_2024[[#All],[concatenado]],[2]!COMPROMISOS_2024[[#All],[Total pagado]],"",0)</f>
        <v>#NAME?</v>
      </c>
      <c r="AJ733" s="56">
        <f>IF(PAA_4[[#This Row],[BOLSA]]=0,0,SUMIFS([2]!COMPROMISOS_2024[[#All],[Total pagado]],[2]!COMPROMISOS_2024[[#All],[Bolsa]],PAA_4[[#This Row],[BOLSA]],[2]!COMPROMISOS_2024[[#All],[rubro]],PAA_4[[#This Row],[RCP-RUBRO]]))</f>
        <v>0</v>
      </c>
      <c r="AK733" s="47" t="e" cm="1">
        <f t="array" aca="1" ref="AK733" ca="1">_xlfn.XLOOKUP(PAA_4[[#This Row],[RCP-RUBRO]],[2]!COMPROMISOS_2024[[#All],[concatenado]],[2]!COMPROMISOS_2024[[#All],[Total Comprometido]],"",0)</f>
        <v>#NAME?</v>
      </c>
      <c r="AL733" s="47">
        <f>IF(PAA_4[[#This Row],[BOLSA]]=0,0,SUMIFS([2]!COMPROMISOS_2024[[#All],[Total Comprometido]],[2]!COMPROMISOS_2024[[#All],[Bolsa]],PAA_4[[#This Row],[BOLSA]],[2]!COMPROMISOS_2024[[#All],[concatenado]],PAA_4[[#This Row],[RCP-RUBRO]]))</f>
        <v>0</v>
      </c>
    </row>
    <row r="734" spans="1:38" s="19" customFormat="1" ht="31.5" customHeight="1">
      <c r="A734" s="47">
        <v>328</v>
      </c>
      <c r="B734" s="47">
        <v>80111600</v>
      </c>
      <c r="C734" s="47" t="str">
        <f>VLOOKUP(PAA_4[[#This Row],[PROYECTO (formulado)2]],[2]PROYECTOS!$G$1:$L$32,6,0)</f>
        <v>SUBGERENCIA DE ALTOS LOGROS Y DEPORTE ASOCIADO</v>
      </c>
      <c r="D734" s="47" t="str">
        <f>+IF(PAA_4[[#This Row],[UNIDAD DE CONTRATACION (formulado)]]="Subgerencia Administrativa y Financiera","FUNCIONAMIENTO","INVERSIÓN")</f>
        <v>INVERSIÓN</v>
      </c>
      <c r="E734" s="48" t="str">
        <f>VLOOKUP(Q734,[2]PROYECTOS!$G$1:$K$32,5,0)</f>
        <v>DESARROLLO_DEL_POTENCIAL_DEPORTIVO_EN_EL_DEPARTAMENTO_DE_ANTIOQUIA</v>
      </c>
      <c r="F734" s="48">
        <f>VLOOKUP(E734,[2]PROYECTOS!$K$1:$M$32,3,0)</f>
        <v>2020003050022</v>
      </c>
      <c r="G734" s="49" t="s">
        <v>273</v>
      </c>
      <c r="H734" s="49" t="str">
        <f>VLOOKUP(Q734,[2]PROYECTOS!$V$1:$W$32,2,0)</f>
        <v>050065</v>
      </c>
      <c r="I734" s="50">
        <v>20637243</v>
      </c>
      <c r="J734" s="51" t="s">
        <v>641</v>
      </c>
      <c r="K734" s="47" t="str">
        <f t="shared" ref="K734:K797" ca="1" si="256">IF(ISNONTEXT(Y734)=TRUE,"CONTRATADO","NO CONTRATADO")</f>
        <v>CONTRATADO</v>
      </c>
      <c r="L734" s="47" t="s">
        <v>94</v>
      </c>
      <c r="M734" s="47" t="s">
        <v>1297</v>
      </c>
      <c r="N734" s="52" t="s">
        <v>246</v>
      </c>
      <c r="O734" s="51" t="e">
        <f>VLOOKUP(N734,[2]!RUBROS[#All],3,0)</f>
        <v>#REF!</v>
      </c>
      <c r="P734" s="53" t="e">
        <f>VLOOKUP(N734,[2]!RUBROS[#All],2,0)</f>
        <v>#REF!</v>
      </c>
      <c r="Q734" s="47" t="str">
        <f t="shared" ref="Q734:Q797" si="257">+MID(N734,11,2)</f>
        <v>21</v>
      </c>
      <c r="R734" s="47" t="str">
        <f t="shared" ref="R734:R797" si="258">+MID(N734,14,8)</f>
        <v>0-205400</v>
      </c>
      <c r="S734" s="54">
        <v>201</v>
      </c>
      <c r="T734" s="59" t="s">
        <v>250</v>
      </c>
      <c r="U734" s="326" t="e">
        <f ca="1">_xlfn.XLOOKUP(PAA_4[[#This Row],[ITEM]],[2]Contrato!A:A,[2]Contrato!Q:Q,"",0)</f>
        <v>#NAME?</v>
      </c>
      <c r="V734" s="47" t="s">
        <v>47</v>
      </c>
      <c r="W734" s="47" t="s">
        <v>83</v>
      </c>
      <c r="X734" s="47" t="s">
        <v>83</v>
      </c>
      <c r="Y734" s="55" t="e">
        <f ca="1">_xlfn.XLOOKUP(PAA_4[[#This Row],[ITEM]],[2]Contrato!A:A,[2]Contrato!B:B,"",0)</f>
        <v>#NAME?</v>
      </c>
      <c r="Z734" s="47" t="e">
        <f ca="1">_xlfn.XLOOKUP(PAA_4[[#This Row],[ITEM]],[2]Contrato!A:A,[2]Contrato!G:G,"",0)</f>
        <v>#NAME?</v>
      </c>
      <c r="AA734" s="47" t="e">
        <f ca="1">_xlfn.XLOOKUP(PAA_4[[#This Row],[ITEM]],[2]Contrato!A:A,[2]Contrato!T:T,"",0)</f>
        <v>#NAME?</v>
      </c>
      <c r="AB734" s="55" t="e">
        <f ca="1">+MAX(PAA_4[[#This Row],[Comprometido Contrato]],PAA_4[[#This Row],[Comprometido Bolsa]])</f>
        <v>#NAME?</v>
      </c>
      <c r="AC734" s="55" t="str">
        <f t="shared" ref="AC734:AC797" ca="1" si="259">IFERROR(I734-AB734,"")</f>
        <v/>
      </c>
      <c r="AD734" s="55" t="e">
        <f ca="1">IF(PAA_4[[#This Row],[ESTADO (formulado)]]="NO CONTRATADO",0,MAX(PAA_4[[#This Row],[Pago por Contrato]],PAA_4[[#This Row],[Pago por bolsa]]))</f>
        <v>#NAME?</v>
      </c>
      <c r="AE734" s="55" t="str">
        <f t="shared" ref="AE734:AE797" ca="1" si="260">+IFERROR(AB734-AD734,"")</f>
        <v/>
      </c>
      <c r="AF734" s="47" t="e">
        <f t="shared" ca="1" si="255"/>
        <v>#NAME?</v>
      </c>
      <c r="AG734" s="47">
        <f t="shared" ref="AG734:AG797" si="261">IFERROR(_xlfn.NUMBERVALUE(MID(G734,1,8)),"")</f>
        <v>41080112</v>
      </c>
      <c r="AH734" s="54">
        <f>IF(Q734="22",IF(ISNUMBER(SEARCH("econ",PAA_4[[#This Row],[Actividad3]])),"Económico",IF(ISNUMBER(SEARCH("alim",PAA_4[[#This Row],[Actividad3]])),"Alimentación",IF(ISNUMBER(SEARCH("educ",PAA_4[[#This Row],[Actividad3]])),"Educativo","Técnico"))),0)</f>
        <v>0</v>
      </c>
      <c r="AI734" s="47" t="e" cm="1">
        <f t="array" aca="1" ref="AI734" ca="1">_xlfn.XLOOKUP(PAA_4[[#This Row],[RCP-RUBRO]],[2]!COMPROMISOS_2024[[#All],[concatenado]],[2]!COMPROMISOS_2024[[#All],[Total pagado]],"",0)</f>
        <v>#NAME?</v>
      </c>
      <c r="AJ734" s="56">
        <f>IF(PAA_4[[#This Row],[BOLSA]]=0,0,SUMIFS([2]!COMPROMISOS_2024[[#All],[Total pagado]],[2]!COMPROMISOS_2024[[#All],[Bolsa]],PAA_4[[#This Row],[BOLSA]],[2]!COMPROMISOS_2024[[#All],[rubro]],PAA_4[[#This Row],[RCP-RUBRO]]))</f>
        <v>0</v>
      </c>
      <c r="AK734" s="47" t="e" cm="1">
        <f t="array" aca="1" ref="AK734" ca="1">_xlfn.XLOOKUP(PAA_4[[#This Row],[RCP-RUBRO]],[2]!COMPROMISOS_2024[[#All],[concatenado]],[2]!COMPROMISOS_2024[[#All],[Total Comprometido]],"",0)</f>
        <v>#NAME?</v>
      </c>
      <c r="AL734" s="47">
        <f>IF(PAA_4[[#This Row],[BOLSA]]=0,0,SUMIFS([2]!COMPROMISOS_2024[[#All],[Total Comprometido]],[2]!COMPROMISOS_2024[[#All],[Bolsa]],PAA_4[[#This Row],[BOLSA]],[2]!COMPROMISOS_2024[[#All],[concatenado]],PAA_4[[#This Row],[RCP-RUBRO]]))</f>
        <v>0</v>
      </c>
    </row>
    <row r="735" spans="1:38" s="19" customFormat="1" ht="31.5" customHeight="1">
      <c r="A735" s="47">
        <v>329</v>
      </c>
      <c r="B735" s="47">
        <v>80111600</v>
      </c>
      <c r="C735" s="47" t="str">
        <f>VLOOKUP(PAA_4[[#This Row],[PROYECTO (formulado)2]],[2]PROYECTOS!$G$1:$L$32,6,0)</f>
        <v>SUBGERENCIA DE ALTOS LOGROS Y DEPORTE ASOCIADO</v>
      </c>
      <c r="D735" s="47" t="str">
        <f>+IF(PAA_4[[#This Row],[UNIDAD DE CONTRATACION (formulado)]]="Subgerencia Administrativa y Financiera","FUNCIONAMIENTO","INVERSIÓN")</f>
        <v>INVERSIÓN</v>
      </c>
      <c r="E735" s="48" t="str">
        <f>VLOOKUP(Q735,[2]PROYECTOS!$G$1:$K$32,5,0)</f>
        <v>DESARROLLO_DEL_POTENCIAL_DEPORTIVO_EN_EL_DEPARTAMENTO_DE_ANTIOQUIA</v>
      </c>
      <c r="F735" s="48">
        <f>VLOOKUP(E735,[2]PROYECTOS!$K$1:$M$32,3,0)</f>
        <v>2020003050022</v>
      </c>
      <c r="G735" s="49" t="s">
        <v>273</v>
      </c>
      <c r="H735" s="49" t="str">
        <f>VLOOKUP(Q735,[2]PROYECTOS!$V$1:$W$32,2,0)</f>
        <v>050065</v>
      </c>
      <c r="I735" s="50">
        <v>20279118</v>
      </c>
      <c r="J735" s="51" t="s">
        <v>1696</v>
      </c>
      <c r="K735" s="47" t="str">
        <f t="shared" ca="1" si="256"/>
        <v>CONTRATADO</v>
      </c>
      <c r="L735" s="47" t="s">
        <v>94</v>
      </c>
      <c r="M735" s="47" t="s">
        <v>1297</v>
      </c>
      <c r="N735" s="52" t="s">
        <v>246</v>
      </c>
      <c r="O735" s="51" t="e">
        <f>VLOOKUP(N735,[2]!RUBROS[#All],3,0)</f>
        <v>#REF!</v>
      </c>
      <c r="P735" s="53" t="e">
        <f>VLOOKUP(N735,[2]!RUBROS[#All],2,0)</f>
        <v>#REF!</v>
      </c>
      <c r="Q735" s="47" t="str">
        <f t="shared" si="257"/>
        <v>21</v>
      </c>
      <c r="R735" s="47" t="str">
        <f t="shared" si="258"/>
        <v>0-205400</v>
      </c>
      <c r="S735" s="54">
        <v>6</v>
      </c>
      <c r="T735" s="59" t="s">
        <v>46</v>
      </c>
      <c r="U735" s="326" t="e">
        <f ca="1">_xlfn.XLOOKUP(PAA_4[[#This Row],[ITEM]],[2]Contrato!A:A,[2]Contrato!Q:Q,"",0)</f>
        <v>#NAME?</v>
      </c>
      <c r="V735" s="47" t="s">
        <v>47</v>
      </c>
      <c r="W735" s="47" t="s">
        <v>91</v>
      </c>
      <c r="X735" s="47" t="s">
        <v>91</v>
      </c>
      <c r="Y735" s="55" t="e">
        <f ca="1">_xlfn.XLOOKUP(PAA_4[[#This Row],[ITEM]],[2]Contrato!A:A,[2]Contrato!B:B,"",0)</f>
        <v>#NAME?</v>
      </c>
      <c r="Z735" s="47" t="e">
        <f ca="1">_xlfn.XLOOKUP(PAA_4[[#This Row],[ITEM]],[2]Contrato!A:A,[2]Contrato!G:G,"",0)</f>
        <v>#NAME?</v>
      </c>
      <c r="AA735" s="47" t="e">
        <f ca="1">_xlfn.XLOOKUP(PAA_4[[#This Row],[ITEM]],[2]Contrato!A:A,[2]Contrato!T:T,"",0)</f>
        <v>#NAME?</v>
      </c>
      <c r="AB735" s="55" t="e">
        <f ca="1">+MAX(PAA_4[[#This Row],[Comprometido Contrato]],PAA_4[[#This Row],[Comprometido Bolsa]])</f>
        <v>#NAME?</v>
      </c>
      <c r="AC735" s="55" t="str">
        <f t="shared" ca="1" si="259"/>
        <v/>
      </c>
      <c r="AD735" s="55" t="e">
        <f ca="1">IF(PAA_4[[#This Row],[ESTADO (formulado)]]="NO CONTRATADO",0,MAX(PAA_4[[#This Row],[Pago por Contrato]],PAA_4[[#This Row],[Pago por bolsa]]))</f>
        <v>#NAME?</v>
      </c>
      <c r="AE735" s="55" t="str">
        <f t="shared" ca="1" si="260"/>
        <v/>
      </c>
      <c r="AF735" s="47" t="e">
        <f t="shared" ca="1" si="255"/>
        <v>#NAME?</v>
      </c>
      <c r="AG735" s="47">
        <f t="shared" si="261"/>
        <v>41080112</v>
      </c>
      <c r="AH735" s="54">
        <f>IF(Q735="22",IF(ISNUMBER(SEARCH("econ",PAA_4[[#This Row],[Actividad3]])),"Económico",IF(ISNUMBER(SEARCH("alim",PAA_4[[#This Row],[Actividad3]])),"Alimentación",IF(ISNUMBER(SEARCH("educ",PAA_4[[#This Row],[Actividad3]])),"Educativo","Técnico"))),0)</f>
        <v>0</v>
      </c>
      <c r="AI735" s="47" t="e" cm="1">
        <f t="array" aca="1" ref="AI735" ca="1">_xlfn.XLOOKUP(PAA_4[[#This Row],[RCP-RUBRO]],[2]!COMPROMISOS_2024[[#All],[concatenado]],[2]!COMPROMISOS_2024[[#All],[Total pagado]],"",0)</f>
        <v>#NAME?</v>
      </c>
      <c r="AJ735" s="56">
        <f>IF(PAA_4[[#This Row],[BOLSA]]=0,0,SUMIFS([2]!COMPROMISOS_2024[[#All],[Total pagado]],[2]!COMPROMISOS_2024[[#All],[Bolsa]],PAA_4[[#This Row],[BOLSA]],[2]!COMPROMISOS_2024[[#All],[rubro]],PAA_4[[#This Row],[RCP-RUBRO]]))</f>
        <v>0</v>
      </c>
      <c r="AK735" s="47" t="e" cm="1">
        <f t="array" aca="1" ref="AK735" ca="1">_xlfn.XLOOKUP(PAA_4[[#This Row],[RCP-RUBRO]],[2]!COMPROMISOS_2024[[#All],[concatenado]],[2]!COMPROMISOS_2024[[#All],[Total Comprometido]],"",0)</f>
        <v>#NAME?</v>
      </c>
      <c r="AL735" s="47">
        <f>IF(PAA_4[[#This Row],[BOLSA]]=0,0,SUMIFS([2]!COMPROMISOS_2024[[#All],[Total Comprometido]],[2]!COMPROMISOS_2024[[#All],[Bolsa]],PAA_4[[#This Row],[BOLSA]],[2]!COMPROMISOS_2024[[#All],[concatenado]],PAA_4[[#This Row],[RCP-RUBRO]]))</f>
        <v>0</v>
      </c>
    </row>
    <row r="736" spans="1:38" s="19" customFormat="1" ht="31.5" customHeight="1">
      <c r="A736" s="47">
        <v>330</v>
      </c>
      <c r="B736" s="47">
        <v>80111600</v>
      </c>
      <c r="C736" s="47" t="str">
        <f>VLOOKUP(PAA_4[[#This Row],[PROYECTO (formulado)2]],[2]PROYECTOS!$G$1:$L$32,6,0)</f>
        <v>SUBGERENCIA DE ALTOS LOGROS Y DEPORTE ASOCIADO</v>
      </c>
      <c r="D736" s="47" t="str">
        <f>+IF(PAA_4[[#This Row],[UNIDAD DE CONTRATACION (formulado)]]="Subgerencia Administrativa y Financiera","FUNCIONAMIENTO","INVERSIÓN")</f>
        <v>INVERSIÓN</v>
      </c>
      <c r="E736" s="48" t="str">
        <f>VLOOKUP(Q736,[2]PROYECTOS!$G$1:$K$32,5,0)</f>
        <v>DESARROLLO_DEL_POTENCIAL_DEPORTIVO_EN_EL_DEPARTAMENTO_DE_ANTIOQUIA</v>
      </c>
      <c r="F736" s="48">
        <f>VLOOKUP(E736,[2]PROYECTOS!$K$1:$M$32,3,0)</f>
        <v>2020003050022</v>
      </c>
      <c r="G736" s="49" t="s">
        <v>273</v>
      </c>
      <c r="H736" s="49" t="str">
        <f>VLOOKUP(Q736,[2]PROYECTOS!$V$1:$W$32,2,0)</f>
        <v>050065</v>
      </c>
      <c r="I736" s="50">
        <v>25029060</v>
      </c>
      <c r="J736" s="51" t="s">
        <v>1697</v>
      </c>
      <c r="K736" s="47" t="str">
        <f t="shared" ca="1" si="256"/>
        <v>CONTRATADO</v>
      </c>
      <c r="L736" s="47" t="s">
        <v>94</v>
      </c>
      <c r="M736" s="47" t="s">
        <v>1297</v>
      </c>
      <c r="N736" s="52" t="s">
        <v>246</v>
      </c>
      <c r="O736" s="51" t="e">
        <f>VLOOKUP(N736,[2]!RUBROS[#All],3,0)</f>
        <v>#REF!</v>
      </c>
      <c r="P736" s="53" t="e">
        <f>VLOOKUP(N736,[2]!RUBROS[#All],2,0)</f>
        <v>#REF!</v>
      </c>
      <c r="Q736" s="47" t="str">
        <f t="shared" si="257"/>
        <v>21</v>
      </c>
      <c r="R736" s="47" t="str">
        <f t="shared" si="258"/>
        <v>0-205400</v>
      </c>
      <c r="S736" s="54">
        <v>6</v>
      </c>
      <c r="T736" s="59" t="s">
        <v>46</v>
      </c>
      <c r="U736" s="326" t="e">
        <f ca="1">_xlfn.XLOOKUP(PAA_4[[#This Row],[ITEM]],[2]Contrato!A:A,[2]Contrato!Q:Q,"",0)</f>
        <v>#NAME?</v>
      </c>
      <c r="V736" s="47" t="s">
        <v>47</v>
      </c>
      <c r="W736" s="47" t="s">
        <v>96</v>
      </c>
      <c r="X736" s="47" t="s">
        <v>96</v>
      </c>
      <c r="Y736" s="55" t="e">
        <f ca="1">_xlfn.XLOOKUP(PAA_4[[#This Row],[ITEM]],[2]Contrato!A:A,[2]Contrato!B:B,"",0)</f>
        <v>#NAME?</v>
      </c>
      <c r="Z736" s="47" t="e">
        <f ca="1">_xlfn.XLOOKUP(PAA_4[[#This Row],[ITEM]],[2]Contrato!A:A,[2]Contrato!G:G,"",0)</f>
        <v>#NAME?</v>
      </c>
      <c r="AA736" s="47" t="e">
        <f ca="1">_xlfn.XLOOKUP(PAA_4[[#This Row],[ITEM]],[2]Contrato!A:A,[2]Contrato!T:T,"",0)</f>
        <v>#NAME?</v>
      </c>
      <c r="AB736" s="55" t="e">
        <f ca="1">+MAX(PAA_4[[#This Row],[Comprometido Contrato]],PAA_4[[#This Row],[Comprometido Bolsa]])</f>
        <v>#NAME?</v>
      </c>
      <c r="AC736" s="55" t="str">
        <f t="shared" ca="1" si="259"/>
        <v/>
      </c>
      <c r="AD736" s="55" t="e">
        <f ca="1">IF(PAA_4[[#This Row],[ESTADO (formulado)]]="NO CONTRATADO",0,MAX(PAA_4[[#This Row],[Pago por Contrato]],PAA_4[[#This Row],[Pago por bolsa]]))</f>
        <v>#NAME?</v>
      </c>
      <c r="AE736" s="55" t="str">
        <f t="shared" ca="1" si="260"/>
        <v/>
      </c>
      <c r="AF736" s="47" t="e">
        <f t="shared" ca="1" si="255"/>
        <v>#NAME?</v>
      </c>
      <c r="AG736" s="47">
        <f t="shared" si="261"/>
        <v>41080112</v>
      </c>
      <c r="AH736" s="54">
        <f>IF(Q736="22",IF(ISNUMBER(SEARCH("econ",PAA_4[[#This Row],[Actividad3]])),"Económico",IF(ISNUMBER(SEARCH("alim",PAA_4[[#This Row],[Actividad3]])),"Alimentación",IF(ISNUMBER(SEARCH("educ",PAA_4[[#This Row],[Actividad3]])),"Educativo","Técnico"))),0)</f>
        <v>0</v>
      </c>
      <c r="AI736" s="47" t="e" cm="1">
        <f t="array" aca="1" ref="AI736" ca="1">_xlfn.XLOOKUP(PAA_4[[#This Row],[RCP-RUBRO]],[2]!COMPROMISOS_2024[[#All],[concatenado]],[2]!COMPROMISOS_2024[[#All],[Total pagado]],"",0)</f>
        <v>#NAME?</v>
      </c>
      <c r="AJ736" s="56">
        <f>IF(PAA_4[[#This Row],[BOLSA]]=0,0,SUMIFS([2]!COMPROMISOS_2024[[#All],[Total pagado]],[2]!COMPROMISOS_2024[[#All],[Bolsa]],PAA_4[[#This Row],[BOLSA]],[2]!COMPROMISOS_2024[[#All],[rubro]],PAA_4[[#This Row],[RCP-RUBRO]]))</f>
        <v>0</v>
      </c>
      <c r="AK736" s="47" t="e" cm="1">
        <f t="array" aca="1" ref="AK736" ca="1">_xlfn.XLOOKUP(PAA_4[[#This Row],[RCP-RUBRO]],[2]!COMPROMISOS_2024[[#All],[concatenado]],[2]!COMPROMISOS_2024[[#All],[Total Comprometido]],"",0)</f>
        <v>#NAME?</v>
      </c>
      <c r="AL736" s="47">
        <f>IF(PAA_4[[#This Row],[BOLSA]]=0,0,SUMIFS([2]!COMPROMISOS_2024[[#All],[Total Comprometido]],[2]!COMPROMISOS_2024[[#All],[Bolsa]],PAA_4[[#This Row],[BOLSA]],[2]!COMPROMISOS_2024[[#All],[concatenado]],PAA_4[[#This Row],[RCP-RUBRO]]))</f>
        <v>0</v>
      </c>
    </row>
    <row r="737" spans="1:38" s="19" customFormat="1" ht="31.5" customHeight="1">
      <c r="A737" s="47">
        <v>523</v>
      </c>
      <c r="B737" s="47">
        <v>80111600</v>
      </c>
      <c r="C737" s="47" t="str">
        <f>VLOOKUP(PAA_4[[#This Row],[PROYECTO (formulado)2]],[2]PROYECTOS!$G$1:$L$32,6,0)</f>
        <v>SUBGERENCIA DE ALTOS LOGROS Y DEPORTE ASOCIADO</v>
      </c>
      <c r="D737" s="47" t="str">
        <f>+IF(PAA_4[[#This Row],[UNIDAD DE CONTRATACION (formulado)]]="Subgerencia Administrativa y Financiera","FUNCIONAMIENTO","INVERSIÓN")</f>
        <v>INVERSIÓN</v>
      </c>
      <c r="E737" s="48" t="str">
        <f>VLOOKUP(Q737,[2]PROYECTOS!$G$1:$K$32,5,0)</f>
        <v>FORTALECIMIENTO_DEL_PROGRAMA_DE_ALTOS_LOGROS_Y_LIDERAZGO_DEPORTIVO_EN_EL_DEPARTAMENTO_DE_ANTIOQUIA</v>
      </c>
      <c r="F737" s="48">
        <f>VLOOKUP(E737,[2]PROYECTOS!$K$1:$M$32,3,0)</f>
        <v>2020003050021</v>
      </c>
      <c r="G737" s="49" t="s">
        <v>235</v>
      </c>
      <c r="H737" s="49" t="str">
        <f>VLOOKUP(Q737,[2]PROYECTOS!$V$1:$W$32,2,0)</f>
        <v>050061</v>
      </c>
      <c r="I737" s="50">
        <v>20279118</v>
      </c>
      <c r="J737" s="51" t="s">
        <v>643</v>
      </c>
      <c r="K737" s="47" t="str">
        <f t="shared" ca="1" si="256"/>
        <v>CONTRATADO</v>
      </c>
      <c r="L737" s="47" t="s">
        <v>94</v>
      </c>
      <c r="M737" s="47" t="s">
        <v>1297</v>
      </c>
      <c r="N737" s="52" t="s">
        <v>245</v>
      </c>
      <c r="O737" s="51" t="e">
        <f>VLOOKUP(N737,[2]!RUBROS[#All],3,0)</f>
        <v>#REF!</v>
      </c>
      <c r="P737" s="53" t="e">
        <f>VLOOKUP(N737,[2]!RUBROS[#All],2,0)</f>
        <v>#REF!</v>
      </c>
      <c r="Q737" s="47" t="str">
        <f t="shared" si="257"/>
        <v>20</v>
      </c>
      <c r="R737" s="47" t="str">
        <f t="shared" si="258"/>
        <v>0-205400</v>
      </c>
      <c r="S737" s="54">
        <v>6</v>
      </c>
      <c r="T737" s="59" t="s">
        <v>46</v>
      </c>
      <c r="U737" s="326" t="e">
        <f ca="1">_xlfn.XLOOKUP(PAA_4[[#This Row],[ITEM]],[2]Contrato!A:A,[2]Contrato!Q:Q,"",0)</f>
        <v>#NAME?</v>
      </c>
      <c r="V737" s="47" t="s">
        <v>47</v>
      </c>
      <c r="W737" s="47" t="s">
        <v>91</v>
      </c>
      <c r="X737" s="47" t="s">
        <v>92</v>
      </c>
      <c r="Y737" s="55" t="e">
        <f ca="1">_xlfn.XLOOKUP(PAA_4[[#This Row],[ITEM]],[2]Contrato!A:A,[2]Contrato!B:B,"",0)</f>
        <v>#NAME?</v>
      </c>
      <c r="Z737" s="47" t="e">
        <f ca="1">_xlfn.XLOOKUP(PAA_4[[#This Row],[ITEM]],[2]Contrato!A:A,[2]Contrato!G:G,"",0)</f>
        <v>#NAME?</v>
      </c>
      <c r="AA737" s="47" t="e">
        <f ca="1">_xlfn.XLOOKUP(PAA_4[[#This Row],[ITEM]],[2]Contrato!A:A,[2]Contrato!T:T,"",0)</f>
        <v>#NAME?</v>
      </c>
      <c r="AB737" s="55" t="e">
        <f ca="1">+MAX(PAA_4[[#This Row],[Comprometido Contrato]],PAA_4[[#This Row],[Comprometido Bolsa]])</f>
        <v>#NAME?</v>
      </c>
      <c r="AC737" s="55" t="str">
        <f t="shared" ca="1" si="259"/>
        <v/>
      </c>
      <c r="AD737" s="55" t="e">
        <f ca="1">IF(PAA_4[[#This Row],[ESTADO (formulado)]]="NO CONTRATADO",0,MAX(PAA_4[[#This Row],[Pago por Contrato]],PAA_4[[#This Row],[Pago por bolsa]]))</f>
        <v>#NAME?</v>
      </c>
      <c r="AE737" s="55" t="str">
        <f t="shared" ca="1" si="260"/>
        <v/>
      </c>
      <c r="AF737" s="47" t="e">
        <f t="shared" ca="1" si="255"/>
        <v>#NAME?</v>
      </c>
      <c r="AG737" s="47">
        <f t="shared" si="261"/>
        <v>41080111</v>
      </c>
      <c r="AH737" s="54">
        <f>IF(Q737="22",IF(ISNUMBER(SEARCH("econ",PAA_4[[#This Row],[Actividad3]])),"Económico",IF(ISNUMBER(SEARCH("alim",PAA_4[[#This Row],[Actividad3]])),"Alimentación",IF(ISNUMBER(SEARCH("educ",PAA_4[[#This Row],[Actividad3]])),"Educativo","Técnico"))),0)</f>
        <v>0</v>
      </c>
      <c r="AI737" s="47" t="e" cm="1">
        <f t="array" aca="1" ref="AI737" ca="1">_xlfn.XLOOKUP(PAA_4[[#This Row],[RCP-RUBRO]],[2]!COMPROMISOS_2024[[#All],[concatenado]],[2]!COMPROMISOS_2024[[#All],[Total pagado]],"",0)</f>
        <v>#NAME?</v>
      </c>
      <c r="AJ737" s="56">
        <f>IF(PAA_4[[#This Row],[BOLSA]]=0,0,SUMIFS([2]!COMPROMISOS_2024[[#All],[Total pagado]],[2]!COMPROMISOS_2024[[#All],[Bolsa]],PAA_4[[#This Row],[BOLSA]],[2]!COMPROMISOS_2024[[#All],[rubro]],PAA_4[[#This Row],[RCP-RUBRO]]))</f>
        <v>0</v>
      </c>
      <c r="AK737" s="47" t="e" cm="1">
        <f t="array" aca="1" ref="AK737" ca="1">_xlfn.XLOOKUP(PAA_4[[#This Row],[RCP-RUBRO]],[2]!COMPROMISOS_2024[[#All],[concatenado]],[2]!COMPROMISOS_2024[[#All],[Total Comprometido]],"",0)</f>
        <v>#NAME?</v>
      </c>
      <c r="AL737" s="47">
        <f>IF(PAA_4[[#This Row],[BOLSA]]=0,0,SUMIFS([2]!COMPROMISOS_2024[[#All],[Total Comprometido]],[2]!COMPROMISOS_2024[[#All],[Bolsa]],PAA_4[[#This Row],[BOLSA]],[2]!COMPROMISOS_2024[[#All],[concatenado]],PAA_4[[#This Row],[RCP-RUBRO]]))</f>
        <v>0</v>
      </c>
    </row>
    <row r="738" spans="1:38" s="19" customFormat="1" ht="31.5" customHeight="1">
      <c r="A738" s="47">
        <v>524</v>
      </c>
      <c r="B738" s="47">
        <v>80111600</v>
      </c>
      <c r="C738" s="47" t="str">
        <f>VLOOKUP(PAA_4[[#This Row],[PROYECTO (formulado)2]],[2]PROYECTOS!$G$1:$L$32,6,0)</f>
        <v>SUBGERENCIA DE ALTOS LOGROS Y DEPORTE ASOCIADO</v>
      </c>
      <c r="D738" s="47" t="str">
        <f>+IF(PAA_4[[#This Row],[UNIDAD DE CONTRATACION (formulado)]]="Subgerencia Administrativa y Financiera","FUNCIONAMIENTO","INVERSIÓN")</f>
        <v>INVERSIÓN</v>
      </c>
      <c r="E738" s="48" t="str">
        <f>VLOOKUP(Q738,[2]PROYECTOS!$G$1:$K$32,5,0)</f>
        <v>FORTALECIMIENTO_DEL_PROGRAMA_DE_ALTOS_LOGROS_Y_LIDERAZGO_DEPORTIVO_EN_EL_DEPARTAMENTO_DE_ANTIOQUIA</v>
      </c>
      <c r="F738" s="48">
        <f>VLOOKUP(E738,[2]PROYECTOS!$K$1:$M$32,3,0)</f>
        <v>2020003050021</v>
      </c>
      <c r="G738" s="49" t="s">
        <v>235</v>
      </c>
      <c r="H738" s="49" t="str">
        <f>VLOOKUP(Q738,[2]PROYECTOS!$V$1:$W$32,2,0)</f>
        <v>050061</v>
      </c>
      <c r="I738" s="50">
        <v>12514530</v>
      </c>
      <c r="J738" s="51" t="s">
        <v>1698</v>
      </c>
      <c r="K738" s="47" t="str">
        <f t="shared" ca="1" si="256"/>
        <v>CONTRATADO</v>
      </c>
      <c r="L738" s="47" t="s">
        <v>94</v>
      </c>
      <c r="M738" s="47" t="s">
        <v>1297</v>
      </c>
      <c r="N738" s="52" t="s">
        <v>245</v>
      </c>
      <c r="O738" s="51" t="e">
        <f>VLOOKUP(N738,[2]!RUBROS[#All],3,0)</f>
        <v>#REF!</v>
      </c>
      <c r="P738" s="53" t="e">
        <f>VLOOKUP(N738,[2]!RUBROS[#All],2,0)</f>
        <v>#REF!</v>
      </c>
      <c r="Q738" s="47" t="str">
        <f t="shared" si="257"/>
        <v>20</v>
      </c>
      <c r="R738" s="47" t="str">
        <f t="shared" si="258"/>
        <v>0-205400</v>
      </c>
      <c r="S738" s="54">
        <v>6</v>
      </c>
      <c r="T738" s="59" t="s">
        <v>46</v>
      </c>
      <c r="U738" s="326" t="e">
        <f ca="1">_xlfn.XLOOKUP(PAA_4[[#This Row],[ITEM]],[2]Contrato!A:A,[2]Contrato!Q:Q,"",0)</f>
        <v>#NAME?</v>
      </c>
      <c r="V738" s="47" t="s">
        <v>47</v>
      </c>
      <c r="W738" s="47" t="s">
        <v>91</v>
      </c>
      <c r="X738" s="47" t="s">
        <v>92</v>
      </c>
      <c r="Y738" s="55" t="e">
        <f ca="1">_xlfn.XLOOKUP(PAA_4[[#This Row],[ITEM]],[2]Contrato!A:A,[2]Contrato!B:B,"",0)</f>
        <v>#NAME?</v>
      </c>
      <c r="Z738" s="47" t="e">
        <f ca="1">_xlfn.XLOOKUP(PAA_4[[#This Row],[ITEM]],[2]Contrato!A:A,[2]Contrato!G:G,"",0)</f>
        <v>#NAME?</v>
      </c>
      <c r="AA738" s="47" t="e">
        <f ca="1">_xlfn.XLOOKUP(PAA_4[[#This Row],[ITEM]],[2]Contrato!A:A,[2]Contrato!T:T,"",0)</f>
        <v>#NAME?</v>
      </c>
      <c r="AB738" s="55" t="e">
        <f ca="1">+MAX(PAA_4[[#This Row],[Comprometido Contrato]],PAA_4[[#This Row],[Comprometido Bolsa]])</f>
        <v>#NAME?</v>
      </c>
      <c r="AC738" s="55" t="str">
        <f t="shared" ca="1" si="259"/>
        <v/>
      </c>
      <c r="AD738" s="55" t="e">
        <f ca="1">IF(PAA_4[[#This Row],[ESTADO (formulado)]]="NO CONTRATADO",0,MAX(PAA_4[[#This Row],[Pago por Contrato]],PAA_4[[#This Row],[Pago por bolsa]]))</f>
        <v>#NAME?</v>
      </c>
      <c r="AE738" s="55" t="str">
        <f t="shared" ca="1" si="260"/>
        <v/>
      </c>
      <c r="AF738" s="47" t="e">
        <f t="shared" ca="1" si="255"/>
        <v>#NAME?</v>
      </c>
      <c r="AG738" s="47">
        <f t="shared" si="261"/>
        <v>41080111</v>
      </c>
      <c r="AH738" s="54">
        <f>IF(Q738="22",IF(ISNUMBER(SEARCH("econ",PAA_4[[#This Row],[Actividad3]])),"Económico",IF(ISNUMBER(SEARCH("alim",PAA_4[[#This Row],[Actividad3]])),"Alimentación",IF(ISNUMBER(SEARCH("educ",PAA_4[[#This Row],[Actividad3]])),"Educativo","Técnico"))),0)</f>
        <v>0</v>
      </c>
      <c r="AI738" s="47" t="e" cm="1">
        <f t="array" aca="1" ref="AI738" ca="1">_xlfn.XLOOKUP(PAA_4[[#This Row],[RCP-RUBRO]],[2]!COMPROMISOS_2024[[#All],[concatenado]],[2]!COMPROMISOS_2024[[#All],[Total pagado]],"",0)</f>
        <v>#NAME?</v>
      </c>
      <c r="AJ738" s="56">
        <f>IF(PAA_4[[#This Row],[BOLSA]]=0,0,SUMIFS([2]!COMPROMISOS_2024[[#All],[Total pagado]],[2]!COMPROMISOS_2024[[#All],[Bolsa]],PAA_4[[#This Row],[BOLSA]],[2]!COMPROMISOS_2024[[#All],[rubro]],PAA_4[[#This Row],[RCP-RUBRO]]))</f>
        <v>0</v>
      </c>
      <c r="AK738" s="47" t="e" cm="1">
        <f t="array" aca="1" ref="AK738" ca="1">_xlfn.XLOOKUP(PAA_4[[#This Row],[RCP-RUBRO]],[2]!COMPROMISOS_2024[[#All],[concatenado]],[2]!COMPROMISOS_2024[[#All],[Total Comprometido]],"",0)</f>
        <v>#NAME?</v>
      </c>
      <c r="AL738" s="47">
        <f>IF(PAA_4[[#This Row],[BOLSA]]=0,0,SUMIFS([2]!COMPROMISOS_2024[[#All],[Total Comprometido]],[2]!COMPROMISOS_2024[[#All],[Bolsa]],PAA_4[[#This Row],[BOLSA]],[2]!COMPROMISOS_2024[[#All],[concatenado]],PAA_4[[#This Row],[RCP-RUBRO]]))</f>
        <v>0</v>
      </c>
    </row>
    <row r="739" spans="1:38" s="19" customFormat="1" ht="31.5" customHeight="1">
      <c r="A739" s="47">
        <v>524</v>
      </c>
      <c r="B739" s="47">
        <v>80111600</v>
      </c>
      <c r="C739" s="47" t="str">
        <f>VLOOKUP(PAA_4[[#This Row],[PROYECTO (formulado)2]],[2]PROYECTOS!$G$1:$L$32,6,0)</f>
        <v>SUBGERENCIA DE ALTOS LOGROS Y DEPORTE ASOCIADO</v>
      </c>
      <c r="D739" s="47" t="str">
        <f>+IF(PAA_4[[#This Row],[UNIDAD DE CONTRATACION (formulado)]]="Subgerencia Administrativa y Financiera","FUNCIONAMIENTO","INVERSIÓN")</f>
        <v>INVERSIÓN</v>
      </c>
      <c r="E739" s="48" t="str">
        <f>VLOOKUP(Q739,[2]PROYECTOS!$G$1:$K$32,5,0)</f>
        <v>DESARROLLO_DEL_POTENCIAL_DEPORTIVO_EN_EL_DEPARTAMENTO_DE_ANTIOQUIA</v>
      </c>
      <c r="F739" s="48">
        <f>VLOOKUP(E739,[2]PROYECTOS!$K$1:$M$32,3,0)</f>
        <v>2020003050022</v>
      </c>
      <c r="G739" s="49" t="s">
        <v>273</v>
      </c>
      <c r="H739" s="49" t="str">
        <f>VLOOKUP(Q739,[2]PROYECTOS!$V$1:$W$32,2,0)</f>
        <v>050065</v>
      </c>
      <c r="I739" s="50">
        <v>12514530</v>
      </c>
      <c r="J739" s="51" t="s">
        <v>1698</v>
      </c>
      <c r="K739" s="47" t="str">
        <f t="shared" ca="1" si="256"/>
        <v>CONTRATADO</v>
      </c>
      <c r="L739" s="47" t="s">
        <v>94</v>
      </c>
      <c r="M739" s="47" t="s">
        <v>1297</v>
      </c>
      <c r="N739" s="52" t="s">
        <v>246</v>
      </c>
      <c r="O739" s="51" t="e">
        <f>VLOOKUP(N739,[2]!RUBROS[#All],3,0)</f>
        <v>#REF!</v>
      </c>
      <c r="P739" s="53" t="e">
        <f>VLOOKUP(N739,[2]!RUBROS[#All],2,0)</f>
        <v>#REF!</v>
      </c>
      <c r="Q739" s="47" t="str">
        <f t="shared" si="257"/>
        <v>21</v>
      </c>
      <c r="R739" s="47" t="str">
        <f t="shared" si="258"/>
        <v>0-205400</v>
      </c>
      <c r="S739" s="54">
        <v>6</v>
      </c>
      <c r="T739" s="59" t="s">
        <v>46</v>
      </c>
      <c r="U739" s="326" t="e">
        <f ca="1">_xlfn.XLOOKUP(PAA_4[[#This Row],[ITEM]],[2]Contrato!A:A,[2]Contrato!Q:Q,"",0)</f>
        <v>#NAME?</v>
      </c>
      <c r="V739" s="47" t="s">
        <v>47</v>
      </c>
      <c r="W739" s="47" t="s">
        <v>91</v>
      </c>
      <c r="X739" s="47" t="s">
        <v>92</v>
      </c>
      <c r="Y739" s="55" t="e">
        <f ca="1">_xlfn.XLOOKUP(PAA_4[[#This Row],[ITEM]],[2]Contrato!A:A,[2]Contrato!B:B,"",0)</f>
        <v>#NAME?</v>
      </c>
      <c r="Z739" s="47" t="e">
        <f ca="1">_xlfn.XLOOKUP(PAA_4[[#This Row],[ITEM]],[2]Contrato!A:A,[2]Contrato!G:G,"",0)</f>
        <v>#NAME?</v>
      </c>
      <c r="AA739" s="47" t="e">
        <f ca="1">_xlfn.XLOOKUP(PAA_4[[#This Row],[ITEM]],[2]Contrato!A:A,[2]Contrato!T:T,"",0)</f>
        <v>#NAME?</v>
      </c>
      <c r="AB739" s="55" t="e">
        <f ca="1">+MAX(PAA_4[[#This Row],[Comprometido Contrato]],PAA_4[[#This Row],[Comprometido Bolsa]])</f>
        <v>#NAME?</v>
      </c>
      <c r="AC739" s="55" t="str">
        <f t="shared" ca="1" si="259"/>
        <v/>
      </c>
      <c r="AD739" s="55" t="e">
        <f ca="1">IF(PAA_4[[#This Row],[ESTADO (formulado)]]="NO CONTRATADO",0,MAX(PAA_4[[#This Row],[Pago por Contrato]],PAA_4[[#This Row],[Pago por bolsa]]))</f>
        <v>#NAME?</v>
      </c>
      <c r="AE739" s="55" t="str">
        <f t="shared" ca="1" si="260"/>
        <v/>
      </c>
      <c r="AF739" s="47" t="e">
        <f t="shared" ref="AF739:AF802" ca="1" si="262">+CONCATENATE(AA739,N739)</f>
        <v>#NAME?</v>
      </c>
      <c r="AG739" s="47">
        <f t="shared" si="261"/>
        <v>41080112</v>
      </c>
      <c r="AH739" s="54">
        <f>IF(Q739="22",IF(ISNUMBER(SEARCH("econ",PAA_4[[#This Row],[Actividad3]])),"Económico",IF(ISNUMBER(SEARCH("alim",PAA_4[[#This Row],[Actividad3]])),"Alimentación",IF(ISNUMBER(SEARCH("educ",PAA_4[[#This Row],[Actividad3]])),"Educativo","Técnico"))),0)</f>
        <v>0</v>
      </c>
      <c r="AI739" s="47" t="e" cm="1">
        <f t="array" aca="1" ref="AI739" ca="1">_xlfn.XLOOKUP(PAA_4[[#This Row],[RCP-RUBRO]],[2]!COMPROMISOS_2024[[#All],[concatenado]],[2]!COMPROMISOS_2024[[#All],[Total pagado]],"",0)</f>
        <v>#NAME?</v>
      </c>
      <c r="AJ739" s="56">
        <f>IF(PAA_4[[#This Row],[BOLSA]]=0,0,SUMIFS([2]!COMPROMISOS_2024[[#All],[Total pagado]],[2]!COMPROMISOS_2024[[#All],[Bolsa]],PAA_4[[#This Row],[BOLSA]],[2]!COMPROMISOS_2024[[#All],[rubro]],PAA_4[[#This Row],[RCP-RUBRO]]))</f>
        <v>0</v>
      </c>
      <c r="AK739" s="47" t="e" cm="1">
        <f t="array" aca="1" ref="AK739" ca="1">_xlfn.XLOOKUP(PAA_4[[#This Row],[RCP-RUBRO]],[2]!COMPROMISOS_2024[[#All],[concatenado]],[2]!COMPROMISOS_2024[[#All],[Total Comprometido]],"",0)</f>
        <v>#NAME?</v>
      </c>
      <c r="AL739" s="47">
        <f>IF(PAA_4[[#This Row],[BOLSA]]=0,0,SUMIFS([2]!COMPROMISOS_2024[[#All],[Total Comprometido]],[2]!COMPROMISOS_2024[[#All],[Bolsa]],PAA_4[[#This Row],[BOLSA]],[2]!COMPROMISOS_2024[[#All],[concatenado]],PAA_4[[#This Row],[RCP-RUBRO]]))</f>
        <v>0</v>
      </c>
    </row>
    <row r="740" spans="1:38" s="19" customFormat="1" ht="31.5" customHeight="1">
      <c r="A740" s="47">
        <v>554</v>
      </c>
      <c r="B740" s="47">
        <v>80111600</v>
      </c>
      <c r="C740" s="47" t="str">
        <f>VLOOKUP(PAA_4[[#This Row],[PROYECTO (formulado)2]],[2]PROYECTOS!$G$1:$L$32,6,0)</f>
        <v>SUBGERENCIA DE ALTOS LOGROS Y DEPORTE ASOCIADO</v>
      </c>
      <c r="D740" s="47" t="str">
        <f>+IF(PAA_4[[#This Row],[UNIDAD DE CONTRATACION (formulado)]]="Subgerencia Administrativa y Financiera","FUNCIONAMIENTO","INVERSIÓN")</f>
        <v>INVERSIÓN</v>
      </c>
      <c r="E740" s="48" t="str">
        <f>VLOOKUP(Q740,[2]PROYECTOS!$G$1:$K$32,5,0)</f>
        <v>APOYO_TÉCNICO_Y_PSICOSOCIAL_A_LOS_DEPORTISTAS_DE_ANTIOQUIA</v>
      </c>
      <c r="F740" s="48">
        <f>VLOOKUP(E740,[2]PROYECTOS!$K$1:$M$32,3,0)</f>
        <v>2021003050069</v>
      </c>
      <c r="G740" s="49" t="s">
        <v>239</v>
      </c>
      <c r="H740" s="49" t="str">
        <f>VLOOKUP(Q740,[2]PROYECTOS!$V$1:$W$32,2,0)</f>
        <v>050069</v>
      </c>
      <c r="I740" s="50">
        <v>29453616</v>
      </c>
      <c r="J740" s="51" t="s">
        <v>1699</v>
      </c>
      <c r="K740" s="47" t="str">
        <f t="shared" ca="1" si="256"/>
        <v>CONTRATADO</v>
      </c>
      <c r="L740" s="47" t="s">
        <v>94</v>
      </c>
      <c r="M740" s="47" t="s">
        <v>1297</v>
      </c>
      <c r="N740" s="52" t="s">
        <v>240</v>
      </c>
      <c r="O740" s="51" t="e">
        <f>VLOOKUP(N740,[2]!RUBROS[#All],3,0)</f>
        <v>#REF!</v>
      </c>
      <c r="P740" s="53" t="e">
        <f>VLOOKUP(N740,[2]!RUBROS[#All],2,0)</f>
        <v>#REF!</v>
      </c>
      <c r="Q740" s="47" t="str">
        <f t="shared" si="257"/>
        <v>22</v>
      </c>
      <c r="R740" s="47" t="str">
        <f t="shared" si="258"/>
        <v>0-205400</v>
      </c>
      <c r="S740" s="54">
        <v>6</v>
      </c>
      <c r="T740" s="59" t="s">
        <v>46</v>
      </c>
      <c r="U740" s="326" t="e">
        <f ca="1">_xlfn.XLOOKUP(PAA_4[[#This Row],[ITEM]],[2]Contrato!A:A,[2]Contrato!Q:Q,"",0)</f>
        <v>#NAME?</v>
      </c>
      <c r="V740" s="47" t="s">
        <v>47</v>
      </c>
      <c r="W740" s="47" t="s">
        <v>91</v>
      </c>
      <c r="X740" s="47" t="s">
        <v>96</v>
      </c>
      <c r="Y740" s="55" t="e">
        <f ca="1">_xlfn.XLOOKUP(PAA_4[[#This Row],[ITEM]],[2]Contrato!A:A,[2]Contrato!B:B,"",0)</f>
        <v>#NAME?</v>
      </c>
      <c r="Z740" s="47" t="e">
        <f ca="1">_xlfn.XLOOKUP(PAA_4[[#This Row],[ITEM]],[2]Contrato!A:A,[2]Contrato!G:G,"",0)</f>
        <v>#NAME?</v>
      </c>
      <c r="AA740" s="47" t="e">
        <f ca="1">_xlfn.XLOOKUP(PAA_4[[#This Row],[ITEM]],[2]Contrato!A:A,[2]Contrato!T:T,"",0)</f>
        <v>#NAME?</v>
      </c>
      <c r="AB740" s="55" t="e">
        <f ca="1">+MAX(PAA_4[[#This Row],[Comprometido Contrato]],PAA_4[[#This Row],[Comprometido Bolsa]])</f>
        <v>#NAME?</v>
      </c>
      <c r="AC740" s="55" t="str">
        <f t="shared" ca="1" si="259"/>
        <v/>
      </c>
      <c r="AD740" s="55" t="e">
        <f ca="1">IF(PAA_4[[#This Row],[ESTADO (formulado)]]="NO CONTRATADO",0,MAX(PAA_4[[#This Row],[Pago por Contrato]],PAA_4[[#This Row],[Pago por bolsa]]))</f>
        <v>#NAME?</v>
      </c>
      <c r="AE740" s="55" t="str">
        <f t="shared" ca="1" si="260"/>
        <v/>
      </c>
      <c r="AF740" s="47" t="e">
        <f t="shared" ca="1" si="262"/>
        <v>#NAME?</v>
      </c>
      <c r="AG740" s="47">
        <f t="shared" si="261"/>
        <v>41080101</v>
      </c>
      <c r="AH740" s="54" t="str">
        <f>IF(Q740="22",IF(ISNUMBER(SEARCH("econ",PAA_4[[#This Row],[Actividad3]])),"Económico",IF(ISNUMBER(SEARCH("alim",PAA_4[[#This Row],[Actividad3]])),"Alimentación",IF(ISNUMBER(SEARCH("educ",PAA_4[[#This Row],[Actividad3]])),"Educativo","Técnico"))),0)</f>
        <v>Técnico</v>
      </c>
      <c r="AI740" s="47" t="e" cm="1">
        <f t="array" aca="1" ref="AI740" ca="1">_xlfn.XLOOKUP(PAA_4[[#This Row],[RCP-RUBRO]],[2]!COMPROMISOS_2024[[#All],[concatenado]],[2]!COMPROMISOS_2024[[#All],[Total pagado]],"",0)</f>
        <v>#NAME?</v>
      </c>
      <c r="AJ740" s="56" t="e">
        <f ca="1">IF(PAA_4[[#This Row],[BOLSA]]=0,0,SUMIFS([2]!COMPROMISOS_2024[[#All],[Total pagado]],[2]!COMPROMISOS_2024[[#All],[Bolsa]],PAA_4[[#This Row],[BOLSA]],[2]!COMPROMISOS_2024[[#All],[rubro]],PAA_4[[#This Row],[RCP-RUBRO]]))</f>
        <v>#REF!</v>
      </c>
      <c r="AK740" s="47" t="e" cm="1">
        <f t="array" aca="1" ref="AK740" ca="1">_xlfn.XLOOKUP(PAA_4[[#This Row],[RCP-RUBRO]],[2]!COMPROMISOS_2024[[#All],[concatenado]],[2]!COMPROMISOS_2024[[#All],[Total Comprometido]],"",0)</f>
        <v>#NAME?</v>
      </c>
      <c r="AL740" s="47" t="e">
        <f ca="1">IF(PAA_4[[#This Row],[BOLSA]]=0,0,SUMIFS([2]!COMPROMISOS_2024[[#All],[Total Comprometido]],[2]!COMPROMISOS_2024[[#All],[Bolsa]],PAA_4[[#This Row],[BOLSA]],[2]!COMPROMISOS_2024[[#All],[concatenado]],PAA_4[[#This Row],[RCP-RUBRO]]))</f>
        <v>#REF!</v>
      </c>
    </row>
    <row r="741" spans="1:38" s="19" customFormat="1" ht="31.5" customHeight="1">
      <c r="A741" s="47">
        <v>555</v>
      </c>
      <c r="B741" s="47">
        <v>80111600</v>
      </c>
      <c r="C741" s="47" t="str">
        <f>VLOOKUP(PAA_4[[#This Row],[PROYECTO (formulado)2]],[2]PROYECTOS!$G$1:$L$32,6,0)</f>
        <v>SUBGERENCIA DE ALTOS LOGROS Y DEPORTE ASOCIADO</v>
      </c>
      <c r="D741" s="47" t="str">
        <f>+IF(PAA_4[[#This Row],[UNIDAD DE CONTRATACION (formulado)]]="Subgerencia Administrativa y Financiera","FUNCIONAMIENTO","INVERSIÓN")</f>
        <v>INVERSIÓN</v>
      </c>
      <c r="E741" s="48" t="str">
        <f>VLOOKUP(Q741,[2]PROYECTOS!$G$1:$K$32,5,0)</f>
        <v>APOYO_TÉCNICO_Y_PSICOSOCIAL_A_LOS_DEPORTISTAS_DE_ANTIOQUIA</v>
      </c>
      <c r="F741" s="48">
        <f>VLOOKUP(E741,[2]PROYECTOS!$K$1:$M$32,3,0)</f>
        <v>2021003050069</v>
      </c>
      <c r="G741" s="49" t="s">
        <v>239</v>
      </c>
      <c r="H741" s="49" t="str">
        <f>VLOOKUP(Q741,[2]PROYECTOS!$V$1:$W$32,2,0)</f>
        <v>050069</v>
      </c>
      <c r="I741" s="50">
        <v>23714292</v>
      </c>
      <c r="J741" s="51" t="s">
        <v>1700</v>
      </c>
      <c r="K741" s="47" t="str">
        <f t="shared" ca="1" si="256"/>
        <v>CONTRATADO</v>
      </c>
      <c r="L741" s="47" t="s">
        <v>94</v>
      </c>
      <c r="M741" s="47" t="s">
        <v>1297</v>
      </c>
      <c r="N741" s="52" t="s">
        <v>240</v>
      </c>
      <c r="O741" s="51" t="e">
        <f>VLOOKUP(N741,[2]!RUBROS[#All],3,0)</f>
        <v>#REF!</v>
      </c>
      <c r="P741" s="53" t="e">
        <f>VLOOKUP(N741,[2]!RUBROS[#All],2,0)</f>
        <v>#REF!</v>
      </c>
      <c r="Q741" s="47" t="str">
        <f t="shared" si="257"/>
        <v>22</v>
      </c>
      <c r="R741" s="47" t="str">
        <f t="shared" si="258"/>
        <v>0-205400</v>
      </c>
      <c r="S741" s="54">
        <v>6</v>
      </c>
      <c r="T741" s="59" t="s">
        <v>46</v>
      </c>
      <c r="U741" s="326" t="e">
        <f ca="1">_xlfn.XLOOKUP(PAA_4[[#This Row],[ITEM]],[2]Contrato!A:A,[2]Contrato!Q:Q,"",0)</f>
        <v>#NAME?</v>
      </c>
      <c r="V741" s="47" t="s">
        <v>47</v>
      </c>
      <c r="W741" s="47" t="s">
        <v>91</v>
      </c>
      <c r="X741" s="47" t="s">
        <v>96</v>
      </c>
      <c r="Y741" s="55" t="e">
        <f ca="1">_xlfn.XLOOKUP(PAA_4[[#This Row],[ITEM]],[2]Contrato!A:A,[2]Contrato!B:B,"",0)</f>
        <v>#NAME?</v>
      </c>
      <c r="Z741" s="47" t="e">
        <f ca="1">_xlfn.XLOOKUP(PAA_4[[#This Row],[ITEM]],[2]Contrato!A:A,[2]Contrato!G:G,"",0)</f>
        <v>#NAME?</v>
      </c>
      <c r="AA741" s="47" t="e">
        <f ca="1">_xlfn.XLOOKUP(PAA_4[[#This Row],[ITEM]],[2]Contrato!A:A,[2]Contrato!T:T,"",0)</f>
        <v>#NAME?</v>
      </c>
      <c r="AB741" s="55" t="e">
        <f ca="1">+MAX(PAA_4[[#This Row],[Comprometido Contrato]],PAA_4[[#This Row],[Comprometido Bolsa]])</f>
        <v>#NAME?</v>
      </c>
      <c r="AC741" s="55" t="str">
        <f t="shared" ca="1" si="259"/>
        <v/>
      </c>
      <c r="AD741" s="55" t="e">
        <f ca="1">IF(PAA_4[[#This Row],[ESTADO (formulado)]]="NO CONTRATADO",0,MAX(PAA_4[[#This Row],[Pago por Contrato]],PAA_4[[#This Row],[Pago por bolsa]]))</f>
        <v>#NAME?</v>
      </c>
      <c r="AE741" s="55" t="str">
        <f t="shared" ca="1" si="260"/>
        <v/>
      </c>
      <c r="AF741" s="47" t="e">
        <f t="shared" ca="1" si="262"/>
        <v>#NAME?</v>
      </c>
      <c r="AG741" s="47">
        <f t="shared" si="261"/>
        <v>41080101</v>
      </c>
      <c r="AH741" s="54" t="str">
        <f>IF(Q741="22",IF(ISNUMBER(SEARCH("econ",PAA_4[[#This Row],[Actividad3]])),"Económico",IF(ISNUMBER(SEARCH("alim",PAA_4[[#This Row],[Actividad3]])),"Alimentación",IF(ISNUMBER(SEARCH("educ",PAA_4[[#This Row],[Actividad3]])),"Educativo","Técnico"))),0)</f>
        <v>Técnico</v>
      </c>
      <c r="AI741" s="47" t="e" cm="1">
        <f t="array" aca="1" ref="AI741" ca="1">_xlfn.XLOOKUP(PAA_4[[#This Row],[RCP-RUBRO]],[2]!COMPROMISOS_2024[[#All],[concatenado]],[2]!COMPROMISOS_2024[[#All],[Total pagado]],"",0)</f>
        <v>#NAME?</v>
      </c>
      <c r="AJ741" s="56" t="e">
        <f ca="1">IF(PAA_4[[#This Row],[BOLSA]]=0,0,SUMIFS([2]!COMPROMISOS_2024[[#All],[Total pagado]],[2]!COMPROMISOS_2024[[#All],[Bolsa]],PAA_4[[#This Row],[BOLSA]],[2]!COMPROMISOS_2024[[#All],[rubro]],PAA_4[[#This Row],[RCP-RUBRO]]))</f>
        <v>#REF!</v>
      </c>
      <c r="AK741" s="47" t="e" cm="1">
        <f t="array" aca="1" ref="AK741" ca="1">_xlfn.XLOOKUP(PAA_4[[#This Row],[RCP-RUBRO]],[2]!COMPROMISOS_2024[[#All],[concatenado]],[2]!COMPROMISOS_2024[[#All],[Total Comprometido]],"",0)</f>
        <v>#NAME?</v>
      </c>
      <c r="AL741" s="47" t="e">
        <f ca="1">IF(PAA_4[[#This Row],[BOLSA]]=0,0,SUMIFS([2]!COMPROMISOS_2024[[#All],[Total Comprometido]],[2]!COMPROMISOS_2024[[#All],[Bolsa]],PAA_4[[#This Row],[BOLSA]],[2]!COMPROMISOS_2024[[#All],[concatenado]],PAA_4[[#This Row],[RCP-RUBRO]]))</f>
        <v>#REF!</v>
      </c>
    </row>
    <row r="742" spans="1:38" s="19" customFormat="1" ht="31.5" customHeight="1">
      <c r="A742" s="47">
        <v>556</v>
      </c>
      <c r="B742" s="47">
        <v>80111600</v>
      </c>
      <c r="C742" s="47" t="str">
        <f>VLOOKUP(PAA_4[[#This Row],[PROYECTO (formulado)2]],[2]PROYECTOS!$G$1:$L$32,6,0)</f>
        <v>SUBGERENCIA DE ALTOS LOGROS Y DEPORTE ASOCIADO</v>
      </c>
      <c r="D742" s="47" t="str">
        <f>+IF(PAA_4[[#This Row],[UNIDAD DE CONTRATACION (formulado)]]="Subgerencia Administrativa y Financiera","FUNCIONAMIENTO","INVERSIÓN")</f>
        <v>INVERSIÓN</v>
      </c>
      <c r="E742" s="48" t="str">
        <f>VLOOKUP(Q742,[2]PROYECTOS!$G$1:$K$32,5,0)</f>
        <v>APOYO_TÉCNICO_Y_PSICOSOCIAL_A_LOS_DEPORTISTAS_DE_ANTIOQUIA</v>
      </c>
      <c r="F742" s="48">
        <f>VLOOKUP(E742,[2]PROYECTOS!$K$1:$M$32,3,0)</f>
        <v>2021003050069</v>
      </c>
      <c r="G742" s="49" t="s">
        <v>239</v>
      </c>
      <c r="H742" s="49" t="str">
        <f>VLOOKUP(Q742,[2]PROYECTOS!$V$1:$W$32,2,0)</f>
        <v>050069</v>
      </c>
      <c r="I742" s="50">
        <v>23714292</v>
      </c>
      <c r="J742" s="51" t="s">
        <v>1701</v>
      </c>
      <c r="K742" s="47" t="str">
        <f t="shared" ca="1" si="256"/>
        <v>CONTRATADO</v>
      </c>
      <c r="L742" s="47" t="s">
        <v>94</v>
      </c>
      <c r="M742" s="47" t="s">
        <v>1297</v>
      </c>
      <c r="N742" s="52" t="s">
        <v>240</v>
      </c>
      <c r="O742" s="51" t="e">
        <f>VLOOKUP(N742,[2]!RUBROS[#All],3,0)</f>
        <v>#REF!</v>
      </c>
      <c r="P742" s="53" t="e">
        <f>VLOOKUP(N742,[2]!RUBROS[#All],2,0)</f>
        <v>#REF!</v>
      </c>
      <c r="Q742" s="47" t="str">
        <f t="shared" si="257"/>
        <v>22</v>
      </c>
      <c r="R742" s="47" t="str">
        <f t="shared" si="258"/>
        <v>0-205400</v>
      </c>
      <c r="S742" s="54">
        <v>6</v>
      </c>
      <c r="T742" s="59" t="s">
        <v>46</v>
      </c>
      <c r="U742" s="326" t="e">
        <f ca="1">_xlfn.XLOOKUP(PAA_4[[#This Row],[ITEM]],[2]Contrato!A:A,[2]Contrato!Q:Q,"",0)</f>
        <v>#NAME?</v>
      </c>
      <c r="V742" s="47" t="s">
        <v>47</v>
      </c>
      <c r="W742" s="47" t="s">
        <v>91</v>
      </c>
      <c r="X742" s="47" t="s">
        <v>96</v>
      </c>
      <c r="Y742" s="55" t="e">
        <f ca="1">_xlfn.XLOOKUP(PAA_4[[#This Row],[ITEM]],[2]Contrato!A:A,[2]Contrato!B:B,"",0)</f>
        <v>#NAME?</v>
      </c>
      <c r="Z742" s="47" t="e">
        <f ca="1">_xlfn.XLOOKUP(PAA_4[[#This Row],[ITEM]],[2]Contrato!A:A,[2]Contrato!G:G,"",0)</f>
        <v>#NAME?</v>
      </c>
      <c r="AA742" s="47" t="e">
        <f ca="1">_xlfn.XLOOKUP(PAA_4[[#This Row],[ITEM]],[2]Contrato!A:A,[2]Contrato!T:T,"",0)</f>
        <v>#NAME?</v>
      </c>
      <c r="AB742" s="55" t="e">
        <f ca="1">+MAX(PAA_4[[#This Row],[Comprometido Contrato]],PAA_4[[#This Row],[Comprometido Bolsa]])</f>
        <v>#NAME?</v>
      </c>
      <c r="AC742" s="55" t="str">
        <f t="shared" ca="1" si="259"/>
        <v/>
      </c>
      <c r="AD742" s="55" t="e">
        <f ca="1">IF(PAA_4[[#This Row],[ESTADO (formulado)]]="NO CONTRATADO",0,MAX(PAA_4[[#This Row],[Pago por Contrato]],PAA_4[[#This Row],[Pago por bolsa]]))</f>
        <v>#NAME?</v>
      </c>
      <c r="AE742" s="55" t="str">
        <f t="shared" ca="1" si="260"/>
        <v/>
      </c>
      <c r="AF742" s="47" t="e">
        <f t="shared" ca="1" si="262"/>
        <v>#NAME?</v>
      </c>
      <c r="AG742" s="47">
        <f t="shared" si="261"/>
        <v>41080101</v>
      </c>
      <c r="AH742" s="54" t="str">
        <f>IF(Q742="22",IF(ISNUMBER(SEARCH("econ",PAA_4[[#This Row],[Actividad3]])),"Económico",IF(ISNUMBER(SEARCH("alim",PAA_4[[#This Row],[Actividad3]])),"Alimentación",IF(ISNUMBER(SEARCH("educ",PAA_4[[#This Row],[Actividad3]])),"Educativo","Técnico"))),0)</f>
        <v>Técnico</v>
      </c>
      <c r="AI742" s="47" t="e" cm="1">
        <f t="array" aca="1" ref="AI742" ca="1">_xlfn.XLOOKUP(PAA_4[[#This Row],[RCP-RUBRO]],[2]!COMPROMISOS_2024[[#All],[concatenado]],[2]!COMPROMISOS_2024[[#All],[Total pagado]],"",0)</f>
        <v>#NAME?</v>
      </c>
      <c r="AJ742" s="56" t="e">
        <f ca="1">IF(PAA_4[[#This Row],[BOLSA]]=0,0,SUMIFS([2]!COMPROMISOS_2024[[#All],[Total pagado]],[2]!COMPROMISOS_2024[[#All],[Bolsa]],PAA_4[[#This Row],[BOLSA]],[2]!COMPROMISOS_2024[[#All],[rubro]],PAA_4[[#This Row],[RCP-RUBRO]]))</f>
        <v>#REF!</v>
      </c>
      <c r="AK742" s="47" t="e" cm="1">
        <f t="array" aca="1" ref="AK742" ca="1">_xlfn.XLOOKUP(PAA_4[[#This Row],[RCP-RUBRO]],[2]!COMPROMISOS_2024[[#All],[concatenado]],[2]!COMPROMISOS_2024[[#All],[Total Comprometido]],"",0)</f>
        <v>#NAME?</v>
      </c>
      <c r="AL742" s="47" t="e">
        <f ca="1">IF(PAA_4[[#This Row],[BOLSA]]=0,0,SUMIFS([2]!COMPROMISOS_2024[[#All],[Total Comprometido]],[2]!COMPROMISOS_2024[[#All],[Bolsa]],PAA_4[[#This Row],[BOLSA]],[2]!COMPROMISOS_2024[[#All],[concatenado]],PAA_4[[#This Row],[RCP-RUBRO]]))</f>
        <v>#REF!</v>
      </c>
    </row>
    <row r="743" spans="1:38" s="19" customFormat="1" ht="31.5" customHeight="1">
      <c r="A743" s="47">
        <v>557</v>
      </c>
      <c r="B743" s="47">
        <v>80111600</v>
      </c>
      <c r="C743" s="47" t="str">
        <f>VLOOKUP(PAA_4[[#This Row],[PROYECTO (formulado)2]],[2]PROYECTOS!$G$1:$L$32,6,0)</f>
        <v>SUBGERENCIA DE ALTOS LOGROS Y DEPORTE ASOCIADO</v>
      </c>
      <c r="D743" s="47" t="str">
        <f>+IF(PAA_4[[#This Row],[UNIDAD DE CONTRATACION (formulado)]]="Subgerencia Administrativa y Financiera","FUNCIONAMIENTO","INVERSIÓN")</f>
        <v>INVERSIÓN</v>
      </c>
      <c r="E743" s="48" t="str">
        <f>VLOOKUP(Q743,[2]PROYECTOS!$G$1:$K$32,5,0)</f>
        <v>APOYO_TÉCNICO_Y_PSICOSOCIAL_A_LOS_DEPORTISTAS_DE_ANTIOQUIA</v>
      </c>
      <c r="F743" s="48">
        <f>VLOOKUP(E743,[2]PROYECTOS!$K$1:$M$32,3,0)</f>
        <v>2021003050069</v>
      </c>
      <c r="G743" s="49" t="s">
        <v>239</v>
      </c>
      <c r="H743" s="49" t="str">
        <f>VLOOKUP(Q743,[2]PROYECTOS!$V$1:$W$32,2,0)</f>
        <v>050069</v>
      </c>
      <c r="I743" s="50">
        <v>15449052</v>
      </c>
      <c r="J743" s="51" t="s">
        <v>1702</v>
      </c>
      <c r="K743" s="47" t="str">
        <f t="shared" ca="1" si="256"/>
        <v>CONTRATADO</v>
      </c>
      <c r="L743" s="47" t="s">
        <v>94</v>
      </c>
      <c r="M743" s="47" t="s">
        <v>1297</v>
      </c>
      <c r="N743" s="52" t="s">
        <v>240</v>
      </c>
      <c r="O743" s="51" t="e">
        <f>VLOOKUP(N743,[2]!RUBROS[#All],3,0)</f>
        <v>#REF!</v>
      </c>
      <c r="P743" s="53" t="e">
        <f>VLOOKUP(N743,[2]!RUBROS[#All],2,0)</f>
        <v>#REF!</v>
      </c>
      <c r="Q743" s="47" t="str">
        <f t="shared" si="257"/>
        <v>22</v>
      </c>
      <c r="R743" s="47" t="str">
        <f t="shared" si="258"/>
        <v>0-205400</v>
      </c>
      <c r="S743" s="54">
        <v>6</v>
      </c>
      <c r="T743" s="59" t="s">
        <v>46</v>
      </c>
      <c r="U743" s="326" t="e">
        <f ca="1">_xlfn.XLOOKUP(PAA_4[[#This Row],[ITEM]],[2]Contrato!A:A,[2]Contrato!Q:Q,"",0)</f>
        <v>#NAME?</v>
      </c>
      <c r="V743" s="47" t="s">
        <v>47</v>
      </c>
      <c r="W743" s="47" t="s">
        <v>91</v>
      </c>
      <c r="X743" s="47" t="s">
        <v>96</v>
      </c>
      <c r="Y743" s="55" t="e">
        <f ca="1">_xlfn.XLOOKUP(PAA_4[[#This Row],[ITEM]],[2]Contrato!A:A,[2]Contrato!B:B,"",0)</f>
        <v>#NAME?</v>
      </c>
      <c r="Z743" s="47" t="e">
        <f ca="1">_xlfn.XLOOKUP(PAA_4[[#This Row],[ITEM]],[2]Contrato!A:A,[2]Contrato!G:G,"",0)</f>
        <v>#NAME?</v>
      </c>
      <c r="AA743" s="47" t="e">
        <f ca="1">_xlfn.XLOOKUP(PAA_4[[#This Row],[ITEM]],[2]Contrato!A:A,[2]Contrato!T:T,"",0)</f>
        <v>#NAME?</v>
      </c>
      <c r="AB743" s="55" t="e">
        <f ca="1">+MAX(PAA_4[[#This Row],[Comprometido Contrato]],PAA_4[[#This Row],[Comprometido Bolsa]])</f>
        <v>#NAME?</v>
      </c>
      <c r="AC743" s="55" t="str">
        <f t="shared" ca="1" si="259"/>
        <v/>
      </c>
      <c r="AD743" s="55" t="e">
        <f ca="1">IF(PAA_4[[#This Row],[ESTADO (formulado)]]="NO CONTRATADO",0,MAX(PAA_4[[#This Row],[Pago por Contrato]],PAA_4[[#This Row],[Pago por bolsa]]))</f>
        <v>#NAME?</v>
      </c>
      <c r="AE743" s="55" t="str">
        <f t="shared" ca="1" si="260"/>
        <v/>
      </c>
      <c r="AF743" s="47" t="e">
        <f t="shared" ca="1" si="262"/>
        <v>#NAME?</v>
      </c>
      <c r="AG743" s="47">
        <f t="shared" si="261"/>
        <v>41080101</v>
      </c>
      <c r="AH743" s="54" t="str">
        <f>IF(Q743="22",IF(ISNUMBER(SEARCH("econ",PAA_4[[#This Row],[Actividad3]])),"Económico",IF(ISNUMBER(SEARCH("alim",PAA_4[[#This Row],[Actividad3]])),"Alimentación",IF(ISNUMBER(SEARCH("educ",PAA_4[[#This Row],[Actividad3]])),"Educativo","Técnico"))),0)</f>
        <v>Técnico</v>
      </c>
      <c r="AI743" s="47" t="e" cm="1">
        <f t="array" aca="1" ref="AI743" ca="1">_xlfn.XLOOKUP(PAA_4[[#This Row],[RCP-RUBRO]],[2]!COMPROMISOS_2024[[#All],[concatenado]],[2]!COMPROMISOS_2024[[#All],[Total pagado]],"",0)</f>
        <v>#NAME?</v>
      </c>
      <c r="AJ743" s="56" t="e">
        <f ca="1">IF(PAA_4[[#This Row],[BOLSA]]=0,0,SUMIFS([2]!COMPROMISOS_2024[[#All],[Total pagado]],[2]!COMPROMISOS_2024[[#All],[Bolsa]],PAA_4[[#This Row],[BOLSA]],[2]!COMPROMISOS_2024[[#All],[rubro]],PAA_4[[#This Row],[RCP-RUBRO]]))</f>
        <v>#REF!</v>
      </c>
      <c r="AK743" s="47" t="e" cm="1">
        <f t="array" aca="1" ref="AK743" ca="1">_xlfn.XLOOKUP(PAA_4[[#This Row],[RCP-RUBRO]],[2]!COMPROMISOS_2024[[#All],[concatenado]],[2]!COMPROMISOS_2024[[#All],[Total Comprometido]],"",0)</f>
        <v>#NAME?</v>
      </c>
      <c r="AL743" s="47" t="e">
        <f ca="1">IF(PAA_4[[#This Row],[BOLSA]]=0,0,SUMIFS([2]!COMPROMISOS_2024[[#All],[Total Comprometido]],[2]!COMPROMISOS_2024[[#All],[Bolsa]],PAA_4[[#This Row],[BOLSA]],[2]!COMPROMISOS_2024[[#All],[concatenado]],PAA_4[[#This Row],[RCP-RUBRO]]))</f>
        <v>#REF!</v>
      </c>
    </row>
    <row r="744" spans="1:38" s="19" customFormat="1" ht="31.5" customHeight="1">
      <c r="A744" s="47">
        <v>558</v>
      </c>
      <c r="B744" s="47">
        <v>80111600</v>
      </c>
      <c r="C744" s="47" t="str">
        <f>VLOOKUP(PAA_4[[#This Row],[PROYECTO (formulado)2]],[2]PROYECTOS!$G$1:$L$32,6,0)</f>
        <v>SUBGERENCIA DE ALTOS LOGROS Y DEPORTE ASOCIADO</v>
      </c>
      <c r="D744" s="47" t="str">
        <f>+IF(PAA_4[[#This Row],[UNIDAD DE CONTRATACION (formulado)]]="Subgerencia Administrativa y Financiera","FUNCIONAMIENTO","INVERSIÓN")</f>
        <v>INVERSIÓN</v>
      </c>
      <c r="E744" s="48" t="str">
        <f>VLOOKUP(Q744,[2]PROYECTOS!$G$1:$K$32,5,0)</f>
        <v>APOYO_TÉCNICO_Y_PSICOSOCIAL_A_LOS_DEPORTISTAS_DE_ANTIOQUIA</v>
      </c>
      <c r="F744" s="48">
        <f>VLOOKUP(E744,[2]PROYECTOS!$K$1:$M$32,3,0)</f>
        <v>2021003050069</v>
      </c>
      <c r="G744" s="49" t="s">
        <v>239</v>
      </c>
      <c r="H744" s="49" t="str">
        <f>VLOOKUP(Q744,[2]PROYECTOS!$V$1:$W$32,2,0)</f>
        <v>050069</v>
      </c>
      <c r="I744" s="50">
        <v>29453616</v>
      </c>
      <c r="J744" s="51" t="s">
        <v>1703</v>
      </c>
      <c r="K744" s="47" t="str">
        <f t="shared" ca="1" si="256"/>
        <v>CONTRATADO</v>
      </c>
      <c r="L744" s="47" t="s">
        <v>94</v>
      </c>
      <c r="M744" s="47" t="s">
        <v>1297</v>
      </c>
      <c r="N744" s="52" t="s">
        <v>240</v>
      </c>
      <c r="O744" s="51" t="e">
        <f>VLOOKUP(N744,[2]!RUBROS[#All],3,0)</f>
        <v>#REF!</v>
      </c>
      <c r="P744" s="53" t="e">
        <f>VLOOKUP(N744,[2]!RUBROS[#All],2,0)</f>
        <v>#REF!</v>
      </c>
      <c r="Q744" s="47" t="str">
        <f t="shared" si="257"/>
        <v>22</v>
      </c>
      <c r="R744" s="47" t="str">
        <f t="shared" si="258"/>
        <v>0-205400</v>
      </c>
      <c r="S744" s="54">
        <v>6</v>
      </c>
      <c r="T744" s="59" t="s">
        <v>46</v>
      </c>
      <c r="U744" s="326" t="e">
        <f ca="1">_xlfn.XLOOKUP(PAA_4[[#This Row],[ITEM]],[2]Contrato!A:A,[2]Contrato!Q:Q,"",0)</f>
        <v>#NAME?</v>
      </c>
      <c r="V744" s="47" t="s">
        <v>47</v>
      </c>
      <c r="W744" s="47" t="s">
        <v>91</v>
      </c>
      <c r="X744" s="47" t="s">
        <v>96</v>
      </c>
      <c r="Y744" s="55" t="e">
        <f ca="1">_xlfn.XLOOKUP(PAA_4[[#This Row],[ITEM]],[2]Contrato!A:A,[2]Contrato!B:B,"",0)</f>
        <v>#NAME?</v>
      </c>
      <c r="Z744" s="47" t="e">
        <f ca="1">_xlfn.XLOOKUP(PAA_4[[#This Row],[ITEM]],[2]Contrato!A:A,[2]Contrato!G:G,"",0)</f>
        <v>#NAME?</v>
      </c>
      <c r="AA744" s="47" t="e">
        <f ca="1">_xlfn.XLOOKUP(PAA_4[[#This Row],[ITEM]],[2]Contrato!A:A,[2]Contrato!T:T,"",0)</f>
        <v>#NAME?</v>
      </c>
      <c r="AB744" s="55" t="e">
        <f ca="1">+MAX(PAA_4[[#This Row],[Comprometido Contrato]],PAA_4[[#This Row],[Comprometido Bolsa]])</f>
        <v>#NAME?</v>
      </c>
      <c r="AC744" s="55" t="str">
        <f t="shared" ca="1" si="259"/>
        <v/>
      </c>
      <c r="AD744" s="55" t="e">
        <f ca="1">IF(PAA_4[[#This Row],[ESTADO (formulado)]]="NO CONTRATADO",0,MAX(PAA_4[[#This Row],[Pago por Contrato]],PAA_4[[#This Row],[Pago por bolsa]]))</f>
        <v>#NAME?</v>
      </c>
      <c r="AE744" s="55" t="str">
        <f t="shared" ca="1" si="260"/>
        <v/>
      </c>
      <c r="AF744" s="47" t="e">
        <f t="shared" ca="1" si="262"/>
        <v>#NAME?</v>
      </c>
      <c r="AG744" s="47">
        <f t="shared" si="261"/>
        <v>41080101</v>
      </c>
      <c r="AH744" s="54" t="str">
        <f>IF(Q744="22",IF(ISNUMBER(SEARCH("econ",PAA_4[[#This Row],[Actividad3]])),"Económico",IF(ISNUMBER(SEARCH("alim",PAA_4[[#This Row],[Actividad3]])),"Alimentación",IF(ISNUMBER(SEARCH("educ",PAA_4[[#This Row],[Actividad3]])),"Educativo","Técnico"))),0)</f>
        <v>Técnico</v>
      </c>
      <c r="AI744" s="47" t="e" cm="1">
        <f t="array" aca="1" ref="AI744" ca="1">_xlfn.XLOOKUP(PAA_4[[#This Row],[RCP-RUBRO]],[2]!COMPROMISOS_2024[[#All],[concatenado]],[2]!COMPROMISOS_2024[[#All],[Total pagado]],"",0)</f>
        <v>#NAME?</v>
      </c>
      <c r="AJ744" s="56" t="e">
        <f ca="1">IF(PAA_4[[#This Row],[BOLSA]]=0,0,SUMIFS([2]!COMPROMISOS_2024[[#All],[Total pagado]],[2]!COMPROMISOS_2024[[#All],[Bolsa]],PAA_4[[#This Row],[BOLSA]],[2]!COMPROMISOS_2024[[#All],[rubro]],PAA_4[[#This Row],[RCP-RUBRO]]))</f>
        <v>#REF!</v>
      </c>
      <c r="AK744" s="47" t="e" cm="1">
        <f t="array" aca="1" ref="AK744" ca="1">_xlfn.XLOOKUP(PAA_4[[#This Row],[RCP-RUBRO]],[2]!COMPROMISOS_2024[[#All],[concatenado]],[2]!COMPROMISOS_2024[[#All],[Total Comprometido]],"",0)</f>
        <v>#NAME?</v>
      </c>
      <c r="AL744" s="47" t="e">
        <f ca="1">IF(PAA_4[[#This Row],[BOLSA]]=0,0,SUMIFS([2]!COMPROMISOS_2024[[#All],[Total Comprometido]],[2]!COMPROMISOS_2024[[#All],[Bolsa]],PAA_4[[#This Row],[BOLSA]],[2]!COMPROMISOS_2024[[#All],[concatenado]],PAA_4[[#This Row],[RCP-RUBRO]]))</f>
        <v>#REF!</v>
      </c>
    </row>
    <row r="745" spans="1:38" s="19" customFormat="1" ht="31.5" customHeight="1">
      <c r="A745" s="47">
        <v>559</v>
      </c>
      <c r="B745" s="47">
        <v>80111600</v>
      </c>
      <c r="C745" s="47" t="str">
        <f>VLOOKUP(PAA_4[[#This Row],[PROYECTO (formulado)2]],[2]PROYECTOS!$G$1:$L$32,6,0)</f>
        <v>SUBGERENCIA DE ALTOS LOGROS Y DEPORTE ASOCIADO</v>
      </c>
      <c r="D745" s="47" t="str">
        <f>+IF(PAA_4[[#This Row],[UNIDAD DE CONTRATACION (formulado)]]="Subgerencia Administrativa y Financiera","FUNCIONAMIENTO","INVERSIÓN")</f>
        <v>INVERSIÓN</v>
      </c>
      <c r="E745" s="48" t="str">
        <f>VLOOKUP(Q745,[2]PROYECTOS!$G$1:$K$32,5,0)</f>
        <v>APOYO_TÉCNICO_Y_PSICOSOCIAL_A_LOS_DEPORTISTAS_DE_ANTIOQUIA</v>
      </c>
      <c r="F745" s="48">
        <f>VLOOKUP(E745,[2]PROYECTOS!$K$1:$M$32,3,0)</f>
        <v>2021003050069</v>
      </c>
      <c r="G745" s="49" t="s">
        <v>239</v>
      </c>
      <c r="H745" s="49" t="str">
        <f>VLOOKUP(Q745,[2]PROYECTOS!$V$1:$W$32,2,0)</f>
        <v>050069</v>
      </c>
      <c r="I745" s="50">
        <v>23714292</v>
      </c>
      <c r="J745" s="51" t="s">
        <v>1704</v>
      </c>
      <c r="K745" s="47" t="str">
        <f t="shared" ca="1" si="256"/>
        <v>CONTRATADO</v>
      </c>
      <c r="L745" s="47" t="s">
        <v>94</v>
      </c>
      <c r="M745" s="47" t="s">
        <v>1297</v>
      </c>
      <c r="N745" s="52" t="s">
        <v>240</v>
      </c>
      <c r="O745" s="51" t="e">
        <f>VLOOKUP(N745,[2]!RUBROS[#All],3,0)</f>
        <v>#REF!</v>
      </c>
      <c r="P745" s="53" t="e">
        <f>VLOOKUP(N745,[2]!RUBROS[#All],2,0)</f>
        <v>#REF!</v>
      </c>
      <c r="Q745" s="47" t="str">
        <f t="shared" si="257"/>
        <v>22</v>
      </c>
      <c r="R745" s="47" t="str">
        <f t="shared" si="258"/>
        <v>0-205400</v>
      </c>
      <c r="S745" s="54">
        <v>6</v>
      </c>
      <c r="T745" s="59" t="s">
        <v>46</v>
      </c>
      <c r="U745" s="326" t="e">
        <f ca="1">_xlfn.XLOOKUP(PAA_4[[#This Row],[ITEM]],[2]Contrato!A:A,[2]Contrato!Q:Q,"",0)</f>
        <v>#NAME?</v>
      </c>
      <c r="V745" s="47" t="s">
        <v>47</v>
      </c>
      <c r="W745" s="47" t="s">
        <v>91</v>
      </c>
      <c r="X745" s="47" t="s">
        <v>96</v>
      </c>
      <c r="Y745" s="55" t="e">
        <f ca="1">_xlfn.XLOOKUP(PAA_4[[#This Row],[ITEM]],[2]Contrato!A:A,[2]Contrato!B:B,"",0)</f>
        <v>#NAME?</v>
      </c>
      <c r="Z745" s="47" t="e">
        <f ca="1">_xlfn.XLOOKUP(PAA_4[[#This Row],[ITEM]],[2]Contrato!A:A,[2]Contrato!G:G,"",0)</f>
        <v>#NAME?</v>
      </c>
      <c r="AA745" s="47" t="e">
        <f ca="1">_xlfn.XLOOKUP(PAA_4[[#This Row],[ITEM]],[2]Contrato!A:A,[2]Contrato!T:T,"",0)</f>
        <v>#NAME?</v>
      </c>
      <c r="AB745" s="55" t="e">
        <f ca="1">+MAX(PAA_4[[#This Row],[Comprometido Contrato]],PAA_4[[#This Row],[Comprometido Bolsa]])</f>
        <v>#NAME?</v>
      </c>
      <c r="AC745" s="55" t="str">
        <f t="shared" ca="1" si="259"/>
        <v/>
      </c>
      <c r="AD745" s="55" t="e">
        <f ca="1">IF(PAA_4[[#This Row],[ESTADO (formulado)]]="NO CONTRATADO",0,MAX(PAA_4[[#This Row],[Pago por Contrato]],PAA_4[[#This Row],[Pago por bolsa]]))</f>
        <v>#NAME?</v>
      </c>
      <c r="AE745" s="55" t="str">
        <f t="shared" ca="1" si="260"/>
        <v/>
      </c>
      <c r="AF745" s="47" t="e">
        <f t="shared" ca="1" si="262"/>
        <v>#NAME?</v>
      </c>
      <c r="AG745" s="47">
        <f t="shared" si="261"/>
        <v>41080101</v>
      </c>
      <c r="AH745" s="54" t="str">
        <f>IF(Q745="22",IF(ISNUMBER(SEARCH("econ",PAA_4[[#This Row],[Actividad3]])),"Económico",IF(ISNUMBER(SEARCH("alim",PAA_4[[#This Row],[Actividad3]])),"Alimentación",IF(ISNUMBER(SEARCH("educ",PAA_4[[#This Row],[Actividad3]])),"Educativo","Técnico"))),0)</f>
        <v>Técnico</v>
      </c>
      <c r="AI745" s="47" t="e" cm="1">
        <f t="array" aca="1" ref="AI745" ca="1">_xlfn.XLOOKUP(PAA_4[[#This Row],[RCP-RUBRO]],[2]!COMPROMISOS_2024[[#All],[concatenado]],[2]!COMPROMISOS_2024[[#All],[Total pagado]],"",0)</f>
        <v>#NAME?</v>
      </c>
      <c r="AJ745" s="56" t="e">
        <f ca="1">IF(PAA_4[[#This Row],[BOLSA]]=0,0,SUMIFS([2]!COMPROMISOS_2024[[#All],[Total pagado]],[2]!COMPROMISOS_2024[[#All],[Bolsa]],PAA_4[[#This Row],[BOLSA]],[2]!COMPROMISOS_2024[[#All],[rubro]],PAA_4[[#This Row],[RCP-RUBRO]]))</f>
        <v>#REF!</v>
      </c>
      <c r="AK745" s="47" t="e" cm="1">
        <f t="array" aca="1" ref="AK745" ca="1">_xlfn.XLOOKUP(PAA_4[[#This Row],[RCP-RUBRO]],[2]!COMPROMISOS_2024[[#All],[concatenado]],[2]!COMPROMISOS_2024[[#All],[Total Comprometido]],"",0)</f>
        <v>#NAME?</v>
      </c>
      <c r="AL745" s="47" t="e">
        <f ca="1">IF(PAA_4[[#This Row],[BOLSA]]=0,0,SUMIFS([2]!COMPROMISOS_2024[[#All],[Total Comprometido]],[2]!COMPROMISOS_2024[[#All],[Bolsa]],PAA_4[[#This Row],[BOLSA]],[2]!COMPROMISOS_2024[[#All],[concatenado]],PAA_4[[#This Row],[RCP-RUBRO]]))</f>
        <v>#REF!</v>
      </c>
    </row>
    <row r="746" spans="1:38" s="19" customFormat="1" ht="31.5" customHeight="1">
      <c r="A746" s="47">
        <v>560</v>
      </c>
      <c r="B746" s="47">
        <v>80111600</v>
      </c>
      <c r="C746" s="47" t="str">
        <f>VLOOKUP(PAA_4[[#This Row],[PROYECTO (formulado)2]],[2]PROYECTOS!$G$1:$L$32,6,0)</f>
        <v>SUBGERENCIA DE ALTOS LOGROS Y DEPORTE ASOCIADO</v>
      </c>
      <c r="D746" s="47" t="str">
        <f>+IF(PAA_4[[#This Row],[UNIDAD DE CONTRATACION (formulado)]]="Subgerencia Administrativa y Financiera","FUNCIONAMIENTO","INVERSIÓN")</f>
        <v>INVERSIÓN</v>
      </c>
      <c r="E746" s="48" t="str">
        <f>VLOOKUP(Q746,[2]PROYECTOS!$G$1:$K$32,5,0)</f>
        <v>APOYO_TÉCNICO_Y_PSICOSOCIAL_A_LOS_DEPORTISTAS_DE_ANTIOQUIA</v>
      </c>
      <c r="F746" s="48">
        <f>VLOOKUP(E746,[2]PROYECTOS!$K$1:$M$32,3,0)</f>
        <v>2021003050069</v>
      </c>
      <c r="G746" s="49" t="s">
        <v>239</v>
      </c>
      <c r="H746" s="49" t="str">
        <f>VLOOKUP(Q746,[2]PROYECTOS!$V$1:$W$32,2,0)</f>
        <v>050069</v>
      </c>
      <c r="I746" s="50">
        <v>29453616</v>
      </c>
      <c r="J746" s="51" t="s">
        <v>1705</v>
      </c>
      <c r="K746" s="47" t="str">
        <f t="shared" ca="1" si="256"/>
        <v>CONTRATADO</v>
      </c>
      <c r="L746" s="47" t="s">
        <v>94</v>
      </c>
      <c r="M746" s="47" t="s">
        <v>1297</v>
      </c>
      <c r="N746" s="52" t="s">
        <v>240</v>
      </c>
      <c r="O746" s="51" t="e">
        <f>VLOOKUP(N746,[2]!RUBROS[#All],3,0)</f>
        <v>#REF!</v>
      </c>
      <c r="P746" s="53" t="e">
        <f>VLOOKUP(N746,[2]!RUBROS[#All],2,0)</f>
        <v>#REF!</v>
      </c>
      <c r="Q746" s="47" t="str">
        <f t="shared" si="257"/>
        <v>22</v>
      </c>
      <c r="R746" s="47" t="str">
        <f t="shared" si="258"/>
        <v>0-205400</v>
      </c>
      <c r="S746" s="54">
        <v>6</v>
      </c>
      <c r="T746" s="59" t="s">
        <v>46</v>
      </c>
      <c r="U746" s="326" t="e">
        <f ca="1">_xlfn.XLOOKUP(PAA_4[[#This Row],[ITEM]],[2]Contrato!A:A,[2]Contrato!Q:Q,"",0)</f>
        <v>#NAME?</v>
      </c>
      <c r="V746" s="47" t="s">
        <v>47</v>
      </c>
      <c r="W746" s="47" t="s">
        <v>91</v>
      </c>
      <c r="X746" s="47" t="s">
        <v>96</v>
      </c>
      <c r="Y746" s="55" t="e">
        <f ca="1">_xlfn.XLOOKUP(PAA_4[[#This Row],[ITEM]],[2]Contrato!A:A,[2]Contrato!B:B,"",0)</f>
        <v>#NAME?</v>
      </c>
      <c r="Z746" s="47" t="e">
        <f ca="1">_xlfn.XLOOKUP(PAA_4[[#This Row],[ITEM]],[2]Contrato!A:A,[2]Contrato!G:G,"",0)</f>
        <v>#NAME?</v>
      </c>
      <c r="AA746" s="47" t="e">
        <f ca="1">_xlfn.XLOOKUP(PAA_4[[#This Row],[ITEM]],[2]Contrato!A:A,[2]Contrato!T:T,"",0)</f>
        <v>#NAME?</v>
      </c>
      <c r="AB746" s="55" t="e">
        <f ca="1">+MAX(PAA_4[[#This Row],[Comprometido Contrato]],PAA_4[[#This Row],[Comprometido Bolsa]])</f>
        <v>#NAME?</v>
      </c>
      <c r="AC746" s="55" t="str">
        <f t="shared" ca="1" si="259"/>
        <v/>
      </c>
      <c r="AD746" s="55" t="e">
        <f ca="1">IF(PAA_4[[#This Row],[ESTADO (formulado)]]="NO CONTRATADO",0,MAX(PAA_4[[#This Row],[Pago por Contrato]],PAA_4[[#This Row],[Pago por bolsa]]))</f>
        <v>#NAME?</v>
      </c>
      <c r="AE746" s="55" t="str">
        <f t="shared" ca="1" si="260"/>
        <v/>
      </c>
      <c r="AF746" s="47" t="e">
        <f t="shared" ca="1" si="262"/>
        <v>#NAME?</v>
      </c>
      <c r="AG746" s="47">
        <f t="shared" si="261"/>
        <v>41080101</v>
      </c>
      <c r="AH746" s="54" t="str">
        <f>IF(Q746="22",IF(ISNUMBER(SEARCH("econ",PAA_4[[#This Row],[Actividad3]])),"Económico",IF(ISNUMBER(SEARCH("alim",PAA_4[[#This Row],[Actividad3]])),"Alimentación",IF(ISNUMBER(SEARCH("educ",PAA_4[[#This Row],[Actividad3]])),"Educativo","Técnico"))),0)</f>
        <v>Técnico</v>
      </c>
      <c r="AI746" s="47" t="e" cm="1">
        <f t="array" aca="1" ref="AI746" ca="1">_xlfn.XLOOKUP(PAA_4[[#This Row],[RCP-RUBRO]],[2]!COMPROMISOS_2024[[#All],[concatenado]],[2]!COMPROMISOS_2024[[#All],[Total pagado]],"",0)</f>
        <v>#NAME?</v>
      </c>
      <c r="AJ746" s="56" t="e">
        <f ca="1">IF(PAA_4[[#This Row],[BOLSA]]=0,0,SUMIFS([2]!COMPROMISOS_2024[[#All],[Total pagado]],[2]!COMPROMISOS_2024[[#All],[Bolsa]],PAA_4[[#This Row],[BOLSA]],[2]!COMPROMISOS_2024[[#All],[rubro]],PAA_4[[#This Row],[RCP-RUBRO]]))</f>
        <v>#REF!</v>
      </c>
      <c r="AK746" s="47" t="e" cm="1">
        <f t="array" aca="1" ref="AK746" ca="1">_xlfn.XLOOKUP(PAA_4[[#This Row],[RCP-RUBRO]],[2]!COMPROMISOS_2024[[#All],[concatenado]],[2]!COMPROMISOS_2024[[#All],[Total Comprometido]],"",0)</f>
        <v>#NAME?</v>
      </c>
      <c r="AL746" s="47" t="e">
        <f ca="1">IF(PAA_4[[#This Row],[BOLSA]]=0,0,SUMIFS([2]!COMPROMISOS_2024[[#All],[Total Comprometido]],[2]!COMPROMISOS_2024[[#All],[Bolsa]],PAA_4[[#This Row],[BOLSA]],[2]!COMPROMISOS_2024[[#All],[concatenado]],PAA_4[[#This Row],[RCP-RUBRO]]))</f>
        <v>#REF!</v>
      </c>
    </row>
    <row r="747" spans="1:38" s="19" customFormat="1" ht="31.5" customHeight="1">
      <c r="A747" s="47">
        <v>561</v>
      </c>
      <c r="B747" s="47">
        <v>80111600</v>
      </c>
      <c r="C747" s="47" t="str">
        <f>VLOOKUP(PAA_4[[#This Row],[PROYECTO (formulado)2]],[2]PROYECTOS!$G$1:$L$32,6,0)</f>
        <v>SUBGERENCIA DE ALTOS LOGROS Y DEPORTE ASOCIADO</v>
      </c>
      <c r="D747" s="47" t="str">
        <f>+IF(PAA_4[[#This Row],[UNIDAD DE CONTRATACION (formulado)]]="Subgerencia Administrativa y Financiera","FUNCIONAMIENTO","INVERSIÓN")</f>
        <v>INVERSIÓN</v>
      </c>
      <c r="E747" s="48" t="str">
        <f>VLOOKUP(Q747,[2]PROYECTOS!$G$1:$K$32,5,0)</f>
        <v>APOYO_TÉCNICO_Y_PSICOSOCIAL_A_LOS_DEPORTISTAS_DE_ANTIOQUIA</v>
      </c>
      <c r="F747" s="48">
        <f>VLOOKUP(E747,[2]PROYECTOS!$K$1:$M$32,3,0)</f>
        <v>2021003050069</v>
      </c>
      <c r="G747" s="49" t="s">
        <v>239</v>
      </c>
      <c r="H747" s="49" t="str">
        <f>VLOOKUP(Q747,[2]PROYECTOS!$V$1:$W$32,2,0)</f>
        <v>050069</v>
      </c>
      <c r="I747" s="50">
        <v>35586894</v>
      </c>
      <c r="J747" s="51" t="s">
        <v>1706</v>
      </c>
      <c r="K747" s="47" t="str">
        <f t="shared" ca="1" si="256"/>
        <v>CONTRATADO</v>
      </c>
      <c r="L747" s="47" t="s">
        <v>94</v>
      </c>
      <c r="M747" s="47" t="s">
        <v>1297</v>
      </c>
      <c r="N747" s="52" t="s">
        <v>240</v>
      </c>
      <c r="O747" s="51" t="e">
        <f>VLOOKUP(N747,[2]!RUBROS[#All],3,0)</f>
        <v>#REF!</v>
      </c>
      <c r="P747" s="53" t="e">
        <f>VLOOKUP(N747,[2]!RUBROS[#All],2,0)</f>
        <v>#REF!</v>
      </c>
      <c r="Q747" s="47" t="str">
        <f t="shared" si="257"/>
        <v>22</v>
      </c>
      <c r="R747" s="47" t="str">
        <f t="shared" si="258"/>
        <v>0-205400</v>
      </c>
      <c r="S747" s="54">
        <v>6</v>
      </c>
      <c r="T747" s="59" t="s">
        <v>46</v>
      </c>
      <c r="U747" s="326" t="e">
        <f ca="1">_xlfn.XLOOKUP(PAA_4[[#This Row],[ITEM]],[2]Contrato!A:A,[2]Contrato!Q:Q,"",0)</f>
        <v>#NAME?</v>
      </c>
      <c r="V747" s="47" t="s">
        <v>47</v>
      </c>
      <c r="W747" s="47" t="s">
        <v>91</v>
      </c>
      <c r="X747" s="47" t="s">
        <v>96</v>
      </c>
      <c r="Y747" s="55" t="e">
        <f ca="1">_xlfn.XLOOKUP(PAA_4[[#This Row],[ITEM]],[2]Contrato!A:A,[2]Contrato!B:B,"",0)</f>
        <v>#NAME?</v>
      </c>
      <c r="Z747" s="47" t="e">
        <f ca="1">_xlfn.XLOOKUP(PAA_4[[#This Row],[ITEM]],[2]Contrato!A:A,[2]Contrato!G:G,"",0)</f>
        <v>#NAME?</v>
      </c>
      <c r="AA747" s="47" t="e">
        <f ca="1">_xlfn.XLOOKUP(PAA_4[[#This Row],[ITEM]],[2]Contrato!A:A,[2]Contrato!T:T,"",0)</f>
        <v>#NAME?</v>
      </c>
      <c r="AB747" s="55" t="e">
        <f ca="1">+MAX(PAA_4[[#This Row],[Comprometido Contrato]],PAA_4[[#This Row],[Comprometido Bolsa]])</f>
        <v>#NAME?</v>
      </c>
      <c r="AC747" s="55" t="str">
        <f t="shared" ca="1" si="259"/>
        <v/>
      </c>
      <c r="AD747" s="55" t="e">
        <f ca="1">IF(PAA_4[[#This Row],[ESTADO (formulado)]]="NO CONTRATADO",0,MAX(PAA_4[[#This Row],[Pago por Contrato]],PAA_4[[#This Row],[Pago por bolsa]]))</f>
        <v>#NAME?</v>
      </c>
      <c r="AE747" s="55" t="str">
        <f t="shared" ca="1" si="260"/>
        <v/>
      </c>
      <c r="AF747" s="47" t="e">
        <f t="shared" ca="1" si="262"/>
        <v>#NAME?</v>
      </c>
      <c r="AG747" s="47">
        <f t="shared" si="261"/>
        <v>41080101</v>
      </c>
      <c r="AH747" s="54" t="str">
        <f>IF(Q747="22",IF(ISNUMBER(SEARCH("econ",PAA_4[[#This Row],[Actividad3]])),"Económico",IF(ISNUMBER(SEARCH("alim",PAA_4[[#This Row],[Actividad3]])),"Alimentación",IF(ISNUMBER(SEARCH("educ",PAA_4[[#This Row],[Actividad3]])),"Educativo","Técnico"))),0)</f>
        <v>Técnico</v>
      </c>
      <c r="AI747" s="47" t="e" cm="1">
        <f t="array" aca="1" ref="AI747" ca="1">_xlfn.XLOOKUP(PAA_4[[#This Row],[RCP-RUBRO]],[2]!COMPROMISOS_2024[[#All],[concatenado]],[2]!COMPROMISOS_2024[[#All],[Total pagado]],"",0)</f>
        <v>#NAME?</v>
      </c>
      <c r="AJ747" s="56" t="e">
        <f ca="1">IF(PAA_4[[#This Row],[BOLSA]]=0,0,SUMIFS([2]!COMPROMISOS_2024[[#All],[Total pagado]],[2]!COMPROMISOS_2024[[#All],[Bolsa]],PAA_4[[#This Row],[BOLSA]],[2]!COMPROMISOS_2024[[#All],[rubro]],PAA_4[[#This Row],[RCP-RUBRO]]))</f>
        <v>#REF!</v>
      </c>
      <c r="AK747" s="47" t="e" cm="1">
        <f t="array" aca="1" ref="AK747" ca="1">_xlfn.XLOOKUP(PAA_4[[#This Row],[RCP-RUBRO]],[2]!COMPROMISOS_2024[[#All],[concatenado]],[2]!COMPROMISOS_2024[[#All],[Total Comprometido]],"",0)</f>
        <v>#NAME?</v>
      </c>
      <c r="AL747" s="47" t="e">
        <f ca="1">IF(PAA_4[[#This Row],[BOLSA]]=0,0,SUMIFS([2]!COMPROMISOS_2024[[#All],[Total Comprometido]],[2]!COMPROMISOS_2024[[#All],[Bolsa]],PAA_4[[#This Row],[BOLSA]],[2]!COMPROMISOS_2024[[#All],[concatenado]],PAA_4[[#This Row],[RCP-RUBRO]]))</f>
        <v>#REF!</v>
      </c>
    </row>
    <row r="748" spans="1:38" s="19" customFormat="1" ht="31.5" customHeight="1">
      <c r="A748" s="47">
        <v>562</v>
      </c>
      <c r="B748" s="47">
        <v>80111600</v>
      </c>
      <c r="C748" s="47" t="str">
        <f>VLOOKUP(PAA_4[[#This Row],[PROYECTO (formulado)2]],[2]PROYECTOS!$G$1:$L$32,6,0)</f>
        <v>SUBGERENCIA DE ALTOS LOGROS Y DEPORTE ASOCIADO</v>
      </c>
      <c r="D748" s="47" t="str">
        <f>+IF(PAA_4[[#This Row],[UNIDAD DE CONTRATACION (formulado)]]="Subgerencia Administrativa y Financiera","FUNCIONAMIENTO","INVERSIÓN")</f>
        <v>INVERSIÓN</v>
      </c>
      <c r="E748" s="48" t="str">
        <f>VLOOKUP(Q748,[2]PROYECTOS!$G$1:$K$32,5,0)</f>
        <v>APOYO_TÉCNICO_Y_PSICOSOCIAL_A_LOS_DEPORTISTAS_DE_ANTIOQUIA</v>
      </c>
      <c r="F748" s="48">
        <f>VLOOKUP(E748,[2]PROYECTOS!$K$1:$M$32,3,0)</f>
        <v>2021003050069</v>
      </c>
      <c r="G748" s="49" t="s">
        <v>239</v>
      </c>
      <c r="H748" s="49" t="str">
        <f>VLOOKUP(Q748,[2]PROYECTOS!$V$1:$W$32,2,0)</f>
        <v>050069</v>
      </c>
      <c r="I748" s="50">
        <v>35586894</v>
      </c>
      <c r="J748" s="51" t="s">
        <v>1707</v>
      </c>
      <c r="K748" s="47" t="str">
        <f t="shared" ca="1" si="256"/>
        <v>CONTRATADO</v>
      </c>
      <c r="L748" s="47" t="s">
        <v>94</v>
      </c>
      <c r="M748" s="47" t="s">
        <v>1297</v>
      </c>
      <c r="N748" s="52" t="s">
        <v>240</v>
      </c>
      <c r="O748" s="51" t="e">
        <f>VLOOKUP(N748,[2]!RUBROS[#All],3,0)</f>
        <v>#REF!</v>
      </c>
      <c r="P748" s="53" t="e">
        <f>VLOOKUP(N748,[2]!RUBROS[#All],2,0)</f>
        <v>#REF!</v>
      </c>
      <c r="Q748" s="47" t="str">
        <f t="shared" si="257"/>
        <v>22</v>
      </c>
      <c r="R748" s="47" t="str">
        <f t="shared" si="258"/>
        <v>0-205400</v>
      </c>
      <c r="S748" s="54">
        <v>6</v>
      </c>
      <c r="T748" s="59" t="s">
        <v>46</v>
      </c>
      <c r="U748" s="326" t="e">
        <f ca="1">_xlfn.XLOOKUP(PAA_4[[#This Row],[ITEM]],[2]Contrato!A:A,[2]Contrato!Q:Q,"",0)</f>
        <v>#NAME?</v>
      </c>
      <c r="V748" s="47" t="s">
        <v>47</v>
      </c>
      <c r="W748" s="47" t="s">
        <v>91</v>
      </c>
      <c r="X748" s="47" t="s">
        <v>96</v>
      </c>
      <c r="Y748" s="55" t="e">
        <f ca="1">_xlfn.XLOOKUP(PAA_4[[#This Row],[ITEM]],[2]Contrato!A:A,[2]Contrato!B:B,"",0)</f>
        <v>#NAME?</v>
      </c>
      <c r="Z748" s="47" t="e">
        <f ca="1">_xlfn.XLOOKUP(PAA_4[[#This Row],[ITEM]],[2]Contrato!A:A,[2]Contrato!G:G,"",0)</f>
        <v>#NAME?</v>
      </c>
      <c r="AA748" s="47" t="e">
        <f ca="1">_xlfn.XLOOKUP(PAA_4[[#This Row],[ITEM]],[2]Contrato!A:A,[2]Contrato!T:T,"",0)</f>
        <v>#NAME?</v>
      </c>
      <c r="AB748" s="55" t="e">
        <f ca="1">+MAX(PAA_4[[#This Row],[Comprometido Contrato]],PAA_4[[#This Row],[Comprometido Bolsa]])</f>
        <v>#NAME?</v>
      </c>
      <c r="AC748" s="55" t="str">
        <f t="shared" ca="1" si="259"/>
        <v/>
      </c>
      <c r="AD748" s="55" t="e">
        <f ca="1">IF(PAA_4[[#This Row],[ESTADO (formulado)]]="NO CONTRATADO",0,MAX(PAA_4[[#This Row],[Pago por Contrato]],PAA_4[[#This Row],[Pago por bolsa]]))</f>
        <v>#NAME?</v>
      </c>
      <c r="AE748" s="55" t="str">
        <f t="shared" ca="1" si="260"/>
        <v/>
      </c>
      <c r="AF748" s="47" t="e">
        <f t="shared" ca="1" si="262"/>
        <v>#NAME?</v>
      </c>
      <c r="AG748" s="47">
        <f t="shared" si="261"/>
        <v>41080101</v>
      </c>
      <c r="AH748" s="54" t="str">
        <f>IF(Q748="22",IF(ISNUMBER(SEARCH("econ",PAA_4[[#This Row],[Actividad3]])),"Económico",IF(ISNUMBER(SEARCH("alim",PAA_4[[#This Row],[Actividad3]])),"Alimentación",IF(ISNUMBER(SEARCH("educ",PAA_4[[#This Row],[Actividad3]])),"Educativo","Técnico"))),0)</f>
        <v>Técnico</v>
      </c>
      <c r="AI748" s="47" t="e" cm="1">
        <f t="array" aca="1" ref="AI748" ca="1">_xlfn.XLOOKUP(PAA_4[[#This Row],[RCP-RUBRO]],[2]!COMPROMISOS_2024[[#All],[concatenado]],[2]!COMPROMISOS_2024[[#All],[Total pagado]],"",0)</f>
        <v>#NAME?</v>
      </c>
      <c r="AJ748" s="56" t="e">
        <f ca="1">IF(PAA_4[[#This Row],[BOLSA]]=0,0,SUMIFS([2]!COMPROMISOS_2024[[#All],[Total pagado]],[2]!COMPROMISOS_2024[[#All],[Bolsa]],PAA_4[[#This Row],[BOLSA]],[2]!COMPROMISOS_2024[[#All],[rubro]],PAA_4[[#This Row],[RCP-RUBRO]]))</f>
        <v>#REF!</v>
      </c>
      <c r="AK748" s="47" t="e" cm="1">
        <f t="array" aca="1" ref="AK748" ca="1">_xlfn.XLOOKUP(PAA_4[[#This Row],[RCP-RUBRO]],[2]!COMPROMISOS_2024[[#All],[concatenado]],[2]!COMPROMISOS_2024[[#All],[Total Comprometido]],"",0)</f>
        <v>#NAME?</v>
      </c>
      <c r="AL748" s="47" t="e">
        <f ca="1">IF(PAA_4[[#This Row],[BOLSA]]=0,0,SUMIFS([2]!COMPROMISOS_2024[[#All],[Total Comprometido]],[2]!COMPROMISOS_2024[[#All],[Bolsa]],PAA_4[[#This Row],[BOLSA]],[2]!COMPROMISOS_2024[[#All],[concatenado]],PAA_4[[#This Row],[RCP-RUBRO]]))</f>
        <v>#REF!</v>
      </c>
    </row>
    <row r="749" spans="1:38" s="19" customFormat="1" ht="31.5" customHeight="1">
      <c r="A749" s="47">
        <v>563</v>
      </c>
      <c r="B749" s="47">
        <v>80111600</v>
      </c>
      <c r="C749" s="47" t="str">
        <f>VLOOKUP(PAA_4[[#This Row],[PROYECTO (formulado)2]],[2]PROYECTOS!$G$1:$L$32,6,0)</f>
        <v>SUBGERENCIA DE ALTOS LOGROS Y DEPORTE ASOCIADO</v>
      </c>
      <c r="D749" s="47" t="str">
        <f>+IF(PAA_4[[#This Row],[UNIDAD DE CONTRATACION (formulado)]]="Subgerencia Administrativa y Financiera","FUNCIONAMIENTO","INVERSIÓN")</f>
        <v>INVERSIÓN</v>
      </c>
      <c r="E749" s="48" t="str">
        <f>VLOOKUP(Q749,[2]PROYECTOS!$G$1:$K$32,5,0)</f>
        <v>APOYO_TÉCNICO_Y_PSICOSOCIAL_A_LOS_DEPORTISTAS_DE_ANTIOQUIA</v>
      </c>
      <c r="F749" s="48">
        <f>VLOOKUP(E749,[2]PROYECTOS!$K$1:$M$32,3,0)</f>
        <v>2021003050069</v>
      </c>
      <c r="G749" s="49" t="s">
        <v>239</v>
      </c>
      <c r="H749" s="49" t="str">
        <f>VLOOKUP(Q749,[2]PROYECTOS!$V$1:$W$32,2,0)</f>
        <v>050069</v>
      </c>
      <c r="I749" s="50">
        <f>29453616-17017644</f>
        <v>12435972</v>
      </c>
      <c r="J749" s="51" t="s">
        <v>1708</v>
      </c>
      <c r="K749" s="47" t="str">
        <f t="shared" ca="1" si="256"/>
        <v>CONTRATADO</v>
      </c>
      <c r="L749" s="47" t="s">
        <v>94</v>
      </c>
      <c r="M749" s="47" t="s">
        <v>1297</v>
      </c>
      <c r="N749" s="52" t="s">
        <v>240</v>
      </c>
      <c r="O749" s="51" t="e">
        <f>VLOOKUP(N749,[2]!RUBROS[#All],3,0)</f>
        <v>#REF!</v>
      </c>
      <c r="P749" s="53" t="e">
        <f>VLOOKUP(N749,[2]!RUBROS[#All],2,0)</f>
        <v>#REF!</v>
      </c>
      <c r="Q749" s="47" t="str">
        <f t="shared" si="257"/>
        <v>22</v>
      </c>
      <c r="R749" s="47" t="str">
        <f t="shared" si="258"/>
        <v>0-205400</v>
      </c>
      <c r="S749" s="54">
        <v>6</v>
      </c>
      <c r="T749" s="59" t="s">
        <v>46</v>
      </c>
      <c r="U749" s="326" t="e">
        <f ca="1">_xlfn.XLOOKUP(PAA_4[[#This Row],[ITEM]],[2]Contrato!A:A,[2]Contrato!Q:Q,"",0)</f>
        <v>#NAME?</v>
      </c>
      <c r="V749" s="47" t="s">
        <v>47</v>
      </c>
      <c r="W749" s="47" t="s">
        <v>91</v>
      </c>
      <c r="X749" s="47" t="s">
        <v>96</v>
      </c>
      <c r="Y749" s="55" t="e">
        <f ca="1">_xlfn.XLOOKUP(PAA_4[[#This Row],[ITEM]],[2]Contrato!A:A,[2]Contrato!B:B,"",0)</f>
        <v>#NAME?</v>
      </c>
      <c r="Z749" s="47" t="e">
        <f ca="1">_xlfn.XLOOKUP(PAA_4[[#This Row],[ITEM]],[2]Contrato!A:A,[2]Contrato!G:G,"",0)</f>
        <v>#NAME?</v>
      </c>
      <c r="AA749" s="47" t="e">
        <f ca="1">_xlfn.XLOOKUP(PAA_4[[#This Row],[ITEM]],[2]Contrato!A:A,[2]Contrato!T:T,"",0)</f>
        <v>#NAME?</v>
      </c>
      <c r="AB749" s="55" t="e">
        <f ca="1">+MAX(PAA_4[[#This Row],[Comprometido Contrato]],PAA_4[[#This Row],[Comprometido Bolsa]])</f>
        <v>#NAME?</v>
      </c>
      <c r="AC749" s="55" t="str">
        <f t="shared" ca="1" si="259"/>
        <v/>
      </c>
      <c r="AD749" s="55" t="e">
        <f ca="1">IF(PAA_4[[#This Row],[ESTADO (formulado)]]="NO CONTRATADO",0,MAX(PAA_4[[#This Row],[Pago por Contrato]],PAA_4[[#This Row],[Pago por bolsa]]))</f>
        <v>#NAME?</v>
      </c>
      <c r="AE749" s="55" t="str">
        <f t="shared" ca="1" si="260"/>
        <v/>
      </c>
      <c r="AF749" s="47" t="e">
        <f t="shared" ca="1" si="262"/>
        <v>#NAME?</v>
      </c>
      <c r="AG749" s="47">
        <f t="shared" si="261"/>
        <v>41080101</v>
      </c>
      <c r="AH749" s="54" t="str">
        <f>IF(Q749="22",IF(ISNUMBER(SEARCH("econ",PAA_4[[#This Row],[Actividad3]])),"Económico",IF(ISNUMBER(SEARCH("alim",PAA_4[[#This Row],[Actividad3]])),"Alimentación",IF(ISNUMBER(SEARCH("educ",PAA_4[[#This Row],[Actividad3]])),"Educativo","Técnico"))),0)</f>
        <v>Técnico</v>
      </c>
      <c r="AI749" s="47" t="e" cm="1">
        <f t="array" aca="1" ref="AI749" ca="1">_xlfn.XLOOKUP(PAA_4[[#This Row],[RCP-RUBRO]],[2]!COMPROMISOS_2024[[#All],[concatenado]],[2]!COMPROMISOS_2024[[#All],[Total pagado]],"",0)</f>
        <v>#NAME?</v>
      </c>
      <c r="AJ749" s="56" t="e">
        <f ca="1">IF(PAA_4[[#This Row],[BOLSA]]=0,0,SUMIFS([2]!COMPROMISOS_2024[[#All],[Total pagado]],[2]!COMPROMISOS_2024[[#All],[Bolsa]],PAA_4[[#This Row],[BOLSA]],[2]!COMPROMISOS_2024[[#All],[rubro]],PAA_4[[#This Row],[RCP-RUBRO]]))</f>
        <v>#REF!</v>
      </c>
      <c r="AK749" s="47" t="e" cm="1">
        <f t="array" aca="1" ref="AK749" ca="1">_xlfn.XLOOKUP(PAA_4[[#This Row],[RCP-RUBRO]],[2]!COMPROMISOS_2024[[#All],[concatenado]],[2]!COMPROMISOS_2024[[#All],[Total Comprometido]],"",0)</f>
        <v>#NAME?</v>
      </c>
      <c r="AL749" s="47" t="e">
        <f ca="1">IF(PAA_4[[#This Row],[BOLSA]]=0,0,SUMIFS([2]!COMPROMISOS_2024[[#All],[Total Comprometido]],[2]!COMPROMISOS_2024[[#All],[Bolsa]],PAA_4[[#This Row],[BOLSA]],[2]!COMPROMISOS_2024[[#All],[concatenado]],PAA_4[[#This Row],[RCP-RUBRO]]))</f>
        <v>#REF!</v>
      </c>
    </row>
    <row r="750" spans="1:38" s="19" customFormat="1" ht="31.5" customHeight="1">
      <c r="A750" s="47">
        <v>564</v>
      </c>
      <c r="B750" s="47">
        <v>80111600</v>
      </c>
      <c r="C750" s="47" t="str">
        <f>VLOOKUP(PAA_4[[#This Row],[PROYECTO (formulado)2]],[2]PROYECTOS!$G$1:$L$32,6,0)</f>
        <v>SUBGERENCIA DE ALTOS LOGROS Y DEPORTE ASOCIADO</v>
      </c>
      <c r="D750" s="47" t="str">
        <f>+IF(PAA_4[[#This Row],[UNIDAD DE CONTRATACION (formulado)]]="Subgerencia Administrativa y Financiera","FUNCIONAMIENTO","INVERSIÓN")</f>
        <v>INVERSIÓN</v>
      </c>
      <c r="E750" s="48" t="str">
        <f>VLOOKUP(Q750,[2]PROYECTOS!$G$1:$K$32,5,0)</f>
        <v>APOYO_TÉCNICO_Y_PSICOSOCIAL_A_LOS_DEPORTISTAS_DE_ANTIOQUIA</v>
      </c>
      <c r="F750" s="48">
        <f>VLOOKUP(E750,[2]PROYECTOS!$K$1:$M$32,3,0)</f>
        <v>2021003050069</v>
      </c>
      <c r="G750" s="49" t="s">
        <v>241</v>
      </c>
      <c r="H750" s="49" t="str">
        <f>VLOOKUP(Q750,[2]PROYECTOS!$V$1:$W$32,2,0)</f>
        <v>050069</v>
      </c>
      <c r="I750" s="50">
        <v>29453616</v>
      </c>
      <c r="J750" s="51" t="s">
        <v>1709</v>
      </c>
      <c r="K750" s="47" t="str">
        <f t="shared" ca="1" si="256"/>
        <v>CONTRATADO</v>
      </c>
      <c r="L750" s="47" t="s">
        <v>94</v>
      </c>
      <c r="M750" s="47" t="s">
        <v>1297</v>
      </c>
      <c r="N750" s="52" t="s">
        <v>240</v>
      </c>
      <c r="O750" s="51" t="e">
        <f>VLOOKUP(N750,[2]!RUBROS[#All],3,0)</f>
        <v>#REF!</v>
      </c>
      <c r="P750" s="53" t="e">
        <f>VLOOKUP(N750,[2]!RUBROS[#All],2,0)</f>
        <v>#REF!</v>
      </c>
      <c r="Q750" s="47" t="str">
        <f t="shared" si="257"/>
        <v>22</v>
      </c>
      <c r="R750" s="47" t="str">
        <f t="shared" si="258"/>
        <v>0-205400</v>
      </c>
      <c r="S750" s="54">
        <v>6</v>
      </c>
      <c r="T750" s="59" t="s">
        <v>46</v>
      </c>
      <c r="U750" s="326" t="e">
        <f ca="1">_xlfn.XLOOKUP(PAA_4[[#This Row],[ITEM]],[2]Contrato!A:A,[2]Contrato!Q:Q,"",0)</f>
        <v>#NAME?</v>
      </c>
      <c r="V750" s="47" t="s">
        <v>47</v>
      </c>
      <c r="W750" s="47" t="s">
        <v>91</v>
      </c>
      <c r="X750" s="47" t="s">
        <v>96</v>
      </c>
      <c r="Y750" s="55" t="e">
        <f ca="1">_xlfn.XLOOKUP(PAA_4[[#This Row],[ITEM]],[2]Contrato!A:A,[2]Contrato!B:B,"",0)</f>
        <v>#NAME?</v>
      </c>
      <c r="Z750" s="47" t="e">
        <f ca="1">_xlfn.XLOOKUP(PAA_4[[#This Row],[ITEM]],[2]Contrato!A:A,[2]Contrato!G:G,"",0)</f>
        <v>#NAME?</v>
      </c>
      <c r="AA750" s="47" t="e">
        <f ca="1">_xlfn.XLOOKUP(PAA_4[[#This Row],[ITEM]],[2]Contrato!A:A,[2]Contrato!T:T,"",0)</f>
        <v>#NAME?</v>
      </c>
      <c r="AB750" s="55" t="e">
        <f ca="1">+MAX(PAA_4[[#This Row],[Comprometido Contrato]],PAA_4[[#This Row],[Comprometido Bolsa]])</f>
        <v>#NAME?</v>
      </c>
      <c r="AC750" s="55" t="str">
        <f t="shared" ca="1" si="259"/>
        <v/>
      </c>
      <c r="AD750" s="55" t="e">
        <f ca="1">IF(PAA_4[[#This Row],[ESTADO (formulado)]]="NO CONTRATADO",0,MAX(PAA_4[[#This Row],[Pago por Contrato]],PAA_4[[#This Row],[Pago por bolsa]]))</f>
        <v>#NAME?</v>
      </c>
      <c r="AE750" s="55" t="str">
        <f t="shared" ca="1" si="260"/>
        <v/>
      </c>
      <c r="AF750" s="47" t="e">
        <f t="shared" ca="1" si="262"/>
        <v>#NAME?</v>
      </c>
      <c r="AG750" s="47">
        <f t="shared" si="261"/>
        <v>41080106</v>
      </c>
      <c r="AH750" s="54" t="str">
        <f>IF(Q750="22",IF(ISNUMBER(SEARCH("econ",PAA_4[[#This Row],[Actividad3]])),"Económico",IF(ISNUMBER(SEARCH("alim",PAA_4[[#This Row],[Actividad3]])),"Alimentación",IF(ISNUMBER(SEARCH("educ",PAA_4[[#This Row],[Actividad3]])),"Educativo","Técnico"))),0)</f>
        <v>Técnico</v>
      </c>
      <c r="AI750" s="47" t="e" cm="1">
        <f t="array" aca="1" ref="AI750" ca="1">_xlfn.XLOOKUP(PAA_4[[#This Row],[RCP-RUBRO]],[2]!COMPROMISOS_2024[[#All],[concatenado]],[2]!COMPROMISOS_2024[[#All],[Total pagado]],"",0)</f>
        <v>#NAME?</v>
      </c>
      <c r="AJ750" s="56" t="e">
        <f ca="1">IF(PAA_4[[#This Row],[BOLSA]]=0,0,SUMIFS([2]!COMPROMISOS_2024[[#All],[Total pagado]],[2]!COMPROMISOS_2024[[#All],[Bolsa]],PAA_4[[#This Row],[BOLSA]],[2]!COMPROMISOS_2024[[#All],[rubro]],PAA_4[[#This Row],[RCP-RUBRO]]))</f>
        <v>#REF!</v>
      </c>
      <c r="AK750" s="47" t="e" cm="1">
        <f t="array" aca="1" ref="AK750" ca="1">_xlfn.XLOOKUP(PAA_4[[#This Row],[RCP-RUBRO]],[2]!COMPROMISOS_2024[[#All],[concatenado]],[2]!COMPROMISOS_2024[[#All],[Total Comprometido]],"",0)</f>
        <v>#NAME?</v>
      </c>
      <c r="AL750" s="47" t="e">
        <f ca="1">IF(PAA_4[[#This Row],[BOLSA]]=0,0,SUMIFS([2]!COMPROMISOS_2024[[#All],[Total Comprometido]],[2]!COMPROMISOS_2024[[#All],[Bolsa]],PAA_4[[#This Row],[BOLSA]],[2]!COMPROMISOS_2024[[#All],[concatenado]],PAA_4[[#This Row],[RCP-RUBRO]]))</f>
        <v>#REF!</v>
      </c>
    </row>
    <row r="751" spans="1:38" s="19" customFormat="1" ht="31.5" customHeight="1">
      <c r="A751" s="47">
        <v>565</v>
      </c>
      <c r="B751" s="47">
        <v>80111600</v>
      </c>
      <c r="C751" s="47" t="str">
        <f>VLOOKUP(PAA_4[[#This Row],[PROYECTO (formulado)2]],[2]PROYECTOS!$G$1:$L$32,6,0)</f>
        <v>SUBGERENCIA DE ALTOS LOGROS Y DEPORTE ASOCIADO</v>
      </c>
      <c r="D751" s="47" t="str">
        <f>+IF(PAA_4[[#This Row],[UNIDAD DE CONTRATACION (formulado)]]="Subgerencia Administrativa y Financiera","FUNCIONAMIENTO","INVERSIÓN")</f>
        <v>INVERSIÓN</v>
      </c>
      <c r="E751" s="48" t="str">
        <f>VLOOKUP(Q751,[2]PROYECTOS!$G$1:$K$32,5,0)</f>
        <v>APOYO_TÉCNICO_Y_PSICOSOCIAL_A_LOS_DEPORTISTAS_DE_ANTIOQUIA</v>
      </c>
      <c r="F751" s="48">
        <f>VLOOKUP(E751,[2]PROYECTOS!$K$1:$M$32,3,0)</f>
        <v>2021003050069</v>
      </c>
      <c r="G751" s="49" t="s">
        <v>241</v>
      </c>
      <c r="H751" s="49" t="str">
        <f>VLOOKUP(Q751,[2]PROYECTOS!$V$1:$W$32,2,0)</f>
        <v>050069</v>
      </c>
      <c r="I751" s="50">
        <v>29453616</v>
      </c>
      <c r="J751" s="51" t="s">
        <v>1710</v>
      </c>
      <c r="K751" s="47" t="str">
        <f t="shared" ca="1" si="256"/>
        <v>CONTRATADO</v>
      </c>
      <c r="L751" s="47" t="s">
        <v>94</v>
      </c>
      <c r="M751" s="47" t="s">
        <v>1297</v>
      </c>
      <c r="N751" s="52" t="s">
        <v>240</v>
      </c>
      <c r="O751" s="51" t="e">
        <f>VLOOKUP(N751,[2]!RUBROS[#All],3,0)</f>
        <v>#REF!</v>
      </c>
      <c r="P751" s="53" t="e">
        <f>VLOOKUP(N751,[2]!RUBROS[#All],2,0)</f>
        <v>#REF!</v>
      </c>
      <c r="Q751" s="47" t="str">
        <f t="shared" si="257"/>
        <v>22</v>
      </c>
      <c r="R751" s="47" t="str">
        <f t="shared" si="258"/>
        <v>0-205400</v>
      </c>
      <c r="S751" s="54">
        <v>6</v>
      </c>
      <c r="T751" s="59" t="s">
        <v>46</v>
      </c>
      <c r="U751" s="326" t="e">
        <f ca="1">_xlfn.XLOOKUP(PAA_4[[#This Row],[ITEM]],[2]Contrato!A:A,[2]Contrato!Q:Q,"",0)</f>
        <v>#NAME?</v>
      </c>
      <c r="V751" s="47" t="s">
        <v>47</v>
      </c>
      <c r="W751" s="47" t="s">
        <v>91</v>
      </c>
      <c r="X751" s="47" t="s">
        <v>96</v>
      </c>
      <c r="Y751" s="55" t="e">
        <f ca="1">_xlfn.XLOOKUP(PAA_4[[#This Row],[ITEM]],[2]Contrato!A:A,[2]Contrato!B:B,"",0)</f>
        <v>#NAME?</v>
      </c>
      <c r="Z751" s="47" t="e">
        <f ca="1">_xlfn.XLOOKUP(PAA_4[[#This Row],[ITEM]],[2]Contrato!A:A,[2]Contrato!G:G,"",0)</f>
        <v>#NAME?</v>
      </c>
      <c r="AA751" s="47" t="e">
        <f ca="1">_xlfn.XLOOKUP(PAA_4[[#This Row],[ITEM]],[2]Contrato!A:A,[2]Contrato!T:T,"",0)</f>
        <v>#NAME?</v>
      </c>
      <c r="AB751" s="55" t="e">
        <f ca="1">+MAX(PAA_4[[#This Row],[Comprometido Contrato]],PAA_4[[#This Row],[Comprometido Bolsa]])</f>
        <v>#NAME?</v>
      </c>
      <c r="AC751" s="55" t="str">
        <f t="shared" ca="1" si="259"/>
        <v/>
      </c>
      <c r="AD751" s="55" t="e">
        <f ca="1">IF(PAA_4[[#This Row],[ESTADO (formulado)]]="NO CONTRATADO",0,MAX(PAA_4[[#This Row],[Pago por Contrato]],PAA_4[[#This Row],[Pago por bolsa]]))</f>
        <v>#NAME?</v>
      </c>
      <c r="AE751" s="55" t="str">
        <f t="shared" ca="1" si="260"/>
        <v/>
      </c>
      <c r="AF751" s="47" t="e">
        <f t="shared" ca="1" si="262"/>
        <v>#NAME?</v>
      </c>
      <c r="AG751" s="47">
        <f t="shared" si="261"/>
        <v>41080106</v>
      </c>
      <c r="AH751" s="54" t="str">
        <f>IF(Q751="22",IF(ISNUMBER(SEARCH("econ",PAA_4[[#This Row],[Actividad3]])),"Económico",IF(ISNUMBER(SEARCH("alim",PAA_4[[#This Row],[Actividad3]])),"Alimentación",IF(ISNUMBER(SEARCH("educ",PAA_4[[#This Row],[Actividad3]])),"Educativo","Técnico"))),0)</f>
        <v>Técnico</v>
      </c>
      <c r="AI751" s="47" t="e" cm="1">
        <f t="array" aca="1" ref="AI751" ca="1">_xlfn.XLOOKUP(PAA_4[[#This Row],[RCP-RUBRO]],[2]!COMPROMISOS_2024[[#All],[concatenado]],[2]!COMPROMISOS_2024[[#All],[Total pagado]],"",0)</f>
        <v>#NAME?</v>
      </c>
      <c r="AJ751" s="56" t="e">
        <f ca="1">IF(PAA_4[[#This Row],[BOLSA]]=0,0,SUMIFS([2]!COMPROMISOS_2024[[#All],[Total pagado]],[2]!COMPROMISOS_2024[[#All],[Bolsa]],PAA_4[[#This Row],[BOLSA]],[2]!COMPROMISOS_2024[[#All],[rubro]],PAA_4[[#This Row],[RCP-RUBRO]]))</f>
        <v>#REF!</v>
      </c>
      <c r="AK751" s="47" t="e" cm="1">
        <f t="array" aca="1" ref="AK751" ca="1">_xlfn.XLOOKUP(PAA_4[[#This Row],[RCP-RUBRO]],[2]!COMPROMISOS_2024[[#All],[concatenado]],[2]!COMPROMISOS_2024[[#All],[Total Comprometido]],"",0)</f>
        <v>#NAME?</v>
      </c>
      <c r="AL751" s="47" t="e">
        <f ca="1">IF(PAA_4[[#This Row],[BOLSA]]=0,0,SUMIFS([2]!COMPROMISOS_2024[[#All],[Total Comprometido]],[2]!COMPROMISOS_2024[[#All],[Bolsa]],PAA_4[[#This Row],[BOLSA]],[2]!COMPROMISOS_2024[[#All],[concatenado]],PAA_4[[#This Row],[RCP-RUBRO]]))</f>
        <v>#REF!</v>
      </c>
    </row>
    <row r="752" spans="1:38" s="19" customFormat="1" ht="31.5" customHeight="1">
      <c r="A752" s="47">
        <v>566</v>
      </c>
      <c r="B752" s="47">
        <v>80111600</v>
      </c>
      <c r="C752" s="47" t="str">
        <f>VLOOKUP(PAA_4[[#This Row],[PROYECTO (formulado)2]],[2]PROYECTOS!$G$1:$L$32,6,0)</f>
        <v>SUBGERENCIA DE ALTOS LOGROS Y DEPORTE ASOCIADO</v>
      </c>
      <c r="D752" s="47" t="str">
        <f>+IF(PAA_4[[#This Row],[UNIDAD DE CONTRATACION (formulado)]]="Subgerencia Administrativa y Financiera","FUNCIONAMIENTO","INVERSIÓN")</f>
        <v>INVERSIÓN</v>
      </c>
      <c r="E752" s="48" t="str">
        <f>VLOOKUP(Q752,[2]PROYECTOS!$G$1:$K$32,5,0)</f>
        <v>APOYO_TÉCNICO_Y_PSICOSOCIAL_A_LOS_DEPORTISTAS_DE_ANTIOQUIA</v>
      </c>
      <c r="F752" s="48">
        <f>VLOOKUP(E752,[2]PROYECTOS!$K$1:$M$32,3,0)</f>
        <v>2021003050069</v>
      </c>
      <c r="G752" s="49" t="s">
        <v>241</v>
      </c>
      <c r="H752" s="49" t="str">
        <f>VLOOKUP(Q752,[2]PROYECTOS!$V$1:$W$32,2,0)</f>
        <v>050069</v>
      </c>
      <c r="I752" s="50">
        <v>29453616</v>
      </c>
      <c r="J752" s="51" t="s">
        <v>1711</v>
      </c>
      <c r="K752" s="47" t="str">
        <f t="shared" ca="1" si="256"/>
        <v>CONTRATADO</v>
      </c>
      <c r="L752" s="47" t="s">
        <v>94</v>
      </c>
      <c r="M752" s="47" t="s">
        <v>1297</v>
      </c>
      <c r="N752" s="52" t="s">
        <v>240</v>
      </c>
      <c r="O752" s="51" t="e">
        <f>VLOOKUP(N752,[2]!RUBROS[#All],3,0)</f>
        <v>#REF!</v>
      </c>
      <c r="P752" s="53" t="e">
        <f>VLOOKUP(N752,[2]!RUBROS[#All],2,0)</f>
        <v>#REF!</v>
      </c>
      <c r="Q752" s="47" t="str">
        <f t="shared" si="257"/>
        <v>22</v>
      </c>
      <c r="R752" s="47" t="str">
        <f t="shared" si="258"/>
        <v>0-205400</v>
      </c>
      <c r="S752" s="54">
        <v>6</v>
      </c>
      <c r="T752" s="59" t="s">
        <v>46</v>
      </c>
      <c r="U752" s="326" t="e">
        <f ca="1">_xlfn.XLOOKUP(PAA_4[[#This Row],[ITEM]],[2]Contrato!A:A,[2]Contrato!Q:Q,"",0)</f>
        <v>#NAME?</v>
      </c>
      <c r="V752" s="47" t="s">
        <v>47</v>
      </c>
      <c r="W752" s="47" t="s">
        <v>91</v>
      </c>
      <c r="X752" s="47" t="s">
        <v>96</v>
      </c>
      <c r="Y752" s="55" t="e">
        <f ca="1">_xlfn.XLOOKUP(PAA_4[[#This Row],[ITEM]],[2]Contrato!A:A,[2]Contrato!B:B,"",0)</f>
        <v>#NAME?</v>
      </c>
      <c r="Z752" s="47" t="e">
        <f ca="1">_xlfn.XLOOKUP(PAA_4[[#This Row],[ITEM]],[2]Contrato!A:A,[2]Contrato!G:G,"",0)</f>
        <v>#NAME?</v>
      </c>
      <c r="AA752" s="47" t="e">
        <f ca="1">_xlfn.XLOOKUP(PAA_4[[#This Row],[ITEM]],[2]Contrato!A:A,[2]Contrato!T:T,"",0)</f>
        <v>#NAME?</v>
      </c>
      <c r="AB752" s="55" t="e">
        <f ca="1">+MAX(PAA_4[[#This Row],[Comprometido Contrato]],PAA_4[[#This Row],[Comprometido Bolsa]])</f>
        <v>#NAME?</v>
      </c>
      <c r="AC752" s="55" t="str">
        <f t="shared" ca="1" si="259"/>
        <v/>
      </c>
      <c r="AD752" s="55" t="e">
        <f ca="1">IF(PAA_4[[#This Row],[ESTADO (formulado)]]="NO CONTRATADO",0,MAX(PAA_4[[#This Row],[Pago por Contrato]],PAA_4[[#This Row],[Pago por bolsa]]))</f>
        <v>#NAME?</v>
      </c>
      <c r="AE752" s="55" t="str">
        <f t="shared" ca="1" si="260"/>
        <v/>
      </c>
      <c r="AF752" s="47" t="e">
        <f t="shared" ca="1" si="262"/>
        <v>#NAME?</v>
      </c>
      <c r="AG752" s="47">
        <f t="shared" si="261"/>
        <v>41080106</v>
      </c>
      <c r="AH752" s="54" t="str">
        <f>IF(Q752="22",IF(ISNUMBER(SEARCH("econ",PAA_4[[#This Row],[Actividad3]])),"Económico",IF(ISNUMBER(SEARCH("alim",PAA_4[[#This Row],[Actividad3]])),"Alimentación",IF(ISNUMBER(SEARCH("educ",PAA_4[[#This Row],[Actividad3]])),"Educativo","Técnico"))),0)</f>
        <v>Técnico</v>
      </c>
      <c r="AI752" s="47" t="e" cm="1">
        <f t="array" aca="1" ref="AI752" ca="1">_xlfn.XLOOKUP(PAA_4[[#This Row],[RCP-RUBRO]],[2]!COMPROMISOS_2024[[#All],[concatenado]],[2]!COMPROMISOS_2024[[#All],[Total pagado]],"",0)</f>
        <v>#NAME?</v>
      </c>
      <c r="AJ752" s="56" t="e">
        <f ca="1">IF(PAA_4[[#This Row],[BOLSA]]=0,0,SUMIFS([2]!COMPROMISOS_2024[[#All],[Total pagado]],[2]!COMPROMISOS_2024[[#All],[Bolsa]],PAA_4[[#This Row],[BOLSA]],[2]!COMPROMISOS_2024[[#All],[rubro]],PAA_4[[#This Row],[RCP-RUBRO]]))</f>
        <v>#REF!</v>
      </c>
      <c r="AK752" s="47" t="e" cm="1">
        <f t="array" aca="1" ref="AK752" ca="1">_xlfn.XLOOKUP(PAA_4[[#This Row],[RCP-RUBRO]],[2]!COMPROMISOS_2024[[#All],[concatenado]],[2]!COMPROMISOS_2024[[#All],[Total Comprometido]],"",0)</f>
        <v>#NAME?</v>
      </c>
      <c r="AL752" s="47" t="e">
        <f ca="1">IF(PAA_4[[#This Row],[BOLSA]]=0,0,SUMIFS([2]!COMPROMISOS_2024[[#All],[Total Comprometido]],[2]!COMPROMISOS_2024[[#All],[Bolsa]],PAA_4[[#This Row],[BOLSA]],[2]!COMPROMISOS_2024[[#All],[concatenado]],PAA_4[[#This Row],[RCP-RUBRO]]))</f>
        <v>#REF!</v>
      </c>
    </row>
    <row r="753" spans="1:38" s="19" customFormat="1" ht="31.5" customHeight="1">
      <c r="A753" s="47">
        <v>567</v>
      </c>
      <c r="B753" s="47">
        <v>80111600</v>
      </c>
      <c r="C753" s="47" t="str">
        <f>VLOOKUP(PAA_4[[#This Row],[PROYECTO (formulado)2]],[2]PROYECTOS!$G$1:$L$32,6,0)</f>
        <v>SUBGERENCIA DE ALTOS LOGROS Y DEPORTE ASOCIADO</v>
      </c>
      <c r="D753" s="47" t="str">
        <f>+IF(PAA_4[[#This Row],[UNIDAD DE CONTRATACION (formulado)]]="Subgerencia Administrativa y Financiera","FUNCIONAMIENTO","INVERSIÓN")</f>
        <v>INVERSIÓN</v>
      </c>
      <c r="E753" s="48" t="str">
        <f>VLOOKUP(Q753,[2]PROYECTOS!$G$1:$K$32,5,0)</f>
        <v>APOYO_TÉCNICO_Y_PSICOSOCIAL_A_LOS_DEPORTISTAS_DE_ANTIOQUIA</v>
      </c>
      <c r="F753" s="48">
        <f>VLOOKUP(E753,[2]PROYECTOS!$K$1:$M$32,3,0)</f>
        <v>2021003050069</v>
      </c>
      <c r="G753" s="49" t="s">
        <v>241</v>
      </c>
      <c r="H753" s="49" t="str">
        <f>VLOOKUP(Q753,[2]PROYECTOS!$V$1:$W$32,2,0)</f>
        <v>050069</v>
      </c>
      <c r="I753" s="50">
        <v>29453616</v>
      </c>
      <c r="J753" s="51" t="s">
        <v>1712</v>
      </c>
      <c r="K753" s="47" t="str">
        <f t="shared" ca="1" si="256"/>
        <v>CONTRATADO</v>
      </c>
      <c r="L753" s="47" t="s">
        <v>94</v>
      </c>
      <c r="M753" s="47" t="s">
        <v>1297</v>
      </c>
      <c r="N753" s="52" t="s">
        <v>240</v>
      </c>
      <c r="O753" s="51" t="e">
        <f>VLOOKUP(N753,[2]!RUBROS[#All],3,0)</f>
        <v>#REF!</v>
      </c>
      <c r="P753" s="53" t="e">
        <f>VLOOKUP(N753,[2]!RUBROS[#All],2,0)</f>
        <v>#REF!</v>
      </c>
      <c r="Q753" s="47" t="str">
        <f t="shared" si="257"/>
        <v>22</v>
      </c>
      <c r="R753" s="47" t="str">
        <f t="shared" si="258"/>
        <v>0-205400</v>
      </c>
      <c r="S753" s="54">
        <v>6</v>
      </c>
      <c r="T753" s="59" t="s">
        <v>46</v>
      </c>
      <c r="U753" s="326" t="e">
        <f ca="1">_xlfn.XLOOKUP(PAA_4[[#This Row],[ITEM]],[2]Contrato!A:A,[2]Contrato!Q:Q,"",0)</f>
        <v>#NAME?</v>
      </c>
      <c r="V753" s="47" t="s">
        <v>47</v>
      </c>
      <c r="W753" s="47" t="s">
        <v>91</v>
      </c>
      <c r="X753" s="47" t="s">
        <v>96</v>
      </c>
      <c r="Y753" s="55" t="e">
        <f ca="1">_xlfn.XLOOKUP(PAA_4[[#This Row],[ITEM]],[2]Contrato!A:A,[2]Contrato!B:B,"",0)</f>
        <v>#NAME?</v>
      </c>
      <c r="Z753" s="47" t="e">
        <f ca="1">_xlfn.XLOOKUP(PAA_4[[#This Row],[ITEM]],[2]Contrato!A:A,[2]Contrato!G:G,"",0)</f>
        <v>#NAME?</v>
      </c>
      <c r="AA753" s="47" t="e">
        <f ca="1">_xlfn.XLOOKUP(PAA_4[[#This Row],[ITEM]],[2]Contrato!A:A,[2]Contrato!T:T,"",0)</f>
        <v>#NAME?</v>
      </c>
      <c r="AB753" s="55" t="e">
        <f ca="1">+MAX(PAA_4[[#This Row],[Comprometido Contrato]],PAA_4[[#This Row],[Comprometido Bolsa]])</f>
        <v>#NAME?</v>
      </c>
      <c r="AC753" s="55" t="str">
        <f t="shared" ca="1" si="259"/>
        <v/>
      </c>
      <c r="AD753" s="55" t="e">
        <f ca="1">IF(PAA_4[[#This Row],[ESTADO (formulado)]]="NO CONTRATADO",0,MAX(PAA_4[[#This Row],[Pago por Contrato]],PAA_4[[#This Row],[Pago por bolsa]]))</f>
        <v>#NAME?</v>
      </c>
      <c r="AE753" s="55" t="str">
        <f t="shared" ca="1" si="260"/>
        <v/>
      </c>
      <c r="AF753" s="47" t="e">
        <f t="shared" ca="1" si="262"/>
        <v>#NAME?</v>
      </c>
      <c r="AG753" s="47">
        <f t="shared" si="261"/>
        <v>41080106</v>
      </c>
      <c r="AH753" s="54" t="str">
        <f>IF(Q753="22",IF(ISNUMBER(SEARCH("econ",PAA_4[[#This Row],[Actividad3]])),"Económico",IF(ISNUMBER(SEARCH("alim",PAA_4[[#This Row],[Actividad3]])),"Alimentación",IF(ISNUMBER(SEARCH("educ",PAA_4[[#This Row],[Actividad3]])),"Educativo","Técnico"))),0)</f>
        <v>Técnico</v>
      </c>
      <c r="AI753" s="47" t="e" cm="1">
        <f t="array" aca="1" ref="AI753" ca="1">_xlfn.XLOOKUP(PAA_4[[#This Row],[RCP-RUBRO]],[2]!COMPROMISOS_2024[[#All],[concatenado]],[2]!COMPROMISOS_2024[[#All],[Total pagado]],"",0)</f>
        <v>#NAME?</v>
      </c>
      <c r="AJ753" s="56" t="e">
        <f ca="1">IF(PAA_4[[#This Row],[BOLSA]]=0,0,SUMIFS([2]!COMPROMISOS_2024[[#All],[Total pagado]],[2]!COMPROMISOS_2024[[#All],[Bolsa]],PAA_4[[#This Row],[BOLSA]],[2]!COMPROMISOS_2024[[#All],[rubro]],PAA_4[[#This Row],[RCP-RUBRO]]))</f>
        <v>#REF!</v>
      </c>
      <c r="AK753" s="47" t="e" cm="1">
        <f t="array" aca="1" ref="AK753" ca="1">_xlfn.XLOOKUP(PAA_4[[#This Row],[RCP-RUBRO]],[2]!COMPROMISOS_2024[[#All],[concatenado]],[2]!COMPROMISOS_2024[[#All],[Total Comprometido]],"",0)</f>
        <v>#NAME?</v>
      </c>
      <c r="AL753" s="47" t="e">
        <f ca="1">IF(PAA_4[[#This Row],[BOLSA]]=0,0,SUMIFS([2]!COMPROMISOS_2024[[#All],[Total Comprometido]],[2]!COMPROMISOS_2024[[#All],[Bolsa]],PAA_4[[#This Row],[BOLSA]],[2]!COMPROMISOS_2024[[#All],[concatenado]],PAA_4[[#This Row],[RCP-RUBRO]]))</f>
        <v>#REF!</v>
      </c>
    </row>
    <row r="754" spans="1:38" s="19" customFormat="1" ht="31.5" customHeight="1">
      <c r="A754" s="47">
        <v>568</v>
      </c>
      <c r="B754" s="47">
        <v>80111600</v>
      </c>
      <c r="C754" s="47" t="str">
        <f>VLOOKUP(PAA_4[[#This Row],[PROYECTO (formulado)2]],[2]PROYECTOS!$G$1:$L$32,6,0)</f>
        <v>SUBGERENCIA DE ALTOS LOGROS Y DEPORTE ASOCIADO</v>
      </c>
      <c r="D754" s="47" t="str">
        <f>+IF(PAA_4[[#This Row],[UNIDAD DE CONTRATACION (formulado)]]="Subgerencia Administrativa y Financiera","FUNCIONAMIENTO","INVERSIÓN")</f>
        <v>INVERSIÓN</v>
      </c>
      <c r="E754" s="48" t="str">
        <f>VLOOKUP(Q754,[2]PROYECTOS!$G$1:$K$32,5,0)</f>
        <v>APOYO_TÉCNICO_Y_PSICOSOCIAL_A_LOS_DEPORTISTAS_DE_ANTIOQUIA</v>
      </c>
      <c r="F754" s="48">
        <f>VLOOKUP(E754,[2]PROYECTOS!$K$1:$M$32,3,0)</f>
        <v>2021003050069</v>
      </c>
      <c r="G754" s="49" t="s">
        <v>239</v>
      </c>
      <c r="H754" s="49" t="str">
        <f>VLOOKUP(Q754,[2]PROYECTOS!$V$1:$W$32,2,0)</f>
        <v>050069</v>
      </c>
      <c r="I754" s="50">
        <v>29453616</v>
      </c>
      <c r="J754" s="51" t="s">
        <v>1713</v>
      </c>
      <c r="K754" s="47" t="str">
        <f t="shared" ca="1" si="256"/>
        <v>CONTRATADO</v>
      </c>
      <c r="L754" s="47" t="s">
        <v>94</v>
      </c>
      <c r="M754" s="47" t="s">
        <v>1297</v>
      </c>
      <c r="N754" s="52" t="s">
        <v>240</v>
      </c>
      <c r="O754" s="51" t="e">
        <f>VLOOKUP(N754,[2]!RUBROS[#All],3,0)</f>
        <v>#REF!</v>
      </c>
      <c r="P754" s="53" t="e">
        <f>VLOOKUP(N754,[2]!RUBROS[#All],2,0)</f>
        <v>#REF!</v>
      </c>
      <c r="Q754" s="47" t="str">
        <f t="shared" si="257"/>
        <v>22</v>
      </c>
      <c r="R754" s="47" t="str">
        <f t="shared" si="258"/>
        <v>0-205400</v>
      </c>
      <c r="S754" s="54">
        <v>6</v>
      </c>
      <c r="T754" s="59" t="s">
        <v>46</v>
      </c>
      <c r="U754" s="326" t="e">
        <f ca="1">_xlfn.XLOOKUP(PAA_4[[#This Row],[ITEM]],[2]Contrato!A:A,[2]Contrato!Q:Q,"",0)</f>
        <v>#NAME?</v>
      </c>
      <c r="V754" s="47" t="s">
        <v>47</v>
      </c>
      <c r="W754" s="47" t="s">
        <v>91</v>
      </c>
      <c r="X754" s="47" t="s">
        <v>96</v>
      </c>
      <c r="Y754" s="55" t="e">
        <f ca="1">_xlfn.XLOOKUP(PAA_4[[#This Row],[ITEM]],[2]Contrato!A:A,[2]Contrato!B:B,"",0)</f>
        <v>#NAME?</v>
      </c>
      <c r="Z754" s="47" t="e">
        <f ca="1">_xlfn.XLOOKUP(PAA_4[[#This Row],[ITEM]],[2]Contrato!A:A,[2]Contrato!G:G,"",0)</f>
        <v>#NAME?</v>
      </c>
      <c r="AA754" s="47" t="e">
        <f ca="1">_xlfn.XLOOKUP(PAA_4[[#This Row],[ITEM]],[2]Contrato!A:A,[2]Contrato!T:T,"",0)</f>
        <v>#NAME?</v>
      </c>
      <c r="AB754" s="55" t="e">
        <f ca="1">+MAX(PAA_4[[#This Row],[Comprometido Contrato]],PAA_4[[#This Row],[Comprometido Bolsa]])</f>
        <v>#NAME?</v>
      </c>
      <c r="AC754" s="55" t="str">
        <f t="shared" ca="1" si="259"/>
        <v/>
      </c>
      <c r="AD754" s="55" t="e">
        <f ca="1">IF(PAA_4[[#This Row],[ESTADO (formulado)]]="NO CONTRATADO",0,MAX(PAA_4[[#This Row],[Pago por Contrato]],PAA_4[[#This Row],[Pago por bolsa]]))</f>
        <v>#NAME?</v>
      </c>
      <c r="AE754" s="55" t="str">
        <f t="shared" ca="1" si="260"/>
        <v/>
      </c>
      <c r="AF754" s="47" t="e">
        <f t="shared" ca="1" si="262"/>
        <v>#NAME?</v>
      </c>
      <c r="AG754" s="47">
        <f t="shared" si="261"/>
        <v>41080101</v>
      </c>
      <c r="AH754" s="54" t="str">
        <f>IF(Q754="22",IF(ISNUMBER(SEARCH("econ",PAA_4[[#This Row],[Actividad3]])),"Económico",IF(ISNUMBER(SEARCH("alim",PAA_4[[#This Row],[Actividad3]])),"Alimentación",IF(ISNUMBER(SEARCH("educ",PAA_4[[#This Row],[Actividad3]])),"Educativo","Técnico"))),0)</f>
        <v>Técnico</v>
      </c>
      <c r="AI754" s="47" t="e" cm="1">
        <f t="array" aca="1" ref="AI754" ca="1">_xlfn.XLOOKUP(PAA_4[[#This Row],[RCP-RUBRO]],[2]!COMPROMISOS_2024[[#All],[concatenado]],[2]!COMPROMISOS_2024[[#All],[Total pagado]],"",0)</f>
        <v>#NAME?</v>
      </c>
      <c r="AJ754" s="56" t="e">
        <f ca="1">IF(PAA_4[[#This Row],[BOLSA]]=0,0,SUMIFS([2]!COMPROMISOS_2024[[#All],[Total pagado]],[2]!COMPROMISOS_2024[[#All],[Bolsa]],PAA_4[[#This Row],[BOLSA]],[2]!COMPROMISOS_2024[[#All],[rubro]],PAA_4[[#This Row],[RCP-RUBRO]]))</f>
        <v>#REF!</v>
      </c>
      <c r="AK754" s="47" t="e" cm="1">
        <f t="array" aca="1" ref="AK754" ca="1">_xlfn.XLOOKUP(PAA_4[[#This Row],[RCP-RUBRO]],[2]!COMPROMISOS_2024[[#All],[concatenado]],[2]!COMPROMISOS_2024[[#All],[Total Comprometido]],"",0)</f>
        <v>#NAME?</v>
      </c>
      <c r="AL754" s="47" t="e">
        <f ca="1">IF(PAA_4[[#This Row],[BOLSA]]=0,0,SUMIFS([2]!COMPROMISOS_2024[[#All],[Total Comprometido]],[2]!COMPROMISOS_2024[[#All],[Bolsa]],PAA_4[[#This Row],[BOLSA]],[2]!COMPROMISOS_2024[[#All],[concatenado]],PAA_4[[#This Row],[RCP-RUBRO]]))</f>
        <v>#REF!</v>
      </c>
    </row>
    <row r="755" spans="1:38" s="19" customFormat="1" ht="31.5" customHeight="1">
      <c r="A755" s="47">
        <v>569</v>
      </c>
      <c r="B755" s="47">
        <v>80111600</v>
      </c>
      <c r="C755" s="47" t="str">
        <f>VLOOKUP(PAA_4[[#This Row],[PROYECTO (formulado)2]],[2]PROYECTOS!$G$1:$L$32,6,0)</f>
        <v>SUBGERENCIA DE ALTOS LOGROS Y DEPORTE ASOCIADO</v>
      </c>
      <c r="D755" s="47" t="str">
        <f>+IF(PAA_4[[#This Row],[UNIDAD DE CONTRATACION (formulado)]]="Subgerencia Administrativa y Financiera","FUNCIONAMIENTO","INVERSIÓN")</f>
        <v>INVERSIÓN</v>
      </c>
      <c r="E755" s="48" t="str">
        <f>VLOOKUP(Q755,[2]PROYECTOS!$G$1:$K$32,5,0)</f>
        <v>APOYO_TÉCNICO_Y_PSICOSOCIAL_A_LOS_DEPORTISTAS_DE_ANTIOQUIA</v>
      </c>
      <c r="F755" s="48">
        <f>VLOOKUP(E755,[2]PROYECTOS!$K$1:$M$32,3,0)</f>
        <v>2021003050069</v>
      </c>
      <c r="G755" s="49" t="s">
        <v>239</v>
      </c>
      <c r="H755" s="49" t="str">
        <f>VLOOKUP(Q755,[2]PROYECTOS!$V$1:$W$32,2,0)</f>
        <v>050069</v>
      </c>
      <c r="I755" s="50">
        <f>29453616-2</f>
        <v>29453614</v>
      </c>
      <c r="J755" s="51" t="s">
        <v>1714</v>
      </c>
      <c r="K755" s="47" t="str">
        <f t="shared" ca="1" si="256"/>
        <v>CONTRATADO</v>
      </c>
      <c r="L755" s="47" t="s">
        <v>94</v>
      </c>
      <c r="M755" s="47" t="s">
        <v>1297</v>
      </c>
      <c r="N755" s="52" t="s">
        <v>240</v>
      </c>
      <c r="O755" s="51" t="e">
        <f>VLOOKUP(N755,[2]!RUBROS[#All],3,0)</f>
        <v>#REF!</v>
      </c>
      <c r="P755" s="53" t="e">
        <f>VLOOKUP(N755,[2]!RUBROS[#All],2,0)</f>
        <v>#REF!</v>
      </c>
      <c r="Q755" s="47" t="str">
        <f t="shared" si="257"/>
        <v>22</v>
      </c>
      <c r="R755" s="47" t="str">
        <f t="shared" si="258"/>
        <v>0-205400</v>
      </c>
      <c r="S755" s="54">
        <v>6</v>
      </c>
      <c r="T755" s="59" t="s">
        <v>46</v>
      </c>
      <c r="U755" s="326" t="e">
        <f ca="1">_xlfn.XLOOKUP(PAA_4[[#This Row],[ITEM]],[2]Contrato!A:A,[2]Contrato!Q:Q,"",0)</f>
        <v>#NAME?</v>
      </c>
      <c r="V755" s="47" t="s">
        <v>47</v>
      </c>
      <c r="W755" s="47" t="s">
        <v>91</v>
      </c>
      <c r="X755" s="47" t="s">
        <v>96</v>
      </c>
      <c r="Y755" s="55" t="e">
        <f ca="1">_xlfn.XLOOKUP(PAA_4[[#This Row],[ITEM]],[2]Contrato!A:A,[2]Contrato!B:B,"",0)</f>
        <v>#NAME?</v>
      </c>
      <c r="Z755" s="47" t="e">
        <f ca="1">_xlfn.XLOOKUP(PAA_4[[#This Row],[ITEM]],[2]Contrato!A:A,[2]Contrato!G:G,"",0)</f>
        <v>#NAME?</v>
      </c>
      <c r="AA755" s="47" t="e">
        <f ca="1">_xlfn.XLOOKUP(PAA_4[[#This Row],[ITEM]],[2]Contrato!A:A,[2]Contrato!T:T,"",0)</f>
        <v>#NAME?</v>
      </c>
      <c r="AB755" s="55" t="e">
        <f ca="1">+MAX(PAA_4[[#This Row],[Comprometido Contrato]],PAA_4[[#This Row],[Comprometido Bolsa]])</f>
        <v>#NAME?</v>
      </c>
      <c r="AC755" s="55" t="str">
        <f t="shared" ca="1" si="259"/>
        <v/>
      </c>
      <c r="AD755" s="55" t="e">
        <f ca="1">IF(PAA_4[[#This Row],[ESTADO (formulado)]]="NO CONTRATADO",0,MAX(PAA_4[[#This Row],[Pago por Contrato]],PAA_4[[#This Row],[Pago por bolsa]]))</f>
        <v>#NAME?</v>
      </c>
      <c r="AE755" s="55" t="str">
        <f t="shared" ca="1" si="260"/>
        <v/>
      </c>
      <c r="AF755" s="47" t="e">
        <f t="shared" ca="1" si="262"/>
        <v>#NAME?</v>
      </c>
      <c r="AG755" s="47">
        <f t="shared" si="261"/>
        <v>41080101</v>
      </c>
      <c r="AH755" s="54" t="str">
        <f>IF(Q755="22",IF(ISNUMBER(SEARCH("econ",PAA_4[[#This Row],[Actividad3]])),"Económico",IF(ISNUMBER(SEARCH("alim",PAA_4[[#This Row],[Actividad3]])),"Alimentación",IF(ISNUMBER(SEARCH("educ",PAA_4[[#This Row],[Actividad3]])),"Educativo","Técnico"))),0)</f>
        <v>Técnico</v>
      </c>
      <c r="AI755" s="47" t="e" cm="1">
        <f t="array" aca="1" ref="AI755" ca="1">_xlfn.XLOOKUP(PAA_4[[#This Row],[RCP-RUBRO]],[2]!COMPROMISOS_2024[[#All],[concatenado]],[2]!COMPROMISOS_2024[[#All],[Total pagado]],"",0)</f>
        <v>#NAME?</v>
      </c>
      <c r="AJ755" s="56" t="e">
        <f ca="1">IF(PAA_4[[#This Row],[BOLSA]]=0,0,SUMIFS([2]!COMPROMISOS_2024[[#All],[Total pagado]],[2]!COMPROMISOS_2024[[#All],[Bolsa]],PAA_4[[#This Row],[BOLSA]],[2]!COMPROMISOS_2024[[#All],[rubro]],PAA_4[[#This Row],[RCP-RUBRO]]))</f>
        <v>#REF!</v>
      </c>
      <c r="AK755" s="47" t="e" cm="1">
        <f t="array" aca="1" ref="AK755" ca="1">_xlfn.XLOOKUP(PAA_4[[#This Row],[RCP-RUBRO]],[2]!COMPROMISOS_2024[[#All],[concatenado]],[2]!COMPROMISOS_2024[[#All],[Total Comprometido]],"",0)</f>
        <v>#NAME?</v>
      </c>
      <c r="AL755" s="47" t="e">
        <f ca="1">IF(PAA_4[[#This Row],[BOLSA]]=0,0,SUMIFS([2]!COMPROMISOS_2024[[#All],[Total Comprometido]],[2]!COMPROMISOS_2024[[#All],[Bolsa]],PAA_4[[#This Row],[BOLSA]],[2]!COMPROMISOS_2024[[#All],[concatenado]],PAA_4[[#This Row],[RCP-RUBRO]]))</f>
        <v>#REF!</v>
      </c>
    </row>
    <row r="756" spans="1:38" s="19" customFormat="1" ht="31.5" customHeight="1">
      <c r="A756" s="47">
        <v>570</v>
      </c>
      <c r="B756" s="47">
        <v>80111600</v>
      </c>
      <c r="C756" s="47" t="str">
        <f>VLOOKUP(PAA_4[[#This Row],[PROYECTO (formulado)2]],[2]PROYECTOS!$G$1:$L$32,6,0)</f>
        <v>SUBGERENCIA DE ALTOS LOGROS Y DEPORTE ASOCIADO</v>
      </c>
      <c r="D756" s="47" t="str">
        <f>+IF(PAA_4[[#This Row],[UNIDAD DE CONTRATACION (formulado)]]="Subgerencia Administrativa y Financiera","FUNCIONAMIENTO","INVERSIÓN")</f>
        <v>INVERSIÓN</v>
      </c>
      <c r="E756" s="48" t="str">
        <f>VLOOKUP(Q756,[2]PROYECTOS!$G$1:$K$32,5,0)</f>
        <v>APOYO_TÉCNICO_Y_PSICOSOCIAL_A_LOS_DEPORTISTAS_DE_ANTIOQUIA</v>
      </c>
      <c r="F756" s="48">
        <f>VLOOKUP(E756,[2]PROYECTOS!$K$1:$M$32,3,0)</f>
        <v>2021003050069</v>
      </c>
      <c r="G756" s="49" t="s">
        <v>239</v>
      </c>
      <c r="H756" s="49" t="str">
        <f>VLOOKUP(Q756,[2]PROYECTOS!$V$1:$W$32,2,0)</f>
        <v>050069</v>
      </c>
      <c r="I756" s="50">
        <v>29453616</v>
      </c>
      <c r="J756" s="51" t="s">
        <v>1715</v>
      </c>
      <c r="K756" s="47" t="str">
        <f t="shared" ca="1" si="256"/>
        <v>CONTRATADO</v>
      </c>
      <c r="L756" s="47" t="s">
        <v>94</v>
      </c>
      <c r="M756" s="47" t="s">
        <v>1297</v>
      </c>
      <c r="N756" s="52" t="s">
        <v>240</v>
      </c>
      <c r="O756" s="51" t="e">
        <f>VLOOKUP(N756,[2]!RUBROS[#All],3,0)</f>
        <v>#REF!</v>
      </c>
      <c r="P756" s="53" t="e">
        <f>VLOOKUP(N756,[2]!RUBROS[#All],2,0)</f>
        <v>#REF!</v>
      </c>
      <c r="Q756" s="47" t="str">
        <f t="shared" si="257"/>
        <v>22</v>
      </c>
      <c r="R756" s="47" t="str">
        <f t="shared" si="258"/>
        <v>0-205400</v>
      </c>
      <c r="S756" s="54">
        <v>6</v>
      </c>
      <c r="T756" s="59" t="s">
        <v>46</v>
      </c>
      <c r="U756" s="326" t="e">
        <f ca="1">_xlfn.XLOOKUP(PAA_4[[#This Row],[ITEM]],[2]Contrato!A:A,[2]Contrato!Q:Q,"",0)</f>
        <v>#NAME?</v>
      </c>
      <c r="V756" s="47" t="s">
        <v>47</v>
      </c>
      <c r="W756" s="47" t="s">
        <v>91</v>
      </c>
      <c r="X756" s="47" t="s">
        <v>96</v>
      </c>
      <c r="Y756" s="55" t="e">
        <f ca="1">_xlfn.XLOOKUP(PAA_4[[#This Row],[ITEM]],[2]Contrato!A:A,[2]Contrato!B:B,"",0)</f>
        <v>#NAME?</v>
      </c>
      <c r="Z756" s="47" t="e">
        <f ca="1">_xlfn.XLOOKUP(PAA_4[[#This Row],[ITEM]],[2]Contrato!A:A,[2]Contrato!G:G,"",0)</f>
        <v>#NAME?</v>
      </c>
      <c r="AA756" s="47" t="e">
        <f ca="1">_xlfn.XLOOKUP(PAA_4[[#This Row],[ITEM]],[2]Contrato!A:A,[2]Contrato!T:T,"",0)</f>
        <v>#NAME?</v>
      </c>
      <c r="AB756" s="55" t="e">
        <f ca="1">+MAX(PAA_4[[#This Row],[Comprometido Contrato]],PAA_4[[#This Row],[Comprometido Bolsa]])</f>
        <v>#NAME?</v>
      </c>
      <c r="AC756" s="55" t="str">
        <f t="shared" ca="1" si="259"/>
        <v/>
      </c>
      <c r="AD756" s="55" t="e">
        <f ca="1">IF(PAA_4[[#This Row],[ESTADO (formulado)]]="NO CONTRATADO",0,MAX(PAA_4[[#This Row],[Pago por Contrato]],PAA_4[[#This Row],[Pago por bolsa]]))</f>
        <v>#NAME?</v>
      </c>
      <c r="AE756" s="55" t="str">
        <f t="shared" ca="1" si="260"/>
        <v/>
      </c>
      <c r="AF756" s="47" t="e">
        <f t="shared" ca="1" si="262"/>
        <v>#NAME?</v>
      </c>
      <c r="AG756" s="47">
        <f t="shared" si="261"/>
        <v>41080101</v>
      </c>
      <c r="AH756" s="54" t="str">
        <f>IF(Q756="22",IF(ISNUMBER(SEARCH("econ",PAA_4[[#This Row],[Actividad3]])),"Económico",IF(ISNUMBER(SEARCH("alim",PAA_4[[#This Row],[Actividad3]])),"Alimentación",IF(ISNUMBER(SEARCH("educ",PAA_4[[#This Row],[Actividad3]])),"Educativo","Técnico"))),0)</f>
        <v>Técnico</v>
      </c>
      <c r="AI756" s="47" t="e" cm="1">
        <f t="array" aca="1" ref="AI756" ca="1">_xlfn.XLOOKUP(PAA_4[[#This Row],[RCP-RUBRO]],[2]!COMPROMISOS_2024[[#All],[concatenado]],[2]!COMPROMISOS_2024[[#All],[Total pagado]],"",0)</f>
        <v>#NAME?</v>
      </c>
      <c r="AJ756" s="56" t="e">
        <f ca="1">IF(PAA_4[[#This Row],[BOLSA]]=0,0,SUMIFS([2]!COMPROMISOS_2024[[#All],[Total pagado]],[2]!COMPROMISOS_2024[[#All],[Bolsa]],PAA_4[[#This Row],[BOLSA]],[2]!COMPROMISOS_2024[[#All],[rubro]],PAA_4[[#This Row],[RCP-RUBRO]]))</f>
        <v>#REF!</v>
      </c>
      <c r="AK756" s="47" t="e" cm="1">
        <f t="array" aca="1" ref="AK756" ca="1">_xlfn.XLOOKUP(PAA_4[[#This Row],[RCP-RUBRO]],[2]!COMPROMISOS_2024[[#All],[concatenado]],[2]!COMPROMISOS_2024[[#All],[Total Comprometido]],"",0)</f>
        <v>#NAME?</v>
      </c>
      <c r="AL756" s="47" t="e">
        <f ca="1">IF(PAA_4[[#This Row],[BOLSA]]=0,0,SUMIFS([2]!COMPROMISOS_2024[[#All],[Total Comprometido]],[2]!COMPROMISOS_2024[[#All],[Bolsa]],PAA_4[[#This Row],[BOLSA]],[2]!COMPROMISOS_2024[[#All],[concatenado]],PAA_4[[#This Row],[RCP-RUBRO]]))</f>
        <v>#REF!</v>
      </c>
    </row>
    <row r="757" spans="1:38" s="19" customFormat="1" ht="31.5" customHeight="1">
      <c r="A757" s="47">
        <v>571</v>
      </c>
      <c r="B757" s="47">
        <v>80111600</v>
      </c>
      <c r="C757" s="47" t="str">
        <f>VLOOKUP(PAA_4[[#This Row],[PROYECTO (formulado)2]],[2]PROYECTOS!$G$1:$L$32,6,0)</f>
        <v>SUBGERENCIA DE ALTOS LOGROS Y DEPORTE ASOCIADO</v>
      </c>
      <c r="D757" s="47" t="str">
        <f>+IF(PAA_4[[#This Row],[UNIDAD DE CONTRATACION (formulado)]]="Subgerencia Administrativa y Financiera","FUNCIONAMIENTO","INVERSIÓN")</f>
        <v>INVERSIÓN</v>
      </c>
      <c r="E757" s="48" t="str">
        <f>VLOOKUP(Q757,[2]PROYECTOS!$G$1:$K$32,5,0)</f>
        <v>APOYO_TÉCNICO_Y_PSICOSOCIAL_A_LOS_DEPORTISTAS_DE_ANTIOQUIA</v>
      </c>
      <c r="F757" s="48">
        <f>VLOOKUP(E757,[2]PROYECTOS!$K$1:$M$32,3,0)</f>
        <v>2021003050069</v>
      </c>
      <c r="G757" s="49" t="s">
        <v>239</v>
      </c>
      <c r="H757" s="49" t="str">
        <f>VLOOKUP(Q757,[2]PROYECTOS!$V$1:$W$32,2,0)</f>
        <v>050069</v>
      </c>
      <c r="I757" s="50">
        <f>9015992-1</f>
        <v>9015991</v>
      </c>
      <c r="J757" s="51" t="s">
        <v>1716</v>
      </c>
      <c r="K757" s="47" t="str">
        <f t="shared" ca="1" si="256"/>
        <v>CONTRATADO</v>
      </c>
      <c r="L757" s="47" t="s">
        <v>94</v>
      </c>
      <c r="M757" s="47" t="s">
        <v>1297</v>
      </c>
      <c r="N757" s="72" t="s">
        <v>240</v>
      </c>
      <c r="O757" s="51" t="e">
        <f>VLOOKUP(N757,[2]!RUBROS[#All],3,0)</f>
        <v>#REF!</v>
      </c>
      <c r="P757" s="53" t="e">
        <f>VLOOKUP(N757,[2]!RUBROS[#All],2,0)</f>
        <v>#REF!</v>
      </c>
      <c r="Q757" s="47" t="str">
        <f t="shared" si="257"/>
        <v>22</v>
      </c>
      <c r="R757" s="47" t="str">
        <f t="shared" si="258"/>
        <v>0-205400</v>
      </c>
      <c r="S757" s="54">
        <v>6</v>
      </c>
      <c r="T757" s="59" t="s">
        <v>46</v>
      </c>
      <c r="U757" s="326" t="e">
        <f ca="1">_xlfn.XLOOKUP(PAA_4[[#This Row],[ITEM]],[2]Contrato!A:A,[2]Contrato!Q:Q,"",0)</f>
        <v>#NAME?</v>
      </c>
      <c r="V757" s="47" t="s">
        <v>47</v>
      </c>
      <c r="W757" s="47" t="s">
        <v>91</v>
      </c>
      <c r="X757" s="47" t="s">
        <v>91</v>
      </c>
      <c r="Y757" s="55" t="e">
        <f ca="1">_xlfn.XLOOKUP(PAA_4[[#This Row],[ITEM]],[2]Contrato!A:A,[2]Contrato!B:B,"",0)</f>
        <v>#NAME?</v>
      </c>
      <c r="Z757" s="47" t="e">
        <f ca="1">_xlfn.XLOOKUP(PAA_4[[#This Row],[ITEM]],[2]Contrato!A:A,[2]Contrato!G:G,"",0)</f>
        <v>#NAME?</v>
      </c>
      <c r="AA757" s="47" t="e">
        <f ca="1">_xlfn.XLOOKUP(PAA_4[[#This Row],[ITEM]],[2]Contrato!A:A,[2]Contrato!T:T,"",0)</f>
        <v>#NAME?</v>
      </c>
      <c r="AB757" s="55" t="e">
        <f ca="1">+MAX(PAA_4[[#This Row],[Comprometido Contrato]],PAA_4[[#This Row],[Comprometido Bolsa]])</f>
        <v>#NAME?</v>
      </c>
      <c r="AC757" s="55" t="str">
        <f t="shared" ca="1" si="259"/>
        <v/>
      </c>
      <c r="AD757" s="55" t="e">
        <f ca="1">IF(PAA_4[[#This Row],[ESTADO (formulado)]]="NO CONTRATADO",0,MAX(PAA_4[[#This Row],[Pago por Contrato]],PAA_4[[#This Row],[Pago por bolsa]]))</f>
        <v>#NAME?</v>
      </c>
      <c r="AE757" s="55" t="str">
        <f t="shared" ca="1" si="260"/>
        <v/>
      </c>
      <c r="AF757" s="47" t="e">
        <f t="shared" ca="1" si="262"/>
        <v>#NAME?</v>
      </c>
      <c r="AG757" s="47">
        <f t="shared" si="261"/>
        <v>41080101</v>
      </c>
      <c r="AH757" s="54" t="str">
        <f>IF(Q757="22",IF(ISNUMBER(SEARCH("econ",PAA_4[[#This Row],[Actividad3]])),"Económico",IF(ISNUMBER(SEARCH("alim",PAA_4[[#This Row],[Actividad3]])),"Alimentación",IF(ISNUMBER(SEARCH("educ",PAA_4[[#This Row],[Actividad3]])),"Educativo","Técnico"))),0)</f>
        <v>Técnico</v>
      </c>
      <c r="AI757" s="47" t="e" cm="1">
        <f t="array" aca="1" ref="AI757" ca="1">_xlfn.XLOOKUP(PAA_4[[#This Row],[RCP-RUBRO]],[2]!COMPROMISOS_2024[[#All],[concatenado]],[2]!COMPROMISOS_2024[[#All],[Total pagado]],"",0)</f>
        <v>#NAME?</v>
      </c>
      <c r="AJ757" s="56" t="e">
        <f ca="1">IF(PAA_4[[#This Row],[BOLSA]]=0,0,SUMIFS([2]!COMPROMISOS_2024[[#All],[Total pagado]],[2]!COMPROMISOS_2024[[#All],[Bolsa]],PAA_4[[#This Row],[BOLSA]],[2]!COMPROMISOS_2024[[#All],[rubro]],PAA_4[[#This Row],[RCP-RUBRO]]))</f>
        <v>#REF!</v>
      </c>
      <c r="AK757" s="47" t="e" cm="1">
        <f t="array" aca="1" ref="AK757" ca="1">_xlfn.XLOOKUP(PAA_4[[#This Row],[RCP-RUBRO]],[2]!COMPROMISOS_2024[[#All],[concatenado]],[2]!COMPROMISOS_2024[[#All],[Total Comprometido]],"",0)</f>
        <v>#NAME?</v>
      </c>
      <c r="AL757" s="47" t="e">
        <f ca="1">IF(PAA_4[[#This Row],[BOLSA]]=0,0,SUMIFS([2]!COMPROMISOS_2024[[#All],[Total Comprometido]],[2]!COMPROMISOS_2024[[#All],[Bolsa]],PAA_4[[#This Row],[BOLSA]],[2]!COMPROMISOS_2024[[#All],[concatenado]],PAA_4[[#This Row],[RCP-RUBRO]]))</f>
        <v>#REF!</v>
      </c>
    </row>
    <row r="758" spans="1:38" s="19" customFormat="1" ht="31.5" customHeight="1">
      <c r="A758" s="47">
        <v>643</v>
      </c>
      <c r="B758" s="47">
        <v>80111600</v>
      </c>
      <c r="C758" s="47" t="str">
        <f>VLOOKUP(PAA_4[[#This Row],[PROYECTO (formulado)2]],[2]PROYECTOS!$G$1:$L$32,6,0)</f>
        <v>SUBGERENCIA DE ALTOS LOGROS Y DEPORTE ASOCIADO</v>
      </c>
      <c r="D758" s="47" t="str">
        <f>+IF(PAA_4[[#This Row],[UNIDAD DE CONTRATACION (formulado)]]="Subgerencia Administrativa y Financiera","FUNCIONAMIENTO","INVERSIÓN")</f>
        <v>INVERSIÓN</v>
      </c>
      <c r="E758" s="48" t="str">
        <f>VLOOKUP(Q758,[2]PROYECTOS!$G$1:$K$32,5,0)</f>
        <v>DESARROLLO_DEL_POTENCIAL_DEPORTIVO_EN_EL_DEPARTAMENTO_DE_ANTIOQUIA</v>
      </c>
      <c r="F758" s="48">
        <f>VLOOKUP(E758,[2]PROYECTOS!$K$1:$M$32,3,0)</f>
        <v>2020003050022</v>
      </c>
      <c r="G758" s="49" t="s">
        <v>273</v>
      </c>
      <c r="H758" s="49" t="str">
        <f>VLOOKUP(Q758,[2]PROYECTOS!$V$1:$W$32,2,0)</f>
        <v>050065</v>
      </c>
      <c r="I758" s="50">
        <v>38633539</v>
      </c>
      <c r="J758" s="51" t="s">
        <v>1717</v>
      </c>
      <c r="K758" s="47" t="str">
        <f t="shared" ca="1" si="256"/>
        <v>CONTRATADO</v>
      </c>
      <c r="L758" s="47" t="s">
        <v>94</v>
      </c>
      <c r="M758" s="47" t="s">
        <v>1297</v>
      </c>
      <c r="N758" s="72" t="s">
        <v>246</v>
      </c>
      <c r="O758" s="51" t="e">
        <f>VLOOKUP(N758,[2]!RUBROS[#All],3,0)</f>
        <v>#REF!</v>
      </c>
      <c r="P758" s="53" t="e">
        <f>VLOOKUP(N758,[2]!RUBROS[#All],2,0)</f>
        <v>#REF!</v>
      </c>
      <c r="Q758" s="47" t="str">
        <f t="shared" si="257"/>
        <v>21</v>
      </c>
      <c r="R758" s="47" t="str">
        <f t="shared" si="258"/>
        <v>0-205400</v>
      </c>
      <c r="S758" s="54" t="s">
        <v>251</v>
      </c>
      <c r="T758" s="59" t="s">
        <v>46</v>
      </c>
      <c r="U758" s="326" t="e">
        <f ca="1">_xlfn.XLOOKUP(PAA_4[[#This Row],[ITEM]],[2]Contrato!A:A,[2]Contrato!Q:Q,"",0)</f>
        <v>#NAME?</v>
      </c>
      <c r="V758" s="47" t="s">
        <v>47</v>
      </c>
      <c r="W758" s="47" t="s">
        <v>122</v>
      </c>
      <c r="X758" s="47" t="s">
        <v>122</v>
      </c>
      <c r="Y758" s="55" t="e">
        <f ca="1">_xlfn.XLOOKUP(PAA_4[[#This Row],[ITEM]],[2]Contrato!A:A,[2]Contrato!B:B,"",0)</f>
        <v>#NAME?</v>
      </c>
      <c r="Z758" s="47" t="e">
        <f ca="1">_xlfn.XLOOKUP(PAA_4[[#This Row],[ITEM]],[2]Contrato!A:A,[2]Contrato!G:G,"",0)</f>
        <v>#NAME?</v>
      </c>
      <c r="AA758" s="47" t="e">
        <f ca="1">_xlfn.XLOOKUP(PAA_4[[#This Row],[ITEM]],[2]Contrato!A:A,[2]Contrato!T:T,"",0)</f>
        <v>#NAME?</v>
      </c>
      <c r="AB758" s="55" t="e">
        <f ca="1">+MAX(PAA_4[[#This Row],[Comprometido Contrato]],PAA_4[[#This Row],[Comprometido Bolsa]])</f>
        <v>#NAME?</v>
      </c>
      <c r="AC758" s="55" t="str">
        <f t="shared" ca="1" si="259"/>
        <v/>
      </c>
      <c r="AD758" s="55" t="e">
        <f ca="1">IF(PAA_4[[#This Row],[ESTADO (formulado)]]="NO CONTRATADO",0,MAX(PAA_4[[#This Row],[Pago por Contrato]],PAA_4[[#This Row],[Pago por bolsa]]))</f>
        <v>#NAME?</v>
      </c>
      <c r="AE758" s="55" t="str">
        <f t="shared" ca="1" si="260"/>
        <v/>
      </c>
      <c r="AF758" s="47" t="e">
        <f t="shared" ca="1" si="262"/>
        <v>#NAME?</v>
      </c>
      <c r="AG758" s="47">
        <f t="shared" si="261"/>
        <v>41080112</v>
      </c>
      <c r="AH758" s="54">
        <f>IF(Q758="22",IF(ISNUMBER(SEARCH("econ",PAA_4[[#This Row],[Actividad3]])),"Económico",IF(ISNUMBER(SEARCH("alim",PAA_4[[#This Row],[Actividad3]])),"Alimentación",IF(ISNUMBER(SEARCH("educ",PAA_4[[#This Row],[Actividad3]])),"Educativo","Técnico"))),0)</f>
        <v>0</v>
      </c>
      <c r="AI758" s="47" t="e" cm="1">
        <f t="array" aca="1" ref="AI758" ca="1">_xlfn.XLOOKUP(PAA_4[[#This Row],[RCP-RUBRO]],[2]!COMPROMISOS_2024[[#All],[concatenado]],[2]!COMPROMISOS_2024[[#All],[Total pagado]],"",0)</f>
        <v>#NAME?</v>
      </c>
      <c r="AJ758" s="56">
        <f>IF(PAA_4[[#This Row],[BOLSA]]=0,0,SUMIFS([2]!COMPROMISOS_2024[[#All],[Total pagado]],[2]!COMPROMISOS_2024[[#All],[Bolsa]],PAA_4[[#This Row],[BOLSA]],[2]!COMPROMISOS_2024[[#All],[rubro]],PAA_4[[#This Row],[RCP-RUBRO]]))</f>
        <v>0</v>
      </c>
      <c r="AK758" s="47" t="e" cm="1">
        <f t="array" aca="1" ref="AK758" ca="1">_xlfn.XLOOKUP(PAA_4[[#This Row],[RCP-RUBRO]],[2]!COMPROMISOS_2024[[#All],[concatenado]],[2]!COMPROMISOS_2024[[#All],[Total Comprometido]],"",0)</f>
        <v>#NAME?</v>
      </c>
      <c r="AL758" s="47">
        <f>IF(PAA_4[[#This Row],[BOLSA]]=0,0,SUMIFS([2]!COMPROMISOS_2024[[#All],[Total Comprometido]],[2]!COMPROMISOS_2024[[#All],[Bolsa]],PAA_4[[#This Row],[BOLSA]],[2]!COMPROMISOS_2024[[#All],[concatenado]],PAA_4[[#This Row],[RCP-RUBRO]]))</f>
        <v>0</v>
      </c>
    </row>
    <row r="759" spans="1:38" s="19" customFormat="1" ht="31.5" customHeight="1">
      <c r="A759" s="47">
        <v>643</v>
      </c>
      <c r="B759" s="47">
        <v>80111600</v>
      </c>
      <c r="C759" s="47" t="str">
        <f>VLOOKUP(PAA_4[[#This Row],[PROYECTO (formulado)2]],[2]PROYECTOS!$G$1:$L$32,6,0)</f>
        <v>SUBGERENCIA DE ALTOS LOGROS Y DEPORTE ASOCIADO</v>
      </c>
      <c r="D759" s="47" t="str">
        <f>+IF(PAA_4[[#This Row],[UNIDAD DE CONTRATACION (formulado)]]="Subgerencia Administrativa y Financiera","FUNCIONAMIENTO","INVERSIÓN")</f>
        <v>INVERSIÓN</v>
      </c>
      <c r="E759" s="48" t="str">
        <f>VLOOKUP(Q759,[2]PROYECTOS!$G$1:$K$32,5,0)</f>
        <v>FORTALECIMIENTO_DEL_PROGRAMA_DE_ALTOS_LOGROS_Y_LIDERAZGO_DEPORTIVO_EN_EL_DEPARTAMENTO_DE_ANTIOQUIA</v>
      </c>
      <c r="F759" s="48">
        <f>VLOOKUP(E759,[2]PROYECTOS!$K$1:$M$32,3,0)</f>
        <v>2020003050021</v>
      </c>
      <c r="G759" s="49" t="s">
        <v>235</v>
      </c>
      <c r="H759" s="49" t="str">
        <f>VLOOKUP(Q759,[2]PROYECTOS!$V$1:$W$32,2,0)</f>
        <v>050061</v>
      </c>
      <c r="I759" s="50">
        <v>38633539</v>
      </c>
      <c r="J759" s="51" t="s">
        <v>1717</v>
      </c>
      <c r="K759" s="47" t="str">
        <f t="shared" ca="1" si="256"/>
        <v>CONTRATADO</v>
      </c>
      <c r="L759" s="47" t="s">
        <v>94</v>
      </c>
      <c r="M759" s="47" t="s">
        <v>1297</v>
      </c>
      <c r="N759" s="72" t="s">
        <v>245</v>
      </c>
      <c r="O759" s="51" t="e">
        <f>VLOOKUP(N759,[2]!RUBROS[#All],3,0)</f>
        <v>#REF!</v>
      </c>
      <c r="P759" s="53" t="e">
        <f>VLOOKUP(N759,[2]!RUBROS[#All],2,0)</f>
        <v>#REF!</v>
      </c>
      <c r="Q759" s="47" t="str">
        <f t="shared" si="257"/>
        <v>20</v>
      </c>
      <c r="R759" s="47" t="str">
        <f t="shared" si="258"/>
        <v>0-205400</v>
      </c>
      <c r="S759" s="54" t="s">
        <v>251</v>
      </c>
      <c r="T759" s="59" t="s">
        <v>46</v>
      </c>
      <c r="U759" s="326" t="e">
        <f ca="1">_xlfn.XLOOKUP(PAA_4[[#This Row],[ITEM]],[2]Contrato!A:A,[2]Contrato!Q:Q,"",0)</f>
        <v>#NAME?</v>
      </c>
      <c r="V759" s="47" t="s">
        <v>47</v>
      </c>
      <c r="W759" s="47" t="s">
        <v>122</v>
      </c>
      <c r="X759" s="47" t="s">
        <v>122</v>
      </c>
      <c r="Y759" s="55" t="e">
        <f ca="1">_xlfn.XLOOKUP(PAA_4[[#This Row],[ITEM]],[2]Contrato!A:A,[2]Contrato!B:B,"",0)</f>
        <v>#NAME?</v>
      </c>
      <c r="Z759" s="47" t="e">
        <f ca="1">_xlfn.XLOOKUP(PAA_4[[#This Row],[ITEM]],[2]Contrato!A:A,[2]Contrato!G:G,"",0)</f>
        <v>#NAME?</v>
      </c>
      <c r="AA759" s="47" t="e">
        <f ca="1">_xlfn.XLOOKUP(PAA_4[[#This Row],[ITEM]],[2]Contrato!A:A,[2]Contrato!T:T,"",0)</f>
        <v>#NAME?</v>
      </c>
      <c r="AB759" s="55" t="e">
        <f ca="1">+MAX(PAA_4[[#This Row],[Comprometido Contrato]],PAA_4[[#This Row],[Comprometido Bolsa]])</f>
        <v>#NAME?</v>
      </c>
      <c r="AC759" s="55" t="str">
        <f t="shared" ca="1" si="259"/>
        <v/>
      </c>
      <c r="AD759" s="55" t="e">
        <f ca="1">IF(PAA_4[[#This Row],[ESTADO (formulado)]]="NO CONTRATADO",0,MAX(PAA_4[[#This Row],[Pago por Contrato]],PAA_4[[#This Row],[Pago por bolsa]]))</f>
        <v>#NAME?</v>
      </c>
      <c r="AE759" s="55" t="str">
        <f t="shared" ca="1" si="260"/>
        <v/>
      </c>
      <c r="AF759" s="47" t="e">
        <f t="shared" ca="1" si="262"/>
        <v>#NAME?</v>
      </c>
      <c r="AG759" s="47">
        <f t="shared" si="261"/>
        <v>41080111</v>
      </c>
      <c r="AH759" s="54">
        <f>IF(Q759="22",IF(ISNUMBER(SEARCH("econ",PAA_4[[#This Row],[Actividad3]])),"Económico",IF(ISNUMBER(SEARCH("alim",PAA_4[[#This Row],[Actividad3]])),"Alimentación",IF(ISNUMBER(SEARCH("educ",PAA_4[[#This Row],[Actividad3]])),"Educativo","Técnico"))),0)</f>
        <v>0</v>
      </c>
      <c r="AI759" s="47" t="e" cm="1">
        <f t="array" aca="1" ref="AI759" ca="1">_xlfn.XLOOKUP(PAA_4[[#This Row],[RCP-RUBRO]],[2]!COMPROMISOS_2024[[#All],[concatenado]],[2]!COMPROMISOS_2024[[#All],[Total pagado]],"",0)</f>
        <v>#NAME?</v>
      </c>
      <c r="AJ759" s="56">
        <f>IF(PAA_4[[#This Row],[BOLSA]]=0,0,SUMIFS([2]!COMPROMISOS_2024[[#All],[Total pagado]],[2]!COMPROMISOS_2024[[#All],[Bolsa]],PAA_4[[#This Row],[BOLSA]],[2]!COMPROMISOS_2024[[#All],[rubro]],PAA_4[[#This Row],[RCP-RUBRO]]))</f>
        <v>0</v>
      </c>
      <c r="AK759" s="47" t="e" cm="1">
        <f t="array" aca="1" ref="AK759" ca="1">_xlfn.XLOOKUP(PAA_4[[#This Row],[RCP-RUBRO]],[2]!COMPROMISOS_2024[[#All],[concatenado]],[2]!COMPROMISOS_2024[[#All],[Total Comprometido]],"",0)</f>
        <v>#NAME?</v>
      </c>
      <c r="AL759" s="47">
        <f>IF(PAA_4[[#This Row],[BOLSA]]=0,0,SUMIFS([2]!COMPROMISOS_2024[[#All],[Total Comprometido]],[2]!COMPROMISOS_2024[[#All],[Bolsa]],PAA_4[[#This Row],[BOLSA]],[2]!COMPROMISOS_2024[[#All],[concatenado]],PAA_4[[#This Row],[RCP-RUBRO]]))</f>
        <v>0</v>
      </c>
    </row>
    <row r="760" spans="1:38" s="19" customFormat="1" ht="31.5" customHeight="1">
      <c r="A760" s="47">
        <v>644</v>
      </c>
      <c r="B760" s="47">
        <v>80111600</v>
      </c>
      <c r="C760" s="47" t="str">
        <f>VLOOKUP(PAA_4[[#This Row],[PROYECTO (formulado)2]],[2]PROYECTOS!$G$1:$L$32,6,0)</f>
        <v>SUBGERENCIA DE ALTOS LOGROS Y DEPORTE ASOCIADO</v>
      </c>
      <c r="D760" s="47" t="str">
        <f>+IF(PAA_4[[#This Row],[UNIDAD DE CONTRATACION (formulado)]]="Subgerencia Administrativa y Financiera","FUNCIONAMIENTO","INVERSIÓN")</f>
        <v>INVERSIÓN</v>
      </c>
      <c r="E760" s="48" t="str">
        <f>VLOOKUP(Q760,[2]PROYECTOS!$G$1:$K$32,5,0)</f>
        <v>DESARROLLO_DEL_POTENCIAL_DEPORTIVO_EN_EL_DEPARTAMENTO_DE_ANTIOQUIA</v>
      </c>
      <c r="F760" s="48">
        <f>VLOOKUP(E760,[2]PROYECTOS!$K$1:$M$32,3,0)</f>
        <v>2020003050022</v>
      </c>
      <c r="G760" s="49" t="s">
        <v>273</v>
      </c>
      <c r="H760" s="49" t="str">
        <f>VLOOKUP(Q760,[2]PROYECTOS!$V$1:$W$32,2,0)</f>
        <v>050065</v>
      </c>
      <c r="I760" s="50">
        <v>38321978</v>
      </c>
      <c r="J760" s="51" t="s">
        <v>1718</v>
      </c>
      <c r="K760" s="47" t="str">
        <f t="shared" ca="1" si="256"/>
        <v>CONTRATADO</v>
      </c>
      <c r="L760" s="47" t="s">
        <v>94</v>
      </c>
      <c r="M760" s="47" t="s">
        <v>1297</v>
      </c>
      <c r="N760" s="72" t="s">
        <v>246</v>
      </c>
      <c r="O760" s="51" t="e">
        <f>VLOOKUP(N760,[2]!RUBROS[#All],3,0)</f>
        <v>#REF!</v>
      </c>
      <c r="P760" s="53" t="e">
        <f>VLOOKUP(N760,[2]!RUBROS[#All],2,0)</f>
        <v>#REF!</v>
      </c>
      <c r="Q760" s="47" t="str">
        <f t="shared" si="257"/>
        <v>21</v>
      </c>
      <c r="R760" s="47" t="str">
        <f t="shared" si="258"/>
        <v>0-205400</v>
      </c>
      <c r="S760" s="54" t="s">
        <v>252</v>
      </c>
      <c r="T760" s="59" t="s">
        <v>46</v>
      </c>
      <c r="U760" s="326" t="e">
        <f ca="1">_xlfn.XLOOKUP(PAA_4[[#This Row],[ITEM]],[2]Contrato!A:A,[2]Contrato!Q:Q,"",0)</f>
        <v>#NAME?</v>
      </c>
      <c r="V760" s="47" t="s">
        <v>47</v>
      </c>
      <c r="W760" s="47" t="s">
        <v>122</v>
      </c>
      <c r="X760" s="47" t="s">
        <v>122</v>
      </c>
      <c r="Y760" s="55" t="e">
        <f ca="1">_xlfn.XLOOKUP(PAA_4[[#This Row],[ITEM]],[2]Contrato!A:A,[2]Contrato!B:B,"",0)</f>
        <v>#NAME?</v>
      </c>
      <c r="Z760" s="47" t="e">
        <f ca="1">_xlfn.XLOOKUP(PAA_4[[#This Row],[ITEM]],[2]Contrato!A:A,[2]Contrato!G:G,"",0)</f>
        <v>#NAME?</v>
      </c>
      <c r="AA760" s="47" t="e">
        <f ca="1">_xlfn.XLOOKUP(PAA_4[[#This Row],[ITEM]],[2]Contrato!A:A,[2]Contrato!T:T,"",0)</f>
        <v>#NAME?</v>
      </c>
      <c r="AB760" s="55" t="e">
        <f ca="1">+MAX(PAA_4[[#This Row],[Comprometido Contrato]],PAA_4[[#This Row],[Comprometido Bolsa]])</f>
        <v>#NAME?</v>
      </c>
      <c r="AC760" s="55" t="str">
        <f t="shared" ca="1" si="259"/>
        <v/>
      </c>
      <c r="AD760" s="55" t="e">
        <f ca="1">IF(PAA_4[[#This Row],[ESTADO (formulado)]]="NO CONTRATADO",0,MAX(PAA_4[[#This Row],[Pago por Contrato]],PAA_4[[#This Row],[Pago por bolsa]]))</f>
        <v>#NAME?</v>
      </c>
      <c r="AE760" s="55" t="str">
        <f t="shared" ca="1" si="260"/>
        <v/>
      </c>
      <c r="AF760" s="47" t="e">
        <f t="shared" ca="1" si="262"/>
        <v>#NAME?</v>
      </c>
      <c r="AG760" s="47">
        <f t="shared" si="261"/>
        <v>41080112</v>
      </c>
      <c r="AH760" s="54">
        <f>IF(Q760="22",IF(ISNUMBER(SEARCH("econ",PAA_4[[#This Row],[Actividad3]])),"Económico",IF(ISNUMBER(SEARCH("alim",PAA_4[[#This Row],[Actividad3]])),"Alimentación",IF(ISNUMBER(SEARCH("educ",PAA_4[[#This Row],[Actividad3]])),"Educativo","Técnico"))),0)</f>
        <v>0</v>
      </c>
      <c r="AI760" s="47" t="e" cm="1">
        <f t="array" aca="1" ref="AI760" ca="1">_xlfn.XLOOKUP(PAA_4[[#This Row],[RCP-RUBRO]],[2]!COMPROMISOS_2024[[#All],[concatenado]],[2]!COMPROMISOS_2024[[#All],[Total pagado]],"",0)</f>
        <v>#NAME?</v>
      </c>
      <c r="AJ760" s="56">
        <f>IF(PAA_4[[#This Row],[BOLSA]]=0,0,SUMIFS([2]!COMPROMISOS_2024[[#All],[Total pagado]],[2]!COMPROMISOS_2024[[#All],[Bolsa]],PAA_4[[#This Row],[BOLSA]],[2]!COMPROMISOS_2024[[#All],[rubro]],PAA_4[[#This Row],[RCP-RUBRO]]))</f>
        <v>0</v>
      </c>
      <c r="AK760" s="47" t="e" cm="1">
        <f t="array" aca="1" ref="AK760" ca="1">_xlfn.XLOOKUP(PAA_4[[#This Row],[RCP-RUBRO]],[2]!COMPROMISOS_2024[[#All],[concatenado]],[2]!COMPROMISOS_2024[[#All],[Total Comprometido]],"",0)</f>
        <v>#NAME?</v>
      </c>
      <c r="AL760" s="47">
        <f>IF(PAA_4[[#This Row],[BOLSA]]=0,0,SUMIFS([2]!COMPROMISOS_2024[[#All],[Total Comprometido]],[2]!COMPROMISOS_2024[[#All],[Bolsa]],PAA_4[[#This Row],[BOLSA]],[2]!COMPROMISOS_2024[[#All],[concatenado]],PAA_4[[#This Row],[RCP-RUBRO]]))</f>
        <v>0</v>
      </c>
    </row>
    <row r="761" spans="1:38" s="19" customFormat="1" ht="31.5" customHeight="1">
      <c r="A761" s="47">
        <v>644</v>
      </c>
      <c r="B761" s="47">
        <v>80111600</v>
      </c>
      <c r="C761" s="47" t="str">
        <f>VLOOKUP(PAA_4[[#This Row],[PROYECTO (formulado)2]],[2]PROYECTOS!$G$1:$L$32,6,0)</f>
        <v>SUBGERENCIA DE ALTOS LOGROS Y DEPORTE ASOCIADO</v>
      </c>
      <c r="D761" s="47" t="str">
        <f>+IF(PAA_4[[#This Row],[UNIDAD DE CONTRATACION (formulado)]]="Subgerencia Administrativa y Financiera","FUNCIONAMIENTO","INVERSIÓN")</f>
        <v>INVERSIÓN</v>
      </c>
      <c r="E761" s="48" t="str">
        <f>VLOOKUP(Q761,[2]PROYECTOS!$G$1:$K$32,5,0)</f>
        <v>FORTALECIMIENTO_DEL_PROGRAMA_DE_ALTOS_LOGROS_Y_LIDERAZGO_DEPORTIVO_EN_EL_DEPARTAMENTO_DE_ANTIOQUIA</v>
      </c>
      <c r="F761" s="48">
        <f>VLOOKUP(E761,[2]PROYECTOS!$K$1:$M$32,3,0)</f>
        <v>2020003050021</v>
      </c>
      <c r="G761" s="49" t="s">
        <v>235</v>
      </c>
      <c r="H761" s="49" t="str">
        <f>VLOOKUP(Q761,[2]PROYECTOS!$V$1:$W$32,2,0)</f>
        <v>050061</v>
      </c>
      <c r="I761" s="50">
        <v>38321978</v>
      </c>
      <c r="J761" s="51" t="s">
        <v>1718</v>
      </c>
      <c r="K761" s="47" t="str">
        <f t="shared" ca="1" si="256"/>
        <v>CONTRATADO</v>
      </c>
      <c r="L761" s="47" t="s">
        <v>94</v>
      </c>
      <c r="M761" s="47" t="s">
        <v>1297</v>
      </c>
      <c r="N761" s="72" t="s">
        <v>245</v>
      </c>
      <c r="O761" s="51" t="e">
        <f>VLOOKUP(N761,[2]!RUBROS[#All],3,0)</f>
        <v>#REF!</v>
      </c>
      <c r="P761" s="53" t="e">
        <f>VLOOKUP(N761,[2]!RUBROS[#All],2,0)</f>
        <v>#REF!</v>
      </c>
      <c r="Q761" s="47" t="str">
        <f t="shared" si="257"/>
        <v>20</v>
      </c>
      <c r="R761" s="47" t="str">
        <f t="shared" si="258"/>
        <v>0-205400</v>
      </c>
      <c r="S761" s="54" t="s">
        <v>252</v>
      </c>
      <c r="T761" s="59" t="s">
        <v>46</v>
      </c>
      <c r="U761" s="326" t="e">
        <f ca="1">_xlfn.XLOOKUP(PAA_4[[#This Row],[ITEM]],[2]Contrato!A:A,[2]Contrato!Q:Q,"",0)</f>
        <v>#NAME?</v>
      </c>
      <c r="V761" s="47" t="s">
        <v>47</v>
      </c>
      <c r="W761" s="47" t="s">
        <v>122</v>
      </c>
      <c r="X761" s="47" t="s">
        <v>122</v>
      </c>
      <c r="Y761" s="55" t="e">
        <f ca="1">_xlfn.XLOOKUP(PAA_4[[#This Row],[ITEM]],[2]Contrato!A:A,[2]Contrato!B:B,"",0)</f>
        <v>#NAME?</v>
      </c>
      <c r="Z761" s="47" t="e">
        <f ca="1">_xlfn.XLOOKUP(PAA_4[[#This Row],[ITEM]],[2]Contrato!A:A,[2]Contrato!G:G,"",0)</f>
        <v>#NAME?</v>
      </c>
      <c r="AA761" s="47" t="e">
        <f ca="1">_xlfn.XLOOKUP(PAA_4[[#This Row],[ITEM]],[2]Contrato!A:A,[2]Contrato!T:T,"",0)</f>
        <v>#NAME?</v>
      </c>
      <c r="AB761" s="55" t="e">
        <f ca="1">+MAX(PAA_4[[#This Row],[Comprometido Contrato]],PAA_4[[#This Row],[Comprometido Bolsa]])</f>
        <v>#NAME?</v>
      </c>
      <c r="AC761" s="55" t="str">
        <f t="shared" ca="1" si="259"/>
        <v/>
      </c>
      <c r="AD761" s="55" t="e">
        <f ca="1">IF(PAA_4[[#This Row],[ESTADO (formulado)]]="NO CONTRATADO",0,MAX(PAA_4[[#This Row],[Pago por Contrato]],PAA_4[[#This Row],[Pago por bolsa]]))</f>
        <v>#NAME?</v>
      </c>
      <c r="AE761" s="55" t="str">
        <f t="shared" ca="1" si="260"/>
        <v/>
      </c>
      <c r="AF761" s="47" t="e">
        <f t="shared" ca="1" si="262"/>
        <v>#NAME?</v>
      </c>
      <c r="AG761" s="47">
        <f t="shared" si="261"/>
        <v>41080111</v>
      </c>
      <c r="AH761" s="54">
        <f>IF(Q761="22",IF(ISNUMBER(SEARCH("econ",PAA_4[[#This Row],[Actividad3]])),"Económico",IF(ISNUMBER(SEARCH("alim",PAA_4[[#This Row],[Actividad3]])),"Alimentación",IF(ISNUMBER(SEARCH("educ",PAA_4[[#This Row],[Actividad3]])),"Educativo","Técnico"))),0)</f>
        <v>0</v>
      </c>
      <c r="AI761" s="47" t="e" cm="1">
        <f t="array" aca="1" ref="AI761" ca="1">_xlfn.XLOOKUP(PAA_4[[#This Row],[RCP-RUBRO]],[2]!COMPROMISOS_2024[[#All],[concatenado]],[2]!COMPROMISOS_2024[[#All],[Total pagado]],"",0)</f>
        <v>#NAME?</v>
      </c>
      <c r="AJ761" s="56">
        <f>IF(PAA_4[[#This Row],[BOLSA]]=0,0,SUMIFS([2]!COMPROMISOS_2024[[#All],[Total pagado]],[2]!COMPROMISOS_2024[[#All],[Bolsa]],PAA_4[[#This Row],[BOLSA]],[2]!COMPROMISOS_2024[[#All],[rubro]],PAA_4[[#This Row],[RCP-RUBRO]]))</f>
        <v>0</v>
      </c>
      <c r="AK761" s="47" t="e" cm="1">
        <f t="array" aca="1" ref="AK761" ca="1">_xlfn.XLOOKUP(PAA_4[[#This Row],[RCP-RUBRO]],[2]!COMPROMISOS_2024[[#All],[concatenado]],[2]!COMPROMISOS_2024[[#All],[Total Comprometido]],"",0)</f>
        <v>#NAME?</v>
      </c>
      <c r="AL761" s="47">
        <f>IF(PAA_4[[#This Row],[BOLSA]]=0,0,SUMIFS([2]!COMPROMISOS_2024[[#All],[Total Comprometido]],[2]!COMPROMISOS_2024[[#All],[Bolsa]],PAA_4[[#This Row],[BOLSA]],[2]!COMPROMISOS_2024[[#All],[concatenado]],PAA_4[[#This Row],[RCP-RUBRO]]))</f>
        <v>0</v>
      </c>
    </row>
    <row r="762" spans="1:38" s="19" customFormat="1" ht="31.5" customHeight="1">
      <c r="A762" s="47">
        <v>645</v>
      </c>
      <c r="B762" s="47">
        <v>80111600</v>
      </c>
      <c r="C762" s="47" t="str">
        <f>VLOOKUP(PAA_4[[#This Row],[PROYECTO (formulado)2]],[2]PROYECTOS!$G$1:$L$32,6,0)</f>
        <v>SUBGERENCIA DE ALTOS LOGROS Y DEPORTE ASOCIADO</v>
      </c>
      <c r="D762" s="47" t="str">
        <f>+IF(PAA_4[[#This Row],[UNIDAD DE CONTRATACION (formulado)]]="Subgerencia Administrativa y Financiera","FUNCIONAMIENTO","INVERSIÓN")</f>
        <v>INVERSIÓN</v>
      </c>
      <c r="E762" s="48" t="str">
        <f>VLOOKUP(Q762,[2]PROYECTOS!$G$1:$K$32,5,0)</f>
        <v>DESARROLLO_DEL_POTENCIAL_DEPORTIVO_EN_EL_DEPARTAMENTO_DE_ANTIOQUIA</v>
      </c>
      <c r="F762" s="48">
        <f>VLOOKUP(E762,[2]PROYECTOS!$K$1:$M$32,3,0)</f>
        <v>2020003050022</v>
      </c>
      <c r="G762" s="49" t="s">
        <v>273</v>
      </c>
      <c r="H762" s="49" t="str">
        <f>VLOOKUP(Q762,[2]PROYECTOS!$V$1:$W$32,2,0)</f>
        <v>050065</v>
      </c>
      <c r="I762" s="50">
        <v>38166198</v>
      </c>
      <c r="J762" s="51" t="s">
        <v>1719</v>
      </c>
      <c r="K762" s="47" t="str">
        <f t="shared" ca="1" si="256"/>
        <v>CONTRATADO</v>
      </c>
      <c r="L762" s="47" t="s">
        <v>94</v>
      </c>
      <c r="M762" s="47" t="s">
        <v>1297</v>
      </c>
      <c r="N762" s="72" t="s">
        <v>246</v>
      </c>
      <c r="O762" s="51" t="e">
        <f>VLOOKUP(N762,[2]!RUBROS[#All],3,0)</f>
        <v>#REF!</v>
      </c>
      <c r="P762" s="53" t="e">
        <f>VLOOKUP(N762,[2]!RUBROS[#All],2,0)</f>
        <v>#REF!</v>
      </c>
      <c r="Q762" s="47" t="str">
        <f t="shared" si="257"/>
        <v>21</v>
      </c>
      <c r="R762" s="47" t="str">
        <f t="shared" si="258"/>
        <v>0-205400</v>
      </c>
      <c r="S762" s="54" t="s">
        <v>253</v>
      </c>
      <c r="T762" s="59" t="s">
        <v>46</v>
      </c>
      <c r="U762" s="326" t="e">
        <f ca="1">_xlfn.XLOOKUP(PAA_4[[#This Row],[ITEM]],[2]Contrato!A:A,[2]Contrato!Q:Q,"",0)</f>
        <v>#NAME?</v>
      </c>
      <c r="V762" s="47" t="s">
        <v>47</v>
      </c>
      <c r="W762" s="47" t="s">
        <v>122</v>
      </c>
      <c r="X762" s="47" t="s">
        <v>122</v>
      </c>
      <c r="Y762" s="55" t="e">
        <f ca="1">_xlfn.XLOOKUP(PAA_4[[#This Row],[ITEM]],[2]Contrato!A:A,[2]Contrato!B:B,"",0)</f>
        <v>#NAME?</v>
      </c>
      <c r="Z762" s="47" t="e">
        <f ca="1">_xlfn.XLOOKUP(PAA_4[[#This Row],[ITEM]],[2]Contrato!A:A,[2]Contrato!G:G,"",0)</f>
        <v>#NAME?</v>
      </c>
      <c r="AA762" s="47" t="e">
        <f ca="1">_xlfn.XLOOKUP(PAA_4[[#This Row],[ITEM]],[2]Contrato!A:A,[2]Contrato!T:T,"",0)</f>
        <v>#NAME?</v>
      </c>
      <c r="AB762" s="55" t="e">
        <f ca="1">+MAX(PAA_4[[#This Row],[Comprometido Contrato]],PAA_4[[#This Row],[Comprometido Bolsa]])</f>
        <v>#NAME?</v>
      </c>
      <c r="AC762" s="55" t="str">
        <f t="shared" ca="1" si="259"/>
        <v/>
      </c>
      <c r="AD762" s="55" t="e">
        <f ca="1">IF(PAA_4[[#This Row],[ESTADO (formulado)]]="NO CONTRATADO",0,MAX(PAA_4[[#This Row],[Pago por Contrato]],PAA_4[[#This Row],[Pago por bolsa]]))</f>
        <v>#NAME?</v>
      </c>
      <c r="AE762" s="55" t="str">
        <f t="shared" ca="1" si="260"/>
        <v/>
      </c>
      <c r="AF762" s="47" t="e">
        <f t="shared" ca="1" si="262"/>
        <v>#NAME?</v>
      </c>
      <c r="AG762" s="47">
        <f t="shared" si="261"/>
        <v>41080112</v>
      </c>
      <c r="AH762" s="54">
        <f>IF(Q762="22",IF(ISNUMBER(SEARCH("econ",PAA_4[[#This Row],[Actividad3]])),"Económico",IF(ISNUMBER(SEARCH("alim",PAA_4[[#This Row],[Actividad3]])),"Alimentación",IF(ISNUMBER(SEARCH("educ",PAA_4[[#This Row],[Actividad3]])),"Educativo","Técnico"))),0)</f>
        <v>0</v>
      </c>
      <c r="AI762" s="47" t="e" cm="1">
        <f t="array" aca="1" ref="AI762" ca="1">_xlfn.XLOOKUP(PAA_4[[#This Row],[RCP-RUBRO]],[2]!COMPROMISOS_2024[[#All],[concatenado]],[2]!COMPROMISOS_2024[[#All],[Total pagado]],"",0)</f>
        <v>#NAME?</v>
      </c>
      <c r="AJ762" s="56">
        <f>IF(PAA_4[[#This Row],[BOLSA]]=0,0,SUMIFS([2]!COMPROMISOS_2024[[#All],[Total pagado]],[2]!COMPROMISOS_2024[[#All],[Bolsa]],PAA_4[[#This Row],[BOLSA]],[2]!COMPROMISOS_2024[[#All],[rubro]],PAA_4[[#This Row],[RCP-RUBRO]]))</f>
        <v>0</v>
      </c>
      <c r="AK762" s="47" t="e" cm="1">
        <f t="array" aca="1" ref="AK762" ca="1">_xlfn.XLOOKUP(PAA_4[[#This Row],[RCP-RUBRO]],[2]!COMPROMISOS_2024[[#All],[concatenado]],[2]!COMPROMISOS_2024[[#All],[Total Comprometido]],"",0)</f>
        <v>#NAME?</v>
      </c>
      <c r="AL762" s="47">
        <f>IF(PAA_4[[#This Row],[BOLSA]]=0,0,SUMIFS([2]!COMPROMISOS_2024[[#All],[Total Comprometido]],[2]!COMPROMISOS_2024[[#All],[Bolsa]],PAA_4[[#This Row],[BOLSA]],[2]!COMPROMISOS_2024[[#All],[concatenado]],PAA_4[[#This Row],[RCP-RUBRO]]))</f>
        <v>0</v>
      </c>
    </row>
    <row r="763" spans="1:38" s="19" customFormat="1" ht="31.5" customHeight="1">
      <c r="A763" s="47">
        <v>645</v>
      </c>
      <c r="B763" s="47">
        <v>80111600</v>
      </c>
      <c r="C763" s="47" t="str">
        <f>VLOOKUP(PAA_4[[#This Row],[PROYECTO (formulado)2]],[2]PROYECTOS!$G$1:$L$32,6,0)</f>
        <v>SUBGERENCIA DE ALTOS LOGROS Y DEPORTE ASOCIADO</v>
      </c>
      <c r="D763" s="47" t="str">
        <f>+IF(PAA_4[[#This Row],[UNIDAD DE CONTRATACION (formulado)]]="Subgerencia Administrativa y Financiera","FUNCIONAMIENTO","INVERSIÓN")</f>
        <v>INVERSIÓN</v>
      </c>
      <c r="E763" s="48" t="str">
        <f>VLOOKUP(Q763,[2]PROYECTOS!$G$1:$K$32,5,0)</f>
        <v>FORTALECIMIENTO_DEL_PROGRAMA_DE_ALTOS_LOGROS_Y_LIDERAZGO_DEPORTIVO_EN_EL_DEPARTAMENTO_DE_ANTIOQUIA</v>
      </c>
      <c r="F763" s="48">
        <f>VLOOKUP(E763,[2]PROYECTOS!$K$1:$M$32,3,0)</f>
        <v>2020003050021</v>
      </c>
      <c r="G763" s="49" t="s">
        <v>235</v>
      </c>
      <c r="H763" s="49" t="str">
        <f>VLOOKUP(Q763,[2]PROYECTOS!$V$1:$W$32,2,0)</f>
        <v>050061</v>
      </c>
      <c r="I763" s="50">
        <v>38166198</v>
      </c>
      <c r="J763" s="51" t="s">
        <v>1719</v>
      </c>
      <c r="K763" s="47" t="str">
        <f t="shared" ca="1" si="256"/>
        <v>CONTRATADO</v>
      </c>
      <c r="L763" s="47" t="s">
        <v>94</v>
      </c>
      <c r="M763" s="47" t="s">
        <v>1297</v>
      </c>
      <c r="N763" s="72" t="s">
        <v>245</v>
      </c>
      <c r="O763" s="51" t="e">
        <f>VLOOKUP(N763,[2]!RUBROS[#All],3,0)</f>
        <v>#REF!</v>
      </c>
      <c r="P763" s="53" t="e">
        <f>VLOOKUP(N763,[2]!RUBROS[#All],2,0)</f>
        <v>#REF!</v>
      </c>
      <c r="Q763" s="47" t="str">
        <f t="shared" si="257"/>
        <v>20</v>
      </c>
      <c r="R763" s="47" t="str">
        <f t="shared" si="258"/>
        <v>0-205400</v>
      </c>
      <c r="S763" s="54" t="s">
        <v>253</v>
      </c>
      <c r="T763" s="59" t="s">
        <v>46</v>
      </c>
      <c r="U763" s="326" t="e">
        <f ca="1">_xlfn.XLOOKUP(PAA_4[[#This Row],[ITEM]],[2]Contrato!A:A,[2]Contrato!Q:Q,"",0)</f>
        <v>#NAME?</v>
      </c>
      <c r="V763" s="47" t="s">
        <v>47</v>
      </c>
      <c r="W763" s="47" t="s">
        <v>122</v>
      </c>
      <c r="X763" s="47" t="s">
        <v>122</v>
      </c>
      <c r="Y763" s="55" t="e">
        <f ca="1">_xlfn.XLOOKUP(PAA_4[[#This Row],[ITEM]],[2]Contrato!A:A,[2]Contrato!B:B,"",0)</f>
        <v>#NAME?</v>
      </c>
      <c r="Z763" s="47" t="e">
        <f ca="1">_xlfn.XLOOKUP(PAA_4[[#This Row],[ITEM]],[2]Contrato!A:A,[2]Contrato!G:G,"",0)</f>
        <v>#NAME?</v>
      </c>
      <c r="AA763" s="47" t="e">
        <f ca="1">_xlfn.XLOOKUP(PAA_4[[#This Row],[ITEM]],[2]Contrato!A:A,[2]Contrato!T:T,"",0)</f>
        <v>#NAME?</v>
      </c>
      <c r="AB763" s="55" t="e">
        <f ca="1">+MAX(PAA_4[[#This Row],[Comprometido Contrato]],PAA_4[[#This Row],[Comprometido Bolsa]])</f>
        <v>#NAME?</v>
      </c>
      <c r="AC763" s="55" t="str">
        <f t="shared" ca="1" si="259"/>
        <v/>
      </c>
      <c r="AD763" s="55" t="e">
        <f ca="1">IF(PAA_4[[#This Row],[ESTADO (formulado)]]="NO CONTRATADO",0,MAX(PAA_4[[#This Row],[Pago por Contrato]],PAA_4[[#This Row],[Pago por bolsa]]))</f>
        <v>#NAME?</v>
      </c>
      <c r="AE763" s="55" t="str">
        <f t="shared" ca="1" si="260"/>
        <v/>
      </c>
      <c r="AF763" s="47" t="e">
        <f t="shared" ca="1" si="262"/>
        <v>#NAME?</v>
      </c>
      <c r="AG763" s="47">
        <f t="shared" si="261"/>
        <v>41080111</v>
      </c>
      <c r="AH763" s="54">
        <f>IF(Q763="22",IF(ISNUMBER(SEARCH("econ",PAA_4[[#This Row],[Actividad3]])),"Económico",IF(ISNUMBER(SEARCH("alim",PAA_4[[#This Row],[Actividad3]])),"Alimentación",IF(ISNUMBER(SEARCH("educ",PAA_4[[#This Row],[Actividad3]])),"Educativo","Técnico"))),0)</f>
        <v>0</v>
      </c>
      <c r="AI763" s="47" t="e" cm="1">
        <f t="array" aca="1" ref="AI763" ca="1">_xlfn.XLOOKUP(PAA_4[[#This Row],[RCP-RUBRO]],[2]!COMPROMISOS_2024[[#All],[concatenado]],[2]!COMPROMISOS_2024[[#All],[Total pagado]],"",0)</f>
        <v>#NAME?</v>
      </c>
      <c r="AJ763" s="56">
        <f>IF(PAA_4[[#This Row],[BOLSA]]=0,0,SUMIFS([2]!COMPROMISOS_2024[[#All],[Total pagado]],[2]!COMPROMISOS_2024[[#All],[Bolsa]],PAA_4[[#This Row],[BOLSA]],[2]!COMPROMISOS_2024[[#All],[rubro]],PAA_4[[#This Row],[RCP-RUBRO]]))</f>
        <v>0</v>
      </c>
      <c r="AK763" s="47" t="e" cm="1">
        <f t="array" aca="1" ref="AK763" ca="1">_xlfn.XLOOKUP(PAA_4[[#This Row],[RCP-RUBRO]],[2]!COMPROMISOS_2024[[#All],[concatenado]],[2]!COMPROMISOS_2024[[#All],[Total Comprometido]],"",0)</f>
        <v>#NAME?</v>
      </c>
      <c r="AL763" s="47">
        <f>IF(PAA_4[[#This Row],[BOLSA]]=0,0,SUMIFS([2]!COMPROMISOS_2024[[#All],[Total Comprometido]],[2]!COMPROMISOS_2024[[#All],[Bolsa]],PAA_4[[#This Row],[BOLSA]],[2]!COMPROMISOS_2024[[#All],[concatenado]],PAA_4[[#This Row],[RCP-RUBRO]]))</f>
        <v>0</v>
      </c>
    </row>
    <row r="764" spans="1:38" s="19" customFormat="1" ht="31.5" customHeight="1">
      <c r="A764" s="47">
        <v>646</v>
      </c>
      <c r="B764" s="47">
        <v>80111600</v>
      </c>
      <c r="C764" s="47" t="str">
        <f>VLOOKUP(PAA_4[[#This Row],[PROYECTO (formulado)2]],[2]PROYECTOS!$G$1:$L$32,6,0)</f>
        <v>SUBGERENCIA DE ALTOS LOGROS Y DEPORTE ASOCIADO</v>
      </c>
      <c r="D764" s="47" t="str">
        <f>+IF(PAA_4[[#This Row],[UNIDAD DE CONTRATACION (formulado)]]="Subgerencia Administrativa y Financiera","FUNCIONAMIENTO","INVERSIÓN")</f>
        <v>INVERSIÓN</v>
      </c>
      <c r="E764" s="48" t="str">
        <f>VLOOKUP(Q764,[2]PROYECTOS!$G$1:$K$32,5,0)</f>
        <v>FORTALECIMIENTO_DEL_PROGRAMA_DE_ALTOS_LOGROS_Y_LIDERAZGO_DEPORTIVO_EN_EL_DEPARTAMENTO_DE_ANTIOQUIA</v>
      </c>
      <c r="F764" s="48">
        <f>VLOOKUP(E764,[2]PROYECTOS!$K$1:$M$32,3,0)</f>
        <v>2020003050021</v>
      </c>
      <c r="G764" s="49" t="s">
        <v>235</v>
      </c>
      <c r="H764" s="49" t="str">
        <f>VLOOKUP(Q764,[2]PROYECTOS!$V$1:$W$32,2,0)</f>
        <v>050061</v>
      </c>
      <c r="I764" s="50">
        <f>33531744-139716</f>
        <v>33392028</v>
      </c>
      <c r="J764" s="51" t="s">
        <v>1695</v>
      </c>
      <c r="K764" s="47" t="str">
        <f t="shared" ca="1" si="256"/>
        <v>CONTRATADO</v>
      </c>
      <c r="L764" s="47" t="s">
        <v>94</v>
      </c>
      <c r="M764" s="47" t="s">
        <v>1297</v>
      </c>
      <c r="N764" s="72" t="s">
        <v>245</v>
      </c>
      <c r="O764" s="51" t="e">
        <f>VLOOKUP(N764,[2]!RUBROS[#All],3,0)</f>
        <v>#REF!</v>
      </c>
      <c r="P764" s="53" t="e">
        <f>VLOOKUP(N764,[2]!RUBROS[#All],2,0)</f>
        <v>#REF!</v>
      </c>
      <c r="Q764" s="47" t="str">
        <f t="shared" si="257"/>
        <v>20</v>
      </c>
      <c r="R764" s="47" t="str">
        <f t="shared" si="258"/>
        <v>0-205400</v>
      </c>
      <c r="S764" s="54">
        <v>8</v>
      </c>
      <c r="T764" s="59" t="s">
        <v>46</v>
      </c>
      <c r="U764" s="326" t="e">
        <f ca="1">_xlfn.XLOOKUP(PAA_4[[#This Row],[ITEM]],[2]Contrato!A:A,[2]Contrato!Q:Q,"",0)</f>
        <v>#NAME?</v>
      </c>
      <c r="V764" s="47" t="s">
        <v>47</v>
      </c>
      <c r="W764" s="47" t="s">
        <v>122</v>
      </c>
      <c r="X764" s="47" t="s">
        <v>122</v>
      </c>
      <c r="Y764" s="55" t="e">
        <f ca="1">_xlfn.XLOOKUP(PAA_4[[#This Row],[ITEM]],[2]Contrato!A:A,[2]Contrato!B:B,"",0)</f>
        <v>#NAME?</v>
      </c>
      <c r="Z764" s="47" t="e">
        <f ca="1">_xlfn.XLOOKUP(PAA_4[[#This Row],[ITEM]],[2]Contrato!A:A,[2]Contrato!G:G,"",0)</f>
        <v>#NAME?</v>
      </c>
      <c r="AA764" s="47" t="e">
        <f ca="1">_xlfn.XLOOKUP(PAA_4[[#This Row],[ITEM]],[2]Contrato!A:A,[2]Contrato!T:T,"",0)</f>
        <v>#NAME?</v>
      </c>
      <c r="AB764" s="55" t="e">
        <f ca="1">+MAX(PAA_4[[#This Row],[Comprometido Contrato]],PAA_4[[#This Row],[Comprometido Bolsa]])</f>
        <v>#NAME?</v>
      </c>
      <c r="AC764" s="55" t="str">
        <f t="shared" ca="1" si="259"/>
        <v/>
      </c>
      <c r="AD764" s="55" t="e">
        <f ca="1">IF(PAA_4[[#This Row],[ESTADO (formulado)]]="NO CONTRATADO",0,MAX(PAA_4[[#This Row],[Pago por Contrato]],PAA_4[[#This Row],[Pago por bolsa]]))</f>
        <v>#NAME?</v>
      </c>
      <c r="AE764" s="55" t="str">
        <f t="shared" ca="1" si="260"/>
        <v/>
      </c>
      <c r="AF764" s="47" t="e">
        <f t="shared" ca="1" si="262"/>
        <v>#NAME?</v>
      </c>
      <c r="AG764" s="47">
        <f t="shared" si="261"/>
        <v>41080111</v>
      </c>
      <c r="AH764" s="54">
        <f>IF(Q764="22",IF(ISNUMBER(SEARCH("econ",PAA_4[[#This Row],[Actividad3]])),"Económico",IF(ISNUMBER(SEARCH("alim",PAA_4[[#This Row],[Actividad3]])),"Alimentación",IF(ISNUMBER(SEARCH("educ",PAA_4[[#This Row],[Actividad3]])),"Educativo","Técnico"))),0)</f>
        <v>0</v>
      </c>
      <c r="AI764" s="47" t="e" cm="1">
        <f t="array" aca="1" ref="AI764" ca="1">_xlfn.XLOOKUP(PAA_4[[#This Row],[RCP-RUBRO]],[2]!COMPROMISOS_2024[[#All],[concatenado]],[2]!COMPROMISOS_2024[[#All],[Total pagado]],"",0)</f>
        <v>#NAME?</v>
      </c>
      <c r="AJ764" s="56">
        <f>IF(PAA_4[[#This Row],[BOLSA]]=0,0,SUMIFS([2]!COMPROMISOS_2024[[#All],[Total pagado]],[2]!COMPROMISOS_2024[[#All],[Bolsa]],PAA_4[[#This Row],[BOLSA]],[2]!COMPROMISOS_2024[[#All],[rubro]],PAA_4[[#This Row],[RCP-RUBRO]]))</f>
        <v>0</v>
      </c>
      <c r="AK764" s="47" t="e" cm="1">
        <f t="array" aca="1" ref="AK764" ca="1">_xlfn.XLOOKUP(PAA_4[[#This Row],[RCP-RUBRO]],[2]!COMPROMISOS_2024[[#All],[concatenado]],[2]!COMPROMISOS_2024[[#All],[Total Comprometido]],"",0)</f>
        <v>#NAME?</v>
      </c>
      <c r="AL764" s="47">
        <f>IF(PAA_4[[#This Row],[BOLSA]]=0,0,SUMIFS([2]!COMPROMISOS_2024[[#All],[Total Comprometido]],[2]!COMPROMISOS_2024[[#All],[Bolsa]],PAA_4[[#This Row],[BOLSA]],[2]!COMPROMISOS_2024[[#All],[concatenado]],PAA_4[[#This Row],[RCP-RUBRO]]))</f>
        <v>0</v>
      </c>
    </row>
    <row r="765" spans="1:38" s="19" customFormat="1" ht="31.5" customHeight="1">
      <c r="A765" s="47">
        <v>696</v>
      </c>
      <c r="B765" s="47" t="s">
        <v>42</v>
      </c>
      <c r="C765" s="47" t="str">
        <f>VLOOKUP(PAA_4[[#This Row],[PROYECTO (formulado)2]],[2]PROYECTOS!$G$1:$L$32,6,0)</f>
        <v>SUBGERENCIA DE ALTOS LOGROS Y DEPORTE ASOCIADO</v>
      </c>
      <c r="D765" s="47" t="str">
        <f>+IF(PAA_4[[#This Row],[UNIDAD DE CONTRATACION (formulado)]]="Subgerencia Administrativa y Financiera","FUNCIONAMIENTO","INVERSIÓN")</f>
        <v>INVERSIÓN</v>
      </c>
      <c r="E765" s="48" t="str">
        <f>VLOOKUP(Q765,[2]PROYECTOS!$G$1:$K$32,5,0)</f>
        <v>FORTALECIMIENTO_DEL_PROGRAMA_DE_ALTOS_LOGROS_Y_LIDERAZGO_DEPORTIVO_EN_EL_DEPARTAMENTO_DE_ANTIOQUIA</v>
      </c>
      <c r="F765" s="48">
        <f>VLOOKUP(E765,[2]PROYECTOS!$K$1:$M$32,3,0)</f>
        <v>2020003050021</v>
      </c>
      <c r="G765" s="49" t="s">
        <v>235</v>
      </c>
      <c r="H765" s="49" t="str">
        <f>VLOOKUP(Q765,[2]PROYECTOS!$V$1:$W$32,2,0)</f>
        <v>050061</v>
      </c>
      <c r="I765" s="50">
        <v>2095734</v>
      </c>
      <c r="J765" s="51" t="s">
        <v>1720</v>
      </c>
      <c r="K765" s="47" t="str">
        <f t="shared" ca="1" si="256"/>
        <v>CONTRATADO</v>
      </c>
      <c r="L765" s="47" t="s">
        <v>94</v>
      </c>
      <c r="M765" s="47" t="s">
        <v>1297</v>
      </c>
      <c r="N765" s="72" t="s">
        <v>245</v>
      </c>
      <c r="O765" s="51" t="e">
        <f>VLOOKUP(N765,[2]!RUBROS[#All],3,0)</f>
        <v>#REF!</v>
      </c>
      <c r="P765" s="53" t="e">
        <f>VLOOKUP(N765,[2]!RUBROS[#All],2,0)</f>
        <v>#REF!</v>
      </c>
      <c r="Q765" s="47" t="str">
        <f t="shared" si="257"/>
        <v>20</v>
      </c>
      <c r="R765" s="47" t="str">
        <f t="shared" si="258"/>
        <v>0-205400</v>
      </c>
      <c r="S765" s="54">
        <v>1</v>
      </c>
      <c r="T765" s="59" t="s">
        <v>46</v>
      </c>
      <c r="U765" s="326" t="e">
        <f ca="1">_xlfn.XLOOKUP(PAA_4[[#This Row],[ITEM]],[2]Contrato!A:A,[2]Contrato!Q:Q,"",0)</f>
        <v>#NAME?</v>
      </c>
      <c r="V765" s="47" t="s">
        <v>47</v>
      </c>
      <c r="W765" s="47" t="s">
        <v>119</v>
      </c>
      <c r="X765" s="47" t="s">
        <v>119</v>
      </c>
      <c r="Y765" s="55" t="e">
        <f ca="1">_xlfn.XLOOKUP(PAA_4[[#This Row],[ITEM]],[2]Contrato!A:A,[2]Contrato!B:B,"",0)</f>
        <v>#NAME?</v>
      </c>
      <c r="Z765" s="47" t="e">
        <f ca="1">_xlfn.XLOOKUP(PAA_4[[#This Row],[ITEM]],[2]Contrato!A:A,[2]Contrato!G:G,"",0)</f>
        <v>#NAME?</v>
      </c>
      <c r="AA765" s="47" t="e">
        <f ca="1">_xlfn.XLOOKUP(PAA_4[[#This Row],[ITEM]],[2]Contrato!A:A,[2]Contrato!T:T,"",0)</f>
        <v>#NAME?</v>
      </c>
      <c r="AB765" s="55" t="e">
        <f ca="1">+MAX(PAA_4[[#This Row],[Comprometido Contrato]],PAA_4[[#This Row],[Comprometido Bolsa]])</f>
        <v>#NAME?</v>
      </c>
      <c r="AC765" s="55" t="str">
        <f t="shared" ca="1" si="259"/>
        <v/>
      </c>
      <c r="AD765" s="55" t="e">
        <f ca="1">IF(PAA_4[[#This Row],[ESTADO (formulado)]]="NO CONTRATADO",0,MAX(PAA_4[[#This Row],[Pago por Contrato]],PAA_4[[#This Row],[Pago por bolsa]]))</f>
        <v>#NAME?</v>
      </c>
      <c r="AE765" s="55" t="str">
        <f t="shared" ca="1" si="260"/>
        <v/>
      </c>
      <c r="AF765" s="47" t="e">
        <f t="shared" ca="1" si="262"/>
        <v>#NAME?</v>
      </c>
      <c r="AG765" s="47">
        <f t="shared" si="261"/>
        <v>41080111</v>
      </c>
      <c r="AH765" s="54">
        <f>IF(Q765="22",IF(ISNUMBER(SEARCH("econ",PAA_4[[#This Row],[Actividad3]])),"Económico",IF(ISNUMBER(SEARCH("alim",PAA_4[[#This Row],[Actividad3]])),"Alimentación",IF(ISNUMBER(SEARCH("educ",PAA_4[[#This Row],[Actividad3]])),"Educativo","Técnico"))),0)</f>
        <v>0</v>
      </c>
      <c r="AI765" s="47" t="e" cm="1">
        <f t="array" aca="1" ref="AI765" ca="1">_xlfn.XLOOKUP(PAA_4[[#This Row],[RCP-RUBRO]],[2]!COMPROMISOS_2024[[#All],[concatenado]],[2]!COMPROMISOS_2024[[#All],[Total pagado]],"",0)</f>
        <v>#NAME?</v>
      </c>
      <c r="AJ765" s="56">
        <f>IF(PAA_4[[#This Row],[BOLSA]]=0,0,SUMIFS([2]!COMPROMISOS_2024[[#All],[Total pagado]],[2]!COMPROMISOS_2024[[#All],[Bolsa]],PAA_4[[#This Row],[BOLSA]],[2]!COMPROMISOS_2024[[#All],[rubro]],PAA_4[[#This Row],[RCP-RUBRO]]))</f>
        <v>0</v>
      </c>
      <c r="AK765" s="47" t="e" cm="1">
        <f t="array" aca="1" ref="AK765" ca="1">_xlfn.XLOOKUP(PAA_4[[#This Row],[RCP-RUBRO]],[2]!COMPROMISOS_2024[[#All],[concatenado]],[2]!COMPROMISOS_2024[[#All],[Total Comprometido]],"",0)</f>
        <v>#NAME?</v>
      </c>
      <c r="AL765" s="47">
        <f>IF(PAA_4[[#This Row],[BOLSA]]=0,0,SUMIFS([2]!COMPROMISOS_2024[[#All],[Total Comprometido]],[2]!COMPROMISOS_2024[[#All],[Bolsa]],PAA_4[[#This Row],[BOLSA]],[2]!COMPROMISOS_2024[[#All],[concatenado]],PAA_4[[#This Row],[RCP-RUBRO]]))</f>
        <v>0</v>
      </c>
    </row>
    <row r="766" spans="1:38" s="19" customFormat="1" ht="31.5" customHeight="1">
      <c r="A766" s="47">
        <v>696</v>
      </c>
      <c r="B766" s="47" t="s">
        <v>42</v>
      </c>
      <c r="C766" s="47" t="str">
        <f>VLOOKUP(PAA_4[[#This Row],[PROYECTO (formulado)2]],[2]PROYECTOS!$G$1:$L$32,6,0)</f>
        <v>SUBGERENCIA DE ALTOS LOGROS Y DEPORTE ASOCIADO</v>
      </c>
      <c r="D766" s="47" t="str">
        <f>+IF(PAA_4[[#This Row],[UNIDAD DE CONTRATACION (formulado)]]="Subgerencia Administrativa y Financiera","FUNCIONAMIENTO","INVERSIÓN")</f>
        <v>INVERSIÓN</v>
      </c>
      <c r="E766" s="48" t="str">
        <f>VLOOKUP(Q766,[2]PROYECTOS!$G$1:$K$32,5,0)</f>
        <v>DESARROLLO_DEL_POTENCIAL_DEPORTIVO_EN_EL_DEPARTAMENTO_DE_ANTIOQUIA</v>
      </c>
      <c r="F766" s="48">
        <f>VLOOKUP(E766,[2]PROYECTOS!$K$1:$M$32,3,0)</f>
        <v>2020003050022</v>
      </c>
      <c r="G766" s="49" t="s">
        <v>273</v>
      </c>
      <c r="H766" s="49" t="str">
        <f>VLOOKUP(Q766,[2]PROYECTOS!$V$1:$W$32,2,0)</f>
        <v>050065</v>
      </c>
      <c r="I766" s="50">
        <v>2095734</v>
      </c>
      <c r="J766" s="51" t="s">
        <v>1720</v>
      </c>
      <c r="K766" s="47" t="str">
        <f t="shared" ca="1" si="256"/>
        <v>CONTRATADO</v>
      </c>
      <c r="L766" s="47" t="s">
        <v>94</v>
      </c>
      <c r="M766" s="47" t="s">
        <v>1297</v>
      </c>
      <c r="N766" s="72" t="s">
        <v>246</v>
      </c>
      <c r="O766" s="51" t="e">
        <f>VLOOKUP(N766,[2]!RUBROS[#All],3,0)</f>
        <v>#REF!</v>
      </c>
      <c r="P766" s="53" t="e">
        <f>VLOOKUP(N766,[2]!RUBROS[#All],2,0)</f>
        <v>#REF!</v>
      </c>
      <c r="Q766" s="47" t="str">
        <f t="shared" si="257"/>
        <v>21</v>
      </c>
      <c r="R766" s="47" t="str">
        <f t="shared" si="258"/>
        <v>0-205400</v>
      </c>
      <c r="S766" s="54">
        <v>1</v>
      </c>
      <c r="T766" s="59" t="s">
        <v>46</v>
      </c>
      <c r="U766" s="326" t="e">
        <f ca="1">_xlfn.XLOOKUP(PAA_4[[#This Row],[ITEM]],[2]Contrato!A:A,[2]Contrato!Q:Q,"",0)</f>
        <v>#NAME?</v>
      </c>
      <c r="V766" s="47" t="s">
        <v>47</v>
      </c>
      <c r="W766" s="47" t="s">
        <v>119</v>
      </c>
      <c r="X766" s="47" t="s">
        <v>119</v>
      </c>
      <c r="Y766" s="55" t="e">
        <f ca="1">_xlfn.XLOOKUP(PAA_4[[#This Row],[ITEM]],[2]Contrato!A:A,[2]Contrato!B:B,"",0)</f>
        <v>#NAME?</v>
      </c>
      <c r="Z766" s="47" t="e">
        <f ca="1">_xlfn.XLOOKUP(PAA_4[[#This Row],[ITEM]],[2]Contrato!A:A,[2]Contrato!G:G,"",0)</f>
        <v>#NAME?</v>
      </c>
      <c r="AA766" s="47" t="e">
        <f ca="1">_xlfn.XLOOKUP(PAA_4[[#This Row],[ITEM]],[2]Contrato!A:A,[2]Contrato!T:T,"",0)</f>
        <v>#NAME?</v>
      </c>
      <c r="AB766" s="55" t="e">
        <f ca="1">+MAX(PAA_4[[#This Row],[Comprometido Contrato]],PAA_4[[#This Row],[Comprometido Bolsa]])</f>
        <v>#NAME?</v>
      </c>
      <c r="AC766" s="55" t="str">
        <f t="shared" ca="1" si="259"/>
        <v/>
      </c>
      <c r="AD766" s="55" t="e">
        <f ca="1">IF(PAA_4[[#This Row],[ESTADO (formulado)]]="NO CONTRATADO",0,MAX(PAA_4[[#This Row],[Pago por Contrato]],PAA_4[[#This Row],[Pago por bolsa]]))</f>
        <v>#NAME?</v>
      </c>
      <c r="AE766" s="55" t="str">
        <f t="shared" ca="1" si="260"/>
        <v/>
      </c>
      <c r="AF766" s="47" t="e">
        <f t="shared" ca="1" si="262"/>
        <v>#NAME?</v>
      </c>
      <c r="AG766" s="47">
        <f t="shared" si="261"/>
        <v>41080112</v>
      </c>
      <c r="AH766" s="54">
        <f>IF(Q766="22",IF(ISNUMBER(SEARCH("econ",PAA_4[[#This Row],[Actividad3]])),"Económico",IF(ISNUMBER(SEARCH("alim",PAA_4[[#This Row],[Actividad3]])),"Alimentación",IF(ISNUMBER(SEARCH("educ",PAA_4[[#This Row],[Actividad3]])),"Educativo","Técnico"))),0)</f>
        <v>0</v>
      </c>
      <c r="AI766" s="47" t="e" cm="1">
        <f t="array" aca="1" ref="AI766" ca="1">_xlfn.XLOOKUP(PAA_4[[#This Row],[RCP-RUBRO]],[2]!COMPROMISOS_2024[[#All],[concatenado]],[2]!COMPROMISOS_2024[[#All],[Total pagado]],"",0)</f>
        <v>#NAME?</v>
      </c>
      <c r="AJ766" s="56">
        <f>IF(PAA_4[[#This Row],[BOLSA]]=0,0,SUMIFS([2]!COMPROMISOS_2024[[#All],[Total pagado]],[2]!COMPROMISOS_2024[[#All],[Bolsa]],PAA_4[[#This Row],[BOLSA]],[2]!COMPROMISOS_2024[[#All],[rubro]],PAA_4[[#This Row],[RCP-RUBRO]]))</f>
        <v>0</v>
      </c>
      <c r="AK766" s="47" t="e" cm="1">
        <f t="array" aca="1" ref="AK766" ca="1">_xlfn.XLOOKUP(PAA_4[[#This Row],[RCP-RUBRO]],[2]!COMPROMISOS_2024[[#All],[concatenado]],[2]!COMPROMISOS_2024[[#All],[Total Comprometido]],"",0)</f>
        <v>#NAME?</v>
      </c>
      <c r="AL766" s="47">
        <f>IF(PAA_4[[#This Row],[BOLSA]]=0,0,SUMIFS([2]!COMPROMISOS_2024[[#All],[Total Comprometido]],[2]!COMPROMISOS_2024[[#All],[Bolsa]],PAA_4[[#This Row],[BOLSA]],[2]!COMPROMISOS_2024[[#All],[concatenado]],PAA_4[[#This Row],[RCP-RUBRO]]))</f>
        <v>0</v>
      </c>
    </row>
    <row r="767" spans="1:38" s="19" customFormat="1" ht="31.5" customHeight="1">
      <c r="A767" s="47" t="s">
        <v>82</v>
      </c>
      <c r="B767" s="47" t="s">
        <v>344</v>
      </c>
      <c r="C767" s="47" t="str">
        <f>VLOOKUP(PAA_4[[#This Row],[PROYECTO (formulado)2]],[2]PROYECTOS!$G$1:$L$32,6,0)</f>
        <v>SUBGERENCIA DE ALTOS LOGROS Y DEPORTE ASOCIADO</v>
      </c>
      <c r="D767" s="47" t="str">
        <f>+IF(PAA_4[[#This Row],[UNIDAD DE CONTRATACION (formulado)]]="Subgerencia Administrativa y Financiera","FUNCIONAMIENTO","INVERSIÓN")</f>
        <v>INVERSIÓN</v>
      </c>
      <c r="E767" s="48" t="str">
        <f>VLOOKUP(Q767,[2]PROYECTOS!$G$1:$K$32,5,0)</f>
        <v>FORTALECIMIENTO_DEL_PROGRAMA_DE_ALTOS_LOGROS_Y_LIDERAZGO_DEPORTIVO_EN_EL_DEPARTAMENTO_DE_ANTIOQUIA</v>
      </c>
      <c r="F767" s="48">
        <f>VLOOKUP(E767,[2]PROYECTOS!$K$1:$M$32,3,0)</f>
        <v>2020003050021</v>
      </c>
      <c r="G767" s="49" t="s">
        <v>235</v>
      </c>
      <c r="H767" s="49" t="str">
        <f>VLOOKUP(Q767,[2]PROYECTOS!$V$1:$W$32,2,0)</f>
        <v>050061</v>
      </c>
      <c r="I767" s="50">
        <v>0</v>
      </c>
      <c r="J767" s="51" t="s">
        <v>42</v>
      </c>
      <c r="K767" s="47" t="str">
        <f t="shared" ca="1" si="256"/>
        <v>CONTRATADO</v>
      </c>
      <c r="L767" s="47" t="s">
        <v>42</v>
      </c>
      <c r="M767" s="47" t="s">
        <v>42</v>
      </c>
      <c r="N767" s="52" t="s">
        <v>245</v>
      </c>
      <c r="O767" s="51" t="e">
        <f>VLOOKUP(N767,[2]!RUBROS[#All],3,0)</f>
        <v>#REF!</v>
      </c>
      <c r="P767" s="53" t="e">
        <f>VLOOKUP(N767,[2]!RUBROS[#All],2,0)</f>
        <v>#REF!</v>
      </c>
      <c r="Q767" s="47" t="str">
        <f t="shared" si="257"/>
        <v>20</v>
      </c>
      <c r="R767" s="47" t="str">
        <f t="shared" si="258"/>
        <v>0-205400</v>
      </c>
      <c r="S767" s="65" t="s">
        <v>42</v>
      </c>
      <c r="T767" s="59" t="s">
        <v>344</v>
      </c>
      <c r="U767" s="326" t="e">
        <f ca="1">_xlfn.XLOOKUP(PAA_4[[#This Row],[ITEM]],[2]Contrato!A:A,[2]Contrato!Q:Q,"",0)</f>
        <v>#NAME?</v>
      </c>
      <c r="V767" s="65" t="s">
        <v>95</v>
      </c>
      <c r="W767" s="65" t="s">
        <v>42</v>
      </c>
      <c r="X767" s="65" t="s">
        <v>42</v>
      </c>
      <c r="Y767" s="55" t="e">
        <f ca="1">_xlfn.XLOOKUP(PAA_4[[#This Row],[ITEM]],[2]Contrato!A:A,[2]Contrato!B:B,"",0)</f>
        <v>#NAME?</v>
      </c>
      <c r="Z767" s="47" t="e">
        <f ca="1">_xlfn.XLOOKUP(PAA_4[[#This Row],[ITEM]],[2]Contrato!A:A,[2]Contrato!G:G,"",0)</f>
        <v>#NAME?</v>
      </c>
      <c r="AA767" s="47" t="e">
        <f ca="1">_xlfn.XLOOKUP(PAA_4[[#This Row],[ITEM]],[2]Contrato!A:A,[2]Contrato!T:T,"",0)</f>
        <v>#NAME?</v>
      </c>
      <c r="AB767" s="55" t="e">
        <f ca="1">+MAX(PAA_4[[#This Row],[Comprometido Contrato]],PAA_4[[#This Row],[Comprometido Bolsa]])</f>
        <v>#NAME?</v>
      </c>
      <c r="AC767" s="55" t="str">
        <f t="shared" ca="1" si="259"/>
        <v/>
      </c>
      <c r="AD767" s="55" t="e">
        <f ca="1">IF(PAA_4[[#This Row],[ESTADO (formulado)]]="NO CONTRATADO",0,MAX(PAA_4[[#This Row],[Pago por Contrato]],PAA_4[[#This Row],[Pago por bolsa]]))</f>
        <v>#NAME?</v>
      </c>
      <c r="AE767" s="55" t="str">
        <f t="shared" ca="1" si="260"/>
        <v/>
      </c>
      <c r="AF767" s="47" t="e">
        <f t="shared" ca="1" si="262"/>
        <v>#NAME?</v>
      </c>
      <c r="AG767" s="47">
        <f t="shared" si="261"/>
        <v>41080111</v>
      </c>
      <c r="AH767" s="54">
        <f>IF(Q767="22",IF(ISNUMBER(SEARCH("econ",PAA_4[[#This Row],[Actividad3]])),"Económico",IF(ISNUMBER(SEARCH("alim",PAA_4[[#This Row],[Actividad3]])),"Alimentación",IF(ISNUMBER(SEARCH("educ",PAA_4[[#This Row],[Actividad3]])),"Educativo","Técnico"))),0)</f>
        <v>0</v>
      </c>
      <c r="AI767" s="47" t="e" cm="1">
        <f t="array" aca="1" ref="AI767" ca="1">_xlfn.XLOOKUP(PAA_4[[#This Row],[RCP-RUBRO]],[2]!COMPROMISOS_2024[[#All],[concatenado]],[2]!COMPROMISOS_2024[[#All],[Total pagado]],"",0)</f>
        <v>#NAME?</v>
      </c>
      <c r="AJ767" s="56">
        <f>IF(PAA_4[[#This Row],[BOLSA]]=0,0,SUMIFS([2]!COMPROMISOS_2024[[#All],[Total pagado]],[2]!COMPROMISOS_2024[[#All],[Bolsa]],PAA_4[[#This Row],[BOLSA]],[2]!COMPROMISOS_2024[[#All],[rubro]],PAA_4[[#This Row],[RCP-RUBRO]]))</f>
        <v>0</v>
      </c>
      <c r="AK767" s="47" t="e" cm="1">
        <f t="array" aca="1" ref="AK767" ca="1">_xlfn.XLOOKUP(PAA_4[[#This Row],[RCP-RUBRO]],[2]!COMPROMISOS_2024[[#All],[concatenado]],[2]!COMPROMISOS_2024[[#All],[Total Comprometido]],"",0)</f>
        <v>#NAME?</v>
      </c>
      <c r="AL767" s="47">
        <f>IF(PAA_4[[#This Row],[BOLSA]]=0,0,SUMIFS([2]!COMPROMISOS_2024[[#All],[Total Comprometido]],[2]!COMPROMISOS_2024[[#All],[Bolsa]],PAA_4[[#This Row],[BOLSA]],[2]!COMPROMISOS_2024[[#All],[concatenado]],PAA_4[[#This Row],[RCP-RUBRO]]))</f>
        <v>0</v>
      </c>
    </row>
    <row r="768" spans="1:38" s="19" customFormat="1" ht="31.5" customHeight="1">
      <c r="A768" s="47">
        <v>641</v>
      </c>
      <c r="B768" s="47">
        <v>80111600</v>
      </c>
      <c r="C768" s="47" t="str">
        <f>VLOOKUP(PAA_4[[#This Row],[PROYECTO (formulado)2]],[2]PROYECTOS!$G$1:$L$32,6,0)</f>
        <v>SUBGERENCIA DE ALTOS LOGROS Y DEPORTE ASOCIADO</v>
      </c>
      <c r="D768" s="47" t="str">
        <f>+IF(PAA_4[[#This Row],[UNIDAD DE CONTRATACION (formulado)]]="Subgerencia Administrativa y Financiera","FUNCIONAMIENTO","INVERSIÓN")</f>
        <v>INVERSIÓN</v>
      </c>
      <c r="E768" s="48" t="str">
        <f>VLOOKUP(Q768,[2]PROYECTOS!$G$1:$K$32,5,0)</f>
        <v>FORTALECIMIENTO_DEL_PROGRAMA_DE_ALTOS_LOGROS_Y_LIDERAZGO_DEPORTIVO_EN_EL_DEPARTAMENTO_DE_ANTIOQUIA</v>
      </c>
      <c r="F768" s="48">
        <f>VLOOKUP(E768,[2]PROYECTOS!$K$1:$M$32,3,0)</f>
        <v>2020003050021</v>
      </c>
      <c r="G768" s="49" t="s">
        <v>235</v>
      </c>
      <c r="H768" s="49" t="str">
        <f>VLOOKUP(Q768,[2]PROYECTOS!$V$1:$W$32,2,0)</f>
        <v>050061</v>
      </c>
      <c r="I768" s="50">
        <v>72725514</v>
      </c>
      <c r="J768" s="51" t="s">
        <v>1721</v>
      </c>
      <c r="K768" s="47" t="str">
        <f t="shared" ca="1" si="256"/>
        <v>CONTRATADO</v>
      </c>
      <c r="L768" s="47" t="s">
        <v>94</v>
      </c>
      <c r="M768" s="47" t="s">
        <v>1297</v>
      </c>
      <c r="N768" s="52" t="s">
        <v>223</v>
      </c>
      <c r="O768" s="51" t="e">
        <f>VLOOKUP(N768,[2]!RUBROS[#All],3,0)</f>
        <v>#REF!</v>
      </c>
      <c r="P768" s="53" t="e">
        <f>VLOOKUP(N768,[2]!RUBROS[#All],2,0)</f>
        <v>#REF!</v>
      </c>
      <c r="Q768" s="47" t="str">
        <f t="shared" si="257"/>
        <v>20</v>
      </c>
      <c r="R768" s="47" t="str">
        <f t="shared" si="258"/>
        <v>0-205400</v>
      </c>
      <c r="S768" s="54">
        <v>6</v>
      </c>
      <c r="T768" s="59" t="s">
        <v>46</v>
      </c>
      <c r="U768" s="326" t="e">
        <f ca="1">_xlfn.XLOOKUP(PAA_4[[#This Row],[ITEM]],[2]Contrato!A:A,[2]Contrato!Q:Q,"",0)</f>
        <v>#NAME?</v>
      </c>
      <c r="V768" s="47" t="s">
        <v>47</v>
      </c>
      <c r="W768" s="47" t="s">
        <v>122</v>
      </c>
      <c r="X768" s="47" t="s">
        <v>122</v>
      </c>
      <c r="Y768" s="55" t="e">
        <f ca="1">_xlfn.XLOOKUP(PAA_4[[#This Row],[ITEM]],[2]Contrato!A:A,[2]Contrato!B:B,"",0)</f>
        <v>#NAME?</v>
      </c>
      <c r="Z768" s="47" t="e">
        <f ca="1">_xlfn.XLOOKUP(PAA_4[[#This Row],[ITEM]],[2]Contrato!A:A,[2]Contrato!G:G,"",0)</f>
        <v>#NAME?</v>
      </c>
      <c r="AA768" s="47" t="e">
        <f ca="1">_xlfn.XLOOKUP(PAA_4[[#This Row],[ITEM]],[2]Contrato!A:A,[2]Contrato!T:T,"",0)</f>
        <v>#NAME?</v>
      </c>
      <c r="AB768" s="55" t="e">
        <f ca="1">+MAX(PAA_4[[#This Row],[Comprometido Contrato]],PAA_4[[#This Row],[Comprometido Bolsa]])</f>
        <v>#NAME?</v>
      </c>
      <c r="AC768" s="55" t="str">
        <f t="shared" ca="1" si="259"/>
        <v/>
      </c>
      <c r="AD768" s="55" t="e">
        <f ca="1">IF(PAA_4[[#This Row],[ESTADO (formulado)]]="NO CONTRATADO",0,MAX(PAA_4[[#This Row],[Pago por Contrato]],PAA_4[[#This Row],[Pago por bolsa]]))</f>
        <v>#NAME?</v>
      </c>
      <c r="AE768" s="55" t="str">
        <f t="shared" ca="1" si="260"/>
        <v/>
      </c>
      <c r="AF768" s="47" t="e">
        <f t="shared" ca="1" si="262"/>
        <v>#NAME?</v>
      </c>
      <c r="AG768" s="47">
        <f t="shared" si="261"/>
        <v>41080111</v>
      </c>
      <c r="AH768" s="54">
        <f>IF(Q768="22",IF(ISNUMBER(SEARCH("econ",PAA_4[[#This Row],[Actividad3]])),"Económico",IF(ISNUMBER(SEARCH("alim",PAA_4[[#This Row],[Actividad3]])),"Alimentación",IF(ISNUMBER(SEARCH("educ",PAA_4[[#This Row],[Actividad3]])),"Educativo","Técnico"))),0)</f>
        <v>0</v>
      </c>
      <c r="AI768" s="47" t="e" cm="1">
        <f t="array" aca="1" ref="AI768" ca="1">_xlfn.XLOOKUP(PAA_4[[#This Row],[RCP-RUBRO]],[2]!COMPROMISOS_2024[[#All],[concatenado]],[2]!COMPROMISOS_2024[[#All],[Total pagado]],"",0)</f>
        <v>#NAME?</v>
      </c>
      <c r="AJ768" s="56">
        <f>IF(PAA_4[[#This Row],[BOLSA]]=0,0,SUMIFS([2]!COMPROMISOS_2024[[#All],[Total pagado]],[2]!COMPROMISOS_2024[[#All],[Bolsa]],PAA_4[[#This Row],[BOLSA]],[2]!COMPROMISOS_2024[[#All],[rubro]],PAA_4[[#This Row],[RCP-RUBRO]]))</f>
        <v>0</v>
      </c>
      <c r="AK768" s="47" t="e" cm="1">
        <f t="array" aca="1" ref="AK768" ca="1">_xlfn.XLOOKUP(PAA_4[[#This Row],[RCP-RUBRO]],[2]!COMPROMISOS_2024[[#All],[concatenado]],[2]!COMPROMISOS_2024[[#All],[Total Comprometido]],"",0)</f>
        <v>#NAME?</v>
      </c>
      <c r="AL768" s="47">
        <f>IF(PAA_4[[#This Row],[BOLSA]]=0,0,SUMIFS([2]!COMPROMISOS_2024[[#All],[Total Comprometido]],[2]!COMPROMISOS_2024[[#All],[Bolsa]],PAA_4[[#This Row],[BOLSA]],[2]!COMPROMISOS_2024[[#All],[concatenado]],PAA_4[[#This Row],[RCP-RUBRO]]))</f>
        <v>0</v>
      </c>
    </row>
    <row r="769" spans="1:38" s="19" customFormat="1" ht="31.5" customHeight="1">
      <c r="A769" s="47">
        <v>641</v>
      </c>
      <c r="B769" s="47">
        <v>80111600</v>
      </c>
      <c r="C769" s="47" t="str">
        <f>VLOOKUP(PAA_4[[#This Row],[PROYECTO (formulado)2]],[2]PROYECTOS!$G$1:$L$32,6,0)</f>
        <v>SUBGERENCIA DE ALTOS LOGROS Y DEPORTE ASOCIADO</v>
      </c>
      <c r="D769" s="47" t="str">
        <f>+IF(PAA_4[[#This Row],[UNIDAD DE CONTRATACION (formulado)]]="Subgerencia Administrativa y Financiera","FUNCIONAMIENTO","INVERSIÓN")</f>
        <v>INVERSIÓN</v>
      </c>
      <c r="E769" s="48" t="str">
        <f>VLOOKUP(Q769,[2]PROYECTOS!$G$1:$K$32,5,0)</f>
        <v>FORTALECIMIENTO_DEL_PROGRAMA_DE_ALTOS_LOGROS_Y_LIDERAZGO_DEPORTIVO_EN_EL_DEPARTAMENTO_DE_ANTIOQUIA</v>
      </c>
      <c r="F769" s="48">
        <f>VLOOKUP(E769,[2]PROYECTOS!$K$1:$M$32,3,0)</f>
        <v>2020003050021</v>
      </c>
      <c r="G769" s="49" t="s">
        <v>235</v>
      </c>
      <c r="H769" s="49" t="str">
        <f>VLOOKUP(Q769,[2]PROYECTOS!$V$1:$W$32,2,0)</f>
        <v>050061</v>
      </c>
      <c r="I769" s="50">
        <f>18606882-6352800</f>
        <v>12254082</v>
      </c>
      <c r="J769" s="51" t="s">
        <v>1721</v>
      </c>
      <c r="K769" s="47" t="str">
        <f t="shared" ca="1" si="256"/>
        <v>CONTRATADO</v>
      </c>
      <c r="L769" s="47" t="s">
        <v>94</v>
      </c>
      <c r="M769" s="47" t="s">
        <v>1297</v>
      </c>
      <c r="N769" s="52" t="s">
        <v>237</v>
      </c>
      <c r="O769" s="51" t="e">
        <f>VLOOKUP(N769,[2]!RUBROS[#All],3,0)</f>
        <v>#REF!</v>
      </c>
      <c r="P769" s="53" t="e">
        <f>VLOOKUP(N769,[2]!RUBROS[#All],2,0)</f>
        <v>#REF!</v>
      </c>
      <c r="Q769" s="47" t="str">
        <f t="shared" si="257"/>
        <v>20</v>
      </c>
      <c r="R769" s="47" t="str">
        <f t="shared" si="258"/>
        <v>0-205400</v>
      </c>
      <c r="S769" s="54">
        <v>6</v>
      </c>
      <c r="T769" s="59" t="s">
        <v>46</v>
      </c>
      <c r="U769" s="326" t="e">
        <f ca="1">_xlfn.XLOOKUP(PAA_4[[#This Row],[ITEM]],[2]Contrato!A:A,[2]Contrato!Q:Q,"",0)</f>
        <v>#NAME?</v>
      </c>
      <c r="V769" s="47" t="s">
        <v>47</v>
      </c>
      <c r="W769" s="47" t="s">
        <v>122</v>
      </c>
      <c r="X769" s="47" t="s">
        <v>122</v>
      </c>
      <c r="Y769" s="55" t="e">
        <f ca="1">_xlfn.XLOOKUP(PAA_4[[#This Row],[ITEM]],[2]Contrato!A:A,[2]Contrato!B:B,"",0)</f>
        <v>#NAME?</v>
      </c>
      <c r="Z769" s="47" t="e">
        <f ca="1">_xlfn.XLOOKUP(PAA_4[[#This Row],[ITEM]],[2]Contrato!A:A,[2]Contrato!G:G,"",0)</f>
        <v>#NAME?</v>
      </c>
      <c r="AA769" s="47" t="e">
        <f ca="1">_xlfn.XLOOKUP(PAA_4[[#This Row],[ITEM]],[2]Contrato!A:A,[2]Contrato!T:T,"",0)</f>
        <v>#NAME?</v>
      </c>
      <c r="AB769" s="55" t="e">
        <f ca="1">+MAX(PAA_4[[#This Row],[Comprometido Contrato]],PAA_4[[#This Row],[Comprometido Bolsa]])</f>
        <v>#NAME?</v>
      </c>
      <c r="AC769" s="55" t="str">
        <f t="shared" ca="1" si="259"/>
        <v/>
      </c>
      <c r="AD769" s="55" t="e">
        <f ca="1">IF(PAA_4[[#This Row],[ESTADO (formulado)]]="NO CONTRATADO",0,MAX(PAA_4[[#This Row],[Pago por Contrato]],PAA_4[[#This Row],[Pago por bolsa]]))</f>
        <v>#NAME?</v>
      </c>
      <c r="AE769" s="55" t="str">
        <f t="shared" ca="1" si="260"/>
        <v/>
      </c>
      <c r="AF769" s="47" t="e">
        <f t="shared" ca="1" si="262"/>
        <v>#NAME?</v>
      </c>
      <c r="AG769" s="47">
        <f t="shared" si="261"/>
        <v>41080111</v>
      </c>
      <c r="AH769" s="54">
        <f>IF(Q769="22",IF(ISNUMBER(SEARCH("econ",PAA_4[[#This Row],[Actividad3]])),"Económico",IF(ISNUMBER(SEARCH("alim",PAA_4[[#This Row],[Actividad3]])),"Alimentación",IF(ISNUMBER(SEARCH("educ",PAA_4[[#This Row],[Actividad3]])),"Educativo","Técnico"))),0)</f>
        <v>0</v>
      </c>
      <c r="AI769" s="47" t="e" cm="1">
        <f t="array" aca="1" ref="AI769" ca="1">_xlfn.XLOOKUP(PAA_4[[#This Row],[RCP-RUBRO]],[2]!COMPROMISOS_2024[[#All],[concatenado]],[2]!COMPROMISOS_2024[[#All],[Total pagado]],"",0)</f>
        <v>#NAME?</v>
      </c>
      <c r="AJ769" s="56">
        <f>IF(PAA_4[[#This Row],[BOLSA]]=0,0,SUMIFS([2]!COMPROMISOS_2024[[#All],[Total pagado]],[2]!COMPROMISOS_2024[[#All],[Bolsa]],PAA_4[[#This Row],[BOLSA]],[2]!COMPROMISOS_2024[[#All],[rubro]],PAA_4[[#This Row],[RCP-RUBRO]]))</f>
        <v>0</v>
      </c>
      <c r="AK769" s="47" t="e" cm="1">
        <f t="array" aca="1" ref="AK769" ca="1">_xlfn.XLOOKUP(PAA_4[[#This Row],[RCP-RUBRO]],[2]!COMPROMISOS_2024[[#All],[concatenado]],[2]!COMPROMISOS_2024[[#All],[Total Comprometido]],"",0)</f>
        <v>#NAME?</v>
      </c>
      <c r="AL769" s="47">
        <f>IF(PAA_4[[#This Row],[BOLSA]]=0,0,SUMIFS([2]!COMPROMISOS_2024[[#All],[Total Comprometido]],[2]!COMPROMISOS_2024[[#All],[Bolsa]],PAA_4[[#This Row],[BOLSA]],[2]!COMPROMISOS_2024[[#All],[concatenado]],PAA_4[[#This Row],[RCP-RUBRO]]))</f>
        <v>0</v>
      </c>
    </row>
    <row r="770" spans="1:38" s="19" customFormat="1" ht="31.5" customHeight="1">
      <c r="A770" s="47">
        <v>642</v>
      </c>
      <c r="B770" s="47">
        <v>80111600</v>
      </c>
      <c r="C770" s="47" t="str">
        <f>VLOOKUP(PAA_4[[#This Row],[PROYECTO (formulado)2]],[2]PROYECTOS!$G$1:$L$32,6,0)</f>
        <v>SUBGERENCIA DE ALTOS LOGROS Y DEPORTE ASOCIADO</v>
      </c>
      <c r="D770" s="47" t="str">
        <f>+IF(PAA_4[[#This Row],[UNIDAD DE CONTRATACION (formulado)]]="Subgerencia Administrativa y Financiera","FUNCIONAMIENTO","INVERSIÓN")</f>
        <v>INVERSIÓN</v>
      </c>
      <c r="E770" s="48" t="str">
        <f>VLOOKUP(Q770,[2]PROYECTOS!$G$1:$K$32,5,0)</f>
        <v>FORTALECIMIENTO_DEL_PROGRAMA_DE_ALTOS_LOGROS_Y_LIDERAZGO_DEPORTIVO_EN_EL_DEPARTAMENTO_DE_ANTIOQUIA</v>
      </c>
      <c r="F770" s="48">
        <f>VLOOKUP(E770,[2]PROYECTOS!$K$1:$M$32,3,0)</f>
        <v>2020003050021</v>
      </c>
      <c r="G770" s="49" t="s">
        <v>235</v>
      </c>
      <c r="H770" s="49" t="str">
        <f>VLOOKUP(Q770,[2]PROYECTOS!$V$1:$W$32,2,0)</f>
        <v>050061</v>
      </c>
      <c r="I770" s="50">
        <v>41274486</v>
      </c>
      <c r="J770" s="51" t="s">
        <v>1722</v>
      </c>
      <c r="K770" s="47" t="str">
        <f t="shared" ca="1" si="256"/>
        <v>CONTRATADO</v>
      </c>
      <c r="L770" s="47" t="s">
        <v>94</v>
      </c>
      <c r="M770" s="47" t="s">
        <v>1297</v>
      </c>
      <c r="N770" s="52" t="s">
        <v>223</v>
      </c>
      <c r="O770" s="51" t="e">
        <f>VLOOKUP(N770,[2]!RUBROS[#All],3,0)</f>
        <v>#REF!</v>
      </c>
      <c r="P770" s="53" t="e">
        <f>VLOOKUP(N770,[2]!RUBROS[#All],2,0)</f>
        <v>#REF!</v>
      </c>
      <c r="Q770" s="47" t="str">
        <f t="shared" si="257"/>
        <v>20</v>
      </c>
      <c r="R770" s="47" t="str">
        <f t="shared" si="258"/>
        <v>0-205400</v>
      </c>
      <c r="S770" s="54">
        <v>8</v>
      </c>
      <c r="T770" s="59" t="s">
        <v>46</v>
      </c>
      <c r="U770" s="326" t="e">
        <f ca="1">_xlfn.XLOOKUP(PAA_4[[#This Row],[ITEM]],[2]Contrato!A:A,[2]Contrato!Q:Q,"",0)</f>
        <v>#NAME?</v>
      </c>
      <c r="V770" s="47" t="s">
        <v>47</v>
      </c>
      <c r="W770" s="47" t="s">
        <v>122</v>
      </c>
      <c r="X770" s="47" t="s">
        <v>122</v>
      </c>
      <c r="Y770" s="55" t="e">
        <f ca="1">_xlfn.XLOOKUP(PAA_4[[#This Row],[ITEM]],[2]Contrato!A:A,[2]Contrato!B:B,"",0)</f>
        <v>#NAME?</v>
      </c>
      <c r="Z770" s="47" t="e">
        <f ca="1">_xlfn.XLOOKUP(PAA_4[[#This Row],[ITEM]],[2]Contrato!A:A,[2]Contrato!G:G,"",0)</f>
        <v>#NAME?</v>
      </c>
      <c r="AA770" s="47" t="e">
        <f ca="1">_xlfn.XLOOKUP(PAA_4[[#This Row],[ITEM]],[2]Contrato!A:A,[2]Contrato!T:T,"",0)</f>
        <v>#NAME?</v>
      </c>
      <c r="AB770" s="55" t="e">
        <f ca="1">+MAX(PAA_4[[#This Row],[Comprometido Contrato]],PAA_4[[#This Row],[Comprometido Bolsa]])</f>
        <v>#NAME?</v>
      </c>
      <c r="AC770" s="55" t="str">
        <f t="shared" ca="1" si="259"/>
        <v/>
      </c>
      <c r="AD770" s="55" t="e">
        <f ca="1">IF(PAA_4[[#This Row],[ESTADO (formulado)]]="NO CONTRATADO",0,MAX(PAA_4[[#This Row],[Pago por Contrato]],PAA_4[[#This Row],[Pago por bolsa]]))</f>
        <v>#NAME?</v>
      </c>
      <c r="AE770" s="55" t="str">
        <f t="shared" ca="1" si="260"/>
        <v/>
      </c>
      <c r="AF770" s="47" t="e">
        <f t="shared" ca="1" si="262"/>
        <v>#NAME?</v>
      </c>
      <c r="AG770" s="47">
        <f t="shared" si="261"/>
        <v>41080111</v>
      </c>
      <c r="AH770" s="54">
        <f>IF(Q770="22",IF(ISNUMBER(SEARCH("econ",PAA_4[[#This Row],[Actividad3]])),"Económico",IF(ISNUMBER(SEARCH("alim",PAA_4[[#This Row],[Actividad3]])),"Alimentación",IF(ISNUMBER(SEARCH("educ",PAA_4[[#This Row],[Actividad3]])),"Educativo","Técnico"))),0)</f>
        <v>0</v>
      </c>
      <c r="AI770" s="47" t="e" cm="1">
        <f t="array" aca="1" ref="AI770" ca="1">_xlfn.XLOOKUP(PAA_4[[#This Row],[RCP-RUBRO]],[2]!COMPROMISOS_2024[[#All],[concatenado]],[2]!COMPROMISOS_2024[[#All],[Total pagado]],"",0)</f>
        <v>#NAME?</v>
      </c>
      <c r="AJ770" s="56">
        <f>IF(PAA_4[[#This Row],[BOLSA]]=0,0,SUMIFS([2]!COMPROMISOS_2024[[#All],[Total pagado]],[2]!COMPROMISOS_2024[[#All],[Bolsa]],PAA_4[[#This Row],[BOLSA]],[2]!COMPROMISOS_2024[[#All],[rubro]],PAA_4[[#This Row],[RCP-RUBRO]]))</f>
        <v>0</v>
      </c>
      <c r="AK770" s="47" t="e" cm="1">
        <f t="array" aca="1" ref="AK770" ca="1">_xlfn.XLOOKUP(PAA_4[[#This Row],[RCP-RUBRO]],[2]!COMPROMISOS_2024[[#All],[concatenado]],[2]!COMPROMISOS_2024[[#All],[Total Comprometido]],"",0)</f>
        <v>#NAME?</v>
      </c>
      <c r="AL770" s="47">
        <f>IF(PAA_4[[#This Row],[BOLSA]]=0,0,SUMIFS([2]!COMPROMISOS_2024[[#All],[Total Comprometido]],[2]!COMPROMISOS_2024[[#All],[Bolsa]],PAA_4[[#This Row],[BOLSA]],[2]!COMPROMISOS_2024[[#All],[concatenado]],PAA_4[[#This Row],[RCP-RUBRO]]))</f>
        <v>0</v>
      </c>
    </row>
    <row r="771" spans="1:38" s="19" customFormat="1" ht="31.5" customHeight="1">
      <c r="A771" s="47">
        <v>630</v>
      </c>
      <c r="B771" s="47">
        <v>80111600</v>
      </c>
      <c r="C771" s="47" t="str">
        <f>VLOOKUP(PAA_4[[#This Row],[PROYECTO (formulado)2]],[2]PROYECTOS!$G$1:$L$32,6,0)</f>
        <v>SUBGERENCIA DE ALTOS LOGROS Y DEPORTE ASOCIADO</v>
      </c>
      <c r="D771" s="47" t="str">
        <f>+IF(PAA_4[[#This Row],[UNIDAD DE CONTRATACION (formulado)]]="Subgerencia Administrativa y Financiera","FUNCIONAMIENTO","INVERSIÓN")</f>
        <v>INVERSIÓN</v>
      </c>
      <c r="E771" s="48" t="str">
        <f>VLOOKUP(Q771,[2]PROYECTOS!$G$1:$K$32,5,0)</f>
        <v>FORTALECIMIENTO_DEL_PROGRAMA_DE_ALTOS_LOGROS_Y_LIDERAZGO_DEPORTIVO_EN_EL_DEPARTAMENTO_DE_ANTIOQUIA</v>
      </c>
      <c r="F771" s="48">
        <f>VLOOKUP(E771,[2]PROYECTOS!$K$1:$M$32,3,0)</f>
        <v>2020003050021</v>
      </c>
      <c r="G771" s="49" t="s">
        <v>235</v>
      </c>
      <c r="H771" s="49" t="str">
        <f>VLOOKUP(Q771,[2]PROYECTOS!$V$1:$W$32,2,0)</f>
        <v>050061</v>
      </c>
      <c r="I771" s="50">
        <v>20637243</v>
      </c>
      <c r="J771" s="51" t="s">
        <v>1723</v>
      </c>
      <c r="K771" s="47" t="str">
        <f t="shared" ca="1" si="256"/>
        <v>CONTRATADO</v>
      </c>
      <c r="L771" s="47" t="s">
        <v>94</v>
      </c>
      <c r="M771" s="47" t="s">
        <v>1297</v>
      </c>
      <c r="N771" s="52" t="s">
        <v>245</v>
      </c>
      <c r="O771" s="51" t="e">
        <f>VLOOKUP(N771,[2]!RUBROS[#All],3,0)</f>
        <v>#REF!</v>
      </c>
      <c r="P771" s="53" t="e">
        <f>VLOOKUP(N771,[2]!RUBROS[#All],2,0)</f>
        <v>#REF!</v>
      </c>
      <c r="Q771" s="47" t="str">
        <f t="shared" si="257"/>
        <v>20</v>
      </c>
      <c r="R771" s="47" t="str">
        <f t="shared" si="258"/>
        <v>0-205400</v>
      </c>
      <c r="S771" s="54">
        <v>6</v>
      </c>
      <c r="T771" s="59" t="s">
        <v>46</v>
      </c>
      <c r="U771" s="326" t="e">
        <f ca="1">_xlfn.XLOOKUP(PAA_4[[#This Row],[ITEM]],[2]Contrato!A:A,[2]Contrato!Q:Q,"",0)</f>
        <v>#NAME?</v>
      </c>
      <c r="V771" s="47" t="s">
        <v>47</v>
      </c>
      <c r="W771" s="47" t="s">
        <v>122</v>
      </c>
      <c r="X771" s="47" t="s">
        <v>122</v>
      </c>
      <c r="Y771" s="55" t="e">
        <f ca="1">_xlfn.XLOOKUP(PAA_4[[#This Row],[ITEM]],[2]Contrato!A:A,[2]Contrato!B:B,"",0)</f>
        <v>#NAME?</v>
      </c>
      <c r="Z771" s="47" t="e">
        <f ca="1">_xlfn.XLOOKUP(PAA_4[[#This Row],[ITEM]],[2]Contrato!A:A,[2]Contrato!G:G,"",0)</f>
        <v>#NAME?</v>
      </c>
      <c r="AA771" s="47" t="e">
        <f ca="1">_xlfn.XLOOKUP(PAA_4[[#This Row],[ITEM]],[2]Contrato!A:A,[2]Contrato!T:T,"",0)</f>
        <v>#NAME?</v>
      </c>
      <c r="AB771" s="55" t="e">
        <f ca="1">+MAX(PAA_4[[#This Row],[Comprometido Contrato]],PAA_4[[#This Row],[Comprometido Bolsa]])</f>
        <v>#NAME?</v>
      </c>
      <c r="AC771" s="55" t="str">
        <f t="shared" ca="1" si="259"/>
        <v/>
      </c>
      <c r="AD771" s="55" t="e">
        <f ca="1">IF(PAA_4[[#This Row],[ESTADO (formulado)]]="NO CONTRATADO",0,MAX(PAA_4[[#This Row],[Pago por Contrato]],PAA_4[[#This Row],[Pago por bolsa]]))</f>
        <v>#NAME?</v>
      </c>
      <c r="AE771" s="55" t="str">
        <f t="shared" ca="1" si="260"/>
        <v/>
      </c>
      <c r="AF771" s="47" t="e">
        <f t="shared" ca="1" si="262"/>
        <v>#NAME?</v>
      </c>
      <c r="AG771" s="47">
        <f t="shared" si="261"/>
        <v>41080111</v>
      </c>
      <c r="AH771" s="54">
        <f>IF(Q771="22",IF(ISNUMBER(SEARCH("econ",PAA_4[[#This Row],[Actividad3]])),"Económico",IF(ISNUMBER(SEARCH("alim",PAA_4[[#This Row],[Actividad3]])),"Alimentación",IF(ISNUMBER(SEARCH("educ",PAA_4[[#This Row],[Actividad3]])),"Educativo","Técnico"))),0)</f>
        <v>0</v>
      </c>
      <c r="AI771" s="47" t="e" cm="1">
        <f t="array" aca="1" ref="AI771" ca="1">_xlfn.XLOOKUP(PAA_4[[#This Row],[RCP-RUBRO]],[2]!COMPROMISOS_2024[[#All],[concatenado]],[2]!COMPROMISOS_2024[[#All],[Total pagado]],"",0)</f>
        <v>#NAME?</v>
      </c>
      <c r="AJ771" s="56">
        <f>IF(PAA_4[[#This Row],[BOLSA]]=0,0,SUMIFS([2]!COMPROMISOS_2024[[#All],[Total pagado]],[2]!COMPROMISOS_2024[[#All],[Bolsa]],PAA_4[[#This Row],[BOLSA]],[2]!COMPROMISOS_2024[[#All],[rubro]],PAA_4[[#This Row],[RCP-RUBRO]]))</f>
        <v>0</v>
      </c>
      <c r="AK771" s="47" t="e" cm="1">
        <f t="array" aca="1" ref="AK771" ca="1">_xlfn.XLOOKUP(PAA_4[[#This Row],[RCP-RUBRO]],[2]!COMPROMISOS_2024[[#All],[concatenado]],[2]!COMPROMISOS_2024[[#All],[Total Comprometido]],"",0)</f>
        <v>#NAME?</v>
      </c>
      <c r="AL771" s="47">
        <f>IF(PAA_4[[#This Row],[BOLSA]]=0,0,SUMIFS([2]!COMPROMISOS_2024[[#All],[Total Comprometido]],[2]!COMPROMISOS_2024[[#All],[Bolsa]],PAA_4[[#This Row],[BOLSA]],[2]!COMPROMISOS_2024[[#All],[concatenado]],PAA_4[[#This Row],[RCP-RUBRO]]))</f>
        <v>0</v>
      </c>
    </row>
    <row r="772" spans="1:38" s="19" customFormat="1" ht="31.5" customHeight="1">
      <c r="A772" s="47">
        <v>630</v>
      </c>
      <c r="B772" s="47">
        <v>80111600</v>
      </c>
      <c r="C772" s="47" t="str">
        <f>VLOOKUP(PAA_4[[#This Row],[PROYECTO (formulado)2]],[2]PROYECTOS!$G$1:$L$32,6,0)</f>
        <v>SUBGERENCIA DE ALTOS LOGROS Y DEPORTE ASOCIADO</v>
      </c>
      <c r="D772" s="47" t="str">
        <f>+IF(PAA_4[[#This Row],[UNIDAD DE CONTRATACION (formulado)]]="Subgerencia Administrativa y Financiera","FUNCIONAMIENTO","INVERSIÓN")</f>
        <v>INVERSIÓN</v>
      </c>
      <c r="E772" s="48" t="str">
        <f>VLOOKUP(Q772,[2]PROYECTOS!$G$1:$K$32,5,0)</f>
        <v>DESARROLLO_DEL_POTENCIAL_DEPORTIVO_EN_EL_DEPARTAMENTO_DE_ANTIOQUIA</v>
      </c>
      <c r="F772" s="48">
        <f>VLOOKUP(E772,[2]PROYECTOS!$K$1:$M$32,3,0)</f>
        <v>2020003050022</v>
      </c>
      <c r="G772" s="49" t="s">
        <v>273</v>
      </c>
      <c r="H772" s="49" t="str">
        <f>VLOOKUP(Q772,[2]PROYECTOS!$V$1:$W$32,2,0)</f>
        <v>050065</v>
      </c>
      <c r="I772" s="50">
        <v>20637243</v>
      </c>
      <c r="J772" s="51" t="s">
        <v>1723</v>
      </c>
      <c r="K772" s="47" t="str">
        <f t="shared" ca="1" si="256"/>
        <v>CONTRATADO</v>
      </c>
      <c r="L772" s="47" t="s">
        <v>94</v>
      </c>
      <c r="M772" s="47" t="s">
        <v>1297</v>
      </c>
      <c r="N772" s="52" t="s">
        <v>246</v>
      </c>
      <c r="O772" s="51" t="e">
        <f>VLOOKUP(N772,[2]!RUBROS[#All],3,0)</f>
        <v>#REF!</v>
      </c>
      <c r="P772" s="53" t="e">
        <f>VLOOKUP(N772,[2]!RUBROS[#All],2,0)</f>
        <v>#REF!</v>
      </c>
      <c r="Q772" s="47" t="str">
        <f t="shared" si="257"/>
        <v>21</v>
      </c>
      <c r="R772" s="47" t="str">
        <f t="shared" si="258"/>
        <v>0-205400</v>
      </c>
      <c r="S772" s="54">
        <v>6</v>
      </c>
      <c r="T772" s="59" t="s">
        <v>46</v>
      </c>
      <c r="U772" s="326" t="e">
        <f ca="1">_xlfn.XLOOKUP(PAA_4[[#This Row],[ITEM]],[2]Contrato!A:A,[2]Contrato!Q:Q,"",0)</f>
        <v>#NAME?</v>
      </c>
      <c r="V772" s="47" t="s">
        <v>47</v>
      </c>
      <c r="W772" s="47" t="s">
        <v>122</v>
      </c>
      <c r="X772" s="47" t="s">
        <v>122</v>
      </c>
      <c r="Y772" s="55" t="e">
        <f ca="1">_xlfn.XLOOKUP(PAA_4[[#This Row],[ITEM]],[2]Contrato!A:A,[2]Contrato!B:B,"",0)</f>
        <v>#NAME?</v>
      </c>
      <c r="Z772" s="47" t="e">
        <f ca="1">_xlfn.XLOOKUP(PAA_4[[#This Row],[ITEM]],[2]Contrato!A:A,[2]Contrato!G:G,"",0)</f>
        <v>#NAME?</v>
      </c>
      <c r="AA772" s="47" t="e">
        <f ca="1">_xlfn.XLOOKUP(PAA_4[[#This Row],[ITEM]],[2]Contrato!A:A,[2]Contrato!T:T,"",0)</f>
        <v>#NAME?</v>
      </c>
      <c r="AB772" s="55" t="e">
        <f ca="1">+MAX(PAA_4[[#This Row],[Comprometido Contrato]],PAA_4[[#This Row],[Comprometido Bolsa]])</f>
        <v>#NAME?</v>
      </c>
      <c r="AC772" s="55" t="str">
        <f t="shared" ca="1" si="259"/>
        <v/>
      </c>
      <c r="AD772" s="55" t="e">
        <f ca="1">IF(PAA_4[[#This Row],[ESTADO (formulado)]]="NO CONTRATADO",0,MAX(PAA_4[[#This Row],[Pago por Contrato]],PAA_4[[#This Row],[Pago por bolsa]]))</f>
        <v>#NAME?</v>
      </c>
      <c r="AE772" s="55" t="str">
        <f t="shared" ca="1" si="260"/>
        <v/>
      </c>
      <c r="AF772" s="47" t="e">
        <f t="shared" ca="1" si="262"/>
        <v>#NAME?</v>
      </c>
      <c r="AG772" s="47">
        <f t="shared" si="261"/>
        <v>41080112</v>
      </c>
      <c r="AH772" s="54">
        <f>IF(Q772="22",IF(ISNUMBER(SEARCH("econ",PAA_4[[#This Row],[Actividad3]])),"Económico",IF(ISNUMBER(SEARCH("alim",PAA_4[[#This Row],[Actividad3]])),"Alimentación",IF(ISNUMBER(SEARCH("educ",PAA_4[[#This Row],[Actividad3]])),"Educativo","Técnico"))),0)</f>
        <v>0</v>
      </c>
      <c r="AI772" s="47" t="e" cm="1">
        <f t="array" aca="1" ref="AI772" ca="1">_xlfn.XLOOKUP(PAA_4[[#This Row],[RCP-RUBRO]],[2]!COMPROMISOS_2024[[#All],[concatenado]],[2]!COMPROMISOS_2024[[#All],[Total pagado]],"",0)</f>
        <v>#NAME?</v>
      </c>
      <c r="AJ772" s="56">
        <f>IF(PAA_4[[#This Row],[BOLSA]]=0,0,SUMIFS([2]!COMPROMISOS_2024[[#All],[Total pagado]],[2]!COMPROMISOS_2024[[#All],[Bolsa]],PAA_4[[#This Row],[BOLSA]],[2]!COMPROMISOS_2024[[#All],[rubro]],PAA_4[[#This Row],[RCP-RUBRO]]))</f>
        <v>0</v>
      </c>
      <c r="AK772" s="47" t="e" cm="1">
        <f t="array" aca="1" ref="AK772" ca="1">_xlfn.XLOOKUP(PAA_4[[#This Row],[RCP-RUBRO]],[2]!COMPROMISOS_2024[[#All],[concatenado]],[2]!COMPROMISOS_2024[[#All],[Total Comprometido]],"",0)</f>
        <v>#NAME?</v>
      </c>
      <c r="AL772" s="47">
        <f>IF(PAA_4[[#This Row],[BOLSA]]=0,0,SUMIFS([2]!COMPROMISOS_2024[[#All],[Total Comprometido]],[2]!COMPROMISOS_2024[[#All],[Bolsa]],PAA_4[[#This Row],[BOLSA]],[2]!COMPROMISOS_2024[[#All],[concatenado]],PAA_4[[#This Row],[RCP-RUBRO]]))</f>
        <v>0</v>
      </c>
    </row>
    <row r="773" spans="1:38" s="19" customFormat="1" ht="31.5" customHeight="1">
      <c r="A773" s="47">
        <v>631</v>
      </c>
      <c r="B773" s="47">
        <v>80111600</v>
      </c>
      <c r="C773" s="47" t="str">
        <f>VLOOKUP(PAA_4[[#This Row],[PROYECTO (formulado)2]],[2]PROYECTOS!$G$1:$L$32,6,0)</f>
        <v>SUBGERENCIA DE ALTOS LOGROS Y DEPORTE ASOCIADO</v>
      </c>
      <c r="D773" s="47" t="str">
        <f>+IF(PAA_4[[#This Row],[UNIDAD DE CONTRATACION (formulado)]]="Subgerencia Administrativa y Financiera","FUNCIONAMIENTO","INVERSIÓN")</f>
        <v>INVERSIÓN</v>
      </c>
      <c r="E773" s="48" t="str">
        <f>VLOOKUP(Q773,[2]PROYECTOS!$G$1:$K$32,5,0)</f>
        <v>FORTALECIMIENTO_DEL_PROGRAMA_DE_ALTOS_LOGROS_Y_LIDERAZGO_DEPORTIVO_EN_EL_DEPARTAMENTO_DE_ANTIOQUIA</v>
      </c>
      <c r="F773" s="48">
        <f>VLOOKUP(E773,[2]PROYECTOS!$K$1:$M$32,3,0)</f>
        <v>2020003050021</v>
      </c>
      <c r="G773" s="49" t="s">
        <v>235</v>
      </c>
      <c r="H773" s="49" t="str">
        <f>VLOOKUP(Q773,[2]PROYECTOS!$V$1:$W$32,2,0)</f>
        <v>050061</v>
      </c>
      <c r="I773" s="50">
        <v>41274486</v>
      </c>
      <c r="J773" s="51" t="s">
        <v>1724</v>
      </c>
      <c r="K773" s="47" t="str">
        <f t="shared" ca="1" si="256"/>
        <v>CONTRATADO</v>
      </c>
      <c r="L773" s="47" t="s">
        <v>94</v>
      </c>
      <c r="M773" s="47" t="s">
        <v>1297</v>
      </c>
      <c r="N773" s="52" t="s">
        <v>245</v>
      </c>
      <c r="O773" s="51" t="e">
        <f>VLOOKUP(N773,[2]!RUBROS[#All],3,0)</f>
        <v>#REF!</v>
      </c>
      <c r="P773" s="53" t="e">
        <f>VLOOKUP(N773,[2]!RUBROS[#All],2,0)</f>
        <v>#REF!</v>
      </c>
      <c r="Q773" s="47" t="str">
        <f t="shared" si="257"/>
        <v>20</v>
      </c>
      <c r="R773" s="47" t="str">
        <f t="shared" si="258"/>
        <v>0-205400</v>
      </c>
      <c r="S773" s="54">
        <v>6</v>
      </c>
      <c r="T773" s="59" t="s">
        <v>46</v>
      </c>
      <c r="U773" s="326" t="e">
        <f ca="1">_xlfn.XLOOKUP(PAA_4[[#This Row],[ITEM]],[2]Contrato!A:A,[2]Contrato!Q:Q,"",0)</f>
        <v>#NAME?</v>
      </c>
      <c r="V773" s="47" t="s">
        <v>47</v>
      </c>
      <c r="W773" s="47" t="s">
        <v>96</v>
      </c>
      <c r="X773" s="47" t="s">
        <v>96</v>
      </c>
      <c r="Y773" s="55" t="e">
        <f ca="1">_xlfn.XLOOKUP(PAA_4[[#This Row],[ITEM]],[2]Contrato!A:A,[2]Contrato!B:B,"",0)</f>
        <v>#NAME?</v>
      </c>
      <c r="Z773" s="47" t="e">
        <f ca="1">_xlfn.XLOOKUP(PAA_4[[#This Row],[ITEM]],[2]Contrato!A:A,[2]Contrato!G:G,"",0)</f>
        <v>#NAME?</v>
      </c>
      <c r="AA773" s="47" t="e">
        <f ca="1">_xlfn.XLOOKUP(PAA_4[[#This Row],[ITEM]],[2]Contrato!A:A,[2]Contrato!T:T,"",0)</f>
        <v>#NAME?</v>
      </c>
      <c r="AB773" s="55" t="e">
        <f ca="1">+MAX(PAA_4[[#This Row],[Comprometido Contrato]],PAA_4[[#This Row],[Comprometido Bolsa]])</f>
        <v>#NAME?</v>
      </c>
      <c r="AC773" s="55" t="str">
        <f t="shared" ca="1" si="259"/>
        <v/>
      </c>
      <c r="AD773" s="55" t="e">
        <f ca="1">IF(PAA_4[[#This Row],[ESTADO (formulado)]]="NO CONTRATADO",0,MAX(PAA_4[[#This Row],[Pago por Contrato]],PAA_4[[#This Row],[Pago por bolsa]]))</f>
        <v>#NAME?</v>
      </c>
      <c r="AE773" s="55" t="str">
        <f t="shared" ca="1" si="260"/>
        <v/>
      </c>
      <c r="AF773" s="47" t="e">
        <f t="shared" ca="1" si="262"/>
        <v>#NAME?</v>
      </c>
      <c r="AG773" s="47">
        <f t="shared" si="261"/>
        <v>41080111</v>
      </c>
      <c r="AH773" s="54">
        <f>IF(Q773="22",IF(ISNUMBER(SEARCH("econ",PAA_4[[#This Row],[Actividad3]])),"Económico",IF(ISNUMBER(SEARCH("alim",PAA_4[[#This Row],[Actividad3]])),"Alimentación",IF(ISNUMBER(SEARCH("educ",PAA_4[[#This Row],[Actividad3]])),"Educativo","Técnico"))),0)</f>
        <v>0</v>
      </c>
      <c r="AI773" s="47" t="e" cm="1">
        <f t="array" aca="1" ref="AI773" ca="1">_xlfn.XLOOKUP(PAA_4[[#This Row],[RCP-RUBRO]],[2]!COMPROMISOS_2024[[#All],[concatenado]],[2]!COMPROMISOS_2024[[#All],[Total pagado]],"",0)</f>
        <v>#NAME?</v>
      </c>
      <c r="AJ773" s="56">
        <f>IF(PAA_4[[#This Row],[BOLSA]]=0,0,SUMIFS([2]!COMPROMISOS_2024[[#All],[Total pagado]],[2]!COMPROMISOS_2024[[#All],[Bolsa]],PAA_4[[#This Row],[BOLSA]],[2]!COMPROMISOS_2024[[#All],[rubro]],PAA_4[[#This Row],[RCP-RUBRO]]))</f>
        <v>0</v>
      </c>
      <c r="AK773" s="47" t="e" cm="1">
        <f t="array" aca="1" ref="AK773" ca="1">_xlfn.XLOOKUP(PAA_4[[#This Row],[RCP-RUBRO]],[2]!COMPROMISOS_2024[[#All],[concatenado]],[2]!COMPROMISOS_2024[[#All],[Total Comprometido]],"",0)</f>
        <v>#NAME?</v>
      </c>
      <c r="AL773" s="47">
        <f>IF(PAA_4[[#This Row],[BOLSA]]=0,0,SUMIFS([2]!COMPROMISOS_2024[[#All],[Total Comprometido]],[2]!COMPROMISOS_2024[[#All],[Bolsa]],PAA_4[[#This Row],[BOLSA]],[2]!COMPROMISOS_2024[[#All],[concatenado]],PAA_4[[#This Row],[RCP-RUBRO]]))</f>
        <v>0</v>
      </c>
    </row>
    <row r="774" spans="1:38" s="19" customFormat="1" ht="31.5" customHeight="1">
      <c r="A774" s="47" t="s">
        <v>82</v>
      </c>
      <c r="B774" s="47" t="s">
        <v>42</v>
      </c>
      <c r="C774" s="47" t="str">
        <f>VLOOKUP(PAA_4[[#This Row],[PROYECTO (formulado)2]],[2]PROYECTOS!$G$1:$L$32,6,0)</f>
        <v>SUBGERENCIA DE ALTOS LOGROS Y DEPORTE ASOCIADO</v>
      </c>
      <c r="D774" s="47" t="str">
        <f>+IF(PAA_4[[#This Row],[UNIDAD DE CONTRATACION (formulado)]]="Subgerencia Administrativa y Financiera","FUNCIONAMIENTO","INVERSIÓN")</f>
        <v>INVERSIÓN</v>
      </c>
      <c r="E774" s="48" t="str">
        <f>VLOOKUP(Q774,[2]PROYECTOS!$G$1:$K$32,5,0)</f>
        <v>DESARROLLO_DEL_POTENCIAL_DEPORTIVO_EN_EL_DEPARTAMENTO_DE_ANTIOQUIA</v>
      </c>
      <c r="F774" s="48">
        <f>VLOOKUP(E774,[2]PROYECTOS!$K$1:$M$32,3,0)</f>
        <v>2020003050022</v>
      </c>
      <c r="G774" s="49" t="s">
        <v>273</v>
      </c>
      <c r="H774" s="49" t="str">
        <f>VLOOKUP(Q774,[2]PROYECTOS!$V$1:$W$32,2,0)</f>
        <v>050065</v>
      </c>
      <c r="I774" s="50">
        <v>0</v>
      </c>
      <c r="J774" s="51" t="s">
        <v>42</v>
      </c>
      <c r="K774" s="47" t="str">
        <f t="shared" ca="1" si="256"/>
        <v>CONTRATADO</v>
      </c>
      <c r="L774" s="47" t="s">
        <v>42</v>
      </c>
      <c r="M774" s="47" t="s">
        <v>42</v>
      </c>
      <c r="N774" s="52" t="s">
        <v>246</v>
      </c>
      <c r="O774" s="51" t="e">
        <f>VLOOKUP(N774,[2]!RUBROS[#All],3,0)</f>
        <v>#REF!</v>
      </c>
      <c r="P774" s="53" t="e">
        <f>VLOOKUP(N774,[2]!RUBROS[#All],2,0)</f>
        <v>#REF!</v>
      </c>
      <c r="Q774" s="47" t="str">
        <f t="shared" si="257"/>
        <v>21</v>
      </c>
      <c r="R774" s="47" t="str">
        <f t="shared" si="258"/>
        <v>0-205400</v>
      </c>
      <c r="S774" s="54">
        <v>190</v>
      </c>
      <c r="T774" s="59" t="s">
        <v>120</v>
      </c>
      <c r="U774" s="326" t="e">
        <f ca="1">_xlfn.XLOOKUP(PAA_4[[#This Row],[ITEM]],[2]Contrato!A:A,[2]Contrato!Q:Q,"",0)</f>
        <v>#NAME?</v>
      </c>
      <c r="V774" s="47" t="s">
        <v>47</v>
      </c>
      <c r="W774" s="47" t="s">
        <v>154</v>
      </c>
      <c r="X774" s="47" t="s">
        <v>154</v>
      </c>
      <c r="Y774" s="55" t="e">
        <f ca="1">_xlfn.XLOOKUP(PAA_4[[#This Row],[ITEM]],[2]Contrato!A:A,[2]Contrato!B:B,"",0)</f>
        <v>#NAME?</v>
      </c>
      <c r="Z774" s="47" t="e">
        <f ca="1">_xlfn.XLOOKUP(PAA_4[[#This Row],[ITEM]],[2]Contrato!A:A,[2]Contrato!G:G,"",0)</f>
        <v>#NAME?</v>
      </c>
      <c r="AA774" s="47" t="e">
        <f ca="1">_xlfn.XLOOKUP(PAA_4[[#This Row],[ITEM]],[2]Contrato!A:A,[2]Contrato!T:T,"",0)</f>
        <v>#NAME?</v>
      </c>
      <c r="AB774" s="55" t="e">
        <f ca="1">+MAX(PAA_4[[#This Row],[Comprometido Contrato]],PAA_4[[#This Row],[Comprometido Bolsa]])</f>
        <v>#NAME?</v>
      </c>
      <c r="AC774" s="55" t="str">
        <f t="shared" ca="1" si="259"/>
        <v/>
      </c>
      <c r="AD774" s="55" t="e">
        <f ca="1">IF(PAA_4[[#This Row],[ESTADO (formulado)]]="NO CONTRATADO",0,MAX(PAA_4[[#This Row],[Pago por Contrato]],PAA_4[[#This Row],[Pago por bolsa]]))</f>
        <v>#NAME?</v>
      </c>
      <c r="AE774" s="55" t="str">
        <f t="shared" ca="1" si="260"/>
        <v/>
      </c>
      <c r="AF774" s="47" t="e">
        <f t="shared" ca="1" si="262"/>
        <v>#NAME?</v>
      </c>
      <c r="AG774" s="47">
        <f t="shared" si="261"/>
        <v>41080112</v>
      </c>
      <c r="AH774" s="54">
        <f>IF(Q774="22",IF(ISNUMBER(SEARCH("econ",PAA_4[[#This Row],[Actividad3]])),"Económico",IF(ISNUMBER(SEARCH("alim",PAA_4[[#This Row],[Actividad3]])),"Alimentación",IF(ISNUMBER(SEARCH("educ",PAA_4[[#This Row],[Actividad3]])),"Educativo","Técnico"))),0)</f>
        <v>0</v>
      </c>
      <c r="AI774" s="47" t="e" cm="1">
        <f t="array" aca="1" ref="AI774" ca="1">_xlfn.XLOOKUP(PAA_4[[#This Row],[RCP-RUBRO]],[2]!COMPROMISOS_2024[[#All],[concatenado]],[2]!COMPROMISOS_2024[[#All],[Total pagado]],"",0)</f>
        <v>#NAME?</v>
      </c>
      <c r="AJ774" s="56">
        <f>IF(PAA_4[[#This Row],[BOLSA]]=0,0,SUMIFS([2]!COMPROMISOS_2024[[#All],[Total pagado]],[2]!COMPROMISOS_2024[[#All],[Bolsa]],PAA_4[[#This Row],[BOLSA]],[2]!COMPROMISOS_2024[[#All],[rubro]],PAA_4[[#This Row],[RCP-RUBRO]]))</f>
        <v>0</v>
      </c>
      <c r="AK774" s="47" t="e" cm="1">
        <f t="array" aca="1" ref="AK774" ca="1">_xlfn.XLOOKUP(PAA_4[[#This Row],[RCP-RUBRO]],[2]!COMPROMISOS_2024[[#All],[concatenado]],[2]!COMPROMISOS_2024[[#All],[Total Comprometido]],"",0)</f>
        <v>#NAME?</v>
      </c>
      <c r="AL774" s="47">
        <f>IF(PAA_4[[#This Row],[BOLSA]]=0,0,SUMIFS([2]!COMPROMISOS_2024[[#All],[Total Comprometido]],[2]!COMPROMISOS_2024[[#All],[Bolsa]],PAA_4[[#This Row],[BOLSA]],[2]!COMPROMISOS_2024[[#All],[concatenado]],PAA_4[[#This Row],[RCP-RUBRO]]))</f>
        <v>0</v>
      </c>
    </row>
    <row r="775" spans="1:38" s="19" customFormat="1" ht="31.5" customHeight="1">
      <c r="A775" s="47">
        <v>594</v>
      </c>
      <c r="B775" s="47">
        <v>80111600</v>
      </c>
      <c r="C775" s="47" t="str">
        <f>VLOOKUP(PAA_4[[#This Row],[PROYECTO (formulado)2]],[2]PROYECTOS!$G$1:$L$32,6,0)</f>
        <v>SUBGERENCIA DE ALTOS LOGROS Y DEPORTE ASOCIADO</v>
      </c>
      <c r="D775" s="47" t="str">
        <f>+IF(PAA_4[[#This Row],[UNIDAD DE CONTRATACION (formulado)]]="Subgerencia Administrativa y Financiera","FUNCIONAMIENTO","INVERSIÓN")</f>
        <v>INVERSIÓN</v>
      </c>
      <c r="E775" s="48" t="str">
        <f>VLOOKUP(Q775,[2]PROYECTOS!$G$1:$K$32,5,0)</f>
        <v>APOYO_TÉCNICO_Y_PSICOSOCIAL_A_LOS_DEPORTISTAS_DE_ANTIOQUIA</v>
      </c>
      <c r="F775" s="48">
        <f>VLOOKUP(E775,[2]PROYECTOS!$K$1:$M$32,3,0)</f>
        <v>2021003050069</v>
      </c>
      <c r="G775" s="49" t="s">
        <v>239</v>
      </c>
      <c r="H775" s="49" t="str">
        <f>VLOOKUP(Q775,[2]PROYECTOS!$V$1:$W$32,2,0)</f>
        <v>050069</v>
      </c>
      <c r="I775" s="50">
        <v>29453616</v>
      </c>
      <c r="J775" s="51" t="s">
        <v>1725</v>
      </c>
      <c r="K775" s="47" t="str">
        <f t="shared" ca="1" si="256"/>
        <v>CONTRATADO</v>
      </c>
      <c r="L775" s="47" t="s">
        <v>94</v>
      </c>
      <c r="M775" s="47" t="s">
        <v>1297</v>
      </c>
      <c r="N775" s="52" t="s">
        <v>240</v>
      </c>
      <c r="O775" s="51" t="e">
        <f>VLOOKUP(N775,[2]!RUBROS[#All],3,0)</f>
        <v>#REF!</v>
      </c>
      <c r="P775" s="53" t="e">
        <f>VLOOKUP(N775,[2]!RUBROS[#All],2,0)</f>
        <v>#REF!</v>
      </c>
      <c r="Q775" s="47" t="str">
        <f t="shared" si="257"/>
        <v>22</v>
      </c>
      <c r="R775" s="47" t="str">
        <f t="shared" si="258"/>
        <v>0-205400</v>
      </c>
      <c r="S775" s="54">
        <v>6</v>
      </c>
      <c r="T775" s="59" t="s">
        <v>46</v>
      </c>
      <c r="U775" s="326" t="e">
        <f ca="1">_xlfn.XLOOKUP(PAA_4[[#This Row],[ITEM]],[2]Contrato!A:A,[2]Contrato!Q:Q,"",0)</f>
        <v>#NAME?</v>
      </c>
      <c r="V775" s="47" t="s">
        <v>47</v>
      </c>
      <c r="W775" s="47" t="s">
        <v>96</v>
      </c>
      <c r="X775" s="47" t="s">
        <v>96</v>
      </c>
      <c r="Y775" s="55" t="e">
        <f ca="1">_xlfn.XLOOKUP(PAA_4[[#This Row],[ITEM]],[2]Contrato!A:A,[2]Contrato!B:B,"",0)</f>
        <v>#NAME?</v>
      </c>
      <c r="Z775" s="47" t="e">
        <f ca="1">_xlfn.XLOOKUP(PAA_4[[#This Row],[ITEM]],[2]Contrato!A:A,[2]Contrato!G:G,"",0)</f>
        <v>#NAME?</v>
      </c>
      <c r="AA775" s="47" t="e">
        <f ca="1">_xlfn.XLOOKUP(PAA_4[[#This Row],[ITEM]],[2]Contrato!A:A,[2]Contrato!T:T,"",0)</f>
        <v>#NAME?</v>
      </c>
      <c r="AB775" s="55" t="e">
        <f ca="1">+MAX(PAA_4[[#This Row],[Comprometido Contrato]],PAA_4[[#This Row],[Comprometido Bolsa]])</f>
        <v>#NAME?</v>
      </c>
      <c r="AC775" s="55" t="str">
        <f t="shared" ca="1" si="259"/>
        <v/>
      </c>
      <c r="AD775" s="55" t="e">
        <f ca="1">IF(PAA_4[[#This Row],[ESTADO (formulado)]]="NO CONTRATADO",0,MAX(PAA_4[[#This Row],[Pago por Contrato]],PAA_4[[#This Row],[Pago por bolsa]]))</f>
        <v>#NAME?</v>
      </c>
      <c r="AE775" s="55" t="str">
        <f t="shared" ca="1" si="260"/>
        <v/>
      </c>
      <c r="AF775" s="47" t="e">
        <f t="shared" ca="1" si="262"/>
        <v>#NAME?</v>
      </c>
      <c r="AG775" s="47">
        <f t="shared" si="261"/>
        <v>41080101</v>
      </c>
      <c r="AH775" s="54" t="str">
        <f>IF(Q775="22",IF(ISNUMBER(SEARCH("econ",PAA_4[[#This Row],[Actividad3]])),"Económico",IF(ISNUMBER(SEARCH("alim",PAA_4[[#This Row],[Actividad3]])),"Alimentación",IF(ISNUMBER(SEARCH("educ",PAA_4[[#This Row],[Actividad3]])),"Educativo","Técnico"))),0)</f>
        <v>Técnico</v>
      </c>
      <c r="AI775" s="47" t="e" cm="1">
        <f t="array" aca="1" ref="AI775" ca="1">_xlfn.XLOOKUP(PAA_4[[#This Row],[RCP-RUBRO]],[2]!COMPROMISOS_2024[[#All],[concatenado]],[2]!COMPROMISOS_2024[[#All],[Total pagado]],"",0)</f>
        <v>#NAME?</v>
      </c>
      <c r="AJ775" s="56" t="e">
        <f ca="1">IF(PAA_4[[#This Row],[BOLSA]]=0,0,SUMIFS([2]!COMPROMISOS_2024[[#All],[Total pagado]],[2]!COMPROMISOS_2024[[#All],[Bolsa]],PAA_4[[#This Row],[BOLSA]],[2]!COMPROMISOS_2024[[#All],[rubro]],PAA_4[[#This Row],[RCP-RUBRO]]))</f>
        <v>#REF!</v>
      </c>
      <c r="AK775" s="47" t="e" cm="1">
        <f t="array" aca="1" ref="AK775" ca="1">_xlfn.XLOOKUP(PAA_4[[#This Row],[RCP-RUBRO]],[2]!COMPROMISOS_2024[[#All],[concatenado]],[2]!COMPROMISOS_2024[[#All],[Total Comprometido]],"",0)</f>
        <v>#NAME?</v>
      </c>
      <c r="AL775" s="47" t="e">
        <f ca="1">IF(PAA_4[[#This Row],[BOLSA]]=0,0,SUMIFS([2]!COMPROMISOS_2024[[#All],[Total Comprometido]],[2]!COMPROMISOS_2024[[#All],[Bolsa]],PAA_4[[#This Row],[BOLSA]],[2]!COMPROMISOS_2024[[#All],[concatenado]],PAA_4[[#This Row],[RCP-RUBRO]]))</f>
        <v>#REF!</v>
      </c>
    </row>
    <row r="776" spans="1:38" s="19" customFormat="1" ht="31.5" customHeight="1">
      <c r="A776" s="47">
        <v>595</v>
      </c>
      <c r="B776" s="47">
        <v>80111600</v>
      </c>
      <c r="C776" s="47" t="str">
        <f>VLOOKUP(PAA_4[[#This Row],[PROYECTO (formulado)2]],[2]PROYECTOS!$G$1:$L$32,6,0)</f>
        <v>SUBGERENCIA DE ALTOS LOGROS Y DEPORTE ASOCIADO</v>
      </c>
      <c r="D776" s="47" t="str">
        <f>+IF(PAA_4[[#This Row],[UNIDAD DE CONTRATACION (formulado)]]="Subgerencia Administrativa y Financiera","FUNCIONAMIENTO","INVERSIÓN")</f>
        <v>INVERSIÓN</v>
      </c>
      <c r="E776" s="48" t="str">
        <f>VLOOKUP(Q776,[2]PROYECTOS!$G$1:$K$32,5,0)</f>
        <v>APOYO_TÉCNICO_Y_PSICOSOCIAL_A_LOS_DEPORTISTAS_DE_ANTIOQUIA</v>
      </c>
      <c r="F776" s="48">
        <f>VLOOKUP(E776,[2]PROYECTOS!$K$1:$M$32,3,0)</f>
        <v>2021003050069</v>
      </c>
      <c r="G776" s="49" t="s">
        <v>241</v>
      </c>
      <c r="H776" s="49" t="str">
        <f>VLOOKUP(Q776,[2]PROYECTOS!$V$1:$W$32,2,0)</f>
        <v>050069</v>
      </c>
      <c r="I776" s="50">
        <v>23714292</v>
      </c>
      <c r="J776" s="51" t="s">
        <v>1726</v>
      </c>
      <c r="K776" s="47" t="str">
        <f t="shared" ca="1" si="256"/>
        <v>CONTRATADO</v>
      </c>
      <c r="L776" s="47" t="s">
        <v>94</v>
      </c>
      <c r="M776" s="47" t="s">
        <v>1297</v>
      </c>
      <c r="N776" s="52" t="s">
        <v>240</v>
      </c>
      <c r="O776" s="51" t="e">
        <f>VLOOKUP(N776,[2]!RUBROS[#All],3,0)</f>
        <v>#REF!</v>
      </c>
      <c r="P776" s="53" t="e">
        <f>VLOOKUP(N776,[2]!RUBROS[#All],2,0)</f>
        <v>#REF!</v>
      </c>
      <c r="Q776" s="47" t="str">
        <f t="shared" si="257"/>
        <v>22</v>
      </c>
      <c r="R776" s="47" t="str">
        <f t="shared" si="258"/>
        <v>0-205400</v>
      </c>
      <c r="S776" s="54">
        <v>6</v>
      </c>
      <c r="T776" s="59" t="s">
        <v>46</v>
      </c>
      <c r="U776" s="326" t="e">
        <f ca="1">_xlfn.XLOOKUP(PAA_4[[#This Row],[ITEM]],[2]Contrato!A:A,[2]Contrato!Q:Q,"",0)</f>
        <v>#NAME?</v>
      </c>
      <c r="V776" s="47" t="s">
        <v>47</v>
      </c>
      <c r="W776" s="47" t="s">
        <v>96</v>
      </c>
      <c r="X776" s="47" t="s">
        <v>96</v>
      </c>
      <c r="Y776" s="55" t="e">
        <f ca="1">_xlfn.XLOOKUP(PAA_4[[#This Row],[ITEM]],[2]Contrato!A:A,[2]Contrato!B:B,"",0)</f>
        <v>#NAME?</v>
      </c>
      <c r="Z776" s="47" t="e">
        <f ca="1">_xlfn.XLOOKUP(PAA_4[[#This Row],[ITEM]],[2]Contrato!A:A,[2]Contrato!G:G,"",0)</f>
        <v>#NAME?</v>
      </c>
      <c r="AA776" s="47" t="e">
        <f ca="1">_xlfn.XLOOKUP(PAA_4[[#This Row],[ITEM]],[2]Contrato!A:A,[2]Contrato!T:T,"",0)</f>
        <v>#NAME?</v>
      </c>
      <c r="AB776" s="55" t="e">
        <f ca="1">+MAX(PAA_4[[#This Row],[Comprometido Contrato]],PAA_4[[#This Row],[Comprometido Bolsa]])</f>
        <v>#NAME?</v>
      </c>
      <c r="AC776" s="55" t="str">
        <f t="shared" ca="1" si="259"/>
        <v/>
      </c>
      <c r="AD776" s="55" t="e">
        <f ca="1">IF(PAA_4[[#This Row],[ESTADO (formulado)]]="NO CONTRATADO",0,MAX(PAA_4[[#This Row],[Pago por Contrato]],PAA_4[[#This Row],[Pago por bolsa]]))</f>
        <v>#NAME?</v>
      </c>
      <c r="AE776" s="55" t="str">
        <f t="shared" ca="1" si="260"/>
        <v/>
      </c>
      <c r="AF776" s="47" t="e">
        <f t="shared" ca="1" si="262"/>
        <v>#NAME?</v>
      </c>
      <c r="AG776" s="47">
        <f t="shared" si="261"/>
        <v>41080106</v>
      </c>
      <c r="AH776" s="54" t="str">
        <f>IF(Q776="22",IF(ISNUMBER(SEARCH("econ",PAA_4[[#This Row],[Actividad3]])),"Económico",IF(ISNUMBER(SEARCH("alim",PAA_4[[#This Row],[Actividad3]])),"Alimentación",IF(ISNUMBER(SEARCH("educ",PAA_4[[#This Row],[Actividad3]])),"Educativo","Técnico"))),0)</f>
        <v>Técnico</v>
      </c>
      <c r="AI776" s="47" t="e" cm="1">
        <f t="array" aca="1" ref="AI776" ca="1">_xlfn.XLOOKUP(PAA_4[[#This Row],[RCP-RUBRO]],[2]!COMPROMISOS_2024[[#All],[concatenado]],[2]!COMPROMISOS_2024[[#All],[Total pagado]],"",0)</f>
        <v>#NAME?</v>
      </c>
      <c r="AJ776" s="56" t="e">
        <f ca="1">IF(PAA_4[[#This Row],[BOLSA]]=0,0,SUMIFS([2]!COMPROMISOS_2024[[#All],[Total pagado]],[2]!COMPROMISOS_2024[[#All],[Bolsa]],PAA_4[[#This Row],[BOLSA]],[2]!COMPROMISOS_2024[[#All],[rubro]],PAA_4[[#This Row],[RCP-RUBRO]]))</f>
        <v>#REF!</v>
      </c>
      <c r="AK776" s="47" t="e" cm="1">
        <f t="array" aca="1" ref="AK776" ca="1">_xlfn.XLOOKUP(PAA_4[[#This Row],[RCP-RUBRO]],[2]!COMPROMISOS_2024[[#All],[concatenado]],[2]!COMPROMISOS_2024[[#All],[Total Comprometido]],"",0)</f>
        <v>#NAME?</v>
      </c>
      <c r="AL776" s="47" t="e">
        <f ca="1">IF(PAA_4[[#This Row],[BOLSA]]=0,0,SUMIFS([2]!COMPROMISOS_2024[[#All],[Total Comprometido]],[2]!COMPROMISOS_2024[[#All],[Bolsa]],PAA_4[[#This Row],[BOLSA]],[2]!COMPROMISOS_2024[[#All],[concatenado]],PAA_4[[#This Row],[RCP-RUBRO]]))</f>
        <v>#REF!</v>
      </c>
    </row>
    <row r="777" spans="1:38" s="19" customFormat="1" ht="31.5" customHeight="1">
      <c r="A777" s="47">
        <v>596</v>
      </c>
      <c r="B777" s="47">
        <v>80111600</v>
      </c>
      <c r="C777" s="47" t="str">
        <f>VLOOKUP(PAA_4[[#This Row],[PROYECTO (formulado)2]],[2]PROYECTOS!$G$1:$L$32,6,0)</f>
        <v>SUBGERENCIA DE ALTOS LOGROS Y DEPORTE ASOCIADO</v>
      </c>
      <c r="D777" s="47" t="str">
        <f>+IF(PAA_4[[#This Row],[UNIDAD DE CONTRATACION (formulado)]]="Subgerencia Administrativa y Financiera","FUNCIONAMIENTO","INVERSIÓN")</f>
        <v>INVERSIÓN</v>
      </c>
      <c r="E777" s="48" t="str">
        <f>VLOOKUP(Q777,[2]PROYECTOS!$G$1:$K$32,5,0)</f>
        <v>APOYO_TÉCNICO_Y_PSICOSOCIAL_A_LOS_DEPORTISTAS_DE_ANTIOQUIA</v>
      </c>
      <c r="F777" s="48">
        <f>VLOOKUP(E777,[2]PROYECTOS!$K$1:$M$32,3,0)</f>
        <v>2021003050069</v>
      </c>
      <c r="G777" s="49" t="s">
        <v>241</v>
      </c>
      <c r="H777" s="49" t="str">
        <f>VLOOKUP(Q777,[2]PROYECTOS!$V$1:$W$32,2,0)</f>
        <v>050069</v>
      </c>
      <c r="I777" s="50">
        <v>15449052</v>
      </c>
      <c r="J777" s="51" t="s">
        <v>1727</v>
      </c>
      <c r="K777" s="47" t="str">
        <f t="shared" ca="1" si="256"/>
        <v>CONTRATADO</v>
      </c>
      <c r="L777" s="47" t="s">
        <v>94</v>
      </c>
      <c r="M777" s="47" t="s">
        <v>1297</v>
      </c>
      <c r="N777" s="52" t="s">
        <v>240</v>
      </c>
      <c r="O777" s="51" t="e">
        <f>VLOOKUP(N777,[2]!RUBROS[#All],3,0)</f>
        <v>#REF!</v>
      </c>
      <c r="P777" s="53" t="e">
        <f>VLOOKUP(N777,[2]!RUBROS[#All],2,0)</f>
        <v>#REF!</v>
      </c>
      <c r="Q777" s="47" t="str">
        <f t="shared" si="257"/>
        <v>22</v>
      </c>
      <c r="R777" s="47" t="str">
        <f t="shared" si="258"/>
        <v>0-205400</v>
      </c>
      <c r="S777" s="54">
        <v>6</v>
      </c>
      <c r="T777" s="59" t="s">
        <v>46</v>
      </c>
      <c r="U777" s="326" t="e">
        <f ca="1">_xlfn.XLOOKUP(PAA_4[[#This Row],[ITEM]],[2]Contrato!A:A,[2]Contrato!Q:Q,"",0)</f>
        <v>#NAME?</v>
      </c>
      <c r="V777" s="47" t="s">
        <v>47</v>
      </c>
      <c r="W777" s="47" t="s">
        <v>96</v>
      </c>
      <c r="X777" s="47" t="s">
        <v>96</v>
      </c>
      <c r="Y777" s="55" t="e">
        <f ca="1">_xlfn.XLOOKUP(PAA_4[[#This Row],[ITEM]],[2]Contrato!A:A,[2]Contrato!B:B,"",0)</f>
        <v>#NAME?</v>
      </c>
      <c r="Z777" s="47" t="e">
        <f ca="1">_xlfn.XLOOKUP(PAA_4[[#This Row],[ITEM]],[2]Contrato!A:A,[2]Contrato!G:G,"",0)</f>
        <v>#NAME?</v>
      </c>
      <c r="AA777" s="47" t="e">
        <f ca="1">_xlfn.XLOOKUP(PAA_4[[#This Row],[ITEM]],[2]Contrato!A:A,[2]Contrato!T:T,"",0)</f>
        <v>#NAME?</v>
      </c>
      <c r="AB777" s="55" t="e">
        <f ca="1">+MAX(PAA_4[[#This Row],[Comprometido Contrato]],PAA_4[[#This Row],[Comprometido Bolsa]])</f>
        <v>#NAME?</v>
      </c>
      <c r="AC777" s="55" t="str">
        <f t="shared" ca="1" si="259"/>
        <v/>
      </c>
      <c r="AD777" s="55" t="e">
        <f ca="1">IF(PAA_4[[#This Row],[ESTADO (formulado)]]="NO CONTRATADO",0,MAX(PAA_4[[#This Row],[Pago por Contrato]],PAA_4[[#This Row],[Pago por bolsa]]))</f>
        <v>#NAME?</v>
      </c>
      <c r="AE777" s="55" t="str">
        <f t="shared" ca="1" si="260"/>
        <v/>
      </c>
      <c r="AF777" s="47" t="e">
        <f t="shared" ca="1" si="262"/>
        <v>#NAME?</v>
      </c>
      <c r="AG777" s="47">
        <f t="shared" si="261"/>
        <v>41080106</v>
      </c>
      <c r="AH777" s="54" t="str">
        <f>IF(Q777="22",IF(ISNUMBER(SEARCH("econ",PAA_4[[#This Row],[Actividad3]])),"Económico",IF(ISNUMBER(SEARCH("alim",PAA_4[[#This Row],[Actividad3]])),"Alimentación",IF(ISNUMBER(SEARCH("educ",PAA_4[[#This Row],[Actividad3]])),"Educativo","Técnico"))),0)</f>
        <v>Técnico</v>
      </c>
      <c r="AI777" s="47" t="e" cm="1">
        <f t="array" aca="1" ref="AI777" ca="1">_xlfn.XLOOKUP(PAA_4[[#This Row],[RCP-RUBRO]],[2]!COMPROMISOS_2024[[#All],[concatenado]],[2]!COMPROMISOS_2024[[#All],[Total pagado]],"",0)</f>
        <v>#NAME?</v>
      </c>
      <c r="AJ777" s="56" t="e">
        <f ca="1">IF(PAA_4[[#This Row],[BOLSA]]=0,0,SUMIFS([2]!COMPROMISOS_2024[[#All],[Total pagado]],[2]!COMPROMISOS_2024[[#All],[Bolsa]],PAA_4[[#This Row],[BOLSA]],[2]!COMPROMISOS_2024[[#All],[rubro]],PAA_4[[#This Row],[RCP-RUBRO]]))</f>
        <v>#REF!</v>
      </c>
      <c r="AK777" s="47" t="e" cm="1">
        <f t="array" aca="1" ref="AK777" ca="1">_xlfn.XLOOKUP(PAA_4[[#This Row],[RCP-RUBRO]],[2]!COMPROMISOS_2024[[#All],[concatenado]],[2]!COMPROMISOS_2024[[#All],[Total Comprometido]],"",0)</f>
        <v>#NAME?</v>
      </c>
      <c r="AL777" s="47" t="e">
        <f ca="1">IF(PAA_4[[#This Row],[BOLSA]]=0,0,SUMIFS([2]!COMPROMISOS_2024[[#All],[Total Comprometido]],[2]!COMPROMISOS_2024[[#All],[Bolsa]],PAA_4[[#This Row],[BOLSA]],[2]!COMPROMISOS_2024[[#All],[concatenado]],PAA_4[[#This Row],[RCP-RUBRO]]))</f>
        <v>#REF!</v>
      </c>
    </row>
    <row r="778" spans="1:38" s="19" customFormat="1" ht="31.5" customHeight="1">
      <c r="A778" s="47">
        <v>597</v>
      </c>
      <c r="B778" s="47">
        <v>80111600</v>
      </c>
      <c r="C778" s="47" t="str">
        <f>VLOOKUP(PAA_4[[#This Row],[PROYECTO (formulado)2]],[2]PROYECTOS!$G$1:$L$32,6,0)</f>
        <v>SUBGERENCIA DE ALTOS LOGROS Y DEPORTE ASOCIADO</v>
      </c>
      <c r="D778" s="47" t="str">
        <f>+IF(PAA_4[[#This Row],[UNIDAD DE CONTRATACION (formulado)]]="Subgerencia Administrativa y Financiera","FUNCIONAMIENTO","INVERSIÓN")</f>
        <v>INVERSIÓN</v>
      </c>
      <c r="E778" s="48" t="str">
        <f>VLOOKUP(Q778,[2]PROYECTOS!$G$1:$K$32,5,0)</f>
        <v>APOYO_TÉCNICO_Y_PSICOSOCIAL_A_LOS_DEPORTISTAS_DE_ANTIOQUIA</v>
      </c>
      <c r="F778" s="48">
        <f>VLOOKUP(E778,[2]PROYECTOS!$K$1:$M$32,3,0)</f>
        <v>2021003050069</v>
      </c>
      <c r="G778" s="49" t="s">
        <v>241</v>
      </c>
      <c r="H778" s="49" t="str">
        <f>VLOOKUP(Q778,[2]PROYECTOS!$V$1:$W$32,2,0)</f>
        <v>050069</v>
      </c>
      <c r="I778" s="50">
        <v>23714292</v>
      </c>
      <c r="J778" s="51" t="s">
        <v>1728</v>
      </c>
      <c r="K778" s="47" t="str">
        <f t="shared" ca="1" si="256"/>
        <v>CONTRATADO</v>
      </c>
      <c r="L778" s="47" t="s">
        <v>94</v>
      </c>
      <c r="M778" s="47" t="s">
        <v>1297</v>
      </c>
      <c r="N778" s="52" t="s">
        <v>240</v>
      </c>
      <c r="O778" s="51" t="e">
        <f>VLOOKUP(N778,[2]!RUBROS[#All],3,0)</f>
        <v>#REF!</v>
      </c>
      <c r="P778" s="53" t="e">
        <f>VLOOKUP(N778,[2]!RUBROS[#All],2,0)</f>
        <v>#REF!</v>
      </c>
      <c r="Q778" s="47" t="str">
        <f t="shared" si="257"/>
        <v>22</v>
      </c>
      <c r="R778" s="47" t="str">
        <f t="shared" si="258"/>
        <v>0-205400</v>
      </c>
      <c r="S778" s="54">
        <v>6</v>
      </c>
      <c r="T778" s="59" t="s">
        <v>46</v>
      </c>
      <c r="U778" s="326" t="e">
        <f ca="1">_xlfn.XLOOKUP(PAA_4[[#This Row],[ITEM]],[2]Contrato!A:A,[2]Contrato!Q:Q,"",0)</f>
        <v>#NAME?</v>
      </c>
      <c r="V778" s="47" t="s">
        <v>47</v>
      </c>
      <c r="W778" s="47" t="s">
        <v>96</v>
      </c>
      <c r="X778" s="47" t="s">
        <v>96</v>
      </c>
      <c r="Y778" s="55" t="e">
        <f ca="1">_xlfn.XLOOKUP(PAA_4[[#This Row],[ITEM]],[2]Contrato!A:A,[2]Contrato!B:B,"",0)</f>
        <v>#NAME?</v>
      </c>
      <c r="Z778" s="47" t="e">
        <f ca="1">_xlfn.XLOOKUP(PAA_4[[#This Row],[ITEM]],[2]Contrato!A:A,[2]Contrato!G:G,"",0)</f>
        <v>#NAME?</v>
      </c>
      <c r="AA778" s="47" t="e">
        <f ca="1">_xlfn.XLOOKUP(PAA_4[[#This Row],[ITEM]],[2]Contrato!A:A,[2]Contrato!T:T,"",0)</f>
        <v>#NAME?</v>
      </c>
      <c r="AB778" s="55" t="e">
        <f ca="1">+MAX(PAA_4[[#This Row],[Comprometido Contrato]],PAA_4[[#This Row],[Comprometido Bolsa]])</f>
        <v>#NAME?</v>
      </c>
      <c r="AC778" s="55" t="str">
        <f t="shared" ca="1" si="259"/>
        <v/>
      </c>
      <c r="AD778" s="55" t="e">
        <f ca="1">IF(PAA_4[[#This Row],[ESTADO (formulado)]]="NO CONTRATADO",0,MAX(PAA_4[[#This Row],[Pago por Contrato]],PAA_4[[#This Row],[Pago por bolsa]]))</f>
        <v>#NAME?</v>
      </c>
      <c r="AE778" s="55" t="str">
        <f t="shared" ca="1" si="260"/>
        <v/>
      </c>
      <c r="AF778" s="47" t="e">
        <f t="shared" ca="1" si="262"/>
        <v>#NAME?</v>
      </c>
      <c r="AG778" s="47">
        <f t="shared" si="261"/>
        <v>41080106</v>
      </c>
      <c r="AH778" s="54" t="str">
        <f>IF(Q778="22",IF(ISNUMBER(SEARCH("econ",PAA_4[[#This Row],[Actividad3]])),"Económico",IF(ISNUMBER(SEARCH("alim",PAA_4[[#This Row],[Actividad3]])),"Alimentación",IF(ISNUMBER(SEARCH("educ",PAA_4[[#This Row],[Actividad3]])),"Educativo","Técnico"))),0)</f>
        <v>Técnico</v>
      </c>
      <c r="AI778" s="47" t="e" cm="1">
        <f t="array" aca="1" ref="AI778" ca="1">_xlfn.XLOOKUP(PAA_4[[#This Row],[RCP-RUBRO]],[2]!COMPROMISOS_2024[[#All],[concatenado]],[2]!COMPROMISOS_2024[[#All],[Total pagado]],"",0)</f>
        <v>#NAME?</v>
      </c>
      <c r="AJ778" s="56" t="e">
        <f ca="1">IF(PAA_4[[#This Row],[BOLSA]]=0,0,SUMIFS([2]!COMPROMISOS_2024[[#All],[Total pagado]],[2]!COMPROMISOS_2024[[#All],[Bolsa]],PAA_4[[#This Row],[BOLSA]],[2]!COMPROMISOS_2024[[#All],[rubro]],PAA_4[[#This Row],[RCP-RUBRO]]))</f>
        <v>#REF!</v>
      </c>
      <c r="AK778" s="47" t="e" cm="1">
        <f t="array" aca="1" ref="AK778" ca="1">_xlfn.XLOOKUP(PAA_4[[#This Row],[RCP-RUBRO]],[2]!COMPROMISOS_2024[[#All],[concatenado]],[2]!COMPROMISOS_2024[[#All],[Total Comprometido]],"",0)</f>
        <v>#NAME?</v>
      </c>
      <c r="AL778" s="47" t="e">
        <f ca="1">IF(PAA_4[[#This Row],[BOLSA]]=0,0,SUMIFS([2]!COMPROMISOS_2024[[#All],[Total Comprometido]],[2]!COMPROMISOS_2024[[#All],[Bolsa]],PAA_4[[#This Row],[BOLSA]],[2]!COMPROMISOS_2024[[#All],[concatenado]],PAA_4[[#This Row],[RCP-RUBRO]]))</f>
        <v>#REF!</v>
      </c>
    </row>
    <row r="779" spans="1:38" s="19" customFormat="1" ht="31.5" customHeight="1">
      <c r="A779" s="47">
        <v>598</v>
      </c>
      <c r="B779" s="47">
        <v>80111600</v>
      </c>
      <c r="C779" s="47" t="str">
        <f>VLOOKUP(PAA_4[[#This Row],[PROYECTO (formulado)2]],[2]PROYECTOS!$G$1:$L$32,6,0)</f>
        <v>SUBGERENCIA DE ALTOS LOGROS Y DEPORTE ASOCIADO</v>
      </c>
      <c r="D779" s="47" t="str">
        <f>+IF(PAA_4[[#This Row],[UNIDAD DE CONTRATACION (formulado)]]="Subgerencia Administrativa y Financiera","FUNCIONAMIENTO","INVERSIÓN")</f>
        <v>INVERSIÓN</v>
      </c>
      <c r="E779" s="48" t="str">
        <f>VLOOKUP(Q779,[2]PROYECTOS!$G$1:$K$32,5,0)</f>
        <v>APOYO_TÉCNICO_Y_PSICOSOCIAL_A_LOS_DEPORTISTAS_DE_ANTIOQUIA</v>
      </c>
      <c r="F779" s="48">
        <f>VLOOKUP(E779,[2]PROYECTOS!$K$1:$M$32,3,0)</f>
        <v>2021003050069</v>
      </c>
      <c r="G779" s="49" t="s">
        <v>241</v>
      </c>
      <c r="H779" s="49" t="str">
        <f>VLOOKUP(Q779,[2]PROYECTOS!$V$1:$W$32,2,0)</f>
        <v>050069</v>
      </c>
      <c r="I779" s="50">
        <v>15449052</v>
      </c>
      <c r="J779" s="51" t="s">
        <v>1729</v>
      </c>
      <c r="K779" s="47" t="str">
        <f t="shared" ca="1" si="256"/>
        <v>CONTRATADO</v>
      </c>
      <c r="L779" s="47" t="s">
        <v>94</v>
      </c>
      <c r="M779" s="47" t="s">
        <v>1297</v>
      </c>
      <c r="N779" s="52" t="s">
        <v>240</v>
      </c>
      <c r="O779" s="51" t="e">
        <f>VLOOKUP(N779,[2]!RUBROS[#All],3,0)</f>
        <v>#REF!</v>
      </c>
      <c r="P779" s="53" t="e">
        <f>VLOOKUP(N779,[2]!RUBROS[#All],2,0)</f>
        <v>#REF!</v>
      </c>
      <c r="Q779" s="47" t="str">
        <f t="shared" si="257"/>
        <v>22</v>
      </c>
      <c r="R779" s="47" t="str">
        <f t="shared" si="258"/>
        <v>0-205400</v>
      </c>
      <c r="S779" s="54">
        <v>6</v>
      </c>
      <c r="T779" s="59" t="s">
        <v>46</v>
      </c>
      <c r="U779" s="326" t="e">
        <f ca="1">_xlfn.XLOOKUP(PAA_4[[#This Row],[ITEM]],[2]Contrato!A:A,[2]Contrato!Q:Q,"",0)</f>
        <v>#NAME?</v>
      </c>
      <c r="V779" s="47" t="s">
        <v>47</v>
      </c>
      <c r="W779" s="47" t="s">
        <v>96</v>
      </c>
      <c r="X779" s="47" t="s">
        <v>96</v>
      </c>
      <c r="Y779" s="55" t="e">
        <f ca="1">_xlfn.XLOOKUP(PAA_4[[#This Row],[ITEM]],[2]Contrato!A:A,[2]Contrato!B:B,"",0)</f>
        <v>#NAME?</v>
      </c>
      <c r="Z779" s="47" t="e">
        <f ca="1">_xlfn.XLOOKUP(PAA_4[[#This Row],[ITEM]],[2]Contrato!A:A,[2]Contrato!G:G,"",0)</f>
        <v>#NAME?</v>
      </c>
      <c r="AA779" s="47" t="e">
        <f ca="1">_xlfn.XLOOKUP(PAA_4[[#This Row],[ITEM]],[2]Contrato!A:A,[2]Contrato!T:T,"",0)</f>
        <v>#NAME?</v>
      </c>
      <c r="AB779" s="55" t="e">
        <f ca="1">+MAX(PAA_4[[#This Row],[Comprometido Contrato]],PAA_4[[#This Row],[Comprometido Bolsa]])</f>
        <v>#NAME?</v>
      </c>
      <c r="AC779" s="55" t="str">
        <f t="shared" ca="1" si="259"/>
        <v/>
      </c>
      <c r="AD779" s="55" t="e">
        <f ca="1">IF(PAA_4[[#This Row],[ESTADO (formulado)]]="NO CONTRATADO",0,MAX(PAA_4[[#This Row],[Pago por Contrato]],PAA_4[[#This Row],[Pago por bolsa]]))</f>
        <v>#NAME?</v>
      </c>
      <c r="AE779" s="55" t="str">
        <f t="shared" ca="1" si="260"/>
        <v/>
      </c>
      <c r="AF779" s="47" t="e">
        <f t="shared" ca="1" si="262"/>
        <v>#NAME?</v>
      </c>
      <c r="AG779" s="47">
        <f t="shared" si="261"/>
        <v>41080106</v>
      </c>
      <c r="AH779" s="54" t="str">
        <f>IF(Q779="22",IF(ISNUMBER(SEARCH("econ",PAA_4[[#This Row],[Actividad3]])),"Económico",IF(ISNUMBER(SEARCH("alim",PAA_4[[#This Row],[Actividad3]])),"Alimentación",IF(ISNUMBER(SEARCH("educ",PAA_4[[#This Row],[Actividad3]])),"Educativo","Técnico"))),0)</f>
        <v>Técnico</v>
      </c>
      <c r="AI779" s="47" t="e" cm="1">
        <f t="array" aca="1" ref="AI779" ca="1">_xlfn.XLOOKUP(PAA_4[[#This Row],[RCP-RUBRO]],[2]!COMPROMISOS_2024[[#All],[concatenado]],[2]!COMPROMISOS_2024[[#All],[Total pagado]],"",0)</f>
        <v>#NAME?</v>
      </c>
      <c r="AJ779" s="56" t="e">
        <f ca="1">IF(PAA_4[[#This Row],[BOLSA]]=0,0,SUMIFS([2]!COMPROMISOS_2024[[#All],[Total pagado]],[2]!COMPROMISOS_2024[[#All],[Bolsa]],PAA_4[[#This Row],[BOLSA]],[2]!COMPROMISOS_2024[[#All],[rubro]],PAA_4[[#This Row],[RCP-RUBRO]]))</f>
        <v>#REF!</v>
      </c>
      <c r="AK779" s="47" t="e" cm="1">
        <f t="array" aca="1" ref="AK779" ca="1">_xlfn.XLOOKUP(PAA_4[[#This Row],[RCP-RUBRO]],[2]!COMPROMISOS_2024[[#All],[concatenado]],[2]!COMPROMISOS_2024[[#All],[Total Comprometido]],"",0)</f>
        <v>#NAME?</v>
      </c>
      <c r="AL779" s="47" t="e">
        <f ca="1">IF(PAA_4[[#This Row],[BOLSA]]=0,0,SUMIFS([2]!COMPROMISOS_2024[[#All],[Total Comprometido]],[2]!COMPROMISOS_2024[[#All],[Bolsa]],PAA_4[[#This Row],[BOLSA]],[2]!COMPROMISOS_2024[[#All],[concatenado]],PAA_4[[#This Row],[RCP-RUBRO]]))</f>
        <v>#REF!</v>
      </c>
    </row>
    <row r="780" spans="1:38" s="19" customFormat="1" ht="31.5" customHeight="1">
      <c r="A780" s="47">
        <v>599</v>
      </c>
      <c r="B780" s="47">
        <v>80111600</v>
      </c>
      <c r="C780" s="47" t="str">
        <f>VLOOKUP(PAA_4[[#This Row],[PROYECTO (formulado)2]],[2]PROYECTOS!$G$1:$L$32,6,0)</f>
        <v>SUBGERENCIA DE ALTOS LOGROS Y DEPORTE ASOCIADO</v>
      </c>
      <c r="D780" s="47" t="str">
        <f>+IF(PAA_4[[#This Row],[UNIDAD DE CONTRATACION (formulado)]]="Subgerencia Administrativa y Financiera","FUNCIONAMIENTO","INVERSIÓN")</f>
        <v>INVERSIÓN</v>
      </c>
      <c r="E780" s="48" t="str">
        <f>VLOOKUP(Q780,[2]PROYECTOS!$G$1:$K$32,5,0)</f>
        <v>APOYO_TÉCNICO_Y_PSICOSOCIAL_A_LOS_DEPORTISTAS_DE_ANTIOQUIA</v>
      </c>
      <c r="F780" s="48">
        <f>VLOOKUP(E780,[2]PROYECTOS!$K$1:$M$32,3,0)</f>
        <v>2021003050069</v>
      </c>
      <c r="G780" s="49" t="s">
        <v>241</v>
      </c>
      <c r="H780" s="49" t="str">
        <f>VLOOKUP(Q780,[2]PROYECTOS!$V$1:$W$32,2,0)</f>
        <v>050069</v>
      </c>
      <c r="I780" s="50">
        <v>15449052</v>
      </c>
      <c r="J780" s="51" t="s">
        <v>1730</v>
      </c>
      <c r="K780" s="47" t="str">
        <f t="shared" ca="1" si="256"/>
        <v>CONTRATADO</v>
      </c>
      <c r="L780" s="47" t="s">
        <v>94</v>
      </c>
      <c r="M780" s="47" t="s">
        <v>1297</v>
      </c>
      <c r="N780" s="52" t="s">
        <v>240</v>
      </c>
      <c r="O780" s="51" t="e">
        <f>VLOOKUP(N780,[2]!RUBROS[#All],3,0)</f>
        <v>#REF!</v>
      </c>
      <c r="P780" s="53" t="e">
        <f>VLOOKUP(N780,[2]!RUBROS[#All],2,0)</f>
        <v>#REF!</v>
      </c>
      <c r="Q780" s="47" t="str">
        <f t="shared" si="257"/>
        <v>22</v>
      </c>
      <c r="R780" s="47" t="str">
        <f t="shared" si="258"/>
        <v>0-205400</v>
      </c>
      <c r="S780" s="54">
        <v>6</v>
      </c>
      <c r="T780" s="59" t="s">
        <v>46</v>
      </c>
      <c r="U780" s="326" t="e">
        <f ca="1">_xlfn.XLOOKUP(PAA_4[[#This Row],[ITEM]],[2]Contrato!A:A,[2]Contrato!Q:Q,"",0)</f>
        <v>#NAME?</v>
      </c>
      <c r="V780" s="47" t="s">
        <v>47</v>
      </c>
      <c r="W780" s="47" t="s">
        <v>96</v>
      </c>
      <c r="X780" s="47" t="s">
        <v>96</v>
      </c>
      <c r="Y780" s="55" t="e">
        <f ca="1">_xlfn.XLOOKUP(PAA_4[[#This Row],[ITEM]],[2]Contrato!A:A,[2]Contrato!B:B,"",0)</f>
        <v>#NAME?</v>
      </c>
      <c r="Z780" s="47" t="e">
        <f ca="1">_xlfn.XLOOKUP(PAA_4[[#This Row],[ITEM]],[2]Contrato!A:A,[2]Contrato!G:G,"",0)</f>
        <v>#NAME?</v>
      </c>
      <c r="AA780" s="47" t="e">
        <f ca="1">_xlfn.XLOOKUP(PAA_4[[#This Row],[ITEM]],[2]Contrato!A:A,[2]Contrato!T:T,"",0)</f>
        <v>#NAME?</v>
      </c>
      <c r="AB780" s="55" t="e">
        <f ca="1">+MAX(PAA_4[[#This Row],[Comprometido Contrato]],PAA_4[[#This Row],[Comprometido Bolsa]])</f>
        <v>#NAME?</v>
      </c>
      <c r="AC780" s="55" t="str">
        <f t="shared" ca="1" si="259"/>
        <v/>
      </c>
      <c r="AD780" s="55" t="e">
        <f ca="1">IF(PAA_4[[#This Row],[ESTADO (formulado)]]="NO CONTRATADO",0,MAX(PAA_4[[#This Row],[Pago por Contrato]],PAA_4[[#This Row],[Pago por bolsa]]))</f>
        <v>#NAME?</v>
      </c>
      <c r="AE780" s="55" t="str">
        <f t="shared" ca="1" si="260"/>
        <v/>
      </c>
      <c r="AF780" s="47" t="e">
        <f t="shared" ca="1" si="262"/>
        <v>#NAME?</v>
      </c>
      <c r="AG780" s="47">
        <f t="shared" si="261"/>
        <v>41080106</v>
      </c>
      <c r="AH780" s="54" t="str">
        <f>IF(Q780="22",IF(ISNUMBER(SEARCH("econ",PAA_4[[#This Row],[Actividad3]])),"Económico",IF(ISNUMBER(SEARCH("alim",PAA_4[[#This Row],[Actividad3]])),"Alimentación",IF(ISNUMBER(SEARCH("educ",PAA_4[[#This Row],[Actividad3]])),"Educativo","Técnico"))),0)</f>
        <v>Técnico</v>
      </c>
      <c r="AI780" s="47" t="e" cm="1">
        <f t="array" aca="1" ref="AI780" ca="1">_xlfn.XLOOKUP(PAA_4[[#This Row],[RCP-RUBRO]],[2]!COMPROMISOS_2024[[#All],[concatenado]],[2]!COMPROMISOS_2024[[#All],[Total pagado]],"",0)</f>
        <v>#NAME?</v>
      </c>
      <c r="AJ780" s="56" t="e">
        <f ca="1">IF(PAA_4[[#This Row],[BOLSA]]=0,0,SUMIFS([2]!COMPROMISOS_2024[[#All],[Total pagado]],[2]!COMPROMISOS_2024[[#All],[Bolsa]],PAA_4[[#This Row],[BOLSA]],[2]!COMPROMISOS_2024[[#All],[rubro]],PAA_4[[#This Row],[RCP-RUBRO]]))</f>
        <v>#REF!</v>
      </c>
      <c r="AK780" s="47" t="e" cm="1">
        <f t="array" aca="1" ref="AK780" ca="1">_xlfn.XLOOKUP(PAA_4[[#This Row],[RCP-RUBRO]],[2]!COMPROMISOS_2024[[#All],[concatenado]],[2]!COMPROMISOS_2024[[#All],[Total Comprometido]],"",0)</f>
        <v>#NAME?</v>
      </c>
      <c r="AL780" s="47" t="e">
        <f ca="1">IF(PAA_4[[#This Row],[BOLSA]]=0,0,SUMIFS([2]!COMPROMISOS_2024[[#All],[Total Comprometido]],[2]!COMPROMISOS_2024[[#All],[Bolsa]],PAA_4[[#This Row],[BOLSA]],[2]!COMPROMISOS_2024[[#All],[concatenado]],PAA_4[[#This Row],[RCP-RUBRO]]))</f>
        <v>#REF!</v>
      </c>
    </row>
    <row r="781" spans="1:38" s="19" customFormat="1" ht="31.5" customHeight="1">
      <c r="A781" s="47">
        <v>600</v>
      </c>
      <c r="B781" s="47">
        <v>80111600</v>
      </c>
      <c r="C781" s="47" t="str">
        <f>VLOOKUP(PAA_4[[#This Row],[PROYECTO (formulado)2]],[2]PROYECTOS!$G$1:$L$32,6,0)</f>
        <v>SUBGERENCIA DE ALTOS LOGROS Y DEPORTE ASOCIADO</v>
      </c>
      <c r="D781" s="47" t="str">
        <f>+IF(PAA_4[[#This Row],[UNIDAD DE CONTRATACION (formulado)]]="Subgerencia Administrativa y Financiera","FUNCIONAMIENTO","INVERSIÓN")</f>
        <v>INVERSIÓN</v>
      </c>
      <c r="E781" s="48" t="str">
        <f>VLOOKUP(Q781,[2]PROYECTOS!$G$1:$K$32,5,0)</f>
        <v>APOYO_TÉCNICO_Y_PSICOSOCIAL_A_LOS_DEPORTISTAS_DE_ANTIOQUIA</v>
      </c>
      <c r="F781" s="48">
        <f>VLOOKUP(E781,[2]PROYECTOS!$K$1:$M$32,3,0)</f>
        <v>2021003050069</v>
      </c>
      <c r="G781" s="49" t="s">
        <v>241</v>
      </c>
      <c r="H781" s="49" t="str">
        <f>VLOOKUP(Q781,[2]PROYECTOS!$V$1:$W$32,2,0)</f>
        <v>050069</v>
      </c>
      <c r="I781" s="50">
        <v>29453616</v>
      </c>
      <c r="J781" s="51" t="s">
        <v>1731</v>
      </c>
      <c r="K781" s="47" t="str">
        <f t="shared" ca="1" si="256"/>
        <v>CONTRATADO</v>
      </c>
      <c r="L781" s="47" t="s">
        <v>94</v>
      </c>
      <c r="M781" s="47" t="s">
        <v>1297</v>
      </c>
      <c r="N781" s="52" t="s">
        <v>240</v>
      </c>
      <c r="O781" s="51" t="e">
        <f>VLOOKUP(N781,[2]!RUBROS[#All],3,0)</f>
        <v>#REF!</v>
      </c>
      <c r="P781" s="53" t="e">
        <f>VLOOKUP(N781,[2]!RUBROS[#All],2,0)</f>
        <v>#REF!</v>
      </c>
      <c r="Q781" s="47" t="str">
        <f t="shared" si="257"/>
        <v>22</v>
      </c>
      <c r="R781" s="47" t="str">
        <f t="shared" si="258"/>
        <v>0-205400</v>
      </c>
      <c r="S781" s="54">
        <v>6</v>
      </c>
      <c r="T781" s="59" t="s">
        <v>46</v>
      </c>
      <c r="U781" s="326" t="e">
        <f ca="1">_xlfn.XLOOKUP(PAA_4[[#This Row],[ITEM]],[2]Contrato!A:A,[2]Contrato!Q:Q,"",0)</f>
        <v>#NAME?</v>
      </c>
      <c r="V781" s="47" t="s">
        <v>47</v>
      </c>
      <c r="W781" s="47" t="s">
        <v>96</v>
      </c>
      <c r="X781" s="47" t="s">
        <v>96</v>
      </c>
      <c r="Y781" s="55" t="e">
        <f ca="1">_xlfn.XLOOKUP(PAA_4[[#This Row],[ITEM]],[2]Contrato!A:A,[2]Contrato!B:B,"",0)</f>
        <v>#NAME?</v>
      </c>
      <c r="Z781" s="47" t="e">
        <f ca="1">_xlfn.XLOOKUP(PAA_4[[#This Row],[ITEM]],[2]Contrato!A:A,[2]Contrato!G:G,"",0)</f>
        <v>#NAME?</v>
      </c>
      <c r="AA781" s="47" t="e">
        <f ca="1">_xlfn.XLOOKUP(PAA_4[[#This Row],[ITEM]],[2]Contrato!A:A,[2]Contrato!T:T,"",0)</f>
        <v>#NAME?</v>
      </c>
      <c r="AB781" s="55" t="e">
        <f ca="1">+MAX(PAA_4[[#This Row],[Comprometido Contrato]],PAA_4[[#This Row],[Comprometido Bolsa]])</f>
        <v>#NAME?</v>
      </c>
      <c r="AC781" s="55" t="str">
        <f t="shared" ca="1" si="259"/>
        <v/>
      </c>
      <c r="AD781" s="55" t="e">
        <f ca="1">IF(PAA_4[[#This Row],[ESTADO (formulado)]]="NO CONTRATADO",0,MAX(PAA_4[[#This Row],[Pago por Contrato]],PAA_4[[#This Row],[Pago por bolsa]]))</f>
        <v>#NAME?</v>
      </c>
      <c r="AE781" s="55" t="str">
        <f t="shared" ca="1" si="260"/>
        <v/>
      </c>
      <c r="AF781" s="47" t="e">
        <f t="shared" ca="1" si="262"/>
        <v>#NAME?</v>
      </c>
      <c r="AG781" s="47">
        <f t="shared" si="261"/>
        <v>41080106</v>
      </c>
      <c r="AH781" s="54" t="str">
        <f>IF(Q781="22",IF(ISNUMBER(SEARCH("econ",PAA_4[[#This Row],[Actividad3]])),"Económico",IF(ISNUMBER(SEARCH("alim",PAA_4[[#This Row],[Actividad3]])),"Alimentación",IF(ISNUMBER(SEARCH("educ",PAA_4[[#This Row],[Actividad3]])),"Educativo","Técnico"))),0)</f>
        <v>Técnico</v>
      </c>
      <c r="AI781" s="47" t="e" cm="1">
        <f t="array" aca="1" ref="AI781" ca="1">_xlfn.XLOOKUP(PAA_4[[#This Row],[RCP-RUBRO]],[2]!COMPROMISOS_2024[[#All],[concatenado]],[2]!COMPROMISOS_2024[[#All],[Total pagado]],"",0)</f>
        <v>#NAME?</v>
      </c>
      <c r="AJ781" s="56" t="e">
        <f ca="1">IF(PAA_4[[#This Row],[BOLSA]]=0,0,SUMIFS([2]!COMPROMISOS_2024[[#All],[Total pagado]],[2]!COMPROMISOS_2024[[#All],[Bolsa]],PAA_4[[#This Row],[BOLSA]],[2]!COMPROMISOS_2024[[#All],[rubro]],PAA_4[[#This Row],[RCP-RUBRO]]))</f>
        <v>#REF!</v>
      </c>
      <c r="AK781" s="47" t="e" cm="1">
        <f t="array" aca="1" ref="AK781" ca="1">_xlfn.XLOOKUP(PAA_4[[#This Row],[RCP-RUBRO]],[2]!COMPROMISOS_2024[[#All],[concatenado]],[2]!COMPROMISOS_2024[[#All],[Total Comprometido]],"",0)</f>
        <v>#NAME?</v>
      </c>
      <c r="AL781" s="47" t="e">
        <f ca="1">IF(PAA_4[[#This Row],[BOLSA]]=0,0,SUMIFS([2]!COMPROMISOS_2024[[#All],[Total Comprometido]],[2]!COMPROMISOS_2024[[#All],[Bolsa]],PAA_4[[#This Row],[BOLSA]],[2]!COMPROMISOS_2024[[#All],[concatenado]],PAA_4[[#This Row],[RCP-RUBRO]]))</f>
        <v>#REF!</v>
      </c>
    </row>
    <row r="782" spans="1:38" s="19" customFormat="1" ht="31.5" customHeight="1">
      <c r="A782" s="47">
        <v>601</v>
      </c>
      <c r="B782" s="47">
        <v>80111600</v>
      </c>
      <c r="C782" s="47" t="str">
        <f>VLOOKUP(PAA_4[[#This Row],[PROYECTO (formulado)2]],[2]PROYECTOS!$G$1:$L$32,6,0)</f>
        <v>SUBGERENCIA DE ALTOS LOGROS Y DEPORTE ASOCIADO</v>
      </c>
      <c r="D782" s="47" t="str">
        <f>+IF(PAA_4[[#This Row],[UNIDAD DE CONTRATACION (formulado)]]="Subgerencia Administrativa y Financiera","FUNCIONAMIENTO","INVERSIÓN")</f>
        <v>INVERSIÓN</v>
      </c>
      <c r="E782" s="48" t="str">
        <f>VLOOKUP(Q782,[2]PROYECTOS!$G$1:$K$32,5,0)</f>
        <v>APOYO_TÉCNICO_Y_PSICOSOCIAL_A_LOS_DEPORTISTAS_DE_ANTIOQUIA</v>
      </c>
      <c r="F782" s="48">
        <f>VLOOKUP(E782,[2]PROYECTOS!$K$1:$M$32,3,0)</f>
        <v>2021003050069</v>
      </c>
      <c r="G782" s="49" t="s">
        <v>241</v>
      </c>
      <c r="H782" s="49" t="str">
        <f>VLOOKUP(Q782,[2]PROYECTOS!$V$1:$W$32,2,0)</f>
        <v>050069</v>
      </c>
      <c r="I782" s="50">
        <f>15449052-6000</f>
        <v>15443052</v>
      </c>
      <c r="J782" s="51" t="s">
        <v>1685</v>
      </c>
      <c r="K782" s="47" t="str">
        <f t="shared" ca="1" si="256"/>
        <v>CONTRATADO</v>
      </c>
      <c r="L782" s="47" t="s">
        <v>94</v>
      </c>
      <c r="M782" s="47" t="s">
        <v>1297</v>
      </c>
      <c r="N782" s="52" t="s">
        <v>240</v>
      </c>
      <c r="O782" s="51" t="e">
        <f>VLOOKUP(N782,[2]!RUBROS[#All],3,0)</f>
        <v>#REF!</v>
      </c>
      <c r="P782" s="53" t="e">
        <f>VLOOKUP(N782,[2]!RUBROS[#All],2,0)</f>
        <v>#REF!</v>
      </c>
      <c r="Q782" s="47" t="str">
        <f t="shared" si="257"/>
        <v>22</v>
      </c>
      <c r="R782" s="47" t="str">
        <f t="shared" si="258"/>
        <v>0-205400</v>
      </c>
      <c r="S782" s="54">
        <v>6</v>
      </c>
      <c r="T782" s="59" t="s">
        <v>46</v>
      </c>
      <c r="U782" s="326" t="e">
        <f ca="1">_xlfn.XLOOKUP(PAA_4[[#This Row],[ITEM]],[2]Contrato!A:A,[2]Contrato!Q:Q,"",0)</f>
        <v>#NAME?</v>
      </c>
      <c r="V782" s="47" t="s">
        <v>47</v>
      </c>
      <c r="W782" s="47" t="s">
        <v>96</v>
      </c>
      <c r="X782" s="47" t="s">
        <v>96</v>
      </c>
      <c r="Y782" s="55" t="e">
        <f ca="1">_xlfn.XLOOKUP(PAA_4[[#This Row],[ITEM]],[2]Contrato!A:A,[2]Contrato!B:B,"",0)</f>
        <v>#NAME?</v>
      </c>
      <c r="Z782" s="47" t="e">
        <f ca="1">_xlfn.XLOOKUP(PAA_4[[#This Row],[ITEM]],[2]Contrato!A:A,[2]Contrato!G:G,"",0)</f>
        <v>#NAME?</v>
      </c>
      <c r="AA782" s="47" t="e">
        <f ca="1">_xlfn.XLOOKUP(PAA_4[[#This Row],[ITEM]],[2]Contrato!A:A,[2]Contrato!T:T,"",0)</f>
        <v>#NAME?</v>
      </c>
      <c r="AB782" s="55" t="e">
        <f ca="1">+MAX(PAA_4[[#This Row],[Comprometido Contrato]],PAA_4[[#This Row],[Comprometido Bolsa]])</f>
        <v>#NAME?</v>
      </c>
      <c r="AC782" s="55" t="str">
        <f t="shared" ca="1" si="259"/>
        <v/>
      </c>
      <c r="AD782" s="55" t="e">
        <f ca="1">IF(PAA_4[[#This Row],[ESTADO (formulado)]]="NO CONTRATADO",0,MAX(PAA_4[[#This Row],[Pago por Contrato]],PAA_4[[#This Row],[Pago por bolsa]]))</f>
        <v>#NAME?</v>
      </c>
      <c r="AE782" s="55" t="str">
        <f t="shared" ca="1" si="260"/>
        <v/>
      </c>
      <c r="AF782" s="47" t="e">
        <f t="shared" ca="1" si="262"/>
        <v>#NAME?</v>
      </c>
      <c r="AG782" s="47">
        <f t="shared" si="261"/>
        <v>41080106</v>
      </c>
      <c r="AH782" s="54" t="str">
        <f>IF(Q782="22",IF(ISNUMBER(SEARCH("econ",PAA_4[[#This Row],[Actividad3]])),"Económico",IF(ISNUMBER(SEARCH("alim",PAA_4[[#This Row],[Actividad3]])),"Alimentación",IF(ISNUMBER(SEARCH("educ",PAA_4[[#This Row],[Actividad3]])),"Educativo","Técnico"))),0)</f>
        <v>Técnico</v>
      </c>
      <c r="AI782" s="47" t="e" cm="1">
        <f t="array" aca="1" ref="AI782" ca="1">_xlfn.XLOOKUP(PAA_4[[#This Row],[RCP-RUBRO]],[2]!COMPROMISOS_2024[[#All],[concatenado]],[2]!COMPROMISOS_2024[[#All],[Total pagado]],"",0)</f>
        <v>#NAME?</v>
      </c>
      <c r="AJ782" s="56" t="e">
        <f ca="1">IF(PAA_4[[#This Row],[BOLSA]]=0,0,SUMIFS([2]!COMPROMISOS_2024[[#All],[Total pagado]],[2]!COMPROMISOS_2024[[#All],[Bolsa]],PAA_4[[#This Row],[BOLSA]],[2]!COMPROMISOS_2024[[#All],[rubro]],PAA_4[[#This Row],[RCP-RUBRO]]))</f>
        <v>#REF!</v>
      </c>
      <c r="AK782" s="47" t="e" cm="1">
        <f t="array" aca="1" ref="AK782" ca="1">_xlfn.XLOOKUP(PAA_4[[#This Row],[RCP-RUBRO]],[2]!COMPROMISOS_2024[[#All],[concatenado]],[2]!COMPROMISOS_2024[[#All],[Total Comprometido]],"",0)</f>
        <v>#NAME?</v>
      </c>
      <c r="AL782" s="47" t="e">
        <f ca="1">IF(PAA_4[[#This Row],[BOLSA]]=0,0,SUMIFS([2]!COMPROMISOS_2024[[#All],[Total Comprometido]],[2]!COMPROMISOS_2024[[#All],[Bolsa]],PAA_4[[#This Row],[BOLSA]],[2]!COMPROMISOS_2024[[#All],[concatenado]],PAA_4[[#This Row],[RCP-RUBRO]]))</f>
        <v>#REF!</v>
      </c>
    </row>
    <row r="783" spans="1:38" s="19" customFormat="1" ht="31.5" customHeight="1">
      <c r="A783" s="47">
        <v>602</v>
      </c>
      <c r="B783" s="47">
        <v>80111600</v>
      </c>
      <c r="C783" s="47" t="str">
        <f>VLOOKUP(PAA_4[[#This Row],[PROYECTO (formulado)2]],[2]PROYECTOS!$G$1:$L$32,6,0)</f>
        <v>SUBGERENCIA DE ALTOS LOGROS Y DEPORTE ASOCIADO</v>
      </c>
      <c r="D783" s="47" t="str">
        <f>+IF(PAA_4[[#This Row],[UNIDAD DE CONTRATACION (formulado)]]="Subgerencia Administrativa y Financiera","FUNCIONAMIENTO","INVERSIÓN")</f>
        <v>INVERSIÓN</v>
      </c>
      <c r="E783" s="48" t="str">
        <f>VLOOKUP(Q783,[2]PROYECTOS!$G$1:$K$32,5,0)</f>
        <v>APOYO_TÉCNICO_Y_PSICOSOCIAL_A_LOS_DEPORTISTAS_DE_ANTIOQUIA</v>
      </c>
      <c r="F783" s="48">
        <f>VLOOKUP(E783,[2]PROYECTOS!$K$1:$M$32,3,0)</f>
        <v>2021003050069</v>
      </c>
      <c r="G783" s="49" t="s">
        <v>239</v>
      </c>
      <c r="H783" s="49" t="str">
        <f>VLOOKUP(Q783,[2]PROYECTOS!$V$1:$W$32,2,0)</f>
        <v>050069</v>
      </c>
      <c r="I783" s="50">
        <f>19397143-1029937</f>
        <v>18367206</v>
      </c>
      <c r="J783" s="51" t="s">
        <v>1588</v>
      </c>
      <c r="K783" s="47" t="str">
        <f t="shared" ca="1" si="256"/>
        <v>CONTRATADO</v>
      </c>
      <c r="L783" s="47" t="s">
        <v>94</v>
      </c>
      <c r="M783" s="47" t="s">
        <v>1297</v>
      </c>
      <c r="N783" s="52" t="s">
        <v>240</v>
      </c>
      <c r="O783" s="51" t="e">
        <f>VLOOKUP(N783,[2]!RUBROS[#All],3,0)</f>
        <v>#REF!</v>
      </c>
      <c r="P783" s="53" t="e">
        <f>VLOOKUP(N783,[2]!RUBROS[#All],2,0)</f>
        <v>#REF!</v>
      </c>
      <c r="Q783" s="47" t="str">
        <f t="shared" si="257"/>
        <v>22</v>
      </c>
      <c r="R783" s="47" t="str">
        <f t="shared" si="258"/>
        <v>0-205400</v>
      </c>
      <c r="S783" s="65">
        <f>210+15</f>
        <v>225</v>
      </c>
      <c r="T783" s="59" t="s">
        <v>120</v>
      </c>
      <c r="U783" s="326" t="e">
        <f ca="1">_xlfn.XLOOKUP(PAA_4[[#This Row],[ITEM]],[2]Contrato!A:A,[2]Contrato!Q:Q,"",0)</f>
        <v>#NAME?</v>
      </c>
      <c r="V783" s="47" t="s">
        <v>47</v>
      </c>
      <c r="W783" s="65" t="s">
        <v>122</v>
      </c>
      <c r="X783" s="65" t="s">
        <v>242</v>
      </c>
      <c r="Y783" s="55" t="e">
        <f ca="1">_xlfn.XLOOKUP(PAA_4[[#This Row],[ITEM]],[2]Contrato!A:A,[2]Contrato!B:B,"",0)</f>
        <v>#NAME?</v>
      </c>
      <c r="Z783" s="47" t="e">
        <f ca="1">_xlfn.XLOOKUP(PAA_4[[#This Row],[ITEM]],[2]Contrato!A:A,[2]Contrato!G:G,"",0)</f>
        <v>#NAME?</v>
      </c>
      <c r="AA783" s="47" t="e">
        <f ca="1">_xlfn.XLOOKUP(PAA_4[[#This Row],[ITEM]],[2]Contrato!A:A,[2]Contrato!T:T,"",0)</f>
        <v>#NAME?</v>
      </c>
      <c r="AB783" s="55" t="e">
        <f ca="1">+MAX(PAA_4[[#This Row],[Comprometido Contrato]],PAA_4[[#This Row],[Comprometido Bolsa]])</f>
        <v>#NAME?</v>
      </c>
      <c r="AC783" s="55" t="str">
        <f t="shared" ca="1" si="259"/>
        <v/>
      </c>
      <c r="AD783" s="55" t="e">
        <f ca="1">IF(PAA_4[[#This Row],[ESTADO (formulado)]]="NO CONTRATADO",0,MAX(PAA_4[[#This Row],[Pago por Contrato]],PAA_4[[#This Row],[Pago por bolsa]]))</f>
        <v>#NAME?</v>
      </c>
      <c r="AE783" s="55" t="str">
        <f t="shared" ca="1" si="260"/>
        <v/>
      </c>
      <c r="AF783" s="47" t="e">
        <f t="shared" ca="1" si="262"/>
        <v>#NAME?</v>
      </c>
      <c r="AG783" s="47">
        <f t="shared" si="261"/>
        <v>41080101</v>
      </c>
      <c r="AH783" s="54" t="str">
        <f>IF(Q783="22",IF(ISNUMBER(SEARCH("econ",PAA_4[[#This Row],[Actividad3]])),"Económico",IF(ISNUMBER(SEARCH("alim",PAA_4[[#This Row],[Actividad3]])),"Alimentación",IF(ISNUMBER(SEARCH("educ",PAA_4[[#This Row],[Actividad3]])),"Educativo","Técnico"))),0)</f>
        <v>Técnico</v>
      </c>
      <c r="AI783" s="47" t="e" cm="1">
        <f t="array" aca="1" ref="AI783" ca="1">_xlfn.XLOOKUP(PAA_4[[#This Row],[RCP-RUBRO]],[2]!COMPROMISOS_2024[[#All],[concatenado]],[2]!COMPROMISOS_2024[[#All],[Total pagado]],"",0)</f>
        <v>#NAME?</v>
      </c>
      <c r="AJ783" s="56" t="e">
        <f ca="1">IF(PAA_4[[#This Row],[BOLSA]]=0,0,SUMIFS([2]!COMPROMISOS_2024[[#All],[Total pagado]],[2]!COMPROMISOS_2024[[#All],[Bolsa]],PAA_4[[#This Row],[BOLSA]],[2]!COMPROMISOS_2024[[#All],[rubro]],PAA_4[[#This Row],[RCP-RUBRO]]))</f>
        <v>#REF!</v>
      </c>
      <c r="AK783" s="47" t="e" cm="1">
        <f t="array" aca="1" ref="AK783" ca="1">_xlfn.XLOOKUP(PAA_4[[#This Row],[RCP-RUBRO]],[2]!COMPROMISOS_2024[[#All],[concatenado]],[2]!COMPROMISOS_2024[[#All],[Total Comprometido]],"",0)</f>
        <v>#NAME?</v>
      </c>
      <c r="AL783" s="47" t="e">
        <f ca="1">IF(PAA_4[[#This Row],[BOLSA]]=0,0,SUMIFS([2]!COMPROMISOS_2024[[#All],[Total Comprometido]],[2]!COMPROMISOS_2024[[#All],[Bolsa]],PAA_4[[#This Row],[BOLSA]],[2]!COMPROMISOS_2024[[#All],[concatenado]],PAA_4[[#This Row],[RCP-RUBRO]]))</f>
        <v>#REF!</v>
      </c>
    </row>
    <row r="784" spans="1:38" s="19" customFormat="1" ht="31.5" customHeight="1">
      <c r="A784" s="47">
        <v>603</v>
      </c>
      <c r="B784" s="47">
        <v>80111600</v>
      </c>
      <c r="C784" s="47" t="str">
        <f>VLOOKUP(PAA_4[[#This Row],[PROYECTO (formulado)2]],[2]PROYECTOS!$G$1:$L$32,6,0)</f>
        <v>SUBGERENCIA DE ALTOS LOGROS Y DEPORTE ASOCIADO</v>
      </c>
      <c r="D784" s="47" t="str">
        <f>+IF(PAA_4[[#This Row],[UNIDAD DE CONTRATACION (formulado)]]="Subgerencia Administrativa y Financiera","FUNCIONAMIENTO","INVERSIÓN")</f>
        <v>INVERSIÓN</v>
      </c>
      <c r="E784" s="48" t="str">
        <f>VLOOKUP(Q784,[2]PROYECTOS!$G$1:$K$32,5,0)</f>
        <v>APOYO_TÉCNICO_Y_PSICOSOCIAL_A_LOS_DEPORTISTAS_DE_ANTIOQUIA</v>
      </c>
      <c r="F784" s="48">
        <f>VLOOKUP(E784,[2]PROYECTOS!$K$1:$M$32,3,0)</f>
        <v>2021003050069</v>
      </c>
      <c r="G784" s="49" t="s">
        <v>239</v>
      </c>
      <c r="H784" s="49" t="str">
        <f>VLOOKUP(Q784,[2]PROYECTOS!$V$1:$W$32,2,0)</f>
        <v>050069</v>
      </c>
      <c r="I784" s="50">
        <v>23714292</v>
      </c>
      <c r="J784" s="51" t="s">
        <v>1732</v>
      </c>
      <c r="K784" s="47" t="str">
        <f t="shared" ca="1" si="256"/>
        <v>CONTRATADO</v>
      </c>
      <c r="L784" s="47" t="s">
        <v>94</v>
      </c>
      <c r="M784" s="47" t="s">
        <v>1297</v>
      </c>
      <c r="N784" s="52" t="s">
        <v>240</v>
      </c>
      <c r="O784" s="51" t="e">
        <f>VLOOKUP(N784,[2]!RUBROS[#All],3,0)</f>
        <v>#REF!</v>
      </c>
      <c r="P784" s="53" t="e">
        <f>VLOOKUP(N784,[2]!RUBROS[#All],2,0)</f>
        <v>#REF!</v>
      </c>
      <c r="Q784" s="47" t="str">
        <f t="shared" si="257"/>
        <v>22</v>
      </c>
      <c r="R784" s="47" t="str">
        <f t="shared" si="258"/>
        <v>0-205400</v>
      </c>
      <c r="S784" s="54">
        <v>6</v>
      </c>
      <c r="T784" s="59" t="s">
        <v>46</v>
      </c>
      <c r="U784" s="326" t="e">
        <f ca="1">_xlfn.XLOOKUP(PAA_4[[#This Row],[ITEM]],[2]Contrato!A:A,[2]Contrato!Q:Q,"",0)</f>
        <v>#NAME?</v>
      </c>
      <c r="V784" s="47" t="s">
        <v>47</v>
      </c>
      <c r="W784" s="47" t="s">
        <v>96</v>
      </c>
      <c r="X784" s="47" t="s">
        <v>96</v>
      </c>
      <c r="Y784" s="55" t="e">
        <f ca="1">_xlfn.XLOOKUP(PAA_4[[#This Row],[ITEM]],[2]Contrato!A:A,[2]Contrato!B:B,"",0)</f>
        <v>#NAME?</v>
      </c>
      <c r="Z784" s="47" t="e">
        <f ca="1">_xlfn.XLOOKUP(PAA_4[[#This Row],[ITEM]],[2]Contrato!A:A,[2]Contrato!G:G,"",0)</f>
        <v>#NAME?</v>
      </c>
      <c r="AA784" s="47" t="e">
        <f ca="1">_xlfn.XLOOKUP(PAA_4[[#This Row],[ITEM]],[2]Contrato!A:A,[2]Contrato!T:T,"",0)</f>
        <v>#NAME?</v>
      </c>
      <c r="AB784" s="55" t="e">
        <f ca="1">+MAX(PAA_4[[#This Row],[Comprometido Contrato]],PAA_4[[#This Row],[Comprometido Bolsa]])</f>
        <v>#NAME?</v>
      </c>
      <c r="AC784" s="55" t="str">
        <f t="shared" ca="1" si="259"/>
        <v/>
      </c>
      <c r="AD784" s="55" t="e">
        <f ca="1">IF(PAA_4[[#This Row],[ESTADO (formulado)]]="NO CONTRATADO",0,MAX(PAA_4[[#This Row],[Pago por Contrato]],PAA_4[[#This Row],[Pago por bolsa]]))</f>
        <v>#NAME?</v>
      </c>
      <c r="AE784" s="55" t="str">
        <f t="shared" ca="1" si="260"/>
        <v/>
      </c>
      <c r="AF784" s="47" t="e">
        <f t="shared" ca="1" si="262"/>
        <v>#NAME?</v>
      </c>
      <c r="AG784" s="47">
        <f t="shared" si="261"/>
        <v>41080101</v>
      </c>
      <c r="AH784" s="54" t="str">
        <f>IF(Q784="22",IF(ISNUMBER(SEARCH("econ",PAA_4[[#This Row],[Actividad3]])),"Económico",IF(ISNUMBER(SEARCH("alim",PAA_4[[#This Row],[Actividad3]])),"Alimentación",IF(ISNUMBER(SEARCH("educ",PAA_4[[#This Row],[Actividad3]])),"Educativo","Técnico"))),0)</f>
        <v>Técnico</v>
      </c>
      <c r="AI784" s="47" t="e" cm="1">
        <f t="array" aca="1" ref="AI784" ca="1">_xlfn.XLOOKUP(PAA_4[[#This Row],[RCP-RUBRO]],[2]!COMPROMISOS_2024[[#All],[concatenado]],[2]!COMPROMISOS_2024[[#All],[Total pagado]],"",0)</f>
        <v>#NAME?</v>
      </c>
      <c r="AJ784" s="56" t="e">
        <f ca="1">IF(PAA_4[[#This Row],[BOLSA]]=0,0,SUMIFS([2]!COMPROMISOS_2024[[#All],[Total pagado]],[2]!COMPROMISOS_2024[[#All],[Bolsa]],PAA_4[[#This Row],[BOLSA]],[2]!COMPROMISOS_2024[[#All],[rubro]],PAA_4[[#This Row],[RCP-RUBRO]]))</f>
        <v>#REF!</v>
      </c>
      <c r="AK784" s="47" t="e" cm="1">
        <f t="array" aca="1" ref="AK784" ca="1">_xlfn.XLOOKUP(PAA_4[[#This Row],[RCP-RUBRO]],[2]!COMPROMISOS_2024[[#All],[concatenado]],[2]!COMPROMISOS_2024[[#All],[Total Comprometido]],"",0)</f>
        <v>#NAME?</v>
      </c>
      <c r="AL784" s="47" t="e">
        <f ca="1">IF(PAA_4[[#This Row],[BOLSA]]=0,0,SUMIFS([2]!COMPROMISOS_2024[[#All],[Total Comprometido]],[2]!COMPROMISOS_2024[[#All],[Bolsa]],PAA_4[[#This Row],[BOLSA]],[2]!COMPROMISOS_2024[[#All],[concatenado]],PAA_4[[#This Row],[RCP-RUBRO]]))</f>
        <v>#REF!</v>
      </c>
    </row>
    <row r="785" spans="1:38" s="19" customFormat="1" ht="31.5" customHeight="1">
      <c r="A785" s="47">
        <v>604</v>
      </c>
      <c r="B785" s="47">
        <v>80111600</v>
      </c>
      <c r="C785" s="47" t="str">
        <f>VLOOKUP(PAA_4[[#This Row],[PROYECTO (formulado)2]],[2]PROYECTOS!$G$1:$L$32,6,0)</f>
        <v>SUBGERENCIA DE ALTOS LOGROS Y DEPORTE ASOCIADO</v>
      </c>
      <c r="D785" s="47" t="str">
        <f>+IF(PAA_4[[#This Row],[UNIDAD DE CONTRATACION (formulado)]]="Subgerencia Administrativa y Financiera","FUNCIONAMIENTO","INVERSIÓN")</f>
        <v>INVERSIÓN</v>
      </c>
      <c r="E785" s="48" t="str">
        <f>VLOOKUP(Q785,[2]PROYECTOS!$G$1:$K$32,5,0)</f>
        <v>APOYO_TÉCNICO_Y_PSICOSOCIAL_A_LOS_DEPORTISTAS_DE_ANTIOQUIA</v>
      </c>
      <c r="F785" s="48">
        <f>VLOOKUP(E785,[2]PROYECTOS!$K$1:$M$32,3,0)</f>
        <v>2021003050069</v>
      </c>
      <c r="G785" s="49" t="s">
        <v>239</v>
      </c>
      <c r="H785" s="49" t="str">
        <f>VLOOKUP(Q785,[2]PROYECTOS!$V$1:$W$32,2,0)</f>
        <v>050069</v>
      </c>
      <c r="I785" s="50">
        <v>35586894</v>
      </c>
      <c r="J785" s="51" t="s">
        <v>1733</v>
      </c>
      <c r="K785" s="47" t="str">
        <f t="shared" ca="1" si="256"/>
        <v>CONTRATADO</v>
      </c>
      <c r="L785" s="47" t="s">
        <v>94</v>
      </c>
      <c r="M785" s="47" t="s">
        <v>1297</v>
      </c>
      <c r="N785" s="52" t="s">
        <v>240</v>
      </c>
      <c r="O785" s="51" t="e">
        <f>VLOOKUP(N785,[2]!RUBROS[#All],3,0)</f>
        <v>#REF!</v>
      </c>
      <c r="P785" s="53" t="e">
        <f>VLOOKUP(N785,[2]!RUBROS[#All],2,0)</f>
        <v>#REF!</v>
      </c>
      <c r="Q785" s="47" t="str">
        <f t="shared" si="257"/>
        <v>22</v>
      </c>
      <c r="R785" s="47" t="str">
        <f t="shared" si="258"/>
        <v>0-205400</v>
      </c>
      <c r="S785" s="54">
        <v>6</v>
      </c>
      <c r="T785" s="59" t="s">
        <v>46</v>
      </c>
      <c r="U785" s="326" t="e">
        <f ca="1">_xlfn.XLOOKUP(PAA_4[[#This Row],[ITEM]],[2]Contrato!A:A,[2]Contrato!Q:Q,"",0)</f>
        <v>#NAME?</v>
      </c>
      <c r="V785" s="47" t="s">
        <v>47</v>
      </c>
      <c r="W785" s="47" t="s">
        <v>96</v>
      </c>
      <c r="X785" s="47" t="s">
        <v>96</v>
      </c>
      <c r="Y785" s="55" t="e">
        <f ca="1">_xlfn.XLOOKUP(PAA_4[[#This Row],[ITEM]],[2]Contrato!A:A,[2]Contrato!B:B,"",0)</f>
        <v>#NAME?</v>
      </c>
      <c r="Z785" s="47" t="e">
        <f ca="1">_xlfn.XLOOKUP(PAA_4[[#This Row],[ITEM]],[2]Contrato!A:A,[2]Contrato!G:G,"",0)</f>
        <v>#NAME?</v>
      </c>
      <c r="AA785" s="47" t="e">
        <f ca="1">_xlfn.XLOOKUP(PAA_4[[#This Row],[ITEM]],[2]Contrato!A:A,[2]Contrato!T:T,"",0)</f>
        <v>#NAME?</v>
      </c>
      <c r="AB785" s="55" t="e">
        <f ca="1">+MAX(PAA_4[[#This Row],[Comprometido Contrato]],PAA_4[[#This Row],[Comprometido Bolsa]])</f>
        <v>#NAME?</v>
      </c>
      <c r="AC785" s="55" t="str">
        <f t="shared" ca="1" si="259"/>
        <v/>
      </c>
      <c r="AD785" s="55" t="e">
        <f ca="1">IF(PAA_4[[#This Row],[ESTADO (formulado)]]="NO CONTRATADO",0,MAX(PAA_4[[#This Row],[Pago por Contrato]],PAA_4[[#This Row],[Pago por bolsa]]))</f>
        <v>#NAME?</v>
      </c>
      <c r="AE785" s="55" t="str">
        <f t="shared" ca="1" si="260"/>
        <v/>
      </c>
      <c r="AF785" s="47" t="e">
        <f t="shared" ca="1" si="262"/>
        <v>#NAME?</v>
      </c>
      <c r="AG785" s="47">
        <f t="shared" si="261"/>
        <v>41080101</v>
      </c>
      <c r="AH785" s="54" t="str">
        <f>IF(Q785="22",IF(ISNUMBER(SEARCH("econ",PAA_4[[#This Row],[Actividad3]])),"Económico",IF(ISNUMBER(SEARCH("alim",PAA_4[[#This Row],[Actividad3]])),"Alimentación",IF(ISNUMBER(SEARCH("educ",PAA_4[[#This Row],[Actividad3]])),"Educativo","Técnico"))),0)</f>
        <v>Técnico</v>
      </c>
      <c r="AI785" s="47" t="e" cm="1">
        <f t="array" aca="1" ref="AI785" ca="1">_xlfn.XLOOKUP(PAA_4[[#This Row],[RCP-RUBRO]],[2]!COMPROMISOS_2024[[#All],[concatenado]],[2]!COMPROMISOS_2024[[#All],[Total pagado]],"",0)</f>
        <v>#NAME?</v>
      </c>
      <c r="AJ785" s="56" t="e">
        <f ca="1">IF(PAA_4[[#This Row],[BOLSA]]=0,0,SUMIFS([2]!COMPROMISOS_2024[[#All],[Total pagado]],[2]!COMPROMISOS_2024[[#All],[Bolsa]],PAA_4[[#This Row],[BOLSA]],[2]!COMPROMISOS_2024[[#All],[rubro]],PAA_4[[#This Row],[RCP-RUBRO]]))</f>
        <v>#REF!</v>
      </c>
      <c r="AK785" s="47" t="e" cm="1">
        <f t="array" aca="1" ref="AK785" ca="1">_xlfn.XLOOKUP(PAA_4[[#This Row],[RCP-RUBRO]],[2]!COMPROMISOS_2024[[#All],[concatenado]],[2]!COMPROMISOS_2024[[#All],[Total Comprometido]],"",0)</f>
        <v>#NAME?</v>
      </c>
      <c r="AL785" s="47" t="e">
        <f ca="1">IF(PAA_4[[#This Row],[BOLSA]]=0,0,SUMIFS([2]!COMPROMISOS_2024[[#All],[Total Comprometido]],[2]!COMPROMISOS_2024[[#All],[Bolsa]],PAA_4[[#This Row],[BOLSA]],[2]!COMPROMISOS_2024[[#All],[concatenado]],PAA_4[[#This Row],[RCP-RUBRO]]))</f>
        <v>#REF!</v>
      </c>
    </row>
    <row r="786" spans="1:38" s="19" customFormat="1" ht="31.5" customHeight="1">
      <c r="A786" s="47">
        <v>605</v>
      </c>
      <c r="B786" s="47">
        <v>80111600</v>
      </c>
      <c r="C786" s="47" t="str">
        <f>VLOOKUP(PAA_4[[#This Row],[PROYECTO (formulado)2]],[2]PROYECTOS!$G$1:$L$32,6,0)</f>
        <v>SUBGERENCIA DE ALTOS LOGROS Y DEPORTE ASOCIADO</v>
      </c>
      <c r="D786" s="47" t="str">
        <f>+IF(PAA_4[[#This Row],[UNIDAD DE CONTRATACION (formulado)]]="Subgerencia Administrativa y Financiera","FUNCIONAMIENTO","INVERSIÓN")</f>
        <v>INVERSIÓN</v>
      </c>
      <c r="E786" s="48" t="str">
        <f>VLOOKUP(Q786,[2]PROYECTOS!$G$1:$K$32,5,0)</f>
        <v>APOYO_TÉCNICO_Y_PSICOSOCIAL_A_LOS_DEPORTISTAS_DE_ANTIOQUIA</v>
      </c>
      <c r="F786" s="48">
        <f>VLOOKUP(E786,[2]PROYECTOS!$K$1:$M$32,3,0)</f>
        <v>2021003050069</v>
      </c>
      <c r="G786" s="49" t="s">
        <v>239</v>
      </c>
      <c r="H786" s="49" t="str">
        <f>VLOOKUP(Q786,[2]PROYECTOS!$V$1:$W$32,2,0)</f>
        <v>050069</v>
      </c>
      <c r="I786" s="50">
        <f>19397143-1029937</f>
        <v>18367206</v>
      </c>
      <c r="J786" s="51" t="s">
        <v>1734</v>
      </c>
      <c r="K786" s="47" t="str">
        <f t="shared" ca="1" si="256"/>
        <v>CONTRATADO</v>
      </c>
      <c r="L786" s="47" t="s">
        <v>94</v>
      </c>
      <c r="M786" s="47" t="s">
        <v>1297</v>
      </c>
      <c r="N786" s="52" t="s">
        <v>240</v>
      </c>
      <c r="O786" s="51" t="e">
        <f>VLOOKUP(N786,[2]!RUBROS[#All],3,0)</f>
        <v>#REF!</v>
      </c>
      <c r="P786" s="53" t="e">
        <f>VLOOKUP(N786,[2]!RUBROS[#All],2,0)</f>
        <v>#REF!</v>
      </c>
      <c r="Q786" s="47" t="str">
        <f t="shared" si="257"/>
        <v>22</v>
      </c>
      <c r="R786" s="47" t="str">
        <f t="shared" si="258"/>
        <v>0-205400</v>
      </c>
      <c r="S786" s="65">
        <f>210+15</f>
        <v>225</v>
      </c>
      <c r="T786" s="59" t="s">
        <v>120</v>
      </c>
      <c r="U786" s="326" t="e">
        <f ca="1">_xlfn.XLOOKUP(PAA_4[[#This Row],[ITEM]],[2]Contrato!A:A,[2]Contrato!Q:Q,"",0)</f>
        <v>#NAME?</v>
      </c>
      <c r="V786" s="47" t="s">
        <v>47</v>
      </c>
      <c r="W786" s="65" t="s">
        <v>122</v>
      </c>
      <c r="X786" s="65" t="s">
        <v>242</v>
      </c>
      <c r="Y786" s="55" t="e">
        <f ca="1">_xlfn.XLOOKUP(PAA_4[[#This Row],[ITEM]],[2]Contrato!A:A,[2]Contrato!B:B,"",0)</f>
        <v>#NAME?</v>
      </c>
      <c r="Z786" s="47" t="e">
        <f ca="1">_xlfn.XLOOKUP(PAA_4[[#This Row],[ITEM]],[2]Contrato!A:A,[2]Contrato!G:G,"",0)</f>
        <v>#NAME?</v>
      </c>
      <c r="AA786" s="47" t="e">
        <f ca="1">_xlfn.XLOOKUP(PAA_4[[#This Row],[ITEM]],[2]Contrato!A:A,[2]Contrato!T:T,"",0)</f>
        <v>#NAME?</v>
      </c>
      <c r="AB786" s="55" t="e">
        <f ca="1">+MAX(PAA_4[[#This Row],[Comprometido Contrato]],PAA_4[[#This Row],[Comprometido Bolsa]])</f>
        <v>#NAME?</v>
      </c>
      <c r="AC786" s="55" t="str">
        <f t="shared" ca="1" si="259"/>
        <v/>
      </c>
      <c r="AD786" s="55" t="e">
        <f ca="1">IF(PAA_4[[#This Row],[ESTADO (formulado)]]="NO CONTRATADO",0,MAX(PAA_4[[#This Row],[Pago por Contrato]],PAA_4[[#This Row],[Pago por bolsa]]))</f>
        <v>#NAME?</v>
      </c>
      <c r="AE786" s="55" t="str">
        <f t="shared" ca="1" si="260"/>
        <v/>
      </c>
      <c r="AF786" s="47" t="e">
        <f t="shared" ca="1" si="262"/>
        <v>#NAME?</v>
      </c>
      <c r="AG786" s="47">
        <f t="shared" si="261"/>
        <v>41080101</v>
      </c>
      <c r="AH786" s="54" t="str">
        <f>IF(Q786="22",IF(ISNUMBER(SEARCH("econ",PAA_4[[#This Row],[Actividad3]])),"Económico",IF(ISNUMBER(SEARCH("alim",PAA_4[[#This Row],[Actividad3]])),"Alimentación",IF(ISNUMBER(SEARCH("educ",PAA_4[[#This Row],[Actividad3]])),"Educativo","Técnico"))),0)</f>
        <v>Técnico</v>
      </c>
      <c r="AI786" s="47" t="e" cm="1">
        <f t="array" aca="1" ref="AI786" ca="1">_xlfn.XLOOKUP(PAA_4[[#This Row],[RCP-RUBRO]],[2]!COMPROMISOS_2024[[#All],[concatenado]],[2]!COMPROMISOS_2024[[#All],[Total pagado]],"",0)</f>
        <v>#NAME?</v>
      </c>
      <c r="AJ786" s="56" t="e">
        <f ca="1">IF(PAA_4[[#This Row],[BOLSA]]=0,0,SUMIFS([2]!COMPROMISOS_2024[[#All],[Total pagado]],[2]!COMPROMISOS_2024[[#All],[Bolsa]],PAA_4[[#This Row],[BOLSA]],[2]!COMPROMISOS_2024[[#All],[rubro]],PAA_4[[#This Row],[RCP-RUBRO]]))</f>
        <v>#REF!</v>
      </c>
      <c r="AK786" s="47" t="e" cm="1">
        <f t="array" aca="1" ref="AK786" ca="1">_xlfn.XLOOKUP(PAA_4[[#This Row],[RCP-RUBRO]],[2]!COMPROMISOS_2024[[#All],[concatenado]],[2]!COMPROMISOS_2024[[#All],[Total Comprometido]],"",0)</f>
        <v>#NAME?</v>
      </c>
      <c r="AL786" s="47" t="e">
        <f ca="1">IF(PAA_4[[#This Row],[BOLSA]]=0,0,SUMIFS([2]!COMPROMISOS_2024[[#All],[Total Comprometido]],[2]!COMPROMISOS_2024[[#All],[Bolsa]],PAA_4[[#This Row],[BOLSA]],[2]!COMPROMISOS_2024[[#All],[concatenado]],PAA_4[[#This Row],[RCP-RUBRO]]))</f>
        <v>#REF!</v>
      </c>
    </row>
    <row r="787" spans="1:38" s="19" customFormat="1" ht="31.5" customHeight="1">
      <c r="A787" s="47">
        <v>606</v>
      </c>
      <c r="B787" s="47">
        <v>80111600</v>
      </c>
      <c r="C787" s="47" t="str">
        <f>VLOOKUP(PAA_4[[#This Row],[PROYECTO (formulado)2]],[2]PROYECTOS!$G$1:$L$32,6,0)</f>
        <v>SUBGERENCIA DE ALTOS LOGROS Y DEPORTE ASOCIADO</v>
      </c>
      <c r="D787" s="47" t="str">
        <f>+IF(PAA_4[[#This Row],[UNIDAD DE CONTRATACION (formulado)]]="Subgerencia Administrativa y Financiera","FUNCIONAMIENTO","INVERSIÓN")</f>
        <v>INVERSIÓN</v>
      </c>
      <c r="E787" s="48" t="str">
        <f>VLOOKUP(Q787,[2]PROYECTOS!$G$1:$K$32,5,0)</f>
        <v>APOYO_TÉCNICO_Y_PSICOSOCIAL_A_LOS_DEPORTISTAS_DE_ANTIOQUIA</v>
      </c>
      <c r="F787" s="48">
        <f>VLOOKUP(E787,[2]PROYECTOS!$K$1:$M$32,3,0)</f>
        <v>2021003050069</v>
      </c>
      <c r="G787" s="49" t="s">
        <v>239</v>
      </c>
      <c r="H787" s="49" t="str">
        <f>VLOOKUP(Q787,[2]PROYECTOS!$V$1:$W$32,2,0)</f>
        <v>050069</v>
      </c>
      <c r="I787" s="50">
        <f>74198919-4596393-32831380</f>
        <v>36771146</v>
      </c>
      <c r="J787" s="51" t="s">
        <v>1735</v>
      </c>
      <c r="K787" s="47" t="str">
        <f t="shared" ca="1" si="256"/>
        <v>CONTRATADO</v>
      </c>
      <c r="L787" s="47" t="s">
        <v>94</v>
      </c>
      <c r="M787" s="47" t="s">
        <v>1297</v>
      </c>
      <c r="N787" s="52" t="s">
        <v>240</v>
      </c>
      <c r="O787" s="51" t="e">
        <f>VLOOKUP(N787,[2]!RUBROS[#All],3,0)</f>
        <v>#REF!</v>
      </c>
      <c r="P787" s="53" t="e">
        <f>VLOOKUP(N787,[2]!RUBROS[#All],2,0)</f>
        <v>#REF!</v>
      </c>
      <c r="Q787" s="47" t="str">
        <f t="shared" si="257"/>
        <v>22</v>
      </c>
      <c r="R787" s="47" t="str">
        <f t="shared" si="258"/>
        <v>0-205400</v>
      </c>
      <c r="S787" s="350">
        <f>210+15</f>
        <v>225</v>
      </c>
      <c r="T787" s="59" t="s">
        <v>120</v>
      </c>
      <c r="U787" s="326" t="e">
        <f ca="1">_xlfn.XLOOKUP(PAA_4[[#This Row],[ITEM]],[2]Contrato!A:A,[2]Contrato!Q:Q,"",0)</f>
        <v>#NAME?</v>
      </c>
      <c r="V787" s="47" t="s">
        <v>47</v>
      </c>
      <c r="W787" s="65" t="s">
        <v>122</v>
      </c>
      <c r="X787" s="65" t="s">
        <v>242</v>
      </c>
      <c r="Y787" s="55" t="e">
        <f ca="1">_xlfn.XLOOKUP(PAA_4[[#This Row],[ITEM]],[2]Contrato!A:A,[2]Contrato!B:B,"",0)</f>
        <v>#NAME?</v>
      </c>
      <c r="Z787" s="47" t="e">
        <f ca="1">_xlfn.XLOOKUP(PAA_4[[#This Row],[ITEM]],[2]Contrato!A:A,[2]Contrato!G:G,"",0)</f>
        <v>#NAME?</v>
      </c>
      <c r="AA787" s="47" t="e">
        <f ca="1">_xlfn.XLOOKUP(PAA_4[[#This Row],[ITEM]],[2]Contrato!A:A,[2]Contrato!T:T,"",0)</f>
        <v>#NAME?</v>
      </c>
      <c r="AB787" s="55" t="e">
        <f ca="1">+MAX(PAA_4[[#This Row],[Comprometido Contrato]],PAA_4[[#This Row],[Comprometido Bolsa]])</f>
        <v>#NAME?</v>
      </c>
      <c r="AC787" s="55" t="str">
        <f t="shared" ca="1" si="259"/>
        <v/>
      </c>
      <c r="AD787" s="55" t="e">
        <f ca="1">IF(PAA_4[[#This Row],[ESTADO (formulado)]]="NO CONTRATADO",0,MAX(PAA_4[[#This Row],[Pago por Contrato]],PAA_4[[#This Row],[Pago por bolsa]]))</f>
        <v>#NAME?</v>
      </c>
      <c r="AE787" s="55" t="str">
        <f t="shared" ca="1" si="260"/>
        <v/>
      </c>
      <c r="AF787" s="47" t="e">
        <f t="shared" ca="1" si="262"/>
        <v>#NAME?</v>
      </c>
      <c r="AG787" s="47">
        <f t="shared" si="261"/>
        <v>41080101</v>
      </c>
      <c r="AH787" s="54" t="str">
        <f>IF(Q787="22",IF(ISNUMBER(SEARCH("econ",PAA_4[[#This Row],[Actividad3]])),"Económico",IF(ISNUMBER(SEARCH("alim",PAA_4[[#This Row],[Actividad3]])),"Alimentación",IF(ISNUMBER(SEARCH("educ",PAA_4[[#This Row],[Actividad3]])),"Educativo","Técnico"))),0)</f>
        <v>Técnico</v>
      </c>
      <c r="AI787" s="47" t="e" cm="1">
        <f t="array" aca="1" ref="AI787" ca="1">_xlfn.XLOOKUP(PAA_4[[#This Row],[RCP-RUBRO]],[2]!COMPROMISOS_2024[[#All],[concatenado]],[2]!COMPROMISOS_2024[[#All],[Total pagado]],"",0)</f>
        <v>#NAME?</v>
      </c>
      <c r="AJ787" s="56" t="e">
        <f ca="1">IF(PAA_4[[#This Row],[BOLSA]]=0,0,SUMIFS([2]!COMPROMISOS_2024[[#All],[Total pagado]],[2]!COMPROMISOS_2024[[#All],[Bolsa]],PAA_4[[#This Row],[BOLSA]],[2]!COMPROMISOS_2024[[#All],[rubro]],PAA_4[[#This Row],[RCP-RUBRO]]))</f>
        <v>#REF!</v>
      </c>
      <c r="AK787" s="47" t="e" cm="1">
        <f t="array" aca="1" ref="AK787" ca="1">_xlfn.XLOOKUP(PAA_4[[#This Row],[RCP-RUBRO]],[2]!COMPROMISOS_2024[[#All],[concatenado]],[2]!COMPROMISOS_2024[[#All],[Total Comprometido]],"",0)</f>
        <v>#NAME?</v>
      </c>
      <c r="AL787" s="47" t="e">
        <f ca="1">IF(PAA_4[[#This Row],[BOLSA]]=0,0,SUMIFS([2]!COMPROMISOS_2024[[#All],[Total Comprometido]],[2]!COMPROMISOS_2024[[#All],[Bolsa]],PAA_4[[#This Row],[BOLSA]],[2]!COMPROMISOS_2024[[#All],[concatenado]],PAA_4[[#This Row],[RCP-RUBRO]]))</f>
        <v>#REF!</v>
      </c>
    </row>
    <row r="788" spans="1:38" s="19" customFormat="1" ht="31.5" customHeight="1">
      <c r="A788" s="47">
        <v>607</v>
      </c>
      <c r="B788" s="47">
        <v>80111600</v>
      </c>
      <c r="C788" s="47" t="str">
        <f>VLOOKUP(PAA_4[[#This Row],[PROYECTO (formulado)2]],[2]PROYECTOS!$G$1:$L$32,6,0)</f>
        <v>SUBGERENCIA DE ALTOS LOGROS Y DEPORTE ASOCIADO</v>
      </c>
      <c r="D788" s="47" t="str">
        <f>+IF(PAA_4[[#This Row],[UNIDAD DE CONTRATACION (formulado)]]="Subgerencia Administrativa y Financiera","FUNCIONAMIENTO","INVERSIÓN")</f>
        <v>INVERSIÓN</v>
      </c>
      <c r="E788" s="48" t="str">
        <f>VLOOKUP(Q788,[2]PROYECTOS!$G$1:$K$32,5,0)</f>
        <v>APOYO_TÉCNICO_Y_PSICOSOCIAL_A_LOS_DEPORTISTAS_DE_ANTIOQUIA</v>
      </c>
      <c r="F788" s="48">
        <f>VLOOKUP(E788,[2]PROYECTOS!$K$1:$M$32,3,0)</f>
        <v>2021003050069</v>
      </c>
      <c r="G788" s="49" t="s">
        <v>239</v>
      </c>
      <c r="H788" s="49" t="str">
        <f>VLOOKUP(Q788,[2]PROYECTOS!$V$1:$W$32,2,0)</f>
        <v>050069</v>
      </c>
      <c r="I788" s="50">
        <v>15449052</v>
      </c>
      <c r="J788" s="51" t="s">
        <v>1736</v>
      </c>
      <c r="K788" s="47" t="str">
        <f t="shared" ca="1" si="256"/>
        <v>CONTRATADO</v>
      </c>
      <c r="L788" s="47" t="s">
        <v>94</v>
      </c>
      <c r="M788" s="47" t="s">
        <v>1297</v>
      </c>
      <c r="N788" s="52" t="s">
        <v>240</v>
      </c>
      <c r="O788" s="51" t="e">
        <f>VLOOKUP(N788,[2]!RUBROS[#All],3,0)</f>
        <v>#REF!</v>
      </c>
      <c r="P788" s="53" t="e">
        <f>VLOOKUP(N788,[2]!RUBROS[#All],2,0)</f>
        <v>#REF!</v>
      </c>
      <c r="Q788" s="47" t="str">
        <f t="shared" si="257"/>
        <v>22</v>
      </c>
      <c r="R788" s="47" t="str">
        <f t="shared" si="258"/>
        <v>0-205400</v>
      </c>
      <c r="S788" s="54">
        <v>6</v>
      </c>
      <c r="T788" s="59" t="s">
        <v>46</v>
      </c>
      <c r="U788" s="326" t="e">
        <f ca="1">_xlfn.XLOOKUP(PAA_4[[#This Row],[ITEM]],[2]Contrato!A:A,[2]Contrato!Q:Q,"",0)</f>
        <v>#NAME?</v>
      </c>
      <c r="V788" s="47" t="s">
        <v>47</v>
      </c>
      <c r="W788" s="47" t="s">
        <v>96</v>
      </c>
      <c r="X788" s="47" t="s">
        <v>96</v>
      </c>
      <c r="Y788" s="55" t="e">
        <f ca="1">_xlfn.XLOOKUP(PAA_4[[#This Row],[ITEM]],[2]Contrato!A:A,[2]Contrato!B:B,"",0)</f>
        <v>#NAME?</v>
      </c>
      <c r="Z788" s="47" t="e">
        <f ca="1">_xlfn.XLOOKUP(PAA_4[[#This Row],[ITEM]],[2]Contrato!A:A,[2]Contrato!G:G,"",0)</f>
        <v>#NAME?</v>
      </c>
      <c r="AA788" s="47" t="e">
        <f ca="1">_xlfn.XLOOKUP(PAA_4[[#This Row],[ITEM]],[2]Contrato!A:A,[2]Contrato!T:T,"",0)</f>
        <v>#NAME?</v>
      </c>
      <c r="AB788" s="55" t="e">
        <f ca="1">+MAX(PAA_4[[#This Row],[Comprometido Contrato]],PAA_4[[#This Row],[Comprometido Bolsa]])</f>
        <v>#NAME?</v>
      </c>
      <c r="AC788" s="55" t="str">
        <f t="shared" ca="1" si="259"/>
        <v/>
      </c>
      <c r="AD788" s="55" t="e">
        <f ca="1">IF(PAA_4[[#This Row],[ESTADO (formulado)]]="NO CONTRATADO",0,MAX(PAA_4[[#This Row],[Pago por Contrato]],PAA_4[[#This Row],[Pago por bolsa]]))</f>
        <v>#NAME?</v>
      </c>
      <c r="AE788" s="55" t="str">
        <f t="shared" ca="1" si="260"/>
        <v/>
      </c>
      <c r="AF788" s="47" t="e">
        <f t="shared" ca="1" si="262"/>
        <v>#NAME?</v>
      </c>
      <c r="AG788" s="47">
        <f t="shared" si="261"/>
        <v>41080101</v>
      </c>
      <c r="AH788" s="54" t="str">
        <f>IF(Q788="22",IF(ISNUMBER(SEARCH("econ",PAA_4[[#This Row],[Actividad3]])),"Económico",IF(ISNUMBER(SEARCH("alim",PAA_4[[#This Row],[Actividad3]])),"Alimentación",IF(ISNUMBER(SEARCH("educ",PAA_4[[#This Row],[Actividad3]])),"Educativo","Técnico"))),0)</f>
        <v>Técnico</v>
      </c>
      <c r="AI788" s="47" t="e" cm="1">
        <f t="array" aca="1" ref="AI788" ca="1">_xlfn.XLOOKUP(PAA_4[[#This Row],[RCP-RUBRO]],[2]!COMPROMISOS_2024[[#All],[concatenado]],[2]!COMPROMISOS_2024[[#All],[Total pagado]],"",0)</f>
        <v>#NAME?</v>
      </c>
      <c r="AJ788" s="56" t="e">
        <f ca="1">IF(PAA_4[[#This Row],[BOLSA]]=0,0,SUMIFS([2]!COMPROMISOS_2024[[#All],[Total pagado]],[2]!COMPROMISOS_2024[[#All],[Bolsa]],PAA_4[[#This Row],[BOLSA]],[2]!COMPROMISOS_2024[[#All],[rubro]],PAA_4[[#This Row],[RCP-RUBRO]]))</f>
        <v>#REF!</v>
      </c>
      <c r="AK788" s="47" t="e" cm="1">
        <f t="array" aca="1" ref="AK788" ca="1">_xlfn.XLOOKUP(PAA_4[[#This Row],[RCP-RUBRO]],[2]!COMPROMISOS_2024[[#All],[concatenado]],[2]!COMPROMISOS_2024[[#All],[Total Comprometido]],"",0)</f>
        <v>#NAME?</v>
      </c>
      <c r="AL788" s="47" t="e">
        <f ca="1">IF(PAA_4[[#This Row],[BOLSA]]=0,0,SUMIFS([2]!COMPROMISOS_2024[[#All],[Total Comprometido]],[2]!COMPROMISOS_2024[[#All],[Bolsa]],PAA_4[[#This Row],[BOLSA]],[2]!COMPROMISOS_2024[[#All],[concatenado]],PAA_4[[#This Row],[RCP-RUBRO]]))</f>
        <v>#REF!</v>
      </c>
    </row>
    <row r="789" spans="1:38" s="19" customFormat="1" ht="31.5" customHeight="1">
      <c r="A789" s="47">
        <v>608</v>
      </c>
      <c r="B789" s="47">
        <v>80111600</v>
      </c>
      <c r="C789" s="47" t="str">
        <f>VLOOKUP(PAA_4[[#This Row],[PROYECTO (formulado)2]],[2]PROYECTOS!$G$1:$L$32,6,0)</f>
        <v>SUBGERENCIA DE ALTOS LOGROS Y DEPORTE ASOCIADO</v>
      </c>
      <c r="D789" s="47" t="str">
        <f>+IF(PAA_4[[#This Row],[UNIDAD DE CONTRATACION (formulado)]]="Subgerencia Administrativa y Financiera","FUNCIONAMIENTO","INVERSIÓN")</f>
        <v>INVERSIÓN</v>
      </c>
      <c r="E789" s="48" t="str">
        <f>VLOOKUP(Q789,[2]PROYECTOS!$G$1:$K$32,5,0)</f>
        <v>APOYO_TÉCNICO_Y_PSICOSOCIAL_A_LOS_DEPORTISTAS_DE_ANTIOQUIA</v>
      </c>
      <c r="F789" s="48">
        <f>VLOOKUP(E789,[2]PROYECTOS!$K$1:$M$32,3,0)</f>
        <v>2021003050069</v>
      </c>
      <c r="G789" s="49" t="s">
        <v>239</v>
      </c>
      <c r="H789" s="49" t="str">
        <f>VLOOKUP(Q789,[2]PROYECTOS!$V$1:$W$32,2,0)</f>
        <v>050069</v>
      </c>
      <c r="I789" s="50">
        <v>15449052</v>
      </c>
      <c r="J789" s="51" t="s">
        <v>1737</v>
      </c>
      <c r="K789" s="47" t="str">
        <f t="shared" ca="1" si="256"/>
        <v>CONTRATADO</v>
      </c>
      <c r="L789" s="47" t="s">
        <v>94</v>
      </c>
      <c r="M789" s="47" t="s">
        <v>1297</v>
      </c>
      <c r="N789" s="52" t="s">
        <v>240</v>
      </c>
      <c r="O789" s="51" t="e">
        <f>VLOOKUP(N789,[2]!RUBROS[#All],3,0)</f>
        <v>#REF!</v>
      </c>
      <c r="P789" s="53" t="e">
        <f>VLOOKUP(N789,[2]!RUBROS[#All],2,0)</f>
        <v>#REF!</v>
      </c>
      <c r="Q789" s="47" t="str">
        <f t="shared" si="257"/>
        <v>22</v>
      </c>
      <c r="R789" s="47" t="str">
        <f t="shared" si="258"/>
        <v>0-205400</v>
      </c>
      <c r="S789" s="54">
        <v>6</v>
      </c>
      <c r="T789" s="59" t="s">
        <v>46</v>
      </c>
      <c r="U789" s="326" t="e">
        <f ca="1">_xlfn.XLOOKUP(PAA_4[[#This Row],[ITEM]],[2]Contrato!A:A,[2]Contrato!Q:Q,"",0)</f>
        <v>#NAME?</v>
      </c>
      <c r="V789" s="47" t="s">
        <v>47</v>
      </c>
      <c r="W789" s="47" t="s">
        <v>96</v>
      </c>
      <c r="X789" s="47" t="s">
        <v>96</v>
      </c>
      <c r="Y789" s="55" t="e">
        <f ca="1">_xlfn.XLOOKUP(PAA_4[[#This Row],[ITEM]],[2]Contrato!A:A,[2]Contrato!B:B,"",0)</f>
        <v>#NAME?</v>
      </c>
      <c r="Z789" s="47" t="e">
        <f ca="1">_xlfn.XLOOKUP(PAA_4[[#This Row],[ITEM]],[2]Contrato!A:A,[2]Contrato!G:G,"",0)</f>
        <v>#NAME?</v>
      </c>
      <c r="AA789" s="47" t="e">
        <f ca="1">_xlfn.XLOOKUP(PAA_4[[#This Row],[ITEM]],[2]Contrato!A:A,[2]Contrato!T:T,"",0)</f>
        <v>#NAME?</v>
      </c>
      <c r="AB789" s="55" t="e">
        <f ca="1">+MAX(PAA_4[[#This Row],[Comprometido Contrato]],PAA_4[[#This Row],[Comprometido Bolsa]])</f>
        <v>#NAME?</v>
      </c>
      <c r="AC789" s="55" t="str">
        <f t="shared" ca="1" si="259"/>
        <v/>
      </c>
      <c r="AD789" s="55" t="e">
        <f ca="1">IF(PAA_4[[#This Row],[ESTADO (formulado)]]="NO CONTRATADO",0,MAX(PAA_4[[#This Row],[Pago por Contrato]],PAA_4[[#This Row],[Pago por bolsa]]))</f>
        <v>#NAME?</v>
      </c>
      <c r="AE789" s="55" t="str">
        <f t="shared" ca="1" si="260"/>
        <v/>
      </c>
      <c r="AF789" s="47" t="e">
        <f t="shared" ca="1" si="262"/>
        <v>#NAME?</v>
      </c>
      <c r="AG789" s="47">
        <f t="shared" si="261"/>
        <v>41080101</v>
      </c>
      <c r="AH789" s="54" t="str">
        <f>IF(Q789="22",IF(ISNUMBER(SEARCH("econ",PAA_4[[#This Row],[Actividad3]])),"Económico",IF(ISNUMBER(SEARCH("alim",PAA_4[[#This Row],[Actividad3]])),"Alimentación",IF(ISNUMBER(SEARCH("educ",PAA_4[[#This Row],[Actividad3]])),"Educativo","Técnico"))),0)</f>
        <v>Técnico</v>
      </c>
      <c r="AI789" s="47" t="e" cm="1">
        <f t="array" aca="1" ref="AI789" ca="1">_xlfn.XLOOKUP(PAA_4[[#This Row],[RCP-RUBRO]],[2]!COMPROMISOS_2024[[#All],[concatenado]],[2]!COMPROMISOS_2024[[#All],[Total pagado]],"",0)</f>
        <v>#NAME?</v>
      </c>
      <c r="AJ789" s="56" t="e">
        <f ca="1">IF(PAA_4[[#This Row],[BOLSA]]=0,0,SUMIFS([2]!COMPROMISOS_2024[[#All],[Total pagado]],[2]!COMPROMISOS_2024[[#All],[Bolsa]],PAA_4[[#This Row],[BOLSA]],[2]!COMPROMISOS_2024[[#All],[rubro]],PAA_4[[#This Row],[RCP-RUBRO]]))</f>
        <v>#REF!</v>
      </c>
      <c r="AK789" s="47" t="e" cm="1">
        <f t="array" aca="1" ref="AK789" ca="1">_xlfn.XLOOKUP(PAA_4[[#This Row],[RCP-RUBRO]],[2]!COMPROMISOS_2024[[#All],[concatenado]],[2]!COMPROMISOS_2024[[#All],[Total Comprometido]],"",0)</f>
        <v>#NAME?</v>
      </c>
      <c r="AL789" s="47" t="e">
        <f ca="1">IF(PAA_4[[#This Row],[BOLSA]]=0,0,SUMIFS([2]!COMPROMISOS_2024[[#All],[Total Comprometido]],[2]!COMPROMISOS_2024[[#All],[Bolsa]],PAA_4[[#This Row],[BOLSA]],[2]!COMPROMISOS_2024[[#All],[concatenado]],PAA_4[[#This Row],[RCP-RUBRO]]))</f>
        <v>#REF!</v>
      </c>
    </row>
    <row r="790" spans="1:38" s="19" customFormat="1" ht="31.5" customHeight="1">
      <c r="A790" s="47">
        <v>609</v>
      </c>
      <c r="B790" s="47">
        <v>80111600</v>
      </c>
      <c r="C790" s="47" t="str">
        <f>VLOOKUP(PAA_4[[#This Row],[PROYECTO (formulado)2]],[2]PROYECTOS!$G$1:$L$32,6,0)</f>
        <v>SUBGERENCIA DE ALTOS LOGROS Y DEPORTE ASOCIADO</v>
      </c>
      <c r="D790" s="47" t="str">
        <f>+IF(PAA_4[[#This Row],[UNIDAD DE CONTRATACION (formulado)]]="Subgerencia Administrativa y Financiera","FUNCIONAMIENTO","INVERSIÓN")</f>
        <v>INVERSIÓN</v>
      </c>
      <c r="E790" s="48" t="str">
        <f>VLOOKUP(Q790,[2]PROYECTOS!$G$1:$K$32,5,0)</f>
        <v>APOYO_TÉCNICO_Y_PSICOSOCIAL_A_LOS_DEPORTISTAS_DE_ANTIOQUIA</v>
      </c>
      <c r="F790" s="48">
        <f>VLOOKUP(E790,[2]PROYECTOS!$K$1:$M$32,3,0)</f>
        <v>2021003050069</v>
      </c>
      <c r="G790" s="49" t="s">
        <v>239</v>
      </c>
      <c r="H790" s="49" t="str">
        <f>VLOOKUP(Q790,[2]PROYECTOS!$V$1:$W$32,2,0)</f>
        <v>050069</v>
      </c>
      <c r="I790" s="50">
        <v>15449052</v>
      </c>
      <c r="J790" s="51" t="s">
        <v>1738</v>
      </c>
      <c r="K790" s="47" t="str">
        <f t="shared" ca="1" si="256"/>
        <v>CONTRATADO</v>
      </c>
      <c r="L790" s="47" t="s">
        <v>94</v>
      </c>
      <c r="M790" s="47" t="s">
        <v>1297</v>
      </c>
      <c r="N790" s="52" t="s">
        <v>240</v>
      </c>
      <c r="O790" s="51" t="e">
        <f>VLOOKUP(N790,[2]!RUBROS[#All],3,0)</f>
        <v>#REF!</v>
      </c>
      <c r="P790" s="53" t="e">
        <f>VLOOKUP(N790,[2]!RUBROS[#All],2,0)</f>
        <v>#REF!</v>
      </c>
      <c r="Q790" s="47" t="str">
        <f t="shared" si="257"/>
        <v>22</v>
      </c>
      <c r="R790" s="47" t="str">
        <f t="shared" si="258"/>
        <v>0-205400</v>
      </c>
      <c r="S790" s="54">
        <v>6</v>
      </c>
      <c r="T790" s="59" t="s">
        <v>46</v>
      </c>
      <c r="U790" s="326" t="e">
        <f ca="1">_xlfn.XLOOKUP(PAA_4[[#This Row],[ITEM]],[2]Contrato!A:A,[2]Contrato!Q:Q,"",0)</f>
        <v>#NAME?</v>
      </c>
      <c r="V790" s="47" t="s">
        <v>47</v>
      </c>
      <c r="W790" s="47" t="s">
        <v>96</v>
      </c>
      <c r="X790" s="47" t="s">
        <v>96</v>
      </c>
      <c r="Y790" s="55" t="e">
        <f ca="1">_xlfn.XLOOKUP(PAA_4[[#This Row],[ITEM]],[2]Contrato!A:A,[2]Contrato!B:B,"",0)</f>
        <v>#NAME?</v>
      </c>
      <c r="Z790" s="47" t="e">
        <f ca="1">_xlfn.XLOOKUP(PAA_4[[#This Row],[ITEM]],[2]Contrato!A:A,[2]Contrato!G:G,"",0)</f>
        <v>#NAME?</v>
      </c>
      <c r="AA790" s="47" t="e">
        <f ca="1">_xlfn.XLOOKUP(PAA_4[[#This Row],[ITEM]],[2]Contrato!A:A,[2]Contrato!T:T,"",0)</f>
        <v>#NAME?</v>
      </c>
      <c r="AB790" s="55" t="e">
        <f ca="1">+MAX(PAA_4[[#This Row],[Comprometido Contrato]],PAA_4[[#This Row],[Comprometido Bolsa]])</f>
        <v>#NAME?</v>
      </c>
      <c r="AC790" s="55" t="str">
        <f t="shared" ca="1" si="259"/>
        <v/>
      </c>
      <c r="AD790" s="55" t="e">
        <f ca="1">IF(PAA_4[[#This Row],[ESTADO (formulado)]]="NO CONTRATADO",0,MAX(PAA_4[[#This Row],[Pago por Contrato]],PAA_4[[#This Row],[Pago por bolsa]]))</f>
        <v>#NAME?</v>
      </c>
      <c r="AE790" s="55" t="str">
        <f t="shared" ca="1" si="260"/>
        <v/>
      </c>
      <c r="AF790" s="47" t="e">
        <f t="shared" ca="1" si="262"/>
        <v>#NAME?</v>
      </c>
      <c r="AG790" s="47">
        <f t="shared" si="261"/>
        <v>41080101</v>
      </c>
      <c r="AH790" s="54" t="str">
        <f>IF(Q790="22",IF(ISNUMBER(SEARCH("econ",PAA_4[[#This Row],[Actividad3]])),"Económico",IF(ISNUMBER(SEARCH("alim",PAA_4[[#This Row],[Actividad3]])),"Alimentación",IF(ISNUMBER(SEARCH("educ",PAA_4[[#This Row],[Actividad3]])),"Educativo","Técnico"))),0)</f>
        <v>Técnico</v>
      </c>
      <c r="AI790" s="47" t="e" cm="1">
        <f t="array" aca="1" ref="AI790" ca="1">_xlfn.XLOOKUP(PAA_4[[#This Row],[RCP-RUBRO]],[2]!COMPROMISOS_2024[[#All],[concatenado]],[2]!COMPROMISOS_2024[[#All],[Total pagado]],"",0)</f>
        <v>#NAME?</v>
      </c>
      <c r="AJ790" s="56" t="e">
        <f ca="1">IF(PAA_4[[#This Row],[BOLSA]]=0,0,SUMIFS([2]!COMPROMISOS_2024[[#All],[Total pagado]],[2]!COMPROMISOS_2024[[#All],[Bolsa]],PAA_4[[#This Row],[BOLSA]],[2]!COMPROMISOS_2024[[#All],[rubro]],PAA_4[[#This Row],[RCP-RUBRO]]))</f>
        <v>#REF!</v>
      </c>
      <c r="AK790" s="47" t="e" cm="1">
        <f t="array" aca="1" ref="AK790" ca="1">_xlfn.XLOOKUP(PAA_4[[#This Row],[RCP-RUBRO]],[2]!COMPROMISOS_2024[[#All],[concatenado]],[2]!COMPROMISOS_2024[[#All],[Total Comprometido]],"",0)</f>
        <v>#NAME?</v>
      </c>
      <c r="AL790" s="47" t="e">
        <f ca="1">IF(PAA_4[[#This Row],[BOLSA]]=0,0,SUMIFS([2]!COMPROMISOS_2024[[#All],[Total Comprometido]],[2]!COMPROMISOS_2024[[#All],[Bolsa]],PAA_4[[#This Row],[BOLSA]],[2]!COMPROMISOS_2024[[#All],[concatenado]],PAA_4[[#This Row],[RCP-RUBRO]]))</f>
        <v>#REF!</v>
      </c>
    </row>
    <row r="791" spans="1:38" s="19" customFormat="1" ht="31.5" customHeight="1">
      <c r="A791" s="47">
        <v>610</v>
      </c>
      <c r="B791" s="47">
        <v>80111600</v>
      </c>
      <c r="C791" s="47" t="str">
        <f>VLOOKUP(PAA_4[[#This Row],[PROYECTO (formulado)2]],[2]PROYECTOS!$G$1:$L$32,6,0)</f>
        <v>SUBGERENCIA DE ALTOS LOGROS Y DEPORTE ASOCIADO</v>
      </c>
      <c r="D791" s="47" t="str">
        <f>+IF(PAA_4[[#This Row],[UNIDAD DE CONTRATACION (formulado)]]="Subgerencia Administrativa y Financiera","FUNCIONAMIENTO","INVERSIÓN")</f>
        <v>INVERSIÓN</v>
      </c>
      <c r="E791" s="48" t="str">
        <f>VLOOKUP(Q791,[2]PROYECTOS!$G$1:$K$32,5,0)</f>
        <v>APOYO_TÉCNICO_Y_PSICOSOCIAL_A_LOS_DEPORTISTAS_DE_ANTIOQUIA</v>
      </c>
      <c r="F791" s="48">
        <f>VLOOKUP(E791,[2]PROYECTOS!$K$1:$M$32,3,0)</f>
        <v>2021003050069</v>
      </c>
      <c r="G791" s="49" t="s">
        <v>239</v>
      </c>
      <c r="H791" s="49" t="str">
        <f>VLOOKUP(Q791,[2]PROYECTOS!$V$1:$W$32,2,0)</f>
        <v>050069</v>
      </c>
      <c r="I791" s="50">
        <v>47452590</v>
      </c>
      <c r="J791" s="51" t="s">
        <v>1739</v>
      </c>
      <c r="K791" s="47" t="str">
        <f t="shared" ca="1" si="256"/>
        <v>CONTRATADO</v>
      </c>
      <c r="L791" s="47" t="s">
        <v>94</v>
      </c>
      <c r="M791" s="47" t="s">
        <v>1297</v>
      </c>
      <c r="N791" s="52" t="s">
        <v>240</v>
      </c>
      <c r="O791" s="51" t="e">
        <f>VLOOKUP(N791,[2]!RUBROS[#All],3,0)</f>
        <v>#REF!</v>
      </c>
      <c r="P791" s="53" t="e">
        <f>VLOOKUP(N791,[2]!RUBROS[#All],2,0)</f>
        <v>#REF!</v>
      </c>
      <c r="Q791" s="47" t="str">
        <f t="shared" si="257"/>
        <v>22</v>
      </c>
      <c r="R791" s="47" t="str">
        <f t="shared" si="258"/>
        <v>0-205400</v>
      </c>
      <c r="S791" s="54">
        <v>6</v>
      </c>
      <c r="T791" s="59" t="s">
        <v>46</v>
      </c>
      <c r="U791" s="326" t="e">
        <f ca="1">_xlfn.XLOOKUP(PAA_4[[#This Row],[ITEM]],[2]Contrato!A:A,[2]Contrato!Q:Q,"",0)</f>
        <v>#NAME?</v>
      </c>
      <c r="V791" s="47" t="s">
        <v>47</v>
      </c>
      <c r="W791" s="47" t="s">
        <v>96</v>
      </c>
      <c r="X791" s="47" t="s">
        <v>96</v>
      </c>
      <c r="Y791" s="55" t="e">
        <f ca="1">_xlfn.XLOOKUP(PAA_4[[#This Row],[ITEM]],[2]Contrato!A:A,[2]Contrato!B:B,"",0)</f>
        <v>#NAME?</v>
      </c>
      <c r="Z791" s="47" t="e">
        <f ca="1">_xlfn.XLOOKUP(PAA_4[[#This Row],[ITEM]],[2]Contrato!A:A,[2]Contrato!G:G,"",0)</f>
        <v>#NAME?</v>
      </c>
      <c r="AA791" s="47" t="e">
        <f ca="1">_xlfn.XLOOKUP(PAA_4[[#This Row],[ITEM]],[2]Contrato!A:A,[2]Contrato!T:T,"",0)</f>
        <v>#NAME?</v>
      </c>
      <c r="AB791" s="55" t="e">
        <f ca="1">+MAX(PAA_4[[#This Row],[Comprometido Contrato]],PAA_4[[#This Row],[Comprometido Bolsa]])</f>
        <v>#NAME?</v>
      </c>
      <c r="AC791" s="55" t="str">
        <f t="shared" ca="1" si="259"/>
        <v/>
      </c>
      <c r="AD791" s="55" t="e">
        <f ca="1">IF(PAA_4[[#This Row],[ESTADO (formulado)]]="NO CONTRATADO",0,MAX(PAA_4[[#This Row],[Pago por Contrato]],PAA_4[[#This Row],[Pago por bolsa]]))</f>
        <v>#NAME?</v>
      </c>
      <c r="AE791" s="55" t="str">
        <f t="shared" ca="1" si="260"/>
        <v/>
      </c>
      <c r="AF791" s="47" t="e">
        <f t="shared" ca="1" si="262"/>
        <v>#NAME?</v>
      </c>
      <c r="AG791" s="47">
        <f t="shared" si="261"/>
        <v>41080101</v>
      </c>
      <c r="AH791" s="54" t="str">
        <f>IF(Q791="22",IF(ISNUMBER(SEARCH("econ",PAA_4[[#This Row],[Actividad3]])),"Económico",IF(ISNUMBER(SEARCH("alim",PAA_4[[#This Row],[Actividad3]])),"Alimentación",IF(ISNUMBER(SEARCH("educ",PAA_4[[#This Row],[Actividad3]])),"Educativo","Técnico"))),0)</f>
        <v>Técnico</v>
      </c>
      <c r="AI791" s="47" t="e" cm="1">
        <f t="array" aca="1" ref="AI791" ca="1">_xlfn.XLOOKUP(PAA_4[[#This Row],[RCP-RUBRO]],[2]!COMPROMISOS_2024[[#All],[concatenado]],[2]!COMPROMISOS_2024[[#All],[Total pagado]],"",0)</f>
        <v>#NAME?</v>
      </c>
      <c r="AJ791" s="56" t="e">
        <f ca="1">IF(PAA_4[[#This Row],[BOLSA]]=0,0,SUMIFS([2]!COMPROMISOS_2024[[#All],[Total pagado]],[2]!COMPROMISOS_2024[[#All],[Bolsa]],PAA_4[[#This Row],[BOLSA]],[2]!COMPROMISOS_2024[[#All],[rubro]],PAA_4[[#This Row],[RCP-RUBRO]]))</f>
        <v>#REF!</v>
      </c>
      <c r="AK791" s="47" t="e" cm="1">
        <f t="array" aca="1" ref="AK791" ca="1">_xlfn.XLOOKUP(PAA_4[[#This Row],[RCP-RUBRO]],[2]!COMPROMISOS_2024[[#All],[concatenado]],[2]!COMPROMISOS_2024[[#All],[Total Comprometido]],"",0)</f>
        <v>#NAME?</v>
      </c>
      <c r="AL791" s="47" t="e">
        <f ca="1">IF(PAA_4[[#This Row],[BOLSA]]=0,0,SUMIFS([2]!COMPROMISOS_2024[[#All],[Total Comprometido]],[2]!COMPROMISOS_2024[[#All],[Bolsa]],PAA_4[[#This Row],[BOLSA]],[2]!COMPROMISOS_2024[[#All],[concatenado]],PAA_4[[#This Row],[RCP-RUBRO]]))</f>
        <v>#REF!</v>
      </c>
    </row>
    <row r="792" spans="1:38" s="19" customFormat="1" ht="31.5" customHeight="1">
      <c r="A792" s="47">
        <v>611</v>
      </c>
      <c r="B792" s="47">
        <v>80111600</v>
      </c>
      <c r="C792" s="47" t="str">
        <f>VLOOKUP(PAA_4[[#This Row],[PROYECTO (formulado)2]],[2]PROYECTOS!$G$1:$L$32,6,0)</f>
        <v>SUBGERENCIA DE ALTOS LOGROS Y DEPORTE ASOCIADO</v>
      </c>
      <c r="D792" s="47" t="str">
        <f>+IF(PAA_4[[#This Row],[UNIDAD DE CONTRATACION (formulado)]]="Subgerencia Administrativa y Financiera","FUNCIONAMIENTO","INVERSIÓN")</f>
        <v>INVERSIÓN</v>
      </c>
      <c r="E792" s="48" t="str">
        <f>VLOOKUP(Q792,[2]PROYECTOS!$G$1:$K$32,5,0)</f>
        <v>APOYO_TÉCNICO_Y_PSICOSOCIAL_A_LOS_DEPORTISTAS_DE_ANTIOQUIA</v>
      </c>
      <c r="F792" s="48">
        <f>VLOOKUP(E792,[2]PROYECTOS!$K$1:$M$32,3,0)</f>
        <v>2021003050069</v>
      </c>
      <c r="G792" s="49" t="s">
        <v>239</v>
      </c>
      <c r="H792" s="49" t="str">
        <f>VLOOKUP(Q792,[2]PROYECTOS!$V$1:$W$32,2,0)</f>
        <v>050069</v>
      </c>
      <c r="I792" s="50">
        <v>23714292</v>
      </c>
      <c r="J792" s="51" t="s">
        <v>1740</v>
      </c>
      <c r="K792" s="47" t="str">
        <f t="shared" ca="1" si="256"/>
        <v>CONTRATADO</v>
      </c>
      <c r="L792" s="47" t="s">
        <v>94</v>
      </c>
      <c r="M792" s="47" t="s">
        <v>1297</v>
      </c>
      <c r="N792" s="52" t="s">
        <v>240</v>
      </c>
      <c r="O792" s="51" t="e">
        <f>VLOOKUP(N792,[2]!RUBROS[#All],3,0)</f>
        <v>#REF!</v>
      </c>
      <c r="P792" s="53" t="e">
        <f>VLOOKUP(N792,[2]!RUBROS[#All],2,0)</f>
        <v>#REF!</v>
      </c>
      <c r="Q792" s="47" t="str">
        <f t="shared" si="257"/>
        <v>22</v>
      </c>
      <c r="R792" s="47" t="str">
        <f t="shared" si="258"/>
        <v>0-205400</v>
      </c>
      <c r="S792" s="54">
        <v>6</v>
      </c>
      <c r="T792" s="59" t="s">
        <v>46</v>
      </c>
      <c r="U792" s="326" t="e">
        <f ca="1">_xlfn.XLOOKUP(PAA_4[[#This Row],[ITEM]],[2]Contrato!A:A,[2]Contrato!Q:Q,"",0)</f>
        <v>#NAME?</v>
      </c>
      <c r="V792" s="47" t="s">
        <v>47</v>
      </c>
      <c r="W792" s="47" t="s">
        <v>96</v>
      </c>
      <c r="X792" s="47" t="s">
        <v>96</v>
      </c>
      <c r="Y792" s="55" t="e">
        <f ca="1">_xlfn.XLOOKUP(PAA_4[[#This Row],[ITEM]],[2]Contrato!A:A,[2]Contrato!B:B,"",0)</f>
        <v>#NAME?</v>
      </c>
      <c r="Z792" s="47" t="e">
        <f ca="1">_xlfn.XLOOKUP(PAA_4[[#This Row],[ITEM]],[2]Contrato!A:A,[2]Contrato!G:G,"",0)</f>
        <v>#NAME?</v>
      </c>
      <c r="AA792" s="47" t="e">
        <f ca="1">_xlfn.XLOOKUP(PAA_4[[#This Row],[ITEM]],[2]Contrato!A:A,[2]Contrato!T:T,"",0)</f>
        <v>#NAME?</v>
      </c>
      <c r="AB792" s="55" t="e">
        <f ca="1">+MAX(PAA_4[[#This Row],[Comprometido Contrato]],PAA_4[[#This Row],[Comprometido Bolsa]])</f>
        <v>#NAME?</v>
      </c>
      <c r="AC792" s="55" t="str">
        <f t="shared" ca="1" si="259"/>
        <v/>
      </c>
      <c r="AD792" s="55" t="e">
        <f ca="1">IF(PAA_4[[#This Row],[ESTADO (formulado)]]="NO CONTRATADO",0,MAX(PAA_4[[#This Row],[Pago por Contrato]],PAA_4[[#This Row],[Pago por bolsa]]))</f>
        <v>#NAME?</v>
      </c>
      <c r="AE792" s="55" t="str">
        <f t="shared" ca="1" si="260"/>
        <v/>
      </c>
      <c r="AF792" s="47" t="e">
        <f t="shared" ca="1" si="262"/>
        <v>#NAME?</v>
      </c>
      <c r="AG792" s="47">
        <f t="shared" si="261"/>
        <v>41080101</v>
      </c>
      <c r="AH792" s="54" t="str">
        <f>IF(Q792="22",IF(ISNUMBER(SEARCH("econ",PAA_4[[#This Row],[Actividad3]])),"Económico",IF(ISNUMBER(SEARCH("alim",PAA_4[[#This Row],[Actividad3]])),"Alimentación",IF(ISNUMBER(SEARCH("educ",PAA_4[[#This Row],[Actividad3]])),"Educativo","Técnico"))),0)</f>
        <v>Técnico</v>
      </c>
      <c r="AI792" s="47" t="e" cm="1">
        <f t="array" aca="1" ref="AI792" ca="1">_xlfn.XLOOKUP(PAA_4[[#This Row],[RCP-RUBRO]],[2]!COMPROMISOS_2024[[#All],[concatenado]],[2]!COMPROMISOS_2024[[#All],[Total pagado]],"",0)</f>
        <v>#NAME?</v>
      </c>
      <c r="AJ792" s="56" t="e">
        <f ca="1">IF(PAA_4[[#This Row],[BOLSA]]=0,0,SUMIFS([2]!COMPROMISOS_2024[[#All],[Total pagado]],[2]!COMPROMISOS_2024[[#All],[Bolsa]],PAA_4[[#This Row],[BOLSA]],[2]!COMPROMISOS_2024[[#All],[rubro]],PAA_4[[#This Row],[RCP-RUBRO]]))</f>
        <v>#REF!</v>
      </c>
      <c r="AK792" s="47" t="e" cm="1">
        <f t="array" aca="1" ref="AK792" ca="1">_xlfn.XLOOKUP(PAA_4[[#This Row],[RCP-RUBRO]],[2]!COMPROMISOS_2024[[#All],[concatenado]],[2]!COMPROMISOS_2024[[#All],[Total Comprometido]],"",0)</f>
        <v>#NAME?</v>
      </c>
      <c r="AL792" s="47" t="e">
        <f ca="1">IF(PAA_4[[#This Row],[BOLSA]]=0,0,SUMIFS([2]!COMPROMISOS_2024[[#All],[Total Comprometido]],[2]!COMPROMISOS_2024[[#All],[Bolsa]],PAA_4[[#This Row],[BOLSA]],[2]!COMPROMISOS_2024[[#All],[concatenado]],PAA_4[[#This Row],[RCP-RUBRO]]))</f>
        <v>#REF!</v>
      </c>
    </row>
    <row r="793" spans="1:38" s="19" customFormat="1" ht="31.5" customHeight="1">
      <c r="A793" s="47">
        <v>612</v>
      </c>
      <c r="B793" s="47">
        <v>80111600</v>
      </c>
      <c r="C793" s="47" t="str">
        <f>VLOOKUP(PAA_4[[#This Row],[PROYECTO (formulado)2]],[2]PROYECTOS!$G$1:$L$32,6,0)</f>
        <v>SUBGERENCIA DE ALTOS LOGROS Y DEPORTE ASOCIADO</v>
      </c>
      <c r="D793" s="47" t="str">
        <f>+IF(PAA_4[[#This Row],[UNIDAD DE CONTRATACION (formulado)]]="Subgerencia Administrativa y Financiera","FUNCIONAMIENTO","INVERSIÓN")</f>
        <v>INVERSIÓN</v>
      </c>
      <c r="E793" s="48" t="str">
        <f>VLOOKUP(Q793,[2]PROYECTOS!$G$1:$K$32,5,0)</f>
        <v>APOYO_TÉCNICO_Y_PSICOSOCIAL_A_LOS_DEPORTISTAS_DE_ANTIOQUIA</v>
      </c>
      <c r="F793" s="48">
        <f>VLOOKUP(E793,[2]PROYECTOS!$K$1:$M$32,3,0)</f>
        <v>2021003050069</v>
      </c>
      <c r="G793" s="49" t="s">
        <v>239</v>
      </c>
      <c r="H793" s="49" t="str">
        <f>VLOOKUP(Q793,[2]PROYECTOS!$V$1:$W$32,2,0)</f>
        <v>050069</v>
      </c>
      <c r="I793" s="50">
        <v>15449052</v>
      </c>
      <c r="J793" s="51" t="s">
        <v>1741</v>
      </c>
      <c r="K793" s="47" t="str">
        <f t="shared" ca="1" si="256"/>
        <v>CONTRATADO</v>
      </c>
      <c r="L793" s="47" t="s">
        <v>94</v>
      </c>
      <c r="M793" s="47" t="s">
        <v>1297</v>
      </c>
      <c r="N793" s="52" t="s">
        <v>240</v>
      </c>
      <c r="O793" s="51" t="e">
        <f>VLOOKUP(N793,[2]!RUBROS[#All],3,0)</f>
        <v>#REF!</v>
      </c>
      <c r="P793" s="53" t="e">
        <f>VLOOKUP(N793,[2]!RUBROS[#All],2,0)</f>
        <v>#REF!</v>
      </c>
      <c r="Q793" s="47" t="str">
        <f t="shared" si="257"/>
        <v>22</v>
      </c>
      <c r="R793" s="47" t="str">
        <f t="shared" si="258"/>
        <v>0-205400</v>
      </c>
      <c r="S793" s="54">
        <v>6</v>
      </c>
      <c r="T793" s="59" t="s">
        <v>46</v>
      </c>
      <c r="U793" s="326" t="e">
        <f ca="1">_xlfn.XLOOKUP(PAA_4[[#This Row],[ITEM]],[2]Contrato!A:A,[2]Contrato!Q:Q,"",0)</f>
        <v>#NAME?</v>
      </c>
      <c r="V793" s="47" t="s">
        <v>47</v>
      </c>
      <c r="W793" s="47" t="s">
        <v>96</v>
      </c>
      <c r="X793" s="47" t="s">
        <v>96</v>
      </c>
      <c r="Y793" s="55" t="e">
        <f ca="1">_xlfn.XLOOKUP(PAA_4[[#This Row],[ITEM]],[2]Contrato!A:A,[2]Contrato!B:B,"",0)</f>
        <v>#NAME?</v>
      </c>
      <c r="Z793" s="47" t="e">
        <f ca="1">_xlfn.XLOOKUP(PAA_4[[#This Row],[ITEM]],[2]Contrato!A:A,[2]Contrato!G:G,"",0)</f>
        <v>#NAME?</v>
      </c>
      <c r="AA793" s="47" t="e">
        <f ca="1">_xlfn.XLOOKUP(PAA_4[[#This Row],[ITEM]],[2]Contrato!A:A,[2]Contrato!T:T,"",0)</f>
        <v>#NAME?</v>
      </c>
      <c r="AB793" s="55" t="e">
        <f ca="1">+MAX(PAA_4[[#This Row],[Comprometido Contrato]],PAA_4[[#This Row],[Comprometido Bolsa]])</f>
        <v>#NAME?</v>
      </c>
      <c r="AC793" s="55" t="str">
        <f t="shared" ca="1" si="259"/>
        <v/>
      </c>
      <c r="AD793" s="55" t="e">
        <f ca="1">IF(PAA_4[[#This Row],[ESTADO (formulado)]]="NO CONTRATADO",0,MAX(PAA_4[[#This Row],[Pago por Contrato]],PAA_4[[#This Row],[Pago por bolsa]]))</f>
        <v>#NAME?</v>
      </c>
      <c r="AE793" s="55" t="str">
        <f t="shared" ca="1" si="260"/>
        <v/>
      </c>
      <c r="AF793" s="47" t="e">
        <f t="shared" ca="1" si="262"/>
        <v>#NAME?</v>
      </c>
      <c r="AG793" s="47">
        <f t="shared" si="261"/>
        <v>41080101</v>
      </c>
      <c r="AH793" s="54" t="str">
        <f>IF(Q793="22",IF(ISNUMBER(SEARCH("econ",PAA_4[[#This Row],[Actividad3]])),"Económico",IF(ISNUMBER(SEARCH("alim",PAA_4[[#This Row],[Actividad3]])),"Alimentación",IF(ISNUMBER(SEARCH("educ",PAA_4[[#This Row],[Actividad3]])),"Educativo","Técnico"))),0)</f>
        <v>Técnico</v>
      </c>
      <c r="AI793" s="47" t="e" cm="1">
        <f t="array" aca="1" ref="AI793" ca="1">_xlfn.XLOOKUP(PAA_4[[#This Row],[RCP-RUBRO]],[2]!COMPROMISOS_2024[[#All],[concatenado]],[2]!COMPROMISOS_2024[[#All],[Total pagado]],"",0)</f>
        <v>#NAME?</v>
      </c>
      <c r="AJ793" s="56" t="e">
        <f ca="1">IF(PAA_4[[#This Row],[BOLSA]]=0,0,SUMIFS([2]!COMPROMISOS_2024[[#All],[Total pagado]],[2]!COMPROMISOS_2024[[#All],[Bolsa]],PAA_4[[#This Row],[BOLSA]],[2]!COMPROMISOS_2024[[#All],[rubro]],PAA_4[[#This Row],[RCP-RUBRO]]))</f>
        <v>#REF!</v>
      </c>
      <c r="AK793" s="47" t="e" cm="1">
        <f t="array" aca="1" ref="AK793" ca="1">_xlfn.XLOOKUP(PAA_4[[#This Row],[RCP-RUBRO]],[2]!COMPROMISOS_2024[[#All],[concatenado]],[2]!COMPROMISOS_2024[[#All],[Total Comprometido]],"",0)</f>
        <v>#NAME?</v>
      </c>
      <c r="AL793" s="47" t="e">
        <f ca="1">IF(PAA_4[[#This Row],[BOLSA]]=0,0,SUMIFS([2]!COMPROMISOS_2024[[#All],[Total Comprometido]],[2]!COMPROMISOS_2024[[#All],[Bolsa]],PAA_4[[#This Row],[BOLSA]],[2]!COMPROMISOS_2024[[#All],[concatenado]],PAA_4[[#This Row],[RCP-RUBRO]]))</f>
        <v>#REF!</v>
      </c>
    </row>
    <row r="794" spans="1:38" s="19" customFormat="1" ht="31.5" customHeight="1">
      <c r="A794" s="47">
        <v>613</v>
      </c>
      <c r="B794" s="47">
        <v>80111600</v>
      </c>
      <c r="C794" s="47" t="str">
        <f>VLOOKUP(PAA_4[[#This Row],[PROYECTO (formulado)2]],[2]PROYECTOS!$G$1:$L$32,6,0)</f>
        <v>SUBGERENCIA DE ALTOS LOGROS Y DEPORTE ASOCIADO</v>
      </c>
      <c r="D794" s="47" t="str">
        <f>+IF(PAA_4[[#This Row],[UNIDAD DE CONTRATACION (formulado)]]="Subgerencia Administrativa y Financiera","FUNCIONAMIENTO","INVERSIÓN")</f>
        <v>INVERSIÓN</v>
      </c>
      <c r="E794" s="48" t="str">
        <f>VLOOKUP(Q794,[2]PROYECTOS!$G$1:$K$32,5,0)</f>
        <v>APOYO_TÉCNICO_Y_PSICOSOCIAL_A_LOS_DEPORTISTAS_DE_ANTIOQUIA</v>
      </c>
      <c r="F794" s="48">
        <f>VLOOKUP(E794,[2]PROYECTOS!$K$1:$M$32,3,0)</f>
        <v>2021003050069</v>
      </c>
      <c r="G794" s="49" t="s">
        <v>239</v>
      </c>
      <c r="H794" s="49" t="str">
        <f>VLOOKUP(Q794,[2]PROYECTOS!$V$1:$W$32,2,0)</f>
        <v>050069</v>
      </c>
      <c r="I794" s="50">
        <v>15449052</v>
      </c>
      <c r="J794" s="51" t="s">
        <v>1742</v>
      </c>
      <c r="K794" s="47" t="str">
        <f t="shared" ca="1" si="256"/>
        <v>CONTRATADO</v>
      </c>
      <c r="L794" s="47" t="s">
        <v>94</v>
      </c>
      <c r="M794" s="47" t="s">
        <v>1297</v>
      </c>
      <c r="N794" s="52" t="s">
        <v>240</v>
      </c>
      <c r="O794" s="51" t="e">
        <f>VLOOKUP(N794,[2]!RUBROS[#All],3,0)</f>
        <v>#REF!</v>
      </c>
      <c r="P794" s="53" t="e">
        <f>VLOOKUP(N794,[2]!RUBROS[#All],2,0)</f>
        <v>#REF!</v>
      </c>
      <c r="Q794" s="47" t="str">
        <f t="shared" si="257"/>
        <v>22</v>
      </c>
      <c r="R794" s="47" t="str">
        <f t="shared" si="258"/>
        <v>0-205400</v>
      </c>
      <c r="S794" s="54">
        <v>6</v>
      </c>
      <c r="T794" s="59" t="s">
        <v>46</v>
      </c>
      <c r="U794" s="326" t="e">
        <f ca="1">_xlfn.XLOOKUP(PAA_4[[#This Row],[ITEM]],[2]Contrato!A:A,[2]Contrato!Q:Q,"",0)</f>
        <v>#NAME?</v>
      </c>
      <c r="V794" s="47" t="s">
        <v>47</v>
      </c>
      <c r="W794" s="47" t="s">
        <v>96</v>
      </c>
      <c r="X794" s="47" t="s">
        <v>96</v>
      </c>
      <c r="Y794" s="55" t="e">
        <f ca="1">_xlfn.XLOOKUP(PAA_4[[#This Row],[ITEM]],[2]Contrato!A:A,[2]Contrato!B:B,"",0)</f>
        <v>#NAME?</v>
      </c>
      <c r="Z794" s="47" t="e">
        <f ca="1">_xlfn.XLOOKUP(PAA_4[[#This Row],[ITEM]],[2]Contrato!A:A,[2]Contrato!G:G,"",0)</f>
        <v>#NAME?</v>
      </c>
      <c r="AA794" s="47" t="e">
        <f ca="1">_xlfn.XLOOKUP(PAA_4[[#This Row],[ITEM]],[2]Contrato!A:A,[2]Contrato!T:T,"",0)</f>
        <v>#NAME?</v>
      </c>
      <c r="AB794" s="55" t="e">
        <f ca="1">+MAX(PAA_4[[#This Row],[Comprometido Contrato]],PAA_4[[#This Row],[Comprometido Bolsa]])</f>
        <v>#NAME?</v>
      </c>
      <c r="AC794" s="55" t="str">
        <f t="shared" ca="1" si="259"/>
        <v/>
      </c>
      <c r="AD794" s="55" t="e">
        <f ca="1">IF(PAA_4[[#This Row],[ESTADO (formulado)]]="NO CONTRATADO",0,MAX(PAA_4[[#This Row],[Pago por Contrato]],PAA_4[[#This Row],[Pago por bolsa]]))</f>
        <v>#NAME?</v>
      </c>
      <c r="AE794" s="55" t="str">
        <f t="shared" ca="1" si="260"/>
        <v/>
      </c>
      <c r="AF794" s="47" t="e">
        <f t="shared" ca="1" si="262"/>
        <v>#NAME?</v>
      </c>
      <c r="AG794" s="47">
        <f t="shared" si="261"/>
        <v>41080101</v>
      </c>
      <c r="AH794" s="54" t="str">
        <f>IF(Q794="22",IF(ISNUMBER(SEARCH("econ",PAA_4[[#This Row],[Actividad3]])),"Económico",IF(ISNUMBER(SEARCH("alim",PAA_4[[#This Row],[Actividad3]])),"Alimentación",IF(ISNUMBER(SEARCH("educ",PAA_4[[#This Row],[Actividad3]])),"Educativo","Técnico"))),0)</f>
        <v>Técnico</v>
      </c>
      <c r="AI794" s="47" t="e" cm="1">
        <f t="array" aca="1" ref="AI794" ca="1">_xlfn.XLOOKUP(PAA_4[[#This Row],[RCP-RUBRO]],[2]!COMPROMISOS_2024[[#All],[concatenado]],[2]!COMPROMISOS_2024[[#All],[Total pagado]],"",0)</f>
        <v>#NAME?</v>
      </c>
      <c r="AJ794" s="56" t="e">
        <f ca="1">IF(PAA_4[[#This Row],[BOLSA]]=0,0,SUMIFS([2]!COMPROMISOS_2024[[#All],[Total pagado]],[2]!COMPROMISOS_2024[[#All],[Bolsa]],PAA_4[[#This Row],[BOLSA]],[2]!COMPROMISOS_2024[[#All],[rubro]],PAA_4[[#This Row],[RCP-RUBRO]]))</f>
        <v>#REF!</v>
      </c>
      <c r="AK794" s="47" t="e" cm="1">
        <f t="array" aca="1" ref="AK794" ca="1">_xlfn.XLOOKUP(PAA_4[[#This Row],[RCP-RUBRO]],[2]!COMPROMISOS_2024[[#All],[concatenado]],[2]!COMPROMISOS_2024[[#All],[Total Comprometido]],"",0)</f>
        <v>#NAME?</v>
      </c>
      <c r="AL794" s="47" t="e">
        <f ca="1">IF(PAA_4[[#This Row],[BOLSA]]=0,0,SUMIFS([2]!COMPROMISOS_2024[[#All],[Total Comprometido]],[2]!COMPROMISOS_2024[[#All],[Bolsa]],PAA_4[[#This Row],[BOLSA]],[2]!COMPROMISOS_2024[[#All],[concatenado]],PAA_4[[#This Row],[RCP-RUBRO]]))</f>
        <v>#REF!</v>
      </c>
    </row>
    <row r="795" spans="1:38" s="19" customFormat="1" ht="31.5" customHeight="1">
      <c r="A795" s="47">
        <v>614</v>
      </c>
      <c r="B795" s="47">
        <v>80111600</v>
      </c>
      <c r="C795" s="47" t="str">
        <f>VLOOKUP(PAA_4[[#This Row],[PROYECTO (formulado)2]],[2]PROYECTOS!$G$1:$L$32,6,0)</f>
        <v>SUBGERENCIA DE ALTOS LOGROS Y DEPORTE ASOCIADO</v>
      </c>
      <c r="D795" s="47" t="str">
        <f>+IF(PAA_4[[#This Row],[UNIDAD DE CONTRATACION (formulado)]]="Subgerencia Administrativa y Financiera","FUNCIONAMIENTO","INVERSIÓN")</f>
        <v>INVERSIÓN</v>
      </c>
      <c r="E795" s="48" t="str">
        <f>VLOOKUP(Q795,[2]PROYECTOS!$G$1:$K$32,5,0)</f>
        <v>APOYO_TÉCNICO_Y_PSICOSOCIAL_A_LOS_DEPORTISTAS_DE_ANTIOQUIA</v>
      </c>
      <c r="F795" s="48">
        <f>VLOOKUP(E795,[2]PROYECTOS!$K$1:$M$32,3,0)</f>
        <v>2021003050069</v>
      </c>
      <c r="G795" s="49" t="s">
        <v>239</v>
      </c>
      <c r="H795" s="49" t="str">
        <f>VLOOKUP(Q795,[2]PROYECTOS!$V$1:$W$32,2,0)</f>
        <v>050069</v>
      </c>
      <c r="I795" s="50">
        <v>15449052</v>
      </c>
      <c r="J795" s="51" t="s">
        <v>1743</v>
      </c>
      <c r="K795" s="47" t="str">
        <f t="shared" ca="1" si="256"/>
        <v>CONTRATADO</v>
      </c>
      <c r="L795" s="47" t="s">
        <v>94</v>
      </c>
      <c r="M795" s="47" t="s">
        <v>1297</v>
      </c>
      <c r="N795" s="52" t="s">
        <v>240</v>
      </c>
      <c r="O795" s="51" t="e">
        <f>VLOOKUP(N795,[2]!RUBROS[#All],3,0)</f>
        <v>#REF!</v>
      </c>
      <c r="P795" s="53" t="e">
        <f>VLOOKUP(N795,[2]!RUBROS[#All],2,0)</f>
        <v>#REF!</v>
      </c>
      <c r="Q795" s="47" t="str">
        <f t="shared" si="257"/>
        <v>22</v>
      </c>
      <c r="R795" s="47" t="str">
        <f t="shared" si="258"/>
        <v>0-205400</v>
      </c>
      <c r="S795" s="54">
        <v>6</v>
      </c>
      <c r="T795" s="59" t="s">
        <v>46</v>
      </c>
      <c r="U795" s="326" t="e">
        <f ca="1">_xlfn.XLOOKUP(PAA_4[[#This Row],[ITEM]],[2]Contrato!A:A,[2]Contrato!Q:Q,"",0)</f>
        <v>#NAME?</v>
      </c>
      <c r="V795" s="47" t="s">
        <v>47</v>
      </c>
      <c r="W795" s="47" t="s">
        <v>96</v>
      </c>
      <c r="X795" s="47" t="s">
        <v>96</v>
      </c>
      <c r="Y795" s="55" t="e">
        <f ca="1">_xlfn.XLOOKUP(PAA_4[[#This Row],[ITEM]],[2]Contrato!A:A,[2]Contrato!B:B,"",0)</f>
        <v>#NAME?</v>
      </c>
      <c r="Z795" s="47" t="e">
        <f ca="1">_xlfn.XLOOKUP(PAA_4[[#This Row],[ITEM]],[2]Contrato!A:A,[2]Contrato!G:G,"",0)</f>
        <v>#NAME?</v>
      </c>
      <c r="AA795" s="47" t="e">
        <f ca="1">_xlfn.XLOOKUP(PAA_4[[#This Row],[ITEM]],[2]Contrato!A:A,[2]Contrato!T:T,"",0)</f>
        <v>#NAME?</v>
      </c>
      <c r="AB795" s="55" t="e">
        <f ca="1">+MAX(PAA_4[[#This Row],[Comprometido Contrato]],PAA_4[[#This Row],[Comprometido Bolsa]])</f>
        <v>#NAME?</v>
      </c>
      <c r="AC795" s="55" t="str">
        <f t="shared" ca="1" si="259"/>
        <v/>
      </c>
      <c r="AD795" s="55" t="e">
        <f ca="1">IF(PAA_4[[#This Row],[ESTADO (formulado)]]="NO CONTRATADO",0,MAX(PAA_4[[#This Row],[Pago por Contrato]],PAA_4[[#This Row],[Pago por bolsa]]))</f>
        <v>#NAME?</v>
      </c>
      <c r="AE795" s="55" t="str">
        <f t="shared" ca="1" si="260"/>
        <v/>
      </c>
      <c r="AF795" s="47" t="e">
        <f t="shared" ca="1" si="262"/>
        <v>#NAME?</v>
      </c>
      <c r="AG795" s="47">
        <f t="shared" si="261"/>
        <v>41080101</v>
      </c>
      <c r="AH795" s="54" t="str">
        <f>IF(Q795="22",IF(ISNUMBER(SEARCH("econ",PAA_4[[#This Row],[Actividad3]])),"Económico",IF(ISNUMBER(SEARCH("alim",PAA_4[[#This Row],[Actividad3]])),"Alimentación",IF(ISNUMBER(SEARCH("educ",PAA_4[[#This Row],[Actividad3]])),"Educativo","Técnico"))),0)</f>
        <v>Técnico</v>
      </c>
      <c r="AI795" s="47" t="e" cm="1">
        <f t="array" aca="1" ref="AI795" ca="1">_xlfn.XLOOKUP(PAA_4[[#This Row],[RCP-RUBRO]],[2]!COMPROMISOS_2024[[#All],[concatenado]],[2]!COMPROMISOS_2024[[#All],[Total pagado]],"",0)</f>
        <v>#NAME?</v>
      </c>
      <c r="AJ795" s="56" t="e">
        <f ca="1">IF(PAA_4[[#This Row],[BOLSA]]=0,0,SUMIFS([2]!COMPROMISOS_2024[[#All],[Total pagado]],[2]!COMPROMISOS_2024[[#All],[Bolsa]],PAA_4[[#This Row],[BOLSA]],[2]!COMPROMISOS_2024[[#All],[rubro]],PAA_4[[#This Row],[RCP-RUBRO]]))</f>
        <v>#REF!</v>
      </c>
      <c r="AK795" s="47" t="e" cm="1">
        <f t="array" aca="1" ref="AK795" ca="1">_xlfn.XLOOKUP(PAA_4[[#This Row],[RCP-RUBRO]],[2]!COMPROMISOS_2024[[#All],[concatenado]],[2]!COMPROMISOS_2024[[#All],[Total Comprometido]],"",0)</f>
        <v>#NAME?</v>
      </c>
      <c r="AL795" s="47" t="e">
        <f ca="1">IF(PAA_4[[#This Row],[BOLSA]]=0,0,SUMIFS([2]!COMPROMISOS_2024[[#All],[Total Comprometido]],[2]!COMPROMISOS_2024[[#All],[Bolsa]],PAA_4[[#This Row],[BOLSA]],[2]!COMPROMISOS_2024[[#All],[concatenado]],PAA_4[[#This Row],[RCP-RUBRO]]))</f>
        <v>#REF!</v>
      </c>
    </row>
    <row r="796" spans="1:38" s="19" customFormat="1" ht="31.5" customHeight="1">
      <c r="A796" s="47">
        <v>615</v>
      </c>
      <c r="B796" s="47">
        <v>80111600</v>
      </c>
      <c r="C796" s="47" t="str">
        <f>VLOOKUP(PAA_4[[#This Row],[PROYECTO (formulado)2]],[2]PROYECTOS!$G$1:$L$32,6,0)</f>
        <v>SUBGERENCIA DE ALTOS LOGROS Y DEPORTE ASOCIADO</v>
      </c>
      <c r="D796" s="47" t="str">
        <f>+IF(PAA_4[[#This Row],[UNIDAD DE CONTRATACION (formulado)]]="Subgerencia Administrativa y Financiera","FUNCIONAMIENTO","INVERSIÓN")</f>
        <v>INVERSIÓN</v>
      </c>
      <c r="E796" s="48" t="str">
        <f>VLOOKUP(Q796,[2]PROYECTOS!$G$1:$K$32,5,0)</f>
        <v>APOYO_TÉCNICO_Y_PSICOSOCIAL_A_LOS_DEPORTISTAS_DE_ANTIOQUIA</v>
      </c>
      <c r="F796" s="48">
        <f>VLOOKUP(E796,[2]PROYECTOS!$K$1:$M$32,3,0)</f>
        <v>2021003050069</v>
      </c>
      <c r="G796" s="49" t="s">
        <v>239</v>
      </c>
      <c r="H796" s="49" t="str">
        <f>VLOOKUP(Q796,[2]PROYECTOS!$V$1:$W$32,2,0)</f>
        <v>050069</v>
      </c>
      <c r="I796" s="50">
        <v>15449052</v>
      </c>
      <c r="J796" s="51" t="s">
        <v>1744</v>
      </c>
      <c r="K796" s="47" t="str">
        <f t="shared" ca="1" si="256"/>
        <v>CONTRATADO</v>
      </c>
      <c r="L796" s="47" t="s">
        <v>94</v>
      </c>
      <c r="M796" s="47" t="s">
        <v>1297</v>
      </c>
      <c r="N796" s="52" t="s">
        <v>240</v>
      </c>
      <c r="O796" s="51" t="e">
        <f>VLOOKUP(N796,[2]!RUBROS[#All],3,0)</f>
        <v>#REF!</v>
      </c>
      <c r="P796" s="53" t="e">
        <f>VLOOKUP(N796,[2]!RUBROS[#All],2,0)</f>
        <v>#REF!</v>
      </c>
      <c r="Q796" s="47" t="str">
        <f t="shared" si="257"/>
        <v>22</v>
      </c>
      <c r="R796" s="47" t="str">
        <f t="shared" si="258"/>
        <v>0-205400</v>
      </c>
      <c r="S796" s="54">
        <v>6</v>
      </c>
      <c r="T796" s="59" t="s">
        <v>46</v>
      </c>
      <c r="U796" s="326" t="e">
        <f ca="1">_xlfn.XLOOKUP(PAA_4[[#This Row],[ITEM]],[2]Contrato!A:A,[2]Contrato!Q:Q,"",0)</f>
        <v>#NAME?</v>
      </c>
      <c r="V796" s="47" t="s">
        <v>47</v>
      </c>
      <c r="W796" s="47" t="s">
        <v>96</v>
      </c>
      <c r="X796" s="47" t="s">
        <v>96</v>
      </c>
      <c r="Y796" s="55" t="e">
        <f ca="1">_xlfn.XLOOKUP(PAA_4[[#This Row],[ITEM]],[2]Contrato!A:A,[2]Contrato!B:B,"",0)</f>
        <v>#NAME?</v>
      </c>
      <c r="Z796" s="47" t="e">
        <f ca="1">_xlfn.XLOOKUP(PAA_4[[#This Row],[ITEM]],[2]Contrato!A:A,[2]Contrato!G:G,"",0)</f>
        <v>#NAME?</v>
      </c>
      <c r="AA796" s="47" t="e">
        <f ca="1">_xlfn.XLOOKUP(PAA_4[[#This Row],[ITEM]],[2]Contrato!A:A,[2]Contrato!T:T,"",0)</f>
        <v>#NAME?</v>
      </c>
      <c r="AB796" s="55" t="e">
        <f ca="1">+MAX(PAA_4[[#This Row],[Comprometido Contrato]],PAA_4[[#This Row],[Comprometido Bolsa]])</f>
        <v>#NAME?</v>
      </c>
      <c r="AC796" s="55" t="str">
        <f t="shared" ca="1" si="259"/>
        <v/>
      </c>
      <c r="AD796" s="55" t="e">
        <f ca="1">IF(PAA_4[[#This Row],[ESTADO (formulado)]]="NO CONTRATADO",0,MAX(PAA_4[[#This Row],[Pago por Contrato]],PAA_4[[#This Row],[Pago por bolsa]]))</f>
        <v>#NAME?</v>
      </c>
      <c r="AE796" s="55" t="str">
        <f t="shared" ca="1" si="260"/>
        <v/>
      </c>
      <c r="AF796" s="47" t="e">
        <f t="shared" ca="1" si="262"/>
        <v>#NAME?</v>
      </c>
      <c r="AG796" s="47">
        <f t="shared" si="261"/>
        <v>41080101</v>
      </c>
      <c r="AH796" s="54" t="str">
        <f>IF(Q796="22",IF(ISNUMBER(SEARCH("econ",PAA_4[[#This Row],[Actividad3]])),"Económico",IF(ISNUMBER(SEARCH("alim",PAA_4[[#This Row],[Actividad3]])),"Alimentación",IF(ISNUMBER(SEARCH("educ",PAA_4[[#This Row],[Actividad3]])),"Educativo","Técnico"))),0)</f>
        <v>Técnico</v>
      </c>
      <c r="AI796" s="47" t="e" cm="1">
        <f t="array" aca="1" ref="AI796" ca="1">_xlfn.XLOOKUP(PAA_4[[#This Row],[RCP-RUBRO]],[2]!COMPROMISOS_2024[[#All],[concatenado]],[2]!COMPROMISOS_2024[[#All],[Total pagado]],"",0)</f>
        <v>#NAME?</v>
      </c>
      <c r="AJ796" s="56" t="e">
        <f ca="1">IF(PAA_4[[#This Row],[BOLSA]]=0,0,SUMIFS([2]!COMPROMISOS_2024[[#All],[Total pagado]],[2]!COMPROMISOS_2024[[#All],[Bolsa]],PAA_4[[#This Row],[BOLSA]],[2]!COMPROMISOS_2024[[#All],[rubro]],PAA_4[[#This Row],[RCP-RUBRO]]))</f>
        <v>#REF!</v>
      </c>
      <c r="AK796" s="47" t="e" cm="1">
        <f t="array" aca="1" ref="AK796" ca="1">_xlfn.XLOOKUP(PAA_4[[#This Row],[RCP-RUBRO]],[2]!COMPROMISOS_2024[[#All],[concatenado]],[2]!COMPROMISOS_2024[[#All],[Total Comprometido]],"",0)</f>
        <v>#NAME?</v>
      </c>
      <c r="AL796" s="47" t="e">
        <f ca="1">IF(PAA_4[[#This Row],[BOLSA]]=0,0,SUMIFS([2]!COMPROMISOS_2024[[#All],[Total Comprometido]],[2]!COMPROMISOS_2024[[#All],[Bolsa]],PAA_4[[#This Row],[BOLSA]],[2]!COMPROMISOS_2024[[#All],[concatenado]],PAA_4[[#This Row],[RCP-RUBRO]]))</f>
        <v>#REF!</v>
      </c>
    </row>
    <row r="797" spans="1:38" s="19" customFormat="1" ht="31.5" customHeight="1">
      <c r="A797" s="47">
        <v>616</v>
      </c>
      <c r="B797" s="47">
        <v>80111600</v>
      </c>
      <c r="C797" s="47" t="str">
        <f>VLOOKUP(PAA_4[[#This Row],[PROYECTO (formulado)2]],[2]PROYECTOS!$G$1:$L$32,6,0)</f>
        <v>SUBGERENCIA DE ALTOS LOGROS Y DEPORTE ASOCIADO</v>
      </c>
      <c r="D797" s="47" t="str">
        <f>+IF(PAA_4[[#This Row],[UNIDAD DE CONTRATACION (formulado)]]="Subgerencia Administrativa y Financiera","FUNCIONAMIENTO","INVERSIÓN")</f>
        <v>INVERSIÓN</v>
      </c>
      <c r="E797" s="48" t="str">
        <f>VLOOKUP(Q797,[2]PROYECTOS!$G$1:$K$32,5,0)</f>
        <v>APOYO_TÉCNICO_Y_PSICOSOCIAL_A_LOS_DEPORTISTAS_DE_ANTIOQUIA</v>
      </c>
      <c r="F797" s="48">
        <f>VLOOKUP(E797,[2]PROYECTOS!$K$1:$M$32,3,0)</f>
        <v>2021003050069</v>
      </c>
      <c r="G797" s="49" t="s">
        <v>239</v>
      </c>
      <c r="H797" s="49" t="str">
        <f>VLOOKUP(Q797,[2]PROYECTOS!$V$1:$W$32,2,0)</f>
        <v>050069</v>
      </c>
      <c r="I797" s="50">
        <v>23714292</v>
      </c>
      <c r="J797" s="51" t="s">
        <v>1745</v>
      </c>
      <c r="K797" s="47" t="str">
        <f t="shared" ca="1" si="256"/>
        <v>CONTRATADO</v>
      </c>
      <c r="L797" s="47" t="s">
        <v>94</v>
      </c>
      <c r="M797" s="47" t="s">
        <v>1297</v>
      </c>
      <c r="N797" s="52" t="s">
        <v>240</v>
      </c>
      <c r="O797" s="51" t="e">
        <f>VLOOKUP(N797,[2]!RUBROS[#All],3,0)</f>
        <v>#REF!</v>
      </c>
      <c r="P797" s="53" t="e">
        <f>VLOOKUP(N797,[2]!RUBROS[#All],2,0)</f>
        <v>#REF!</v>
      </c>
      <c r="Q797" s="47" t="str">
        <f t="shared" si="257"/>
        <v>22</v>
      </c>
      <c r="R797" s="47" t="str">
        <f t="shared" si="258"/>
        <v>0-205400</v>
      </c>
      <c r="S797" s="54">
        <v>6</v>
      </c>
      <c r="T797" s="59" t="s">
        <v>46</v>
      </c>
      <c r="U797" s="326" t="e">
        <f ca="1">_xlfn.XLOOKUP(PAA_4[[#This Row],[ITEM]],[2]Contrato!A:A,[2]Contrato!Q:Q,"",0)</f>
        <v>#NAME?</v>
      </c>
      <c r="V797" s="47" t="s">
        <v>47</v>
      </c>
      <c r="W797" s="47" t="s">
        <v>96</v>
      </c>
      <c r="X797" s="47" t="s">
        <v>96</v>
      </c>
      <c r="Y797" s="55" t="e">
        <f ca="1">_xlfn.XLOOKUP(PAA_4[[#This Row],[ITEM]],[2]Contrato!A:A,[2]Contrato!B:B,"",0)</f>
        <v>#NAME?</v>
      </c>
      <c r="Z797" s="47" t="e">
        <f ca="1">_xlfn.XLOOKUP(PAA_4[[#This Row],[ITEM]],[2]Contrato!A:A,[2]Contrato!G:G,"",0)</f>
        <v>#NAME?</v>
      </c>
      <c r="AA797" s="47" t="e">
        <f ca="1">_xlfn.XLOOKUP(PAA_4[[#This Row],[ITEM]],[2]Contrato!A:A,[2]Contrato!T:T,"",0)</f>
        <v>#NAME?</v>
      </c>
      <c r="AB797" s="55" t="e">
        <f ca="1">+MAX(PAA_4[[#This Row],[Comprometido Contrato]],PAA_4[[#This Row],[Comprometido Bolsa]])</f>
        <v>#NAME?</v>
      </c>
      <c r="AC797" s="55" t="str">
        <f t="shared" ca="1" si="259"/>
        <v/>
      </c>
      <c r="AD797" s="55" t="e">
        <f ca="1">IF(PAA_4[[#This Row],[ESTADO (formulado)]]="NO CONTRATADO",0,MAX(PAA_4[[#This Row],[Pago por Contrato]],PAA_4[[#This Row],[Pago por bolsa]]))</f>
        <v>#NAME?</v>
      </c>
      <c r="AE797" s="55" t="str">
        <f t="shared" ca="1" si="260"/>
        <v/>
      </c>
      <c r="AF797" s="47" t="e">
        <f t="shared" ca="1" si="262"/>
        <v>#NAME?</v>
      </c>
      <c r="AG797" s="47">
        <f t="shared" si="261"/>
        <v>41080101</v>
      </c>
      <c r="AH797" s="54" t="str">
        <f>IF(Q797="22",IF(ISNUMBER(SEARCH("econ",PAA_4[[#This Row],[Actividad3]])),"Económico",IF(ISNUMBER(SEARCH("alim",PAA_4[[#This Row],[Actividad3]])),"Alimentación",IF(ISNUMBER(SEARCH("educ",PAA_4[[#This Row],[Actividad3]])),"Educativo","Técnico"))),0)</f>
        <v>Técnico</v>
      </c>
      <c r="AI797" s="47" t="e" cm="1">
        <f t="array" aca="1" ref="AI797" ca="1">_xlfn.XLOOKUP(PAA_4[[#This Row],[RCP-RUBRO]],[2]!COMPROMISOS_2024[[#All],[concatenado]],[2]!COMPROMISOS_2024[[#All],[Total pagado]],"",0)</f>
        <v>#NAME?</v>
      </c>
      <c r="AJ797" s="56" t="e">
        <f ca="1">IF(PAA_4[[#This Row],[BOLSA]]=0,0,SUMIFS([2]!COMPROMISOS_2024[[#All],[Total pagado]],[2]!COMPROMISOS_2024[[#All],[Bolsa]],PAA_4[[#This Row],[BOLSA]],[2]!COMPROMISOS_2024[[#All],[rubro]],PAA_4[[#This Row],[RCP-RUBRO]]))</f>
        <v>#REF!</v>
      </c>
      <c r="AK797" s="47" t="e" cm="1">
        <f t="array" aca="1" ref="AK797" ca="1">_xlfn.XLOOKUP(PAA_4[[#This Row],[RCP-RUBRO]],[2]!COMPROMISOS_2024[[#All],[concatenado]],[2]!COMPROMISOS_2024[[#All],[Total Comprometido]],"",0)</f>
        <v>#NAME?</v>
      </c>
      <c r="AL797" s="47" t="e">
        <f ca="1">IF(PAA_4[[#This Row],[BOLSA]]=0,0,SUMIFS([2]!COMPROMISOS_2024[[#All],[Total Comprometido]],[2]!COMPROMISOS_2024[[#All],[Bolsa]],PAA_4[[#This Row],[BOLSA]],[2]!COMPROMISOS_2024[[#All],[concatenado]],PAA_4[[#This Row],[RCP-RUBRO]]))</f>
        <v>#REF!</v>
      </c>
    </row>
    <row r="798" spans="1:38" s="19" customFormat="1" ht="31.5" customHeight="1">
      <c r="A798" s="47">
        <v>617</v>
      </c>
      <c r="B798" s="47">
        <v>80111600</v>
      </c>
      <c r="C798" s="47" t="str">
        <f>VLOOKUP(PAA_4[[#This Row],[PROYECTO (formulado)2]],[2]PROYECTOS!$G$1:$L$32,6,0)</f>
        <v>SUBGERENCIA DE ALTOS LOGROS Y DEPORTE ASOCIADO</v>
      </c>
      <c r="D798" s="47" t="str">
        <f>+IF(PAA_4[[#This Row],[UNIDAD DE CONTRATACION (formulado)]]="Subgerencia Administrativa y Financiera","FUNCIONAMIENTO","INVERSIÓN")</f>
        <v>INVERSIÓN</v>
      </c>
      <c r="E798" s="48" t="str">
        <f>VLOOKUP(Q798,[2]PROYECTOS!$G$1:$K$32,5,0)</f>
        <v>APOYO_TÉCNICO_Y_PSICOSOCIAL_A_LOS_DEPORTISTAS_DE_ANTIOQUIA</v>
      </c>
      <c r="F798" s="48">
        <f>VLOOKUP(E798,[2]PROYECTOS!$K$1:$M$32,3,0)</f>
        <v>2021003050069</v>
      </c>
      <c r="G798" s="49" t="s">
        <v>239</v>
      </c>
      <c r="H798" s="49" t="str">
        <f>VLOOKUP(Q798,[2]PROYECTOS!$V$1:$W$32,2,0)</f>
        <v>050069</v>
      </c>
      <c r="I798" s="50">
        <v>15449052</v>
      </c>
      <c r="J798" s="51" t="s">
        <v>1746</v>
      </c>
      <c r="K798" s="47" t="str">
        <f t="shared" ref="K798:K803" ca="1" si="263">IF(ISNONTEXT(Y798)=TRUE,"CONTRATADO","NO CONTRATADO")</f>
        <v>CONTRATADO</v>
      </c>
      <c r="L798" s="47" t="s">
        <v>94</v>
      </c>
      <c r="M798" s="47" t="s">
        <v>1297</v>
      </c>
      <c r="N798" s="52" t="s">
        <v>240</v>
      </c>
      <c r="O798" s="51" t="e">
        <f>VLOOKUP(N798,[2]!RUBROS[#All],3,0)</f>
        <v>#REF!</v>
      </c>
      <c r="P798" s="53" t="e">
        <f>VLOOKUP(N798,[2]!RUBROS[#All],2,0)</f>
        <v>#REF!</v>
      </c>
      <c r="Q798" s="47" t="str">
        <f t="shared" ref="Q798:Q803" si="264">+MID(N798,11,2)</f>
        <v>22</v>
      </c>
      <c r="R798" s="47" t="str">
        <f t="shared" ref="R798:R803" si="265">+MID(N798,14,8)</f>
        <v>0-205400</v>
      </c>
      <c r="S798" s="54">
        <v>6</v>
      </c>
      <c r="T798" s="59" t="s">
        <v>46</v>
      </c>
      <c r="U798" s="326" t="e">
        <f ca="1">_xlfn.XLOOKUP(PAA_4[[#This Row],[ITEM]],[2]Contrato!A:A,[2]Contrato!Q:Q,"",0)</f>
        <v>#NAME?</v>
      </c>
      <c r="V798" s="47" t="s">
        <v>47</v>
      </c>
      <c r="W798" s="47" t="s">
        <v>96</v>
      </c>
      <c r="X798" s="47" t="s">
        <v>96</v>
      </c>
      <c r="Y798" s="55" t="e">
        <f ca="1">_xlfn.XLOOKUP(PAA_4[[#This Row],[ITEM]],[2]Contrato!A:A,[2]Contrato!B:B,"",0)</f>
        <v>#NAME?</v>
      </c>
      <c r="Z798" s="47" t="e">
        <f ca="1">_xlfn.XLOOKUP(PAA_4[[#This Row],[ITEM]],[2]Contrato!A:A,[2]Contrato!G:G,"",0)</f>
        <v>#NAME?</v>
      </c>
      <c r="AA798" s="47" t="e">
        <f ca="1">_xlfn.XLOOKUP(PAA_4[[#This Row],[ITEM]],[2]Contrato!A:A,[2]Contrato!T:T,"",0)</f>
        <v>#NAME?</v>
      </c>
      <c r="AB798" s="55" t="e">
        <f ca="1">+MAX(PAA_4[[#This Row],[Comprometido Contrato]],PAA_4[[#This Row],[Comprometido Bolsa]])</f>
        <v>#NAME?</v>
      </c>
      <c r="AC798" s="55" t="str">
        <f t="shared" ref="AC798:AC803" ca="1" si="266">IFERROR(I798-AB798,"")</f>
        <v/>
      </c>
      <c r="AD798" s="55" t="e">
        <f ca="1">IF(PAA_4[[#This Row],[ESTADO (formulado)]]="NO CONTRATADO",0,MAX(PAA_4[[#This Row],[Pago por Contrato]],PAA_4[[#This Row],[Pago por bolsa]]))</f>
        <v>#NAME?</v>
      </c>
      <c r="AE798" s="55" t="str">
        <f t="shared" ref="AE798:AE803" ca="1" si="267">+IFERROR(AB798-AD798,"")</f>
        <v/>
      </c>
      <c r="AF798" s="47" t="e">
        <f t="shared" ca="1" si="262"/>
        <v>#NAME?</v>
      </c>
      <c r="AG798" s="47">
        <f t="shared" ref="AG798:AG803" si="268">IFERROR(_xlfn.NUMBERVALUE(MID(G798,1,8)),"")</f>
        <v>41080101</v>
      </c>
      <c r="AH798" s="54" t="str">
        <f>IF(Q798="22",IF(ISNUMBER(SEARCH("econ",PAA_4[[#This Row],[Actividad3]])),"Económico",IF(ISNUMBER(SEARCH("alim",PAA_4[[#This Row],[Actividad3]])),"Alimentación",IF(ISNUMBER(SEARCH("educ",PAA_4[[#This Row],[Actividad3]])),"Educativo","Técnico"))),0)</f>
        <v>Técnico</v>
      </c>
      <c r="AI798" s="47" t="e" cm="1">
        <f t="array" aca="1" ref="AI798" ca="1">_xlfn.XLOOKUP(PAA_4[[#This Row],[RCP-RUBRO]],[2]!COMPROMISOS_2024[[#All],[concatenado]],[2]!COMPROMISOS_2024[[#All],[Total pagado]],"",0)</f>
        <v>#NAME?</v>
      </c>
      <c r="AJ798" s="56" t="e">
        <f ca="1">IF(PAA_4[[#This Row],[BOLSA]]=0,0,SUMIFS([2]!COMPROMISOS_2024[[#All],[Total pagado]],[2]!COMPROMISOS_2024[[#All],[Bolsa]],PAA_4[[#This Row],[BOLSA]],[2]!COMPROMISOS_2024[[#All],[rubro]],PAA_4[[#This Row],[RCP-RUBRO]]))</f>
        <v>#REF!</v>
      </c>
      <c r="AK798" s="47" t="e" cm="1">
        <f t="array" aca="1" ref="AK798" ca="1">_xlfn.XLOOKUP(PAA_4[[#This Row],[RCP-RUBRO]],[2]!COMPROMISOS_2024[[#All],[concatenado]],[2]!COMPROMISOS_2024[[#All],[Total Comprometido]],"",0)</f>
        <v>#NAME?</v>
      </c>
      <c r="AL798" s="47" t="e">
        <f ca="1">IF(PAA_4[[#This Row],[BOLSA]]=0,0,SUMIFS([2]!COMPROMISOS_2024[[#All],[Total Comprometido]],[2]!COMPROMISOS_2024[[#All],[Bolsa]],PAA_4[[#This Row],[BOLSA]],[2]!COMPROMISOS_2024[[#All],[concatenado]],PAA_4[[#This Row],[RCP-RUBRO]]))</f>
        <v>#REF!</v>
      </c>
    </row>
    <row r="799" spans="1:38" s="19" customFormat="1" ht="31.5" customHeight="1">
      <c r="A799" s="47">
        <v>618</v>
      </c>
      <c r="B799" s="47">
        <v>80111600</v>
      </c>
      <c r="C799" s="47" t="str">
        <f>VLOOKUP(PAA_4[[#This Row],[PROYECTO (formulado)2]],[2]PROYECTOS!$G$1:$L$32,6,0)</f>
        <v>SUBGERENCIA DE ALTOS LOGROS Y DEPORTE ASOCIADO</v>
      </c>
      <c r="D799" s="47" t="str">
        <f>+IF(PAA_4[[#This Row],[UNIDAD DE CONTRATACION (formulado)]]="Subgerencia Administrativa y Financiera","FUNCIONAMIENTO","INVERSIÓN")</f>
        <v>INVERSIÓN</v>
      </c>
      <c r="E799" s="48" t="str">
        <f>VLOOKUP(Q799,[2]PROYECTOS!$G$1:$K$32,5,0)</f>
        <v>APOYO_TÉCNICO_Y_PSICOSOCIAL_A_LOS_DEPORTISTAS_DE_ANTIOQUIA</v>
      </c>
      <c r="F799" s="48">
        <f>VLOOKUP(E799,[2]PROYECTOS!$K$1:$M$32,3,0)</f>
        <v>2021003050069</v>
      </c>
      <c r="G799" s="49" t="s">
        <v>239</v>
      </c>
      <c r="H799" s="49" t="str">
        <f>VLOOKUP(Q799,[2]PROYECTOS!$V$1:$W$32,2,0)</f>
        <v>050069</v>
      </c>
      <c r="I799" s="50">
        <v>23714292</v>
      </c>
      <c r="J799" s="51" t="s">
        <v>1747</v>
      </c>
      <c r="K799" s="47" t="str">
        <f t="shared" ca="1" si="263"/>
        <v>CONTRATADO</v>
      </c>
      <c r="L799" s="47" t="s">
        <v>94</v>
      </c>
      <c r="M799" s="47" t="s">
        <v>1297</v>
      </c>
      <c r="N799" s="52" t="s">
        <v>240</v>
      </c>
      <c r="O799" s="51" t="e">
        <f>VLOOKUP(N799,[2]!RUBROS[#All],3,0)</f>
        <v>#REF!</v>
      </c>
      <c r="P799" s="53" t="e">
        <f>VLOOKUP(N799,[2]!RUBROS[#All],2,0)</f>
        <v>#REF!</v>
      </c>
      <c r="Q799" s="47" t="str">
        <f t="shared" si="264"/>
        <v>22</v>
      </c>
      <c r="R799" s="47" t="str">
        <f t="shared" si="265"/>
        <v>0-205400</v>
      </c>
      <c r="S799" s="54">
        <v>6</v>
      </c>
      <c r="T799" s="59" t="s">
        <v>46</v>
      </c>
      <c r="U799" s="326" t="e">
        <f ca="1">_xlfn.XLOOKUP(PAA_4[[#This Row],[ITEM]],[2]Contrato!A:A,[2]Contrato!Q:Q,"",0)</f>
        <v>#NAME?</v>
      </c>
      <c r="V799" s="47" t="s">
        <v>47</v>
      </c>
      <c r="W799" s="47" t="s">
        <v>96</v>
      </c>
      <c r="X799" s="47" t="s">
        <v>96</v>
      </c>
      <c r="Y799" s="55" t="e">
        <f ca="1">_xlfn.XLOOKUP(PAA_4[[#This Row],[ITEM]],[2]Contrato!A:A,[2]Contrato!B:B,"",0)</f>
        <v>#NAME?</v>
      </c>
      <c r="Z799" s="47" t="e">
        <f ca="1">_xlfn.XLOOKUP(PAA_4[[#This Row],[ITEM]],[2]Contrato!A:A,[2]Contrato!G:G,"",0)</f>
        <v>#NAME?</v>
      </c>
      <c r="AA799" s="47" t="e">
        <f ca="1">_xlfn.XLOOKUP(PAA_4[[#This Row],[ITEM]],[2]Contrato!A:A,[2]Contrato!T:T,"",0)</f>
        <v>#NAME?</v>
      </c>
      <c r="AB799" s="55" t="e">
        <f ca="1">+MAX(PAA_4[[#This Row],[Comprometido Contrato]],PAA_4[[#This Row],[Comprometido Bolsa]])</f>
        <v>#NAME?</v>
      </c>
      <c r="AC799" s="55" t="str">
        <f t="shared" ca="1" si="266"/>
        <v/>
      </c>
      <c r="AD799" s="55" t="e">
        <f ca="1">IF(PAA_4[[#This Row],[ESTADO (formulado)]]="NO CONTRATADO",0,MAX(PAA_4[[#This Row],[Pago por Contrato]],PAA_4[[#This Row],[Pago por bolsa]]))</f>
        <v>#NAME?</v>
      </c>
      <c r="AE799" s="55" t="str">
        <f t="shared" ca="1" si="267"/>
        <v/>
      </c>
      <c r="AF799" s="47" t="e">
        <f t="shared" ca="1" si="262"/>
        <v>#NAME?</v>
      </c>
      <c r="AG799" s="47">
        <f t="shared" si="268"/>
        <v>41080101</v>
      </c>
      <c r="AH799" s="54" t="str">
        <f>IF(Q799="22",IF(ISNUMBER(SEARCH("econ",PAA_4[[#This Row],[Actividad3]])),"Económico",IF(ISNUMBER(SEARCH("alim",PAA_4[[#This Row],[Actividad3]])),"Alimentación",IF(ISNUMBER(SEARCH("educ",PAA_4[[#This Row],[Actividad3]])),"Educativo","Técnico"))),0)</f>
        <v>Técnico</v>
      </c>
      <c r="AI799" s="47" t="e" cm="1">
        <f t="array" aca="1" ref="AI799" ca="1">_xlfn.XLOOKUP(PAA_4[[#This Row],[RCP-RUBRO]],[2]!COMPROMISOS_2024[[#All],[concatenado]],[2]!COMPROMISOS_2024[[#All],[Total pagado]],"",0)</f>
        <v>#NAME?</v>
      </c>
      <c r="AJ799" s="56" t="e">
        <f ca="1">IF(PAA_4[[#This Row],[BOLSA]]=0,0,SUMIFS([2]!COMPROMISOS_2024[[#All],[Total pagado]],[2]!COMPROMISOS_2024[[#All],[Bolsa]],PAA_4[[#This Row],[BOLSA]],[2]!COMPROMISOS_2024[[#All],[rubro]],PAA_4[[#This Row],[RCP-RUBRO]]))</f>
        <v>#REF!</v>
      </c>
      <c r="AK799" s="47" t="e" cm="1">
        <f t="array" aca="1" ref="AK799" ca="1">_xlfn.XLOOKUP(PAA_4[[#This Row],[RCP-RUBRO]],[2]!COMPROMISOS_2024[[#All],[concatenado]],[2]!COMPROMISOS_2024[[#All],[Total Comprometido]],"",0)</f>
        <v>#NAME?</v>
      </c>
      <c r="AL799" s="47" t="e">
        <f ca="1">IF(PAA_4[[#This Row],[BOLSA]]=0,0,SUMIFS([2]!COMPROMISOS_2024[[#All],[Total Comprometido]],[2]!COMPROMISOS_2024[[#All],[Bolsa]],PAA_4[[#This Row],[BOLSA]],[2]!COMPROMISOS_2024[[#All],[concatenado]],PAA_4[[#This Row],[RCP-RUBRO]]))</f>
        <v>#REF!</v>
      </c>
    </row>
    <row r="800" spans="1:38" s="19" customFormat="1" ht="31.5" customHeight="1">
      <c r="A800" s="47" t="s">
        <v>82</v>
      </c>
      <c r="B800" s="47" t="s">
        <v>344</v>
      </c>
      <c r="C800" s="47" t="str">
        <f>VLOOKUP(PAA_4[[#This Row],[PROYECTO (formulado)2]],[2]PROYECTOS!$G$1:$L$32,6,0)</f>
        <v>SUBGERENCIA DE ALTOS LOGROS Y DEPORTE ASOCIADO</v>
      </c>
      <c r="D800" s="47" t="str">
        <f>+IF(PAA_4[[#This Row],[UNIDAD DE CONTRATACION (formulado)]]="Subgerencia Administrativa y Financiera","FUNCIONAMIENTO","INVERSIÓN")</f>
        <v>INVERSIÓN</v>
      </c>
      <c r="E800" s="48" t="str">
        <f>VLOOKUP(Q800,[2]PROYECTOS!$G$1:$K$32,5,0)</f>
        <v>FORTALECIMIENTO_DEL_PROGRAMA_DE_ALTOS_LOGROS_Y_LIDERAZGO_DEPORTIVO_EN_EL_DEPARTAMENTO_DE_ANTIOQUIA</v>
      </c>
      <c r="F800" s="48">
        <f>VLOOKUP(E800,[2]PROYECTOS!$K$1:$M$32,3,0)</f>
        <v>2020003050021</v>
      </c>
      <c r="G800" s="49" t="s">
        <v>235</v>
      </c>
      <c r="H800" s="49" t="str">
        <f>VLOOKUP(Q800,[2]PROYECTOS!$V$1:$W$32,2,0)</f>
        <v>050061</v>
      </c>
      <c r="I800" s="50">
        <v>0</v>
      </c>
      <c r="J800" s="51" t="s">
        <v>42</v>
      </c>
      <c r="K800" s="47" t="str">
        <f t="shared" ca="1" si="263"/>
        <v>CONTRATADO</v>
      </c>
      <c r="L800" s="47" t="s">
        <v>42</v>
      </c>
      <c r="M800" s="47" t="s">
        <v>42</v>
      </c>
      <c r="N800" s="52" t="s">
        <v>245</v>
      </c>
      <c r="O800" s="51" t="e">
        <f>VLOOKUP(N800,[2]!RUBROS[#All],3,0)</f>
        <v>#REF!</v>
      </c>
      <c r="P800" s="53" t="e">
        <f>VLOOKUP(N800,[2]!RUBROS[#All],2,0)</f>
        <v>#REF!</v>
      </c>
      <c r="Q800" s="47" t="str">
        <f t="shared" si="264"/>
        <v>20</v>
      </c>
      <c r="R800" s="47" t="str">
        <f t="shared" si="265"/>
        <v>0-205400</v>
      </c>
      <c r="S800" s="65" t="s">
        <v>42</v>
      </c>
      <c r="T800" s="59" t="s">
        <v>344</v>
      </c>
      <c r="U800" s="326" t="e">
        <f ca="1">_xlfn.XLOOKUP(PAA_4[[#This Row],[ITEM]],[2]Contrato!A:A,[2]Contrato!Q:Q,"",0)</f>
        <v>#NAME?</v>
      </c>
      <c r="V800" s="65" t="s">
        <v>95</v>
      </c>
      <c r="W800" s="65" t="s">
        <v>42</v>
      </c>
      <c r="X800" s="65" t="s">
        <v>42</v>
      </c>
      <c r="Y800" s="55" t="e">
        <f ca="1">_xlfn.XLOOKUP(PAA_4[[#This Row],[ITEM]],[2]Contrato!A:A,[2]Contrato!B:B,"",0)</f>
        <v>#NAME?</v>
      </c>
      <c r="Z800" s="47" t="e">
        <f ca="1">_xlfn.XLOOKUP(PAA_4[[#This Row],[ITEM]],[2]Contrato!A:A,[2]Contrato!G:G,"",0)</f>
        <v>#NAME?</v>
      </c>
      <c r="AA800" s="47" t="e">
        <f ca="1">_xlfn.XLOOKUP(PAA_4[[#This Row],[ITEM]],[2]Contrato!A:A,[2]Contrato!T:T,"",0)</f>
        <v>#NAME?</v>
      </c>
      <c r="AB800" s="55" t="e">
        <f ca="1">+MAX(PAA_4[[#This Row],[Comprometido Contrato]],PAA_4[[#This Row],[Comprometido Bolsa]])</f>
        <v>#NAME?</v>
      </c>
      <c r="AC800" s="55" t="str">
        <f t="shared" ca="1" si="266"/>
        <v/>
      </c>
      <c r="AD800" s="55" t="e">
        <f ca="1">IF(PAA_4[[#This Row],[ESTADO (formulado)]]="NO CONTRATADO",0,MAX(PAA_4[[#This Row],[Pago por Contrato]],PAA_4[[#This Row],[Pago por bolsa]]))</f>
        <v>#NAME?</v>
      </c>
      <c r="AE800" s="55" t="str">
        <f t="shared" ca="1" si="267"/>
        <v/>
      </c>
      <c r="AF800" s="47" t="e">
        <f t="shared" ca="1" si="262"/>
        <v>#NAME?</v>
      </c>
      <c r="AG800" s="47">
        <f t="shared" si="268"/>
        <v>41080111</v>
      </c>
      <c r="AH800" s="54">
        <f>IF(Q800="22",IF(ISNUMBER(SEARCH("econ",PAA_4[[#This Row],[Actividad3]])),"Económico",IF(ISNUMBER(SEARCH("alim",PAA_4[[#This Row],[Actividad3]])),"Alimentación",IF(ISNUMBER(SEARCH("educ",PAA_4[[#This Row],[Actividad3]])),"Educativo","Técnico"))),0)</f>
        <v>0</v>
      </c>
      <c r="AI800" s="47" t="e" cm="1">
        <f t="array" aca="1" ref="AI800" ca="1">_xlfn.XLOOKUP(PAA_4[[#This Row],[RCP-RUBRO]],[2]!COMPROMISOS_2024[[#All],[concatenado]],[2]!COMPROMISOS_2024[[#All],[Total pagado]],"",0)</f>
        <v>#NAME?</v>
      </c>
      <c r="AJ800" s="56">
        <f>IF(PAA_4[[#This Row],[BOLSA]]=0,0,SUMIFS([2]!COMPROMISOS_2024[[#All],[Total pagado]],[2]!COMPROMISOS_2024[[#All],[Bolsa]],PAA_4[[#This Row],[BOLSA]],[2]!COMPROMISOS_2024[[#All],[rubro]],PAA_4[[#This Row],[RCP-RUBRO]]))</f>
        <v>0</v>
      </c>
      <c r="AK800" s="47" t="e" cm="1">
        <f t="array" aca="1" ref="AK800" ca="1">_xlfn.XLOOKUP(PAA_4[[#This Row],[RCP-RUBRO]],[2]!COMPROMISOS_2024[[#All],[concatenado]],[2]!COMPROMISOS_2024[[#All],[Total Comprometido]],"",0)</f>
        <v>#NAME?</v>
      </c>
      <c r="AL800" s="47">
        <f>IF(PAA_4[[#This Row],[BOLSA]]=0,0,SUMIFS([2]!COMPROMISOS_2024[[#All],[Total Comprometido]],[2]!COMPROMISOS_2024[[#All],[Bolsa]],PAA_4[[#This Row],[BOLSA]],[2]!COMPROMISOS_2024[[#All],[concatenado]],PAA_4[[#This Row],[RCP-RUBRO]]))</f>
        <v>0</v>
      </c>
    </row>
    <row r="801" spans="1:38" s="19" customFormat="1" ht="31.5" customHeight="1">
      <c r="A801" s="47">
        <v>623</v>
      </c>
      <c r="B801" s="47">
        <v>80111600</v>
      </c>
      <c r="C801" s="47" t="str">
        <f>VLOOKUP(PAA_4[[#This Row],[PROYECTO (formulado)2]],[2]PROYECTOS!$G$1:$L$32,6,0)</f>
        <v>SUBGERENCIA DE ALTOS LOGROS Y DEPORTE ASOCIADO</v>
      </c>
      <c r="D801" s="47" t="str">
        <f>+IF(PAA_4[[#This Row],[UNIDAD DE CONTRATACION (formulado)]]="Subgerencia Administrativa y Financiera","FUNCIONAMIENTO","INVERSIÓN")</f>
        <v>INVERSIÓN</v>
      </c>
      <c r="E801" s="48" t="str">
        <f>VLOOKUP(Q801,[2]PROYECTOS!$G$1:$K$32,5,0)</f>
        <v>FORTALECIMIENTO_DEL_PROGRAMA_DE_ALTOS_LOGROS_Y_LIDERAZGO_DEPORTIVO_EN_EL_DEPARTAMENTO_DE_ANTIOQUIA</v>
      </c>
      <c r="F801" s="48">
        <f>VLOOKUP(E801,[2]PROYECTOS!$K$1:$M$32,3,0)</f>
        <v>2020003050021</v>
      </c>
      <c r="G801" s="49" t="s">
        <v>235</v>
      </c>
      <c r="H801" s="49" t="str">
        <f>VLOOKUP(Q801,[2]PROYECTOS!$V$1:$W$32,2,0)</f>
        <v>050061</v>
      </c>
      <c r="I801" s="50">
        <f>12574404-616221</f>
        <v>11958183</v>
      </c>
      <c r="J801" s="51" t="s">
        <v>1748</v>
      </c>
      <c r="K801" s="47" t="str">
        <f t="shared" ca="1" si="263"/>
        <v>CONTRATADO</v>
      </c>
      <c r="L801" s="47" t="s">
        <v>94</v>
      </c>
      <c r="M801" s="47" t="s">
        <v>1297</v>
      </c>
      <c r="N801" s="52" t="s">
        <v>245</v>
      </c>
      <c r="O801" s="51" t="e">
        <f>VLOOKUP(N801,[2]!RUBROS[#All],3,0)</f>
        <v>#REF!</v>
      </c>
      <c r="P801" s="53" t="e">
        <f>VLOOKUP(N801,[2]!RUBROS[#All],2,0)</f>
        <v>#REF!</v>
      </c>
      <c r="Q801" s="47" t="str">
        <f t="shared" si="264"/>
        <v>20</v>
      </c>
      <c r="R801" s="47" t="str">
        <f t="shared" si="265"/>
        <v>0-205400</v>
      </c>
      <c r="S801" s="54">
        <v>6</v>
      </c>
      <c r="T801" s="59" t="s">
        <v>46</v>
      </c>
      <c r="U801" s="326" t="e">
        <f ca="1">_xlfn.XLOOKUP(PAA_4[[#This Row],[ITEM]],[2]Contrato!A:A,[2]Contrato!Q:Q,"",0)</f>
        <v>#NAME?</v>
      </c>
      <c r="V801" s="47" t="s">
        <v>47</v>
      </c>
      <c r="W801" s="47" t="s">
        <v>96</v>
      </c>
      <c r="X801" s="47" t="s">
        <v>96</v>
      </c>
      <c r="Y801" s="55" t="e">
        <f ca="1">_xlfn.XLOOKUP(PAA_4[[#This Row],[ITEM]],[2]Contrato!A:A,[2]Contrato!B:B,"",0)</f>
        <v>#NAME?</v>
      </c>
      <c r="Z801" s="47" t="e">
        <f ca="1">_xlfn.XLOOKUP(PAA_4[[#This Row],[ITEM]],[2]Contrato!A:A,[2]Contrato!G:G,"",0)</f>
        <v>#NAME?</v>
      </c>
      <c r="AA801" s="47" t="e">
        <f ca="1">_xlfn.XLOOKUP(PAA_4[[#This Row],[ITEM]],[2]Contrato!A:A,[2]Contrato!T:T,"",0)</f>
        <v>#NAME?</v>
      </c>
      <c r="AB801" s="55" t="e">
        <f ca="1">+MAX(PAA_4[[#This Row],[Comprometido Contrato]],PAA_4[[#This Row],[Comprometido Bolsa]])</f>
        <v>#NAME?</v>
      </c>
      <c r="AC801" s="55" t="str">
        <f t="shared" ca="1" si="266"/>
        <v/>
      </c>
      <c r="AD801" s="55" t="e">
        <f ca="1">IF(PAA_4[[#This Row],[ESTADO (formulado)]]="NO CONTRATADO",0,MAX(PAA_4[[#This Row],[Pago por Contrato]],PAA_4[[#This Row],[Pago por bolsa]]))</f>
        <v>#NAME?</v>
      </c>
      <c r="AE801" s="55" t="str">
        <f t="shared" ca="1" si="267"/>
        <v/>
      </c>
      <c r="AF801" s="47" t="e">
        <f t="shared" ca="1" si="262"/>
        <v>#NAME?</v>
      </c>
      <c r="AG801" s="47">
        <f t="shared" si="268"/>
        <v>41080111</v>
      </c>
      <c r="AH801" s="54">
        <f>IF(Q801="22",IF(ISNUMBER(SEARCH("econ",PAA_4[[#This Row],[Actividad3]])),"Económico",IF(ISNUMBER(SEARCH("alim",PAA_4[[#This Row],[Actividad3]])),"Alimentación",IF(ISNUMBER(SEARCH("educ",PAA_4[[#This Row],[Actividad3]])),"Educativo","Técnico"))),0)</f>
        <v>0</v>
      </c>
      <c r="AI801" s="47" t="e" cm="1">
        <f t="array" aca="1" ref="AI801" ca="1">_xlfn.XLOOKUP(PAA_4[[#This Row],[RCP-RUBRO]],[2]!COMPROMISOS_2024[[#All],[concatenado]],[2]!COMPROMISOS_2024[[#All],[Total pagado]],"",0)</f>
        <v>#NAME?</v>
      </c>
      <c r="AJ801" s="56">
        <f>IF(PAA_4[[#This Row],[BOLSA]]=0,0,SUMIFS([2]!COMPROMISOS_2024[[#All],[Total pagado]],[2]!COMPROMISOS_2024[[#All],[Bolsa]],PAA_4[[#This Row],[BOLSA]],[2]!COMPROMISOS_2024[[#All],[rubro]],PAA_4[[#This Row],[RCP-RUBRO]]))</f>
        <v>0</v>
      </c>
      <c r="AK801" s="47" t="e" cm="1">
        <f t="array" aca="1" ref="AK801" ca="1">_xlfn.XLOOKUP(PAA_4[[#This Row],[RCP-RUBRO]],[2]!COMPROMISOS_2024[[#All],[concatenado]],[2]!COMPROMISOS_2024[[#All],[Total Comprometido]],"",0)</f>
        <v>#NAME?</v>
      </c>
      <c r="AL801" s="47">
        <f>IF(PAA_4[[#This Row],[BOLSA]]=0,0,SUMIFS([2]!COMPROMISOS_2024[[#All],[Total Comprometido]],[2]!COMPROMISOS_2024[[#All],[Bolsa]],PAA_4[[#This Row],[BOLSA]],[2]!COMPROMISOS_2024[[#All],[concatenado]],PAA_4[[#This Row],[RCP-RUBRO]]))</f>
        <v>0</v>
      </c>
    </row>
    <row r="802" spans="1:38" s="19" customFormat="1" ht="31.5" customHeight="1">
      <c r="A802" s="47" t="s">
        <v>82</v>
      </c>
      <c r="B802" s="47" t="s">
        <v>344</v>
      </c>
      <c r="C802" s="47" t="str">
        <f>VLOOKUP(PAA_4[[#This Row],[PROYECTO (formulado)2]],[2]PROYECTOS!$G$1:$L$32,6,0)</f>
        <v>SUBGERENCIA DE ALTOS LOGROS Y DEPORTE ASOCIADO</v>
      </c>
      <c r="D802" s="47" t="str">
        <f>+IF(PAA_4[[#This Row],[UNIDAD DE CONTRATACION (formulado)]]="Subgerencia Administrativa y Financiera","FUNCIONAMIENTO","INVERSIÓN")</f>
        <v>INVERSIÓN</v>
      </c>
      <c r="E802" s="48" t="str">
        <f>VLOOKUP(Q802,[2]PROYECTOS!$G$1:$K$32,5,0)</f>
        <v>DESARROLLO_DEL_POTENCIAL_DEPORTIVO_EN_EL_DEPARTAMENTO_DE_ANTIOQUIA</v>
      </c>
      <c r="F802" s="48">
        <f>VLOOKUP(E802,[2]PROYECTOS!$K$1:$M$32,3,0)</f>
        <v>2020003050022</v>
      </c>
      <c r="G802" s="49" t="s">
        <v>273</v>
      </c>
      <c r="H802" s="49" t="str">
        <f>VLOOKUP(Q802,[2]PROYECTOS!$V$1:$W$32,2,0)</f>
        <v>050065</v>
      </c>
      <c r="I802" s="50">
        <v>0</v>
      </c>
      <c r="J802" s="51" t="s">
        <v>42</v>
      </c>
      <c r="K802" s="47" t="str">
        <f t="shared" ca="1" si="263"/>
        <v>CONTRATADO</v>
      </c>
      <c r="L802" s="47" t="s">
        <v>42</v>
      </c>
      <c r="M802" s="47" t="s">
        <v>42</v>
      </c>
      <c r="N802" s="52" t="s">
        <v>246</v>
      </c>
      <c r="O802" s="51" t="e">
        <f>VLOOKUP(N802,[2]!RUBROS[#All],3,0)</f>
        <v>#REF!</v>
      </c>
      <c r="P802" s="53" t="e">
        <f>VLOOKUP(N802,[2]!RUBROS[#All],2,0)</f>
        <v>#REF!</v>
      </c>
      <c r="Q802" s="47" t="str">
        <f t="shared" si="264"/>
        <v>21</v>
      </c>
      <c r="R802" s="47" t="str">
        <f t="shared" si="265"/>
        <v>0-205400</v>
      </c>
      <c r="S802" s="65" t="s">
        <v>42</v>
      </c>
      <c r="T802" s="59" t="s">
        <v>344</v>
      </c>
      <c r="U802" s="326" t="e">
        <f ca="1">_xlfn.XLOOKUP(PAA_4[[#This Row],[ITEM]],[2]Contrato!A:A,[2]Contrato!Q:Q,"",0)</f>
        <v>#NAME?</v>
      </c>
      <c r="V802" s="65" t="s">
        <v>95</v>
      </c>
      <c r="W802" s="65" t="s">
        <v>42</v>
      </c>
      <c r="X802" s="65" t="s">
        <v>42</v>
      </c>
      <c r="Y802" s="55" t="e">
        <f ca="1">_xlfn.XLOOKUP(PAA_4[[#This Row],[ITEM]],[2]Contrato!A:A,[2]Contrato!B:B,"",0)</f>
        <v>#NAME?</v>
      </c>
      <c r="Z802" s="47" t="e">
        <f ca="1">_xlfn.XLOOKUP(PAA_4[[#This Row],[ITEM]],[2]Contrato!A:A,[2]Contrato!G:G,"",0)</f>
        <v>#NAME?</v>
      </c>
      <c r="AA802" s="47" t="e">
        <f ca="1">_xlfn.XLOOKUP(PAA_4[[#This Row],[ITEM]],[2]Contrato!A:A,[2]Contrato!T:T,"",0)</f>
        <v>#NAME?</v>
      </c>
      <c r="AB802" s="55" t="e">
        <f ca="1">+MAX(PAA_4[[#This Row],[Comprometido Contrato]],PAA_4[[#This Row],[Comprometido Bolsa]])</f>
        <v>#NAME?</v>
      </c>
      <c r="AC802" s="55" t="str">
        <f t="shared" ca="1" si="266"/>
        <v/>
      </c>
      <c r="AD802" s="55" t="e">
        <f ca="1">IF(PAA_4[[#This Row],[ESTADO (formulado)]]="NO CONTRATADO",0,MAX(PAA_4[[#This Row],[Pago por Contrato]],PAA_4[[#This Row],[Pago por bolsa]]))</f>
        <v>#NAME?</v>
      </c>
      <c r="AE802" s="55" t="str">
        <f t="shared" ca="1" si="267"/>
        <v/>
      </c>
      <c r="AF802" s="47" t="e">
        <f t="shared" ca="1" si="262"/>
        <v>#NAME?</v>
      </c>
      <c r="AG802" s="47">
        <f t="shared" si="268"/>
        <v>41080112</v>
      </c>
      <c r="AH802" s="54">
        <f>IF(Q802="22",IF(ISNUMBER(SEARCH("econ",PAA_4[[#This Row],[Actividad3]])),"Económico",IF(ISNUMBER(SEARCH("alim",PAA_4[[#This Row],[Actividad3]])),"Alimentación",IF(ISNUMBER(SEARCH("educ",PAA_4[[#This Row],[Actividad3]])),"Educativo","Técnico"))),0)</f>
        <v>0</v>
      </c>
      <c r="AI802" s="47" t="e" cm="1">
        <f t="array" aca="1" ref="AI802" ca="1">_xlfn.XLOOKUP(PAA_4[[#This Row],[RCP-RUBRO]],[2]!COMPROMISOS_2024[[#All],[concatenado]],[2]!COMPROMISOS_2024[[#All],[Total pagado]],"",0)</f>
        <v>#NAME?</v>
      </c>
      <c r="AJ802" s="56">
        <f>IF(PAA_4[[#This Row],[BOLSA]]=0,0,SUMIFS([2]!COMPROMISOS_2024[[#All],[Total pagado]],[2]!COMPROMISOS_2024[[#All],[Bolsa]],PAA_4[[#This Row],[BOLSA]],[2]!COMPROMISOS_2024[[#All],[rubro]],PAA_4[[#This Row],[RCP-RUBRO]]))</f>
        <v>0</v>
      </c>
      <c r="AK802" s="47" t="e" cm="1">
        <f t="array" aca="1" ref="AK802" ca="1">_xlfn.XLOOKUP(PAA_4[[#This Row],[RCP-RUBRO]],[2]!COMPROMISOS_2024[[#All],[concatenado]],[2]!COMPROMISOS_2024[[#All],[Total Comprometido]],"",0)</f>
        <v>#NAME?</v>
      </c>
      <c r="AL802" s="47">
        <f>IF(PAA_4[[#This Row],[BOLSA]]=0,0,SUMIFS([2]!COMPROMISOS_2024[[#All],[Total Comprometido]],[2]!COMPROMISOS_2024[[#All],[Bolsa]],PAA_4[[#This Row],[BOLSA]],[2]!COMPROMISOS_2024[[#All],[concatenado]],PAA_4[[#This Row],[RCP-RUBRO]]))</f>
        <v>0</v>
      </c>
    </row>
    <row r="803" spans="1:38" s="19" customFormat="1" ht="31.5" customHeight="1">
      <c r="A803" s="47">
        <v>623</v>
      </c>
      <c r="B803" s="47">
        <v>80111600</v>
      </c>
      <c r="C803" s="47" t="str">
        <f>VLOOKUP(PAA_4[[#This Row],[PROYECTO (formulado)2]],[2]PROYECTOS!$G$1:$L$32,6,0)</f>
        <v>SUBGERENCIA DE ALTOS LOGROS Y DEPORTE ASOCIADO</v>
      </c>
      <c r="D803" s="47" t="str">
        <f>+IF(PAA_4[[#This Row],[UNIDAD DE CONTRATACION (formulado)]]="Subgerencia Administrativa y Financiera","FUNCIONAMIENTO","INVERSIÓN")</f>
        <v>INVERSIÓN</v>
      </c>
      <c r="E803" s="48" t="str">
        <f>VLOOKUP(Q803,[2]PROYECTOS!$G$1:$K$32,5,0)</f>
        <v>DESARROLLO_DEL_POTENCIAL_DEPORTIVO_EN_EL_DEPARTAMENTO_DE_ANTIOQUIA</v>
      </c>
      <c r="F803" s="48">
        <f>VLOOKUP(E803,[2]PROYECTOS!$K$1:$M$32,3,0)</f>
        <v>2020003050022</v>
      </c>
      <c r="G803" s="49" t="s">
        <v>273</v>
      </c>
      <c r="H803" s="49" t="str">
        <f>VLOOKUP(Q803,[2]PROYECTOS!$V$1:$W$32,2,0)</f>
        <v>050065</v>
      </c>
      <c r="I803" s="50">
        <f>12574404-616221</f>
        <v>11958183</v>
      </c>
      <c r="J803" s="51" t="s">
        <v>1748</v>
      </c>
      <c r="K803" s="47" t="str">
        <f t="shared" ca="1" si="263"/>
        <v>CONTRATADO</v>
      </c>
      <c r="L803" s="47" t="s">
        <v>94</v>
      </c>
      <c r="M803" s="47" t="s">
        <v>1297</v>
      </c>
      <c r="N803" s="52" t="s">
        <v>246</v>
      </c>
      <c r="O803" s="51" t="e">
        <f>VLOOKUP(N803,[2]!RUBROS[#All],3,0)</f>
        <v>#REF!</v>
      </c>
      <c r="P803" s="53" t="e">
        <f>VLOOKUP(N803,[2]!RUBROS[#All],2,0)</f>
        <v>#REF!</v>
      </c>
      <c r="Q803" s="47" t="str">
        <f t="shared" si="264"/>
        <v>21</v>
      </c>
      <c r="R803" s="47" t="str">
        <f t="shared" si="265"/>
        <v>0-205400</v>
      </c>
      <c r="S803" s="54">
        <v>6</v>
      </c>
      <c r="T803" s="59" t="s">
        <v>46</v>
      </c>
      <c r="U803" s="326" t="e">
        <f ca="1">_xlfn.XLOOKUP(PAA_4[[#This Row],[ITEM]],[2]Contrato!A:A,[2]Contrato!Q:Q,"",0)</f>
        <v>#NAME?</v>
      </c>
      <c r="V803" s="47" t="s">
        <v>47</v>
      </c>
      <c r="W803" s="47" t="s">
        <v>96</v>
      </c>
      <c r="X803" s="47" t="s">
        <v>96</v>
      </c>
      <c r="Y803" s="55" t="e">
        <f ca="1">_xlfn.XLOOKUP(PAA_4[[#This Row],[ITEM]],[2]Contrato!A:A,[2]Contrato!B:B,"",0)</f>
        <v>#NAME?</v>
      </c>
      <c r="Z803" s="47" t="e">
        <f ca="1">_xlfn.XLOOKUP(PAA_4[[#This Row],[ITEM]],[2]Contrato!A:A,[2]Contrato!G:G,"",0)</f>
        <v>#NAME?</v>
      </c>
      <c r="AA803" s="47" t="e">
        <f ca="1">_xlfn.XLOOKUP(PAA_4[[#This Row],[ITEM]],[2]Contrato!A:A,[2]Contrato!T:T,"",0)</f>
        <v>#NAME?</v>
      </c>
      <c r="AB803" s="55" t="e">
        <f ca="1">+MAX(PAA_4[[#This Row],[Comprometido Contrato]],PAA_4[[#This Row],[Comprometido Bolsa]])</f>
        <v>#NAME?</v>
      </c>
      <c r="AC803" s="55" t="str">
        <f t="shared" ca="1" si="266"/>
        <v/>
      </c>
      <c r="AD803" s="55" t="e">
        <f ca="1">IF(PAA_4[[#This Row],[ESTADO (formulado)]]="NO CONTRATADO",0,MAX(PAA_4[[#This Row],[Pago por Contrato]],PAA_4[[#This Row],[Pago por bolsa]]))</f>
        <v>#NAME?</v>
      </c>
      <c r="AE803" s="55" t="str">
        <f t="shared" ca="1" si="267"/>
        <v/>
      </c>
      <c r="AF803" s="47" t="e">
        <f t="shared" ref="AF803" ca="1" si="269">+CONCATENATE(AA803,N803)</f>
        <v>#NAME?</v>
      </c>
      <c r="AG803" s="47">
        <f t="shared" si="268"/>
        <v>41080112</v>
      </c>
      <c r="AH803" s="54">
        <f>IF(Q803="22",IF(ISNUMBER(SEARCH("econ",PAA_4[[#This Row],[Actividad3]])),"Económico",IF(ISNUMBER(SEARCH("alim",PAA_4[[#This Row],[Actividad3]])),"Alimentación",IF(ISNUMBER(SEARCH("educ",PAA_4[[#This Row],[Actividad3]])),"Educativo","Técnico"))),0)</f>
        <v>0</v>
      </c>
      <c r="AI803" s="47" t="e" cm="1">
        <f t="array" aca="1" ref="AI803" ca="1">_xlfn.XLOOKUP(PAA_4[[#This Row],[RCP-RUBRO]],[2]!COMPROMISOS_2024[[#All],[concatenado]],[2]!COMPROMISOS_2024[[#All],[Total pagado]],"",0)</f>
        <v>#NAME?</v>
      </c>
      <c r="AJ803" s="56">
        <f>IF(PAA_4[[#This Row],[BOLSA]]=0,0,SUMIFS([2]!COMPROMISOS_2024[[#All],[Total pagado]],[2]!COMPROMISOS_2024[[#All],[Bolsa]],PAA_4[[#This Row],[BOLSA]],[2]!COMPROMISOS_2024[[#All],[rubro]],PAA_4[[#This Row],[RCP-RUBRO]]))</f>
        <v>0</v>
      </c>
      <c r="AK803" s="47" t="e" cm="1">
        <f t="array" aca="1" ref="AK803" ca="1">_xlfn.XLOOKUP(PAA_4[[#This Row],[RCP-RUBRO]],[2]!COMPROMISOS_2024[[#All],[concatenado]],[2]!COMPROMISOS_2024[[#All],[Total Comprometido]],"",0)</f>
        <v>#NAME?</v>
      </c>
      <c r="AL803" s="47">
        <f>IF(PAA_4[[#This Row],[BOLSA]]=0,0,SUMIFS([2]!COMPROMISOS_2024[[#All],[Total Comprometido]],[2]!COMPROMISOS_2024[[#All],[Bolsa]],PAA_4[[#This Row],[BOLSA]],[2]!COMPROMISOS_2024[[#All],[concatenado]],PAA_4[[#This Row],[RCP-RUBRO]]))</f>
        <v>0</v>
      </c>
    </row>
    <row r="804" spans="1:38" s="19" customFormat="1" ht="31.5" customHeight="1">
      <c r="A804" s="47" t="s">
        <v>82</v>
      </c>
      <c r="B804" s="47" t="s">
        <v>42</v>
      </c>
      <c r="C804" s="47" t="str">
        <f>VLOOKUP(PAA_4[[#This Row],[PROYECTO (formulado)2]],[2]PROYECTOS!$G$1:$L$32,6,0)</f>
        <v>SUBGERENCIA DE ALTOS LOGROS Y DEPORTE ASOCIADO</v>
      </c>
      <c r="D804" s="47" t="str">
        <f>+IF(PAA_4[[#This Row],[UNIDAD DE CONTRATACION (formulado)]]="Subgerencia Administrativa y Financiera","FUNCIONAMIENTO","INVERSIÓN")</f>
        <v>INVERSIÓN</v>
      </c>
      <c r="E804" s="48" t="str">
        <f>VLOOKUP(Q804,[2]PROYECTOS!$G$1:$K$32,5,0)</f>
        <v>APOYO_TÉCNICO_Y_PSICOSOCIAL_A_LOS_DEPORTISTAS_DE_ANTIOQUIA</v>
      </c>
      <c r="F804" s="48">
        <f>VLOOKUP(E804,[2]PROYECTOS!$K$1:$M$32,3,0)</f>
        <v>2021003050069</v>
      </c>
      <c r="G804" s="344" t="s">
        <v>239</v>
      </c>
      <c r="H804" s="49" t="str">
        <f>VLOOKUP(Q804,[2]PROYECTOS!$V$1:$W$32,2,0)</f>
        <v>050069</v>
      </c>
      <c r="I804" s="50">
        <v>32235346</v>
      </c>
      <c r="J804" s="51" t="s">
        <v>1749</v>
      </c>
      <c r="K804" s="47" t="str">
        <f ca="1">IF(ISNONTEXT(Y804)=TRUE,"CONTRATADO","NO CONTRATADO")</f>
        <v>CONTRATADO</v>
      </c>
      <c r="L804" s="47" t="s">
        <v>42</v>
      </c>
      <c r="M804" s="47" t="s">
        <v>42</v>
      </c>
      <c r="N804" s="52" t="s">
        <v>240</v>
      </c>
      <c r="O804" s="51" t="e">
        <f>VLOOKUP(N804,[2]!RUBROS[#All],3,0)</f>
        <v>#REF!</v>
      </c>
      <c r="P804" s="53" t="e">
        <f>VLOOKUP(N804,[2]!RUBROS[#All],2,0)</f>
        <v>#REF!</v>
      </c>
      <c r="Q804" s="47" t="str">
        <f>+MID(N804,11,2)</f>
        <v>22</v>
      </c>
      <c r="R804" s="47" t="str">
        <f>+MID(N804,14,8)</f>
        <v>0-205400</v>
      </c>
      <c r="S804" s="54" t="s">
        <v>42</v>
      </c>
      <c r="T804" s="329" t="s">
        <v>42</v>
      </c>
      <c r="U804" s="326" t="e">
        <f ca="1">_xlfn.XLOOKUP(PAA_4[[#This Row],[ITEM]],[2]Contrato!A:A,[2]Contrato!Q:Q,"",0)</f>
        <v>#NAME?</v>
      </c>
      <c r="V804" s="47" t="s">
        <v>95</v>
      </c>
      <c r="W804" s="47" t="s">
        <v>42</v>
      </c>
      <c r="X804" s="47" t="s">
        <v>42</v>
      </c>
      <c r="Y804" s="55" t="e">
        <f ca="1">_xlfn.XLOOKUP(PAA_4[[#This Row],[ITEM]],[2]Contrato!A:A,[2]Contrato!B:B,"",0)</f>
        <v>#NAME?</v>
      </c>
      <c r="Z804" s="47" t="e">
        <f ca="1">_xlfn.XLOOKUP(PAA_4[[#This Row],[ITEM]],[2]Contrato!A:A,[2]Contrato!G:G,"",0)</f>
        <v>#NAME?</v>
      </c>
      <c r="AA804" s="47" t="e">
        <f ca="1">_xlfn.XLOOKUP(PAA_4[[#This Row],[ITEM]],[2]Contrato!A:A,[2]Contrato!T:T,"",0)</f>
        <v>#NAME?</v>
      </c>
      <c r="AB804" s="55" t="e">
        <f ca="1">+MAX(PAA_4[[#This Row],[Comprometido Contrato]],PAA_4[[#This Row],[Comprometido Bolsa]])</f>
        <v>#NAME?</v>
      </c>
      <c r="AC804" s="55" t="str">
        <f ca="1">IFERROR(I804-AB804,"")</f>
        <v/>
      </c>
      <c r="AD804" s="55" t="e">
        <f ca="1">IF(PAA_4[[#This Row],[ESTADO (formulado)]]="NO CONTRATADO",0,MAX(PAA_4[[#This Row],[Pago por Contrato]],PAA_4[[#This Row],[Pago por bolsa]]))</f>
        <v>#NAME?</v>
      </c>
      <c r="AE804" s="55" t="str">
        <f ca="1">+IFERROR(AB804-AD804,"")</f>
        <v/>
      </c>
      <c r="AF804" s="47" t="e">
        <f ca="1">+CONCATENATE(AA804,N804)</f>
        <v>#NAME?</v>
      </c>
      <c r="AG804" s="47">
        <f>IFERROR(_xlfn.NUMBERVALUE(MID(G804,1,8)),"")</f>
        <v>41080101</v>
      </c>
      <c r="AH804" s="54" t="str">
        <f>IF(Q804="22",IF(ISNUMBER(SEARCH("econ",PAA_4[[#This Row],[Actividad3]])),"Económico",IF(ISNUMBER(SEARCH("alim",PAA_4[[#This Row],[Actividad3]])),"Alimentación",IF(ISNUMBER(SEARCH("educ",PAA_4[[#This Row],[Actividad3]])),"Educativo","Técnico"))),0)</f>
        <v>Técnico</v>
      </c>
      <c r="AI804" s="47" t="e" cm="1">
        <f t="array" aca="1" ref="AI804" ca="1">_xlfn.XLOOKUP(PAA_4[[#This Row],[RCP-RUBRO]],[2]!COMPROMISOS_2024[[#All],[concatenado]],[2]!COMPROMISOS_2024[[#All],[Total pagado]],"",0)</f>
        <v>#NAME?</v>
      </c>
      <c r="AJ804" s="56" t="e">
        <f ca="1">IF(PAA_4[[#This Row],[BOLSA]]=0,0,SUMIFS([2]!COMPROMISOS_2024[[#All],[Total pagado]],[2]!COMPROMISOS_2024[[#All],[Bolsa]],PAA_4[[#This Row],[BOLSA]],[2]!COMPROMISOS_2024[[#All],[rubro]],PAA_4[[#This Row],[RCP-RUBRO]]))</f>
        <v>#REF!</v>
      </c>
      <c r="AK804" s="47" t="e" cm="1">
        <f t="array" aca="1" ref="AK804" ca="1">_xlfn.XLOOKUP(PAA_4[[#This Row],[RCP-RUBRO]],[2]!COMPROMISOS_2024[[#All],[concatenado]],[2]!COMPROMISOS_2024[[#All],[Total Comprometido]],"",0)</f>
        <v>#NAME?</v>
      </c>
      <c r="AL804" s="47" t="e">
        <f ca="1">IF(PAA_4[[#This Row],[BOLSA]]=0,0,SUMIFS([2]!COMPROMISOS_2024[[#All],[Total Comprometido]],[2]!COMPROMISOS_2024[[#All],[Bolsa]],PAA_4[[#This Row],[BOLSA]],[2]!COMPROMISOS_2024[[#All],[concatenado]],PAA_4[[#This Row],[RCP-RUBRO]]))</f>
        <v>#REF!</v>
      </c>
    </row>
    <row r="805" spans="1:38" s="19" customFormat="1" ht="31.5" customHeight="1">
      <c r="A805" s="47" t="s">
        <v>82</v>
      </c>
      <c r="B805" s="47" t="s">
        <v>42</v>
      </c>
      <c r="C805" s="47" t="str">
        <f>VLOOKUP(PAA_4[[#This Row],[PROYECTO (formulado)2]],[2]PROYECTOS!$G$1:$L$32,6,0)</f>
        <v>SUBGERENCIA DE ALTOS LOGROS Y DEPORTE ASOCIADO</v>
      </c>
      <c r="D805" s="47" t="str">
        <f>+IF(PAA_4[[#This Row],[UNIDAD DE CONTRATACION (formulado)]]="Subgerencia Administrativa y Financiera","FUNCIONAMIENTO","INVERSIÓN")</f>
        <v>INVERSIÓN</v>
      </c>
      <c r="E805" s="48" t="str">
        <f>VLOOKUP(Q805,[2]PROYECTOS!$G$1:$K$32,5,0)</f>
        <v>APOYO_TÉCNICO_Y_PSICOSOCIAL_A_LOS_DEPORTISTAS_DE_ANTIOQUIA</v>
      </c>
      <c r="F805" s="48">
        <f>VLOOKUP(E805,[2]PROYECTOS!$K$1:$M$32,3,0)</f>
        <v>2021003050069</v>
      </c>
      <c r="G805" s="344" t="s">
        <v>266</v>
      </c>
      <c r="H805" s="49" t="str">
        <f>VLOOKUP(Q805,[2]PROYECTOS!$V$1:$W$32,2,0)</f>
        <v>050069</v>
      </c>
      <c r="I805" s="50">
        <v>6813000</v>
      </c>
      <c r="J805" s="51" t="s">
        <v>1749</v>
      </c>
      <c r="K805" s="47" t="str">
        <f ca="1">IF(ISNONTEXT(Y805)=TRUE,"CONTRATADO","NO CONTRATADO")</f>
        <v>CONTRATADO</v>
      </c>
      <c r="L805" s="47" t="s">
        <v>42</v>
      </c>
      <c r="M805" s="47" t="s">
        <v>42</v>
      </c>
      <c r="N805" s="52" t="s">
        <v>267</v>
      </c>
      <c r="O805" s="51" t="e">
        <f>VLOOKUP(N805,[2]!RUBROS[#All],3,0)</f>
        <v>#REF!</v>
      </c>
      <c r="P805" s="53" t="e">
        <f>VLOOKUP(N805,[2]!RUBROS[#All],2,0)</f>
        <v>#REF!</v>
      </c>
      <c r="Q805" s="47" t="str">
        <f>+MID(N805,11,2)</f>
        <v>22</v>
      </c>
      <c r="R805" s="47" t="str">
        <f>+MID(N805,14,8)</f>
        <v>4-101124</v>
      </c>
      <c r="S805" s="54" t="s">
        <v>42</v>
      </c>
      <c r="T805" s="329" t="s">
        <v>42</v>
      </c>
      <c r="U805" s="326" t="e">
        <f ca="1">_xlfn.XLOOKUP(PAA_4[[#This Row],[ITEM]],[2]Contrato!A:A,[2]Contrato!Q:Q,"",0)</f>
        <v>#NAME?</v>
      </c>
      <c r="V805" s="47" t="s">
        <v>95</v>
      </c>
      <c r="W805" s="47" t="s">
        <v>42</v>
      </c>
      <c r="X805" s="47" t="s">
        <v>42</v>
      </c>
      <c r="Y805" s="55" t="e">
        <f ca="1">_xlfn.XLOOKUP(PAA_4[[#This Row],[ITEM]],[2]Contrato!A:A,[2]Contrato!B:B,"",0)</f>
        <v>#NAME?</v>
      </c>
      <c r="Z805" s="47" t="e">
        <f ca="1">_xlfn.XLOOKUP(PAA_4[[#This Row],[ITEM]],[2]Contrato!A:A,[2]Contrato!G:G,"",0)</f>
        <v>#NAME?</v>
      </c>
      <c r="AA805" s="47" t="e">
        <f ca="1">_xlfn.XLOOKUP(PAA_4[[#This Row],[ITEM]],[2]Contrato!A:A,[2]Contrato!T:T,"",0)</f>
        <v>#NAME?</v>
      </c>
      <c r="AB805" s="55" t="e">
        <f ca="1">+MAX(PAA_4[[#This Row],[Comprometido Contrato]],PAA_4[[#This Row],[Comprometido Bolsa]])</f>
        <v>#NAME?</v>
      </c>
      <c r="AC805" s="55" t="str">
        <f ca="1">IFERROR(I805-AB805,"")</f>
        <v/>
      </c>
      <c r="AD805" s="55" t="e">
        <f ca="1">IF(PAA_4[[#This Row],[ESTADO (formulado)]]="NO CONTRATADO",0,MAX(PAA_4[[#This Row],[Pago por Contrato]],PAA_4[[#This Row],[Pago por bolsa]]))</f>
        <v>#NAME?</v>
      </c>
      <c r="AE805" s="55" t="str">
        <f ca="1">+IFERROR(AB805-AD805,"")</f>
        <v/>
      </c>
      <c r="AF805" s="47" t="e">
        <f ca="1">+CONCATENATE(AA805,N805)</f>
        <v>#NAME?</v>
      </c>
      <c r="AG805" s="47">
        <f>IFERROR(_xlfn.NUMBERVALUE(MID(G805,1,8)),"")</f>
        <v>41080101</v>
      </c>
      <c r="AH805" s="54" t="str">
        <f>IF(Q805="22",IF(ISNUMBER(SEARCH("econ",PAA_4[[#This Row],[Actividad3]])),"Económico",IF(ISNUMBER(SEARCH("alim",PAA_4[[#This Row],[Actividad3]])),"Alimentación",IF(ISNUMBER(SEARCH("educ",PAA_4[[#This Row],[Actividad3]])),"Educativo","Técnico"))),0)</f>
        <v>Técnico</v>
      </c>
      <c r="AI805" s="47" t="e" cm="1">
        <f t="array" aca="1" ref="AI805" ca="1">_xlfn.XLOOKUP(PAA_4[[#This Row],[RCP-RUBRO]],[2]!COMPROMISOS_2024[[#All],[concatenado]],[2]!COMPROMISOS_2024[[#All],[Total pagado]],"",0)</f>
        <v>#NAME?</v>
      </c>
      <c r="AJ805" s="56" t="e">
        <f ca="1">IF(PAA_4[[#This Row],[BOLSA]]=0,0,SUMIFS([2]!COMPROMISOS_2024[[#All],[Total pagado]],[2]!COMPROMISOS_2024[[#All],[Bolsa]],PAA_4[[#This Row],[BOLSA]],[2]!COMPROMISOS_2024[[#All],[rubro]],PAA_4[[#This Row],[RCP-RUBRO]]))</f>
        <v>#REF!</v>
      </c>
      <c r="AK805" s="47" t="e" cm="1">
        <f t="array" aca="1" ref="AK805" ca="1">_xlfn.XLOOKUP(PAA_4[[#This Row],[RCP-RUBRO]],[2]!COMPROMISOS_2024[[#All],[concatenado]],[2]!COMPROMISOS_2024[[#All],[Total Comprometido]],"",0)</f>
        <v>#NAME?</v>
      </c>
      <c r="AL805" s="47" t="e">
        <f ca="1">IF(PAA_4[[#This Row],[BOLSA]]=0,0,SUMIFS([2]!COMPROMISOS_2024[[#All],[Total Comprometido]],[2]!COMPROMISOS_2024[[#All],[Bolsa]],PAA_4[[#This Row],[BOLSA]],[2]!COMPROMISOS_2024[[#All],[concatenado]],PAA_4[[#This Row],[RCP-RUBRO]]))</f>
        <v>#REF!</v>
      </c>
    </row>
    <row r="806" spans="1:38" s="19" customFormat="1" ht="31.5" customHeight="1">
      <c r="A806" s="47" t="s">
        <v>82</v>
      </c>
      <c r="B806" s="47" t="s">
        <v>42</v>
      </c>
      <c r="C806" s="47" t="str">
        <f>VLOOKUP(PAA_4[[#This Row],[PROYECTO (formulado)2]],[2]PROYECTOS!$G$1:$L$32,6,0)</f>
        <v>SUBGERENCIA DE ALTOS LOGROS Y DEPORTE ASOCIADO</v>
      </c>
      <c r="D806" s="47" t="str">
        <f>+IF(PAA_4[[#This Row],[UNIDAD DE CONTRATACION (formulado)]]="Subgerencia Administrativa y Financiera","FUNCIONAMIENTO","INVERSIÓN")</f>
        <v>INVERSIÓN</v>
      </c>
      <c r="E806" s="48" t="str">
        <f>VLOOKUP(Q806,[2]PROYECTOS!$G$1:$K$32,5,0)</f>
        <v>Apoyo y subvención para satisfacer necesidades propias del proceso de preparación y competencia de los Atletas y Para-atletas de alto rendimiento del departamento de Antioquia</v>
      </c>
      <c r="F806" s="48">
        <f>VLOOKUP(E806,[2]PROYECTOS!$K$1:$M$32,3,0)</f>
        <v>2024003050085</v>
      </c>
      <c r="G806" s="344" t="s">
        <v>1750</v>
      </c>
      <c r="H806" s="49" t="str">
        <f>VLOOKUP(Q806,[2]PROYECTOS!$V$1:$W$32,2,0)</f>
        <v>050077</v>
      </c>
      <c r="I806" s="50">
        <v>5185247</v>
      </c>
      <c r="J806" s="51" t="s">
        <v>1749</v>
      </c>
      <c r="K806" s="47" t="str">
        <f ca="1">IF(ISNONTEXT(Y806)=TRUE,"CONTRATADO","NO CONTRATADO")</f>
        <v>CONTRATADO</v>
      </c>
      <c r="L806" s="47" t="s">
        <v>42</v>
      </c>
      <c r="M806" s="47" t="s">
        <v>42</v>
      </c>
      <c r="N806" s="52" t="s">
        <v>1751</v>
      </c>
      <c r="O806" s="51" t="e">
        <f>VLOOKUP(N806,[2]!RUBROS[#All],3,0)</f>
        <v>#REF!</v>
      </c>
      <c r="P806" s="53" t="e">
        <f>VLOOKUP(N806,[2]!RUBROS[#All],2,0)</f>
        <v>#REF!</v>
      </c>
      <c r="Q806" s="47" t="str">
        <f>+MID(N806,11,2)</f>
        <v>85</v>
      </c>
      <c r="R806" s="47" t="str">
        <f>+MID(N806,14,8)</f>
        <v>0-101024</v>
      </c>
      <c r="S806" s="54" t="s">
        <v>42</v>
      </c>
      <c r="T806" s="329" t="s">
        <v>42</v>
      </c>
      <c r="U806" s="326" t="e">
        <f ca="1">_xlfn.XLOOKUP(PAA_4[[#This Row],[ITEM]],[2]Contrato!A:A,[2]Contrato!Q:Q,"",0)</f>
        <v>#NAME?</v>
      </c>
      <c r="V806" s="47" t="s">
        <v>95</v>
      </c>
      <c r="W806" s="47" t="s">
        <v>42</v>
      </c>
      <c r="X806" s="47" t="s">
        <v>42</v>
      </c>
      <c r="Y806" s="55" t="e">
        <f ca="1">_xlfn.XLOOKUP(PAA_4[[#This Row],[ITEM]],[2]Contrato!A:A,[2]Contrato!B:B,"",0)</f>
        <v>#NAME?</v>
      </c>
      <c r="Z806" s="47" t="e">
        <f ca="1">_xlfn.XLOOKUP(PAA_4[[#This Row],[ITEM]],[2]Contrato!A:A,[2]Contrato!G:G,"",0)</f>
        <v>#NAME?</v>
      </c>
      <c r="AA806" s="47" t="e">
        <f ca="1">_xlfn.XLOOKUP(PAA_4[[#This Row],[ITEM]],[2]Contrato!A:A,[2]Contrato!T:T,"",0)</f>
        <v>#NAME?</v>
      </c>
      <c r="AB806" s="55" t="e">
        <f ca="1">+MAX(PAA_4[[#This Row],[Comprometido Contrato]],PAA_4[[#This Row],[Comprometido Bolsa]])</f>
        <v>#NAME?</v>
      </c>
      <c r="AC806" s="55" t="str">
        <f ca="1">IFERROR(I806-AB806,"")</f>
        <v/>
      </c>
      <c r="AD806" s="55" t="e">
        <f ca="1">IF(PAA_4[[#This Row],[ESTADO (formulado)]]="NO CONTRATADO",0,MAX(PAA_4[[#This Row],[Pago por Contrato]],PAA_4[[#This Row],[Pago por bolsa]]))</f>
        <v>#NAME?</v>
      </c>
      <c r="AE806" s="55" t="str">
        <f ca="1">+IFERROR(AB806-AD806,"")</f>
        <v/>
      </c>
      <c r="AF806" s="47" t="e">
        <f ca="1">+CONCATENATE(AA806,N806)</f>
        <v>#NAME?</v>
      </c>
      <c r="AG806" s="47">
        <f>IFERROR(_xlfn.NUMBERVALUE(MID(G806,1,8)),"")</f>
        <v>52010803</v>
      </c>
      <c r="AH806" s="54">
        <f>IF(Q806="22",IF(ISNUMBER(SEARCH("econ",PAA_4[[#This Row],[Actividad3]])),"Económico",IF(ISNUMBER(SEARCH("alim",PAA_4[[#This Row],[Actividad3]])),"Alimentación",IF(ISNUMBER(SEARCH("educ",PAA_4[[#This Row],[Actividad3]])),"Educativo","Técnico"))),0)</f>
        <v>0</v>
      </c>
      <c r="AI806" s="47" t="e" cm="1">
        <f t="array" aca="1" ref="AI806" ca="1">_xlfn.XLOOKUP(PAA_4[[#This Row],[RCP-RUBRO]],[2]!COMPROMISOS_2024[[#All],[concatenado]],[2]!COMPROMISOS_2024[[#All],[Total pagado]],"",0)</f>
        <v>#NAME?</v>
      </c>
      <c r="AJ806" s="56">
        <f>IF(PAA_4[[#This Row],[BOLSA]]=0,0,SUMIFS([2]!COMPROMISOS_2024[[#All],[Total pagado]],[2]!COMPROMISOS_2024[[#All],[Bolsa]],PAA_4[[#This Row],[BOLSA]],[2]!COMPROMISOS_2024[[#All],[rubro]],PAA_4[[#This Row],[RCP-RUBRO]]))</f>
        <v>0</v>
      </c>
      <c r="AK806" s="47" t="e" cm="1">
        <f t="array" aca="1" ref="AK806" ca="1">_xlfn.XLOOKUP(PAA_4[[#This Row],[RCP-RUBRO]],[2]!COMPROMISOS_2024[[#All],[concatenado]],[2]!COMPROMISOS_2024[[#All],[Total Comprometido]],"",0)</f>
        <v>#NAME?</v>
      </c>
      <c r="AL806" s="47">
        <f>IF(PAA_4[[#This Row],[BOLSA]]=0,0,SUMIFS([2]!COMPROMISOS_2024[[#All],[Total Comprometido]],[2]!COMPROMISOS_2024[[#All],[Bolsa]],PAA_4[[#This Row],[BOLSA]],[2]!COMPROMISOS_2024[[#All],[concatenado]],PAA_4[[#This Row],[RCP-RUBRO]]))</f>
        <v>0</v>
      </c>
    </row>
    <row r="807" spans="1:38" s="19" customFormat="1" ht="31.5" customHeight="1">
      <c r="A807" s="47">
        <v>674</v>
      </c>
      <c r="B807" s="47">
        <v>80111600</v>
      </c>
      <c r="C807" s="47" t="str">
        <f>VLOOKUP(PAA_4[[#This Row],[PROYECTO (formulado)2]],[2]PROYECTOS!$G$1:$L$32,6,0)</f>
        <v>SUBGERENCIA DE ALTOS LOGROS Y DEPORTE ASOCIADO</v>
      </c>
      <c r="D807" s="47" t="str">
        <f>+IF(PAA_4[[#This Row],[UNIDAD DE CONTRATACION (formulado)]]="Subgerencia Administrativa y Financiera","FUNCIONAMIENTO","INVERSIÓN")</f>
        <v>INVERSIÓN</v>
      </c>
      <c r="E807" s="48" t="str">
        <f>VLOOKUP(Q807,[2]PROYECTOS!$G$1:$K$32,5,0)</f>
        <v>APOYO_TÉCNICO_Y_PSICOSOCIAL_A_LOS_DEPORTISTAS_DE_ANTIOQUIA</v>
      </c>
      <c r="F807" s="48">
        <f>VLOOKUP(E807,[2]PROYECTOS!$K$1:$M$32,3,0)</f>
        <v>2021003050069</v>
      </c>
      <c r="G807" s="49" t="s">
        <v>239</v>
      </c>
      <c r="H807" s="49" t="str">
        <f>VLOOKUP(Q807,[2]PROYECTOS!$V$1:$W$32,2,0)</f>
        <v>050069</v>
      </c>
      <c r="I807" s="50">
        <f>36980651-1963574-32235346</f>
        <v>2781731</v>
      </c>
      <c r="J807" s="51" t="s">
        <v>1634</v>
      </c>
      <c r="K807" s="47" t="str">
        <f t="shared" ref="K807:K817" ca="1" si="270">IF(ISNONTEXT(Y807)=TRUE,"CONTRATADO","NO CONTRATADO")</f>
        <v>CONTRATADO</v>
      </c>
      <c r="L807" s="47" t="s">
        <v>94</v>
      </c>
      <c r="M807" s="47" t="s">
        <v>1297</v>
      </c>
      <c r="N807" s="52" t="s">
        <v>240</v>
      </c>
      <c r="O807" s="51" t="e">
        <f>VLOOKUP(N807,[2]!RUBROS[#All],3,0)</f>
        <v>#REF!</v>
      </c>
      <c r="P807" s="53" t="e">
        <f>VLOOKUP(N807,[2]!RUBROS[#All],2,0)</f>
        <v>#REF!</v>
      </c>
      <c r="Q807" s="47" t="str">
        <f t="shared" ref="Q807:Q811" si="271">+MID(N807,11,2)</f>
        <v>22</v>
      </c>
      <c r="R807" s="47" t="str">
        <f t="shared" ref="R807:R817" si="272">+MID(N807,14,8)</f>
        <v>0-205400</v>
      </c>
      <c r="S807" s="350">
        <f>210+15</f>
        <v>225</v>
      </c>
      <c r="T807" s="59" t="s">
        <v>120</v>
      </c>
      <c r="U807" s="326" t="e">
        <f ca="1">_xlfn.XLOOKUP(PAA_4[[#This Row],[ITEM]],[2]Contrato!A:A,[2]Contrato!Q:Q,"",0)</f>
        <v>#NAME?</v>
      </c>
      <c r="V807" s="47" t="s">
        <v>47</v>
      </c>
      <c r="W807" s="65" t="s">
        <v>122</v>
      </c>
      <c r="X807" s="65" t="s">
        <v>242</v>
      </c>
      <c r="Y807" s="55" t="e">
        <f ca="1">_xlfn.XLOOKUP(PAA_4[[#This Row],[ITEM]],[2]Contrato!A:A,[2]Contrato!B:B,"",0)</f>
        <v>#NAME?</v>
      </c>
      <c r="Z807" s="47" t="e">
        <f ca="1">_xlfn.XLOOKUP(PAA_4[[#This Row],[ITEM]],[2]Contrato!A:A,[2]Contrato!G:G,"",0)</f>
        <v>#NAME?</v>
      </c>
      <c r="AA807" s="47" t="e">
        <f ca="1">_xlfn.XLOOKUP(PAA_4[[#This Row],[ITEM]],[2]Contrato!A:A,[2]Contrato!T:T,"",0)</f>
        <v>#NAME?</v>
      </c>
      <c r="AB807" s="55" t="e">
        <f ca="1">+MAX(PAA_4[[#This Row],[Comprometido Contrato]],PAA_4[[#This Row],[Comprometido Bolsa]])</f>
        <v>#NAME?</v>
      </c>
      <c r="AC807" s="55" t="str">
        <f t="shared" ref="AC807:AC817" ca="1" si="273">IFERROR(I807-AB807,"")</f>
        <v/>
      </c>
      <c r="AD807" s="55" t="e">
        <f ca="1">IF(PAA_4[[#This Row],[ESTADO (formulado)]]="NO CONTRATADO",0,MAX(PAA_4[[#This Row],[Pago por Contrato]],PAA_4[[#This Row],[Pago por bolsa]]))</f>
        <v>#NAME?</v>
      </c>
      <c r="AE807" s="55" t="str">
        <f t="shared" ref="AE807:AE817" ca="1" si="274">+IFERROR(AB807-AD807,"")</f>
        <v/>
      </c>
      <c r="AF807" s="47" t="e">
        <f t="shared" ref="AF807:AF817" ca="1" si="275">+CONCATENATE(AA807,N807)</f>
        <v>#NAME?</v>
      </c>
      <c r="AG807" s="47">
        <f t="shared" ref="AG807:AG817" si="276">IFERROR(_xlfn.NUMBERVALUE(MID(G807,1,8)),"")</f>
        <v>41080101</v>
      </c>
      <c r="AH807" s="54" t="str">
        <f>IF(Q807="22",IF(ISNUMBER(SEARCH("econ",PAA_4[[#This Row],[Actividad3]])),"Económico",IF(ISNUMBER(SEARCH("alim",PAA_4[[#This Row],[Actividad3]])),"Alimentación",IF(ISNUMBER(SEARCH("educ",PAA_4[[#This Row],[Actividad3]])),"Educativo","Técnico"))),0)</f>
        <v>Técnico</v>
      </c>
      <c r="AI807" s="47" t="e" cm="1">
        <f t="array" aca="1" ref="AI807" ca="1">_xlfn.XLOOKUP(PAA_4[[#This Row],[RCP-RUBRO]],[2]!COMPROMISOS_2024[[#All],[concatenado]],[2]!COMPROMISOS_2024[[#All],[Total pagado]],"",0)</f>
        <v>#NAME?</v>
      </c>
      <c r="AJ807" s="56" t="e">
        <f ca="1">IF(PAA_4[[#This Row],[BOLSA]]=0,0,SUMIFS([2]!COMPROMISOS_2024[[#All],[Total pagado]],[2]!COMPROMISOS_2024[[#All],[Bolsa]],PAA_4[[#This Row],[BOLSA]],[2]!COMPROMISOS_2024[[#All],[rubro]],PAA_4[[#This Row],[RCP-RUBRO]]))</f>
        <v>#REF!</v>
      </c>
      <c r="AK807" s="47" t="e" cm="1">
        <f t="array" aca="1" ref="AK807" ca="1">_xlfn.XLOOKUP(PAA_4[[#This Row],[RCP-RUBRO]],[2]!COMPROMISOS_2024[[#All],[concatenado]],[2]!COMPROMISOS_2024[[#All],[Total Comprometido]],"",0)</f>
        <v>#NAME?</v>
      </c>
      <c r="AL807" s="47" t="e">
        <f ca="1">IF(PAA_4[[#This Row],[BOLSA]]=0,0,SUMIFS([2]!COMPROMISOS_2024[[#All],[Total Comprometido]],[2]!COMPROMISOS_2024[[#All],[Bolsa]],PAA_4[[#This Row],[BOLSA]],[2]!COMPROMISOS_2024[[#All],[concatenado]],PAA_4[[#This Row],[RCP-RUBRO]]))</f>
        <v>#REF!</v>
      </c>
    </row>
    <row r="808" spans="1:38" s="19" customFormat="1" ht="31.5" customHeight="1">
      <c r="A808" s="47">
        <v>675</v>
      </c>
      <c r="B808" s="47">
        <v>80111600</v>
      </c>
      <c r="C808" s="47" t="str">
        <f>VLOOKUP(PAA_4[[#This Row],[PROYECTO (formulado)2]],[2]PROYECTOS!$G$1:$L$32,6,0)</f>
        <v>SUBGERENCIA DE ALTOS LOGROS Y DEPORTE ASOCIADO</v>
      </c>
      <c r="D808" s="47" t="str">
        <f>+IF(PAA_4[[#This Row],[UNIDAD DE CONTRATACION (formulado)]]="Subgerencia Administrativa y Financiera","FUNCIONAMIENTO","INVERSIÓN")</f>
        <v>INVERSIÓN</v>
      </c>
      <c r="E808" s="48" t="str">
        <f>VLOOKUP(Q808,[2]PROYECTOS!$G$1:$K$32,5,0)</f>
        <v>APOYO_TÉCNICO_Y_PSICOSOCIAL_A_LOS_DEPORTISTAS_DE_ANTIOQUIA</v>
      </c>
      <c r="F808" s="48">
        <f>VLOOKUP(E808,[2]PROYECTOS!$K$1:$M$32,3,0)</f>
        <v>2021003050069</v>
      </c>
      <c r="G808" s="49" t="s">
        <v>239</v>
      </c>
      <c r="H808" s="49" t="str">
        <f>VLOOKUP(Q808,[2]PROYECTOS!$V$1:$W$32,2,0)</f>
        <v>050069</v>
      </c>
      <c r="I808" s="50">
        <v>0</v>
      </c>
      <c r="J808" s="51" t="s">
        <v>42</v>
      </c>
      <c r="K808" s="47" t="str">
        <f t="shared" ca="1" si="270"/>
        <v>CONTRATADO</v>
      </c>
      <c r="L808" s="47" t="s">
        <v>94</v>
      </c>
      <c r="M808" s="47" t="s">
        <v>1297</v>
      </c>
      <c r="N808" s="52" t="s">
        <v>240</v>
      </c>
      <c r="O808" s="51" t="e">
        <f>VLOOKUP(N808,[2]!RUBROS[#All],3,0)</f>
        <v>#REF!</v>
      </c>
      <c r="P808" s="53" t="e">
        <f>VLOOKUP(N808,[2]!RUBROS[#All],2,0)</f>
        <v>#REF!</v>
      </c>
      <c r="Q808" s="47" t="str">
        <f t="shared" si="271"/>
        <v>22</v>
      </c>
      <c r="R808" s="47" t="str">
        <f t="shared" si="272"/>
        <v>0-205400</v>
      </c>
      <c r="S808" s="65">
        <f>210+15</f>
        <v>225</v>
      </c>
      <c r="T808" s="59" t="s">
        <v>120</v>
      </c>
      <c r="U808" s="326" t="e">
        <f ca="1">_xlfn.XLOOKUP(PAA_4[[#This Row],[ITEM]],[2]Contrato!A:A,[2]Contrato!Q:Q,"",0)</f>
        <v>#NAME?</v>
      </c>
      <c r="V808" s="47" t="s">
        <v>47</v>
      </c>
      <c r="W808" s="65" t="s">
        <v>122</v>
      </c>
      <c r="X808" s="65" t="s">
        <v>242</v>
      </c>
      <c r="Y808" s="55" t="e">
        <f ca="1">_xlfn.XLOOKUP(PAA_4[[#This Row],[ITEM]],[2]Contrato!A:A,[2]Contrato!B:B,"",0)</f>
        <v>#NAME?</v>
      </c>
      <c r="Z808" s="47" t="e">
        <f ca="1">_xlfn.XLOOKUP(PAA_4[[#This Row],[ITEM]],[2]Contrato!A:A,[2]Contrato!G:G,"",0)</f>
        <v>#NAME?</v>
      </c>
      <c r="AA808" s="47" t="e">
        <f ca="1">_xlfn.XLOOKUP(PAA_4[[#This Row],[ITEM]],[2]Contrato!A:A,[2]Contrato!T:T,"",0)</f>
        <v>#NAME?</v>
      </c>
      <c r="AB808" s="55" t="e">
        <f ca="1">+MAX(PAA_4[[#This Row],[Comprometido Contrato]],PAA_4[[#This Row],[Comprometido Bolsa]])</f>
        <v>#NAME?</v>
      </c>
      <c r="AC808" s="55" t="str">
        <f t="shared" ca="1" si="273"/>
        <v/>
      </c>
      <c r="AD808" s="55" t="e">
        <f ca="1">IF(PAA_4[[#This Row],[ESTADO (formulado)]]="NO CONTRATADO",0,MAX(PAA_4[[#This Row],[Pago por Contrato]],PAA_4[[#This Row],[Pago por bolsa]]))</f>
        <v>#NAME?</v>
      </c>
      <c r="AE808" s="55" t="str">
        <f t="shared" ca="1" si="274"/>
        <v/>
      </c>
      <c r="AF808" s="47" t="e">
        <f t="shared" ca="1" si="275"/>
        <v>#NAME?</v>
      </c>
      <c r="AG808" s="47">
        <f t="shared" si="276"/>
        <v>41080101</v>
      </c>
      <c r="AH808" s="54" t="str">
        <f>IF(Q808="22",IF(ISNUMBER(SEARCH("econ",PAA_4[[#This Row],[Actividad3]])),"Económico",IF(ISNUMBER(SEARCH("alim",PAA_4[[#This Row],[Actividad3]])),"Alimentación",IF(ISNUMBER(SEARCH("educ",PAA_4[[#This Row],[Actividad3]])),"Educativo","Técnico"))),0)</f>
        <v>Técnico</v>
      </c>
      <c r="AI808" s="47" t="e" cm="1">
        <f t="array" aca="1" ref="AI808" ca="1">_xlfn.XLOOKUP(PAA_4[[#This Row],[RCP-RUBRO]],[2]!COMPROMISOS_2024[[#All],[concatenado]],[2]!COMPROMISOS_2024[[#All],[Total pagado]],"",0)</f>
        <v>#NAME?</v>
      </c>
      <c r="AJ808" s="56" t="e">
        <f ca="1">IF(PAA_4[[#This Row],[BOLSA]]=0,0,SUMIFS([2]!COMPROMISOS_2024[[#All],[Total pagado]],[2]!COMPROMISOS_2024[[#All],[Bolsa]],PAA_4[[#This Row],[BOLSA]],[2]!COMPROMISOS_2024[[#All],[rubro]],PAA_4[[#This Row],[RCP-RUBRO]]))</f>
        <v>#REF!</v>
      </c>
      <c r="AK808" s="47" t="e" cm="1">
        <f t="array" aca="1" ref="AK808" ca="1">_xlfn.XLOOKUP(PAA_4[[#This Row],[RCP-RUBRO]],[2]!COMPROMISOS_2024[[#All],[concatenado]],[2]!COMPROMISOS_2024[[#All],[Total Comprometido]],"",0)</f>
        <v>#NAME?</v>
      </c>
      <c r="AL808" s="47" t="e">
        <f ca="1">IF(PAA_4[[#This Row],[BOLSA]]=0,0,SUMIFS([2]!COMPROMISOS_2024[[#All],[Total Comprometido]],[2]!COMPROMISOS_2024[[#All],[Bolsa]],PAA_4[[#This Row],[BOLSA]],[2]!COMPROMISOS_2024[[#All],[concatenado]],PAA_4[[#This Row],[RCP-RUBRO]]))</f>
        <v>#REF!</v>
      </c>
    </row>
    <row r="809" spans="1:38" s="19" customFormat="1" ht="31.5" customHeight="1">
      <c r="A809" s="47">
        <v>676</v>
      </c>
      <c r="B809" s="47">
        <v>80111600</v>
      </c>
      <c r="C809" s="47" t="str">
        <f>VLOOKUP(PAA_4[[#This Row],[PROYECTO (formulado)2]],[2]PROYECTOS!$G$1:$L$32,6,0)</f>
        <v>SUBGERENCIA DE ALTOS LOGROS Y DEPORTE ASOCIADO</v>
      </c>
      <c r="D809" s="47" t="str">
        <f>+IF(PAA_4[[#This Row],[UNIDAD DE CONTRATACION (formulado)]]="Subgerencia Administrativa y Financiera","FUNCIONAMIENTO","INVERSIÓN")</f>
        <v>INVERSIÓN</v>
      </c>
      <c r="E809" s="48" t="str">
        <f>VLOOKUP(Q809,[2]PROYECTOS!$G$1:$K$32,5,0)</f>
        <v>APOYO_TÉCNICO_Y_PSICOSOCIAL_A_LOS_DEPORTISTAS_DE_ANTIOQUIA</v>
      </c>
      <c r="F809" s="48">
        <f>VLOOKUP(E809,[2]PROYECTOS!$K$1:$M$32,3,0)</f>
        <v>2021003050069</v>
      </c>
      <c r="G809" s="49" t="s">
        <v>239</v>
      </c>
      <c r="H809" s="49" t="str">
        <f>VLOOKUP(Q809,[2]PROYECTOS!$V$1:$W$32,2,0)</f>
        <v>050069</v>
      </c>
      <c r="I809" s="50">
        <f>44681322-2372459</f>
        <v>42308863</v>
      </c>
      <c r="J809" s="51" t="s">
        <v>1752</v>
      </c>
      <c r="K809" s="47" t="str">
        <f t="shared" ca="1" si="270"/>
        <v>CONTRATADO</v>
      </c>
      <c r="L809" s="47" t="s">
        <v>94</v>
      </c>
      <c r="M809" s="47" t="s">
        <v>1297</v>
      </c>
      <c r="N809" s="52" t="s">
        <v>240</v>
      </c>
      <c r="O809" s="51" t="e">
        <f>VLOOKUP(N809,[2]!RUBROS[#All],3,0)</f>
        <v>#REF!</v>
      </c>
      <c r="P809" s="53" t="e">
        <f>VLOOKUP(N809,[2]!RUBROS[#All],2,0)</f>
        <v>#REF!</v>
      </c>
      <c r="Q809" s="47" t="str">
        <f t="shared" si="271"/>
        <v>22</v>
      </c>
      <c r="R809" s="47" t="str">
        <f t="shared" si="272"/>
        <v>0-205400</v>
      </c>
      <c r="S809" s="65">
        <f>210+15</f>
        <v>225</v>
      </c>
      <c r="T809" s="59" t="s">
        <v>120</v>
      </c>
      <c r="U809" s="326" t="e">
        <f ca="1">_xlfn.XLOOKUP(PAA_4[[#This Row],[ITEM]],[2]Contrato!A:A,[2]Contrato!Q:Q,"",0)</f>
        <v>#NAME?</v>
      </c>
      <c r="V809" s="47" t="s">
        <v>47</v>
      </c>
      <c r="W809" s="65" t="s">
        <v>122</v>
      </c>
      <c r="X809" s="65" t="s">
        <v>242</v>
      </c>
      <c r="Y809" s="55" t="e">
        <f ca="1">_xlfn.XLOOKUP(PAA_4[[#This Row],[ITEM]],[2]Contrato!A:A,[2]Contrato!B:B,"",0)</f>
        <v>#NAME?</v>
      </c>
      <c r="Z809" s="47" t="e">
        <f ca="1">_xlfn.XLOOKUP(PAA_4[[#This Row],[ITEM]],[2]Contrato!A:A,[2]Contrato!G:G,"",0)</f>
        <v>#NAME?</v>
      </c>
      <c r="AA809" s="47" t="e">
        <f ca="1">_xlfn.XLOOKUP(PAA_4[[#This Row],[ITEM]],[2]Contrato!A:A,[2]Contrato!T:T,"",0)</f>
        <v>#NAME?</v>
      </c>
      <c r="AB809" s="55" t="e">
        <f ca="1">+MAX(PAA_4[[#This Row],[Comprometido Contrato]],PAA_4[[#This Row],[Comprometido Bolsa]])</f>
        <v>#NAME?</v>
      </c>
      <c r="AC809" s="55" t="str">
        <f t="shared" ca="1" si="273"/>
        <v/>
      </c>
      <c r="AD809" s="55" t="e">
        <f ca="1">IF(PAA_4[[#This Row],[ESTADO (formulado)]]="NO CONTRATADO",0,MAX(PAA_4[[#This Row],[Pago por Contrato]],PAA_4[[#This Row],[Pago por bolsa]]))</f>
        <v>#NAME?</v>
      </c>
      <c r="AE809" s="55" t="str">
        <f t="shared" ca="1" si="274"/>
        <v/>
      </c>
      <c r="AF809" s="47" t="e">
        <f t="shared" ca="1" si="275"/>
        <v>#NAME?</v>
      </c>
      <c r="AG809" s="47">
        <f t="shared" si="276"/>
        <v>41080101</v>
      </c>
      <c r="AH809" s="54" t="str">
        <f>IF(Q809="22",IF(ISNUMBER(SEARCH("econ",PAA_4[[#This Row],[Actividad3]])),"Económico",IF(ISNUMBER(SEARCH("alim",PAA_4[[#This Row],[Actividad3]])),"Alimentación",IF(ISNUMBER(SEARCH("educ",PAA_4[[#This Row],[Actividad3]])),"Educativo","Técnico"))),0)</f>
        <v>Técnico</v>
      </c>
      <c r="AI809" s="47" t="e" cm="1">
        <f t="array" aca="1" ref="AI809" ca="1">_xlfn.XLOOKUP(PAA_4[[#This Row],[RCP-RUBRO]],[2]!COMPROMISOS_2024[[#All],[concatenado]],[2]!COMPROMISOS_2024[[#All],[Total pagado]],"",0)</f>
        <v>#NAME?</v>
      </c>
      <c r="AJ809" s="56" t="e">
        <f ca="1">IF(PAA_4[[#This Row],[BOLSA]]=0,0,SUMIFS([2]!COMPROMISOS_2024[[#All],[Total pagado]],[2]!COMPROMISOS_2024[[#All],[Bolsa]],PAA_4[[#This Row],[BOLSA]],[2]!COMPROMISOS_2024[[#All],[rubro]],PAA_4[[#This Row],[RCP-RUBRO]]))</f>
        <v>#REF!</v>
      </c>
      <c r="AK809" s="47" t="e" cm="1">
        <f t="array" aca="1" ref="AK809" ca="1">_xlfn.XLOOKUP(PAA_4[[#This Row],[RCP-RUBRO]],[2]!COMPROMISOS_2024[[#All],[concatenado]],[2]!COMPROMISOS_2024[[#All],[Total Comprometido]],"",0)</f>
        <v>#NAME?</v>
      </c>
      <c r="AL809" s="47" t="e">
        <f ca="1">IF(PAA_4[[#This Row],[BOLSA]]=0,0,SUMIFS([2]!COMPROMISOS_2024[[#All],[Total Comprometido]],[2]!COMPROMISOS_2024[[#All],[Bolsa]],PAA_4[[#This Row],[BOLSA]],[2]!COMPROMISOS_2024[[#All],[concatenado]],PAA_4[[#This Row],[RCP-RUBRO]]))</f>
        <v>#REF!</v>
      </c>
    </row>
    <row r="810" spans="1:38" s="19" customFormat="1" ht="31.5" customHeight="1">
      <c r="A810" s="47">
        <v>677</v>
      </c>
      <c r="B810" s="47">
        <v>80111600</v>
      </c>
      <c r="C810" s="47" t="str">
        <f>VLOOKUP(PAA_4[[#This Row],[PROYECTO (formulado)2]],[2]PROYECTOS!$G$1:$L$32,6,0)</f>
        <v>SUBGERENCIA DE ALTOS LOGROS Y DEPORTE ASOCIADO</v>
      </c>
      <c r="D810" s="47" t="str">
        <f>+IF(PAA_4[[#This Row],[UNIDAD DE CONTRATACION (formulado)]]="Subgerencia Administrativa y Financiera","FUNCIONAMIENTO","INVERSIÓN")</f>
        <v>INVERSIÓN</v>
      </c>
      <c r="E810" s="48" t="str">
        <f>VLOOKUP(Q810,[2]PROYECTOS!$G$1:$K$32,5,0)</f>
        <v>APOYO_TÉCNICO_Y_PSICOSOCIAL_A_LOS_DEPORTISTAS_DE_ANTIOQUIA</v>
      </c>
      <c r="F810" s="48">
        <f>VLOOKUP(E810,[2]PROYECTOS!$K$1:$M$32,3,0)</f>
        <v>2021003050069</v>
      </c>
      <c r="G810" s="49" t="s">
        <v>239</v>
      </c>
      <c r="H810" s="49" t="str">
        <f>VLOOKUP(Q810,[2]PROYECTOS!$V$1:$W$32,2,0)</f>
        <v>050069</v>
      </c>
      <c r="I810" s="50">
        <f>36980651-1963574</f>
        <v>35017077</v>
      </c>
      <c r="J810" s="51" t="s">
        <v>1753</v>
      </c>
      <c r="K810" s="47" t="str">
        <f t="shared" ca="1" si="270"/>
        <v>CONTRATADO</v>
      </c>
      <c r="L810" s="47" t="s">
        <v>94</v>
      </c>
      <c r="M810" s="47" t="s">
        <v>1297</v>
      </c>
      <c r="N810" s="52" t="s">
        <v>240</v>
      </c>
      <c r="O810" s="51" t="e">
        <f>VLOOKUP(N810,[2]!RUBROS[#All],3,0)</f>
        <v>#REF!</v>
      </c>
      <c r="P810" s="53" t="e">
        <f>VLOOKUP(N810,[2]!RUBROS[#All],2,0)</f>
        <v>#REF!</v>
      </c>
      <c r="Q810" s="47" t="str">
        <f t="shared" si="271"/>
        <v>22</v>
      </c>
      <c r="R810" s="47" t="str">
        <f t="shared" si="272"/>
        <v>0-205400</v>
      </c>
      <c r="S810" s="65">
        <f>210+15</f>
        <v>225</v>
      </c>
      <c r="T810" s="59" t="s">
        <v>120</v>
      </c>
      <c r="U810" s="326" t="e">
        <f ca="1">_xlfn.XLOOKUP(PAA_4[[#This Row],[ITEM]],[2]Contrato!A:A,[2]Contrato!Q:Q,"",0)</f>
        <v>#NAME?</v>
      </c>
      <c r="V810" s="47" t="s">
        <v>47</v>
      </c>
      <c r="W810" s="65" t="s">
        <v>122</v>
      </c>
      <c r="X810" s="65" t="s">
        <v>242</v>
      </c>
      <c r="Y810" s="55" t="e">
        <f ca="1">_xlfn.XLOOKUP(PAA_4[[#This Row],[ITEM]],[2]Contrato!A:A,[2]Contrato!B:B,"",0)</f>
        <v>#NAME?</v>
      </c>
      <c r="Z810" s="47" t="e">
        <f ca="1">_xlfn.XLOOKUP(PAA_4[[#This Row],[ITEM]],[2]Contrato!A:A,[2]Contrato!G:G,"",0)</f>
        <v>#NAME?</v>
      </c>
      <c r="AA810" s="47" t="e">
        <f ca="1">_xlfn.XLOOKUP(PAA_4[[#This Row],[ITEM]],[2]Contrato!A:A,[2]Contrato!T:T,"",0)</f>
        <v>#NAME?</v>
      </c>
      <c r="AB810" s="55" t="e">
        <f ca="1">+MAX(PAA_4[[#This Row],[Comprometido Contrato]],PAA_4[[#This Row],[Comprometido Bolsa]])</f>
        <v>#NAME?</v>
      </c>
      <c r="AC810" s="55" t="str">
        <f t="shared" ca="1" si="273"/>
        <v/>
      </c>
      <c r="AD810" s="55" t="e">
        <f ca="1">IF(PAA_4[[#This Row],[ESTADO (formulado)]]="NO CONTRATADO",0,MAX(PAA_4[[#This Row],[Pago por Contrato]],PAA_4[[#This Row],[Pago por bolsa]]))</f>
        <v>#NAME?</v>
      </c>
      <c r="AE810" s="55" t="str">
        <f t="shared" ca="1" si="274"/>
        <v/>
      </c>
      <c r="AF810" s="47" t="e">
        <f t="shared" ca="1" si="275"/>
        <v>#NAME?</v>
      </c>
      <c r="AG810" s="47">
        <f t="shared" si="276"/>
        <v>41080101</v>
      </c>
      <c r="AH810" s="54" t="str">
        <f>IF(Q810="22",IF(ISNUMBER(SEARCH("econ",PAA_4[[#This Row],[Actividad3]])),"Económico",IF(ISNUMBER(SEARCH("alim",PAA_4[[#This Row],[Actividad3]])),"Alimentación",IF(ISNUMBER(SEARCH("educ",PAA_4[[#This Row],[Actividad3]])),"Educativo","Técnico"))),0)</f>
        <v>Técnico</v>
      </c>
      <c r="AI810" s="47" t="e" cm="1">
        <f t="array" aca="1" ref="AI810" ca="1">_xlfn.XLOOKUP(PAA_4[[#This Row],[RCP-RUBRO]],[2]!COMPROMISOS_2024[[#All],[concatenado]],[2]!COMPROMISOS_2024[[#All],[Total pagado]],"",0)</f>
        <v>#NAME?</v>
      </c>
      <c r="AJ810" s="56" t="e">
        <f ca="1">IF(PAA_4[[#This Row],[BOLSA]]=0,0,SUMIFS([2]!COMPROMISOS_2024[[#All],[Total pagado]],[2]!COMPROMISOS_2024[[#All],[Bolsa]],PAA_4[[#This Row],[BOLSA]],[2]!COMPROMISOS_2024[[#All],[rubro]],PAA_4[[#This Row],[RCP-RUBRO]]))</f>
        <v>#REF!</v>
      </c>
      <c r="AK810" s="47" t="e" cm="1">
        <f t="array" aca="1" ref="AK810" ca="1">_xlfn.XLOOKUP(PAA_4[[#This Row],[RCP-RUBRO]],[2]!COMPROMISOS_2024[[#All],[concatenado]],[2]!COMPROMISOS_2024[[#All],[Total Comprometido]],"",0)</f>
        <v>#NAME?</v>
      </c>
      <c r="AL810" s="47" t="e">
        <f ca="1">IF(PAA_4[[#This Row],[BOLSA]]=0,0,SUMIFS([2]!COMPROMISOS_2024[[#All],[Total Comprometido]],[2]!COMPROMISOS_2024[[#All],[Bolsa]],PAA_4[[#This Row],[BOLSA]],[2]!COMPROMISOS_2024[[#All],[concatenado]],PAA_4[[#This Row],[RCP-RUBRO]]))</f>
        <v>#REF!</v>
      </c>
    </row>
    <row r="811" spans="1:38" s="19" customFormat="1" ht="31.5" customHeight="1">
      <c r="A811" s="47">
        <v>678</v>
      </c>
      <c r="B811" s="47">
        <v>80111600</v>
      </c>
      <c r="C811" s="47" t="str">
        <f>VLOOKUP(PAA_4[[#This Row],[PROYECTO (formulado)2]],[2]PROYECTOS!$G$1:$L$32,6,0)</f>
        <v>SUBGERENCIA DE ALTOS LOGROS Y DEPORTE ASOCIADO</v>
      </c>
      <c r="D811" s="47" t="str">
        <f>+IF(PAA_4[[#This Row],[UNIDAD DE CONTRATACION (formulado)]]="Subgerencia Administrativa y Financiera","FUNCIONAMIENTO","INVERSIÓN")</f>
        <v>INVERSIÓN</v>
      </c>
      <c r="E811" s="48" t="str">
        <f>VLOOKUP(Q811,[2]PROYECTOS!$G$1:$K$32,5,0)</f>
        <v>APOYO_TÉCNICO_Y_PSICOSOCIAL_A_LOS_DEPORTISTAS_DE_ANTIOQUIA</v>
      </c>
      <c r="F811" s="48">
        <f>VLOOKUP(E811,[2]PROYECTOS!$K$1:$M$32,3,0)</f>
        <v>2021003050069</v>
      </c>
      <c r="G811" s="49" t="s">
        <v>239</v>
      </c>
      <c r="H811" s="49" t="str">
        <f>VLOOKUP(Q811,[2]PROYECTOS!$V$1:$W$32,2,0)</f>
        <v>050069</v>
      </c>
      <c r="I811" s="50">
        <v>0</v>
      </c>
      <c r="J811" s="51" t="s">
        <v>42</v>
      </c>
      <c r="K811" s="47" t="str">
        <f t="shared" ca="1" si="270"/>
        <v>CONTRATADO</v>
      </c>
      <c r="L811" s="47" t="s">
        <v>94</v>
      </c>
      <c r="M811" s="47" t="s">
        <v>1297</v>
      </c>
      <c r="N811" s="52" t="s">
        <v>240</v>
      </c>
      <c r="O811" s="51" t="e">
        <f>VLOOKUP(N811,[2]!RUBROS[#All],3,0)</f>
        <v>#REF!</v>
      </c>
      <c r="P811" s="53" t="e">
        <f>VLOOKUP(N811,[2]!RUBROS[#All],2,0)</f>
        <v>#REF!</v>
      </c>
      <c r="Q811" s="47" t="str">
        <f t="shared" si="271"/>
        <v>22</v>
      </c>
      <c r="R811" s="47" t="str">
        <f t="shared" si="272"/>
        <v>0-205400</v>
      </c>
      <c r="S811" s="65">
        <f>210+15</f>
        <v>225</v>
      </c>
      <c r="T811" s="59" t="s">
        <v>120</v>
      </c>
      <c r="U811" s="326" t="e">
        <f ca="1">_xlfn.XLOOKUP(PAA_4[[#This Row],[ITEM]],[2]Contrato!A:A,[2]Contrato!Q:Q,"",0)</f>
        <v>#NAME?</v>
      </c>
      <c r="V811" s="47" t="s">
        <v>47</v>
      </c>
      <c r="W811" s="65" t="s">
        <v>122</v>
      </c>
      <c r="X811" s="65" t="s">
        <v>242</v>
      </c>
      <c r="Y811" s="55" t="e">
        <f ca="1">_xlfn.XLOOKUP(PAA_4[[#This Row],[ITEM]],[2]Contrato!A:A,[2]Contrato!B:B,"",0)</f>
        <v>#NAME?</v>
      </c>
      <c r="Z811" s="47" t="e">
        <f ca="1">_xlfn.XLOOKUP(PAA_4[[#This Row],[ITEM]],[2]Contrato!A:A,[2]Contrato!G:G,"",0)</f>
        <v>#NAME?</v>
      </c>
      <c r="AA811" s="47" t="e">
        <f ca="1">_xlfn.XLOOKUP(PAA_4[[#This Row],[ITEM]],[2]Contrato!A:A,[2]Contrato!T:T,"",0)</f>
        <v>#NAME?</v>
      </c>
      <c r="AB811" s="55" t="e">
        <f ca="1">+MAX(PAA_4[[#This Row],[Comprometido Contrato]],PAA_4[[#This Row],[Comprometido Bolsa]])</f>
        <v>#NAME?</v>
      </c>
      <c r="AC811" s="55" t="str">
        <f t="shared" ca="1" si="273"/>
        <v/>
      </c>
      <c r="AD811" s="55" t="e">
        <f ca="1">IF(PAA_4[[#This Row],[ESTADO (formulado)]]="NO CONTRATADO",0,MAX(PAA_4[[#This Row],[Pago por Contrato]],PAA_4[[#This Row],[Pago por bolsa]]))</f>
        <v>#NAME?</v>
      </c>
      <c r="AE811" s="55" t="str">
        <f t="shared" ca="1" si="274"/>
        <v/>
      </c>
      <c r="AF811" s="47" t="e">
        <f t="shared" ca="1" si="275"/>
        <v>#NAME?</v>
      </c>
      <c r="AG811" s="47">
        <f t="shared" si="276"/>
        <v>41080101</v>
      </c>
      <c r="AH811" s="54" t="str">
        <f>IF(Q811="22",IF(ISNUMBER(SEARCH("econ",PAA_4[[#This Row],[Actividad3]])),"Económico",IF(ISNUMBER(SEARCH("alim",PAA_4[[#This Row],[Actividad3]])),"Alimentación",IF(ISNUMBER(SEARCH("educ",PAA_4[[#This Row],[Actividad3]])),"Educativo","Técnico"))),0)</f>
        <v>Técnico</v>
      </c>
      <c r="AI811" s="47" t="e" cm="1">
        <f t="array" aca="1" ref="AI811" ca="1">_xlfn.XLOOKUP(PAA_4[[#This Row],[RCP-RUBRO]],[2]!COMPROMISOS_2024[[#All],[concatenado]],[2]!COMPROMISOS_2024[[#All],[Total pagado]],"",0)</f>
        <v>#NAME?</v>
      </c>
      <c r="AJ811" s="56" t="e">
        <f ca="1">IF(PAA_4[[#This Row],[BOLSA]]=0,0,SUMIFS([2]!COMPROMISOS_2024[[#All],[Total pagado]],[2]!COMPROMISOS_2024[[#All],[Bolsa]],PAA_4[[#This Row],[BOLSA]],[2]!COMPROMISOS_2024[[#All],[rubro]],PAA_4[[#This Row],[RCP-RUBRO]]))</f>
        <v>#REF!</v>
      </c>
      <c r="AK811" s="47" t="e" cm="1">
        <f t="array" aca="1" ref="AK811" ca="1">_xlfn.XLOOKUP(PAA_4[[#This Row],[RCP-RUBRO]],[2]!COMPROMISOS_2024[[#All],[concatenado]],[2]!COMPROMISOS_2024[[#All],[Total Comprometido]],"",0)</f>
        <v>#NAME?</v>
      </c>
      <c r="AL811" s="47" t="e">
        <f ca="1">IF(PAA_4[[#This Row],[BOLSA]]=0,0,SUMIFS([2]!COMPROMISOS_2024[[#All],[Total Comprometido]],[2]!COMPROMISOS_2024[[#All],[Bolsa]],PAA_4[[#This Row],[BOLSA]],[2]!COMPROMISOS_2024[[#All],[concatenado]],PAA_4[[#This Row],[RCP-RUBRO]]))</f>
        <v>#REF!</v>
      </c>
    </row>
    <row r="812" spans="1:38" s="19" customFormat="1" ht="31.5" customHeight="1">
      <c r="A812" s="47" t="s">
        <v>82</v>
      </c>
      <c r="B812" s="47">
        <v>80111600</v>
      </c>
      <c r="C812" s="47" t="str">
        <f>VLOOKUP(PAA_4[[#This Row],[PROYECTO (formulado)2]],[2]PROYECTOS!$G$1:$L$32,6,0)</f>
        <v>SUBGERENCIA DE ALTOS LOGROS Y DEPORTE ASOCIADO</v>
      </c>
      <c r="D812" s="47" t="str">
        <f>+IF(PAA_4[[#This Row],[UNIDAD DE CONTRATACION (formulado)]]="Subgerencia Administrativa y Financiera","FUNCIONAMIENTO","INVERSIÓN")</f>
        <v>INVERSIÓN</v>
      </c>
      <c r="E812" s="48" t="str">
        <f>VLOOKUP(Q812,[2]PROYECTOS!$G$1:$K$32,5,0)</f>
        <v>APOYO_TÉCNICO_Y_PSICOSOCIAL_A_LOS_DEPORTISTAS_DE_ANTIOQUIA</v>
      </c>
      <c r="F812" s="48">
        <f>VLOOKUP(E812,[2]PROYECTOS!$K$1:$M$32,3,0)</f>
        <v>2021003050069</v>
      </c>
      <c r="G812" s="49" t="s">
        <v>239</v>
      </c>
      <c r="H812" s="49" t="str">
        <f>VLOOKUP(Q812,[2]PROYECTOS!$V$1:$W$32,2,0)</f>
        <v>050069</v>
      </c>
      <c r="I812" s="50">
        <v>0</v>
      </c>
      <c r="J812" s="51" t="s">
        <v>42</v>
      </c>
      <c r="K812" s="47" t="str">
        <f t="shared" ca="1" si="270"/>
        <v>CONTRATADO</v>
      </c>
      <c r="L812" s="47" t="s">
        <v>94</v>
      </c>
      <c r="M812" s="47" t="s">
        <v>1297</v>
      </c>
      <c r="N812" s="52" t="s">
        <v>240</v>
      </c>
      <c r="O812" s="51" t="e">
        <f>VLOOKUP(N812,[2]!RUBROS[#All],3,0)</f>
        <v>#REF!</v>
      </c>
      <c r="P812" s="53" t="e">
        <f>VLOOKUP(N812,[2]!RUBROS[#All],2,0)</f>
        <v>#REF!</v>
      </c>
      <c r="Q812" s="47" t="s">
        <v>254</v>
      </c>
      <c r="R812" s="47" t="str">
        <f t="shared" si="272"/>
        <v>0-205400</v>
      </c>
      <c r="S812" s="54" t="s">
        <v>42</v>
      </c>
      <c r="T812" s="59" t="s">
        <v>42</v>
      </c>
      <c r="U812" s="326" t="e">
        <f ca="1">_xlfn.XLOOKUP(PAA_4[[#This Row],[ITEM]],[2]Contrato!A:A,[2]Contrato!Q:Q,"",0)</f>
        <v>#NAME?</v>
      </c>
      <c r="V812" s="47" t="s">
        <v>47</v>
      </c>
      <c r="W812" s="47" t="s">
        <v>96</v>
      </c>
      <c r="X812" s="47" t="s">
        <v>96</v>
      </c>
      <c r="Y812" s="55" t="e">
        <f ca="1">_xlfn.XLOOKUP(PAA_4[[#This Row],[ITEM]],[2]Contrato!A:A,[2]Contrato!B:B,"",0)</f>
        <v>#NAME?</v>
      </c>
      <c r="Z812" s="47" t="e">
        <f ca="1">_xlfn.XLOOKUP(PAA_4[[#This Row],[ITEM]],[2]Contrato!A:A,[2]Contrato!G:G,"",0)</f>
        <v>#NAME?</v>
      </c>
      <c r="AA812" s="47" t="e">
        <f ca="1">_xlfn.XLOOKUP(PAA_4[[#This Row],[ITEM]],[2]Contrato!A:A,[2]Contrato!T:T,"",0)</f>
        <v>#NAME?</v>
      </c>
      <c r="AB812" s="55" t="e">
        <f ca="1">+MAX(PAA_4[[#This Row],[Comprometido Contrato]],PAA_4[[#This Row],[Comprometido Bolsa]])</f>
        <v>#NAME?</v>
      </c>
      <c r="AC812" s="55" t="str">
        <f t="shared" ca="1" si="273"/>
        <v/>
      </c>
      <c r="AD812" s="55" t="e">
        <f ca="1">IF(PAA_4[[#This Row],[ESTADO (formulado)]]="NO CONTRATADO",0,MAX(PAA_4[[#This Row],[Pago por Contrato]],PAA_4[[#This Row],[Pago por bolsa]]))</f>
        <v>#NAME?</v>
      </c>
      <c r="AE812" s="55" t="str">
        <f t="shared" ca="1" si="274"/>
        <v/>
      </c>
      <c r="AF812" s="47" t="e">
        <f t="shared" ca="1" si="275"/>
        <v>#NAME?</v>
      </c>
      <c r="AG812" s="47">
        <f t="shared" si="276"/>
        <v>41080101</v>
      </c>
      <c r="AH812" s="54" t="str">
        <f>IF(Q812="22",IF(ISNUMBER(SEARCH("econ",PAA_4[[#This Row],[Actividad3]])),"Económico",IF(ISNUMBER(SEARCH("alim",PAA_4[[#This Row],[Actividad3]])),"Alimentación",IF(ISNUMBER(SEARCH("educ",PAA_4[[#This Row],[Actividad3]])),"Educativo","Técnico"))),0)</f>
        <v>Técnico</v>
      </c>
      <c r="AI812" s="47" t="e" cm="1">
        <f t="array" aca="1" ref="AI812" ca="1">_xlfn.XLOOKUP(PAA_4[[#This Row],[RCP-RUBRO]],[2]!COMPROMISOS_2024[[#All],[concatenado]],[2]!COMPROMISOS_2024[[#All],[Total pagado]],"",0)</f>
        <v>#NAME?</v>
      </c>
      <c r="AJ812" s="56" t="e">
        <f ca="1">IF(PAA_4[[#This Row],[BOLSA]]=0,0,SUMIFS([2]!COMPROMISOS_2024[[#All],[Total pagado]],[2]!COMPROMISOS_2024[[#All],[Bolsa]],PAA_4[[#This Row],[BOLSA]],[2]!COMPROMISOS_2024[[#All],[rubro]],PAA_4[[#This Row],[RCP-RUBRO]]))</f>
        <v>#REF!</v>
      </c>
      <c r="AK812" s="47" t="e" cm="1">
        <f t="array" aca="1" ref="AK812" ca="1">_xlfn.XLOOKUP(PAA_4[[#This Row],[RCP-RUBRO]],[2]!COMPROMISOS_2024[[#All],[concatenado]],[2]!COMPROMISOS_2024[[#All],[Total Comprometido]],"",0)</f>
        <v>#NAME?</v>
      </c>
      <c r="AL812" s="47" t="e">
        <f ca="1">IF(PAA_4[[#This Row],[BOLSA]]=0,0,SUMIFS([2]!COMPROMISOS_2024[[#All],[Total Comprometido]],[2]!COMPROMISOS_2024[[#All],[Bolsa]],PAA_4[[#This Row],[BOLSA]],[2]!COMPROMISOS_2024[[#All],[concatenado]],PAA_4[[#This Row],[RCP-RUBRO]]))</f>
        <v>#REF!</v>
      </c>
    </row>
    <row r="813" spans="1:38" s="19" customFormat="1" ht="31.5" customHeight="1">
      <c r="A813" s="47" t="s">
        <v>82</v>
      </c>
      <c r="B813" s="47">
        <v>80111600</v>
      </c>
      <c r="C813" s="47" t="str">
        <f>VLOOKUP(PAA_4[[#This Row],[PROYECTO (formulado)2]],[2]PROYECTOS!$G$1:$L$32,6,0)</f>
        <v>SUBGERENCIA DE ALTOS LOGROS Y DEPORTE ASOCIADO</v>
      </c>
      <c r="D813" s="47" t="str">
        <f>+IF(PAA_4[[#This Row],[UNIDAD DE CONTRATACION (formulado)]]="Subgerencia Administrativa y Financiera","FUNCIONAMIENTO","INVERSIÓN")</f>
        <v>INVERSIÓN</v>
      </c>
      <c r="E813" s="48" t="str">
        <f>VLOOKUP(Q813,[2]PROYECTOS!$G$1:$K$32,5,0)</f>
        <v>APOYO_TÉCNICO_Y_PSICOSOCIAL_A_LOS_DEPORTISTAS_DE_ANTIOQUIA</v>
      </c>
      <c r="F813" s="48">
        <f>VLOOKUP(E813,[2]PROYECTOS!$K$1:$M$32,3,0)</f>
        <v>2021003050069</v>
      </c>
      <c r="G813" s="49" t="s">
        <v>241</v>
      </c>
      <c r="H813" s="49" t="str">
        <f>VLOOKUP(Q813,[2]PROYECTOS!$V$1:$W$32,2,0)</f>
        <v>050069</v>
      </c>
      <c r="I813" s="50">
        <v>0</v>
      </c>
      <c r="J813" s="51" t="s">
        <v>1693</v>
      </c>
      <c r="K813" s="47" t="str">
        <f t="shared" ca="1" si="270"/>
        <v>CONTRATADO</v>
      </c>
      <c r="L813" s="47" t="s">
        <v>94</v>
      </c>
      <c r="M813" s="47" t="s">
        <v>1297</v>
      </c>
      <c r="N813" s="52" t="s">
        <v>240</v>
      </c>
      <c r="O813" s="51" t="e">
        <f>VLOOKUP(N813,[2]!RUBROS[#All],3,0)</f>
        <v>#REF!</v>
      </c>
      <c r="P813" s="53" t="e">
        <f>VLOOKUP(N813,[2]!RUBROS[#All],2,0)</f>
        <v>#REF!</v>
      </c>
      <c r="Q813" s="47" t="s">
        <v>254</v>
      </c>
      <c r="R813" s="47" t="str">
        <f t="shared" si="272"/>
        <v>0-205400</v>
      </c>
      <c r="S813" s="54" t="s">
        <v>42</v>
      </c>
      <c r="T813" s="59" t="s">
        <v>42</v>
      </c>
      <c r="U813" s="326" t="e">
        <f ca="1">_xlfn.XLOOKUP(PAA_4[[#This Row],[ITEM]],[2]Contrato!A:A,[2]Contrato!Q:Q,"",0)</f>
        <v>#NAME?</v>
      </c>
      <c r="V813" s="47" t="s">
        <v>47</v>
      </c>
      <c r="W813" s="65" t="s">
        <v>42</v>
      </c>
      <c r="X813" s="65" t="s">
        <v>42</v>
      </c>
      <c r="Y813" s="55" t="e">
        <f ca="1">_xlfn.XLOOKUP(PAA_4[[#This Row],[ITEM]],[2]Contrato!A:A,[2]Contrato!B:B,"",0)</f>
        <v>#NAME?</v>
      </c>
      <c r="Z813" s="47" t="e">
        <f ca="1">_xlfn.XLOOKUP(PAA_4[[#This Row],[ITEM]],[2]Contrato!A:A,[2]Contrato!G:G,"",0)</f>
        <v>#NAME?</v>
      </c>
      <c r="AA813" s="47" t="e">
        <f ca="1">_xlfn.XLOOKUP(PAA_4[[#This Row],[ITEM]],[2]Contrato!A:A,[2]Contrato!T:T,"",0)</f>
        <v>#NAME?</v>
      </c>
      <c r="AB813" s="55" t="e">
        <f ca="1">+MAX(PAA_4[[#This Row],[Comprometido Contrato]],PAA_4[[#This Row],[Comprometido Bolsa]])</f>
        <v>#NAME?</v>
      </c>
      <c r="AC813" s="55" t="str">
        <f t="shared" ca="1" si="273"/>
        <v/>
      </c>
      <c r="AD813" s="55" t="e">
        <f ca="1">IF(PAA_4[[#This Row],[ESTADO (formulado)]]="NO CONTRATADO",0,MAX(PAA_4[[#This Row],[Pago por Contrato]],PAA_4[[#This Row],[Pago por bolsa]]))</f>
        <v>#NAME?</v>
      </c>
      <c r="AE813" s="55" t="str">
        <f t="shared" ca="1" si="274"/>
        <v/>
      </c>
      <c r="AF813" s="47" t="e">
        <f t="shared" ca="1" si="275"/>
        <v>#NAME?</v>
      </c>
      <c r="AG813" s="47">
        <f t="shared" si="276"/>
        <v>41080106</v>
      </c>
      <c r="AH813" s="54" t="str">
        <f>IF(Q813="22",IF(ISNUMBER(SEARCH("econ",PAA_4[[#This Row],[Actividad3]])),"Económico",IF(ISNUMBER(SEARCH("alim",PAA_4[[#This Row],[Actividad3]])),"Alimentación",IF(ISNUMBER(SEARCH("educ",PAA_4[[#This Row],[Actividad3]])),"Educativo","Técnico"))),0)</f>
        <v>Técnico</v>
      </c>
      <c r="AI813" s="47" t="e" cm="1">
        <f t="array" aca="1" ref="AI813" ca="1">_xlfn.XLOOKUP(PAA_4[[#This Row],[RCP-RUBRO]],[2]!COMPROMISOS_2024[[#All],[concatenado]],[2]!COMPROMISOS_2024[[#All],[Total pagado]],"",0)</f>
        <v>#NAME?</v>
      </c>
      <c r="AJ813" s="56" t="e">
        <f ca="1">IF(PAA_4[[#This Row],[BOLSA]]=0,0,SUMIFS([2]!COMPROMISOS_2024[[#All],[Total pagado]],[2]!COMPROMISOS_2024[[#All],[Bolsa]],PAA_4[[#This Row],[BOLSA]],[2]!COMPROMISOS_2024[[#All],[rubro]],PAA_4[[#This Row],[RCP-RUBRO]]))</f>
        <v>#REF!</v>
      </c>
      <c r="AK813" s="47" t="e" cm="1">
        <f t="array" aca="1" ref="AK813" ca="1">_xlfn.XLOOKUP(PAA_4[[#This Row],[RCP-RUBRO]],[2]!COMPROMISOS_2024[[#All],[concatenado]],[2]!COMPROMISOS_2024[[#All],[Total Comprometido]],"",0)</f>
        <v>#NAME?</v>
      </c>
      <c r="AL813" s="47" t="e">
        <f ca="1">IF(PAA_4[[#This Row],[BOLSA]]=0,0,SUMIFS([2]!COMPROMISOS_2024[[#All],[Total Comprometido]],[2]!COMPROMISOS_2024[[#All],[Bolsa]],PAA_4[[#This Row],[BOLSA]],[2]!COMPROMISOS_2024[[#All],[concatenado]],PAA_4[[#This Row],[RCP-RUBRO]]))</f>
        <v>#REF!</v>
      </c>
    </row>
    <row r="814" spans="1:38" s="19" customFormat="1" ht="31.5" customHeight="1">
      <c r="A814" s="47">
        <v>699</v>
      </c>
      <c r="B814" s="51">
        <v>90141502</v>
      </c>
      <c r="C814" s="47" t="str">
        <f>VLOOKUP(PAA_4[[#This Row],[PROYECTO (formulado)2]],[2]PROYECTOS!$G$1:$L$32,6,0)</f>
        <v>SUBGERENCIA DE ALTOS LOGROS Y DEPORTE ASOCIADO</v>
      </c>
      <c r="D814" s="47" t="str">
        <f>+IF(PAA_4[[#This Row],[UNIDAD DE CONTRATACION (formulado)]]="Subgerencia Administrativa y Financiera","FUNCIONAMIENTO","INVERSIÓN")</f>
        <v>INVERSIÓN</v>
      </c>
      <c r="E814" s="48" t="str">
        <f>VLOOKUP(Q814,[2]PROYECTOS!$G$1:$K$32,5,0)</f>
        <v>FORTALECIMIENTO_DEL_PROGRAMA_DE_ALTOS_LOGROS_Y_LIDERAZGO_DEPORTIVO_EN_EL_DEPARTAMENTO_DE_ANTIOQUIA</v>
      </c>
      <c r="F814" s="48">
        <f>VLOOKUP(E814,[2]PROYECTOS!$K$1:$M$32,3,0)</f>
        <v>2020003050021</v>
      </c>
      <c r="G814" s="67" t="s">
        <v>224</v>
      </c>
      <c r="H814" s="49" t="str">
        <f>VLOOKUP(Q814,[2]PROYECTOS!$V$1:$W$32,2,0)</f>
        <v>050061</v>
      </c>
      <c r="I814" s="50">
        <f>60000000-1</f>
        <v>59999999</v>
      </c>
      <c r="J814" s="340" t="s">
        <v>1754</v>
      </c>
      <c r="K814" s="47" t="str">
        <f t="shared" ca="1" si="270"/>
        <v>CONTRATADO</v>
      </c>
      <c r="L814" s="351" t="s">
        <v>94</v>
      </c>
      <c r="M814" s="47" t="s">
        <v>255</v>
      </c>
      <c r="N814" s="52" t="s">
        <v>225</v>
      </c>
      <c r="O814" s="51" t="e">
        <f>VLOOKUP(N814,[2]!RUBROS[#All],3,0)</f>
        <v>#REF!</v>
      </c>
      <c r="P814" s="53" t="e">
        <f>VLOOKUP(N814,[2]!RUBROS[#All],2,0)</f>
        <v>#REF!</v>
      </c>
      <c r="Q814" s="47" t="str">
        <f t="shared" ref="Q814:Q817" si="277">+MID(N814,11,2)</f>
        <v>20</v>
      </c>
      <c r="R814" s="47" t="str">
        <f t="shared" si="272"/>
        <v>4-101124</v>
      </c>
      <c r="S814" s="342">
        <v>200</v>
      </c>
      <c r="T814" s="59" t="s">
        <v>120</v>
      </c>
      <c r="U814" s="326" t="e">
        <f ca="1">_xlfn.XLOOKUP(PAA_4[[#This Row],[ITEM]],[2]Contrato!A:A,[2]Contrato!Q:Q,"",0)</f>
        <v>#NAME?</v>
      </c>
      <c r="V814" s="47" t="s">
        <v>47</v>
      </c>
      <c r="W814" s="343" t="s">
        <v>154</v>
      </c>
      <c r="X814" s="343" t="s">
        <v>154</v>
      </c>
      <c r="Y814" s="55" t="e">
        <f ca="1">_xlfn.XLOOKUP(PAA_4[[#This Row],[ITEM]],[2]Contrato!A:A,[2]Contrato!B:B,"",0)</f>
        <v>#NAME?</v>
      </c>
      <c r="Z814" s="47" t="e">
        <f ca="1">_xlfn.XLOOKUP(PAA_4[[#This Row],[ITEM]],[2]Contrato!A:A,[2]Contrato!G:G,"",0)</f>
        <v>#NAME?</v>
      </c>
      <c r="AA814" s="47" t="e">
        <f ca="1">_xlfn.XLOOKUP(PAA_4[[#This Row],[ITEM]],[2]Contrato!A:A,[2]Contrato!T:T,"",0)</f>
        <v>#NAME?</v>
      </c>
      <c r="AB814" s="55" t="e">
        <f ca="1">+MAX(PAA_4[[#This Row],[Comprometido Contrato]],PAA_4[[#This Row],[Comprometido Bolsa]])</f>
        <v>#NAME?</v>
      </c>
      <c r="AC814" s="55" t="str">
        <f t="shared" ca="1" si="273"/>
        <v/>
      </c>
      <c r="AD814" s="55" t="e">
        <f ca="1">IF(PAA_4[[#This Row],[ESTADO (formulado)]]="NO CONTRATADO",0,MAX(PAA_4[[#This Row],[Pago por Contrato]],PAA_4[[#This Row],[Pago por bolsa]]))</f>
        <v>#NAME?</v>
      </c>
      <c r="AE814" s="55" t="str">
        <f t="shared" ca="1" si="274"/>
        <v/>
      </c>
      <c r="AF814" s="47" t="e">
        <f t="shared" ca="1" si="275"/>
        <v>#NAME?</v>
      </c>
      <c r="AG814" s="47">
        <f t="shared" si="276"/>
        <v>41080111</v>
      </c>
      <c r="AH814" s="54">
        <f>IF(Q814="22",IF(ISNUMBER(SEARCH("econ",PAA_4[[#This Row],[Actividad3]])),"Económico",IF(ISNUMBER(SEARCH("alim",PAA_4[[#This Row],[Actividad3]])),"Alimentación",IF(ISNUMBER(SEARCH("educ",PAA_4[[#This Row],[Actividad3]])),"Educativo","Técnico"))),0)</f>
        <v>0</v>
      </c>
      <c r="AI814" s="47" t="e" cm="1">
        <f t="array" aca="1" ref="AI814" ca="1">_xlfn.XLOOKUP(PAA_4[[#This Row],[RCP-RUBRO]],[2]!COMPROMISOS_2024[[#All],[concatenado]],[2]!COMPROMISOS_2024[[#All],[Total pagado]],"",0)</f>
        <v>#NAME?</v>
      </c>
      <c r="AJ814" s="56">
        <f>IF(PAA_4[[#This Row],[BOLSA]]=0,0,SUMIFS([2]!COMPROMISOS_2024[[#All],[Total pagado]],[2]!COMPROMISOS_2024[[#All],[Bolsa]],PAA_4[[#This Row],[BOLSA]],[2]!COMPROMISOS_2024[[#All],[rubro]],PAA_4[[#This Row],[RCP-RUBRO]]))</f>
        <v>0</v>
      </c>
      <c r="AK814" s="47" t="e" cm="1">
        <f t="array" aca="1" ref="AK814" ca="1">_xlfn.XLOOKUP(PAA_4[[#This Row],[RCP-RUBRO]],[2]!COMPROMISOS_2024[[#All],[concatenado]],[2]!COMPROMISOS_2024[[#All],[Total Comprometido]],"",0)</f>
        <v>#NAME?</v>
      </c>
      <c r="AL814" s="47">
        <f>IF(PAA_4[[#This Row],[BOLSA]]=0,0,SUMIFS([2]!COMPROMISOS_2024[[#All],[Total Comprometido]],[2]!COMPROMISOS_2024[[#All],[Bolsa]],PAA_4[[#This Row],[BOLSA]],[2]!COMPROMISOS_2024[[#All],[concatenado]],PAA_4[[#This Row],[RCP-RUBRO]]))</f>
        <v>0</v>
      </c>
    </row>
    <row r="815" spans="1:38" s="19" customFormat="1" ht="31.5" customHeight="1">
      <c r="A815" s="47">
        <v>700</v>
      </c>
      <c r="B815" s="51">
        <v>90141502</v>
      </c>
      <c r="C815" s="47" t="str">
        <f>VLOOKUP(PAA_4[[#This Row],[PROYECTO (formulado)2]],[2]PROYECTOS!$G$1:$L$32,6,0)</f>
        <v>SUBGERENCIA DE ALTOS LOGROS Y DEPORTE ASOCIADO</v>
      </c>
      <c r="D815" s="47" t="str">
        <f>+IF(PAA_4[[#This Row],[UNIDAD DE CONTRATACION (formulado)]]="Subgerencia Administrativa y Financiera","FUNCIONAMIENTO","INVERSIÓN")</f>
        <v>INVERSIÓN</v>
      </c>
      <c r="E815" s="48" t="str">
        <f>VLOOKUP(Q815,[2]PROYECTOS!$G$1:$K$32,5,0)</f>
        <v>FORTALECIMIENTO_DEL_PROGRAMA_DE_ALTOS_LOGROS_Y_LIDERAZGO_DEPORTIVO_EN_EL_DEPARTAMENTO_DE_ANTIOQUIA</v>
      </c>
      <c r="F815" s="48">
        <f>VLOOKUP(E815,[2]PROYECTOS!$K$1:$M$32,3,0)</f>
        <v>2020003050021</v>
      </c>
      <c r="G815" s="67" t="s">
        <v>224</v>
      </c>
      <c r="H815" s="49" t="str">
        <f>VLOOKUP(Q815,[2]PROYECTOS!$V$1:$W$32,2,0)</f>
        <v>050061</v>
      </c>
      <c r="I815" s="50">
        <v>20000000</v>
      </c>
      <c r="J815" s="340" t="s">
        <v>1755</v>
      </c>
      <c r="K815" s="47" t="str">
        <f t="shared" ca="1" si="270"/>
        <v>CONTRATADO</v>
      </c>
      <c r="L815" s="351" t="s">
        <v>94</v>
      </c>
      <c r="M815" s="47" t="s">
        <v>222</v>
      </c>
      <c r="N815" s="52" t="s">
        <v>223</v>
      </c>
      <c r="O815" s="51" t="e">
        <f>VLOOKUP(N815,[2]!RUBROS[#All],3,0)</f>
        <v>#REF!</v>
      </c>
      <c r="P815" s="53" t="e">
        <f>VLOOKUP(N815,[2]!RUBROS[#All],2,0)</f>
        <v>#REF!</v>
      </c>
      <c r="Q815" s="47" t="str">
        <f t="shared" si="277"/>
        <v>20</v>
      </c>
      <c r="R815" s="47" t="str">
        <f t="shared" si="272"/>
        <v>0-205400</v>
      </c>
      <c r="S815" s="342">
        <v>170</v>
      </c>
      <c r="T815" s="59" t="s">
        <v>120</v>
      </c>
      <c r="U815" s="326" t="e">
        <f ca="1">_xlfn.XLOOKUP(PAA_4[[#This Row],[ITEM]],[2]Contrato!A:A,[2]Contrato!Q:Q,"",0)</f>
        <v>#NAME?</v>
      </c>
      <c r="V815" s="47" t="s">
        <v>47</v>
      </c>
      <c r="W815" s="343" t="s">
        <v>193</v>
      </c>
      <c r="X815" s="343" t="s">
        <v>193</v>
      </c>
      <c r="Y815" s="55" t="e">
        <f ca="1">_xlfn.XLOOKUP(PAA_4[[#This Row],[ITEM]],[2]Contrato!A:A,[2]Contrato!B:B,"",0)</f>
        <v>#NAME?</v>
      </c>
      <c r="Z815" s="47" t="e">
        <f ca="1">_xlfn.XLOOKUP(PAA_4[[#This Row],[ITEM]],[2]Contrato!A:A,[2]Contrato!G:G,"",0)</f>
        <v>#NAME?</v>
      </c>
      <c r="AA815" s="47" t="e">
        <f ca="1">_xlfn.XLOOKUP(PAA_4[[#This Row],[ITEM]],[2]Contrato!A:A,[2]Contrato!T:T,"",0)</f>
        <v>#NAME?</v>
      </c>
      <c r="AB815" s="55" t="e">
        <f ca="1">+MAX(PAA_4[[#This Row],[Comprometido Contrato]],PAA_4[[#This Row],[Comprometido Bolsa]])</f>
        <v>#NAME?</v>
      </c>
      <c r="AC815" s="55" t="str">
        <f t="shared" ca="1" si="273"/>
        <v/>
      </c>
      <c r="AD815" s="55" t="e">
        <f ca="1">IF(PAA_4[[#This Row],[ESTADO (formulado)]]="NO CONTRATADO",0,MAX(PAA_4[[#This Row],[Pago por Contrato]],PAA_4[[#This Row],[Pago por bolsa]]))</f>
        <v>#NAME?</v>
      </c>
      <c r="AE815" s="55" t="str">
        <f t="shared" ca="1" si="274"/>
        <v/>
      </c>
      <c r="AF815" s="47" t="e">
        <f t="shared" ca="1" si="275"/>
        <v>#NAME?</v>
      </c>
      <c r="AG815" s="47">
        <f t="shared" si="276"/>
        <v>41080111</v>
      </c>
      <c r="AH815" s="54">
        <f>IF(Q815="22",IF(ISNUMBER(SEARCH("econ",PAA_4[[#This Row],[Actividad3]])),"Económico",IF(ISNUMBER(SEARCH("alim",PAA_4[[#This Row],[Actividad3]])),"Alimentación",IF(ISNUMBER(SEARCH("educ",PAA_4[[#This Row],[Actividad3]])),"Educativo","Técnico"))),0)</f>
        <v>0</v>
      </c>
      <c r="AI815" s="47" t="e" cm="1">
        <f t="array" aca="1" ref="AI815" ca="1">_xlfn.XLOOKUP(PAA_4[[#This Row],[RCP-RUBRO]],[2]!COMPROMISOS_2024[[#All],[concatenado]],[2]!COMPROMISOS_2024[[#All],[Total pagado]],"",0)</f>
        <v>#NAME?</v>
      </c>
      <c r="AJ815" s="56">
        <f>IF(PAA_4[[#This Row],[BOLSA]]=0,0,SUMIFS([2]!COMPROMISOS_2024[[#All],[Total pagado]],[2]!COMPROMISOS_2024[[#All],[Bolsa]],PAA_4[[#This Row],[BOLSA]],[2]!COMPROMISOS_2024[[#All],[rubro]],PAA_4[[#This Row],[RCP-RUBRO]]))</f>
        <v>0</v>
      </c>
      <c r="AK815" s="47" t="e" cm="1">
        <f t="array" aca="1" ref="AK815" ca="1">_xlfn.XLOOKUP(PAA_4[[#This Row],[RCP-RUBRO]],[2]!COMPROMISOS_2024[[#All],[concatenado]],[2]!COMPROMISOS_2024[[#All],[Total Comprometido]],"",0)</f>
        <v>#NAME?</v>
      </c>
      <c r="AL815" s="47">
        <f>IF(PAA_4[[#This Row],[BOLSA]]=0,0,SUMIFS([2]!COMPROMISOS_2024[[#All],[Total Comprometido]],[2]!COMPROMISOS_2024[[#All],[Bolsa]],PAA_4[[#This Row],[BOLSA]],[2]!COMPROMISOS_2024[[#All],[concatenado]],PAA_4[[#This Row],[RCP-RUBRO]]))</f>
        <v>0</v>
      </c>
    </row>
    <row r="816" spans="1:38" s="19" customFormat="1" ht="31.5" customHeight="1">
      <c r="A816" s="47">
        <v>700</v>
      </c>
      <c r="B816" s="51">
        <v>90141502</v>
      </c>
      <c r="C816" s="47" t="str">
        <f>VLOOKUP(PAA_4[[#This Row],[PROYECTO (formulado)2]],[2]PROYECTOS!$G$1:$L$32,6,0)</f>
        <v>SUBGERENCIA DE ALTOS LOGROS Y DEPORTE ASOCIADO</v>
      </c>
      <c r="D816" s="47" t="str">
        <f>+IF(PAA_4[[#This Row],[UNIDAD DE CONTRATACION (formulado)]]="Subgerencia Administrativa y Financiera","FUNCIONAMIENTO","INVERSIÓN")</f>
        <v>INVERSIÓN</v>
      </c>
      <c r="E816" s="48" t="str">
        <f>VLOOKUP(Q816,[2]PROYECTOS!$G$1:$K$32,5,0)</f>
        <v>FORTALECIMIENTO_DEL_PROGRAMA_DE_ALTOS_LOGROS_Y_LIDERAZGO_DEPORTIVO_EN_EL_DEPARTAMENTO_DE_ANTIOQUIA</v>
      </c>
      <c r="F816" s="48">
        <f>VLOOKUP(E816,[2]PROYECTOS!$K$1:$M$32,3,0)</f>
        <v>2020003050021</v>
      </c>
      <c r="G816" s="67" t="s">
        <v>224</v>
      </c>
      <c r="H816" s="49" t="str">
        <f>VLOOKUP(Q816,[2]PROYECTOS!$V$1:$W$32,2,0)</f>
        <v>050061</v>
      </c>
      <c r="I816" s="50">
        <v>60000000</v>
      </c>
      <c r="J816" s="340" t="s">
        <v>1755</v>
      </c>
      <c r="K816" s="47" t="str">
        <f t="shared" ca="1" si="270"/>
        <v>CONTRATADO</v>
      </c>
      <c r="L816" s="351" t="s">
        <v>94</v>
      </c>
      <c r="M816" s="47" t="s">
        <v>222</v>
      </c>
      <c r="N816" s="52" t="s">
        <v>225</v>
      </c>
      <c r="O816" s="51" t="e">
        <f>VLOOKUP(N816,[2]!RUBROS[#All],3,0)</f>
        <v>#REF!</v>
      </c>
      <c r="P816" s="53" t="e">
        <f>VLOOKUP(N816,[2]!RUBROS[#All],2,0)</f>
        <v>#REF!</v>
      </c>
      <c r="Q816" s="47" t="str">
        <f t="shared" si="277"/>
        <v>20</v>
      </c>
      <c r="R816" s="47" t="str">
        <f t="shared" si="272"/>
        <v>4-101124</v>
      </c>
      <c r="S816" s="342">
        <v>200</v>
      </c>
      <c r="T816" s="59" t="s">
        <v>120</v>
      </c>
      <c r="U816" s="326" t="e">
        <f ca="1">_xlfn.XLOOKUP(PAA_4[[#This Row],[ITEM]],[2]Contrato!A:A,[2]Contrato!Q:Q,"",0)</f>
        <v>#NAME?</v>
      </c>
      <c r="V816" s="47" t="s">
        <v>47</v>
      </c>
      <c r="W816" s="343" t="s">
        <v>154</v>
      </c>
      <c r="X816" s="343" t="s">
        <v>154</v>
      </c>
      <c r="Y816" s="55" t="e">
        <f ca="1">_xlfn.XLOOKUP(PAA_4[[#This Row],[ITEM]],[2]Contrato!A:A,[2]Contrato!B:B,"",0)</f>
        <v>#NAME?</v>
      </c>
      <c r="Z816" s="47" t="e">
        <f ca="1">_xlfn.XLOOKUP(PAA_4[[#This Row],[ITEM]],[2]Contrato!A:A,[2]Contrato!G:G,"",0)</f>
        <v>#NAME?</v>
      </c>
      <c r="AA816" s="47" t="e">
        <f ca="1">_xlfn.XLOOKUP(PAA_4[[#This Row],[ITEM]],[2]Contrato!A:A,[2]Contrato!T:T,"",0)</f>
        <v>#NAME?</v>
      </c>
      <c r="AB816" s="55" t="e">
        <f ca="1">+MAX(PAA_4[[#This Row],[Comprometido Contrato]],PAA_4[[#This Row],[Comprometido Bolsa]])</f>
        <v>#NAME?</v>
      </c>
      <c r="AC816" s="55" t="str">
        <f t="shared" ca="1" si="273"/>
        <v/>
      </c>
      <c r="AD816" s="55" t="e">
        <f ca="1">IF(PAA_4[[#This Row],[ESTADO (formulado)]]="NO CONTRATADO",0,MAX(PAA_4[[#This Row],[Pago por Contrato]],PAA_4[[#This Row],[Pago por bolsa]]))</f>
        <v>#NAME?</v>
      </c>
      <c r="AE816" s="55" t="str">
        <f t="shared" ca="1" si="274"/>
        <v/>
      </c>
      <c r="AF816" s="47" t="e">
        <f t="shared" ca="1" si="275"/>
        <v>#NAME?</v>
      </c>
      <c r="AG816" s="47">
        <f t="shared" si="276"/>
        <v>41080111</v>
      </c>
      <c r="AH816" s="54">
        <f>IF(Q816="22",IF(ISNUMBER(SEARCH("econ",PAA_4[[#This Row],[Actividad3]])),"Económico",IF(ISNUMBER(SEARCH("alim",PAA_4[[#This Row],[Actividad3]])),"Alimentación",IF(ISNUMBER(SEARCH("educ",PAA_4[[#This Row],[Actividad3]])),"Educativo","Técnico"))),0)</f>
        <v>0</v>
      </c>
      <c r="AI816" s="47" t="e" cm="1">
        <f t="array" aca="1" ref="AI816" ca="1">_xlfn.XLOOKUP(PAA_4[[#This Row],[RCP-RUBRO]],[2]!COMPROMISOS_2024[[#All],[concatenado]],[2]!COMPROMISOS_2024[[#All],[Total pagado]],"",0)</f>
        <v>#NAME?</v>
      </c>
      <c r="AJ816" s="56">
        <f>IF(PAA_4[[#This Row],[BOLSA]]=0,0,SUMIFS([2]!COMPROMISOS_2024[[#All],[Total pagado]],[2]!COMPROMISOS_2024[[#All],[Bolsa]],PAA_4[[#This Row],[BOLSA]],[2]!COMPROMISOS_2024[[#All],[rubro]],PAA_4[[#This Row],[RCP-RUBRO]]))</f>
        <v>0</v>
      </c>
      <c r="AK816" s="47" t="e" cm="1">
        <f t="array" aca="1" ref="AK816" ca="1">_xlfn.XLOOKUP(PAA_4[[#This Row],[RCP-RUBRO]],[2]!COMPROMISOS_2024[[#All],[concatenado]],[2]!COMPROMISOS_2024[[#All],[Total Comprometido]],"",0)</f>
        <v>#NAME?</v>
      </c>
      <c r="AL816" s="47">
        <f>IF(PAA_4[[#This Row],[BOLSA]]=0,0,SUMIFS([2]!COMPROMISOS_2024[[#All],[Total Comprometido]],[2]!COMPROMISOS_2024[[#All],[Bolsa]],PAA_4[[#This Row],[BOLSA]],[2]!COMPROMISOS_2024[[#All],[concatenado]],PAA_4[[#This Row],[RCP-RUBRO]]))</f>
        <v>0</v>
      </c>
    </row>
    <row r="817" spans="1:38" s="19" customFormat="1" ht="31.5" customHeight="1">
      <c r="A817" s="47">
        <v>701</v>
      </c>
      <c r="B817" s="51">
        <v>90141502</v>
      </c>
      <c r="C817" s="47" t="str">
        <f>VLOOKUP(PAA_4[[#This Row],[PROYECTO (formulado)2]],[2]PROYECTOS!$G$1:$L$32,6,0)</f>
        <v>SUBGERENCIA DE ALTOS LOGROS Y DEPORTE ASOCIADO</v>
      </c>
      <c r="D817" s="47" t="str">
        <f>+IF(PAA_4[[#This Row],[UNIDAD DE CONTRATACION (formulado)]]="Subgerencia Administrativa y Financiera","FUNCIONAMIENTO","INVERSIÓN")</f>
        <v>INVERSIÓN</v>
      </c>
      <c r="E817" s="48" t="str">
        <f>VLOOKUP(Q817,[2]PROYECTOS!$G$1:$K$32,5,0)</f>
        <v>FORTALECIMIENTO_DEL_PROGRAMA_DE_ALTOS_LOGROS_Y_LIDERAZGO_DEPORTIVO_EN_EL_DEPARTAMENTO_DE_ANTIOQUIA</v>
      </c>
      <c r="F817" s="48">
        <f>VLOOKUP(E817,[2]PROYECTOS!$K$1:$M$32,3,0)</f>
        <v>2020003050021</v>
      </c>
      <c r="G817" s="67" t="s">
        <v>224</v>
      </c>
      <c r="H817" s="49" t="str">
        <f>VLOOKUP(Q817,[2]PROYECTOS!$V$1:$W$32,2,0)</f>
        <v>050061</v>
      </c>
      <c r="I817" s="50">
        <v>60000000</v>
      </c>
      <c r="J817" s="340" t="s">
        <v>1756</v>
      </c>
      <c r="K817" s="47" t="str">
        <f t="shared" ca="1" si="270"/>
        <v>CONTRATADO</v>
      </c>
      <c r="L817" s="351" t="s">
        <v>94</v>
      </c>
      <c r="M817" s="47" t="s">
        <v>222</v>
      </c>
      <c r="N817" s="52" t="s">
        <v>223</v>
      </c>
      <c r="O817" s="51" t="e">
        <f>VLOOKUP(N817,[2]!RUBROS[#All],3,0)</f>
        <v>#REF!</v>
      </c>
      <c r="P817" s="53" t="e">
        <f>VLOOKUP(N817,[2]!RUBROS[#All],2,0)</f>
        <v>#REF!</v>
      </c>
      <c r="Q817" s="47" t="str">
        <f t="shared" si="277"/>
        <v>20</v>
      </c>
      <c r="R817" s="47" t="str">
        <f t="shared" si="272"/>
        <v>0-205400</v>
      </c>
      <c r="S817" s="342">
        <v>170</v>
      </c>
      <c r="T817" s="59" t="s">
        <v>120</v>
      </c>
      <c r="U817" s="326" t="e">
        <f ca="1">_xlfn.XLOOKUP(PAA_4[[#This Row],[ITEM]],[2]Contrato!A:A,[2]Contrato!Q:Q,"",0)</f>
        <v>#NAME?</v>
      </c>
      <c r="V817" s="47" t="s">
        <v>47</v>
      </c>
      <c r="W817" s="343" t="s">
        <v>193</v>
      </c>
      <c r="X817" s="343" t="s">
        <v>193</v>
      </c>
      <c r="Y817" s="55" t="e">
        <f ca="1">_xlfn.XLOOKUP(PAA_4[[#This Row],[ITEM]],[2]Contrato!A:A,[2]Contrato!B:B,"",0)</f>
        <v>#NAME?</v>
      </c>
      <c r="Z817" s="47" t="e">
        <f ca="1">_xlfn.XLOOKUP(PAA_4[[#This Row],[ITEM]],[2]Contrato!A:A,[2]Contrato!G:G,"",0)</f>
        <v>#NAME?</v>
      </c>
      <c r="AA817" s="47" t="e">
        <f ca="1">_xlfn.XLOOKUP(PAA_4[[#This Row],[ITEM]],[2]Contrato!A:A,[2]Contrato!T:T,"",0)</f>
        <v>#NAME?</v>
      </c>
      <c r="AB817" s="55" t="e">
        <f ca="1">+MAX(PAA_4[[#This Row],[Comprometido Contrato]],PAA_4[[#This Row],[Comprometido Bolsa]])</f>
        <v>#NAME?</v>
      </c>
      <c r="AC817" s="55" t="str">
        <f t="shared" ca="1" si="273"/>
        <v/>
      </c>
      <c r="AD817" s="55" t="e">
        <f ca="1">IF(PAA_4[[#This Row],[ESTADO (formulado)]]="NO CONTRATADO",0,MAX(PAA_4[[#This Row],[Pago por Contrato]],PAA_4[[#This Row],[Pago por bolsa]]))</f>
        <v>#NAME?</v>
      </c>
      <c r="AE817" s="55" t="str">
        <f t="shared" ca="1" si="274"/>
        <v/>
      </c>
      <c r="AF817" s="47" t="e">
        <f t="shared" ca="1" si="275"/>
        <v>#NAME?</v>
      </c>
      <c r="AG817" s="47">
        <f t="shared" si="276"/>
        <v>41080111</v>
      </c>
      <c r="AH817" s="54">
        <f>IF(Q817="22",IF(ISNUMBER(SEARCH("econ",PAA_4[[#This Row],[Actividad3]])),"Económico",IF(ISNUMBER(SEARCH("alim",PAA_4[[#This Row],[Actividad3]])),"Alimentación",IF(ISNUMBER(SEARCH("educ",PAA_4[[#This Row],[Actividad3]])),"Educativo","Técnico"))),0)</f>
        <v>0</v>
      </c>
      <c r="AI817" s="47" t="e" cm="1">
        <f t="array" aca="1" ref="AI817" ca="1">_xlfn.XLOOKUP(PAA_4[[#This Row],[RCP-RUBRO]],[2]!COMPROMISOS_2024[[#All],[concatenado]],[2]!COMPROMISOS_2024[[#All],[Total pagado]],"",0)</f>
        <v>#NAME?</v>
      </c>
      <c r="AJ817" s="56">
        <f>IF(PAA_4[[#This Row],[BOLSA]]=0,0,SUMIFS([2]!COMPROMISOS_2024[[#All],[Total pagado]],[2]!COMPROMISOS_2024[[#All],[Bolsa]],PAA_4[[#This Row],[BOLSA]],[2]!COMPROMISOS_2024[[#All],[rubro]],PAA_4[[#This Row],[RCP-RUBRO]]))</f>
        <v>0</v>
      </c>
      <c r="AK817" s="47" t="e" cm="1">
        <f t="array" aca="1" ref="AK817" ca="1">_xlfn.XLOOKUP(PAA_4[[#This Row],[RCP-RUBRO]],[2]!COMPROMISOS_2024[[#All],[concatenado]],[2]!COMPROMISOS_2024[[#All],[Total Comprometido]],"",0)</f>
        <v>#NAME?</v>
      </c>
      <c r="AL817" s="47">
        <f>IF(PAA_4[[#This Row],[BOLSA]]=0,0,SUMIFS([2]!COMPROMISOS_2024[[#All],[Total Comprometido]],[2]!COMPROMISOS_2024[[#All],[Bolsa]],PAA_4[[#This Row],[BOLSA]],[2]!COMPROMISOS_2024[[#All],[concatenado]],PAA_4[[#This Row],[RCP-RUBRO]]))</f>
        <v>0</v>
      </c>
    </row>
    <row r="818" spans="1:38" s="19" customFormat="1" ht="31.5" customHeight="1">
      <c r="A818" s="47" t="s">
        <v>82</v>
      </c>
      <c r="B818" s="51" t="s">
        <v>42</v>
      </c>
      <c r="C818" s="47" t="str">
        <f>VLOOKUP(PAA_4[[#This Row],[PROYECTO (formulado)2]],[2]PROYECTOS!$G$1:$L$32,6,0)</f>
        <v>SUBGERENCIA DE ALTOS LOGROS Y DEPORTE ASOCIADO</v>
      </c>
      <c r="D818" s="47" t="str">
        <f>+IF(PAA_4[[#This Row],[UNIDAD DE CONTRATACION (formulado)]]="Subgerencia Administrativa y Financiera","FUNCIONAMIENTO","INVERSIÓN")</f>
        <v>INVERSIÓN</v>
      </c>
      <c r="E818" s="48" t="str">
        <f>VLOOKUP(Q818,[2]PROYECTOS!$G$1:$K$32,5,0)</f>
        <v>FORTALECIMIENTO_DEL_PROGRAMA_DE_ALTOS_LOGROS_Y_LIDERAZGO_DEPORTIVO_EN_EL_DEPARTAMENTO_DE_ANTIOQUIA</v>
      </c>
      <c r="F818" s="48">
        <f>VLOOKUP(E818,[2]PROYECTOS!$K$1:$M$32,3,0)</f>
        <v>2020003050021</v>
      </c>
      <c r="G818" s="67" t="s">
        <v>224</v>
      </c>
      <c r="H818" s="49" t="str">
        <f>VLOOKUP(Q818,[2]PROYECTOS!$V$1:$W$32,2,0)</f>
        <v>050061</v>
      </c>
      <c r="I818" s="50">
        <v>20405692</v>
      </c>
      <c r="J818" s="340" t="s">
        <v>1757</v>
      </c>
      <c r="K818" s="47" t="str">
        <f ca="1">IF(ISNONTEXT(Y818)=TRUE,"CONTRATADO","NO CONTRATADO")</f>
        <v>CONTRATADO</v>
      </c>
      <c r="L818" s="352" t="s">
        <v>42</v>
      </c>
      <c r="M818" s="47" t="s">
        <v>42</v>
      </c>
      <c r="N818" s="52" t="s">
        <v>225</v>
      </c>
      <c r="O818" s="51" t="e">
        <f>VLOOKUP(N818,[2]!RUBROS[#All],3,0)</f>
        <v>#REF!</v>
      </c>
      <c r="P818" s="53" t="e">
        <f>VLOOKUP(N818,[2]!RUBROS[#All],2,0)</f>
        <v>#REF!</v>
      </c>
      <c r="Q818" s="47" t="str">
        <f>+MID(N818,11,2)</f>
        <v>20</v>
      </c>
      <c r="R818" s="47" t="str">
        <f>+MID(N818,14,8)</f>
        <v>4-101124</v>
      </c>
      <c r="S818" s="353" t="s">
        <v>42</v>
      </c>
      <c r="T818" s="354" t="s">
        <v>42</v>
      </c>
      <c r="U818" s="326" t="e">
        <f ca="1">_xlfn.XLOOKUP(PAA_4[[#This Row],[ITEM]],[2]Contrato!A:A,[2]Contrato!Q:Q,"",0)</f>
        <v>#NAME?</v>
      </c>
      <c r="V818" s="47" t="s">
        <v>95</v>
      </c>
      <c r="W818" s="343" t="s">
        <v>42</v>
      </c>
      <c r="X818" s="343" t="s">
        <v>42</v>
      </c>
      <c r="Y818" s="55" t="e">
        <f ca="1">_xlfn.XLOOKUP(PAA_4[[#This Row],[ITEM]],[2]Contrato!A:A,[2]Contrato!B:B,"",0)</f>
        <v>#NAME?</v>
      </c>
      <c r="Z818" s="47" t="e">
        <f ca="1">_xlfn.XLOOKUP(PAA_4[[#This Row],[ITEM]],[2]Contrato!A:A,[2]Contrato!G:G,"",0)</f>
        <v>#NAME?</v>
      </c>
      <c r="AA818" s="47" t="e">
        <f ca="1">_xlfn.XLOOKUP(PAA_4[[#This Row],[ITEM]],[2]Contrato!A:A,[2]Contrato!T:T,"",0)</f>
        <v>#NAME?</v>
      </c>
      <c r="AB818" s="55" t="e">
        <f ca="1">+MAX(PAA_4[[#This Row],[Comprometido Contrato]],PAA_4[[#This Row],[Comprometido Bolsa]])</f>
        <v>#NAME?</v>
      </c>
      <c r="AC818" s="55" t="str">
        <f ca="1">IFERROR(I818-AB818,"")</f>
        <v/>
      </c>
      <c r="AD818" s="55" t="e">
        <f ca="1">IF(PAA_4[[#This Row],[ESTADO (formulado)]]="NO CONTRATADO",0,MAX(PAA_4[[#This Row],[Pago por Contrato]],PAA_4[[#This Row],[Pago por bolsa]]))</f>
        <v>#NAME?</v>
      </c>
      <c r="AE818" s="55" t="str">
        <f ca="1">+IFERROR(AB818-AD818,"")</f>
        <v/>
      </c>
      <c r="AF818" s="47" t="e">
        <f ca="1">+CONCATENATE(AA818,N818)</f>
        <v>#NAME?</v>
      </c>
      <c r="AG818" s="47">
        <f>IFERROR(_xlfn.NUMBERVALUE(MID(G818,1,8)),"")</f>
        <v>41080111</v>
      </c>
      <c r="AH818" s="54">
        <f>IF(Q818="22",IF(ISNUMBER(SEARCH("econ",PAA_4[[#This Row],[Actividad3]])),"Económico",IF(ISNUMBER(SEARCH("alim",PAA_4[[#This Row],[Actividad3]])),"Alimentación",IF(ISNUMBER(SEARCH("educ",PAA_4[[#This Row],[Actividad3]])),"Educativo","Técnico"))),0)</f>
        <v>0</v>
      </c>
      <c r="AI818" s="47" t="e" cm="1">
        <f t="array" aca="1" ref="AI818" ca="1">_xlfn.XLOOKUP(PAA_4[[#This Row],[RCP-RUBRO]],[2]!COMPROMISOS_2024[[#All],[concatenado]],[2]!COMPROMISOS_2024[[#All],[Total pagado]],"",0)</f>
        <v>#NAME?</v>
      </c>
      <c r="AJ818" s="56">
        <f>IF(PAA_4[[#This Row],[BOLSA]]=0,0,SUMIFS([2]!COMPROMISOS_2024[[#All],[Total pagado]],[2]!COMPROMISOS_2024[[#All],[Bolsa]],PAA_4[[#This Row],[BOLSA]],[2]!COMPROMISOS_2024[[#All],[rubro]],PAA_4[[#This Row],[RCP-RUBRO]]))</f>
        <v>0</v>
      </c>
      <c r="AK818" s="47" t="e" cm="1">
        <f t="array" aca="1" ref="AK818" ca="1">_xlfn.XLOOKUP(PAA_4[[#This Row],[RCP-RUBRO]],[2]!COMPROMISOS_2024[[#All],[concatenado]],[2]!COMPROMISOS_2024[[#All],[Total Comprometido]],"",0)</f>
        <v>#NAME?</v>
      </c>
      <c r="AL818" s="47">
        <f>IF(PAA_4[[#This Row],[BOLSA]]=0,0,SUMIFS([2]!COMPROMISOS_2024[[#All],[Total Comprometido]],[2]!COMPROMISOS_2024[[#All],[Bolsa]],PAA_4[[#This Row],[BOLSA]],[2]!COMPROMISOS_2024[[#All],[concatenado]],PAA_4[[#This Row],[RCP-RUBRO]]))</f>
        <v>0</v>
      </c>
    </row>
    <row r="819" spans="1:38" s="19" customFormat="1" ht="31.5" customHeight="1">
      <c r="A819" s="47">
        <v>701</v>
      </c>
      <c r="B819" s="51">
        <v>90141502</v>
      </c>
      <c r="C819" s="47" t="str">
        <f>VLOOKUP(PAA_4[[#This Row],[PROYECTO (formulado)2]],[2]PROYECTOS!$G$1:$L$32,6,0)</f>
        <v>SUBGERENCIA DE ALTOS LOGROS Y DEPORTE ASOCIADO</v>
      </c>
      <c r="D819" s="47" t="str">
        <f>+IF(PAA_4[[#This Row],[UNIDAD DE CONTRATACION (formulado)]]="Subgerencia Administrativa y Financiera","FUNCIONAMIENTO","INVERSIÓN")</f>
        <v>INVERSIÓN</v>
      </c>
      <c r="E819" s="48" t="str">
        <f>VLOOKUP(Q819,[2]PROYECTOS!$G$1:$K$32,5,0)</f>
        <v>FORTALECIMIENTO_DEL_PROGRAMA_DE_ALTOS_LOGROS_Y_LIDERAZGO_DEPORTIVO_EN_EL_DEPARTAMENTO_DE_ANTIOQUIA</v>
      </c>
      <c r="F819" s="48">
        <f>VLOOKUP(E819,[2]PROYECTOS!$K$1:$M$32,3,0)</f>
        <v>2020003050021</v>
      </c>
      <c r="G819" s="67" t="s">
        <v>224</v>
      </c>
      <c r="H819" s="49" t="str">
        <f>VLOOKUP(Q819,[2]PROYECTOS!$V$1:$W$32,2,0)</f>
        <v>050061</v>
      </c>
      <c r="I819" s="50">
        <f>200000000-20405692</f>
        <v>179594308</v>
      </c>
      <c r="J819" s="340" t="s">
        <v>1756</v>
      </c>
      <c r="K819" s="47" t="str">
        <f t="shared" ref="K819" ca="1" si="278">IF(ISNONTEXT(Y819)=TRUE,"CONTRATADO","NO CONTRATADO")</f>
        <v>CONTRATADO</v>
      </c>
      <c r="L819" s="351" t="s">
        <v>94</v>
      </c>
      <c r="M819" s="47" t="s">
        <v>255</v>
      </c>
      <c r="N819" s="52" t="s">
        <v>225</v>
      </c>
      <c r="O819" s="51" t="e">
        <f>VLOOKUP(N819,[2]!RUBROS[#All],3,0)</f>
        <v>#REF!</v>
      </c>
      <c r="P819" s="53" t="e">
        <f>VLOOKUP(N819,[2]!RUBROS[#All],2,0)</f>
        <v>#REF!</v>
      </c>
      <c r="Q819" s="47" t="str">
        <f t="shared" ref="Q819" si="279">+MID(N819,11,2)</f>
        <v>20</v>
      </c>
      <c r="R819" s="47" t="str">
        <f t="shared" ref="R819" si="280">+MID(N819,14,8)</f>
        <v>4-101124</v>
      </c>
      <c r="S819" s="342">
        <v>200</v>
      </c>
      <c r="T819" s="59" t="s">
        <v>120</v>
      </c>
      <c r="U819" s="326" t="e">
        <f ca="1">_xlfn.XLOOKUP(PAA_4[[#This Row],[ITEM]],[2]Contrato!A:A,[2]Contrato!Q:Q,"",0)</f>
        <v>#NAME?</v>
      </c>
      <c r="V819" s="47" t="s">
        <v>47</v>
      </c>
      <c r="W819" s="343" t="s">
        <v>154</v>
      </c>
      <c r="X819" s="343" t="s">
        <v>154</v>
      </c>
      <c r="Y819" s="55" t="e">
        <f ca="1">_xlfn.XLOOKUP(PAA_4[[#This Row],[ITEM]],[2]Contrato!A:A,[2]Contrato!B:B,"",0)</f>
        <v>#NAME?</v>
      </c>
      <c r="Z819" s="47" t="e">
        <f ca="1">_xlfn.XLOOKUP(PAA_4[[#This Row],[ITEM]],[2]Contrato!A:A,[2]Contrato!G:G,"",0)</f>
        <v>#NAME?</v>
      </c>
      <c r="AA819" s="47" t="e">
        <f ca="1">_xlfn.XLOOKUP(PAA_4[[#This Row],[ITEM]],[2]Contrato!A:A,[2]Contrato!T:T,"",0)</f>
        <v>#NAME?</v>
      </c>
      <c r="AB819" s="55" t="e">
        <f ca="1">+MAX(PAA_4[[#This Row],[Comprometido Contrato]],PAA_4[[#This Row],[Comprometido Bolsa]])</f>
        <v>#NAME?</v>
      </c>
      <c r="AC819" s="55" t="str">
        <f t="shared" ref="AC819" ca="1" si="281">IFERROR(I819-AB819,"")</f>
        <v/>
      </c>
      <c r="AD819" s="55" t="e">
        <f ca="1">IF(PAA_4[[#This Row],[ESTADO (formulado)]]="NO CONTRATADO",0,MAX(PAA_4[[#This Row],[Pago por Contrato]],PAA_4[[#This Row],[Pago por bolsa]]))</f>
        <v>#NAME?</v>
      </c>
      <c r="AE819" s="55" t="str">
        <f t="shared" ref="AE819" ca="1" si="282">+IFERROR(AB819-AD819,"")</f>
        <v/>
      </c>
      <c r="AF819" s="47" t="e">
        <f t="shared" ref="AF819" ca="1" si="283">+CONCATENATE(AA819,N819)</f>
        <v>#NAME?</v>
      </c>
      <c r="AG819" s="47">
        <f t="shared" ref="AG819" si="284">IFERROR(_xlfn.NUMBERVALUE(MID(G819,1,8)),"")</f>
        <v>41080111</v>
      </c>
      <c r="AH819" s="54">
        <f>IF(Q819="22",IF(ISNUMBER(SEARCH("econ",PAA_4[[#This Row],[Actividad3]])),"Económico",IF(ISNUMBER(SEARCH("alim",PAA_4[[#This Row],[Actividad3]])),"Alimentación",IF(ISNUMBER(SEARCH("educ",PAA_4[[#This Row],[Actividad3]])),"Educativo","Técnico"))),0)</f>
        <v>0</v>
      </c>
      <c r="AI819" s="47" t="e" cm="1">
        <f t="array" aca="1" ref="AI819" ca="1">_xlfn.XLOOKUP(PAA_4[[#This Row],[RCP-RUBRO]],[2]!COMPROMISOS_2024[[#All],[concatenado]],[2]!COMPROMISOS_2024[[#All],[Total pagado]],"",0)</f>
        <v>#NAME?</v>
      </c>
      <c r="AJ819" s="56">
        <f>IF(PAA_4[[#This Row],[BOLSA]]=0,0,SUMIFS([2]!COMPROMISOS_2024[[#All],[Total pagado]],[2]!COMPROMISOS_2024[[#All],[Bolsa]],PAA_4[[#This Row],[BOLSA]],[2]!COMPROMISOS_2024[[#All],[rubro]],PAA_4[[#This Row],[RCP-RUBRO]]))</f>
        <v>0</v>
      </c>
      <c r="AK819" s="47" t="e" cm="1">
        <f t="array" aca="1" ref="AK819" ca="1">_xlfn.XLOOKUP(PAA_4[[#This Row],[RCP-RUBRO]],[2]!COMPROMISOS_2024[[#All],[concatenado]],[2]!COMPROMISOS_2024[[#All],[Total Comprometido]],"",0)</f>
        <v>#NAME?</v>
      </c>
      <c r="AL819" s="47">
        <f>IF(PAA_4[[#This Row],[BOLSA]]=0,0,SUMIFS([2]!COMPROMISOS_2024[[#All],[Total Comprometido]],[2]!COMPROMISOS_2024[[#All],[Bolsa]],PAA_4[[#This Row],[BOLSA]],[2]!COMPROMISOS_2024[[#All],[concatenado]],PAA_4[[#This Row],[RCP-RUBRO]]))</f>
        <v>0</v>
      </c>
    </row>
    <row r="820" spans="1:38" s="19" customFormat="1" ht="31.5" customHeight="1">
      <c r="A820" s="47" t="s">
        <v>82</v>
      </c>
      <c r="B820" s="51" t="s">
        <v>42</v>
      </c>
      <c r="C820" s="47" t="str">
        <f>VLOOKUP(PAA_4[[#This Row],[PROYECTO (formulado)2]],[2]PROYECTOS!$G$1:$L$32,6,0)</f>
        <v>SUBGERENCIA DE ALTOS LOGROS Y DEPORTE ASOCIADO</v>
      </c>
      <c r="D820" s="47" t="str">
        <f>+IF(PAA_4[[#This Row],[UNIDAD DE CONTRATACION (formulado)]]="Subgerencia Administrativa y Financiera","FUNCIONAMIENTO","INVERSIÓN")</f>
        <v>INVERSIÓN</v>
      </c>
      <c r="E820" s="48" t="str">
        <f>VLOOKUP(Q820,[2]PROYECTOS!$G$1:$K$32,5,0)</f>
        <v>FORTALECIMIENTO_DEL_PROGRAMA_DE_ALTOS_LOGROS_Y_LIDERAZGO_DEPORTIVO_EN_EL_DEPARTAMENTO_DE_ANTIOQUIA</v>
      </c>
      <c r="F820" s="48">
        <f>VLOOKUP(E820,[2]PROYECTOS!$K$1:$M$32,3,0)</f>
        <v>2020003050021</v>
      </c>
      <c r="G820" s="67" t="s">
        <v>224</v>
      </c>
      <c r="H820" s="49" t="str">
        <f>VLOOKUP(Q820,[2]PROYECTOS!$V$1:$W$32,2,0)</f>
        <v>050061</v>
      </c>
      <c r="I820" s="50">
        <v>1182</v>
      </c>
      <c r="J820" s="340" t="s">
        <v>1757</v>
      </c>
      <c r="K820" s="47" t="str">
        <f ca="1">IF(ISNONTEXT(Y820)=TRUE,"CONTRATADO","NO CONTRATADO")</f>
        <v>CONTRATADO</v>
      </c>
      <c r="L820" s="352" t="s">
        <v>42</v>
      </c>
      <c r="M820" s="47" t="s">
        <v>42</v>
      </c>
      <c r="N820" s="52" t="s">
        <v>225</v>
      </c>
      <c r="O820" s="51" t="e">
        <f>VLOOKUP(N820,[2]!RUBROS[#All],3,0)</f>
        <v>#REF!</v>
      </c>
      <c r="P820" s="53" t="e">
        <f>VLOOKUP(N820,[2]!RUBROS[#All],2,0)</f>
        <v>#REF!</v>
      </c>
      <c r="Q820" s="47" t="str">
        <f>+MID(N820,11,2)</f>
        <v>20</v>
      </c>
      <c r="R820" s="47" t="str">
        <f>+MID(N820,14,8)</f>
        <v>4-101124</v>
      </c>
      <c r="S820" s="353" t="s">
        <v>42</v>
      </c>
      <c r="T820" s="354" t="s">
        <v>42</v>
      </c>
      <c r="U820" s="326" t="e">
        <f ca="1">_xlfn.XLOOKUP(PAA_4[[#This Row],[ITEM]],[2]Contrato!A:A,[2]Contrato!Q:Q,"",0)</f>
        <v>#NAME?</v>
      </c>
      <c r="V820" s="47" t="s">
        <v>95</v>
      </c>
      <c r="W820" s="343" t="s">
        <v>42</v>
      </c>
      <c r="X820" s="343" t="s">
        <v>42</v>
      </c>
      <c r="Y820" s="55" t="e">
        <f ca="1">_xlfn.XLOOKUP(PAA_4[[#This Row],[ITEM]],[2]Contrato!A:A,[2]Contrato!B:B,"",0)</f>
        <v>#NAME?</v>
      </c>
      <c r="Z820" s="47" t="e">
        <f ca="1">_xlfn.XLOOKUP(PAA_4[[#This Row],[ITEM]],[2]Contrato!A:A,[2]Contrato!G:G,"",0)</f>
        <v>#NAME?</v>
      </c>
      <c r="AA820" s="47" t="e">
        <f ca="1">_xlfn.XLOOKUP(PAA_4[[#This Row],[ITEM]],[2]Contrato!A:A,[2]Contrato!T:T,"",0)</f>
        <v>#NAME?</v>
      </c>
      <c r="AB820" s="55" t="e">
        <f ca="1">+MAX(PAA_4[[#This Row],[Comprometido Contrato]],PAA_4[[#This Row],[Comprometido Bolsa]])</f>
        <v>#NAME?</v>
      </c>
      <c r="AC820" s="55" t="str">
        <f ca="1">IFERROR(I820-AB820,"")</f>
        <v/>
      </c>
      <c r="AD820" s="55" t="e">
        <f ca="1">IF(PAA_4[[#This Row],[ESTADO (formulado)]]="NO CONTRATADO",0,MAX(PAA_4[[#This Row],[Pago por Contrato]],PAA_4[[#This Row],[Pago por bolsa]]))</f>
        <v>#NAME?</v>
      </c>
      <c r="AE820" s="55" t="str">
        <f ca="1">+IFERROR(AB820-AD820,"")</f>
        <v/>
      </c>
      <c r="AF820" s="47" t="e">
        <f ca="1">+CONCATENATE(AA820,N820)</f>
        <v>#NAME?</v>
      </c>
      <c r="AG820" s="47">
        <f>IFERROR(_xlfn.NUMBERVALUE(MID(G820,1,8)),"")</f>
        <v>41080111</v>
      </c>
      <c r="AH820" s="54">
        <f>IF(Q820="22",IF(ISNUMBER(SEARCH("econ",PAA_4[[#This Row],[Actividad3]])),"Económico",IF(ISNUMBER(SEARCH("alim",PAA_4[[#This Row],[Actividad3]])),"Alimentación",IF(ISNUMBER(SEARCH("educ",PAA_4[[#This Row],[Actividad3]])),"Educativo","Técnico"))),0)</f>
        <v>0</v>
      </c>
      <c r="AI820" s="47" t="e" cm="1">
        <f t="array" aca="1" ref="AI820" ca="1">_xlfn.XLOOKUP(PAA_4[[#This Row],[RCP-RUBRO]],[2]!COMPROMISOS_2024[[#All],[concatenado]],[2]!COMPROMISOS_2024[[#All],[Total pagado]],"",0)</f>
        <v>#NAME?</v>
      </c>
      <c r="AJ820" s="56">
        <f>IF(PAA_4[[#This Row],[BOLSA]]=0,0,SUMIFS([2]!COMPROMISOS_2024[[#All],[Total pagado]],[2]!COMPROMISOS_2024[[#All],[Bolsa]],PAA_4[[#This Row],[BOLSA]],[2]!COMPROMISOS_2024[[#All],[rubro]],PAA_4[[#This Row],[RCP-RUBRO]]))</f>
        <v>0</v>
      </c>
      <c r="AK820" s="47" t="e" cm="1">
        <f t="array" aca="1" ref="AK820" ca="1">_xlfn.XLOOKUP(PAA_4[[#This Row],[RCP-RUBRO]],[2]!COMPROMISOS_2024[[#All],[concatenado]],[2]!COMPROMISOS_2024[[#All],[Total Comprometido]],"",0)</f>
        <v>#NAME?</v>
      </c>
      <c r="AL820" s="47">
        <f>IF(PAA_4[[#This Row],[BOLSA]]=0,0,SUMIFS([2]!COMPROMISOS_2024[[#All],[Total Comprometido]],[2]!COMPROMISOS_2024[[#All],[Bolsa]],PAA_4[[#This Row],[BOLSA]],[2]!COMPROMISOS_2024[[#All],[concatenado]],PAA_4[[#This Row],[RCP-RUBRO]]))</f>
        <v>0</v>
      </c>
    </row>
    <row r="821" spans="1:38" s="19" customFormat="1" ht="31.5" customHeight="1">
      <c r="A821" s="47">
        <v>702</v>
      </c>
      <c r="B821" s="51">
        <v>90141502</v>
      </c>
      <c r="C821" s="47" t="str">
        <f>VLOOKUP(PAA_4[[#This Row],[PROYECTO (formulado)2]],[2]PROYECTOS!$G$1:$L$32,6,0)</f>
        <v>SUBGERENCIA DE ALTOS LOGROS Y DEPORTE ASOCIADO</v>
      </c>
      <c r="D821" s="47" t="str">
        <f>+IF(PAA_4[[#This Row],[UNIDAD DE CONTRATACION (formulado)]]="Subgerencia Administrativa y Financiera","FUNCIONAMIENTO","INVERSIÓN")</f>
        <v>INVERSIÓN</v>
      </c>
      <c r="E821" s="48" t="str">
        <f>VLOOKUP(Q821,[2]PROYECTOS!$G$1:$K$32,5,0)</f>
        <v>FORTALECIMIENTO_DEL_PROGRAMA_DE_ALTOS_LOGROS_Y_LIDERAZGO_DEPORTIVO_EN_EL_DEPARTAMENTO_DE_ANTIOQUIA</v>
      </c>
      <c r="F821" s="48">
        <f>VLOOKUP(E821,[2]PROYECTOS!$K$1:$M$32,3,0)</f>
        <v>2020003050021</v>
      </c>
      <c r="G821" s="67" t="s">
        <v>224</v>
      </c>
      <c r="H821" s="49" t="str">
        <f>VLOOKUP(Q821,[2]PROYECTOS!$V$1:$W$32,2,0)</f>
        <v>050061</v>
      </c>
      <c r="I821" s="50">
        <f>180000000-1182</f>
        <v>179998818</v>
      </c>
      <c r="J821" s="340" t="s">
        <v>1758</v>
      </c>
      <c r="K821" s="47" t="str">
        <f t="shared" ref="K821:K841" ca="1" si="285">IF(ISNONTEXT(Y821)=TRUE,"CONTRATADO","NO CONTRATADO")</f>
        <v>CONTRATADO</v>
      </c>
      <c r="L821" s="351" t="s">
        <v>94</v>
      </c>
      <c r="M821" s="47" t="s">
        <v>255</v>
      </c>
      <c r="N821" s="52" t="s">
        <v>225</v>
      </c>
      <c r="O821" s="51" t="e">
        <f>VLOOKUP(N821,[2]!RUBROS[#All],3,0)</f>
        <v>#REF!</v>
      </c>
      <c r="P821" s="53" t="e">
        <f>VLOOKUP(N821,[2]!RUBROS[#All],2,0)</f>
        <v>#REF!</v>
      </c>
      <c r="Q821" s="47" t="str">
        <f t="shared" ref="Q821:Q841" si="286">+MID(N821,11,2)</f>
        <v>20</v>
      </c>
      <c r="R821" s="47" t="str">
        <f t="shared" ref="R821:R841" si="287">+MID(N821,14,8)</f>
        <v>4-101124</v>
      </c>
      <c r="S821" s="342">
        <v>200</v>
      </c>
      <c r="T821" s="59" t="s">
        <v>120</v>
      </c>
      <c r="U821" s="326" t="e">
        <f ca="1">_xlfn.XLOOKUP(PAA_4[[#This Row],[ITEM]],[2]Contrato!A:A,[2]Contrato!Q:Q,"",0)</f>
        <v>#NAME?</v>
      </c>
      <c r="V821" s="47" t="s">
        <v>47</v>
      </c>
      <c r="W821" s="343" t="s">
        <v>154</v>
      </c>
      <c r="X821" s="343" t="s">
        <v>154</v>
      </c>
      <c r="Y821" s="55" t="e">
        <f ca="1">_xlfn.XLOOKUP(PAA_4[[#This Row],[ITEM]],[2]Contrato!A:A,[2]Contrato!B:B,"",0)</f>
        <v>#NAME?</v>
      </c>
      <c r="Z821" s="47" t="e">
        <f ca="1">_xlfn.XLOOKUP(PAA_4[[#This Row],[ITEM]],[2]Contrato!A:A,[2]Contrato!G:G,"",0)</f>
        <v>#NAME?</v>
      </c>
      <c r="AA821" s="47" t="e">
        <f ca="1">_xlfn.XLOOKUP(PAA_4[[#This Row],[ITEM]],[2]Contrato!A:A,[2]Contrato!T:T,"",0)</f>
        <v>#NAME?</v>
      </c>
      <c r="AB821" s="55" t="e">
        <f ca="1">+MAX(PAA_4[[#This Row],[Comprometido Contrato]],PAA_4[[#This Row],[Comprometido Bolsa]])</f>
        <v>#NAME?</v>
      </c>
      <c r="AC821" s="55" t="str">
        <f t="shared" ref="AC821:AC841" ca="1" si="288">IFERROR(I821-AB821,"")</f>
        <v/>
      </c>
      <c r="AD821" s="55" t="e">
        <f ca="1">IF(PAA_4[[#This Row],[ESTADO (formulado)]]="NO CONTRATADO",0,MAX(PAA_4[[#This Row],[Pago por Contrato]],PAA_4[[#This Row],[Pago por bolsa]]))</f>
        <v>#NAME?</v>
      </c>
      <c r="AE821" s="55" t="str">
        <f t="shared" ref="AE821:AE841" ca="1" si="289">+IFERROR(AB821-AD821,"")</f>
        <v/>
      </c>
      <c r="AF821" s="47" t="e">
        <f t="shared" ref="AF821:AF841" ca="1" si="290">+CONCATENATE(AA821,N821)</f>
        <v>#NAME?</v>
      </c>
      <c r="AG821" s="47">
        <f t="shared" ref="AG821:AG841" si="291">IFERROR(_xlfn.NUMBERVALUE(MID(G821,1,8)),"")</f>
        <v>41080111</v>
      </c>
      <c r="AH821" s="54">
        <f>IF(Q821="22",IF(ISNUMBER(SEARCH("econ",PAA_4[[#This Row],[Actividad3]])),"Económico",IF(ISNUMBER(SEARCH("alim",PAA_4[[#This Row],[Actividad3]])),"Alimentación",IF(ISNUMBER(SEARCH("educ",PAA_4[[#This Row],[Actividad3]])),"Educativo","Técnico"))),0)</f>
        <v>0</v>
      </c>
      <c r="AI821" s="47" t="e" cm="1">
        <f t="array" aca="1" ref="AI821" ca="1">_xlfn.XLOOKUP(PAA_4[[#This Row],[RCP-RUBRO]],[2]!COMPROMISOS_2024[[#All],[concatenado]],[2]!COMPROMISOS_2024[[#All],[Total pagado]],"",0)</f>
        <v>#NAME?</v>
      </c>
      <c r="AJ821" s="56">
        <f>IF(PAA_4[[#This Row],[BOLSA]]=0,0,SUMIFS([2]!COMPROMISOS_2024[[#All],[Total pagado]],[2]!COMPROMISOS_2024[[#All],[Bolsa]],PAA_4[[#This Row],[BOLSA]],[2]!COMPROMISOS_2024[[#All],[rubro]],PAA_4[[#This Row],[RCP-RUBRO]]))</f>
        <v>0</v>
      </c>
      <c r="AK821" s="47" t="e" cm="1">
        <f t="array" aca="1" ref="AK821" ca="1">_xlfn.XLOOKUP(PAA_4[[#This Row],[RCP-RUBRO]],[2]!COMPROMISOS_2024[[#All],[concatenado]],[2]!COMPROMISOS_2024[[#All],[Total Comprometido]],"",0)</f>
        <v>#NAME?</v>
      </c>
      <c r="AL821" s="47">
        <f>IF(PAA_4[[#This Row],[BOLSA]]=0,0,SUMIFS([2]!COMPROMISOS_2024[[#All],[Total Comprometido]],[2]!COMPROMISOS_2024[[#All],[Bolsa]],PAA_4[[#This Row],[BOLSA]],[2]!COMPROMISOS_2024[[#All],[concatenado]],PAA_4[[#This Row],[RCP-RUBRO]]))</f>
        <v>0</v>
      </c>
    </row>
    <row r="822" spans="1:38" s="19" customFormat="1" ht="31.5" customHeight="1">
      <c r="A822" s="47">
        <v>703</v>
      </c>
      <c r="B822" s="51">
        <v>90141502</v>
      </c>
      <c r="C822" s="47" t="str">
        <f>VLOOKUP(PAA_4[[#This Row],[PROYECTO (formulado)2]],[2]PROYECTOS!$G$1:$L$32,6,0)</f>
        <v>SUBGERENCIA DE ALTOS LOGROS Y DEPORTE ASOCIADO</v>
      </c>
      <c r="D822" s="47" t="str">
        <f>+IF(PAA_4[[#This Row],[UNIDAD DE CONTRATACION (formulado)]]="Subgerencia Administrativa y Financiera","FUNCIONAMIENTO","INVERSIÓN")</f>
        <v>INVERSIÓN</v>
      </c>
      <c r="E822" s="48" t="str">
        <f>VLOOKUP(Q822,[2]PROYECTOS!$G$1:$K$32,5,0)</f>
        <v>FORTALECIMIENTO_DEL_PROGRAMA_DE_ALTOS_LOGROS_Y_LIDERAZGO_DEPORTIVO_EN_EL_DEPARTAMENTO_DE_ANTIOQUIA</v>
      </c>
      <c r="F822" s="48">
        <f>VLOOKUP(E822,[2]PROYECTOS!$K$1:$M$32,3,0)</f>
        <v>2020003050021</v>
      </c>
      <c r="G822" s="67" t="s">
        <v>224</v>
      </c>
      <c r="H822" s="49" t="str">
        <f>VLOOKUP(Q822,[2]PROYECTOS!$V$1:$W$32,2,0)</f>
        <v>050061</v>
      </c>
      <c r="I822" s="50">
        <f>120000000-16025043</f>
        <v>103974957</v>
      </c>
      <c r="J822" s="340" t="s">
        <v>1759</v>
      </c>
      <c r="K822" s="47" t="str">
        <f t="shared" ca="1" si="285"/>
        <v>CONTRATADO</v>
      </c>
      <c r="L822" s="351" t="s">
        <v>94</v>
      </c>
      <c r="M822" s="47" t="s">
        <v>222</v>
      </c>
      <c r="N822" s="52" t="s">
        <v>225</v>
      </c>
      <c r="O822" s="51" t="e">
        <f>VLOOKUP(N822,[2]!RUBROS[#All],3,0)</f>
        <v>#REF!</v>
      </c>
      <c r="P822" s="53" t="e">
        <f>VLOOKUP(N822,[2]!RUBROS[#All],2,0)</f>
        <v>#REF!</v>
      </c>
      <c r="Q822" s="47" t="str">
        <f t="shared" si="286"/>
        <v>20</v>
      </c>
      <c r="R822" s="47" t="str">
        <f t="shared" si="287"/>
        <v>4-101124</v>
      </c>
      <c r="S822" s="342">
        <v>175</v>
      </c>
      <c r="T822" s="59" t="s">
        <v>120</v>
      </c>
      <c r="U822" s="326" t="e">
        <f ca="1">_xlfn.XLOOKUP(PAA_4[[#This Row],[ITEM]],[2]Contrato!A:A,[2]Contrato!Q:Q,"",0)</f>
        <v>#NAME?</v>
      </c>
      <c r="V822" s="47" t="s">
        <v>47</v>
      </c>
      <c r="W822" s="343" t="s">
        <v>154</v>
      </c>
      <c r="X822" s="343" t="s">
        <v>154</v>
      </c>
      <c r="Y822" s="55" t="e">
        <f ca="1">_xlfn.XLOOKUP(PAA_4[[#This Row],[ITEM]],[2]Contrato!A:A,[2]Contrato!B:B,"",0)</f>
        <v>#NAME?</v>
      </c>
      <c r="Z822" s="47" t="e">
        <f ca="1">_xlfn.XLOOKUP(PAA_4[[#This Row],[ITEM]],[2]Contrato!A:A,[2]Contrato!G:G,"",0)</f>
        <v>#NAME?</v>
      </c>
      <c r="AA822" s="47" t="e">
        <f ca="1">_xlfn.XLOOKUP(PAA_4[[#This Row],[ITEM]],[2]Contrato!A:A,[2]Contrato!T:T,"",0)</f>
        <v>#NAME?</v>
      </c>
      <c r="AB822" s="55" t="e">
        <f ca="1">+MAX(PAA_4[[#This Row],[Comprometido Contrato]],PAA_4[[#This Row],[Comprometido Bolsa]])</f>
        <v>#NAME?</v>
      </c>
      <c r="AC822" s="55" t="str">
        <f t="shared" ca="1" si="288"/>
        <v/>
      </c>
      <c r="AD822" s="55" t="e">
        <f ca="1">IF(PAA_4[[#This Row],[ESTADO (formulado)]]="NO CONTRATADO",0,MAX(PAA_4[[#This Row],[Pago por Contrato]],PAA_4[[#This Row],[Pago por bolsa]]))</f>
        <v>#NAME?</v>
      </c>
      <c r="AE822" s="55" t="str">
        <f t="shared" ca="1" si="289"/>
        <v/>
      </c>
      <c r="AF822" s="47" t="e">
        <f t="shared" ca="1" si="290"/>
        <v>#NAME?</v>
      </c>
      <c r="AG822" s="47">
        <f t="shared" si="291"/>
        <v>41080111</v>
      </c>
      <c r="AH822" s="54">
        <f>IF(Q822="22",IF(ISNUMBER(SEARCH("econ",PAA_4[[#This Row],[Actividad3]])),"Económico",IF(ISNUMBER(SEARCH("alim",PAA_4[[#This Row],[Actividad3]])),"Alimentación",IF(ISNUMBER(SEARCH("educ",PAA_4[[#This Row],[Actividad3]])),"Educativo","Técnico"))),0)</f>
        <v>0</v>
      </c>
      <c r="AI822" s="47" t="e" cm="1">
        <f t="array" aca="1" ref="AI822" ca="1">_xlfn.XLOOKUP(PAA_4[[#This Row],[RCP-RUBRO]],[2]!COMPROMISOS_2024[[#All],[concatenado]],[2]!COMPROMISOS_2024[[#All],[Total pagado]],"",0)</f>
        <v>#NAME?</v>
      </c>
      <c r="AJ822" s="56">
        <f>IF(PAA_4[[#This Row],[BOLSA]]=0,0,SUMIFS([2]!COMPROMISOS_2024[[#All],[Total pagado]],[2]!COMPROMISOS_2024[[#All],[Bolsa]],PAA_4[[#This Row],[BOLSA]],[2]!COMPROMISOS_2024[[#All],[rubro]],PAA_4[[#This Row],[RCP-RUBRO]]))</f>
        <v>0</v>
      </c>
      <c r="AK822" s="47" t="e" cm="1">
        <f t="array" aca="1" ref="AK822" ca="1">_xlfn.XLOOKUP(PAA_4[[#This Row],[RCP-RUBRO]],[2]!COMPROMISOS_2024[[#All],[concatenado]],[2]!COMPROMISOS_2024[[#All],[Total Comprometido]],"",0)</f>
        <v>#NAME?</v>
      </c>
      <c r="AL822" s="47">
        <f>IF(PAA_4[[#This Row],[BOLSA]]=0,0,SUMIFS([2]!COMPROMISOS_2024[[#All],[Total Comprometido]],[2]!COMPROMISOS_2024[[#All],[Bolsa]],PAA_4[[#This Row],[BOLSA]],[2]!COMPROMISOS_2024[[#All],[concatenado]],PAA_4[[#This Row],[RCP-RUBRO]]))</f>
        <v>0</v>
      </c>
    </row>
    <row r="823" spans="1:38" s="19" customFormat="1" ht="31.5" customHeight="1">
      <c r="A823" s="47">
        <v>704</v>
      </c>
      <c r="B823" s="51">
        <v>90141502</v>
      </c>
      <c r="C823" s="47" t="str">
        <f>VLOOKUP(PAA_4[[#This Row],[PROYECTO (formulado)2]],[2]PROYECTOS!$G$1:$L$32,6,0)</f>
        <v>SUBGERENCIA DE ALTOS LOGROS Y DEPORTE ASOCIADO</v>
      </c>
      <c r="D823" s="47" t="str">
        <f>+IF(PAA_4[[#This Row],[UNIDAD DE CONTRATACION (formulado)]]="Subgerencia Administrativa y Financiera","FUNCIONAMIENTO","INVERSIÓN")</f>
        <v>INVERSIÓN</v>
      </c>
      <c r="E823" s="48" t="str">
        <f>VLOOKUP(Q823,[2]PROYECTOS!$G$1:$K$32,5,0)</f>
        <v>FORTALECIMIENTO_DEL_PROGRAMA_DE_ALTOS_LOGROS_Y_LIDERAZGO_DEPORTIVO_EN_EL_DEPARTAMENTO_DE_ANTIOQUIA</v>
      </c>
      <c r="F823" s="48">
        <f>VLOOKUP(E823,[2]PROYECTOS!$K$1:$M$32,3,0)</f>
        <v>2020003050021</v>
      </c>
      <c r="G823" s="67" t="s">
        <v>224</v>
      </c>
      <c r="H823" s="49" t="str">
        <f>VLOOKUP(Q823,[2]PROYECTOS!$V$1:$W$32,2,0)</f>
        <v>050061</v>
      </c>
      <c r="I823" s="50">
        <v>60000000</v>
      </c>
      <c r="J823" s="340" t="s">
        <v>1760</v>
      </c>
      <c r="K823" s="47" t="str">
        <f t="shared" ca="1" si="285"/>
        <v>CONTRATADO</v>
      </c>
      <c r="L823" s="351" t="s">
        <v>94</v>
      </c>
      <c r="M823" s="47" t="s">
        <v>255</v>
      </c>
      <c r="N823" s="355" t="s">
        <v>223</v>
      </c>
      <c r="O823" s="51" t="e">
        <f>VLOOKUP(N823,[2]!RUBROS[#All],3,0)</f>
        <v>#REF!</v>
      </c>
      <c r="P823" s="53" t="e">
        <f>VLOOKUP(N823,[2]!RUBROS[#All],2,0)</f>
        <v>#REF!</v>
      </c>
      <c r="Q823" s="47" t="str">
        <f t="shared" si="286"/>
        <v>20</v>
      </c>
      <c r="R823" s="47" t="str">
        <f t="shared" si="287"/>
        <v>0-205400</v>
      </c>
      <c r="S823" s="342">
        <v>155</v>
      </c>
      <c r="T823" s="59" t="s">
        <v>120</v>
      </c>
      <c r="U823" s="326" t="e">
        <f ca="1">_xlfn.XLOOKUP(PAA_4[[#This Row],[ITEM]],[2]Contrato!A:A,[2]Contrato!Q:Q,"",0)</f>
        <v>#NAME?</v>
      </c>
      <c r="V823" s="47" t="s">
        <v>47</v>
      </c>
      <c r="W823" s="343" t="s">
        <v>203</v>
      </c>
      <c r="X823" s="343" t="s">
        <v>203</v>
      </c>
      <c r="Y823" s="55" t="e">
        <f ca="1">_xlfn.XLOOKUP(PAA_4[[#This Row],[ITEM]],[2]Contrato!A:A,[2]Contrato!B:B,"",0)</f>
        <v>#NAME?</v>
      </c>
      <c r="Z823" s="47" t="e">
        <f ca="1">_xlfn.XLOOKUP(PAA_4[[#This Row],[ITEM]],[2]Contrato!A:A,[2]Contrato!G:G,"",0)</f>
        <v>#NAME?</v>
      </c>
      <c r="AA823" s="47" t="e">
        <f ca="1">_xlfn.XLOOKUP(PAA_4[[#This Row],[ITEM]],[2]Contrato!A:A,[2]Contrato!T:T,"",0)</f>
        <v>#NAME?</v>
      </c>
      <c r="AB823" s="55" t="e">
        <f ca="1">+MAX(PAA_4[[#This Row],[Comprometido Contrato]],PAA_4[[#This Row],[Comprometido Bolsa]])</f>
        <v>#NAME?</v>
      </c>
      <c r="AC823" s="55" t="str">
        <f t="shared" ca="1" si="288"/>
        <v/>
      </c>
      <c r="AD823" s="55" t="e">
        <f ca="1">IF(PAA_4[[#This Row],[ESTADO (formulado)]]="NO CONTRATADO",0,MAX(PAA_4[[#This Row],[Pago por Contrato]],PAA_4[[#This Row],[Pago por bolsa]]))</f>
        <v>#NAME?</v>
      </c>
      <c r="AE823" s="55" t="str">
        <f t="shared" ca="1" si="289"/>
        <v/>
      </c>
      <c r="AF823" s="47" t="e">
        <f t="shared" ca="1" si="290"/>
        <v>#NAME?</v>
      </c>
      <c r="AG823" s="47">
        <f t="shared" si="291"/>
        <v>41080111</v>
      </c>
      <c r="AH823" s="54">
        <f>IF(Q823="22",IF(ISNUMBER(SEARCH("econ",PAA_4[[#This Row],[Actividad3]])),"Económico",IF(ISNUMBER(SEARCH("alim",PAA_4[[#This Row],[Actividad3]])),"Alimentación",IF(ISNUMBER(SEARCH("educ",PAA_4[[#This Row],[Actividad3]])),"Educativo","Técnico"))),0)</f>
        <v>0</v>
      </c>
      <c r="AI823" s="47" t="e" cm="1">
        <f t="array" aca="1" ref="AI823" ca="1">_xlfn.XLOOKUP(PAA_4[[#This Row],[RCP-RUBRO]],[2]!COMPROMISOS_2024[[#All],[concatenado]],[2]!COMPROMISOS_2024[[#All],[Total pagado]],"",0)</f>
        <v>#NAME?</v>
      </c>
      <c r="AJ823" s="56">
        <f>IF(PAA_4[[#This Row],[BOLSA]]=0,0,SUMIFS([2]!COMPROMISOS_2024[[#All],[Total pagado]],[2]!COMPROMISOS_2024[[#All],[Bolsa]],PAA_4[[#This Row],[BOLSA]],[2]!COMPROMISOS_2024[[#All],[rubro]],PAA_4[[#This Row],[RCP-RUBRO]]))</f>
        <v>0</v>
      </c>
      <c r="AK823" s="47" t="e" cm="1">
        <f t="array" aca="1" ref="AK823" ca="1">_xlfn.XLOOKUP(PAA_4[[#This Row],[RCP-RUBRO]],[2]!COMPROMISOS_2024[[#All],[concatenado]],[2]!COMPROMISOS_2024[[#All],[Total Comprometido]],"",0)</f>
        <v>#NAME?</v>
      </c>
      <c r="AL823" s="47">
        <f>IF(PAA_4[[#This Row],[BOLSA]]=0,0,SUMIFS([2]!COMPROMISOS_2024[[#All],[Total Comprometido]],[2]!COMPROMISOS_2024[[#All],[Bolsa]],PAA_4[[#This Row],[BOLSA]],[2]!COMPROMISOS_2024[[#All],[concatenado]],PAA_4[[#This Row],[RCP-RUBRO]]))</f>
        <v>0</v>
      </c>
    </row>
    <row r="824" spans="1:38" s="19" customFormat="1" ht="31.5" customHeight="1">
      <c r="A824" s="47">
        <v>704</v>
      </c>
      <c r="B824" s="51">
        <v>90141502</v>
      </c>
      <c r="C824" s="47" t="str">
        <f>VLOOKUP(PAA_4[[#This Row],[PROYECTO (formulado)2]],[2]PROYECTOS!$G$1:$L$32,6,0)</f>
        <v>SUBGERENCIA DE ALTOS LOGROS Y DEPORTE ASOCIADO</v>
      </c>
      <c r="D824" s="47" t="str">
        <f>+IF(PAA_4[[#This Row],[UNIDAD DE CONTRATACION (formulado)]]="Subgerencia Administrativa y Financiera","FUNCIONAMIENTO","INVERSIÓN")</f>
        <v>INVERSIÓN</v>
      </c>
      <c r="E824" s="48" t="str">
        <f>VLOOKUP(Q824,[2]PROYECTOS!$G$1:$K$32,5,0)</f>
        <v>FORTALECIMIENTO_DEL_PROGRAMA_DE_ALTOS_LOGROS_Y_LIDERAZGO_DEPORTIVO_EN_EL_DEPARTAMENTO_DE_ANTIOQUIA</v>
      </c>
      <c r="F824" s="48">
        <f>VLOOKUP(E824,[2]PROYECTOS!$K$1:$M$32,3,0)</f>
        <v>2020003050021</v>
      </c>
      <c r="G824" s="67" t="s">
        <v>224</v>
      </c>
      <c r="H824" s="49" t="str">
        <f>VLOOKUP(Q824,[2]PROYECTOS!$V$1:$W$32,2,0)</f>
        <v>050061</v>
      </c>
      <c r="I824" s="50">
        <v>50000000</v>
      </c>
      <c r="J824" s="340" t="s">
        <v>1760</v>
      </c>
      <c r="K824" s="47" t="str">
        <f t="shared" ca="1" si="285"/>
        <v>CONTRATADO</v>
      </c>
      <c r="L824" s="351" t="s">
        <v>94</v>
      </c>
      <c r="M824" s="47" t="s">
        <v>255</v>
      </c>
      <c r="N824" s="52" t="s">
        <v>225</v>
      </c>
      <c r="O824" s="51" t="e">
        <f>VLOOKUP(N824,[2]!RUBROS[#All],3,0)</f>
        <v>#REF!</v>
      </c>
      <c r="P824" s="53" t="e">
        <f>VLOOKUP(N824,[2]!RUBROS[#All],2,0)</f>
        <v>#REF!</v>
      </c>
      <c r="Q824" s="47" t="str">
        <f t="shared" si="286"/>
        <v>20</v>
      </c>
      <c r="R824" s="47" t="str">
        <f t="shared" si="287"/>
        <v>4-101124</v>
      </c>
      <c r="S824" s="342">
        <v>155</v>
      </c>
      <c r="T824" s="59" t="s">
        <v>120</v>
      </c>
      <c r="U824" s="326" t="e">
        <f ca="1">_xlfn.XLOOKUP(PAA_4[[#This Row],[ITEM]],[2]Contrato!A:A,[2]Contrato!Q:Q,"",0)</f>
        <v>#NAME?</v>
      </c>
      <c r="V824" s="47" t="s">
        <v>47</v>
      </c>
      <c r="W824" s="343" t="s">
        <v>203</v>
      </c>
      <c r="X824" s="343" t="s">
        <v>203</v>
      </c>
      <c r="Y824" s="55" t="e">
        <f ca="1">_xlfn.XLOOKUP(PAA_4[[#This Row],[ITEM]],[2]Contrato!A:A,[2]Contrato!B:B,"",0)</f>
        <v>#NAME?</v>
      </c>
      <c r="Z824" s="47" t="e">
        <f ca="1">_xlfn.XLOOKUP(PAA_4[[#This Row],[ITEM]],[2]Contrato!A:A,[2]Contrato!G:G,"",0)</f>
        <v>#NAME?</v>
      </c>
      <c r="AA824" s="47" t="e">
        <f ca="1">_xlfn.XLOOKUP(PAA_4[[#This Row],[ITEM]],[2]Contrato!A:A,[2]Contrato!T:T,"",0)</f>
        <v>#NAME?</v>
      </c>
      <c r="AB824" s="55" t="e">
        <f ca="1">+MAX(PAA_4[[#This Row],[Comprometido Contrato]],PAA_4[[#This Row],[Comprometido Bolsa]])</f>
        <v>#NAME?</v>
      </c>
      <c r="AC824" s="55" t="str">
        <f t="shared" ca="1" si="288"/>
        <v/>
      </c>
      <c r="AD824" s="55" t="e">
        <f ca="1">IF(PAA_4[[#This Row],[ESTADO (formulado)]]="NO CONTRATADO",0,MAX(PAA_4[[#This Row],[Pago por Contrato]],PAA_4[[#This Row],[Pago por bolsa]]))</f>
        <v>#NAME?</v>
      </c>
      <c r="AE824" s="55" t="str">
        <f t="shared" ca="1" si="289"/>
        <v/>
      </c>
      <c r="AF824" s="47" t="e">
        <f t="shared" ca="1" si="290"/>
        <v>#NAME?</v>
      </c>
      <c r="AG824" s="47">
        <f t="shared" si="291"/>
        <v>41080111</v>
      </c>
      <c r="AH824" s="54">
        <f>IF(Q824="22",IF(ISNUMBER(SEARCH("econ",PAA_4[[#This Row],[Actividad3]])),"Económico",IF(ISNUMBER(SEARCH("alim",PAA_4[[#This Row],[Actividad3]])),"Alimentación",IF(ISNUMBER(SEARCH("educ",PAA_4[[#This Row],[Actividad3]])),"Educativo","Técnico"))),0)</f>
        <v>0</v>
      </c>
      <c r="AI824" s="47" t="e" cm="1">
        <f t="array" aca="1" ref="AI824" ca="1">_xlfn.XLOOKUP(PAA_4[[#This Row],[RCP-RUBRO]],[2]!COMPROMISOS_2024[[#All],[concatenado]],[2]!COMPROMISOS_2024[[#All],[Total pagado]],"",0)</f>
        <v>#NAME?</v>
      </c>
      <c r="AJ824" s="56">
        <f>IF(PAA_4[[#This Row],[BOLSA]]=0,0,SUMIFS([2]!COMPROMISOS_2024[[#All],[Total pagado]],[2]!COMPROMISOS_2024[[#All],[Bolsa]],PAA_4[[#This Row],[BOLSA]],[2]!COMPROMISOS_2024[[#All],[rubro]],PAA_4[[#This Row],[RCP-RUBRO]]))</f>
        <v>0</v>
      </c>
      <c r="AK824" s="47" t="e" cm="1">
        <f t="array" aca="1" ref="AK824" ca="1">_xlfn.XLOOKUP(PAA_4[[#This Row],[RCP-RUBRO]],[2]!COMPROMISOS_2024[[#All],[concatenado]],[2]!COMPROMISOS_2024[[#All],[Total Comprometido]],"",0)</f>
        <v>#NAME?</v>
      </c>
      <c r="AL824" s="47">
        <f>IF(PAA_4[[#This Row],[BOLSA]]=0,0,SUMIFS([2]!COMPROMISOS_2024[[#All],[Total Comprometido]],[2]!COMPROMISOS_2024[[#All],[Bolsa]],PAA_4[[#This Row],[BOLSA]],[2]!COMPROMISOS_2024[[#All],[concatenado]],PAA_4[[#This Row],[RCP-RUBRO]]))</f>
        <v>0</v>
      </c>
    </row>
    <row r="825" spans="1:38" s="19" customFormat="1" ht="31.5" customHeight="1">
      <c r="A825" s="47">
        <v>705</v>
      </c>
      <c r="B825" s="51">
        <v>90141502</v>
      </c>
      <c r="C825" s="47" t="str">
        <f>VLOOKUP(PAA_4[[#This Row],[PROYECTO (formulado)2]],[2]PROYECTOS!$G$1:$L$32,6,0)</f>
        <v>SUBGERENCIA DE ALTOS LOGROS Y DEPORTE ASOCIADO</v>
      </c>
      <c r="D825" s="47" t="str">
        <f>+IF(PAA_4[[#This Row],[UNIDAD DE CONTRATACION (formulado)]]="Subgerencia Administrativa y Financiera","FUNCIONAMIENTO","INVERSIÓN")</f>
        <v>INVERSIÓN</v>
      </c>
      <c r="E825" s="48" t="str">
        <f>VLOOKUP(Q825,[2]PROYECTOS!$G$1:$K$32,5,0)</f>
        <v>FORTALECIMIENTO_DEL_PROGRAMA_DE_ALTOS_LOGROS_Y_LIDERAZGO_DEPORTIVO_EN_EL_DEPARTAMENTO_DE_ANTIOQUIA</v>
      </c>
      <c r="F825" s="48">
        <f>VLOOKUP(E825,[2]PROYECTOS!$K$1:$M$32,3,0)</f>
        <v>2020003050021</v>
      </c>
      <c r="G825" s="67" t="s">
        <v>224</v>
      </c>
      <c r="H825" s="49" t="str">
        <f>VLOOKUP(Q825,[2]PROYECTOS!$V$1:$W$32,2,0)</f>
        <v>050061</v>
      </c>
      <c r="I825" s="50">
        <v>300000000</v>
      </c>
      <c r="J825" s="340" t="s">
        <v>1761</v>
      </c>
      <c r="K825" s="47" t="str">
        <f t="shared" ca="1" si="285"/>
        <v>CONTRATADO</v>
      </c>
      <c r="L825" s="351" t="s">
        <v>94</v>
      </c>
      <c r="M825" s="47" t="s">
        <v>255</v>
      </c>
      <c r="N825" s="52" t="s">
        <v>225</v>
      </c>
      <c r="O825" s="51" t="e">
        <f>VLOOKUP(N825,[2]!RUBROS[#All],3,0)</f>
        <v>#REF!</v>
      </c>
      <c r="P825" s="53" t="e">
        <f>VLOOKUP(N825,[2]!RUBROS[#All],2,0)</f>
        <v>#REF!</v>
      </c>
      <c r="Q825" s="47" t="str">
        <f t="shared" si="286"/>
        <v>20</v>
      </c>
      <c r="R825" s="47" t="str">
        <f t="shared" si="287"/>
        <v>4-101124</v>
      </c>
      <c r="S825" s="342">
        <v>200</v>
      </c>
      <c r="T825" s="59" t="s">
        <v>120</v>
      </c>
      <c r="U825" s="326" t="e">
        <f ca="1">_xlfn.XLOOKUP(PAA_4[[#This Row],[ITEM]],[2]Contrato!A:A,[2]Contrato!Q:Q,"",0)</f>
        <v>#NAME?</v>
      </c>
      <c r="V825" s="47" t="s">
        <v>47</v>
      </c>
      <c r="W825" s="343" t="s">
        <v>154</v>
      </c>
      <c r="X825" s="343" t="s">
        <v>154</v>
      </c>
      <c r="Y825" s="55" t="e">
        <f ca="1">_xlfn.XLOOKUP(PAA_4[[#This Row],[ITEM]],[2]Contrato!A:A,[2]Contrato!B:B,"",0)</f>
        <v>#NAME?</v>
      </c>
      <c r="Z825" s="47" t="e">
        <f ca="1">_xlfn.XLOOKUP(PAA_4[[#This Row],[ITEM]],[2]Contrato!A:A,[2]Contrato!G:G,"",0)</f>
        <v>#NAME?</v>
      </c>
      <c r="AA825" s="47" t="e">
        <f ca="1">_xlfn.XLOOKUP(PAA_4[[#This Row],[ITEM]],[2]Contrato!A:A,[2]Contrato!T:T,"",0)</f>
        <v>#NAME?</v>
      </c>
      <c r="AB825" s="55" t="e">
        <f ca="1">+MAX(PAA_4[[#This Row],[Comprometido Contrato]],PAA_4[[#This Row],[Comprometido Bolsa]])</f>
        <v>#NAME?</v>
      </c>
      <c r="AC825" s="55" t="str">
        <f t="shared" ca="1" si="288"/>
        <v/>
      </c>
      <c r="AD825" s="55" t="e">
        <f ca="1">IF(PAA_4[[#This Row],[ESTADO (formulado)]]="NO CONTRATADO",0,MAX(PAA_4[[#This Row],[Pago por Contrato]],PAA_4[[#This Row],[Pago por bolsa]]))</f>
        <v>#NAME?</v>
      </c>
      <c r="AE825" s="55" t="str">
        <f t="shared" ca="1" si="289"/>
        <v/>
      </c>
      <c r="AF825" s="47" t="e">
        <f t="shared" ca="1" si="290"/>
        <v>#NAME?</v>
      </c>
      <c r="AG825" s="47">
        <f t="shared" si="291"/>
        <v>41080111</v>
      </c>
      <c r="AH825" s="54">
        <f>IF(Q825="22",IF(ISNUMBER(SEARCH("econ",PAA_4[[#This Row],[Actividad3]])),"Económico",IF(ISNUMBER(SEARCH("alim",PAA_4[[#This Row],[Actividad3]])),"Alimentación",IF(ISNUMBER(SEARCH("educ",PAA_4[[#This Row],[Actividad3]])),"Educativo","Técnico"))),0)</f>
        <v>0</v>
      </c>
      <c r="AI825" s="47" t="e" cm="1">
        <f t="array" aca="1" ref="AI825" ca="1">_xlfn.XLOOKUP(PAA_4[[#This Row],[RCP-RUBRO]],[2]!COMPROMISOS_2024[[#All],[concatenado]],[2]!COMPROMISOS_2024[[#All],[Total pagado]],"",0)</f>
        <v>#NAME?</v>
      </c>
      <c r="AJ825" s="56">
        <f>IF(PAA_4[[#This Row],[BOLSA]]=0,0,SUMIFS([2]!COMPROMISOS_2024[[#All],[Total pagado]],[2]!COMPROMISOS_2024[[#All],[Bolsa]],PAA_4[[#This Row],[BOLSA]],[2]!COMPROMISOS_2024[[#All],[rubro]],PAA_4[[#This Row],[RCP-RUBRO]]))</f>
        <v>0</v>
      </c>
      <c r="AK825" s="47" t="e" cm="1">
        <f t="array" aca="1" ref="AK825" ca="1">_xlfn.XLOOKUP(PAA_4[[#This Row],[RCP-RUBRO]],[2]!COMPROMISOS_2024[[#All],[concatenado]],[2]!COMPROMISOS_2024[[#All],[Total Comprometido]],"",0)</f>
        <v>#NAME?</v>
      </c>
      <c r="AL825" s="47">
        <f>IF(PAA_4[[#This Row],[BOLSA]]=0,0,SUMIFS([2]!COMPROMISOS_2024[[#All],[Total Comprometido]],[2]!COMPROMISOS_2024[[#All],[Bolsa]],PAA_4[[#This Row],[BOLSA]],[2]!COMPROMISOS_2024[[#All],[concatenado]],PAA_4[[#This Row],[RCP-RUBRO]]))</f>
        <v>0</v>
      </c>
    </row>
    <row r="826" spans="1:38" s="19" customFormat="1" ht="31.5" customHeight="1">
      <c r="A826" s="47">
        <v>706</v>
      </c>
      <c r="B826" s="51" t="s">
        <v>344</v>
      </c>
      <c r="C826" s="47" t="str">
        <f>VLOOKUP(PAA_4[[#This Row],[PROYECTO (formulado)2]],[2]PROYECTOS!$G$1:$L$32,6,0)</f>
        <v>SUBGERENCIA DE ALTOS LOGROS Y DEPORTE ASOCIADO</v>
      </c>
      <c r="D826" s="47" t="str">
        <f>+IF(PAA_4[[#This Row],[UNIDAD DE CONTRATACION (formulado)]]="Subgerencia Administrativa y Financiera","FUNCIONAMIENTO","INVERSIÓN")</f>
        <v>INVERSIÓN</v>
      </c>
      <c r="E826" s="48" t="str">
        <f>VLOOKUP(Q826,[2]PROYECTOS!$G$1:$K$32,5,0)</f>
        <v>FORTALECIMIENTO_DEL_PROGRAMA_DE_ALTOS_LOGROS_Y_LIDERAZGO_DEPORTIVO_EN_EL_DEPARTAMENTO_DE_ANTIOQUIA</v>
      </c>
      <c r="F826" s="48">
        <f>VLOOKUP(E826,[2]PROYECTOS!$K$1:$M$32,3,0)</f>
        <v>2020003050021</v>
      </c>
      <c r="G826" s="67" t="s">
        <v>224</v>
      </c>
      <c r="H826" s="49" t="str">
        <f>VLOOKUP(Q826,[2]PROYECTOS!$V$1:$W$32,2,0)</f>
        <v>050061</v>
      </c>
      <c r="I826" s="50">
        <v>0</v>
      </c>
      <c r="J826" s="340" t="s">
        <v>42</v>
      </c>
      <c r="K826" s="47" t="str">
        <f t="shared" ca="1" si="285"/>
        <v>CONTRATADO</v>
      </c>
      <c r="L826" s="351" t="s">
        <v>94</v>
      </c>
      <c r="M826" s="47" t="s">
        <v>222</v>
      </c>
      <c r="N826" s="52" t="s">
        <v>225</v>
      </c>
      <c r="O826" s="51" t="e">
        <f>VLOOKUP(N826,[2]!RUBROS[#All],3,0)</f>
        <v>#REF!</v>
      </c>
      <c r="P826" s="53" t="e">
        <f>VLOOKUP(N826,[2]!RUBROS[#All],2,0)</f>
        <v>#REF!</v>
      </c>
      <c r="Q826" s="47" t="str">
        <f t="shared" si="286"/>
        <v>20</v>
      </c>
      <c r="R826" s="47" t="str">
        <f t="shared" si="287"/>
        <v>4-101124</v>
      </c>
      <c r="S826" s="342">
        <v>175</v>
      </c>
      <c r="T826" s="59" t="s">
        <v>120</v>
      </c>
      <c r="U826" s="326" t="e">
        <f ca="1">_xlfn.XLOOKUP(PAA_4[[#This Row],[ITEM]],[2]Contrato!A:A,[2]Contrato!Q:Q,"",0)</f>
        <v>#NAME?</v>
      </c>
      <c r="V826" s="47" t="s">
        <v>47</v>
      </c>
      <c r="W826" s="343" t="s">
        <v>154</v>
      </c>
      <c r="X826" s="343" t="s">
        <v>154</v>
      </c>
      <c r="Y826" s="55" t="e">
        <f ca="1">_xlfn.XLOOKUP(PAA_4[[#This Row],[ITEM]],[2]Contrato!A:A,[2]Contrato!B:B,"",0)</f>
        <v>#NAME?</v>
      </c>
      <c r="Z826" s="47" t="e">
        <f ca="1">_xlfn.XLOOKUP(PAA_4[[#This Row],[ITEM]],[2]Contrato!A:A,[2]Contrato!G:G,"",0)</f>
        <v>#NAME?</v>
      </c>
      <c r="AA826" s="47" t="e">
        <f ca="1">_xlfn.XLOOKUP(PAA_4[[#This Row],[ITEM]],[2]Contrato!A:A,[2]Contrato!T:T,"",0)</f>
        <v>#NAME?</v>
      </c>
      <c r="AB826" s="55" t="e">
        <f ca="1">+MAX(PAA_4[[#This Row],[Comprometido Contrato]],PAA_4[[#This Row],[Comprometido Bolsa]])</f>
        <v>#NAME?</v>
      </c>
      <c r="AC826" s="55" t="str">
        <f t="shared" ca="1" si="288"/>
        <v/>
      </c>
      <c r="AD826" s="55" t="e">
        <f ca="1">IF(PAA_4[[#This Row],[ESTADO (formulado)]]="NO CONTRATADO",0,MAX(PAA_4[[#This Row],[Pago por Contrato]],PAA_4[[#This Row],[Pago por bolsa]]))</f>
        <v>#NAME?</v>
      </c>
      <c r="AE826" s="55" t="str">
        <f t="shared" ca="1" si="289"/>
        <v/>
      </c>
      <c r="AF826" s="47" t="e">
        <f t="shared" ca="1" si="290"/>
        <v>#NAME?</v>
      </c>
      <c r="AG826" s="47">
        <f t="shared" si="291"/>
        <v>41080111</v>
      </c>
      <c r="AH826" s="54">
        <f>IF(Q826="22",IF(ISNUMBER(SEARCH("econ",PAA_4[[#This Row],[Actividad3]])),"Económico",IF(ISNUMBER(SEARCH("alim",PAA_4[[#This Row],[Actividad3]])),"Alimentación",IF(ISNUMBER(SEARCH("educ",PAA_4[[#This Row],[Actividad3]])),"Educativo","Técnico"))),0)</f>
        <v>0</v>
      </c>
      <c r="AI826" s="47" t="e" cm="1">
        <f t="array" aca="1" ref="AI826" ca="1">_xlfn.XLOOKUP(PAA_4[[#This Row],[RCP-RUBRO]],[2]!COMPROMISOS_2024[[#All],[concatenado]],[2]!COMPROMISOS_2024[[#All],[Total pagado]],"",0)</f>
        <v>#NAME?</v>
      </c>
      <c r="AJ826" s="56">
        <f>IF(PAA_4[[#This Row],[BOLSA]]=0,0,SUMIFS([2]!COMPROMISOS_2024[[#All],[Total pagado]],[2]!COMPROMISOS_2024[[#All],[Bolsa]],PAA_4[[#This Row],[BOLSA]],[2]!COMPROMISOS_2024[[#All],[rubro]],PAA_4[[#This Row],[RCP-RUBRO]]))</f>
        <v>0</v>
      </c>
      <c r="AK826" s="47" t="e" cm="1">
        <f t="array" aca="1" ref="AK826" ca="1">_xlfn.XLOOKUP(PAA_4[[#This Row],[RCP-RUBRO]],[2]!COMPROMISOS_2024[[#All],[concatenado]],[2]!COMPROMISOS_2024[[#All],[Total Comprometido]],"",0)</f>
        <v>#NAME?</v>
      </c>
      <c r="AL826" s="47">
        <f>IF(PAA_4[[#This Row],[BOLSA]]=0,0,SUMIFS([2]!COMPROMISOS_2024[[#All],[Total Comprometido]],[2]!COMPROMISOS_2024[[#All],[Bolsa]],PAA_4[[#This Row],[BOLSA]],[2]!COMPROMISOS_2024[[#All],[concatenado]],PAA_4[[#This Row],[RCP-RUBRO]]))</f>
        <v>0</v>
      </c>
    </row>
    <row r="827" spans="1:38" s="19" customFormat="1" ht="31.5" customHeight="1">
      <c r="A827" s="47">
        <v>707</v>
      </c>
      <c r="B827" s="51" t="s">
        <v>344</v>
      </c>
      <c r="C827" s="47" t="str">
        <f>VLOOKUP(PAA_4[[#This Row],[PROYECTO (formulado)2]],[2]PROYECTOS!$G$1:$L$32,6,0)</f>
        <v>SUBGERENCIA DE ALTOS LOGROS Y DEPORTE ASOCIADO</v>
      </c>
      <c r="D827" s="47" t="str">
        <f>+IF(PAA_4[[#This Row],[UNIDAD DE CONTRATACION (formulado)]]="Subgerencia Administrativa y Financiera","FUNCIONAMIENTO","INVERSIÓN")</f>
        <v>INVERSIÓN</v>
      </c>
      <c r="E827" s="48" t="str">
        <f>VLOOKUP(Q827,[2]PROYECTOS!$G$1:$K$32,5,0)</f>
        <v>FORTALECIMIENTO_DEL_PROGRAMA_DE_ALTOS_LOGROS_Y_LIDERAZGO_DEPORTIVO_EN_EL_DEPARTAMENTO_DE_ANTIOQUIA</v>
      </c>
      <c r="F827" s="48">
        <f>VLOOKUP(E827,[2]PROYECTOS!$K$1:$M$32,3,0)</f>
        <v>2020003050021</v>
      </c>
      <c r="G827" s="67" t="s">
        <v>224</v>
      </c>
      <c r="H827" s="49" t="str">
        <f>VLOOKUP(Q827,[2]PROYECTOS!$V$1:$W$32,2,0)</f>
        <v>050061</v>
      </c>
      <c r="I827" s="50">
        <v>0</v>
      </c>
      <c r="J827" s="340" t="s">
        <v>42</v>
      </c>
      <c r="K827" s="47" t="str">
        <f t="shared" ca="1" si="285"/>
        <v>CONTRATADO</v>
      </c>
      <c r="L827" s="351" t="s">
        <v>94</v>
      </c>
      <c r="M827" s="47" t="s">
        <v>255</v>
      </c>
      <c r="N827" s="52" t="s">
        <v>225</v>
      </c>
      <c r="O827" s="51" t="e">
        <f>VLOOKUP(N827,[2]!RUBROS[#All],3,0)</f>
        <v>#REF!</v>
      </c>
      <c r="P827" s="53" t="e">
        <f>VLOOKUP(N827,[2]!RUBROS[#All],2,0)</f>
        <v>#REF!</v>
      </c>
      <c r="Q827" s="47" t="str">
        <f t="shared" si="286"/>
        <v>20</v>
      </c>
      <c r="R827" s="47" t="str">
        <f t="shared" si="287"/>
        <v>4-101124</v>
      </c>
      <c r="S827" s="342">
        <v>200</v>
      </c>
      <c r="T827" s="59" t="s">
        <v>120</v>
      </c>
      <c r="U827" s="326" t="e">
        <f ca="1">_xlfn.XLOOKUP(PAA_4[[#This Row],[ITEM]],[2]Contrato!A:A,[2]Contrato!Q:Q,"",0)</f>
        <v>#NAME?</v>
      </c>
      <c r="V827" s="47" t="s">
        <v>47</v>
      </c>
      <c r="W827" s="343" t="s">
        <v>154</v>
      </c>
      <c r="X827" s="343" t="s">
        <v>154</v>
      </c>
      <c r="Y827" s="55" t="e">
        <f ca="1">_xlfn.XLOOKUP(PAA_4[[#This Row],[ITEM]],[2]Contrato!A:A,[2]Contrato!B:B,"",0)</f>
        <v>#NAME?</v>
      </c>
      <c r="Z827" s="47" t="e">
        <f ca="1">_xlfn.XLOOKUP(PAA_4[[#This Row],[ITEM]],[2]Contrato!A:A,[2]Contrato!G:G,"",0)</f>
        <v>#NAME?</v>
      </c>
      <c r="AA827" s="47" t="e">
        <f ca="1">_xlfn.XLOOKUP(PAA_4[[#This Row],[ITEM]],[2]Contrato!A:A,[2]Contrato!T:T,"",0)</f>
        <v>#NAME?</v>
      </c>
      <c r="AB827" s="55" t="e">
        <f ca="1">+MAX(PAA_4[[#This Row],[Comprometido Contrato]],PAA_4[[#This Row],[Comprometido Bolsa]])</f>
        <v>#NAME?</v>
      </c>
      <c r="AC827" s="55" t="str">
        <f t="shared" ca="1" si="288"/>
        <v/>
      </c>
      <c r="AD827" s="55" t="e">
        <f ca="1">IF(PAA_4[[#This Row],[ESTADO (formulado)]]="NO CONTRATADO",0,MAX(PAA_4[[#This Row],[Pago por Contrato]],PAA_4[[#This Row],[Pago por bolsa]]))</f>
        <v>#NAME?</v>
      </c>
      <c r="AE827" s="55" t="str">
        <f t="shared" ca="1" si="289"/>
        <v/>
      </c>
      <c r="AF827" s="47" t="e">
        <f t="shared" ca="1" si="290"/>
        <v>#NAME?</v>
      </c>
      <c r="AG827" s="47">
        <f t="shared" si="291"/>
        <v>41080111</v>
      </c>
      <c r="AH827" s="54">
        <f>IF(Q827="22",IF(ISNUMBER(SEARCH("econ",PAA_4[[#This Row],[Actividad3]])),"Económico",IF(ISNUMBER(SEARCH("alim",PAA_4[[#This Row],[Actividad3]])),"Alimentación",IF(ISNUMBER(SEARCH("educ",PAA_4[[#This Row],[Actividad3]])),"Educativo","Técnico"))),0)</f>
        <v>0</v>
      </c>
      <c r="AI827" s="47" t="e" cm="1">
        <f t="array" aca="1" ref="AI827" ca="1">_xlfn.XLOOKUP(PAA_4[[#This Row],[RCP-RUBRO]],[2]!COMPROMISOS_2024[[#All],[concatenado]],[2]!COMPROMISOS_2024[[#All],[Total pagado]],"",0)</f>
        <v>#NAME?</v>
      </c>
      <c r="AJ827" s="56">
        <f>IF(PAA_4[[#This Row],[BOLSA]]=0,0,SUMIFS([2]!COMPROMISOS_2024[[#All],[Total pagado]],[2]!COMPROMISOS_2024[[#All],[Bolsa]],PAA_4[[#This Row],[BOLSA]],[2]!COMPROMISOS_2024[[#All],[rubro]],PAA_4[[#This Row],[RCP-RUBRO]]))</f>
        <v>0</v>
      </c>
      <c r="AK827" s="47" t="e" cm="1">
        <f t="array" aca="1" ref="AK827" ca="1">_xlfn.XLOOKUP(PAA_4[[#This Row],[RCP-RUBRO]],[2]!COMPROMISOS_2024[[#All],[concatenado]],[2]!COMPROMISOS_2024[[#All],[Total Comprometido]],"",0)</f>
        <v>#NAME?</v>
      </c>
      <c r="AL827" s="47">
        <f>IF(PAA_4[[#This Row],[BOLSA]]=0,0,SUMIFS([2]!COMPROMISOS_2024[[#All],[Total Comprometido]],[2]!COMPROMISOS_2024[[#All],[Bolsa]],PAA_4[[#This Row],[BOLSA]],[2]!COMPROMISOS_2024[[#All],[concatenado]],PAA_4[[#This Row],[RCP-RUBRO]]))</f>
        <v>0</v>
      </c>
    </row>
    <row r="828" spans="1:38" s="19" customFormat="1" ht="31.5" customHeight="1">
      <c r="A828" s="47">
        <v>708</v>
      </c>
      <c r="B828" s="51" t="s">
        <v>344</v>
      </c>
      <c r="C828" s="47" t="str">
        <f>VLOOKUP(PAA_4[[#This Row],[PROYECTO (formulado)2]],[2]PROYECTOS!$G$1:$L$32,6,0)</f>
        <v>SUBGERENCIA DE ALTOS LOGROS Y DEPORTE ASOCIADO</v>
      </c>
      <c r="D828" s="47" t="str">
        <f>+IF(PAA_4[[#This Row],[UNIDAD DE CONTRATACION (formulado)]]="Subgerencia Administrativa y Financiera","FUNCIONAMIENTO","INVERSIÓN")</f>
        <v>INVERSIÓN</v>
      </c>
      <c r="E828" s="48" t="str">
        <f>VLOOKUP(Q828,[2]PROYECTOS!$G$1:$K$32,5,0)</f>
        <v>FORTALECIMIENTO_DEL_PROGRAMA_DE_ALTOS_LOGROS_Y_LIDERAZGO_DEPORTIVO_EN_EL_DEPARTAMENTO_DE_ANTIOQUIA</v>
      </c>
      <c r="F828" s="48">
        <f>VLOOKUP(E828,[2]PROYECTOS!$K$1:$M$32,3,0)</f>
        <v>2020003050021</v>
      </c>
      <c r="G828" s="67" t="s">
        <v>224</v>
      </c>
      <c r="H828" s="49" t="str">
        <f>VLOOKUP(Q828,[2]PROYECTOS!$V$1:$W$32,2,0)</f>
        <v>050061</v>
      </c>
      <c r="I828" s="50">
        <v>0</v>
      </c>
      <c r="J828" s="340" t="s">
        <v>42</v>
      </c>
      <c r="K828" s="47" t="str">
        <f t="shared" ca="1" si="285"/>
        <v>CONTRATADO</v>
      </c>
      <c r="L828" s="351" t="s">
        <v>94</v>
      </c>
      <c r="M828" s="47" t="s">
        <v>255</v>
      </c>
      <c r="N828" s="52" t="s">
        <v>225</v>
      </c>
      <c r="O828" s="51" t="e">
        <f>VLOOKUP(N828,[2]!RUBROS[#All],3,0)</f>
        <v>#REF!</v>
      </c>
      <c r="P828" s="53" t="e">
        <f>VLOOKUP(N828,[2]!RUBROS[#All],2,0)</f>
        <v>#REF!</v>
      </c>
      <c r="Q828" s="47" t="str">
        <f t="shared" si="286"/>
        <v>20</v>
      </c>
      <c r="R828" s="47" t="str">
        <f t="shared" si="287"/>
        <v>4-101124</v>
      </c>
      <c r="S828" s="342">
        <v>200</v>
      </c>
      <c r="T828" s="59" t="s">
        <v>120</v>
      </c>
      <c r="U828" s="326" t="e">
        <f ca="1">_xlfn.XLOOKUP(PAA_4[[#This Row],[ITEM]],[2]Contrato!A:A,[2]Contrato!Q:Q,"",0)</f>
        <v>#NAME?</v>
      </c>
      <c r="V828" s="47" t="s">
        <v>47</v>
      </c>
      <c r="W828" s="343" t="s">
        <v>154</v>
      </c>
      <c r="X828" s="343" t="s">
        <v>154</v>
      </c>
      <c r="Y828" s="55" t="e">
        <f ca="1">_xlfn.XLOOKUP(PAA_4[[#This Row],[ITEM]],[2]Contrato!A:A,[2]Contrato!B:B,"",0)</f>
        <v>#NAME?</v>
      </c>
      <c r="Z828" s="47" t="e">
        <f ca="1">_xlfn.XLOOKUP(PAA_4[[#This Row],[ITEM]],[2]Contrato!A:A,[2]Contrato!G:G,"",0)</f>
        <v>#NAME?</v>
      </c>
      <c r="AA828" s="47" t="e">
        <f ca="1">_xlfn.XLOOKUP(PAA_4[[#This Row],[ITEM]],[2]Contrato!A:A,[2]Contrato!T:T,"",0)</f>
        <v>#NAME?</v>
      </c>
      <c r="AB828" s="55" t="e">
        <f ca="1">+MAX(PAA_4[[#This Row],[Comprometido Contrato]],PAA_4[[#This Row],[Comprometido Bolsa]])</f>
        <v>#NAME?</v>
      </c>
      <c r="AC828" s="55" t="str">
        <f t="shared" ca="1" si="288"/>
        <v/>
      </c>
      <c r="AD828" s="55" t="e">
        <f ca="1">IF(PAA_4[[#This Row],[ESTADO (formulado)]]="NO CONTRATADO",0,MAX(PAA_4[[#This Row],[Pago por Contrato]],PAA_4[[#This Row],[Pago por bolsa]]))</f>
        <v>#NAME?</v>
      </c>
      <c r="AE828" s="55" t="str">
        <f t="shared" ca="1" si="289"/>
        <v/>
      </c>
      <c r="AF828" s="47" t="e">
        <f t="shared" ca="1" si="290"/>
        <v>#NAME?</v>
      </c>
      <c r="AG828" s="47">
        <f t="shared" si="291"/>
        <v>41080111</v>
      </c>
      <c r="AH828" s="54">
        <f>IF(Q828="22",IF(ISNUMBER(SEARCH("econ",PAA_4[[#This Row],[Actividad3]])),"Económico",IF(ISNUMBER(SEARCH("alim",PAA_4[[#This Row],[Actividad3]])),"Alimentación",IF(ISNUMBER(SEARCH("educ",PAA_4[[#This Row],[Actividad3]])),"Educativo","Técnico"))),0)</f>
        <v>0</v>
      </c>
      <c r="AI828" s="47" t="e" cm="1">
        <f t="array" aca="1" ref="AI828" ca="1">_xlfn.XLOOKUP(PAA_4[[#This Row],[RCP-RUBRO]],[2]!COMPROMISOS_2024[[#All],[concatenado]],[2]!COMPROMISOS_2024[[#All],[Total pagado]],"",0)</f>
        <v>#NAME?</v>
      </c>
      <c r="AJ828" s="56">
        <f>IF(PAA_4[[#This Row],[BOLSA]]=0,0,SUMIFS([2]!COMPROMISOS_2024[[#All],[Total pagado]],[2]!COMPROMISOS_2024[[#All],[Bolsa]],PAA_4[[#This Row],[BOLSA]],[2]!COMPROMISOS_2024[[#All],[rubro]],PAA_4[[#This Row],[RCP-RUBRO]]))</f>
        <v>0</v>
      </c>
      <c r="AK828" s="47" t="e" cm="1">
        <f t="array" aca="1" ref="AK828" ca="1">_xlfn.XLOOKUP(PAA_4[[#This Row],[RCP-RUBRO]],[2]!COMPROMISOS_2024[[#All],[concatenado]],[2]!COMPROMISOS_2024[[#All],[Total Comprometido]],"",0)</f>
        <v>#NAME?</v>
      </c>
      <c r="AL828" s="47">
        <f>IF(PAA_4[[#This Row],[BOLSA]]=0,0,SUMIFS([2]!COMPROMISOS_2024[[#All],[Total Comprometido]],[2]!COMPROMISOS_2024[[#All],[Bolsa]],PAA_4[[#This Row],[BOLSA]],[2]!COMPROMISOS_2024[[#All],[concatenado]],PAA_4[[#This Row],[RCP-RUBRO]]))</f>
        <v>0</v>
      </c>
    </row>
    <row r="829" spans="1:38" s="19" customFormat="1" ht="31.5" customHeight="1">
      <c r="A829" s="47">
        <v>709</v>
      </c>
      <c r="B829" s="51">
        <v>90141502</v>
      </c>
      <c r="C829" s="47" t="str">
        <f>VLOOKUP(PAA_4[[#This Row],[PROYECTO (formulado)2]],[2]PROYECTOS!$G$1:$L$32,6,0)</f>
        <v>SUBGERENCIA DE ALTOS LOGROS Y DEPORTE ASOCIADO</v>
      </c>
      <c r="D829" s="47" t="str">
        <f>+IF(PAA_4[[#This Row],[UNIDAD DE CONTRATACION (formulado)]]="Subgerencia Administrativa y Financiera","FUNCIONAMIENTO","INVERSIÓN")</f>
        <v>INVERSIÓN</v>
      </c>
      <c r="E829" s="48" t="str">
        <f>VLOOKUP(Q829,[2]PROYECTOS!$G$1:$K$32,5,0)</f>
        <v>FORTALECIMIENTO_DEL_PROGRAMA_DE_ALTOS_LOGROS_Y_LIDERAZGO_DEPORTIVO_EN_EL_DEPARTAMENTO_DE_ANTIOQUIA</v>
      </c>
      <c r="F829" s="48">
        <f>VLOOKUP(E829,[2]PROYECTOS!$K$1:$M$32,3,0)</f>
        <v>2020003050021</v>
      </c>
      <c r="G829" s="67" t="s">
        <v>224</v>
      </c>
      <c r="H829" s="49" t="str">
        <f>VLOOKUP(Q829,[2]PROYECTOS!$V$1:$W$32,2,0)</f>
        <v>050061</v>
      </c>
      <c r="I829" s="50">
        <v>80000000</v>
      </c>
      <c r="J829" s="340" t="s">
        <v>1762</v>
      </c>
      <c r="K829" s="47" t="str">
        <f t="shared" ca="1" si="285"/>
        <v>CONTRATADO</v>
      </c>
      <c r="L829" s="351" t="s">
        <v>94</v>
      </c>
      <c r="M829" s="47" t="s">
        <v>255</v>
      </c>
      <c r="N829" s="52" t="s">
        <v>225</v>
      </c>
      <c r="O829" s="51" t="e">
        <f>VLOOKUP(N829,[2]!RUBROS[#All],3,0)</f>
        <v>#REF!</v>
      </c>
      <c r="P829" s="53" t="e">
        <f>VLOOKUP(N829,[2]!RUBROS[#All],2,0)</f>
        <v>#REF!</v>
      </c>
      <c r="Q829" s="47" t="str">
        <f t="shared" si="286"/>
        <v>20</v>
      </c>
      <c r="R829" s="47" t="str">
        <f t="shared" si="287"/>
        <v>4-101124</v>
      </c>
      <c r="S829" s="342">
        <v>200</v>
      </c>
      <c r="T829" s="59" t="s">
        <v>120</v>
      </c>
      <c r="U829" s="326" t="e">
        <f ca="1">_xlfn.XLOOKUP(PAA_4[[#This Row],[ITEM]],[2]Contrato!A:A,[2]Contrato!Q:Q,"",0)</f>
        <v>#NAME?</v>
      </c>
      <c r="V829" s="47" t="s">
        <v>47</v>
      </c>
      <c r="W829" s="343" t="s">
        <v>154</v>
      </c>
      <c r="X829" s="343" t="s">
        <v>154</v>
      </c>
      <c r="Y829" s="55" t="e">
        <f ca="1">_xlfn.XLOOKUP(PAA_4[[#This Row],[ITEM]],[2]Contrato!A:A,[2]Contrato!B:B,"",0)</f>
        <v>#NAME?</v>
      </c>
      <c r="Z829" s="47" t="e">
        <f ca="1">_xlfn.XLOOKUP(PAA_4[[#This Row],[ITEM]],[2]Contrato!A:A,[2]Contrato!G:G,"",0)</f>
        <v>#NAME?</v>
      </c>
      <c r="AA829" s="47" t="e">
        <f ca="1">_xlfn.XLOOKUP(PAA_4[[#This Row],[ITEM]],[2]Contrato!A:A,[2]Contrato!T:T,"",0)</f>
        <v>#NAME?</v>
      </c>
      <c r="AB829" s="55" t="e">
        <f ca="1">+MAX(PAA_4[[#This Row],[Comprometido Contrato]],PAA_4[[#This Row],[Comprometido Bolsa]])</f>
        <v>#NAME?</v>
      </c>
      <c r="AC829" s="55" t="str">
        <f t="shared" ca="1" si="288"/>
        <v/>
      </c>
      <c r="AD829" s="55" t="e">
        <f ca="1">IF(PAA_4[[#This Row],[ESTADO (formulado)]]="NO CONTRATADO",0,MAX(PAA_4[[#This Row],[Pago por Contrato]],PAA_4[[#This Row],[Pago por bolsa]]))</f>
        <v>#NAME?</v>
      </c>
      <c r="AE829" s="55" t="str">
        <f t="shared" ca="1" si="289"/>
        <v/>
      </c>
      <c r="AF829" s="47" t="e">
        <f t="shared" ca="1" si="290"/>
        <v>#NAME?</v>
      </c>
      <c r="AG829" s="47">
        <f t="shared" si="291"/>
        <v>41080111</v>
      </c>
      <c r="AH829" s="54">
        <f>IF(Q829="22",IF(ISNUMBER(SEARCH("econ",PAA_4[[#This Row],[Actividad3]])),"Económico",IF(ISNUMBER(SEARCH("alim",PAA_4[[#This Row],[Actividad3]])),"Alimentación",IF(ISNUMBER(SEARCH("educ",PAA_4[[#This Row],[Actividad3]])),"Educativo","Técnico"))),0)</f>
        <v>0</v>
      </c>
      <c r="AI829" s="47" t="e" cm="1">
        <f t="array" aca="1" ref="AI829" ca="1">_xlfn.XLOOKUP(PAA_4[[#This Row],[RCP-RUBRO]],[2]!COMPROMISOS_2024[[#All],[concatenado]],[2]!COMPROMISOS_2024[[#All],[Total pagado]],"",0)</f>
        <v>#NAME?</v>
      </c>
      <c r="AJ829" s="56">
        <f>IF(PAA_4[[#This Row],[BOLSA]]=0,0,SUMIFS([2]!COMPROMISOS_2024[[#All],[Total pagado]],[2]!COMPROMISOS_2024[[#All],[Bolsa]],PAA_4[[#This Row],[BOLSA]],[2]!COMPROMISOS_2024[[#All],[rubro]],PAA_4[[#This Row],[RCP-RUBRO]]))</f>
        <v>0</v>
      </c>
      <c r="AK829" s="47" t="e" cm="1">
        <f t="array" aca="1" ref="AK829" ca="1">_xlfn.XLOOKUP(PAA_4[[#This Row],[RCP-RUBRO]],[2]!COMPROMISOS_2024[[#All],[concatenado]],[2]!COMPROMISOS_2024[[#All],[Total Comprometido]],"",0)</f>
        <v>#NAME?</v>
      </c>
      <c r="AL829" s="47">
        <f>IF(PAA_4[[#This Row],[BOLSA]]=0,0,SUMIFS([2]!COMPROMISOS_2024[[#All],[Total Comprometido]],[2]!COMPROMISOS_2024[[#All],[Bolsa]],PAA_4[[#This Row],[BOLSA]],[2]!COMPROMISOS_2024[[#All],[concatenado]],PAA_4[[#This Row],[RCP-RUBRO]]))</f>
        <v>0</v>
      </c>
    </row>
    <row r="830" spans="1:38" s="19" customFormat="1" ht="31.5" customHeight="1">
      <c r="A830" s="47">
        <v>710</v>
      </c>
      <c r="B830" s="51">
        <v>90141502</v>
      </c>
      <c r="C830" s="47" t="str">
        <f>VLOOKUP(PAA_4[[#This Row],[PROYECTO (formulado)2]],[2]PROYECTOS!$G$1:$L$32,6,0)</f>
        <v>SUBGERENCIA DE ALTOS LOGROS Y DEPORTE ASOCIADO</v>
      </c>
      <c r="D830" s="47" t="str">
        <f>+IF(PAA_4[[#This Row],[UNIDAD DE CONTRATACION (formulado)]]="Subgerencia Administrativa y Financiera","FUNCIONAMIENTO","INVERSIÓN")</f>
        <v>INVERSIÓN</v>
      </c>
      <c r="E830" s="48" t="str">
        <f>VLOOKUP(Q830,[2]PROYECTOS!$G$1:$K$32,5,0)</f>
        <v>FORTALECIMIENTO_DEL_PROGRAMA_DE_ALTOS_LOGROS_Y_LIDERAZGO_DEPORTIVO_EN_EL_DEPARTAMENTO_DE_ANTIOQUIA</v>
      </c>
      <c r="F830" s="48">
        <f>VLOOKUP(E830,[2]PROYECTOS!$K$1:$M$32,3,0)</f>
        <v>2020003050021</v>
      </c>
      <c r="G830" s="67" t="s">
        <v>224</v>
      </c>
      <c r="H830" s="49" t="str">
        <f>VLOOKUP(Q830,[2]PROYECTOS!$V$1:$W$32,2,0)</f>
        <v>050061</v>
      </c>
      <c r="I830" s="50">
        <v>55000000</v>
      </c>
      <c r="J830" s="340" t="s">
        <v>1763</v>
      </c>
      <c r="K830" s="47" t="str">
        <f t="shared" ca="1" si="285"/>
        <v>CONTRATADO</v>
      </c>
      <c r="L830" s="351" t="s">
        <v>94</v>
      </c>
      <c r="M830" s="47" t="s">
        <v>222</v>
      </c>
      <c r="N830" s="52" t="s">
        <v>223</v>
      </c>
      <c r="O830" s="51" t="e">
        <f>VLOOKUP(N830,[2]!RUBROS[#All],3,0)</f>
        <v>#REF!</v>
      </c>
      <c r="P830" s="53" t="e">
        <f>VLOOKUP(N830,[2]!RUBROS[#All],2,0)</f>
        <v>#REF!</v>
      </c>
      <c r="Q830" s="47" t="str">
        <f t="shared" si="286"/>
        <v>20</v>
      </c>
      <c r="R830" s="47" t="str">
        <f t="shared" si="287"/>
        <v>0-205400</v>
      </c>
      <c r="S830" s="342">
        <v>170</v>
      </c>
      <c r="T830" s="59" t="s">
        <v>120</v>
      </c>
      <c r="U830" s="326" t="e">
        <f ca="1">_xlfn.XLOOKUP(PAA_4[[#This Row],[ITEM]],[2]Contrato!A:A,[2]Contrato!Q:Q,"",0)</f>
        <v>#NAME?</v>
      </c>
      <c r="V830" s="47" t="s">
        <v>47</v>
      </c>
      <c r="W830" s="343" t="s">
        <v>193</v>
      </c>
      <c r="X830" s="343" t="s">
        <v>193</v>
      </c>
      <c r="Y830" s="55" t="e">
        <f ca="1">_xlfn.XLOOKUP(PAA_4[[#This Row],[ITEM]],[2]Contrato!A:A,[2]Contrato!B:B,"",0)</f>
        <v>#NAME?</v>
      </c>
      <c r="Z830" s="47" t="e">
        <f ca="1">_xlfn.XLOOKUP(PAA_4[[#This Row],[ITEM]],[2]Contrato!A:A,[2]Contrato!G:G,"",0)</f>
        <v>#NAME?</v>
      </c>
      <c r="AA830" s="47" t="e">
        <f ca="1">_xlfn.XLOOKUP(PAA_4[[#This Row],[ITEM]],[2]Contrato!A:A,[2]Contrato!T:T,"",0)</f>
        <v>#NAME?</v>
      </c>
      <c r="AB830" s="55" t="e">
        <f ca="1">+MAX(PAA_4[[#This Row],[Comprometido Contrato]],PAA_4[[#This Row],[Comprometido Bolsa]])</f>
        <v>#NAME?</v>
      </c>
      <c r="AC830" s="55" t="str">
        <f t="shared" ca="1" si="288"/>
        <v/>
      </c>
      <c r="AD830" s="55" t="e">
        <f ca="1">IF(PAA_4[[#This Row],[ESTADO (formulado)]]="NO CONTRATADO",0,MAX(PAA_4[[#This Row],[Pago por Contrato]],PAA_4[[#This Row],[Pago por bolsa]]))</f>
        <v>#NAME?</v>
      </c>
      <c r="AE830" s="55" t="str">
        <f t="shared" ca="1" si="289"/>
        <v/>
      </c>
      <c r="AF830" s="47" t="e">
        <f t="shared" ca="1" si="290"/>
        <v>#NAME?</v>
      </c>
      <c r="AG830" s="47">
        <f t="shared" si="291"/>
        <v>41080111</v>
      </c>
      <c r="AH830" s="54">
        <f>IF(Q830="22",IF(ISNUMBER(SEARCH("econ",PAA_4[[#This Row],[Actividad3]])),"Económico",IF(ISNUMBER(SEARCH("alim",PAA_4[[#This Row],[Actividad3]])),"Alimentación",IF(ISNUMBER(SEARCH("educ",PAA_4[[#This Row],[Actividad3]])),"Educativo","Técnico"))),0)</f>
        <v>0</v>
      </c>
      <c r="AI830" s="47" t="e" cm="1">
        <f t="array" aca="1" ref="AI830" ca="1">_xlfn.XLOOKUP(PAA_4[[#This Row],[RCP-RUBRO]],[2]!COMPROMISOS_2024[[#All],[concatenado]],[2]!COMPROMISOS_2024[[#All],[Total pagado]],"",0)</f>
        <v>#NAME?</v>
      </c>
      <c r="AJ830" s="56">
        <f>IF(PAA_4[[#This Row],[BOLSA]]=0,0,SUMIFS([2]!COMPROMISOS_2024[[#All],[Total pagado]],[2]!COMPROMISOS_2024[[#All],[Bolsa]],PAA_4[[#This Row],[BOLSA]],[2]!COMPROMISOS_2024[[#All],[rubro]],PAA_4[[#This Row],[RCP-RUBRO]]))</f>
        <v>0</v>
      </c>
      <c r="AK830" s="47" t="e" cm="1">
        <f t="array" aca="1" ref="AK830" ca="1">_xlfn.XLOOKUP(PAA_4[[#This Row],[RCP-RUBRO]],[2]!COMPROMISOS_2024[[#All],[concatenado]],[2]!COMPROMISOS_2024[[#All],[Total Comprometido]],"",0)</f>
        <v>#NAME?</v>
      </c>
      <c r="AL830" s="47">
        <f>IF(PAA_4[[#This Row],[BOLSA]]=0,0,SUMIFS([2]!COMPROMISOS_2024[[#All],[Total Comprometido]],[2]!COMPROMISOS_2024[[#All],[Bolsa]],PAA_4[[#This Row],[BOLSA]],[2]!COMPROMISOS_2024[[#All],[concatenado]],PAA_4[[#This Row],[RCP-RUBRO]]))</f>
        <v>0</v>
      </c>
    </row>
    <row r="831" spans="1:38" s="19" customFormat="1" ht="31.5" customHeight="1">
      <c r="A831" s="47">
        <v>710</v>
      </c>
      <c r="B831" s="51">
        <v>90141502</v>
      </c>
      <c r="C831" s="47" t="str">
        <f>VLOOKUP(PAA_4[[#This Row],[PROYECTO (formulado)2]],[2]PROYECTOS!$G$1:$L$32,6,0)</f>
        <v>SUBGERENCIA DE ALTOS LOGROS Y DEPORTE ASOCIADO</v>
      </c>
      <c r="D831" s="47" t="str">
        <f>+IF(PAA_4[[#This Row],[UNIDAD DE CONTRATACION (formulado)]]="Subgerencia Administrativa y Financiera","FUNCIONAMIENTO","INVERSIÓN")</f>
        <v>INVERSIÓN</v>
      </c>
      <c r="E831" s="48" t="str">
        <f>VLOOKUP(Q831,[2]PROYECTOS!$G$1:$K$32,5,0)</f>
        <v>FORTALECIMIENTO_DEL_PROGRAMA_DE_ALTOS_LOGROS_Y_LIDERAZGO_DEPORTIVO_EN_EL_DEPARTAMENTO_DE_ANTIOQUIA</v>
      </c>
      <c r="F831" s="48">
        <f>VLOOKUP(E831,[2]PROYECTOS!$K$1:$M$32,3,0)</f>
        <v>2020003050021</v>
      </c>
      <c r="G831" s="67" t="s">
        <v>224</v>
      </c>
      <c r="H831" s="49" t="str">
        <f>VLOOKUP(Q831,[2]PROYECTOS!$V$1:$W$32,2,0)</f>
        <v>050061</v>
      </c>
      <c r="I831" s="50">
        <v>40000000</v>
      </c>
      <c r="J831" s="340" t="s">
        <v>1763</v>
      </c>
      <c r="K831" s="47" t="str">
        <f t="shared" ca="1" si="285"/>
        <v>CONTRATADO</v>
      </c>
      <c r="L831" s="351" t="s">
        <v>94</v>
      </c>
      <c r="M831" s="47" t="s">
        <v>222</v>
      </c>
      <c r="N831" s="52" t="s">
        <v>225</v>
      </c>
      <c r="O831" s="51" t="e">
        <f>VLOOKUP(N831,[2]!RUBROS[#All],3,0)</f>
        <v>#REF!</v>
      </c>
      <c r="P831" s="53" t="e">
        <f>VLOOKUP(N831,[2]!RUBROS[#All],2,0)</f>
        <v>#REF!</v>
      </c>
      <c r="Q831" s="47" t="str">
        <f t="shared" si="286"/>
        <v>20</v>
      </c>
      <c r="R831" s="47" t="str">
        <f t="shared" si="287"/>
        <v>4-101124</v>
      </c>
      <c r="S831" s="342">
        <v>200</v>
      </c>
      <c r="T831" s="59" t="s">
        <v>120</v>
      </c>
      <c r="U831" s="326" t="e">
        <f ca="1">_xlfn.XLOOKUP(PAA_4[[#This Row],[ITEM]],[2]Contrato!A:A,[2]Contrato!Q:Q,"",0)</f>
        <v>#NAME?</v>
      </c>
      <c r="V831" s="47" t="s">
        <v>47</v>
      </c>
      <c r="W831" s="343" t="s">
        <v>154</v>
      </c>
      <c r="X831" s="343" t="s">
        <v>154</v>
      </c>
      <c r="Y831" s="55" t="e">
        <f ca="1">_xlfn.XLOOKUP(PAA_4[[#This Row],[ITEM]],[2]Contrato!A:A,[2]Contrato!B:B,"",0)</f>
        <v>#NAME?</v>
      </c>
      <c r="Z831" s="47" t="e">
        <f ca="1">_xlfn.XLOOKUP(PAA_4[[#This Row],[ITEM]],[2]Contrato!A:A,[2]Contrato!G:G,"",0)</f>
        <v>#NAME?</v>
      </c>
      <c r="AA831" s="47" t="e">
        <f ca="1">_xlfn.XLOOKUP(PAA_4[[#This Row],[ITEM]],[2]Contrato!A:A,[2]Contrato!T:T,"",0)</f>
        <v>#NAME?</v>
      </c>
      <c r="AB831" s="55" t="e">
        <f ca="1">+MAX(PAA_4[[#This Row],[Comprometido Contrato]],PAA_4[[#This Row],[Comprometido Bolsa]])</f>
        <v>#NAME?</v>
      </c>
      <c r="AC831" s="55" t="str">
        <f t="shared" ca="1" si="288"/>
        <v/>
      </c>
      <c r="AD831" s="55" t="e">
        <f ca="1">IF(PAA_4[[#This Row],[ESTADO (formulado)]]="NO CONTRATADO",0,MAX(PAA_4[[#This Row],[Pago por Contrato]],PAA_4[[#This Row],[Pago por bolsa]]))</f>
        <v>#NAME?</v>
      </c>
      <c r="AE831" s="55" t="str">
        <f t="shared" ca="1" si="289"/>
        <v/>
      </c>
      <c r="AF831" s="47" t="e">
        <f t="shared" ca="1" si="290"/>
        <v>#NAME?</v>
      </c>
      <c r="AG831" s="47">
        <f t="shared" si="291"/>
        <v>41080111</v>
      </c>
      <c r="AH831" s="54">
        <f>IF(Q831="22",IF(ISNUMBER(SEARCH("econ",PAA_4[[#This Row],[Actividad3]])),"Económico",IF(ISNUMBER(SEARCH("alim",PAA_4[[#This Row],[Actividad3]])),"Alimentación",IF(ISNUMBER(SEARCH("educ",PAA_4[[#This Row],[Actividad3]])),"Educativo","Técnico"))),0)</f>
        <v>0</v>
      </c>
      <c r="AI831" s="47" t="e" cm="1">
        <f t="array" aca="1" ref="AI831" ca="1">_xlfn.XLOOKUP(PAA_4[[#This Row],[RCP-RUBRO]],[2]!COMPROMISOS_2024[[#All],[concatenado]],[2]!COMPROMISOS_2024[[#All],[Total pagado]],"",0)</f>
        <v>#NAME?</v>
      </c>
      <c r="AJ831" s="56">
        <f>IF(PAA_4[[#This Row],[BOLSA]]=0,0,SUMIFS([2]!COMPROMISOS_2024[[#All],[Total pagado]],[2]!COMPROMISOS_2024[[#All],[Bolsa]],PAA_4[[#This Row],[BOLSA]],[2]!COMPROMISOS_2024[[#All],[rubro]],PAA_4[[#This Row],[RCP-RUBRO]]))</f>
        <v>0</v>
      </c>
      <c r="AK831" s="47" t="e" cm="1">
        <f t="array" aca="1" ref="AK831" ca="1">_xlfn.XLOOKUP(PAA_4[[#This Row],[RCP-RUBRO]],[2]!COMPROMISOS_2024[[#All],[concatenado]],[2]!COMPROMISOS_2024[[#All],[Total Comprometido]],"",0)</f>
        <v>#NAME?</v>
      </c>
      <c r="AL831" s="47">
        <f>IF(PAA_4[[#This Row],[BOLSA]]=0,0,SUMIFS([2]!COMPROMISOS_2024[[#All],[Total Comprometido]],[2]!COMPROMISOS_2024[[#All],[Bolsa]],PAA_4[[#This Row],[BOLSA]],[2]!COMPROMISOS_2024[[#All],[concatenado]],PAA_4[[#This Row],[RCP-RUBRO]]))</f>
        <v>0</v>
      </c>
    </row>
    <row r="832" spans="1:38" s="19" customFormat="1" ht="31.5" customHeight="1">
      <c r="A832" s="47">
        <v>711</v>
      </c>
      <c r="B832" s="51">
        <v>90141502</v>
      </c>
      <c r="C832" s="47" t="str">
        <f>VLOOKUP(PAA_4[[#This Row],[PROYECTO (formulado)2]],[2]PROYECTOS!$G$1:$L$32,6,0)</f>
        <v>SUBGERENCIA DE ALTOS LOGROS Y DEPORTE ASOCIADO</v>
      </c>
      <c r="D832" s="47" t="str">
        <f>+IF(PAA_4[[#This Row],[UNIDAD DE CONTRATACION (formulado)]]="Subgerencia Administrativa y Financiera","FUNCIONAMIENTO","INVERSIÓN")</f>
        <v>INVERSIÓN</v>
      </c>
      <c r="E832" s="48" t="str">
        <f>VLOOKUP(Q832,[2]PROYECTOS!$G$1:$K$32,5,0)</f>
        <v>FORTALECIMIENTO_DEL_PROGRAMA_DE_ALTOS_LOGROS_Y_LIDERAZGO_DEPORTIVO_EN_EL_DEPARTAMENTO_DE_ANTIOQUIA</v>
      </c>
      <c r="F832" s="48">
        <f>VLOOKUP(E832,[2]PROYECTOS!$K$1:$M$32,3,0)</f>
        <v>2020003050021</v>
      </c>
      <c r="G832" s="67" t="s">
        <v>224</v>
      </c>
      <c r="H832" s="49" t="str">
        <f>VLOOKUP(Q832,[2]PROYECTOS!$V$1:$W$32,2,0)</f>
        <v>050061</v>
      </c>
      <c r="I832" s="50">
        <v>100000000</v>
      </c>
      <c r="J832" s="340" t="s">
        <v>1764</v>
      </c>
      <c r="K832" s="47" t="str">
        <f t="shared" ca="1" si="285"/>
        <v>CONTRATADO</v>
      </c>
      <c r="L832" s="351" t="s">
        <v>94</v>
      </c>
      <c r="M832" s="47" t="s">
        <v>255</v>
      </c>
      <c r="N832" s="52" t="s">
        <v>225</v>
      </c>
      <c r="O832" s="51" t="e">
        <f>VLOOKUP(N832,[2]!RUBROS[#All],3,0)</f>
        <v>#REF!</v>
      </c>
      <c r="P832" s="53" t="e">
        <f>VLOOKUP(N832,[2]!RUBROS[#All],2,0)</f>
        <v>#REF!</v>
      </c>
      <c r="Q832" s="47" t="str">
        <f t="shared" si="286"/>
        <v>20</v>
      </c>
      <c r="R832" s="47" t="str">
        <f t="shared" si="287"/>
        <v>4-101124</v>
      </c>
      <c r="S832" s="339">
        <v>190</v>
      </c>
      <c r="T832" s="59" t="s">
        <v>120</v>
      </c>
      <c r="U832" s="326" t="e">
        <f ca="1">_xlfn.XLOOKUP(PAA_4[[#This Row],[ITEM]],[2]Contrato!A:A,[2]Contrato!Q:Q,"",0)</f>
        <v>#NAME?</v>
      </c>
      <c r="V832" s="47" t="s">
        <v>47</v>
      </c>
      <c r="W832" s="343" t="s">
        <v>154</v>
      </c>
      <c r="X832" s="343" t="s">
        <v>154</v>
      </c>
      <c r="Y832" s="55" t="e">
        <f ca="1">_xlfn.XLOOKUP(PAA_4[[#This Row],[ITEM]],[2]Contrato!A:A,[2]Contrato!B:B,"",0)</f>
        <v>#NAME?</v>
      </c>
      <c r="Z832" s="47" t="e">
        <f ca="1">_xlfn.XLOOKUP(PAA_4[[#This Row],[ITEM]],[2]Contrato!A:A,[2]Contrato!G:G,"",0)</f>
        <v>#NAME?</v>
      </c>
      <c r="AA832" s="47" t="e">
        <f ca="1">_xlfn.XLOOKUP(PAA_4[[#This Row],[ITEM]],[2]Contrato!A:A,[2]Contrato!T:T,"",0)</f>
        <v>#NAME?</v>
      </c>
      <c r="AB832" s="55" t="e">
        <f ca="1">+MAX(PAA_4[[#This Row],[Comprometido Contrato]],PAA_4[[#This Row],[Comprometido Bolsa]])</f>
        <v>#NAME?</v>
      </c>
      <c r="AC832" s="55" t="str">
        <f t="shared" ca="1" si="288"/>
        <v/>
      </c>
      <c r="AD832" s="55" t="e">
        <f ca="1">IF(PAA_4[[#This Row],[ESTADO (formulado)]]="NO CONTRATADO",0,MAX(PAA_4[[#This Row],[Pago por Contrato]],PAA_4[[#This Row],[Pago por bolsa]]))</f>
        <v>#NAME?</v>
      </c>
      <c r="AE832" s="55" t="str">
        <f t="shared" ca="1" si="289"/>
        <v/>
      </c>
      <c r="AF832" s="47" t="e">
        <f t="shared" ca="1" si="290"/>
        <v>#NAME?</v>
      </c>
      <c r="AG832" s="47">
        <f t="shared" si="291"/>
        <v>41080111</v>
      </c>
      <c r="AH832" s="54">
        <f>IF(Q832="22",IF(ISNUMBER(SEARCH("econ",PAA_4[[#This Row],[Actividad3]])),"Económico",IF(ISNUMBER(SEARCH("alim",PAA_4[[#This Row],[Actividad3]])),"Alimentación",IF(ISNUMBER(SEARCH("educ",PAA_4[[#This Row],[Actividad3]])),"Educativo","Técnico"))),0)</f>
        <v>0</v>
      </c>
      <c r="AI832" s="47" t="e" cm="1">
        <f t="array" aca="1" ref="AI832" ca="1">_xlfn.XLOOKUP(PAA_4[[#This Row],[RCP-RUBRO]],[2]!COMPROMISOS_2024[[#All],[concatenado]],[2]!COMPROMISOS_2024[[#All],[Total pagado]],"",0)</f>
        <v>#NAME?</v>
      </c>
      <c r="AJ832" s="56">
        <f>IF(PAA_4[[#This Row],[BOLSA]]=0,0,SUMIFS([2]!COMPROMISOS_2024[[#All],[Total pagado]],[2]!COMPROMISOS_2024[[#All],[Bolsa]],PAA_4[[#This Row],[BOLSA]],[2]!COMPROMISOS_2024[[#All],[rubro]],PAA_4[[#This Row],[RCP-RUBRO]]))</f>
        <v>0</v>
      </c>
      <c r="AK832" s="47" t="e" cm="1">
        <f t="array" aca="1" ref="AK832" ca="1">_xlfn.XLOOKUP(PAA_4[[#This Row],[RCP-RUBRO]],[2]!COMPROMISOS_2024[[#All],[concatenado]],[2]!COMPROMISOS_2024[[#All],[Total Comprometido]],"",0)</f>
        <v>#NAME?</v>
      </c>
      <c r="AL832" s="47">
        <f>IF(PAA_4[[#This Row],[BOLSA]]=0,0,SUMIFS([2]!COMPROMISOS_2024[[#All],[Total Comprometido]],[2]!COMPROMISOS_2024[[#All],[Bolsa]],PAA_4[[#This Row],[BOLSA]],[2]!COMPROMISOS_2024[[#All],[concatenado]],PAA_4[[#This Row],[RCP-RUBRO]]))</f>
        <v>0</v>
      </c>
    </row>
    <row r="833" spans="1:38" s="19" customFormat="1" ht="31.5" customHeight="1">
      <c r="A833" s="47">
        <v>712</v>
      </c>
      <c r="B833" s="51">
        <v>90141502</v>
      </c>
      <c r="C833" s="47" t="str">
        <f>VLOOKUP(PAA_4[[#This Row],[PROYECTO (formulado)2]],[2]PROYECTOS!$G$1:$L$32,6,0)</f>
        <v>SUBGERENCIA DE ALTOS LOGROS Y DEPORTE ASOCIADO</v>
      </c>
      <c r="D833" s="47" t="str">
        <f>+IF(PAA_4[[#This Row],[UNIDAD DE CONTRATACION (formulado)]]="Subgerencia Administrativa y Financiera","FUNCIONAMIENTO","INVERSIÓN")</f>
        <v>INVERSIÓN</v>
      </c>
      <c r="E833" s="48" t="str">
        <f>VLOOKUP(Q833,[2]PROYECTOS!$G$1:$K$32,5,0)</f>
        <v>FORTALECIMIENTO_DEL_PROGRAMA_DE_ALTOS_LOGROS_Y_LIDERAZGO_DEPORTIVO_EN_EL_DEPARTAMENTO_DE_ANTIOQUIA</v>
      </c>
      <c r="F833" s="48">
        <f>VLOOKUP(E833,[2]PROYECTOS!$K$1:$M$32,3,0)</f>
        <v>2020003050021</v>
      </c>
      <c r="G833" s="67" t="s">
        <v>224</v>
      </c>
      <c r="H833" s="49" t="str">
        <f>VLOOKUP(Q833,[2]PROYECTOS!$V$1:$W$32,2,0)</f>
        <v>050061</v>
      </c>
      <c r="I833" s="50">
        <f>100000000-3583200</f>
        <v>96416800</v>
      </c>
      <c r="J833" s="340" t="s">
        <v>1765</v>
      </c>
      <c r="K833" s="47" t="str">
        <f t="shared" ca="1" si="285"/>
        <v>CONTRATADO</v>
      </c>
      <c r="L833" s="351" t="s">
        <v>94</v>
      </c>
      <c r="M833" s="47" t="s">
        <v>255</v>
      </c>
      <c r="N833" s="52" t="s">
        <v>225</v>
      </c>
      <c r="O833" s="51" t="e">
        <f>VLOOKUP(N833,[2]!RUBROS[#All],3,0)</f>
        <v>#REF!</v>
      </c>
      <c r="P833" s="53" t="e">
        <f>VLOOKUP(N833,[2]!RUBROS[#All],2,0)</f>
        <v>#REF!</v>
      </c>
      <c r="Q833" s="47" t="str">
        <f t="shared" si="286"/>
        <v>20</v>
      </c>
      <c r="R833" s="47" t="str">
        <f t="shared" si="287"/>
        <v>4-101124</v>
      </c>
      <c r="S833" s="342">
        <v>200</v>
      </c>
      <c r="T833" s="59" t="s">
        <v>120</v>
      </c>
      <c r="U833" s="326" t="e">
        <f ca="1">_xlfn.XLOOKUP(PAA_4[[#This Row],[ITEM]],[2]Contrato!A:A,[2]Contrato!Q:Q,"",0)</f>
        <v>#NAME?</v>
      </c>
      <c r="V833" s="47" t="s">
        <v>47</v>
      </c>
      <c r="W833" s="343" t="s">
        <v>154</v>
      </c>
      <c r="X833" s="343" t="s">
        <v>154</v>
      </c>
      <c r="Y833" s="55" t="e">
        <f ca="1">_xlfn.XLOOKUP(PAA_4[[#This Row],[ITEM]],[2]Contrato!A:A,[2]Contrato!B:B,"",0)</f>
        <v>#NAME?</v>
      </c>
      <c r="Z833" s="47" t="e">
        <f ca="1">_xlfn.XLOOKUP(PAA_4[[#This Row],[ITEM]],[2]Contrato!A:A,[2]Contrato!G:G,"",0)</f>
        <v>#NAME?</v>
      </c>
      <c r="AA833" s="47" t="e">
        <f ca="1">_xlfn.XLOOKUP(PAA_4[[#This Row],[ITEM]],[2]Contrato!A:A,[2]Contrato!T:T,"",0)</f>
        <v>#NAME?</v>
      </c>
      <c r="AB833" s="55" t="e">
        <f ca="1">+MAX(PAA_4[[#This Row],[Comprometido Contrato]],PAA_4[[#This Row],[Comprometido Bolsa]])</f>
        <v>#NAME?</v>
      </c>
      <c r="AC833" s="55" t="str">
        <f t="shared" ca="1" si="288"/>
        <v/>
      </c>
      <c r="AD833" s="55" t="e">
        <f ca="1">IF(PAA_4[[#This Row],[ESTADO (formulado)]]="NO CONTRATADO",0,MAX(PAA_4[[#This Row],[Pago por Contrato]],PAA_4[[#This Row],[Pago por bolsa]]))</f>
        <v>#NAME?</v>
      </c>
      <c r="AE833" s="55" t="str">
        <f t="shared" ca="1" si="289"/>
        <v/>
      </c>
      <c r="AF833" s="47" t="e">
        <f t="shared" ca="1" si="290"/>
        <v>#NAME?</v>
      </c>
      <c r="AG833" s="47">
        <f t="shared" si="291"/>
        <v>41080111</v>
      </c>
      <c r="AH833" s="54">
        <f>IF(Q833="22",IF(ISNUMBER(SEARCH("econ",PAA_4[[#This Row],[Actividad3]])),"Económico",IF(ISNUMBER(SEARCH("alim",PAA_4[[#This Row],[Actividad3]])),"Alimentación",IF(ISNUMBER(SEARCH("educ",PAA_4[[#This Row],[Actividad3]])),"Educativo","Técnico"))),0)</f>
        <v>0</v>
      </c>
      <c r="AI833" s="47" t="e" cm="1">
        <f t="array" aca="1" ref="AI833" ca="1">_xlfn.XLOOKUP(PAA_4[[#This Row],[RCP-RUBRO]],[2]!COMPROMISOS_2024[[#All],[concatenado]],[2]!COMPROMISOS_2024[[#All],[Total pagado]],"",0)</f>
        <v>#NAME?</v>
      </c>
      <c r="AJ833" s="56">
        <f>IF(PAA_4[[#This Row],[BOLSA]]=0,0,SUMIFS([2]!COMPROMISOS_2024[[#All],[Total pagado]],[2]!COMPROMISOS_2024[[#All],[Bolsa]],PAA_4[[#This Row],[BOLSA]],[2]!COMPROMISOS_2024[[#All],[rubro]],PAA_4[[#This Row],[RCP-RUBRO]]))</f>
        <v>0</v>
      </c>
      <c r="AK833" s="47" t="e" cm="1">
        <f t="array" aca="1" ref="AK833" ca="1">_xlfn.XLOOKUP(PAA_4[[#This Row],[RCP-RUBRO]],[2]!COMPROMISOS_2024[[#All],[concatenado]],[2]!COMPROMISOS_2024[[#All],[Total Comprometido]],"",0)</f>
        <v>#NAME?</v>
      </c>
      <c r="AL833" s="47">
        <f>IF(PAA_4[[#This Row],[BOLSA]]=0,0,SUMIFS([2]!COMPROMISOS_2024[[#All],[Total Comprometido]],[2]!COMPROMISOS_2024[[#All],[Bolsa]],PAA_4[[#This Row],[BOLSA]],[2]!COMPROMISOS_2024[[#All],[concatenado]],PAA_4[[#This Row],[RCP-RUBRO]]))</f>
        <v>0</v>
      </c>
    </row>
    <row r="834" spans="1:38" s="19" customFormat="1" ht="31.5" customHeight="1">
      <c r="A834" s="47">
        <v>713</v>
      </c>
      <c r="B834" s="51">
        <v>90141502</v>
      </c>
      <c r="C834" s="47" t="str">
        <f>VLOOKUP(PAA_4[[#This Row],[PROYECTO (formulado)2]],[2]PROYECTOS!$G$1:$L$32,6,0)</f>
        <v>SUBGERENCIA DE ALTOS LOGROS Y DEPORTE ASOCIADO</v>
      </c>
      <c r="D834" s="47" t="str">
        <f>+IF(PAA_4[[#This Row],[UNIDAD DE CONTRATACION (formulado)]]="Subgerencia Administrativa y Financiera","FUNCIONAMIENTO","INVERSIÓN")</f>
        <v>INVERSIÓN</v>
      </c>
      <c r="E834" s="48" t="str">
        <f>VLOOKUP(Q834,[2]PROYECTOS!$G$1:$K$32,5,0)</f>
        <v>FORTALECIMIENTO_DEL_PROGRAMA_DE_ALTOS_LOGROS_Y_LIDERAZGO_DEPORTIVO_EN_EL_DEPARTAMENTO_DE_ANTIOQUIA</v>
      </c>
      <c r="F834" s="48">
        <f>VLOOKUP(E834,[2]PROYECTOS!$K$1:$M$32,3,0)</f>
        <v>2020003050021</v>
      </c>
      <c r="G834" s="67" t="s">
        <v>224</v>
      </c>
      <c r="H834" s="49" t="str">
        <f>VLOOKUP(Q834,[2]PROYECTOS!$V$1:$W$32,2,0)</f>
        <v>050061</v>
      </c>
      <c r="I834" s="50">
        <v>55000000</v>
      </c>
      <c r="J834" s="340" t="s">
        <v>1766</v>
      </c>
      <c r="K834" s="47" t="str">
        <f t="shared" ca="1" si="285"/>
        <v>CONTRATADO</v>
      </c>
      <c r="L834" s="351" t="s">
        <v>94</v>
      </c>
      <c r="M834" s="47" t="s">
        <v>1767</v>
      </c>
      <c r="N834" s="52" t="s">
        <v>225</v>
      </c>
      <c r="O834" s="51" t="e">
        <f>VLOOKUP(N834,[2]!RUBROS[#All],3,0)</f>
        <v>#REF!</v>
      </c>
      <c r="P834" s="53" t="e">
        <f>VLOOKUP(N834,[2]!RUBROS[#All],2,0)</f>
        <v>#REF!</v>
      </c>
      <c r="Q834" s="47" t="str">
        <f t="shared" si="286"/>
        <v>20</v>
      </c>
      <c r="R834" s="47" t="str">
        <f t="shared" si="287"/>
        <v>4-101124</v>
      </c>
      <c r="S834" s="342">
        <v>200</v>
      </c>
      <c r="T834" s="59" t="s">
        <v>120</v>
      </c>
      <c r="U834" s="326" t="e">
        <f ca="1">_xlfn.XLOOKUP(PAA_4[[#This Row],[ITEM]],[2]Contrato!A:A,[2]Contrato!Q:Q,"",0)</f>
        <v>#NAME?</v>
      </c>
      <c r="V834" s="47" t="s">
        <v>47</v>
      </c>
      <c r="W834" s="343" t="s">
        <v>154</v>
      </c>
      <c r="X834" s="343" t="s">
        <v>154</v>
      </c>
      <c r="Y834" s="55" t="e">
        <f ca="1">_xlfn.XLOOKUP(PAA_4[[#This Row],[ITEM]],[2]Contrato!A:A,[2]Contrato!B:B,"",0)</f>
        <v>#NAME?</v>
      </c>
      <c r="Z834" s="47" t="e">
        <f ca="1">_xlfn.XLOOKUP(PAA_4[[#This Row],[ITEM]],[2]Contrato!A:A,[2]Contrato!G:G,"",0)</f>
        <v>#NAME?</v>
      </c>
      <c r="AA834" s="47" t="e">
        <f ca="1">_xlfn.XLOOKUP(PAA_4[[#This Row],[ITEM]],[2]Contrato!A:A,[2]Contrato!T:T,"",0)</f>
        <v>#NAME?</v>
      </c>
      <c r="AB834" s="55" t="e">
        <f ca="1">+MAX(PAA_4[[#This Row],[Comprometido Contrato]],PAA_4[[#This Row],[Comprometido Bolsa]])</f>
        <v>#NAME?</v>
      </c>
      <c r="AC834" s="55" t="str">
        <f t="shared" ca="1" si="288"/>
        <v/>
      </c>
      <c r="AD834" s="55" t="e">
        <f ca="1">IF(PAA_4[[#This Row],[ESTADO (formulado)]]="NO CONTRATADO",0,MAX(PAA_4[[#This Row],[Pago por Contrato]],PAA_4[[#This Row],[Pago por bolsa]]))</f>
        <v>#NAME?</v>
      </c>
      <c r="AE834" s="55" t="str">
        <f t="shared" ca="1" si="289"/>
        <v/>
      </c>
      <c r="AF834" s="47" t="e">
        <f t="shared" ca="1" si="290"/>
        <v>#NAME?</v>
      </c>
      <c r="AG834" s="47">
        <f t="shared" si="291"/>
        <v>41080111</v>
      </c>
      <c r="AH834" s="54">
        <f>IF(Q834="22",IF(ISNUMBER(SEARCH("econ",PAA_4[[#This Row],[Actividad3]])),"Económico",IF(ISNUMBER(SEARCH("alim",PAA_4[[#This Row],[Actividad3]])),"Alimentación",IF(ISNUMBER(SEARCH("educ",PAA_4[[#This Row],[Actividad3]])),"Educativo","Técnico"))),0)</f>
        <v>0</v>
      </c>
      <c r="AI834" s="47" t="e" cm="1">
        <f t="array" aca="1" ref="AI834" ca="1">_xlfn.XLOOKUP(PAA_4[[#This Row],[RCP-RUBRO]],[2]!COMPROMISOS_2024[[#All],[concatenado]],[2]!COMPROMISOS_2024[[#All],[Total pagado]],"",0)</f>
        <v>#NAME?</v>
      </c>
      <c r="AJ834" s="56">
        <f>IF(PAA_4[[#This Row],[BOLSA]]=0,0,SUMIFS([2]!COMPROMISOS_2024[[#All],[Total pagado]],[2]!COMPROMISOS_2024[[#All],[Bolsa]],PAA_4[[#This Row],[BOLSA]],[2]!COMPROMISOS_2024[[#All],[rubro]],PAA_4[[#This Row],[RCP-RUBRO]]))</f>
        <v>0</v>
      </c>
      <c r="AK834" s="47" t="e" cm="1">
        <f t="array" aca="1" ref="AK834" ca="1">_xlfn.XLOOKUP(PAA_4[[#This Row],[RCP-RUBRO]],[2]!COMPROMISOS_2024[[#All],[concatenado]],[2]!COMPROMISOS_2024[[#All],[Total Comprometido]],"",0)</f>
        <v>#NAME?</v>
      </c>
      <c r="AL834" s="47">
        <f>IF(PAA_4[[#This Row],[BOLSA]]=0,0,SUMIFS([2]!COMPROMISOS_2024[[#All],[Total Comprometido]],[2]!COMPROMISOS_2024[[#All],[Bolsa]],PAA_4[[#This Row],[BOLSA]],[2]!COMPROMISOS_2024[[#All],[concatenado]],PAA_4[[#This Row],[RCP-RUBRO]]))</f>
        <v>0</v>
      </c>
    </row>
    <row r="835" spans="1:38" s="19" customFormat="1" ht="31.5" customHeight="1">
      <c r="A835" s="47">
        <v>714</v>
      </c>
      <c r="B835" s="51">
        <v>90141502</v>
      </c>
      <c r="C835" s="47" t="str">
        <f>VLOOKUP(PAA_4[[#This Row],[PROYECTO (formulado)2]],[2]PROYECTOS!$G$1:$L$32,6,0)</f>
        <v>SUBGERENCIA DE ALTOS LOGROS Y DEPORTE ASOCIADO</v>
      </c>
      <c r="D835" s="47" t="str">
        <f>+IF(PAA_4[[#This Row],[UNIDAD DE CONTRATACION (formulado)]]="Subgerencia Administrativa y Financiera","FUNCIONAMIENTO","INVERSIÓN")</f>
        <v>INVERSIÓN</v>
      </c>
      <c r="E835" s="48" t="str">
        <f>VLOOKUP(Q835,[2]PROYECTOS!$G$1:$K$32,5,0)</f>
        <v>FORTALECIMIENTO_DEL_PROGRAMA_DE_ALTOS_LOGROS_Y_LIDERAZGO_DEPORTIVO_EN_EL_DEPARTAMENTO_DE_ANTIOQUIA</v>
      </c>
      <c r="F835" s="48">
        <f>VLOOKUP(E835,[2]PROYECTOS!$K$1:$M$32,3,0)</f>
        <v>2020003050021</v>
      </c>
      <c r="G835" s="67" t="s">
        <v>224</v>
      </c>
      <c r="H835" s="49" t="str">
        <f>VLOOKUP(Q835,[2]PROYECTOS!$V$1:$W$32,2,0)</f>
        <v>050061</v>
      </c>
      <c r="I835" s="50">
        <v>28000000</v>
      </c>
      <c r="J835" s="340" t="s">
        <v>1768</v>
      </c>
      <c r="K835" s="47" t="str">
        <f t="shared" ca="1" si="285"/>
        <v>CONTRATADO</v>
      </c>
      <c r="L835" s="351" t="s">
        <v>94</v>
      </c>
      <c r="M835" s="47" t="s">
        <v>222</v>
      </c>
      <c r="N835" s="52" t="s">
        <v>223</v>
      </c>
      <c r="O835" s="51" t="e">
        <f>VLOOKUP(N835,[2]!RUBROS[#All],3,0)</f>
        <v>#REF!</v>
      </c>
      <c r="P835" s="53" t="e">
        <f>VLOOKUP(N835,[2]!RUBROS[#All],2,0)</f>
        <v>#REF!</v>
      </c>
      <c r="Q835" s="47" t="str">
        <f t="shared" si="286"/>
        <v>20</v>
      </c>
      <c r="R835" s="47" t="str">
        <f t="shared" si="287"/>
        <v>0-205400</v>
      </c>
      <c r="S835" s="342">
        <v>170</v>
      </c>
      <c r="T835" s="59" t="s">
        <v>120</v>
      </c>
      <c r="U835" s="326" t="e">
        <f ca="1">_xlfn.XLOOKUP(PAA_4[[#This Row],[ITEM]],[2]Contrato!A:A,[2]Contrato!Q:Q,"",0)</f>
        <v>#NAME?</v>
      </c>
      <c r="V835" s="47" t="s">
        <v>47</v>
      </c>
      <c r="W835" s="343" t="s">
        <v>193</v>
      </c>
      <c r="X835" s="343" t="s">
        <v>193</v>
      </c>
      <c r="Y835" s="55" t="e">
        <f ca="1">_xlfn.XLOOKUP(PAA_4[[#This Row],[ITEM]],[2]Contrato!A:A,[2]Contrato!B:B,"",0)</f>
        <v>#NAME?</v>
      </c>
      <c r="Z835" s="47" t="e">
        <f ca="1">_xlfn.XLOOKUP(PAA_4[[#This Row],[ITEM]],[2]Contrato!A:A,[2]Contrato!G:G,"",0)</f>
        <v>#NAME?</v>
      </c>
      <c r="AA835" s="47" t="e">
        <f ca="1">_xlfn.XLOOKUP(PAA_4[[#This Row],[ITEM]],[2]Contrato!A:A,[2]Contrato!T:T,"",0)</f>
        <v>#NAME?</v>
      </c>
      <c r="AB835" s="55" t="e">
        <f ca="1">+MAX(PAA_4[[#This Row],[Comprometido Contrato]],PAA_4[[#This Row],[Comprometido Bolsa]])</f>
        <v>#NAME?</v>
      </c>
      <c r="AC835" s="55" t="str">
        <f t="shared" ca="1" si="288"/>
        <v/>
      </c>
      <c r="AD835" s="55" t="e">
        <f ca="1">IF(PAA_4[[#This Row],[ESTADO (formulado)]]="NO CONTRATADO",0,MAX(PAA_4[[#This Row],[Pago por Contrato]],PAA_4[[#This Row],[Pago por bolsa]]))</f>
        <v>#NAME?</v>
      </c>
      <c r="AE835" s="55" t="str">
        <f t="shared" ca="1" si="289"/>
        <v/>
      </c>
      <c r="AF835" s="47" t="e">
        <f t="shared" ca="1" si="290"/>
        <v>#NAME?</v>
      </c>
      <c r="AG835" s="47">
        <f t="shared" si="291"/>
        <v>41080111</v>
      </c>
      <c r="AH835" s="54">
        <f>IF(Q835="22",IF(ISNUMBER(SEARCH("econ",PAA_4[[#This Row],[Actividad3]])),"Económico",IF(ISNUMBER(SEARCH("alim",PAA_4[[#This Row],[Actividad3]])),"Alimentación",IF(ISNUMBER(SEARCH("educ",PAA_4[[#This Row],[Actividad3]])),"Educativo","Técnico"))),0)</f>
        <v>0</v>
      </c>
      <c r="AI835" s="47" t="e" cm="1">
        <f t="array" aca="1" ref="AI835" ca="1">_xlfn.XLOOKUP(PAA_4[[#This Row],[RCP-RUBRO]],[2]!COMPROMISOS_2024[[#All],[concatenado]],[2]!COMPROMISOS_2024[[#All],[Total pagado]],"",0)</f>
        <v>#NAME?</v>
      </c>
      <c r="AJ835" s="56">
        <f>IF(PAA_4[[#This Row],[BOLSA]]=0,0,SUMIFS([2]!COMPROMISOS_2024[[#All],[Total pagado]],[2]!COMPROMISOS_2024[[#All],[Bolsa]],PAA_4[[#This Row],[BOLSA]],[2]!COMPROMISOS_2024[[#All],[rubro]],PAA_4[[#This Row],[RCP-RUBRO]]))</f>
        <v>0</v>
      </c>
      <c r="AK835" s="47" t="e" cm="1">
        <f t="array" aca="1" ref="AK835" ca="1">_xlfn.XLOOKUP(PAA_4[[#This Row],[RCP-RUBRO]],[2]!COMPROMISOS_2024[[#All],[concatenado]],[2]!COMPROMISOS_2024[[#All],[Total Comprometido]],"",0)</f>
        <v>#NAME?</v>
      </c>
      <c r="AL835" s="47">
        <f>IF(PAA_4[[#This Row],[BOLSA]]=0,0,SUMIFS([2]!COMPROMISOS_2024[[#All],[Total Comprometido]],[2]!COMPROMISOS_2024[[#All],[Bolsa]],PAA_4[[#This Row],[BOLSA]],[2]!COMPROMISOS_2024[[#All],[concatenado]],PAA_4[[#This Row],[RCP-RUBRO]]))</f>
        <v>0</v>
      </c>
    </row>
    <row r="836" spans="1:38" s="19" customFormat="1" ht="31.5" customHeight="1">
      <c r="A836" s="47">
        <v>714</v>
      </c>
      <c r="B836" s="51">
        <v>90141502</v>
      </c>
      <c r="C836" s="47" t="str">
        <f>VLOOKUP(PAA_4[[#This Row],[PROYECTO (formulado)2]],[2]PROYECTOS!$G$1:$L$32,6,0)</f>
        <v>SUBGERENCIA DE ALTOS LOGROS Y DEPORTE ASOCIADO</v>
      </c>
      <c r="D836" s="47" t="str">
        <f>+IF(PAA_4[[#This Row],[UNIDAD DE CONTRATACION (formulado)]]="Subgerencia Administrativa y Financiera","FUNCIONAMIENTO","INVERSIÓN")</f>
        <v>INVERSIÓN</v>
      </c>
      <c r="E836" s="48" t="str">
        <f>VLOOKUP(Q836,[2]PROYECTOS!$G$1:$K$32,5,0)</f>
        <v>FORTALECIMIENTO_DEL_PROGRAMA_DE_ALTOS_LOGROS_Y_LIDERAZGO_DEPORTIVO_EN_EL_DEPARTAMENTO_DE_ANTIOQUIA</v>
      </c>
      <c r="F836" s="48">
        <f>VLOOKUP(E836,[2]PROYECTOS!$K$1:$M$32,3,0)</f>
        <v>2020003050021</v>
      </c>
      <c r="G836" s="67" t="s">
        <v>224</v>
      </c>
      <c r="H836" s="49" t="str">
        <f>VLOOKUP(Q836,[2]PROYECTOS!$V$1:$W$32,2,0)</f>
        <v>050061</v>
      </c>
      <c r="I836" s="50">
        <v>72000000</v>
      </c>
      <c r="J836" s="340" t="s">
        <v>1768</v>
      </c>
      <c r="K836" s="47" t="str">
        <f t="shared" ca="1" si="285"/>
        <v>CONTRATADO</v>
      </c>
      <c r="L836" s="351" t="s">
        <v>94</v>
      </c>
      <c r="M836" s="47" t="s">
        <v>222</v>
      </c>
      <c r="N836" s="52" t="s">
        <v>225</v>
      </c>
      <c r="O836" s="51" t="e">
        <f>VLOOKUP(N836,[2]!RUBROS[#All],3,0)</f>
        <v>#REF!</v>
      </c>
      <c r="P836" s="53" t="e">
        <f>VLOOKUP(N836,[2]!RUBROS[#All],2,0)</f>
        <v>#REF!</v>
      </c>
      <c r="Q836" s="47" t="str">
        <f t="shared" si="286"/>
        <v>20</v>
      </c>
      <c r="R836" s="47" t="str">
        <f t="shared" si="287"/>
        <v>4-101124</v>
      </c>
      <c r="S836" s="342">
        <v>170</v>
      </c>
      <c r="T836" s="59" t="s">
        <v>120</v>
      </c>
      <c r="U836" s="326" t="e">
        <f ca="1">_xlfn.XLOOKUP(PAA_4[[#This Row],[ITEM]],[2]Contrato!A:A,[2]Contrato!Q:Q,"",0)</f>
        <v>#NAME?</v>
      </c>
      <c r="V836" s="47" t="s">
        <v>47</v>
      </c>
      <c r="W836" s="343" t="s">
        <v>154</v>
      </c>
      <c r="X836" s="343" t="s">
        <v>154</v>
      </c>
      <c r="Y836" s="55" t="e">
        <f ca="1">_xlfn.XLOOKUP(PAA_4[[#This Row],[ITEM]],[2]Contrato!A:A,[2]Contrato!B:B,"",0)</f>
        <v>#NAME?</v>
      </c>
      <c r="Z836" s="47" t="e">
        <f ca="1">_xlfn.XLOOKUP(PAA_4[[#This Row],[ITEM]],[2]Contrato!A:A,[2]Contrato!G:G,"",0)</f>
        <v>#NAME?</v>
      </c>
      <c r="AA836" s="47" t="e">
        <f ca="1">_xlfn.XLOOKUP(PAA_4[[#This Row],[ITEM]],[2]Contrato!A:A,[2]Contrato!T:T,"",0)</f>
        <v>#NAME?</v>
      </c>
      <c r="AB836" s="55" t="e">
        <f ca="1">+MAX(PAA_4[[#This Row],[Comprometido Contrato]],PAA_4[[#This Row],[Comprometido Bolsa]])</f>
        <v>#NAME?</v>
      </c>
      <c r="AC836" s="55" t="str">
        <f t="shared" ca="1" si="288"/>
        <v/>
      </c>
      <c r="AD836" s="55" t="e">
        <f ca="1">IF(PAA_4[[#This Row],[ESTADO (formulado)]]="NO CONTRATADO",0,MAX(PAA_4[[#This Row],[Pago por Contrato]],PAA_4[[#This Row],[Pago por bolsa]]))</f>
        <v>#NAME?</v>
      </c>
      <c r="AE836" s="55" t="str">
        <f t="shared" ca="1" si="289"/>
        <v/>
      </c>
      <c r="AF836" s="47" t="e">
        <f t="shared" ca="1" si="290"/>
        <v>#NAME?</v>
      </c>
      <c r="AG836" s="47">
        <f t="shared" si="291"/>
        <v>41080111</v>
      </c>
      <c r="AH836" s="54">
        <f>IF(Q836="22",IF(ISNUMBER(SEARCH("econ",PAA_4[[#This Row],[Actividad3]])),"Económico",IF(ISNUMBER(SEARCH("alim",PAA_4[[#This Row],[Actividad3]])),"Alimentación",IF(ISNUMBER(SEARCH("educ",PAA_4[[#This Row],[Actividad3]])),"Educativo","Técnico"))),0)</f>
        <v>0</v>
      </c>
      <c r="AI836" s="47" t="e" cm="1">
        <f t="array" aca="1" ref="AI836" ca="1">_xlfn.XLOOKUP(PAA_4[[#This Row],[RCP-RUBRO]],[2]!COMPROMISOS_2024[[#All],[concatenado]],[2]!COMPROMISOS_2024[[#All],[Total pagado]],"",0)</f>
        <v>#NAME?</v>
      </c>
      <c r="AJ836" s="56">
        <f>IF(PAA_4[[#This Row],[BOLSA]]=0,0,SUMIFS([2]!COMPROMISOS_2024[[#All],[Total pagado]],[2]!COMPROMISOS_2024[[#All],[Bolsa]],PAA_4[[#This Row],[BOLSA]],[2]!COMPROMISOS_2024[[#All],[rubro]],PAA_4[[#This Row],[RCP-RUBRO]]))</f>
        <v>0</v>
      </c>
      <c r="AK836" s="47" t="e" cm="1">
        <f t="array" aca="1" ref="AK836" ca="1">_xlfn.XLOOKUP(PAA_4[[#This Row],[RCP-RUBRO]],[2]!COMPROMISOS_2024[[#All],[concatenado]],[2]!COMPROMISOS_2024[[#All],[Total Comprometido]],"",0)</f>
        <v>#NAME?</v>
      </c>
      <c r="AL836" s="47">
        <f>IF(PAA_4[[#This Row],[BOLSA]]=0,0,SUMIFS([2]!COMPROMISOS_2024[[#All],[Total Comprometido]],[2]!COMPROMISOS_2024[[#All],[Bolsa]],PAA_4[[#This Row],[BOLSA]],[2]!COMPROMISOS_2024[[#All],[concatenado]],PAA_4[[#This Row],[RCP-RUBRO]]))</f>
        <v>0</v>
      </c>
    </row>
    <row r="837" spans="1:38" s="19" customFormat="1" ht="31.5" customHeight="1">
      <c r="A837" s="47">
        <v>715</v>
      </c>
      <c r="B837" s="51">
        <v>90141502</v>
      </c>
      <c r="C837" s="47" t="str">
        <f>VLOOKUP(PAA_4[[#This Row],[PROYECTO (formulado)2]],[2]PROYECTOS!$G$1:$L$32,6,0)</f>
        <v>SUBGERENCIA DE ALTOS LOGROS Y DEPORTE ASOCIADO</v>
      </c>
      <c r="D837" s="47" t="str">
        <f>+IF(PAA_4[[#This Row],[UNIDAD DE CONTRATACION (formulado)]]="Subgerencia Administrativa y Financiera","FUNCIONAMIENTO","INVERSIÓN")</f>
        <v>INVERSIÓN</v>
      </c>
      <c r="E837" s="48" t="str">
        <f>VLOOKUP(Q837,[2]PROYECTOS!$G$1:$K$32,5,0)</f>
        <v>FORTALECIMIENTO_DEL_PROGRAMA_DE_ALTOS_LOGROS_Y_LIDERAZGO_DEPORTIVO_EN_EL_DEPARTAMENTO_DE_ANTIOQUIA</v>
      </c>
      <c r="F837" s="48">
        <f>VLOOKUP(E837,[2]PROYECTOS!$K$1:$M$32,3,0)</f>
        <v>2020003050021</v>
      </c>
      <c r="G837" s="67" t="s">
        <v>224</v>
      </c>
      <c r="H837" s="49" t="str">
        <f>VLOOKUP(Q837,[2]PROYECTOS!$V$1:$W$32,2,0)</f>
        <v>050061</v>
      </c>
      <c r="I837" s="50">
        <v>30000000</v>
      </c>
      <c r="J837" s="340" t="s">
        <v>1769</v>
      </c>
      <c r="K837" s="47" t="str">
        <f t="shared" ca="1" si="285"/>
        <v>CONTRATADO</v>
      </c>
      <c r="L837" s="351" t="s">
        <v>94</v>
      </c>
      <c r="M837" s="47" t="s">
        <v>255</v>
      </c>
      <c r="N837" s="355" t="s">
        <v>223</v>
      </c>
      <c r="O837" s="51" t="e">
        <f>VLOOKUP(N837,[2]!RUBROS[#All],3,0)</f>
        <v>#REF!</v>
      </c>
      <c r="P837" s="53" t="e">
        <f>VLOOKUP(N837,[2]!RUBROS[#All],2,0)</f>
        <v>#REF!</v>
      </c>
      <c r="Q837" s="47" t="str">
        <f t="shared" si="286"/>
        <v>20</v>
      </c>
      <c r="R837" s="47" t="str">
        <f t="shared" si="287"/>
        <v>0-205400</v>
      </c>
      <c r="S837" s="342">
        <v>155</v>
      </c>
      <c r="T837" s="59" t="s">
        <v>120</v>
      </c>
      <c r="U837" s="326" t="e">
        <f ca="1">_xlfn.XLOOKUP(PAA_4[[#This Row],[ITEM]],[2]Contrato!A:A,[2]Contrato!Q:Q,"",0)</f>
        <v>#NAME?</v>
      </c>
      <c r="V837" s="47" t="s">
        <v>47</v>
      </c>
      <c r="W837" s="343" t="s">
        <v>193</v>
      </c>
      <c r="X837" s="343" t="s">
        <v>194</v>
      </c>
      <c r="Y837" s="55" t="e">
        <f ca="1">_xlfn.XLOOKUP(PAA_4[[#This Row],[ITEM]],[2]Contrato!A:A,[2]Contrato!B:B,"",0)</f>
        <v>#NAME?</v>
      </c>
      <c r="Z837" s="47" t="e">
        <f ca="1">_xlfn.XLOOKUP(PAA_4[[#This Row],[ITEM]],[2]Contrato!A:A,[2]Contrato!G:G,"",0)</f>
        <v>#NAME?</v>
      </c>
      <c r="AA837" s="47" t="e">
        <f ca="1">_xlfn.XLOOKUP(PAA_4[[#This Row],[ITEM]],[2]Contrato!A:A,[2]Contrato!T:T,"",0)</f>
        <v>#NAME?</v>
      </c>
      <c r="AB837" s="55" t="e">
        <f ca="1">+MAX(PAA_4[[#This Row],[Comprometido Contrato]],PAA_4[[#This Row],[Comprometido Bolsa]])</f>
        <v>#NAME?</v>
      </c>
      <c r="AC837" s="55" t="str">
        <f t="shared" ca="1" si="288"/>
        <v/>
      </c>
      <c r="AD837" s="55" t="e">
        <f ca="1">IF(PAA_4[[#This Row],[ESTADO (formulado)]]="NO CONTRATADO",0,MAX(PAA_4[[#This Row],[Pago por Contrato]],PAA_4[[#This Row],[Pago por bolsa]]))</f>
        <v>#NAME?</v>
      </c>
      <c r="AE837" s="55" t="str">
        <f t="shared" ca="1" si="289"/>
        <v/>
      </c>
      <c r="AF837" s="47" t="e">
        <f t="shared" ca="1" si="290"/>
        <v>#NAME?</v>
      </c>
      <c r="AG837" s="47">
        <f t="shared" si="291"/>
        <v>41080111</v>
      </c>
      <c r="AH837" s="54">
        <f>IF(Q837="22",IF(ISNUMBER(SEARCH("econ",PAA_4[[#This Row],[Actividad3]])),"Económico",IF(ISNUMBER(SEARCH("alim",PAA_4[[#This Row],[Actividad3]])),"Alimentación",IF(ISNUMBER(SEARCH("educ",PAA_4[[#This Row],[Actividad3]])),"Educativo","Técnico"))),0)</f>
        <v>0</v>
      </c>
      <c r="AI837" s="47" t="e" cm="1">
        <f t="array" aca="1" ref="AI837" ca="1">_xlfn.XLOOKUP(PAA_4[[#This Row],[RCP-RUBRO]],[2]!COMPROMISOS_2024[[#All],[concatenado]],[2]!COMPROMISOS_2024[[#All],[Total pagado]],"",0)</f>
        <v>#NAME?</v>
      </c>
      <c r="AJ837" s="56">
        <f>IF(PAA_4[[#This Row],[BOLSA]]=0,0,SUMIFS([2]!COMPROMISOS_2024[[#All],[Total pagado]],[2]!COMPROMISOS_2024[[#All],[Bolsa]],PAA_4[[#This Row],[BOLSA]],[2]!COMPROMISOS_2024[[#All],[rubro]],PAA_4[[#This Row],[RCP-RUBRO]]))</f>
        <v>0</v>
      </c>
      <c r="AK837" s="47" t="e" cm="1">
        <f t="array" aca="1" ref="AK837" ca="1">_xlfn.XLOOKUP(PAA_4[[#This Row],[RCP-RUBRO]],[2]!COMPROMISOS_2024[[#All],[concatenado]],[2]!COMPROMISOS_2024[[#All],[Total Comprometido]],"",0)</f>
        <v>#NAME?</v>
      </c>
      <c r="AL837" s="47">
        <f>IF(PAA_4[[#This Row],[BOLSA]]=0,0,SUMIFS([2]!COMPROMISOS_2024[[#All],[Total Comprometido]],[2]!COMPROMISOS_2024[[#All],[Bolsa]],PAA_4[[#This Row],[BOLSA]],[2]!COMPROMISOS_2024[[#All],[concatenado]],PAA_4[[#This Row],[RCP-RUBRO]]))</f>
        <v>0</v>
      </c>
    </row>
    <row r="838" spans="1:38" s="19" customFormat="1" ht="31.5" customHeight="1">
      <c r="A838" s="47">
        <v>715</v>
      </c>
      <c r="B838" s="51">
        <v>90141502</v>
      </c>
      <c r="C838" s="47" t="str">
        <f>VLOOKUP(PAA_4[[#This Row],[PROYECTO (formulado)2]],[2]PROYECTOS!$G$1:$L$32,6,0)</f>
        <v>SUBGERENCIA DE ALTOS LOGROS Y DEPORTE ASOCIADO</v>
      </c>
      <c r="D838" s="47" t="str">
        <f>+IF(PAA_4[[#This Row],[UNIDAD DE CONTRATACION (formulado)]]="Subgerencia Administrativa y Financiera","FUNCIONAMIENTO","INVERSIÓN")</f>
        <v>INVERSIÓN</v>
      </c>
      <c r="E838" s="48" t="str">
        <f>VLOOKUP(Q838,[2]PROYECTOS!$G$1:$K$32,5,0)</f>
        <v>FORTALECIMIENTO_DEL_PROGRAMA_DE_ALTOS_LOGROS_Y_LIDERAZGO_DEPORTIVO_EN_EL_DEPARTAMENTO_DE_ANTIOQUIA</v>
      </c>
      <c r="F838" s="48">
        <f>VLOOKUP(E838,[2]PROYECTOS!$K$1:$M$32,3,0)</f>
        <v>2020003050021</v>
      </c>
      <c r="G838" s="67" t="s">
        <v>224</v>
      </c>
      <c r="H838" s="49" t="str">
        <f>VLOOKUP(Q838,[2]PROYECTOS!$V$1:$W$32,2,0)</f>
        <v>050061</v>
      </c>
      <c r="I838" s="50">
        <v>40000000</v>
      </c>
      <c r="J838" s="340" t="s">
        <v>1769</v>
      </c>
      <c r="K838" s="47" t="str">
        <f t="shared" ca="1" si="285"/>
        <v>CONTRATADO</v>
      </c>
      <c r="L838" s="351" t="s">
        <v>94</v>
      </c>
      <c r="M838" s="47" t="s">
        <v>255</v>
      </c>
      <c r="N838" s="52" t="s">
        <v>225</v>
      </c>
      <c r="O838" s="51" t="e">
        <f>VLOOKUP(N838,[2]!RUBROS[#All],3,0)</f>
        <v>#REF!</v>
      </c>
      <c r="P838" s="53" t="e">
        <f>VLOOKUP(N838,[2]!RUBROS[#All],2,0)</f>
        <v>#REF!</v>
      </c>
      <c r="Q838" s="47" t="str">
        <f t="shared" si="286"/>
        <v>20</v>
      </c>
      <c r="R838" s="47" t="str">
        <f t="shared" si="287"/>
        <v>4-101124</v>
      </c>
      <c r="S838" s="342">
        <v>200</v>
      </c>
      <c r="T838" s="59" t="s">
        <v>120</v>
      </c>
      <c r="U838" s="326" t="e">
        <f ca="1">_xlfn.XLOOKUP(PAA_4[[#This Row],[ITEM]],[2]Contrato!A:A,[2]Contrato!Q:Q,"",0)</f>
        <v>#NAME?</v>
      </c>
      <c r="V838" s="47" t="s">
        <v>47</v>
      </c>
      <c r="W838" s="343" t="s">
        <v>154</v>
      </c>
      <c r="X838" s="343" t="s">
        <v>154</v>
      </c>
      <c r="Y838" s="55" t="e">
        <f ca="1">_xlfn.XLOOKUP(PAA_4[[#This Row],[ITEM]],[2]Contrato!A:A,[2]Contrato!B:B,"",0)</f>
        <v>#NAME?</v>
      </c>
      <c r="Z838" s="47" t="e">
        <f ca="1">_xlfn.XLOOKUP(PAA_4[[#This Row],[ITEM]],[2]Contrato!A:A,[2]Contrato!G:G,"",0)</f>
        <v>#NAME?</v>
      </c>
      <c r="AA838" s="47" t="e">
        <f ca="1">_xlfn.XLOOKUP(PAA_4[[#This Row],[ITEM]],[2]Contrato!A:A,[2]Contrato!T:T,"",0)</f>
        <v>#NAME?</v>
      </c>
      <c r="AB838" s="55" t="e">
        <f ca="1">+MAX(PAA_4[[#This Row],[Comprometido Contrato]],PAA_4[[#This Row],[Comprometido Bolsa]])</f>
        <v>#NAME?</v>
      </c>
      <c r="AC838" s="55" t="str">
        <f t="shared" ca="1" si="288"/>
        <v/>
      </c>
      <c r="AD838" s="55" t="e">
        <f ca="1">IF(PAA_4[[#This Row],[ESTADO (formulado)]]="NO CONTRATADO",0,MAX(PAA_4[[#This Row],[Pago por Contrato]],PAA_4[[#This Row],[Pago por bolsa]]))</f>
        <v>#NAME?</v>
      </c>
      <c r="AE838" s="55" t="str">
        <f t="shared" ca="1" si="289"/>
        <v/>
      </c>
      <c r="AF838" s="47" t="e">
        <f t="shared" ca="1" si="290"/>
        <v>#NAME?</v>
      </c>
      <c r="AG838" s="47">
        <f t="shared" si="291"/>
        <v>41080111</v>
      </c>
      <c r="AH838" s="54">
        <f>IF(Q838="22",IF(ISNUMBER(SEARCH("econ",PAA_4[[#This Row],[Actividad3]])),"Económico",IF(ISNUMBER(SEARCH("alim",PAA_4[[#This Row],[Actividad3]])),"Alimentación",IF(ISNUMBER(SEARCH("educ",PAA_4[[#This Row],[Actividad3]])),"Educativo","Técnico"))),0)</f>
        <v>0</v>
      </c>
      <c r="AI838" s="47" t="e" cm="1">
        <f t="array" aca="1" ref="AI838" ca="1">_xlfn.XLOOKUP(PAA_4[[#This Row],[RCP-RUBRO]],[2]!COMPROMISOS_2024[[#All],[concatenado]],[2]!COMPROMISOS_2024[[#All],[Total pagado]],"",0)</f>
        <v>#NAME?</v>
      </c>
      <c r="AJ838" s="56">
        <f>IF(PAA_4[[#This Row],[BOLSA]]=0,0,SUMIFS([2]!COMPROMISOS_2024[[#All],[Total pagado]],[2]!COMPROMISOS_2024[[#All],[Bolsa]],PAA_4[[#This Row],[BOLSA]],[2]!COMPROMISOS_2024[[#All],[rubro]],PAA_4[[#This Row],[RCP-RUBRO]]))</f>
        <v>0</v>
      </c>
      <c r="AK838" s="47" t="e" cm="1">
        <f t="array" aca="1" ref="AK838" ca="1">_xlfn.XLOOKUP(PAA_4[[#This Row],[RCP-RUBRO]],[2]!COMPROMISOS_2024[[#All],[concatenado]],[2]!COMPROMISOS_2024[[#All],[Total Comprometido]],"",0)</f>
        <v>#NAME?</v>
      </c>
      <c r="AL838" s="47">
        <f>IF(PAA_4[[#This Row],[BOLSA]]=0,0,SUMIFS([2]!COMPROMISOS_2024[[#All],[Total Comprometido]],[2]!COMPROMISOS_2024[[#All],[Bolsa]],PAA_4[[#This Row],[BOLSA]],[2]!COMPROMISOS_2024[[#All],[concatenado]],PAA_4[[#This Row],[RCP-RUBRO]]))</f>
        <v>0</v>
      </c>
    </row>
    <row r="839" spans="1:38" s="19" customFormat="1" ht="31.5" customHeight="1">
      <c r="A839" s="47">
        <v>716</v>
      </c>
      <c r="B839" s="51">
        <v>90141502</v>
      </c>
      <c r="C839" s="47" t="str">
        <f>VLOOKUP(PAA_4[[#This Row],[PROYECTO (formulado)2]],[2]PROYECTOS!$G$1:$L$32,6,0)</f>
        <v>SUBGERENCIA DE ALTOS LOGROS Y DEPORTE ASOCIADO</v>
      </c>
      <c r="D839" s="47" t="str">
        <f>+IF(PAA_4[[#This Row],[UNIDAD DE CONTRATACION (formulado)]]="Subgerencia Administrativa y Financiera","FUNCIONAMIENTO","INVERSIÓN")</f>
        <v>INVERSIÓN</v>
      </c>
      <c r="E839" s="48" t="str">
        <f>VLOOKUP(Q839,[2]PROYECTOS!$G$1:$K$32,5,0)</f>
        <v>FORTALECIMIENTO_DEL_PROGRAMA_DE_ALTOS_LOGROS_Y_LIDERAZGO_DEPORTIVO_EN_EL_DEPARTAMENTO_DE_ANTIOQUIA</v>
      </c>
      <c r="F839" s="48">
        <f>VLOOKUP(E839,[2]PROYECTOS!$K$1:$M$32,3,0)</f>
        <v>2020003050021</v>
      </c>
      <c r="G839" s="67" t="s">
        <v>224</v>
      </c>
      <c r="H839" s="49" t="str">
        <f>VLOOKUP(Q839,[2]PROYECTOS!$V$1:$W$32,2,0)</f>
        <v>050061</v>
      </c>
      <c r="I839" s="50">
        <v>40000000</v>
      </c>
      <c r="J839" s="340" t="s">
        <v>1770</v>
      </c>
      <c r="K839" s="47" t="str">
        <f t="shared" ca="1" si="285"/>
        <v>CONTRATADO</v>
      </c>
      <c r="L839" s="351" t="s">
        <v>94</v>
      </c>
      <c r="M839" s="47" t="s">
        <v>255</v>
      </c>
      <c r="N839" s="52" t="s">
        <v>223</v>
      </c>
      <c r="O839" s="51" t="e">
        <f>VLOOKUP(N839,[2]!RUBROS[#All],3,0)</f>
        <v>#REF!</v>
      </c>
      <c r="P839" s="53" t="e">
        <f>VLOOKUP(N839,[2]!RUBROS[#All],2,0)</f>
        <v>#REF!</v>
      </c>
      <c r="Q839" s="47" t="str">
        <f t="shared" si="286"/>
        <v>20</v>
      </c>
      <c r="R839" s="47" t="str">
        <f t="shared" si="287"/>
        <v>0-205400</v>
      </c>
      <c r="S839" s="342">
        <v>170</v>
      </c>
      <c r="T839" s="59" t="s">
        <v>120</v>
      </c>
      <c r="U839" s="326" t="e">
        <f ca="1">_xlfn.XLOOKUP(PAA_4[[#This Row],[ITEM]],[2]Contrato!A:A,[2]Contrato!Q:Q,"",0)</f>
        <v>#NAME?</v>
      </c>
      <c r="V839" s="47" t="s">
        <v>47</v>
      </c>
      <c r="W839" s="343" t="s">
        <v>154</v>
      </c>
      <c r="X839" s="343" t="s">
        <v>154</v>
      </c>
      <c r="Y839" s="55" t="e">
        <f ca="1">_xlfn.XLOOKUP(PAA_4[[#This Row],[ITEM]],[2]Contrato!A:A,[2]Contrato!B:B,"",0)</f>
        <v>#NAME?</v>
      </c>
      <c r="Z839" s="47" t="e">
        <f ca="1">_xlfn.XLOOKUP(PAA_4[[#This Row],[ITEM]],[2]Contrato!A:A,[2]Contrato!G:G,"",0)</f>
        <v>#NAME?</v>
      </c>
      <c r="AA839" s="47" t="e">
        <f ca="1">_xlfn.XLOOKUP(PAA_4[[#This Row],[ITEM]],[2]Contrato!A:A,[2]Contrato!T:T,"",0)</f>
        <v>#NAME?</v>
      </c>
      <c r="AB839" s="55" t="e">
        <f ca="1">+MAX(PAA_4[[#This Row],[Comprometido Contrato]],PAA_4[[#This Row],[Comprometido Bolsa]])</f>
        <v>#NAME?</v>
      </c>
      <c r="AC839" s="55" t="str">
        <f t="shared" ca="1" si="288"/>
        <v/>
      </c>
      <c r="AD839" s="55" t="e">
        <f ca="1">IF(PAA_4[[#This Row],[ESTADO (formulado)]]="NO CONTRATADO",0,MAX(PAA_4[[#This Row],[Pago por Contrato]],PAA_4[[#This Row],[Pago por bolsa]]))</f>
        <v>#NAME?</v>
      </c>
      <c r="AE839" s="55" t="str">
        <f t="shared" ca="1" si="289"/>
        <v/>
      </c>
      <c r="AF839" s="47" t="e">
        <f t="shared" ca="1" si="290"/>
        <v>#NAME?</v>
      </c>
      <c r="AG839" s="47">
        <f t="shared" si="291"/>
        <v>41080111</v>
      </c>
      <c r="AH839" s="54">
        <f>IF(Q839="22",IF(ISNUMBER(SEARCH("econ",PAA_4[[#This Row],[Actividad3]])),"Económico",IF(ISNUMBER(SEARCH("alim",PAA_4[[#This Row],[Actividad3]])),"Alimentación",IF(ISNUMBER(SEARCH("educ",PAA_4[[#This Row],[Actividad3]])),"Educativo","Técnico"))),0)</f>
        <v>0</v>
      </c>
      <c r="AI839" s="47" t="e" cm="1">
        <f t="array" aca="1" ref="AI839" ca="1">_xlfn.XLOOKUP(PAA_4[[#This Row],[RCP-RUBRO]],[2]!COMPROMISOS_2024[[#All],[concatenado]],[2]!COMPROMISOS_2024[[#All],[Total pagado]],"",0)</f>
        <v>#NAME?</v>
      </c>
      <c r="AJ839" s="56">
        <f>IF(PAA_4[[#This Row],[BOLSA]]=0,0,SUMIFS([2]!COMPROMISOS_2024[[#All],[Total pagado]],[2]!COMPROMISOS_2024[[#All],[Bolsa]],PAA_4[[#This Row],[BOLSA]],[2]!COMPROMISOS_2024[[#All],[rubro]],PAA_4[[#This Row],[RCP-RUBRO]]))</f>
        <v>0</v>
      </c>
      <c r="AK839" s="47" t="e" cm="1">
        <f t="array" aca="1" ref="AK839" ca="1">_xlfn.XLOOKUP(PAA_4[[#This Row],[RCP-RUBRO]],[2]!COMPROMISOS_2024[[#All],[concatenado]],[2]!COMPROMISOS_2024[[#All],[Total Comprometido]],"",0)</f>
        <v>#NAME?</v>
      </c>
      <c r="AL839" s="47">
        <f>IF(PAA_4[[#This Row],[BOLSA]]=0,0,SUMIFS([2]!COMPROMISOS_2024[[#All],[Total Comprometido]],[2]!COMPROMISOS_2024[[#All],[Bolsa]],PAA_4[[#This Row],[BOLSA]],[2]!COMPROMISOS_2024[[#All],[concatenado]],PAA_4[[#This Row],[RCP-RUBRO]]))</f>
        <v>0</v>
      </c>
    </row>
    <row r="840" spans="1:38" s="19" customFormat="1" ht="31.5" customHeight="1">
      <c r="A840" s="47">
        <v>716</v>
      </c>
      <c r="B840" s="51">
        <v>90141502</v>
      </c>
      <c r="C840" s="47" t="str">
        <f>VLOOKUP(PAA_4[[#This Row],[PROYECTO (formulado)2]],[2]PROYECTOS!$G$1:$L$32,6,0)</f>
        <v>SUBGERENCIA DE ALTOS LOGROS Y DEPORTE ASOCIADO</v>
      </c>
      <c r="D840" s="47" t="str">
        <f>+IF(PAA_4[[#This Row],[UNIDAD DE CONTRATACION (formulado)]]="Subgerencia Administrativa y Financiera","FUNCIONAMIENTO","INVERSIÓN")</f>
        <v>INVERSIÓN</v>
      </c>
      <c r="E840" s="48" t="str">
        <f>VLOOKUP(Q840,[2]PROYECTOS!$G$1:$K$32,5,0)</f>
        <v>FORTALECIMIENTO_DEL_PROGRAMA_DE_ALTOS_LOGROS_Y_LIDERAZGO_DEPORTIVO_EN_EL_DEPARTAMENTO_DE_ANTIOQUIA</v>
      </c>
      <c r="F840" s="48">
        <f>VLOOKUP(E840,[2]PROYECTOS!$K$1:$M$32,3,0)</f>
        <v>2020003050021</v>
      </c>
      <c r="G840" s="67" t="s">
        <v>224</v>
      </c>
      <c r="H840" s="49" t="str">
        <f>VLOOKUP(Q840,[2]PROYECTOS!$V$1:$W$32,2,0)</f>
        <v>050061</v>
      </c>
      <c r="I840" s="50">
        <v>50000000</v>
      </c>
      <c r="J840" s="340" t="s">
        <v>1770</v>
      </c>
      <c r="K840" s="47" t="str">
        <f t="shared" ca="1" si="285"/>
        <v>CONTRATADO</v>
      </c>
      <c r="L840" s="351" t="s">
        <v>94</v>
      </c>
      <c r="M840" s="47" t="s">
        <v>255</v>
      </c>
      <c r="N840" s="52" t="s">
        <v>225</v>
      </c>
      <c r="O840" s="51" t="e">
        <f>VLOOKUP(N840,[2]!RUBROS[#All],3,0)</f>
        <v>#REF!</v>
      </c>
      <c r="P840" s="53" t="e">
        <f>VLOOKUP(N840,[2]!RUBROS[#All],2,0)</f>
        <v>#REF!</v>
      </c>
      <c r="Q840" s="47" t="str">
        <f t="shared" si="286"/>
        <v>20</v>
      </c>
      <c r="R840" s="47" t="str">
        <f t="shared" si="287"/>
        <v>4-101124</v>
      </c>
      <c r="S840" s="342">
        <v>200</v>
      </c>
      <c r="T840" s="59" t="s">
        <v>120</v>
      </c>
      <c r="U840" s="326" t="e">
        <f ca="1">_xlfn.XLOOKUP(PAA_4[[#This Row],[ITEM]],[2]Contrato!A:A,[2]Contrato!Q:Q,"",0)</f>
        <v>#NAME?</v>
      </c>
      <c r="V840" s="47" t="s">
        <v>47</v>
      </c>
      <c r="W840" s="343" t="s">
        <v>154</v>
      </c>
      <c r="X840" s="343" t="s">
        <v>154</v>
      </c>
      <c r="Y840" s="55" t="e">
        <f ca="1">_xlfn.XLOOKUP(PAA_4[[#This Row],[ITEM]],[2]Contrato!A:A,[2]Contrato!B:B,"",0)</f>
        <v>#NAME?</v>
      </c>
      <c r="Z840" s="47" t="e">
        <f ca="1">_xlfn.XLOOKUP(PAA_4[[#This Row],[ITEM]],[2]Contrato!A:A,[2]Contrato!G:G,"",0)</f>
        <v>#NAME?</v>
      </c>
      <c r="AA840" s="47" t="e">
        <f ca="1">_xlfn.XLOOKUP(PAA_4[[#This Row],[ITEM]],[2]Contrato!A:A,[2]Contrato!T:T,"",0)</f>
        <v>#NAME?</v>
      </c>
      <c r="AB840" s="55" t="e">
        <f ca="1">+MAX(PAA_4[[#This Row],[Comprometido Contrato]],PAA_4[[#This Row],[Comprometido Bolsa]])</f>
        <v>#NAME?</v>
      </c>
      <c r="AC840" s="55" t="str">
        <f t="shared" ca="1" si="288"/>
        <v/>
      </c>
      <c r="AD840" s="55" t="e">
        <f ca="1">IF(PAA_4[[#This Row],[ESTADO (formulado)]]="NO CONTRATADO",0,MAX(PAA_4[[#This Row],[Pago por Contrato]],PAA_4[[#This Row],[Pago por bolsa]]))</f>
        <v>#NAME?</v>
      </c>
      <c r="AE840" s="55" t="str">
        <f t="shared" ca="1" si="289"/>
        <v/>
      </c>
      <c r="AF840" s="47" t="e">
        <f t="shared" ca="1" si="290"/>
        <v>#NAME?</v>
      </c>
      <c r="AG840" s="47">
        <f t="shared" si="291"/>
        <v>41080111</v>
      </c>
      <c r="AH840" s="54">
        <f>IF(Q840="22",IF(ISNUMBER(SEARCH("econ",PAA_4[[#This Row],[Actividad3]])),"Económico",IF(ISNUMBER(SEARCH("alim",PAA_4[[#This Row],[Actividad3]])),"Alimentación",IF(ISNUMBER(SEARCH("educ",PAA_4[[#This Row],[Actividad3]])),"Educativo","Técnico"))),0)</f>
        <v>0</v>
      </c>
      <c r="AI840" s="47" t="e" cm="1">
        <f t="array" aca="1" ref="AI840" ca="1">_xlfn.XLOOKUP(PAA_4[[#This Row],[RCP-RUBRO]],[2]!COMPROMISOS_2024[[#All],[concatenado]],[2]!COMPROMISOS_2024[[#All],[Total pagado]],"",0)</f>
        <v>#NAME?</v>
      </c>
      <c r="AJ840" s="56">
        <f>IF(PAA_4[[#This Row],[BOLSA]]=0,0,SUMIFS([2]!COMPROMISOS_2024[[#All],[Total pagado]],[2]!COMPROMISOS_2024[[#All],[Bolsa]],PAA_4[[#This Row],[BOLSA]],[2]!COMPROMISOS_2024[[#All],[rubro]],PAA_4[[#This Row],[RCP-RUBRO]]))</f>
        <v>0</v>
      </c>
      <c r="AK840" s="47" t="e" cm="1">
        <f t="array" aca="1" ref="AK840" ca="1">_xlfn.XLOOKUP(PAA_4[[#This Row],[RCP-RUBRO]],[2]!COMPROMISOS_2024[[#All],[concatenado]],[2]!COMPROMISOS_2024[[#All],[Total Comprometido]],"",0)</f>
        <v>#NAME?</v>
      </c>
      <c r="AL840" s="47">
        <f>IF(PAA_4[[#This Row],[BOLSA]]=0,0,SUMIFS([2]!COMPROMISOS_2024[[#All],[Total Comprometido]],[2]!COMPROMISOS_2024[[#All],[Bolsa]],PAA_4[[#This Row],[BOLSA]],[2]!COMPROMISOS_2024[[#All],[concatenado]],PAA_4[[#This Row],[RCP-RUBRO]]))</f>
        <v>0</v>
      </c>
    </row>
    <row r="841" spans="1:38" s="19" customFormat="1" ht="31.5" customHeight="1">
      <c r="A841" s="47">
        <v>717</v>
      </c>
      <c r="B841" s="51">
        <v>90141502</v>
      </c>
      <c r="C841" s="47" t="str">
        <f>VLOOKUP(PAA_4[[#This Row],[PROYECTO (formulado)2]],[2]PROYECTOS!$G$1:$L$32,6,0)</f>
        <v>SUBGERENCIA DE ALTOS LOGROS Y DEPORTE ASOCIADO</v>
      </c>
      <c r="D841" s="47" t="str">
        <f>+IF(PAA_4[[#This Row],[UNIDAD DE CONTRATACION (formulado)]]="Subgerencia Administrativa y Financiera","FUNCIONAMIENTO","INVERSIÓN")</f>
        <v>INVERSIÓN</v>
      </c>
      <c r="E841" s="48" t="str">
        <f>VLOOKUP(Q841,[2]PROYECTOS!$G$1:$K$32,5,0)</f>
        <v>FORTALECIMIENTO_DEL_PROGRAMA_DE_ALTOS_LOGROS_Y_LIDERAZGO_DEPORTIVO_EN_EL_DEPARTAMENTO_DE_ANTIOQUIA</v>
      </c>
      <c r="F841" s="48">
        <f>VLOOKUP(E841,[2]PROYECTOS!$K$1:$M$32,3,0)</f>
        <v>2020003050021</v>
      </c>
      <c r="G841" s="67" t="s">
        <v>224</v>
      </c>
      <c r="H841" s="49" t="str">
        <f>VLOOKUP(Q841,[2]PROYECTOS!$V$1:$W$32,2,0)</f>
        <v>050061</v>
      </c>
      <c r="I841" s="50">
        <v>60000000</v>
      </c>
      <c r="J841" s="340" t="s">
        <v>1771</v>
      </c>
      <c r="K841" s="47" t="str">
        <f t="shared" ca="1" si="285"/>
        <v>CONTRATADO</v>
      </c>
      <c r="L841" s="351" t="s">
        <v>94</v>
      </c>
      <c r="M841" s="47" t="s">
        <v>222</v>
      </c>
      <c r="N841" s="52" t="s">
        <v>223</v>
      </c>
      <c r="O841" s="51" t="e">
        <f>VLOOKUP(N841,[2]!RUBROS[#All],3,0)</f>
        <v>#REF!</v>
      </c>
      <c r="P841" s="53" t="e">
        <f>VLOOKUP(N841,[2]!RUBROS[#All],2,0)</f>
        <v>#REF!</v>
      </c>
      <c r="Q841" s="47" t="str">
        <f t="shared" si="286"/>
        <v>20</v>
      </c>
      <c r="R841" s="47" t="str">
        <f t="shared" si="287"/>
        <v>0-205400</v>
      </c>
      <c r="S841" s="342">
        <v>170</v>
      </c>
      <c r="T841" s="59" t="s">
        <v>120</v>
      </c>
      <c r="U841" s="326" t="e">
        <f ca="1">_xlfn.XLOOKUP(PAA_4[[#This Row],[ITEM]],[2]Contrato!A:A,[2]Contrato!Q:Q,"",0)</f>
        <v>#NAME?</v>
      </c>
      <c r="V841" s="47" t="s">
        <v>47</v>
      </c>
      <c r="W841" s="343" t="s">
        <v>193</v>
      </c>
      <c r="X841" s="343" t="s">
        <v>193</v>
      </c>
      <c r="Y841" s="55" t="e">
        <f ca="1">_xlfn.XLOOKUP(PAA_4[[#This Row],[ITEM]],[2]Contrato!A:A,[2]Contrato!B:B,"",0)</f>
        <v>#NAME?</v>
      </c>
      <c r="Z841" s="47" t="e">
        <f ca="1">_xlfn.XLOOKUP(PAA_4[[#This Row],[ITEM]],[2]Contrato!A:A,[2]Contrato!G:G,"",0)</f>
        <v>#NAME?</v>
      </c>
      <c r="AA841" s="47" t="e">
        <f ca="1">_xlfn.XLOOKUP(PAA_4[[#This Row],[ITEM]],[2]Contrato!A:A,[2]Contrato!T:T,"",0)</f>
        <v>#NAME?</v>
      </c>
      <c r="AB841" s="55" t="e">
        <f ca="1">+MAX(PAA_4[[#This Row],[Comprometido Contrato]],PAA_4[[#This Row],[Comprometido Bolsa]])</f>
        <v>#NAME?</v>
      </c>
      <c r="AC841" s="55" t="str">
        <f t="shared" ca="1" si="288"/>
        <v/>
      </c>
      <c r="AD841" s="55" t="e">
        <f ca="1">IF(PAA_4[[#This Row],[ESTADO (formulado)]]="NO CONTRATADO",0,MAX(PAA_4[[#This Row],[Pago por Contrato]],PAA_4[[#This Row],[Pago por bolsa]]))</f>
        <v>#NAME?</v>
      </c>
      <c r="AE841" s="55" t="str">
        <f t="shared" ca="1" si="289"/>
        <v/>
      </c>
      <c r="AF841" s="47" t="e">
        <f t="shared" ca="1" si="290"/>
        <v>#NAME?</v>
      </c>
      <c r="AG841" s="47">
        <f t="shared" si="291"/>
        <v>41080111</v>
      </c>
      <c r="AH841" s="54">
        <f>IF(Q841="22",IF(ISNUMBER(SEARCH("econ",PAA_4[[#This Row],[Actividad3]])),"Económico",IF(ISNUMBER(SEARCH("alim",PAA_4[[#This Row],[Actividad3]])),"Alimentación",IF(ISNUMBER(SEARCH("educ",PAA_4[[#This Row],[Actividad3]])),"Educativo","Técnico"))),0)</f>
        <v>0</v>
      </c>
      <c r="AI841" s="47" t="e" cm="1">
        <f t="array" aca="1" ref="AI841" ca="1">_xlfn.XLOOKUP(PAA_4[[#This Row],[RCP-RUBRO]],[2]!COMPROMISOS_2024[[#All],[concatenado]],[2]!COMPROMISOS_2024[[#All],[Total pagado]],"",0)</f>
        <v>#NAME?</v>
      </c>
      <c r="AJ841" s="56">
        <f>IF(PAA_4[[#This Row],[BOLSA]]=0,0,SUMIFS([2]!COMPROMISOS_2024[[#All],[Total pagado]],[2]!COMPROMISOS_2024[[#All],[Bolsa]],PAA_4[[#This Row],[BOLSA]],[2]!COMPROMISOS_2024[[#All],[rubro]],PAA_4[[#This Row],[RCP-RUBRO]]))</f>
        <v>0</v>
      </c>
      <c r="AK841" s="47" t="e" cm="1">
        <f t="array" aca="1" ref="AK841" ca="1">_xlfn.XLOOKUP(PAA_4[[#This Row],[RCP-RUBRO]],[2]!COMPROMISOS_2024[[#All],[concatenado]],[2]!COMPROMISOS_2024[[#All],[Total Comprometido]],"",0)</f>
        <v>#NAME?</v>
      </c>
      <c r="AL841" s="47">
        <f>IF(PAA_4[[#This Row],[BOLSA]]=0,0,SUMIFS([2]!COMPROMISOS_2024[[#All],[Total Comprometido]],[2]!COMPROMISOS_2024[[#All],[Bolsa]],PAA_4[[#This Row],[BOLSA]],[2]!COMPROMISOS_2024[[#All],[concatenado]],PAA_4[[#This Row],[RCP-RUBRO]]))</f>
        <v>0</v>
      </c>
    </row>
    <row r="842" spans="1:38" s="19" customFormat="1" ht="31.5" customHeight="1">
      <c r="A842" s="47" t="s">
        <v>82</v>
      </c>
      <c r="B842" s="51" t="s">
        <v>42</v>
      </c>
      <c r="C842" s="47" t="str">
        <f>VLOOKUP(PAA_4[[#This Row],[PROYECTO (formulado)2]],[2]PROYECTOS!$G$1:$L$32,6,0)</f>
        <v>SUBGERENCIA DE ALTOS LOGROS Y DEPORTE ASOCIADO</v>
      </c>
      <c r="D842" s="47" t="str">
        <f>+IF(PAA_4[[#This Row],[UNIDAD DE CONTRATACION (formulado)]]="Subgerencia Administrativa y Financiera","FUNCIONAMIENTO","INVERSIÓN")</f>
        <v>INVERSIÓN</v>
      </c>
      <c r="E842" s="48" t="str">
        <f>VLOOKUP(Q842,[2]PROYECTOS!$G$1:$K$32,5,0)</f>
        <v>FORTALECIMIENTO_DEL_PROGRAMA_DE_ALTOS_LOGROS_Y_LIDERAZGO_DEPORTIVO_EN_EL_DEPARTAMENTO_DE_ANTIOQUIA</v>
      </c>
      <c r="F842" s="48">
        <f>VLOOKUP(E842,[2]PROYECTOS!$K$1:$M$32,3,0)</f>
        <v>2020003050021</v>
      </c>
      <c r="G842" s="67" t="s">
        <v>224</v>
      </c>
      <c r="H842" s="49" t="str">
        <f>VLOOKUP(Q842,[2]PROYECTOS!$V$1:$W$32,2,0)</f>
        <v>050061</v>
      </c>
      <c r="I842" s="50">
        <v>50000</v>
      </c>
      <c r="J842" s="340" t="s">
        <v>1757</v>
      </c>
      <c r="K842" s="47" t="str">
        <f ca="1">IF(ISNONTEXT(Y842)=TRUE,"CONTRATADO","NO CONTRATADO")</f>
        <v>CONTRATADO</v>
      </c>
      <c r="L842" s="352" t="s">
        <v>42</v>
      </c>
      <c r="M842" s="47" t="s">
        <v>42</v>
      </c>
      <c r="N842" s="52" t="s">
        <v>225</v>
      </c>
      <c r="O842" s="51" t="e">
        <f>VLOOKUP(N842,[2]!RUBROS[#All],3,0)</f>
        <v>#REF!</v>
      </c>
      <c r="P842" s="53" t="e">
        <f>VLOOKUP(N842,[2]!RUBROS[#All],2,0)</f>
        <v>#REF!</v>
      </c>
      <c r="Q842" s="47" t="str">
        <f>+MID(N842,11,2)</f>
        <v>20</v>
      </c>
      <c r="R842" s="47" t="str">
        <f>+MID(N842,14,8)</f>
        <v>4-101124</v>
      </c>
      <c r="S842" s="353" t="s">
        <v>42</v>
      </c>
      <c r="T842" s="354" t="s">
        <v>42</v>
      </c>
      <c r="U842" s="326" t="e">
        <f ca="1">_xlfn.XLOOKUP(PAA_4[[#This Row],[ITEM]],[2]Contrato!A:A,[2]Contrato!Q:Q,"",0)</f>
        <v>#NAME?</v>
      </c>
      <c r="V842" s="47" t="s">
        <v>95</v>
      </c>
      <c r="W842" s="343" t="s">
        <v>42</v>
      </c>
      <c r="X842" s="343" t="s">
        <v>42</v>
      </c>
      <c r="Y842" s="55" t="e">
        <f ca="1">_xlfn.XLOOKUP(PAA_4[[#This Row],[ITEM]],[2]Contrato!A:A,[2]Contrato!B:B,"",0)</f>
        <v>#NAME?</v>
      </c>
      <c r="Z842" s="47" t="e">
        <f ca="1">_xlfn.XLOOKUP(PAA_4[[#This Row],[ITEM]],[2]Contrato!A:A,[2]Contrato!G:G,"",0)</f>
        <v>#NAME?</v>
      </c>
      <c r="AA842" s="47" t="e">
        <f ca="1">_xlfn.XLOOKUP(PAA_4[[#This Row],[ITEM]],[2]Contrato!A:A,[2]Contrato!T:T,"",0)</f>
        <v>#NAME?</v>
      </c>
      <c r="AB842" s="55" t="e">
        <f ca="1">+MAX(PAA_4[[#This Row],[Comprometido Contrato]],PAA_4[[#This Row],[Comprometido Bolsa]])</f>
        <v>#NAME?</v>
      </c>
      <c r="AC842" s="55" t="str">
        <f ca="1">IFERROR(I842-AB842,"")</f>
        <v/>
      </c>
      <c r="AD842" s="55" t="e">
        <f ca="1">IF(PAA_4[[#This Row],[ESTADO (formulado)]]="NO CONTRATADO",0,MAX(PAA_4[[#This Row],[Pago por Contrato]],PAA_4[[#This Row],[Pago por bolsa]]))</f>
        <v>#NAME?</v>
      </c>
      <c r="AE842" s="55" t="str">
        <f ca="1">+IFERROR(AB842-AD842,"")</f>
        <v/>
      </c>
      <c r="AF842" s="47" t="e">
        <f ca="1">+CONCATENATE(AA842,N842)</f>
        <v>#NAME?</v>
      </c>
      <c r="AG842" s="47">
        <f>IFERROR(_xlfn.NUMBERVALUE(MID(G842,1,8)),"")</f>
        <v>41080111</v>
      </c>
      <c r="AH842" s="54">
        <f>IF(Q842="22",IF(ISNUMBER(SEARCH("econ",PAA_4[[#This Row],[Actividad3]])),"Económico",IF(ISNUMBER(SEARCH("alim",PAA_4[[#This Row],[Actividad3]])),"Alimentación",IF(ISNUMBER(SEARCH("educ",PAA_4[[#This Row],[Actividad3]])),"Educativo","Técnico"))),0)</f>
        <v>0</v>
      </c>
      <c r="AI842" s="47" t="e" cm="1">
        <f t="array" aca="1" ref="AI842" ca="1">_xlfn.XLOOKUP(PAA_4[[#This Row],[RCP-RUBRO]],[2]!COMPROMISOS_2024[[#All],[concatenado]],[2]!COMPROMISOS_2024[[#All],[Total pagado]],"",0)</f>
        <v>#NAME?</v>
      </c>
      <c r="AJ842" s="56">
        <f>IF(PAA_4[[#This Row],[BOLSA]]=0,0,SUMIFS([2]!COMPROMISOS_2024[[#All],[Total pagado]],[2]!COMPROMISOS_2024[[#All],[Bolsa]],PAA_4[[#This Row],[BOLSA]],[2]!COMPROMISOS_2024[[#All],[rubro]],PAA_4[[#This Row],[RCP-RUBRO]]))</f>
        <v>0</v>
      </c>
      <c r="AK842" s="47" t="e" cm="1">
        <f t="array" aca="1" ref="AK842" ca="1">_xlfn.XLOOKUP(PAA_4[[#This Row],[RCP-RUBRO]],[2]!COMPROMISOS_2024[[#All],[concatenado]],[2]!COMPROMISOS_2024[[#All],[Total Comprometido]],"",0)</f>
        <v>#NAME?</v>
      </c>
      <c r="AL842" s="47">
        <f>IF(PAA_4[[#This Row],[BOLSA]]=0,0,SUMIFS([2]!COMPROMISOS_2024[[#All],[Total Comprometido]],[2]!COMPROMISOS_2024[[#All],[Bolsa]],PAA_4[[#This Row],[BOLSA]],[2]!COMPROMISOS_2024[[#All],[concatenado]],PAA_4[[#This Row],[RCP-RUBRO]]))</f>
        <v>0</v>
      </c>
    </row>
    <row r="843" spans="1:38" s="19" customFormat="1" ht="31.5" customHeight="1">
      <c r="A843" s="47">
        <v>717</v>
      </c>
      <c r="B843" s="51">
        <v>90141502</v>
      </c>
      <c r="C843" s="47" t="str">
        <f>VLOOKUP(PAA_4[[#This Row],[PROYECTO (formulado)2]],[2]PROYECTOS!$G$1:$L$32,6,0)</f>
        <v>SUBGERENCIA DE ALTOS LOGROS Y DEPORTE ASOCIADO</v>
      </c>
      <c r="D843" s="47" t="str">
        <f>+IF(PAA_4[[#This Row],[UNIDAD DE CONTRATACION (formulado)]]="Subgerencia Administrativa y Financiera","FUNCIONAMIENTO","INVERSIÓN")</f>
        <v>INVERSIÓN</v>
      </c>
      <c r="E843" s="48" t="str">
        <f>VLOOKUP(Q843,[2]PROYECTOS!$G$1:$K$32,5,0)</f>
        <v>FORTALECIMIENTO_DEL_PROGRAMA_DE_ALTOS_LOGROS_Y_LIDERAZGO_DEPORTIVO_EN_EL_DEPARTAMENTO_DE_ANTIOQUIA</v>
      </c>
      <c r="F843" s="48">
        <f>VLOOKUP(E843,[2]PROYECTOS!$K$1:$M$32,3,0)</f>
        <v>2020003050021</v>
      </c>
      <c r="G843" s="67" t="s">
        <v>224</v>
      </c>
      <c r="H843" s="49" t="str">
        <f>VLOOKUP(Q843,[2]PROYECTOS!$V$1:$W$32,2,0)</f>
        <v>050061</v>
      </c>
      <c r="I843" s="50">
        <f>70000000-50000</f>
        <v>69950000</v>
      </c>
      <c r="J843" s="340" t="s">
        <v>1771</v>
      </c>
      <c r="K843" s="47" t="str">
        <f t="shared" ref="K843:K897" ca="1" si="292">IF(ISNONTEXT(Y843)=TRUE,"CONTRATADO","NO CONTRATADO")</f>
        <v>CONTRATADO</v>
      </c>
      <c r="L843" s="351" t="s">
        <v>94</v>
      </c>
      <c r="M843" s="47" t="s">
        <v>255</v>
      </c>
      <c r="N843" s="52" t="s">
        <v>225</v>
      </c>
      <c r="O843" s="51" t="e">
        <f>VLOOKUP(N843,[2]!RUBROS[#All],3,0)</f>
        <v>#REF!</v>
      </c>
      <c r="P843" s="53" t="e">
        <f>VLOOKUP(N843,[2]!RUBROS[#All],2,0)</f>
        <v>#REF!</v>
      </c>
      <c r="Q843" s="47" t="str">
        <f t="shared" ref="Q843:Q897" si="293">+MID(N843,11,2)</f>
        <v>20</v>
      </c>
      <c r="R843" s="47" t="str">
        <f t="shared" ref="R843:R897" si="294">+MID(N843,14,8)</f>
        <v>4-101124</v>
      </c>
      <c r="S843" s="342">
        <v>200</v>
      </c>
      <c r="T843" s="59" t="s">
        <v>120</v>
      </c>
      <c r="U843" s="326" t="e">
        <f ca="1">_xlfn.XLOOKUP(PAA_4[[#This Row],[ITEM]],[2]Contrato!A:A,[2]Contrato!Q:Q,"",0)</f>
        <v>#NAME?</v>
      </c>
      <c r="V843" s="47" t="s">
        <v>47</v>
      </c>
      <c r="W843" s="343" t="s">
        <v>154</v>
      </c>
      <c r="X843" s="343" t="s">
        <v>154</v>
      </c>
      <c r="Y843" s="55" t="e">
        <f ca="1">_xlfn.XLOOKUP(PAA_4[[#This Row],[ITEM]],[2]Contrato!A:A,[2]Contrato!B:B,"",0)</f>
        <v>#NAME?</v>
      </c>
      <c r="Z843" s="47" t="e">
        <f ca="1">_xlfn.XLOOKUP(PAA_4[[#This Row],[ITEM]],[2]Contrato!A:A,[2]Contrato!G:G,"",0)</f>
        <v>#NAME?</v>
      </c>
      <c r="AA843" s="47" t="e">
        <f ca="1">_xlfn.XLOOKUP(PAA_4[[#This Row],[ITEM]],[2]Contrato!A:A,[2]Contrato!T:T,"",0)</f>
        <v>#NAME?</v>
      </c>
      <c r="AB843" s="55" t="e">
        <f ca="1">+MAX(PAA_4[[#This Row],[Comprometido Contrato]],PAA_4[[#This Row],[Comprometido Bolsa]])</f>
        <v>#NAME?</v>
      </c>
      <c r="AC843" s="55" t="str">
        <f t="shared" ref="AC843:AC897" ca="1" si="295">IFERROR(I843-AB843,"")</f>
        <v/>
      </c>
      <c r="AD843" s="55" t="e">
        <f ca="1">IF(PAA_4[[#This Row],[ESTADO (formulado)]]="NO CONTRATADO",0,MAX(PAA_4[[#This Row],[Pago por Contrato]],PAA_4[[#This Row],[Pago por bolsa]]))</f>
        <v>#NAME?</v>
      </c>
      <c r="AE843" s="55" t="str">
        <f t="shared" ref="AE843:AE897" ca="1" si="296">+IFERROR(AB843-AD843,"")</f>
        <v/>
      </c>
      <c r="AF843" s="47" t="e">
        <f t="shared" ref="AF843:AF897" ca="1" si="297">+CONCATENATE(AA843,N843)</f>
        <v>#NAME?</v>
      </c>
      <c r="AG843" s="47">
        <f t="shared" ref="AG843:AG897" si="298">IFERROR(_xlfn.NUMBERVALUE(MID(G843,1,8)),"")</f>
        <v>41080111</v>
      </c>
      <c r="AH843" s="54">
        <f>IF(Q843="22",IF(ISNUMBER(SEARCH("econ",PAA_4[[#This Row],[Actividad3]])),"Económico",IF(ISNUMBER(SEARCH("alim",PAA_4[[#This Row],[Actividad3]])),"Alimentación",IF(ISNUMBER(SEARCH("educ",PAA_4[[#This Row],[Actividad3]])),"Educativo","Técnico"))),0)</f>
        <v>0</v>
      </c>
      <c r="AI843" s="47" t="e" cm="1">
        <f t="array" aca="1" ref="AI843" ca="1">_xlfn.XLOOKUP(PAA_4[[#This Row],[RCP-RUBRO]],[2]!COMPROMISOS_2024[[#All],[concatenado]],[2]!COMPROMISOS_2024[[#All],[Total pagado]],"",0)</f>
        <v>#NAME?</v>
      </c>
      <c r="AJ843" s="56">
        <f>IF(PAA_4[[#This Row],[BOLSA]]=0,0,SUMIFS([2]!COMPROMISOS_2024[[#All],[Total pagado]],[2]!COMPROMISOS_2024[[#All],[Bolsa]],PAA_4[[#This Row],[BOLSA]],[2]!COMPROMISOS_2024[[#All],[rubro]],PAA_4[[#This Row],[RCP-RUBRO]]))</f>
        <v>0</v>
      </c>
      <c r="AK843" s="47" t="e" cm="1">
        <f t="array" aca="1" ref="AK843" ca="1">_xlfn.XLOOKUP(PAA_4[[#This Row],[RCP-RUBRO]],[2]!COMPROMISOS_2024[[#All],[concatenado]],[2]!COMPROMISOS_2024[[#All],[Total Comprometido]],"",0)</f>
        <v>#NAME?</v>
      </c>
      <c r="AL843" s="47">
        <f>IF(PAA_4[[#This Row],[BOLSA]]=0,0,SUMIFS([2]!COMPROMISOS_2024[[#All],[Total Comprometido]],[2]!COMPROMISOS_2024[[#All],[Bolsa]],PAA_4[[#This Row],[BOLSA]],[2]!COMPROMISOS_2024[[#All],[concatenado]],PAA_4[[#This Row],[RCP-RUBRO]]))</f>
        <v>0</v>
      </c>
    </row>
    <row r="844" spans="1:38" s="19" customFormat="1" ht="31.5" customHeight="1">
      <c r="A844" s="47">
        <v>718</v>
      </c>
      <c r="B844" s="51" t="s">
        <v>344</v>
      </c>
      <c r="C844" s="47" t="str">
        <f>VLOOKUP(PAA_4[[#This Row],[PROYECTO (formulado)2]],[2]PROYECTOS!$G$1:$L$32,6,0)</f>
        <v>SUBGERENCIA DE ALTOS LOGROS Y DEPORTE ASOCIADO</v>
      </c>
      <c r="D844" s="47" t="str">
        <f>+IF(PAA_4[[#This Row],[UNIDAD DE CONTRATACION (formulado)]]="Subgerencia Administrativa y Financiera","FUNCIONAMIENTO","INVERSIÓN")</f>
        <v>INVERSIÓN</v>
      </c>
      <c r="E844" s="48" t="str">
        <f>VLOOKUP(Q844,[2]PROYECTOS!$G$1:$K$32,5,0)</f>
        <v>FORTALECIMIENTO_DEL_PROGRAMA_DE_ALTOS_LOGROS_Y_LIDERAZGO_DEPORTIVO_EN_EL_DEPARTAMENTO_DE_ANTIOQUIA</v>
      </c>
      <c r="F844" s="48">
        <f>VLOOKUP(E844,[2]PROYECTOS!$K$1:$M$32,3,0)</f>
        <v>2020003050021</v>
      </c>
      <c r="G844" s="67" t="s">
        <v>224</v>
      </c>
      <c r="H844" s="49" t="str">
        <f>VLOOKUP(Q844,[2]PROYECTOS!$V$1:$W$32,2,0)</f>
        <v>050061</v>
      </c>
      <c r="I844" s="50">
        <v>0</v>
      </c>
      <c r="J844" s="340" t="s">
        <v>42</v>
      </c>
      <c r="K844" s="47" t="str">
        <f t="shared" ca="1" si="292"/>
        <v>CONTRATADO</v>
      </c>
      <c r="L844" s="351" t="s">
        <v>94</v>
      </c>
      <c r="M844" s="47" t="s">
        <v>255</v>
      </c>
      <c r="N844" s="52" t="s">
        <v>225</v>
      </c>
      <c r="O844" s="51" t="e">
        <f>VLOOKUP(N844,[2]!RUBROS[#All],3,0)</f>
        <v>#REF!</v>
      </c>
      <c r="P844" s="53" t="e">
        <f>VLOOKUP(N844,[2]!RUBROS[#All],2,0)</f>
        <v>#REF!</v>
      </c>
      <c r="Q844" s="47" t="str">
        <f t="shared" si="293"/>
        <v>20</v>
      </c>
      <c r="R844" s="47" t="str">
        <f t="shared" si="294"/>
        <v>4-101124</v>
      </c>
      <c r="S844" s="342">
        <v>200</v>
      </c>
      <c r="T844" s="59" t="s">
        <v>120</v>
      </c>
      <c r="U844" s="326" t="e">
        <f ca="1">_xlfn.XLOOKUP(PAA_4[[#This Row],[ITEM]],[2]Contrato!A:A,[2]Contrato!Q:Q,"",0)</f>
        <v>#NAME?</v>
      </c>
      <c r="V844" s="47" t="s">
        <v>47</v>
      </c>
      <c r="W844" s="343" t="s">
        <v>154</v>
      </c>
      <c r="X844" s="343" t="s">
        <v>154</v>
      </c>
      <c r="Y844" s="55" t="e">
        <f ca="1">_xlfn.XLOOKUP(PAA_4[[#This Row],[ITEM]],[2]Contrato!A:A,[2]Contrato!B:B,"",0)</f>
        <v>#NAME?</v>
      </c>
      <c r="Z844" s="47" t="e">
        <f ca="1">_xlfn.XLOOKUP(PAA_4[[#This Row],[ITEM]],[2]Contrato!A:A,[2]Contrato!G:G,"",0)</f>
        <v>#NAME?</v>
      </c>
      <c r="AA844" s="47" t="e">
        <f ca="1">_xlfn.XLOOKUP(PAA_4[[#This Row],[ITEM]],[2]Contrato!A:A,[2]Contrato!T:T,"",0)</f>
        <v>#NAME?</v>
      </c>
      <c r="AB844" s="55" t="e">
        <f ca="1">+MAX(PAA_4[[#This Row],[Comprometido Contrato]],PAA_4[[#This Row],[Comprometido Bolsa]])</f>
        <v>#NAME?</v>
      </c>
      <c r="AC844" s="55" t="str">
        <f t="shared" ca="1" si="295"/>
        <v/>
      </c>
      <c r="AD844" s="55" t="e">
        <f ca="1">IF(PAA_4[[#This Row],[ESTADO (formulado)]]="NO CONTRATADO",0,MAX(PAA_4[[#This Row],[Pago por Contrato]],PAA_4[[#This Row],[Pago por bolsa]]))</f>
        <v>#NAME?</v>
      </c>
      <c r="AE844" s="55" t="str">
        <f t="shared" ca="1" si="296"/>
        <v/>
      </c>
      <c r="AF844" s="47" t="e">
        <f t="shared" ca="1" si="297"/>
        <v>#NAME?</v>
      </c>
      <c r="AG844" s="47">
        <f t="shared" si="298"/>
        <v>41080111</v>
      </c>
      <c r="AH844" s="54">
        <f>IF(Q844="22",IF(ISNUMBER(SEARCH("econ",PAA_4[[#This Row],[Actividad3]])),"Económico",IF(ISNUMBER(SEARCH("alim",PAA_4[[#This Row],[Actividad3]])),"Alimentación",IF(ISNUMBER(SEARCH("educ",PAA_4[[#This Row],[Actividad3]])),"Educativo","Técnico"))),0)</f>
        <v>0</v>
      </c>
      <c r="AI844" s="47" t="e" cm="1">
        <f t="array" aca="1" ref="AI844" ca="1">_xlfn.XLOOKUP(PAA_4[[#This Row],[RCP-RUBRO]],[2]!COMPROMISOS_2024[[#All],[concatenado]],[2]!COMPROMISOS_2024[[#All],[Total pagado]],"",0)</f>
        <v>#NAME?</v>
      </c>
      <c r="AJ844" s="56">
        <f>IF(PAA_4[[#This Row],[BOLSA]]=0,0,SUMIFS([2]!COMPROMISOS_2024[[#All],[Total pagado]],[2]!COMPROMISOS_2024[[#All],[Bolsa]],PAA_4[[#This Row],[BOLSA]],[2]!COMPROMISOS_2024[[#All],[rubro]],PAA_4[[#This Row],[RCP-RUBRO]]))</f>
        <v>0</v>
      </c>
      <c r="AK844" s="47" t="e" cm="1">
        <f t="array" aca="1" ref="AK844" ca="1">_xlfn.XLOOKUP(PAA_4[[#This Row],[RCP-RUBRO]],[2]!COMPROMISOS_2024[[#All],[concatenado]],[2]!COMPROMISOS_2024[[#All],[Total Comprometido]],"",0)</f>
        <v>#NAME?</v>
      </c>
      <c r="AL844" s="47">
        <f>IF(PAA_4[[#This Row],[BOLSA]]=0,0,SUMIFS([2]!COMPROMISOS_2024[[#All],[Total Comprometido]],[2]!COMPROMISOS_2024[[#All],[Bolsa]],PAA_4[[#This Row],[BOLSA]],[2]!COMPROMISOS_2024[[#All],[concatenado]],PAA_4[[#This Row],[RCP-RUBRO]]))</f>
        <v>0</v>
      </c>
    </row>
    <row r="845" spans="1:38" s="19" customFormat="1" ht="31.5" customHeight="1">
      <c r="A845" s="47">
        <v>719</v>
      </c>
      <c r="B845" s="51">
        <v>90141502</v>
      </c>
      <c r="C845" s="47" t="str">
        <f>VLOOKUP(PAA_4[[#This Row],[PROYECTO (formulado)2]],[2]PROYECTOS!$G$1:$L$32,6,0)</f>
        <v>SUBGERENCIA DE ALTOS LOGROS Y DEPORTE ASOCIADO</v>
      </c>
      <c r="D845" s="47" t="str">
        <f>+IF(PAA_4[[#This Row],[UNIDAD DE CONTRATACION (formulado)]]="Subgerencia Administrativa y Financiera","FUNCIONAMIENTO","INVERSIÓN")</f>
        <v>INVERSIÓN</v>
      </c>
      <c r="E845" s="48" t="str">
        <f>VLOOKUP(Q845,[2]PROYECTOS!$G$1:$K$32,5,0)</f>
        <v>FORTALECIMIENTO_DEL_PROGRAMA_DE_ALTOS_LOGROS_Y_LIDERAZGO_DEPORTIVO_EN_EL_DEPARTAMENTO_DE_ANTIOQUIA</v>
      </c>
      <c r="F845" s="48">
        <f>VLOOKUP(E845,[2]PROYECTOS!$K$1:$M$32,3,0)</f>
        <v>2020003050021</v>
      </c>
      <c r="G845" s="67" t="s">
        <v>224</v>
      </c>
      <c r="H845" s="49" t="str">
        <f>VLOOKUP(Q845,[2]PROYECTOS!$V$1:$W$32,2,0)</f>
        <v>050061</v>
      </c>
      <c r="I845" s="50">
        <v>30000000</v>
      </c>
      <c r="J845" s="340" t="s">
        <v>1772</v>
      </c>
      <c r="K845" s="47" t="str">
        <f t="shared" ca="1" si="292"/>
        <v>CONTRATADO</v>
      </c>
      <c r="L845" s="351" t="s">
        <v>94</v>
      </c>
      <c r="M845" s="47" t="s">
        <v>1767</v>
      </c>
      <c r="N845" s="52" t="s">
        <v>225</v>
      </c>
      <c r="O845" s="51" t="e">
        <f>VLOOKUP(N845,[2]!RUBROS[#All],3,0)</f>
        <v>#REF!</v>
      </c>
      <c r="P845" s="53" t="e">
        <f>VLOOKUP(N845,[2]!RUBROS[#All],2,0)</f>
        <v>#REF!</v>
      </c>
      <c r="Q845" s="47" t="str">
        <f t="shared" si="293"/>
        <v>20</v>
      </c>
      <c r="R845" s="47" t="str">
        <f t="shared" si="294"/>
        <v>4-101124</v>
      </c>
      <c r="S845" s="342">
        <v>200</v>
      </c>
      <c r="T845" s="59" t="s">
        <v>120</v>
      </c>
      <c r="U845" s="326" t="e">
        <f ca="1">_xlfn.XLOOKUP(PAA_4[[#This Row],[ITEM]],[2]Contrato!A:A,[2]Contrato!Q:Q,"",0)</f>
        <v>#NAME?</v>
      </c>
      <c r="V845" s="47" t="s">
        <v>47</v>
      </c>
      <c r="W845" s="343" t="s">
        <v>154</v>
      </c>
      <c r="X845" s="343" t="s">
        <v>154</v>
      </c>
      <c r="Y845" s="55" t="e">
        <f ca="1">_xlfn.XLOOKUP(PAA_4[[#This Row],[ITEM]],[2]Contrato!A:A,[2]Contrato!B:B,"",0)</f>
        <v>#NAME?</v>
      </c>
      <c r="Z845" s="47" t="e">
        <f ca="1">_xlfn.XLOOKUP(PAA_4[[#This Row],[ITEM]],[2]Contrato!A:A,[2]Contrato!G:G,"",0)</f>
        <v>#NAME?</v>
      </c>
      <c r="AA845" s="47" t="e">
        <f ca="1">_xlfn.XLOOKUP(PAA_4[[#This Row],[ITEM]],[2]Contrato!A:A,[2]Contrato!T:T,"",0)</f>
        <v>#NAME?</v>
      </c>
      <c r="AB845" s="55" t="e">
        <f ca="1">+MAX(PAA_4[[#This Row],[Comprometido Contrato]],PAA_4[[#This Row],[Comprometido Bolsa]])</f>
        <v>#NAME?</v>
      </c>
      <c r="AC845" s="55" t="str">
        <f t="shared" ca="1" si="295"/>
        <v/>
      </c>
      <c r="AD845" s="55" t="e">
        <f ca="1">IF(PAA_4[[#This Row],[ESTADO (formulado)]]="NO CONTRATADO",0,MAX(PAA_4[[#This Row],[Pago por Contrato]],PAA_4[[#This Row],[Pago por bolsa]]))</f>
        <v>#NAME?</v>
      </c>
      <c r="AE845" s="55" t="str">
        <f t="shared" ca="1" si="296"/>
        <v/>
      </c>
      <c r="AF845" s="47" t="e">
        <f t="shared" ca="1" si="297"/>
        <v>#NAME?</v>
      </c>
      <c r="AG845" s="47">
        <f t="shared" si="298"/>
        <v>41080111</v>
      </c>
      <c r="AH845" s="54">
        <f>IF(Q845="22",IF(ISNUMBER(SEARCH("econ",PAA_4[[#This Row],[Actividad3]])),"Económico",IF(ISNUMBER(SEARCH("alim",PAA_4[[#This Row],[Actividad3]])),"Alimentación",IF(ISNUMBER(SEARCH("educ",PAA_4[[#This Row],[Actividad3]])),"Educativo","Técnico"))),0)</f>
        <v>0</v>
      </c>
      <c r="AI845" s="47" t="e" cm="1">
        <f t="array" aca="1" ref="AI845" ca="1">_xlfn.XLOOKUP(PAA_4[[#This Row],[RCP-RUBRO]],[2]!COMPROMISOS_2024[[#All],[concatenado]],[2]!COMPROMISOS_2024[[#All],[Total pagado]],"",0)</f>
        <v>#NAME?</v>
      </c>
      <c r="AJ845" s="56">
        <f>IF(PAA_4[[#This Row],[BOLSA]]=0,0,SUMIFS([2]!COMPROMISOS_2024[[#All],[Total pagado]],[2]!COMPROMISOS_2024[[#All],[Bolsa]],PAA_4[[#This Row],[BOLSA]],[2]!COMPROMISOS_2024[[#All],[rubro]],PAA_4[[#This Row],[RCP-RUBRO]]))</f>
        <v>0</v>
      </c>
      <c r="AK845" s="47" t="e" cm="1">
        <f t="array" aca="1" ref="AK845" ca="1">_xlfn.XLOOKUP(PAA_4[[#This Row],[RCP-RUBRO]],[2]!COMPROMISOS_2024[[#All],[concatenado]],[2]!COMPROMISOS_2024[[#All],[Total Comprometido]],"",0)</f>
        <v>#NAME?</v>
      </c>
      <c r="AL845" s="47">
        <f>IF(PAA_4[[#This Row],[BOLSA]]=0,0,SUMIFS([2]!COMPROMISOS_2024[[#All],[Total Comprometido]],[2]!COMPROMISOS_2024[[#All],[Bolsa]],PAA_4[[#This Row],[BOLSA]],[2]!COMPROMISOS_2024[[#All],[concatenado]],PAA_4[[#This Row],[RCP-RUBRO]]))</f>
        <v>0</v>
      </c>
    </row>
    <row r="846" spans="1:38" s="19" customFormat="1" ht="31.5" customHeight="1">
      <c r="A846" s="47">
        <v>720</v>
      </c>
      <c r="B846" s="51">
        <v>90141502</v>
      </c>
      <c r="C846" s="47" t="str">
        <f>VLOOKUP(PAA_4[[#This Row],[PROYECTO (formulado)2]],[2]PROYECTOS!$G$1:$L$32,6,0)</f>
        <v>SUBGERENCIA DE ALTOS LOGROS Y DEPORTE ASOCIADO</v>
      </c>
      <c r="D846" s="47" t="str">
        <f>+IF(PAA_4[[#This Row],[UNIDAD DE CONTRATACION (formulado)]]="Subgerencia Administrativa y Financiera","FUNCIONAMIENTO","INVERSIÓN")</f>
        <v>INVERSIÓN</v>
      </c>
      <c r="E846" s="48" t="str">
        <f>VLOOKUP(Q846,[2]PROYECTOS!$G$1:$K$32,5,0)</f>
        <v>FORTALECIMIENTO_DEL_PROGRAMA_DE_ALTOS_LOGROS_Y_LIDERAZGO_DEPORTIVO_EN_EL_DEPARTAMENTO_DE_ANTIOQUIA</v>
      </c>
      <c r="F846" s="48">
        <f>VLOOKUP(E846,[2]PROYECTOS!$K$1:$M$32,3,0)</f>
        <v>2020003050021</v>
      </c>
      <c r="G846" s="67" t="s">
        <v>224</v>
      </c>
      <c r="H846" s="49" t="str">
        <f>VLOOKUP(Q846,[2]PROYECTOS!$V$1:$W$32,2,0)</f>
        <v>050061</v>
      </c>
      <c r="I846" s="50">
        <f>8166400+40000000</f>
        <v>48166400</v>
      </c>
      <c r="J846" s="340" t="s">
        <v>1773</v>
      </c>
      <c r="K846" s="47" t="str">
        <f t="shared" ca="1" si="292"/>
        <v>CONTRATADO</v>
      </c>
      <c r="L846" s="351" t="s">
        <v>44</v>
      </c>
      <c r="M846" s="47" t="s">
        <v>1236</v>
      </c>
      <c r="N846" s="52" t="s">
        <v>225</v>
      </c>
      <c r="O846" s="51" t="e">
        <f>VLOOKUP(N846,[2]!RUBROS[#All],3,0)</f>
        <v>#REF!</v>
      </c>
      <c r="P846" s="53" t="e">
        <f>VLOOKUP(N846,[2]!RUBROS[#All],2,0)</f>
        <v>#REF!</v>
      </c>
      <c r="Q846" s="47" t="str">
        <f t="shared" si="293"/>
        <v>20</v>
      </c>
      <c r="R846" s="47" t="str">
        <f t="shared" si="294"/>
        <v>4-101124</v>
      </c>
      <c r="S846" s="54">
        <v>190</v>
      </c>
      <c r="T846" s="59" t="s">
        <v>120</v>
      </c>
      <c r="U846" s="326" t="e">
        <f ca="1">_xlfn.XLOOKUP(PAA_4[[#This Row],[ITEM]],[2]Contrato!A:A,[2]Contrato!Q:Q,"",0)</f>
        <v>#NAME?</v>
      </c>
      <c r="V846" s="47" t="s">
        <v>47</v>
      </c>
      <c r="W846" s="343" t="s">
        <v>154</v>
      </c>
      <c r="X846" s="343" t="s">
        <v>154</v>
      </c>
      <c r="Y846" s="55" t="e">
        <f ca="1">_xlfn.XLOOKUP(PAA_4[[#This Row],[ITEM]],[2]Contrato!A:A,[2]Contrato!B:B,"",0)</f>
        <v>#NAME?</v>
      </c>
      <c r="Z846" s="47" t="e">
        <f ca="1">_xlfn.XLOOKUP(PAA_4[[#This Row],[ITEM]],[2]Contrato!A:A,[2]Contrato!G:G,"",0)</f>
        <v>#NAME?</v>
      </c>
      <c r="AA846" s="47" t="e">
        <f ca="1">_xlfn.XLOOKUP(PAA_4[[#This Row],[ITEM]],[2]Contrato!A:A,[2]Contrato!T:T,"",0)</f>
        <v>#NAME?</v>
      </c>
      <c r="AB846" s="55" t="e">
        <f ca="1">+MAX(PAA_4[[#This Row],[Comprometido Contrato]],PAA_4[[#This Row],[Comprometido Bolsa]])</f>
        <v>#NAME?</v>
      </c>
      <c r="AC846" s="55" t="str">
        <f t="shared" ca="1" si="295"/>
        <v/>
      </c>
      <c r="AD846" s="55" t="e">
        <f ca="1">IF(PAA_4[[#This Row],[ESTADO (formulado)]]="NO CONTRATADO",0,MAX(PAA_4[[#This Row],[Pago por Contrato]],PAA_4[[#This Row],[Pago por bolsa]]))</f>
        <v>#NAME?</v>
      </c>
      <c r="AE846" s="55" t="str">
        <f t="shared" ca="1" si="296"/>
        <v/>
      </c>
      <c r="AF846" s="47" t="e">
        <f t="shared" ca="1" si="297"/>
        <v>#NAME?</v>
      </c>
      <c r="AG846" s="47">
        <f t="shared" si="298"/>
        <v>41080111</v>
      </c>
      <c r="AH846" s="54">
        <f>IF(Q846="22",IF(ISNUMBER(SEARCH("econ",PAA_4[[#This Row],[Actividad3]])),"Económico",IF(ISNUMBER(SEARCH("alim",PAA_4[[#This Row],[Actividad3]])),"Alimentación",IF(ISNUMBER(SEARCH("educ",PAA_4[[#This Row],[Actividad3]])),"Educativo","Técnico"))),0)</f>
        <v>0</v>
      </c>
      <c r="AI846" s="47" t="e" cm="1">
        <f t="array" aca="1" ref="AI846" ca="1">_xlfn.XLOOKUP(PAA_4[[#This Row],[RCP-RUBRO]],[2]!COMPROMISOS_2024[[#All],[concatenado]],[2]!COMPROMISOS_2024[[#All],[Total pagado]],"",0)</f>
        <v>#NAME?</v>
      </c>
      <c r="AJ846" s="56">
        <f>IF(PAA_4[[#This Row],[BOLSA]]=0,0,SUMIFS([2]!COMPROMISOS_2024[[#All],[Total pagado]],[2]!COMPROMISOS_2024[[#All],[Bolsa]],PAA_4[[#This Row],[BOLSA]],[2]!COMPROMISOS_2024[[#All],[rubro]],PAA_4[[#This Row],[RCP-RUBRO]]))</f>
        <v>0</v>
      </c>
      <c r="AK846" s="47" t="e" cm="1">
        <f t="array" aca="1" ref="AK846" ca="1">_xlfn.XLOOKUP(PAA_4[[#This Row],[RCP-RUBRO]],[2]!COMPROMISOS_2024[[#All],[concatenado]],[2]!COMPROMISOS_2024[[#All],[Total Comprometido]],"",0)</f>
        <v>#NAME?</v>
      </c>
      <c r="AL846" s="47">
        <f>IF(PAA_4[[#This Row],[BOLSA]]=0,0,SUMIFS([2]!COMPROMISOS_2024[[#All],[Total Comprometido]],[2]!COMPROMISOS_2024[[#All],[Bolsa]],PAA_4[[#This Row],[BOLSA]],[2]!COMPROMISOS_2024[[#All],[concatenado]],PAA_4[[#This Row],[RCP-RUBRO]]))</f>
        <v>0</v>
      </c>
    </row>
    <row r="847" spans="1:38" s="19" customFormat="1" ht="31.5" customHeight="1">
      <c r="A847" s="47">
        <v>721</v>
      </c>
      <c r="B847" s="51" t="s">
        <v>344</v>
      </c>
      <c r="C847" s="47" t="str">
        <f>VLOOKUP(PAA_4[[#This Row],[PROYECTO (formulado)2]],[2]PROYECTOS!$G$1:$L$32,6,0)</f>
        <v>SUBGERENCIA DE ALTOS LOGROS Y DEPORTE ASOCIADO</v>
      </c>
      <c r="D847" s="47" t="str">
        <f>+IF(PAA_4[[#This Row],[UNIDAD DE CONTRATACION (formulado)]]="Subgerencia Administrativa y Financiera","FUNCIONAMIENTO","INVERSIÓN")</f>
        <v>INVERSIÓN</v>
      </c>
      <c r="E847" s="48" t="str">
        <f>VLOOKUP(Q847,[2]PROYECTOS!$G$1:$K$32,5,0)</f>
        <v>FORTALECIMIENTO_DEL_PROGRAMA_DE_ALTOS_LOGROS_Y_LIDERAZGO_DEPORTIVO_EN_EL_DEPARTAMENTO_DE_ANTIOQUIA</v>
      </c>
      <c r="F847" s="48">
        <f>VLOOKUP(E847,[2]PROYECTOS!$K$1:$M$32,3,0)</f>
        <v>2020003050021</v>
      </c>
      <c r="G847" s="67" t="s">
        <v>224</v>
      </c>
      <c r="H847" s="49" t="str">
        <f>VLOOKUP(Q847,[2]PROYECTOS!$V$1:$W$32,2,0)</f>
        <v>050061</v>
      </c>
      <c r="I847" s="50">
        <v>0</v>
      </c>
      <c r="J847" s="340" t="s">
        <v>42</v>
      </c>
      <c r="K847" s="47" t="str">
        <f t="shared" ca="1" si="292"/>
        <v>CONTRATADO</v>
      </c>
      <c r="L847" s="351" t="s">
        <v>94</v>
      </c>
      <c r="M847" s="47" t="s">
        <v>255</v>
      </c>
      <c r="N847" s="52" t="s">
        <v>225</v>
      </c>
      <c r="O847" s="51" t="e">
        <f>VLOOKUP(N847,[2]!RUBROS[#All],3,0)</f>
        <v>#REF!</v>
      </c>
      <c r="P847" s="53" t="e">
        <f>VLOOKUP(N847,[2]!RUBROS[#All],2,0)</f>
        <v>#REF!</v>
      </c>
      <c r="Q847" s="47" t="str">
        <f t="shared" si="293"/>
        <v>20</v>
      </c>
      <c r="R847" s="47" t="str">
        <f t="shared" si="294"/>
        <v>4-101124</v>
      </c>
      <c r="S847" s="342">
        <v>200</v>
      </c>
      <c r="T847" s="59" t="s">
        <v>120</v>
      </c>
      <c r="U847" s="326" t="e">
        <f ca="1">_xlfn.XLOOKUP(PAA_4[[#This Row],[ITEM]],[2]Contrato!A:A,[2]Contrato!Q:Q,"",0)</f>
        <v>#NAME?</v>
      </c>
      <c r="V847" s="47" t="s">
        <v>47</v>
      </c>
      <c r="W847" s="343" t="s">
        <v>154</v>
      </c>
      <c r="X847" s="343" t="s">
        <v>154</v>
      </c>
      <c r="Y847" s="55" t="e">
        <f ca="1">_xlfn.XLOOKUP(PAA_4[[#This Row],[ITEM]],[2]Contrato!A:A,[2]Contrato!B:B,"",0)</f>
        <v>#NAME?</v>
      </c>
      <c r="Z847" s="47" t="e">
        <f ca="1">_xlfn.XLOOKUP(PAA_4[[#This Row],[ITEM]],[2]Contrato!A:A,[2]Contrato!G:G,"",0)</f>
        <v>#NAME?</v>
      </c>
      <c r="AA847" s="47" t="e">
        <f ca="1">_xlfn.XLOOKUP(PAA_4[[#This Row],[ITEM]],[2]Contrato!A:A,[2]Contrato!T:T,"",0)</f>
        <v>#NAME?</v>
      </c>
      <c r="AB847" s="55" t="e">
        <f ca="1">+MAX(PAA_4[[#This Row],[Comprometido Contrato]],PAA_4[[#This Row],[Comprometido Bolsa]])</f>
        <v>#NAME?</v>
      </c>
      <c r="AC847" s="55" t="str">
        <f t="shared" ca="1" si="295"/>
        <v/>
      </c>
      <c r="AD847" s="55" t="e">
        <f ca="1">IF(PAA_4[[#This Row],[ESTADO (formulado)]]="NO CONTRATADO",0,MAX(PAA_4[[#This Row],[Pago por Contrato]],PAA_4[[#This Row],[Pago por bolsa]]))</f>
        <v>#NAME?</v>
      </c>
      <c r="AE847" s="55" t="str">
        <f t="shared" ca="1" si="296"/>
        <v/>
      </c>
      <c r="AF847" s="47" t="e">
        <f t="shared" ca="1" si="297"/>
        <v>#NAME?</v>
      </c>
      <c r="AG847" s="47">
        <f t="shared" si="298"/>
        <v>41080111</v>
      </c>
      <c r="AH847" s="54">
        <f>IF(Q847="22",IF(ISNUMBER(SEARCH("econ",PAA_4[[#This Row],[Actividad3]])),"Económico",IF(ISNUMBER(SEARCH("alim",PAA_4[[#This Row],[Actividad3]])),"Alimentación",IF(ISNUMBER(SEARCH("educ",PAA_4[[#This Row],[Actividad3]])),"Educativo","Técnico"))),0)</f>
        <v>0</v>
      </c>
      <c r="AI847" s="47" t="e" cm="1">
        <f t="array" aca="1" ref="AI847" ca="1">_xlfn.XLOOKUP(PAA_4[[#This Row],[RCP-RUBRO]],[2]!COMPROMISOS_2024[[#All],[concatenado]],[2]!COMPROMISOS_2024[[#All],[Total pagado]],"",0)</f>
        <v>#NAME?</v>
      </c>
      <c r="AJ847" s="56">
        <f>IF(PAA_4[[#This Row],[BOLSA]]=0,0,SUMIFS([2]!COMPROMISOS_2024[[#All],[Total pagado]],[2]!COMPROMISOS_2024[[#All],[Bolsa]],PAA_4[[#This Row],[BOLSA]],[2]!COMPROMISOS_2024[[#All],[rubro]],PAA_4[[#This Row],[RCP-RUBRO]]))</f>
        <v>0</v>
      </c>
      <c r="AK847" s="47" t="e" cm="1">
        <f t="array" aca="1" ref="AK847" ca="1">_xlfn.XLOOKUP(PAA_4[[#This Row],[RCP-RUBRO]],[2]!COMPROMISOS_2024[[#All],[concatenado]],[2]!COMPROMISOS_2024[[#All],[Total Comprometido]],"",0)</f>
        <v>#NAME?</v>
      </c>
      <c r="AL847" s="47">
        <f>IF(PAA_4[[#This Row],[BOLSA]]=0,0,SUMIFS([2]!COMPROMISOS_2024[[#All],[Total Comprometido]],[2]!COMPROMISOS_2024[[#All],[Bolsa]],PAA_4[[#This Row],[BOLSA]],[2]!COMPROMISOS_2024[[#All],[concatenado]],PAA_4[[#This Row],[RCP-RUBRO]]))</f>
        <v>0</v>
      </c>
    </row>
    <row r="848" spans="1:38" s="19" customFormat="1" ht="31.5" customHeight="1">
      <c r="A848" s="47">
        <v>722</v>
      </c>
      <c r="B848" s="51">
        <v>90141502</v>
      </c>
      <c r="C848" s="47" t="str">
        <f>VLOOKUP(PAA_4[[#This Row],[PROYECTO (formulado)2]],[2]PROYECTOS!$G$1:$L$32,6,0)</f>
        <v>SUBGERENCIA DE ALTOS LOGROS Y DEPORTE ASOCIADO</v>
      </c>
      <c r="D848" s="47" t="str">
        <f>+IF(PAA_4[[#This Row],[UNIDAD DE CONTRATACION (formulado)]]="Subgerencia Administrativa y Financiera","FUNCIONAMIENTO","INVERSIÓN")</f>
        <v>INVERSIÓN</v>
      </c>
      <c r="E848" s="48" t="str">
        <f>VLOOKUP(Q848,[2]PROYECTOS!$G$1:$K$32,5,0)</f>
        <v>FORTALECIMIENTO_DEL_PROGRAMA_DE_ALTOS_LOGROS_Y_LIDERAZGO_DEPORTIVO_EN_EL_DEPARTAMENTO_DE_ANTIOQUIA</v>
      </c>
      <c r="F848" s="48">
        <f>VLOOKUP(E848,[2]PROYECTOS!$K$1:$M$32,3,0)</f>
        <v>2020003050021</v>
      </c>
      <c r="G848" s="67" t="s">
        <v>224</v>
      </c>
      <c r="H848" s="49" t="str">
        <f>VLOOKUP(Q848,[2]PROYECTOS!$V$1:$W$32,2,0)</f>
        <v>050061</v>
      </c>
      <c r="I848" s="50">
        <v>50676309</v>
      </c>
      <c r="J848" s="340" t="s">
        <v>1774</v>
      </c>
      <c r="K848" s="47" t="str">
        <f t="shared" ca="1" si="292"/>
        <v>CONTRATADO</v>
      </c>
      <c r="L848" s="351" t="s">
        <v>94</v>
      </c>
      <c r="M848" s="47" t="s">
        <v>255</v>
      </c>
      <c r="N848" s="355" t="s">
        <v>223</v>
      </c>
      <c r="O848" s="51" t="e">
        <f>VLOOKUP(N848,[2]!RUBROS[#All],3,0)</f>
        <v>#REF!</v>
      </c>
      <c r="P848" s="53" t="e">
        <f>VLOOKUP(N848,[2]!RUBROS[#All],2,0)</f>
        <v>#REF!</v>
      </c>
      <c r="Q848" s="47" t="str">
        <f t="shared" si="293"/>
        <v>20</v>
      </c>
      <c r="R848" s="47" t="str">
        <f t="shared" si="294"/>
        <v>0-205400</v>
      </c>
      <c r="S848" s="342">
        <v>155</v>
      </c>
      <c r="T848" s="59" t="s">
        <v>120</v>
      </c>
      <c r="U848" s="326" t="e">
        <f ca="1">_xlfn.XLOOKUP(PAA_4[[#This Row],[ITEM]],[2]Contrato!A:A,[2]Contrato!Q:Q,"",0)</f>
        <v>#NAME?</v>
      </c>
      <c r="V848" s="47" t="s">
        <v>47</v>
      </c>
      <c r="W848" s="343" t="s">
        <v>193</v>
      </c>
      <c r="X848" s="343" t="s">
        <v>194</v>
      </c>
      <c r="Y848" s="55" t="e">
        <f ca="1">_xlfn.XLOOKUP(PAA_4[[#This Row],[ITEM]],[2]Contrato!A:A,[2]Contrato!B:B,"",0)</f>
        <v>#NAME?</v>
      </c>
      <c r="Z848" s="47" t="e">
        <f ca="1">_xlfn.XLOOKUP(PAA_4[[#This Row],[ITEM]],[2]Contrato!A:A,[2]Contrato!G:G,"",0)</f>
        <v>#NAME?</v>
      </c>
      <c r="AA848" s="47" t="e">
        <f ca="1">_xlfn.XLOOKUP(PAA_4[[#This Row],[ITEM]],[2]Contrato!A:A,[2]Contrato!T:T,"",0)</f>
        <v>#NAME?</v>
      </c>
      <c r="AB848" s="55" t="e">
        <f ca="1">+MAX(PAA_4[[#This Row],[Comprometido Contrato]],PAA_4[[#This Row],[Comprometido Bolsa]])</f>
        <v>#NAME?</v>
      </c>
      <c r="AC848" s="55" t="str">
        <f t="shared" ca="1" si="295"/>
        <v/>
      </c>
      <c r="AD848" s="55" t="e">
        <f ca="1">IF(PAA_4[[#This Row],[ESTADO (formulado)]]="NO CONTRATADO",0,MAX(PAA_4[[#This Row],[Pago por Contrato]],PAA_4[[#This Row],[Pago por bolsa]]))</f>
        <v>#NAME?</v>
      </c>
      <c r="AE848" s="55" t="str">
        <f t="shared" ca="1" si="296"/>
        <v/>
      </c>
      <c r="AF848" s="47" t="e">
        <f t="shared" ca="1" si="297"/>
        <v>#NAME?</v>
      </c>
      <c r="AG848" s="47">
        <f t="shared" si="298"/>
        <v>41080111</v>
      </c>
      <c r="AH848" s="54">
        <f>IF(Q848="22",IF(ISNUMBER(SEARCH("econ",PAA_4[[#This Row],[Actividad3]])),"Económico",IF(ISNUMBER(SEARCH("alim",PAA_4[[#This Row],[Actividad3]])),"Alimentación",IF(ISNUMBER(SEARCH("educ",PAA_4[[#This Row],[Actividad3]])),"Educativo","Técnico"))),0)</f>
        <v>0</v>
      </c>
      <c r="AI848" s="47" t="e" cm="1">
        <f t="array" aca="1" ref="AI848" ca="1">_xlfn.XLOOKUP(PAA_4[[#This Row],[RCP-RUBRO]],[2]!COMPROMISOS_2024[[#All],[concatenado]],[2]!COMPROMISOS_2024[[#All],[Total pagado]],"",0)</f>
        <v>#NAME?</v>
      </c>
      <c r="AJ848" s="56">
        <f>IF(PAA_4[[#This Row],[BOLSA]]=0,0,SUMIFS([2]!COMPROMISOS_2024[[#All],[Total pagado]],[2]!COMPROMISOS_2024[[#All],[Bolsa]],PAA_4[[#This Row],[BOLSA]],[2]!COMPROMISOS_2024[[#All],[rubro]],PAA_4[[#This Row],[RCP-RUBRO]]))</f>
        <v>0</v>
      </c>
      <c r="AK848" s="47" t="e" cm="1">
        <f t="array" aca="1" ref="AK848" ca="1">_xlfn.XLOOKUP(PAA_4[[#This Row],[RCP-RUBRO]],[2]!COMPROMISOS_2024[[#All],[concatenado]],[2]!COMPROMISOS_2024[[#All],[Total Comprometido]],"",0)</f>
        <v>#NAME?</v>
      </c>
      <c r="AL848" s="47">
        <f>IF(PAA_4[[#This Row],[BOLSA]]=0,0,SUMIFS([2]!COMPROMISOS_2024[[#All],[Total Comprometido]],[2]!COMPROMISOS_2024[[#All],[Bolsa]],PAA_4[[#This Row],[BOLSA]],[2]!COMPROMISOS_2024[[#All],[concatenado]],PAA_4[[#This Row],[RCP-RUBRO]]))</f>
        <v>0</v>
      </c>
    </row>
    <row r="849" spans="1:38" s="19" customFormat="1" ht="31.5" customHeight="1">
      <c r="A849" s="47">
        <v>722</v>
      </c>
      <c r="B849" s="51">
        <v>90141502</v>
      </c>
      <c r="C849" s="47" t="str">
        <f>VLOOKUP(PAA_4[[#This Row],[PROYECTO (formulado)2]],[2]PROYECTOS!$G$1:$L$32,6,0)</f>
        <v>SUBGERENCIA DE ALTOS LOGROS Y DEPORTE ASOCIADO</v>
      </c>
      <c r="D849" s="47" t="str">
        <f>+IF(PAA_4[[#This Row],[UNIDAD DE CONTRATACION (formulado)]]="Subgerencia Administrativa y Financiera","FUNCIONAMIENTO","INVERSIÓN")</f>
        <v>INVERSIÓN</v>
      </c>
      <c r="E849" s="48" t="str">
        <f>VLOOKUP(Q849,[2]PROYECTOS!$G$1:$K$32,5,0)</f>
        <v>FORTALECIMIENTO_DEL_PROGRAMA_DE_ALTOS_LOGROS_Y_LIDERAZGO_DEPORTIVO_EN_EL_DEPARTAMENTO_DE_ANTIOQUIA</v>
      </c>
      <c r="F849" s="48">
        <f>VLOOKUP(E849,[2]PROYECTOS!$K$1:$M$32,3,0)</f>
        <v>2020003050021</v>
      </c>
      <c r="G849" s="67" t="s">
        <v>224</v>
      </c>
      <c r="H849" s="49" t="str">
        <f>VLOOKUP(Q849,[2]PROYECTOS!$V$1:$W$32,2,0)</f>
        <v>050061</v>
      </c>
      <c r="I849" s="50">
        <f>49323691-9303143</f>
        <v>40020548</v>
      </c>
      <c r="J849" s="340" t="s">
        <v>1774</v>
      </c>
      <c r="K849" s="47" t="str">
        <f t="shared" ca="1" si="292"/>
        <v>CONTRATADO</v>
      </c>
      <c r="L849" s="351" t="s">
        <v>94</v>
      </c>
      <c r="M849" s="47" t="s">
        <v>255</v>
      </c>
      <c r="N849" s="52" t="s">
        <v>225</v>
      </c>
      <c r="O849" s="51" t="e">
        <f>VLOOKUP(N849,[2]!RUBROS[#All],3,0)</f>
        <v>#REF!</v>
      </c>
      <c r="P849" s="53" t="e">
        <f>VLOOKUP(N849,[2]!RUBROS[#All],2,0)</f>
        <v>#REF!</v>
      </c>
      <c r="Q849" s="47" t="str">
        <f t="shared" si="293"/>
        <v>20</v>
      </c>
      <c r="R849" s="47" t="str">
        <f t="shared" si="294"/>
        <v>4-101124</v>
      </c>
      <c r="S849" s="342">
        <v>200</v>
      </c>
      <c r="T849" s="59" t="s">
        <v>120</v>
      </c>
      <c r="U849" s="326" t="e">
        <f ca="1">_xlfn.XLOOKUP(PAA_4[[#This Row],[ITEM]],[2]Contrato!A:A,[2]Contrato!Q:Q,"",0)</f>
        <v>#NAME?</v>
      </c>
      <c r="V849" s="47" t="s">
        <v>47</v>
      </c>
      <c r="W849" s="343" t="s">
        <v>154</v>
      </c>
      <c r="X849" s="343" t="s">
        <v>154</v>
      </c>
      <c r="Y849" s="55" t="e">
        <f ca="1">_xlfn.XLOOKUP(PAA_4[[#This Row],[ITEM]],[2]Contrato!A:A,[2]Contrato!B:B,"",0)</f>
        <v>#NAME?</v>
      </c>
      <c r="Z849" s="47" t="e">
        <f ca="1">_xlfn.XLOOKUP(PAA_4[[#This Row],[ITEM]],[2]Contrato!A:A,[2]Contrato!G:G,"",0)</f>
        <v>#NAME?</v>
      </c>
      <c r="AA849" s="47" t="e">
        <f ca="1">_xlfn.XLOOKUP(PAA_4[[#This Row],[ITEM]],[2]Contrato!A:A,[2]Contrato!T:T,"",0)</f>
        <v>#NAME?</v>
      </c>
      <c r="AB849" s="55" t="e">
        <f ca="1">+MAX(PAA_4[[#This Row],[Comprometido Contrato]],PAA_4[[#This Row],[Comprometido Bolsa]])</f>
        <v>#NAME?</v>
      </c>
      <c r="AC849" s="55" t="str">
        <f t="shared" ca="1" si="295"/>
        <v/>
      </c>
      <c r="AD849" s="55" t="e">
        <f ca="1">IF(PAA_4[[#This Row],[ESTADO (formulado)]]="NO CONTRATADO",0,MAX(PAA_4[[#This Row],[Pago por Contrato]],PAA_4[[#This Row],[Pago por bolsa]]))</f>
        <v>#NAME?</v>
      </c>
      <c r="AE849" s="55" t="str">
        <f t="shared" ca="1" si="296"/>
        <v/>
      </c>
      <c r="AF849" s="47" t="e">
        <f t="shared" ca="1" si="297"/>
        <v>#NAME?</v>
      </c>
      <c r="AG849" s="47">
        <f t="shared" si="298"/>
        <v>41080111</v>
      </c>
      <c r="AH849" s="54">
        <f>IF(Q849="22",IF(ISNUMBER(SEARCH("econ",PAA_4[[#This Row],[Actividad3]])),"Económico",IF(ISNUMBER(SEARCH("alim",PAA_4[[#This Row],[Actividad3]])),"Alimentación",IF(ISNUMBER(SEARCH("educ",PAA_4[[#This Row],[Actividad3]])),"Educativo","Técnico"))),0)</f>
        <v>0</v>
      </c>
      <c r="AI849" s="47" t="e" cm="1">
        <f t="array" aca="1" ref="AI849" ca="1">_xlfn.XLOOKUP(PAA_4[[#This Row],[RCP-RUBRO]],[2]!COMPROMISOS_2024[[#All],[concatenado]],[2]!COMPROMISOS_2024[[#All],[Total pagado]],"",0)</f>
        <v>#NAME?</v>
      </c>
      <c r="AJ849" s="56">
        <f>IF(PAA_4[[#This Row],[BOLSA]]=0,0,SUMIFS([2]!COMPROMISOS_2024[[#All],[Total pagado]],[2]!COMPROMISOS_2024[[#All],[Bolsa]],PAA_4[[#This Row],[BOLSA]],[2]!COMPROMISOS_2024[[#All],[rubro]],PAA_4[[#This Row],[RCP-RUBRO]]))</f>
        <v>0</v>
      </c>
      <c r="AK849" s="47" t="e" cm="1">
        <f t="array" aca="1" ref="AK849" ca="1">_xlfn.XLOOKUP(PAA_4[[#This Row],[RCP-RUBRO]],[2]!COMPROMISOS_2024[[#All],[concatenado]],[2]!COMPROMISOS_2024[[#All],[Total Comprometido]],"",0)</f>
        <v>#NAME?</v>
      </c>
      <c r="AL849" s="47">
        <f>IF(PAA_4[[#This Row],[BOLSA]]=0,0,SUMIFS([2]!COMPROMISOS_2024[[#All],[Total Comprometido]],[2]!COMPROMISOS_2024[[#All],[Bolsa]],PAA_4[[#This Row],[BOLSA]],[2]!COMPROMISOS_2024[[#All],[concatenado]],PAA_4[[#This Row],[RCP-RUBRO]]))</f>
        <v>0</v>
      </c>
    </row>
    <row r="850" spans="1:38" s="19" customFormat="1" ht="31.5" customHeight="1">
      <c r="A850" s="47">
        <v>723</v>
      </c>
      <c r="B850" s="51">
        <v>90141502</v>
      </c>
      <c r="C850" s="47" t="str">
        <f>VLOOKUP(PAA_4[[#This Row],[PROYECTO (formulado)2]],[2]PROYECTOS!$G$1:$L$32,6,0)</f>
        <v>SUBGERENCIA DE ALTOS LOGROS Y DEPORTE ASOCIADO</v>
      </c>
      <c r="D850" s="47" t="str">
        <f>+IF(PAA_4[[#This Row],[UNIDAD DE CONTRATACION (formulado)]]="Subgerencia Administrativa y Financiera","FUNCIONAMIENTO","INVERSIÓN")</f>
        <v>INVERSIÓN</v>
      </c>
      <c r="E850" s="48" t="str">
        <f>VLOOKUP(Q850,[2]PROYECTOS!$G$1:$K$32,5,0)</f>
        <v>FORTALECIMIENTO_DEL_PROGRAMA_DE_ALTOS_LOGROS_Y_LIDERAZGO_DEPORTIVO_EN_EL_DEPARTAMENTO_DE_ANTIOQUIA</v>
      </c>
      <c r="F850" s="48">
        <f>VLOOKUP(E850,[2]PROYECTOS!$K$1:$M$32,3,0)</f>
        <v>2020003050021</v>
      </c>
      <c r="G850" s="67" t="s">
        <v>224</v>
      </c>
      <c r="H850" s="49" t="str">
        <f>VLOOKUP(Q850,[2]PROYECTOS!$V$1:$W$32,2,0)</f>
        <v>050061</v>
      </c>
      <c r="I850" s="50">
        <v>10000000</v>
      </c>
      <c r="J850" s="340" t="s">
        <v>1775</v>
      </c>
      <c r="K850" s="47" t="str">
        <f t="shared" ca="1" si="292"/>
        <v>CONTRATADO</v>
      </c>
      <c r="L850" s="351" t="s">
        <v>94</v>
      </c>
      <c r="M850" s="47" t="s">
        <v>255</v>
      </c>
      <c r="N850" s="52" t="s">
        <v>223</v>
      </c>
      <c r="O850" s="51" t="e">
        <f>VLOOKUP(N850,[2]!RUBROS[#All],3,0)</f>
        <v>#REF!</v>
      </c>
      <c r="P850" s="53" t="e">
        <f>VLOOKUP(N850,[2]!RUBROS[#All],2,0)</f>
        <v>#REF!</v>
      </c>
      <c r="Q850" s="47" t="str">
        <f t="shared" si="293"/>
        <v>20</v>
      </c>
      <c r="R850" s="47" t="str">
        <f t="shared" si="294"/>
        <v>0-205400</v>
      </c>
      <c r="S850" s="342">
        <v>170</v>
      </c>
      <c r="T850" s="59" t="s">
        <v>120</v>
      </c>
      <c r="U850" s="326" t="e">
        <f ca="1">_xlfn.XLOOKUP(PAA_4[[#This Row],[ITEM]],[2]Contrato!A:A,[2]Contrato!Q:Q,"",0)</f>
        <v>#NAME?</v>
      </c>
      <c r="V850" s="47" t="s">
        <v>47</v>
      </c>
      <c r="W850" s="343" t="s">
        <v>154</v>
      </c>
      <c r="X850" s="343" t="s">
        <v>154</v>
      </c>
      <c r="Y850" s="55" t="e">
        <f ca="1">_xlfn.XLOOKUP(PAA_4[[#This Row],[ITEM]],[2]Contrato!A:A,[2]Contrato!B:B,"",0)</f>
        <v>#NAME?</v>
      </c>
      <c r="Z850" s="47" t="e">
        <f ca="1">_xlfn.XLOOKUP(PAA_4[[#This Row],[ITEM]],[2]Contrato!A:A,[2]Contrato!G:G,"",0)</f>
        <v>#NAME?</v>
      </c>
      <c r="AA850" s="47" t="e">
        <f ca="1">_xlfn.XLOOKUP(PAA_4[[#This Row],[ITEM]],[2]Contrato!A:A,[2]Contrato!T:T,"",0)</f>
        <v>#NAME?</v>
      </c>
      <c r="AB850" s="55" t="e">
        <f ca="1">+MAX(PAA_4[[#This Row],[Comprometido Contrato]],PAA_4[[#This Row],[Comprometido Bolsa]])</f>
        <v>#NAME?</v>
      </c>
      <c r="AC850" s="55" t="str">
        <f t="shared" ca="1" si="295"/>
        <v/>
      </c>
      <c r="AD850" s="55" t="e">
        <f ca="1">IF(PAA_4[[#This Row],[ESTADO (formulado)]]="NO CONTRATADO",0,MAX(PAA_4[[#This Row],[Pago por Contrato]],PAA_4[[#This Row],[Pago por bolsa]]))</f>
        <v>#NAME?</v>
      </c>
      <c r="AE850" s="55" t="str">
        <f t="shared" ca="1" si="296"/>
        <v/>
      </c>
      <c r="AF850" s="47" t="e">
        <f t="shared" ca="1" si="297"/>
        <v>#NAME?</v>
      </c>
      <c r="AG850" s="47">
        <f t="shared" si="298"/>
        <v>41080111</v>
      </c>
      <c r="AH850" s="54">
        <f>IF(Q850="22",IF(ISNUMBER(SEARCH("econ",PAA_4[[#This Row],[Actividad3]])),"Económico",IF(ISNUMBER(SEARCH("alim",PAA_4[[#This Row],[Actividad3]])),"Alimentación",IF(ISNUMBER(SEARCH("educ",PAA_4[[#This Row],[Actividad3]])),"Educativo","Técnico"))),0)</f>
        <v>0</v>
      </c>
      <c r="AI850" s="47" t="e" cm="1">
        <f t="array" aca="1" ref="AI850" ca="1">_xlfn.XLOOKUP(PAA_4[[#This Row],[RCP-RUBRO]],[2]!COMPROMISOS_2024[[#All],[concatenado]],[2]!COMPROMISOS_2024[[#All],[Total pagado]],"",0)</f>
        <v>#NAME?</v>
      </c>
      <c r="AJ850" s="56">
        <f>IF(PAA_4[[#This Row],[BOLSA]]=0,0,SUMIFS([2]!COMPROMISOS_2024[[#All],[Total pagado]],[2]!COMPROMISOS_2024[[#All],[Bolsa]],PAA_4[[#This Row],[BOLSA]],[2]!COMPROMISOS_2024[[#All],[rubro]],PAA_4[[#This Row],[RCP-RUBRO]]))</f>
        <v>0</v>
      </c>
      <c r="AK850" s="47" t="e" cm="1">
        <f t="array" aca="1" ref="AK850" ca="1">_xlfn.XLOOKUP(PAA_4[[#This Row],[RCP-RUBRO]],[2]!COMPROMISOS_2024[[#All],[concatenado]],[2]!COMPROMISOS_2024[[#All],[Total Comprometido]],"",0)</f>
        <v>#NAME?</v>
      </c>
      <c r="AL850" s="47">
        <f>IF(PAA_4[[#This Row],[BOLSA]]=0,0,SUMIFS([2]!COMPROMISOS_2024[[#All],[Total Comprometido]],[2]!COMPROMISOS_2024[[#All],[Bolsa]],PAA_4[[#This Row],[BOLSA]],[2]!COMPROMISOS_2024[[#All],[concatenado]],PAA_4[[#This Row],[RCP-RUBRO]]))</f>
        <v>0</v>
      </c>
    </row>
    <row r="851" spans="1:38" s="19" customFormat="1" ht="31.5" customHeight="1">
      <c r="A851" s="47">
        <v>723</v>
      </c>
      <c r="B851" s="51">
        <v>90141502</v>
      </c>
      <c r="C851" s="47" t="str">
        <f>VLOOKUP(PAA_4[[#This Row],[PROYECTO (formulado)2]],[2]PROYECTOS!$G$1:$L$32,6,0)</f>
        <v>SUBGERENCIA DE ALTOS LOGROS Y DEPORTE ASOCIADO</v>
      </c>
      <c r="D851" s="47" t="str">
        <f>+IF(PAA_4[[#This Row],[UNIDAD DE CONTRATACION (formulado)]]="Subgerencia Administrativa y Financiera","FUNCIONAMIENTO","INVERSIÓN")</f>
        <v>INVERSIÓN</v>
      </c>
      <c r="E851" s="48" t="str">
        <f>VLOOKUP(Q851,[2]PROYECTOS!$G$1:$K$32,5,0)</f>
        <v>FORTALECIMIENTO_DEL_PROGRAMA_DE_ALTOS_LOGROS_Y_LIDERAZGO_DEPORTIVO_EN_EL_DEPARTAMENTO_DE_ANTIOQUIA</v>
      </c>
      <c r="F851" s="48">
        <f>VLOOKUP(E851,[2]PROYECTOS!$K$1:$M$32,3,0)</f>
        <v>2020003050021</v>
      </c>
      <c r="G851" s="67" t="s">
        <v>224</v>
      </c>
      <c r="H851" s="49" t="str">
        <f>VLOOKUP(Q851,[2]PROYECTOS!$V$1:$W$32,2,0)</f>
        <v>050061</v>
      </c>
      <c r="I851" s="50">
        <f>60000000-2068200</f>
        <v>57931800</v>
      </c>
      <c r="J851" s="340" t="s">
        <v>1775</v>
      </c>
      <c r="K851" s="47" t="str">
        <f t="shared" ca="1" si="292"/>
        <v>CONTRATADO</v>
      </c>
      <c r="L851" s="351" t="s">
        <v>94</v>
      </c>
      <c r="M851" s="47" t="s">
        <v>255</v>
      </c>
      <c r="N851" s="52" t="s">
        <v>225</v>
      </c>
      <c r="O851" s="51" t="e">
        <f>VLOOKUP(N851,[2]!RUBROS[#All],3,0)</f>
        <v>#REF!</v>
      </c>
      <c r="P851" s="53" t="e">
        <f>VLOOKUP(N851,[2]!RUBROS[#All],2,0)</f>
        <v>#REF!</v>
      </c>
      <c r="Q851" s="47" t="str">
        <f t="shared" si="293"/>
        <v>20</v>
      </c>
      <c r="R851" s="47" t="str">
        <f t="shared" si="294"/>
        <v>4-101124</v>
      </c>
      <c r="S851" s="342">
        <v>200</v>
      </c>
      <c r="T851" s="63" t="s">
        <v>120</v>
      </c>
      <c r="U851" s="326" t="e">
        <f ca="1">_xlfn.XLOOKUP(PAA_4[[#This Row],[ITEM]],[2]Contrato!A:A,[2]Contrato!Q:Q,"",0)</f>
        <v>#NAME?</v>
      </c>
      <c r="V851" s="47" t="s">
        <v>47</v>
      </c>
      <c r="W851" s="343" t="s">
        <v>154</v>
      </c>
      <c r="X851" s="343" t="s">
        <v>154</v>
      </c>
      <c r="Y851" s="55" t="e">
        <f ca="1">_xlfn.XLOOKUP(PAA_4[[#This Row],[ITEM]],[2]Contrato!A:A,[2]Contrato!B:B,"",0)</f>
        <v>#NAME?</v>
      </c>
      <c r="Z851" s="47" t="e">
        <f ca="1">_xlfn.XLOOKUP(PAA_4[[#This Row],[ITEM]],[2]Contrato!A:A,[2]Contrato!G:G,"",0)</f>
        <v>#NAME?</v>
      </c>
      <c r="AA851" s="47" t="e">
        <f ca="1">_xlfn.XLOOKUP(PAA_4[[#This Row],[ITEM]],[2]Contrato!A:A,[2]Contrato!T:T,"",0)</f>
        <v>#NAME?</v>
      </c>
      <c r="AB851" s="55" t="e">
        <f ca="1">+MAX(PAA_4[[#This Row],[Comprometido Contrato]],PAA_4[[#This Row],[Comprometido Bolsa]])</f>
        <v>#NAME?</v>
      </c>
      <c r="AC851" s="55" t="str">
        <f t="shared" ca="1" si="295"/>
        <v/>
      </c>
      <c r="AD851" s="55" t="e">
        <f ca="1">IF(PAA_4[[#This Row],[ESTADO (formulado)]]="NO CONTRATADO",0,MAX(PAA_4[[#This Row],[Pago por Contrato]],PAA_4[[#This Row],[Pago por bolsa]]))</f>
        <v>#NAME?</v>
      </c>
      <c r="AE851" s="55" t="str">
        <f t="shared" ca="1" si="296"/>
        <v/>
      </c>
      <c r="AF851" s="47" t="e">
        <f t="shared" ca="1" si="297"/>
        <v>#NAME?</v>
      </c>
      <c r="AG851" s="47">
        <f t="shared" si="298"/>
        <v>41080111</v>
      </c>
      <c r="AH851" s="54">
        <f>IF(Q851="22",IF(ISNUMBER(SEARCH("econ",PAA_4[[#This Row],[Actividad3]])),"Económico",IF(ISNUMBER(SEARCH("alim",PAA_4[[#This Row],[Actividad3]])),"Alimentación",IF(ISNUMBER(SEARCH("educ",PAA_4[[#This Row],[Actividad3]])),"Educativo","Técnico"))),0)</f>
        <v>0</v>
      </c>
      <c r="AI851" s="47" t="e" cm="1">
        <f t="array" aca="1" ref="AI851" ca="1">_xlfn.XLOOKUP(PAA_4[[#This Row],[RCP-RUBRO]],[2]!COMPROMISOS_2024[[#All],[concatenado]],[2]!COMPROMISOS_2024[[#All],[Total pagado]],"",0)</f>
        <v>#NAME?</v>
      </c>
      <c r="AJ851" s="56">
        <f>IF(PAA_4[[#This Row],[BOLSA]]=0,0,SUMIFS([2]!COMPROMISOS_2024[[#All],[Total pagado]],[2]!COMPROMISOS_2024[[#All],[Bolsa]],PAA_4[[#This Row],[BOLSA]],[2]!COMPROMISOS_2024[[#All],[rubro]],PAA_4[[#This Row],[RCP-RUBRO]]))</f>
        <v>0</v>
      </c>
      <c r="AK851" s="47" t="e" cm="1">
        <f t="array" aca="1" ref="AK851" ca="1">_xlfn.XLOOKUP(PAA_4[[#This Row],[RCP-RUBRO]],[2]!COMPROMISOS_2024[[#All],[concatenado]],[2]!COMPROMISOS_2024[[#All],[Total Comprometido]],"",0)</f>
        <v>#NAME?</v>
      </c>
      <c r="AL851" s="47">
        <f>IF(PAA_4[[#This Row],[BOLSA]]=0,0,SUMIFS([2]!COMPROMISOS_2024[[#All],[Total Comprometido]],[2]!COMPROMISOS_2024[[#All],[Bolsa]],PAA_4[[#This Row],[BOLSA]],[2]!COMPROMISOS_2024[[#All],[concatenado]],PAA_4[[#This Row],[RCP-RUBRO]]))</f>
        <v>0</v>
      </c>
    </row>
    <row r="852" spans="1:38" s="19" customFormat="1" ht="31.5" customHeight="1">
      <c r="A852" s="47">
        <v>724</v>
      </c>
      <c r="B852" s="51" t="s">
        <v>344</v>
      </c>
      <c r="C852" s="47" t="str">
        <f>VLOOKUP(PAA_4[[#This Row],[PROYECTO (formulado)2]],[2]PROYECTOS!$G$1:$L$32,6,0)</f>
        <v>SUBGERENCIA DE ALTOS LOGROS Y DEPORTE ASOCIADO</v>
      </c>
      <c r="D852" s="47" t="str">
        <f>+IF(PAA_4[[#This Row],[UNIDAD DE CONTRATACION (formulado)]]="Subgerencia Administrativa y Financiera","FUNCIONAMIENTO","INVERSIÓN")</f>
        <v>INVERSIÓN</v>
      </c>
      <c r="E852" s="48" t="str">
        <f>VLOOKUP(Q852,[2]PROYECTOS!$G$1:$K$32,5,0)</f>
        <v>FORTALECIMIENTO_DEL_PROGRAMA_DE_ALTOS_LOGROS_Y_LIDERAZGO_DEPORTIVO_EN_EL_DEPARTAMENTO_DE_ANTIOQUIA</v>
      </c>
      <c r="F852" s="48">
        <f>VLOOKUP(E852,[2]PROYECTOS!$K$1:$M$32,3,0)</f>
        <v>2020003050021</v>
      </c>
      <c r="G852" s="67" t="s">
        <v>224</v>
      </c>
      <c r="H852" s="49" t="str">
        <f>VLOOKUP(Q852,[2]PROYECTOS!$V$1:$W$32,2,0)</f>
        <v>050061</v>
      </c>
      <c r="I852" s="50">
        <v>0</v>
      </c>
      <c r="J852" s="340" t="s">
        <v>42</v>
      </c>
      <c r="K852" s="47" t="str">
        <f t="shared" ca="1" si="292"/>
        <v>CONTRATADO</v>
      </c>
      <c r="L852" s="351" t="s">
        <v>94</v>
      </c>
      <c r="M852" s="47" t="s">
        <v>255</v>
      </c>
      <c r="N852" s="52" t="s">
        <v>225</v>
      </c>
      <c r="O852" s="51" t="e">
        <f>VLOOKUP(N852,[2]!RUBROS[#All],3,0)</f>
        <v>#REF!</v>
      </c>
      <c r="P852" s="53" t="e">
        <f>VLOOKUP(N852,[2]!RUBROS[#All],2,0)</f>
        <v>#REF!</v>
      </c>
      <c r="Q852" s="47" t="str">
        <f t="shared" si="293"/>
        <v>20</v>
      </c>
      <c r="R852" s="47" t="str">
        <f t="shared" si="294"/>
        <v>4-101124</v>
      </c>
      <c r="S852" s="342">
        <v>200</v>
      </c>
      <c r="T852" s="63" t="s">
        <v>120</v>
      </c>
      <c r="U852" s="326" t="e">
        <f ca="1">_xlfn.XLOOKUP(PAA_4[[#This Row],[ITEM]],[2]Contrato!A:A,[2]Contrato!Q:Q,"",0)</f>
        <v>#NAME?</v>
      </c>
      <c r="V852" s="47" t="s">
        <v>47</v>
      </c>
      <c r="W852" s="343" t="s">
        <v>154</v>
      </c>
      <c r="X852" s="343" t="s">
        <v>154</v>
      </c>
      <c r="Y852" s="55" t="e">
        <f ca="1">_xlfn.XLOOKUP(PAA_4[[#This Row],[ITEM]],[2]Contrato!A:A,[2]Contrato!B:B,"",0)</f>
        <v>#NAME?</v>
      </c>
      <c r="Z852" s="47" t="e">
        <f ca="1">_xlfn.XLOOKUP(PAA_4[[#This Row],[ITEM]],[2]Contrato!A:A,[2]Contrato!G:G,"",0)</f>
        <v>#NAME?</v>
      </c>
      <c r="AA852" s="47" t="e">
        <f ca="1">_xlfn.XLOOKUP(PAA_4[[#This Row],[ITEM]],[2]Contrato!A:A,[2]Contrato!T:T,"",0)</f>
        <v>#NAME?</v>
      </c>
      <c r="AB852" s="55" t="e">
        <f ca="1">+MAX(PAA_4[[#This Row],[Comprometido Contrato]],PAA_4[[#This Row],[Comprometido Bolsa]])</f>
        <v>#NAME?</v>
      </c>
      <c r="AC852" s="55" t="str">
        <f t="shared" ca="1" si="295"/>
        <v/>
      </c>
      <c r="AD852" s="55" t="e">
        <f ca="1">IF(PAA_4[[#This Row],[ESTADO (formulado)]]="NO CONTRATADO",0,MAX(PAA_4[[#This Row],[Pago por Contrato]],PAA_4[[#This Row],[Pago por bolsa]]))</f>
        <v>#NAME?</v>
      </c>
      <c r="AE852" s="55" t="str">
        <f t="shared" ca="1" si="296"/>
        <v/>
      </c>
      <c r="AF852" s="47" t="e">
        <f t="shared" ca="1" si="297"/>
        <v>#NAME?</v>
      </c>
      <c r="AG852" s="47">
        <f t="shared" si="298"/>
        <v>41080111</v>
      </c>
      <c r="AH852" s="54">
        <f>IF(Q852="22",IF(ISNUMBER(SEARCH("econ",PAA_4[[#This Row],[Actividad3]])),"Económico",IF(ISNUMBER(SEARCH("alim",PAA_4[[#This Row],[Actividad3]])),"Alimentación",IF(ISNUMBER(SEARCH("educ",PAA_4[[#This Row],[Actividad3]])),"Educativo","Técnico"))),0)</f>
        <v>0</v>
      </c>
      <c r="AI852" s="47" t="e" cm="1">
        <f t="array" aca="1" ref="AI852" ca="1">_xlfn.XLOOKUP(PAA_4[[#This Row],[RCP-RUBRO]],[2]!COMPROMISOS_2024[[#All],[concatenado]],[2]!COMPROMISOS_2024[[#All],[Total pagado]],"",0)</f>
        <v>#NAME?</v>
      </c>
      <c r="AJ852" s="56">
        <f>IF(PAA_4[[#This Row],[BOLSA]]=0,0,SUMIFS([2]!COMPROMISOS_2024[[#All],[Total pagado]],[2]!COMPROMISOS_2024[[#All],[Bolsa]],PAA_4[[#This Row],[BOLSA]],[2]!COMPROMISOS_2024[[#All],[rubro]],PAA_4[[#This Row],[RCP-RUBRO]]))</f>
        <v>0</v>
      </c>
      <c r="AK852" s="47" t="e" cm="1">
        <f t="array" aca="1" ref="AK852" ca="1">_xlfn.XLOOKUP(PAA_4[[#This Row],[RCP-RUBRO]],[2]!COMPROMISOS_2024[[#All],[concatenado]],[2]!COMPROMISOS_2024[[#All],[Total Comprometido]],"",0)</f>
        <v>#NAME?</v>
      </c>
      <c r="AL852" s="47">
        <f>IF(PAA_4[[#This Row],[BOLSA]]=0,0,SUMIFS([2]!COMPROMISOS_2024[[#All],[Total Comprometido]],[2]!COMPROMISOS_2024[[#All],[Bolsa]],PAA_4[[#This Row],[BOLSA]],[2]!COMPROMISOS_2024[[#All],[concatenado]],PAA_4[[#This Row],[RCP-RUBRO]]))</f>
        <v>0</v>
      </c>
    </row>
    <row r="853" spans="1:38" s="19" customFormat="1" ht="31.5" customHeight="1">
      <c r="A853" s="47">
        <v>802</v>
      </c>
      <c r="B853" s="51">
        <v>80111600</v>
      </c>
      <c r="C853" s="47" t="str">
        <f>VLOOKUP(PAA_4[[#This Row],[PROYECTO (formulado)2]],[2]PROYECTOS!$G$1:$L$32,6,0)</f>
        <v>SUBGERENCIA DE ALTOS LOGROS Y DEPORTE ASOCIADO</v>
      </c>
      <c r="D853" s="47" t="str">
        <f>+IF(PAA_4[[#This Row],[UNIDAD DE CONTRATACION (formulado)]]="Subgerencia Administrativa y Financiera","FUNCIONAMIENTO","INVERSIÓN")</f>
        <v>INVERSIÓN</v>
      </c>
      <c r="E853" s="48" t="str">
        <f>VLOOKUP(Q853,[2]PROYECTOS!$G$1:$K$32,5,0)</f>
        <v>FORTALECIMIENTO_DEL_PROGRAMA_DE_ALTOS_LOGROS_Y_LIDERAZGO_DEPORTIVO_EN_EL_DEPARTAMENTO_DE_ANTIOQUIA</v>
      </c>
      <c r="F853" s="48">
        <f>VLOOKUP(E853,[2]PROYECTOS!$K$1:$M$32,3,0)</f>
        <v>2020003050021</v>
      </c>
      <c r="G853" s="67" t="s">
        <v>235</v>
      </c>
      <c r="H853" s="49" t="str">
        <f>VLOOKUP(Q853,[2]PROYECTOS!$V$1:$W$32,2,0)</f>
        <v>050061</v>
      </c>
      <c r="I853" s="50">
        <v>0</v>
      </c>
      <c r="J853" s="356" t="s">
        <v>42</v>
      </c>
      <c r="K853" s="47" t="str">
        <f t="shared" ca="1" si="292"/>
        <v>CONTRATADO</v>
      </c>
      <c r="L853" s="351" t="s">
        <v>94</v>
      </c>
      <c r="M853" s="47" t="s">
        <v>1297</v>
      </c>
      <c r="N853" s="52" t="s">
        <v>225</v>
      </c>
      <c r="O853" s="51" t="e">
        <f>VLOOKUP(N853,[2]!RUBROS[#All],3,0)</f>
        <v>#REF!</v>
      </c>
      <c r="P853" s="53" t="e">
        <f>VLOOKUP(N853,[2]!RUBROS[#All],2,0)</f>
        <v>#REF!</v>
      </c>
      <c r="Q853" s="47" t="str">
        <f t="shared" si="293"/>
        <v>20</v>
      </c>
      <c r="R853" s="47" t="str">
        <f t="shared" si="294"/>
        <v>4-101124</v>
      </c>
      <c r="S853" s="342">
        <v>175</v>
      </c>
      <c r="T853" s="63" t="s">
        <v>120</v>
      </c>
      <c r="U853" s="326" t="e">
        <f ca="1">_xlfn.XLOOKUP(PAA_4[[#This Row],[ITEM]],[2]Contrato!A:A,[2]Contrato!Q:Q,"",0)</f>
        <v>#NAME?</v>
      </c>
      <c r="V853" s="47" t="s">
        <v>47</v>
      </c>
      <c r="W853" s="343" t="s">
        <v>154</v>
      </c>
      <c r="X853" s="343" t="s">
        <v>154</v>
      </c>
      <c r="Y853" s="55" t="e">
        <f ca="1">_xlfn.XLOOKUP(PAA_4[[#This Row],[ITEM]],[2]Contrato!A:A,[2]Contrato!B:B,"",0)</f>
        <v>#NAME?</v>
      </c>
      <c r="Z853" s="47" t="e">
        <f ca="1">_xlfn.XLOOKUP(PAA_4[[#This Row],[ITEM]],[2]Contrato!A:A,[2]Contrato!G:G,"",0)</f>
        <v>#NAME?</v>
      </c>
      <c r="AA853" s="47" t="e">
        <f ca="1">_xlfn.XLOOKUP(PAA_4[[#This Row],[ITEM]],[2]Contrato!A:A,[2]Contrato!T:T,"",0)</f>
        <v>#NAME?</v>
      </c>
      <c r="AB853" s="55" t="e">
        <f ca="1">+MAX(PAA_4[[#This Row],[Comprometido Contrato]],PAA_4[[#This Row],[Comprometido Bolsa]])</f>
        <v>#NAME?</v>
      </c>
      <c r="AC853" s="55" t="str">
        <f t="shared" ca="1" si="295"/>
        <v/>
      </c>
      <c r="AD853" s="55" t="e">
        <f ca="1">IF(PAA_4[[#This Row],[ESTADO (formulado)]]="NO CONTRATADO",0,MAX(PAA_4[[#This Row],[Pago por Contrato]],PAA_4[[#This Row],[Pago por bolsa]]))</f>
        <v>#NAME?</v>
      </c>
      <c r="AE853" s="55" t="str">
        <f t="shared" ca="1" si="296"/>
        <v/>
      </c>
      <c r="AF853" s="47" t="e">
        <f t="shared" ca="1" si="297"/>
        <v>#NAME?</v>
      </c>
      <c r="AG853" s="47">
        <f t="shared" si="298"/>
        <v>41080111</v>
      </c>
      <c r="AH853" s="54">
        <f>IF(Q853="22",IF(ISNUMBER(SEARCH("econ",PAA_4[[#This Row],[Actividad3]])),"Económico",IF(ISNUMBER(SEARCH("alim",PAA_4[[#This Row],[Actividad3]])),"Alimentación",IF(ISNUMBER(SEARCH("educ",PAA_4[[#This Row],[Actividad3]])),"Educativo","Técnico"))),0)</f>
        <v>0</v>
      </c>
      <c r="AI853" s="47" t="e" cm="1">
        <f t="array" aca="1" ref="AI853" ca="1">_xlfn.XLOOKUP(PAA_4[[#This Row],[RCP-RUBRO]],[2]!COMPROMISOS_2024[[#All],[concatenado]],[2]!COMPROMISOS_2024[[#All],[Total pagado]],"",0)</f>
        <v>#NAME?</v>
      </c>
      <c r="AJ853" s="56">
        <f>IF(PAA_4[[#This Row],[BOLSA]]=0,0,SUMIFS([2]!COMPROMISOS_2024[[#All],[Total pagado]],[2]!COMPROMISOS_2024[[#All],[Bolsa]],PAA_4[[#This Row],[BOLSA]],[2]!COMPROMISOS_2024[[#All],[rubro]],PAA_4[[#This Row],[RCP-RUBRO]]))</f>
        <v>0</v>
      </c>
      <c r="AK853" s="47" t="e" cm="1">
        <f t="array" aca="1" ref="AK853" ca="1">_xlfn.XLOOKUP(PAA_4[[#This Row],[RCP-RUBRO]],[2]!COMPROMISOS_2024[[#All],[concatenado]],[2]!COMPROMISOS_2024[[#All],[Total Comprometido]],"",0)</f>
        <v>#NAME?</v>
      </c>
      <c r="AL853" s="47">
        <f>IF(PAA_4[[#This Row],[BOLSA]]=0,0,SUMIFS([2]!COMPROMISOS_2024[[#All],[Total Comprometido]],[2]!COMPROMISOS_2024[[#All],[Bolsa]],PAA_4[[#This Row],[BOLSA]],[2]!COMPROMISOS_2024[[#All],[concatenado]],PAA_4[[#This Row],[RCP-RUBRO]]))</f>
        <v>0</v>
      </c>
    </row>
    <row r="854" spans="1:38" s="19" customFormat="1" ht="31.5" customHeight="1">
      <c r="A854" s="47">
        <v>803</v>
      </c>
      <c r="B854" s="51">
        <v>80111600</v>
      </c>
      <c r="C854" s="47" t="str">
        <f>VLOOKUP(PAA_4[[#This Row],[PROYECTO (formulado)2]],[2]PROYECTOS!$G$1:$L$32,6,0)</f>
        <v>SUBGERENCIA DE ALTOS LOGROS Y DEPORTE ASOCIADO</v>
      </c>
      <c r="D854" s="47" t="str">
        <f>+IF(PAA_4[[#This Row],[UNIDAD DE CONTRATACION (formulado)]]="Subgerencia Administrativa y Financiera","FUNCIONAMIENTO","INVERSIÓN")</f>
        <v>INVERSIÓN</v>
      </c>
      <c r="E854" s="48" t="str">
        <f>VLOOKUP(Q854,[2]PROYECTOS!$G$1:$K$32,5,0)</f>
        <v>FORTALECIMIENTO_DEL_PROGRAMA_DE_ALTOS_LOGROS_Y_LIDERAZGO_DEPORTIVO_EN_EL_DEPARTAMENTO_DE_ANTIOQUIA</v>
      </c>
      <c r="F854" s="48">
        <f>VLOOKUP(E854,[2]PROYECTOS!$K$1:$M$32,3,0)</f>
        <v>2020003050021</v>
      </c>
      <c r="G854" s="67" t="s">
        <v>235</v>
      </c>
      <c r="H854" s="49" t="str">
        <f>VLOOKUP(Q854,[2]PROYECTOS!$V$1:$W$32,2,0)</f>
        <v>050061</v>
      </c>
      <c r="I854" s="50">
        <v>0</v>
      </c>
      <c r="J854" s="356" t="s">
        <v>42</v>
      </c>
      <c r="K854" s="47" t="str">
        <f t="shared" ca="1" si="292"/>
        <v>CONTRATADO</v>
      </c>
      <c r="L854" s="351" t="s">
        <v>94</v>
      </c>
      <c r="M854" s="47" t="s">
        <v>1297</v>
      </c>
      <c r="N854" s="52" t="s">
        <v>225</v>
      </c>
      <c r="O854" s="51" t="e">
        <f>VLOOKUP(N854,[2]!RUBROS[#All],3,0)</f>
        <v>#REF!</v>
      </c>
      <c r="P854" s="53" t="e">
        <f>VLOOKUP(N854,[2]!RUBROS[#All],2,0)</f>
        <v>#REF!</v>
      </c>
      <c r="Q854" s="47" t="str">
        <f t="shared" si="293"/>
        <v>20</v>
      </c>
      <c r="R854" s="47" t="str">
        <f t="shared" si="294"/>
        <v>4-101124</v>
      </c>
      <c r="S854" s="342">
        <v>175</v>
      </c>
      <c r="T854" s="63" t="s">
        <v>120</v>
      </c>
      <c r="U854" s="326" t="e">
        <f ca="1">_xlfn.XLOOKUP(PAA_4[[#This Row],[ITEM]],[2]Contrato!A:A,[2]Contrato!Q:Q,"",0)</f>
        <v>#NAME?</v>
      </c>
      <c r="V854" s="47" t="s">
        <v>47</v>
      </c>
      <c r="W854" s="343" t="s">
        <v>154</v>
      </c>
      <c r="X854" s="343" t="s">
        <v>154</v>
      </c>
      <c r="Y854" s="55" t="e">
        <f ca="1">_xlfn.XLOOKUP(PAA_4[[#This Row],[ITEM]],[2]Contrato!A:A,[2]Contrato!B:B,"",0)</f>
        <v>#NAME?</v>
      </c>
      <c r="Z854" s="47" t="e">
        <f ca="1">_xlfn.XLOOKUP(PAA_4[[#This Row],[ITEM]],[2]Contrato!A:A,[2]Contrato!G:G,"",0)</f>
        <v>#NAME?</v>
      </c>
      <c r="AA854" s="47" t="e">
        <f ca="1">_xlfn.XLOOKUP(PAA_4[[#This Row],[ITEM]],[2]Contrato!A:A,[2]Contrato!T:T,"",0)</f>
        <v>#NAME?</v>
      </c>
      <c r="AB854" s="55" t="e">
        <f ca="1">+MAX(PAA_4[[#This Row],[Comprometido Contrato]],PAA_4[[#This Row],[Comprometido Bolsa]])</f>
        <v>#NAME?</v>
      </c>
      <c r="AC854" s="55" t="str">
        <f t="shared" ca="1" si="295"/>
        <v/>
      </c>
      <c r="AD854" s="55" t="e">
        <f ca="1">IF(PAA_4[[#This Row],[ESTADO (formulado)]]="NO CONTRATADO",0,MAX(PAA_4[[#This Row],[Pago por Contrato]],PAA_4[[#This Row],[Pago por bolsa]]))</f>
        <v>#NAME?</v>
      </c>
      <c r="AE854" s="55" t="str">
        <f t="shared" ca="1" si="296"/>
        <v/>
      </c>
      <c r="AF854" s="47" t="e">
        <f t="shared" ca="1" si="297"/>
        <v>#NAME?</v>
      </c>
      <c r="AG854" s="47">
        <f t="shared" si="298"/>
        <v>41080111</v>
      </c>
      <c r="AH854" s="54">
        <f>IF(Q854="22",IF(ISNUMBER(SEARCH("econ",PAA_4[[#This Row],[Actividad3]])),"Económico",IF(ISNUMBER(SEARCH("alim",PAA_4[[#This Row],[Actividad3]])),"Alimentación",IF(ISNUMBER(SEARCH("educ",PAA_4[[#This Row],[Actividad3]])),"Educativo","Técnico"))),0)</f>
        <v>0</v>
      </c>
      <c r="AI854" s="47" t="e" cm="1">
        <f t="array" aca="1" ref="AI854" ca="1">_xlfn.XLOOKUP(PAA_4[[#This Row],[RCP-RUBRO]],[2]!COMPROMISOS_2024[[#All],[concatenado]],[2]!COMPROMISOS_2024[[#All],[Total pagado]],"",0)</f>
        <v>#NAME?</v>
      </c>
      <c r="AJ854" s="56">
        <f>IF(PAA_4[[#This Row],[BOLSA]]=0,0,SUMIFS([2]!COMPROMISOS_2024[[#All],[Total pagado]],[2]!COMPROMISOS_2024[[#All],[Bolsa]],PAA_4[[#This Row],[BOLSA]],[2]!COMPROMISOS_2024[[#All],[rubro]],PAA_4[[#This Row],[RCP-RUBRO]]))</f>
        <v>0</v>
      </c>
      <c r="AK854" s="47" t="e" cm="1">
        <f t="array" aca="1" ref="AK854" ca="1">_xlfn.XLOOKUP(PAA_4[[#This Row],[RCP-RUBRO]],[2]!COMPROMISOS_2024[[#All],[concatenado]],[2]!COMPROMISOS_2024[[#All],[Total Comprometido]],"",0)</f>
        <v>#NAME?</v>
      </c>
      <c r="AL854" s="47">
        <f>IF(PAA_4[[#This Row],[BOLSA]]=0,0,SUMIFS([2]!COMPROMISOS_2024[[#All],[Total Comprometido]],[2]!COMPROMISOS_2024[[#All],[Bolsa]],PAA_4[[#This Row],[BOLSA]],[2]!COMPROMISOS_2024[[#All],[concatenado]],PAA_4[[#This Row],[RCP-RUBRO]]))</f>
        <v>0</v>
      </c>
    </row>
    <row r="855" spans="1:38" s="19" customFormat="1" ht="31.5" customHeight="1">
      <c r="A855" s="47">
        <v>841</v>
      </c>
      <c r="B855" s="51">
        <v>80111600</v>
      </c>
      <c r="C855" s="47" t="str">
        <f>VLOOKUP(PAA_4[[#This Row],[PROYECTO (formulado)2]],[2]PROYECTOS!$G$1:$L$32,6,0)</f>
        <v>SUBGERENCIA DE ALTOS LOGROS Y DEPORTE ASOCIADO</v>
      </c>
      <c r="D855" s="47" t="str">
        <f>+IF(PAA_4[[#This Row],[UNIDAD DE CONTRATACION (formulado)]]="Subgerencia Administrativa y Financiera","FUNCIONAMIENTO","INVERSIÓN")</f>
        <v>INVERSIÓN</v>
      </c>
      <c r="E855" s="48" t="str">
        <f>VLOOKUP(Q855,[2]PROYECTOS!$G$1:$K$32,5,0)</f>
        <v>FORTALECIMIENTO_DEL_PROGRAMA_DE_ALTOS_LOGROS_Y_LIDERAZGO_DEPORTIVO_EN_EL_DEPARTAMENTO_DE_ANTIOQUIA</v>
      </c>
      <c r="F855" s="48">
        <f>VLOOKUP(E855,[2]PROYECTOS!$K$1:$M$32,3,0)</f>
        <v>2020003050021</v>
      </c>
      <c r="G855" s="67" t="s">
        <v>235</v>
      </c>
      <c r="H855" s="49" t="str">
        <f>VLOOKUP(Q855,[2]PROYECTOS!$V$1:$W$32,2,0)</f>
        <v>050061</v>
      </c>
      <c r="I855" s="50">
        <f>60965336-7998244</f>
        <v>52967092</v>
      </c>
      <c r="J855" s="340" t="s">
        <v>1776</v>
      </c>
      <c r="K855" s="47" t="str">
        <f t="shared" ca="1" si="292"/>
        <v>CONTRATADO</v>
      </c>
      <c r="L855" s="351" t="s">
        <v>94</v>
      </c>
      <c r="M855" s="47" t="s">
        <v>1297</v>
      </c>
      <c r="N855" s="52" t="s">
        <v>225</v>
      </c>
      <c r="O855" s="51" t="e">
        <f>VLOOKUP(N855,[2]!RUBROS[#All],3,0)</f>
        <v>#REF!</v>
      </c>
      <c r="P855" s="53" t="e">
        <f>VLOOKUP(N855,[2]!RUBROS[#All],2,0)</f>
        <v>#REF!</v>
      </c>
      <c r="Q855" s="47" t="str">
        <f t="shared" si="293"/>
        <v>20</v>
      </c>
      <c r="R855" s="47" t="str">
        <f t="shared" si="294"/>
        <v>4-101124</v>
      </c>
      <c r="S855" s="342">
        <v>170</v>
      </c>
      <c r="T855" s="63" t="s">
        <v>120</v>
      </c>
      <c r="U855" s="326" t="e">
        <f ca="1">_xlfn.XLOOKUP(PAA_4[[#This Row],[ITEM]],[2]Contrato!A:A,[2]Contrato!Q:Q,"",0)</f>
        <v>#NAME?</v>
      </c>
      <c r="V855" s="47" t="s">
        <v>47</v>
      </c>
      <c r="W855" s="343" t="s">
        <v>193</v>
      </c>
      <c r="X855" s="343" t="s">
        <v>193</v>
      </c>
      <c r="Y855" s="55" t="e">
        <f ca="1">_xlfn.XLOOKUP(PAA_4[[#This Row],[ITEM]],[2]Contrato!A:A,[2]Contrato!B:B,"",0)</f>
        <v>#NAME?</v>
      </c>
      <c r="Z855" s="47" t="e">
        <f ca="1">_xlfn.XLOOKUP(PAA_4[[#This Row],[ITEM]],[2]Contrato!A:A,[2]Contrato!G:G,"",0)</f>
        <v>#NAME?</v>
      </c>
      <c r="AA855" s="47" t="e">
        <f ca="1">_xlfn.XLOOKUP(PAA_4[[#This Row],[ITEM]],[2]Contrato!A:A,[2]Contrato!T:T,"",0)</f>
        <v>#NAME?</v>
      </c>
      <c r="AB855" s="55" t="e">
        <f ca="1">+MAX(PAA_4[[#This Row],[Comprometido Contrato]],PAA_4[[#This Row],[Comprometido Bolsa]])</f>
        <v>#NAME?</v>
      </c>
      <c r="AC855" s="55" t="str">
        <f t="shared" ca="1" si="295"/>
        <v/>
      </c>
      <c r="AD855" s="55" t="e">
        <f ca="1">IF(PAA_4[[#This Row],[ESTADO (formulado)]]="NO CONTRATADO",0,MAX(PAA_4[[#This Row],[Pago por Contrato]],PAA_4[[#This Row],[Pago por bolsa]]))</f>
        <v>#NAME?</v>
      </c>
      <c r="AE855" s="55" t="str">
        <f t="shared" ca="1" si="296"/>
        <v/>
      </c>
      <c r="AF855" s="47" t="e">
        <f t="shared" ca="1" si="297"/>
        <v>#NAME?</v>
      </c>
      <c r="AG855" s="47">
        <f t="shared" si="298"/>
        <v>41080111</v>
      </c>
      <c r="AH855" s="54">
        <f>IF(Q855="22",IF(ISNUMBER(SEARCH("econ",PAA_4[[#This Row],[Actividad3]])),"Económico",IF(ISNUMBER(SEARCH("alim",PAA_4[[#This Row],[Actividad3]])),"Alimentación",IF(ISNUMBER(SEARCH("educ",PAA_4[[#This Row],[Actividad3]])),"Educativo","Técnico"))),0)</f>
        <v>0</v>
      </c>
      <c r="AI855" s="47" t="e" cm="1">
        <f t="array" aca="1" ref="AI855" ca="1">_xlfn.XLOOKUP(PAA_4[[#This Row],[RCP-RUBRO]],[2]!COMPROMISOS_2024[[#All],[concatenado]],[2]!COMPROMISOS_2024[[#All],[Total pagado]],"",0)</f>
        <v>#NAME?</v>
      </c>
      <c r="AJ855" s="56">
        <f>IF(PAA_4[[#This Row],[BOLSA]]=0,0,SUMIFS([2]!COMPROMISOS_2024[[#All],[Total pagado]],[2]!COMPROMISOS_2024[[#All],[Bolsa]],PAA_4[[#This Row],[BOLSA]],[2]!COMPROMISOS_2024[[#All],[rubro]],PAA_4[[#This Row],[RCP-RUBRO]]))</f>
        <v>0</v>
      </c>
      <c r="AK855" s="47" t="e" cm="1">
        <f t="array" aca="1" ref="AK855" ca="1">_xlfn.XLOOKUP(PAA_4[[#This Row],[RCP-RUBRO]],[2]!COMPROMISOS_2024[[#All],[concatenado]],[2]!COMPROMISOS_2024[[#All],[Total Comprometido]],"",0)</f>
        <v>#NAME?</v>
      </c>
      <c r="AL855" s="47">
        <f>IF(PAA_4[[#This Row],[BOLSA]]=0,0,SUMIFS([2]!COMPROMISOS_2024[[#All],[Total Comprometido]],[2]!COMPROMISOS_2024[[#All],[Bolsa]],PAA_4[[#This Row],[BOLSA]],[2]!COMPROMISOS_2024[[#All],[concatenado]],PAA_4[[#This Row],[RCP-RUBRO]]))</f>
        <v>0</v>
      </c>
    </row>
    <row r="856" spans="1:38" s="19" customFormat="1" ht="31.5" customHeight="1">
      <c r="A856" s="47" t="s">
        <v>82</v>
      </c>
      <c r="B856" s="51">
        <v>80111600</v>
      </c>
      <c r="C856" s="47" t="str">
        <f>VLOOKUP(PAA_4[[#This Row],[PROYECTO (formulado)2]],[2]PROYECTOS!$G$1:$L$32,6,0)</f>
        <v>SUBGERENCIA DE ALTOS LOGROS Y DEPORTE ASOCIADO</v>
      </c>
      <c r="D856" s="47" t="str">
        <f>+IF(PAA_4[[#This Row],[UNIDAD DE CONTRATACION (formulado)]]="Subgerencia Administrativa y Financiera","FUNCIONAMIENTO","INVERSIÓN")</f>
        <v>INVERSIÓN</v>
      </c>
      <c r="E856" s="48" t="str">
        <f>VLOOKUP(Q856,[2]PROYECTOS!$G$1:$K$32,5,0)</f>
        <v>FORTALECIMIENTO_DEL_PROGRAMA_DE_ALTOS_LOGROS_Y_LIDERAZGO_DEPORTIVO_EN_EL_DEPARTAMENTO_DE_ANTIOQUIA</v>
      </c>
      <c r="F856" s="48">
        <f>VLOOKUP(E856,[2]PROYECTOS!$K$1:$M$32,3,0)</f>
        <v>2020003050021</v>
      </c>
      <c r="G856" s="67" t="s">
        <v>235</v>
      </c>
      <c r="H856" s="49" t="str">
        <f>VLOOKUP(Q856,[2]PROYECTOS!$V$1:$W$32,2,0)</f>
        <v>050061</v>
      </c>
      <c r="I856" s="50">
        <v>0</v>
      </c>
      <c r="J856" s="340" t="s">
        <v>42</v>
      </c>
      <c r="K856" s="47" t="str">
        <f t="shared" ca="1" si="292"/>
        <v>CONTRATADO</v>
      </c>
      <c r="L856" s="351" t="s">
        <v>94</v>
      </c>
      <c r="M856" s="47" t="s">
        <v>1297</v>
      </c>
      <c r="N856" s="52" t="s">
        <v>225</v>
      </c>
      <c r="O856" s="51" t="e">
        <f>VLOOKUP(N856,[2]!RUBROS[#All],3,0)</f>
        <v>#REF!</v>
      </c>
      <c r="P856" s="53" t="e">
        <f>VLOOKUP(N856,[2]!RUBROS[#All],2,0)</f>
        <v>#REF!</v>
      </c>
      <c r="Q856" s="47" t="str">
        <f t="shared" si="293"/>
        <v>20</v>
      </c>
      <c r="R856" s="47" t="str">
        <f t="shared" si="294"/>
        <v>4-101124</v>
      </c>
      <c r="S856" s="342">
        <v>170</v>
      </c>
      <c r="T856" s="63" t="s">
        <v>120</v>
      </c>
      <c r="U856" s="326" t="e">
        <f ca="1">_xlfn.XLOOKUP(PAA_4[[#This Row],[ITEM]],[2]Contrato!A:A,[2]Contrato!Q:Q,"",0)</f>
        <v>#NAME?</v>
      </c>
      <c r="V856" s="47" t="s">
        <v>47</v>
      </c>
      <c r="W856" s="343" t="s">
        <v>193</v>
      </c>
      <c r="X856" s="343" t="s">
        <v>193</v>
      </c>
      <c r="Y856" s="55" t="e">
        <f ca="1">_xlfn.XLOOKUP(PAA_4[[#This Row],[ITEM]],[2]Contrato!A:A,[2]Contrato!B:B,"",0)</f>
        <v>#NAME?</v>
      </c>
      <c r="Z856" s="47" t="e">
        <f ca="1">_xlfn.XLOOKUP(PAA_4[[#This Row],[ITEM]],[2]Contrato!A:A,[2]Contrato!G:G,"",0)</f>
        <v>#NAME?</v>
      </c>
      <c r="AA856" s="47" t="e">
        <f ca="1">_xlfn.XLOOKUP(PAA_4[[#This Row],[ITEM]],[2]Contrato!A:A,[2]Contrato!T:T,"",0)</f>
        <v>#NAME?</v>
      </c>
      <c r="AB856" s="55" t="e">
        <f ca="1">+MAX(PAA_4[[#This Row],[Comprometido Contrato]],PAA_4[[#This Row],[Comprometido Bolsa]])</f>
        <v>#NAME?</v>
      </c>
      <c r="AC856" s="55" t="str">
        <f t="shared" ca="1" si="295"/>
        <v/>
      </c>
      <c r="AD856" s="55" t="e">
        <f ca="1">IF(PAA_4[[#This Row],[ESTADO (formulado)]]="NO CONTRATADO",0,MAX(PAA_4[[#This Row],[Pago por Contrato]],PAA_4[[#This Row],[Pago por bolsa]]))</f>
        <v>#NAME?</v>
      </c>
      <c r="AE856" s="55" t="str">
        <f t="shared" ca="1" si="296"/>
        <v/>
      </c>
      <c r="AF856" s="47" t="e">
        <f t="shared" ca="1" si="297"/>
        <v>#NAME?</v>
      </c>
      <c r="AG856" s="47">
        <f t="shared" si="298"/>
        <v>41080111</v>
      </c>
      <c r="AH856" s="54">
        <f>IF(Q856="22",IF(ISNUMBER(SEARCH("econ",PAA_4[[#This Row],[Actividad3]])),"Económico",IF(ISNUMBER(SEARCH("alim",PAA_4[[#This Row],[Actividad3]])),"Alimentación",IF(ISNUMBER(SEARCH("educ",PAA_4[[#This Row],[Actividad3]])),"Educativo","Técnico"))),0)</f>
        <v>0</v>
      </c>
      <c r="AI856" s="47" t="e" cm="1">
        <f t="array" aca="1" ref="AI856" ca="1">_xlfn.XLOOKUP(PAA_4[[#This Row],[RCP-RUBRO]],[2]!COMPROMISOS_2024[[#All],[concatenado]],[2]!COMPROMISOS_2024[[#All],[Total pagado]],"",0)</f>
        <v>#NAME?</v>
      </c>
      <c r="AJ856" s="56">
        <f>IF(PAA_4[[#This Row],[BOLSA]]=0,0,SUMIFS([2]!COMPROMISOS_2024[[#All],[Total pagado]],[2]!COMPROMISOS_2024[[#All],[Bolsa]],PAA_4[[#This Row],[BOLSA]],[2]!COMPROMISOS_2024[[#All],[rubro]],PAA_4[[#This Row],[RCP-RUBRO]]))</f>
        <v>0</v>
      </c>
      <c r="AK856" s="47" t="e" cm="1">
        <f t="array" aca="1" ref="AK856" ca="1">_xlfn.XLOOKUP(PAA_4[[#This Row],[RCP-RUBRO]],[2]!COMPROMISOS_2024[[#All],[concatenado]],[2]!COMPROMISOS_2024[[#All],[Total Comprometido]],"",0)</f>
        <v>#NAME?</v>
      </c>
      <c r="AL856" s="47">
        <f>IF(PAA_4[[#This Row],[BOLSA]]=0,0,SUMIFS([2]!COMPROMISOS_2024[[#All],[Total Comprometido]],[2]!COMPROMISOS_2024[[#All],[Bolsa]],PAA_4[[#This Row],[BOLSA]],[2]!COMPROMISOS_2024[[#All],[concatenado]],PAA_4[[#This Row],[RCP-RUBRO]]))</f>
        <v>0</v>
      </c>
    </row>
    <row r="857" spans="1:38" s="19" customFormat="1" ht="31.5" customHeight="1">
      <c r="A857" s="47">
        <v>725</v>
      </c>
      <c r="B857" s="51">
        <v>80111600</v>
      </c>
      <c r="C857" s="47" t="str">
        <f>VLOOKUP(PAA_4[[#This Row],[PROYECTO (formulado)2]],[2]PROYECTOS!$G$1:$L$32,6,0)</f>
        <v>SUBGERENCIA DE ALTOS LOGROS Y DEPORTE ASOCIADO</v>
      </c>
      <c r="D857" s="47" t="str">
        <f>+IF(PAA_4[[#This Row],[UNIDAD DE CONTRATACION (formulado)]]="Subgerencia Administrativa y Financiera","FUNCIONAMIENTO","INVERSIÓN")</f>
        <v>INVERSIÓN</v>
      </c>
      <c r="E857" s="48" t="str">
        <f>VLOOKUP(Q857,[2]PROYECTOS!$G$1:$K$32,5,0)</f>
        <v>APOYO_TÉCNICO_Y_PSICOSOCIAL_A_LOS_DEPORTISTAS_DE_ANTIOQUIA</v>
      </c>
      <c r="F857" s="48">
        <f>VLOOKUP(E857,[2]PROYECTOS!$K$1:$M$32,3,0)</f>
        <v>2021003050069</v>
      </c>
      <c r="G857" s="67" t="s">
        <v>239</v>
      </c>
      <c r="H857" s="49" t="str">
        <f>VLOOKUP(Q857,[2]PROYECTOS!$V$1:$W$32,2,0)</f>
        <v>050069</v>
      </c>
      <c r="I857" s="50">
        <f>65427768-10149834</f>
        <v>55277934</v>
      </c>
      <c r="J857" s="340" t="s">
        <v>1777</v>
      </c>
      <c r="K857" s="47" t="str">
        <f t="shared" ca="1" si="292"/>
        <v>CONTRATADO</v>
      </c>
      <c r="L857" s="351" t="s">
        <v>94</v>
      </c>
      <c r="M857" s="47" t="s">
        <v>1297</v>
      </c>
      <c r="N857" s="52" t="s">
        <v>240</v>
      </c>
      <c r="O857" s="51" t="e">
        <f>VLOOKUP(N857,[2]!RUBROS[#All],3,0)</f>
        <v>#REF!</v>
      </c>
      <c r="P857" s="53" t="e">
        <f>VLOOKUP(N857,[2]!RUBROS[#All],2,0)</f>
        <v>#REF!</v>
      </c>
      <c r="Q857" s="47" t="str">
        <f t="shared" si="293"/>
        <v>22</v>
      </c>
      <c r="R857" s="47" t="str">
        <f t="shared" si="294"/>
        <v>0-205400</v>
      </c>
      <c r="S857" s="357">
        <v>200</v>
      </c>
      <c r="T857" s="63" t="s">
        <v>120</v>
      </c>
      <c r="U857" s="326" t="e">
        <f ca="1">_xlfn.XLOOKUP(PAA_4[[#This Row],[ITEM]],[2]Contrato!A:A,[2]Contrato!Q:Q,"",0)</f>
        <v>#NAME?</v>
      </c>
      <c r="V857" s="47" t="s">
        <v>47</v>
      </c>
      <c r="W857" s="343" t="s">
        <v>154</v>
      </c>
      <c r="X857" s="343" t="s">
        <v>154</v>
      </c>
      <c r="Y857" s="55" t="e">
        <f ca="1">_xlfn.XLOOKUP(PAA_4[[#This Row],[ITEM]],[2]Contrato!A:A,[2]Contrato!B:B,"",0)</f>
        <v>#NAME?</v>
      </c>
      <c r="Z857" s="47" t="e">
        <f ca="1">_xlfn.XLOOKUP(PAA_4[[#This Row],[ITEM]],[2]Contrato!A:A,[2]Contrato!G:G,"",0)</f>
        <v>#NAME?</v>
      </c>
      <c r="AA857" s="47" t="e">
        <f ca="1">_xlfn.XLOOKUP(PAA_4[[#This Row],[ITEM]],[2]Contrato!A:A,[2]Contrato!T:T,"",0)</f>
        <v>#NAME?</v>
      </c>
      <c r="AB857" s="55" t="e">
        <f ca="1">+MAX(PAA_4[[#This Row],[Comprometido Contrato]],PAA_4[[#This Row],[Comprometido Bolsa]])</f>
        <v>#NAME?</v>
      </c>
      <c r="AC857" s="55" t="str">
        <f t="shared" ca="1" si="295"/>
        <v/>
      </c>
      <c r="AD857" s="55" t="e">
        <f ca="1">IF(PAA_4[[#This Row],[ESTADO (formulado)]]="NO CONTRATADO",0,MAX(PAA_4[[#This Row],[Pago por Contrato]],PAA_4[[#This Row],[Pago por bolsa]]))</f>
        <v>#NAME?</v>
      </c>
      <c r="AE857" s="55" t="str">
        <f t="shared" ca="1" si="296"/>
        <v/>
      </c>
      <c r="AF857" s="47" t="e">
        <f t="shared" ca="1" si="297"/>
        <v>#NAME?</v>
      </c>
      <c r="AG857" s="47">
        <f t="shared" si="298"/>
        <v>41080101</v>
      </c>
      <c r="AH857" s="54" t="str">
        <f>IF(Q857="22",IF(ISNUMBER(SEARCH("econ",PAA_4[[#This Row],[Actividad3]])),"Económico",IF(ISNUMBER(SEARCH("alim",PAA_4[[#This Row],[Actividad3]])),"Alimentación",IF(ISNUMBER(SEARCH("educ",PAA_4[[#This Row],[Actividad3]])),"Educativo","Técnico"))),0)</f>
        <v>Técnico</v>
      </c>
      <c r="AI857" s="47" t="e" cm="1">
        <f t="array" aca="1" ref="AI857" ca="1">_xlfn.XLOOKUP(PAA_4[[#This Row],[RCP-RUBRO]],[2]!COMPROMISOS_2024[[#All],[concatenado]],[2]!COMPROMISOS_2024[[#All],[Total pagado]],"",0)</f>
        <v>#NAME?</v>
      </c>
      <c r="AJ857" s="56" t="e">
        <f ca="1">IF(PAA_4[[#This Row],[BOLSA]]=0,0,SUMIFS([2]!COMPROMISOS_2024[[#All],[Total pagado]],[2]!COMPROMISOS_2024[[#All],[Bolsa]],PAA_4[[#This Row],[BOLSA]],[2]!COMPROMISOS_2024[[#All],[rubro]],PAA_4[[#This Row],[RCP-RUBRO]]))</f>
        <v>#REF!</v>
      </c>
      <c r="AK857" s="47" t="e" cm="1">
        <f t="array" aca="1" ref="AK857" ca="1">_xlfn.XLOOKUP(PAA_4[[#This Row],[RCP-RUBRO]],[2]!COMPROMISOS_2024[[#All],[concatenado]],[2]!COMPROMISOS_2024[[#All],[Total Comprometido]],"",0)</f>
        <v>#NAME?</v>
      </c>
      <c r="AL857" s="47" t="e">
        <f ca="1">IF(PAA_4[[#This Row],[BOLSA]]=0,0,SUMIFS([2]!COMPROMISOS_2024[[#All],[Total Comprometido]],[2]!COMPROMISOS_2024[[#All],[Bolsa]],PAA_4[[#This Row],[BOLSA]],[2]!COMPROMISOS_2024[[#All],[concatenado]],PAA_4[[#This Row],[RCP-RUBRO]]))</f>
        <v>#REF!</v>
      </c>
    </row>
    <row r="858" spans="1:38" s="19" customFormat="1" ht="31.5" customHeight="1">
      <c r="A858" s="47">
        <v>726</v>
      </c>
      <c r="B858" s="51">
        <v>80111600</v>
      </c>
      <c r="C858" s="47" t="str">
        <f>VLOOKUP(PAA_4[[#This Row],[PROYECTO (formulado)2]],[2]PROYECTOS!$G$1:$L$32,6,0)</f>
        <v>SUBGERENCIA DE ALTOS LOGROS Y DEPORTE ASOCIADO</v>
      </c>
      <c r="D858" s="47" t="str">
        <f>+IF(PAA_4[[#This Row],[UNIDAD DE CONTRATACION (formulado)]]="Subgerencia Administrativa y Financiera","FUNCIONAMIENTO","INVERSIÓN")</f>
        <v>INVERSIÓN</v>
      </c>
      <c r="E858" s="48" t="str">
        <f>VLOOKUP(Q858,[2]PROYECTOS!$G$1:$K$32,5,0)</f>
        <v>APOYO_TÉCNICO_Y_PSICOSOCIAL_A_LOS_DEPORTISTAS_DE_ANTIOQUIA</v>
      </c>
      <c r="F858" s="48">
        <f>VLOOKUP(E858,[2]PROYECTOS!$K$1:$M$32,3,0)</f>
        <v>2021003050069</v>
      </c>
      <c r="G858" s="67" t="s">
        <v>239</v>
      </c>
      <c r="H858" s="49" t="str">
        <f>VLOOKUP(Q858,[2]PROYECTOS!$V$1:$W$32,2,0)</f>
        <v>050069</v>
      </c>
      <c r="I858" s="50">
        <f>65427768-10149834-1</f>
        <v>55277933</v>
      </c>
      <c r="J858" s="340" t="s">
        <v>1777</v>
      </c>
      <c r="K858" s="47" t="str">
        <f t="shared" ca="1" si="292"/>
        <v>CONTRATADO</v>
      </c>
      <c r="L858" s="351" t="s">
        <v>94</v>
      </c>
      <c r="M858" s="47" t="s">
        <v>1297</v>
      </c>
      <c r="N858" s="52" t="s">
        <v>240</v>
      </c>
      <c r="O858" s="51" t="e">
        <f>VLOOKUP(N858,[2]!RUBROS[#All],3,0)</f>
        <v>#REF!</v>
      </c>
      <c r="P858" s="53" t="e">
        <f>VLOOKUP(N858,[2]!RUBROS[#All],2,0)</f>
        <v>#REF!</v>
      </c>
      <c r="Q858" s="47" t="str">
        <f t="shared" si="293"/>
        <v>22</v>
      </c>
      <c r="R858" s="47" t="str">
        <f t="shared" si="294"/>
        <v>0-205400</v>
      </c>
      <c r="S858" s="357">
        <v>200</v>
      </c>
      <c r="T858" s="63" t="s">
        <v>120</v>
      </c>
      <c r="U858" s="326" t="e">
        <f ca="1">_xlfn.XLOOKUP(PAA_4[[#This Row],[ITEM]],[2]Contrato!A:A,[2]Contrato!Q:Q,"",0)</f>
        <v>#NAME?</v>
      </c>
      <c r="V858" s="47" t="s">
        <v>47</v>
      </c>
      <c r="W858" s="343" t="s">
        <v>154</v>
      </c>
      <c r="X858" s="343" t="s">
        <v>154</v>
      </c>
      <c r="Y858" s="55" t="e">
        <f ca="1">_xlfn.XLOOKUP(PAA_4[[#This Row],[ITEM]],[2]Contrato!A:A,[2]Contrato!B:B,"",0)</f>
        <v>#NAME?</v>
      </c>
      <c r="Z858" s="47" t="e">
        <f ca="1">_xlfn.XLOOKUP(PAA_4[[#This Row],[ITEM]],[2]Contrato!A:A,[2]Contrato!G:G,"",0)</f>
        <v>#NAME?</v>
      </c>
      <c r="AA858" s="47" t="e">
        <f ca="1">_xlfn.XLOOKUP(PAA_4[[#This Row],[ITEM]],[2]Contrato!A:A,[2]Contrato!T:T,"",0)</f>
        <v>#NAME?</v>
      </c>
      <c r="AB858" s="55" t="e">
        <f ca="1">+MAX(PAA_4[[#This Row],[Comprometido Contrato]],PAA_4[[#This Row],[Comprometido Bolsa]])</f>
        <v>#NAME?</v>
      </c>
      <c r="AC858" s="55" t="str">
        <f t="shared" ca="1" si="295"/>
        <v/>
      </c>
      <c r="AD858" s="55" t="e">
        <f ca="1">IF(PAA_4[[#This Row],[ESTADO (formulado)]]="NO CONTRATADO",0,MAX(PAA_4[[#This Row],[Pago por Contrato]],PAA_4[[#This Row],[Pago por bolsa]]))</f>
        <v>#NAME?</v>
      </c>
      <c r="AE858" s="55" t="str">
        <f t="shared" ca="1" si="296"/>
        <v/>
      </c>
      <c r="AF858" s="47" t="e">
        <f t="shared" ca="1" si="297"/>
        <v>#NAME?</v>
      </c>
      <c r="AG858" s="47">
        <f t="shared" si="298"/>
        <v>41080101</v>
      </c>
      <c r="AH858" s="54" t="str">
        <f>IF(Q858="22",IF(ISNUMBER(SEARCH("econ",PAA_4[[#This Row],[Actividad3]])),"Económico",IF(ISNUMBER(SEARCH("alim",PAA_4[[#This Row],[Actividad3]])),"Alimentación",IF(ISNUMBER(SEARCH("educ",PAA_4[[#This Row],[Actividad3]])),"Educativo","Técnico"))),0)</f>
        <v>Técnico</v>
      </c>
      <c r="AI858" s="47" t="e" cm="1">
        <f t="array" aca="1" ref="AI858" ca="1">_xlfn.XLOOKUP(PAA_4[[#This Row],[RCP-RUBRO]],[2]!COMPROMISOS_2024[[#All],[concatenado]],[2]!COMPROMISOS_2024[[#All],[Total pagado]],"",0)</f>
        <v>#NAME?</v>
      </c>
      <c r="AJ858" s="56" t="e">
        <f ca="1">IF(PAA_4[[#This Row],[BOLSA]]=0,0,SUMIFS([2]!COMPROMISOS_2024[[#All],[Total pagado]],[2]!COMPROMISOS_2024[[#All],[Bolsa]],PAA_4[[#This Row],[BOLSA]],[2]!COMPROMISOS_2024[[#All],[rubro]],PAA_4[[#This Row],[RCP-RUBRO]]))</f>
        <v>#REF!</v>
      </c>
      <c r="AK858" s="47" t="e" cm="1">
        <f t="array" aca="1" ref="AK858" ca="1">_xlfn.XLOOKUP(PAA_4[[#This Row],[RCP-RUBRO]],[2]!COMPROMISOS_2024[[#All],[concatenado]],[2]!COMPROMISOS_2024[[#All],[Total Comprometido]],"",0)</f>
        <v>#NAME?</v>
      </c>
      <c r="AL858" s="47" t="e">
        <f ca="1">IF(PAA_4[[#This Row],[BOLSA]]=0,0,SUMIFS([2]!COMPROMISOS_2024[[#All],[Total Comprometido]],[2]!COMPROMISOS_2024[[#All],[Bolsa]],PAA_4[[#This Row],[BOLSA]],[2]!COMPROMISOS_2024[[#All],[concatenado]],PAA_4[[#This Row],[RCP-RUBRO]]))</f>
        <v>#REF!</v>
      </c>
    </row>
    <row r="859" spans="1:38" s="19" customFormat="1" ht="31.5" customHeight="1">
      <c r="A859" s="47">
        <v>727</v>
      </c>
      <c r="B859" s="51">
        <v>80111600</v>
      </c>
      <c r="C859" s="47" t="str">
        <f>VLOOKUP(PAA_4[[#This Row],[PROYECTO (formulado)2]],[2]PROYECTOS!$G$1:$L$32,6,0)</f>
        <v>SUBGERENCIA DE ALTOS LOGROS Y DEPORTE ASOCIADO</v>
      </c>
      <c r="D859" s="47" t="str">
        <f>+IF(PAA_4[[#This Row],[UNIDAD DE CONTRATACION (formulado)]]="Subgerencia Administrativa y Financiera","FUNCIONAMIENTO","INVERSIÓN")</f>
        <v>INVERSIÓN</v>
      </c>
      <c r="E859" s="48" t="str">
        <f>VLOOKUP(Q859,[2]PROYECTOS!$G$1:$K$32,5,0)</f>
        <v>APOYO_TÉCNICO_Y_PSICOSOCIAL_A_LOS_DEPORTISTAS_DE_ANTIOQUIA</v>
      </c>
      <c r="F859" s="48">
        <f>VLOOKUP(E859,[2]PROYECTOS!$K$1:$M$32,3,0)</f>
        <v>2021003050069</v>
      </c>
      <c r="G859" s="67" t="s">
        <v>239</v>
      </c>
      <c r="H859" s="49" t="str">
        <f>VLOOKUP(Q859,[2]PROYECTOS!$V$1:$W$32,2,0)</f>
        <v>050069</v>
      </c>
      <c r="I859" s="50">
        <f>65427768-10149834</f>
        <v>55277934</v>
      </c>
      <c r="J859" s="340" t="s">
        <v>1777</v>
      </c>
      <c r="K859" s="47" t="str">
        <f t="shared" ca="1" si="292"/>
        <v>CONTRATADO</v>
      </c>
      <c r="L859" s="351" t="s">
        <v>94</v>
      </c>
      <c r="M859" s="47" t="s">
        <v>1297</v>
      </c>
      <c r="N859" s="52" t="s">
        <v>240</v>
      </c>
      <c r="O859" s="51" t="e">
        <f>VLOOKUP(N859,[2]!RUBROS[#All],3,0)</f>
        <v>#REF!</v>
      </c>
      <c r="P859" s="53" t="e">
        <f>VLOOKUP(N859,[2]!RUBROS[#All],2,0)</f>
        <v>#REF!</v>
      </c>
      <c r="Q859" s="47" t="str">
        <f t="shared" si="293"/>
        <v>22</v>
      </c>
      <c r="R859" s="47" t="str">
        <f t="shared" si="294"/>
        <v>0-205400</v>
      </c>
      <c r="S859" s="357">
        <v>200</v>
      </c>
      <c r="T859" s="63" t="s">
        <v>120</v>
      </c>
      <c r="U859" s="326" t="e">
        <f ca="1">_xlfn.XLOOKUP(PAA_4[[#This Row],[ITEM]],[2]Contrato!A:A,[2]Contrato!Q:Q,"",0)</f>
        <v>#NAME?</v>
      </c>
      <c r="V859" s="47" t="s">
        <v>47</v>
      </c>
      <c r="W859" s="343" t="s">
        <v>154</v>
      </c>
      <c r="X859" s="343" t="s">
        <v>154</v>
      </c>
      <c r="Y859" s="55" t="e">
        <f ca="1">_xlfn.XLOOKUP(PAA_4[[#This Row],[ITEM]],[2]Contrato!A:A,[2]Contrato!B:B,"",0)</f>
        <v>#NAME?</v>
      </c>
      <c r="Z859" s="47" t="e">
        <f ca="1">_xlfn.XLOOKUP(PAA_4[[#This Row],[ITEM]],[2]Contrato!A:A,[2]Contrato!G:G,"",0)</f>
        <v>#NAME?</v>
      </c>
      <c r="AA859" s="47" t="e">
        <f ca="1">_xlfn.XLOOKUP(PAA_4[[#This Row],[ITEM]],[2]Contrato!A:A,[2]Contrato!T:T,"",0)</f>
        <v>#NAME?</v>
      </c>
      <c r="AB859" s="55" t="e">
        <f ca="1">+MAX(PAA_4[[#This Row],[Comprometido Contrato]],PAA_4[[#This Row],[Comprometido Bolsa]])</f>
        <v>#NAME?</v>
      </c>
      <c r="AC859" s="55" t="str">
        <f t="shared" ca="1" si="295"/>
        <v/>
      </c>
      <c r="AD859" s="55" t="e">
        <f ca="1">IF(PAA_4[[#This Row],[ESTADO (formulado)]]="NO CONTRATADO",0,MAX(PAA_4[[#This Row],[Pago por Contrato]],PAA_4[[#This Row],[Pago por bolsa]]))</f>
        <v>#NAME?</v>
      </c>
      <c r="AE859" s="55" t="str">
        <f t="shared" ca="1" si="296"/>
        <v/>
      </c>
      <c r="AF859" s="47" t="e">
        <f t="shared" ca="1" si="297"/>
        <v>#NAME?</v>
      </c>
      <c r="AG859" s="47">
        <f t="shared" si="298"/>
        <v>41080101</v>
      </c>
      <c r="AH859" s="54" t="str">
        <f>IF(Q859="22",IF(ISNUMBER(SEARCH("econ",PAA_4[[#This Row],[Actividad3]])),"Económico",IF(ISNUMBER(SEARCH("alim",PAA_4[[#This Row],[Actividad3]])),"Alimentación",IF(ISNUMBER(SEARCH("educ",PAA_4[[#This Row],[Actividad3]])),"Educativo","Técnico"))),0)</f>
        <v>Técnico</v>
      </c>
      <c r="AI859" s="47" t="e" cm="1">
        <f t="array" aca="1" ref="AI859" ca="1">_xlfn.XLOOKUP(PAA_4[[#This Row],[RCP-RUBRO]],[2]!COMPROMISOS_2024[[#All],[concatenado]],[2]!COMPROMISOS_2024[[#All],[Total pagado]],"",0)</f>
        <v>#NAME?</v>
      </c>
      <c r="AJ859" s="56" t="e">
        <f ca="1">IF(PAA_4[[#This Row],[BOLSA]]=0,0,SUMIFS([2]!COMPROMISOS_2024[[#All],[Total pagado]],[2]!COMPROMISOS_2024[[#All],[Bolsa]],PAA_4[[#This Row],[BOLSA]],[2]!COMPROMISOS_2024[[#All],[rubro]],PAA_4[[#This Row],[RCP-RUBRO]]))</f>
        <v>#REF!</v>
      </c>
      <c r="AK859" s="47" t="e" cm="1">
        <f t="array" aca="1" ref="AK859" ca="1">_xlfn.XLOOKUP(PAA_4[[#This Row],[RCP-RUBRO]],[2]!COMPROMISOS_2024[[#All],[concatenado]],[2]!COMPROMISOS_2024[[#All],[Total Comprometido]],"",0)</f>
        <v>#NAME?</v>
      </c>
      <c r="AL859" s="47" t="e">
        <f ca="1">IF(PAA_4[[#This Row],[BOLSA]]=0,0,SUMIFS([2]!COMPROMISOS_2024[[#All],[Total Comprometido]],[2]!COMPROMISOS_2024[[#All],[Bolsa]],PAA_4[[#This Row],[BOLSA]],[2]!COMPROMISOS_2024[[#All],[concatenado]],PAA_4[[#This Row],[RCP-RUBRO]]))</f>
        <v>#REF!</v>
      </c>
    </row>
    <row r="860" spans="1:38" s="19" customFormat="1" ht="31.5" customHeight="1">
      <c r="A860" s="47">
        <v>728</v>
      </c>
      <c r="B860" s="51">
        <v>80111600</v>
      </c>
      <c r="C860" s="47" t="str">
        <f>VLOOKUP(PAA_4[[#This Row],[PROYECTO (formulado)2]],[2]PROYECTOS!$G$1:$L$32,6,0)</f>
        <v>SUBGERENCIA DE ALTOS LOGROS Y DEPORTE ASOCIADO</v>
      </c>
      <c r="D860" s="47" t="str">
        <f>+IF(PAA_4[[#This Row],[UNIDAD DE CONTRATACION (formulado)]]="Subgerencia Administrativa y Financiera","FUNCIONAMIENTO","INVERSIÓN")</f>
        <v>INVERSIÓN</v>
      </c>
      <c r="E860" s="48" t="str">
        <f>VLOOKUP(Q860,[2]PROYECTOS!$G$1:$K$32,5,0)</f>
        <v>APOYO_TÉCNICO_Y_PSICOSOCIAL_A_LOS_DEPORTISTAS_DE_ANTIOQUIA</v>
      </c>
      <c r="F860" s="48">
        <f>VLOOKUP(E860,[2]PROYECTOS!$K$1:$M$32,3,0)</f>
        <v>2021003050069</v>
      </c>
      <c r="G860" s="67" t="s">
        <v>239</v>
      </c>
      <c r="H860" s="49" t="str">
        <f>VLOOKUP(Q860,[2]PROYECTOS!$V$1:$W$32,2,0)</f>
        <v>050069</v>
      </c>
      <c r="I860" s="50">
        <f>65427768-10149834</f>
        <v>55277934</v>
      </c>
      <c r="J860" s="340" t="s">
        <v>1777</v>
      </c>
      <c r="K860" s="47" t="str">
        <f t="shared" ca="1" si="292"/>
        <v>CONTRATADO</v>
      </c>
      <c r="L860" s="351" t="s">
        <v>94</v>
      </c>
      <c r="M860" s="47" t="s">
        <v>1297</v>
      </c>
      <c r="N860" s="52" t="s">
        <v>240</v>
      </c>
      <c r="O860" s="51" t="e">
        <f>VLOOKUP(N860,[2]!RUBROS[#All],3,0)</f>
        <v>#REF!</v>
      </c>
      <c r="P860" s="53" t="e">
        <f>VLOOKUP(N860,[2]!RUBROS[#All],2,0)</f>
        <v>#REF!</v>
      </c>
      <c r="Q860" s="47" t="str">
        <f t="shared" si="293"/>
        <v>22</v>
      </c>
      <c r="R860" s="47" t="str">
        <f t="shared" si="294"/>
        <v>0-205400</v>
      </c>
      <c r="S860" s="357">
        <v>200</v>
      </c>
      <c r="T860" s="63" t="s">
        <v>120</v>
      </c>
      <c r="U860" s="326" t="e">
        <f ca="1">_xlfn.XLOOKUP(PAA_4[[#This Row],[ITEM]],[2]Contrato!A:A,[2]Contrato!Q:Q,"",0)</f>
        <v>#NAME?</v>
      </c>
      <c r="V860" s="47" t="s">
        <v>47</v>
      </c>
      <c r="W860" s="343" t="s">
        <v>154</v>
      </c>
      <c r="X860" s="343" t="s">
        <v>154</v>
      </c>
      <c r="Y860" s="55" t="e">
        <f ca="1">_xlfn.XLOOKUP(PAA_4[[#This Row],[ITEM]],[2]Contrato!A:A,[2]Contrato!B:B,"",0)</f>
        <v>#NAME?</v>
      </c>
      <c r="Z860" s="47" t="e">
        <f ca="1">_xlfn.XLOOKUP(PAA_4[[#This Row],[ITEM]],[2]Contrato!A:A,[2]Contrato!G:G,"",0)</f>
        <v>#NAME?</v>
      </c>
      <c r="AA860" s="47" t="e">
        <f ca="1">_xlfn.XLOOKUP(PAA_4[[#This Row],[ITEM]],[2]Contrato!A:A,[2]Contrato!T:T,"",0)</f>
        <v>#NAME?</v>
      </c>
      <c r="AB860" s="55" t="e">
        <f ca="1">+MAX(PAA_4[[#This Row],[Comprometido Contrato]],PAA_4[[#This Row],[Comprometido Bolsa]])</f>
        <v>#NAME?</v>
      </c>
      <c r="AC860" s="55" t="str">
        <f t="shared" ca="1" si="295"/>
        <v/>
      </c>
      <c r="AD860" s="55" t="e">
        <f ca="1">IF(PAA_4[[#This Row],[ESTADO (formulado)]]="NO CONTRATADO",0,MAX(PAA_4[[#This Row],[Pago por Contrato]],PAA_4[[#This Row],[Pago por bolsa]]))</f>
        <v>#NAME?</v>
      </c>
      <c r="AE860" s="55" t="str">
        <f t="shared" ca="1" si="296"/>
        <v/>
      </c>
      <c r="AF860" s="47" t="e">
        <f t="shared" ca="1" si="297"/>
        <v>#NAME?</v>
      </c>
      <c r="AG860" s="47">
        <f t="shared" si="298"/>
        <v>41080101</v>
      </c>
      <c r="AH860" s="54" t="str">
        <f>IF(Q860="22",IF(ISNUMBER(SEARCH("econ",PAA_4[[#This Row],[Actividad3]])),"Económico",IF(ISNUMBER(SEARCH("alim",PAA_4[[#This Row],[Actividad3]])),"Alimentación",IF(ISNUMBER(SEARCH("educ",PAA_4[[#This Row],[Actividad3]])),"Educativo","Técnico"))),0)</f>
        <v>Técnico</v>
      </c>
      <c r="AI860" s="47" t="e" cm="1">
        <f t="array" aca="1" ref="AI860" ca="1">_xlfn.XLOOKUP(PAA_4[[#This Row],[RCP-RUBRO]],[2]!COMPROMISOS_2024[[#All],[concatenado]],[2]!COMPROMISOS_2024[[#All],[Total pagado]],"",0)</f>
        <v>#NAME?</v>
      </c>
      <c r="AJ860" s="56" t="e">
        <f ca="1">IF(PAA_4[[#This Row],[BOLSA]]=0,0,SUMIFS([2]!COMPROMISOS_2024[[#All],[Total pagado]],[2]!COMPROMISOS_2024[[#All],[Bolsa]],PAA_4[[#This Row],[BOLSA]],[2]!COMPROMISOS_2024[[#All],[rubro]],PAA_4[[#This Row],[RCP-RUBRO]]))</f>
        <v>#REF!</v>
      </c>
      <c r="AK860" s="47" t="e" cm="1">
        <f t="array" aca="1" ref="AK860" ca="1">_xlfn.XLOOKUP(PAA_4[[#This Row],[RCP-RUBRO]],[2]!COMPROMISOS_2024[[#All],[concatenado]],[2]!COMPROMISOS_2024[[#All],[Total Comprometido]],"",0)</f>
        <v>#NAME?</v>
      </c>
      <c r="AL860" s="47" t="e">
        <f ca="1">IF(PAA_4[[#This Row],[BOLSA]]=0,0,SUMIFS([2]!COMPROMISOS_2024[[#All],[Total Comprometido]],[2]!COMPROMISOS_2024[[#All],[Bolsa]],PAA_4[[#This Row],[BOLSA]],[2]!COMPROMISOS_2024[[#All],[concatenado]],PAA_4[[#This Row],[RCP-RUBRO]]))</f>
        <v>#REF!</v>
      </c>
    </row>
    <row r="861" spans="1:38" s="19" customFormat="1" ht="31.5" customHeight="1">
      <c r="A861" s="47" t="s">
        <v>82</v>
      </c>
      <c r="B861" s="51" t="s">
        <v>42</v>
      </c>
      <c r="C861" s="47" t="str">
        <f>VLOOKUP(PAA_4[[#This Row],[PROYECTO (formulado)2]],[2]PROYECTOS!$G$1:$L$32,6,0)</f>
        <v>SUBGERENCIA DE ALTOS LOGROS Y DEPORTE ASOCIADO</v>
      </c>
      <c r="D861" s="47" t="str">
        <f>+IF(PAA_4[[#This Row],[UNIDAD DE CONTRATACION (formulado)]]="Subgerencia Administrativa y Financiera","FUNCIONAMIENTO","INVERSIÓN")</f>
        <v>INVERSIÓN</v>
      </c>
      <c r="E861" s="48" t="str">
        <f>VLOOKUP(Q861,[2]PROYECTOS!$G$1:$K$32,5,0)</f>
        <v>FORTALECIMIENTO_DEL_PROGRAMA_DE_ALTOS_LOGROS_Y_LIDERAZGO_DEPORTIVO_EN_EL_DEPARTAMENTO_DE_ANTIOQUIA</v>
      </c>
      <c r="F861" s="48">
        <f>VLOOKUP(E861,[2]PROYECTOS!$K$1:$M$32,3,0)</f>
        <v>2020003050021</v>
      </c>
      <c r="G861" s="67" t="s">
        <v>221</v>
      </c>
      <c r="H861" s="49" t="str">
        <f>VLOOKUP(Q861,[2]PROYECTOS!$V$1:$W$32,2,0)</f>
        <v>050061</v>
      </c>
      <c r="I861" s="50">
        <v>3122</v>
      </c>
      <c r="J861" s="340" t="s">
        <v>1778</v>
      </c>
      <c r="K861" s="47" t="str">
        <f t="shared" ca="1" si="292"/>
        <v>CONTRATADO</v>
      </c>
      <c r="L861" s="352" t="s">
        <v>42</v>
      </c>
      <c r="M861" s="47" t="s">
        <v>42</v>
      </c>
      <c r="N861" s="52" t="s">
        <v>225</v>
      </c>
      <c r="O861" s="51" t="e">
        <f>VLOOKUP(N861,[2]!RUBROS[#All],3,0)</f>
        <v>#REF!</v>
      </c>
      <c r="P861" s="53" t="e">
        <f>VLOOKUP(N861,[2]!RUBROS[#All],2,0)</f>
        <v>#REF!</v>
      </c>
      <c r="Q861" s="47" t="str">
        <f t="shared" si="293"/>
        <v>20</v>
      </c>
      <c r="R861" s="47" t="str">
        <f t="shared" si="294"/>
        <v>4-101124</v>
      </c>
      <c r="S861" s="357" t="s">
        <v>42</v>
      </c>
      <c r="T861" s="63" t="s">
        <v>42</v>
      </c>
      <c r="U861" s="326" t="e">
        <f ca="1">_xlfn.XLOOKUP(PAA_4[[#This Row],[ITEM]],[2]Contrato!A:A,[2]Contrato!Q:Q,"",0)</f>
        <v>#NAME?</v>
      </c>
      <c r="V861" s="47" t="s">
        <v>95</v>
      </c>
      <c r="W861" s="343" t="s">
        <v>42</v>
      </c>
      <c r="X861" s="343" t="s">
        <v>42</v>
      </c>
      <c r="Y861" s="55" t="e">
        <f ca="1">_xlfn.XLOOKUP(PAA_4[[#This Row],[ITEM]],[2]Contrato!A:A,[2]Contrato!B:B,"",0)</f>
        <v>#NAME?</v>
      </c>
      <c r="Z861" s="47" t="e">
        <f ca="1">_xlfn.XLOOKUP(PAA_4[[#This Row],[ITEM]],[2]Contrato!A:A,[2]Contrato!G:G,"",0)</f>
        <v>#NAME?</v>
      </c>
      <c r="AA861" s="47" t="e">
        <f ca="1">_xlfn.XLOOKUP(PAA_4[[#This Row],[ITEM]],[2]Contrato!A:A,[2]Contrato!T:T,"",0)</f>
        <v>#NAME?</v>
      </c>
      <c r="AB861" s="55" t="e">
        <f ca="1">+MAX(PAA_4[[#This Row],[Comprometido Contrato]],PAA_4[[#This Row],[Comprometido Bolsa]])</f>
        <v>#NAME?</v>
      </c>
      <c r="AC861" s="55" t="str">
        <f t="shared" ca="1" si="295"/>
        <v/>
      </c>
      <c r="AD861" s="55" t="e">
        <f ca="1">IF(PAA_4[[#This Row],[ESTADO (formulado)]]="NO CONTRATADO",0,MAX(PAA_4[[#This Row],[Pago por Contrato]],PAA_4[[#This Row],[Pago por bolsa]]))</f>
        <v>#NAME?</v>
      </c>
      <c r="AE861" s="55" t="str">
        <f t="shared" ca="1" si="296"/>
        <v/>
      </c>
      <c r="AF861" s="47" t="e">
        <f t="shared" ca="1" si="297"/>
        <v>#NAME?</v>
      </c>
      <c r="AG861" s="47">
        <f t="shared" si="298"/>
        <v>41080111</v>
      </c>
      <c r="AH861" s="54">
        <f>IF(Q861="22",IF(ISNUMBER(SEARCH("econ",PAA_4[[#This Row],[Actividad3]])),"Económico",IF(ISNUMBER(SEARCH("alim",PAA_4[[#This Row],[Actividad3]])),"Alimentación",IF(ISNUMBER(SEARCH("educ",PAA_4[[#This Row],[Actividad3]])),"Educativo","Técnico"))),0)</f>
        <v>0</v>
      </c>
      <c r="AI861" s="47" t="e" cm="1">
        <f t="array" aca="1" ref="AI861" ca="1">_xlfn.XLOOKUP(PAA_4[[#This Row],[RCP-RUBRO]],[2]!COMPROMISOS_2024[[#All],[concatenado]],[2]!COMPROMISOS_2024[[#All],[Total pagado]],"",0)</f>
        <v>#NAME?</v>
      </c>
      <c r="AJ861" s="56">
        <f>IF(PAA_4[[#This Row],[BOLSA]]=0,0,SUMIFS([2]!COMPROMISOS_2024[[#All],[Total pagado]],[2]!COMPROMISOS_2024[[#All],[Bolsa]],PAA_4[[#This Row],[BOLSA]],[2]!COMPROMISOS_2024[[#All],[rubro]],PAA_4[[#This Row],[RCP-RUBRO]]))</f>
        <v>0</v>
      </c>
      <c r="AK861" s="47" t="e" cm="1">
        <f t="array" aca="1" ref="AK861" ca="1">_xlfn.XLOOKUP(PAA_4[[#This Row],[RCP-RUBRO]],[2]!COMPROMISOS_2024[[#All],[concatenado]],[2]!COMPROMISOS_2024[[#All],[Total Comprometido]],"",0)</f>
        <v>#NAME?</v>
      </c>
      <c r="AL861" s="47">
        <f>IF(PAA_4[[#This Row],[BOLSA]]=0,0,SUMIFS([2]!COMPROMISOS_2024[[#All],[Total Comprometido]],[2]!COMPROMISOS_2024[[#All],[Bolsa]],PAA_4[[#This Row],[BOLSA]],[2]!COMPROMISOS_2024[[#All],[concatenado]],PAA_4[[#This Row],[RCP-RUBRO]]))</f>
        <v>0</v>
      </c>
    </row>
    <row r="862" spans="1:38" s="19" customFormat="1" ht="31.5" customHeight="1">
      <c r="A862" s="47">
        <v>729</v>
      </c>
      <c r="B862" s="51">
        <v>90141502</v>
      </c>
      <c r="C862" s="47" t="str">
        <f>VLOOKUP(PAA_4[[#This Row],[PROYECTO (formulado)2]],[2]PROYECTOS!$G$1:$L$32,6,0)</f>
        <v>SUBGERENCIA DE ALTOS LOGROS Y DEPORTE ASOCIADO</v>
      </c>
      <c r="D862" s="47" t="str">
        <f>+IF(PAA_4[[#This Row],[UNIDAD DE CONTRATACION (formulado)]]="Subgerencia Administrativa y Financiera","FUNCIONAMIENTO","INVERSIÓN")</f>
        <v>INVERSIÓN</v>
      </c>
      <c r="E862" s="48" t="str">
        <f>VLOOKUP(Q862,[2]PROYECTOS!$G$1:$K$32,5,0)</f>
        <v>FORTALECIMIENTO_DEL_PROGRAMA_DE_ALTOS_LOGROS_Y_LIDERAZGO_DEPORTIVO_EN_EL_DEPARTAMENTO_DE_ANTIOQUIA</v>
      </c>
      <c r="F862" s="48">
        <f>VLOOKUP(E862,[2]PROYECTOS!$K$1:$M$32,3,0)</f>
        <v>2020003050021</v>
      </c>
      <c r="G862" s="67" t="s">
        <v>221</v>
      </c>
      <c r="H862" s="49" t="str">
        <f>VLOOKUP(Q862,[2]PROYECTOS!$V$1:$W$32,2,0)</f>
        <v>050061</v>
      </c>
      <c r="I862" s="50">
        <f>640000000-90000000-3122</f>
        <v>549996878</v>
      </c>
      <c r="J862" s="340" t="s">
        <v>1779</v>
      </c>
      <c r="K862" s="47" t="str">
        <f t="shared" ca="1" si="292"/>
        <v>CONTRATADO</v>
      </c>
      <c r="L862" s="351" t="s">
        <v>94</v>
      </c>
      <c r="M862" s="47" t="s">
        <v>1767</v>
      </c>
      <c r="N862" s="52" t="s">
        <v>225</v>
      </c>
      <c r="O862" s="51" t="e">
        <f>VLOOKUP(N862,[2]!RUBROS[#All],3,0)</f>
        <v>#REF!</v>
      </c>
      <c r="P862" s="53" t="e">
        <f>VLOOKUP(N862,[2]!RUBROS[#All],2,0)</f>
        <v>#REF!</v>
      </c>
      <c r="Q862" s="47" t="str">
        <f t="shared" si="293"/>
        <v>20</v>
      </c>
      <c r="R862" s="47" t="str">
        <f t="shared" si="294"/>
        <v>4-101124</v>
      </c>
      <c r="S862" s="358">
        <v>155</v>
      </c>
      <c r="T862" s="63" t="s">
        <v>120</v>
      </c>
      <c r="U862" s="326" t="e">
        <f ca="1">_xlfn.XLOOKUP(PAA_4[[#This Row],[ITEM]],[2]Contrato!A:A,[2]Contrato!Q:Q,"",0)</f>
        <v>#NAME?</v>
      </c>
      <c r="V862" s="47" t="s">
        <v>47</v>
      </c>
      <c r="W862" s="343" t="s">
        <v>193</v>
      </c>
      <c r="X862" s="343" t="s">
        <v>194</v>
      </c>
      <c r="Y862" s="55" t="e">
        <f ca="1">_xlfn.XLOOKUP(PAA_4[[#This Row],[ITEM]],[2]Contrato!A:A,[2]Contrato!B:B,"",0)</f>
        <v>#NAME?</v>
      </c>
      <c r="Z862" s="47" t="e">
        <f ca="1">_xlfn.XLOOKUP(PAA_4[[#This Row],[ITEM]],[2]Contrato!A:A,[2]Contrato!G:G,"",0)</f>
        <v>#NAME?</v>
      </c>
      <c r="AA862" s="47" t="e">
        <f ca="1">_xlfn.XLOOKUP(PAA_4[[#This Row],[ITEM]],[2]Contrato!A:A,[2]Contrato!T:T,"",0)</f>
        <v>#NAME?</v>
      </c>
      <c r="AB862" s="55" t="e">
        <f ca="1">+MAX(PAA_4[[#This Row],[Comprometido Contrato]],PAA_4[[#This Row],[Comprometido Bolsa]])</f>
        <v>#NAME?</v>
      </c>
      <c r="AC862" s="55" t="str">
        <f t="shared" ca="1" si="295"/>
        <v/>
      </c>
      <c r="AD862" s="55" t="e">
        <f ca="1">IF(PAA_4[[#This Row],[ESTADO (formulado)]]="NO CONTRATADO",0,MAX(PAA_4[[#This Row],[Pago por Contrato]],PAA_4[[#This Row],[Pago por bolsa]]))</f>
        <v>#NAME?</v>
      </c>
      <c r="AE862" s="55" t="str">
        <f t="shared" ca="1" si="296"/>
        <v/>
      </c>
      <c r="AF862" s="47" t="e">
        <f t="shared" ca="1" si="297"/>
        <v>#NAME?</v>
      </c>
      <c r="AG862" s="47">
        <f t="shared" si="298"/>
        <v>41080111</v>
      </c>
      <c r="AH862" s="54">
        <f>IF(Q862="22",IF(ISNUMBER(SEARCH("econ",PAA_4[[#This Row],[Actividad3]])),"Económico",IF(ISNUMBER(SEARCH("alim",PAA_4[[#This Row],[Actividad3]])),"Alimentación",IF(ISNUMBER(SEARCH("educ",PAA_4[[#This Row],[Actividad3]])),"Educativo","Técnico"))),0)</f>
        <v>0</v>
      </c>
      <c r="AI862" s="47" t="e" cm="1">
        <f t="array" aca="1" ref="AI862" ca="1">_xlfn.XLOOKUP(PAA_4[[#This Row],[RCP-RUBRO]],[2]!COMPROMISOS_2024[[#All],[concatenado]],[2]!COMPROMISOS_2024[[#All],[Total pagado]],"",0)</f>
        <v>#NAME?</v>
      </c>
      <c r="AJ862" s="56">
        <f>IF(PAA_4[[#This Row],[BOLSA]]=0,0,SUMIFS([2]!COMPROMISOS_2024[[#All],[Total pagado]],[2]!COMPROMISOS_2024[[#All],[Bolsa]],PAA_4[[#This Row],[BOLSA]],[2]!COMPROMISOS_2024[[#All],[rubro]],PAA_4[[#This Row],[RCP-RUBRO]]))</f>
        <v>0</v>
      </c>
      <c r="AK862" s="47" t="e" cm="1">
        <f t="array" aca="1" ref="AK862" ca="1">_xlfn.XLOOKUP(PAA_4[[#This Row],[RCP-RUBRO]],[2]!COMPROMISOS_2024[[#All],[concatenado]],[2]!COMPROMISOS_2024[[#All],[Total Comprometido]],"",0)</f>
        <v>#NAME?</v>
      </c>
      <c r="AL862" s="47">
        <f>IF(PAA_4[[#This Row],[BOLSA]]=0,0,SUMIFS([2]!COMPROMISOS_2024[[#All],[Total Comprometido]],[2]!COMPROMISOS_2024[[#All],[Bolsa]],PAA_4[[#This Row],[BOLSA]],[2]!COMPROMISOS_2024[[#All],[concatenado]],PAA_4[[#This Row],[RCP-RUBRO]]))</f>
        <v>0</v>
      </c>
    </row>
    <row r="863" spans="1:38" s="19" customFormat="1" ht="31.5" customHeight="1">
      <c r="A863" s="65" t="s">
        <v>82</v>
      </c>
      <c r="B863" s="51">
        <v>90141502</v>
      </c>
      <c r="C863" s="47" t="str">
        <f>VLOOKUP(PAA_4[[#This Row],[PROYECTO (formulado)2]],[2]PROYECTOS!$G$1:$L$32,6,0)</f>
        <v>SUBGERENCIA DE ALTOS LOGROS Y DEPORTE ASOCIADO</v>
      </c>
      <c r="D863" s="47" t="str">
        <f>+IF(PAA_4[[#This Row],[UNIDAD DE CONTRATACION (formulado)]]="Subgerencia Administrativa y Financiera","FUNCIONAMIENTO","INVERSIÓN")</f>
        <v>INVERSIÓN</v>
      </c>
      <c r="E863" s="48" t="str">
        <f>VLOOKUP(Q863,[2]PROYECTOS!$G$1:$K$32,5,0)</f>
        <v>FORTALECIMIENTO_DEL_PROGRAMA_DE_ALTOS_LOGROS_Y_LIDERAZGO_DEPORTIVO_EN_EL_DEPARTAMENTO_DE_ANTIOQUIA</v>
      </c>
      <c r="F863" s="48">
        <f>VLOOKUP(E863,[2]PROYECTOS!$K$1:$M$32,3,0)</f>
        <v>2020003050021</v>
      </c>
      <c r="G863" s="67" t="s">
        <v>221</v>
      </c>
      <c r="H863" s="49" t="str">
        <f>VLOOKUP(Q863,[2]PROYECTOS!$V$1:$W$32,2,0)</f>
        <v>050061</v>
      </c>
      <c r="I863" s="50">
        <v>0</v>
      </c>
      <c r="J863" s="340" t="s">
        <v>42</v>
      </c>
      <c r="K863" s="47" t="str">
        <f t="shared" ca="1" si="292"/>
        <v>CONTRATADO</v>
      </c>
      <c r="L863" s="351" t="s">
        <v>94</v>
      </c>
      <c r="M863" s="47" t="s">
        <v>344</v>
      </c>
      <c r="N863" s="52" t="s">
        <v>225</v>
      </c>
      <c r="O863" s="51" t="e">
        <f>VLOOKUP(N863,[2]!RUBROS[#All],3,0)</f>
        <v>#REF!</v>
      </c>
      <c r="P863" s="53" t="e">
        <f>VLOOKUP(N863,[2]!RUBROS[#All],2,0)</f>
        <v>#REF!</v>
      </c>
      <c r="Q863" s="47" t="str">
        <f t="shared" si="293"/>
        <v>20</v>
      </c>
      <c r="R863" s="47" t="str">
        <f t="shared" si="294"/>
        <v>4-101124</v>
      </c>
      <c r="S863" s="359">
        <v>155</v>
      </c>
      <c r="T863" s="63" t="s">
        <v>120</v>
      </c>
      <c r="U863" s="326" t="e">
        <f ca="1">_xlfn.XLOOKUP(PAA_4[[#This Row],[ITEM]],[2]Contrato!A:A,[2]Contrato!Q:Q,"",0)</f>
        <v>#NAME?</v>
      </c>
      <c r="V863" s="47" t="s">
        <v>47</v>
      </c>
      <c r="W863" s="343" t="s">
        <v>193</v>
      </c>
      <c r="X863" s="343" t="s">
        <v>194</v>
      </c>
      <c r="Y863" s="55" t="e">
        <f ca="1">_xlfn.XLOOKUP(PAA_4[[#This Row],[ITEM]],[2]Contrato!A:A,[2]Contrato!B:B,"",0)</f>
        <v>#NAME?</v>
      </c>
      <c r="Z863" s="47" t="e">
        <f ca="1">_xlfn.XLOOKUP(PAA_4[[#This Row],[ITEM]],[2]Contrato!A:A,[2]Contrato!G:G,"",0)</f>
        <v>#NAME?</v>
      </c>
      <c r="AA863" s="47" t="e">
        <f ca="1">_xlfn.XLOOKUP(PAA_4[[#This Row],[ITEM]],[2]Contrato!A:A,[2]Contrato!T:T,"",0)</f>
        <v>#NAME?</v>
      </c>
      <c r="AB863" s="55" t="e">
        <f ca="1">+MAX(PAA_4[[#This Row],[Comprometido Contrato]],PAA_4[[#This Row],[Comprometido Bolsa]])</f>
        <v>#NAME?</v>
      </c>
      <c r="AC863" s="55" t="str">
        <f t="shared" ca="1" si="295"/>
        <v/>
      </c>
      <c r="AD863" s="55" t="e">
        <f ca="1">IF(PAA_4[[#This Row],[ESTADO (formulado)]]="NO CONTRATADO",0,MAX(PAA_4[[#This Row],[Pago por Contrato]],PAA_4[[#This Row],[Pago por bolsa]]))</f>
        <v>#NAME?</v>
      </c>
      <c r="AE863" s="55" t="str">
        <f t="shared" ca="1" si="296"/>
        <v/>
      </c>
      <c r="AF863" s="47" t="e">
        <f t="shared" ca="1" si="297"/>
        <v>#NAME?</v>
      </c>
      <c r="AG863" s="47">
        <f t="shared" si="298"/>
        <v>41080111</v>
      </c>
      <c r="AH863" s="54">
        <f>IF(Q863="22",IF(ISNUMBER(SEARCH("econ",PAA_4[[#This Row],[Actividad3]])),"Económico",IF(ISNUMBER(SEARCH("alim",PAA_4[[#This Row],[Actividad3]])),"Alimentación",IF(ISNUMBER(SEARCH("educ",PAA_4[[#This Row],[Actividad3]])),"Educativo","Técnico"))),0)</f>
        <v>0</v>
      </c>
      <c r="AI863" s="47" t="e" cm="1">
        <f t="array" aca="1" ref="AI863" ca="1">_xlfn.XLOOKUP(PAA_4[[#This Row],[RCP-RUBRO]],[2]!COMPROMISOS_2024[[#All],[concatenado]],[2]!COMPROMISOS_2024[[#All],[Total pagado]],"",0)</f>
        <v>#NAME?</v>
      </c>
      <c r="AJ863" s="56">
        <f>IF(PAA_4[[#This Row],[BOLSA]]=0,0,SUMIFS([2]!COMPROMISOS_2024[[#All],[Total pagado]],[2]!COMPROMISOS_2024[[#All],[Bolsa]],PAA_4[[#This Row],[BOLSA]],[2]!COMPROMISOS_2024[[#All],[rubro]],PAA_4[[#This Row],[RCP-RUBRO]]))</f>
        <v>0</v>
      </c>
      <c r="AK863" s="47" t="e" cm="1">
        <f t="array" aca="1" ref="AK863" ca="1">_xlfn.XLOOKUP(PAA_4[[#This Row],[RCP-RUBRO]],[2]!COMPROMISOS_2024[[#All],[concatenado]],[2]!COMPROMISOS_2024[[#All],[Total Comprometido]],"",0)</f>
        <v>#NAME?</v>
      </c>
      <c r="AL863" s="47">
        <f>IF(PAA_4[[#This Row],[BOLSA]]=0,0,SUMIFS([2]!COMPROMISOS_2024[[#All],[Total Comprometido]],[2]!COMPROMISOS_2024[[#All],[Bolsa]],PAA_4[[#This Row],[BOLSA]],[2]!COMPROMISOS_2024[[#All],[concatenado]],PAA_4[[#This Row],[RCP-RUBRO]]))</f>
        <v>0</v>
      </c>
    </row>
    <row r="864" spans="1:38" s="19" customFormat="1" ht="31.5" customHeight="1">
      <c r="A864" s="47">
        <v>730</v>
      </c>
      <c r="B864" s="51">
        <v>84131600</v>
      </c>
      <c r="C864" s="47" t="str">
        <f>VLOOKUP(PAA_4[[#This Row],[PROYECTO (formulado)2]],[2]PROYECTOS!$G$1:$L$32,6,0)</f>
        <v>SUBGERENCIA DE ALTOS LOGROS Y DEPORTE ASOCIADO</v>
      </c>
      <c r="D864" s="47" t="str">
        <f>+IF(PAA_4[[#This Row],[UNIDAD DE CONTRATACION (formulado)]]="Subgerencia Administrativa y Financiera","FUNCIONAMIENTO","INVERSIÓN")</f>
        <v>INVERSIÓN</v>
      </c>
      <c r="E864" s="48" t="str">
        <f>VLOOKUP(Q864,[2]PROYECTOS!$G$1:$K$32,5,0)</f>
        <v>APOYO_TÉCNICO_Y_PSICOSOCIAL_A_LOS_DEPORTISTAS_DE_ANTIOQUIA</v>
      </c>
      <c r="F864" s="48">
        <f>VLOOKUP(E864,[2]PROYECTOS!$K$1:$M$32,3,0)</f>
        <v>2021003050069</v>
      </c>
      <c r="G864" s="67" t="s">
        <v>256</v>
      </c>
      <c r="H864" s="49" t="str">
        <f>VLOOKUP(Q864,[2]PROYECTOS!$V$1:$W$32,2,0)</f>
        <v>050069</v>
      </c>
      <c r="I864" s="50">
        <v>0</v>
      </c>
      <c r="J864" s="340" t="s">
        <v>42</v>
      </c>
      <c r="K864" s="47" t="str">
        <f t="shared" ca="1" si="292"/>
        <v>CONTRATADO</v>
      </c>
      <c r="L864" s="351" t="s">
        <v>94</v>
      </c>
      <c r="M864" s="47" t="s">
        <v>89</v>
      </c>
      <c r="N864" s="52" t="s">
        <v>257</v>
      </c>
      <c r="O864" s="51" t="e">
        <f>VLOOKUP(N864,[2]!RUBROS[#All],3,0)</f>
        <v>#REF!</v>
      </c>
      <c r="P864" s="53" t="e">
        <f>VLOOKUP(N864,[2]!RUBROS[#All],2,0)</f>
        <v>#REF!</v>
      </c>
      <c r="Q864" s="47" t="str">
        <f t="shared" si="293"/>
        <v>22</v>
      </c>
      <c r="R864" s="47" t="str">
        <f t="shared" si="294"/>
        <v>4-101124</v>
      </c>
      <c r="S864" s="342">
        <v>1</v>
      </c>
      <c r="T864" s="63" t="s">
        <v>258</v>
      </c>
      <c r="U864" s="326" t="e">
        <f ca="1">_xlfn.XLOOKUP(PAA_4[[#This Row],[ITEM]],[2]Contrato!A:A,[2]Contrato!Q:Q,"",0)</f>
        <v>#NAME?</v>
      </c>
      <c r="V864" s="47" t="s">
        <v>47</v>
      </c>
      <c r="W864" s="343" t="s">
        <v>194</v>
      </c>
      <c r="X864" s="343" t="s">
        <v>194</v>
      </c>
      <c r="Y864" s="55" t="e">
        <f ca="1">_xlfn.XLOOKUP(PAA_4[[#This Row],[ITEM]],[2]Contrato!A:A,[2]Contrato!B:B,"",0)</f>
        <v>#NAME?</v>
      </c>
      <c r="Z864" s="47" t="e">
        <f ca="1">_xlfn.XLOOKUP(PAA_4[[#This Row],[ITEM]],[2]Contrato!A:A,[2]Contrato!G:G,"",0)</f>
        <v>#NAME?</v>
      </c>
      <c r="AA864" s="47" t="e">
        <f ca="1">_xlfn.XLOOKUP(PAA_4[[#This Row],[ITEM]],[2]Contrato!A:A,[2]Contrato!T:T,"",0)</f>
        <v>#NAME?</v>
      </c>
      <c r="AB864" s="55" t="e">
        <f ca="1">+MAX(PAA_4[[#This Row],[Comprometido Contrato]],PAA_4[[#This Row],[Comprometido Bolsa]])</f>
        <v>#NAME?</v>
      </c>
      <c r="AC864" s="55" t="str">
        <f t="shared" ca="1" si="295"/>
        <v/>
      </c>
      <c r="AD864" s="55" t="e">
        <f ca="1">IF(PAA_4[[#This Row],[ESTADO (formulado)]]="NO CONTRATADO",0,MAX(PAA_4[[#This Row],[Pago por Contrato]],PAA_4[[#This Row],[Pago por bolsa]]))</f>
        <v>#NAME?</v>
      </c>
      <c r="AE864" s="55" t="str">
        <f t="shared" ca="1" si="296"/>
        <v/>
      </c>
      <c r="AF864" s="47" t="e">
        <f t="shared" ca="1" si="297"/>
        <v>#NAME?</v>
      </c>
      <c r="AG864" s="47">
        <f t="shared" si="298"/>
        <v>41080101</v>
      </c>
      <c r="AH864" s="54" t="str">
        <f>IF(Q864="22",IF(ISNUMBER(SEARCH("econ",PAA_4[[#This Row],[Actividad3]])),"Económico",IF(ISNUMBER(SEARCH("alim",PAA_4[[#This Row],[Actividad3]])),"Alimentación",IF(ISNUMBER(SEARCH("educ",PAA_4[[#This Row],[Actividad3]])),"Educativo","Técnico"))),0)</f>
        <v>Técnico</v>
      </c>
      <c r="AI864" s="47" t="e" cm="1">
        <f t="array" aca="1" ref="AI864" ca="1">_xlfn.XLOOKUP(PAA_4[[#This Row],[RCP-RUBRO]],[2]!COMPROMISOS_2024[[#All],[concatenado]],[2]!COMPROMISOS_2024[[#All],[Total pagado]],"",0)</f>
        <v>#NAME?</v>
      </c>
      <c r="AJ864" s="56" t="e">
        <f ca="1">IF(PAA_4[[#This Row],[BOLSA]]=0,0,SUMIFS([2]!COMPROMISOS_2024[[#All],[Total pagado]],[2]!COMPROMISOS_2024[[#All],[Bolsa]],PAA_4[[#This Row],[BOLSA]],[2]!COMPROMISOS_2024[[#All],[rubro]],PAA_4[[#This Row],[RCP-RUBRO]]))</f>
        <v>#REF!</v>
      </c>
      <c r="AK864" s="47" t="e" cm="1">
        <f t="array" aca="1" ref="AK864" ca="1">_xlfn.XLOOKUP(PAA_4[[#This Row],[RCP-RUBRO]],[2]!COMPROMISOS_2024[[#All],[concatenado]],[2]!COMPROMISOS_2024[[#All],[Total Comprometido]],"",0)</f>
        <v>#NAME?</v>
      </c>
      <c r="AL864" s="47" t="e">
        <f ca="1">IF(PAA_4[[#This Row],[BOLSA]]=0,0,SUMIFS([2]!COMPROMISOS_2024[[#All],[Total Comprometido]],[2]!COMPROMISOS_2024[[#All],[Bolsa]],PAA_4[[#This Row],[BOLSA]],[2]!COMPROMISOS_2024[[#All],[concatenado]],PAA_4[[#This Row],[RCP-RUBRO]]))</f>
        <v>#REF!</v>
      </c>
    </row>
    <row r="865" spans="1:38" s="19" customFormat="1" ht="31.5" customHeight="1">
      <c r="A865" s="47">
        <v>731</v>
      </c>
      <c r="B865" s="51">
        <v>84131600</v>
      </c>
      <c r="C865" s="47" t="str">
        <f>VLOOKUP(PAA_4[[#This Row],[PROYECTO (formulado)2]],[2]PROYECTOS!$G$1:$L$32,6,0)</f>
        <v>SUBGERENCIA DE ALTOS LOGROS Y DEPORTE ASOCIADO</v>
      </c>
      <c r="D865" s="47" t="str">
        <f>+IF(PAA_4[[#This Row],[UNIDAD DE CONTRATACION (formulado)]]="Subgerencia Administrativa y Financiera","FUNCIONAMIENTO","INVERSIÓN")</f>
        <v>INVERSIÓN</v>
      </c>
      <c r="E865" s="48" t="str">
        <f>VLOOKUP(Q865,[2]PROYECTOS!$G$1:$K$32,5,0)</f>
        <v>APOYO_TÉCNICO_Y_PSICOSOCIAL_A_LOS_DEPORTISTAS_DE_ANTIOQUIA</v>
      </c>
      <c r="F865" s="48">
        <f>VLOOKUP(E865,[2]PROYECTOS!$K$1:$M$32,3,0)</f>
        <v>2021003050069</v>
      </c>
      <c r="G865" s="67" t="s">
        <v>259</v>
      </c>
      <c r="H865" s="49" t="str">
        <f>VLOOKUP(Q865,[2]PROYECTOS!$V$1:$W$32,2,0)</f>
        <v>050069</v>
      </c>
      <c r="I865" s="50">
        <v>0</v>
      </c>
      <c r="J865" s="340" t="s">
        <v>42</v>
      </c>
      <c r="K865" s="47" t="str">
        <f t="shared" ca="1" si="292"/>
        <v>CONTRATADO</v>
      </c>
      <c r="L865" s="351" t="s">
        <v>94</v>
      </c>
      <c r="M865" s="47" t="s">
        <v>89</v>
      </c>
      <c r="N865" s="52" t="s">
        <v>257</v>
      </c>
      <c r="O865" s="51" t="e">
        <f>VLOOKUP(N865,[2]!RUBROS[#All],3,0)</f>
        <v>#REF!</v>
      </c>
      <c r="P865" s="53" t="e">
        <f>VLOOKUP(N865,[2]!RUBROS[#All],2,0)</f>
        <v>#REF!</v>
      </c>
      <c r="Q865" s="47" t="str">
        <f t="shared" si="293"/>
        <v>22</v>
      </c>
      <c r="R865" s="47" t="str">
        <f t="shared" si="294"/>
        <v>4-101124</v>
      </c>
      <c r="S865" s="342">
        <v>1</v>
      </c>
      <c r="T865" s="63" t="s">
        <v>258</v>
      </c>
      <c r="U865" s="326" t="e">
        <f ca="1">_xlfn.XLOOKUP(PAA_4[[#This Row],[ITEM]],[2]Contrato!A:A,[2]Contrato!Q:Q,"",0)</f>
        <v>#NAME?</v>
      </c>
      <c r="V865" s="47" t="s">
        <v>47</v>
      </c>
      <c r="W865" s="343" t="s">
        <v>194</v>
      </c>
      <c r="X865" s="343" t="s">
        <v>194</v>
      </c>
      <c r="Y865" s="55" t="e">
        <f ca="1">_xlfn.XLOOKUP(PAA_4[[#This Row],[ITEM]],[2]Contrato!A:A,[2]Contrato!B:B,"",0)</f>
        <v>#NAME?</v>
      </c>
      <c r="Z865" s="47" t="e">
        <f ca="1">_xlfn.XLOOKUP(PAA_4[[#This Row],[ITEM]],[2]Contrato!A:A,[2]Contrato!G:G,"",0)</f>
        <v>#NAME?</v>
      </c>
      <c r="AA865" s="47" t="e">
        <f ca="1">_xlfn.XLOOKUP(PAA_4[[#This Row],[ITEM]],[2]Contrato!A:A,[2]Contrato!T:T,"",0)</f>
        <v>#NAME?</v>
      </c>
      <c r="AB865" s="55" t="e">
        <f ca="1">+MAX(PAA_4[[#This Row],[Comprometido Contrato]],PAA_4[[#This Row],[Comprometido Bolsa]])</f>
        <v>#NAME?</v>
      </c>
      <c r="AC865" s="55" t="str">
        <f t="shared" ca="1" si="295"/>
        <v/>
      </c>
      <c r="AD865" s="55" t="e">
        <f ca="1">IF(PAA_4[[#This Row],[ESTADO (formulado)]]="NO CONTRATADO",0,MAX(PAA_4[[#This Row],[Pago por Contrato]],PAA_4[[#This Row],[Pago por bolsa]]))</f>
        <v>#NAME?</v>
      </c>
      <c r="AE865" s="55" t="str">
        <f t="shared" ca="1" si="296"/>
        <v/>
      </c>
      <c r="AF865" s="47" t="e">
        <f t="shared" ca="1" si="297"/>
        <v>#NAME?</v>
      </c>
      <c r="AG865" s="47">
        <f t="shared" si="298"/>
        <v>41080106</v>
      </c>
      <c r="AH865" s="54" t="str">
        <f>IF(Q865="22",IF(ISNUMBER(SEARCH("econ",PAA_4[[#This Row],[Actividad3]])),"Económico",IF(ISNUMBER(SEARCH("alim",PAA_4[[#This Row],[Actividad3]])),"Alimentación",IF(ISNUMBER(SEARCH("educ",PAA_4[[#This Row],[Actividad3]])),"Educativo","Técnico"))),0)</f>
        <v>Técnico</v>
      </c>
      <c r="AI865" s="47" t="e" cm="1">
        <f t="array" aca="1" ref="AI865" ca="1">_xlfn.XLOOKUP(PAA_4[[#This Row],[RCP-RUBRO]],[2]!COMPROMISOS_2024[[#All],[concatenado]],[2]!COMPROMISOS_2024[[#All],[Total pagado]],"",0)</f>
        <v>#NAME?</v>
      </c>
      <c r="AJ865" s="56" t="e">
        <f ca="1">IF(PAA_4[[#This Row],[BOLSA]]=0,0,SUMIFS([2]!COMPROMISOS_2024[[#All],[Total pagado]],[2]!COMPROMISOS_2024[[#All],[Bolsa]],PAA_4[[#This Row],[BOLSA]],[2]!COMPROMISOS_2024[[#All],[rubro]],PAA_4[[#This Row],[RCP-RUBRO]]))</f>
        <v>#REF!</v>
      </c>
      <c r="AK865" s="47" t="e" cm="1">
        <f t="array" aca="1" ref="AK865" ca="1">_xlfn.XLOOKUP(PAA_4[[#This Row],[RCP-RUBRO]],[2]!COMPROMISOS_2024[[#All],[concatenado]],[2]!COMPROMISOS_2024[[#All],[Total Comprometido]],"",0)</f>
        <v>#NAME?</v>
      </c>
      <c r="AL865" s="47" t="e">
        <f ca="1">IF(PAA_4[[#This Row],[BOLSA]]=0,0,SUMIFS([2]!COMPROMISOS_2024[[#All],[Total Comprometido]],[2]!COMPROMISOS_2024[[#All],[Bolsa]],PAA_4[[#This Row],[BOLSA]],[2]!COMPROMISOS_2024[[#All],[concatenado]],PAA_4[[#This Row],[RCP-RUBRO]]))</f>
        <v>#REF!</v>
      </c>
    </row>
    <row r="866" spans="1:38" s="19" customFormat="1" ht="31.5" customHeight="1">
      <c r="A866" s="47" t="s">
        <v>82</v>
      </c>
      <c r="B866" s="51" t="s">
        <v>42</v>
      </c>
      <c r="C866" s="47" t="str">
        <f>VLOOKUP(PAA_4[[#This Row],[PROYECTO (formulado)2]],[2]PROYECTOS!$G$1:$L$32,6,0)</f>
        <v>SUBGERENCIA DE ALTOS LOGROS Y DEPORTE ASOCIADO</v>
      </c>
      <c r="D866" s="47" t="str">
        <f>+IF(PAA_4[[#This Row],[UNIDAD DE CONTRATACION (formulado)]]="Subgerencia Administrativa y Financiera","FUNCIONAMIENTO","INVERSIÓN")</f>
        <v>INVERSIÓN</v>
      </c>
      <c r="E866" s="48" t="str">
        <f>VLOOKUP(Q866,[2]PROYECTOS!$G$1:$K$32,5,0)</f>
        <v>APOYO_TÉCNICO_Y_PSICOSOCIAL_A_LOS_DEPORTISTAS_DE_ANTIOQUIA</v>
      </c>
      <c r="F866" s="48">
        <f>VLOOKUP(E866,[2]PROYECTOS!$K$1:$M$32,3,0)</f>
        <v>2021003050069</v>
      </c>
      <c r="G866" s="67" t="s">
        <v>239</v>
      </c>
      <c r="H866" s="49" t="str">
        <f>VLOOKUP(Q866,[2]PROYECTOS!$V$1:$W$32,2,0)</f>
        <v>050069</v>
      </c>
      <c r="I866" s="50">
        <v>0</v>
      </c>
      <c r="J866" s="51" t="s">
        <v>42</v>
      </c>
      <c r="K866" s="47" t="str">
        <f t="shared" ca="1" si="292"/>
        <v>CONTRATADO</v>
      </c>
      <c r="L866" s="47" t="s">
        <v>42</v>
      </c>
      <c r="M866" s="47" t="s">
        <v>42</v>
      </c>
      <c r="N866" s="52" t="s">
        <v>260</v>
      </c>
      <c r="O866" s="51" t="e">
        <f>VLOOKUP(N866,[2]!RUBROS[#All],3,0)</f>
        <v>#REF!</v>
      </c>
      <c r="P866" s="53" t="e">
        <f>VLOOKUP(N866,[2]!RUBROS[#All],2,0)</f>
        <v>#REF!</v>
      </c>
      <c r="Q866" s="47" t="str">
        <f t="shared" si="293"/>
        <v>22</v>
      </c>
      <c r="R866" s="47" t="str">
        <f t="shared" si="294"/>
        <v>4-101124</v>
      </c>
      <c r="S866" s="54" t="s">
        <v>42</v>
      </c>
      <c r="T866" s="63" t="s">
        <v>42</v>
      </c>
      <c r="U866" s="326" t="e">
        <f ca="1">_xlfn.XLOOKUP(PAA_4[[#This Row],[ITEM]],[2]Contrato!A:A,[2]Contrato!Q:Q,"",0)</f>
        <v>#NAME?</v>
      </c>
      <c r="V866" s="54" t="s">
        <v>42</v>
      </c>
      <c r="W866" s="54" t="s">
        <v>42</v>
      </c>
      <c r="X866" s="54" t="s">
        <v>42</v>
      </c>
      <c r="Y866" s="55" t="e">
        <f ca="1">_xlfn.XLOOKUP(PAA_4[[#This Row],[ITEM]],[2]Contrato!A:A,[2]Contrato!B:B,"",0)</f>
        <v>#NAME?</v>
      </c>
      <c r="Z866" s="47" t="e">
        <f ca="1">_xlfn.XLOOKUP(PAA_4[[#This Row],[ITEM]],[2]Contrato!A:A,[2]Contrato!G:G,"",0)</f>
        <v>#NAME?</v>
      </c>
      <c r="AA866" s="47" t="e">
        <f ca="1">_xlfn.XLOOKUP(PAA_4[[#This Row],[ITEM]],[2]Contrato!A:A,[2]Contrato!T:T,"",0)</f>
        <v>#NAME?</v>
      </c>
      <c r="AB866" s="55" t="e">
        <f ca="1">+MAX(PAA_4[[#This Row],[Comprometido Contrato]],PAA_4[[#This Row],[Comprometido Bolsa]])</f>
        <v>#NAME?</v>
      </c>
      <c r="AC866" s="55" t="str">
        <f t="shared" ca="1" si="295"/>
        <v/>
      </c>
      <c r="AD866" s="55" t="e">
        <f ca="1">IF(PAA_4[[#This Row],[ESTADO (formulado)]]="NO CONTRATADO",0,MAX(PAA_4[[#This Row],[Pago por Contrato]],PAA_4[[#This Row],[Pago por bolsa]]))</f>
        <v>#NAME?</v>
      </c>
      <c r="AE866" s="55" t="str">
        <f t="shared" ca="1" si="296"/>
        <v/>
      </c>
      <c r="AF866" s="47" t="e">
        <f t="shared" ca="1" si="297"/>
        <v>#NAME?</v>
      </c>
      <c r="AG866" s="47">
        <f t="shared" si="298"/>
        <v>41080101</v>
      </c>
      <c r="AH866" s="54" t="str">
        <f>IF(Q866="22",IF(ISNUMBER(SEARCH("econ",PAA_4[[#This Row],[Actividad3]])),"Económico",IF(ISNUMBER(SEARCH("alim",PAA_4[[#This Row],[Actividad3]])),"Alimentación",IF(ISNUMBER(SEARCH("educ",PAA_4[[#This Row],[Actividad3]])),"Educativo","Técnico"))),0)</f>
        <v>Técnico</v>
      </c>
      <c r="AI866" s="47" t="e" cm="1">
        <f t="array" aca="1" ref="AI866" ca="1">_xlfn.XLOOKUP(PAA_4[[#This Row],[RCP-RUBRO]],[2]!COMPROMISOS_2024[[#All],[concatenado]],[2]!COMPROMISOS_2024[[#All],[Total pagado]],"",0)</f>
        <v>#NAME?</v>
      </c>
      <c r="AJ866" s="56" t="e">
        <f ca="1">IF(PAA_4[[#This Row],[BOLSA]]=0,0,SUMIFS([2]!COMPROMISOS_2024[[#All],[Total pagado]],[2]!COMPROMISOS_2024[[#All],[Bolsa]],PAA_4[[#This Row],[BOLSA]],[2]!COMPROMISOS_2024[[#All],[rubro]],PAA_4[[#This Row],[RCP-RUBRO]]))</f>
        <v>#REF!</v>
      </c>
      <c r="AK866" s="47" t="e" cm="1">
        <f t="array" aca="1" ref="AK866" ca="1">_xlfn.XLOOKUP(PAA_4[[#This Row],[RCP-RUBRO]],[2]!COMPROMISOS_2024[[#All],[concatenado]],[2]!COMPROMISOS_2024[[#All],[Total Comprometido]],"",0)</f>
        <v>#NAME?</v>
      </c>
      <c r="AL866" s="47" t="e">
        <f ca="1">IF(PAA_4[[#This Row],[BOLSA]]=0,0,SUMIFS([2]!COMPROMISOS_2024[[#All],[Total Comprometido]],[2]!COMPROMISOS_2024[[#All],[Bolsa]],PAA_4[[#This Row],[BOLSA]],[2]!COMPROMISOS_2024[[#All],[concatenado]],PAA_4[[#This Row],[RCP-RUBRO]]))</f>
        <v>#REF!</v>
      </c>
    </row>
    <row r="867" spans="1:38" s="19" customFormat="1" ht="31.5" customHeight="1">
      <c r="A867" s="47">
        <v>732</v>
      </c>
      <c r="B867" s="51">
        <v>80111600</v>
      </c>
      <c r="C867" s="47" t="str">
        <f>VLOOKUP(PAA_4[[#This Row],[PROYECTO (formulado)2]],[2]PROYECTOS!$G$1:$L$32,6,0)</f>
        <v>SUBGERENCIA DE ALTOS LOGROS Y DEPORTE ASOCIADO</v>
      </c>
      <c r="D867" s="47" t="str">
        <f>+IF(PAA_4[[#This Row],[UNIDAD DE CONTRATACION (formulado)]]="Subgerencia Administrativa y Financiera","FUNCIONAMIENTO","INVERSIÓN")</f>
        <v>INVERSIÓN</v>
      </c>
      <c r="E867" s="48" t="str">
        <f>VLOOKUP(Q867,[2]PROYECTOS!$G$1:$K$32,5,0)</f>
        <v>APOYO_TÉCNICO_Y_PSICOSOCIAL_A_LOS_DEPORTISTAS_DE_ANTIOQUIA</v>
      </c>
      <c r="F867" s="48">
        <f>VLOOKUP(E867,[2]PROYECTOS!$K$1:$M$32,3,0)</f>
        <v>2021003050069</v>
      </c>
      <c r="G867" s="67" t="s">
        <v>239</v>
      </c>
      <c r="H867" s="49" t="str">
        <f>VLOOKUP(Q867,[2]PROYECTOS!$V$1:$W$32,2,0)</f>
        <v>050069</v>
      </c>
      <c r="I867" s="50">
        <f>64490923-9212989</f>
        <v>55277934</v>
      </c>
      <c r="J867" s="340" t="s">
        <v>1780</v>
      </c>
      <c r="K867" s="47" t="str">
        <f t="shared" ca="1" si="292"/>
        <v>CONTRATADO</v>
      </c>
      <c r="L867" s="351" t="s">
        <v>94</v>
      </c>
      <c r="M867" s="47" t="s">
        <v>1297</v>
      </c>
      <c r="N867" s="52" t="s">
        <v>260</v>
      </c>
      <c r="O867" s="51" t="e">
        <f>VLOOKUP(N867,[2]!RUBROS[#All],3,0)</f>
        <v>#REF!</v>
      </c>
      <c r="P867" s="53" t="e">
        <f>VLOOKUP(N867,[2]!RUBROS[#All],2,0)</f>
        <v>#REF!</v>
      </c>
      <c r="Q867" s="47" t="str">
        <f t="shared" si="293"/>
        <v>22</v>
      </c>
      <c r="R867" s="47" t="str">
        <f t="shared" si="294"/>
        <v>4-101124</v>
      </c>
      <c r="S867" s="342">
        <v>200</v>
      </c>
      <c r="T867" s="63" t="s">
        <v>120</v>
      </c>
      <c r="U867" s="326" t="e">
        <f ca="1">_xlfn.XLOOKUP(PAA_4[[#This Row],[ITEM]],[2]Contrato!A:A,[2]Contrato!Q:Q,"",0)</f>
        <v>#NAME?</v>
      </c>
      <c r="V867" s="47" t="s">
        <v>47</v>
      </c>
      <c r="W867" s="343" t="s">
        <v>154</v>
      </c>
      <c r="X867" s="343" t="s">
        <v>154</v>
      </c>
      <c r="Y867" s="55" t="e">
        <f ca="1">_xlfn.XLOOKUP(PAA_4[[#This Row],[ITEM]],[2]Contrato!A:A,[2]Contrato!B:B,"",0)</f>
        <v>#NAME?</v>
      </c>
      <c r="Z867" s="47" t="e">
        <f ca="1">_xlfn.XLOOKUP(PAA_4[[#This Row],[ITEM]],[2]Contrato!A:A,[2]Contrato!G:G,"",0)</f>
        <v>#NAME?</v>
      </c>
      <c r="AA867" s="47" t="e">
        <f ca="1">_xlfn.XLOOKUP(PAA_4[[#This Row],[ITEM]],[2]Contrato!A:A,[2]Contrato!T:T,"",0)</f>
        <v>#NAME?</v>
      </c>
      <c r="AB867" s="55" t="e">
        <f ca="1">+MAX(PAA_4[[#This Row],[Comprometido Contrato]],PAA_4[[#This Row],[Comprometido Bolsa]])</f>
        <v>#NAME?</v>
      </c>
      <c r="AC867" s="55" t="str">
        <f t="shared" ca="1" si="295"/>
        <v/>
      </c>
      <c r="AD867" s="55" t="e">
        <f ca="1">IF(PAA_4[[#This Row],[ESTADO (formulado)]]="NO CONTRATADO",0,MAX(PAA_4[[#This Row],[Pago por Contrato]],PAA_4[[#This Row],[Pago por bolsa]]))</f>
        <v>#NAME?</v>
      </c>
      <c r="AE867" s="55" t="str">
        <f t="shared" ca="1" si="296"/>
        <v/>
      </c>
      <c r="AF867" s="47" t="e">
        <f t="shared" ca="1" si="297"/>
        <v>#NAME?</v>
      </c>
      <c r="AG867" s="47">
        <f t="shared" si="298"/>
        <v>41080101</v>
      </c>
      <c r="AH867" s="54" t="str">
        <f>IF(Q867="22",IF(ISNUMBER(SEARCH("econ",PAA_4[[#This Row],[Actividad3]])),"Económico",IF(ISNUMBER(SEARCH("alim",PAA_4[[#This Row],[Actividad3]])),"Alimentación",IF(ISNUMBER(SEARCH("educ",PAA_4[[#This Row],[Actividad3]])),"Educativo","Técnico"))),0)</f>
        <v>Técnico</v>
      </c>
      <c r="AI867" s="47" t="e" cm="1">
        <f t="array" aca="1" ref="AI867" ca="1">_xlfn.XLOOKUP(PAA_4[[#This Row],[RCP-RUBRO]],[2]!COMPROMISOS_2024[[#All],[concatenado]],[2]!COMPROMISOS_2024[[#All],[Total pagado]],"",0)</f>
        <v>#NAME?</v>
      </c>
      <c r="AJ867" s="56" t="e">
        <f ca="1">IF(PAA_4[[#This Row],[BOLSA]]=0,0,SUMIFS([2]!COMPROMISOS_2024[[#All],[Total pagado]],[2]!COMPROMISOS_2024[[#All],[Bolsa]],PAA_4[[#This Row],[BOLSA]],[2]!COMPROMISOS_2024[[#All],[rubro]],PAA_4[[#This Row],[RCP-RUBRO]]))</f>
        <v>#REF!</v>
      </c>
      <c r="AK867" s="47" t="e" cm="1">
        <f t="array" aca="1" ref="AK867" ca="1">_xlfn.XLOOKUP(PAA_4[[#This Row],[RCP-RUBRO]],[2]!COMPROMISOS_2024[[#All],[concatenado]],[2]!COMPROMISOS_2024[[#All],[Total Comprometido]],"",0)</f>
        <v>#NAME?</v>
      </c>
      <c r="AL867" s="47" t="e">
        <f ca="1">IF(PAA_4[[#This Row],[BOLSA]]=0,0,SUMIFS([2]!COMPROMISOS_2024[[#All],[Total Comprometido]],[2]!COMPROMISOS_2024[[#All],[Bolsa]],PAA_4[[#This Row],[BOLSA]],[2]!COMPROMISOS_2024[[#All],[concatenado]],PAA_4[[#This Row],[RCP-RUBRO]]))</f>
        <v>#REF!</v>
      </c>
    </row>
    <row r="868" spans="1:38" s="19" customFormat="1" ht="31.5" customHeight="1">
      <c r="A868" s="47">
        <v>733</v>
      </c>
      <c r="B868" s="51">
        <v>80111600</v>
      </c>
      <c r="C868" s="47" t="str">
        <f>VLOOKUP(PAA_4[[#This Row],[PROYECTO (formulado)2]],[2]PROYECTOS!$G$1:$L$32,6,0)</f>
        <v>SUBGERENCIA DE ALTOS LOGROS Y DEPORTE ASOCIADO</v>
      </c>
      <c r="D868" s="47" t="str">
        <f>+IF(PAA_4[[#This Row],[UNIDAD DE CONTRATACION (formulado)]]="Subgerencia Administrativa y Financiera","FUNCIONAMIENTO","INVERSIÓN")</f>
        <v>INVERSIÓN</v>
      </c>
      <c r="E868" s="48" t="str">
        <f>VLOOKUP(Q868,[2]PROYECTOS!$G$1:$K$32,5,0)</f>
        <v>APOYO_TÉCNICO_Y_PSICOSOCIAL_A_LOS_DEPORTISTAS_DE_ANTIOQUIA</v>
      </c>
      <c r="F868" s="48">
        <f>VLOOKUP(E868,[2]PROYECTOS!$K$1:$M$32,3,0)</f>
        <v>2021003050069</v>
      </c>
      <c r="G868" s="67" t="s">
        <v>239</v>
      </c>
      <c r="H868" s="49" t="str">
        <f>VLOOKUP(Q868,[2]PROYECTOS!$V$1:$W$32,2,0)</f>
        <v>050069</v>
      </c>
      <c r="I868" s="50">
        <f>64490923-9212989</f>
        <v>55277934</v>
      </c>
      <c r="J868" s="340" t="s">
        <v>1781</v>
      </c>
      <c r="K868" s="47" t="str">
        <f t="shared" ca="1" si="292"/>
        <v>CONTRATADO</v>
      </c>
      <c r="L868" s="351" t="s">
        <v>94</v>
      </c>
      <c r="M868" s="47" t="s">
        <v>1297</v>
      </c>
      <c r="N868" s="52" t="s">
        <v>260</v>
      </c>
      <c r="O868" s="51" t="e">
        <f>VLOOKUP(N868,[2]!RUBROS[#All],3,0)</f>
        <v>#REF!</v>
      </c>
      <c r="P868" s="53" t="e">
        <f>VLOOKUP(N868,[2]!RUBROS[#All],2,0)</f>
        <v>#REF!</v>
      </c>
      <c r="Q868" s="47" t="str">
        <f t="shared" si="293"/>
        <v>22</v>
      </c>
      <c r="R868" s="47" t="str">
        <f t="shared" si="294"/>
        <v>4-101124</v>
      </c>
      <c r="S868" s="342">
        <v>200</v>
      </c>
      <c r="T868" s="63" t="s">
        <v>120</v>
      </c>
      <c r="U868" s="326" t="e">
        <f ca="1">_xlfn.XLOOKUP(PAA_4[[#This Row],[ITEM]],[2]Contrato!A:A,[2]Contrato!Q:Q,"",0)</f>
        <v>#NAME?</v>
      </c>
      <c r="V868" s="47" t="s">
        <v>47</v>
      </c>
      <c r="W868" s="343" t="s">
        <v>154</v>
      </c>
      <c r="X868" s="343" t="s">
        <v>154</v>
      </c>
      <c r="Y868" s="55" t="e">
        <f ca="1">_xlfn.XLOOKUP(PAA_4[[#This Row],[ITEM]],[2]Contrato!A:A,[2]Contrato!B:B,"",0)</f>
        <v>#NAME?</v>
      </c>
      <c r="Z868" s="47" t="e">
        <f ca="1">_xlfn.XLOOKUP(PAA_4[[#This Row],[ITEM]],[2]Contrato!A:A,[2]Contrato!G:G,"",0)</f>
        <v>#NAME?</v>
      </c>
      <c r="AA868" s="47" t="e">
        <f ca="1">_xlfn.XLOOKUP(PAA_4[[#This Row],[ITEM]],[2]Contrato!A:A,[2]Contrato!T:T,"",0)</f>
        <v>#NAME?</v>
      </c>
      <c r="AB868" s="55" t="e">
        <f ca="1">+MAX(PAA_4[[#This Row],[Comprometido Contrato]],PAA_4[[#This Row],[Comprometido Bolsa]])</f>
        <v>#NAME?</v>
      </c>
      <c r="AC868" s="55" t="str">
        <f t="shared" ca="1" si="295"/>
        <v/>
      </c>
      <c r="AD868" s="55" t="e">
        <f ca="1">IF(PAA_4[[#This Row],[ESTADO (formulado)]]="NO CONTRATADO",0,MAX(PAA_4[[#This Row],[Pago por Contrato]],PAA_4[[#This Row],[Pago por bolsa]]))</f>
        <v>#NAME?</v>
      </c>
      <c r="AE868" s="55" t="str">
        <f t="shared" ca="1" si="296"/>
        <v/>
      </c>
      <c r="AF868" s="47" t="e">
        <f t="shared" ca="1" si="297"/>
        <v>#NAME?</v>
      </c>
      <c r="AG868" s="47">
        <f t="shared" si="298"/>
        <v>41080101</v>
      </c>
      <c r="AH868" s="54" t="str">
        <f>IF(Q868="22",IF(ISNUMBER(SEARCH("econ",PAA_4[[#This Row],[Actividad3]])),"Económico",IF(ISNUMBER(SEARCH("alim",PAA_4[[#This Row],[Actividad3]])),"Alimentación",IF(ISNUMBER(SEARCH("educ",PAA_4[[#This Row],[Actividad3]])),"Educativo","Técnico"))),0)</f>
        <v>Técnico</v>
      </c>
      <c r="AI868" s="47" t="e" cm="1">
        <f t="array" aca="1" ref="AI868" ca="1">_xlfn.XLOOKUP(PAA_4[[#This Row],[RCP-RUBRO]],[2]!COMPROMISOS_2024[[#All],[concatenado]],[2]!COMPROMISOS_2024[[#All],[Total pagado]],"",0)</f>
        <v>#NAME?</v>
      </c>
      <c r="AJ868" s="56" t="e">
        <f ca="1">IF(PAA_4[[#This Row],[BOLSA]]=0,0,SUMIFS([2]!COMPROMISOS_2024[[#All],[Total pagado]],[2]!COMPROMISOS_2024[[#All],[Bolsa]],PAA_4[[#This Row],[BOLSA]],[2]!COMPROMISOS_2024[[#All],[rubro]],PAA_4[[#This Row],[RCP-RUBRO]]))</f>
        <v>#REF!</v>
      </c>
      <c r="AK868" s="47" t="e" cm="1">
        <f t="array" aca="1" ref="AK868" ca="1">_xlfn.XLOOKUP(PAA_4[[#This Row],[RCP-RUBRO]],[2]!COMPROMISOS_2024[[#All],[concatenado]],[2]!COMPROMISOS_2024[[#All],[Total Comprometido]],"",0)</f>
        <v>#NAME?</v>
      </c>
      <c r="AL868" s="47" t="e">
        <f ca="1">IF(PAA_4[[#This Row],[BOLSA]]=0,0,SUMIFS([2]!COMPROMISOS_2024[[#All],[Total Comprometido]],[2]!COMPROMISOS_2024[[#All],[Bolsa]],PAA_4[[#This Row],[BOLSA]],[2]!COMPROMISOS_2024[[#All],[concatenado]],PAA_4[[#This Row],[RCP-RUBRO]]))</f>
        <v>#REF!</v>
      </c>
    </row>
    <row r="869" spans="1:38" s="19" customFormat="1" ht="31.5" customHeight="1">
      <c r="A869" s="47">
        <v>734</v>
      </c>
      <c r="B869" s="51">
        <v>80111600</v>
      </c>
      <c r="C869" s="47" t="str">
        <f>VLOOKUP(PAA_4[[#This Row],[PROYECTO (formulado)2]],[2]PROYECTOS!$G$1:$L$32,6,0)</f>
        <v>SUBGERENCIA DE ALTOS LOGROS Y DEPORTE ASOCIADO</v>
      </c>
      <c r="D869" s="47" t="str">
        <f>+IF(PAA_4[[#This Row],[UNIDAD DE CONTRATACION (formulado)]]="Subgerencia Administrativa y Financiera","FUNCIONAMIENTO","INVERSIÓN")</f>
        <v>INVERSIÓN</v>
      </c>
      <c r="E869" s="48" t="str">
        <f>VLOOKUP(Q869,[2]PROYECTOS!$G$1:$K$32,5,0)</f>
        <v>APOYO_TÉCNICO_Y_PSICOSOCIAL_A_LOS_DEPORTISTAS_DE_ANTIOQUIA</v>
      </c>
      <c r="F869" s="48">
        <f>VLOOKUP(E869,[2]PROYECTOS!$K$1:$M$32,3,0)</f>
        <v>2021003050069</v>
      </c>
      <c r="G869" s="67" t="s">
        <v>239</v>
      </c>
      <c r="H869" s="49" t="str">
        <f>VLOOKUP(Q869,[2]PROYECTOS!$V$1:$W$32,2,0)</f>
        <v>050069</v>
      </c>
      <c r="I869" s="50">
        <f>64490923-9212989</f>
        <v>55277934</v>
      </c>
      <c r="J869" s="340" t="s">
        <v>1782</v>
      </c>
      <c r="K869" s="47" t="str">
        <f t="shared" ca="1" si="292"/>
        <v>CONTRATADO</v>
      </c>
      <c r="L869" s="351" t="s">
        <v>94</v>
      </c>
      <c r="M869" s="47" t="s">
        <v>1297</v>
      </c>
      <c r="N869" s="52" t="s">
        <v>260</v>
      </c>
      <c r="O869" s="51" t="e">
        <f>VLOOKUP(N869,[2]!RUBROS[#All],3,0)</f>
        <v>#REF!</v>
      </c>
      <c r="P869" s="53" t="e">
        <f>VLOOKUP(N869,[2]!RUBROS[#All],2,0)</f>
        <v>#REF!</v>
      </c>
      <c r="Q869" s="47" t="str">
        <f t="shared" si="293"/>
        <v>22</v>
      </c>
      <c r="R869" s="47" t="str">
        <f t="shared" si="294"/>
        <v>4-101124</v>
      </c>
      <c r="S869" s="342">
        <v>200</v>
      </c>
      <c r="T869" s="63" t="s">
        <v>120</v>
      </c>
      <c r="U869" s="326" t="e">
        <f ca="1">_xlfn.XLOOKUP(PAA_4[[#This Row],[ITEM]],[2]Contrato!A:A,[2]Contrato!Q:Q,"",0)</f>
        <v>#NAME?</v>
      </c>
      <c r="V869" s="47" t="s">
        <v>47</v>
      </c>
      <c r="W869" s="343" t="s">
        <v>154</v>
      </c>
      <c r="X869" s="343" t="s">
        <v>154</v>
      </c>
      <c r="Y869" s="55" t="e">
        <f ca="1">_xlfn.XLOOKUP(PAA_4[[#This Row],[ITEM]],[2]Contrato!A:A,[2]Contrato!B:B,"",0)</f>
        <v>#NAME?</v>
      </c>
      <c r="Z869" s="47" t="e">
        <f ca="1">_xlfn.XLOOKUP(PAA_4[[#This Row],[ITEM]],[2]Contrato!A:A,[2]Contrato!G:G,"",0)</f>
        <v>#NAME?</v>
      </c>
      <c r="AA869" s="47" t="e">
        <f ca="1">_xlfn.XLOOKUP(PAA_4[[#This Row],[ITEM]],[2]Contrato!A:A,[2]Contrato!T:T,"",0)</f>
        <v>#NAME?</v>
      </c>
      <c r="AB869" s="55" t="e">
        <f ca="1">+MAX(PAA_4[[#This Row],[Comprometido Contrato]],PAA_4[[#This Row],[Comprometido Bolsa]])</f>
        <v>#NAME?</v>
      </c>
      <c r="AC869" s="55" t="str">
        <f t="shared" ca="1" si="295"/>
        <v/>
      </c>
      <c r="AD869" s="55" t="e">
        <f ca="1">IF(PAA_4[[#This Row],[ESTADO (formulado)]]="NO CONTRATADO",0,MAX(PAA_4[[#This Row],[Pago por Contrato]],PAA_4[[#This Row],[Pago por bolsa]]))</f>
        <v>#NAME?</v>
      </c>
      <c r="AE869" s="55" t="str">
        <f t="shared" ca="1" si="296"/>
        <v/>
      </c>
      <c r="AF869" s="47" t="e">
        <f t="shared" ca="1" si="297"/>
        <v>#NAME?</v>
      </c>
      <c r="AG869" s="47">
        <f t="shared" si="298"/>
        <v>41080101</v>
      </c>
      <c r="AH869" s="54" t="str">
        <f>IF(Q869="22",IF(ISNUMBER(SEARCH("econ",PAA_4[[#This Row],[Actividad3]])),"Económico",IF(ISNUMBER(SEARCH("alim",PAA_4[[#This Row],[Actividad3]])),"Alimentación",IF(ISNUMBER(SEARCH("educ",PAA_4[[#This Row],[Actividad3]])),"Educativo","Técnico"))),0)</f>
        <v>Técnico</v>
      </c>
      <c r="AI869" s="47" t="e" cm="1">
        <f t="array" aca="1" ref="AI869" ca="1">_xlfn.XLOOKUP(PAA_4[[#This Row],[RCP-RUBRO]],[2]!COMPROMISOS_2024[[#All],[concatenado]],[2]!COMPROMISOS_2024[[#All],[Total pagado]],"",0)</f>
        <v>#NAME?</v>
      </c>
      <c r="AJ869" s="56" t="e">
        <f ca="1">IF(PAA_4[[#This Row],[BOLSA]]=0,0,SUMIFS([2]!COMPROMISOS_2024[[#All],[Total pagado]],[2]!COMPROMISOS_2024[[#All],[Bolsa]],PAA_4[[#This Row],[BOLSA]],[2]!COMPROMISOS_2024[[#All],[rubro]],PAA_4[[#This Row],[RCP-RUBRO]]))</f>
        <v>#REF!</v>
      </c>
      <c r="AK869" s="47" t="e" cm="1">
        <f t="array" aca="1" ref="AK869" ca="1">_xlfn.XLOOKUP(PAA_4[[#This Row],[RCP-RUBRO]],[2]!COMPROMISOS_2024[[#All],[concatenado]],[2]!COMPROMISOS_2024[[#All],[Total Comprometido]],"",0)</f>
        <v>#NAME?</v>
      </c>
      <c r="AL869" s="47" t="e">
        <f ca="1">IF(PAA_4[[#This Row],[BOLSA]]=0,0,SUMIFS([2]!COMPROMISOS_2024[[#All],[Total Comprometido]],[2]!COMPROMISOS_2024[[#All],[Bolsa]],PAA_4[[#This Row],[BOLSA]],[2]!COMPROMISOS_2024[[#All],[concatenado]],PAA_4[[#This Row],[RCP-RUBRO]]))</f>
        <v>#REF!</v>
      </c>
    </row>
    <row r="870" spans="1:38" s="19" customFormat="1" ht="31.5" customHeight="1">
      <c r="A870" s="47" t="s">
        <v>82</v>
      </c>
      <c r="B870" s="51" t="s">
        <v>42</v>
      </c>
      <c r="C870" s="47" t="str">
        <f>VLOOKUP(PAA_4[[#This Row],[PROYECTO (formulado)2]],[2]PROYECTOS!$G$1:$L$32,6,0)</f>
        <v>SUBGERENCIA DE ALTOS LOGROS Y DEPORTE ASOCIADO</v>
      </c>
      <c r="D870" s="47" t="str">
        <f>+IF(PAA_4[[#This Row],[UNIDAD DE CONTRATACION (formulado)]]="Subgerencia Administrativa y Financiera","FUNCIONAMIENTO","INVERSIÓN")</f>
        <v>INVERSIÓN</v>
      </c>
      <c r="E870" s="48" t="str">
        <f>VLOOKUP(Q870,[2]PROYECTOS!$G$1:$K$32,5,0)</f>
        <v>APOYO_TÉCNICO_Y_PSICOSOCIAL_A_LOS_DEPORTISTAS_DE_ANTIOQUIA</v>
      </c>
      <c r="F870" s="48">
        <f>VLOOKUP(E870,[2]PROYECTOS!$K$1:$M$32,3,0)</f>
        <v>2021003050069</v>
      </c>
      <c r="G870" s="67" t="s">
        <v>239</v>
      </c>
      <c r="H870" s="49" t="str">
        <f>VLOOKUP(Q870,[2]PROYECTOS!$V$1:$W$32,2,0)</f>
        <v>050069</v>
      </c>
      <c r="I870" s="50">
        <v>171656</v>
      </c>
      <c r="J870" s="340" t="s">
        <v>1783</v>
      </c>
      <c r="K870" s="47" t="str">
        <f t="shared" ca="1" si="292"/>
        <v>CONTRATADO</v>
      </c>
      <c r="L870" s="351" t="s">
        <v>42</v>
      </c>
      <c r="M870" s="65" t="s">
        <v>42</v>
      </c>
      <c r="N870" s="52" t="s">
        <v>260</v>
      </c>
      <c r="O870" s="51" t="e">
        <f>VLOOKUP(N870,[2]!RUBROS[#All],3,0)</f>
        <v>#REF!</v>
      </c>
      <c r="P870" s="53" t="e">
        <f>VLOOKUP(N870,[2]!RUBROS[#All],2,0)</f>
        <v>#REF!</v>
      </c>
      <c r="Q870" s="47" t="str">
        <f t="shared" si="293"/>
        <v>22</v>
      </c>
      <c r="R870" s="47" t="str">
        <f t="shared" si="294"/>
        <v>4-101124</v>
      </c>
      <c r="S870" s="342" t="s">
        <v>42</v>
      </c>
      <c r="T870" s="360" t="s">
        <v>42</v>
      </c>
      <c r="U870" s="326" t="e">
        <f ca="1">_xlfn.XLOOKUP(PAA_4[[#This Row],[ITEM]],[2]Contrato!A:A,[2]Contrato!Q:Q,"",0)</f>
        <v>#NAME?</v>
      </c>
      <c r="V870" s="47" t="s">
        <v>95</v>
      </c>
      <c r="W870" s="343" t="s">
        <v>42</v>
      </c>
      <c r="X870" s="343" t="s">
        <v>42</v>
      </c>
      <c r="Y870" s="55" t="e">
        <f ca="1">_xlfn.XLOOKUP(PAA_4[[#This Row],[ITEM]],[2]Contrato!A:A,[2]Contrato!B:B,"",0)</f>
        <v>#NAME?</v>
      </c>
      <c r="Z870" s="47" t="e">
        <f ca="1">_xlfn.XLOOKUP(PAA_4[[#This Row],[ITEM]],[2]Contrato!A:A,[2]Contrato!G:G,"",0)</f>
        <v>#NAME?</v>
      </c>
      <c r="AA870" s="47" t="e">
        <f ca="1">_xlfn.XLOOKUP(PAA_4[[#This Row],[ITEM]],[2]Contrato!A:A,[2]Contrato!T:T,"",0)</f>
        <v>#NAME?</v>
      </c>
      <c r="AB870" s="55" t="e">
        <f ca="1">+MAX(PAA_4[[#This Row],[Comprometido Contrato]],PAA_4[[#This Row],[Comprometido Bolsa]])</f>
        <v>#NAME?</v>
      </c>
      <c r="AC870" s="55" t="str">
        <f t="shared" ca="1" si="295"/>
        <v/>
      </c>
      <c r="AD870" s="55" t="e">
        <f ca="1">IF(PAA_4[[#This Row],[ESTADO (formulado)]]="NO CONTRATADO",0,MAX(PAA_4[[#This Row],[Pago por Contrato]],PAA_4[[#This Row],[Pago por bolsa]]))</f>
        <v>#NAME?</v>
      </c>
      <c r="AE870" s="55" t="str">
        <f t="shared" ca="1" si="296"/>
        <v/>
      </c>
      <c r="AF870" s="47" t="e">
        <f t="shared" ca="1" si="297"/>
        <v>#NAME?</v>
      </c>
      <c r="AG870" s="47">
        <f t="shared" si="298"/>
        <v>41080101</v>
      </c>
      <c r="AH870" s="54" t="str">
        <f>IF(Q870="22",IF(ISNUMBER(SEARCH("econ",PAA_4[[#This Row],[Actividad3]])),"Económico",IF(ISNUMBER(SEARCH("alim",PAA_4[[#This Row],[Actividad3]])),"Alimentación",IF(ISNUMBER(SEARCH("educ",PAA_4[[#This Row],[Actividad3]])),"Educativo","Técnico"))),0)</f>
        <v>Técnico</v>
      </c>
      <c r="AI870" s="47" t="e" cm="1">
        <f t="array" aca="1" ref="AI870" ca="1">_xlfn.XLOOKUP(PAA_4[[#This Row],[RCP-RUBRO]],[2]!COMPROMISOS_2024[[#All],[concatenado]],[2]!COMPROMISOS_2024[[#All],[Total pagado]],"",0)</f>
        <v>#NAME?</v>
      </c>
      <c r="AJ870" s="56" t="e">
        <f ca="1">IF(PAA_4[[#This Row],[BOLSA]]=0,0,SUMIFS([2]!COMPROMISOS_2024[[#All],[Total pagado]],[2]!COMPROMISOS_2024[[#All],[Bolsa]],PAA_4[[#This Row],[BOLSA]],[2]!COMPROMISOS_2024[[#All],[rubro]],PAA_4[[#This Row],[RCP-RUBRO]]))</f>
        <v>#REF!</v>
      </c>
      <c r="AK870" s="47" t="e" cm="1">
        <f t="array" aca="1" ref="AK870" ca="1">_xlfn.XLOOKUP(PAA_4[[#This Row],[RCP-RUBRO]],[2]!COMPROMISOS_2024[[#All],[concatenado]],[2]!COMPROMISOS_2024[[#All],[Total Comprometido]],"",0)</f>
        <v>#NAME?</v>
      </c>
      <c r="AL870" s="47" t="e">
        <f ca="1">IF(PAA_4[[#This Row],[BOLSA]]=0,0,SUMIFS([2]!COMPROMISOS_2024[[#All],[Total Comprometido]],[2]!COMPROMISOS_2024[[#All],[Bolsa]],PAA_4[[#This Row],[BOLSA]],[2]!COMPROMISOS_2024[[#All],[concatenado]],PAA_4[[#This Row],[RCP-RUBRO]]))</f>
        <v>#REF!</v>
      </c>
    </row>
    <row r="871" spans="1:38" s="19" customFormat="1" ht="31.5" customHeight="1">
      <c r="A871" s="47" t="s">
        <v>82</v>
      </c>
      <c r="B871" s="51" t="s">
        <v>42</v>
      </c>
      <c r="C871" s="47" t="str">
        <f>VLOOKUP(PAA_4[[#This Row],[PROYECTO (formulado)2]],[2]PROYECTOS!$G$1:$L$32,6,0)</f>
        <v>SUBGERENCIA DE ALTOS LOGROS Y DEPORTE ASOCIADO</v>
      </c>
      <c r="D871" s="47" t="str">
        <f>+IF(PAA_4[[#This Row],[UNIDAD DE CONTRATACION (formulado)]]="Subgerencia Administrativa y Financiera","FUNCIONAMIENTO","INVERSIÓN")</f>
        <v>INVERSIÓN</v>
      </c>
      <c r="E871" s="48" t="str">
        <f>VLOOKUP(Q871,[2]PROYECTOS!$G$1:$K$32,5,0)</f>
        <v>APOYO_TÉCNICO_Y_PSICOSOCIAL_A_LOS_DEPORTISTAS_DE_ANTIOQUIA</v>
      </c>
      <c r="F871" s="48">
        <f>VLOOKUP(E871,[2]PROYECTOS!$K$1:$M$32,3,0)</f>
        <v>2021003050069</v>
      </c>
      <c r="G871" s="67" t="s">
        <v>239</v>
      </c>
      <c r="H871" s="49" t="str">
        <f>VLOOKUP(Q871,[2]PROYECTOS!$V$1:$W$32,2,0)</f>
        <v>050069</v>
      </c>
      <c r="I871" s="50">
        <v>490894</v>
      </c>
      <c r="J871" s="340" t="s">
        <v>1783</v>
      </c>
      <c r="K871" s="47" t="str">
        <f t="shared" ca="1" si="292"/>
        <v>CONTRATADO</v>
      </c>
      <c r="L871" s="351" t="s">
        <v>42</v>
      </c>
      <c r="M871" s="65" t="s">
        <v>42</v>
      </c>
      <c r="N871" s="52" t="s">
        <v>240</v>
      </c>
      <c r="O871" s="51" t="e">
        <f>VLOOKUP(N871,[2]!RUBROS[#All],3,0)</f>
        <v>#REF!</v>
      </c>
      <c r="P871" s="53" t="e">
        <f>VLOOKUP(N871,[2]!RUBROS[#All],2,0)</f>
        <v>#REF!</v>
      </c>
      <c r="Q871" s="47" t="str">
        <f t="shared" si="293"/>
        <v>22</v>
      </c>
      <c r="R871" s="47" t="str">
        <f t="shared" si="294"/>
        <v>0-205400</v>
      </c>
      <c r="S871" s="342" t="s">
        <v>42</v>
      </c>
      <c r="T871" s="360" t="s">
        <v>42</v>
      </c>
      <c r="U871" s="326" t="e">
        <f ca="1">_xlfn.XLOOKUP(PAA_4[[#This Row],[ITEM]],[2]Contrato!A:A,[2]Contrato!Q:Q,"",0)</f>
        <v>#NAME?</v>
      </c>
      <c r="V871" s="47" t="s">
        <v>95</v>
      </c>
      <c r="W871" s="343" t="s">
        <v>42</v>
      </c>
      <c r="X871" s="343" t="s">
        <v>42</v>
      </c>
      <c r="Y871" s="55" t="e">
        <f ca="1">_xlfn.XLOOKUP(PAA_4[[#This Row],[ITEM]],[2]Contrato!A:A,[2]Contrato!B:B,"",0)</f>
        <v>#NAME?</v>
      </c>
      <c r="Z871" s="47" t="e">
        <f ca="1">_xlfn.XLOOKUP(PAA_4[[#This Row],[ITEM]],[2]Contrato!A:A,[2]Contrato!G:G,"",0)</f>
        <v>#NAME?</v>
      </c>
      <c r="AA871" s="47" t="e">
        <f ca="1">_xlfn.XLOOKUP(PAA_4[[#This Row],[ITEM]],[2]Contrato!A:A,[2]Contrato!T:T,"",0)</f>
        <v>#NAME?</v>
      </c>
      <c r="AB871" s="55" t="e">
        <f ca="1">+MAX(PAA_4[[#This Row],[Comprometido Contrato]],PAA_4[[#This Row],[Comprometido Bolsa]])</f>
        <v>#NAME?</v>
      </c>
      <c r="AC871" s="55" t="str">
        <f t="shared" ca="1" si="295"/>
        <v/>
      </c>
      <c r="AD871" s="55" t="e">
        <f ca="1">IF(PAA_4[[#This Row],[ESTADO (formulado)]]="NO CONTRATADO",0,MAX(PAA_4[[#This Row],[Pago por Contrato]],PAA_4[[#This Row],[Pago por bolsa]]))</f>
        <v>#NAME?</v>
      </c>
      <c r="AE871" s="55" t="str">
        <f t="shared" ca="1" si="296"/>
        <v/>
      </c>
      <c r="AF871" s="47" t="e">
        <f t="shared" ca="1" si="297"/>
        <v>#NAME?</v>
      </c>
      <c r="AG871" s="47">
        <f t="shared" si="298"/>
        <v>41080101</v>
      </c>
      <c r="AH871" s="54" t="str">
        <f>IF(Q871="22",IF(ISNUMBER(SEARCH("econ",PAA_4[[#This Row],[Actividad3]])),"Económico",IF(ISNUMBER(SEARCH("alim",PAA_4[[#This Row],[Actividad3]])),"Alimentación",IF(ISNUMBER(SEARCH("educ",PAA_4[[#This Row],[Actividad3]])),"Educativo","Técnico"))),0)</f>
        <v>Técnico</v>
      </c>
      <c r="AI871" s="47" t="e" cm="1">
        <f t="array" aca="1" ref="AI871" ca="1">_xlfn.XLOOKUP(PAA_4[[#This Row],[RCP-RUBRO]],[2]!COMPROMISOS_2024[[#All],[concatenado]],[2]!COMPROMISOS_2024[[#All],[Total pagado]],"",0)</f>
        <v>#NAME?</v>
      </c>
      <c r="AJ871" s="56" t="e">
        <f ca="1">IF(PAA_4[[#This Row],[BOLSA]]=0,0,SUMIFS([2]!COMPROMISOS_2024[[#All],[Total pagado]],[2]!COMPROMISOS_2024[[#All],[Bolsa]],PAA_4[[#This Row],[BOLSA]],[2]!COMPROMISOS_2024[[#All],[rubro]],PAA_4[[#This Row],[RCP-RUBRO]]))</f>
        <v>#REF!</v>
      </c>
      <c r="AK871" s="47" t="e" cm="1">
        <f t="array" aca="1" ref="AK871" ca="1">_xlfn.XLOOKUP(PAA_4[[#This Row],[RCP-RUBRO]],[2]!COMPROMISOS_2024[[#All],[concatenado]],[2]!COMPROMISOS_2024[[#All],[Total Comprometido]],"",0)</f>
        <v>#NAME?</v>
      </c>
      <c r="AL871" s="47" t="e">
        <f ca="1">IF(PAA_4[[#This Row],[BOLSA]]=0,0,SUMIFS([2]!COMPROMISOS_2024[[#All],[Total Comprometido]],[2]!COMPROMISOS_2024[[#All],[Bolsa]],PAA_4[[#This Row],[BOLSA]],[2]!COMPROMISOS_2024[[#All],[concatenado]],PAA_4[[#This Row],[RCP-RUBRO]]))</f>
        <v>#REF!</v>
      </c>
    </row>
    <row r="872" spans="1:38" s="19" customFormat="1" ht="31.5" customHeight="1">
      <c r="A872" s="47" t="s">
        <v>82</v>
      </c>
      <c r="B872" s="51" t="s">
        <v>42</v>
      </c>
      <c r="C872" s="47" t="str">
        <f>VLOOKUP(PAA_4[[#This Row],[PROYECTO (formulado)2]],[2]PROYECTOS!$G$1:$L$32,6,0)</f>
        <v>SUBGERENCIA DE ALTOS LOGROS Y DEPORTE ASOCIADO</v>
      </c>
      <c r="D872" s="47" t="str">
        <f>+IF(PAA_4[[#This Row],[UNIDAD DE CONTRATACION (formulado)]]="Subgerencia Administrativa y Financiera","FUNCIONAMIENTO","INVERSIÓN")</f>
        <v>INVERSIÓN</v>
      </c>
      <c r="E872" s="48" t="str">
        <f>VLOOKUP(Q872,[2]PROYECTOS!$G$1:$K$32,5,0)</f>
        <v>APOYO_TÉCNICO_Y_PSICOSOCIAL_A_LOS_DEPORTISTAS_DE_ANTIOQUIA</v>
      </c>
      <c r="F872" s="48">
        <f>VLOOKUP(E872,[2]PROYECTOS!$K$1:$M$32,3,0)</f>
        <v>2021003050069</v>
      </c>
      <c r="G872" s="67" t="s">
        <v>239</v>
      </c>
      <c r="H872" s="49" t="str">
        <f>VLOOKUP(Q872,[2]PROYECTOS!$V$1:$W$32,2,0)</f>
        <v>050069</v>
      </c>
      <c r="I872" s="50">
        <v>692017</v>
      </c>
      <c r="J872" s="340" t="s">
        <v>1783</v>
      </c>
      <c r="K872" s="47" t="str">
        <f t="shared" ca="1" si="292"/>
        <v>CONTRATADO</v>
      </c>
      <c r="L872" s="351" t="s">
        <v>42</v>
      </c>
      <c r="M872" s="65" t="s">
        <v>42</v>
      </c>
      <c r="N872" s="52" t="s">
        <v>240</v>
      </c>
      <c r="O872" s="51" t="e">
        <f>VLOOKUP(N872,[2]!RUBROS[#All],3,0)</f>
        <v>#REF!</v>
      </c>
      <c r="P872" s="53" t="e">
        <f>VLOOKUP(N872,[2]!RUBROS[#All],2,0)</f>
        <v>#REF!</v>
      </c>
      <c r="Q872" s="47" t="str">
        <f t="shared" si="293"/>
        <v>22</v>
      </c>
      <c r="R872" s="47" t="str">
        <f t="shared" si="294"/>
        <v>0-205400</v>
      </c>
      <c r="S872" s="342" t="s">
        <v>42</v>
      </c>
      <c r="T872" s="360" t="s">
        <v>42</v>
      </c>
      <c r="U872" s="326" t="e">
        <f ca="1">_xlfn.XLOOKUP(PAA_4[[#This Row],[ITEM]],[2]Contrato!A:A,[2]Contrato!Q:Q,"",0)</f>
        <v>#NAME?</v>
      </c>
      <c r="V872" s="47" t="s">
        <v>95</v>
      </c>
      <c r="W872" s="343" t="s">
        <v>42</v>
      </c>
      <c r="X872" s="343" t="s">
        <v>42</v>
      </c>
      <c r="Y872" s="55" t="e">
        <f ca="1">_xlfn.XLOOKUP(PAA_4[[#This Row],[ITEM]],[2]Contrato!A:A,[2]Contrato!B:B,"",0)</f>
        <v>#NAME?</v>
      </c>
      <c r="Z872" s="47" t="e">
        <f ca="1">_xlfn.XLOOKUP(PAA_4[[#This Row],[ITEM]],[2]Contrato!A:A,[2]Contrato!G:G,"",0)</f>
        <v>#NAME?</v>
      </c>
      <c r="AA872" s="47" t="e">
        <f ca="1">_xlfn.XLOOKUP(PAA_4[[#This Row],[ITEM]],[2]Contrato!A:A,[2]Contrato!T:T,"",0)</f>
        <v>#NAME?</v>
      </c>
      <c r="AB872" s="55" t="e">
        <f ca="1">+MAX(PAA_4[[#This Row],[Comprometido Contrato]],PAA_4[[#This Row],[Comprometido Bolsa]])</f>
        <v>#NAME?</v>
      </c>
      <c r="AC872" s="55" t="str">
        <f t="shared" ca="1" si="295"/>
        <v/>
      </c>
      <c r="AD872" s="55" t="e">
        <f ca="1">IF(PAA_4[[#This Row],[ESTADO (formulado)]]="NO CONTRATADO",0,MAX(PAA_4[[#This Row],[Pago por Contrato]],PAA_4[[#This Row],[Pago por bolsa]]))</f>
        <v>#NAME?</v>
      </c>
      <c r="AE872" s="55" t="str">
        <f t="shared" ca="1" si="296"/>
        <v/>
      </c>
      <c r="AF872" s="47" t="e">
        <f t="shared" ca="1" si="297"/>
        <v>#NAME?</v>
      </c>
      <c r="AG872" s="47">
        <f t="shared" si="298"/>
        <v>41080101</v>
      </c>
      <c r="AH872" s="54" t="str">
        <f>IF(Q872="22",IF(ISNUMBER(SEARCH("econ",PAA_4[[#This Row],[Actividad3]])),"Económico",IF(ISNUMBER(SEARCH("alim",PAA_4[[#This Row],[Actividad3]])),"Alimentación",IF(ISNUMBER(SEARCH("educ",PAA_4[[#This Row],[Actividad3]])),"Educativo","Técnico"))),0)</f>
        <v>Técnico</v>
      </c>
      <c r="AI872" s="47" t="e" cm="1">
        <f t="array" aca="1" ref="AI872" ca="1">_xlfn.XLOOKUP(PAA_4[[#This Row],[RCP-RUBRO]],[2]!COMPROMISOS_2024[[#All],[concatenado]],[2]!COMPROMISOS_2024[[#All],[Total pagado]],"",0)</f>
        <v>#NAME?</v>
      </c>
      <c r="AJ872" s="56" t="e">
        <f ca="1">IF(PAA_4[[#This Row],[BOLSA]]=0,0,SUMIFS([2]!COMPROMISOS_2024[[#All],[Total pagado]],[2]!COMPROMISOS_2024[[#All],[Bolsa]],PAA_4[[#This Row],[BOLSA]],[2]!COMPROMISOS_2024[[#All],[rubro]],PAA_4[[#This Row],[RCP-RUBRO]]))</f>
        <v>#REF!</v>
      </c>
      <c r="AK872" s="47" t="e" cm="1">
        <f t="array" aca="1" ref="AK872" ca="1">_xlfn.XLOOKUP(PAA_4[[#This Row],[RCP-RUBRO]],[2]!COMPROMISOS_2024[[#All],[concatenado]],[2]!COMPROMISOS_2024[[#All],[Total Comprometido]],"",0)</f>
        <v>#NAME?</v>
      </c>
      <c r="AL872" s="47" t="e">
        <f ca="1">IF(PAA_4[[#This Row],[BOLSA]]=0,0,SUMIFS([2]!COMPROMISOS_2024[[#All],[Total Comprometido]],[2]!COMPROMISOS_2024[[#All],[Bolsa]],PAA_4[[#This Row],[BOLSA]],[2]!COMPROMISOS_2024[[#All],[concatenado]],PAA_4[[#This Row],[RCP-RUBRO]]))</f>
        <v>#REF!</v>
      </c>
    </row>
    <row r="873" spans="1:38" s="19" customFormat="1" ht="31.5" customHeight="1">
      <c r="A873" s="47" t="s">
        <v>82</v>
      </c>
      <c r="B873" s="51" t="s">
        <v>42</v>
      </c>
      <c r="C873" s="47" t="str">
        <f>VLOOKUP(PAA_4[[#This Row],[PROYECTO (formulado)2]],[2]PROYECTOS!$G$1:$L$32,6,0)</f>
        <v>SUBGERENCIA DE ALTOS LOGROS Y DEPORTE ASOCIADO</v>
      </c>
      <c r="D873" s="47" t="str">
        <f>+IF(PAA_4[[#This Row],[UNIDAD DE CONTRATACION (formulado)]]="Subgerencia Administrativa y Financiera","FUNCIONAMIENTO","INVERSIÓN")</f>
        <v>INVERSIÓN</v>
      </c>
      <c r="E873" s="48" t="str">
        <f>VLOOKUP(Q873,[2]PROYECTOS!$G$1:$K$32,5,0)</f>
        <v>APOYO_TÉCNICO_Y_PSICOSOCIAL_A_LOS_DEPORTISTAS_DE_ANTIOQUIA</v>
      </c>
      <c r="F873" s="48">
        <f>VLOOKUP(E873,[2]PROYECTOS!$K$1:$M$32,3,0)</f>
        <v>2021003050069</v>
      </c>
      <c r="G873" s="67" t="s">
        <v>239</v>
      </c>
      <c r="H873" s="49" t="str">
        <f>VLOOKUP(Q873,[2]PROYECTOS!$V$1:$W$32,2,0)</f>
        <v>050069</v>
      </c>
      <c r="I873" s="50">
        <v>257484</v>
      </c>
      <c r="J873" s="340" t="s">
        <v>1783</v>
      </c>
      <c r="K873" s="47" t="str">
        <f t="shared" ca="1" si="292"/>
        <v>CONTRATADO</v>
      </c>
      <c r="L873" s="351" t="s">
        <v>42</v>
      </c>
      <c r="M873" s="65" t="s">
        <v>42</v>
      </c>
      <c r="N873" s="52" t="s">
        <v>240</v>
      </c>
      <c r="O873" s="51" t="e">
        <f>VLOOKUP(N873,[2]!RUBROS[#All],3,0)</f>
        <v>#REF!</v>
      </c>
      <c r="P873" s="53" t="e">
        <f>VLOOKUP(N873,[2]!RUBROS[#All],2,0)</f>
        <v>#REF!</v>
      </c>
      <c r="Q873" s="47" t="str">
        <f t="shared" si="293"/>
        <v>22</v>
      </c>
      <c r="R873" s="47" t="str">
        <f t="shared" si="294"/>
        <v>0-205400</v>
      </c>
      <c r="S873" s="342" t="s">
        <v>42</v>
      </c>
      <c r="T873" s="360" t="s">
        <v>42</v>
      </c>
      <c r="U873" s="326" t="e">
        <f ca="1">_xlfn.XLOOKUP(PAA_4[[#This Row],[ITEM]],[2]Contrato!A:A,[2]Contrato!Q:Q,"",0)</f>
        <v>#NAME?</v>
      </c>
      <c r="V873" s="47" t="s">
        <v>95</v>
      </c>
      <c r="W873" s="343" t="s">
        <v>42</v>
      </c>
      <c r="X873" s="343" t="s">
        <v>42</v>
      </c>
      <c r="Y873" s="55" t="e">
        <f ca="1">_xlfn.XLOOKUP(PAA_4[[#This Row],[ITEM]],[2]Contrato!A:A,[2]Contrato!B:B,"",0)</f>
        <v>#NAME?</v>
      </c>
      <c r="Z873" s="47" t="e">
        <f ca="1">_xlfn.XLOOKUP(PAA_4[[#This Row],[ITEM]],[2]Contrato!A:A,[2]Contrato!G:G,"",0)</f>
        <v>#NAME?</v>
      </c>
      <c r="AA873" s="47" t="e">
        <f ca="1">_xlfn.XLOOKUP(PAA_4[[#This Row],[ITEM]],[2]Contrato!A:A,[2]Contrato!T:T,"",0)</f>
        <v>#NAME?</v>
      </c>
      <c r="AB873" s="55" t="e">
        <f ca="1">+MAX(PAA_4[[#This Row],[Comprometido Contrato]],PAA_4[[#This Row],[Comprometido Bolsa]])</f>
        <v>#NAME?</v>
      </c>
      <c r="AC873" s="55" t="str">
        <f t="shared" ca="1" si="295"/>
        <v/>
      </c>
      <c r="AD873" s="55" t="e">
        <f ca="1">IF(PAA_4[[#This Row],[ESTADO (formulado)]]="NO CONTRATADO",0,MAX(PAA_4[[#This Row],[Pago por Contrato]],PAA_4[[#This Row],[Pago por bolsa]]))</f>
        <v>#NAME?</v>
      </c>
      <c r="AE873" s="55" t="str">
        <f t="shared" ca="1" si="296"/>
        <v/>
      </c>
      <c r="AF873" s="47" t="e">
        <f t="shared" ca="1" si="297"/>
        <v>#NAME?</v>
      </c>
      <c r="AG873" s="47">
        <f t="shared" si="298"/>
        <v>41080101</v>
      </c>
      <c r="AH873" s="54" t="str">
        <f>IF(Q873="22",IF(ISNUMBER(SEARCH("econ",PAA_4[[#This Row],[Actividad3]])),"Económico",IF(ISNUMBER(SEARCH("alim",PAA_4[[#This Row],[Actividad3]])),"Alimentación",IF(ISNUMBER(SEARCH("educ",PAA_4[[#This Row],[Actividad3]])),"Educativo","Técnico"))),0)</f>
        <v>Técnico</v>
      </c>
      <c r="AI873" s="47" t="e" cm="1">
        <f t="array" aca="1" ref="AI873" ca="1">_xlfn.XLOOKUP(PAA_4[[#This Row],[RCP-RUBRO]],[2]!COMPROMISOS_2024[[#All],[concatenado]],[2]!COMPROMISOS_2024[[#All],[Total pagado]],"",0)</f>
        <v>#NAME?</v>
      </c>
      <c r="AJ873" s="56" t="e">
        <f ca="1">IF(PAA_4[[#This Row],[BOLSA]]=0,0,SUMIFS([2]!COMPROMISOS_2024[[#All],[Total pagado]],[2]!COMPROMISOS_2024[[#All],[Bolsa]],PAA_4[[#This Row],[BOLSA]],[2]!COMPROMISOS_2024[[#All],[rubro]],PAA_4[[#This Row],[RCP-RUBRO]]))</f>
        <v>#REF!</v>
      </c>
      <c r="AK873" s="47" t="e" cm="1">
        <f t="array" aca="1" ref="AK873" ca="1">_xlfn.XLOOKUP(PAA_4[[#This Row],[RCP-RUBRO]],[2]!COMPROMISOS_2024[[#All],[concatenado]],[2]!COMPROMISOS_2024[[#All],[Total Comprometido]],"",0)</f>
        <v>#NAME?</v>
      </c>
      <c r="AL873" s="47" t="e">
        <f ca="1">IF(PAA_4[[#This Row],[BOLSA]]=0,0,SUMIFS([2]!COMPROMISOS_2024[[#All],[Total Comprometido]],[2]!COMPROMISOS_2024[[#All],[Bolsa]],PAA_4[[#This Row],[BOLSA]],[2]!COMPROMISOS_2024[[#All],[concatenado]],PAA_4[[#This Row],[RCP-RUBRO]]))</f>
        <v>#REF!</v>
      </c>
    </row>
    <row r="874" spans="1:38" s="19" customFormat="1" ht="31.5" customHeight="1">
      <c r="A874" s="47" t="s">
        <v>82</v>
      </c>
      <c r="B874" s="51" t="s">
        <v>42</v>
      </c>
      <c r="C874" s="47" t="str">
        <f>VLOOKUP(PAA_4[[#This Row],[PROYECTO (formulado)2]],[2]PROYECTOS!$G$1:$L$32,6,0)</f>
        <v>SUBGERENCIA DE ALTOS LOGROS Y DEPORTE ASOCIADO</v>
      </c>
      <c r="D874" s="47" t="str">
        <f>+IF(PAA_4[[#This Row],[UNIDAD DE CONTRATACION (formulado)]]="Subgerencia Administrativa y Financiera","FUNCIONAMIENTO","INVERSIÓN")</f>
        <v>INVERSIÓN</v>
      </c>
      <c r="E874" s="48" t="str">
        <f>VLOOKUP(Q874,[2]PROYECTOS!$G$1:$K$32,5,0)</f>
        <v>APOYO_TÉCNICO_Y_PSICOSOCIAL_A_LOS_DEPORTISTAS_DE_ANTIOQUIA</v>
      </c>
      <c r="F874" s="48">
        <f>VLOOKUP(E874,[2]PROYECTOS!$K$1:$M$32,3,0)</f>
        <v>2021003050069</v>
      </c>
      <c r="G874" s="67" t="s">
        <v>241</v>
      </c>
      <c r="H874" s="49" t="str">
        <f>VLOOKUP(Q874,[2]PROYECTOS!$V$1:$W$32,2,0)</f>
        <v>050069</v>
      </c>
      <c r="I874" s="50">
        <v>257484</v>
      </c>
      <c r="J874" s="340" t="s">
        <v>1783</v>
      </c>
      <c r="K874" s="47" t="str">
        <f t="shared" ca="1" si="292"/>
        <v>CONTRATADO</v>
      </c>
      <c r="L874" s="351" t="s">
        <v>42</v>
      </c>
      <c r="M874" s="65" t="s">
        <v>42</v>
      </c>
      <c r="N874" s="52" t="s">
        <v>240</v>
      </c>
      <c r="O874" s="51" t="e">
        <f>VLOOKUP(N874,[2]!RUBROS[#All],3,0)</f>
        <v>#REF!</v>
      </c>
      <c r="P874" s="53" t="e">
        <f>VLOOKUP(N874,[2]!RUBROS[#All],2,0)</f>
        <v>#REF!</v>
      </c>
      <c r="Q874" s="47" t="str">
        <f t="shared" si="293"/>
        <v>22</v>
      </c>
      <c r="R874" s="47" t="str">
        <f t="shared" si="294"/>
        <v>0-205400</v>
      </c>
      <c r="S874" s="342" t="s">
        <v>42</v>
      </c>
      <c r="T874" s="360" t="s">
        <v>42</v>
      </c>
      <c r="U874" s="326" t="e">
        <f ca="1">_xlfn.XLOOKUP(PAA_4[[#This Row],[ITEM]],[2]Contrato!A:A,[2]Contrato!Q:Q,"",0)</f>
        <v>#NAME?</v>
      </c>
      <c r="V874" s="47" t="s">
        <v>95</v>
      </c>
      <c r="W874" s="343" t="s">
        <v>42</v>
      </c>
      <c r="X874" s="343" t="s">
        <v>42</v>
      </c>
      <c r="Y874" s="55" t="e">
        <f ca="1">_xlfn.XLOOKUP(PAA_4[[#This Row],[ITEM]],[2]Contrato!A:A,[2]Contrato!B:B,"",0)</f>
        <v>#NAME?</v>
      </c>
      <c r="Z874" s="47" t="e">
        <f ca="1">_xlfn.XLOOKUP(PAA_4[[#This Row],[ITEM]],[2]Contrato!A:A,[2]Contrato!G:G,"",0)</f>
        <v>#NAME?</v>
      </c>
      <c r="AA874" s="47" t="e">
        <f ca="1">_xlfn.XLOOKUP(PAA_4[[#This Row],[ITEM]],[2]Contrato!A:A,[2]Contrato!T:T,"",0)</f>
        <v>#NAME?</v>
      </c>
      <c r="AB874" s="55" t="e">
        <f ca="1">+MAX(PAA_4[[#This Row],[Comprometido Contrato]],PAA_4[[#This Row],[Comprometido Bolsa]])</f>
        <v>#NAME?</v>
      </c>
      <c r="AC874" s="55" t="str">
        <f t="shared" ca="1" si="295"/>
        <v/>
      </c>
      <c r="AD874" s="55" t="e">
        <f ca="1">IF(PAA_4[[#This Row],[ESTADO (formulado)]]="NO CONTRATADO",0,MAX(PAA_4[[#This Row],[Pago por Contrato]],PAA_4[[#This Row],[Pago por bolsa]]))</f>
        <v>#NAME?</v>
      </c>
      <c r="AE874" s="55" t="str">
        <f t="shared" ca="1" si="296"/>
        <v/>
      </c>
      <c r="AF874" s="47" t="e">
        <f t="shared" ca="1" si="297"/>
        <v>#NAME?</v>
      </c>
      <c r="AG874" s="47">
        <f t="shared" si="298"/>
        <v>41080106</v>
      </c>
      <c r="AH874" s="54" t="str">
        <f>IF(Q874="22",IF(ISNUMBER(SEARCH("econ",PAA_4[[#This Row],[Actividad3]])),"Económico",IF(ISNUMBER(SEARCH("alim",PAA_4[[#This Row],[Actividad3]])),"Alimentación",IF(ISNUMBER(SEARCH("educ",PAA_4[[#This Row],[Actividad3]])),"Educativo","Técnico"))),0)</f>
        <v>Técnico</v>
      </c>
      <c r="AI874" s="47" t="e" cm="1">
        <f t="array" aca="1" ref="AI874" ca="1">_xlfn.XLOOKUP(PAA_4[[#This Row],[RCP-RUBRO]],[2]!COMPROMISOS_2024[[#All],[concatenado]],[2]!COMPROMISOS_2024[[#All],[Total pagado]],"",0)</f>
        <v>#NAME?</v>
      </c>
      <c r="AJ874" s="56" t="e">
        <f ca="1">IF(PAA_4[[#This Row],[BOLSA]]=0,0,SUMIFS([2]!COMPROMISOS_2024[[#All],[Total pagado]],[2]!COMPROMISOS_2024[[#All],[Bolsa]],PAA_4[[#This Row],[BOLSA]],[2]!COMPROMISOS_2024[[#All],[rubro]],PAA_4[[#This Row],[RCP-RUBRO]]))</f>
        <v>#REF!</v>
      </c>
      <c r="AK874" s="47" t="e" cm="1">
        <f t="array" aca="1" ref="AK874" ca="1">_xlfn.XLOOKUP(PAA_4[[#This Row],[RCP-RUBRO]],[2]!COMPROMISOS_2024[[#All],[concatenado]],[2]!COMPROMISOS_2024[[#All],[Total Comprometido]],"",0)</f>
        <v>#NAME?</v>
      </c>
      <c r="AL874" s="47" t="e">
        <f ca="1">IF(PAA_4[[#This Row],[BOLSA]]=0,0,SUMIFS([2]!COMPROMISOS_2024[[#All],[Total Comprometido]],[2]!COMPROMISOS_2024[[#All],[Bolsa]],PAA_4[[#This Row],[BOLSA]],[2]!COMPROMISOS_2024[[#All],[concatenado]],PAA_4[[#This Row],[RCP-RUBRO]]))</f>
        <v>#REF!</v>
      </c>
    </row>
    <row r="875" spans="1:38" s="19" customFormat="1" ht="31.5" customHeight="1">
      <c r="A875" s="47" t="s">
        <v>82</v>
      </c>
      <c r="B875" s="51" t="s">
        <v>42</v>
      </c>
      <c r="C875" s="47" t="str">
        <f>VLOOKUP(PAA_4[[#This Row],[PROYECTO (formulado)2]],[2]PROYECTOS!$G$1:$L$32,6,0)</f>
        <v>SUBGERENCIA DE ALTOS LOGROS Y DEPORTE ASOCIADO</v>
      </c>
      <c r="D875" s="47" t="str">
        <f>+IF(PAA_4[[#This Row],[UNIDAD DE CONTRATACION (formulado)]]="Subgerencia Administrativa y Financiera","FUNCIONAMIENTO","INVERSIÓN")</f>
        <v>INVERSIÓN</v>
      </c>
      <c r="E875" s="48" t="str">
        <f>VLOOKUP(Q875,[2]PROYECTOS!$G$1:$K$32,5,0)</f>
        <v>APOYO_TÉCNICO_Y_PSICOSOCIAL_A_LOS_DEPORTISTAS_DE_ANTIOQUIA</v>
      </c>
      <c r="F875" s="48">
        <f>VLOOKUP(E875,[2]PROYECTOS!$K$1:$M$32,3,0)</f>
        <v>2021003050069</v>
      </c>
      <c r="G875" s="67" t="s">
        <v>239</v>
      </c>
      <c r="H875" s="49" t="str">
        <f>VLOOKUP(Q875,[2]PROYECTOS!$V$1:$W$32,2,0)</f>
        <v>050069</v>
      </c>
      <c r="I875" s="50">
        <v>395238</v>
      </c>
      <c r="J875" s="340" t="s">
        <v>1783</v>
      </c>
      <c r="K875" s="47" t="str">
        <f t="shared" ca="1" si="292"/>
        <v>CONTRATADO</v>
      </c>
      <c r="L875" s="351" t="s">
        <v>42</v>
      </c>
      <c r="M875" s="65" t="s">
        <v>42</v>
      </c>
      <c r="N875" s="52" t="s">
        <v>240</v>
      </c>
      <c r="O875" s="51" t="e">
        <f>VLOOKUP(N875,[2]!RUBROS[#All],3,0)</f>
        <v>#REF!</v>
      </c>
      <c r="P875" s="53" t="e">
        <f>VLOOKUP(N875,[2]!RUBROS[#All],2,0)</f>
        <v>#REF!</v>
      </c>
      <c r="Q875" s="47" t="str">
        <f t="shared" si="293"/>
        <v>22</v>
      </c>
      <c r="R875" s="47" t="str">
        <f t="shared" si="294"/>
        <v>0-205400</v>
      </c>
      <c r="S875" s="342" t="s">
        <v>42</v>
      </c>
      <c r="T875" s="360" t="s">
        <v>42</v>
      </c>
      <c r="U875" s="326" t="e">
        <f ca="1">_xlfn.XLOOKUP(PAA_4[[#This Row],[ITEM]],[2]Contrato!A:A,[2]Contrato!Q:Q,"",0)</f>
        <v>#NAME?</v>
      </c>
      <c r="V875" s="47" t="s">
        <v>95</v>
      </c>
      <c r="W875" s="343" t="s">
        <v>42</v>
      </c>
      <c r="X875" s="343" t="s">
        <v>42</v>
      </c>
      <c r="Y875" s="55" t="e">
        <f ca="1">_xlfn.XLOOKUP(PAA_4[[#This Row],[ITEM]],[2]Contrato!A:A,[2]Contrato!B:B,"",0)</f>
        <v>#NAME?</v>
      </c>
      <c r="Z875" s="47" t="e">
        <f ca="1">_xlfn.XLOOKUP(PAA_4[[#This Row],[ITEM]],[2]Contrato!A:A,[2]Contrato!G:G,"",0)</f>
        <v>#NAME?</v>
      </c>
      <c r="AA875" s="47" t="e">
        <f ca="1">_xlfn.XLOOKUP(PAA_4[[#This Row],[ITEM]],[2]Contrato!A:A,[2]Contrato!T:T,"",0)</f>
        <v>#NAME?</v>
      </c>
      <c r="AB875" s="55" t="e">
        <f ca="1">+MAX(PAA_4[[#This Row],[Comprometido Contrato]],PAA_4[[#This Row],[Comprometido Bolsa]])</f>
        <v>#NAME?</v>
      </c>
      <c r="AC875" s="55" t="str">
        <f t="shared" ca="1" si="295"/>
        <v/>
      </c>
      <c r="AD875" s="55" t="e">
        <f ca="1">IF(PAA_4[[#This Row],[ESTADO (formulado)]]="NO CONTRATADO",0,MAX(PAA_4[[#This Row],[Pago por Contrato]],PAA_4[[#This Row],[Pago por bolsa]]))</f>
        <v>#NAME?</v>
      </c>
      <c r="AE875" s="55" t="str">
        <f t="shared" ca="1" si="296"/>
        <v/>
      </c>
      <c r="AF875" s="47" t="e">
        <f t="shared" ca="1" si="297"/>
        <v>#NAME?</v>
      </c>
      <c r="AG875" s="47">
        <f t="shared" si="298"/>
        <v>41080101</v>
      </c>
      <c r="AH875" s="54" t="str">
        <f>IF(Q875="22",IF(ISNUMBER(SEARCH("econ",PAA_4[[#This Row],[Actividad3]])),"Económico",IF(ISNUMBER(SEARCH("alim",PAA_4[[#This Row],[Actividad3]])),"Alimentación",IF(ISNUMBER(SEARCH("educ",PAA_4[[#This Row],[Actividad3]])),"Educativo","Técnico"))),0)</f>
        <v>Técnico</v>
      </c>
      <c r="AI875" s="47" t="e" cm="1">
        <f t="array" aca="1" ref="AI875" ca="1">_xlfn.XLOOKUP(PAA_4[[#This Row],[RCP-RUBRO]],[2]!COMPROMISOS_2024[[#All],[concatenado]],[2]!COMPROMISOS_2024[[#All],[Total pagado]],"",0)</f>
        <v>#NAME?</v>
      </c>
      <c r="AJ875" s="56" t="e">
        <f ca="1">IF(PAA_4[[#This Row],[BOLSA]]=0,0,SUMIFS([2]!COMPROMISOS_2024[[#All],[Total pagado]],[2]!COMPROMISOS_2024[[#All],[Bolsa]],PAA_4[[#This Row],[BOLSA]],[2]!COMPROMISOS_2024[[#All],[rubro]],PAA_4[[#This Row],[RCP-RUBRO]]))</f>
        <v>#REF!</v>
      </c>
      <c r="AK875" s="47" t="e" cm="1">
        <f t="array" aca="1" ref="AK875" ca="1">_xlfn.XLOOKUP(PAA_4[[#This Row],[RCP-RUBRO]],[2]!COMPROMISOS_2024[[#All],[concatenado]],[2]!COMPROMISOS_2024[[#All],[Total Comprometido]],"",0)</f>
        <v>#NAME?</v>
      </c>
      <c r="AL875" s="47" t="e">
        <f ca="1">IF(PAA_4[[#This Row],[BOLSA]]=0,0,SUMIFS([2]!COMPROMISOS_2024[[#All],[Total Comprometido]],[2]!COMPROMISOS_2024[[#All],[Bolsa]],PAA_4[[#This Row],[BOLSA]],[2]!COMPROMISOS_2024[[#All],[concatenado]],PAA_4[[#This Row],[RCP-RUBRO]]))</f>
        <v>#REF!</v>
      </c>
    </row>
    <row r="876" spans="1:38" s="19" customFormat="1" ht="31.5" customHeight="1">
      <c r="A876" s="47" t="s">
        <v>82</v>
      </c>
      <c r="B876" s="51" t="s">
        <v>42</v>
      </c>
      <c r="C876" s="47" t="str">
        <f>VLOOKUP(PAA_4[[#This Row],[PROYECTO (formulado)2]],[2]PROYECTOS!$G$1:$L$32,6,0)</f>
        <v>SUBGERENCIA DE ALTOS LOGROS Y DEPORTE ASOCIADO</v>
      </c>
      <c r="D876" s="47" t="str">
        <f>+IF(PAA_4[[#This Row],[UNIDAD DE CONTRATACION (formulado)]]="Subgerencia Administrativa y Financiera","FUNCIONAMIENTO","INVERSIÓN")</f>
        <v>INVERSIÓN</v>
      </c>
      <c r="E876" s="48" t="str">
        <f>VLOOKUP(Q876,[2]PROYECTOS!$G$1:$K$32,5,0)</f>
        <v>APOYO_TÉCNICO_Y_PSICOSOCIAL_A_LOS_DEPORTISTAS_DE_ANTIOQUIA</v>
      </c>
      <c r="F876" s="48">
        <f>VLOOKUP(E876,[2]PROYECTOS!$K$1:$M$32,3,0)</f>
        <v>2021003050069</v>
      </c>
      <c r="G876" s="67" t="s">
        <v>239</v>
      </c>
      <c r="H876" s="49" t="str">
        <f>VLOOKUP(Q876,[2]PROYECTOS!$V$1:$W$32,2,0)</f>
        <v>050069</v>
      </c>
      <c r="I876" s="50">
        <v>257484</v>
      </c>
      <c r="J876" s="340" t="s">
        <v>1783</v>
      </c>
      <c r="K876" s="47" t="str">
        <f t="shared" ca="1" si="292"/>
        <v>CONTRATADO</v>
      </c>
      <c r="L876" s="351" t="s">
        <v>42</v>
      </c>
      <c r="M876" s="65" t="s">
        <v>42</v>
      </c>
      <c r="N876" s="52" t="s">
        <v>240</v>
      </c>
      <c r="O876" s="51" t="e">
        <f>VLOOKUP(N876,[2]!RUBROS[#All],3,0)</f>
        <v>#REF!</v>
      </c>
      <c r="P876" s="53" t="e">
        <f>VLOOKUP(N876,[2]!RUBROS[#All],2,0)</f>
        <v>#REF!</v>
      </c>
      <c r="Q876" s="47" t="str">
        <f t="shared" si="293"/>
        <v>22</v>
      </c>
      <c r="R876" s="47" t="str">
        <f t="shared" si="294"/>
        <v>0-205400</v>
      </c>
      <c r="S876" s="342" t="s">
        <v>42</v>
      </c>
      <c r="T876" s="360" t="s">
        <v>42</v>
      </c>
      <c r="U876" s="326" t="e">
        <f ca="1">_xlfn.XLOOKUP(PAA_4[[#This Row],[ITEM]],[2]Contrato!A:A,[2]Contrato!Q:Q,"",0)</f>
        <v>#NAME?</v>
      </c>
      <c r="V876" s="47" t="s">
        <v>95</v>
      </c>
      <c r="W876" s="343" t="s">
        <v>42</v>
      </c>
      <c r="X876" s="343" t="s">
        <v>42</v>
      </c>
      <c r="Y876" s="55" t="e">
        <f ca="1">_xlfn.XLOOKUP(PAA_4[[#This Row],[ITEM]],[2]Contrato!A:A,[2]Contrato!B:B,"",0)</f>
        <v>#NAME?</v>
      </c>
      <c r="Z876" s="47" t="e">
        <f ca="1">_xlfn.XLOOKUP(PAA_4[[#This Row],[ITEM]],[2]Contrato!A:A,[2]Contrato!G:G,"",0)</f>
        <v>#NAME?</v>
      </c>
      <c r="AA876" s="47" t="e">
        <f ca="1">_xlfn.XLOOKUP(PAA_4[[#This Row],[ITEM]],[2]Contrato!A:A,[2]Contrato!T:T,"",0)</f>
        <v>#NAME?</v>
      </c>
      <c r="AB876" s="55" t="e">
        <f ca="1">+MAX(PAA_4[[#This Row],[Comprometido Contrato]],PAA_4[[#This Row],[Comprometido Bolsa]])</f>
        <v>#NAME?</v>
      </c>
      <c r="AC876" s="55" t="str">
        <f t="shared" ca="1" si="295"/>
        <v/>
      </c>
      <c r="AD876" s="55" t="e">
        <f ca="1">IF(PAA_4[[#This Row],[ESTADO (formulado)]]="NO CONTRATADO",0,MAX(PAA_4[[#This Row],[Pago por Contrato]],PAA_4[[#This Row],[Pago por bolsa]]))</f>
        <v>#NAME?</v>
      </c>
      <c r="AE876" s="55" t="str">
        <f t="shared" ca="1" si="296"/>
        <v/>
      </c>
      <c r="AF876" s="47" t="e">
        <f t="shared" ca="1" si="297"/>
        <v>#NAME?</v>
      </c>
      <c r="AG876" s="47">
        <f t="shared" si="298"/>
        <v>41080101</v>
      </c>
      <c r="AH876" s="54" t="str">
        <f>IF(Q876="22",IF(ISNUMBER(SEARCH("econ",PAA_4[[#This Row],[Actividad3]])),"Económico",IF(ISNUMBER(SEARCH("alim",PAA_4[[#This Row],[Actividad3]])),"Alimentación",IF(ISNUMBER(SEARCH("educ",PAA_4[[#This Row],[Actividad3]])),"Educativo","Técnico"))),0)</f>
        <v>Técnico</v>
      </c>
      <c r="AI876" s="47" t="e" cm="1">
        <f t="array" aca="1" ref="AI876" ca="1">_xlfn.XLOOKUP(PAA_4[[#This Row],[RCP-RUBRO]],[2]!COMPROMISOS_2024[[#All],[concatenado]],[2]!COMPROMISOS_2024[[#All],[Total pagado]],"",0)</f>
        <v>#NAME?</v>
      </c>
      <c r="AJ876" s="56" t="e">
        <f ca="1">IF(PAA_4[[#This Row],[BOLSA]]=0,0,SUMIFS([2]!COMPROMISOS_2024[[#All],[Total pagado]],[2]!COMPROMISOS_2024[[#All],[Bolsa]],PAA_4[[#This Row],[BOLSA]],[2]!COMPROMISOS_2024[[#All],[rubro]],PAA_4[[#This Row],[RCP-RUBRO]]))</f>
        <v>#REF!</v>
      </c>
      <c r="AK876" s="47" t="e" cm="1">
        <f t="array" aca="1" ref="AK876" ca="1">_xlfn.XLOOKUP(PAA_4[[#This Row],[RCP-RUBRO]],[2]!COMPROMISOS_2024[[#All],[concatenado]],[2]!COMPROMISOS_2024[[#All],[Total Comprometido]],"",0)</f>
        <v>#NAME?</v>
      </c>
      <c r="AL876" s="47" t="e">
        <f ca="1">IF(PAA_4[[#This Row],[BOLSA]]=0,0,SUMIFS([2]!COMPROMISOS_2024[[#All],[Total Comprometido]],[2]!COMPROMISOS_2024[[#All],[Bolsa]],PAA_4[[#This Row],[BOLSA]],[2]!COMPROMISOS_2024[[#All],[concatenado]],PAA_4[[#This Row],[RCP-RUBRO]]))</f>
        <v>#REF!</v>
      </c>
    </row>
    <row r="877" spans="1:38" s="19" customFormat="1" ht="31.5" customHeight="1">
      <c r="A877" s="47" t="s">
        <v>82</v>
      </c>
      <c r="B877" s="51" t="s">
        <v>42</v>
      </c>
      <c r="C877" s="47" t="str">
        <f>VLOOKUP(PAA_4[[#This Row],[PROYECTO (formulado)2]],[2]PROYECTOS!$G$1:$L$32,6,0)</f>
        <v>SUBGERENCIA DE ALTOS LOGROS Y DEPORTE ASOCIADO</v>
      </c>
      <c r="D877" s="47" t="str">
        <f>+IF(PAA_4[[#This Row],[UNIDAD DE CONTRATACION (formulado)]]="Subgerencia Administrativa y Financiera","FUNCIONAMIENTO","INVERSIÓN")</f>
        <v>INVERSIÓN</v>
      </c>
      <c r="E877" s="48" t="str">
        <f>VLOOKUP(Q877,[2]PROYECTOS!$G$1:$K$32,5,0)</f>
        <v>APOYO_TÉCNICO_Y_PSICOSOCIAL_A_LOS_DEPORTISTAS_DE_ANTIOQUIA</v>
      </c>
      <c r="F877" s="48">
        <f>VLOOKUP(E877,[2]PROYECTOS!$K$1:$M$32,3,0)</f>
        <v>2021003050069</v>
      </c>
      <c r="G877" s="67" t="s">
        <v>239</v>
      </c>
      <c r="H877" s="49" t="str">
        <f>VLOOKUP(Q877,[2]PROYECTOS!$V$1:$W$32,2,0)</f>
        <v>050069</v>
      </c>
      <c r="I877" s="50">
        <v>257484</v>
      </c>
      <c r="J877" s="340" t="s">
        <v>1783</v>
      </c>
      <c r="K877" s="47" t="str">
        <f t="shared" ca="1" si="292"/>
        <v>CONTRATADO</v>
      </c>
      <c r="L877" s="351" t="s">
        <v>42</v>
      </c>
      <c r="M877" s="65" t="s">
        <v>42</v>
      </c>
      <c r="N877" s="52" t="s">
        <v>240</v>
      </c>
      <c r="O877" s="51" t="e">
        <f>VLOOKUP(N877,[2]!RUBROS[#All],3,0)</f>
        <v>#REF!</v>
      </c>
      <c r="P877" s="53" t="e">
        <f>VLOOKUP(N877,[2]!RUBROS[#All],2,0)</f>
        <v>#REF!</v>
      </c>
      <c r="Q877" s="47" t="str">
        <f t="shared" si="293"/>
        <v>22</v>
      </c>
      <c r="R877" s="47" t="str">
        <f t="shared" si="294"/>
        <v>0-205400</v>
      </c>
      <c r="S877" s="342" t="s">
        <v>42</v>
      </c>
      <c r="T877" s="360" t="s">
        <v>42</v>
      </c>
      <c r="U877" s="326" t="e">
        <f ca="1">_xlfn.XLOOKUP(PAA_4[[#This Row],[ITEM]],[2]Contrato!A:A,[2]Contrato!Q:Q,"",0)</f>
        <v>#NAME?</v>
      </c>
      <c r="V877" s="47" t="s">
        <v>95</v>
      </c>
      <c r="W877" s="343" t="s">
        <v>42</v>
      </c>
      <c r="X877" s="343" t="s">
        <v>42</v>
      </c>
      <c r="Y877" s="55" t="e">
        <f ca="1">_xlfn.XLOOKUP(PAA_4[[#This Row],[ITEM]],[2]Contrato!A:A,[2]Contrato!B:B,"",0)</f>
        <v>#NAME?</v>
      </c>
      <c r="Z877" s="47" t="e">
        <f ca="1">_xlfn.XLOOKUP(PAA_4[[#This Row],[ITEM]],[2]Contrato!A:A,[2]Contrato!G:G,"",0)</f>
        <v>#NAME?</v>
      </c>
      <c r="AA877" s="47" t="e">
        <f ca="1">_xlfn.XLOOKUP(PAA_4[[#This Row],[ITEM]],[2]Contrato!A:A,[2]Contrato!T:T,"",0)</f>
        <v>#NAME?</v>
      </c>
      <c r="AB877" s="55" t="e">
        <f ca="1">+MAX(PAA_4[[#This Row],[Comprometido Contrato]],PAA_4[[#This Row],[Comprometido Bolsa]])</f>
        <v>#NAME?</v>
      </c>
      <c r="AC877" s="55" t="str">
        <f t="shared" ca="1" si="295"/>
        <v/>
      </c>
      <c r="AD877" s="55" t="e">
        <f ca="1">IF(PAA_4[[#This Row],[ESTADO (formulado)]]="NO CONTRATADO",0,MAX(PAA_4[[#This Row],[Pago por Contrato]],PAA_4[[#This Row],[Pago por bolsa]]))</f>
        <v>#NAME?</v>
      </c>
      <c r="AE877" s="55" t="str">
        <f t="shared" ca="1" si="296"/>
        <v/>
      </c>
      <c r="AF877" s="47" t="e">
        <f t="shared" ca="1" si="297"/>
        <v>#NAME?</v>
      </c>
      <c r="AG877" s="47">
        <f t="shared" si="298"/>
        <v>41080101</v>
      </c>
      <c r="AH877" s="54" t="str">
        <f>IF(Q877="22",IF(ISNUMBER(SEARCH("econ",PAA_4[[#This Row],[Actividad3]])),"Económico",IF(ISNUMBER(SEARCH("alim",PAA_4[[#This Row],[Actividad3]])),"Alimentación",IF(ISNUMBER(SEARCH("educ",PAA_4[[#This Row],[Actividad3]])),"Educativo","Técnico"))),0)</f>
        <v>Técnico</v>
      </c>
      <c r="AI877" s="47" t="e" cm="1">
        <f t="array" aca="1" ref="AI877" ca="1">_xlfn.XLOOKUP(PAA_4[[#This Row],[RCP-RUBRO]],[2]!COMPROMISOS_2024[[#All],[concatenado]],[2]!COMPROMISOS_2024[[#All],[Total pagado]],"",0)</f>
        <v>#NAME?</v>
      </c>
      <c r="AJ877" s="56" t="e">
        <f ca="1">IF(PAA_4[[#This Row],[BOLSA]]=0,0,SUMIFS([2]!COMPROMISOS_2024[[#All],[Total pagado]],[2]!COMPROMISOS_2024[[#All],[Bolsa]],PAA_4[[#This Row],[BOLSA]],[2]!COMPROMISOS_2024[[#All],[rubro]],PAA_4[[#This Row],[RCP-RUBRO]]))</f>
        <v>#REF!</v>
      </c>
      <c r="AK877" s="47" t="e" cm="1">
        <f t="array" aca="1" ref="AK877" ca="1">_xlfn.XLOOKUP(PAA_4[[#This Row],[RCP-RUBRO]],[2]!COMPROMISOS_2024[[#All],[concatenado]],[2]!COMPROMISOS_2024[[#All],[Total Comprometido]],"",0)</f>
        <v>#NAME?</v>
      </c>
      <c r="AL877" s="47" t="e">
        <f ca="1">IF(PAA_4[[#This Row],[BOLSA]]=0,0,SUMIFS([2]!COMPROMISOS_2024[[#All],[Total Comprometido]],[2]!COMPROMISOS_2024[[#All],[Bolsa]],PAA_4[[#This Row],[BOLSA]],[2]!COMPROMISOS_2024[[#All],[concatenado]],PAA_4[[#This Row],[RCP-RUBRO]]))</f>
        <v>#REF!</v>
      </c>
    </row>
    <row r="878" spans="1:38" s="19" customFormat="1" ht="31.5" customHeight="1">
      <c r="A878" s="47" t="s">
        <v>82</v>
      </c>
      <c r="B878" s="51" t="s">
        <v>42</v>
      </c>
      <c r="C878" s="47" t="str">
        <f>VLOOKUP(PAA_4[[#This Row],[PROYECTO (formulado)2]],[2]PROYECTOS!$G$1:$L$32,6,0)</f>
        <v>SUBGERENCIA DE ALTOS LOGROS Y DEPORTE ASOCIADO</v>
      </c>
      <c r="D878" s="47" t="str">
        <f>+IF(PAA_4[[#This Row],[UNIDAD DE CONTRATACION (formulado)]]="Subgerencia Administrativa y Financiera","FUNCIONAMIENTO","INVERSIÓN")</f>
        <v>INVERSIÓN</v>
      </c>
      <c r="E878" s="48" t="str">
        <f>VLOOKUP(Q878,[2]PROYECTOS!$G$1:$K$32,5,0)</f>
        <v>APOYO_TÉCNICO_Y_PSICOSOCIAL_A_LOS_DEPORTISTAS_DE_ANTIOQUIA</v>
      </c>
      <c r="F878" s="48">
        <f>VLOOKUP(E878,[2]PROYECTOS!$K$1:$M$32,3,0)</f>
        <v>2021003050069</v>
      </c>
      <c r="G878" s="67" t="s">
        <v>239</v>
      </c>
      <c r="H878" s="49" t="str">
        <f>VLOOKUP(Q878,[2]PROYECTOS!$V$1:$W$32,2,0)</f>
        <v>050069</v>
      </c>
      <c r="I878" s="50">
        <v>1580954</v>
      </c>
      <c r="J878" s="340" t="s">
        <v>1783</v>
      </c>
      <c r="K878" s="47" t="str">
        <f t="shared" ca="1" si="292"/>
        <v>CONTRATADO</v>
      </c>
      <c r="L878" s="351" t="s">
        <v>42</v>
      </c>
      <c r="M878" s="65" t="s">
        <v>42</v>
      </c>
      <c r="N878" s="52" t="s">
        <v>240</v>
      </c>
      <c r="O878" s="51" t="e">
        <f>VLOOKUP(N878,[2]!RUBROS[#All],3,0)</f>
        <v>#REF!</v>
      </c>
      <c r="P878" s="53" t="e">
        <f>VLOOKUP(N878,[2]!RUBROS[#All],2,0)</f>
        <v>#REF!</v>
      </c>
      <c r="Q878" s="47" t="str">
        <f t="shared" si="293"/>
        <v>22</v>
      </c>
      <c r="R878" s="47" t="str">
        <f t="shared" si="294"/>
        <v>0-205400</v>
      </c>
      <c r="S878" s="342" t="s">
        <v>42</v>
      </c>
      <c r="T878" s="360" t="s">
        <v>42</v>
      </c>
      <c r="U878" s="326" t="e">
        <f ca="1">_xlfn.XLOOKUP(PAA_4[[#This Row],[ITEM]],[2]Contrato!A:A,[2]Contrato!Q:Q,"",0)</f>
        <v>#NAME?</v>
      </c>
      <c r="V878" s="47" t="s">
        <v>95</v>
      </c>
      <c r="W878" s="343" t="s">
        <v>42</v>
      </c>
      <c r="X878" s="343" t="s">
        <v>42</v>
      </c>
      <c r="Y878" s="55" t="e">
        <f ca="1">_xlfn.XLOOKUP(PAA_4[[#This Row],[ITEM]],[2]Contrato!A:A,[2]Contrato!B:B,"",0)</f>
        <v>#NAME?</v>
      </c>
      <c r="Z878" s="47" t="e">
        <f ca="1">_xlfn.XLOOKUP(PAA_4[[#This Row],[ITEM]],[2]Contrato!A:A,[2]Contrato!G:G,"",0)</f>
        <v>#NAME?</v>
      </c>
      <c r="AA878" s="47" t="e">
        <f ca="1">_xlfn.XLOOKUP(PAA_4[[#This Row],[ITEM]],[2]Contrato!A:A,[2]Contrato!T:T,"",0)</f>
        <v>#NAME?</v>
      </c>
      <c r="AB878" s="55" t="e">
        <f ca="1">+MAX(PAA_4[[#This Row],[Comprometido Contrato]],PAA_4[[#This Row],[Comprometido Bolsa]])</f>
        <v>#NAME?</v>
      </c>
      <c r="AC878" s="55" t="str">
        <f t="shared" ca="1" si="295"/>
        <v/>
      </c>
      <c r="AD878" s="55" t="e">
        <f ca="1">IF(PAA_4[[#This Row],[ESTADO (formulado)]]="NO CONTRATADO",0,MAX(PAA_4[[#This Row],[Pago por Contrato]],PAA_4[[#This Row],[Pago por bolsa]]))</f>
        <v>#NAME?</v>
      </c>
      <c r="AE878" s="55" t="str">
        <f t="shared" ca="1" si="296"/>
        <v/>
      </c>
      <c r="AF878" s="47" t="e">
        <f t="shared" ca="1" si="297"/>
        <v>#NAME?</v>
      </c>
      <c r="AG878" s="47">
        <f t="shared" si="298"/>
        <v>41080101</v>
      </c>
      <c r="AH878" s="54" t="str">
        <f>IF(Q878="22",IF(ISNUMBER(SEARCH("econ",PAA_4[[#This Row],[Actividad3]])),"Económico",IF(ISNUMBER(SEARCH("alim",PAA_4[[#This Row],[Actividad3]])),"Alimentación",IF(ISNUMBER(SEARCH("educ",PAA_4[[#This Row],[Actividad3]])),"Educativo","Técnico"))),0)</f>
        <v>Técnico</v>
      </c>
      <c r="AI878" s="47" t="e" cm="1">
        <f t="array" aca="1" ref="AI878" ca="1">_xlfn.XLOOKUP(PAA_4[[#This Row],[RCP-RUBRO]],[2]!COMPROMISOS_2024[[#All],[concatenado]],[2]!COMPROMISOS_2024[[#All],[Total pagado]],"",0)</f>
        <v>#NAME?</v>
      </c>
      <c r="AJ878" s="56" t="e">
        <f ca="1">IF(PAA_4[[#This Row],[BOLSA]]=0,0,SUMIFS([2]!COMPROMISOS_2024[[#All],[Total pagado]],[2]!COMPROMISOS_2024[[#All],[Bolsa]],PAA_4[[#This Row],[BOLSA]],[2]!COMPROMISOS_2024[[#All],[rubro]],PAA_4[[#This Row],[RCP-RUBRO]]))</f>
        <v>#REF!</v>
      </c>
      <c r="AK878" s="47" t="e" cm="1">
        <f t="array" aca="1" ref="AK878" ca="1">_xlfn.XLOOKUP(PAA_4[[#This Row],[RCP-RUBRO]],[2]!COMPROMISOS_2024[[#All],[concatenado]],[2]!COMPROMISOS_2024[[#All],[Total Comprometido]],"",0)</f>
        <v>#NAME?</v>
      </c>
      <c r="AL878" s="47" t="e">
        <f ca="1">IF(PAA_4[[#This Row],[BOLSA]]=0,0,SUMIFS([2]!COMPROMISOS_2024[[#All],[Total Comprometido]],[2]!COMPROMISOS_2024[[#All],[Bolsa]],PAA_4[[#This Row],[BOLSA]],[2]!COMPROMISOS_2024[[#All],[concatenado]],PAA_4[[#This Row],[RCP-RUBRO]]))</f>
        <v>#REF!</v>
      </c>
    </row>
    <row r="879" spans="1:38" s="19" customFormat="1" ht="31.5" customHeight="1">
      <c r="A879" s="47" t="s">
        <v>82</v>
      </c>
      <c r="B879" s="51" t="s">
        <v>42</v>
      </c>
      <c r="C879" s="47" t="str">
        <f>VLOOKUP(PAA_4[[#This Row],[PROYECTO (formulado)2]],[2]PROYECTOS!$G$1:$L$32,6,0)</f>
        <v>SUBGERENCIA DE ALTOS LOGROS Y DEPORTE ASOCIADO</v>
      </c>
      <c r="D879" s="47" t="str">
        <f>+IF(PAA_4[[#This Row],[UNIDAD DE CONTRATACION (formulado)]]="Subgerencia Administrativa y Financiera","FUNCIONAMIENTO","INVERSIÓN")</f>
        <v>INVERSIÓN</v>
      </c>
      <c r="E879" s="48" t="str">
        <f>VLOOKUP(Q879,[2]PROYECTOS!$G$1:$K$32,5,0)</f>
        <v>APOYO_TÉCNICO_Y_PSICOSOCIAL_A_LOS_DEPORTISTAS_DE_ANTIOQUIA</v>
      </c>
      <c r="F879" s="48">
        <f>VLOOKUP(E879,[2]PROYECTOS!$K$1:$M$32,3,0)</f>
        <v>2021003050069</v>
      </c>
      <c r="G879" s="67" t="s">
        <v>239</v>
      </c>
      <c r="H879" s="49" t="str">
        <f>VLOOKUP(Q879,[2]PROYECTOS!$V$1:$W$32,2,0)</f>
        <v>050069</v>
      </c>
      <c r="I879" s="50">
        <v>1</v>
      </c>
      <c r="J879" s="340" t="s">
        <v>1783</v>
      </c>
      <c r="K879" s="47" t="str">
        <f t="shared" ca="1" si="292"/>
        <v>CONTRATADO</v>
      </c>
      <c r="L879" s="351" t="s">
        <v>42</v>
      </c>
      <c r="M879" s="65" t="s">
        <v>42</v>
      </c>
      <c r="N879" s="52" t="s">
        <v>240</v>
      </c>
      <c r="O879" s="51" t="e">
        <f>VLOOKUP(N879,[2]!RUBROS[#All],3,0)</f>
        <v>#REF!</v>
      </c>
      <c r="P879" s="53" t="e">
        <f>VLOOKUP(N879,[2]!RUBROS[#All],2,0)</f>
        <v>#REF!</v>
      </c>
      <c r="Q879" s="47" t="str">
        <f t="shared" si="293"/>
        <v>22</v>
      </c>
      <c r="R879" s="47" t="str">
        <f t="shared" si="294"/>
        <v>0-205400</v>
      </c>
      <c r="S879" s="342" t="s">
        <v>42</v>
      </c>
      <c r="T879" s="360" t="s">
        <v>42</v>
      </c>
      <c r="U879" s="326" t="e">
        <f ca="1">_xlfn.XLOOKUP(PAA_4[[#This Row],[ITEM]],[2]Contrato!A:A,[2]Contrato!Q:Q,"",0)</f>
        <v>#NAME?</v>
      </c>
      <c r="V879" s="47" t="s">
        <v>95</v>
      </c>
      <c r="W879" s="343" t="s">
        <v>42</v>
      </c>
      <c r="X879" s="343" t="s">
        <v>42</v>
      </c>
      <c r="Y879" s="55" t="e">
        <f ca="1">_xlfn.XLOOKUP(PAA_4[[#This Row],[ITEM]],[2]Contrato!A:A,[2]Contrato!B:B,"",0)</f>
        <v>#NAME?</v>
      </c>
      <c r="Z879" s="47" t="e">
        <f ca="1">_xlfn.XLOOKUP(PAA_4[[#This Row],[ITEM]],[2]Contrato!A:A,[2]Contrato!G:G,"",0)</f>
        <v>#NAME?</v>
      </c>
      <c r="AA879" s="47" t="e">
        <f ca="1">_xlfn.XLOOKUP(PAA_4[[#This Row],[ITEM]],[2]Contrato!A:A,[2]Contrato!T:T,"",0)</f>
        <v>#NAME?</v>
      </c>
      <c r="AB879" s="55" t="e">
        <f ca="1">+MAX(PAA_4[[#This Row],[Comprometido Contrato]],PAA_4[[#This Row],[Comprometido Bolsa]])</f>
        <v>#NAME?</v>
      </c>
      <c r="AC879" s="55" t="str">
        <f t="shared" ca="1" si="295"/>
        <v/>
      </c>
      <c r="AD879" s="55" t="e">
        <f ca="1">IF(PAA_4[[#This Row],[ESTADO (formulado)]]="NO CONTRATADO",0,MAX(PAA_4[[#This Row],[Pago por Contrato]],PAA_4[[#This Row],[Pago por bolsa]]))</f>
        <v>#NAME?</v>
      </c>
      <c r="AE879" s="55" t="str">
        <f t="shared" ca="1" si="296"/>
        <v/>
      </c>
      <c r="AF879" s="47" t="e">
        <f t="shared" ca="1" si="297"/>
        <v>#NAME?</v>
      </c>
      <c r="AG879" s="47">
        <f t="shared" si="298"/>
        <v>41080101</v>
      </c>
      <c r="AH879" s="54" t="str">
        <f>IF(Q879="22",IF(ISNUMBER(SEARCH("econ",PAA_4[[#This Row],[Actividad3]])),"Económico",IF(ISNUMBER(SEARCH("alim",PAA_4[[#This Row],[Actividad3]])),"Alimentación",IF(ISNUMBER(SEARCH("educ",PAA_4[[#This Row],[Actividad3]])),"Educativo","Técnico"))),0)</f>
        <v>Técnico</v>
      </c>
      <c r="AI879" s="47" t="e" cm="1">
        <f t="array" aca="1" ref="AI879" ca="1">_xlfn.XLOOKUP(PAA_4[[#This Row],[RCP-RUBRO]],[2]!COMPROMISOS_2024[[#All],[concatenado]],[2]!COMPROMISOS_2024[[#All],[Total pagado]],"",0)</f>
        <v>#NAME?</v>
      </c>
      <c r="AJ879" s="56" t="e">
        <f ca="1">IF(PAA_4[[#This Row],[BOLSA]]=0,0,SUMIFS([2]!COMPROMISOS_2024[[#All],[Total pagado]],[2]!COMPROMISOS_2024[[#All],[Bolsa]],PAA_4[[#This Row],[BOLSA]],[2]!COMPROMISOS_2024[[#All],[rubro]],PAA_4[[#This Row],[RCP-RUBRO]]))</f>
        <v>#REF!</v>
      </c>
      <c r="AK879" s="47" t="e" cm="1">
        <f t="array" aca="1" ref="AK879" ca="1">_xlfn.XLOOKUP(PAA_4[[#This Row],[RCP-RUBRO]],[2]!COMPROMISOS_2024[[#All],[concatenado]],[2]!COMPROMISOS_2024[[#All],[Total Comprometido]],"",0)</f>
        <v>#NAME?</v>
      </c>
      <c r="AL879" s="47" t="e">
        <f ca="1">IF(PAA_4[[#This Row],[BOLSA]]=0,0,SUMIFS([2]!COMPROMISOS_2024[[#All],[Total Comprometido]],[2]!COMPROMISOS_2024[[#All],[Bolsa]],PAA_4[[#This Row],[BOLSA]],[2]!COMPROMISOS_2024[[#All],[concatenado]],PAA_4[[#This Row],[RCP-RUBRO]]))</f>
        <v>#REF!</v>
      </c>
    </row>
    <row r="880" spans="1:38" s="19" customFormat="1" ht="31.5" customHeight="1">
      <c r="A880" s="47" t="s">
        <v>82</v>
      </c>
      <c r="B880" s="51" t="s">
        <v>42</v>
      </c>
      <c r="C880" s="47" t="str">
        <f>VLOOKUP(PAA_4[[#This Row],[PROYECTO (formulado)2]],[2]PROYECTOS!$G$1:$L$32,6,0)</f>
        <v>SUBGERENCIA DE ALTOS LOGROS Y DEPORTE ASOCIADO</v>
      </c>
      <c r="D880" s="47" t="str">
        <f>+IF(PAA_4[[#This Row],[UNIDAD DE CONTRATACION (formulado)]]="Subgerencia Administrativa y Financiera","FUNCIONAMIENTO","INVERSIÓN")</f>
        <v>INVERSIÓN</v>
      </c>
      <c r="E880" s="48" t="str">
        <f>VLOOKUP(Q880,[2]PROYECTOS!$G$1:$K$32,5,0)</f>
        <v>APOYO_TÉCNICO_Y_PSICOSOCIAL_A_LOS_DEPORTISTAS_DE_ANTIOQUIA</v>
      </c>
      <c r="F880" s="48">
        <f>VLOOKUP(E880,[2]PROYECTOS!$K$1:$M$32,3,0)</f>
        <v>2021003050069</v>
      </c>
      <c r="G880" s="67" t="s">
        <v>239</v>
      </c>
      <c r="H880" s="49" t="str">
        <f>VLOOKUP(Q880,[2]PROYECTOS!$V$1:$W$32,2,0)</f>
        <v>050069</v>
      </c>
      <c r="I880" s="50">
        <v>1054502</v>
      </c>
      <c r="J880" s="340" t="s">
        <v>1783</v>
      </c>
      <c r="K880" s="47" t="str">
        <f t="shared" ca="1" si="292"/>
        <v>CONTRATADO</v>
      </c>
      <c r="L880" s="351" t="s">
        <v>42</v>
      </c>
      <c r="M880" s="65" t="s">
        <v>42</v>
      </c>
      <c r="N880" s="52" t="s">
        <v>240</v>
      </c>
      <c r="O880" s="51" t="e">
        <f>VLOOKUP(N880,[2]!RUBROS[#All],3,0)</f>
        <v>#REF!</v>
      </c>
      <c r="P880" s="53" t="e">
        <f>VLOOKUP(N880,[2]!RUBROS[#All],2,0)</f>
        <v>#REF!</v>
      </c>
      <c r="Q880" s="47" t="str">
        <f t="shared" si="293"/>
        <v>22</v>
      </c>
      <c r="R880" s="47" t="str">
        <f t="shared" si="294"/>
        <v>0-205400</v>
      </c>
      <c r="S880" s="342" t="s">
        <v>42</v>
      </c>
      <c r="T880" s="360" t="s">
        <v>42</v>
      </c>
      <c r="U880" s="326" t="e">
        <f ca="1">_xlfn.XLOOKUP(PAA_4[[#This Row],[ITEM]],[2]Contrato!A:A,[2]Contrato!Q:Q,"",0)</f>
        <v>#NAME?</v>
      </c>
      <c r="V880" s="47" t="s">
        <v>95</v>
      </c>
      <c r="W880" s="343" t="s">
        <v>42</v>
      </c>
      <c r="X880" s="343" t="s">
        <v>42</v>
      </c>
      <c r="Y880" s="55" t="e">
        <f ca="1">_xlfn.XLOOKUP(PAA_4[[#This Row],[ITEM]],[2]Contrato!A:A,[2]Contrato!B:B,"",0)</f>
        <v>#NAME?</v>
      </c>
      <c r="Z880" s="47" t="e">
        <f ca="1">_xlfn.XLOOKUP(PAA_4[[#This Row],[ITEM]],[2]Contrato!A:A,[2]Contrato!G:G,"",0)</f>
        <v>#NAME?</v>
      </c>
      <c r="AA880" s="47" t="e">
        <f ca="1">_xlfn.XLOOKUP(PAA_4[[#This Row],[ITEM]],[2]Contrato!A:A,[2]Contrato!T:T,"",0)</f>
        <v>#NAME?</v>
      </c>
      <c r="AB880" s="55" t="e">
        <f ca="1">+MAX(PAA_4[[#This Row],[Comprometido Contrato]],PAA_4[[#This Row],[Comprometido Bolsa]])</f>
        <v>#NAME?</v>
      </c>
      <c r="AC880" s="55" t="str">
        <f t="shared" ca="1" si="295"/>
        <v/>
      </c>
      <c r="AD880" s="55" t="e">
        <f ca="1">IF(PAA_4[[#This Row],[ESTADO (formulado)]]="NO CONTRATADO",0,MAX(PAA_4[[#This Row],[Pago por Contrato]],PAA_4[[#This Row],[Pago por bolsa]]))</f>
        <v>#NAME?</v>
      </c>
      <c r="AE880" s="55" t="str">
        <f t="shared" ca="1" si="296"/>
        <v/>
      </c>
      <c r="AF880" s="47" t="e">
        <f t="shared" ca="1" si="297"/>
        <v>#NAME?</v>
      </c>
      <c r="AG880" s="47">
        <f t="shared" si="298"/>
        <v>41080101</v>
      </c>
      <c r="AH880" s="54" t="str">
        <f>IF(Q880="22",IF(ISNUMBER(SEARCH("econ",PAA_4[[#This Row],[Actividad3]])),"Económico",IF(ISNUMBER(SEARCH("alim",PAA_4[[#This Row],[Actividad3]])),"Alimentación",IF(ISNUMBER(SEARCH("educ",PAA_4[[#This Row],[Actividad3]])),"Educativo","Técnico"))),0)</f>
        <v>Técnico</v>
      </c>
      <c r="AI880" s="47" t="e" cm="1">
        <f t="array" aca="1" ref="AI880" ca="1">_xlfn.XLOOKUP(PAA_4[[#This Row],[RCP-RUBRO]],[2]!COMPROMISOS_2024[[#All],[concatenado]],[2]!COMPROMISOS_2024[[#All],[Total pagado]],"",0)</f>
        <v>#NAME?</v>
      </c>
      <c r="AJ880" s="56" t="e">
        <f ca="1">IF(PAA_4[[#This Row],[BOLSA]]=0,0,SUMIFS([2]!COMPROMISOS_2024[[#All],[Total pagado]],[2]!COMPROMISOS_2024[[#All],[Bolsa]],PAA_4[[#This Row],[BOLSA]],[2]!COMPROMISOS_2024[[#All],[rubro]],PAA_4[[#This Row],[RCP-RUBRO]]))</f>
        <v>#REF!</v>
      </c>
      <c r="AK880" s="47" t="e" cm="1">
        <f t="array" aca="1" ref="AK880" ca="1">_xlfn.XLOOKUP(PAA_4[[#This Row],[RCP-RUBRO]],[2]!COMPROMISOS_2024[[#All],[concatenado]],[2]!COMPROMISOS_2024[[#All],[Total Comprometido]],"",0)</f>
        <v>#NAME?</v>
      </c>
      <c r="AL880" s="47" t="e">
        <f ca="1">IF(PAA_4[[#This Row],[BOLSA]]=0,0,SUMIFS([2]!COMPROMISOS_2024[[#All],[Total Comprometido]],[2]!COMPROMISOS_2024[[#All],[Bolsa]],PAA_4[[#This Row],[BOLSA]],[2]!COMPROMISOS_2024[[#All],[concatenado]],PAA_4[[#This Row],[RCP-RUBRO]]))</f>
        <v>#REF!</v>
      </c>
    </row>
    <row r="881" spans="1:38" s="19" customFormat="1" ht="31.5" customHeight="1">
      <c r="A881" s="47" t="s">
        <v>82</v>
      </c>
      <c r="B881" s="51" t="s">
        <v>42</v>
      </c>
      <c r="C881" s="47" t="str">
        <f>VLOOKUP(PAA_4[[#This Row],[PROYECTO (formulado)2]],[2]PROYECTOS!$G$1:$L$32,6,0)</f>
        <v>SUBGERENCIA DE ALTOS LOGROS Y DEPORTE ASOCIADO</v>
      </c>
      <c r="D881" s="47" t="str">
        <f>+IF(PAA_4[[#This Row],[UNIDAD DE CONTRATACION (formulado)]]="Subgerencia Administrativa y Financiera","FUNCIONAMIENTO","INVERSIÓN")</f>
        <v>INVERSIÓN</v>
      </c>
      <c r="E881" s="48" t="str">
        <f>VLOOKUP(Q881,[2]PROYECTOS!$G$1:$K$32,5,0)</f>
        <v>Apoyo técnico a atletas y para-atletas que representan en alto rendimiento deportivo al departamento de Antioquia</v>
      </c>
      <c r="F881" s="48">
        <f>VLOOKUP(E881,[2]PROYECTOS!$K$1:$M$32,3,0)</f>
        <v>2024003050084</v>
      </c>
      <c r="G881" s="67" t="s">
        <v>1518</v>
      </c>
      <c r="H881" s="49" t="str">
        <f>VLOOKUP(Q881,[2]PROYECTOS!$V$1:$W$32,2,0)</f>
        <v>050079</v>
      </c>
      <c r="I881" s="50">
        <v>593115</v>
      </c>
      <c r="J881" s="340" t="s">
        <v>1783</v>
      </c>
      <c r="K881" s="47" t="str">
        <f t="shared" ca="1" si="292"/>
        <v>CONTRATADO</v>
      </c>
      <c r="L881" s="351" t="s">
        <v>42</v>
      </c>
      <c r="M881" s="65" t="s">
        <v>42</v>
      </c>
      <c r="N881" s="52" t="s">
        <v>1519</v>
      </c>
      <c r="O881" s="51" t="e">
        <f>VLOOKUP(N881,[2]!RUBROS[#All],3,0)</f>
        <v>#REF!</v>
      </c>
      <c r="P881" s="53" t="e">
        <f>VLOOKUP(N881,[2]!RUBROS[#All],2,0)</f>
        <v>#REF!</v>
      </c>
      <c r="Q881" s="47" t="str">
        <f t="shared" si="293"/>
        <v>84</v>
      </c>
      <c r="R881" s="47" t="str">
        <f t="shared" si="294"/>
        <v>0-205400</v>
      </c>
      <c r="S881" s="342" t="s">
        <v>42</v>
      </c>
      <c r="T881" s="360" t="s">
        <v>42</v>
      </c>
      <c r="U881" s="326" t="e">
        <f ca="1">_xlfn.XLOOKUP(PAA_4[[#This Row],[ITEM]],[2]Contrato!A:A,[2]Contrato!Q:Q,"",0)</f>
        <v>#NAME?</v>
      </c>
      <c r="V881" s="47" t="s">
        <v>95</v>
      </c>
      <c r="W881" s="343" t="s">
        <v>42</v>
      </c>
      <c r="X881" s="343" t="s">
        <v>42</v>
      </c>
      <c r="Y881" s="55" t="e">
        <f ca="1">_xlfn.XLOOKUP(PAA_4[[#This Row],[ITEM]],[2]Contrato!A:A,[2]Contrato!B:B,"",0)</f>
        <v>#NAME?</v>
      </c>
      <c r="Z881" s="47" t="e">
        <f ca="1">_xlfn.XLOOKUP(PAA_4[[#This Row],[ITEM]],[2]Contrato!A:A,[2]Contrato!G:G,"",0)</f>
        <v>#NAME?</v>
      </c>
      <c r="AA881" s="47" t="e">
        <f ca="1">_xlfn.XLOOKUP(PAA_4[[#This Row],[ITEM]],[2]Contrato!A:A,[2]Contrato!T:T,"",0)</f>
        <v>#NAME?</v>
      </c>
      <c r="AB881" s="55" t="e">
        <f ca="1">+MAX(PAA_4[[#This Row],[Comprometido Contrato]],PAA_4[[#This Row],[Comprometido Bolsa]])</f>
        <v>#NAME?</v>
      </c>
      <c r="AC881" s="55" t="str">
        <f t="shared" ca="1" si="295"/>
        <v/>
      </c>
      <c r="AD881" s="55" t="e">
        <f ca="1">IF(PAA_4[[#This Row],[ESTADO (formulado)]]="NO CONTRATADO",0,MAX(PAA_4[[#This Row],[Pago por Contrato]],PAA_4[[#This Row],[Pago por bolsa]]))</f>
        <v>#NAME?</v>
      </c>
      <c r="AE881" s="55" t="str">
        <f t="shared" ca="1" si="296"/>
        <v/>
      </c>
      <c r="AF881" s="47" t="e">
        <f t="shared" ca="1" si="297"/>
        <v>#NAME?</v>
      </c>
      <c r="AG881" s="47">
        <f t="shared" si="298"/>
        <v>52010802</v>
      </c>
      <c r="AH881" s="54">
        <f>IF(Q881="22",IF(ISNUMBER(SEARCH("econ",PAA_4[[#This Row],[Actividad3]])),"Económico",IF(ISNUMBER(SEARCH("alim",PAA_4[[#This Row],[Actividad3]])),"Alimentación",IF(ISNUMBER(SEARCH("educ",PAA_4[[#This Row],[Actividad3]])),"Educativo","Técnico"))),0)</f>
        <v>0</v>
      </c>
      <c r="AI881" s="47" t="e" cm="1">
        <f t="array" aca="1" ref="AI881" ca="1">_xlfn.XLOOKUP(PAA_4[[#This Row],[RCP-RUBRO]],[2]!COMPROMISOS_2024[[#All],[concatenado]],[2]!COMPROMISOS_2024[[#All],[Total pagado]],"",0)</f>
        <v>#NAME?</v>
      </c>
      <c r="AJ881" s="56">
        <f>IF(PAA_4[[#This Row],[BOLSA]]=0,0,SUMIFS([2]!COMPROMISOS_2024[[#All],[Total pagado]],[2]!COMPROMISOS_2024[[#All],[Bolsa]],PAA_4[[#This Row],[BOLSA]],[2]!COMPROMISOS_2024[[#All],[rubro]],PAA_4[[#This Row],[RCP-RUBRO]]))</f>
        <v>0</v>
      </c>
      <c r="AK881" s="47" t="e" cm="1">
        <f t="array" aca="1" ref="AK881" ca="1">_xlfn.XLOOKUP(PAA_4[[#This Row],[RCP-RUBRO]],[2]!COMPROMISOS_2024[[#All],[concatenado]],[2]!COMPROMISOS_2024[[#All],[Total Comprometido]],"",0)</f>
        <v>#NAME?</v>
      </c>
      <c r="AL881" s="47">
        <f>IF(PAA_4[[#This Row],[BOLSA]]=0,0,SUMIFS([2]!COMPROMISOS_2024[[#All],[Total Comprometido]],[2]!COMPROMISOS_2024[[#All],[Bolsa]],PAA_4[[#This Row],[BOLSA]],[2]!COMPROMISOS_2024[[#All],[concatenado]],PAA_4[[#This Row],[RCP-RUBRO]]))</f>
        <v>0</v>
      </c>
    </row>
    <row r="882" spans="1:38" s="19" customFormat="1" ht="31.5" customHeight="1">
      <c r="A882" s="47" t="s">
        <v>82</v>
      </c>
      <c r="B882" s="51" t="s">
        <v>42</v>
      </c>
      <c r="C882" s="47" t="str">
        <f>VLOOKUP(PAA_4[[#This Row],[PROYECTO (formulado)2]],[2]PROYECTOS!$G$1:$L$32,6,0)</f>
        <v>SUBGERENCIA DE ALTOS LOGROS Y DEPORTE ASOCIADO</v>
      </c>
      <c r="D882" s="47" t="str">
        <f>+IF(PAA_4[[#This Row],[UNIDAD DE CONTRATACION (formulado)]]="Subgerencia Administrativa y Financiera","FUNCIONAMIENTO","INVERSIÓN")</f>
        <v>INVERSIÓN</v>
      </c>
      <c r="E882" s="48" t="str">
        <f>VLOOKUP(Q882,[2]PROYECTOS!$G$1:$K$32,5,0)</f>
        <v>Apoyo técnico a atletas y para-atletas que representan en alto rendimiento deportivo al departamento de Antioquia</v>
      </c>
      <c r="F882" s="48">
        <f>VLOOKUP(E882,[2]PROYECTOS!$K$1:$M$32,3,0)</f>
        <v>2024003050084</v>
      </c>
      <c r="G882" s="67" t="s">
        <v>1518</v>
      </c>
      <c r="H882" s="49" t="str">
        <f>VLOOKUP(Q882,[2]PROYECTOS!$V$1:$W$32,2,0)</f>
        <v>050079</v>
      </c>
      <c r="I882" s="50">
        <v>490894</v>
      </c>
      <c r="J882" s="340" t="s">
        <v>1783</v>
      </c>
      <c r="K882" s="47" t="str">
        <f t="shared" ca="1" si="292"/>
        <v>CONTRATADO</v>
      </c>
      <c r="L882" s="351" t="s">
        <v>42</v>
      </c>
      <c r="M882" s="65" t="s">
        <v>42</v>
      </c>
      <c r="N882" s="52" t="s">
        <v>1519</v>
      </c>
      <c r="O882" s="51" t="e">
        <f>VLOOKUP(N882,[2]!RUBROS[#All],3,0)</f>
        <v>#REF!</v>
      </c>
      <c r="P882" s="53" t="e">
        <f>VLOOKUP(N882,[2]!RUBROS[#All],2,0)</f>
        <v>#REF!</v>
      </c>
      <c r="Q882" s="47" t="str">
        <f t="shared" si="293"/>
        <v>84</v>
      </c>
      <c r="R882" s="47" t="str">
        <f t="shared" si="294"/>
        <v>0-205400</v>
      </c>
      <c r="S882" s="342" t="s">
        <v>42</v>
      </c>
      <c r="T882" s="360" t="s">
        <v>42</v>
      </c>
      <c r="U882" s="326" t="e">
        <f ca="1">_xlfn.XLOOKUP(PAA_4[[#This Row],[ITEM]],[2]Contrato!A:A,[2]Contrato!Q:Q,"",0)</f>
        <v>#NAME?</v>
      </c>
      <c r="V882" s="47" t="s">
        <v>95</v>
      </c>
      <c r="W882" s="343" t="s">
        <v>42</v>
      </c>
      <c r="X882" s="343" t="s">
        <v>42</v>
      </c>
      <c r="Y882" s="55" t="e">
        <f ca="1">_xlfn.XLOOKUP(PAA_4[[#This Row],[ITEM]],[2]Contrato!A:A,[2]Contrato!B:B,"",0)</f>
        <v>#NAME?</v>
      </c>
      <c r="Z882" s="47" t="e">
        <f ca="1">_xlfn.XLOOKUP(PAA_4[[#This Row],[ITEM]],[2]Contrato!A:A,[2]Contrato!G:G,"",0)</f>
        <v>#NAME?</v>
      </c>
      <c r="AA882" s="47" t="e">
        <f ca="1">_xlfn.XLOOKUP(PAA_4[[#This Row],[ITEM]],[2]Contrato!A:A,[2]Contrato!T:T,"",0)</f>
        <v>#NAME?</v>
      </c>
      <c r="AB882" s="55" t="e">
        <f ca="1">+MAX(PAA_4[[#This Row],[Comprometido Contrato]],PAA_4[[#This Row],[Comprometido Bolsa]])</f>
        <v>#NAME?</v>
      </c>
      <c r="AC882" s="55" t="str">
        <f t="shared" ca="1" si="295"/>
        <v/>
      </c>
      <c r="AD882" s="55" t="e">
        <f ca="1">IF(PAA_4[[#This Row],[ESTADO (formulado)]]="NO CONTRATADO",0,MAX(PAA_4[[#This Row],[Pago por Contrato]],PAA_4[[#This Row],[Pago por bolsa]]))</f>
        <v>#NAME?</v>
      </c>
      <c r="AE882" s="55" t="str">
        <f t="shared" ca="1" si="296"/>
        <v/>
      </c>
      <c r="AF882" s="47" t="e">
        <f t="shared" ca="1" si="297"/>
        <v>#NAME?</v>
      </c>
      <c r="AG882" s="47">
        <f t="shared" si="298"/>
        <v>52010802</v>
      </c>
      <c r="AH882" s="54">
        <f>IF(Q882="22",IF(ISNUMBER(SEARCH("econ",PAA_4[[#This Row],[Actividad3]])),"Económico",IF(ISNUMBER(SEARCH("alim",PAA_4[[#This Row],[Actividad3]])),"Alimentación",IF(ISNUMBER(SEARCH("educ",PAA_4[[#This Row],[Actividad3]])),"Educativo","Técnico"))),0)</f>
        <v>0</v>
      </c>
      <c r="AI882" s="47" t="e" cm="1">
        <f t="array" aca="1" ref="AI882" ca="1">_xlfn.XLOOKUP(PAA_4[[#This Row],[RCP-RUBRO]],[2]!COMPROMISOS_2024[[#All],[concatenado]],[2]!COMPROMISOS_2024[[#All],[Total pagado]],"",0)</f>
        <v>#NAME?</v>
      </c>
      <c r="AJ882" s="56">
        <f>IF(PAA_4[[#This Row],[BOLSA]]=0,0,SUMIFS([2]!COMPROMISOS_2024[[#All],[Total pagado]],[2]!COMPROMISOS_2024[[#All],[Bolsa]],PAA_4[[#This Row],[BOLSA]],[2]!COMPROMISOS_2024[[#All],[rubro]],PAA_4[[#This Row],[RCP-RUBRO]]))</f>
        <v>0</v>
      </c>
      <c r="AK882" s="47" t="e" cm="1">
        <f t="array" aca="1" ref="AK882" ca="1">_xlfn.XLOOKUP(PAA_4[[#This Row],[RCP-RUBRO]],[2]!COMPROMISOS_2024[[#All],[concatenado]],[2]!COMPROMISOS_2024[[#All],[Total Comprometido]],"",0)</f>
        <v>#NAME?</v>
      </c>
      <c r="AL882" s="47">
        <f>IF(PAA_4[[#This Row],[BOLSA]]=0,0,SUMIFS([2]!COMPROMISOS_2024[[#All],[Total Comprometido]],[2]!COMPROMISOS_2024[[#All],[Bolsa]],PAA_4[[#This Row],[BOLSA]],[2]!COMPROMISOS_2024[[#All],[concatenado]],PAA_4[[#This Row],[RCP-RUBRO]]))</f>
        <v>0</v>
      </c>
    </row>
    <row r="883" spans="1:38" s="19" customFormat="1" ht="31.5" customHeight="1">
      <c r="A883" s="47" t="s">
        <v>82</v>
      </c>
      <c r="B883" s="51" t="s">
        <v>42</v>
      </c>
      <c r="C883" s="47" t="str">
        <f>VLOOKUP(PAA_4[[#This Row],[PROYECTO (formulado)2]],[2]PROYECTOS!$G$1:$L$32,6,0)</f>
        <v>SUBGERENCIA DE ALTOS LOGROS Y DEPORTE ASOCIADO</v>
      </c>
      <c r="D883" s="47" t="str">
        <f>+IF(PAA_4[[#This Row],[UNIDAD DE CONTRATACION (formulado)]]="Subgerencia Administrativa y Financiera","FUNCIONAMIENTO","INVERSIÓN")</f>
        <v>INVERSIÓN</v>
      </c>
      <c r="E883" s="48" t="str">
        <f>VLOOKUP(Q883,[2]PROYECTOS!$G$1:$K$32,5,0)</f>
        <v>Apoyo técnico a atletas y para-atletas que representan en alto rendimiento deportivo al departamento de Antioquia</v>
      </c>
      <c r="F883" s="48">
        <f>VLOOKUP(E883,[2]PROYECTOS!$K$1:$M$32,3,0)</f>
        <v>2024003050084</v>
      </c>
      <c r="G883" s="67" t="s">
        <v>1518</v>
      </c>
      <c r="H883" s="49" t="str">
        <f>VLOOKUP(Q883,[2]PROYECTOS!$V$1:$W$32,2,0)</f>
        <v>050079</v>
      </c>
      <c r="I883" s="50">
        <v>490894</v>
      </c>
      <c r="J883" s="340" t="s">
        <v>1783</v>
      </c>
      <c r="K883" s="47" t="str">
        <f t="shared" ca="1" si="292"/>
        <v>CONTRATADO</v>
      </c>
      <c r="L883" s="351" t="s">
        <v>42</v>
      </c>
      <c r="M883" s="65" t="s">
        <v>42</v>
      </c>
      <c r="N883" s="52" t="s">
        <v>1519</v>
      </c>
      <c r="O883" s="51" t="e">
        <f>VLOOKUP(N883,[2]!RUBROS[#All],3,0)</f>
        <v>#REF!</v>
      </c>
      <c r="P883" s="53" t="e">
        <f>VLOOKUP(N883,[2]!RUBROS[#All],2,0)</f>
        <v>#REF!</v>
      </c>
      <c r="Q883" s="47" t="str">
        <f t="shared" si="293"/>
        <v>84</v>
      </c>
      <c r="R883" s="47" t="str">
        <f t="shared" si="294"/>
        <v>0-205400</v>
      </c>
      <c r="S883" s="342" t="s">
        <v>42</v>
      </c>
      <c r="T883" s="360" t="s">
        <v>42</v>
      </c>
      <c r="U883" s="326" t="e">
        <f ca="1">_xlfn.XLOOKUP(PAA_4[[#This Row],[ITEM]],[2]Contrato!A:A,[2]Contrato!Q:Q,"",0)</f>
        <v>#NAME?</v>
      </c>
      <c r="V883" s="47" t="s">
        <v>95</v>
      </c>
      <c r="W883" s="343" t="s">
        <v>42</v>
      </c>
      <c r="X883" s="343" t="s">
        <v>42</v>
      </c>
      <c r="Y883" s="55" t="e">
        <f ca="1">_xlfn.XLOOKUP(PAA_4[[#This Row],[ITEM]],[2]Contrato!A:A,[2]Contrato!B:B,"",0)</f>
        <v>#NAME?</v>
      </c>
      <c r="Z883" s="47" t="e">
        <f ca="1">_xlfn.XLOOKUP(PAA_4[[#This Row],[ITEM]],[2]Contrato!A:A,[2]Contrato!G:G,"",0)</f>
        <v>#NAME?</v>
      </c>
      <c r="AA883" s="47" t="e">
        <f ca="1">_xlfn.XLOOKUP(PAA_4[[#This Row],[ITEM]],[2]Contrato!A:A,[2]Contrato!T:T,"",0)</f>
        <v>#NAME?</v>
      </c>
      <c r="AB883" s="55" t="e">
        <f ca="1">+MAX(PAA_4[[#This Row],[Comprometido Contrato]],PAA_4[[#This Row],[Comprometido Bolsa]])</f>
        <v>#NAME?</v>
      </c>
      <c r="AC883" s="55" t="str">
        <f t="shared" ca="1" si="295"/>
        <v/>
      </c>
      <c r="AD883" s="55" t="e">
        <f ca="1">IF(PAA_4[[#This Row],[ESTADO (formulado)]]="NO CONTRATADO",0,MAX(PAA_4[[#This Row],[Pago por Contrato]],PAA_4[[#This Row],[Pago por bolsa]]))</f>
        <v>#NAME?</v>
      </c>
      <c r="AE883" s="55" t="str">
        <f t="shared" ca="1" si="296"/>
        <v/>
      </c>
      <c r="AF883" s="47" t="e">
        <f t="shared" ca="1" si="297"/>
        <v>#NAME?</v>
      </c>
      <c r="AG883" s="47">
        <f t="shared" si="298"/>
        <v>52010802</v>
      </c>
      <c r="AH883" s="54">
        <f>IF(Q883="22",IF(ISNUMBER(SEARCH("econ",PAA_4[[#This Row],[Actividad3]])),"Económico",IF(ISNUMBER(SEARCH("alim",PAA_4[[#This Row],[Actividad3]])),"Alimentación",IF(ISNUMBER(SEARCH("educ",PAA_4[[#This Row],[Actividad3]])),"Educativo","Técnico"))),0)</f>
        <v>0</v>
      </c>
      <c r="AI883" s="47" t="e" cm="1">
        <f t="array" aca="1" ref="AI883" ca="1">_xlfn.XLOOKUP(PAA_4[[#This Row],[RCP-RUBRO]],[2]!COMPROMISOS_2024[[#All],[concatenado]],[2]!COMPROMISOS_2024[[#All],[Total pagado]],"",0)</f>
        <v>#NAME?</v>
      </c>
      <c r="AJ883" s="56">
        <f>IF(PAA_4[[#This Row],[BOLSA]]=0,0,SUMIFS([2]!COMPROMISOS_2024[[#All],[Total pagado]],[2]!COMPROMISOS_2024[[#All],[Bolsa]],PAA_4[[#This Row],[BOLSA]],[2]!COMPROMISOS_2024[[#All],[rubro]],PAA_4[[#This Row],[RCP-RUBRO]]))</f>
        <v>0</v>
      </c>
      <c r="AK883" s="47" t="e" cm="1">
        <f t="array" aca="1" ref="AK883" ca="1">_xlfn.XLOOKUP(PAA_4[[#This Row],[RCP-RUBRO]],[2]!COMPROMISOS_2024[[#All],[concatenado]],[2]!COMPROMISOS_2024[[#All],[Total Comprometido]],"",0)</f>
        <v>#NAME?</v>
      </c>
      <c r="AL883" s="47">
        <f>IF(PAA_4[[#This Row],[BOLSA]]=0,0,SUMIFS([2]!COMPROMISOS_2024[[#All],[Total Comprometido]],[2]!COMPROMISOS_2024[[#All],[Bolsa]],PAA_4[[#This Row],[BOLSA]],[2]!COMPROMISOS_2024[[#All],[concatenado]],PAA_4[[#This Row],[RCP-RUBRO]]))</f>
        <v>0</v>
      </c>
    </row>
    <row r="884" spans="1:38" s="19" customFormat="1" ht="31.5" customHeight="1">
      <c r="A884" s="47" t="s">
        <v>82</v>
      </c>
      <c r="B884" s="51" t="s">
        <v>42</v>
      </c>
      <c r="C884" s="47" t="str">
        <f>VLOOKUP(PAA_4[[#This Row],[PROYECTO (formulado)2]],[2]PROYECTOS!$G$1:$L$32,6,0)</f>
        <v>SUBGERENCIA DE ALTOS LOGROS Y DEPORTE ASOCIADO</v>
      </c>
      <c r="D884" s="47" t="str">
        <f>+IF(PAA_4[[#This Row],[UNIDAD DE CONTRATACION (formulado)]]="Subgerencia Administrativa y Financiera","FUNCIONAMIENTO","INVERSIÓN")</f>
        <v>INVERSIÓN</v>
      </c>
      <c r="E884" s="48" t="str">
        <f>VLOOKUP(Q884,[2]PROYECTOS!$G$1:$K$32,5,0)</f>
        <v>Apoyo técnico a atletas y para-atletas que representan en alto rendimiento deportivo al departamento de Antioquia</v>
      </c>
      <c r="F884" s="48">
        <f>VLOOKUP(E884,[2]PROYECTOS!$K$1:$M$32,3,0)</f>
        <v>2024003050084</v>
      </c>
      <c r="G884" s="67" t="s">
        <v>1518</v>
      </c>
      <c r="H884" s="49" t="str">
        <f>VLOOKUP(Q884,[2]PROYECTOS!$V$1:$W$32,2,0)</f>
        <v>050079</v>
      </c>
      <c r="I884" s="50">
        <v>395238</v>
      </c>
      <c r="J884" s="340" t="s">
        <v>1783</v>
      </c>
      <c r="K884" s="47" t="str">
        <f t="shared" ca="1" si="292"/>
        <v>CONTRATADO</v>
      </c>
      <c r="L884" s="351" t="s">
        <v>42</v>
      </c>
      <c r="M884" s="65" t="s">
        <v>42</v>
      </c>
      <c r="N884" s="52" t="s">
        <v>1519</v>
      </c>
      <c r="O884" s="51" t="e">
        <f>VLOOKUP(N884,[2]!RUBROS[#All],3,0)</f>
        <v>#REF!</v>
      </c>
      <c r="P884" s="53" t="e">
        <f>VLOOKUP(N884,[2]!RUBROS[#All],2,0)</f>
        <v>#REF!</v>
      </c>
      <c r="Q884" s="47" t="str">
        <f t="shared" si="293"/>
        <v>84</v>
      </c>
      <c r="R884" s="47" t="str">
        <f t="shared" si="294"/>
        <v>0-205400</v>
      </c>
      <c r="S884" s="342" t="s">
        <v>42</v>
      </c>
      <c r="T884" s="360" t="s">
        <v>42</v>
      </c>
      <c r="U884" s="326" t="e">
        <f ca="1">_xlfn.XLOOKUP(PAA_4[[#This Row],[ITEM]],[2]Contrato!A:A,[2]Contrato!Q:Q,"",0)</f>
        <v>#NAME?</v>
      </c>
      <c r="V884" s="47" t="s">
        <v>95</v>
      </c>
      <c r="W884" s="343" t="s">
        <v>42</v>
      </c>
      <c r="X884" s="343" t="s">
        <v>42</v>
      </c>
      <c r="Y884" s="55" t="e">
        <f ca="1">_xlfn.XLOOKUP(PAA_4[[#This Row],[ITEM]],[2]Contrato!A:A,[2]Contrato!B:B,"",0)</f>
        <v>#NAME?</v>
      </c>
      <c r="Z884" s="47" t="e">
        <f ca="1">_xlfn.XLOOKUP(PAA_4[[#This Row],[ITEM]],[2]Contrato!A:A,[2]Contrato!G:G,"",0)</f>
        <v>#NAME?</v>
      </c>
      <c r="AA884" s="47" t="e">
        <f ca="1">_xlfn.XLOOKUP(PAA_4[[#This Row],[ITEM]],[2]Contrato!A:A,[2]Contrato!T:T,"",0)</f>
        <v>#NAME?</v>
      </c>
      <c r="AB884" s="55" t="e">
        <f ca="1">+MAX(PAA_4[[#This Row],[Comprometido Contrato]],PAA_4[[#This Row],[Comprometido Bolsa]])</f>
        <v>#NAME?</v>
      </c>
      <c r="AC884" s="55" t="str">
        <f t="shared" ca="1" si="295"/>
        <v/>
      </c>
      <c r="AD884" s="55" t="e">
        <f ca="1">IF(PAA_4[[#This Row],[ESTADO (formulado)]]="NO CONTRATADO",0,MAX(PAA_4[[#This Row],[Pago por Contrato]],PAA_4[[#This Row],[Pago por bolsa]]))</f>
        <v>#NAME?</v>
      </c>
      <c r="AE884" s="55" t="str">
        <f t="shared" ca="1" si="296"/>
        <v/>
      </c>
      <c r="AF884" s="47" t="e">
        <f t="shared" ca="1" si="297"/>
        <v>#NAME?</v>
      </c>
      <c r="AG884" s="47">
        <f t="shared" si="298"/>
        <v>52010802</v>
      </c>
      <c r="AH884" s="54">
        <f>IF(Q884="22",IF(ISNUMBER(SEARCH("econ",PAA_4[[#This Row],[Actividad3]])),"Económico",IF(ISNUMBER(SEARCH("alim",PAA_4[[#This Row],[Actividad3]])),"Alimentación",IF(ISNUMBER(SEARCH("educ",PAA_4[[#This Row],[Actividad3]])),"Educativo","Técnico"))),0)</f>
        <v>0</v>
      </c>
      <c r="AI884" s="47" t="e" cm="1">
        <f t="array" aca="1" ref="AI884" ca="1">_xlfn.XLOOKUP(PAA_4[[#This Row],[RCP-RUBRO]],[2]!COMPROMISOS_2024[[#All],[concatenado]],[2]!COMPROMISOS_2024[[#All],[Total pagado]],"",0)</f>
        <v>#NAME?</v>
      </c>
      <c r="AJ884" s="56">
        <f>IF(PAA_4[[#This Row],[BOLSA]]=0,0,SUMIFS([2]!COMPROMISOS_2024[[#All],[Total pagado]],[2]!COMPROMISOS_2024[[#All],[Bolsa]],PAA_4[[#This Row],[BOLSA]],[2]!COMPROMISOS_2024[[#All],[rubro]],PAA_4[[#This Row],[RCP-RUBRO]]))</f>
        <v>0</v>
      </c>
      <c r="AK884" s="47" t="e" cm="1">
        <f t="array" aca="1" ref="AK884" ca="1">_xlfn.XLOOKUP(PAA_4[[#This Row],[RCP-RUBRO]],[2]!COMPROMISOS_2024[[#All],[concatenado]],[2]!COMPROMISOS_2024[[#All],[Total Comprometido]],"",0)</f>
        <v>#NAME?</v>
      </c>
      <c r="AL884" s="47">
        <f>IF(PAA_4[[#This Row],[BOLSA]]=0,0,SUMIFS([2]!COMPROMISOS_2024[[#All],[Total Comprometido]],[2]!COMPROMISOS_2024[[#All],[Bolsa]],PAA_4[[#This Row],[BOLSA]],[2]!COMPROMISOS_2024[[#All],[concatenado]],PAA_4[[#This Row],[RCP-RUBRO]]))</f>
        <v>0</v>
      </c>
    </row>
    <row r="885" spans="1:38" s="19" customFormat="1" ht="31.5" customHeight="1">
      <c r="A885" s="47" t="s">
        <v>82</v>
      </c>
      <c r="B885" s="51" t="s">
        <v>42</v>
      </c>
      <c r="C885" s="47" t="str">
        <f>VLOOKUP(PAA_4[[#This Row],[PROYECTO (formulado)2]],[2]PROYECTOS!$G$1:$L$32,6,0)</f>
        <v>SUBGERENCIA DE ALTOS LOGROS Y DEPORTE ASOCIADO</v>
      </c>
      <c r="D885" s="47" t="str">
        <f>+IF(PAA_4[[#This Row],[UNIDAD DE CONTRATACION (formulado)]]="Subgerencia Administrativa y Financiera","FUNCIONAMIENTO","INVERSIÓN")</f>
        <v>INVERSIÓN</v>
      </c>
      <c r="E885" s="48" t="str">
        <f>VLOOKUP(Q885,[2]PROYECTOS!$G$1:$K$32,5,0)</f>
        <v>Apoyo técnico a atletas y para-atletas que representan en alto rendimiento deportivo al departamento de Antioquia</v>
      </c>
      <c r="F885" s="48">
        <f>VLOOKUP(E885,[2]PROYECTOS!$K$1:$M$32,3,0)</f>
        <v>2024003050084</v>
      </c>
      <c r="G885" s="67" t="s">
        <v>1518</v>
      </c>
      <c r="H885" s="49" t="str">
        <f>VLOOKUP(Q885,[2]PROYECTOS!$V$1:$W$32,2,0)</f>
        <v>050079</v>
      </c>
      <c r="I885" s="50">
        <v>395238</v>
      </c>
      <c r="J885" s="340" t="s">
        <v>1783</v>
      </c>
      <c r="K885" s="47" t="str">
        <f t="shared" ca="1" si="292"/>
        <v>CONTRATADO</v>
      </c>
      <c r="L885" s="351" t="s">
        <v>42</v>
      </c>
      <c r="M885" s="65" t="s">
        <v>42</v>
      </c>
      <c r="N885" s="52" t="s">
        <v>1519</v>
      </c>
      <c r="O885" s="51" t="e">
        <f>VLOOKUP(N885,[2]!RUBROS[#All],3,0)</f>
        <v>#REF!</v>
      </c>
      <c r="P885" s="53" t="e">
        <f>VLOOKUP(N885,[2]!RUBROS[#All],2,0)</f>
        <v>#REF!</v>
      </c>
      <c r="Q885" s="47" t="str">
        <f t="shared" si="293"/>
        <v>84</v>
      </c>
      <c r="R885" s="47" t="str">
        <f t="shared" si="294"/>
        <v>0-205400</v>
      </c>
      <c r="S885" s="342" t="s">
        <v>42</v>
      </c>
      <c r="T885" s="360" t="s">
        <v>42</v>
      </c>
      <c r="U885" s="326" t="e">
        <f ca="1">_xlfn.XLOOKUP(PAA_4[[#This Row],[ITEM]],[2]Contrato!A:A,[2]Contrato!Q:Q,"",0)</f>
        <v>#NAME?</v>
      </c>
      <c r="V885" s="47" t="s">
        <v>95</v>
      </c>
      <c r="W885" s="343" t="s">
        <v>42</v>
      </c>
      <c r="X885" s="343" t="s">
        <v>42</v>
      </c>
      <c r="Y885" s="55" t="e">
        <f ca="1">_xlfn.XLOOKUP(PAA_4[[#This Row],[ITEM]],[2]Contrato!A:A,[2]Contrato!B:B,"",0)</f>
        <v>#NAME?</v>
      </c>
      <c r="Z885" s="47" t="e">
        <f ca="1">_xlfn.XLOOKUP(PAA_4[[#This Row],[ITEM]],[2]Contrato!A:A,[2]Contrato!G:G,"",0)</f>
        <v>#NAME?</v>
      </c>
      <c r="AA885" s="47" t="e">
        <f ca="1">_xlfn.XLOOKUP(PAA_4[[#This Row],[ITEM]],[2]Contrato!A:A,[2]Contrato!T:T,"",0)</f>
        <v>#NAME?</v>
      </c>
      <c r="AB885" s="55" t="e">
        <f ca="1">+MAX(PAA_4[[#This Row],[Comprometido Contrato]],PAA_4[[#This Row],[Comprometido Bolsa]])</f>
        <v>#NAME?</v>
      </c>
      <c r="AC885" s="55" t="str">
        <f t="shared" ca="1" si="295"/>
        <v/>
      </c>
      <c r="AD885" s="55" t="e">
        <f ca="1">IF(PAA_4[[#This Row],[ESTADO (formulado)]]="NO CONTRATADO",0,MAX(PAA_4[[#This Row],[Pago por Contrato]],PAA_4[[#This Row],[Pago por bolsa]]))</f>
        <v>#NAME?</v>
      </c>
      <c r="AE885" s="55" t="str">
        <f t="shared" ca="1" si="296"/>
        <v/>
      </c>
      <c r="AF885" s="47" t="e">
        <f t="shared" ca="1" si="297"/>
        <v>#NAME?</v>
      </c>
      <c r="AG885" s="47">
        <f t="shared" si="298"/>
        <v>52010802</v>
      </c>
      <c r="AH885" s="54">
        <f>IF(Q885="22",IF(ISNUMBER(SEARCH("econ",PAA_4[[#This Row],[Actividad3]])),"Económico",IF(ISNUMBER(SEARCH("alim",PAA_4[[#This Row],[Actividad3]])),"Alimentación",IF(ISNUMBER(SEARCH("educ",PAA_4[[#This Row],[Actividad3]])),"Educativo","Técnico"))),0)</f>
        <v>0</v>
      </c>
      <c r="AI885" s="47" t="e" cm="1">
        <f t="array" aca="1" ref="AI885" ca="1">_xlfn.XLOOKUP(PAA_4[[#This Row],[RCP-RUBRO]],[2]!COMPROMISOS_2024[[#All],[concatenado]],[2]!COMPROMISOS_2024[[#All],[Total pagado]],"",0)</f>
        <v>#NAME?</v>
      </c>
      <c r="AJ885" s="56">
        <f>IF(PAA_4[[#This Row],[BOLSA]]=0,0,SUMIFS([2]!COMPROMISOS_2024[[#All],[Total pagado]],[2]!COMPROMISOS_2024[[#All],[Bolsa]],PAA_4[[#This Row],[BOLSA]],[2]!COMPROMISOS_2024[[#All],[rubro]],PAA_4[[#This Row],[RCP-RUBRO]]))</f>
        <v>0</v>
      </c>
      <c r="AK885" s="47" t="e" cm="1">
        <f t="array" aca="1" ref="AK885" ca="1">_xlfn.XLOOKUP(PAA_4[[#This Row],[RCP-RUBRO]],[2]!COMPROMISOS_2024[[#All],[concatenado]],[2]!COMPROMISOS_2024[[#All],[Total Comprometido]],"",0)</f>
        <v>#NAME?</v>
      </c>
      <c r="AL885" s="47">
        <f>IF(PAA_4[[#This Row],[BOLSA]]=0,0,SUMIFS([2]!COMPROMISOS_2024[[#All],[Total Comprometido]],[2]!COMPROMISOS_2024[[#All],[Bolsa]],PAA_4[[#This Row],[BOLSA]],[2]!COMPROMISOS_2024[[#All],[concatenado]],PAA_4[[#This Row],[RCP-RUBRO]]))</f>
        <v>0</v>
      </c>
    </row>
    <row r="886" spans="1:38" s="19" customFormat="1" ht="31.5" customHeight="1">
      <c r="A886" s="47" t="s">
        <v>82</v>
      </c>
      <c r="B886" s="51" t="s">
        <v>42</v>
      </c>
      <c r="C886" s="47" t="str">
        <f>VLOOKUP(PAA_4[[#This Row],[PROYECTO (formulado)2]],[2]PROYECTOS!$G$1:$L$32,6,0)</f>
        <v>SUBGERENCIA DE ALTOS LOGROS Y DEPORTE ASOCIADO</v>
      </c>
      <c r="D886" s="47" t="str">
        <f>+IF(PAA_4[[#This Row],[UNIDAD DE CONTRATACION (formulado)]]="Subgerencia Administrativa y Financiera","FUNCIONAMIENTO","INVERSIÓN")</f>
        <v>INVERSIÓN</v>
      </c>
      <c r="E886" s="48" t="str">
        <f>VLOOKUP(Q886,[2]PROYECTOS!$G$1:$K$32,5,0)</f>
        <v>Apoyo técnico a atletas y para-atletas que representan en alto rendimiento deportivo al departamento de Antioquia</v>
      </c>
      <c r="F886" s="48">
        <f>VLOOKUP(E886,[2]PROYECTOS!$K$1:$M$32,3,0)</f>
        <v>2024003050084</v>
      </c>
      <c r="G886" s="67" t="s">
        <v>1518</v>
      </c>
      <c r="H886" s="49" t="str">
        <f>VLOOKUP(Q886,[2]PROYECTOS!$V$1:$W$32,2,0)</f>
        <v>050079</v>
      </c>
      <c r="I886" s="50">
        <v>593115</v>
      </c>
      <c r="J886" s="340" t="s">
        <v>1783</v>
      </c>
      <c r="K886" s="47" t="str">
        <f t="shared" ca="1" si="292"/>
        <v>CONTRATADO</v>
      </c>
      <c r="L886" s="351" t="s">
        <v>42</v>
      </c>
      <c r="M886" s="65" t="s">
        <v>42</v>
      </c>
      <c r="N886" s="52" t="s">
        <v>1519</v>
      </c>
      <c r="O886" s="51" t="e">
        <f>VLOOKUP(N886,[2]!RUBROS[#All],3,0)</f>
        <v>#REF!</v>
      </c>
      <c r="P886" s="53" t="e">
        <f>VLOOKUP(N886,[2]!RUBROS[#All],2,0)</f>
        <v>#REF!</v>
      </c>
      <c r="Q886" s="47" t="str">
        <f t="shared" si="293"/>
        <v>84</v>
      </c>
      <c r="R886" s="47" t="str">
        <f t="shared" si="294"/>
        <v>0-205400</v>
      </c>
      <c r="S886" s="342" t="s">
        <v>42</v>
      </c>
      <c r="T886" s="360" t="s">
        <v>42</v>
      </c>
      <c r="U886" s="326" t="e">
        <f ca="1">_xlfn.XLOOKUP(PAA_4[[#This Row],[ITEM]],[2]Contrato!A:A,[2]Contrato!Q:Q,"",0)</f>
        <v>#NAME?</v>
      </c>
      <c r="V886" s="47" t="s">
        <v>95</v>
      </c>
      <c r="W886" s="343" t="s">
        <v>42</v>
      </c>
      <c r="X886" s="343" t="s">
        <v>42</v>
      </c>
      <c r="Y886" s="55" t="e">
        <f ca="1">_xlfn.XLOOKUP(PAA_4[[#This Row],[ITEM]],[2]Contrato!A:A,[2]Contrato!B:B,"",0)</f>
        <v>#NAME?</v>
      </c>
      <c r="Z886" s="47" t="e">
        <f ca="1">_xlfn.XLOOKUP(PAA_4[[#This Row],[ITEM]],[2]Contrato!A:A,[2]Contrato!G:G,"",0)</f>
        <v>#NAME?</v>
      </c>
      <c r="AA886" s="47" t="e">
        <f ca="1">_xlfn.XLOOKUP(PAA_4[[#This Row],[ITEM]],[2]Contrato!A:A,[2]Contrato!T:T,"",0)</f>
        <v>#NAME?</v>
      </c>
      <c r="AB886" s="55" t="e">
        <f ca="1">+MAX(PAA_4[[#This Row],[Comprometido Contrato]],PAA_4[[#This Row],[Comprometido Bolsa]])</f>
        <v>#NAME?</v>
      </c>
      <c r="AC886" s="55" t="str">
        <f t="shared" ca="1" si="295"/>
        <v/>
      </c>
      <c r="AD886" s="55" t="e">
        <f ca="1">IF(PAA_4[[#This Row],[ESTADO (formulado)]]="NO CONTRATADO",0,MAX(PAA_4[[#This Row],[Pago por Contrato]],PAA_4[[#This Row],[Pago por bolsa]]))</f>
        <v>#NAME?</v>
      </c>
      <c r="AE886" s="55" t="str">
        <f t="shared" ca="1" si="296"/>
        <v/>
      </c>
      <c r="AF886" s="47" t="e">
        <f t="shared" ca="1" si="297"/>
        <v>#NAME?</v>
      </c>
      <c r="AG886" s="47">
        <f t="shared" si="298"/>
        <v>52010802</v>
      </c>
      <c r="AH886" s="54">
        <f>IF(Q886="22",IF(ISNUMBER(SEARCH("econ",PAA_4[[#This Row],[Actividad3]])),"Económico",IF(ISNUMBER(SEARCH("alim",PAA_4[[#This Row],[Actividad3]])),"Alimentación",IF(ISNUMBER(SEARCH("educ",PAA_4[[#This Row],[Actividad3]])),"Educativo","Técnico"))),0)</f>
        <v>0</v>
      </c>
      <c r="AI886" s="47" t="e" cm="1">
        <f t="array" aca="1" ref="AI886" ca="1">_xlfn.XLOOKUP(PAA_4[[#This Row],[RCP-RUBRO]],[2]!COMPROMISOS_2024[[#All],[concatenado]],[2]!COMPROMISOS_2024[[#All],[Total pagado]],"",0)</f>
        <v>#NAME?</v>
      </c>
      <c r="AJ886" s="56">
        <f>IF(PAA_4[[#This Row],[BOLSA]]=0,0,SUMIFS([2]!COMPROMISOS_2024[[#All],[Total pagado]],[2]!COMPROMISOS_2024[[#All],[Bolsa]],PAA_4[[#This Row],[BOLSA]],[2]!COMPROMISOS_2024[[#All],[rubro]],PAA_4[[#This Row],[RCP-RUBRO]]))</f>
        <v>0</v>
      </c>
      <c r="AK886" s="47" t="e" cm="1">
        <f t="array" aca="1" ref="AK886" ca="1">_xlfn.XLOOKUP(PAA_4[[#This Row],[RCP-RUBRO]],[2]!COMPROMISOS_2024[[#All],[concatenado]],[2]!COMPROMISOS_2024[[#All],[Total Comprometido]],"",0)</f>
        <v>#NAME?</v>
      </c>
      <c r="AL886" s="47">
        <f>IF(PAA_4[[#This Row],[BOLSA]]=0,0,SUMIFS([2]!COMPROMISOS_2024[[#All],[Total Comprometido]],[2]!COMPROMISOS_2024[[#All],[Bolsa]],PAA_4[[#This Row],[BOLSA]],[2]!COMPROMISOS_2024[[#All],[concatenado]],PAA_4[[#This Row],[RCP-RUBRO]]))</f>
        <v>0</v>
      </c>
    </row>
    <row r="887" spans="1:38" s="19" customFormat="1" ht="31.5" customHeight="1">
      <c r="A887" s="47" t="s">
        <v>82</v>
      </c>
      <c r="B887" s="51" t="s">
        <v>42</v>
      </c>
      <c r="C887" s="47" t="str">
        <f>VLOOKUP(PAA_4[[#This Row],[PROYECTO (formulado)2]],[2]PROYECTOS!$G$1:$L$32,6,0)</f>
        <v>SUBGERENCIA DE ALTOS LOGROS Y DEPORTE ASOCIADO</v>
      </c>
      <c r="D887" s="47" t="str">
        <f>+IF(PAA_4[[#This Row],[UNIDAD DE CONTRATACION (formulado)]]="Subgerencia Administrativa y Financiera","FUNCIONAMIENTO","INVERSIÓN")</f>
        <v>INVERSIÓN</v>
      </c>
      <c r="E887" s="48" t="str">
        <f>VLOOKUP(Q887,[2]PROYECTOS!$G$1:$K$32,5,0)</f>
        <v>Apoyo técnico a atletas y para-atletas que representan en alto rendimiento deportivo al departamento de Antioquia</v>
      </c>
      <c r="F887" s="48">
        <f>VLOOKUP(E887,[2]PROYECTOS!$K$1:$M$32,3,0)</f>
        <v>2024003050084</v>
      </c>
      <c r="G887" s="67" t="s">
        <v>1518</v>
      </c>
      <c r="H887" s="49" t="str">
        <f>VLOOKUP(Q887,[2]PROYECTOS!$V$1:$W$32,2,0)</f>
        <v>050079</v>
      </c>
      <c r="I887" s="50">
        <v>395238</v>
      </c>
      <c r="J887" s="340" t="s">
        <v>1783</v>
      </c>
      <c r="K887" s="47" t="str">
        <f t="shared" ca="1" si="292"/>
        <v>CONTRATADO</v>
      </c>
      <c r="L887" s="351" t="s">
        <v>42</v>
      </c>
      <c r="M887" s="65" t="s">
        <v>42</v>
      </c>
      <c r="N887" s="52" t="s">
        <v>1519</v>
      </c>
      <c r="O887" s="51" t="e">
        <f>VLOOKUP(N887,[2]!RUBROS[#All],3,0)</f>
        <v>#REF!</v>
      </c>
      <c r="P887" s="53" t="e">
        <f>VLOOKUP(N887,[2]!RUBROS[#All],2,0)</f>
        <v>#REF!</v>
      </c>
      <c r="Q887" s="47" t="str">
        <f t="shared" si="293"/>
        <v>84</v>
      </c>
      <c r="R887" s="47" t="str">
        <f t="shared" si="294"/>
        <v>0-205400</v>
      </c>
      <c r="S887" s="342" t="s">
        <v>42</v>
      </c>
      <c r="T887" s="360" t="s">
        <v>42</v>
      </c>
      <c r="U887" s="326" t="e">
        <f ca="1">_xlfn.XLOOKUP(PAA_4[[#This Row],[ITEM]],[2]Contrato!A:A,[2]Contrato!Q:Q,"",0)</f>
        <v>#NAME?</v>
      </c>
      <c r="V887" s="47" t="s">
        <v>95</v>
      </c>
      <c r="W887" s="343" t="s">
        <v>42</v>
      </c>
      <c r="X887" s="343" t="s">
        <v>42</v>
      </c>
      <c r="Y887" s="55" t="e">
        <f ca="1">_xlfn.XLOOKUP(PAA_4[[#This Row],[ITEM]],[2]Contrato!A:A,[2]Contrato!B:B,"",0)</f>
        <v>#NAME?</v>
      </c>
      <c r="Z887" s="47" t="e">
        <f ca="1">_xlfn.XLOOKUP(PAA_4[[#This Row],[ITEM]],[2]Contrato!A:A,[2]Contrato!G:G,"",0)</f>
        <v>#NAME?</v>
      </c>
      <c r="AA887" s="47" t="e">
        <f ca="1">_xlfn.XLOOKUP(PAA_4[[#This Row],[ITEM]],[2]Contrato!A:A,[2]Contrato!T:T,"",0)</f>
        <v>#NAME?</v>
      </c>
      <c r="AB887" s="55" t="e">
        <f ca="1">+MAX(PAA_4[[#This Row],[Comprometido Contrato]],PAA_4[[#This Row],[Comprometido Bolsa]])</f>
        <v>#NAME?</v>
      </c>
      <c r="AC887" s="55" t="str">
        <f t="shared" ca="1" si="295"/>
        <v/>
      </c>
      <c r="AD887" s="55" t="e">
        <f ca="1">IF(PAA_4[[#This Row],[ESTADO (formulado)]]="NO CONTRATADO",0,MAX(PAA_4[[#This Row],[Pago por Contrato]],PAA_4[[#This Row],[Pago por bolsa]]))</f>
        <v>#NAME?</v>
      </c>
      <c r="AE887" s="55" t="str">
        <f t="shared" ca="1" si="296"/>
        <v/>
      </c>
      <c r="AF887" s="47" t="e">
        <f t="shared" ca="1" si="297"/>
        <v>#NAME?</v>
      </c>
      <c r="AG887" s="47">
        <f t="shared" si="298"/>
        <v>52010802</v>
      </c>
      <c r="AH887" s="54">
        <f>IF(Q887="22",IF(ISNUMBER(SEARCH("econ",PAA_4[[#This Row],[Actividad3]])),"Económico",IF(ISNUMBER(SEARCH("alim",PAA_4[[#This Row],[Actividad3]])),"Alimentación",IF(ISNUMBER(SEARCH("educ",PAA_4[[#This Row],[Actividad3]])),"Educativo","Técnico"))),0)</f>
        <v>0</v>
      </c>
      <c r="AI887" s="47" t="e" cm="1">
        <f t="array" aca="1" ref="AI887" ca="1">_xlfn.XLOOKUP(PAA_4[[#This Row],[RCP-RUBRO]],[2]!COMPROMISOS_2024[[#All],[concatenado]],[2]!COMPROMISOS_2024[[#All],[Total pagado]],"",0)</f>
        <v>#NAME?</v>
      </c>
      <c r="AJ887" s="56">
        <f>IF(PAA_4[[#This Row],[BOLSA]]=0,0,SUMIFS([2]!COMPROMISOS_2024[[#All],[Total pagado]],[2]!COMPROMISOS_2024[[#All],[Bolsa]],PAA_4[[#This Row],[BOLSA]],[2]!COMPROMISOS_2024[[#All],[rubro]],PAA_4[[#This Row],[RCP-RUBRO]]))</f>
        <v>0</v>
      </c>
      <c r="AK887" s="47" t="e" cm="1">
        <f t="array" aca="1" ref="AK887" ca="1">_xlfn.XLOOKUP(PAA_4[[#This Row],[RCP-RUBRO]],[2]!COMPROMISOS_2024[[#All],[concatenado]],[2]!COMPROMISOS_2024[[#All],[Total Comprometido]],"",0)</f>
        <v>#NAME?</v>
      </c>
      <c r="AL887" s="47">
        <f>IF(PAA_4[[#This Row],[BOLSA]]=0,0,SUMIFS([2]!COMPROMISOS_2024[[#All],[Total Comprometido]],[2]!COMPROMISOS_2024[[#All],[Bolsa]],PAA_4[[#This Row],[BOLSA]],[2]!COMPROMISOS_2024[[#All],[concatenado]],PAA_4[[#This Row],[RCP-RUBRO]]))</f>
        <v>0</v>
      </c>
    </row>
    <row r="888" spans="1:38" s="19" customFormat="1" ht="31.5" customHeight="1">
      <c r="A888" s="47" t="s">
        <v>82</v>
      </c>
      <c r="B888" s="51" t="s">
        <v>42</v>
      </c>
      <c r="C888" s="47" t="str">
        <f>VLOOKUP(PAA_4[[#This Row],[PROYECTO (formulado)2]],[2]PROYECTOS!$G$1:$L$32,6,0)</f>
        <v>SUBGERENCIA DE ALTOS LOGROS Y DEPORTE ASOCIADO</v>
      </c>
      <c r="D888" s="47" t="str">
        <f>+IF(PAA_4[[#This Row],[UNIDAD DE CONTRATACION (formulado)]]="Subgerencia Administrativa y Financiera","FUNCIONAMIENTO","INVERSIÓN")</f>
        <v>INVERSIÓN</v>
      </c>
      <c r="E888" s="48" t="str">
        <f>VLOOKUP(Q888,[2]PROYECTOS!$G$1:$K$32,5,0)</f>
        <v>Apoyo técnico a atletas y para-atletas que representan en alto rendimiento deportivo al departamento de Antioquia</v>
      </c>
      <c r="F888" s="48">
        <f>VLOOKUP(E888,[2]PROYECTOS!$K$1:$M$32,3,0)</f>
        <v>2024003050084</v>
      </c>
      <c r="G888" s="67" t="s">
        <v>1518</v>
      </c>
      <c r="H888" s="49" t="str">
        <f>VLOOKUP(Q888,[2]PROYECTOS!$V$1:$W$32,2,0)</f>
        <v>050079</v>
      </c>
      <c r="I888" s="50">
        <v>490894</v>
      </c>
      <c r="J888" s="340" t="s">
        <v>1783</v>
      </c>
      <c r="K888" s="47" t="str">
        <f t="shared" ca="1" si="292"/>
        <v>CONTRATADO</v>
      </c>
      <c r="L888" s="351" t="s">
        <v>42</v>
      </c>
      <c r="M888" s="65" t="s">
        <v>42</v>
      </c>
      <c r="N888" s="52" t="s">
        <v>1519</v>
      </c>
      <c r="O888" s="51" t="e">
        <f>VLOOKUP(N888,[2]!RUBROS[#All],3,0)</f>
        <v>#REF!</v>
      </c>
      <c r="P888" s="53" t="e">
        <f>VLOOKUP(N888,[2]!RUBROS[#All],2,0)</f>
        <v>#REF!</v>
      </c>
      <c r="Q888" s="47" t="str">
        <f t="shared" si="293"/>
        <v>84</v>
      </c>
      <c r="R888" s="47" t="str">
        <f t="shared" si="294"/>
        <v>0-205400</v>
      </c>
      <c r="S888" s="342" t="s">
        <v>42</v>
      </c>
      <c r="T888" s="360" t="s">
        <v>42</v>
      </c>
      <c r="U888" s="326" t="e">
        <f ca="1">_xlfn.XLOOKUP(PAA_4[[#This Row],[ITEM]],[2]Contrato!A:A,[2]Contrato!Q:Q,"",0)</f>
        <v>#NAME?</v>
      </c>
      <c r="V888" s="47" t="s">
        <v>95</v>
      </c>
      <c r="W888" s="343" t="s">
        <v>42</v>
      </c>
      <c r="X888" s="343" t="s">
        <v>42</v>
      </c>
      <c r="Y888" s="55" t="e">
        <f ca="1">_xlfn.XLOOKUP(PAA_4[[#This Row],[ITEM]],[2]Contrato!A:A,[2]Contrato!B:B,"",0)</f>
        <v>#NAME?</v>
      </c>
      <c r="Z888" s="47" t="e">
        <f ca="1">_xlfn.XLOOKUP(PAA_4[[#This Row],[ITEM]],[2]Contrato!A:A,[2]Contrato!G:G,"",0)</f>
        <v>#NAME?</v>
      </c>
      <c r="AA888" s="47" t="e">
        <f ca="1">_xlfn.XLOOKUP(PAA_4[[#This Row],[ITEM]],[2]Contrato!A:A,[2]Contrato!T:T,"",0)</f>
        <v>#NAME?</v>
      </c>
      <c r="AB888" s="55" t="e">
        <f ca="1">+MAX(PAA_4[[#This Row],[Comprometido Contrato]],PAA_4[[#This Row],[Comprometido Bolsa]])</f>
        <v>#NAME?</v>
      </c>
      <c r="AC888" s="55" t="str">
        <f t="shared" ca="1" si="295"/>
        <v/>
      </c>
      <c r="AD888" s="55" t="e">
        <f ca="1">IF(PAA_4[[#This Row],[ESTADO (formulado)]]="NO CONTRATADO",0,MAX(PAA_4[[#This Row],[Pago por Contrato]],PAA_4[[#This Row],[Pago por bolsa]]))</f>
        <v>#NAME?</v>
      </c>
      <c r="AE888" s="55" t="str">
        <f t="shared" ca="1" si="296"/>
        <v/>
      </c>
      <c r="AF888" s="47" t="e">
        <f t="shared" ca="1" si="297"/>
        <v>#NAME?</v>
      </c>
      <c r="AG888" s="47">
        <f t="shared" si="298"/>
        <v>52010802</v>
      </c>
      <c r="AH888" s="54">
        <f>IF(Q888="22",IF(ISNUMBER(SEARCH("econ",PAA_4[[#This Row],[Actividad3]])),"Económico",IF(ISNUMBER(SEARCH("alim",PAA_4[[#This Row],[Actividad3]])),"Alimentación",IF(ISNUMBER(SEARCH("educ",PAA_4[[#This Row],[Actividad3]])),"Educativo","Técnico"))),0)</f>
        <v>0</v>
      </c>
      <c r="AI888" s="47" t="e" cm="1">
        <f t="array" aca="1" ref="AI888" ca="1">_xlfn.XLOOKUP(PAA_4[[#This Row],[RCP-RUBRO]],[2]!COMPROMISOS_2024[[#All],[concatenado]],[2]!COMPROMISOS_2024[[#All],[Total pagado]],"",0)</f>
        <v>#NAME?</v>
      </c>
      <c r="AJ888" s="56">
        <f>IF(PAA_4[[#This Row],[BOLSA]]=0,0,SUMIFS([2]!COMPROMISOS_2024[[#All],[Total pagado]],[2]!COMPROMISOS_2024[[#All],[Bolsa]],PAA_4[[#This Row],[BOLSA]],[2]!COMPROMISOS_2024[[#All],[rubro]],PAA_4[[#This Row],[RCP-RUBRO]]))</f>
        <v>0</v>
      </c>
      <c r="AK888" s="47" t="e" cm="1">
        <f t="array" aca="1" ref="AK888" ca="1">_xlfn.XLOOKUP(PAA_4[[#This Row],[RCP-RUBRO]],[2]!COMPROMISOS_2024[[#All],[concatenado]],[2]!COMPROMISOS_2024[[#All],[Total Comprometido]],"",0)</f>
        <v>#NAME?</v>
      </c>
      <c r="AL888" s="47">
        <f>IF(PAA_4[[#This Row],[BOLSA]]=0,0,SUMIFS([2]!COMPROMISOS_2024[[#All],[Total Comprometido]],[2]!COMPROMISOS_2024[[#All],[Bolsa]],PAA_4[[#This Row],[BOLSA]],[2]!COMPROMISOS_2024[[#All],[concatenado]],PAA_4[[#This Row],[RCP-RUBRO]]))</f>
        <v>0</v>
      </c>
    </row>
    <row r="889" spans="1:38" s="19" customFormat="1" ht="31.5" customHeight="1">
      <c r="A889" s="47" t="s">
        <v>82</v>
      </c>
      <c r="B889" s="51" t="s">
        <v>42</v>
      </c>
      <c r="C889" s="47" t="str">
        <f>VLOOKUP(PAA_4[[#This Row],[PROYECTO (formulado)2]],[2]PROYECTOS!$G$1:$L$32,6,0)</f>
        <v>SUBGERENCIA DE ALTOS LOGROS Y DEPORTE ASOCIADO</v>
      </c>
      <c r="D889" s="47" t="str">
        <f>+IF(PAA_4[[#This Row],[UNIDAD DE CONTRATACION (formulado)]]="Subgerencia Administrativa y Financiera","FUNCIONAMIENTO","INVERSIÓN")</f>
        <v>INVERSIÓN</v>
      </c>
      <c r="E889" s="48" t="str">
        <f>VLOOKUP(Q889,[2]PROYECTOS!$G$1:$K$32,5,0)</f>
        <v>Apoyo técnico a atletas y para-atletas que representan en alto rendimiento deportivo al departamento de Antioquia</v>
      </c>
      <c r="F889" s="48">
        <f>VLOOKUP(E889,[2]PROYECTOS!$K$1:$M$32,3,0)</f>
        <v>2024003050084</v>
      </c>
      <c r="G889" s="67" t="s">
        <v>1518</v>
      </c>
      <c r="H889" s="49" t="str">
        <f>VLOOKUP(Q889,[2]PROYECTOS!$V$1:$W$32,2,0)</f>
        <v>050079</v>
      </c>
      <c r="I889" s="50">
        <v>490894</v>
      </c>
      <c r="J889" s="340" t="s">
        <v>1783</v>
      </c>
      <c r="K889" s="47" t="str">
        <f t="shared" ca="1" si="292"/>
        <v>CONTRATADO</v>
      </c>
      <c r="L889" s="351" t="s">
        <v>42</v>
      </c>
      <c r="M889" s="65" t="s">
        <v>42</v>
      </c>
      <c r="N889" s="52" t="s">
        <v>1519</v>
      </c>
      <c r="O889" s="51" t="e">
        <f>VLOOKUP(N889,[2]!RUBROS[#All],3,0)</f>
        <v>#REF!</v>
      </c>
      <c r="P889" s="53" t="e">
        <f>VLOOKUP(N889,[2]!RUBROS[#All],2,0)</f>
        <v>#REF!</v>
      </c>
      <c r="Q889" s="47" t="str">
        <f t="shared" si="293"/>
        <v>84</v>
      </c>
      <c r="R889" s="47" t="str">
        <f t="shared" si="294"/>
        <v>0-205400</v>
      </c>
      <c r="S889" s="342" t="s">
        <v>42</v>
      </c>
      <c r="T889" s="360" t="s">
        <v>42</v>
      </c>
      <c r="U889" s="326" t="e">
        <f ca="1">_xlfn.XLOOKUP(PAA_4[[#This Row],[ITEM]],[2]Contrato!A:A,[2]Contrato!Q:Q,"",0)</f>
        <v>#NAME?</v>
      </c>
      <c r="V889" s="47" t="s">
        <v>95</v>
      </c>
      <c r="W889" s="343" t="s">
        <v>42</v>
      </c>
      <c r="X889" s="343" t="s">
        <v>42</v>
      </c>
      <c r="Y889" s="55" t="e">
        <f ca="1">_xlfn.XLOOKUP(PAA_4[[#This Row],[ITEM]],[2]Contrato!A:A,[2]Contrato!B:B,"",0)</f>
        <v>#NAME?</v>
      </c>
      <c r="Z889" s="47" t="e">
        <f ca="1">_xlfn.XLOOKUP(PAA_4[[#This Row],[ITEM]],[2]Contrato!A:A,[2]Contrato!G:G,"",0)</f>
        <v>#NAME?</v>
      </c>
      <c r="AA889" s="47" t="e">
        <f ca="1">_xlfn.XLOOKUP(PAA_4[[#This Row],[ITEM]],[2]Contrato!A:A,[2]Contrato!T:T,"",0)</f>
        <v>#NAME?</v>
      </c>
      <c r="AB889" s="55" t="e">
        <f ca="1">+MAX(PAA_4[[#This Row],[Comprometido Contrato]],PAA_4[[#This Row],[Comprometido Bolsa]])</f>
        <v>#NAME?</v>
      </c>
      <c r="AC889" s="55" t="str">
        <f t="shared" ca="1" si="295"/>
        <v/>
      </c>
      <c r="AD889" s="55" t="e">
        <f ca="1">IF(PAA_4[[#This Row],[ESTADO (formulado)]]="NO CONTRATADO",0,MAX(PAA_4[[#This Row],[Pago por Contrato]],PAA_4[[#This Row],[Pago por bolsa]]))</f>
        <v>#NAME?</v>
      </c>
      <c r="AE889" s="55" t="str">
        <f t="shared" ca="1" si="296"/>
        <v/>
      </c>
      <c r="AF889" s="47" t="e">
        <f t="shared" ca="1" si="297"/>
        <v>#NAME?</v>
      </c>
      <c r="AG889" s="47">
        <f t="shared" si="298"/>
        <v>52010802</v>
      </c>
      <c r="AH889" s="54">
        <f>IF(Q889="22",IF(ISNUMBER(SEARCH("econ",PAA_4[[#This Row],[Actividad3]])),"Económico",IF(ISNUMBER(SEARCH("alim",PAA_4[[#This Row],[Actividad3]])),"Alimentación",IF(ISNUMBER(SEARCH("educ",PAA_4[[#This Row],[Actividad3]])),"Educativo","Técnico"))),0)</f>
        <v>0</v>
      </c>
      <c r="AI889" s="47" t="e" cm="1">
        <f t="array" aca="1" ref="AI889" ca="1">_xlfn.XLOOKUP(PAA_4[[#This Row],[RCP-RUBRO]],[2]!COMPROMISOS_2024[[#All],[concatenado]],[2]!COMPROMISOS_2024[[#All],[Total pagado]],"",0)</f>
        <v>#NAME?</v>
      </c>
      <c r="AJ889" s="56">
        <f>IF(PAA_4[[#This Row],[BOLSA]]=0,0,SUMIFS([2]!COMPROMISOS_2024[[#All],[Total pagado]],[2]!COMPROMISOS_2024[[#All],[Bolsa]],PAA_4[[#This Row],[BOLSA]],[2]!COMPROMISOS_2024[[#All],[rubro]],PAA_4[[#This Row],[RCP-RUBRO]]))</f>
        <v>0</v>
      </c>
      <c r="AK889" s="47" t="e" cm="1">
        <f t="array" aca="1" ref="AK889" ca="1">_xlfn.XLOOKUP(PAA_4[[#This Row],[RCP-RUBRO]],[2]!COMPROMISOS_2024[[#All],[concatenado]],[2]!COMPROMISOS_2024[[#All],[Total Comprometido]],"",0)</f>
        <v>#NAME?</v>
      </c>
      <c r="AL889" s="47">
        <f>IF(PAA_4[[#This Row],[BOLSA]]=0,0,SUMIFS([2]!COMPROMISOS_2024[[#All],[Total Comprometido]],[2]!COMPROMISOS_2024[[#All],[Bolsa]],PAA_4[[#This Row],[BOLSA]],[2]!COMPROMISOS_2024[[#All],[concatenado]],PAA_4[[#This Row],[RCP-RUBRO]]))</f>
        <v>0</v>
      </c>
    </row>
    <row r="890" spans="1:38" s="19" customFormat="1" ht="31.5" customHeight="1">
      <c r="A890" s="47" t="s">
        <v>82</v>
      </c>
      <c r="B890" s="51" t="s">
        <v>42</v>
      </c>
      <c r="C890" s="47" t="str">
        <f>VLOOKUP(PAA_4[[#This Row],[PROYECTO (formulado)2]],[2]PROYECTOS!$G$1:$L$32,6,0)</f>
        <v>SUBGERENCIA DE ALTOS LOGROS Y DEPORTE ASOCIADO</v>
      </c>
      <c r="D890" s="47" t="str">
        <f>+IF(PAA_4[[#This Row],[UNIDAD DE CONTRATACION (formulado)]]="Subgerencia Administrativa y Financiera","FUNCIONAMIENTO","INVERSIÓN")</f>
        <v>INVERSIÓN</v>
      </c>
      <c r="E890" s="48" t="str">
        <f>VLOOKUP(Q890,[2]PROYECTOS!$G$1:$K$32,5,0)</f>
        <v>Apoyo técnico a atletas y para-atletas que representan en alto rendimiento deportivo al departamento de Antioquia</v>
      </c>
      <c r="F890" s="48">
        <f>VLOOKUP(E890,[2]PROYECTOS!$K$1:$M$32,3,0)</f>
        <v>2024003050084</v>
      </c>
      <c r="G890" s="67" t="s">
        <v>1518</v>
      </c>
      <c r="H890" s="49" t="str">
        <f>VLOOKUP(Q890,[2]PROYECTOS!$V$1:$W$32,2,0)</f>
        <v>050079</v>
      </c>
      <c r="I890" s="50">
        <v>490894</v>
      </c>
      <c r="J890" s="340" t="s">
        <v>1783</v>
      </c>
      <c r="K890" s="47" t="str">
        <f t="shared" ca="1" si="292"/>
        <v>CONTRATADO</v>
      </c>
      <c r="L890" s="351" t="s">
        <v>42</v>
      </c>
      <c r="M890" s="65" t="s">
        <v>42</v>
      </c>
      <c r="N890" s="52" t="s">
        <v>1519</v>
      </c>
      <c r="O890" s="51" t="e">
        <f>VLOOKUP(N890,[2]!RUBROS[#All],3,0)</f>
        <v>#REF!</v>
      </c>
      <c r="P890" s="53" t="e">
        <f>VLOOKUP(N890,[2]!RUBROS[#All],2,0)</f>
        <v>#REF!</v>
      </c>
      <c r="Q890" s="47" t="str">
        <f t="shared" si="293"/>
        <v>84</v>
      </c>
      <c r="R890" s="47" t="str">
        <f t="shared" si="294"/>
        <v>0-205400</v>
      </c>
      <c r="S890" s="342" t="s">
        <v>42</v>
      </c>
      <c r="T890" s="360" t="s">
        <v>42</v>
      </c>
      <c r="U890" s="326" t="e">
        <f ca="1">_xlfn.XLOOKUP(PAA_4[[#This Row],[ITEM]],[2]Contrato!A:A,[2]Contrato!Q:Q,"",0)</f>
        <v>#NAME?</v>
      </c>
      <c r="V890" s="47" t="s">
        <v>95</v>
      </c>
      <c r="W890" s="343" t="s">
        <v>42</v>
      </c>
      <c r="X890" s="343" t="s">
        <v>42</v>
      </c>
      <c r="Y890" s="55" t="e">
        <f ca="1">_xlfn.XLOOKUP(PAA_4[[#This Row],[ITEM]],[2]Contrato!A:A,[2]Contrato!B:B,"",0)</f>
        <v>#NAME?</v>
      </c>
      <c r="Z890" s="47" t="e">
        <f ca="1">_xlfn.XLOOKUP(PAA_4[[#This Row],[ITEM]],[2]Contrato!A:A,[2]Contrato!G:G,"",0)</f>
        <v>#NAME?</v>
      </c>
      <c r="AA890" s="47" t="e">
        <f ca="1">_xlfn.XLOOKUP(PAA_4[[#This Row],[ITEM]],[2]Contrato!A:A,[2]Contrato!T:T,"",0)</f>
        <v>#NAME?</v>
      </c>
      <c r="AB890" s="55" t="e">
        <f ca="1">+MAX(PAA_4[[#This Row],[Comprometido Contrato]],PAA_4[[#This Row],[Comprometido Bolsa]])</f>
        <v>#NAME?</v>
      </c>
      <c r="AC890" s="55" t="str">
        <f t="shared" ca="1" si="295"/>
        <v/>
      </c>
      <c r="AD890" s="55" t="e">
        <f ca="1">IF(PAA_4[[#This Row],[ESTADO (formulado)]]="NO CONTRATADO",0,MAX(PAA_4[[#This Row],[Pago por Contrato]],PAA_4[[#This Row],[Pago por bolsa]]))</f>
        <v>#NAME?</v>
      </c>
      <c r="AE890" s="55" t="str">
        <f t="shared" ca="1" si="296"/>
        <v/>
      </c>
      <c r="AF890" s="47" t="e">
        <f t="shared" ca="1" si="297"/>
        <v>#NAME?</v>
      </c>
      <c r="AG890" s="47">
        <f t="shared" si="298"/>
        <v>52010802</v>
      </c>
      <c r="AH890" s="54">
        <f>IF(Q890="22",IF(ISNUMBER(SEARCH("econ",PAA_4[[#This Row],[Actividad3]])),"Económico",IF(ISNUMBER(SEARCH("alim",PAA_4[[#This Row],[Actividad3]])),"Alimentación",IF(ISNUMBER(SEARCH("educ",PAA_4[[#This Row],[Actividad3]])),"Educativo","Técnico"))),0)</f>
        <v>0</v>
      </c>
      <c r="AI890" s="47" t="e" cm="1">
        <f t="array" aca="1" ref="AI890" ca="1">_xlfn.XLOOKUP(PAA_4[[#This Row],[RCP-RUBRO]],[2]!COMPROMISOS_2024[[#All],[concatenado]],[2]!COMPROMISOS_2024[[#All],[Total pagado]],"",0)</f>
        <v>#NAME?</v>
      </c>
      <c r="AJ890" s="56">
        <f>IF(PAA_4[[#This Row],[BOLSA]]=0,0,SUMIFS([2]!COMPROMISOS_2024[[#All],[Total pagado]],[2]!COMPROMISOS_2024[[#All],[Bolsa]],PAA_4[[#This Row],[BOLSA]],[2]!COMPROMISOS_2024[[#All],[rubro]],PAA_4[[#This Row],[RCP-RUBRO]]))</f>
        <v>0</v>
      </c>
      <c r="AK890" s="47" t="e" cm="1">
        <f t="array" aca="1" ref="AK890" ca="1">_xlfn.XLOOKUP(PAA_4[[#This Row],[RCP-RUBRO]],[2]!COMPROMISOS_2024[[#All],[concatenado]],[2]!COMPROMISOS_2024[[#All],[Total Comprometido]],"",0)</f>
        <v>#NAME?</v>
      </c>
      <c r="AL890" s="47">
        <f>IF(PAA_4[[#This Row],[BOLSA]]=0,0,SUMIFS([2]!COMPROMISOS_2024[[#All],[Total Comprometido]],[2]!COMPROMISOS_2024[[#All],[Bolsa]],PAA_4[[#This Row],[BOLSA]],[2]!COMPROMISOS_2024[[#All],[concatenado]],PAA_4[[#This Row],[RCP-RUBRO]]))</f>
        <v>0</v>
      </c>
    </row>
    <row r="891" spans="1:38" s="19" customFormat="1" ht="31.5" customHeight="1">
      <c r="A891" s="47" t="s">
        <v>82</v>
      </c>
      <c r="B891" s="51" t="s">
        <v>42</v>
      </c>
      <c r="C891" s="47" t="str">
        <f>VLOOKUP(PAA_4[[#This Row],[PROYECTO (formulado)2]],[2]PROYECTOS!$G$1:$L$32,6,0)</f>
        <v>SUBGERENCIA DE ALTOS LOGROS Y DEPORTE ASOCIADO</v>
      </c>
      <c r="D891" s="47" t="str">
        <f>+IF(PAA_4[[#This Row],[UNIDAD DE CONTRATACION (formulado)]]="Subgerencia Administrativa y Financiera","FUNCIONAMIENTO","INVERSIÓN")</f>
        <v>INVERSIÓN</v>
      </c>
      <c r="E891" s="48" t="str">
        <f>VLOOKUP(Q891,[2]PROYECTOS!$G$1:$K$32,5,0)</f>
        <v>Apoyo técnico a atletas y para-atletas que representan en alto rendimiento deportivo al departamento de Antioquia</v>
      </c>
      <c r="F891" s="48">
        <f>VLOOKUP(E891,[2]PROYECTOS!$K$1:$M$32,3,0)</f>
        <v>2024003050084</v>
      </c>
      <c r="G891" s="67" t="s">
        <v>1518</v>
      </c>
      <c r="H891" s="49" t="str">
        <f>VLOOKUP(Q891,[2]PROYECTOS!$V$1:$W$32,2,0)</f>
        <v>050079</v>
      </c>
      <c r="I891" s="50">
        <v>490894</v>
      </c>
      <c r="J891" s="340" t="s">
        <v>1783</v>
      </c>
      <c r="K891" s="47" t="str">
        <f t="shared" ca="1" si="292"/>
        <v>CONTRATADO</v>
      </c>
      <c r="L891" s="351" t="s">
        <v>42</v>
      </c>
      <c r="M891" s="65" t="s">
        <v>42</v>
      </c>
      <c r="N891" s="52" t="s">
        <v>1519</v>
      </c>
      <c r="O891" s="51" t="e">
        <f>VLOOKUP(N891,[2]!RUBROS[#All],3,0)</f>
        <v>#REF!</v>
      </c>
      <c r="P891" s="53" t="e">
        <f>VLOOKUP(N891,[2]!RUBROS[#All],2,0)</f>
        <v>#REF!</v>
      </c>
      <c r="Q891" s="47" t="str">
        <f t="shared" si="293"/>
        <v>84</v>
      </c>
      <c r="R891" s="47" t="str">
        <f t="shared" si="294"/>
        <v>0-205400</v>
      </c>
      <c r="S891" s="342" t="s">
        <v>42</v>
      </c>
      <c r="T891" s="360" t="s">
        <v>42</v>
      </c>
      <c r="U891" s="326" t="e">
        <f ca="1">_xlfn.XLOOKUP(PAA_4[[#This Row],[ITEM]],[2]Contrato!A:A,[2]Contrato!Q:Q,"",0)</f>
        <v>#NAME?</v>
      </c>
      <c r="V891" s="47" t="s">
        <v>95</v>
      </c>
      <c r="W891" s="343" t="s">
        <v>42</v>
      </c>
      <c r="X891" s="343" t="s">
        <v>42</v>
      </c>
      <c r="Y891" s="55" t="e">
        <f ca="1">_xlfn.XLOOKUP(PAA_4[[#This Row],[ITEM]],[2]Contrato!A:A,[2]Contrato!B:B,"",0)</f>
        <v>#NAME?</v>
      </c>
      <c r="Z891" s="47" t="e">
        <f ca="1">_xlfn.XLOOKUP(PAA_4[[#This Row],[ITEM]],[2]Contrato!A:A,[2]Contrato!G:G,"",0)</f>
        <v>#NAME?</v>
      </c>
      <c r="AA891" s="47" t="e">
        <f ca="1">_xlfn.XLOOKUP(PAA_4[[#This Row],[ITEM]],[2]Contrato!A:A,[2]Contrato!T:T,"",0)</f>
        <v>#NAME?</v>
      </c>
      <c r="AB891" s="55" t="e">
        <f ca="1">+MAX(PAA_4[[#This Row],[Comprometido Contrato]],PAA_4[[#This Row],[Comprometido Bolsa]])</f>
        <v>#NAME?</v>
      </c>
      <c r="AC891" s="55" t="str">
        <f t="shared" ca="1" si="295"/>
        <v/>
      </c>
      <c r="AD891" s="55" t="e">
        <f ca="1">IF(PAA_4[[#This Row],[ESTADO (formulado)]]="NO CONTRATADO",0,MAX(PAA_4[[#This Row],[Pago por Contrato]],PAA_4[[#This Row],[Pago por bolsa]]))</f>
        <v>#NAME?</v>
      </c>
      <c r="AE891" s="55" t="str">
        <f t="shared" ca="1" si="296"/>
        <v/>
      </c>
      <c r="AF891" s="47" t="e">
        <f t="shared" ca="1" si="297"/>
        <v>#NAME?</v>
      </c>
      <c r="AG891" s="47">
        <f t="shared" si="298"/>
        <v>52010802</v>
      </c>
      <c r="AH891" s="54">
        <f>IF(Q891="22",IF(ISNUMBER(SEARCH("econ",PAA_4[[#This Row],[Actividad3]])),"Económico",IF(ISNUMBER(SEARCH("alim",PAA_4[[#This Row],[Actividad3]])),"Alimentación",IF(ISNUMBER(SEARCH("educ",PAA_4[[#This Row],[Actividad3]])),"Educativo","Técnico"))),0)</f>
        <v>0</v>
      </c>
      <c r="AI891" s="47" t="e" cm="1">
        <f t="array" aca="1" ref="AI891" ca="1">_xlfn.XLOOKUP(PAA_4[[#This Row],[RCP-RUBRO]],[2]!COMPROMISOS_2024[[#All],[concatenado]],[2]!COMPROMISOS_2024[[#All],[Total pagado]],"",0)</f>
        <v>#NAME?</v>
      </c>
      <c r="AJ891" s="56">
        <f>IF(PAA_4[[#This Row],[BOLSA]]=0,0,SUMIFS([2]!COMPROMISOS_2024[[#All],[Total pagado]],[2]!COMPROMISOS_2024[[#All],[Bolsa]],PAA_4[[#This Row],[BOLSA]],[2]!COMPROMISOS_2024[[#All],[rubro]],PAA_4[[#This Row],[RCP-RUBRO]]))</f>
        <v>0</v>
      </c>
      <c r="AK891" s="47" t="e" cm="1">
        <f t="array" aca="1" ref="AK891" ca="1">_xlfn.XLOOKUP(PAA_4[[#This Row],[RCP-RUBRO]],[2]!COMPROMISOS_2024[[#All],[concatenado]],[2]!COMPROMISOS_2024[[#All],[Total Comprometido]],"",0)</f>
        <v>#NAME?</v>
      </c>
      <c r="AL891" s="47">
        <f>IF(PAA_4[[#This Row],[BOLSA]]=0,0,SUMIFS([2]!COMPROMISOS_2024[[#All],[Total Comprometido]],[2]!COMPROMISOS_2024[[#All],[Bolsa]],PAA_4[[#This Row],[BOLSA]],[2]!COMPROMISOS_2024[[#All],[concatenado]],PAA_4[[#This Row],[RCP-RUBRO]]))</f>
        <v>0</v>
      </c>
    </row>
    <row r="892" spans="1:38" s="19" customFormat="1" ht="31.5" customHeight="1">
      <c r="A892" s="47" t="s">
        <v>82</v>
      </c>
      <c r="B892" s="51" t="s">
        <v>42</v>
      </c>
      <c r="C892" s="47" t="str">
        <f>VLOOKUP(PAA_4[[#This Row],[PROYECTO (formulado)2]],[2]PROYECTOS!$G$1:$L$32,6,0)</f>
        <v>SUBGERENCIA DE ALTOS LOGROS Y DEPORTE ASOCIADO</v>
      </c>
      <c r="D892" s="47" t="str">
        <f>+IF(PAA_4[[#This Row],[UNIDAD DE CONTRATACION (formulado)]]="Subgerencia Administrativa y Financiera","FUNCIONAMIENTO","INVERSIÓN")</f>
        <v>INVERSIÓN</v>
      </c>
      <c r="E892" s="48" t="str">
        <f>VLOOKUP(Q892,[2]PROYECTOS!$G$1:$K$32,5,0)</f>
        <v>Apoyo técnico a atletas y para-atletas que representan en alto rendimiento deportivo al departamento de Antioquia</v>
      </c>
      <c r="F892" s="48">
        <f>VLOOKUP(E892,[2]PROYECTOS!$K$1:$M$32,3,0)</f>
        <v>2024003050084</v>
      </c>
      <c r="G892" s="67" t="s">
        <v>1518</v>
      </c>
      <c r="H892" s="49" t="str">
        <f>VLOOKUP(Q892,[2]PROYECTOS!$V$1:$W$32,2,0)</f>
        <v>050079</v>
      </c>
      <c r="I892" s="50">
        <v>490894</v>
      </c>
      <c r="J892" s="340" t="s">
        <v>1783</v>
      </c>
      <c r="K892" s="47" t="str">
        <f t="shared" ca="1" si="292"/>
        <v>CONTRATADO</v>
      </c>
      <c r="L892" s="351" t="s">
        <v>42</v>
      </c>
      <c r="M892" s="65" t="s">
        <v>42</v>
      </c>
      <c r="N892" s="52" t="s">
        <v>1519</v>
      </c>
      <c r="O892" s="51" t="e">
        <f>VLOOKUP(N892,[2]!RUBROS[#All],3,0)</f>
        <v>#REF!</v>
      </c>
      <c r="P892" s="53" t="e">
        <f>VLOOKUP(N892,[2]!RUBROS[#All],2,0)</f>
        <v>#REF!</v>
      </c>
      <c r="Q892" s="47" t="str">
        <f t="shared" si="293"/>
        <v>84</v>
      </c>
      <c r="R892" s="47" t="str">
        <f t="shared" si="294"/>
        <v>0-205400</v>
      </c>
      <c r="S892" s="342" t="s">
        <v>42</v>
      </c>
      <c r="T892" s="360" t="s">
        <v>42</v>
      </c>
      <c r="U892" s="326" t="e">
        <f ca="1">_xlfn.XLOOKUP(PAA_4[[#This Row],[ITEM]],[2]Contrato!A:A,[2]Contrato!Q:Q,"",0)</f>
        <v>#NAME?</v>
      </c>
      <c r="V892" s="47" t="s">
        <v>95</v>
      </c>
      <c r="W892" s="343" t="s">
        <v>42</v>
      </c>
      <c r="X892" s="343" t="s">
        <v>42</v>
      </c>
      <c r="Y892" s="55" t="e">
        <f ca="1">_xlfn.XLOOKUP(PAA_4[[#This Row],[ITEM]],[2]Contrato!A:A,[2]Contrato!B:B,"",0)</f>
        <v>#NAME?</v>
      </c>
      <c r="Z892" s="47" t="e">
        <f ca="1">_xlfn.XLOOKUP(PAA_4[[#This Row],[ITEM]],[2]Contrato!A:A,[2]Contrato!G:G,"",0)</f>
        <v>#NAME?</v>
      </c>
      <c r="AA892" s="47" t="e">
        <f ca="1">_xlfn.XLOOKUP(PAA_4[[#This Row],[ITEM]],[2]Contrato!A:A,[2]Contrato!T:T,"",0)</f>
        <v>#NAME?</v>
      </c>
      <c r="AB892" s="55" t="e">
        <f ca="1">+MAX(PAA_4[[#This Row],[Comprometido Contrato]],PAA_4[[#This Row],[Comprometido Bolsa]])</f>
        <v>#NAME?</v>
      </c>
      <c r="AC892" s="55" t="str">
        <f t="shared" ca="1" si="295"/>
        <v/>
      </c>
      <c r="AD892" s="55" t="e">
        <f ca="1">IF(PAA_4[[#This Row],[ESTADO (formulado)]]="NO CONTRATADO",0,MAX(PAA_4[[#This Row],[Pago por Contrato]],PAA_4[[#This Row],[Pago por bolsa]]))</f>
        <v>#NAME?</v>
      </c>
      <c r="AE892" s="55" t="str">
        <f t="shared" ca="1" si="296"/>
        <v/>
      </c>
      <c r="AF892" s="47" t="e">
        <f t="shared" ca="1" si="297"/>
        <v>#NAME?</v>
      </c>
      <c r="AG892" s="47">
        <f t="shared" si="298"/>
        <v>52010802</v>
      </c>
      <c r="AH892" s="54">
        <f>IF(Q892="22",IF(ISNUMBER(SEARCH("econ",PAA_4[[#This Row],[Actividad3]])),"Económico",IF(ISNUMBER(SEARCH("alim",PAA_4[[#This Row],[Actividad3]])),"Alimentación",IF(ISNUMBER(SEARCH("educ",PAA_4[[#This Row],[Actividad3]])),"Educativo","Técnico"))),0)</f>
        <v>0</v>
      </c>
      <c r="AI892" s="47" t="e" cm="1">
        <f t="array" aca="1" ref="AI892" ca="1">_xlfn.XLOOKUP(PAA_4[[#This Row],[RCP-RUBRO]],[2]!COMPROMISOS_2024[[#All],[concatenado]],[2]!COMPROMISOS_2024[[#All],[Total pagado]],"",0)</f>
        <v>#NAME?</v>
      </c>
      <c r="AJ892" s="56">
        <f>IF(PAA_4[[#This Row],[BOLSA]]=0,0,SUMIFS([2]!COMPROMISOS_2024[[#All],[Total pagado]],[2]!COMPROMISOS_2024[[#All],[Bolsa]],PAA_4[[#This Row],[BOLSA]],[2]!COMPROMISOS_2024[[#All],[rubro]],PAA_4[[#This Row],[RCP-RUBRO]]))</f>
        <v>0</v>
      </c>
      <c r="AK892" s="47" t="e" cm="1">
        <f t="array" aca="1" ref="AK892" ca="1">_xlfn.XLOOKUP(PAA_4[[#This Row],[RCP-RUBRO]],[2]!COMPROMISOS_2024[[#All],[concatenado]],[2]!COMPROMISOS_2024[[#All],[Total Comprometido]],"",0)</f>
        <v>#NAME?</v>
      </c>
      <c r="AL892" s="47">
        <f>IF(PAA_4[[#This Row],[BOLSA]]=0,0,SUMIFS([2]!COMPROMISOS_2024[[#All],[Total Comprometido]],[2]!COMPROMISOS_2024[[#All],[Bolsa]],PAA_4[[#This Row],[BOLSA]],[2]!COMPROMISOS_2024[[#All],[concatenado]],PAA_4[[#This Row],[RCP-RUBRO]]))</f>
        <v>0</v>
      </c>
    </row>
    <row r="893" spans="1:38" s="19" customFormat="1" ht="31.5" customHeight="1">
      <c r="A893" s="47" t="s">
        <v>82</v>
      </c>
      <c r="B893" s="51" t="s">
        <v>42</v>
      </c>
      <c r="C893" s="47" t="str">
        <f>VLOOKUP(PAA_4[[#This Row],[PROYECTO (formulado)2]],[2]PROYECTOS!$G$1:$L$32,6,0)</f>
        <v>SUBGERENCIA DE ALTOS LOGROS Y DEPORTE ASOCIADO</v>
      </c>
      <c r="D893" s="47" t="str">
        <f>+IF(PAA_4[[#This Row],[UNIDAD DE CONTRATACION (formulado)]]="Subgerencia Administrativa y Financiera","FUNCIONAMIENTO","INVERSIÓN")</f>
        <v>INVERSIÓN</v>
      </c>
      <c r="E893" s="48" t="str">
        <f>VLOOKUP(Q893,[2]PROYECTOS!$G$1:$K$32,5,0)</f>
        <v>Apoyo técnico a atletas y para-atletas que representan en alto rendimiento deportivo al departamento de Antioquia</v>
      </c>
      <c r="F893" s="48">
        <f>VLOOKUP(E893,[2]PROYECTOS!$K$1:$M$32,3,0)</f>
        <v>2024003050084</v>
      </c>
      <c r="G893" s="67" t="s">
        <v>1518</v>
      </c>
      <c r="H893" s="49" t="str">
        <f>VLOOKUP(Q893,[2]PROYECTOS!$V$1:$W$32,2,0)</f>
        <v>050079</v>
      </c>
      <c r="I893" s="50">
        <v>257484</v>
      </c>
      <c r="J893" s="340" t="s">
        <v>1783</v>
      </c>
      <c r="K893" s="47" t="str">
        <f t="shared" ca="1" si="292"/>
        <v>CONTRATADO</v>
      </c>
      <c r="L893" s="351" t="s">
        <v>42</v>
      </c>
      <c r="M893" s="65" t="s">
        <v>42</v>
      </c>
      <c r="N893" s="52" t="s">
        <v>1519</v>
      </c>
      <c r="O893" s="51" t="e">
        <f>VLOOKUP(N893,[2]!RUBROS[#All],3,0)</f>
        <v>#REF!</v>
      </c>
      <c r="P893" s="53" t="e">
        <f>VLOOKUP(N893,[2]!RUBROS[#All],2,0)</f>
        <v>#REF!</v>
      </c>
      <c r="Q893" s="47" t="str">
        <f t="shared" si="293"/>
        <v>84</v>
      </c>
      <c r="R893" s="47" t="str">
        <f t="shared" si="294"/>
        <v>0-205400</v>
      </c>
      <c r="S893" s="342" t="s">
        <v>42</v>
      </c>
      <c r="T893" s="360" t="s">
        <v>42</v>
      </c>
      <c r="U893" s="326" t="e">
        <f ca="1">_xlfn.XLOOKUP(PAA_4[[#This Row],[ITEM]],[2]Contrato!A:A,[2]Contrato!Q:Q,"",0)</f>
        <v>#NAME?</v>
      </c>
      <c r="V893" s="47" t="s">
        <v>95</v>
      </c>
      <c r="W893" s="343" t="s">
        <v>42</v>
      </c>
      <c r="X893" s="343" t="s">
        <v>42</v>
      </c>
      <c r="Y893" s="55" t="e">
        <f ca="1">_xlfn.XLOOKUP(PAA_4[[#This Row],[ITEM]],[2]Contrato!A:A,[2]Contrato!B:B,"",0)</f>
        <v>#NAME?</v>
      </c>
      <c r="Z893" s="47" t="e">
        <f ca="1">_xlfn.XLOOKUP(PAA_4[[#This Row],[ITEM]],[2]Contrato!A:A,[2]Contrato!G:G,"",0)</f>
        <v>#NAME?</v>
      </c>
      <c r="AA893" s="47" t="e">
        <f ca="1">_xlfn.XLOOKUP(PAA_4[[#This Row],[ITEM]],[2]Contrato!A:A,[2]Contrato!T:T,"",0)</f>
        <v>#NAME?</v>
      </c>
      <c r="AB893" s="55" t="e">
        <f ca="1">+MAX(PAA_4[[#This Row],[Comprometido Contrato]],PAA_4[[#This Row],[Comprometido Bolsa]])</f>
        <v>#NAME?</v>
      </c>
      <c r="AC893" s="55" t="str">
        <f t="shared" ca="1" si="295"/>
        <v/>
      </c>
      <c r="AD893" s="55" t="e">
        <f ca="1">IF(PAA_4[[#This Row],[ESTADO (formulado)]]="NO CONTRATADO",0,MAX(PAA_4[[#This Row],[Pago por Contrato]],PAA_4[[#This Row],[Pago por bolsa]]))</f>
        <v>#NAME?</v>
      </c>
      <c r="AE893" s="55" t="str">
        <f t="shared" ca="1" si="296"/>
        <v/>
      </c>
      <c r="AF893" s="47" t="e">
        <f t="shared" ca="1" si="297"/>
        <v>#NAME?</v>
      </c>
      <c r="AG893" s="47">
        <f t="shared" si="298"/>
        <v>52010802</v>
      </c>
      <c r="AH893" s="54">
        <f>IF(Q893="22",IF(ISNUMBER(SEARCH("econ",PAA_4[[#This Row],[Actividad3]])),"Económico",IF(ISNUMBER(SEARCH("alim",PAA_4[[#This Row],[Actividad3]])),"Alimentación",IF(ISNUMBER(SEARCH("educ",PAA_4[[#This Row],[Actividad3]])),"Educativo","Técnico"))),0)</f>
        <v>0</v>
      </c>
      <c r="AI893" s="47" t="e" cm="1">
        <f t="array" aca="1" ref="AI893" ca="1">_xlfn.XLOOKUP(PAA_4[[#This Row],[RCP-RUBRO]],[2]!COMPROMISOS_2024[[#All],[concatenado]],[2]!COMPROMISOS_2024[[#All],[Total pagado]],"",0)</f>
        <v>#NAME?</v>
      </c>
      <c r="AJ893" s="56">
        <f>IF(PAA_4[[#This Row],[BOLSA]]=0,0,SUMIFS([2]!COMPROMISOS_2024[[#All],[Total pagado]],[2]!COMPROMISOS_2024[[#All],[Bolsa]],PAA_4[[#This Row],[BOLSA]],[2]!COMPROMISOS_2024[[#All],[rubro]],PAA_4[[#This Row],[RCP-RUBRO]]))</f>
        <v>0</v>
      </c>
      <c r="AK893" s="47" t="e" cm="1">
        <f t="array" aca="1" ref="AK893" ca="1">_xlfn.XLOOKUP(PAA_4[[#This Row],[RCP-RUBRO]],[2]!COMPROMISOS_2024[[#All],[concatenado]],[2]!COMPROMISOS_2024[[#All],[Total Comprometido]],"",0)</f>
        <v>#NAME?</v>
      </c>
      <c r="AL893" s="47">
        <f>IF(PAA_4[[#This Row],[BOLSA]]=0,0,SUMIFS([2]!COMPROMISOS_2024[[#All],[Total Comprometido]],[2]!COMPROMISOS_2024[[#All],[Bolsa]],PAA_4[[#This Row],[BOLSA]],[2]!COMPROMISOS_2024[[#All],[concatenado]],PAA_4[[#This Row],[RCP-RUBRO]]))</f>
        <v>0</v>
      </c>
    </row>
    <row r="894" spans="1:38" s="19" customFormat="1" ht="31.5" customHeight="1">
      <c r="A894" s="47" t="s">
        <v>82</v>
      </c>
      <c r="B894" s="51" t="s">
        <v>42</v>
      </c>
      <c r="C894" s="47" t="str">
        <f>VLOOKUP(PAA_4[[#This Row],[PROYECTO (formulado)2]],[2]PROYECTOS!$G$1:$L$32,6,0)</f>
        <v>SUBGERENCIA DE ALTOS LOGROS Y DEPORTE ASOCIADO</v>
      </c>
      <c r="D894" s="47" t="str">
        <f>+IF(PAA_4[[#This Row],[UNIDAD DE CONTRATACION (formulado)]]="Subgerencia Administrativa y Financiera","FUNCIONAMIENTO","INVERSIÓN")</f>
        <v>INVERSIÓN</v>
      </c>
      <c r="E894" s="48" t="str">
        <f>VLOOKUP(Q894,[2]PROYECTOS!$G$1:$K$32,5,0)</f>
        <v>Apoyo técnico a atletas y para-atletas que representan en alto rendimiento deportivo al departamento de Antioquia</v>
      </c>
      <c r="F894" s="48">
        <f>VLOOKUP(E894,[2]PROYECTOS!$K$1:$M$32,3,0)</f>
        <v>2024003050084</v>
      </c>
      <c r="G894" s="67" t="s">
        <v>1518</v>
      </c>
      <c r="H894" s="49" t="str">
        <f>VLOOKUP(Q894,[2]PROYECTOS!$V$1:$W$32,2,0)</f>
        <v>050079</v>
      </c>
      <c r="I894" s="50">
        <v>395238</v>
      </c>
      <c r="J894" s="340" t="s">
        <v>1783</v>
      </c>
      <c r="K894" s="47" t="str">
        <f t="shared" ca="1" si="292"/>
        <v>CONTRATADO</v>
      </c>
      <c r="L894" s="351" t="s">
        <v>42</v>
      </c>
      <c r="M894" s="65" t="s">
        <v>42</v>
      </c>
      <c r="N894" s="52" t="s">
        <v>1519</v>
      </c>
      <c r="O894" s="51" t="e">
        <f>VLOOKUP(N894,[2]!RUBROS[#All],3,0)</f>
        <v>#REF!</v>
      </c>
      <c r="P894" s="53" t="e">
        <f>VLOOKUP(N894,[2]!RUBROS[#All],2,0)</f>
        <v>#REF!</v>
      </c>
      <c r="Q894" s="47" t="str">
        <f t="shared" si="293"/>
        <v>84</v>
      </c>
      <c r="R894" s="47" t="str">
        <f t="shared" si="294"/>
        <v>0-205400</v>
      </c>
      <c r="S894" s="342" t="s">
        <v>42</v>
      </c>
      <c r="T894" s="360" t="s">
        <v>42</v>
      </c>
      <c r="U894" s="326" t="e">
        <f ca="1">_xlfn.XLOOKUP(PAA_4[[#This Row],[ITEM]],[2]Contrato!A:A,[2]Contrato!Q:Q,"",0)</f>
        <v>#NAME?</v>
      </c>
      <c r="V894" s="47" t="s">
        <v>95</v>
      </c>
      <c r="W894" s="343" t="s">
        <v>42</v>
      </c>
      <c r="X894" s="343" t="s">
        <v>42</v>
      </c>
      <c r="Y894" s="55" t="e">
        <f ca="1">_xlfn.XLOOKUP(PAA_4[[#This Row],[ITEM]],[2]Contrato!A:A,[2]Contrato!B:B,"",0)</f>
        <v>#NAME?</v>
      </c>
      <c r="Z894" s="47" t="e">
        <f ca="1">_xlfn.XLOOKUP(PAA_4[[#This Row],[ITEM]],[2]Contrato!A:A,[2]Contrato!G:G,"",0)</f>
        <v>#NAME?</v>
      </c>
      <c r="AA894" s="47" t="e">
        <f ca="1">_xlfn.XLOOKUP(PAA_4[[#This Row],[ITEM]],[2]Contrato!A:A,[2]Contrato!T:T,"",0)</f>
        <v>#NAME?</v>
      </c>
      <c r="AB894" s="55" t="e">
        <f ca="1">+MAX(PAA_4[[#This Row],[Comprometido Contrato]],PAA_4[[#This Row],[Comprometido Bolsa]])</f>
        <v>#NAME?</v>
      </c>
      <c r="AC894" s="55" t="str">
        <f t="shared" ca="1" si="295"/>
        <v/>
      </c>
      <c r="AD894" s="55" t="e">
        <f ca="1">IF(PAA_4[[#This Row],[ESTADO (formulado)]]="NO CONTRATADO",0,MAX(PAA_4[[#This Row],[Pago por Contrato]],PAA_4[[#This Row],[Pago por bolsa]]))</f>
        <v>#NAME?</v>
      </c>
      <c r="AE894" s="55" t="str">
        <f t="shared" ca="1" si="296"/>
        <v/>
      </c>
      <c r="AF894" s="47" t="e">
        <f t="shared" ca="1" si="297"/>
        <v>#NAME?</v>
      </c>
      <c r="AG894" s="47">
        <f t="shared" si="298"/>
        <v>52010802</v>
      </c>
      <c r="AH894" s="54">
        <f>IF(Q894="22",IF(ISNUMBER(SEARCH("econ",PAA_4[[#This Row],[Actividad3]])),"Económico",IF(ISNUMBER(SEARCH("alim",PAA_4[[#This Row],[Actividad3]])),"Alimentación",IF(ISNUMBER(SEARCH("educ",PAA_4[[#This Row],[Actividad3]])),"Educativo","Técnico"))),0)</f>
        <v>0</v>
      </c>
      <c r="AI894" s="47" t="e" cm="1">
        <f t="array" aca="1" ref="AI894" ca="1">_xlfn.XLOOKUP(PAA_4[[#This Row],[RCP-RUBRO]],[2]!COMPROMISOS_2024[[#All],[concatenado]],[2]!COMPROMISOS_2024[[#All],[Total pagado]],"",0)</f>
        <v>#NAME?</v>
      </c>
      <c r="AJ894" s="56">
        <f>IF(PAA_4[[#This Row],[BOLSA]]=0,0,SUMIFS([2]!COMPROMISOS_2024[[#All],[Total pagado]],[2]!COMPROMISOS_2024[[#All],[Bolsa]],PAA_4[[#This Row],[BOLSA]],[2]!COMPROMISOS_2024[[#All],[rubro]],PAA_4[[#This Row],[RCP-RUBRO]]))</f>
        <v>0</v>
      </c>
      <c r="AK894" s="47" t="e" cm="1">
        <f t="array" aca="1" ref="AK894" ca="1">_xlfn.XLOOKUP(PAA_4[[#This Row],[RCP-RUBRO]],[2]!COMPROMISOS_2024[[#All],[concatenado]],[2]!COMPROMISOS_2024[[#All],[Total Comprometido]],"",0)</f>
        <v>#NAME?</v>
      </c>
      <c r="AL894" s="47">
        <f>IF(PAA_4[[#This Row],[BOLSA]]=0,0,SUMIFS([2]!COMPROMISOS_2024[[#All],[Total Comprometido]],[2]!COMPROMISOS_2024[[#All],[Bolsa]],PAA_4[[#This Row],[BOLSA]],[2]!COMPROMISOS_2024[[#All],[concatenado]],PAA_4[[#This Row],[RCP-RUBRO]]))</f>
        <v>0</v>
      </c>
    </row>
    <row r="895" spans="1:38" s="19" customFormat="1" ht="31.5" customHeight="1">
      <c r="A895" s="47" t="s">
        <v>82</v>
      </c>
      <c r="B895" s="51" t="s">
        <v>42</v>
      </c>
      <c r="C895" s="47" t="str">
        <f>VLOOKUP(PAA_4[[#This Row],[PROYECTO (formulado)2]],[2]PROYECTOS!$G$1:$L$32,6,0)</f>
        <v>SUBGERENCIA DE ALTOS LOGROS Y DEPORTE ASOCIADO</v>
      </c>
      <c r="D895" s="47" t="str">
        <f>+IF(PAA_4[[#This Row],[UNIDAD DE CONTRATACION (formulado)]]="Subgerencia Administrativa y Financiera","FUNCIONAMIENTO","INVERSIÓN")</f>
        <v>INVERSIÓN</v>
      </c>
      <c r="E895" s="48" t="str">
        <f>VLOOKUP(Q895,[2]PROYECTOS!$G$1:$K$32,5,0)</f>
        <v>Apoyo técnico a atletas y para-atletas que representan en alto rendimiento deportivo al departamento de Antioquia</v>
      </c>
      <c r="F895" s="48">
        <f>VLOOKUP(E895,[2]PROYECTOS!$K$1:$M$32,3,0)</f>
        <v>2024003050084</v>
      </c>
      <c r="G895" s="67" t="s">
        <v>1518</v>
      </c>
      <c r="H895" s="49" t="str">
        <f>VLOOKUP(Q895,[2]PROYECTOS!$V$1:$W$32,2,0)</f>
        <v>050079</v>
      </c>
      <c r="I895" s="50">
        <v>395238</v>
      </c>
      <c r="J895" s="340" t="s">
        <v>1783</v>
      </c>
      <c r="K895" s="47" t="str">
        <f t="shared" ca="1" si="292"/>
        <v>CONTRATADO</v>
      </c>
      <c r="L895" s="351" t="s">
        <v>42</v>
      </c>
      <c r="M895" s="65" t="s">
        <v>42</v>
      </c>
      <c r="N895" s="52" t="s">
        <v>1519</v>
      </c>
      <c r="O895" s="51" t="e">
        <f>VLOOKUP(N895,[2]!RUBROS[#All],3,0)</f>
        <v>#REF!</v>
      </c>
      <c r="P895" s="53" t="e">
        <f>VLOOKUP(N895,[2]!RUBROS[#All],2,0)</f>
        <v>#REF!</v>
      </c>
      <c r="Q895" s="47" t="str">
        <f t="shared" si="293"/>
        <v>84</v>
      </c>
      <c r="R895" s="47" t="str">
        <f t="shared" si="294"/>
        <v>0-205400</v>
      </c>
      <c r="S895" s="342" t="s">
        <v>42</v>
      </c>
      <c r="T895" s="360" t="s">
        <v>42</v>
      </c>
      <c r="U895" s="326" t="e">
        <f ca="1">_xlfn.XLOOKUP(PAA_4[[#This Row],[ITEM]],[2]Contrato!A:A,[2]Contrato!Q:Q,"",0)</f>
        <v>#NAME?</v>
      </c>
      <c r="V895" s="47" t="s">
        <v>95</v>
      </c>
      <c r="W895" s="343" t="s">
        <v>42</v>
      </c>
      <c r="X895" s="343" t="s">
        <v>42</v>
      </c>
      <c r="Y895" s="55" t="e">
        <f ca="1">_xlfn.XLOOKUP(PAA_4[[#This Row],[ITEM]],[2]Contrato!A:A,[2]Contrato!B:B,"",0)</f>
        <v>#NAME?</v>
      </c>
      <c r="Z895" s="47" t="e">
        <f ca="1">_xlfn.XLOOKUP(PAA_4[[#This Row],[ITEM]],[2]Contrato!A:A,[2]Contrato!G:G,"",0)</f>
        <v>#NAME?</v>
      </c>
      <c r="AA895" s="47" t="e">
        <f ca="1">_xlfn.XLOOKUP(PAA_4[[#This Row],[ITEM]],[2]Contrato!A:A,[2]Contrato!T:T,"",0)</f>
        <v>#NAME?</v>
      </c>
      <c r="AB895" s="55" t="e">
        <f ca="1">+MAX(PAA_4[[#This Row],[Comprometido Contrato]],PAA_4[[#This Row],[Comprometido Bolsa]])</f>
        <v>#NAME?</v>
      </c>
      <c r="AC895" s="55" t="str">
        <f t="shared" ca="1" si="295"/>
        <v/>
      </c>
      <c r="AD895" s="55" t="e">
        <f ca="1">IF(PAA_4[[#This Row],[ESTADO (formulado)]]="NO CONTRATADO",0,MAX(PAA_4[[#This Row],[Pago por Contrato]],PAA_4[[#This Row],[Pago por bolsa]]))</f>
        <v>#NAME?</v>
      </c>
      <c r="AE895" s="55" t="str">
        <f t="shared" ca="1" si="296"/>
        <v/>
      </c>
      <c r="AF895" s="47" t="e">
        <f t="shared" ca="1" si="297"/>
        <v>#NAME?</v>
      </c>
      <c r="AG895" s="47">
        <f t="shared" si="298"/>
        <v>52010802</v>
      </c>
      <c r="AH895" s="54">
        <f>IF(Q895="22",IF(ISNUMBER(SEARCH("econ",PAA_4[[#This Row],[Actividad3]])),"Económico",IF(ISNUMBER(SEARCH("alim",PAA_4[[#This Row],[Actividad3]])),"Alimentación",IF(ISNUMBER(SEARCH("educ",PAA_4[[#This Row],[Actividad3]])),"Educativo","Técnico"))),0)</f>
        <v>0</v>
      </c>
      <c r="AI895" s="47" t="e" cm="1">
        <f t="array" aca="1" ref="AI895" ca="1">_xlfn.XLOOKUP(PAA_4[[#This Row],[RCP-RUBRO]],[2]!COMPROMISOS_2024[[#All],[concatenado]],[2]!COMPROMISOS_2024[[#All],[Total pagado]],"",0)</f>
        <v>#NAME?</v>
      </c>
      <c r="AJ895" s="56">
        <f>IF(PAA_4[[#This Row],[BOLSA]]=0,0,SUMIFS([2]!COMPROMISOS_2024[[#All],[Total pagado]],[2]!COMPROMISOS_2024[[#All],[Bolsa]],PAA_4[[#This Row],[BOLSA]],[2]!COMPROMISOS_2024[[#All],[rubro]],PAA_4[[#This Row],[RCP-RUBRO]]))</f>
        <v>0</v>
      </c>
      <c r="AK895" s="47" t="e" cm="1">
        <f t="array" aca="1" ref="AK895" ca="1">_xlfn.XLOOKUP(PAA_4[[#This Row],[RCP-RUBRO]],[2]!COMPROMISOS_2024[[#All],[concatenado]],[2]!COMPROMISOS_2024[[#All],[Total Comprometido]],"",0)</f>
        <v>#NAME?</v>
      </c>
      <c r="AL895" s="47">
        <f>IF(PAA_4[[#This Row],[BOLSA]]=0,0,SUMIFS([2]!COMPROMISOS_2024[[#All],[Total Comprometido]],[2]!COMPROMISOS_2024[[#All],[Bolsa]],PAA_4[[#This Row],[BOLSA]],[2]!COMPROMISOS_2024[[#All],[concatenado]],PAA_4[[#This Row],[RCP-RUBRO]]))</f>
        <v>0</v>
      </c>
    </row>
    <row r="896" spans="1:38" s="19" customFormat="1" ht="31.5" customHeight="1">
      <c r="A896" s="47" t="s">
        <v>82</v>
      </c>
      <c r="B896" s="51" t="s">
        <v>42</v>
      </c>
      <c r="C896" s="47" t="str">
        <f>VLOOKUP(PAA_4[[#This Row],[PROYECTO (formulado)2]],[2]PROYECTOS!$G$1:$L$32,6,0)</f>
        <v>SUBGERENCIA DE ALTOS LOGROS Y DEPORTE ASOCIADO</v>
      </c>
      <c r="D896" s="47" t="str">
        <f>+IF(PAA_4[[#This Row],[UNIDAD DE CONTRATACION (formulado)]]="Subgerencia Administrativa y Financiera","FUNCIONAMIENTO","INVERSIÓN")</f>
        <v>INVERSIÓN</v>
      </c>
      <c r="E896" s="48" t="str">
        <f>VLOOKUP(Q896,[2]PROYECTOS!$G$1:$K$32,5,0)</f>
        <v>Apoyo técnico a atletas y para-atletas que representan en alto rendimiento deportivo al departamento de Antioquia</v>
      </c>
      <c r="F896" s="48">
        <f>VLOOKUP(E896,[2]PROYECTOS!$K$1:$M$32,3,0)</f>
        <v>2024003050084</v>
      </c>
      <c r="G896" s="67" t="s">
        <v>1518</v>
      </c>
      <c r="H896" s="49" t="str">
        <f>VLOOKUP(Q896,[2]PROYECTOS!$V$1:$W$32,2,0)</f>
        <v>050079</v>
      </c>
      <c r="I896" s="50">
        <v>490894</v>
      </c>
      <c r="J896" s="340" t="s">
        <v>1783</v>
      </c>
      <c r="K896" s="47" t="str">
        <f t="shared" ca="1" si="292"/>
        <v>CONTRATADO</v>
      </c>
      <c r="L896" s="351" t="s">
        <v>42</v>
      </c>
      <c r="M896" s="65" t="s">
        <v>42</v>
      </c>
      <c r="N896" s="52" t="s">
        <v>1519</v>
      </c>
      <c r="O896" s="51" t="e">
        <f>VLOOKUP(N896,[2]!RUBROS[#All],3,0)</f>
        <v>#REF!</v>
      </c>
      <c r="P896" s="53" t="e">
        <f>VLOOKUP(N896,[2]!RUBROS[#All],2,0)</f>
        <v>#REF!</v>
      </c>
      <c r="Q896" s="47" t="str">
        <f t="shared" si="293"/>
        <v>84</v>
      </c>
      <c r="R896" s="47" t="str">
        <f t="shared" si="294"/>
        <v>0-205400</v>
      </c>
      <c r="S896" s="342" t="s">
        <v>42</v>
      </c>
      <c r="T896" s="360" t="s">
        <v>42</v>
      </c>
      <c r="U896" s="326" t="e">
        <f ca="1">_xlfn.XLOOKUP(PAA_4[[#This Row],[ITEM]],[2]Contrato!A:A,[2]Contrato!Q:Q,"",0)</f>
        <v>#NAME?</v>
      </c>
      <c r="V896" s="47" t="s">
        <v>95</v>
      </c>
      <c r="W896" s="343" t="s">
        <v>42</v>
      </c>
      <c r="X896" s="343" t="s">
        <v>42</v>
      </c>
      <c r="Y896" s="55" t="e">
        <f ca="1">_xlfn.XLOOKUP(PAA_4[[#This Row],[ITEM]],[2]Contrato!A:A,[2]Contrato!B:B,"",0)</f>
        <v>#NAME?</v>
      </c>
      <c r="Z896" s="47" t="e">
        <f ca="1">_xlfn.XLOOKUP(PAA_4[[#This Row],[ITEM]],[2]Contrato!A:A,[2]Contrato!G:G,"",0)</f>
        <v>#NAME?</v>
      </c>
      <c r="AA896" s="47" t="e">
        <f ca="1">_xlfn.XLOOKUP(PAA_4[[#This Row],[ITEM]],[2]Contrato!A:A,[2]Contrato!T:T,"",0)</f>
        <v>#NAME?</v>
      </c>
      <c r="AB896" s="55" t="e">
        <f ca="1">+MAX(PAA_4[[#This Row],[Comprometido Contrato]],PAA_4[[#This Row],[Comprometido Bolsa]])</f>
        <v>#NAME?</v>
      </c>
      <c r="AC896" s="55" t="str">
        <f t="shared" ca="1" si="295"/>
        <v/>
      </c>
      <c r="AD896" s="55" t="e">
        <f ca="1">IF(PAA_4[[#This Row],[ESTADO (formulado)]]="NO CONTRATADO",0,MAX(PAA_4[[#This Row],[Pago por Contrato]],PAA_4[[#This Row],[Pago por bolsa]]))</f>
        <v>#NAME?</v>
      </c>
      <c r="AE896" s="55" t="str">
        <f t="shared" ca="1" si="296"/>
        <v/>
      </c>
      <c r="AF896" s="47" t="e">
        <f t="shared" ca="1" si="297"/>
        <v>#NAME?</v>
      </c>
      <c r="AG896" s="47">
        <f t="shared" si="298"/>
        <v>52010802</v>
      </c>
      <c r="AH896" s="54">
        <f>IF(Q896="22",IF(ISNUMBER(SEARCH("econ",PAA_4[[#This Row],[Actividad3]])),"Económico",IF(ISNUMBER(SEARCH("alim",PAA_4[[#This Row],[Actividad3]])),"Alimentación",IF(ISNUMBER(SEARCH("educ",PAA_4[[#This Row],[Actividad3]])),"Educativo","Técnico"))),0)</f>
        <v>0</v>
      </c>
      <c r="AI896" s="47" t="e" cm="1">
        <f t="array" aca="1" ref="AI896" ca="1">_xlfn.XLOOKUP(PAA_4[[#This Row],[RCP-RUBRO]],[2]!COMPROMISOS_2024[[#All],[concatenado]],[2]!COMPROMISOS_2024[[#All],[Total pagado]],"",0)</f>
        <v>#NAME?</v>
      </c>
      <c r="AJ896" s="56">
        <f>IF(PAA_4[[#This Row],[BOLSA]]=0,0,SUMIFS([2]!COMPROMISOS_2024[[#All],[Total pagado]],[2]!COMPROMISOS_2024[[#All],[Bolsa]],PAA_4[[#This Row],[BOLSA]],[2]!COMPROMISOS_2024[[#All],[rubro]],PAA_4[[#This Row],[RCP-RUBRO]]))</f>
        <v>0</v>
      </c>
      <c r="AK896" s="47" t="e" cm="1">
        <f t="array" aca="1" ref="AK896" ca="1">_xlfn.XLOOKUP(PAA_4[[#This Row],[RCP-RUBRO]],[2]!COMPROMISOS_2024[[#All],[concatenado]],[2]!COMPROMISOS_2024[[#All],[Total Comprometido]],"",0)</f>
        <v>#NAME?</v>
      </c>
      <c r="AL896" s="47">
        <f>IF(PAA_4[[#This Row],[BOLSA]]=0,0,SUMIFS([2]!COMPROMISOS_2024[[#All],[Total Comprometido]],[2]!COMPROMISOS_2024[[#All],[Bolsa]],PAA_4[[#This Row],[BOLSA]],[2]!COMPROMISOS_2024[[#All],[concatenado]],PAA_4[[#This Row],[RCP-RUBRO]]))</f>
        <v>0</v>
      </c>
    </row>
    <row r="897" spans="1:38" s="19" customFormat="1" ht="31.5" customHeight="1">
      <c r="A897" s="47" t="s">
        <v>82</v>
      </c>
      <c r="B897" s="51" t="s">
        <v>42</v>
      </c>
      <c r="C897" s="47" t="str">
        <f>VLOOKUP(PAA_4[[#This Row],[PROYECTO (formulado)2]],[2]PROYECTOS!$G$1:$L$32,6,0)</f>
        <v>SUBGERENCIA DE ALTOS LOGROS Y DEPORTE ASOCIADO</v>
      </c>
      <c r="D897" s="47" t="str">
        <f>+IF(PAA_4[[#This Row],[UNIDAD DE CONTRATACION (formulado)]]="Subgerencia Administrativa y Financiera","FUNCIONAMIENTO","INVERSIÓN")</f>
        <v>INVERSIÓN</v>
      </c>
      <c r="E897" s="48" t="str">
        <f>VLOOKUP(Q897,[2]PROYECTOS!$G$1:$K$32,5,0)</f>
        <v>Apoyo técnico a atletas y para-atletas que representan en alto rendimiento deportivo al departamento de Antioquia</v>
      </c>
      <c r="F897" s="48">
        <f>VLOOKUP(E897,[2]PROYECTOS!$K$1:$M$32,3,0)</f>
        <v>2024003050084</v>
      </c>
      <c r="G897" s="67" t="s">
        <v>1518</v>
      </c>
      <c r="H897" s="49" t="str">
        <f>VLOOKUP(Q897,[2]PROYECTOS!$V$1:$W$32,2,0)</f>
        <v>050079</v>
      </c>
      <c r="I897" s="50">
        <v>593115</v>
      </c>
      <c r="J897" s="340" t="s">
        <v>1783</v>
      </c>
      <c r="K897" s="47" t="str">
        <f t="shared" ca="1" si="292"/>
        <v>CONTRATADO</v>
      </c>
      <c r="L897" s="351" t="s">
        <v>42</v>
      </c>
      <c r="M897" s="65" t="s">
        <v>42</v>
      </c>
      <c r="N897" s="52" t="s">
        <v>1519</v>
      </c>
      <c r="O897" s="51" t="e">
        <f>VLOOKUP(N897,[2]!RUBROS[#All],3,0)</f>
        <v>#REF!</v>
      </c>
      <c r="P897" s="53" t="e">
        <f>VLOOKUP(N897,[2]!RUBROS[#All],2,0)</f>
        <v>#REF!</v>
      </c>
      <c r="Q897" s="47" t="str">
        <f t="shared" si="293"/>
        <v>84</v>
      </c>
      <c r="R897" s="47" t="str">
        <f t="shared" si="294"/>
        <v>0-205400</v>
      </c>
      <c r="S897" s="342" t="s">
        <v>42</v>
      </c>
      <c r="T897" s="360" t="s">
        <v>42</v>
      </c>
      <c r="U897" s="326" t="e">
        <f ca="1">_xlfn.XLOOKUP(PAA_4[[#This Row],[ITEM]],[2]Contrato!A:A,[2]Contrato!Q:Q,"",0)</f>
        <v>#NAME?</v>
      </c>
      <c r="V897" s="47" t="s">
        <v>95</v>
      </c>
      <c r="W897" s="343" t="s">
        <v>42</v>
      </c>
      <c r="X897" s="343" t="s">
        <v>42</v>
      </c>
      <c r="Y897" s="55" t="e">
        <f ca="1">_xlfn.XLOOKUP(PAA_4[[#This Row],[ITEM]],[2]Contrato!A:A,[2]Contrato!B:B,"",0)</f>
        <v>#NAME?</v>
      </c>
      <c r="Z897" s="47" t="e">
        <f ca="1">_xlfn.XLOOKUP(PAA_4[[#This Row],[ITEM]],[2]Contrato!A:A,[2]Contrato!G:G,"",0)</f>
        <v>#NAME?</v>
      </c>
      <c r="AA897" s="47" t="e">
        <f ca="1">_xlfn.XLOOKUP(PAA_4[[#This Row],[ITEM]],[2]Contrato!A:A,[2]Contrato!T:T,"",0)</f>
        <v>#NAME?</v>
      </c>
      <c r="AB897" s="55" t="e">
        <f ca="1">+MAX(PAA_4[[#This Row],[Comprometido Contrato]],PAA_4[[#This Row],[Comprometido Bolsa]])</f>
        <v>#NAME?</v>
      </c>
      <c r="AC897" s="55" t="str">
        <f t="shared" ca="1" si="295"/>
        <v/>
      </c>
      <c r="AD897" s="55" t="e">
        <f ca="1">IF(PAA_4[[#This Row],[ESTADO (formulado)]]="NO CONTRATADO",0,MAX(PAA_4[[#This Row],[Pago por Contrato]],PAA_4[[#This Row],[Pago por bolsa]]))</f>
        <v>#NAME?</v>
      </c>
      <c r="AE897" s="55" t="str">
        <f t="shared" ca="1" si="296"/>
        <v/>
      </c>
      <c r="AF897" s="47" t="e">
        <f t="shared" ca="1" si="297"/>
        <v>#NAME?</v>
      </c>
      <c r="AG897" s="47">
        <f t="shared" si="298"/>
        <v>52010802</v>
      </c>
      <c r="AH897" s="54">
        <f>IF(Q897="22",IF(ISNUMBER(SEARCH("econ",PAA_4[[#This Row],[Actividad3]])),"Económico",IF(ISNUMBER(SEARCH("alim",PAA_4[[#This Row],[Actividad3]])),"Alimentación",IF(ISNUMBER(SEARCH("educ",PAA_4[[#This Row],[Actividad3]])),"Educativo","Técnico"))),0)</f>
        <v>0</v>
      </c>
      <c r="AI897" s="47" t="e" cm="1">
        <f t="array" aca="1" ref="AI897" ca="1">_xlfn.XLOOKUP(PAA_4[[#This Row],[RCP-RUBRO]],[2]!COMPROMISOS_2024[[#All],[concatenado]],[2]!COMPROMISOS_2024[[#All],[Total pagado]],"",0)</f>
        <v>#NAME?</v>
      </c>
      <c r="AJ897" s="56">
        <f>IF(PAA_4[[#This Row],[BOLSA]]=0,0,SUMIFS([2]!COMPROMISOS_2024[[#All],[Total pagado]],[2]!COMPROMISOS_2024[[#All],[Bolsa]],PAA_4[[#This Row],[BOLSA]],[2]!COMPROMISOS_2024[[#All],[rubro]],PAA_4[[#This Row],[RCP-RUBRO]]))</f>
        <v>0</v>
      </c>
      <c r="AK897" s="47" t="e" cm="1">
        <f t="array" aca="1" ref="AK897" ca="1">_xlfn.XLOOKUP(PAA_4[[#This Row],[RCP-RUBRO]],[2]!COMPROMISOS_2024[[#All],[concatenado]],[2]!COMPROMISOS_2024[[#All],[Total Comprometido]],"",0)</f>
        <v>#NAME?</v>
      </c>
      <c r="AL897" s="47">
        <f>IF(PAA_4[[#This Row],[BOLSA]]=0,0,SUMIFS([2]!COMPROMISOS_2024[[#All],[Total Comprometido]],[2]!COMPROMISOS_2024[[#All],[Bolsa]],PAA_4[[#This Row],[BOLSA]],[2]!COMPROMISOS_2024[[#All],[concatenado]],PAA_4[[#This Row],[RCP-RUBRO]]))</f>
        <v>0</v>
      </c>
    </row>
    <row r="898" spans="1:38" s="19" customFormat="1" ht="31.5" customHeight="1">
      <c r="A898" s="47" t="s">
        <v>82</v>
      </c>
      <c r="B898" s="51" t="s">
        <v>42</v>
      </c>
      <c r="C898" s="47" t="str">
        <f>VLOOKUP(PAA_4[[#This Row],[PROYECTO (formulado)2]],[2]PROYECTOS!$G$1:$L$32,6,0)</f>
        <v>SUBGERENCIA DE ALTOS LOGROS Y DEPORTE ASOCIADO</v>
      </c>
      <c r="D898" s="47" t="str">
        <f>+IF(PAA_4[[#This Row],[UNIDAD DE CONTRATACION (formulado)]]="Subgerencia Administrativa y Financiera","FUNCIONAMIENTO","INVERSIÓN")</f>
        <v>INVERSIÓN</v>
      </c>
      <c r="E898" s="48" t="str">
        <f>VLOOKUP(Q898,[2]PROYECTOS!$G$1:$K$32,5,0)</f>
        <v>Apoyo técnico a atletas y para-atletas que representan en alto rendimiento deportivo al departamento de Antioquia</v>
      </c>
      <c r="F898" s="48">
        <f>VLOOKUP(E898,[2]PROYECTOS!$K$1:$M$32,3,0)</f>
        <v>2024003050084</v>
      </c>
      <c r="G898" s="67" t="s">
        <v>1518</v>
      </c>
      <c r="H898" s="49" t="str">
        <f>VLOOKUP(Q898,[2]PROYECTOS!$V$1:$W$32,2,0)</f>
        <v>050079</v>
      </c>
      <c r="I898" s="50">
        <v>327263</v>
      </c>
      <c r="J898" s="340" t="s">
        <v>1783</v>
      </c>
      <c r="K898" s="47" t="str">
        <f ca="1">IF(ISNONTEXT(Y898)=TRUE,"CONTRATADO","NO CONTRATADO")</f>
        <v>CONTRATADO</v>
      </c>
      <c r="L898" s="351" t="s">
        <v>42</v>
      </c>
      <c r="M898" s="65" t="s">
        <v>42</v>
      </c>
      <c r="N898" s="52" t="s">
        <v>1519</v>
      </c>
      <c r="O898" s="51" t="e">
        <f>VLOOKUP(N898,[2]!RUBROS[#All],3,0)</f>
        <v>#REF!</v>
      </c>
      <c r="P898" s="53" t="e">
        <f>VLOOKUP(N898,[2]!RUBROS[#All],2,0)</f>
        <v>#REF!</v>
      </c>
      <c r="Q898" s="47" t="str">
        <f>+MID(N898,11,2)</f>
        <v>84</v>
      </c>
      <c r="R898" s="47" t="str">
        <f>+MID(N898,14,8)</f>
        <v>0-205400</v>
      </c>
      <c r="S898" s="342" t="s">
        <v>42</v>
      </c>
      <c r="T898" s="360" t="s">
        <v>42</v>
      </c>
      <c r="U898" s="326" t="e">
        <f ca="1">_xlfn.XLOOKUP(PAA_4[[#This Row],[ITEM]],[2]Contrato!A:A,[2]Contrato!Q:Q,"",0)</f>
        <v>#NAME?</v>
      </c>
      <c r="V898" s="47" t="s">
        <v>95</v>
      </c>
      <c r="W898" s="343" t="s">
        <v>42</v>
      </c>
      <c r="X898" s="343" t="s">
        <v>42</v>
      </c>
      <c r="Y898" s="55" t="e">
        <f ca="1">_xlfn.XLOOKUP(PAA_4[[#This Row],[ITEM]],[2]Contrato!A:A,[2]Contrato!B:B,"",0)</f>
        <v>#NAME?</v>
      </c>
      <c r="Z898" s="47" t="e">
        <f ca="1">_xlfn.XLOOKUP(PAA_4[[#This Row],[ITEM]],[2]Contrato!A:A,[2]Contrato!G:G,"",0)</f>
        <v>#NAME?</v>
      </c>
      <c r="AA898" s="47" t="e">
        <f ca="1">_xlfn.XLOOKUP(PAA_4[[#This Row],[ITEM]],[2]Contrato!A:A,[2]Contrato!T:T,"",0)</f>
        <v>#NAME?</v>
      </c>
      <c r="AB898" s="55" t="e">
        <f ca="1">+MAX(PAA_4[[#This Row],[Comprometido Contrato]],PAA_4[[#This Row],[Comprometido Bolsa]])</f>
        <v>#NAME?</v>
      </c>
      <c r="AC898" s="55" t="str">
        <f ca="1">IFERROR(I898-AB898,"")</f>
        <v/>
      </c>
      <c r="AD898" s="55" t="e">
        <f ca="1">IF(PAA_4[[#This Row],[ESTADO (formulado)]]="NO CONTRATADO",0,MAX(PAA_4[[#This Row],[Pago por Contrato]],PAA_4[[#This Row],[Pago por bolsa]]))</f>
        <v>#NAME?</v>
      </c>
      <c r="AE898" s="55" t="str">
        <f ca="1">+IFERROR(AB898-AD898,"")</f>
        <v/>
      </c>
      <c r="AF898" s="47" t="e">
        <f ca="1">+CONCATENATE(AA898,N898)</f>
        <v>#NAME?</v>
      </c>
      <c r="AG898" s="47">
        <f>IFERROR(_xlfn.NUMBERVALUE(MID(G898,1,8)),"")</f>
        <v>52010802</v>
      </c>
      <c r="AH898" s="54">
        <f>IF(Q898="22",IF(ISNUMBER(SEARCH("econ",PAA_4[[#This Row],[Actividad3]])),"Económico",IF(ISNUMBER(SEARCH("alim",PAA_4[[#This Row],[Actividad3]])),"Alimentación",IF(ISNUMBER(SEARCH("educ",PAA_4[[#This Row],[Actividad3]])),"Educativo","Técnico"))),0)</f>
        <v>0</v>
      </c>
      <c r="AI898" s="47" t="e" cm="1">
        <f t="array" aca="1" ref="AI898" ca="1">_xlfn.XLOOKUP(PAA_4[[#This Row],[RCP-RUBRO]],[2]!COMPROMISOS_2024[[#All],[concatenado]],[2]!COMPROMISOS_2024[[#All],[Total pagado]],"",0)</f>
        <v>#NAME?</v>
      </c>
      <c r="AJ898" s="56">
        <f>IF(PAA_4[[#This Row],[BOLSA]]=0,0,SUMIFS([2]!COMPROMISOS_2024[[#All],[Total pagado]],[2]!COMPROMISOS_2024[[#All],[Bolsa]],PAA_4[[#This Row],[BOLSA]],[2]!COMPROMISOS_2024[[#All],[rubro]],PAA_4[[#This Row],[RCP-RUBRO]]))</f>
        <v>0</v>
      </c>
      <c r="AK898" s="47" t="e" cm="1">
        <f t="array" aca="1" ref="AK898" ca="1">_xlfn.XLOOKUP(PAA_4[[#This Row],[RCP-RUBRO]],[2]!COMPROMISOS_2024[[#All],[concatenado]],[2]!COMPROMISOS_2024[[#All],[Total Comprometido]],"",0)</f>
        <v>#NAME?</v>
      </c>
      <c r="AL898" s="47">
        <f>IF(PAA_4[[#This Row],[BOLSA]]=0,0,SUMIFS([2]!COMPROMISOS_2024[[#All],[Total Comprometido]],[2]!COMPROMISOS_2024[[#All],[Bolsa]],PAA_4[[#This Row],[BOLSA]],[2]!COMPROMISOS_2024[[#All],[concatenado]],PAA_4[[#This Row],[RCP-RUBRO]]))</f>
        <v>0</v>
      </c>
    </row>
    <row r="899" spans="1:38" s="19" customFormat="1" ht="31.5" customHeight="1">
      <c r="A899" s="47" t="s">
        <v>82</v>
      </c>
      <c r="B899" s="51" t="s">
        <v>42</v>
      </c>
      <c r="C899" s="47" t="str">
        <f>VLOOKUP(PAA_4[[#This Row],[PROYECTO (formulado)2]],[2]PROYECTOS!$G$1:$L$32,6,0)</f>
        <v>SUBGERENCIA DE ALTOS LOGROS Y DEPORTE ASOCIADO</v>
      </c>
      <c r="D899" s="47" t="str">
        <f>+IF(PAA_4[[#This Row],[UNIDAD DE CONTRATACION (formulado)]]="Subgerencia Administrativa y Financiera","FUNCIONAMIENTO","INVERSIÓN")</f>
        <v>INVERSIÓN</v>
      </c>
      <c r="E899" s="48" t="str">
        <f>VLOOKUP(Q899,[2]PROYECTOS!$G$1:$K$32,5,0)</f>
        <v>Apoyo técnico a atletas y para-atletas que representan en alto rendimiento deportivo al departamento de Antioquia</v>
      </c>
      <c r="F899" s="48">
        <f>VLOOKUP(E899,[2]PROYECTOS!$K$1:$M$32,3,0)</f>
        <v>2024003050084</v>
      </c>
      <c r="G899" s="67" t="s">
        <v>1518</v>
      </c>
      <c r="H899" s="49" t="str">
        <f>VLOOKUP(Q899,[2]PROYECTOS!$V$1:$W$32,2,0)</f>
        <v>050079</v>
      </c>
      <c r="I899" s="50">
        <v>85827</v>
      </c>
      <c r="J899" s="340" t="s">
        <v>1783</v>
      </c>
      <c r="K899" s="47" t="str">
        <f ca="1">IF(ISNONTEXT(Y899)=TRUE,"CONTRATADO","NO CONTRATADO")</f>
        <v>CONTRATADO</v>
      </c>
      <c r="L899" s="351" t="s">
        <v>42</v>
      </c>
      <c r="M899" s="65" t="s">
        <v>42</v>
      </c>
      <c r="N899" s="52" t="s">
        <v>1519</v>
      </c>
      <c r="O899" s="51" t="e">
        <f>VLOOKUP(N899,[2]!RUBROS[#All],3,0)</f>
        <v>#REF!</v>
      </c>
      <c r="P899" s="53" t="e">
        <f>VLOOKUP(N899,[2]!RUBROS[#All],2,0)</f>
        <v>#REF!</v>
      </c>
      <c r="Q899" s="47" t="str">
        <f>+MID(N899,11,2)</f>
        <v>84</v>
      </c>
      <c r="R899" s="47" t="str">
        <f>+MID(N899,14,8)</f>
        <v>0-205400</v>
      </c>
      <c r="S899" s="342" t="s">
        <v>42</v>
      </c>
      <c r="T899" s="360" t="s">
        <v>42</v>
      </c>
      <c r="U899" s="326" t="e">
        <f ca="1">_xlfn.XLOOKUP(PAA_4[[#This Row],[ITEM]],[2]Contrato!A:A,[2]Contrato!Q:Q,"",0)</f>
        <v>#NAME?</v>
      </c>
      <c r="V899" s="47" t="s">
        <v>95</v>
      </c>
      <c r="W899" s="343" t="s">
        <v>42</v>
      </c>
      <c r="X899" s="343" t="s">
        <v>42</v>
      </c>
      <c r="Y899" s="55" t="e">
        <f ca="1">_xlfn.XLOOKUP(PAA_4[[#This Row],[ITEM]],[2]Contrato!A:A,[2]Contrato!B:B,"",0)</f>
        <v>#NAME?</v>
      </c>
      <c r="Z899" s="47" t="e">
        <f ca="1">_xlfn.XLOOKUP(PAA_4[[#This Row],[ITEM]],[2]Contrato!A:A,[2]Contrato!G:G,"",0)</f>
        <v>#NAME?</v>
      </c>
      <c r="AA899" s="47" t="e">
        <f ca="1">_xlfn.XLOOKUP(PAA_4[[#This Row],[ITEM]],[2]Contrato!A:A,[2]Contrato!T:T,"",0)</f>
        <v>#NAME?</v>
      </c>
      <c r="AB899" s="55" t="e">
        <f ca="1">+MAX(PAA_4[[#This Row],[Comprometido Contrato]],PAA_4[[#This Row],[Comprometido Bolsa]])</f>
        <v>#NAME?</v>
      </c>
      <c r="AC899" s="55" t="str">
        <f ca="1">IFERROR(I899-AB899,"")</f>
        <v/>
      </c>
      <c r="AD899" s="55" t="e">
        <f ca="1">IF(PAA_4[[#This Row],[ESTADO (formulado)]]="NO CONTRATADO",0,MAX(PAA_4[[#This Row],[Pago por Contrato]],PAA_4[[#This Row],[Pago por bolsa]]))</f>
        <v>#NAME?</v>
      </c>
      <c r="AE899" s="55" t="str">
        <f ca="1">+IFERROR(AB899-AD899,"")</f>
        <v/>
      </c>
      <c r="AF899" s="47" t="e">
        <f ca="1">+CONCATENATE(AA899,N899)</f>
        <v>#NAME?</v>
      </c>
      <c r="AG899" s="47">
        <f>IFERROR(_xlfn.NUMBERVALUE(MID(G899,1,8)),"")</f>
        <v>52010802</v>
      </c>
      <c r="AH899" s="54">
        <f>IF(Q899="22",IF(ISNUMBER(SEARCH("econ",PAA_4[[#This Row],[Actividad3]])),"Económico",IF(ISNUMBER(SEARCH("alim",PAA_4[[#This Row],[Actividad3]])),"Alimentación",IF(ISNUMBER(SEARCH("educ",PAA_4[[#This Row],[Actividad3]])),"Educativo","Técnico"))),0)</f>
        <v>0</v>
      </c>
      <c r="AI899" s="47" t="e" cm="1">
        <f t="array" aca="1" ref="AI899" ca="1">_xlfn.XLOOKUP(PAA_4[[#This Row],[RCP-RUBRO]],[2]!COMPROMISOS_2024[[#All],[concatenado]],[2]!COMPROMISOS_2024[[#All],[Total pagado]],"",0)</f>
        <v>#NAME?</v>
      </c>
      <c r="AJ899" s="56">
        <f>IF(PAA_4[[#This Row],[BOLSA]]=0,0,SUMIFS([2]!COMPROMISOS_2024[[#All],[Total pagado]],[2]!COMPROMISOS_2024[[#All],[Bolsa]],PAA_4[[#This Row],[BOLSA]],[2]!COMPROMISOS_2024[[#All],[rubro]],PAA_4[[#This Row],[RCP-RUBRO]]))</f>
        <v>0</v>
      </c>
      <c r="AK899" s="47" t="e" cm="1">
        <f t="array" aca="1" ref="AK899" ca="1">_xlfn.XLOOKUP(PAA_4[[#This Row],[RCP-RUBRO]],[2]!COMPROMISOS_2024[[#All],[concatenado]],[2]!COMPROMISOS_2024[[#All],[Total Comprometido]],"",0)</f>
        <v>#NAME?</v>
      </c>
      <c r="AL899" s="47">
        <f>IF(PAA_4[[#This Row],[BOLSA]]=0,0,SUMIFS([2]!COMPROMISOS_2024[[#All],[Total Comprometido]],[2]!COMPROMISOS_2024[[#All],[Bolsa]],PAA_4[[#This Row],[BOLSA]],[2]!COMPROMISOS_2024[[#All],[concatenado]],PAA_4[[#This Row],[RCP-RUBRO]]))</f>
        <v>0</v>
      </c>
    </row>
    <row r="900" spans="1:38" s="19" customFormat="1" ht="31.5" customHeight="1">
      <c r="A900" s="47" t="s">
        <v>82</v>
      </c>
      <c r="B900" s="51" t="s">
        <v>42</v>
      </c>
      <c r="C900" s="47" t="str">
        <f>VLOOKUP(PAA_4[[#This Row],[PROYECTO (formulado)2]],[2]PROYECTOS!$G$1:$L$32,6,0)</f>
        <v>SUBGERENCIA DE ALTOS LOGROS Y DEPORTE ASOCIADO</v>
      </c>
      <c r="D900" s="47" t="str">
        <f>+IF(PAA_4[[#This Row],[UNIDAD DE CONTRATACION (formulado)]]="Subgerencia Administrativa y Financiera","FUNCIONAMIENTO","INVERSIÓN")</f>
        <v>INVERSIÓN</v>
      </c>
      <c r="E900" s="48" t="str">
        <f>VLOOKUP(Q900,[2]PROYECTOS!$G$1:$K$32,5,0)</f>
        <v>Apoyo técnico a atletas y para-atletas que representan en alto rendimiento deportivo al departamento de Antioquia</v>
      </c>
      <c r="F900" s="48">
        <f>VLOOKUP(E900,[2]PROYECTOS!$K$1:$M$32,3,0)</f>
        <v>2024003050084</v>
      </c>
      <c r="G900" s="67" t="s">
        <v>1518</v>
      </c>
      <c r="H900" s="49" t="str">
        <f>VLOOKUP(Q900,[2]PROYECTOS!$V$1:$W$32,2,0)</f>
        <v>050079</v>
      </c>
      <c r="I900" s="50">
        <v>131745</v>
      </c>
      <c r="J900" s="340" t="s">
        <v>1783</v>
      </c>
      <c r="K900" s="47" t="str">
        <f ca="1">IF(ISNONTEXT(Y900)=TRUE,"CONTRATADO","NO CONTRATADO")</f>
        <v>CONTRATADO</v>
      </c>
      <c r="L900" s="351" t="s">
        <v>42</v>
      </c>
      <c r="M900" s="65" t="s">
        <v>42</v>
      </c>
      <c r="N900" s="52" t="s">
        <v>1519</v>
      </c>
      <c r="O900" s="51" t="e">
        <f>VLOOKUP(N900,[2]!RUBROS[#All],3,0)</f>
        <v>#REF!</v>
      </c>
      <c r="P900" s="53" t="e">
        <f>VLOOKUP(N900,[2]!RUBROS[#All],2,0)</f>
        <v>#REF!</v>
      </c>
      <c r="Q900" s="47" t="str">
        <f>+MID(N900,11,2)</f>
        <v>84</v>
      </c>
      <c r="R900" s="47" t="str">
        <f>+MID(N900,14,8)</f>
        <v>0-205400</v>
      </c>
      <c r="S900" s="342" t="s">
        <v>42</v>
      </c>
      <c r="T900" s="360" t="s">
        <v>42</v>
      </c>
      <c r="U900" s="326" t="e">
        <f ca="1">_xlfn.XLOOKUP(PAA_4[[#This Row],[ITEM]],[2]Contrato!A:A,[2]Contrato!Q:Q,"",0)</f>
        <v>#NAME?</v>
      </c>
      <c r="V900" s="47" t="s">
        <v>95</v>
      </c>
      <c r="W900" s="343" t="s">
        <v>42</v>
      </c>
      <c r="X900" s="343" t="s">
        <v>42</v>
      </c>
      <c r="Y900" s="55" t="e">
        <f ca="1">_xlfn.XLOOKUP(PAA_4[[#This Row],[ITEM]],[2]Contrato!A:A,[2]Contrato!B:B,"",0)</f>
        <v>#NAME?</v>
      </c>
      <c r="Z900" s="47" t="e">
        <f ca="1">_xlfn.XLOOKUP(PAA_4[[#This Row],[ITEM]],[2]Contrato!A:A,[2]Contrato!G:G,"",0)</f>
        <v>#NAME?</v>
      </c>
      <c r="AA900" s="47" t="e">
        <f ca="1">_xlfn.XLOOKUP(PAA_4[[#This Row],[ITEM]],[2]Contrato!A:A,[2]Contrato!T:T,"",0)</f>
        <v>#NAME?</v>
      </c>
      <c r="AB900" s="55" t="e">
        <f ca="1">+MAX(PAA_4[[#This Row],[Comprometido Contrato]],PAA_4[[#This Row],[Comprometido Bolsa]])</f>
        <v>#NAME?</v>
      </c>
      <c r="AC900" s="55" t="str">
        <f ca="1">IFERROR(I900-AB900,"")</f>
        <v/>
      </c>
      <c r="AD900" s="55" t="e">
        <f ca="1">IF(PAA_4[[#This Row],[ESTADO (formulado)]]="NO CONTRATADO",0,MAX(PAA_4[[#This Row],[Pago por Contrato]],PAA_4[[#This Row],[Pago por bolsa]]))</f>
        <v>#NAME?</v>
      </c>
      <c r="AE900" s="55" t="str">
        <f ca="1">+IFERROR(AB900-AD900,"")</f>
        <v/>
      </c>
      <c r="AF900" s="47" t="e">
        <f ca="1">+CONCATENATE(AA900,N900)</f>
        <v>#NAME?</v>
      </c>
      <c r="AG900" s="47">
        <f>IFERROR(_xlfn.NUMBERVALUE(MID(G900,1,8)),"")</f>
        <v>52010802</v>
      </c>
      <c r="AH900" s="54">
        <f>IF(Q900="22",IF(ISNUMBER(SEARCH("econ",PAA_4[[#This Row],[Actividad3]])),"Económico",IF(ISNUMBER(SEARCH("alim",PAA_4[[#This Row],[Actividad3]])),"Alimentación",IF(ISNUMBER(SEARCH("educ",PAA_4[[#This Row],[Actividad3]])),"Educativo","Técnico"))),0)</f>
        <v>0</v>
      </c>
      <c r="AI900" s="47" t="e" cm="1">
        <f t="array" aca="1" ref="AI900" ca="1">_xlfn.XLOOKUP(PAA_4[[#This Row],[RCP-RUBRO]],[2]!COMPROMISOS_2024[[#All],[concatenado]],[2]!COMPROMISOS_2024[[#All],[Total pagado]],"",0)</f>
        <v>#NAME?</v>
      </c>
      <c r="AJ900" s="56">
        <f>IF(PAA_4[[#This Row],[BOLSA]]=0,0,SUMIFS([2]!COMPROMISOS_2024[[#All],[Total pagado]],[2]!COMPROMISOS_2024[[#All],[Bolsa]],PAA_4[[#This Row],[BOLSA]],[2]!COMPROMISOS_2024[[#All],[rubro]],PAA_4[[#This Row],[RCP-RUBRO]]))</f>
        <v>0</v>
      </c>
      <c r="AK900" s="47" t="e" cm="1">
        <f t="array" aca="1" ref="AK900" ca="1">_xlfn.XLOOKUP(PAA_4[[#This Row],[RCP-RUBRO]],[2]!COMPROMISOS_2024[[#All],[concatenado]],[2]!COMPROMISOS_2024[[#All],[Total Comprometido]],"",0)</f>
        <v>#NAME?</v>
      </c>
      <c r="AL900" s="47">
        <f>IF(PAA_4[[#This Row],[BOLSA]]=0,0,SUMIFS([2]!COMPROMISOS_2024[[#All],[Total Comprometido]],[2]!COMPROMISOS_2024[[#All],[Bolsa]],PAA_4[[#This Row],[BOLSA]],[2]!COMPROMISOS_2024[[#All],[concatenado]],PAA_4[[#This Row],[RCP-RUBRO]]))</f>
        <v>0</v>
      </c>
    </row>
    <row r="901" spans="1:38" s="19" customFormat="1" ht="31.5" customHeight="1">
      <c r="A901" s="47" t="s">
        <v>82</v>
      </c>
      <c r="B901" s="51" t="s">
        <v>42</v>
      </c>
      <c r="C901" s="47" t="str">
        <f>VLOOKUP(PAA_4[[#This Row],[PROYECTO (formulado)2]],[2]PROYECTOS!$G$1:$L$32,6,0)</f>
        <v>SUBGERENCIA DE ALTOS LOGROS Y DEPORTE ASOCIADO</v>
      </c>
      <c r="D901" s="47" t="str">
        <f>+IF(PAA_4[[#This Row],[UNIDAD DE CONTRATACION (formulado)]]="Subgerencia Administrativa y Financiera","FUNCIONAMIENTO","INVERSIÓN")</f>
        <v>INVERSIÓN</v>
      </c>
      <c r="E901" s="48" t="str">
        <f>VLOOKUP(Q901,[2]PROYECTOS!$G$1:$K$32,5,0)</f>
        <v>Apoyo técnico a atletas y para-atletas que representan en alto rendimiento deportivo al departamento de Antioquia</v>
      </c>
      <c r="F901" s="48">
        <f>VLOOKUP(E901,[2]PROYECTOS!$K$1:$M$32,3,0)</f>
        <v>2024003050084</v>
      </c>
      <c r="G901" s="67" t="s">
        <v>1518</v>
      </c>
      <c r="H901" s="49" t="str">
        <f>VLOOKUP(Q901,[2]PROYECTOS!$V$1:$W$32,2,0)</f>
        <v>050079</v>
      </c>
      <c r="I901" s="50">
        <v>171656</v>
      </c>
      <c r="J901" s="340" t="s">
        <v>1783</v>
      </c>
      <c r="K901" s="47" t="str">
        <f ca="1">IF(ISNONTEXT(Y901)=TRUE,"CONTRATADO","NO CONTRATADO")</f>
        <v>CONTRATADO</v>
      </c>
      <c r="L901" s="351" t="s">
        <v>42</v>
      </c>
      <c r="M901" s="65" t="s">
        <v>42</v>
      </c>
      <c r="N901" s="52" t="s">
        <v>1519</v>
      </c>
      <c r="O901" s="51" t="e">
        <f>VLOOKUP(N901,[2]!RUBROS[#All],3,0)</f>
        <v>#REF!</v>
      </c>
      <c r="P901" s="53" t="e">
        <f>VLOOKUP(N901,[2]!RUBROS[#All],2,0)</f>
        <v>#REF!</v>
      </c>
      <c r="Q901" s="47" t="str">
        <f>+MID(N901,11,2)</f>
        <v>84</v>
      </c>
      <c r="R901" s="47" t="str">
        <f>+MID(N901,14,8)</f>
        <v>0-205400</v>
      </c>
      <c r="S901" s="342" t="s">
        <v>42</v>
      </c>
      <c r="T901" s="360" t="s">
        <v>42</v>
      </c>
      <c r="U901" s="326" t="e">
        <f ca="1">_xlfn.XLOOKUP(PAA_4[[#This Row],[ITEM]],[2]Contrato!A:A,[2]Contrato!Q:Q,"",0)</f>
        <v>#NAME?</v>
      </c>
      <c r="V901" s="47" t="s">
        <v>95</v>
      </c>
      <c r="W901" s="343" t="s">
        <v>42</v>
      </c>
      <c r="X901" s="343" t="s">
        <v>42</v>
      </c>
      <c r="Y901" s="55" t="e">
        <f ca="1">_xlfn.XLOOKUP(PAA_4[[#This Row],[ITEM]],[2]Contrato!A:A,[2]Contrato!B:B,"",0)</f>
        <v>#NAME?</v>
      </c>
      <c r="Z901" s="47" t="e">
        <f ca="1">_xlfn.XLOOKUP(PAA_4[[#This Row],[ITEM]],[2]Contrato!A:A,[2]Contrato!G:G,"",0)</f>
        <v>#NAME?</v>
      </c>
      <c r="AA901" s="47" t="e">
        <f ca="1">_xlfn.XLOOKUP(PAA_4[[#This Row],[ITEM]],[2]Contrato!A:A,[2]Contrato!T:T,"",0)</f>
        <v>#NAME?</v>
      </c>
      <c r="AB901" s="55" t="e">
        <f ca="1">+MAX(PAA_4[[#This Row],[Comprometido Contrato]],PAA_4[[#This Row],[Comprometido Bolsa]])</f>
        <v>#NAME?</v>
      </c>
      <c r="AC901" s="55" t="str">
        <f ca="1">IFERROR(I901-AB901,"")</f>
        <v/>
      </c>
      <c r="AD901" s="55" t="e">
        <f ca="1">IF(PAA_4[[#This Row],[ESTADO (formulado)]]="NO CONTRATADO",0,MAX(PAA_4[[#This Row],[Pago por Contrato]],PAA_4[[#This Row],[Pago por bolsa]]))</f>
        <v>#NAME?</v>
      </c>
      <c r="AE901" s="55" t="str">
        <f ca="1">+IFERROR(AB901-AD901,"")</f>
        <v/>
      </c>
      <c r="AF901" s="47" t="e">
        <f ca="1">+CONCATENATE(AA901,N901)</f>
        <v>#NAME?</v>
      </c>
      <c r="AG901" s="47">
        <f>IFERROR(_xlfn.NUMBERVALUE(MID(G901,1,8)),"")</f>
        <v>52010802</v>
      </c>
      <c r="AH901" s="54">
        <f>IF(Q901="22",IF(ISNUMBER(SEARCH("econ",PAA_4[[#This Row],[Actividad3]])),"Económico",IF(ISNUMBER(SEARCH("alim",PAA_4[[#This Row],[Actividad3]])),"Alimentación",IF(ISNUMBER(SEARCH("educ",PAA_4[[#This Row],[Actividad3]])),"Educativo","Técnico"))),0)</f>
        <v>0</v>
      </c>
      <c r="AI901" s="47" t="e" cm="1">
        <f t="array" aca="1" ref="AI901" ca="1">_xlfn.XLOOKUP(PAA_4[[#This Row],[RCP-RUBRO]],[2]!COMPROMISOS_2024[[#All],[concatenado]],[2]!COMPROMISOS_2024[[#All],[Total pagado]],"",0)</f>
        <v>#NAME?</v>
      </c>
      <c r="AJ901" s="56">
        <f>IF(PAA_4[[#This Row],[BOLSA]]=0,0,SUMIFS([2]!COMPROMISOS_2024[[#All],[Total pagado]],[2]!COMPROMISOS_2024[[#All],[Bolsa]],PAA_4[[#This Row],[BOLSA]],[2]!COMPROMISOS_2024[[#All],[rubro]],PAA_4[[#This Row],[RCP-RUBRO]]))</f>
        <v>0</v>
      </c>
      <c r="AK901" s="47" t="e" cm="1">
        <f t="array" aca="1" ref="AK901" ca="1">_xlfn.XLOOKUP(PAA_4[[#This Row],[RCP-RUBRO]],[2]!COMPROMISOS_2024[[#All],[concatenado]],[2]!COMPROMISOS_2024[[#All],[Total Comprometido]],"",0)</f>
        <v>#NAME?</v>
      </c>
      <c r="AL901" s="47">
        <f>IF(PAA_4[[#This Row],[BOLSA]]=0,0,SUMIFS([2]!COMPROMISOS_2024[[#All],[Total Comprometido]],[2]!COMPROMISOS_2024[[#All],[Bolsa]],PAA_4[[#This Row],[BOLSA]],[2]!COMPROMISOS_2024[[#All],[concatenado]],PAA_4[[#This Row],[RCP-RUBRO]]))</f>
        <v>0</v>
      </c>
    </row>
    <row r="902" spans="1:38" s="19" customFormat="1" ht="31.5" customHeight="1">
      <c r="A902" s="47">
        <v>735</v>
      </c>
      <c r="B902" s="51">
        <v>80111600</v>
      </c>
      <c r="C902" s="47" t="str">
        <f>VLOOKUP(PAA_4[[#This Row],[PROYECTO (formulado)2]],[2]PROYECTOS!$G$1:$L$32,6,0)</f>
        <v>SUBGERENCIA DE ALTOS LOGROS Y DEPORTE ASOCIADO</v>
      </c>
      <c r="D902" s="47" t="str">
        <f>+IF(PAA_4[[#This Row],[UNIDAD DE CONTRATACION (formulado)]]="Subgerencia Administrativa y Financiera","FUNCIONAMIENTO","INVERSIÓN")</f>
        <v>INVERSIÓN</v>
      </c>
      <c r="E902" s="48" t="str">
        <f>VLOOKUP(Q902,[2]PROYECTOS!$G$1:$K$32,5,0)</f>
        <v>APOYO_TÉCNICO_Y_PSICOSOCIAL_A_LOS_DEPORTISTAS_DE_ANTIOQUIA</v>
      </c>
      <c r="F902" s="48">
        <f>VLOOKUP(E902,[2]PROYECTOS!$K$1:$M$32,3,0)</f>
        <v>2021003050069</v>
      </c>
      <c r="G902" s="67" t="s">
        <v>239</v>
      </c>
      <c r="H902" s="49" t="str">
        <f>VLOOKUP(Q902,[2]PROYECTOS!$V$1:$W$32,2,0)</f>
        <v>050069</v>
      </c>
      <c r="I902" s="50">
        <f>49561594-1054502-1054502</f>
        <v>47452590</v>
      </c>
      <c r="J902" s="340" t="s">
        <v>1784</v>
      </c>
      <c r="K902" s="47" t="str">
        <f t="shared" ref="K902:K912" ca="1" si="299">IF(ISNONTEXT(Y902)=TRUE,"CONTRATADO","NO CONTRATADO")</f>
        <v>CONTRATADO</v>
      </c>
      <c r="L902" s="351" t="s">
        <v>94</v>
      </c>
      <c r="M902" s="47" t="s">
        <v>1297</v>
      </c>
      <c r="N902" s="52" t="s">
        <v>260</v>
      </c>
      <c r="O902" s="51" t="e">
        <f>VLOOKUP(N902,[2]!RUBROS[#All],3,0)</f>
        <v>#REF!</v>
      </c>
      <c r="P902" s="53" t="e">
        <f>VLOOKUP(N902,[2]!RUBROS[#All],2,0)</f>
        <v>#REF!</v>
      </c>
      <c r="Q902" s="47" t="str">
        <f t="shared" ref="Q902:Q912" si="300">+MID(N902,11,2)</f>
        <v>22</v>
      </c>
      <c r="R902" s="47" t="str">
        <f t="shared" ref="R902:R916" si="301">+MID(N902,14,8)</f>
        <v>4-101124</v>
      </c>
      <c r="S902" s="342">
        <v>200</v>
      </c>
      <c r="T902" s="63" t="s">
        <v>120</v>
      </c>
      <c r="U902" s="326" t="e">
        <f ca="1">_xlfn.XLOOKUP(PAA_4[[#This Row],[ITEM]],[2]Contrato!A:A,[2]Contrato!Q:Q,"",0)</f>
        <v>#NAME?</v>
      </c>
      <c r="V902" s="47" t="s">
        <v>47</v>
      </c>
      <c r="W902" s="343" t="s">
        <v>154</v>
      </c>
      <c r="X902" s="343" t="s">
        <v>154</v>
      </c>
      <c r="Y902" s="55" t="e">
        <f ca="1">_xlfn.XLOOKUP(PAA_4[[#This Row],[ITEM]],[2]Contrato!A:A,[2]Contrato!B:B,"",0)</f>
        <v>#NAME?</v>
      </c>
      <c r="Z902" s="47" t="e">
        <f ca="1">_xlfn.XLOOKUP(PAA_4[[#This Row],[ITEM]],[2]Contrato!A:A,[2]Contrato!G:G,"",0)</f>
        <v>#NAME?</v>
      </c>
      <c r="AA902" s="47" t="e">
        <f ca="1">_xlfn.XLOOKUP(PAA_4[[#This Row],[ITEM]],[2]Contrato!A:A,[2]Contrato!T:T,"",0)</f>
        <v>#NAME?</v>
      </c>
      <c r="AB902" s="55" t="e">
        <f ca="1">+MAX(PAA_4[[#This Row],[Comprometido Contrato]],PAA_4[[#This Row],[Comprometido Bolsa]])</f>
        <v>#NAME?</v>
      </c>
      <c r="AC902" s="55" t="str">
        <f t="shared" ref="AC902:AC912" ca="1" si="302">IFERROR(I902-AB902,"")</f>
        <v/>
      </c>
      <c r="AD902" s="55" t="e">
        <f ca="1">IF(PAA_4[[#This Row],[ESTADO (formulado)]]="NO CONTRATADO",0,MAX(PAA_4[[#This Row],[Pago por Contrato]],PAA_4[[#This Row],[Pago por bolsa]]))</f>
        <v>#NAME?</v>
      </c>
      <c r="AE902" s="55" t="str">
        <f t="shared" ref="AE902:AE912" ca="1" si="303">+IFERROR(AB902-AD902,"")</f>
        <v/>
      </c>
      <c r="AF902" s="47" t="e">
        <f t="shared" ref="AF902:AF912" ca="1" si="304">+CONCATENATE(AA902,N902)</f>
        <v>#NAME?</v>
      </c>
      <c r="AG902" s="47">
        <f t="shared" ref="AG902:AG912" si="305">IFERROR(_xlfn.NUMBERVALUE(MID(G902,1,8)),"")</f>
        <v>41080101</v>
      </c>
      <c r="AH902" s="54" t="str">
        <f>IF(Q902="22",IF(ISNUMBER(SEARCH("econ",PAA_4[[#This Row],[Actividad3]])),"Económico",IF(ISNUMBER(SEARCH("alim",PAA_4[[#This Row],[Actividad3]])),"Alimentación",IF(ISNUMBER(SEARCH("educ",PAA_4[[#This Row],[Actividad3]])),"Educativo","Técnico"))),0)</f>
        <v>Técnico</v>
      </c>
      <c r="AI902" s="47" t="e" cm="1">
        <f t="array" aca="1" ref="AI902" ca="1">_xlfn.XLOOKUP(PAA_4[[#This Row],[RCP-RUBRO]],[2]!COMPROMISOS_2024[[#All],[concatenado]],[2]!COMPROMISOS_2024[[#All],[Total pagado]],"",0)</f>
        <v>#NAME?</v>
      </c>
      <c r="AJ902" s="56" t="e">
        <f ca="1">IF(PAA_4[[#This Row],[BOLSA]]=0,0,SUMIFS([2]!COMPROMISOS_2024[[#All],[Total pagado]],[2]!COMPROMISOS_2024[[#All],[Bolsa]],PAA_4[[#This Row],[BOLSA]],[2]!COMPROMISOS_2024[[#All],[rubro]],PAA_4[[#This Row],[RCP-RUBRO]]))</f>
        <v>#REF!</v>
      </c>
      <c r="AK902" s="47" t="e" cm="1">
        <f t="array" aca="1" ref="AK902" ca="1">_xlfn.XLOOKUP(PAA_4[[#This Row],[RCP-RUBRO]],[2]!COMPROMISOS_2024[[#All],[concatenado]],[2]!COMPROMISOS_2024[[#All],[Total Comprometido]],"",0)</f>
        <v>#NAME?</v>
      </c>
      <c r="AL902" s="47" t="e">
        <f ca="1">IF(PAA_4[[#This Row],[BOLSA]]=0,0,SUMIFS([2]!COMPROMISOS_2024[[#All],[Total Comprometido]],[2]!COMPROMISOS_2024[[#All],[Bolsa]],PAA_4[[#This Row],[BOLSA]],[2]!COMPROMISOS_2024[[#All],[concatenado]],PAA_4[[#This Row],[RCP-RUBRO]]))</f>
        <v>#REF!</v>
      </c>
    </row>
    <row r="903" spans="1:38" s="19" customFormat="1" ht="31.5" customHeight="1">
      <c r="A903" s="47">
        <v>736</v>
      </c>
      <c r="B903" s="51">
        <v>80111600</v>
      </c>
      <c r="C903" s="47" t="str">
        <f>VLOOKUP(PAA_4[[#This Row],[PROYECTO (formulado)2]],[2]PROYECTOS!$G$1:$L$32,6,0)</f>
        <v>SUBGERENCIA DE ALTOS LOGROS Y DEPORTE ASOCIADO</v>
      </c>
      <c r="D903" s="47" t="str">
        <f>+IF(PAA_4[[#This Row],[UNIDAD DE CONTRATACION (formulado)]]="Subgerencia Administrativa y Financiera","FUNCIONAMIENTO","INVERSIÓN")</f>
        <v>INVERSIÓN</v>
      </c>
      <c r="E903" s="48" t="str">
        <f>VLOOKUP(Q903,[2]PROYECTOS!$G$1:$K$32,5,0)</f>
        <v>APOYO_TÉCNICO_Y_PSICOSOCIAL_A_LOS_DEPORTISTAS_DE_ANTIOQUIA</v>
      </c>
      <c r="F903" s="48">
        <f>VLOOKUP(E903,[2]PROYECTOS!$K$1:$M$32,3,0)</f>
        <v>2021003050069</v>
      </c>
      <c r="G903" s="67" t="s">
        <v>239</v>
      </c>
      <c r="H903" s="49" t="str">
        <f>VLOOKUP(Q903,[2]PROYECTOS!$V$1:$W$32,2,0)</f>
        <v>050069</v>
      </c>
      <c r="I903" s="50">
        <v>0</v>
      </c>
      <c r="J903" s="340" t="s">
        <v>42</v>
      </c>
      <c r="K903" s="47" t="str">
        <f t="shared" ca="1" si="299"/>
        <v>CONTRATADO</v>
      </c>
      <c r="L903" s="351" t="s">
        <v>94</v>
      </c>
      <c r="M903" s="47" t="s">
        <v>42</v>
      </c>
      <c r="N903" s="52" t="s">
        <v>260</v>
      </c>
      <c r="O903" s="51" t="e">
        <f>VLOOKUP(N903,[2]!RUBROS[#All],3,0)</f>
        <v>#REF!</v>
      </c>
      <c r="P903" s="53" t="e">
        <f>VLOOKUP(N903,[2]!RUBROS[#All],2,0)</f>
        <v>#REF!</v>
      </c>
      <c r="Q903" s="47" t="str">
        <f t="shared" si="300"/>
        <v>22</v>
      </c>
      <c r="R903" s="47" t="str">
        <f t="shared" si="301"/>
        <v>4-101124</v>
      </c>
      <c r="S903" s="342">
        <v>200</v>
      </c>
      <c r="T903" s="63" t="s">
        <v>120</v>
      </c>
      <c r="U903" s="326" t="e">
        <f ca="1">_xlfn.XLOOKUP(PAA_4[[#This Row],[ITEM]],[2]Contrato!A:A,[2]Contrato!Q:Q,"",0)</f>
        <v>#NAME?</v>
      </c>
      <c r="V903" s="47" t="s">
        <v>47</v>
      </c>
      <c r="W903" s="343" t="s">
        <v>154</v>
      </c>
      <c r="X903" s="343" t="s">
        <v>154</v>
      </c>
      <c r="Y903" s="55" t="e">
        <f ca="1">_xlfn.XLOOKUP(PAA_4[[#This Row],[ITEM]],[2]Contrato!A:A,[2]Contrato!B:B,"",0)</f>
        <v>#NAME?</v>
      </c>
      <c r="Z903" s="47" t="e">
        <f ca="1">_xlfn.XLOOKUP(PAA_4[[#This Row],[ITEM]],[2]Contrato!A:A,[2]Contrato!G:G,"",0)</f>
        <v>#NAME?</v>
      </c>
      <c r="AA903" s="47" t="e">
        <f ca="1">_xlfn.XLOOKUP(PAA_4[[#This Row],[ITEM]],[2]Contrato!A:A,[2]Contrato!T:T,"",0)</f>
        <v>#NAME?</v>
      </c>
      <c r="AB903" s="55" t="e">
        <f ca="1">+MAX(PAA_4[[#This Row],[Comprometido Contrato]],PAA_4[[#This Row],[Comprometido Bolsa]])</f>
        <v>#NAME?</v>
      </c>
      <c r="AC903" s="55" t="str">
        <f t="shared" ca="1" si="302"/>
        <v/>
      </c>
      <c r="AD903" s="55" t="e">
        <f ca="1">IF(PAA_4[[#This Row],[ESTADO (formulado)]]="NO CONTRATADO",0,MAX(PAA_4[[#This Row],[Pago por Contrato]],PAA_4[[#This Row],[Pago por bolsa]]))</f>
        <v>#NAME?</v>
      </c>
      <c r="AE903" s="55" t="str">
        <f t="shared" ca="1" si="303"/>
        <v/>
      </c>
      <c r="AF903" s="47" t="e">
        <f t="shared" ca="1" si="304"/>
        <v>#NAME?</v>
      </c>
      <c r="AG903" s="47">
        <f t="shared" si="305"/>
        <v>41080101</v>
      </c>
      <c r="AH903" s="54" t="str">
        <f>IF(Q903="22",IF(ISNUMBER(SEARCH("econ",PAA_4[[#This Row],[Actividad3]])),"Económico",IF(ISNUMBER(SEARCH("alim",PAA_4[[#This Row],[Actividad3]])),"Alimentación",IF(ISNUMBER(SEARCH("educ",PAA_4[[#This Row],[Actividad3]])),"Educativo","Técnico"))),0)</f>
        <v>Técnico</v>
      </c>
      <c r="AI903" s="47" t="e" cm="1">
        <f t="array" aca="1" ref="AI903" ca="1">_xlfn.XLOOKUP(PAA_4[[#This Row],[RCP-RUBRO]],[2]!COMPROMISOS_2024[[#All],[concatenado]],[2]!COMPROMISOS_2024[[#All],[Total pagado]],"",0)</f>
        <v>#NAME?</v>
      </c>
      <c r="AJ903" s="56" t="e">
        <f ca="1">IF(PAA_4[[#This Row],[BOLSA]]=0,0,SUMIFS([2]!COMPROMISOS_2024[[#All],[Total pagado]],[2]!COMPROMISOS_2024[[#All],[Bolsa]],PAA_4[[#This Row],[BOLSA]],[2]!COMPROMISOS_2024[[#All],[rubro]],PAA_4[[#This Row],[RCP-RUBRO]]))</f>
        <v>#REF!</v>
      </c>
      <c r="AK903" s="47" t="e" cm="1">
        <f t="array" aca="1" ref="AK903" ca="1">_xlfn.XLOOKUP(PAA_4[[#This Row],[RCP-RUBRO]],[2]!COMPROMISOS_2024[[#All],[concatenado]],[2]!COMPROMISOS_2024[[#All],[Total Comprometido]],"",0)</f>
        <v>#NAME?</v>
      </c>
      <c r="AL903" s="47" t="e">
        <f ca="1">IF(PAA_4[[#This Row],[BOLSA]]=0,0,SUMIFS([2]!COMPROMISOS_2024[[#All],[Total Comprometido]],[2]!COMPROMISOS_2024[[#All],[Bolsa]],PAA_4[[#This Row],[BOLSA]],[2]!COMPROMISOS_2024[[#All],[concatenado]],PAA_4[[#This Row],[RCP-RUBRO]]))</f>
        <v>#REF!</v>
      </c>
    </row>
    <row r="904" spans="1:38" s="19" customFormat="1" ht="31.5" customHeight="1">
      <c r="A904" s="47">
        <v>737</v>
      </c>
      <c r="B904" s="51" t="s">
        <v>42</v>
      </c>
      <c r="C904" s="47" t="str">
        <f>VLOOKUP(PAA_4[[#This Row],[PROYECTO (formulado)2]],[2]PROYECTOS!$G$1:$L$32,6,0)</f>
        <v>SUBGERENCIA DE ALTOS LOGROS Y DEPORTE ASOCIADO</v>
      </c>
      <c r="D904" s="47" t="str">
        <f>+IF(PAA_4[[#This Row],[UNIDAD DE CONTRATACION (formulado)]]="Subgerencia Administrativa y Financiera","FUNCIONAMIENTO","INVERSIÓN")</f>
        <v>INVERSIÓN</v>
      </c>
      <c r="E904" s="48" t="str">
        <f>VLOOKUP(Q904,[2]PROYECTOS!$G$1:$K$32,5,0)</f>
        <v>APOYO_TÉCNICO_Y_PSICOSOCIAL_A_LOS_DEPORTISTAS_DE_ANTIOQUIA</v>
      </c>
      <c r="F904" s="48">
        <f>VLOOKUP(E904,[2]PROYECTOS!$K$1:$M$32,3,0)</f>
        <v>2021003050069</v>
      </c>
      <c r="G904" s="67" t="s">
        <v>220</v>
      </c>
      <c r="H904" s="49" t="str">
        <f>VLOOKUP(Q904,[2]PROYECTOS!$V$1:$W$32,2,0)</f>
        <v>050069</v>
      </c>
      <c r="I904" s="50">
        <v>280005494</v>
      </c>
      <c r="J904" s="340" t="s">
        <v>1503</v>
      </c>
      <c r="K904" s="47" t="str">
        <f t="shared" ca="1" si="299"/>
        <v>CONTRATADO</v>
      </c>
      <c r="L904" s="47" t="s">
        <v>44</v>
      </c>
      <c r="M904" s="47" t="s">
        <v>1236</v>
      </c>
      <c r="N904" s="52" t="s">
        <v>261</v>
      </c>
      <c r="O904" s="51" t="e">
        <f>VLOOKUP(N904,[2]!RUBROS[#All],3,0)</f>
        <v>#REF!</v>
      </c>
      <c r="P904" s="53" t="e">
        <f>VLOOKUP(N904,[2]!RUBROS[#All],2,0)</f>
        <v>#REF!</v>
      </c>
      <c r="Q904" s="47" t="str">
        <f t="shared" si="300"/>
        <v>22</v>
      </c>
      <c r="R904" s="47" t="str">
        <f t="shared" si="301"/>
        <v>4-205400</v>
      </c>
      <c r="S904" s="342">
        <v>200</v>
      </c>
      <c r="T904" s="63" t="s">
        <v>120</v>
      </c>
      <c r="U904" s="326" t="e">
        <f ca="1">_xlfn.XLOOKUP(PAA_4[[#This Row],[ITEM]],[2]Contrato!A:A,[2]Contrato!Q:Q,"",0)</f>
        <v>#NAME?</v>
      </c>
      <c r="V904" s="47" t="s">
        <v>47</v>
      </c>
      <c r="W904" s="343" t="s">
        <v>154</v>
      </c>
      <c r="X904" s="343" t="s">
        <v>154</v>
      </c>
      <c r="Y904" s="55" t="e">
        <f ca="1">_xlfn.XLOOKUP(PAA_4[[#This Row],[ITEM]],[2]Contrato!A:A,[2]Contrato!B:B,"",0)</f>
        <v>#NAME?</v>
      </c>
      <c r="Z904" s="47" t="e">
        <f ca="1">_xlfn.XLOOKUP(PAA_4[[#This Row],[ITEM]],[2]Contrato!A:A,[2]Contrato!G:G,"",0)</f>
        <v>#NAME?</v>
      </c>
      <c r="AA904" s="47" t="e">
        <f ca="1">_xlfn.XLOOKUP(PAA_4[[#This Row],[ITEM]],[2]Contrato!A:A,[2]Contrato!T:T,"",0)</f>
        <v>#NAME?</v>
      </c>
      <c r="AB904" s="55" t="e">
        <f ca="1">+MAX(PAA_4[[#This Row],[Comprometido Contrato]],PAA_4[[#This Row],[Comprometido Bolsa]])</f>
        <v>#NAME?</v>
      </c>
      <c r="AC904" s="55" t="str">
        <f t="shared" ca="1" si="302"/>
        <v/>
      </c>
      <c r="AD904" s="55" t="e">
        <f ca="1">IF(PAA_4[[#This Row],[ESTADO (formulado)]]="NO CONTRATADO",0,MAX(PAA_4[[#This Row],[Pago por Contrato]],PAA_4[[#This Row],[Pago por bolsa]]))</f>
        <v>#NAME?</v>
      </c>
      <c r="AE904" s="55" t="str">
        <f t="shared" ca="1" si="303"/>
        <v/>
      </c>
      <c r="AF904" s="47" t="e">
        <f t="shared" ca="1" si="304"/>
        <v>#NAME?</v>
      </c>
      <c r="AG904" s="47">
        <f t="shared" si="305"/>
        <v>41080104</v>
      </c>
      <c r="AH904" s="54" t="str">
        <f>IF(Q904="22",IF(ISNUMBER(SEARCH("econ",PAA_4[[#This Row],[Actividad3]])),"Económico",IF(ISNUMBER(SEARCH("alim",PAA_4[[#This Row],[Actividad3]])),"Alimentación",IF(ISNUMBER(SEARCH("educ",PAA_4[[#This Row],[Actividad3]])),"Educativo","Técnico"))),0)</f>
        <v>Educativo</v>
      </c>
      <c r="AI904" s="47" t="e" cm="1">
        <f t="array" aca="1" ref="AI904" ca="1">_xlfn.XLOOKUP(PAA_4[[#This Row],[RCP-RUBRO]],[2]!COMPROMISOS_2024[[#All],[concatenado]],[2]!COMPROMISOS_2024[[#All],[Total pagado]],"",0)</f>
        <v>#NAME?</v>
      </c>
      <c r="AJ904" s="56" t="e">
        <f ca="1">IF(PAA_4[[#This Row],[BOLSA]]=0,0,SUMIFS([2]!COMPROMISOS_2024[[#All],[Total pagado]],[2]!COMPROMISOS_2024[[#All],[Bolsa]],PAA_4[[#This Row],[BOLSA]],[2]!COMPROMISOS_2024[[#All],[rubro]],PAA_4[[#This Row],[RCP-RUBRO]]))</f>
        <v>#REF!</v>
      </c>
      <c r="AK904" s="47" t="e" cm="1">
        <f t="array" aca="1" ref="AK904" ca="1">_xlfn.XLOOKUP(PAA_4[[#This Row],[RCP-RUBRO]],[2]!COMPROMISOS_2024[[#All],[concatenado]],[2]!COMPROMISOS_2024[[#All],[Total Comprometido]],"",0)</f>
        <v>#NAME?</v>
      </c>
      <c r="AL904" s="47" t="e">
        <f ca="1">IF(PAA_4[[#This Row],[BOLSA]]=0,0,SUMIFS([2]!COMPROMISOS_2024[[#All],[Total Comprometido]],[2]!COMPROMISOS_2024[[#All],[Bolsa]],PAA_4[[#This Row],[BOLSA]],[2]!COMPROMISOS_2024[[#All],[concatenado]],PAA_4[[#This Row],[RCP-RUBRO]]))</f>
        <v>#REF!</v>
      </c>
    </row>
    <row r="905" spans="1:38" s="19" customFormat="1" ht="31.5" customHeight="1">
      <c r="A905" s="47">
        <v>737</v>
      </c>
      <c r="B905" s="51" t="s">
        <v>42</v>
      </c>
      <c r="C905" s="47" t="str">
        <f>VLOOKUP(PAA_4[[#This Row],[PROYECTO (formulado)2]],[2]PROYECTOS!$G$1:$L$32,6,0)</f>
        <v>SUBGERENCIA DE ALTOS LOGROS Y DEPORTE ASOCIADO</v>
      </c>
      <c r="D905" s="47" t="str">
        <f>+IF(PAA_4[[#This Row],[UNIDAD DE CONTRATACION (formulado)]]="Subgerencia Administrativa y Financiera","FUNCIONAMIENTO","INVERSIÓN")</f>
        <v>INVERSIÓN</v>
      </c>
      <c r="E905" s="48" t="str">
        <f>VLOOKUP(Q905,[2]PROYECTOS!$G$1:$K$32,5,0)</f>
        <v>APOYO_TÉCNICO_Y_PSICOSOCIAL_A_LOS_DEPORTISTAS_DE_ANTIOQUIA</v>
      </c>
      <c r="F905" s="48">
        <f>VLOOKUP(E905,[2]PROYECTOS!$K$1:$M$32,3,0)</f>
        <v>2021003050069</v>
      </c>
      <c r="G905" s="67" t="s">
        <v>220</v>
      </c>
      <c r="H905" s="49" t="str">
        <f>VLOOKUP(Q905,[2]PROYECTOS!$V$1:$W$32,2,0)</f>
        <v>050069</v>
      </c>
      <c r="I905" s="50">
        <v>0</v>
      </c>
      <c r="J905" s="340" t="s">
        <v>1503</v>
      </c>
      <c r="K905" s="47" t="str">
        <f t="shared" ca="1" si="299"/>
        <v>CONTRATADO</v>
      </c>
      <c r="L905" s="47" t="s">
        <v>44</v>
      </c>
      <c r="M905" s="47" t="s">
        <v>1236</v>
      </c>
      <c r="N905" s="52" t="s">
        <v>261</v>
      </c>
      <c r="O905" s="51" t="e">
        <f>VLOOKUP(N905,[2]!RUBROS[#All],3,0)</f>
        <v>#REF!</v>
      </c>
      <c r="P905" s="53" t="e">
        <f>VLOOKUP(N905,[2]!RUBROS[#All],2,0)</f>
        <v>#REF!</v>
      </c>
      <c r="Q905" s="47" t="str">
        <f t="shared" si="300"/>
        <v>22</v>
      </c>
      <c r="R905" s="47" t="str">
        <f t="shared" si="301"/>
        <v>4-205400</v>
      </c>
      <c r="S905" s="342">
        <v>200</v>
      </c>
      <c r="T905" s="63" t="s">
        <v>120</v>
      </c>
      <c r="U905" s="326" t="e">
        <f ca="1">_xlfn.XLOOKUP(PAA_4[[#This Row],[ITEM]],[2]Contrato!A:A,[2]Contrato!Q:Q,"",0)</f>
        <v>#NAME?</v>
      </c>
      <c r="V905" s="47" t="s">
        <v>47</v>
      </c>
      <c r="W905" s="343" t="s">
        <v>154</v>
      </c>
      <c r="X905" s="343" t="s">
        <v>154</v>
      </c>
      <c r="Y905" s="55" t="e">
        <f ca="1">_xlfn.XLOOKUP(PAA_4[[#This Row],[ITEM]],[2]Contrato!A:A,[2]Contrato!B:B,"",0)</f>
        <v>#NAME?</v>
      </c>
      <c r="Z905" s="47" t="e">
        <f ca="1">_xlfn.XLOOKUP(PAA_4[[#This Row],[ITEM]],[2]Contrato!A:A,[2]Contrato!G:G,"",0)</f>
        <v>#NAME?</v>
      </c>
      <c r="AA905" s="47" t="e">
        <f ca="1">_xlfn.XLOOKUP(PAA_4[[#This Row],[ITEM]],[2]Contrato!A:A,[2]Contrato!T:T,"",0)</f>
        <v>#NAME?</v>
      </c>
      <c r="AB905" s="55" t="e">
        <f ca="1">+MAX(PAA_4[[#This Row],[Comprometido Contrato]],PAA_4[[#This Row],[Comprometido Bolsa]])</f>
        <v>#NAME?</v>
      </c>
      <c r="AC905" s="55" t="str">
        <f t="shared" ca="1" si="302"/>
        <v/>
      </c>
      <c r="AD905" s="55" t="e">
        <f ca="1">IF(PAA_4[[#This Row],[ESTADO (formulado)]]="NO CONTRATADO",0,MAX(PAA_4[[#This Row],[Pago por Contrato]],PAA_4[[#This Row],[Pago por bolsa]]))</f>
        <v>#NAME?</v>
      </c>
      <c r="AE905" s="55" t="str">
        <f t="shared" ca="1" si="303"/>
        <v/>
      </c>
      <c r="AF905" s="47" t="e">
        <f t="shared" ca="1" si="304"/>
        <v>#NAME?</v>
      </c>
      <c r="AG905" s="47">
        <f t="shared" si="305"/>
        <v>41080104</v>
      </c>
      <c r="AH905" s="54" t="str">
        <f>IF(Q905="22",IF(ISNUMBER(SEARCH("econ",PAA_4[[#This Row],[Actividad3]])),"Económico",IF(ISNUMBER(SEARCH("alim",PAA_4[[#This Row],[Actividad3]])),"Alimentación",IF(ISNUMBER(SEARCH("educ",PAA_4[[#This Row],[Actividad3]])),"Educativo","Técnico"))),0)</f>
        <v>Educativo</v>
      </c>
      <c r="AI905" s="47" t="e" cm="1">
        <f t="array" aca="1" ref="AI905" ca="1">_xlfn.XLOOKUP(PAA_4[[#This Row],[RCP-RUBRO]],[2]!COMPROMISOS_2024[[#All],[concatenado]],[2]!COMPROMISOS_2024[[#All],[Total pagado]],"",0)</f>
        <v>#NAME?</v>
      </c>
      <c r="AJ905" s="56" t="e">
        <f ca="1">IF(PAA_4[[#This Row],[BOLSA]]=0,0,SUMIFS([2]!COMPROMISOS_2024[[#All],[Total pagado]],[2]!COMPROMISOS_2024[[#All],[Bolsa]],PAA_4[[#This Row],[BOLSA]],[2]!COMPROMISOS_2024[[#All],[rubro]],PAA_4[[#This Row],[RCP-RUBRO]]))</f>
        <v>#REF!</v>
      </c>
      <c r="AK905" s="47" t="e" cm="1">
        <f t="array" aca="1" ref="AK905" ca="1">_xlfn.XLOOKUP(PAA_4[[#This Row],[RCP-RUBRO]],[2]!COMPROMISOS_2024[[#All],[concatenado]],[2]!COMPROMISOS_2024[[#All],[Total Comprometido]],"",0)</f>
        <v>#NAME?</v>
      </c>
      <c r="AL905" s="47" t="e">
        <f ca="1">IF(PAA_4[[#This Row],[BOLSA]]=0,0,SUMIFS([2]!COMPROMISOS_2024[[#All],[Total Comprometido]],[2]!COMPROMISOS_2024[[#All],[Bolsa]],PAA_4[[#This Row],[BOLSA]],[2]!COMPROMISOS_2024[[#All],[concatenado]],PAA_4[[#This Row],[RCP-RUBRO]]))</f>
        <v>#REF!</v>
      </c>
    </row>
    <row r="906" spans="1:38" s="19" customFormat="1" ht="31.5" customHeight="1">
      <c r="A906" s="47">
        <v>738</v>
      </c>
      <c r="B906" s="51" t="s">
        <v>42</v>
      </c>
      <c r="C906" s="47" t="str">
        <f>VLOOKUP(PAA_4[[#This Row],[PROYECTO (formulado)2]],[2]PROYECTOS!$G$1:$L$32,6,0)</f>
        <v>SUBGERENCIA DE ALTOS LOGROS Y DEPORTE ASOCIADO</v>
      </c>
      <c r="D906" s="47" t="str">
        <f>+IF(PAA_4[[#This Row],[UNIDAD DE CONTRATACION (formulado)]]="Subgerencia Administrativa y Financiera","FUNCIONAMIENTO","INVERSIÓN")</f>
        <v>INVERSIÓN</v>
      </c>
      <c r="E906" s="48" t="str">
        <f>VLOOKUP(Q906,[2]PROYECTOS!$G$1:$K$32,5,0)</f>
        <v>APOYO_TÉCNICO_Y_PSICOSOCIAL_A_LOS_DEPORTISTAS_DE_ANTIOQUIA</v>
      </c>
      <c r="F906" s="48">
        <f>VLOOKUP(E906,[2]PROYECTOS!$K$1:$M$32,3,0)</f>
        <v>2021003050069</v>
      </c>
      <c r="G906" s="67" t="s">
        <v>262</v>
      </c>
      <c r="H906" s="49" t="str">
        <f>VLOOKUP(Q906,[2]PROYECTOS!$V$1:$W$32,2,0)</f>
        <v>050069</v>
      </c>
      <c r="I906" s="50">
        <v>121747881</v>
      </c>
      <c r="J906" s="340" t="s">
        <v>1503</v>
      </c>
      <c r="K906" s="47" t="str">
        <f t="shared" ca="1" si="299"/>
        <v>CONTRATADO</v>
      </c>
      <c r="L906" s="47" t="s">
        <v>44</v>
      </c>
      <c r="M906" s="47" t="s">
        <v>1236</v>
      </c>
      <c r="N906" s="52" t="s">
        <v>261</v>
      </c>
      <c r="O906" s="51" t="e">
        <f>VLOOKUP(N906,[2]!RUBROS[#All],3,0)</f>
        <v>#REF!</v>
      </c>
      <c r="P906" s="53" t="e">
        <f>VLOOKUP(N906,[2]!RUBROS[#All],2,0)</f>
        <v>#REF!</v>
      </c>
      <c r="Q906" s="47" t="str">
        <f t="shared" si="300"/>
        <v>22</v>
      </c>
      <c r="R906" s="47" t="str">
        <f t="shared" si="301"/>
        <v>4-205400</v>
      </c>
      <c r="S906" s="342">
        <v>200</v>
      </c>
      <c r="T906" s="63" t="s">
        <v>120</v>
      </c>
      <c r="U906" s="326" t="e">
        <f ca="1">_xlfn.XLOOKUP(PAA_4[[#This Row],[ITEM]],[2]Contrato!A:A,[2]Contrato!Q:Q,"",0)</f>
        <v>#NAME?</v>
      </c>
      <c r="V906" s="47" t="s">
        <v>47</v>
      </c>
      <c r="W906" s="343" t="s">
        <v>154</v>
      </c>
      <c r="X906" s="343" t="s">
        <v>154</v>
      </c>
      <c r="Y906" s="55" t="e">
        <f ca="1">_xlfn.XLOOKUP(PAA_4[[#This Row],[ITEM]],[2]Contrato!A:A,[2]Contrato!B:B,"",0)</f>
        <v>#NAME?</v>
      </c>
      <c r="Z906" s="47" t="e">
        <f ca="1">_xlfn.XLOOKUP(PAA_4[[#This Row],[ITEM]],[2]Contrato!A:A,[2]Contrato!G:G,"",0)</f>
        <v>#NAME?</v>
      </c>
      <c r="AA906" s="47" t="e">
        <f ca="1">_xlfn.XLOOKUP(PAA_4[[#This Row],[ITEM]],[2]Contrato!A:A,[2]Contrato!T:T,"",0)</f>
        <v>#NAME?</v>
      </c>
      <c r="AB906" s="55" t="e">
        <f ca="1">+MAX(PAA_4[[#This Row],[Comprometido Contrato]],PAA_4[[#This Row],[Comprometido Bolsa]])</f>
        <v>#NAME?</v>
      </c>
      <c r="AC906" s="55" t="str">
        <f t="shared" ca="1" si="302"/>
        <v/>
      </c>
      <c r="AD906" s="55" t="e">
        <f ca="1">IF(PAA_4[[#This Row],[ESTADO (formulado)]]="NO CONTRATADO",0,MAX(PAA_4[[#This Row],[Pago por Contrato]],PAA_4[[#This Row],[Pago por bolsa]]))</f>
        <v>#NAME?</v>
      </c>
      <c r="AE906" s="55" t="str">
        <f t="shared" ca="1" si="303"/>
        <v/>
      </c>
      <c r="AF906" s="47" t="e">
        <f t="shared" ca="1" si="304"/>
        <v>#NAME?</v>
      </c>
      <c r="AG906" s="47">
        <f t="shared" si="305"/>
        <v>41080109</v>
      </c>
      <c r="AH906" s="54" t="str">
        <f>IF(Q906="22",IF(ISNUMBER(SEARCH("econ",PAA_4[[#This Row],[Actividad3]])),"Económico",IF(ISNUMBER(SEARCH("alim",PAA_4[[#This Row],[Actividad3]])),"Alimentación",IF(ISNUMBER(SEARCH("educ",PAA_4[[#This Row],[Actividad3]])),"Educativo","Técnico"))),0)</f>
        <v>Educativo</v>
      </c>
      <c r="AI906" s="47" t="e" cm="1">
        <f t="array" aca="1" ref="AI906" ca="1">_xlfn.XLOOKUP(PAA_4[[#This Row],[RCP-RUBRO]],[2]!COMPROMISOS_2024[[#All],[concatenado]],[2]!COMPROMISOS_2024[[#All],[Total pagado]],"",0)</f>
        <v>#NAME?</v>
      </c>
      <c r="AJ906" s="56" t="e">
        <f ca="1">IF(PAA_4[[#This Row],[BOLSA]]=0,0,SUMIFS([2]!COMPROMISOS_2024[[#All],[Total pagado]],[2]!COMPROMISOS_2024[[#All],[Bolsa]],PAA_4[[#This Row],[BOLSA]],[2]!COMPROMISOS_2024[[#All],[rubro]],PAA_4[[#This Row],[RCP-RUBRO]]))</f>
        <v>#REF!</v>
      </c>
      <c r="AK906" s="47" t="e" cm="1">
        <f t="array" aca="1" ref="AK906" ca="1">_xlfn.XLOOKUP(PAA_4[[#This Row],[RCP-RUBRO]],[2]!COMPROMISOS_2024[[#All],[concatenado]],[2]!COMPROMISOS_2024[[#All],[Total Comprometido]],"",0)</f>
        <v>#NAME?</v>
      </c>
      <c r="AL906" s="47" t="e">
        <f ca="1">IF(PAA_4[[#This Row],[BOLSA]]=0,0,SUMIFS([2]!COMPROMISOS_2024[[#All],[Total Comprometido]],[2]!COMPROMISOS_2024[[#All],[Bolsa]],PAA_4[[#This Row],[BOLSA]],[2]!COMPROMISOS_2024[[#All],[concatenado]],PAA_4[[#This Row],[RCP-RUBRO]]))</f>
        <v>#REF!</v>
      </c>
    </row>
    <row r="907" spans="1:38" s="19" customFormat="1" ht="31.5" customHeight="1">
      <c r="A907" s="47">
        <v>739</v>
      </c>
      <c r="B907" s="51" t="s">
        <v>42</v>
      </c>
      <c r="C907" s="47" t="str">
        <f>VLOOKUP(PAA_4[[#This Row],[PROYECTO (formulado)2]],[2]PROYECTOS!$G$1:$L$32,6,0)</f>
        <v>SUBGERENCIA DE ALTOS LOGROS Y DEPORTE ASOCIADO</v>
      </c>
      <c r="D907" s="47" t="str">
        <f>+IF(PAA_4[[#This Row],[UNIDAD DE CONTRATACION (formulado)]]="Subgerencia Administrativa y Financiera","FUNCIONAMIENTO","INVERSIÓN")</f>
        <v>INVERSIÓN</v>
      </c>
      <c r="E907" s="48" t="str">
        <f>VLOOKUP(Q907,[2]PROYECTOS!$G$1:$K$32,5,0)</f>
        <v>APOYO_TÉCNICO_Y_PSICOSOCIAL_A_LOS_DEPORTISTAS_DE_ANTIOQUIA</v>
      </c>
      <c r="F907" s="48">
        <f>VLOOKUP(E907,[2]PROYECTOS!$K$1:$M$32,3,0)</f>
        <v>2021003050069</v>
      </c>
      <c r="G907" s="361" t="s">
        <v>263</v>
      </c>
      <c r="H907" s="49" t="str">
        <f>VLOOKUP(Q907,[2]PROYECTOS!$V$1:$W$32,2,0)</f>
        <v>050069</v>
      </c>
      <c r="I907" s="50">
        <v>0</v>
      </c>
      <c r="J907" s="352" t="s">
        <v>42</v>
      </c>
      <c r="K907" s="47" t="str">
        <f t="shared" ca="1" si="299"/>
        <v>CONTRATADO</v>
      </c>
      <c r="L907" s="351" t="s">
        <v>264</v>
      </c>
      <c r="M907" s="47" t="s">
        <v>107</v>
      </c>
      <c r="N907" s="52" t="s">
        <v>265</v>
      </c>
      <c r="O907" s="51" t="e">
        <f>VLOOKUP(N907,[2]!RUBROS[#All],3,0)</f>
        <v>#REF!</v>
      </c>
      <c r="P907" s="53" t="e">
        <f>VLOOKUP(N907,[2]!RUBROS[#All],2,0)</f>
        <v>#REF!</v>
      </c>
      <c r="Q907" s="47" t="str">
        <f t="shared" si="300"/>
        <v>22</v>
      </c>
      <c r="R907" s="47" t="str">
        <f t="shared" si="301"/>
        <v>4-101124</v>
      </c>
      <c r="S907" s="342">
        <v>200</v>
      </c>
      <c r="T907" s="63" t="s">
        <v>120</v>
      </c>
      <c r="U907" s="326" t="e">
        <f ca="1">_xlfn.XLOOKUP(PAA_4[[#This Row],[ITEM]],[2]Contrato!A:A,[2]Contrato!Q:Q,"",0)</f>
        <v>#NAME?</v>
      </c>
      <c r="V907" s="47" t="s">
        <v>47</v>
      </c>
      <c r="W907" s="343" t="s">
        <v>154</v>
      </c>
      <c r="X907" s="343" t="s">
        <v>154</v>
      </c>
      <c r="Y907" s="55" t="e">
        <f ca="1">_xlfn.XLOOKUP(PAA_4[[#This Row],[ITEM]],[2]Contrato!A:A,[2]Contrato!B:B,"",0)</f>
        <v>#NAME?</v>
      </c>
      <c r="Z907" s="47" t="e">
        <f ca="1">_xlfn.XLOOKUP(PAA_4[[#This Row],[ITEM]],[2]Contrato!A:A,[2]Contrato!G:G,"",0)</f>
        <v>#NAME?</v>
      </c>
      <c r="AA907" s="47" t="e">
        <f ca="1">_xlfn.XLOOKUP(PAA_4[[#This Row],[ITEM]],[2]Contrato!A:A,[2]Contrato!T:T,"",0)</f>
        <v>#NAME?</v>
      </c>
      <c r="AB907" s="55" t="e">
        <f ca="1">+MAX(PAA_4[[#This Row],[Comprometido Contrato]],PAA_4[[#This Row],[Comprometido Bolsa]])</f>
        <v>#NAME?</v>
      </c>
      <c r="AC907" s="55" t="str">
        <f t="shared" ca="1" si="302"/>
        <v/>
      </c>
      <c r="AD907" s="55" t="e">
        <f ca="1">IF(PAA_4[[#This Row],[ESTADO (formulado)]]="NO CONTRATADO",0,MAX(PAA_4[[#This Row],[Pago por Contrato]],PAA_4[[#This Row],[Pago por bolsa]]))</f>
        <v>#NAME?</v>
      </c>
      <c r="AE907" s="55" t="str">
        <f t="shared" ca="1" si="303"/>
        <v/>
      </c>
      <c r="AF907" s="47" t="e">
        <f t="shared" ca="1" si="304"/>
        <v>#NAME?</v>
      </c>
      <c r="AG907" s="47">
        <f t="shared" si="305"/>
        <v>41080101</v>
      </c>
      <c r="AH907" s="54" t="str">
        <f>IF(Q907="22",IF(ISNUMBER(SEARCH("econ",PAA_4[[#This Row],[Actividad3]])),"Económico",IF(ISNUMBER(SEARCH("alim",PAA_4[[#This Row],[Actividad3]])),"Alimentación",IF(ISNUMBER(SEARCH("educ",PAA_4[[#This Row],[Actividad3]])),"Educativo","Técnico"))),0)</f>
        <v>Técnico</v>
      </c>
      <c r="AI907" s="47" t="e" cm="1">
        <f t="array" aca="1" ref="AI907" ca="1">_xlfn.XLOOKUP(PAA_4[[#This Row],[RCP-RUBRO]],[2]!COMPROMISOS_2024[[#All],[concatenado]],[2]!COMPROMISOS_2024[[#All],[Total pagado]],"",0)</f>
        <v>#NAME?</v>
      </c>
      <c r="AJ907" s="56" t="e">
        <f ca="1">IF(PAA_4[[#This Row],[BOLSA]]=0,0,SUMIFS([2]!COMPROMISOS_2024[[#All],[Total pagado]],[2]!COMPROMISOS_2024[[#All],[Bolsa]],PAA_4[[#This Row],[BOLSA]],[2]!COMPROMISOS_2024[[#All],[rubro]],PAA_4[[#This Row],[RCP-RUBRO]]))</f>
        <v>#REF!</v>
      </c>
      <c r="AK907" s="47" t="e" cm="1">
        <f t="array" aca="1" ref="AK907" ca="1">_xlfn.XLOOKUP(PAA_4[[#This Row],[RCP-RUBRO]],[2]!COMPROMISOS_2024[[#All],[concatenado]],[2]!COMPROMISOS_2024[[#All],[Total Comprometido]],"",0)</f>
        <v>#NAME?</v>
      </c>
      <c r="AL907" s="47" t="e">
        <f ca="1">IF(PAA_4[[#This Row],[BOLSA]]=0,0,SUMIFS([2]!COMPROMISOS_2024[[#All],[Total Comprometido]],[2]!COMPROMISOS_2024[[#All],[Bolsa]],PAA_4[[#This Row],[BOLSA]],[2]!COMPROMISOS_2024[[#All],[concatenado]],PAA_4[[#This Row],[RCP-RUBRO]]))</f>
        <v>#REF!</v>
      </c>
    </row>
    <row r="908" spans="1:38" s="19" customFormat="1" ht="31.5" customHeight="1">
      <c r="A908" s="47" t="s">
        <v>82</v>
      </c>
      <c r="B908" s="51">
        <v>78111800</v>
      </c>
      <c r="C908" s="47" t="str">
        <f>VLOOKUP(PAA_4[[#This Row],[PROYECTO (formulado)2]],[2]PROYECTOS!$G$1:$L$32,6,0)</f>
        <v>SUBGERENCIA DE ALTOS LOGROS Y DEPORTE ASOCIADO</v>
      </c>
      <c r="D908" s="47" t="str">
        <f>+IF(PAA_4[[#This Row],[UNIDAD DE CONTRATACION (formulado)]]="Subgerencia Administrativa y Financiera","FUNCIONAMIENTO","INVERSIÓN")</f>
        <v>INVERSIÓN</v>
      </c>
      <c r="E908" s="48" t="str">
        <f>VLOOKUP(Q908,[2]PROYECTOS!$G$1:$K$32,5,0)</f>
        <v>APOYO_TÉCNICO_Y_PSICOSOCIAL_A_LOS_DEPORTISTAS_DE_ANTIOQUIA</v>
      </c>
      <c r="F908" s="48">
        <f>VLOOKUP(E908,[2]PROYECTOS!$K$1:$M$32,3,0)</f>
        <v>2021003050069</v>
      </c>
      <c r="G908" s="67" t="s">
        <v>266</v>
      </c>
      <c r="H908" s="49" t="str">
        <f>VLOOKUP(Q908,[2]PROYECTOS!$V$1:$W$32,2,0)</f>
        <v>050069</v>
      </c>
      <c r="I908" s="50">
        <v>0</v>
      </c>
      <c r="J908" s="340" t="s">
        <v>42</v>
      </c>
      <c r="K908" s="47" t="str">
        <f t="shared" ca="1" si="299"/>
        <v>CONTRATADO</v>
      </c>
      <c r="L908" s="351" t="s">
        <v>42</v>
      </c>
      <c r="M908" s="65" t="s">
        <v>42</v>
      </c>
      <c r="N908" s="52" t="s">
        <v>267</v>
      </c>
      <c r="O908" s="51" t="e">
        <f>VLOOKUP(N908,[2]!RUBROS[#All],3,0)</f>
        <v>#REF!</v>
      </c>
      <c r="P908" s="53" t="e">
        <f>VLOOKUP(N908,[2]!RUBROS[#All],2,0)</f>
        <v>#REF!</v>
      </c>
      <c r="Q908" s="47" t="str">
        <f t="shared" si="300"/>
        <v>22</v>
      </c>
      <c r="R908" s="47" t="str">
        <f t="shared" si="301"/>
        <v>4-101124</v>
      </c>
      <c r="S908" s="342">
        <v>175</v>
      </c>
      <c r="T908" s="63" t="s">
        <v>120</v>
      </c>
      <c r="U908" s="326" t="e">
        <f ca="1">_xlfn.XLOOKUP(PAA_4[[#This Row],[ITEM]],[2]Contrato!A:A,[2]Contrato!Q:Q,"",0)</f>
        <v>#NAME?</v>
      </c>
      <c r="V908" s="47" t="s">
        <v>47</v>
      </c>
      <c r="W908" s="343" t="s">
        <v>154</v>
      </c>
      <c r="X908" s="343" t="s">
        <v>154</v>
      </c>
      <c r="Y908" s="55" t="e">
        <f ca="1">_xlfn.XLOOKUP(PAA_4[[#This Row],[ITEM]],[2]Contrato!A:A,[2]Contrato!B:B,"",0)</f>
        <v>#NAME?</v>
      </c>
      <c r="Z908" s="47" t="e">
        <f ca="1">_xlfn.XLOOKUP(PAA_4[[#This Row],[ITEM]],[2]Contrato!A:A,[2]Contrato!G:G,"",0)</f>
        <v>#NAME?</v>
      </c>
      <c r="AA908" s="47" t="e">
        <f ca="1">_xlfn.XLOOKUP(PAA_4[[#This Row],[ITEM]],[2]Contrato!A:A,[2]Contrato!T:T,"",0)</f>
        <v>#NAME?</v>
      </c>
      <c r="AB908" s="55" t="e">
        <f ca="1">+MAX(PAA_4[[#This Row],[Comprometido Contrato]],PAA_4[[#This Row],[Comprometido Bolsa]])</f>
        <v>#NAME?</v>
      </c>
      <c r="AC908" s="55" t="str">
        <f t="shared" ca="1" si="302"/>
        <v/>
      </c>
      <c r="AD908" s="55" t="e">
        <f ca="1">IF(PAA_4[[#This Row],[ESTADO (formulado)]]="NO CONTRATADO",0,MAX(PAA_4[[#This Row],[Pago por Contrato]],PAA_4[[#This Row],[Pago por bolsa]]))</f>
        <v>#NAME?</v>
      </c>
      <c r="AE908" s="55" t="str">
        <f t="shared" ca="1" si="303"/>
        <v/>
      </c>
      <c r="AF908" s="47" t="e">
        <f t="shared" ca="1" si="304"/>
        <v>#NAME?</v>
      </c>
      <c r="AG908" s="47">
        <f t="shared" si="305"/>
        <v>41080101</v>
      </c>
      <c r="AH908" s="54" t="str">
        <f>IF(Q908="22",IF(ISNUMBER(SEARCH("econ",PAA_4[[#This Row],[Actividad3]])),"Económico",IF(ISNUMBER(SEARCH("alim",PAA_4[[#This Row],[Actividad3]])),"Alimentación",IF(ISNUMBER(SEARCH("educ",PAA_4[[#This Row],[Actividad3]])),"Educativo","Técnico"))),0)</f>
        <v>Técnico</v>
      </c>
      <c r="AI908" s="47" t="e" cm="1">
        <f t="array" aca="1" ref="AI908" ca="1">_xlfn.XLOOKUP(PAA_4[[#This Row],[RCP-RUBRO]],[2]!COMPROMISOS_2024[[#All],[concatenado]],[2]!COMPROMISOS_2024[[#All],[Total pagado]],"",0)</f>
        <v>#NAME?</v>
      </c>
      <c r="AJ908" s="56" t="e">
        <f ca="1">IF(PAA_4[[#This Row],[BOLSA]]=0,0,SUMIFS([2]!COMPROMISOS_2024[[#All],[Total pagado]],[2]!COMPROMISOS_2024[[#All],[Bolsa]],PAA_4[[#This Row],[BOLSA]],[2]!COMPROMISOS_2024[[#All],[rubro]],PAA_4[[#This Row],[RCP-RUBRO]]))</f>
        <v>#REF!</v>
      </c>
      <c r="AK908" s="47" t="e" cm="1">
        <f t="array" aca="1" ref="AK908" ca="1">_xlfn.XLOOKUP(PAA_4[[#This Row],[RCP-RUBRO]],[2]!COMPROMISOS_2024[[#All],[concatenado]],[2]!COMPROMISOS_2024[[#All],[Total Comprometido]],"",0)</f>
        <v>#NAME?</v>
      </c>
      <c r="AL908" s="47" t="e">
        <f ca="1">IF(PAA_4[[#This Row],[BOLSA]]=0,0,SUMIFS([2]!COMPROMISOS_2024[[#All],[Total Comprometido]],[2]!COMPROMISOS_2024[[#All],[Bolsa]],PAA_4[[#This Row],[BOLSA]],[2]!COMPROMISOS_2024[[#All],[concatenado]],PAA_4[[#This Row],[RCP-RUBRO]]))</f>
        <v>#REF!</v>
      </c>
    </row>
    <row r="909" spans="1:38" s="19" customFormat="1" ht="31.5" customHeight="1">
      <c r="A909" s="47">
        <v>740</v>
      </c>
      <c r="B909" s="51">
        <v>78111800</v>
      </c>
      <c r="C909" s="47" t="str">
        <f>VLOOKUP(PAA_4[[#This Row],[PROYECTO (formulado)2]],[2]PROYECTOS!$G$1:$L$32,6,0)</f>
        <v>SUBGERENCIA DE FOMENTO Y DESARROLLO</v>
      </c>
      <c r="D909" s="47" t="str">
        <f>+IF(PAA_4[[#This Row],[UNIDAD DE CONTRATACION (formulado)]]="Subgerencia Administrativa y Financiera","FUNCIONAMIENTO","INVERSIÓN")</f>
        <v>INVERSIÓN</v>
      </c>
      <c r="E909" s="48" t="str">
        <f>VLOOKUP(Q909,[2]PROYECTOS!$G$1:$K$32,5,0)</f>
        <v>FORTALECIMIENTO_DEL_PROGRAMA_POR_SU_SALUD_MUÉVASE_PUES_EN_LOS_MUNICIPIO_DEL_DEPARTAMENTO_DE_ANTIOQUIA</v>
      </c>
      <c r="F909" s="48">
        <f>VLOOKUP(E909,[2]PROYECTOS!$K$1:$M$32,3,0)</f>
        <v>2020003050030</v>
      </c>
      <c r="G909" s="67" t="s">
        <v>326</v>
      </c>
      <c r="H909" s="49" t="str">
        <f>VLOOKUP(Q909,[2]PROYECTOS!$V$1:$W$32,2,0)</f>
        <v>050055</v>
      </c>
      <c r="I909" s="50">
        <v>29126768</v>
      </c>
      <c r="J909" s="352" t="s">
        <v>1411</v>
      </c>
      <c r="K909" s="47" t="str">
        <f t="shared" ca="1" si="299"/>
        <v>CONTRATADO</v>
      </c>
      <c r="L909" s="351" t="s">
        <v>94</v>
      </c>
      <c r="M909" s="47" t="s">
        <v>161</v>
      </c>
      <c r="N909" s="52" t="s">
        <v>327</v>
      </c>
      <c r="O909" s="51" t="e">
        <f>VLOOKUP(N909,[2]!RUBROS[#All],3,0)</f>
        <v>#REF!</v>
      </c>
      <c r="P909" s="53" t="e">
        <f>VLOOKUP(N909,[2]!RUBROS[#All],2,0)</f>
        <v>#REF!</v>
      </c>
      <c r="Q909" s="47" t="str">
        <f t="shared" si="300"/>
        <v>45</v>
      </c>
      <c r="R909" s="47" t="str">
        <f t="shared" si="301"/>
        <v>0-205128</v>
      </c>
      <c r="S909" s="342">
        <v>175</v>
      </c>
      <c r="T909" s="63" t="s">
        <v>120</v>
      </c>
      <c r="U909" s="326" t="e">
        <f ca="1">_xlfn.XLOOKUP(PAA_4[[#This Row],[ITEM]],[2]Contrato!A:A,[2]Contrato!Q:Q,"",0)</f>
        <v>#NAME?</v>
      </c>
      <c r="V909" s="47" t="s">
        <v>47</v>
      </c>
      <c r="W909" s="343" t="s">
        <v>154</v>
      </c>
      <c r="X909" s="343" t="s">
        <v>154</v>
      </c>
      <c r="Y909" s="55" t="e">
        <f ca="1">_xlfn.XLOOKUP(PAA_4[[#This Row],[ITEM]],[2]Contrato!A:A,[2]Contrato!B:B,"",0)</f>
        <v>#NAME?</v>
      </c>
      <c r="Z909" s="47" t="e">
        <f ca="1">_xlfn.XLOOKUP(PAA_4[[#This Row],[ITEM]],[2]Contrato!A:A,[2]Contrato!G:G,"",0)</f>
        <v>#NAME?</v>
      </c>
      <c r="AA909" s="47" t="e">
        <f ca="1">_xlfn.XLOOKUP(PAA_4[[#This Row],[ITEM]],[2]Contrato!A:A,[2]Contrato!T:T,"",0)</f>
        <v>#NAME?</v>
      </c>
      <c r="AB909" s="55" t="e">
        <f ca="1">+MAX(PAA_4[[#This Row],[Comprometido Contrato]],PAA_4[[#This Row],[Comprometido Bolsa]])</f>
        <v>#NAME?</v>
      </c>
      <c r="AC909" s="55" t="str">
        <f t="shared" ca="1" si="302"/>
        <v/>
      </c>
      <c r="AD909" s="55" t="e">
        <f ca="1">IF(PAA_4[[#This Row],[ESTADO (formulado)]]="NO CONTRATADO",0,MAX(PAA_4[[#This Row],[Pago por Contrato]],PAA_4[[#This Row],[Pago por bolsa]]))</f>
        <v>#NAME?</v>
      </c>
      <c r="AE909" s="55" t="str">
        <f t="shared" ca="1" si="303"/>
        <v/>
      </c>
      <c r="AF909" s="47" t="e">
        <f t="shared" ca="1" si="304"/>
        <v>#NAME?</v>
      </c>
      <c r="AG909" s="47">
        <f t="shared" si="305"/>
        <v>44021001</v>
      </c>
      <c r="AH909" s="54">
        <f>IF(Q909="22",IF(ISNUMBER(SEARCH("econ",PAA_4[[#This Row],[Actividad3]])),"Económico",IF(ISNUMBER(SEARCH("alim",PAA_4[[#This Row],[Actividad3]])),"Alimentación",IF(ISNUMBER(SEARCH("educ",PAA_4[[#This Row],[Actividad3]])),"Educativo","Técnico"))),0)</f>
        <v>0</v>
      </c>
      <c r="AI909" s="47" t="e" cm="1">
        <f t="array" aca="1" ref="AI909" ca="1">_xlfn.XLOOKUP(PAA_4[[#This Row],[RCP-RUBRO]],[2]!COMPROMISOS_2024[[#All],[concatenado]],[2]!COMPROMISOS_2024[[#All],[Total pagado]],"",0)</f>
        <v>#NAME?</v>
      </c>
      <c r="AJ909" s="56">
        <f>IF(PAA_4[[#This Row],[BOLSA]]=0,0,SUMIFS([2]!COMPROMISOS_2024[[#All],[Total pagado]],[2]!COMPROMISOS_2024[[#All],[Bolsa]],PAA_4[[#This Row],[BOLSA]],[2]!COMPROMISOS_2024[[#All],[rubro]],PAA_4[[#This Row],[RCP-RUBRO]]))</f>
        <v>0</v>
      </c>
      <c r="AK909" s="47" t="e" cm="1">
        <f t="array" aca="1" ref="AK909" ca="1">_xlfn.XLOOKUP(PAA_4[[#This Row],[RCP-RUBRO]],[2]!COMPROMISOS_2024[[#All],[concatenado]],[2]!COMPROMISOS_2024[[#All],[Total Comprometido]],"",0)</f>
        <v>#NAME?</v>
      </c>
      <c r="AL909" s="47">
        <f>IF(PAA_4[[#This Row],[BOLSA]]=0,0,SUMIFS([2]!COMPROMISOS_2024[[#All],[Total Comprometido]],[2]!COMPROMISOS_2024[[#All],[Bolsa]],PAA_4[[#This Row],[BOLSA]],[2]!COMPROMISOS_2024[[#All],[concatenado]],PAA_4[[#This Row],[RCP-RUBRO]]))</f>
        <v>0</v>
      </c>
    </row>
    <row r="910" spans="1:38" s="19" customFormat="1" ht="31.5" customHeight="1">
      <c r="A910" s="47">
        <v>740</v>
      </c>
      <c r="B910" s="51">
        <v>78111800</v>
      </c>
      <c r="C910" s="47" t="str">
        <f>VLOOKUP(PAA_4[[#This Row],[PROYECTO (formulado)2]],[2]PROYECTOS!$G$1:$L$32,6,0)</f>
        <v>SUBGERENCIA DE FOMENTO Y DESARROLLO</v>
      </c>
      <c r="D910" s="47" t="str">
        <f>+IF(PAA_4[[#This Row],[UNIDAD DE CONTRATACION (formulado)]]="Subgerencia Administrativa y Financiera","FUNCIONAMIENTO","INVERSIÓN")</f>
        <v>INVERSIÓN</v>
      </c>
      <c r="E910" s="48" t="str">
        <f>VLOOKUP(Q910,[2]PROYECTOS!$G$1:$K$32,5,0)</f>
        <v>FORTALECIMIENTO_DE_LAS_ESCUELAS_DEPORTIVAS_EN_LOS_MUNICIPIOS_DEL_DEPARTAMENTO_DE_ANTIOQUIA</v>
      </c>
      <c r="F910" s="48">
        <f>VLOOKUP(E910,[2]PROYECTOS!$K$1:$M$32,3,0)</f>
        <v>2020003050032</v>
      </c>
      <c r="G910" s="67" t="s">
        <v>333</v>
      </c>
      <c r="H910" s="49" t="str">
        <f>VLOOKUP(Q910,[2]PROYECTOS!$V$1:$W$32,2,0)</f>
        <v>050059</v>
      </c>
      <c r="I910" s="50">
        <v>29126768</v>
      </c>
      <c r="J910" s="352" t="s">
        <v>1411</v>
      </c>
      <c r="K910" s="47" t="str">
        <f t="shared" ca="1" si="299"/>
        <v>CONTRATADO</v>
      </c>
      <c r="L910" s="351" t="s">
        <v>94</v>
      </c>
      <c r="M910" s="47" t="s">
        <v>161</v>
      </c>
      <c r="N910" s="52" t="s">
        <v>373</v>
      </c>
      <c r="O910" s="51" t="e">
        <f>VLOOKUP(N910,[2]!RUBROS[#All],3,0)</f>
        <v>#REF!</v>
      </c>
      <c r="P910" s="53" t="e">
        <f>VLOOKUP(N910,[2]!RUBROS[#All],2,0)</f>
        <v>#REF!</v>
      </c>
      <c r="Q910" s="47" t="str">
        <f t="shared" si="300"/>
        <v>46</v>
      </c>
      <c r="R910" s="47" t="str">
        <f t="shared" si="301"/>
        <v>0-205128</v>
      </c>
      <c r="S910" s="342">
        <v>175</v>
      </c>
      <c r="T910" s="63" t="s">
        <v>120</v>
      </c>
      <c r="U910" s="326" t="e">
        <f ca="1">_xlfn.XLOOKUP(PAA_4[[#This Row],[ITEM]],[2]Contrato!A:A,[2]Contrato!Q:Q,"",0)</f>
        <v>#NAME?</v>
      </c>
      <c r="V910" s="47" t="s">
        <v>47</v>
      </c>
      <c r="W910" s="343" t="s">
        <v>154</v>
      </c>
      <c r="X910" s="343" t="s">
        <v>154</v>
      </c>
      <c r="Y910" s="55" t="e">
        <f ca="1">_xlfn.XLOOKUP(PAA_4[[#This Row],[ITEM]],[2]Contrato!A:A,[2]Contrato!B:B,"",0)</f>
        <v>#NAME?</v>
      </c>
      <c r="Z910" s="47" t="e">
        <f ca="1">_xlfn.XLOOKUP(PAA_4[[#This Row],[ITEM]],[2]Contrato!A:A,[2]Contrato!G:G,"",0)</f>
        <v>#NAME?</v>
      </c>
      <c r="AA910" s="47" t="e">
        <f ca="1">_xlfn.XLOOKUP(PAA_4[[#This Row],[ITEM]],[2]Contrato!A:A,[2]Contrato!T:T,"",0)</f>
        <v>#NAME?</v>
      </c>
      <c r="AB910" s="55" t="e">
        <f ca="1">+MAX(PAA_4[[#This Row],[Comprometido Contrato]],PAA_4[[#This Row],[Comprometido Bolsa]])</f>
        <v>#NAME?</v>
      </c>
      <c r="AC910" s="55" t="str">
        <f t="shared" ca="1" si="302"/>
        <v/>
      </c>
      <c r="AD910" s="55" t="e">
        <f ca="1">IF(PAA_4[[#This Row],[ESTADO (formulado)]]="NO CONTRATADO",0,MAX(PAA_4[[#This Row],[Pago por Contrato]],PAA_4[[#This Row],[Pago por bolsa]]))</f>
        <v>#NAME?</v>
      </c>
      <c r="AE910" s="55" t="str">
        <f t="shared" ca="1" si="303"/>
        <v/>
      </c>
      <c r="AF910" s="47" t="e">
        <f t="shared" ca="1" si="304"/>
        <v>#NAME?</v>
      </c>
      <c r="AG910" s="47">
        <f t="shared" si="305"/>
        <v>44021007</v>
      </c>
      <c r="AH910" s="54">
        <f>IF(Q910="22",IF(ISNUMBER(SEARCH("econ",PAA_4[[#This Row],[Actividad3]])),"Económico",IF(ISNUMBER(SEARCH("alim",PAA_4[[#This Row],[Actividad3]])),"Alimentación",IF(ISNUMBER(SEARCH("educ",PAA_4[[#This Row],[Actividad3]])),"Educativo","Técnico"))),0)</f>
        <v>0</v>
      </c>
      <c r="AI910" s="47" t="e" cm="1">
        <f t="array" aca="1" ref="AI910" ca="1">_xlfn.XLOOKUP(PAA_4[[#This Row],[RCP-RUBRO]],[2]!COMPROMISOS_2024[[#All],[concatenado]],[2]!COMPROMISOS_2024[[#All],[Total pagado]],"",0)</f>
        <v>#NAME?</v>
      </c>
      <c r="AJ910" s="56">
        <f>IF(PAA_4[[#This Row],[BOLSA]]=0,0,SUMIFS([2]!COMPROMISOS_2024[[#All],[Total pagado]],[2]!COMPROMISOS_2024[[#All],[Bolsa]],PAA_4[[#This Row],[BOLSA]],[2]!COMPROMISOS_2024[[#All],[rubro]],PAA_4[[#This Row],[RCP-RUBRO]]))</f>
        <v>0</v>
      </c>
      <c r="AK910" s="47" t="e" cm="1">
        <f t="array" aca="1" ref="AK910" ca="1">_xlfn.XLOOKUP(PAA_4[[#This Row],[RCP-RUBRO]],[2]!COMPROMISOS_2024[[#All],[concatenado]],[2]!COMPROMISOS_2024[[#All],[Total Comprometido]],"",0)</f>
        <v>#NAME?</v>
      </c>
      <c r="AL910" s="47">
        <f>IF(PAA_4[[#This Row],[BOLSA]]=0,0,SUMIFS([2]!COMPROMISOS_2024[[#All],[Total Comprometido]],[2]!COMPROMISOS_2024[[#All],[Bolsa]],PAA_4[[#This Row],[BOLSA]],[2]!COMPROMISOS_2024[[#All],[concatenado]],PAA_4[[#This Row],[RCP-RUBRO]]))</f>
        <v>0</v>
      </c>
    </row>
    <row r="911" spans="1:38" s="19" customFormat="1" ht="31.5" customHeight="1">
      <c r="A911" s="47">
        <v>740</v>
      </c>
      <c r="B911" s="51">
        <v>78111800</v>
      </c>
      <c r="C911" s="47" t="str">
        <f>VLOOKUP(PAA_4[[#This Row],[PROYECTO (formulado)2]],[2]PROYECTOS!$G$1:$L$32,6,0)</f>
        <v>SUBGERENCIA DE FOMENTO Y DESARROLLO</v>
      </c>
      <c r="D911" s="47" t="str">
        <f>+IF(PAA_4[[#This Row],[UNIDAD DE CONTRATACION (formulado)]]="Subgerencia Administrativa y Financiera","FUNCIONAMIENTO","INVERSIÓN")</f>
        <v>INVERSIÓN</v>
      </c>
      <c r="E911" s="48" t="str">
        <f>VLOOKUP(Q911,[2]PROYECTOS!$G$1:$K$32,5,0)</f>
        <v>FORTALECIMIENTO_DE_LOS_PROGRAMAS_RECREATIVOS_EN_LOS_MUNICIPIOS_DEL_DEPARTAMENTO_DE_ANTIOQUIA</v>
      </c>
      <c r="F911" s="48">
        <f>VLOOKUP(E911,[2]PROYECTOS!$K$1:$M$32,3,0)</f>
        <v>2020003050031</v>
      </c>
      <c r="G911" s="67" t="s">
        <v>335</v>
      </c>
      <c r="H911" s="49" t="str">
        <f>VLOOKUP(Q911,[2]PROYECTOS!$V$1:$W$32,2,0)</f>
        <v>050064</v>
      </c>
      <c r="I911" s="50">
        <v>29126768</v>
      </c>
      <c r="J911" s="352" t="s">
        <v>1411</v>
      </c>
      <c r="K911" s="47" t="str">
        <f t="shared" ca="1" si="299"/>
        <v>CONTRATADO</v>
      </c>
      <c r="L911" s="351" t="s">
        <v>94</v>
      </c>
      <c r="M911" s="47" t="s">
        <v>161</v>
      </c>
      <c r="N911" s="52" t="s">
        <v>379</v>
      </c>
      <c r="O911" s="51" t="e">
        <f>VLOOKUP(N911,[2]!RUBROS[#All],3,0)</f>
        <v>#REF!</v>
      </c>
      <c r="P911" s="53" t="e">
        <f>VLOOKUP(N911,[2]!RUBROS[#All],2,0)</f>
        <v>#REF!</v>
      </c>
      <c r="Q911" s="47" t="str">
        <f t="shared" si="300"/>
        <v>47</v>
      </c>
      <c r="R911" s="47" t="str">
        <f t="shared" si="301"/>
        <v>0-205128</v>
      </c>
      <c r="S911" s="342">
        <v>175</v>
      </c>
      <c r="T911" s="63" t="s">
        <v>120</v>
      </c>
      <c r="U911" s="326" t="e">
        <f ca="1">_xlfn.XLOOKUP(PAA_4[[#This Row],[ITEM]],[2]Contrato!A:A,[2]Contrato!Q:Q,"",0)</f>
        <v>#NAME?</v>
      </c>
      <c r="V911" s="47" t="s">
        <v>47</v>
      </c>
      <c r="W911" s="343" t="s">
        <v>154</v>
      </c>
      <c r="X911" s="343" t="s">
        <v>154</v>
      </c>
      <c r="Y911" s="55" t="e">
        <f ca="1">_xlfn.XLOOKUP(PAA_4[[#This Row],[ITEM]],[2]Contrato!A:A,[2]Contrato!B:B,"",0)</f>
        <v>#NAME?</v>
      </c>
      <c r="Z911" s="47" t="e">
        <f ca="1">_xlfn.XLOOKUP(PAA_4[[#This Row],[ITEM]],[2]Contrato!A:A,[2]Contrato!G:G,"",0)</f>
        <v>#NAME?</v>
      </c>
      <c r="AA911" s="47" t="e">
        <f ca="1">_xlfn.XLOOKUP(PAA_4[[#This Row],[ITEM]],[2]Contrato!A:A,[2]Contrato!T:T,"",0)</f>
        <v>#NAME?</v>
      </c>
      <c r="AB911" s="55" t="e">
        <f ca="1">+MAX(PAA_4[[#This Row],[Comprometido Contrato]],PAA_4[[#This Row],[Comprometido Bolsa]])</f>
        <v>#NAME?</v>
      </c>
      <c r="AC911" s="55" t="str">
        <f t="shared" ca="1" si="302"/>
        <v/>
      </c>
      <c r="AD911" s="55" t="e">
        <f ca="1">IF(PAA_4[[#This Row],[ESTADO (formulado)]]="NO CONTRATADO",0,MAX(PAA_4[[#This Row],[Pago por Contrato]],PAA_4[[#This Row],[Pago por bolsa]]))</f>
        <v>#NAME?</v>
      </c>
      <c r="AE911" s="55" t="str">
        <f t="shared" ca="1" si="303"/>
        <v/>
      </c>
      <c r="AF911" s="47" t="e">
        <f t="shared" ca="1" si="304"/>
        <v>#NAME?</v>
      </c>
      <c r="AG911" s="47">
        <f t="shared" si="305"/>
        <v>44021004</v>
      </c>
      <c r="AH911" s="54">
        <f>IF(Q911="22",IF(ISNUMBER(SEARCH("econ",PAA_4[[#This Row],[Actividad3]])),"Económico",IF(ISNUMBER(SEARCH("alim",PAA_4[[#This Row],[Actividad3]])),"Alimentación",IF(ISNUMBER(SEARCH("educ",PAA_4[[#This Row],[Actividad3]])),"Educativo","Técnico"))),0)</f>
        <v>0</v>
      </c>
      <c r="AI911" s="47" t="e" cm="1">
        <f t="array" aca="1" ref="AI911" ca="1">_xlfn.XLOOKUP(PAA_4[[#This Row],[RCP-RUBRO]],[2]!COMPROMISOS_2024[[#All],[concatenado]],[2]!COMPROMISOS_2024[[#All],[Total pagado]],"",0)</f>
        <v>#NAME?</v>
      </c>
      <c r="AJ911" s="56">
        <f>IF(PAA_4[[#This Row],[BOLSA]]=0,0,SUMIFS([2]!COMPROMISOS_2024[[#All],[Total pagado]],[2]!COMPROMISOS_2024[[#All],[Bolsa]],PAA_4[[#This Row],[BOLSA]],[2]!COMPROMISOS_2024[[#All],[rubro]],PAA_4[[#This Row],[RCP-RUBRO]]))</f>
        <v>0</v>
      </c>
      <c r="AK911" s="47" t="e" cm="1">
        <f t="array" aca="1" ref="AK911" ca="1">_xlfn.XLOOKUP(PAA_4[[#This Row],[RCP-RUBRO]],[2]!COMPROMISOS_2024[[#All],[concatenado]],[2]!COMPROMISOS_2024[[#All],[Total Comprometido]],"",0)</f>
        <v>#NAME?</v>
      </c>
      <c r="AL911" s="47">
        <f>IF(PAA_4[[#This Row],[BOLSA]]=0,0,SUMIFS([2]!COMPROMISOS_2024[[#All],[Total Comprometido]],[2]!COMPROMISOS_2024[[#All],[Bolsa]],PAA_4[[#This Row],[BOLSA]],[2]!COMPROMISOS_2024[[#All],[concatenado]],PAA_4[[#This Row],[RCP-RUBRO]]))</f>
        <v>0</v>
      </c>
    </row>
    <row r="912" spans="1:38" s="19" customFormat="1" ht="31.5" customHeight="1">
      <c r="A912" s="47">
        <v>740</v>
      </c>
      <c r="B912" s="51">
        <v>78111800</v>
      </c>
      <c r="C912" s="47" t="str">
        <f>VLOOKUP(PAA_4[[#This Row],[PROYECTO (formulado)2]],[2]PROYECTOS!$G$1:$L$32,6,0)</f>
        <v>SUBGERENCIA DE FOMENTO Y DESARROLLO</v>
      </c>
      <c r="D912" s="47" t="str">
        <f>+IF(PAA_4[[#This Row],[UNIDAD DE CONTRATACION (formulado)]]="Subgerencia Administrativa y Financiera","FUNCIONAMIENTO","INVERSIÓN")</f>
        <v>INVERSIÓN</v>
      </c>
      <c r="E912" s="48" t="str">
        <f>VLOOKUP(Q912,[2]PROYECTOS!$G$1:$K$32,5,0)</f>
        <v>FORTALECIMIENTO_DE_LOS_JUEGOS_DEL_SECTOR_SOCIAL_COMUNITARIO_EN_LOS_MUNICIPIOS_DEL_DEPARTAMENTO_DE_ANTIOQU</v>
      </c>
      <c r="F912" s="48">
        <f>VLOOKUP(E912,[2]PROYECTOS!$K$1:$M$32,3,0)</f>
        <v>2020003050033</v>
      </c>
      <c r="G912" s="67" t="s">
        <v>342</v>
      </c>
      <c r="H912" s="49" t="str">
        <f>VLOOKUP(Q912,[2]PROYECTOS!$V$1:$W$32,2,0)</f>
        <v>050057</v>
      </c>
      <c r="I912" s="50">
        <v>58253537</v>
      </c>
      <c r="J912" s="352" t="s">
        <v>1411</v>
      </c>
      <c r="K912" s="47" t="str">
        <f t="shared" ca="1" si="299"/>
        <v>CONTRATADO</v>
      </c>
      <c r="L912" s="351" t="s">
        <v>94</v>
      </c>
      <c r="M912" s="47" t="s">
        <v>161</v>
      </c>
      <c r="N912" s="52" t="s">
        <v>392</v>
      </c>
      <c r="O912" s="51" t="e">
        <f>VLOOKUP(N912,[2]!RUBROS[#All],3,0)</f>
        <v>#REF!</v>
      </c>
      <c r="P912" s="53" t="e">
        <f>VLOOKUP(N912,[2]!RUBROS[#All],2,0)</f>
        <v>#REF!</v>
      </c>
      <c r="Q912" s="47" t="str">
        <f t="shared" si="300"/>
        <v>50</v>
      </c>
      <c r="R912" s="47" t="str">
        <f t="shared" si="301"/>
        <v>0-205128</v>
      </c>
      <c r="S912" s="342">
        <v>175</v>
      </c>
      <c r="T912" s="63" t="s">
        <v>120</v>
      </c>
      <c r="U912" s="326" t="e">
        <f ca="1">_xlfn.XLOOKUP(PAA_4[[#This Row],[ITEM]],[2]Contrato!A:A,[2]Contrato!Q:Q,"",0)</f>
        <v>#NAME?</v>
      </c>
      <c r="V912" s="47" t="s">
        <v>47</v>
      </c>
      <c r="W912" s="343" t="s">
        <v>154</v>
      </c>
      <c r="X912" s="343" t="s">
        <v>154</v>
      </c>
      <c r="Y912" s="55" t="e">
        <f ca="1">_xlfn.XLOOKUP(PAA_4[[#This Row],[ITEM]],[2]Contrato!A:A,[2]Contrato!B:B,"",0)</f>
        <v>#NAME?</v>
      </c>
      <c r="Z912" s="47" t="e">
        <f ca="1">_xlfn.XLOOKUP(PAA_4[[#This Row],[ITEM]],[2]Contrato!A:A,[2]Contrato!G:G,"",0)</f>
        <v>#NAME?</v>
      </c>
      <c r="AA912" s="47" t="e">
        <f ca="1">_xlfn.XLOOKUP(PAA_4[[#This Row],[ITEM]],[2]Contrato!A:A,[2]Contrato!T:T,"",0)</f>
        <v>#NAME?</v>
      </c>
      <c r="AB912" s="55" t="e">
        <f ca="1">+MAX(PAA_4[[#This Row],[Comprometido Contrato]],PAA_4[[#This Row],[Comprometido Bolsa]])</f>
        <v>#NAME?</v>
      </c>
      <c r="AC912" s="55" t="str">
        <f t="shared" ca="1" si="302"/>
        <v/>
      </c>
      <c r="AD912" s="55" t="e">
        <f ca="1">IF(PAA_4[[#This Row],[ESTADO (formulado)]]="NO CONTRATADO",0,MAX(PAA_4[[#This Row],[Pago por Contrato]],PAA_4[[#This Row],[Pago por bolsa]]))</f>
        <v>#NAME?</v>
      </c>
      <c r="AE912" s="55" t="str">
        <f t="shared" ca="1" si="303"/>
        <v/>
      </c>
      <c r="AF912" s="47" t="e">
        <f t="shared" ca="1" si="304"/>
        <v>#NAME?</v>
      </c>
      <c r="AG912" s="47">
        <f t="shared" si="305"/>
        <v>44021010</v>
      </c>
      <c r="AH912" s="54">
        <f>IF(Q912="22",IF(ISNUMBER(SEARCH("econ",PAA_4[[#This Row],[Actividad3]])),"Económico",IF(ISNUMBER(SEARCH("alim",PAA_4[[#This Row],[Actividad3]])),"Alimentación",IF(ISNUMBER(SEARCH("educ",PAA_4[[#This Row],[Actividad3]])),"Educativo","Técnico"))),0)</f>
        <v>0</v>
      </c>
      <c r="AI912" s="47" t="e" cm="1">
        <f t="array" aca="1" ref="AI912" ca="1">_xlfn.XLOOKUP(PAA_4[[#This Row],[RCP-RUBRO]],[2]!COMPROMISOS_2024[[#All],[concatenado]],[2]!COMPROMISOS_2024[[#All],[Total pagado]],"",0)</f>
        <v>#NAME?</v>
      </c>
      <c r="AJ912" s="56">
        <f>IF(PAA_4[[#This Row],[BOLSA]]=0,0,SUMIFS([2]!COMPROMISOS_2024[[#All],[Total pagado]],[2]!COMPROMISOS_2024[[#All],[Bolsa]],PAA_4[[#This Row],[BOLSA]],[2]!COMPROMISOS_2024[[#All],[rubro]],PAA_4[[#This Row],[RCP-RUBRO]]))</f>
        <v>0</v>
      </c>
      <c r="AK912" s="47" t="e" cm="1">
        <f t="array" aca="1" ref="AK912" ca="1">_xlfn.XLOOKUP(PAA_4[[#This Row],[RCP-RUBRO]],[2]!COMPROMISOS_2024[[#All],[concatenado]],[2]!COMPROMISOS_2024[[#All],[Total Comprometido]],"",0)</f>
        <v>#NAME?</v>
      </c>
      <c r="AL912" s="47">
        <f>IF(PAA_4[[#This Row],[BOLSA]]=0,0,SUMIFS([2]!COMPROMISOS_2024[[#All],[Total Comprometido]],[2]!COMPROMISOS_2024[[#All],[Bolsa]],PAA_4[[#This Row],[BOLSA]],[2]!COMPROMISOS_2024[[#All],[concatenado]],PAA_4[[#This Row],[RCP-RUBRO]]))</f>
        <v>0</v>
      </c>
    </row>
    <row r="913" spans="1:38" s="19" customFormat="1" ht="31.5" customHeight="1">
      <c r="A913" s="47" t="s">
        <v>82</v>
      </c>
      <c r="B913" s="51" t="s">
        <v>42</v>
      </c>
      <c r="C913" s="47" t="str">
        <f>VLOOKUP(PAA_4[[#This Row],[PROYECTO (formulado)2]],[2]PROYECTOS!$G$1:$L$32,6,0)</f>
        <v>SUBGERENCIA DE FOMENTO Y DESARROLLO</v>
      </c>
      <c r="D913" s="47" t="str">
        <f>+IF(PAA_4[[#This Row],[UNIDAD DE CONTRATACION (formulado)]]="Subgerencia Administrativa y Financiera","FUNCIONAMIENTO","INVERSIÓN")</f>
        <v>INVERSIÓN</v>
      </c>
      <c r="E913" s="48" t="str">
        <f>VLOOKUP(Q913,[2]PROYECTOS!$G$1:$K$32,5,0)</f>
        <v>FORTALECIMIENTO_DE_LOS_JUEGOS_DEL_SECTOR_EDUCATIVO_EN_ANTIOQUIA</v>
      </c>
      <c r="F913" s="48">
        <f>VLOOKUP(E913,[2]PROYECTOS!$K$1:$M$32,3,0)</f>
        <v>2020003050034</v>
      </c>
      <c r="G913" s="67" t="s">
        <v>340</v>
      </c>
      <c r="H913" s="49" t="str">
        <f>VLOOKUP(Q913,[2]PROYECTOS!$V$1:$W$32,2,0)</f>
        <v>050053</v>
      </c>
      <c r="I913" s="50">
        <v>4527459</v>
      </c>
      <c r="J913" s="340" t="s">
        <v>1785</v>
      </c>
      <c r="K913" s="47" t="str">
        <f ca="1">IF(ISNONTEXT(Y913)=TRUE,"CONTRATADO","NO CONTRATADO")</f>
        <v>CONTRATADO</v>
      </c>
      <c r="L913" s="351" t="s">
        <v>42</v>
      </c>
      <c r="M913" s="65" t="s">
        <v>42</v>
      </c>
      <c r="N913" s="52" t="s">
        <v>416</v>
      </c>
      <c r="O913" s="51" t="e">
        <f>VLOOKUP(N913,[2]!RUBROS[#All],3,0)</f>
        <v>#REF!</v>
      </c>
      <c r="P913" s="53" t="e">
        <f>VLOOKUP(N913,[2]!RUBROS[#All],2,0)</f>
        <v>#REF!</v>
      </c>
      <c r="Q913" s="47" t="str">
        <f>+MID(N913,11,2)</f>
        <v>51</v>
      </c>
      <c r="R913" s="47" t="str">
        <f t="shared" si="301"/>
        <v>0-205128</v>
      </c>
      <c r="S913" s="342" t="s">
        <v>42</v>
      </c>
      <c r="T913" s="360" t="s">
        <v>42</v>
      </c>
      <c r="U913" s="326" t="e">
        <f ca="1">_xlfn.XLOOKUP(PAA_4[[#This Row],[ITEM]],[2]Contrato!A:A,[2]Contrato!Q:Q,"",0)</f>
        <v>#NAME?</v>
      </c>
      <c r="V913" s="47" t="s">
        <v>95</v>
      </c>
      <c r="W913" s="343" t="s">
        <v>42</v>
      </c>
      <c r="X913" s="343" t="s">
        <v>42</v>
      </c>
      <c r="Y913" s="55" t="e">
        <f ca="1">_xlfn.XLOOKUP(PAA_4[[#This Row],[ITEM]],[2]Contrato!A:A,[2]Contrato!B:B,"",0)</f>
        <v>#NAME?</v>
      </c>
      <c r="Z913" s="47" t="e">
        <f ca="1">_xlfn.XLOOKUP(PAA_4[[#This Row],[ITEM]],[2]Contrato!A:A,[2]Contrato!G:G,"",0)</f>
        <v>#NAME?</v>
      </c>
      <c r="AA913" s="47" t="e">
        <f ca="1">_xlfn.XLOOKUP(PAA_4[[#This Row],[ITEM]],[2]Contrato!A:A,[2]Contrato!T:T,"",0)</f>
        <v>#NAME?</v>
      </c>
      <c r="AB913" s="55" t="e">
        <f ca="1">+MAX(PAA_4[[#This Row],[Comprometido Contrato]],PAA_4[[#This Row],[Comprometido Bolsa]])</f>
        <v>#NAME?</v>
      </c>
      <c r="AC913" s="55" t="str">
        <f ca="1">IFERROR(I913-AB913,"")</f>
        <v/>
      </c>
      <c r="AD913" s="55" t="e">
        <f ca="1">IF(PAA_4[[#This Row],[ESTADO (formulado)]]="NO CONTRATADO",0,MAX(PAA_4[[#This Row],[Pago por Contrato]],PAA_4[[#This Row],[Pago por bolsa]]))</f>
        <v>#NAME?</v>
      </c>
      <c r="AE913" s="55" t="str">
        <f ca="1">+IFERROR(AB913-AD913,"")</f>
        <v/>
      </c>
      <c r="AF913" s="47" t="e">
        <f ca="1">+CONCATENATE(AA913,N913)</f>
        <v>#NAME?</v>
      </c>
      <c r="AG913" s="47">
        <f>IFERROR(_xlfn.NUMBERVALUE(MID(G913,1,8)),"")</f>
        <v>44021011</v>
      </c>
      <c r="AH913" s="54">
        <f>IF(Q913="22",IF(ISNUMBER(SEARCH("econ",PAA_4[[#This Row],[Actividad3]])),"Económico",IF(ISNUMBER(SEARCH("alim",PAA_4[[#This Row],[Actividad3]])),"Alimentación",IF(ISNUMBER(SEARCH("educ",PAA_4[[#This Row],[Actividad3]])),"Educativo","Técnico"))),0)</f>
        <v>0</v>
      </c>
      <c r="AI913" s="47" t="e" cm="1">
        <f t="array" aca="1" ref="AI913" ca="1">_xlfn.XLOOKUP(PAA_4[[#This Row],[RCP-RUBRO]],[2]!COMPROMISOS_2024[[#All],[concatenado]],[2]!COMPROMISOS_2024[[#All],[Total pagado]],"",0)</f>
        <v>#NAME?</v>
      </c>
      <c r="AJ913" s="56">
        <f>IF(PAA_4[[#This Row],[BOLSA]]=0,0,SUMIFS([2]!COMPROMISOS_2024[[#All],[Total pagado]],[2]!COMPROMISOS_2024[[#All],[Bolsa]],PAA_4[[#This Row],[BOLSA]],[2]!COMPROMISOS_2024[[#All],[rubro]],PAA_4[[#This Row],[RCP-RUBRO]]))</f>
        <v>0</v>
      </c>
      <c r="AK913" s="47" t="e" cm="1">
        <f t="array" aca="1" ref="AK913" ca="1">_xlfn.XLOOKUP(PAA_4[[#This Row],[RCP-RUBRO]],[2]!COMPROMISOS_2024[[#All],[concatenado]],[2]!COMPROMISOS_2024[[#All],[Total Comprometido]],"",0)</f>
        <v>#NAME?</v>
      </c>
      <c r="AL913" s="47">
        <f>IF(PAA_4[[#This Row],[BOLSA]]=0,0,SUMIFS([2]!COMPROMISOS_2024[[#All],[Total Comprometido]],[2]!COMPROMISOS_2024[[#All],[Bolsa]],PAA_4[[#This Row],[BOLSA]],[2]!COMPROMISOS_2024[[#All],[concatenado]],PAA_4[[#This Row],[RCP-RUBRO]]))</f>
        <v>0</v>
      </c>
    </row>
    <row r="914" spans="1:38" s="19" customFormat="1" ht="31.5" customHeight="1">
      <c r="A914" s="47">
        <v>740</v>
      </c>
      <c r="B914" s="51">
        <v>78111800</v>
      </c>
      <c r="C914" s="47" t="str">
        <f>VLOOKUP(PAA_4[[#This Row],[PROYECTO (formulado)2]],[2]PROYECTOS!$G$1:$L$32,6,0)</f>
        <v>SUBGERENCIA DE FOMENTO Y DESARROLLO</v>
      </c>
      <c r="D914" s="47" t="str">
        <f>+IF(PAA_4[[#This Row],[UNIDAD DE CONTRATACION (formulado)]]="Subgerencia Administrativa y Financiera","FUNCIONAMIENTO","INVERSIÓN")</f>
        <v>INVERSIÓN</v>
      </c>
      <c r="E914" s="48" t="str">
        <f>VLOOKUP(Q914,[2]PROYECTOS!$G$1:$K$32,5,0)</f>
        <v>FORTALECIMIENTO_DE_LOS_JUEGOS_DEL_SECTOR_EDUCATIVO_EN_ANTIOQUIA</v>
      </c>
      <c r="F914" s="48">
        <f>VLOOKUP(E914,[2]PROYECTOS!$K$1:$M$32,3,0)</f>
        <v>2020003050034</v>
      </c>
      <c r="G914" s="67" t="s">
        <v>340</v>
      </c>
      <c r="H914" s="49" t="str">
        <f>VLOOKUP(Q914,[2]PROYECTOS!$V$1:$W$32,2,0)</f>
        <v>050053</v>
      </c>
      <c r="I914" s="50">
        <f>58121160-4527459</f>
        <v>53593701</v>
      </c>
      <c r="J914" s="352" t="s">
        <v>1411</v>
      </c>
      <c r="K914" s="47" t="str">
        <f t="shared" ref="K914" ca="1" si="306">IF(ISNONTEXT(Y914)=TRUE,"CONTRATADO","NO CONTRATADO")</f>
        <v>CONTRATADO</v>
      </c>
      <c r="L914" s="351" t="s">
        <v>94</v>
      </c>
      <c r="M914" s="47" t="s">
        <v>161</v>
      </c>
      <c r="N914" s="52" t="s">
        <v>416</v>
      </c>
      <c r="O914" s="51" t="e">
        <f>VLOOKUP(N914,[2]!RUBROS[#All],3,0)</f>
        <v>#REF!</v>
      </c>
      <c r="P914" s="53" t="e">
        <f>VLOOKUP(N914,[2]!RUBROS[#All],2,0)</f>
        <v>#REF!</v>
      </c>
      <c r="Q914" s="47" t="str">
        <f t="shared" ref="Q914" si="307">+MID(N914,11,2)</f>
        <v>51</v>
      </c>
      <c r="R914" s="47" t="str">
        <f t="shared" si="301"/>
        <v>0-205128</v>
      </c>
      <c r="S914" s="342">
        <v>175</v>
      </c>
      <c r="T914" s="63" t="s">
        <v>120</v>
      </c>
      <c r="U914" s="326" t="e">
        <f ca="1">_xlfn.XLOOKUP(PAA_4[[#This Row],[ITEM]],[2]Contrato!A:A,[2]Contrato!Q:Q,"",0)</f>
        <v>#NAME?</v>
      </c>
      <c r="V914" s="47" t="s">
        <v>47</v>
      </c>
      <c r="W914" s="343" t="s">
        <v>154</v>
      </c>
      <c r="X914" s="343" t="s">
        <v>154</v>
      </c>
      <c r="Y914" s="55" t="e">
        <f ca="1">_xlfn.XLOOKUP(PAA_4[[#This Row],[ITEM]],[2]Contrato!A:A,[2]Contrato!B:B,"",0)</f>
        <v>#NAME?</v>
      </c>
      <c r="Z914" s="47" t="e">
        <f ca="1">_xlfn.XLOOKUP(PAA_4[[#This Row],[ITEM]],[2]Contrato!A:A,[2]Contrato!G:G,"",0)</f>
        <v>#NAME?</v>
      </c>
      <c r="AA914" s="47" t="e">
        <f ca="1">_xlfn.XLOOKUP(PAA_4[[#This Row],[ITEM]],[2]Contrato!A:A,[2]Contrato!T:T,"",0)</f>
        <v>#NAME?</v>
      </c>
      <c r="AB914" s="55" t="e">
        <f ca="1">+MAX(PAA_4[[#This Row],[Comprometido Contrato]],PAA_4[[#This Row],[Comprometido Bolsa]])</f>
        <v>#NAME?</v>
      </c>
      <c r="AC914" s="55" t="str">
        <f t="shared" ref="AC914" ca="1" si="308">IFERROR(I914-AB914,"")</f>
        <v/>
      </c>
      <c r="AD914" s="55" t="e">
        <f ca="1">IF(PAA_4[[#This Row],[ESTADO (formulado)]]="NO CONTRATADO",0,MAX(PAA_4[[#This Row],[Pago por Contrato]],PAA_4[[#This Row],[Pago por bolsa]]))</f>
        <v>#NAME?</v>
      </c>
      <c r="AE914" s="55" t="str">
        <f t="shared" ref="AE914" ca="1" si="309">+IFERROR(AB914-AD914,"")</f>
        <v/>
      </c>
      <c r="AF914" s="47" t="e">
        <f t="shared" ref="AF914" ca="1" si="310">+CONCATENATE(AA914,N914)</f>
        <v>#NAME?</v>
      </c>
      <c r="AG914" s="47">
        <f t="shared" ref="AG914" si="311">IFERROR(_xlfn.NUMBERVALUE(MID(G914,1,8)),"")</f>
        <v>44021011</v>
      </c>
      <c r="AH914" s="54">
        <f>IF(Q914="22",IF(ISNUMBER(SEARCH("econ",PAA_4[[#This Row],[Actividad3]])),"Económico",IF(ISNUMBER(SEARCH("alim",PAA_4[[#This Row],[Actividad3]])),"Alimentación",IF(ISNUMBER(SEARCH("educ",PAA_4[[#This Row],[Actividad3]])),"Educativo","Técnico"))),0)</f>
        <v>0</v>
      </c>
      <c r="AI914" s="47" t="e" cm="1">
        <f t="array" aca="1" ref="AI914" ca="1">_xlfn.XLOOKUP(PAA_4[[#This Row],[RCP-RUBRO]],[2]!COMPROMISOS_2024[[#All],[concatenado]],[2]!COMPROMISOS_2024[[#All],[Total pagado]],"",0)</f>
        <v>#NAME?</v>
      </c>
      <c r="AJ914" s="56">
        <f>IF(PAA_4[[#This Row],[BOLSA]]=0,0,SUMIFS([2]!COMPROMISOS_2024[[#All],[Total pagado]],[2]!COMPROMISOS_2024[[#All],[Bolsa]],PAA_4[[#This Row],[BOLSA]],[2]!COMPROMISOS_2024[[#All],[rubro]],PAA_4[[#This Row],[RCP-RUBRO]]))</f>
        <v>0</v>
      </c>
      <c r="AK914" s="47" t="e" cm="1">
        <f t="array" aca="1" ref="AK914" ca="1">_xlfn.XLOOKUP(PAA_4[[#This Row],[RCP-RUBRO]],[2]!COMPROMISOS_2024[[#All],[concatenado]],[2]!COMPROMISOS_2024[[#All],[Total Comprometido]],"",0)</f>
        <v>#NAME?</v>
      </c>
      <c r="AL914" s="47">
        <f>IF(PAA_4[[#This Row],[BOLSA]]=0,0,SUMIFS([2]!COMPROMISOS_2024[[#All],[Total Comprometido]],[2]!COMPROMISOS_2024[[#All],[Bolsa]],PAA_4[[#This Row],[BOLSA]],[2]!COMPROMISOS_2024[[#All],[concatenado]],PAA_4[[#This Row],[RCP-RUBRO]]))</f>
        <v>0</v>
      </c>
    </row>
    <row r="915" spans="1:38" s="19" customFormat="1" ht="31.5" customHeight="1">
      <c r="A915" s="47" t="s">
        <v>82</v>
      </c>
      <c r="B915" s="51" t="s">
        <v>42</v>
      </c>
      <c r="C915" s="47" t="str">
        <f>VLOOKUP(PAA_4[[#This Row],[PROYECTO (formulado)2]],[2]PROYECTOS!$G$1:$L$32,6,0)</f>
        <v>SUBGERENCIA DE FOMENTO Y DESARROLLO</v>
      </c>
      <c r="D915" s="47" t="str">
        <f>+IF(PAA_4[[#This Row],[UNIDAD DE CONTRATACION (formulado)]]="Subgerencia Administrativa y Financiera","FUNCIONAMIENTO","INVERSIÓN")</f>
        <v>INVERSIÓN</v>
      </c>
      <c r="E915" s="48" t="str">
        <f>VLOOKUP(Q915,[2]PROYECTOS!$G$1:$K$32,5,0)</f>
        <v>CAPACITACION_PARA_EL_SECTOR_DEL_DEPORTE_LA_ACTIVIDAD_FISICA_LA_RECREACION_Y_LA_EDUCACION_FISICA_DE_ANTI</v>
      </c>
      <c r="F915" s="48">
        <f>VLOOKUP(E915,[2]PROYECTOS!$K$1:$M$32,3,0)</f>
        <v>2020003050024</v>
      </c>
      <c r="G915" s="67" t="s">
        <v>337</v>
      </c>
      <c r="H915" s="49" t="str">
        <f>VLOOKUP(Q915,[2]PROYECTOS!$V$1:$W$32,2,0)</f>
        <v>050063</v>
      </c>
      <c r="I915" s="50">
        <v>1161557</v>
      </c>
      <c r="J915" s="340" t="s">
        <v>1785</v>
      </c>
      <c r="K915" s="47" t="str">
        <f ca="1">IF(ISNONTEXT(Y915)=TRUE,"CONTRATADO","NO CONTRATADO")</f>
        <v>CONTRATADO</v>
      </c>
      <c r="L915" s="351" t="s">
        <v>42</v>
      </c>
      <c r="M915" s="65" t="s">
        <v>42</v>
      </c>
      <c r="N915" s="52" t="s">
        <v>421</v>
      </c>
      <c r="O915" s="51" t="e">
        <f>VLOOKUP(N915,[2]!RUBROS[#All],3,0)</f>
        <v>#REF!</v>
      </c>
      <c r="P915" s="53" t="e">
        <f>VLOOKUP(N915,[2]!RUBROS[#All],2,0)</f>
        <v>#REF!</v>
      </c>
      <c r="Q915" s="47" t="str">
        <f>+MID(N915,11,2)</f>
        <v>48</v>
      </c>
      <c r="R915" s="47" t="str">
        <f t="shared" si="301"/>
        <v>0-205128</v>
      </c>
      <c r="S915" s="342" t="s">
        <v>42</v>
      </c>
      <c r="T915" s="360" t="s">
        <v>42</v>
      </c>
      <c r="U915" s="326" t="e">
        <f ca="1">_xlfn.XLOOKUP(PAA_4[[#This Row],[ITEM]],[2]Contrato!A:A,[2]Contrato!Q:Q,"",0)</f>
        <v>#NAME?</v>
      </c>
      <c r="V915" s="47" t="s">
        <v>95</v>
      </c>
      <c r="W915" s="343" t="s">
        <v>42</v>
      </c>
      <c r="X915" s="343" t="s">
        <v>42</v>
      </c>
      <c r="Y915" s="55" t="e">
        <f ca="1">_xlfn.XLOOKUP(PAA_4[[#This Row],[ITEM]],[2]Contrato!A:A,[2]Contrato!B:B,"",0)</f>
        <v>#NAME?</v>
      </c>
      <c r="Z915" s="47" t="e">
        <f ca="1">_xlfn.XLOOKUP(PAA_4[[#This Row],[ITEM]],[2]Contrato!A:A,[2]Contrato!G:G,"",0)</f>
        <v>#NAME?</v>
      </c>
      <c r="AA915" s="47" t="e">
        <f ca="1">_xlfn.XLOOKUP(PAA_4[[#This Row],[ITEM]],[2]Contrato!A:A,[2]Contrato!T:T,"",0)</f>
        <v>#NAME?</v>
      </c>
      <c r="AB915" s="55" t="e">
        <f ca="1">+MAX(PAA_4[[#This Row],[Comprometido Contrato]],PAA_4[[#This Row],[Comprometido Bolsa]])</f>
        <v>#NAME?</v>
      </c>
      <c r="AC915" s="55" t="str">
        <f ca="1">IFERROR(I915-AB915,"")</f>
        <v/>
      </c>
      <c r="AD915" s="55" t="e">
        <f ca="1">IF(PAA_4[[#This Row],[ESTADO (formulado)]]="NO CONTRATADO",0,MAX(PAA_4[[#This Row],[Pago por Contrato]],PAA_4[[#This Row],[Pago por bolsa]]))</f>
        <v>#NAME?</v>
      </c>
      <c r="AE915" s="55" t="str">
        <f ca="1">+IFERROR(AB915-AD915,"")</f>
        <v/>
      </c>
      <c r="AF915" s="47" t="e">
        <f ca="1">+CONCATENATE(AA915,N915)</f>
        <v>#NAME?</v>
      </c>
      <c r="AG915" s="47">
        <f>IFERROR(_xlfn.NUMBERVALUE(MID(G915,1,8)),"")</f>
        <v>41080201</v>
      </c>
      <c r="AH915" s="54">
        <f>IF(Q915="22",IF(ISNUMBER(SEARCH("econ",PAA_4[[#This Row],[Actividad3]])),"Económico",IF(ISNUMBER(SEARCH("alim",PAA_4[[#This Row],[Actividad3]])),"Alimentación",IF(ISNUMBER(SEARCH("educ",PAA_4[[#This Row],[Actividad3]])),"Educativo","Técnico"))),0)</f>
        <v>0</v>
      </c>
      <c r="AI915" s="47" t="e" cm="1">
        <f t="array" aca="1" ref="AI915" ca="1">_xlfn.XLOOKUP(PAA_4[[#This Row],[RCP-RUBRO]],[2]!COMPROMISOS_2024[[#All],[concatenado]],[2]!COMPROMISOS_2024[[#All],[Total pagado]],"",0)</f>
        <v>#NAME?</v>
      </c>
      <c r="AJ915" s="56">
        <f>IF(PAA_4[[#This Row],[BOLSA]]=0,0,SUMIFS([2]!COMPROMISOS_2024[[#All],[Total pagado]],[2]!COMPROMISOS_2024[[#All],[Bolsa]],PAA_4[[#This Row],[BOLSA]],[2]!COMPROMISOS_2024[[#All],[rubro]],PAA_4[[#This Row],[RCP-RUBRO]]))</f>
        <v>0</v>
      </c>
      <c r="AK915" s="47" t="e" cm="1">
        <f t="array" aca="1" ref="AK915" ca="1">_xlfn.XLOOKUP(PAA_4[[#This Row],[RCP-RUBRO]],[2]!COMPROMISOS_2024[[#All],[concatenado]],[2]!COMPROMISOS_2024[[#All],[Total Comprometido]],"",0)</f>
        <v>#NAME?</v>
      </c>
      <c r="AL915" s="47">
        <f>IF(PAA_4[[#This Row],[BOLSA]]=0,0,SUMIFS([2]!COMPROMISOS_2024[[#All],[Total Comprometido]],[2]!COMPROMISOS_2024[[#All],[Bolsa]],PAA_4[[#This Row],[BOLSA]],[2]!COMPROMISOS_2024[[#All],[concatenado]],PAA_4[[#This Row],[RCP-RUBRO]]))</f>
        <v>0</v>
      </c>
    </row>
    <row r="916" spans="1:38" s="19" customFormat="1" ht="31.5" customHeight="1">
      <c r="A916" s="47">
        <v>740</v>
      </c>
      <c r="B916" s="51">
        <v>78111800</v>
      </c>
      <c r="C916" s="47" t="str">
        <f>VLOOKUP(PAA_4[[#This Row],[PROYECTO (formulado)2]],[2]PROYECTOS!$G$1:$L$32,6,0)</f>
        <v>SUBGERENCIA DE FOMENTO Y DESARROLLO</v>
      </c>
      <c r="D916" s="47" t="str">
        <f>+IF(PAA_4[[#This Row],[UNIDAD DE CONTRATACION (formulado)]]="Subgerencia Administrativa y Financiera","FUNCIONAMIENTO","INVERSIÓN")</f>
        <v>INVERSIÓN</v>
      </c>
      <c r="E916" s="48" t="str">
        <f>VLOOKUP(Q916,[2]PROYECTOS!$G$1:$K$32,5,0)</f>
        <v>CAPACITACION_PARA_EL_SECTOR_DEL_DEPORTE_LA_ACTIVIDAD_FISICA_LA_RECREACION_Y_LA_EDUCACION_FISICA_DE_ANTI</v>
      </c>
      <c r="F916" s="48">
        <f>VLOOKUP(E916,[2]PROYECTOS!$K$1:$M$32,3,0)</f>
        <v>2020003050024</v>
      </c>
      <c r="G916" s="67" t="s">
        <v>337</v>
      </c>
      <c r="H916" s="49" t="str">
        <f>VLOOKUP(Q916,[2]PROYECTOS!$V$1:$W$32,2,0)</f>
        <v>050063</v>
      </c>
      <c r="I916" s="50">
        <f>10922538-1161557</f>
        <v>9760981</v>
      </c>
      <c r="J916" s="352" t="s">
        <v>1411</v>
      </c>
      <c r="K916" s="47" t="str">
        <f t="shared" ref="K916" ca="1" si="312">IF(ISNONTEXT(Y916)=TRUE,"CONTRATADO","NO CONTRATADO")</f>
        <v>CONTRATADO</v>
      </c>
      <c r="L916" s="351" t="s">
        <v>94</v>
      </c>
      <c r="M916" s="47" t="s">
        <v>161</v>
      </c>
      <c r="N916" s="52" t="s">
        <v>421</v>
      </c>
      <c r="O916" s="51" t="e">
        <f>VLOOKUP(N916,[2]!RUBROS[#All],3,0)</f>
        <v>#REF!</v>
      </c>
      <c r="P916" s="53" t="e">
        <f>VLOOKUP(N916,[2]!RUBROS[#All],2,0)</f>
        <v>#REF!</v>
      </c>
      <c r="Q916" s="47" t="str">
        <f t="shared" ref="Q916" si="313">+MID(N916,11,2)</f>
        <v>48</v>
      </c>
      <c r="R916" s="47" t="str">
        <f t="shared" si="301"/>
        <v>0-205128</v>
      </c>
      <c r="S916" s="342">
        <v>175</v>
      </c>
      <c r="T916" s="63" t="s">
        <v>120</v>
      </c>
      <c r="U916" s="326" t="e">
        <f ca="1">_xlfn.XLOOKUP(PAA_4[[#This Row],[ITEM]],[2]Contrato!A:A,[2]Contrato!Q:Q,"",0)</f>
        <v>#NAME?</v>
      </c>
      <c r="V916" s="47" t="s">
        <v>47</v>
      </c>
      <c r="W916" s="343" t="s">
        <v>154</v>
      </c>
      <c r="X916" s="343" t="s">
        <v>154</v>
      </c>
      <c r="Y916" s="55" t="e">
        <f ca="1">_xlfn.XLOOKUP(PAA_4[[#This Row],[ITEM]],[2]Contrato!A:A,[2]Contrato!B:B,"",0)</f>
        <v>#NAME?</v>
      </c>
      <c r="Z916" s="47" t="e">
        <f ca="1">_xlfn.XLOOKUP(PAA_4[[#This Row],[ITEM]],[2]Contrato!A:A,[2]Contrato!G:G,"",0)</f>
        <v>#NAME?</v>
      </c>
      <c r="AA916" s="47" t="e">
        <f ca="1">_xlfn.XLOOKUP(PAA_4[[#This Row],[ITEM]],[2]Contrato!A:A,[2]Contrato!T:T,"",0)</f>
        <v>#NAME?</v>
      </c>
      <c r="AB916" s="55" t="e">
        <f ca="1">+MAX(PAA_4[[#This Row],[Comprometido Contrato]],PAA_4[[#This Row],[Comprometido Bolsa]])</f>
        <v>#NAME?</v>
      </c>
      <c r="AC916" s="55" t="str">
        <f t="shared" ref="AC916" ca="1" si="314">IFERROR(I916-AB916,"")</f>
        <v/>
      </c>
      <c r="AD916" s="55" t="e">
        <f ca="1">IF(PAA_4[[#This Row],[ESTADO (formulado)]]="NO CONTRATADO",0,MAX(PAA_4[[#This Row],[Pago por Contrato]],PAA_4[[#This Row],[Pago por bolsa]]))</f>
        <v>#NAME?</v>
      </c>
      <c r="AE916" s="55" t="str">
        <f t="shared" ref="AE916" ca="1" si="315">+IFERROR(AB916-AD916,"")</f>
        <v/>
      </c>
      <c r="AF916" s="47" t="e">
        <f t="shared" ref="AF916" ca="1" si="316">+CONCATENATE(AA916,N916)</f>
        <v>#NAME?</v>
      </c>
      <c r="AG916" s="47">
        <f t="shared" ref="AG916" si="317">IFERROR(_xlfn.NUMBERVALUE(MID(G916,1,8)),"")</f>
        <v>41080201</v>
      </c>
      <c r="AH916" s="54">
        <f>IF(Q916="22",IF(ISNUMBER(SEARCH("econ",PAA_4[[#This Row],[Actividad3]])),"Económico",IF(ISNUMBER(SEARCH("alim",PAA_4[[#This Row],[Actividad3]])),"Alimentación",IF(ISNUMBER(SEARCH("educ",PAA_4[[#This Row],[Actividad3]])),"Educativo","Técnico"))),0)</f>
        <v>0</v>
      </c>
      <c r="AI916" s="47" t="e" cm="1">
        <f t="array" aca="1" ref="AI916" ca="1">_xlfn.XLOOKUP(PAA_4[[#This Row],[RCP-RUBRO]],[2]!COMPROMISOS_2024[[#All],[concatenado]],[2]!COMPROMISOS_2024[[#All],[Total pagado]],"",0)</f>
        <v>#NAME?</v>
      </c>
      <c r="AJ916" s="56">
        <f>IF(PAA_4[[#This Row],[BOLSA]]=0,0,SUMIFS([2]!COMPROMISOS_2024[[#All],[Total pagado]],[2]!COMPROMISOS_2024[[#All],[Bolsa]],PAA_4[[#This Row],[BOLSA]],[2]!COMPROMISOS_2024[[#All],[rubro]],PAA_4[[#This Row],[RCP-RUBRO]]))</f>
        <v>0</v>
      </c>
      <c r="AK916" s="47" t="e" cm="1">
        <f t="array" aca="1" ref="AK916" ca="1">_xlfn.XLOOKUP(PAA_4[[#This Row],[RCP-RUBRO]],[2]!COMPROMISOS_2024[[#All],[concatenado]],[2]!COMPROMISOS_2024[[#All],[Total Comprometido]],"",0)</f>
        <v>#NAME?</v>
      </c>
      <c r="AL916" s="47">
        <f>IF(PAA_4[[#This Row],[BOLSA]]=0,0,SUMIFS([2]!COMPROMISOS_2024[[#All],[Total Comprometido]],[2]!COMPROMISOS_2024[[#All],[Bolsa]],PAA_4[[#This Row],[BOLSA]],[2]!COMPROMISOS_2024[[#All],[concatenado]],PAA_4[[#This Row],[RCP-RUBRO]]))</f>
        <v>0</v>
      </c>
    </row>
    <row r="917" spans="1:38" s="19" customFormat="1" ht="31.5" customHeight="1">
      <c r="A917" s="47" t="s">
        <v>82</v>
      </c>
      <c r="B917" s="51" t="s">
        <v>42</v>
      </c>
      <c r="C917" s="47" t="str">
        <f>VLOOKUP(PAA_4[[#This Row],[PROYECTO (formulado)2]],[2]PROYECTOS!$G$1:$L$32,6,0)</f>
        <v>SUBGERENCIA DE ALTOS LOGROS Y DEPORTE ASOCIADO</v>
      </c>
      <c r="D917" s="47" t="str">
        <f>+IF(PAA_4[[#This Row],[UNIDAD DE CONTRATACION (formulado)]]="Subgerencia Administrativa y Financiera","FUNCIONAMIENTO","INVERSIÓN")</f>
        <v>INVERSIÓN</v>
      </c>
      <c r="E917" s="48" t="str">
        <f>VLOOKUP(Q917,[2]PROYECTOS!$G$1:$K$32,5,0)</f>
        <v>APOYO_TÉCNICO_Y_PSICOSOCIAL_A_LOS_DEPORTISTAS_DE_ANTIOQUIA</v>
      </c>
      <c r="F917" s="48">
        <f>VLOOKUP(E917,[2]PROYECTOS!$K$1:$M$32,3,0)</f>
        <v>2021003050069</v>
      </c>
      <c r="G917" s="361" t="s">
        <v>266</v>
      </c>
      <c r="H917" s="49" t="str">
        <f>VLOOKUP(Q917,[2]PROYECTOS!$V$1:$W$32,2,0)</f>
        <v>050069</v>
      </c>
      <c r="I917" s="50">
        <v>8552890</v>
      </c>
      <c r="J917" s="340" t="s">
        <v>1749</v>
      </c>
      <c r="K917" s="47" t="str">
        <f ca="1">IF(ISNONTEXT(Y917)=TRUE,"CONTRATADO","NO CONTRATADO")</f>
        <v>CONTRATADO</v>
      </c>
      <c r="L917" s="351" t="s">
        <v>42</v>
      </c>
      <c r="M917" s="65" t="s">
        <v>42</v>
      </c>
      <c r="N917" s="52" t="s">
        <v>267</v>
      </c>
      <c r="O917" s="51" t="e">
        <f>VLOOKUP(N917,[2]!RUBROS[#All],3,0)</f>
        <v>#REF!</v>
      </c>
      <c r="P917" s="53" t="e">
        <f>VLOOKUP(N917,[2]!RUBROS[#All],2,0)</f>
        <v>#REF!</v>
      </c>
      <c r="Q917" s="47" t="str">
        <f>+MID(N917,11,2)</f>
        <v>22</v>
      </c>
      <c r="R917" s="47" t="str">
        <f>+MID(N917,14,8)</f>
        <v>4-101124</v>
      </c>
      <c r="S917" s="342" t="s">
        <v>42</v>
      </c>
      <c r="T917" s="360" t="s">
        <v>42</v>
      </c>
      <c r="U917" s="326" t="e">
        <f ca="1">_xlfn.XLOOKUP(PAA_4[[#This Row],[ITEM]],[2]Contrato!A:A,[2]Contrato!Q:Q,"",0)</f>
        <v>#NAME?</v>
      </c>
      <c r="V917" s="47" t="s">
        <v>95</v>
      </c>
      <c r="W917" s="343" t="s">
        <v>42</v>
      </c>
      <c r="X917" s="343" t="s">
        <v>42</v>
      </c>
      <c r="Y917" s="55" t="e">
        <f ca="1">_xlfn.XLOOKUP(PAA_4[[#This Row],[ITEM]],[2]Contrato!A:A,[2]Contrato!B:B,"",0)</f>
        <v>#NAME?</v>
      </c>
      <c r="Z917" s="47" t="e">
        <f ca="1">_xlfn.XLOOKUP(PAA_4[[#This Row],[ITEM]],[2]Contrato!A:A,[2]Contrato!G:G,"",0)</f>
        <v>#NAME?</v>
      </c>
      <c r="AA917" s="47" t="e">
        <f ca="1">_xlfn.XLOOKUP(PAA_4[[#This Row],[ITEM]],[2]Contrato!A:A,[2]Contrato!T:T,"",0)</f>
        <v>#NAME?</v>
      </c>
      <c r="AB917" s="55" t="e">
        <f ca="1">+MAX(PAA_4[[#This Row],[Comprometido Contrato]],PAA_4[[#This Row],[Comprometido Bolsa]])</f>
        <v>#NAME?</v>
      </c>
      <c r="AC917" s="55" t="str">
        <f ca="1">IFERROR(I917-AB917,"")</f>
        <v/>
      </c>
      <c r="AD917" s="55" t="e">
        <f ca="1">IF(PAA_4[[#This Row],[ESTADO (formulado)]]="NO CONTRATADO",0,MAX(PAA_4[[#This Row],[Pago por Contrato]],PAA_4[[#This Row],[Pago por bolsa]]))</f>
        <v>#NAME?</v>
      </c>
      <c r="AE917" s="55" t="str">
        <f ca="1">+IFERROR(AB917-AD917,"")</f>
        <v/>
      </c>
      <c r="AF917" s="47" t="e">
        <f ca="1">+CONCATENATE(AA917,N917)</f>
        <v>#NAME?</v>
      </c>
      <c r="AG917" s="47">
        <f>IFERROR(_xlfn.NUMBERVALUE(MID(G917,1,8)),"")</f>
        <v>41080101</v>
      </c>
      <c r="AH917" s="54" t="str">
        <f>IF(Q917="22",IF(ISNUMBER(SEARCH("econ",PAA_4[[#This Row],[Actividad3]])),"Económico",IF(ISNUMBER(SEARCH("alim",PAA_4[[#This Row],[Actividad3]])),"Alimentación",IF(ISNUMBER(SEARCH("educ",PAA_4[[#This Row],[Actividad3]])),"Educativo","Técnico"))),0)</f>
        <v>Técnico</v>
      </c>
      <c r="AI917" s="47" t="e" cm="1">
        <f t="array" aca="1" ref="AI917" ca="1">_xlfn.XLOOKUP(PAA_4[[#This Row],[RCP-RUBRO]],[2]!COMPROMISOS_2024[[#All],[concatenado]],[2]!COMPROMISOS_2024[[#All],[Total pagado]],"",0)</f>
        <v>#NAME?</v>
      </c>
      <c r="AJ917" s="56" t="e">
        <f ca="1">IF(PAA_4[[#This Row],[BOLSA]]=0,0,SUMIFS([2]!COMPROMISOS_2024[[#All],[Total pagado]],[2]!COMPROMISOS_2024[[#All],[Bolsa]],PAA_4[[#This Row],[BOLSA]],[2]!COMPROMISOS_2024[[#All],[rubro]],PAA_4[[#This Row],[RCP-RUBRO]]))</f>
        <v>#REF!</v>
      </c>
      <c r="AK917" s="47" t="e" cm="1">
        <f t="array" aca="1" ref="AK917" ca="1">_xlfn.XLOOKUP(PAA_4[[#This Row],[RCP-RUBRO]],[2]!COMPROMISOS_2024[[#All],[concatenado]],[2]!COMPROMISOS_2024[[#All],[Total Comprometido]],"",0)</f>
        <v>#NAME?</v>
      </c>
      <c r="AL917" s="47" t="e">
        <f ca="1">IF(PAA_4[[#This Row],[BOLSA]]=0,0,SUMIFS([2]!COMPROMISOS_2024[[#All],[Total Comprometido]],[2]!COMPROMISOS_2024[[#All],[Bolsa]],PAA_4[[#This Row],[BOLSA]],[2]!COMPROMISOS_2024[[#All],[concatenado]],PAA_4[[#This Row],[RCP-RUBRO]]))</f>
        <v>#REF!</v>
      </c>
    </row>
    <row r="918" spans="1:38" s="19" customFormat="1" ht="31.5" customHeight="1">
      <c r="A918" s="47">
        <v>740</v>
      </c>
      <c r="B918" s="51">
        <v>78111800</v>
      </c>
      <c r="C918" s="47" t="str">
        <f>VLOOKUP(PAA_4[[#This Row],[PROYECTO (formulado)2]],[2]PROYECTOS!$G$1:$L$32,6,0)</f>
        <v>SUBGERENCIA DE ALTOS LOGROS Y DEPORTE ASOCIADO</v>
      </c>
      <c r="D918" s="47" t="str">
        <f>+IF(PAA_4[[#This Row],[UNIDAD DE CONTRATACION (formulado)]]="Subgerencia Administrativa y Financiera","FUNCIONAMIENTO","INVERSIÓN")</f>
        <v>INVERSIÓN</v>
      </c>
      <c r="E918" s="48" t="str">
        <f>VLOOKUP(Q918,[2]PROYECTOS!$G$1:$K$32,5,0)</f>
        <v>APOYO_TÉCNICO_Y_PSICOSOCIAL_A_LOS_DEPORTISTAS_DE_ANTIOQUIA</v>
      </c>
      <c r="F918" s="48">
        <f>VLOOKUP(E918,[2]PROYECTOS!$K$1:$M$32,3,0)</f>
        <v>2021003050069</v>
      </c>
      <c r="G918" s="361" t="s">
        <v>266</v>
      </c>
      <c r="H918" s="49" t="str">
        <f>VLOOKUP(Q918,[2]PROYECTOS!$V$1:$W$32,2,0)</f>
        <v>050069</v>
      </c>
      <c r="I918" s="50">
        <f>233393560-5185247-8552890</f>
        <v>219655423</v>
      </c>
      <c r="J918" s="352" t="s">
        <v>1411</v>
      </c>
      <c r="K918" s="47" t="str">
        <f t="shared" ref="K918:K985" ca="1" si="318">IF(ISNONTEXT(Y918)=TRUE,"CONTRATADO","NO CONTRATADO")</f>
        <v>CONTRATADO</v>
      </c>
      <c r="L918" s="351" t="s">
        <v>94</v>
      </c>
      <c r="M918" s="47" t="s">
        <v>161</v>
      </c>
      <c r="N918" s="52" t="s">
        <v>267</v>
      </c>
      <c r="O918" s="51" t="e">
        <f>VLOOKUP(N918,[2]!RUBROS[#All],3,0)</f>
        <v>#REF!</v>
      </c>
      <c r="P918" s="53" t="e">
        <f>VLOOKUP(N918,[2]!RUBROS[#All],2,0)</f>
        <v>#REF!</v>
      </c>
      <c r="Q918" s="47" t="str">
        <f t="shared" ref="Q918:Q985" si="319">+MID(N918,11,2)</f>
        <v>22</v>
      </c>
      <c r="R918" s="47" t="str">
        <f t="shared" ref="R918:R985" si="320">+MID(N918,14,8)</f>
        <v>4-101124</v>
      </c>
      <c r="S918" s="342">
        <v>175</v>
      </c>
      <c r="T918" s="63" t="s">
        <v>120</v>
      </c>
      <c r="U918" s="326" t="e">
        <f ca="1">_xlfn.XLOOKUP(PAA_4[[#This Row],[ITEM]],[2]Contrato!A:A,[2]Contrato!Q:Q,"",0)</f>
        <v>#NAME?</v>
      </c>
      <c r="V918" s="47" t="s">
        <v>47</v>
      </c>
      <c r="W918" s="343" t="s">
        <v>154</v>
      </c>
      <c r="X918" s="343" t="s">
        <v>154</v>
      </c>
      <c r="Y918" s="55" t="e">
        <f ca="1">_xlfn.XLOOKUP(PAA_4[[#This Row],[ITEM]],[2]Contrato!A:A,[2]Contrato!B:B,"",0)</f>
        <v>#NAME?</v>
      </c>
      <c r="Z918" s="47" t="e">
        <f ca="1">_xlfn.XLOOKUP(PAA_4[[#This Row],[ITEM]],[2]Contrato!A:A,[2]Contrato!G:G,"",0)</f>
        <v>#NAME?</v>
      </c>
      <c r="AA918" s="47" t="e">
        <f ca="1">_xlfn.XLOOKUP(PAA_4[[#This Row],[ITEM]],[2]Contrato!A:A,[2]Contrato!T:T,"",0)</f>
        <v>#NAME?</v>
      </c>
      <c r="AB918" s="55" t="e">
        <f ca="1">+MAX(PAA_4[[#This Row],[Comprometido Contrato]],PAA_4[[#This Row],[Comprometido Bolsa]])</f>
        <v>#NAME?</v>
      </c>
      <c r="AC918" s="55" t="str">
        <f t="shared" ref="AC918:AC985" ca="1" si="321">IFERROR(I918-AB918,"")</f>
        <v/>
      </c>
      <c r="AD918" s="55" t="e">
        <f ca="1">IF(PAA_4[[#This Row],[ESTADO (formulado)]]="NO CONTRATADO",0,MAX(PAA_4[[#This Row],[Pago por Contrato]],PAA_4[[#This Row],[Pago por bolsa]]))</f>
        <v>#NAME?</v>
      </c>
      <c r="AE918" s="55" t="str">
        <f t="shared" ref="AE918:AE985" ca="1" si="322">+IFERROR(AB918-AD918,"")</f>
        <v/>
      </c>
      <c r="AF918" s="47" t="e">
        <f t="shared" ref="AF918:AF985" ca="1" si="323">+CONCATENATE(AA918,N918)</f>
        <v>#NAME?</v>
      </c>
      <c r="AG918" s="47">
        <f t="shared" ref="AG918:AG985" si="324">IFERROR(_xlfn.NUMBERVALUE(MID(G918,1,8)),"")</f>
        <v>41080101</v>
      </c>
      <c r="AH918" s="54" t="str">
        <f>IF(Q918="22",IF(ISNUMBER(SEARCH("econ",PAA_4[[#This Row],[Actividad3]])),"Económico",IF(ISNUMBER(SEARCH("alim",PAA_4[[#This Row],[Actividad3]])),"Alimentación",IF(ISNUMBER(SEARCH("educ",PAA_4[[#This Row],[Actividad3]])),"Educativo","Técnico"))),0)</f>
        <v>Técnico</v>
      </c>
      <c r="AI918" s="47" t="e" cm="1">
        <f t="array" aca="1" ref="AI918" ca="1">_xlfn.XLOOKUP(PAA_4[[#This Row],[RCP-RUBRO]],[2]!COMPROMISOS_2024[[#All],[concatenado]],[2]!COMPROMISOS_2024[[#All],[Total pagado]],"",0)</f>
        <v>#NAME?</v>
      </c>
      <c r="AJ918" s="56" t="e">
        <f ca="1">IF(PAA_4[[#This Row],[BOLSA]]=0,0,SUMIFS([2]!COMPROMISOS_2024[[#All],[Total pagado]],[2]!COMPROMISOS_2024[[#All],[Bolsa]],PAA_4[[#This Row],[BOLSA]],[2]!COMPROMISOS_2024[[#All],[rubro]],PAA_4[[#This Row],[RCP-RUBRO]]))</f>
        <v>#REF!</v>
      </c>
      <c r="AK918" s="47" t="e" cm="1">
        <f t="array" aca="1" ref="AK918" ca="1">_xlfn.XLOOKUP(PAA_4[[#This Row],[RCP-RUBRO]],[2]!COMPROMISOS_2024[[#All],[concatenado]],[2]!COMPROMISOS_2024[[#All],[Total Comprometido]],"",0)</f>
        <v>#NAME?</v>
      </c>
      <c r="AL918" s="47" t="e">
        <f ca="1">IF(PAA_4[[#This Row],[BOLSA]]=0,0,SUMIFS([2]!COMPROMISOS_2024[[#All],[Total Comprometido]],[2]!COMPROMISOS_2024[[#All],[Bolsa]],PAA_4[[#This Row],[BOLSA]],[2]!COMPROMISOS_2024[[#All],[concatenado]],PAA_4[[#This Row],[RCP-RUBRO]]))</f>
        <v>#REF!</v>
      </c>
    </row>
    <row r="919" spans="1:38" s="19" customFormat="1" ht="31.5" customHeight="1">
      <c r="A919" s="47">
        <v>741</v>
      </c>
      <c r="B919" s="51" t="s">
        <v>42</v>
      </c>
      <c r="C919" s="47" t="str">
        <f>VLOOKUP(PAA_4[[#This Row],[PROYECTO (formulado)2]],[2]PROYECTOS!$G$1:$L$32,6,0)</f>
        <v>SUBGERENCIA DE ALTOS LOGROS Y DEPORTE ASOCIADO</v>
      </c>
      <c r="D919" s="47" t="str">
        <f>+IF(PAA_4[[#This Row],[UNIDAD DE CONTRATACION (formulado)]]="Subgerencia Administrativa y Financiera","FUNCIONAMIENTO","INVERSIÓN")</f>
        <v>INVERSIÓN</v>
      </c>
      <c r="E919" s="48" t="str">
        <f>VLOOKUP(Q919,[2]PROYECTOS!$G$1:$K$32,5,0)</f>
        <v>APOYO_TÉCNICO_Y_PSICOSOCIAL_A_LOS_DEPORTISTAS_DE_ANTIOQUIA</v>
      </c>
      <c r="F919" s="48">
        <f>VLOOKUP(E919,[2]PROYECTOS!$K$1:$M$32,3,0)</f>
        <v>2021003050069</v>
      </c>
      <c r="G919" s="361" t="s">
        <v>268</v>
      </c>
      <c r="H919" s="49" t="str">
        <f>VLOOKUP(Q919,[2]PROYECTOS!$V$1:$W$32,2,0)</f>
        <v>050069</v>
      </c>
      <c r="I919" s="50">
        <v>0</v>
      </c>
      <c r="J919" s="352" t="s">
        <v>42</v>
      </c>
      <c r="K919" s="47" t="str">
        <f t="shared" ca="1" si="318"/>
        <v>CONTRATADO</v>
      </c>
      <c r="L919" s="351" t="s">
        <v>94</v>
      </c>
      <c r="M919" s="47" t="s">
        <v>1236</v>
      </c>
      <c r="N919" s="52" t="s">
        <v>269</v>
      </c>
      <c r="O919" s="51" t="e">
        <f>VLOOKUP(N919,[2]!RUBROS[#All],3,0)</f>
        <v>#REF!</v>
      </c>
      <c r="P919" s="53" t="e">
        <f>VLOOKUP(N919,[2]!RUBROS[#All],2,0)</f>
        <v>#REF!</v>
      </c>
      <c r="Q919" s="47" t="str">
        <f t="shared" si="319"/>
        <v>22</v>
      </c>
      <c r="R919" s="47" t="str">
        <f t="shared" si="320"/>
        <v>4-205128</v>
      </c>
      <c r="S919" s="342">
        <v>200</v>
      </c>
      <c r="T919" s="63" t="s">
        <v>120</v>
      </c>
      <c r="U919" s="326" t="e">
        <f ca="1">_xlfn.XLOOKUP(PAA_4[[#This Row],[ITEM]],[2]Contrato!A:A,[2]Contrato!Q:Q,"",0)</f>
        <v>#NAME?</v>
      </c>
      <c r="V919" s="47" t="s">
        <v>47</v>
      </c>
      <c r="W919" s="343" t="s">
        <v>154</v>
      </c>
      <c r="X919" s="343" t="s">
        <v>154</v>
      </c>
      <c r="Y919" s="55" t="e">
        <f ca="1">_xlfn.XLOOKUP(PAA_4[[#This Row],[ITEM]],[2]Contrato!A:A,[2]Contrato!B:B,"",0)</f>
        <v>#NAME?</v>
      </c>
      <c r="Z919" s="47" t="e">
        <f ca="1">_xlfn.XLOOKUP(PAA_4[[#This Row],[ITEM]],[2]Contrato!A:A,[2]Contrato!G:G,"",0)</f>
        <v>#NAME?</v>
      </c>
      <c r="AA919" s="47" t="e">
        <f ca="1">_xlfn.XLOOKUP(PAA_4[[#This Row],[ITEM]],[2]Contrato!A:A,[2]Contrato!T:T,"",0)</f>
        <v>#NAME?</v>
      </c>
      <c r="AB919" s="55" t="e">
        <f ca="1">+MAX(PAA_4[[#This Row],[Comprometido Contrato]],PAA_4[[#This Row],[Comprometido Bolsa]])</f>
        <v>#NAME?</v>
      </c>
      <c r="AC919" s="55" t="str">
        <f t="shared" ca="1" si="321"/>
        <v/>
      </c>
      <c r="AD919" s="55" t="e">
        <f ca="1">IF(PAA_4[[#This Row],[ESTADO (formulado)]]="NO CONTRATADO",0,MAX(PAA_4[[#This Row],[Pago por Contrato]],PAA_4[[#This Row],[Pago por bolsa]]))</f>
        <v>#NAME?</v>
      </c>
      <c r="AE919" s="55" t="str">
        <f t="shared" ca="1" si="322"/>
        <v/>
      </c>
      <c r="AF919" s="47" t="e">
        <f t="shared" ca="1" si="323"/>
        <v>#NAME?</v>
      </c>
      <c r="AG919" s="47">
        <f t="shared" si="324"/>
        <v>41080102</v>
      </c>
      <c r="AH919" s="54" t="str">
        <f>IF(Q919="22",IF(ISNUMBER(SEARCH("econ",PAA_4[[#This Row],[Actividad3]])),"Económico",IF(ISNUMBER(SEARCH("alim",PAA_4[[#This Row],[Actividad3]])),"Alimentación",IF(ISNUMBER(SEARCH("educ",PAA_4[[#This Row],[Actividad3]])),"Educativo","Técnico"))),0)</f>
        <v>Económico</v>
      </c>
      <c r="AI919" s="47" t="e" cm="1">
        <f t="array" aca="1" ref="AI919" ca="1">_xlfn.XLOOKUP(PAA_4[[#This Row],[RCP-RUBRO]],[2]!COMPROMISOS_2024[[#All],[concatenado]],[2]!COMPROMISOS_2024[[#All],[Total pagado]],"",0)</f>
        <v>#NAME?</v>
      </c>
      <c r="AJ919" s="56" t="e">
        <f ca="1">IF(PAA_4[[#This Row],[BOLSA]]=0,0,SUMIFS([2]!COMPROMISOS_2024[[#All],[Total pagado]],[2]!COMPROMISOS_2024[[#All],[Bolsa]],PAA_4[[#This Row],[BOLSA]],[2]!COMPROMISOS_2024[[#All],[rubro]],PAA_4[[#This Row],[RCP-RUBRO]]))</f>
        <v>#REF!</v>
      </c>
      <c r="AK919" s="47" t="e" cm="1">
        <f t="array" aca="1" ref="AK919" ca="1">_xlfn.XLOOKUP(PAA_4[[#This Row],[RCP-RUBRO]],[2]!COMPROMISOS_2024[[#All],[concatenado]],[2]!COMPROMISOS_2024[[#All],[Total Comprometido]],"",0)</f>
        <v>#NAME?</v>
      </c>
      <c r="AL919" s="47" t="e">
        <f ca="1">IF(PAA_4[[#This Row],[BOLSA]]=0,0,SUMIFS([2]!COMPROMISOS_2024[[#All],[Total Comprometido]],[2]!COMPROMISOS_2024[[#All],[Bolsa]],PAA_4[[#This Row],[BOLSA]],[2]!COMPROMISOS_2024[[#All],[concatenado]],PAA_4[[#This Row],[RCP-RUBRO]]))</f>
        <v>#REF!</v>
      </c>
    </row>
    <row r="920" spans="1:38" s="19" customFormat="1" ht="31.5" customHeight="1">
      <c r="A920" s="47">
        <v>742</v>
      </c>
      <c r="B920" s="51" t="s">
        <v>42</v>
      </c>
      <c r="C920" s="47" t="str">
        <f>VLOOKUP(PAA_4[[#This Row],[PROYECTO (formulado)2]],[2]PROYECTOS!$G$1:$L$32,6,0)</f>
        <v>SUBGERENCIA DE ALTOS LOGROS Y DEPORTE ASOCIADO</v>
      </c>
      <c r="D920" s="47" t="str">
        <f>+IF(PAA_4[[#This Row],[UNIDAD DE CONTRATACION (formulado)]]="Subgerencia Administrativa y Financiera","FUNCIONAMIENTO","INVERSIÓN")</f>
        <v>INVERSIÓN</v>
      </c>
      <c r="E920" s="48" t="str">
        <f>VLOOKUP(Q920,[2]PROYECTOS!$G$1:$K$32,5,0)</f>
        <v>APOYO_TÉCNICO_Y_PSICOSOCIAL_A_LOS_DEPORTISTAS_DE_ANTIOQUIA</v>
      </c>
      <c r="F920" s="48">
        <f>VLOOKUP(E920,[2]PROYECTOS!$K$1:$M$32,3,0)</f>
        <v>2021003050069</v>
      </c>
      <c r="G920" s="361" t="s">
        <v>270</v>
      </c>
      <c r="H920" s="49" t="str">
        <f>VLOOKUP(Q920,[2]PROYECTOS!$V$1:$W$32,2,0)</f>
        <v>050069</v>
      </c>
      <c r="I920" s="50">
        <v>0</v>
      </c>
      <c r="J920" s="352" t="s">
        <v>42</v>
      </c>
      <c r="K920" s="47" t="str">
        <f t="shared" ca="1" si="318"/>
        <v>CONTRATADO</v>
      </c>
      <c r="L920" s="351" t="s">
        <v>94</v>
      </c>
      <c r="M920" s="47" t="s">
        <v>1236</v>
      </c>
      <c r="N920" s="52" t="s">
        <v>271</v>
      </c>
      <c r="O920" s="51" t="e">
        <f>VLOOKUP(N920,[2]!RUBROS[#All],3,0)</f>
        <v>#REF!</v>
      </c>
      <c r="P920" s="53" t="e">
        <f>VLOOKUP(N920,[2]!RUBROS[#All],2,0)</f>
        <v>#REF!</v>
      </c>
      <c r="Q920" s="47" t="str">
        <f t="shared" si="319"/>
        <v>22</v>
      </c>
      <c r="R920" s="47" t="str">
        <f t="shared" si="320"/>
        <v>4-101124</v>
      </c>
      <c r="S920" s="342">
        <v>200</v>
      </c>
      <c r="T920" s="63" t="s">
        <v>120</v>
      </c>
      <c r="U920" s="326" t="e">
        <f ca="1">_xlfn.XLOOKUP(PAA_4[[#This Row],[ITEM]],[2]Contrato!A:A,[2]Contrato!Q:Q,"",0)</f>
        <v>#NAME?</v>
      </c>
      <c r="V920" s="47" t="s">
        <v>47</v>
      </c>
      <c r="W920" s="343" t="s">
        <v>154</v>
      </c>
      <c r="X920" s="343" t="s">
        <v>154</v>
      </c>
      <c r="Y920" s="55" t="e">
        <f ca="1">_xlfn.XLOOKUP(PAA_4[[#This Row],[ITEM]],[2]Contrato!A:A,[2]Contrato!B:B,"",0)</f>
        <v>#NAME?</v>
      </c>
      <c r="Z920" s="47" t="e">
        <f ca="1">_xlfn.XLOOKUP(PAA_4[[#This Row],[ITEM]],[2]Contrato!A:A,[2]Contrato!G:G,"",0)</f>
        <v>#NAME?</v>
      </c>
      <c r="AA920" s="47" t="e">
        <f ca="1">_xlfn.XLOOKUP(PAA_4[[#This Row],[ITEM]],[2]Contrato!A:A,[2]Contrato!T:T,"",0)</f>
        <v>#NAME?</v>
      </c>
      <c r="AB920" s="55" t="e">
        <f ca="1">+MAX(PAA_4[[#This Row],[Comprometido Contrato]],PAA_4[[#This Row],[Comprometido Bolsa]])</f>
        <v>#NAME?</v>
      </c>
      <c r="AC920" s="55" t="str">
        <f t="shared" ca="1" si="321"/>
        <v/>
      </c>
      <c r="AD920" s="55" t="e">
        <f ca="1">IF(PAA_4[[#This Row],[ESTADO (formulado)]]="NO CONTRATADO",0,MAX(PAA_4[[#This Row],[Pago por Contrato]],PAA_4[[#This Row],[Pago por bolsa]]))</f>
        <v>#NAME?</v>
      </c>
      <c r="AE920" s="55" t="str">
        <f t="shared" ca="1" si="322"/>
        <v/>
      </c>
      <c r="AF920" s="47" t="e">
        <f t="shared" ca="1" si="323"/>
        <v>#NAME?</v>
      </c>
      <c r="AG920" s="47">
        <f t="shared" si="324"/>
        <v>41080107</v>
      </c>
      <c r="AH920" s="54" t="str">
        <f>IF(Q920="22",IF(ISNUMBER(SEARCH("econ",PAA_4[[#This Row],[Actividad3]])),"Económico",IF(ISNUMBER(SEARCH("alim",PAA_4[[#This Row],[Actividad3]])),"Alimentación",IF(ISNUMBER(SEARCH("educ",PAA_4[[#This Row],[Actividad3]])),"Educativo","Técnico"))),0)</f>
        <v>Económico</v>
      </c>
      <c r="AI920" s="47" t="e" cm="1">
        <f t="array" aca="1" ref="AI920" ca="1">_xlfn.XLOOKUP(PAA_4[[#This Row],[RCP-RUBRO]],[2]!COMPROMISOS_2024[[#All],[concatenado]],[2]!COMPROMISOS_2024[[#All],[Total pagado]],"",0)</f>
        <v>#NAME?</v>
      </c>
      <c r="AJ920" s="56" t="e">
        <f ca="1">IF(PAA_4[[#This Row],[BOLSA]]=0,0,SUMIFS([2]!COMPROMISOS_2024[[#All],[Total pagado]],[2]!COMPROMISOS_2024[[#All],[Bolsa]],PAA_4[[#This Row],[BOLSA]],[2]!COMPROMISOS_2024[[#All],[rubro]],PAA_4[[#This Row],[RCP-RUBRO]]))</f>
        <v>#REF!</v>
      </c>
      <c r="AK920" s="47" t="e" cm="1">
        <f t="array" aca="1" ref="AK920" ca="1">_xlfn.XLOOKUP(PAA_4[[#This Row],[RCP-RUBRO]],[2]!COMPROMISOS_2024[[#All],[concatenado]],[2]!COMPROMISOS_2024[[#All],[Total Comprometido]],"",0)</f>
        <v>#NAME?</v>
      </c>
      <c r="AL920" s="47" t="e">
        <f ca="1">IF(PAA_4[[#This Row],[BOLSA]]=0,0,SUMIFS([2]!COMPROMISOS_2024[[#All],[Total Comprometido]],[2]!COMPROMISOS_2024[[#All],[Bolsa]],PAA_4[[#This Row],[BOLSA]],[2]!COMPROMISOS_2024[[#All],[concatenado]],PAA_4[[#This Row],[RCP-RUBRO]]))</f>
        <v>#REF!</v>
      </c>
    </row>
    <row r="921" spans="1:38" s="19" customFormat="1" ht="31.5" customHeight="1">
      <c r="A921" s="47">
        <v>743</v>
      </c>
      <c r="B921" s="51" t="s">
        <v>42</v>
      </c>
      <c r="C921" s="47" t="str">
        <f>VLOOKUP(PAA_4[[#This Row],[PROYECTO (formulado)2]],[2]PROYECTOS!$G$1:$L$32,6,0)</f>
        <v>SUBGERENCIA DE ALTOS LOGROS Y DEPORTE ASOCIADO</v>
      </c>
      <c r="D921" s="47" t="str">
        <f>+IF(PAA_4[[#This Row],[UNIDAD DE CONTRATACION (formulado)]]="Subgerencia Administrativa y Financiera","FUNCIONAMIENTO","INVERSIÓN")</f>
        <v>INVERSIÓN</v>
      </c>
      <c r="E921" s="48" t="str">
        <f>VLOOKUP(Q921,[2]PROYECTOS!$G$1:$K$32,5,0)</f>
        <v>APOYO_TÉCNICO_Y_PSICOSOCIAL_A_LOS_DEPORTISTAS_DE_ANTIOQUIA</v>
      </c>
      <c r="F921" s="48">
        <f>VLOOKUP(E921,[2]PROYECTOS!$K$1:$M$32,3,0)</f>
        <v>2021003050069</v>
      </c>
      <c r="G921" s="361" t="s">
        <v>218</v>
      </c>
      <c r="H921" s="49" t="str">
        <f>VLOOKUP(Q921,[2]PROYECTOS!$V$1:$W$32,2,0)</f>
        <v>050069</v>
      </c>
      <c r="I921" s="50">
        <v>1241350000</v>
      </c>
      <c r="J921" s="352" t="s">
        <v>1584</v>
      </c>
      <c r="K921" s="47" t="str">
        <f t="shared" ca="1" si="318"/>
        <v>CONTRATADO</v>
      </c>
      <c r="L921" s="47" t="s">
        <v>44</v>
      </c>
      <c r="M921" s="47" t="s">
        <v>1236</v>
      </c>
      <c r="N921" s="52" t="s">
        <v>271</v>
      </c>
      <c r="O921" s="51" t="e">
        <f>VLOOKUP(N921,[2]!RUBROS[#All],3,0)</f>
        <v>#REF!</v>
      </c>
      <c r="P921" s="53" t="e">
        <f>VLOOKUP(N921,[2]!RUBROS[#All],2,0)</f>
        <v>#REF!</v>
      </c>
      <c r="Q921" s="47" t="str">
        <f t="shared" si="319"/>
        <v>22</v>
      </c>
      <c r="R921" s="47" t="str">
        <f t="shared" si="320"/>
        <v>4-101124</v>
      </c>
      <c r="S921" s="342">
        <v>200</v>
      </c>
      <c r="T921" s="63" t="s">
        <v>120</v>
      </c>
      <c r="U921" s="326" t="e">
        <f ca="1">_xlfn.XLOOKUP(PAA_4[[#This Row],[ITEM]],[2]Contrato!A:A,[2]Contrato!Q:Q,"",0)</f>
        <v>#NAME?</v>
      </c>
      <c r="V921" s="47" t="s">
        <v>47</v>
      </c>
      <c r="W921" s="343" t="s">
        <v>154</v>
      </c>
      <c r="X921" s="343" t="s">
        <v>154</v>
      </c>
      <c r="Y921" s="55" t="e">
        <f ca="1">_xlfn.XLOOKUP(PAA_4[[#This Row],[ITEM]],[2]Contrato!A:A,[2]Contrato!B:B,"",0)</f>
        <v>#NAME?</v>
      </c>
      <c r="Z921" s="47" t="e">
        <f ca="1">_xlfn.XLOOKUP(PAA_4[[#This Row],[ITEM]],[2]Contrato!A:A,[2]Contrato!G:G,"",0)</f>
        <v>#NAME?</v>
      </c>
      <c r="AA921" s="47" t="e">
        <f ca="1">_xlfn.XLOOKUP(PAA_4[[#This Row],[ITEM]],[2]Contrato!A:A,[2]Contrato!T:T,"",0)</f>
        <v>#NAME?</v>
      </c>
      <c r="AB921" s="55" t="e">
        <f ca="1">+MAX(PAA_4[[#This Row],[Comprometido Contrato]],PAA_4[[#This Row],[Comprometido Bolsa]])</f>
        <v>#NAME?</v>
      </c>
      <c r="AC921" s="55" t="str">
        <f t="shared" ca="1" si="321"/>
        <v/>
      </c>
      <c r="AD921" s="55" t="e">
        <f ca="1">IF(PAA_4[[#This Row],[ESTADO (formulado)]]="NO CONTRATADO",0,MAX(PAA_4[[#This Row],[Pago por Contrato]],PAA_4[[#This Row],[Pago por bolsa]]))</f>
        <v>#NAME?</v>
      </c>
      <c r="AE921" s="55" t="str">
        <f t="shared" ca="1" si="322"/>
        <v/>
      </c>
      <c r="AF921" s="47" t="e">
        <f t="shared" ca="1" si="323"/>
        <v>#NAME?</v>
      </c>
      <c r="AG921" s="47">
        <f t="shared" si="324"/>
        <v>41080102</v>
      </c>
      <c r="AH921" s="54" t="str">
        <f>IF(Q921="22",IF(ISNUMBER(SEARCH("econ",PAA_4[[#This Row],[Actividad3]])),"Económico",IF(ISNUMBER(SEARCH("alim",PAA_4[[#This Row],[Actividad3]])),"Alimentación",IF(ISNUMBER(SEARCH("educ",PAA_4[[#This Row],[Actividad3]])),"Educativo","Técnico"))),0)</f>
        <v>Económico</v>
      </c>
      <c r="AI921" s="47" t="e" cm="1">
        <f t="array" aca="1" ref="AI921" ca="1">_xlfn.XLOOKUP(PAA_4[[#This Row],[RCP-RUBRO]],[2]!COMPROMISOS_2024[[#All],[concatenado]],[2]!COMPROMISOS_2024[[#All],[Total pagado]],"",0)</f>
        <v>#NAME?</v>
      </c>
      <c r="AJ921" s="56" t="e">
        <f ca="1">IF(PAA_4[[#This Row],[BOLSA]]=0,0,SUMIFS([2]!COMPROMISOS_2024[[#All],[Total pagado]],[2]!COMPROMISOS_2024[[#All],[Bolsa]],PAA_4[[#This Row],[BOLSA]],[2]!COMPROMISOS_2024[[#All],[rubro]],PAA_4[[#This Row],[RCP-RUBRO]]))</f>
        <v>#REF!</v>
      </c>
      <c r="AK921" s="47" t="e" cm="1">
        <f t="array" aca="1" ref="AK921" ca="1">_xlfn.XLOOKUP(PAA_4[[#This Row],[RCP-RUBRO]],[2]!COMPROMISOS_2024[[#All],[concatenado]],[2]!COMPROMISOS_2024[[#All],[Total Comprometido]],"",0)</f>
        <v>#NAME?</v>
      </c>
      <c r="AL921" s="47" t="e">
        <f ca="1">IF(PAA_4[[#This Row],[BOLSA]]=0,0,SUMIFS([2]!COMPROMISOS_2024[[#All],[Total Comprometido]],[2]!COMPROMISOS_2024[[#All],[Bolsa]],PAA_4[[#This Row],[BOLSA]],[2]!COMPROMISOS_2024[[#All],[concatenado]],PAA_4[[#This Row],[RCP-RUBRO]]))</f>
        <v>#REF!</v>
      </c>
    </row>
    <row r="922" spans="1:38" s="19" customFormat="1" ht="31.5" customHeight="1">
      <c r="A922" s="47">
        <v>743</v>
      </c>
      <c r="B922" s="51" t="s">
        <v>42</v>
      </c>
      <c r="C922" s="47" t="str">
        <f>VLOOKUP(PAA_4[[#This Row],[PROYECTO (formulado)2]],[2]PROYECTOS!$G$1:$L$32,6,0)</f>
        <v>SUBGERENCIA DE ALTOS LOGROS Y DEPORTE ASOCIADO</v>
      </c>
      <c r="D922" s="47" t="str">
        <f>+IF(PAA_4[[#This Row],[UNIDAD DE CONTRATACION (formulado)]]="Subgerencia Administrativa y Financiera","FUNCIONAMIENTO","INVERSIÓN")</f>
        <v>INVERSIÓN</v>
      </c>
      <c r="E922" s="48" t="str">
        <f>VLOOKUP(Q922,[2]PROYECTOS!$G$1:$K$32,5,0)</f>
        <v>APOYO_TÉCNICO_Y_PSICOSOCIAL_A_LOS_DEPORTISTAS_DE_ANTIOQUIA</v>
      </c>
      <c r="F922" s="48">
        <f>VLOOKUP(E922,[2]PROYECTOS!$K$1:$M$32,3,0)</f>
        <v>2021003050069</v>
      </c>
      <c r="G922" s="361" t="s">
        <v>218</v>
      </c>
      <c r="H922" s="49" t="str">
        <f>VLOOKUP(Q922,[2]PROYECTOS!$V$1:$W$32,2,0)</f>
        <v>050069</v>
      </c>
      <c r="I922" s="50">
        <v>0</v>
      </c>
      <c r="J922" s="352" t="s">
        <v>1584</v>
      </c>
      <c r="K922" s="47" t="str">
        <f t="shared" ca="1" si="318"/>
        <v>CONTRATADO</v>
      </c>
      <c r="L922" s="47" t="s">
        <v>44</v>
      </c>
      <c r="M922" s="47" t="s">
        <v>1236</v>
      </c>
      <c r="N922" s="52" t="s">
        <v>271</v>
      </c>
      <c r="O922" s="51" t="e">
        <f>VLOOKUP(N922,[2]!RUBROS[#All],3,0)</f>
        <v>#REF!</v>
      </c>
      <c r="P922" s="53" t="e">
        <f>VLOOKUP(N922,[2]!RUBROS[#All],2,0)</f>
        <v>#REF!</v>
      </c>
      <c r="Q922" s="47" t="str">
        <f t="shared" si="319"/>
        <v>22</v>
      </c>
      <c r="R922" s="47" t="str">
        <f t="shared" si="320"/>
        <v>4-101124</v>
      </c>
      <c r="S922" s="342">
        <v>200</v>
      </c>
      <c r="T922" s="63" t="s">
        <v>120</v>
      </c>
      <c r="U922" s="326" t="e">
        <f ca="1">_xlfn.XLOOKUP(PAA_4[[#This Row],[ITEM]],[2]Contrato!A:A,[2]Contrato!Q:Q,"",0)</f>
        <v>#NAME?</v>
      </c>
      <c r="V922" s="47" t="s">
        <v>47</v>
      </c>
      <c r="W922" s="343" t="s">
        <v>154</v>
      </c>
      <c r="X922" s="343" t="s">
        <v>154</v>
      </c>
      <c r="Y922" s="55" t="e">
        <f ca="1">_xlfn.XLOOKUP(PAA_4[[#This Row],[ITEM]],[2]Contrato!A:A,[2]Contrato!B:B,"",0)</f>
        <v>#NAME?</v>
      </c>
      <c r="Z922" s="47" t="e">
        <f ca="1">_xlfn.XLOOKUP(PAA_4[[#This Row],[ITEM]],[2]Contrato!A:A,[2]Contrato!G:G,"",0)</f>
        <v>#NAME?</v>
      </c>
      <c r="AA922" s="47" t="e">
        <f ca="1">_xlfn.XLOOKUP(PAA_4[[#This Row],[ITEM]],[2]Contrato!A:A,[2]Contrato!T:T,"",0)</f>
        <v>#NAME?</v>
      </c>
      <c r="AB922" s="55" t="e">
        <f ca="1">+MAX(PAA_4[[#This Row],[Comprometido Contrato]],PAA_4[[#This Row],[Comprometido Bolsa]])</f>
        <v>#NAME?</v>
      </c>
      <c r="AC922" s="55" t="str">
        <f t="shared" ca="1" si="321"/>
        <v/>
      </c>
      <c r="AD922" s="55" t="e">
        <f ca="1">IF(PAA_4[[#This Row],[ESTADO (formulado)]]="NO CONTRATADO",0,MAX(PAA_4[[#This Row],[Pago por Contrato]],PAA_4[[#This Row],[Pago por bolsa]]))</f>
        <v>#NAME?</v>
      </c>
      <c r="AE922" s="55" t="str">
        <f t="shared" ca="1" si="322"/>
        <v/>
      </c>
      <c r="AF922" s="47" t="e">
        <f t="shared" ca="1" si="323"/>
        <v>#NAME?</v>
      </c>
      <c r="AG922" s="47">
        <f t="shared" si="324"/>
        <v>41080102</v>
      </c>
      <c r="AH922" s="54" t="str">
        <f>IF(Q922="22",IF(ISNUMBER(SEARCH("econ",PAA_4[[#This Row],[Actividad3]])),"Económico",IF(ISNUMBER(SEARCH("alim",PAA_4[[#This Row],[Actividad3]])),"Alimentación",IF(ISNUMBER(SEARCH("educ",PAA_4[[#This Row],[Actividad3]])),"Educativo","Técnico"))),0)</f>
        <v>Económico</v>
      </c>
      <c r="AI922" s="47" t="e" cm="1">
        <f t="array" aca="1" ref="AI922" ca="1">_xlfn.XLOOKUP(PAA_4[[#This Row],[RCP-RUBRO]],[2]!COMPROMISOS_2024[[#All],[concatenado]],[2]!COMPROMISOS_2024[[#All],[Total pagado]],"",0)</f>
        <v>#NAME?</v>
      </c>
      <c r="AJ922" s="56" t="e">
        <f ca="1">IF(PAA_4[[#This Row],[BOLSA]]=0,0,SUMIFS([2]!COMPROMISOS_2024[[#All],[Total pagado]],[2]!COMPROMISOS_2024[[#All],[Bolsa]],PAA_4[[#This Row],[BOLSA]],[2]!COMPROMISOS_2024[[#All],[rubro]],PAA_4[[#This Row],[RCP-RUBRO]]))</f>
        <v>#REF!</v>
      </c>
      <c r="AK922" s="47" t="e" cm="1">
        <f t="array" aca="1" ref="AK922" ca="1">_xlfn.XLOOKUP(PAA_4[[#This Row],[RCP-RUBRO]],[2]!COMPROMISOS_2024[[#All],[concatenado]],[2]!COMPROMISOS_2024[[#All],[Total Comprometido]],"",0)</f>
        <v>#NAME?</v>
      </c>
      <c r="AL922" s="47" t="e">
        <f ca="1">IF(PAA_4[[#This Row],[BOLSA]]=0,0,SUMIFS([2]!COMPROMISOS_2024[[#All],[Total Comprometido]],[2]!COMPROMISOS_2024[[#All],[Bolsa]],PAA_4[[#This Row],[BOLSA]],[2]!COMPROMISOS_2024[[#All],[concatenado]],PAA_4[[#This Row],[RCP-RUBRO]]))</f>
        <v>#REF!</v>
      </c>
    </row>
    <row r="923" spans="1:38" s="19" customFormat="1" ht="31.5" customHeight="1">
      <c r="A923" s="47">
        <v>744</v>
      </c>
      <c r="B923" s="51" t="s">
        <v>42</v>
      </c>
      <c r="C923" s="47" t="str">
        <f>VLOOKUP(PAA_4[[#This Row],[PROYECTO (formulado)2]],[2]PROYECTOS!$G$1:$L$32,6,0)</f>
        <v>SUBGERENCIA DE ALTOS LOGROS Y DEPORTE ASOCIADO</v>
      </c>
      <c r="D923" s="47" t="str">
        <f>+IF(PAA_4[[#This Row],[UNIDAD DE CONTRATACION (formulado)]]="Subgerencia Administrativa y Financiera","FUNCIONAMIENTO","INVERSIÓN")</f>
        <v>INVERSIÓN</v>
      </c>
      <c r="E923" s="48" t="str">
        <f>VLOOKUP(Q923,[2]PROYECTOS!$G$1:$K$32,5,0)</f>
        <v>APOYO_TÉCNICO_Y_PSICOSOCIAL_A_LOS_DEPORTISTAS_DE_ANTIOQUIA</v>
      </c>
      <c r="F923" s="48">
        <f>VLOOKUP(E923,[2]PROYECTOS!$K$1:$M$32,3,0)</f>
        <v>2021003050069</v>
      </c>
      <c r="G923" s="361" t="s">
        <v>272</v>
      </c>
      <c r="H923" s="49" t="str">
        <f>VLOOKUP(Q923,[2]PROYECTOS!$V$1:$W$32,2,0)</f>
        <v>050069</v>
      </c>
      <c r="I923" s="50">
        <f>1200000000-1250000</f>
        <v>1198750000</v>
      </c>
      <c r="J923" s="352" t="s">
        <v>1584</v>
      </c>
      <c r="K923" s="47" t="str">
        <f t="shared" ca="1" si="318"/>
        <v>CONTRATADO</v>
      </c>
      <c r="L923" s="47" t="s">
        <v>44</v>
      </c>
      <c r="M923" s="47" t="s">
        <v>1236</v>
      </c>
      <c r="N923" s="52" t="s">
        <v>271</v>
      </c>
      <c r="O923" s="51" t="e">
        <f>VLOOKUP(N923,[2]!RUBROS[#All],3,0)</f>
        <v>#REF!</v>
      </c>
      <c r="P923" s="53" t="e">
        <f>VLOOKUP(N923,[2]!RUBROS[#All],2,0)</f>
        <v>#REF!</v>
      </c>
      <c r="Q923" s="47" t="str">
        <f t="shared" si="319"/>
        <v>22</v>
      </c>
      <c r="R923" s="47" t="str">
        <f t="shared" si="320"/>
        <v>4-101124</v>
      </c>
      <c r="S923" s="342">
        <v>200</v>
      </c>
      <c r="T923" s="63" t="s">
        <v>120</v>
      </c>
      <c r="U923" s="326" t="e">
        <f ca="1">_xlfn.XLOOKUP(PAA_4[[#This Row],[ITEM]],[2]Contrato!A:A,[2]Contrato!Q:Q,"",0)</f>
        <v>#NAME?</v>
      </c>
      <c r="V923" s="47" t="s">
        <v>47</v>
      </c>
      <c r="W923" s="343" t="s">
        <v>154</v>
      </c>
      <c r="X923" s="343" t="s">
        <v>154</v>
      </c>
      <c r="Y923" s="55" t="e">
        <f ca="1">_xlfn.XLOOKUP(PAA_4[[#This Row],[ITEM]],[2]Contrato!A:A,[2]Contrato!B:B,"",0)</f>
        <v>#NAME?</v>
      </c>
      <c r="Z923" s="47" t="e">
        <f ca="1">_xlfn.XLOOKUP(PAA_4[[#This Row],[ITEM]],[2]Contrato!A:A,[2]Contrato!G:G,"",0)</f>
        <v>#NAME?</v>
      </c>
      <c r="AA923" s="47" t="e">
        <f ca="1">_xlfn.XLOOKUP(PAA_4[[#This Row],[ITEM]],[2]Contrato!A:A,[2]Contrato!T:T,"",0)</f>
        <v>#NAME?</v>
      </c>
      <c r="AB923" s="55" t="e">
        <f ca="1">+MAX(PAA_4[[#This Row],[Comprometido Contrato]],PAA_4[[#This Row],[Comprometido Bolsa]])</f>
        <v>#NAME?</v>
      </c>
      <c r="AC923" s="55" t="str">
        <f t="shared" ca="1" si="321"/>
        <v/>
      </c>
      <c r="AD923" s="55" t="e">
        <f ca="1">IF(PAA_4[[#This Row],[ESTADO (formulado)]]="NO CONTRATADO",0,MAX(PAA_4[[#This Row],[Pago por Contrato]],PAA_4[[#This Row],[Pago por bolsa]]))</f>
        <v>#NAME?</v>
      </c>
      <c r="AE923" s="55" t="str">
        <f t="shared" ca="1" si="322"/>
        <v/>
      </c>
      <c r="AF923" s="47" t="e">
        <f t="shared" ca="1" si="323"/>
        <v>#NAME?</v>
      </c>
      <c r="AG923" s="47">
        <f t="shared" si="324"/>
        <v>41080107</v>
      </c>
      <c r="AH923" s="54" t="str">
        <f>IF(Q923="22",IF(ISNUMBER(SEARCH("econ",PAA_4[[#This Row],[Actividad3]])),"Económico",IF(ISNUMBER(SEARCH("alim",PAA_4[[#This Row],[Actividad3]])),"Alimentación",IF(ISNUMBER(SEARCH("educ",PAA_4[[#This Row],[Actividad3]])),"Educativo","Técnico"))),0)</f>
        <v>Económico</v>
      </c>
      <c r="AI923" s="47" t="e" cm="1">
        <f t="array" aca="1" ref="AI923" ca="1">_xlfn.XLOOKUP(PAA_4[[#This Row],[RCP-RUBRO]],[2]!COMPROMISOS_2024[[#All],[concatenado]],[2]!COMPROMISOS_2024[[#All],[Total pagado]],"",0)</f>
        <v>#NAME?</v>
      </c>
      <c r="AJ923" s="56" t="e">
        <f ca="1">IF(PAA_4[[#This Row],[BOLSA]]=0,0,SUMIFS([2]!COMPROMISOS_2024[[#All],[Total pagado]],[2]!COMPROMISOS_2024[[#All],[Bolsa]],PAA_4[[#This Row],[BOLSA]],[2]!COMPROMISOS_2024[[#All],[rubro]],PAA_4[[#This Row],[RCP-RUBRO]]))</f>
        <v>#REF!</v>
      </c>
      <c r="AK923" s="47" t="e" cm="1">
        <f t="array" aca="1" ref="AK923" ca="1">_xlfn.XLOOKUP(PAA_4[[#This Row],[RCP-RUBRO]],[2]!COMPROMISOS_2024[[#All],[concatenado]],[2]!COMPROMISOS_2024[[#All],[Total Comprometido]],"",0)</f>
        <v>#NAME?</v>
      </c>
      <c r="AL923" s="47" t="e">
        <f ca="1">IF(PAA_4[[#This Row],[BOLSA]]=0,0,SUMIFS([2]!COMPROMISOS_2024[[#All],[Total Comprometido]],[2]!COMPROMISOS_2024[[#All],[Bolsa]],PAA_4[[#This Row],[BOLSA]],[2]!COMPROMISOS_2024[[#All],[concatenado]],PAA_4[[#This Row],[RCP-RUBRO]]))</f>
        <v>#REF!</v>
      </c>
    </row>
    <row r="924" spans="1:38" s="19" customFormat="1" ht="31.5" customHeight="1">
      <c r="A924" s="47">
        <v>840</v>
      </c>
      <c r="B924" s="51">
        <v>80111600</v>
      </c>
      <c r="C924" s="47" t="str">
        <f>VLOOKUP(PAA_4[[#This Row],[PROYECTO (formulado)2]],[2]PROYECTOS!$G$1:$L$32,6,0)</f>
        <v>SUBGERENCIA DE ALTOS LOGROS Y DEPORTE ASOCIADO</v>
      </c>
      <c r="D924" s="47" t="str">
        <f>+IF(PAA_4[[#This Row],[UNIDAD DE CONTRATACION (formulado)]]="Subgerencia Administrativa y Financiera","FUNCIONAMIENTO","INVERSIÓN")</f>
        <v>INVERSIÓN</v>
      </c>
      <c r="E924" s="48" t="str">
        <f>VLOOKUP(Q924,[2]PROYECTOS!$G$1:$K$32,5,0)</f>
        <v>DESARROLLO_DEL_POTENCIAL_DEPORTIVO_EN_EL_DEPARTAMENTO_DE_ANTIOQUIA</v>
      </c>
      <c r="F924" s="48">
        <f>VLOOKUP(E924,[2]PROYECTOS!$K$1:$M$32,3,0)</f>
        <v>2020003050022</v>
      </c>
      <c r="G924" s="49" t="s">
        <v>273</v>
      </c>
      <c r="H924" s="49" t="str">
        <f>VLOOKUP(Q924,[2]PROYECTOS!$V$1:$W$32,2,0)</f>
        <v>050065</v>
      </c>
      <c r="I924" s="50">
        <f>18917473-1605120</f>
        <v>17312353</v>
      </c>
      <c r="J924" s="352" t="s">
        <v>1786</v>
      </c>
      <c r="K924" s="47" t="str">
        <f t="shared" ca="1" si="318"/>
        <v>CONTRATADO</v>
      </c>
      <c r="L924" s="351" t="s">
        <v>94</v>
      </c>
      <c r="M924" s="47" t="s">
        <v>1297</v>
      </c>
      <c r="N924" s="52" t="s">
        <v>274</v>
      </c>
      <c r="O924" s="51" t="e">
        <f>VLOOKUP(N924,[2]!RUBROS[#All],3,0)</f>
        <v>#REF!</v>
      </c>
      <c r="P924" s="53" t="e">
        <f>VLOOKUP(N924,[2]!RUBROS[#All],2,0)</f>
        <v>#REF!</v>
      </c>
      <c r="Q924" s="47" t="str">
        <f t="shared" si="319"/>
        <v>21</v>
      </c>
      <c r="R924" s="47" t="str">
        <f t="shared" si="320"/>
        <v>4-101124</v>
      </c>
      <c r="S924" s="342">
        <v>165</v>
      </c>
      <c r="T924" s="63" t="s">
        <v>120</v>
      </c>
      <c r="U924" s="326" t="e">
        <f ca="1">_xlfn.XLOOKUP(PAA_4[[#This Row],[ITEM]],[2]Contrato!A:A,[2]Contrato!Q:Q,"",0)</f>
        <v>#NAME?</v>
      </c>
      <c r="V924" s="47" t="s">
        <v>47</v>
      </c>
      <c r="W924" s="343" t="s">
        <v>193</v>
      </c>
      <c r="X924" s="343" t="s">
        <v>193</v>
      </c>
      <c r="Y924" s="55" t="e">
        <f ca="1">_xlfn.XLOOKUP(PAA_4[[#This Row],[ITEM]],[2]Contrato!A:A,[2]Contrato!B:B,"",0)</f>
        <v>#NAME?</v>
      </c>
      <c r="Z924" s="47" t="e">
        <f ca="1">_xlfn.XLOOKUP(PAA_4[[#This Row],[ITEM]],[2]Contrato!A:A,[2]Contrato!G:G,"",0)</f>
        <v>#NAME?</v>
      </c>
      <c r="AA924" s="47" t="e">
        <f ca="1">_xlfn.XLOOKUP(PAA_4[[#This Row],[ITEM]],[2]Contrato!A:A,[2]Contrato!T:T,"",0)</f>
        <v>#NAME?</v>
      </c>
      <c r="AB924" s="55" t="e">
        <f ca="1">+MAX(PAA_4[[#This Row],[Comprometido Contrato]],PAA_4[[#This Row],[Comprometido Bolsa]])</f>
        <v>#NAME?</v>
      </c>
      <c r="AC924" s="55" t="str">
        <f t="shared" ca="1" si="321"/>
        <v/>
      </c>
      <c r="AD924" s="55" t="e">
        <f ca="1">IF(PAA_4[[#This Row],[ESTADO (formulado)]]="NO CONTRATADO",0,MAX(PAA_4[[#This Row],[Pago por Contrato]],PAA_4[[#This Row],[Pago por bolsa]]))</f>
        <v>#NAME?</v>
      </c>
      <c r="AE924" s="55" t="str">
        <f t="shared" ca="1" si="322"/>
        <v/>
      </c>
      <c r="AF924" s="47" t="e">
        <f t="shared" ca="1" si="323"/>
        <v>#NAME?</v>
      </c>
      <c r="AG924" s="47">
        <f t="shared" si="324"/>
        <v>41080112</v>
      </c>
      <c r="AH924" s="54">
        <f>IF(Q924="22",IF(ISNUMBER(SEARCH("econ",PAA_4[[#This Row],[Actividad3]])),"Económico",IF(ISNUMBER(SEARCH("alim",PAA_4[[#This Row],[Actividad3]])),"Alimentación",IF(ISNUMBER(SEARCH("educ",PAA_4[[#This Row],[Actividad3]])),"Educativo","Técnico"))),0)</f>
        <v>0</v>
      </c>
      <c r="AI924" s="47" t="e" cm="1">
        <f t="array" aca="1" ref="AI924" ca="1">_xlfn.XLOOKUP(PAA_4[[#This Row],[RCP-RUBRO]],[2]!COMPROMISOS_2024[[#All],[concatenado]],[2]!COMPROMISOS_2024[[#All],[Total pagado]],"",0)</f>
        <v>#NAME?</v>
      </c>
      <c r="AJ924" s="56">
        <f>IF(PAA_4[[#This Row],[BOLSA]]=0,0,SUMIFS([2]!COMPROMISOS_2024[[#All],[Total pagado]],[2]!COMPROMISOS_2024[[#All],[Bolsa]],PAA_4[[#This Row],[BOLSA]],[2]!COMPROMISOS_2024[[#All],[rubro]],PAA_4[[#This Row],[RCP-RUBRO]]))</f>
        <v>0</v>
      </c>
      <c r="AK924" s="47" t="e" cm="1">
        <f t="array" aca="1" ref="AK924" ca="1">_xlfn.XLOOKUP(PAA_4[[#This Row],[RCP-RUBRO]],[2]!COMPROMISOS_2024[[#All],[concatenado]],[2]!COMPROMISOS_2024[[#All],[Total Comprometido]],"",0)</f>
        <v>#NAME?</v>
      </c>
      <c r="AL924" s="47">
        <f>IF(PAA_4[[#This Row],[BOLSA]]=0,0,SUMIFS([2]!COMPROMISOS_2024[[#All],[Total Comprometido]],[2]!COMPROMISOS_2024[[#All],[Bolsa]],PAA_4[[#This Row],[BOLSA]],[2]!COMPROMISOS_2024[[#All],[concatenado]],PAA_4[[#This Row],[RCP-RUBRO]]))</f>
        <v>0</v>
      </c>
    </row>
    <row r="925" spans="1:38" s="19" customFormat="1" ht="31.5" customHeight="1">
      <c r="A925" s="47">
        <v>977</v>
      </c>
      <c r="B925" s="47">
        <v>80111600</v>
      </c>
      <c r="C925" s="47" t="str">
        <f>VLOOKUP(PAA_4[[#This Row],[PROYECTO (formulado)2]],[2]PROYECTOS!$G$1:$L$32,6,0)</f>
        <v>SUBGERENCIA DE ALTOS LOGROS Y DEPORTE ASOCIADO</v>
      </c>
      <c r="D925" s="47" t="str">
        <f>+IF(PAA_4[[#This Row],[UNIDAD DE CONTRATACION (formulado)]]="Subgerencia Administrativa y Financiera","FUNCIONAMIENTO","INVERSIÓN")</f>
        <v>INVERSIÓN</v>
      </c>
      <c r="E925" s="48" t="str">
        <f>VLOOKUP(Q925,[2]PROYECTOS!$G$1:$K$32,5,0)</f>
        <v>DESARROLLO_DEL_POTENCIAL_DEPORTIVO_EN_EL_DEPARTAMENTO_DE_ANTIOQUIA</v>
      </c>
      <c r="F925" s="48">
        <f>VLOOKUP(E925,[2]PROYECTOS!$K$1:$M$32,3,0)</f>
        <v>2020003050022</v>
      </c>
      <c r="G925" s="49" t="s">
        <v>273</v>
      </c>
      <c r="H925" s="49" t="str">
        <f>VLOOKUP(Q925,[2]PROYECTOS!$V$1:$W$32,2,0)</f>
        <v>050065</v>
      </c>
      <c r="I925" s="50">
        <f>20436537-4500000</f>
        <v>15936537</v>
      </c>
      <c r="J925" s="352" t="s">
        <v>1787</v>
      </c>
      <c r="K925" s="47" t="str">
        <f t="shared" ca="1" si="318"/>
        <v>CONTRATADO</v>
      </c>
      <c r="L925" s="351" t="s">
        <v>94</v>
      </c>
      <c r="M925" s="47" t="s">
        <v>1297</v>
      </c>
      <c r="N925" s="52" t="s">
        <v>274</v>
      </c>
      <c r="O925" s="51" t="e">
        <f>VLOOKUP(N925,[2]!RUBROS[#All],3,0)</f>
        <v>#REF!</v>
      </c>
      <c r="P925" s="53" t="e">
        <f>VLOOKUP(N925,[2]!RUBROS[#All],2,0)</f>
        <v>#REF!</v>
      </c>
      <c r="Q925" s="47" t="str">
        <f t="shared" si="319"/>
        <v>21</v>
      </c>
      <c r="R925" s="47" t="str">
        <f t="shared" si="320"/>
        <v>4-101124</v>
      </c>
      <c r="S925" s="342">
        <v>139</v>
      </c>
      <c r="T925" s="63" t="s">
        <v>120</v>
      </c>
      <c r="U925" s="326" t="e">
        <f ca="1">_xlfn.XLOOKUP(PAA_4[[#This Row],[ITEM]],[2]Contrato!A:A,[2]Contrato!Q:Q,"",0)</f>
        <v>#NAME?</v>
      </c>
      <c r="V925" s="47" t="s">
        <v>47</v>
      </c>
      <c r="W925" s="343" t="s">
        <v>193</v>
      </c>
      <c r="X925" s="343" t="s">
        <v>194</v>
      </c>
      <c r="Y925" s="55" t="e">
        <f ca="1">_xlfn.XLOOKUP(PAA_4[[#This Row],[ITEM]],[2]Contrato!A:A,[2]Contrato!B:B,"",0)</f>
        <v>#NAME?</v>
      </c>
      <c r="Z925" s="47" t="e">
        <f ca="1">_xlfn.XLOOKUP(PAA_4[[#This Row],[ITEM]],[2]Contrato!A:A,[2]Contrato!G:G,"",0)</f>
        <v>#NAME?</v>
      </c>
      <c r="AA925" s="47" t="e">
        <f ca="1">_xlfn.XLOOKUP(PAA_4[[#This Row],[ITEM]],[2]Contrato!A:A,[2]Contrato!T:T,"",0)</f>
        <v>#NAME?</v>
      </c>
      <c r="AB925" s="55" t="e">
        <f ca="1">+MAX(PAA_4[[#This Row],[Comprometido Contrato]],PAA_4[[#This Row],[Comprometido Bolsa]])</f>
        <v>#NAME?</v>
      </c>
      <c r="AC925" s="55" t="str">
        <f t="shared" ca="1" si="321"/>
        <v/>
      </c>
      <c r="AD925" s="55" t="e">
        <f ca="1">IF(PAA_4[[#This Row],[ESTADO (formulado)]]="NO CONTRATADO",0,MAX(PAA_4[[#This Row],[Pago por Contrato]],PAA_4[[#This Row],[Pago por bolsa]]))</f>
        <v>#NAME?</v>
      </c>
      <c r="AE925" s="55" t="str">
        <f t="shared" ca="1" si="322"/>
        <v/>
      </c>
      <c r="AF925" s="47" t="e">
        <f t="shared" ca="1" si="323"/>
        <v>#NAME?</v>
      </c>
      <c r="AG925" s="47">
        <f t="shared" si="324"/>
        <v>41080112</v>
      </c>
      <c r="AH925" s="54">
        <f>IF(Q925="22",IF(ISNUMBER(SEARCH("econ",PAA_4[[#This Row],[Actividad3]])),"Económico",IF(ISNUMBER(SEARCH("alim",PAA_4[[#This Row],[Actividad3]])),"Alimentación",IF(ISNUMBER(SEARCH("educ",PAA_4[[#This Row],[Actividad3]])),"Educativo","Técnico"))),0)</f>
        <v>0</v>
      </c>
      <c r="AI925" s="47" t="e" cm="1">
        <f t="array" aca="1" ref="AI925" ca="1">_xlfn.XLOOKUP(PAA_4[[#This Row],[RCP-RUBRO]],[2]!COMPROMISOS_2024[[#All],[concatenado]],[2]!COMPROMISOS_2024[[#All],[Total pagado]],"",0)</f>
        <v>#NAME?</v>
      </c>
      <c r="AJ925" s="56">
        <f>IF(PAA_4[[#This Row],[BOLSA]]=0,0,SUMIFS([2]!COMPROMISOS_2024[[#All],[Total pagado]],[2]!COMPROMISOS_2024[[#All],[Bolsa]],PAA_4[[#This Row],[BOLSA]],[2]!COMPROMISOS_2024[[#All],[rubro]],PAA_4[[#This Row],[RCP-RUBRO]]))</f>
        <v>0</v>
      </c>
      <c r="AK925" s="47" t="e" cm="1">
        <f t="array" aca="1" ref="AK925" ca="1">_xlfn.XLOOKUP(PAA_4[[#This Row],[RCP-RUBRO]],[2]!COMPROMISOS_2024[[#All],[concatenado]],[2]!COMPROMISOS_2024[[#All],[Total Comprometido]],"",0)</f>
        <v>#NAME?</v>
      </c>
      <c r="AL925" s="47">
        <f>IF(PAA_4[[#This Row],[BOLSA]]=0,0,SUMIFS([2]!COMPROMISOS_2024[[#All],[Total Comprometido]],[2]!COMPROMISOS_2024[[#All],[Bolsa]],PAA_4[[#This Row],[BOLSA]],[2]!COMPROMISOS_2024[[#All],[concatenado]],PAA_4[[#This Row],[RCP-RUBRO]]))</f>
        <v>0</v>
      </c>
    </row>
    <row r="926" spans="1:38" s="19" customFormat="1" ht="31.5" customHeight="1">
      <c r="A926" s="47">
        <v>978</v>
      </c>
      <c r="B926" s="47">
        <v>80111600</v>
      </c>
      <c r="C926" s="47" t="str">
        <f>VLOOKUP(PAA_4[[#This Row],[PROYECTO (formulado)2]],[2]PROYECTOS!$G$1:$L$32,6,0)</f>
        <v>SUBGERENCIA DE ALTOS LOGROS Y DEPORTE ASOCIADO</v>
      </c>
      <c r="D926" s="47" t="str">
        <f>+IF(PAA_4[[#This Row],[UNIDAD DE CONTRATACION (formulado)]]="Subgerencia Administrativa y Financiera","FUNCIONAMIENTO","INVERSIÓN")</f>
        <v>INVERSIÓN</v>
      </c>
      <c r="E926" s="48" t="str">
        <f>VLOOKUP(Q926,[2]PROYECTOS!$G$1:$K$32,5,0)</f>
        <v>DESARROLLO_DEL_POTENCIAL_DEPORTIVO_EN_EL_DEPARTAMENTO_DE_ANTIOQUIA</v>
      </c>
      <c r="F926" s="48">
        <f>VLOOKUP(E926,[2]PROYECTOS!$K$1:$M$32,3,0)</f>
        <v>2020003050022</v>
      </c>
      <c r="G926" s="49" t="s">
        <v>273</v>
      </c>
      <c r="H926" s="49" t="str">
        <f>VLOOKUP(Q926,[2]PROYECTOS!$V$1:$W$32,2,0)</f>
        <v>050065</v>
      </c>
      <c r="I926" s="50">
        <f>17936537-110450</f>
        <v>17826087</v>
      </c>
      <c r="J926" s="352" t="s">
        <v>1788</v>
      </c>
      <c r="K926" s="47" t="str">
        <f t="shared" ca="1" si="318"/>
        <v>CONTRATADO</v>
      </c>
      <c r="L926" s="351" t="s">
        <v>94</v>
      </c>
      <c r="M926" s="47" t="s">
        <v>1297</v>
      </c>
      <c r="N926" s="52" t="s">
        <v>274</v>
      </c>
      <c r="O926" s="51" t="e">
        <f>VLOOKUP(N926,[2]!RUBROS[#All],3,0)</f>
        <v>#REF!</v>
      </c>
      <c r="P926" s="53" t="e">
        <f>VLOOKUP(N926,[2]!RUBROS[#All],2,0)</f>
        <v>#REF!</v>
      </c>
      <c r="Q926" s="47" t="str">
        <f t="shared" si="319"/>
        <v>21</v>
      </c>
      <c r="R926" s="47" t="str">
        <f t="shared" si="320"/>
        <v>4-101124</v>
      </c>
      <c r="S926" s="342">
        <v>139</v>
      </c>
      <c r="T926" s="63" t="s">
        <v>120</v>
      </c>
      <c r="U926" s="326" t="e">
        <f ca="1">_xlfn.XLOOKUP(PAA_4[[#This Row],[ITEM]],[2]Contrato!A:A,[2]Contrato!Q:Q,"",0)</f>
        <v>#NAME?</v>
      </c>
      <c r="V926" s="47" t="s">
        <v>47</v>
      </c>
      <c r="W926" s="343" t="s">
        <v>193</v>
      </c>
      <c r="X926" s="343" t="s">
        <v>194</v>
      </c>
      <c r="Y926" s="55" t="e">
        <f ca="1">_xlfn.XLOOKUP(PAA_4[[#This Row],[ITEM]],[2]Contrato!A:A,[2]Contrato!B:B,"",0)</f>
        <v>#NAME?</v>
      </c>
      <c r="Z926" s="47" t="e">
        <f ca="1">_xlfn.XLOOKUP(PAA_4[[#This Row],[ITEM]],[2]Contrato!A:A,[2]Contrato!G:G,"",0)</f>
        <v>#NAME?</v>
      </c>
      <c r="AA926" s="47" t="e">
        <f ca="1">_xlfn.XLOOKUP(PAA_4[[#This Row],[ITEM]],[2]Contrato!A:A,[2]Contrato!T:T,"",0)</f>
        <v>#NAME?</v>
      </c>
      <c r="AB926" s="55" t="e">
        <f ca="1">+MAX(PAA_4[[#This Row],[Comprometido Contrato]],PAA_4[[#This Row],[Comprometido Bolsa]])</f>
        <v>#NAME?</v>
      </c>
      <c r="AC926" s="55" t="str">
        <f t="shared" ca="1" si="321"/>
        <v/>
      </c>
      <c r="AD926" s="55" t="e">
        <f ca="1">IF(PAA_4[[#This Row],[ESTADO (formulado)]]="NO CONTRATADO",0,MAX(PAA_4[[#This Row],[Pago por Contrato]],PAA_4[[#This Row],[Pago por bolsa]]))</f>
        <v>#NAME?</v>
      </c>
      <c r="AE926" s="55" t="str">
        <f t="shared" ca="1" si="322"/>
        <v/>
      </c>
      <c r="AF926" s="47" t="e">
        <f t="shared" ca="1" si="323"/>
        <v>#NAME?</v>
      </c>
      <c r="AG926" s="47">
        <f t="shared" si="324"/>
        <v>41080112</v>
      </c>
      <c r="AH926" s="54">
        <f>IF(Q926="22",IF(ISNUMBER(SEARCH("econ",PAA_4[[#This Row],[Actividad3]])),"Económico",IF(ISNUMBER(SEARCH("alim",PAA_4[[#This Row],[Actividad3]])),"Alimentación",IF(ISNUMBER(SEARCH("educ",PAA_4[[#This Row],[Actividad3]])),"Educativo","Técnico"))),0)</f>
        <v>0</v>
      </c>
      <c r="AI926" s="47" t="e" cm="1">
        <f t="array" aca="1" ref="AI926" ca="1">_xlfn.XLOOKUP(PAA_4[[#This Row],[RCP-RUBRO]],[2]!COMPROMISOS_2024[[#All],[concatenado]],[2]!COMPROMISOS_2024[[#All],[Total pagado]],"",0)</f>
        <v>#NAME?</v>
      </c>
      <c r="AJ926" s="56">
        <f>IF(PAA_4[[#This Row],[BOLSA]]=0,0,SUMIFS([2]!COMPROMISOS_2024[[#All],[Total pagado]],[2]!COMPROMISOS_2024[[#All],[Bolsa]],PAA_4[[#This Row],[BOLSA]],[2]!COMPROMISOS_2024[[#All],[rubro]],PAA_4[[#This Row],[RCP-RUBRO]]))</f>
        <v>0</v>
      </c>
      <c r="AK926" s="47" t="e" cm="1">
        <f t="array" aca="1" ref="AK926" ca="1">_xlfn.XLOOKUP(PAA_4[[#This Row],[RCP-RUBRO]],[2]!COMPROMISOS_2024[[#All],[concatenado]],[2]!COMPROMISOS_2024[[#All],[Total Comprometido]],"",0)</f>
        <v>#NAME?</v>
      </c>
      <c r="AL926" s="47">
        <f>IF(PAA_4[[#This Row],[BOLSA]]=0,0,SUMIFS([2]!COMPROMISOS_2024[[#All],[Total Comprometido]],[2]!COMPROMISOS_2024[[#All],[Bolsa]],PAA_4[[#This Row],[BOLSA]],[2]!COMPROMISOS_2024[[#All],[concatenado]],PAA_4[[#This Row],[RCP-RUBRO]]))</f>
        <v>0</v>
      </c>
    </row>
    <row r="927" spans="1:38" s="19" customFormat="1" ht="31.5" customHeight="1">
      <c r="A927" s="47">
        <v>979</v>
      </c>
      <c r="B927" s="47">
        <v>80111600</v>
      </c>
      <c r="C927" s="47" t="str">
        <f>VLOOKUP(PAA_4[[#This Row],[PROYECTO (formulado)2]],[2]PROYECTOS!$G$1:$L$32,6,0)</f>
        <v>SUBGERENCIA DE ALTOS LOGROS Y DEPORTE ASOCIADO</v>
      </c>
      <c r="D927" s="47" t="str">
        <f>+IF(PAA_4[[#This Row],[UNIDAD DE CONTRATACION (formulado)]]="Subgerencia Administrativa y Financiera","FUNCIONAMIENTO","INVERSIÓN")</f>
        <v>INVERSIÓN</v>
      </c>
      <c r="E927" s="48" t="str">
        <f>VLOOKUP(Q927,[2]PROYECTOS!$G$1:$K$32,5,0)</f>
        <v>DESARROLLO_DEL_POTENCIAL_DEPORTIVO_EN_EL_DEPARTAMENTO_DE_ANTIOQUIA</v>
      </c>
      <c r="F927" s="48">
        <f>VLOOKUP(E927,[2]PROYECTOS!$K$1:$M$32,3,0)</f>
        <v>2020003050022</v>
      </c>
      <c r="G927" s="49" t="s">
        <v>273</v>
      </c>
      <c r="H927" s="49" t="str">
        <f>VLOOKUP(Q927,[2]PROYECTOS!$V$1:$W$32,2,0)</f>
        <v>050065</v>
      </c>
      <c r="I927" s="50">
        <f>13663998-4000000</f>
        <v>9663998</v>
      </c>
      <c r="J927" s="352" t="s">
        <v>1789</v>
      </c>
      <c r="K927" s="47" t="str">
        <f t="shared" ca="1" si="318"/>
        <v>CONTRATADO</v>
      </c>
      <c r="L927" s="351" t="s">
        <v>94</v>
      </c>
      <c r="M927" s="47" t="s">
        <v>1297</v>
      </c>
      <c r="N927" s="52" t="s">
        <v>274</v>
      </c>
      <c r="O927" s="51" t="e">
        <f>VLOOKUP(N927,[2]!RUBROS[#All],3,0)</f>
        <v>#REF!</v>
      </c>
      <c r="P927" s="53" t="e">
        <f>VLOOKUP(N927,[2]!RUBROS[#All],2,0)</f>
        <v>#REF!</v>
      </c>
      <c r="Q927" s="47" t="str">
        <f t="shared" si="319"/>
        <v>21</v>
      </c>
      <c r="R927" s="47" t="str">
        <f t="shared" si="320"/>
        <v>4-101124</v>
      </c>
      <c r="S927" s="342">
        <v>139</v>
      </c>
      <c r="T927" s="63" t="s">
        <v>120</v>
      </c>
      <c r="U927" s="326" t="e">
        <f ca="1">_xlfn.XLOOKUP(PAA_4[[#This Row],[ITEM]],[2]Contrato!A:A,[2]Contrato!Q:Q,"",0)</f>
        <v>#NAME?</v>
      </c>
      <c r="V927" s="47" t="s">
        <v>47</v>
      </c>
      <c r="W927" s="343" t="s">
        <v>193</v>
      </c>
      <c r="X927" s="343" t="s">
        <v>194</v>
      </c>
      <c r="Y927" s="55" t="e">
        <f ca="1">_xlfn.XLOOKUP(PAA_4[[#This Row],[ITEM]],[2]Contrato!A:A,[2]Contrato!B:B,"",0)</f>
        <v>#NAME?</v>
      </c>
      <c r="Z927" s="47" t="e">
        <f ca="1">_xlfn.XLOOKUP(PAA_4[[#This Row],[ITEM]],[2]Contrato!A:A,[2]Contrato!G:G,"",0)</f>
        <v>#NAME?</v>
      </c>
      <c r="AA927" s="47" t="e">
        <f ca="1">_xlfn.XLOOKUP(PAA_4[[#This Row],[ITEM]],[2]Contrato!A:A,[2]Contrato!T:T,"",0)</f>
        <v>#NAME?</v>
      </c>
      <c r="AB927" s="55" t="e">
        <f ca="1">+MAX(PAA_4[[#This Row],[Comprometido Contrato]],PAA_4[[#This Row],[Comprometido Bolsa]])</f>
        <v>#NAME?</v>
      </c>
      <c r="AC927" s="55" t="str">
        <f t="shared" ca="1" si="321"/>
        <v/>
      </c>
      <c r="AD927" s="55" t="e">
        <f ca="1">IF(PAA_4[[#This Row],[ESTADO (formulado)]]="NO CONTRATADO",0,MAX(PAA_4[[#This Row],[Pago por Contrato]],PAA_4[[#This Row],[Pago por bolsa]]))</f>
        <v>#NAME?</v>
      </c>
      <c r="AE927" s="55" t="str">
        <f t="shared" ca="1" si="322"/>
        <v/>
      </c>
      <c r="AF927" s="47" t="e">
        <f t="shared" ca="1" si="323"/>
        <v>#NAME?</v>
      </c>
      <c r="AG927" s="47">
        <f t="shared" si="324"/>
        <v>41080112</v>
      </c>
      <c r="AH927" s="54">
        <f>IF(Q927="22",IF(ISNUMBER(SEARCH("econ",PAA_4[[#This Row],[Actividad3]])),"Económico",IF(ISNUMBER(SEARCH("alim",PAA_4[[#This Row],[Actividad3]])),"Alimentación",IF(ISNUMBER(SEARCH("educ",PAA_4[[#This Row],[Actividad3]])),"Educativo","Técnico"))),0)</f>
        <v>0</v>
      </c>
      <c r="AI927" s="47" t="e" cm="1">
        <f t="array" aca="1" ref="AI927" ca="1">_xlfn.XLOOKUP(PAA_4[[#This Row],[RCP-RUBRO]],[2]!COMPROMISOS_2024[[#All],[concatenado]],[2]!COMPROMISOS_2024[[#All],[Total pagado]],"",0)</f>
        <v>#NAME?</v>
      </c>
      <c r="AJ927" s="56">
        <f>IF(PAA_4[[#This Row],[BOLSA]]=0,0,SUMIFS([2]!COMPROMISOS_2024[[#All],[Total pagado]],[2]!COMPROMISOS_2024[[#All],[Bolsa]],PAA_4[[#This Row],[BOLSA]],[2]!COMPROMISOS_2024[[#All],[rubro]],PAA_4[[#This Row],[RCP-RUBRO]]))</f>
        <v>0</v>
      </c>
      <c r="AK927" s="47" t="e" cm="1">
        <f t="array" aca="1" ref="AK927" ca="1">_xlfn.XLOOKUP(PAA_4[[#This Row],[RCP-RUBRO]],[2]!COMPROMISOS_2024[[#All],[concatenado]],[2]!COMPROMISOS_2024[[#All],[Total Comprometido]],"",0)</f>
        <v>#NAME?</v>
      </c>
      <c r="AL927" s="47">
        <f>IF(PAA_4[[#This Row],[BOLSA]]=0,0,SUMIFS([2]!COMPROMISOS_2024[[#All],[Total Comprometido]],[2]!COMPROMISOS_2024[[#All],[Bolsa]],PAA_4[[#This Row],[BOLSA]],[2]!COMPROMISOS_2024[[#All],[concatenado]],PAA_4[[#This Row],[RCP-RUBRO]]))</f>
        <v>0</v>
      </c>
    </row>
    <row r="928" spans="1:38" s="19" customFormat="1" ht="31.5" customHeight="1">
      <c r="A928" s="47">
        <v>980</v>
      </c>
      <c r="B928" s="47">
        <v>80111600</v>
      </c>
      <c r="C928" s="47" t="str">
        <f>VLOOKUP(PAA_4[[#This Row],[PROYECTO (formulado)2]],[2]PROYECTOS!$G$1:$L$32,6,0)</f>
        <v>SUBGERENCIA DE ALTOS LOGROS Y DEPORTE ASOCIADO</v>
      </c>
      <c r="D928" s="47" t="str">
        <f>+IF(PAA_4[[#This Row],[UNIDAD DE CONTRATACION (formulado)]]="Subgerencia Administrativa y Financiera","FUNCIONAMIENTO","INVERSIÓN")</f>
        <v>INVERSIÓN</v>
      </c>
      <c r="E928" s="48" t="str">
        <f>VLOOKUP(Q928,[2]PROYECTOS!$G$1:$K$32,5,0)</f>
        <v>DESARROLLO_DEL_POTENCIAL_DEPORTIVO_EN_EL_DEPARTAMENTO_DE_ANTIOQUIA</v>
      </c>
      <c r="F928" s="48">
        <f>VLOOKUP(E928,[2]PROYECTOS!$K$1:$M$32,3,0)</f>
        <v>2020003050022</v>
      </c>
      <c r="G928" s="49" t="s">
        <v>273</v>
      </c>
      <c r="H928" s="49" t="str">
        <f>VLOOKUP(Q928,[2]PROYECTOS!$V$1:$W$32,2,0)</f>
        <v>050065</v>
      </c>
      <c r="I928" s="50">
        <f>17133978-2000002</f>
        <v>15133976</v>
      </c>
      <c r="J928" s="352" t="s">
        <v>1790</v>
      </c>
      <c r="K928" s="47" t="str">
        <f t="shared" ca="1" si="318"/>
        <v>CONTRATADO</v>
      </c>
      <c r="L928" s="351" t="s">
        <v>94</v>
      </c>
      <c r="M928" s="47" t="s">
        <v>1297</v>
      </c>
      <c r="N928" s="52" t="s">
        <v>274</v>
      </c>
      <c r="O928" s="51" t="e">
        <f>VLOOKUP(N928,[2]!RUBROS[#All],3,0)</f>
        <v>#REF!</v>
      </c>
      <c r="P928" s="53" t="e">
        <f>VLOOKUP(N928,[2]!RUBROS[#All],2,0)</f>
        <v>#REF!</v>
      </c>
      <c r="Q928" s="47" t="str">
        <f t="shared" si="319"/>
        <v>21</v>
      </c>
      <c r="R928" s="47" t="str">
        <f t="shared" si="320"/>
        <v>4-101124</v>
      </c>
      <c r="S928" s="342">
        <v>132</v>
      </c>
      <c r="T928" s="63" t="s">
        <v>120</v>
      </c>
      <c r="U928" s="326" t="e">
        <f ca="1">_xlfn.XLOOKUP(PAA_4[[#This Row],[ITEM]],[2]Contrato!A:A,[2]Contrato!Q:Q,"",0)</f>
        <v>#NAME?</v>
      </c>
      <c r="V928" s="47" t="s">
        <v>47</v>
      </c>
      <c r="W928" s="343" t="s">
        <v>193</v>
      </c>
      <c r="X928" s="343" t="s">
        <v>194</v>
      </c>
      <c r="Y928" s="55" t="e">
        <f ca="1">_xlfn.XLOOKUP(PAA_4[[#This Row],[ITEM]],[2]Contrato!A:A,[2]Contrato!B:B,"",0)</f>
        <v>#NAME?</v>
      </c>
      <c r="Z928" s="47" t="e">
        <f ca="1">_xlfn.XLOOKUP(PAA_4[[#This Row],[ITEM]],[2]Contrato!A:A,[2]Contrato!G:G,"",0)</f>
        <v>#NAME?</v>
      </c>
      <c r="AA928" s="47" t="e">
        <f ca="1">_xlfn.XLOOKUP(PAA_4[[#This Row],[ITEM]],[2]Contrato!A:A,[2]Contrato!T:T,"",0)</f>
        <v>#NAME?</v>
      </c>
      <c r="AB928" s="55" t="e">
        <f ca="1">+MAX(PAA_4[[#This Row],[Comprometido Contrato]],PAA_4[[#This Row],[Comprometido Bolsa]])</f>
        <v>#NAME?</v>
      </c>
      <c r="AC928" s="55" t="str">
        <f t="shared" ca="1" si="321"/>
        <v/>
      </c>
      <c r="AD928" s="55" t="e">
        <f ca="1">IF(PAA_4[[#This Row],[ESTADO (formulado)]]="NO CONTRATADO",0,MAX(PAA_4[[#This Row],[Pago por Contrato]],PAA_4[[#This Row],[Pago por bolsa]]))</f>
        <v>#NAME?</v>
      </c>
      <c r="AE928" s="55" t="str">
        <f t="shared" ca="1" si="322"/>
        <v/>
      </c>
      <c r="AF928" s="47" t="e">
        <f t="shared" ca="1" si="323"/>
        <v>#NAME?</v>
      </c>
      <c r="AG928" s="47">
        <f t="shared" si="324"/>
        <v>41080112</v>
      </c>
      <c r="AH928" s="54">
        <f>IF(Q928="22",IF(ISNUMBER(SEARCH("econ",PAA_4[[#This Row],[Actividad3]])),"Económico",IF(ISNUMBER(SEARCH("alim",PAA_4[[#This Row],[Actividad3]])),"Alimentación",IF(ISNUMBER(SEARCH("educ",PAA_4[[#This Row],[Actividad3]])),"Educativo","Técnico"))),0)</f>
        <v>0</v>
      </c>
      <c r="AI928" s="47" t="e" cm="1">
        <f t="array" aca="1" ref="AI928" ca="1">_xlfn.XLOOKUP(PAA_4[[#This Row],[RCP-RUBRO]],[2]!COMPROMISOS_2024[[#All],[concatenado]],[2]!COMPROMISOS_2024[[#All],[Total pagado]],"",0)</f>
        <v>#NAME?</v>
      </c>
      <c r="AJ928" s="56">
        <f>IF(PAA_4[[#This Row],[BOLSA]]=0,0,SUMIFS([2]!COMPROMISOS_2024[[#All],[Total pagado]],[2]!COMPROMISOS_2024[[#All],[Bolsa]],PAA_4[[#This Row],[BOLSA]],[2]!COMPROMISOS_2024[[#All],[rubro]],PAA_4[[#This Row],[RCP-RUBRO]]))</f>
        <v>0</v>
      </c>
      <c r="AK928" s="47" t="e" cm="1">
        <f t="array" aca="1" ref="AK928" ca="1">_xlfn.XLOOKUP(PAA_4[[#This Row],[RCP-RUBRO]],[2]!COMPROMISOS_2024[[#All],[concatenado]],[2]!COMPROMISOS_2024[[#All],[Total Comprometido]],"",0)</f>
        <v>#NAME?</v>
      </c>
      <c r="AL928" s="47">
        <f>IF(PAA_4[[#This Row],[BOLSA]]=0,0,SUMIFS([2]!COMPROMISOS_2024[[#All],[Total Comprometido]],[2]!COMPROMISOS_2024[[#All],[Bolsa]],PAA_4[[#This Row],[BOLSA]],[2]!COMPROMISOS_2024[[#All],[concatenado]],PAA_4[[#This Row],[RCP-RUBRO]]))</f>
        <v>0</v>
      </c>
    </row>
    <row r="929" spans="1:38" s="19" customFormat="1" ht="31.5" customHeight="1">
      <c r="A929" s="47">
        <v>745</v>
      </c>
      <c r="B929" s="51">
        <v>80111600</v>
      </c>
      <c r="C929" s="47" t="str">
        <f>VLOOKUP(PAA_4[[#This Row],[PROYECTO (formulado)2]],[2]PROYECTOS!$G$1:$L$32,6,0)</f>
        <v>SUBGERENCIA DE ALTOS LOGROS Y DEPORTE ASOCIADO</v>
      </c>
      <c r="D929" s="47" t="str">
        <f>+IF(PAA_4[[#This Row],[UNIDAD DE CONTRATACION (formulado)]]="Subgerencia Administrativa y Financiera","FUNCIONAMIENTO","INVERSIÓN")</f>
        <v>INVERSIÓN</v>
      </c>
      <c r="E929" s="48" t="str">
        <f>VLOOKUP(Q929,[2]PROYECTOS!$G$1:$K$32,5,0)</f>
        <v>DESARROLLO_DEL_POTENCIAL_DEPORTIVO_EN_EL_DEPARTAMENTO_DE_ANTIOQUIA</v>
      </c>
      <c r="F929" s="48">
        <f>VLOOKUP(E929,[2]PROYECTOS!$K$1:$M$32,3,0)</f>
        <v>2020003050022</v>
      </c>
      <c r="G929" s="49" t="s">
        <v>273</v>
      </c>
      <c r="H929" s="49" t="str">
        <f>VLOOKUP(Q929,[2]PROYECTOS!$V$1:$W$32,2,0)</f>
        <v>050065</v>
      </c>
      <c r="I929" s="50">
        <v>0</v>
      </c>
      <c r="J929" s="352" t="s">
        <v>42</v>
      </c>
      <c r="K929" s="47" t="str">
        <f t="shared" ca="1" si="318"/>
        <v>CONTRATADO</v>
      </c>
      <c r="L929" s="351" t="s">
        <v>94</v>
      </c>
      <c r="M929" s="47" t="s">
        <v>1297</v>
      </c>
      <c r="N929" s="52" t="s">
        <v>274</v>
      </c>
      <c r="O929" s="51" t="e">
        <f>VLOOKUP(N929,[2]!RUBROS[#All],3,0)</f>
        <v>#REF!</v>
      </c>
      <c r="P929" s="53" t="e">
        <f>VLOOKUP(N929,[2]!RUBROS[#All],2,0)</f>
        <v>#REF!</v>
      </c>
      <c r="Q929" s="47" t="str">
        <f t="shared" si="319"/>
        <v>21</v>
      </c>
      <c r="R929" s="47" t="str">
        <f t="shared" si="320"/>
        <v>4-101124</v>
      </c>
      <c r="S929" s="342" t="s">
        <v>42</v>
      </c>
      <c r="T929" s="63" t="s">
        <v>42</v>
      </c>
      <c r="U929" s="326" t="e">
        <f ca="1">_xlfn.XLOOKUP(PAA_4[[#This Row],[ITEM]],[2]Contrato!A:A,[2]Contrato!Q:Q,"",0)</f>
        <v>#NAME?</v>
      </c>
      <c r="V929" s="47" t="s">
        <v>47</v>
      </c>
      <c r="W929" s="343" t="s">
        <v>193</v>
      </c>
      <c r="X929" s="343" t="s">
        <v>194</v>
      </c>
      <c r="Y929" s="55" t="e">
        <f ca="1">_xlfn.XLOOKUP(PAA_4[[#This Row],[ITEM]],[2]Contrato!A:A,[2]Contrato!B:B,"",0)</f>
        <v>#NAME?</v>
      </c>
      <c r="Z929" s="47" t="e">
        <f ca="1">_xlfn.XLOOKUP(PAA_4[[#This Row],[ITEM]],[2]Contrato!A:A,[2]Contrato!G:G,"",0)</f>
        <v>#NAME?</v>
      </c>
      <c r="AA929" s="47" t="e">
        <f ca="1">_xlfn.XLOOKUP(PAA_4[[#This Row],[ITEM]],[2]Contrato!A:A,[2]Contrato!T:T,"",0)</f>
        <v>#NAME?</v>
      </c>
      <c r="AB929" s="55" t="e">
        <f ca="1">+MAX(PAA_4[[#This Row],[Comprometido Contrato]],PAA_4[[#This Row],[Comprometido Bolsa]])</f>
        <v>#NAME?</v>
      </c>
      <c r="AC929" s="55" t="str">
        <f t="shared" ca="1" si="321"/>
        <v/>
      </c>
      <c r="AD929" s="55" t="e">
        <f ca="1">IF(PAA_4[[#This Row],[ESTADO (formulado)]]="NO CONTRATADO",0,MAX(PAA_4[[#This Row],[Pago por Contrato]],PAA_4[[#This Row],[Pago por bolsa]]))</f>
        <v>#NAME?</v>
      </c>
      <c r="AE929" s="55" t="str">
        <f t="shared" ca="1" si="322"/>
        <v/>
      </c>
      <c r="AF929" s="47" t="e">
        <f t="shared" ca="1" si="323"/>
        <v>#NAME?</v>
      </c>
      <c r="AG929" s="47">
        <f t="shared" si="324"/>
        <v>41080112</v>
      </c>
      <c r="AH929" s="54">
        <f>IF(Q929="22",IF(ISNUMBER(SEARCH("econ",PAA_4[[#This Row],[Actividad3]])),"Económico",IF(ISNUMBER(SEARCH("alim",PAA_4[[#This Row],[Actividad3]])),"Alimentación",IF(ISNUMBER(SEARCH("educ",PAA_4[[#This Row],[Actividad3]])),"Educativo","Técnico"))),0)</f>
        <v>0</v>
      </c>
      <c r="AI929" s="47" t="e" cm="1">
        <f t="array" aca="1" ref="AI929" ca="1">_xlfn.XLOOKUP(PAA_4[[#This Row],[RCP-RUBRO]],[2]!COMPROMISOS_2024[[#All],[concatenado]],[2]!COMPROMISOS_2024[[#All],[Total pagado]],"",0)</f>
        <v>#NAME?</v>
      </c>
      <c r="AJ929" s="56">
        <f>IF(PAA_4[[#This Row],[BOLSA]]=0,0,SUMIFS([2]!COMPROMISOS_2024[[#All],[Total pagado]],[2]!COMPROMISOS_2024[[#All],[Bolsa]],PAA_4[[#This Row],[BOLSA]],[2]!COMPROMISOS_2024[[#All],[rubro]],PAA_4[[#This Row],[RCP-RUBRO]]))</f>
        <v>0</v>
      </c>
      <c r="AK929" s="47" t="e" cm="1">
        <f t="array" aca="1" ref="AK929" ca="1">_xlfn.XLOOKUP(PAA_4[[#This Row],[RCP-RUBRO]],[2]!COMPROMISOS_2024[[#All],[concatenado]],[2]!COMPROMISOS_2024[[#All],[Total Comprometido]],"",0)</f>
        <v>#NAME?</v>
      </c>
      <c r="AL929" s="47">
        <f>IF(PAA_4[[#This Row],[BOLSA]]=0,0,SUMIFS([2]!COMPROMISOS_2024[[#All],[Total Comprometido]],[2]!COMPROMISOS_2024[[#All],[Bolsa]],PAA_4[[#This Row],[BOLSA]],[2]!COMPROMISOS_2024[[#All],[concatenado]],PAA_4[[#This Row],[RCP-RUBRO]]))</f>
        <v>0</v>
      </c>
    </row>
    <row r="930" spans="1:38" s="19" customFormat="1" ht="31.5" customHeight="1">
      <c r="A930" s="47">
        <v>746</v>
      </c>
      <c r="B930" s="51">
        <v>90141502</v>
      </c>
      <c r="C930" s="47" t="str">
        <f>VLOOKUP(PAA_4[[#This Row],[PROYECTO (formulado)2]],[2]PROYECTOS!$G$1:$L$32,6,0)</f>
        <v>SUBGERENCIA DE ALTOS LOGROS Y DEPORTE ASOCIADO</v>
      </c>
      <c r="D930" s="47" t="str">
        <f>+IF(PAA_4[[#This Row],[UNIDAD DE CONTRATACION (formulado)]]="Subgerencia Administrativa y Financiera","FUNCIONAMIENTO","INVERSIÓN")</f>
        <v>INVERSIÓN</v>
      </c>
      <c r="E930" s="48" t="str">
        <f>VLOOKUP(Q930,[2]PROYECTOS!$G$1:$K$32,5,0)</f>
        <v>DESARROLLO_DEL_POTENCIAL_DEPORTIVO_EN_EL_DEPARTAMENTO_DE_ANTIOQUIA</v>
      </c>
      <c r="F930" s="48">
        <f>VLOOKUP(E930,[2]PROYECTOS!$K$1:$M$32,3,0)</f>
        <v>2020003050022</v>
      </c>
      <c r="G930" s="361" t="s">
        <v>229</v>
      </c>
      <c r="H930" s="49" t="str">
        <f>VLOOKUP(Q930,[2]PROYECTOS!$V$1:$W$32,2,0)</f>
        <v>050065</v>
      </c>
      <c r="I930" s="50">
        <v>0</v>
      </c>
      <c r="J930" s="352" t="s">
        <v>1545</v>
      </c>
      <c r="K930" s="47" t="str">
        <f t="shared" ca="1" si="318"/>
        <v>CONTRATADO</v>
      </c>
      <c r="L930" s="351" t="s">
        <v>94</v>
      </c>
      <c r="M930" s="47" t="s">
        <v>255</v>
      </c>
      <c r="N930" s="52" t="s">
        <v>275</v>
      </c>
      <c r="O930" s="51" t="e">
        <f>VLOOKUP(N930,[2]!RUBROS[#All],3,0)</f>
        <v>#REF!</v>
      </c>
      <c r="P930" s="53" t="e">
        <f>VLOOKUP(N930,[2]!RUBROS[#All],2,0)</f>
        <v>#REF!</v>
      </c>
      <c r="Q930" s="47" t="str">
        <f t="shared" si="319"/>
        <v>21</v>
      </c>
      <c r="R930" s="47" t="str">
        <f t="shared" si="320"/>
        <v>4-101124</v>
      </c>
      <c r="S930" s="342">
        <v>200</v>
      </c>
      <c r="T930" s="63" t="s">
        <v>120</v>
      </c>
      <c r="U930" s="326" t="e">
        <f ca="1">_xlfn.XLOOKUP(PAA_4[[#This Row],[ITEM]],[2]Contrato!A:A,[2]Contrato!Q:Q,"",0)</f>
        <v>#NAME?</v>
      </c>
      <c r="V930" s="47" t="s">
        <v>47</v>
      </c>
      <c r="W930" s="343" t="s">
        <v>154</v>
      </c>
      <c r="X930" s="343" t="s">
        <v>154</v>
      </c>
      <c r="Y930" s="55" t="e">
        <f ca="1">_xlfn.XLOOKUP(PAA_4[[#This Row],[ITEM]],[2]Contrato!A:A,[2]Contrato!B:B,"",0)</f>
        <v>#NAME?</v>
      </c>
      <c r="Z930" s="47" t="e">
        <f ca="1">_xlfn.XLOOKUP(PAA_4[[#This Row],[ITEM]],[2]Contrato!A:A,[2]Contrato!G:G,"",0)</f>
        <v>#NAME?</v>
      </c>
      <c r="AA930" s="47" t="e">
        <f ca="1">_xlfn.XLOOKUP(PAA_4[[#This Row],[ITEM]],[2]Contrato!A:A,[2]Contrato!T:T,"",0)</f>
        <v>#NAME?</v>
      </c>
      <c r="AB930" s="55" t="e">
        <f ca="1">+MAX(PAA_4[[#This Row],[Comprometido Contrato]],PAA_4[[#This Row],[Comprometido Bolsa]])</f>
        <v>#NAME?</v>
      </c>
      <c r="AC930" s="55" t="str">
        <f t="shared" ca="1" si="321"/>
        <v/>
      </c>
      <c r="AD930" s="55" t="e">
        <f ca="1">IF(PAA_4[[#This Row],[ESTADO (formulado)]]="NO CONTRATADO",0,MAX(PAA_4[[#This Row],[Pago por Contrato]],PAA_4[[#This Row],[Pago por bolsa]]))</f>
        <v>#NAME?</v>
      </c>
      <c r="AE930" s="55" t="str">
        <f t="shared" ca="1" si="322"/>
        <v/>
      </c>
      <c r="AF930" s="47" t="e">
        <f t="shared" ca="1" si="323"/>
        <v>#NAME?</v>
      </c>
      <c r="AG930" s="47">
        <f t="shared" si="324"/>
        <v>41080112</v>
      </c>
      <c r="AH930" s="54">
        <f>IF(Q930="22",IF(ISNUMBER(SEARCH("econ",PAA_4[[#This Row],[Actividad3]])),"Económico",IF(ISNUMBER(SEARCH("alim",PAA_4[[#This Row],[Actividad3]])),"Alimentación",IF(ISNUMBER(SEARCH("educ",PAA_4[[#This Row],[Actividad3]])),"Educativo","Técnico"))),0)</f>
        <v>0</v>
      </c>
      <c r="AI930" s="47" t="e" cm="1">
        <f t="array" aca="1" ref="AI930" ca="1">_xlfn.XLOOKUP(PAA_4[[#This Row],[RCP-RUBRO]],[2]!COMPROMISOS_2024[[#All],[concatenado]],[2]!COMPROMISOS_2024[[#All],[Total pagado]],"",0)</f>
        <v>#NAME?</v>
      </c>
      <c r="AJ930" s="56">
        <f>IF(PAA_4[[#This Row],[BOLSA]]=0,0,SUMIFS([2]!COMPROMISOS_2024[[#All],[Total pagado]],[2]!COMPROMISOS_2024[[#All],[Bolsa]],PAA_4[[#This Row],[BOLSA]],[2]!COMPROMISOS_2024[[#All],[rubro]],PAA_4[[#This Row],[RCP-RUBRO]]))</f>
        <v>0</v>
      </c>
      <c r="AK930" s="47" t="e" cm="1">
        <f t="array" aca="1" ref="AK930" ca="1">_xlfn.XLOOKUP(PAA_4[[#This Row],[RCP-RUBRO]],[2]!COMPROMISOS_2024[[#All],[concatenado]],[2]!COMPROMISOS_2024[[#All],[Total Comprometido]],"",0)</f>
        <v>#NAME?</v>
      </c>
      <c r="AL930" s="47">
        <f>IF(PAA_4[[#This Row],[BOLSA]]=0,0,SUMIFS([2]!COMPROMISOS_2024[[#All],[Total Comprometido]],[2]!COMPROMISOS_2024[[#All],[Bolsa]],PAA_4[[#This Row],[BOLSA]],[2]!COMPROMISOS_2024[[#All],[concatenado]],PAA_4[[#This Row],[RCP-RUBRO]]))</f>
        <v>0</v>
      </c>
    </row>
    <row r="931" spans="1:38" s="19" customFormat="1" ht="31.5" customHeight="1">
      <c r="A931" s="47">
        <v>747</v>
      </c>
      <c r="B931" s="51">
        <v>90141502</v>
      </c>
      <c r="C931" s="47" t="str">
        <f>VLOOKUP(PAA_4[[#This Row],[PROYECTO (formulado)2]],[2]PROYECTOS!$G$1:$L$32,6,0)</f>
        <v>SUBGERENCIA DE ALTOS LOGROS Y DEPORTE ASOCIADO</v>
      </c>
      <c r="D931" s="47" t="str">
        <f>+IF(PAA_4[[#This Row],[UNIDAD DE CONTRATACION (formulado)]]="Subgerencia Administrativa y Financiera","FUNCIONAMIENTO","INVERSIÓN")</f>
        <v>INVERSIÓN</v>
      </c>
      <c r="E931" s="48" t="str">
        <f>VLOOKUP(Q931,[2]PROYECTOS!$G$1:$K$32,5,0)</f>
        <v>DESARROLLO_DEL_POTENCIAL_DEPORTIVO_EN_EL_DEPARTAMENTO_DE_ANTIOQUIA</v>
      </c>
      <c r="F931" s="48">
        <f>VLOOKUP(E931,[2]PROYECTOS!$K$1:$M$32,3,0)</f>
        <v>2020003050022</v>
      </c>
      <c r="G931" s="361" t="s">
        <v>229</v>
      </c>
      <c r="H931" s="49" t="str">
        <f>VLOOKUP(Q931,[2]PROYECTOS!$V$1:$W$32,2,0)</f>
        <v>050065</v>
      </c>
      <c r="I931" s="50">
        <v>0</v>
      </c>
      <c r="J931" s="352" t="s">
        <v>42</v>
      </c>
      <c r="K931" s="47" t="str">
        <f t="shared" ca="1" si="318"/>
        <v>CONTRATADO</v>
      </c>
      <c r="L931" s="351" t="s">
        <v>94</v>
      </c>
      <c r="M931" s="47" t="s">
        <v>255</v>
      </c>
      <c r="N931" s="52" t="s">
        <v>276</v>
      </c>
      <c r="O931" s="51" t="e">
        <f>VLOOKUP(N931,[2]!RUBROS[#All],3,0)</f>
        <v>#REF!</v>
      </c>
      <c r="P931" s="53" t="e">
        <f>VLOOKUP(N931,[2]!RUBROS[#All],2,0)</f>
        <v>#REF!</v>
      </c>
      <c r="Q931" s="47" t="str">
        <f t="shared" si="319"/>
        <v>21</v>
      </c>
      <c r="R931" s="47" t="str">
        <f t="shared" si="320"/>
        <v>4-205128</v>
      </c>
      <c r="S931" s="342">
        <v>200</v>
      </c>
      <c r="T931" s="63" t="s">
        <v>120</v>
      </c>
      <c r="U931" s="326" t="e">
        <f ca="1">_xlfn.XLOOKUP(PAA_4[[#This Row],[ITEM]],[2]Contrato!A:A,[2]Contrato!Q:Q,"",0)</f>
        <v>#NAME?</v>
      </c>
      <c r="V931" s="47" t="s">
        <v>47</v>
      </c>
      <c r="W931" s="343" t="s">
        <v>154</v>
      </c>
      <c r="X931" s="343" t="s">
        <v>154</v>
      </c>
      <c r="Y931" s="55" t="e">
        <f ca="1">_xlfn.XLOOKUP(PAA_4[[#This Row],[ITEM]],[2]Contrato!A:A,[2]Contrato!B:B,"",0)</f>
        <v>#NAME?</v>
      </c>
      <c r="Z931" s="47" t="e">
        <f ca="1">_xlfn.XLOOKUP(PAA_4[[#This Row],[ITEM]],[2]Contrato!A:A,[2]Contrato!G:G,"",0)</f>
        <v>#NAME?</v>
      </c>
      <c r="AA931" s="47" t="e">
        <f ca="1">_xlfn.XLOOKUP(PAA_4[[#This Row],[ITEM]],[2]Contrato!A:A,[2]Contrato!T:T,"",0)</f>
        <v>#NAME?</v>
      </c>
      <c r="AB931" s="55" t="e">
        <f ca="1">+MAX(PAA_4[[#This Row],[Comprometido Contrato]],PAA_4[[#This Row],[Comprometido Bolsa]])</f>
        <v>#NAME?</v>
      </c>
      <c r="AC931" s="55" t="str">
        <f t="shared" ca="1" si="321"/>
        <v/>
      </c>
      <c r="AD931" s="55" t="e">
        <f ca="1">IF(PAA_4[[#This Row],[ESTADO (formulado)]]="NO CONTRATADO",0,MAX(PAA_4[[#This Row],[Pago por Contrato]],PAA_4[[#This Row],[Pago por bolsa]]))</f>
        <v>#NAME?</v>
      </c>
      <c r="AE931" s="55" t="str">
        <f t="shared" ca="1" si="322"/>
        <v/>
      </c>
      <c r="AF931" s="47" t="e">
        <f t="shared" ca="1" si="323"/>
        <v>#NAME?</v>
      </c>
      <c r="AG931" s="47">
        <f t="shared" si="324"/>
        <v>41080112</v>
      </c>
      <c r="AH931" s="54">
        <f>IF(Q931="22",IF(ISNUMBER(SEARCH("econ",PAA_4[[#This Row],[Actividad3]])),"Económico",IF(ISNUMBER(SEARCH("alim",PAA_4[[#This Row],[Actividad3]])),"Alimentación",IF(ISNUMBER(SEARCH("educ",PAA_4[[#This Row],[Actividad3]])),"Educativo","Técnico"))),0)</f>
        <v>0</v>
      </c>
      <c r="AI931" s="47" t="e" cm="1">
        <f t="array" aca="1" ref="AI931" ca="1">_xlfn.XLOOKUP(PAA_4[[#This Row],[RCP-RUBRO]],[2]!COMPROMISOS_2024[[#All],[concatenado]],[2]!COMPROMISOS_2024[[#All],[Total pagado]],"",0)</f>
        <v>#NAME?</v>
      </c>
      <c r="AJ931" s="56">
        <f>IF(PAA_4[[#This Row],[BOLSA]]=0,0,SUMIFS([2]!COMPROMISOS_2024[[#All],[Total pagado]],[2]!COMPROMISOS_2024[[#All],[Bolsa]],PAA_4[[#This Row],[BOLSA]],[2]!COMPROMISOS_2024[[#All],[rubro]],PAA_4[[#This Row],[RCP-RUBRO]]))</f>
        <v>0</v>
      </c>
      <c r="AK931" s="47" t="e" cm="1">
        <f t="array" aca="1" ref="AK931" ca="1">_xlfn.XLOOKUP(PAA_4[[#This Row],[RCP-RUBRO]],[2]!COMPROMISOS_2024[[#All],[concatenado]],[2]!COMPROMISOS_2024[[#All],[Total Comprometido]],"",0)</f>
        <v>#NAME?</v>
      </c>
      <c r="AL931" s="47">
        <f>IF(PAA_4[[#This Row],[BOLSA]]=0,0,SUMIFS([2]!COMPROMISOS_2024[[#All],[Total Comprometido]],[2]!COMPROMISOS_2024[[#All],[Bolsa]],PAA_4[[#This Row],[BOLSA]],[2]!COMPROMISOS_2024[[#All],[concatenado]],PAA_4[[#This Row],[RCP-RUBRO]]))</f>
        <v>0</v>
      </c>
    </row>
    <row r="932" spans="1:38" s="19" customFormat="1" ht="31.5" customHeight="1">
      <c r="A932" s="47">
        <v>748</v>
      </c>
      <c r="B932" s="51">
        <v>90141502</v>
      </c>
      <c r="C932" s="47" t="str">
        <f>VLOOKUP(PAA_4[[#This Row],[PROYECTO (formulado)2]],[2]PROYECTOS!$G$1:$L$32,6,0)</f>
        <v>SUBGERENCIA DE ALTOS LOGROS Y DEPORTE ASOCIADO</v>
      </c>
      <c r="D932" s="47" t="str">
        <f>+IF(PAA_4[[#This Row],[UNIDAD DE CONTRATACION (formulado)]]="Subgerencia Administrativa y Financiera","FUNCIONAMIENTO","INVERSIÓN")</f>
        <v>INVERSIÓN</v>
      </c>
      <c r="E932" s="48" t="str">
        <f>VLOOKUP(Q932,[2]PROYECTOS!$G$1:$K$32,5,0)</f>
        <v>DESARROLLO_DEL_POTENCIAL_DEPORTIVO_EN_EL_DEPARTAMENTO_DE_ANTIOQUIA</v>
      </c>
      <c r="F932" s="48">
        <f>VLOOKUP(E932,[2]PROYECTOS!$K$1:$M$32,3,0)</f>
        <v>2020003050022</v>
      </c>
      <c r="G932" s="361" t="s">
        <v>230</v>
      </c>
      <c r="H932" s="49" t="str">
        <f>VLOOKUP(Q932,[2]PROYECTOS!$V$1:$W$32,2,0)</f>
        <v>050065</v>
      </c>
      <c r="I932" s="50">
        <v>0</v>
      </c>
      <c r="J932" s="352" t="s">
        <v>42</v>
      </c>
      <c r="K932" s="47" t="str">
        <f t="shared" ca="1" si="318"/>
        <v>CONTRATADO</v>
      </c>
      <c r="L932" s="351" t="s">
        <v>94</v>
      </c>
      <c r="M932" s="47" t="s">
        <v>255</v>
      </c>
      <c r="N932" s="52" t="s">
        <v>276</v>
      </c>
      <c r="O932" s="51" t="e">
        <f>VLOOKUP(N932,[2]!RUBROS[#All],3,0)</f>
        <v>#REF!</v>
      </c>
      <c r="P932" s="53" t="e">
        <f>VLOOKUP(N932,[2]!RUBROS[#All],2,0)</f>
        <v>#REF!</v>
      </c>
      <c r="Q932" s="47" t="str">
        <f t="shared" si="319"/>
        <v>21</v>
      </c>
      <c r="R932" s="47" t="str">
        <f t="shared" si="320"/>
        <v>4-205128</v>
      </c>
      <c r="S932" s="342">
        <v>200</v>
      </c>
      <c r="T932" s="63" t="s">
        <v>120</v>
      </c>
      <c r="U932" s="326" t="e">
        <f ca="1">_xlfn.XLOOKUP(PAA_4[[#This Row],[ITEM]],[2]Contrato!A:A,[2]Contrato!Q:Q,"",0)</f>
        <v>#NAME?</v>
      </c>
      <c r="V932" s="47" t="s">
        <v>47</v>
      </c>
      <c r="W932" s="343" t="s">
        <v>154</v>
      </c>
      <c r="X932" s="343" t="s">
        <v>154</v>
      </c>
      <c r="Y932" s="55" t="e">
        <f ca="1">_xlfn.XLOOKUP(PAA_4[[#This Row],[ITEM]],[2]Contrato!A:A,[2]Contrato!B:B,"",0)</f>
        <v>#NAME?</v>
      </c>
      <c r="Z932" s="47" t="e">
        <f ca="1">_xlfn.XLOOKUP(PAA_4[[#This Row],[ITEM]],[2]Contrato!A:A,[2]Contrato!G:G,"",0)</f>
        <v>#NAME?</v>
      </c>
      <c r="AA932" s="47" t="e">
        <f ca="1">_xlfn.XLOOKUP(PAA_4[[#This Row],[ITEM]],[2]Contrato!A:A,[2]Contrato!T:T,"",0)</f>
        <v>#NAME?</v>
      </c>
      <c r="AB932" s="55" t="e">
        <f ca="1">+MAX(PAA_4[[#This Row],[Comprometido Contrato]],PAA_4[[#This Row],[Comprometido Bolsa]])</f>
        <v>#NAME?</v>
      </c>
      <c r="AC932" s="55" t="str">
        <f t="shared" ca="1" si="321"/>
        <v/>
      </c>
      <c r="AD932" s="55" t="e">
        <f ca="1">IF(PAA_4[[#This Row],[ESTADO (formulado)]]="NO CONTRATADO",0,MAX(PAA_4[[#This Row],[Pago por Contrato]],PAA_4[[#This Row],[Pago por bolsa]]))</f>
        <v>#NAME?</v>
      </c>
      <c r="AE932" s="55" t="str">
        <f t="shared" ca="1" si="322"/>
        <v/>
      </c>
      <c r="AF932" s="47" t="e">
        <f t="shared" ca="1" si="323"/>
        <v>#NAME?</v>
      </c>
      <c r="AG932" s="47">
        <f t="shared" si="324"/>
        <v>41080112</v>
      </c>
      <c r="AH932" s="54">
        <f>IF(Q932="22",IF(ISNUMBER(SEARCH("econ",PAA_4[[#This Row],[Actividad3]])),"Económico",IF(ISNUMBER(SEARCH("alim",PAA_4[[#This Row],[Actividad3]])),"Alimentación",IF(ISNUMBER(SEARCH("educ",PAA_4[[#This Row],[Actividad3]])),"Educativo","Técnico"))),0)</f>
        <v>0</v>
      </c>
      <c r="AI932" s="47" t="e" cm="1">
        <f t="array" aca="1" ref="AI932" ca="1">_xlfn.XLOOKUP(PAA_4[[#This Row],[RCP-RUBRO]],[2]!COMPROMISOS_2024[[#All],[concatenado]],[2]!COMPROMISOS_2024[[#All],[Total pagado]],"",0)</f>
        <v>#NAME?</v>
      </c>
      <c r="AJ932" s="56">
        <f>IF(PAA_4[[#This Row],[BOLSA]]=0,0,SUMIFS([2]!COMPROMISOS_2024[[#All],[Total pagado]],[2]!COMPROMISOS_2024[[#All],[Bolsa]],PAA_4[[#This Row],[BOLSA]],[2]!COMPROMISOS_2024[[#All],[rubro]],PAA_4[[#This Row],[RCP-RUBRO]]))</f>
        <v>0</v>
      </c>
      <c r="AK932" s="47" t="e" cm="1">
        <f t="array" aca="1" ref="AK932" ca="1">_xlfn.XLOOKUP(PAA_4[[#This Row],[RCP-RUBRO]],[2]!COMPROMISOS_2024[[#All],[concatenado]],[2]!COMPROMISOS_2024[[#All],[Total Comprometido]],"",0)</f>
        <v>#NAME?</v>
      </c>
      <c r="AL932" s="47">
        <f>IF(PAA_4[[#This Row],[BOLSA]]=0,0,SUMIFS([2]!COMPROMISOS_2024[[#All],[Total Comprometido]],[2]!COMPROMISOS_2024[[#All],[Bolsa]],PAA_4[[#This Row],[BOLSA]],[2]!COMPROMISOS_2024[[#All],[concatenado]],PAA_4[[#This Row],[RCP-RUBRO]]))</f>
        <v>0</v>
      </c>
    </row>
    <row r="933" spans="1:38" s="19" customFormat="1" ht="31.5" customHeight="1">
      <c r="A933" s="47">
        <v>749</v>
      </c>
      <c r="B933" s="51">
        <v>90141502</v>
      </c>
      <c r="C933" s="47" t="str">
        <f>VLOOKUP(PAA_4[[#This Row],[PROYECTO (formulado)2]],[2]PROYECTOS!$G$1:$L$32,6,0)</f>
        <v>SUBGERENCIA DE ALTOS LOGROS Y DEPORTE ASOCIADO</v>
      </c>
      <c r="D933" s="47" t="str">
        <f>+IF(PAA_4[[#This Row],[UNIDAD DE CONTRATACION (formulado)]]="Subgerencia Administrativa y Financiera","FUNCIONAMIENTO","INVERSIÓN")</f>
        <v>INVERSIÓN</v>
      </c>
      <c r="E933" s="48" t="str">
        <f>VLOOKUP(Q933,[2]PROYECTOS!$G$1:$K$32,5,0)</f>
        <v>DESARROLLO_DEL_POTENCIAL_DEPORTIVO_EN_EL_DEPARTAMENTO_DE_ANTIOQUIA</v>
      </c>
      <c r="F933" s="48">
        <f>VLOOKUP(E933,[2]PROYECTOS!$K$1:$M$32,3,0)</f>
        <v>2020003050022</v>
      </c>
      <c r="G933" s="361" t="s">
        <v>232</v>
      </c>
      <c r="H933" s="49" t="str">
        <f>VLOOKUP(Q933,[2]PROYECTOS!$V$1:$W$32,2,0)</f>
        <v>050065</v>
      </c>
      <c r="I933" s="50">
        <v>0</v>
      </c>
      <c r="J933" s="352" t="s">
        <v>42</v>
      </c>
      <c r="K933" s="47" t="str">
        <f t="shared" ca="1" si="318"/>
        <v>CONTRATADO</v>
      </c>
      <c r="L933" s="351" t="s">
        <v>94</v>
      </c>
      <c r="M933" s="47" t="s">
        <v>255</v>
      </c>
      <c r="N933" s="52" t="s">
        <v>276</v>
      </c>
      <c r="O933" s="51" t="e">
        <f>VLOOKUP(N933,[2]!RUBROS[#All],3,0)</f>
        <v>#REF!</v>
      </c>
      <c r="P933" s="53" t="e">
        <f>VLOOKUP(N933,[2]!RUBROS[#All],2,0)</f>
        <v>#REF!</v>
      </c>
      <c r="Q933" s="47" t="str">
        <f t="shared" si="319"/>
        <v>21</v>
      </c>
      <c r="R933" s="47" t="str">
        <f t="shared" si="320"/>
        <v>4-205128</v>
      </c>
      <c r="S933" s="342">
        <v>200</v>
      </c>
      <c r="T933" s="63" t="s">
        <v>120</v>
      </c>
      <c r="U933" s="326" t="e">
        <f ca="1">_xlfn.XLOOKUP(PAA_4[[#This Row],[ITEM]],[2]Contrato!A:A,[2]Contrato!Q:Q,"",0)</f>
        <v>#NAME?</v>
      </c>
      <c r="V933" s="47" t="s">
        <v>47</v>
      </c>
      <c r="W933" s="343" t="s">
        <v>154</v>
      </c>
      <c r="X933" s="343" t="s">
        <v>154</v>
      </c>
      <c r="Y933" s="55" t="e">
        <f ca="1">_xlfn.XLOOKUP(PAA_4[[#This Row],[ITEM]],[2]Contrato!A:A,[2]Contrato!B:B,"",0)</f>
        <v>#NAME?</v>
      </c>
      <c r="Z933" s="47" t="e">
        <f ca="1">_xlfn.XLOOKUP(PAA_4[[#This Row],[ITEM]],[2]Contrato!A:A,[2]Contrato!G:G,"",0)</f>
        <v>#NAME?</v>
      </c>
      <c r="AA933" s="47" t="e">
        <f ca="1">_xlfn.XLOOKUP(PAA_4[[#This Row],[ITEM]],[2]Contrato!A:A,[2]Contrato!T:T,"",0)</f>
        <v>#NAME?</v>
      </c>
      <c r="AB933" s="55" t="e">
        <f ca="1">+MAX(PAA_4[[#This Row],[Comprometido Contrato]],PAA_4[[#This Row],[Comprometido Bolsa]])</f>
        <v>#NAME?</v>
      </c>
      <c r="AC933" s="55" t="str">
        <f t="shared" ca="1" si="321"/>
        <v/>
      </c>
      <c r="AD933" s="55" t="e">
        <f ca="1">IF(PAA_4[[#This Row],[ESTADO (formulado)]]="NO CONTRATADO",0,MAX(PAA_4[[#This Row],[Pago por Contrato]],PAA_4[[#This Row],[Pago por bolsa]]))</f>
        <v>#NAME?</v>
      </c>
      <c r="AE933" s="55" t="str">
        <f t="shared" ca="1" si="322"/>
        <v/>
      </c>
      <c r="AF933" s="47" t="e">
        <f t="shared" ca="1" si="323"/>
        <v>#NAME?</v>
      </c>
      <c r="AG933" s="47">
        <f t="shared" si="324"/>
        <v>41080112</v>
      </c>
      <c r="AH933" s="54">
        <f>IF(Q933="22",IF(ISNUMBER(SEARCH("econ",PAA_4[[#This Row],[Actividad3]])),"Económico",IF(ISNUMBER(SEARCH("alim",PAA_4[[#This Row],[Actividad3]])),"Alimentación",IF(ISNUMBER(SEARCH("educ",PAA_4[[#This Row],[Actividad3]])),"Educativo","Técnico"))),0)</f>
        <v>0</v>
      </c>
      <c r="AI933" s="47" t="e" cm="1">
        <f t="array" aca="1" ref="AI933" ca="1">_xlfn.XLOOKUP(PAA_4[[#This Row],[RCP-RUBRO]],[2]!COMPROMISOS_2024[[#All],[concatenado]],[2]!COMPROMISOS_2024[[#All],[Total pagado]],"",0)</f>
        <v>#NAME?</v>
      </c>
      <c r="AJ933" s="56">
        <f>IF(PAA_4[[#This Row],[BOLSA]]=0,0,SUMIFS([2]!COMPROMISOS_2024[[#All],[Total pagado]],[2]!COMPROMISOS_2024[[#All],[Bolsa]],PAA_4[[#This Row],[BOLSA]],[2]!COMPROMISOS_2024[[#All],[rubro]],PAA_4[[#This Row],[RCP-RUBRO]]))</f>
        <v>0</v>
      </c>
      <c r="AK933" s="47" t="e" cm="1">
        <f t="array" aca="1" ref="AK933" ca="1">_xlfn.XLOOKUP(PAA_4[[#This Row],[RCP-RUBRO]],[2]!COMPROMISOS_2024[[#All],[concatenado]],[2]!COMPROMISOS_2024[[#All],[Total Comprometido]],"",0)</f>
        <v>#NAME?</v>
      </c>
      <c r="AL933" s="47">
        <f>IF(PAA_4[[#This Row],[BOLSA]]=0,0,SUMIFS([2]!COMPROMISOS_2024[[#All],[Total Comprometido]],[2]!COMPROMISOS_2024[[#All],[Bolsa]],PAA_4[[#This Row],[BOLSA]],[2]!COMPROMISOS_2024[[#All],[concatenado]],PAA_4[[#This Row],[RCP-RUBRO]]))</f>
        <v>0</v>
      </c>
    </row>
    <row r="934" spans="1:38" s="19" customFormat="1" ht="31.5" customHeight="1">
      <c r="A934" s="47">
        <v>750</v>
      </c>
      <c r="B934" s="51">
        <v>90141502</v>
      </c>
      <c r="C934" s="47" t="str">
        <f>VLOOKUP(PAA_4[[#This Row],[PROYECTO (formulado)2]],[2]PROYECTOS!$G$1:$L$32,6,0)</f>
        <v>SUBGERENCIA DE ALTOS LOGROS Y DEPORTE ASOCIADO</v>
      </c>
      <c r="D934" s="47" t="str">
        <f>+IF(PAA_4[[#This Row],[UNIDAD DE CONTRATACION (formulado)]]="Subgerencia Administrativa y Financiera","FUNCIONAMIENTO","INVERSIÓN")</f>
        <v>INVERSIÓN</v>
      </c>
      <c r="E934" s="48" t="str">
        <f>VLOOKUP(Q934,[2]PROYECTOS!$G$1:$K$32,5,0)</f>
        <v>DESARROLLO_DEL_POTENCIAL_DEPORTIVO_EN_EL_DEPARTAMENTO_DE_ANTIOQUIA</v>
      </c>
      <c r="F934" s="48">
        <f>VLOOKUP(E934,[2]PROYECTOS!$K$1:$M$32,3,0)</f>
        <v>2020003050022</v>
      </c>
      <c r="G934" s="361" t="s">
        <v>227</v>
      </c>
      <c r="H934" s="49" t="str">
        <f>VLOOKUP(Q934,[2]PROYECTOS!$V$1:$W$32,2,0)</f>
        <v>050065</v>
      </c>
      <c r="I934" s="50">
        <v>0</v>
      </c>
      <c r="J934" s="352" t="s">
        <v>42</v>
      </c>
      <c r="K934" s="47" t="str">
        <f t="shared" ca="1" si="318"/>
        <v>CONTRATADO</v>
      </c>
      <c r="L934" s="351" t="s">
        <v>94</v>
      </c>
      <c r="M934" s="47" t="s">
        <v>255</v>
      </c>
      <c r="N934" s="52" t="s">
        <v>276</v>
      </c>
      <c r="O934" s="51" t="e">
        <f>VLOOKUP(N934,[2]!RUBROS[#All],3,0)</f>
        <v>#REF!</v>
      </c>
      <c r="P934" s="53" t="e">
        <f>VLOOKUP(N934,[2]!RUBROS[#All],2,0)</f>
        <v>#REF!</v>
      </c>
      <c r="Q934" s="47" t="str">
        <f t="shared" si="319"/>
        <v>21</v>
      </c>
      <c r="R934" s="47" t="str">
        <f t="shared" si="320"/>
        <v>4-205128</v>
      </c>
      <c r="S934" s="342">
        <v>200</v>
      </c>
      <c r="T934" s="63" t="s">
        <v>120</v>
      </c>
      <c r="U934" s="326" t="e">
        <f ca="1">_xlfn.XLOOKUP(PAA_4[[#This Row],[ITEM]],[2]Contrato!A:A,[2]Contrato!Q:Q,"",0)</f>
        <v>#NAME?</v>
      </c>
      <c r="V934" s="47" t="s">
        <v>47</v>
      </c>
      <c r="W934" s="343" t="s">
        <v>154</v>
      </c>
      <c r="X934" s="343" t="s">
        <v>154</v>
      </c>
      <c r="Y934" s="55" t="e">
        <f ca="1">_xlfn.XLOOKUP(PAA_4[[#This Row],[ITEM]],[2]Contrato!A:A,[2]Contrato!B:B,"",0)</f>
        <v>#NAME?</v>
      </c>
      <c r="Z934" s="47" t="e">
        <f ca="1">_xlfn.XLOOKUP(PAA_4[[#This Row],[ITEM]],[2]Contrato!A:A,[2]Contrato!G:G,"",0)</f>
        <v>#NAME?</v>
      </c>
      <c r="AA934" s="47" t="e">
        <f ca="1">_xlfn.XLOOKUP(PAA_4[[#This Row],[ITEM]],[2]Contrato!A:A,[2]Contrato!T:T,"",0)</f>
        <v>#NAME?</v>
      </c>
      <c r="AB934" s="55" t="e">
        <f ca="1">+MAX(PAA_4[[#This Row],[Comprometido Contrato]],PAA_4[[#This Row],[Comprometido Bolsa]])</f>
        <v>#NAME?</v>
      </c>
      <c r="AC934" s="55" t="str">
        <f t="shared" ca="1" si="321"/>
        <v/>
      </c>
      <c r="AD934" s="55" t="e">
        <f ca="1">IF(PAA_4[[#This Row],[ESTADO (formulado)]]="NO CONTRATADO",0,MAX(PAA_4[[#This Row],[Pago por Contrato]],PAA_4[[#This Row],[Pago por bolsa]]))</f>
        <v>#NAME?</v>
      </c>
      <c r="AE934" s="55" t="str">
        <f t="shared" ca="1" si="322"/>
        <v/>
      </c>
      <c r="AF934" s="47" t="e">
        <f t="shared" ca="1" si="323"/>
        <v>#NAME?</v>
      </c>
      <c r="AG934" s="47">
        <f t="shared" si="324"/>
        <v>41080112</v>
      </c>
      <c r="AH934" s="54">
        <f>IF(Q934="22",IF(ISNUMBER(SEARCH("econ",PAA_4[[#This Row],[Actividad3]])),"Económico",IF(ISNUMBER(SEARCH("alim",PAA_4[[#This Row],[Actividad3]])),"Alimentación",IF(ISNUMBER(SEARCH("educ",PAA_4[[#This Row],[Actividad3]])),"Educativo","Técnico"))),0)</f>
        <v>0</v>
      </c>
      <c r="AI934" s="47" t="e" cm="1">
        <f t="array" aca="1" ref="AI934" ca="1">_xlfn.XLOOKUP(PAA_4[[#This Row],[RCP-RUBRO]],[2]!COMPROMISOS_2024[[#All],[concatenado]],[2]!COMPROMISOS_2024[[#All],[Total pagado]],"",0)</f>
        <v>#NAME?</v>
      </c>
      <c r="AJ934" s="56">
        <f>IF(PAA_4[[#This Row],[BOLSA]]=0,0,SUMIFS([2]!COMPROMISOS_2024[[#All],[Total pagado]],[2]!COMPROMISOS_2024[[#All],[Bolsa]],PAA_4[[#This Row],[BOLSA]],[2]!COMPROMISOS_2024[[#All],[rubro]],PAA_4[[#This Row],[RCP-RUBRO]]))</f>
        <v>0</v>
      </c>
      <c r="AK934" s="47" t="e" cm="1">
        <f t="array" aca="1" ref="AK934" ca="1">_xlfn.XLOOKUP(PAA_4[[#This Row],[RCP-RUBRO]],[2]!COMPROMISOS_2024[[#All],[concatenado]],[2]!COMPROMISOS_2024[[#All],[Total Comprometido]],"",0)</f>
        <v>#NAME?</v>
      </c>
      <c r="AL934" s="47">
        <f>IF(PAA_4[[#This Row],[BOLSA]]=0,0,SUMIFS([2]!COMPROMISOS_2024[[#All],[Total Comprometido]],[2]!COMPROMISOS_2024[[#All],[Bolsa]],PAA_4[[#This Row],[BOLSA]],[2]!COMPROMISOS_2024[[#All],[concatenado]],PAA_4[[#This Row],[RCP-RUBRO]]))</f>
        <v>0</v>
      </c>
    </row>
    <row r="935" spans="1:38" s="19" customFormat="1" ht="31.5" customHeight="1">
      <c r="A935" s="47" t="s">
        <v>82</v>
      </c>
      <c r="B935" s="51" t="s">
        <v>42</v>
      </c>
      <c r="C935" s="47" t="str">
        <f>VLOOKUP(PAA_4[[#This Row],[PROYECTO (formulado)2]],[2]PROYECTOS!$G$1:$L$32,6,0)</f>
        <v>OFICINA DE MEDICINA DEPORTIVA</v>
      </c>
      <c r="D935" s="47" t="str">
        <f>+IF(PAA_4[[#This Row],[UNIDAD DE CONTRATACION (formulado)]]="Subgerencia Administrativa y Financiera","FUNCIONAMIENTO","INVERSIÓN")</f>
        <v>INVERSIÓN</v>
      </c>
      <c r="E935" s="48" t="str">
        <f>VLOOKUP(Q935,[2]PROYECTOS!$G$1:$K$32,5,0)</f>
        <v>APOYO_CIENTÍFICO_AL_RENDIMIENTO_DEPORTIVO_Y_LA_ACTIVIDAD_FÍSICA_EN_EL_DEPARTAMENTO_DE_ANTIOQUIA</v>
      </c>
      <c r="F935" s="48">
        <f>VLOOKUP(E935,[2]PROYECTOS!$K$1:$M$32,3,0)</f>
        <v>2021003050070</v>
      </c>
      <c r="G935" s="67" t="s">
        <v>207</v>
      </c>
      <c r="H935" s="49" t="str">
        <f>VLOOKUP(Q935,[2]PROYECTOS!$V$1:$W$32,2,0)</f>
        <v>050068</v>
      </c>
      <c r="I935" s="50">
        <v>1882498</v>
      </c>
      <c r="J935" s="340" t="s">
        <v>1791</v>
      </c>
      <c r="K935" s="47" t="str">
        <f t="shared" ca="1" si="318"/>
        <v>CONTRATADO</v>
      </c>
      <c r="L935" s="351" t="s">
        <v>42</v>
      </c>
      <c r="M935" s="65" t="s">
        <v>42</v>
      </c>
      <c r="N935" s="52" t="s">
        <v>277</v>
      </c>
      <c r="O935" s="51" t="e">
        <f>VLOOKUP(N935,[2]!RUBROS[#All],3,0)</f>
        <v>#REF!</v>
      </c>
      <c r="P935" s="53" t="e">
        <f>VLOOKUP(N935,[2]!RUBROS[#All],2,0)</f>
        <v>#REF!</v>
      </c>
      <c r="Q935" s="47" t="str">
        <f t="shared" si="319"/>
        <v>91</v>
      </c>
      <c r="R935" s="47" t="str">
        <f t="shared" si="320"/>
        <v>4-101124</v>
      </c>
      <c r="S935" s="342" t="s">
        <v>42</v>
      </c>
      <c r="T935" s="360" t="s">
        <v>42</v>
      </c>
      <c r="U935" s="326" t="e">
        <f ca="1">_xlfn.XLOOKUP(PAA_4[[#This Row],[ITEM]],[2]Contrato!A:A,[2]Contrato!Q:Q,"",0)</f>
        <v>#NAME?</v>
      </c>
      <c r="V935" s="47" t="s">
        <v>95</v>
      </c>
      <c r="W935" s="343" t="s">
        <v>42</v>
      </c>
      <c r="X935" s="343" t="s">
        <v>42</v>
      </c>
      <c r="Y935" s="55" t="e">
        <f ca="1">_xlfn.XLOOKUP(PAA_4[[#This Row],[ITEM]],[2]Contrato!A:A,[2]Contrato!B:B,"",0)</f>
        <v>#NAME?</v>
      </c>
      <c r="Z935" s="47" t="e">
        <f ca="1">_xlfn.XLOOKUP(PAA_4[[#This Row],[ITEM]],[2]Contrato!A:A,[2]Contrato!G:G,"",0)</f>
        <v>#NAME?</v>
      </c>
      <c r="AA935" s="47" t="e">
        <f ca="1">_xlfn.XLOOKUP(PAA_4[[#This Row],[ITEM]],[2]Contrato!A:A,[2]Contrato!T:T,"",0)</f>
        <v>#NAME?</v>
      </c>
      <c r="AB935" s="55" t="e">
        <f ca="1">+MAX(PAA_4[[#This Row],[Comprometido Contrato]],PAA_4[[#This Row],[Comprometido Bolsa]])</f>
        <v>#NAME?</v>
      </c>
      <c r="AC935" s="55" t="str">
        <f t="shared" ca="1" si="321"/>
        <v/>
      </c>
      <c r="AD935" s="55" t="e">
        <f ca="1">IF(PAA_4[[#This Row],[ESTADO (formulado)]]="NO CONTRATADO",0,MAX(PAA_4[[#This Row],[Pago por Contrato]],PAA_4[[#This Row],[Pago por bolsa]]))</f>
        <v>#NAME?</v>
      </c>
      <c r="AE935" s="55" t="str">
        <f t="shared" ca="1" si="322"/>
        <v/>
      </c>
      <c r="AF935" s="47" t="e">
        <f t="shared" ca="1" si="323"/>
        <v>#NAME?</v>
      </c>
      <c r="AG935" s="47">
        <f t="shared" si="324"/>
        <v>41080103</v>
      </c>
      <c r="AH935" s="54">
        <f>IF(Q935="22",IF(ISNUMBER(SEARCH("econ",PAA_4[[#This Row],[Actividad3]])),"Económico",IF(ISNUMBER(SEARCH("alim",PAA_4[[#This Row],[Actividad3]])),"Alimentación",IF(ISNUMBER(SEARCH("educ",PAA_4[[#This Row],[Actividad3]])),"Educativo","Técnico"))),0)</f>
        <v>0</v>
      </c>
      <c r="AI935" s="47" t="e" cm="1">
        <f t="array" aca="1" ref="AI935" ca="1">_xlfn.XLOOKUP(PAA_4[[#This Row],[RCP-RUBRO]],[2]!COMPROMISOS_2024[[#All],[concatenado]],[2]!COMPROMISOS_2024[[#All],[Total pagado]],"",0)</f>
        <v>#NAME?</v>
      </c>
      <c r="AJ935" s="56">
        <f>IF(PAA_4[[#This Row],[BOLSA]]=0,0,SUMIFS([2]!COMPROMISOS_2024[[#All],[Total pagado]],[2]!COMPROMISOS_2024[[#All],[Bolsa]],PAA_4[[#This Row],[BOLSA]],[2]!COMPROMISOS_2024[[#All],[rubro]],PAA_4[[#This Row],[RCP-RUBRO]]))</f>
        <v>0</v>
      </c>
      <c r="AK935" s="47" t="e" cm="1">
        <f t="array" aca="1" ref="AK935" ca="1">_xlfn.XLOOKUP(PAA_4[[#This Row],[RCP-RUBRO]],[2]!COMPROMISOS_2024[[#All],[concatenado]],[2]!COMPROMISOS_2024[[#All],[Total Comprometido]],"",0)</f>
        <v>#NAME?</v>
      </c>
      <c r="AL935" s="47">
        <f>IF(PAA_4[[#This Row],[BOLSA]]=0,0,SUMIFS([2]!COMPROMISOS_2024[[#All],[Total Comprometido]],[2]!COMPROMISOS_2024[[#All],[Bolsa]],PAA_4[[#This Row],[BOLSA]],[2]!COMPROMISOS_2024[[#All],[concatenado]],PAA_4[[#This Row],[RCP-RUBRO]]))</f>
        <v>0</v>
      </c>
    </row>
    <row r="936" spans="1:38" s="19" customFormat="1" ht="31.5" customHeight="1">
      <c r="A936" s="47" t="s">
        <v>82</v>
      </c>
      <c r="B936" s="51" t="s">
        <v>42</v>
      </c>
      <c r="C936" s="47" t="str">
        <f>VLOOKUP(PAA_4[[#This Row],[PROYECTO (formulado)2]],[2]PROYECTOS!$G$1:$L$32,6,0)</f>
        <v>OFICINA DE MEDICINA DEPORTIVA</v>
      </c>
      <c r="D936" s="47" t="str">
        <f>+IF(PAA_4[[#This Row],[UNIDAD DE CONTRATACION (formulado)]]="Subgerencia Administrativa y Financiera","FUNCIONAMIENTO","INVERSIÓN")</f>
        <v>INVERSIÓN</v>
      </c>
      <c r="E936" s="48" t="str">
        <f>VLOOKUP(Q936,[2]PROYECTOS!$G$1:$K$32,5,0)</f>
        <v>APOYO_CIENTÍFICO_AL_RENDIMIENTO_DEPORTIVO_Y_LA_ACTIVIDAD_FÍSICA_EN_EL_DEPARTAMENTO_DE_ANTIOQUIA</v>
      </c>
      <c r="F936" s="48">
        <f>VLOOKUP(E936,[2]PROYECTOS!$K$1:$M$32,3,0)</f>
        <v>2021003050070</v>
      </c>
      <c r="G936" s="67" t="s">
        <v>207</v>
      </c>
      <c r="H936" s="49" t="str">
        <f>VLOOKUP(Q936,[2]PROYECTOS!$V$1:$W$32,2,0)</f>
        <v>050068</v>
      </c>
      <c r="I936" s="50">
        <v>6194443</v>
      </c>
      <c r="J936" s="340" t="s">
        <v>1791</v>
      </c>
      <c r="K936" s="47" t="str">
        <f t="shared" ca="1" si="318"/>
        <v>CONTRATADO</v>
      </c>
      <c r="L936" s="351" t="s">
        <v>42</v>
      </c>
      <c r="M936" s="65" t="s">
        <v>42</v>
      </c>
      <c r="N936" s="52" t="s">
        <v>277</v>
      </c>
      <c r="O936" s="51" t="e">
        <f>VLOOKUP(N936,[2]!RUBROS[#All],3,0)</f>
        <v>#REF!</v>
      </c>
      <c r="P936" s="53" t="e">
        <f>VLOOKUP(N936,[2]!RUBROS[#All],2,0)</f>
        <v>#REF!</v>
      </c>
      <c r="Q936" s="47" t="str">
        <f t="shared" si="319"/>
        <v>91</v>
      </c>
      <c r="R936" s="47" t="str">
        <f t="shared" si="320"/>
        <v>4-101124</v>
      </c>
      <c r="S936" s="342" t="s">
        <v>42</v>
      </c>
      <c r="T936" s="360" t="s">
        <v>42</v>
      </c>
      <c r="U936" s="326" t="e">
        <f ca="1">_xlfn.XLOOKUP(PAA_4[[#This Row],[ITEM]],[2]Contrato!A:A,[2]Contrato!Q:Q,"",0)</f>
        <v>#NAME?</v>
      </c>
      <c r="V936" s="47" t="s">
        <v>95</v>
      </c>
      <c r="W936" s="343" t="s">
        <v>42</v>
      </c>
      <c r="X936" s="343" t="s">
        <v>42</v>
      </c>
      <c r="Y936" s="55" t="e">
        <f ca="1">_xlfn.XLOOKUP(PAA_4[[#This Row],[ITEM]],[2]Contrato!A:A,[2]Contrato!B:B,"",0)</f>
        <v>#NAME?</v>
      </c>
      <c r="Z936" s="47" t="e">
        <f ca="1">_xlfn.XLOOKUP(PAA_4[[#This Row],[ITEM]],[2]Contrato!A:A,[2]Contrato!G:G,"",0)</f>
        <v>#NAME?</v>
      </c>
      <c r="AA936" s="47" t="e">
        <f ca="1">_xlfn.XLOOKUP(PAA_4[[#This Row],[ITEM]],[2]Contrato!A:A,[2]Contrato!T:T,"",0)</f>
        <v>#NAME?</v>
      </c>
      <c r="AB936" s="55" t="e">
        <f ca="1">+MAX(PAA_4[[#This Row],[Comprometido Contrato]],PAA_4[[#This Row],[Comprometido Bolsa]])</f>
        <v>#NAME?</v>
      </c>
      <c r="AC936" s="55" t="str">
        <f t="shared" ca="1" si="321"/>
        <v/>
      </c>
      <c r="AD936" s="55" t="e">
        <f ca="1">IF(PAA_4[[#This Row],[ESTADO (formulado)]]="NO CONTRATADO",0,MAX(PAA_4[[#This Row],[Pago por Contrato]],PAA_4[[#This Row],[Pago por bolsa]]))</f>
        <v>#NAME?</v>
      </c>
      <c r="AE936" s="55" t="str">
        <f t="shared" ca="1" si="322"/>
        <v/>
      </c>
      <c r="AF936" s="47" t="e">
        <f t="shared" ca="1" si="323"/>
        <v>#NAME?</v>
      </c>
      <c r="AG936" s="47">
        <f t="shared" si="324"/>
        <v>41080103</v>
      </c>
      <c r="AH936" s="54">
        <f>IF(Q936="22",IF(ISNUMBER(SEARCH("econ",PAA_4[[#This Row],[Actividad3]])),"Económico",IF(ISNUMBER(SEARCH("alim",PAA_4[[#This Row],[Actividad3]])),"Alimentación",IF(ISNUMBER(SEARCH("educ",PAA_4[[#This Row],[Actividad3]])),"Educativo","Técnico"))),0)</f>
        <v>0</v>
      </c>
      <c r="AI936" s="47" t="e" cm="1">
        <f t="array" aca="1" ref="AI936" ca="1">_xlfn.XLOOKUP(PAA_4[[#This Row],[RCP-RUBRO]],[2]!COMPROMISOS_2024[[#All],[concatenado]],[2]!COMPROMISOS_2024[[#All],[Total pagado]],"",0)</f>
        <v>#NAME?</v>
      </c>
      <c r="AJ936" s="56">
        <f>IF(PAA_4[[#This Row],[BOLSA]]=0,0,SUMIFS([2]!COMPROMISOS_2024[[#All],[Total pagado]],[2]!COMPROMISOS_2024[[#All],[Bolsa]],PAA_4[[#This Row],[BOLSA]],[2]!COMPROMISOS_2024[[#All],[rubro]],PAA_4[[#This Row],[RCP-RUBRO]]))</f>
        <v>0</v>
      </c>
      <c r="AK936" s="47" t="e" cm="1">
        <f t="array" aca="1" ref="AK936" ca="1">_xlfn.XLOOKUP(PAA_4[[#This Row],[RCP-RUBRO]],[2]!COMPROMISOS_2024[[#All],[concatenado]],[2]!COMPROMISOS_2024[[#All],[Total Comprometido]],"",0)</f>
        <v>#NAME?</v>
      </c>
      <c r="AL936" s="47">
        <f>IF(PAA_4[[#This Row],[BOLSA]]=0,0,SUMIFS([2]!COMPROMISOS_2024[[#All],[Total Comprometido]],[2]!COMPROMISOS_2024[[#All],[Bolsa]],PAA_4[[#This Row],[BOLSA]],[2]!COMPROMISOS_2024[[#All],[concatenado]],PAA_4[[#This Row],[RCP-RUBRO]]))</f>
        <v>0</v>
      </c>
    </row>
    <row r="937" spans="1:38" s="19" customFormat="1" ht="31.5" customHeight="1">
      <c r="A937" s="47" t="s">
        <v>82</v>
      </c>
      <c r="B937" s="51" t="s">
        <v>42</v>
      </c>
      <c r="C937" s="47" t="str">
        <f>VLOOKUP(PAA_4[[#This Row],[PROYECTO (formulado)2]],[2]PROYECTOS!$G$1:$L$32,6,0)</f>
        <v>OFICINA DE MEDICINA DEPORTIVA</v>
      </c>
      <c r="D937" s="47" t="str">
        <f>+IF(PAA_4[[#This Row],[UNIDAD DE CONTRATACION (formulado)]]="Subgerencia Administrativa y Financiera","FUNCIONAMIENTO","INVERSIÓN")</f>
        <v>INVERSIÓN</v>
      </c>
      <c r="E937" s="48" t="str">
        <f>VLOOKUP(Q937,[2]PROYECTOS!$G$1:$K$32,5,0)</f>
        <v>APOYO_CIENTÍFICO_AL_RENDIMIENTO_DEPORTIVO_Y_LA_ACTIVIDAD_FÍSICA_EN_EL_DEPARTAMENTO_DE_ANTIOQUIA</v>
      </c>
      <c r="F937" s="48">
        <f>VLOOKUP(E937,[2]PROYECTOS!$K$1:$M$32,3,0)</f>
        <v>2021003050070</v>
      </c>
      <c r="G937" s="67" t="s">
        <v>207</v>
      </c>
      <c r="H937" s="49" t="str">
        <f>VLOOKUP(Q937,[2]PROYECTOS!$V$1:$W$32,2,0)</f>
        <v>050068</v>
      </c>
      <c r="I937" s="50">
        <v>1570389</v>
      </c>
      <c r="J937" s="340" t="s">
        <v>1791</v>
      </c>
      <c r="K937" s="47" t="str">
        <f t="shared" ca="1" si="318"/>
        <v>CONTRATADO</v>
      </c>
      <c r="L937" s="351" t="s">
        <v>42</v>
      </c>
      <c r="M937" s="65" t="s">
        <v>42</v>
      </c>
      <c r="N937" s="52" t="s">
        <v>277</v>
      </c>
      <c r="O937" s="51" t="e">
        <f>VLOOKUP(N937,[2]!RUBROS[#All],3,0)</f>
        <v>#REF!</v>
      </c>
      <c r="P937" s="53" t="e">
        <f>VLOOKUP(N937,[2]!RUBROS[#All],2,0)</f>
        <v>#REF!</v>
      </c>
      <c r="Q937" s="47" t="str">
        <f t="shared" si="319"/>
        <v>91</v>
      </c>
      <c r="R937" s="47" t="str">
        <f t="shared" si="320"/>
        <v>4-101124</v>
      </c>
      <c r="S937" s="342" t="s">
        <v>42</v>
      </c>
      <c r="T937" s="360" t="s">
        <v>42</v>
      </c>
      <c r="U937" s="326" t="e">
        <f ca="1">_xlfn.XLOOKUP(PAA_4[[#This Row],[ITEM]],[2]Contrato!A:A,[2]Contrato!Q:Q,"",0)</f>
        <v>#NAME?</v>
      </c>
      <c r="V937" s="47" t="s">
        <v>95</v>
      </c>
      <c r="W937" s="343" t="s">
        <v>42</v>
      </c>
      <c r="X937" s="343" t="s">
        <v>42</v>
      </c>
      <c r="Y937" s="55" t="e">
        <f ca="1">_xlfn.XLOOKUP(PAA_4[[#This Row],[ITEM]],[2]Contrato!A:A,[2]Contrato!B:B,"",0)</f>
        <v>#NAME?</v>
      </c>
      <c r="Z937" s="47" t="e">
        <f ca="1">_xlfn.XLOOKUP(PAA_4[[#This Row],[ITEM]],[2]Contrato!A:A,[2]Contrato!G:G,"",0)</f>
        <v>#NAME?</v>
      </c>
      <c r="AA937" s="47" t="e">
        <f ca="1">_xlfn.XLOOKUP(PAA_4[[#This Row],[ITEM]],[2]Contrato!A:A,[2]Contrato!T:T,"",0)</f>
        <v>#NAME?</v>
      </c>
      <c r="AB937" s="55" t="e">
        <f ca="1">+MAX(PAA_4[[#This Row],[Comprometido Contrato]],PAA_4[[#This Row],[Comprometido Bolsa]])</f>
        <v>#NAME?</v>
      </c>
      <c r="AC937" s="55" t="str">
        <f t="shared" ca="1" si="321"/>
        <v/>
      </c>
      <c r="AD937" s="55" t="e">
        <f ca="1">IF(PAA_4[[#This Row],[ESTADO (formulado)]]="NO CONTRATADO",0,MAX(PAA_4[[#This Row],[Pago por Contrato]],PAA_4[[#This Row],[Pago por bolsa]]))</f>
        <v>#NAME?</v>
      </c>
      <c r="AE937" s="55" t="str">
        <f t="shared" ca="1" si="322"/>
        <v/>
      </c>
      <c r="AF937" s="47" t="e">
        <f t="shared" ca="1" si="323"/>
        <v>#NAME?</v>
      </c>
      <c r="AG937" s="47">
        <f t="shared" si="324"/>
        <v>41080103</v>
      </c>
      <c r="AH937" s="54">
        <f>IF(Q937="22",IF(ISNUMBER(SEARCH("econ",PAA_4[[#This Row],[Actividad3]])),"Económico",IF(ISNUMBER(SEARCH("alim",PAA_4[[#This Row],[Actividad3]])),"Alimentación",IF(ISNUMBER(SEARCH("educ",PAA_4[[#This Row],[Actividad3]])),"Educativo","Técnico"))),0)</f>
        <v>0</v>
      </c>
      <c r="AI937" s="47" t="e" cm="1">
        <f t="array" aca="1" ref="AI937" ca="1">_xlfn.XLOOKUP(PAA_4[[#This Row],[RCP-RUBRO]],[2]!COMPROMISOS_2024[[#All],[concatenado]],[2]!COMPROMISOS_2024[[#All],[Total pagado]],"",0)</f>
        <v>#NAME?</v>
      </c>
      <c r="AJ937" s="56">
        <f>IF(PAA_4[[#This Row],[BOLSA]]=0,0,SUMIFS([2]!COMPROMISOS_2024[[#All],[Total pagado]],[2]!COMPROMISOS_2024[[#All],[Bolsa]],PAA_4[[#This Row],[BOLSA]],[2]!COMPROMISOS_2024[[#All],[rubro]],PAA_4[[#This Row],[RCP-RUBRO]]))</f>
        <v>0</v>
      </c>
      <c r="AK937" s="47" t="e" cm="1">
        <f t="array" aca="1" ref="AK937" ca="1">_xlfn.XLOOKUP(PAA_4[[#This Row],[RCP-RUBRO]],[2]!COMPROMISOS_2024[[#All],[concatenado]],[2]!COMPROMISOS_2024[[#All],[Total Comprometido]],"",0)</f>
        <v>#NAME?</v>
      </c>
      <c r="AL937" s="47">
        <f>IF(PAA_4[[#This Row],[BOLSA]]=0,0,SUMIFS([2]!COMPROMISOS_2024[[#All],[Total Comprometido]],[2]!COMPROMISOS_2024[[#All],[Bolsa]],PAA_4[[#This Row],[BOLSA]],[2]!COMPROMISOS_2024[[#All],[concatenado]],PAA_4[[#This Row],[RCP-RUBRO]]))</f>
        <v>0</v>
      </c>
    </row>
    <row r="938" spans="1:38" s="19" customFormat="1" ht="31.5" customHeight="1">
      <c r="A938" s="47" t="s">
        <v>82</v>
      </c>
      <c r="B938" s="51" t="s">
        <v>42</v>
      </c>
      <c r="C938" s="47" t="str">
        <f>VLOOKUP(PAA_4[[#This Row],[PROYECTO (formulado)2]],[2]PROYECTOS!$G$1:$L$32,6,0)</f>
        <v>OFICINA DE MEDICINA DEPORTIVA</v>
      </c>
      <c r="D938" s="47" t="str">
        <f>+IF(PAA_4[[#This Row],[UNIDAD DE CONTRATACION (formulado)]]="Subgerencia Administrativa y Financiera","FUNCIONAMIENTO","INVERSIÓN")</f>
        <v>INVERSIÓN</v>
      </c>
      <c r="E938" s="48" t="str">
        <f>VLOOKUP(Q938,[2]PROYECTOS!$G$1:$K$32,5,0)</f>
        <v>APOYO_CIENTÍFICO_AL_RENDIMIENTO_DEPORTIVO_Y_LA_ACTIVIDAD_FÍSICA_EN_EL_DEPARTAMENTO_DE_ANTIOQUIA</v>
      </c>
      <c r="F938" s="48">
        <f>VLOOKUP(E938,[2]PROYECTOS!$K$1:$M$32,3,0)</f>
        <v>2021003050070</v>
      </c>
      <c r="G938" s="67" t="s">
        <v>207</v>
      </c>
      <c r="H938" s="49" t="str">
        <f>VLOOKUP(Q938,[2]PROYECTOS!$V$1:$W$32,2,0)</f>
        <v>050068</v>
      </c>
      <c r="I938" s="50">
        <v>4346471</v>
      </c>
      <c r="J938" s="340" t="s">
        <v>1791</v>
      </c>
      <c r="K938" s="47" t="str">
        <f t="shared" ca="1" si="318"/>
        <v>CONTRATADO</v>
      </c>
      <c r="L938" s="351" t="s">
        <v>42</v>
      </c>
      <c r="M938" s="65" t="s">
        <v>42</v>
      </c>
      <c r="N938" s="52" t="s">
        <v>277</v>
      </c>
      <c r="O938" s="51" t="e">
        <f>VLOOKUP(N938,[2]!RUBROS[#All],3,0)</f>
        <v>#REF!</v>
      </c>
      <c r="P938" s="53" t="e">
        <f>VLOOKUP(N938,[2]!RUBROS[#All],2,0)</f>
        <v>#REF!</v>
      </c>
      <c r="Q938" s="47" t="str">
        <f t="shared" si="319"/>
        <v>91</v>
      </c>
      <c r="R938" s="47" t="str">
        <f t="shared" si="320"/>
        <v>4-101124</v>
      </c>
      <c r="S938" s="342" t="s">
        <v>42</v>
      </c>
      <c r="T938" s="360" t="s">
        <v>42</v>
      </c>
      <c r="U938" s="326" t="e">
        <f ca="1">_xlfn.XLOOKUP(PAA_4[[#This Row],[ITEM]],[2]Contrato!A:A,[2]Contrato!Q:Q,"",0)</f>
        <v>#NAME?</v>
      </c>
      <c r="V938" s="47" t="s">
        <v>95</v>
      </c>
      <c r="W938" s="343" t="s">
        <v>42</v>
      </c>
      <c r="X938" s="343" t="s">
        <v>42</v>
      </c>
      <c r="Y938" s="55" t="e">
        <f ca="1">_xlfn.XLOOKUP(PAA_4[[#This Row],[ITEM]],[2]Contrato!A:A,[2]Contrato!B:B,"",0)</f>
        <v>#NAME?</v>
      </c>
      <c r="Z938" s="47" t="e">
        <f ca="1">_xlfn.XLOOKUP(PAA_4[[#This Row],[ITEM]],[2]Contrato!A:A,[2]Contrato!G:G,"",0)</f>
        <v>#NAME?</v>
      </c>
      <c r="AA938" s="47" t="e">
        <f ca="1">_xlfn.XLOOKUP(PAA_4[[#This Row],[ITEM]],[2]Contrato!A:A,[2]Contrato!T:T,"",0)</f>
        <v>#NAME?</v>
      </c>
      <c r="AB938" s="55" t="e">
        <f ca="1">+MAX(PAA_4[[#This Row],[Comprometido Contrato]],PAA_4[[#This Row],[Comprometido Bolsa]])</f>
        <v>#NAME?</v>
      </c>
      <c r="AC938" s="55" t="str">
        <f t="shared" ca="1" si="321"/>
        <v/>
      </c>
      <c r="AD938" s="55" t="e">
        <f ca="1">IF(PAA_4[[#This Row],[ESTADO (formulado)]]="NO CONTRATADO",0,MAX(PAA_4[[#This Row],[Pago por Contrato]],PAA_4[[#This Row],[Pago por bolsa]]))</f>
        <v>#NAME?</v>
      </c>
      <c r="AE938" s="55" t="str">
        <f t="shared" ca="1" si="322"/>
        <v/>
      </c>
      <c r="AF938" s="47" t="e">
        <f t="shared" ca="1" si="323"/>
        <v>#NAME?</v>
      </c>
      <c r="AG938" s="47">
        <f t="shared" si="324"/>
        <v>41080103</v>
      </c>
      <c r="AH938" s="54">
        <f>IF(Q938="22",IF(ISNUMBER(SEARCH("econ",PAA_4[[#This Row],[Actividad3]])),"Económico",IF(ISNUMBER(SEARCH("alim",PAA_4[[#This Row],[Actividad3]])),"Alimentación",IF(ISNUMBER(SEARCH("educ",PAA_4[[#This Row],[Actividad3]])),"Educativo","Técnico"))),0)</f>
        <v>0</v>
      </c>
      <c r="AI938" s="47" t="e" cm="1">
        <f t="array" aca="1" ref="AI938" ca="1">_xlfn.XLOOKUP(PAA_4[[#This Row],[RCP-RUBRO]],[2]!COMPROMISOS_2024[[#All],[concatenado]],[2]!COMPROMISOS_2024[[#All],[Total pagado]],"",0)</f>
        <v>#NAME?</v>
      </c>
      <c r="AJ938" s="56">
        <f>IF(PAA_4[[#This Row],[BOLSA]]=0,0,SUMIFS([2]!COMPROMISOS_2024[[#All],[Total pagado]],[2]!COMPROMISOS_2024[[#All],[Bolsa]],PAA_4[[#This Row],[BOLSA]],[2]!COMPROMISOS_2024[[#All],[rubro]],PAA_4[[#This Row],[RCP-RUBRO]]))</f>
        <v>0</v>
      </c>
      <c r="AK938" s="47" t="e" cm="1">
        <f t="array" aca="1" ref="AK938" ca="1">_xlfn.XLOOKUP(PAA_4[[#This Row],[RCP-RUBRO]],[2]!COMPROMISOS_2024[[#All],[concatenado]],[2]!COMPROMISOS_2024[[#All],[Total Comprometido]],"",0)</f>
        <v>#NAME?</v>
      </c>
      <c r="AL938" s="47">
        <f>IF(PAA_4[[#This Row],[BOLSA]]=0,0,SUMIFS([2]!COMPROMISOS_2024[[#All],[Total Comprometido]],[2]!COMPROMISOS_2024[[#All],[Bolsa]],PAA_4[[#This Row],[BOLSA]],[2]!COMPROMISOS_2024[[#All],[concatenado]],PAA_4[[#This Row],[RCP-RUBRO]]))</f>
        <v>0</v>
      </c>
    </row>
    <row r="939" spans="1:38" s="19" customFormat="1" ht="31.5" customHeight="1">
      <c r="A939" s="47" t="s">
        <v>82</v>
      </c>
      <c r="B939" s="51" t="s">
        <v>42</v>
      </c>
      <c r="C939" s="47" t="str">
        <f>VLOOKUP(PAA_4[[#This Row],[PROYECTO (formulado)2]],[2]PROYECTOS!$G$1:$L$32,6,0)</f>
        <v>OFICINA DE MEDICINA DEPORTIVA</v>
      </c>
      <c r="D939" s="47" t="str">
        <f>+IF(PAA_4[[#This Row],[UNIDAD DE CONTRATACION (formulado)]]="Subgerencia Administrativa y Financiera","FUNCIONAMIENTO","INVERSIÓN")</f>
        <v>INVERSIÓN</v>
      </c>
      <c r="E939" s="48" t="str">
        <f>VLOOKUP(Q939,[2]PROYECTOS!$G$1:$K$32,5,0)</f>
        <v>APOYO_CIENTÍFICO_AL_RENDIMIENTO_DEPORTIVO_Y_LA_ACTIVIDAD_FÍSICA_EN_EL_DEPARTAMENTO_DE_ANTIOQUIA</v>
      </c>
      <c r="F939" s="48">
        <f>VLOOKUP(E939,[2]PROYECTOS!$K$1:$M$32,3,0)</f>
        <v>2021003050070</v>
      </c>
      <c r="G939" s="67" t="s">
        <v>212</v>
      </c>
      <c r="H939" s="49" t="str">
        <f>VLOOKUP(Q939,[2]PROYECTOS!$V$1:$W$32,2,0)</f>
        <v>050068</v>
      </c>
      <c r="I939" s="50">
        <v>4629303</v>
      </c>
      <c r="J939" s="340" t="s">
        <v>1791</v>
      </c>
      <c r="K939" s="47" t="str">
        <f t="shared" ca="1" si="318"/>
        <v>CONTRATADO</v>
      </c>
      <c r="L939" s="351" t="s">
        <v>42</v>
      </c>
      <c r="M939" s="65" t="s">
        <v>42</v>
      </c>
      <c r="N939" s="52" t="s">
        <v>277</v>
      </c>
      <c r="O939" s="51" t="e">
        <f>VLOOKUP(N939,[2]!RUBROS[#All],3,0)</f>
        <v>#REF!</v>
      </c>
      <c r="P939" s="53" t="e">
        <f>VLOOKUP(N939,[2]!RUBROS[#All],2,0)</f>
        <v>#REF!</v>
      </c>
      <c r="Q939" s="47" t="str">
        <f t="shared" si="319"/>
        <v>91</v>
      </c>
      <c r="R939" s="47" t="str">
        <f t="shared" si="320"/>
        <v>4-101124</v>
      </c>
      <c r="S939" s="342" t="s">
        <v>42</v>
      </c>
      <c r="T939" s="360" t="s">
        <v>42</v>
      </c>
      <c r="U939" s="326" t="e">
        <f ca="1">_xlfn.XLOOKUP(PAA_4[[#This Row],[ITEM]],[2]Contrato!A:A,[2]Contrato!Q:Q,"",0)</f>
        <v>#NAME?</v>
      </c>
      <c r="V939" s="47" t="s">
        <v>95</v>
      </c>
      <c r="W939" s="343" t="s">
        <v>42</v>
      </c>
      <c r="X939" s="343" t="s">
        <v>42</v>
      </c>
      <c r="Y939" s="55" t="e">
        <f ca="1">_xlfn.XLOOKUP(PAA_4[[#This Row],[ITEM]],[2]Contrato!A:A,[2]Contrato!B:B,"",0)</f>
        <v>#NAME?</v>
      </c>
      <c r="Z939" s="47" t="e">
        <f ca="1">_xlfn.XLOOKUP(PAA_4[[#This Row],[ITEM]],[2]Contrato!A:A,[2]Contrato!G:G,"",0)</f>
        <v>#NAME?</v>
      </c>
      <c r="AA939" s="47" t="e">
        <f ca="1">_xlfn.XLOOKUP(PAA_4[[#This Row],[ITEM]],[2]Contrato!A:A,[2]Contrato!T:T,"",0)</f>
        <v>#NAME?</v>
      </c>
      <c r="AB939" s="55" t="e">
        <f ca="1">+MAX(PAA_4[[#This Row],[Comprometido Contrato]],PAA_4[[#This Row],[Comprometido Bolsa]])</f>
        <v>#NAME?</v>
      </c>
      <c r="AC939" s="55" t="str">
        <f t="shared" ca="1" si="321"/>
        <v/>
      </c>
      <c r="AD939" s="55" t="e">
        <f ca="1">IF(PAA_4[[#This Row],[ESTADO (formulado)]]="NO CONTRATADO",0,MAX(PAA_4[[#This Row],[Pago por Contrato]],PAA_4[[#This Row],[Pago por bolsa]]))</f>
        <v>#NAME?</v>
      </c>
      <c r="AE939" s="55" t="str">
        <f t="shared" ca="1" si="322"/>
        <v/>
      </c>
      <c r="AF939" s="47" t="e">
        <f t="shared" ca="1" si="323"/>
        <v>#NAME?</v>
      </c>
      <c r="AG939" s="47">
        <f t="shared" si="324"/>
        <v>41080108</v>
      </c>
      <c r="AH939" s="54">
        <f>IF(Q939="22",IF(ISNUMBER(SEARCH("econ",PAA_4[[#This Row],[Actividad3]])),"Económico",IF(ISNUMBER(SEARCH("alim",PAA_4[[#This Row],[Actividad3]])),"Alimentación",IF(ISNUMBER(SEARCH("educ",PAA_4[[#This Row],[Actividad3]])),"Educativo","Técnico"))),0)</f>
        <v>0</v>
      </c>
      <c r="AI939" s="47" t="e" cm="1">
        <f t="array" aca="1" ref="AI939" ca="1">_xlfn.XLOOKUP(PAA_4[[#This Row],[RCP-RUBRO]],[2]!COMPROMISOS_2024[[#All],[concatenado]],[2]!COMPROMISOS_2024[[#All],[Total pagado]],"",0)</f>
        <v>#NAME?</v>
      </c>
      <c r="AJ939" s="56">
        <f>IF(PAA_4[[#This Row],[BOLSA]]=0,0,SUMIFS([2]!COMPROMISOS_2024[[#All],[Total pagado]],[2]!COMPROMISOS_2024[[#All],[Bolsa]],PAA_4[[#This Row],[BOLSA]],[2]!COMPROMISOS_2024[[#All],[rubro]],PAA_4[[#This Row],[RCP-RUBRO]]))</f>
        <v>0</v>
      </c>
      <c r="AK939" s="47" t="e" cm="1">
        <f t="array" aca="1" ref="AK939" ca="1">_xlfn.XLOOKUP(PAA_4[[#This Row],[RCP-RUBRO]],[2]!COMPROMISOS_2024[[#All],[concatenado]],[2]!COMPROMISOS_2024[[#All],[Total Comprometido]],"",0)</f>
        <v>#NAME?</v>
      </c>
      <c r="AL939" s="47">
        <f>IF(PAA_4[[#This Row],[BOLSA]]=0,0,SUMIFS([2]!COMPROMISOS_2024[[#All],[Total Comprometido]],[2]!COMPROMISOS_2024[[#All],[Bolsa]],PAA_4[[#This Row],[BOLSA]],[2]!COMPROMISOS_2024[[#All],[concatenado]],PAA_4[[#This Row],[RCP-RUBRO]]))</f>
        <v>0</v>
      </c>
    </row>
    <row r="940" spans="1:38" s="19" customFormat="1" ht="31.5" customHeight="1">
      <c r="A940" s="47" t="s">
        <v>82</v>
      </c>
      <c r="B940" s="51" t="s">
        <v>42</v>
      </c>
      <c r="C940" s="47" t="str">
        <f>VLOOKUP(PAA_4[[#This Row],[PROYECTO (formulado)2]],[2]PROYECTOS!$G$1:$L$32,6,0)</f>
        <v>OFICINA DE MEDICINA DEPORTIVA</v>
      </c>
      <c r="D940" s="47" t="str">
        <f>+IF(PAA_4[[#This Row],[UNIDAD DE CONTRATACION (formulado)]]="Subgerencia Administrativa y Financiera","FUNCIONAMIENTO","INVERSIÓN")</f>
        <v>INVERSIÓN</v>
      </c>
      <c r="E940" s="48" t="str">
        <f>VLOOKUP(Q940,[2]PROYECTOS!$G$1:$K$32,5,0)</f>
        <v>APOYO_CIENTÍFICO_AL_RENDIMIENTO_DEPORTIVO_Y_LA_ACTIVIDAD_FÍSICA_EN_EL_DEPARTAMENTO_DE_ANTIOQUIA</v>
      </c>
      <c r="F940" s="48">
        <f>VLOOKUP(E940,[2]PROYECTOS!$K$1:$M$32,3,0)</f>
        <v>2021003050070</v>
      </c>
      <c r="G940" s="67" t="s">
        <v>212</v>
      </c>
      <c r="H940" s="49" t="str">
        <f>VLOOKUP(Q940,[2]PROYECTOS!$V$1:$W$32,2,0)</f>
        <v>050068</v>
      </c>
      <c r="I940" s="50">
        <v>1723117</v>
      </c>
      <c r="J940" s="340" t="s">
        <v>1791</v>
      </c>
      <c r="K940" s="47" t="str">
        <f t="shared" ca="1" si="318"/>
        <v>CONTRATADO</v>
      </c>
      <c r="L940" s="351" t="s">
        <v>42</v>
      </c>
      <c r="M940" s="65" t="s">
        <v>42</v>
      </c>
      <c r="N940" s="52" t="s">
        <v>277</v>
      </c>
      <c r="O940" s="51" t="e">
        <f>VLOOKUP(N940,[2]!RUBROS[#All],3,0)</f>
        <v>#REF!</v>
      </c>
      <c r="P940" s="53" t="e">
        <f>VLOOKUP(N940,[2]!RUBROS[#All],2,0)</f>
        <v>#REF!</v>
      </c>
      <c r="Q940" s="47" t="str">
        <f t="shared" si="319"/>
        <v>91</v>
      </c>
      <c r="R940" s="47" t="str">
        <f t="shared" si="320"/>
        <v>4-101124</v>
      </c>
      <c r="S940" s="342" t="s">
        <v>42</v>
      </c>
      <c r="T940" s="360" t="s">
        <v>42</v>
      </c>
      <c r="U940" s="326" t="e">
        <f ca="1">_xlfn.XLOOKUP(PAA_4[[#This Row],[ITEM]],[2]Contrato!A:A,[2]Contrato!Q:Q,"",0)</f>
        <v>#NAME?</v>
      </c>
      <c r="V940" s="47" t="s">
        <v>95</v>
      </c>
      <c r="W940" s="343" t="s">
        <v>42</v>
      </c>
      <c r="X940" s="343" t="s">
        <v>42</v>
      </c>
      <c r="Y940" s="55" t="e">
        <f ca="1">_xlfn.XLOOKUP(PAA_4[[#This Row],[ITEM]],[2]Contrato!A:A,[2]Contrato!B:B,"",0)</f>
        <v>#NAME?</v>
      </c>
      <c r="Z940" s="47" t="e">
        <f ca="1">_xlfn.XLOOKUP(PAA_4[[#This Row],[ITEM]],[2]Contrato!A:A,[2]Contrato!G:G,"",0)</f>
        <v>#NAME?</v>
      </c>
      <c r="AA940" s="47" t="e">
        <f ca="1">_xlfn.XLOOKUP(PAA_4[[#This Row],[ITEM]],[2]Contrato!A:A,[2]Contrato!T:T,"",0)</f>
        <v>#NAME?</v>
      </c>
      <c r="AB940" s="55" t="e">
        <f ca="1">+MAX(PAA_4[[#This Row],[Comprometido Contrato]],PAA_4[[#This Row],[Comprometido Bolsa]])</f>
        <v>#NAME?</v>
      </c>
      <c r="AC940" s="55" t="str">
        <f t="shared" ca="1" si="321"/>
        <v/>
      </c>
      <c r="AD940" s="55" t="e">
        <f ca="1">IF(PAA_4[[#This Row],[ESTADO (formulado)]]="NO CONTRATADO",0,MAX(PAA_4[[#This Row],[Pago por Contrato]],PAA_4[[#This Row],[Pago por bolsa]]))</f>
        <v>#NAME?</v>
      </c>
      <c r="AE940" s="55" t="str">
        <f t="shared" ca="1" si="322"/>
        <v/>
      </c>
      <c r="AF940" s="47" t="e">
        <f t="shared" ca="1" si="323"/>
        <v>#NAME?</v>
      </c>
      <c r="AG940" s="47">
        <f t="shared" si="324"/>
        <v>41080108</v>
      </c>
      <c r="AH940" s="54">
        <f>IF(Q940="22",IF(ISNUMBER(SEARCH("econ",PAA_4[[#This Row],[Actividad3]])),"Económico",IF(ISNUMBER(SEARCH("alim",PAA_4[[#This Row],[Actividad3]])),"Alimentación",IF(ISNUMBER(SEARCH("educ",PAA_4[[#This Row],[Actividad3]])),"Educativo","Técnico"))),0)</f>
        <v>0</v>
      </c>
      <c r="AI940" s="47" t="e" cm="1">
        <f t="array" aca="1" ref="AI940" ca="1">_xlfn.XLOOKUP(PAA_4[[#This Row],[RCP-RUBRO]],[2]!COMPROMISOS_2024[[#All],[concatenado]],[2]!COMPROMISOS_2024[[#All],[Total pagado]],"",0)</f>
        <v>#NAME?</v>
      </c>
      <c r="AJ940" s="56">
        <f>IF(PAA_4[[#This Row],[BOLSA]]=0,0,SUMIFS([2]!COMPROMISOS_2024[[#All],[Total pagado]],[2]!COMPROMISOS_2024[[#All],[Bolsa]],PAA_4[[#This Row],[BOLSA]],[2]!COMPROMISOS_2024[[#All],[rubro]],PAA_4[[#This Row],[RCP-RUBRO]]))</f>
        <v>0</v>
      </c>
      <c r="AK940" s="47" t="e" cm="1">
        <f t="array" aca="1" ref="AK940" ca="1">_xlfn.XLOOKUP(PAA_4[[#This Row],[RCP-RUBRO]],[2]!COMPROMISOS_2024[[#All],[concatenado]],[2]!COMPROMISOS_2024[[#All],[Total Comprometido]],"",0)</f>
        <v>#NAME?</v>
      </c>
      <c r="AL940" s="47">
        <f>IF(PAA_4[[#This Row],[BOLSA]]=0,0,SUMIFS([2]!COMPROMISOS_2024[[#All],[Total Comprometido]],[2]!COMPROMISOS_2024[[#All],[Bolsa]],PAA_4[[#This Row],[BOLSA]],[2]!COMPROMISOS_2024[[#All],[concatenado]],PAA_4[[#This Row],[RCP-RUBRO]]))</f>
        <v>0</v>
      </c>
    </row>
    <row r="941" spans="1:38" s="19" customFormat="1" ht="31.5" customHeight="1">
      <c r="A941" s="47" t="s">
        <v>82</v>
      </c>
      <c r="B941" s="51" t="s">
        <v>42</v>
      </c>
      <c r="C941" s="47" t="str">
        <f>VLOOKUP(PAA_4[[#This Row],[PROYECTO (formulado)2]],[2]PROYECTOS!$G$1:$L$32,6,0)</f>
        <v>OFICINA DE MEDICINA DEPORTIVA</v>
      </c>
      <c r="D941" s="47" t="str">
        <f>+IF(PAA_4[[#This Row],[UNIDAD DE CONTRATACION (formulado)]]="Subgerencia Administrativa y Financiera","FUNCIONAMIENTO","INVERSIÓN")</f>
        <v>INVERSIÓN</v>
      </c>
      <c r="E941" s="48" t="str">
        <f>VLOOKUP(Q941,[2]PROYECTOS!$G$1:$K$32,5,0)</f>
        <v>APOYO_CIENTÍFICO_AL_RENDIMIENTO_DEPORTIVO_Y_LA_ACTIVIDAD_FÍSICA_EN_EL_DEPARTAMENTO_DE_ANTIOQUIA</v>
      </c>
      <c r="F941" s="48">
        <f>VLOOKUP(E941,[2]PROYECTOS!$K$1:$M$32,3,0)</f>
        <v>2021003050070</v>
      </c>
      <c r="G941" s="67" t="s">
        <v>212</v>
      </c>
      <c r="H941" s="49" t="str">
        <f>VLOOKUP(Q941,[2]PROYECTOS!$V$1:$W$32,2,0)</f>
        <v>050068</v>
      </c>
      <c r="I941" s="50">
        <v>3413946</v>
      </c>
      <c r="J941" s="340" t="s">
        <v>1791</v>
      </c>
      <c r="K941" s="47" t="str">
        <f t="shared" ca="1" si="318"/>
        <v>CONTRATADO</v>
      </c>
      <c r="L941" s="351" t="s">
        <v>42</v>
      </c>
      <c r="M941" s="65" t="s">
        <v>42</v>
      </c>
      <c r="N941" s="52" t="s">
        <v>277</v>
      </c>
      <c r="O941" s="51" t="e">
        <f>VLOOKUP(N941,[2]!RUBROS[#All],3,0)</f>
        <v>#REF!</v>
      </c>
      <c r="P941" s="53" t="e">
        <f>VLOOKUP(N941,[2]!RUBROS[#All],2,0)</f>
        <v>#REF!</v>
      </c>
      <c r="Q941" s="47" t="str">
        <f t="shared" si="319"/>
        <v>91</v>
      </c>
      <c r="R941" s="47" t="str">
        <f t="shared" si="320"/>
        <v>4-101124</v>
      </c>
      <c r="S941" s="342" t="s">
        <v>42</v>
      </c>
      <c r="T941" s="360" t="s">
        <v>42</v>
      </c>
      <c r="U941" s="326" t="e">
        <f ca="1">_xlfn.XLOOKUP(PAA_4[[#This Row],[ITEM]],[2]Contrato!A:A,[2]Contrato!Q:Q,"",0)</f>
        <v>#NAME?</v>
      </c>
      <c r="V941" s="47" t="s">
        <v>95</v>
      </c>
      <c r="W941" s="343" t="s">
        <v>42</v>
      </c>
      <c r="X941" s="343" t="s">
        <v>42</v>
      </c>
      <c r="Y941" s="55" t="e">
        <f ca="1">_xlfn.XLOOKUP(PAA_4[[#This Row],[ITEM]],[2]Contrato!A:A,[2]Contrato!B:B,"",0)</f>
        <v>#NAME?</v>
      </c>
      <c r="Z941" s="47" t="e">
        <f ca="1">_xlfn.XLOOKUP(PAA_4[[#This Row],[ITEM]],[2]Contrato!A:A,[2]Contrato!G:G,"",0)</f>
        <v>#NAME?</v>
      </c>
      <c r="AA941" s="47" t="e">
        <f ca="1">_xlfn.XLOOKUP(PAA_4[[#This Row],[ITEM]],[2]Contrato!A:A,[2]Contrato!T:T,"",0)</f>
        <v>#NAME?</v>
      </c>
      <c r="AB941" s="55" t="e">
        <f ca="1">+MAX(PAA_4[[#This Row],[Comprometido Contrato]],PAA_4[[#This Row],[Comprometido Bolsa]])</f>
        <v>#NAME?</v>
      </c>
      <c r="AC941" s="55" t="str">
        <f t="shared" ca="1" si="321"/>
        <v/>
      </c>
      <c r="AD941" s="55" t="e">
        <f ca="1">IF(PAA_4[[#This Row],[ESTADO (formulado)]]="NO CONTRATADO",0,MAX(PAA_4[[#This Row],[Pago por Contrato]],PAA_4[[#This Row],[Pago por bolsa]]))</f>
        <v>#NAME?</v>
      </c>
      <c r="AE941" s="55" t="str">
        <f t="shared" ca="1" si="322"/>
        <v/>
      </c>
      <c r="AF941" s="47" t="e">
        <f t="shared" ca="1" si="323"/>
        <v>#NAME?</v>
      </c>
      <c r="AG941" s="47">
        <f t="shared" si="324"/>
        <v>41080108</v>
      </c>
      <c r="AH941" s="54">
        <f>IF(Q941="22",IF(ISNUMBER(SEARCH("econ",PAA_4[[#This Row],[Actividad3]])),"Económico",IF(ISNUMBER(SEARCH("alim",PAA_4[[#This Row],[Actividad3]])),"Alimentación",IF(ISNUMBER(SEARCH("educ",PAA_4[[#This Row],[Actividad3]])),"Educativo","Técnico"))),0)</f>
        <v>0</v>
      </c>
      <c r="AI941" s="47" t="e" cm="1">
        <f t="array" aca="1" ref="AI941" ca="1">_xlfn.XLOOKUP(PAA_4[[#This Row],[RCP-RUBRO]],[2]!COMPROMISOS_2024[[#All],[concatenado]],[2]!COMPROMISOS_2024[[#All],[Total pagado]],"",0)</f>
        <v>#NAME?</v>
      </c>
      <c r="AJ941" s="56">
        <f>IF(PAA_4[[#This Row],[BOLSA]]=0,0,SUMIFS([2]!COMPROMISOS_2024[[#All],[Total pagado]],[2]!COMPROMISOS_2024[[#All],[Bolsa]],PAA_4[[#This Row],[BOLSA]],[2]!COMPROMISOS_2024[[#All],[rubro]],PAA_4[[#This Row],[RCP-RUBRO]]))</f>
        <v>0</v>
      </c>
      <c r="AK941" s="47" t="e" cm="1">
        <f t="array" aca="1" ref="AK941" ca="1">_xlfn.XLOOKUP(PAA_4[[#This Row],[RCP-RUBRO]],[2]!COMPROMISOS_2024[[#All],[concatenado]],[2]!COMPROMISOS_2024[[#All],[Total Comprometido]],"",0)</f>
        <v>#NAME?</v>
      </c>
      <c r="AL941" s="47">
        <f>IF(PAA_4[[#This Row],[BOLSA]]=0,0,SUMIFS([2]!COMPROMISOS_2024[[#All],[Total Comprometido]],[2]!COMPROMISOS_2024[[#All],[Bolsa]],PAA_4[[#This Row],[BOLSA]],[2]!COMPROMISOS_2024[[#All],[concatenado]],PAA_4[[#This Row],[RCP-RUBRO]]))</f>
        <v>0</v>
      </c>
    </row>
    <row r="942" spans="1:38" s="19" customFormat="1" ht="31.5" customHeight="1">
      <c r="A942" s="47" t="s">
        <v>82</v>
      </c>
      <c r="B942" s="51" t="s">
        <v>42</v>
      </c>
      <c r="C942" s="47" t="str">
        <f>VLOOKUP(PAA_4[[#This Row],[PROYECTO (formulado)2]],[2]PROYECTOS!$G$1:$L$32,6,0)</f>
        <v>OFICINA DE MEDICINA DEPORTIVA</v>
      </c>
      <c r="D942" s="47" t="str">
        <f>+IF(PAA_4[[#This Row],[UNIDAD DE CONTRATACION (formulado)]]="Subgerencia Administrativa y Financiera","FUNCIONAMIENTO","INVERSIÓN")</f>
        <v>INVERSIÓN</v>
      </c>
      <c r="E942" s="48" t="str">
        <f>VLOOKUP(Q942,[2]PROYECTOS!$G$1:$K$32,5,0)</f>
        <v>APOYO_CIENTÍFICO_AL_RENDIMIENTO_DEPORTIVO_Y_LA_ACTIVIDAD_FÍSICA_EN_EL_DEPARTAMENTO_DE_ANTIOQUIA</v>
      </c>
      <c r="F942" s="48">
        <f>VLOOKUP(E942,[2]PROYECTOS!$K$1:$M$32,3,0)</f>
        <v>2021003050070</v>
      </c>
      <c r="G942" s="67" t="s">
        <v>212</v>
      </c>
      <c r="H942" s="49" t="str">
        <f>VLOOKUP(Q942,[2]PROYECTOS!$V$1:$W$32,2,0)</f>
        <v>050068</v>
      </c>
      <c r="I942" s="50">
        <v>3000000</v>
      </c>
      <c r="J942" s="340" t="s">
        <v>1791</v>
      </c>
      <c r="K942" s="47" t="str">
        <f t="shared" ca="1" si="318"/>
        <v>CONTRATADO</v>
      </c>
      <c r="L942" s="351" t="s">
        <v>42</v>
      </c>
      <c r="M942" s="65" t="s">
        <v>42</v>
      </c>
      <c r="N942" s="52" t="s">
        <v>277</v>
      </c>
      <c r="O942" s="51" t="e">
        <f>VLOOKUP(N942,[2]!RUBROS[#All],3,0)</f>
        <v>#REF!</v>
      </c>
      <c r="P942" s="53" t="e">
        <f>VLOOKUP(N942,[2]!RUBROS[#All],2,0)</f>
        <v>#REF!</v>
      </c>
      <c r="Q942" s="47" t="str">
        <f t="shared" si="319"/>
        <v>91</v>
      </c>
      <c r="R942" s="47" t="str">
        <f t="shared" si="320"/>
        <v>4-101124</v>
      </c>
      <c r="S942" s="342" t="s">
        <v>42</v>
      </c>
      <c r="T942" s="360" t="s">
        <v>42</v>
      </c>
      <c r="U942" s="326" t="e">
        <f ca="1">_xlfn.XLOOKUP(PAA_4[[#This Row],[ITEM]],[2]Contrato!A:A,[2]Contrato!Q:Q,"",0)</f>
        <v>#NAME?</v>
      </c>
      <c r="V942" s="47" t="s">
        <v>95</v>
      </c>
      <c r="W942" s="343" t="s">
        <v>42</v>
      </c>
      <c r="X942" s="343" t="s">
        <v>42</v>
      </c>
      <c r="Y942" s="55" t="e">
        <f ca="1">_xlfn.XLOOKUP(PAA_4[[#This Row],[ITEM]],[2]Contrato!A:A,[2]Contrato!B:B,"",0)</f>
        <v>#NAME?</v>
      </c>
      <c r="Z942" s="47" t="e">
        <f ca="1">_xlfn.XLOOKUP(PAA_4[[#This Row],[ITEM]],[2]Contrato!A:A,[2]Contrato!G:G,"",0)</f>
        <v>#NAME?</v>
      </c>
      <c r="AA942" s="47" t="e">
        <f ca="1">_xlfn.XLOOKUP(PAA_4[[#This Row],[ITEM]],[2]Contrato!A:A,[2]Contrato!T:T,"",0)</f>
        <v>#NAME?</v>
      </c>
      <c r="AB942" s="55" t="e">
        <f ca="1">+MAX(PAA_4[[#This Row],[Comprometido Contrato]],PAA_4[[#This Row],[Comprometido Bolsa]])</f>
        <v>#NAME?</v>
      </c>
      <c r="AC942" s="55" t="str">
        <f t="shared" ca="1" si="321"/>
        <v/>
      </c>
      <c r="AD942" s="55" t="e">
        <f ca="1">IF(PAA_4[[#This Row],[ESTADO (formulado)]]="NO CONTRATADO",0,MAX(PAA_4[[#This Row],[Pago por Contrato]],PAA_4[[#This Row],[Pago por bolsa]]))</f>
        <v>#NAME?</v>
      </c>
      <c r="AE942" s="55" t="str">
        <f t="shared" ca="1" si="322"/>
        <v/>
      </c>
      <c r="AF942" s="47" t="e">
        <f t="shared" ca="1" si="323"/>
        <v>#NAME?</v>
      </c>
      <c r="AG942" s="47">
        <f t="shared" si="324"/>
        <v>41080108</v>
      </c>
      <c r="AH942" s="54">
        <f>IF(Q942="22",IF(ISNUMBER(SEARCH("econ",PAA_4[[#This Row],[Actividad3]])),"Económico",IF(ISNUMBER(SEARCH("alim",PAA_4[[#This Row],[Actividad3]])),"Alimentación",IF(ISNUMBER(SEARCH("educ",PAA_4[[#This Row],[Actividad3]])),"Educativo","Técnico"))),0)</f>
        <v>0</v>
      </c>
      <c r="AI942" s="47" t="e" cm="1">
        <f t="array" aca="1" ref="AI942" ca="1">_xlfn.XLOOKUP(PAA_4[[#This Row],[RCP-RUBRO]],[2]!COMPROMISOS_2024[[#All],[concatenado]],[2]!COMPROMISOS_2024[[#All],[Total pagado]],"",0)</f>
        <v>#NAME?</v>
      </c>
      <c r="AJ942" s="56">
        <f>IF(PAA_4[[#This Row],[BOLSA]]=0,0,SUMIFS([2]!COMPROMISOS_2024[[#All],[Total pagado]],[2]!COMPROMISOS_2024[[#All],[Bolsa]],PAA_4[[#This Row],[BOLSA]],[2]!COMPROMISOS_2024[[#All],[rubro]],PAA_4[[#This Row],[RCP-RUBRO]]))</f>
        <v>0</v>
      </c>
      <c r="AK942" s="47" t="e" cm="1">
        <f t="array" aca="1" ref="AK942" ca="1">_xlfn.XLOOKUP(PAA_4[[#This Row],[RCP-RUBRO]],[2]!COMPROMISOS_2024[[#All],[concatenado]],[2]!COMPROMISOS_2024[[#All],[Total Comprometido]],"",0)</f>
        <v>#NAME?</v>
      </c>
      <c r="AL942" s="47">
        <f>IF(PAA_4[[#This Row],[BOLSA]]=0,0,SUMIFS([2]!COMPROMISOS_2024[[#All],[Total Comprometido]],[2]!COMPROMISOS_2024[[#All],[Bolsa]],PAA_4[[#This Row],[BOLSA]],[2]!COMPROMISOS_2024[[#All],[concatenado]],PAA_4[[#This Row],[RCP-RUBRO]]))</f>
        <v>0</v>
      </c>
    </row>
    <row r="943" spans="1:38" s="19" customFormat="1" ht="31.5" customHeight="1">
      <c r="A943" s="47" t="s">
        <v>82</v>
      </c>
      <c r="B943" s="51" t="s">
        <v>42</v>
      </c>
      <c r="C943" s="47" t="str">
        <f>VLOOKUP(PAA_4[[#This Row],[PROYECTO (formulado)2]],[2]PROYECTOS!$G$1:$L$32,6,0)</f>
        <v>OFICINA DE MEDICINA DEPORTIVA</v>
      </c>
      <c r="D943" s="47" t="str">
        <f>+IF(PAA_4[[#This Row],[UNIDAD DE CONTRATACION (formulado)]]="Subgerencia Administrativa y Financiera","FUNCIONAMIENTO","INVERSIÓN")</f>
        <v>INVERSIÓN</v>
      </c>
      <c r="E943" s="48" t="str">
        <f>VLOOKUP(Q943,[2]PROYECTOS!$G$1:$K$32,5,0)</f>
        <v>APOYO_CIENTÍFICO_AL_RENDIMIENTO_DEPORTIVO_Y_LA_ACTIVIDAD_FÍSICA_EN_EL_DEPARTAMENTO_DE_ANTIOQUIA</v>
      </c>
      <c r="F943" s="48">
        <f>VLOOKUP(E943,[2]PROYECTOS!$K$1:$M$32,3,0)</f>
        <v>2021003050070</v>
      </c>
      <c r="G943" s="67" t="s">
        <v>212</v>
      </c>
      <c r="H943" s="49" t="str">
        <f>VLOOKUP(Q943,[2]PROYECTOS!$V$1:$W$32,2,0)</f>
        <v>050068</v>
      </c>
      <c r="I943" s="50">
        <v>2220000</v>
      </c>
      <c r="J943" s="340" t="s">
        <v>1791</v>
      </c>
      <c r="K943" s="47" t="str">
        <f t="shared" ca="1" si="318"/>
        <v>CONTRATADO</v>
      </c>
      <c r="L943" s="351" t="s">
        <v>42</v>
      </c>
      <c r="M943" s="65" t="s">
        <v>42</v>
      </c>
      <c r="N943" s="52" t="s">
        <v>1792</v>
      </c>
      <c r="O943" s="51" t="e">
        <f>VLOOKUP(N943,[2]!RUBROS[#All],3,0)</f>
        <v>#REF!</v>
      </c>
      <c r="P943" s="53" t="e">
        <f>VLOOKUP(N943,[2]!RUBROS[#All],2,0)</f>
        <v>#REF!</v>
      </c>
      <c r="Q943" s="47" t="str">
        <f t="shared" si="319"/>
        <v>91</v>
      </c>
      <c r="R943" s="47" t="str">
        <f t="shared" si="320"/>
        <v>0-205128</v>
      </c>
      <c r="S943" s="342" t="s">
        <v>42</v>
      </c>
      <c r="T943" s="360" t="s">
        <v>42</v>
      </c>
      <c r="U943" s="326" t="e">
        <f ca="1">_xlfn.XLOOKUP(PAA_4[[#This Row],[ITEM]],[2]Contrato!A:A,[2]Contrato!Q:Q,"",0)</f>
        <v>#NAME?</v>
      </c>
      <c r="V943" s="47" t="s">
        <v>95</v>
      </c>
      <c r="W943" s="343" t="s">
        <v>42</v>
      </c>
      <c r="X943" s="343" t="s">
        <v>42</v>
      </c>
      <c r="Y943" s="55" t="e">
        <f ca="1">_xlfn.XLOOKUP(PAA_4[[#This Row],[ITEM]],[2]Contrato!A:A,[2]Contrato!B:B,"",0)</f>
        <v>#NAME?</v>
      </c>
      <c r="Z943" s="47" t="e">
        <f ca="1">_xlfn.XLOOKUP(PAA_4[[#This Row],[ITEM]],[2]Contrato!A:A,[2]Contrato!G:G,"",0)</f>
        <v>#NAME?</v>
      </c>
      <c r="AA943" s="47" t="e">
        <f ca="1">_xlfn.XLOOKUP(PAA_4[[#This Row],[ITEM]],[2]Contrato!A:A,[2]Contrato!T:T,"",0)</f>
        <v>#NAME?</v>
      </c>
      <c r="AB943" s="55" t="e">
        <f ca="1">+MAX(PAA_4[[#This Row],[Comprometido Contrato]],PAA_4[[#This Row],[Comprometido Bolsa]])</f>
        <v>#NAME?</v>
      </c>
      <c r="AC943" s="55" t="str">
        <f t="shared" ca="1" si="321"/>
        <v/>
      </c>
      <c r="AD943" s="55" t="e">
        <f ca="1">IF(PAA_4[[#This Row],[ESTADO (formulado)]]="NO CONTRATADO",0,MAX(PAA_4[[#This Row],[Pago por Contrato]],PAA_4[[#This Row],[Pago por bolsa]]))</f>
        <v>#NAME?</v>
      </c>
      <c r="AE943" s="55" t="str">
        <f t="shared" ca="1" si="322"/>
        <v/>
      </c>
      <c r="AF943" s="47" t="e">
        <f t="shared" ca="1" si="323"/>
        <v>#NAME?</v>
      </c>
      <c r="AG943" s="47">
        <f t="shared" si="324"/>
        <v>41080108</v>
      </c>
      <c r="AH943" s="54">
        <f>IF(Q943="22",IF(ISNUMBER(SEARCH("econ",PAA_4[[#This Row],[Actividad3]])),"Económico",IF(ISNUMBER(SEARCH("alim",PAA_4[[#This Row],[Actividad3]])),"Alimentación",IF(ISNUMBER(SEARCH("educ",PAA_4[[#This Row],[Actividad3]])),"Educativo","Técnico"))),0)</f>
        <v>0</v>
      </c>
      <c r="AI943" s="47" t="e" cm="1">
        <f t="array" aca="1" ref="AI943" ca="1">_xlfn.XLOOKUP(PAA_4[[#This Row],[RCP-RUBRO]],[2]!COMPROMISOS_2024[[#All],[concatenado]],[2]!COMPROMISOS_2024[[#All],[Total pagado]],"",0)</f>
        <v>#NAME?</v>
      </c>
      <c r="AJ943" s="56">
        <f>IF(PAA_4[[#This Row],[BOLSA]]=0,0,SUMIFS([2]!COMPROMISOS_2024[[#All],[Total pagado]],[2]!COMPROMISOS_2024[[#All],[Bolsa]],PAA_4[[#This Row],[BOLSA]],[2]!COMPROMISOS_2024[[#All],[rubro]],PAA_4[[#This Row],[RCP-RUBRO]]))</f>
        <v>0</v>
      </c>
      <c r="AK943" s="47" t="e" cm="1">
        <f t="array" aca="1" ref="AK943" ca="1">_xlfn.XLOOKUP(PAA_4[[#This Row],[RCP-RUBRO]],[2]!COMPROMISOS_2024[[#All],[concatenado]],[2]!COMPROMISOS_2024[[#All],[Total Comprometido]],"",0)</f>
        <v>#NAME?</v>
      </c>
      <c r="AL943" s="47">
        <f>IF(PAA_4[[#This Row],[BOLSA]]=0,0,SUMIFS([2]!COMPROMISOS_2024[[#All],[Total Comprometido]],[2]!COMPROMISOS_2024[[#All],[Bolsa]],PAA_4[[#This Row],[BOLSA]],[2]!COMPROMISOS_2024[[#All],[concatenado]],PAA_4[[#This Row],[RCP-RUBRO]]))</f>
        <v>0</v>
      </c>
    </row>
    <row r="944" spans="1:38" s="19" customFormat="1" ht="31.5" customHeight="1">
      <c r="A944" s="47" t="s">
        <v>82</v>
      </c>
      <c r="B944" s="51" t="s">
        <v>42</v>
      </c>
      <c r="C944" s="47" t="str">
        <f>VLOOKUP(PAA_4[[#This Row],[PROYECTO (formulado)2]],[2]PROYECTOS!$G$1:$L$32,6,0)</f>
        <v>SUBGERENCIA DE ALTOS LOGROS Y DEPORTE ASOCIADO</v>
      </c>
      <c r="D944" s="47" t="str">
        <f>+IF(PAA_4[[#This Row],[UNIDAD DE CONTRATACION (formulado)]]="Subgerencia Administrativa y Financiera","FUNCIONAMIENTO","INVERSIÓN")</f>
        <v>INVERSIÓN</v>
      </c>
      <c r="E944" s="48" t="str">
        <f>VLOOKUP(Q944,[2]PROYECTOS!$G$1:$K$32,5,0)</f>
        <v>Asesoria médica y de ciencias aplicadas al desarrollo del rendimiento deportivo de atletas y para-atletas de Antioquia</v>
      </c>
      <c r="F944" s="48">
        <f>VLOOKUP(E944,[2]PROYECTOS!$K$1:$M$32,3,0)</f>
        <v>2024003050103</v>
      </c>
      <c r="G944" s="67" t="s">
        <v>1793</v>
      </c>
      <c r="H944" s="49" t="str">
        <f>VLOOKUP(Q944,[2]PROYECTOS!$V$1:$W$32,2,0)</f>
        <v>050080</v>
      </c>
      <c r="I944" s="50">
        <v>2220001</v>
      </c>
      <c r="J944" s="340" t="s">
        <v>1791</v>
      </c>
      <c r="K944" s="47" t="str">
        <f t="shared" ca="1" si="318"/>
        <v>CONTRATADO</v>
      </c>
      <c r="L944" s="351" t="s">
        <v>42</v>
      </c>
      <c r="M944" s="65" t="s">
        <v>42</v>
      </c>
      <c r="N944" s="52" t="s">
        <v>1794</v>
      </c>
      <c r="O944" s="51" t="e">
        <f>VLOOKUP(N944,[2]!RUBROS[#All],3,0)</f>
        <v>#REF!</v>
      </c>
      <c r="P944" s="53" t="e">
        <f>VLOOKUP(N944,[2]!RUBROS[#All],2,0)</f>
        <v>#REF!</v>
      </c>
      <c r="Q944" s="47" t="str">
        <f t="shared" si="319"/>
        <v>03</v>
      </c>
      <c r="R944" s="47" t="str">
        <f t="shared" si="320"/>
        <v>0-205128</v>
      </c>
      <c r="S944" s="342" t="s">
        <v>42</v>
      </c>
      <c r="T944" s="360" t="s">
        <v>42</v>
      </c>
      <c r="U944" s="326" t="e">
        <f ca="1">_xlfn.XLOOKUP(PAA_4[[#This Row],[ITEM]],[2]Contrato!A:A,[2]Contrato!Q:Q,"",0)</f>
        <v>#NAME?</v>
      </c>
      <c r="V944" s="47" t="s">
        <v>95</v>
      </c>
      <c r="W944" s="343" t="s">
        <v>42</v>
      </c>
      <c r="X944" s="343" t="s">
        <v>42</v>
      </c>
      <c r="Y944" s="55" t="e">
        <f ca="1">_xlfn.XLOOKUP(PAA_4[[#This Row],[ITEM]],[2]Contrato!A:A,[2]Contrato!B:B,"",0)</f>
        <v>#NAME?</v>
      </c>
      <c r="Z944" s="47" t="e">
        <f ca="1">_xlfn.XLOOKUP(PAA_4[[#This Row],[ITEM]],[2]Contrato!A:A,[2]Contrato!G:G,"",0)</f>
        <v>#NAME?</v>
      </c>
      <c r="AA944" s="47" t="e">
        <f ca="1">_xlfn.XLOOKUP(PAA_4[[#This Row],[ITEM]],[2]Contrato!A:A,[2]Contrato!T:T,"",0)</f>
        <v>#NAME?</v>
      </c>
      <c r="AB944" s="55" t="e">
        <f ca="1">+MAX(PAA_4[[#This Row],[Comprometido Contrato]],PAA_4[[#This Row],[Comprometido Bolsa]])</f>
        <v>#NAME?</v>
      </c>
      <c r="AC944" s="55" t="str">
        <f t="shared" ca="1" si="321"/>
        <v/>
      </c>
      <c r="AD944" s="55" t="e">
        <f ca="1">IF(PAA_4[[#This Row],[ESTADO (formulado)]]="NO CONTRATADO",0,MAX(PAA_4[[#This Row],[Pago por Contrato]],PAA_4[[#This Row],[Pago por bolsa]]))</f>
        <v>#NAME?</v>
      </c>
      <c r="AE944" s="55" t="str">
        <f t="shared" ca="1" si="322"/>
        <v/>
      </c>
      <c r="AF944" s="47" t="e">
        <f t="shared" ca="1" si="323"/>
        <v>#NAME?</v>
      </c>
      <c r="AG944" s="47">
        <f t="shared" si="324"/>
        <v>52010804</v>
      </c>
      <c r="AH944" s="54">
        <f>IF(Q944="22",IF(ISNUMBER(SEARCH("econ",PAA_4[[#This Row],[Actividad3]])),"Económico",IF(ISNUMBER(SEARCH("alim",PAA_4[[#This Row],[Actividad3]])),"Alimentación",IF(ISNUMBER(SEARCH("educ",PAA_4[[#This Row],[Actividad3]])),"Educativo","Técnico"))),0)</f>
        <v>0</v>
      </c>
      <c r="AI944" s="47" t="e" cm="1">
        <f t="array" aca="1" ref="AI944" ca="1">_xlfn.XLOOKUP(PAA_4[[#This Row],[RCP-RUBRO]],[2]!COMPROMISOS_2024[[#All],[concatenado]],[2]!COMPROMISOS_2024[[#All],[Total pagado]],"",0)</f>
        <v>#NAME?</v>
      </c>
      <c r="AJ944" s="56">
        <f>IF(PAA_4[[#This Row],[BOLSA]]=0,0,SUMIFS([2]!COMPROMISOS_2024[[#All],[Total pagado]],[2]!COMPROMISOS_2024[[#All],[Bolsa]],PAA_4[[#This Row],[BOLSA]],[2]!COMPROMISOS_2024[[#All],[rubro]],PAA_4[[#This Row],[RCP-RUBRO]]))</f>
        <v>0</v>
      </c>
      <c r="AK944" s="47" t="e" cm="1">
        <f t="array" aca="1" ref="AK944" ca="1">_xlfn.XLOOKUP(PAA_4[[#This Row],[RCP-RUBRO]],[2]!COMPROMISOS_2024[[#All],[concatenado]],[2]!COMPROMISOS_2024[[#All],[Total Comprometido]],"",0)</f>
        <v>#NAME?</v>
      </c>
      <c r="AL944" s="47">
        <f>IF(PAA_4[[#This Row],[BOLSA]]=0,0,SUMIFS([2]!COMPROMISOS_2024[[#All],[Total Comprometido]],[2]!COMPROMISOS_2024[[#All],[Bolsa]],PAA_4[[#This Row],[BOLSA]],[2]!COMPROMISOS_2024[[#All],[concatenado]],PAA_4[[#This Row],[RCP-RUBRO]]))</f>
        <v>0</v>
      </c>
    </row>
    <row r="945" spans="1:38" s="19" customFormat="1" ht="31.5" customHeight="1">
      <c r="A945" s="47" t="s">
        <v>82</v>
      </c>
      <c r="B945" s="51" t="s">
        <v>42</v>
      </c>
      <c r="C945" s="47" t="str">
        <f>VLOOKUP(PAA_4[[#This Row],[PROYECTO (formulado)2]],[2]PROYECTOS!$G$1:$L$32,6,0)</f>
        <v>SUBGERENCIA DE ALTOS LOGROS Y DEPORTE ASOCIADO</v>
      </c>
      <c r="D945" s="47" t="str">
        <f>+IF(PAA_4[[#This Row],[UNIDAD DE CONTRATACION (formulado)]]="Subgerencia Administrativa y Financiera","FUNCIONAMIENTO","INVERSIÓN")</f>
        <v>INVERSIÓN</v>
      </c>
      <c r="E945" s="48" t="str">
        <f>VLOOKUP(Q945,[2]PROYECTOS!$G$1:$K$32,5,0)</f>
        <v>Asesoria médica y de ciencias aplicadas al desarrollo del rendimiento deportivo de atletas y para-atletas de Antioquia</v>
      </c>
      <c r="F945" s="48">
        <f>VLOOKUP(E945,[2]PROYECTOS!$K$1:$M$32,3,0)</f>
        <v>2024003050103</v>
      </c>
      <c r="G945" s="67" t="s">
        <v>1793</v>
      </c>
      <c r="H945" s="49" t="str">
        <f>VLOOKUP(Q945,[2]PROYECTOS!$V$1:$W$32,2,0)</f>
        <v>050080</v>
      </c>
      <c r="I945" s="50">
        <v>978000</v>
      </c>
      <c r="J945" s="340" t="s">
        <v>1791</v>
      </c>
      <c r="K945" s="47" t="str">
        <f t="shared" ca="1" si="318"/>
        <v>CONTRATADO</v>
      </c>
      <c r="L945" s="351" t="s">
        <v>42</v>
      </c>
      <c r="M945" s="65" t="s">
        <v>42</v>
      </c>
      <c r="N945" s="52" t="s">
        <v>1794</v>
      </c>
      <c r="O945" s="51" t="e">
        <f>VLOOKUP(N945,[2]!RUBROS[#All],3,0)</f>
        <v>#REF!</v>
      </c>
      <c r="P945" s="53" t="e">
        <f>VLOOKUP(N945,[2]!RUBROS[#All],2,0)</f>
        <v>#REF!</v>
      </c>
      <c r="Q945" s="47" t="str">
        <f t="shared" si="319"/>
        <v>03</v>
      </c>
      <c r="R945" s="47" t="str">
        <f t="shared" si="320"/>
        <v>0-205128</v>
      </c>
      <c r="S945" s="342" t="s">
        <v>42</v>
      </c>
      <c r="T945" s="360" t="s">
        <v>42</v>
      </c>
      <c r="U945" s="326" t="e">
        <f ca="1">_xlfn.XLOOKUP(PAA_4[[#This Row],[ITEM]],[2]Contrato!A:A,[2]Contrato!Q:Q,"",0)</f>
        <v>#NAME?</v>
      </c>
      <c r="V945" s="47" t="s">
        <v>95</v>
      </c>
      <c r="W945" s="343" t="s">
        <v>42</v>
      </c>
      <c r="X945" s="343" t="s">
        <v>42</v>
      </c>
      <c r="Y945" s="55" t="e">
        <f ca="1">_xlfn.XLOOKUP(PAA_4[[#This Row],[ITEM]],[2]Contrato!A:A,[2]Contrato!B:B,"",0)</f>
        <v>#NAME?</v>
      </c>
      <c r="Z945" s="47" t="e">
        <f ca="1">_xlfn.XLOOKUP(PAA_4[[#This Row],[ITEM]],[2]Contrato!A:A,[2]Contrato!G:G,"",0)</f>
        <v>#NAME?</v>
      </c>
      <c r="AA945" s="47" t="e">
        <f ca="1">_xlfn.XLOOKUP(PAA_4[[#This Row],[ITEM]],[2]Contrato!A:A,[2]Contrato!T:T,"",0)</f>
        <v>#NAME?</v>
      </c>
      <c r="AB945" s="55" t="e">
        <f ca="1">+MAX(PAA_4[[#This Row],[Comprometido Contrato]],PAA_4[[#This Row],[Comprometido Bolsa]])</f>
        <v>#NAME?</v>
      </c>
      <c r="AC945" s="55" t="str">
        <f t="shared" ca="1" si="321"/>
        <v/>
      </c>
      <c r="AD945" s="55" t="e">
        <f ca="1">IF(PAA_4[[#This Row],[ESTADO (formulado)]]="NO CONTRATADO",0,MAX(PAA_4[[#This Row],[Pago por Contrato]],PAA_4[[#This Row],[Pago por bolsa]]))</f>
        <v>#NAME?</v>
      </c>
      <c r="AE945" s="55" t="str">
        <f t="shared" ca="1" si="322"/>
        <v/>
      </c>
      <c r="AF945" s="47" t="e">
        <f t="shared" ca="1" si="323"/>
        <v>#NAME?</v>
      </c>
      <c r="AG945" s="47">
        <f t="shared" si="324"/>
        <v>52010804</v>
      </c>
      <c r="AH945" s="54">
        <f>IF(Q945="22",IF(ISNUMBER(SEARCH("econ",PAA_4[[#This Row],[Actividad3]])),"Económico",IF(ISNUMBER(SEARCH("alim",PAA_4[[#This Row],[Actividad3]])),"Alimentación",IF(ISNUMBER(SEARCH("educ",PAA_4[[#This Row],[Actividad3]])),"Educativo","Técnico"))),0)</f>
        <v>0</v>
      </c>
      <c r="AI945" s="47" t="e" cm="1">
        <f t="array" aca="1" ref="AI945" ca="1">_xlfn.XLOOKUP(PAA_4[[#This Row],[RCP-RUBRO]],[2]!COMPROMISOS_2024[[#All],[concatenado]],[2]!COMPROMISOS_2024[[#All],[Total pagado]],"",0)</f>
        <v>#NAME?</v>
      </c>
      <c r="AJ945" s="56">
        <f>IF(PAA_4[[#This Row],[BOLSA]]=0,0,SUMIFS([2]!COMPROMISOS_2024[[#All],[Total pagado]],[2]!COMPROMISOS_2024[[#All],[Bolsa]],PAA_4[[#This Row],[BOLSA]],[2]!COMPROMISOS_2024[[#All],[rubro]],PAA_4[[#This Row],[RCP-RUBRO]]))</f>
        <v>0</v>
      </c>
      <c r="AK945" s="47" t="e" cm="1">
        <f t="array" aca="1" ref="AK945" ca="1">_xlfn.XLOOKUP(PAA_4[[#This Row],[RCP-RUBRO]],[2]!COMPROMISOS_2024[[#All],[concatenado]],[2]!COMPROMISOS_2024[[#All],[Total Comprometido]],"",0)</f>
        <v>#NAME?</v>
      </c>
      <c r="AL945" s="47">
        <f>IF(PAA_4[[#This Row],[BOLSA]]=0,0,SUMIFS([2]!COMPROMISOS_2024[[#All],[Total Comprometido]],[2]!COMPROMISOS_2024[[#All],[Bolsa]],PAA_4[[#This Row],[BOLSA]],[2]!COMPROMISOS_2024[[#All],[concatenado]],PAA_4[[#This Row],[RCP-RUBRO]]))</f>
        <v>0</v>
      </c>
    </row>
    <row r="946" spans="1:38" s="19" customFormat="1" ht="31.5" customHeight="1">
      <c r="A946" s="47" t="s">
        <v>82</v>
      </c>
      <c r="B946" s="51" t="s">
        <v>42</v>
      </c>
      <c r="C946" s="47" t="str">
        <f>VLOOKUP(PAA_4[[#This Row],[PROYECTO (formulado)2]],[2]PROYECTOS!$G$1:$L$32,6,0)</f>
        <v>SUBGERENCIA DE ALTOS LOGROS Y DEPORTE ASOCIADO</v>
      </c>
      <c r="D946" s="47" t="str">
        <f>+IF(PAA_4[[#This Row],[UNIDAD DE CONTRATACION (formulado)]]="Subgerencia Administrativa y Financiera","FUNCIONAMIENTO","INVERSIÓN")</f>
        <v>INVERSIÓN</v>
      </c>
      <c r="E946" s="48" t="str">
        <f>VLOOKUP(Q946,[2]PROYECTOS!$G$1:$K$32,5,0)</f>
        <v>Asesoria médica y de ciencias aplicadas al desarrollo del rendimiento deportivo de atletas y para-atletas de Antioquia</v>
      </c>
      <c r="F946" s="48">
        <f>VLOOKUP(E946,[2]PROYECTOS!$K$1:$M$32,3,0)</f>
        <v>2024003050103</v>
      </c>
      <c r="G946" s="67" t="s">
        <v>1793</v>
      </c>
      <c r="H946" s="49" t="str">
        <f>VLOOKUP(Q946,[2]PROYECTOS!$V$1:$W$32,2,0)</f>
        <v>050080</v>
      </c>
      <c r="I946" s="50">
        <v>2713334</v>
      </c>
      <c r="J946" s="340" t="s">
        <v>1791</v>
      </c>
      <c r="K946" s="47" t="str">
        <f t="shared" ca="1" si="318"/>
        <v>CONTRATADO</v>
      </c>
      <c r="L946" s="351" t="s">
        <v>42</v>
      </c>
      <c r="M946" s="65" t="s">
        <v>42</v>
      </c>
      <c r="N946" s="52" t="s">
        <v>1794</v>
      </c>
      <c r="O946" s="51" t="e">
        <f>VLOOKUP(N946,[2]!RUBROS[#All],3,0)</f>
        <v>#REF!</v>
      </c>
      <c r="P946" s="53" t="e">
        <f>VLOOKUP(N946,[2]!RUBROS[#All],2,0)</f>
        <v>#REF!</v>
      </c>
      <c r="Q946" s="47" t="str">
        <f t="shared" si="319"/>
        <v>03</v>
      </c>
      <c r="R946" s="47" t="str">
        <f t="shared" si="320"/>
        <v>0-205128</v>
      </c>
      <c r="S946" s="342" t="s">
        <v>42</v>
      </c>
      <c r="T946" s="360" t="s">
        <v>42</v>
      </c>
      <c r="U946" s="326" t="e">
        <f ca="1">_xlfn.XLOOKUP(PAA_4[[#This Row],[ITEM]],[2]Contrato!A:A,[2]Contrato!Q:Q,"",0)</f>
        <v>#NAME?</v>
      </c>
      <c r="V946" s="47" t="s">
        <v>95</v>
      </c>
      <c r="W946" s="343" t="s">
        <v>42</v>
      </c>
      <c r="X946" s="343" t="s">
        <v>42</v>
      </c>
      <c r="Y946" s="55" t="e">
        <f ca="1">_xlfn.XLOOKUP(PAA_4[[#This Row],[ITEM]],[2]Contrato!A:A,[2]Contrato!B:B,"",0)</f>
        <v>#NAME?</v>
      </c>
      <c r="Z946" s="47" t="e">
        <f ca="1">_xlfn.XLOOKUP(PAA_4[[#This Row],[ITEM]],[2]Contrato!A:A,[2]Contrato!G:G,"",0)</f>
        <v>#NAME?</v>
      </c>
      <c r="AA946" s="47" t="e">
        <f ca="1">_xlfn.XLOOKUP(PAA_4[[#This Row],[ITEM]],[2]Contrato!A:A,[2]Contrato!T:T,"",0)</f>
        <v>#NAME?</v>
      </c>
      <c r="AB946" s="55" t="e">
        <f ca="1">+MAX(PAA_4[[#This Row],[Comprometido Contrato]],PAA_4[[#This Row],[Comprometido Bolsa]])</f>
        <v>#NAME?</v>
      </c>
      <c r="AC946" s="55" t="str">
        <f t="shared" ca="1" si="321"/>
        <v/>
      </c>
      <c r="AD946" s="55" t="e">
        <f ca="1">IF(PAA_4[[#This Row],[ESTADO (formulado)]]="NO CONTRATADO",0,MAX(PAA_4[[#This Row],[Pago por Contrato]],PAA_4[[#This Row],[Pago por bolsa]]))</f>
        <v>#NAME?</v>
      </c>
      <c r="AE946" s="55" t="str">
        <f t="shared" ca="1" si="322"/>
        <v/>
      </c>
      <c r="AF946" s="47" t="e">
        <f t="shared" ca="1" si="323"/>
        <v>#NAME?</v>
      </c>
      <c r="AG946" s="47">
        <f t="shared" si="324"/>
        <v>52010804</v>
      </c>
      <c r="AH946" s="54">
        <f>IF(Q946="22",IF(ISNUMBER(SEARCH("econ",PAA_4[[#This Row],[Actividad3]])),"Económico",IF(ISNUMBER(SEARCH("alim",PAA_4[[#This Row],[Actividad3]])),"Alimentación",IF(ISNUMBER(SEARCH("educ",PAA_4[[#This Row],[Actividad3]])),"Educativo","Técnico"))),0)</f>
        <v>0</v>
      </c>
      <c r="AI946" s="47" t="e" cm="1">
        <f t="array" aca="1" ref="AI946" ca="1">_xlfn.XLOOKUP(PAA_4[[#This Row],[RCP-RUBRO]],[2]!COMPROMISOS_2024[[#All],[concatenado]],[2]!COMPROMISOS_2024[[#All],[Total pagado]],"",0)</f>
        <v>#NAME?</v>
      </c>
      <c r="AJ946" s="56">
        <f>IF(PAA_4[[#This Row],[BOLSA]]=0,0,SUMIFS([2]!COMPROMISOS_2024[[#All],[Total pagado]],[2]!COMPROMISOS_2024[[#All],[Bolsa]],PAA_4[[#This Row],[BOLSA]],[2]!COMPROMISOS_2024[[#All],[rubro]],PAA_4[[#This Row],[RCP-RUBRO]]))</f>
        <v>0</v>
      </c>
      <c r="AK946" s="47" t="e" cm="1">
        <f t="array" aca="1" ref="AK946" ca="1">_xlfn.XLOOKUP(PAA_4[[#This Row],[RCP-RUBRO]],[2]!COMPROMISOS_2024[[#All],[concatenado]],[2]!COMPROMISOS_2024[[#All],[Total Comprometido]],"",0)</f>
        <v>#NAME?</v>
      </c>
      <c r="AL946" s="47">
        <f>IF(PAA_4[[#This Row],[BOLSA]]=0,0,SUMIFS([2]!COMPROMISOS_2024[[#All],[Total Comprometido]],[2]!COMPROMISOS_2024[[#All],[Bolsa]],PAA_4[[#This Row],[BOLSA]],[2]!COMPROMISOS_2024[[#All],[concatenado]],PAA_4[[#This Row],[RCP-RUBRO]]))</f>
        <v>0</v>
      </c>
    </row>
    <row r="947" spans="1:38" s="19" customFormat="1" ht="31.5" customHeight="1">
      <c r="A947" s="47" t="s">
        <v>82</v>
      </c>
      <c r="B947" s="51" t="s">
        <v>42</v>
      </c>
      <c r="C947" s="47" t="str">
        <f>VLOOKUP(PAA_4[[#This Row],[PROYECTO (formulado)2]],[2]PROYECTOS!$G$1:$L$32,6,0)</f>
        <v>SUBGERENCIA DE ALTOS LOGROS Y DEPORTE ASOCIADO</v>
      </c>
      <c r="D947" s="47" t="str">
        <f>+IF(PAA_4[[#This Row],[UNIDAD DE CONTRATACION (formulado)]]="Subgerencia Administrativa y Financiera","FUNCIONAMIENTO","INVERSIÓN")</f>
        <v>INVERSIÓN</v>
      </c>
      <c r="E947" s="48" t="str">
        <f>VLOOKUP(Q947,[2]PROYECTOS!$G$1:$K$32,5,0)</f>
        <v>Asesoria médica y de ciencias aplicadas al desarrollo del rendimiento deportivo de atletas y para-atletas de Antioquia</v>
      </c>
      <c r="F947" s="48">
        <f>VLOOKUP(E947,[2]PROYECTOS!$K$1:$M$32,3,0)</f>
        <v>2024003050103</v>
      </c>
      <c r="G947" s="67" t="s">
        <v>1793</v>
      </c>
      <c r="H947" s="49" t="str">
        <f>VLOOKUP(Q947,[2]PROYECTOS!$V$1:$W$32,2,0)</f>
        <v>050080</v>
      </c>
      <c r="I947" s="50">
        <v>3000000</v>
      </c>
      <c r="J947" s="340" t="s">
        <v>1791</v>
      </c>
      <c r="K947" s="47" t="str">
        <f t="shared" ca="1" si="318"/>
        <v>CONTRATADO</v>
      </c>
      <c r="L947" s="351" t="s">
        <v>42</v>
      </c>
      <c r="M947" s="65" t="s">
        <v>42</v>
      </c>
      <c r="N947" s="52" t="s">
        <v>1794</v>
      </c>
      <c r="O947" s="51" t="e">
        <f>VLOOKUP(N947,[2]!RUBROS[#All],3,0)</f>
        <v>#REF!</v>
      </c>
      <c r="P947" s="53" t="e">
        <f>VLOOKUP(N947,[2]!RUBROS[#All],2,0)</f>
        <v>#REF!</v>
      </c>
      <c r="Q947" s="47" t="str">
        <f t="shared" si="319"/>
        <v>03</v>
      </c>
      <c r="R947" s="47" t="str">
        <f t="shared" si="320"/>
        <v>0-205128</v>
      </c>
      <c r="S947" s="342" t="s">
        <v>42</v>
      </c>
      <c r="T947" s="360" t="s">
        <v>42</v>
      </c>
      <c r="U947" s="326" t="e">
        <f ca="1">_xlfn.XLOOKUP(PAA_4[[#This Row],[ITEM]],[2]Contrato!A:A,[2]Contrato!Q:Q,"",0)</f>
        <v>#NAME?</v>
      </c>
      <c r="V947" s="47" t="s">
        <v>95</v>
      </c>
      <c r="W947" s="343" t="s">
        <v>42</v>
      </c>
      <c r="X947" s="343" t="s">
        <v>42</v>
      </c>
      <c r="Y947" s="55" t="e">
        <f ca="1">_xlfn.XLOOKUP(PAA_4[[#This Row],[ITEM]],[2]Contrato!A:A,[2]Contrato!B:B,"",0)</f>
        <v>#NAME?</v>
      </c>
      <c r="Z947" s="47" t="e">
        <f ca="1">_xlfn.XLOOKUP(PAA_4[[#This Row],[ITEM]],[2]Contrato!A:A,[2]Contrato!G:G,"",0)</f>
        <v>#NAME?</v>
      </c>
      <c r="AA947" s="47" t="e">
        <f ca="1">_xlfn.XLOOKUP(PAA_4[[#This Row],[ITEM]],[2]Contrato!A:A,[2]Contrato!T:T,"",0)</f>
        <v>#NAME?</v>
      </c>
      <c r="AB947" s="55" t="e">
        <f ca="1">+MAX(PAA_4[[#This Row],[Comprometido Contrato]],PAA_4[[#This Row],[Comprometido Bolsa]])</f>
        <v>#NAME?</v>
      </c>
      <c r="AC947" s="55" t="str">
        <f t="shared" ca="1" si="321"/>
        <v/>
      </c>
      <c r="AD947" s="55" t="e">
        <f ca="1">IF(PAA_4[[#This Row],[ESTADO (formulado)]]="NO CONTRATADO",0,MAX(PAA_4[[#This Row],[Pago por Contrato]],PAA_4[[#This Row],[Pago por bolsa]]))</f>
        <v>#NAME?</v>
      </c>
      <c r="AE947" s="55" t="str">
        <f t="shared" ca="1" si="322"/>
        <v/>
      </c>
      <c r="AF947" s="47" t="e">
        <f t="shared" ca="1" si="323"/>
        <v>#NAME?</v>
      </c>
      <c r="AG947" s="47">
        <f t="shared" si="324"/>
        <v>52010804</v>
      </c>
      <c r="AH947" s="54">
        <f>IF(Q947="22",IF(ISNUMBER(SEARCH("econ",PAA_4[[#This Row],[Actividad3]])),"Económico",IF(ISNUMBER(SEARCH("alim",PAA_4[[#This Row],[Actividad3]])),"Alimentación",IF(ISNUMBER(SEARCH("educ",PAA_4[[#This Row],[Actividad3]])),"Educativo","Técnico"))),0)</f>
        <v>0</v>
      </c>
      <c r="AI947" s="47" t="e" cm="1">
        <f t="array" aca="1" ref="AI947" ca="1">_xlfn.XLOOKUP(PAA_4[[#This Row],[RCP-RUBRO]],[2]!COMPROMISOS_2024[[#All],[concatenado]],[2]!COMPROMISOS_2024[[#All],[Total pagado]],"",0)</f>
        <v>#NAME?</v>
      </c>
      <c r="AJ947" s="56">
        <f>IF(PAA_4[[#This Row],[BOLSA]]=0,0,SUMIFS([2]!COMPROMISOS_2024[[#All],[Total pagado]],[2]!COMPROMISOS_2024[[#All],[Bolsa]],PAA_4[[#This Row],[BOLSA]],[2]!COMPROMISOS_2024[[#All],[rubro]],PAA_4[[#This Row],[RCP-RUBRO]]))</f>
        <v>0</v>
      </c>
      <c r="AK947" s="47" t="e" cm="1">
        <f t="array" aca="1" ref="AK947" ca="1">_xlfn.XLOOKUP(PAA_4[[#This Row],[RCP-RUBRO]],[2]!COMPROMISOS_2024[[#All],[concatenado]],[2]!COMPROMISOS_2024[[#All],[Total Comprometido]],"",0)</f>
        <v>#NAME?</v>
      </c>
      <c r="AL947" s="47">
        <f>IF(PAA_4[[#This Row],[BOLSA]]=0,0,SUMIFS([2]!COMPROMISOS_2024[[#All],[Total Comprometido]],[2]!COMPROMISOS_2024[[#All],[Bolsa]],PAA_4[[#This Row],[BOLSA]],[2]!COMPROMISOS_2024[[#All],[concatenado]],PAA_4[[#This Row],[RCP-RUBRO]]))</f>
        <v>0</v>
      </c>
    </row>
    <row r="948" spans="1:38" s="19" customFormat="1" ht="31.5" customHeight="1">
      <c r="A948" s="47" t="s">
        <v>82</v>
      </c>
      <c r="B948" s="51" t="s">
        <v>42</v>
      </c>
      <c r="C948" s="47" t="str">
        <f>VLOOKUP(PAA_4[[#This Row],[PROYECTO (formulado)2]],[2]PROYECTOS!$G$1:$L$32,6,0)</f>
        <v>SUBGERENCIA DE ALTOS LOGROS Y DEPORTE ASOCIADO</v>
      </c>
      <c r="D948" s="47" t="str">
        <f>+IF(PAA_4[[#This Row],[UNIDAD DE CONTRATACION (formulado)]]="Subgerencia Administrativa y Financiera","FUNCIONAMIENTO","INVERSIÓN")</f>
        <v>INVERSIÓN</v>
      </c>
      <c r="E948" s="48" t="str">
        <f>VLOOKUP(Q948,[2]PROYECTOS!$G$1:$K$32,5,0)</f>
        <v>Asesoria médica y de ciencias aplicadas al desarrollo del rendimiento deportivo de atletas y para-atletas de Antioquia</v>
      </c>
      <c r="F948" s="48">
        <f>VLOOKUP(E948,[2]PROYECTOS!$K$1:$M$32,3,0)</f>
        <v>2024003050103</v>
      </c>
      <c r="G948" s="67" t="s">
        <v>1793</v>
      </c>
      <c r="H948" s="49" t="str">
        <f>VLOOKUP(Q948,[2]PROYECTOS!$V$1:$W$32,2,0)</f>
        <v>050080</v>
      </c>
      <c r="I948" s="50">
        <v>3098334</v>
      </c>
      <c r="J948" s="340" t="s">
        <v>1791</v>
      </c>
      <c r="K948" s="47" t="str">
        <f t="shared" ca="1" si="318"/>
        <v>CONTRATADO</v>
      </c>
      <c r="L948" s="351" t="s">
        <v>42</v>
      </c>
      <c r="M948" s="65" t="s">
        <v>42</v>
      </c>
      <c r="N948" s="52" t="s">
        <v>1795</v>
      </c>
      <c r="O948" s="51" t="e">
        <f>VLOOKUP(N948,[2]!RUBROS[#All],3,0)</f>
        <v>#REF!</v>
      </c>
      <c r="P948" s="53" t="e">
        <f>VLOOKUP(N948,[2]!RUBROS[#All],2,0)</f>
        <v>#REF!</v>
      </c>
      <c r="Q948" s="47" t="str">
        <f t="shared" si="319"/>
        <v>03</v>
      </c>
      <c r="R948" s="47" t="str">
        <f t="shared" si="320"/>
        <v>0-205128</v>
      </c>
      <c r="S948" s="342" t="s">
        <v>42</v>
      </c>
      <c r="T948" s="360" t="s">
        <v>42</v>
      </c>
      <c r="U948" s="326" t="e">
        <f ca="1">_xlfn.XLOOKUP(PAA_4[[#This Row],[ITEM]],[2]Contrato!A:A,[2]Contrato!Q:Q,"",0)</f>
        <v>#NAME?</v>
      </c>
      <c r="V948" s="47" t="s">
        <v>95</v>
      </c>
      <c r="W948" s="343" t="s">
        <v>42</v>
      </c>
      <c r="X948" s="343" t="s">
        <v>42</v>
      </c>
      <c r="Y948" s="55" t="e">
        <f ca="1">_xlfn.XLOOKUP(PAA_4[[#This Row],[ITEM]],[2]Contrato!A:A,[2]Contrato!B:B,"",0)</f>
        <v>#NAME?</v>
      </c>
      <c r="Z948" s="47" t="e">
        <f ca="1">_xlfn.XLOOKUP(PAA_4[[#This Row],[ITEM]],[2]Contrato!A:A,[2]Contrato!G:G,"",0)</f>
        <v>#NAME?</v>
      </c>
      <c r="AA948" s="47" t="e">
        <f ca="1">_xlfn.XLOOKUP(PAA_4[[#This Row],[ITEM]],[2]Contrato!A:A,[2]Contrato!T:T,"",0)</f>
        <v>#NAME?</v>
      </c>
      <c r="AB948" s="55" t="e">
        <f ca="1">+MAX(PAA_4[[#This Row],[Comprometido Contrato]],PAA_4[[#This Row],[Comprometido Bolsa]])</f>
        <v>#NAME?</v>
      </c>
      <c r="AC948" s="55" t="str">
        <f t="shared" ca="1" si="321"/>
        <v/>
      </c>
      <c r="AD948" s="55" t="e">
        <f ca="1">IF(PAA_4[[#This Row],[ESTADO (formulado)]]="NO CONTRATADO",0,MAX(PAA_4[[#This Row],[Pago por Contrato]],PAA_4[[#This Row],[Pago por bolsa]]))</f>
        <v>#NAME?</v>
      </c>
      <c r="AE948" s="55" t="str">
        <f t="shared" ca="1" si="322"/>
        <v/>
      </c>
      <c r="AF948" s="47" t="e">
        <f t="shared" ca="1" si="323"/>
        <v>#NAME?</v>
      </c>
      <c r="AG948" s="47">
        <f t="shared" si="324"/>
        <v>52010804</v>
      </c>
      <c r="AH948" s="54">
        <f>IF(Q948="22",IF(ISNUMBER(SEARCH("econ",PAA_4[[#This Row],[Actividad3]])),"Económico",IF(ISNUMBER(SEARCH("alim",PAA_4[[#This Row],[Actividad3]])),"Alimentación",IF(ISNUMBER(SEARCH("educ",PAA_4[[#This Row],[Actividad3]])),"Educativo","Técnico"))),0)</f>
        <v>0</v>
      </c>
      <c r="AI948" s="47" t="e" cm="1">
        <f t="array" aca="1" ref="AI948" ca="1">_xlfn.XLOOKUP(PAA_4[[#This Row],[RCP-RUBRO]],[2]!COMPROMISOS_2024[[#All],[concatenado]],[2]!COMPROMISOS_2024[[#All],[Total pagado]],"",0)</f>
        <v>#NAME?</v>
      </c>
      <c r="AJ948" s="56">
        <f>IF(PAA_4[[#This Row],[BOLSA]]=0,0,SUMIFS([2]!COMPROMISOS_2024[[#All],[Total pagado]],[2]!COMPROMISOS_2024[[#All],[Bolsa]],PAA_4[[#This Row],[BOLSA]],[2]!COMPROMISOS_2024[[#All],[rubro]],PAA_4[[#This Row],[RCP-RUBRO]]))</f>
        <v>0</v>
      </c>
      <c r="AK948" s="47" t="e" cm="1">
        <f t="array" aca="1" ref="AK948" ca="1">_xlfn.XLOOKUP(PAA_4[[#This Row],[RCP-RUBRO]],[2]!COMPROMISOS_2024[[#All],[concatenado]],[2]!COMPROMISOS_2024[[#All],[Total Comprometido]],"",0)</f>
        <v>#NAME?</v>
      </c>
      <c r="AL948" s="47">
        <f>IF(PAA_4[[#This Row],[BOLSA]]=0,0,SUMIFS([2]!COMPROMISOS_2024[[#All],[Total Comprometido]],[2]!COMPROMISOS_2024[[#All],[Bolsa]],PAA_4[[#This Row],[BOLSA]],[2]!COMPROMISOS_2024[[#All],[concatenado]],PAA_4[[#This Row],[RCP-RUBRO]]))</f>
        <v>0</v>
      </c>
    </row>
    <row r="949" spans="1:38" s="19" customFormat="1" ht="31.5" customHeight="1">
      <c r="A949" s="47" t="s">
        <v>82</v>
      </c>
      <c r="B949" s="51" t="s">
        <v>42</v>
      </c>
      <c r="C949" s="47" t="str">
        <f>VLOOKUP(PAA_4[[#This Row],[PROYECTO (formulado)2]],[2]PROYECTOS!$G$1:$L$32,6,0)</f>
        <v>SUBGERENCIA DE ALTOS LOGROS Y DEPORTE ASOCIADO</v>
      </c>
      <c r="D949" s="47" t="str">
        <f>+IF(PAA_4[[#This Row],[UNIDAD DE CONTRATACION (formulado)]]="Subgerencia Administrativa y Financiera","FUNCIONAMIENTO","INVERSIÓN")</f>
        <v>INVERSIÓN</v>
      </c>
      <c r="E949" s="48" t="str">
        <f>VLOOKUP(Q949,[2]PROYECTOS!$G$1:$K$32,5,0)</f>
        <v>Asesoria médica y de ciencias aplicadas al desarrollo del rendimiento deportivo de atletas y para-atletas de Antioquia</v>
      </c>
      <c r="F949" s="48">
        <f>VLOOKUP(E949,[2]PROYECTOS!$K$1:$M$32,3,0)</f>
        <v>2024003050103</v>
      </c>
      <c r="G949" s="67" t="s">
        <v>1793</v>
      </c>
      <c r="H949" s="49" t="str">
        <f>VLOOKUP(Q949,[2]PROYECTOS!$V$1:$W$32,2,0)</f>
        <v>050080</v>
      </c>
      <c r="I949" s="50">
        <v>3946666</v>
      </c>
      <c r="J949" s="340" t="s">
        <v>1791</v>
      </c>
      <c r="K949" s="47" t="str">
        <f t="shared" ca="1" si="318"/>
        <v>CONTRATADO</v>
      </c>
      <c r="L949" s="351" t="s">
        <v>42</v>
      </c>
      <c r="M949" s="65" t="s">
        <v>42</v>
      </c>
      <c r="N949" s="52" t="s">
        <v>1796</v>
      </c>
      <c r="O949" s="51" t="e">
        <f>VLOOKUP(N949,[2]!RUBROS[#All],3,0)</f>
        <v>#REF!</v>
      </c>
      <c r="P949" s="53" t="e">
        <f>VLOOKUP(N949,[2]!RUBROS[#All],2,0)</f>
        <v>#REF!</v>
      </c>
      <c r="Q949" s="47" t="str">
        <f t="shared" si="319"/>
        <v>03</v>
      </c>
      <c r="R949" s="47" t="str">
        <f t="shared" si="320"/>
        <v>4-101124</v>
      </c>
      <c r="S949" s="342" t="s">
        <v>42</v>
      </c>
      <c r="T949" s="360" t="s">
        <v>42</v>
      </c>
      <c r="U949" s="326" t="e">
        <f ca="1">_xlfn.XLOOKUP(PAA_4[[#This Row],[ITEM]],[2]Contrato!A:A,[2]Contrato!Q:Q,"",0)</f>
        <v>#NAME?</v>
      </c>
      <c r="V949" s="47" t="s">
        <v>95</v>
      </c>
      <c r="W949" s="343" t="s">
        <v>42</v>
      </c>
      <c r="X949" s="343" t="s">
        <v>42</v>
      </c>
      <c r="Y949" s="55" t="e">
        <f ca="1">_xlfn.XLOOKUP(PAA_4[[#This Row],[ITEM]],[2]Contrato!A:A,[2]Contrato!B:B,"",0)</f>
        <v>#NAME?</v>
      </c>
      <c r="Z949" s="47" t="e">
        <f ca="1">_xlfn.XLOOKUP(PAA_4[[#This Row],[ITEM]],[2]Contrato!A:A,[2]Contrato!G:G,"",0)</f>
        <v>#NAME?</v>
      </c>
      <c r="AA949" s="47" t="e">
        <f ca="1">_xlfn.XLOOKUP(PAA_4[[#This Row],[ITEM]],[2]Contrato!A:A,[2]Contrato!T:T,"",0)</f>
        <v>#NAME?</v>
      </c>
      <c r="AB949" s="55" t="e">
        <f ca="1">+MAX(PAA_4[[#This Row],[Comprometido Contrato]],PAA_4[[#This Row],[Comprometido Bolsa]])</f>
        <v>#NAME?</v>
      </c>
      <c r="AC949" s="55" t="str">
        <f t="shared" ca="1" si="321"/>
        <v/>
      </c>
      <c r="AD949" s="55" t="e">
        <f ca="1">IF(PAA_4[[#This Row],[ESTADO (formulado)]]="NO CONTRATADO",0,MAX(PAA_4[[#This Row],[Pago por Contrato]],PAA_4[[#This Row],[Pago por bolsa]]))</f>
        <v>#NAME?</v>
      </c>
      <c r="AE949" s="55" t="str">
        <f t="shared" ca="1" si="322"/>
        <v/>
      </c>
      <c r="AF949" s="47" t="e">
        <f t="shared" ca="1" si="323"/>
        <v>#NAME?</v>
      </c>
      <c r="AG949" s="47">
        <f t="shared" si="324"/>
        <v>52010804</v>
      </c>
      <c r="AH949" s="54">
        <f>IF(Q949="22",IF(ISNUMBER(SEARCH("econ",PAA_4[[#This Row],[Actividad3]])),"Económico",IF(ISNUMBER(SEARCH("alim",PAA_4[[#This Row],[Actividad3]])),"Alimentación",IF(ISNUMBER(SEARCH("educ",PAA_4[[#This Row],[Actividad3]])),"Educativo","Técnico"))),0)</f>
        <v>0</v>
      </c>
      <c r="AI949" s="47" t="e" cm="1">
        <f t="array" aca="1" ref="AI949" ca="1">_xlfn.XLOOKUP(PAA_4[[#This Row],[RCP-RUBRO]],[2]!COMPROMISOS_2024[[#All],[concatenado]],[2]!COMPROMISOS_2024[[#All],[Total pagado]],"",0)</f>
        <v>#NAME?</v>
      </c>
      <c r="AJ949" s="56">
        <f>IF(PAA_4[[#This Row],[BOLSA]]=0,0,SUMIFS([2]!COMPROMISOS_2024[[#All],[Total pagado]],[2]!COMPROMISOS_2024[[#All],[Bolsa]],PAA_4[[#This Row],[BOLSA]],[2]!COMPROMISOS_2024[[#All],[rubro]],PAA_4[[#This Row],[RCP-RUBRO]]))</f>
        <v>0</v>
      </c>
      <c r="AK949" s="47" t="e" cm="1">
        <f t="array" aca="1" ref="AK949" ca="1">_xlfn.XLOOKUP(PAA_4[[#This Row],[RCP-RUBRO]],[2]!COMPROMISOS_2024[[#All],[concatenado]],[2]!COMPROMISOS_2024[[#All],[Total Comprometido]],"",0)</f>
        <v>#NAME?</v>
      </c>
      <c r="AL949" s="47">
        <f>IF(PAA_4[[#This Row],[BOLSA]]=0,0,SUMIFS([2]!COMPROMISOS_2024[[#All],[Total Comprometido]],[2]!COMPROMISOS_2024[[#All],[Bolsa]],PAA_4[[#This Row],[BOLSA]],[2]!COMPROMISOS_2024[[#All],[concatenado]],PAA_4[[#This Row],[RCP-RUBRO]]))</f>
        <v>0</v>
      </c>
    </row>
    <row r="950" spans="1:38" s="19" customFormat="1" ht="31.5" customHeight="1">
      <c r="A950" s="47" t="s">
        <v>82</v>
      </c>
      <c r="B950" s="51" t="s">
        <v>42</v>
      </c>
      <c r="C950" s="47" t="str">
        <f>VLOOKUP(PAA_4[[#This Row],[PROYECTO (formulado)2]],[2]PROYECTOS!$G$1:$L$32,6,0)</f>
        <v>SUBGERENCIA DE ALTOS LOGROS Y DEPORTE ASOCIADO</v>
      </c>
      <c r="D950" s="47" t="str">
        <f>+IF(PAA_4[[#This Row],[UNIDAD DE CONTRATACION (formulado)]]="Subgerencia Administrativa y Financiera","FUNCIONAMIENTO","INVERSIÓN")</f>
        <v>INVERSIÓN</v>
      </c>
      <c r="E950" s="48" t="str">
        <f>VLOOKUP(Q950,[2]PROYECTOS!$G$1:$K$32,5,0)</f>
        <v>Asesoria médica y de ciencias aplicadas al desarrollo del rendimiento deportivo de atletas y para-atletas de Antioquia</v>
      </c>
      <c r="F950" s="48">
        <f>VLOOKUP(E950,[2]PROYECTOS!$K$1:$M$32,3,0)</f>
        <v>2024003050103</v>
      </c>
      <c r="G950" s="67" t="s">
        <v>1793</v>
      </c>
      <c r="H950" s="49" t="str">
        <f>VLOOKUP(Q950,[2]PROYECTOS!$V$1:$W$32,2,0)</f>
        <v>050080</v>
      </c>
      <c r="I950" s="50">
        <v>4614281</v>
      </c>
      <c r="J950" s="340" t="s">
        <v>1791</v>
      </c>
      <c r="K950" s="47" t="str">
        <f t="shared" ca="1" si="318"/>
        <v>CONTRATADO</v>
      </c>
      <c r="L950" s="351" t="s">
        <v>42</v>
      </c>
      <c r="M950" s="65" t="s">
        <v>42</v>
      </c>
      <c r="N950" s="52" t="s">
        <v>1796</v>
      </c>
      <c r="O950" s="51" t="e">
        <f>VLOOKUP(N950,[2]!RUBROS[#All],3,0)</f>
        <v>#REF!</v>
      </c>
      <c r="P950" s="53" t="e">
        <f>VLOOKUP(N950,[2]!RUBROS[#All],2,0)</f>
        <v>#REF!</v>
      </c>
      <c r="Q950" s="47" t="str">
        <f t="shared" si="319"/>
        <v>03</v>
      </c>
      <c r="R950" s="47" t="str">
        <f t="shared" si="320"/>
        <v>4-101124</v>
      </c>
      <c r="S950" s="342" t="s">
        <v>42</v>
      </c>
      <c r="T950" s="360" t="s">
        <v>42</v>
      </c>
      <c r="U950" s="326" t="e">
        <f ca="1">_xlfn.XLOOKUP(PAA_4[[#This Row],[ITEM]],[2]Contrato!A:A,[2]Contrato!Q:Q,"",0)</f>
        <v>#NAME?</v>
      </c>
      <c r="V950" s="47" t="s">
        <v>95</v>
      </c>
      <c r="W950" s="343" t="s">
        <v>42</v>
      </c>
      <c r="X950" s="343" t="s">
        <v>42</v>
      </c>
      <c r="Y950" s="55" t="e">
        <f ca="1">_xlfn.XLOOKUP(PAA_4[[#This Row],[ITEM]],[2]Contrato!A:A,[2]Contrato!B:B,"",0)</f>
        <v>#NAME?</v>
      </c>
      <c r="Z950" s="47" t="e">
        <f ca="1">_xlfn.XLOOKUP(PAA_4[[#This Row],[ITEM]],[2]Contrato!A:A,[2]Contrato!G:G,"",0)</f>
        <v>#NAME?</v>
      </c>
      <c r="AA950" s="47" t="e">
        <f ca="1">_xlfn.XLOOKUP(PAA_4[[#This Row],[ITEM]],[2]Contrato!A:A,[2]Contrato!T:T,"",0)</f>
        <v>#NAME?</v>
      </c>
      <c r="AB950" s="55" t="e">
        <f ca="1">+MAX(PAA_4[[#This Row],[Comprometido Contrato]],PAA_4[[#This Row],[Comprometido Bolsa]])</f>
        <v>#NAME?</v>
      </c>
      <c r="AC950" s="55" t="str">
        <f t="shared" ca="1" si="321"/>
        <v/>
      </c>
      <c r="AD950" s="55" t="e">
        <f ca="1">IF(PAA_4[[#This Row],[ESTADO (formulado)]]="NO CONTRATADO",0,MAX(PAA_4[[#This Row],[Pago por Contrato]],PAA_4[[#This Row],[Pago por bolsa]]))</f>
        <v>#NAME?</v>
      </c>
      <c r="AE950" s="55" t="str">
        <f t="shared" ca="1" si="322"/>
        <v/>
      </c>
      <c r="AF950" s="47" t="e">
        <f t="shared" ca="1" si="323"/>
        <v>#NAME?</v>
      </c>
      <c r="AG950" s="47">
        <f t="shared" si="324"/>
        <v>52010804</v>
      </c>
      <c r="AH950" s="54">
        <f>IF(Q950="22",IF(ISNUMBER(SEARCH("econ",PAA_4[[#This Row],[Actividad3]])),"Económico",IF(ISNUMBER(SEARCH("alim",PAA_4[[#This Row],[Actividad3]])),"Alimentación",IF(ISNUMBER(SEARCH("educ",PAA_4[[#This Row],[Actividad3]])),"Educativo","Técnico"))),0)</f>
        <v>0</v>
      </c>
      <c r="AI950" s="47" t="e" cm="1">
        <f t="array" aca="1" ref="AI950" ca="1">_xlfn.XLOOKUP(PAA_4[[#This Row],[RCP-RUBRO]],[2]!COMPROMISOS_2024[[#All],[concatenado]],[2]!COMPROMISOS_2024[[#All],[Total pagado]],"",0)</f>
        <v>#NAME?</v>
      </c>
      <c r="AJ950" s="56">
        <f>IF(PAA_4[[#This Row],[BOLSA]]=0,0,SUMIFS([2]!COMPROMISOS_2024[[#All],[Total pagado]],[2]!COMPROMISOS_2024[[#All],[Bolsa]],PAA_4[[#This Row],[BOLSA]],[2]!COMPROMISOS_2024[[#All],[rubro]],PAA_4[[#This Row],[RCP-RUBRO]]))</f>
        <v>0</v>
      </c>
      <c r="AK950" s="47" t="e" cm="1">
        <f t="array" aca="1" ref="AK950" ca="1">_xlfn.XLOOKUP(PAA_4[[#This Row],[RCP-RUBRO]],[2]!COMPROMISOS_2024[[#All],[concatenado]],[2]!COMPROMISOS_2024[[#All],[Total Comprometido]],"",0)</f>
        <v>#NAME?</v>
      </c>
      <c r="AL950" s="47">
        <f>IF(PAA_4[[#This Row],[BOLSA]]=0,0,SUMIFS([2]!COMPROMISOS_2024[[#All],[Total Comprometido]],[2]!COMPROMISOS_2024[[#All],[Bolsa]],PAA_4[[#This Row],[BOLSA]],[2]!COMPROMISOS_2024[[#All],[concatenado]],PAA_4[[#This Row],[RCP-RUBRO]]))</f>
        <v>0</v>
      </c>
    </row>
    <row r="951" spans="1:38" s="19" customFormat="1" ht="31.5" customHeight="1">
      <c r="A951" s="47">
        <v>751</v>
      </c>
      <c r="B951" s="51">
        <v>80111600</v>
      </c>
      <c r="C951" s="47" t="str">
        <f>VLOOKUP(PAA_4[[#This Row],[PROYECTO (formulado)2]],[2]PROYECTOS!$G$1:$L$32,6,0)</f>
        <v>OFICINA DE MEDICINA DEPORTIVA</v>
      </c>
      <c r="D951" s="47" t="str">
        <f>+IF(PAA_4[[#This Row],[UNIDAD DE CONTRATACION (formulado)]]="Subgerencia Administrativa y Financiera","FUNCIONAMIENTO","INVERSIÓN")</f>
        <v>INVERSIÓN</v>
      </c>
      <c r="E951" s="48" t="str">
        <f>VLOOKUP(Q951,[2]PROYECTOS!$G$1:$K$32,5,0)</f>
        <v>APOYO_CIENTÍFICO_AL_RENDIMIENTO_DEPORTIVO_Y_LA_ACTIVIDAD_FÍSICA_EN_EL_DEPARTAMENTO_DE_ANTIOQUIA</v>
      </c>
      <c r="F951" s="48">
        <f>VLOOKUP(E951,[2]PROYECTOS!$K$1:$M$32,3,0)</f>
        <v>2021003050070</v>
      </c>
      <c r="G951" s="67" t="s">
        <v>207</v>
      </c>
      <c r="H951" s="49" t="str">
        <f>VLOOKUP(Q951,[2]PROYECTOS!$V$1:$W$32,2,0)</f>
        <v>050068</v>
      </c>
      <c r="I951" s="50">
        <f>53860540-1882498</f>
        <v>51978042</v>
      </c>
      <c r="J951" s="340" t="s">
        <v>1497</v>
      </c>
      <c r="K951" s="47" t="str">
        <f t="shared" ca="1" si="318"/>
        <v>CONTRATADO</v>
      </c>
      <c r="L951" s="351" t="s">
        <v>94</v>
      </c>
      <c r="M951" s="47" t="s">
        <v>1297</v>
      </c>
      <c r="N951" s="52" t="s">
        <v>277</v>
      </c>
      <c r="O951" s="51" t="e">
        <f>VLOOKUP(N951,[2]!RUBROS[#All],3,0)</f>
        <v>#REF!</v>
      </c>
      <c r="P951" s="53" t="e">
        <f>VLOOKUP(N951,[2]!RUBROS[#All],2,0)</f>
        <v>#REF!</v>
      </c>
      <c r="Q951" s="47" t="str">
        <f t="shared" si="319"/>
        <v>91</v>
      </c>
      <c r="R951" s="47" t="str">
        <f t="shared" si="320"/>
        <v>4-101124</v>
      </c>
      <c r="S951" s="342">
        <v>200</v>
      </c>
      <c r="T951" s="59" t="s">
        <v>120</v>
      </c>
      <c r="U951" s="326" t="e">
        <f ca="1">_xlfn.XLOOKUP(PAA_4[[#This Row],[ITEM]],[2]Contrato!A:A,[2]Contrato!Q:Q,"",0)</f>
        <v>#NAME?</v>
      </c>
      <c r="V951" s="47" t="s">
        <v>47</v>
      </c>
      <c r="W951" s="343" t="s">
        <v>154</v>
      </c>
      <c r="X951" s="343" t="s">
        <v>154</v>
      </c>
      <c r="Y951" s="55" t="e">
        <f ca="1">_xlfn.XLOOKUP(PAA_4[[#This Row],[ITEM]],[2]Contrato!A:A,[2]Contrato!B:B,"",0)</f>
        <v>#NAME?</v>
      </c>
      <c r="Z951" s="47" t="e">
        <f ca="1">_xlfn.XLOOKUP(PAA_4[[#This Row],[ITEM]],[2]Contrato!A:A,[2]Contrato!G:G,"",0)</f>
        <v>#NAME?</v>
      </c>
      <c r="AA951" s="47" t="e">
        <f ca="1">_xlfn.XLOOKUP(PAA_4[[#This Row],[ITEM]],[2]Contrato!A:A,[2]Contrato!T:T,"",0)</f>
        <v>#NAME?</v>
      </c>
      <c r="AB951" s="55" t="e">
        <f ca="1">+MAX(PAA_4[[#This Row],[Comprometido Contrato]],PAA_4[[#This Row],[Comprometido Bolsa]])</f>
        <v>#NAME?</v>
      </c>
      <c r="AC951" s="55" t="str">
        <f t="shared" ca="1" si="321"/>
        <v/>
      </c>
      <c r="AD951" s="55" t="e">
        <f ca="1">IF(PAA_4[[#This Row],[ESTADO (formulado)]]="NO CONTRATADO",0,MAX(PAA_4[[#This Row],[Pago por Contrato]],PAA_4[[#This Row],[Pago por bolsa]]))</f>
        <v>#NAME?</v>
      </c>
      <c r="AE951" s="55" t="str">
        <f t="shared" ca="1" si="322"/>
        <v/>
      </c>
      <c r="AF951" s="47" t="e">
        <f t="shared" ca="1" si="323"/>
        <v>#NAME?</v>
      </c>
      <c r="AG951" s="47">
        <f t="shared" si="324"/>
        <v>41080103</v>
      </c>
      <c r="AH951" s="54">
        <f>IF(Q951="22",IF(ISNUMBER(SEARCH("econ",PAA_4[[#This Row],[Actividad3]])),"Económico",IF(ISNUMBER(SEARCH("alim",PAA_4[[#This Row],[Actividad3]])),"Alimentación",IF(ISNUMBER(SEARCH("educ",PAA_4[[#This Row],[Actividad3]])),"Educativo","Técnico"))),0)</f>
        <v>0</v>
      </c>
      <c r="AI951" s="47" t="e" cm="1">
        <f t="array" aca="1" ref="AI951" ca="1">_xlfn.XLOOKUP(PAA_4[[#This Row],[RCP-RUBRO]],[2]!COMPROMISOS_2024[[#All],[concatenado]],[2]!COMPROMISOS_2024[[#All],[Total pagado]],"",0)</f>
        <v>#NAME?</v>
      </c>
      <c r="AJ951" s="56">
        <f>IF(PAA_4[[#This Row],[BOLSA]]=0,0,SUMIFS([2]!COMPROMISOS_2024[[#All],[Total pagado]],[2]!COMPROMISOS_2024[[#All],[Bolsa]],PAA_4[[#This Row],[BOLSA]],[2]!COMPROMISOS_2024[[#All],[rubro]],PAA_4[[#This Row],[RCP-RUBRO]]))</f>
        <v>0</v>
      </c>
      <c r="AK951" s="47" t="e" cm="1">
        <f t="array" aca="1" ref="AK951" ca="1">_xlfn.XLOOKUP(PAA_4[[#This Row],[RCP-RUBRO]],[2]!COMPROMISOS_2024[[#All],[concatenado]],[2]!COMPROMISOS_2024[[#All],[Total Comprometido]],"",0)</f>
        <v>#NAME?</v>
      </c>
      <c r="AL951" s="47">
        <f>IF(PAA_4[[#This Row],[BOLSA]]=0,0,SUMIFS([2]!COMPROMISOS_2024[[#All],[Total Comprometido]],[2]!COMPROMISOS_2024[[#All],[Bolsa]],PAA_4[[#This Row],[BOLSA]],[2]!COMPROMISOS_2024[[#All],[concatenado]],PAA_4[[#This Row],[RCP-RUBRO]]))</f>
        <v>0</v>
      </c>
    </row>
    <row r="952" spans="1:38" s="19" customFormat="1" ht="31.5" customHeight="1">
      <c r="A952" s="47">
        <v>752</v>
      </c>
      <c r="B952" s="51">
        <v>80111600</v>
      </c>
      <c r="C952" s="47" t="str">
        <f>VLOOKUP(PAA_4[[#This Row],[PROYECTO (formulado)2]],[2]PROYECTOS!$G$1:$L$32,6,0)</f>
        <v>OFICINA DE MEDICINA DEPORTIVA</v>
      </c>
      <c r="D952" s="47" t="str">
        <f>+IF(PAA_4[[#This Row],[UNIDAD DE CONTRATACION (formulado)]]="Subgerencia Administrativa y Financiera","FUNCIONAMIENTO","INVERSIÓN")</f>
        <v>INVERSIÓN</v>
      </c>
      <c r="E952" s="48" t="str">
        <f>VLOOKUP(Q952,[2]PROYECTOS!$G$1:$K$32,5,0)</f>
        <v>APOYO_CIENTÍFICO_AL_RENDIMIENTO_DEPORTIVO_Y_LA_ACTIVIDAD_FÍSICA_EN_EL_DEPARTAMENTO_DE_ANTIOQUIA</v>
      </c>
      <c r="F952" s="48">
        <f>VLOOKUP(E952,[2]PROYECTOS!$K$1:$M$32,3,0)</f>
        <v>2021003050070</v>
      </c>
      <c r="G952" s="67" t="s">
        <v>207</v>
      </c>
      <c r="H952" s="49" t="str">
        <f>VLOOKUP(Q952,[2]PROYECTOS!$V$1:$W$32,2,0)</f>
        <v>050068</v>
      </c>
      <c r="I952" s="50">
        <f>55669793-6194443</f>
        <v>49475350</v>
      </c>
      <c r="J952" s="340" t="s">
        <v>1797</v>
      </c>
      <c r="K952" s="47" t="str">
        <f t="shared" ca="1" si="318"/>
        <v>CONTRATADO</v>
      </c>
      <c r="L952" s="351" t="s">
        <v>94</v>
      </c>
      <c r="M952" s="47" t="s">
        <v>1297</v>
      </c>
      <c r="N952" s="52" t="s">
        <v>277</v>
      </c>
      <c r="O952" s="51" t="e">
        <f>VLOOKUP(N952,[2]!RUBROS[#All],3,0)</f>
        <v>#REF!</v>
      </c>
      <c r="P952" s="53" t="e">
        <f>VLOOKUP(N952,[2]!RUBROS[#All],2,0)</f>
        <v>#REF!</v>
      </c>
      <c r="Q952" s="47" t="str">
        <f t="shared" si="319"/>
        <v>91</v>
      </c>
      <c r="R952" s="47" t="str">
        <f t="shared" si="320"/>
        <v>4-101124</v>
      </c>
      <c r="S952" s="342">
        <v>200</v>
      </c>
      <c r="T952" s="59" t="s">
        <v>120</v>
      </c>
      <c r="U952" s="326" t="e">
        <f ca="1">_xlfn.XLOOKUP(PAA_4[[#This Row],[ITEM]],[2]Contrato!A:A,[2]Contrato!Q:Q,"",0)</f>
        <v>#NAME?</v>
      </c>
      <c r="V952" s="47" t="s">
        <v>47</v>
      </c>
      <c r="W952" s="343" t="s">
        <v>154</v>
      </c>
      <c r="X952" s="343" t="s">
        <v>154</v>
      </c>
      <c r="Y952" s="55" t="e">
        <f ca="1">_xlfn.XLOOKUP(PAA_4[[#This Row],[ITEM]],[2]Contrato!A:A,[2]Contrato!B:B,"",0)</f>
        <v>#NAME?</v>
      </c>
      <c r="Z952" s="47" t="e">
        <f ca="1">_xlfn.XLOOKUP(PAA_4[[#This Row],[ITEM]],[2]Contrato!A:A,[2]Contrato!G:G,"",0)</f>
        <v>#NAME?</v>
      </c>
      <c r="AA952" s="47" t="e">
        <f ca="1">_xlfn.XLOOKUP(PAA_4[[#This Row],[ITEM]],[2]Contrato!A:A,[2]Contrato!T:T,"",0)</f>
        <v>#NAME?</v>
      </c>
      <c r="AB952" s="55" t="e">
        <f ca="1">+MAX(PAA_4[[#This Row],[Comprometido Contrato]],PAA_4[[#This Row],[Comprometido Bolsa]])</f>
        <v>#NAME?</v>
      </c>
      <c r="AC952" s="55" t="str">
        <f t="shared" ca="1" si="321"/>
        <v/>
      </c>
      <c r="AD952" s="55" t="e">
        <f ca="1">IF(PAA_4[[#This Row],[ESTADO (formulado)]]="NO CONTRATADO",0,MAX(PAA_4[[#This Row],[Pago por Contrato]],PAA_4[[#This Row],[Pago por bolsa]]))</f>
        <v>#NAME?</v>
      </c>
      <c r="AE952" s="55" t="str">
        <f t="shared" ca="1" si="322"/>
        <v/>
      </c>
      <c r="AF952" s="47" t="e">
        <f t="shared" ca="1" si="323"/>
        <v>#NAME?</v>
      </c>
      <c r="AG952" s="47">
        <f t="shared" si="324"/>
        <v>41080103</v>
      </c>
      <c r="AH952" s="54">
        <f>IF(Q952="22",IF(ISNUMBER(SEARCH("econ",PAA_4[[#This Row],[Actividad3]])),"Económico",IF(ISNUMBER(SEARCH("alim",PAA_4[[#This Row],[Actividad3]])),"Alimentación",IF(ISNUMBER(SEARCH("educ",PAA_4[[#This Row],[Actividad3]])),"Educativo","Técnico"))),0)</f>
        <v>0</v>
      </c>
      <c r="AI952" s="47" t="e" cm="1">
        <f t="array" aca="1" ref="AI952" ca="1">_xlfn.XLOOKUP(PAA_4[[#This Row],[RCP-RUBRO]],[2]!COMPROMISOS_2024[[#All],[concatenado]],[2]!COMPROMISOS_2024[[#All],[Total pagado]],"",0)</f>
        <v>#NAME?</v>
      </c>
      <c r="AJ952" s="56">
        <f>IF(PAA_4[[#This Row],[BOLSA]]=0,0,SUMIFS([2]!COMPROMISOS_2024[[#All],[Total pagado]],[2]!COMPROMISOS_2024[[#All],[Bolsa]],PAA_4[[#This Row],[BOLSA]],[2]!COMPROMISOS_2024[[#All],[rubro]],PAA_4[[#This Row],[RCP-RUBRO]]))</f>
        <v>0</v>
      </c>
      <c r="AK952" s="47" t="e" cm="1">
        <f t="array" aca="1" ref="AK952" ca="1">_xlfn.XLOOKUP(PAA_4[[#This Row],[RCP-RUBRO]],[2]!COMPROMISOS_2024[[#All],[concatenado]],[2]!COMPROMISOS_2024[[#All],[Total Comprometido]],"",0)</f>
        <v>#NAME?</v>
      </c>
      <c r="AL952" s="47">
        <f>IF(PAA_4[[#This Row],[BOLSA]]=0,0,SUMIFS([2]!COMPROMISOS_2024[[#All],[Total Comprometido]],[2]!COMPROMISOS_2024[[#All],[Bolsa]],PAA_4[[#This Row],[BOLSA]],[2]!COMPROMISOS_2024[[#All],[concatenado]],PAA_4[[#This Row],[RCP-RUBRO]]))</f>
        <v>0</v>
      </c>
    </row>
    <row r="953" spans="1:38" s="19" customFormat="1" ht="31.5" customHeight="1">
      <c r="A953" s="47">
        <v>753</v>
      </c>
      <c r="B953" s="51">
        <v>80111600</v>
      </c>
      <c r="C953" s="47" t="str">
        <f>VLOOKUP(PAA_4[[#This Row],[PROYECTO (formulado)2]],[2]PROYECTOS!$G$1:$L$32,6,0)</f>
        <v>OFICINA DE MEDICINA DEPORTIVA</v>
      </c>
      <c r="D953" s="47" t="str">
        <f>+IF(PAA_4[[#This Row],[UNIDAD DE CONTRATACION (formulado)]]="Subgerencia Administrativa y Financiera","FUNCIONAMIENTO","INVERSIÓN")</f>
        <v>INVERSIÓN</v>
      </c>
      <c r="E953" s="48" t="str">
        <f>VLOOKUP(Q953,[2]PROYECTOS!$G$1:$K$32,5,0)</f>
        <v>APOYO_CIENTÍFICO_AL_RENDIMIENTO_DEPORTIVO_Y_LA_ACTIVIDAD_FÍSICA_EN_EL_DEPARTAMENTO_DE_ANTIOQUIA</v>
      </c>
      <c r="F953" s="48">
        <f>VLOOKUP(E953,[2]PROYECTOS!$K$1:$M$32,3,0)</f>
        <v>2021003050070</v>
      </c>
      <c r="G953" s="67" t="s">
        <v>207</v>
      </c>
      <c r="H953" s="49" t="str">
        <f>VLOOKUP(Q953,[2]PROYECTOS!$V$1:$W$32,2,0)</f>
        <v>050068</v>
      </c>
      <c r="I953" s="50">
        <f>53860540-1570389</f>
        <v>52290151</v>
      </c>
      <c r="J953" s="340" t="s">
        <v>1497</v>
      </c>
      <c r="K953" s="47" t="str">
        <f t="shared" ca="1" si="318"/>
        <v>CONTRATADO</v>
      </c>
      <c r="L953" s="351" t="s">
        <v>94</v>
      </c>
      <c r="M953" s="47" t="s">
        <v>1297</v>
      </c>
      <c r="N953" s="52" t="s">
        <v>277</v>
      </c>
      <c r="O953" s="51" t="e">
        <f>VLOOKUP(N953,[2]!RUBROS[#All],3,0)</f>
        <v>#REF!</v>
      </c>
      <c r="P953" s="53" t="e">
        <f>VLOOKUP(N953,[2]!RUBROS[#All],2,0)</f>
        <v>#REF!</v>
      </c>
      <c r="Q953" s="47" t="str">
        <f t="shared" si="319"/>
        <v>91</v>
      </c>
      <c r="R953" s="47" t="str">
        <f t="shared" si="320"/>
        <v>4-101124</v>
      </c>
      <c r="S953" s="342">
        <v>200</v>
      </c>
      <c r="T953" s="59" t="s">
        <v>120</v>
      </c>
      <c r="U953" s="326" t="e">
        <f ca="1">_xlfn.XLOOKUP(PAA_4[[#This Row],[ITEM]],[2]Contrato!A:A,[2]Contrato!Q:Q,"",0)</f>
        <v>#NAME?</v>
      </c>
      <c r="V953" s="47" t="s">
        <v>47</v>
      </c>
      <c r="W953" s="343" t="s">
        <v>154</v>
      </c>
      <c r="X953" s="343" t="s">
        <v>154</v>
      </c>
      <c r="Y953" s="55" t="e">
        <f ca="1">_xlfn.XLOOKUP(PAA_4[[#This Row],[ITEM]],[2]Contrato!A:A,[2]Contrato!B:B,"",0)</f>
        <v>#NAME?</v>
      </c>
      <c r="Z953" s="47" t="e">
        <f ca="1">_xlfn.XLOOKUP(PAA_4[[#This Row],[ITEM]],[2]Contrato!A:A,[2]Contrato!G:G,"",0)</f>
        <v>#NAME?</v>
      </c>
      <c r="AA953" s="47" t="e">
        <f ca="1">_xlfn.XLOOKUP(PAA_4[[#This Row],[ITEM]],[2]Contrato!A:A,[2]Contrato!T:T,"",0)</f>
        <v>#NAME?</v>
      </c>
      <c r="AB953" s="55" t="e">
        <f ca="1">+MAX(PAA_4[[#This Row],[Comprometido Contrato]],PAA_4[[#This Row],[Comprometido Bolsa]])</f>
        <v>#NAME?</v>
      </c>
      <c r="AC953" s="55" t="str">
        <f t="shared" ca="1" si="321"/>
        <v/>
      </c>
      <c r="AD953" s="55" t="e">
        <f ca="1">IF(PAA_4[[#This Row],[ESTADO (formulado)]]="NO CONTRATADO",0,MAX(PAA_4[[#This Row],[Pago por Contrato]],PAA_4[[#This Row],[Pago por bolsa]]))</f>
        <v>#NAME?</v>
      </c>
      <c r="AE953" s="55" t="str">
        <f t="shared" ca="1" si="322"/>
        <v/>
      </c>
      <c r="AF953" s="47" t="e">
        <f t="shared" ca="1" si="323"/>
        <v>#NAME?</v>
      </c>
      <c r="AG953" s="47">
        <f t="shared" si="324"/>
        <v>41080103</v>
      </c>
      <c r="AH953" s="54">
        <f>IF(Q953="22",IF(ISNUMBER(SEARCH("econ",PAA_4[[#This Row],[Actividad3]])),"Económico",IF(ISNUMBER(SEARCH("alim",PAA_4[[#This Row],[Actividad3]])),"Alimentación",IF(ISNUMBER(SEARCH("educ",PAA_4[[#This Row],[Actividad3]])),"Educativo","Técnico"))),0)</f>
        <v>0</v>
      </c>
      <c r="AI953" s="47" t="e" cm="1">
        <f t="array" aca="1" ref="AI953" ca="1">_xlfn.XLOOKUP(PAA_4[[#This Row],[RCP-RUBRO]],[2]!COMPROMISOS_2024[[#All],[concatenado]],[2]!COMPROMISOS_2024[[#All],[Total pagado]],"",0)</f>
        <v>#NAME?</v>
      </c>
      <c r="AJ953" s="56">
        <f>IF(PAA_4[[#This Row],[BOLSA]]=0,0,SUMIFS([2]!COMPROMISOS_2024[[#All],[Total pagado]],[2]!COMPROMISOS_2024[[#All],[Bolsa]],PAA_4[[#This Row],[BOLSA]],[2]!COMPROMISOS_2024[[#All],[rubro]],PAA_4[[#This Row],[RCP-RUBRO]]))</f>
        <v>0</v>
      </c>
      <c r="AK953" s="47" t="e" cm="1">
        <f t="array" aca="1" ref="AK953" ca="1">_xlfn.XLOOKUP(PAA_4[[#This Row],[RCP-RUBRO]],[2]!COMPROMISOS_2024[[#All],[concatenado]],[2]!COMPROMISOS_2024[[#All],[Total Comprometido]],"",0)</f>
        <v>#NAME?</v>
      </c>
      <c r="AL953" s="47">
        <f>IF(PAA_4[[#This Row],[BOLSA]]=0,0,SUMIFS([2]!COMPROMISOS_2024[[#All],[Total Comprometido]],[2]!COMPROMISOS_2024[[#All],[Bolsa]],PAA_4[[#This Row],[BOLSA]],[2]!COMPROMISOS_2024[[#All],[concatenado]],PAA_4[[#This Row],[RCP-RUBRO]]))</f>
        <v>0</v>
      </c>
    </row>
    <row r="954" spans="1:38" s="19" customFormat="1" ht="31.5" customHeight="1">
      <c r="A954" s="47">
        <v>754</v>
      </c>
      <c r="B954" s="51">
        <v>80111600</v>
      </c>
      <c r="C954" s="47" t="str">
        <f>VLOOKUP(PAA_4[[#This Row],[PROYECTO (formulado)2]],[2]PROYECTOS!$G$1:$L$32,6,0)</f>
        <v>OFICINA DE MEDICINA DEPORTIVA</v>
      </c>
      <c r="D954" s="47" t="str">
        <f>+IF(PAA_4[[#This Row],[UNIDAD DE CONTRATACION (formulado)]]="Subgerencia Administrativa y Financiera","FUNCIONAMIENTO","INVERSIÓN")</f>
        <v>INVERSIÓN</v>
      </c>
      <c r="E954" s="48" t="str">
        <f>VLOOKUP(Q954,[2]PROYECTOS!$G$1:$K$32,5,0)</f>
        <v>APOYO_CIENTÍFICO_AL_RENDIMIENTO_DEPORTIVO_Y_LA_ACTIVIDAD_FÍSICA_EN_EL_DEPARTAMENTO_DE_ANTIOQUIA</v>
      </c>
      <c r="F954" s="48">
        <f>VLOOKUP(E954,[2]PROYECTOS!$K$1:$M$32,3,0)</f>
        <v>2021003050070</v>
      </c>
      <c r="G954" s="67" t="s">
        <v>207</v>
      </c>
      <c r="H954" s="49" t="str">
        <f>VLOOKUP(Q954,[2]PROYECTOS!$V$1:$W$32,2,0)</f>
        <v>050068</v>
      </c>
      <c r="I954" s="50">
        <f>35244542-4346471</f>
        <v>30898071</v>
      </c>
      <c r="J954" s="340" t="s">
        <v>1543</v>
      </c>
      <c r="K954" s="47" t="str">
        <f t="shared" ca="1" si="318"/>
        <v>CONTRATADO</v>
      </c>
      <c r="L954" s="351" t="s">
        <v>94</v>
      </c>
      <c r="M954" s="47" t="s">
        <v>1297</v>
      </c>
      <c r="N954" s="52" t="s">
        <v>277</v>
      </c>
      <c r="O954" s="51" t="e">
        <f>VLOOKUP(N954,[2]!RUBROS[#All],3,0)</f>
        <v>#REF!</v>
      </c>
      <c r="P954" s="53" t="e">
        <f>VLOOKUP(N954,[2]!RUBROS[#All],2,0)</f>
        <v>#REF!</v>
      </c>
      <c r="Q954" s="47" t="str">
        <f t="shared" si="319"/>
        <v>91</v>
      </c>
      <c r="R954" s="47" t="str">
        <f t="shared" si="320"/>
        <v>4-101124</v>
      </c>
      <c r="S954" s="342">
        <v>200</v>
      </c>
      <c r="T954" s="59" t="s">
        <v>120</v>
      </c>
      <c r="U954" s="326" t="e">
        <f ca="1">_xlfn.XLOOKUP(PAA_4[[#This Row],[ITEM]],[2]Contrato!A:A,[2]Contrato!Q:Q,"",0)</f>
        <v>#NAME?</v>
      </c>
      <c r="V954" s="47" t="s">
        <v>47</v>
      </c>
      <c r="W954" s="343" t="s">
        <v>154</v>
      </c>
      <c r="X954" s="343" t="s">
        <v>154</v>
      </c>
      <c r="Y954" s="55" t="e">
        <f ca="1">_xlfn.XLOOKUP(PAA_4[[#This Row],[ITEM]],[2]Contrato!A:A,[2]Contrato!B:B,"",0)</f>
        <v>#NAME?</v>
      </c>
      <c r="Z954" s="47" t="e">
        <f ca="1">_xlfn.XLOOKUP(PAA_4[[#This Row],[ITEM]],[2]Contrato!A:A,[2]Contrato!G:G,"",0)</f>
        <v>#NAME?</v>
      </c>
      <c r="AA954" s="47" t="e">
        <f ca="1">_xlfn.XLOOKUP(PAA_4[[#This Row],[ITEM]],[2]Contrato!A:A,[2]Contrato!T:T,"",0)</f>
        <v>#NAME?</v>
      </c>
      <c r="AB954" s="55" t="e">
        <f ca="1">+MAX(PAA_4[[#This Row],[Comprometido Contrato]],PAA_4[[#This Row],[Comprometido Bolsa]])</f>
        <v>#NAME?</v>
      </c>
      <c r="AC954" s="55" t="str">
        <f t="shared" ca="1" si="321"/>
        <v/>
      </c>
      <c r="AD954" s="55" t="e">
        <f ca="1">IF(PAA_4[[#This Row],[ESTADO (formulado)]]="NO CONTRATADO",0,MAX(PAA_4[[#This Row],[Pago por Contrato]],PAA_4[[#This Row],[Pago por bolsa]]))</f>
        <v>#NAME?</v>
      </c>
      <c r="AE954" s="55" t="str">
        <f t="shared" ca="1" si="322"/>
        <v/>
      </c>
      <c r="AF954" s="47" t="e">
        <f t="shared" ca="1" si="323"/>
        <v>#NAME?</v>
      </c>
      <c r="AG954" s="47">
        <f t="shared" si="324"/>
        <v>41080103</v>
      </c>
      <c r="AH954" s="54">
        <f>IF(Q954="22",IF(ISNUMBER(SEARCH("econ",PAA_4[[#This Row],[Actividad3]])),"Económico",IF(ISNUMBER(SEARCH("alim",PAA_4[[#This Row],[Actividad3]])),"Alimentación",IF(ISNUMBER(SEARCH("educ",PAA_4[[#This Row],[Actividad3]])),"Educativo","Técnico"))),0)</f>
        <v>0</v>
      </c>
      <c r="AI954" s="47" t="e" cm="1">
        <f t="array" aca="1" ref="AI954" ca="1">_xlfn.XLOOKUP(PAA_4[[#This Row],[RCP-RUBRO]],[2]!COMPROMISOS_2024[[#All],[concatenado]],[2]!COMPROMISOS_2024[[#All],[Total pagado]],"",0)</f>
        <v>#NAME?</v>
      </c>
      <c r="AJ954" s="56">
        <f>IF(PAA_4[[#This Row],[BOLSA]]=0,0,SUMIFS([2]!COMPROMISOS_2024[[#All],[Total pagado]],[2]!COMPROMISOS_2024[[#All],[Bolsa]],PAA_4[[#This Row],[BOLSA]],[2]!COMPROMISOS_2024[[#All],[rubro]],PAA_4[[#This Row],[RCP-RUBRO]]))</f>
        <v>0</v>
      </c>
      <c r="AK954" s="47" t="e" cm="1">
        <f t="array" aca="1" ref="AK954" ca="1">_xlfn.XLOOKUP(PAA_4[[#This Row],[RCP-RUBRO]],[2]!COMPROMISOS_2024[[#All],[concatenado]],[2]!COMPROMISOS_2024[[#All],[Total Comprometido]],"",0)</f>
        <v>#NAME?</v>
      </c>
      <c r="AL954" s="47">
        <f>IF(PAA_4[[#This Row],[BOLSA]]=0,0,SUMIFS([2]!COMPROMISOS_2024[[#All],[Total Comprometido]],[2]!COMPROMISOS_2024[[#All],[Bolsa]],PAA_4[[#This Row],[BOLSA]],[2]!COMPROMISOS_2024[[#All],[concatenado]],PAA_4[[#This Row],[RCP-RUBRO]]))</f>
        <v>0</v>
      </c>
    </row>
    <row r="955" spans="1:38" s="19" customFormat="1" ht="31.5" customHeight="1">
      <c r="A955" s="47">
        <v>755</v>
      </c>
      <c r="B955" s="51">
        <v>80111600</v>
      </c>
      <c r="C955" s="47" t="str">
        <f>VLOOKUP(PAA_4[[#This Row],[PROYECTO (formulado)2]],[2]PROYECTOS!$G$1:$L$32,6,0)</f>
        <v>OFICINA DE MEDICINA DEPORTIVA</v>
      </c>
      <c r="D955" s="47" t="str">
        <f>+IF(PAA_4[[#This Row],[UNIDAD DE CONTRATACION (formulado)]]="Subgerencia Administrativa y Financiera","FUNCIONAMIENTO","INVERSIÓN")</f>
        <v>INVERSIÓN</v>
      </c>
      <c r="E955" s="48" t="str">
        <f>VLOOKUP(Q955,[2]PROYECTOS!$G$1:$K$32,5,0)</f>
        <v>APOYO_CIENTÍFICO_AL_RENDIMIENTO_DEPORTIVO_Y_LA_ACTIVIDAD_FÍSICA_EN_EL_DEPARTAMENTO_DE_ANTIOQUIA</v>
      </c>
      <c r="F955" s="48">
        <f>VLOOKUP(E955,[2]PROYECTOS!$K$1:$M$32,3,0)</f>
        <v>2021003050070</v>
      </c>
      <c r="G955" s="67" t="s">
        <v>207</v>
      </c>
      <c r="H955" s="49" t="str">
        <f>VLOOKUP(Q955,[2]PROYECTOS!$V$1:$W$32,2,0)</f>
        <v>050068</v>
      </c>
      <c r="I955" s="50">
        <v>0</v>
      </c>
      <c r="J955" s="340" t="s">
        <v>42</v>
      </c>
      <c r="K955" s="47" t="str">
        <f t="shared" ca="1" si="318"/>
        <v>CONTRATADO</v>
      </c>
      <c r="L955" s="351" t="s">
        <v>94</v>
      </c>
      <c r="M955" s="47" t="s">
        <v>1297</v>
      </c>
      <c r="N955" s="52" t="s">
        <v>277</v>
      </c>
      <c r="O955" s="51" t="e">
        <f>VLOOKUP(N955,[2]!RUBROS[#All],3,0)</f>
        <v>#REF!</v>
      </c>
      <c r="P955" s="53" t="e">
        <f>VLOOKUP(N955,[2]!RUBROS[#All],2,0)</f>
        <v>#REF!</v>
      </c>
      <c r="Q955" s="47" t="str">
        <f t="shared" si="319"/>
        <v>91</v>
      </c>
      <c r="R955" s="47" t="str">
        <f t="shared" si="320"/>
        <v>4-101124</v>
      </c>
      <c r="S955" s="342">
        <v>200</v>
      </c>
      <c r="T955" s="59" t="s">
        <v>120</v>
      </c>
      <c r="U955" s="326" t="e">
        <f ca="1">_xlfn.XLOOKUP(PAA_4[[#This Row],[ITEM]],[2]Contrato!A:A,[2]Contrato!Q:Q,"",0)</f>
        <v>#NAME?</v>
      </c>
      <c r="V955" s="47" t="s">
        <v>47</v>
      </c>
      <c r="W955" s="343" t="s">
        <v>154</v>
      </c>
      <c r="X955" s="343" t="s">
        <v>154</v>
      </c>
      <c r="Y955" s="55" t="e">
        <f ca="1">_xlfn.XLOOKUP(PAA_4[[#This Row],[ITEM]],[2]Contrato!A:A,[2]Contrato!B:B,"",0)</f>
        <v>#NAME?</v>
      </c>
      <c r="Z955" s="47" t="e">
        <f ca="1">_xlfn.XLOOKUP(PAA_4[[#This Row],[ITEM]],[2]Contrato!A:A,[2]Contrato!G:G,"",0)</f>
        <v>#NAME?</v>
      </c>
      <c r="AA955" s="47" t="e">
        <f ca="1">_xlfn.XLOOKUP(PAA_4[[#This Row],[ITEM]],[2]Contrato!A:A,[2]Contrato!T:T,"",0)</f>
        <v>#NAME?</v>
      </c>
      <c r="AB955" s="55" t="e">
        <f ca="1">+MAX(PAA_4[[#This Row],[Comprometido Contrato]],PAA_4[[#This Row],[Comprometido Bolsa]])</f>
        <v>#NAME?</v>
      </c>
      <c r="AC955" s="55" t="str">
        <f t="shared" ca="1" si="321"/>
        <v/>
      </c>
      <c r="AD955" s="55" t="e">
        <f ca="1">IF(PAA_4[[#This Row],[ESTADO (formulado)]]="NO CONTRATADO",0,MAX(PAA_4[[#This Row],[Pago por Contrato]],PAA_4[[#This Row],[Pago por bolsa]]))</f>
        <v>#NAME?</v>
      </c>
      <c r="AE955" s="55" t="str">
        <f t="shared" ca="1" si="322"/>
        <v/>
      </c>
      <c r="AF955" s="47" t="e">
        <f t="shared" ca="1" si="323"/>
        <v>#NAME?</v>
      </c>
      <c r="AG955" s="47">
        <f t="shared" si="324"/>
        <v>41080103</v>
      </c>
      <c r="AH955" s="54">
        <f>IF(Q955="22",IF(ISNUMBER(SEARCH("econ",PAA_4[[#This Row],[Actividad3]])),"Económico",IF(ISNUMBER(SEARCH("alim",PAA_4[[#This Row],[Actividad3]])),"Alimentación",IF(ISNUMBER(SEARCH("educ",PAA_4[[#This Row],[Actividad3]])),"Educativo","Técnico"))),0)</f>
        <v>0</v>
      </c>
      <c r="AI955" s="47" t="e" cm="1">
        <f t="array" aca="1" ref="AI955" ca="1">_xlfn.XLOOKUP(PAA_4[[#This Row],[RCP-RUBRO]],[2]!COMPROMISOS_2024[[#All],[concatenado]],[2]!COMPROMISOS_2024[[#All],[Total pagado]],"",0)</f>
        <v>#NAME?</v>
      </c>
      <c r="AJ955" s="56">
        <f>IF(PAA_4[[#This Row],[BOLSA]]=0,0,SUMIFS([2]!COMPROMISOS_2024[[#All],[Total pagado]],[2]!COMPROMISOS_2024[[#All],[Bolsa]],PAA_4[[#This Row],[BOLSA]],[2]!COMPROMISOS_2024[[#All],[rubro]],PAA_4[[#This Row],[RCP-RUBRO]]))</f>
        <v>0</v>
      </c>
      <c r="AK955" s="47" t="e" cm="1">
        <f t="array" aca="1" ref="AK955" ca="1">_xlfn.XLOOKUP(PAA_4[[#This Row],[RCP-RUBRO]],[2]!COMPROMISOS_2024[[#All],[concatenado]],[2]!COMPROMISOS_2024[[#All],[Total Comprometido]],"",0)</f>
        <v>#NAME?</v>
      </c>
      <c r="AL955" s="47">
        <f>IF(PAA_4[[#This Row],[BOLSA]]=0,0,SUMIFS([2]!COMPROMISOS_2024[[#All],[Total Comprometido]],[2]!COMPROMISOS_2024[[#All],[Bolsa]],PAA_4[[#This Row],[BOLSA]],[2]!COMPROMISOS_2024[[#All],[concatenado]],PAA_4[[#This Row],[RCP-RUBRO]]))</f>
        <v>0</v>
      </c>
    </row>
    <row r="956" spans="1:38" s="19" customFormat="1" ht="31.5" customHeight="1">
      <c r="A956" s="47">
        <v>756</v>
      </c>
      <c r="B956" s="51">
        <v>80111600</v>
      </c>
      <c r="C956" s="47" t="str">
        <f>VLOOKUP(PAA_4[[#This Row],[PROYECTO (formulado)2]],[2]PROYECTOS!$G$1:$L$32,6,0)</f>
        <v>OFICINA DE MEDICINA DEPORTIVA</v>
      </c>
      <c r="D956" s="47" t="str">
        <f>+IF(PAA_4[[#This Row],[UNIDAD DE CONTRATACION (formulado)]]="Subgerencia Administrativa y Financiera","FUNCIONAMIENTO","INVERSIÓN")</f>
        <v>INVERSIÓN</v>
      </c>
      <c r="E956" s="48" t="str">
        <f>VLOOKUP(Q956,[2]PROYECTOS!$G$1:$K$32,5,0)</f>
        <v>APOYO_CIENTÍFICO_AL_RENDIMIENTO_DEPORTIVO_Y_LA_ACTIVIDAD_FÍSICA_EN_EL_DEPARTAMENTO_DE_ANTIOQUIA</v>
      </c>
      <c r="F956" s="48">
        <f>VLOOKUP(E956,[2]PROYECTOS!$K$1:$M$32,3,0)</f>
        <v>2021003050070</v>
      </c>
      <c r="G956" s="67" t="s">
        <v>207</v>
      </c>
      <c r="H956" s="49" t="str">
        <f>VLOOKUP(Q956,[2]PROYECTOS!$V$1:$W$32,2,0)</f>
        <v>050068</v>
      </c>
      <c r="I956" s="50">
        <v>0</v>
      </c>
      <c r="J956" s="340" t="s">
        <v>42</v>
      </c>
      <c r="K956" s="47" t="str">
        <f t="shared" ca="1" si="318"/>
        <v>CONTRATADO</v>
      </c>
      <c r="L956" s="351" t="s">
        <v>94</v>
      </c>
      <c r="M956" s="47" t="s">
        <v>1297</v>
      </c>
      <c r="N956" s="52" t="s">
        <v>277</v>
      </c>
      <c r="O956" s="51" t="e">
        <f>VLOOKUP(N956,[2]!RUBROS[#All],3,0)</f>
        <v>#REF!</v>
      </c>
      <c r="P956" s="53" t="e">
        <f>VLOOKUP(N956,[2]!RUBROS[#All],2,0)</f>
        <v>#REF!</v>
      </c>
      <c r="Q956" s="47" t="str">
        <f t="shared" si="319"/>
        <v>91</v>
      </c>
      <c r="R956" s="47" t="str">
        <f t="shared" si="320"/>
        <v>4-101124</v>
      </c>
      <c r="S956" s="342">
        <v>200</v>
      </c>
      <c r="T956" s="59" t="s">
        <v>120</v>
      </c>
      <c r="U956" s="326" t="e">
        <f ca="1">_xlfn.XLOOKUP(PAA_4[[#This Row],[ITEM]],[2]Contrato!A:A,[2]Contrato!Q:Q,"",0)</f>
        <v>#NAME?</v>
      </c>
      <c r="V956" s="47" t="s">
        <v>47</v>
      </c>
      <c r="W956" s="343" t="s">
        <v>154</v>
      </c>
      <c r="X956" s="343" t="s">
        <v>154</v>
      </c>
      <c r="Y956" s="55" t="e">
        <f ca="1">_xlfn.XLOOKUP(PAA_4[[#This Row],[ITEM]],[2]Contrato!A:A,[2]Contrato!B:B,"",0)</f>
        <v>#NAME?</v>
      </c>
      <c r="Z956" s="47" t="e">
        <f ca="1">_xlfn.XLOOKUP(PAA_4[[#This Row],[ITEM]],[2]Contrato!A:A,[2]Contrato!G:G,"",0)</f>
        <v>#NAME?</v>
      </c>
      <c r="AA956" s="47" t="e">
        <f ca="1">_xlfn.XLOOKUP(PAA_4[[#This Row],[ITEM]],[2]Contrato!A:A,[2]Contrato!T:T,"",0)</f>
        <v>#NAME?</v>
      </c>
      <c r="AB956" s="55" t="e">
        <f ca="1">+MAX(PAA_4[[#This Row],[Comprometido Contrato]],PAA_4[[#This Row],[Comprometido Bolsa]])</f>
        <v>#NAME?</v>
      </c>
      <c r="AC956" s="55" t="str">
        <f t="shared" ca="1" si="321"/>
        <v/>
      </c>
      <c r="AD956" s="55" t="e">
        <f ca="1">IF(PAA_4[[#This Row],[ESTADO (formulado)]]="NO CONTRATADO",0,MAX(PAA_4[[#This Row],[Pago por Contrato]],PAA_4[[#This Row],[Pago por bolsa]]))</f>
        <v>#NAME?</v>
      </c>
      <c r="AE956" s="55" t="str">
        <f t="shared" ca="1" si="322"/>
        <v/>
      </c>
      <c r="AF956" s="47" t="e">
        <f t="shared" ca="1" si="323"/>
        <v>#NAME?</v>
      </c>
      <c r="AG956" s="47">
        <f t="shared" si="324"/>
        <v>41080103</v>
      </c>
      <c r="AH956" s="54">
        <f>IF(Q956="22",IF(ISNUMBER(SEARCH("econ",PAA_4[[#This Row],[Actividad3]])),"Económico",IF(ISNUMBER(SEARCH("alim",PAA_4[[#This Row],[Actividad3]])),"Alimentación",IF(ISNUMBER(SEARCH("educ",PAA_4[[#This Row],[Actividad3]])),"Educativo","Técnico"))),0)</f>
        <v>0</v>
      </c>
      <c r="AI956" s="47" t="e" cm="1">
        <f t="array" aca="1" ref="AI956" ca="1">_xlfn.XLOOKUP(PAA_4[[#This Row],[RCP-RUBRO]],[2]!COMPROMISOS_2024[[#All],[concatenado]],[2]!COMPROMISOS_2024[[#All],[Total pagado]],"",0)</f>
        <v>#NAME?</v>
      </c>
      <c r="AJ956" s="56">
        <f>IF(PAA_4[[#This Row],[BOLSA]]=0,0,SUMIFS([2]!COMPROMISOS_2024[[#All],[Total pagado]],[2]!COMPROMISOS_2024[[#All],[Bolsa]],PAA_4[[#This Row],[BOLSA]],[2]!COMPROMISOS_2024[[#All],[rubro]],PAA_4[[#This Row],[RCP-RUBRO]]))</f>
        <v>0</v>
      </c>
      <c r="AK956" s="47" t="e" cm="1">
        <f t="array" aca="1" ref="AK956" ca="1">_xlfn.XLOOKUP(PAA_4[[#This Row],[RCP-RUBRO]],[2]!COMPROMISOS_2024[[#All],[concatenado]],[2]!COMPROMISOS_2024[[#All],[Total Comprometido]],"",0)</f>
        <v>#NAME?</v>
      </c>
      <c r="AL956" s="47">
        <f>IF(PAA_4[[#This Row],[BOLSA]]=0,0,SUMIFS([2]!COMPROMISOS_2024[[#All],[Total Comprometido]],[2]!COMPROMISOS_2024[[#All],[Bolsa]],PAA_4[[#This Row],[BOLSA]],[2]!COMPROMISOS_2024[[#All],[concatenado]],PAA_4[[#This Row],[RCP-RUBRO]]))</f>
        <v>0</v>
      </c>
    </row>
    <row r="957" spans="1:38" s="19" customFormat="1" ht="31.5" customHeight="1">
      <c r="A957" s="47">
        <v>757</v>
      </c>
      <c r="B957" s="51">
        <v>80111600</v>
      </c>
      <c r="C957" s="47" t="str">
        <f>VLOOKUP(PAA_4[[#This Row],[PROYECTO (formulado)2]],[2]PROYECTOS!$G$1:$L$32,6,0)</f>
        <v>OFICINA DE MEDICINA DEPORTIVA</v>
      </c>
      <c r="D957" s="47" t="str">
        <f>+IF(PAA_4[[#This Row],[UNIDAD DE CONTRATACION (formulado)]]="Subgerencia Administrativa y Financiera","FUNCIONAMIENTO","INVERSIÓN")</f>
        <v>INVERSIÓN</v>
      </c>
      <c r="E957" s="48" t="str">
        <f>VLOOKUP(Q957,[2]PROYECTOS!$G$1:$K$32,5,0)</f>
        <v>APOYO_CIENTÍFICO_AL_RENDIMIENTO_DEPORTIVO_Y_LA_ACTIVIDAD_FÍSICA_EN_EL_DEPARTAMENTO_DE_ANTIOQUIA</v>
      </c>
      <c r="F957" s="48">
        <f>VLOOKUP(E957,[2]PROYECTOS!$K$1:$M$32,3,0)</f>
        <v>2021003050070</v>
      </c>
      <c r="G957" s="67" t="s">
        <v>212</v>
      </c>
      <c r="H957" s="49" t="str">
        <f>VLOOKUP(Q957,[2]PROYECTOS!$V$1:$W$32,2,0)</f>
        <v>050068</v>
      </c>
      <c r="I957" s="50">
        <f>40859129-4629303</f>
        <v>36229826</v>
      </c>
      <c r="J957" s="356" t="s">
        <v>1798</v>
      </c>
      <c r="K957" s="47" t="str">
        <f t="shared" ca="1" si="318"/>
        <v>CONTRATADO</v>
      </c>
      <c r="L957" s="351" t="s">
        <v>94</v>
      </c>
      <c r="M957" s="47" t="s">
        <v>1297</v>
      </c>
      <c r="N957" s="52" t="s">
        <v>277</v>
      </c>
      <c r="O957" s="51" t="e">
        <f>VLOOKUP(N957,[2]!RUBROS[#All],3,0)</f>
        <v>#REF!</v>
      </c>
      <c r="P957" s="53" t="e">
        <f>VLOOKUP(N957,[2]!RUBROS[#All],2,0)</f>
        <v>#REF!</v>
      </c>
      <c r="Q957" s="47" t="str">
        <f t="shared" si="319"/>
        <v>91</v>
      </c>
      <c r="R957" s="47" t="str">
        <f t="shared" si="320"/>
        <v>4-101124</v>
      </c>
      <c r="S957" s="342">
        <v>200</v>
      </c>
      <c r="T957" s="59" t="s">
        <v>120</v>
      </c>
      <c r="U957" s="326" t="e">
        <f ca="1">_xlfn.XLOOKUP(PAA_4[[#This Row],[ITEM]],[2]Contrato!A:A,[2]Contrato!Q:Q,"",0)</f>
        <v>#NAME?</v>
      </c>
      <c r="V957" s="47" t="s">
        <v>47</v>
      </c>
      <c r="W957" s="343" t="s">
        <v>154</v>
      </c>
      <c r="X957" s="343" t="s">
        <v>154</v>
      </c>
      <c r="Y957" s="55" t="e">
        <f ca="1">_xlfn.XLOOKUP(PAA_4[[#This Row],[ITEM]],[2]Contrato!A:A,[2]Contrato!B:B,"",0)</f>
        <v>#NAME?</v>
      </c>
      <c r="Z957" s="47" t="e">
        <f ca="1">_xlfn.XLOOKUP(PAA_4[[#This Row],[ITEM]],[2]Contrato!A:A,[2]Contrato!G:G,"",0)</f>
        <v>#NAME?</v>
      </c>
      <c r="AA957" s="47" t="e">
        <f ca="1">_xlfn.XLOOKUP(PAA_4[[#This Row],[ITEM]],[2]Contrato!A:A,[2]Contrato!T:T,"",0)</f>
        <v>#NAME?</v>
      </c>
      <c r="AB957" s="55" t="e">
        <f ca="1">+MAX(PAA_4[[#This Row],[Comprometido Contrato]],PAA_4[[#This Row],[Comprometido Bolsa]])</f>
        <v>#NAME?</v>
      </c>
      <c r="AC957" s="55" t="str">
        <f t="shared" ca="1" si="321"/>
        <v/>
      </c>
      <c r="AD957" s="55" t="e">
        <f ca="1">IF(PAA_4[[#This Row],[ESTADO (formulado)]]="NO CONTRATADO",0,MAX(PAA_4[[#This Row],[Pago por Contrato]],PAA_4[[#This Row],[Pago por bolsa]]))</f>
        <v>#NAME?</v>
      </c>
      <c r="AE957" s="55" t="str">
        <f t="shared" ca="1" si="322"/>
        <v/>
      </c>
      <c r="AF957" s="47" t="e">
        <f t="shared" ca="1" si="323"/>
        <v>#NAME?</v>
      </c>
      <c r="AG957" s="47">
        <f t="shared" si="324"/>
        <v>41080108</v>
      </c>
      <c r="AH957" s="54">
        <f>IF(Q957="22",IF(ISNUMBER(SEARCH("econ",PAA_4[[#This Row],[Actividad3]])),"Económico",IF(ISNUMBER(SEARCH("alim",PAA_4[[#This Row],[Actividad3]])),"Alimentación",IF(ISNUMBER(SEARCH("educ",PAA_4[[#This Row],[Actividad3]])),"Educativo","Técnico"))),0)</f>
        <v>0</v>
      </c>
      <c r="AI957" s="47" t="e" cm="1">
        <f t="array" aca="1" ref="AI957" ca="1">_xlfn.XLOOKUP(PAA_4[[#This Row],[RCP-RUBRO]],[2]!COMPROMISOS_2024[[#All],[concatenado]],[2]!COMPROMISOS_2024[[#All],[Total pagado]],"",0)</f>
        <v>#NAME?</v>
      </c>
      <c r="AJ957" s="56">
        <f>IF(PAA_4[[#This Row],[BOLSA]]=0,0,SUMIFS([2]!COMPROMISOS_2024[[#All],[Total pagado]],[2]!COMPROMISOS_2024[[#All],[Bolsa]],PAA_4[[#This Row],[BOLSA]],[2]!COMPROMISOS_2024[[#All],[rubro]],PAA_4[[#This Row],[RCP-RUBRO]]))</f>
        <v>0</v>
      </c>
      <c r="AK957" s="47" t="e" cm="1">
        <f t="array" aca="1" ref="AK957" ca="1">_xlfn.XLOOKUP(PAA_4[[#This Row],[RCP-RUBRO]],[2]!COMPROMISOS_2024[[#All],[concatenado]],[2]!COMPROMISOS_2024[[#All],[Total Comprometido]],"",0)</f>
        <v>#NAME?</v>
      </c>
      <c r="AL957" s="47">
        <f>IF(PAA_4[[#This Row],[BOLSA]]=0,0,SUMIFS([2]!COMPROMISOS_2024[[#All],[Total Comprometido]],[2]!COMPROMISOS_2024[[#All],[Bolsa]],PAA_4[[#This Row],[BOLSA]],[2]!COMPROMISOS_2024[[#All],[concatenado]],PAA_4[[#This Row],[RCP-RUBRO]]))</f>
        <v>0</v>
      </c>
    </row>
    <row r="958" spans="1:38" s="19" customFormat="1" ht="31.5" customHeight="1">
      <c r="A958" s="47">
        <v>758</v>
      </c>
      <c r="B958" s="51">
        <v>80111600</v>
      </c>
      <c r="C958" s="47" t="str">
        <f>VLOOKUP(PAA_4[[#This Row],[PROYECTO (formulado)2]],[2]PROYECTOS!$G$1:$L$32,6,0)</f>
        <v>OFICINA DE MEDICINA DEPORTIVA</v>
      </c>
      <c r="D958" s="47" t="str">
        <f>+IF(PAA_4[[#This Row],[UNIDAD DE CONTRATACION (formulado)]]="Subgerencia Administrativa y Financiera","FUNCIONAMIENTO","INVERSIÓN")</f>
        <v>INVERSIÓN</v>
      </c>
      <c r="E958" s="48" t="str">
        <f>VLOOKUP(Q958,[2]PROYECTOS!$G$1:$K$32,5,0)</f>
        <v>APOYO_CIENTÍFICO_AL_RENDIMIENTO_DEPORTIVO_Y_LA_ACTIVIDAD_FÍSICA_EN_EL_DEPARTAMENTO_DE_ANTIOQUIA</v>
      </c>
      <c r="F958" s="48">
        <f>VLOOKUP(E958,[2]PROYECTOS!$K$1:$M$32,3,0)</f>
        <v>2021003050070</v>
      </c>
      <c r="G958" s="67" t="s">
        <v>212</v>
      </c>
      <c r="H958" s="49" t="str">
        <f>VLOOKUP(Q958,[2]PROYECTOS!$V$1:$W$32,2,0)</f>
        <v>050068</v>
      </c>
      <c r="I958" s="50">
        <f>38336800-1723117</f>
        <v>36613683</v>
      </c>
      <c r="J958" s="356" t="s">
        <v>1497</v>
      </c>
      <c r="K958" s="47" t="str">
        <f t="shared" ca="1" si="318"/>
        <v>CONTRATADO</v>
      </c>
      <c r="L958" s="351" t="s">
        <v>94</v>
      </c>
      <c r="M958" s="47" t="s">
        <v>1297</v>
      </c>
      <c r="N958" s="52" t="s">
        <v>277</v>
      </c>
      <c r="O958" s="51" t="e">
        <f>VLOOKUP(N958,[2]!RUBROS[#All],3,0)</f>
        <v>#REF!</v>
      </c>
      <c r="P958" s="53" t="e">
        <f>VLOOKUP(N958,[2]!RUBROS[#All],2,0)</f>
        <v>#REF!</v>
      </c>
      <c r="Q958" s="47" t="str">
        <f t="shared" si="319"/>
        <v>91</v>
      </c>
      <c r="R958" s="47" t="str">
        <f t="shared" si="320"/>
        <v>4-101124</v>
      </c>
      <c r="S958" s="342">
        <v>200</v>
      </c>
      <c r="T958" s="59" t="s">
        <v>120</v>
      </c>
      <c r="U958" s="326" t="e">
        <f ca="1">_xlfn.XLOOKUP(PAA_4[[#This Row],[ITEM]],[2]Contrato!A:A,[2]Contrato!Q:Q,"",0)</f>
        <v>#NAME?</v>
      </c>
      <c r="V958" s="47" t="s">
        <v>47</v>
      </c>
      <c r="W958" s="343" t="s">
        <v>154</v>
      </c>
      <c r="X958" s="343" t="s">
        <v>154</v>
      </c>
      <c r="Y958" s="55" t="e">
        <f ca="1">_xlfn.XLOOKUP(PAA_4[[#This Row],[ITEM]],[2]Contrato!A:A,[2]Contrato!B:B,"",0)</f>
        <v>#NAME?</v>
      </c>
      <c r="Z958" s="47" t="e">
        <f ca="1">_xlfn.XLOOKUP(PAA_4[[#This Row],[ITEM]],[2]Contrato!A:A,[2]Contrato!G:G,"",0)</f>
        <v>#NAME?</v>
      </c>
      <c r="AA958" s="47" t="e">
        <f ca="1">_xlfn.XLOOKUP(PAA_4[[#This Row],[ITEM]],[2]Contrato!A:A,[2]Contrato!T:T,"",0)</f>
        <v>#NAME?</v>
      </c>
      <c r="AB958" s="55" t="e">
        <f ca="1">+MAX(PAA_4[[#This Row],[Comprometido Contrato]],PAA_4[[#This Row],[Comprometido Bolsa]])</f>
        <v>#NAME?</v>
      </c>
      <c r="AC958" s="55" t="str">
        <f t="shared" ca="1" si="321"/>
        <v/>
      </c>
      <c r="AD958" s="55" t="e">
        <f ca="1">IF(PAA_4[[#This Row],[ESTADO (formulado)]]="NO CONTRATADO",0,MAX(PAA_4[[#This Row],[Pago por Contrato]],PAA_4[[#This Row],[Pago por bolsa]]))</f>
        <v>#NAME?</v>
      </c>
      <c r="AE958" s="55" t="str">
        <f t="shared" ca="1" si="322"/>
        <v/>
      </c>
      <c r="AF958" s="47" t="e">
        <f t="shared" ca="1" si="323"/>
        <v>#NAME?</v>
      </c>
      <c r="AG958" s="47">
        <f t="shared" si="324"/>
        <v>41080108</v>
      </c>
      <c r="AH958" s="54">
        <f>IF(Q958="22",IF(ISNUMBER(SEARCH("econ",PAA_4[[#This Row],[Actividad3]])),"Económico",IF(ISNUMBER(SEARCH("alim",PAA_4[[#This Row],[Actividad3]])),"Alimentación",IF(ISNUMBER(SEARCH("educ",PAA_4[[#This Row],[Actividad3]])),"Educativo","Técnico"))),0)</f>
        <v>0</v>
      </c>
      <c r="AI958" s="47" t="e" cm="1">
        <f t="array" aca="1" ref="AI958" ca="1">_xlfn.XLOOKUP(PAA_4[[#This Row],[RCP-RUBRO]],[2]!COMPROMISOS_2024[[#All],[concatenado]],[2]!COMPROMISOS_2024[[#All],[Total pagado]],"",0)</f>
        <v>#NAME?</v>
      </c>
      <c r="AJ958" s="56">
        <f>IF(PAA_4[[#This Row],[BOLSA]]=0,0,SUMIFS([2]!COMPROMISOS_2024[[#All],[Total pagado]],[2]!COMPROMISOS_2024[[#All],[Bolsa]],PAA_4[[#This Row],[BOLSA]],[2]!COMPROMISOS_2024[[#All],[rubro]],PAA_4[[#This Row],[RCP-RUBRO]]))</f>
        <v>0</v>
      </c>
      <c r="AK958" s="47" t="e" cm="1">
        <f t="array" aca="1" ref="AK958" ca="1">_xlfn.XLOOKUP(PAA_4[[#This Row],[RCP-RUBRO]],[2]!COMPROMISOS_2024[[#All],[concatenado]],[2]!COMPROMISOS_2024[[#All],[Total Comprometido]],"",0)</f>
        <v>#NAME?</v>
      </c>
      <c r="AL958" s="47">
        <f>IF(PAA_4[[#This Row],[BOLSA]]=0,0,SUMIFS([2]!COMPROMISOS_2024[[#All],[Total Comprometido]],[2]!COMPROMISOS_2024[[#All],[Bolsa]],PAA_4[[#This Row],[BOLSA]],[2]!COMPROMISOS_2024[[#All],[concatenado]],PAA_4[[#This Row],[RCP-RUBRO]]))</f>
        <v>0</v>
      </c>
    </row>
    <row r="959" spans="1:38" s="19" customFormat="1" ht="31.5" customHeight="1">
      <c r="A959" s="47">
        <v>759</v>
      </c>
      <c r="B959" s="51">
        <v>80111600</v>
      </c>
      <c r="C959" s="47" t="str">
        <f>VLOOKUP(PAA_4[[#This Row],[PROYECTO (formulado)2]],[2]PROYECTOS!$G$1:$L$32,6,0)</f>
        <v>OFICINA DE MEDICINA DEPORTIVA</v>
      </c>
      <c r="D959" s="47" t="str">
        <f>+IF(PAA_4[[#This Row],[UNIDAD DE CONTRATACION (formulado)]]="Subgerencia Administrativa y Financiera","FUNCIONAMIENTO","INVERSIÓN")</f>
        <v>INVERSIÓN</v>
      </c>
      <c r="E959" s="48" t="str">
        <f>VLOOKUP(Q959,[2]PROYECTOS!$G$1:$K$32,5,0)</f>
        <v>APOYO_CIENTÍFICO_AL_RENDIMIENTO_DEPORTIVO_Y_LA_ACTIVIDAD_FÍSICA_EN_EL_DEPARTAMENTO_DE_ANTIOQUIA</v>
      </c>
      <c r="F959" s="48">
        <f>VLOOKUP(E959,[2]PROYECTOS!$K$1:$M$32,3,0)</f>
        <v>2021003050070</v>
      </c>
      <c r="G959" s="67" t="s">
        <v>212</v>
      </c>
      <c r="H959" s="49" t="str">
        <f>VLOOKUP(Q959,[2]PROYECTOS!$V$1:$W$32,2,0)</f>
        <v>050068</v>
      </c>
      <c r="I959" s="50">
        <f>42166102-3413946</f>
        <v>38752156</v>
      </c>
      <c r="J959" s="356" t="s">
        <v>1799</v>
      </c>
      <c r="K959" s="47" t="str">
        <f t="shared" ca="1" si="318"/>
        <v>CONTRATADO</v>
      </c>
      <c r="L959" s="351" t="s">
        <v>94</v>
      </c>
      <c r="M959" s="47" t="s">
        <v>1297</v>
      </c>
      <c r="N959" s="52" t="s">
        <v>277</v>
      </c>
      <c r="O959" s="51" t="e">
        <f>VLOOKUP(N959,[2]!RUBROS[#All],3,0)</f>
        <v>#REF!</v>
      </c>
      <c r="P959" s="53" t="e">
        <f>VLOOKUP(N959,[2]!RUBROS[#All],2,0)</f>
        <v>#REF!</v>
      </c>
      <c r="Q959" s="47" t="str">
        <f t="shared" si="319"/>
        <v>91</v>
      </c>
      <c r="R959" s="47" t="str">
        <f t="shared" si="320"/>
        <v>4-101124</v>
      </c>
      <c r="S959" s="342">
        <v>200</v>
      </c>
      <c r="T959" s="59" t="s">
        <v>120</v>
      </c>
      <c r="U959" s="326" t="e">
        <f ca="1">_xlfn.XLOOKUP(PAA_4[[#This Row],[ITEM]],[2]Contrato!A:A,[2]Contrato!Q:Q,"",0)</f>
        <v>#NAME?</v>
      </c>
      <c r="V959" s="47" t="s">
        <v>47</v>
      </c>
      <c r="W959" s="343" t="s">
        <v>154</v>
      </c>
      <c r="X959" s="343" t="s">
        <v>154</v>
      </c>
      <c r="Y959" s="55" t="e">
        <f ca="1">_xlfn.XLOOKUP(PAA_4[[#This Row],[ITEM]],[2]Contrato!A:A,[2]Contrato!B:B,"",0)</f>
        <v>#NAME?</v>
      </c>
      <c r="Z959" s="47" t="e">
        <f ca="1">_xlfn.XLOOKUP(PAA_4[[#This Row],[ITEM]],[2]Contrato!A:A,[2]Contrato!G:G,"",0)</f>
        <v>#NAME?</v>
      </c>
      <c r="AA959" s="47" t="e">
        <f ca="1">_xlfn.XLOOKUP(PAA_4[[#This Row],[ITEM]],[2]Contrato!A:A,[2]Contrato!T:T,"",0)</f>
        <v>#NAME?</v>
      </c>
      <c r="AB959" s="55" t="e">
        <f ca="1">+MAX(PAA_4[[#This Row],[Comprometido Contrato]],PAA_4[[#This Row],[Comprometido Bolsa]])</f>
        <v>#NAME?</v>
      </c>
      <c r="AC959" s="55" t="str">
        <f t="shared" ca="1" si="321"/>
        <v/>
      </c>
      <c r="AD959" s="55" t="e">
        <f ca="1">IF(PAA_4[[#This Row],[ESTADO (formulado)]]="NO CONTRATADO",0,MAX(PAA_4[[#This Row],[Pago por Contrato]],PAA_4[[#This Row],[Pago por bolsa]]))</f>
        <v>#NAME?</v>
      </c>
      <c r="AE959" s="55" t="str">
        <f t="shared" ca="1" si="322"/>
        <v/>
      </c>
      <c r="AF959" s="47" t="e">
        <f t="shared" ca="1" si="323"/>
        <v>#NAME?</v>
      </c>
      <c r="AG959" s="47">
        <f t="shared" si="324"/>
        <v>41080108</v>
      </c>
      <c r="AH959" s="54">
        <f>IF(Q959="22",IF(ISNUMBER(SEARCH("econ",PAA_4[[#This Row],[Actividad3]])),"Económico",IF(ISNUMBER(SEARCH("alim",PAA_4[[#This Row],[Actividad3]])),"Alimentación",IF(ISNUMBER(SEARCH("educ",PAA_4[[#This Row],[Actividad3]])),"Educativo","Técnico"))),0)</f>
        <v>0</v>
      </c>
      <c r="AI959" s="47" t="e" cm="1">
        <f t="array" aca="1" ref="AI959" ca="1">_xlfn.XLOOKUP(PAA_4[[#This Row],[RCP-RUBRO]],[2]!COMPROMISOS_2024[[#All],[concatenado]],[2]!COMPROMISOS_2024[[#All],[Total pagado]],"",0)</f>
        <v>#NAME?</v>
      </c>
      <c r="AJ959" s="56">
        <f>IF(PAA_4[[#This Row],[BOLSA]]=0,0,SUMIFS([2]!COMPROMISOS_2024[[#All],[Total pagado]],[2]!COMPROMISOS_2024[[#All],[Bolsa]],PAA_4[[#This Row],[BOLSA]],[2]!COMPROMISOS_2024[[#All],[rubro]],PAA_4[[#This Row],[RCP-RUBRO]]))</f>
        <v>0</v>
      </c>
      <c r="AK959" s="47" t="e" cm="1">
        <f t="array" aca="1" ref="AK959" ca="1">_xlfn.XLOOKUP(PAA_4[[#This Row],[RCP-RUBRO]],[2]!COMPROMISOS_2024[[#All],[concatenado]],[2]!COMPROMISOS_2024[[#All],[Total Comprometido]],"",0)</f>
        <v>#NAME?</v>
      </c>
      <c r="AL959" s="47">
        <f>IF(PAA_4[[#This Row],[BOLSA]]=0,0,SUMIFS([2]!COMPROMISOS_2024[[#All],[Total Comprometido]],[2]!COMPROMISOS_2024[[#All],[Bolsa]],PAA_4[[#This Row],[BOLSA]],[2]!COMPROMISOS_2024[[#All],[concatenado]],PAA_4[[#This Row],[RCP-RUBRO]]))</f>
        <v>0</v>
      </c>
    </row>
    <row r="960" spans="1:38" s="19" customFormat="1" ht="31.5" customHeight="1">
      <c r="A960" s="47" t="s">
        <v>82</v>
      </c>
      <c r="B960" s="51" t="s">
        <v>42</v>
      </c>
      <c r="C960" s="47" t="str">
        <f>VLOOKUP(PAA_4[[#This Row],[PROYECTO (formulado)2]],[2]PROYECTOS!$G$1:$L$32,6,0)</f>
        <v>OFICINA DE MEDICINA DEPORTIVA</v>
      </c>
      <c r="D960" s="47" t="str">
        <f>+IF(PAA_4[[#This Row],[UNIDAD DE CONTRATACION (formulado)]]="Subgerencia Administrativa y Financiera","FUNCIONAMIENTO","INVERSIÓN")</f>
        <v>INVERSIÓN</v>
      </c>
      <c r="E960" s="48" t="str">
        <f>VLOOKUP(Q960,[2]PROYECTOS!$G$1:$K$32,5,0)</f>
        <v>APOYO_CIENTÍFICO_AL_RENDIMIENTO_DEPORTIVO_Y_LA_ACTIVIDAD_FÍSICA_EN_EL_DEPARTAMENTO_DE_ANTIOQUIA</v>
      </c>
      <c r="F960" s="48">
        <f>VLOOKUP(E960,[2]PROYECTOS!$K$1:$M$32,3,0)</f>
        <v>2021003050070</v>
      </c>
      <c r="G960" s="67" t="s">
        <v>212</v>
      </c>
      <c r="H960" s="49" t="str">
        <f>VLOOKUP(Q960,[2]PROYECTOS!$V$1:$W$32,2,0)</f>
        <v>050068</v>
      </c>
      <c r="I960" s="50">
        <v>4079479</v>
      </c>
      <c r="J960" s="340" t="s">
        <v>1778</v>
      </c>
      <c r="K960" s="47" t="str">
        <f t="shared" ca="1" si="318"/>
        <v>CONTRATADO</v>
      </c>
      <c r="L960" s="352" t="s">
        <v>42</v>
      </c>
      <c r="M960" s="47" t="s">
        <v>42</v>
      </c>
      <c r="N960" s="52" t="s">
        <v>1792</v>
      </c>
      <c r="O960" s="51" t="e">
        <f>VLOOKUP(N960,[2]!RUBROS[#All],3,0)</f>
        <v>#REF!</v>
      </c>
      <c r="P960" s="53" t="e">
        <f>VLOOKUP(N960,[2]!RUBROS[#All],2,0)</f>
        <v>#REF!</v>
      </c>
      <c r="Q960" s="47" t="str">
        <f t="shared" si="319"/>
        <v>91</v>
      </c>
      <c r="R960" s="47" t="str">
        <f t="shared" si="320"/>
        <v>0-205128</v>
      </c>
      <c r="S960" s="357" t="s">
        <v>42</v>
      </c>
      <c r="T960" s="59" t="s">
        <v>42</v>
      </c>
      <c r="U960" s="326" t="e">
        <f ca="1">_xlfn.XLOOKUP(PAA_4[[#This Row],[ITEM]],[2]Contrato!A:A,[2]Contrato!Q:Q,"",0)</f>
        <v>#NAME?</v>
      </c>
      <c r="V960" s="47" t="s">
        <v>95</v>
      </c>
      <c r="W960" s="343" t="s">
        <v>42</v>
      </c>
      <c r="X960" s="343" t="s">
        <v>42</v>
      </c>
      <c r="Y960" s="55" t="e">
        <f ca="1">_xlfn.XLOOKUP(PAA_4[[#This Row],[ITEM]],[2]Contrato!A:A,[2]Contrato!B:B,"",0)</f>
        <v>#NAME?</v>
      </c>
      <c r="Z960" s="47" t="e">
        <f ca="1">_xlfn.XLOOKUP(PAA_4[[#This Row],[ITEM]],[2]Contrato!A:A,[2]Contrato!G:G,"",0)</f>
        <v>#NAME?</v>
      </c>
      <c r="AA960" s="47" t="e">
        <f ca="1">_xlfn.XLOOKUP(PAA_4[[#This Row],[ITEM]],[2]Contrato!A:A,[2]Contrato!T:T,"",0)</f>
        <v>#NAME?</v>
      </c>
      <c r="AB960" s="55" t="e">
        <f ca="1">+MAX(PAA_4[[#This Row],[Comprometido Contrato]],PAA_4[[#This Row],[Comprometido Bolsa]])</f>
        <v>#NAME?</v>
      </c>
      <c r="AC960" s="55" t="str">
        <f t="shared" ca="1" si="321"/>
        <v/>
      </c>
      <c r="AD960" s="55" t="e">
        <f ca="1">IF(PAA_4[[#This Row],[ESTADO (formulado)]]="NO CONTRATADO",0,MAX(PAA_4[[#This Row],[Pago por Contrato]],PAA_4[[#This Row],[Pago por bolsa]]))</f>
        <v>#NAME?</v>
      </c>
      <c r="AE960" s="55" t="str">
        <f t="shared" ca="1" si="322"/>
        <v/>
      </c>
      <c r="AF960" s="47" t="e">
        <f t="shared" ca="1" si="323"/>
        <v>#NAME?</v>
      </c>
      <c r="AG960" s="47">
        <f t="shared" si="324"/>
        <v>41080108</v>
      </c>
      <c r="AH960" s="54">
        <f>IF(Q960="22",IF(ISNUMBER(SEARCH("econ",PAA_4[[#This Row],[Actividad3]])),"Económico",IF(ISNUMBER(SEARCH("alim",PAA_4[[#This Row],[Actividad3]])),"Alimentación",IF(ISNUMBER(SEARCH("educ",PAA_4[[#This Row],[Actividad3]])),"Educativo","Técnico"))),0)</f>
        <v>0</v>
      </c>
      <c r="AI960" s="47" t="e" cm="1">
        <f t="array" aca="1" ref="AI960" ca="1">_xlfn.XLOOKUP(PAA_4[[#This Row],[RCP-RUBRO]],[2]!COMPROMISOS_2024[[#All],[concatenado]],[2]!COMPROMISOS_2024[[#All],[Total pagado]],"",0)</f>
        <v>#NAME?</v>
      </c>
      <c r="AJ960" s="56">
        <f>IF(PAA_4[[#This Row],[BOLSA]]=0,0,SUMIFS([2]!COMPROMISOS_2024[[#All],[Total pagado]],[2]!COMPROMISOS_2024[[#All],[Bolsa]],PAA_4[[#This Row],[BOLSA]],[2]!COMPROMISOS_2024[[#All],[rubro]],PAA_4[[#This Row],[RCP-RUBRO]]))</f>
        <v>0</v>
      </c>
      <c r="AK960" s="47" t="e" cm="1">
        <f t="array" aca="1" ref="AK960" ca="1">_xlfn.XLOOKUP(PAA_4[[#This Row],[RCP-RUBRO]],[2]!COMPROMISOS_2024[[#All],[concatenado]],[2]!COMPROMISOS_2024[[#All],[Total Comprometido]],"",0)</f>
        <v>#NAME?</v>
      </c>
      <c r="AL960" s="47">
        <f>IF(PAA_4[[#This Row],[BOLSA]]=0,0,SUMIFS([2]!COMPROMISOS_2024[[#All],[Total Comprometido]],[2]!COMPROMISOS_2024[[#All],[Bolsa]],PAA_4[[#This Row],[BOLSA]],[2]!COMPROMISOS_2024[[#All],[concatenado]],PAA_4[[#This Row],[RCP-RUBRO]]))</f>
        <v>0</v>
      </c>
    </row>
    <row r="961" spans="1:38" s="19" customFormat="1" ht="31.5" customHeight="1">
      <c r="A961" s="47">
        <v>760</v>
      </c>
      <c r="B961" s="51">
        <v>80111600</v>
      </c>
      <c r="C961" s="47" t="str">
        <f>VLOOKUP(PAA_4[[#This Row],[PROYECTO (formulado)2]],[2]PROYECTOS!$G$1:$L$32,6,0)</f>
        <v>OFICINA DE MEDICINA DEPORTIVA</v>
      </c>
      <c r="D961" s="47" t="str">
        <f>+IF(PAA_4[[#This Row],[UNIDAD DE CONTRATACION (formulado)]]="Subgerencia Administrativa y Financiera","FUNCIONAMIENTO","INVERSIÓN")</f>
        <v>INVERSIÓN</v>
      </c>
      <c r="E961" s="48" t="str">
        <f>VLOOKUP(Q961,[2]PROYECTOS!$G$1:$K$32,5,0)</f>
        <v>APOYO_CIENTÍFICO_AL_RENDIMIENTO_DEPORTIVO_Y_LA_ACTIVIDAD_FÍSICA_EN_EL_DEPARTAMENTO_DE_ANTIOQUIA</v>
      </c>
      <c r="F961" s="48">
        <f>VLOOKUP(E961,[2]PROYECTOS!$K$1:$M$32,3,0)</f>
        <v>2021003050070</v>
      </c>
      <c r="G961" s="67" t="s">
        <v>212</v>
      </c>
      <c r="H961" s="49" t="str">
        <f>VLOOKUP(Q961,[2]PROYECTOS!$V$1:$W$32,2,0)</f>
        <v>050068</v>
      </c>
      <c r="I961" s="50">
        <f>4079479-4079479</f>
        <v>0</v>
      </c>
      <c r="J961" s="340" t="s">
        <v>1800</v>
      </c>
      <c r="K961" s="47" t="str">
        <f t="shared" ca="1" si="318"/>
        <v>CONTRATADO</v>
      </c>
      <c r="L961" s="351" t="s">
        <v>94</v>
      </c>
      <c r="M961" s="47" t="s">
        <v>1297</v>
      </c>
      <c r="N961" s="52" t="s">
        <v>1792</v>
      </c>
      <c r="O961" s="51" t="e">
        <f>VLOOKUP(N961,[2]!RUBROS[#All],3,0)</f>
        <v>#REF!</v>
      </c>
      <c r="P961" s="53" t="e">
        <f>VLOOKUP(N961,[2]!RUBROS[#All],2,0)</f>
        <v>#REF!</v>
      </c>
      <c r="Q961" s="47" t="str">
        <f t="shared" si="319"/>
        <v>91</v>
      </c>
      <c r="R961" s="47" t="str">
        <f t="shared" si="320"/>
        <v>0-205128</v>
      </c>
      <c r="S961" s="357">
        <v>143</v>
      </c>
      <c r="T961" s="59" t="s">
        <v>120</v>
      </c>
      <c r="U961" s="326" t="e">
        <f ca="1">_xlfn.XLOOKUP(PAA_4[[#This Row],[ITEM]],[2]Contrato!A:A,[2]Contrato!Q:Q,"",0)</f>
        <v>#NAME?</v>
      </c>
      <c r="V961" s="47" t="s">
        <v>47</v>
      </c>
      <c r="W961" s="343" t="s">
        <v>193</v>
      </c>
      <c r="X961" s="343" t="s">
        <v>194</v>
      </c>
      <c r="Y961" s="55" t="e">
        <f ca="1">_xlfn.XLOOKUP(PAA_4[[#This Row],[ITEM]],[2]Contrato!A:A,[2]Contrato!B:B,"",0)</f>
        <v>#NAME?</v>
      </c>
      <c r="Z961" s="47" t="e">
        <f ca="1">_xlfn.XLOOKUP(PAA_4[[#This Row],[ITEM]],[2]Contrato!A:A,[2]Contrato!G:G,"",0)</f>
        <v>#NAME?</v>
      </c>
      <c r="AA961" s="47" t="e">
        <f ca="1">_xlfn.XLOOKUP(PAA_4[[#This Row],[ITEM]],[2]Contrato!A:A,[2]Contrato!T:T,"",0)</f>
        <v>#NAME?</v>
      </c>
      <c r="AB961" s="55" t="e">
        <f ca="1">+MAX(PAA_4[[#This Row],[Comprometido Contrato]],PAA_4[[#This Row],[Comprometido Bolsa]])</f>
        <v>#NAME?</v>
      </c>
      <c r="AC961" s="55" t="str">
        <f t="shared" ca="1" si="321"/>
        <v/>
      </c>
      <c r="AD961" s="55" t="e">
        <f ca="1">IF(PAA_4[[#This Row],[ESTADO (formulado)]]="NO CONTRATADO",0,MAX(PAA_4[[#This Row],[Pago por Contrato]],PAA_4[[#This Row],[Pago por bolsa]]))</f>
        <v>#NAME?</v>
      </c>
      <c r="AE961" s="55" t="str">
        <f t="shared" ca="1" si="322"/>
        <v/>
      </c>
      <c r="AF961" s="47" t="e">
        <f t="shared" ca="1" si="323"/>
        <v>#NAME?</v>
      </c>
      <c r="AG961" s="47">
        <f t="shared" si="324"/>
        <v>41080108</v>
      </c>
      <c r="AH961" s="54">
        <f>IF(Q961="22",IF(ISNUMBER(SEARCH("econ",PAA_4[[#This Row],[Actividad3]])),"Económico",IF(ISNUMBER(SEARCH("alim",PAA_4[[#This Row],[Actividad3]])),"Alimentación",IF(ISNUMBER(SEARCH("educ",PAA_4[[#This Row],[Actividad3]])),"Educativo","Técnico"))),0)</f>
        <v>0</v>
      </c>
      <c r="AI961" s="47" t="e" cm="1">
        <f t="array" aca="1" ref="AI961" ca="1">_xlfn.XLOOKUP(PAA_4[[#This Row],[RCP-RUBRO]],[2]!COMPROMISOS_2024[[#All],[concatenado]],[2]!COMPROMISOS_2024[[#All],[Total pagado]],"",0)</f>
        <v>#NAME?</v>
      </c>
      <c r="AJ961" s="56">
        <f>IF(PAA_4[[#This Row],[BOLSA]]=0,0,SUMIFS([2]!COMPROMISOS_2024[[#All],[Total pagado]],[2]!COMPROMISOS_2024[[#All],[Bolsa]],PAA_4[[#This Row],[BOLSA]],[2]!COMPROMISOS_2024[[#All],[rubro]],PAA_4[[#This Row],[RCP-RUBRO]]))</f>
        <v>0</v>
      </c>
      <c r="AK961" s="47" t="e" cm="1">
        <f t="array" aca="1" ref="AK961" ca="1">_xlfn.XLOOKUP(PAA_4[[#This Row],[RCP-RUBRO]],[2]!COMPROMISOS_2024[[#All],[concatenado]],[2]!COMPROMISOS_2024[[#All],[Total Comprometido]],"",0)</f>
        <v>#NAME?</v>
      </c>
      <c r="AL961" s="47">
        <f>IF(PAA_4[[#This Row],[BOLSA]]=0,0,SUMIFS([2]!COMPROMISOS_2024[[#All],[Total Comprometido]],[2]!COMPROMISOS_2024[[#All],[Bolsa]],PAA_4[[#This Row],[BOLSA]],[2]!COMPROMISOS_2024[[#All],[concatenado]],PAA_4[[#This Row],[RCP-RUBRO]]))</f>
        <v>0</v>
      </c>
    </row>
    <row r="962" spans="1:38" s="19" customFormat="1" ht="31.5" customHeight="1">
      <c r="A962" s="47" t="s">
        <v>82</v>
      </c>
      <c r="B962" s="51" t="s">
        <v>42</v>
      </c>
      <c r="C962" s="47" t="str">
        <f>VLOOKUP(PAA_4[[#This Row],[PROYECTO (formulado)2]],[2]PROYECTOS!$G$1:$L$32,6,0)</f>
        <v>OFICINA DE MEDICINA DEPORTIVA</v>
      </c>
      <c r="D962" s="47" t="str">
        <f>+IF(PAA_4[[#This Row],[UNIDAD DE CONTRATACION (formulado)]]="Subgerencia Administrativa y Financiera","FUNCIONAMIENTO","INVERSIÓN")</f>
        <v>INVERSIÓN</v>
      </c>
      <c r="E962" s="48" t="str">
        <f>VLOOKUP(Q962,[2]PROYECTOS!$G$1:$K$32,5,0)</f>
        <v>APOYO_CIENTÍFICO_AL_RENDIMIENTO_DEPORTIVO_Y_LA_ACTIVIDAD_FÍSICA_EN_EL_DEPARTAMENTO_DE_ANTIOQUIA</v>
      </c>
      <c r="F962" s="48">
        <f>VLOOKUP(E962,[2]PROYECTOS!$K$1:$M$32,3,0)</f>
        <v>2021003050070</v>
      </c>
      <c r="G962" s="67" t="s">
        <v>212</v>
      </c>
      <c r="H962" s="49" t="str">
        <f>VLOOKUP(Q962,[2]PROYECTOS!$V$1:$W$32,2,0)</f>
        <v>050068</v>
      </c>
      <c r="I962" s="50">
        <v>7154719</v>
      </c>
      <c r="J962" s="340" t="s">
        <v>1778</v>
      </c>
      <c r="K962" s="47" t="str">
        <f t="shared" ca="1" si="318"/>
        <v>CONTRATADO</v>
      </c>
      <c r="L962" s="352" t="s">
        <v>42</v>
      </c>
      <c r="M962" s="47" t="s">
        <v>42</v>
      </c>
      <c r="N962" s="52" t="s">
        <v>277</v>
      </c>
      <c r="O962" s="51" t="e">
        <f>VLOOKUP(N962,[2]!RUBROS[#All],3,0)</f>
        <v>#REF!</v>
      </c>
      <c r="P962" s="53" t="e">
        <f>VLOOKUP(N962,[2]!RUBROS[#All],2,0)</f>
        <v>#REF!</v>
      </c>
      <c r="Q962" s="47" t="str">
        <f t="shared" si="319"/>
        <v>91</v>
      </c>
      <c r="R962" s="47" t="str">
        <f t="shared" si="320"/>
        <v>4-101124</v>
      </c>
      <c r="S962" s="357" t="s">
        <v>42</v>
      </c>
      <c r="T962" s="59" t="s">
        <v>42</v>
      </c>
      <c r="U962" s="326" t="e">
        <f ca="1">_xlfn.XLOOKUP(PAA_4[[#This Row],[ITEM]],[2]Contrato!A:A,[2]Contrato!Q:Q,"",0)</f>
        <v>#NAME?</v>
      </c>
      <c r="V962" s="47" t="s">
        <v>95</v>
      </c>
      <c r="W962" s="343" t="s">
        <v>42</v>
      </c>
      <c r="X962" s="343" t="s">
        <v>42</v>
      </c>
      <c r="Y962" s="55" t="e">
        <f ca="1">_xlfn.XLOOKUP(PAA_4[[#This Row],[ITEM]],[2]Contrato!A:A,[2]Contrato!B:B,"",0)</f>
        <v>#NAME?</v>
      </c>
      <c r="Z962" s="47" t="e">
        <f ca="1">_xlfn.XLOOKUP(PAA_4[[#This Row],[ITEM]],[2]Contrato!A:A,[2]Contrato!G:G,"",0)</f>
        <v>#NAME?</v>
      </c>
      <c r="AA962" s="47" t="e">
        <f ca="1">_xlfn.XLOOKUP(PAA_4[[#This Row],[ITEM]],[2]Contrato!A:A,[2]Contrato!T:T,"",0)</f>
        <v>#NAME?</v>
      </c>
      <c r="AB962" s="55" t="e">
        <f ca="1">+MAX(PAA_4[[#This Row],[Comprometido Contrato]],PAA_4[[#This Row],[Comprometido Bolsa]])</f>
        <v>#NAME?</v>
      </c>
      <c r="AC962" s="55" t="str">
        <f t="shared" ca="1" si="321"/>
        <v/>
      </c>
      <c r="AD962" s="55" t="e">
        <f ca="1">IF(PAA_4[[#This Row],[ESTADO (formulado)]]="NO CONTRATADO",0,MAX(PAA_4[[#This Row],[Pago por Contrato]],PAA_4[[#This Row],[Pago por bolsa]]))</f>
        <v>#NAME?</v>
      </c>
      <c r="AE962" s="55" t="str">
        <f t="shared" ca="1" si="322"/>
        <v/>
      </c>
      <c r="AF962" s="47" t="e">
        <f t="shared" ca="1" si="323"/>
        <v>#NAME?</v>
      </c>
      <c r="AG962" s="47">
        <f t="shared" si="324"/>
        <v>41080108</v>
      </c>
      <c r="AH962" s="54">
        <f>IF(Q962="22",IF(ISNUMBER(SEARCH("econ",PAA_4[[#This Row],[Actividad3]])),"Económico",IF(ISNUMBER(SEARCH("alim",PAA_4[[#This Row],[Actividad3]])),"Alimentación",IF(ISNUMBER(SEARCH("educ",PAA_4[[#This Row],[Actividad3]])),"Educativo","Técnico"))),0)</f>
        <v>0</v>
      </c>
      <c r="AI962" s="47" t="e" cm="1">
        <f t="array" aca="1" ref="AI962" ca="1">_xlfn.XLOOKUP(PAA_4[[#This Row],[RCP-RUBRO]],[2]!COMPROMISOS_2024[[#All],[concatenado]],[2]!COMPROMISOS_2024[[#All],[Total pagado]],"",0)</f>
        <v>#NAME?</v>
      </c>
      <c r="AJ962" s="56">
        <f>IF(PAA_4[[#This Row],[BOLSA]]=0,0,SUMIFS([2]!COMPROMISOS_2024[[#All],[Total pagado]],[2]!COMPROMISOS_2024[[#All],[Bolsa]],PAA_4[[#This Row],[BOLSA]],[2]!COMPROMISOS_2024[[#All],[rubro]],PAA_4[[#This Row],[RCP-RUBRO]]))</f>
        <v>0</v>
      </c>
      <c r="AK962" s="47" t="e" cm="1">
        <f t="array" aca="1" ref="AK962" ca="1">_xlfn.XLOOKUP(PAA_4[[#This Row],[RCP-RUBRO]],[2]!COMPROMISOS_2024[[#All],[concatenado]],[2]!COMPROMISOS_2024[[#All],[Total Comprometido]],"",0)</f>
        <v>#NAME?</v>
      </c>
      <c r="AL962" s="47">
        <f>IF(PAA_4[[#This Row],[BOLSA]]=0,0,SUMIFS([2]!COMPROMISOS_2024[[#All],[Total Comprometido]],[2]!COMPROMISOS_2024[[#All],[Bolsa]],PAA_4[[#This Row],[BOLSA]],[2]!COMPROMISOS_2024[[#All],[concatenado]],PAA_4[[#This Row],[RCP-RUBRO]]))</f>
        <v>0</v>
      </c>
    </row>
    <row r="963" spans="1:38" s="19" customFormat="1" ht="31.5" customHeight="1">
      <c r="A963" s="47">
        <v>760</v>
      </c>
      <c r="B963" s="51">
        <v>80111600</v>
      </c>
      <c r="C963" s="47" t="str">
        <f>VLOOKUP(PAA_4[[#This Row],[PROYECTO (formulado)2]],[2]PROYECTOS!$G$1:$L$32,6,0)</f>
        <v>OFICINA DE MEDICINA DEPORTIVA</v>
      </c>
      <c r="D963" s="47" t="str">
        <f>+IF(PAA_4[[#This Row],[UNIDAD DE CONTRATACION (formulado)]]="Subgerencia Administrativa y Financiera","FUNCIONAMIENTO","INVERSIÓN")</f>
        <v>INVERSIÓN</v>
      </c>
      <c r="E963" s="48" t="str">
        <f>VLOOKUP(Q963,[2]PROYECTOS!$G$1:$K$32,5,0)</f>
        <v>APOYO_CIENTÍFICO_AL_RENDIMIENTO_DEPORTIVO_Y_LA_ACTIVIDAD_FÍSICA_EN_EL_DEPARTAMENTO_DE_ANTIOQUIA</v>
      </c>
      <c r="F963" s="48">
        <f>VLOOKUP(E963,[2]PROYECTOS!$K$1:$M$32,3,0)</f>
        <v>2021003050070</v>
      </c>
      <c r="G963" s="67" t="s">
        <v>212</v>
      </c>
      <c r="H963" s="49" t="str">
        <f>VLOOKUP(Q963,[2]PROYECTOS!$V$1:$W$32,2,0)</f>
        <v>050068</v>
      </c>
      <c r="I963" s="50">
        <f>23804719-7154719-3000000</f>
        <v>13650000</v>
      </c>
      <c r="J963" s="340" t="s">
        <v>1800</v>
      </c>
      <c r="K963" s="47" t="str">
        <f t="shared" ca="1" si="318"/>
        <v>CONTRATADO</v>
      </c>
      <c r="L963" s="351" t="s">
        <v>94</v>
      </c>
      <c r="M963" s="47" t="s">
        <v>1297</v>
      </c>
      <c r="N963" s="52" t="s">
        <v>277</v>
      </c>
      <c r="O963" s="51" t="e">
        <f>VLOOKUP(N963,[2]!RUBROS[#All],3,0)</f>
        <v>#REF!</v>
      </c>
      <c r="P963" s="53" t="e">
        <f>VLOOKUP(N963,[2]!RUBROS[#All],2,0)</f>
        <v>#REF!</v>
      </c>
      <c r="Q963" s="47" t="str">
        <f t="shared" si="319"/>
        <v>91</v>
      </c>
      <c r="R963" s="47" t="str">
        <f t="shared" si="320"/>
        <v>4-101124</v>
      </c>
      <c r="S963" s="357">
        <v>200</v>
      </c>
      <c r="T963" s="59" t="s">
        <v>120</v>
      </c>
      <c r="U963" s="326" t="e">
        <f ca="1">_xlfn.XLOOKUP(PAA_4[[#This Row],[ITEM]],[2]Contrato!A:A,[2]Contrato!Q:Q,"",0)</f>
        <v>#NAME?</v>
      </c>
      <c r="V963" s="47" t="s">
        <v>47</v>
      </c>
      <c r="W963" s="343" t="s">
        <v>154</v>
      </c>
      <c r="X963" s="343" t="s">
        <v>154</v>
      </c>
      <c r="Y963" s="55" t="e">
        <f ca="1">_xlfn.XLOOKUP(PAA_4[[#This Row],[ITEM]],[2]Contrato!A:A,[2]Contrato!B:B,"",0)</f>
        <v>#NAME?</v>
      </c>
      <c r="Z963" s="47" t="e">
        <f ca="1">_xlfn.XLOOKUP(PAA_4[[#This Row],[ITEM]],[2]Contrato!A:A,[2]Contrato!G:G,"",0)</f>
        <v>#NAME?</v>
      </c>
      <c r="AA963" s="47" t="e">
        <f ca="1">_xlfn.XLOOKUP(PAA_4[[#This Row],[ITEM]],[2]Contrato!A:A,[2]Contrato!T:T,"",0)</f>
        <v>#NAME?</v>
      </c>
      <c r="AB963" s="55" t="e">
        <f ca="1">+MAX(PAA_4[[#This Row],[Comprometido Contrato]],PAA_4[[#This Row],[Comprometido Bolsa]])</f>
        <v>#NAME?</v>
      </c>
      <c r="AC963" s="55" t="str">
        <f t="shared" ca="1" si="321"/>
        <v/>
      </c>
      <c r="AD963" s="55" t="e">
        <f ca="1">IF(PAA_4[[#This Row],[ESTADO (formulado)]]="NO CONTRATADO",0,MAX(PAA_4[[#This Row],[Pago por Contrato]],PAA_4[[#This Row],[Pago por bolsa]]))</f>
        <v>#NAME?</v>
      </c>
      <c r="AE963" s="55" t="str">
        <f t="shared" ca="1" si="322"/>
        <v/>
      </c>
      <c r="AF963" s="47" t="e">
        <f t="shared" ca="1" si="323"/>
        <v>#NAME?</v>
      </c>
      <c r="AG963" s="47">
        <f t="shared" si="324"/>
        <v>41080108</v>
      </c>
      <c r="AH963" s="54">
        <f>IF(Q963="22",IF(ISNUMBER(SEARCH("econ",PAA_4[[#This Row],[Actividad3]])),"Económico",IF(ISNUMBER(SEARCH("alim",PAA_4[[#This Row],[Actividad3]])),"Alimentación",IF(ISNUMBER(SEARCH("educ",PAA_4[[#This Row],[Actividad3]])),"Educativo","Técnico"))),0)</f>
        <v>0</v>
      </c>
      <c r="AI963" s="47" t="e" cm="1">
        <f t="array" aca="1" ref="AI963" ca="1">_xlfn.XLOOKUP(PAA_4[[#This Row],[RCP-RUBRO]],[2]!COMPROMISOS_2024[[#All],[concatenado]],[2]!COMPROMISOS_2024[[#All],[Total pagado]],"",0)</f>
        <v>#NAME?</v>
      </c>
      <c r="AJ963" s="56">
        <f>IF(PAA_4[[#This Row],[BOLSA]]=0,0,SUMIFS([2]!COMPROMISOS_2024[[#All],[Total pagado]],[2]!COMPROMISOS_2024[[#All],[Bolsa]],PAA_4[[#This Row],[BOLSA]],[2]!COMPROMISOS_2024[[#All],[rubro]],PAA_4[[#This Row],[RCP-RUBRO]]))</f>
        <v>0</v>
      </c>
      <c r="AK963" s="47" t="e" cm="1">
        <f t="array" aca="1" ref="AK963" ca="1">_xlfn.XLOOKUP(PAA_4[[#This Row],[RCP-RUBRO]],[2]!COMPROMISOS_2024[[#All],[concatenado]],[2]!COMPROMISOS_2024[[#All],[Total Comprometido]],"",0)</f>
        <v>#NAME?</v>
      </c>
      <c r="AL963" s="47">
        <f>IF(PAA_4[[#This Row],[BOLSA]]=0,0,SUMIFS([2]!COMPROMISOS_2024[[#All],[Total Comprometido]],[2]!COMPROMISOS_2024[[#All],[Bolsa]],PAA_4[[#This Row],[BOLSA]],[2]!COMPROMISOS_2024[[#All],[concatenado]],PAA_4[[#This Row],[RCP-RUBRO]]))</f>
        <v>0</v>
      </c>
    </row>
    <row r="964" spans="1:38" s="19" customFormat="1" ht="31.5" customHeight="1">
      <c r="A964" s="47">
        <v>779</v>
      </c>
      <c r="B964" s="51" t="s">
        <v>42</v>
      </c>
      <c r="C964" s="47" t="str">
        <f>VLOOKUP(PAA_4[[#This Row],[PROYECTO (formulado)2]],[2]PROYECTOS!$G$1:$L$32,6,0)</f>
        <v>SUBGERENCIA DE ALTOS LOGROS Y DEPORTE ASOCIADO</v>
      </c>
      <c r="D964" s="47" t="str">
        <f>+IF(PAA_4[[#This Row],[UNIDAD DE CONTRATACION (formulado)]]="Subgerencia Administrativa y Financiera","FUNCIONAMIENTO","INVERSIÓN")</f>
        <v>INVERSIÓN</v>
      </c>
      <c r="E964" s="48" t="str">
        <f>VLOOKUP(Q964,[2]PROYECTOS!$G$1:$K$32,5,0)</f>
        <v>FORTALECIMIENTO_DEL_PROGRAMA_DE_ALTOS_LOGROS_Y_LIDERAZGO_DEPORTIVO_EN_EL_DEPARTAMENTO_DE_ANTIOQUIA</v>
      </c>
      <c r="F964" s="48">
        <f>VLOOKUP(E964,[2]PROYECTOS!$K$1:$M$32,3,0)</f>
        <v>2020003050021</v>
      </c>
      <c r="G964" s="49" t="s">
        <v>235</v>
      </c>
      <c r="H964" s="49" t="str">
        <f>VLOOKUP(Q964,[2]PROYECTOS!$V$1:$W$32,2,0)</f>
        <v>050061</v>
      </c>
      <c r="I964" s="50">
        <v>0</v>
      </c>
      <c r="J964" s="356" t="s">
        <v>42</v>
      </c>
      <c r="K964" s="47" t="str">
        <f t="shared" ca="1" si="318"/>
        <v>CONTRATADO</v>
      </c>
      <c r="L964" s="351" t="s">
        <v>94</v>
      </c>
      <c r="M964" s="47" t="s">
        <v>1297</v>
      </c>
      <c r="N964" s="52" t="s">
        <v>278</v>
      </c>
      <c r="O964" s="51" t="e">
        <f>VLOOKUP(N964,[2]!RUBROS[#All],3,0)</f>
        <v>#REF!</v>
      </c>
      <c r="P964" s="53" t="e">
        <f>VLOOKUP(N964,[2]!RUBROS[#All],2,0)</f>
        <v>#REF!</v>
      </c>
      <c r="Q964" s="47" t="str">
        <f t="shared" si="319"/>
        <v>20</v>
      </c>
      <c r="R964" s="47" t="str">
        <f t="shared" si="320"/>
        <v>4-101124</v>
      </c>
      <c r="S964" s="54">
        <v>6.5</v>
      </c>
      <c r="T964" s="59" t="s">
        <v>46</v>
      </c>
      <c r="U964" s="326" t="e">
        <f ca="1">_xlfn.XLOOKUP(PAA_4[[#This Row],[ITEM]],[2]Contrato!A:A,[2]Contrato!Q:Q,"",0)</f>
        <v>#NAME?</v>
      </c>
      <c r="V964" s="47" t="s">
        <v>47</v>
      </c>
      <c r="W964" s="343" t="s">
        <v>154</v>
      </c>
      <c r="X964" s="343" t="s">
        <v>154</v>
      </c>
      <c r="Y964" s="55" t="e">
        <f ca="1">_xlfn.XLOOKUP(PAA_4[[#This Row],[ITEM]],[2]Contrato!A:A,[2]Contrato!B:B,"",0)</f>
        <v>#NAME?</v>
      </c>
      <c r="Z964" s="47" t="e">
        <f ca="1">_xlfn.XLOOKUP(PAA_4[[#This Row],[ITEM]],[2]Contrato!A:A,[2]Contrato!G:G,"",0)</f>
        <v>#NAME?</v>
      </c>
      <c r="AA964" s="47" t="e">
        <f ca="1">_xlfn.XLOOKUP(PAA_4[[#This Row],[ITEM]],[2]Contrato!A:A,[2]Contrato!T:T,"",0)</f>
        <v>#NAME?</v>
      </c>
      <c r="AB964" s="55" t="e">
        <f ca="1">+MAX(PAA_4[[#This Row],[Comprometido Contrato]],PAA_4[[#This Row],[Comprometido Bolsa]])</f>
        <v>#NAME?</v>
      </c>
      <c r="AC964" s="55" t="str">
        <f t="shared" ca="1" si="321"/>
        <v/>
      </c>
      <c r="AD964" s="55" t="e">
        <f ca="1">IF(PAA_4[[#This Row],[ESTADO (formulado)]]="NO CONTRATADO",0,MAX(PAA_4[[#This Row],[Pago por Contrato]],PAA_4[[#This Row],[Pago por bolsa]]))</f>
        <v>#NAME?</v>
      </c>
      <c r="AE964" s="55" t="str">
        <f t="shared" ca="1" si="322"/>
        <v/>
      </c>
      <c r="AF964" s="47" t="e">
        <f t="shared" ca="1" si="323"/>
        <v>#NAME?</v>
      </c>
      <c r="AG964" s="47">
        <f t="shared" si="324"/>
        <v>41080111</v>
      </c>
      <c r="AH964" s="54">
        <f>IF(Q964="22",IF(ISNUMBER(SEARCH("econ",PAA_4[[#This Row],[Actividad3]])),"Económico",IF(ISNUMBER(SEARCH("alim",PAA_4[[#This Row],[Actividad3]])),"Alimentación",IF(ISNUMBER(SEARCH("educ",PAA_4[[#This Row],[Actividad3]])),"Educativo","Técnico"))),0)</f>
        <v>0</v>
      </c>
      <c r="AI964" s="47" t="e" cm="1">
        <f t="array" aca="1" ref="AI964" ca="1">_xlfn.XLOOKUP(PAA_4[[#This Row],[RCP-RUBRO]],[2]!COMPROMISOS_2024[[#All],[concatenado]],[2]!COMPROMISOS_2024[[#All],[Total pagado]],"",0)</f>
        <v>#NAME?</v>
      </c>
      <c r="AJ964" s="56">
        <f>IF(PAA_4[[#This Row],[BOLSA]]=0,0,SUMIFS([2]!COMPROMISOS_2024[[#All],[Total pagado]],[2]!COMPROMISOS_2024[[#All],[Bolsa]],PAA_4[[#This Row],[BOLSA]],[2]!COMPROMISOS_2024[[#All],[rubro]],PAA_4[[#This Row],[RCP-RUBRO]]))</f>
        <v>0</v>
      </c>
      <c r="AK964" s="47" t="e" cm="1">
        <f t="array" aca="1" ref="AK964" ca="1">_xlfn.XLOOKUP(PAA_4[[#This Row],[RCP-RUBRO]],[2]!COMPROMISOS_2024[[#All],[concatenado]],[2]!COMPROMISOS_2024[[#All],[Total Comprometido]],"",0)</f>
        <v>#NAME?</v>
      </c>
      <c r="AL964" s="47">
        <f>IF(PAA_4[[#This Row],[BOLSA]]=0,0,SUMIFS([2]!COMPROMISOS_2024[[#All],[Total Comprometido]],[2]!COMPROMISOS_2024[[#All],[Bolsa]],PAA_4[[#This Row],[BOLSA]],[2]!COMPROMISOS_2024[[#All],[concatenado]],PAA_4[[#This Row],[RCP-RUBRO]]))</f>
        <v>0</v>
      </c>
    </row>
    <row r="965" spans="1:38" s="19" customFormat="1" ht="31.5" customHeight="1">
      <c r="A965" s="47" t="s">
        <v>82</v>
      </c>
      <c r="B965" s="51" t="s">
        <v>42</v>
      </c>
      <c r="C965" s="47" t="str">
        <f>VLOOKUP(PAA_4[[#This Row],[PROYECTO (formulado)2]],[2]PROYECTOS!$G$1:$L$32,6,0)</f>
        <v>SUBGERENCIA DE ALTOS LOGROS Y DEPORTE ASOCIADO</v>
      </c>
      <c r="D965" s="47" t="str">
        <f>+IF(PAA_4[[#This Row],[UNIDAD DE CONTRATACION (formulado)]]="Subgerencia Administrativa y Financiera","FUNCIONAMIENTO","INVERSIÓN")</f>
        <v>INVERSIÓN</v>
      </c>
      <c r="E965" s="48" t="str">
        <f>VLOOKUP(Q965,[2]PROYECTOS!$G$1:$K$32,5,0)</f>
        <v>FORTALECIMIENTO_DEL_PROGRAMA_DE_ALTOS_LOGROS_Y_LIDERAZGO_DEPORTIVO_EN_EL_DEPARTAMENTO_DE_ANTIOQUIA</v>
      </c>
      <c r="F965" s="48">
        <f>VLOOKUP(E965,[2]PROYECTOS!$K$1:$M$32,3,0)</f>
        <v>2020003050021</v>
      </c>
      <c r="G965" s="49" t="s">
        <v>235</v>
      </c>
      <c r="H965" s="49" t="str">
        <f>VLOOKUP(Q965,[2]PROYECTOS!$V$1:$W$32,2,0)</f>
        <v>050061</v>
      </c>
      <c r="I965" s="50">
        <v>0</v>
      </c>
      <c r="J965" s="51" t="s">
        <v>42</v>
      </c>
      <c r="K965" s="47" t="str">
        <f t="shared" ca="1" si="318"/>
        <v>CONTRATADO</v>
      </c>
      <c r="L965" s="47" t="s">
        <v>42</v>
      </c>
      <c r="M965" s="47" t="s">
        <v>42</v>
      </c>
      <c r="N965" s="52" t="s">
        <v>278</v>
      </c>
      <c r="O965" s="51" t="e">
        <f>VLOOKUP(N965,[2]!RUBROS[#All],3,0)</f>
        <v>#REF!</v>
      </c>
      <c r="P965" s="53" t="e">
        <f>VLOOKUP(N965,[2]!RUBROS[#All],2,0)</f>
        <v>#REF!</v>
      </c>
      <c r="Q965" s="47" t="str">
        <f t="shared" si="319"/>
        <v>20</v>
      </c>
      <c r="R965" s="47" t="str">
        <f t="shared" si="320"/>
        <v>4-101124</v>
      </c>
      <c r="S965" s="54" t="s">
        <v>42</v>
      </c>
      <c r="T965" s="59" t="s">
        <v>42</v>
      </c>
      <c r="U965" s="326" t="e">
        <f ca="1">_xlfn.XLOOKUP(PAA_4[[#This Row],[ITEM]],[2]Contrato!A:A,[2]Contrato!Q:Q,"",0)</f>
        <v>#NAME?</v>
      </c>
      <c r="V965" s="54" t="s">
        <v>42</v>
      </c>
      <c r="W965" s="54" t="s">
        <v>42</v>
      </c>
      <c r="X965" s="54" t="s">
        <v>42</v>
      </c>
      <c r="Y965" s="55" t="e">
        <f ca="1">_xlfn.XLOOKUP(PAA_4[[#This Row],[ITEM]],[2]Contrato!A:A,[2]Contrato!B:B,"",0)</f>
        <v>#NAME?</v>
      </c>
      <c r="Z965" s="47" t="e">
        <f ca="1">_xlfn.XLOOKUP(PAA_4[[#This Row],[ITEM]],[2]Contrato!A:A,[2]Contrato!G:G,"",0)</f>
        <v>#NAME?</v>
      </c>
      <c r="AA965" s="47" t="e">
        <f ca="1">_xlfn.XLOOKUP(PAA_4[[#This Row],[ITEM]],[2]Contrato!A:A,[2]Contrato!T:T,"",0)</f>
        <v>#NAME?</v>
      </c>
      <c r="AB965" s="55" t="e">
        <f ca="1">+MAX(PAA_4[[#This Row],[Comprometido Contrato]],PAA_4[[#This Row],[Comprometido Bolsa]])</f>
        <v>#NAME?</v>
      </c>
      <c r="AC965" s="55" t="str">
        <f t="shared" ca="1" si="321"/>
        <v/>
      </c>
      <c r="AD965" s="55" t="e">
        <f ca="1">IF(PAA_4[[#This Row],[ESTADO (formulado)]]="NO CONTRATADO",0,MAX(PAA_4[[#This Row],[Pago por Contrato]],PAA_4[[#This Row],[Pago por bolsa]]))</f>
        <v>#NAME?</v>
      </c>
      <c r="AE965" s="55" t="str">
        <f t="shared" ca="1" si="322"/>
        <v/>
      </c>
      <c r="AF965" s="47" t="e">
        <f t="shared" ca="1" si="323"/>
        <v>#NAME?</v>
      </c>
      <c r="AG965" s="47">
        <f t="shared" si="324"/>
        <v>41080111</v>
      </c>
      <c r="AH965" s="54">
        <f>IF(Q965="22",IF(ISNUMBER(SEARCH("econ",PAA_4[[#This Row],[Actividad3]])),"Económico",IF(ISNUMBER(SEARCH("alim",PAA_4[[#This Row],[Actividad3]])),"Alimentación",IF(ISNUMBER(SEARCH("educ",PAA_4[[#This Row],[Actividad3]])),"Educativo","Técnico"))),0)</f>
        <v>0</v>
      </c>
      <c r="AI965" s="47" t="e" cm="1">
        <f t="array" aca="1" ref="AI965" ca="1">_xlfn.XLOOKUP(PAA_4[[#This Row],[RCP-RUBRO]],[2]!COMPROMISOS_2024[[#All],[concatenado]],[2]!COMPROMISOS_2024[[#All],[Total pagado]],"",0)</f>
        <v>#NAME?</v>
      </c>
      <c r="AJ965" s="56">
        <f>IF(PAA_4[[#This Row],[BOLSA]]=0,0,SUMIFS([2]!COMPROMISOS_2024[[#All],[Total pagado]],[2]!COMPROMISOS_2024[[#All],[Bolsa]],PAA_4[[#This Row],[BOLSA]],[2]!COMPROMISOS_2024[[#All],[rubro]],PAA_4[[#This Row],[RCP-RUBRO]]))</f>
        <v>0</v>
      </c>
      <c r="AK965" s="47" t="e" cm="1">
        <f t="array" aca="1" ref="AK965" ca="1">_xlfn.XLOOKUP(PAA_4[[#This Row],[RCP-RUBRO]],[2]!COMPROMISOS_2024[[#All],[concatenado]],[2]!COMPROMISOS_2024[[#All],[Total Comprometido]],"",0)</f>
        <v>#NAME?</v>
      </c>
      <c r="AL965" s="47">
        <f>IF(PAA_4[[#This Row],[BOLSA]]=0,0,SUMIFS([2]!COMPROMISOS_2024[[#All],[Total Comprometido]],[2]!COMPROMISOS_2024[[#All],[Bolsa]],PAA_4[[#This Row],[BOLSA]],[2]!COMPROMISOS_2024[[#All],[concatenado]],PAA_4[[#This Row],[RCP-RUBRO]]))</f>
        <v>0</v>
      </c>
    </row>
    <row r="966" spans="1:38" s="19" customFormat="1" ht="31.5" customHeight="1">
      <c r="A966" s="47">
        <v>780</v>
      </c>
      <c r="B966" s="51">
        <v>80111600</v>
      </c>
      <c r="C966" s="47" t="str">
        <f>VLOOKUP(PAA_4[[#This Row],[PROYECTO (formulado)2]],[2]PROYECTOS!$G$1:$L$32,6,0)</f>
        <v>SUBGERENCIA DE ALTOS LOGROS Y DEPORTE ASOCIADO</v>
      </c>
      <c r="D966" s="47" t="str">
        <f>+IF(PAA_4[[#This Row],[UNIDAD DE CONTRATACION (formulado)]]="Subgerencia Administrativa y Financiera","FUNCIONAMIENTO","INVERSIÓN")</f>
        <v>INVERSIÓN</v>
      </c>
      <c r="E966" s="48" t="str">
        <f>VLOOKUP(Q966,[2]PROYECTOS!$G$1:$K$32,5,0)</f>
        <v>FORTALECIMIENTO_DEL_PROGRAMA_DE_ALTOS_LOGROS_Y_LIDERAZGO_DEPORTIVO_EN_EL_DEPARTAMENTO_DE_ANTIOQUIA</v>
      </c>
      <c r="F966" s="48">
        <f>VLOOKUP(E966,[2]PROYECTOS!$K$1:$M$32,3,0)</f>
        <v>2020003050021</v>
      </c>
      <c r="G966" s="49" t="s">
        <v>235</v>
      </c>
      <c r="H966" s="49" t="str">
        <f>VLOOKUP(Q966,[2]PROYECTOS!$V$1:$W$32,2,0)</f>
        <v>050061</v>
      </c>
      <c r="I966" s="50">
        <f>10984523-1689927</f>
        <v>9294596</v>
      </c>
      <c r="J966" s="356" t="s">
        <v>1801</v>
      </c>
      <c r="K966" s="47" t="str">
        <f t="shared" ca="1" si="318"/>
        <v>CONTRATADO</v>
      </c>
      <c r="L966" s="351" t="s">
        <v>94</v>
      </c>
      <c r="M966" s="47" t="s">
        <v>1297</v>
      </c>
      <c r="N966" s="52" t="s">
        <v>278</v>
      </c>
      <c r="O966" s="51" t="e">
        <f>VLOOKUP(N966,[2]!RUBROS[#All],3,0)</f>
        <v>#REF!</v>
      </c>
      <c r="P966" s="53" t="e">
        <f>VLOOKUP(N966,[2]!RUBROS[#All],2,0)</f>
        <v>#REF!</v>
      </c>
      <c r="Q966" s="47" t="str">
        <f t="shared" si="319"/>
        <v>20</v>
      </c>
      <c r="R966" s="47" t="str">
        <f t="shared" si="320"/>
        <v>4-101124</v>
      </c>
      <c r="S966" s="54">
        <v>6.5</v>
      </c>
      <c r="T966" s="59" t="s">
        <v>46</v>
      </c>
      <c r="U966" s="326" t="e">
        <f ca="1">_xlfn.XLOOKUP(PAA_4[[#This Row],[ITEM]],[2]Contrato!A:A,[2]Contrato!Q:Q,"",0)</f>
        <v>#NAME?</v>
      </c>
      <c r="V966" s="47" t="s">
        <v>47</v>
      </c>
      <c r="W966" s="343" t="s">
        <v>154</v>
      </c>
      <c r="X966" s="343" t="s">
        <v>154</v>
      </c>
      <c r="Y966" s="55" t="e">
        <f ca="1">_xlfn.XLOOKUP(PAA_4[[#This Row],[ITEM]],[2]Contrato!A:A,[2]Contrato!B:B,"",0)</f>
        <v>#NAME?</v>
      </c>
      <c r="Z966" s="47" t="e">
        <f ca="1">_xlfn.XLOOKUP(PAA_4[[#This Row],[ITEM]],[2]Contrato!A:A,[2]Contrato!G:G,"",0)</f>
        <v>#NAME?</v>
      </c>
      <c r="AA966" s="47" t="e">
        <f ca="1">_xlfn.XLOOKUP(PAA_4[[#This Row],[ITEM]],[2]Contrato!A:A,[2]Contrato!T:T,"",0)</f>
        <v>#NAME?</v>
      </c>
      <c r="AB966" s="55" t="e">
        <f ca="1">+MAX(PAA_4[[#This Row],[Comprometido Contrato]],PAA_4[[#This Row],[Comprometido Bolsa]])</f>
        <v>#NAME?</v>
      </c>
      <c r="AC966" s="55" t="str">
        <f t="shared" ca="1" si="321"/>
        <v/>
      </c>
      <c r="AD966" s="55" t="e">
        <f ca="1">IF(PAA_4[[#This Row],[ESTADO (formulado)]]="NO CONTRATADO",0,MAX(PAA_4[[#This Row],[Pago por Contrato]],PAA_4[[#This Row],[Pago por bolsa]]))</f>
        <v>#NAME?</v>
      </c>
      <c r="AE966" s="55" t="str">
        <f t="shared" ca="1" si="322"/>
        <v/>
      </c>
      <c r="AF966" s="47" t="e">
        <f t="shared" ca="1" si="323"/>
        <v>#NAME?</v>
      </c>
      <c r="AG966" s="47">
        <f t="shared" si="324"/>
        <v>41080111</v>
      </c>
      <c r="AH966" s="54">
        <f>IF(Q966="22",IF(ISNUMBER(SEARCH("econ",PAA_4[[#This Row],[Actividad3]])),"Económico",IF(ISNUMBER(SEARCH("alim",PAA_4[[#This Row],[Actividad3]])),"Alimentación",IF(ISNUMBER(SEARCH("educ",PAA_4[[#This Row],[Actividad3]])),"Educativo","Técnico"))),0)</f>
        <v>0</v>
      </c>
      <c r="AI966" s="47" t="e" cm="1">
        <f t="array" aca="1" ref="AI966" ca="1">_xlfn.XLOOKUP(PAA_4[[#This Row],[RCP-RUBRO]],[2]!COMPROMISOS_2024[[#All],[concatenado]],[2]!COMPROMISOS_2024[[#All],[Total pagado]],"",0)</f>
        <v>#NAME?</v>
      </c>
      <c r="AJ966" s="56">
        <f>IF(PAA_4[[#This Row],[BOLSA]]=0,0,SUMIFS([2]!COMPROMISOS_2024[[#All],[Total pagado]],[2]!COMPROMISOS_2024[[#All],[Bolsa]],PAA_4[[#This Row],[BOLSA]],[2]!COMPROMISOS_2024[[#All],[rubro]],PAA_4[[#This Row],[RCP-RUBRO]]))</f>
        <v>0</v>
      </c>
      <c r="AK966" s="47" t="e" cm="1">
        <f t="array" aca="1" ref="AK966" ca="1">_xlfn.XLOOKUP(PAA_4[[#This Row],[RCP-RUBRO]],[2]!COMPROMISOS_2024[[#All],[concatenado]],[2]!COMPROMISOS_2024[[#All],[Total Comprometido]],"",0)</f>
        <v>#NAME?</v>
      </c>
      <c r="AL966" s="47">
        <f>IF(PAA_4[[#This Row],[BOLSA]]=0,0,SUMIFS([2]!COMPROMISOS_2024[[#All],[Total Comprometido]],[2]!COMPROMISOS_2024[[#All],[Bolsa]],PAA_4[[#This Row],[BOLSA]],[2]!COMPROMISOS_2024[[#All],[concatenado]],PAA_4[[#This Row],[RCP-RUBRO]]))</f>
        <v>0</v>
      </c>
    </row>
    <row r="967" spans="1:38" s="19" customFormat="1" ht="31.5" customHeight="1">
      <c r="A967" s="47">
        <v>780</v>
      </c>
      <c r="B967" s="51">
        <v>80111600</v>
      </c>
      <c r="C967" s="47" t="str">
        <f>VLOOKUP(PAA_4[[#This Row],[PROYECTO (formulado)2]],[2]PROYECTOS!$G$1:$L$32,6,0)</f>
        <v>SUBGERENCIA DE ALTOS LOGROS Y DEPORTE ASOCIADO</v>
      </c>
      <c r="D967" s="47" t="str">
        <f>+IF(PAA_4[[#This Row],[UNIDAD DE CONTRATACION (formulado)]]="Subgerencia Administrativa y Financiera","FUNCIONAMIENTO","INVERSIÓN")</f>
        <v>INVERSIÓN</v>
      </c>
      <c r="E967" s="48" t="str">
        <f>VLOOKUP(Q967,[2]PROYECTOS!$G$1:$K$32,5,0)</f>
        <v>DESARROLLO_DEL_POTENCIAL_DEPORTIVO_EN_EL_DEPARTAMENTO_DE_ANTIOQUIA</v>
      </c>
      <c r="F967" s="48">
        <f>VLOOKUP(E967,[2]PROYECTOS!$K$1:$M$32,3,0)</f>
        <v>2020003050022</v>
      </c>
      <c r="G967" s="49" t="s">
        <v>273</v>
      </c>
      <c r="H967" s="49" t="str">
        <f>VLOOKUP(Q967,[2]PROYECTOS!$V$1:$W$32,2,0)</f>
        <v>050065</v>
      </c>
      <c r="I967" s="50">
        <f>10984522-112662</f>
        <v>10871860</v>
      </c>
      <c r="J967" s="356" t="s">
        <v>1801</v>
      </c>
      <c r="K967" s="47" t="str">
        <f t="shared" ca="1" si="318"/>
        <v>CONTRATADO</v>
      </c>
      <c r="L967" s="351" t="s">
        <v>94</v>
      </c>
      <c r="M967" s="47" t="s">
        <v>1297</v>
      </c>
      <c r="N967" s="52" t="s">
        <v>274</v>
      </c>
      <c r="O967" s="51" t="e">
        <f>VLOOKUP(N967,[2]!RUBROS[#All],3,0)</f>
        <v>#REF!</v>
      </c>
      <c r="P967" s="53" t="e">
        <f>VLOOKUP(N967,[2]!RUBROS[#All],2,0)</f>
        <v>#REF!</v>
      </c>
      <c r="Q967" s="47" t="str">
        <f t="shared" si="319"/>
        <v>21</v>
      </c>
      <c r="R967" s="47" t="str">
        <f t="shared" si="320"/>
        <v>4-101124</v>
      </c>
      <c r="S967" s="54">
        <v>6.5</v>
      </c>
      <c r="T967" s="59" t="s">
        <v>46</v>
      </c>
      <c r="U967" s="326" t="e">
        <f ca="1">_xlfn.XLOOKUP(PAA_4[[#This Row],[ITEM]],[2]Contrato!A:A,[2]Contrato!Q:Q,"",0)</f>
        <v>#NAME?</v>
      </c>
      <c r="V967" s="47" t="s">
        <v>47</v>
      </c>
      <c r="W967" s="343" t="s">
        <v>154</v>
      </c>
      <c r="X967" s="343" t="s">
        <v>154</v>
      </c>
      <c r="Y967" s="55" t="e">
        <f ca="1">_xlfn.XLOOKUP(PAA_4[[#This Row],[ITEM]],[2]Contrato!A:A,[2]Contrato!B:B,"",0)</f>
        <v>#NAME?</v>
      </c>
      <c r="Z967" s="47" t="e">
        <f ca="1">_xlfn.XLOOKUP(PAA_4[[#This Row],[ITEM]],[2]Contrato!A:A,[2]Contrato!G:G,"",0)</f>
        <v>#NAME?</v>
      </c>
      <c r="AA967" s="47" t="e">
        <f ca="1">_xlfn.XLOOKUP(PAA_4[[#This Row],[ITEM]],[2]Contrato!A:A,[2]Contrato!T:T,"",0)</f>
        <v>#NAME?</v>
      </c>
      <c r="AB967" s="55" t="e">
        <f ca="1">+MAX(PAA_4[[#This Row],[Comprometido Contrato]],PAA_4[[#This Row],[Comprometido Bolsa]])</f>
        <v>#NAME?</v>
      </c>
      <c r="AC967" s="55" t="str">
        <f t="shared" ca="1" si="321"/>
        <v/>
      </c>
      <c r="AD967" s="55" t="e">
        <f ca="1">IF(PAA_4[[#This Row],[ESTADO (formulado)]]="NO CONTRATADO",0,MAX(PAA_4[[#This Row],[Pago por Contrato]],PAA_4[[#This Row],[Pago por bolsa]]))</f>
        <v>#NAME?</v>
      </c>
      <c r="AE967" s="55" t="str">
        <f t="shared" ca="1" si="322"/>
        <v/>
      </c>
      <c r="AF967" s="47" t="e">
        <f t="shared" ca="1" si="323"/>
        <v>#NAME?</v>
      </c>
      <c r="AG967" s="47">
        <f t="shared" si="324"/>
        <v>41080112</v>
      </c>
      <c r="AH967" s="54">
        <f>IF(Q967="22",IF(ISNUMBER(SEARCH("econ",PAA_4[[#This Row],[Actividad3]])),"Económico",IF(ISNUMBER(SEARCH("alim",PAA_4[[#This Row],[Actividad3]])),"Alimentación",IF(ISNUMBER(SEARCH("educ",PAA_4[[#This Row],[Actividad3]])),"Educativo","Técnico"))),0)</f>
        <v>0</v>
      </c>
      <c r="AI967" s="47" t="e" cm="1">
        <f t="array" aca="1" ref="AI967" ca="1">_xlfn.XLOOKUP(PAA_4[[#This Row],[RCP-RUBRO]],[2]!COMPROMISOS_2024[[#All],[concatenado]],[2]!COMPROMISOS_2024[[#All],[Total pagado]],"",0)</f>
        <v>#NAME?</v>
      </c>
      <c r="AJ967" s="56">
        <f>IF(PAA_4[[#This Row],[BOLSA]]=0,0,SUMIFS([2]!COMPROMISOS_2024[[#All],[Total pagado]],[2]!COMPROMISOS_2024[[#All],[Bolsa]],PAA_4[[#This Row],[BOLSA]],[2]!COMPROMISOS_2024[[#All],[rubro]],PAA_4[[#This Row],[RCP-RUBRO]]))</f>
        <v>0</v>
      </c>
      <c r="AK967" s="47" t="e" cm="1">
        <f t="array" aca="1" ref="AK967" ca="1">_xlfn.XLOOKUP(PAA_4[[#This Row],[RCP-RUBRO]],[2]!COMPROMISOS_2024[[#All],[concatenado]],[2]!COMPROMISOS_2024[[#All],[Total Comprometido]],"",0)</f>
        <v>#NAME?</v>
      </c>
      <c r="AL967" s="47">
        <f>IF(PAA_4[[#This Row],[BOLSA]]=0,0,SUMIFS([2]!COMPROMISOS_2024[[#All],[Total Comprometido]],[2]!COMPROMISOS_2024[[#All],[Bolsa]],PAA_4[[#This Row],[BOLSA]],[2]!COMPROMISOS_2024[[#All],[concatenado]],PAA_4[[#This Row],[RCP-RUBRO]]))</f>
        <v>0</v>
      </c>
    </row>
    <row r="968" spans="1:38" s="19" customFormat="1" ht="31.5" customHeight="1">
      <c r="A968" s="47">
        <v>781</v>
      </c>
      <c r="B968" s="51">
        <v>80111600</v>
      </c>
      <c r="C968" s="47" t="str">
        <f>VLOOKUP(PAA_4[[#This Row],[PROYECTO (formulado)2]],[2]PROYECTOS!$G$1:$L$32,6,0)</f>
        <v>SUBGERENCIA DE ALTOS LOGROS Y DEPORTE ASOCIADO</v>
      </c>
      <c r="D968" s="47" t="str">
        <f>+IF(PAA_4[[#This Row],[UNIDAD DE CONTRATACION (formulado)]]="Subgerencia Administrativa y Financiera","FUNCIONAMIENTO","INVERSIÓN")</f>
        <v>INVERSIÓN</v>
      </c>
      <c r="E968" s="48" t="str">
        <f>VLOOKUP(Q968,[2]PROYECTOS!$G$1:$K$32,5,0)</f>
        <v>FORTALECIMIENTO_DEL_PROGRAMA_DE_ALTOS_LOGROS_Y_LIDERAZGO_DEPORTIVO_EN_EL_DEPARTAMENTO_DE_ANTIOQUIA</v>
      </c>
      <c r="F968" s="48">
        <f>VLOOKUP(E968,[2]PROYECTOS!$K$1:$M$32,3,0)</f>
        <v>2020003050021</v>
      </c>
      <c r="G968" s="49" t="s">
        <v>235</v>
      </c>
      <c r="H968" s="49" t="str">
        <f>VLOOKUP(Q968,[2]PROYECTOS!$V$1:$W$32,2,0)</f>
        <v>050061</v>
      </c>
      <c r="I968" s="50">
        <f>22357014-2866282</f>
        <v>19490732</v>
      </c>
      <c r="J968" s="356" t="s">
        <v>1802</v>
      </c>
      <c r="K968" s="47" t="str">
        <f t="shared" ca="1" si="318"/>
        <v>CONTRATADO</v>
      </c>
      <c r="L968" s="351" t="s">
        <v>94</v>
      </c>
      <c r="M968" s="47" t="s">
        <v>1297</v>
      </c>
      <c r="N968" s="52" t="s">
        <v>278</v>
      </c>
      <c r="O968" s="51" t="e">
        <f>VLOOKUP(N968,[2]!RUBROS[#All],3,0)</f>
        <v>#REF!</v>
      </c>
      <c r="P968" s="53" t="e">
        <f>VLOOKUP(N968,[2]!RUBROS[#All],2,0)</f>
        <v>#REF!</v>
      </c>
      <c r="Q968" s="47" t="str">
        <f t="shared" si="319"/>
        <v>20</v>
      </c>
      <c r="R968" s="47" t="str">
        <f t="shared" si="320"/>
        <v>4-101124</v>
      </c>
      <c r="S968" s="54">
        <v>6.5</v>
      </c>
      <c r="T968" s="59" t="s">
        <v>46</v>
      </c>
      <c r="U968" s="326" t="e">
        <f ca="1">_xlfn.XLOOKUP(PAA_4[[#This Row],[ITEM]],[2]Contrato!A:A,[2]Contrato!Q:Q,"",0)</f>
        <v>#NAME?</v>
      </c>
      <c r="V968" s="47" t="s">
        <v>47</v>
      </c>
      <c r="W968" s="343" t="s">
        <v>154</v>
      </c>
      <c r="X968" s="343" t="s">
        <v>154</v>
      </c>
      <c r="Y968" s="55" t="e">
        <f ca="1">_xlfn.XLOOKUP(PAA_4[[#This Row],[ITEM]],[2]Contrato!A:A,[2]Contrato!B:B,"",0)</f>
        <v>#NAME?</v>
      </c>
      <c r="Z968" s="47" t="e">
        <f ca="1">_xlfn.XLOOKUP(PAA_4[[#This Row],[ITEM]],[2]Contrato!A:A,[2]Contrato!G:G,"",0)</f>
        <v>#NAME?</v>
      </c>
      <c r="AA968" s="47" t="e">
        <f ca="1">_xlfn.XLOOKUP(PAA_4[[#This Row],[ITEM]],[2]Contrato!A:A,[2]Contrato!T:T,"",0)</f>
        <v>#NAME?</v>
      </c>
      <c r="AB968" s="55" t="e">
        <f ca="1">+MAX(PAA_4[[#This Row],[Comprometido Contrato]],PAA_4[[#This Row],[Comprometido Bolsa]])</f>
        <v>#NAME?</v>
      </c>
      <c r="AC968" s="55" t="str">
        <f t="shared" ca="1" si="321"/>
        <v/>
      </c>
      <c r="AD968" s="55" t="e">
        <f ca="1">IF(PAA_4[[#This Row],[ESTADO (formulado)]]="NO CONTRATADO",0,MAX(PAA_4[[#This Row],[Pago por Contrato]],PAA_4[[#This Row],[Pago por bolsa]]))</f>
        <v>#NAME?</v>
      </c>
      <c r="AE968" s="55" t="str">
        <f t="shared" ca="1" si="322"/>
        <v/>
      </c>
      <c r="AF968" s="47" t="e">
        <f t="shared" ca="1" si="323"/>
        <v>#NAME?</v>
      </c>
      <c r="AG968" s="47">
        <f t="shared" si="324"/>
        <v>41080111</v>
      </c>
      <c r="AH968" s="54">
        <f>IF(Q968="22",IF(ISNUMBER(SEARCH("econ",PAA_4[[#This Row],[Actividad3]])),"Económico",IF(ISNUMBER(SEARCH("alim",PAA_4[[#This Row],[Actividad3]])),"Alimentación",IF(ISNUMBER(SEARCH("educ",PAA_4[[#This Row],[Actividad3]])),"Educativo","Técnico"))),0)</f>
        <v>0</v>
      </c>
      <c r="AI968" s="47" t="e" cm="1">
        <f t="array" aca="1" ref="AI968" ca="1">_xlfn.XLOOKUP(PAA_4[[#This Row],[RCP-RUBRO]],[2]!COMPROMISOS_2024[[#All],[concatenado]],[2]!COMPROMISOS_2024[[#All],[Total pagado]],"",0)</f>
        <v>#NAME?</v>
      </c>
      <c r="AJ968" s="56">
        <f>IF(PAA_4[[#This Row],[BOLSA]]=0,0,SUMIFS([2]!COMPROMISOS_2024[[#All],[Total pagado]],[2]!COMPROMISOS_2024[[#All],[Bolsa]],PAA_4[[#This Row],[BOLSA]],[2]!COMPROMISOS_2024[[#All],[rubro]],PAA_4[[#This Row],[RCP-RUBRO]]))</f>
        <v>0</v>
      </c>
      <c r="AK968" s="47" t="e" cm="1">
        <f t="array" aca="1" ref="AK968" ca="1">_xlfn.XLOOKUP(PAA_4[[#This Row],[RCP-RUBRO]],[2]!COMPROMISOS_2024[[#All],[concatenado]],[2]!COMPROMISOS_2024[[#All],[Total Comprometido]],"",0)</f>
        <v>#NAME?</v>
      </c>
      <c r="AL968" s="47">
        <f>IF(PAA_4[[#This Row],[BOLSA]]=0,0,SUMIFS([2]!COMPROMISOS_2024[[#All],[Total Comprometido]],[2]!COMPROMISOS_2024[[#All],[Bolsa]],PAA_4[[#This Row],[BOLSA]],[2]!COMPROMISOS_2024[[#All],[concatenado]],PAA_4[[#This Row],[RCP-RUBRO]]))</f>
        <v>0</v>
      </c>
    </row>
    <row r="969" spans="1:38" s="19" customFormat="1" ht="31.5" customHeight="1">
      <c r="A969" s="47">
        <v>781</v>
      </c>
      <c r="B969" s="51">
        <v>80111600</v>
      </c>
      <c r="C969" s="47" t="str">
        <f>VLOOKUP(PAA_4[[#This Row],[PROYECTO (formulado)2]],[2]PROYECTOS!$G$1:$L$32,6,0)</f>
        <v>SUBGERENCIA DE ALTOS LOGROS Y DEPORTE ASOCIADO</v>
      </c>
      <c r="D969" s="47" t="str">
        <f>+IF(PAA_4[[#This Row],[UNIDAD DE CONTRATACION (formulado)]]="Subgerencia Administrativa y Financiera","FUNCIONAMIENTO","INVERSIÓN")</f>
        <v>INVERSIÓN</v>
      </c>
      <c r="E969" s="48" t="str">
        <f>VLOOKUP(Q969,[2]PROYECTOS!$G$1:$K$32,5,0)</f>
        <v>DESARROLLO_DEL_POTENCIAL_DEPORTIVO_EN_EL_DEPARTAMENTO_DE_ANTIOQUIA</v>
      </c>
      <c r="F969" s="48">
        <f>VLOOKUP(E969,[2]PROYECTOS!$K$1:$M$32,3,0)</f>
        <v>2020003050022</v>
      </c>
      <c r="G969" s="49" t="s">
        <v>273</v>
      </c>
      <c r="H969" s="49" t="str">
        <f>VLOOKUP(Q969,[2]PROYECTOS!$V$1:$W$32,2,0)</f>
        <v>050065</v>
      </c>
      <c r="I969" s="50">
        <f>22357013-2866286</f>
        <v>19490727</v>
      </c>
      <c r="J969" s="356" t="s">
        <v>1802</v>
      </c>
      <c r="K969" s="47" t="str">
        <f t="shared" ca="1" si="318"/>
        <v>CONTRATADO</v>
      </c>
      <c r="L969" s="351" t="s">
        <v>94</v>
      </c>
      <c r="M969" s="47" t="s">
        <v>1297</v>
      </c>
      <c r="N969" s="52" t="s">
        <v>274</v>
      </c>
      <c r="O969" s="51" t="e">
        <f>VLOOKUP(N969,[2]!RUBROS[#All],3,0)</f>
        <v>#REF!</v>
      </c>
      <c r="P969" s="53" t="e">
        <f>VLOOKUP(N969,[2]!RUBROS[#All],2,0)</f>
        <v>#REF!</v>
      </c>
      <c r="Q969" s="47" t="str">
        <f t="shared" si="319"/>
        <v>21</v>
      </c>
      <c r="R969" s="47" t="str">
        <f t="shared" si="320"/>
        <v>4-101124</v>
      </c>
      <c r="S969" s="54">
        <v>6.5</v>
      </c>
      <c r="T969" s="59" t="s">
        <v>46</v>
      </c>
      <c r="U969" s="326" t="e">
        <f ca="1">_xlfn.XLOOKUP(PAA_4[[#This Row],[ITEM]],[2]Contrato!A:A,[2]Contrato!Q:Q,"",0)</f>
        <v>#NAME?</v>
      </c>
      <c r="V969" s="47" t="s">
        <v>47</v>
      </c>
      <c r="W969" s="343" t="s">
        <v>154</v>
      </c>
      <c r="X969" s="343" t="s">
        <v>154</v>
      </c>
      <c r="Y969" s="55" t="e">
        <f ca="1">_xlfn.XLOOKUP(PAA_4[[#This Row],[ITEM]],[2]Contrato!A:A,[2]Contrato!B:B,"",0)</f>
        <v>#NAME?</v>
      </c>
      <c r="Z969" s="47" t="e">
        <f ca="1">_xlfn.XLOOKUP(PAA_4[[#This Row],[ITEM]],[2]Contrato!A:A,[2]Contrato!G:G,"",0)</f>
        <v>#NAME?</v>
      </c>
      <c r="AA969" s="47" t="e">
        <f ca="1">_xlfn.XLOOKUP(PAA_4[[#This Row],[ITEM]],[2]Contrato!A:A,[2]Contrato!T:T,"",0)</f>
        <v>#NAME?</v>
      </c>
      <c r="AB969" s="55" t="e">
        <f ca="1">+MAX(PAA_4[[#This Row],[Comprometido Contrato]],PAA_4[[#This Row],[Comprometido Bolsa]])</f>
        <v>#NAME?</v>
      </c>
      <c r="AC969" s="55" t="str">
        <f t="shared" ca="1" si="321"/>
        <v/>
      </c>
      <c r="AD969" s="55" t="e">
        <f ca="1">IF(PAA_4[[#This Row],[ESTADO (formulado)]]="NO CONTRATADO",0,MAX(PAA_4[[#This Row],[Pago por Contrato]],PAA_4[[#This Row],[Pago por bolsa]]))</f>
        <v>#NAME?</v>
      </c>
      <c r="AE969" s="55" t="str">
        <f t="shared" ca="1" si="322"/>
        <v/>
      </c>
      <c r="AF969" s="47" t="e">
        <f t="shared" ca="1" si="323"/>
        <v>#NAME?</v>
      </c>
      <c r="AG969" s="47">
        <f t="shared" si="324"/>
        <v>41080112</v>
      </c>
      <c r="AH969" s="54">
        <f>IF(Q969="22",IF(ISNUMBER(SEARCH("econ",PAA_4[[#This Row],[Actividad3]])),"Económico",IF(ISNUMBER(SEARCH("alim",PAA_4[[#This Row],[Actividad3]])),"Alimentación",IF(ISNUMBER(SEARCH("educ",PAA_4[[#This Row],[Actividad3]])),"Educativo","Técnico"))),0)</f>
        <v>0</v>
      </c>
      <c r="AI969" s="47" t="e" cm="1">
        <f t="array" aca="1" ref="AI969" ca="1">_xlfn.XLOOKUP(PAA_4[[#This Row],[RCP-RUBRO]],[2]!COMPROMISOS_2024[[#All],[concatenado]],[2]!COMPROMISOS_2024[[#All],[Total pagado]],"",0)</f>
        <v>#NAME?</v>
      </c>
      <c r="AJ969" s="56">
        <f>IF(PAA_4[[#This Row],[BOLSA]]=0,0,SUMIFS([2]!COMPROMISOS_2024[[#All],[Total pagado]],[2]!COMPROMISOS_2024[[#All],[Bolsa]],PAA_4[[#This Row],[BOLSA]],[2]!COMPROMISOS_2024[[#All],[rubro]],PAA_4[[#This Row],[RCP-RUBRO]]))</f>
        <v>0</v>
      </c>
      <c r="AK969" s="47" t="e" cm="1">
        <f t="array" aca="1" ref="AK969" ca="1">_xlfn.XLOOKUP(PAA_4[[#This Row],[RCP-RUBRO]],[2]!COMPROMISOS_2024[[#All],[concatenado]],[2]!COMPROMISOS_2024[[#All],[Total Comprometido]],"",0)</f>
        <v>#NAME?</v>
      </c>
      <c r="AL969" s="47">
        <f>IF(PAA_4[[#This Row],[BOLSA]]=0,0,SUMIFS([2]!COMPROMISOS_2024[[#All],[Total Comprometido]],[2]!COMPROMISOS_2024[[#All],[Bolsa]],PAA_4[[#This Row],[BOLSA]],[2]!COMPROMISOS_2024[[#All],[concatenado]],PAA_4[[#This Row],[RCP-RUBRO]]))</f>
        <v>0</v>
      </c>
    </row>
    <row r="970" spans="1:38" s="19" customFormat="1" ht="31.5" customHeight="1">
      <c r="A970" s="47">
        <v>783</v>
      </c>
      <c r="B970" s="51">
        <v>80111600</v>
      </c>
      <c r="C970" s="47" t="str">
        <f>VLOOKUP(PAA_4[[#This Row],[PROYECTO (formulado)2]],[2]PROYECTOS!$G$1:$L$32,6,0)</f>
        <v>SUBGERENCIA DE ALTOS LOGROS Y DEPORTE ASOCIADO</v>
      </c>
      <c r="D970" s="47" t="str">
        <f>+IF(PAA_4[[#This Row],[UNIDAD DE CONTRATACION (formulado)]]="Subgerencia Administrativa y Financiera","FUNCIONAMIENTO","INVERSIÓN")</f>
        <v>INVERSIÓN</v>
      </c>
      <c r="E970" s="48" t="str">
        <f>VLOOKUP(Q970,[2]PROYECTOS!$G$1:$K$32,5,0)</f>
        <v>FORTALECIMIENTO_DEL_PROGRAMA_DE_ALTOS_LOGROS_Y_LIDERAZGO_DEPORTIVO_EN_EL_DEPARTAMENTO_DE_ANTIOQUIA</v>
      </c>
      <c r="F970" s="48">
        <f>VLOOKUP(E970,[2]PROYECTOS!$K$1:$M$32,3,0)</f>
        <v>2020003050021</v>
      </c>
      <c r="G970" s="67" t="s">
        <v>235</v>
      </c>
      <c r="H970" s="49" t="str">
        <f>VLOOKUP(Q970,[2]PROYECTOS!$V$1:$W$32,2,0)</f>
        <v>050061</v>
      </c>
      <c r="I970" s="50">
        <f>20178637-458602</f>
        <v>19720035</v>
      </c>
      <c r="J970" s="356" t="s">
        <v>1803</v>
      </c>
      <c r="K970" s="47" t="str">
        <f t="shared" ca="1" si="318"/>
        <v>CONTRATADO</v>
      </c>
      <c r="L970" s="351" t="s">
        <v>94</v>
      </c>
      <c r="M970" s="47" t="s">
        <v>1297</v>
      </c>
      <c r="N970" s="52" t="s">
        <v>278</v>
      </c>
      <c r="O970" s="51" t="e">
        <f>VLOOKUP(N970,[2]!RUBROS[#All],3,0)</f>
        <v>#REF!</v>
      </c>
      <c r="P970" s="53" t="e">
        <f>VLOOKUP(N970,[2]!RUBROS[#All],2,0)</f>
        <v>#REF!</v>
      </c>
      <c r="Q970" s="47" t="str">
        <f t="shared" si="319"/>
        <v>20</v>
      </c>
      <c r="R970" s="47" t="str">
        <f t="shared" si="320"/>
        <v>4-101124</v>
      </c>
      <c r="S970" s="54">
        <v>176</v>
      </c>
      <c r="T970" s="59" t="s">
        <v>120</v>
      </c>
      <c r="U970" s="326" t="e">
        <f ca="1">_xlfn.XLOOKUP(PAA_4[[#This Row],[ITEM]],[2]Contrato!A:A,[2]Contrato!Q:Q,"",0)</f>
        <v>#NAME?</v>
      </c>
      <c r="V970" s="47" t="s">
        <v>47</v>
      </c>
      <c r="W970" s="343" t="s">
        <v>154</v>
      </c>
      <c r="X970" s="343" t="s">
        <v>154</v>
      </c>
      <c r="Y970" s="55" t="e">
        <f ca="1">_xlfn.XLOOKUP(PAA_4[[#This Row],[ITEM]],[2]Contrato!A:A,[2]Contrato!B:B,"",0)</f>
        <v>#NAME?</v>
      </c>
      <c r="Z970" s="47" t="e">
        <f ca="1">_xlfn.XLOOKUP(PAA_4[[#This Row],[ITEM]],[2]Contrato!A:A,[2]Contrato!G:G,"",0)</f>
        <v>#NAME?</v>
      </c>
      <c r="AA970" s="47" t="e">
        <f ca="1">_xlfn.XLOOKUP(PAA_4[[#This Row],[ITEM]],[2]Contrato!A:A,[2]Contrato!T:T,"",0)</f>
        <v>#NAME?</v>
      </c>
      <c r="AB970" s="55" t="e">
        <f ca="1">+MAX(PAA_4[[#This Row],[Comprometido Contrato]],PAA_4[[#This Row],[Comprometido Bolsa]])</f>
        <v>#NAME?</v>
      </c>
      <c r="AC970" s="55" t="str">
        <f t="shared" ca="1" si="321"/>
        <v/>
      </c>
      <c r="AD970" s="55" t="e">
        <f ca="1">IF(PAA_4[[#This Row],[ESTADO (formulado)]]="NO CONTRATADO",0,MAX(PAA_4[[#This Row],[Pago por Contrato]],PAA_4[[#This Row],[Pago por bolsa]]))</f>
        <v>#NAME?</v>
      </c>
      <c r="AE970" s="55" t="str">
        <f t="shared" ca="1" si="322"/>
        <v/>
      </c>
      <c r="AF970" s="47" t="e">
        <f t="shared" ca="1" si="323"/>
        <v>#NAME?</v>
      </c>
      <c r="AG970" s="47">
        <f t="shared" si="324"/>
        <v>41080111</v>
      </c>
      <c r="AH970" s="54">
        <f>IF(Q970="22",IF(ISNUMBER(SEARCH("econ",PAA_4[[#This Row],[Actividad3]])),"Económico",IF(ISNUMBER(SEARCH("alim",PAA_4[[#This Row],[Actividad3]])),"Alimentación",IF(ISNUMBER(SEARCH("educ",PAA_4[[#This Row],[Actividad3]])),"Educativo","Técnico"))),0)</f>
        <v>0</v>
      </c>
      <c r="AI970" s="47" t="e" cm="1">
        <f t="array" aca="1" ref="AI970" ca="1">_xlfn.XLOOKUP(PAA_4[[#This Row],[RCP-RUBRO]],[2]!COMPROMISOS_2024[[#All],[concatenado]],[2]!COMPROMISOS_2024[[#All],[Total pagado]],"",0)</f>
        <v>#NAME?</v>
      </c>
      <c r="AJ970" s="56">
        <f>IF(PAA_4[[#This Row],[BOLSA]]=0,0,SUMIFS([2]!COMPROMISOS_2024[[#All],[Total pagado]],[2]!COMPROMISOS_2024[[#All],[Bolsa]],PAA_4[[#This Row],[BOLSA]],[2]!COMPROMISOS_2024[[#All],[rubro]],PAA_4[[#This Row],[RCP-RUBRO]]))</f>
        <v>0</v>
      </c>
      <c r="AK970" s="47" t="e" cm="1">
        <f t="array" aca="1" ref="AK970" ca="1">_xlfn.XLOOKUP(PAA_4[[#This Row],[RCP-RUBRO]],[2]!COMPROMISOS_2024[[#All],[concatenado]],[2]!COMPROMISOS_2024[[#All],[Total Comprometido]],"",0)</f>
        <v>#NAME?</v>
      </c>
      <c r="AL970" s="47">
        <f>IF(PAA_4[[#This Row],[BOLSA]]=0,0,SUMIFS([2]!COMPROMISOS_2024[[#All],[Total Comprometido]],[2]!COMPROMISOS_2024[[#All],[Bolsa]],PAA_4[[#This Row],[BOLSA]],[2]!COMPROMISOS_2024[[#All],[concatenado]],PAA_4[[#This Row],[RCP-RUBRO]]))</f>
        <v>0</v>
      </c>
    </row>
    <row r="971" spans="1:38" s="19" customFormat="1" ht="31.5" customHeight="1">
      <c r="A971" s="47">
        <v>783</v>
      </c>
      <c r="B971" s="51">
        <v>80111600</v>
      </c>
      <c r="C971" s="47" t="str">
        <f>VLOOKUP(PAA_4[[#This Row],[PROYECTO (formulado)2]],[2]PROYECTOS!$G$1:$L$32,6,0)</f>
        <v>SUBGERENCIA DE ALTOS LOGROS Y DEPORTE ASOCIADO</v>
      </c>
      <c r="D971" s="47" t="str">
        <f>+IF(PAA_4[[#This Row],[UNIDAD DE CONTRATACION (formulado)]]="Subgerencia Administrativa y Financiera","FUNCIONAMIENTO","INVERSIÓN")</f>
        <v>INVERSIÓN</v>
      </c>
      <c r="E971" s="48" t="str">
        <f>VLOOKUP(Q971,[2]PROYECTOS!$G$1:$K$32,5,0)</f>
        <v>DESARROLLO_DEL_POTENCIAL_DEPORTIVO_EN_EL_DEPARTAMENTO_DE_ANTIOQUIA</v>
      </c>
      <c r="F971" s="48">
        <f>VLOOKUP(E971,[2]PROYECTOS!$K$1:$M$32,3,0)</f>
        <v>2020003050022</v>
      </c>
      <c r="G971" s="67" t="s">
        <v>273</v>
      </c>
      <c r="H971" s="49" t="str">
        <f>VLOOKUP(Q971,[2]PROYECTOS!$V$1:$W$32,2,0)</f>
        <v>050065</v>
      </c>
      <c r="I971" s="50">
        <f>20178638-458609</f>
        <v>19720029</v>
      </c>
      <c r="J971" s="356" t="s">
        <v>1803</v>
      </c>
      <c r="K971" s="47" t="str">
        <f t="shared" ca="1" si="318"/>
        <v>CONTRATADO</v>
      </c>
      <c r="L971" s="351" t="s">
        <v>94</v>
      </c>
      <c r="M971" s="47" t="s">
        <v>1297</v>
      </c>
      <c r="N971" s="52" t="s">
        <v>246</v>
      </c>
      <c r="O971" s="51" t="e">
        <f>VLOOKUP(N971,[2]!RUBROS[#All],3,0)</f>
        <v>#REF!</v>
      </c>
      <c r="P971" s="53" t="e">
        <f>VLOOKUP(N971,[2]!RUBROS[#All],2,0)</f>
        <v>#REF!</v>
      </c>
      <c r="Q971" s="47" t="str">
        <f t="shared" si="319"/>
        <v>21</v>
      </c>
      <c r="R971" s="47" t="str">
        <f t="shared" si="320"/>
        <v>0-205400</v>
      </c>
      <c r="S971" s="54">
        <v>176</v>
      </c>
      <c r="T971" s="59" t="s">
        <v>120</v>
      </c>
      <c r="U971" s="326" t="e">
        <f ca="1">_xlfn.XLOOKUP(PAA_4[[#This Row],[ITEM]],[2]Contrato!A:A,[2]Contrato!Q:Q,"",0)</f>
        <v>#NAME?</v>
      </c>
      <c r="V971" s="47" t="s">
        <v>47</v>
      </c>
      <c r="W971" s="343" t="s">
        <v>154</v>
      </c>
      <c r="X971" s="343" t="s">
        <v>154</v>
      </c>
      <c r="Y971" s="55" t="e">
        <f ca="1">_xlfn.XLOOKUP(PAA_4[[#This Row],[ITEM]],[2]Contrato!A:A,[2]Contrato!B:B,"",0)</f>
        <v>#NAME?</v>
      </c>
      <c r="Z971" s="47" t="e">
        <f ca="1">_xlfn.XLOOKUP(PAA_4[[#This Row],[ITEM]],[2]Contrato!A:A,[2]Contrato!G:G,"",0)</f>
        <v>#NAME?</v>
      </c>
      <c r="AA971" s="47" t="e">
        <f ca="1">_xlfn.XLOOKUP(PAA_4[[#This Row],[ITEM]],[2]Contrato!A:A,[2]Contrato!T:T,"",0)</f>
        <v>#NAME?</v>
      </c>
      <c r="AB971" s="55" t="e">
        <f ca="1">+MAX(PAA_4[[#This Row],[Comprometido Contrato]],PAA_4[[#This Row],[Comprometido Bolsa]])</f>
        <v>#NAME?</v>
      </c>
      <c r="AC971" s="55" t="str">
        <f t="shared" ca="1" si="321"/>
        <v/>
      </c>
      <c r="AD971" s="55" t="e">
        <f ca="1">IF(PAA_4[[#This Row],[ESTADO (formulado)]]="NO CONTRATADO",0,MAX(PAA_4[[#This Row],[Pago por Contrato]],PAA_4[[#This Row],[Pago por bolsa]]))</f>
        <v>#NAME?</v>
      </c>
      <c r="AE971" s="55" t="str">
        <f t="shared" ca="1" si="322"/>
        <v/>
      </c>
      <c r="AF971" s="47" t="e">
        <f t="shared" ca="1" si="323"/>
        <v>#NAME?</v>
      </c>
      <c r="AG971" s="47">
        <f t="shared" si="324"/>
        <v>41080112</v>
      </c>
      <c r="AH971" s="54">
        <f>IF(Q971="22",IF(ISNUMBER(SEARCH("econ",PAA_4[[#This Row],[Actividad3]])),"Económico",IF(ISNUMBER(SEARCH("alim",PAA_4[[#This Row],[Actividad3]])),"Alimentación",IF(ISNUMBER(SEARCH("educ",PAA_4[[#This Row],[Actividad3]])),"Educativo","Técnico"))),0)</f>
        <v>0</v>
      </c>
      <c r="AI971" s="47" t="e" cm="1">
        <f t="array" aca="1" ref="AI971" ca="1">_xlfn.XLOOKUP(PAA_4[[#This Row],[RCP-RUBRO]],[2]!COMPROMISOS_2024[[#All],[concatenado]],[2]!COMPROMISOS_2024[[#All],[Total pagado]],"",0)</f>
        <v>#NAME?</v>
      </c>
      <c r="AJ971" s="56">
        <f>IF(PAA_4[[#This Row],[BOLSA]]=0,0,SUMIFS([2]!COMPROMISOS_2024[[#All],[Total pagado]],[2]!COMPROMISOS_2024[[#All],[Bolsa]],PAA_4[[#This Row],[BOLSA]],[2]!COMPROMISOS_2024[[#All],[rubro]],PAA_4[[#This Row],[RCP-RUBRO]]))</f>
        <v>0</v>
      </c>
      <c r="AK971" s="47" t="e" cm="1">
        <f t="array" aca="1" ref="AK971" ca="1">_xlfn.XLOOKUP(PAA_4[[#This Row],[RCP-RUBRO]],[2]!COMPROMISOS_2024[[#All],[concatenado]],[2]!COMPROMISOS_2024[[#All],[Total Comprometido]],"",0)</f>
        <v>#NAME?</v>
      </c>
      <c r="AL971" s="47">
        <f>IF(PAA_4[[#This Row],[BOLSA]]=0,0,SUMIFS([2]!COMPROMISOS_2024[[#All],[Total Comprometido]],[2]!COMPROMISOS_2024[[#All],[Bolsa]],PAA_4[[#This Row],[BOLSA]],[2]!COMPROMISOS_2024[[#All],[concatenado]],PAA_4[[#This Row],[RCP-RUBRO]]))</f>
        <v>0</v>
      </c>
    </row>
    <row r="972" spans="1:38" s="19" customFormat="1" ht="31.5" customHeight="1">
      <c r="A972" s="47">
        <v>840</v>
      </c>
      <c r="B972" s="51">
        <v>80111600</v>
      </c>
      <c r="C972" s="47" t="str">
        <f>VLOOKUP(PAA_4[[#This Row],[PROYECTO (formulado)2]],[2]PROYECTOS!$G$1:$L$32,6,0)</f>
        <v>SUBGERENCIA DE ALTOS LOGROS Y DEPORTE ASOCIADO</v>
      </c>
      <c r="D972" s="47" t="str">
        <f>+IF(PAA_4[[#This Row],[UNIDAD DE CONTRATACION (formulado)]]="Subgerencia Administrativa y Financiera","FUNCIONAMIENTO","INVERSIÓN")</f>
        <v>INVERSIÓN</v>
      </c>
      <c r="E972" s="48" t="str">
        <f>VLOOKUP(Q972,[2]PROYECTOS!$G$1:$K$32,5,0)</f>
        <v>FORTALECIMIENTO_DEL_PROGRAMA_DE_ALTOS_LOGROS_Y_LIDERAZGO_DEPORTIVO_EN_EL_DEPARTAMENTO_DE_ANTIOQUIA</v>
      </c>
      <c r="F972" s="48">
        <f>VLOOKUP(E972,[2]PROYECTOS!$K$1:$M$32,3,0)</f>
        <v>2020003050021</v>
      </c>
      <c r="G972" s="67" t="s">
        <v>235</v>
      </c>
      <c r="H972" s="49" t="str">
        <f>VLOOKUP(Q972,[2]PROYECTOS!$V$1:$W$32,2,0)</f>
        <v>050061</v>
      </c>
      <c r="I972" s="50">
        <f>18917473-1605119</f>
        <v>17312354</v>
      </c>
      <c r="J972" s="340" t="s">
        <v>1786</v>
      </c>
      <c r="K972" s="47" t="str">
        <f t="shared" ca="1" si="318"/>
        <v>CONTRATADO</v>
      </c>
      <c r="L972" s="351" t="s">
        <v>94</v>
      </c>
      <c r="M972" s="47" t="s">
        <v>1297</v>
      </c>
      <c r="N972" s="52" t="s">
        <v>278</v>
      </c>
      <c r="O972" s="51" t="e">
        <f>VLOOKUP(N972,[2]!RUBROS[#All],3,0)</f>
        <v>#REF!</v>
      </c>
      <c r="P972" s="53" t="e">
        <f>VLOOKUP(N972,[2]!RUBROS[#All],2,0)</f>
        <v>#REF!</v>
      </c>
      <c r="Q972" s="47" t="str">
        <f t="shared" si="319"/>
        <v>20</v>
      </c>
      <c r="R972" s="47" t="str">
        <f t="shared" si="320"/>
        <v>4-101124</v>
      </c>
      <c r="S972" s="342">
        <v>165</v>
      </c>
      <c r="T972" s="59" t="s">
        <v>120</v>
      </c>
      <c r="U972" s="326" t="e">
        <f ca="1">_xlfn.XLOOKUP(PAA_4[[#This Row],[ITEM]],[2]Contrato!A:A,[2]Contrato!Q:Q,"",0)</f>
        <v>#NAME?</v>
      </c>
      <c r="V972" s="47" t="s">
        <v>47</v>
      </c>
      <c r="W972" s="343" t="s">
        <v>193</v>
      </c>
      <c r="X972" s="343" t="s">
        <v>193</v>
      </c>
      <c r="Y972" s="55" t="e">
        <f ca="1">_xlfn.XLOOKUP(PAA_4[[#This Row],[ITEM]],[2]Contrato!A:A,[2]Contrato!B:B,"",0)</f>
        <v>#NAME?</v>
      </c>
      <c r="Z972" s="47" t="e">
        <f ca="1">_xlfn.XLOOKUP(PAA_4[[#This Row],[ITEM]],[2]Contrato!A:A,[2]Contrato!G:G,"",0)</f>
        <v>#NAME?</v>
      </c>
      <c r="AA972" s="47" t="e">
        <f ca="1">_xlfn.XLOOKUP(PAA_4[[#This Row],[ITEM]],[2]Contrato!A:A,[2]Contrato!T:T,"",0)</f>
        <v>#NAME?</v>
      </c>
      <c r="AB972" s="55" t="e">
        <f ca="1">+MAX(PAA_4[[#This Row],[Comprometido Contrato]],PAA_4[[#This Row],[Comprometido Bolsa]])</f>
        <v>#NAME?</v>
      </c>
      <c r="AC972" s="55" t="str">
        <f t="shared" ca="1" si="321"/>
        <v/>
      </c>
      <c r="AD972" s="55" t="e">
        <f ca="1">IF(PAA_4[[#This Row],[ESTADO (formulado)]]="NO CONTRATADO",0,MAX(PAA_4[[#This Row],[Pago por Contrato]],PAA_4[[#This Row],[Pago por bolsa]]))</f>
        <v>#NAME?</v>
      </c>
      <c r="AE972" s="55" t="str">
        <f t="shared" ca="1" si="322"/>
        <v/>
      </c>
      <c r="AF972" s="47" t="e">
        <f t="shared" ca="1" si="323"/>
        <v>#NAME?</v>
      </c>
      <c r="AG972" s="47">
        <f t="shared" si="324"/>
        <v>41080111</v>
      </c>
      <c r="AH972" s="54">
        <f>IF(Q972="22",IF(ISNUMBER(SEARCH("econ",PAA_4[[#This Row],[Actividad3]])),"Económico",IF(ISNUMBER(SEARCH("alim",PAA_4[[#This Row],[Actividad3]])),"Alimentación",IF(ISNUMBER(SEARCH("educ",PAA_4[[#This Row],[Actividad3]])),"Educativo","Técnico"))),0)</f>
        <v>0</v>
      </c>
      <c r="AI972" s="47" t="e" cm="1">
        <f t="array" aca="1" ref="AI972" ca="1">_xlfn.XLOOKUP(PAA_4[[#This Row],[RCP-RUBRO]],[2]!COMPROMISOS_2024[[#All],[concatenado]],[2]!COMPROMISOS_2024[[#All],[Total pagado]],"",0)</f>
        <v>#NAME?</v>
      </c>
      <c r="AJ972" s="56">
        <f>IF(PAA_4[[#This Row],[BOLSA]]=0,0,SUMIFS([2]!COMPROMISOS_2024[[#All],[Total pagado]],[2]!COMPROMISOS_2024[[#All],[Bolsa]],PAA_4[[#This Row],[BOLSA]],[2]!COMPROMISOS_2024[[#All],[rubro]],PAA_4[[#This Row],[RCP-RUBRO]]))</f>
        <v>0</v>
      </c>
      <c r="AK972" s="47" t="e" cm="1">
        <f t="array" aca="1" ref="AK972" ca="1">_xlfn.XLOOKUP(PAA_4[[#This Row],[RCP-RUBRO]],[2]!COMPROMISOS_2024[[#All],[concatenado]],[2]!COMPROMISOS_2024[[#All],[Total Comprometido]],"",0)</f>
        <v>#NAME?</v>
      </c>
      <c r="AL972" s="47">
        <f>IF(PAA_4[[#This Row],[BOLSA]]=0,0,SUMIFS([2]!COMPROMISOS_2024[[#All],[Total Comprometido]],[2]!COMPROMISOS_2024[[#All],[Bolsa]],PAA_4[[#This Row],[BOLSA]],[2]!COMPROMISOS_2024[[#All],[concatenado]],PAA_4[[#This Row],[RCP-RUBRO]]))</f>
        <v>0</v>
      </c>
    </row>
    <row r="973" spans="1:38" s="19" customFormat="1" ht="31.5" customHeight="1">
      <c r="A973" s="47">
        <v>976</v>
      </c>
      <c r="B973" s="47">
        <v>80111600</v>
      </c>
      <c r="C973" s="47" t="str">
        <f>VLOOKUP(PAA_4[[#This Row],[PROYECTO (formulado)2]],[2]PROYECTOS!$G$1:$L$32,6,0)</f>
        <v>SUBGERENCIA DE ALTOS LOGROS Y DEPORTE ASOCIADO</v>
      </c>
      <c r="D973" s="47" t="str">
        <f>+IF(PAA_4[[#This Row],[UNIDAD DE CONTRATACION (formulado)]]="Subgerencia Administrativa y Financiera","FUNCIONAMIENTO","INVERSIÓN")</f>
        <v>INVERSIÓN</v>
      </c>
      <c r="E973" s="48" t="str">
        <f>VLOOKUP(Q973,[2]PROYECTOS!$G$1:$K$32,5,0)</f>
        <v>FORTALECIMIENTO_DEL_PROGRAMA_DE_ALTOS_LOGROS_Y_LIDERAZGO_DEPORTIVO_EN_EL_DEPARTAMENTO_DE_ANTIOQUIA</v>
      </c>
      <c r="F973" s="48">
        <f>VLOOKUP(E973,[2]PROYECTOS!$K$1:$M$32,3,0)</f>
        <v>2020003050021</v>
      </c>
      <c r="G973" s="67" t="s">
        <v>235</v>
      </c>
      <c r="H973" s="49" t="str">
        <f>VLOOKUP(Q973,[2]PROYECTOS!$V$1:$W$32,2,0)</f>
        <v>050061</v>
      </c>
      <c r="I973" s="50">
        <f>22327996-3000000</f>
        <v>19327996</v>
      </c>
      <c r="J973" s="340" t="s">
        <v>1804</v>
      </c>
      <c r="K973" s="47" t="str">
        <f t="shared" ca="1" si="318"/>
        <v>CONTRATADO</v>
      </c>
      <c r="L973" s="351" t="s">
        <v>94</v>
      </c>
      <c r="M973" s="47" t="s">
        <v>1297</v>
      </c>
      <c r="N973" s="52" t="s">
        <v>278</v>
      </c>
      <c r="O973" s="51" t="e">
        <f>VLOOKUP(N973,[2]!RUBROS[#All],3,0)</f>
        <v>#REF!</v>
      </c>
      <c r="P973" s="53" t="e">
        <f>VLOOKUP(N973,[2]!RUBROS[#All],2,0)</f>
        <v>#REF!</v>
      </c>
      <c r="Q973" s="47" t="str">
        <f t="shared" si="319"/>
        <v>20</v>
      </c>
      <c r="R973" s="47" t="str">
        <f t="shared" si="320"/>
        <v>4-101124</v>
      </c>
      <c r="S973" s="342">
        <v>139</v>
      </c>
      <c r="T973" s="59" t="s">
        <v>120</v>
      </c>
      <c r="U973" s="326" t="e">
        <f ca="1">_xlfn.XLOOKUP(PAA_4[[#This Row],[ITEM]],[2]Contrato!A:A,[2]Contrato!Q:Q,"",0)</f>
        <v>#NAME?</v>
      </c>
      <c r="V973" s="47" t="s">
        <v>47</v>
      </c>
      <c r="W973" s="343" t="s">
        <v>193</v>
      </c>
      <c r="X973" s="343" t="s">
        <v>194</v>
      </c>
      <c r="Y973" s="55" t="e">
        <f ca="1">_xlfn.XLOOKUP(PAA_4[[#This Row],[ITEM]],[2]Contrato!A:A,[2]Contrato!B:B,"",0)</f>
        <v>#NAME?</v>
      </c>
      <c r="Z973" s="47" t="e">
        <f ca="1">_xlfn.XLOOKUP(PAA_4[[#This Row],[ITEM]],[2]Contrato!A:A,[2]Contrato!G:G,"",0)</f>
        <v>#NAME?</v>
      </c>
      <c r="AA973" s="47" t="e">
        <f ca="1">_xlfn.XLOOKUP(PAA_4[[#This Row],[ITEM]],[2]Contrato!A:A,[2]Contrato!T:T,"",0)</f>
        <v>#NAME?</v>
      </c>
      <c r="AB973" s="55" t="e">
        <f ca="1">+MAX(PAA_4[[#This Row],[Comprometido Contrato]],PAA_4[[#This Row],[Comprometido Bolsa]])</f>
        <v>#NAME?</v>
      </c>
      <c r="AC973" s="55" t="str">
        <f t="shared" ca="1" si="321"/>
        <v/>
      </c>
      <c r="AD973" s="55" t="e">
        <f ca="1">IF(PAA_4[[#This Row],[ESTADO (formulado)]]="NO CONTRATADO",0,MAX(PAA_4[[#This Row],[Pago por Contrato]],PAA_4[[#This Row],[Pago por bolsa]]))</f>
        <v>#NAME?</v>
      </c>
      <c r="AE973" s="55" t="str">
        <f t="shared" ca="1" si="322"/>
        <v/>
      </c>
      <c r="AF973" s="47" t="e">
        <f t="shared" ca="1" si="323"/>
        <v>#NAME?</v>
      </c>
      <c r="AG973" s="47">
        <f t="shared" si="324"/>
        <v>41080111</v>
      </c>
      <c r="AH973" s="54">
        <f>IF(Q973="22",IF(ISNUMBER(SEARCH("econ",PAA_4[[#This Row],[Actividad3]])),"Económico",IF(ISNUMBER(SEARCH("alim",PAA_4[[#This Row],[Actividad3]])),"Alimentación",IF(ISNUMBER(SEARCH("educ",PAA_4[[#This Row],[Actividad3]])),"Educativo","Técnico"))),0)</f>
        <v>0</v>
      </c>
      <c r="AI973" s="47" t="e" cm="1">
        <f t="array" aca="1" ref="AI973" ca="1">_xlfn.XLOOKUP(PAA_4[[#This Row],[RCP-RUBRO]],[2]!COMPROMISOS_2024[[#All],[concatenado]],[2]!COMPROMISOS_2024[[#All],[Total pagado]],"",0)</f>
        <v>#NAME?</v>
      </c>
      <c r="AJ973" s="56">
        <f>IF(PAA_4[[#This Row],[BOLSA]]=0,0,SUMIFS([2]!COMPROMISOS_2024[[#All],[Total pagado]],[2]!COMPROMISOS_2024[[#All],[Bolsa]],PAA_4[[#This Row],[BOLSA]],[2]!COMPROMISOS_2024[[#All],[rubro]],PAA_4[[#This Row],[RCP-RUBRO]]))</f>
        <v>0</v>
      </c>
      <c r="AK973" s="47" t="e" cm="1">
        <f t="array" aca="1" ref="AK973" ca="1">_xlfn.XLOOKUP(PAA_4[[#This Row],[RCP-RUBRO]],[2]!COMPROMISOS_2024[[#All],[concatenado]],[2]!COMPROMISOS_2024[[#All],[Total Comprometido]],"",0)</f>
        <v>#NAME?</v>
      </c>
      <c r="AL973" s="47">
        <f>IF(PAA_4[[#This Row],[BOLSA]]=0,0,SUMIFS([2]!COMPROMISOS_2024[[#All],[Total Comprometido]],[2]!COMPROMISOS_2024[[#All],[Bolsa]],PAA_4[[#This Row],[BOLSA]],[2]!COMPROMISOS_2024[[#All],[concatenado]],PAA_4[[#This Row],[RCP-RUBRO]]))</f>
        <v>0</v>
      </c>
    </row>
    <row r="974" spans="1:38" s="19" customFormat="1" ht="31.5" customHeight="1">
      <c r="A974" s="47">
        <v>977</v>
      </c>
      <c r="B974" s="47">
        <v>80111600</v>
      </c>
      <c r="C974" s="47" t="str">
        <f>VLOOKUP(PAA_4[[#This Row],[PROYECTO (formulado)2]],[2]PROYECTOS!$G$1:$L$32,6,0)</f>
        <v>SUBGERENCIA DE ALTOS LOGROS Y DEPORTE ASOCIADO</v>
      </c>
      <c r="D974" s="47" t="str">
        <f>+IF(PAA_4[[#This Row],[UNIDAD DE CONTRATACION (formulado)]]="Subgerencia Administrativa y Financiera","FUNCIONAMIENTO","INVERSIÓN")</f>
        <v>INVERSIÓN</v>
      </c>
      <c r="E974" s="48" t="str">
        <f>VLOOKUP(Q974,[2]PROYECTOS!$G$1:$K$32,5,0)</f>
        <v>FORTALECIMIENTO_DEL_PROGRAMA_DE_ALTOS_LOGROS_Y_LIDERAZGO_DEPORTIVO_EN_EL_DEPARTAMENTO_DE_ANTIOQUIA</v>
      </c>
      <c r="F974" s="48">
        <f>VLOOKUP(E974,[2]PROYECTOS!$K$1:$M$32,3,0)</f>
        <v>2020003050021</v>
      </c>
      <c r="G974" s="67" t="s">
        <v>235</v>
      </c>
      <c r="H974" s="49" t="str">
        <f>VLOOKUP(Q974,[2]PROYECTOS!$V$1:$W$32,2,0)</f>
        <v>050061</v>
      </c>
      <c r="I974" s="50">
        <f>20436538-3645000</f>
        <v>16791538</v>
      </c>
      <c r="J974" s="340" t="s">
        <v>1787</v>
      </c>
      <c r="K974" s="47" t="str">
        <f t="shared" ca="1" si="318"/>
        <v>CONTRATADO</v>
      </c>
      <c r="L974" s="351" t="s">
        <v>94</v>
      </c>
      <c r="M974" s="47" t="s">
        <v>1297</v>
      </c>
      <c r="N974" s="52" t="s">
        <v>278</v>
      </c>
      <c r="O974" s="51" t="e">
        <f>VLOOKUP(N974,[2]!RUBROS[#All],3,0)</f>
        <v>#REF!</v>
      </c>
      <c r="P974" s="53" t="e">
        <f>VLOOKUP(N974,[2]!RUBROS[#All],2,0)</f>
        <v>#REF!</v>
      </c>
      <c r="Q974" s="47" t="str">
        <f t="shared" si="319"/>
        <v>20</v>
      </c>
      <c r="R974" s="47" t="str">
        <f t="shared" si="320"/>
        <v>4-101124</v>
      </c>
      <c r="S974" s="342">
        <v>139</v>
      </c>
      <c r="T974" s="59" t="s">
        <v>120</v>
      </c>
      <c r="U974" s="326" t="e">
        <f ca="1">_xlfn.XLOOKUP(PAA_4[[#This Row],[ITEM]],[2]Contrato!A:A,[2]Contrato!Q:Q,"",0)</f>
        <v>#NAME?</v>
      </c>
      <c r="V974" s="47" t="s">
        <v>47</v>
      </c>
      <c r="W974" s="343" t="s">
        <v>193</v>
      </c>
      <c r="X974" s="343" t="s">
        <v>194</v>
      </c>
      <c r="Y974" s="55" t="e">
        <f ca="1">_xlfn.XLOOKUP(PAA_4[[#This Row],[ITEM]],[2]Contrato!A:A,[2]Contrato!B:B,"",0)</f>
        <v>#NAME?</v>
      </c>
      <c r="Z974" s="47" t="e">
        <f ca="1">_xlfn.XLOOKUP(PAA_4[[#This Row],[ITEM]],[2]Contrato!A:A,[2]Contrato!G:G,"",0)</f>
        <v>#NAME?</v>
      </c>
      <c r="AA974" s="47" t="e">
        <f ca="1">_xlfn.XLOOKUP(PAA_4[[#This Row],[ITEM]],[2]Contrato!A:A,[2]Contrato!T:T,"",0)</f>
        <v>#NAME?</v>
      </c>
      <c r="AB974" s="55" t="e">
        <f ca="1">+MAX(PAA_4[[#This Row],[Comprometido Contrato]],PAA_4[[#This Row],[Comprometido Bolsa]])</f>
        <v>#NAME?</v>
      </c>
      <c r="AC974" s="55" t="str">
        <f t="shared" ca="1" si="321"/>
        <v/>
      </c>
      <c r="AD974" s="55" t="e">
        <f ca="1">IF(PAA_4[[#This Row],[ESTADO (formulado)]]="NO CONTRATADO",0,MAX(PAA_4[[#This Row],[Pago por Contrato]],PAA_4[[#This Row],[Pago por bolsa]]))</f>
        <v>#NAME?</v>
      </c>
      <c r="AE974" s="55" t="str">
        <f t="shared" ca="1" si="322"/>
        <v/>
      </c>
      <c r="AF974" s="47" t="e">
        <f t="shared" ca="1" si="323"/>
        <v>#NAME?</v>
      </c>
      <c r="AG974" s="47">
        <f t="shared" si="324"/>
        <v>41080111</v>
      </c>
      <c r="AH974" s="54">
        <f>IF(Q974="22",IF(ISNUMBER(SEARCH("econ",PAA_4[[#This Row],[Actividad3]])),"Económico",IF(ISNUMBER(SEARCH("alim",PAA_4[[#This Row],[Actividad3]])),"Alimentación",IF(ISNUMBER(SEARCH("educ",PAA_4[[#This Row],[Actividad3]])),"Educativo","Técnico"))),0)</f>
        <v>0</v>
      </c>
      <c r="AI974" s="47" t="e" cm="1">
        <f t="array" aca="1" ref="AI974" ca="1">_xlfn.XLOOKUP(PAA_4[[#This Row],[RCP-RUBRO]],[2]!COMPROMISOS_2024[[#All],[concatenado]],[2]!COMPROMISOS_2024[[#All],[Total pagado]],"",0)</f>
        <v>#NAME?</v>
      </c>
      <c r="AJ974" s="56">
        <f>IF(PAA_4[[#This Row],[BOLSA]]=0,0,SUMIFS([2]!COMPROMISOS_2024[[#All],[Total pagado]],[2]!COMPROMISOS_2024[[#All],[Bolsa]],PAA_4[[#This Row],[BOLSA]],[2]!COMPROMISOS_2024[[#All],[rubro]],PAA_4[[#This Row],[RCP-RUBRO]]))</f>
        <v>0</v>
      </c>
      <c r="AK974" s="47" t="e" cm="1">
        <f t="array" aca="1" ref="AK974" ca="1">_xlfn.XLOOKUP(PAA_4[[#This Row],[RCP-RUBRO]],[2]!COMPROMISOS_2024[[#All],[concatenado]],[2]!COMPROMISOS_2024[[#All],[Total Comprometido]],"",0)</f>
        <v>#NAME?</v>
      </c>
      <c r="AL974" s="47">
        <f>IF(PAA_4[[#This Row],[BOLSA]]=0,0,SUMIFS([2]!COMPROMISOS_2024[[#All],[Total Comprometido]],[2]!COMPROMISOS_2024[[#All],[Bolsa]],PAA_4[[#This Row],[BOLSA]],[2]!COMPROMISOS_2024[[#All],[concatenado]],PAA_4[[#This Row],[RCP-RUBRO]]))</f>
        <v>0</v>
      </c>
    </row>
    <row r="975" spans="1:38" s="19" customFormat="1" ht="31.5" customHeight="1">
      <c r="A975" s="47">
        <v>978</v>
      </c>
      <c r="B975" s="47">
        <v>80111600</v>
      </c>
      <c r="C975" s="47" t="str">
        <f>VLOOKUP(PAA_4[[#This Row],[PROYECTO (formulado)2]],[2]PROYECTOS!$G$1:$L$32,6,0)</f>
        <v>SUBGERENCIA DE ALTOS LOGROS Y DEPORTE ASOCIADO</v>
      </c>
      <c r="D975" s="47" t="str">
        <f>+IF(PAA_4[[#This Row],[UNIDAD DE CONTRATACION (formulado)]]="Subgerencia Administrativa y Financiera","FUNCIONAMIENTO","INVERSIÓN")</f>
        <v>INVERSIÓN</v>
      </c>
      <c r="E975" s="48" t="str">
        <f>VLOOKUP(Q975,[2]PROYECTOS!$G$1:$K$32,5,0)</f>
        <v>FORTALECIMIENTO_DEL_PROGRAMA_DE_ALTOS_LOGROS_Y_LIDERAZGO_DEPORTIVO_EN_EL_DEPARTAMENTO_DE_ANTIOQUIA</v>
      </c>
      <c r="F975" s="48">
        <f>VLOOKUP(E975,[2]PROYECTOS!$K$1:$M$32,3,0)</f>
        <v>2020003050021</v>
      </c>
      <c r="G975" s="67" t="s">
        <v>235</v>
      </c>
      <c r="H975" s="49" t="str">
        <f>VLOOKUP(Q975,[2]PROYECTOS!$V$1:$W$32,2,0)</f>
        <v>050061</v>
      </c>
      <c r="I975" s="50">
        <f>17936538-110450</f>
        <v>17826088</v>
      </c>
      <c r="J975" s="340" t="s">
        <v>1788</v>
      </c>
      <c r="K975" s="47" t="str">
        <f t="shared" ca="1" si="318"/>
        <v>CONTRATADO</v>
      </c>
      <c r="L975" s="351" t="s">
        <v>94</v>
      </c>
      <c r="M975" s="47" t="s">
        <v>1297</v>
      </c>
      <c r="N975" s="52" t="s">
        <v>278</v>
      </c>
      <c r="O975" s="51" t="e">
        <f>VLOOKUP(N975,[2]!RUBROS[#All],3,0)</f>
        <v>#REF!</v>
      </c>
      <c r="P975" s="53" t="e">
        <f>VLOOKUP(N975,[2]!RUBROS[#All],2,0)</f>
        <v>#REF!</v>
      </c>
      <c r="Q975" s="47" t="str">
        <f t="shared" si="319"/>
        <v>20</v>
      </c>
      <c r="R975" s="47" t="str">
        <f t="shared" si="320"/>
        <v>4-101124</v>
      </c>
      <c r="S975" s="342">
        <v>139</v>
      </c>
      <c r="T975" s="59" t="s">
        <v>120</v>
      </c>
      <c r="U975" s="326" t="e">
        <f ca="1">_xlfn.XLOOKUP(PAA_4[[#This Row],[ITEM]],[2]Contrato!A:A,[2]Contrato!Q:Q,"",0)</f>
        <v>#NAME?</v>
      </c>
      <c r="V975" s="47" t="s">
        <v>47</v>
      </c>
      <c r="W975" s="343" t="s">
        <v>193</v>
      </c>
      <c r="X975" s="343" t="s">
        <v>194</v>
      </c>
      <c r="Y975" s="55" t="e">
        <f ca="1">_xlfn.XLOOKUP(PAA_4[[#This Row],[ITEM]],[2]Contrato!A:A,[2]Contrato!B:B,"",0)</f>
        <v>#NAME?</v>
      </c>
      <c r="Z975" s="47" t="e">
        <f ca="1">_xlfn.XLOOKUP(PAA_4[[#This Row],[ITEM]],[2]Contrato!A:A,[2]Contrato!G:G,"",0)</f>
        <v>#NAME?</v>
      </c>
      <c r="AA975" s="47" t="e">
        <f ca="1">_xlfn.XLOOKUP(PAA_4[[#This Row],[ITEM]],[2]Contrato!A:A,[2]Contrato!T:T,"",0)</f>
        <v>#NAME?</v>
      </c>
      <c r="AB975" s="55" t="e">
        <f ca="1">+MAX(PAA_4[[#This Row],[Comprometido Contrato]],PAA_4[[#This Row],[Comprometido Bolsa]])</f>
        <v>#NAME?</v>
      </c>
      <c r="AC975" s="55" t="str">
        <f t="shared" ca="1" si="321"/>
        <v/>
      </c>
      <c r="AD975" s="55" t="e">
        <f ca="1">IF(PAA_4[[#This Row],[ESTADO (formulado)]]="NO CONTRATADO",0,MAX(PAA_4[[#This Row],[Pago por Contrato]],PAA_4[[#This Row],[Pago por bolsa]]))</f>
        <v>#NAME?</v>
      </c>
      <c r="AE975" s="55" t="str">
        <f t="shared" ca="1" si="322"/>
        <v/>
      </c>
      <c r="AF975" s="47" t="e">
        <f t="shared" ca="1" si="323"/>
        <v>#NAME?</v>
      </c>
      <c r="AG975" s="47">
        <f t="shared" si="324"/>
        <v>41080111</v>
      </c>
      <c r="AH975" s="54">
        <f>IF(Q975="22",IF(ISNUMBER(SEARCH("econ",PAA_4[[#This Row],[Actividad3]])),"Económico",IF(ISNUMBER(SEARCH("alim",PAA_4[[#This Row],[Actividad3]])),"Alimentación",IF(ISNUMBER(SEARCH("educ",PAA_4[[#This Row],[Actividad3]])),"Educativo","Técnico"))),0)</f>
        <v>0</v>
      </c>
      <c r="AI975" s="47" t="e" cm="1">
        <f t="array" aca="1" ref="AI975" ca="1">_xlfn.XLOOKUP(PAA_4[[#This Row],[RCP-RUBRO]],[2]!COMPROMISOS_2024[[#All],[concatenado]],[2]!COMPROMISOS_2024[[#All],[Total pagado]],"",0)</f>
        <v>#NAME?</v>
      </c>
      <c r="AJ975" s="56">
        <f>IF(PAA_4[[#This Row],[BOLSA]]=0,0,SUMIFS([2]!COMPROMISOS_2024[[#All],[Total pagado]],[2]!COMPROMISOS_2024[[#All],[Bolsa]],PAA_4[[#This Row],[BOLSA]],[2]!COMPROMISOS_2024[[#All],[rubro]],PAA_4[[#This Row],[RCP-RUBRO]]))</f>
        <v>0</v>
      </c>
      <c r="AK975" s="47" t="e" cm="1">
        <f t="array" aca="1" ref="AK975" ca="1">_xlfn.XLOOKUP(PAA_4[[#This Row],[RCP-RUBRO]],[2]!COMPROMISOS_2024[[#All],[concatenado]],[2]!COMPROMISOS_2024[[#All],[Total Comprometido]],"",0)</f>
        <v>#NAME?</v>
      </c>
      <c r="AL975" s="47">
        <f>IF(PAA_4[[#This Row],[BOLSA]]=0,0,SUMIFS([2]!COMPROMISOS_2024[[#All],[Total Comprometido]],[2]!COMPROMISOS_2024[[#All],[Bolsa]],PAA_4[[#This Row],[BOLSA]],[2]!COMPROMISOS_2024[[#All],[concatenado]],PAA_4[[#This Row],[RCP-RUBRO]]))</f>
        <v>0</v>
      </c>
    </row>
    <row r="976" spans="1:38" s="19" customFormat="1" ht="31.5" customHeight="1">
      <c r="A976" s="47">
        <v>979</v>
      </c>
      <c r="B976" s="47">
        <v>80111600</v>
      </c>
      <c r="C976" s="47" t="str">
        <f>VLOOKUP(PAA_4[[#This Row],[PROYECTO (formulado)2]],[2]PROYECTOS!$G$1:$L$32,6,0)</f>
        <v>SUBGERENCIA DE ALTOS LOGROS Y DEPORTE ASOCIADO</v>
      </c>
      <c r="D976" s="47" t="str">
        <f>+IF(PAA_4[[#This Row],[UNIDAD DE CONTRATACION (formulado)]]="Subgerencia Administrativa y Financiera","FUNCIONAMIENTO","INVERSIÓN")</f>
        <v>INVERSIÓN</v>
      </c>
      <c r="E976" s="48" t="str">
        <f>VLOOKUP(Q976,[2]PROYECTOS!$G$1:$K$32,5,0)</f>
        <v>FORTALECIMIENTO_DEL_PROGRAMA_DE_ALTOS_LOGROS_Y_LIDERAZGO_DEPORTIVO_EN_EL_DEPARTAMENTO_DE_ANTIOQUIA</v>
      </c>
      <c r="F976" s="48">
        <f>VLOOKUP(E976,[2]PROYECTOS!$K$1:$M$32,3,0)</f>
        <v>2020003050021</v>
      </c>
      <c r="G976" s="67" t="s">
        <v>235</v>
      </c>
      <c r="H976" s="49" t="str">
        <f>VLOOKUP(Q976,[2]PROYECTOS!$V$1:$W$32,2,0)</f>
        <v>050061</v>
      </c>
      <c r="I976" s="50">
        <f>13663998-2079470</f>
        <v>11584528</v>
      </c>
      <c r="J976" s="340" t="s">
        <v>1789</v>
      </c>
      <c r="K976" s="47" t="str">
        <f t="shared" ca="1" si="318"/>
        <v>CONTRATADO</v>
      </c>
      <c r="L976" s="351" t="s">
        <v>94</v>
      </c>
      <c r="M976" s="47" t="s">
        <v>1297</v>
      </c>
      <c r="N976" s="52" t="s">
        <v>278</v>
      </c>
      <c r="O976" s="51" t="e">
        <f>VLOOKUP(N976,[2]!RUBROS[#All],3,0)</f>
        <v>#REF!</v>
      </c>
      <c r="P976" s="53" t="e">
        <f>VLOOKUP(N976,[2]!RUBROS[#All],2,0)</f>
        <v>#REF!</v>
      </c>
      <c r="Q976" s="47" t="str">
        <f t="shared" si="319"/>
        <v>20</v>
      </c>
      <c r="R976" s="47" t="str">
        <f t="shared" si="320"/>
        <v>4-101124</v>
      </c>
      <c r="S976" s="342">
        <v>139</v>
      </c>
      <c r="T976" s="59" t="s">
        <v>120</v>
      </c>
      <c r="U976" s="326" t="e">
        <f ca="1">_xlfn.XLOOKUP(PAA_4[[#This Row],[ITEM]],[2]Contrato!A:A,[2]Contrato!Q:Q,"",0)</f>
        <v>#NAME?</v>
      </c>
      <c r="V976" s="47" t="s">
        <v>47</v>
      </c>
      <c r="W976" s="343" t="s">
        <v>193</v>
      </c>
      <c r="X976" s="343" t="s">
        <v>194</v>
      </c>
      <c r="Y976" s="55" t="e">
        <f ca="1">_xlfn.XLOOKUP(PAA_4[[#This Row],[ITEM]],[2]Contrato!A:A,[2]Contrato!B:B,"",0)</f>
        <v>#NAME?</v>
      </c>
      <c r="Z976" s="47" t="e">
        <f ca="1">_xlfn.XLOOKUP(PAA_4[[#This Row],[ITEM]],[2]Contrato!A:A,[2]Contrato!G:G,"",0)</f>
        <v>#NAME?</v>
      </c>
      <c r="AA976" s="47" t="e">
        <f ca="1">_xlfn.XLOOKUP(PAA_4[[#This Row],[ITEM]],[2]Contrato!A:A,[2]Contrato!T:T,"",0)</f>
        <v>#NAME?</v>
      </c>
      <c r="AB976" s="55" t="e">
        <f ca="1">+MAX(PAA_4[[#This Row],[Comprometido Contrato]],PAA_4[[#This Row],[Comprometido Bolsa]])</f>
        <v>#NAME?</v>
      </c>
      <c r="AC976" s="55" t="str">
        <f t="shared" ca="1" si="321"/>
        <v/>
      </c>
      <c r="AD976" s="55" t="e">
        <f ca="1">IF(PAA_4[[#This Row],[ESTADO (formulado)]]="NO CONTRATADO",0,MAX(PAA_4[[#This Row],[Pago por Contrato]],PAA_4[[#This Row],[Pago por bolsa]]))</f>
        <v>#NAME?</v>
      </c>
      <c r="AE976" s="55" t="str">
        <f t="shared" ca="1" si="322"/>
        <v/>
      </c>
      <c r="AF976" s="47" t="e">
        <f t="shared" ca="1" si="323"/>
        <v>#NAME?</v>
      </c>
      <c r="AG976" s="47">
        <f t="shared" si="324"/>
        <v>41080111</v>
      </c>
      <c r="AH976" s="54">
        <f>IF(Q976="22",IF(ISNUMBER(SEARCH("econ",PAA_4[[#This Row],[Actividad3]])),"Económico",IF(ISNUMBER(SEARCH("alim",PAA_4[[#This Row],[Actividad3]])),"Alimentación",IF(ISNUMBER(SEARCH("educ",PAA_4[[#This Row],[Actividad3]])),"Educativo","Técnico"))),0)</f>
        <v>0</v>
      </c>
      <c r="AI976" s="47" t="e" cm="1">
        <f t="array" aca="1" ref="AI976" ca="1">_xlfn.XLOOKUP(PAA_4[[#This Row],[RCP-RUBRO]],[2]!COMPROMISOS_2024[[#All],[concatenado]],[2]!COMPROMISOS_2024[[#All],[Total pagado]],"",0)</f>
        <v>#NAME?</v>
      </c>
      <c r="AJ976" s="56">
        <f>IF(PAA_4[[#This Row],[BOLSA]]=0,0,SUMIFS([2]!COMPROMISOS_2024[[#All],[Total pagado]],[2]!COMPROMISOS_2024[[#All],[Bolsa]],PAA_4[[#This Row],[BOLSA]],[2]!COMPROMISOS_2024[[#All],[rubro]],PAA_4[[#This Row],[RCP-RUBRO]]))</f>
        <v>0</v>
      </c>
      <c r="AK976" s="47" t="e" cm="1">
        <f t="array" aca="1" ref="AK976" ca="1">_xlfn.XLOOKUP(PAA_4[[#This Row],[RCP-RUBRO]],[2]!COMPROMISOS_2024[[#All],[concatenado]],[2]!COMPROMISOS_2024[[#All],[Total Comprometido]],"",0)</f>
        <v>#NAME?</v>
      </c>
      <c r="AL976" s="47">
        <f>IF(PAA_4[[#This Row],[BOLSA]]=0,0,SUMIFS([2]!COMPROMISOS_2024[[#All],[Total Comprometido]],[2]!COMPROMISOS_2024[[#All],[Bolsa]],PAA_4[[#This Row],[BOLSA]],[2]!COMPROMISOS_2024[[#All],[concatenado]],PAA_4[[#This Row],[RCP-RUBRO]]))</f>
        <v>0</v>
      </c>
    </row>
    <row r="977" spans="1:38" s="19" customFormat="1" ht="31.5" customHeight="1">
      <c r="A977" s="47">
        <v>980</v>
      </c>
      <c r="B977" s="47">
        <v>80111600</v>
      </c>
      <c r="C977" s="47" t="str">
        <f>VLOOKUP(PAA_4[[#This Row],[PROYECTO (formulado)2]],[2]PROYECTOS!$G$1:$L$32,6,0)</f>
        <v>SUBGERENCIA DE ALTOS LOGROS Y DEPORTE ASOCIADO</v>
      </c>
      <c r="D977" s="47" t="str">
        <f>+IF(PAA_4[[#This Row],[UNIDAD DE CONTRATACION (formulado)]]="Subgerencia Administrativa y Financiera","FUNCIONAMIENTO","INVERSIÓN")</f>
        <v>INVERSIÓN</v>
      </c>
      <c r="E977" s="48" t="str">
        <f>VLOOKUP(Q977,[2]PROYECTOS!$G$1:$K$32,5,0)</f>
        <v>FORTALECIMIENTO_DEL_PROGRAMA_DE_ALTOS_LOGROS_Y_LIDERAZGO_DEPORTIVO_EN_EL_DEPARTAMENTO_DE_ANTIOQUIA</v>
      </c>
      <c r="F977" s="48">
        <f>VLOOKUP(E977,[2]PROYECTOS!$K$1:$M$32,3,0)</f>
        <v>2020003050021</v>
      </c>
      <c r="G977" s="67" t="s">
        <v>235</v>
      </c>
      <c r="H977" s="49" t="str">
        <f>VLOOKUP(Q977,[2]PROYECTOS!$V$1:$W$32,2,0)</f>
        <v>050061</v>
      </c>
      <c r="I977" s="50">
        <f>17133978-1999998</f>
        <v>15133980</v>
      </c>
      <c r="J977" s="340" t="s">
        <v>1790</v>
      </c>
      <c r="K977" s="47" t="str">
        <f t="shared" ca="1" si="318"/>
        <v>CONTRATADO</v>
      </c>
      <c r="L977" s="351" t="s">
        <v>94</v>
      </c>
      <c r="M977" s="47" t="s">
        <v>1297</v>
      </c>
      <c r="N977" s="52" t="s">
        <v>278</v>
      </c>
      <c r="O977" s="51" t="e">
        <f>VLOOKUP(N977,[2]!RUBROS[#All],3,0)</f>
        <v>#REF!</v>
      </c>
      <c r="P977" s="53" t="e">
        <f>VLOOKUP(N977,[2]!RUBROS[#All],2,0)</f>
        <v>#REF!</v>
      </c>
      <c r="Q977" s="47" t="str">
        <f t="shared" si="319"/>
        <v>20</v>
      </c>
      <c r="R977" s="47" t="str">
        <f t="shared" si="320"/>
        <v>4-101124</v>
      </c>
      <c r="S977" s="342">
        <v>132</v>
      </c>
      <c r="T977" s="59" t="s">
        <v>120</v>
      </c>
      <c r="U977" s="326" t="e">
        <f ca="1">_xlfn.XLOOKUP(PAA_4[[#This Row],[ITEM]],[2]Contrato!A:A,[2]Contrato!Q:Q,"",0)</f>
        <v>#NAME?</v>
      </c>
      <c r="V977" s="47" t="s">
        <v>47</v>
      </c>
      <c r="W977" s="343" t="s">
        <v>193</v>
      </c>
      <c r="X977" s="343" t="s">
        <v>194</v>
      </c>
      <c r="Y977" s="55" t="e">
        <f ca="1">_xlfn.XLOOKUP(PAA_4[[#This Row],[ITEM]],[2]Contrato!A:A,[2]Contrato!B:B,"",0)</f>
        <v>#NAME?</v>
      </c>
      <c r="Z977" s="47" t="e">
        <f ca="1">_xlfn.XLOOKUP(PAA_4[[#This Row],[ITEM]],[2]Contrato!A:A,[2]Contrato!G:G,"",0)</f>
        <v>#NAME?</v>
      </c>
      <c r="AA977" s="47" t="e">
        <f ca="1">_xlfn.XLOOKUP(PAA_4[[#This Row],[ITEM]],[2]Contrato!A:A,[2]Contrato!T:T,"",0)</f>
        <v>#NAME?</v>
      </c>
      <c r="AB977" s="55" t="e">
        <f ca="1">+MAX(PAA_4[[#This Row],[Comprometido Contrato]],PAA_4[[#This Row],[Comprometido Bolsa]])</f>
        <v>#NAME?</v>
      </c>
      <c r="AC977" s="55" t="str">
        <f t="shared" ca="1" si="321"/>
        <v/>
      </c>
      <c r="AD977" s="55" t="e">
        <f ca="1">IF(PAA_4[[#This Row],[ESTADO (formulado)]]="NO CONTRATADO",0,MAX(PAA_4[[#This Row],[Pago por Contrato]],PAA_4[[#This Row],[Pago por bolsa]]))</f>
        <v>#NAME?</v>
      </c>
      <c r="AE977" s="55" t="str">
        <f t="shared" ca="1" si="322"/>
        <v/>
      </c>
      <c r="AF977" s="47" t="e">
        <f t="shared" ca="1" si="323"/>
        <v>#NAME?</v>
      </c>
      <c r="AG977" s="47">
        <f t="shared" si="324"/>
        <v>41080111</v>
      </c>
      <c r="AH977" s="54">
        <f>IF(Q977="22",IF(ISNUMBER(SEARCH("econ",PAA_4[[#This Row],[Actividad3]])),"Económico",IF(ISNUMBER(SEARCH("alim",PAA_4[[#This Row],[Actividad3]])),"Alimentación",IF(ISNUMBER(SEARCH("educ",PAA_4[[#This Row],[Actividad3]])),"Educativo","Técnico"))),0)</f>
        <v>0</v>
      </c>
      <c r="AI977" s="47" t="e" cm="1">
        <f t="array" aca="1" ref="AI977" ca="1">_xlfn.XLOOKUP(PAA_4[[#This Row],[RCP-RUBRO]],[2]!COMPROMISOS_2024[[#All],[concatenado]],[2]!COMPROMISOS_2024[[#All],[Total pagado]],"",0)</f>
        <v>#NAME?</v>
      </c>
      <c r="AJ977" s="56">
        <f>IF(PAA_4[[#This Row],[BOLSA]]=0,0,SUMIFS([2]!COMPROMISOS_2024[[#All],[Total pagado]],[2]!COMPROMISOS_2024[[#All],[Bolsa]],PAA_4[[#This Row],[BOLSA]],[2]!COMPROMISOS_2024[[#All],[rubro]],PAA_4[[#This Row],[RCP-RUBRO]]))</f>
        <v>0</v>
      </c>
      <c r="AK977" s="47" t="e" cm="1">
        <f t="array" aca="1" ref="AK977" ca="1">_xlfn.XLOOKUP(PAA_4[[#This Row],[RCP-RUBRO]],[2]!COMPROMISOS_2024[[#All],[concatenado]],[2]!COMPROMISOS_2024[[#All],[Total Comprometido]],"",0)</f>
        <v>#NAME?</v>
      </c>
      <c r="AL977" s="47">
        <f>IF(PAA_4[[#This Row],[BOLSA]]=0,0,SUMIFS([2]!COMPROMISOS_2024[[#All],[Total Comprometido]],[2]!COMPROMISOS_2024[[#All],[Bolsa]],PAA_4[[#This Row],[BOLSA]],[2]!COMPROMISOS_2024[[#All],[concatenado]],PAA_4[[#This Row],[RCP-RUBRO]]))</f>
        <v>0</v>
      </c>
    </row>
    <row r="978" spans="1:38" s="19" customFormat="1" ht="31.5" customHeight="1">
      <c r="A978" s="65" t="s">
        <v>82</v>
      </c>
      <c r="B978" s="51">
        <v>80111600</v>
      </c>
      <c r="C978" s="47" t="str">
        <f>VLOOKUP(PAA_4[[#This Row],[PROYECTO (formulado)2]],[2]PROYECTOS!$G$1:$L$32,6,0)</f>
        <v>SUBGERENCIA DE ALTOS LOGROS Y DEPORTE ASOCIADO</v>
      </c>
      <c r="D978" s="47" t="str">
        <f>+IF(PAA_4[[#This Row],[UNIDAD DE CONTRATACION (formulado)]]="Subgerencia Administrativa y Financiera","FUNCIONAMIENTO","INVERSIÓN")</f>
        <v>INVERSIÓN</v>
      </c>
      <c r="E978" s="48" t="str">
        <f>VLOOKUP(Q978,[2]PROYECTOS!$G$1:$K$32,5,0)</f>
        <v>FORTALECIMIENTO_DEL_PROGRAMA_DE_ALTOS_LOGROS_Y_LIDERAZGO_DEPORTIVO_EN_EL_DEPARTAMENTO_DE_ANTIOQUIA</v>
      </c>
      <c r="F978" s="48">
        <f>VLOOKUP(E978,[2]PROYECTOS!$K$1:$M$32,3,0)</f>
        <v>2020003050021</v>
      </c>
      <c r="G978" s="67" t="s">
        <v>235</v>
      </c>
      <c r="H978" s="49" t="str">
        <f>VLOOKUP(Q978,[2]PROYECTOS!$V$1:$W$32,2,0)</f>
        <v>050061</v>
      </c>
      <c r="I978" s="50">
        <v>0</v>
      </c>
      <c r="J978" s="51" t="s">
        <v>42</v>
      </c>
      <c r="K978" s="47" t="str">
        <f t="shared" ca="1" si="318"/>
        <v>CONTRATADO</v>
      </c>
      <c r="L978" s="351" t="s">
        <v>94</v>
      </c>
      <c r="M978" s="47" t="s">
        <v>1297</v>
      </c>
      <c r="N978" s="52" t="s">
        <v>278</v>
      </c>
      <c r="O978" s="51" t="e">
        <f>VLOOKUP(N978,[2]!RUBROS[#All],3,0)</f>
        <v>#REF!</v>
      </c>
      <c r="P978" s="53" t="e">
        <f>VLOOKUP(N978,[2]!RUBROS[#All],2,0)</f>
        <v>#REF!</v>
      </c>
      <c r="Q978" s="47" t="str">
        <f t="shared" si="319"/>
        <v>20</v>
      </c>
      <c r="R978" s="47" t="str">
        <f t="shared" si="320"/>
        <v>4-101124</v>
      </c>
      <c r="S978" s="342">
        <v>170</v>
      </c>
      <c r="T978" s="59" t="s">
        <v>120</v>
      </c>
      <c r="U978" s="326" t="e">
        <f ca="1">_xlfn.XLOOKUP(PAA_4[[#This Row],[ITEM]],[2]Contrato!A:A,[2]Contrato!Q:Q,"",0)</f>
        <v>#NAME?</v>
      </c>
      <c r="V978" s="47" t="s">
        <v>47</v>
      </c>
      <c r="W978" s="343" t="s">
        <v>193</v>
      </c>
      <c r="X978" s="343" t="s">
        <v>193</v>
      </c>
      <c r="Y978" s="55" t="e">
        <f ca="1">_xlfn.XLOOKUP(PAA_4[[#This Row],[ITEM]],[2]Contrato!A:A,[2]Contrato!B:B,"",0)</f>
        <v>#NAME?</v>
      </c>
      <c r="Z978" s="47" t="e">
        <f ca="1">_xlfn.XLOOKUP(PAA_4[[#This Row],[ITEM]],[2]Contrato!A:A,[2]Contrato!G:G,"",0)</f>
        <v>#NAME?</v>
      </c>
      <c r="AA978" s="47" t="e">
        <f ca="1">_xlfn.XLOOKUP(PAA_4[[#This Row],[ITEM]],[2]Contrato!A:A,[2]Contrato!T:T,"",0)</f>
        <v>#NAME?</v>
      </c>
      <c r="AB978" s="55" t="e">
        <f ca="1">+MAX(PAA_4[[#This Row],[Comprometido Contrato]],PAA_4[[#This Row],[Comprometido Bolsa]])</f>
        <v>#NAME?</v>
      </c>
      <c r="AC978" s="55" t="str">
        <f t="shared" ca="1" si="321"/>
        <v/>
      </c>
      <c r="AD978" s="55" t="e">
        <f ca="1">IF(PAA_4[[#This Row],[ESTADO (formulado)]]="NO CONTRATADO",0,MAX(PAA_4[[#This Row],[Pago por Contrato]],PAA_4[[#This Row],[Pago por bolsa]]))</f>
        <v>#NAME?</v>
      </c>
      <c r="AE978" s="55" t="str">
        <f t="shared" ca="1" si="322"/>
        <v/>
      </c>
      <c r="AF978" s="47" t="e">
        <f t="shared" ca="1" si="323"/>
        <v>#NAME?</v>
      </c>
      <c r="AG978" s="47">
        <f t="shared" si="324"/>
        <v>41080111</v>
      </c>
      <c r="AH978" s="54">
        <f>IF(Q978="22",IF(ISNUMBER(SEARCH("econ",PAA_4[[#This Row],[Actividad3]])),"Económico",IF(ISNUMBER(SEARCH("alim",PAA_4[[#This Row],[Actividad3]])),"Alimentación",IF(ISNUMBER(SEARCH("educ",PAA_4[[#This Row],[Actividad3]])),"Educativo","Técnico"))),0)</f>
        <v>0</v>
      </c>
      <c r="AI978" s="47" t="e" cm="1">
        <f t="array" aca="1" ref="AI978" ca="1">_xlfn.XLOOKUP(PAA_4[[#This Row],[RCP-RUBRO]],[2]!COMPROMISOS_2024[[#All],[concatenado]],[2]!COMPROMISOS_2024[[#All],[Total pagado]],"",0)</f>
        <v>#NAME?</v>
      </c>
      <c r="AJ978" s="56">
        <f>IF(PAA_4[[#This Row],[BOLSA]]=0,0,SUMIFS([2]!COMPROMISOS_2024[[#All],[Total pagado]],[2]!COMPROMISOS_2024[[#All],[Bolsa]],PAA_4[[#This Row],[BOLSA]],[2]!COMPROMISOS_2024[[#All],[rubro]],PAA_4[[#This Row],[RCP-RUBRO]]))</f>
        <v>0</v>
      </c>
      <c r="AK978" s="47" t="e" cm="1">
        <f t="array" aca="1" ref="AK978" ca="1">_xlfn.XLOOKUP(PAA_4[[#This Row],[RCP-RUBRO]],[2]!COMPROMISOS_2024[[#All],[concatenado]],[2]!COMPROMISOS_2024[[#All],[Total Comprometido]],"",0)</f>
        <v>#NAME?</v>
      </c>
      <c r="AL978" s="47">
        <f>IF(PAA_4[[#This Row],[BOLSA]]=0,0,SUMIFS([2]!COMPROMISOS_2024[[#All],[Total Comprometido]],[2]!COMPROMISOS_2024[[#All],[Bolsa]],PAA_4[[#This Row],[BOLSA]],[2]!COMPROMISOS_2024[[#All],[concatenado]],PAA_4[[#This Row],[RCP-RUBRO]]))</f>
        <v>0</v>
      </c>
    </row>
    <row r="979" spans="1:38" s="19" customFormat="1" ht="31.5" customHeight="1">
      <c r="A979" s="47" t="s">
        <v>82</v>
      </c>
      <c r="B979" s="51" t="s">
        <v>42</v>
      </c>
      <c r="C979" s="47" t="str">
        <f>VLOOKUP(PAA_4[[#This Row],[PROYECTO (formulado)2]],[2]PROYECTOS!$G$1:$L$32,6,0)</f>
        <v>OFICINA DE MEDICINA DEPORTIVA</v>
      </c>
      <c r="D979" s="47" t="str">
        <f>+IF(PAA_4[[#This Row],[UNIDAD DE CONTRATACION (formulado)]]="Subgerencia Administrativa y Financiera","FUNCIONAMIENTO","INVERSIÓN")</f>
        <v>INVERSIÓN</v>
      </c>
      <c r="E979" s="48" t="str">
        <f>VLOOKUP(Q979,[2]PROYECTOS!$G$1:$K$32,5,0)</f>
        <v>APOYO_CIENTÍFICO_AL_RENDIMIENTO_DEPORTIVO_Y_LA_ACTIVIDAD_FÍSICA_EN_EL_DEPARTAMENTO_DE_ANTIOQUIA</v>
      </c>
      <c r="F979" s="48">
        <f>VLOOKUP(E979,[2]PROYECTOS!$K$1:$M$32,3,0)</f>
        <v>2021003050070</v>
      </c>
      <c r="G979" s="67" t="s">
        <v>1805</v>
      </c>
      <c r="H979" s="49" t="str">
        <f>VLOOKUP(Q979,[2]PROYECTOS!$V$1:$W$32,2,0)</f>
        <v>050068</v>
      </c>
      <c r="I979" s="50">
        <v>0</v>
      </c>
      <c r="J979" s="356" t="s">
        <v>42</v>
      </c>
      <c r="K979" s="47" t="str">
        <f t="shared" ca="1" si="318"/>
        <v>CONTRATADO</v>
      </c>
      <c r="L979" s="351" t="s">
        <v>264</v>
      </c>
      <c r="M979" s="47" t="s">
        <v>107</v>
      </c>
      <c r="N979" s="52" t="s">
        <v>279</v>
      </c>
      <c r="O979" s="51" t="e">
        <f>VLOOKUP(N979,[2]!RUBROS[#All],3,0)</f>
        <v>#REF!</v>
      </c>
      <c r="P979" s="53" t="e">
        <f>VLOOKUP(N979,[2]!RUBROS[#All],2,0)</f>
        <v>#REF!</v>
      </c>
      <c r="Q979" s="47" t="str">
        <f t="shared" si="319"/>
        <v>91</v>
      </c>
      <c r="R979" s="47" t="str">
        <f t="shared" si="320"/>
        <v>4-101124</v>
      </c>
      <c r="S979" s="342">
        <v>200</v>
      </c>
      <c r="T979" s="59" t="s">
        <v>120</v>
      </c>
      <c r="U979" s="326" t="e">
        <f ca="1">_xlfn.XLOOKUP(PAA_4[[#This Row],[ITEM]],[2]Contrato!A:A,[2]Contrato!Q:Q,"",0)</f>
        <v>#NAME?</v>
      </c>
      <c r="V979" s="47" t="s">
        <v>47</v>
      </c>
      <c r="W979" s="343" t="s">
        <v>154</v>
      </c>
      <c r="X979" s="343" t="s">
        <v>154</v>
      </c>
      <c r="Y979" s="55" t="e">
        <f ca="1">_xlfn.XLOOKUP(PAA_4[[#This Row],[ITEM]],[2]Contrato!A:A,[2]Contrato!B:B,"",0)</f>
        <v>#NAME?</v>
      </c>
      <c r="Z979" s="47" t="e">
        <f ca="1">_xlfn.XLOOKUP(PAA_4[[#This Row],[ITEM]],[2]Contrato!A:A,[2]Contrato!G:G,"",0)</f>
        <v>#NAME?</v>
      </c>
      <c r="AA979" s="47" t="e">
        <f ca="1">_xlfn.XLOOKUP(PAA_4[[#This Row],[ITEM]],[2]Contrato!A:A,[2]Contrato!T:T,"",0)</f>
        <v>#NAME?</v>
      </c>
      <c r="AB979" s="55" t="e">
        <f ca="1">+MAX(PAA_4[[#This Row],[Comprometido Contrato]],PAA_4[[#This Row],[Comprometido Bolsa]])</f>
        <v>#NAME?</v>
      </c>
      <c r="AC979" s="55" t="str">
        <f t="shared" ca="1" si="321"/>
        <v/>
      </c>
      <c r="AD979" s="55" t="e">
        <f ca="1">IF(PAA_4[[#This Row],[ESTADO (formulado)]]="NO CONTRATADO",0,MAX(PAA_4[[#This Row],[Pago por Contrato]],PAA_4[[#This Row],[Pago por bolsa]]))</f>
        <v>#NAME?</v>
      </c>
      <c r="AE979" s="55" t="str">
        <f t="shared" ca="1" si="322"/>
        <v/>
      </c>
      <c r="AF979" s="47" t="e">
        <f t="shared" ca="1" si="323"/>
        <v>#NAME?</v>
      </c>
      <c r="AG979" s="47">
        <f t="shared" si="324"/>
        <v>41080103</v>
      </c>
      <c r="AH979" s="54">
        <f>IF(Q979="22",IF(ISNUMBER(SEARCH("econ",PAA_4[[#This Row],[Actividad3]])),"Económico",IF(ISNUMBER(SEARCH("alim",PAA_4[[#This Row],[Actividad3]])),"Alimentación",IF(ISNUMBER(SEARCH("educ",PAA_4[[#This Row],[Actividad3]])),"Educativo","Técnico"))),0)</f>
        <v>0</v>
      </c>
      <c r="AI979" s="47" t="e" cm="1">
        <f t="array" aca="1" ref="AI979" ca="1">_xlfn.XLOOKUP(PAA_4[[#This Row],[RCP-RUBRO]],[2]!COMPROMISOS_2024[[#All],[concatenado]],[2]!COMPROMISOS_2024[[#All],[Total pagado]],"",0)</f>
        <v>#NAME?</v>
      </c>
      <c r="AJ979" s="56">
        <f>IF(PAA_4[[#This Row],[BOLSA]]=0,0,SUMIFS([2]!COMPROMISOS_2024[[#All],[Total pagado]],[2]!COMPROMISOS_2024[[#All],[Bolsa]],PAA_4[[#This Row],[BOLSA]],[2]!COMPROMISOS_2024[[#All],[rubro]],PAA_4[[#This Row],[RCP-RUBRO]]))</f>
        <v>0</v>
      </c>
      <c r="AK979" s="47" t="e" cm="1">
        <f t="array" aca="1" ref="AK979" ca="1">_xlfn.XLOOKUP(PAA_4[[#This Row],[RCP-RUBRO]],[2]!COMPROMISOS_2024[[#All],[concatenado]],[2]!COMPROMISOS_2024[[#All],[Total Comprometido]],"",0)</f>
        <v>#NAME?</v>
      </c>
      <c r="AL979" s="47">
        <f>IF(PAA_4[[#This Row],[BOLSA]]=0,0,SUMIFS([2]!COMPROMISOS_2024[[#All],[Total Comprometido]],[2]!COMPROMISOS_2024[[#All],[Bolsa]],PAA_4[[#This Row],[BOLSA]],[2]!COMPROMISOS_2024[[#All],[concatenado]],PAA_4[[#This Row],[RCP-RUBRO]]))</f>
        <v>0</v>
      </c>
    </row>
    <row r="980" spans="1:38" s="19" customFormat="1" ht="31.5" customHeight="1">
      <c r="A980" s="47" t="s">
        <v>82</v>
      </c>
      <c r="B980" s="51" t="s">
        <v>42</v>
      </c>
      <c r="C980" s="47" t="str">
        <f>VLOOKUP(PAA_4[[#This Row],[PROYECTO (formulado)2]],[2]PROYECTOS!$G$1:$L$32,6,0)</f>
        <v>OFICINA DE MEDICINA DEPORTIVA</v>
      </c>
      <c r="D980" s="47" t="str">
        <f>+IF(PAA_4[[#This Row],[UNIDAD DE CONTRATACION (formulado)]]="Subgerencia Administrativa y Financiera","FUNCIONAMIENTO","INVERSIÓN")</f>
        <v>INVERSIÓN</v>
      </c>
      <c r="E980" s="48" t="str">
        <f>VLOOKUP(Q980,[2]PROYECTOS!$G$1:$K$32,5,0)</f>
        <v>APOYO_CIENTÍFICO_AL_RENDIMIENTO_DEPORTIVO_Y_LA_ACTIVIDAD_FÍSICA_EN_EL_DEPARTAMENTO_DE_ANTIOQUIA</v>
      </c>
      <c r="F980" s="48">
        <f>VLOOKUP(E980,[2]PROYECTOS!$K$1:$M$32,3,0)</f>
        <v>2021003050070</v>
      </c>
      <c r="G980" s="67" t="s">
        <v>280</v>
      </c>
      <c r="H980" s="49" t="str">
        <f>VLOOKUP(Q980,[2]PROYECTOS!$V$1:$W$32,2,0)</f>
        <v>050068</v>
      </c>
      <c r="I980" s="50">
        <v>0</v>
      </c>
      <c r="J980" s="356" t="s">
        <v>42</v>
      </c>
      <c r="K980" s="47" t="str">
        <f t="shared" ca="1" si="318"/>
        <v>CONTRATADO</v>
      </c>
      <c r="L980" s="351" t="s">
        <v>151</v>
      </c>
      <c r="M980" s="47" t="s">
        <v>89</v>
      </c>
      <c r="N980" s="52" t="s">
        <v>281</v>
      </c>
      <c r="O980" s="51" t="e">
        <f>VLOOKUP(N980,[2]!RUBROS[#All],3,0)</f>
        <v>#REF!</v>
      </c>
      <c r="P980" s="53" t="e">
        <f>VLOOKUP(N980,[2]!RUBROS[#All],2,0)</f>
        <v>#REF!</v>
      </c>
      <c r="Q980" s="47" t="str">
        <f t="shared" si="319"/>
        <v>91</v>
      </c>
      <c r="R980" s="47" t="str">
        <f t="shared" si="320"/>
        <v>4-101124</v>
      </c>
      <c r="S980" s="342">
        <v>200</v>
      </c>
      <c r="T980" s="59" t="s">
        <v>120</v>
      </c>
      <c r="U980" s="326" t="e">
        <f ca="1">_xlfn.XLOOKUP(PAA_4[[#This Row],[ITEM]],[2]Contrato!A:A,[2]Contrato!Q:Q,"",0)</f>
        <v>#NAME?</v>
      </c>
      <c r="V980" s="47" t="s">
        <v>47</v>
      </c>
      <c r="W980" s="343" t="s">
        <v>154</v>
      </c>
      <c r="X980" s="343" t="s">
        <v>154</v>
      </c>
      <c r="Y980" s="55" t="e">
        <f ca="1">_xlfn.XLOOKUP(PAA_4[[#This Row],[ITEM]],[2]Contrato!A:A,[2]Contrato!B:B,"",0)</f>
        <v>#NAME?</v>
      </c>
      <c r="Z980" s="47" t="e">
        <f ca="1">_xlfn.XLOOKUP(PAA_4[[#This Row],[ITEM]],[2]Contrato!A:A,[2]Contrato!G:G,"",0)</f>
        <v>#NAME?</v>
      </c>
      <c r="AA980" s="47" t="e">
        <f ca="1">_xlfn.XLOOKUP(PAA_4[[#This Row],[ITEM]],[2]Contrato!A:A,[2]Contrato!T:T,"",0)</f>
        <v>#NAME?</v>
      </c>
      <c r="AB980" s="55" t="e">
        <f ca="1">+MAX(PAA_4[[#This Row],[Comprometido Contrato]],PAA_4[[#This Row],[Comprometido Bolsa]])</f>
        <v>#NAME?</v>
      </c>
      <c r="AC980" s="55" t="str">
        <f t="shared" ca="1" si="321"/>
        <v/>
      </c>
      <c r="AD980" s="55" t="e">
        <f ca="1">IF(PAA_4[[#This Row],[ESTADO (formulado)]]="NO CONTRATADO",0,MAX(PAA_4[[#This Row],[Pago por Contrato]],PAA_4[[#This Row],[Pago por bolsa]]))</f>
        <v>#NAME?</v>
      </c>
      <c r="AE980" s="55" t="str">
        <f t="shared" ca="1" si="322"/>
        <v/>
      </c>
      <c r="AF980" s="47" t="e">
        <f t="shared" ca="1" si="323"/>
        <v>#NAME?</v>
      </c>
      <c r="AG980" s="47">
        <f t="shared" si="324"/>
        <v>41080103</v>
      </c>
      <c r="AH980" s="54">
        <f>IF(Q980="22",IF(ISNUMBER(SEARCH("econ",PAA_4[[#This Row],[Actividad3]])),"Económico",IF(ISNUMBER(SEARCH("alim",PAA_4[[#This Row],[Actividad3]])),"Alimentación",IF(ISNUMBER(SEARCH("educ",PAA_4[[#This Row],[Actividad3]])),"Educativo","Técnico"))),0)</f>
        <v>0</v>
      </c>
      <c r="AI980" s="47" t="e" cm="1">
        <f t="array" aca="1" ref="AI980" ca="1">_xlfn.XLOOKUP(PAA_4[[#This Row],[RCP-RUBRO]],[2]!COMPROMISOS_2024[[#All],[concatenado]],[2]!COMPROMISOS_2024[[#All],[Total pagado]],"",0)</f>
        <v>#NAME?</v>
      </c>
      <c r="AJ980" s="56">
        <f>IF(PAA_4[[#This Row],[BOLSA]]=0,0,SUMIFS([2]!COMPROMISOS_2024[[#All],[Total pagado]],[2]!COMPROMISOS_2024[[#All],[Bolsa]],PAA_4[[#This Row],[BOLSA]],[2]!COMPROMISOS_2024[[#All],[rubro]],PAA_4[[#This Row],[RCP-RUBRO]]))</f>
        <v>0</v>
      </c>
      <c r="AK980" s="47" t="e" cm="1">
        <f t="array" aca="1" ref="AK980" ca="1">_xlfn.XLOOKUP(PAA_4[[#This Row],[RCP-RUBRO]],[2]!COMPROMISOS_2024[[#All],[concatenado]],[2]!COMPROMISOS_2024[[#All],[Total Comprometido]],"",0)</f>
        <v>#NAME?</v>
      </c>
      <c r="AL980" s="47">
        <f>IF(PAA_4[[#This Row],[BOLSA]]=0,0,SUMIFS([2]!COMPROMISOS_2024[[#All],[Total Comprometido]],[2]!COMPROMISOS_2024[[#All],[Bolsa]],PAA_4[[#This Row],[BOLSA]],[2]!COMPROMISOS_2024[[#All],[concatenado]],PAA_4[[#This Row],[RCP-RUBRO]]))</f>
        <v>0</v>
      </c>
    </row>
    <row r="981" spans="1:38" s="19" customFormat="1" ht="31.5" customHeight="1">
      <c r="A981" s="47">
        <v>331</v>
      </c>
      <c r="B981" s="47">
        <v>80111600</v>
      </c>
      <c r="C981" s="47" t="str">
        <f>VLOOKUP(PAA_4[[#This Row],[PROYECTO (formulado)2]],[2]PROYECTOS!$G$1:$L$32,6,0)</f>
        <v>SUBGERENCIA DE ALTOS LOGROS Y DEPORTE ASOCIADO</v>
      </c>
      <c r="D981" s="47" t="str">
        <f>+IF(PAA_4[[#This Row],[UNIDAD DE CONTRATACION (formulado)]]="Subgerencia Administrativa y Financiera","FUNCIONAMIENTO","INVERSIÓN")</f>
        <v>INVERSIÓN</v>
      </c>
      <c r="E981" s="48" t="str">
        <f>VLOOKUP(Q981,[2]PROYECTOS!$G$1:$K$32,5,0)</f>
        <v>APOYO_TÉCNICO_Y_PSICOSOCIAL_A_LOS_DEPORTISTAS_DE_ANTIOQUIA</v>
      </c>
      <c r="F981" s="48">
        <f>VLOOKUP(E981,[2]PROYECTOS!$K$1:$M$32,3,0)</f>
        <v>2021003050069</v>
      </c>
      <c r="G981" s="49" t="s">
        <v>241</v>
      </c>
      <c r="H981" s="49" t="str">
        <f>VLOOKUP(Q981,[2]PROYECTOS!$V$1:$W$32,2,0)</f>
        <v>050069</v>
      </c>
      <c r="I981" s="50">
        <v>0</v>
      </c>
      <c r="J981" s="51" t="s">
        <v>42</v>
      </c>
      <c r="K981" s="47" t="str">
        <f t="shared" ca="1" si="318"/>
        <v>CONTRATADO</v>
      </c>
      <c r="L981" s="47" t="s">
        <v>94</v>
      </c>
      <c r="M981" s="47" t="s">
        <v>1297</v>
      </c>
      <c r="N981" s="52" t="s">
        <v>282</v>
      </c>
      <c r="O981" s="51" t="e">
        <f>VLOOKUP(N981,[2]!RUBROS[#All],3,0)</f>
        <v>#REF!</v>
      </c>
      <c r="P981" s="53" t="e">
        <f>VLOOKUP(N981,[2]!RUBROS[#All],2,0)</f>
        <v>#REF!</v>
      </c>
      <c r="Q981" s="47" t="str">
        <f t="shared" si="319"/>
        <v>22</v>
      </c>
      <c r="R981" s="47" t="str">
        <f t="shared" si="320"/>
        <v>0-205400</v>
      </c>
      <c r="S981" s="54"/>
      <c r="T981" s="59"/>
      <c r="U981" s="326" t="e">
        <f ca="1">_xlfn.XLOOKUP(PAA_4[[#This Row],[ITEM]],[2]Contrato!A:A,[2]Contrato!Q:Q,"",0)</f>
        <v>#NAME?</v>
      </c>
      <c r="V981" s="47"/>
      <c r="W981" s="47"/>
      <c r="X981" s="47"/>
      <c r="Y981" s="55" t="e">
        <f ca="1">_xlfn.XLOOKUP(PAA_4[[#This Row],[ITEM]],[2]Contrato!A:A,[2]Contrato!B:B,"",0)</f>
        <v>#NAME?</v>
      </c>
      <c r="Z981" s="47" t="e">
        <f ca="1">_xlfn.XLOOKUP(PAA_4[[#This Row],[ITEM]],[2]Contrato!A:A,[2]Contrato!G:G,"",0)</f>
        <v>#NAME?</v>
      </c>
      <c r="AA981" s="47" t="e">
        <f ca="1">_xlfn.XLOOKUP(PAA_4[[#This Row],[ITEM]],[2]Contrato!A:A,[2]Contrato!T:T,"",0)</f>
        <v>#NAME?</v>
      </c>
      <c r="AB981" s="55" t="e">
        <f ca="1">+MAX(PAA_4[[#This Row],[Comprometido Contrato]],PAA_4[[#This Row],[Comprometido Bolsa]])</f>
        <v>#NAME?</v>
      </c>
      <c r="AC981" s="55" t="str">
        <f t="shared" ca="1" si="321"/>
        <v/>
      </c>
      <c r="AD981" s="55" t="e">
        <f ca="1">IF(PAA_4[[#This Row],[ESTADO (formulado)]]="NO CONTRATADO",0,MAX(PAA_4[[#This Row],[Pago por Contrato]],PAA_4[[#This Row],[Pago por bolsa]]))</f>
        <v>#NAME?</v>
      </c>
      <c r="AE981" s="55" t="str">
        <f t="shared" ca="1" si="322"/>
        <v/>
      </c>
      <c r="AF981" s="47" t="e">
        <f t="shared" ca="1" si="323"/>
        <v>#NAME?</v>
      </c>
      <c r="AG981" s="47">
        <f t="shared" si="324"/>
        <v>41080106</v>
      </c>
      <c r="AH981" s="54" t="str">
        <f>IF(Q981="22",IF(ISNUMBER(SEARCH("econ",PAA_4[[#This Row],[Actividad3]])),"Económico",IF(ISNUMBER(SEARCH("alim",PAA_4[[#This Row],[Actividad3]])),"Alimentación",IF(ISNUMBER(SEARCH("educ",PAA_4[[#This Row],[Actividad3]])),"Educativo","Técnico"))),0)</f>
        <v>Técnico</v>
      </c>
      <c r="AI981" s="47" t="e" cm="1">
        <f t="array" aca="1" ref="AI981" ca="1">_xlfn.XLOOKUP(PAA_4[[#This Row],[RCP-RUBRO]],[2]!COMPROMISOS_2024[[#All],[concatenado]],[2]!COMPROMISOS_2024[[#All],[Total pagado]],"",0)</f>
        <v>#NAME?</v>
      </c>
      <c r="AJ981" s="56" t="e">
        <f ca="1">IF(PAA_4[[#This Row],[BOLSA]]=0,0,SUMIFS([2]!COMPROMISOS_2024[[#All],[Total pagado]],[2]!COMPROMISOS_2024[[#All],[Bolsa]],PAA_4[[#This Row],[BOLSA]],[2]!COMPROMISOS_2024[[#All],[rubro]],PAA_4[[#This Row],[RCP-RUBRO]]))</f>
        <v>#REF!</v>
      </c>
      <c r="AK981" s="47" t="e" cm="1">
        <f t="array" aca="1" ref="AK981" ca="1">_xlfn.XLOOKUP(PAA_4[[#This Row],[RCP-RUBRO]],[2]!COMPROMISOS_2024[[#All],[concatenado]],[2]!COMPROMISOS_2024[[#All],[Total Comprometido]],"",0)</f>
        <v>#NAME?</v>
      </c>
      <c r="AL981" s="47" t="e">
        <f ca="1">IF(PAA_4[[#This Row],[BOLSA]]=0,0,SUMIFS([2]!COMPROMISOS_2024[[#All],[Total Comprometido]],[2]!COMPROMISOS_2024[[#All],[Bolsa]],PAA_4[[#This Row],[BOLSA]],[2]!COMPROMISOS_2024[[#All],[concatenado]],PAA_4[[#This Row],[RCP-RUBRO]]))</f>
        <v>#REF!</v>
      </c>
    </row>
    <row r="982" spans="1:38" s="19" customFormat="1" ht="31.5" customHeight="1">
      <c r="A982" s="47">
        <v>332</v>
      </c>
      <c r="B982" s="47">
        <v>72101500</v>
      </c>
      <c r="C982" s="47" t="str">
        <f>VLOOKUP(PAA_4[[#This Row],[PROYECTO (formulado)2]],[2]PROYECTOS!$G$1:$L$32,6,0)</f>
        <v>SUBGERENCIA ESCENARIOS DEPORTIVOS Y EQUIPAMIENTOS</v>
      </c>
      <c r="D982" s="47" t="str">
        <f>+IF(PAA_4[[#This Row],[UNIDAD DE CONTRATACION (formulado)]]="Subgerencia Administrativa y Financiera","FUNCIONAMIENTO","INVERSIÓN")</f>
        <v>INVERSIÓN</v>
      </c>
      <c r="E982" s="48" t="str">
        <f>VLOOKUP(Q982,[2]PROYECTOS!$G$1:$K$32,5,0)</f>
        <v>MEJORAMIENTO_DE_LA_INFRAESTRUCTURA_DEPORTIVA_Y_RECREATIVA_EN_EL_DEPARTAMENTO_DE_ANTIOQUIA</v>
      </c>
      <c r="F982" s="48">
        <f>VLOOKUP(E982,[2]PROYECTOS!$K$1:$M$32,3,0)</f>
        <v>2020003050027</v>
      </c>
      <c r="G982" s="49" t="s">
        <v>283</v>
      </c>
      <c r="H982" s="49" t="str">
        <f>VLOOKUP(Q982,[2]PROYECTOS!$V$1:$W$32,2,0)</f>
        <v>050058</v>
      </c>
      <c r="I982" s="50">
        <v>0</v>
      </c>
      <c r="J982" s="51" t="s">
        <v>1806</v>
      </c>
      <c r="K982" s="47" t="str">
        <f t="shared" ca="1" si="318"/>
        <v>CONTRATADO</v>
      </c>
      <c r="L982" s="47" t="s">
        <v>153</v>
      </c>
      <c r="M982" s="47" t="s">
        <v>284</v>
      </c>
      <c r="N982" s="52" t="s">
        <v>285</v>
      </c>
      <c r="O982" s="51" t="e">
        <f>VLOOKUP(N982,[2]!RUBROS[#All],3,0)</f>
        <v>#REF!</v>
      </c>
      <c r="P982" s="53" t="e">
        <f>VLOOKUP(N982,[2]!RUBROS[#All],2,0)</f>
        <v>#REF!</v>
      </c>
      <c r="Q982" s="47" t="str">
        <f t="shared" si="319"/>
        <v>64</v>
      </c>
      <c r="R982" s="47" t="str">
        <f t="shared" si="320"/>
        <v>0-202029</v>
      </c>
      <c r="S982" s="339"/>
      <c r="T982" s="59"/>
      <c r="U982" s="326" t="e">
        <f ca="1">_xlfn.XLOOKUP(PAA_4[[#This Row],[ITEM]],[2]Contrato!A:A,[2]Contrato!Q:Q,"",0)</f>
        <v>#NAME?</v>
      </c>
      <c r="V982" s="47" t="s">
        <v>47</v>
      </c>
      <c r="W982" s="47" t="s">
        <v>91</v>
      </c>
      <c r="X982" s="47" t="s">
        <v>92</v>
      </c>
      <c r="Y982" s="55" t="e">
        <f ca="1">_xlfn.XLOOKUP(PAA_4[[#This Row],[ITEM]],[2]Contrato!A:A,[2]Contrato!B:B,"",0)</f>
        <v>#NAME?</v>
      </c>
      <c r="Z982" s="47" t="e">
        <f ca="1">_xlfn.XLOOKUP(PAA_4[[#This Row],[ITEM]],[2]Contrato!A:A,[2]Contrato!G:G,"",0)</f>
        <v>#NAME?</v>
      </c>
      <c r="AA982" s="47" t="e">
        <f ca="1">_xlfn.XLOOKUP(PAA_4[[#This Row],[ITEM]],[2]Contrato!A:A,[2]Contrato!T:T,"",0)</f>
        <v>#NAME?</v>
      </c>
      <c r="AB982" s="55" t="e">
        <f ca="1">+MAX(PAA_4[[#This Row],[Comprometido Contrato]],PAA_4[[#This Row],[Comprometido Bolsa]])</f>
        <v>#NAME?</v>
      </c>
      <c r="AC982" s="55" t="str">
        <f t="shared" ca="1" si="321"/>
        <v/>
      </c>
      <c r="AD982" s="55" t="e">
        <f ca="1">IF(PAA_4[[#This Row],[ESTADO (formulado)]]="NO CONTRATADO",0,MAX(PAA_4[[#This Row],[Pago por Contrato]],PAA_4[[#This Row],[Pago por bolsa]]))</f>
        <v>#NAME?</v>
      </c>
      <c r="AE982" s="55" t="str">
        <f t="shared" ca="1" si="322"/>
        <v/>
      </c>
      <c r="AF982" s="47" t="e">
        <f t="shared" ca="1" si="323"/>
        <v>#NAME?</v>
      </c>
      <c r="AG982" s="47">
        <f t="shared" si="324"/>
        <v>43010901</v>
      </c>
      <c r="AH982" s="54">
        <f>IF(Q982="22",IF(ISNUMBER(SEARCH("econ",PAA_4[[#This Row],[Actividad3]])),"Económico",IF(ISNUMBER(SEARCH("alim",PAA_4[[#This Row],[Actividad3]])),"Alimentación",IF(ISNUMBER(SEARCH("educ",PAA_4[[#This Row],[Actividad3]])),"Educativo","Técnico"))),0)</f>
        <v>0</v>
      </c>
      <c r="AI982" s="47" t="e" cm="1">
        <f t="array" aca="1" ref="AI982" ca="1">_xlfn.XLOOKUP(PAA_4[[#This Row],[RCP-RUBRO]],[2]!COMPROMISOS_2024[[#All],[concatenado]],[2]!COMPROMISOS_2024[[#All],[Total pagado]],"",0)</f>
        <v>#NAME?</v>
      </c>
      <c r="AJ982" s="56">
        <f>IF(PAA_4[[#This Row],[BOLSA]]=0,0,SUMIFS([2]!COMPROMISOS_2024[[#All],[Total pagado]],[2]!COMPROMISOS_2024[[#All],[Bolsa]],PAA_4[[#This Row],[BOLSA]],[2]!COMPROMISOS_2024[[#All],[rubro]],PAA_4[[#This Row],[RCP-RUBRO]]))</f>
        <v>0</v>
      </c>
      <c r="AK982" s="47" t="e" cm="1">
        <f t="array" aca="1" ref="AK982" ca="1">_xlfn.XLOOKUP(PAA_4[[#This Row],[RCP-RUBRO]],[2]!COMPROMISOS_2024[[#All],[concatenado]],[2]!COMPROMISOS_2024[[#All],[Total Comprometido]],"",0)</f>
        <v>#NAME?</v>
      </c>
      <c r="AL982" s="47">
        <f>IF(PAA_4[[#This Row],[BOLSA]]=0,0,SUMIFS([2]!COMPROMISOS_2024[[#All],[Total Comprometido]],[2]!COMPROMISOS_2024[[#All],[Bolsa]],PAA_4[[#This Row],[BOLSA]],[2]!COMPROMISOS_2024[[#All],[concatenado]],PAA_4[[#This Row],[RCP-RUBRO]]))</f>
        <v>0</v>
      </c>
    </row>
    <row r="983" spans="1:38" s="19" customFormat="1" ht="31.5" customHeight="1">
      <c r="A983" s="47">
        <v>334</v>
      </c>
      <c r="B983" s="47">
        <v>81112501</v>
      </c>
      <c r="C983" s="47" t="str">
        <f>VLOOKUP(PAA_4[[#This Row],[PROYECTO (formulado)2]],[2]PROYECTOS!$G$1:$L$32,6,0)</f>
        <v>SUBGERENCIA ESCENARIOS DEPORTIVOS Y EQUIPAMIENTOS</v>
      </c>
      <c r="D983" s="47" t="str">
        <f>+IF(PAA_4[[#This Row],[UNIDAD DE CONTRATACION (formulado)]]="Subgerencia Administrativa y Financiera","FUNCIONAMIENTO","INVERSIÓN")</f>
        <v>INVERSIÓN</v>
      </c>
      <c r="E983" s="48" t="str">
        <f>VLOOKUP(Q983,[2]PROYECTOS!$G$1:$K$32,5,0)</f>
        <v>MEJORAMIENTO_DE_LA_INFRAESTRUCTURA_DEPORTIVA_Y_RECREATIVA_EN_EL_DEPARTAMENTO_DE_ANTIOQUIA</v>
      </c>
      <c r="F983" s="48">
        <f>VLOOKUP(E983,[2]PROYECTOS!$K$1:$M$32,3,0)</f>
        <v>2020003050027</v>
      </c>
      <c r="G983" s="49" t="s">
        <v>286</v>
      </c>
      <c r="H983" s="49" t="str">
        <f>VLOOKUP(Q983,[2]PROYECTOS!$V$1:$W$32,2,0)</f>
        <v>050058</v>
      </c>
      <c r="I983" s="50">
        <v>10911926</v>
      </c>
      <c r="J983" s="51" t="s">
        <v>1807</v>
      </c>
      <c r="K983" s="47" t="str">
        <f t="shared" ca="1" si="318"/>
        <v>CONTRATADO</v>
      </c>
      <c r="L983" s="47" t="s">
        <v>110</v>
      </c>
      <c r="M983" s="47" t="s">
        <v>191</v>
      </c>
      <c r="N983" s="52" t="s">
        <v>287</v>
      </c>
      <c r="O983" s="51" t="e">
        <f>VLOOKUP(N983,[2]!RUBROS[#All],3,0)</f>
        <v>#REF!</v>
      </c>
      <c r="P983" s="53" t="e">
        <f>VLOOKUP(N983,[2]!RUBROS[#All],2,0)</f>
        <v>#REF!</v>
      </c>
      <c r="Q983" s="47" t="str">
        <f t="shared" si="319"/>
        <v>64</v>
      </c>
      <c r="R983" s="47" t="str">
        <f t="shared" si="320"/>
        <v>0-101024</v>
      </c>
      <c r="S983" s="54">
        <v>1</v>
      </c>
      <c r="T983" s="59" t="s">
        <v>46</v>
      </c>
      <c r="U983" s="326" t="e">
        <f ca="1">_xlfn.XLOOKUP(PAA_4[[#This Row],[ITEM]],[2]Contrato!A:A,[2]Contrato!Q:Q,"",0)</f>
        <v>#NAME?</v>
      </c>
      <c r="V983" s="47" t="s">
        <v>47</v>
      </c>
      <c r="W983" s="47" t="s">
        <v>91</v>
      </c>
      <c r="X983" s="47" t="s">
        <v>91</v>
      </c>
      <c r="Y983" s="55" t="e">
        <f ca="1">_xlfn.XLOOKUP(PAA_4[[#This Row],[ITEM]],[2]Contrato!A:A,[2]Contrato!B:B,"",0)</f>
        <v>#NAME?</v>
      </c>
      <c r="Z983" s="47" t="e">
        <f ca="1">_xlfn.XLOOKUP(PAA_4[[#This Row],[ITEM]],[2]Contrato!A:A,[2]Contrato!G:G,"",0)</f>
        <v>#NAME?</v>
      </c>
      <c r="AA983" s="47" t="e">
        <f ca="1">_xlfn.XLOOKUP(PAA_4[[#This Row],[ITEM]],[2]Contrato!A:A,[2]Contrato!T:T,"",0)</f>
        <v>#NAME?</v>
      </c>
      <c r="AB983" s="55" t="e">
        <f ca="1">+MAX(PAA_4[[#This Row],[Comprometido Contrato]],PAA_4[[#This Row],[Comprometido Bolsa]])</f>
        <v>#NAME?</v>
      </c>
      <c r="AC983" s="55" t="str">
        <f t="shared" ca="1" si="321"/>
        <v/>
      </c>
      <c r="AD983" s="55" t="e">
        <f ca="1">IF(PAA_4[[#This Row],[ESTADO (formulado)]]="NO CONTRATADO",0,MAX(PAA_4[[#This Row],[Pago por Contrato]],PAA_4[[#This Row],[Pago por bolsa]]))</f>
        <v>#NAME?</v>
      </c>
      <c r="AE983" s="55" t="str">
        <f t="shared" ca="1" si="322"/>
        <v/>
      </c>
      <c r="AF983" s="47" t="e">
        <f t="shared" ca="1" si="323"/>
        <v>#NAME?</v>
      </c>
      <c r="AG983" s="47">
        <f t="shared" si="324"/>
        <v>43010901</v>
      </c>
      <c r="AH983" s="54">
        <f>IF(Q983="22",IF(ISNUMBER(SEARCH("econ",PAA_4[[#This Row],[Actividad3]])),"Económico",IF(ISNUMBER(SEARCH("alim",PAA_4[[#This Row],[Actividad3]])),"Alimentación",IF(ISNUMBER(SEARCH("educ",PAA_4[[#This Row],[Actividad3]])),"Educativo","Técnico"))),0)</f>
        <v>0</v>
      </c>
      <c r="AI983" s="47" t="e" cm="1">
        <f t="array" aca="1" ref="AI983" ca="1">_xlfn.XLOOKUP(PAA_4[[#This Row],[RCP-RUBRO]],[2]!COMPROMISOS_2024[[#All],[concatenado]],[2]!COMPROMISOS_2024[[#All],[Total pagado]],"",0)</f>
        <v>#NAME?</v>
      </c>
      <c r="AJ983" s="56">
        <f>IF(PAA_4[[#This Row],[BOLSA]]=0,0,SUMIFS([2]!COMPROMISOS_2024[[#All],[Total pagado]],[2]!COMPROMISOS_2024[[#All],[Bolsa]],PAA_4[[#This Row],[BOLSA]],[2]!COMPROMISOS_2024[[#All],[rubro]],PAA_4[[#This Row],[RCP-RUBRO]]))</f>
        <v>0</v>
      </c>
      <c r="AK983" s="47" t="e" cm="1">
        <f t="array" aca="1" ref="AK983" ca="1">_xlfn.XLOOKUP(PAA_4[[#This Row],[RCP-RUBRO]],[2]!COMPROMISOS_2024[[#All],[concatenado]],[2]!COMPROMISOS_2024[[#All],[Total Comprometido]],"",0)</f>
        <v>#NAME?</v>
      </c>
      <c r="AL983" s="47">
        <f>IF(PAA_4[[#This Row],[BOLSA]]=0,0,SUMIFS([2]!COMPROMISOS_2024[[#All],[Total Comprometido]],[2]!COMPROMISOS_2024[[#All],[Bolsa]],PAA_4[[#This Row],[BOLSA]],[2]!COMPROMISOS_2024[[#All],[concatenado]],PAA_4[[#This Row],[RCP-RUBRO]]))</f>
        <v>0</v>
      </c>
    </row>
    <row r="984" spans="1:38" s="19" customFormat="1" ht="31.5" customHeight="1">
      <c r="A984" s="47">
        <v>1210</v>
      </c>
      <c r="B984" s="47">
        <v>81101500</v>
      </c>
      <c r="C984" s="47" t="str">
        <f>VLOOKUP(PAA_4[[#This Row],[PROYECTO (formulado)2]],[2]PROYECTOS!$G$1:$L$32,6,0)</f>
        <v>SUBGERENCIA ESCENARIOS DEPORTIVOS Y EQUIPAMIENTOS</v>
      </c>
      <c r="D984" s="47" t="str">
        <f>+IF(PAA_4[[#This Row],[UNIDAD DE CONTRATACION (formulado)]]="Subgerencia Administrativa y Financiera","FUNCIONAMIENTO","INVERSIÓN")</f>
        <v>INVERSIÓN</v>
      </c>
      <c r="E984" s="48" t="str">
        <f>VLOOKUP(Q984,[2]PROYECTOS!$G$1:$K$32,5,0)</f>
        <v>MEJORAMIENTO_DE_LA_INFRAESTRUCTURA_DEPORTIVA_Y_RECREATIVA_EN_EL_DEPARTAMENTO_DE_ANTIOQUIA</v>
      </c>
      <c r="F984" s="48">
        <f>VLOOKUP(E984,[2]PROYECTOS!$K$1:$M$32,3,0)</f>
        <v>2020003050027</v>
      </c>
      <c r="G984" s="49" t="s">
        <v>286</v>
      </c>
      <c r="H984" s="49" t="str">
        <f>VLOOKUP(Q984,[2]PROYECTOS!$V$1:$W$32,2,0)</f>
        <v>050058</v>
      </c>
      <c r="I984" s="50">
        <v>46270967</v>
      </c>
      <c r="J984" s="51" t="s">
        <v>1808</v>
      </c>
      <c r="K984" s="47" t="str">
        <f t="shared" ca="1" si="318"/>
        <v>CONTRATADO</v>
      </c>
      <c r="L984" s="47" t="s">
        <v>94</v>
      </c>
      <c r="M984" s="47" t="s">
        <v>255</v>
      </c>
      <c r="N984" s="52" t="s">
        <v>287</v>
      </c>
      <c r="O984" s="51" t="e">
        <f>VLOOKUP(N984,[2]!RUBROS[#All],3,0)</f>
        <v>#REF!</v>
      </c>
      <c r="P984" s="53" t="e">
        <f>VLOOKUP(N984,[2]!RUBROS[#All],2,0)</f>
        <v>#REF!</v>
      </c>
      <c r="Q984" s="47" t="str">
        <f t="shared" si="319"/>
        <v>64</v>
      </c>
      <c r="R984" s="47" t="str">
        <f t="shared" si="320"/>
        <v>0-101024</v>
      </c>
      <c r="S984" s="54">
        <v>3</v>
      </c>
      <c r="T984" s="59" t="s">
        <v>46</v>
      </c>
      <c r="U984" s="326" t="e">
        <f ca="1">_xlfn.XLOOKUP(PAA_4[[#This Row],[ITEM]],[2]Contrato!A:A,[2]Contrato!Q:Q,"",0)</f>
        <v>#NAME?</v>
      </c>
      <c r="V984" s="47" t="s">
        <v>95</v>
      </c>
      <c r="W984" s="47" t="s">
        <v>204</v>
      </c>
      <c r="X984" s="47" t="s">
        <v>204</v>
      </c>
      <c r="Y984" s="55" t="e">
        <f ca="1">_xlfn.XLOOKUP(PAA_4[[#This Row],[ITEM]],[2]Contrato!A:A,[2]Contrato!B:B,"",0)</f>
        <v>#NAME?</v>
      </c>
      <c r="Z984" s="47" t="e">
        <f ca="1">_xlfn.XLOOKUP(PAA_4[[#This Row],[ITEM]],[2]Contrato!A:A,[2]Contrato!G:G,"",0)</f>
        <v>#NAME?</v>
      </c>
      <c r="AA984" s="47" t="e">
        <f ca="1">_xlfn.XLOOKUP(PAA_4[[#This Row],[ITEM]],[2]Contrato!A:A,[2]Contrato!T:T,"",0)</f>
        <v>#NAME?</v>
      </c>
      <c r="AB984" s="55" t="e">
        <f ca="1">+MAX(PAA_4[[#This Row],[Comprometido Contrato]],PAA_4[[#This Row],[Comprometido Bolsa]])</f>
        <v>#NAME?</v>
      </c>
      <c r="AC984" s="55" t="str">
        <f t="shared" ca="1" si="321"/>
        <v/>
      </c>
      <c r="AD984" s="55" t="e">
        <f ca="1">IF(PAA_4[[#This Row],[ESTADO (formulado)]]="NO CONTRATADO",0,MAX(PAA_4[[#This Row],[Pago por Contrato]],PAA_4[[#This Row],[Pago por bolsa]]))</f>
        <v>#NAME?</v>
      </c>
      <c r="AE984" s="55" t="str">
        <f t="shared" ca="1" si="322"/>
        <v/>
      </c>
      <c r="AF984" s="47" t="e">
        <f t="shared" ca="1" si="323"/>
        <v>#NAME?</v>
      </c>
      <c r="AG984" s="47">
        <f t="shared" si="324"/>
        <v>43010901</v>
      </c>
      <c r="AH984" s="54">
        <f>IF(Q984="22",IF(ISNUMBER(SEARCH("econ",PAA_4[[#This Row],[Actividad3]])),"Económico",IF(ISNUMBER(SEARCH("alim",PAA_4[[#This Row],[Actividad3]])),"Alimentación",IF(ISNUMBER(SEARCH("educ",PAA_4[[#This Row],[Actividad3]])),"Educativo","Técnico"))),0)</f>
        <v>0</v>
      </c>
      <c r="AI984" s="47" t="e" cm="1">
        <f t="array" aca="1" ref="AI984" ca="1">_xlfn.XLOOKUP(PAA_4[[#This Row],[RCP-RUBRO]],[2]!COMPROMISOS_2024[[#All],[concatenado]],[2]!COMPROMISOS_2024[[#All],[Total pagado]],"",0)</f>
        <v>#NAME?</v>
      </c>
      <c r="AJ984" s="56">
        <f>IF(PAA_4[[#This Row],[BOLSA]]=0,0,SUMIFS([2]!COMPROMISOS_2024[[#All],[Total pagado]],[2]!COMPROMISOS_2024[[#All],[Bolsa]],PAA_4[[#This Row],[BOLSA]],[2]!COMPROMISOS_2024[[#All],[rubro]],PAA_4[[#This Row],[RCP-RUBRO]]))</f>
        <v>0</v>
      </c>
      <c r="AK984" s="47" t="e" cm="1">
        <f t="array" aca="1" ref="AK984" ca="1">_xlfn.XLOOKUP(PAA_4[[#This Row],[RCP-RUBRO]],[2]!COMPROMISOS_2024[[#All],[concatenado]],[2]!COMPROMISOS_2024[[#All],[Total Comprometido]],"",0)</f>
        <v>#NAME?</v>
      </c>
      <c r="AL984" s="47">
        <f>IF(PAA_4[[#This Row],[BOLSA]]=0,0,SUMIFS([2]!COMPROMISOS_2024[[#All],[Total Comprometido]],[2]!COMPROMISOS_2024[[#All],[Bolsa]],PAA_4[[#This Row],[BOLSA]],[2]!COMPROMISOS_2024[[#All],[concatenado]],PAA_4[[#This Row],[RCP-RUBRO]]))</f>
        <v>0</v>
      </c>
    </row>
    <row r="985" spans="1:38" s="19" customFormat="1" ht="31.5" customHeight="1">
      <c r="A985" s="47">
        <v>1210</v>
      </c>
      <c r="B985" s="47">
        <v>81101500</v>
      </c>
      <c r="C985" s="47" t="str">
        <f>VLOOKUP(PAA_4[[#This Row],[PROYECTO (formulado)2]],[2]PROYECTOS!$G$1:$L$32,6,0)</f>
        <v>SUBGERENCIA ESCENARIOS DEPORTIVOS Y EQUIPAMIENTOS</v>
      </c>
      <c r="D985" s="47" t="str">
        <f>+IF(PAA_4[[#This Row],[UNIDAD DE CONTRATACION (formulado)]]="Subgerencia Administrativa y Financiera","FUNCIONAMIENTO","INVERSIÓN")</f>
        <v>INVERSIÓN</v>
      </c>
      <c r="E985" s="48" t="str">
        <f>VLOOKUP(Q985,[2]PROYECTOS!$G$1:$K$32,5,0)</f>
        <v>MEJORAMIENTO_DE_LA_INFRAESTRUCTURA_DEPORTIVA_Y_RECREATIVA_EN_EL_DEPARTAMENTO_DE_ANTIOQUIA</v>
      </c>
      <c r="F985" s="48">
        <f>VLOOKUP(E985,[2]PROYECTOS!$K$1:$M$32,3,0)</f>
        <v>2020003050027</v>
      </c>
      <c r="G985" s="49" t="s">
        <v>286</v>
      </c>
      <c r="H985" s="49" t="str">
        <f>VLOOKUP(Q985,[2]PROYECTOS!$V$1:$W$32,2,0)</f>
        <v>050058</v>
      </c>
      <c r="I985" s="50">
        <f>41274486</f>
        <v>41274486</v>
      </c>
      <c r="J985" s="51" t="s">
        <v>1808</v>
      </c>
      <c r="K985" s="47" t="str">
        <f t="shared" ca="1" si="318"/>
        <v>CONTRATADO</v>
      </c>
      <c r="L985" s="47" t="s">
        <v>94</v>
      </c>
      <c r="M985" s="47" t="s">
        <v>255</v>
      </c>
      <c r="N985" s="52" t="s">
        <v>292</v>
      </c>
      <c r="O985" s="51" t="e">
        <f>VLOOKUP(N985,[2]!RUBROS[#All],3,0)</f>
        <v>#REF!</v>
      </c>
      <c r="P985" s="53" t="e">
        <f>VLOOKUP(N985,[2]!RUBROS[#All],2,0)</f>
        <v>#REF!</v>
      </c>
      <c r="Q985" s="47" t="str">
        <f t="shared" si="319"/>
        <v>64</v>
      </c>
      <c r="R985" s="47" t="str">
        <f t="shared" si="320"/>
        <v>0-205128</v>
      </c>
      <c r="S985" s="54">
        <v>3</v>
      </c>
      <c r="T985" s="59" t="s">
        <v>46</v>
      </c>
      <c r="U985" s="326" t="e">
        <f ca="1">_xlfn.XLOOKUP(PAA_4[[#This Row],[ITEM]],[2]Contrato!A:A,[2]Contrato!Q:Q,"",0)</f>
        <v>#NAME?</v>
      </c>
      <c r="V985" s="47" t="s">
        <v>95</v>
      </c>
      <c r="W985" s="47" t="s">
        <v>204</v>
      </c>
      <c r="X985" s="47" t="s">
        <v>204</v>
      </c>
      <c r="Y985" s="55" t="e">
        <f ca="1">_xlfn.XLOOKUP(PAA_4[[#This Row],[ITEM]],[2]Contrato!A:A,[2]Contrato!B:B,"",0)</f>
        <v>#NAME?</v>
      </c>
      <c r="Z985" s="47" t="e">
        <f ca="1">_xlfn.XLOOKUP(PAA_4[[#This Row],[ITEM]],[2]Contrato!A:A,[2]Contrato!G:G,"",0)</f>
        <v>#NAME?</v>
      </c>
      <c r="AA985" s="47" t="e">
        <f ca="1">_xlfn.XLOOKUP(PAA_4[[#This Row],[ITEM]],[2]Contrato!A:A,[2]Contrato!T:T,"",0)</f>
        <v>#NAME?</v>
      </c>
      <c r="AB985" s="55" t="e">
        <f ca="1">+MAX(PAA_4[[#This Row],[Comprometido Contrato]],PAA_4[[#This Row],[Comprometido Bolsa]])</f>
        <v>#NAME?</v>
      </c>
      <c r="AC985" s="55" t="str">
        <f t="shared" ca="1" si="321"/>
        <v/>
      </c>
      <c r="AD985" s="55" t="e">
        <f ca="1">IF(PAA_4[[#This Row],[ESTADO (formulado)]]="NO CONTRATADO",0,MAX(PAA_4[[#This Row],[Pago por Contrato]],PAA_4[[#This Row],[Pago por bolsa]]))</f>
        <v>#NAME?</v>
      </c>
      <c r="AE985" s="55" t="str">
        <f t="shared" ca="1" si="322"/>
        <v/>
      </c>
      <c r="AF985" s="47" t="e">
        <f t="shared" ca="1" si="323"/>
        <v>#NAME?</v>
      </c>
      <c r="AG985" s="47">
        <f t="shared" si="324"/>
        <v>43010901</v>
      </c>
      <c r="AH985" s="54">
        <f>IF(Q985="22",IF(ISNUMBER(SEARCH("econ",PAA_4[[#This Row],[Actividad3]])),"Económico",IF(ISNUMBER(SEARCH("alim",PAA_4[[#This Row],[Actividad3]])),"Alimentación",IF(ISNUMBER(SEARCH("educ",PAA_4[[#This Row],[Actividad3]])),"Educativo","Técnico"))),0)</f>
        <v>0</v>
      </c>
      <c r="AI985" s="47" t="e" cm="1">
        <f t="array" aca="1" ref="AI985" ca="1">_xlfn.XLOOKUP(PAA_4[[#This Row],[RCP-RUBRO]],[2]!COMPROMISOS_2024[[#All],[concatenado]],[2]!COMPROMISOS_2024[[#All],[Total pagado]],"",0)</f>
        <v>#NAME?</v>
      </c>
      <c r="AJ985" s="56">
        <f>IF(PAA_4[[#This Row],[BOLSA]]=0,0,SUMIFS([2]!COMPROMISOS_2024[[#All],[Total pagado]],[2]!COMPROMISOS_2024[[#All],[Bolsa]],PAA_4[[#This Row],[BOLSA]],[2]!COMPROMISOS_2024[[#All],[rubro]],PAA_4[[#This Row],[RCP-RUBRO]]))</f>
        <v>0</v>
      </c>
      <c r="AK985" s="47" t="e" cm="1">
        <f t="array" aca="1" ref="AK985" ca="1">_xlfn.XLOOKUP(PAA_4[[#This Row],[RCP-RUBRO]],[2]!COMPROMISOS_2024[[#All],[concatenado]],[2]!COMPROMISOS_2024[[#All],[Total Comprometido]],"",0)</f>
        <v>#NAME?</v>
      </c>
      <c r="AL985" s="47">
        <f>IF(PAA_4[[#This Row],[BOLSA]]=0,0,SUMIFS([2]!COMPROMISOS_2024[[#All],[Total Comprometido]],[2]!COMPROMISOS_2024[[#All],[Bolsa]],PAA_4[[#This Row],[BOLSA]],[2]!COMPROMISOS_2024[[#All],[concatenado]],PAA_4[[#This Row],[RCP-RUBRO]]))</f>
        <v>0</v>
      </c>
    </row>
    <row r="986" spans="1:38" s="19" customFormat="1" ht="31.5" customHeight="1">
      <c r="A986" s="47" t="s">
        <v>82</v>
      </c>
      <c r="B986" s="47" t="s">
        <v>42</v>
      </c>
      <c r="C986" s="47" t="str">
        <f>VLOOKUP(PAA_4[[#This Row],[PROYECTO (formulado)2]],[2]PROYECTOS!$G$1:$L$32,6,0)</f>
        <v>SUBGERENCIA ESCENARIOS DEPORTIVOS Y EQUIPAMIENTOS</v>
      </c>
      <c r="D986" s="47" t="str">
        <f>+IF(PAA_4[[#This Row],[UNIDAD DE CONTRATACION (formulado)]]="Subgerencia Administrativa y Financiera","FUNCIONAMIENTO","INVERSIÓN")</f>
        <v>INVERSIÓN</v>
      </c>
      <c r="E986" s="48" t="str">
        <f>VLOOKUP(Q986,[2]PROYECTOS!$G$1:$K$32,5,0)</f>
        <v>MEJORAMIENTO_DE_LA_INFRAESTRUCTURA_DEPORTIVA_Y_RECREATIVA_EN_EL_DEPARTAMENTO_DE_ANTIOQUIA</v>
      </c>
      <c r="F986" s="48">
        <f>VLOOKUP(E986,[2]PROYECTOS!$K$1:$M$32,3,0)</f>
        <v>2020003050027</v>
      </c>
      <c r="G986" s="49" t="s">
        <v>286</v>
      </c>
      <c r="H986" s="49" t="str">
        <f>VLOOKUP(Q986,[2]PROYECTOS!$V$1:$W$32,2,0)</f>
        <v>050058</v>
      </c>
      <c r="I986" s="50">
        <v>616880</v>
      </c>
      <c r="J986" s="51" t="s">
        <v>1809</v>
      </c>
      <c r="K986" s="47" t="str">
        <f ca="1">IF(ISNONTEXT(Y986)=TRUE,"CONTRATADO","NO CONTRATADO")</f>
        <v>CONTRATADO</v>
      </c>
      <c r="L986" s="47" t="s">
        <v>42</v>
      </c>
      <c r="M986" s="47" t="s">
        <v>42</v>
      </c>
      <c r="N986" s="52" t="s">
        <v>292</v>
      </c>
      <c r="O986" s="51" t="e">
        <f>VLOOKUP(N986,[2]!RUBROS[#All],3,0)</f>
        <v>#REF!</v>
      </c>
      <c r="P986" s="53" t="e">
        <f>VLOOKUP(N986,[2]!RUBROS[#All],2,0)</f>
        <v>#REF!</v>
      </c>
      <c r="Q986" s="47" t="str">
        <f>+MID(N986,11,2)</f>
        <v>64</v>
      </c>
      <c r="R986" s="47" t="str">
        <f>+MID(N986,14,8)</f>
        <v>0-205128</v>
      </c>
      <c r="S986" s="54" t="s">
        <v>42</v>
      </c>
      <c r="T986" s="59" t="s">
        <v>42</v>
      </c>
      <c r="U986" s="326" t="e">
        <f ca="1">_xlfn.XLOOKUP(PAA_4[[#This Row],[ITEM]],[2]Contrato!A:A,[2]Contrato!Q:Q,"",0)</f>
        <v>#NAME?</v>
      </c>
      <c r="V986" s="47" t="s">
        <v>42</v>
      </c>
      <c r="W986" s="47" t="s">
        <v>42</v>
      </c>
      <c r="X986" s="47" t="s">
        <v>42</v>
      </c>
      <c r="Y986" s="55" t="e">
        <f ca="1">_xlfn.XLOOKUP(PAA_4[[#This Row],[ITEM]],[2]Contrato!A:A,[2]Contrato!B:B,"",0)</f>
        <v>#NAME?</v>
      </c>
      <c r="Z986" s="47" t="e">
        <f ca="1">_xlfn.XLOOKUP(PAA_4[[#This Row],[ITEM]],[2]Contrato!A:A,[2]Contrato!G:G,"",0)</f>
        <v>#NAME?</v>
      </c>
      <c r="AA986" s="47" t="e">
        <f ca="1">_xlfn.XLOOKUP(PAA_4[[#This Row],[ITEM]],[2]Contrato!A:A,[2]Contrato!T:T,"",0)</f>
        <v>#NAME?</v>
      </c>
      <c r="AB986" s="55" t="e">
        <f ca="1">+MAX(PAA_4[[#This Row],[Comprometido Contrato]],PAA_4[[#This Row],[Comprometido Bolsa]])</f>
        <v>#NAME?</v>
      </c>
      <c r="AC986" s="55" t="str">
        <f ca="1">IFERROR(I986-AB986,"")</f>
        <v/>
      </c>
      <c r="AD986" s="55" t="e">
        <f ca="1">IF(PAA_4[[#This Row],[ESTADO (formulado)]]="NO CONTRATADO",0,MAX(PAA_4[[#This Row],[Pago por Contrato]],PAA_4[[#This Row],[Pago por bolsa]]))</f>
        <v>#NAME?</v>
      </c>
      <c r="AE986" s="55" t="str">
        <f ca="1">+IFERROR(AB986-AD986,"")</f>
        <v/>
      </c>
      <c r="AF986" s="47" t="e">
        <f ca="1">+CONCATENATE(AA986,N986)</f>
        <v>#NAME?</v>
      </c>
      <c r="AG986" s="47">
        <f>IFERROR(_xlfn.NUMBERVALUE(MID(G986,1,8)),"")</f>
        <v>43010901</v>
      </c>
      <c r="AH986" s="54">
        <f>IF(Q986="22",IF(ISNUMBER(SEARCH("econ",PAA_4[[#This Row],[Actividad3]])),"Económico",IF(ISNUMBER(SEARCH("alim",PAA_4[[#This Row],[Actividad3]])),"Alimentación",IF(ISNUMBER(SEARCH("educ",PAA_4[[#This Row],[Actividad3]])),"Educativo","Técnico"))),0)</f>
        <v>0</v>
      </c>
      <c r="AI986" s="47" t="e" cm="1">
        <f t="array" aca="1" ref="AI986" ca="1">_xlfn.XLOOKUP(PAA_4[[#This Row],[RCP-RUBRO]],[2]!COMPROMISOS_2024[[#All],[concatenado]],[2]!COMPROMISOS_2024[[#All],[Total pagado]],"",0)</f>
        <v>#NAME?</v>
      </c>
      <c r="AJ986" s="56">
        <f>IF(PAA_4[[#This Row],[BOLSA]]=0,0,SUMIFS([2]!COMPROMISOS_2024[[#All],[Total pagado]],[2]!COMPROMISOS_2024[[#All],[Bolsa]],PAA_4[[#This Row],[BOLSA]],[2]!COMPROMISOS_2024[[#All],[rubro]],PAA_4[[#This Row],[RCP-RUBRO]]))</f>
        <v>0</v>
      </c>
      <c r="AK986" s="47" t="e" cm="1">
        <f t="array" aca="1" ref="AK986" ca="1">_xlfn.XLOOKUP(PAA_4[[#This Row],[RCP-RUBRO]],[2]!COMPROMISOS_2024[[#All],[concatenado]],[2]!COMPROMISOS_2024[[#All],[Total Comprometido]],"",0)</f>
        <v>#NAME?</v>
      </c>
      <c r="AL986" s="47">
        <f>IF(PAA_4[[#This Row],[BOLSA]]=0,0,SUMIFS([2]!COMPROMISOS_2024[[#All],[Total Comprometido]],[2]!COMPROMISOS_2024[[#All],[Bolsa]],PAA_4[[#This Row],[BOLSA]],[2]!COMPROMISOS_2024[[#All],[concatenado]],PAA_4[[#This Row],[RCP-RUBRO]]))</f>
        <v>0</v>
      </c>
    </row>
    <row r="987" spans="1:38" s="19" customFormat="1" ht="31.5" customHeight="1">
      <c r="A987" s="47" t="s">
        <v>1810</v>
      </c>
      <c r="B987" s="47">
        <v>81101500</v>
      </c>
      <c r="C987" s="47" t="str">
        <f>VLOOKUP(PAA_4[[#This Row],[PROYECTO (formulado)2]],[2]PROYECTOS!$G$1:$L$32,6,0)</f>
        <v>SUBGERENCIA ESCENARIOS DEPORTIVOS Y EQUIPAMIENTOS</v>
      </c>
      <c r="D987" s="47" t="str">
        <f>+IF(PAA_4[[#This Row],[UNIDAD DE CONTRATACION (formulado)]]="Subgerencia Administrativa y Financiera","FUNCIONAMIENTO","INVERSIÓN")</f>
        <v>INVERSIÓN</v>
      </c>
      <c r="E987" s="48" t="str">
        <f>VLOOKUP(Q987,[2]PROYECTOS!$G$1:$K$32,5,0)</f>
        <v>MEJORAMIENTO_DE_LA_INFRAESTRUCTURA_DEPORTIVA_Y_RECREATIVA_EN_EL_DEPARTAMENTO_DE_ANTIOQUIA</v>
      </c>
      <c r="F987" s="48">
        <f>VLOOKUP(E987,[2]PROYECTOS!$K$1:$M$32,3,0)</f>
        <v>2020003050027</v>
      </c>
      <c r="G987" s="49" t="s">
        <v>286</v>
      </c>
      <c r="H987" s="49" t="str">
        <f>VLOOKUP(Q987,[2]PROYECTOS!$V$1:$W$32,2,0)</f>
        <v>050058</v>
      </c>
      <c r="I987" s="50">
        <f>4000000-616880</f>
        <v>3383120</v>
      </c>
      <c r="J987" s="51" t="s">
        <v>1808</v>
      </c>
      <c r="K987" s="47" t="str">
        <f t="shared" ref="K987:K990" ca="1" si="325">IF(ISNONTEXT(Y987)=TRUE,"CONTRATADO","NO CONTRATADO")</f>
        <v>CONTRATADO</v>
      </c>
      <c r="L987" s="47" t="s">
        <v>94</v>
      </c>
      <c r="M987" s="47" t="s">
        <v>255</v>
      </c>
      <c r="N987" s="52" t="s">
        <v>292</v>
      </c>
      <c r="O987" s="51" t="e">
        <f>VLOOKUP(N987,[2]!RUBROS[#All],3,0)</f>
        <v>#REF!</v>
      </c>
      <c r="P987" s="53" t="e">
        <f>VLOOKUP(N987,[2]!RUBROS[#All],2,0)</f>
        <v>#REF!</v>
      </c>
      <c r="Q987" s="47" t="str">
        <f t="shared" ref="Q987:Q990" si="326">+MID(N987,11,2)</f>
        <v>64</v>
      </c>
      <c r="R987" s="47" t="str">
        <f t="shared" ref="R987:R990" si="327">+MID(N987,14,8)</f>
        <v>0-205128</v>
      </c>
      <c r="S987" s="54">
        <v>3</v>
      </c>
      <c r="T987" s="59" t="s">
        <v>46</v>
      </c>
      <c r="U987" s="326" t="e">
        <f ca="1">_xlfn.XLOOKUP(PAA_4[[#This Row],[ITEM]],[2]Contrato!A:A,[2]Contrato!Q:Q,"",0)</f>
        <v>#NAME?</v>
      </c>
      <c r="V987" s="47" t="s">
        <v>95</v>
      </c>
      <c r="W987" s="47" t="s">
        <v>204</v>
      </c>
      <c r="X987" s="47" t="s">
        <v>204</v>
      </c>
      <c r="Y987" s="55" t="e">
        <f ca="1">_xlfn.XLOOKUP(PAA_4[[#This Row],[ITEM]],[2]Contrato!A:A,[2]Contrato!B:B,"",0)</f>
        <v>#NAME?</v>
      </c>
      <c r="Z987" s="47" t="e">
        <f ca="1">_xlfn.XLOOKUP(PAA_4[[#This Row],[ITEM]],[2]Contrato!A:A,[2]Contrato!G:G,"",0)</f>
        <v>#NAME?</v>
      </c>
      <c r="AA987" s="47" t="e">
        <f ca="1">_xlfn.XLOOKUP(PAA_4[[#This Row],[ITEM]],[2]Contrato!A:A,[2]Contrato!T:T,"",0)</f>
        <v>#NAME?</v>
      </c>
      <c r="AB987" s="55" t="e">
        <f ca="1">+MAX(PAA_4[[#This Row],[Comprometido Contrato]],PAA_4[[#This Row],[Comprometido Bolsa]])</f>
        <v>#NAME?</v>
      </c>
      <c r="AC987" s="55" t="str">
        <f t="shared" ref="AC987:AC990" ca="1" si="328">IFERROR(I987-AB987,"")</f>
        <v/>
      </c>
      <c r="AD987" s="55" t="e">
        <f ca="1">IF(PAA_4[[#This Row],[ESTADO (formulado)]]="NO CONTRATADO",0,MAX(PAA_4[[#This Row],[Pago por Contrato]],PAA_4[[#This Row],[Pago por bolsa]]))</f>
        <v>#NAME?</v>
      </c>
      <c r="AE987" s="55" t="str">
        <f t="shared" ref="AE987:AE990" ca="1" si="329">+IFERROR(AB987-AD987,"")</f>
        <v/>
      </c>
      <c r="AF987" s="47" t="e">
        <f t="shared" ref="AF987:AF990" ca="1" si="330">+CONCATENATE(AA987,N987)</f>
        <v>#NAME?</v>
      </c>
      <c r="AG987" s="47">
        <f t="shared" ref="AG987:AG990" si="331">IFERROR(_xlfn.NUMBERVALUE(MID(G987,1,8)),"")</f>
        <v>43010901</v>
      </c>
      <c r="AH987" s="54">
        <f>IF(Q987="22",IF(ISNUMBER(SEARCH("econ",PAA_4[[#This Row],[Actividad3]])),"Económico",IF(ISNUMBER(SEARCH("alim",PAA_4[[#This Row],[Actividad3]])),"Alimentación",IF(ISNUMBER(SEARCH("educ",PAA_4[[#This Row],[Actividad3]])),"Educativo","Técnico"))),0)</f>
        <v>0</v>
      </c>
      <c r="AI987" s="47" t="e" cm="1">
        <f t="array" aca="1" ref="AI987" ca="1">_xlfn.XLOOKUP(PAA_4[[#This Row],[RCP-RUBRO]],[2]!COMPROMISOS_2024[[#All],[concatenado]],[2]!COMPROMISOS_2024[[#All],[Total pagado]],"",0)</f>
        <v>#NAME?</v>
      </c>
      <c r="AJ987" s="56">
        <f>IF(PAA_4[[#This Row],[BOLSA]]=0,0,SUMIFS([2]!COMPROMISOS_2024[[#All],[Total pagado]],[2]!COMPROMISOS_2024[[#All],[Bolsa]],PAA_4[[#This Row],[BOLSA]],[2]!COMPROMISOS_2024[[#All],[rubro]],PAA_4[[#This Row],[RCP-RUBRO]]))</f>
        <v>0</v>
      </c>
      <c r="AK987" s="47" t="e" cm="1">
        <f t="array" aca="1" ref="AK987" ca="1">_xlfn.XLOOKUP(PAA_4[[#This Row],[RCP-RUBRO]],[2]!COMPROMISOS_2024[[#All],[concatenado]],[2]!COMPROMISOS_2024[[#All],[Total Comprometido]],"",0)</f>
        <v>#NAME?</v>
      </c>
      <c r="AL987" s="47">
        <f>IF(PAA_4[[#This Row],[BOLSA]]=0,0,SUMIFS([2]!COMPROMISOS_2024[[#All],[Total Comprometido]],[2]!COMPROMISOS_2024[[#All],[Bolsa]],PAA_4[[#This Row],[BOLSA]],[2]!COMPROMISOS_2024[[#All],[concatenado]],PAA_4[[#This Row],[RCP-RUBRO]]))</f>
        <v>0</v>
      </c>
    </row>
    <row r="988" spans="1:38" s="19" customFormat="1" ht="31.5" customHeight="1">
      <c r="A988" s="47">
        <v>335</v>
      </c>
      <c r="B988" s="47" t="s">
        <v>42</v>
      </c>
      <c r="C988" s="47" t="str">
        <f>VLOOKUP(PAA_4[[#This Row],[PROYECTO (formulado)2]],[2]PROYECTOS!$G$1:$L$32,6,0)</f>
        <v>SUBGERENCIA ESCENARIOS DEPORTIVOS Y EQUIPAMIENTOS</v>
      </c>
      <c r="D988" s="47" t="str">
        <f>+IF(PAA_4[[#This Row],[UNIDAD DE CONTRATACION (formulado)]]="Subgerencia Administrativa y Financiera","FUNCIONAMIENTO","INVERSIÓN")</f>
        <v>INVERSIÓN</v>
      </c>
      <c r="E988" s="48" t="str">
        <f>VLOOKUP(Q988,[2]PROYECTOS!$G$1:$K$32,5,0)</f>
        <v>MEJORAMIENTO_DE_LA_INFRAESTRUCTURA_DEPORTIVA_Y_RECREATIVA_EN_EL_DEPARTAMENTO_DE_ANTIOQUIA</v>
      </c>
      <c r="F988" s="48">
        <f>VLOOKUP(E988,[2]PROYECTOS!$K$1:$M$32,3,0)</f>
        <v>2020003050027</v>
      </c>
      <c r="G988" s="49" t="s">
        <v>288</v>
      </c>
      <c r="H988" s="49" t="str">
        <f>VLOOKUP(Q988,[2]PROYECTOS!$V$1:$W$32,2,0)</f>
        <v>050058</v>
      </c>
      <c r="I988" s="50">
        <v>0</v>
      </c>
      <c r="J988" s="51" t="s">
        <v>42</v>
      </c>
      <c r="K988" s="47" t="str">
        <f t="shared" ca="1" si="325"/>
        <v>CONTRATADO</v>
      </c>
      <c r="L988" s="47" t="s">
        <v>42</v>
      </c>
      <c r="M988" s="47" t="s">
        <v>42</v>
      </c>
      <c r="N988" s="52" t="s">
        <v>287</v>
      </c>
      <c r="O988" s="51" t="e">
        <f>VLOOKUP(N988,[2]!RUBROS[#All],3,0)</f>
        <v>#REF!</v>
      </c>
      <c r="P988" s="53" t="e">
        <f>VLOOKUP(N988,[2]!RUBROS[#All],2,0)</f>
        <v>#REF!</v>
      </c>
      <c r="Q988" s="47" t="str">
        <f t="shared" si="326"/>
        <v>64</v>
      </c>
      <c r="R988" s="47" t="str">
        <f t="shared" si="327"/>
        <v>0-101024</v>
      </c>
      <c r="S988" s="54" t="s">
        <v>42</v>
      </c>
      <c r="T988" s="59" t="s">
        <v>42</v>
      </c>
      <c r="U988" s="326" t="e">
        <f ca="1">_xlfn.XLOOKUP(PAA_4[[#This Row],[ITEM]],[2]Contrato!A:A,[2]Contrato!Q:Q,"",0)</f>
        <v>#NAME?</v>
      </c>
      <c r="V988" s="47" t="s">
        <v>95</v>
      </c>
      <c r="W988" s="47" t="s">
        <v>42</v>
      </c>
      <c r="X988" s="47" t="s">
        <v>42</v>
      </c>
      <c r="Y988" s="55" t="e">
        <f ca="1">_xlfn.XLOOKUP(PAA_4[[#This Row],[ITEM]],[2]Contrato!A:A,[2]Contrato!B:B,"",0)</f>
        <v>#NAME?</v>
      </c>
      <c r="Z988" s="47" t="e">
        <f ca="1">_xlfn.XLOOKUP(PAA_4[[#This Row],[ITEM]],[2]Contrato!A:A,[2]Contrato!G:G,"",0)</f>
        <v>#NAME?</v>
      </c>
      <c r="AA988" s="47" t="e">
        <f ca="1">_xlfn.XLOOKUP(PAA_4[[#This Row],[ITEM]],[2]Contrato!A:A,[2]Contrato!T:T,"",0)</f>
        <v>#NAME?</v>
      </c>
      <c r="AB988" s="55" t="e">
        <f ca="1">+MAX(PAA_4[[#This Row],[Comprometido Contrato]],PAA_4[[#This Row],[Comprometido Bolsa]])</f>
        <v>#NAME?</v>
      </c>
      <c r="AC988" s="55" t="str">
        <f t="shared" ca="1" si="328"/>
        <v/>
      </c>
      <c r="AD988" s="55" t="e">
        <f ca="1">IF(PAA_4[[#This Row],[ESTADO (formulado)]]="NO CONTRATADO",0,MAX(PAA_4[[#This Row],[Pago por Contrato]],PAA_4[[#This Row],[Pago por bolsa]]))</f>
        <v>#NAME?</v>
      </c>
      <c r="AE988" s="55" t="str">
        <f t="shared" ca="1" si="329"/>
        <v/>
      </c>
      <c r="AF988" s="47" t="e">
        <f t="shared" ca="1" si="330"/>
        <v>#NAME?</v>
      </c>
      <c r="AG988" s="47">
        <f t="shared" si="331"/>
        <v>43010901</v>
      </c>
      <c r="AH988" s="54">
        <f>IF(Q988="22",IF(ISNUMBER(SEARCH("econ",PAA_4[[#This Row],[Actividad3]])),"Económico",IF(ISNUMBER(SEARCH("alim",PAA_4[[#This Row],[Actividad3]])),"Alimentación",IF(ISNUMBER(SEARCH("educ",PAA_4[[#This Row],[Actividad3]])),"Educativo","Técnico"))),0)</f>
        <v>0</v>
      </c>
      <c r="AI988" s="47" t="e" cm="1">
        <f t="array" aca="1" ref="AI988" ca="1">_xlfn.XLOOKUP(PAA_4[[#This Row],[RCP-RUBRO]],[2]!COMPROMISOS_2024[[#All],[concatenado]],[2]!COMPROMISOS_2024[[#All],[Total pagado]],"",0)</f>
        <v>#NAME?</v>
      </c>
      <c r="AJ988" s="56">
        <f>IF(PAA_4[[#This Row],[BOLSA]]=0,0,SUMIFS([2]!COMPROMISOS_2024[[#All],[Total pagado]],[2]!COMPROMISOS_2024[[#All],[Bolsa]],PAA_4[[#This Row],[BOLSA]],[2]!COMPROMISOS_2024[[#All],[rubro]],PAA_4[[#This Row],[RCP-RUBRO]]))</f>
        <v>0</v>
      </c>
      <c r="AK988" s="47" t="e" cm="1">
        <f t="array" aca="1" ref="AK988" ca="1">_xlfn.XLOOKUP(PAA_4[[#This Row],[RCP-RUBRO]],[2]!COMPROMISOS_2024[[#All],[concatenado]],[2]!COMPROMISOS_2024[[#All],[Total Comprometido]],"",0)</f>
        <v>#NAME?</v>
      </c>
      <c r="AL988" s="47">
        <f>IF(PAA_4[[#This Row],[BOLSA]]=0,0,SUMIFS([2]!COMPROMISOS_2024[[#All],[Total Comprometido]],[2]!COMPROMISOS_2024[[#All],[Bolsa]],PAA_4[[#This Row],[BOLSA]],[2]!COMPROMISOS_2024[[#All],[concatenado]],PAA_4[[#This Row],[RCP-RUBRO]]))</f>
        <v>0</v>
      </c>
    </row>
    <row r="989" spans="1:38" s="19" customFormat="1" ht="31.5" customHeight="1">
      <c r="A989" s="47">
        <v>336</v>
      </c>
      <c r="B989" s="47">
        <v>80111600</v>
      </c>
      <c r="C989" s="47" t="str">
        <f>VLOOKUP(PAA_4[[#This Row],[PROYECTO (formulado)2]],[2]PROYECTOS!$G$1:$L$32,6,0)</f>
        <v>SUBGERENCIA ESCENARIOS DEPORTIVOS Y EQUIPAMIENTOS</v>
      </c>
      <c r="D989" s="47" t="str">
        <f>+IF(PAA_4[[#This Row],[UNIDAD DE CONTRATACION (formulado)]]="Subgerencia Administrativa y Financiera","FUNCIONAMIENTO","INVERSIÓN")</f>
        <v>INVERSIÓN</v>
      </c>
      <c r="E989" s="48" t="str">
        <f>VLOOKUP(Q989,[2]PROYECTOS!$G$1:$K$32,5,0)</f>
        <v>MEJORAMIENTO_DE_LA_INFRAESTRUCTURA_DEPORTIVA_Y_RECREATIVA_EN_EL_DEPARTAMENTO_DE_ANTIOQUIA</v>
      </c>
      <c r="F989" s="48">
        <f>VLOOKUP(E989,[2]PROYECTOS!$K$1:$M$32,3,0)</f>
        <v>2020003050027</v>
      </c>
      <c r="G989" s="49" t="s">
        <v>288</v>
      </c>
      <c r="H989" s="49" t="str">
        <f>VLOOKUP(Q989,[2]PROYECTOS!$V$1:$W$32,2,0)</f>
        <v>050058</v>
      </c>
      <c r="I989" s="50">
        <v>0</v>
      </c>
      <c r="J989" s="51" t="s">
        <v>1811</v>
      </c>
      <c r="K989" s="47" t="str">
        <f t="shared" ca="1" si="325"/>
        <v>CONTRATADO</v>
      </c>
      <c r="L989" s="47" t="s">
        <v>94</v>
      </c>
      <c r="M989" s="47" t="s">
        <v>1297</v>
      </c>
      <c r="N989" s="52" t="s">
        <v>287</v>
      </c>
      <c r="O989" s="51" t="e">
        <f>VLOOKUP(N989,[2]!RUBROS[#All],3,0)</f>
        <v>#REF!</v>
      </c>
      <c r="P989" s="53" t="e">
        <f>VLOOKUP(N989,[2]!RUBROS[#All],2,0)</f>
        <v>#REF!</v>
      </c>
      <c r="Q989" s="47" t="str">
        <f t="shared" si="326"/>
        <v>64</v>
      </c>
      <c r="R989" s="47" t="str">
        <f t="shared" si="327"/>
        <v>0-101024</v>
      </c>
      <c r="S989" s="54">
        <v>12</v>
      </c>
      <c r="T989" s="59" t="s">
        <v>46</v>
      </c>
      <c r="U989" s="326" t="e">
        <f ca="1">_xlfn.XLOOKUP(PAA_4[[#This Row],[ITEM]],[2]Contrato!A:A,[2]Contrato!Q:Q,"",0)</f>
        <v>#NAME?</v>
      </c>
      <c r="V989" s="47" t="s">
        <v>47</v>
      </c>
      <c r="W989" s="47" t="s">
        <v>83</v>
      </c>
      <c r="X989" s="47" t="s">
        <v>48</v>
      </c>
      <c r="Y989" s="55" t="e">
        <f ca="1">_xlfn.XLOOKUP(PAA_4[[#This Row],[ITEM]],[2]Contrato!A:A,[2]Contrato!B:B,"",0)</f>
        <v>#NAME?</v>
      </c>
      <c r="Z989" s="47" t="e">
        <f ca="1">_xlfn.XLOOKUP(PAA_4[[#This Row],[ITEM]],[2]Contrato!A:A,[2]Contrato!G:G,"",0)</f>
        <v>#NAME?</v>
      </c>
      <c r="AA989" s="47" t="e">
        <f ca="1">_xlfn.XLOOKUP(PAA_4[[#This Row],[ITEM]],[2]Contrato!A:A,[2]Contrato!T:T,"",0)</f>
        <v>#NAME?</v>
      </c>
      <c r="AB989" s="55" t="e">
        <f ca="1">+MAX(PAA_4[[#This Row],[Comprometido Contrato]],PAA_4[[#This Row],[Comprometido Bolsa]])</f>
        <v>#NAME?</v>
      </c>
      <c r="AC989" s="55" t="str">
        <f t="shared" ca="1" si="328"/>
        <v/>
      </c>
      <c r="AD989" s="55" t="e">
        <f ca="1">IF(PAA_4[[#This Row],[ESTADO (formulado)]]="NO CONTRATADO",0,MAX(PAA_4[[#This Row],[Pago por Contrato]],PAA_4[[#This Row],[Pago por bolsa]]))</f>
        <v>#NAME?</v>
      </c>
      <c r="AE989" s="55" t="str">
        <f t="shared" ca="1" si="329"/>
        <v/>
      </c>
      <c r="AF989" s="47" t="e">
        <f t="shared" ca="1" si="330"/>
        <v>#NAME?</v>
      </c>
      <c r="AG989" s="47">
        <f t="shared" si="331"/>
        <v>43010901</v>
      </c>
      <c r="AH989" s="54">
        <f>IF(Q989="22",IF(ISNUMBER(SEARCH("econ",PAA_4[[#This Row],[Actividad3]])),"Económico",IF(ISNUMBER(SEARCH("alim",PAA_4[[#This Row],[Actividad3]])),"Alimentación",IF(ISNUMBER(SEARCH("educ",PAA_4[[#This Row],[Actividad3]])),"Educativo","Técnico"))),0)</f>
        <v>0</v>
      </c>
      <c r="AI989" s="47" t="e" cm="1">
        <f t="array" aca="1" ref="AI989" ca="1">_xlfn.XLOOKUP(PAA_4[[#This Row],[RCP-RUBRO]],[2]!COMPROMISOS_2024[[#All],[concatenado]],[2]!COMPROMISOS_2024[[#All],[Total pagado]],"",0)</f>
        <v>#NAME?</v>
      </c>
      <c r="AJ989" s="56">
        <f>IF(PAA_4[[#This Row],[BOLSA]]=0,0,SUMIFS([2]!COMPROMISOS_2024[[#All],[Total pagado]],[2]!COMPROMISOS_2024[[#All],[Bolsa]],PAA_4[[#This Row],[BOLSA]],[2]!COMPROMISOS_2024[[#All],[rubro]],PAA_4[[#This Row],[RCP-RUBRO]]))</f>
        <v>0</v>
      </c>
      <c r="AK989" s="47" t="e" cm="1">
        <f t="array" aca="1" ref="AK989" ca="1">_xlfn.XLOOKUP(PAA_4[[#This Row],[RCP-RUBRO]],[2]!COMPROMISOS_2024[[#All],[concatenado]],[2]!COMPROMISOS_2024[[#All],[Total Comprometido]],"",0)</f>
        <v>#NAME?</v>
      </c>
      <c r="AL989" s="47">
        <f>IF(PAA_4[[#This Row],[BOLSA]]=0,0,SUMIFS([2]!COMPROMISOS_2024[[#All],[Total Comprometido]],[2]!COMPROMISOS_2024[[#All],[Bolsa]],PAA_4[[#This Row],[BOLSA]],[2]!COMPROMISOS_2024[[#All],[concatenado]],PAA_4[[#This Row],[RCP-RUBRO]]))</f>
        <v>0</v>
      </c>
    </row>
    <row r="990" spans="1:38" s="19" customFormat="1" ht="31.5" customHeight="1">
      <c r="A990" s="47">
        <v>337</v>
      </c>
      <c r="B990" s="47">
        <v>80111600</v>
      </c>
      <c r="C990" s="47" t="str">
        <f>VLOOKUP(PAA_4[[#This Row],[PROYECTO (formulado)2]],[2]PROYECTOS!$G$1:$L$32,6,0)</f>
        <v>SUBGERENCIA ESCENARIOS DEPORTIVOS Y EQUIPAMIENTOS</v>
      </c>
      <c r="D990" s="47" t="str">
        <f>+IF(PAA_4[[#This Row],[UNIDAD DE CONTRATACION (formulado)]]="Subgerencia Administrativa y Financiera","FUNCIONAMIENTO","INVERSIÓN")</f>
        <v>INVERSIÓN</v>
      </c>
      <c r="E990" s="48" t="str">
        <f>VLOOKUP(Q990,[2]PROYECTOS!$G$1:$K$32,5,0)</f>
        <v>MEJORAMIENTO_DE_LA_INFRAESTRUCTURA_DEPORTIVA_Y_RECREATIVA_EN_EL_DEPARTAMENTO_DE_ANTIOQUIA</v>
      </c>
      <c r="F990" s="48">
        <f>VLOOKUP(E990,[2]PROYECTOS!$K$1:$M$32,3,0)</f>
        <v>2020003050027</v>
      </c>
      <c r="G990" s="49" t="s">
        <v>288</v>
      </c>
      <c r="H990" s="49" t="str">
        <f>VLOOKUP(Q990,[2]PROYECTOS!$V$1:$W$32,2,0)</f>
        <v>050058</v>
      </c>
      <c r="I990" s="50">
        <v>0</v>
      </c>
      <c r="J990" s="51" t="s">
        <v>1812</v>
      </c>
      <c r="K990" s="47" t="str">
        <f t="shared" ca="1" si="325"/>
        <v>CONTRATADO</v>
      </c>
      <c r="L990" s="47" t="s">
        <v>94</v>
      </c>
      <c r="M990" s="47" t="s">
        <v>1297</v>
      </c>
      <c r="N990" s="52" t="s">
        <v>287</v>
      </c>
      <c r="O990" s="51" t="e">
        <f>VLOOKUP(N990,[2]!RUBROS[#All],3,0)</f>
        <v>#REF!</v>
      </c>
      <c r="P990" s="53" t="e">
        <f>VLOOKUP(N990,[2]!RUBROS[#All],2,0)</f>
        <v>#REF!</v>
      </c>
      <c r="Q990" s="47" t="str">
        <f t="shared" si="326"/>
        <v>64</v>
      </c>
      <c r="R990" s="47" t="str">
        <f t="shared" si="327"/>
        <v>0-101024</v>
      </c>
      <c r="S990" s="54">
        <v>12</v>
      </c>
      <c r="T990" s="59" t="s">
        <v>46</v>
      </c>
      <c r="U990" s="326" t="e">
        <f ca="1">_xlfn.XLOOKUP(PAA_4[[#This Row],[ITEM]],[2]Contrato!A:A,[2]Contrato!Q:Q,"",0)</f>
        <v>#NAME?</v>
      </c>
      <c r="V990" s="47" t="s">
        <v>47</v>
      </c>
      <c r="W990" s="47" t="s">
        <v>83</v>
      </c>
      <c r="X990" s="47" t="s">
        <v>48</v>
      </c>
      <c r="Y990" s="55" t="e">
        <f ca="1">_xlfn.XLOOKUP(PAA_4[[#This Row],[ITEM]],[2]Contrato!A:A,[2]Contrato!B:B,"",0)</f>
        <v>#NAME?</v>
      </c>
      <c r="Z990" s="47" t="e">
        <f ca="1">_xlfn.XLOOKUP(PAA_4[[#This Row],[ITEM]],[2]Contrato!A:A,[2]Contrato!G:G,"",0)</f>
        <v>#NAME?</v>
      </c>
      <c r="AA990" s="47" t="e">
        <f ca="1">_xlfn.XLOOKUP(PAA_4[[#This Row],[ITEM]],[2]Contrato!A:A,[2]Contrato!T:T,"",0)</f>
        <v>#NAME?</v>
      </c>
      <c r="AB990" s="55" t="e">
        <f ca="1">+MAX(PAA_4[[#This Row],[Comprometido Contrato]],PAA_4[[#This Row],[Comprometido Bolsa]])</f>
        <v>#NAME?</v>
      </c>
      <c r="AC990" s="55" t="str">
        <f t="shared" ca="1" si="328"/>
        <v/>
      </c>
      <c r="AD990" s="55" t="e">
        <f ca="1">IF(PAA_4[[#This Row],[ESTADO (formulado)]]="NO CONTRATADO",0,MAX(PAA_4[[#This Row],[Pago por Contrato]],PAA_4[[#This Row],[Pago por bolsa]]))</f>
        <v>#NAME?</v>
      </c>
      <c r="AE990" s="55" t="str">
        <f t="shared" ca="1" si="329"/>
        <v/>
      </c>
      <c r="AF990" s="47" t="e">
        <f t="shared" ca="1" si="330"/>
        <v>#NAME?</v>
      </c>
      <c r="AG990" s="47">
        <f t="shared" si="331"/>
        <v>43010901</v>
      </c>
      <c r="AH990" s="54">
        <f>IF(Q990="22",IF(ISNUMBER(SEARCH("econ",PAA_4[[#This Row],[Actividad3]])),"Económico",IF(ISNUMBER(SEARCH("alim",PAA_4[[#This Row],[Actividad3]])),"Alimentación",IF(ISNUMBER(SEARCH("educ",PAA_4[[#This Row],[Actividad3]])),"Educativo","Técnico"))),0)</f>
        <v>0</v>
      </c>
      <c r="AI990" s="47" t="e" cm="1">
        <f t="array" aca="1" ref="AI990" ca="1">_xlfn.XLOOKUP(PAA_4[[#This Row],[RCP-RUBRO]],[2]!COMPROMISOS_2024[[#All],[concatenado]],[2]!COMPROMISOS_2024[[#All],[Total pagado]],"",0)</f>
        <v>#NAME?</v>
      </c>
      <c r="AJ990" s="56">
        <f>IF(PAA_4[[#This Row],[BOLSA]]=0,0,SUMIFS([2]!COMPROMISOS_2024[[#All],[Total pagado]],[2]!COMPROMISOS_2024[[#All],[Bolsa]],PAA_4[[#This Row],[BOLSA]],[2]!COMPROMISOS_2024[[#All],[rubro]],PAA_4[[#This Row],[RCP-RUBRO]]))</f>
        <v>0</v>
      </c>
      <c r="AK990" s="47" t="e" cm="1">
        <f t="array" aca="1" ref="AK990" ca="1">_xlfn.XLOOKUP(PAA_4[[#This Row],[RCP-RUBRO]],[2]!COMPROMISOS_2024[[#All],[concatenado]],[2]!COMPROMISOS_2024[[#All],[Total Comprometido]],"",0)</f>
        <v>#NAME?</v>
      </c>
      <c r="AL990" s="47">
        <f>IF(PAA_4[[#This Row],[BOLSA]]=0,0,SUMIFS([2]!COMPROMISOS_2024[[#All],[Total Comprometido]],[2]!COMPROMISOS_2024[[#All],[Bolsa]],PAA_4[[#This Row],[BOLSA]],[2]!COMPROMISOS_2024[[#All],[concatenado]],PAA_4[[#This Row],[RCP-RUBRO]]))</f>
        <v>0</v>
      </c>
    </row>
    <row r="991" spans="1:38" s="19" customFormat="1" ht="31.5" customHeight="1">
      <c r="A991" s="47" t="s">
        <v>82</v>
      </c>
      <c r="B991" s="47" t="s">
        <v>42</v>
      </c>
      <c r="C991" s="47" t="str">
        <f>VLOOKUP(PAA_4[[#This Row],[PROYECTO (formulado)2]],[2]PROYECTOS!$G$1:$L$32,6,0)</f>
        <v>SUBGERENCIA ESCENARIOS DEPORTIVOS Y EQUIPAMIENTOS</v>
      </c>
      <c r="D991" s="47" t="str">
        <f>+IF(PAA_4[[#This Row],[UNIDAD DE CONTRATACION (formulado)]]="Subgerencia Administrativa y Financiera","FUNCIONAMIENTO","INVERSIÓN")</f>
        <v>INVERSIÓN</v>
      </c>
      <c r="E991" s="48" t="str">
        <f>VLOOKUP(Q991,[2]PROYECTOS!$G$1:$K$32,5,0)</f>
        <v>MEJORAMIENTO_DE_LA_INFRAESTRUCTURA_DEPORTIVA_Y_RECREATIVA_EN_EL_DEPARTAMENTO_DE_ANTIOQUIA</v>
      </c>
      <c r="F991" s="48">
        <f>VLOOKUP(E991,[2]PROYECTOS!$K$1:$M$32,3,0)</f>
        <v>2020003050027</v>
      </c>
      <c r="G991" s="49" t="s">
        <v>288</v>
      </c>
      <c r="H991" s="49" t="str">
        <f>VLOOKUP(Q991,[2]PROYECTOS!$V$1:$W$32,2,0)</f>
        <v>050058</v>
      </c>
      <c r="I991" s="50">
        <v>11707890</v>
      </c>
      <c r="J991" s="51" t="s">
        <v>1813</v>
      </c>
      <c r="K991" s="47" t="str">
        <f ca="1">IF(ISNONTEXT(Y991)=TRUE,"CONTRATADO","NO CONTRATADO")</f>
        <v>CONTRATADO</v>
      </c>
      <c r="L991" s="47" t="s">
        <v>42</v>
      </c>
      <c r="M991" s="47" t="s">
        <v>42</v>
      </c>
      <c r="N991" s="52" t="s">
        <v>287</v>
      </c>
      <c r="O991" s="51" t="e">
        <f>VLOOKUP(N991,[2]!RUBROS[#All],3,0)</f>
        <v>#REF!</v>
      </c>
      <c r="P991" s="53" t="e">
        <f>VLOOKUP(N991,[2]!RUBROS[#All],2,0)</f>
        <v>#REF!</v>
      </c>
      <c r="Q991" s="47" t="str">
        <f>+MID(N991,11,2)</f>
        <v>64</v>
      </c>
      <c r="R991" s="47" t="str">
        <f>+MID(N991,14,8)</f>
        <v>0-101024</v>
      </c>
      <c r="S991" s="54" t="s">
        <v>42</v>
      </c>
      <c r="T991" s="59" t="s">
        <v>42</v>
      </c>
      <c r="U991" s="326" t="e">
        <f ca="1">_xlfn.XLOOKUP(PAA_4[[#This Row],[ITEM]],[2]Contrato!A:A,[2]Contrato!Q:Q,"",0)</f>
        <v>#NAME?</v>
      </c>
      <c r="V991" s="47" t="s">
        <v>42</v>
      </c>
      <c r="W991" s="47" t="s">
        <v>42</v>
      </c>
      <c r="X991" s="47" t="s">
        <v>42</v>
      </c>
      <c r="Y991" s="55" t="e">
        <f ca="1">_xlfn.XLOOKUP(PAA_4[[#This Row],[ITEM]],[2]Contrato!A:A,[2]Contrato!B:B,"",0)</f>
        <v>#NAME?</v>
      </c>
      <c r="Z991" s="47" t="e">
        <f ca="1">_xlfn.XLOOKUP(PAA_4[[#This Row],[ITEM]],[2]Contrato!A:A,[2]Contrato!G:G,"",0)</f>
        <v>#NAME?</v>
      </c>
      <c r="AA991" s="47" t="e">
        <f ca="1">_xlfn.XLOOKUP(PAA_4[[#This Row],[ITEM]],[2]Contrato!A:A,[2]Contrato!T:T,"",0)</f>
        <v>#NAME?</v>
      </c>
      <c r="AB991" s="55" t="e">
        <f ca="1">+MAX(PAA_4[[#This Row],[Comprometido Contrato]],PAA_4[[#This Row],[Comprometido Bolsa]])</f>
        <v>#NAME?</v>
      </c>
      <c r="AC991" s="55" t="str">
        <f ca="1">IFERROR(I991-AB991,"")</f>
        <v/>
      </c>
      <c r="AD991" s="55" t="e">
        <f ca="1">IF(PAA_4[[#This Row],[ESTADO (formulado)]]="NO CONTRATADO",0,MAX(PAA_4[[#This Row],[Pago por Contrato]],PAA_4[[#This Row],[Pago por bolsa]]))</f>
        <v>#NAME?</v>
      </c>
      <c r="AE991" s="55" t="str">
        <f ca="1">+IFERROR(AB991-AD991,"")</f>
        <v/>
      </c>
      <c r="AF991" s="47" t="e">
        <f ca="1">+CONCATENATE(AA991,N991)</f>
        <v>#NAME?</v>
      </c>
      <c r="AG991" s="47">
        <f>IFERROR(_xlfn.NUMBERVALUE(MID(G991,1,8)),"")</f>
        <v>43010901</v>
      </c>
      <c r="AH991" s="54">
        <f>IF(Q991="22",IF(ISNUMBER(SEARCH("econ",PAA_4[[#This Row],[Actividad3]])),"Económico",IF(ISNUMBER(SEARCH("alim",PAA_4[[#This Row],[Actividad3]])),"Alimentación",IF(ISNUMBER(SEARCH("educ",PAA_4[[#This Row],[Actividad3]])),"Educativo","Técnico"))),0)</f>
        <v>0</v>
      </c>
      <c r="AI991" s="47" t="e" cm="1">
        <f t="array" aca="1" ref="AI991" ca="1">_xlfn.XLOOKUP(PAA_4[[#This Row],[RCP-RUBRO]],[2]!COMPROMISOS_2024[[#All],[concatenado]],[2]!COMPROMISOS_2024[[#All],[Total pagado]],"",0)</f>
        <v>#NAME?</v>
      </c>
      <c r="AJ991" s="56">
        <f>IF(PAA_4[[#This Row],[BOLSA]]=0,0,SUMIFS([2]!COMPROMISOS_2024[[#All],[Total pagado]],[2]!COMPROMISOS_2024[[#All],[Bolsa]],PAA_4[[#This Row],[BOLSA]],[2]!COMPROMISOS_2024[[#All],[rubro]],PAA_4[[#This Row],[RCP-RUBRO]]))</f>
        <v>0</v>
      </c>
      <c r="AK991" s="47" t="e" cm="1">
        <f t="array" aca="1" ref="AK991" ca="1">_xlfn.XLOOKUP(PAA_4[[#This Row],[RCP-RUBRO]],[2]!COMPROMISOS_2024[[#All],[concatenado]],[2]!COMPROMISOS_2024[[#All],[Total Comprometido]],"",0)</f>
        <v>#NAME?</v>
      </c>
      <c r="AL991" s="47">
        <f>IF(PAA_4[[#This Row],[BOLSA]]=0,0,SUMIFS([2]!COMPROMISOS_2024[[#All],[Total Comprometido]],[2]!COMPROMISOS_2024[[#All],[Bolsa]],PAA_4[[#This Row],[BOLSA]],[2]!COMPROMISOS_2024[[#All],[concatenado]],PAA_4[[#This Row],[RCP-RUBRO]]))</f>
        <v>0</v>
      </c>
    </row>
    <row r="992" spans="1:38" s="19" customFormat="1" ht="31.5" customHeight="1">
      <c r="A992" s="47">
        <v>338</v>
      </c>
      <c r="B992" s="47">
        <v>80111600</v>
      </c>
      <c r="C992" s="47" t="str">
        <f>VLOOKUP(PAA_4[[#This Row],[PROYECTO (formulado)2]],[2]PROYECTOS!$G$1:$L$32,6,0)</f>
        <v>SUBGERENCIA ESCENARIOS DEPORTIVOS Y EQUIPAMIENTOS</v>
      </c>
      <c r="D992" s="47" t="str">
        <f>+IF(PAA_4[[#This Row],[UNIDAD DE CONTRATACION (formulado)]]="Subgerencia Administrativa y Financiera","FUNCIONAMIENTO","INVERSIÓN")</f>
        <v>INVERSIÓN</v>
      </c>
      <c r="E992" s="48" t="str">
        <f>VLOOKUP(Q992,[2]PROYECTOS!$G$1:$K$32,5,0)</f>
        <v>MEJORAMIENTO_DE_LA_INFRAESTRUCTURA_DEPORTIVA_Y_RECREATIVA_EN_EL_DEPARTAMENTO_DE_ANTIOQUIA</v>
      </c>
      <c r="F992" s="48">
        <f>VLOOKUP(E992,[2]PROYECTOS!$K$1:$M$32,3,0)</f>
        <v>2020003050027</v>
      </c>
      <c r="G992" s="49" t="s">
        <v>288</v>
      </c>
      <c r="H992" s="49" t="str">
        <f>VLOOKUP(Q992,[2]PROYECTOS!$V$1:$W$32,2,0)</f>
        <v>050058</v>
      </c>
      <c r="I992" s="50">
        <f>69851270-11707890</f>
        <v>58143380</v>
      </c>
      <c r="J992" s="51" t="s">
        <v>1814</v>
      </c>
      <c r="K992" s="47" t="str">
        <f t="shared" ref="K992:K994" ca="1" si="332">IF(ISNONTEXT(Y992)=TRUE,"CONTRATADO","NO CONTRATADO")</f>
        <v>CONTRATADO</v>
      </c>
      <c r="L992" s="47" t="s">
        <v>94</v>
      </c>
      <c r="M992" s="47" t="s">
        <v>1297</v>
      </c>
      <c r="N992" s="52" t="s">
        <v>287</v>
      </c>
      <c r="O992" s="51" t="e">
        <f>VLOOKUP(N992,[2]!RUBROS[#All],3,0)</f>
        <v>#REF!</v>
      </c>
      <c r="P992" s="53" t="e">
        <f>VLOOKUP(N992,[2]!RUBROS[#All],2,0)</f>
        <v>#REF!</v>
      </c>
      <c r="Q992" s="47" t="str">
        <f t="shared" ref="Q992:Q994" si="333">+MID(N992,11,2)</f>
        <v>64</v>
      </c>
      <c r="R992" s="47" t="str">
        <f t="shared" ref="R992:R994" si="334">+MID(N992,14,8)</f>
        <v>0-101024</v>
      </c>
      <c r="S992" s="54">
        <v>9.5</v>
      </c>
      <c r="T992" s="59" t="s">
        <v>46</v>
      </c>
      <c r="U992" s="326" t="e">
        <f ca="1">_xlfn.XLOOKUP(PAA_4[[#This Row],[ITEM]],[2]Contrato!A:A,[2]Contrato!Q:Q,"",0)</f>
        <v>#NAME?</v>
      </c>
      <c r="V992" s="47" t="s">
        <v>47</v>
      </c>
      <c r="W992" s="47" t="s">
        <v>96</v>
      </c>
      <c r="X992" s="47" t="s">
        <v>96</v>
      </c>
      <c r="Y992" s="55" t="e">
        <f ca="1">_xlfn.XLOOKUP(PAA_4[[#This Row],[ITEM]],[2]Contrato!A:A,[2]Contrato!B:B,"",0)</f>
        <v>#NAME?</v>
      </c>
      <c r="Z992" s="47" t="e">
        <f ca="1">_xlfn.XLOOKUP(PAA_4[[#This Row],[ITEM]],[2]Contrato!A:A,[2]Contrato!G:G,"",0)</f>
        <v>#NAME?</v>
      </c>
      <c r="AA992" s="47" t="e">
        <f ca="1">_xlfn.XLOOKUP(PAA_4[[#This Row],[ITEM]],[2]Contrato!A:A,[2]Contrato!T:T,"",0)</f>
        <v>#NAME?</v>
      </c>
      <c r="AB992" s="55" t="e">
        <f ca="1">+MAX(PAA_4[[#This Row],[Comprometido Contrato]],PAA_4[[#This Row],[Comprometido Bolsa]])</f>
        <v>#NAME?</v>
      </c>
      <c r="AC992" s="55" t="str">
        <f t="shared" ref="AC992:AC994" ca="1" si="335">IFERROR(I992-AB992,"")</f>
        <v/>
      </c>
      <c r="AD992" s="55" t="e">
        <f ca="1">IF(PAA_4[[#This Row],[ESTADO (formulado)]]="NO CONTRATADO",0,MAX(PAA_4[[#This Row],[Pago por Contrato]],PAA_4[[#This Row],[Pago por bolsa]]))</f>
        <v>#NAME?</v>
      </c>
      <c r="AE992" s="55" t="str">
        <f t="shared" ref="AE992:AE994" ca="1" si="336">+IFERROR(AB992-AD992,"")</f>
        <v/>
      </c>
      <c r="AF992" s="47" t="e">
        <f t="shared" ref="AF992:AF994" ca="1" si="337">+CONCATENATE(AA992,N992)</f>
        <v>#NAME?</v>
      </c>
      <c r="AG992" s="47">
        <f t="shared" ref="AG992:AG994" si="338">IFERROR(_xlfn.NUMBERVALUE(MID(G992,1,8)),"")</f>
        <v>43010901</v>
      </c>
      <c r="AH992" s="54">
        <f>IF(Q992="22",IF(ISNUMBER(SEARCH("econ",PAA_4[[#This Row],[Actividad3]])),"Económico",IF(ISNUMBER(SEARCH("alim",PAA_4[[#This Row],[Actividad3]])),"Alimentación",IF(ISNUMBER(SEARCH("educ",PAA_4[[#This Row],[Actividad3]])),"Educativo","Técnico"))),0)</f>
        <v>0</v>
      </c>
      <c r="AI992" s="47" t="e" cm="1">
        <f t="array" aca="1" ref="AI992" ca="1">_xlfn.XLOOKUP(PAA_4[[#This Row],[RCP-RUBRO]],[2]!COMPROMISOS_2024[[#All],[concatenado]],[2]!COMPROMISOS_2024[[#All],[Total pagado]],"",0)</f>
        <v>#NAME?</v>
      </c>
      <c r="AJ992" s="56">
        <f>IF(PAA_4[[#This Row],[BOLSA]]=0,0,SUMIFS([2]!COMPROMISOS_2024[[#All],[Total pagado]],[2]!COMPROMISOS_2024[[#All],[Bolsa]],PAA_4[[#This Row],[BOLSA]],[2]!COMPROMISOS_2024[[#All],[rubro]],PAA_4[[#This Row],[RCP-RUBRO]]))</f>
        <v>0</v>
      </c>
      <c r="AK992" s="47" t="e" cm="1">
        <f t="array" aca="1" ref="AK992" ca="1">_xlfn.XLOOKUP(PAA_4[[#This Row],[RCP-RUBRO]],[2]!COMPROMISOS_2024[[#All],[concatenado]],[2]!COMPROMISOS_2024[[#All],[Total Comprometido]],"",0)</f>
        <v>#NAME?</v>
      </c>
      <c r="AL992" s="47">
        <f>IF(PAA_4[[#This Row],[BOLSA]]=0,0,SUMIFS([2]!COMPROMISOS_2024[[#All],[Total Comprometido]],[2]!COMPROMISOS_2024[[#All],[Bolsa]],PAA_4[[#This Row],[BOLSA]],[2]!COMPROMISOS_2024[[#All],[concatenado]],PAA_4[[#This Row],[RCP-RUBRO]]))</f>
        <v>0</v>
      </c>
    </row>
    <row r="993" spans="1:38" s="19" customFormat="1" ht="31.5" customHeight="1">
      <c r="A993" s="47">
        <v>621</v>
      </c>
      <c r="B993" s="47">
        <v>80111600</v>
      </c>
      <c r="C993" s="47" t="str">
        <f>VLOOKUP(PAA_4[[#This Row],[PROYECTO (formulado)2]],[2]PROYECTOS!$G$1:$L$32,6,0)</f>
        <v>SUBGERENCIA ESCENARIOS DEPORTIVOS Y EQUIPAMIENTOS</v>
      </c>
      <c r="D993" s="47" t="str">
        <f>+IF(PAA_4[[#This Row],[UNIDAD DE CONTRATACION (formulado)]]="Subgerencia Administrativa y Financiera","FUNCIONAMIENTO","INVERSIÓN")</f>
        <v>INVERSIÓN</v>
      </c>
      <c r="E993" s="48" t="str">
        <f>VLOOKUP(Q993,[2]PROYECTOS!$G$1:$K$32,5,0)</f>
        <v>MEJORAMIENTO_DE_LA_INFRAESTRUCTURA_DEPORTIVA_Y_RECREATIVA_EN_EL_DEPARTAMENTO_DE_ANTIOQUIA</v>
      </c>
      <c r="F993" s="48">
        <f>VLOOKUP(E993,[2]PROYECTOS!$K$1:$M$32,3,0)</f>
        <v>2020003050027</v>
      </c>
      <c r="G993" s="49" t="s">
        <v>288</v>
      </c>
      <c r="H993" s="49" t="str">
        <f>VLOOKUP(Q993,[2]PROYECTOS!$V$1:$W$32,2,0)</f>
        <v>050058</v>
      </c>
      <c r="I993" s="50">
        <v>0</v>
      </c>
      <c r="J993" s="51" t="s">
        <v>289</v>
      </c>
      <c r="K993" s="47" t="str">
        <f t="shared" ca="1" si="332"/>
        <v>CONTRATADO</v>
      </c>
      <c r="L993" s="47" t="s">
        <v>94</v>
      </c>
      <c r="M993" s="47" t="s">
        <v>1297</v>
      </c>
      <c r="N993" s="52" t="s">
        <v>287</v>
      </c>
      <c r="O993" s="51" t="e">
        <f>VLOOKUP(N993,[2]!RUBROS[#All],3,0)</f>
        <v>#REF!</v>
      </c>
      <c r="P993" s="53" t="e">
        <f>VLOOKUP(N993,[2]!RUBROS[#All],2,0)</f>
        <v>#REF!</v>
      </c>
      <c r="Q993" s="47" t="str">
        <f t="shared" si="333"/>
        <v>64</v>
      </c>
      <c r="R993" s="47" t="str">
        <f t="shared" si="334"/>
        <v>0-101024</v>
      </c>
      <c r="S993" s="54"/>
      <c r="T993" s="59"/>
      <c r="U993" s="326" t="e">
        <f ca="1">_xlfn.XLOOKUP(PAA_4[[#This Row],[ITEM]],[2]Contrato!A:A,[2]Contrato!Q:Q,"",0)</f>
        <v>#NAME?</v>
      </c>
      <c r="V993" s="47" t="s">
        <v>47</v>
      </c>
      <c r="W993" s="47" t="s">
        <v>96</v>
      </c>
      <c r="X993" s="47" t="s">
        <v>96</v>
      </c>
      <c r="Y993" s="55" t="e">
        <f ca="1">_xlfn.XLOOKUP(PAA_4[[#This Row],[ITEM]],[2]Contrato!A:A,[2]Contrato!B:B,"",0)</f>
        <v>#NAME?</v>
      </c>
      <c r="Z993" s="47" t="e">
        <f ca="1">_xlfn.XLOOKUP(PAA_4[[#This Row],[ITEM]],[2]Contrato!A:A,[2]Contrato!G:G,"",0)</f>
        <v>#NAME?</v>
      </c>
      <c r="AA993" s="47" t="e">
        <f ca="1">_xlfn.XLOOKUP(PAA_4[[#This Row],[ITEM]],[2]Contrato!A:A,[2]Contrato!T:T,"",0)</f>
        <v>#NAME?</v>
      </c>
      <c r="AB993" s="55" t="e">
        <f ca="1">+MAX(PAA_4[[#This Row],[Comprometido Contrato]],PAA_4[[#This Row],[Comprometido Bolsa]])</f>
        <v>#NAME?</v>
      </c>
      <c r="AC993" s="55" t="str">
        <f t="shared" ca="1" si="335"/>
        <v/>
      </c>
      <c r="AD993" s="55" t="e">
        <f ca="1">IF(PAA_4[[#This Row],[ESTADO (formulado)]]="NO CONTRATADO",0,MAX(PAA_4[[#This Row],[Pago por Contrato]],PAA_4[[#This Row],[Pago por bolsa]]))</f>
        <v>#NAME?</v>
      </c>
      <c r="AE993" s="55" t="str">
        <f t="shared" ca="1" si="336"/>
        <v/>
      </c>
      <c r="AF993" s="47" t="e">
        <f t="shared" ca="1" si="337"/>
        <v>#NAME?</v>
      </c>
      <c r="AG993" s="47">
        <f t="shared" si="338"/>
        <v>43010901</v>
      </c>
      <c r="AH993" s="54">
        <f>IF(Q993="22",IF(ISNUMBER(SEARCH("econ",PAA_4[[#This Row],[Actividad3]])),"Económico",IF(ISNUMBER(SEARCH("alim",PAA_4[[#This Row],[Actividad3]])),"Alimentación",IF(ISNUMBER(SEARCH("educ",PAA_4[[#This Row],[Actividad3]])),"Educativo","Técnico"))),0)</f>
        <v>0</v>
      </c>
      <c r="AI993" s="47" t="e" cm="1">
        <f t="array" aca="1" ref="AI993" ca="1">_xlfn.XLOOKUP(PAA_4[[#This Row],[RCP-RUBRO]],[2]!COMPROMISOS_2024[[#All],[concatenado]],[2]!COMPROMISOS_2024[[#All],[Total pagado]],"",0)</f>
        <v>#NAME?</v>
      </c>
      <c r="AJ993" s="56">
        <f>IF(PAA_4[[#This Row],[BOLSA]]=0,0,SUMIFS([2]!COMPROMISOS_2024[[#All],[Total pagado]],[2]!COMPROMISOS_2024[[#All],[Bolsa]],PAA_4[[#This Row],[BOLSA]],[2]!COMPROMISOS_2024[[#All],[rubro]],PAA_4[[#This Row],[RCP-RUBRO]]))</f>
        <v>0</v>
      </c>
      <c r="AK993" s="47" t="e" cm="1">
        <f t="array" aca="1" ref="AK993" ca="1">_xlfn.XLOOKUP(PAA_4[[#This Row],[RCP-RUBRO]],[2]!COMPROMISOS_2024[[#All],[concatenado]],[2]!COMPROMISOS_2024[[#All],[Total Comprometido]],"",0)</f>
        <v>#NAME?</v>
      </c>
      <c r="AL993" s="47">
        <f>IF(PAA_4[[#This Row],[BOLSA]]=0,0,SUMIFS([2]!COMPROMISOS_2024[[#All],[Total Comprometido]],[2]!COMPROMISOS_2024[[#All],[Bolsa]],PAA_4[[#This Row],[BOLSA]],[2]!COMPROMISOS_2024[[#All],[concatenado]],PAA_4[[#This Row],[RCP-RUBRO]]))</f>
        <v>0</v>
      </c>
    </row>
    <row r="994" spans="1:38" s="19" customFormat="1" ht="31.5" customHeight="1">
      <c r="A994" s="47">
        <v>622</v>
      </c>
      <c r="B994" s="47">
        <v>80111600</v>
      </c>
      <c r="C994" s="47" t="str">
        <f>VLOOKUP(PAA_4[[#This Row],[PROYECTO (formulado)2]],[2]PROYECTOS!$G$1:$L$32,6,0)</f>
        <v>SUBGERENCIA ESCENARIOS DEPORTIVOS Y EQUIPAMIENTOS</v>
      </c>
      <c r="D994" s="47" t="str">
        <f>+IF(PAA_4[[#This Row],[UNIDAD DE CONTRATACION (formulado)]]="Subgerencia Administrativa y Financiera","FUNCIONAMIENTO","INVERSIÓN")</f>
        <v>INVERSIÓN</v>
      </c>
      <c r="E994" s="48" t="str">
        <f>VLOOKUP(Q994,[2]PROYECTOS!$G$1:$K$32,5,0)</f>
        <v>MEJORAMIENTO_DE_LA_INFRAESTRUCTURA_DEPORTIVA_Y_RECREATIVA_EN_EL_DEPARTAMENTO_DE_ANTIOQUIA</v>
      </c>
      <c r="F994" s="48">
        <f>VLOOKUP(E994,[2]PROYECTOS!$K$1:$M$32,3,0)</f>
        <v>2020003050027</v>
      </c>
      <c r="G994" s="49" t="s">
        <v>288</v>
      </c>
      <c r="H994" s="49" t="str">
        <f>VLOOKUP(Q994,[2]PROYECTOS!$V$1:$W$32,2,0)</f>
        <v>050058</v>
      </c>
      <c r="I994" s="50">
        <v>0</v>
      </c>
      <c r="J994" s="51" t="s">
        <v>289</v>
      </c>
      <c r="K994" s="47" t="str">
        <f t="shared" ca="1" si="332"/>
        <v>CONTRATADO</v>
      </c>
      <c r="L994" s="47" t="s">
        <v>94</v>
      </c>
      <c r="M994" s="47" t="s">
        <v>1297</v>
      </c>
      <c r="N994" s="52" t="s">
        <v>287</v>
      </c>
      <c r="O994" s="51" t="e">
        <f>VLOOKUP(N994,[2]!RUBROS[#All],3,0)</f>
        <v>#REF!</v>
      </c>
      <c r="P994" s="53" t="e">
        <f>VLOOKUP(N994,[2]!RUBROS[#All],2,0)</f>
        <v>#REF!</v>
      </c>
      <c r="Q994" s="47" t="str">
        <f t="shared" si="333"/>
        <v>64</v>
      </c>
      <c r="R994" s="47" t="str">
        <f t="shared" si="334"/>
        <v>0-101024</v>
      </c>
      <c r="S994" s="54"/>
      <c r="T994" s="59" t="s">
        <v>46</v>
      </c>
      <c r="U994" s="326" t="s">
        <v>290</v>
      </c>
      <c r="V994" s="47" t="s">
        <v>47</v>
      </c>
      <c r="W994" s="47" t="s">
        <v>96</v>
      </c>
      <c r="X994" s="47" t="s">
        <v>96</v>
      </c>
      <c r="Y994" s="55" t="e">
        <f ca="1">_xlfn.XLOOKUP(PAA_4[[#This Row],[ITEM]],[2]Contrato!A:A,[2]Contrato!B:B,"",0)</f>
        <v>#NAME?</v>
      </c>
      <c r="Z994" s="47" t="e">
        <f ca="1">_xlfn.XLOOKUP(PAA_4[[#This Row],[ITEM]],[2]Contrato!A:A,[2]Contrato!G:G,"",0)</f>
        <v>#NAME?</v>
      </c>
      <c r="AA994" s="47" t="e">
        <f ca="1">_xlfn.XLOOKUP(PAA_4[[#This Row],[ITEM]],[2]Contrato!A:A,[2]Contrato!T:T,"",0)</f>
        <v>#NAME?</v>
      </c>
      <c r="AB994" s="55" t="e">
        <f ca="1">+MAX(PAA_4[[#This Row],[Comprometido Contrato]],PAA_4[[#This Row],[Comprometido Bolsa]])</f>
        <v>#NAME?</v>
      </c>
      <c r="AC994" s="55" t="str">
        <f t="shared" ca="1" si="335"/>
        <v/>
      </c>
      <c r="AD994" s="55" t="e">
        <f ca="1">IF(PAA_4[[#This Row],[ESTADO (formulado)]]="NO CONTRATADO",0,MAX(PAA_4[[#This Row],[Pago por Contrato]],PAA_4[[#This Row],[Pago por bolsa]]))</f>
        <v>#NAME?</v>
      </c>
      <c r="AE994" s="55" t="str">
        <f t="shared" ca="1" si="336"/>
        <v/>
      </c>
      <c r="AF994" s="47" t="e">
        <f t="shared" ca="1" si="337"/>
        <v>#NAME?</v>
      </c>
      <c r="AG994" s="47">
        <f t="shared" si="338"/>
        <v>43010901</v>
      </c>
      <c r="AH994" s="54">
        <f>IF(Q994="22",IF(ISNUMBER(SEARCH("econ",PAA_4[[#This Row],[Actividad3]])),"Económico",IF(ISNUMBER(SEARCH("alim",PAA_4[[#This Row],[Actividad3]])),"Alimentación",IF(ISNUMBER(SEARCH("educ",PAA_4[[#This Row],[Actividad3]])),"Educativo","Técnico"))),0)</f>
        <v>0</v>
      </c>
      <c r="AI994" s="47" t="e" cm="1">
        <f t="array" aca="1" ref="AI994" ca="1">_xlfn.XLOOKUP(PAA_4[[#This Row],[RCP-RUBRO]],[2]!COMPROMISOS_2024[[#All],[concatenado]],[2]!COMPROMISOS_2024[[#All],[Total pagado]],"",0)</f>
        <v>#NAME?</v>
      </c>
      <c r="AJ994" s="56">
        <f>IF(PAA_4[[#This Row],[BOLSA]]=0,0,SUMIFS([2]!COMPROMISOS_2024[[#All],[Total pagado]],[2]!COMPROMISOS_2024[[#All],[Bolsa]],PAA_4[[#This Row],[BOLSA]],[2]!COMPROMISOS_2024[[#All],[rubro]],PAA_4[[#This Row],[RCP-RUBRO]]))</f>
        <v>0</v>
      </c>
      <c r="AK994" s="47" t="e" cm="1">
        <f t="array" aca="1" ref="AK994" ca="1">_xlfn.XLOOKUP(PAA_4[[#This Row],[RCP-RUBRO]],[2]!COMPROMISOS_2024[[#All],[concatenado]],[2]!COMPROMISOS_2024[[#All],[Total Comprometido]],"",0)</f>
        <v>#NAME?</v>
      </c>
      <c r="AL994" s="47">
        <f>IF(PAA_4[[#This Row],[BOLSA]]=0,0,SUMIFS([2]!COMPROMISOS_2024[[#All],[Total Comprometido]],[2]!COMPROMISOS_2024[[#All],[Bolsa]],PAA_4[[#This Row],[BOLSA]],[2]!COMPROMISOS_2024[[#All],[concatenado]],PAA_4[[#This Row],[RCP-RUBRO]]))</f>
        <v>0</v>
      </c>
    </row>
    <row r="995" spans="1:38" s="19" customFormat="1" ht="31.5" customHeight="1">
      <c r="A995" s="47" t="s">
        <v>82</v>
      </c>
      <c r="B995" s="47" t="s">
        <v>42</v>
      </c>
      <c r="C995" s="47" t="str">
        <f>VLOOKUP(PAA_4[[#This Row],[PROYECTO (formulado)2]],[2]PROYECTOS!$G$1:$L$32,6,0)</f>
        <v>SUBGERENCIA ESCENARIOS DEPORTIVOS Y EQUIPAMIENTOS</v>
      </c>
      <c r="D995" s="47" t="str">
        <f>+IF(PAA_4[[#This Row],[UNIDAD DE CONTRATACION (formulado)]]="Subgerencia Administrativa y Financiera","FUNCIONAMIENTO","INVERSIÓN")</f>
        <v>INVERSIÓN</v>
      </c>
      <c r="E995" s="48" t="str">
        <f>VLOOKUP(Q995,[2]PROYECTOS!$G$1:$K$32,5,0)</f>
        <v>MEJORAMIENTO_DE_LA_INFRAESTRUCTURA_DEPORTIVA_Y_RECREATIVA_EN_EL_DEPARTAMENTO_DE_ANTIOQUIA</v>
      </c>
      <c r="F995" s="48">
        <f>VLOOKUP(E995,[2]PROYECTOS!$K$1:$M$32,3,0)</f>
        <v>2020003050027</v>
      </c>
      <c r="G995" s="49" t="s">
        <v>288</v>
      </c>
      <c r="H995" s="49" t="str">
        <f>VLOOKUP(Q995,[2]PROYECTOS!$V$1:$W$32,2,0)</f>
        <v>050058</v>
      </c>
      <c r="I995" s="50">
        <v>11478587</v>
      </c>
      <c r="J995" s="51" t="s">
        <v>1815</v>
      </c>
      <c r="K995" s="47" t="str">
        <f ca="1">IF(ISNONTEXT(Y995)=TRUE,"CONTRATADO","NO CONTRATADO")</f>
        <v>CONTRATADO</v>
      </c>
      <c r="L995" s="47" t="s">
        <v>42</v>
      </c>
      <c r="M995" s="47" t="s">
        <v>42</v>
      </c>
      <c r="N995" s="52" t="s">
        <v>287</v>
      </c>
      <c r="O995" s="51" t="e">
        <f>VLOOKUP(N995,[2]!RUBROS[#All],3,0)</f>
        <v>#REF!</v>
      </c>
      <c r="P995" s="53" t="e">
        <f>VLOOKUP(N995,[2]!RUBROS[#All],2,0)</f>
        <v>#REF!</v>
      </c>
      <c r="Q995" s="47" t="str">
        <f>+MID(N995,11,2)</f>
        <v>64</v>
      </c>
      <c r="R995" s="47" t="str">
        <f>+MID(N995,14,8)</f>
        <v>0-101024</v>
      </c>
      <c r="S995" s="54" t="s">
        <v>42</v>
      </c>
      <c r="T995" s="59" t="s">
        <v>42</v>
      </c>
      <c r="U995" s="326" t="e">
        <f ca="1">_xlfn.XLOOKUP(PAA_4[[#This Row],[ITEM]],[2]Contrato!A:A,[2]Contrato!Q:Q,"",0)</f>
        <v>#NAME?</v>
      </c>
      <c r="V995" s="47" t="s">
        <v>95</v>
      </c>
      <c r="W995" s="47" t="s">
        <v>42</v>
      </c>
      <c r="X995" s="47" t="s">
        <v>42</v>
      </c>
      <c r="Y995" s="55" t="e">
        <f ca="1">_xlfn.XLOOKUP(PAA_4[[#This Row],[ITEM]],[2]Contrato!A:A,[2]Contrato!B:B,"",0)</f>
        <v>#NAME?</v>
      </c>
      <c r="Z995" s="47" t="e">
        <f ca="1">_xlfn.XLOOKUP(PAA_4[[#This Row],[ITEM]],[2]Contrato!A:A,[2]Contrato!G:G,"",0)</f>
        <v>#NAME?</v>
      </c>
      <c r="AA995" s="47" t="e">
        <f ca="1">_xlfn.XLOOKUP(PAA_4[[#This Row],[ITEM]],[2]Contrato!A:A,[2]Contrato!T:T,"",0)</f>
        <v>#NAME?</v>
      </c>
      <c r="AB995" s="55" t="e">
        <f ca="1">+MAX(PAA_4[[#This Row],[Comprometido Contrato]],PAA_4[[#This Row],[Comprometido Bolsa]])</f>
        <v>#NAME?</v>
      </c>
      <c r="AC995" s="55" t="str">
        <f ca="1">IFERROR(I995-AB995,"")</f>
        <v/>
      </c>
      <c r="AD995" s="55" t="e">
        <f ca="1">IF(PAA_4[[#This Row],[ESTADO (formulado)]]="NO CONTRATADO",0,MAX(PAA_4[[#This Row],[Pago por Contrato]],PAA_4[[#This Row],[Pago por bolsa]]))</f>
        <v>#NAME?</v>
      </c>
      <c r="AE995" s="55" t="str">
        <f ca="1">+IFERROR(AB995-AD995,"")</f>
        <v/>
      </c>
      <c r="AF995" s="47" t="e">
        <f ca="1">+CONCATENATE(AA995,N995)</f>
        <v>#NAME?</v>
      </c>
      <c r="AG995" s="47">
        <f>IFERROR(_xlfn.NUMBERVALUE(MID(G995,1,8)),"")</f>
        <v>43010901</v>
      </c>
      <c r="AH995" s="54">
        <f>IF(Q995="22",IF(ISNUMBER(SEARCH("econ",PAA_4[[#This Row],[Actividad3]])),"Económico",IF(ISNUMBER(SEARCH("alim",PAA_4[[#This Row],[Actividad3]])),"Alimentación",IF(ISNUMBER(SEARCH("educ",PAA_4[[#This Row],[Actividad3]])),"Educativo","Técnico"))),0)</f>
        <v>0</v>
      </c>
      <c r="AI995" s="47" t="e" cm="1">
        <f t="array" aca="1" ref="AI995" ca="1">_xlfn.XLOOKUP(PAA_4[[#This Row],[RCP-RUBRO]],[2]!COMPROMISOS_2024[[#All],[concatenado]],[2]!COMPROMISOS_2024[[#All],[Total pagado]],"",0)</f>
        <v>#NAME?</v>
      </c>
      <c r="AJ995" s="56">
        <f>IF(PAA_4[[#This Row],[BOLSA]]=0,0,SUMIFS([2]!COMPROMISOS_2024[[#All],[Total pagado]],[2]!COMPROMISOS_2024[[#All],[Bolsa]],PAA_4[[#This Row],[BOLSA]],[2]!COMPROMISOS_2024[[#All],[rubro]],PAA_4[[#This Row],[RCP-RUBRO]]))</f>
        <v>0</v>
      </c>
      <c r="AK995" s="47" t="e" cm="1">
        <f t="array" aca="1" ref="AK995" ca="1">_xlfn.XLOOKUP(PAA_4[[#This Row],[RCP-RUBRO]],[2]!COMPROMISOS_2024[[#All],[concatenado]],[2]!COMPROMISOS_2024[[#All],[Total Comprometido]],"",0)</f>
        <v>#NAME?</v>
      </c>
      <c r="AL995" s="47">
        <f>IF(PAA_4[[#This Row],[BOLSA]]=0,0,SUMIFS([2]!COMPROMISOS_2024[[#All],[Total Comprometido]],[2]!COMPROMISOS_2024[[#All],[Bolsa]],PAA_4[[#This Row],[BOLSA]],[2]!COMPROMISOS_2024[[#All],[concatenado]],PAA_4[[#This Row],[RCP-RUBRO]]))</f>
        <v>0</v>
      </c>
    </row>
    <row r="996" spans="1:38" s="19" customFormat="1" ht="31.5" customHeight="1">
      <c r="A996" s="47">
        <v>339</v>
      </c>
      <c r="B996" s="47">
        <v>80111600</v>
      </c>
      <c r="C996" s="47" t="str">
        <f>VLOOKUP(PAA_4[[#This Row],[PROYECTO (formulado)2]],[2]PROYECTOS!$G$1:$L$32,6,0)</f>
        <v>SUBGERENCIA ESCENARIOS DEPORTIVOS Y EQUIPAMIENTOS</v>
      </c>
      <c r="D996" s="47" t="str">
        <f>+IF(PAA_4[[#This Row],[UNIDAD DE CONTRATACION (formulado)]]="Subgerencia Administrativa y Financiera","FUNCIONAMIENTO","INVERSIÓN")</f>
        <v>INVERSIÓN</v>
      </c>
      <c r="E996" s="48" t="str">
        <f>VLOOKUP(Q996,[2]PROYECTOS!$G$1:$K$32,5,0)</f>
        <v>MEJORAMIENTO_DE_LA_INFRAESTRUCTURA_DEPORTIVA_Y_RECREATIVA_EN_EL_DEPARTAMENTO_DE_ANTIOQUIA</v>
      </c>
      <c r="F996" s="48">
        <f>VLOOKUP(E996,[2]PROYECTOS!$K$1:$M$32,3,0)</f>
        <v>2020003050027</v>
      </c>
      <c r="G996" s="49" t="s">
        <v>288</v>
      </c>
      <c r="H996" s="49" t="str">
        <f>VLOOKUP(Q996,[2]PROYECTOS!$V$1:$W$32,2,0)</f>
        <v>050058</v>
      </c>
      <c r="I996" s="50">
        <f>69851270-11478587</f>
        <v>58372683</v>
      </c>
      <c r="J996" s="51" t="s">
        <v>1814</v>
      </c>
      <c r="K996" s="47" t="str">
        <f t="shared" ref="K996:K997" ca="1" si="339">IF(ISNONTEXT(Y996)=TRUE,"CONTRATADO","NO CONTRATADO")</f>
        <v>CONTRATADO</v>
      </c>
      <c r="L996" s="47" t="s">
        <v>94</v>
      </c>
      <c r="M996" s="47" t="s">
        <v>1297</v>
      </c>
      <c r="N996" s="52" t="s">
        <v>287</v>
      </c>
      <c r="O996" s="51" t="e">
        <f>VLOOKUP(N996,[2]!RUBROS[#All],3,0)</f>
        <v>#REF!</v>
      </c>
      <c r="P996" s="53" t="e">
        <f>VLOOKUP(N996,[2]!RUBROS[#All],2,0)</f>
        <v>#REF!</v>
      </c>
      <c r="Q996" s="47" t="str">
        <f t="shared" ref="Q996:Q997" si="340">+MID(N996,11,2)</f>
        <v>64</v>
      </c>
      <c r="R996" s="47" t="str">
        <f t="shared" ref="R996:R997" si="341">+MID(N996,14,8)</f>
        <v>0-101024</v>
      </c>
      <c r="S996" s="54">
        <v>9.5</v>
      </c>
      <c r="T996" s="59" t="s">
        <v>46</v>
      </c>
      <c r="U996" s="326" t="e">
        <f ca="1">_xlfn.XLOOKUP(PAA_4[[#This Row],[ITEM]],[2]Contrato!A:A,[2]Contrato!Q:Q,"",0)</f>
        <v>#NAME?</v>
      </c>
      <c r="V996" s="47" t="s">
        <v>47</v>
      </c>
      <c r="W996" s="47" t="s">
        <v>96</v>
      </c>
      <c r="X996" s="47" t="s">
        <v>96</v>
      </c>
      <c r="Y996" s="55" t="e">
        <f ca="1">_xlfn.XLOOKUP(PAA_4[[#This Row],[ITEM]],[2]Contrato!A:A,[2]Contrato!B:B,"",0)</f>
        <v>#NAME?</v>
      </c>
      <c r="Z996" s="47" t="e">
        <f ca="1">_xlfn.XLOOKUP(PAA_4[[#This Row],[ITEM]],[2]Contrato!A:A,[2]Contrato!G:G,"",0)</f>
        <v>#NAME?</v>
      </c>
      <c r="AA996" s="47" t="e">
        <f ca="1">_xlfn.XLOOKUP(PAA_4[[#This Row],[ITEM]],[2]Contrato!A:A,[2]Contrato!T:T,"",0)</f>
        <v>#NAME?</v>
      </c>
      <c r="AB996" s="55" t="e">
        <f ca="1">+MAX(PAA_4[[#This Row],[Comprometido Contrato]],PAA_4[[#This Row],[Comprometido Bolsa]])</f>
        <v>#NAME?</v>
      </c>
      <c r="AC996" s="55" t="str">
        <f t="shared" ref="AC996:AC997" ca="1" si="342">IFERROR(I996-AB996,"")</f>
        <v/>
      </c>
      <c r="AD996" s="55" t="e">
        <f ca="1">IF(PAA_4[[#This Row],[ESTADO (formulado)]]="NO CONTRATADO",0,MAX(PAA_4[[#This Row],[Pago por Contrato]],PAA_4[[#This Row],[Pago por bolsa]]))</f>
        <v>#NAME?</v>
      </c>
      <c r="AE996" s="55" t="str">
        <f t="shared" ref="AE996:AE997" ca="1" si="343">+IFERROR(AB996-AD996,"")</f>
        <v/>
      </c>
      <c r="AF996" s="47" t="e">
        <f t="shared" ref="AF996:AF997" ca="1" si="344">+CONCATENATE(AA996,N996)</f>
        <v>#NAME?</v>
      </c>
      <c r="AG996" s="47">
        <f t="shared" ref="AG996:AG997" si="345">IFERROR(_xlfn.NUMBERVALUE(MID(G996,1,8)),"")</f>
        <v>43010901</v>
      </c>
      <c r="AH996" s="54">
        <f>IF(Q996="22",IF(ISNUMBER(SEARCH("econ",PAA_4[[#This Row],[Actividad3]])),"Económico",IF(ISNUMBER(SEARCH("alim",PAA_4[[#This Row],[Actividad3]])),"Alimentación",IF(ISNUMBER(SEARCH("educ",PAA_4[[#This Row],[Actividad3]])),"Educativo","Técnico"))),0)</f>
        <v>0</v>
      </c>
      <c r="AI996" s="47" t="e" cm="1">
        <f t="array" aca="1" ref="AI996" ca="1">_xlfn.XLOOKUP(PAA_4[[#This Row],[RCP-RUBRO]],[2]!COMPROMISOS_2024[[#All],[concatenado]],[2]!COMPROMISOS_2024[[#All],[Total pagado]],"",0)</f>
        <v>#NAME?</v>
      </c>
      <c r="AJ996" s="56">
        <f>IF(PAA_4[[#This Row],[BOLSA]]=0,0,SUMIFS([2]!COMPROMISOS_2024[[#All],[Total pagado]],[2]!COMPROMISOS_2024[[#All],[Bolsa]],PAA_4[[#This Row],[BOLSA]],[2]!COMPROMISOS_2024[[#All],[rubro]],PAA_4[[#This Row],[RCP-RUBRO]]))</f>
        <v>0</v>
      </c>
      <c r="AK996" s="47" t="e" cm="1">
        <f t="array" aca="1" ref="AK996" ca="1">_xlfn.XLOOKUP(PAA_4[[#This Row],[RCP-RUBRO]],[2]!COMPROMISOS_2024[[#All],[concatenado]],[2]!COMPROMISOS_2024[[#All],[Total Comprometido]],"",0)</f>
        <v>#NAME?</v>
      </c>
      <c r="AL996" s="47">
        <f>IF(PAA_4[[#This Row],[BOLSA]]=0,0,SUMIFS([2]!COMPROMISOS_2024[[#All],[Total Comprometido]],[2]!COMPROMISOS_2024[[#All],[Bolsa]],PAA_4[[#This Row],[BOLSA]],[2]!COMPROMISOS_2024[[#All],[concatenado]],PAA_4[[#This Row],[RCP-RUBRO]]))</f>
        <v>0</v>
      </c>
    </row>
    <row r="997" spans="1:38" s="19" customFormat="1" ht="31.5" customHeight="1">
      <c r="A997" s="47" t="s">
        <v>82</v>
      </c>
      <c r="B997" s="47" t="s">
        <v>42</v>
      </c>
      <c r="C997" s="47" t="str">
        <f>VLOOKUP(PAA_4[[#This Row],[PROYECTO (formulado)2]],[2]PROYECTOS!$G$1:$L$32,6,0)</f>
        <v>SUBGERENCIA ESCENARIOS DEPORTIVOS Y EQUIPAMIENTOS</v>
      </c>
      <c r="D997" s="47" t="str">
        <f>+IF(PAA_4[[#This Row],[UNIDAD DE CONTRATACION (formulado)]]="Subgerencia Administrativa y Financiera","FUNCIONAMIENTO","INVERSIÓN")</f>
        <v>INVERSIÓN</v>
      </c>
      <c r="E997" s="48" t="str">
        <f>VLOOKUP(Q997,[2]PROYECTOS!$G$1:$K$32,5,0)</f>
        <v>MEJORAMIENTO_DE_LA_INFRAESTRUCTURA_DEPORTIVA_Y_RECREATIVA_EN_EL_DEPARTAMENTO_DE_ANTIOQUIA</v>
      </c>
      <c r="F997" s="48">
        <f>VLOOKUP(E997,[2]PROYECTOS!$K$1:$M$32,3,0)</f>
        <v>2020003050027</v>
      </c>
      <c r="G997" s="49" t="s">
        <v>288</v>
      </c>
      <c r="H997" s="49" t="str">
        <f>VLOOKUP(Q997,[2]PROYECTOS!$V$1:$W$32,2,0)</f>
        <v>050058</v>
      </c>
      <c r="I997" s="50">
        <v>0</v>
      </c>
      <c r="J997" s="51" t="s">
        <v>42</v>
      </c>
      <c r="K997" s="47" t="str">
        <f t="shared" ca="1" si="339"/>
        <v>CONTRATADO</v>
      </c>
      <c r="L997" s="47" t="s">
        <v>42</v>
      </c>
      <c r="M997" s="47" t="s">
        <v>42</v>
      </c>
      <c r="N997" s="52" t="s">
        <v>287</v>
      </c>
      <c r="O997" s="51" t="e">
        <f>VLOOKUP(N997,[2]!RUBROS[#All],3,0)</f>
        <v>#REF!</v>
      </c>
      <c r="P997" s="53" t="e">
        <f>VLOOKUP(N997,[2]!RUBROS[#All],2,0)</f>
        <v>#REF!</v>
      </c>
      <c r="Q997" s="47" t="str">
        <f t="shared" si="340"/>
        <v>64</v>
      </c>
      <c r="R997" s="47" t="str">
        <f t="shared" si="341"/>
        <v>0-101024</v>
      </c>
      <c r="S997" s="54" t="s">
        <v>42</v>
      </c>
      <c r="T997" s="59" t="s">
        <v>42</v>
      </c>
      <c r="U997" s="326" t="e">
        <f ca="1">_xlfn.XLOOKUP(PAA_4[[#This Row],[ITEM]],[2]Contrato!A:A,[2]Contrato!Q:Q,"",0)</f>
        <v>#NAME?</v>
      </c>
      <c r="V997" s="47" t="s">
        <v>95</v>
      </c>
      <c r="W997" s="47" t="s">
        <v>42</v>
      </c>
      <c r="X997" s="47" t="s">
        <v>42</v>
      </c>
      <c r="Y997" s="55" t="e">
        <f ca="1">_xlfn.XLOOKUP(PAA_4[[#This Row],[ITEM]],[2]Contrato!A:A,[2]Contrato!B:B,"",0)</f>
        <v>#NAME?</v>
      </c>
      <c r="Z997" s="47" t="e">
        <f ca="1">_xlfn.XLOOKUP(PAA_4[[#This Row],[ITEM]],[2]Contrato!A:A,[2]Contrato!G:G,"",0)</f>
        <v>#NAME?</v>
      </c>
      <c r="AA997" s="47" t="e">
        <f ca="1">_xlfn.XLOOKUP(PAA_4[[#This Row],[ITEM]],[2]Contrato!A:A,[2]Contrato!T:T,"",0)</f>
        <v>#NAME?</v>
      </c>
      <c r="AB997" s="55" t="e">
        <f ca="1">+MAX(PAA_4[[#This Row],[Comprometido Contrato]],PAA_4[[#This Row],[Comprometido Bolsa]])</f>
        <v>#NAME?</v>
      </c>
      <c r="AC997" s="55" t="str">
        <f t="shared" ca="1" si="342"/>
        <v/>
      </c>
      <c r="AD997" s="55" t="e">
        <f ca="1">IF(PAA_4[[#This Row],[ESTADO (formulado)]]="NO CONTRATADO",0,MAX(PAA_4[[#This Row],[Pago por Contrato]],PAA_4[[#This Row],[Pago por bolsa]]))</f>
        <v>#NAME?</v>
      </c>
      <c r="AE997" s="55" t="str">
        <f t="shared" ca="1" si="343"/>
        <v/>
      </c>
      <c r="AF997" s="47" t="e">
        <f t="shared" ca="1" si="344"/>
        <v>#NAME?</v>
      </c>
      <c r="AG997" s="47">
        <f t="shared" si="345"/>
        <v>43010901</v>
      </c>
      <c r="AH997" s="54">
        <f>IF(Q997="22",IF(ISNUMBER(SEARCH("econ",PAA_4[[#This Row],[Actividad3]])),"Económico",IF(ISNUMBER(SEARCH("alim",PAA_4[[#This Row],[Actividad3]])),"Alimentación",IF(ISNUMBER(SEARCH("educ",PAA_4[[#This Row],[Actividad3]])),"Educativo","Técnico"))),0)</f>
        <v>0</v>
      </c>
      <c r="AI997" s="47" t="e" cm="1">
        <f t="array" aca="1" ref="AI997" ca="1">_xlfn.XLOOKUP(PAA_4[[#This Row],[RCP-RUBRO]],[2]!COMPROMISOS_2024[[#All],[concatenado]],[2]!COMPROMISOS_2024[[#All],[Total pagado]],"",0)</f>
        <v>#NAME?</v>
      </c>
      <c r="AJ997" s="56">
        <f>IF(PAA_4[[#This Row],[BOLSA]]=0,0,SUMIFS([2]!COMPROMISOS_2024[[#All],[Total pagado]],[2]!COMPROMISOS_2024[[#All],[Bolsa]],PAA_4[[#This Row],[BOLSA]],[2]!COMPROMISOS_2024[[#All],[rubro]],PAA_4[[#This Row],[RCP-RUBRO]]))</f>
        <v>0</v>
      </c>
      <c r="AK997" s="47" t="e" cm="1">
        <f t="array" aca="1" ref="AK997" ca="1">_xlfn.XLOOKUP(PAA_4[[#This Row],[RCP-RUBRO]],[2]!COMPROMISOS_2024[[#All],[concatenado]],[2]!COMPROMISOS_2024[[#All],[Total Comprometido]],"",0)</f>
        <v>#NAME?</v>
      </c>
      <c r="AL997" s="47">
        <f>IF(PAA_4[[#This Row],[BOLSA]]=0,0,SUMIFS([2]!COMPROMISOS_2024[[#All],[Total Comprometido]],[2]!COMPROMISOS_2024[[#All],[Bolsa]],PAA_4[[#This Row],[BOLSA]],[2]!COMPROMISOS_2024[[#All],[concatenado]],PAA_4[[#This Row],[RCP-RUBRO]]))</f>
        <v>0</v>
      </c>
    </row>
    <row r="998" spans="1:38" s="19" customFormat="1" ht="31.5" customHeight="1">
      <c r="A998" s="47" t="s">
        <v>82</v>
      </c>
      <c r="B998" s="47" t="s">
        <v>42</v>
      </c>
      <c r="C998" s="47" t="str">
        <f>VLOOKUP(PAA_4[[#This Row],[PROYECTO (formulado)2]],[2]PROYECTOS!$G$1:$L$32,6,0)</f>
        <v>SUBGERENCIA ESCENARIOS DEPORTIVOS Y EQUIPAMIENTOS</v>
      </c>
      <c r="D998" s="47" t="str">
        <f>+IF(PAA_4[[#This Row],[UNIDAD DE CONTRATACION (formulado)]]="Subgerencia Administrativa y Financiera","FUNCIONAMIENTO","INVERSIÓN")</f>
        <v>INVERSIÓN</v>
      </c>
      <c r="E998" s="48" t="str">
        <f>VLOOKUP(Q998,[2]PROYECTOS!$G$1:$K$32,5,0)</f>
        <v>MEJORAMIENTO_DE_LA_INFRAESTRUCTURA_DEPORTIVA_Y_RECREATIVA_EN_EL_DEPARTAMENTO_DE_ANTIOQUIA</v>
      </c>
      <c r="F998" s="48">
        <f>VLOOKUP(E998,[2]PROYECTOS!$K$1:$M$32,3,0)</f>
        <v>2020003050027</v>
      </c>
      <c r="G998" s="49" t="s">
        <v>288</v>
      </c>
      <c r="H998" s="49" t="str">
        <f>VLOOKUP(Q998,[2]PROYECTOS!$V$1:$W$32,2,0)</f>
        <v>050058</v>
      </c>
      <c r="I998" s="50">
        <v>6418600</v>
      </c>
      <c r="J998" s="51" t="s">
        <v>1816</v>
      </c>
      <c r="K998" s="47" t="str">
        <f ca="1">IF(ISNONTEXT(Y998)=TRUE,"CONTRATADO","NO CONTRATADO")</f>
        <v>CONTRATADO</v>
      </c>
      <c r="L998" s="47" t="s">
        <v>42</v>
      </c>
      <c r="M998" s="47" t="s">
        <v>42</v>
      </c>
      <c r="N998" s="52" t="s">
        <v>287</v>
      </c>
      <c r="O998" s="51" t="e">
        <f>VLOOKUP(N998,[2]!RUBROS[#All],3,0)</f>
        <v>#REF!</v>
      </c>
      <c r="P998" s="53" t="e">
        <f>VLOOKUP(N998,[2]!RUBROS[#All],2,0)</f>
        <v>#REF!</v>
      </c>
      <c r="Q998" s="47" t="str">
        <f>+MID(N998,11,2)</f>
        <v>64</v>
      </c>
      <c r="R998" s="47" t="str">
        <f>+MID(N998,14,8)</f>
        <v>0-101024</v>
      </c>
      <c r="S998" s="54" t="s">
        <v>42</v>
      </c>
      <c r="T998" s="59" t="s">
        <v>42</v>
      </c>
      <c r="U998" s="326" t="e">
        <f ca="1">_xlfn.XLOOKUP(PAA_4[[#This Row],[ITEM]],[2]Contrato!A:A,[2]Contrato!Q:Q,"",0)</f>
        <v>#NAME?</v>
      </c>
      <c r="V998" s="47" t="s">
        <v>95</v>
      </c>
      <c r="W998" s="47" t="s">
        <v>42</v>
      </c>
      <c r="X998" s="47" t="s">
        <v>42</v>
      </c>
      <c r="Y998" s="55" t="e">
        <f ca="1">_xlfn.XLOOKUP(PAA_4[[#This Row],[ITEM]],[2]Contrato!A:A,[2]Contrato!B:B,"",0)</f>
        <v>#NAME?</v>
      </c>
      <c r="Z998" s="47" t="e">
        <f ca="1">_xlfn.XLOOKUP(PAA_4[[#This Row],[ITEM]],[2]Contrato!A:A,[2]Contrato!G:G,"",0)</f>
        <v>#NAME?</v>
      </c>
      <c r="AA998" s="47" t="e">
        <f ca="1">_xlfn.XLOOKUP(PAA_4[[#This Row],[ITEM]],[2]Contrato!A:A,[2]Contrato!T:T,"",0)</f>
        <v>#NAME?</v>
      </c>
      <c r="AB998" s="55" t="e">
        <f ca="1">+MAX(PAA_4[[#This Row],[Comprometido Contrato]],PAA_4[[#This Row],[Comprometido Bolsa]])</f>
        <v>#NAME?</v>
      </c>
      <c r="AC998" s="55" t="str">
        <f ca="1">IFERROR(I998-AB998,"")</f>
        <v/>
      </c>
      <c r="AD998" s="55" t="e">
        <f ca="1">IF(PAA_4[[#This Row],[ESTADO (formulado)]]="NO CONTRATADO",0,MAX(PAA_4[[#This Row],[Pago por Contrato]],PAA_4[[#This Row],[Pago por bolsa]]))</f>
        <v>#NAME?</v>
      </c>
      <c r="AE998" s="55" t="str">
        <f ca="1">+IFERROR(AB998-AD998,"")</f>
        <v/>
      </c>
      <c r="AF998" s="47" t="e">
        <f ca="1">+CONCATENATE(AA998,N998)</f>
        <v>#NAME?</v>
      </c>
      <c r="AG998" s="47">
        <f>IFERROR(_xlfn.NUMBERVALUE(MID(G998,1,8)),"")</f>
        <v>43010901</v>
      </c>
      <c r="AH998" s="54">
        <f>IF(Q998="22",IF(ISNUMBER(SEARCH("econ",PAA_4[[#This Row],[Actividad3]])),"Económico",IF(ISNUMBER(SEARCH("alim",PAA_4[[#This Row],[Actividad3]])),"Alimentación",IF(ISNUMBER(SEARCH("educ",PAA_4[[#This Row],[Actividad3]])),"Educativo","Técnico"))),0)</f>
        <v>0</v>
      </c>
      <c r="AI998" s="47" t="e" cm="1">
        <f t="array" aca="1" ref="AI998" ca="1">_xlfn.XLOOKUP(PAA_4[[#This Row],[RCP-RUBRO]],[2]!COMPROMISOS_2024[[#All],[concatenado]],[2]!COMPROMISOS_2024[[#All],[Total pagado]],"",0)</f>
        <v>#NAME?</v>
      </c>
      <c r="AJ998" s="56">
        <f>IF(PAA_4[[#This Row],[BOLSA]]=0,0,SUMIFS([2]!COMPROMISOS_2024[[#All],[Total pagado]],[2]!COMPROMISOS_2024[[#All],[Bolsa]],PAA_4[[#This Row],[BOLSA]],[2]!COMPROMISOS_2024[[#All],[rubro]],PAA_4[[#This Row],[RCP-RUBRO]]))</f>
        <v>0</v>
      </c>
      <c r="AK998" s="47" t="e" cm="1">
        <f t="array" aca="1" ref="AK998" ca="1">_xlfn.XLOOKUP(PAA_4[[#This Row],[RCP-RUBRO]],[2]!COMPROMISOS_2024[[#All],[concatenado]],[2]!COMPROMISOS_2024[[#All],[Total Comprometido]],"",0)</f>
        <v>#NAME?</v>
      </c>
      <c r="AL998" s="47">
        <f>IF(PAA_4[[#This Row],[BOLSA]]=0,0,SUMIFS([2]!COMPROMISOS_2024[[#All],[Total Comprometido]],[2]!COMPROMISOS_2024[[#All],[Bolsa]],PAA_4[[#This Row],[BOLSA]],[2]!COMPROMISOS_2024[[#All],[concatenado]],PAA_4[[#This Row],[RCP-RUBRO]]))</f>
        <v>0</v>
      </c>
    </row>
    <row r="999" spans="1:38" s="19" customFormat="1" ht="31.5" customHeight="1">
      <c r="A999" s="47">
        <v>340</v>
      </c>
      <c r="B999" s="47">
        <v>80111600</v>
      </c>
      <c r="C999" s="47" t="str">
        <f>VLOOKUP(PAA_4[[#This Row],[PROYECTO (formulado)2]],[2]PROYECTOS!$G$1:$L$32,6,0)</f>
        <v>SUBGERENCIA ESCENARIOS DEPORTIVOS Y EQUIPAMIENTOS</v>
      </c>
      <c r="D999" s="47" t="str">
        <f>+IF(PAA_4[[#This Row],[UNIDAD DE CONTRATACION (formulado)]]="Subgerencia Administrativa y Financiera","FUNCIONAMIENTO","INVERSIÓN")</f>
        <v>INVERSIÓN</v>
      </c>
      <c r="E999" s="48" t="str">
        <f>VLOOKUP(Q999,[2]PROYECTOS!$G$1:$K$32,5,0)</f>
        <v>MEJORAMIENTO_DE_LA_INFRAESTRUCTURA_DEPORTIVA_Y_RECREATIVA_EN_EL_DEPARTAMENTO_DE_ANTIOQUIA</v>
      </c>
      <c r="F999" s="48">
        <f>VLOOKUP(E999,[2]PROYECTOS!$K$1:$M$32,3,0)</f>
        <v>2020003050027</v>
      </c>
      <c r="G999" s="49" t="s">
        <v>288</v>
      </c>
      <c r="H999" s="49" t="str">
        <f>VLOOKUP(Q999,[2]PROYECTOS!$V$1:$W$32,2,0)</f>
        <v>050058</v>
      </c>
      <c r="I999" s="50">
        <f>69851269-7818621-6418600</f>
        <v>55614048</v>
      </c>
      <c r="J999" s="51" t="s">
        <v>1817</v>
      </c>
      <c r="K999" s="47" t="str">
        <f t="shared" ref="K999" ca="1" si="346">IF(ISNONTEXT(Y999)=TRUE,"CONTRATADO","NO CONTRATADO")</f>
        <v>CONTRATADO</v>
      </c>
      <c r="L999" s="47" t="s">
        <v>94</v>
      </c>
      <c r="M999" s="47" t="s">
        <v>1297</v>
      </c>
      <c r="N999" s="52" t="s">
        <v>287</v>
      </c>
      <c r="O999" s="51" t="e">
        <f>VLOOKUP(N999,[2]!RUBROS[#All],3,0)</f>
        <v>#REF!</v>
      </c>
      <c r="P999" s="53" t="e">
        <f>VLOOKUP(N999,[2]!RUBROS[#All],2,0)</f>
        <v>#REF!</v>
      </c>
      <c r="Q999" s="47" t="str">
        <f t="shared" ref="Q999" si="347">+MID(N999,11,2)</f>
        <v>64</v>
      </c>
      <c r="R999" s="47" t="str">
        <f t="shared" ref="R999" si="348">+MID(N999,14,8)</f>
        <v>0-101024</v>
      </c>
      <c r="S999" s="54">
        <v>9.5</v>
      </c>
      <c r="T999" s="59" t="s">
        <v>46</v>
      </c>
      <c r="U999" s="326" t="e">
        <f ca="1">_xlfn.XLOOKUP(PAA_4[[#This Row],[ITEM]],[2]Contrato!A:A,[2]Contrato!Q:Q,"",0)</f>
        <v>#NAME?</v>
      </c>
      <c r="V999" s="47" t="s">
        <v>47</v>
      </c>
      <c r="W999" s="47" t="s">
        <v>96</v>
      </c>
      <c r="X999" s="47" t="s">
        <v>96</v>
      </c>
      <c r="Y999" s="55" t="e">
        <f ca="1">_xlfn.XLOOKUP(PAA_4[[#This Row],[ITEM]],[2]Contrato!A:A,[2]Contrato!B:B,"",0)</f>
        <v>#NAME?</v>
      </c>
      <c r="Z999" s="47" t="e">
        <f ca="1">_xlfn.XLOOKUP(PAA_4[[#This Row],[ITEM]],[2]Contrato!A:A,[2]Contrato!G:G,"",0)</f>
        <v>#NAME?</v>
      </c>
      <c r="AA999" s="47" t="e">
        <f ca="1">_xlfn.XLOOKUP(PAA_4[[#This Row],[ITEM]],[2]Contrato!A:A,[2]Contrato!T:T,"",0)</f>
        <v>#NAME?</v>
      </c>
      <c r="AB999" s="55" t="e">
        <f ca="1">+MAX(PAA_4[[#This Row],[Comprometido Contrato]],PAA_4[[#This Row],[Comprometido Bolsa]])</f>
        <v>#NAME?</v>
      </c>
      <c r="AC999" s="55" t="str">
        <f t="shared" ref="AC999" ca="1" si="349">IFERROR(I999-AB999,"")</f>
        <v/>
      </c>
      <c r="AD999" s="55" t="e">
        <f ca="1">IF(PAA_4[[#This Row],[ESTADO (formulado)]]="NO CONTRATADO",0,MAX(PAA_4[[#This Row],[Pago por Contrato]],PAA_4[[#This Row],[Pago por bolsa]]))</f>
        <v>#NAME?</v>
      </c>
      <c r="AE999" s="55" t="str">
        <f t="shared" ref="AE999" ca="1" si="350">+IFERROR(AB999-AD999,"")</f>
        <v/>
      </c>
      <c r="AF999" s="47" t="e">
        <f t="shared" ref="AF999" ca="1" si="351">+CONCATENATE(AA999,N999)</f>
        <v>#NAME?</v>
      </c>
      <c r="AG999" s="47">
        <f t="shared" ref="AG999" si="352">IFERROR(_xlfn.NUMBERVALUE(MID(G999,1,8)),"")</f>
        <v>43010901</v>
      </c>
      <c r="AH999" s="54">
        <f>IF(Q999="22",IF(ISNUMBER(SEARCH("econ",PAA_4[[#This Row],[Actividad3]])),"Económico",IF(ISNUMBER(SEARCH("alim",PAA_4[[#This Row],[Actividad3]])),"Alimentación",IF(ISNUMBER(SEARCH("educ",PAA_4[[#This Row],[Actividad3]])),"Educativo","Técnico"))),0)</f>
        <v>0</v>
      </c>
      <c r="AI999" s="47" t="e" cm="1">
        <f t="array" aca="1" ref="AI999" ca="1">_xlfn.XLOOKUP(PAA_4[[#This Row],[RCP-RUBRO]],[2]!COMPROMISOS_2024[[#All],[concatenado]],[2]!COMPROMISOS_2024[[#All],[Total pagado]],"",0)</f>
        <v>#NAME?</v>
      </c>
      <c r="AJ999" s="56">
        <f>IF(PAA_4[[#This Row],[BOLSA]]=0,0,SUMIFS([2]!COMPROMISOS_2024[[#All],[Total pagado]],[2]!COMPROMISOS_2024[[#All],[Bolsa]],PAA_4[[#This Row],[BOLSA]],[2]!COMPROMISOS_2024[[#All],[rubro]],PAA_4[[#This Row],[RCP-RUBRO]]))</f>
        <v>0</v>
      </c>
      <c r="AK999" s="47" t="e" cm="1">
        <f t="array" aca="1" ref="AK999" ca="1">_xlfn.XLOOKUP(PAA_4[[#This Row],[RCP-RUBRO]],[2]!COMPROMISOS_2024[[#All],[concatenado]],[2]!COMPROMISOS_2024[[#All],[Total Comprometido]],"",0)</f>
        <v>#NAME?</v>
      </c>
      <c r="AL999" s="47">
        <f>IF(PAA_4[[#This Row],[BOLSA]]=0,0,SUMIFS([2]!COMPROMISOS_2024[[#All],[Total Comprometido]],[2]!COMPROMISOS_2024[[#All],[Bolsa]],PAA_4[[#This Row],[BOLSA]],[2]!COMPROMISOS_2024[[#All],[concatenado]],PAA_4[[#This Row],[RCP-RUBRO]]))</f>
        <v>0</v>
      </c>
    </row>
    <row r="1000" spans="1:38" s="19" customFormat="1" ht="31.5" customHeight="1">
      <c r="A1000" s="47" t="s">
        <v>82</v>
      </c>
      <c r="B1000" s="47" t="s">
        <v>42</v>
      </c>
      <c r="C1000" s="47" t="str">
        <f>VLOOKUP(PAA_4[[#This Row],[PROYECTO (formulado)2]],[2]PROYECTOS!$G$1:$L$32,6,0)</f>
        <v>SUBGERENCIA ESCENARIOS DEPORTIVOS Y EQUIPAMIENTOS</v>
      </c>
      <c r="D1000" s="47" t="str">
        <f>+IF(PAA_4[[#This Row],[UNIDAD DE CONTRATACION (formulado)]]="Subgerencia Administrativa y Financiera","FUNCIONAMIENTO","INVERSIÓN")</f>
        <v>INVERSIÓN</v>
      </c>
      <c r="E1000" s="48" t="str">
        <f>VLOOKUP(Q1000,[2]PROYECTOS!$G$1:$K$32,5,0)</f>
        <v>MEJORAMIENTO_DE_LA_INFRAESTRUCTURA_DEPORTIVA_Y_RECREATIVA_EN_EL_DEPARTAMENTO_DE_ANTIOQUIA</v>
      </c>
      <c r="F1000" s="48">
        <f>VLOOKUP(E1000,[2]PROYECTOS!$K$1:$M$32,3,0)</f>
        <v>2020003050027</v>
      </c>
      <c r="G1000" s="49" t="s">
        <v>288</v>
      </c>
      <c r="H1000" s="49" t="str">
        <f>VLOOKUP(Q1000,[2]PROYECTOS!$V$1:$W$32,2,0)</f>
        <v>050058</v>
      </c>
      <c r="I1000" s="50">
        <v>16413644</v>
      </c>
      <c r="J1000" s="73" t="s">
        <v>1818</v>
      </c>
      <c r="K1000" s="47" t="str">
        <f ca="1">IF(ISNONTEXT(Y1000)=TRUE,"CONTRATADO","NO CONTRATADO")</f>
        <v>CONTRATADO</v>
      </c>
      <c r="L1000" s="47" t="s">
        <v>42</v>
      </c>
      <c r="M1000" s="47" t="s">
        <v>42</v>
      </c>
      <c r="N1000" s="52" t="s">
        <v>287</v>
      </c>
      <c r="O1000" s="51" t="e">
        <f>VLOOKUP(N1000,[2]!RUBROS[#All],3,0)</f>
        <v>#REF!</v>
      </c>
      <c r="P1000" s="53" t="e">
        <f>VLOOKUP(N1000,[2]!RUBROS[#All],2,0)</f>
        <v>#REF!</v>
      </c>
      <c r="Q1000" s="47" t="str">
        <f>+MID(N1000,11,2)</f>
        <v>64</v>
      </c>
      <c r="R1000" s="47" t="str">
        <f>+MID(N1000,14,8)</f>
        <v>0-101024</v>
      </c>
      <c r="S1000" s="54" t="s">
        <v>42</v>
      </c>
      <c r="T1000" s="59" t="s">
        <v>42</v>
      </c>
      <c r="U1000" s="326" t="e">
        <f ca="1">_xlfn.XLOOKUP(PAA_4[[#This Row],[ITEM]],[2]Contrato!A:A,[2]Contrato!Q:Q,"",0)</f>
        <v>#NAME?</v>
      </c>
      <c r="V1000" s="47" t="s">
        <v>95</v>
      </c>
      <c r="W1000" s="47" t="s">
        <v>42</v>
      </c>
      <c r="X1000" s="47" t="s">
        <v>42</v>
      </c>
      <c r="Y1000" s="55" t="e">
        <f ca="1">_xlfn.XLOOKUP(PAA_4[[#This Row],[ITEM]],[2]Contrato!A:A,[2]Contrato!B:B,"",0)</f>
        <v>#NAME?</v>
      </c>
      <c r="Z1000" s="47" t="e">
        <f ca="1">_xlfn.XLOOKUP(PAA_4[[#This Row],[ITEM]],[2]Contrato!A:A,[2]Contrato!G:G,"",0)</f>
        <v>#NAME?</v>
      </c>
      <c r="AA1000" s="47" t="e">
        <f ca="1">_xlfn.XLOOKUP(PAA_4[[#This Row],[ITEM]],[2]Contrato!A:A,[2]Contrato!T:T,"",0)</f>
        <v>#NAME?</v>
      </c>
      <c r="AB1000" s="55" t="e">
        <f ca="1">+MAX(PAA_4[[#This Row],[Comprometido Contrato]],PAA_4[[#This Row],[Comprometido Bolsa]])</f>
        <v>#NAME?</v>
      </c>
      <c r="AC1000" s="55" t="str">
        <f ca="1">IFERROR(I1000-AB1000,"")</f>
        <v/>
      </c>
      <c r="AD1000" s="55" t="e">
        <f ca="1">IF(PAA_4[[#This Row],[ESTADO (formulado)]]="NO CONTRATADO",0,MAX(PAA_4[[#This Row],[Pago por Contrato]],PAA_4[[#This Row],[Pago por bolsa]]))</f>
        <v>#NAME?</v>
      </c>
      <c r="AE1000" s="55" t="str">
        <f ca="1">+IFERROR(AB1000-AD1000,"")</f>
        <v/>
      </c>
      <c r="AF1000" s="47" t="e">
        <f ca="1">+CONCATENATE(AA1000,N1000)</f>
        <v>#NAME?</v>
      </c>
      <c r="AG1000" s="47">
        <f>IFERROR(_xlfn.NUMBERVALUE(MID(G1000,1,8)),"")</f>
        <v>43010901</v>
      </c>
      <c r="AH1000" s="54">
        <f>IF(Q1000="22",IF(ISNUMBER(SEARCH("econ",PAA_4[[#This Row],[Actividad3]])),"Económico",IF(ISNUMBER(SEARCH("alim",PAA_4[[#This Row],[Actividad3]])),"Alimentación",IF(ISNUMBER(SEARCH("educ",PAA_4[[#This Row],[Actividad3]])),"Educativo","Técnico"))),0)</f>
        <v>0</v>
      </c>
      <c r="AI1000" s="47" t="e" cm="1">
        <f t="array" aca="1" ref="AI1000" ca="1">_xlfn.XLOOKUP(PAA_4[[#This Row],[RCP-RUBRO]],[2]!COMPROMISOS_2024[[#All],[concatenado]],[2]!COMPROMISOS_2024[[#All],[Total pagado]],"",0)</f>
        <v>#NAME?</v>
      </c>
      <c r="AJ1000" s="56">
        <f>IF(PAA_4[[#This Row],[BOLSA]]=0,0,SUMIFS([2]!COMPROMISOS_2024[[#All],[Total pagado]],[2]!COMPROMISOS_2024[[#All],[Bolsa]],PAA_4[[#This Row],[BOLSA]],[2]!COMPROMISOS_2024[[#All],[rubro]],PAA_4[[#This Row],[RCP-RUBRO]]))</f>
        <v>0</v>
      </c>
      <c r="AK1000" s="47" t="e" cm="1">
        <f t="array" aca="1" ref="AK1000" ca="1">_xlfn.XLOOKUP(PAA_4[[#This Row],[RCP-RUBRO]],[2]!COMPROMISOS_2024[[#All],[concatenado]],[2]!COMPROMISOS_2024[[#All],[Total Comprometido]],"",0)</f>
        <v>#NAME?</v>
      </c>
      <c r="AL1000" s="47">
        <f>IF(PAA_4[[#This Row],[BOLSA]]=0,0,SUMIFS([2]!COMPROMISOS_2024[[#All],[Total Comprometido]],[2]!COMPROMISOS_2024[[#All],[Bolsa]],PAA_4[[#This Row],[BOLSA]],[2]!COMPROMISOS_2024[[#All],[concatenado]],PAA_4[[#This Row],[RCP-RUBRO]]))</f>
        <v>0</v>
      </c>
    </row>
    <row r="1001" spans="1:38" s="19" customFormat="1" ht="31.5" customHeight="1">
      <c r="A1001" s="47">
        <v>341</v>
      </c>
      <c r="B1001" s="47">
        <v>80111600</v>
      </c>
      <c r="C1001" s="47" t="str">
        <f>VLOOKUP(PAA_4[[#This Row],[PROYECTO (formulado)2]],[2]PROYECTOS!$G$1:$L$32,6,0)</f>
        <v>SUBGERENCIA ESCENARIOS DEPORTIVOS Y EQUIPAMIENTOS</v>
      </c>
      <c r="D1001" s="47" t="str">
        <f>+IF(PAA_4[[#This Row],[UNIDAD DE CONTRATACION (formulado)]]="Subgerencia Administrativa y Financiera","FUNCIONAMIENTO","INVERSIÓN")</f>
        <v>INVERSIÓN</v>
      </c>
      <c r="E1001" s="48" t="str">
        <f>VLOOKUP(Q1001,[2]PROYECTOS!$G$1:$K$32,5,0)</f>
        <v>MEJORAMIENTO_DE_LA_INFRAESTRUCTURA_DEPORTIVA_Y_RECREATIVA_EN_EL_DEPARTAMENTO_DE_ANTIOQUIA</v>
      </c>
      <c r="F1001" s="48">
        <f>VLOOKUP(E1001,[2]PROYECTOS!$K$1:$M$32,3,0)</f>
        <v>2020003050027</v>
      </c>
      <c r="G1001" s="49" t="s">
        <v>288</v>
      </c>
      <c r="H1001" s="49" t="str">
        <f>VLOOKUP(Q1001,[2]PROYECTOS!$V$1:$W$32,2,0)</f>
        <v>050058</v>
      </c>
      <c r="I1001" s="50">
        <f>69851270-16413644</f>
        <v>53437626</v>
      </c>
      <c r="J1001" s="73" t="s">
        <v>1819</v>
      </c>
      <c r="K1001" s="47" t="str">
        <f t="shared" ref="K1001:K1004" ca="1" si="353">IF(ISNONTEXT(Y1001)=TRUE,"CONTRATADO","NO CONTRATADO")</f>
        <v>CONTRATADO</v>
      </c>
      <c r="L1001" s="47" t="s">
        <v>94</v>
      </c>
      <c r="M1001" s="47" t="s">
        <v>1297</v>
      </c>
      <c r="N1001" s="52" t="s">
        <v>287</v>
      </c>
      <c r="O1001" s="51" t="e">
        <f>VLOOKUP(N1001,[2]!RUBROS[#All],3,0)</f>
        <v>#REF!</v>
      </c>
      <c r="P1001" s="53" t="e">
        <f>VLOOKUP(N1001,[2]!RUBROS[#All],2,0)</f>
        <v>#REF!</v>
      </c>
      <c r="Q1001" s="47" t="str">
        <f t="shared" ref="Q1001:Q1004" si="354">+MID(N1001,11,2)</f>
        <v>64</v>
      </c>
      <c r="R1001" s="47" t="str">
        <f t="shared" ref="R1001:R1004" si="355">+MID(N1001,14,8)</f>
        <v>0-101024</v>
      </c>
      <c r="S1001" s="54">
        <v>9.5</v>
      </c>
      <c r="T1001" s="59" t="s">
        <v>46</v>
      </c>
      <c r="U1001" s="326" t="e">
        <f ca="1">_xlfn.XLOOKUP(PAA_4[[#This Row],[ITEM]],[2]Contrato!A:A,[2]Contrato!Q:Q,"",0)</f>
        <v>#NAME?</v>
      </c>
      <c r="V1001" s="47" t="s">
        <v>47</v>
      </c>
      <c r="W1001" s="47" t="s">
        <v>96</v>
      </c>
      <c r="X1001" s="47" t="s">
        <v>96</v>
      </c>
      <c r="Y1001" s="55" t="e">
        <f ca="1">_xlfn.XLOOKUP(PAA_4[[#This Row],[ITEM]],[2]Contrato!A:A,[2]Contrato!B:B,"",0)</f>
        <v>#NAME?</v>
      </c>
      <c r="Z1001" s="47" t="e">
        <f ca="1">_xlfn.XLOOKUP(PAA_4[[#This Row],[ITEM]],[2]Contrato!A:A,[2]Contrato!G:G,"",0)</f>
        <v>#NAME?</v>
      </c>
      <c r="AA1001" s="47" t="e">
        <f ca="1">_xlfn.XLOOKUP(PAA_4[[#This Row],[ITEM]],[2]Contrato!A:A,[2]Contrato!T:T,"",0)</f>
        <v>#NAME?</v>
      </c>
      <c r="AB1001" s="55" t="e">
        <f ca="1">+MAX(PAA_4[[#This Row],[Comprometido Contrato]],PAA_4[[#This Row],[Comprometido Bolsa]])</f>
        <v>#NAME?</v>
      </c>
      <c r="AC1001" s="55" t="str">
        <f t="shared" ref="AC1001:AC1004" ca="1" si="356">IFERROR(I1001-AB1001,"")</f>
        <v/>
      </c>
      <c r="AD1001" s="55" t="e">
        <f ca="1">IF(PAA_4[[#This Row],[ESTADO (formulado)]]="NO CONTRATADO",0,MAX(PAA_4[[#This Row],[Pago por Contrato]],PAA_4[[#This Row],[Pago por bolsa]]))</f>
        <v>#NAME?</v>
      </c>
      <c r="AE1001" s="55" t="str">
        <f t="shared" ref="AE1001:AE1004" ca="1" si="357">+IFERROR(AB1001-AD1001,"")</f>
        <v/>
      </c>
      <c r="AF1001" s="47" t="e">
        <f t="shared" ref="AF1001:AF1004" ca="1" si="358">+CONCATENATE(AA1001,N1001)</f>
        <v>#NAME?</v>
      </c>
      <c r="AG1001" s="47">
        <f t="shared" ref="AG1001:AG1004" si="359">IFERROR(_xlfn.NUMBERVALUE(MID(G1001,1,8)),"")</f>
        <v>43010901</v>
      </c>
      <c r="AH1001" s="54">
        <f>IF(Q1001="22",IF(ISNUMBER(SEARCH("econ",PAA_4[[#This Row],[Actividad3]])),"Económico",IF(ISNUMBER(SEARCH("alim",PAA_4[[#This Row],[Actividad3]])),"Alimentación",IF(ISNUMBER(SEARCH("educ",PAA_4[[#This Row],[Actividad3]])),"Educativo","Técnico"))),0)</f>
        <v>0</v>
      </c>
      <c r="AI1001" s="47" t="e" cm="1">
        <f t="array" aca="1" ref="AI1001" ca="1">_xlfn.XLOOKUP(PAA_4[[#This Row],[RCP-RUBRO]],[2]!COMPROMISOS_2024[[#All],[concatenado]],[2]!COMPROMISOS_2024[[#All],[Total pagado]],"",0)</f>
        <v>#NAME?</v>
      </c>
      <c r="AJ1001" s="56">
        <f>IF(PAA_4[[#This Row],[BOLSA]]=0,0,SUMIFS([2]!COMPROMISOS_2024[[#All],[Total pagado]],[2]!COMPROMISOS_2024[[#All],[Bolsa]],PAA_4[[#This Row],[BOLSA]],[2]!COMPROMISOS_2024[[#All],[rubro]],PAA_4[[#This Row],[RCP-RUBRO]]))</f>
        <v>0</v>
      </c>
      <c r="AK1001" s="47" t="e" cm="1">
        <f t="array" aca="1" ref="AK1001" ca="1">_xlfn.XLOOKUP(PAA_4[[#This Row],[RCP-RUBRO]],[2]!COMPROMISOS_2024[[#All],[concatenado]],[2]!COMPROMISOS_2024[[#All],[Total Comprometido]],"",0)</f>
        <v>#NAME?</v>
      </c>
      <c r="AL1001" s="47">
        <f>IF(PAA_4[[#This Row],[BOLSA]]=0,0,SUMIFS([2]!COMPROMISOS_2024[[#All],[Total Comprometido]],[2]!COMPROMISOS_2024[[#All],[Bolsa]],PAA_4[[#This Row],[BOLSA]],[2]!COMPROMISOS_2024[[#All],[concatenado]],PAA_4[[#This Row],[RCP-RUBRO]]))</f>
        <v>0</v>
      </c>
    </row>
    <row r="1002" spans="1:38" s="19" customFormat="1" ht="31.5" customHeight="1">
      <c r="A1002" s="47">
        <v>342</v>
      </c>
      <c r="B1002" s="47">
        <v>80111600</v>
      </c>
      <c r="C1002" s="47" t="str">
        <f>VLOOKUP(PAA_4[[#This Row],[PROYECTO (formulado)2]],[2]PROYECTOS!$G$1:$L$32,6,0)</f>
        <v>SUBGERENCIA ESCENARIOS DEPORTIVOS Y EQUIPAMIENTOS</v>
      </c>
      <c r="D1002" s="47" t="str">
        <f>+IF(PAA_4[[#This Row],[UNIDAD DE CONTRATACION (formulado)]]="Subgerencia Administrativa y Financiera","FUNCIONAMIENTO","INVERSIÓN")</f>
        <v>INVERSIÓN</v>
      </c>
      <c r="E1002" s="48" t="str">
        <f>VLOOKUP(Q1002,[2]PROYECTOS!$G$1:$K$32,5,0)</f>
        <v>MEJORAMIENTO_DE_LA_INFRAESTRUCTURA_DEPORTIVA_Y_RECREATIVA_EN_EL_DEPARTAMENTO_DE_ANTIOQUIA</v>
      </c>
      <c r="F1002" s="48">
        <f>VLOOKUP(E1002,[2]PROYECTOS!$K$1:$M$32,3,0)</f>
        <v>2020003050027</v>
      </c>
      <c r="G1002" s="49" t="s">
        <v>288</v>
      </c>
      <c r="H1002" s="49" t="str">
        <f>VLOOKUP(Q1002,[2]PROYECTOS!$V$1:$W$32,2,0)</f>
        <v>050058</v>
      </c>
      <c r="I1002" s="50">
        <v>0</v>
      </c>
      <c r="J1002" s="73" t="s">
        <v>1820</v>
      </c>
      <c r="K1002" s="47" t="str">
        <f t="shared" ca="1" si="353"/>
        <v>CONTRATADO</v>
      </c>
      <c r="L1002" s="47" t="s">
        <v>94</v>
      </c>
      <c r="M1002" s="47" t="s">
        <v>1297</v>
      </c>
      <c r="N1002" s="52" t="s">
        <v>287</v>
      </c>
      <c r="O1002" s="51" t="e">
        <f>VLOOKUP(N1002,[2]!RUBROS[#All],3,0)</f>
        <v>#REF!</v>
      </c>
      <c r="P1002" s="53" t="e">
        <f>VLOOKUP(N1002,[2]!RUBROS[#All],2,0)</f>
        <v>#REF!</v>
      </c>
      <c r="Q1002" s="47" t="str">
        <f t="shared" si="354"/>
        <v>64</v>
      </c>
      <c r="R1002" s="47" t="str">
        <f t="shared" si="355"/>
        <v>0-101024</v>
      </c>
      <c r="S1002" s="54">
        <v>12</v>
      </c>
      <c r="T1002" s="59" t="s">
        <v>46</v>
      </c>
      <c r="U1002" s="326" t="e">
        <f ca="1">_xlfn.XLOOKUP(PAA_4[[#This Row],[ITEM]],[2]Contrato!A:A,[2]Contrato!Q:Q,"",0)</f>
        <v>#NAME?</v>
      </c>
      <c r="V1002" s="47" t="s">
        <v>47</v>
      </c>
      <c r="W1002" s="47" t="s">
        <v>83</v>
      </c>
      <c r="X1002" s="47" t="s">
        <v>48</v>
      </c>
      <c r="Y1002" s="55" t="e">
        <f ca="1">_xlfn.XLOOKUP(PAA_4[[#This Row],[ITEM]],[2]Contrato!A:A,[2]Contrato!B:B,"",0)</f>
        <v>#NAME?</v>
      </c>
      <c r="Z1002" s="47" t="e">
        <f ca="1">_xlfn.XLOOKUP(PAA_4[[#This Row],[ITEM]],[2]Contrato!A:A,[2]Contrato!G:G,"",0)</f>
        <v>#NAME?</v>
      </c>
      <c r="AA1002" s="47" t="e">
        <f ca="1">_xlfn.XLOOKUP(PAA_4[[#This Row],[ITEM]],[2]Contrato!A:A,[2]Contrato!T:T,"",0)</f>
        <v>#NAME?</v>
      </c>
      <c r="AB1002" s="55" t="e">
        <f ca="1">+MAX(PAA_4[[#This Row],[Comprometido Contrato]],PAA_4[[#This Row],[Comprometido Bolsa]])</f>
        <v>#NAME?</v>
      </c>
      <c r="AC1002" s="55" t="str">
        <f t="shared" ca="1" si="356"/>
        <v/>
      </c>
      <c r="AD1002" s="55" t="e">
        <f ca="1">IF(PAA_4[[#This Row],[ESTADO (formulado)]]="NO CONTRATADO",0,MAX(PAA_4[[#This Row],[Pago por Contrato]],PAA_4[[#This Row],[Pago por bolsa]]))</f>
        <v>#NAME?</v>
      </c>
      <c r="AE1002" s="55" t="str">
        <f t="shared" ca="1" si="357"/>
        <v/>
      </c>
      <c r="AF1002" s="47" t="e">
        <f t="shared" ca="1" si="358"/>
        <v>#NAME?</v>
      </c>
      <c r="AG1002" s="47">
        <f t="shared" si="359"/>
        <v>43010901</v>
      </c>
      <c r="AH1002" s="54">
        <f>IF(Q1002="22",IF(ISNUMBER(SEARCH("econ",PAA_4[[#This Row],[Actividad3]])),"Económico",IF(ISNUMBER(SEARCH("alim",PAA_4[[#This Row],[Actividad3]])),"Alimentación",IF(ISNUMBER(SEARCH("educ",PAA_4[[#This Row],[Actividad3]])),"Educativo","Técnico"))),0)</f>
        <v>0</v>
      </c>
      <c r="AI1002" s="47" t="e" cm="1">
        <f t="array" aca="1" ref="AI1002" ca="1">_xlfn.XLOOKUP(PAA_4[[#This Row],[RCP-RUBRO]],[2]!COMPROMISOS_2024[[#All],[concatenado]],[2]!COMPROMISOS_2024[[#All],[Total pagado]],"",0)</f>
        <v>#NAME?</v>
      </c>
      <c r="AJ1002" s="56">
        <f>IF(PAA_4[[#This Row],[BOLSA]]=0,0,SUMIFS([2]!COMPROMISOS_2024[[#All],[Total pagado]],[2]!COMPROMISOS_2024[[#All],[Bolsa]],PAA_4[[#This Row],[BOLSA]],[2]!COMPROMISOS_2024[[#All],[rubro]],PAA_4[[#This Row],[RCP-RUBRO]]))</f>
        <v>0</v>
      </c>
      <c r="AK1002" s="47" t="e" cm="1">
        <f t="array" aca="1" ref="AK1002" ca="1">_xlfn.XLOOKUP(PAA_4[[#This Row],[RCP-RUBRO]],[2]!COMPROMISOS_2024[[#All],[concatenado]],[2]!COMPROMISOS_2024[[#All],[Total Comprometido]],"",0)</f>
        <v>#NAME?</v>
      </c>
      <c r="AL1002" s="47">
        <f>IF(PAA_4[[#This Row],[BOLSA]]=0,0,SUMIFS([2]!COMPROMISOS_2024[[#All],[Total Comprometido]],[2]!COMPROMISOS_2024[[#All],[Bolsa]],PAA_4[[#This Row],[BOLSA]],[2]!COMPROMISOS_2024[[#All],[concatenado]],PAA_4[[#This Row],[RCP-RUBRO]]))</f>
        <v>0</v>
      </c>
    </row>
    <row r="1003" spans="1:38" s="19" customFormat="1" ht="31.5" customHeight="1">
      <c r="A1003" s="47">
        <v>343</v>
      </c>
      <c r="B1003" s="47">
        <v>80111600</v>
      </c>
      <c r="C1003" s="47" t="str">
        <f>VLOOKUP(PAA_4[[#This Row],[PROYECTO (formulado)2]],[2]PROYECTOS!$G$1:$L$32,6,0)</f>
        <v>SUBGERENCIA ESCENARIOS DEPORTIVOS Y EQUIPAMIENTOS</v>
      </c>
      <c r="D1003" s="47" t="str">
        <f>+IF(PAA_4[[#This Row],[UNIDAD DE CONTRATACION (formulado)]]="Subgerencia Administrativa y Financiera","FUNCIONAMIENTO","INVERSIÓN")</f>
        <v>INVERSIÓN</v>
      </c>
      <c r="E1003" s="48" t="str">
        <f>VLOOKUP(Q1003,[2]PROYECTOS!$G$1:$K$32,5,0)</f>
        <v>MEJORAMIENTO_DE_LA_INFRAESTRUCTURA_DEPORTIVA_Y_RECREATIVA_EN_EL_DEPARTAMENTO_DE_ANTIOQUIA</v>
      </c>
      <c r="F1003" s="48">
        <f>VLOOKUP(E1003,[2]PROYECTOS!$K$1:$M$32,3,0)</f>
        <v>2020003050027</v>
      </c>
      <c r="G1003" s="49" t="s">
        <v>288</v>
      </c>
      <c r="H1003" s="49" t="str">
        <f>VLOOKUP(Q1003,[2]PROYECTOS!$V$1:$W$32,2,0)</f>
        <v>050058</v>
      </c>
      <c r="I1003" s="50">
        <v>23071407</v>
      </c>
      <c r="J1003" s="51" t="s">
        <v>291</v>
      </c>
      <c r="K1003" s="47" t="str">
        <f t="shared" ca="1" si="353"/>
        <v>CONTRATADO</v>
      </c>
      <c r="L1003" s="52" t="s">
        <v>94</v>
      </c>
      <c r="M1003" s="51" t="s">
        <v>1297</v>
      </c>
      <c r="N1003" s="51" t="s">
        <v>292</v>
      </c>
      <c r="O1003" s="51" t="e">
        <f>VLOOKUP(N1003,[2]!RUBROS[#All],3,0)</f>
        <v>#REF!</v>
      </c>
      <c r="P1003" s="53" t="e">
        <f>VLOOKUP(N1003,[2]!RUBROS[#All],2,0)</f>
        <v>#REF!</v>
      </c>
      <c r="Q1003" s="47" t="str">
        <f t="shared" si="354"/>
        <v>64</v>
      </c>
      <c r="R1003" s="47" t="str">
        <f t="shared" si="355"/>
        <v>0-205128</v>
      </c>
      <c r="S1003" s="54">
        <v>3</v>
      </c>
      <c r="T1003" s="59" t="s">
        <v>46</v>
      </c>
      <c r="U1003" s="326" t="e">
        <f ca="1">_xlfn.XLOOKUP(PAA_4[[#This Row],[ITEM]],[2]Contrato!A:A,[2]Contrato!Q:Q,"",0)</f>
        <v>#NAME?</v>
      </c>
      <c r="V1003" s="47" t="s">
        <v>47</v>
      </c>
      <c r="W1003" s="47" t="s">
        <v>83</v>
      </c>
      <c r="X1003" s="47" t="s">
        <v>83</v>
      </c>
      <c r="Y1003" s="55" t="e">
        <f ca="1">_xlfn.XLOOKUP(PAA_4[[#This Row],[ITEM]],[2]Contrato!A:A,[2]Contrato!B:B,"",0)</f>
        <v>#NAME?</v>
      </c>
      <c r="Z1003" s="47" t="e">
        <f ca="1">_xlfn.XLOOKUP(PAA_4[[#This Row],[ITEM]],[2]Contrato!A:A,[2]Contrato!G:G,"",0)</f>
        <v>#NAME?</v>
      </c>
      <c r="AA1003" s="47" t="e">
        <f ca="1">_xlfn.XLOOKUP(PAA_4[[#This Row],[ITEM]],[2]Contrato!A:A,[2]Contrato!T:T,"",0)</f>
        <v>#NAME?</v>
      </c>
      <c r="AB1003" s="55" t="e">
        <f ca="1">+MAX(PAA_4[[#This Row],[Comprometido Contrato]],PAA_4[[#This Row],[Comprometido Bolsa]])</f>
        <v>#NAME?</v>
      </c>
      <c r="AC1003" s="55" t="str">
        <f t="shared" ca="1" si="356"/>
        <v/>
      </c>
      <c r="AD1003" s="55" t="e">
        <f ca="1">IF(PAA_4[[#This Row],[ESTADO (formulado)]]="NO CONTRATADO",0,MAX(PAA_4[[#This Row],[Pago por Contrato]],PAA_4[[#This Row],[Pago por bolsa]]))</f>
        <v>#NAME?</v>
      </c>
      <c r="AE1003" s="55" t="str">
        <f t="shared" ca="1" si="357"/>
        <v/>
      </c>
      <c r="AF1003" s="47" t="e">
        <f t="shared" ca="1" si="358"/>
        <v>#NAME?</v>
      </c>
      <c r="AG1003" s="47">
        <f t="shared" si="359"/>
        <v>43010901</v>
      </c>
      <c r="AH1003" s="54">
        <f>IF(Q1003="22",IF(ISNUMBER(SEARCH("econ",PAA_4[[#This Row],[Actividad3]])),"Económico",IF(ISNUMBER(SEARCH("alim",PAA_4[[#This Row],[Actividad3]])),"Alimentación",IF(ISNUMBER(SEARCH("educ",PAA_4[[#This Row],[Actividad3]])),"Educativo","Técnico"))),0)</f>
        <v>0</v>
      </c>
      <c r="AI1003" s="47" t="e" cm="1">
        <f t="array" aca="1" ref="AI1003" ca="1">_xlfn.XLOOKUP(PAA_4[[#This Row],[RCP-RUBRO]],[2]!COMPROMISOS_2024[[#All],[concatenado]],[2]!COMPROMISOS_2024[[#All],[Total pagado]],"",0)</f>
        <v>#NAME?</v>
      </c>
      <c r="AJ1003" s="56">
        <f>IF(PAA_4[[#This Row],[BOLSA]]=0,0,SUMIFS([2]!COMPROMISOS_2024[[#All],[Total pagado]],[2]!COMPROMISOS_2024[[#All],[Bolsa]],PAA_4[[#This Row],[BOLSA]],[2]!COMPROMISOS_2024[[#All],[rubro]],PAA_4[[#This Row],[RCP-RUBRO]]))</f>
        <v>0</v>
      </c>
      <c r="AK1003" s="47" t="e" cm="1">
        <f t="array" aca="1" ref="AK1003" ca="1">_xlfn.XLOOKUP(PAA_4[[#This Row],[RCP-RUBRO]],[2]!COMPROMISOS_2024[[#All],[concatenado]],[2]!COMPROMISOS_2024[[#All],[Total Comprometido]],"",0)</f>
        <v>#NAME?</v>
      </c>
      <c r="AL1003" s="47">
        <f>IF(PAA_4[[#This Row],[BOLSA]]=0,0,SUMIFS([2]!COMPROMISOS_2024[[#All],[Total Comprometido]],[2]!COMPROMISOS_2024[[#All],[Bolsa]],PAA_4[[#This Row],[BOLSA]],[2]!COMPROMISOS_2024[[#All],[concatenado]],PAA_4[[#This Row],[RCP-RUBRO]]))</f>
        <v>0</v>
      </c>
    </row>
    <row r="1004" spans="1:38" s="19" customFormat="1" ht="31.5" customHeight="1">
      <c r="A1004" s="47">
        <v>620</v>
      </c>
      <c r="B1004" s="47">
        <v>80111600</v>
      </c>
      <c r="C1004" s="47" t="str">
        <f>VLOOKUP(PAA_4[[#This Row],[PROYECTO (formulado)2]],[2]PROYECTOS!$G$1:$L$32,6,0)</f>
        <v>SUBGERENCIA ESCENARIOS DEPORTIVOS Y EQUIPAMIENTOS</v>
      </c>
      <c r="D1004" s="47" t="str">
        <f>+IF(PAA_4[[#This Row],[UNIDAD DE CONTRATACION (formulado)]]="Subgerencia Administrativa y Financiera","FUNCIONAMIENTO","INVERSIÓN")</f>
        <v>INVERSIÓN</v>
      </c>
      <c r="E1004" s="48" t="str">
        <f>VLOOKUP(Q1004,[2]PROYECTOS!$G$1:$K$32,5,0)</f>
        <v>MEJORAMIENTO_DE_LA_INFRAESTRUCTURA_DEPORTIVA_Y_RECREATIVA_EN_EL_DEPARTAMENTO_DE_ANTIOQUIA</v>
      </c>
      <c r="F1004" s="48">
        <f>VLOOKUP(E1004,[2]PROYECTOS!$K$1:$M$32,3,0)</f>
        <v>2020003050027</v>
      </c>
      <c r="G1004" s="49" t="s">
        <v>288</v>
      </c>
      <c r="H1004" s="49" t="str">
        <f>VLOOKUP(Q1004,[2]PROYECTOS!$V$1:$W$32,2,0)</f>
        <v>050058</v>
      </c>
      <c r="I1004" s="50">
        <v>0</v>
      </c>
      <c r="J1004" s="51" t="s">
        <v>1821</v>
      </c>
      <c r="K1004" s="47" t="str">
        <f t="shared" ca="1" si="353"/>
        <v>CONTRATADO</v>
      </c>
      <c r="L1004" s="52" t="s">
        <v>94</v>
      </c>
      <c r="M1004" s="51" t="s">
        <v>1297</v>
      </c>
      <c r="N1004" s="51" t="s">
        <v>292</v>
      </c>
      <c r="O1004" s="51" t="e">
        <f>VLOOKUP(N1004,[2]!RUBROS[#All],3,0)</f>
        <v>#REF!</v>
      </c>
      <c r="P1004" s="53" t="e">
        <f>VLOOKUP(N1004,[2]!RUBROS[#All],2,0)</f>
        <v>#REF!</v>
      </c>
      <c r="Q1004" s="47" t="str">
        <f t="shared" si="354"/>
        <v>64</v>
      </c>
      <c r="R1004" s="47" t="str">
        <f t="shared" si="355"/>
        <v>0-205128</v>
      </c>
      <c r="S1004" s="54"/>
      <c r="T1004" s="59" t="s">
        <v>46</v>
      </c>
      <c r="U1004" s="326" t="s">
        <v>290</v>
      </c>
      <c r="V1004" s="47" t="s">
        <v>47</v>
      </c>
      <c r="W1004" s="47" t="s">
        <v>96</v>
      </c>
      <c r="X1004" s="47" t="s">
        <v>96</v>
      </c>
      <c r="Y1004" s="55" t="e">
        <f ca="1">_xlfn.XLOOKUP(PAA_4[[#This Row],[ITEM]],[2]Contrato!A:A,[2]Contrato!B:B,"",0)</f>
        <v>#NAME?</v>
      </c>
      <c r="Z1004" s="47" t="e">
        <f ca="1">_xlfn.XLOOKUP(PAA_4[[#This Row],[ITEM]],[2]Contrato!A:A,[2]Contrato!G:G,"",0)</f>
        <v>#NAME?</v>
      </c>
      <c r="AA1004" s="47" t="e">
        <f ca="1">_xlfn.XLOOKUP(PAA_4[[#This Row],[ITEM]],[2]Contrato!A:A,[2]Contrato!T:T,"",0)</f>
        <v>#NAME?</v>
      </c>
      <c r="AB1004" s="55" t="e">
        <f ca="1">+MAX(PAA_4[[#This Row],[Comprometido Contrato]],PAA_4[[#This Row],[Comprometido Bolsa]])</f>
        <v>#NAME?</v>
      </c>
      <c r="AC1004" s="55" t="str">
        <f t="shared" ca="1" si="356"/>
        <v/>
      </c>
      <c r="AD1004" s="55" t="e">
        <f ca="1">IF(PAA_4[[#This Row],[ESTADO (formulado)]]="NO CONTRATADO",0,MAX(PAA_4[[#This Row],[Pago por Contrato]],PAA_4[[#This Row],[Pago por bolsa]]))</f>
        <v>#NAME?</v>
      </c>
      <c r="AE1004" s="55" t="str">
        <f t="shared" ca="1" si="357"/>
        <v/>
      </c>
      <c r="AF1004" s="47" t="e">
        <f t="shared" ca="1" si="358"/>
        <v>#NAME?</v>
      </c>
      <c r="AG1004" s="47">
        <f t="shared" si="359"/>
        <v>43010901</v>
      </c>
      <c r="AH1004" s="54">
        <f>IF(Q1004="22",IF(ISNUMBER(SEARCH("econ",PAA_4[[#This Row],[Actividad3]])),"Económico",IF(ISNUMBER(SEARCH("alim",PAA_4[[#This Row],[Actividad3]])),"Alimentación",IF(ISNUMBER(SEARCH("educ",PAA_4[[#This Row],[Actividad3]])),"Educativo","Técnico"))),0)</f>
        <v>0</v>
      </c>
      <c r="AI1004" s="47" t="e" cm="1">
        <f t="array" aca="1" ref="AI1004" ca="1">_xlfn.XLOOKUP(PAA_4[[#This Row],[RCP-RUBRO]],[2]!COMPROMISOS_2024[[#All],[concatenado]],[2]!COMPROMISOS_2024[[#All],[Total pagado]],"",0)</f>
        <v>#NAME?</v>
      </c>
      <c r="AJ1004" s="56">
        <f>IF(PAA_4[[#This Row],[BOLSA]]=0,0,SUMIFS([2]!COMPROMISOS_2024[[#All],[Total pagado]],[2]!COMPROMISOS_2024[[#All],[Bolsa]],PAA_4[[#This Row],[BOLSA]],[2]!COMPROMISOS_2024[[#All],[rubro]],PAA_4[[#This Row],[RCP-RUBRO]]))</f>
        <v>0</v>
      </c>
      <c r="AK1004" s="47" t="e" cm="1">
        <f t="array" aca="1" ref="AK1004" ca="1">_xlfn.XLOOKUP(PAA_4[[#This Row],[RCP-RUBRO]],[2]!COMPROMISOS_2024[[#All],[concatenado]],[2]!COMPROMISOS_2024[[#All],[Total Comprometido]],"",0)</f>
        <v>#NAME?</v>
      </c>
      <c r="AL1004" s="47">
        <f>IF(PAA_4[[#This Row],[BOLSA]]=0,0,SUMIFS([2]!COMPROMISOS_2024[[#All],[Total Comprometido]],[2]!COMPROMISOS_2024[[#All],[Bolsa]],PAA_4[[#This Row],[BOLSA]],[2]!COMPROMISOS_2024[[#All],[concatenado]],PAA_4[[#This Row],[RCP-RUBRO]]))</f>
        <v>0</v>
      </c>
    </row>
    <row r="1005" spans="1:38" s="19" customFormat="1" ht="31.5" customHeight="1">
      <c r="A1005" s="47" t="s">
        <v>82</v>
      </c>
      <c r="B1005" s="47" t="s">
        <v>42</v>
      </c>
      <c r="C1005" s="47" t="str">
        <f>VLOOKUP(PAA_4[[#This Row],[PROYECTO (formulado)2]],[2]PROYECTOS!$G$1:$L$32,6,0)</f>
        <v>SUBGERENCIA ESCENARIOS DEPORTIVOS Y EQUIPAMIENTOS</v>
      </c>
      <c r="D1005" s="47" t="str">
        <f>+IF(PAA_4[[#This Row],[UNIDAD DE CONTRATACION (formulado)]]="Subgerencia Administrativa y Financiera","FUNCIONAMIENTO","INVERSIÓN")</f>
        <v>INVERSIÓN</v>
      </c>
      <c r="E1005" s="48" t="str">
        <f>VLOOKUP(Q1005,[2]PROYECTOS!$G$1:$K$32,5,0)</f>
        <v>MEJORAMIENTO_DE_LA_INFRAESTRUCTURA_DEPORTIVA_Y_RECREATIVA_EN_EL_DEPARTAMENTO_DE_ANTIOQUIA</v>
      </c>
      <c r="F1005" s="48">
        <f>VLOOKUP(E1005,[2]PROYECTOS!$K$1:$M$32,3,0)</f>
        <v>2020003050027</v>
      </c>
      <c r="G1005" s="49" t="s">
        <v>288</v>
      </c>
      <c r="H1005" s="49" t="str">
        <f>VLOOKUP(Q1005,[2]PROYECTOS!$V$1:$W$32,2,0)</f>
        <v>050058</v>
      </c>
      <c r="I1005" s="50">
        <v>3565068</v>
      </c>
      <c r="J1005" s="51" t="s">
        <v>1813</v>
      </c>
      <c r="K1005" s="47" t="str">
        <f ca="1">IF(ISNONTEXT(Y1005)=TRUE,"CONTRATADO","NO CONTRATADO")</f>
        <v>CONTRATADO</v>
      </c>
      <c r="L1005" s="47" t="s">
        <v>42</v>
      </c>
      <c r="M1005" s="47" t="s">
        <v>42</v>
      </c>
      <c r="N1005" s="51" t="s">
        <v>292</v>
      </c>
      <c r="O1005" s="51" t="e">
        <f>VLOOKUP(N1005,[2]!RUBROS[#All],3,0)</f>
        <v>#REF!</v>
      </c>
      <c r="P1005" s="53" t="e">
        <f>VLOOKUP(N1005,[2]!RUBROS[#All],2,0)</f>
        <v>#REF!</v>
      </c>
      <c r="Q1005" s="47" t="str">
        <f>+MID(N1005,11,2)</f>
        <v>64</v>
      </c>
      <c r="R1005" s="47" t="str">
        <f>+MID(N1005,14,8)</f>
        <v>0-205128</v>
      </c>
      <c r="S1005" s="54" t="s">
        <v>42</v>
      </c>
      <c r="T1005" s="59" t="s">
        <v>42</v>
      </c>
      <c r="U1005" s="326" t="e">
        <f ca="1">_xlfn.XLOOKUP(PAA_4[[#This Row],[ITEM]],[2]Contrato!A:A,[2]Contrato!Q:Q,"",0)</f>
        <v>#NAME?</v>
      </c>
      <c r="V1005" s="47" t="s">
        <v>42</v>
      </c>
      <c r="W1005" s="47" t="s">
        <v>42</v>
      </c>
      <c r="X1005" s="47" t="s">
        <v>42</v>
      </c>
      <c r="Y1005" s="55" t="e">
        <f ca="1">_xlfn.XLOOKUP(PAA_4[[#This Row],[ITEM]],[2]Contrato!A:A,[2]Contrato!B:B,"",0)</f>
        <v>#NAME?</v>
      </c>
      <c r="Z1005" s="47" t="e">
        <f ca="1">_xlfn.XLOOKUP(PAA_4[[#This Row],[ITEM]],[2]Contrato!A:A,[2]Contrato!G:G,"",0)</f>
        <v>#NAME?</v>
      </c>
      <c r="AA1005" s="47" t="e">
        <f ca="1">_xlfn.XLOOKUP(PAA_4[[#This Row],[ITEM]],[2]Contrato!A:A,[2]Contrato!T:T,"",0)</f>
        <v>#NAME?</v>
      </c>
      <c r="AB1005" s="55" t="e">
        <f ca="1">+MAX(PAA_4[[#This Row],[Comprometido Contrato]],PAA_4[[#This Row],[Comprometido Bolsa]])</f>
        <v>#NAME?</v>
      </c>
      <c r="AC1005" s="55" t="str">
        <f ca="1">IFERROR(I1005-AB1005,"")</f>
        <v/>
      </c>
      <c r="AD1005" s="55" t="e">
        <f ca="1">IF(PAA_4[[#This Row],[ESTADO (formulado)]]="NO CONTRATADO",0,MAX(PAA_4[[#This Row],[Pago por Contrato]],PAA_4[[#This Row],[Pago por bolsa]]))</f>
        <v>#NAME?</v>
      </c>
      <c r="AE1005" s="55" t="str">
        <f ca="1">+IFERROR(AB1005-AD1005,"")</f>
        <v/>
      </c>
      <c r="AF1005" s="47" t="e">
        <f ca="1">+CONCATENATE(AA1005,N1005)</f>
        <v>#NAME?</v>
      </c>
      <c r="AG1005" s="47">
        <f>IFERROR(_xlfn.NUMBERVALUE(MID(G1005,1,8)),"")</f>
        <v>43010901</v>
      </c>
      <c r="AH1005" s="54">
        <f>IF(Q1005="22",IF(ISNUMBER(SEARCH("econ",PAA_4[[#This Row],[Actividad3]])),"Económico",IF(ISNUMBER(SEARCH("alim",PAA_4[[#This Row],[Actividad3]])),"Alimentación",IF(ISNUMBER(SEARCH("educ",PAA_4[[#This Row],[Actividad3]])),"Educativo","Técnico"))),0)</f>
        <v>0</v>
      </c>
      <c r="AI1005" s="47" t="e" cm="1">
        <f t="array" aca="1" ref="AI1005" ca="1">_xlfn.XLOOKUP(PAA_4[[#This Row],[RCP-RUBRO]],[2]!COMPROMISOS_2024[[#All],[concatenado]],[2]!COMPROMISOS_2024[[#All],[Total pagado]],"",0)</f>
        <v>#NAME?</v>
      </c>
      <c r="AJ1005" s="56">
        <f>IF(PAA_4[[#This Row],[BOLSA]]=0,0,SUMIFS([2]!COMPROMISOS_2024[[#All],[Total pagado]],[2]!COMPROMISOS_2024[[#All],[Bolsa]],PAA_4[[#This Row],[BOLSA]],[2]!COMPROMISOS_2024[[#All],[rubro]],PAA_4[[#This Row],[RCP-RUBRO]]))</f>
        <v>0</v>
      </c>
      <c r="AK1005" s="47" t="e" cm="1">
        <f t="array" aca="1" ref="AK1005" ca="1">_xlfn.XLOOKUP(PAA_4[[#This Row],[RCP-RUBRO]],[2]!COMPROMISOS_2024[[#All],[concatenado]],[2]!COMPROMISOS_2024[[#All],[Total Comprometido]],"",0)</f>
        <v>#NAME?</v>
      </c>
      <c r="AL1005" s="47">
        <f>IF(PAA_4[[#This Row],[BOLSA]]=0,0,SUMIFS([2]!COMPROMISOS_2024[[#All],[Total Comprometido]],[2]!COMPROMISOS_2024[[#All],[Bolsa]],PAA_4[[#This Row],[BOLSA]],[2]!COMPROMISOS_2024[[#All],[concatenado]],PAA_4[[#This Row],[RCP-RUBRO]]))</f>
        <v>0</v>
      </c>
    </row>
    <row r="1006" spans="1:38" s="19" customFormat="1" ht="31.5" customHeight="1">
      <c r="A1006" s="47">
        <v>671</v>
      </c>
      <c r="B1006" s="47">
        <v>80111600</v>
      </c>
      <c r="C1006" s="47" t="str">
        <f>VLOOKUP(PAA_4[[#This Row],[PROYECTO (formulado)2]],[2]PROYECTOS!$G$1:$L$32,6,0)</f>
        <v>SUBGERENCIA ESCENARIOS DEPORTIVOS Y EQUIPAMIENTOS</v>
      </c>
      <c r="D1006" s="47" t="str">
        <f>+IF(PAA_4[[#This Row],[UNIDAD DE CONTRATACION (formulado)]]="Subgerencia Administrativa y Financiera","FUNCIONAMIENTO","INVERSIÓN")</f>
        <v>INVERSIÓN</v>
      </c>
      <c r="E1006" s="48" t="str">
        <f>VLOOKUP(Q1006,[2]PROYECTOS!$G$1:$K$32,5,0)</f>
        <v>MEJORAMIENTO_DE_LA_INFRAESTRUCTURA_DEPORTIVA_Y_RECREATIVA_EN_EL_DEPARTAMENTO_DE_ANTIOQUIA</v>
      </c>
      <c r="F1006" s="48">
        <f>VLOOKUP(E1006,[2]PROYECTOS!$K$1:$M$32,3,0)</f>
        <v>2020003050027</v>
      </c>
      <c r="G1006" s="49" t="s">
        <v>288</v>
      </c>
      <c r="H1006" s="49" t="str">
        <f>VLOOKUP(Q1006,[2]PROYECTOS!$V$1:$W$32,2,0)</f>
        <v>050058</v>
      </c>
      <c r="I1006" s="50">
        <f>71907081-3565068</f>
        <v>68342013</v>
      </c>
      <c r="J1006" s="51" t="s">
        <v>1822</v>
      </c>
      <c r="K1006" s="47" t="str">
        <f t="shared" ref="K1006" ca="1" si="360">IF(ISNONTEXT(Y1006)=TRUE,"CONTRATADO","NO CONTRATADO")</f>
        <v>CONTRATADO</v>
      </c>
      <c r="L1006" s="52" t="s">
        <v>94</v>
      </c>
      <c r="M1006" s="51" t="s">
        <v>1297</v>
      </c>
      <c r="N1006" s="51" t="s">
        <v>292</v>
      </c>
      <c r="O1006" s="51" t="e">
        <f>VLOOKUP(N1006,[2]!RUBROS[#All],3,0)</f>
        <v>#REF!</v>
      </c>
      <c r="P1006" s="53" t="e">
        <f>VLOOKUP(N1006,[2]!RUBROS[#All],2,0)</f>
        <v>#REF!</v>
      </c>
      <c r="Q1006" s="47" t="str">
        <f t="shared" ref="Q1006" si="361">+MID(N1006,11,2)</f>
        <v>64</v>
      </c>
      <c r="R1006" s="47" t="str">
        <f t="shared" ref="R1006" si="362">+MID(N1006,14,8)</f>
        <v>0-205128</v>
      </c>
      <c r="S1006" s="54">
        <v>8</v>
      </c>
      <c r="T1006" s="59" t="s">
        <v>46</v>
      </c>
      <c r="U1006" s="326" t="e">
        <f ca="1">_xlfn.XLOOKUP(PAA_4[[#This Row],[ITEM]],[2]Contrato!A:A,[2]Contrato!Q:Q,"",0)</f>
        <v>#NAME?</v>
      </c>
      <c r="V1006" s="47" t="s">
        <v>47</v>
      </c>
      <c r="W1006" s="47" t="s">
        <v>122</v>
      </c>
      <c r="X1006" s="47" t="s">
        <v>122</v>
      </c>
      <c r="Y1006" s="55" t="e">
        <f ca="1">_xlfn.XLOOKUP(PAA_4[[#This Row],[ITEM]],[2]Contrato!A:A,[2]Contrato!B:B,"",0)</f>
        <v>#NAME?</v>
      </c>
      <c r="Z1006" s="47" t="e">
        <f ca="1">_xlfn.XLOOKUP(PAA_4[[#This Row],[ITEM]],[2]Contrato!A:A,[2]Contrato!G:G,"",0)</f>
        <v>#NAME?</v>
      </c>
      <c r="AA1006" s="47" t="e">
        <f ca="1">_xlfn.XLOOKUP(PAA_4[[#This Row],[ITEM]],[2]Contrato!A:A,[2]Contrato!T:T,"",0)</f>
        <v>#NAME?</v>
      </c>
      <c r="AB1006" s="55" t="e">
        <f ca="1">+MAX(PAA_4[[#This Row],[Comprometido Contrato]],PAA_4[[#This Row],[Comprometido Bolsa]])</f>
        <v>#NAME?</v>
      </c>
      <c r="AC1006" s="55" t="str">
        <f t="shared" ref="AC1006" ca="1" si="363">IFERROR(I1006-AB1006,"")</f>
        <v/>
      </c>
      <c r="AD1006" s="55" t="e">
        <f ca="1">IF(PAA_4[[#This Row],[ESTADO (formulado)]]="NO CONTRATADO",0,MAX(PAA_4[[#This Row],[Pago por Contrato]],PAA_4[[#This Row],[Pago por bolsa]]))</f>
        <v>#NAME?</v>
      </c>
      <c r="AE1006" s="55" t="str">
        <f t="shared" ref="AE1006" ca="1" si="364">+IFERROR(AB1006-AD1006,"")</f>
        <v/>
      </c>
      <c r="AF1006" s="47" t="e">
        <f t="shared" ref="AF1006" ca="1" si="365">+CONCATENATE(AA1006,N1006)</f>
        <v>#NAME?</v>
      </c>
      <c r="AG1006" s="47">
        <f t="shared" ref="AG1006" si="366">IFERROR(_xlfn.NUMBERVALUE(MID(G1006,1,8)),"")</f>
        <v>43010901</v>
      </c>
      <c r="AH1006" s="54">
        <f>IF(Q1006="22",IF(ISNUMBER(SEARCH("econ",PAA_4[[#This Row],[Actividad3]])),"Económico",IF(ISNUMBER(SEARCH("alim",PAA_4[[#This Row],[Actividad3]])),"Alimentación",IF(ISNUMBER(SEARCH("educ",PAA_4[[#This Row],[Actividad3]])),"Educativo","Técnico"))),0)</f>
        <v>0</v>
      </c>
      <c r="AI1006" s="47" t="e" cm="1">
        <f t="array" aca="1" ref="AI1006" ca="1">_xlfn.XLOOKUP(PAA_4[[#This Row],[RCP-RUBRO]],[2]!COMPROMISOS_2024[[#All],[concatenado]],[2]!COMPROMISOS_2024[[#All],[Total pagado]],"",0)</f>
        <v>#NAME?</v>
      </c>
      <c r="AJ1006" s="56">
        <f>IF(PAA_4[[#This Row],[BOLSA]]=0,0,SUMIFS([2]!COMPROMISOS_2024[[#All],[Total pagado]],[2]!COMPROMISOS_2024[[#All],[Bolsa]],PAA_4[[#This Row],[BOLSA]],[2]!COMPROMISOS_2024[[#All],[rubro]],PAA_4[[#This Row],[RCP-RUBRO]]))</f>
        <v>0</v>
      </c>
      <c r="AK1006" s="47" t="e" cm="1">
        <f t="array" aca="1" ref="AK1006" ca="1">_xlfn.XLOOKUP(PAA_4[[#This Row],[RCP-RUBRO]],[2]!COMPROMISOS_2024[[#All],[concatenado]],[2]!COMPROMISOS_2024[[#All],[Total Comprometido]],"",0)</f>
        <v>#NAME?</v>
      </c>
      <c r="AL1006" s="47">
        <f>IF(PAA_4[[#This Row],[BOLSA]]=0,0,SUMIFS([2]!COMPROMISOS_2024[[#All],[Total Comprometido]],[2]!COMPROMISOS_2024[[#All],[Bolsa]],PAA_4[[#This Row],[BOLSA]],[2]!COMPROMISOS_2024[[#All],[concatenado]],PAA_4[[#This Row],[RCP-RUBRO]]))</f>
        <v>0</v>
      </c>
    </row>
    <row r="1007" spans="1:38" s="19" customFormat="1" ht="31.5" customHeight="1">
      <c r="A1007" s="47" t="s">
        <v>82</v>
      </c>
      <c r="B1007" s="47" t="s">
        <v>42</v>
      </c>
      <c r="C1007" s="47" t="str">
        <f>VLOOKUP(PAA_4[[#This Row],[PROYECTO (formulado)2]],[2]PROYECTOS!$G$1:$L$32,6,0)</f>
        <v>SUBGERENCIA ESCENARIOS DEPORTIVOS Y EQUIPAMIENTOS</v>
      </c>
      <c r="D1007" s="47" t="str">
        <f>+IF(PAA_4[[#This Row],[UNIDAD DE CONTRATACION (formulado)]]="Subgerencia Administrativa y Financiera","FUNCIONAMIENTO","INVERSIÓN")</f>
        <v>INVERSIÓN</v>
      </c>
      <c r="E1007" s="48" t="str">
        <f>VLOOKUP(Q1007,[2]PROYECTOS!$G$1:$K$32,5,0)</f>
        <v>MEJORAMIENTO_DE_LA_INFRAESTRUCTURA_DEPORTIVA_Y_RECREATIVA_EN_EL_DEPARTAMENTO_DE_ANTIOQUIA</v>
      </c>
      <c r="F1007" s="48">
        <f>VLOOKUP(E1007,[2]PROYECTOS!$K$1:$M$32,3,0)</f>
        <v>2020003050027</v>
      </c>
      <c r="G1007" s="49" t="s">
        <v>288</v>
      </c>
      <c r="H1007" s="49" t="str">
        <f>VLOOKUP(Q1007,[2]PROYECTOS!$V$1:$W$32,2,0)</f>
        <v>050058</v>
      </c>
      <c r="I1007" s="50">
        <v>1869364</v>
      </c>
      <c r="J1007" s="51" t="s">
        <v>1816</v>
      </c>
      <c r="K1007" s="47" t="str">
        <f ca="1">IF(ISNONTEXT(Y1007)=TRUE,"CONTRATADO","NO CONTRATADO")</f>
        <v>CONTRATADO</v>
      </c>
      <c r="L1007" s="52" t="s">
        <v>42</v>
      </c>
      <c r="M1007" s="51" t="s">
        <v>42</v>
      </c>
      <c r="N1007" s="51" t="s">
        <v>292</v>
      </c>
      <c r="O1007" s="51" t="e">
        <f>VLOOKUP(N1007,[2]!RUBROS[#All],3,0)</f>
        <v>#REF!</v>
      </c>
      <c r="P1007" s="53" t="e">
        <f>VLOOKUP(N1007,[2]!RUBROS[#All],2,0)</f>
        <v>#REF!</v>
      </c>
      <c r="Q1007" s="47" t="str">
        <f>+MID(N1007,11,2)</f>
        <v>64</v>
      </c>
      <c r="R1007" s="47" t="str">
        <f>+MID(N1007,14,8)</f>
        <v>0-205128</v>
      </c>
      <c r="S1007" s="54" t="s">
        <v>42</v>
      </c>
      <c r="T1007" s="59" t="s">
        <v>42</v>
      </c>
      <c r="U1007" s="326" t="e">
        <f ca="1">_xlfn.XLOOKUP(PAA_4[[#This Row],[ITEM]],[2]Contrato!A:A,[2]Contrato!Q:Q,"",0)</f>
        <v>#NAME?</v>
      </c>
      <c r="V1007" s="47" t="s">
        <v>95</v>
      </c>
      <c r="W1007" s="47" t="s">
        <v>42</v>
      </c>
      <c r="X1007" s="47" t="s">
        <v>42</v>
      </c>
      <c r="Y1007" s="55" t="e">
        <f ca="1">_xlfn.XLOOKUP(PAA_4[[#This Row],[ITEM]],[2]Contrato!A:A,[2]Contrato!B:B,"",0)</f>
        <v>#NAME?</v>
      </c>
      <c r="Z1007" s="47" t="e">
        <f ca="1">_xlfn.XLOOKUP(PAA_4[[#This Row],[ITEM]],[2]Contrato!A:A,[2]Contrato!G:G,"",0)</f>
        <v>#NAME?</v>
      </c>
      <c r="AA1007" s="47" t="e">
        <f ca="1">_xlfn.XLOOKUP(PAA_4[[#This Row],[ITEM]],[2]Contrato!A:A,[2]Contrato!T:T,"",0)</f>
        <v>#NAME?</v>
      </c>
      <c r="AB1007" s="55" t="e">
        <f ca="1">+MAX(PAA_4[[#This Row],[Comprometido Contrato]],PAA_4[[#This Row],[Comprometido Bolsa]])</f>
        <v>#NAME?</v>
      </c>
      <c r="AC1007" s="55" t="str">
        <f ca="1">IFERROR(I1007-AB1007,"")</f>
        <v/>
      </c>
      <c r="AD1007" s="55" t="e">
        <f ca="1">IF(PAA_4[[#This Row],[ESTADO (formulado)]]="NO CONTRATADO",0,MAX(PAA_4[[#This Row],[Pago por Contrato]],PAA_4[[#This Row],[Pago por bolsa]]))</f>
        <v>#NAME?</v>
      </c>
      <c r="AE1007" s="55" t="str">
        <f ca="1">+IFERROR(AB1007-AD1007,"")</f>
        <v/>
      </c>
      <c r="AF1007" s="47" t="e">
        <f ca="1">+CONCATENATE(AA1007,N1007)</f>
        <v>#NAME?</v>
      </c>
      <c r="AG1007" s="47">
        <f>IFERROR(_xlfn.NUMBERVALUE(MID(G1007,1,8)),"")</f>
        <v>43010901</v>
      </c>
      <c r="AH1007" s="54">
        <f>IF(Q1007="22",IF(ISNUMBER(SEARCH("econ",PAA_4[[#This Row],[Actividad3]])),"Económico",IF(ISNUMBER(SEARCH("alim",PAA_4[[#This Row],[Actividad3]])),"Alimentación",IF(ISNUMBER(SEARCH("educ",PAA_4[[#This Row],[Actividad3]])),"Educativo","Técnico"))),0)</f>
        <v>0</v>
      </c>
      <c r="AI1007" s="47" t="e" cm="1">
        <f t="array" aca="1" ref="AI1007" ca="1">_xlfn.XLOOKUP(PAA_4[[#This Row],[RCP-RUBRO]],[2]!COMPROMISOS_2024[[#All],[concatenado]],[2]!COMPROMISOS_2024[[#All],[Total pagado]],"",0)</f>
        <v>#NAME?</v>
      </c>
      <c r="AJ1007" s="56">
        <f>IF(PAA_4[[#This Row],[BOLSA]]=0,0,SUMIFS([2]!COMPROMISOS_2024[[#All],[Total pagado]],[2]!COMPROMISOS_2024[[#All],[Bolsa]],PAA_4[[#This Row],[BOLSA]],[2]!COMPROMISOS_2024[[#All],[rubro]],PAA_4[[#This Row],[RCP-RUBRO]]))</f>
        <v>0</v>
      </c>
      <c r="AK1007" s="47" t="e" cm="1">
        <f t="array" aca="1" ref="AK1007" ca="1">_xlfn.XLOOKUP(PAA_4[[#This Row],[RCP-RUBRO]],[2]!COMPROMISOS_2024[[#All],[concatenado]],[2]!COMPROMISOS_2024[[#All],[Total Comprometido]],"",0)</f>
        <v>#NAME?</v>
      </c>
      <c r="AL1007" s="47">
        <f>IF(PAA_4[[#This Row],[BOLSA]]=0,0,SUMIFS([2]!COMPROMISOS_2024[[#All],[Total Comprometido]],[2]!COMPROMISOS_2024[[#All],[Bolsa]],PAA_4[[#This Row],[BOLSA]],[2]!COMPROMISOS_2024[[#All],[concatenado]],PAA_4[[#This Row],[RCP-RUBRO]]))</f>
        <v>0</v>
      </c>
    </row>
    <row r="1008" spans="1:38" s="19" customFormat="1" ht="31.5" customHeight="1">
      <c r="A1008" s="47">
        <v>672</v>
      </c>
      <c r="B1008" s="47">
        <v>80111600</v>
      </c>
      <c r="C1008" s="47" t="str">
        <f>VLOOKUP(PAA_4[[#This Row],[PROYECTO (formulado)2]],[2]PROYECTOS!$G$1:$L$32,6,0)</f>
        <v>SUBGERENCIA ESCENARIOS DEPORTIVOS Y EQUIPAMIENTOS</v>
      </c>
      <c r="D1008" s="47" t="str">
        <f>+IF(PAA_4[[#This Row],[UNIDAD DE CONTRATACION (formulado)]]="Subgerencia Administrativa y Financiera","FUNCIONAMIENTO","INVERSIÓN")</f>
        <v>INVERSIÓN</v>
      </c>
      <c r="E1008" s="48" t="str">
        <f>VLOOKUP(Q1008,[2]PROYECTOS!$G$1:$K$32,5,0)</f>
        <v>MEJORAMIENTO_DE_LA_INFRAESTRUCTURA_DEPORTIVA_Y_RECREATIVA_EN_EL_DEPARTAMENTO_DE_ANTIOQUIA</v>
      </c>
      <c r="F1008" s="48">
        <f>VLOOKUP(E1008,[2]PROYECTOS!$K$1:$M$32,3,0)</f>
        <v>2020003050027</v>
      </c>
      <c r="G1008" s="49" t="s">
        <v>288</v>
      </c>
      <c r="H1008" s="49" t="str">
        <f>VLOOKUP(Q1008,[2]PROYECTOS!$V$1:$W$32,2,0)</f>
        <v>050058</v>
      </c>
      <c r="I1008" s="50">
        <f>77267078-1869364</f>
        <v>75397714</v>
      </c>
      <c r="J1008" s="51" t="s">
        <v>1823</v>
      </c>
      <c r="K1008" s="47" t="str">
        <f t="shared" ref="K1008:K1023" ca="1" si="367">IF(ISNONTEXT(Y1008)=TRUE,"CONTRATADO","NO CONTRATADO")</f>
        <v>CONTRATADO</v>
      </c>
      <c r="L1008" s="52" t="s">
        <v>94</v>
      </c>
      <c r="M1008" s="51" t="s">
        <v>1297</v>
      </c>
      <c r="N1008" s="51" t="s">
        <v>292</v>
      </c>
      <c r="O1008" s="51" t="e">
        <f>VLOOKUP(N1008,[2]!RUBROS[#All],3,0)</f>
        <v>#REF!</v>
      </c>
      <c r="P1008" s="53" t="e">
        <f>VLOOKUP(N1008,[2]!RUBROS[#All],2,0)</f>
        <v>#REF!</v>
      </c>
      <c r="Q1008" s="47" t="str">
        <f t="shared" ref="Q1008:Q1023" si="368">+MID(N1008,11,2)</f>
        <v>64</v>
      </c>
      <c r="R1008" s="47" t="str">
        <f t="shared" ref="R1008:R1023" si="369">+MID(N1008,14,8)</f>
        <v>0-205128</v>
      </c>
      <c r="S1008" s="54">
        <v>8</v>
      </c>
      <c r="T1008" s="59" t="s">
        <v>46</v>
      </c>
      <c r="U1008" s="326" t="e">
        <f ca="1">_xlfn.XLOOKUP(PAA_4[[#This Row],[ITEM]],[2]Contrato!A:A,[2]Contrato!Q:Q,"",0)</f>
        <v>#NAME?</v>
      </c>
      <c r="V1008" s="47" t="s">
        <v>47</v>
      </c>
      <c r="W1008" s="47" t="s">
        <v>122</v>
      </c>
      <c r="X1008" s="47" t="s">
        <v>122</v>
      </c>
      <c r="Y1008" s="55" t="e">
        <f ca="1">_xlfn.XLOOKUP(PAA_4[[#This Row],[ITEM]],[2]Contrato!A:A,[2]Contrato!B:B,"",0)</f>
        <v>#NAME?</v>
      </c>
      <c r="Z1008" s="47" t="e">
        <f ca="1">_xlfn.XLOOKUP(PAA_4[[#This Row],[ITEM]],[2]Contrato!A:A,[2]Contrato!G:G,"",0)</f>
        <v>#NAME?</v>
      </c>
      <c r="AA1008" s="47" t="e">
        <f ca="1">_xlfn.XLOOKUP(PAA_4[[#This Row],[ITEM]],[2]Contrato!A:A,[2]Contrato!T:T,"",0)</f>
        <v>#NAME?</v>
      </c>
      <c r="AB1008" s="55" t="e">
        <f ca="1">+MAX(PAA_4[[#This Row],[Comprometido Contrato]],PAA_4[[#This Row],[Comprometido Bolsa]])</f>
        <v>#NAME?</v>
      </c>
      <c r="AC1008" s="55" t="str">
        <f t="shared" ref="AC1008:AC1023" ca="1" si="370">IFERROR(I1008-AB1008,"")</f>
        <v/>
      </c>
      <c r="AD1008" s="55" t="e">
        <f ca="1">IF(PAA_4[[#This Row],[ESTADO (formulado)]]="NO CONTRATADO",0,MAX(PAA_4[[#This Row],[Pago por Contrato]],PAA_4[[#This Row],[Pago por bolsa]]))</f>
        <v>#NAME?</v>
      </c>
      <c r="AE1008" s="55" t="str">
        <f t="shared" ref="AE1008:AE1023" ca="1" si="371">+IFERROR(AB1008-AD1008,"")</f>
        <v/>
      </c>
      <c r="AF1008" s="47" t="e">
        <f t="shared" ref="AF1008:AF1023" ca="1" si="372">+CONCATENATE(AA1008,N1008)</f>
        <v>#NAME?</v>
      </c>
      <c r="AG1008" s="47">
        <f t="shared" ref="AG1008:AG1023" si="373">IFERROR(_xlfn.NUMBERVALUE(MID(G1008,1,8)),"")</f>
        <v>43010901</v>
      </c>
      <c r="AH1008" s="54">
        <f>IF(Q1008="22",IF(ISNUMBER(SEARCH("econ",PAA_4[[#This Row],[Actividad3]])),"Económico",IF(ISNUMBER(SEARCH("alim",PAA_4[[#This Row],[Actividad3]])),"Alimentación",IF(ISNUMBER(SEARCH("educ",PAA_4[[#This Row],[Actividad3]])),"Educativo","Técnico"))),0)</f>
        <v>0</v>
      </c>
      <c r="AI1008" s="47" t="e" cm="1">
        <f t="array" aca="1" ref="AI1008" ca="1">_xlfn.XLOOKUP(PAA_4[[#This Row],[RCP-RUBRO]],[2]!COMPROMISOS_2024[[#All],[concatenado]],[2]!COMPROMISOS_2024[[#All],[Total pagado]],"",0)</f>
        <v>#NAME?</v>
      </c>
      <c r="AJ1008" s="56">
        <f>IF(PAA_4[[#This Row],[BOLSA]]=0,0,SUMIFS([2]!COMPROMISOS_2024[[#All],[Total pagado]],[2]!COMPROMISOS_2024[[#All],[Bolsa]],PAA_4[[#This Row],[BOLSA]],[2]!COMPROMISOS_2024[[#All],[rubro]],PAA_4[[#This Row],[RCP-RUBRO]]))</f>
        <v>0</v>
      </c>
      <c r="AK1008" s="47" t="e" cm="1">
        <f t="array" aca="1" ref="AK1008" ca="1">_xlfn.XLOOKUP(PAA_4[[#This Row],[RCP-RUBRO]],[2]!COMPROMISOS_2024[[#All],[concatenado]],[2]!COMPROMISOS_2024[[#All],[Total Comprometido]],"",0)</f>
        <v>#NAME?</v>
      </c>
      <c r="AL1008" s="47">
        <f>IF(PAA_4[[#This Row],[BOLSA]]=0,0,SUMIFS([2]!COMPROMISOS_2024[[#All],[Total Comprometido]],[2]!COMPROMISOS_2024[[#All],[Bolsa]],PAA_4[[#This Row],[BOLSA]],[2]!COMPROMISOS_2024[[#All],[concatenado]],PAA_4[[#This Row],[RCP-RUBRO]]))</f>
        <v>0</v>
      </c>
    </row>
    <row r="1009" spans="1:38" s="19" customFormat="1" ht="31.5" customHeight="1">
      <c r="A1009" s="47" t="s">
        <v>82</v>
      </c>
      <c r="B1009" s="47">
        <v>80111600</v>
      </c>
      <c r="C1009" s="47" t="str">
        <f>VLOOKUP(PAA_4[[#This Row],[PROYECTO (formulado)2]],[2]PROYECTOS!$G$1:$L$32,6,0)</f>
        <v>SUBGERENCIA ESCENARIOS DEPORTIVOS Y EQUIPAMIENTOS</v>
      </c>
      <c r="D1009" s="47" t="str">
        <f>+IF(PAA_4[[#This Row],[UNIDAD DE CONTRATACION (formulado)]]="Subgerencia Administrativa y Financiera","FUNCIONAMIENTO","INVERSIÓN")</f>
        <v>INVERSIÓN</v>
      </c>
      <c r="E1009" s="48" t="str">
        <f>VLOOKUP(Q1009,[2]PROYECTOS!$G$1:$K$32,5,0)</f>
        <v>MEJORAMIENTO_DE_LA_INFRAESTRUCTURA_DEPORTIVA_Y_RECREATIVA_EN_EL_DEPARTAMENTO_DE_ANTIOQUIA</v>
      </c>
      <c r="F1009" s="48">
        <f>VLOOKUP(E1009,[2]PROYECTOS!$K$1:$M$32,3,0)</f>
        <v>2020003050027</v>
      </c>
      <c r="G1009" s="49" t="s">
        <v>288</v>
      </c>
      <c r="H1009" s="49" t="str">
        <f>VLOOKUP(Q1009,[2]PROYECTOS!$V$1:$W$32,2,0)</f>
        <v>050058</v>
      </c>
      <c r="I1009" s="50">
        <v>0</v>
      </c>
      <c r="J1009" s="51" t="s">
        <v>293</v>
      </c>
      <c r="K1009" s="47" t="str">
        <f t="shared" ca="1" si="367"/>
        <v>CONTRATADO</v>
      </c>
      <c r="L1009" s="52" t="s">
        <v>94</v>
      </c>
      <c r="M1009" s="51" t="s">
        <v>1297</v>
      </c>
      <c r="N1009" s="51" t="s">
        <v>292</v>
      </c>
      <c r="O1009" s="51" t="e">
        <f>VLOOKUP(N1009,[2]!RUBROS[#All],3,0)</f>
        <v>#REF!</v>
      </c>
      <c r="P1009" s="53" t="e">
        <f>VLOOKUP(N1009,[2]!RUBROS[#All],2,0)</f>
        <v>#REF!</v>
      </c>
      <c r="Q1009" s="47" t="str">
        <f t="shared" si="368"/>
        <v>64</v>
      </c>
      <c r="R1009" s="47" t="str">
        <f t="shared" si="369"/>
        <v>0-205128</v>
      </c>
      <c r="S1009" s="54">
        <v>8</v>
      </c>
      <c r="T1009" s="59" t="s">
        <v>46</v>
      </c>
      <c r="U1009" s="326" t="s">
        <v>290</v>
      </c>
      <c r="V1009" s="47" t="s">
        <v>47</v>
      </c>
      <c r="W1009" s="47" t="s">
        <v>122</v>
      </c>
      <c r="X1009" s="47" t="s">
        <v>122</v>
      </c>
      <c r="Y1009" s="55" t="e">
        <f ca="1">_xlfn.XLOOKUP(PAA_4[[#This Row],[ITEM]],[2]Contrato!A:A,[2]Contrato!B:B,"",0)</f>
        <v>#NAME?</v>
      </c>
      <c r="Z1009" s="47" t="e">
        <f ca="1">_xlfn.XLOOKUP(PAA_4[[#This Row],[ITEM]],[2]Contrato!A:A,[2]Contrato!G:G,"",0)</f>
        <v>#NAME?</v>
      </c>
      <c r="AA1009" s="47" t="e">
        <f ca="1">_xlfn.XLOOKUP(PAA_4[[#This Row],[ITEM]],[2]Contrato!A:A,[2]Contrato!T:T,"",0)</f>
        <v>#NAME?</v>
      </c>
      <c r="AB1009" s="55" t="e">
        <f ca="1">+MAX(PAA_4[[#This Row],[Comprometido Contrato]],PAA_4[[#This Row],[Comprometido Bolsa]])</f>
        <v>#NAME?</v>
      </c>
      <c r="AC1009" s="55" t="str">
        <f t="shared" ca="1" si="370"/>
        <v/>
      </c>
      <c r="AD1009" s="55" t="e">
        <f ca="1">IF(PAA_4[[#This Row],[ESTADO (formulado)]]="NO CONTRATADO",0,MAX(PAA_4[[#This Row],[Pago por Contrato]],PAA_4[[#This Row],[Pago por bolsa]]))</f>
        <v>#NAME?</v>
      </c>
      <c r="AE1009" s="55" t="str">
        <f t="shared" ca="1" si="371"/>
        <v/>
      </c>
      <c r="AF1009" s="47" t="e">
        <f t="shared" ca="1" si="372"/>
        <v>#NAME?</v>
      </c>
      <c r="AG1009" s="47">
        <f t="shared" si="373"/>
        <v>43010901</v>
      </c>
      <c r="AH1009" s="54">
        <f>IF(Q1009="22",IF(ISNUMBER(SEARCH("econ",PAA_4[[#This Row],[Actividad3]])),"Económico",IF(ISNUMBER(SEARCH("alim",PAA_4[[#This Row],[Actividad3]])),"Alimentación",IF(ISNUMBER(SEARCH("educ",PAA_4[[#This Row],[Actividad3]])),"Educativo","Técnico"))),0)</f>
        <v>0</v>
      </c>
      <c r="AI1009" s="47" t="e" cm="1">
        <f t="array" aca="1" ref="AI1009" ca="1">_xlfn.XLOOKUP(PAA_4[[#This Row],[RCP-RUBRO]],[2]!COMPROMISOS_2024[[#All],[concatenado]],[2]!COMPROMISOS_2024[[#All],[Total pagado]],"",0)</f>
        <v>#NAME?</v>
      </c>
      <c r="AJ1009" s="56">
        <f>IF(PAA_4[[#This Row],[BOLSA]]=0,0,SUMIFS([2]!COMPROMISOS_2024[[#All],[Total pagado]],[2]!COMPROMISOS_2024[[#All],[Bolsa]],PAA_4[[#This Row],[BOLSA]],[2]!COMPROMISOS_2024[[#All],[rubro]],PAA_4[[#This Row],[RCP-RUBRO]]))</f>
        <v>0</v>
      </c>
      <c r="AK1009" s="47" t="e" cm="1">
        <f t="array" aca="1" ref="AK1009" ca="1">_xlfn.XLOOKUP(PAA_4[[#This Row],[RCP-RUBRO]],[2]!COMPROMISOS_2024[[#All],[concatenado]],[2]!COMPROMISOS_2024[[#All],[Total Comprometido]],"",0)</f>
        <v>#NAME?</v>
      </c>
      <c r="AL1009" s="47">
        <f>IF(PAA_4[[#This Row],[BOLSA]]=0,0,SUMIFS([2]!COMPROMISOS_2024[[#All],[Total Comprometido]],[2]!COMPROMISOS_2024[[#All],[Bolsa]],PAA_4[[#This Row],[BOLSA]],[2]!COMPROMISOS_2024[[#All],[concatenado]],PAA_4[[#This Row],[RCP-RUBRO]]))</f>
        <v>0</v>
      </c>
    </row>
    <row r="1010" spans="1:38" s="19" customFormat="1" ht="31.5" customHeight="1">
      <c r="A1010" s="47">
        <v>344</v>
      </c>
      <c r="B1010" s="47">
        <v>80111600</v>
      </c>
      <c r="C1010" s="47" t="str">
        <f>VLOOKUP(PAA_4[[#This Row],[PROYECTO (formulado)2]],[2]PROYECTOS!$G$1:$L$32,6,0)</f>
        <v>SUBGERENCIA ESCENARIOS DEPORTIVOS Y EQUIPAMIENTOS</v>
      </c>
      <c r="D1010" s="47" t="str">
        <f>+IF(PAA_4[[#This Row],[UNIDAD DE CONTRATACION (formulado)]]="Subgerencia Administrativa y Financiera","FUNCIONAMIENTO","INVERSIÓN")</f>
        <v>INVERSIÓN</v>
      </c>
      <c r="E1010" s="48" t="str">
        <f>VLOOKUP(Q1010,[2]PROYECTOS!$G$1:$K$32,5,0)</f>
        <v>MEJORAMIENTO_DE_LA_INFRAESTRUCTURA_DEPORTIVA_Y_RECREATIVA_EN_EL_DEPARTAMENTO_DE_ANTIOQUIA</v>
      </c>
      <c r="F1010" s="48">
        <f>VLOOKUP(E1010,[2]PROYECTOS!$K$1:$M$32,3,0)</f>
        <v>2020003050027</v>
      </c>
      <c r="G1010" s="49" t="s">
        <v>288</v>
      </c>
      <c r="H1010" s="49" t="str">
        <f>VLOOKUP(Q1010,[2]PROYECTOS!$V$1:$W$32,2,0)</f>
        <v>050058</v>
      </c>
      <c r="I1010" s="50">
        <v>0</v>
      </c>
      <c r="J1010" s="51" t="s">
        <v>1824</v>
      </c>
      <c r="K1010" s="47" t="str">
        <f t="shared" ca="1" si="367"/>
        <v>CONTRATADO</v>
      </c>
      <c r="L1010" s="52" t="s">
        <v>94</v>
      </c>
      <c r="M1010" s="51" t="s">
        <v>1297</v>
      </c>
      <c r="N1010" s="51" t="s">
        <v>292</v>
      </c>
      <c r="O1010" s="51" t="e">
        <f>VLOOKUP(N1010,[2]!RUBROS[#All],3,0)</f>
        <v>#REF!</v>
      </c>
      <c r="P1010" s="53" t="e">
        <f>VLOOKUP(N1010,[2]!RUBROS[#All],2,0)</f>
        <v>#REF!</v>
      </c>
      <c r="Q1010" s="47" t="str">
        <f t="shared" si="368"/>
        <v>64</v>
      </c>
      <c r="R1010" s="47" t="str">
        <f t="shared" si="369"/>
        <v>0-205128</v>
      </c>
      <c r="S1010" s="54">
        <v>12</v>
      </c>
      <c r="T1010" s="59" t="s">
        <v>46</v>
      </c>
      <c r="U1010" s="326" t="e">
        <f ca="1">_xlfn.XLOOKUP(PAA_4[[#This Row],[ITEM]],[2]Contrato!A:A,[2]Contrato!Q:Q,"",0)</f>
        <v>#NAME?</v>
      </c>
      <c r="V1010" s="47" t="s">
        <v>47</v>
      </c>
      <c r="W1010" s="47" t="s">
        <v>83</v>
      </c>
      <c r="X1010" s="47" t="s">
        <v>83</v>
      </c>
      <c r="Y1010" s="55" t="e">
        <f ca="1">_xlfn.XLOOKUP(PAA_4[[#This Row],[ITEM]],[2]Contrato!A:A,[2]Contrato!B:B,"",0)</f>
        <v>#NAME?</v>
      </c>
      <c r="Z1010" s="47" t="e">
        <f ca="1">_xlfn.XLOOKUP(PAA_4[[#This Row],[ITEM]],[2]Contrato!A:A,[2]Contrato!G:G,"",0)</f>
        <v>#NAME?</v>
      </c>
      <c r="AA1010" s="47" t="e">
        <f ca="1">_xlfn.XLOOKUP(PAA_4[[#This Row],[ITEM]],[2]Contrato!A:A,[2]Contrato!T:T,"",0)</f>
        <v>#NAME?</v>
      </c>
      <c r="AB1010" s="55" t="e">
        <f ca="1">+MAX(PAA_4[[#This Row],[Comprometido Contrato]],PAA_4[[#This Row],[Comprometido Bolsa]])</f>
        <v>#NAME?</v>
      </c>
      <c r="AC1010" s="55" t="str">
        <f t="shared" ca="1" si="370"/>
        <v/>
      </c>
      <c r="AD1010" s="55" t="e">
        <f ca="1">IF(PAA_4[[#This Row],[ESTADO (formulado)]]="NO CONTRATADO",0,MAX(PAA_4[[#This Row],[Pago por Contrato]],PAA_4[[#This Row],[Pago por bolsa]]))</f>
        <v>#NAME?</v>
      </c>
      <c r="AE1010" s="55" t="str">
        <f t="shared" ca="1" si="371"/>
        <v/>
      </c>
      <c r="AF1010" s="47" t="e">
        <f t="shared" ca="1" si="372"/>
        <v>#NAME?</v>
      </c>
      <c r="AG1010" s="47">
        <f t="shared" si="373"/>
        <v>43010901</v>
      </c>
      <c r="AH1010" s="54">
        <f>IF(Q1010="22",IF(ISNUMBER(SEARCH("econ",PAA_4[[#This Row],[Actividad3]])),"Económico",IF(ISNUMBER(SEARCH("alim",PAA_4[[#This Row],[Actividad3]])),"Alimentación",IF(ISNUMBER(SEARCH("educ",PAA_4[[#This Row],[Actividad3]])),"Educativo","Técnico"))),0)</f>
        <v>0</v>
      </c>
      <c r="AI1010" s="47" t="e" cm="1">
        <f t="array" aca="1" ref="AI1010" ca="1">_xlfn.XLOOKUP(PAA_4[[#This Row],[RCP-RUBRO]],[2]!COMPROMISOS_2024[[#All],[concatenado]],[2]!COMPROMISOS_2024[[#All],[Total pagado]],"",0)</f>
        <v>#NAME?</v>
      </c>
      <c r="AJ1010" s="56">
        <f>IF(PAA_4[[#This Row],[BOLSA]]=0,0,SUMIFS([2]!COMPROMISOS_2024[[#All],[Total pagado]],[2]!COMPROMISOS_2024[[#All],[Bolsa]],PAA_4[[#This Row],[BOLSA]],[2]!COMPROMISOS_2024[[#All],[rubro]],PAA_4[[#This Row],[RCP-RUBRO]]))</f>
        <v>0</v>
      </c>
      <c r="AK1010" s="47" t="e" cm="1">
        <f t="array" aca="1" ref="AK1010" ca="1">_xlfn.XLOOKUP(PAA_4[[#This Row],[RCP-RUBRO]],[2]!COMPROMISOS_2024[[#All],[concatenado]],[2]!COMPROMISOS_2024[[#All],[Total Comprometido]],"",0)</f>
        <v>#NAME?</v>
      </c>
      <c r="AL1010" s="47">
        <f>IF(PAA_4[[#This Row],[BOLSA]]=0,0,SUMIFS([2]!COMPROMISOS_2024[[#All],[Total Comprometido]],[2]!COMPROMISOS_2024[[#All],[Bolsa]],PAA_4[[#This Row],[BOLSA]],[2]!COMPROMISOS_2024[[#All],[concatenado]],PAA_4[[#This Row],[RCP-RUBRO]]))</f>
        <v>0</v>
      </c>
    </row>
    <row r="1011" spans="1:38" s="19" customFormat="1" ht="31.5" customHeight="1">
      <c r="A1011" s="47">
        <v>345</v>
      </c>
      <c r="B1011" s="47">
        <v>80111600</v>
      </c>
      <c r="C1011" s="47" t="str">
        <f>VLOOKUP(PAA_4[[#This Row],[PROYECTO (formulado)2]],[2]PROYECTOS!$G$1:$L$32,6,0)</f>
        <v>SUBGERENCIA ESCENARIOS DEPORTIVOS Y EQUIPAMIENTOS</v>
      </c>
      <c r="D1011" s="47" t="str">
        <f>+IF(PAA_4[[#This Row],[UNIDAD DE CONTRATACION (formulado)]]="Subgerencia Administrativa y Financiera","FUNCIONAMIENTO","INVERSIÓN")</f>
        <v>INVERSIÓN</v>
      </c>
      <c r="E1011" s="48" t="str">
        <f>VLOOKUP(Q1011,[2]PROYECTOS!$G$1:$K$32,5,0)</f>
        <v>MEJORAMIENTO_DE_LA_INFRAESTRUCTURA_DEPORTIVA_Y_RECREATIVA_EN_EL_DEPARTAMENTO_DE_ANTIOQUIA</v>
      </c>
      <c r="F1011" s="48">
        <f>VLOOKUP(E1011,[2]PROYECTOS!$K$1:$M$32,3,0)</f>
        <v>2020003050027</v>
      </c>
      <c r="G1011" s="49" t="s">
        <v>288</v>
      </c>
      <c r="H1011" s="49" t="str">
        <f>VLOOKUP(Q1011,[2]PROYECTOS!$V$1:$W$32,2,0)</f>
        <v>050058</v>
      </c>
      <c r="I1011" s="50">
        <v>0</v>
      </c>
      <c r="J1011" s="70" t="s">
        <v>1825</v>
      </c>
      <c r="K1011" s="47" t="str">
        <f t="shared" ca="1" si="367"/>
        <v>CONTRATADO</v>
      </c>
      <c r="L1011" s="52" t="s">
        <v>94</v>
      </c>
      <c r="M1011" s="51" t="s">
        <v>1297</v>
      </c>
      <c r="N1011" s="51" t="s">
        <v>292</v>
      </c>
      <c r="O1011" s="51" t="e">
        <f>VLOOKUP(N1011,[2]!RUBROS[#All],3,0)</f>
        <v>#REF!</v>
      </c>
      <c r="P1011" s="53" t="e">
        <f>VLOOKUP(N1011,[2]!RUBROS[#All],2,0)</f>
        <v>#REF!</v>
      </c>
      <c r="Q1011" s="47" t="str">
        <f t="shared" si="368"/>
        <v>64</v>
      </c>
      <c r="R1011" s="47" t="str">
        <f t="shared" si="369"/>
        <v>0-205128</v>
      </c>
      <c r="S1011" s="54">
        <v>12</v>
      </c>
      <c r="T1011" s="59" t="s">
        <v>46</v>
      </c>
      <c r="U1011" s="326" t="e">
        <f ca="1">_xlfn.XLOOKUP(PAA_4[[#This Row],[ITEM]],[2]Contrato!A:A,[2]Contrato!Q:Q,"",0)</f>
        <v>#NAME?</v>
      </c>
      <c r="V1011" s="47" t="s">
        <v>47</v>
      </c>
      <c r="W1011" s="71" t="s">
        <v>83</v>
      </c>
      <c r="X1011" s="47" t="s">
        <v>83</v>
      </c>
      <c r="Y1011" s="55" t="e">
        <f ca="1">_xlfn.XLOOKUP(PAA_4[[#This Row],[ITEM]],[2]Contrato!A:A,[2]Contrato!B:B,"",0)</f>
        <v>#NAME?</v>
      </c>
      <c r="Z1011" s="47" t="e">
        <f ca="1">_xlfn.XLOOKUP(PAA_4[[#This Row],[ITEM]],[2]Contrato!A:A,[2]Contrato!G:G,"",0)</f>
        <v>#NAME?</v>
      </c>
      <c r="AA1011" s="47" t="e">
        <f ca="1">_xlfn.XLOOKUP(PAA_4[[#This Row],[ITEM]],[2]Contrato!A:A,[2]Contrato!T:T,"",0)</f>
        <v>#NAME?</v>
      </c>
      <c r="AB1011" s="55" t="e">
        <f ca="1">+MAX(PAA_4[[#This Row],[Comprometido Contrato]],PAA_4[[#This Row],[Comprometido Bolsa]])</f>
        <v>#NAME?</v>
      </c>
      <c r="AC1011" s="55" t="str">
        <f t="shared" ca="1" si="370"/>
        <v/>
      </c>
      <c r="AD1011" s="55" t="e">
        <f ca="1">IF(PAA_4[[#This Row],[ESTADO (formulado)]]="NO CONTRATADO",0,MAX(PAA_4[[#This Row],[Pago por Contrato]],PAA_4[[#This Row],[Pago por bolsa]]))</f>
        <v>#NAME?</v>
      </c>
      <c r="AE1011" s="55" t="str">
        <f t="shared" ca="1" si="371"/>
        <v/>
      </c>
      <c r="AF1011" s="47" t="e">
        <f t="shared" ca="1" si="372"/>
        <v>#NAME?</v>
      </c>
      <c r="AG1011" s="47">
        <f t="shared" si="373"/>
        <v>43010901</v>
      </c>
      <c r="AH1011" s="54">
        <f>IF(Q1011="22",IF(ISNUMBER(SEARCH("econ",PAA_4[[#This Row],[Actividad3]])),"Económico",IF(ISNUMBER(SEARCH("alim",PAA_4[[#This Row],[Actividad3]])),"Alimentación",IF(ISNUMBER(SEARCH("educ",PAA_4[[#This Row],[Actividad3]])),"Educativo","Técnico"))),0)</f>
        <v>0</v>
      </c>
      <c r="AI1011" s="47" t="e" cm="1">
        <f t="array" aca="1" ref="AI1011" ca="1">_xlfn.XLOOKUP(PAA_4[[#This Row],[RCP-RUBRO]],[2]!COMPROMISOS_2024[[#All],[concatenado]],[2]!COMPROMISOS_2024[[#All],[Total pagado]],"",0)</f>
        <v>#NAME?</v>
      </c>
      <c r="AJ1011" s="56">
        <f>IF(PAA_4[[#This Row],[BOLSA]]=0,0,SUMIFS([2]!COMPROMISOS_2024[[#All],[Total pagado]],[2]!COMPROMISOS_2024[[#All],[Bolsa]],PAA_4[[#This Row],[BOLSA]],[2]!COMPROMISOS_2024[[#All],[rubro]],PAA_4[[#This Row],[RCP-RUBRO]]))</f>
        <v>0</v>
      </c>
      <c r="AK1011" s="47" t="e" cm="1">
        <f t="array" aca="1" ref="AK1011" ca="1">_xlfn.XLOOKUP(PAA_4[[#This Row],[RCP-RUBRO]],[2]!COMPROMISOS_2024[[#All],[concatenado]],[2]!COMPROMISOS_2024[[#All],[Total Comprometido]],"",0)</f>
        <v>#NAME?</v>
      </c>
      <c r="AL1011" s="47">
        <f>IF(PAA_4[[#This Row],[BOLSA]]=0,0,SUMIFS([2]!COMPROMISOS_2024[[#All],[Total Comprometido]],[2]!COMPROMISOS_2024[[#All],[Bolsa]],PAA_4[[#This Row],[BOLSA]],[2]!COMPROMISOS_2024[[#All],[concatenado]],PAA_4[[#This Row],[RCP-RUBRO]]))</f>
        <v>0</v>
      </c>
    </row>
    <row r="1012" spans="1:38" s="19" customFormat="1" ht="31.5" customHeight="1">
      <c r="A1012" s="47">
        <v>346</v>
      </c>
      <c r="B1012" s="47">
        <v>80111600</v>
      </c>
      <c r="C1012" s="47" t="str">
        <f>VLOOKUP(PAA_4[[#This Row],[PROYECTO (formulado)2]],[2]PROYECTOS!$G$1:$L$32,6,0)</f>
        <v>SUBGERENCIA ESCENARIOS DEPORTIVOS Y EQUIPAMIENTOS</v>
      </c>
      <c r="D1012" s="47" t="str">
        <f>+IF(PAA_4[[#This Row],[UNIDAD DE CONTRATACION (formulado)]]="Subgerencia Administrativa y Financiera","FUNCIONAMIENTO","INVERSIÓN")</f>
        <v>INVERSIÓN</v>
      </c>
      <c r="E1012" s="48" t="str">
        <f>VLOOKUP(Q1012,[2]PROYECTOS!$G$1:$K$32,5,0)</f>
        <v>MEJORAMIENTO_DE_LA_INFRAESTRUCTURA_DEPORTIVA_Y_RECREATIVA_EN_EL_DEPARTAMENTO_DE_ANTIOQUIA</v>
      </c>
      <c r="F1012" s="48">
        <f>VLOOKUP(E1012,[2]PROYECTOS!$K$1:$M$32,3,0)</f>
        <v>2020003050027</v>
      </c>
      <c r="G1012" s="49" t="s">
        <v>288</v>
      </c>
      <c r="H1012" s="49" t="str">
        <f>VLOOKUP(Q1012,[2]PROYECTOS!$V$1:$W$32,2,0)</f>
        <v>050058</v>
      </c>
      <c r="I1012" s="50">
        <v>0</v>
      </c>
      <c r="J1012" s="70" t="s">
        <v>1826</v>
      </c>
      <c r="K1012" s="47" t="str">
        <f t="shared" ca="1" si="367"/>
        <v>CONTRATADO</v>
      </c>
      <c r="L1012" s="52" t="s">
        <v>94</v>
      </c>
      <c r="M1012" s="51" t="s">
        <v>1297</v>
      </c>
      <c r="N1012" s="51" t="s">
        <v>292</v>
      </c>
      <c r="O1012" s="51" t="e">
        <f>VLOOKUP(N1012,[2]!RUBROS[#All],3,0)</f>
        <v>#REF!</v>
      </c>
      <c r="P1012" s="53" t="e">
        <f>VLOOKUP(N1012,[2]!RUBROS[#All],2,0)</f>
        <v>#REF!</v>
      </c>
      <c r="Q1012" s="47" t="str">
        <f t="shared" si="368"/>
        <v>64</v>
      </c>
      <c r="R1012" s="47" t="str">
        <f t="shared" si="369"/>
        <v>0-205128</v>
      </c>
      <c r="S1012" s="54">
        <v>12</v>
      </c>
      <c r="T1012" s="59" t="s">
        <v>46</v>
      </c>
      <c r="U1012" s="326" t="e">
        <f ca="1">_xlfn.XLOOKUP(PAA_4[[#This Row],[ITEM]],[2]Contrato!A:A,[2]Contrato!Q:Q,"",0)</f>
        <v>#NAME?</v>
      </c>
      <c r="V1012" s="47" t="s">
        <v>47</v>
      </c>
      <c r="W1012" s="71" t="s">
        <v>83</v>
      </c>
      <c r="X1012" s="47" t="s">
        <v>83</v>
      </c>
      <c r="Y1012" s="55" t="e">
        <f ca="1">_xlfn.XLOOKUP(PAA_4[[#This Row],[ITEM]],[2]Contrato!A:A,[2]Contrato!B:B,"",0)</f>
        <v>#NAME?</v>
      </c>
      <c r="Z1012" s="47" t="e">
        <f ca="1">_xlfn.XLOOKUP(PAA_4[[#This Row],[ITEM]],[2]Contrato!A:A,[2]Contrato!G:G,"",0)</f>
        <v>#NAME?</v>
      </c>
      <c r="AA1012" s="47" t="e">
        <f ca="1">_xlfn.XLOOKUP(PAA_4[[#This Row],[ITEM]],[2]Contrato!A:A,[2]Contrato!T:T,"",0)</f>
        <v>#NAME?</v>
      </c>
      <c r="AB1012" s="55" t="e">
        <f ca="1">+MAX(PAA_4[[#This Row],[Comprometido Contrato]],PAA_4[[#This Row],[Comprometido Bolsa]])</f>
        <v>#NAME?</v>
      </c>
      <c r="AC1012" s="55" t="str">
        <f t="shared" ca="1" si="370"/>
        <v/>
      </c>
      <c r="AD1012" s="55" t="e">
        <f ca="1">IF(PAA_4[[#This Row],[ESTADO (formulado)]]="NO CONTRATADO",0,MAX(PAA_4[[#This Row],[Pago por Contrato]],PAA_4[[#This Row],[Pago por bolsa]]))</f>
        <v>#NAME?</v>
      </c>
      <c r="AE1012" s="55" t="str">
        <f t="shared" ca="1" si="371"/>
        <v/>
      </c>
      <c r="AF1012" s="47" t="e">
        <f t="shared" ca="1" si="372"/>
        <v>#NAME?</v>
      </c>
      <c r="AG1012" s="47">
        <f t="shared" si="373"/>
        <v>43010901</v>
      </c>
      <c r="AH1012" s="54">
        <f>IF(Q1012="22",IF(ISNUMBER(SEARCH("econ",PAA_4[[#This Row],[Actividad3]])),"Económico",IF(ISNUMBER(SEARCH("alim",PAA_4[[#This Row],[Actividad3]])),"Alimentación",IF(ISNUMBER(SEARCH("educ",PAA_4[[#This Row],[Actividad3]])),"Educativo","Técnico"))),0)</f>
        <v>0</v>
      </c>
      <c r="AI1012" s="47" t="e" cm="1">
        <f t="array" aca="1" ref="AI1012" ca="1">_xlfn.XLOOKUP(PAA_4[[#This Row],[RCP-RUBRO]],[2]!COMPROMISOS_2024[[#All],[concatenado]],[2]!COMPROMISOS_2024[[#All],[Total pagado]],"",0)</f>
        <v>#NAME?</v>
      </c>
      <c r="AJ1012" s="56">
        <f>IF(PAA_4[[#This Row],[BOLSA]]=0,0,SUMIFS([2]!COMPROMISOS_2024[[#All],[Total pagado]],[2]!COMPROMISOS_2024[[#All],[Bolsa]],PAA_4[[#This Row],[BOLSA]],[2]!COMPROMISOS_2024[[#All],[rubro]],PAA_4[[#This Row],[RCP-RUBRO]]))</f>
        <v>0</v>
      </c>
      <c r="AK1012" s="47" t="e" cm="1">
        <f t="array" aca="1" ref="AK1012" ca="1">_xlfn.XLOOKUP(PAA_4[[#This Row],[RCP-RUBRO]],[2]!COMPROMISOS_2024[[#All],[concatenado]],[2]!COMPROMISOS_2024[[#All],[Total Comprometido]],"",0)</f>
        <v>#NAME?</v>
      </c>
      <c r="AL1012" s="47">
        <f>IF(PAA_4[[#This Row],[BOLSA]]=0,0,SUMIFS([2]!COMPROMISOS_2024[[#All],[Total Comprometido]],[2]!COMPROMISOS_2024[[#All],[Bolsa]],PAA_4[[#This Row],[BOLSA]],[2]!COMPROMISOS_2024[[#All],[concatenado]],PAA_4[[#This Row],[RCP-RUBRO]]))</f>
        <v>0</v>
      </c>
    </row>
    <row r="1013" spans="1:38" s="19" customFormat="1" ht="31.5" customHeight="1">
      <c r="A1013" s="47">
        <v>347</v>
      </c>
      <c r="B1013" s="47">
        <v>80111600</v>
      </c>
      <c r="C1013" s="47" t="str">
        <f>VLOOKUP(PAA_4[[#This Row],[PROYECTO (formulado)2]],[2]PROYECTOS!$G$1:$L$32,6,0)</f>
        <v>SUBGERENCIA ESCENARIOS DEPORTIVOS Y EQUIPAMIENTOS</v>
      </c>
      <c r="D1013" s="47" t="str">
        <f>+IF(PAA_4[[#This Row],[UNIDAD DE CONTRATACION (formulado)]]="Subgerencia Administrativa y Financiera","FUNCIONAMIENTO","INVERSIÓN")</f>
        <v>INVERSIÓN</v>
      </c>
      <c r="E1013" s="48" t="str">
        <f>VLOOKUP(Q1013,[2]PROYECTOS!$G$1:$K$32,5,0)</f>
        <v>MEJORAMIENTO_DE_LA_INFRAESTRUCTURA_DEPORTIVA_Y_RECREATIVA_EN_EL_DEPARTAMENTO_DE_ANTIOQUIA</v>
      </c>
      <c r="F1013" s="48">
        <f>VLOOKUP(E1013,[2]PROYECTOS!$K$1:$M$32,3,0)</f>
        <v>2020003050027</v>
      </c>
      <c r="G1013" s="49" t="s">
        <v>288</v>
      </c>
      <c r="H1013" s="49" t="str">
        <f>VLOOKUP(Q1013,[2]PROYECTOS!$V$1:$W$32,2,0)</f>
        <v>050058</v>
      </c>
      <c r="I1013" s="50">
        <v>41274486</v>
      </c>
      <c r="J1013" s="51" t="s">
        <v>1827</v>
      </c>
      <c r="K1013" s="47" t="str">
        <f t="shared" ca="1" si="367"/>
        <v>CONTRATADO</v>
      </c>
      <c r="L1013" s="52" t="s">
        <v>94</v>
      </c>
      <c r="M1013" s="51" t="s">
        <v>1297</v>
      </c>
      <c r="N1013" s="51" t="s">
        <v>292</v>
      </c>
      <c r="O1013" s="51" t="e">
        <f>VLOOKUP(N1013,[2]!RUBROS[#All],3,0)</f>
        <v>#REF!</v>
      </c>
      <c r="P1013" s="53" t="e">
        <f>VLOOKUP(N1013,[2]!RUBROS[#All],2,0)</f>
        <v>#REF!</v>
      </c>
      <c r="Q1013" s="47" t="str">
        <f t="shared" si="368"/>
        <v>64</v>
      </c>
      <c r="R1013" s="47" t="str">
        <f t="shared" si="369"/>
        <v>0-205128</v>
      </c>
      <c r="S1013" s="54">
        <v>6</v>
      </c>
      <c r="T1013" s="59" t="s">
        <v>46</v>
      </c>
      <c r="U1013" s="326" t="e">
        <f ca="1">_xlfn.XLOOKUP(PAA_4[[#This Row],[ITEM]],[2]Contrato!A:A,[2]Contrato!Q:Q,"",0)</f>
        <v>#NAME?</v>
      </c>
      <c r="V1013" s="47" t="s">
        <v>47</v>
      </c>
      <c r="W1013" s="47" t="s">
        <v>91</v>
      </c>
      <c r="X1013" s="47" t="s">
        <v>92</v>
      </c>
      <c r="Y1013" s="55" t="e">
        <f ca="1">_xlfn.XLOOKUP(PAA_4[[#This Row],[ITEM]],[2]Contrato!A:A,[2]Contrato!B:B,"",0)</f>
        <v>#NAME?</v>
      </c>
      <c r="Z1013" s="47" t="e">
        <f ca="1">_xlfn.XLOOKUP(PAA_4[[#This Row],[ITEM]],[2]Contrato!A:A,[2]Contrato!G:G,"",0)</f>
        <v>#NAME?</v>
      </c>
      <c r="AA1013" s="47" t="e">
        <f ca="1">_xlfn.XLOOKUP(PAA_4[[#This Row],[ITEM]],[2]Contrato!A:A,[2]Contrato!T:T,"",0)</f>
        <v>#NAME?</v>
      </c>
      <c r="AB1013" s="55" t="e">
        <f ca="1">+MAX(PAA_4[[#This Row],[Comprometido Contrato]],PAA_4[[#This Row],[Comprometido Bolsa]])</f>
        <v>#NAME?</v>
      </c>
      <c r="AC1013" s="55" t="str">
        <f t="shared" ca="1" si="370"/>
        <v/>
      </c>
      <c r="AD1013" s="55" t="e">
        <f ca="1">IF(PAA_4[[#This Row],[ESTADO (formulado)]]="NO CONTRATADO",0,MAX(PAA_4[[#This Row],[Pago por Contrato]],PAA_4[[#This Row],[Pago por bolsa]]))</f>
        <v>#NAME?</v>
      </c>
      <c r="AE1013" s="55" t="str">
        <f t="shared" ca="1" si="371"/>
        <v/>
      </c>
      <c r="AF1013" s="47" t="e">
        <f t="shared" ca="1" si="372"/>
        <v>#NAME?</v>
      </c>
      <c r="AG1013" s="47">
        <f t="shared" si="373"/>
        <v>43010901</v>
      </c>
      <c r="AH1013" s="54">
        <f>IF(Q1013="22",IF(ISNUMBER(SEARCH("econ",PAA_4[[#This Row],[Actividad3]])),"Económico",IF(ISNUMBER(SEARCH("alim",PAA_4[[#This Row],[Actividad3]])),"Alimentación",IF(ISNUMBER(SEARCH("educ",PAA_4[[#This Row],[Actividad3]])),"Educativo","Técnico"))),0)</f>
        <v>0</v>
      </c>
      <c r="AI1013" s="47" t="e" cm="1">
        <f t="array" aca="1" ref="AI1013" ca="1">_xlfn.XLOOKUP(PAA_4[[#This Row],[RCP-RUBRO]],[2]!COMPROMISOS_2024[[#All],[concatenado]],[2]!COMPROMISOS_2024[[#All],[Total pagado]],"",0)</f>
        <v>#NAME?</v>
      </c>
      <c r="AJ1013" s="56">
        <f>IF(PAA_4[[#This Row],[BOLSA]]=0,0,SUMIFS([2]!COMPROMISOS_2024[[#All],[Total pagado]],[2]!COMPROMISOS_2024[[#All],[Bolsa]],PAA_4[[#This Row],[BOLSA]],[2]!COMPROMISOS_2024[[#All],[rubro]],PAA_4[[#This Row],[RCP-RUBRO]]))</f>
        <v>0</v>
      </c>
      <c r="AK1013" s="47" t="e" cm="1">
        <f t="array" aca="1" ref="AK1013" ca="1">_xlfn.XLOOKUP(PAA_4[[#This Row],[RCP-RUBRO]],[2]!COMPROMISOS_2024[[#All],[concatenado]],[2]!COMPROMISOS_2024[[#All],[Total Comprometido]],"",0)</f>
        <v>#NAME?</v>
      </c>
      <c r="AL1013" s="47">
        <f>IF(PAA_4[[#This Row],[BOLSA]]=0,0,SUMIFS([2]!COMPROMISOS_2024[[#All],[Total Comprometido]],[2]!COMPROMISOS_2024[[#All],[Bolsa]],PAA_4[[#This Row],[BOLSA]],[2]!COMPROMISOS_2024[[#All],[concatenado]],PAA_4[[#This Row],[RCP-RUBRO]]))</f>
        <v>0</v>
      </c>
    </row>
    <row r="1014" spans="1:38" s="19" customFormat="1" ht="31.5" customHeight="1">
      <c r="A1014" s="47" t="s">
        <v>82</v>
      </c>
      <c r="B1014" s="47" t="s">
        <v>42</v>
      </c>
      <c r="C1014" s="47" t="str">
        <f>VLOOKUP(PAA_4[[#This Row],[PROYECTO (formulado)2]],[2]PROYECTOS!$G$1:$L$32,6,0)</f>
        <v>SUBGERENCIA ESCENARIOS DEPORTIVOS Y EQUIPAMIENTOS</v>
      </c>
      <c r="D1014" s="47" t="str">
        <f>+IF(PAA_4[[#This Row],[UNIDAD DE CONTRATACION (formulado)]]="Subgerencia Administrativa y Financiera","FUNCIONAMIENTO","INVERSIÓN")</f>
        <v>INVERSIÓN</v>
      </c>
      <c r="E1014" s="48" t="str">
        <f>VLOOKUP(Q1014,[2]PROYECTOS!$G$1:$K$32,5,0)</f>
        <v>MEJORAMIENTO_DE_LA_INFRAESTRUCTURA_DEPORTIVA_Y_RECREATIVA_EN_EL_DEPARTAMENTO_DE_ANTIOQUIA</v>
      </c>
      <c r="F1014" s="48">
        <f>VLOOKUP(E1014,[2]PROYECTOS!$K$1:$M$32,3,0)</f>
        <v>2020003050027</v>
      </c>
      <c r="G1014" s="49" t="s">
        <v>288</v>
      </c>
      <c r="H1014" s="49" t="str">
        <f>VLOOKUP(Q1014,[2]PROYECTOS!$V$1:$W$32,2,0)</f>
        <v>050058</v>
      </c>
      <c r="I1014" s="50">
        <v>1000000</v>
      </c>
      <c r="J1014" s="51" t="s">
        <v>1813</v>
      </c>
      <c r="K1014" s="47" t="str">
        <f t="shared" ca="1" si="367"/>
        <v>CONTRATADO</v>
      </c>
      <c r="L1014" s="47" t="s">
        <v>42</v>
      </c>
      <c r="M1014" s="47" t="s">
        <v>42</v>
      </c>
      <c r="N1014" s="51" t="s">
        <v>292</v>
      </c>
      <c r="O1014" s="51" t="e">
        <f>VLOOKUP(N1014,[2]!RUBROS[#All],3,0)</f>
        <v>#REF!</v>
      </c>
      <c r="P1014" s="53" t="e">
        <f>VLOOKUP(N1014,[2]!RUBROS[#All],2,0)</f>
        <v>#REF!</v>
      </c>
      <c r="Q1014" s="47" t="str">
        <f t="shared" si="368"/>
        <v>64</v>
      </c>
      <c r="R1014" s="47" t="str">
        <f t="shared" si="369"/>
        <v>0-205128</v>
      </c>
      <c r="S1014" s="54" t="s">
        <v>42</v>
      </c>
      <c r="T1014" s="59" t="s">
        <v>42</v>
      </c>
      <c r="U1014" s="326" t="e">
        <f ca="1">_xlfn.XLOOKUP(PAA_4[[#This Row],[ITEM]],[2]Contrato!A:A,[2]Contrato!Q:Q,"",0)</f>
        <v>#NAME?</v>
      </c>
      <c r="V1014" s="47" t="s">
        <v>42</v>
      </c>
      <c r="W1014" s="47" t="s">
        <v>42</v>
      </c>
      <c r="X1014" s="47" t="s">
        <v>42</v>
      </c>
      <c r="Y1014" s="55" t="e">
        <f ca="1">_xlfn.XLOOKUP(PAA_4[[#This Row],[ITEM]],[2]Contrato!A:A,[2]Contrato!B:B,"",0)</f>
        <v>#NAME?</v>
      </c>
      <c r="Z1014" s="47" t="e">
        <f ca="1">_xlfn.XLOOKUP(PAA_4[[#This Row],[ITEM]],[2]Contrato!A:A,[2]Contrato!G:G,"",0)</f>
        <v>#NAME?</v>
      </c>
      <c r="AA1014" s="47" t="e">
        <f ca="1">_xlfn.XLOOKUP(PAA_4[[#This Row],[ITEM]],[2]Contrato!A:A,[2]Contrato!T:T,"",0)</f>
        <v>#NAME?</v>
      </c>
      <c r="AB1014" s="55" t="e">
        <f ca="1">+MAX(PAA_4[[#This Row],[Comprometido Contrato]],PAA_4[[#This Row],[Comprometido Bolsa]])</f>
        <v>#NAME?</v>
      </c>
      <c r="AC1014" s="55" t="str">
        <f t="shared" ca="1" si="370"/>
        <v/>
      </c>
      <c r="AD1014" s="55" t="e">
        <f ca="1">IF(PAA_4[[#This Row],[ESTADO (formulado)]]="NO CONTRATADO",0,MAX(PAA_4[[#This Row],[Pago por Contrato]],PAA_4[[#This Row],[Pago por bolsa]]))</f>
        <v>#NAME?</v>
      </c>
      <c r="AE1014" s="55" t="str">
        <f t="shared" ca="1" si="371"/>
        <v/>
      </c>
      <c r="AF1014" s="47" t="e">
        <f t="shared" ca="1" si="372"/>
        <v>#NAME?</v>
      </c>
      <c r="AG1014" s="47">
        <f t="shared" si="373"/>
        <v>43010901</v>
      </c>
      <c r="AH1014" s="54">
        <f>IF(Q1014="22",IF(ISNUMBER(SEARCH("econ",PAA_4[[#This Row],[Actividad3]])),"Económico",IF(ISNUMBER(SEARCH("alim",PAA_4[[#This Row],[Actividad3]])),"Alimentación",IF(ISNUMBER(SEARCH("educ",PAA_4[[#This Row],[Actividad3]])),"Educativo","Técnico"))),0)</f>
        <v>0</v>
      </c>
      <c r="AI1014" s="47" t="e" cm="1">
        <f t="array" aca="1" ref="AI1014" ca="1">_xlfn.XLOOKUP(PAA_4[[#This Row],[RCP-RUBRO]],[2]!COMPROMISOS_2024[[#All],[concatenado]],[2]!COMPROMISOS_2024[[#All],[Total pagado]],"",0)</f>
        <v>#NAME?</v>
      </c>
      <c r="AJ1014" s="56">
        <f>IF(PAA_4[[#This Row],[BOLSA]]=0,0,SUMIFS([2]!COMPROMISOS_2024[[#All],[Total pagado]],[2]!COMPROMISOS_2024[[#All],[Bolsa]],PAA_4[[#This Row],[BOLSA]],[2]!COMPROMISOS_2024[[#All],[rubro]],PAA_4[[#This Row],[RCP-RUBRO]]))</f>
        <v>0</v>
      </c>
      <c r="AK1014" s="47" t="e" cm="1">
        <f t="array" aca="1" ref="AK1014" ca="1">_xlfn.XLOOKUP(PAA_4[[#This Row],[RCP-RUBRO]],[2]!COMPROMISOS_2024[[#All],[concatenado]],[2]!COMPROMISOS_2024[[#All],[Total Comprometido]],"",0)</f>
        <v>#NAME?</v>
      </c>
      <c r="AL1014" s="47">
        <f>IF(PAA_4[[#This Row],[BOLSA]]=0,0,SUMIFS([2]!COMPROMISOS_2024[[#All],[Total Comprometido]],[2]!COMPROMISOS_2024[[#All],[Bolsa]],PAA_4[[#This Row],[BOLSA]],[2]!COMPROMISOS_2024[[#All],[concatenado]],PAA_4[[#This Row],[RCP-RUBRO]]))</f>
        <v>0</v>
      </c>
    </row>
    <row r="1015" spans="1:38" s="19" customFormat="1" ht="31.5" customHeight="1">
      <c r="A1015" s="47" t="s">
        <v>82</v>
      </c>
      <c r="B1015" s="47">
        <v>80111600</v>
      </c>
      <c r="C1015" s="47" t="str">
        <f>VLOOKUP(PAA_4[[#This Row],[PROYECTO (formulado)2]],[2]PROYECTOS!$G$1:$L$32,6,0)</f>
        <v>SUBGERENCIA ESCENARIOS DEPORTIVOS Y EQUIPAMIENTOS</v>
      </c>
      <c r="D1015" s="47" t="str">
        <f>+IF(PAA_4[[#This Row],[UNIDAD DE CONTRATACION (formulado)]]="Subgerencia Administrativa y Financiera","FUNCIONAMIENTO","INVERSIÓN")</f>
        <v>INVERSIÓN</v>
      </c>
      <c r="E1015" s="48" t="str">
        <f>VLOOKUP(Q1015,[2]PROYECTOS!$G$1:$K$32,5,0)</f>
        <v>MEJORAMIENTO_DE_LA_INFRAESTRUCTURA_DEPORTIVA_Y_RECREATIVA_EN_EL_DEPARTAMENTO_DE_ANTIOQUIA</v>
      </c>
      <c r="F1015" s="48">
        <f>VLOOKUP(E1015,[2]PROYECTOS!$K$1:$M$32,3,0)</f>
        <v>2020003050027</v>
      </c>
      <c r="G1015" s="49" t="s">
        <v>288</v>
      </c>
      <c r="H1015" s="49" t="str">
        <f>VLOOKUP(Q1015,[2]PROYECTOS!$V$1:$W$32,2,0)</f>
        <v>050058</v>
      </c>
      <c r="I1015" s="50">
        <v>0</v>
      </c>
      <c r="J1015" s="51" t="s">
        <v>294</v>
      </c>
      <c r="K1015" s="47" t="str">
        <f t="shared" ca="1" si="367"/>
        <v>CONTRATADO</v>
      </c>
      <c r="L1015" s="52" t="s">
        <v>94</v>
      </c>
      <c r="M1015" s="51" t="s">
        <v>1297</v>
      </c>
      <c r="N1015" s="51" t="s">
        <v>292</v>
      </c>
      <c r="O1015" s="51" t="e">
        <f>VLOOKUP(N1015,[2]!RUBROS[#All],3,0)</f>
        <v>#REF!</v>
      </c>
      <c r="P1015" s="53" t="e">
        <f>VLOOKUP(N1015,[2]!RUBROS[#All],2,0)</f>
        <v>#REF!</v>
      </c>
      <c r="Q1015" s="47" t="str">
        <f t="shared" si="368"/>
        <v>64</v>
      </c>
      <c r="R1015" s="47" t="str">
        <f t="shared" si="369"/>
        <v>0-205128</v>
      </c>
      <c r="S1015" s="54">
        <v>8</v>
      </c>
      <c r="T1015" s="59" t="s">
        <v>46</v>
      </c>
      <c r="U1015" s="326" t="s">
        <v>290</v>
      </c>
      <c r="V1015" s="47" t="s">
        <v>47</v>
      </c>
      <c r="W1015" s="47" t="s">
        <v>119</v>
      </c>
      <c r="X1015" s="47" t="s">
        <v>242</v>
      </c>
      <c r="Y1015" s="55" t="e">
        <f ca="1">_xlfn.XLOOKUP(PAA_4[[#This Row],[ITEM]],[2]Contrato!A:A,[2]Contrato!B:B,"",0)</f>
        <v>#NAME?</v>
      </c>
      <c r="Z1015" s="47" t="e">
        <f ca="1">_xlfn.XLOOKUP(PAA_4[[#This Row],[ITEM]],[2]Contrato!A:A,[2]Contrato!G:G,"",0)</f>
        <v>#NAME?</v>
      </c>
      <c r="AA1015" s="47" t="e">
        <f ca="1">_xlfn.XLOOKUP(PAA_4[[#This Row],[ITEM]],[2]Contrato!A:A,[2]Contrato!T:T,"",0)</f>
        <v>#NAME?</v>
      </c>
      <c r="AB1015" s="55" t="e">
        <f ca="1">+MAX(PAA_4[[#This Row],[Comprometido Contrato]],PAA_4[[#This Row],[Comprometido Bolsa]])</f>
        <v>#NAME?</v>
      </c>
      <c r="AC1015" s="55" t="str">
        <f t="shared" ca="1" si="370"/>
        <v/>
      </c>
      <c r="AD1015" s="55" t="e">
        <f ca="1">IF(PAA_4[[#This Row],[ESTADO (formulado)]]="NO CONTRATADO",0,MAX(PAA_4[[#This Row],[Pago por Contrato]],PAA_4[[#This Row],[Pago por bolsa]]))</f>
        <v>#NAME?</v>
      </c>
      <c r="AE1015" s="55" t="str">
        <f t="shared" ca="1" si="371"/>
        <v/>
      </c>
      <c r="AF1015" s="47" t="e">
        <f t="shared" ca="1" si="372"/>
        <v>#NAME?</v>
      </c>
      <c r="AG1015" s="47">
        <f t="shared" si="373"/>
        <v>43010901</v>
      </c>
      <c r="AH1015" s="54">
        <f>IF(Q1015="22",IF(ISNUMBER(SEARCH("econ",PAA_4[[#This Row],[Actividad3]])),"Económico",IF(ISNUMBER(SEARCH("alim",PAA_4[[#This Row],[Actividad3]])),"Alimentación",IF(ISNUMBER(SEARCH("educ",PAA_4[[#This Row],[Actividad3]])),"Educativo","Técnico"))),0)</f>
        <v>0</v>
      </c>
      <c r="AI1015" s="47" t="e" cm="1">
        <f t="array" aca="1" ref="AI1015" ca="1">_xlfn.XLOOKUP(PAA_4[[#This Row],[RCP-RUBRO]],[2]!COMPROMISOS_2024[[#All],[concatenado]],[2]!COMPROMISOS_2024[[#All],[Total pagado]],"",0)</f>
        <v>#NAME?</v>
      </c>
      <c r="AJ1015" s="56">
        <f>IF(PAA_4[[#This Row],[BOLSA]]=0,0,SUMIFS([2]!COMPROMISOS_2024[[#All],[Total pagado]],[2]!COMPROMISOS_2024[[#All],[Bolsa]],PAA_4[[#This Row],[BOLSA]],[2]!COMPROMISOS_2024[[#All],[rubro]],PAA_4[[#This Row],[RCP-RUBRO]]))</f>
        <v>0</v>
      </c>
      <c r="AK1015" s="47" t="e" cm="1">
        <f t="array" aca="1" ref="AK1015" ca="1">_xlfn.XLOOKUP(PAA_4[[#This Row],[RCP-RUBRO]],[2]!COMPROMISOS_2024[[#All],[concatenado]],[2]!COMPROMISOS_2024[[#All],[Total Comprometido]],"",0)</f>
        <v>#NAME?</v>
      </c>
      <c r="AL1015" s="47">
        <f>IF(PAA_4[[#This Row],[BOLSA]]=0,0,SUMIFS([2]!COMPROMISOS_2024[[#All],[Total Comprometido]],[2]!COMPROMISOS_2024[[#All],[Bolsa]],PAA_4[[#This Row],[BOLSA]],[2]!COMPROMISOS_2024[[#All],[concatenado]],PAA_4[[#This Row],[RCP-RUBRO]]))</f>
        <v>0</v>
      </c>
    </row>
    <row r="1016" spans="1:38" s="19" customFormat="1" ht="31.5" customHeight="1">
      <c r="A1016" s="47">
        <v>348</v>
      </c>
      <c r="B1016" s="47">
        <v>80111600</v>
      </c>
      <c r="C1016" s="47" t="str">
        <f>VLOOKUP(PAA_4[[#This Row],[PROYECTO (formulado)2]],[2]PROYECTOS!$G$1:$L$32,6,0)</f>
        <v>SUBGERENCIA ESCENARIOS DEPORTIVOS Y EQUIPAMIENTOS</v>
      </c>
      <c r="D1016" s="47" t="str">
        <f>+IF(PAA_4[[#This Row],[UNIDAD DE CONTRATACION (formulado)]]="Subgerencia Administrativa y Financiera","FUNCIONAMIENTO","INVERSIÓN")</f>
        <v>INVERSIÓN</v>
      </c>
      <c r="E1016" s="48" t="str">
        <f>VLOOKUP(Q1016,[2]PROYECTOS!$G$1:$K$32,5,0)</f>
        <v>MEJORAMIENTO_DE_LA_INFRAESTRUCTURA_DEPORTIVA_Y_RECREATIVA_EN_EL_DEPARTAMENTO_DE_ANTIOQUIA</v>
      </c>
      <c r="F1016" s="48">
        <f>VLOOKUP(E1016,[2]PROYECTOS!$K$1:$M$32,3,0)</f>
        <v>2020003050027</v>
      </c>
      <c r="G1016" s="49" t="s">
        <v>288</v>
      </c>
      <c r="H1016" s="49" t="str">
        <f>VLOOKUP(Q1016,[2]PROYECTOS!$V$1:$W$32,2,0)</f>
        <v>050058</v>
      </c>
      <c r="I1016" s="50">
        <v>0</v>
      </c>
      <c r="J1016" s="51" t="s">
        <v>1828</v>
      </c>
      <c r="K1016" s="47" t="str">
        <f t="shared" ca="1" si="367"/>
        <v>CONTRATADO</v>
      </c>
      <c r="L1016" s="52" t="s">
        <v>94</v>
      </c>
      <c r="M1016" s="51" t="s">
        <v>1297</v>
      </c>
      <c r="N1016" s="51" t="s">
        <v>292</v>
      </c>
      <c r="O1016" s="51" t="e">
        <f>VLOOKUP(N1016,[2]!RUBROS[#All],3,0)</f>
        <v>#REF!</v>
      </c>
      <c r="P1016" s="53" t="e">
        <f>VLOOKUP(N1016,[2]!RUBROS[#All],2,0)</f>
        <v>#REF!</v>
      </c>
      <c r="Q1016" s="47" t="str">
        <f t="shared" si="368"/>
        <v>64</v>
      </c>
      <c r="R1016" s="47" t="str">
        <f t="shared" si="369"/>
        <v>0-205128</v>
      </c>
      <c r="S1016" s="54">
        <v>12</v>
      </c>
      <c r="T1016" s="59" t="s">
        <v>46</v>
      </c>
      <c r="U1016" s="326" t="e">
        <f ca="1">_xlfn.XLOOKUP(PAA_4[[#This Row],[ITEM]],[2]Contrato!A:A,[2]Contrato!Q:Q,"",0)</f>
        <v>#NAME?</v>
      </c>
      <c r="V1016" s="47" t="s">
        <v>47</v>
      </c>
      <c r="W1016" s="47" t="s">
        <v>83</v>
      </c>
      <c r="X1016" s="47" t="s">
        <v>83</v>
      </c>
      <c r="Y1016" s="55" t="e">
        <f ca="1">_xlfn.XLOOKUP(PAA_4[[#This Row],[ITEM]],[2]Contrato!A:A,[2]Contrato!B:B,"",0)</f>
        <v>#NAME?</v>
      </c>
      <c r="Z1016" s="47" t="e">
        <f ca="1">_xlfn.XLOOKUP(PAA_4[[#This Row],[ITEM]],[2]Contrato!A:A,[2]Contrato!G:G,"",0)</f>
        <v>#NAME?</v>
      </c>
      <c r="AA1016" s="47" t="e">
        <f ca="1">_xlfn.XLOOKUP(PAA_4[[#This Row],[ITEM]],[2]Contrato!A:A,[2]Contrato!T:T,"",0)</f>
        <v>#NAME?</v>
      </c>
      <c r="AB1016" s="55" t="e">
        <f ca="1">+MAX(PAA_4[[#This Row],[Comprometido Contrato]],PAA_4[[#This Row],[Comprometido Bolsa]])</f>
        <v>#NAME?</v>
      </c>
      <c r="AC1016" s="55" t="str">
        <f t="shared" ca="1" si="370"/>
        <v/>
      </c>
      <c r="AD1016" s="55" t="e">
        <f ca="1">IF(PAA_4[[#This Row],[ESTADO (formulado)]]="NO CONTRATADO",0,MAX(PAA_4[[#This Row],[Pago por Contrato]],PAA_4[[#This Row],[Pago por bolsa]]))</f>
        <v>#NAME?</v>
      </c>
      <c r="AE1016" s="55" t="str">
        <f t="shared" ca="1" si="371"/>
        <v/>
      </c>
      <c r="AF1016" s="47" t="e">
        <f t="shared" ca="1" si="372"/>
        <v>#NAME?</v>
      </c>
      <c r="AG1016" s="47">
        <f t="shared" si="373"/>
        <v>43010901</v>
      </c>
      <c r="AH1016" s="54">
        <f>IF(Q1016="22",IF(ISNUMBER(SEARCH("econ",PAA_4[[#This Row],[Actividad3]])),"Económico",IF(ISNUMBER(SEARCH("alim",PAA_4[[#This Row],[Actividad3]])),"Alimentación",IF(ISNUMBER(SEARCH("educ",PAA_4[[#This Row],[Actividad3]])),"Educativo","Técnico"))),0)</f>
        <v>0</v>
      </c>
      <c r="AI1016" s="47" t="e" cm="1">
        <f t="array" aca="1" ref="AI1016" ca="1">_xlfn.XLOOKUP(PAA_4[[#This Row],[RCP-RUBRO]],[2]!COMPROMISOS_2024[[#All],[concatenado]],[2]!COMPROMISOS_2024[[#All],[Total pagado]],"",0)</f>
        <v>#NAME?</v>
      </c>
      <c r="AJ1016" s="56">
        <f>IF(PAA_4[[#This Row],[BOLSA]]=0,0,SUMIFS([2]!COMPROMISOS_2024[[#All],[Total pagado]],[2]!COMPROMISOS_2024[[#All],[Bolsa]],PAA_4[[#This Row],[BOLSA]],[2]!COMPROMISOS_2024[[#All],[rubro]],PAA_4[[#This Row],[RCP-RUBRO]]))</f>
        <v>0</v>
      </c>
      <c r="AK1016" s="47" t="e" cm="1">
        <f t="array" aca="1" ref="AK1016" ca="1">_xlfn.XLOOKUP(PAA_4[[#This Row],[RCP-RUBRO]],[2]!COMPROMISOS_2024[[#All],[concatenado]],[2]!COMPROMISOS_2024[[#All],[Total Comprometido]],"",0)</f>
        <v>#NAME?</v>
      </c>
      <c r="AL1016" s="47">
        <f>IF(PAA_4[[#This Row],[BOLSA]]=0,0,SUMIFS([2]!COMPROMISOS_2024[[#All],[Total Comprometido]],[2]!COMPROMISOS_2024[[#All],[Bolsa]],PAA_4[[#This Row],[BOLSA]],[2]!COMPROMISOS_2024[[#All],[concatenado]],PAA_4[[#This Row],[RCP-RUBRO]]))</f>
        <v>0</v>
      </c>
    </row>
    <row r="1017" spans="1:38" s="19" customFormat="1" ht="31.5" customHeight="1">
      <c r="A1017" s="47">
        <v>349</v>
      </c>
      <c r="B1017" s="47">
        <v>80111600</v>
      </c>
      <c r="C1017" s="47" t="str">
        <f>VLOOKUP(PAA_4[[#This Row],[PROYECTO (formulado)2]],[2]PROYECTOS!$G$1:$L$32,6,0)</f>
        <v>SUBGERENCIA ESCENARIOS DEPORTIVOS Y EQUIPAMIENTOS</v>
      </c>
      <c r="D1017" s="47" t="str">
        <f>+IF(PAA_4[[#This Row],[UNIDAD DE CONTRATACION (formulado)]]="Subgerencia Administrativa y Financiera","FUNCIONAMIENTO","INVERSIÓN")</f>
        <v>INVERSIÓN</v>
      </c>
      <c r="E1017" s="48" t="str">
        <f>VLOOKUP(Q1017,[2]PROYECTOS!$G$1:$K$32,5,0)</f>
        <v>MEJORAMIENTO_DE_LA_INFRAESTRUCTURA_DEPORTIVA_Y_RECREATIVA_EN_EL_DEPARTAMENTO_DE_ANTIOQUIA</v>
      </c>
      <c r="F1017" s="48">
        <f>VLOOKUP(E1017,[2]PROYECTOS!$K$1:$M$32,3,0)</f>
        <v>2020003050027</v>
      </c>
      <c r="G1017" s="49" t="s">
        <v>288</v>
      </c>
      <c r="H1017" s="49" t="str">
        <f>VLOOKUP(Q1017,[2]PROYECTOS!$V$1:$W$32,2,0)</f>
        <v>050058</v>
      </c>
      <c r="I1017" s="50">
        <v>0</v>
      </c>
      <c r="J1017" s="51" t="s">
        <v>1829</v>
      </c>
      <c r="K1017" s="47" t="str">
        <f t="shared" ca="1" si="367"/>
        <v>CONTRATADO</v>
      </c>
      <c r="L1017" s="52" t="s">
        <v>94</v>
      </c>
      <c r="M1017" s="51" t="s">
        <v>1297</v>
      </c>
      <c r="N1017" s="51" t="s">
        <v>292</v>
      </c>
      <c r="O1017" s="51" t="e">
        <f>VLOOKUP(N1017,[2]!RUBROS[#All],3,0)</f>
        <v>#REF!</v>
      </c>
      <c r="P1017" s="53" t="e">
        <f>VLOOKUP(N1017,[2]!RUBROS[#All],2,0)</f>
        <v>#REF!</v>
      </c>
      <c r="Q1017" s="47" t="str">
        <f t="shared" si="368"/>
        <v>64</v>
      </c>
      <c r="R1017" s="47" t="str">
        <f t="shared" si="369"/>
        <v>0-205128</v>
      </c>
      <c r="S1017" s="54">
        <v>12</v>
      </c>
      <c r="T1017" s="59" t="s">
        <v>46</v>
      </c>
      <c r="U1017" s="326" t="e">
        <f ca="1">_xlfn.XLOOKUP(PAA_4[[#This Row],[ITEM]],[2]Contrato!A:A,[2]Contrato!Q:Q,"",0)</f>
        <v>#NAME?</v>
      </c>
      <c r="V1017" s="47" t="s">
        <v>47</v>
      </c>
      <c r="W1017" s="47" t="s">
        <v>83</v>
      </c>
      <c r="X1017" s="47" t="s">
        <v>83</v>
      </c>
      <c r="Y1017" s="55" t="e">
        <f ca="1">_xlfn.XLOOKUP(PAA_4[[#This Row],[ITEM]],[2]Contrato!A:A,[2]Contrato!B:B,"",0)</f>
        <v>#NAME?</v>
      </c>
      <c r="Z1017" s="47" t="e">
        <f ca="1">_xlfn.XLOOKUP(PAA_4[[#This Row],[ITEM]],[2]Contrato!A:A,[2]Contrato!G:G,"",0)</f>
        <v>#NAME?</v>
      </c>
      <c r="AA1017" s="47" t="e">
        <f ca="1">_xlfn.XLOOKUP(PAA_4[[#This Row],[ITEM]],[2]Contrato!A:A,[2]Contrato!T:T,"",0)</f>
        <v>#NAME?</v>
      </c>
      <c r="AB1017" s="55" t="e">
        <f ca="1">+MAX(PAA_4[[#This Row],[Comprometido Contrato]],PAA_4[[#This Row],[Comprometido Bolsa]])</f>
        <v>#NAME?</v>
      </c>
      <c r="AC1017" s="55" t="str">
        <f t="shared" ca="1" si="370"/>
        <v/>
      </c>
      <c r="AD1017" s="55" t="e">
        <f ca="1">IF(PAA_4[[#This Row],[ESTADO (formulado)]]="NO CONTRATADO",0,MAX(PAA_4[[#This Row],[Pago por Contrato]],PAA_4[[#This Row],[Pago por bolsa]]))</f>
        <v>#NAME?</v>
      </c>
      <c r="AE1017" s="55" t="str">
        <f t="shared" ca="1" si="371"/>
        <v/>
      </c>
      <c r="AF1017" s="47" t="e">
        <f t="shared" ca="1" si="372"/>
        <v>#NAME?</v>
      </c>
      <c r="AG1017" s="47">
        <f t="shared" si="373"/>
        <v>43010901</v>
      </c>
      <c r="AH1017" s="54">
        <f>IF(Q1017="22",IF(ISNUMBER(SEARCH("econ",PAA_4[[#This Row],[Actividad3]])),"Económico",IF(ISNUMBER(SEARCH("alim",PAA_4[[#This Row],[Actividad3]])),"Alimentación",IF(ISNUMBER(SEARCH("educ",PAA_4[[#This Row],[Actividad3]])),"Educativo","Técnico"))),0)</f>
        <v>0</v>
      </c>
      <c r="AI1017" s="47" t="e" cm="1">
        <f t="array" aca="1" ref="AI1017" ca="1">_xlfn.XLOOKUP(PAA_4[[#This Row],[RCP-RUBRO]],[2]!COMPROMISOS_2024[[#All],[concatenado]],[2]!COMPROMISOS_2024[[#All],[Total pagado]],"",0)</f>
        <v>#NAME?</v>
      </c>
      <c r="AJ1017" s="56">
        <f>IF(PAA_4[[#This Row],[BOLSA]]=0,0,SUMIFS([2]!COMPROMISOS_2024[[#All],[Total pagado]],[2]!COMPROMISOS_2024[[#All],[Bolsa]],PAA_4[[#This Row],[BOLSA]],[2]!COMPROMISOS_2024[[#All],[rubro]],PAA_4[[#This Row],[RCP-RUBRO]]))</f>
        <v>0</v>
      </c>
      <c r="AK1017" s="47" t="e" cm="1">
        <f t="array" aca="1" ref="AK1017" ca="1">_xlfn.XLOOKUP(PAA_4[[#This Row],[RCP-RUBRO]],[2]!COMPROMISOS_2024[[#All],[concatenado]],[2]!COMPROMISOS_2024[[#All],[Total Comprometido]],"",0)</f>
        <v>#NAME?</v>
      </c>
      <c r="AL1017" s="47">
        <f>IF(PAA_4[[#This Row],[BOLSA]]=0,0,SUMIFS([2]!COMPROMISOS_2024[[#All],[Total Comprometido]],[2]!COMPROMISOS_2024[[#All],[Bolsa]],PAA_4[[#This Row],[BOLSA]],[2]!COMPROMISOS_2024[[#All],[concatenado]],PAA_4[[#This Row],[RCP-RUBRO]]))</f>
        <v>0</v>
      </c>
    </row>
    <row r="1018" spans="1:38" s="19" customFormat="1" ht="31.5" customHeight="1">
      <c r="A1018" s="47">
        <v>350</v>
      </c>
      <c r="B1018" s="47">
        <v>80111600</v>
      </c>
      <c r="C1018" s="47" t="str">
        <f>VLOOKUP(PAA_4[[#This Row],[PROYECTO (formulado)2]],[2]PROYECTOS!$G$1:$L$32,6,0)</f>
        <v>SUBGERENCIA ESCENARIOS DEPORTIVOS Y EQUIPAMIENTOS</v>
      </c>
      <c r="D1018" s="47" t="str">
        <f>+IF(PAA_4[[#This Row],[UNIDAD DE CONTRATACION (formulado)]]="Subgerencia Administrativa y Financiera","FUNCIONAMIENTO","INVERSIÓN")</f>
        <v>INVERSIÓN</v>
      </c>
      <c r="E1018" s="48" t="str">
        <f>VLOOKUP(Q1018,[2]PROYECTOS!$G$1:$K$32,5,0)</f>
        <v>MEJORAMIENTO_DE_LA_INFRAESTRUCTURA_DEPORTIVA_Y_RECREATIVA_EN_EL_DEPARTAMENTO_DE_ANTIOQUIA</v>
      </c>
      <c r="F1018" s="48">
        <f>VLOOKUP(E1018,[2]PROYECTOS!$K$1:$M$32,3,0)</f>
        <v>2020003050027</v>
      </c>
      <c r="G1018" s="49" t="s">
        <v>288</v>
      </c>
      <c r="H1018" s="49" t="str">
        <f>VLOOKUP(Q1018,[2]PROYECTOS!$V$1:$W$32,2,0)</f>
        <v>050058</v>
      </c>
      <c r="I1018" s="50">
        <v>0</v>
      </c>
      <c r="J1018" s="51" t="s">
        <v>1830</v>
      </c>
      <c r="K1018" s="47" t="str">
        <f t="shared" ca="1" si="367"/>
        <v>CONTRATADO</v>
      </c>
      <c r="L1018" s="52" t="s">
        <v>94</v>
      </c>
      <c r="M1018" s="51" t="s">
        <v>1297</v>
      </c>
      <c r="N1018" s="51" t="s">
        <v>292</v>
      </c>
      <c r="O1018" s="51" t="e">
        <f>VLOOKUP(N1018,[2]!RUBROS[#All],3,0)</f>
        <v>#REF!</v>
      </c>
      <c r="P1018" s="53" t="e">
        <f>VLOOKUP(N1018,[2]!RUBROS[#All],2,0)</f>
        <v>#REF!</v>
      </c>
      <c r="Q1018" s="47" t="str">
        <f t="shared" si="368"/>
        <v>64</v>
      </c>
      <c r="R1018" s="47" t="str">
        <f t="shared" si="369"/>
        <v>0-205128</v>
      </c>
      <c r="S1018" s="54">
        <v>12</v>
      </c>
      <c r="T1018" s="59" t="s">
        <v>46</v>
      </c>
      <c r="U1018" s="326" t="e">
        <f ca="1">_xlfn.XLOOKUP(PAA_4[[#This Row],[ITEM]],[2]Contrato!A:A,[2]Contrato!Q:Q,"",0)</f>
        <v>#NAME?</v>
      </c>
      <c r="V1018" s="47" t="s">
        <v>47</v>
      </c>
      <c r="W1018" s="47" t="s">
        <v>83</v>
      </c>
      <c r="X1018" s="47" t="s">
        <v>83</v>
      </c>
      <c r="Y1018" s="55" t="e">
        <f ca="1">_xlfn.XLOOKUP(PAA_4[[#This Row],[ITEM]],[2]Contrato!A:A,[2]Contrato!B:B,"",0)</f>
        <v>#NAME?</v>
      </c>
      <c r="Z1018" s="47" t="e">
        <f ca="1">_xlfn.XLOOKUP(PAA_4[[#This Row],[ITEM]],[2]Contrato!A:A,[2]Contrato!G:G,"",0)</f>
        <v>#NAME?</v>
      </c>
      <c r="AA1018" s="47" t="e">
        <f ca="1">_xlfn.XLOOKUP(PAA_4[[#This Row],[ITEM]],[2]Contrato!A:A,[2]Contrato!T:T,"",0)</f>
        <v>#NAME?</v>
      </c>
      <c r="AB1018" s="55" t="e">
        <f ca="1">+MAX(PAA_4[[#This Row],[Comprometido Contrato]],PAA_4[[#This Row],[Comprometido Bolsa]])</f>
        <v>#NAME?</v>
      </c>
      <c r="AC1018" s="55" t="str">
        <f t="shared" ca="1" si="370"/>
        <v/>
      </c>
      <c r="AD1018" s="55" t="e">
        <f ca="1">IF(PAA_4[[#This Row],[ESTADO (formulado)]]="NO CONTRATADO",0,MAX(PAA_4[[#This Row],[Pago por Contrato]],PAA_4[[#This Row],[Pago por bolsa]]))</f>
        <v>#NAME?</v>
      </c>
      <c r="AE1018" s="55" t="str">
        <f t="shared" ca="1" si="371"/>
        <v/>
      </c>
      <c r="AF1018" s="47" t="e">
        <f t="shared" ca="1" si="372"/>
        <v>#NAME?</v>
      </c>
      <c r="AG1018" s="47">
        <f t="shared" si="373"/>
        <v>43010901</v>
      </c>
      <c r="AH1018" s="54">
        <f>IF(Q1018="22",IF(ISNUMBER(SEARCH("econ",PAA_4[[#This Row],[Actividad3]])),"Económico",IF(ISNUMBER(SEARCH("alim",PAA_4[[#This Row],[Actividad3]])),"Alimentación",IF(ISNUMBER(SEARCH("educ",PAA_4[[#This Row],[Actividad3]])),"Educativo","Técnico"))),0)</f>
        <v>0</v>
      </c>
      <c r="AI1018" s="47" t="e" cm="1">
        <f t="array" aca="1" ref="AI1018" ca="1">_xlfn.XLOOKUP(PAA_4[[#This Row],[RCP-RUBRO]],[2]!COMPROMISOS_2024[[#All],[concatenado]],[2]!COMPROMISOS_2024[[#All],[Total pagado]],"",0)</f>
        <v>#NAME?</v>
      </c>
      <c r="AJ1018" s="56">
        <f>IF(PAA_4[[#This Row],[BOLSA]]=0,0,SUMIFS([2]!COMPROMISOS_2024[[#All],[Total pagado]],[2]!COMPROMISOS_2024[[#All],[Bolsa]],PAA_4[[#This Row],[BOLSA]],[2]!COMPROMISOS_2024[[#All],[rubro]],PAA_4[[#This Row],[RCP-RUBRO]]))</f>
        <v>0</v>
      </c>
      <c r="AK1018" s="47" t="e" cm="1">
        <f t="array" aca="1" ref="AK1018" ca="1">_xlfn.XLOOKUP(PAA_4[[#This Row],[RCP-RUBRO]],[2]!COMPROMISOS_2024[[#All],[concatenado]],[2]!COMPROMISOS_2024[[#All],[Total Comprometido]],"",0)</f>
        <v>#NAME?</v>
      </c>
      <c r="AL1018" s="47">
        <f>IF(PAA_4[[#This Row],[BOLSA]]=0,0,SUMIFS([2]!COMPROMISOS_2024[[#All],[Total Comprometido]],[2]!COMPROMISOS_2024[[#All],[Bolsa]],PAA_4[[#This Row],[BOLSA]],[2]!COMPROMISOS_2024[[#All],[concatenado]],PAA_4[[#This Row],[RCP-RUBRO]]))</f>
        <v>0</v>
      </c>
    </row>
    <row r="1019" spans="1:38" s="19" customFormat="1" ht="31.5" customHeight="1">
      <c r="A1019" s="47">
        <v>351</v>
      </c>
      <c r="B1019" s="47">
        <v>80111600</v>
      </c>
      <c r="C1019" s="47" t="str">
        <f>VLOOKUP(PAA_4[[#This Row],[PROYECTO (formulado)2]],[2]PROYECTOS!$G$1:$L$32,6,0)</f>
        <v>SUBGERENCIA ESCENARIOS DEPORTIVOS Y EQUIPAMIENTOS</v>
      </c>
      <c r="D1019" s="47" t="str">
        <f>+IF(PAA_4[[#This Row],[UNIDAD DE CONTRATACION (formulado)]]="Subgerencia Administrativa y Financiera","FUNCIONAMIENTO","INVERSIÓN")</f>
        <v>INVERSIÓN</v>
      </c>
      <c r="E1019" s="48" t="str">
        <f>VLOOKUP(Q1019,[2]PROYECTOS!$G$1:$K$32,5,0)</f>
        <v>MEJORAMIENTO_DE_LA_INFRAESTRUCTURA_DEPORTIVA_Y_RECREATIVA_EN_EL_DEPARTAMENTO_DE_ANTIOQUIA</v>
      </c>
      <c r="F1019" s="48">
        <f>VLOOKUP(E1019,[2]PROYECTOS!$K$1:$M$32,3,0)</f>
        <v>2020003050027</v>
      </c>
      <c r="G1019" s="49" t="s">
        <v>295</v>
      </c>
      <c r="H1019" s="49" t="str">
        <f>VLOOKUP(Q1019,[2]PROYECTOS!$V$1:$W$32,2,0)</f>
        <v>050058</v>
      </c>
      <c r="I1019" s="50">
        <v>0</v>
      </c>
      <c r="J1019" s="51" t="s">
        <v>296</v>
      </c>
      <c r="K1019" s="47" t="str">
        <f t="shared" ca="1" si="367"/>
        <v>CONTRATADO</v>
      </c>
      <c r="L1019" s="52" t="s">
        <v>94</v>
      </c>
      <c r="M1019" s="51" t="s">
        <v>297</v>
      </c>
      <c r="N1019" s="51" t="s">
        <v>292</v>
      </c>
      <c r="O1019" s="51" t="e">
        <f>VLOOKUP(N1019,[2]!RUBROS[#All],3,0)</f>
        <v>#REF!</v>
      </c>
      <c r="P1019" s="53" t="e">
        <f>VLOOKUP(N1019,[2]!RUBROS[#All],2,0)</f>
        <v>#REF!</v>
      </c>
      <c r="Q1019" s="47" t="str">
        <f t="shared" si="368"/>
        <v>64</v>
      </c>
      <c r="R1019" s="47" t="str">
        <f t="shared" si="369"/>
        <v>0-205128</v>
      </c>
      <c r="S1019" s="54"/>
      <c r="T1019" s="59" t="s">
        <v>46</v>
      </c>
      <c r="U1019" s="326" t="s">
        <v>290</v>
      </c>
      <c r="V1019" s="47" t="s">
        <v>47</v>
      </c>
      <c r="W1019" s="47" t="s">
        <v>96</v>
      </c>
      <c r="X1019" s="47" t="s">
        <v>96</v>
      </c>
      <c r="Y1019" s="55" t="e">
        <f ca="1">_xlfn.XLOOKUP(PAA_4[[#This Row],[ITEM]],[2]Contrato!A:A,[2]Contrato!B:B,"",0)</f>
        <v>#NAME?</v>
      </c>
      <c r="Z1019" s="47" t="e">
        <f ca="1">_xlfn.XLOOKUP(PAA_4[[#This Row],[ITEM]],[2]Contrato!A:A,[2]Contrato!G:G,"",0)</f>
        <v>#NAME?</v>
      </c>
      <c r="AA1019" s="47" t="e">
        <f ca="1">_xlfn.XLOOKUP(PAA_4[[#This Row],[ITEM]],[2]Contrato!A:A,[2]Contrato!T:T,"",0)</f>
        <v>#NAME?</v>
      </c>
      <c r="AB1019" s="55" t="e">
        <f ca="1">+MAX(PAA_4[[#This Row],[Comprometido Contrato]],PAA_4[[#This Row],[Comprometido Bolsa]])</f>
        <v>#NAME?</v>
      </c>
      <c r="AC1019" s="55" t="str">
        <f t="shared" ca="1" si="370"/>
        <v/>
      </c>
      <c r="AD1019" s="55" t="e">
        <f ca="1">IF(PAA_4[[#This Row],[ESTADO (formulado)]]="NO CONTRATADO",0,MAX(PAA_4[[#This Row],[Pago por Contrato]],PAA_4[[#This Row],[Pago por bolsa]]))</f>
        <v>#NAME?</v>
      </c>
      <c r="AE1019" s="55" t="str">
        <f t="shared" ca="1" si="371"/>
        <v/>
      </c>
      <c r="AF1019" s="47" t="e">
        <f t="shared" ca="1" si="372"/>
        <v>#NAME?</v>
      </c>
      <c r="AG1019" s="47">
        <f t="shared" si="373"/>
        <v>43010901</v>
      </c>
      <c r="AH1019" s="54">
        <f>IF(Q1019="22",IF(ISNUMBER(SEARCH("econ",PAA_4[[#This Row],[Actividad3]])),"Económico",IF(ISNUMBER(SEARCH("alim",PAA_4[[#This Row],[Actividad3]])),"Alimentación",IF(ISNUMBER(SEARCH("educ",PAA_4[[#This Row],[Actividad3]])),"Educativo","Técnico"))),0)</f>
        <v>0</v>
      </c>
      <c r="AI1019" s="47" t="e" cm="1">
        <f t="array" aca="1" ref="AI1019" ca="1">_xlfn.XLOOKUP(PAA_4[[#This Row],[RCP-RUBRO]],[2]!COMPROMISOS_2024[[#All],[concatenado]],[2]!COMPROMISOS_2024[[#All],[Total pagado]],"",0)</f>
        <v>#NAME?</v>
      </c>
      <c r="AJ1019" s="56">
        <f>IF(PAA_4[[#This Row],[BOLSA]]=0,0,SUMIFS([2]!COMPROMISOS_2024[[#All],[Total pagado]],[2]!COMPROMISOS_2024[[#All],[Bolsa]],PAA_4[[#This Row],[BOLSA]],[2]!COMPROMISOS_2024[[#All],[rubro]],PAA_4[[#This Row],[RCP-RUBRO]]))</f>
        <v>0</v>
      </c>
      <c r="AK1019" s="47" t="e" cm="1">
        <f t="array" aca="1" ref="AK1019" ca="1">_xlfn.XLOOKUP(PAA_4[[#This Row],[RCP-RUBRO]],[2]!COMPROMISOS_2024[[#All],[concatenado]],[2]!COMPROMISOS_2024[[#All],[Total Comprometido]],"",0)</f>
        <v>#NAME?</v>
      </c>
      <c r="AL1019" s="47">
        <f>IF(PAA_4[[#This Row],[BOLSA]]=0,0,SUMIFS([2]!COMPROMISOS_2024[[#All],[Total Comprometido]],[2]!COMPROMISOS_2024[[#All],[Bolsa]],PAA_4[[#This Row],[BOLSA]],[2]!COMPROMISOS_2024[[#All],[concatenado]],PAA_4[[#This Row],[RCP-RUBRO]]))</f>
        <v>0</v>
      </c>
    </row>
    <row r="1020" spans="1:38" s="19" customFormat="1" ht="31.5" customHeight="1">
      <c r="A1020" s="47" t="s">
        <v>82</v>
      </c>
      <c r="B1020" s="47">
        <v>80111600</v>
      </c>
      <c r="C1020" s="47" t="str">
        <f>VLOOKUP(PAA_4[[#This Row],[PROYECTO (formulado)2]],[2]PROYECTOS!$G$1:$L$32,6,0)</f>
        <v>SUBGERENCIA ESCENARIOS DEPORTIVOS Y EQUIPAMIENTOS</v>
      </c>
      <c r="D1020" s="47" t="str">
        <f>+IF(PAA_4[[#This Row],[UNIDAD DE CONTRATACION (formulado)]]="Subgerencia Administrativa y Financiera","FUNCIONAMIENTO","INVERSIÓN")</f>
        <v>INVERSIÓN</v>
      </c>
      <c r="E1020" s="48" t="str">
        <f>VLOOKUP(Q1020,[2]PROYECTOS!$G$1:$K$32,5,0)</f>
        <v>MEJORAMIENTO_DE_LA_INFRAESTRUCTURA_DEPORTIVA_Y_RECREATIVA_EN_EL_DEPARTAMENTO_DE_ANTIOQUIA</v>
      </c>
      <c r="F1020" s="48">
        <f>VLOOKUP(E1020,[2]PROYECTOS!$K$1:$M$32,3,0)</f>
        <v>2020003050027</v>
      </c>
      <c r="G1020" s="49" t="s">
        <v>295</v>
      </c>
      <c r="H1020" s="49" t="str">
        <f>VLOOKUP(Q1020,[2]PROYECTOS!$V$1:$W$32,2,0)</f>
        <v>050058</v>
      </c>
      <c r="I1020" s="50">
        <v>0</v>
      </c>
      <c r="J1020" s="70" t="s">
        <v>1831</v>
      </c>
      <c r="K1020" s="47" t="str">
        <f t="shared" ca="1" si="367"/>
        <v>CONTRATADO</v>
      </c>
      <c r="L1020" s="52" t="s">
        <v>94</v>
      </c>
      <c r="M1020" s="51" t="s">
        <v>1297</v>
      </c>
      <c r="N1020" s="51" t="s">
        <v>292</v>
      </c>
      <c r="O1020" s="51" t="e">
        <f>VLOOKUP(N1020,[2]!RUBROS[#All],3,0)</f>
        <v>#REF!</v>
      </c>
      <c r="P1020" s="53" t="e">
        <f>VLOOKUP(N1020,[2]!RUBROS[#All],2,0)</f>
        <v>#REF!</v>
      </c>
      <c r="Q1020" s="47" t="str">
        <f t="shared" si="368"/>
        <v>64</v>
      </c>
      <c r="R1020" s="47" t="str">
        <f t="shared" si="369"/>
        <v>0-205128</v>
      </c>
      <c r="S1020" s="54">
        <v>12</v>
      </c>
      <c r="T1020" s="59" t="s">
        <v>46</v>
      </c>
      <c r="U1020" s="326" t="s">
        <v>290</v>
      </c>
      <c r="V1020" s="47" t="s">
        <v>47</v>
      </c>
      <c r="W1020" s="71" t="s">
        <v>96</v>
      </c>
      <c r="X1020" s="47" t="s">
        <v>96</v>
      </c>
      <c r="Y1020" s="55" t="e">
        <f ca="1">_xlfn.XLOOKUP(PAA_4[[#This Row],[ITEM]],[2]Contrato!A:A,[2]Contrato!B:B,"",0)</f>
        <v>#NAME?</v>
      </c>
      <c r="Z1020" s="47" t="e">
        <f ca="1">_xlfn.XLOOKUP(PAA_4[[#This Row],[ITEM]],[2]Contrato!A:A,[2]Contrato!G:G,"",0)</f>
        <v>#NAME?</v>
      </c>
      <c r="AA1020" s="47" t="e">
        <f ca="1">_xlfn.XLOOKUP(PAA_4[[#This Row],[ITEM]],[2]Contrato!A:A,[2]Contrato!T:T,"",0)</f>
        <v>#NAME?</v>
      </c>
      <c r="AB1020" s="55" t="e">
        <f ca="1">+MAX(PAA_4[[#This Row],[Comprometido Contrato]],PAA_4[[#This Row],[Comprometido Bolsa]])</f>
        <v>#NAME?</v>
      </c>
      <c r="AC1020" s="55" t="str">
        <f t="shared" ca="1" si="370"/>
        <v/>
      </c>
      <c r="AD1020" s="55" t="e">
        <f ca="1">IF(PAA_4[[#This Row],[ESTADO (formulado)]]="NO CONTRATADO",0,MAX(PAA_4[[#This Row],[Pago por Contrato]],PAA_4[[#This Row],[Pago por bolsa]]))</f>
        <v>#NAME?</v>
      </c>
      <c r="AE1020" s="55" t="str">
        <f t="shared" ca="1" si="371"/>
        <v/>
      </c>
      <c r="AF1020" s="47" t="e">
        <f t="shared" ca="1" si="372"/>
        <v>#NAME?</v>
      </c>
      <c r="AG1020" s="47">
        <f t="shared" si="373"/>
        <v>43010901</v>
      </c>
      <c r="AH1020" s="54">
        <f>IF(Q1020="22",IF(ISNUMBER(SEARCH("econ",PAA_4[[#This Row],[Actividad3]])),"Económico",IF(ISNUMBER(SEARCH("alim",PAA_4[[#This Row],[Actividad3]])),"Alimentación",IF(ISNUMBER(SEARCH("educ",PAA_4[[#This Row],[Actividad3]])),"Educativo","Técnico"))),0)</f>
        <v>0</v>
      </c>
      <c r="AI1020" s="47" t="e" cm="1">
        <f t="array" aca="1" ref="AI1020" ca="1">_xlfn.XLOOKUP(PAA_4[[#This Row],[RCP-RUBRO]],[2]!COMPROMISOS_2024[[#All],[concatenado]],[2]!COMPROMISOS_2024[[#All],[Total pagado]],"",0)</f>
        <v>#NAME?</v>
      </c>
      <c r="AJ1020" s="56">
        <f>IF(PAA_4[[#This Row],[BOLSA]]=0,0,SUMIFS([2]!COMPROMISOS_2024[[#All],[Total pagado]],[2]!COMPROMISOS_2024[[#All],[Bolsa]],PAA_4[[#This Row],[BOLSA]],[2]!COMPROMISOS_2024[[#All],[rubro]],PAA_4[[#This Row],[RCP-RUBRO]]))</f>
        <v>0</v>
      </c>
      <c r="AK1020" s="47" t="e" cm="1">
        <f t="array" aca="1" ref="AK1020" ca="1">_xlfn.XLOOKUP(PAA_4[[#This Row],[RCP-RUBRO]],[2]!COMPROMISOS_2024[[#All],[concatenado]],[2]!COMPROMISOS_2024[[#All],[Total Comprometido]],"",0)</f>
        <v>#NAME?</v>
      </c>
      <c r="AL1020" s="47">
        <f>IF(PAA_4[[#This Row],[BOLSA]]=0,0,SUMIFS([2]!COMPROMISOS_2024[[#All],[Total Comprometido]],[2]!COMPROMISOS_2024[[#All],[Bolsa]],PAA_4[[#This Row],[BOLSA]],[2]!COMPROMISOS_2024[[#All],[concatenado]],PAA_4[[#This Row],[RCP-RUBRO]]))</f>
        <v>0</v>
      </c>
    </row>
    <row r="1021" spans="1:38" s="19" customFormat="1" ht="31.5" customHeight="1">
      <c r="A1021" s="47" t="s">
        <v>82</v>
      </c>
      <c r="B1021" s="47">
        <v>80111600</v>
      </c>
      <c r="C1021" s="47" t="str">
        <f>VLOOKUP(PAA_4[[#This Row],[PROYECTO (formulado)2]],[2]PROYECTOS!$G$1:$L$32,6,0)</f>
        <v>SUBGERENCIA ESCENARIOS DEPORTIVOS Y EQUIPAMIENTOS</v>
      </c>
      <c r="D1021" s="47" t="str">
        <f>+IF(PAA_4[[#This Row],[UNIDAD DE CONTRATACION (formulado)]]="Subgerencia Administrativa y Financiera","FUNCIONAMIENTO","INVERSIÓN")</f>
        <v>INVERSIÓN</v>
      </c>
      <c r="E1021" s="48" t="str">
        <f>VLOOKUP(Q1021,[2]PROYECTOS!$G$1:$K$32,5,0)</f>
        <v>MEJORAMIENTO_DE_LA_INFRAESTRUCTURA_DEPORTIVA_Y_RECREATIVA_EN_EL_DEPARTAMENTO_DE_ANTIOQUIA</v>
      </c>
      <c r="F1021" s="48">
        <f>VLOOKUP(E1021,[2]PROYECTOS!$K$1:$M$32,3,0)</f>
        <v>2020003050027</v>
      </c>
      <c r="G1021" s="49" t="s">
        <v>288</v>
      </c>
      <c r="H1021" s="49" t="str">
        <f>VLOOKUP(Q1021,[2]PROYECTOS!$V$1:$W$32,2,0)</f>
        <v>050058</v>
      </c>
      <c r="I1021" s="50">
        <v>0</v>
      </c>
      <c r="J1021" s="70" t="s">
        <v>289</v>
      </c>
      <c r="K1021" s="47" t="str">
        <f t="shared" ca="1" si="367"/>
        <v>CONTRATADO</v>
      </c>
      <c r="L1021" s="52" t="s">
        <v>94</v>
      </c>
      <c r="M1021" s="47" t="s">
        <v>1297</v>
      </c>
      <c r="N1021" s="51" t="s">
        <v>292</v>
      </c>
      <c r="O1021" s="51" t="e">
        <f>VLOOKUP(N1021,[2]!RUBROS[#All],3,0)</f>
        <v>#REF!</v>
      </c>
      <c r="P1021" s="53" t="e">
        <f>VLOOKUP(N1021,[2]!RUBROS[#All],2,0)</f>
        <v>#REF!</v>
      </c>
      <c r="Q1021" s="47" t="str">
        <f t="shared" si="368"/>
        <v>64</v>
      </c>
      <c r="R1021" s="47" t="str">
        <f t="shared" si="369"/>
        <v>0-205128</v>
      </c>
      <c r="S1021" s="54" t="s">
        <v>42</v>
      </c>
      <c r="T1021" s="59" t="s">
        <v>46</v>
      </c>
      <c r="U1021" s="326" t="e">
        <f ca="1">_xlfn.XLOOKUP(PAA_4[[#This Row],[ITEM]],[2]Contrato!A:A,[2]Contrato!Q:Q,"",0)</f>
        <v>#NAME?</v>
      </c>
      <c r="V1021" s="47" t="s">
        <v>47</v>
      </c>
      <c r="W1021" s="71" t="s">
        <v>96</v>
      </c>
      <c r="X1021" s="47" t="s">
        <v>96</v>
      </c>
      <c r="Y1021" s="55" t="e">
        <f ca="1">_xlfn.XLOOKUP(PAA_4[[#This Row],[ITEM]],[2]Contrato!A:A,[2]Contrato!B:B,"",0)</f>
        <v>#NAME?</v>
      </c>
      <c r="Z1021" s="47" t="e">
        <f ca="1">_xlfn.XLOOKUP(PAA_4[[#This Row],[ITEM]],[2]Contrato!A:A,[2]Contrato!G:G,"",0)</f>
        <v>#NAME?</v>
      </c>
      <c r="AA1021" s="47" t="e">
        <f ca="1">_xlfn.XLOOKUP(PAA_4[[#This Row],[ITEM]],[2]Contrato!A:A,[2]Contrato!T:T,"",0)</f>
        <v>#NAME?</v>
      </c>
      <c r="AB1021" s="55" t="e">
        <f ca="1">+MAX(PAA_4[[#This Row],[Comprometido Contrato]],PAA_4[[#This Row],[Comprometido Bolsa]])</f>
        <v>#NAME?</v>
      </c>
      <c r="AC1021" s="55" t="str">
        <f t="shared" ca="1" si="370"/>
        <v/>
      </c>
      <c r="AD1021" s="55" t="e">
        <f ca="1">IF(PAA_4[[#This Row],[ESTADO (formulado)]]="NO CONTRATADO",0,MAX(PAA_4[[#This Row],[Pago por Contrato]],PAA_4[[#This Row],[Pago por bolsa]]))</f>
        <v>#NAME?</v>
      </c>
      <c r="AE1021" s="55" t="str">
        <f t="shared" ca="1" si="371"/>
        <v/>
      </c>
      <c r="AF1021" s="47" t="e">
        <f t="shared" ca="1" si="372"/>
        <v>#NAME?</v>
      </c>
      <c r="AG1021" s="47">
        <f t="shared" si="373"/>
        <v>43010901</v>
      </c>
      <c r="AH1021" s="54">
        <f>IF(Q1021="22",IF(ISNUMBER(SEARCH("econ",PAA_4[[#This Row],[Actividad3]])),"Económico",IF(ISNUMBER(SEARCH("alim",PAA_4[[#This Row],[Actividad3]])),"Alimentación",IF(ISNUMBER(SEARCH("educ",PAA_4[[#This Row],[Actividad3]])),"Educativo","Técnico"))),0)</f>
        <v>0</v>
      </c>
      <c r="AI1021" s="47" t="e" cm="1">
        <f t="array" aca="1" ref="AI1021" ca="1">_xlfn.XLOOKUP(PAA_4[[#This Row],[RCP-RUBRO]],[2]!COMPROMISOS_2024[[#All],[concatenado]],[2]!COMPROMISOS_2024[[#All],[Total pagado]],"",0)</f>
        <v>#NAME?</v>
      </c>
      <c r="AJ1021" s="56">
        <f>IF(PAA_4[[#This Row],[BOLSA]]=0,0,SUMIFS([2]!COMPROMISOS_2024[[#All],[Total pagado]],[2]!COMPROMISOS_2024[[#All],[Bolsa]],PAA_4[[#This Row],[BOLSA]],[2]!COMPROMISOS_2024[[#All],[rubro]],PAA_4[[#This Row],[RCP-RUBRO]]))</f>
        <v>0</v>
      </c>
      <c r="AK1021" s="47" t="e" cm="1">
        <f t="array" aca="1" ref="AK1021" ca="1">_xlfn.XLOOKUP(PAA_4[[#This Row],[RCP-RUBRO]],[2]!COMPROMISOS_2024[[#All],[concatenado]],[2]!COMPROMISOS_2024[[#All],[Total Comprometido]],"",0)</f>
        <v>#NAME?</v>
      </c>
      <c r="AL1021" s="47">
        <f>IF(PAA_4[[#This Row],[BOLSA]]=0,0,SUMIFS([2]!COMPROMISOS_2024[[#All],[Total Comprometido]],[2]!COMPROMISOS_2024[[#All],[Bolsa]],PAA_4[[#This Row],[BOLSA]],[2]!COMPROMISOS_2024[[#All],[concatenado]],PAA_4[[#This Row],[RCP-RUBRO]]))</f>
        <v>0</v>
      </c>
    </row>
    <row r="1022" spans="1:38" s="19" customFormat="1" ht="31.5" customHeight="1">
      <c r="A1022" s="47" t="s">
        <v>82</v>
      </c>
      <c r="B1022" s="47">
        <v>80111600</v>
      </c>
      <c r="C1022" s="47" t="str">
        <f>VLOOKUP(PAA_4[[#This Row],[PROYECTO (formulado)2]],[2]PROYECTOS!$G$1:$L$32,6,0)</f>
        <v>SUBGERENCIA ESCENARIOS DEPORTIVOS Y EQUIPAMIENTOS</v>
      </c>
      <c r="D1022" s="47" t="str">
        <f>+IF(PAA_4[[#This Row],[UNIDAD DE CONTRATACION (formulado)]]="Subgerencia Administrativa y Financiera","FUNCIONAMIENTO","INVERSIÓN")</f>
        <v>INVERSIÓN</v>
      </c>
      <c r="E1022" s="48" t="str">
        <f>VLOOKUP(Q1022,[2]PROYECTOS!$G$1:$K$32,5,0)</f>
        <v>MEJORAMIENTO_DE_LA_INFRAESTRUCTURA_DEPORTIVA_Y_RECREATIVA_EN_EL_DEPARTAMENTO_DE_ANTIOQUIA</v>
      </c>
      <c r="F1022" s="48">
        <f>VLOOKUP(E1022,[2]PROYECTOS!$K$1:$M$32,3,0)</f>
        <v>2020003050027</v>
      </c>
      <c r="G1022" s="49" t="s">
        <v>288</v>
      </c>
      <c r="H1022" s="49" t="str">
        <f>VLOOKUP(Q1022,[2]PROYECTOS!$V$1:$W$32,2,0)</f>
        <v>050058</v>
      </c>
      <c r="I1022" s="50">
        <v>0</v>
      </c>
      <c r="J1022" s="70" t="s">
        <v>289</v>
      </c>
      <c r="K1022" s="47" t="str">
        <f t="shared" ca="1" si="367"/>
        <v>CONTRATADO</v>
      </c>
      <c r="L1022" s="52" t="s">
        <v>94</v>
      </c>
      <c r="M1022" s="47" t="s">
        <v>1297</v>
      </c>
      <c r="N1022" s="51" t="s">
        <v>287</v>
      </c>
      <c r="O1022" s="51" t="e">
        <f>VLOOKUP(N1022,[2]!RUBROS[#All],3,0)</f>
        <v>#REF!</v>
      </c>
      <c r="P1022" s="53" t="e">
        <f>VLOOKUP(N1022,[2]!RUBROS[#All],2,0)</f>
        <v>#REF!</v>
      </c>
      <c r="Q1022" s="47" t="str">
        <f t="shared" si="368"/>
        <v>64</v>
      </c>
      <c r="R1022" s="47" t="str">
        <f t="shared" si="369"/>
        <v>0-101024</v>
      </c>
      <c r="S1022" s="54" t="s">
        <v>42</v>
      </c>
      <c r="T1022" s="59" t="s">
        <v>46</v>
      </c>
      <c r="U1022" s="326" t="e">
        <f ca="1">_xlfn.XLOOKUP(PAA_4[[#This Row],[ITEM]],[2]Contrato!A:A,[2]Contrato!Q:Q,"",0)</f>
        <v>#NAME?</v>
      </c>
      <c r="V1022" s="47" t="s">
        <v>47</v>
      </c>
      <c r="W1022" s="71" t="s">
        <v>96</v>
      </c>
      <c r="X1022" s="47" t="s">
        <v>96</v>
      </c>
      <c r="Y1022" s="55" t="e">
        <f ca="1">_xlfn.XLOOKUP(PAA_4[[#This Row],[ITEM]],[2]Contrato!A:A,[2]Contrato!B:B,"",0)</f>
        <v>#NAME?</v>
      </c>
      <c r="Z1022" s="47" t="e">
        <f ca="1">_xlfn.XLOOKUP(PAA_4[[#This Row],[ITEM]],[2]Contrato!A:A,[2]Contrato!G:G,"",0)</f>
        <v>#NAME?</v>
      </c>
      <c r="AA1022" s="47" t="e">
        <f ca="1">_xlfn.XLOOKUP(PAA_4[[#This Row],[ITEM]],[2]Contrato!A:A,[2]Contrato!T:T,"",0)</f>
        <v>#NAME?</v>
      </c>
      <c r="AB1022" s="55" t="e">
        <f ca="1">+MAX(PAA_4[[#This Row],[Comprometido Contrato]],PAA_4[[#This Row],[Comprometido Bolsa]])</f>
        <v>#NAME?</v>
      </c>
      <c r="AC1022" s="55" t="str">
        <f t="shared" ca="1" si="370"/>
        <v/>
      </c>
      <c r="AD1022" s="55" t="e">
        <f ca="1">IF(PAA_4[[#This Row],[ESTADO (formulado)]]="NO CONTRATADO",0,MAX(PAA_4[[#This Row],[Pago por Contrato]],PAA_4[[#This Row],[Pago por bolsa]]))</f>
        <v>#NAME?</v>
      </c>
      <c r="AE1022" s="55" t="str">
        <f t="shared" ca="1" si="371"/>
        <v/>
      </c>
      <c r="AF1022" s="47" t="e">
        <f t="shared" ca="1" si="372"/>
        <v>#NAME?</v>
      </c>
      <c r="AG1022" s="47">
        <f t="shared" si="373"/>
        <v>43010901</v>
      </c>
      <c r="AH1022" s="54">
        <f>IF(Q1022="22",IF(ISNUMBER(SEARCH("econ",PAA_4[[#This Row],[Actividad3]])),"Económico",IF(ISNUMBER(SEARCH("alim",PAA_4[[#This Row],[Actividad3]])),"Alimentación",IF(ISNUMBER(SEARCH("educ",PAA_4[[#This Row],[Actividad3]])),"Educativo","Técnico"))),0)</f>
        <v>0</v>
      </c>
      <c r="AI1022" s="47" t="e" cm="1">
        <f t="array" aca="1" ref="AI1022" ca="1">_xlfn.XLOOKUP(PAA_4[[#This Row],[RCP-RUBRO]],[2]!COMPROMISOS_2024[[#All],[concatenado]],[2]!COMPROMISOS_2024[[#All],[Total pagado]],"",0)</f>
        <v>#NAME?</v>
      </c>
      <c r="AJ1022" s="56">
        <f>IF(PAA_4[[#This Row],[BOLSA]]=0,0,SUMIFS([2]!COMPROMISOS_2024[[#All],[Total pagado]],[2]!COMPROMISOS_2024[[#All],[Bolsa]],PAA_4[[#This Row],[BOLSA]],[2]!COMPROMISOS_2024[[#All],[rubro]],PAA_4[[#This Row],[RCP-RUBRO]]))</f>
        <v>0</v>
      </c>
      <c r="AK1022" s="47" t="e" cm="1">
        <f t="array" aca="1" ref="AK1022" ca="1">_xlfn.XLOOKUP(PAA_4[[#This Row],[RCP-RUBRO]],[2]!COMPROMISOS_2024[[#All],[concatenado]],[2]!COMPROMISOS_2024[[#All],[Total Comprometido]],"",0)</f>
        <v>#NAME?</v>
      </c>
      <c r="AL1022" s="47">
        <f>IF(PAA_4[[#This Row],[BOLSA]]=0,0,SUMIFS([2]!COMPROMISOS_2024[[#All],[Total Comprometido]],[2]!COMPROMISOS_2024[[#All],[Bolsa]],PAA_4[[#This Row],[BOLSA]],[2]!COMPROMISOS_2024[[#All],[concatenado]],PAA_4[[#This Row],[RCP-RUBRO]]))</f>
        <v>0</v>
      </c>
    </row>
    <row r="1023" spans="1:38" s="19" customFormat="1" ht="31.5" customHeight="1">
      <c r="A1023" s="47" t="s">
        <v>82</v>
      </c>
      <c r="B1023" s="47">
        <v>80111600</v>
      </c>
      <c r="C1023" s="47" t="str">
        <f>VLOOKUP(PAA_4[[#This Row],[PROYECTO (formulado)2]],[2]PROYECTOS!$G$1:$L$32,6,0)</f>
        <v>SUBGERENCIA ESCENARIOS DEPORTIVOS Y EQUIPAMIENTOS</v>
      </c>
      <c r="D1023" s="47" t="str">
        <f>+IF(PAA_4[[#This Row],[UNIDAD DE CONTRATACION (formulado)]]="Subgerencia Administrativa y Financiera","FUNCIONAMIENTO","INVERSIÓN")</f>
        <v>INVERSIÓN</v>
      </c>
      <c r="E1023" s="48" t="str">
        <f>VLOOKUP(Q1023,[2]PROYECTOS!$G$1:$K$32,5,0)</f>
        <v>MEJORAMIENTO_DE_LA_INFRAESTRUCTURA_DEPORTIVA_Y_RECREATIVA_EN_EL_DEPARTAMENTO_DE_ANTIOQUIA</v>
      </c>
      <c r="F1023" s="48">
        <f>VLOOKUP(E1023,[2]PROYECTOS!$K$1:$M$32,3,0)</f>
        <v>2020003050027</v>
      </c>
      <c r="G1023" s="49" t="s">
        <v>288</v>
      </c>
      <c r="H1023" s="49" t="str">
        <f>VLOOKUP(Q1023,[2]PROYECTOS!$V$1:$W$32,2,0)</f>
        <v>050058</v>
      </c>
      <c r="I1023" s="50">
        <v>0</v>
      </c>
      <c r="J1023" s="70" t="s">
        <v>298</v>
      </c>
      <c r="K1023" s="47" t="str">
        <f t="shared" ca="1" si="367"/>
        <v>CONTRATADO</v>
      </c>
      <c r="L1023" s="52" t="s">
        <v>94</v>
      </c>
      <c r="M1023" s="47" t="s">
        <v>1297</v>
      </c>
      <c r="N1023" s="51" t="s">
        <v>287</v>
      </c>
      <c r="O1023" s="51" t="e">
        <f>VLOOKUP(N1023,[2]!RUBROS[#All],3,0)</f>
        <v>#REF!</v>
      </c>
      <c r="P1023" s="53" t="e">
        <f>VLOOKUP(N1023,[2]!RUBROS[#All],2,0)</f>
        <v>#REF!</v>
      </c>
      <c r="Q1023" s="47" t="str">
        <f t="shared" si="368"/>
        <v>64</v>
      </c>
      <c r="R1023" s="47" t="str">
        <f t="shared" si="369"/>
        <v>0-101024</v>
      </c>
      <c r="S1023" s="54" t="s">
        <v>42</v>
      </c>
      <c r="T1023" s="59" t="s">
        <v>46</v>
      </c>
      <c r="U1023" s="326" t="e">
        <f ca="1">_xlfn.XLOOKUP(PAA_4[[#This Row],[ITEM]],[2]Contrato!A:A,[2]Contrato!Q:Q,"",0)</f>
        <v>#NAME?</v>
      </c>
      <c r="V1023" s="47" t="s">
        <v>47</v>
      </c>
      <c r="W1023" s="71" t="s">
        <v>96</v>
      </c>
      <c r="X1023" s="47" t="s">
        <v>96</v>
      </c>
      <c r="Y1023" s="55" t="e">
        <f ca="1">_xlfn.XLOOKUP(PAA_4[[#This Row],[ITEM]],[2]Contrato!A:A,[2]Contrato!B:B,"",0)</f>
        <v>#NAME?</v>
      </c>
      <c r="Z1023" s="47" t="e">
        <f ca="1">_xlfn.XLOOKUP(PAA_4[[#This Row],[ITEM]],[2]Contrato!A:A,[2]Contrato!G:G,"",0)</f>
        <v>#NAME?</v>
      </c>
      <c r="AA1023" s="47" t="e">
        <f ca="1">_xlfn.XLOOKUP(PAA_4[[#This Row],[ITEM]],[2]Contrato!A:A,[2]Contrato!T:T,"",0)</f>
        <v>#NAME?</v>
      </c>
      <c r="AB1023" s="55" t="e">
        <f ca="1">+MAX(PAA_4[[#This Row],[Comprometido Contrato]],PAA_4[[#This Row],[Comprometido Bolsa]])</f>
        <v>#NAME?</v>
      </c>
      <c r="AC1023" s="55" t="str">
        <f t="shared" ca="1" si="370"/>
        <v/>
      </c>
      <c r="AD1023" s="55" t="e">
        <f ca="1">IF(PAA_4[[#This Row],[ESTADO (formulado)]]="NO CONTRATADO",0,MAX(PAA_4[[#This Row],[Pago por Contrato]],PAA_4[[#This Row],[Pago por bolsa]]))</f>
        <v>#NAME?</v>
      </c>
      <c r="AE1023" s="55" t="str">
        <f t="shared" ca="1" si="371"/>
        <v/>
      </c>
      <c r="AF1023" s="47" t="e">
        <f t="shared" ca="1" si="372"/>
        <v>#NAME?</v>
      </c>
      <c r="AG1023" s="47">
        <f t="shared" si="373"/>
        <v>43010901</v>
      </c>
      <c r="AH1023" s="54">
        <f>IF(Q1023="22",IF(ISNUMBER(SEARCH("econ",PAA_4[[#This Row],[Actividad3]])),"Económico",IF(ISNUMBER(SEARCH("alim",PAA_4[[#This Row],[Actividad3]])),"Alimentación",IF(ISNUMBER(SEARCH("educ",PAA_4[[#This Row],[Actividad3]])),"Educativo","Técnico"))),0)</f>
        <v>0</v>
      </c>
      <c r="AI1023" s="47" t="e" cm="1">
        <f t="array" aca="1" ref="AI1023" ca="1">_xlfn.XLOOKUP(PAA_4[[#This Row],[RCP-RUBRO]],[2]!COMPROMISOS_2024[[#All],[concatenado]],[2]!COMPROMISOS_2024[[#All],[Total pagado]],"",0)</f>
        <v>#NAME?</v>
      </c>
      <c r="AJ1023" s="56">
        <f>IF(PAA_4[[#This Row],[BOLSA]]=0,0,SUMIFS([2]!COMPROMISOS_2024[[#All],[Total pagado]],[2]!COMPROMISOS_2024[[#All],[Bolsa]],PAA_4[[#This Row],[BOLSA]],[2]!COMPROMISOS_2024[[#All],[rubro]],PAA_4[[#This Row],[RCP-RUBRO]]))</f>
        <v>0</v>
      </c>
      <c r="AK1023" s="47" t="e" cm="1">
        <f t="array" aca="1" ref="AK1023" ca="1">_xlfn.XLOOKUP(PAA_4[[#This Row],[RCP-RUBRO]],[2]!COMPROMISOS_2024[[#All],[concatenado]],[2]!COMPROMISOS_2024[[#All],[Total Comprometido]],"",0)</f>
        <v>#NAME?</v>
      </c>
      <c r="AL1023" s="47">
        <f>IF(PAA_4[[#This Row],[BOLSA]]=0,0,SUMIFS([2]!COMPROMISOS_2024[[#All],[Total Comprometido]],[2]!COMPROMISOS_2024[[#All],[Bolsa]],PAA_4[[#This Row],[BOLSA]],[2]!COMPROMISOS_2024[[#All],[concatenado]],PAA_4[[#This Row],[RCP-RUBRO]]))</f>
        <v>0</v>
      </c>
    </row>
    <row r="1024" spans="1:38" s="19" customFormat="1" ht="31.5" customHeight="1">
      <c r="A1024" s="47" t="s">
        <v>82</v>
      </c>
      <c r="B1024" s="47" t="s">
        <v>42</v>
      </c>
      <c r="C1024" s="47" t="str">
        <f>VLOOKUP(PAA_4[[#This Row],[PROYECTO (formulado)2]],[2]PROYECTOS!$G$1:$L$32,6,0)</f>
        <v>SUBGERENCIA ESCENARIOS DEPORTIVOS Y EQUIPAMIENTOS</v>
      </c>
      <c r="D1024" s="47" t="str">
        <f>+IF(PAA_4[[#This Row],[UNIDAD DE CONTRATACION (formulado)]]="Subgerencia Administrativa y Financiera","FUNCIONAMIENTO","INVERSIÓN")</f>
        <v>INVERSIÓN</v>
      </c>
      <c r="E1024" s="48" t="str">
        <f>VLOOKUP(Q1024,[2]PROYECTOS!$G$1:$K$32,5,0)</f>
        <v>MEJORAMIENTO_DE_LA_INFRAESTRUCTURA_DEPORTIVA_Y_RECREATIVA_EN_EL_DEPARTAMENTO_DE_ANTIOQUIA</v>
      </c>
      <c r="F1024" s="48">
        <f>VLOOKUP(E1024,[2]PROYECTOS!$K$1:$M$32,3,0)</f>
        <v>2020003050027</v>
      </c>
      <c r="G1024" s="49" t="s">
        <v>288</v>
      </c>
      <c r="H1024" s="49" t="str">
        <f>VLOOKUP(Q1024,[2]PROYECTOS!$V$1:$W$32,2,0)</f>
        <v>050058</v>
      </c>
      <c r="I1024" s="50">
        <v>9106283</v>
      </c>
      <c r="J1024" s="51" t="s">
        <v>1813</v>
      </c>
      <c r="K1024" s="47" t="str">
        <f ca="1">IF(ISNONTEXT(Y1024)=TRUE,"CONTRATADO","NO CONTRATADO")</f>
        <v>CONTRATADO</v>
      </c>
      <c r="L1024" s="47" t="s">
        <v>42</v>
      </c>
      <c r="M1024" s="47" t="s">
        <v>42</v>
      </c>
      <c r="N1024" s="51" t="s">
        <v>292</v>
      </c>
      <c r="O1024" s="51" t="e">
        <f>VLOOKUP(N1024,[2]!RUBROS[#All],3,0)</f>
        <v>#REF!</v>
      </c>
      <c r="P1024" s="53" t="e">
        <f>VLOOKUP(N1024,[2]!RUBROS[#All],2,0)</f>
        <v>#REF!</v>
      </c>
      <c r="Q1024" s="47" t="str">
        <f>+MID(N1024,11,2)</f>
        <v>64</v>
      </c>
      <c r="R1024" s="47" t="str">
        <f>+MID(N1024,14,8)</f>
        <v>0-205128</v>
      </c>
      <c r="S1024" s="54" t="s">
        <v>42</v>
      </c>
      <c r="T1024" s="59" t="s">
        <v>42</v>
      </c>
      <c r="U1024" s="326" t="e">
        <f ca="1">_xlfn.XLOOKUP(PAA_4[[#This Row],[ITEM]],[2]Contrato!A:A,[2]Contrato!Q:Q,"",0)</f>
        <v>#NAME?</v>
      </c>
      <c r="V1024" s="47" t="s">
        <v>42</v>
      </c>
      <c r="W1024" s="47" t="s">
        <v>42</v>
      </c>
      <c r="X1024" s="47" t="s">
        <v>42</v>
      </c>
      <c r="Y1024" s="55" t="e">
        <f ca="1">_xlfn.XLOOKUP(PAA_4[[#This Row],[ITEM]],[2]Contrato!A:A,[2]Contrato!B:B,"",0)</f>
        <v>#NAME?</v>
      </c>
      <c r="Z1024" s="47" t="e">
        <f ca="1">_xlfn.XLOOKUP(PAA_4[[#This Row],[ITEM]],[2]Contrato!A:A,[2]Contrato!G:G,"",0)</f>
        <v>#NAME?</v>
      </c>
      <c r="AA1024" s="47" t="e">
        <f ca="1">_xlfn.XLOOKUP(PAA_4[[#This Row],[ITEM]],[2]Contrato!A:A,[2]Contrato!T:T,"",0)</f>
        <v>#NAME?</v>
      </c>
      <c r="AB1024" s="55" t="e">
        <f ca="1">+MAX(PAA_4[[#This Row],[Comprometido Contrato]],PAA_4[[#This Row],[Comprometido Bolsa]])</f>
        <v>#NAME?</v>
      </c>
      <c r="AC1024" s="55" t="str">
        <f ca="1">IFERROR(I1024-AB1024,"")</f>
        <v/>
      </c>
      <c r="AD1024" s="55" t="e">
        <f ca="1">IF(PAA_4[[#This Row],[ESTADO (formulado)]]="NO CONTRATADO",0,MAX(PAA_4[[#This Row],[Pago por Contrato]],PAA_4[[#This Row],[Pago por bolsa]]))</f>
        <v>#NAME?</v>
      </c>
      <c r="AE1024" s="55" t="str">
        <f ca="1">+IFERROR(AB1024-AD1024,"")</f>
        <v/>
      </c>
      <c r="AF1024" s="47" t="e">
        <f ca="1">+CONCATENATE(AA1024,N1024)</f>
        <v>#NAME?</v>
      </c>
      <c r="AG1024" s="47">
        <f>IFERROR(_xlfn.NUMBERVALUE(MID(G1024,1,8)),"")</f>
        <v>43010901</v>
      </c>
      <c r="AH1024" s="54">
        <f>IF(Q1024="22",IF(ISNUMBER(SEARCH("econ",PAA_4[[#This Row],[Actividad3]])),"Económico",IF(ISNUMBER(SEARCH("alim",PAA_4[[#This Row],[Actividad3]])),"Alimentación",IF(ISNUMBER(SEARCH("educ",PAA_4[[#This Row],[Actividad3]])),"Educativo","Técnico"))),0)</f>
        <v>0</v>
      </c>
      <c r="AI1024" s="47" t="e" cm="1">
        <f t="array" aca="1" ref="AI1024" ca="1">_xlfn.XLOOKUP(PAA_4[[#This Row],[RCP-RUBRO]],[2]!COMPROMISOS_2024[[#All],[concatenado]],[2]!COMPROMISOS_2024[[#All],[Total pagado]],"",0)</f>
        <v>#NAME?</v>
      </c>
      <c r="AJ1024" s="56">
        <f>IF(PAA_4[[#This Row],[BOLSA]]=0,0,SUMIFS([2]!COMPROMISOS_2024[[#All],[Total pagado]],[2]!COMPROMISOS_2024[[#All],[Bolsa]],PAA_4[[#This Row],[BOLSA]],[2]!COMPROMISOS_2024[[#All],[rubro]],PAA_4[[#This Row],[RCP-RUBRO]]))</f>
        <v>0</v>
      </c>
      <c r="AK1024" s="47" t="e" cm="1">
        <f t="array" aca="1" ref="AK1024" ca="1">_xlfn.XLOOKUP(PAA_4[[#This Row],[RCP-RUBRO]],[2]!COMPROMISOS_2024[[#All],[concatenado]],[2]!COMPROMISOS_2024[[#All],[Total Comprometido]],"",0)</f>
        <v>#NAME?</v>
      </c>
      <c r="AL1024" s="47">
        <f>IF(PAA_4[[#This Row],[BOLSA]]=0,0,SUMIFS([2]!COMPROMISOS_2024[[#All],[Total Comprometido]],[2]!COMPROMISOS_2024[[#All],[Bolsa]],PAA_4[[#This Row],[BOLSA]],[2]!COMPROMISOS_2024[[#All],[concatenado]],PAA_4[[#This Row],[RCP-RUBRO]]))</f>
        <v>0</v>
      </c>
    </row>
    <row r="1025" spans="1:38" s="19" customFormat="1" ht="31.5" customHeight="1">
      <c r="A1025" s="47">
        <v>352</v>
      </c>
      <c r="B1025" s="47">
        <v>80111600</v>
      </c>
      <c r="C1025" s="47" t="str">
        <f>VLOOKUP(PAA_4[[#This Row],[PROYECTO (formulado)2]],[2]PROYECTOS!$G$1:$L$32,6,0)</f>
        <v>SUBGERENCIA ESCENARIOS DEPORTIVOS Y EQUIPAMIENTOS</v>
      </c>
      <c r="D1025" s="47" t="str">
        <f>+IF(PAA_4[[#This Row],[UNIDAD DE CONTRATACION (formulado)]]="Subgerencia Administrativa y Financiera","FUNCIONAMIENTO","INVERSIÓN")</f>
        <v>INVERSIÓN</v>
      </c>
      <c r="E1025" s="48" t="str">
        <f>VLOOKUP(Q1025,[2]PROYECTOS!$G$1:$K$32,5,0)</f>
        <v>MEJORAMIENTO_DE_LA_INFRAESTRUCTURA_DEPORTIVA_Y_RECREATIVA_EN_EL_DEPARTAMENTO_DE_ANTIOQUIA</v>
      </c>
      <c r="F1025" s="48">
        <f>VLOOKUP(E1025,[2]PROYECTOS!$K$1:$M$32,3,0)</f>
        <v>2020003050027</v>
      </c>
      <c r="G1025" s="49" t="s">
        <v>288</v>
      </c>
      <c r="H1025" s="49" t="str">
        <f>VLOOKUP(Q1025,[2]PROYECTOS!$V$1:$W$32,2,0)</f>
        <v>050058</v>
      </c>
      <c r="I1025" s="50">
        <f>78059456-9106283</f>
        <v>68953173</v>
      </c>
      <c r="J1025" s="51" t="s">
        <v>1819</v>
      </c>
      <c r="K1025" s="47" t="str">
        <f t="shared" ref="K1025:K1043" ca="1" si="374">IF(ISNONTEXT(Y1025)=TRUE,"CONTRATADO","NO CONTRATADO")</f>
        <v>CONTRATADO</v>
      </c>
      <c r="L1025" s="52" t="s">
        <v>94</v>
      </c>
      <c r="M1025" s="51" t="s">
        <v>1297</v>
      </c>
      <c r="N1025" s="51" t="s">
        <v>292</v>
      </c>
      <c r="O1025" s="51" t="e">
        <f>VLOOKUP(N1025,[2]!RUBROS[#All],3,0)</f>
        <v>#REF!</v>
      </c>
      <c r="P1025" s="53" t="e">
        <f>VLOOKUP(N1025,[2]!RUBROS[#All],2,0)</f>
        <v>#REF!</v>
      </c>
      <c r="Q1025" s="47" t="str">
        <f t="shared" ref="Q1025:Q1043" si="375">+MID(N1025,11,2)</f>
        <v>64</v>
      </c>
      <c r="R1025" s="47" t="str">
        <f t="shared" ref="R1025:R1043" si="376">+MID(N1025,14,8)</f>
        <v>0-205128</v>
      </c>
      <c r="S1025" s="54">
        <v>9.5</v>
      </c>
      <c r="T1025" s="59" t="s">
        <v>46</v>
      </c>
      <c r="U1025" s="326" t="e">
        <f ca="1">_xlfn.XLOOKUP(PAA_4[[#This Row],[ITEM]],[2]Contrato!A:A,[2]Contrato!Q:Q,"",0)</f>
        <v>#NAME?</v>
      </c>
      <c r="V1025" s="47" t="s">
        <v>47</v>
      </c>
      <c r="W1025" s="47" t="s">
        <v>96</v>
      </c>
      <c r="X1025" s="47" t="s">
        <v>96</v>
      </c>
      <c r="Y1025" s="55" t="e">
        <f ca="1">_xlfn.XLOOKUP(PAA_4[[#This Row],[ITEM]],[2]Contrato!A:A,[2]Contrato!B:B,"",0)</f>
        <v>#NAME?</v>
      </c>
      <c r="Z1025" s="47" t="e">
        <f ca="1">_xlfn.XLOOKUP(PAA_4[[#This Row],[ITEM]],[2]Contrato!A:A,[2]Contrato!G:G,"",0)</f>
        <v>#NAME?</v>
      </c>
      <c r="AA1025" s="47" t="e">
        <f ca="1">_xlfn.XLOOKUP(PAA_4[[#This Row],[ITEM]],[2]Contrato!A:A,[2]Contrato!T:T,"",0)</f>
        <v>#NAME?</v>
      </c>
      <c r="AB1025" s="55" t="e">
        <f ca="1">+MAX(PAA_4[[#This Row],[Comprometido Contrato]],PAA_4[[#This Row],[Comprometido Bolsa]])</f>
        <v>#NAME?</v>
      </c>
      <c r="AC1025" s="55" t="str">
        <f t="shared" ref="AC1025:AC1043" ca="1" si="377">IFERROR(I1025-AB1025,"")</f>
        <v/>
      </c>
      <c r="AD1025" s="55" t="e">
        <f ca="1">IF(PAA_4[[#This Row],[ESTADO (formulado)]]="NO CONTRATADO",0,MAX(PAA_4[[#This Row],[Pago por Contrato]],PAA_4[[#This Row],[Pago por bolsa]]))</f>
        <v>#NAME?</v>
      </c>
      <c r="AE1025" s="55" t="str">
        <f t="shared" ref="AE1025:AE1043" ca="1" si="378">+IFERROR(AB1025-AD1025,"")</f>
        <v/>
      </c>
      <c r="AF1025" s="47" t="e">
        <f t="shared" ref="AF1025:AF1043" ca="1" si="379">+CONCATENATE(AA1025,N1025)</f>
        <v>#NAME?</v>
      </c>
      <c r="AG1025" s="47">
        <f t="shared" ref="AG1025:AG1043" si="380">IFERROR(_xlfn.NUMBERVALUE(MID(G1025,1,8)),"")</f>
        <v>43010901</v>
      </c>
      <c r="AH1025" s="54">
        <f>IF(Q1025="22",IF(ISNUMBER(SEARCH("econ",PAA_4[[#This Row],[Actividad3]])),"Económico",IF(ISNUMBER(SEARCH("alim",PAA_4[[#This Row],[Actividad3]])),"Alimentación",IF(ISNUMBER(SEARCH("educ",PAA_4[[#This Row],[Actividad3]])),"Educativo","Técnico"))),0)</f>
        <v>0</v>
      </c>
      <c r="AI1025" s="47" t="e" cm="1">
        <f t="array" aca="1" ref="AI1025" ca="1">_xlfn.XLOOKUP(PAA_4[[#This Row],[RCP-RUBRO]],[2]!COMPROMISOS_2024[[#All],[concatenado]],[2]!COMPROMISOS_2024[[#All],[Total pagado]],"",0)</f>
        <v>#NAME?</v>
      </c>
      <c r="AJ1025" s="56">
        <f>IF(PAA_4[[#This Row],[BOLSA]]=0,0,SUMIFS([2]!COMPROMISOS_2024[[#All],[Total pagado]],[2]!COMPROMISOS_2024[[#All],[Bolsa]],PAA_4[[#This Row],[BOLSA]],[2]!COMPROMISOS_2024[[#All],[rubro]],PAA_4[[#This Row],[RCP-RUBRO]]))</f>
        <v>0</v>
      </c>
      <c r="AK1025" s="47" t="e" cm="1">
        <f t="array" aca="1" ref="AK1025" ca="1">_xlfn.XLOOKUP(PAA_4[[#This Row],[RCP-RUBRO]],[2]!COMPROMISOS_2024[[#All],[concatenado]],[2]!COMPROMISOS_2024[[#All],[Total Comprometido]],"",0)</f>
        <v>#NAME?</v>
      </c>
      <c r="AL1025" s="47">
        <f>IF(PAA_4[[#This Row],[BOLSA]]=0,0,SUMIFS([2]!COMPROMISOS_2024[[#All],[Total Comprometido]],[2]!COMPROMISOS_2024[[#All],[Bolsa]],PAA_4[[#This Row],[BOLSA]],[2]!COMPROMISOS_2024[[#All],[concatenado]],PAA_4[[#This Row],[RCP-RUBRO]]))</f>
        <v>0</v>
      </c>
    </row>
    <row r="1026" spans="1:38" s="19" customFormat="1" ht="31.5" customHeight="1">
      <c r="A1026" s="47">
        <v>353</v>
      </c>
      <c r="B1026" s="47" t="s">
        <v>42</v>
      </c>
      <c r="C1026" s="47" t="str">
        <f>VLOOKUP(PAA_4[[#This Row],[PROYECTO (formulado)2]],[2]PROYECTOS!$G$1:$L$32,6,0)</f>
        <v>SUBGERENCIA ESCENARIOS DEPORTIVOS Y EQUIPAMIENTOS</v>
      </c>
      <c r="D1026" s="47" t="str">
        <f>+IF(PAA_4[[#This Row],[UNIDAD DE CONTRATACION (formulado)]]="Subgerencia Administrativa y Financiera","FUNCIONAMIENTO","INVERSIÓN")</f>
        <v>INVERSIÓN</v>
      </c>
      <c r="E1026" s="48" t="str">
        <f>VLOOKUP(Q1026,[2]PROYECTOS!$G$1:$K$32,5,0)</f>
        <v>MEJORAMIENTO_DE_LA_INFRAESTRUCTURA_DEPORTIVA_Y_RECREATIVA_EN_EL_DEPARTAMENTO_DE_ANTIOQUIA</v>
      </c>
      <c r="F1026" s="48">
        <f>VLOOKUP(E1026,[2]PROYECTOS!$K$1:$M$32,3,0)</f>
        <v>2020003050027</v>
      </c>
      <c r="G1026" s="49" t="s">
        <v>288</v>
      </c>
      <c r="H1026" s="49" t="str">
        <f>VLOOKUP(Q1026,[2]PROYECTOS!$V$1:$W$32,2,0)</f>
        <v>050058</v>
      </c>
      <c r="I1026" s="50">
        <v>0</v>
      </c>
      <c r="J1026" s="51" t="s">
        <v>42</v>
      </c>
      <c r="K1026" s="47" t="str">
        <f t="shared" ca="1" si="374"/>
        <v>CONTRATADO</v>
      </c>
      <c r="L1026" s="52" t="s">
        <v>94</v>
      </c>
      <c r="M1026" s="51" t="s">
        <v>1297</v>
      </c>
      <c r="N1026" s="51" t="s">
        <v>292</v>
      </c>
      <c r="O1026" s="51" t="e">
        <f>VLOOKUP(N1026,[2]!RUBROS[#All],3,0)</f>
        <v>#REF!</v>
      </c>
      <c r="P1026" s="53" t="e">
        <f>VLOOKUP(N1026,[2]!RUBROS[#All],2,0)</f>
        <v>#REF!</v>
      </c>
      <c r="Q1026" s="47" t="str">
        <f t="shared" si="375"/>
        <v>64</v>
      </c>
      <c r="R1026" s="47" t="str">
        <f t="shared" si="376"/>
        <v>0-205128</v>
      </c>
      <c r="S1026" s="54" t="s">
        <v>42</v>
      </c>
      <c r="T1026" s="59" t="s">
        <v>42</v>
      </c>
      <c r="U1026" s="326" t="e">
        <f ca="1">_xlfn.XLOOKUP(PAA_4[[#This Row],[ITEM]],[2]Contrato!A:A,[2]Contrato!Q:Q,"",0)</f>
        <v>#NAME?</v>
      </c>
      <c r="V1026" s="47" t="s">
        <v>95</v>
      </c>
      <c r="W1026" s="47" t="s">
        <v>42</v>
      </c>
      <c r="X1026" s="47" t="s">
        <v>42</v>
      </c>
      <c r="Y1026" s="55" t="e">
        <f ca="1">_xlfn.XLOOKUP(PAA_4[[#This Row],[ITEM]],[2]Contrato!A:A,[2]Contrato!B:B,"",0)</f>
        <v>#NAME?</v>
      </c>
      <c r="Z1026" s="47" t="e">
        <f ca="1">_xlfn.XLOOKUP(PAA_4[[#This Row],[ITEM]],[2]Contrato!A:A,[2]Contrato!G:G,"",0)</f>
        <v>#NAME?</v>
      </c>
      <c r="AA1026" s="47" t="e">
        <f ca="1">_xlfn.XLOOKUP(PAA_4[[#This Row],[ITEM]],[2]Contrato!A:A,[2]Contrato!T:T,"",0)</f>
        <v>#NAME?</v>
      </c>
      <c r="AB1026" s="55" t="e">
        <f ca="1">+MAX(PAA_4[[#This Row],[Comprometido Contrato]],PAA_4[[#This Row],[Comprometido Bolsa]])</f>
        <v>#NAME?</v>
      </c>
      <c r="AC1026" s="55" t="str">
        <f t="shared" ca="1" si="377"/>
        <v/>
      </c>
      <c r="AD1026" s="55" t="e">
        <f ca="1">IF(PAA_4[[#This Row],[ESTADO (formulado)]]="NO CONTRATADO",0,MAX(PAA_4[[#This Row],[Pago por Contrato]],PAA_4[[#This Row],[Pago por bolsa]]))</f>
        <v>#NAME?</v>
      </c>
      <c r="AE1026" s="55" t="str">
        <f t="shared" ca="1" si="378"/>
        <v/>
      </c>
      <c r="AF1026" s="47" t="e">
        <f t="shared" ca="1" si="379"/>
        <v>#NAME?</v>
      </c>
      <c r="AG1026" s="47">
        <f t="shared" si="380"/>
        <v>43010901</v>
      </c>
      <c r="AH1026" s="54">
        <f>IF(Q1026="22",IF(ISNUMBER(SEARCH("econ",PAA_4[[#This Row],[Actividad3]])),"Económico",IF(ISNUMBER(SEARCH("alim",PAA_4[[#This Row],[Actividad3]])),"Alimentación",IF(ISNUMBER(SEARCH("educ",PAA_4[[#This Row],[Actividad3]])),"Educativo","Técnico"))),0)</f>
        <v>0</v>
      </c>
      <c r="AI1026" s="47" t="e" cm="1">
        <f t="array" aca="1" ref="AI1026" ca="1">_xlfn.XLOOKUP(PAA_4[[#This Row],[RCP-RUBRO]],[2]!COMPROMISOS_2024[[#All],[concatenado]],[2]!COMPROMISOS_2024[[#All],[Total pagado]],"",0)</f>
        <v>#NAME?</v>
      </c>
      <c r="AJ1026" s="56">
        <f>IF(PAA_4[[#This Row],[BOLSA]]=0,0,SUMIFS([2]!COMPROMISOS_2024[[#All],[Total pagado]],[2]!COMPROMISOS_2024[[#All],[Bolsa]],PAA_4[[#This Row],[BOLSA]],[2]!COMPROMISOS_2024[[#All],[rubro]],PAA_4[[#This Row],[RCP-RUBRO]]))</f>
        <v>0</v>
      </c>
      <c r="AK1026" s="47" t="e" cm="1">
        <f t="array" aca="1" ref="AK1026" ca="1">_xlfn.XLOOKUP(PAA_4[[#This Row],[RCP-RUBRO]],[2]!COMPROMISOS_2024[[#All],[concatenado]],[2]!COMPROMISOS_2024[[#All],[Total Comprometido]],"",0)</f>
        <v>#NAME?</v>
      </c>
      <c r="AL1026" s="47">
        <f>IF(PAA_4[[#This Row],[BOLSA]]=0,0,SUMIFS([2]!COMPROMISOS_2024[[#All],[Total Comprometido]],[2]!COMPROMISOS_2024[[#All],[Bolsa]],PAA_4[[#This Row],[BOLSA]],[2]!COMPROMISOS_2024[[#All],[concatenado]],PAA_4[[#This Row],[RCP-RUBRO]]))</f>
        <v>0</v>
      </c>
    </row>
    <row r="1027" spans="1:38" s="19" customFormat="1" ht="31.5" customHeight="1">
      <c r="A1027" s="47" t="s">
        <v>82</v>
      </c>
      <c r="B1027" s="47" t="s">
        <v>42</v>
      </c>
      <c r="C1027" s="47" t="str">
        <f>VLOOKUP(PAA_4[[#This Row],[PROYECTO (formulado)2]],[2]PROYECTOS!$G$1:$L$32,6,0)</f>
        <v>SUBGERENCIA ESCENARIOS DEPORTIVOS Y EQUIPAMIENTOS</v>
      </c>
      <c r="D1027" s="47" t="str">
        <f>+IF(PAA_4[[#This Row],[UNIDAD DE CONTRATACION (formulado)]]="Subgerencia Administrativa y Financiera","FUNCIONAMIENTO","INVERSIÓN")</f>
        <v>INVERSIÓN</v>
      </c>
      <c r="E1027" s="48" t="str">
        <f>VLOOKUP(Q1027,[2]PROYECTOS!$G$1:$K$32,5,0)</f>
        <v>MEJORAMIENTO_DE_LA_INFRAESTRUCTURA_DEPORTIVA_Y_RECREATIVA_EN_EL_DEPARTAMENTO_DE_ANTIOQUIA</v>
      </c>
      <c r="F1027" s="48">
        <f>VLOOKUP(E1027,[2]PROYECTOS!$K$1:$M$32,3,0)</f>
        <v>2020003050027</v>
      </c>
      <c r="G1027" s="49" t="s">
        <v>288</v>
      </c>
      <c r="H1027" s="49" t="str">
        <f>VLOOKUP(Q1027,[2]PROYECTOS!$V$1:$W$32,2,0)</f>
        <v>050058</v>
      </c>
      <c r="I1027" s="50">
        <v>0</v>
      </c>
      <c r="J1027" s="51" t="s">
        <v>299</v>
      </c>
      <c r="K1027" s="47" t="str">
        <f t="shared" ca="1" si="374"/>
        <v>CONTRATADO</v>
      </c>
      <c r="L1027" s="52" t="s">
        <v>94</v>
      </c>
      <c r="M1027" s="51" t="s">
        <v>1297</v>
      </c>
      <c r="N1027" s="51" t="s">
        <v>292</v>
      </c>
      <c r="O1027" s="51" t="e">
        <f>VLOOKUP(N1027,[2]!RUBROS[#All],3,0)</f>
        <v>#REF!</v>
      </c>
      <c r="P1027" s="53" t="e">
        <f>VLOOKUP(N1027,[2]!RUBROS[#All],2,0)</f>
        <v>#REF!</v>
      </c>
      <c r="Q1027" s="47" t="str">
        <f t="shared" si="375"/>
        <v>64</v>
      </c>
      <c r="R1027" s="47" t="str">
        <f t="shared" si="376"/>
        <v>0-205128</v>
      </c>
      <c r="S1027" s="54"/>
      <c r="T1027" s="59"/>
      <c r="U1027" s="326" t="e">
        <f ca="1">_xlfn.XLOOKUP(PAA_4[[#This Row],[ITEM]],[2]Contrato!A:A,[2]Contrato!Q:Q,"",0)</f>
        <v>#NAME?</v>
      </c>
      <c r="V1027" s="47"/>
      <c r="W1027" s="47"/>
      <c r="X1027" s="47"/>
      <c r="Y1027" s="55" t="e">
        <f ca="1">_xlfn.XLOOKUP(PAA_4[[#This Row],[ITEM]],[2]Contrato!A:A,[2]Contrato!B:B,"",0)</f>
        <v>#NAME?</v>
      </c>
      <c r="Z1027" s="47" t="e">
        <f ca="1">_xlfn.XLOOKUP(PAA_4[[#This Row],[ITEM]],[2]Contrato!A:A,[2]Contrato!G:G,"",0)</f>
        <v>#NAME?</v>
      </c>
      <c r="AA1027" s="47" t="e">
        <f ca="1">_xlfn.XLOOKUP(PAA_4[[#This Row],[ITEM]],[2]Contrato!A:A,[2]Contrato!T:T,"",0)</f>
        <v>#NAME?</v>
      </c>
      <c r="AB1027" s="55" t="e">
        <f ca="1">+MAX(PAA_4[[#This Row],[Comprometido Contrato]],PAA_4[[#This Row],[Comprometido Bolsa]])</f>
        <v>#NAME?</v>
      </c>
      <c r="AC1027" s="55" t="str">
        <f t="shared" ca="1" si="377"/>
        <v/>
      </c>
      <c r="AD1027" s="55" t="e">
        <f ca="1">IF(PAA_4[[#This Row],[ESTADO (formulado)]]="NO CONTRATADO",0,MAX(PAA_4[[#This Row],[Pago por Contrato]],PAA_4[[#This Row],[Pago por bolsa]]))</f>
        <v>#NAME?</v>
      </c>
      <c r="AE1027" s="55" t="str">
        <f t="shared" ca="1" si="378"/>
        <v/>
      </c>
      <c r="AF1027" s="47" t="e">
        <f t="shared" ca="1" si="379"/>
        <v>#NAME?</v>
      </c>
      <c r="AG1027" s="47">
        <f t="shared" si="380"/>
        <v>43010901</v>
      </c>
      <c r="AH1027" s="54">
        <f>IF(Q1027="22",IF(ISNUMBER(SEARCH("econ",PAA_4[[#This Row],[Actividad3]])),"Económico",IF(ISNUMBER(SEARCH("alim",PAA_4[[#This Row],[Actividad3]])),"Alimentación",IF(ISNUMBER(SEARCH("educ",PAA_4[[#This Row],[Actividad3]])),"Educativo","Técnico"))),0)</f>
        <v>0</v>
      </c>
      <c r="AI1027" s="47" t="e" cm="1">
        <f t="array" aca="1" ref="AI1027" ca="1">_xlfn.XLOOKUP(PAA_4[[#This Row],[RCP-RUBRO]],[2]!COMPROMISOS_2024[[#All],[concatenado]],[2]!COMPROMISOS_2024[[#All],[Total pagado]],"",0)</f>
        <v>#NAME?</v>
      </c>
      <c r="AJ1027" s="56">
        <f>IF(PAA_4[[#This Row],[BOLSA]]=0,0,SUMIFS([2]!COMPROMISOS_2024[[#All],[Total pagado]],[2]!COMPROMISOS_2024[[#All],[Bolsa]],PAA_4[[#This Row],[BOLSA]],[2]!COMPROMISOS_2024[[#All],[rubro]],PAA_4[[#This Row],[RCP-RUBRO]]))</f>
        <v>0</v>
      </c>
      <c r="AK1027" s="47" t="e" cm="1">
        <f t="array" aca="1" ref="AK1027" ca="1">_xlfn.XLOOKUP(PAA_4[[#This Row],[RCP-RUBRO]],[2]!COMPROMISOS_2024[[#All],[concatenado]],[2]!COMPROMISOS_2024[[#All],[Total Comprometido]],"",0)</f>
        <v>#NAME?</v>
      </c>
      <c r="AL1027" s="47">
        <f>IF(PAA_4[[#This Row],[BOLSA]]=0,0,SUMIFS([2]!COMPROMISOS_2024[[#All],[Total Comprometido]],[2]!COMPROMISOS_2024[[#All],[Bolsa]],PAA_4[[#This Row],[BOLSA]],[2]!COMPROMISOS_2024[[#All],[concatenado]],PAA_4[[#This Row],[RCP-RUBRO]]))</f>
        <v>0</v>
      </c>
    </row>
    <row r="1028" spans="1:38" s="19" customFormat="1" ht="31.5" customHeight="1">
      <c r="A1028" s="47">
        <v>354</v>
      </c>
      <c r="B1028" s="47">
        <v>80111600</v>
      </c>
      <c r="C1028" s="47" t="str">
        <f>VLOOKUP(PAA_4[[#This Row],[PROYECTO (formulado)2]],[2]PROYECTOS!$G$1:$L$32,6,0)</f>
        <v>SUBGERENCIA ESCENARIOS DEPORTIVOS Y EQUIPAMIENTOS</v>
      </c>
      <c r="D1028" s="47" t="str">
        <f>+IF(PAA_4[[#This Row],[UNIDAD DE CONTRATACION (formulado)]]="Subgerencia Administrativa y Financiera","FUNCIONAMIENTO","INVERSIÓN")</f>
        <v>INVERSIÓN</v>
      </c>
      <c r="E1028" s="48" t="str">
        <f>VLOOKUP(Q1028,[2]PROYECTOS!$G$1:$K$32,5,0)</f>
        <v>MEJORAMIENTO_DE_LA_INFRAESTRUCTURA_DEPORTIVA_Y_RECREATIVA_EN_EL_DEPARTAMENTO_DE_ANTIOQUIA</v>
      </c>
      <c r="F1028" s="48">
        <f>VLOOKUP(E1028,[2]PROYECTOS!$K$1:$M$32,3,0)</f>
        <v>2020003050027</v>
      </c>
      <c r="G1028" s="49" t="s">
        <v>288</v>
      </c>
      <c r="H1028" s="49" t="str">
        <f>VLOOKUP(Q1028,[2]PROYECTOS!$V$1:$W$32,2,0)</f>
        <v>050058</v>
      </c>
      <c r="I1028" s="50">
        <v>0</v>
      </c>
      <c r="J1028" s="51" t="s">
        <v>1832</v>
      </c>
      <c r="K1028" s="47" t="str">
        <f t="shared" ca="1" si="374"/>
        <v>CONTRATADO</v>
      </c>
      <c r="L1028" s="52" t="s">
        <v>94</v>
      </c>
      <c r="M1028" s="51" t="s">
        <v>1297</v>
      </c>
      <c r="N1028" s="51" t="s">
        <v>292</v>
      </c>
      <c r="O1028" s="51" t="e">
        <f>VLOOKUP(N1028,[2]!RUBROS[#All],3,0)</f>
        <v>#REF!</v>
      </c>
      <c r="P1028" s="53" t="e">
        <f>VLOOKUP(N1028,[2]!RUBROS[#All],2,0)</f>
        <v>#REF!</v>
      </c>
      <c r="Q1028" s="47" t="str">
        <f t="shared" si="375"/>
        <v>64</v>
      </c>
      <c r="R1028" s="47" t="str">
        <f t="shared" si="376"/>
        <v>0-205128</v>
      </c>
      <c r="S1028" s="54">
        <v>12</v>
      </c>
      <c r="T1028" s="59" t="s">
        <v>46</v>
      </c>
      <c r="U1028" s="326" t="e">
        <f ca="1">_xlfn.XLOOKUP(PAA_4[[#This Row],[ITEM]],[2]Contrato!A:A,[2]Contrato!Q:Q,"",0)</f>
        <v>#NAME?</v>
      </c>
      <c r="V1028" s="47" t="s">
        <v>47</v>
      </c>
      <c r="W1028" s="47" t="s">
        <v>83</v>
      </c>
      <c r="X1028" s="47" t="s">
        <v>83</v>
      </c>
      <c r="Y1028" s="55" t="e">
        <f ca="1">_xlfn.XLOOKUP(PAA_4[[#This Row],[ITEM]],[2]Contrato!A:A,[2]Contrato!B:B,"",0)</f>
        <v>#NAME?</v>
      </c>
      <c r="Z1028" s="47" t="e">
        <f ca="1">_xlfn.XLOOKUP(PAA_4[[#This Row],[ITEM]],[2]Contrato!A:A,[2]Contrato!G:G,"",0)</f>
        <v>#NAME?</v>
      </c>
      <c r="AA1028" s="47" t="e">
        <f ca="1">_xlfn.XLOOKUP(PAA_4[[#This Row],[ITEM]],[2]Contrato!A:A,[2]Contrato!T:T,"",0)</f>
        <v>#NAME?</v>
      </c>
      <c r="AB1028" s="55" t="e">
        <f ca="1">+MAX(PAA_4[[#This Row],[Comprometido Contrato]],PAA_4[[#This Row],[Comprometido Bolsa]])</f>
        <v>#NAME?</v>
      </c>
      <c r="AC1028" s="55" t="str">
        <f t="shared" ca="1" si="377"/>
        <v/>
      </c>
      <c r="AD1028" s="55" t="e">
        <f ca="1">IF(PAA_4[[#This Row],[ESTADO (formulado)]]="NO CONTRATADO",0,MAX(PAA_4[[#This Row],[Pago por Contrato]],PAA_4[[#This Row],[Pago por bolsa]]))</f>
        <v>#NAME?</v>
      </c>
      <c r="AE1028" s="55" t="str">
        <f t="shared" ca="1" si="378"/>
        <v/>
      </c>
      <c r="AF1028" s="47" t="e">
        <f t="shared" ca="1" si="379"/>
        <v>#NAME?</v>
      </c>
      <c r="AG1028" s="47">
        <f t="shared" si="380"/>
        <v>43010901</v>
      </c>
      <c r="AH1028" s="54">
        <f>IF(Q1028="22",IF(ISNUMBER(SEARCH("econ",PAA_4[[#This Row],[Actividad3]])),"Económico",IF(ISNUMBER(SEARCH("alim",PAA_4[[#This Row],[Actividad3]])),"Alimentación",IF(ISNUMBER(SEARCH("educ",PAA_4[[#This Row],[Actividad3]])),"Educativo","Técnico"))),0)</f>
        <v>0</v>
      </c>
      <c r="AI1028" s="47" t="e" cm="1">
        <f t="array" aca="1" ref="AI1028" ca="1">_xlfn.XLOOKUP(PAA_4[[#This Row],[RCP-RUBRO]],[2]!COMPROMISOS_2024[[#All],[concatenado]],[2]!COMPROMISOS_2024[[#All],[Total pagado]],"",0)</f>
        <v>#NAME?</v>
      </c>
      <c r="AJ1028" s="56">
        <f>IF(PAA_4[[#This Row],[BOLSA]]=0,0,SUMIFS([2]!COMPROMISOS_2024[[#All],[Total pagado]],[2]!COMPROMISOS_2024[[#All],[Bolsa]],PAA_4[[#This Row],[BOLSA]],[2]!COMPROMISOS_2024[[#All],[rubro]],PAA_4[[#This Row],[RCP-RUBRO]]))</f>
        <v>0</v>
      </c>
      <c r="AK1028" s="47" t="e" cm="1">
        <f t="array" aca="1" ref="AK1028" ca="1">_xlfn.XLOOKUP(PAA_4[[#This Row],[RCP-RUBRO]],[2]!COMPROMISOS_2024[[#All],[concatenado]],[2]!COMPROMISOS_2024[[#All],[Total Comprometido]],"",0)</f>
        <v>#NAME?</v>
      </c>
      <c r="AL1028" s="47">
        <f>IF(PAA_4[[#This Row],[BOLSA]]=0,0,SUMIFS([2]!COMPROMISOS_2024[[#All],[Total Comprometido]],[2]!COMPROMISOS_2024[[#All],[Bolsa]],PAA_4[[#This Row],[BOLSA]],[2]!COMPROMISOS_2024[[#All],[concatenado]],PAA_4[[#This Row],[RCP-RUBRO]]))</f>
        <v>0</v>
      </c>
    </row>
    <row r="1029" spans="1:38" s="19" customFormat="1" ht="31.5" customHeight="1">
      <c r="A1029" s="47">
        <v>355</v>
      </c>
      <c r="B1029" s="47">
        <v>80111600</v>
      </c>
      <c r="C1029" s="47" t="str">
        <f>VLOOKUP(PAA_4[[#This Row],[PROYECTO (formulado)2]],[2]PROYECTOS!$G$1:$L$32,6,0)</f>
        <v>SUBGERENCIA ESCENARIOS DEPORTIVOS Y EQUIPAMIENTOS</v>
      </c>
      <c r="D1029" s="47" t="str">
        <f>+IF(PAA_4[[#This Row],[UNIDAD DE CONTRATACION (formulado)]]="Subgerencia Administrativa y Financiera","FUNCIONAMIENTO","INVERSIÓN")</f>
        <v>INVERSIÓN</v>
      </c>
      <c r="E1029" s="48" t="str">
        <f>VLOOKUP(Q1029,[2]PROYECTOS!$G$1:$K$32,5,0)</f>
        <v>MEJORAMIENTO_DE_LA_INFRAESTRUCTURA_DEPORTIVA_Y_RECREATIVA_EN_EL_DEPARTAMENTO_DE_ANTIOQUIA</v>
      </c>
      <c r="F1029" s="48">
        <f>VLOOKUP(E1029,[2]PROYECTOS!$K$1:$M$32,3,0)</f>
        <v>2020003050027</v>
      </c>
      <c r="G1029" s="49" t="s">
        <v>288</v>
      </c>
      <c r="H1029" s="49" t="str">
        <f>VLOOKUP(Q1029,[2]PROYECTOS!$V$1:$W$32,2,0)</f>
        <v>050058</v>
      </c>
      <c r="I1029" s="50">
        <v>0</v>
      </c>
      <c r="J1029" s="51" t="s">
        <v>1832</v>
      </c>
      <c r="K1029" s="47" t="str">
        <f t="shared" ca="1" si="374"/>
        <v>CONTRATADO</v>
      </c>
      <c r="L1029" s="52" t="s">
        <v>94</v>
      </c>
      <c r="M1029" s="51" t="s">
        <v>1297</v>
      </c>
      <c r="N1029" s="51" t="s">
        <v>292</v>
      </c>
      <c r="O1029" s="51" t="e">
        <f>VLOOKUP(N1029,[2]!RUBROS[#All],3,0)</f>
        <v>#REF!</v>
      </c>
      <c r="P1029" s="53" t="e">
        <f>VLOOKUP(N1029,[2]!RUBROS[#All],2,0)</f>
        <v>#REF!</v>
      </c>
      <c r="Q1029" s="47" t="str">
        <f t="shared" si="375"/>
        <v>64</v>
      </c>
      <c r="R1029" s="47" t="str">
        <f t="shared" si="376"/>
        <v>0-205128</v>
      </c>
      <c r="S1029" s="54">
        <v>12</v>
      </c>
      <c r="T1029" s="59" t="s">
        <v>46</v>
      </c>
      <c r="U1029" s="326" t="e">
        <f ca="1">_xlfn.XLOOKUP(PAA_4[[#This Row],[ITEM]],[2]Contrato!A:A,[2]Contrato!Q:Q,"",0)</f>
        <v>#NAME?</v>
      </c>
      <c r="V1029" s="47" t="s">
        <v>47</v>
      </c>
      <c r="W1029" s="47" t="s">
        <v>83</v>
      </c>
      <c r="X1029" s="47" t="s">
        <v>83</v>
      </c>
      <c r="Y1029" s="55" t="e">
        <f ca="1">_xlfn.XLOOKUP(PAA_4[[#This Row],[ITEM]],[2]Contrato!A:A,[2]Contrato!B:B,"",0)</f>
        <v>#NAME?</v>
      </c>
      <c r="Z1029" s="47" t="e">
        <f ca="1">_xlfn.XLOOKUP(PAA_4[[#This Row],[ITEM]],[2]Contrato!A:A,[2]Contrato!G:G,"",0)</f>
        <v>#NAME?</v>
      </c>
      <c r="AA1029" s="47" t="e">
        <f ca="1">_xlfn.XLOOKUP(PAA_4[[#This Row],[ITEM]],[2]Contrato!A:A,[2]Contrato!T:T,"",0)</f>
        <v>#NAME?</v>
      </c>
      <c r="AB1029" s="55" t="e">
        <f ca="1">+MAX(PAA_4[[#This Row],[Comprometido Contrato]],PAA_4[[#This Row],[Comprometido Bolsa]])</f>
        <v>#NAME?</v>
      </c>
      <c r="AC1029" s="55" t="str">
        <f t="shared" ca="1" si="377"/>
        <v/>
      </c>
      <c r="AD1029" s="55" t="e">
        <f ca="1">IF(PAA_4[[#This Row],[ESTADO (formulado)]]="NO CONTRATADO",0,MAX(PAA_4[[#This Row],[Pago por Contrato]],PAA_4[[#This Row],[Pago por bolsa]]))</f>
        <v>#NAME?</v>
      </c>
      <c r="AE1029" s="55" t="str">
        <f t="shared" ca="1" si="378"/>
        <v/>
      </c>
      <c r="AF1029" s="47" t="e">
        <f t="shared" ca="1" si="379"/>
        <v>#NAME?</v>
      </c>
      <c r="AG1029" s="47">
        <f t="shared" si="380"/>
        <v>43010901</v>
      </c>
      <c r="AH1029" s="54">
        <f>IF(Q1029="22",IF(ISNUMBER(SEARCH("econ",PAA_4[[#This Row],[Actividad3]])),"Económico",IF(ISNUMBER(SEARCH("alim",PAA_4[[#This Row],[Actividad3]])),"Alimentación",IF(ISNUMBER(SEARCH("educ",PAA_4[[#This Row],[Actividad3]])),"Educativo","Técnico"))),0)</f>
        <v>0</v>
      </c>
      <c r="AI1029" s="47" t="e" cm="1">
        <f t="array" aca="1" ref="AI1029" ca="1">_xlfn.XLOOKUP(PAA_4[[#This Row],[RCP-RUBRO]],[2]!COMPROMISOS_2024[[#All],[concatenado]],[2]!COMPROMISOS_2024[[#All],[Total pagado]],"",0)</f>
        <v>#NAME?</v>
      </c>
      <c r="AJ1029" s="56">
        <f>IF(PAA_4[[#This Row],[BOLSA]]=0,0,SUMIFS([2]!COMPROMISOS_2024[[#All],[Total pagado]],[2]!COMPROMISOS_2024[[#All],[Bolsa]],PAA_4[[#This Row],[BOLSA]],[2]!COMPROMISOS_2024[[#All],[rubro]],PAA_4[[#This Row],[RCP-RUBRO]]))</f>
        <v>0</v>
      </c>
      <c r="AK1029" s="47" t="e" cm="1">
        <f t="array" aca="1" ref="AK1029" ca="1">_xlfn.XLOOKUP(PAA_4[[#This Row],[RCP-RUBRO]],[2]!COMPROMISOS_2024[[#All],[concatenado]],[2]!COMPROMISOS_2024[[#All],[Total Comprometido]],"",0)</f>
        <v>#NAME?</v>
      </c>
      <c r="AL1029" s="47">
        <f>IF(PAA_4[[#This Row],[BOLSA]]=0,0,SUMIFS([2]!COMPROMISOS_2024[[#All],[Total Comprometido]],[2]!COMPROMISOS_2024[[#All],[Bolsa]],PAA_4[[#This Row],[BOLSA]],[2]!COMPROMISOS_2024[[#All],[concatenado]],PAA_4[[#This Row],[RCP-RUBRO]]))</f>
        <v>0</v>
      </c>
    </row>
    <row r="1030" spans="1:38" s="19" customFormat="1" ht="31.5" customHeight="1">
      <c r="A1030" s="47">
        <v>356</v>
      </c>
      <c r="B1030" s="47">
        <v>80111600</v>
      </c>
      <c r="C1030" s="47" t="str">
        <f>VLOOKUP(PAA_4[[#This Row],[PROYECTO (formulado)2]],[2]PROYECTOS!$G$1:$L$32,6,0)</f>
        <v>SUBGERENCIA ESCENARIOS DEPORTIVOS Y EQUIPAMIENTOS</v>
      </c>
      <c r="D1030" s="47" t="str">
        <f>+IF(PAA_4[[#This Row],[UNIDAD DE CONTRATACION (formulado)]]="Subgerencia Administrativa y Financiera","FUNCIONAMIENTO","INVERSIÓN")</f>
        <v>INVERSIÓN</v>
      </c>
      <c r="E1030" s="48" t="str">
        <f>VLOOKUP(Q1030,[2]PROYECTOS!$G$1:$K$32,5,0)</f>
        <v>MEJORAMIENTO_DE_LA_INFRAESTRUCTURA_DEPORTIVA_Y_RECREATIVA_EN_EL_DEPARTAMENTO_DE_ANTIOQUIA</v>
      </c>
      <c r="F1030" s="48">
        <f>VLOOKUP(E1030,[2]PROYECTOS!$K$1:$M$32,3,0)</f>
        <v>2020003050027</v>
      </c>
      <c r="G1030" s="49" t="s">
        <v>288</v>
      </c>
      <c r="H1030" s="49" t="str">
        <f>VLOOKUP(Q1030,[2]PROYECTOS!$V$1:$W$32,2,0)</f>
        <v>050058</v>
      </c>
      <c r="I1030" s="50">
        <v>0</v>
      </c>
      <c r="J1030" s="51" t="s">
        <v>1833</v>
      </c>
      <c r="K1030" s="47" t="str">
        <f t="shared" ca="1" si="374"/>
        <v>CONTRATADO</v>
      </c>
      <c r="L1030" s="52" t="s">
        <v>94</v>
      </c>
      <c r="M1030" s="51" t="s">
        <v>1297</v>
      </c>
      <c r="N1030" s="51" t="s">
        <v>292</v>
      </c>
      <c r="O1030" s="51" t="e">
        <f>VLOOKUP(N1030,[2]!RUBROS[#All],3,0)</f>
        <v>#REF!</v>
      </c>
      <c r="P1030" s="53" t="e">
        <f>VLOOKUP(N1030,[2]!RUBROS[#All],2,0)</f>
        <v>#REF!</v>
      </c>
      <c r="Q1030" s="47" t="str">
        <f t="shared" si="375"/>
        <v>64</v>
      </c>
      <c r="R1030" s="47" t="str">
        <f t="shared" si="376"/>
        <v>0-205128</v>
      </c>
      <c r="S1030" s="54">
        <v>12</v>
      </c>
      <c r="T1030" s="59" t="s">
        <v>46</v>
      </c>
      <c r="U1030" s="326" t="e">
        <f ca="1">_xlfn.XLOOKUP(PAA_4[[#This Row],[ITEM]],[2]Contrato!A:A,[2]Contrato!Q:Q,"",0)</f>
        <v>#NAME?</v>
      </c>
      <c r="V1030" s="47" t="s">
        <v>47</v>
      </c>
      <c r="W1030" s="47" t="s">
        <v>83</v>
      </c>
      <c r="X1030" s="47" t="s">
        <v>83</v>
      </c>
      <c r="Y1030" s="55" t="e">
        <f ca="1">_xlfn.XLOOKUP(PAA_4[[#This Row],[ITEM]],[2]Contrato!A:A,[2]Contrato!B:B,"",0)</f>
        <v>#NAME?</v>
      </c>
      <c r="Z1030" s="47" t="e">
        <f ca="1">_xlfn.XLOOKUP(PAA_4[[#This Row],[ITEM]],[2]Contrato!A:A,[2]Contrato!G:G,"",0)</f>
        <v>#NAME?</v>
      </c>
      <c r="AA1030" s="47" t="e">
        <f ca="1">_xlfn.XLOOKUP(PAA_4[[#This Row],[ITEM]],[2]Contrato!A:A,[2]Contrato!T:T,"",0)</f>
        <v>#NAME?</v>
      </c>
      <c r="AB1030" s="55" t="e">
        <f ca="1">+MAX(PAA_4[[#This Row],[Comprometido Contrato]],PAA_4[[#This Row],[Comprometido Bolsa]])</f>
        <v>#NAME?</v>
      </c>
      <c r="AC1030" s="55" t="str">
        <f t="shared" ca="1" si="377"/>
        <v/>
      </c>
      <c r="AD1030" s="55" t="e">
        <f ca="1">IF(PAA_4[[#This Row],[ESTADO (formulado)]]="NO CONTRATADO",0,MAX(PAA_4[[#This Row],[Pago por Contrato]],PAA_4[[#This Row],[Pago por bolsa]]))</f>
        <v>#NAME?</v>
      </c>
      <c r="AE1030" s="55" t="str">
        <f t="shared" ca="1" si="378"/>
        <v/>
      </c>
      <c r="AF1030" s="47" t="e">
        <f t="shared" ca="1" si="379"/>
        <v>#NAME?</v>
      </c>
      <c r="AG1030" s="47">
        <f t="shared" si="380"/>
        <v>43010901</v>
      </c>
      <c r="AH1030" s="54">
        <f>IF(Q1030="22",IF(ISNUMBER(SEARCH("econ",PAA_4[[#This Row],[Actividad3]])),"Económico",IF(ISNUMBER(SEARCH("alim",PAA_4[[#This Row],[Actividad3]])),"Alimentación",IF(ISNUMBER(SEARCH("educ",PAA_4[[#This Row],[Actividad3]])),"Educativo","Técnico"))),0)</f>
        <v>0</v>
      </c>
      <c r="AI1030" s="47" t="e" cm="1">
        <f t="array" aca="1" ref="AI1030" ca="1">_xlfn.XLOOKUP(PAA_4[[#This Row],[RCP-RUBRO]],[2]!COMPROMISOS_2024[[#All],[concatenado]],[2]!COMPROMISOS_2024[[#All],[Total pagado]],"",0)</f>
        <v>#NAME?</v>
      </c>
      <c r="AJ1030" s="56">
        <f>IF(PAA_4[[#This Row],[BOLSA]]=0,0,SUMIFS([2]!COMPROMISOS_2024[[#All],[Total pagado]],[2]!COMPROMISOS_2024[[#All],[Bolsa]],PAA_4[[#This Row],[BOLSA]],[2]!COMPROMISOS_2024[[#All],[rubro]],PAA_4[[#This Row],[RCP-RUBRO]]))</f>
        <v>0</v>
      </c>
      <c r="AK1030" s="47" t="e" cm="1">
        <f t="array" aca="1" ref="AK1030" ca="1">_xlfn.XLOOKUP(PAA_4[[#This Row],[RCP-RUBRO]],[2]!COMPROMISOS_2024[[#All],[concatenado]],[2]!COMPROMISOS_2024[[#All],[Total Comprometido]],"",0)</f>
        <v>#NAME?</v>
      </c>
      <c r="AL1030" s="47">
        <f>IF(PAA_4[[#This Row],[BOLSA]]=0,0,SUMIFS([2]!COMPROMISOS_2024[[#All],[Total Comprometido]],[2]!COMPROMISOS_2024[[#All],[Bolsa]],PAA_4[[#This Row],[BOLSA]],[2]!COMPROMISOS_2024[[#All],[concatenado]],PAA_4[[#This Row],[RCP-RUBRO]]))</f>
        <v>0</v>
      </c>
    </row>
    <row r="1031" spans="1:38" s="19" customFormat="1" ht="31.5" customHeight="1">
      <c r="A1031" s="47">
        <v>357</v>
      </c>
      <c r="B1031" s="47">
        <v>80111600</v>
      </c>
      <c r="C1031" s="47" t="str">
        <f>VLOOKUP(PAA_4[[#This Row],[PROYECTO (formulado)2]],[2]PROYECTOS!$G$1:$L$32,6,0)</f>
        <v>SUBGERENCIA ESCENARIOS DEPORTIVOS Y EQUIPAMIENTOS</v>
      </c>
      <c r="D1031" s="47" t="str">
        <f>+IF(PAA_4[[#This Row],[UNIDAD DE CONTRATACION (formulado)]]="Subgerencia Administrativa y Financiera","FUNCIONAMIENTO","INVERSIÓN")</f>
        <v>INVERSIÓN</v>
      </c>
      <c r="E1031" s="48" t="str">
        <f>VLOOKUP(Q1031,[2]PROYECTOS!$G$1:$K$32,5,0)</f>
        <v>MEJORAMIENTO_DE_LA_INFRAESTRUCTURA_DEPORTIVA_Y_RECREATIVA_EN_EL_DEPARTAMENTO_DE_ANTIOQUIA</v>
      </c>
      <c r="F1031" s="48">
        <f>VLOOKUP(E1031,[2]PROYECTOS!$K$1:$M$32,3,0)</f>
        <v>2020003050027</v>
      </c>
      <c r="G1031" s="49" t="s">
        <v>288</v>
      </c>
      <c r="H1031" s="49" t="str">
        <f>VLOOKUP(Q1031,[2]PROYECTOS!$V$1:$W$32,2,0)</f>
        <v>050058</v>
      </c>
      <c r="I1031" s="50">
        <v>0</v>
      </c>
      <c r="J1031" s="51" t="s">
        <v>1834</v>
      </c>
      <c r="K1031" s="47" t="str">
        <f t="shared" ca="1" si="374"/>
        <v>CONTRATADO</v>
      </c>
      <c r="L1031" s="52" t="s">
        <v>94</v>
      </c>
      <c r="M1031" s="51" t="s">
        <v>1297</v>
      </c>
      <c r="N1031" s="51" t="s">
        <v>292</v>
      </c>
      <c r="O1031" s="51" t="e">
        <f>VLOOKUP(N1031,[2]!RUBROS[#All],3,0)</f>
        <v>#REF!</v>
      </c>
      <c r="P1031" s="53" t="e">
        <f>VLOOKUP(N1031,[2]!RUBROS[#All],2,0)</f>
        <v>#REF!</v>
      </c>
      <c r="Q1031" s="47" t="str">
        <f t="shared" si="375"/>
        <v>64</v>
      </c>
      <c r="R1031" s="47" t="str">
        <f t="shared" si="376"/>
        <v>0-205128</v>
      </c>
      <c r="S1031" s="54">
        <v>12</v>
      </c>
      <c r="T1031" s="59" t="s">
        <v>46</v>
      </c>
      <c r="U1031" s="326" t="e">
        <f ca="1">_xlfn.XLOOKUP(PAA_4[[#This Row],[ITEM]],[2]Contrato!A:A,[2]Contrato!Q:Q,"",0)</f>
        <v>#NAME?</v>
      </c>
      <c r="V1031" s="47" t="s">
        <v>47</v>
      </c>
      <c r="W1031" s="47" t="s">
        <v>83</v>
      </c>
      <c r="X1031" s="47" t="s">
        <v>83</v>
      </c>
      <c r="Y1031" s="55" t="e">
        <f ca="1">_xlfn.XLOOKUP(PAA_4[[#This Row],[ITEM]],[2]Contrato!A:A,[2]Contrato!B:B,"",0)</f>
        <v>#NAME?</v>
      </c>
      <c r="Z1031" s="47" t="e">
        <f ca="1">_xlfn.XLOOKUP(PAA_4[[#This Row],[ITEM]],[2]Contrato!A:A,[2]Contrato!G:G,"",0)</f>
        <v>#NAME?</v>
      </c>
      <c r="AA1031" s="47" t="e">
        <f ca="1">_xlfn.XLOOKUP(PAA_4[[#This Row],[ITEM]],[2]Contrato!A:A,[2]Contrato!T:T,"",0)</f>
        <v>#NAME?</v>
      </c>
      <c r="AB1031" s="55" t="e">
        <f ca="1">+MAX(PAA_4[[#This Row],[Comprometido Contrato]],PAA_4[[#This Row],[Comprometido Bolsa]])</f>
        <v>#NAME?</v>
      </c>
      <c r="AC1031" s="55" t="str">
        <f t="shared" ca="1" si="377"/>
        <v/>
      </c>
      <c r="AD1031" s="55" t="e">
        <f ca="1">IF(PAA_4[[#This Row],[ESTADO (formulado)]]="NO CONTRATADO",0,MAX(PAA_4[[#This Row],[Pago por Contrato]],PAA_4[[#This Row],[Pago por bolsa]]))</f>
        <v>#NAME?</v>
      </c>
      <c r="AE1031" s="55" t="str">
        <f t="shared" ca="1" si="378"/>
        <v/>
      </c>
      <c r="AF1031" s="47" t="e">
        <f t="shared" ca="1" si="379"/>
        <v>#NAME?</v>
      </c>
      <c r="AG1031" s="47">
        <f t="shared" si="380"/>
        <v>43010901</v>
      </c>
      <c r="AH1031" s="54">
        <f>IF(Q1031="22",IF(ISNUMBER(SEARCH("econ",PAA_4[[#This Row],[Actividad3]])),"Económico",IF(ISNUMBER(SEARCH("alim",PAA_4[[#This Row],[Actividad3]])),"Alimentación",IF(ISNUMBER(SEARCH("educ",PAA_4[[#This Row],[Actividad3]])),"Educativo","Técnico"))),0)</f>
        <v>0</v>
      </c>
      <c r="AI1031" s="47" t="e" cm="1">
        <f t="array" aca="1" ref="AI1031" ca="1">_xlfn.XLOOKUP(PAA_4[[#This Row],[RCP-RUBRO]],[2]!COMPROMISOS_2024[[#All],[concatenado]],[2]!COMPROMISOS_2024[[#All],[Total pagado]],"",0)</f>
        <v>#NAME?</v>
      </c>
      <c r="AJ1031" s="56">
        <f>IF(PAA_4[[#This Row],[BOLSA]]=0,0,SUMIFS([2]!COMPROMISOS_2024[[#All],[Total pagado]],[2]!COMPROMISOS_2024[[#All],[Bolsa]],PAA_4[[#This Row],[BOLSA]],[2]!COMPROMISOS_2024[[#All],[rubro]],PAA_4[[#This Row],[RCP-RUBRO]]))</f>
        <v>0</v>
      </c>
      <c r="AK1031" s="47" t="e" cm="1">
        <f t="array" aca="1" ref="AK1031" ca="1">_xlfn.XLOOKUP(PAA_4[[#This Row],[RCP-RUBRO]],[2]!COMPROMISOS_2024[[#All],[concatenado]],[2]!COMPROMISOS_2024[[#All],[Total Comprometido]],"",0)</f>
        <v>#NAME?</v>
      </c>
      <c r="AL1031" s="47">
        <f>IF(PAA_4[[#This Row],[BOLSA]]=0,0,SUMIFS([2]!COMPROMISOS_2024[[#All],[Total Comprometido]],[2]!COMPROMISOS_2024[[#All],[Bolsa]],PAA_4[[#This Row],[BOLSA]],[2]!COMPROMISOS_2024[[#All],[concatenado]],PAA_4[[#This Row],[RCP-RUBRO]]))</f>
        <v>0</v>
      </c>
    </row>
    <row r="1032" spans="1:38" s="19" customFormat="1" ht="31.5" customHeight="1">
      <c r="A1032" s="47">
        <v>358</v>
      </c>
      <c r="B1032" s="47">
        <v>80111600</v>
      </c>
      <c r="C1032" s="47" t="str">
        <f>VLOOKUP(PAA_4[[#This Row],[PROYECTO (formulado)2]],[2]PROYECTOS!$G$1:$L$32,6,0)</f>
        <v>SUBGERENCIA ESCENARIOS DEPORTIVOS Y EQUIPAMIENTOS</v>
      </c>
      <c r="D1032" s="47" t="str">
        <f>+IF(PAA_4[[#This Row],[UNIDAD DE CONTRATACION (formulado)]]="Subgerencia Administrativa y Financiera","FUNCIONAMIENTO","INVERSIÓN")</f>
        <v>INVERSIÓN</v>
      </c>
      <c r="E1032" s="48" t="str">
        <f>VLOOKUP(Q1032,[2]PROYECTOS!$G$1:$K$32,5,0)</f>
        <v>MEJORAMIENTO_DE_LA_INFRAESTRUCTURA_DEPORTIVA_Y_RECREATIVA_EN_EL_DEPARTAMENTO_DE_ANTIOQUIA</v>
      </c>
      <c r="F1032" s="48">
        <f>VLOOKUP(E1032,[2]PROYECTOS!$K$1:$M$32,3,0)</f>
        <v>2020003050027</v>
      </c>
      <c r="G1032" s="49" t="s">
        <v>288</v>
      </c>
      <c r="H1032" s="49" t="str">
        <f>VLOOKUP(Q1032,[2]PROYECTOS!$V$1:$W$32,2,0)</f>
        <v>050058</v>
      </c>
      <c r="I1032" s="50">
        <v>0</v>
      </c>
      <c r="J1032" s="51" t="s">
        <v>1833</v>
      </c>
      <c r="K1032" s="47" t="str">
        <f t="shared" ca="1" si="374"/>
        <v>CONTRATADO</v>
      </c>
      <c r="L1032" s="52" t="s">
        <v>94</v>
      </c>
      <c r="M1032" s="51" t="s">
        <v>1297</v>
      </c>
      <c r="N1032" s="51" t="s">
        <v>292</v>
      </c>
      <c r="O1032" s="51" t="e">
        <f>VLOOKUP(N1032,[2]!RUBROS[#All],3,0)</f>
        <v>#REF!</v>
      </c>
      <c r="P1032" s="53" t="e">
        <f>VLOOKUP(N1032,[2]!RUBROS[#All],2,0)</f>
        <v>#REF!</v>
      </c>
      <c r="Q1032" s="47" t="str">
        <f t="shared" si="375"/>
        <v>64</v>
      </c>
      <c r="R1032" s="47" t="str">
        <f t="shared" si="376"/>
        <v>0-205128</v>
      </c>
      <c r="S1032" s="54">
        <v>12</v>
      </c>
      <c r="T1032" s="59" t="s">
        <v>46</v>
      </c>
      <c r="U1032" s="326" t="e">
        <f ca="1">_xlfn.XLOOKUP(PAA_4[[#This Row],[ITEM]],[2]Contrato!A:A,[2]Contrato!Q:Q,"",0)</f>
        <v>#NAME?</v>
      </c>
      <c r="V1032" s="47" t="s">
        <v>47</v>
      </c>
      <c r="W1032" s="47" t="s">
        <v>83</v>
      </c>
      <c r="X1032" s="47" t="s">
        <v>83</v>
      </c>
      <c r="Y1032" s="55" t="e">
        <f ca="1">_xlfn.XLOOKUP(PAA_4[[#This Row],[ITEM]],[2]Contrato!A:A,[2]Contrato!B:B,"",0)</f>
        <v>#NAME?</v>
      </c>
      <c r="Z1032" s="47" t="e">
        <f ca="1">_xlfn.XLOOKUP(PAA_4[[#This Row],[ITEM]],[2]Contrato!A:A,[2]Contrato!G:G,"",0)</f>
        <v>#NAME?</v>
      </c>
      <c r="AA1032" s="47" t="e">
        <f ca="1">_xlfn.XLOOKUP(PAA_4[[#This Row],[ITEM]],[2]Contrato!A:A,[2]Contrato!T:T,"",0)</f>
        <v>#NAME?</v>
      </c>
      <c r="AB1032" s="55" t="e">
        <f ca="1">+MAX(PAA_4[[#This Row],[Comprometido Contrato]],PAA_4[[#This Row],[Comprometido Bolsa]])</f>
        <v>#NAME?</v>
      </c>
      <c r="AC1032" s="55" t="str">
        <f t="shared" ca="1" si="377"/>
        <v/>
      </c>
      <c r="AD1032" s="55" t="e">
        <f ca="1">IF(PAA_4[[#This Row],[ESTADO (formulado)]]="NO CONTRATADO",0,MAX(PAA_4[[#This Row],[Pago por Contrato]],PAA_4[[#This Row],[Pago por bolsa]]))</f>
        <v>#NAME?</v>
      </c>
      <c r="AE1032" s="55" t="str">
        <f t="shared" ca="1" si="378"/>
        <v/>
      </c>
      <c r="AF1032" s="47" t="e">
        <f t="shared" ca="1" si="379"/>
        <v>#NAME?</v>
      </c>
      <c r="AG1032" s="47">
        <f t="shared" si="380"/>
        <v>43010901</v>
      </c>
      <c r="AH1032" s="54">
        <f>IF(Q1032="22",IF(ISNUMBER(SEARCH("econ",PAA_4[[#This Row],[Actividad3]])),"Económico",IF(ISNUMBER(SEARCH("alim",PAA_4[[#This Row],[Actividad3]])),"Alimentación",IF(ISNUMBER(SEARCH("educ",PAA_4[[#This Row],[Actividad3]])),"Educativo","Técnico"))),0)</f>
        <v>0</v>
      </c>
      <c r="AI1032" s="47" t="e" cm="1">
        <f t="array" aca="1" ref="AI1032" ca="1">_xlfn.XLOOKUP(PAA_4[[#This Row],[RCP-RUBRO]],[2]!COMPROMISOS_2024[[#All],[concatenado]],[2]!COMPROMISOS_2024[[#All],[Total pagado]],"",0)</f>
        <v>#NAME?</v>
      </c>
      <c r="AJ1032" s="56">
        <f>IF(PAA_4[[#This Row],[BOLSA]]=0,0,SUMIFS([2]!COMPROMISOS_2024[[#All],[Total pagado]],[2]!COMPROMISOS_2024[[#All],[Bolsa]],PAA_4[[#This Row],[BOLSA]],[2]!COMPROMISOS_2024[[#All],[rubro]],PAA_4[[#This Row],[RCP-RUBRO]]))</f>
        <v>0</v>
      </c>
      <c r="AK1032" s="47" t="e" cm="1">
        <f t="array" aca="1" ref="AK1032" ca="1">_xlfn.XLOOKUP(PAA_4[[#This Row],[RCP-RUBRO]],[2]!COMPROMISOS_2024[[#All],[concatenado]],[2]!COMPROMISOS_2024[[#All],[Total Comprometido]],"",0)</f>
        <v>#NAME?</v>
      </c>
      <c r="AL1032" s="47">
        <f>IF(PAA_4[[#This Row],[BOLSA]]=0,0,SUMIFS([2]!COMPROMISOS_2024[[#All],[Total Comprometido]],[2]!COMPROMISOS_2024[[#All],[Bolsa]],PAA_4[[#This Row],[BOLSA]],[2]!COMPROMISOS_2024[[#All],[concatenado]],PAA_4[[#This Row],[RCP-RUBRO]]))</f>
        <v>0</v>
      </c>
    </row>
    <row r="1033" spans="1:38" s="19" customFormat="1" ht="31.5" customHeight="1">
      <c r="A1033" s="47">
        <v>359</v>
      </c>
      <c r="B1033" s="47">
        <v>80111600</v>
      </c>
      <c r="C1033" s="47" t="str">
        <f>VLOOKUP(PAA_4[[#This Row],[PROYECTO (formulado)2]],[2]PROYECTOS!$G$1:$L$32,6,0)</f>
        <v>SUBGERENCIA ESCENARIOS DEPORTIVOS Y EQUIPAMIENTOS</v>
      </c>
      <c r="D1033" s="47" t="str">
        <f>+IF(PAA_4[[#This Row],[UNIDAD DE CONTRATACION (formulado)]]="Subgerencia Administrativa y Financiera","FUNCIONAMIENTO","INVERSIÓN")</f>
        <v>INVERSIÓN</v>
      </c>
      <c r="E1033" s="48" t="str">
        <f>VLOOKUP(Q1033,[2]PROYECTOS!$G$1:$K$32,5,0)</f>
        <v>MEJORAMIENTO_DE_LA_INFRAESTRUCTURA_DEPORTIVA_Y_RECREATIVA_EN_EL_DEPARTAMENTO_DE_ANTIOQUIA</v>
      </c>
      <c r="F1033" s="48">
        <f>VLOOKUP(E1033,[2]PROYECTOS!$K$1:$M$32,3,0)</f>
        <v>2020003050027</v>
      </c>
      <c r="G1033" s="49" t="s">
        <v>288</v>
      </c>
      <c r="H1033" s="49" t="str">
        <f>VLOOKUP(Q1033,[2]PROYECTOS!$V$1:$W$32,2,0)</f>
        <v>050058</v>
      </c>
      <c r="I1033" s="50">
        <v>28040472</v>
      </c>
      <c r="J1033" s="51" t="s">
        <v>300</v>
      </c>
      <c r="K1033" s="47" t="str">
        <f t="shared" ca="1" si="374"/>
        <v>CONTRATADO</v>
      </c>
      <c r="L1033" s="52" t="s">
        <v>94</v>
      </c>
      <c r="M1033" s="51" t="s">
        <v>1297</v>
      </c>
      <c r="N1033" s="51" t="s">
        <v>292</v>
      </c>
      <c r="O1033" s="51" t="e">
        <f>VLOOKUP(N1033,[2]!RUBROS[#All],3,0)</f>
        <v>#REF!</v>
      </c>
      <c r="P1033" s="53" t="e">
        <f>VLOOKUP(N1033,[2]!RUBROS[#All],2,0)</f>
        <v>#REF!</v>
      </c>
      <c r="Q1033" s="47" t="str">
        <f t="shared" si="375"/>
        <v>64</v>
      </c>
      <c r="R1033" s="47" t="str">
        <f t="shared" si="376"/>
        <v>0-205128</v>
      </c>
      <c r="S1033" s="54">
        <v>3</v>
      </c>
      <c r="T1033" s="59" t="s">
        <v>46</v>
      </c>
      <c r="U1033" s="326" t="e">
        <f ca="1">_xlfn.XLOOKUP(PAA_4[[#This Row],[ITEM]],[2]Contrato!A:A,[2]Contrato!Q:Q,"",0)</f>
        <v>#NAME?</v>
      </c>
      <c r="V1033" s="47" t="s">
        <v>47</v>
      </c>
      <c r="W1033" s="47" t="s">
        <v>83</v>
      </c>
      <c r="X1033" s="47" t="s">
        <v>83</v>
      </c>
      <c r="Y1033" s="55" t="e">
        <f ca="1">_xlfn.XLOOKUP(PAA_4[[#This Row],[ITEM]],[2]Contrato!A:A,[2]Contrato!B:B,"",0)</f>
        <v>#NAME?</v>
      </c>
      <c r="Z1033" s="47" t="e">
        <f ca="1">_xlfn.XLOOKUP(PAA_4[[#This Row],[ITEM]],[2]Contrato!A:A,[2]Contrato!G:G,"",0)</f>
        <v>#NAME?</v>
      </c>
      <c r="AA1033" s="47" t="e">
        <f ca="1">_xlfn.XLOOKUP(PAA_4[[#This Row],[ITEM]],[2]Contrato!A:A,[2]Contrato!T:T,"",0)</f>
        <v>#NAME?</v>
      </c>
      <c r="AB1033" s="55" t="e">
        <f ca="1">+MAX(PAA_4[[#This Row],[Comprometido Contrato]],PAA_4[[#This Row],[Comprometido Bolsa]])</f>
        <v>#NAME?</v>
      </c>
      <c r="AC1033" s="55" t="str">
        <f t="shared" ca="1" si="377"/>
        <v/>
      </c>
      <c r="AD1033" s="55" t="e">
        <f ca="1">IF(PAA_4[[#This Row],[ESTADO (formulado)]]="NO CONTRATADO",0,MAX(PAA_4[[#This Row],[Pago por Contrato]],PAA_4[[#This Row],[Pago por bolsa]]))</f>
        <v>#NAME?</v>
      </c>
      <c r="AE1033" s="55" t="str">
        <f t="shared" ca="1" si="378"/>
        <v/>
      </c>
      <c r="AF1033" s="47" t="e">
        <f t="shared" ca="1" si="379"/>
        <v>#NAME?</v>
      </c>
      <c r="AG1033" s="47">
        <f t="shared" si="380"/>
        <v>43010901</v>
      </c>
      <c r="AH1033" s="54">
        <f>IF(Q1033="22",IF(ISNUMBER(SEARCH("econ",PAA_4[[#This Row],[Actividad3]])),"Económico",IF(ISNUMBER(SEARCH("alim",PAA_4[[#This Row],[Actividad3]])),"Alimentación",IF(ISNUMBER(SEARCH("educ",PAA_4[[#This Row],[Actividad3]])),"Educativo","Técnico"))),0)</f>
        <v>0</v>
      </c>
      <c r="AI1033" s="47" t="e" cm="1">
        <f t="array" aca="1" ref="AI1033" ca="1">_xlfn.XLOOKUP(PAA_4[[#This Row],[RCP-RUBRO]],[2]!COMPROMISOS_2024[[#All],[concatenado]],[2]!COMPROMISOS_2024[[#All],[Total pagado]],"",0)</f>
        <v>#NAME?</v>
      </c>
      <c r="AJ1033" s="56">
        <f>IF(PAA_4[[#This Row],[BOLSA]]=0,0,SUMIFS([2]!COMPROMISOS_2024[[#All],[Total pagado]],[2]!COMPROMISOS_2024[[#All],[Bolsa]],PAA_4[[#This Row],[BOLSA]],[2]!COMPROMISOS_2024[[#All],[rubro]],PAA_4[[#This Row],[RCP-RUBRO]]))</f>
        <v>0</v>
      </c>
      <c r="AK1033" s="47" t="e" cm="1">
        <f t="array" aca="1" ref="AK1033" ca="1">_xlfn.XLOOKUP(PAA_4[[#This Row],[RCP-RUBRO]],[2]!COMPROMISOS_2024[[#All],[concatenado]],[2]!COMPROMISOS_2024[[#All],[Total Comprometido]],"",0)</f>
        <v>#NAME?</v>
      </c>
      <c r="AL1033" s="47">
        <f>IF(PAA_4[[#This Row],[BOLSA]]=0,0,SUMIFS([2]!COMPROMISOS_2024[[#All],[Total Comprometido]],[2]!COMPROMISOS_2024[[#All],[Bolsa]],PAA_4[[#This Row],[BOLSA]],[2]!COMPROMISOS_2024[[#All],[concatenado]],PAA_4[[#This Row],[RCP-RUBRO]]))</f>
        <v>0</v>
      </c>
    </row>
    <row r="1034" spans="1:38" s="19" customFormat="1" ht="31.5" customHeight="1">
      <c r="A1034" s="47" t="s">
        <v>82</v>
      </c>
      <c r="B1034" s="47">
        <v>80111600</v>
      </c>
      <c r="C1034" s="47" t="str">
        <f>VLOOKUP(PAA_4[[#This Row],[PROYECTO (formulado)2]],[2]PROYECTOS!$G$1:$L$32,6,0)</f>
        <v>SUBGERENCIA ESCENARIOS DEPORTIVOS Y EQUIPAMIENTOS</v>
      </c>
      <c r="D1034" s="47" t="str">
        <f>+IF(PAA_4[[#This Row],[UNIDAD DE CONTRATACION (formulado)]]="Subgerencia Administrativa y Financiera","FUNCIONAMIENTO","INVERSIÓN")</f>
        <v>INVERSIÓN</v>
      </c>
      <c r="E1034" s="48" t="str">
        <f>VLOOKUP(Q1034,[2]PROYECTOS!$G$1:$K$32,5,0)</f>
        <v>MEJORAMIENTO_DE_LA_INFRAESTRUCTURA_DEPORTIVA_Y_RECREATIVA_EN_EL_DEPARTAMENTO_DE_ANTIOQUIA</v>
      </c>
      <c r="F1034" s="48">
        <f>VLOOKUP(E1034,[2]PROYECTOS!$K$1:$M$32,3,0)</f>
        <v>2020003050027</v>
      </c>
      <c r="G1034" s="49" t="s">
        <v>288</v>
      </c>
      <c r="H1034" s="49" t="str">
        <f>VLOOKUP(Q1034,[2]PROYECTOS!$V$1:$W$32,2,0)</f>
        <v>050058</v>
      </c>
      <c r="I1034" s="50">
        <v>0</v>
      </c>
      <c r="J1034" s="51" t="s">
        <v>301</v>
      </c>
      <c r="K1034" s="47" t="str">
        <f t="shared" ca="1" si="374"/>
        <v>CONTRATADO</v>
      </c>
      <c r="L1034" s="52" t="s">
        <v>94</v>
      </c>
      <c r="M1034" s="51" t="s">
        <v>1297</v>
      </c>
      <c r="N1034" s="51" t="s">
        <v>292</v>
      </c>
      <c r="O1034" s="51" t="e">
        <f>VLOOKUP(N1034,[2]!RUBROS[#All],3,0)</f>
        <v>#REF!</v>
      </c>
      <c r="P1034" s="53" t="e">
        <f>VLOOKUP(N1034,[2]!RUBROS[#All],2,0)</f>
        <v>#REF!</v>
      </c>
      <c r="Q1034" s="47" t="str">
        <f t="shared" si="375"/>
        <v>64</v>
      </c>
      <c r="R1034" s="47" t="str">
        <f t="shared" si="376"/>
        <v>0-205128</v>
      </c>
      <c r="S1034" s="54">
        <v>8</v>
      </c>
      <c r="T1034" s="59" t="s">
        <v>46</v>
      </c>
      <c r="U1034" s="326" t="e">
        <f ca="1">_xlfn.XLOOKUP(PAA_4[[#This Row],[ITEM]],[2]Contrato!A:A,[2]Contrato!Q:Q,"",0)</f>
        <v>#NAME?</v>
      </c>
      <c r="V1034" s="47" t="s">
        <v>47</v>
      </c>
      <c r="W1034" s="47" t="s">
        <v>122</v>
      </c>
      <c r="X1034" s="47" t="s">
        <v>122</v>
      </c>
      <c r="Y1034" s="55" t="e">
        <f ca="1">_xlfn.XLOOKUP(PAA_4[[#This Row],[ITEM]],[2]Contrato!A:A,[2]Contrato!B:B,"",0)</f>
        <v>#NAME?</v>
      </c>
      <c r="Z1034" s="47" t="e">
        <f ca="1">_xlfn.XLOOKUP(PAA_4[[#This Row],[ITEM]],[2]Contrato!A:A,[2]Contrato!G:G,"",0)</f>
        <v>#NAME?</v>
      </c>
      <c r="AA1034" s="47" t="e">
        <f ca="1">_xlfn.XLOOKUP(PAA_4[[#This Row],[ITEM]],[2]Contrato!A:A,[2]Contrato!T:T,"",0)</f>
        <v>#NAME?</v>
      </c>
      <c r="AB1034" s="55" t="e">
        <f ca="1">+MAX(PAA_4[[#This Row],[Comprometido Contrato]],PAA_4[[#This Row],[Comprometido Bolsa]])</f>
        <v>#NAME?</v>
      </c>
      <c r="AC1034" s="55" t="str">
        <f t="shared" ca="1" si="377"/>
        <v/>
      </c>
      <c r="AD1034" s="55" t="e">
        <f ca="1">IF(PAA_4[[#This Row],[ESTADO (formulado)]]="NO CONTRATADO",0,MAX(PAA_4[[#This Row],[Pago por Contrato]],PAA_4[[#This Row],[Pago por bolsa]]))</f>
        <v>#NAME?</v>
      </c>
      <c r="AE1034" s="55" t="str">
        <f t="shared" ca="1" si="378"/>
        <v/>
      </c>
      <c r="AF1034" s="47" t="e">
        <f t="shared" ca="1" si="379"/>
        <v>#NAME?</v>
      </c>
      <c r="AG1034" s="47">
        <f t="shared" si="380"/>
        <v>43010901</v>
      </c>
      <c r="AH1034" s="54">
        <f>IF(Q1034="22",IF(ISNUMBER(SEARCH("econ",PAA_4[[#This Row],[Actividad3]])),"Económico",IF(ISNUMBER(SEARCH("alim",PAA_4[[#This Row],[Actividad3]])),"Alimentación",IF(ISNUMBER(SEARCH("educ",PAA_4[[#This Row],[Actividad3]])),"Educativo","Técnico"))),0)</f>
        <v>0</v>
      </c>
      <c r="AI1034" s="47" t="e" cm="1">
        <f t="array" aca="1" ref="AI1034" ca="1">_xlfn.XLOOKUP(PAA_4[[#This Row],[RCP-RUBRO]],[2]!COMPROMISOS_2024[[#All],[concatenado]],[2]!COMPROMISOS_2024[[#All],[Total pagado]],"",0)</f>
        <v>#NAME?</v>
      </c>
      <c r="AJ1034" s="56">
        <f>IF(PAA_4[[#This Row],[BOLSA]]=0,0,SUMIFS([2]!COMPROMISOS_2024[[#All],[Total pagado]],[2]!COMPROMISOS_2024[[#All],[Bolsa]],PAA_4[[#This Row],[BOLSA]],[2]!COMPROMISOS_2024[[#All],[rubro]],PAA_4[[#This Row],[RCP-RUBRO]]))</f>
        <v>0</v>
      </c>
      <c r="AK1034" s="47" t="e" cm="1">
        <f t="array" aca="1" ref="AK1034" ca="1">_xlfn.XLOOKUP(PAA_4[[#This Row],[RCP-RUBRO]],[2]!COMPROMISOS_2024[[#All],[concatenado]],[2]!COMPROMISOS_2024[[#All],[Total Comprometido]],"",0)</f>
        <v>#NAME?</v>
      </c>
      <c r="AL1034" s="47">
        <f>IF(PAA_4[[#This Row],[BOLSA]]=0,0,SUMIFS([2]!COMPROMISOS_2024[[#All],[Total Comprometido]],[2]!COMPROMISOS_2024[[#All],[Bolsa]],PAA_4[[#This Row],[BOLSA]],[2]!COMPROMISOS_2024[[#All],[concatenado]],PAA_4[[#This Row],[RCP-RUBRO]]))</f>
        <v>0</v>
      </c>
    </row>
    <row r="1035" spans="1:38" s="19" customFormat="1" ht="31.5" customHeight="1">
      <c r="A1035" s="47">
        <v>360</v>
      </c>
      <c r="B1035" s="47">
        <v>80111600</v>
      </c>
      <c r="C1035" s="47" t="str">
        <f>VLOOKUP(PAA_4[[#This Row],[PROYECTO (formulado)2]],[2]PROYECTOS!$G$1:$L$32,6,0)</f>
        <v>SUBGERENCIA ESCENARIOS DEPORTIVOS Y EQUIPAMIENTOS</v>
      </c>
      <c r="D1035" s="47" t="str">
        <f>+IF(PAA_4[[#This Row],[UNIDAD DE CONTRATACION (formulado)]]="Subgerencia Administrativa y Financiera","FUNCIONAMIENTO","INVERSIÓN")</f>
        <v>INVERSIÓN</v>
      </c>
      <c r="E1035" s="48" t="str">
        <f>VLOOKUP(Q1035,[2]PROYECTOS!$G$1:$K$32,5,0)</f>
        <v>MEJORAMIENTO_DE_LA_INFRAESTRUCTURA_DEPORTIVA_Y_RECREATIVA_EN_EL_DEPARTAMENTO_DE_ANTIOQUIA</v>
      </c>
      <c r="F1035" s="48">
        <f>VLOOKUP(E1035,[2]PROYECTOS!$K$1:$M$32,3,0)</f>
        <v>2020003050027</v>
      </c>
      <c r="G1035" s="49" t="s">
        <v>288</v>
      </c>
      <c r="H1035" s="49" t="str">
        <f>VLOOKUP(Q1035,[2]PROYECTOS!$V$1:$W$32,2,0)</f>
        <v>050058</v>
      </c>
      <c r="I1035" s="50">
        <v>0</v>
      </c>
      <c r="J1035" s="51" t="s">
        <v>1835</v>
      </c>
      <c r="K1035" s="47" t="str">
        <f t="shared" ca="1" si="374"/>
        <v>CONTRATADO</v>
      </c>
      <c r="L1035" s="52" t="s">
        <v>94</v>
      </c>
      <c r="M1035" s="51" t="s">
        <v>1297</v>
      </c>
      <c r="N1035" s="51" t="s">
        <v>292</v>
      </c>
      <c r="O1035" s="51" t="e">
        <f>VLOOKUP(N1035,[2]!RUBROS[#All],3,0)</f>
        <v>#REF!</v>
      </c>
      <c r="P1035" s="53" t="e">
        <f>VLOOKUP(N1035,[2]!RUBROS[#All],2,0)</f>
        <v>#REF!</v>
      </c>
      <c r="Q1035" s="47" t="str">
        <f t="shared" si="375"/>
        <v>64</v>
      </c>
      <c r="R1035" s="47" t="str">
        <f t="shared" si="376"/>
        <v>0-205128</v>
      </c>
      <c r="S1035" s="54">
        <v>12</v>
      </c>
      <c r="T1035" s="59" t="s">
        <v>46</v>
      </c>
      <c r="U1035" s="326" t="e">
        <f ca="1">_xlfn.XLOOKUP(PAA_4[[#This Row],[ITEM]],[2]Contrato!A:A,[2]Contrato!Q:Q,"",0)</f>
        <v>#NAME?</v>
      </c>
      <c r="V1035" s="47" t="s">
        <v>47</v>
      </c>
      <c r="W1035" s="47" t="s">
        <v>83</v>
      </c>
      <c r="X1035" s="47" t="s">
        <v>83</v>
      </c>
      <c r="Y1035" s="55" t="e">
        <f ca="1">_xlfn.XLOOKUP(PAA_4[[#This Row],[ITEM]],[2]Contrato!A:A,[2]Contrato!B:B,"",0)</f>
        <v>#NAME?</v>
      </c>
      <c r="Z1035" s="47" t="e">
        <f ca="1">_xlfn.XLOOKUP(PAA_4[[#This Row],[ITEM]],[2]Contrato!A:A,[2]Contrato!G:G,"",0)</f>
        <v>#NAME?</v>
      </c>
      <c r="AA1035" s="47" t="e">
        <f ca="1">_xlfn.XLOOKUP(PAA_4[[#This Row],[ITEM]],[2]Contrato!A:A,[2]Contrato!T:T,"",0)</f>
        <v>#NAME?</v>
      </c>
      <c r="AB1035" s="55" t="e">
        <f ca="1">+MAX(PAA_4[[#This Row],[Comprometido Contrato]],PAA_4[[#This Row],[Comprometido Bolsa]])</f>
        <v>#NAME?</v>
      </c>
      <c r="AC1035" s="55" t="str">
        <f t="shared" ca="1" si="377"/>
        <v/>
      </c>
      <c r="AD1035" s="55" t="e">
        <f ca="1">IF(PAA_4[[#This Row],[ESTADO (formulado)]]="NO CONTRATADO",0,MAX(PAA_4[[#This Row],[Pago por Contrato]],PAA_4[[#This Row],[Pago por bolsa]]))</f>
        <v>#NAME?</v>
      </c>
      <c r="AE1035" s="55" t="str">
        <f t="shared" ca="1" si="378"/>
        <v/>
      </c>
      <c r="AF1035" s="47" t="e">
        <f t="shared" ca="1" si="379"/>
        <v>#NAME?</v>
      </c>
      <c r="AG1035" s="47">
        <f t="shared" si="380"/>
        <v>43010901</v>
      </c>
      <c r="AH1035" s="54">
        <f>IF(Q1035="22",IF(ISNUMBER(SEARCH("econ",PAA_4[[#This Row],[Actividad3]])),"Económico",IF(ISNUMBER(SEARCH("alim",PAA_4[[#This Row],[Actividad3]])),"Alimentación",IF(ISNUMBER(SEARCH("educ",PAA_4[[#This Row],[Actividad3]])),"Educativo","Técnico"))),0)</f>
        <v>0</v>
      </c>
      <c r="AI1035" s="47" t="e" cm="1">
        <f t="array" aca="1" ref="AI1035" ca="1">_xlfn.XLOOKUP(PAA_4[[#This Row],[RCP-RUBRO]],[2]!COMPROMISOS_2024[[#All],[concatenado]],[2]!COMPROMISOS_2024[[#All],[Total pagado]],"",0)</f>
        <v>#NAME?</v>
      </c>
      <c r="AJ1035" s="56">
        <f>IF(PAA_4[[#This Row],[BOLSA]]=0,0,SUMIFS([2]!COMPROMISOS_2024[[#All],[Total pagado]],[2]!COMPROMISOS_2024[[#All],[Bolsa]],PAA_4[[#This Row],[BOLSA]],[2]!COMPROMISOS_2024[[#All],[rubro]],PAA_4[[#This Row],[RCP-RUBRO]]))</f>
        <v>0</v>
      </c>
      <c r="AK1035" s="47" t="e" cm="1">
        <f t="array" aca="1" ref="AK1035" ca="1">_xlfn.XLOOKUP(PAA_4[[#This Row],[RCP-RUBRO]],[2]!COMPROMISOS_2024[[#All],[concatenado]],[2]!COMPROMISOS_2024[[#All],[Total Comprometido]],"",0)</f>
        <v>#NAME?</v>
      </c>
      <c r="AL1035" s="47">
        <f>IF(PAA_4[[#This Row],[BOLSA]]=0,0,SUMIFS([2]!COMPROMISOS_2024[[#All],[Total Comprometido]],[2]!COMPROMISOS_2024[[#All],[Bolsa]],PAA_4[[#This Row],[BOLSA]],[2]!COMPROMISOS_2024[[#All],[concatenado]],PAA_4[[#This Row],[RCP-RUBRO]]))</f>
        <v>0</v>
      </c>
    </row>
    <row r="1036" spans="1:38" s="19" customFormat="1" ht="31.5" customHeight="1">
      <c r="A1036" s="47">
        <v>361</v>
      </c>
      <c r="B1036" s="47">
        <v>81112501</v>
      </c>
      <c r="C1036" s="47" t="str">
        <f>VLOOKUP(PAA_4[[#This Row],[PROYECTO (formulado)2]],[2]PROYECTOS!$G$1:$L$32,6,0)</f>
        <v>SUBGERENCIA ESCENARIOS DEPORTIVOS Y EQUIPAMIENTOS</v>
      </c>
      <c r="D1036" s="47" t="str">
        <f>+IF(PAA_4[[#This Row],[UNIDAD DE CONTRATACION (formulado)]]="Subgerencia Administrativa y Financiera","FUNCIONAMIENTO","INVERSIÓN")</f>
        <v>INVERSIÓN</v>
      </c>
      <c r="E1036" s="48" t="str">
        <f>VLOOKUP(Q1036,[2]PROYECTOS!$G$1:$K$32,5,0)</f>
        <v>MEJORAMIENTO_DE_LA_INFRAESTRUCTURA_DEPORTIVA_Y_RECREATIVA_EN_EL_DEPARTAMENTO_DE_ANTIOQUIA</v>
      </c>
      <c r="F1036" s="48">
        <f>VLOOKUP(E1036,[2]PROYECTOS!$K$1:$M$32,3,0)</f>
        <v>2020003050027</v>
      </c>
      <c r="G1036" s="49" t="s">
        <v>295</v>
      </c>
      <c r="H1036" s="49" t="str">
        <f>VLOOKUP(Q1036,[2]PROYECTOS!$V$1:$W$32,2,0)</f>
        <v>050058</v>
      </c>
      <c r="I1036" s="50">
        <v>0</v>
      </c>
      <c r="J1036" s="51" t="s">
        <v>1836</v>
      </c>
      <c r="K1036" s="47" t="str">
        <f t="shared" ca="1" si="374"/>
        <v>CONTRATADO</v>
      </c>
      <c r="L1036" s="47" t="s">
        <v>151</v>
      </c>
      <c r="M1036" s="47" t="s">
        <v>191</v>
      </c>
      <c r="N1036" s="52" t="s">
        <v>302</v>
      </c>
      <c r="O1036" s="51" t="e">
        <f>VLOOKUP(N1036,[2]!RUBROS[#All],3,0)</f>
        <v>#REF!</v>
      </c>
      <c r="P1036" s="53" t="e">
        <f>VLOOKUP(N1036,[2]!RUBROS[#All],2,0)</f>
        <v>#REF!</v>
      </c>
      <c r="Q1036" s="47" t="str">
        <f t="shared" si="375"/>
        <v>64</v>
      </c>
      <c r="R1036" s="47" t="str">
        <f t="shared" si="376"/>
        <v>0-101024</v>
      </c>
      <c r="S1036" s="54">
        <v>30</v>
      </c>
      <c r="T1036" s="59" t="s">
        <v>81</v>
      </c>
      <c r="U1036" s="326" t="e">
        <f ca="1">_xlfn.XLOOKUP(PAA_4[[#This Row],[ITEM]],[2]Contrato!A:A,[2]Contrato!Q:Q,"",0)</f>
        <v>#NAME?</v>
      </c>
      <c r="V1036" s="47" t="s">
        <v>47</v>
      </c>
      <c r="W1036" s="47" t="s">
        <v>91</v>
      </c>
      <c r="X1036" s="47" t="s">
        <v>92</v>
      </c>
      <c r="Y1036" s="55" t="e">
        <f ca="1">_xlfn.XLOOKUP(PAA_4[[#This Row],[ITEM]],[2]Contrato!A:A,[2]Contrato!B:B,"",0)</f>
        <v>#NAME?</v>
      </c>
      <c r="Z1036" s="47" t="e">
        <f ca="1">_xlfn.XLOOKUP(PAA_4[[#This Row],[ITEM]],[2]Contrato!A:A,[2]Contrato!G:G,"",0)</f>
        <v>#NAME?</v>
      </c>
      <c r="AA1036" s="47" t="e">
        <f ca="1">_xlfn.XLOOKUP(PAA_4[[#This Row],[ITEM]],[2]Contrato!A:A,[2]Contrato!T:T,"",0)</f>
        <v>#NAME?</v>
      </c>
      <c r="AB1036" s="55" t="e">
        <f ca="1">+MAX(PAA_4[[#This Row],[Comprometido Contrato]],PAA_4[[#This Row],[Comprometido Bolsa]])</f>
        <v>#NAME?</v>
      </c>
      <c r="AC1036" s="55" t="str">
        <f t="shared" ca="1" si="377"/>
        <v/>
      </c>
      <c r="AD1036" s="55" t="e">
        <f ca="1">IF(PAA_4[[#This Row],[ESTADO (formulado)]]="NO CONTRATADO",0,MAX(PAA_4[[#This Row],[Pago por Contrato]],PAA_4[[#This Row],[Pago por bolsa]]))</f>
        <v>#NAME?</v>
      </c>
      <c r="AE1036" s="55" t="str">
        <f t="shared" ca="1" si="378"/>
        <v/>
      </c>
      <c r="AF1036" s="47" t="e">
        <f t="shared" ca="1" si="379"/>
        <v>#NAME?</v>
      </c>
      <c r="AG1036" s="47">
        <f t="shared" si="380"/>
        <v>43010901</v>
      </c>
      <c r="AH1036" s="54">
        <f>IF(Q1036="22",IF(ISNUMBER(SEARCH("econ",PAA_4[[#This Row],[Actividad3]])),"Económico",IF(ISNUMBER(SEARCH("alim",PAA_4[[#This Row],[Actividad3]])),"Alimentación",IF(ISNUMBER(SEARCH("educ",PAA_4[[#This Row],[Actividad3]])),"Educativo","Técnico"))),0)</f>
        <v>0</v>
      </c>
      <c r="AI1036" s="47" t="e" cm="1">
        <f t="array" aca="1" ref="AI1036" ca="1">_xlfn.XLOOKUP(PAA_4[[#This Row],[RCP-RUBRO]],[2]!COMPROMISOS_2024[[#All],[concatenado]],[2]!COMPROMISOS_2024[[#All],[Total pagado]],"",0)</f>
        <v>#NAME?</v>
      </c>
      <c r="AJ1036" s="56">
        <f>IF(PAA_4[[#This Row],[BOLSA]]=0,0,SUMIFS([2]!COMPROMISOS_2024[[#All],[Total pagado]],[2]!COMPROMISOS_2024[[#All],[Bolsa]],PAA_4[[#This Row],[BOLSA]],[2]!COMPROMISOS_2024[[#All],[rubro]],PAA_4[[#This Row],[RCP-RUBRO]]))</f>
        <v>0</v>
      </c>
      <c r="AK1036" s="47" t="e" cm="1">
        <f t="array" aca="1" ref="AK1036" ca="1">_xlfn.XLOOKUP(PAA_4[[#This Row],[RCP-RUBRO]],[2]!COMPROMISOS_2024[[#All],[concatenado]],[2]!COMPROMISOS_2024[[#All],[Total Comprometido]],"",0)</f>
        <v>#NAME?</v>
      </c>
      <c r="AL1036" s="47">
        <f>IF(PAA_4[[#This Row],[BOLSA]]=0,0,SUMIFS([2]!COMPROMISOS_2024[[#All],[Total Comprometido]],[2]!COMPROMISOS_2024[[#All],[Bolsa]],PAA_4[[#This Row],[BOLSA]],[2]!COMPROMISOS_2024[[#All],[concatenado]],PAA_4[[#This Row],[RCP-RUBRO]]))</f>
        <v>0</v>
      </c>
    </row>
    <row r="1037" spans="1:38" s="19" customFormat="1" ht="31.5" customHeight="1">
      <c r="A1037" s="47">
        <v>362</v>
      </c>
      <c r="B1037" s="47">
        <v>80111808</v>
      </c>
      <c r="C1037" s="47" t="str">
        <f>VLOOKUP(PAA_4[[#This Row],[PROYECTO (formulado)2]],[2]PROYECTOS!$G$1:$L$32,6,0)</f>
        <v>SUBGERENCIA ESCENARIOS DEPORTIVOS Y EQUIPAMIENTOS</v>
      </c>
      <c r="D1037" s="47" t="str">
        <f>+IF(PAA_4[[#This Row],[UNIDAD DE CONTRATACION (formulado)]]="Subgerencia Administrativa y Financiera","FUNCIONAMIENTO","INVERSIÓN")</f>
        <v>INVERSIÓN</v>
      </c>
      <c r="E1037" s="48" t="str">
        <f>VLOOKUP(Q1037,[2]PROYECTOS!$G$1:$K$32,5,0)</f>
        <v>MEJORAMIENTO_DE_LA_INFRAESTRUCTURA_DEPORTIVA_Y_RECREATIVA_EN_EL_DEPARTAMENTO_DE_ANTIOQUIA</v>
      </c>
      <c r="F1037" s="48">
        <f>VLOOKUP(E1037,[2]PROYECTOS!$K$1:$M$32,3,0)</f>
        <v>2020003050027</v>
      </c>
      <c r="G1037" s="49" t="s">
        <v>288</v>
      </c>
      <c r="H1037" s="49" t="str">
        <f>VLOOKUP(Q1037,[2]PROYECTOS!$V$1:$W$32,2,0)</f>
        <v>050058</v>
      </c>
      <c r="I1037" s="50">
        <v>0</v>
      </c>
      <c r="J1037" s="51" t="s">
        <v>1837</v>
      </c>
      <c r="K1037" s="47" t="str">
        <f t="shared" ca="1" si="374"/>
        <v>CONTRATADO</v>
      </c>
      <c r="L1037" s="47" t="s">
        <v>94</v>
      </c>
      <c r="M1037" s="47" t="s">
        <v>161</v>
      </c>
      <c r="N1037" s="52" t="s">
        <v>303</v>
      </c>
      <c r="O1037" s="51" t="e">
        <f>VLOOKUP(N1037,[2]!RUBROS[#All],3,0)</f>
        <v>#REF!</v>
      </c>
      <c r="P1037" s="53" t="e">
        <f>VLOOKUP(N1037,[2]!RUBROS[#All],2,0)</f>
        <v>#REF!</v>
      </c>
      <c r="Q1037" s="47" t="str">
        <f t="shared" si="375"/>
        <v>64</v>
      </c>
      <c r="R1037" s="47" t="str">
        <f t="shared" si="376"/>
        <v>0-101024</v>
      </c>
      <c r="S1037" s="54">
        <v>11</v>
      </c>
      <c r="T1037" s="59" t="s">
        <v>46</v>
      </c>
      <c r="U1037" s="326" t="e">
        <f ca="1">_xlfn.XLOOKUP(PAA_4[[#This Row],[ITEM]],[2]Contrato!A:A,[2]Contrato!Q:Q,"",0)</f>
        <v>#NAME?</v>
      </c>
      <c r="V1037" s="47" t="s">
        <v>47</v>
      </c>
      <c r="W1037" s="47" t="s">
        <v>91</v>
      </c>
      <c r="X1037" s="47" t="s">
        <v>92</v>
      </c>
      <c r="Y1037" s="55" t="e">
        <f ca="1">_xlfn.XLOOKUP(PAA_4[[#This Row],[ITEM]],[2]Contrato!A:A,[2]Contrato!B:B,"",0)</f>
        <v>#NAME?</v>
      </c>
      <c r="Z1037" s="47" t="e">
        <f ca="1">_xlfn.XLOOKUP(PAA_4[[#This Row],[ITEM]],[2]Contrato!A:A,[2]Contrato!G:G,"",0)</f>
        <v>#NAME?</v>
      </c>
      <c r="AA1037" s="47" t="e">
        <f ca="1">_xlfn.XLOOKUP(PAA_4[[#This Row],[ITEM]],[2]Contrato!A:A,[2]Contrato!T:T,"",0)</f>
        <v>#NAME?</v>
      </c>
      <c r="AB1037" s="55" t="e">
        <f ca="1">+MAX(PAA_4[[#This Row],[Comprometido Contrato]],PAA_4[[#This Row],[Comprometido Bolsa]])</f>
        <v>#NAME?</v>
      </c>
      <c r="AC1037" s="55" t="str">
        <f t="shared" ca="1" si="377"/>
        <v/>
      </c>
      <c r="AD1037" s="55" t="e">
        <f ca="1">IF(PAA_4[[#This Row],[ESTADO (formulado)]]="NO CONTRATADO",0,MAX(PAA_4[[#This Row],[Pago por Contrato]],PAA_4[[#This Row],[Pago por bolsa]]))</f>
        <v>#NAME?</v>
      </c>
      <c r="AE1037" s="55" t="str">
        <f t="shared" ca="1" si="378"/>
        <v/>
      </c>
      <c r="AF1037" s="47" t="e">
        <f t="shared" ca="1" si="379"/>
        <v>#NAME?</v>
      </c>
      <c r="AG1037" s="47">
        <f t="shared" si="380"/>
        <v>43010901</v>
      </c>
      <c r="AH1037" s="54">
        <f>IF(Q1037="22",IF(ISNUMBER(SEARCH("econ",PAA_4[[#This Row],[Actividad3]])),"Económico",IF(ISNUMBER(SEARCH("alim",PAA_4[[#This Row],[Actividad3]])),"Alimentación",IF(ISNUMBER(SEARCH("educ",PAA_4[[#This Row],[Actividad3]])),"Educativo","Técnico"))),0)</f>
        <v>0</v>
      </c>
      <c r="AI1037" s="47" t="e" cm="1">
        <f t="array" aca="1" ref="AI1037" ca="1">_xlfn.XLOOKUP(PAA_4[[#This Row],[RCP-RUBRO]],[2]!COMPROMISOS_2024[[#All],[concatenado]],[2]!COMPROMISOS_2024[[#All],[Total pagado]],"",0)</f>
        <v>#NAME?</v>
      </c>
      <c r="AJ1037" s="56">
        <f>IF(PAA_4[[#This Row],[BOLSA]]=0,0,SUMIFS([2]!COMPROMISOS_2024[[#All],[Total pagado]],[2]!COMPROMISOS_2024[[#All],[Bolsa]],PAA_4[[#This Row],[BOLSA]],[2]!COMPROMISOS_2024[[#All],[rubro]],PAA_4[[#This Row],[RCP-RUBRO]]))</f>
        <v>0</v>
      </c>
      <c r="AK1037" s="47" t="e" cm="1">
        <f t="array" aca="1" ref="AK1037" ca="1">_xlfn.XLOOKUP(PAA_4[[#This Row],[RCP-RUBRO]],[2]!COMPROMISOS_2024[[#All],[concatenado]],[2]!COMPROMISOS_2024[[#All],[Total Comprometido]],"",0)</f>
        <v>#NAME?</v>
      </c>
      <c r="AL1037" s="47">
        <f>IF(PAA_4[[#This Row],[BOLSA]]=0,0,SUMIFS([2]!COMPROMISOS_2024[[#All],[Total Comprometido]],[2]!COMPROMISOS_2024[[#All],[Bolsa]],PAA_4[[#This Row],[BOLSA]],[2]!COMPROMISOS_2024[[#All],[concatenado]],PAA_4[[#This Row],[RCP-RUBRO]]))</f>
        <v>0</v>
      </c>
    </row>
    <row r="1038" spans="1:38" s="19" customFormat="1" ht="31.5" customHeight="1">
      <c r="A1038" s="47" t="s">
        <v>82</v>
      </c>
      <c r="B1038" s="47">
        <v>80111808</v>
      </c>
      <c r="C1038" s="47" t="str">
        <f>VLOOKUP(PAA_4[[#This Row],[PROYECTO (formulado)2]],[2]PROYECTOS!$G$1:$L$32,6,0)</f>
        <v>SUBGERENCIA ESCENARIOS DEPORTIVOS Y EQUIPAMIENTOS</v>
      </c>
      <c r="D1038" s="47" t="str">
        <f>+IF(PAA_4[[#This Row],[UNIDAD DE CONTRATACION (formulado)]]="Subgerencia Administrativa y Financiera","FUNCIONAMIENTO","INVERSIÓN")</f>
        <v>INVERSIÓN</v>
      </c>
      <c r="E1038" s="48" t="str">
        <f>VLOOKUP(Q1038,[2]PROYECTOS!$G$1:$K$32,5,0)</f>
        <v>MEJORAMIENTO_DE_LA_INFRAESTRUCTURA_DEPORTIVA_Y_RECREATIVA_EN_EL_DEPARTAMENTO_DE_ANTIOQUIA</v>
      </c>
      <c r="F1038" s="48">
        <f>VLOOKUP(E1038,[2]PROYECTOS!$K$1:$M$32,3,0)</f>
        <v>2020003050027</v>
      </c>
      <c r="G1038" s="49" t="s">
        <v>288</v>
      </c>
      <c r="H1038" s="49" t="str">
        <f>VLOOKUP(Q1038,[2]PROYECTOS!$V$1:$W$32,2,0)</f>
        <v>050058</v>
      </c>
      <c r="I1038" s="50">
        <v>0</v>
      </c>
      <c r="J1038" s="51" t="s">
        <v>304</v>
      </c>
      <c r="K1038" s="47" t="str">
        <f t="shared" ca="1" si="374"/>
        <v>CONTRATADO</v>
      </c>
      <c r="L1038" s="47" t="s">
        <v>94</v>
      </c>
      <c r="M1038" s="47" t="s">
        <v>161</v>
      </c>
      <c r="N1038" s="52" t="s">
        <v>305</v>
      </c>
      <c r="O1038" s="51" t="e">
        <f>VLOOKUP(N1038,[2]!RUBROS[#All],3,0)</f>
        <v>#REF!</v>
      </c>
      <c r="P1038" s="53" t="e">
        <f>VLOOKUP(N1038,[2]!RUBROS[#All],2,0)</f>
        <v>#REF!</v>
      </c>
      <c r="Q1038" s="47" t="str">
        <f t="shared" si="375"/>
        <v>64</v>
      </c>
      <c r="R1038" s="47" t="str">
        <f t="shared" si="376"/>
        <v>0-205128</v>
      </c>
      <c r="S1038" s="54">
        <v>10</v>
      </c>
      <c r="T1038" s="59" t="s">
        <v>46</v>
      </c>
      <c r="U1038" s="326" t="e">
        <f ca="1">_xlfn.XLOOKUP(PAA_4[[#This Row],[ITEM]],[2]Contrato!A:A,[2]Contrato!Q:Q,"",0)</f>
        <v>#NAME?</v>
      </c>
      <c r="V1038" s="47" t="s">
        <v>47</v>
      </c>
      <c r="W1038" s="47" t="s">
        <v>91</v>
      </c>
      <c r="X1038" s="47" t="s">
        <v>92</v>
      </c>
      <c r="Y1038" s="55" t="e">
        <f ca="1">_xlfn.XLOOKUP(PAA_4[[#This Row],[ITEM]],[2]Contrato!A:A,[2]Contrato!B:B,"",0)</f>
        <v>#NAME?</v>
      </c>
      <c r="Z1038" s="47" t="e">
        <f ca="1">_xlfn.XLOOKUP(PAA_4[[#This Row],[ITEM]],[2]Contrato!A:A,[2]Contrato!G:G,"",0)</f>
        <v>#NAME?</v>
      </c>
      <c r="AA1038" s="47" t="e">
        <f ca="1">_xlfn.XLOOKUP(PAA_4[[#This Row],[ITEM]],[2]Contrato!A:A,[2]Contrato!T:T,"",0)</f>
        <v>#NAME?</v>
      </c>
      <c r="AB1038" s="55" t="e">
        <f ca="1">+MAX(PAA_4[[#This Row],[Comprometido Contrato]],PAA_4[[#This Row],[Comprometido Bolsa]])</f>
        <v>#NAME?</v>
      </c>
      <c r="AC1038" s="55" t="str">
        <f t="shared" ca="1" si="377"/>
        <v/>
      </c>
      <c r="AD1038" s="55" t="e">
        <f ca="1">IF(PAA_4[[#This Row],[ESTADO (formulado)]]="NO CONTRATADO",0,MAX(PAA_4[[#This Row],[Pago por Contrato]],PAA_4[[#This Row],[Pago por bolsa]]))</f>
        <v>#NAME?</v>
      </c>
      <c r="AE1038" s="55" t="str">
        <f t="shared" ca="1" si="378"/>
        <v/>
      </c>
      <c r="AF1038" s="47" t="e">
        <f t="shared" ca="1" si="379"/>
        <v>#NAME?</v>
      </c>
      <c r="AG1038" s="47">
        <f t="shared" si="380"/>
        <v>43010901</v>
      </c>
      <c r="AH1038" s="54">
        <f>IF(Q1038="22",IF(ISNUMBER(SEARCH("econ",PAA_4[[#This Row],[Actividad3]])),"Económico",IF(ISNUMBER(SEARCH("alim",PAA_4[[#This Row],[Actividad3]])),"Alimentación",IF(ISNUMBER(SEARCH("educ",PAA_4[[#This Row],[Actividad3]])),"Educativo","Técnico"))),0)</f>
        <v>0</v>
      </c>
      <c r="AI1038" s="47" t="e" cm="1">
        <f t="array" aca="1" ref="AI1038" ca="1">_xlfn.XLOOKUP(PAA_4[[#This Row],[RCP-RUBRO]],[2]!COMPROMISOS_2024[[#All],[concatenado]],[2]!COMPROMISOS_2024[[#All],[Total pagado]],"",0)</f>
        <v>#NAME?</v>
      </c>
      <c r="AJ1038" s="56">
        <f>IF(PAA_4[[#This Row],[BOLSA]]=0,0,SUMIFS([2]!COMPROMISOS_2024[[#All],[Total pagado]],[2]!COMPROMISOS_2024[[#All],[Bolsa]],PAA_4[[#This Row],[BOLSA]],[2]!COMPROMISOS_2024[[#All],[rubro]],PAA_4[[#This Row],[RCP-RUBRO]]))</f>
        <v>0</v>
      </c>
      <c r="AK1038" s="47" t="e" cm="1">
        <f t="array" aca="1" ref="AK1038" ca="1">_xlfn.XLOOKUP(PAA_4[[#This Row],[RCP-RUBRO]],[2]!COMPROMISOS_2024[[#All],[concatenado]],[2]!COMPROMISOS_2024[[#All],[Total Comprometido]],"",0)</f>
        <v>#NAME?</v>
      </c>
      <c r="AL1038" s="47">
        <f>IF(PAA_4[[#This Row],[BOLSA]]=0,0,SUMIFS([2]!COMPROMISOS_2024[[#All],[Total Comprometido]],[2]!COMPROMISOS_2024[[#All],[Bolsa]],PAA_4[[#This Row],[BOLSA]],[2]!COMPROMISOS_2024[[#All],[concatenado]],PAA_4[[#This Row],[RCP-RUBRO]]))</f>
        <v>0</v>
      </c>
    </row>
    <row r="1039" spans="1:38" s="19" customFormat="1" ht="31.5" customHeight="1">
      <c r="A1039" s="47">
        <v>537</v>
      </c>
      <c r="B1039" s="47">
        <v>78111800</v>
      </c>
      <c r="C1039" s="47" t="str">
        <f>VLOOKUP(PAA_4[[#This Row],[PROYECTO (formulado)2]],[2]PROYECTOS!$G$1:$L$32,6,0)</f>
        <v>SUBGERENCIA ESCENARIOS DEPORTIVOS Y EQUIPAMIENTOS</v>
      </c>
      <c r="D1039" s="47" t="str">
        <f>+IF(PAA_4[[#This Row],[UNIDAD DE CONTRATACION (formulado)]]="Subgerencia Administrativa y Financiera","FUNCIONAMIENTO","INVERSIÓN")</f>
        <v>INVERSIÓN</v>
      </c>
      <c r="E1039" s="48" t="str">
        <f>VLOOKUP(Q1039,[2]PROYECTOS!$G$1:$K$32,5,0)</f>
        <v>MEJORAMIENTO_DE_LA_INFRAESTRUCTURA_DEPORTIVA_Y_RECREATIVA_EN_EL_DEPARTAMENTO_DE_ANTIOQUIA</v>
      </c>
      <c r="F1039" s="48">
        <f>VLOOKUP(E1039,[2]PROYECTOS!$K$1:$M$32,3,0)</f>
        <v>2020003050027</v>
      </c>
      <c r="G1039" s="49" t="s">
        <v>288</v>
      </c>
      <c r="H1039" s="49" t="str">
        <f>VLOOKUP(Q1039,[2]PROYECTOS!$V$1:$W$32,2,0)</f>
        <v>050058</v>
      </c>
      <c r="I1039" s="50">
        <v>80190080</v>
      </c>
      <c r="J1039" s="51" t="s">
        <v>306</v>
      </c>
      <c r="K1039" s="47" t="str">
        <f t="shared" ca="1" si="374"/>
        <v>CONTRATADO</v>
      </c>
      <c r="L1039" s="52" t="s">
        <v>94</v>
      </c>
      <c r="M1039" s="47" t="s">
        <v>161</v>
      </c>
      <c r="N1039" s="51" t="s">
        <v>305</v>
      </c>
      <c r="O1039" s="51" t="e">
        <f>VLOOKUP(N1039,[2]!RUBROS[#All],3,0)</f>
        <v>#REF!</v>
      </c>
      <c r="P1039" s="53" t="e">
        <f>VLOOKUP(N1039,[2]!RUBROS[#All],2,0)</f>
        <v>#REF!</v>
      </c>
      <c r="Q1039" s="47" t="str">
        <f t="shared" si="375"/>
        <v>64</v>
      </c>
      <c r="R1039" s="47" t="str">
        <f t="shared" si="376"/>
        <v>0-205128</v>
      </c>
      <c r="S1039" s="54">
        <v>10</v>
      </c>
      <c r="T1039" s="59" t="s">
        <v>46</v>
      </c>
      <c r="U1039" s="326" t="e">
        <f ca="1">_xlfn.XLOOKUP(PAA_4[[#This Row],[ITEM]],[2]Contrato!A:A,[2]Contrato!Q:Q,"",0)</f>
        <v>#NAME?</v>
      </c>
      <c r="V1039" s="47" t="s">
        <v>47</v>
      </c>
      <c r="W1039" s="47" t="s">
        <v>91</v>
      </c>
      <c r="X1039" s="47" t="s">
        <v>92</v>
      </c>
      <c r="Y1039" s="55" t="e">
        <f ca="1">_xlfn.XLOOKUP(PAA_4[[#This Row],[ITEM]],[2]Contrato!A:A,[2]Contrato!B:B,"",0)</f>
        <v>#NAME?</v>
      </c>
      <c r="Z1039" s="47" t="e">
        <f ca="1">_xlfn.XLOOKUP(PAA_4[[#This Row],[ITEM]],[2]Contrato!A:A,[2]Contrato!G:G,"",0)</f>
        <v>#NAME?</v>
      </c>
      <c r="AA1039" s="47" t="e">
        <f ca="1">_xlfn.XLOOKUP(PAA_4[[#This Row],[ITEM]],[2]Contrato!A:A,[2]Contrato!T:T,"",0)</f>
        <v>#NAME?</v>
      </c>
      <c r="AB1039" s="55" t="e">
        <f ca="1">+MAX(PAA_4[[#This Row],[Comprometido Contrato]],PAA_4[[#This Row],[Comprometido Bolsa]])</f>
        <v>#NAME?</v>
      </c>
      <c r="AC1039" s="55" t="str">
        <f t="shared" ca="1" si="377"/>
        <v/>
      </c>
      <c r="AD1039" s="55" t="e">
        <f ca="1">IF(PAA_4[[#This Row],[ESTADO (formulado)]]="NO CONTRATADO",0,MAX(PAA_4[[#This Row],[Pago por Contrato]],PAA_4[[#This Row],[Pago por bolsa]]))</f>
        <v>#NAME?</v>
      </c>
      <c r="AE1039" s="55" t="str">
        <f t="shared" ca="1" si="378"/>
        <v/>
      </c>
      <c r="AF1039" s="47" t="e">
        <f t="shared" ca="1" si="379"/>
        <v>#NAME?</v>
      </c>
      <c r="AG1039" s="47">
        <f t="shared" si="380"/>
        <v>43010901</v>
      </c>
      <c r="AH1039" s="54">
        <f>IF(Q1039="22",IF(ISNUMBER(SEARCH("econ",PAA_4[[#This Row],[Actividad3]])),"Económico",IF(ISNUMBER(SEARCH("alim",PAA_4[[#This Row],[Actividad3]])),"Alimentación",IF(ISNUMBER(SEARCH("educ",PAA_4[[#This Row],[Actividad3]])),"Educativo","Técnico"))),0)</f>
        <v>0</v>
      </c>
      <c r="AI1039" s="47" t="e" cm="1">
        <f t="array" aca="1" ref="AI1039" ca="1">_xlfn.XLOOKUP(PAA_4[[#This Row],[RCP-RUBRO]],[2]!COMPROMISOS_2024[[#All],[concatenado]],[2]!COMPROMISOS_2024[[#All],[Total pagado]],"",0)</f>
        <v>#NAME?</v>
      </c>
      <c r="AJ1039" s="56">
        <f>IF(PAA_4[[#This Row],[BOLSA]]=0,0,SUMIFS([2]!COMPROMISOS_2024[[#All],[Total pagado]],[2]!COMPROMISOS_2024[[#All],[Bolsa]],PAA_4[[#This Row],[BOLSA]],[2]!COMPROMISOS_2024[[#All],[rubro]],PAA_4[[#This Row],[RCP-RUBRO]]))</f>
        <v>0</v>
      </c>
      <c r="AK1039" s="47" t="e" cm="1">
        <f t="array" aca="1" ref="AK1039" ca="1">_xlfn.XLOOKUP(PAA_4[[#This Row],[RCP-RUBRO]],[2]!COMPROMISOS_2024[[#All],[concatenado]],[2]!COMPROMISOS_2024[[#All],[Total Comprometido]],"",0)</f>
        <v>#NAME?</v>
      </c>
      <c r="AL1039" s="47">
        <f>IF(PAA_4[[#This Row],[BOLSA]]=0,0,SUMIFS([2]!COMPROMISOS_2024[[#All],[Total Comprometido]],[2]!COMPROMISOS_2024[[#All],[Bolsa]],PAA_4[[#This Row],[BOLSA]],[2]!COMPROMISOS_2024[[#All],[concatenado]],PAA_4[[#This Row],[RCP-RUBRO]]))</f>
        <v>0</v>
      </c>
    </row>
    <row r="1040" spans="1:38" s="19" customFormat="1" ht="31.5" customHeight="1">
      <c r="A1040" s="47">
        <v>639</v>
      </c>
      <c r="B1040" s="47">
        <v>72101500</v>
      </c>
      <c r="C1040" s="47" t="str">
        <f>VLOOKUP(PAA_4[[#This Row],[PROYECTO (formulado)2]],[2]PROYECTOS!$G$1:$L$32,6,0)</f>
        <v>SUBGERENCIA ESCENARIOS DEPORTIVOS Y EQUIPAMIENTOS</v>
      </c>
      <c r="D1040" s="47" t="str">
        <f>+IF(PAA_4[[#This Row],[UNIDAD DE CONTRATACION (formulado)]]="Subgerencia Administrativa y Financiera","FUNCIONAMIENTO","INVERSIÓN")</f>
        <v>INVERSIÓN</v>
      </c>
      <c r="E1040" s="48" t="str">
        <f>VLOOKUP(Q1040,[2]PROYECTOS!$G$1:$K$32,5,0)</f>
        <v>MEJORAMIENTO_DE_LA_INFRAESTRUCTURA_DEPORTIVA_Y_RECREATIVA_EN_EL_DEPARTAMENTO_DE_ANTIOQUIA</v>
      </c>
      <c r="F1040" s="48">
        <f>VLOOKUP(E1040,[2]PROYECTOS!$K$1:$M$32,3,0)</f>
        <v>2020003050027</v>
      </c>
      <c r="G1040" s="49" t="s">
        <v>283</v>
      </c>
      <c r="H1040" s="49" t="str">
        <f>VLOOKUP(Q1040,[2]PROYECTOS!$V$1:$W$32,2,0)</f>
        <v>050058</v>
      </c>
      <c r="I1040" s="50">
        <v>784064944</v>
      </c>
      <c r="J1040" s="51" t="s">
        <v>1838</v>
      </c>
      <c r="K1040" s="47" t="str">
        <f t="shared" ca="1" si="374"/>
        <v>CONTRATADO</v>
      </c>
      <c r="L1040" s="52" t="s">
        <v>94</v>
      </c>
      <c r="M1040" s="47" t="s">
        <v>307</v>
      </c>
      <c r="N1040" s="51" t="s">
        <v>308</v>
      </c>
      <c r="O1040" s="51" t="e">
        <f>VLOOKUP(N1040,[2]!RUBROS[#All],3,0)</f>
        <v>#REF!</v>
      </c>
      <c r="P1040" s="53" t="e">
        <f>VLOOKUP(N1040,[2]!RUBROS[#All],2,0)</f>
        <v>#REF!</v>
      </c>
      <c r="Q1040" s="47" t="str">
        <f t="shared" si="375"/>
        <v>64</v>
      </c>
      <c r="R1040" s="47" t="str">
        <f t="shared" si="376"/>
        <v>0-202029</v>
      </c>
      <c r="S1040" s="54">
        <v>7</v>
      </c>
      <c r="T1040" s="59" t="s">
        <v>46</v>
      </c>
      <c r="U1040" s="326" t="e">
        <f ca="1">_xlfn.XLOOKUP(PAA_4[[#This Row],[ITEM]],[2]Contrato!A:A,[2]Contrato!Q:Q,"",0)</f>
        <v>#NAME?</v>
      </c>
      <c r="V1040" s="47" t="s">
        <v>47</v>
      </c>
      <c r="W1040" s="47" t="s">
        <v>122</v>
      </c>
      <c r="X1040" s="47" t="s">
        <v>122</v>
      </c>
      <c r="Y1040" s="55" t="e">
        <f ca="1">_xlfn.XLOOKUP(PAA_4[[#This Row],[ITEM]],[2]Contrato!A:A,[2]Contrato!B:B,"",0)</f>
        <v>#NAME?</v>
      </c>
      <c r="Z1040" s="47" t="e">
        <f ca="1">_xlfn.XLOOKUP(PAA_4[[#This Row],[ITEM]],[2]Contrato!A:A,[2]Contrato!G:G,"",0)</f>
        <v>#NAME?</v>
      </c>
      <c r="AA1040" s="47" t="e">
        <f ca="1">_xlfn.XLOOKUP(PAA_4[[#This Row],[ITEM]],[2]Contrato!A:A,[2]Contrato!T:T,"",0)</f>
        <v>#NAME?</v>
      </c>
      <c r="AB1040" s="55" t="e">
        <f ca="1">+MAX(PAA_4[[#This Row],[Comprometido Contrato]],PAA_4[[#This Row],[Comprometido Bolsa]])</f>
        <v>#NAME?</v>
      </c>
      <c r="AC1040" s="55" t="str">
        <f t="shared" ca="1" si="377"/>
        <v/>
      </c>
      <c r="AD1040" s="55" t="e">
        <f ca="1">IF(PAA_4[[#This Row],[ESTADO (formulado)]]="NO CONTRATADO",0,MAX(PAA_4[[#This Row],[Pago por Contrato]],PAA_4[[#This Row],[Pago por bolsa]]))</f>
        <v>#NAME?</v>
      </c>
      <c r="AE1040" s="55" t="str">
        <f t="shared" ca="1" si="378"/>
        <v/>
      </c>
      <c r="AF1040" s="47" t="e">
        <f t="shared" ca="1" si="379"/>
        <v>#NAME?</v>
      </c>
      <c r="AG1040" s="47">
        <f t="shared" si="380"/>
        <v>43010901</v>
      </c>
      <c r="AH1040" s="54">
        <f>IF(Q1040="22",IF(ISNUMBER(SEARCH("econ",PAA_4[[#This Row],[Actividad3]])),"Económico",IF(ISNUMBER(SEARCH("alim",PAA_4[[#This Row],[Actividad3]])),"Alimentación",IF(ISNUMBER(SEARCH("educ",PAA_4[[#This Row],[Actividad3]])),"Educativo","Técnico"))),0)</f>
        <v>0</v>
      </c>
      <c r="AI1040" s="47" t="e" cm="1">
        <f t="array" aca="1" ref="AI1040" ca="1">_xlfn.XLOOKUP(PAA_4[[#This Row],[RCP-RUBRO]],[2]!COMPROMISOS_2024[[#All],[concatenado]],[2]!COMPROMISOS_2024[[#All],[Total pagado]],"",0)</f>
        <v>#NAME?</v>
      </c>
      <c r="AJ1040" s="56">
        <f>IF(PAA_4[[#This Row],[BOLSA]]=0,0,SUMIFS([2]!COMPROMISOS_2024[[#All],[Total pagado]],[2]!COMPROMISOS_2024[[#All],[Bolsa]],PAA_4[[#This Row],[BOLSA]],[2]!COMPROMISOS_2024[[#All],[rubro]],PAA_4[[#This Row],[RCP-RUBRO]]))</f>
        <v>0</v>
      </c>
      <c r="AK1040" s="47" t="e" cm="1">
        <f t="array" aca="1" ref="AK1040" ca="1">_xlfn.XLOOKUP(PAA_4[[#This Row],[RCP-RUBRO]],[2]!COMPROMISOS_2024[[#All],[concatenado]],[2]!COMPROMISOS_2024[[#All],[Total Comprometido]],"",0)</f>
        <v>#NAME?</v>
      </c>
      <c r="AL1040" s="47">
        <f>IF(PAA_4[[#This Row],[BOLSA]]=0,0,SUMIFS([2]!COMPROMISOS_2024[[#All],[Total Comprometido]],[2]!COMPROMISOS_2024[[#All],[Bolsa]],PAA_4[[#This Row],[BOLSA]],[2]!COMPROMISOS_2024[[#All],[concatenado]],PAA_4[[#This Row],[RCP-RUBRO]]))</f>
        <v>0</v>
      </c>
    </row>
    <row r="1041" spans="1:38" s="19" customFormat="1" ht="31.5" customHeight="1">
      <c r="A1041" s="47">
        <v>363</v>
      </c>
      <c r="B1041" s="47">
        <v>72101500</v>
      </c>
      <c r="C1041" s="47" t="str">
        <f>VLOOKUP(PAA_4[[#This Row],[PROYECTO (formulado)2]],[2]PROYECTOS!$G$1:$L$32,6,0)</f>
        <v>SUBGERENCIA ESCENARIOS DEPORTIVOS Y EQUIPAMIENTOS</v>
      </c>
      <c r="D1041" s="47" t="str">
        <f>+IF(PAA_4[[#This Row],[UNIDAD DE CONTRATACION (formulado)]]="Subgerencia Administrativa y Financiera","FUNCIONAMIENTO","INVERSIÓN")</f>
        <v>INVERSIÓN</v>
      </c>
      <c r="E1041" s="48" t="str">
        <f>VLOOKUP(Q1041,[2]PROYECTOS!$G$1:$K$32,5,0)</f>
        <v>MEJORAMIENTO_DE_LA_INFRAESTRUCTURA_DEPORTIVA_Y_RECREATIVA_EN_EL_DEPARTAMENTO_DE_ANTIOQUIA</v>
      </c>
      <c r="F1041" s="48">
        <f>VLOOKUP(E1041,[2]PROYECTOS!$K$1:$M$32,3,0)</f>
        <v>2020003050027</v>
      </c>
      <c r="G1041" s="49" t="s">
        <v>309</v>
      </c>
      <c r="H1041" s="49" t="str">
        <f>VLOOKUP(Q1041,[2]PROYECTOS!$V$1:$W$32,2,0)</f>
        <v>050058</v>
      </c>
      <c r="I1041" s="78">
        <v>0</v>
      </c>
      <c r="J1041" s="51" t="s">
        <v>1839</v>
      </c>
      <c r="K1041" s="47" t="str">
        <f t="shared" ca="1" si="374"/>
        <v>CONTRATADO</v>
      </c>
      <c r="L1041" s="47" t="s">
        <v>117</v>
      </c>
      <c r="M1041" s="47" t="s">
        <v>310</v>
      </c>
      <c r="N1041" s="52" t="s">
        <v>308</v>
      </c>
      <c r="O1041" s="51" t="e">
        <f>VLOOKUP(N1041,[2]!RUBROS[#All],3,0)</f>
        <v>#REF!</v>
      </c>
      <c r="P1041" s="53" t="e">
        <f>VLOOKUP(N1041,[2]!RUBROS[#All],2,0)</f>
        <v>#REF!</v>
      </c>
      <c r="Q1041" s="47" t="str">
        <f t="shared" si="375"/>
        <v>64</v>
      </c>
      <c r="R1041" s="47" t="str">
        <f t="shared" si="376"/>
        <v>0-202029</v>
      </c>
      <c r="S1041" s="339">
        <v>5</v>
      </c>
      <c r="T1041" s="59" t="s">
        <v>46</v>
      </c>
      <c r="U1041" s="326" t="e">
        <f ca="1">_xlfn.XLOOKUP(PAA_4[[#This Row],[ITEM]],[2]Contrato!A:A,[2]Contrato!Q:Q,"",0)</f>
        <v>#NAME?</v>
      </c>
      <c r="V1041" s="47" t="s">
        <v>47</v>
      </c>
      <c r="W1041" s="47" t="s">
        <v>193</v>
      </c>
      <c r="X1041" s="47" t="s">
        <v>193</v>
      </c>
      <c r="Y1041" s="55" t="e">
        <f ca="1">_xlfn.XLOOKUP(PAA_4[[#This Row],[ITEM]],[2]Contrato!A:A,[2]Contrato!B:B,"",0)</f>
        <v>#NAME?</v>
      </c>
      <c r="Z1041" s="47" t="e">
        <f ca="1">_xlfn.XLOOKUP(PAA_4[[#This Row],[ITEM]],[2]Contrato!A:A,[2]Contrato!G:G,"",0)</f>
        <v>#NAME?</v>
      </c>
      <c r="AA1041" s="47" t="e">
        <f ca="1">_xlfn.XLOOKUP(PAA_4[[#This Row],[ITEM]],[2]Contrato!A:A,[2]Contrato!T:T,"",0)</f>
        <v>#NAME?</v>
      </c>
      <c r="AB1041" s="55" t="e">
        <f ca="1">+MAX(PAA_4[[#This Row],[Comprometido Contrato]],PAA_4[[#This Row],[Comprometido Bolsa]])</f>
        <v>#NAME?</v>
      </c>
      <c r="AC1041" s="55" t="str">
        <f t="shared" ca="1" si="377"/>
        <v/>
      </c>
      <c r="AD1041" s="55" t="e">
        <f ca="1">IF(PAA_4[[#This Row],[ESTADO (formulado)]]="NO CONTRATADO",0,MAX(PAA_4[[#This Row],[Pago por Contrato]],PAA_4[[#This Row],[Pago por bolsa]]))</f>
        <v>#NAME?</v>
      </c>
      <c r="AE1041" s="55" t="str">
        <f t="shared" ca="1" si="378"/>
        <v/>
      </c>
      <c r="AF1041" s="47" t="e">
        <f t="shared" ca="1" si="379"/>
        <v>#NAME?</v>
      </c>
      <c r="AG1041" s="47">
        <f t="shared" si="380"/>
        <v>43010901</v>
      </c>
      <c r="AH1041" s="54">
        <f>IF(Q1041="22",IF(ISNUMBER(SEARCH("econ",PAA_4[[#This Row],[Actividad3]])),"Económico",IF(ISNUMBER(SEARCH("alim",PAA_4[[#This Row],[Actividad3]])),"Alimentación",IF(ISNUMBER(SEARCH("educ",PAA_4[[#This Row],[Actividad3]])),"Educativo","Técnico"))),0)</f>
        <v>0</v>
      </c>
      <c r="AI1041" s="47" t="e" cm="1">
        <f t="array" aca="1" ref="AI1041" ca="1">_xlfn.XLOOKUP(PAA_4[[#This Row],[RCP-RUBRO]],[2]!COMPROMISOS_2024[[#All],[concatenado]],[2]!COMPROMISOS_2024[[#All],[Total pagado]],"",0)</f>
        <v>#NAME?</v>
      </c>
      <c r="AJ1041" s="56">
        <f>IF(PAA_4[[#This Row],[BOLSA]]=0,0,SUMIFS([2]!COMPROMISOS_2024[[#All],[Total pagado]],[2]!COMPROMISOS_2024[[#All],[Bolsa]],PAA_4[[#This Row],[BOLSA]],[2]!COMPROMISOS_2024[[#All],[rubro]],PAA_4[[#This Row],[RCP-RUBRO]]))</f>
        <v>0</v>
      </c>
      <c r="AK1041" s="47" t="e" cm="1">
        <f t="array" aca="1" ref="AK1041" ca="1">_xlfn.XLOOKUP(PAA_4[[#This Row],[RCP-RUBRO]],[2]!COMPROMISOS_2024[[#All],[concatenado]],[2]!COMPROMISOS_2024[[#All],[Total Comprometido]],"",0)</f>
        <v>#NAME?</v>
      </c>
      <c r="AL1041" s="47">
        <f>IF(PAA_4[[#This Row],[BOLSA]]=0,0,SUMIFS([2]!COMPROMISOS_2024[[#All],[Total Comprometido]],[2]!COMPROMISOS_2024[[#All],[Bolsa]],PAA_4[[#This Row],[BOLSA]],[2]!COMPROMISOS_2024[[#All],[concatenado]],PAA_4[[#This Row],[RCP-RUBRO]]))</f>
        <v>0</v>
      </c>
    </row>
    <row r="1042" spans="1:38" s="19" customFormat="1" ht="31.5" customHeight="1">
      <c r="A1042" s="47">
        <v>364</v>
      </c>
      <c r="B1042" s="47">
        <v>72101500</v>
      </c>
      <c r="C1042" s="47" t="str">
        <f>VLOOKUP(PAA_4[[#This Row],[PROYECTO (formulado)2]],[2]PROYECTOS!$G$1:$L$32,6,0)</f>
        <v>SUBGERENCIA ESCENARIOS DEPORTIVOS Y EQUIPAMIENTOS</v>
      </c>
      <c r="D1042" s="47" t="str">
        <f>+IF(PAA_4[[#This Row],[UNIDAD DE CONTRATACION (formulado)]]="Subgerencia Administrativa y Financiera","FUNCIONAMIENTO","INVERSIÓN")</f>
        <v>INVERSIÓN</v>
      </c>
      <c r="E1042" s="48" t="str">
        <f>VLOOKUP(Q1042,[2]PROYECTOS!$G$1:$K$32,5,0)</f>
        <v>MEJORAMIENTO_DE_LA_INFRAESTRUCTURA_DEPORTIVA_Y_RECREATIVA_EN_EL_DEPARTAMENTO_DE_ANTIOQUIA</v>
      </c>
      <c r="F1042" s="48">
        <f>VLOOKUP(E1042,[2]PROYECTOS!$K$1:$M$32,3,0)</f>
        <v>2020003050027</v>
      </c>
      <c r="G1042" s="49" t="s">
        <v>311</v>
      </c>
      <c r="H1042" s="49" t="str">
        <f>VLOOKUP(Q1042,[2]PROYECTOS!$V$1:$W$32,2,0)</f>
        <v>050058</v>
      </c>
      <c r="I1042" s="50">
        <v>0</v>
      </c>
      <c r="J1042" s="51" t="s">
        <v>1840</v>
      </c>
      <c r="K1042" s="47" t="str">
        <f t="shared" ca="1" si="374"/>
        <v>CONTRATADO</v>
      </c>
      <c r="L1042" s="52" t="s">
        <v>94</v>
      </c>
      <c r="M1042" s="51" t="s">
        <v>1297</v>
      </c>
      <c r="N1042" s="51" t="s">
        <v>312</v>
      </c>
      <c r="O1042" s="51" t="e">
        <f>VLOOKUP(N1042,[2]!RUBROS[#All],3,0)</f>
        <v>#REF!</v>
      </c>
      <c r="P1042" s="53" t="e">
        <f>VLOOKUP(N1042,[2]!RUBROS[#All],2,0)</f>
        <v>#REF!</v>
      </c>
      <c r="Q1042" s="47" t="str">
        <f t="shared" si="375"/>
        <v>64</v>
      </c>
      <c r="R1042" s="47" t="str">
        <f t="shared" si="376"/>
        <v>0-205128</v>
      </c>
      <c r="S1042" s="54"/>
      <c r="T1042" s="59"/>
      <c r="U1042" s="326" t="e">
        <f ca="1">_xlfn.XLOOKUP(PAA_4[[#This Row],[ITEM]],[2]Contrato!A:A,[2]Contrato!Q:Q,"",0)</f>
        <v>#NAME?</v>
      </c>
      <c r="V1042" s="47" t="s">
        <v>47</v>
      </c>
      <c r="W1042" s="47" t="s">
        <v>91</v>
      </c>
      <c r="X1042" s="47" t="s">
        <v>92</v>
      </c>
      <c r="Y1042" s="55" t="e">
        <f ca="1">_xlfn.XLOOKUP(PAA_4[[#This Row],[ITEM]],[2]Contrato!A:A,[2]Contrato!B:B,"",0)</f>
        <v>#NAME?</v>
      </c>
      <c r="Z1042" s="47" t="e">
        <f ca="1">_xlfn.XLOOKUP(PAA_4[[#This Row],[ITEM]],[2]Contrato!A:A,[2]Contrato!G:G,"",0)</f>
        <v>#NAME?</v>
      </c>
      <c r="AA1042" s="47" t="e">
        <f ca="1">_xlfn.XLOOKUP(PAA_4[[#This Row],[ITEM]],[2]Contrato!A:A,[2]Contrato!T:T,"",0)</f>
        <v>#NAME?</v>
      </c>
      <c r="AB1042" s="55" t="e">
        <f ca="1">+MAX(PAA_4[[#This Row],[Comprometido Contrato]],PAA_4[[#This Row],[Comprometido Bolsa]])</f>
        <v>#NAME?</v>
      </c>
      <c r="AC1042" s="55" t="str">
        <f t="shared" ca="1" si="377"/>
        <v/>
      </c>
      <c r="AD1042" s="55" t="e">
        <f ca="1">IF(PAA_4[[#This Row],[ESTADO (formulado)]]="NO CONTRATADO",0,MAX(PAA_4[[#This Row],[Pago por Contrato]],PAA_4[[#This Row],[Pago por bolsa]]))</f>
        <v>#NAME?</v>
      </c>
      <c r="AE1042" s="55" t="str">
        <f t="shared" ca="1" si="378"/>
        <v/>
      </c>
      <c r="AF1042" s="47" t="e">
        <f t="shared" ca="1" si="379"/>
        <v>#NAME?</v>
      </c>
      <c r="AG1042" s="47">
        <f t="shared" si="380"/>
        <v>43010901</v>
      </c>
      <c r="AH1042" s="54">
        <f>IF(Q1042="22",IF(ISNUMBER(SEARCH("econ",PAA_4[[#This Row],[Actividad3]])),"Económico",IF(ISNUMBER(SEARCH("alim",PAA_4[[#This Row],[Actividad3]])),"Alimentación",IF(ISNUMBER(SEARCH("educ",PAA_4[[#This Row],[Actividad3]])),"Educativo","Técnico"))),0)</f>
        <v>0</v>
      </c>
      <c r="AI1042" s="47" t="e" cm="1">
        <f t="array" aca="1" ref="AI1042" ca="1">_xlfn.XLOOKUP(PAA_4[[#This Row],[RCP-RUBRO]],[2]!COMPROMISOS_2024[[#All],[concatenado]],[2]!COMPROMISOS_2024[[#All],[Total pagado]],"",0)</f>
        <v>#NAME?</v>
      </c>
      <c r="AJ1042" s="56">
        <f>IF(PAA_4[[#This Row],[BOLSA]]=0,0,SUMIFS([2]!COMPROMISOS_2024[[#All],[Total pagado]],[2]!COMPROMISOS_2024[[#All],[Bolsa]],PAA_4[[#This Row],[BOLSA]],[2]!COMPROMISOS_2024[[#All],[rubro]],PAA_4[[#This Row],[RCP-RUBRO]]))</f>
        <v>0</v>
      </c>
      <c r="AK1042" s="47" t="e" cm="1">
        <f t="array" aca="1" ref="AK1042" ca="1">_xlfn.XLOOKUP(PAA_4[[#This Row],[RCP-RUBRO]],[2]!COMPROMISOS_2024[[#All],[concatenado]],[2]!COMPROMISOS_2024[[#All],[Total Comprometido]],"",0)</f>
        <v>#NAME?</v>
      </c>
      <c r="AL1042" s="47">
        <f>IF(PAA_4[[#This Row],[BOLSA]]=0,0,SUMIFS([2]!COMPROMISOS_2024[[#All],[Total Comprometido]],[2]!COMPROMISOS_2024[[#All],[Bolsa]],PAA_4[[#This Row],[BOLSA]],[2]!COMPROMISOS_2024[[#All],[concatenado]],PAA_4[[#This Row],[RCP-RUBRO]]))</f>
        <v>0</v>
      </c>
    </row>
    <row r="1043" spans="1:38" s="19" customFormat="1" ht="31.5" customHeight="1">
      <c r="A1043" s="47">
        <v>509</v>
      </c>
      <c r="B1043" s="47" t="s">
        <v>42</v>
      </c>
      <c r="C1043" s="47" t="str">
        <f>VLOOKUP(PAA_4[[#This Row],[PROYECTO (formulado)2]],[2]PROYECTOS!$G$1:$L$32,6,0)</f>
        <v>SUBGERENCIA ESCENARIOS DEPORTIVOS Y EQUIPAMIENTOS</v>
      </c>
      <c r="D1043" s="47" t="str">
        <f>+IF(PAA_4[[#This Row],[UNIDAD DE CONTRATACION (formulado)]]="Subgerencia Administrativa y Financiera","FUNCIONAMIENTO","INVERSIÓN")</f>
        <v>INVERSIÓN</v>
      </c>
      <c r="E1043" s="48" t="str">
        <f>VLOOKUP(Q1043,[2]PROYECTOS!$G$1:$K$32,5,0)</f>
        <v>MEJORAMIENTO_DE_LA_INFRAESTRUCTURA_DEPORTIVA_Y_RECREATIVA_EN_EL_DEPARTAMENTO_DE_ANTIOQUIA</v>
      </c>
      <c r="F1043" s="48">
        <f>VLOOKUP(E1043,[2]PROYECTOS!$K$1:$M$32,3,0)</f>
        <v>2020003050027</v>
      </c>
      <c r="G1043" s="49" t="s">
        <v>311</v>
      </c>
      <c r="H1043" s="49" t="str">
        <f>VLOOKUP(Q1043,[2]PROYECTOS!$V$1:$W$32,2,0)</f>
        <v>050058</v>
      </c>
      <c r="I1043" s="50">
        <v>0</v>
      </c>
      <c r="J1043" s="51" t="s">
        <v>1841</v>
      </c>
      <c r="K1043" s="47" t="str">
        <f t="shared" ca="1" si="374"/>
        <v>CONTRATADO</v>
      </c>
      <c r="L1043" s="52" t="s">
        <v>44</v>
      </c>
      <c r="M1043" s="51" t="s">
        <v>1236</v>
      </c>
      <c r="N1043" s="51" t="s">
        <v>312</v>
      </c>
      <c r="O1043" s="51" t="e">
        <f>VLOOKUP(N1043,[2]!RUBROS[#All],3,0)</f>
        <v>#REF!</v>
      </c>
      <c r="P1043" s="53" t="e">
        <f>VLOOKUP(N1043,[2]!RUBROS[#All],2,0)</f>
        <v>#REF!</v>
      </c>
      <c r="Q1043" s="47" t="str">
        <f t="shared" si="375"/>
        <v>64</v>
      </c>
      <c r="R1043" s="47" t="str">
        <f t="shared" si="376"/>
        <v>0-205128</v>
      </c>
      <c r="S1043" s="54">
        <v>1</v>
      </c>
      <c r="T1043" s="59" t="s">
        <v>46</v>
      </c>
      <c r="U1043" s="326" t="e">
        <f ca="1">_xlfn.XLOOKUP(PAA_4[[#This Row],[ITEM]],[2]Contrato!A:A,[2]Contrato!Q:Q,"",0)</f>
        <v>#NAME?</v>
      </c>
      <c r="V1043" s="47" t="s">
        <v>47</v>
      </c>
      <c r="W1043" s="47" t="s">
        <v>83</v>
      </c>
      <c r="X1043" s="47" t="s">
        <v>83</v>
      </c>
      <c r="Y1043" s="55" t="e">
        <f ca="1">_xlfn.XLOOKUP(PAA_4[[#This Row],[ITEM]],[2]Contrato!A:A,[2]Contrato!B:B,"",0)</f>
        <v>#NAME?</v>
      </c>
      <c r="Z1043" s="47" t="e">
        <f ca="1">_xlfn.XLOOKUP(PAA_4[[#This Row],[ITEM]],[2]Contrato!A:A,[2]Contrato!G:G,"",0)</f>
        <v>#NAME?</v>
      </c>
      <c r="AA1043" s="47" t="e">
        <f ca="1">_xlfn.XLOOKUP(PAA_4[[#This Row],[ITEM]],[2]Contrato!A:A,[2]Contrato!T:T,"",0)</f>
        <v>#NAME?</v>
      </c>
      <c r="AB1043" s="55" t="e">
        <f ca="1">+MAX(PAA_4[[#This Row],[Comprometido Contrato]],PAA_4[[#This Row],[Comprometido Bolsa]])</f>
        <v>#NAME?</v>
      </c>
      <c r="AC1043" s="55" t="str">
        <f t="shared" ca="1" si="377"/>
        <v/>
      </c>
      <c r="AD1043" s="55" t="e">
        <f ca="1">IF(PAA_4[[#This Row],[ESTADO (formulado)]]="NO CONTRATADO",0,MAX(PAA_4[[#This Row],[Pago por Contrato]],PAA_4[[#This Row],[Pago por bolsa]]))</f>
        <v>#NAME?</v>
      </c>
      <c r="AE1043" s="55" t="str">
        <f t="shared" ca="1" si="378"/>
        <v/>
      </c>
      <c r="AF1043" s="47" t="e">
        <f t="shared" ca="1" si="379"/>
        <v>#NAME?</v>
      </c>
      <c r="AG1043" s="47">
        <f t="shared" si="380"/>
        <v>43010901</v>
      </c>
      <c r="AH1043" s="54">
        <f>IF(Q1043="22",IF(ISNUMBER(SEARCH("econ",PAA_4[[#This Row],[Actividad3]])),"Económico",IF(ISNUMBER(SEARCH("alim",PAA_4[[#This Row],[Actividad3]])),"Alimentación",IF(ISNUMBER(SEARCH("educ",PAA_4[[#This Row],[Actividad3]])),"Educativo","Técnico"))),0)</f>
        <v>0</v>
      </c>
      <c r="AI1043" s="47" t="e" cm="1">
        <f t="array" aca="1" ref="AI1043" ca="1">_xlfn.XLOOKUP(PAA_4[[#This Row],[RCP-RUBRO]],[2]!COMPROMISOS_2024[[#All],[concatenado]],[2]!COMPROMISOS_2024[[#All],[Total pagado]],"",0)</f>
        <v>#NAME?</v>
      </c>
      <c r="AJ1043" s="56">
        <f>IF(PAA_4[[#This Row],[BOLSA]]=0,0,SUMIFS([2]!COMPROMISOS_2024[[#All],[Total pagado]],[2]!COMPROMISOS_2024[[#All],[Bolsa]],PAA_4[[#This Row],[BOLSA]],[2]!COMPROMISOS_2024[[#All],[rubro]],PAA_4[[#This Row],[RCP-RUBRO]]))</f>
        <v>0</v>
      </c>
      <c r="AK1043" s="47" t="e" cm="1">
        <f t="array" aca="1" ref="AK1043" ca="1">_xlfn.XLOOKUP(PAA_4[[#This Row],[RCP-RUBRO]],[2]!COMPROMISOS_2024[[#All],[concatenado]],[2]!COMPROMISOS_2024[[#All],[Total Comprometido]],"",0)</f>
        <v>#NAME?</v>
      </c>
      <c r="AL1043" s="47">
        <f>IF(PAA_4[[#This Row],[BOLSA]]=0,0,SUMIFS([2]!COMPROMISOS_2024[[#All],[Total Comprometido]],[2]!COMPROMISOS_2024[[#All],[Bolsa]],PAA_4[[#This Row],[BOLSA]],[2]!COMPROMISOS_2024[[#All],[concatenado]],PAA_4[[#This Row],[RCP-RUBRO]]))</f>
        <v>0</v>
      </c>
    </row>
    <row r="1044" spans="1:38" s="19" customFormat="1" ht="31.5" customHeight="1">
      <c r="A1044" s="47" t="s">
        <v>82</v>
      </c>
      <c r="B1044" s="47" t="s">
        <v>42</v>
      </c>
      <c r="C1044" s="47" t="str">
        <f>VLOOKUP(PAA_4[[#This Row],[PROYECTO (formulado)2]],[2]PROYECTOS!$G$1:$L$32,6,0)</f>
        <v>SUBGERENCIA ESCENARIOS DEPORTIVOS Y EQUIPAMIENTOS</v>
      </c>
      <c r="D1044" s="47" t="str">
        <f>+IF(PAA_4[[#This Row],[UNIDAD DE CONTRATACION (formulado)]]="Subgerencia Administrativa y Financiera","FUNCIONAMIENTO","INVERSIÓN")</f>
        <v>INVERSIÓN</v>
      </c>
      <c r="E1044" s="48" t="str">
        <f>VLOOKUP(Q1044,[2]PROYECTOS!$G$1:$K$32,5,0)</f>
        <v>Construcción de escenarios deportivos en el departamento de Antioquia</v>
      </c>
      <c r="F1044" s="48">
        <f>VLOOKUP(E1044,[2]PROYECTOS!$K$1:$M$32,3,0)</f>
        <v>2024003050076</v>
      </c>
      <c r="G1044" s="49" t="s">
        <v>1842</v>
      </c>
      <c r="H1044" s="49" t="str">
        <f>VLOOKUP(Q1044,[2]PROYECTOS!$V$1:$W$32,2,0)</f>
        <v>050074</v>
      </c>
      <c r="I1044" s="50">
        <v>1</v>
      </c>
      <c r="J1044" s="51" t="s">
        <v>1809</v>
      </c>
      <c r="K1044" s="47" t="str">
        <f ca="1">IF(ISNONTEXT(Y1044)=TRUE,"CONTRATADO","NO CONTRATADO")</f>
        <v>CONTRATADO</v>
      </c>
      <c r="L1044" s="52" t="s">
        <v>42</v>
      </c>
      <c r="M1044" s="51" t="s">
        <v>42</v>
      </c>
      <c r="N1044" s="51" t="s">
        <v>1843</v>
      </c>
      <c r="O1044" s="51" t="e">
        <f>VLOOKUP(N1044,[2]!RUBROS[#All],3,0)</f>
        <v>#REF!</v>
      </c>
      <c r="P1044" s="53" t="e">
        <f>VLOOKUP(N1044,[2]!RUBROS[#All],2,0)</f>
        <v>#REF!</v>
      </c>
      <c r="Q1044" s="47" t="str">
        <f>+MID(N1044,11,2)</f>
        <v>76</v>
      </c>
      <c r="R1044" s="47" t="str">
        <f>+MID(N1044,14,8)</f>
        <v>0-205128</v>
      </c>
      <c r="S1044" s="54" t="s">
        <v>42</v>
      </c>
      <c r="T1044" s="59" t="s">
        <v>42</v>
      </c>
      <c r="U1044" s="326" t="e">
        <f ca="1">_xlfn.XLOOKUP(PAA_4[[#This Row],[ITEM]],[2]Contrato!A:A,[2]Contrato!Q:Q,"",0)</f>
        <v>#NAME?</v>
      </c>
      <c r="V1044" s="47" t="s">
        <v>42</v>
      </c>
      <c r="W1044" s="47" t="s">
        <v>42</v>
      </c>
      <c r="X1044" s="47" t="s">
        <v>42</v>
      </c>
      <c r="Y1044" s="55" t="e">
        <f ca="1">_xlfn.XLOOKUP(PAA_4[[#This Row],[ITEM]],[2]Contrato!A:A,[2]Contrato!B:B,"",0)</f>
        <v>#NAME?</v>
      </c>
      <c r="Z1044" s="47" t="e">
        <f ca="1">_xlfn.XLOOKUP(PAA_4[[#This Row],[ITEM]],[2]Contrato!A:A,[2]Contrato!G:G,"",0)</f>
        <v>#NAME?</v>
      </c>
      <c r="AA1044" s="47" t="e">
        <f ca="1">_xlfn.XLOOKUP(PAA_4[[#This Row],[ITEM]],[2]Contrato!A:A,[2]Contrato!T:T,"",0)</f>
        <v>#NAME?</v>
      </c>
      <c r="AB1044" s="55" t="e">
        <f ca="1">+MAX(PAA_4[[#This Row],[Comprometido Contrato]],PAA_4[[#This Row],[Comprometido Bolsa]])</f>
        <v>#NAME?</v>
      </c>
      <c r="AC1044" s="55" t="str">
        <f ca="1">IFERROR(I1044-AB1044,"")</f>
        <v/>
      </c>
      <c r="AD1044" s="55" t="e">
        <f ca="1">IF(PAA_4[[#This Row],[ESTADO (formulado)]]="NO CONTRATADO",0,MAX(PAA_4[[#This Row],[Pago por Contrato]],PAA_4[[#This Row],[Pago por bolsa]]))</f>
        <v>#NAME?</v>
      </c>
      <c r="AE1044" s="55" t="str">
        <f ca="1">+IFERROR(AB1044-AD1044,"")</f>
        <v/>
      </c>
      <c r="AF1044" s="47" t="e">
        <f ca="1">+CONCATENATE(AA1044,N1044)</f>
        <v>#NAME?</v>
      </c>
      <c r="AG1044" s="47">
        <f>IFERROR(_xlfn.NUMBERVALUE(MID(G1044,1,8)),"")</f>
        <v>52010902</v>
      </c>
      <c r="AH1044" s="54">
        <f>IF(Q1044="22",IF(ISNUMBER(SEARCH("econ",PAA_4[[#This Row],[Actividad3]])),"Económico",IF(ISNUMBER(SEARCH("alim",PAA_4[[#This Row],[Actividad3]])),"Alimentación",IF(ISNUMBER(SEARCH("educ",PAA_4[[#This Row],[Actividad3]])),"Educativo","Técnico"))),0)</f>
        <v>0</v>
      </c>
      <c r="AI1044" s="47" t="e" cm="1">
        <f t="array" aca="1" ref="AI1044" ca="1">_xlfn.XLOOKUP(PAA_4[[#This Row],[RCP-RUBRO]],[2]!COMPROMISOS_2024[[#All],[concatenado]],[2]!COMPROMISOS_2024[[#All],[Total pagado]],"",0)</f>
        <v>#NAME?</v>
      </c>
      <c r="AJ1044" s="56">
        <f>IF(PAA_4[[#This Row],[BOLSA]]=0,0,SUMIFS([2]!COMPROMISOS_2024[[#All],[Total pagado]],[2]!COMPROMISOS_2024[[#All],[Bolsa]],PAA_4[[#This Row],[BOLSA]],[2]!COMPROMISOS_2024[[#All],[rubro]],PAA_4[[#This Row],[RCP-RUBRO]]))</f>
        <v>0</v>
      </c>
      <c r="AK1044" s="47" t="e" cm="1">
        <f t="array" aca="1" ref="AK1044" ca="1">_xlfn.XLOOKUP(PAA_4[[#This Row],[RCP-RUBRO]],[2]!COMPROMISOS_2024[[#All],[concatenado]],[2]!COMPROMISOS_2024[[#All],[Total Comprometido]],"",0)</f>
        <v>#NAME?</v>
      </c>
      <c r="AL1044" s="47">
        <f>IF(PAA_4[[#This Row],[BOLSA]]=0,0,SUMIFS([2]!COMPROMISOS_2024[[#All],[Total Comprometido]],[2]!COMPROMISOS_2024[[#All],[Bolsa]],PAA_4[[#This Row],[BOLSA]],[2]!COMPROMISOS_2024[[#All],[concatenado]],PAA_4[[#This Row],[RCP-RUBRO]]))</f>
        <v>0</v>
      </c>
    </row>
    <row r="1045" spans="1:38" s="19" customFormat="1" ht="31.5" customHeight="1">
      <c r="A1045" s="47">
        <v>1317</v>
      </c>
      <c r="B1045" s="47">
        <v>72101500</v>
      </c>
      <c r="C1045" s="47" t="str">
        <f>VLOOKUP(PAA_4[[#This Row],[PROYECTO (formulado)2]],[2]PROYECTOS!$G$1:$L$32,6,0)</f>
        <v>SUBGERENCIA ESCENARIOS DEPORTIVOS Y EQUIPAMIENTOS</v>
      </c>
      <c r="D1045" s="47" t="str">
        <f>+IF(PAA_4[[#This Row],[UNIDAD DE CONTRATACION (formulado)]]="Subgerencia Administrativa y Financiera","FUNCIONAMIENTO","INVERSIÓN")</f>
        <v>INVERSIÓN</v>
      </c>
      <c r="E1045" s="48" t="str">
        <f>VLOOKUP(Q1045,[2]PROYECTOS!$G$1:$K$32,5,0)</f>
        <v>Construcción de escenarios deportivos en el departamento de Antioquia</v>
      </c>
      <c r="F1045" s="48">
        <f>VLOOKUP(E1045,[2]PROYECTOS!$K$1:$M$32,3,0)</f>
        <v>2024003050076</v>
      </c>
      <c r="G1045" s="49" t="s">
        <v>1842</v>
      </c>
      <c r="H1045" s="49" t="str">
        <f>VLOOKUP(Q1045,[2]PROYECTOS!$V$1:$W$32,2,0)</f>
        <v>050074</v>
      </c>
      <c r="I1045" s="50">
        <f>2999086345-1</f>
        <v>2999086344</v>
      </c>
      <c r="J1045" s="51" t="s">
        <v>1844</v>
      </c>
      <c r="K1045" s="47" t="str">
        <f t="shared" ref="K1045:K1046" ca="1" si="381">IF(ISNONTEXT(Y1045)=TRUE,"CONTRATADO","NO CONTRATADO")</f>
        <v>CONTRATADO</v>
      </c>
      <c r="L1045" s="52" t="s">
        <v>94</v>
      </c>
      <c r="M1045" s="51" t="s">
        <v>161</v>
      </c>
      <c r="N1045" s="51" t="s">
        <v>1843</v>
      </c>
      <c r="O1045" s="51" t="e">
        <f>VLOOKUP(N1045,[2]!RUBROS[#All],3,0)</f>
        <v>#REF!</v>
      </c>
      <c r="P1045" s="53" t="e">
        <f>VLOOKUP(N1045,[2]!RUBROS[#All],2,0)</f>
        <v>#REF!</v>
      </c>
      <c r="Q1045" s="47" t="str">
        <f t="shared" ref="Q1045:Q1046" si="382">+MID(N1045,11,2)</f>
        <v>76</v>
      </c>
      <c r="R1045" s="47" t="str">
        <f t="shared" ref="R1045:R1046" si="383">+MID(N1045,14,8)</f>
        <v>0-205128</v>
      </c>
      <c r="S1045" s="54">
        <v>5</v>
      </c>
      <c r="T1045" s="59" t="s">
        <v>46</v>
      </c>
      <c r="U1045" s="326" t="e">
        <f ca="1">_xlfn.XLOOKUP(PAA_4[[#This Row],[ITEM]],[2]Contrato!A:A,[2]Contrato!Q:Q,"",0)</f>
        <v>#NAME?</v>
      </c>
      <c r="V1045" s="47" t="s">
        <v>95</v>
      </c>
      <c r="W1045" s="47" t="s">
        <v>201</v>
      </c>
      <c r="X1045" s="47" t="s">
        <v>201</v>
      </c>
      <c r="Y1045" s="55" t="e">
        <f ca="1">_xlfn.XLOOKUP(PAA_4[[#This Row],[ITEM]],[2]Contrato!A:A,[2]Contrato!B:B,"",0)</f>
        <v>#NAME?</v>
      </c>
      <c r="Z1045" s="47" t="e">
        <f ca="1">_xlfn.XLOOKUP(PAA_4[[#This Row],[ITEM]],[2]Contrato!A:A,[2]Contrato!G:G,"",0)</f>
        <v>#NAME?</v>
      </c>
      <c r="AA1045" s="47" t="e">
        <f ca="1">_xlfn.XLOOKUP(PAA_4[[#This Row],[ITEM]],[2]Contrato!A:A,[2]Contrato!T:T,"",0)</f>
        <v>#NAME?</v>
      </c>
      <c r="AB1045" s="55" t="e">
        <f ca="1">+MAX(PAA_4[[#This Row],[Comprometido Contrato]],PAA_4[[#This Row],[Comprometido Bolsa]])</f>
        <v>#NAME?</v>
      </c>
      <c r="AC1045" s="55" t="str">
        <f t="shared" ref="AC1045:AC1046" ca="1" si="384">IFERROR(I1045-AB1045,"")</f>
        <v/>
      </c>
      <c r="AD1045" s="55" t="e">
        <f ca="1">IF(PAA_4[[#This Row],[ESTADO (formulado)]]="NO CONTRATADO",0,MAX(PAA_4[[#This Row],[Pago por Contrato]],PAA_4[[#This Row],[Pago por bolsa]]))</f>
        <v>#NAME?</v>
      </c>
      <c r="AE1045" s="55" t="str">
        <f t="shared" ref="AE1045:AE1046" ca="1" si="385">+IFERROR(AB1045-AD1045,"")</f>
        <v/>
      </c>
      <c r="AF1045" s="47" t="e">
        <f t="shared" ref="AF1045:AF1046" ca="1" si="386">+CONCATENATE(AA1045,N1045)</f>
        <v>#NAME?</v>
      </c>
      <c r="AG1045" s="47">
        <f t="shared" ref="AG1045:AG1046" si="387">IFERROR(_xlfn.NUMBERVALUE(MID(G1045,1,8)),"")</f>
        <v>52010902</v>
      </c>
      <c r="AH1045" s="54">
        <f>IF(Q1045="22",IF(ISNUMBER(SEARCH("econ",PAA_4[[#This Row],[Actividad3]])),"Económico",IF(ISNUMBER(SEARCH("alim",PAA_4[[#This Row],[Actividad3]])),"Alimentación",IF(ISNUMBER(SEARCH("educ",PAA_4[[#This Row],[Actividad3]])),"Educativo","Técnico"))),0)</f>
        <v>0</v>
      </c>
      <c r="AI1045" s="47" t="e" cm="1">
        <f t="array" aca="1" ref="AI1045" ca="1">_xlfn.XLOOKUP(PAA_4[[#This Row],[RCP-RUBRO]],[2]!COMPROMISOS_2024[[#All],[concatenado]],[2]!COMPROMISOS_2024[[#All],[Total pagado]],"",0)</f>
        <v>#NAME?</v>
      </c>
      <c r="AJ1045" s="56">
        <f>IF(PAA_4[[#This Row],[BOLSA]]=0,0,SUMIFS([2]!COMPROMISOS_2024[[#All],[Total pagado]],[2]!COMPROMISOS_2024[[#All],[Bolsa]],PAA_4[[#This Row],[BOLSA]],[2]!COMPROMISOS_2024[[#All],[rubro]],PAA_4[[#This Row],[RCP-RUBRO]]))</f>
        <v>0</v>
      </c>
      <c r="AK1045" s="47" t="e" cm="1">
        <f t="array" aca="1" ref="AK1045" ca="1">_xlfn.XLOOKUP(PAA_4[[#This Row],[RCP-RUBRO]],[2]!COMPROMISOS_2024[[#All],[concatenado]],[2]!COMPROMISOS_2024[[#All],[Total Comprometido]],"",0)</f>
        <v>#NAME?</v>
      </c>
      <c r="AL1045" s="47">
        <f>IF(PAA_4[[#This Row],[BOLSA]]=0,0,SUMIFS([2]!COMPROMISOS_2024[[#All],[Total Comprometido]],[2]!COMPROMISOS_2024[[#All],[Bolsa]],PAA_4[[#This Row],[BOLSA]],[2]!COMPROMISOS_2024[[#All],[concatenado]],PAA_4[[#This Row],[RCP-RUBRO]]))</f>
        <v>0</v>
      </c>
    </row>
    <row r="1046" spans="1:38" s="19" customFormat="1" ht="31.5" customHeight="1">
      <c r="A1046" s="47" t="s">
        <v>82</v>
      </c>
      <c r="B1046" s="47" t="s">
        <v>42</v>
      </c>
      <c r="C1046" s="47" t="str">
        <f>VLOOKUP(PAA_4[[#This Row],[PROYECTO (formulado)2]],[2]PROYECTOS!$G$1:$L$32,6,0)</f>
        <v>SUBGERENCIA ESCENARIOS DEPORTIVOS Y EQUIPAMIENTOS</v>
      </c>
      <c r="D1046" s="47" t="str">
        <f>+IF(PAA_4[[#This Row],[UNIDAD DE CONTRATACION (formulado)]]="Subgerencia Administrativa y Financiera","FUNCIONAMIENTO","INVERSIÓN")</f>
        <v>INVERSIÓN</v>
      </c>
      <c r="E1046" s="48" t="str">
        <f>VLOOKUP(Q1046,[2]PROYECTOS!$G$1:$K$32,5,0)</f>
        <v>MEJORAMIENTO_DE_LA_INFRAESTRUCTURA_DEPORTIVA_Y_RECREATIVA_EN_EL_DEPARTAMENTO_DE_ANTIOQUIA</v>
      </c>
      <c r="F1046" s="48">
        <f>VLOOKUP(E1046,[2]PROYECTOS!$K$1:$M$32,3,0)</f>
        <v>2020003050027</v>
      </c>
      <c r="G1046" s="49" t="s">
        <v>288</v>
      </c>
      <c r="H1046" s="49" t="str">
        <f>VLOOKUP(Q1046,[2]PROYECTOS!$V$1:$W$32,2,0)</f>
        <v>050058</v>
      </c>
      <c r="I1046" s="50">
        <v>1044659</v>
      </c>
      <c r="J1046" s="51" t="s">
        <v>1845</v>
      </c>
      <c r="K1046" s="47" t="str">
        <f t="shared" ca="1" si="381"/>
        <v>CONTRATADO</v>
      </c>
      <c r="L1046" s="52" t="s">
        <v>42</v>
      </c>
      <c r="M1046" s="51" t="s">
        <v>42</v>
      </c>
      <c r="N1046" s="51" t="s">
        <v>292</v>
      </c>
      <c r="O1046" s="51" t="e">
        <f>VLOOKUP(N1046,[2]!RUBROS[#All],3,0)</f>
        <v>#REF!</v>
      </c>
      <c r="P1046" s="53" t="e">
        <f>VLOOKUP(N1046,[2]!RUBROS[#All],2,0)</f>
        <v>#REF!</v>
      </c>
      <c r="Q1046" s="47" t="str">
        <f t="shared" si="382"/>
        <v>64</v>
      </c>
      <c r="R1046" s="47" t="str">
        <f t="shared" si="383"/>
        <v>0-205128</v>
      </c>
      <c r="S1046" s="54" t="s">
        <v>42</v>
      </c>
      <c r="T1046" s="59" t="s">
        <v>42</v>
      </c>
      <c r="U1046" s="326" t="e">
        <f ca="1">_xlfn.XLOOKUP(PAA_4[[#This Row],[ITEM]],[2]Contrato!A:A,[2]Contrato!Q:Q,"",0)</f>
        <v>#NAME?</v>
      </c>
      <c r="V1046" s="47" t="s">
        <v>47</v>
      </c>
      <c r="W1046" s="47" t="s">
        <v>42</v>
      </c>
      <c r="X1046" s="47" t="s">
        <v>42</v>
      </c>
      <c r="Y1046" s="55" t="e">
        <f ca="1">_xlfn.XLOOKUP(PAA_4[[#This Row],[ITEM]],[2]Contrato!A:A,[2]Contrato!B:B,"",0)</f>
        <v>#NAME?</v>
      </c>
      <c r="Z1046" s="47" t="e">
        <f ca="1">_xlfn.XLOOKUP(PAA_4[[#This Row],[ITEM]],[2]Contrato!A:A,[2]Contrato!G:G,"",0)</f>
        <v>#NAME?</v>
      </c>
      <c r="AA1046" s="47" t="e">
        <f ca="1">_xlfn.XLOOKUP(PAA_4[[#This Row],[ITEM]],[2]Contrato!A:A,[2]Contrato!T:T,"",0)</f>
        <v>#NAME?</v>
      </c>
      <c r="AB1046" s="55" t="e">
        <f ca="1">+MAX(PAA_4[[#This Row],[Comprometido Contrato]],PAA_4[[#This Row],[Comprometido Bolsa]])</f>
        <v>#NAME?</v>
      </c>
      <c r="AC1046" s="55" t="str">
        <f t="shared" ca="1" si="384"/>
        <v/>
      </c>
      <c r="AD1046" s="55" t="e">
        <f ca="1">IF(PAA_4[[#This Row],[ESTADO (formulado)]]="NO CONTRATADO",0,MAX(PAA_4[[#This Row],[Pago por Contrato]],PAA_4[[#This Row],[Pago por bolsa]]))</f>
        <v>#NAME?</v>
      </c>
      <c r="AE1046" s="55" t="str">
        <f t="shared" ca="1" si="385"/>
        <v/>
      </c>
      <c r="AF1046" s="47" t="e">
        <f t="shared" ca="1" si="386"/>
        <v>#NAME?</v>
      </c>
      <c r="AG1046" s="47">
        <f t="shared" si="387"/>
        <v>43010901</v>
      </c>
      <c r="AH1046" s="54">
        <f>IF(Q1046="22",IF(ISNUMBER(SEARCH("econ",PAA_4[[#This Row],[Actividad3]])),"Económico",IF(ISNUMBER(SEARCH("alim",PAA_4[[#This Row],[Actividad3]])),"Alimentación",IF(ISNUMBER(SEARCH("educ",PAA_4[[#This Row],[Actividad3]])),"Educativo","Técnico"))),0)</f>
        <v>0</v>
      </c>
      <c r="AI1046" s="47" t="e" cm="1">
        <f t="array" aca="1" ref="AI1046" ca="1">_xlfn.XLOOKUP(PAA_4[[#This Row],[RCP-RUBRO]],[2]!COMPROMISOS_2024[[#All],[concatenado]],[2]!COMPROMISOS_2024[[#All],[Total pagado]],"",0)</f>
        <v>#NAME?</v>
      </c>
      <c r="AJ1046" s="56">
        <f>IF(PAA_4[[#This Row],[BOLSA]]=0,0,SUMIFS([2]!COMPROMISOS_2024[[#All],[Total pagado]],[2]!COMPROMISOS_2024[[#All],[Bolsa]],PAA_4[[#This Row],[BOLSA]],[2]!COMPROMISOS_2024[[#All],[rubro]],PAA_4[[#This Row],[RCP-RUBRO]]))</f>
        <v>0</v>
      </c>
      <c r="AK1046" s="47" t="e" cm="1">
        <f t="array" aca="1" ref="AK1046" ca="1">_xlfn.XLOOKUP(PAA_4[[#This Row],[RCP-RUBRO]],[2]!COMPROMISOS_2024[[#All],[concatenado]],[2]!COMPROMISOS_2024[[#All],[Total Comprometido]],"",0)</f>
        <v>#NAME?</v>
      </c>
      <c r="AL1046" s="47">
        <f>IF(PAA_4[[#This Row],[BOLSA]]=0,0,SUMIFS([2]!COMPROMISOS_2024[[#All],[Total Comprometido]],[2]!COMPROMISOS_2024[[#All],[Bolsa]],PAA_4[[#This Row],[BOLSA]],[2]!COMPROMISOS_2024[[#All],[concatenado]],PAA_4[[#This Row],[RCP-RUBRO]]))</f>
        <v>0</v>
      </c>
    </row>
    <row r="1047" spans="1:38" s="19" customFormat="1" ht="31.5" customHeight="1">
      <c r="A1047" s="47" t="s">
        <v>82</v>
      </c>
      <c r="B1047" s="47" t="s">
        <v>42</v>
      </c>
      <c r="C1047" s="47" t="str">
        <f>VLOOKUP(PAA_4[[#This Row],[PROYECTO (formulado)2]],[2]PROYECTOS!$G$1:$L$32,6,0)</f>
        <v>SUBGERENCIA ESCENARIOS DEPORTIVOS Y EQUIPAMIENTOS</v>
      </c>
      <c r="D1047" s="47" t="str">
        <f>+IF(PAA_4[[#This Row],[UNIDAD DE CONTRATACION (formulado)]]="Subgerencia Administrativa y Financiera","FUNCIONAMIENTO","INVERSIÓN")</f>
        <v>INVERSIÓN</v>
      </c>
      <c r="E1047" s="48" t="str">
        <f>VLOOKUP(Q1047,[2]PROYECTOS!$G$1:$K$32,5,0)</f>
        <v>MEJORAMIENTO_DE_LA_INFRAESTRUCTURA_DEPORTIVA_Y_RECREATIVA_EN_EL_DEPARTAMENTO_DE_ANTIOQUIA</v>
      </c>
      <c r="F1047" s="48">
        <f>VLOOKUP(E1047,[2]PROYECTOS!$K$1:$M$32,3,0)</f>
        <v>2020003050027</v>
      </c>
      <c r="G1047" s="49" t="s">
        <v>288</v>
      </c>
      <c r="H1047" s="49" t="str">
        <f>VLOOKUP(Q1047,[2]PROYECTOS!$V$1:$W$32,2,0)</f>
        <v>050058</v>
      </c>
      <c r="I1047" s="50">
        <v>1375816</v>
      </c>
      <c r="J1047" s="51" t="s">
        <v>1816</v>
      </c>
      <c r="K1047" s="47" t="str">
        <f ca="1">IF(ISNONTEXT(Y1047)=TRUE,"CONTRATADO","NO CONTRATADO")</f>
        <v>CONTRATADO</v>
      </c>
      <c r="L1047" s="52" t="s">
        <v>42</v>
      </c>
      <c r="M1047" s="51" t="s">
        <v>42</v>
      </c>
      <c r="N1047" s="51" t="s">
        <v>292</v>
      </c>
      <c r="O1047" s="51" t="e">
        <f>VLOOKUP(N1047,[2]!RUBROS[#All],3,0)</f>
        <v>#REF!</v>
      </c>
      <c r="P1047" s="53" t="e">
        <f>VLOOKUP(N1047,[2]!RUBROS[#All],2,0)</f>
        <v>#REF!</v>
      </c>
      <c r="Q1047" s="47" t="str">
        <f>+MID(N1047,11,2)</f>
        <v>64</v>
      </c>
      <c r="R1047" s="47" t="str">
        <f>+MID(N1047,14,8)</f>
        <v>0-205128</v>
      </c>
      <c r="S1047" s="54" t="s">
        <v>42</v>
      </c>
      <c r="T1047" s="59" t="s">
        <v>42</v>
      </c>
      <c r="U1047" s="326" t="e">
        <f ca="1">_xlfn.XLOOKUP(PAA_4[[#This Row],[ITEM]],[2]Contrato!A:A,[2]Contrato!Q:Q,"",0)</f>
        <v>#NAME?</v>
      </c>
      <c r="V1047" s="47" t="s">
        <v>95</v>
      </c>
      <c r="W1047" s="47" t="s">
        <v>42</v>
      </c>
      <c r="X1047" s="47" t="s">
        <v>42</v>
      </c>
      <c r="Y1047" s="55" t="e">
        <f ca="1">_xlfn.XLOOKUP(PAA_4[[#This Row],[ITEM]],[2]Contrato!A:A,[2]Contrato!B:B,"",0)</f>
        <v>#NAME?</v>
      </c>
      <c r="Z1047" s="47" t="e">
        <f ca="1">_xlfn.XLOOKUP(PAA_4[[#This Row],[ITEM]],[2]Contrato!A:A,[2]Contrato!G:G,"",0)</f>
        <v>#NAME?</v>
      </c>
      <c r="AA1047" s="47" t="e">
        <f ca="1">_xlfn.XLOOKUP(PAA_4[[#This Row],[ITEM]],[2]Contrato!A:A,[2]Contrato!T:T,"",0)</f>
        <v>#NAME?</v>
      </c>
      <c r="AB1047" s="55" t="e">
        <f ca="1">+MAX(PAA_4[[#This Row],[Comprometido Contrato]],PAA_4[[#This Row],[Comprometido Bolsa]])</f>
        <v>#NAME?</v>
      </c>
      <c r="AC1047" s="55" t="str">
        <f ca="1">IFERROR(I1047-AB1047,"")</f>
        <v/>
      </c>
      <c r="AD1047" s="55" t="e">
        <f ca="1">IF(PAA_4[[#This Row],[ESTADO (formulado)]]="NO CONTRATADO",0,MAX(PAA_4[[#This Row],[Pago por Contrato]],PAA_4[[#This Row],[Pago por bolsa]]))</f>
        <v>#NAME?</v>
      </c>
      <c r="AE1047" s="55" t="str">
        <f ca="1">+IFERROR(AB1047-AD1047,"")</f>
        <v/>
      </c>
      <c r="AF1047" s="47" t="e">
        <f ca="1">+CONCATENATE(AA1047,N1047)</f>
        <v>#NAME?</v>
      </c>
      <c r="AG1047" s="47">
        <f>IFERROR(_xlfn.NUMBERVALUE(MID(G1047,1,8)),"")</f>
        <v>43010901</v>
      </c>
      <c r="AH1047" s="54">
        <f>IF(Q1047="22",IF(ISNUMBER(SEARCH("econ",PAA_4[[#This Row],[Actividad3]])),"Económico",IF(ISNUMBER(SEARCH("alim",PAA_4[[#This Row],[Actividad3]])),"Alimentación",IF(ISNUMBER(SEARCH("educ",PAA_4[[#This Row],[Actividad3]])),"Educativo","Técnico"))),0)</f>
        <v>0</v>
      </c>
      <c r="AI1047" s="47" t="e" cm="1">
        <f t="array" aca="1" ref="AI1047" ca="1">_xlfn.XLOOKUP(PAA_4[[#This Row],[RCP-RUBRO]],[2]!COMPROMISOS_2024[[#All],[concatenado]],[2]!COMPROMISOS_2024[[#All],[Total pagado]],"",0)</f>
        <v>#NAME?</v>
      </c>
      <c r="AJ1047" s="56">
        <f>IF(PAA_4[[#This Row],[BOLSA]]=0,0,SUMIFS([2]!COMPROMISOS_2024[[#All],[Total pagado]],[2]!COMPROMISOS_2024[[#All],[Bolsa]],PAA_4[[#This Row],[BOLSA]],[2]!COMPROMISOS_2024[[#All],[rubro]],PAA_4[[#This Row],[RCP-RUBRO]]))</f>
        <v>0</v>
      </c>
      <c r="AK1047" s="47" t="e" cm="1">
        <f t="array" aca="1" ref="AK1047" ca="1">_xlfn.XLOOKUP(PAA_4[[#This Row],[RCP-RUBRO]],[2]!COMPROMISOS_2024[[#All],[concatenado]],[2]!COMPROMISOS_2024[[#All],[Total Comprometido]],"",0)</f>
        <v>#NAME?</v>
      </c>
      <c r="AL1047" s="47">
        <f>IF(PAA_4[[#This Row],[BOLSA]]=0,0,SUMIFS([2]!COMPROMISOS_2024[[#All],[Total Comprometido]],[2]!COMPROMISOS_2024[[#All],[Bolsa]],PAA_4[[#This Row],[BOLSA]],[2]!COMPROMISOS_2024[[#All],[concatenado]],PAA_4[[#This Row],[RCP-RUBRO]]))</f>
        <v>0</v>
      </c>
    </row>
    <row r="1048" spans="1:38" s="19" customFormat="1" ht="31.5" customHeight="1">
      <c r="A1048" s="47">
        <v>679</v>
      </c>
      <c r="B1048" s="47">
        <v>80111600</v>
      </c>
      <c r="C1048" s="47" t="str">
        <f>VLOOKUP(PAA_4[[#This Row],[PROYECTO (formulado)2]],[2]PROYECTOS!$G$1:$L$32,6,0)</f>
        <v>SUBGERENCIA ESCENARIOS DEPORTIVOS Y EQUIPAMIENTOS</v>
      </c>
      <c r="D1048" s="47" t="str">
        <f>+IF(PAA_4[[#This Row],[UNIDAD DE CONTRATACION (formulado)]]="Subgerencia Administrativa y Financiera","FUNCIONAMIENTO","INVERSIÓN")</f>
        <v>INVERSIÓN</v>
      </c>
      <c r="E1048" s="48" t="str">
        <f>VLOOKUP(Q1048,[2]PROYECTOS!$G$1:$K$32,5,0)</f>
        <v>MEJORAMIENTO_DE_LA_INFRAESTRUCTURA_DEPORTIVA_Y_RECREATIVA_EN_EL_DEPARTAMENTO_DE_ANTIOQUIA</v>
      </c>
      <c r="F1048" s="48">
        <f>VLOOKUP(E1048,[2]PROYECTOS!$K$1:$M$32,3,0)</f>
        <v>2020003050027</v>
      </c>
      <c r="G1048" s="49" t="s">
        <v>288</v>
      </c>
      <c r="H1048" s="49" t="str">
        <f>VLOOKUP(Q1048,[2]PROYECTOS!$V$1:$W$32,2,0)</f>
        <v>050058</v>
      </c>
      <c r="I1048" s="50">
        <f>53198226-5044659-1375816</f>
        <v>46777751</v>
      </c>
      <c r="J1048" s="51" t="s">
        <v>313</v>
      </c>
      <c r="K1048" s="47" t="str">
        <f t="shared" ref="K1048:K1116" ca="1" si="388">IF(ISNONTEXT(Y1048)=TRUE,"CONTRATADO","NO CONTRATADO")</f>
        <v>CONTRATADO</v>
      </c>
      <c r="L1048" s="52" t="s">
        <v>94</v>
      </c>
      <c r="M1048" s="51" t="s">
        <v>1297</v>
      </c>
      <c r="N1048" s="51" t="s">
        <v>292</v>
      </c>
      <c r="O1048" s="51" t="e">
        <f>VLOOKUP(N1048,[2]!RUBROS[#All],3,0)</f>
        <v>#REF!</v>
      </c>
      <c r="P1048" s="53" t="e">
        <f>VLOOKUP(N1048,[2]!RUBROS[#All],2,0)</f>
        <v>#REF!</v>
      </c>
      <c r="Q1048" s="47" t="str">
        <f t="shared" ref="Q1048:Q1119" si="389">+MID(N1048,11,2)</f>
        <v>64</v>
      </c>
      <c r="R1048" s="47" t="str">
        <f t="shared" ref="R1048:R1117" si="390">+MID(N1048,14,8)</f>
        <v>0-205128</v>
      </c>
      <c r="S1048" s="54">
        <v>7</v>
      </c>
      <c r="T1048" s="59" t="s">
        <v>46</v>
      </c>
      <c r="U1048" s="326" t="e">
        <f ca="1">_xlfn.XLOOKUP(PAA_4[[#This Row],[ITEM]],[2]Contrato!A:A,[2]Contrato!Q:Q,"",0)</f>
        <v>#NAME?</v>
      </c>
      <c r="V1048" s="47" t="s">
        <v>47</v>
      </c>
      <c r="W1048" s="47" t="s">
        <v>119</v>
      </c>
      <c r="X1048" s="47" t="s">
        <v>242</v>
      </c>
      <c r="Y1048" s="55" t="e">
        <f ca="1">_xlfn.XLOOKUP(PAA_4[[#This Row],[ITEM]],[2]Contrato!A:A,[2]Contrato!B:B,"",0)</f>
        <v>#NAME?</v>
      </c>
      <c r="Z1048" s="47" t="e">
        <f ca="1">_xlfn.XLOOKUP(PAA_4[[#This Row],[ITEM]],[2]Contrato!A:A,[2]Contrato!G:G,"",0)</f>
        <v>#NAME?</v>
      </c>
      <c r="AA1048" s="47" t="e">
        <f ca="1">_xlfn.XLOOKUP(PAA_4[[#This Row],[ITEM]],[2]Contrato!A:A,[2]Contrato!T:T,"",0)</f>
        <v>#NAME?</v>
      </c>
      <c r="AB1048" s="55" t="e">
        <f ca="1">+MAX(PAA_4[[#This Row],[Comprometido Contrato]],PAA_4[[#This Row],[Comprometido Bolsa]])</f>
        <v>#NAME?</v>
      </c>
      <c r="AC1048" s="55" t="str">
        <f t="shared" ref="AC1048:AC1121" ca="1" si="391">IFERROR(I1048-AB1048,"")</f>
        <v/>
      </c>
      <c r="AD1048" s="55" t="e">
        <f ca="1">IF(PAA_4[[#This Row],[ESTADO (formulado)]]="NO CONTRATADO",0,MAX(PAA_4[[#This Row],[Pago por Contrato]],PAA_4[[#This Row],[Pago por bolsa]]))</f>
        <v>#NAME?</v>
      </c>
      <c r="AE1048" s="55" t="str">
        <f t="shared" ref="AE1048:AE1116" ca="1" si="392">+IFERROR(AB1048-AD1048,"")</f>
        <v/>
      </c>
      <c r="AF1048" s="47" t="e">
        <f t="shared" ref="AF1048:AF1120" ca="1" si="393">+CONCATENATE(AA1048,N1048)</f>
        <v>#NAME?</v>
      </c>
      <c r="AG1048" s="47">
        <f t="shared" ref="AG1048:AG1116" si="394">IFERROR(_xlfn.NUMBERVALUE(MID(G1048,1,8)),"")</f>
        <v>43010901</v>
      </c>
      <c r="AH1048" s="54">
        <f>IF(Q1048="22",IF(ISNUMBER(SEARCH("econ",PAA_4[[#This Row],[Actividad3]])),"Económico",IF(ISNUMBER(SEARCH("alim",PAA_4[[#This Row],[Actividad3]])),"Alimentación",IF(ISNUMBER(SEARCH("educ",PAA_4[[#This Row],[Actividad3]])),"Educativo","Técnico"))),0)</f>
        <v>0</v>
      </c>
      <c r="AI1048" s="47" t="e" cm="1">
        <f t="array" aca="1" ref="AI1048" ca="1">_xlfn.XLOOKUP(PAA_4[[#This Row],[RCP-RUBRO]],[2]!COMPROMISOS_2024[[#All],[concatenado]],[2]!COMPROMISOS_2024[[#All],[Total pagado]],"",0)</f>
        <v>#NAME?</v>
      </c>
      <c r="AJ1048" s="56">
        <f>IF(PAA_4[[#This Row],[BOLSA]]=0,0,SUMIFS([2]!COMPROMISOS_2024[[#All],[Total pagado]],[2]!COMPROMISOS_2024[[#All],[Bolsa]],PAA_4[[#This Row],[BOLSA]],[2]!COMPROMISOS_2024[[#All],[rubro]],PAA_4[[#This Row],[RCP-RUBRO]]))</f>
        <v>0</v>
      </c>
      <c r="AK1048" s="47" t="e" cm="1">
        <f t="array" aca="1" ref="AK1048" ca="1">_xlfn.XLOOKUP(PAA_4[[#This Row],[RCP-RUBRO]],[2]!COMPROMISOS_2024[[#All],[concatenado]],[2]!COMPROMISOS_2024[[#All],[Total Comprometido]],"",0)</f>
        <v>#NAME?</v>
      </c>
      <c r="AL1048" s="47">
        <f>IF(PAA_4[[#This Row],[BOLSA]]=0,0,SUMIFS([2]!COMPROMISOS_2024[[#All],[Total Comprometido]],[2]!COMPROMISOS_2024[[#All],[Bolsa]],PAA_4[[#This Row],[BOLSA]],[2]!COMPROMISOS_2024[[#All],[concatenado]],PAA_4[[#This Row],[RCP-RUBRO]]))</f>
        <v>0</v>
      </c>
    </row>
    <row r="1049" spans="1:38" s="19" customFormat="1" ht="31.5" customHeight="1">
      <c r="A1049" s="47" t="s">
        <v>82</v>
      </c>
      <c r="B1049" s="47">
        <v>72101500</v>
      </c>
      <c r="C1049" s="47" t="str">
        <f>VLOOKUP(PAA_4[[#This Row],[PROYECTO (formulado)2]],[2]PROYECTOS!$G$1:$L$32,6,0)</f>
        <v>SUBGERENCIA ESCENARIOS DEPORTIVOS Y EQUIPAMIENTOS</v>
      </c>
      <c r="D1049" s="47" t="str">
        <f>+IF(PAA_4[[#This Row],[UNIDAD DE CONTRATACION (formulado)]]="Subgerencia Administrativa y Financiera","FUNCIONAMIENTO","INVERSIÓN")</f>
        <v>INVERSIÓN</v>
      </c>
      <c r="E1049" s="48" t="str">
        <f>VLOOKUP(Q1049,[2]PROYECTOS!$G$1:$K$32,5,0)</f>
        <v>MEJORAMIENTO_DE_LA_INFRAESTRUCTURA_DEPORTIVA_Y_RECREATIVA_EN_EL_DEPARTAMENTO_DE_ANTIOQUIA</v>
      </c>
      <c r="F1049" s="48">
        <f>VLOOKUP(E1049,[2]PROYECTOS!$K$1:$M$32,3,0)</f>
        <v>2020003050027</v>
      </c>
      <c r="G1049" s="49" t="s">
        <v>283</v>
      </c>
      <c r="H1049" s="49" t="str">
        <f>VLOOKUP(Q1049,[2]PROYECTOS!$V$1:$W$32,2,0)</f>
        <v>050058</v>
      </c>
      <c r="I1049" s="50">
        <v>0</v>
      </c>
      <c r="J1049" s="51" t="s">
        <v>1846</v>
      </c>
      <c r="K1049" s="47" t="str">
        <f t="shared" ca="1" si="388"/>
        <v>CONTRATADO</v>
      </c>
      <c r="L1049" s="52" t="s">
        <v>42</v>
      </c>
      <c r="M1049" s="51" t="s">
        <v>42</v>
      </c>
      <c r="N1049" s="51" t="s">
        <v>308</v>
      </c>
      <c r="O1049" s="51" t="e">
        <f>VLOOKUP(N1049,[2]!RUBROS[#All],3,0)</f>
        <v>#REF!</v>
      </c>
      <c r="P1049" s="53" t="e">
        <f>VLOOKUP(N1049,[2]!RUBROS[#All],2,0)</f>
        <v>#REF!</v>
      </c>
      <c r="Q1049" s="47" t="str">
        <f t="shared" si="389"/>
        <v>64</v>
      </c>
      <c r="R1049" s="47" t="str">
        <f t="shared" si="390"/>
        <v>0-202029</v>
      </c>
      <c r="S1049" s="54" t="s">
        <v>42</v>
      </c>
      <c r="T1049" s="59" t="s">
        <v>42</v>
      </c>
      <c r="U1049" s="326" t="e">
        <f ca="1">_xlfn.XLOOKUP(PAA_4[[#This Row],[ITEM]],[2]Contrato!A:A,[2]Contrato!Q:Q,"",0)</f>
        <v>#NAME?</v>
      </c>
      <c r="V1049" s="47" t="s">
        <v>95</v>
      </c>
      <c r="W1049" s="47" t="s">
        <v>42</v>
      </c>
      <c r="X1049" s="47" t="s">
        <v>42</v>
      </c>
      <c r="Y1049" s="55" t="e">
        <f ca="1">_xlfn.XLOOKUP(PAA_4[[#This Row],[ITEM]],[2]Contrato!A:A,[2]Contrato!B:B,"",0)</f>
        <v>#NAME?</v>
      </c>
      <c r="Z1049" s="47" t="e">
        <f ca="1">_xlfn.XLOOKUP(PAA_4[[#This Row],[ITEM]],[2]Contrato!A:A,[2]Contrato!G:G,"",0)</f>
        <v>#NAME?</v>
      </c>
      <c r="AA1049" s="47" t="e">
        <f ca="1">_xlfn.XLOOKUP(PAA_4[[#This Row],[ITEM]],[2]Contrato!A:A,[2]Contrato!T:T,"",0)</f>
        <v>#NAME?</v>
      </c>
      <c r="AB1049" s="55" t="e">
        <f ca="1">+MAX(PAA_4[[#This Row],[Comprometido Contrato]],PAA_4[[#This Row],[Comprometido Bolsa]])</f>
        <v>#NAME?</v>
      </c>
      <c r="AC1049" s="55" t="str">
        <f t="shared" ca="1" si="391"/>
        <v/>
      </c>
      <c r="AD1049" s="55" t="e">
        <f ca="1">IF(PAA_4[[#This Row],[ESTADO (formulado)]]="NO CONTRATADO",0,MAX(PAA_4[[#This Row],[Pago por Contrato]],PAA_4[[#This Row],[Pago por bolsa]]))</f>
        <v>#NAME?</v>
      </c>
      <c r="AE1049" s="55" t="str">
        <f t="shared" ca="1" si="392"/>
        <v/>
      </c>
      <c r="AF1049" s="47" t="e">
        <f t="shared" ca="1" si="393"/>
        <v>#NAME?</v>
      </c>
      <c r="AG1049" s="47">
        <f t="shared" si="394"/>
        <v>43010901</v>
      </c>
      <c r="AH1049" s="54">
        <f>IF(Q1049="22",IF(ISNUMBER(SEARCH("econ",PAA_4[[#This Row],[Actividad3]])),"Económico",IF(ISNUMBER(SEARCH("alim",PAA_4[[#This Row],[Actividad3]])),"Alimentación",IF(ISNUMBER(SEARCH("educ",PAA_4[[#This Row],[Actividad3]])),"Educativo","Técnico"))),0)</f>
        <v>0</v>
      </c>
      <c r="AI1049" s="47" t="e" cm="1">
        <f t="array" aca="1" ref="AI1049" ca="1">_xlfn.XLOOKUP(PAA_4[[#This Row],[RCP-RUBRO]],[2]!COMPROMISOS_2024[[#All],[concatenado]],[2]!COMPROMISOS_2024[[#All],[Total pagado]],"",0)</f>
        <v>#NAME?</v>
      </c>
      <c r="AJ1049" s="56">
        <f>IF(PAA_4[[#This Row],[BOLSA]]=0,0,SUMIFS([2]!COMPROMISOS_2024[[#All],[Total pagado]],[2]!COMPROMISOS_2024[[#All],[Bolsa]],PAA_4[[#This Row],[BOLSA]],[2]!COMPROMISOS_2024[[#All],[rubro]],PAA_4[[#This Row],[RCP-RUBRO]]))</f>
        <v>0</v>
      </c>
      <c r="AK1049" s="47" t="e" cm="1">
        <f t="array" aca="1" ref="AK1049" ca="1">_xlfn.XLOOKUP(PAA_4[[#This Row],[RCP-RUBRO]],[2]!COMPROMISOS_2024[[#All],[concatenado]],[2]!COMPROMISOS_2024[[#All],[Total Comprometido]],"",0)</f>
        <v>#NAME?</v>
      </c>
      <c r="AL1049" s="47">
        <f>IF(PAA_4[[#This Row],[BOLSA]]=0,0,SUMIFS([2]!COMPROMISOS_2024[[#All],[Total Comprometido]],[2]!COMPROMISOS_2024[[#All],[Bolsa]],PAA_4[[#This Row],[BOLSA]],[2]!COMPROMISOS_2024[[#All],[concatenado]],PAA_4[[#This Row],[RCP-RUBRO]]))</f>
        <v>0</v>
      </c>
    </row>
    <row r="1050" spans="1:38" s="19" customFormat="1" ht="31.5" customHeight="1">
      <c r="A1050" s="47">
        <v>680</v>
      </c>
      <c r="B1050" s="47">
        <v>72101500</v>
      </c>
      <c r="C1050" s="47" t="str">
        <f>VLOOKUP(PAA_4[[#This Row],[PROYECTO (formulado)2]],[2]PROYECTOS!$G$1:$L$32,6,0)</f>
        <v>SUBGERENCIA ESCENARIOS DEPORTIVOS Y EQUIPAMIENTOS</v>
      </c>
      <c r="D1050" s="47" t="str">
        <f>+IF(PAA_4[[#This Row],[UNIDAD DE CONTRATACION (formulado)]]="Subgerencia Administrativa y Financiera","FUNCIONAMIENTO","INVERSIÓN")</f>
        <v>INVERSIÓN</v>
      </c>
      <c r="E1050" s="48" t="str">
        <f>VLOOKUP(Q1050,[2]PROYECTOS!$G$1:$K$32,5,0)</f>
        <v>MEJORAMIENTO_DE_LA_INFRAESTRUCTURA_DEPORTIVA_Y_RECREATIVA_EN_EL_DEPARTAMENTO_DE_ANTIOQUIA</v>
      </c>
      <c r="F1050" s="48">
        <f>VLOOKUP(E1050,[2]PROYECTOS!$K$1:$M$32,3,0)</f>
        <v>2020003050027</v>
      </c>
      <c r="G1050" s="49" t="s">
        <v>283</v>
      </c>
      <c r="H1050" s="49" t="str">
        <f>VLOOKUP(Q1050,[2]PROYECTOS!$V$1:$W$32,2,0)</f>
        <v>050058</v>
      </c>
      <c r="I1050" s="50">
        <f>39363692-3595273</f>
        <v>35768419</v>
      </c>
      <c r="J1050" s="51" t="s">
        <v>1847</v>
      </c>
      <c r="K1050" s="47" t="str">
        <f t="shared" ca="1" si="388"/>
        <v>CONTRATADO</v>
      </c>
      <c r="L1050" s="52" t="s">
        <v>94</v>
      </c>
      <c r="M1050" s="51" t="s">
        <v>284</v>
      </c>
      <c r="N1050" s="51" t="s">
        <v>308</v>
      </c>
      <c r="O1050" s="51" t="e">
        <f>VLOOKUP(N1050,[2]!RUBROS[#All],3,0)</f>
        <v>#REF!</v>
      </c>
      <c r="P1050" s="53" t="e">
        <f>VLOOKUP(N1050,[2]!RUBROS[#All],2,0)</f>
        <v>#REF!</v>
      </c>
      <c r="Q1050" s="47" t="str">
        <f t="shared" si="389"/>
        <v>64</v>
      </c>
      <c r="R1050" s="47" t="str">
        <f t="shared" si="390"/>
        <v>0-202029</v>
      </c>
      <c r="S1050" s="54">
        <v>2</v>
      </c>
      <c r="T1050" s="59" t="s">
        <v>46</v>
      </c>
      <c r="U1050" s="326" t="e">
        <f ca="1">_xlfn.XLOOKUP(PAA_4[[#This Row],[ITEM]],[2]Contrato!A:A,[2]Contrato!Q:Q,"",0)</f>
        <v>#NAME?</v>
      </c>
      <c r="V1050" s="47" t="s">
        <v>47</v>
      </c>
      <c r="W1050" s="47" t="s">
        <v>119</v>
      </c>
      <c r="X1050" s="47" t="s">
        <v>242</v>
      </c>
      <c r="Y1050" s="55" t="e">
        <f ca="1">_xlfn.XLOOKUP(PAA_4[[#This Row],[ITEM]],[2]Contrato!A:A,[2]Contrato!B:B,"",0)</f>
        <v>#NAME?</v>
      </c>
      <c r="Z1050" s="47" t="e">
        <f ca="1">_xlfn.XLOOKUP(PAA_4[[#This Row],[ITEM]],[2]Contrato!A:A,[2]Contrato!G:G,"",0)</f>
        <v>#NAME?</v>
      </c>
      <c r="AA1050" s="47" t="e">
        <f ca="1">_xlfn.XLOOKUP(PAA_4[[#This Row],[ITEM]],[2]Contrato!A:A,[2]Contrato!T:T,"",0)</f>
        <v>#NAME?</v>
      </c>
      <c r="AB1050" s="55" t="e">
        <f ca="1">+MAX(PAA_4[[#This Row],[Comprometido Contrato]],PAA_4[[#This Row],[Comprometido Bolsa]])</f>
        <v>#NAME?</v>
      </c>
      <c r="AC1050" s="55" t="str">
        <f t="shared" ca="1" si="391"/>
        <v/>
      </c>
      <c r="AD1050" s="55" t="e">
        <f ca="1">IF(PAA_4[[#This Row],[ESTADO (formulado)]]="NO CONTRATADO",0,MAX(PAA_4[[#This Row],[Pago por Contrato]],PAA_4[[#This Row],[Pago por bolsa]]))</f>
        <v>#NAME?</v>
      </c>
      <c r="AE1050" s="55" t="str">
        <f t="shared" ca="1" si="392"/>
        <v/>
      </c>
      <c r="AF1050" s="47" t="e">
        <f t="shared" ca="1" si="393"/>
        <v>#NAME?</v>
      </c>
      <c r="AG1050" s="47">
        <f t="shared" si="394"/>
        <v>43010901</v>
      </c>
      <c r="AH1050" s="54">
        <f>IF(Q1050="22",IF(ISNUMBER(SEARCH("econ",PAA_4[[#This Row],[Actividad3]])),"Económico",IF(ISNUMBER(SEARCH("alim",PAA_4[[#This Row],[Actividad3]])),"Alimentación",IF(ISNUMBER(SEARCH("educ",PAA_4[[#This Row],[Actividad3]])),"Educativo","Técnico"))),0)</f>
        <v>0</v>
      </c>
      <c r="AI1050" s="47" t="e" cm="1">
        <f t="array" aca="1" ref="AI1050" ca="1">_xlfn.XLOOKUP(PAA_4[[#This Row],[RCP-RUBRO]],[2]!COMPROMISOS_2024[[#All],[concatenado]],[2]!COMPROMISOS_2024[[#All],[Total pagado]],"",0)</f>
        <v>#NAME?</v>
      </c>
      <c r="AJ1050" s="56">
        <f>IF(PAA_4[[#This Row],[BOLSA]]=0,0,SUMIFS([2]!COMPROMISOS_2024[[#All],[Total pagado]],[2]!COMPROMISOS_2024[[#All],[Bolsa]],PAA_4[[#This Row],[BOLSA]],[2]!COMPROMISOS_2024[[#All],[rubro]],PAA_4[[#This Row],[RCP-RUBRO]]))</f>
        <v>0</v>
      </c>
      <c r="AK1050" s="47" t="e" cm="1">
        <f t="array" aca="1" ref="AK1050" ca="1">_xlfn.XLOOKUP(PAA_4[[#This Row],[RCP-RUBRO]],[2]!COMPROMISOS_2024[[#All],[concatenado]],[2]!COMPROMISOS_2024[[#All],[Total Comprometido]],"",0)</f>
        <v>#NAME?</v>
      </c>
      <c r="AL1050" s="47">
        <f>IF(PAA_4[[#This Row],[BOLSA]]=0,0,SUMIFS([2]!COMPROMISOS_2024[[#All],[Total Comprometido]],[2]!COMPROMISOS_2024[[#All],[Bolsa]],PAA_4[[#This Row],[BOLSA]],[2]!COMPROMISOS_2024[[#All],[concatenado]],PAA_4[[#This Row],[RCP-RUBRO]]))</f>
        <v>0</v>
      </c>
    </row>
    <row r="1051" spans="1:38" s="19" customFormat="1" ht="31.5" customHeight="1">
      <c r="A1051" s="47">
        <v>649</v>
      </c>
      <c r="B1051" s="47" t="s">
        <v>42</v>
      </c>
      <c r="C1051" s="47" t="str">
        <f>VLOOKUP(PAA_4[[#This Row],[PROYECTO (formulado)2]],[2]PROYECTOS!$G$1:$L$32,6,0)</f>
        <v>SUBGERENCIA ESCENARIOS DEPORTIVOS Y EQUIPAMIENTOS</v>
      </c>
      <c r="D1051" s="47" t="str">
        <f>+IF(PAA_4[[#This Row],[UNIDAD DE CONTRATACION (formulado)]]="Subgerencia Administrativa y Financiera","FUNCIONAMIENTO","INVERSIÓN")</f>
        <v>INVERSIÓN</v>
      </c>
      <c r="E1051" s="48" t="str">
        <f>VLOOKUP(Q1051,[2]PROYECTOS!$G$1:$K$32,5,0)</f>
        <v>MEJORAMIENTO_DE_LA_INFRAESTRUCTURA_DEPORTIVA_Y_RECREATIVA_EN_EL_DEPARTAMENTO_DE_ANTIOQUIA</v>
      </c>
      <c r="F1051" s="48">
        <f>VLOOKUP(E1051,[2]PROYECTOS!$K$1:$M$32,3,0)</f>
        <v>2020003050027</v>
      </c>
      <c r="G1051" s="49" t="s">
        <v>283</v>
      </c>
      <c r="H1051" s="49" t="str">
        <f>VLOOKUP(Q1051,[2]PROYECTOS!$V$1:$W$32,2,0)</f>
        <v>050058</v>
      </c>
      <c r="I1051" s="50">
        <v>0</v>
      </c>
      <c r="J1051" s="51" t="s">
        <v>42</v>
      </c>
      <c r="K1051" s="47" t="str">
        <f t="shared" ca="1" si="388"/>
        <v>CONTRATADO</v>
      </c>
      <c r="L1051" s="47" t="s">
        <v>42</v>
      </c>
      <c r="M1051" s="47" t="s">
        <v>42</v>
      </c>
      <c r="N1051" s="51" t="s">
        <v>308</v>
      </c>
      <c r="O1051" s="51" t="e">
        <f>VLOOKUP(N1051,[2]!RUBROS[#All],3,0)</f>
        <v>#REF!</v>
      </c>
      <c r="P1051" s="53" t="e">
        <f>VLOOKUP(N1051,[2]!RUBROS[#All],2,0)</f>
        <v>#REF!</v>
      </c>
      <c r="Q1051" s="47" t="str">
        <f t="shared" si="389"/>
        <v>64</v>
      </c>
      <c r="R1051" s="47" t="str">
        <f t="shared" si="390"/>
        <v>0-202029</v>
      </c>
      <c r="S1051" s="54">
        <v>5</v>
      </c>
      <c r="T1051" s="59" t="s">
        <v>46</v>
      </c>
      <c r="U1051" s="326" t="e">
        <f ca="1">_xlfn.XLOOKUP(PAA_4[[#This Row],[ITEM]],[2]Contrato!A:A,[2]Contrato!Q:Q,"",0)</f>
        <v>#NAME?</v>
      </c>
      <c r="V1051" s="47" t="s">
        <v>95</v>
      </c>
      <c r="W1051" s="47" t="s">
        <v>193</v>
      </c>
      <c r="X1051" s="47" t="s">
        <v>193</v>
      </c>
      <c r="Y1051" s="55" t="e">
        <f ca="1">_xlfn.XLOOKUP(PAA_4[[#This Row],[ITEM]],[2]Contrato!A:A,[2]Contrato!B:B,"",0)</f>
        <v>#NAME?</v>
      </c>
      <c r="Z1051" s="47" t="e">
        <f ca="1">_xlfn.XLOOKUP(PAA_4[[#This Row],[ITEM]],[2]Contrato!A:A,[2]Contrato!G:G,"",0)</f>
        <v>#NAME?</v>
      </c>
      <c r="AA1051" s="47" t="e">
        <f ca="1">_xlfn.XLOOKUP(PAA_4[[#This Row],[ITEM]],[2]Contrato!A:A,[2]Contrato!T:T,"",0)</f>
        <v>#NAME?</v>
      </c>
      <c r="AB1051" s="55" t="e">
        <f ca="1">+MAX(PAA_4[[#This Row],[Comprometido Contrato]],PAA_4[[#This Row],[Comprometido Bolsa]])</f>
        <v>#NAME?</v>
      </c>
      <c r="AC1051" s="55" t="str">
        <f t="shared" ca="1" si="391"/>
        <v/>
      </c>
      <c r="AD1051" s="55" t="e">
        <f ca="1">IF(PAA_4[[#This Row],[ESTADO (formulado)]]="NO CONTRATADO",0,MAX(PAA_4[[#This Row],[Pago por Contrato]],PAA_4[[#This Row],[Pago por bolsa]]))</f>
        <v>#NAME?</v>
      </c>
      <c r="AE1051" s="55" t="str">
        <f t="shared" ca="1" si="392"/>
        <v/>
      </c>
      <c r="AF1051" s="47" t="e">
        <f t="shared" ca="1" si="393"/>
        <v>#NAME?</v>
      </c>
      <c r="AG1051" s="47">
        <f t="shared" si="394"/>
        <v>43010901</v>
      </c>
      <c r="AH1051" s="54">
        <f>IF(Q1051="22",IF(ISNUMBER(SEARCH("econ",PAA_4[[#This Row],[Actividad3]])),"Económico",IF(ISNUMBER(SEARCH("alim",PAA_4[[#This Row],[Actividad3]])),"Alimentación",IF(ISNUMBER(SEARCH("educ",PAA_4[[#This Row],[Actividad3]])),"Educativo","Técnico"))),0)</f>
        <v>0</v>
      </c>
      <c r="AI1051" s="47" t="e" cm="1">
        <f t="array" aca="1" ref="AI1051" ca="1">_xlfn.XLOOKUP(PAA_4[[#This Row],[RCP-RUBRO]],[2]!COMPROMISOS_2024[[#All],[concatenado]],[2]!COMPROMISOS_2024[[#All],[Total pagado]],"",0)</f>
        <v>#NAME?</v>
      </c>
      <c r="AJ1051" s="56">
        <f>IF(PAA_4[[#This Row],[BOLSA]]=0,0,SUMIFS([2]!COMPROMISOS_2024[[#All],[Total pagado]],[2]!COMPROMISOS_2024[[#All],[Bolsa]],PAA_4[[#This Row],[BOLSA]],[2]!COMPROMISOS_2024[[#All],[rubro]],PAA_4[[#This Row],[RCP-RUBRO]]))</f>
        <v>0</v>
      </c>
      <c r="AK1051" s="47" t="e" cm="1">
        <f t="array" aca="1" ref="AK1051" ca="1">_xlfn.XLOOKUP(PAA_4[[#This Row],[RCP-RUBRO]],[2]!COMPROMISOS_2024[[#All],[concatenado]],[2]!COMPROMISOS_2024[[#All],[Total Comprometido]],"",0)</f>
        <v>#NAME?</v>
      </c>
      <c r="AL1051" s="47">
        <f>IF(PAA_4[[#This Row],[BOLSA]]=0,0,SUMIFS([2]!COMPROMISOS_2024[[#All],[Total Comprometido]],[2]!COMPROMISOS_2024[[#All],[Bolsa]],PAA_4[[#This Row],[BOLSA]],[2]!COMPROMISOS_2024[[#All],[concatenado]],PAA_4[[#This Row],[RCP-RUBRO]]))</f>
        <v>0</v>
      </c>
    </row>
    <row r="1052" spans="1:38" s="19" customFormat="1" ht="31.5" customHeight="1">
      <c r="A1052" s="47" t="s">
        <v>82</v>
      </c>
      <c r="B1052" s="47">
        <v>72101500</v>
      </c>
      <c r="C1052" s="47" t="str">
        <f>VLOOKUP(PAA_4[[#This Row],[PROYECTO (formulado)2]],[2]PROYECTOS!$G$1:$L$32,6,0)</f>
        <v>SUBGERENCIA ESCENARIOS DEPORTIVOS Y EQUIPAMIENTOS</v>
      </c>
      <c r="D1052" s="47" t="str">
        <f>+IF(PAA_4[[#This Row],[UNIDAD DE CONTRATACION (formulado)]]="Subgerencia Administrativa y Financiera","FUNCIONAMIENTO","INVERSIÓN")</f>
        <v>INVERSIÓN</v>
      </c>
      <c r="E1052" s="48" t="str">
        <f>VLOOKUP(Q1052,[2]PROYECTOS!$G$1:$K$32,5,0)</f>
        <v>MEJORAMIENTO_DE_LA_INFRAESTRUCTURA_DEPORTIVA_Y_RECREATIVA_EN_EL_DEPARTAMENTO_DE_ANTIOQUIA</v>
      </c>
      <c r="F1052" s="48">
        <f>VLOOKUP(E1052,[2]PROYECTOS!$K$1:$M$32,3,0)</f>
        <v>2020003050027</v>
      </c>
      <c r="G1052" s="49" t="s">
        <v>309</v>
      </c>
      <c r="H1052" s="49" t="str">
        <f>VLOOKUP(Q1052,[2]PROYECTOS!$V$1:$W$32,2,0)</f>
        <v>050058</v>
      </c>
      <c r="I1052" s="50">
        <v>0</v>
      </c>
      <c r="J1052" s="51" t="s">
        <v>1848</v>
      </c>
      <c r="K1052" s="47" t="str">
        <f t="shared" ca="1" si="388"/>
        <v>CONTRATADO</v>
      </c>
      <c r="L1052" s="47" t="s">
        <v>94</v>
      </c>
      <c r="M1052" s="47" t="s">
        <v>255</v>
      </c>
      <c r="N1052" s="52" t="s">
        <v>314</v>
      </c>
      <c r="O1052" s="51" t="e">
        <f>VLOOKUP(N1052,[2]!RUBROS[#All],3,0)</f>
        <v>#REF!</v>
      </c>
      <c r="P1052" s="53" t="e">
        <f>VLOOKUP(N1052,[2]!RUBROS[#All],2,0)</f>
        <v>#REF!</v>
      </c>
      <c r="Q1052" s="47" t="str">
        <f t="shared" si="389"/>
        <v>64</v>
      </c>
      <c r="R1052" s="47" t="str">
        <f t="shared" si="390"/>
        <v>0-202029</v>
      </c>
      <c r="S1052" s="54">
        <v>9</v>
      </c>
      <c r="T1052" s="59" t="s">
        <v>46</v>
      </c>
      <c r="U1052" s="326" t="e">
        <f ca="1">_xlfn.XLOOKUP(PAA_4[[#This Row],[ITEM]],[2]Contrato!A:A,[2]Contrato!Q:Q,"",0)</f>
        <v>#NAME?</v>
      </c>
      <c r="V1052" s="47" t="s">
        <v>42</v>
      </c>
      <c r="W1052" s="47" t="s">
        <v>122</v>
      </c>
      <c r="X1052" s="47" t="s">
        <v>122</v>
      </c>
      <c r="Y1052" s="55" t="e">
        <f ca="1">_xlfn.XLOOKUP(PAA_4[[#This Row],[ITEM]],[2]Contrato!A:A,[2]Contrato!B:B,"",0)</f>
        <v>#NAME?</v>
      </c>
      <c r="Z1052" s="47" t="e">
        <f ca="1">_xlfn.XLOOKUP(PAA_4[[#This Row],[ITEM]],[2]Contrato!A:A,[2]Contrato!G:G,"",0)</f>
        <v>#NAME?</v>
      </c>
      <c r="AA1052" s="47" t="e">
        <f ca="1">_xlfn.XLOOKUP(PAA_4[[#This Row],[ITEM]],[2]Contrato!A:A,[2]Contrato!T:T,"",0)</f>
        <v>#NAME?</v>
      </c>
      <c r="AB1052" s="55" t="e">
        <f ca="1">+MAX(PAA_4[[#This Row],[Comprometido Contrato]],PAA_4[[#This Row],[Comprometido Bolsa]])</f>
        <v>#NAME?</v>
      </c>
      <c r="AC1052" s="55" t="str">
        <f t="shared" ca="1" si="391"/>
        <v/>
      </c>
      <c r="AD1052" s="55" t="e">
        <f ca="1">IF(PAA_4[[#This Row],[ESTADO (formulado)]]="NO CONTRATADO",0,MAX(PAA_4[[#This Row],[Pago por Contrato]],PAA_4[[#This Row],[Pago por bolsa]]))</f>
        <v>#NAME?</v>
      </c>
      <c r="AE1052" s="55" t="str">
        <f t="shared" ca="1" si="392"/>
        <v/>
      </c>
      <c r="AF1052" s="47" t="e">
        <f t="shared" ca="1" si="393"/>
        <v>#NAME?</v>
      </c>
      <c r="AG1052" s="47">
        <f t="shared" si="394"/>
        <v>43010901</v>
      </c>
      <c r="AH1052" s="54">
        <f>IF(Q1052="22",IF(ISNUMBER(SEARCH("econ",PAA_4[[#This Row],[Actividad3]])),"Económico",IF(ISNUMBER(SEARCH("alim",PAA_4[[#This Row],[Actividad3]])),"Alimentación",IF(ISNUMBER(SEARCH("educ",PAA_4[[#This Row],[Actividad3]])),"Educativo","Técnico"))),0)</f>
        <v>0</v>
      </c>
      <c r="AI1052" s="47" t="e" cm="1">
        <f t="array" aca="1" ref="AI1052" ca="1">_xlfn.XLOOKUP(PAA_4[[#This Row],[RCP-RUBRO]],[2]!COMPROMISOS_2024[[#All],[concatenado]],[2]!COMPROMISOS_2024[[#All],[Total pagado]],"",0)</f>
        <v>#NAME?</v>
      </c>
      <c r="AJ1052" s="56">
        <f>IF(PAA_4[[#This Row],[BOLSA]]=0,0,SUMIFS([2]!COMPROMISOS_2024[[#All],[Total pagado]],[2]!COMPROMISOS_2024[[#All],[Bolsa]],PAA_4[[#This Row],[BOLSA]],[2]!COMPROMISOS_2024[[#All],[rubro]],PAA_4[[#This Row],[RCP-RUBRO]]))</f>
        <v>0</v>
      </c>
      <c r="AK1052" s="47" t="e" cm="1">
        <f t="array" aca="1" ref="AK1052" ca="1">_xlfn.XLOOKUP(PAA_4[[#This Row],[RCP-RUBRO]],[2]!COMPROMISOS_2024[[#All],[concatenado]],[2]!COMPROMISOS_2024[[#All],[Total Comprometido]],"",0)</f>
        <v>#NAME?</v>
      </c>
      <c r="AL1052" s="47">
        <f>IF(PAA_4[[#This Row],[BOLSA]]=0,0,SUMIFS([2]!COMPROMISOS_2024[[#All],[Total Comprometido]],[2]!COMPROMISOS_2024[[#All],[Bolsa]],PAA_4[[#This Row],[BOLSA]],[2]!COMPROMISOS_2024[[#All],[concatenado]],PAA_4[[#This Row],[RCP-RUBRO]]))</f>
        <v>0</v>
      </c>
    </row>
    <row r="1053" spans="1:38" s="19" customFormat="1" ht="31.5" customHeight="1">
      <c r="A1053" s="47" t="s">
        <v>82</v>
      </c>
      <c r="B1053" s="47">
        <v>81112501</v>
      </c>
      <c r="C1053" s="47" t="str">
        <f>VLOOKUP(PAA_4[[#This Row],[PROYECTO (formulado)2]],[2]PROYECTOS!$G$1:$L$32,6,0)</f>
        <v>SUBGERENCIA ESCENARIOS DEPORTIVOS Y EQUIPAMIENTOS</v>
      </c>
      <c r="D1053" s="47" t="str">
        <f>+IF(PAA_4[[#This Row],[UNIDAD DE CONTRATACION (formulado)]]="Subgerencia Administrativa y Financiera","FUNCIONAMIENTO","INVERSIÓN")</f>
        <v>INVERSIÓN</v>
      </c>
      <c r="E1053" s="48" t="str">
        <f>VLOOKUP(Q1053,[2]PROYECTOS!$G$1:$K$32,5,0)</f>
        <v>MEJORAMIENTO_DE_LA_INFRAESTRUCTURA_DEPORTIVA_Y_RECREATIVA_EN_EL_DEPARTAMENTO_DE_ANTIOQUIA</v>
      </c>
      <c r="F1053" s="48">
        <f>VLOOKUP(E1053,[2]PROYECTOS!$K$1:$M$32,3,0)</f>
        <v>2020003050027</v>
      </c>
      <c r="G1053" s="49" t="s">
        <v>286</v>
      </c>
      <c r="H1053" s="49" t="str">
        <f>VLOOKUP(Q1053,[2]PROYECTOS!$V$1:$W$32,2,0)</f>
        <v>050058</v>
      </c>
      <c r="I1053" s="50">
        <v>0</v>
      </c>
      <c r="J1053" s="51" t="s">
        <v>315</v>
      </c>
      <c r="K1053" s="47" t="str">
        <f t="shared" ca="1" si="388"/>
        <v>CONTRATADO</v>
      </c>
      <c r="L1053" s="51" t="s">
        <v>110</v>
      </c>
      <c r="M1053" s="47" t="s">
        <v>191</v>
      </c>
      <c r="N1053" s="52" t="s">
        <v>287</v>
      </c>
      <c r="O1053" s="51" t="e">
        <f>VLOOKUP(N1053,[2]!RUBROS[#All],3,0)</f>
        <v>#REF!</v>
      </c>
      <c r="P1053" s="53" t="e">
        <f>VLOOKUP(N1053,[2]!RUBROS[#All],2,0)</f>
        <v>#REF!</v>
      </c>
      <c r="Q1053" s="47" t="str">
        <f t="shared" si="389"/>
        <v>64</v>
      </c>
      <c r="R1053" s="47" t="str">
        <f t="shared" si="390"/>
        <v>0-101024</v>
      </c>
      <c r="S1053" s="54">
        <v>1</v>
      </c>
      <c r="T1053" s="59" t="s">
        <v>46</v>
      </c>
      <c r="U1053" s="326" t="e">
        <f ca="1">_xlfn.XLOOKUP(PAA_4[[#This Row],[ITEM]],[2]Contrato!A:A,[2]Contrato!Q:Q,"",0)</f>
        <v>#NAME?</v>
      </c>
      <c r="V1053" s="47" t="s">
        <v>47</v>
      </c>
      <c r="W1053" s="47" t="s">
        <v>91</v>
      </c>
      <c r="X1053" s="47" t="s">
        <v>91</v>
      </c>
      <c r="Y1053" s="55" t="e">
        <f ca="1">_xlfn.XLOOKUP(PAA_4[[#This Row],[ITEM]],[2]Contrato!A:A,[2]Contrato!B:B,"",0)</f>
        <v>#NAME?</v>
      </c>
      <c r="Z1053" s="47" t="e">
        <f ca="1">_xlfn.XLOOKUP(PAA_4[[#This Row],[ITEM]],[2]Contrato!A:A,[2]Contrato!G:G,"",0)</f>
        <v>#NAME?</v>
      </c>
      <c r="AA1053" s="47" t="e">
        <f ca="1">_xlfn.XLOOKUP(PAA_4[[#This Row],[ITEM]],[2]Contrato!A:A,[2]Contrato!T:T,"",0)</f>
        <v>#NAME?</v>
      </c>
      <c r="AB1053" s="55" t="e">
        <f ca="1">+MAX(PAA_4[[#This Row],[Comprometido Contrato]],PAA_4[[#This Row],[Comprometido Bolsa]])</f>
        <v>#NAME?</v>
      </c>
      <c r="AC1053" s="55" t="str">
        <f t="shared" ca="1" si="391"/>
        <v/>
      </c>
      <c r="AD1053" s="55" t="e">
        <f ca="1">IF(PAA_4[[#This Row],[ESTADO (formulado)]]="NO CONTRATADO",0,MAX(PAA_4[[#This Row],[Pago por Contrato]],PAA_4[[#This Row],[Pago por bolsa]]))</f>
        <v>#NAME?</v>
      </c>
      <c r="AE1053" s="55" t="str">
        <f t="shared" ca="1" si="392"/>
        <v/>
      </c>
      <c r="AF1053" s="47" t="e">
        <f t="shared" ca="1" si="393"/>
        <v>#NAME?</v>
      </c>
      <c r="AG1053" s="47">
        <f t="shared" si="394"/>
        <v>43010901</v>
      </c>
      <c r="AH1053" s="54">
        <f>IF(Q1053="22",IF(ISNUMBER(SEARCH("econ",PAA_4[[#This Row],[Actividad3]])),"Económico",IF(ISNUMBER(SEARCH("alim",PAA_4[[#This Row],[Actividad3]])),"Alimentación",IF(ISNUMBER(SEARCH("educ",PAA_4[[#This Row],[Actividad3]])),"Educativo","Técnico"))),0)</f>
        <v>0</v>
      </c>
      <c r="AI1053" s="47" t="e" cm="1">
        <f t="array" aca="1" ref="AI1053" ca="1">_xlfn.XLOOKUP(PAA_4[[#This Row],[RCP-RUBRO]],[2]!COMPROMISOS_2024[[#All],[concatenado]],[2]!COMPROMISOS_2024[[#All],[Total pagado]],"",0)</f>
        <v>#NAME?</v>
      </c>
      <c r="AJ1053" s="56">
        <f>IF(PAA_4[[#This Row],[BOLSA]]=0,0,SUMIFS([2]!COMPROMISOS_2024[[#All],[Total pagado]],[2]!COMPROMISOS_2024[[#All],[Bolsa]],PAA_4[[#This Row],[BOLSA]],[2]!COMPROMISOS_2024[[#All],[rubro]],PAA_4[[#This Row],[RCP-RUBRO]]))</f>
        <v>0</v>
      </c>
      <c r="AK1053" s="47" t="e" cm="1">
        <f t="array" aca="1" ref="AK1053" ca="1">_xlfn.XLOOKUP(PAA_4[[#This Row],[RCP-RUBRO]],[2]!COMPROMISOS_2024[[#All],[concatenado]],[2]!COMPROMISOS_2024[[#All],[Total Comprometido]],"",0)</f>
        <v>#NAME?</v>
      </c>
      <c r="AL1053" s="47">
        <f>IF(PAA_4[[#This Row],[BOLSA]]=0,0,SUMIFS([2]!COMPROMISOS_2024[[#All],[Total Comprometido]],[2]!COMPROMISOS_2024[[#All],[Bolsa]],PAA_4[[#This Row],[BOLSA]],[2]!COMPROMISOS_2024[[#All],[concatenado]],PAA_4[[#This Row],[RCP-RUBRO]]))</f>
        <v>0</v>
      </c>
    </row>
    <row r="1054" spans="1:38" s="19" customFormat="1" ht="31.5" customHeight="1">
      <c r="A1054" s="47" t="s">
        <v>82</v>
      </c>
      <c r="B1054" s="47">
        <v>72101500</v>
      </c>
      <c r="C1054" s="47" t="str">
        <f>VLOOKUP(PAA_4[[#This Row],[PROYECTO (formulado)2]],[2]PROYECTOS!$G$1:$L$32,6,0)</f>
        <v>SUBGERENCIA ESCENARIOS DEPORTIVOS Y EQUIPAMIENTOS</v>
      </c>
      <c r="D1054" s="47" t="str">
        <f>+IF(PAA_4[[#This Row],[UNIDAD DE CONTRATACION (formulado)]]="Subgerencia Administrativa y Financiera","FUNCIONAMIENTO","INVERSIÓN")</f>
        <v>INVERSIÓN</v>
      </c>
      <c r="E1054" s="48" t="str">
        <f>VLOOKUP(Q1054,[2]PROYECTOS!$G$1:$K$32,5,0)</f>
        <v>MEJORAMIENTO_DE_LA_INFRAESTRUCTURA_DEPORTIVA_Y_RECREATIVA_EN_EL_DEPARTAMENTO_DE_ANTIOQUIA</v>
      </c>
      <c r="F1054" s="48">
        <f>VLOOKUP(E1054,[2]PROYECTOS!$K$1:$M$32,3,0)</f>
        <v>2020003050027</v>
      </c>
      <c r="G1054" s="49" t="s">
        <v>309</v>
      </c>
      <c r="H1054" s="49" t="str">
        <f>VLOOKUP(Q1054,[2]PROYECTOS!$V$1:$W$32,2,0)</f>
        <v>050058</v>
      </c>
      <c r="I1054" s="50">
        <v>0</v>
      </c>
      <c r="J1054" s="51" t="s">
        <v>316</v>
      </c>
      <c r="K1054" s="47" t="str">
        <f t="shared" ca="1" si="388"/>
        <v>CONTRATADO</v>
      </c>
      <c r="L1054" s="51" t="s">
        <v>94</v>
      </c>
      <c r="M1054" s="47" t="s">
        <v>89</v>
      </c>
      <c r="N1054" s="52" t="s">
        <v>317</v>
      </c>
      <c r="O1054" s="51" t="e">
        <f>VLOOKUP(N1054,[2]!RUBROS[#All],3,0)</f>
        <v>#REF!</v>
      </c>
      <c r="P1054" s="53" t="e">
        <f>VLOOKUP(N1054,[2]!RUBROS[#All],2,0)</f>
        <v>#REF!</v>
      </c>
      <c r="Q1054" s="47" t="str">
        <f t="shared" si="389"/>
        <v>64</v>
      </c>
      <c r="R1054" s="47" t="str">
        <f t="shared" si="390"/>
        <v>4-202029</v>
      </c>
      <c r="S1054" s="339">
        <v>7</v>
      </c>
      <c r="T1054" s="59" t="s">
        <v>46</v>
      </c>
      <c r="U1054" s="326" t="e">
        <f ca="1">_xlfn.XLOOKUP(PAA_4[[#This Row],[ITEM]],[2]Contrato!A:A,[2]Contrato!Q:Q,"",0)</f>
        <v>#NAME?</v>
      </c>
      <c r="V1054" s="47" t="s">
        <v>47</v>
      </c>
      <c r="W1054" s="47" t="s">
        <v>154</v>
      </c>
      <c r="X1054" s="47" t="s">
        <v>154</v>
      </c>
      <c r="Y1054" s="55" t="e">
        <f ca="1">_xlfn.XLOOKUP(PAA_4[[#This Row],[ITEM]],[2]Contrato!A:A,[2]Contrato!B:B,"",0)</f>
        <v>#NAME?</v>
      </c>
      <c r="Z1054" s="47" t="e">
        <f ca="1">_xlfn.XLOOKUP(PAA_4[[#This Row],[ITEM]],[2]Contrato!A:A,[2]Contrato!G:G,"",0)</f>
        <v>#NAME?</v>
      </c>
      <c r="AA1054" s="47" t="e">
        <f ca="1">_xlfn.XLOOKUP(PAA_4[[#This Row],[ITEM]],[2]Contrato!A:A,[2]Contrato!T:T,"",0)</f>
        <v>#NAME?</v>
      </c>
      <c r="AB1054" s="55" t="e">
        <f ca="1">+MAX(PAA_4[[#This Row],[Comprometido Contrato]],PAA_4[[#This Row],[Comprometido Bolsa]])</f>
        <v>#NAME?</v>
      </c>
      <c r="AC1054" s="55" t="str">
        <f t="shared" ca="1" si="391"/>
        <v/>
      </c>
      <c r="AD1054" s="55" t="e">
        <f ca="1">IF(PAA_4[[#This Row],[ESTADO (formulado)]]="NO CONTRATADO",0,MAX(PAA_4[[#This Row],[Pago por Contrato]],PAA_4[[#This Row],[Pago por bolsa]]))</f>
        <v>#NAME?</v>
      </c>
      <c r="AE1054" s="55" t="str">
        <f t="shared" ca="1" si="392"/>
        <v/>
      </c>
      <c r="AF1054" s="47" t="e">
        <f t="shared" ca="1" si="393"/>
        <v>#NAME?</v>
      </c>
      <c r="AG1054" s="47">
        <f t="shared" si="394"/>
        <v>43010901</v>
      </c>
      <c r="AH1054" s="54">
        <f>IF(Q1054="22",IF(ISNUMBER(SEARCH("econ",PAA_4[[#This Row],[Actividad3]])),"Económico",IF(ISNUMBER(SEARCH("alim",PAA_4[[#This Row],[Actividad3]])),"Alimentación",IF(ISNUMBER(SEARCH("educ",PAA_4[[#This Row],[Actividad3]])),"Educativo","Técnico"))),0)</f>
        <v>0</v>
      </c>
      <c r="AI1054" s="47" t="e" cm="1">
        <f t="array" aca="1" ref="AI1054" ca="1">_xlfn.XLOOKUP(PAA_4[[#This Row],[RCP-RUBRO]],[2]!COMPROMISOS_2024[[#All],[concatenado]],[2]!COMPROMISOS_2024[[#All],[Total pagado]],"",0)</f>
        <v>#NAME?</v>
      </c>
      <c r="AJ1054" s="56">
        <f>IF(PAA_4[[#This Row],[BOLSA]]=0,0,SUMIFS([2]!COMPROMISOS_2024[[#All],[Total pagado]],[2]!COMPROMISOS_2024[[#All],[Bolsa]],PAA_4[[#This Row],[BOLSA]],[2]!COMPROMISOS_2024[[#All],[rubro]],PAA_4[[#This Row],[RCP-RUBRO]]))</f>
        <v>0</v>
      </c>
      <c r="AK1054" s="47" t="e" cm="1">
        <f t="array" aca="1" ref="AK1054" ca="1">_xlfn.XLOOKUP(PAA_4[[#This Row],[RCP-RUBRO]],[2]!COMPROMISOS_2024[[#All],[concatenado]],[2]!COMPROMISOS_2024[[#All],[Total Comprometido]],"",0)</f>
        <v>#NAME?</v>
      </c>
      <c r="AL1054" s="47">
        <f>IF(PAA_4[[#This Row],[BOLSA]]=0,0,SUMIFS([2]!COMPROMISOS_2024[[#All],[Total Comprometido]],[2]!COMPROMISOS_2024[[#All],[Bolsa]],PAA_4[[#This Row],[BOLSA]],[2]!COMPROMISOS_2024[[#All],[concatenado]],PAA_4[[#This Row],[RCP-RUBRO]]))</f>
        <v>0</v>
      </c>
    </row>
    <row r="1055" spans="1:38" s="19" customFormat="1" ht="31.5" customHeight="1">
      <c r="A1055" s="47" t="s">
        <v>82</v>
      </c>
      <c r="B1055" s="47">
        <v>72101500</v>
      </c>
      <c r="C1055" s="47" t="str">
        <f>VLOOKUP(PAA_4[[#This Row],[PROYECTO (formulado)2]],[2]PROYECTOS!$G$1:$L$32,6,0)</f>
        <v>SUBGERENCIA ESCENARIOS DEPORTIVOS Y EQUIPAMIENTOS</v>
      </c>
      <c r="D1055" s="47" t="str">
        <f>+IF(PAA_4[[#This Row],[UNIDAD DE CONTRATACION (formulado)]]="Subgerencia Administrativa y Financiera","FUNCIONAMIENTO","INVERSIÓN")</f>
        <v>INVERSIÓN</v>
      </c>
      <c r="E1055" s="48" t="str">
        <f>VLOOKUP(Q1055,[2]PROYECTOS!$G$1:$K$32,5,0)</f>
        <v>MEJORAMIENTO_DE_LA_INFRAESTRUCTURA_DEPORTIVA_Y_RECREATIVA_EN_EL_DEPARTAMENTO_DE_ANTIOQUIA</v>
      </c>
      <c r="F1055" s="48">
        <f>VLOOKUP(E1055,[2]PROYECTOS!$K$1:$M$32,3,0)</f>
        <v>2020003050027</v>
      </c>
      <c r="G1055" s="49" t="s">
        <v>309</v>
      </c>
      <c r="H1055" s="49" t="str">
        <f>VLOOKUP(Q1055,[2]PROYECTOS!$V$1:$W$32,2,0)</f>
        <v>050058</v>
      </c>
      <c r="I1055" s="50">
        <v>0</v>
      </c>
      <c r="J1055" s="51" t="s">
        <v>1848</v>
      </c>
      <c r="K1055" s="47" t="str">
        <f t="shared" ca="1" si="388"/>
        <v>CONTRATADO</v>
      </c>
      <c r="L1055" s="47" t="s">
        <v>94</v>
      </c>
      <c r="M1055" s="47" t="s">
        <v>255</v>
      </c>
      <c r="N1055" s="52" t="s">
        <v>318</v>
      </c>
      <c r="O1055" s="51" t="e">
        <f>VLOOKUP(N1055,[2]!RUBROS[#All],3,0)</f>
        <v>#REF!</v>
      </c>
      <c r="P1055" s="53" t="e">
        <f>VLOOKUP(N1055,[2]!RUBROS[#All],2,0)</f>
        <v>#REF!</v>
      </c>
      <c r="Q1055" s="47" t="str">
        <f t="shared" si="389"/>
        <v>64</v>
      </c>
      <c r="R1055" s="47" t="str">
        <f t="shared" si="390"/>
        <v>0-205128</v>
      </c>
      <c r="S1055" s="54" t="s">
        <v>42</v>
      </c>
      <c r="T1055" s="59" t="s">
        <v>42</v>
      </c>
      <c r="U1055" s="326" t="e">
        <f ca="1">_xlfn.XLOOKUP(PAA_4[[#This Row],[ITEM]],[2]Contrato!A:A,[2]Contrato!Q:Q,"",0)</f>
        <v>#NAME?</v>
      </c>
      <c r="V1055" s="47" t="s">
        <v>42</v>
      </c>
      <c r="W1055" s="47" t="s">
        <v>42</v>
      </c>
      <c r="X1055" s="47" t="s">
        <v>42</v>
      </c>
      <c r="Y1055" s="55" t="e">
        <f ca="1">_xlfn.XLOOKUP(PAA_4[[#This Row],[ITEM]],[2]Contrato!A:A,[2]Contrato!B:B,"",0)</f>
        <v>#NAME?</v>
      </c>
      <c r="Z1055" s="47" t="e">
        <f ca="1">_xlfn.XLOOKUP(PAA_4[[#This Row],[ITEM]],[2]Contrato!A:A,[2]Contrato!G:G,"",0)</f>
        <v>#NAME?</v>
      </c>
      <c r="AA1055" s="47" t="e">
        <f ca="1">_xlfn.XLOOKUP(PAA_4[[#This Row],[ITEM]],[2]Contrato!A:A,[2]Contrato!T:T,"",0)</f>
        <v>#NAME?</v>
      </c>
      <c r="AB1055" s="55" t="e">
        <f ca="1">+MAX(PAA_4[[#This Row],[Comprometido Contrato]],PAA_4[[#This Row],[Comprometido Bolsa]])</f>
        <v>#NAME?</v>
      </c>
      <c r="AC1055" s="55" t="str">
        <f t="shared" ca="1" si="391"/>
        <v/>
      </c>
      <c r="AD1055" s="55" t="e">
        <f ca="1">IF(PAA_4[[#This Row],[ESTADO (formulado)]]="NO CONTRATADO",0,MAX(PAA_4[[#This Row],[Pago por Contrato]],PAA_4[[#This Row],[Pago por bolsa]]))</f>
        <v>#NAME?</v>
      </c>
      <c r="AE1055" s="55" t="str">
        <f t="shared" ca="1" si="392"/>
        <v/>
      </c>
      <c r="AF1055" s="47" t="e">
        <f t="shared" ca="1" si="393"/>
        <v>#NAME?</v>
      </c>
      <c r="AG1055" s="47">
        <f t="shared" si="394"/>
        <v>43010901</v>
      </c>
      <c r="AH1055" s="54">
        <f>IF(Q1055="22",IF(ISNUMBER(SEARCH("econ",PAA_4[[#This Row],[Actividad3]])),"Económico",IF(ISNUMBER(SEARCH("alim",PAA_4[[#This Row],[Actividad3]])),"Alimentación",IF(ISNUMBER(SEARCH("educ",PAA_4[[#This Row],[Actividad3]])),"Educativo","Técnico"))),0)</f>
        <v>0</v>
      </c>
      <c r="AI1055" s="47" t="e" cm="1">
        <f t="array" aca="1" ref="AI1055" ca="1">_xlfn.XLOOKUP(PAA_4[[#This Row],[RCP-RUBRO]],[2]!COMPROMISOS_2024[[#All],[concatenado]],[2]!COMPROMISOS_2024[[#All],[Total pagado]],"",0)</f>
        <v>#NAME?</v>
      </c>
      <c r="AJ1055" s="56">
        <f>IF(PAA_4[[#This Row],[BOLSA]]=0,0,SUMIFS([2]!COMPROMISOS_2024[[#All],[Total pagado]],[2]!COMPROMISOS_2024[[#All],[Bolsa]],PAA_4[[#This Row],[BOLSA]],[2]!COMPROMISOS_2024[[#All],[rubro]],PAA_4[[#This Row],[RCP-RUBRO]]))</f>
        <v>0</v>
      </c>
      <c r="AK1055" s="47" t="e" cm="1">
        <f t="array" aca="1" ref="AK1055" ca="1">_xlfn.XLOOKUP(PAA_4[[#This Row],[RCP-RUBRO]],[2]!COMPROMISOS_2024[[#All],[concatenado]],[2]!COMPROMISOS_2024[[#All],[Total Comprometido]],"",0)</f>
        <v>#NAME?</v>
      </c>
      <c r="AL1055" s="47">
        <f>IF(PAA_4[[#This Row],[BOLSA]]=0,0,SUMIFS([2]!COMPROMISOS_2024[[#All],[Total Comprometido]],[2]!COMPROMISOS_2024[[#All],[Bolsa]],PAA_4[[#This Row],[BOLSA]],[2]!COMPROMISOS_2024[[#All],[concatenado]],PAA_4[[#This Row],[RCP-RUBRO]]))</f>
        <v>0</v>
      </c>
    </row>
    <row r="1056" spans="1:38" s="19" customFormat="1" ht="31.5" customHeight="1">
      <c r="A1056" s="47" t="s">
        <v>1849</v>
      </c>
      <c r="B1056" s="362" t="s">
        <v>319</v>
      </c>
      <c r="C1056" s="47" t="str">
        <f>VLOOKUP(PAA_4[[#This Row],[PROYECTO (formulado)2]],[2]PROYECTOS!$G$1:$L$32,6,0)</f>
        <v>SUBGERENCIA DE FOMENTO Y DESARROLLO</v>
      </c>
      <c r="D1056" s="47" t="str">
        <f>+IF(PAA_4[[#This Row],[UNIDAD DE CONTRATACION (formulado)]]="Subgerencia Administrativa y Financiera","FUNCIONAMIENTO","INVERSIÓN")</f>
        <v>INVERSIÓN</v>
      </c>
      <c r="E1056" s="48" t="str">
        <f>VLOOKUP(Q1056,[2]PROYECTOS!$G$1:$K$32,5,0)</f>
        <v>FORTALECIMIENTO_DEL_PROGRAMA_POR_SU_SALUD_MUÉVASE_PUES_EN_LOS_MUNICIPIO_DEL_DEPARTAMENTO_DE_ANTIOQUIA</v>
      </c>
      <c r="F1056" s="48">
        <f>VLOOKUP(E1056,[2]PROYECTOS!$K$1:$M$32,3,0)</f>
        <v>2020003050030</v>
      </c>
      <c r="G1056" s="49" t="s">
        <v>320</v>
      </c>
      <c r="H1056" s="49" t="str">
        <f>VLOOKUP(Q1056,[2]PROYECTOS!$V$1:$W$32,2,0)</f>
        <v>050055</v>
      </c>
      <c r="I1056" s="50">
        <v>482814600</v>
      </c>
      <c r="J1056" s="51" t="s">
        <v>321</v>
      </c>
      <c r="K1056" s="47" t="str">
        <f t="shared" ca="1" si="388"/>
        <v>CONTRATADO</v>
      </c>
      <c r="L1056" s="52" t="s">
        <v>264</v>
      </c>
      <c r="M1056" s="52" t="s">
        <v>107</v>
      </c>
      <c r="N1056" s="52" t="s">
        <v>322</v>
      </c>
      <c r="O1056" s="51" t="e">
        <f>VLOOKUP(N1056,[2]!RUBROS[#All],3,0)</f>
        <v>#REF!</v>
      </c>
      <c r="P1056" s="53" t="e">
        <f>VLOOKUP(N1056,[2]!RUBROS[#All],2,0)</f>
        <v>#REF!</v>
      </c>
      <c r="Q1056" s="47" t="str">
        <f t="shared" si="389"/>
        <v>45</v>
      </c>
      <c r="R1056" s="47" t="str">
        <f t="shared" si="390"/>
        <v>0-205128</v>
      </c>
      <c r="S1056" s="54">
        <v>9</v>
      </c>
      <c r="T1056" s="59" t="s">
        <v>46</v>
      </c>
      <c r="U1056" s="326" t="e">
        <f ca="1">_xlfn.XLOOKUP(PAA_4[[#This Row],[ITEM]],[2]Contrato!A:A,[2]Contrato!Q:Q,"",0)</f>
        <v>#NAME?</v>
      </c>
      <c r="V1056" s="47" t="s">
        <v>47</v>
      </c>
      <c r="W1056" s="47" t="s">
        <v>96</v>
      </c>
      <c r="X1056" s="47" t="s">
        <v>96</v>
      </c>
      <c r="Y1056" s="55" t="e">
        <f ca="1">_xlfn.XLOOKUP(PAA_4[[#This Row],[ITEM]],[2]Contrato!A:A,[2]Contrato!B:B,"",0)</f>
        <v>#NAME?</v>
      </c>
      <c r="Z1056" s="47" t="e">
        <f ca="1">_xlfn.XLOOKUP(PAA_4[[#This Row],[ITEM]],[2]Contrato!A:A,[2]Contrato!G:G,"",0)</f>
        <v>#NAME?</v>
      </c>
      <c r="AA1056" s="47" t="e">
        <f ca="1">_xlfn.XLOOKUP(PAA_4[[#This Row],[ITEM]],[2]Contrato!A:A,[2]Contrato!T:T,"",0)</f>
        <v>#NAME?</v>
      </c>
      <c r="AB1056" s="55" t="e">
        <f ca="1">+MAX(PAA_4[[#This Row],[Comprometido Contrato]],PAA_4[[#This Row],[Comprometido Bolsa]])</f>
        <v>#NAME?</v>
      </c>
      <c r="AC1056" s="55" t="str">
        <f t="shared" ca="1" si="391"/>
        <v/>
      </c>
      <c r="AD1056" s="55" t="e">
        <f ca="1">IF(PAA_4[[#This Row],[ESTADO (formulado)]]="NO CONTRATADO",0,MAX(PAA_4[[#This Row],[Pago por Contrato]],PAA_4[[#This Row],[Pago por bolsa]]))</f>
        <v>#NAME?</v>
      </c>
      <c r="AE1056" s="55" t="str">
        <f t="shared" ca="1" si="392"/>
        <v/>
      </c>
      <c r="AF1056" s="47" t="e">
        <f t="shared" ca="1" si="393"/>
        <v>#NAME?</v>
      </c>
      <c r="AG1056" s="47">
        <f t="shared" si="394"/>
        <v>44021002</v>
      </c>
      <c r="AH1056" s="54">
        <f>IF(Q1056="22",IF(ISNUMBER(SEARCH("econ",PAA_4[[#This Row],[Actividad3]])),"Económico",IF(ISNUMBER(SEARCH("alim",PAA_4[[#This Row],[Actividad3]])),"Alimentación",IF(ISNUMBER(SEARCH("educ",PAA_4[[#This Row],[Actividad3]])),"Educativo","Técnico"))),0)</f>
        <v>0</v>
      </c>
      <c r="AI1056" s="47" t="e" cm="1">
        <f t="array" aca="1" ref="AI1056" ca="1">_xlfn.XLOOKUP(PAA_4[[#This Row],[RCP-RUBRO]],[2]!COMPROMISOS_2024[[#All],[concatenado]],[2]!COMPROMISOS_2024[[#All],[Total pagado]],"",0)</f>
        <v>#NAME?</v>
      </c>
      <c r="AJ1056" s="56">
        <f>IF(PAA_4[[#This Row],[BOLSA]]=0,0,SUMIFS([2]!COMPROMISOS_2024[[#All],[Total pagado]],[2]!COMPROMISOS_2024[[#All],[Bolsa]],PAA_4[[#This Row],[BOLSA]],[2]!COMPROMISOS_2024[[#All],[rubro]],PAA_4[[#This Row],[RCP-RUBRO]]))</f>
        <v>0</v>
      </c>
      <c r="AK1056" s="47" t="e" cm="1">
        <f t="array" aca="1" ref="AK1056" ca="1">_xlfn.XLOOKUP(PAA_4[[#This Row],[RCP-RUBRO]],[2]!COMPROMISOS_2024[[#All],[concatenado]],[2]!COMPROMISOS_2024[[#All],[Total Comprometido]],"",0)</f>
        <v>#NAME?</v>
      </c>
      <c r="AL1056" s="47">
        <f>IF(PAA_4[[#This Row],[BOLSA]]=0,0,SUMIFS([2]!COMPROMISOS_2024[[#All],[Total Comprometido]],[2]!COMPROMISOS_2024[[#All],[Bolsa]],PAA_4[[#This Row],[BOLSA]],[2]!COMPROMISOS_2024[[#All],[concatenado]],PAA_4[[#This Row],[RCP-RUBRO]]))</f>
        <v>0</v>
      </c>
    </row>
    <row r="1057" spans="1:38" s="19" customFormat="1" ht="31.5" customHeight="1">
      <c r="A1057" s="47">
        <v>634</v>
      </c>
      <c r="B1057" s="362" t="s">
        <v>319</v>
      </c>
      <c r="C1057" s="47" t="str">
        <f>VLOOKUP(PAA_4[[#This Row],[PROYECTO (formulado)2]],[2]PROYECTOS!$G$1:$L$32,6,0)</f>
        <v>SUBGERENCIA DE FOMENTO Y DESARROLLO</v>
      </c>
      <c r="D1057" s="47" t="str">
        <f>+IF(PAA_4[[#This Row],[UNIDAD DE CONTRATACION (formulado)]]="Subgerencia Administrativa y Financiera","FUNCIONAMIENTO","INVERSIÓN")</f>
        <v>INVERSIÓN</v>
      </c>
      <c r="E1057" s="48" t="str">
        <f>VLOOKUP(Q1057,[2]PROYECTOS!$G$1:$K$32,5,0)</f>
        <v>FORTALECIMIENTO_DEL_PROGRAMA_POR_SU_SALUD_MUÉVASE_PUES_EN_LOS_MUNICIPIO_DEL_DEPARTAMENTO_DE_ANTIOQUIA</v>
      </c>
      <c r="F1057" s="48">
        <f>VLOOKUP(E1057,[2]PROYECTOS!$K$1:$M$32,3,0)</f>
        <v>2020003050030</v>
      </c>
      <c r="G1057" s="49" t="s">
        <v>320</v>
      </c>
      <c r="H1057" s="49" t="str">
        <f>VLOOKUP(Q1057,[2]PROYECTOS!$V$1:$W$32,2,0)</f>
        <v>050055</v>
      </c>
      <c r="I1057" s="50">
        <v>0</v>
      </c>
      <c r="J1057" s="51" t="s">
        <v>321</v>
      </c>
      <c r="K1057" s="47" t="str">
        <f t="shared" ca="1" si="388"/>
        <v>CONTRATADO</v>
      </c>
      <c r="L1057" s="52" t="s">
        <v>264</v>
      </c>
      <c r="M1057" s="52" t="s">
        <v>107</v>
      </c>
      <c r="N1057" s="52" t="s">
        <v>322</v>
      </c>
      <c r="O1057" s="51" t="e">
        <f>VLOOKUP(N1057,[2]!RUBROS[#All],3,0)</f>
        <v>#REF!</v>
      </c>
      <c r="P1057" s="53" t="e">
        <f>VLOOKUP(N1057,[2]!RUBROS[#All],2,0)</f>
        <v>#REF!</v>
      </c>
      <c r="Q1057" s="47" t="str">
        <f t="shared" si="389"/>
        <v>45</v>
      </c>
      <c r="R1057" s="47" t="str">
        <f t="shared" si="390"/>
        <v>0-205128</v>
      </c>
      <c r="S1057" s="54">
        <v>9</v>
      </c>
      <c r="T1057" s="59" t="s">
        <v>46</v>
      </c>
      <c r="U1057" s="326" t="e">
        <f ca="1">_xlfn.XLOOKUP(PAA_4[[#This Row],[ITEM]],[2]Contrato!A:A,[2]Contrato!Q:Q,"",0)</f>
        <v>#NAME?</v>
      </c>
      <c r="V1057" s="47" t="s">
        <v>47</v>
      </c>
      <c r="W1057" s="47" t="s">
        <v>96</v>
      </c>
      <c r="X1057" s="47" t="s">
        <v>96</v>
      </c>
      <c r="Y1057" s="55" t="e">
        <f ca="1">_xlfn.XLOOKUP(PAA_4[[#This Row],[ITEM]],[2]Contrato!A:A,[2]Contrato!B:B,"",0)</f>
        <v>#NAME?</v>
      </c>
      <c r="Z1057" s="47" t="e">
        <f ca="1">_xlfn.XLOOKUP(PAA_4[[#This Row],[ITEM]],[2]Contrato!A:A,[2]Contrato!G:G,"",0)</f>
        <v>#NAME?</v>
      </c>
      <c r="AA1057" s="47" t="e">
        <f ca="1">_xlfn.XLOOKUP(PAA_4[[#This Row],[ITEM]],[2]Contrato!A:A,[2]Contrato!T:T,"",0)</f>
        <v>#NAME?</v>
      </c>
      <c r="AB1057" s="55" t="e">
        <f ca="1">+MAX(PAA_4[[#This Row],[Comprometido Contrato]],PAA_4[[#This Row],[Comprometido Bolsa]])</f>
        <v>#NAME?</v>
      </c>
      <c r="AC1057" s="55" t="str">
        <f t="shared" ca="1" si="391"/>
        <v/>
      </c>
      <c r="AD1057" s="55" t="e">
        <f ca="1">IF(PAA_4[[#This Row],[ESTADO (formulado)]]="NO CONTRATADO",0,MAX(PAA_4[[#This Row],[Pago por Contrato]],PAA_4[[#This Row],[Pago por bolsa]]))</f>
        <v>#NAME?</v>
      </c>
      <c r="AE1057" s="55" t="str">
        <f t="shared" ca="1" si="392"/>
        <v/>
      </c>
      <c r="AF1057" s="47" t="e">
        <f t="shared" ca="1" si="393"/>
        <v>#NAME?</v>
      </c>
      <c r="AG1057" s="47">
        <f t="shared" si="394"/>
        <v>44021002</v>
      </c>
      <c r="AH1057" s="54">
        <f>IF(Q1057="22",IF(ISNUMBER(SEARCH("econ",PAA_4[[#This Row],[Actividad3]])),"Económico",IF(ISNUMBER(SEARCH("alim",PAA_4[[#This Row],[Actividad3]])),"Alimentación",IF(ISNUMBER(SEARCH("educ",PAA_4[[#This Row],[Actividad3]])),"Educativo","Técnico"))),0)</f>
        <v>0</v>
      </c>
      <c r="AI1057" s="47" t="e" cm="1">
        <f t="array" aca="1" ref="AI1057" ca="1">_xlfn.XLOOKUP(PAA_4[[#This Row],[RCP-RUBRO]],[2]!COMPROMISOS_2024[[#All],[concatenado]],[2]!COMPROMISOS_2024[[#All],[Total pagado]],"",0)</f>
        <v>#NAME?</v>
      </c>
      <c r="AJ1057" s="56">
        <f>IF(PAA_4[[#This Row],[BOLSA]]=0,0,SUMIFS([2]!COMPROMISOS_2024[[#All],[Total pagado]],[2]!COMPROMISOS_2024[[#All],[Bolsa]],PAA_4[[#This Row],[BOLSA]],[2]!COMPROMISOS_2024[[#All],[rubro]],PAA_4[[#This Row],[RCP-RUBRO]]))</f>
        <v>0</v>
      </c>
      <c r="AK1057" s="47" t="e" cm="1">
        <f t="array" aca="1" ref="AK1057" ca="1">_xlfn.XLOOKUP(PAA_4[[#This Row],[RCP-RUBRO]],[2]!COMPROMISOS_2024[[#All],[concatenado]],[2]!COMPROMISOS_2024[[#All],[Total Comprometido]],"",0)</f>
        <v>#NAME?</v>
      </c>
      <c r="AL1057" s="47">
        <f>IF(PAA_4[[#This Row],[BOLSA]]=0,0,SUMIFS([2]!COMPROMISOS_2024[[#All],[Total Comprometido]],[2]!COMPROMISOS_2024[[#All],[Bolsa]],PAA_4[[#This Row],[BOLSA]],[2]!COMPROMISOS_2024[[#All],[concatenado]],PAA_4[[#This Row],[RCP-RUBRO]]))</f>
        <v>0</v>
      </c>
    </row>
    <row r="1058" spans="1:38" s="19" customFormat="1" ht="31.5" customHeight="1">
      <c r="A1058" s="47" t="s">
        <v>82</v>
      </c>
      <c r="B1058" s="362" t="s">
        <v>42</v>
      </c>
      <c r="C1058" s="47" t="str">
        <f>VLOOKUP(PAA_4[[#This Row],[PROYECTO (formulado)2]],[2]PROYECTOS!$G$1:$L$32,6,0)</f>
        <v>SUBGERENCIA DE FOMENTO Y DESARROLLO</v>
      </c>
      <c r="D1058" s="47" t="str">
        <f>+IF(PAA_4[[#This Row],[UNIDAD DE CONTRATACION (formulado)]]="Subgerencia Administrativa y Financiera","FUNCIONAMIENTO","INVERSIÓN")</f>
        <v>INVERSIÓN</v>
      </c>
      <c r="E1058" s="48" t="str">
        <f>VLOOKUP(Q1058,[2]PROYECTOS!$G$1:$K$32,5,0)</f>
        <v>FORTALECIMIENTO_DEL_PROGRAMA_POR_SU_SALUD_MUÉVASE_PUES_EN_LOS_MUNICIPIO_DEL_DEPARTAMENTO_DE_ANTIOQUIA</v>
      </c>
      <c r="F1058" s="48">
        <f>VLOOKUP(E1058,[2]PROYECTOS!$K$1:$M$32,3,0)</f>
        <v>2020003050030</v>
      </c>
      <c r="G1058" s="49" t="s">
        <v>320</v>
      </c>
      <c r="H1058" s="49" t="str">
        <f>VLOOKUP(Q1058,[2]PROYECTOS!$V$1:$W$32,2,0)</f>
        <v>050055</v>
      </c>
      <c r="I1058" s="50">
        <v>0</v>
      </c>
      <c r="J1058" s="70" t="s">
        <v>1850</v>
      </c>
      <c r="K1058" s="47" t="str">
        <f t="shared" ca="1" si="388"/>
        <v>CONTRATADO</v>
      </c>
      <c r="L1058" s="52" t="s">
        <v>42</v>
      </c>
      <c r="M1058" s="52" t="s">
        <v>42</v>
      </c>
      <c r="N1058" s="51" t="s">
        <v>322</v>
      </c>
      <c r="O1058" s="51" t="e">
        <f>VLOOKUP(N1058,[2]!RUBROS[#All],3,0)</f>
        <v>#REF!</v>
      </c>
      <c r="P1058" s="53" t="e">
        <f>VLOOKUP(N1058,[2]!RUBROS[#All],2,0)</f>
        <v>#REF!</v>
      </c>
      <c r="Q1058" s="47" t="str">
        <f t="shared" si="389"/>
        <v>45</v>
      </c>
      <c r="R1058" s="47" t="str">
        <f t="shared" si="390"/>
        <v>0-205128</v>
      </c>
      <c r="S1058" s="54" t="s">
        <v>42</v>
      </c>
      <c r="T1058" s="59" t="s">
        <v>42</v>
      </c>
      <c r="U1058" s="326" t="e">
        <f ca="1">_xlfn.XLOOKUP(PAA_4[[#This Row],[ITEM]],[2]Contrato!A:A,[2]Contrato!Q:Q,"",0)</f>
        <v>#NAME?</v>
      </c>
      <c r="V1058" s="47" t="s">
        <v>42</v>
      </c>
      <c r="W1058" s="47" t="s">
        <v>42</v>
      </c>
      <c r="X1058" s="47" t="s">
        <v>42</v>
      </c>
      <c r="Y1058" s="55" t="e">
        <f ca="1">_xlfn.XLOOKUP(PAA_4[[#This Row],[ITEM]],[2]Contrato!A:A,[2]Contrato!B:B,"",0)</f>
        <v>#NAME?</v>
      </c>
      <c r="Z1058" s="47" t="e">
        <f ca="1">_xlfn.XLOOKUP(PAA_4[[#This Row],[ITEM]],[2]Contrato!A:A,[2]Contrato!G:G,"",0)</f>
        <v>#NAME?</v>
      </c>
      <c r="AA1058" s="47" t="e">
        <f ca="1">_xlfn.XLOOKUP(PAA_4[[#This Row],[ITEM]],[2]Contrato!A:A,[2]Contrato!T:T,"",0)</f>
        <v>#NAME?</v>
      </c>
      <c r="AB1058" s="55" t="e">
        <f ca="1">+MAX(PAA_4[[#This Row],[Comprometido Contrato]],PAA_4[[#This Row],[Comprometido Bolsa]])</f>
        <v>#NAME?</v>
      </c>
      <c r="AC1058" s="55" t="str">
        <f t="shared" ca="1" si="391"/>
        <v/>
      </c>
      <c r="AD1058" s="55" t="e">
        <f ca="1">IF(PAA_4[[#This Row],[ESTADO (formulado)]]="NO CONTRATADO",0,MAX(PAA_4[[#This Row],[Pago por Contrato]],PAA_4[[#This Row],[Pago por bolsa]]))</f>
        <v>#NAME?</v>
      </c>
      <c r="AE1058" s="55" t="str">
        <f t="shared" ca="1" si="392"/>
        <v/>
      </c>
      <c r="AF1058" s="47" t="e">
        <f t="shared" ca="1" si="393"/>
        <v>#NAME?</v>
      </c>
      <c r="AG1058" s="47">
        <f t="shared" si="394"/>
        <v>44021002</v>
      </c>
      <c r="AH1058" s="54">
        <f>IF(Q1058="22",IF(ISNUMBER(SEARCH("econ",PAA_4[[#This Row],[Actividad3]])),"Económico",IF(ISNUMBER(SEARCH("alim",PAA_4[[#This Row],[Actividad3]])),"Alimentación",IF(ISNUMBER(SEARCH("educ",PAA_4[[#This Row],[Actividad3]])),"Educativo","Técnico"))),0)</f>
        <v>0</v>
      </c>
      <c r="AI1058" s="47" t="e" cm="1">
        <f t="array" aca="1" ref="AI1058" ca="1">_xlfn.XLOOKUP(PAA_4[[#This Row],[RCP-RUBRO]],[2]!COMPROMISOS_2024[[#All],[concatenado]],[2]!COMPROMISOS_2024[[#All],[Total pagado]],"",0)</f>
        <v>#NAME?</v>
      </c>
      <c r="AJ1058" s="56">
        <f>IF(PAA_4[[#This Row],[BOLSA]]=0,0,SUMIFS([2]!COMPROMISOS_2024[[#All],[Total pagado]],[2]!COMPROMISOS_2024[[#All],[Bolsa]],PAA_4[[#This Row],[BOLSA]],[2]!COMPROMISOS_2024[[#All],[rubro]],PAA_4[[#This Row],[RCP-RUBRO]]))</f>
        <v>0</v>
      </c>
      <c r="AK1058" s="47" t="e" cm="1">
        <f t="array" aca="1" ref="AK1058" ca="1">_xlfn.XLOOKUP(PAA_4[[#This Row],[RCP-RUBRO]],[2]!COMPROMISOS_2024[[#All],[concatenado]],[2]!COMPROMISOS_2024[[#All],[Total Comprometido]],"",0)</f>
        <v>#NAME?</v>
      </c>
      <c r="AL1058" s="47">
        <f>IF(PAA_4[[#This Row],[BOLSA]]=0,0,SUMIFS([2]!COMPROMISOS_2024[[#All],[Total Comprometido]],[2]!COMPROMISOS_2024[[#All],[Bolsa]],PAA_4[[#This Row],[BOLSA]],[2]!COMPROMISOS_2024[[#All],[concatenado]],PAA_4[[#This Row],[RCP-RUBRO]]))</f>
        <v>0</v>
      </c>
    </row>
    <row r="1059" spans="1:38" s="19" customFormat="1" ht="31.5" customHeight="1">
      <c r="A1059" s="47">
        <v>365</v>
      </c>
      <c r="B1059" s="74" t="s">
        <v>323</v>
      </c>
      <c r="C1059" s="47" t="str">
        <f>VLOOKUP(PAA_4[[#This Row],[PROYECTO (formulado)2]],[2]PROYECTOS!$G$1:$L$32,6,0)</f>
        <v>SUBGERENCIA DE FOMENTO Y DESARROLLO</v>
      </c>
      <c r="D1059" s="47" t="str">
        <f>+IF(PAA_4[[#This Row],[UNIDAD DE CONTRATACION (formulado)]]="Subgerencia Administrativa y Financiera","FUNCIONAMIENTO","INVERSIÓN")</f>
        <v>INVERSIÓN</v>
      </c>
      <c r="E1059" s="48" t="str">
        <f>VLOOKUP(Q1059,[2]PROYECTOS!$G$1:$K$32,5,0)</f>
        <v>FORTALECIMIENTO_DEL_PROGRAMA_POR_SU_SALUD_MUÉVASE_PUES_EN_LOS_MUNICIPIO_DEL_DEPARTAMENTO_DE_ANTIOQUIA</v>
      </c>
      <c r="F1059" s="48">
        <f>VLOOKUP(E1059,[2]PROYECTOS!$K$1:$M$32,3,0)</f>
        <v>2020003050030</v>
      </c>
      <c r="G1059" s="49" t="s">
        <v>320</v>
      </c>
      <c r="H1059" s="49" t="str">
        <f>VLOOKUP(Q1059,[2]PROYECTOS!$V$1:$W$32,2,0)</f>
        <v>050055</v>
      </c>
      <c r="I1059" s="50">
        <f>1744590680-422146680</f>
        <v>1322444000</v>
      </c>
      <c r="J1059" s="51" t="s">
        <v>324</v>
      </c>
      <c r="K1059" s="47" t="str">
        <f t="shared" ca="1" si="388"/>
        <v>CONTRATADO</v>
      </c>
      <c r="L1059" s="52" t="s">
        <v>325</v>
      </c>
      <c r="M1059" s="51" t="s">
        <v>107</v>
      </c>
      <c r="N1059" s="51" t="s">
        <v>322</v>
      </c>
      <c r="O1059" s="51" t="e">
        <f>VLOOKUP(N1059,[2]!RUBROS[#All],3,0)</f>
        <v>#REF!</v>
      </c>
      <c r="P1059" s="53" t="e">
        <f>VLOOKUP(N1059,[2]!RUBROS[#All],2,0)</f>
        <v>#REF!</v>
      </c>
      <c r="Q1059" s="47" t="str">
        <f t="shared" si="389"/>
        <v>45</v>
      </c>
      <c r="R1059" s="47" t="str">
        <f t="shared" si="390"/>
        <v>0-205128</v>
      </c>
      <c r="S1059" s="54">
        <v>9</v>
      </c>
      <c r="T1059" s="59" t="s">
        <v>46</v>
      </c>
      <c r="U1059" s="326" t="e">
        <f ca="1">_xlfn.XLOOKUP(PAA_4[[#This Row],[ITEM]],[2]Contrato!A:A,[2]Contrato!Q:Q,"",0)</f>
        <v>#NAME?</v>
      </c>
      <c r="V1059" s="47" t="s">
        <v>47</v>
      </c>
      <c r="W1059" s="47" t="s">
        <v>96</v>
      </c>
      <c r="X1059" s="47" t="s">
        <v>96</v>
      </c>
      <c r="Y1059" s="55" t="e">
        <f ca="1">_xlfn.XLOOKUP(PAA_4[[#This Row],[ITEM]],[2]Contrato!A:A,[2]Contrato!B:B,"",0)</f>
        <v>#NAME?</v>
      </c>
      <c r="Z1059" s="47" t="e">
        <f ca="1">_xlfn.XLOOKUP(PAA_4[[#This Row],[ITEM]],[2]Contrato!A:A,[2]Contrato!G:G,"",0)</f>
        <v>#NAME?</v>
      </c>
      <c r="AA1059" s="47" t="e">
        <f ca="1">_xlfn.XLOOKUP(PAA_4[[#This Row],[ITEM]],[2]Contrato!A:A,[2]Contrato!T:T,"",0)</f>
        <v>#NAME?</v>
      </c>
      <c r="AB1059" s="55" t="e">
        <f ca="1">+MAX(PAA_4[[#This Row],[Comprometido Contrato]],PAA_4[[#This Row],[Comprometido Bolsa]])</f>
        <v>#NAME?</v>
      </c>
      <c r="AC1059" s="55" t="str">
        <f t="shared" ca="1" si="391"/>
        <v/>
      </c>
      <c r="AD1059" s="55" t="e">
        <f ca="1">IF(PAA_4[[#This Row],[ESTADO (formulado)]]="NO CONTRATADO",0,MAX(PAA_4[[#This Row],[Pago por Contrato]],PAA_4[[#This Row],[Pago por bolsa]]))</f>
        <v>#NAME?</v>
      </c>
      <c r="AE1059" s="55" t="str">
        <f t="shared" ca="1" si="392"/>
        <v/>
      </c>
      <c r="AF1059" s="47" t="e">
        <f t="shared" ca="1" si="393"/>
        <v>#NAME?</v>
      </c>
      <c r="AG1059" s="47">
        <f t="shared" si="394"/>
        <v>44021002</v>
      </c>
      <c r="AH1059" s="54">
        <f>IF(Q1059="22",IF(ISNUMBER(SEARCH("econ",PAA_4[[#This Row],[Actividad3]])),"Económico",IF(ISNUMBER(SEARCH("alim",PAA_4[[#This Row],[Actividad3]])),"Alimentación",IF(ISNUMBER(SEARCH("educ",PAA_4[[#This Row],[Actividad3]])),"Educativo","Técnico"))),0)</f>
        <v>0</v>
      </c>
      <c r="AI1059" s="47" t="e" cm="1">
        <f t="array" aca="1" ref="AI1059" ca="1">_xlfn.XLOOKUP(PAA_4[[#This Row],[RCP-RUBRO]],[2]!COMPROMISOS_2024[[#All],[concatenado]],[2]!COMPROMISOS_2024[[#All],[Total pagado]],"",0)</f>
        <v>#NAME?</v>
      </c>
      <c r="AJ1059" s="56">
        <f>IF(PAA_4[[#This Row],[BOLSA]]=0,0,SUMIFS([2]!COMPROMISOS_2024[[#All],[Total pagado]],[2]!COMPROMISOS_2024[[#All],[Bolsa]],PAA_4[[#This Row],[BOLSA]],[2]!COMPROMISOS_2024[[#All],[rubro]],PAA_4[[#This Row],[RCP-RUBRO]]))</f>
        <v>0</v>
      </c>
      <c r="AK1059" s="47" t="e" cm="1">
        <f t="array" aca="1" ref="AK1059" ca="1">_xlfn.XLOOKUP(PAA_4[[#This Row],[RCP-RUBRO]],[2]!COMPROMISOS_2024[[#All],[concatenado]],[2]!COMPROMISOS_2024[[#All],[Total Comprometido]],"",0)</f>
        <v>#NAME?</v>
      </c>
      <c r="AL1059" s="47">
        <f>IF(PAA_4[[#This Row],[BOLSA]]=0,0,SUMIFS([2]!COMPROMISOS_2024[[#All],[Total Comprometido]],[2]!COMPROMISOS_2024[[#All],[Bolsa]],PAA_4[[#This Row],[BOLSA]],[2]!COMPROMISOS_2024[[#All],[concatenado]],PAA_4[[#This Row],[RCP-RUBRO]]))</f>
        <v>0</v>
      </c>
    </row>
    <row r="1060" spans="1:38" s="19" customFormat="1" ht="31.5" customHeight="1">
      <c r="A1060" s="47">
        <v>366</v>
      </c>
      <c r="B1060" s="47">
        <v>78111800</v>
      </c>
      <c r="C1060" s="47" t="str">
        <f>VLOOKUP(PAA_4[[#This Row],[PROYECTO (formulado)2]],[2]PROYECTOS!$G$1:$L$32,6,0)</f>
        <v>SUBGERENCIA DE FOMENTO Y DESARROLLO</v>
      </c>
      <c r="D1060" s="47" t="str">
        <f>+IF(PAA_4[[#This Row],[UNIDAD DE CONTRATACION (formulado)]]="Subgerencia Administrativa y Financiera","FUNCIONAMIENTO","INVERSIÓN")</f>
        <v>INVERSIÓN</v>
      </c>
      <c r="E1060" s="48" t="str">
        <f>VLOOKUP(Q1060,[2]PROYECTOS!$G$1:$K$32,5,0)</f>
        <v>FORTALECIMIENTO_DEL_PROGRAMA_POR_SU_SALUD_MUÉVASE_PUES_EN_LOS_MUNICIPIO_DEL_DEPARTAMENTO_DE_ANTIOQUIA</v>
      </c>
      <c r="F1060" s="48">
        <f>VLOOKUP(E1060,[2]PROYECTOS!$K$1:$M$32,3,0)</f>
        <v>2020003050030</v>
      </c>
      <c r="G1060" s="49" t="s">
        <v>326</v>
      </c>
      <c r="H1060" s="49" t="str">
        <f>VLOOKUP(Q1060,[2]PROYECTOS!$V$1:$W$32,2,0)</f>
        <v>050055</v>
      </c>
      <c r="I1060" s="50">
        <v>0</v>
      </c>
      <c r="J1060" s="51" t="s">
        <v>42</v>
      </c>
      <c r="K1060" s="47" t="str">
        <f t="shared" ca="1" si="388"/>
        <v>CONTRATADO</v>
      </c>
      <c r="L1060" s="47" t="s">
        <v>94</v>
      </c>
      <c r="M1060" s="47" t="s">
        <v>161</v>
      </c>
      <c r="N1060" s="52" t="s">
        <v>327</v>
      </c>
      <c r="O1060" s="51" t="e">
        <f>VLOOKUP(N1060,[2]!RUBROS[#All],3,0)</f>
        <v>#REF!</v>
      </c>
      <c r="P1060" s="53" t="e">
        <f>VLOOKUP(N1060,[2]!RUBROS[#All],2,0)</f>
        <v>#REF!</v>
      </c>
      <c r="Q1060" s="47" t="str">
        <f t="shared" si="389"/>
        <v>45</v>
      </c>
      <c r="R1060" s="47" t="str">
        <f t="shared" si="390"/>
        <v>0-205128</v>
      </c>
      <c r="S1060" s="342">
        <v>175</v>
      </c>
      <c r="T1060" s="59" t="s">
        <v>120</v>
      </c>
      <c r="U1060" s="326" t="e">
        <f ca="1">_xlfn.XLOOKUP(PAA_4[[#This Row],[ITEM]],[2]Contrato!A:A,[2]Contrato!Q:Q,"",0)</f>
        <v>#NAME?</v>
      </c>
      <c r="V1060" s="47" t="s">
        <v>47</v>
      </c>
      <c r="W1060" s="343" t="s">
        <v>154</v>
      </c>
      <c r="X1060" s="343" t="s">
        <v>154</v>
      </c>
      <c r="Y1060" s="55" t="e">
        <f ca="1">_xlfn.XLOOKUP(PAA_4[[#This Row],[ITEM]],[2]Contrato!A:A,[2]Contrato!B:B,"",0)</f>
        <v>#NAME?</v>
      </c>
      <c r="Z1060" s="47" t="e">
        <f ca="1">_xlfn.XLOOKUP(PAA_4[[#This Row],[ITEM]],[2]Contrato!A:A,[2]Contrato!G:G,"",0)</f>
        <v>#NAME?</v>
      </c>
      <c r="AA1060" s="47" t="e">
        <f ca="1">_xlfn.XLOOKUP(PAA_4[[#This Row],[ITEM]],[2]Contrato!A:A,[2]Contrato!T:T,"",0)</f>
        <v>#NAME?</v>
      </c>
      <c r="AB1060" s="55" t="e">
        <f ca="1">+MAX(PAA_4[[#This Row],[Comprometido Contrato]],PAA_4[[#This Row],[Comprometido Bolsa]])</f>
        <v>#NAME?</v>
      </c>
      <c r="AC1060" s="55" t="str">
        <f t="shared" ca="1" si="391"/>
        <v/>
      </c>
      <c r="AD1060" s="55" t="e">
        <f ca="1">IF(PAA_4[[#This Row],[ESTADO (formulado)]]="NO CONTRATADO",0,MAX(PAA_4[[#This Row],[Pago por Contrato]],PAA_4[[#This Row],[Pago por bolsa]]))</f>
        <v>#NAME?</v>
      </c>
      <c r="AE1060" s="55" t="str">
        <f t="shared" ca="1" si="392"/>
        <v/>
      </c>
      <c r="AF1060" s="47" t="e">
        <f t="shared" ca="1" si="393"/>
        <v>#NAME?</v>
      </c>
      <c r="AG1060" s="47">
        <f t="shared" si="394"/>
        <v>44021001</v>
      </c>
      <c r="AH1060" s="54">
        <f>IF(Q1060="22",IF(ISNUMBER(SEARCH("econ",PAA_4[[#This Row],[Actividad3]])),"Económico",IF(ISNUMBER(SEARCH("alim",PAA_4[[#This Row],[Actividad3]])),"Alimentación",IF(ISNUMBER(SEARCH("educ",PAA_4[[#This Row],[Actividad3]])),"Educativo","Técnico"))),0)</f>
        <v>0</v>
      </c>
      <c r="AI1060" s="47" t="e" cm="1">
        <f t="array" aca="1" ref="AI1060" ca="1">_xlfn.XLOOKUP(PAA_4[[#This Row],[RCP-RUBRO]],[2]!COMPROMISOS_2024[[#All],[concatenado]],[2]!COMPROMISOS_2024[[#All],[Total pagado]],"",0)</f>
        <v>#NAME?</v>
      </c>
      <c r="AJ1060" s="56">
        <f>IF(PAA_4[[#This Row],[BOLSA]]=0,0,SUMIFS([2]!COMPROMISOS_2024[[#All],[Total pagado]],[2]!COMPROMISOS_2024[[#All],[Bolsa]],PAA_4[[#This Row],[BOLSA]],[2]!COMPROMISOS_2024[[#All],[rubro]],PAA_4[[#This Row],[RCP-RUBRO]]))</f>
        <v>0</v>
      </c>
      <c r="AK1060" s="47" t="e" cm="1">
        <f t="array" aca="1" ref="AK1060" ca="1">_xlfn.XLOOKUP(PAA_4[[#This Row],[RCP-RUBRO]],[2]!COMPROMISOS_2024[[#All],[concatenado]],[2]!COMPROMISOS_2024[[#All],[Total Comprometido]],"",0)</f>
        <v>#NAME?</v>
      </c>
      <c r="AL1060" s="47">
        <f>IF(PAA_4[[#This Row],[BOLSA]]=0,0,SUMIFS([2]!COMPROMISOS_2024[[#All],[Total Comprometido]],[2]!COMPROMISOS_2024[[#All],[Bolsa]],PAA_4[[#This Row],[BOLSA]],[2]!COMPROMISOS_2024[[#All],[concatenado]],PAA_4[[#This Row],[RCP-RUBRO]]))</f>
        <v>0</v>
      </c>
    </row>
    <row r="1061" spans="1:38" s="19" customFormat="1" ht="31.5" customHeight="1">
      <c r="A1061" s="47">
        <v>378</v>
      </c>
      <c r="B1061" s="47">
        <v>80111600</v>
      </c>
      <c r="C1061" s="47" t="str">
        <f>VLOOKUP(PAA_4[[#This Row],[PROYECTO (formulado)2]],[2]PROYECTOS!$G$1:$L$32,6,0)</f>
        <v>SUBGERENCIA DE FOMENTO Y DESARROLLO</v>
      </c>
      <c r="D1061" s="47" t="str">
        <f>+IF(PAA_4[[#This Row],[UNIDAD DE CONTRATACION (formulado)]]="Subgerencia Administrativa y Financiera","FUNCIONAMIENTO","INVERSIÓN")</f>
        <v>INVERSIÓN</v>
      </c>
      <c r="E1061" s="48" t="str">
        <f>VLOOKUP(Q1061,[2]PROYECTOS!$G$1:$K$32,5,0)</f>
        <v>FORTALECIMIENTO_DEL_PROGRAMA_POR_SU_SALUD_MUÉVASE_PUES_EN_LOS_MUNICIPIO_DEL_DEPARTAMENTO_DE_ANTIOQUIA</v>
      </c>
      <c r="F1061" s="48">
        <f>VLOOKUP(E1061,[2]PROYECTOS!$K$1:$M$32,3,0)</f>
        <v>2020003050030</v>
      </c>
      <c r="G1061" s="49" t="s">
        <v>326</v>
      </c>
      <c r="H1061" s="49" t="str">
        <f>VLOOKUP(Q1061,[2]PROYECTOS!$V$1:$W$32,2,0)</f>
        <v>050055</v>
      </c>
      <c r="I1061" s="50">
        <v>3095589</v>
      </c>
      <c r="J1061" s="51" t="s">
        <v>328</v>
      </c>
      <c r="K1061" s="47" t="str">
        <f t="shared" ca="1" si="388"/>
        <v>CONTRATADO</v>
      </c>
      <c r="L1061" s="47" t="s">
        <v>94</v>
      </c>
      <c r="M1061" s="47" t="s">
        <v>1297</v>
      </c>
      <c r="N1061" s="51" t="s">
        <v>329</v>
      </c>
      <c r="O1061" s="51" t="e">
        <f>VLOOKUP(N1061,[2]!RUBROS[#All],3,0)</f>
        <v>#REF!</v>
      </c>
      <c r="P1061" s="53" t="e">
        <f>VLOOKUP(N1061,[2]!RUBROS[#All],2,0)</f>
        <v>#REF!</v>
      </c>
      <c r="Q1061" s="47" t="str">
        <f t="shared" si="389"/>
        <v>45</v>
      </c>
      <c r="R1061" s="47" t="str">
        <f t="shared" si="390"/>
        <v>0-205128</v>
      </c>
      <c r="S1061" s="54">
        <v>12</v>
      </c>
      <c r="T1061" s="59" t="s">
        <v>46</v>
      </c>
      <c r="U1061" s="326" t="e">
        <f ca="1">_xlfn.XLOOKUP(PAA_4[[#This Row],[ITEM]],[2]Contrato!A:A,[2]Contrato!Q:Q,"",0)</f>
        <v>#NAME?</v>
      </c>
      <c r="V1061" s="47" t="s">
        <v>47</v>
      </c>
      <c r="W1061" s="47" t="s">
        <v>83</v>
      </c>
      <c r="X1061" s="47" t="s">
        <v>83</v>
      </c>
      <c r="Y1061" s="55" t="e">
        <f ca="1">_xlfn.XLOOKUP(PAA_4[[#This Row],[ITEM]],[2]Contrato!A:A,[2]Contrato!B:B,"",0)</f>
        <v>#NAME?</v>
      </c>
      <c r="Z1061" s="47" t="e">
        <f ca="1">_xlfn.XLOOKUP(PAA_4[[#This Row],[ITEM]],[2]Contrato!A:A,[2]Contrato!G:G,"",0)</f>
        <v>#NAME?</v>
      </c>
      <c r="AA1061" s="47" t="e">
        <f ca="1">_xlfn.XLOOKUP(PAA_4[[#This Row],[ITEM]],[2]Contrato!A:A,[2]Contrato!T:T,"",0)</f>
        <v>#NAME?</v>
      </c>
      <c r="AB1061" s="55" t="e">
        <f ca="1">+MAX(PAA_4[[#This Row],[Comprometido Contrato]],PAA_4[[#This Row],[Comprometido Bolsa]])</f>
        <v>#NAME?</v>
      </c>
      <c r="AC1061" s="55" t="str">
        <f t="shared" ca="1" si="391"/>
        <v/>
      </c>
      <c r="AD1061" s="55" t="e">
        <f ca="1">IF(PAA_4[[#This Row],[ESTADO (formulado)]]="NO CONTRATADO",0,MAX(PAA_4[[#This Row],[Pago por Contrato]],PAA_4[[#This Row],[Pago por bolsa]]))</f>
        <v>#NAME?</v>
      </c>
      <c r="AE1061" s="55" t="str">
        <f t="shared" ca="1" si="392"/>
        <v/>
      </c>
      <c r="AF1061" s="47" t="e">
        <f t="shared" ca="1" si="393"/>
        <v>#NAME?</v>
      </c>
      <c r="AG1061" s="47">
        <f t="shared" si="394"/>
        <v>44021001</v>
      </c>
      <c r="AH1061" s="54">
        <f>IF(Q1061="22",IF(ISNUMBER(SEARCH("econ",PAA_4[[#This Row],[Actividad3]])),"Económico",IF(ISNUMBER(SEARCH("alim",PAA_4[[#This Row],[Actividad3]])),"Alimentación",IF(ISNUMBER(SEARCH("educ",PAA_4[[#This Row],[Actividad3]])),"Educativo","Técnico"))),0)</f>
        <v>0</v>
      </c>
      <c r="AI1061" s="47" t="e" cm="1">
        <f t="array" aca="1" ref="AI1061" ca="1">_xlfn.XLOOKUP(PAA_4[[#This Row],[RCP-RUBRO]],[2]!COMPROMISOS_2024[[#All],[concatenado]],[2]!COMPROMISOS_2024[[#All],[Total pagado]],"",0)</f>
        <v>#NAME?</v>
      </c>
      <c r="AJ1061" s="56">
        <f>IF(PAA_4[[#This Row],[BOLSA]]=0,0,SUMIFS([2]!COMPROMISOS_2024[[#All],[Total pagado]],[2]!COMPROMISOS_2024[[#All],[Bolsa]],PAA_4[[#This Row],[BOLSA]],[2]!COMPROMISOS_2024[[#All],[rubro]],PAA_4[[#This Row],[RCP-RUBRO]]))</f>
        <v>0</v>
      </c>
      <c r="AK1061" s="47" t="e" cm="1">
        <f t="array" aca="1" ref="AK1061" ca="1">_xlfn.XLOOKUP(PAA_4[[#This Row],[RCP-RUBRO]],[2]!COMPROMISOS_2024[[#All],[concatenado]],[2]!COMPROMISOS_2024[[#All],[Total Comprometido]],"",0)</f>
        <v>#NAME?</v>
      </c>
      <c r="AL1061" s="47">
        <f>IF(PAA_4[[#This Row],[BOLSA]]=0,0,SUMIFS([2]!COMPROMISOS_2024[[#All],[Total Comprometido]],[2]!COMPROMISOS_2024[[#All],[Bolsa]],PAA_4[[#This Row],[BOLSA]],[2]!COMPROMISOS_2024[[#All],[concatenado]],PAA_4[[#This Row],[RCP-RUBRO]]))</f>
        <v>0</v>
      </c>
    </row>
    <row r="1062" spans="1:38" s="19" customFormat="1" ht="31.5" customHeight="1">
      <c r="A1062" s="47">
        <v>379</v>
      </c>
      <c r="B1062" s="47">
        <v>80111600</v>
      </c>
      <c r="C1062" s="47" t="str">
        <f>VLOOKUP(PAA_4[[#This Row],[PROYECTO (formulado)2]],[2]PROYECTOS!$G$1:$L$32,6,0)</f>
        <v>SUBGERENCIA DE FOMENTO Y DESARROLLO</v>
      </c>
      <c r="D1062" s="47" t="str">
        <f>+IF(PAA_4[[#This Row],[UNIDAD DE CONTRATACION (formulado)]]="Subgerencia Administrativa y Financiera","FUNCIONAMIENTO","INVERSIÓN")</f>
        <v>INVERSIÓN</v>
      </c>
      <c r="E1062" s="48" t="str">
        <f>VLOOKUP(Q1062,[2]PROYECTOS!$G$1:$K$32,5,0)</f>
        <v>FORTALECIMIENTO_DEL_PROGRAMA_POR_SU_SALUD_MUÉVASE_PUES_EN_LOS_MUNICIPIO_DEL_DEPARTAMENTO_DE_ANTIOQUIA</v>
      </c>
      <c r="F1062" s="48">
        <f>VLOOKUP(E1062,[2]PROYECTOS!$K$1:$M$32,3,0)</f>
        <v>2020003050030</v>
      </c>
      <c r="G1062" s="49" t="s">
        <v>326</v>
      </c>
      <c r="H1062" s="49" t="str">
        <f>VLOOKUP(Q1062,[2]PROYECTOS!$V$1:$W$32,2,0)</f>
        <v>050055</v>
      </c>
      <c r="I1062" s="50">
        <v>3467685</v>
      </c>
      <c r="J1062" s="51" t="s">
        <v>330</v>
      </c>
      <c r="K1062" s="47" t="str">
        <f t="shared" ca="1" si="388"/>
        <v>CONTRATADO</v>
      </c>
      <c r="L1062" s="47" t="s">
        <v>94</v>
      </c>
      <c r="M1062" s="47" t="s">
        <v>1297</v>
      </c>
      <c r="N1062" s="51" t="s">
        <v>329</v>
      </c>
      <c r="O1062" s="51" t="e">
        <f>VLOOKUP(N1062,[2]!RUBROS[#All],3,0)</f>
        <v>#REF!</v>
      </c>
      <c r="P1062" s="53" t="e">
        <f>VLOOKUP(N1062,[2]!RUBROS[#All],2,0)</f>
        <v>#REF!</v>
      </c>
      <c r="Q1062" s="47" t="str">
        <f t="shared" si="389"/>
        <v>45</v>
      </c>
      <c r="R1062" s="47" t="str">
        <f t="shared" si="390"/>
        <v>0-205128</v>
      </c>
      <c r="S1062" s="54">
        <v>3</v>
      </c>
      <c r="T1062" s="59" t="s">
        <v>46</v>
      </c>
      <c r="U1062" s="326" t="e">
        <f ca="1">_xlfn.XLOOKUP(PAA_4[[#This Row],[ITEM]],[2]Contrato!A:A,[2]Contrato!Q:Q,"",0)</f>
        <v>#NAME?</v>
      </c>
      <c r="V1062" s="47" t="s">
        <v>47</v>
      </c>
      <c r="W1062" s="47" t="s">
        <v>83</v>
      </c>
      <c r="X1062" s="47" t="s">
        <v>83</v>
      </c>
      <c r="Y1062" s="55" t="e">
        <f ca="1">_xlfn.XLOOKUP(PAA_4[[#This Row],[ITEM]],[2]Contrato!A:A,[2]Contrato!B:B,"",0)</f>
        <v>#NAME?</v>
      </c>
      <c r="Z1062" s="47" t="e">
        <f ca="1">_xlfn.XLOOKUP(PAA_4[[#This Row],[ITEM]],[2]Contrato!A:A,[2]Contrato!G:G,"",0)</f>
        <v>#NAME?</v>
      </c>
      <c r="AA1062" s="47" t="e">
        <f ca="1">_xlfn.XLOOKUP(PAA_4[[#This Row],[ITEM]],[2]Contrato!A:A,[2]Contrato!T:T,"",0)</f>
        <v>#NAME?</v>
      </c>
      <c r="AB1062" s="55" t="e">
        <f ca="1">+MAX(PAA_4[[#This Row],[Comprometido Contrato]],PAA_4[[#This Row],[Comprometido Bolsa]])</f>
        <v>#NAME?</v>
      </c>
      <c r="AC1062" s="55" t="str">
        <f t="shared" ca="1" si="391"/>
        <v/>
      </c>
      <c r="AD1062" s="55" t="e">
        <f ca="1">IF(PAA_4[[#This Row],[ESTADO (formulado)]]="NO CONTRATADO",0,MAX(PAA_4[[#This Row],[Pago por Contrato]],PAA_4[[#This Row],[Pago por bolsa]]))</f>
        <v>#NAME?</v>
      </c>
      <c r="AE1062" s="55" t="str">
        <f t="shared" ca="1" si="392"/>
        <v/>
      </c>
      <c r="AF1062" s="47" t="e">
        <f t="shared" ca="1" si="393"/>
        <v>#NAME?</v>
      </c>
      <c r="AG1062" s="47">
        <f t="shared" si="394"/>
        <v>44021001</v>
      </c>
      <c r="AH1062" s="54">
        <f>IF(Q1062="22",IF(ISNUMBER(SEARCH("econ",PAA_4[[#This Row],[Actividad3]])),"Económico",IF(ISNUMBER(SEARCH("alim",PAA_4[[#This Row],[Actividad3]])),"Alimentación",IF(ISNUMBER(SEARCH("educ",PAA_4[[#This Row],[Actividad3]])),"Educativo","Técnico"))),0)</f>
        <v>0</v>
      </c>
      <c r="AI1062" s="47" t="e" cm="1">
        <f t="array" aca="1" ref="AI1062" ca="1">_xlfn.XLOOKUP(PAA_4[[#This Row],[RCP-RUBRO]],[2]!COMPROMISOS_2024[[#All],[concatenado]],[2]!COMPROMISOS_2024[[#All],[Total pagado]],"",0)</f>
        <v>#NAME?</v>
      </c>
      <c r="AJ1062" s="56">
        <f>IF(PAA_4[[#This Row],[BOLSA]]=0,0,SUMIFS([2]!COMPROMISOS_2024[[#All],[Total pagado]],[2]!COMPROMISOS_2024[[#All],[Bolsa]],PAA_4[[#This Row],[BOLSA]],[2]!COMPROMISOS_2024[[#All],[rubro]],PAA_4[[#This Row],[RCP-RUBRO]]))</f>
        <v>0</v>
      </c>
      <c r="AK1062" s="47" t="e" cm="1">
        <f t="array" aca="1" ref="AK1062" ca="1">_xlfn.XLOOKUP(PAA_4[[#This Row],[RCP-RUBRO]],[2]!COMPROMISOS_2024[[#All],[concatenado]],[2]!COMPROMISOS_2024[[#All],[Total Comprometido]],"",0)</f>
        <v>#NAME?</v>
      </c>
      <c r="AL1062" s="47">
        <f>IF(PAA_4[[#This Row],[BOLSA]]=0,0,SUMIFS([2]!COMPROMISOS_2024[[#All],[Total Comprometido]],[2]!COMPROMISOS_2024[[#All],[Bolsa]],PAA_4[[#This Row],[BOLSA]],[2]!COMPROMISOS_2024[[#All],[concatenado]],PAA_4[[#This Row],[RCP-RUBRO]]))</f>
        <v>0</v>
      </c>
    </row>
    <row r="1063" spans="1:38" s="19" customFormat="1" ht="31.5" customHeight="1">
      <c r="A1063" s="47">
        <v>380</v>
      </c>
      <c r="B1063" s="47">
        <v>80111600</v>
      </c>
      <c r="C1063" s="47" t="str">
        <f>VLOOKUP(PAA_4[[#This Row],[PROYECTO (formulado)2]],[2]PROYECTOS!$G$1:$L$32,6,0)</f>
        <v>SUBGERENCIA DE FOMENTO Y DESARROLLO</v>
      </c>
      <c r="D1063" s="47" t="str">
        <f>+IF(PAA_4[[#This Row],[UNIDAD DE CONTRATACION (formulado)]]="Subgerencia Administrativa y Financiera","FUNCIONAMIENTO","INVERSIÓN")</f>
        <v>INVERSIÓN</v>
      </c>
      <c r="E1063" s="48" t="str">
        <f>VLOOKUP(Q1063,[2]PROYECTOS!$G$1:$K$32,5,0)</f>
        <v>FORTALECIMIENTO_DEL_PROGRAMA_POR_SU_SALUD_MUÉVASE_PUES_EN_LOS_MUNICIPIO_DEL_DEPARTAMENTO_DE_ANTIOQUIA</v>
      </c>
      <c r="F1063" s="48">
        <f>VLOOKUP(E1063,[2]PROYECTOS!$K$1:$M$32,3,0)</f>
        <v>2020003050030</v>
      </c>
      <c r="G1063" s="49" t="s">
        <v>326</v>
      </c>
      <c r="H1063" s="49" t="str">
        <f>VLOOKUP(Q1063,[2]PROYECTOS!$V$1:$W$32,2,0)</f>
        <v>050055</v>
      </c>
      <c r="I1063" s="50">
        <v>3467685</v>
      </c>
      <c r="J1063" s="70" t="s">
        <v>331</v>
      </c>
      <c r="K1063" s="47" t="str">
        <f t="shared" ca="1" si="388"/>
        <v>CONTRATADO</v>
      </c>
      <c r="L1063" s="47" t="s">
        <v>94</v>
      </c>
      <c r="M1063" s="47" t="s">
        <v>1297</v>
      </c>
      <c r="N1063" s="51" t="s">
        <v>329</v>
      </c>
      <c r="O1063" s="51" t="e">
        <f>VLOOKUP(N1063,[2]!RUBROS[#All],3,0)</f>
        <v>#REF!</v>
      </c>
      <c r="P1063" s="53" t="e">
        <f>VLOOKUP(N1063,[2]!RUBROS[#All],2,0)</f>
        <v>#REF!</v>
      </c>
      <c r="Q1063" s="47" t="str">
        <f t="shared" si="389"/>
        <v>45</v>
      </c>
      <c r="R1063" s="47" t="str">
        <f t="shared" si="390"/>
        <v>0-205128</v>
      </c>
      <c r="S1063" s="54">
        <v>3</v>
      </c>
      <c r="T1063" s="59" t="s">
        <v>46</v>
      </c>
      <c r="U1063" s="326" t="e">
        <f ca="1">_xlfn.XLOOKUP(PAA_4[[#This Row],[ITEM]],[2]Contrato!A:A,[2]Contrato!Q:Q,"",0)</f>
        <v>#NAME?</v>
      </c>
      <c r="V1063" s="47" t="s">
        <v>47</v>
      </c>
      <c r="W1063" s="47" t="s">
        <v>83</v>
      </c>
      <c r="X1063" s="47" t="s">
        <v>83</v>
      </c>
      <c r="Y1063" s="55" t="e">
        <f ca="1">_xlfn.XLOOKUP(PAA_4[[#This Row],[ITEM]],[2]Contrato!A:A,[2]Contrato!B:B,"",0)</f>
        <v>#NAME?</v>
      </c>
      <c r="Z1063" s="47" t="e">
        <f ca="1">_xlfn.XLOOKUP(PAA_4[[#This Row],[ITEM]],[2]Contrato!A:A,[2]Contrato!G:G,"",0)</f>
        <v>#NAME?</v>
      </c>
      <c r="AA1063" s="47" t="e">
        <f ca="1">_xlfn.XLOOKUP(PAA_4[[#This Row],[ITEM]],[2]Contrato!A:A,[2]Contrato!T:T,"",0)</f>
        <v>#NAME?</v>
      </c>
      <c r="AB1063" s="55" t="e">
        <f ca="1">+MAX(PAA_4[[#This Row],[Comprometido Contrato]],PAA_4[[#This Row],[Comprometido Bolsa]])</f>
        <v>#NAME?</v>
      </c>
      <c r="AC1063" s="55" t="str">
        <f t="shared" ca="1" si="391"/>
        <v/>
      </c>
      <c r="AD1063" s="55" t="e">
        <f ca="1">IF(PAA_4[[#This Row],[ESTADO (formulado)]]="NO CONTRATADO",0,MAX(PAA_4[[#This Row],[Pago por Contrato]],PAA_4[[#This Row],[Pago por bolsa]]))</f>
        <v>#NAME?</v>
      </c>
      <c r="AE1063" s="55" t="str">
        <f t="shared" ca="1" si="392"/>
        <v/>
      </c>
      <c r="AF1063" s="47" t="e">
        <f t="shared" ca="1" si="393"/>
        <v>#NAME?</v>
      </c>
      <c r="AG1063" s="47">
        <f t="shared" si="394"/>
        <v>44021001</v>
      </c>
      <c r="AH1063" s="54">
        <f>IF(Q1063="22",IF(ISNUMBER(SEARCH("econ",PAA_4[[#This Row],[Actividad3]])),"Económico",IF(ISNUMBER(SEARCH("alim",PAA_4[[#This Row],[Actividad3]])),"Alimentación",IF(ISNUMBER(SEARCH("educ",PAA_4[[#This Row],[Actividad3]])),"Educativo","Técnico"))),0)</f>
        <v>0</v>
      </c>
      <c r="AI1063" s="47" t="e" cm="1">
        <f t="array" aca="1" ref="AI1063" ca="1">_xlfn.XLOOKUP(PAA_4[[#This Row],[RCP-RUBRO]],[2]!COMPROMISOS_2024[[#All],[concatenado]],[2]!COMPROMISOS_2024[[#All],[Total pagado]],"",0)</f>
        <v>#NAME?</v>
      </c>
      <c r="AJ1063" s="56">
        <f>IF(PAA_4[[#This Row],[BOLSA]]=0,0,SUMIFS([2]!COMPROMISOS_2024[[#All],[Total pagado]],[2]!COMPROMISOS_2024[[#All],[Bolsa]],PAA_4[[#This Row],[BOLSA]],[2]!COMPROMISOS_2024[[#All],[rubro]],PAA_4[[#This Row],[RCP-RUBRO]]))</f>
        <v>0</v>
      </c>
      <c r="AK1063" s="47" t="e" cm="1">
        <f t="array" aca="1" ref="AK1063" ca="1">_xlfn.XLOOKUP(PAA_4[[#This Row],[RCP-RUBRO]],[2]!COMPROMISOS_2024[[#All],[concatenado]],[2]!COMPROMISOS_2024[[#All],[Total Comprometido]],"",0)</f>
        <v>#NAME?</v>
      </c>
      <c r="AL1063" s="47">
        <f>IF(PAA_4[[#This Row],[BOLSA]]=0,0,SUMIFS([2]!COMPROMISOS_2024[[#All],[Total Comprometido]],[2]!COMPROMISOS_2024[[#All],[Bolsa]],PAA_4[[#This Row],[BOLSA]],[2]!COMPROMISOS_2024[[#All],[concatenado]],PAA_4[[#This Row],[RCP-RUBRO]]))</f>
        <v>0</v>
      </c>
    </row>
    <row r="1064" spans="1:38" s="19" customFormat="1" ht="31.5" customHeight="1">
      <c r="A1064" s="47">
        <v>381</v>
      </c>
      <c r="B1064" s="47">
        <v>80111600</v>
      </c>
      <c r="C1064" s="47" t="str">
        <f>VLOOKUP(PAA_4[[#This Row],[PROYECTO (formulado)2]],[2]PROYECTOS!$G$1:$L$32,6,0)</f>
        <v>SUBGERENCIA DE FOMENTO Y DESARROLLO</v>
      </c>
      <c r="D1064" s="47" t="str">
        <f>+IF(PAA_4[[#This Row],[UNIDAD DE CONTRATACION (formulado)]]="Subgerencia Administrativa y Financiera","FUNCIONAMIENTO","INVERSIÓN")</f>
        <v>INVERSIÓN</v>
      </c>
      <c r="E1064" s="48" t="str">
        <f>VLOOKUP(Q1064,[2]PROYECTOS!$G$1:$K$32,5,0)</f>
        <v>FORTALECIMIENTO_DEL_PROGRAMA_POR_SU_SALUD_MUÉVASE_PUES_EN_LOS_MUNICIPIO_DEL_DEPARTAMENTO_DE_ANTIOQUIA</v>
      </c>
      <c r="F1064" s="48">
        <f>VLOOKUP(E1064,[2]PROYECTOS!$K$1:$M$32,3,0)</f>
        <v>2020003050030</v>
      </c>
      <c r="G1064" s="49" t="s">
        <v>326</v>
      </c>
      <c r="H1064" s="49" t="str">
        <f>VLOOKUP(Q1064,[2]PROYECTOS!$V$1:$W$32,2,0)</f>
        <v>050055</v>
      </c>
      <c r="I1064" s="50">
        <v>3095589</v>
      </c>
      <c r="J1064" s="51" t="s">
        <v>328</v>
      </c>
      <c r="K1064" s="47" t="str">
        <f t="shared" ca="1" si="388"/>
        <v>CONTRATADO</v>
      </c>
      <c r="L1064" s="47" t="s">
        <v>94</v>
      </c>
      <c r="M1064" s="47" t="s">
        <v>1297</v>
      </c>
      <c r="N1064" s="51" t="s">
        <v>329</v>
      </c>
      <c r="O1064" s="51" t="e">
        <f>VLOOKUP(N1064,[2]!RUBROS[#All],3,0)</f>
        <v>#REF!</v>
      </c>
      <c r="P1064" s="53" t="e">
        <f>VLOOKUP(N1064,[2]!RUBROS[#All],2,0)</f>
        <v>#REF!</v>
      </c>
      <c r="Q1064" s="47" t="str">
        <f t="shared" si="389"/>
        <v>45</v>
      </c>
      <c r="R1064" s="47" t="str">
        <f t="shared" si="390"/>
        <v>0-205128</v>
      </c>
      <c r="S1064" s="54">
        <v>12</v>
      </c>
      <c r="T1064" s="59" t="s">
        <v>46</v>
      </c>
      <c r="U1064" s="326" t="e">
        <f ca="1">_xlfn.XLOOKUP(PAA_4[[#This Row],[ITEM]],[2]Contrato!A:A,[2]Contrato!Q:Q,"",0)</f>
        <v>#NAME?</v>
      </c>
      <c r="V1064" s="47" t="s">
        <v>47</v>
      </c>
      <c r="W1064" s="47" t="s">
        <v>83</v>
      </c>
      <c r="X1064" s="47" t="s">
        <v>83</v>
      </c>
      <c r="Y1064" s="55" t="e">
        <f ca="1">_xlfn.XLOOKUP(PAA_4[[#This Row],[ITEM]],[2]Contrato!A:A,[2]Contrato!B:B,"",0)</f>
        <v>#NAME?</v>
      </c>
      <c r="Z1064" s="47" t="e">
        <f ca="1">_xlfn.XLOOKUP(PAA_4[[#This Row],[ITEM]],[2]Contrato!A:A,[2]Contrato!G:G,"",0)</f>
        <v>#NAME?</v>
      </c>
      <c r="AA1064" s="47" t="e">
        <f ca="1">_xlfn.XLOOKUP(PAA_4[[#This Row],[ITEM]],[2]Contrato!A:A,[2]Contrato!T:T,"",0)</f>
        <v>#NAME?</v>
      </c>
      <c r="AB1064" s="55" t="e">
        <f ca="1">+MAX(PAA_4[[#This Row],[Comprometido Contrato]],PAA_4[[#This Row],[Comprometido Bolsa]])</f>
        <v>#NAME?</v>
      </c>
      <c r="AC1064" s="55" t="str">
        <f t="shared" ca="1" si="391"/>
        <v/>
      </c>
      <c r="AD1064" s="55" t="e">
        <f ca="1">IF(PAA_4[[#This Row],[ESTADO (formulado)]]="NO CONTRATADO",0,MAX(PAA_4[[#This Row],[Pago por Contrato]],PAA_4[[#This Row],[Pago por bolsa]]))</f>
        <v>#NAME?</v>
      </c>
      <c r="AE1064" s="55" t="str">
        <f t="shared" ca="1" si="392"/>
        <v/>
      </c>
      <c r="AF1064" s="47" t="e">
        <f t="shared" ca="1" si="393"/>
        <v>#NAME?</v>
      </c>
      <c r="AG1064" s="47">
        <f t="shared" si="394"/>
        <v>44021001</v>
      </c>
      <c r="AH1064" s="54">
        <f>IF(Q1064="22",IF(ISNUMBER(SEARCH("econ",PAA_4[[#This Row],[Actividad3]])),"Económico",IF(ISNUMBER(SEARCH("alim",PAA_4[[#This Row],[Actividad3]])),"Alimentación",IF(ISNUMBER(SEARCH("educ",PAA_4[[#This Row],[Actividad3]])),"Educativo","Técnico"))),0)</f>
        <v>0</v>
      </c>
      <c r="AI1064" s="47" t="e" cm="1">
        <f t="array" aca="1" ref="AI1064" ca="1">_xlfn.XLOOKUP(PAA_4[[#This Row],[RCP-RUBRO]],[2]!COMPROMISOS_2024[[#All],[concatenado]],[2]!COMPROMISOS_2024[[#All],[Total pagado]],"",0)</f>
        <v>#NAME?</v>
      </c>
      <c r="AJ1064" s="56">
        <f>IF(PAA_4[[#This Row],[BOLSA]]=0,0,SUMIFS([2]!COMPROMISOS_2024[[#All],[Total pagado]],[2]!COMPROMISOS_2024[[#All],[Bolsa]],PAA_4[[#This Row],[BOLSA]],[2]!COMPROMISOS_2024[[#All],[rubro]],PAA_4[[#This Row],[RCP-RUBRO]]))</f>
        <v>0</v>
      </c>
      <c r="AK1064" s="47" t="e" cm="1">
        <f t="array" aca="1" ref="AK1064" ca="1">_xlfn.XLOOKUP(PAA_4[[#This Row],[RCP-RUBRO]],[2]!COMPROMISOS_2024[[#All],[concatenado]],[2]!COMPROMISOS_2024[[#All],[Total Comprometido]],"",0)</f>
        <v>#NAME?</v>
      </c>
      <c r="AL1064" s="47">
        <f>IF(PAA_4[[#This Row],[BOLSA]]=0,0,SUMIFS([2]!COMPROMISOS_2024[[#All],[Total Comprometido]],[2]!COMPROMISOS_2024[[#All],[Bolsa]],PAA_4[[#This Row],[BOLSA]],[2]!COMPROMISOS_2024[[#All],[concatenado]],PAA_4[[#This Row],[RCP-RUBRO]]))</f>
        <v>0</v>
      </c>
    </row>
    <row r="1065" spans="1:38" s="19" customFormat="1" ht="31.5" customHeight="1">
      <c r="A1065" s="47" t="s">
        <v>82</v>
      </c>
      <c r="B1065" s="47" t="s">
        <v>42</v>
      </c>
      <c r="C1065" s="47" t="str">
        <f>VLOOKUP(PAA_4[[#This Row],[PROYECTO (formulado)2]],[2]PROYECTOS!$G$1:$L$32,6,0)</f>
        <v>SUBGERENCIA DE FOMENTO Y DESARROLLO</v>
      </c>
      <c r="D1065" s="47" t="str">
        <f>+IF(PAA_4[[#This Row],[UNIDAD DE CONTRATACION (formulado)]]="Subgerencia Administrativa y Financiera","FUNCIONAMIENTO","INVERSIÓN")</f>
        <v>INVERSIÓN</v>
      </c>
      <c r="E1065" s="48" t="str">
        <f>VLOOKUP(Q1065,[2]PROYECTOS!$G$1:$K$32,5,0)</f>
        <v>FORTALECIMIENTO_DEL_PROGRAMA_POR_SU_SALUD_MUÉVASE_PUES_EN_LOS_MUNICIPIO_DEL_DEPARTAMENTO_DE_ANTIOQUIA</v>
      </c>
      <c r="F1065" s="48">
        <f>VLOOKUP(E1065,[2]PROYECTOS!$K$1:$M$32,3,0)</f>
        <v>2020003050030</v>
      </c>
      <c r="G1065" s="49" t="s">
        <v>326</v>
      </c>
      <c r="H1065" s="49" t="str">
        <f>VLOOKUP(Q1065,[2]PROYECTOS!$V$1:$W$32,2,0)</f>
        <v>050055</v>
      </c>
      <c r="I1065" s="50">
        <v>1502494</v>
      </c>
      <c r="J1065" s="51" t="s">
        <v>1851</v>
      </c>
      <c r="K1065" s="47" t="str">
        <f t="shared" ca="1" si="388"/>
        <v>CONTRATADO</v>
      </c>
      <c r="L1065" s="47" t="s">
        <v>42</v>
      </c>
      <c r="M1065" s="47" t="s">
        <v>42</v>
      </c>
      <c r="N1065" s="51" t="s">
        <v>329</v>
      </c>
      <c r="O1065" s="51" t="e">
        <f>VLOOKUP(N1065,[2]!RUBROS[#All],3,0)</f>
        <v>#REF!</v>
      </c>
      <c r="P1065" s="53" t="e">
        <f>VLOOKUP(N1065,[2]!RUBROS[#All],2,0)</f>
        <v>#REF!</v>
      </c>
      <c r="Q1065" s="47" t="str">
        <f t="shared" si="389"/>
        <v>45</v>
      </c>
      <c r="R1065" s="47" t="str">
        <f t="shared" si="390"/>
        <v>0-205128</v>
      </c>
      <c r="S1065" s="54" t="s">
        <v>42</v>
      </c>
      <c r="T1065" s="59" t="s">
        <v>42</v>
      </c>
      <c r="U1065" s="326" t="e">
        <f ca="1">_xlfn.XLOOKUP(PAA_4[[#This Row],[ITEM]],[2]Contrato!A:A,[2]Contrato!Q:Q,"",0)</f>
        <v>#NAME?</v>
      </c>
      <c r="V1065" s="47" t="s">
        <v>47</v>
      </c>
      <c r="W1065" s="47" t="s">
        <v>42</v>
      </c>
      <c r="X1065" s="47" t="s">
        <v>42</v>
      </c>
      <c r="Y1065" s="55" t="e">
        <f ca="1">_xlfn.XLOOKUP(PAA_4[[#This Row],[ITEM]],[2]Contrato!A:A,[2]Contrato!B:B,"",0)</f>
        <v>#NAME?</v>
      </c>
      <c r="Z1065" s="47" t="e">
        <f ca="1">_xlfn.XLOOKUP(PAA_4[[#This Row],[ITEM]],[2]Contrato!A:A,[2]Contrato!G:G,"",0)</f>
        <v>#NAME?</v>
      </c>
      <c r="AA1065" s="47" t="e">
        <f ca="1">_xlfn.XLOOKUP(PAA_4[[#This Row],[ITEM]],[2]Contrato!A:A,[2]Contrato!T:T,"",0)</f>
        <v>#NAME?</v>
      </c>
      <c r="AB1065" s="55" t="e">
        <f ca="1">+MAX(PAA_4[[#This Row],[Comprometido Contrato]],PAA_4[[#This Row],[Comprometido Bolsa]])</f>
        <v>#NAME?</v>
      </c>
      <c r="AC1065" s="55" t="str">
        <f t="shared" ca="1" si="391"/>
        <v/>
      </c>
      <c r="AD1065" s="55" t="e">
        <f ca="1">IF(PAA_4[[#This Row],[ESTADO (formulado)]]="NO CONTRATADO",0,MAX(PAA_4[[#This Row],[Pago por Contrato]],PAA_4[[#This Row],[Pago por bolsa]]))</f>
        <v>#NAME?</v>
      </c>
      <c r="AE1065" s="55" t="str">
        <f t="shared" ca="1" si="392"/>
        <v/>
      </c>
      <c r="AF1065" s="47" t="e">
        <f t="shared" ca="1" si="393"/>
        <v>#NAME?</v>
      </c>
      <c r="AG1065" s="47">
        <f t="shared" si="394"/>
        <v>44021001</v>
      </c>
      <c r="AH1065" s="54">
        <f>IF(Q1065="22",IF(ISNUMBER(SEARCH("econ",PAA_4[[#This Row],[Actividad3]])),"Económico",IF(ISNUMBER(SEARCH("alim",PAA_4[[#This Row],[Actividad3]])),"Alimentación",IF(ISNUMBER(SEARCH("educ",PAA_4[[#This Row],[Actividad3]])),"Educativo","Técnico"))),0)</f>
        <v>0</v>
      </c>
      <c r="AI1065" s="47" t="e" cm="1">
        <f t="array" aca="1" ref="AI1065" ca="1">_xlfn.XLOOKUP(PAA_4[[#This Row],[RCP-RUBRO]],[2]!COMPROMISOS_2024[[#All],[concatenado]],[2]!COMPROMISOS_2024[[#All],[Total pagado]],"",0)</f>
        <v>#NAME?</v>
      </c>
      <c r="AJ1065" s="56">
        <f>IF(PAA_4[[#This Row],[BOLSA]]=0,0,SUMIFS([2]!COMPROMISOS_2024[[#All],[Total pagado]],[2]!COMPROMISOS_2024[[#All],[Bolsa]],PAA_4[[#This Row],[BOLSA]],[2]!COMPROMISOS_2024[[#All],[rubro]],PAA_4[[#This Row],[RCP-RUBRO]]))</f>
        <v>0</v>
      </c>
      <c r="AK1065" s="47" t="e" cm="1">
        <f t="array" aca="1" ref="AK1065" ca="1">_xlfn.XLOOKUP(PAA_4[[#This Row],[RCP-RUBRO]],[2]!COMPROMISOS_2024[[#All],[concatenado]],[2]!COMPROMISOS_2024[[#All],[Total Comprometido]],"",0)</f>
        <v>#NAME?</v>
      </c>
      <c r="AL1065" s="47">
        <f>IF(PAA_4[[#This Row],[BOLSA]]=0,0,SUMIFS([2]!COMPROMISOS_2024[[#All],[Total Comprometido]],[2]!COMPROMISOS_2024[[#All],[Bolsa]],PAA_4[[#This Row],[BOLSA]],[2]!COMPROMISOS_2024[[#All],[concatenado]],PAA_4[[#This Row],[RCP-RUBRO]]))</f>
        <v>0</v>
      </c>
    </row>
    <row r="1066" spans="1:38" s="19" customFormat="1" ht="31.5" customHeight="1">
      <c r="A1066" s="47" t="s">
        <v>82</v>
      </c>
      <c r="B1066" s="47" t="s">
        <v>42</v>
      </c>
      <c r="C1066" s="47" t="str">
        <f>VLOOKUP(PAA_4[[#This Row],[PROYECTO (formulado)2]],[2]PROYECTOS!$G$1:$L$32,6,0)</f>
        <v>SUBGERENCIA DE FOMENTO Y DESARROLLO</v>
      </c>
      <c r="D1066" s="47" t="str">
        <f>+IF(PAA_4[[#This Row],[UNIDAD DE CONTRATACION (formulado)]]="Subgerencia Administrativa y Financiera","FUNCIONAMIENTO","INVERSIÓN")</f>
        <v>INVERSIÓN</v>
      </c>
      <c r="E1066" s="48" t="str">
        <f>VLOOKUP(Q1066,[2]PROYECTOS!$G$1:$K$32,5,0)</f>
        <v>FORTALECIMIENTO_DE_LAS_ESCUELAS_DEPORTIVAS_EN_LOS_MUNICIPIOS_DEL_DEPARTAMENTO_DE_ANTIOQUIA</v>
      </c>
      <c r="F1066" s="48">
        <f>VLOOKUP(E1066,[2]PROYECTOS!$K$1:$M$32,3,0)</f>
        <v>2020003050032</v>
      </c>
      <c r="G1066" s="49" t="s">
        <v>333</v>
      </c>
      <c r="H1066" s="49" t="str">
        <f>VLOOKUP(Q1066,[2]PROYECTOS!$V$1:$W$32,2,0)</f>
        <v>050059</v>
      </c>
      <c r="I1066" s="50">
        <v>1468861</v>
      </c>
      <c r="J1066" s="51" t="s">
        <v>1851</v>
      </c>
      <c r="K1066" s="47" t="str">
        <f t="shared" ca="1" si="388"/>
        <v>CONTRATADO</v>
      </c>
      <c r="L1066" s="47" t="s">
        <v>42</v>
      </c>
      <c r="M1066" s="47" t="s">
        <v>42</v>
      </c>
      <c r="N1066" s="51" t="s">
        <v>334</v>
      </c>
      <c r="O1066" s="51" t="e">
        <f>VLOOKUP(N1066,[2]!RUBROS[#All],3,0)</f>
        <v>#REF!</v>
      </c>
      <c r="P1066" s="53" t="e">
        <f>VLOOKUP(N1066,[2]!RUBROS[#All],2,0)</f>
        <v>#REF!</v>
      </c>
      <c r="Q1066" s="47" t="str">
        <f t="shared" si="389"/>
        <v>46</v>
      </c>
      <c r="R1066" s="47" t="str">
        <f t="shared" si="390"/>
        <v>0-205128</v>
      </c>
      <c r="S1066" s="54" t="s">
        <v>42</v>
      </c>
      <c r="T1066" s="59" t="s">
        <v>42</v>
      </c>
      <c r="U1066" s="326" t="e">
        <f ca="1">_xlfn.XLOOKUP(PAA_4[[#This Row],[ITEM]],[2]Contrato!A:A,[2]Contrato!Q:Q,"",0)</f>
        <v>#NAME?</v>
      </c>
      <c r="V1066" s="47" t="s">
        <v>47</v>
      </c>
      <c r="W1066" s="47" t="s">
        <v>42</v>
      </c>
      <c r="X1066" s="47" t="s">
        <v>42</v>
      </c>
      <c r="Y1066" s="55" t="e">
        <f ca="1">_xlfn.XLOOKUP(PAA_4[[#This Row],[ITEM]],[2]Contrato!A:A,[2]Contrato!B:B,"",0)</f>
        <v>#NAME?</v>
      </c>
      <c r="Z1066" s="47" t="e">
        <f ca="1">_xlfn.XLOOKUP(PAA_4[[#This Row],[ITEM]],[2]Contrato!A:A,[2]Contrato!G:G,"",0)</f>
        <v>#NAME?</v>
      </c>
      <c r="AA1066" s="47" t="e">
        <f ca="1">_xlfn.XLOOKUP(PAA_4[[#This Row],[ITEM]],[2]Contrato!A:A,[2]Contrato!T:T,"",0)</f>
        <v>#NAME?</v>
      </c>
      <c r="AB1066" s="55" t="e">
        <f ca="1">+MAX(PAA_4[[#This Row],[Comprometido Contrato]],PAA_4[[#This Row],[Comprometido Bolsa]])</f>
        <v>#NAME?</v>
      </c>
      <c r="AC1066" s="55" t="str">
        <f t="shared" ca="1" si="391"/>
        <v/>
      </c>
      <c r="AD1066" s="55" t="e">
        <f ca="1">IF(PAA_4[[#This Row],[ESTADO (formulado)]]="NO CONTRATADO",0,MAX(PAA_4[[#This Row],[Pago por Contrato]],PAA_4[[#This Row],[Pago por bolsa]]))</f>
        <v>#NAME?</v>
      </c>
      <c r="AE1066" s="55" t="str">
        <f t="shared" ca="1" si="392"/>
        <v/>
      </c>
      <c r="AF1066" s="47" t="e">
        <f t="shared" ca="1" si="393"/>
        <v>#NAME?</v>
      </c>
      <c r="AG1066" s="47">
        <f t="shared" si="394"/>
        <v>44021007</v>
      </c>
      <c r="AH1066" s="54">
        <f>IF(Q1066="22",IF(ISNUMBER(SEARCH("econ",PAA_4[[#This Row],[Actividad3]])),"Económico",IF(ISNUMBER(SEARCH("alim",PAA_4[[#This Row],[Actividad3]])),"Alimentación",IF(ISNUMBER(SEARCH("educ",PAA_4[[#This Row],[Actividad3]])),"Educativo","Técnico"))),0)</f>
        <v>0</v>
      </c>
      <c r="AI1066" s="47" t="e" cm="1">
        <f t="array" aca="1" ref="AI1066" ca="1">_xlfn.XLOOKUP(PAA_4[[#This Row],[RCP-RUBRO]],[2]!COMPROMISOS_2024[[#All],[concatenado]],[2]!COMPROMISOS_2024[[#All],[Total pagado]],"",0)</f>
        <v>#NAME?</v>
      </c>
      <c r="AJ1066" s="56">
        <f>IF(PAA_4[[#This Row],[BOLSA]]=0,0,SUMIFS([2]!COMPROMISOS_2024[[#All],[Total pagado]],[2]!COMPROMISOS_2024[[#All],[Bolsa]],PAA_4[[#This Row],[BOLSA]],[2]!COMPROMISOS_2024[[#All],[rubro]],PAA_4[[#This Row],[RCP-RUBRO]]))</f>
        <v>0</v>
      </c>
      <c r="AK1066" s="47" t="e" cm="1">
        <f t="array" aca="1" ref="AK1066" ca="1">_xlfn.XLOOKUP(PAA_4[[#This Row],[RCP-RUBRO]],[2]!COMPROMISOS_2024[[#All],[concatenado]],[2]!COMPROMISOS_2024[[#All],[Total Comprometido]],"",0)</f>
        <v>#NAME?</v>
      </c>
      <c r="AL1066" s="47">
        <f>IF(PAA_4[[#This Row],[BOLSA]]=0,0,SUMIFS([2]!COMPROMISOS_2024[[#All],[Total Comprometido]],[2]!COMPROMISOS_2024[[#All],[Bolsa]],PAA_4[[#This Row],[BOLSA]],[2]!COMPROMISOS_2024[[#All],[concatenado]],PAA_4[[#This Row],[RCP-RUBRO]]))</f>
        <v>0</v>
      </c>
    </row>
    <row r="1067" spans="1:38" s="19" customFormat="1" ht="31.5" customHeight="1">
      <c r="A1067" s="47" t="s">
        <v>82</v>
      </c>
      <c r="B1067" s="47" t="s">
        <v>42</v>
      </c>
      <c r="C1067" s="47" t="str">
        <f>VLOOKUP(PAA_4[[#This Row],[PROYECTO (formulado)2]],[2]PROYECTOS!$G$1:$L$32,6,0)</f>
        <v>SUBGERENCIA DE FOMENTO Y DESARROLLO</v>
      </c>
      <c r="D1067" s="47" t="str">
        <f>+IF(PAA_4[[#This Row],[UNIDAD DE CONTRATACION (formulado)]]="Subgerencia Administrativa y Financiera","FUNCIONAMIENTO","INVERSIÓN")</f>
        <v>INVERSIÓN</v>
      </c>
      <c r="E1067" s="48" t="str">
        <f>VLOOKUP(Q1067,[2]PROYECTOS!$G$1:$K$32,5,0)</f>
        <v>FORTALECIMIENTO_DE_LOS_PROGRAMAS_RECREATIVOS_EN_LOS_MUNICIPIOS_DEL_DEPARTAMENTO_DE_ANTIOQUIA</v>
      </c>
      <c r="F1067" s="48">
        <f>VLOOKUP(E1067,[2]PROYECTOS!$K$1:$M$32,3,0)</f>
        <v>2020003050031</v>
      </c>
      <c r="G1067" s="49" t="s">
        <v>335</v>
      </c>
      <c r="H1067" s="49" t="str">
        <f>VLOOKUP(Q1067,[2]PROYECTOS!$V$1:$W$32,2,0)</f>
        <v>050064</v>
      </c>
      <c r="I1067" s="50">
        <v>1461969</v>
      </c>
      <c r="J1067" s="51" t="s">
        <v>1851</v>
      </c>
      <c r="K1067" s="47" t="str">
        <f t="shared" ca="1" si="388"/>
        <v>CONTRATADO</v>
      </c>
      <c r="L1067" s="47" t="s">
        <v>42</v>
      </c>
      <c r="M1067" s="47" t="s">
        <v>42</v>
      </c>
      <c r="N1067" s="51" t="s">
        <v>336</v>
      </c>
      <c r="O1067" s="51" t="e">
        <f>VLOOKUP(N1067,[2]!RUBROS[#All],3,0)</f>
        <v>#REF!</v>
      </c>
      <c r="P1067" s="53" t="e">
        <f>VLOOKUP(N1067,[2]!RUBROS[#All],2,0)</f>
        <v>#REF!</v>
      </c>
      <c r="Q1067" s="47" t="str">
        <f t="shared" si="389"/>
        <v>47</v>
      </c>
      <c r="R1067" s="47" t="str">
        <f t="shared" si="390"/>
        <v>0-205128</v>
      </c>
      <c r="S1067" s="54" t="s">
        <v>42</v>
      </c>
      <c r="T1067" s="59" t="s">
        <v>42</v>
      </c>
      <c r="U1067" s="326" t="e">
        <f ca="1">_xlfn.XLOOKUP(PAA_4[[#This Row],[ITEM]],[2]Contrato!A:A,[2]Contrato!Q:Q,"",0)</f>
        <v>#NAME?</v>
      </c>
      <c r="V1067" s="47" t="s">
        <v>47</v>
      </c>
      <c r="W1067" s="47" t="s">
        <v>42</v>
      </c>
      <c r="X1067" s="47" t="s">
        <v>42</v>
      </c>
      <c r="Y1067" s="55" t="e">
        <f ca="1">_xlfn.XLOOKUP(PAA_4[[#This Row],[ITEM]],[2]Contrato!A:A,[2]Contrato!B:B,"",0)</f>
        <v>#NAME?</v>
      </c>
      <c r="Z1067" s="47" t="e">
        <f ca="1">_xlfn.XLOOKUP(PAA_4[[#This Row],[ITEM]],[2]Contrato!A:A,[2]Contrato!G:G,"",0)</f>
        <v>#NAME?</v>
      </c>
      <c r="AA1067" s="47" t="e">
        <f ca="1">_xlfn.XLOOKUP(PAA_4[[#This Row],[ITEM]],[2]Contrato!A:A,[2]Contrato!T:T,"",0)</f>
        <v>#NAME?</v>
      </c>
      <c r="AB1067" s="55" t="e">
        <f ca="1">+MAX(PAA_4[[#This Row],[Comprometido Contrato]],PAA_4[[#This Row],[Comprometido Bolsa]])</f>
        <v>#NAME?</v>
      </c>
      <c r="AC1067" s="55" t="str">
        <f t="shared" ca="1" si="391"/>
        <v/>
      </c>
      <c r="AD1067" s="55" t="e">
        <f ca="1">IF(PAA_4[[#This Row],[ESTADO (formulado)]]="NO CONTRATADO",0,MAX(PAA_4[[#This Row],[Pago por Contrato]],PAA_4[[#This Row],[Pago por bolsa]]))</f>
        <v>#NAME?</v>
      </c>
      <c r="AE1067" s="55" t="str">
        <f t="shared" ca="1" si="392"/>
        <v/>
      </c>
      <c r="AF1067" s="47" t="e">
        <f t="shared" ca="1" si="393"/>
        <v>#NAME?</v>
      </c>
      <c r="AG1067" s="47">
        <f t="shared" si="394"/>
        <v>44021004</v>
      </c>
      <c r="AH1067" s="54">
        <f>IF(Q1067="22",IF(ISNUMBER(SEARCH("econ",PAA_4[[#This Row],[Actividad3]])),"Económico",IF(ISNUMBER(SEARCH("alim",PAA_4[[#This Row],[Actividad3]])),"Alimentación",IF(ISNUMBER(SEARCH("educ",PAA_4[[#This Row],[Actividad3]])),"Educativo","Técnico"))),0)</f>
        <v>0</v>
      </c>
      <c r="AI1067" s="47" t="e" cm="1">
        <f t="array" aca="1" ref="AI1067" ca="1">_xlfn.XLOOKUP(PAA_4[[#This Row],[RCP-RUBRO]],[2]!COMPROMISOS_2024[[#All],[concatenado]],[2]!COMPROMISOS_2024[[#All],[Total pagado]],"",0)</f>
        <v>#NAME?</v>
      </c>
      <c r="AJ1067" s="56">
        <f>IF(PAA_4[[#This Row],[BOLSA]]=0,0,SUMIFS([2]!COMPROMISOS_2024[[#All],[Total pagado]],[2]!COMPROMISOS_2024[[#All],[Bolsa]],PAA_4[[#This Row],[BOLSA]],[2]!COMPROMISOS_2024[[#All],[rubro]],PAA_4[[#This Row],[RCP-RUBRO]]))</f>
        <v>0</v>
      </c>
      <c r="AK1067" s="47" t="e" cm="1">
        <f t="array" aca="1" ref="AK1067" ca="1">_xlfn.XLOOKUP(PAA_4[[#This Row],[RCP-RUBRO]],[2]!COMPROMISOS_2024[[#All],[concatenado]],[2]!COMPROMISOS_2024[[#All],[Total Comprometido]],"",0)</f>
        <v>#NAME?</v>
      </c>
      <c r="AL1067" s="47">
        <f>IF(PAA_4[[#This Row],[BOLSA]]=0,0,SUMIFS([2]!COMPROMISOS_2024[[#All],[Total Comprometido]],[2]!COMPROMISOS_2024[[#All],[Bolsa]],PAA_4[[#This Row],[BOLSA]],[2]!COMPROMISOS_2024[[#All],[concatenado]],PAA_4[[#This Row],[RCP-RUBRO]]))</f>
        <v>0</v>
      </c>
    </row>
    <row r="1068" spans="1:38" s="19" customFormat="1" ht="31.5" customHeight="1">
      <c r="A1068" s="47">
        <v>624</v>
      </c>
      <c r="B1068" s="47">
        <v>80111600</v>
      </c>
      <c r="C1068" s="47" t="str">
        <f>VLOOKUP(PAA_4[[#This Row],[PROYECTO (formulado)2]],[2]PROYECTOS!$G$1:$L$32,6,0)</f>
        <v>SUBGERENCIA DE FOMENTO Y DESARROLLO</v>
      </c>
      <c r="D1068" s="47" t="str">
        <f>+IF(PAA_4[[#This Row],[UNIDAD DE CONTRATACION (formulado)]]="Subgerencia Administrativa y Financiera","FUNCIONAMIENTO","INVERSIÓN")</f>
        <v>INVERSIÓN</v>
      </c>
      <c r="E1068" s="48" t="str">
        <f>VLOOKUP(Q1068,[2]PROYECTOS!$G$1:$K$32,5,0)</f>
        <v>FORTALECIMIENTO_DEL_PROGRAMA_POR_SU_SALUD_MUÉVASE_PUES_EN_LOS_MUNICIPIO_DEL_DEPARTAMENTO_DE_ANTIOQUIA</v>
      </c>
      <c r="F1068" s="48">
        <f>VLOOKUP(E1068,[2]PROYECTOS!$K$1:$M$32,3,0)</f>
        <v>2020003050030</v>
      </c>
      <c r="G1068" s="49" t="s">
        <v>326</v>
      </c>
      <c r="H1068" s="49" t="str">
        <f>VLOOKUP(Q1068,[2]PROYECTOS!$V$1:$W$32,2,0)</f>
        <v>050055</v>
      </c>
      <c r="I1068" s="50">
        <f>13332774-1502494</f>
        <v>11830280</v>
      </c>
      <c r="J1068" s="51" t="s">
        <v>332</v>
      </c>
      <c r="K1068" s="47" t="str">
        <f t="shared" ca="1" si="388"/>
        <v>CONTRATADO</v>
      </c>
      <c r="L1068" s="47" t="s">
        <v>94</v>
      </c>
      <c r="M1068" s="47" t="s">
        <v>1297</v>
      </c>
      <c r="N1068" s="51" t="s">
        <v>329</v>
      </c>
      <c r="O1068" s="51" t="e">
        <f>VLOOKUP(N1068,[2]!RUBROS[#All],3,0)</f>
        <v>#REF!</v>
      </c>
      <c r="P1068" s="53" t="e">
        <f>VLOOKUP(N1068,[2]!RUBROS[#All],2,0)</f>
        <v>#REF!</v>
      </c>
      <c r="Q1068" s="47" t="str">
        <f t="shared" si="389"/>
        <v>45</v>
      </c>
      <c r="R1068" s="47" t="str">
        <f t="shared" si="390"/>
        <v>0-205128</v>
      </c>
      <c r="S1068" s="54">
        <v>7</v>
      </c>
      <c r="T1068" s="59" t="s">
        <v>46</v>
      </c>
      <c r="U1068" s="326" t="e">
        <f ca="1">_xlfn.XLOOKUP(PAA_4[[#This Row],[ITEM]],[2]Contrato!A:A,[2]Contrato!Q:Q,"",0)</f>
        <v>#NAME?</v>
      </c>
      <c r="V1068" s="47" t="s">
        <v>47</v>
      </c>
      <c r="W1068" s="47" t="s">
        <v>96</v>
      </c>
      <c r="X1068" s="47" t="s">
        <v>96</v>
      </c>
      <c r="Y1068" s="55" t="e">
        <f ca="1">_xlfn.XLOOKUP(PAA_4[[#This Row],[ITEM]],[2]Contrato!A:A,[2]Contrato!B:B,"",0)</f>
        <v>#NAME?</v>
      </c>
      <c r="Z1068" s="47" t="e">
        <f ca="1">_xlfn.XLOOKUP(PAA_4[[#This Row],[ITEM]],[2]Contrato!A:A,[2]Contrato!G:G,"",0)</f>
        <v>#NAME?</v>
      </c>
      <c r="AA1068" s="47" t="e">
        <f ca="1">_xlfn.XLOOKUP(PAA_4[[#This Row],[ITEM]],[2]Contrato!A:A,[2]Contrato!T:T,"",0)</f>
        <v>#NAME?</v>
      </c>
      <c r="AB1068" s="55" t="e">
        <f ca="1">+MAX(PAA_4[[#This Row],[Comprometido Contrato]],PAA_4[[#This Row],[Comprometido Bolsa]])</f>
        <v>#NAME?</v>
      </c>
      <c r="AC1068" s="55" t="str">
        <f t="shared" ca="1" si="391"/>
        <v/>
      </c>
      <c r="AD1068" s="55" t="e">
        <f ca="1">IF(PAA_4[[#This Row],[ESTADO (formulado)]]="NO CONTRATADO",0,MAX(PAA_4[[#This Row],[Pago por Contrato]],PAA_4[[#This Row],[Pago por bolsa]]))</f>
        <v>#NAME?</v>
      </c>
      <c r="AE1068" s="55" t="str">
        <f t="shared" ca="1" si="392"/>
        <v/>
      </c>
      <c r="AF1068" s="47" t="e">
        <f t="shared" ca="1" si="393"/>
        <v>#NAME?</v>
      </c>
      <c r="AG1068" s="47">
        <f t="shared" si="394"/>
        <v>44021001</v>
      </c>
      <c r="AH1068" s="54">
        <f>IF(Q1068="22",IF(ISNUMBER(SEARCH("econ",PAA_4[[#This Row],[Actividad3]])),"Económico",IF(ISNUMBER(SEARCH("alim",PAA_4[[#This Row],[Actividad3]])),"Alimentación",IF(ISNUMBER(SEARCH("educ",PAA_4[[#This Row],[Actividad3]])),"Educativo","Técnico"))),0)</f>
        <v>0</v>
      </c>
      <c r="AI1068" s="47" t="e" cm="1">
        <f t="array" aca="1" ref="AI1068" ca="1">_xlfn.XLOOKUP(PAA_4[[#This Row],[RCP-RUBRO]],[2]!COMPROMISOS_2024[[#All],[concatenado]],[2]!COMPROMISOS_2024[[#All],[Total pagado]],"",0)</f>
        <v>#NAME?</v>
      </c>
      <c r="AJ1068" s="56">
        <f>IF(PAA_4[[#This Row],[BOLSA]]=0,0,SUMIFS([2]!COMPROMISOS_2024[[#All],[Total pagado]],[2]!COMPROMISOS_2024[[#All],[Bolsa]],PAA_4[[#This Row],[BOLSA]],[2]!COMPROMISOS_2024[[#All],[rubro]],PAA_4[[#This Row],[RCP-RUBRO]]))</f>
        <v>0</v>
      </c>
      <c r="AK1068" s="47" t="e" cm="1">
        <f t="array" aca="1" ref="AK1068" ca="1">_xlfn.XLOOKUP(PAA_4[[#This Row],[RCP-RUBRO]],[2]!COMPROMISOS_2024[[#All],[concatenado]],[2]!COMPROMISOS_2024[[#All],[Total Comprometido]],"",0)</f>
        <v>#NAME?</v>
      </c>
      <c r="AL1068" s="47">
        <f>IF(PAA_4[[#This Row],[BOLSA]]=0,0,SUMIFS([2]!COMPROMISOS_2024[[#All],[Total Comprometido]],[2]!COMPROMISOS_2024[[#All],[Bolsa]],PAA_4[[#This Row],[BOLSA]],[2]!COMPROMISOS_2024[[#All],[concatenado]],PAA_4[[#This Row],[RCP-RUBRO]]))</f>
        <v>0</v>
      </c>
    </row>
    <row r="1069" spans="1:38" s="19" customFormat="1" ht="31.5" customHeight="1">
      <c r="A1069" s="47">
        <v>624</v>
      </c>
      <c r="B1069" s="47">
        <v>80111600</v>
      </c>
      <c r="C1069" s="47" t="str">
        <f>VLOOKUP(PAA_4[[#This Row],[PROYECTO (formulado)2]],[2]PROYECTOS!$G$1:$L$32,6,0)</f>
        <v>SUBGERENCIA DE FOMENTO Y DESARROLLO</v>
      </c>
      <c r="D1069" s="47" t="str">
        <f>+IF(PAA_4[[#This Row],[UNIDAD DE CONTRATACION (formulado)]]="Subgerencia Administrativa y Financiera","FUNCIONAMIENTO","INVERSIÓN")</f>
        <v>INVERSIÓN</v>
      </c>
      <c r="E1069" s="48" t="str">
        <f>VLOOKUP(Q1069,[2]PROYECTOS!$G$1:$K$32,5,0)</f>
        <v>FORTALECIMIENTO_DE_LAS_ESCUELAS_DEPORTIVAS_EN_LOS_MUNICIPIOS_DEL_DEPARTAMENTO_DE_ANTIOQUIA</v>
      </c>
      <c r="F1069" s="48">
        <f>VLOOKUP(E1069,[2]PROYECTOS!$K$1:$M$32,3,0)</f>
        <v>2020003050032</v>
      </c>
      <c r="G1069" s="49" t="s">
        <v>333</v>
      </c>
      <c r="H1069" s="49" t="str">
        <f>VLOOKUP(Q1069,[2]PROYECTOS!$V$1:$W$32,2,0)</f>
        <v>050059</v>
      </c>
      <c r="I1069" s="50">
        <f>13034329-1468861</f>
        <v>11565468</v>
      </c>
      <c r="J1069" s="51" t="s">
        <v>332</v>
      </c>
      <c r="K1069" s="47" t="str">
        <f t="shared" ca="1" si="388"/>
        <v>CONTRATADO</v>
      </c>
      <c r="L1069" s="47" t="s">
        <v>94</v>
      </c>
      <c r="M1069" s="47" t="s">
        <v>1297</v>
      </c>
      <c r="N1069" s="51" t="s">
        <v>334</v>
      </c>
      <c r="O1069" s="51" t="e">
        <f>VLOOKUP(N1069,[2]!RUBROS[#All],3,0)</f>
        <v>#REF!</v>
      </c>
      <c r="P1069" s="53" t="e">
        <f>VLOOKUP(N1069,[2]!RUBROS[#All],2,0)</f>
        <v>#REF!</v>
      </c>
      <c r="Q1069" s="47" t="str">
        <f t="shared" si="389"/>
        <v>46</v>
      </c>
      <c r="R1069" s="47" t="str">
        <f t="shared" si="390"/>
        <v>0-205128</v>
      </c>
      <c r="S1069" s="54">
        <v>7</v>
      </c>
      <c r="T1069" s="59" t="s">
        <v>46</v>
      </c>
      <c r="U1069" s="326" t="e">
        <f ca="1">_xlfn.XLOOKUP(PAA_4[[#This Row],[ITEM]],[2]Contrato!A:A,[2]Contrato!Q:Q,"",0)</f>
        <v>#NAME?</v>
      </c>
      <c r="V1069" s="47" t="s">
        <v>47</v>
      </c>
      <c r="W1069" s="47" t="s">
        <v>96</v>
      </c>
      <c r="X1069" s="47" t="s">
        <v>96</v>
      </c>
      <c r="Y1069" s="55" t="e">
        <f ca="1">_xlfn.XLOOKUP(PAA_4[[#This Row],[ITEM]],[2]Contrato!A:A,[2]Contrato!B:B,"",0)</f>
        <v>#NAME?</v>
      </c>
      <c r="Z1069" s="47" t="e">
        <f ca="1">_xlfn.XLOOKUP(PAA_4[[#This Row],[ITEM]],[2]Contrato!A:A,[2]Contrato!G:G,"",0)</f>
        <v>#NAME?</v>
      </c>
      <c r="AA1069" s="47" t="e">
        <f ca="1">_xlfn.XLOOKUP(PAA_4[[#This Row],[ITEM]],[2]Contrato!A:A,[2]Contrato!T:T,"",0)</f>
        <v>#NAME?</v>
      </c>
      <c r="AB1069" s="55" t="e">
        <f ca="1">+MAX(PAA_4[[#This Row],[Comprometido Contrato]],PAA_4[[#This Row],[Comprometido Bolsa]])</f>
        <v>#NAME?</v>
      </c>
      <c r="AC1069" s="55" t="str">
        <f t="shared" ca="1" si="391"/>
        <v/>
      </c>
      <c r="AD1069" s="55" t="e">
        <f ca="1">IF(PAA_4[[#This Row],[ESTADO (formulado)]]="NO CONTRATADO",0,MAX(PAA_4[[#This Row],[Pago por Contrato]],PAA_4[[#This Row],[Pago por bolsa]]))</f>
        <v>#NAME?</v>
      </c>
      <c r="AE1069" s="55" t="str">
        <f t="shared" ca="1" si="392"/>
        <v/>
      </c>
      <c r="AF1069" s="47" t="e">
        <f t="shared" ca="1" si="393"/>
        <v>#NAME?</v>
      </c>
      <c r="AG1069" s="47">
        <f t="shared" si="394"/>
        <v>44021007</v>
      </c>
      <c r="AH1069" s="54">
        <f>IF(Q1069="22",IF(ISNUMBER(SEARCH("econ",PAA_4[[#This Row],[Actividad3]])),"Económico",IF(ISNUMBER(SEARCH("alim",PAA_4[[#This Row],[Actividad3]])),"Alimentación",IF(ISNUMBER(SEARCH("educ",PAA_4[[#This Row],[Actividad3]])),"Educativo","Técnico"))),0)</f>
        <v>0</v>
      </c>
      <c r="AI1069" s="47" t="e" cm="1">
        <f t="array" aca="1" ref="AI1069" ca="1">_xlfn.XLOOKUP(PAA_4[[#This Row],[RCP-RUBRO]],[2]!COMPROMISOS_2024[[#All],[concatenado]],[2]!COMPROMISOS_2024[[#All],[Total pagado]],"",0)</f>
        <v>#NAME?</v>
      </c>
      <c r="AJ1069" s="56">
        <f>IF(PAA_4[[#This Row],[BOLSA]]=0,0,SUMIFS([2]!COMPROMISOS_2024[[#All],[Total pagado]],[2]!COMPROMISOS_2024[[#All],[Bolsa]],PAA_4[[#This Row],[BOLSA]],[2]!COMPROMISOS_2024[[#All],[rubro]],PAA_4[[#This Row],[RCP-RUBRO]]))</f>
        <v>0</v>
      </c>
      <c r="AK1069" s="47" t="e" cm="1">
        <f t="array" aca="1" ref="AK1069" ca="1">_xlfn.XLOOKUP(PAA_4[[#This Row],[RCP-RUBRO]],[2]!COMPROMISOS_2024[[#All],[concatenado]],[2]!COMPROMISOS_2024[[#All],[Total Comprometido]],"",0)</f>
        <v>#NAME?</v>
      </c>
      <c r="AL1069" s="47">
        <f>IF(PAA_4[[#This Row],[BOLSA]]=0,0,SUMIFS([2]!COMPROMISOS_2024[[#All],[Total Comprometido]],[2]!COMPROMISOS_2024[[#All],[Bolsa]],PAA_4[[#This Row],[BOLSA]],[2]!COMPROMISOS_2024[[#All],[concatenado]],PAA_4[[#This Row],[RCP-RUBRO]]))</f>
        <v>0</v>
      </c>
    </row>
    <row r="1070" spans="1:38" s="19" customFormat="1" ht="31.5" customHeight="1">
      <c r="A1070" s="47">
        <v>624</v>
      </c>
      <c r="B1070" s="47">
        <v>80111600</v>
      </c>
      <c r="C1070" s="47" t="str">
        <f>VLOOKUP(PAA_4[[#This Row],[PROYECTO (formulado)2]],[2]PROYECTOS!$G$1:$L$32,6,0)</f>
        <v>SUBGERENCIA DE FOMENTO Y DESARROLLO</v>
      </c>
      <c r="D1070" s="47" t="str">
        <f>+IF(PAA_4[[#This Row],[UNIDAD DE CONTRATACION (formulado)]]="Subgerencia Administrativa y Financiera","FUNCIONAMIENTO","INVERSIÓN")</f>
        <v>INVERSIÓN</v>
      </c>
      <c r="E1070" s="48" t="str">
        <f>VLOOKUP(Q1070,[2]PROYECTOS!$G$1:$K$32,5,0)</f>
        <v>FORTALECIMIENTO_DE_LOS_PROGRAMAS_RECREATIVOS_EN_LOS_MUNICIPIOS_DEL_DEPARTAMENTO_DE_ANTIOQUIA</v>
      </c>
      <c r="F1070" s="48">
        <f>VLOOKUP(E1070,[2]PROYECTOS!$K$1:$M$32,3,0)</f>
        <v>2020003050031</v>
      </c>
      <c r="G1070" s="49" t="s">
        <v>335</v>
      </c>
      <c r="H1070" s="49" t="str">
        <f>VLOOKUP(Q1070,[2]PROYECTOS!$V$1:$W$32,2,0)</f>
        <v>050064</v>
      </c>
      <c r="I1070" s="50">
        <f>12973173-1461969</f>
        <v>11511204</v>
      </c>
      <c r="J1070" s="51" t="s">
        <v>332</v>
      </c>
      <c r="K1070" s="47" t="str">
        <f t="shared" ca="1" si="388"/>
        <v>CONTRATADO</v>
      </c>
      <c r="L1070" s="47" t="s">
        <v>94</v>
      </c>
      <c r="M1070" s="47" t="s">
        <v>1297</v>
      </c>
      <c r="N1070" s="51" t="s">
        <v>336</v>
      </c>
      <c r="O1070" s="51" t="e">
        <f>VLOOKUP(N1070,[2]!RUBROS[#All],3,0)</f>
        <v>#REF!</v>
      </c>
      <c r="P1070" s="53" t="e">
        <f>VLOOKUP(N1070,[2]!RUBROS[#All],2,0)</f>
        <v>#REF!</v>
      </c>
      <c r="Q1070" s="47" t="str">
        <f t="shared" si="389"/>
        <v>47</v>
      </c>
      <c r="R1070" s="47" t="str">
        <f t="shared" si="390"/>
        <v>0-205128</v>
      </c>
      <c r="S1070" s="54">
        <v>7</v>
      </c>
      <c r="T1070" s="59" t="s">
        <v>46</v>
      </c>
      <c r="U1070" s="326" t="e">
        <f ca="1">_xlfn.XLOOKUP(PAA_4[[#This Row],[ITEM]],[2]Contrato!A:A,[2]Contrato!Q:Q,"",0)</f>
        <v>#NAME?</v>
      </c>
      <c r="V1070" s="47" t="s">
        <v>47</v>
      </c>
      <c r="W1070" s="47" t="s">
        <v>96</v>
      </c>
      <c r="X1070" s="47" t="s">
        <v>96</v>
      </c>
      <c r="Y1070" s="55" t="e">
        <f ca="1">_xlfn.XLOOKUP(PAA_4[[#This Row],[ITEM]],[2]Contrato!A:A,[2]Contrato!B:B,"",0)</f>
        <v>#NAME?</v>
      </c>
      <c r="Z1070" s="47" t="e">
        <f ca="1">_xlfn.XLOOKUP(PAA_4[[#This Row],[ITEM]],[2]Contrato!A:A,[2]Contrato!G:G,"",0)</f>
        <v>#NAME?</v>
      </c>
      <c r="AA1070" s="47" t="e">
        <f ca="1">_xlfn.XLOOKUP(PAA_4[[#This Row],[ITEM]],[2]Contrato!A:A,[2]Contrato!T:T,"",0)</f>
        <v>#NAME?</v>
      </c>
      <c r="AB1070" s="55" t="e">
        <f ca="1">+MAX(PAA_4[[#This Row],[Comprometido Contrato]],PAA_4[[#This Row],[Comprometido Bolsa]])</f>
        <v>#NAME?</v>
      </c>
      <c r="AC1070" s="55" t="str">
        <f t="shared" ca="1" si="391"/>
        <v/>
      </c>
      <c r="AD1070" s="55" t="e">
        <f ca="1">IF(PAA_4[[#This Row],[ESTADO (formulado)]]="NO CONTRATADO",0,MAX(PAA_4[[#This Row],[Pago por Contrato]],PAA_4[[#This Row],[Pago por bolsa]]))</f>
        <v>#NAME?</v>
      </c>
      <c r="AE1070" s="55" t="str">
        <f t="shared" ca="1" si="392"/>
        <v/>
      </c>
      <c r="AF1070" s="47" t="e">
        <f t="shared" ca="1" si="393"/>
        <v>#NAME?</v>
      </c>
      <c r="AG1070" s="47">
        <f t="shared" si="394"/>
        <v>44021004</v>
      </c>
      <c r="AH1070" s="54">
        <f>IF(Q1070="22",IF(ISNUMBER(SEARCH("econ",PAA_4[[#This Row],[Actividad3]])),"Económico",IF(ISNUMBER(SEARCH("alim",PAA_4[[#This Row],[Actividad3]])),"Alimentación",IF(ISNUMBER(SEARCH("educ",PAA_4[[#This Row],[Actividad3]])),"Educativo","Técnico"))),0)</f>
        <v>0</v>
      </c>
      <c r="AI1070" s="47" t="e" cm="1">
        <f t="array" aca="1" ref="AI1070" ca="1">_xlfn.XLOOKUP(PAA_4[[#This Row],[RCP-RUBRO]],[2]!COMPROMISOS_2024[[#All],[concatenado]],[2]!COMPROMISOS_2024[[#All],[Total pagado]],"",0)</f>
        <v>#NAME?</v>
      </c>
      <c r="AJ1070" s="56">
        <f>IF(PAA_4[[#This Row],[BOLSA]]=0,0,SUMIFS([2]!COMPROMISOS_2024[[#All],[Total pagado]],[2]!COMPROMISOS_2024[[#All],[Bolsa]],PAA_4[[#This Row],[BOLSA]],[2]!COMPROMISOS_2024[[#All],[rubro]],PAA_4[[#This Row],[RCP-RUBRO]]))</f>
        <v>0</v>
      </c>
      <c r="AK1070" s="47" t="e" cm="1">
        <f t="array" aca="1" ref="AK1070" ca="1">_xlfn.XLOOKUP(PAA_4[[#This Row],[RCP-RUBRO]],[2]!COMPROMISOS_2024[[#All],[concatenado]],[2]!COMPROMISOS_2024[[#All],[Total Comprometido]],"",0)</f>
        <v>#NAME?</v>
      </c>
      <c r="AL1070" s="47">
        <f>IF(PAA_4[[#This Row],[BOLSA]]=0,0,SUMIFS([2]!COMPROMISOS_2024[[#All],[Total Comprometido]],[2]!COMPROMISOS_2024[[#All],[Bolsa]],PAA_4[[#This Row],[BOLSA]],[2]!COMPROMISOS_2024[[#All],[concatenado]],PAA_4[[#This Row],[RCP-RUBRO]]))</f>
        <v>0</v>
      </c>
    </row>
    <row r="1071" spans="1:38" s="19" customFormat="1" ht="31.5" customHeight="1">
      <c r="A1071" s="47">
        <v>640</v>
      </c>
      <c r="B1071" s="47">
        <v>80111600</v>
      </c>
      <c r="C1071" s="47" t="str">
        <f>VLOOKUP(PAA_4[[#This Row],[PROYECTO (formulado)2]],[2]PROYECTOS!$G$1:$L$32,6,0)</f>
        <v>SUBGERENCIA DE FOMENTO Y DESARROLLO</v>
      </c>
      <c r="D1071" s="47" t="str">
        <f>+IF(PAA_4[[#This Row],[UNIDAD DE CONTRATACION (formulado)]]="Subgerencia Administrativa y Financiera","FUNCIONAMIENTO","INVERSIÓN")</f>
        <v>INVERSIÓN</v>
      </c>
      <c r="E1071" s="48" t="str">
        <f>VLOOKUP(Q1071,[2]PROYECTOS!$G$1:$K$32,5,0)</f>
        <v>CAPACITACION_PARA_EL_SECTOR_DEL_DEPORTE_LA_ACTIVIDAD_FISICA_LA_RECREACION_Y_LA_EDUCACION_FISICA_DE_ANTI</v>
      </c>
      <c r="F1071" s="48">
        <f>VLOOKUP(E1071,[2]PROYECTOS!$K$1:$M$32,3,0)</f>
        <v>2020003050024</v>
      </c>
      <c r="G1071" s="49" t="s">
        <v>337</v>
      </c>
      <c r="H1071" s="49" t="str">
        <f>VLOOKUP(Q1071,[2]PROYECTOS!$V$1:$W$32,2,0)</f>
        <v>050063</v>
      </c>
      <c r="I1071" s="50">
        <v>3001610</v>
      </c>
      <c r="J1071" s="51" t="s">
        <v>338</v>
      </c>
      <c r="K1071" s="47" t="str">
        <f t="shared" ca="1" si="388"/>
        <v>CONTRATADO</v>
      </c>
      <c r="L1071" s="47" t="s">
        <v>94</v>
      </c>
      <c r="M1071" s="47" t="s">
        <v>1297</v>
      </c>
      <c r="N1071" s="51" t="s">
        <v>339</v>
      </c>
      <c r="O1071" s="51" t="e">
        <f>VLOOKUP(N1071,[2]!RUBROS[#All],3,0)</f>
        <v>#REF!</v>
      </c>
      <c r="P1071" s="53" t="e">
        <f>VLOOKUP(N1071,[2]!RUBROS[#All],2,0)</f>
        <v>#REF!</v>
      </c>
      <c r="Q1071" s="47" t="str">
        <f t="shared" si="389"/>
        <v>48</v>
      </c>
      <c r="R1071" s="47" t="str">
        <f t="shared" si="390"/>
        <v>0-205128</v>
      </c>
      <c r="S1071" s="54">
        <v>7</v>
      </c>
      <c r="T1071" s="59" t="s">
        <v>46</v>
      </c>
      <c r="U1071" s="326" t="e">
        <f ca="1">_xlfn.XLOOKUP(PAA_4[[#This Row],[ITEM]],[2]Contrato!A:A,[2]Contrato!Q:Q,"",0)</f>
        <v>#NAME?</v>
      </c>
      <c r="V1071" s="47" t="s">
        <v>95</v>
      </c>
      <c r="W1071" s="47" t="s">
        <v>122</v>
      </c>
      <c r="X1071" s="47" t="s">
        <v>122</v>
      </c>
      <c r="Y1071" s="55" t="e">
        <f ca="1">_xlfn.XLOOKUP(PAA_4[[#This Row],[ITEM]],[2]Contrato!A:A,[2]Contrato!B:B,"",0)</f>
        <v>#NAME?</v>
      </c>
      <c r="Z1071" s="47" t="e">
        <f ca="1">_xlfn.XLOOKUP(PAA_4[[#This Row],[ITEM]],[2]Contrato!A:A,[2]Contrato!G:G,"",0)</f>
        <v>#NAME?</v>
      </c>
      <c r="AA1071" s="47" t="e">
        <f ca="1">_xlfn.XLOOKUP(PAA_4[[#This Row],[ITEM]],[2]Contrato!A:A,[2]Contrato!T:T,"",0)</f>
        <v>#NAME?</v>
      </c>
      <c r="AB1071" s="55" t="e">
        <f ca="1">+MAX(PAA_4[[#This Row],[Comprometido Contrato]],PAA_4[[#This Row],[Comprometido Bolsa]])</f>
        <v>#NAME?</v>
      </c>
      <c r="AC1071" s="55" t="str">
        <f t="shared" ca="1" si="391"/>
        <v/>
      </c>
      <c r="AD1071" s="55" t="e">
        <f ca="1">IF(PAA_4[[#This Row],[ESTADO (formulado)]]="NO CONTRATADO",0,MAX(PAA_4[[#This Row],[Pago por Contrato]],PAA_4[[#This Row],[Pago por bolsa]]))</f>
        <v>#NAME?</v>
      </c>
      <c r="AE1071" s="55" t="str">
        <f t="shared" ca="1" si="392"/>
        <v/>
      </c>
      <c r="AF1071" s="47" t="e">
        <f t="shared" ca="1" si="393"/>
        <v>#NAME?</v>
      </c>
      <c r="AG1071" s="47">
        <f t="shared" si="394"/>
        <v>41080201</v>
      </c>
      <c r="AH1071" s="54">
        <f>IF(Q1071="22",IF(ISNUMBER(SEARCH("econ",PAA_4[[#This Row],[Actividad3]])),"Económico",IF(ISNUMBER(SEARCH("alim",PAA_4[[#This Row],[Actividad3]])),"Alimentación",IF(ISNUMBER(SEARCH("educ",PAA_4[[#This Row],[Actividad3]])),"Educativo","Técnico"))),0)</f>
        <v>0</v>
      </c>
      <c r="AI1071" s="47" t="e" cm="1">
        <f t="array" aca="1" ref="AI1071" ca="1">_xlfn.XLOOKUP(PAA_4[[#This Row],[RCP-RUBRO]],[2]!COMPROMISOS_2024[[#All],[concatenado]],[2]!COMPROMISOS_2024[[#All],[Total pagado]],"",0)</f>
        <v>#NAME?</v>
      </c>
      <c r="AJ1071" s="56">
        <f>IF(PAA_4[[#This Row],[BOLSA]]=0,0,SUMIFS([2]!COMPROMISOS_2024[[#All],[Total pagado]],[2]!COMPROMISOS_2024[[#All],[Bolsa]],PAA_4[[#This Row],[BOLSA]],[2]!COMPROMISOS_2024[[#All],[rubro]],PAA_4[[#This Row],[RCP-RUBRO]]))</f>
        <v>0</v>
      </c>
      <c r="AK1071" s="47" t="e" cm="1">
        <f t="array" aca="1" ref="AK1071" ca="1">_xlfn.XLOOKUP(PAA_4[[#This Row],[RCP-RUBRO]],[2]!COMPROMISOS_2024[[#All],[concatenado]],[2]!COMPROMISOS_2024[[#All],[Total Comprometido]],"",0)</f>
        <v>#NAME?</v>
      </c>
      <c r="AL1071" s="47">
        <f>IF(PAA_4[[#This Row],[BOLSA]]=0,0,SUMIFS([2]!COMPROMISOS_2024[[#All],[Total Comprometido]],[2]!COMPROMISOS_2024[[#All],[Bolsa]],PAA_4[[#This Row],[BOLSA]],[2]!COMPROMISOS_2024[[#All],[concatenado]],PAA_4[[#This Row],[RCP-RUBRO]]))</f>
        <v>0</v>
      </c>
    </row>
    <row r="1072" spans="1:38" s="19" customFormat="1" ht="31.5" customHeight="1">
      <c r="A1072" s="47">
        <v>640</v>
      </c>
      <c r="B1072" s="47">
        <v>80111600</v>
      </c>
      <c r="C1072" s="47" t="str">
        <f>VLOOKUP(PAA_4[[#This Row],[PROYECTO (formulado)2]],[2]PROYECTOS!$G$1:$L$32,6,0)</f>
        <v>SUBGERENCIA DE FOMENTO Y DESARROLLO</v>
      </c>
      <c r="D1072" s="47" t="str">
        <f>+IF(PAA_4[[#This Row],[UNIDAD DE CONTRATACION (formulado)]]="Subgerencia Administrativa y Financiera","FUNCIONAMIENTO","INVERSIÓN")</f>
        <v>INVERSIÓN</v>
      </c>
      <c r="E1072" s="48" t="str">
        <f>VLOOKUP(Q1072,[2]PROYECTOS!$G$1:$K$32,5,0)</f>
        <v>FORTALECIMIENTO_DE_LAS_ESCUELAS_DEPORTIVAS_EN_LOS_MUNICIPIOS_DEL_DEPARTAMENTO_DE_ANTIOQUIA</v>
      </c>
      <c r="F1072" s="48">
        <f>VLOOKUP(E1072,[2]PROYECTOS!$K$1:$M$32,3,0)</f>
        <v>2020003050032</v>
      </c>
      <c r="G1072" s="49" t="s">
        <v>333</v>
      </c>
      <c r="H1072" s="49" t="str">
        <f>VLOOKUP(Q1072,[2]PROYECTOS!$V$1:$W$32,2,0)</f>
        <v>050059</v>
      </c>
      <c r="I1072" s="50">
        <v>4640627</v>
      </c>
      <c r="J1072" s="51" t="s">
        <v>338</v>
      </c>
      <c r="K1072" s="47" t="str">
        <f t="shared" ca="1" si="388"/>
        <v>CONTRATADO</v>
      </c>
      <c r="L1072" s="47" t="s">
        <v>94</v>
      </c>
      <c r="M1072" s="47" t="s">
        <v>1297</v>
      </c>
      <c r="N1072" s="51" t="s">
        <v>334</v>
      </c>
      <c r="O1072" s="51" t="e">
        <f>VLOOKUP(N1072,[2]!RUBROS[#All],3,0)</f>
        <v>#REF!</v>
      </c>
      <c r="P1072" s="53" t="e">
        <f>VLOOKUP(N1072,[2]!RUBROS[#All],2,0)</f>
        <v>#REF!</v>
      </c>
      <c r="Q1072" s="47" t="str">
        <f t="shared" si="389"/>
        <v>46</v>
      </c>
      <c r="R1072" s="47" t="str">
        <f t="shared" si="390"/>
        <v>0-205128</v>
      </c>
      <c r="S1072" s="54">
        <v>7</v>
      </c>
      <c r="T1072" s="59" t="s">
        <v>46</v>
      </c>
      <c r="U1072" s="326" t="e">
        <f ca="1">_xlfn.XLOOKUP(PAA_4[[#This Row],[ITEM]],[2]Contrato!A:A,[2]Contrato!Q:Q,"",0)</f>
        <v>#NAME?</v>
      </c>
      <c r="V1072" s="47" t="s">
        <v>95</v>
      </c>
      <c r="W1072" s="47" t="s">
        <v>122</v>
      </c>
      <c r="X1072" s="47" t="s">
        <v>122</v>
      </c>
      <c r="Y1072" s="55" t="e">
        <f ca="1">_xlfn.XLOOKUP(PAA_4[[#This Row],[ITEM]],[2]Contrato!A:A,[2]Contrato!B:B,"",0)</f>
        <v>#NAME?</v>
      </c>
      <c r="Z1072" s="47" t="e">
        <f ca="1">_xlfn.XLOOKUP(PAA_4[[#This Row],[ITEM]],[2]Contrato!A:A,[2]Contrato!G:G,"",0)</f>
        <v>#NAME?</v>
      </c>
      <c r="AA1072" s="47" t="e">
        <f ca="1">_xlfn.XLOOKUP(PAA_4[[#This Row],[ITEM]],[2]Contrato!A:A,[2]Contrato!T:T,"",0)</f>
        <v>#NAME?</v>
      </c>
      <c r="AB1072" s="55" t="e">
        <f ca="1">+MAX(PAA_4[[#This Row],[Comprometido Contrato]],PAA_4[[#This Row],[Comprometido Bolsa]])</f>
        <v>#NAME?</v>
      </c>
      <c r="AC1072" s="55" t="str">
        <f t="shared" ca="1" si="391"/>
        <v/>
      </c>
      <c r="AD1072" s="55" t="e">
        <f ca="1">IF(PAA_4[[#This Row],[ESTADO (formulado)]]="NO CONTRATADO",0,MAX(PAA_4[[#This Row],[Pago por Contrato]],PAA_4[[#This Row],[Pago por bolsa]]))</f>
        <v>#NAME?</v>
      </c>
      <c r="AE1072" s="55" t="str">
        <f t="shared" ca="1" si="392"/>
        <v/>
      </c>
      <c r="AF1072" s="47" t="e">
        <f t="shared" ca="1" si="393"/>
        <v>#NAME?</v>
      </c>
      <c r="AG1072" s="47">
        <f t="shared" si="394"/>
        <v>44021007</v>
      </c>
      <c r="AH1072" s="54">
        <f>IF(Q1072="22",IF(ISNUMBER(SEARCH("econ",PAA_4[[#This Row],[Actividad3]])),"Económico",IF(ISNUMBER(SEARCH("alim",PAA_4[[#This Row],[Actividad3]])),"Alimentación",IF(ISNUMBER(SEARCH("educ",PAA_4[[#This Row],[Actividad3]])),"Educativo","Técnico"))),0)</f>
        <v>0</v>
      </c>
      <c r="AI1072" s="47" t="e" cm="1">
        <f t="array" aca="1" ref="AI1072" ca="1">_xlfn.XLOOKUP(PAA_4[[#This Row],[RCP-RUBRO]],[2]!COMPROMISOS_2024[[#All],[concatenado]],[2]!COMPROMISOS_2024[[#All],[Total pagado]],"",0)</f>
        <v>#NAME?</v>
      </c>
      <c r="AJ1072" s="56">
        <f>IF(PAA_4[[#This Row],[BOLSA]]=0,0,SUMIFS([2]!COMPROMISOS_2024[[#All],[Total pagado]],[2]!COMPROMISOS_2024[[#All],[Bolsa]],PAA_4[[#This Row],[BOLSA]],[2]!COMPROMISOS_2024[[#All],[rubro]],PAA_4[[#This Row],[RCP-RUBRO]]))</f>
        <v>0</v>
      </c>
      <c r="AK1072" s="47" t="e" cm="1">
        <f t="array" aca="1" ref="AK1072" ca="1">_xlfn.XLOOKUP(PAA_4[[#This Row],[RCP-RUBRO]],[2]!COMPROMISOS_2024[[#All],[concatenado]],[2]!COMPROMISOS_2024[[#All],[Total Comprometido]],"",0)</f>
        <v>#NAME?</v>
      </c>
      <c r="AL1072" s="47">
        <f>IF(PAA_4[[#This Row],[BOLSA]]=0,0,SUMIFS([2]!COMPROMISOS_2024[[#All],[Total Comprometido]],[2]!COMPROMISOS_2024[[#All],[Bolsa]],PAA_4[[#This Row],[BOLSA]],[2]!COMPROMISOS_2024[[#All],[concatenado]],PAA_4[[#This Row],[RCP-RUBRO]]))</f>
        <v>0</v>
      </c>
    </row>
    <row r="1073" spans="1:38" s="19" customFormat="1" ht="31.5" customHeight="1">
      <c r="A1073" s="47">
        <v>640</v>
      </c>
      <c r="B1073" s="47">
        <v>80111600</v>
      </c>
      <c r="C1073" s="47" t="str">
        <f>VLOOKUP(PAA_4[[#This Row],[PROYECTO (formulado)2]],[2]PROYECTOS!$G$1:$L$32,6,0)</f>
        <v>SUBGERENCIA DE FOMENTO Y DESARROLLO</v>
      </c>
      <c r="D1073" s="47" t="str">
        <f>+IF(PAA_4[[#This Row],[UNIDAD DE CONTRATACION (formulado)]]="Subgerencia Administrativa y Financiera","FUNCIONAMIENTO","INVERSIÓN")</f>
        <v>INVERSIÓN</v>
      </c>
      <c r="E1073" s="48" t="str">
        <f>VLOOKUP(Q1073,[2]PROYECTOS!$G$1:$K$32,5,0)</f>
        <v>FORTALECIMIENTO_DE_LOS_JUEGOS_DEL_SECTOR_EDUCATIVO_EN_ANTIOQUIA</v>
      </c>
      <c r="F1073" s="48">
        <f>VLOOKUP(E1073,[2]PROYECTOS!$K$1:$M$32,3,0)</f>
        <v>2020003050034</v>
      </c>
      <c r="G1073" s="49" t="s">
        <v>340</v>
      </c>
      <c r="H1073" s="49" t="str">
        <f>VLOOKUP(Q1073,[2]PROYECTOS!$V$1:$W$32,2,0)</f>
        <v>050053</v>
      </c>
      <c r="I1073" s="50">
        <v>15719165</v>
      </c>
      <c r="J1073" s="51" t="s">
        <v>338</v>
      </c>
      <c r="K1073" s="47" t="str">
        <f t="shared" ca="1" si="388"/>
        <v>CONTRATADO</v>
      </c>
      <c r="L1073" s="47" t="s">
        <v>94</v>
      </c>
      <c r="M1073" s="47" t="s">
        <v>1297</v>
      </c>
      <c r="N1073" s="51" t="s">
        <v>341</v>
      </c>
      <c r="O1073" s="51" t="e">
        <f>VLOOKUP(N1073,[2]!RUBROS[#All],3,0)</f>
        <v>#REF!</v>
      </c>
      <c r="P1073" s="53" t="e">
        <f>VLOOKUP(N1073,[2]!RUBROS[#All],2,0)</f>
        <v>#REF!</v>
      </c>
      <c r="Q1073" s="47" t="str">
        <f t="shared" si="389"/>
        <v>51</v>
      </c>
      <c r="R1073" s="47" t="str">
        <f t="shared" si="390"/>
        <v>0-205128</v>
      </c>
      <c r="S1073" s="54">
        <v>7</v>
      </c>
      <c r="T1073" s="59" t="s">
        <v>46</v>
      </c>
      <c r="U1073" s="326" t="e">
        <f ca="1">_xlfn.XLOOKUP(PAA_4[[#This Row],[ITEM]],[2]Contrato!A:A,[2]Contrato!Q:Q,"",0)</f>
        <v>#NAME?</v>
      </c>
      <c r="V1073" s="47" t="s">
        <v>95</v>
      </c>
      <c r="W1073" s="47" t="s">
        <v>122</v>
      </c>
      <c r="X1073" s="47" t="s">
        <v>122</v>
      </c>
      <c r="Y1073" s="55" t="e">
        <f ca="1">_xlfn.XLOOKUP(PAA_4[[#This Row],[ITEM]],[2]Contrato!A:A,[2]Contrato!B:B,"",0)</f>
        <v>#NAME?</v>
      </c>
      <c r="Z1073" s="47" t="e">
        <f ca="1">_xlfn.XLOOKUP(PAA_4[[#This Row],[ITEM]],[2]Contrato!A:A,[2]Contrato!G:G,"",0)</f>
        <v>#NAME?</v>
      </c>
      <c r="AA1073" s="47" t="e">
        <f ca="1">_xlfn.XLOOKUP(PAA_4[[#This Row],[ITEM]],[2]Contrato!A:A,[2]Contrato!T:T,"",0)</f>
        <v>#NAME?</v>
      </c>
      <c r="AB1073" s="55" t="e">
        <f ca="1">+MAX(PAA_4[[#This Row],[Comprometido Contrato]],PAA_4[[#This Row],[Comprometido Bolsa]])</f>
        <v>#NAME?</v>
      </c>
      <c r="AC1073" s="55" t="str">
        <f t="shared" ca="1" si="391"/>
        <v/>
      </c>
      <c r="AD1073" s="55" t="e">
        <f ca="1">IF(PAA_4[[#This Row],[ESTADO (formulado)]]="NO CONTRATADO",0,MAX(PAA_4[[#This Row],[Pago por Contrato]],PAA_4[[#This Row],[Pago por bolsa]]))</f>
        <v>#NAME?</v>
      </c>
      <c r="AE1073" s="55" t="str">
        <f t="shared" ca="1" si="392"/>
        <v/>
      </c>
      <c r="AF1073" s="47" t="e">
        <f t="shared" ca="1" si="393"/>
        <v>#NAME?</v>
      </c>
      <c r="AG1073" s="47">
        <f t="shared" si="394"/>
        <v>44021011</v>
      </c>
      <c r="AH1073" s="54">
        <f>IF(Q1073="22",IF(ISNUMBER(SEARCH("econ",PAA_4[[#This Row],[Actividad3]])),"Económico",IF(ISNUMBER(SEARCH("alim",PAA_4[[#This Row],[Actividad3]])),"Alimentación",IF(ISNUMBER(SEARCH("educ",PAA_4[[#This Row],[Actividad3]])),"Educativo","Técnico"))),0)</f>
        <v>0</v>
      </c>
      <c r="AI1073" s="47" t="e" cm="1">
        <f t="array" aca="1" ref="AI1073" ca="1">_xlfn.XLOOKUP(PAA_4[[#This Row],[RCP-RUBRO]],[2]!COMPROMISOS_2024[[#All],[concatenado]],[2]!COMPROMISOS_2024[[#All],[Total pagado]],"",0)</f>
        <v>#NAME?</v>
      </c>
      <c r="AJ1073" s="56">
        <f>IF(PAA_4[[#This Row],[BOLSA]]=0,0,SUMIFS([2]!COMPROMISOS_2024[[#All],[Total pagado]],[2]!COMPROMISOS_2024[[#All],[Bolsa]],PAA_4[[#This Row],[BOLSA]],[2]!COMPROMISOS_2024[[#All],[rubro]],PAA_4[[#This Row],[RCP-RUBRO]]))</f>
        <v>0</v>
      </c>
      <c r="AK1073" s="47" t="e" cm="1">
        <f t="array" aca="1" ref="AK1073" ca="1">_xlfn.XLOOKUP(PAA_4[[#This Row],[RCP-RUBRO]],[2]!COMPROMISOS_2024[[#All],[concatenado]],[2]!COMPROMISOS_2024[[#All],[Total Comprometido]],"",0)</f>
        <v>#NAME?</v>
      </c>
      <c r="AL1073" s="47">
        <f>IF(PAA_4[[#This Row],[BOLSA]]=0,0,SUMIFS([2]!COMPROMISOS_2024[[#All],[Total Comprometido]],[2]!COMPROMISOS_2024[[#All],[Bolsa]],PAA_4[[#This Row],[BOLSA]],[2]!COMPROMISOS_2024[[#All],[concatenado]],PAA_4[[#This Row],[RCP-RUBRO]]))</f>
        <v>0</v>
      </c>
    </row>
    <row r="1074" spans="1:38" s="19" customFormat="1" ht="31.5" customHeight="1">
      <c r="A1074" s="47">
        <v>640</v>
      </c>
      <c r="B1074" s="47">
        <v>80111600</v>
      </c>
      <c r="C1074" s="47" t="str">
        <f>VLOOKUP(PAA_4[[#This Row],[PROYECTO (formulado)2]],[2]PROYECTOS!$G$1:$L$32,6,0)</f>
        <v>SUBGERENCIA DE FOMENTO Y DESARROLLO</v>
      </c>
      <c r="D1074" s="47" t="str">
        <f>+IF(PAA_4[[#This Row],[UNIDAD DE CONTRATACION (formulado)]]="Subgerencia Administrativa y Financiera","FUNCIONAMIENTO","INVERSIÓN")</f>
        <v>INVERSIÓN</v>
      </c>
      <c r="E1074" s="48" t="str">
        <f>VLOOKUP(Q1074,[2]PROYECTOS!$G$1:$K$32,5,0)</f>
        <v>FORTALECIMIENTO_DE_LOS_JUEGOS_DEL_SECTOR_SOCIAL_COMUNITARIO_EN_LOS_MUNICIPIOS_DEL_DEPARTAMENTO_DE_ANTIOQU</v>
      </c>
      <c r="F1074" s="48">
        <f>VLOOKUP(E1074,[2]PROYECTOS!$K$1:$M$32,3,0)</f>
        <v>2020003050033</v>
      </c>
      <c r="G1074" s="49" t="s">
        <v>342</v>
      </c>
      <c r="H1074" s="49" t="str">
        <f>VLOOKUP(Q1074,[2]PROYECTOS!$V$1:$W$32,2,0)</f>
        <v>050057</v>
      </c>
      <c r="I1074" s="50">
        <v>15524487</v>
      </c>
      <c r="J1074" s="51" t="s">
        <v>338</v>
      </c>
      <c r="K1074" s="47" t="str">
        <f t="shared" ca="1" si="388"/>
        <v>CONTRATADO</v>
      </c>
      <c r="L1074" s="47" t="s">
        <v>94</v>
      </c>
      <c r="M1074" s="47" t="s">
        <v>1297</v>
      </c>
      <c r="N1074" s="51" t="s">
        <v>343</v>
      </c>
      <c r="O1074" s="51" t="e">
        <f>VLOOKUP(N1074,[2]!RUBROS[#All],3,0)</f>
        <v>#REF!</v>
      </c>
      <c r="P1074" s="53" t="e">
        <f>VLOOKUP(N1074,[2]!RUBROS[#All],2,0)</f>
        <v>#REF!</v>
      </c>
      <c r="Q1074" s="47" t="str">
        <f t="shared" si="389"/>
        <v>50</v>
      </c>
      <c r="R1074" s="47" t="str">
        <f t="shared" si="390"/>
        <v>0-205128</v>
      </c>
      <c r="S1074" s="54">
        <v>7</v>
      </c>
      <c r="T1074" s="59" t="s">
        <v>46</v>
      </c>
      <c r="U1074" s="326" t="e">
        <f ca="1">_xlfn.XLOOKUP(PAA_4[[#This Row],[ITEM]],[2]Contrato!A:A,[2]Contrato!Q:Q,"",0)</f>
        <v>#NAME?</v>
      </c>
      <c r="V1074" s="47" t="s">
        <v>95</v>
      </c>
      <c r="W1074" s="47" t="s">
        <v>122</v>
      </c>
      <c r="X1074" s="47" t="s">
        <v>122</v>
      </c>
      <c r="Y1074" s="55" t="e">
        <f ca="1">_xlfn.XLOOKUP(PAA_4[[#This Row],[ITEM]],[2]Contrato!A:A,[2]Contrato!B:B,"",0)</f>
        <v>#NAME?</v>
      </c>
      <c r="Z1074" s="47" t="e">
        <f ca="1">_xlfn.XLOOKUP(PAA_4[[#This Row],[ITEM]],[2]Contrato!A:A,[2]Contrato!G:G,"",0)</f>
        <v>#NAME?</v>
      </c>
      <c r="AA1074" s="47" t="e">
        <f ca="1">_xlfn.XLOOKUP(PAA_4[[#This Row],[ITEM]],[2]Contrato!A:A,[2]Contrato!T:T,"",0)</f>
        <v>#NAME?</v>
      </c>
      <c r="AB1074" s="55" t="e">
        <f ca="1">+MAX(PAA_4[[#This Row],[Comprometido Contrato]],PAA_4[[#This Row],[Comprometido Bolsa]])</f>
        <v>#NAME?</v>
      </c>
      <c r="AC1074" s="55" t="str">
        <f t="shared" ca="1" si="391"/>
        <v/>
      </c>
      <c r="AD1074" s="55" t="e">
        <f ca="1">IF(PAA_4[[#This Row],[ESTADO (formulado)]]="NO CONTRATADO",0,MAX(PAA_4[[#This Row],[Pago por Contrato]],PAA_4[[#This Row],[Pago por bolsa]]))</f>
        <v>#NAME?</v>
      </c>
      <c r="AE1074" s="55" t="str">
        <f t="shared" ca="1" si="392"/>
        <v/>
      </c>
      <c r="AF1074" s="47" t="e">
        <f t="shared" ca="1" si="393"/>
        <v>#NAME?</v>
      </c>
      <c r="AG1074" s="47">
        <f t="shared" si="394"/>
        <v>44021010</v>
      </c>
      <c r="AH1074" s="54">
        <f>IF(Q1074="22",IF(ISNUMBER(SEARCH("econ",PAA_4[[#This Row],[Actividad3]])),"Económico",IF(ISNUMBER(SEARCH("alim",PAA_4[[#This Row],[Actividad3]])),"Alimentación",IF(ISNUMBER(SEARCH("educ",PAA_4[[#This Row],[Actividad3]])),"Educativo","Técnico"))),0)</f>
        <v>0</v>
      </c>
      <c r="AI1074" s="47" t="e" cm="1">
        <f t="array" aca="1" ref="AI1074" ca="1">_xlfn.XLOOKUP(PAA_4[[#This Row],[RCP-RUBRO]],[2]!COMPROMISOS_2024[[#All],[concatenado]],[2]!COMPROMISOS_2024[[#All],[Total pagado]],"",0)</f>
        <v>#NAME?</v>
      </c>
      <c r="AJ1074" s="56">
        <f>IF(PAA_4[[#This Row],[BOLSA]]=0,0,SUMIFS([2]!COMPROMISOS_2024[[#All],[Total pagado]],[2]!COMPROMISOS_2024[[#All],[Bolsa]],PAA_4[[#This Row],[BOLSA]],[2]!COMPROMISOS_2024[[#All],[rubro]],PAA_4[[#This Row],[RCP-RUBRO]]))</f>
        <v>0</v>
      </c>
      <c r="AK1074" s="47" t="e" cm="1">
        <f t="array" aca="1" ref="AK1074" ca="1">_xlfn.XLOOKUP(PAA_4[[#This Row],[RCP-RUBRO]],[2]!COMPROMISOS_2024[[#All],[concatenado]],[2]!COMPROMISOS_2024[[#All],[Total Comprometido]],"",0)</f>
        <v>#NAME?</v>
      </c>
      <c r="AL1074" s="47">
        <f>IF(PAA_4[[#This Row],[BOLSA]]=0,0,SUMIFS([2]!COMPROMISOS_2024[[#All],[Total Comprometido]],[2]!COMPROMISOS_2024[[#All],[Bolsa]],PAA_4[[#This Row],[BOLSA]],[2]!COMPROMISOS_2024[[#All],[concatenado]],PAA_4[[#This Row],[RCP-RUBRO]]))</f>
        <v>0</v>
      </c>
    </row>
    <row r="1075" spans="1:38" s="19" customFormat="1" ht="31.5" customHeight="1">
      <c r="A1075" s="47">
        <v>640</v>
      </c>
      <c r="B1075" s="47">
        <v>80111600</v>
      </c>
      <c r="C1075" s="47" t="str">
        <f>VLOOKUP(PAA_4[[#This Row],[PROYECTO (formulado)2]],[2]PROYECTOS!$G$1:$L$32,6,0)</f>
        <v>SUBGERENCIA DE FOMENTO Y DESARROLLO</v>
      </c>
      <c r="D1075" s="47" t="str">
        <f>+IF(PAA_4[[#This Row],[UNIDAD DE CONTRATACION (formulado)]]="Subgerencia Administrativa y Financiera","FUNCIONAMIENTO","INVERSIÓN")</f>
        <v>INVERSIÓN</v>
      </c>
      <c r="E1075" s="48" t="str">
        <f>VLOOKUP(Q1075,[2]PROYECTOS!$G$1:$K$32,5,0)</f>
        <v>FORTALECIMIENTO_DE_LOS_PROGRAMAS_RECREATIVOS_EN_LOS_MUNICIPIOS_DEL_DEPARTAMENTO_DE_ANTIOQUIA</v>
      </c>
      <c r="F1075" s="48">
        <f>VLOOKUP(E1075,[2]PROYECTOS!$K$1:$M$32,3,0)</f>
        <v>2020003050031</v>
      </c>
      <c r="G1075" s="49" t="s">
        <v>335</v>
      </c>
      <c r="H1075" s="49" t="str">
        <f>VLOOKUP(Q1075,[2]PROYECTOS!$V$1:$W$32,2,0)</f>
        <v>050064</v>
      </c>
      <c r="I1075" s="50">
        <v>4644126</v>
      </c>
      <c r="J1075" s="51" t="s">
        <v>338</v>
      </c>
      <c r="K1075" s="47" t="str">
        <f t="shared" ca="1" si="388"/>
        <v>CONTRATADO</v>
      </c>
      <c r="L1075" s="47" t="s">
        <v>94</v>
      </c>
      <c r="M1075" s="47" t="s">
        <v>1297</v>
      </c>
      <c r="N1075" s="51" t="s">
        <v>336</v>
      </c>
      <c r="O1075" s="51" t="e">
        <f>VLOOKUP(N1075,[2]!RUBROS[#All],3,0)</f>
        <v>#REF!</v>
      </c>
      <c r="P1075" s="53" t="e">
        <f>VLOOKUP(N1075,[2]!RUBROS[#All],2,0)</f>
        <v>#REF!</v>
      </c>
      <c r="Q1075" s="47" t="str">
        <f t="shared" si="389"/>
        <v>47</v>
      </c>
      <c r="R1075" s="47" t="str">
        <f t="shared" si="390"/>
        <v>0-205128</v>
      </c>
      <c r="S1075" s="54">
        <v>7</v>
      </c>
      <c r="T1075" s="59" t="s">
        <v>46</v>
      </c>
      <c r="U1075" s="326" t="e">
        <f ca="1">_xlfn.XLOOKUP(PAA_4[[#This Row],[ITEM]],[2]Contrato!A:A,[2]Contrato!Q:Q,"",0)</f>
        <v>#NAME?</v>
      </c>
      <c r="V1075" s="47" t="s">
        <v>95</v>
      </c>
      <c r="W1075" s="47" t="s">
        <v>122</v>
      </c>
      <c r="X1075" s="47" t="s">
        <v>122</v>
      </c>
      <c r="Y1075" s="55" t="e">
        <f ca="1">_xlfn.XLOOKUP(PAA_4[[#This Row],[ITEM]],[2]Contrato!A:A,[2]Contrato!B:B,"",0)</f>
        <v>#NAME?</v>
      </c>
      <c r="Z1075" s="47" t="e">
        <f ca="1">_xlfn.XLOOKUP(PAA_4[[#This Row],[ITEM]],[2]Contrato!A:A,[2]Contrato!G:G,"",0)</f>
        <v>#NAME?</v>
      </c>
      <c r="AA1075" s="47" t="e">
        <f ca="1">_xlfn.XLOOKUP(PAA_4[[#This Row],[ITEM]],[2]Contrato!A:A,[2]Contrato!T:T,"",0)</f>
        <v>#NAME?</v>
      </c>
      <c r="AB1075" s="55" t="e">
        <f ca="1">+MAX(PAA_4[[#This Row],[Comprometido Contrato]],PAA_4[[#This Row],[Comprometido Bolsa]])</f>
        <v>#NAME?</v>
      </c>
      <c r="AC1075" s="55" t="str">
        <f t="shared" ca="1" si="391"/>
        <v/>
      </c>
      <c r="AD1075" s="55" t="e">
        <f ca="1">IF(PAA_4[[#This Row],[ESTADO (formulado)]]="NO CONTRATADO",0,MAX(PAA_4[[#This Row],[Pago por Contrato]],PAA_4[[#This Row],[Pago por bolsa]]))</f>
        <v>#NAME?</v>
      </c>
      <c r="AE1075" s="55" t="str">
        <f t="shared" ca="1" si="392"/>
        <v/>
      </c>
      <c r="AF1075" s="47" t="e">
        <f t="shared" ca="1" si="393"/>
        <v>#NAME?</v>
      </c>
      <c r="AG1075" s="47">
        <f t="shared" si="394"/>
        <v>44021004</v>
      </c>
      <c r="AH1075" s="54">
        <f>IF(Q1075="22",IF(ISNUMBER(SEARCH("econ",PAA_4[[#This Row],[Actividad3]])),"Económico",IF(ISNUMBER(SEARCH("alim",PAA_4[[#This Row],[Actividad3]])),"Alimentación",IF(ISNUMBER(SEARCH("educ",PAA_4[[#This Row],[Actividad3]])),"Educativo","Técnico"))),0)</f>
        <v>0</v>
      </c>
      <c r="AI1075" s="47" t="e" cm="1">
        <f t="array" aca="1" ref="AI1075" ca="1">_xlfn.XLOOKUP(PAA_4[[#This Row],[RCP-RUBRO]],[2]!COMPROMISOS_2024[[#All],[concatenado]],[2]!COMPROMISOS_2024[[#All],[Total pagado]],"",0)</f>
        <v>#NAME?</v>
      </c>
      <c r="AJ1075" s="56">
        <f>IF(PAA_4[[#This Row],[BOLSA]]=0,0,SUMIFS([2]!COMPROMISOS_2024[[#All],[Total pagado]],[2]!COMPROMISOS_2024[[#All],[Bolsa]],PAA_4[[#This Row],[BOLSA]],[2]!COMPROMISOS_2024[[#All],[rubro]],PAA_4[[#This Row],[RCP-RUBRO]]))</f>
        <v>0</v>
      </c>
      <c r="AK1075" s="47" t="e" cm="1">
        <f t="array" aca="1" ref="AK1075" ca="1">_xlfn.XLOOKUP(PAA_4[[#This Row],[RCP-RUBRO]],[2]!COMPROMISOS_2024[[#All],[concatenado]],[2]!COMPROMISOS_2024[[#All],[Total Comprometido]],"",0)</f>
        <v>#NAME?</v>
      </c>
      <c r="AL1075" s="47">
        <f>IF(PAA_4[[#This Row],[BOLSA]]=0,0,SUMIFS([2]!COMPROMISOS_2024[[#All],[Total Comprometido]],[2]!COMPROMISOS_2024[[#All],[Bolsa]],PAA_4[[#This Row],[BOLSA]],[2]!COMPROMISOS_2024[[#All],[concatenado]],PAA_4[[#This Row],[RCP-RUBRO]]))</f>
        <v>0</v>
      </c>
    </row>
    <row r="1076" spans="1:38" s="19" customFormat="1" ht="31.5" customHeight="1">
      <c r="A1076" s="47">
        <v>640</v>
      </c>
      <c r="B1076" s="47">
        <v>80111600</v>
      </c>
      <c r="C1076" s="47" t="str">
        <f>VLOOKUP(PAA_4[[#This Row],[PROYECTO (formulado)2]],[2]PROYECTOS!$G$1:$L$32,6,0)</f>
        <v>SUBGERENCIA DE FOMENTO Y DESARROLLO</v>
      </c>
      <c r="D1076" s="47" t="str">
        <f>+IF(PAA_4[[#This Row],[UNIDAD DE CONTRATACION (formulado)]]="Subgerencia Administrativa y Financiera","FUNCIONAMIENTO","INVERSIÓN")</f>
        <v>INVERSIÓN</v>
      </c>
      <c r="E1076" s="48" t="str">
        <f>VLOOKUP(Q1076,[2]PROYECTOS!$G$1:$K$32,5,0)</f>
        <v>FORTALECIMIENTO_DEL_PROGRAMA_POR_SU_SALUD_MUÉVASE_PUES_EN_LOS_MUNICIPIO_DEL_DEPARTAMENTO_DE_ANTIOQUIA</v>
      </c>
      <c r="F1076" s="48">
        <f>VLOOKUP(E1076,[2]PROYECTOS!$K$1:$M$32,3,0)</f>
        <v>2020003050030</v>
      </c>
      <c r="G1076" s="49" t="s">
        <v>326</v>
      </c>
      <c r="H1076" s="49" t="str">
        <f>VLOOKUP(Q1076,[2]PROYECTOS!$V$1:$W$32,2,0)</f>
        <v>050055</v>
      </c>
      <c r="I1076" s="50">
        <v>4623552</v>
      </c>
      <c r="J1076" s="51" t="s">
        <v>338</v>
      </c>
      <c r="K1076" s="47" t="str">
        <f t="shared" ca="1" si="388"/>
        <v>CONTRATADO</v>
      </c>
      <c r="L1076" s="47" t="s">
        <v>94</v>
      </c>
      <c r="M1076" s="47" t="s">
        <v>1297</v>
      </c>
      <c r="N1076" s="51" t="s">
        <v>329</v>
      </c>
      <c r="O1076" s="51" t="e">
        <f>VLOOKUP(N1076,[2]!RUBROS[#All],3,0)</f>
        <v>#REF!</v>
      </c>
      <c r="P1076" s="53" t="e">
        <f>VLOOKUP(N1076,[2]!RUBROS[#All],2,0)</f>
        <v>#REF!</v>
      </c>
      <c r="Q1076" s="47" t="str">
        <f t="shared" si="389"/>
        <v>45</v>
      </c>
      <c r="R1076" s="47" t="str">
        <f t="shared" si="390"/>
        <v>0-205128</v>
      </c>
      <c r="S1076" s="54">
        <v>7</v>
      </c>
      <c r="T1076" s="59" t="s">
        <v>46</v>
      </c>
      <c r="U1076" s="326" t="e">
        <f ca="1">_xlfn.XLOOKUP(PAA_4[[#This Row],[ITEM]],[2]Contrato!A:A,[2]Contrato!Q:Q,"",0)</f>
        <v>#NAME?</v>
      </c>
      <c r="V1076" s="47" t="s">
        <v>95</v>
      </c>
      <c r="W1076" s="47" t="s">
        <v>122</v>
      </c>
      <c r="X1076" s="47" t="s">
        <v>122</v>
      </c>
      <c r="Y1076" s="55" t="e">
        <f ca="1">_xlfn.XLOOKUP(PAA_4[[#This Row],[ITEM]],[2]Contrato!A:A,[2]Contrato!B:B,"",0)</f>
        <v>#NAME?</v>
      </c>
      <c r="Z1076" s="47" t="e">
        <f ca="1">_xlfn.XLOOKUP(PAA_4[[#This Row],[ITEM]],[2]Contrato!A:A,[2]Contrato!G:G,"",0)</f>
        <v>#NAME?</v>
      </c>
      <c r="AA1076" s="47" t="e">
        <f ca="1">_xlfn.XLOOKUP(PAA_4[[#This Row],[ITEM]],[2]Contrato!A:A,[2]Contrato!T:T,"",0)</f>
        <v>#NAME?</v>
      </c>
      <c r="AB1076" s="55" t="e">
        <f ca="1">+MAX(PAA_4[[#This Row],[Comprometido Contrato]],PAA_4[[#This Row],[Comprometido Bolsa]])</f>
        <v>#NAME?</v>
      </c>
      <c r="AC1076" s="55" t="str">
        <f t="shared" ca="1" si="391"/>
        <v/>
      </c>
      <c r="AD1076" s="55" t="e">
        <f ca="1">IF(PAA_4[[#This Row],[ESTADO (formulado)]]="NO CONTRATADO",0,MAX(PAA_4[[#This Row],[Pago por Contrato]],PAA_4[[#This Row],[Pago por bolsa]]))</f>
        <v>#NAME?</v>
      </c>
      <c r="AE1076" s="55" t="str">
        <f t="shared" ca="1" si="392"/>
        <v/>
      </c>
      <c r="AF1076" s="47" t="e">
        <f t="shared" ca="1" si="393"/>
        <v>#NAME?</v>
      </c>
      <c r="AG1076" s="47">
        <f t="shared" si="394"/>
        <v>44021001</v>
      </c>
      <c r="AH1076" s="54">
        <f>IF(Q1076="22",IF(ISNUMBER(SEARCH("econ",PAA_4[[#This Row],[Actividad3]])),"Económico",IF(ISNUMBER(SEARCH("alim",PAA_4[[#This Row],[Actividad3]])),"Alimentación",IF(ISNUMBER(SEARCH("educ",PAA_4[[#This Row],[Actividad3]])),"Educativo","Técnico"))),0)</f>
        <v>0</v>
      </c>
      <c r="AI1076" s="47" t="e" cm="1">
        <f t="array" aca="1" ref="AI1076" ca="1">_xlfn.XLOOKUP(PAA_4[[#This Row],[RCP-RUBRO]],[2]!COMPROMISOS_2024[[#All],[concatenado]],[2]!COMPROMISOS_2024[[#All],[Total pagado]],"",0)</f>
        <v>#NAME?</v>
      </c>
      <c r="AJ1076" s="56">
        <f>IF(PAA_4[[#This Row],[BOLSA]]=0,0,SUMIFS([2]!COMPROMISOS_2024[[#All],[Total pagado]],[2]!COMPROMISOS_2024[[#All],[Bolsa]],PAA_4[[#This Row],[BOLSA]],[2]!COMPROMISOS_2024[[#All],[rubro]],PAA_4[[#This Row],[RCP-RUBRO]]))</f>
        <v>0</v>
      </c>
      <c r="AK1076" s="47" t="e" cm="1">
        <f t="array" aca="1" ref="AK1076" ca="1">_xlfn.XLOOKUP(PAA_4[[#This Row],[RCP-RUBRO]],[2]!COMPROMISOS_2024[[#All],[concatenado]],[2]!COMPROMISOS_2024[[#All],[Total Comprometido]],"",0)</f>
        <v>#NAME?</v>
      </c>
      <c r="AL1076" s="47">
        <f>IF(PAA_4[[#This Row],[BOLSA]]=0,0,SUMIFS([2]!COMPROMISOS_2024[[#All],[Total Comprometido]],[2]!COMPROMISOS_2024[[#All],[Bolsa]],PAA_4[[#This Row],[BOLSA]],[2]!COMPROMISOS_2024[[#All],[concatenado]],PAA_4[[#This Row],[RCP-RUBRO]]))</f>
        <v>0</v>
      </c>
    </row>
    <row r="1077" spans="1:38" s="19" customFormat="1" ht="31.5" customHeight="1">
      <c r="A1077" s="47">
        <v>510</v>
      </c>
      <c r="B1077" s="47">
        <v>80111600</v>
      </c>
      <c r="C1077" s="47" t="str">
        <f>VLOOKUP(PAA_4[[#This Row],[PROYECTO (formulado)2]],[2]PROYECTOS!$G$1:$L$32,6,0)</f>
        <v>SUBGERENCIA DE FOMENTO Y DESARROLLO</v>
      </c>
      <c r="D1077" s="47" t="str">
        <f>+IF(PAA_4[[#This Row],[UNIDAD DE CONTRATACION (formulado)]]="Subgerencia Administrativa y Financiera","FUNCIONAMIENTO","INVERSIÓN")</f>
        <v>INVERSIÓN</v>
      </c>
      <c r="E1077" s="48" t="str">
        <f>VLOOKUP(Q1077,[2]PROYECTOS!$G$1:$K$32,5,0)</f>
        <v>FORTALECIMIENTO_DEL_PROGRAMA_POR_SU_SALUD_MUÉVASE_PUES_EN_LOS_MUNICIPIO_DEL_DEPARTAMENTO_DE_ANTIOQUIA</v>
      </c>
      <c r="F1077" s="48">
        <f>VLOOKUP(E1077,[2]PROYECTOS!$K$1:$M$32,3,0)</f>
        <v>2020003050030</v>
      </c>
      <c r="G1077" s="49" t="s">
        <v>326</v>
      </c>
      <c r="H1077" s="49" t="str">
        <f>VLOOKUP(Q1077,[2]PROYECTOS!$V$1:$W$32,2,0)</f>
        <v>050055</v>
      </c>
      <c r="I1077" s="50">
        <v>0</v>
      </c>
      <c r="J1077" s="51" t="s">
        <v>42</v>
      </c>
      <c r="K1077" s="47" t="str">
        <f t="shared" ca="1" si="388"/>
        <v>CONTRATADO</v>
      </c>
      <c r="L1077" s="47" t="s">
        <v>94</v>
      </c>
      <c r="M1077" s="47" t="s">
        <v>1297</v>
      </c>
      <c r="N1077" s="51" t="s">
        <v>329</v>
      </c>
      <c r="O1077" s="51" t="e">
        <f>VLOOKUP(N1077,[2]!RUBROS[#All],3,0)</f>
        <v>#REF!</v>
      </c>
      <c r="P1077" s="53" t="e">
        <f>VLOOKUP(N1077,[2]!RUBROS[#All],2,0)</f>
        <v>#REF!</v>
      </c>
      <c r="Q1077" s="47" t="str">
        <f t="shared" si="389"/>
        <v>45</v>
      </c>
      <c r="R1077" s="47" t="str">
        <f t="shared" si="390"/>
        <v>0-205128</v>
      </c>
      <c r="S1077" s="54"/>
      <c r="T1077" s="59" t="s">
        <v>46</v>
      </c>
      <c r="U1077" s="326" t="e">
        <f ca="1">_xlfn.XLOOKUP(PAA_4[[#This Row],[ITEM]],[2]Contrato!A:A,[2]Contrato!Q:Q,"",0)</f>
        <v>#NAME?</v>
      </c>
      <c r="V1077" s="47" t="s">
        <v>47</v>
      </c>
      <c r="W1077" s="47" t="s">
        <v>96</v>
      </c>
      <c r="X1077" s="47" t="s">
        <v>96</v>
      </c>
      <c r="Y1077" s="55" t="e">
        <f ca="1">_xlfn.XLOOKUP(PAA_4[[#This Row],[ITEM]],[2]Contrato!A:A,[2]Contrato!B:B,"",0)</f>
        <v>#NAME?</v>
      </c>
      <c r="Z1077" s="47" t="e">
        <f ca="1">_xlfn.XLOOKUP(PAA_4[[#This Row],[ITEM]],[2]Contrato!A:A,[2]Contrato!G:G,"",0)</f>
        <v>#NAME?</v>
      </c>
      <c r="AA1077" s="47" t="e">
        <f ca="1">_xlfn.XLOOKUP(PAA_4[[#This Row],[ITEM]],[2]Contrato!A:A,[2]Contrato!T:T,"",0)</f>
        <v>#NAME?</v>
      </c>
      <c r="AB1077" s="55" t="e">
        <f ca="1">+MAX(PAA_4[[#This Row],[Comprometido Contrato]],PAA_4[[#This Row],[Comprometido Bolsa]])</f>
        <v>#NAME?</v>
      </c>
      <c r="AC1077" s="55" t="str">
        <f t="shared" ca="1" si="391"/>
        <v/>
      </c>
      <c r="AD1077" s="55" t="e">
        <f ca="1">IF(PAA_4[[#This Row],[ESTADO (formulado)]]="NO CONTRATADO",0,MAX(PAA_4[[#This Row],[Pago por Contrato]],PAA_4[[#This Row],[Pago por bolsa]]))</f>
        <v>#NAME?</v>
      </c>
      <c r="AE1077" s="55" t="str">
        <f t="shared" ca="1" si="392"/>
        <v/>
      </c>
      <c r="AF1077" s="47" t="e">
        <f t="shared" ca="1" si="393"/>
        <v>#NAME?</v>
      </c>
      <c r="AG1077" s="47">
        <f t="shared" si="394"/>
        <v>44021001</v>
      </c>
      <c r="AH1077" s="54">
        <f>IF(Q1077="22",IF(ISNUMBER(SEARCH("econ",PAA_4[[#This Row],[Actividad3]])),"Económico",IF(ISNUMBER(SEARCH("alim",PAA_4[[#This Row],[Actividad3]])),"Alimentación",IF(ISNUMBER(SEARCH("educ",PAA_4[[#This Row],[Actividad3]])),"Educativo","Técnico"))),0)</f>
        <v>0</v>
      </c>
      <c r="AI1077" s="47" t="e" cm="1">
        <f t="array" aca="1" ref="AI1077" ca="1">_xlfn.XLOOKUP(PAA_4[[#This Row],[RCP-RUBRO]],[2]!COMPROMISOS_2024[[#All],[concatenado]],[2]!COMPROMISOS_2024[[#All],[Total pagado]],"",0)</f>
        <v>#NAME?</v>
      </c>
      <c r="AJ1077" s="56">
        <f>IF(PAA_4[[#This Row],[BOLSA]]=0,0,SUMIFS([2]!COMPROMISOS_2024[[#All],[Total pagado]],[2]!COMPROMISOS_2024[[#All],[Bolsa]],PAA_4[[#This Row],[BOLSA]],[2]!COMPROMISOS_2024[[#All],[rubro]],PAA_4[[#This Row],[RCP-RUBRO]]))</f>
        <v>0</v>
      </c>
      <c r="AK1077" s="47" t="e" cm="1">
        <f t="array" aca="1" ref="AK1077" ca="1">_xlfn.XLOOKUP(PAA_4[[#This Row],[RCP-RUBRO]],[2]!COMPROMISOS_2024[[#All],[concatenado]],[2]!COMPROMISOS_2024[[#All],[Total Comprometido]],"",0)</f>
        <v>#NAME?</v>
      </c>
      <c r="AL1077" s="47">
        <f>IF(PAA_4[[#This Row],[BOLSA]]=0,0,SUMIFS([2]!COMPROMISOS_2024[[#All],[Total Comprometido]],[2]!COMPROMISOS_2024[[#All],[Bolsa]],PAA_4[[#This Row],[BOLSA]],[2]!COMPROMISOS_2024[[#All],[concatenado]],PAA_4[[#This Row],[RCP-RUBRO]]))</f>
        <v>0</v>
      </c>
    </row>
    <row r="1078" spans="1:38" s="19" customFormat="1" ht="31.5" customHeight="1">
      <c r="A1078" s="47">
        <v>510</v>
      </c>
      <c r="B1078" s="47">
        <v>80111600</v>
      </c>
      <c r="C1078" s="47" t="str">
        <f>VLOOKUP(PAA_4[[#This Row],[PROYECTO (formulado)2]],[2]PROYECTOS!$G$1:$L$32,6,0)</f>
        <v>SUBGERENCIA DE FOMENTO Y DESARROLLO</v>
      </c>
      <c r="D1078" s="47" t="str">
        <f>+IF(PAA_4[[#This Row],[UNIDAD DE CONTRATACION (formulado)]]="Subgerencia Administrativa y Financiera","FUNCIONAMIENTO","INVERSIÓN")</f>
        <v>INVERSIÓN</v>
      </c>
      <c r="E1078" s="48" t="str">
        <f>VLOOKUP(Q1078,[2]PROYECTOS!$G$1:$K$32,5,0)</f>
        <v>FORTALECIMIENTO_DE_LAS_ESCUELAS_DEPORTIVAS_EN_LOS_MUNICIPIOS_DEL_DEPARTAMENTO_DE_ANTIOQUIA</v>
      </c>
      <c r="F1078" s="48">
        <f>VLOOKUP(E1078,[2]PROYECTOS!$K$1:$M$32,3,0)</f>
        <v>2020003050032</v>
      </c>
      <c r="G1078" s="49" t="s">
        <v>333</v>
      </c>
      <c r="H1078" s="49" t="str">
        <f>VLOOKUP(Q1078,[2]PROYECTOS!$V$1:$W$32,2,0)</f>
        <v>050059</v>
      </c>
      <c r="I1078" s="50">
        <v>0</v>
      </c>
      <c r="J1078" s="51" t="s">
        <v>42</v>
      </c>
      <c r="K1078" s="47" t="str">
        <f t="shared" ca="1" si="388"/>
        <v>CONTRATADO</v>
      </c>
      <c r="L1078" s="47" t="s">
        <v>94</v>
      </c>
      <c r="M1078" s="47" t="s">
        <v>1297</v>
      </c>
      <c r="N1078" s="51" t="s">
        <v>334</v>
      </c>
      <c r="O1078" s="51" t="e">
        <f>VLOOKUP(N1078,[2]!RUBROS[#All],3,0)</f>
        <v>#REF!</v>
      </c>
      <c r="P1078" s="53" t="e">
        <f>VLOOKUP(N1078,[2]!RUBROS[#All],2,0)</f>
        <v>#REF!</v>
      </c>
      <c r="Q1078" s="47" t="str">
        <f t="shared" si="389"/>
        <v>46</v>
      </c>
      <c r="R1078" s="47" t="str">
        <f t="shared" si="390"/>
        <v>0-205128</v>
      </c>
      <c r="S1078" s="54"/>
      <c r="T1078" s="59" t="s">
        <v>46</v>
      </c>
      <c r="U1078" s="326" t="e">
        <f ca="1">_xlfn.XLOOKUP(PAA_4[[#This Row],[ITEM]],[2]Contrato!A:A,[2]Contrato!Q:Q,"",0)</f>
        <v>#NAME?</v>
      </c>
      <c r="V1078" s="47" t="s">
        <v>47</v>
      </c>
      <c r="W1078" s="47" t="s">
        <v>96</v>
      </c>
      <c r="X1078" s="47" t="s">
        <v>96</v>
      </c>
      <c r="Y1078" s="55" t="e">
        <f ca="1">_xlfn.XLOOKUP(PAA_4[[#This Row],[ITEM]],[2]Contrato!A:A,[2]Contrato!B:B,"",0)</f>
        <v>#NAME?</v>
      </c>
      <c r="Z1078" s="47" t="e">
        <f ca="1">_xlfn.XLOOKUP(PAA_4[[#This Row],[ITEM]],[2]Contrato!A:A,[2]Contrato!G:G,"",0)</f>
        <v>#NAME?</v>
      </c>
      <c r="AA1078" s="47" t="e">
        <f ca="1">_xlfn.XLOOKUP(PAA_4[[#This Row],[ITEM]],[2]Contrato!A:A,[2]Contrato!T:T,"",0)</f>
        <v>#NAME?</v>
      </c>
      <c r="AB1078" s="55" t="e">
        <f ca="1">+MAX(PAA_4[[#This Row],[Comprometido Contrato]],PAA_4[[#This Row],[Comprometido Bolsa]])</f>
        <v>#NAME?</v>
      </c>
      <c r="AC1078" s="55" t="str">
        <f t="shared" ca="1" si="391"/>
        <v/>
      </c>
      <c r="AD1078" s="55" t="e">
        <f ca="1">IF(PAA_4[[#This Row],[ESTADO (formulado)]]="NO CONTRATADO",0,MAX(PAA_4[[#This Row],[Pago por Contrato]],PAA_4[[#This Row],[Pago por bolsa]]))</f>
        <v>#NAME?</v>
      </c>
      <c r="AE1078" s="55" t="str">
        <f t="shared" ca="1" si="392"/>
        <v/>
      </c>
      <c r="AF1078" s="47" t="e">
        <f t="shared" ca="1" si="393"/>
        <v>#NAME?</v>
      </c>
      <c r="AG1078" s="47">
        <f t="shared" si="394"/>
        <v>44021007</v>
      </c>
      <c r="AH1078" s="54">
        <f>IF(Q1078="22",IF(ISNUMBER(SEARCH("econ",PAA_4[[#This Row],[Actividad3]])),"Económico",IF(ISNUMBER(SEARCH("alim",PAA_4[[#This Row],[Actividad3]])),"Alimentación",IF(ISNUMBER(SEARCH("educ",PAA_4[[#This Row],[Actividad3]])),"Educativo","Técnico"))),0)</f>
        <v>0</v>
      </c>
      <c r="AI1078" s="47" t="e" cm="1">
        <f t="array" aca="1" ref="AI1078" ca="1">_xlfn.XLOOKUP(PAA_4[[#This Row],[RCP-RUBRO]],[2]!COMPROMISOS_2024[[#All],[concatenado]],[2]!COMPROMISOS_2024[[#All],[Total pagado]],"",0)</f>
        <v>#NAME?</v>
      </c>
      <c r="AJ1078" s="56">
        <f>IF(PAA_4[[#This Row],[BOLSA]]=0,0,SUMIFS([2]!COMPROMISOS_2024[[#All],[Total pagado]],[2]!COMPROMISOS_2024[[#All],[Bolsa]],PAA_4[[#This Row],[BOLSA]],[2]!COMPROMISOS_2024[[#All],[rubro]],PAA_4[[#This Row],[RCP-RUBRO]]))</f>
        <v>0</v>
      </c>
      <c r="AK1078" s="47" t="e" cm="1">
        <f t="array" aca="1" ref="AK1078" ca="1">_xlfn.XLOOKUP(PAA_4[[#This Row],[RCP-RUBRO]],[2]!COMPROMISOS_2024[[#All],[concatenado]],[2]!COMPROMISOS_2024[[#All],[Total Comprometido]],"",0)</f>
        <v>#NAME?</v>
      </c>
      <c r="AL1078" s="47">
        <f>IF(PAA_4[[#This Row],[BOLSA]]=0,0,SUMIFS([2]!COMPROMISOS_2024[[#All],[Total Comprometido]],[2]!COMPROMISOS_2024[[#All],[Bolsa]],PAA_4[[#This Row],[BOLSA]],[2]!COMPROMISOS_2024[[#All],[concatenado]],PAA_4[[#This Row],[RCP-RUBRO]]))</f>
        <v>0</v>
      </c>
    </row>
    <row r="1079" spans="1:38" s="19" customFormat="1" ht="31.5" customHeight="1">
      <c r="A1079" s="47">
        <v>510</v>
      </c>
      <c r="B1079" s="47">
        <v>80111600</v>
      </c>
      <c r="C1079" s="47" t="str">
        <f>VLOOKUP(PAA_4[[#This Row],[PROYECTO (formulado)2]],[2]PROYECTOS!$G$1:$L$32,6,0)</f>
        <v>SUBGERENCIA DE FOMENTO Y DESARROLLO</v>
      </c>
      <c r="D1079" s="47" t="str">
        <f>+IF(PAA_4[[#This Row],[UNIDAD DE CONTRATACION (formulado)]]="Subgerencia Administrativa y Financiera","FUNCIONAMIENTO","INVERSIÓN")</f>
        <v>INVERSIÓN</v>
      </c>
      <c r="E1079" s="48" t="str">
        <f>VLOOKUP(Q1079,[2]PROYECTOS!$G$1:$K$32,5,0)</f>
        <v>FORTALECIMIENTO_DE_LOS_PROGRAMAS_RECREATIVOS_EN_LOS_MUNICIPIOS_DEL_DEPARTAMENTO_DE_ANTIOQUIA</v>
      </c>
      <c r="F1079" s="48">
        <f>VLOOKUP(E1079,[2]PROYECTOS!$K$1:$M$32,3,0)</f>
        <v>2020003050031</v>
      </c>
      <c r="G1079" s="49" t="s">
        <v>335</v>
      </c>
      <c r="H1079" s="49" t="str">
        <f>VLOOKUP(Q1079,[2]PROYECTOS!$V$1:$W$32,2,0)</f>
        <v>050064</v>
      </c>
      <c r="I1079" s="50">
        <v>0</v>
      </c>
      <c r="J1079" s="51" t="s">
        <v>42</v>
      </c>
      <c r="K1079" s="47" t="str">
        <f t="shared" ca="1" si="388"/>
        <v>CONTRATADO</v>
      </c>
      <c r="L1079" s="47" t="s">
        <v>94</v>
      </c>
      <c r="M1079" s="47" t="s">
        <v>1297</v>
      </c>
      <c r="N1079" s="51" t="s">
        <v>336</v>
      </c>
      <c r="O1079" s="51" t="e">
        <f>VLOOKUP(N1079,[2]!RUBROS[#All],3,0)</f>
        <v>#REF!</v>
      </c>
      <c r="P1079" s="53" t="e">
        <f>VLOOKUP(N1079,[2]!RUBROS[#All],2,0)</f>
        <v>#REF!</v>
      </c>
      <c r="Q1079" s="47" t="str">
        <f t="shared" si="389"/>
        <v>47</v>
      </c>
      <c r="R1079" s="47" t="str">
        <f t="shared" si="390"/>
        <v>0-205128</v>
      </c>
      <c r="S1079" s="54"/>
      <c r="T1079" s="59" t="s">
        <v>46</v>
      </c>
      <c r="U1079" s="326" t="e">
        <f ca="1">_xlfn.XLOOKUP(PAA_4[[#This Row],[ITEM]],[2]Contrato!A:A,[2]Contrato!Q:Q,"",0)</f>
        <v>#NAME?</v>
      </c>
      <c r="V1079" s="47" t="s">
        <v>47</v>
      </c>
      <c r="W1079" s="47" t="s">
        <v>96</v>
      </c>
      <c r="X1079" s="47" t="s">
        <v>96</v>
      </c>
      <c r="Y1079" s="55" t="e">
        <f ca="1">_xlfn.XLOOKUP(PAA_4[[#This Row],[ITEM]],[2]Contrato!A:A,[2]Contrato!B:B,"",0)</f>
        <v>#NAME?</v>
      </c>
      <c r="Z1079" s="47" t="e">
        <f ca="1">_xlfn.XLOOKUP(PAA_4[[#This Row],[ITEM]],[2]Contrato!A:A,[2]Contrato!G:G,"",0)</f>
        <v>#NAME?</v>
      </c>
      <c r="AA1079" s="47" t="e">
        <f ca="1">_xlfn.XLOOKUP(PAA_4[[#This Row],[ITEM]],[2]Contrato!A:A,[2]Contrato!T:T,"",0)</f>
        <v>#NAME?</v>
      </c>
      <c r="AB1079" s="55" t="e">
        <f ca="1">+MAX(PAA_4[[#This Row],[Comprometido Contrato]],PAA_4[[#This Row],[Comprometido Bolsa]])</f>
        <v>#NAME?</v>
      </c>
      <c r="AC1079" s="55" t="str">
        <f t="shared" ca="1" si="391"/>
        <v/>
      </c>
      <c r="AD1079" s="55" t="e">
        <f ca="1">IF(PAA_4[[#This Row],[ESTADO (formulado)]]="NO CONTRATADO",0,MAX(PAA_4[[#This Row],[Pago por Contrato]],PAA_4[[#This Row],[Pago por bolsa]]))</f>
        <v>#NAME?</v>
      </c>
      <c r="AE1079" s="55" t="str">
        <f t="shared" ca="1" si="392"/>
        <v/>
      </c>
      <c r="AF1079" s="47" t="e">
        <f t="shared" ca="1" si="393"/>
        <v>#NAME?</v>
      </c>
      <c r="AG1079" s="47">
        <f t="shared" si="394"/>
        <v>44021004</v>
      </c>
      <c r="AH1079" s="54">
        <f>IF(Q1079="22",IF(ISNUMBER(SEARCH("econ",PAA_4[[#This Row],[Actividad3]])),"Económico",IF(ISNUMBER(SEARCH("alim",PAA_4[[#This Row],[Actividad3]])),"Alimentación",IF(ISNUMBER(SEARCH("educ",PAA_4[[#This Row],[Actividad3]])),"Educativo","Técnico"))),0)</f>
        <v>0</v>
      </c>
      <c r="AI1079" s="47" t="e" cm="1">
        <f t="array" aca="1" ref="AI1079" ca="1">_xlfn.XLOOKUP(PAA_4[[#This Row],[RCP-RUBRO]],[2]!COMPROMISOS_2024[[#All],[concatenado]],[2]!COMPROMISOS_2024[[#All],[Total pagado]],"",0)</f>
        <v>#NAME?</v>
      </c>
      <c r="AJ1079" s="56">
        <f>IF(PAA_4[[#This Row],[BOLSA]]=0,0,SUMIFS([2]!COMPROMISOS_2024[[#All],[Total pagado]],[2]!COMPROMISOS_2024[[#All],[Bolsa]],PAA_4[[#This Row],[BOLSA]],[2]!COMPROMISOS_2024[[#All],[rubro]],PAA_4[[#This Row],[RCP-RUBRO]]))</f>
        <v>0</v>
      </c>
      <c r="AK1079" s="47" t="e" cm="1">
        <f t="array" aca="1" ref="AK1079" ca="1">_xlfn.XLOOKUP(PAA_4[[#This Row],[RCP-RUBRO]],[2]!COMPROMISOS_2024[[#All],[concatenado]],[2]!COMPROMISOS_2024[[#All],[Total Comprometido]],"",0)</f>
        <v>#NAME?</v>
      </c>
      <c r="AL1079" s="47">
        <f>IF(PAA_4[[#This Row],[BOLSA]]=0,0,SUMIFS([2]!COMPROMISOS_2024[[#All],[Total Comprometido]],[2]!COMPROMISOS_2024[[#All],[Bolsa]],PAA_4[[#This Row],[BOLSA]],[2]!COMPROMISOS_2024[[#All],[concatenado]],PAA_4[[#This Row],[RCP-RUBRO]]))</f>
        <v>0</v>
      </c>
    </row>
    <row r="1080" spans="1:38" s="19" customFormat="1" ht="31.5" customHeight="1">
      <c r="A1080" s="47">
        <v>510</v>
      </c>
      <c r="B1080" s="47">
        <v>80111600</v>
      </c>
      <c r="C1080" s="47" t="str">
        <f>VLOOKUP(PAA_4[[#This Row],[PROYECTO (formulado)2]],[2]PROYECTOS!$G$1:$L$32,6,0)</f>
        <v>SUBGERENCIA DE FOMENTO Y DESARROLLO</v>
      </c>
      <c r="D1080" s="47" t="str">
        <f>+IF(PAA_4[[#This Row],[UNIDAD DE CONTRATACION (formulado)]]="Subgerencia Administrativa y Financiera","FUNCIONAMIENTO","INVERSIÓN")</f>
        <v>INVERSIÓN</v>
      </c>
      <c r="E1080" s="48" t="str">
        <f>VLOOKUP(Q1080,[2]PROYECTOS!$G$1:$K$32,5,0)</f>
        <v>FORTALECIMIENTO_DE_LOS_JUEGOS_DEL_SECTOR_SOCIAL_COMUNITARIO_EN_LOS_MUNICIPIOS_DEL_DEPARTAMENTO_DE_ANTIOQU</v>
      </c>
      <c r="F1080" s="48">
        <f>VLOOKUP(E1080,[2]PROYECTOS!$K$1:$M$32,3,0)</f>
        <v>2020003050033</v>
      </c>
      <c r="G1080" s="49" t="s">
        <v>342</v>
      </c>
      <c r="H1080" s="49" t="str">
        <f>VLOOKUP(Q1080,[2]PROYECTOS!$V$1:$W$32,2,0)</f>
        <v>050057</v>
      </c>
      <c r="I1080" s="50">
        <v>0</v>
      </c>
      <c r="J1080" s="70" t="s">
        <v>344</v>
      </c>
      <c r="K1080" s="47" t="str">
        <f t="shared" ca="1" si="388"/>
        <v>CONTRATADO</v>
      </c>
      <c r="L1080" s="47" t="s">
        <v>94</v>
      </c>
      <c r="M1080" s="47" t="s">
        <v>1297</v>
      </c>
      <c r="N1080" s="51" t="s">
        <v>343</v>
      </c>
      <c r="O1080" s="51" t="e">
        <f>VLOOKUP(N1080,[2]!RUBROS[#All],3,0)</f>
        <v>#REF!</v>
      </c>
      <c r="P1080" s="53" t="e">
        <f>VLOOKUP(N1080,[2]!RUBROS[#All],2,0)</f>
        <v>#REF!</v>
      </c>
      <c r="Q1080" s="47" t="str">
        <f t="shared" si="389"/>
        <v>50</v>
      </c>
      <c r="R1080" s="47" t="str">
        <f t="shared" si="390"/>
        <v>0-205128</v>
      </c>
      <c r="S1080" s="54">
        <v>9</v>
      </c>
      <c r="T1080" s="59" t="s">
        <v>46</v>
      </c>
      <c r="U1080" s="326" t="e">
        <f ca="1">_xlfn.XLOOKUP(PAA_4[[#This Row],[ITEM]],[2]Contrato!A:A,[2]Contrato!Q:Q,"",0)</f>
        <v>#NAME?</v>
      </c>
      <c r="V1080" s="47" t="s">
        <v>47</v>
      </c>
      <c r="W1080" s="47" t="s">
        <v>122</v>
      </c>
      <c r="X1080" s="47" t="s">
        <v>122</v>
      </c>
      <c r="Y1080" s="55" t="e">
        <f ca="1">_xlfn.XLOOKUP(PAA_4[[#This Row],[ITEM]],[2]Contrato!A:A,[2]Contrato!B:B,"",0)</f>
        <v>#NAME?</v>
      </c>
      <c r="Z1080" s="47" t="e">
        <f ca="1">_xlfn.XLOOKUP(PAA_4[[#This Row],[ITEM]],[2]Contrato!A:A,[2]Contrato!G:G,"",0)</f>
        <v>#NAME?</v>
      </c>
      <c r="AA1080" s="47" t="e">
        <f ca="1">_xlfn.XLOOKUP(PAA_4[[#This Row],[ITEM]],[2]Contrato!A:A,[2]Contrato!T:T,"",0)</f>
        <v>#NAME?</v>
      </c>
      <c r="AB1080" s="55" t="e">
        <f ca="1">+MAX(PAA_4[[#This Row],[Comprometido Contrato]],PAA_4[[#This Row],[Comprometido Bolsa]])</f>
        <v>#NAME?</v>
      </c>
      <c r="AC1080" s="55" t="str">
        <f t="shared" ca="1" si="391"/>
        <v/>
      </c>
      <c r="AD1080" s="55" t="e">
        <f ca="1">IF(PAA_4[[#This Row],[ESTADO (formulado)]]="NO CONTRATADO",0,MAX(PAA_4[[#This Row],[Pago por Contrato]],PAA_4[[#This Row],[Pago por bolsa]]))</f>
        <v>#NAME?</v>
      </c>
      <c r="AE1080" s="55" t="str">
        <f t="shared" ca="1" si="392"/>
        <v/>
      </c>
      <c r="AF1080" s="47" t="e">
        <f t="shared" ca="1" si="393"/>
        <v>#NAME?</v>
      </c>
      <c r="AG1080" s="47">
        <f t="shared" si="394"/>
        <v>44021010</v>
      </c>
      <c r="AH1080" s="54">
        <f>IF(Q1080="22",IF(ISNUMBER(SEARCH("econ",PAA_4[[#This Row],[Actividad3]])),"Económico",IF(ISNUMBER(SEARCH("alim",PAA_4[[#This Row],[Actividad3]])),"Alimentación",IF(ISNUMBER(SEARCH("educ",PAA_4[[#This Row],[Actividad3]])),"Educativo","Técnico"))),0)</f>
        <v>0</v>
      </c>
      <c r="AI1080" s="47" t="e" cm="1">
        <f t="array" aca="1" ref="AI1080" ca="1">_xlfn.XLOOKUP(PAA_4[[#This Row],[RCP-RUBRO]],[2]!COMPROMISOS_2024[[#All],[concatenado]],[2]!COMPROMISOS_2024[[#All],[Total pagado]],"",0)</f>
        <v>#NAME?</v>
      </c>
      <c r="AJ1080" s="56">
        <f>IF(PAA_4[[#This Row],[BOLSA]]=0,0,SUMIFS([2]!COMPROMISOS_2024[[#All],[Total pagado]],[2]!COMPROMISOS_2024[[#All],[Bolsa]],PAA_4[[#This Row],[BOLSA]],[2]!COMPROMISOS_2024[[#All],[rubro]],PAA_4[[#This Row],[RCP-RUBRO]]))</f>
        <v>0</v>
      </c>
      <c r="AK1080" s="47" t="e" cm="1">
        <f t="array" aca="1" ref="AK1080" ca="1">_xlfn.XLOOKUP(PAA_4[[#This Row],[RCP-RUBRO]],[2]!COMPROMISOS_2024[[#All],[concatenado]],[2]!COMPROMISOS_2024[[#All],[Total Comprometido]],"",0)</f>
        <v>#NAME?</v>
      </c>
      <c r="AL1080" s="47">
        <f>IF(PAA_4[[#This Row],[BOLSA]]=0,0,SUMIFS([2]!COMPROMISOS_2024[[#All],[Total Comprometido]],[2]!COMPROMISOS_2024[[#All],[Bolsa]],PAA_4[[#This Row],[BOLSA]],[2]!COMPROMISOS_2024[[#All],[concatenado]],PAA_4[[#This Row],[RCP-RUBRO]]))</f>
        <v>0</v>
      </c>
    </row>
    <row r="1081" spans="1:38" s="19" customFormat="1" ht="31.5" customHeight="1">
      <c r="A1081" s="47">
        <v>510</v>
      </c>
      <c r="B1081" s="47">
        <v>80111600</v>
      </c>
      <c r="C1081" s="47" t="str">
        <f>VLOOKUP(PAA_4[[#This Row],[PROYECTO (formulado)2]],[2]PROYECTOS!$G$1:$L$32,6,0)</f>
        <v>SUBGERENCIA DE FOMENTO Y DESARROLLO</v>
      </c>
      <c r="D1081" s="47" t="str">
        <f>+IF(PAA_4[[#This Row],[UNIDAD DE CONTRATACION (formulado)]]="Subgerencia Administrativa y Financiera","FUNCIONAMIENTO","INVERSIÓN")</f>
        <v>INVERSIÓN</v>
      </c>
      <c r="E1081" s="48" t="str">
        <f>VLOOKUP(Q1081,[2]PROYECTOS!$G$1:$K$32,5,0)</f>
        <v>FORTALECIMIENTO_DE_LOS_JUEGOS_DEL_SECTOR_EDUCATIVO_EN_ANTIOQUIA</v>
      </c>
      <c r="F1081" s="48">
        <f>VLOOKUP(E1081,[2]PROYECTOS!$K$1:$M$32,3,0)</f>
        <v>2020003050034</v>
      </c>
      <c r="G1081" s="49" t="s">
        <v>340</v>
      </c>
      <c r="H1081" s="49" t="str">
        <f>VLOOKUP(Q1081,[2]PROYECTOS!$V$1:$W$32,2,0)</f>
        <v>050053</v>
      </c>
      <c r="I1081" s="50">
        <v>0</v>
      </c>
      <c r="J1081" s="70" t="s">
        <v>344</v>
      </c>
      <c r="K1081" s="47" t="str">
        <f t="shared" ca="1" si="388"/>
        <v>CONTRATADO</v>
      </c>
      <c r="L1081" s="47" t="s">
        <v>94</v>
      </c>
      <c r="M1081" s="47" t="s">
        <v>1297</v>
      </c>
      <c r="N1081" s="51" t="s">
        <v>341</v>
      </c>
      <c r="O1081" s="51" t="e">
        <f>VLOOKUP(N1081,[2]!RUBROS[#All],3,0)</f>
        <v>#REF!</v>
      </c>
      <c r="P1081" s="53" t="e">
        <f>VLOOKUP(N1081,[2]!RUBROS[#All],2,0)</f>
        <v>#REF!</v>
      </c>
      <c r="Q1081" s="47" t="str">
        <f t="shared" si="389"/>
        <v>51</v>
      </c>
      <c r="R1081" s="47" t="str">
        <f t="shared" si="390"/>
        <v>0-205128</v>
      </c>
      <c r="S1081" s="54">
        <v>9</v>
      </c>
      <c r="T1081" s="59" t="s">
        <v>46</v>
      </c>
      <c r="U1081" s="326" t="e">
        <f ca="1">_xlfn.XLOOKUP(PAA_4[[#This Row],[ITEM]],[2]Contrato!A:A,[2]Contrato!Q:Q,"",0)</f>
        <v>#NAME?</v>
      </c>
      <c r="V1081" s="47" t="s">
        <v>47</v>
      </c>
      <c r="W1081" s="47" t="s">
        <v>122</v>
      </c>
      <c r="X1081" s="47" t="s">
        <v>122</v>
      </c>
      <c r="Y1081" s="55" t="e">
        <f ca="1">_xlfn.XLOOKUP(PAA_4[[#This Row],[ITEM]],[2]Contrato!A:A,[2]Contrato!B:B,"",0)</f>
        <v>#NAME?</v>
      </c>
      <c r="Z1081" s="47" t="e">
        <f ca="1">_xlfn.XLOOKUP(PAA_4[[#This Row],[ITEM]],[2]Contrato!A:A,[2]Contrato!G:G,"",0)</f>
        <v>#NAME?</v>
      </c>
      <c r="AA1081" s="47" t="e">
        <f ca="1">_xlfn.XLOOKUP(PAA_4[[#This Row],[ITEM]],[2]Contrato!A:A,[2]Contrato!T:T,"",0)</f>
        <v>#NAME?</v>
      </c>
      <c r="AB1081" s="55" t="e">
        <f ca="1">+MAX(PAA_4[[#This Row],[Comprometido Contrato]],PAA_4[[#This Row],[Comprometido Bolsa]])</f>
        <v>#NAME?</v>
      </c>
      <c r="AC1081" s="55" t="str">
        <f t="shared" ca="1" si="391"/>
        <v/>
      </c>
      <c r="AD1081" s="55" t="e">
        <f ca="1">IF(PAA_4[[#This Row],[ESTADO (formulado)]]="NO CONTRATADO",0,MAX(PAA_4[[#This Row],[Pago por Contrato]],PAA_4[[#This Row],[Pago por bolsa]]))</f>
        <v>#NAME?</v>
      </c>
      <c r="AE1081" s="55" t="str">
        <f t="shared" ca="1" si="392"/>
        <v/>
      </c>
      <c r="AF1081" s="47" t="e">
        <f t="shared" ca="1" si="393"/>
        <v>#NAME?</v>
      </c>
      <c r="AG1081" s="47">
        <f t="shared" si="394"/>
        <v>44021011</v>
      </c>
      <c r="AH1081" s="54">
        <f>IF(Q1081="22",IF(ISNUMBER(SEARCH("econ",PAA_4[[#This Row],[Actividad3]])),"Económico",IF(ISNUMBER(SEARCH("alim",PAA_4[[#This Row],[Actividad3]])),"Alimentación",IF(ISNUMBER(SEARCH("educ",PAA_4[[#This Row],[Actividad3]])),"Educativo","Técnico"))),0)</f>
        <v>0</v>
      </c>
      <c r="AI1081" s="47" t="e" cm="1">
        <f t="array" aca="1" ref="AI1081" ca="1">_xlfn.XLOOKUP(PAA_4[[#This Row],[RCP-RUBRO]],[2]!COMPROMISOS_2024[[#All],[concatenado]],[2]!COMPROMISOS_2024[[#All],[Total pagado]],"",0)</f>
        <v>#NAME?</v>
      </c>
      <c r="AJ1081" s="56">
        <f>IF(PAA_4[[#This Row],[BOLSA]]=0,0,SUMIFS([2]!COMPROMISOS_2024[[#All],[Total pagado]],[2]!COMPROMISOS_2024[[#All],[Bolsa]],PAA_4[[#This Row],[BOLSA]],[2]!COMPROMISOS_2024[[#All],[rubro]],PAA_4[[#This Row],[RCP-RUBRO]]))</f>
        <v>0</v>
      </c>
      <c r="AK1081" s="47" t="e" cm="1">
        <f t="array" aca="1" ref="AK1081" ca="1">_xlfn.XLOOKUP(PAA_4[[#This Row],[RCP-RUBRO]],[2]!COMPROMISOS_2024[[#All],[concatenado]],[2]!COMPROMISOS_2024[[#All],[Total Comprometido]],"",0)</f>
        <v>#NAME?</v>
      </c>
      <c r="AL1081" s="47">
        <f>IF(PAA_4[[#This Row],[BOLSA]]=0,0,SUMIFS([2]!COMPROMISOS_2024[[#All],[Total Comprometido]],[2]!COMPROMISOS_2024[[#All],[Bolsa]],PAA_4[[#This Row],[BOLSA]],[2]!COMPROMISOS_2024[[#All],[concatenado]],PAA_4[[#This Row],[RCP-RUBRO]]))</f>
        <v>0</v>
      </c>
    </row>
    <row r="1082" spans="1:38" s="19" customFormat="1" ht="31.5" customHeight="1">
      <c r="A1082" s="47">
        <v>510</v>
      </c>
      <c r="B1082" s="47">
        <v>80111600</v>
      </c>
      <c r="C1082" s="47" t="str">
        <f>VLOOKUP(PAA_4[[#This Row],[PROYECTO (formulado)2]],[2]PROYECTOS!$G$1:$L$32,6,0)</f>
        <v>SUBGERENCIA DE FOMENTO Y DESARROLLO</v>
      </c>
      <c r="D1082" s="47" t="str">
        <f>+IF(PAA_4[[#This Row],[UNIDAD DE CONTRATACION (formulado)]]="Subgerencia Administrativa y Financiera","FUNCIONAMIENTO","INVERSIÓN")</f>
        <v>INVERSIÓN</v>
      </c>
      <c r="E1082" s="48" t="str">
        <f>VLOOKUP(Q1082,[2]PROYECTOS!$G$1:$K$32,5,0)</f>
        <v>CAPACITACION_PARA_EL_SECTOR_DEL_DEPORTE_LA_ACTIVIDAD_FISICA_LA_RECREACION_Y_LA_EDUCACION_FISICA_DE_ANTI</v>
      </c>
      <c r="F1082" s="48">
        <f>VLOOKUP(E1082,[2]PROYECTOS!$K$1:$M$32,3,0)</f>
        <v>2020003050024</v>
      </c>
      <c r="G1082" s="49" t="s">
        <v>337</v>
      </c>
      <c r="H1082" s="49" t="str">
        <f>VLOOKUP(Q1082,[2]PROYECTOS!$V$1:$W$32,2,0)</f>
        <v>050063</v>
      </c>
      <c r="I1082" s="50">
        <v>0</v>
      </c>
      <c r="J1082" s="70" t="s">
        <v>344</v>
      </c>
      <c r="K1082" s="47" t="str">
        <f t="shared" ca="1" si="388"/>
        <v>CONTRATADO</v>
      </c>
      <c r="L1082" s="47" t="s">
        <v>94</v>
      </c>
      <c r="M1082" s="47" t="s">
        <v>1297</v>
      </c>
      <c r="N1082" s="51" t="s">
        <v>339</v>
      </c>
      <c r="O1082" s="51" t="e">
        <f>VLOOKUP(N1082,[2]!RUBROS[#All],3,0)</f>
        <v>#REF!</v>
      </c>
      <c r="P1082" s="53" t="e">
        <f>VLOOKUP(N1082,[2]!RUBROS[#All],2,0)</f>
        <v>#REF!</v>
      </c>
      <c r="Q1082" s="47" t="str">
        <f t="shared" si="389"/>
        <v>48</v>
      </c>
      <c r="R1082" s="47" t="str">
        <f t="shared" si="390"/>
        <v>0-205128</v>
      </c>
      <c r="S1082" s="54">
        <v>9</v>
      </c>
      <c r="T1082" s="59" t="s">
        <v>46</v>
      </c>
      <c r="U1082" s="326" t="e">
        <f ca="1">_xlfn.XLOOKUP(PAA_4[[#This Row],[ITEM]],[2]Contrato!A:A,[2]Contrato!Q:Q,"",0)</f>
        <v>#NAME?</v>
      </c>
      <c r="V1082" s="47" t="s">
        <v>47</v>
      </c>
      <c r="W1082" s="47" t="s">
        <v>122</v>
      </c>
      <c r="X1082" s="47" t="s">
        <v>122</v>
      </c>
      <c r="Y1082" s="55" t="e">
        <f ca="1">_xlfn.XLOOKUP(PAA_4[[#This Row],[ITEM]],[2]Contrato!A:A,[2]Contrato!B:B,"",0)</f>
        <v>#NAME?</v>
      </c>
      <c r="Z1082" s="47" t="e">
        <f ca="1">_xlfn.XLOOKUP(PAA_4[[#This Row],[ITEM]],[2]Contrato!A:A,[2]Contrato!G:G,"",0)</f>
        <v>#NAME?</v>
      </c>
      <c r="AA1082" s="47" t="e">
        <f ca="1">_xlfn.XLOOKUP(PAA_4[[#This Row],[ITEM]],[2]Contrato!A:A,[2]Contrato!T:T,"",0)</f>
        <v>#NAME?</v>
      </c>
      <c r="AB1082" s="55" t="e">
        <f ca="1">+MAX(PAA_4[[#This Row],[Comprometido Contrato]],PAA_4[[#This Row],[Comprometido Bolsa]])</f>
        <v>#NAME?</v>
      </c>
      <c r="AC1082" s="55" t="str">
        <f t="shared" ca="1" si="391"/>
        <v/>
      </c>
      <c r="AD1082" s="55" t="e">
        <f ca="1">IF(PAA_4[[#This Row],[ESTADO (formulado)]]="NO CONTRATADO",0,MAX(PAA_4[[#This Row],[Pago por Contrato]],PAA_4[[#This Row],[Pago por bolsa]]))</f>
        <v>#NAME?</v>
      </c>
      <c r="AE1082" s="55" t="str">
        <f t="shared" ca="1" si="392"/>
        <v/>
      </c>
      <c r="AF1082" s="47" t="e">
        <f t="shared" ca="1" si="393"/>
        <v>#NAME?</v>
      </c>
      <c r="AG1082" s="47">
        <f t="shared" si="394"/>
        <v>41080201</v>
      </c>
      <c r="AH1082" s="54">
        <f>IF(Q1082="22",IF(ISNUMBER(SEARCH("econ",PAA_4[[#This Row],[Actividad3]])),"Económico",IF(ISNUMBER(SEARCH("alim",PAA_4[[#This Row],[Actividad3]])),"Alimentación",IF(ISNUMBER(SEARCH("educ",PAA_4[[#This Row],[Actividad3]])),"Educativo","Técnico"))),0)</f>
        <v>0</v>
      </c>
      <c r="AI1082" s="47" t="e" cm="1">
        <f t="array" aca="1" ref="AI1082" ca="1">_xlfn.XLOOKUP(PAA_4[[#This Row],[RCP-RUBRO]],[2]!COMPROMISOS_2024[[#All],[concatenado]],[2]!COMPROMISOS_2024[[#All],[Total pagado]],"",0)</f>
        <v>#NAME?</v>
      </c>
      <c r="AJ1082" s="56">
        <f>IF(PAA_4[[#This Row],[BOLSA]]=0,0,SUMIFS([2]!COMPROMISOS_2024[[#All],[Total pagado]],[2]!COMPROMISOS_2024[[#All],[Bolsa]],PAA_4[[#This Row],[BOLSA]],[2]!COMPROMISOS_2024[[#All],[rubro]],PAA_4[[#This Row],[RCP-RUBRO]]))</f>
        <v>0</v>
      </c>
      <c r="AK1082" s="47" t="e" cm="1">
        <f t="array" aca="1" ref="AK1082" ca="1">_xlfn.XLOOKUP(PAA_4[[#This Row],[RCP-RUBRO]],[2]!COMPROMISOS_2024[[#All],[concatenado]],[2]!COMPROMISOS_2024[[#All],[Total Comprometido]],"",0)</f>
        <v>#NAME?</v>
      </c>
      <c r="AL1082" s="47">
        <f>IF(PAA_4[[#This Row],[BOLSA]]=0,0,SUMIFS([2]!COMPROMISOS_2024[[#All],[Total Comprometido]],[2]!COMPROMISOS_2024[[#All],[Bolsa]],PAA_4[[#This Row],[BOLSA]],[2]!COMPROMISOS_2024[[#All],[concatenado]],PAA_4[[#This Row],[RCP-RUBRO]]))</f>
        <v>0</v>
      </c>
    </row>
    <row r="1083" spans="1:38" s="19" customFormat="1" ht="31.5" customHeight="1">
      <c r="A1083" s="47">
        <v>663</v>
      </c>
      <c r="B1083" s="47">
        <v>80111600</v>
      </c>
      <c r="C1083" s="47" t="str">
        <f>VLOOKUP(PAA_4[[#This Row],[PROYECTO (formulado)2]],[2]PROYECTOS!$G$1:$L$32,6,0)</f>
        <v>SUBGERENCIA DE FOMENTO Y DESARROLLO</v>
      </c>
      <c r="D1083" s="47" t="str">
        <f>+IF(PAA_4[[#This Row],[UNIDAD DE CONTRATACION (formulado)]]="Subgerencia Administrativa y Financiera","FUNCIONAMIENTO","INVERSIÓN")</f>
        <v>INVERSIÓN</v>
      </c>
      <c r="E1083" s="48" t="str">
        <f>VLOOKUP(Q1083,[2]PROYECTOS!$G$1:$K$32,5,0)</f>
        <v>FORTALECIMIENTO_DEL_PROGRAMA_POR_SU_SALUD_MUÉVASE_PUES_EN_LOS_MUNICIPIO_DEL_DEPARTAMENTO_DE_ANTIOQUIA</v>
      </c>
      <c r="F1083" s="48">
        <f>VLOOKUP(E1083,[2]PROYECTOS!$K$1:$M$32,3,0)</f>
        <v>2020003050030</v>
      </c>
      <c r="G1083" s="49" t="s">
        <v>326</v>
      </c>
      <c r="H1083" s="49" t="str">
        <f>VLOOKUP(Q1083,[2]PROYECTOS!$V$1:$W$32,2,0)</f>
        <v>050055</v>
      </c>
      <c r="I1083" s="50">
        <v>9593928</v>
      </c>
      <c r="J1083" s="70" t="s">
        <v>345</v>
      </c>
      <c r="K1083" s="47" t="str">
        <f t="shared" ca="1" si="388"/>
        <v>CONTRATADO</v>
      </c>
      <c r="L1083" s="47" t="s">
        <v>94</v>
      </c>
      <c r="M1083" s="47" t="s">
        <v>1297</v>
      </c>
      <c r="N1083" s="51" t="s">
        <v>329</v>
      </c>
      <c r="O1083" s="51" t="e">
        <f>VLOOKUP(N1083,[2]!RUBROS[#All],3,0)</f>
        <v>#REF!</v>
      </c>
      <c r="P1083" s="53" t="e">
        <f>VLOOKUP(N1083,[2]!RUBROS[#All],2,0)</f>
        <v>#REF!</v>
      </c>
      <c r="Q1083" s="47" t="str">
        <f t="shared" si="389"/>
        <v>45</v>
      </c>
      <c r="R1083" s="47" t="str">
        <f t="shared" si="390"/>
        <v>0-205128</v>
      </c>
      <c r="S1083" s="54">
        <v>8</v>
      </c>
      <c r="T1083" s="59" t="s">
        <v>46</v>
      </c>
      <c r="U1083" s="326" t="e">
        <f ca="1">_xlfn.XLOOKUP(PAA_4[[#This Row],[ITEM]],[2]Contrato!A:A,[2]Contrato!Q:Q,"",0)</f>
        <v>#NAME?</v>
      </c>
      <c r="V1083" s="47" t="s">
        <v>95</v>
      </c>
      <c r="W1083" s="47" t="s">
        <v>122</v>
      </c>
      <c r="X1083" s="47" t="s">
        <v>122</v>
      </c>
      <c r="Y1083" s="55" t="e">
        <f ca="1">_xlfn.XLOOKUP(PAA_4[[#This Row],[ITEM]],[2]Contrato!A:A,[2]Contrato!B:B,"",0)</f>
        <v>#NAME?</v>
      </c>
      <c r="Z1083" s="47" t="e">
        <f ca="1">_xlfn.XLOOKUP(PAA_4[[#This Row],[ITEM]],[2]Contrato!A:A,[2]Contrato!G:G,"",0)</f>
        <v>#NAME?</v>
      </c>
      <c r="AA1083" s="47" t="e">
        <f ca="1">_xlfn.XLOOKUP(PAA_4[[#This Row],[ITEM]],[2]Contrato!A:A,[2]Contrato!T:T,"",0)</f>
        <v>#NAME?</v>
      </c>
      <c r="AB1083" s="55" t="e">
        <f ca="1">+MAX(PAA_4[[#This Row],[Comprometido Contrato]],PAA_4[[#This Row],[Comprometido Bolsa]])</f>
        <v>#NAME?</v>
      </c>
      <c r="AC1083" s="55" t="str">
        <f t="shared" ca="1" si="391"/>
        <v/>
      </c>
      <c r="AD1083" s="55" t="e">
        <f ca="1">IF(PAA_4[[#This Row],[ESTADO (formulado)]]="NO CONTRATADO",0,MAX(PAA_4[[#This Row],[Pago por Contrato]],PAA_4[[#This Row],[Pago por bolsa]]))</f>
        <v>#NAME?</v>
      </c>
      <c r="AE1083" s="55" t="str">
        <f t="shared" ca="1" si="392"/>
        <v/>
      </c>
      <c r="AF1083" s="47" t="e">
        <f t="shared" ca="1" si="393"/>
        <v>#NAME?</v>
      </c>
      <c r="AG1083" s="47">
        <f t="shared" si="394"/>
        <v>44021001</v>
      </c>
      <c r="AH1083" s="54">
        <f>IF(Q1083="22",IF(ISNUMBER(SEARCH("econ",PAA_4[[#This Row],[Actividad3]])),"Económico",IF(ISNUMBER(SEARCH("alim",PAA_4[[#This Row],[Actividad3]])),"Alimentación",IF(ISNUMBER(SEARCH("educ",PAA_4[[#This Row],[Actividad3]])),"Educativo","Técnico"))),0)</f>
        <v>0</v>
      </c>
      <c r="AI1083" s="47" t="e" cm="1">
        <f t="array" aca="1" ref="AI1083" ca="1">_xlfn.XLOOKUP(PAA_4[[#This Row],[RCP-RUBRO]],[2]!COMPROMISOS_2024[[#All],[concatenado]],[2]!COMPROMISOS_2024[[#All],[Total pagado]],"",0)</f>
        <v>#NAME?</v>
      </c>
      <c r="AJ1083" s="56">
        <f>IF(PAA_4[[#This Row],[BOLSA]]=0,0,SUMIFS([2]!COMPROMISOS_2024[[#All],[Total pagado]],[2]!COMPROMISOS_2024[[#All],[Bolsa]],PAA_4[[#This Row],[BOLSA]],[2]!COMPROMISOS_2024[[#All],[rubro]],PAA_4[[#This Row],[RCP-RUBRO]]))</f>
        <v>0</v>
      </c>
      <c r="AK1083" s="47" t="e" cm="1">
        <f t="array" aca="1" ref="AK1083" ca="1">_xlfn.XLOOKUP(PAA_4[[#This Row],[RCP-RUBRO]],[2]!COMPROMISOS_2024[[#All],[concatenado]],[2]!COMPROMISOS_2024[[#All],[Total Comprometido]],"",0)</f>
        <v>#NAME?</v>
      </c>
      <c r="AL1083" s="47">
        <f>IF(PAA_4[[#This Row],[BOLSA]]=0,0,SUMIFS([2]!COMPROMISOS_2024[[#All],[Total Comprometido]],[2]!COMPROMISOS_2024[[#All],[Bolsa]],PAA_4[[#This Row],[BOLSA]],[2]!COMPROMISOS_2024[[#All],[concatenado]],PAA_4[[#This Row],[RCP-RUBRO]]))</f>
        <v>0</v>
      </c>
    </row>
    <row r="1084" spans="1:38" s="19" customFormat="1" ht="31.5" customHeight="1">
      <c r="A1084" s="47">
        <v>663</v>
      </c>
      <c r="B1084" s="47">
        <v>80111600</v>
      </c>
      <c r="C1084" s="47" t="str">
        <f>VLOOKUP(PAA_4[[#This Row],[PROYECTO (formulado)2]],[2]PROYECTOS!$G$1:$L$32,6,0)</f>
        <v>SUBGERENCIA DE FOMENTO Y DESARROLLO</v>
      </c>
      <c r="D1084" s="47" t="str">
        <f>+IF(PAA_4[[#This Row],[UNIDAD DE CONTRATACION (formulado)]]="Subgerencia Administrativa y Financiera","FUNCIONAMIENTO","INVERSIÓN")</f>
        <v>INVERSIÓN</v>
      </c>
      <c r="E1084" s="48" t="str">
        <f>VLOOKUP(Q1084,[2]PROYECTOS!$G$1:$K$32,5,0)</f>
        <v>FORTALECIMIENTO_DE_LAS_ESCUELAS_DEPORTIVAS_EN_LOS_MUNICIPIOS_DEL_DEPARTAMENTO_DE_ANTIOQUIA</v>
      </c>
      <c r="F1084" s="48">
        <f>VLOOKUP(E1084,[2]PROYECTOS!$K$1:$M$32,3,0)</f>
        <v>2020003050032</v>
      </c>
      <c r="G1084" s="49" t="s">
        <v>333</v>
      </c>
      <c r="H1084" s="49" t="str">
        <f>VLOOKUP(Q1084,[2]PROYECTOS!$V$1:$W$32,2,0)</f>
        <v>050059</v>
      </c>
      <c r="I1084" s="50">
        <v>9299440</v>
      </c>
      <c r="J1084" s="70" t="s">
        <v>345</v>
      </c>
      <c r="K1084" s="47" t="str">
        <f t="shared" ca="1" si="388"/>
        <v>CONTRATADO</v>
      </c>
      <c r="L1084" s="47" t="s">
        <v>94</v>
      </c>
      <c r="M1084" s="47" t="s">
        <v>1297</v>
      </c>
      <c r="N1084" s="51" t="s">
        <v>334</v>
      </c>
      <c r="O1084" s="51" t="e">
        <f>VLOOKUP(N1084,[2]!RUBROS[#All],3,0)</f>
        <v>#REF!</v>
      </c>
      <c r="P1084" s="53" t="e">
        <f>VLOOKUP(N1084,[2]!RUBROS[#All],2,0)</f>
        <v>#REF!</v>
      </c>
      <c r="Q1084" s="47" t="str">
        <f t="shared" si="389"/>
        <v>46</v>
      </c>
      <c r="R1084" s="47" t="str">
        <f t="shared" si="390"/>
        <v>0-205128</v>
      </c>
      <c r="S1084" s="54">
        <v>8</v>
      </c>
      <c r="T1084" s="59" t="s">
        <v>46</v>
      </c>
      <c r="U1084" s="326" t="e">
        <f ca="1">_xlfn.XLOOKUP(PAA_4[[#This Row],[ITEM]],[2]Contrato!A:A,[2]Contrato!Q:Q,"",0)</f>
        <v>#NAME?</v>
      </c>
      <c r="V1084" s="47" t="s">
        <v>95</v>
      </c>
      <c r="W1084" s="47" t="s">
        <v>122</v>
      </c>
      <c r="X1084" s="47" t="s">
        <v>122</v>
      </c>
      <c r="Y1084" s="55" t="e">
        <f ca="1">_xlfn.XLOOKUP(PAA_4[[#This Row],[ITEM]],[2]Contrato!A:A,[2]Contrato!B:B,"",0)</f>
        <v>#NAME?</v>
      </c>
      <c r="Z1084" s="47" t="e">
        <f ca="1">_xlfn.XLOOKUP(PAA_4[[#This Row],[ITEM]],[2]Contrato!A:A,[2]Contrato!G:G,"",0)</f>
        <v>#NAME?</v>
      </c>
      <c r="AA1084" s="47" t="e">
        <f ca="1">_xlfn.XLOOKUP(PAA_4[[#This Row],[ITEM]],[2]Contrato!A:A,[2]Contrato!T:T,"",0)</f>
        <v>#NAME?</v>
      </c>
      <c r="AB1084" s="55" t="e">
        <f ca="1">+MAX(PAA_4[[#This Row],[Comprometido Contrato]],PAA_4[[#This Row],[Comprometido Bolsa]])</f>
        <v>#NAME?</v>
      </c>
      <c r="AC1084" s="55" t="str">
        <f t="shared" ca="1" si="391"/>
        <v/>
      </c>
      <c r="AD1084" s="55" t="e">
        <f ca="1">IF(PAA_4[[#This Row],[ESTADO (formulado)]]="NO CONTRATADO",0,MAX(PAA_4[[#This Row],[Pago por Contrato]],PAA_4[[#This Row],[Pago por bolsa]]))</f>
        <v>#NAME?</v>
      </c>
      <c r="AE1084" s="55" t="str">
        <f t="shared" ca="1" si="392"/>
        <v/>
      </c>
      <c r="AF1084" s="47" t="e">
        <f t="shared" ca="1" si="393"/>
        <v>#NAME?</v>
      </c>
      <c r="AG1084" s="47">
        <f t="shared" si="394"/>
        <v>44021007</v>
      </c>
      <c r="AH1084" s="54">
        <f>IF(Q1084="22",IF(ISNUMBER(SEARCH("econ",PAA_4[[#This Row],[Actividad3]])),"Económico",IF(ISNUMBER(SEARCH("alim",PAA_4[[#This Row],[Actividad3]])),"Alimentación",IF(ISNUMBER(SEARCH("educ",PAA_4[[#This Row],[Actividad3]])),"Educativo","Técnico"))),0)</f>
        <v>0</v>
      </c>
      <c r="AI1084" s="47" t="e" cm="1">
        <f t="array" aca="1" ref="AI1084" ca="1">_xlfn.XLOOKUP(PAA_4[[#This Row],[RCP-RUBRO]],[2]!COMPROMISOS_2024[[#All],[concatenado]],[2]!COMPROMISOS_2024[[#All],[Total pagado]],"",0)</f>
        <v>#NAME?</v>
      </c>
      <c r="AJ1084" s="56">
        <f>IF(PAA_4[[#This Row],[BOLSA]]=0,0,SUMIFS([2]!COMPROMISOS_2024[[#All],[Total pagado]],[2]!COMPROMISOS_2024[[#All],[Bolsa]],PAA_4[[#This Row],[BOLSA]],[2]!COMPROMISOS_2024[[#All],[rubro]],PAA_4[[#This Row],[RCP-RUBRO]]))</f>
        <v>0</v>
      </c>
      <c r="AK1084" s="47" t="e" cm="1">
        <f t="array" aca="1" ref="AK1084" ca="1">_xlfn.XLOOKUP(PAA_4[[#This Row],[RCP-RUBRO]],[2]!COMPROMISOS_2024[[#All],[concatenado]],[2]!COMPROMISOS_2024[[#All],[Total Comprometido]],"",0)</f>
        <v>#NAME?</v>
      </c>
      <c r="AL1084" s="47">
        <f>IF(PAA_4[[#This Row],[BOLSA]]=0,0,SUMIFS([2]!COMPROMISOS_2024[[#All],[Total Comprometido]],[2]!COMPROMISOS_2024[[#All],[Bolsa]],PAA_4[[#This Row],[BOLSA]],[2]!COMPROMISOS_2024[[#All],[concatenado]],PAA_4[[#This Row],[RCP-RUBRO]]))</f>
        <v>0</v>
      </c>
    </row>
    <row r="1085" spans="1:38" s="19" customFormat="1" ht="31.5" customHeight="1">
      <c r="A1085" s="47">
        <v>663</v>
      </c>
      <c r="B1085" s="47">
        <v>80111600</v>
      </c>
      <c r="C1085" s="47" t="str">
        <f>VLOOKUP(PAA_4[[#This Row],[PROYECTO (formulado)2]],[2]PROYECTOS!$G$1:$L$32,6,0)</f>
        <v>SUBGERENCIA DE FOMENTO Y DESARROLLO</v>
      </c>
      <c r="D1085" s="47" t="str">
        <f>+IF(PAA_4[[#This Row],[UNIDAD DE CONTRATACION (formulado)]]="Subgerencia Administrativa y Financiera","FUNCIONAMIENTO","INVERSIÓN")</f>
        <v>INVERSIÓN</v>
      </c>
      <c r="E1085" s="48" t="str">
        <f>VLOOKUP(Q1085,[2]PROYECTOS!$G$1:$K$32,5,0)</f>
        <v>FORTALECIMIENTO_DE_LOS_PROGRAMAS_RECREATIVOS_EN_LOS_MUNICIPIOS_DEL_DEPARTAMENTO_DE_ANTIOQUIA</v>
      </c>
      <c r="F1085" s="48">
        <f>VLOOKUP(E1085,[2]PROYECTOS!$K$1:$M$32,3,0)</f>
        <v>2020003050031</v>
      </c>
      <c r="G1085" s="49" t="s">
        <v>335</v>
      </c>
      <c r="H1085" s="49" t="str">
        <f>VLOOKUP(Q1085,[2]PROYECTOS!$V$1:$W$32,2,0)</f>
        <v>050064</v>
      </c>
      <c r="I1085" s="50">
        <v>9239094</v>
      </c>
      <c r="J1085" s="70" t="s">
        <v>345</v>
      </c>
      <c r="K1085" s="47" t="str">
        <f t="shared" ca="1" si="388"/>
        <v>CONTRATADO</v>
      </c>
      <c r="L1085" s="47" t="s">
        <v>94</v>
      </c>
      <c r="M1085" s="47" t="s">
        <v>1297</v>
      </c>
      <c r="N1085" s="51" t="s">
        <v>336</v>
      </c>
      <c r="O1085" s="51" t="e">
        <f>VLOOKUP(N1085,[2]!RUBROS[#All],3,0)</f>
        <v>#REF!</v>
      </c>
      <c r="P1085" s="53" t="e">
        <f>VLOOKUP(N1085,[2]!RUBROS[#All],2,0)</f>
        <v>#REF!</v>
      </c>
      <c r="Q1085" s="47" t="str">
        <f t="shared" si="389"/>
        <v>47</v>
      </c>
      <c r="R1085" s="47" t="str">
        <f t="shared" si="390"/>
        <v>0-205128</v>
      </c>
      <c r="S1085" s="54">
        <v>8</v>
      </c>
      <c r="T1085" s="59" t="s">
        <v>46</v>
      </c>
      <c r="U1085" s="326" t="e">
        <f ca="1">_xlfn.XLOOKUP(PAA_4[[#This Row],[ITEM]],[2]Contrato!A:A,[2]Contrato!Q:Q,"",0)</f>
        <v>#NAME?</v>
      </c>
      <c r="V1085" s="47" t="s">
        <v>95</v>
      </c>
      <c r="W1085" s="47" t="s">
        <v>122</v>
      </c>
      <c r="X1085" s="47" t="s">
        <v>122</v>
      </c>
      <c r="Y1085" s="55" t="e">
        <f ca="1">_xlfn.XLOOKUP(PAA_4[[#This Row],[ITEM]],[2]Contrato!A:A,[2]Contrato!B:B,"",0)</f>
        <v>#NAME?</v>
      </c>
      <c r="Z1085" s="47" t="e">
        <f ca="1">_xlfn.XLOOKUP(PAA_4[[#This Row],[ITEM]],[2]Contrato!A:A,[2]Contrato!G:G,"",0)</f>
        <v>#NAME?</v>
      </c>
      <c r="AA1085" s="47" t="e">
        <f ca="1">_xlfn.XLOOKUP(PAA_4[[#This Row],[ITEM]],[2]Contrato!A:A,[2]Contrato!T:T,"",0)</f>
        <v>#NAME?</v>
      </c>
      <c r="AB1085" s="55" t="e">
        <f ca="1">+MAX(PAA_4[[#This Row],[Comprometido Contrato]],PAA_4[[#This Row],[Comprometido Bolsa]])</f>
        <v>#NAME?</v>
      </c>
      <c r="AC1085" s="55" t="str">
        <f t="shared" ca="1" si="391"/>
        <v/>
      </c>
      <c r="AD1085" s="55" t="e">
        <f ca="1">IF(PAA_4[[#This Row],[ESTADO (formulado)]]="NO CONTRATADO",0,MAX(PAA_4[[#This Row],[Pago por Contrato]],PAA_4[[#This Row],[Pago por bolsa]]))</f>
        <v>#NAME?</v>
      </c>
      <c r="AE1085" s="55" t="str">
        <f t="shared" ca="1" si="392"/>
        <v/>
      </c>
      <c r="AF1085" s="47" t="e">
        <f t="shared" ca="1" si="393"/>
        <v>#NAME?</v>
      </c>
      <c r="AG1085" s="47">
        <f t="shared" si="394"/>
        <v>44021004</v>
      </c>
      <c r="AH1085" s="54">
        <f>IF(Q1085="22",IF(ISNUMBER(SEARCH("econ",PAA_4[[#This Row],[Actividad3]])),"Económico",IF(ISNUMBER(SEARCH("alim",PAA_4[[#This Row],[Actividad3]])),"Alimentación",IF(ISNUMBER(SEARCH("educ",PAA_4[[#This Row],[Actividad3]])),"Educativo","Técnico"))),0)</f>
        <v>0</v>
      </c>
      <c r="AI1085" s="47" t="e" cm="1">
        <f t="array" aca="1" ref="AI1085" ca="1">_xlfn.XLOOKUP(PAA_4[[#This Row],[RCP-RUBRO]],[2]!COMPROMISOS_2024[[#All],[concatenado]],[2]!COMPROMISOS_2024[[#All],[Total pagado]],"",0)</f>
        <v>#NAME?</v>
      </c>
      <c r="AJ1085" s="56">
        <f>IF(PAA_4[[#This Row],[BOLSA]]=0,0,SUMIFS([2]!COMPROMISOS_2024[[#All],[Total pagado]],[2]!COMPROMISOS_2024[[#All],[Bolsa]],PAA_4[[#This Row],[BOLSA]],[2]!COMPROMISOS_2024[[#All],[rubro]],PAA_4[[#This Row],[RCP-RUBRO]]))</f>
        <v>0</v>
      </c>
      <c r="AK1085" s="47" t="e" cm="1">
        <f t="array" aca="1" ref="AK1085" ca="1">_xlfn.XLOOKUP(PAA_4[[#This Row],[RCP-RUBRO]],[2]!COMPROMISOS_2024[[#All],[concatenado]],[2]!COMPROMISOS_2024[[#All],[Total Comprometido]],"",0)</f>
        <v>#NAME?</v>
      </c>
      <c r="AL1085" s="47">
        <f>IF(PAA_4[[#This Row],[BOLSA]]=0,0,SUMIFS([2]!COMPROMISOS_2024[[#All],[Total Comprometido]],[2]!COMPROMISOS_2024[[#All],[Bolsa]],PAA_4[[#This Row],[BOLSA]],[2]!COMPROMISOS_2024[[#All],[concatenado]],PAA_4[[#This Row],[RCP-RUBRO]]))</f>
        <v>0</v>
      </c>
    </row>
    <row r="1086" spans="1:38" s="19" customFormat="1" ht="31.5" customHeight="1">
      <c r="A1086" s="47">
        <v>663</v>
      </c>
      <c r="B1086" s="47">
        <v>80111600</v>
      </c>
      <c r="C1086" s="47" t="str">
        <f>VLOOKUP(PAA_4[[#This Row],[PROYECTO (formulado)2]],[2]PROYECTOS!$G$1:$L$32,6,0)</f>
        <v>SUBGERENCIA DE FOMENTO Y DESARROLLO</v>
      </c>
      <c r="D1086" s="47" t="str">
        <f>+IF(PAA_4[[#This Row],[UNIDAD DE CONTRATACION (formulado)]]="Subgerencia Administrativa y Financiera","FUNCIONAMIENTO","INVERSIÓN")</f>
        <v>INVERSIÓN</v>
      </c>
      <c r="E1086" s="48" t="str">
        <f>VLOOKUP(Q1086,[2]PROYECTOS!$G$1:$K$32,5,0)</f>
        <v>FORTALECIMIENTO_DE_LOS_JUEGOS_DEL_SECTOR_SOCIAL_COMUNITARIO_EN_LOS_MUNICIPIOS_DEL_DEPARTAMENTO_DE_ANTIOQU</v>
      </c>
      <c r="F1086" s="48">
        <f>VLOOKUP(E1086,[2]PROYECTOS!$K$1:$M$32,3,0)</f>
        <v>2020003050033</v>
      </c>
      <c r="G1086" s="49" t="s">
        <v>342</v>
      </c>
      <c r="H1086" s="49" t="str">
        <f>VLOOKUP(Q1086,[2]PROYECTOS!$V$1:$W$32,2,0)</f>
        <v>050057</v>
      </c>
      <c r="I1086" s="50">
        <v>16185116</v>
      </c>
      <c r="J1086" s="70" t="s">
        <v>345</v>
      </c>
      <c r="K1086" s="47" t="str">
        <f t="shared" ca="1" si="388"/>
        <v>CONTRATADO</v>
      </c>
      <c r="L1086" s="47" t="s">
        <v>94</v>
      </c>
      <c r="M1086" s="47" t="s">
        <v>1297</v>
      </c>
      <c r="N1086" s="51" t="s">
        <v>343</v>
      </c>
      <c r="O1086" s="51" t="e">
        <f>VLOOKUP(N1086,[2]!RUBROS[#All],3,0)</f>
        <v>#REF!</v>
      </c>
      <c r="P1086" s="53" t="e">
        <f>VLOOKUP(N1086,[2]!RUBROS[#All],2,0)</f>
        <v>#REF!</v>
      </c>
      <c r="Q1086" s="47" t="str">
        <f t="shared" si="389"/>
        <v>50</v>
      </c>
      <c r="R1086" s="47" t="str">
        <f t="shared" si="390"/>
        <v>0-205128</v>
      </c>
      <c r="S1086" s="54">
        <v>8</v>
      </c>
      <c r="T1086" s="59" t="s">
        <v>46</v>
      </c>
      <c r="U1086" s="326" t="e">
        <f ca="1">_xlfn.XLOOKUP(PAA_4[[#This Row],[ITEM]],[2]Contrato!A:A,[2]Contrato!Q:Q,"",0)</f>
        <v>#NAME?</v>
      </c>
      <c r="V1086" s="47" t="s">
        <v>95</v>
      </c>
      <c r="W1086" s="47" t="s">
        <v>122</v>
      </c>
      <c r="X1086" s="47" t="s">
        <v>122</v>
      </c>
      <c r="Y1086" s="55" t="e">
        <f ca="1">_xlfn.XLOOKUP(PAA_4[[#This Row],[ITEM]],[2]Contrato!A:A,[2]Contrato!B:B,"",0)</f>
        <v>#NAME?</v>
      </c>
      <c r="Z1086" s="47" t="e">
        <f ca="1">_xlfn.XLOOKUP(PAA_4[[#This Row],[ITEM]],[2]Contrato!A:A,[2]Contrato!G:G,"",0)</f>
        <v>#NAME?</v>
      </c>
      <c r="AA1086" s="47" t="e">
        <f ca="1">_xlfn.XLOOKUP(PAA_4[[#This Row],[ITEM]],[2]Contrato!A:A,[2]Contrato!T:T,"",0)</f>
        <v>#NAME?</v>
      </c>
      <c r="AB1086" s="55" t="e">
        <f ca="1">+MAX(PAA_4[[#This Row],[Comprometido Contrato]],PAA_4[[#This Row],[Comprometido Bolsa]])</f>
        <v>#NAME?</v>
      </c>
      <c r="AC1086" s="55" t="str">
        <f t="shared" ca="1" si="391"/>
        <v/>
      </c>
      <c r="AD1086" s="55" t="e">
        <f ca="1">IF(PAA_4[[#This Row],[ESTADO (formulado)]]="NO CONTRATADO",0,MAX(PAA_4[[#This Row],[Pago por Contrato]],PAA_4[[#This Row],[Pago por bolsa]]))</f>
        <v>#NAME?</v>
      </c>
      <c r="AE1086" s="55" t="str">
        <f t="shared" ca="1" si="392"/>
        <v/>
      </c>
      <c r="AF1086" s="47" t="e">
        <f t="shared" ca="1" si="393"/>
        <v>#NAME?</v>
      </c>
      <c r="AG1086" s="47">
        <f t="shared" si="394"/>
        <v>44021010</v>
      </c>
      <c r="AH1086" s="54">
        <f>IF(Q1086="22",IF(ISNUMBER(SEARCH("econ",PAA_4[[#This Row],[Actividad3]])),"Económico",IF(ISNUMBER(SEARCH("alim",PAA_4[[#This Row],[Actividad3]])),"Alimentación",IF(ISNUMBER(SEARCH("educ",PAA_4[[#This Row],[Actividad3]])),"Educativo","Técnico"))),0)</f>
        <v>0</v>
      </c>
      <c r="AI1086" s="47" t="e" cm="1">
        <f t="array" aca="1" ref="AI1086" ca="1">_xlfn.XLOOKUP(PAA_4[[#This Row],[RCP-RUBRO]],[2]!COMPROMISOS_2024[[#All],[concatenado]],[2]!COMPROMISOS_2024[[#All],[Total pagado]],"",0)</f>
        <v>#NAME?</v>
      </c>
      <c r="AJ1086" s="56">
        <f>IF(PAA_4[[#This Row],[BOLSA]]=0,0,SUMIFS([2]!COMPROMISOS_2024[[#All],[Total pagado]],[2]!COMPROMISOS_2024[[#All],[Bolsa]],PAA_4[[#This Row],[BOLSA]],[2]!COMPROMISOS_2024[[#All],[rubro]],PAA_4[[#This Row],[RCP-RUBRO]]))</f>
        <v>0</v>
      </c>
      <c r="AK1086" s="47" t="e" cm="1">
        <f t="array" aca="1" ref="AK1086" ca="1">_xlfn.XLOOKUP(PAA_4[[#This Row],[RCP-RUBRO]],[2]!COMPROMISOS_2024[[#All],[concatenado]],[2]!COMPROMISOS_2024[[#All],[Total Comprometido]],"",0)</f>
        <v>#NAME?</v>
      </c>
      <c r="AL1086" s="47">
        <f>IF(PAA_4[[#This Row],[BOLSA]]=0,0,SUMIFS([2]!COMPROMISOS_2024[[#All],[Total Comprometido]],[2]!COMPROMISOS_2024[[#All],[Bolsa]],PAA_4[[#This Row],[BOLSA]],[2]!COMPROMISOS_2024[[#All],[concatenado]],PAA_4[[#This Row],[RCP-RUBRO]]))</f>
        <v>0</v>
      </c>
    </row>
    <row r="1087" spans="1:38" s="19" customFormat="1" ht="31.5" customHeight="1">
      <c r="A1087" s="47">
        <v>663</v>
      </c>
      <c r="B1087" s="47">
        <v>80111600</v>
      </c>
      <c r="C1087" s="47" t="str">
        <f>VLOOKUP(PAA_4[[#This Row],[PROYECTO (formulado)2]],[2]PROYECTOS!$G$1:$L$32,6,0)</f>
        <v>SUBGERENCIA DE FOMENTO Y DESARROLLO</v>
      </c>
      <c r="D1087" s="47" t="str">
        <f>+IF(PAA_4[[#This Row],[UNIDAD DE CONTRATACION (formulado)]]="Subgerencia Administrativa y Financiera","FUNCIONAMIENTO","INVERSIÓN")</f>
        <v>INVERSIÓN</v>
      </c>
      <c r="E1087" s="48" t="str">
        <f>VLOOKUP(Q1087,[2]PROYECTOS!$G$1:$K$32,5,0)</f>
        <v>FORTALECIMIENTO_DE_LOS_JUEGOS_DEL_SECTOR_EDUCATIVO_EN_ANTIOQUIA</v>
      </c>
      <c r="F1087" s="48">
        <f>VLOOKUP(E1087,[2]PROYECTOS!$K$1:$M$32,3,0)</f>
        <v>2020003050034</v>
      </c>
      <c r="G1087" s="49" t="s">
        <v>340</v>
      </c>
      <c r="H1087" s="49" t="str">
        <f>VLOOKUP(Q1087,[2]PROYECTOS!$V$1:$W$32,2,0)</f>
        <v>050053</v>
      </c>
      <c r="I1087" s="50">
        <v>16379338</v>
      </c>
      <c r="J1087" s="70" t="s">
        <v>345</v>
      </c>
      <c r="K1087" s="47" t="str">
        <f t="shared" ca="1" si="388"/>
        <v>CONTRATADO</v>
      </c>
      <c r="L1087" s="47" t="s">
        <v>94</v>
      </c>
      <c r="M1087" s="47" t="s">
        <v>1297</v>
      </c>
      <c r="N1087" s="51" t="s">
        <v>341</v>
      </c>
      <c r="O1087" s="51" t="e">
        <f>VLOOKUP(N1087,[2]!RUBROS[#All],3,0)</f>
        <v>#REF!</v>
      </c>
      <c r="P1087" s="53" t="e">
        <f>VLOOKUP(N1087,[2]!RUBROS[#All],2,0)</f>
        <v>#REF!</v>
      </c>
      <c r="Q1087" s="47" t="str">
        <f t="shared" si="389"/>
        <v>51</v>
      </c>
      <c r="R1087" s="47" t="str">
        <f t="shared" si="390"/>
        <v>0-205128</v>
      </c>
      <c r="S1087" s="54">
        <v>8</v>
      </c>
      <c r="T1087" s="59" t="s">
        <v>46</v>
      </c>
      <c r="U1087" s="326" t="e">
        <f ca="1">_xlfn.XLOOKUP(PAA_4[[#This Row],[ITEM]],[2]Contrato!A:A,[2]Contrato!Q:Q,"",0)</f>
        <v>#NAME?</v>
      </c>
      <c r="V1087" s="47" t="s">
        <v>95</v>
      </c>
      <c r="W1087" s="47" t="s">
        <v>122</v>
      </c>
      <c r="X1087" s="47" t="s">
        <v>122</v>
      </c>
      <c r="Y1087" s="55" t="e">
        <f ca="1">_xlfn.XLOOKUP(PAA_4[[#This Row],[ITEM]],[2]Contrato!A:A,[2]Contrato!B:B,"",0)</f>
        <v>#NAME?</v>
      </c>
      <c r="Z1087" s="47" t="e">
        <f ca="1">_xlfn.XLOOKUP(PAA_4[[#This Row],[ITEM]],[2]Contrato!A:A,[2]Contrato!G:G,"",0)</f>
        <v>#NAME?</v>
      </c>
      <c r="AA1087" s="47" t="e">
        <f ca="1">_xlfn.XLOOKUP(PAA_4[[#This Row],[ITEM]],[2]Contrato!A:A,[2]Contrato!T:T,"",0)</f>
        <v>#NAME?</v>
      </c>
      <c r="AB1087" s="55" t="e">
        <f ca="1">+MAX(PAA_4[[#This Row],[Comprometido Contrato]],PAA_4[[#This Row],[Comprometido Bolsa]])</f>
        <v>#NAME?</v>
      </c>
      <c r="AC1087" s="55" t="str">
        <f t="shared" ca="1" si="391"/>
        <v/>
      </c>
      <c r="AD1087" s="55" t="e">
        <f ca="1">IF(PAA_4[[#This Row],[ESTADO (formulado)]]="NO CONTRATADO",0,MAX(PAA_4[[#This Row],[Pago por Contrato]],PAA_4[[#This Row],[Pago por bolsa]]))</f>
        <v>#NAME?</v>
      </c>
      <c r="AE1087" s="55" t="str">
        <f t="shared" ca="1" si="392"/>
        <v/>
      </c>
      <c r="AF1087" s="47" t="e">
        <f t="shared" ca="1" si="393"/>
        <v>#NAME?</v>
      </c>
      <c r="AG1087" s="47">
        <f t="shared" si="394"/>
        <v>44021011</v>
      </c>
      <c r="AH1087" s="54">
        <f>IF(Q1087="22",IF(ISNUMBER(SEARCH("econ",PAA_4[[#This Row],[Actividad3]])),"Económico",IF(ISNUMBER(SEARCH("alim",PAA_4[[#This Row],[Actividad3]])),"Alimentación",IF(ISNUMBER(SEARCH("educ",PAA_4[[#This Row],[Actividad3]])),"Educativo","Técnico"))),0)</f>
        <v>0</v>
      </c>
      <c r="AI1087" s="47" t="e" cm="1">
        <f t="array" aca="1" ref="AI1087" ca="1">_xlfn.XLOOKUP(PAA_4[[#This Row],[RCP-RUBRO]],[2]!COMPROMISOS_2024[[#All],[concatenado]],[2]!COMPROMISOS_2024[[#All],[Total pagado]],"",0)</f>
        <v>#NAME?</v>
      </c>
      <c r="AJ1087" s="56">
        <f>IF(PAA_4[[#This Row],[BOLSA]]=0,0,SUMIFS([2]!COMPROMISOS_2024[[#All],[Total pagado]],[2]!COMPROMISOS_2024[[#All],[Bolsa]],PAA_4[[#This Row],[BOLSA]],[2]!COMPROMISOS_2024[[#All],[rubro]],PAA_4[[#This Row],[RCP-RUBRO]]))</f>
        <v>0</v>
      </c>
      <c r="AK1087" s="47" t="e" cm="1">
        <f t="array" aca="1" ref="AK1087" ca="1">_xlfn.XLOOKUP(PAA_4[[#This Row],[RCP-RUBRO]],[2]!COMPROMISOS_2024[[#All],[concatenado]],[2]!COMPROMISOS_2024[[#All],[Total Comprometido]],"",0)</f>
        <v>#NAME?</v>
      </c>
      <c r="AL1087" s="47">
        <f>IF(PAA_4[[#This Row],[BOLSA]]=0,0,SUMIFS([2]!COMPROMISOS_2024[[#All],[Total Comprometido]],[2]!COMPROMISOS_2024[[#All],[Bolsa]],PAA_4[[#This Row],[BOLSA]],[2]!COMPROMISOS_2024[[#All],[concatenado]],PAA_4[[#This Row],[RCP-RUBRO]]))</f>
        <v>0</v>
      </c>
    </row>
    <row r="1088" spans="1:38" s="19" customFormat="1" ht="31.5" customHeight="1">
      <c r="A1088" s="47" t="s">
        <v>82</v>
      </c>
      <c r="B1088" s="47" t="s">
        <v>42</v>
      </c>
      <c r="C1088" s="47" t="str">
        <f>VLOOKUP(PAA_4[[#This Row],[PROYECTO (formulado)2]],[2]PROYECTOS!$G$1:$L$32,6,0)</f>
        <v>SUBGERENCIA DE FOMENTO Y DESARROLLO</v>
      </c>
      <c r="D1088" s="47" t="str">
        <f>+IF(PAA_4[[#This Row],[UNIDAD DE CONTRATACION (formulado)]]="Subgerencia Administrativa y Financiera","FUNCIONAMIENTO","INVERSIÓN")</f>
        <v>INVERSIÓN</v>
      </c>
      <c r="E1088" s="48" t="str">
        <f>VLOOKUP(Q1088,[2]PROYECTOS!$G$1:$K$32,5,0)</f>
        <v>CAPACITACION_PARA_EL_SECTOR_DEL_DEPORTE_LA_ACTIVIDAD_FISICA_LA_RECREACION_Y_LA_EDUCACION_FISICA_DE_ANTI</v>
      </c>
      <c r="F1088" s="48">
        <f>VLOOKUP(E1088,[2]PROYECTOS!$K$1:$M$32,3,0)</f>
        <v>2020003050024</v>
      </c>
      <c r="G1088" s="49" t="s">
        <v>337</v>
      </c>
      <c r="H1088" s="49" t="str">
        <f>VLOOKUP(Q1088,[2]PROYECTOS!$V$1:$W$32,2,0)</f>
        <v>050063</v>
      </c>
      <c r="I1088" s="50">
        <v>256349</v>
      </c>
      <c r="J1088" s="51" t="s">
        <v>1852</v>
      </c>
      <c r="K1088" s="47" t="str">
        <f t="shared" ca="1" si="388"/>
        <v>CONTRATADO</v>
      </c>
      <c r="L1088" s="47" t="s">
        <v>42</v>
      </c>
      <c r="M1088" s="47" t="s">
        <v>42</v>
      </c>
      <c r="N1088" s="51" t="s">
        <v>339</v>
      </c>
      <c r="O1088" s="51" t="e">
        <f>VLOOKUP(N1088,[2]!RUBROS[#All],3,0)</f>
        <v>#REF!</v>
      </c>
      <c r="P1088" s="53" t="e">
        <f>VLOOKUP(N1088,[2]!RUBROS[#All],2,0)</f>
        <v>#REF!</v>
      </c>
      <c r="Q1088" s="47" t="str">
        <f t="shared" si="389"/>
        <v>48</v>
      </c>
      <c r="R1088" s="47" t="str">
        <f t="shared" si="390"/>
        <v>0-205128</v>
      </c>
      <c r="S1088" s="54" t="s">
        <v>42</v>
      </c>
      <c r="T1088" s="59" t="s">
        <v>42</v>
      </c>
      <c r="U1088" s="326" t="e">
        <f ca="1">_xlfn.XLOOKUP(PAA_4[[#This Row],[ITEM]],[2]Contrato!A:A,[2]Contrato!Q:Q,"",0)</f>
        <v>#NAME?</v>
      </c>
      <c r="V1088" s="54" t="s">
        <v>42</v>
      </c>
      <c r="W1088" s="54" t="s">
        <v>42</v>
      </c>
      <c r="X1088" s="54" t="s">
        <v>42</v>
      </c>
      <c r="Y1088" s="55" t="e">
        <f ca="1">_xlfn.XLOOKUP(PAA_4[[#This Row],[ITEM]],[2]Contrato!A:A,[2]Contrato!B:B,"",0)</f>
        <v>#NAME?</v>
      </c>
      <c r="Z1088" s="47" t="e">
        <f ca="1">_xlfn.XLOOKUP(PAA_4[[#This Row],[ITEM]],[2]Contrato!A:A,[2]Contrato!G:G,"",0)</f>
        <v>#NAME?</v>
      </c>
      <c r="AA1088" s="47" t="e">
        <f ca="1">_xlfn.XLOOKUP(PAA_4[[#This Row],[ITEM]],[2]Contrato!A:A,[2]Contrato!T:T,"",0)</f>
        <v>#NAME?</v>
      </c>
      <c r="AB1088" s="55" t="e">
        <f ca="1">+MAX(PAA_4[[#This Row],[Comprometido Contrato]],PAA_4[[#This Row],[Comprometido Bolsa]])</f>
        <v>#NAME?</v>
      </c>
      <c r="AC1088" s="55" t="str">
        <f t="shared" ca="1" si="391"/>
        <v/>
      </c>
      <c r="AD1088" s="55" t="e">
        <f ca="1">IF(PAA_4[[#This Row],[ESTADO (formulado)]]="NO CONTRATADO",0,MAX(PAA_4[[#This Row],[Pago por Contrato]],PAA_4[[#This Row],[Pago por bolsa]]))</f>
        <v>#NAME?</v>
      </c>
      <c r="AE1088" s="55" t="str">
        <f t="shared" ca="1" si="392"/>
        <v/>
      </c>
      <c r="AF1088" s="47" t="e">
        <f t="shared" ca="1" si="393"/>
        <v>#NAME?</v>
      </c>
      <c r="AG1088" s="47">
        <f t="shared" si="394"/>
        <v>41080201</v>
      </c>
      <c r="AH1088" s="54">
        <f>IF(Q1088="22",IF(ISNUMBER(SEARCH("econ",PAA_4[[#This Row],[Actividad3]])),"Económico",IF(ISNUMBER(SEARCH("alim",PAA_4[[#This Row],[Actividad3]])),"Alimentación",IF(ISNUMBER(SEARCH("educ",PAA_4[[#This Row],[Actividad3]])),"Educativo","Técnico"))),0)</f>
        <v>0</v>
      </c>
      <c r="AI1088" s="47" t="e" cm="1">
        <f t="array" aca="1" ref="AI1088" ca="1">_xlfn.XLOOKUP(PAA_4[[#This Row],[RCP-RUBRO]],[2]!COMPROMISOS_2024[[#All],[concatenado]],[2]!COMPROMISOS_2024[[#All],[Total pagado]],"",0)</f>
        <v>#NAME?</v>
      </c>
      <c r="AJ1088" s="56">
        <f>IF(PAA_4[[#This Row],[BOLSA]]=0,0,SUMIFS([2]!COMPROMISOS_2024[[#All],[Total pagado]],[2]!COMPROMISOS_2024[[#All],[Bolsa]],PAA_4[[#This Row],[BOLSA]],[2]!COMPROMISOS_2024[[#All],[rubro]],PAA_4[[#This Row],[RCP-RUBRO]]))</f>
        <v>0</v>
      </c>
      <c r="AK1088" s="47" t="e" cm="1">
        <f t="array" aca="1" ref="AK1088" ca="1">_xlfn.XLOOKUP(PAA_4[[#This Row],[RCP-RUBRO]],[2]!COMPROMISOS_2024[[#All],[concatenado]],[2]!COMPROMISOS_2024[[#All],[Total Comprometido]],"",0)</f>
        <v>#NAME?</v>
      </c>
      <c r="AL1088" s="47">
        <f>IF(PAA_4[[#This Row],[BOLSA]]=0,0,SUMIFS([2]!COMPROMISOS_2024[[#All],[Total Comprometido]],[2]!COMPROMISOS_2024[[#All],[Bolsa]],PAA_4[[#This Row],[BOLSA]],[2]!COMPROMISOS_2024[[#All],[concatenado]],PAA_4[[#This Row],[RCP-RUBRO]]))</f>
        <v>0</v>
      </c>
    </row>
    <row r="1089" spans="1:38" s="19" customFormat="1" ht="31.5" customHeight="1">
      <c r="A1089" s="47">
        <v>663</v>
      </c>
      <c r="B1089" s="47">
        <v>80111600</v>
      </c>
      <c r="C1089" s="47" t="str">
        <f>VLOOKUP(PAA_4[[#This Row],[PROYECTO (formulado)2]],[2]PROYECTOS!$G$1:$L$32,6,0)</f>
        <v>SUBGERENCIA DE FOMENTO Y DESARROLLO</v>
      </c>
      <c r="D1089" s="47" t="str">
        <f>+IF(PAA_4[[#This Row],[UNIDAD DE CONTRATACION (formulado)]]="Subgerencia Administrativa y Financiera","FUNCIONAMIENTO","INVERSIÓN")</f>
        <v>INVERSIÓN</v>
      </c>
      <c r="E1089" s="48" t="str">
        <f>VLOOKUP(Q1089,[2]PROYECTOS!$G$1:$K$32,5,0)</f>
        <v>CAPACITACION_PARA_EL_SECTOR_DEL_DEPORTE_LA_ACTIVIDAD_FISICA_LA_RECREACION_Y_LA_EDUCACION_FISICA_DE_ANTI</v>
      </c>
      <c r="F1089" s="48">
        <f>VLOOKUP(E1089,[2]PROYECTOS!$K$1:$M$32,3,0)</f>
        <v>2020003050024</v>
      </c>
      <c r="G1089" s="49" t="s">
        <v>337</v>
      </c>
      <c r="H1089" s="49" t="str">
        <f>VLOOKUP(Q1089,[2]PROYECTOS!$V$1:$W$32,2,0)</f>
        <v>050063</v>
      </c>
      <c r="I1089" s="50">
        <f>3133977-256349</f>
        <v>2877628</v>
      </c>
      <c r="J1089" s="70" t="s">
        <v>345</v>
      </c>
      <c r="K1089" s="47" t="str">
        <f t="shared" ca="1" si="388"/>
        <v>CONTRATADO</v>
      </c>
      <c r="L1089" s="47" t="s">
        <v>94</v>
      </c>
      <c r="M1089" s="47" t="s">
        <v>1297</v>
      </c>
      <c r="N1089" s="51" t="s">
        <v>339</v>
      </c>
      <c r="O1089" s="51" t="e">
        <f>VLOOKUP(N1089,[2]!RUBROS[#All],3,0)</f>
        <v>#REF!</v>
      </c>
      <c r="P1089" s="53" t="e">
        <f>VLOOKUP(N1089,[2]!RUBROS[#All],2,0)</f>
        <v>#REF!</v>
      </c>
      <c r="Q1089" s="47" t="str">
        <f t="shared" si="389"/>
        <v>48</v>
      </c>
      <c r="R1089" s="47" t="str">
        <f t="shared" si="390"/>
        <v>0-205128</v>
      </c>
      <c r="S1089" s="54">
        <v>8</v>
      </c>
      <c r="T1089" s="59" t="s">
        <v>46</v>
      </c>
      <c r="U1089" s="326" t="e">
        <f ca="1">_xlfn.XLOOKUP(PAA_4[[#This Row],[ITEM]],[2]Contrato!A:A,[2]Contrato!Q:Q,"",0)</f>
        <v>#NAME?</v>
      </c>
      <c r="V1089" s="47" t="s">
        <v>95</v>
      </c>
      <c r="W1089" s="47" t="s">
        <v>122</v>
      </c>
      <c r="X1089" s="47" t="s">
        <v>122</v>
      </c>
      <c r="Y1089" s="55" t="e">
        <f ca="1">_xlfn.XLOOKUP(PAA_4[[#This Row],[ITEM]],[2]Contrato!A:A,[2]Contrato!B:B,"",0)</f>
        <v>#NAME?</v>
      </c>
      <c r="Z1089" s="47" t="e">
        <f ca="1">_xlfn.XLOOKUP(PAA_4[[#This Row],[ITEM]],[2]Contrato!A:A,[2]Contrato!G:G,"",0)</f>
        <v>#NAME?</v>
      </c>
      <c r="AA1089" s="47" t="e">
        <f ca="1">_xlfn.XLOOKUP(PAA_4[[#This Row],[ITEM]],[2]Contrato!A:A,[2]Contrato!T:T,"",0)</f>
        <v>#NAME?</v>
      </c>
      <c r="AB1089" s="55" t="e">
        <f ca="1">+MAX(PAA_4[[#This Row],[Comprometido Contrato]],PAA_4[[#This Row],[Comprometido Bolsa]])</f>
        <v>#NAME?</v>
      </c>
      <c r="AC1089" s="55" t="str">
        <f t="shared" ca="1" si="391"/>
        <v/>
      </c>
      <c r="AD1089" s="55" t="e">
        <f ca="1">IF(PAA_4[[#This Row],[ESTADO (formulado)]]="NO CONTRATADO",0,MAX(PAA_4[[#This Row],[Pago por Contrato]],PAA_4[[#This Row],[Pago por bolsa]]))</f>
        <v>#NAME?</v>
      </c>
      <c r="AE1089" s="55" t="str">
        <f t="shared" ca="1" si="392"/>
        <v/>
      </c>
      <c r="AF1089" s="47" t="e">
        <f t="shared" ca="1" si="393"/>
        <v>#NAME?</v>
      </c>
      <c r="AG1089" s="47">
        <f t="shared" si="394"/>
        <v>41080201</v>
      </c>
      <c r="AH1089" s="54">
        <f>IF(Q1089="22",IF(ISNUMBER(SEARCH("econ",PAA_4[[#This Row],[Actividad3]])),"Económico",IF(ISNUMBER(SEARCH("alim",PAA_4[[#This Row],[Actividad3]])),"Alimentación",IF(ISNUMBER(SEARCH("educ",PAA_4[[#This Row],[Actividad3]])),"Educativo","Técnico"))),0)</f>
        <v>0</v>
      </c>
      <c r="AI1089" s="47" t="e" cm="1">
        <f t="array" aca="1" ref="AI1089" ca="1">_xlfn.XLOOKUP(PAA_4[[#This Row],[RCP-RUBRO]],[2]!COMPROMISOS_2024[[#All],[concatenado]],[2]!COMPROMISOS_2024[[#All],[Total pagado]],"",0)</f>
        <v>#NAME?</v>
      </c>
      <c r="AJ1089" s="56">
        <f>IF(PAA_4[[#This Row],[BOLSA]]=0,0,SUMIFS([2]!COMPROMISOS_2024[[#All],[Total pagado]],[2]!COMPROMISOS_2024[[#All],[Bolsa]],PAA_4[[#This Row],[BOLSA]],[2]!COMPROMISOS_2024[[#All],[rubro]],PAA_4[[#This Row],[RCP-RUBRO]]))</f>
        <v>0</v>
      </c>
      <c r="AK1089" s="47" t="e" cm="1">
        <f t="array" aca="1" ref="AK1089" ca="1">_xlfn.XLOOKUP(PAA_4[[#This Row],[RCP-RUBRO]],[2]!COMPROMISOS_2024[[#All],[concatenado]],[2]!COMPROMISOS_2024[[#All],[Total Comprometido]],"",0)</f>
        <v>#NAME?</v>
      </c>
      <c r="AL1089" s="47">
        <f>IF(PAA_4[[#This Row],[BOLSA]]=0,0,SUMIFS([2]!COMPROMISOS_2024[[#All],[Total Comprometido]],[2]!COMPROMISOS_2024[[#All],[Bolsa]],PAA_4[[#This Row],[BOLSA]],[2]!COMPROMISOS_2024[[#All],[concatenado]],PAA_4[[#This Row],[RCP-RUBRO]]))</f>
        <v>0</v>
      </c>
    </row>
    <row r="1090" spans="1:38" s="19" customFormat="1" ht="31.5" customHeight="1">
      <c r="A1090" s="47" t="s">
        <v>82</v>
      </c>
      <c r="B1090" s="47" t="s">
        <v>42</v>
      </c>
      <c r="C1090" s="47" t="str">
        <f>VLOOKUP(PAA_4[[#This Row],[PROYECTO (formulado)2]],[2]PROYECTOS!$G$1:$L$32,6,0)</f>
        <v>SUBGERENCIA DE FOMENTO Y DESARROLLO</v>
      </c>
      <c r="D1090" s="47" t="str">
        <f>+IF(PAA_4[[#This Row],[UNIDAD DE CONTRATACION (formulado)]]="Subgerencia Administrativa y Financiera","FUNCIONAMIENTO","INVERSIÓN")</f>
        <v>INVERSIÓN</v>
      </c>
      <c r="E1090" s="48" t="str">
        <f>VLOOKUP(Q1090,[2]PROYECTOS!$G$1:$K$32,5,0)</f>
        <v>FORTALECIMIENTO_DEL_PROGRAMA_POR_SU_SALUD_MUÉVASE_PUES_EN_LOS_MUNICIPIO_DEL_DEPARTAMENTO_DE_ANTIOQUIA</v>
      </c>
      <c r="F1090" s="48">
        <f>VLOOKUP(E1090,[2]PROYECTOS!$K$1:$M$32,3,0)</f>
        <v>2020003050030</v>
      </c>
      <c r="G1090" s="49" t="s">
        <v>326</v>
      </c>
      <c r="H1090" s="49" t="str">
        <f>VLOOKUP(Q1090,[2]PROYECTOS!$V$1:$W$32,2,0)</f>
        <v>050055</v>
      </c>
      <c r="I1090" s="50">
        <v>77059</v>
      </c>
      <c r="J1090" s="51" t="s">
        <v>1852</v>
      </c>
      <c r="K1090" s="47" t="str">
        <f t="shared" ca="1" si="388"/>
        <v>CONTRATADO</v>
      </c>
      <c r="L1090" s="47" t="s">
        <v>42</v>
      </c>
      <c r="M1090" s="47" t="s">
        <v>42</v>
      </c>
      <c r="N1090" s="51" t="s">
        <v>329</v>
      </c>
      <c r="O1090" s="51" t="e">
        <f>VLOOKUP(N1090,[2]!RUBROS[#All],3,0)</f>
        <v>#REF!</v>
      </c>
      <c r="P1090" s="53" t="e">
        <f>VLOOKUP(N1090,[2]!RUBROS[#All],2,0)</f>
        <v>#REF!</v>
      </c>
      <c r="Q1090" s="47" t="str">
        <f t="shared" si="389"/>
        <v>45</v>
      </c>
      <c r="R1090" s="47" t="str">
        <f t="shared" si="390"/>
        <v>0-205128</v>
      </c>
      <c r="S1090" s="54" t="s">
        <v>42</v>
      </c>
      <c r="T1090" s="59" t="s">
        <v>42</v>
      </c>
      <c r="U1090" s="326" t="e">
        <f ca="1">_xlfn.XLOOKUP(PAA_4[[#This Row],[ITEM]],[2]Contrato!A:A,[2]Contrato!Q:Q,"",0)</f>
        <v>#NAME?</v>
      </c>
      <c r="V1090" s="54" t="s">
        <v>42</v>
      </c>
      <c r="W1090" s="54" t="s">
        <v>42</v>
      </c>
      <c r="X1090" s="54" t="s">
        <v>42</v>
      </c>
      <c r="Y1090" s="55" t="e">
        <f ca="1">_xlfn.XLOOKUP(PAA_4[[#This Row],[ITEM]],[2]Contrato!A:A,[2]Contrato!B:B,"",0)</f>
        <v>#NAME?</v>
      </c>
      <c r="Z1090" s="47" t="e">
        <f ca="1">_xlfn.XLOOKUP(PAA_4[[#This Row],[ITEM]],[2]Contrato!A:A,[2]Contrato!G:G,"",0)</f>
        <v>#NAME?</v>
      </c>
      <c r="AA1090" s="47" t="e">
        <f ca="1">_xlfn.XLOOKUP(PAA_4[[#This Row],[ITEM]],[2]Contrato!A:A,[2]Contrato!T:T,"",0)</f>
        <v>#NAME?</v>
      </c>
      <c r="AB1090" s="55" t="e">
        <f ca="1">+MAX(PAA_4[[#This Row],[Comprometido Contrato]],PAA_4[[#This Row],[Comprometido Bolsa]])</f>
        <v>#NAME?</v>
      </c>
      <c r="AC1090" s="55" t="str">
        <f t="shared" ca="1" si="391"/>
        <v/>
      </c>
      <c r="AD1090" s="55" t="e">
        <f ca="1">IF(PAA_4[[#This Row],[ESTADO (formulado)]]="NO CONTRATADO",0,MAX(PAA_4[[#This Row],[Pago por Contrato]],PAA_4[[#This Row],[Pago por bolsa]]))</f>
        <v>#NAME?</v>
      </c>
      <c r="AE1090" s="55" t="str">
        <f t="shared" ca="1" si="392"/>
        <v/>
      </c>
      <c r="AF1090" s="47" t="e">
        <f t="shared" ca="1" si="393"/>
        <v>#NAME?</v>
      </c>
      <c r="AG1090" s="47">
        <f t="shared" si="394"/>
        <v>44021001</v>
      </c>
      <c r="AH1090" s="54">
        <f>IF(Q1090="22",IF(ISNUMBER(SEARCH("econ",PAA_4[[#This Row],[Actividad3]])),"Económico",IF(ISNUMBER(SEARCH("alim",PAA_4[[#This Row],[Actividad3]])),"Alimentación",IF(ISNUMBER(SEARCH("educ",PAA_4[[#This Row],[Actividad3]])),"Educativo","Técnico"))),0)</f>
        <v>0</v>
      </c>
      <c r="AI1090" s="47" t="e" cm="1">
        <f t="array" aca="1" ref="AI1090" ca="1">_xlfn.XLOOKUP(PAA_4[[#This Row],[RCP-RUBRO]],[2]!COMPROMISOS_2024[[#All],[concatenado]],[2]!COMPROMISOS_2024[[#All],[Total pagado]],"",0)</f>
        <v>#NAME?</v>
      </c>
      <c r="AJ1090" s="56">
        <f>IF(PAA_4[[#This Row],[BOLSA]]=0,0,SUMIFS([2]!COMPROMISOS_2024[[#All],[Total pagado]],[2]!COMPROMISOS_2024[[#All],[Bolsa]],PAA_4[[#This Row],[BOLSA]],[2]!COMPROMISOS_2024[[#All],[rubro]],PAA_4[[#This Row],[RCP-RUBRO]]))</f>
        <v>0</v>
      </c>
      <c r="AK1090" s="47" t="e" cm="1">
        <f t="array" aca="1" ref="AK1090" ca="1">_xlfn.XLOOKUP(PAA_4[[#This Row],[RCP-RUBRO]],[2]!COMPROMISOS_2024[[#All],[concatenado]],[2]!COMPROMISOS_2024[[#All],[Total Comprometido]],"",0)</f>
        <v>#NAME?</v>
      </c>
      <c r="AL1090" s="47">
        <f>IF(PAA_4[[#This Row],[BOLSA]]=0,0,SUMIFS([2]!COMPROMISOS_2024[[#All],[Total Comprometido]],[2]!COMPROMISOS_2024[[#All],[Bolsa]],PAA_4[[#This Row],[BOLSA]],[2]!COMPROMISOS_2024[[#All],[concatenado]],PAA_4[[#This Row],[RCP-RUBRO]]))</f>
        <v>0</v>
      </c>
    </row>
    <row r="1091" spans="1:38" s="19" customFormat="1" ht="31.5" customHeight="1">
      <c r="A1091" s="47" t="s">
        <v>82</v>
      </c>
      <c r="B1091" s="47" t="s">
        <v>42</v>
      </c>
      <c r="C1091" s="47" t="str">
        <f>VLOOKUP(PAA_4[[#This Row],[PROYECTO (formulado)2]],[2]PROYECTOS!$G$1:$L$32,6,0)</f>
        <v>SUBGERENCIA DE FOMENTO Y DESARROLLO</v>
      </c>
      <c r="D1091" s="47" t="str">
        <f>+IF(PAA_4[[#This Row],[UNIDAD DE CONTRATACION (formulado)]]="Subgerencia Administrativa y Financiera","FUNCIONAMIENTO","INVERSIÓN")</f>
        <v>INVERSIÓN</v>
      </c>
      <c r="E1091" s="48" t="str">
        <f>VLOOKUP(Q1091,[2]PROYECTOS!$G$1:$K$32,5,0)</f>
        <v>FORTALECIMIENTO_DE_LAS_ESCUELAS_DEPORTIVAS_EN_LOS_MUNICIPIOS_DEL_DEPARTAMENTO_DE_ANTIOQUIA</v>
      </c>
      <c r="F1091" s="48">
        <f>VLOOKUP(E1091,[2]PROYECTOS!$K$1:$M$32,3,0)</f>
        <v>2020003050032</v>
      </c>
      <c r="G1091" s="49" t="s">
        <v>333</v>
      </c>
      <c r="H1091" s="49" t="str">
        <f>VLOOKUP(Q1091,[2]PROYECTOS!$V$1:$W$32,2,0)</f>
        <v>050059</v>
      </c>
      <c r="I1091" s="50">
        <v>74698</v>
      </c>
      <c r="J1091" s="51" t="s">
        <v>1852</v>
      </c>
      <c r="K1091" s="47" t="str">
        <f t="shared" ca="1" si="388"/>
        <v>CONTRATADO</v>
      </c>
      <c r="L1091" s="47" t="s">
        <v>42</v>
      </c>
      <c r="M1091" s="47" t="s">
        <v>42</v>
      </c>
      <c r="N1091" s="51" t="s">
        <v>334</v>
      </c>
      <c r="O1091" s="51" t="e">
        <f>VLOOKUP(N1091,[2]!RUBROS[#All],3,0)</f>
        <v>#REF!</v>
      </c>
      <c r="P1091" s="53" t="e">
        <f>VLOOKUP(N1091,[2]!RUBROS[#All],2,0)</f>
        <v>#REF!</v>
      </c>
      <c r="Q1091" s="47" t="str">
        <f t="shared" si="389"/>
        <v>46</v>
      </c>
      <c r="R1091" s="47" t="str">
        <f t="shared" si="390"/>
        <v>0-205128</v>
      </c>
      <c r="S1091" s="54" t="s">
        <v>42</v>
      </c>
      <c r="T1091" s="59" t="s">
        <v>42</v>
      </c>
      <c r="U1091" s="326" t="e">
        <f ca="1">_xlfn.XLOOKUP(PAA_4[[#This Row],[ITEM]],[2]Contrato!A:A,[2]Contrato!Q:Q,"",0)</f>
        <v>#NAME?</v>
      </c>
      <c r="V1091" s="54" t="s">
        <v>42</v>
      </c>
      <c r="W1091" s="54" t="s">
        <v>42</v>
      </c>
      <c r="X1091" s="54" t="s">
        <v>42</v>
      </c>
      <c r="Y1091" s="55" t="e">
        <f ca="1">_xlfn.XLOOKUP(PAA_4[[#This Row],[ITEM]],[2]Contrato!A:A,[2]Contrato!B:B,"",0)</f>
        <v>#NAME?</v>
      </c>
      <c r="Z1091" s="47" t="e">
        <f ca="1">_xlfn.XLOOKUP(PAA_4[[#This Row],[ITEM]],[2]Contrato!A:A,[2]Contrato!G:G,"",0)</f>
        <v>#NAME?</v>
      </c>
      <c r="AA1091" s="47" t="e">
        <f ca="1">_xlfn.XLOOKUP(PAA_4[[#This Row],[ITEM]],[2]Contrato!A:A,[2]Contrato!T:T,"",0)</f>
        <v>#NAME?</v>
      </c>
      <c r="AB1091" s="55" t="e">
        <f ca="1">+MAX(PAA_4[[#This Row],[Comprometido Contrato]],PAA_4[[#This Row],[Comprometido Bolsa]])</f>
        <v>#NAME?</v>
      </c>
      <c r="AC1091" s="55" t="str">
        <f t="shared" ca="1" si="391"/>
        <v/>
      </c>
      <c r="AD1091" s="55" t="e">
        <f ca="1">IF(PAA_4[[#This Row],[ESTADO (formulado)]]="NO CONTRATADO",0,MAX(PAA_4[[#This Row],[Pago por Contrato]],PAA_4[[#This Row],[Pago por bolsa]]))</f>
        <v>#NAME?</v>
      </c>
      <c r="AE1091" s="55" t="str">
        <f t="shared" ca="1" si="392"/>
        <v/>
      </c>
      <c r="AF1091" s="47" t="e">
        <f t="shared" ca="1" si="393"/>
        <v>#NAME?</v>
      </c>
      <c r="AG1091" s="47">
        <f t="shared" si="394"/>
        <v>44021007</v>
      </c>
      <c r="AH1091" s="54">
        <f>IF(Q1091="22",IF(ISNUMBER(SEARCH("econ",PAA_4[[#This Row],[Actividad3]])),"Económico",IF(ISNUMBER(SEARCH("alim",PAA_4[[#This Row],[Actividad3]])),"Alimentación",IF(ISNUMBER(SEARCH("educ",PAA_4[[#This Row],[Actividad3]])),"Educativo","Técnico"))),0)</f>
        <v>0</v>
      </c>
      <c r="AI1091" s="47" t="e" cm="1">
        <f t="array" aca="1" ref="AI1091" ca="1">_xlfn.XLOOKUP(PAA_4[[#This Row],[RCP-RUBRO]],[2]!COMPROMISOS_2024[[#All],[concatenado]],[2]!COMPROMISOS_2024[[#All],[Total pagado]],"",0)</f>
        <v>#NAME?</v>
      </c>
      <c r="AJ1091" s="56">
        <f>IF(PAA_4[[#This Row],[BOLSA]]=0,0,SUMIFS([2]!COMPROMISOS_2024[[#All],[Total pagado]],[2]!COMPROMISOS_2024[[#All],[Bolsa]],PAA_4[[#This Row],[BOLSA]],[2]!COMPROMISOS_2024[[#All],[rubro]],PAA_4[[#This Row],[RCP-RUBRO]]))</f>
        <v>0</v>
      </c>
      <c r="AK1091" s="47" t="e" cm="1">
        <f t="array" aca="1" ref="AK1091" ca="1">_xlfn.XLOOKUP(PAA_4[[#This Row],[RCP-RUBRO]],[2]!COMPROMISOS_2024[[#All],[concatenado]],[2]!COMPROMISOS_2024[[#All],[Total Comprometido]],"",0)</f>
        <v>#NAME?</v>
      </c>
      <c r="AL1091" s="47">
        <f>IF(PAA_4[[#This Row],[BOLSA]]=0,0,SUMIFS([2]!COMPROMISOS_2024[[#All],[Total Comprometido]],[2]!COMPROMISOS_2024[[#All],[Bolsa]],PAA_4[[#This Row],[BOLSA]],[2]!COMPROMISOS_2024[[#All],[concatenado]],PAA_4[[#This Row],[RCP-RUBRO]]))</f>
        <v>0</v>
      </c>
    </row>
    <row r="1092" spans="1:38" s="19" customFormat="1" ht="31.5" customHeight="1">
      <c r="A1092" s="47" t="s">
        <v>82</v>
      </c>
      <c r="B1092" s="47" t="s">
        <v>42</v>
      </c>
      <c r="C1092" s="47" t="str">
        <f>VLOOKUP(PAA_4[[#This Row],[PROYECTO (formulado)2]],[2]PROYECTOS!$G$1:$L$32,6,0)</f>
        <v>SUBGERENCIA DE FOMENTO Y DESARROLLO</v>
      </c>
      <c r="D1092" s="47" t="str">
        <f>+IF(PAA_4[[#This Row],[UNIDAD DE CONTRATACION (formulado)]]="Subgerencia Administrativa y Financiera","FUNCIONAMIENTO","INVERSIÓN")</f>
        <v>INVERSIÓN</v>
      </c>
      <c r="E1092" s="48" t="str">
        <f>VLOOKUP(Q1092,[2]PROYECTOS!$G$1:$K$32,5,0)</f>
        <v>FORTALECIMIENTO_DE_LOS_PROGRAMAS_RECREATIVOS_EN_LOS_MUNICIPIOS_DEL_DEPARTAMENTO_DE_ANTIOQUIA</v>
      </c>
      <c r="F1092" s="48">
        <f>VLOOKUP(E1092,[2]PROYECTOS!$K$1:$M$32,3,0)</f>
        <v>2020003050031</v>
      </c>
      <c r="G1092" s="49" t="s">
        <v>335</v>
      </c>
      <c r="H1092" s="49" t="str">
        <f>VLOOKUP(Q1092,[2]PROYECTOS!$V$1:$W$32,2,0)</f>
        <v>050064</v>
      </c>
      <c r="I1092" s="50">
        <v>74208</v>
      </c>
      <c r="J1092" s="51" t="s">
        <v>1852</v>
      </c>
      <c r="K1092" s="47" t="str">
        <f t="shared" ca="1" si="388"/>
        <v>CONTRATADO</v>
      </c>
      <c r="L1092" s="47" t="s">
        <v>42</v>
      </c>
      <c r="M1092" s="47" t="s">
        <v>42</v>
      </c>
      <c r="N1092" s="51" t="s">
        <v>336</v>
      </c>
      <c r="O1092" s="51" t="e">
        <f>VLOOKUP(N1092,[2]!RUBROS[#All],3,0)</f>
        <v>#REF!</v>
      </c>
      <c r="P1092" s="53" t="e">
        <f>VLOOKUP(N1092,[2]!RUBROS[#All],2,0)</f>
        <v>#REF!</v>
      </c>
      <c r="Q1092" s="47" t="str">
        <f t="shared" si="389"/>
        <v>47</v>
      </c>
      <c r="R1092" s="47" t="str">
        <f t="shared" si="390"/>
        <v>0-205128</v>
      </c>
      <c r="S1092" s="54" t="s">
        <v>42</v>
      </c>
      <c r="T1092" s="59" t="s">
        <v>42</v>
      </c>
      <c r="U1092" s="326" t="e">
        <f ca="1">_xlfn.XLOOKUP(PAA_4[[#This Row],[ITEM]],[2]Contrato!A:A,[2]Contrato!Q:Q,"",0)</f>
        <v>#NAME?</v>
      </c>
      <c r="V1092" s="54" t="s">
        <v>42</v>
      </c>
      <c r="W1092" s="54" t="s">
        <v>42</v>
      </c>
      <c r="X1092" s="54" t="s">
        <v>42</v>
      </c>
      <c r="Y1092" s="55" t="e">
        <f ca="1">_xlfn.XLOOKUP(PAA_4[[#This Row],[ITEM]],[2]Contrato!A:A,[2]Contrato!B:B,"",0)</f>
        <v>#NAME?</v>
      </c>
      <c r="Z1092" s="47" t="e">
        <f ca="1">_xlfn.XLOOKUP(PAA_4[[#This Row],[ITEM]],[2]Contrato!A:A,[2]Contrato!G:G,"",0)</f>
        <v>#NAME?</v>
      </c>
      <c r="AA1092" s="47" t="e">
        <f ca="1">_xlfn.XLOOKUP(PAA_4[[#This Row],[ITEM]],[2]Contrato!A:A,[2]Contrato!T:T,"",0)</f>
        <v>#NAME?</v>
      </c>
      <c r="AB1092" s="55" t="e">
        <f ca="1">+MAX(PAA_4[[#This Row],[Comprometido Contrato]],PAA_4[[#This Row],[Comprometido Bolsa]])</f>
        <v>#NAME?</v>
      </c>
      <c r="AC1092" s="55" t="str">
        <f t="shared" ca="1" si="391"/>
        <v/>
      </c>
      <c r="AD1092" s="55" t="e">
        <f ca="1">IF(PAA_4[[#This Row],[ESTADO (formulado)]]="NO CONTRATADO",0,MAX(PAA_4[[#This Row],[Pago por Contrato]],PAA_4[[#This Row],[Pago por bolsa]]))</f>
        <v>#NAME?</v>
      </c>
      <c r="AE1092" s="55" t="str">
        <f t="shared" ca="1" si="392"/>
        <v/>
      </c>
      <c r="AF1092" s="47" t="e">
        <f t="shared" ca="1" si="393"/>
        <v>#NAME?</v>
      </c>
      <c r="AG1092" s="47">
        <f t="shared" si="394"/>
        <v>44021004</v>
      </c>
      <c r="AH1092" s="54">
        <f>IF(Q1092="22",IF(ISNUMBER(SEARCH("econ",PAA_4[[#This Row],[Actividad3]])),"Económico",IF(ISNUMBER(SEARCH("alim",PAA_4[[#This Row],[Actividad3]])),"Alimentación",IF(ISNUMBER(SEARCH("educ",PAA_4[[#This Row],[Actividad3]])),"Educativo","Técnico"))),0)</f>
        <v>0</v>
      </c>
      <c r="AI1092" s="47" t="e" cm="1">
        <f t="array" aca="1" ref="AI1092" ca="1">_xlfn.XLOOKUP(PAA_4[[#This Row],[RCP-RUBRO]],[2]!COMPROMISOS_2024[[#All],[concatenado]],[2]!COMPROMISOS_2024[[#All],[Total pagado]],"",0)</f>
        <v>#NAME?</v>
      </c>
      <c r="AJ1092" s="56">
        <f>IF(PAA_4[[#This Row],[BOLSA]]=0,0,SUMIFS([2]!COMPROMISOS_2024[[#All],[Total pagado]],[2]!COMPROMISOS_2024[[#All],[Bolsa]],PAA_4[[#This Row],[BOLSA]],[2]!COMPROMISOS_2024[[#All],[rubro]],PAA_4[[#This Row],[RCP-RUBRO]]))</f>
        <v>0</v>
      </c>
      <c r="AK1092" s="47" t="e" cm="1">
        <f t="array" aca="1" ref="AK1092" ca="1">_xlfn.XLOOKUP(PAA_4[[#This Row],[RCP-RUBRO]],[2]!COMPROMISOS_2024[[#All],[concatenado]],[2]!COMPROMISOS_2024[[#All],[Total Comprometido]],"",0)</f>
        <v>#NAME?</v>
      </c>
      <c r="AL1092" s="47">
        <f>IF(PAA_4[[#This Row],[BOLSA]]=0,0,SUMIFS([2]!COMPROMISOS_2024[[#All],[Total Comprometido]],[2]!COMPROMISOS_2024[[#All],[Bolsa]],PAA_4[[#This Row],[BOLSA]],[2]!COMPROMISOS_2024[[#All],[concatenado]],PAA_4[[#This Row],[RCP-RUBRO]]))</f>
        <v>0</v>
      </c>
    </row>
    <row r="1093" spans="1:38" s="19" customFormat="1" ht="31.5" customHeight="1">
      <c r="A1093" s="47" t="s">
        <v>82</v>
      </c>
      <c r="B1093" s="47" t="s">
        <v>42</v>
      </c>
      <c r="C1093" s="47" t="str">
        <f>VLOOKUP(PAA_4[[#This Row],[PROYECTO (formulado)2]],[2]PROYECTOS!$G$1:$L$32,6,0)</f>
        <v>SUBGERENCIA DE FOMENTO Y DESARROLLO</v>
      </c>
      <c r="D1093" s="47" t="str">
        <f>+IF(PAA_4[[#This Row],[UNIDAD DE CONTRATACION (formulado)]]="Subgerencia Administrativa y Financiera","FUNCIONAMIENTO","INVERSIÓN")</f>
        <v>INVERSIÓN</v>
      </c>
      <c r="E1093" s="48" t="str">
        <f>VLOOKUP(Q1093,[2]PROYECTOS!$G$1:$K$32,5,0)</f>
        <v>FORTALECIMIENTO_DE_LOS_JUEGOS_DEL_SECTOR_SOCIAL_COMUNITARIO_EN_LOS_MUNICIPIOS_DEL_DEPARTAMENTO_DE_ANTIOQU</v>
      </c>
      <c r="F1093" s="48">
        <f>VLOOKUP(E1093,[2]PROYECTOS!$K$1:$M$32,3,0)</f>
        <v>2020003050033</v>
      </c>
      <c r="G1093" s="49" t="s">
        <v>342</v>
      </c>
      <c r="H1093" s="49" t="str">
        <f>VLOOKUP(Q1093,[2]PROYECTOS!$V$1:$W$32,2,0)</f>
        <v>050057</v>
      </c>
      <c r="I1093" s="50">
        <v>130001</v>
      </c>
      <c r="J1093" s="51" t="s">
        <v>1852</v>
      </c>
      <c r="K1093" s="47" t="str">
        <f t="shared" ca="1" si="388"/>
        <v>CONTRATADO</v>
      </c>
      <c r="L1093" s="47" t="s">
        <v>42</v>
      </c>
      <c r="M1093" s="47" t="s">
        <v>42</v>
      </c>
      <c r="N1093" s="51" t="s">
        <v>343</v>
      </c>
      <c r="O1093" s="51" t="e">
        <f>VLOOKUP(N1093,[2]!RUBROS[#All],3,0)</f>
        <v>#REF!</v>
      </c>
      <c r="P1093" s="53" t="e">
        <f>VLOOKUP(N1093,[2]!RUBROS[#All],2,0)</f>
        <v>#REF!</v>
      </c>
      <c r="Q1093" s="47" t="str">
        <f t="shared" si="389"/>
        <v>50</v>
      </c>
      <c r="R1093" s="47" t="str">
        <f t="shared" si="390"/>
        <v>0-205128</v>
      </c>
      <c r="S1093" s="54" t="s">
        <v>42</v>
      </c>
      <c r="T1093" s="59" t="s">
        <v>42</v>
      </c>
      <c r="U1093" s="326" t="e">
        <f ca="1">_xlfn.XLOOKUP(PAA_4[[#This Row],[ITEM]],[2]Contrato!A:A,[2]Contrato!Q:Q,"",0)</f>
        <v>#NAME?</v>
      </c>
      <c r="V1093" s="54" t="s">
        <v>42</v>
      </c>
      <c r="W1093" s="54" t="s">
        <v>42</v>
      </c>
      <c r="X1093" s="54" t="s">
        <v>42</v>
      </c>
      <c r="Y1093" s="55" t="e">
        <f ca="1">_xlfn.XLOOKUP(PAA_4[[#This Row],[ITEM]],[2]Contrato!A:A,[2]Contrato!B:B,"",0)</f>
        <v>#NAME?</v>
      </c>
      <c r="Z1093" s="47" t="e">
        <f ca="1">_xlfn.XLOOKUP(PAA_4[[#This Row],[ITEM]],[2]Contrato!A:A,[2]Contrato!G:G,"",0)</f>
        <v>#NAME?</v>
      </c>
      <c r="AA1093" s="47" t="e">
        <f ca="1">_xlfn.XLOOKUP(PAA_4[[#This Row],[ITEM]],[2]Contrato!A:A,[2]Contrato!T:T,"",0)</f>
        <v>#NAME?</v>
      </c>
      <c r="AB1093" s="55" t="e">
        <f ca="1">+MAX(PAA_4[[#This Row],[Comprometido Contrato]],PAA_4[[#This Row],[Comprometido Bolsa]])</f>
        <v>#NAME?</v>
      </c>
      <c r="AC1093" s="55" t="str">
        <f t="shared" ca="1" si="391"/>
        <v/>
      </c>
      <c r="AD1093" s="55" t="e">
        <f ca="1">IF(PAA_4[[#This Row],[ESTADO (formulado)]]="NO CONTRATADO",0,MAX(PAA_4[[#This Row],[Pago por Contrato]],PAA_4[[#This Row],[Pago por bolsa]]))</f>
        <v>#NAME?</v>
      </c>
      <c r="AE1093" s="55" t="str">
        <f t="shared" ca="1" si="392"/>
        <v/>
      </c>
      <c r="AF1093" s="47" t="e">
        <f t="shared" ca="1" si="393"/>
        <v>#NAME?</v>
      </c>
      <c r="AG1093" s="47">
        <f t="shared" si="394"/>
        <v>44021010</v>
      </c>
      <c r="AH1093" s="54">
        <f>IF(Q1093="22",IF(ISNUMBER(SEARCH("econ",PAA_4[[#This Row],[Actividad3]])),"Económico",IF(ISNUMBER(SEARCH("alim",PAA_4[[#This Row],[Actividad3]])),"Alimentación",IF(ISNUMBER(SEARCH("educ",PAA_4[[#This Row],[Actividad3]])),"Educativo","Técnico"))),0)</f>
        <v>0</v>
      </c>
      <c r="AI1093" s="47" t="e" cm="1">
        <f t="array" aca="1" ref="AI1093" ca="1">_xlfn.XLOOKUP(PAA_4[[#This Row],[RCP-RUBRO]],[2]!COMPROMISOS_2024[[#All],[concatenado]],[2]!COMPROMISOS_2024[[#All],[Total pagado]],"",0)</f>
        <v>#NAME?</v>
      </c>
      <c r="AJ1093" s="56">
        <f>IF(PAA_4[[#This Row],[BOLSA]]=0,0,SUMIFS([2]!COMPROMISOS_2024[[#All],[Total pagado]],[2]!COMPROMISOS_2024[[#All],[Bolsa]],PAA_4[[#This Row],[BOLSA]],[2]!COMPROMISOS_2024[[#All],[rubro]],PAA_4[[#This Row],[RCP-RUBRO]]))</f>
        <v>0</v>
      </c>
      <c r="AK1093" s="47" t="e" cm="1">
        <f t="array" aca="1" ref="AK1093" ca="1">_xlfn.XLOOKUP(PAA_4[[#This Row],[RCP-RUBRO]],[2]!COMPROMISOS_2024[[#All],[concatenado]],[2]!COMPROMISOS_2024[[#All],[Total Comprometido]],"",0)</f>
        <v>#NAME?</v>
      </c>
      <c r="AL1093" s="47">
        <f>IF(PAA_4[[#This Row],[BOLSA]]=0,0,SUMIFS([2]!COMPROMISOS_2024[[#All],[Total Comprometido]],[2]!COMPROMISOS_2024[[#All],[Bolsa]],PAA_4[[#This Row],[BOLSA]],[2]!COMPROMISOS_2024[[#All],[concatenado]],PAA_4[[#This Row],[RCP-RUBRO]]))</f>
        <v>0</v>
      </c>
    </row>
    <row r="1094" spans="1:38" s="19" customFormat="1" ht="31.5" customHeight="1">
      <c r="A1094" s="47" t="s">
        <v>82</v>
      </c>
      <c r="B1094" s="47" t="s">
        <v>42</v>
      </c>
      <c r="C1094" s="47" t="str">
        <f>VLOOKUP(PAA_4[[#This Row],[PROYECTO (formulado)2]],[2]PROYECTOS!$G$1:$L$32,6,0)</f>
        <v>SUBGERENCIA DE FOMENTO Y DESARROLLO</v>
      </c>
      <c r="D1094" s="47" t="str">
        <f>+IF(PAA_4[[#This Row],[UNIDAD DE CONTRATACION (formulado)]]="Subgerencia Administrativa y Financiera","FUNCIONAMIENTO","INVERSIÓN")</f>
        <v>INVERSIÓN</v>
      </c>
      <c r="E1094" s="48" t="str">
        <f>VLOOKUP(Q1094,[2]PROYECTOS!$G$1:$K$32,5,0)</f>
        <v>FORTALECIMIENTO_DE_LOS_JUEGOS_DEL_SECTOR_EDUCATIVO_EN_ANTIOQUIA</v>
      </c>
      <c r="F1094" s="48">
        <f>VLOOKUP(E1094,[2]PROYECTOS!$K$1:$M$32,3,0)</f>
        <v>2020003050034</v>
      </c>
      <c r="G1094" s="49" t="s">
        <v>340</v>
      </c>
      <c r="H1094" s="49" t="str">
        <f>VLOOKUP(Q1094,[2]PROYECTOS!$V$1:$W$32,2,0)</f>
        <v>050053</v>
      </c>
      <c r="I1094" s="50">
        <v>131563</v>
      </c>
      <c r="J1094" s="51" t="s">
        <v>1852</v>
      </c>
      <c r="K1094" s="47" t="str">
        <f t="shared" ca="1" si="388"/>
        <v>CONTRATADO</v>
      </c>
      <c r="L1094" s="47" t="s">
        <v>42</v>
      </c>
      <c r="M1094" s="47" t="s">
        <v>42</v>
      </c>
      <c r="N1094" s="51" t="s">
        <v>341</v>
      </c>
      <c r="O1094" s="51" t="e">
        <f>VLOOKUP(N1094,[2]!RUBROS[#All],3,0)</f>
        <v>#REF!</v>
      </c>
      <c r="P1094" s="53" t="e">
        <f>VLOOKUP(N1094,[2]!RUBROS[#All],2,0)</f>
        <v>#REF!</v>
      </c>
      <c r="Q1094" s="47" t="str">
        <f t="shared" si="389"/>
        <v>51</v>
      </c>
      <c r="R1094" s="47" t="str">
        <f t="shared" si="390"/>
        <v>0-205128</v>
      </c>
      <c r="S1094" s="54" t="s">
        <v>42</v>
      </c>
      <c r="T1094" s="59" t="s">
        <v>42</v>
      </c>
      <c r="U1094" s="326" t="e">
        <f ca="1">_xlfn.XLOOKUP(PAA_4[[#This Row],[ITEM]],[2]Contrato!A:A,[2]Contrato!Q:Q,"",0)</f>
        <v>#NAME?</v>
      </c>
      <c r="V1094" s="54" t="s">
        <v>42</v>
      </c>
      <c r="W1094" s="54" t="s">
        <v>42</v>
      </c>
      <c r="X1094" s="54" t="s">
        <v>42</v>
      </c>
      <c r="Y1094" s="55" t="e">
        <f ca="1">_xlfn.XLOOKUP(PAA_4[[#This Row],[ITEM]],[2]Contrato!A:A,[2]Contrato!B:B,"",0)</f>
        <v>#NAME?</v>
      </c>
      <c r="Z1094" s="47" t="e">
        <f ca="1">_xlfn.XLOOKUP(PAA_4[[#This Row],[ITEM]],[2]Contrato!A:A,[2]Contrato!G:G,"",0)</f>
        <v>#NAME?</v>
      </c>
      <c r="AA1094" s="47" t="e">
        <f ca="1">_xlfn.XLOOKUP(PAA_4[[#This Row],[ITEM]],[2]Contrato!A:A,[2]Contrato!T:T,"",0)</f>
        <v>#NAME?</v>
      </c>
      <c r="AB1094" s="55" t="e">
        <f ca="1">+MAX(PAA_4[[#This Row],[Comprometido Contrato]],PAA_4[[#This Row],[Comprometido Bolsa]])</f>
        <v>#NAME?</v>
      </c>
      <c r="AC1094" s="55" t="str">
        <f t="shared" ca="1" si="391"/>
        <v/>
      </c>
      <c r="AD1094" s="55" t="e">
        <f ca="1">IF(PAA_4[[#This Row],[ESTADO (formulado)]]="NO CONTRATADO",0,MAX(PAA_4[[#This Row],[Pago por Contrato]],PAA_4[[#This Row],[Pago por bolsa]]))</f>
        <v>#NAME?</v>
      </c>
      <c r="AE1094" s="55" t="str">
        <f t="shared" ca="1" si="392"/>
        <v/>
      </c>
      <c r="AF1094" s="47" t="e">
        <f t="shared" ca="1" si="393"/>
        <v>#NAME?</v>
      </c>
      <c r="AG1094" s="47">
        <f t="shared" si="394"/>
        <v>44021011</v>
      </c>
      <c r="AH1094" s="54">
        <f>IF(Q1094="22",IF(ISNUMBER(SEARCH("econ",PAA_4[[#This Row],[Actividad3]])),"Económico",IF(ISNUMBER(SEARCH("alim",PAA_4[[#This Row],[Actividad3]])),"Alimentación",IF(ISNUMBER(SEARCH("educ",PAA_4[[#This Row],[Actividad3]])),"Educativo","Técnico"))),0)</f>
        <v>0</v>
      </c>
      <c r="AI1094" s="47" t="e" cm="1">
        <f t="array" aca="1" ref="AI1094" ca="1">_xlfn.XLOOKUP(PAA_4[[#This Row],[RCP-RUBRO]],[2]!COMPROMISOS_2024[[#All],[concatenado]],[2]!COMPROMISOS_2024[[#All],[Total pagado]],"",0)</f>
        <v>#NAME?</v>
      </c>
      <c r="AJ1094" s="56">
        <f>IF(PAA_4[[#This Row],[BOLSA]]=0,0,SUMIFS([2]!COMPROMISOS_2024[[#All],[Total pagado]],[2]!COMPROMISOS_2024[[#All],[Bolsa]],PAA_4[[#This Row],[BOLSA]],[2]!COMPROMISOS_2024[[#All],[rubro]],PAA_4[[#This Row],[RCP-RUBRO]]))</f>
        <v>0</v>
      </c>
      <c r="AK1094" s="47" t="e" cm="1">
        <f t="array" aca="1" ref="AK1094" ca="1">_xlfn.XLOOKUP(PAA_4[[#This Row],[RCP-RUBRO]],[2]!COMPROMISOS_2024[[#All],[concatenado]],[2]!COMPROMISOS_2024[[#All],[Total Comprometido]],"",0)</f>
        <v>#NAME?</v>
      </c>
      <c r="AL1094" s="47">
        <f>IF(PAA_4[[#This Row],[BOLSA]]=0,0,SUMIFS([2]!COMPROMISOS_2024[[#All],[Total Comprometido]],[2]!COMPROMISOS_2024[[#All],[Bolsa]],PAA_4[[#This Row],[BOLSA]],[2]!COMPROMISOS_2024[[#All],[concatenado]],PAA_4[[#This Row],[RCP-RUBRO]]))</f>
        <v>0</v>
      </c>
    </row>
    <row r="1095" spans="1:38" s="19" customFormat="1" ht="31.5" customHeight="1">
      <c r="A1095" s="47" t="s">
        <v>82</v>
      </c>
      <c r="B1095" s="47" t="s">
        <v>42</v>
      </c>
      <c r="C1095" s="47" t="str">
        <f>VLOOKUP(PAA_4[[#This Row],[PROYECTO (formulado)2]],[2]PROYECTOS!$G$1:$L$32,6,0)</f>
        <v>SUBGERENCIA DE FOMENTO Y DESARROLLO</v>
      </c>
      <c r="D1095" s="47" t="str">
        <f>+IF(PAA_4[[#This Row],[UNIDAD DE CONTRATACION (formulado)]]="Subgerencia Administrativa y Financiera","FUNCIONAMIENTO","INVERSIÓN")</f>
        <v>INVERSIÓN</v>
      </c>
      <c r="E1095" s="48" t="str">
        <f>VLOOKUP(Q1095,[2]PROYECTOS!$G$1:$K$32,5,0)</f>
        <v>CAPACITACION_PARA_EL_SECTOR_DEL_DEPORTE_LA_ACTIVIDAD_FISICA_LA_RECREACION_Y_LA_EDUCACION_FISICA_DE_ANTI</v>
      </c>
      <c r="F1095" s="48">
        <f>VLOOKUP(E1095,[2]PROYECTOS!$K$1:$M$32,3,0)</f>
        <v>2020003050024</v>
      </c>
      <c r="G1095" s="49" t="s">
        <v>337</v>
      </c>
      <c r="H1095" s="49" t="str">
        <f>VLOOKUP(Q1095,[2]PROYECTOS!$V$1:$W$32,2,0)</f>
        <v>050063</v>
      </c>
      <c r="I1095" s="50">
        <v>25169</v>
      </c>
      <c r="J1095" s="51" t="s">
        <v>1852</v>
      </c>
      <c r="K1095" s="47" t="str">
        <f t="shared" ca="1" si="388"/>
        <v>CONTRATADO</v>
      </c>
      <c r="L1095" s="47" t="s">
        <v>42</v>
      </c>
      <c r="M1095" s="47" t="s">
        <v>42</v>
      </c>
      <c r="N1095" s="51" t="s">
        <v>339</v>
      </c>
      <c r="O1095" s="51" t="e">
        <f>VLOOKUP(N1095,[2]!RUBROS[#All],3,0)</f>
        <v>#REF!</v>
      </c>
      <c r="P1095" s="53" t="e">
        <f>VLOOKUP(N1095,[2]!RUBROS[#All],2,0)</f>
        <v>#REF!</v>
      </c>
      <c r="Q1095" s="47" t="str">
        <f t="shared" si="389"/>
        <v>48</v>
      </c>
      <c r="R1095" s="47" t="str">
        <f t="shared" si="390"/>
        <v>0-205128</v>
      </c>
      <c r="S1095" s="54" t="s">
        <v>42</v>
      </c>
      <c r="T1095" s="59" t="s">
        <v>42</v>
      </c>
      <c r="U1095" s="326" t="e">
        <f ca="1">_xlfn.XLOOKUP(PAA_4[[#This Row],[ITEM]],[2]Contrato!A:A,[2]Contrato!Q:Q,"",0)</f>
        <v>#NAME?</v>
      </c>
      <c r="V1095" s="54" t="s">
        <v>42</v>
      </c>
      <c r="W1095" s="54" t="s">
        <v>42</v>
      </c>
      <c r="X1095" s="54" t="s">
        <v>42</v>
      </c>
      <c r="Y1095" s="55" t="e">
        <f ca="1">_xlfn.XLOOKUP(PAA_4[[#This Row],[ITEM]],[2]Contrato!A:A,[2]Contrato!B:B,"",0)</f>
        <v>#NAME?</v>
      </c>
      <c r="Z1095" s="47" t="e">
        <f ca="1">_xlfn.XLOOKUP(PAA_4[[#This Row],[ITEM]],[2]Contrato!A:A,[2]Contrato!G:G,"",0)</f>
        <v>#NAME?</v>
      </c>
      <c r="AA1095" s="47" t="e">
        <f ca="1">_xlfn.XLOOKUP(PAA_4[[#This Row],[ITEM]],[2]Contrato!A:A,[2]Contrato!T:T,"",0)</f>
        <v>#NAME?</v>
      </c>
      <c r="AB1095" s="55" t="e">
        <f ca="1">+MAX(PAA_4[[#This Row],[Comprometido Contrato]],PAA_4[[#This Row],[Comprometido Bolsa]])</f>
        <v>#NAME?</v>
      </c>
      <c r="AC1095" s="55" t="str">
        <f t="shared" ca="1" si="391"/>
        <v/>
      </c>
      <c r="AD1095" s="55" t="e">
        <f ca="1">IF(PAA_4[[#This Row],[ESTADO (formulado)]]="NO CONTRATADO",0,MAX(PAA_4[[#This Row],[Pago por Contrato]],PAA_4[[#This Row],[Pago por bolsa]]))</f>
        <v>#NAME?</v>
      </c>
      <c r="AE1095" s="55" t="str">
        <f t="shared" ca="1" si="392"/>
        <v/>
      </c>
      <c r="AF1095" s="47" t="e">
        <f t="shared" ca="1" si="393"/>
        <v>#NAME?</v>
      </c>
      <c r="AG1095" s="47">
        <f t="shared" si="394"/>
        <v>41080201</v>
      </c>
      <c r="AH1095" s="54">
        <f>IF(Q1095="22",IF(ISNUMBER(SEARCH("econ",PAA_4[[#This Row],[Actividad3]])),"Económico",IF(ISNUMBER(SEARCH("alim",PAA_4[[#This Row],[Actividad3]])),"Alimentación",IF(ISNUMBER(SEARCH("educ",PAA_4[[#This Row],[Actividad3]])),"Educativo","Técnico"))),0)</f>
        <v>0</v>
      </c>
      <c r="AI1095" s="47" t="e" cm="1">
        <f t="array" aca="1" ref="AI1095" ca="1">_xlfn.XLOOKUP(PAA_4[[#This Row],[RCP-RUBRO]],[2]!COMPROMISOS_2024[[#All],[concatenado]],[2]!COMPROMISOS_2024[[#All],[Total pagado]],"",0)</f>
        <v>#NAME?</v>
      </c>
      <c r="AJ1095" s="56">
        <f>IF(PAA_4[[#This Row],[BOLSA]]=0,0,SUMIFS([2]!COMPROMISOS_2024[[#All],[Total pagado]],[2]!COMPROMISOS_2024[[#All],[Bolsa]],PAA_4[[#This Row],[BOLSA]],[2]!COMPROMISOS_2024[[#All],[rubro]],PAA_4[[#This Row],[RCP-RUBRO]]))</f>
        <v>0</v>
      </c>
      <c r="AK1095" s="47" t="e" cm="1">
        <f t="array" aca="1" ref="AK1095" ca="1">_xlfn.XLOOKUP(PAA_4[[#This Row],[RCP-RUBRO]],[2]!COMPROMISOS_2024[[#All],[concatenado]],[2]!COMPROMISOS_2024[[#All],[Total Comprometido]],"",0)</f>
        <v>#NAME?</v>
      </c>
      <c r="AL1095" s="47">
        <f>IF(PAA_4[[#This Row],[BOLSA]]=0,0,SUMIFS([2]!COMPROMISOS_2024[[#All],[Total Comprometido]],[2]!COMPROMISOS_2024[[#All],[Bolsa]],PAA_4[[#This Row],[BOLSA]],[2]!COMPROMISOS_2024[[#All],[concatenado]],PAA_4[[#This Row],[RCP-RUBRO]]))</f>
        <v>0</v>
      </c>
    </row>
    <row r="1096" spans="1:38" s="19" customFormat="1" ht="31.5" customHeight="1">
      <c r="A1096" s="47">
        <v>664</v>
      </c>
      <c r="B1096" s="47">
        <v>80111600</v>
      </c>
      <c r="C1096" s="47" t="str">
        <f>VLOOKUP(PAA_4[[#This Row],[PROYECTO (formulado)2]],[2]PROYECTOS!$G$1:$L$32,6,0)</f>
        <v>SUBGERENCIA DE FOMENTO Y DESARROLLO</v>
      </c>
      <c r="D1096" s="47" t="str">
        <f>+IF(PAA_4[[#This Row],[UNIDAD DE CONTRATACION (formulado)]]="Subgerencia Administrativa y Financiera","FUNCIONAMIENTO","INVERSIÓN")</f>
        <v>INVERSIÓN</v>
      </c>
      <c r="E1096" s="48" t="str">
        <f>VLOOKUP(Q1096,[2]PROYECTOS!$G$1:$K$32,5,0)</f>
        <v>FORTALECIMIENTO_DEL_PROGRAMA_POR_SU_SALUD_MUÉVASE_PUES_EN_LOS_MUNICIPIO_DEL_DEPARTAMENTO_DE_ANTIOQUIA</v>
      </c>
      <c r="F1096" s="48">
        <f>VLOOKUP(E1096,[2]PROYECTOS!$K$1:$M$32,3,0)</f>
        <v>2020003050030</v>
      </c>
      <c r="G1096" s="49" t="s">
        <v>326</v>
      </c>
      <c r="H1096" s="49" t="str">
        <f>VLOOKUP(Q1096,[2]PROYECTOS!$V$1:$W$32,2,0)</f>
        <v>050055</v>
      </c>
      <c r="I1096" s="50">
        <f>9593928-77059</f>
        <v>9516869</v>
      </c>
      <c r="J1096" s="70" t="s">
        <v>346</v>
      </c>
      <c r="K1096" s="47" t="str">
        <f t="shared" ca="1" si="388"/>
        <v>CONTRATADO</v>
      </c>
      <c r="L1096" s="47" t="s">
        <v>94</v>
      </c>
      <c r="M1096" s="47" t="s">
        <v>1297</v>
      </c>
      <c r="N1096" s="51" t="s">
        <v>329</v>
      </c>
      <c r="O1096" s="51" t="e">
        <f>VLOOKUP(N1096,[2]!RUBROS[#All],3,0)</f>
        <v>#REF!</v>
      </c>
      <c r="P1096" s="53" t="e">
        <f>VLOOKUP(N1096,[2]!RUBROS[#All],2,0)</f>
        <v>#REF!</v>
      </c>
      <c r="Q1096" s="47" t="str">
        <f t="shared" si="389"/>
        <v>45</v>
      </c>
      <c r="R1096" s="47" t="str">
        <f t="shared" si="390"/>
        <v>0-205128</v>
      </c>
      <c r="S1096" s="54">
        <v>8</v>
      </c>
      <c r="T1096" s="59" t="s">
        <v>46</v>
      </c>
      <c r="U1096" s="326" t="e">
        <f ca="1">_xlfn.XLOOKUP(PAA_4[[#This Row],[ITEM]],[2]Contrato!A:A,[2]Contrato!Q:Q,"",0)</f>
        <v>#NAME?</v>
      </c>
      <c r="V1096" s="47" t="s">
        <v>95</v>
      </c>
      <c r="W1096" s="47" t="s">
        <v>122</v>
      </c>
      <c r="X1096" s="47" t="s">
        <v>122</v>
      </c>
      <c r="Y1096" s="55" t="e">
        <f ca="1">_xlfn.XLOOKUP(PAA_4[[#This Row],[ITEM]],[2]Contrato!A:A,[2]Contrato!B:B,"",0)</f>
        <v>#NAME?</v>
      </c>
      <c r="Z1096" s="47" t="e">
        <f ca="1">_xlfn.XLOOKUP(PAA_4[[#This Row],[ITEM]],[2]Contrato!A:A,[2]Contrato!G:G,"",0)</f>
        <v>#NAME?</v>
      </c>
      <c r="AA1096" s="47" t="e">
        <f ca="1">_xlfn.XLOOKUP(PAA_4[[#This Row],[ITEM]],[2]Contrato!A:A,[2]Contrato!T:T,"",0)</f>
        <v>#NAME?</v>
      </c>
      <c r="AB1096" s="55" t="e">
        <f ca="1">+MAX(PAA_4[[#This Row],[Comprometido Contrato]],PAA_4[[#This Row],[Comprometido Bolsa]])</f>
        <v>#NAME?</v>
      </c>
      <c r="AC1096" s="55" t="str">
        <f t="shared" ca="1" si="391"/>
        <v/>
      </c>
      <c r="AD1096" s="55" t="e">
        <f ca="1">IF(PAA_4[[#This Row],[ESTADO (formulado)]]="NO CONTRATADO",0,MAX(PAA_4[[#This Row],[Pago por Contrato]],PAA_4[[#This Row],[Pago por bolsa]]))</f>
        <v>#NAME?</v>
      </c>
      <c r="AE1096" s="55" t="str">
        <f t="shared" ca="1" si="392"/>
        <v/>
      </c>
      <c r="AF1096" s="47" t="e">
        <f t="shared" ca="1" si="393"/>
        <v>#NAME?</v>
      </c>
      <c r="AG1096" s="47">
        <f t="shared" si="394"/>
        <v>44021001</v>
      </c>
      <c r="AH1096" s="54">
        <f>IF(Q1096="22",IF(ISNUMBER(SEARCH("econ",PAA_4[[#This Row],[Actividad3]])),"Económico",IF(ISNUMBER(SEARCH("alim",PAA_4[[#This Row],[Actividad3]])),"Alimentación",IF(ISNUMBER(SEARCH("educ",PAA_4[[#This Row],[Actividad3]])),"Educativo","Técnico"))),0)</f>
        <v>0</v>
      </c>
      <c r="AI1096" s="47" t="e" cm="1">
        <f t="array" aca="1" ref="AI1096" ca="1">_xlfn.XLOOKUP(PAA_4[[#This Row],[RCP-RUBRO]],[2]!COMPROMISOS_2024[[#All],[concatenado]],[2]!COMPROMISOS_2024[[#All],[Total pagado]],"",0)</f>
        <v>#NAME?</v>
      </c>
      <c r="AJ1096" s="56">
        <f>IF(PAA_4[[#This Row],[BOLSA]]=0,0,SUMIFS([2]!COMPROMISOS_2024[[#All],[Total pagado]],[2]!COMPROMISOS_2024[[#All],[Bolsa]],PAA_4[[#This Row],[BOLSA]],[2]!COMPROMISOS_2024[[#All],[rubro]],PAA_4[[#This Row],[RCP-RUBRO]]))</f>
        <v>0</v>
      </c>
      <c r="AK1096" s="47" t="e" cm="1">
        <f t="array" aca="1" ref="AK1096" ca="1">_xlfn.XLOOKUP(PAA_4[[#This Row],[RCP-RUBRO]],[2]!COMPROMISOS_2024[[#All],[concatenado]],[2]!COMPROMISOS_2024[[#All],[Total Comprometido]],"",0)</f>
        <v>#NAME?</v>
      </c>
      <c r="AL1096" s="47">
        <f>IF(PAA_4[[#This Row],[BOLSA]]=0,0,SUMIFS([2]!COMPROMISOS_2024[[#All],[Total Comprometido]],[2]!COMPROMISOS_2024[[#All],[Bolsa]],PAA_4[[#This Row],[BOLSA]],[2]!COMPROMISOS_2024[[#All],[concatenado]],PAA_4[[#This Row],[RCP-RUBRO]]))</f>
        <v>0</v>
      </c>
    </row>
    <row r="1097" spans="1:38" s="19" customFormat="1" ht="31.5" customHeight="1">
      <c r="A1097" s="47">
        <v>664</v>
      </c>
      <c r="B1097" s="47">
        <v>80111600</v>
      </c>
      <c r="C1097" s="47" t="str">
        <f>VLOOKUP(PAA_4[[#This Row],[PROYECTO (formulado)2]],[2]PROYECTOS!$G$1:$L$32,6,0)</f>
        <v>SUBGERENCIA DE FOMENTO Y DESARROLLO</v>
      </c>
      <c r="D1097" s="47" t="str">
        <f>+IF(PAA_4[[#This Row],[UNIDAD DE CONTRATACION (formulado)]]="Subgerencia Administrativa y Financiera","FUNCIONAMIENTO","INVERSIÓN")</f>
        <v>INVERSIÓN</v>
      </c>
      <c r="E1097" s="48" t="str">
        <f>VLOOKUP(Q1097,[2]PROYECTOS!$G$1:$K$32,5,0)</f>
        <v>FORTALECIMIENTO_DE_LAS_ESCUELAS_DEPORTIVAS_EN_LOS_MUNICIPIOS_DEL_DEPARTAMENTO_DE_ANTIOQUIA</v>
      </c>
      <c r="F1097" s="48">
        <f>VLOOKUP(E1097,[2]PROYECTOS!$K$1:$M$32,3,0)</f>
        <v>2020003050032</v>
      </c>
      <c r="G1097" s="49" t="s">
        <v>333</v>
      </c>
      <c r="H1097" s="49" t="str">
        <f>VLOOKUP(Q1097,[2]PROYECTOS!$V$1:$W$32,2,0)</f>
        <v>050059</v>
      </c>
      <c r="I1097" s="50">
        <f>9299440-74698</f>
        <v>9224742</v>
      </c>
      <c r="J1097" s="70" t="s">
        <v>346</v>
      </c>
      <c r="K1097" s="47" t="str">
        <f t="shared" ca="1" si="388"/>
        <v>CONTRATADO</v>
      </c>
      <c r="L1097" s="47" t="s">
        <v>94</v>
      </c>
      <c r="M1097" s="47" t="s">
        <v>1297</v>
      </c>
      <c r="N1097" s="51" t="s">
        <v>334</v>
      </c>
      <c r="O1097" s="51" t="e">
        <f>VLOOKUP(N1097,[2]!RUBROS[#All],3,0)</f>
        <v>#REF!</v>
      </c>
      <c r="P1097" s="53" t="e">
        <f>VLOOKUP(N1097,[2]!RUBROS[#All],2,0)</f>
        <v>#REF!</v>
      </c>
      <c r="Q1097" s="47" t="str">
        <f t="shared" si="389"/>
        <v>46</v>
      </c>
      <c r="R1097" s="47" t="str">
        <f t="shared" si="390"/>
        <v>0-205128</v>
      </c>
      <c r="S1097" s="54">
        <v>8</v>
      </c>
      <c r="T1097" s="59" t="s">
        <v>46</v>
      </c>
      <c r="U1097" s="326" t="e">
        <f ca="1">_xlfn.XLOOKUP(PAA_4[[#This Row],[ITEM]],[2]Contrato!A:A,[2]Contrato!Q:Q,"",0)</f>
        <v>#NAME?</v>
      </c>
      <c r="V1097" s="47" t="s">
        <v>95</v>
      </c>
      <c r="W1097" s="47" t="s">
        <v>122</v>
      </c>
      <c r="X1097" s="47" t="s">
        <v>122</v>
      </c>
      <c r="Y1097" s="55" t="e">
        <f ca="1">_xlfn.XLOOKUP(PAA_4[[#This Row],[ITEM]],[2]Contrato!A:A,[2]Contrato!B:B,"",0)</f>
        <v>#NAME?</v>
      </c>
      <c r="Z1097" s="47" t="e">
        <f ca="1">_xlfn.XLOOKUP(PAA_4[[#This Row],[ITEM]],[2]Contrato!A:A,[2]Contrato!G:G,"",0)</f>
        <v>#NAME?</v>
      </c>
      <c r="AA1097" s="47" t="e">
        <f ca="1">_xlfn.XLOOKUP(PAA_4[[#This Row],[ITEM]],[2]Contrato!A:A,[2]Contrato!T:T,"",0)</f>
        <v>#NAME?</v>
      </c>
      <c r="AB1097" s="55" t="e">
        <f ca="1">+MAX(PAA_4[[#This Row],[Comprometido Contrato]],PAA_4[[#This Row],[Comprometido Bolsa]])</f>
        <v>#NAME?</v>
      </c>
      <c r="AC1097" s="55" t="str">
        <f t="shared" ca="1" si="391"/>
        <v/>
      </c>
      <c r="AD1097" s="55" t="e">
        <f ca="1">IF(PAA_4[[#This Row],[ESTADO (formulado)]]="NO CONTRATADO",0,MAX(PAA_4[[#This Row],[Pago por Contrato]],PAA_4[[#This Row],[Pago por bolsa]]))</f>
        <v>#NAME?</v>
      </c>
      <c r="AE1097" s="55" t="str">
        <f t="shared" ca="1" si="392"/>
        <v/>
      </c>
      <c r="AF1097" s="47" t="e">
        <f t="shared" ca="1" si="393"/>
        <v>#NAME?</v>
      </c>
      <c r="AG1097" s="47">
        <f t="shared" si="394"/>
        <v>44021007</v>
      </c>
      <c r="AH1097" s="54">
        <f>IF(Q1097="22",IF(ISNUMBER(SEARCH("econ",PAA_4[[#This Row],[Actividad3]])),"Económico",IF(ISNUMBER(SEARCH("alim",PAA_4[[#This Row],[Actividad3]])),"Alimentación",IF(ISNUMBER(SEARCH("educ",PAA_4[[#This Row],[Actividad3]])),"Educativo","Técnico"))),0)</f>
        <v>0</v>
      </c>
      <c r="AI1097" s="47" t="e" cm="1">
        <f t="array" aca="1" ref="AI1097" ca="1">_xlfn.XLOOKUP(PAA_4[[#This Row],[RCP-RUBRO]],[2]!COMPROMISOS_2024[[#All],[concatenado]],[2]!COMPROMISOS_2024[[#All],[Total pagado]],"",0)</f>
        <v>#NAME?</v>
      </c>
      <c r="AJ1097" s="56">
        <f>IF(PAA_4[[#This Row],[BOLSA]]=0,0,SUMIFS([2]!COMPROMISOS_2024[[#All],[Total pagado]],[2]!COMPROMISOS_2024[[#All],[Bolsa]],PAA_4[[#This Row],[BOLSA]],[2]!COMPROMISOS_2024[[#All],[rubro]],PAA_4[[#This Row],[RCP-RUBRO]]))</f>
        <v>0</v>
      </c>
      <c r="AK1097" s="47" t="e" cm="1">
        <f t="array" aca="1" ref="AK1097" ca="1">_xlfn.XLOOKUP(PAA_4[[#This Row],[RCP-RUBRO]],[2]!COMPROMISOS_2024[[#All],[concatenado]],[2]!COMPROMISOS_2024[[#All],[Total Comprometido]],"",0)</f>
        <v>#NAME?</v>
      </c>
      <c r="AL1097" s="47">
        <f>IF(PAA_4[[#This Row],[BOLSA]]=0,0,SUMIFS([2]!COMPROMISOS_2024[[#All],[Total Comprometido]],[2]!COMPROMISOS_2024[[#All],[Bolsa]],PAA_4[[#This Row],[BOLSA]],[2]!COMPROMISOS_2024[[#All],[concatenado]],PAA_4[[#This Row],[RCP-RUBRO]]))</f>
        <v>0</v>
      </c>
    </row>
    <row r="1098" spans="1:38" s="19" customFormat="1" ht="31.5" customHeight="1">
      <c r="A1098" s="47">
        <v>664</v>
      </c>
      <c r="B1098" s="47">
        <v>80111600</v>
      </c>
      <c r="C1098" s="47" t="str">
        <f>VLOOKUP(PAA_4[[#This Row],[PROYECTO (formulado)2]],[2]PROYECTOS!$G$1:$L$32,6,0)</f>
        <v>SUBGERENCIA DE FOMENTO Y DESARROLLO</v>
      </c>
      <c r="D1098" s="47" t="str">
        <f>+IF(PAA_4[[#This Row],[UNIDAD DE CONTRATACION (formulado)]]="Subgerencia Administrativa y Financiera","FUNCIONAMIENTO","INVERSIÓN")</f>
        <v>INVERSIÓN</v>
      </c>
      <c r="E1098" s="48" t="str">
        <f>VLOOKUP(Q1098,[2]PROYECTOS!$G$1:$K$32,5,0)</f>
        <v>FORTALECIMIENTO_DE_LOS_PROGRAMAS_RECREATIVOS_EN_LOS_MUNICIPIOS_DEL_DEPARTAMENTO_DE_ANTIOQUIA</v>
      </c>
      <c r="F1098" s="48">
        <f>VLOOKUP(E1098,[2]PROYECTOS!$K$1:$M$32,3,0)</f>
        <v>2020003050031</v>
      </c>
      <c r="G1098" s="49" t="s">
        <v>335</v>
      </c>
      <c r="H1098" s="49" t="str">
        <f>VLOOKUP(Q1098,[2]PROYECTOS!$V$1:$W$32,2,0)</f>
        <v>050064</v>
      </c>
      <c r="I1098" s="50">
        <f>9239094-74208</f>
        <v>9164886</v>
      </c>
      <c r="J1098" s="70" t="s">
        <v>346</v>
      </c>
      <c r="K1098" s="47" t="str">
        <f t="shared" ca="1" si="388"/>
        <v>CONTRATADO</v>
      </c>
      <c r="L1098" s="47" t="s">
        <v>94</v>
      </c>
      <c r="M1098" s="47" t="s">
        <v>1297</v>
      </c>
      <c r="N1098" s="51" t="s">
        <v>336</v>
      </c>
      <c r="O1098" s="51" t="e">
        <f>VLOOKUP(N1098,[2]!RUBROS[#All],3,0)</f>
        <v>#REF!</v>
      </c>
      <c r="P1098" s="53" t="e">
        <f>VLOOKUP(N1098,[2]!RUBROS[#All],2,0)</f>
        <v>#REF!</v>
      </c>
      <c r="Q1098" s="47" t="str">
        <f t="shared" si="389"/>
        <v>47</v>
      </c>
      <c r="R1098" s="47" t="str">
        <f t="shared" si="390"/>
        <v>0-205128</v>
      </c>
      <c r="S1098" s="54">
        <v>8</v>
      </c>
      <c r="T1098" s="59" t="s">
        <v>46</v>
      </c>
      <c r="U1098" s="326" t="e">
        <f ca="1">_xlfn.XLOOKUP(PAA_4[[#This Row],[ITEM]],[2]Contrato!A:A,[2]Contrato!Q:Q,"",0)</f>
        <v>#NAME?</v>
      </c>
      <c r="V1098" s="47" t="s">
        <v>95</v>
      </c>
      <c r="W1098" s="47" t="s">
        <v>122</v>
      </c>
      <c r="X1098" s="47" t="s">
        <v>122</v>
      </c>
      <c r="Y1098" s="55" t="e">
        <f ca="1">_xlfn.XLOOKUP(PAA_4[[#This Row],[ITEM]],[2]Contrato!A:A,[2]Contrato!B:B,"",0)</f>
        <v>#NAME?</v>
      </c>
      <c r="Z1098" s="47" t="e">
        <f ca="1">_xlfn.XLOOKUP(PAA_4[[#This Row],[ITEM]],[2]Contrato!A:A,[2]Contrato!G:G,"",0)</f>
        <v>#NAME?</v>
      </c>
      <c r="AA1098" s="47" t="e">
        <f ca="1">_xlfn.XLOOKUP(PAA_4[[#This Row],[ITEM]],[2]Contrato!A:A,[2]Contrato!T:T,"",0)</f>
        <v>#NAME?</v>
      </c>
      <c r="AB1098" s="55" t="e">
        <f ca="1">+MAX(PAA_4[[#This Row],[Comprometido Contrato]],PAA_4[[#This Row],[Comprometido Bolsa]])</f>
        <v>#NAME?</v>
      </c>
      <c r="AC1098" s="55" t="str">
        <f t="shared" ca="1" si="391"/>
        <v/>
      </c>
      <c r="AD1098" s="55" t="e">
        <f ca="1">IF(PAA_4[[#This Row],[ESTADO (formulado)]]="NO CONTRATADO",0,MAX(PAA_4[[#This Row],[Pago por Contrato]],PAA_4[[#This Row],[Pago por bolsa]]))</f>
        <v>#NAME?</v>
      </c>
      <c r="AE1098" s="55" t="str">
        <f t="shared" ca="1" si="392"/>
        <v/>
      </c>
      <c r="AF1098" s="47" t="e">
        <f t="shared" ca="1" si="393"/>
        <v>#NAME?</v>
      </c>
      <c r="AG1098" s="47">
        <f t="shared" si="394"/>
        <v>44021004</v>
      </c>
      <c r="AH1098" s="54">
        <f>IF(Q1098="22",IF(ISNUMBER(SEARCH("econ",PAA_4[[#This Row],[Actividad3]])),"Económico",IF(ISNUMBER(SEARCH("alim",PAA_4[[#This Row],[Actividad3]])),"Alimentación",IF(ISNUMBER(SEARCH("educ",PAA_4[[#This Row],[Actividad3]])),"Educativo","Técnico"))),0)</f>
        <v>0</v>
      </c>
      <c r="AI1098" s="47" t="e" cm="1">
        <f t="array" aca="1" ref="AI1098" ca="1">_xlfn.XLOOKUP(PAA_4[[#This Row],[RCP-RUBRO]],[2]!COMPROMISOS_2024[[#All],[concatenado]],[2]!COMPROMISOS_2024[[#All],[Total pagado]],"",0)</f>
        <v>#NAME?</v>
      </c>
      <c r="AJ1098" s="56">
        <f>IF(PAA_4[[#This Row],[BOLSA]]=0,0,SUMIFS([2]!COMPROMISOS_2024[[#All],[Total pagado]],[2]!COMPROMISOS_2024[[#All],[Bolsa]],PAA_4[[#This Row],[BOLSA]],[2]!COMPROMISOS_2024[[#All],[rubro]],PAA_4[[#This Row],[RCP-RUBRO]]))</f>
        <v>0</v>
      </c>
      <c r="AK1098" s="47" t="e" cm="1">
        <f t="array" aca="1" ref="AK1098" ca="1">_xlfn.XLOOKUP(PAA_4[[#This Row],[RCP-RUBRO]],[2]!COMPROMISOS_2024[[#All],[concatenado]],[2]!COMPROMISOS_2024[[#All],[Total Comprometido]],"",0)</f>
        <v>#NAME?</v>
      </c>
      <c r="AL1098" s="47">
        <f>IF(PAA_4[[#This Row],[BOLSA]]=0,0,SUMIFS([2]!COMPROMISOS_2024[[#All],[Total Comprometido]],[2]!COMPROMISOS_2024[[#All],[Bolsa]],PAA_4[[#This Row],[BOLSA]],[2]!COMPROMISOS_2024[[#All],[concatenado]],PAA_4[[#This Row],[RCP-RUBRO]]))</f>
        <v>0</v>
      </c>
    </row>
    <row r="1099" spans="1:38" s="19" customFormat="1" ht="31.5" customHeight="1">
      <c r="A1099" s="47">
        <v>664</v>
      </c>
      <c r="B1099" s="47">
        <v>80111600</v>
      </c>
      <c r="C1099" s="47" t="str">
        <f>VLOOKUP(PAA_4[[#This Row],[PROYECTO (formulado)2]],[2]PROYECTOS!$G$1:$L$32,6,0)</f>
        <v>SUBGERENCIA DE FOMENTO Y DESARROLLO</v>
      </c>
      <c r="D1099" s="47" t="str">
        <f>+IF(PAA_4[[#This Row],[UNIDAD DE CONTRATACION (formulado)]]="Subgerencia Administrativa y Financiera","FUNCIONAMIENTO","INVERSIÓN")</f>
        <v>INVERSIÓN</v>
      </c>
      <c r="E1099" s="48" t="str">
        <f>VLOOKUP(Q1099,[2]PROYECTOS!$G$1:$K$32,5,0)</f>
        <v>FORTALECIMIENTO_DE_LOS_JUEGOS_DEL_SECTOR_SOCIAL_COMUNITARIO_EN_LOS_MUNICIPIOS_DEL_DEPARTAMENTO_DE_ANTIOQU</v>
      </c>
      <c r="F1099" s="48">
        <f>VLOOKUP(E1099,[2]PROYECTOS!$K$1:$M$32,3,0)</f>
        <v>2020003050033</v>
      </c>
      <c r="G1099" s="49" t="s">
        <v>342</v>
      </c>
      <c r="H1099" s="49" t="str">
        <f>VLOOKUP(Q1099,[2]PROYECTOS!$V$1:$W$32,2,0)</f>
        <v>050057</v>
      </c>
      <c r="I1099" s="50">
        <f>16185116-130001</f>
        <v>16055115</v>
      </c>
      <c r="J1099" s="70" t="s">
        <v>346</v>
      </c>
      <c r="K1099" s="47" t="str">
        <f t="shared" ca="1" si="388"/>
        <v>CONTRATADO</v>
      </c>
      <c r="L1099" s="47" t="s">
        <v>94</v>
      </c>
      <c r="M1099" s="47" t="s">
        <v>1297</v>
      </c>
      <c r="N1099" s="51" t="s">
        <v>343</v>
      </c>
      <c r="O1099" s="51" t="e">
        <f>VLOOKUP(N1099,[2]!RUBROS[#All],3,0)</f>
        <v>#REF!</v>
      </c>
      <c r="P1099" s="53" t="e">
        <f>VLOOKUP(N1099,[2]!RUBROS[#All],2,0)</f>
        <v>#REF!</v>
      </c>
      <c r="Q1099" s="47" t="str">
        <f t="shared" si="389"/>
        <v>50</v>
      </c>
      <c r="R1099" s="47" t="str">
        <f t="shared" si="390"/>
        <v>0-205128</v>
      </c>
      <c r="S1099" s="54">
        <v>8</v>
      </c>
      <c r="T1099" s="59" t="s">
        <v>46</v>
      </c>
      <c r="U1099" s="326" t="e">
        <f ca="1">_xlfn.XLOOKUP(PAA_4[[#This Row],[ITEM]],[2]Contrato!A:A,[2]Contrato!Q:Q,"",0)</f>
        <v>#NAME?</v>
      </c>
      <c r="V1099" s="47" t="s">
        <v>95</v>
      </c>
      <c r="W1099" s="47" t="s">
        <v>122</v>
      </c>
      <c r="X1099" s="47" t="s">
        <v>122</v>
      </c>
      <c r="Y1099" s="55" t="e">
        <f ca="1">_xlfn.XLOOKUP(PAA_4[[#This Row],[ITEM]],[2]Contrato!A:A,[2]Contrato!B:B,"",0)</f>
        <v>#NAME?</v>
      </c>
      <c r="Z1099" s="47" t="e">
        <f ca="1">_xlfn.XLOOKUP(PAA_4[[#This Row],[ITEM]],[2]Contrato!A:A,[2]Contrato!G:G,"",0)</f>
        <v>#NAME?</v>
      </c>
      <c r="AA1099" s="47" t="e">
        <f ca="1">_xlfn.XLOOKUP(PAA_4[[#This Row],[ITEM]],[2]Contrato!A:A,[2]Contrato!T:T,"",0)</f>
        <v>#NAME?</v>
      </c>
      <c r="AB1099" s="55" t="e">
        <f ca="1">+MAX(PAA_4[[#This Row],[Comprometido Contrato]],PAA_4[[#This Row],[Comprometido Bolsa]])</f>
        <v>#NAME?</v>
      </c>
      <c r="AC1099" s="55" t="str">
        <f t="shared" ca="1" si="391"/>
        <v/>
      </c>
      <c r="AD1099" s="55" t="e">
        <f ca="1">IF(PAA_4[[#This Row],[ESTADO (formulado)]]="NO CONTRATADO",0,MAX(PAA_4[[#This Row],[Pago por Contrato]],PAA_4[[#This Row],[Pago por bolsa]]))</f>
        <v>#NAME?</v>
      </c>
      <c r="AE1099" s="55" t="str">
        <f t="shared" ca="1" si="392"/>
        <v/>
      </c>
      <c r="AF1099" s="47" t="e">
        <f t="shared" ca="1" si="393"/>
        <v>#NAME?</v>
      </c>
      <c r="AG1099" s="47">
        <f t="shared" si="394"/>
        <v>44021010</v>
      </c>
      <c r="AH1099" s="54">
        <f>IF(Q1099="22",IF(ISNUMBER(SEARCH("econ",PAA_4[[#This Row],[Actividad3]])),"Económico",IF(ISNUMBER(SEARCH("alim",PAA_4[[#This Row],[Actividad3]])),"Alimentación",IF(ISNUMBER(SEARCH("educ",PAA_4[[#This Row],[Actividad3]])),"Educativo","Técnico"))),0)</f>
        <v>0</v>
      </c>
      <c r="AI1099" s="47" t="e" cm="1">
        <f t="array" aca="1" ref="AI1099" ca="1">_xlfn.XLOOKUP(PAA_4[[#This Row],[RCP-RUBRO]],[2]!COMPROMISOS_2024[[#All],[concatenado]],[2]!COMPROMISOS_2024[[#All],[Total pagado]],"",0)</f>
        <v>#NAME?</v>
      </c>
      <c r="AJ1099" s="56">
        <f>IF(PAA_4[[#This Row],[BOLSA]]=0,0,SUMIFS([2]!COMPROMISOS_2024[[#All],[Total pagado]],[2]!COMPROMISOS_2024[[#All],[Bolsa]],PAA_4[[#This Row],[BOLSA]],[2]!COMPROMISOS_2024[[#All],[rubro]],PAA_4[[#This Row],[RCP-RUBRO]]))</f>
        <v>0</v>
      </c>
      <c r="AK1099" s="47" t="e" cm="1">
        <f t="array" aca="1" ref="AK1099" ca="1">_xlfn.XLOOKUP(PAA_4[[#This Row],[RCP-RUBRO]],[2]!COMPROMISOS_2024[[#All],[concatenado]],[2]!COMPROMISOS_2024[[#All],[Total Comprometido]],"",0)</f>
        <v>#NAME?</v>
      </c>
      <c r="AL1099" s="47">
        <f>IF(PAA_4[[#This Row],[BOLSA]]=0,0,SUMIFS([2]!COMPROMISOS_2024[[#All],[Total Comprometido]],[2]!COMPROMISOS_2024[[#All],[Bolsa]],PAA_4[[#This Row],[BOLSA]],[2]!COMPROMISOS_2024[[#All],[concatenado]],PAA_4[[#This Row],[RCP-RUBRO]]))</f>
        <v>0</v>
      </c>
    </row>
    <row r="1100" spans="1:38" s="19" customFormat="1" ht="31.5" customHeight="1">
      <c r="A1100" s="47">
        <v>664</v>
      </c>
      <c r="B1100" s="47">
        <v>80111600</v>
      </c>
      <c r="C1100" s="47" t="str">
        <f>VLOOKUP(PAA_4[[#This Row],[PROYECTO (formulado)2]],[2]PROYECTOS!$G$1:$L$32,6,0)</f>
        <v>SUBGERENCIA DE FOMENTO Y DESARROLLO</v>
      </c>
      <c r="D1100" s="47" t="str">
        <f>+IF(PAA_4[[#This Row],[UNIDAD DE CONTRATACION (formulado)]]="Subgerencia Administrativa y Financiera","FUNCIONAMIENTO","INVERSIÓN")</f>
        <v>INVERSIÓN</v>
      </c>
      <c r="E1100" s="48" t="str">
        <f>VLOOKUP(Q1100,[2]PROYECTOS!$G$1:$K$32,5,0)</f>
        <v>FORTALECIMIENTO_DE_LOS_JUEGOS_DEL_SECTOR_EDUCATIVO_EN_ANTIOQUIA</v>
      </c>
      <c r="F1100" s="48">
        <f>VLOOKUP(E1100,[2]PROYECTOS!$K$1:$M$32,3,0)</f>
        <v>2020003050034</v>
      </c>
      <c r="G1100" s="49" t="s">
        <v>340</v>
      </c>
      <c r="H1100" s="49" t="str">
        <f>VLOOKUP(Q1100,[2]PROYECTOS!$V$1:$W$32,2,0)</f>
        <v>050053</v>
      </c>
      <c r="I1100" s="50">
        <f>16379338-131563</f>
        <v>16247775</v>
      </c>
      <c r="J1100" s="70" t="s">
        <v>346</v>
      </c>
      <c r="K1100" s="47" t="str">
        <f t="shared" ca="1" si="388"/>
        <v>CONTRATADO</v>
      </c>
      <c r="L1100" s="47" t="s">
        <v>94</v>
      </c>
      <c r="M1100" s="47" t="s">
        <v>1297</v>
      </c>
      <c r="N1100" s="51" t="s">
        <v>341</v>
      </c>
      <c r="O1100" s="51" t="e">
        <f>VLOOKUP(N1100,[2]!RUBROS[#All],3,0)</f>
        <v>#REF!</v>
      </c>
      <c r="P1100" s="53" t="e">
        <f>VLOOKUP(N1100,[2]!RUBROS[#All],2,0)</f>
        <v>#REF!</v>
      </c>
      <c r="Q1100" s="47" t="str">
        <f t="shared" si="389"/>
        <v>51</v>
      </c>
      <c r="R1100" s="47" t="str">
        <f t="shared" si="390"/>
        <v>0-205128</v>
      </c>
      <c r="S1100" s="54">
        <v>8</v>
      </c>
      <c r="T1100" s="59" t="s">
        <v>46</v>
      </c>
      <c r="U1100" s="326" t="e">
        <f ca="1">_xlfn.XLOOKUP(PAA_4[[#This Row],[ITEM]],[2]Contrato!A:A,[2]Contrato!Q:Q,"",0)</f>
        <v>#NAME?</v>
      </c>
      <c r="V1100" s="47" t="s">
        <v>95</v>
      </c>
      <c r="W1100" s="47" t="s">
        <v>122</v>
      </c>
      <c r="X1100" s="47" t="s">
        <v>122</v>
      </c>
      <c r="Y1100" s="55" t="e">
        <f ca="1">_xlfn.XLOOKUP(PAA_4[[#This Row],[ITEM]],[2]Contrato!A:A,[2]Contrato!B:B,"",0)</f>
        <v>#NAME?</v>
      </c>
      <c r="Z1100" s="47" t="e">
        <f ca="1">_xlfn.XLOOKUP(PAA_4[[#This Row],[ITEM]],[2]Contrato!A:A,[2]Contrato!G:G,"",0)</f>
        <v>#NAME?</v>
      </c>
      <c r="AA1100" s="47" t="e">
        <f ca="1">_xlfn.XLOOKUP(PAA_4[[#This Row],[ITEM]],[2]Contrato!A:A,[2]Contrato!T:T,"",0)</f>
        <v>#NAME?</v>
      </c>
      <c r="AB1100" s="55" t="e">
        <f ca="1">+MAX(PAA_4[[#This Row],[Comprometido Contrato]],PAA_4[[#This Row],[Comprometido Bolsa]])</f>
        <v>#NAME?</v>
      </c>
      <c r="AC1100" s="55" t="str">
        <f t="shared" ca="1" si="391"/>
        <v/>
      </c>
      <c r="AD1100" s="55" t="e">
        <f ca="1">IF(PAA_4[[#This Row],[ESTADO (formulado)]]="NO CONTRATADO",0,MAX(PAA_4[[#This Row],[Pago por Contrato]],PAA_4[[#This Row],[Pago por bolsa]]))</f>
        <v>#NAME?</v>
      </c>
      <c r="AE1100" s="55" t="str">
        <f t="shared" ca="1" si="392"/>
        <v/>
      </c>
      <c r="AF1100" s="47" t="e">
        <f t="shared" ca="1" si="393"/>
        <v>#NAME?</v>
      </c>
      <c r="AG1100" s="47">
        <f t="shared" si="394"/>
        <v>44021011</v>
      </c>
      <c r="AH1100" s="54">
        <f>IF(Q1100="22",IF(ISNUMBER(SEARCH("econ",PAA_4[[#This Row],[Actividad3]])),"Económico",IF(ISNUMBER(SEARCH("alim",PAA_4[[#This Row],[Actividad3]])),"Alimentación",IF(ISNUMBER(SEARCH("educ",PAA_4[[#This Row],[Actividad3]])),"Educativo","Técnico"))),0)</f>
        <v>0</v>
      </c>
      <c r="AI1100" s="47" t="e" cm="1">
        <f t="array" aca="1" ref="AI1100" ca="1">_xlfn.XLOOKUP(PAA_4[[#This Row],[RCP-RUBRO]],[2]!COMPROMISOS_2024[[#All],[concatenado]],[2]!COMPROMISOS_2024[[#All],[Total pagado]],"",0)</f>
        <v>#NAME?</v>
      </c>
      <c r="AJ1100" s="56">
        <f>IF(PAA_4[[#This Row],[BOLSA]]=0,0,SUMIFS([2]!COMPROMISOS_2024[[#All],[Total pagado]],[2]!COMPROMISOS_2024[[#All],[Bolsa]],PAA_4[[#This Row],[BOLSA]],[2]!COMPROMISOS_2024[[#All],[rubro]],PAA_4[[#This Row],[RCP-RUBRO]]))</f>
        <v>0</v>
      </c>
      <c r="AK1100" s="47" t="e" cm="1">
        <f t="array" aca="1" ref="AK1100" ca="1">_xlfn.XLOOKUP(PAA_4[[#This Row],[RCP-RUBRO]],[2]!COMPROMISOS_2024[[#All],[concatenado]],[2]!COMPROMISOS_2024[[#All],[Total Comprometido]],"",0)</f>
        <v>#NAME?</v>
      </c>
      <c r="AL1100" s="47">
        <f>IF(PAA_4[[#This Row],[BOLSA]]=0,0,SUMIFS([2]!COMPROMISOS_2024[[#All],[Total Comprometido]],[2]!COMPROMISOS_2024[[#All],[Bolsa]],PAA_4[[#This Row],[BOLSA]],[2]!COMPROMISOS_2024[[#All],[concatenado]],PAA_4[[#This Row],[RCP-RUBRO]]))</f>
        <v>0</v>
      </c>
    </row>
    <row r="1101" spans="1:38" s="19" customFormat="1" ht="31.5" customHeight="1">
      <c r="A1101" s="47">
        <v>664</v>
      </c>
      <c r="B1101" s="47">
        <v>80111600</v>
      </c>
      <c r="C1101" s="47" t="str">
        <f>VLOOKUP(PAA_4[[#This Row],[PROYECTO (formulado)2]],[2]PROYECTOS!$G$1:$L$32,6,0)</f>
        <v>SUBGERENCIA DE FOMENTO Y DESARROLLO</v>
      </c>
      <c r="D1101" s="47" t="str">
        <f>+IF(PAA_4[[#This Row],[UNIDAD DE CONTRATACION (formulado)]]="Subgerencia Administrativa y Financiera","FUNCIONAMIENTO","INVERSIÓN")</f>
        <v>INVERSIÓN</v>
      </c>
      <c r="E1101" s="48" t="str">
        <f>VLOOKUP(Q1101,[2]PROYECTOS!$G$1:$K$32,5,0)</f>
        <v>CAPACITACION_PARA_EL_SECTOR_DEL_DEPORTE_LA_ACTIVIDAD_FISICA_LA_RECREACION_Y_LA_EDUCACION_FISICA_DE_ANTI</v>
      </c>
      <c r="F1101" s="48">
        <f>VLOOKUP(E1101,[2]PROYECTOS!$K$1:$M$32,3,0)</f>
        <v>2020003050024</v>
      </c>
      <c r="G1101" s="49" t="s">
        <v>337</v>
      </c>
      <c r="H1101" s="49" t="str">
        <f>VLOOKUP(Q1101,[2]PROYECTOS!$V$1:$W$32,2,0)</f>
        <v>050063</v>
      </c>
      <c r="I1101" s="50">
        <f>3133977-25169</f>
        <v>3108808</v>
      </c>
      <c r="J1101" s="70" t="s">
        <v>346</v>
      </c>
      <c r="K1101" s="47" t="str">
        <f t="shared" ca="1" si="388"/>
        <v>CONTRATADO</v>
      </c>
      <c r="L1101" s="47" t="s">
        <v>94</v>
      </c>
      <c r="M1101" s="47" t="s">
        <v>1297</v>
      </c>
      <c r="N1101" s="51" t="s">
        <v>339</v>
      </c>
      <c r="O1101" s="51" t="e">
        <f>VLOOKUP(N1101,[2]!RUBROS[#All],3,0)</f>
        <v>#REF!</v>
      </c>
      <c r="P1101" s="53" t="e">
        <f>VLOOKUP(N1101,[2]!RUBROS[#All],2,0)</f>
        <v>#REF!</v>
      </c>
      <c r="Q1101" s="47" t="str">
        <f t="shared" si="389"/>
        <v>48</v>
      </c>
      <c r="R1101" s="47" t="str">
        <f t="shared" si="390"/>
        <v>0-205128</v>
      </c>
      <c r="S1101" s="54">
        <v>8</v>
      </c>
      <c r="T1101" s="59" t="s">
        <v>46</v>
      </c>
      <c r="U1101" s="326" t="e">
        <f ca="1">_xlfn.XLOOKUP(PAA_4[[#This Row],[ITEM]],[2]Contrato!A:A,[2]Contrato!Q:Q,"",0)</f>
        <v>#NAME?</v>
      </c>
      <c r="V1101" s="47" t="s">
        <v>95</v>
      </c>
      <c r="W1101" s="47" t="s">
        <v>122</v>
      </c>
      <c r="X1101" s="47" t="s">
        <v>122</v>
      </c>
      <c r="Y1101" s="55" t="e">
        <f ca="1">_xlfn.XLOOKUP(PAA_4[[#This Row],[ITEM]],[2]Contrato!A:A,[2]Contrato!B:B,"",0)</f>
        <v>#NAME?</v>
      </c>
      <c r="Z1101" s="47" t="e">
        <f ca="1">_xlfn.XLOOKUP(PAA_4[[#This Row],[ITEM]],[2]Contrato!A:A,[2]Contrato!G:G,"",0)</f>
        <v>#NAME?</v>
      </c>
      <c r="AA1101" s="47" t="e">
        <f ca="1">_xlfn.XLOOKUP(PAA_4[[#This Row],[ITEM]],[2]Contrato!A:A,[2]Contrato!T:T,"",0)</f>
        <v>#NAME?</v>
      </c>
      <c r="AB1101" s="55" t="e">
        <f ca="1">+MAX(PAA_4[[#This Row],[Comprometido Contrato]],PAA_4[[#This Row],[Comprometido Bolsa]])</f>
        <v>#NAME?</v>
      </c>
      <c r="AC1101" s="55" t="str">
        <f t="shared" ca="1" si="391"/>
        <v/>
      </c>
      <c r="AD1101" s="55" t="e">
        <f ca="1">IF(PAA_4[[#This Row],[ESTADO (formulado)]]="NO CONTRATADO",0,MAX(PAA_4[[#This Row],[Pago por Contrato]],PAA_4[[#This Row],[Pago por bolsa]]))</f>
        <v>#NAME?</v>
      </c>
      <c r="AE1101" s="55" t="str">
        <f t="shared" ca="1" si="392"/>
        <v/>
      </c>
      <c r="AF1101" s="47" t="e">
        <f t="shared" ca="1" si="393"/>
        <v>#NAME?</v>
      </c>
      <c r="AG1101" s="47">
        <f t="shared" si="394"/>
        <v>41080201</v>
      </c>
      <c r="AH1101" s="54">
        <f>IF(Q1101="22",IF(ISNUMBER(SEARCH("econ",PAA_4[[#This Row],[Actividad3]])),"Económico",IF(ISNUMBER(SEARCH("alim",PAA_4[[#This Row],[Actividad3]])),"Alimentación",IF(ISNUMBER(SEARCH("educ",PAA_4[[#This Row],[Actividad3]])),"Educativo","Técnico"))),0)</f>
        <v>0</v>
      </c>
      <c r="AI1101" s="47" t="e" cm="1">
        <f t="array" aca="1" ref="AI1101" ca="1">_xlfn.XLOOKUP(PAA_4[[#This Row],[RCP-RUBRO]],[2]!COMPROMISOS_2024[[#All],[concatenado]],[2]!COMPROMISOS_2024[[#All],[Total pagado]],"",0)</f>
        <v>#NAME?</v>
      </c>
      <c r="AJ1101" s="56">
        <f>IF(PAA_4[[#This Row],[BOLSA]]=0,0,SUMIFS([2]!COMPROMISOS_2024[[#All],[Total pagado]],[2]!COMPROMISOS_2024[[#All],[Bolsa]],PAA_4[[#This Row],[BOLSA]],[2]!COMPROMISOS_2024[[#All],[rubro]],PAA_4[[#This Row],[RCP-RUBRO]]))</f>
        <v>0</v>
      </c>
      <c r="AK1101" s="47" t="e" cm="1">
        <f t="array" aca="1" ref="AK1101" ca="1">_xlfn.XLOOKUP(PAA_4[[#This Row],[RCP-RUBRO]],[2]!COMPROMISOS_2024[[#All],[concatenado]],[2]!COMPROMISOS_2024[[#All],[Total Comprometido]],"",0)</f>
        <v>#NAME?</v>
      </c>
      <c r="AL1101" s="47">
        <f>IF(PAA_4[[#This Row],[BOLSA]]=0,0,SUMIFS([2]!COMPROMISOS_2024[[#All],[Total Comprometido]],[2]!COMPROMISOS_2024[[#All],[Bolsa]],PAA_4[[#This Row],[BOLSA]],[2]!COMPROMISOS_2024[[#All],[concatenado]],PAA_4[[#This Row],[RCP-RUBRO]]))</f>
        <v>0</v>
      </c>
    </row>
    <row r="1102" spans="1:38" s="19" customFormat="1" ht="31.5" customHeight="1">
      <c r="A1102" s="47" t="s">
        <v>82</v>
      </c>
      <c r="B1102" s="47" t="s">
        <v>42</v>
      </c>
      <c r="C1102" s="47" t="str">
        <f>VLOOKUP(PAA_4[[#This Row],[PROYECTO (formulado)2]],[2]PROYECTOS!$G$1:$L$32,6,0)</f>
        <v>SUBGERENCIA DE FOMENTO Y DESARROLLO</v>
      </c>
      <c r="D1102" s="47" t="str">
        <f>+IF(PAA_4[[#This Row],[UNIDAD DE CONTRATACION (formulado)]]="Subgerencia Administrativa y Financiera","FUNCIONAMIENTO","INVERSIÓN")</f>
        <v>INVERSIÓN</v>
      </c>
      <c r="E1102" s="48" t="str">
        <f>VLOOKUP(Q1102,[2]PROYECTOS!$G$1:$K$32,5,0)</f>
        <v>FORTALECIMIENTO_DEL_PROGRAMA_POR_SU_SALUD_MUÉVASE_PUES_EN_LOS_MUNICIPIO_DEL_DEPARTAMENTO_DE_ANTIOQUIA</v>
      </c>
      <c r="F1102" s="48">
        <f>VLOOKUP(E1102,[2]PROYECTOS!$K$1:$M$32,3,0)</f>
        <v>2020003050030</v>
      </c>
      <c r="G1102" s="49" t="s">
        <v>326</v>
      </c>
      <c r="H1102" s="49" t="str">
        <f>VLOOKUP(Q1102,[2]PROYECTOS!$V$1:$W$32,2,0)</f>
        <v>050055</v>
      </c>
      <c r="I1102" s="50">
        <v>123070</v>
      </c>
      <c r="J1102" s="51" t="s">
        <v>1851</v>
      </c>
      <c r="K1102" s="47" t="str">
        <f t="shared" ca="1" si="388"/>
        <v>CONTRATADO</v>
      </c>
      <c r="L1102" s="47" t="s">
        <v>42</v>
      </c>
      <c r="M1102" s="47" t="s">
        <v>42</v>
      </c>
      <c r="N1102" s="51" t="s">
        <v>329</v>
      </c>
      <c r="O1102" s="51" t="e">
        <f>VLOOKUP(N1102,[2]!RUBROS[#All],3,0)</f>
        <v>#REF!</v>
      </c>
      <c r="P1102" s="53" t="e">
        <f>VLOOKUP(N1102,[2]!RUBROS[#All],2,0)</f>
        <v>#REF!</v>
      </c>
      <c r="Q1102" s="47" t="str">
        <f t="shared" si="389"/>
        <v>45</v>
      </c>
      <c r="R1102" s="47" t="str">
        <f t="shared" si="390"/>
        <v>0-205128</v>
      </c>
      <c r="S1102" s="54" t="s">
        <v>42</v>
      </c>
      <c r="T1102" s="59" t="s">
        <v>42</v>
      </c>
      <c r="U1102" s="326" t="e">
        <f ca="1">_xlfn.XLOOKUP(PAA_4[[#This Row],[ITEM]],[2]Contrato!A:A,[2]Contrato!Q:Q,"",0)</f>
        <v>#NAME?</v>
      </c>
      <c r="V1102" s="47" t="s">
        <v>95</v>
      </c>
      <c r="W1102" s="47" t="s">
        <v>42</v>
      </c>
      <c r="X1102" s="47" t="s">
        <v>42</v>
      </c>
      <c r="Y1102" s="55" t="e">
        <f ca="1">_xlfn.XLOOKUP(PAA_4[[#This Row],[ITEM]],[2]Contrato!A:A,[2]Contrato!B:B,"",0)</f>
        <v>#NAME?</v>
      </c>
      <c r="Z1102" s="47" t="e">
        <f ca="1">_xlfn.XLOOKUP(PAA_4[[#This Row],[ITEM]],[2]Contrato!A:A,[2]Contrato!G:G,"",0)</f>
        <v>#NAME?</v>
      </c>
      <c r="AA1102" s="47" t="e">
        <f ca="1">_xlfn.XLOOKUP(PAA_4[[#This Row],[ITEM]],[2]Contrato!A:A,[2]Contrato!T:T,"",0)</f>
        <v>#NAME?</v>
      </c>
      <c r="AB1102" s="55" t="e">
        <f ca="1">+MAX(PAA_4[[#This Row],[Comprometido Contrato]],PAA_4[[#This Row],[Comprometido Bolsa]])</f>
        <v>#NAME?</v>
      </c>
      <c r="AC1102" s="55" t="str">
        <f t="shared" ca="1" si="391"/>
        <v/>
      </c>
      <c r="AD1102" s="55" t="e">
        <f ca="1">IF(PAA_4[[#This Row],[ESTADO (formulado)]]="NO CONTRATADO",0,MAX(PAA_4[[#This Row],[Pago por Contrato]],PAA_4[[#This Row],[Pago por bolsa]]))</f>
        <v>#NAME?</v>
      </c>
      <c r="AE1102" s="55" t="str">
        <f t="shared" ca="1" si="392"/>
        <v/>
      </c>
      <c r="AF1102" s="47" t="e">
        <f t="shared" ca="1" si="393"/>
        <v>#NAME?</v>
      </c>
      <c r="AG1102" s="47">
        <f t="shared" si="394"/>
        <v>44021001</v>
      </c>
      <c r="AH1102" s="54">
        <f>IF(Q1102="22",IF(ISNUMBER(SEARCH("econ",PAA_4[[#This Row],[Actividad3]])),"Económico",IF(ISNUMBER(SEARCH("alim",PAA_4[[#This Row],[Actividad3]])),"Alimentación",IF(ISNUMBER(SEARCH("educ",PAA_4[[#This Row],[Actividad3]])),"Educativo","Técnico"))),0)</f>
        <v>0</v>
      </c>
      <c r="AI1102" s="47" t="e" cm="1">
        <f t="array" aca="1" ref="AI1102" ca="1">_xlfn.XLOOKUP(PAA_4[[#This Row],[RCP-RUBRO]],[2]!COMPROMISOS_2024[[#All],[concatenado]],[2]!COMPROMISOS_2024[[#All],[Total pagado]],"",0)</f>
        <v>#NAME?</v>
      </c>
      <c r="AJ1102" s="56">
        <f>IF(PAA_4[[#This Row],[BOLSA]]=0,0,SUMIFS([2]!COMPROMISOS_2024[[#All],[Total pagado]],[2]!COMPROMISOS_2024[[#All],[Bolsa]],PAA_4[[#This Row],[BOLSA]],[2]!COMPROMISOS_2024[[#All],[rubro]],PAA_4[[#This Row],[RCP-RUBRO]]))</f>
        <v>0</v>
      </c>
      <c r="AK1102" s="47" t="e" cm="1">
        <f t="array" aca="1" ref="AK1102" ca="1">_xlfn.XLOOKUP(PAA_4[[#This Row],[RCP-RUBRO]],[2]!COMPROMISOS_2024[[#All],[concatenado]],[2]!COMPROMISOS_2024[[#All],[Total Comprometido]],"",0)</f>
        <v>#NAME?</v>
      </c>
      <c r="AL1102" s="47">
        <f>IF(PAA_4[[#This Row],[BOLSA]]=0,0,SUMIFS([2]!COMPROMISOS_2024[[#All],[Total Comprometido]],[2]!COMPROMISOS_2024[[#All],[Bolsa]],PAA_4[[#This Row],[BOLSA]],[2]!COMPROMISOS_2024[[#All],[concatenado]],PAA_4[[#This Row],[RCP-RUBRO]]))</f>
        <v>0</v>
      </c>
    </row>
    <row r="1103" spans="1:38" s="19" customFormat="1" ht="31.5" customHeight="1">
      <c r="A1103" s="47" t="s">
        <v>82</v>
      </c>
      <c r="B1103" s="47" t="s">
        <v>42</v>
      </c>
      <c r="C1103" s="47" t="str">
        <f>VLOOKUP(PAA_4[[#This Row],[PROYECTO (formulado)2]],[2]PROYECTOS!$G$1:$L$32,6,0)</f>
        <v>SUBGERENCIA DE FOMENTO Y DESARROLLO</v>
      </c>
      <c r="D1103" s="47" t="str">
        <f>+IF(PAA_4[[#This Row],[UNIDAD DE CONTRATACION (formulado)]]="Subgerencia Administrativa y Financiera","FUNCIONAMIENTO","INVERSIÓN")</f>
        <v>INVERSIÓN</v>
      </c>
      <c r="E1103" s="48" t="str">
        <f>VLOOKUP(Q1103,[2]PROYECTOS!$G$1:$K$32,5,0)</f>
        <v>FORTALECIMIENTO_DE_LAS_ESCUELAS_DEPORTIVAS_EN_LOS_MUNICIPIOS_DEL_DEPARTAMENTO_DE_ANTIOQUIA</v>
      </c>
      <c r="F1103" s="48">
        <f>VLOOKUP(E1103,[2]PROYECTOS!$K$1:$M$32,3,0)</f>
        <v>2020003050032</v>
      </c>
      <c r="G1103" s="49" t="s">
        <v>333</v>
      </c>
      <c r="H1103" s="49" t="str">
        <f>VLOOKUP(Q1103,[2]PROYECTOS!$V$1:$W$32,2,0)</f>
        <v>050059</v>
      </c>
      <c r="I1103" s="50">
        <v>123525</v>
      </c>
      <c r="J1103" s="51" t="s">
        <v>1851</v>
      </c>
      <c r="K1103" s="47" t="str">
        <f t="shared" ca="1" si="388"/>
        <v>CONTRATADO</v>
      </c>
      <c r="L1103" s="47" t="s">
        <v>42</v>
      </c>
      <c r="M1103" s="47" t="s">
        <v>42</v>
      </c>
      <c r="N1103" s="51" t="s">
        <v>334</v>
      </c>
      <c r="O1103" s="51" t="e">
        <f>VLOOKUP(N1103,[2]!RUBROS[#All],3,0)</f>
        <v>#REF!</v>
      </c>
      <c r="P1103" s="53" t="e">
        <f>VLOOKUP(N1103,[2]!RUBROS[#All],2,0)</f>
        <v>#REF!</v>
      </c>
      <c r="Q1103" s="47" t="str">
        <f t="shared" si="389"/>
        <v>46</v>
      </c>
      <c r="R1103" s="47" t="str">
        <f t="shared" si="390"/>
        <v>0-205128</v>
      </c>
      <c r="S1103" s="54" t="s">
        <v>42</v>
      </c>
      <c r="T1103" s="59" t="s">
        <v>42</v>
      </c>
      <c r="U1103" s="326" t="e">
        <f ca="1">_xlfn.XLOOKUP(PAA_4[[#This Row],[ITEM]],[2]Contrato!A:A,[2]Contrato!Q:Q,"",0)</f>
        <v>#NAME?</v>
      </c>
      <c r="V1103" s="47" t="s">
        <v>95</v>
      </c>
      <c r="W1103" s="47" t="s">
        <v>42</v>
      </c>
      <c r="X1103" s="47" t="s">
        <v>42</v>
      </c>
      <c r="Y1103" s="55" t="e">
        <f ca="1">_xlfn.XLOOKUP(PAA_4[[#This Row],[ITEM]],[2]Contrato!A:A,[2]Contrato!B:B,"",0)</f>
        <v>#NAME?</v>
      </c>
      <c r="Z1103" s="47" t="e">
        <f ca="1">_xlfn.XLOOKUP(PAA_4[[#This Row],[ITEM]],[2]Contrato!A:A,[2]Contrato!G:G,"",0)</f>
        <v>#NAME?</v>
      </c>
      <c r="AA1103" s="47" t="e">
        <f ca="1">_xlfn.XLOOKUP(PAA_4[[#This Row],[ITEM]],[2]Contrato!A:A,[2]Contrato!T:T,"",0)</f>
        <v>#NAME?</v>
      </c>
      <c r="AB1103" s="55" t="e">
        <f ca="1">+MAX(PAA_4[[#This Row],[Comprometido Contrato]],PAA_4[[#This Row],[Comprometido Bolsa]])</f>
        <v>#NAME?</v>
      </c>
      <c r="AC1103" s="55" t="str">
        <f t="shared" ca="1" si="391"/>
        <v/>
      </c>
      <c r="AD1103" s="55" t="e">
        <f ca="1">IF(PAA_4[[#This Row],[ESTADO (formulado)]]="NO CONTRATADO",0,MAX(PAA_4[[#This Row],[Pago por Contrato]],PAA_4[[#This Row],[Pago por bolsa]]))</f>
        <v>#NAME?</v>
      </c>
      <c r="AE1103" s="55" t="str">
        <f t="shared" ca="1" si="392"/>
        <v/>
      </c>
      <c r="AF1103" s="47" t="e">
        <f t="shared" ca="1" si="393"/>
        <v>#NAME?</v>
      </c>
      <c r="AG1103" s="47">
        <f t="shared" si="394"/>
        <v>44021007</v>
      </c>
      <c r="AH1103" s="54">
        <f>IF(Q1103="22",IF(ISNUMBER(SEARCH("econ",PAA_4[[#This Row],[Actividad3]])),"Económico",IF(ISNUMBER(SEARCH("alim",PAA_4[[#This Row],[Actividad3]])),"Alimentación",IF(ISNUMBER(SEARCH("educ",PAA_4[[#This Row],[Actividad3]])),"Educativo","Técnico"))),0)</f>
        <v>0</v>
      </c>
      <c r="AI1103" s="47" t="e" cm="1">
        <f t="array" aca="1" ref="AI1103" ca="1">_xlfn.XLOOKUP(PAA_4[[#This Row],[RCP-RUBRO]],[2]!COMPROMISOS_2024[[#All],[concatenado]],[2]!COMPROMISOS_2024[[#All],[Total pagado]],"",0)</f>
        <v>#NAME?</v>
      </c>
      <c r="AJ1103" s="56">
        <f>IF(PAA_4[[#This Row],[BOLSA]]=0,0,SUMIFS([2]!COMPROMISOS_2024[[#All],[Total pagado]],[2]!COMPROMISOS_2024[[#All],[Bolsa]],PAA_4[[#This Row],[BOLSA]],[2]!COMPROMISOS_2024[[#All],[rubro]],PAA_4[[#This Row],[RCP-RUBRO]]))</f>
        <v>0</v>
      </c>
      <c r="AK1103" s="47" t="e" cm="1">
        <f t="array" aca="1" ref="AK1103" ca="1">_xlfn.XLOOKUP(PAA_4[[#This Row],[RCP-RUBRO]],[2]!COMPROMISOS_2024[[#All],[concatenado]],[2]!COMPROMISOS_2024[[#All],[Total Comprometido]],"",0)</f>
        <v>#NAME?</v>
      </c>
      <c r="AL1103" s="47">
        <f>IF(PAA_4[[#This Row],[BOLSA]]=0,0,SUMIFS([2]!COMPROMISOS_2024[[#All],[Total Comprometido]],[2]!COMPROMISOS_2024[[#All],[Bolsa]],PAA_4[[#This Row],[BOLSA]],[2]!COMPROMISOS_2024[[#All],[concatenado]],PAA_4[[#This Row],[RCP-RUBRO]]))</f>
        <v>0</v>
      </c>
    </row>
    <row r="1104" spans="1:38" s="19" customFormat="1" ht="31.5" customHeight="1">
      <c r="A1104" s="47" t="s">
        <v>82</v>
      </c>
      <c r="B1104" s="47" t="s">
        <v>42</v>
      </c>
      <c r="C1104" s="47" t="str">
        <f>VLOOKUP(PAA_4[[#This Row],[PROYECTO (formulado)2]],[2]PROYECTOS!$G$1:$L$32,6,0)</f>
        <v>SUBGERENCIA DE FOMENTO Y DESARROLLO</v>
      </c>
      <c r="D1104" s="47" t="str">
        <f>+IF(PAA_4[[#This Row],[UNIDAD DE CONTRATACION (formulado)]]="Subgerencia Administrativa y Financiera","FUNCIONAMIENTO","INVERSIÓN")</f>
        <v>INVERSIÓN</v>
      </c>
      <c r="E1104" s="48" t="str">
        <f>VLOOKUP(Q1104,[2]PROYECTOS!$G$1:$K$32,5,0)</f>
        <v>FORTALECIMIENTO_DE_LOS_PROGRAMAS_RECREATIVOS_EN_LOS_MUNICIPIOS_DEL_DEPARTAMENTO_DE_ANTIOQUIA</v>
      </c>
      <c r="F1104" s="48">
        <f>VLOOKUP(E1104,[2]PROYECTOS!$K$1:$M$32,3,0)</f>
        <v>2020003050031</v>
      </c>
      <c r="G1104" s="49" t="s">
        <v>335</v>
      </c>
      <c r="H1104" s="49" t="str">
        <f>VLOOKUP(Q1104,[2]PROYECTOS!$V$1:$W$32,2,0)</f>
        <v>050064</v>
      </c>
      <c r="I1104" s="50">
        <v>123616</v>
      </c>
      <c r="J1104" s="51" t="s">
        <v>1851</v>
      </c>
      <c r="K1104" s="47" t="str">
        <f t="shared" ca="1" si="388"/>
        <v>CONTRATADO</v>
      </c>
      <c r="L1104" s="47" t="s">
        <v>42</v>
      </c>
      <c r="M1104" s="47" t="s">
        <v>42</v>
      </c>
      <c r="N1104" s="51" t="s">
        <v>336</v>
      </c>
      <c r="O1104" s="51" t="e">
        <f>VLOOKUP(N1104,[2]!RUBROS[#All],3,0)</f>
        <v>#REF!</v>
      </c>
      <c r="P1104" s="53" t="e">
        <f>VLOOKUP(N1104,[2]!RUBROS[#All],2,0)</f>
        <v>#REF!</v>
      </c>
      <c r="Q1104" s="47" t="str">
        <f t="shared" si="389"/>
        <v>47</v>
      </c>
      <c r="R1104" s="47" t="str">
        <f t="shared" si="390"/>
        <v>0-205128</v>
      </c>
      <c r="S1104" s="54" t="s">
        <v>42</v>
      </c>
      <c r="T1104" s="59" t="s">
        <v>42</v>
      </c>
      <c r="U1104" s="326" t="e">
        <f ca="1">_xlfn.XLOOKUP(PAA_4[[#This Row],[ITEM]],[2]Contrato!A:A,[2]Contrato!Q:Q,"",0)</f>
        <v>#NAME?</v>
      </c>
      <c r="V1104" s="47" t="s">
        <v>95</v>
      </c>
      <c r="W1104" s="47" t="s">
        <v>42</v>
      </c>
      <c r="X1104" s="47" t="s">
        <v>42</v>
      </c>
      <c r="Y1104" s="55" t="e">
        <f ca="1">_xlfn.XLOOKUP(PAA_4[[#This Row],[ITEM]],[2]Contrato!A:A,[2]Contrato!B:B,"",0)</f>
        <v>#NAME?</v>
      </c>
      <c r="Z1104" s="47" t="e">
        <f ca="1">_xlfn.XLOOKUP(PAA_4[[#This Row],[ITEM]],[2]Contrato!A:A,[2]Contrato!G:G,"",0)</f>
        <v>#NAME?</v>
      </c>
      <c r="AA1104" s="47" t="e">
        <f ca="1">_xlfn.XLOOKUP(PAA_4[[#This Row],[ITEM]],[2]Contrato!A:A,[2]Contrato!T:T,"",0)</f>
        <v>#NAME?</v>
      </c>
      <c r="AB1104" s="55" t="e">
        <f ca="1">+MAX(PAA_4[[#This Row],[Comprometido Contrato]],PAA_4[[#This Row],[Comprometido Bolsa]])</f>
        <v>#NAME?</v>
      </c>
      <c r="AC1104" s="55" t="str">
        <f t="shared" ca="1" si="391"/>
        <v/>
      </c>
      <c r="AD1104" s="55" t="e">
        <f ca="1">IF(PAA_4[[#This Row],[ESTADO (formulado)]]="NO CONTRATADO",0,MAX(PAA_4[[#This Row],[Pago por Contrato]],PAA_4[[#This Row],[Pago por bolsa]]))</f>
        <v>#NAME?</v>
      </c>
      <c r="AE1104" s="55" t="str">
        <f t="shared" ca="1" si="392"/>
        <v/>
      </c>
      <c r="AF1104" s="47" t="e">
        <f t="shared" ca="1" si="393"/>
        <v>#NAME?</v>
      </c>
      <c r="AG1104" s="47">
        <f t="shared" si="394"/>
        <v>44021004</v>
      </c>
      <c r="AH1104" s="54">
        <f>IF(Q1104="22",IF(ISNUMBER(SEARCH("econ",PAA_4[[#This Row],[Actividad3]])),"Económico",IF(ISNUMBER(SEARCH("alim",PAA_4[[#This Row],[Actividad3]])),"Alimentación",IF(ISNUMBER(SEARCH("educ",PAA_4[[#This Row],[Actividad3]])),"Educativo","Técnico"))),0)</f>
        <v>0</v>
      </c>
      <c r="AI1104" s="47" t="e" cm="1">
        <f t="array" aca="1" ref="AI1104" ca="1">_xlfn.XLOOKUP(PAA_4[[#This Row],[RCP-RUBRO]],[2]!COMPROMISOS_2024[[#All],[concatenado]],[2]!COMPROMISOS_2024[[#All],[Total pagado]],"",0)</f>
        <v>#NAME?</v>
      </c>
      <c r="AJ1104" s="56">
        <f>IF(PAA_4[[#This Row],[BOLSA]]=0,0,SUMIFS([2]!COMPROMISOS_2024[[#All],[Total pagado]],[2]!COMPROMISOS_2024[[#All],[Bolsa]],PAA_4[[#This Row],[BOLSA]],[2]!COMPROMISOS_2024[[#All],[rubro]],PAA_4[[#This Row],[RCP-RUBRO]]))</f>
        <v>0</v>
      </c>
      <c r="AK1104" s="47" t="e" cm="1">
        <f t="array" aca="1" ref="AK1104" ca="1">_xlfn.XLOOKUP(PAA_4[[#This Row],[RCP-RUBRO]],[2]!COMPROMISOS_2024[[#All],[concatenado]],[2]!COMPROMISOS_2024[[#All],[Total Comprometido]],"",0)</f>
        <v>#NAME?</v>
      </c>
      <c r="AL1104" s="47">
        <f>IF(PAA_4[[#This Row],[BOLSA]]=0,0,SUMIFS([2]!COMPROMISOS_2024[[#All],[Total Comprometido]],[2]!COMPROMISOS_2024[[#All],[Bolsa]],PAA_4[[#This Row],[BOLSA]],[2]!COMPROMISOS_2024[[#All],[concatenado]],PAA_4[[#This Row],[RCP-RUBRO]]))</f>
        <v>0</v>
      </c>
    </row>
    <row r="1105" spans="1:38" s="19" customFormat="1" ht="31.5" customHeight="1">
      <c r="A1105" s="47" t="s">
        <v>82</v>
      </c>
      <c r="B1105" s="47" t="s">
        <v>42</v>
      </c>
      <c r="C1105" s="47" t="str">
        <f>VLOOKUP(PAA_4[[#This Row],[PROYECTO (formulado)2]],[2]PROYECTOS!$G$1:$L$32,6,0)</f>
        <v>SUBGERENCIA DE FOMENTO Y DESARROLLO</v>
      </c>
      <c r="D1105" s="47" t="str">
        <f>+IF(PAA_4[[#This Row],[UNIDAD DE CONTRATACION (formulado)]]="Subgerencia Administrativa y Financiera","FUNCIONAMIENTO","INVERSIÓN")</f>
        <v>INVERSIÓN</v>
      </c>
      <c r="E1105" s="48" t="str">
        <f>VLOOKUP(Q1105,[2]PROYECTOS!$G$1:$K$32,5,0)</f>
        <v>FORTALECIMIENTO_DE_LOS_JUEGOS_DEL_SECTOR_SOCIAL_COMUNITARIO_EN_LOS_MUNICIPIOS_DEL_DEPARTAMENTO_DE_ANTIOQU</v>
      </c>
      <c r="F1105" s="48">
        <f>VLOOKUP(E1105,[2]PROYECTOS!$K$1:$M$32,3,0)</f>
        <v>2020003050033</v>
      </c>
      <c r="G1105" s="49" t="s">
        <v>342</v>
      </c>
      <c r="H1105" s="49" t="str">
        <f>VLOOKUP(Q1105,[2]PROYECTOS!$V$1:$W$32,2,0)</f>
        <v>050057</v>
      </c>
      <c r="I1105" s="50">
        <v>413232</v>
      </c>
      <c r="J1105" s="51" t="s">
        <v>1851</v>
      </c>
      <c r="K1105" s="47" t="str">
        <f t="shared" ca="1" si="388"/>
        <v>CONTRATADO</v>
      </c>
      <c r="L1105" s="47" t="s">
        <v>42</v>
      </c>
      <c r="M1105" s="47" t="s">
        <v>42</v>
      </c>
      <c r="N1105" s="51" t="s">
        <v>343</v>
      </c>
      <c r="O1105" s="51" t="e">
        <f>VLOOKUP(N1105,[2]!RUBROS[#All],3,0)</f>
        <v>#REF!</v>
      </c>
      <c r="P1105" s="53" t="e">
        <f>VLOOKUP(N1105,[2]!RUBROS[#All],2,0)</f>
        <v>#REF!</v>
      </c>
      <c r="Q1105" s="47" t="str">
        <f t="shared" si="389"/>
        <v>50</v>
      </c>
      <c r="R1105" s="47" t="str">
        <f t="shared" si="390"/>
        <v>0-205128</v>
      </c>
      <c r="S1105" s="54" t="s">
        <v>42</v>
      </c>
      <c r="T1105" s="59" t="s">
        <v>42</v>
      </c>
      <c r="U1105" s="326" t="e">
        <f ca="1">_xlfn.XLOOKUP(PAA_4[[#This Row],[ITEM]],[2]Contrato!A:A,[2]Contrato!Q:Q,"",0)</f>
        <v>#NAME?</v>
      </c>
      <c r="V1105" s="47" t="s">
        <v>95</v>
      </c>
      <c r="W1105" s="47" t="s">
        <v>42</v>
      </c>
      <c r="X1105" s="47" t="s">
        <v>42</v>
      </c>
      <c r="Y1105" s="55" t="e">
        <f ca="1">_xlfn.XLOOKUP(PAA_4[[#This Row],[ITEM]],[2]Contrato!A:A,[2]Contrato!B:B,"",0)</f>
        <v>#NAME?</v>
      </c>
      <c r="Z1105" s="47" t="e">
        <f ca="1">_xlfn.XLOOKUP(PAA_4[[#This Row],[ITEM]],[2]Contrato!A:A,[2]Contrato!G:G,"",0)</f>
        <v>#NAME?</v>
      </c>
      <c r="AA1105" s="47" t="e">
        <f ca="1">_xlfn.XLOOKUP(PAA_4[[#This Row],[ITEM]],[2]Contrato!A:A,[2]Contrato!T:T,"",0)</f>
        <v>#NAME?</v>
      </c>
      <c r="AB1105" s="55" t="e">
        <f ca="1">+MAX(PAA_4[[#This Row],[Comprometido Contrato]],PAA_4[[#This Row],[Comprometido Bolsa]])</f>
        <v>#NAME?</v>
      </c>
      <c r="AC1105" s="55" t="str">
        <f t="shared" ca="1" si="391"/>
        <v/>
      </c>
      <c r="AD1105" s="55" t="e">
        <f ca="1">IF(PAA_4[[#This Row],[ESTADO (formulado)]]="NO CONTRATADO",0,MAX(PAA_4[[#This Row],[Pago por Contrato]],PAA_4[[#This Row],[Pago por bolsa]]))</f>
        <v>#NAME?</v>
      </c>
      <c r="AE1105" s="55" t="str">
        <f t="shared" ca="1" si="392"/>
        <v/>
      </c>
      <c r="AF1105" s="47" t="e">
        <f t="shared" ca="1" si="393"/>
        <v>#NAME?</v>
      </c>
      <c r="AG1105" s="47">
        <f t="shared" si="394"/>
        <v>44021010</v>
      </c>
      <c r="AH1105" s="54">
        <f>IF(Q1105="22",IF(ISNUMBER(SEARCH("econ",PAA_4[[#This Row],[Actividad3]])),"Económico",IF(ISNUMBER(SEARCH("alim",PAA_4[[#This Row],[Actividad3]])),"Alimentación",IF(ISNUMBER(SEARCH("educ",PAA_4[[#This Row],[Actividad3]])),"Educativo","Técnico"))),0)</f>
        <v>0</v>
      </c>
      <c r="AI1105" s="47" t="e" cm="1">
        <f t="array" aca="1" ref="AI1105" ca="1">_xlfn.XLOOKUP(PAA_4[[#This Row],[RCP-RUBRO]],[2]!COMPROMISOS_2024[[#All],[concatenado]],[2]!COMPROMISOS_2024[[#All],[Total pagado]],"",0)</f>
        <v>#NAME?</v>
      </c>
      <c r="AJ1105" s="56">
        <f>IF(PAA_4[[#This Row],[BOLSA]]=0,0,SUMIFS([2]!COMPROMISOS_2024[[#All],[Total pagado]],[2]!COMPROMISOS_2024[[#All],[Bolsa]],PAA_4[[#This Row],[BOLSA]],[2]!COMPROMISOS_2024[[#All],[rubro]],PAA_4[[#This Row],[RCP-RUBRO]]))</f>
        <v>0</v>
      </c>
      <c r="AK1105" s="47" t="e" cm="1">
        <f t="array" aca="1" ref="AK1105" ca="1">_xlfn.XLOOKUP(PAA_4[[#This Row],[RCP-RUBRO]],[2]!COMPROMISOS_2024[[#All],[concatenado]],[2]!COMPROMISOS_2024[[#All],[Total Comprometido]],"",0)</f>
        <v>#NAME?</v>
      </c>
      <c r="AL1105" s="47">
        <f>IF(PAA_4[[#This Row],[BOLSA]]=0,0,SUMIFS([2]!COMPROMISOS_2024[[#All],[Total Comprometido]],[2]!COMPROMISOS_2024[[#All],[Bolsa]],PAA_4[[#This Row],[BOLSA]],[2]!COMPROMISOS_2024[[#All],[concatenado]],PAA_4[[#This Row],[RCP-RUBRO]]))</f>
        <v>0</v>
      </c>
    </row>
    <row r="1106" spans="1:38" s="19" customFormat="1" ht="31.5" customHeight="1">
      <c r="A1106" s="47" t="s">
        <v>82</v>
      </c>
      <c r="B1106" s="47" t="s">
        <v>42</v>
      </c>
      <c r="C1106" s="47" t="str">
        <f>VLOOKUP(PAA_4[[#This Row],[PROYECTO (formulado)2]],[2]PROYECTOS!$G$1:$L$32,6,0)</f>
        <v>SUBGERENCIA DE FOMENTO Y DESARROLLO</v>
      </c>
      <c r="D1106" s="47" t="str">
        <f>+IF(PAA_4[[#This Row],[UNIDAD DE CONTRATACION (formulado)]]="Subgerencia Administrativa y Financiera","FUNCIONAMIENTO","INVERSIÓN")</f>
        <v>INVERSIÓN</v>
      </c>
      <c r="E1106" s="48" t="str">
        <f>VLOOKUP(Q1106,[2]PROYECTOS!$G$1:$K$32,5,0)</f>
        <v>FORTALECIMIENTO_DE_LOS_JUEGOS_DEL_SECTOR_EDUCATIVO_EN_ANTIOQUIA</v>
      </c>
      <c r="F1106" s="48">
        <f>VLOOKUP(E1106,[2]PROYECTOS!$K$1:$M$32,3,0)</f>
        <v>2020003050034</v>
      </c>
      <c r="G1106" s="49" t="s">
        <v>340</v>
      </c>
      <c r="H1106" s="49" t="str">
        <f>VLOOKUP(Q1106,[2]PROYECTOS!$V$1:$W$32,2,0)</f>
        <v>050053</v>
      </c>
      <c r="I1106" s="50">
        <v>418409</v>
      </c>
      <c r="J1106" s="51" t="s">
        <v>1851</v>
      </c>
      <c r="K1106" s="47" t="str">
        <f t="shared" ca="1" si="388"/>
        <v>CONTRATADO</v>
      </c>
      <c r="L1106" s="47" t="s">
        <v>42</v>
      </c>
      <c r="M1106" s="47" t="s">
        <v>42</v>
      </c>
      <c r="N1106" s="51" t="s">
        <v>341</v>
      </c>
      <c r="O1106" s="51" t="e">
        <f>VLOOKUP(N1106,[2]!RUBROS[#All],3,0)</f>
        <v>#REF!</v>
      </c>
      <c r="P1106" s="53" t="e">
        <f>VLOOKUP(N1106,[2]!RUBROS[#All],2,0)</f>
        <v>#REF!</v>
      </c>
      <c r="Q1106" s="47" t="str">
        <f t="shared" si="389"/>
        <v>51</v>
      </c>
      <c r="R1106" s="47" t="str">
        <f t="shared" si="390"/>
        <v>0-205128</v>
      </c>
      <c r="S1106" s="54" t="s">
        <v>42</v>
      </c>
      <c r="T1106" s="59" t="s">
        <v>42</v>
      </c>
      <c r="U1106" s="326" t="e">
        <f ca="1">_xlfn.XLOOKUP(PAA_4[[#This Row],[ITEM]],[2]Contrato!A:A,[2]Contrato!Q:Q,"",0)</f>
        <v>#NAME?</v>
      </c>
      <c r="V1106" s="47" t="s">
        <v>95</v>
      </c>
      <c r="W1106" s="47" t="s">
        <v>42</v>
      </c>
      <c r="X1106" s="47" t="s">
        <v>42</v>
      </c>
      <c r="Y1106" s="55" t="e">
        <f ca="1">_xlfn.XLOOKUP(PAA_4[[#This Row],[ITEM]],[2]Contrato!A:A,[2]Contrato!B:B,"",0)</f>
        <v>#NAME?</v>
      </c>
      <c r="Z1106" s="47" t="e">
        <f ca="1">_xlfn.XLOOKUP(PAA_4[[#This Row],[ITEM]],[2]Contrato!A:A,[2]Contrato!G:G,"",0)</f>
        <v>#NAME?</v>
      </c>
      <c r="AA1106" s="47" t="e">
        <f ca="1">_xlfn.XLOOKUP(PAA_4[[#This Row],[ITEM]],[2]Contrato!A:A,[2]Contrato!T:T,"",0)</f>
        <v>#NAME?</v>
      </c>
      <c r="AB1106" s="55" t="e">
        <f ca="1">+MAX(PAA_4[[#This Row],[Comprometido Contrato]],PAA_4[[#This Row],[Comprometido Bolsa]])</f>
        <v>#NAME?</v>
      </c>
      <c r="AC1106" s="55" t="str">
        <f t="shared" ca="1" si="391"/>
        <v/>
      </c>
      <c r="AD1106" s="55" t="e">
        <f ca="1">IF(PAA_4[[#This Row],[ESTADO (formulado)]]="NO CONTRATADO",0,MAX(PAA_4[[#This Row],[Pago por Contrato]],PAA_4[[#This Row],[Pago por bolsa]]))</f>
        <v>#NAME?</v>
      </c>
      <c r="AE1106" s="55" t="str">
        <f t="shared" ca="1" si="392"/>
        <v/>
      </c>
      <c r="AF1106" s="47" t="e">
        <f t="shared" ca="1" si="393"/>
        <v>#NAME?</v>
      </c>
      <c r="AG1106" s="47">
        <f t="shared" si="394"/>
        <v>44021011</v>
      </c>
      <c r="AH1106" s="54">
        <f>IF(Q1106="22",IF(ISNUMBER(SEARCH("econ",PAA_4[[#This Row],[Actividad3]])),"Económico",IF(ISNUMBER(SEARCH("alim",PAA_4[[#This Row],[Actividad3]])),"Alimentación",IF(ISNUMBER(SEARCH("educ",PAA_4[[#This Row],[Actividad3]])),"Educativo","Técnico"))),0)</f>
        <v>0</v>
      </c>
      <c r="AI1106" s="47" t="e" cm="1">
        <f t="array" aca="1" ref="AI1106" ca="1">_xlfn.XLOOKUP(PAA_4[[#This Row],[RCP-RUBRO]],[2]!COMPROMISOS_2024[[#All],[concatenado]],[2]!COMPROMISOS_2024[[#All],[Total pagado]],"",0)</f>
        <v>#NAME?</v>
      </c>
      <c r="AJ1106" s="56">
        <f>IF(PAA_4[[#This Row],[BOLSA]]=0,0,SUMIFS([2]!COMPROMISOS_2024[[#All],[Total pagado]],[2]!COMPROMISOS_2024[[#All],[Bolsa]],PAA_4[[#This Row],[BOLSA]],[2]!COMPROMISOS_2024[[#All],[rubro]],PAA_4[[#This Row],[RCP-RUBRO]]))</f>
        <v>0</v>
      </c>
      <c r="AK1106" s="47" t="e" cm="1">
        <f t="array" aca="1" ref="AK1106" ca="1">_xlfn.XLOOKUP(PAA_4[[#This Row],[RCP-RUBRO]],[2]!COMPROMISOS_2024[[#All],[concatenado]],[2]!COMPROMISOS_2024[[#All],[Total Comprometido]],"",0)</f>
        <v>#NAME?</v>
      </c>
      <c r="AL1106" s="47">
        <f>IF(PAA_4[[#This Row],[BOLSA]]=0,0,SUMIFS([2]!COMPROMISOS_2024[[#All],[Total Comprometido]],[2]!COMPROMISOS_2024[[#All],[Bolsa]],PAA_4[[#This Row],[BOLSA]],[2]!COMPROMISOS_2024[[#All],[concatenado]],PAA_4[[#This Row],[RCP-RUBRO]]))</f>
        <v>0</v>
      </c>
    </row>
    <row r="1107" spans="1:38" s="19" customFormat="1" ht="31.5" customHeight="1">
      <c r="A1107" s="47" t="s">
        <v>82</v>
      </c>
      <c r="B1107" s="47" t="s">
        <v>42</v>
      </c>
      <c r="C1107" s="47" t="str">
        <f>VLOOKUP(PAA_4[[#This Row],[PROYECTO (formulado)2]],[2]PROYECTOS!$G$1:$L$32,6,0)</f>
        <v>SUBGERENCIA DE FOMENTO Y DESARROLLO</v>
      </c>
      <c r="D1107" s="47" t="str">
        <f>+IF(PAA_4[[#This Row],[UNIDAD DE CONTRATACION (formulado)]]="Subgerencia Administrativa y Financiera","FUNCIONAMIENTO","INVERSIÓN")</f>
        <v>INVERSIÓN</v>
      </c>
      <c r="E1107" s="48" t="str">
        <f>VLOOKUP(Q1107,[2]PROYECTOS!$G$1:$K$32,5,0)</f>
        <v>CAPACITACION_PARA_EL_SECTOR_DEL_DEPORTE_LA_ACTIVIDAD_FISICA_LA_RECREACION_Y_LA_EDUCACION_FISICA_DE_ANTI</v>
      </c>
      <c r="F1107" s="48">
        <f>VLOOKUP(E1107,[2]PROYECTOS!$K$1:$M$32,3,0)</f>
        <v>2020003050024</v>
      </c>
      <c r="G1107" s="49" t="s">
        <v>337</v>
      </c>
      <c r="H1107" s="49" t="str">
        <f>VLOOKUP(Q1107,[2]PROYECTOS!$V$1:$W$32,2,0)</f>
        <v>050063</v>
      </c>
      <c r="I1107" s="50">
        <v>79893</v>
      </c>
      <c r="J1107" s="51" t="s">
        <v>1851</v>
      </c>
      <c r="K1107" s="47" t="str">
        <f t="shared" ca="1" si="388"/>
        <v>CONTRATADO</v>
      </c>
      <c r="L1107" s="47" t="s">
        <v>42</v>
      </c>
      <c r="M1107" s="47" t="s">
        <v>42</v>
      </c>
      <c r="N1107" s="51" t="s">
        <v>339</v>
      </c>
      <c r="O1107" s="51" t="e">
        <f>VLOOKUP(N1107,[2]!RUBROS[#All],3,0)</f>
        <v>#REF!</v>
      </c>
      <c r="P1107" s="53" t="e">
        <f>VLOOKUP(N1107,[2]!RUBROS[#All],2,0)</f>
        <v>#REF!</v>
      </c>
      <c r="Q1107" s="47" t="str">
        <f t="shared" si="389"/>
        <v>48</v>
      </c>
      <c r="R1107" s="47" t="str">
        <f t="shared" si="390"/>
        <v>0-205128</v>
      </c>
      <c r="S1107" s="54" t="s">
        <v>42</v>
      </c>
      <c r="T1107" s="59" t="s">
        <v>42</v>
      </c>
      <c r="U1107" s="326" t="e">
        <f ca="1">_xlfn.XLOOKUP(PAA_4[[#This Row],[ITEM]],[2]Contrato!A:A,[2]Contrato!Q:Q,"",0)</f>
        <v>#NAME?</v>
      </c>
      <c r="V1107" s="47" t="s">
        <v>95</v>
      </c>
      <c r="W1107" s="47" t="s">
        <v>42</v>
      </c>
      <c r="X1107" s="47" t="s">
        <v>42</v>
      </c>
      <c r="Y1107" s="55" t="e">
        <f ca="1">_xlfn.XLOOKUP(PAA_4[[#This Row],[ITEM]],[2]Contrato!A:A,[2]Contrato!B:B,"",0)</f>
        <v>#NAME?</v>
      </c>
      <c r="Z1107" s="47" t="e">
        <f ca="1">_xlfn.XLOOKUP(PAA_4[[#This Row],[ITEM]],[2]Contrato!A:A,[2]Contrato!G:G,"",0)</f>
        <v>#NAME?</v>
      </c>
      <c r="AA1107" s="47" t="e">
        <f ca="1">_xlfn.XLOOKUP(PAA_4[[#This Row],[ITEM]],[2]Contrato!A:A,[2]Contrato!T:T,"",0)</f>
        <v>#NAME?</v>
      </c>
      <c r="AB1107" s="55" t="e">
        <f ca="1">+MAX(PAA_4[[#This Row],[Comprometido Contrato]],PAA_4[[#This Row],[Comprometido Bolsa]])</f>
        <v>#NAME?</v>
      </c>
      <c r="AC1107" s="55" t="str">
        <f t="shared" ca="1" si="391"/>
        <v/>
      </c>
      <c r="AD1107" s="55" t="e">
        <f ca="1">IF(PAA_4[[#This Row],[ESTADO (formulado)]]="NO CONTRATADO",0,MAX(PAA_4[[#This Row],[Pago por Contrato]],PAA_4[[#This Row],[Pago por bolsa]]))</f>
        <v>#NAME?</v>
      </c>
      <c r="AE1107" s="55" t="str">
        <f t="shared" ca="1" si="392"/>
        <v/>
      </c>
      <c r="AF1107" s="47" t="e">
        <f t="shared" ca="1" si="393"/>
        <v>#NAME?</v>
      </c>
      <c r="AG1107" s="47">
        <f t="shared" si="394"/>
        <v>41080201</v>
      </c>
      <c r="AH1107" s="54">
        <f>IF(Q1107="22",IF(ISNUMBER(SEARCH("econ",PAA_4[[#This Row],[Actividad3]])),"Económico",IF(ISNUMBER(SEARCH("alim",PAA_4[[#This Row],[Actividad3]])),"Alimentación",IF(ISNUMBER(SEARCH("educ",PAA_4[[#This Row],[Actividad3]])),"Educativo","Técnico"))),0)</f>
        <v>0</v>
      </c>
      <c r="AI1107" s="47" t="e" cm="1">
        <f t="array" aca="1" ref="AI1107" ca="1">_xlfn.XLOOKUP(PAA_4[[#This Row],[RCP-RUBRO]],[2]!COMPROMISOS_2024[[#All],[concatenado]],[2]!COMPROMISOS_2024[[#All],[Total pagado]],"",0)</f>
        <v>#NAME?</v>
      </c>
      <c r="AJ1107" s="56">
        <f>IF(PAA_4[[#This Row],[BOLSA]]=0,0,SUMIFS([2]!COMPROMISOS_2024[[#All],[Total pagado]],[2]!COMPROMISOS_2024[[#All],[Bolsa]],PAA_4[[#This Row],[BOLSA]],[2]!COMPROMISOS_2024[[#All],[rubro]],PAA_4[[#This Row],[RCP-RUBRO]]))</f>
        <v>0</v>
      </c>
      <c r="AK1107" s="47" t="e" cm="1">
        <f t="array" aca="1" ref="AK1107" ca="1">_xlfn.XLOOKUP(PAA_4[[#This Row],[RCP-RUBRO]],[2]!COMPROMISOS_2024[[#All],[concatenado]],[2]!COMPROMISOS_2024[[#All],[Total Comprometido]],"",0)</f>
        <v>#NAME?</v>
      </c>
      <c r="AL1107" s="47">
        <f>IF(PAA_4[[#This Row],[BOLSA]]=0,0,SUMIFS([2]!COMPROMISOS_2024[[#All],[Total Comprometido]],[2]!COMPROMISOS_2024[[#All],[Bolsa]],PAA_4[[#This Row],[BOLSA]],[2]!COMPROMISOS_2024[[#All],[concatenado]],PAA_4[[#This Row],[RCP-RUBRO]]))</f>
        <v>0</v>
      </c>
    </row>
    <row r="1108" spans="1:38" s="19" customFormat="1" ht="31.5" customHeight="1">
      <c r="A1108" s="47">
        <v>665</v>
      </c>
      <c r="B1108" s="47">
        <v>80111600</v>
      </c>
      <c r="C1108" s="47" t="str">
        <f>VLOOKUP(PAA_4[[#This Row],[PROYECTO (formulado)2]],[2]PROYECTOS!$G$1:$L$32,6,0)</f>
        <v>SUBGERENCIA DE FOMENTO Y DESARROLLO</v>
      </c>
      <c r="D1108" s="47" t="str">
        <f>+IF(PAA_4[[#This Row],[UNIDAD DE CONTRATACION (formulado)]]="Subgerencia Administrativa y Financiera","FUNCIONAMIENTO","INVERSIÓN")</f>
        <v>INVERSIÓN</v>
      </c>
      <c r="E1108" s="48" t="str">
        <f>VLOOKUP(Q1108,[2]PROYECTOS!$G$1:$K$32,5,0)</f>
        <v>FORTALECIMIENTO_DEL_PROGRAMA_POR_SU_SALUD_MUÉVASE_PUES_EN_LOS_MUNICIPIO_DEL_DEPARTAMENTO_DE_ANTIOQUIA</v>
      </c>
      <c r="F1108" s="48">
        <f>VLOOKUP(E1108,[2]PROYECTOS!$K$1:$M$32,3,0)</f>
        <v>2020003050030</v>
      </c>
      <c r="G1108" s="49" t="s">
        <v>326</v>
      </c>
      <c r="H1108" s="49" t="str">
        <f>VLOOKUP(Q1108,[2]PROYECTOS!$V$1:$W$32,2,0)</f>
        <v>050055</v>
      </c>
      <c r="I1108" s="50">
        <f>6079610-123070</f>
        <v>5956540</v>
      </c>
      <c r="J1108" s="70" t="s">
        <v>347</v>
      </c>
      <c r="K1108" s="47" t="str">
        <f t="shared" ca="1" si="388"/>
        <v>CONTRATADO</v>
      </c>
      <c r="L1108" s="47" t="s">
        <v>94</v>
      </c>
      <c r="M1108" s="47" t="s">
        <v>1297</v>
      </c>
      <c r="N1108" s="51" t="s">
        <v>329</v>
      </c>
      <c r="O1108" s="51" t="e">
        <f>VLOOKUP(N1108,[2]!RUBROS[#All],3,0)</f>
        <v>#REF!</v>
      </c>
      <c r="P1108" s="53" t="e">
        <f>VLOOKUP(N1108,[2]!RUBROS[#All],2,0)</f>
        <v>#REF!</v>
      </c>
      <c r="Q1108" s="47" t="str">
        <f t="shared" si="389"/>
        <v>45</v>
      </c>
      <c r="R1108" s="47" t="str">
        <f t="shared" si="390"/>
        <v>0-205128</v>
      </c>
      <c r="S1108" s="54">
        <v>8</v>
      </c>
      <c r="T1108" s="59" t="s">
        <v>46</v>
      </c>
      <c r="U1108" s="326" t="e">
        <f ca="1">_xlfn.XLOOKUP(PAA_4[[#This Row],[ITEM]],[2]Contrato!A:A,[2]Contrato!Q:Q,"",0)</f>
        <v>#NAME?</v>
      </c>
      <c r="V1108" s="47" t="s">
        <v>95</v>
      </c>
      <c r="W1108" s="47" t="s">
        <v>122</v>
      </c>
      <c r="X1108" s="47" t="s">
        <v>122</v>
      </c>
      <c r="Y1108" s="55" t="e">
        <f ca="1">_xlfn.XLOOKUP(PAA_4[[#This Row],[ITEM]],[2]Contrato!A:A,[2]Contrato!B:B,"",0)</f>
        <v>#NAME?</v>
      </c>
      <c r="Z1108" s="47" t="e">
        <f ca="1">_xlfn.XLOOKUP(PAA_4[[#This Row],[ITEM]],[2]Contrato!A:A,[2]Contrato!G:G,"",0)</f>
        <v>#NAME?</v>
      </c>
      <c r="AA1108" s="47" t="e">
        <f ca="1">_xlfn.XLOOKUP(PAA_4[[#This Row],[ITEM]],[2]Contrato!A:A,[2]Contrato!T:T,"",0)</f>
        <v>#NAME?</v>
      </c>
      <c r="AB1108" s="55" t="e">
        <f ca="1">+MAX(PAA_4[[#This Row],[Comprometido Contrato]],PAA_4[[#This Row],[Comprometido Bolsa]])</f>
        <v>#NAME?</v>
      </c>
      <c r="AC1108" s="55" t="str">
        <f t="shared" ca="1" si="391"/>
        <v/>
      </c>
      <c r="AD1108" s="55" t="e">
        <f ca="1">IF(PAA_4[[#This Row],[ESTADO (formulado)]]="NO CONTRATADO",0,MAX(PAA_4[[#This Row],[Pago por Contrato]],PAA_4[[#This Row],[Pago por bolsa]]))</f>
        <v>#NAME?</v>
      </c>
      <c r="AE1108" s="55" t="str">
        <f t="shared" ca="1" si="392"/>
        <v/>
      </c>
      <c r="AF1108" s="47" t="e">
        <f t="shared" ca="1" si="393"/>
        <v>#NAME?</v>
      </c>
      <c r="AG1108" s="47">
        <f t="shared" si="394"/>
        <v>44021001</v>
      </c>
      <c r="AH1108" s="54">
        <f>IF(Q1108="22",IF(ISNUMBER(SEARCH("econ",PAA_4[[#This Row],[Actividad3]])),"Económico",IF(ISNUMBER(SEARCH("alim",PAA_4[[#This Row],[Actividad3]])),"Alimentación",IF(ISNUMBER(SEARCH("educ",PAA_4[[#This Row],[Actividad3]])),"Educativo","Técnico"))),0)</f>
        <v>0</v>
      </c>
      <c r="AI1108" s="47" t="e" cm="1">
        <f t="array" aca="1" ref="AI1108" ca="1">_xlfn.XLOOKUP(PAA_4[[#This Row],[RCP-RUBRO]],[2]!COMPROMISOS_2024[[#All],[concatenado]],[2]!COMPROMISOS_2024[[#All],[Total pagado]],"",0)</f>
        <v>#NAME?</v>
      </c>
      <c r="AJ1108" s="56">
        <f>IF(PAA_4[[#This Row],[BOLSA]]=0,0,SUMIFS([2]!COMPROMISOS_2024[[#All],[Total pagado]],[2]!COMPROMISOS_2024[[#All],[Bolsa]],PAA_4[[#This Row],[BOLSA]],[2]!COMPROMISOS_2024[[#All],[rubro]],PAA_4[[#This Row],[RCP-RUBRO]]))</f>
        <v>0</v>
      </c>
      <c r="AK1108" s="47" t="e" cm="1">
        <f t="array" aca="1" ref="AK1108" ca="1">_xlfn.XLOOKUP(PAA_4[[#This Row],[RCP-RUBRO]],[2]!COMPROMISOS_2024[[#All],[concatenado]],[2]!COMPROMISOS_2024[[#All],[Total Comprometido]],"",0)</f>
        <v>#NAME?</v>
      </c>
      <c r="AL1108" s="47">
        <f>IF(PAA_4[[#This Row],[BOLSA]]=0,0,SUMIFS([2]!COMPROMISOS_2024[[#All],[Total Comprometido]],[2]!COMPROMISOS_2024[[#All],[Bolsa]],PAA_4[[#This Row],[BOLSA]],[2]!COMPROMISOS_2024[[#All],[concatenado]],PAA_4[[#This Row],[RCP-RUBRO]]))</f>
        <v>0</v>
      </c>
    </row>
    <row r="1109" spans="1:38" s="19" customFormat="1" ht="31.5" customHeight="1">
      <c r="A1109" s="47">
        <v>665</v>
      </c>
      <c r="B1109" s="47">
        <v>80111600</v>
      </c>
      <c r="C1109" s="47" t="str">
        <f>VLOOKUP(PAA_4[[#This Row],[PROYECTO (formulado)2]],[2]PROYECTOS!$G$1:$L$32,6,0)</f>
        <v>SUBGERENCIA DE FOMENTO Y DESARROLLO</v>
      </c>
      <c r="D1109" s="47" t="str">
        <f>+IF(PAA_4[[#This Row],[UNIDAD DE CONTRATACION (formulado)]]="Subgerencia Administrativa y Financiera","FUNCIONAMIENTO","INVERSIÓN")</f>
        <v>INVERSIÓN</v>
      </c>
      <c r="E1109" s="48" t="str">
        <f>VLOOKUP(Q1109,[2]PROYECTOS!$G$1:$K$32,5,0)</f>
        <v>FORTALECIMIENTO_DE_LAS_ESCUELAS_DEPORTIVAS_EN_LOS_MUNICIPIOS_DEL_DEPARTAMENTO_DE_ANTIOQUIA</v>
      </c>
      <c r="F1109" s="48">
        <f>VLOOKUP(E1109,[2]PROYECTOS!$K$1:$M$32,3,0)</f>
        <v>2020003050032</v>
      </c>
      <c r="G1109" s="49" t="s">
        <v>333</v>
      </c>
      <c r="H1109" s="49" t="str">
        <f>VLOOKUP(Q1109,[2]PROYECTOS!$V$1:$W$32,2,0)</f>
        <v>050059</v>
      </c>
      <c r="I1109" s="50">
        <f>6102062-123525</f>
        <v>5978537</v>
      </c>
      <c r="J1109" s="70" t="s">
        <v>347</v>
      </c>
      <c r="K1109" s="47" t="str">
        <f t="shared" ca="1" si="388"/>
        <v>CONTRATADO</v>
      </c>
      <c r="L1109" s="47" t="s">
        <v>94</v>
      </c>
      <c r="M1109" s="47" t="s">
        <v>1297</v>
      </c>
      <c r="N1109" s="51" t="s">
        <v>334</v>
      </c>
      <c r="O1109" s="51" t="e">
        <f>VLOOKUP(N1109,[2]!RUBROS[#All],3,0)</f>
        <v>#REF!</v>
      </c>
      <c r="P1109" s="53" t="e">
        <f>VLOOKUP(N1109,[2]!RUBROS[#All],2,0)</f>
        <v>#REF!</v>
      </c>
      <c r="Q1109" s="47" t="str">
        <f t="shared" si="389"/>
        <v>46</v>
      </c>
      <c r="R1109" s="47" t="str">
        <f t="shared" si="390"/>
        <v>0-205128</v>
      </c>
      <c r="S1109" s="54">
        <v>8</v>
      </c>
      <c r="T1109" s="59" t="s">
        <v>46</v>
      </c>
      <c r="U1109" s="326" t="e">
        <f ca="1">_xlfn.XLOOKUP(PAA_4[[#This Row],[ITEM]],[2]Contrato!A:A,[2]Contrato!Q:Q,"",0)</f>
        <v>#NAME?</v>
      </c>
      <c r="V1109" s="47" t="s">
        <v>95</v>
      </c>
      <c r="W1109" s="47" t="s">
        <v>122</v>
      </c>
      <c r="X1109" s="47" t="s">
        <v>122</v>
      </c>
      <c r="Y1109" s="55" t="e">
        <f ca="1">_xlfn.XLOOKUP(PAA_4[[#This Row],[ITEM]],[2]Contrato!A:A,[2]Contrato!B:B,"",0)</f>
        <v>#NAME?</v>
      </c>
      <c r="Z1109" s="47" t="e">
        <f ca="1">_xlfn.XLOOKUP(PAA_4[[#This Row],[ITEM]],[2]Contrato!A:A,[2]Contrato!G:G,"",0)</f>
        <v>#NAME?</v>
      </c>
      <c r="AA1109" s="47" t="e">
        <f ca="1">_xlfn.XLOOKUP(PAA_4[[#This Row],[ITEM]],[2]Contrato!A:A,[2]Contrato!T:T,"",0)</f>
        <v>#NAME?</v>
      </c>
      <c r="AB1109" s="55" t="e">
        <f ca="1">+MAX(PAA_4[[#This Row],[Comprometido Contrato]],PAA_4[[#This Row],[Comprometido Bolsa]])</f>
        <v>#NAME?</v>
      </c>
      <c r="AC1109" s="55" t="str">
        <f t="shared" ca="1" si="391"/>
        <v/>
      </c>
      <c r="AD1109" s="55" t="e">
        <f ca="1">IF(PAA_4[[#This Row],[ESTADO (formulado)]]="NO CONTRATADO",0,MAX(PAA_4[[#This Row],[Pago por Contrato]],PAA_4[[#This Row],[Pago por bolsa]]))</f>
        <v>#NAME?</v>
      </c>
      <c r="AE1109" s="55" t="str">
        <f t="shared" ca="1" si="392"/>
        <v/>
      </c>
      <c r="AF1109" s="47" t="e">
        <f t="shared" ca="1" si="393"/>
        <v>#NAME?</v>
      </c>
      <c r="AG1109" s="47">
        <f t="shared" si="394"/>
        <v>44021007</v>
      </c>
      <c r="AH1109" s="54">
        <f>IF(Q1109="22",IF(ISNUMBER(SEARCH("econ",PAA_4[[#This Row],[Actividad3]])),"Económico",IF(ISNUMBER(SEARCH("alim",PAA_4[[#This Row],[Actividad3]])),"Alimentación",IF(ISNUMBER(SEARCH("educ",PAA_4[[#This Row],[Actividad3]])),"Educativo","Técnico"))),0)</f>
        <v>0</v>
      </c>
      <c r="AI1109" s="47" t="e" cm="1">
        <f t="array" aca="1" ref="AI1109" ca="1">_xlfn.XLOOKUP(PAA_4[[#This Row],[RCP-RUBRO]],[2]!COMPROMISOS_2024[[#All],[concatenado]],[2]!COMPROMISOS_2024[[#All],[Total pagado]],"",0)</f>
        <v>#NAME?</v>
      </c>
      <c r="AJ1109" s="56">
        <f>IF(PAA_4[[#This Row],[BOLSA]]=0,0,SUMIFS([2]!COMPROMISOS_2024[[#All],[Total pagado]],[2]!COMPROMISOS_2024[[#All],[Bolsa]],PAA_4[[#This Row],[BOLSA]],[2]!COMPROMISOS_2024[[#All],[rubro]],PAA_4[[#This Row],[RCP-RUBRO]]))</f>
        <v>0</v>
      </c>
      <c r="AK1109" s="47" t="e" cm="1">
        <f t="array" aca="1" ref="AK1109" ca="1">_xlfn.XLOOKUP(PAA_4[[#This Row],[RCP-RUBRO]],[2]!COMPROMISOS_2024[[#All],[concatenado]],[2]!COMPROMISOS_2024[[#All],[Total Comprometido]],"",0)</f>
        <v>#NAME?</v>
      </c>
      <c r="AL1109" s="47">
        <f>IF(PAA_4[[#This Row],[BOLSA]]=0,0,SUMIFS([2]!COMPROMISOS_2024[[#All],[Total Comprometido]],[2]!COMPROMISOS_2024[[#All],[Bolsa]],PAA_4[[#This Row],[BOLSA]],[2]!COMPROMISOS_2024[[#All],[concatenado]],PAA_4[[#This Row],[RCP-RUBRO]]))</f>
        <v>0</v>
      </c>
    </row>
    <row r="1110" spans="1:38" s="19" customFormat="1" ht="31.5" customHeight="1">
      <c r="A1110" s="47">
        <v>665</v>
      </c>
      <c r="B1110" s="47">
        <v>80111600</v>
      </c>
      <c r="C1110" s="47" t="str">
        <f>VLOOKUP(PAA_4[[#This Row],[PROYECTO (formulado)2]],[2]PROYECTOS!$G$1:$L$32,6,0)</f>
        <v>SUBGERENCIA DE FOMENTO Y DESARROLLO</v>
      </c>
      <c r="D1110" s="47" t="str">
        <f>+IF(PAA_4[[#This Row],[UNIDAD DE CONTRATACION (formulado)]]="Subgerencia Administrativa y Financiera","FUNCIONAMIENTO","INVERSIÓN")</f>
        <v>INVERSIÓN</v>
      </c>
      <c r="E1110" s="48" t="str">
        <f>VLOOKUP(Q1110,[2]PROYECTOS!$G$1:$K$32,5,0)</f>
        <v>FORTALECIMIENTO_DE_LOS_PROGRAMAS_RECREATIVOS_EN_LOS_MUNICIPIOS_DEL_DEPARTAMENTO_DE_ANTIOQUIA</v>
      </c>
      <c r="F1110" s="48">
        <f>VLOOKUP(E1110,[2]PROYECTOS!$K$1:$M$32,3,0)</f>
        <v>2020003050031</v>
      </c>
      <c r="G1110" s="49" t="s">
        <v>335</v>
      </c>
      <c r="H1110" s="49" t="str">
        <f>VLOOKUP(Q1110,[2]PROYECTOS!$V$1:$W$32,2,0)</f>
        <v>050064</v>
      </c>
      <c r="I1110" s="50">
        <f>6106663-123616</f>
        <v>5983047</v>
      </c>
      <c r="J1110" s="70" t="s">
        <v>347</v>
      </c>
      <c r="K1110" s="47" t="str">
        <f t="shared" ca="1" si="388"/>
        <v>CONTRATADO</v>
      </c>
      <c r="L1110" s="47" t="s">
        <v>94</v>
      </c>
      <c r="M1110" s="47" t="s">
        <v>1297</v>
      </c>
      <c r="N1110" s="51" t="s">
        <v>336</v>
      </c>
      <c r="O1110" s="51" t="e">
        <f>VLOOKUP(N1110,[2]!RUBROS[#All],3,0)</f>
        <v>#REF!</v>
      </c>
      <c r="P1110" s="53" t="e">
        <f>VLOOKUP(N1110,[2]!RUBROS[#All],2,0)</f>
        <v>#REF!</v>
      </c>
      <c r="Q1110" s="47" t="str">
        <f t="shared" si="389"/>
        <v>47</v>
      </c>
      <c r="R1110" s="47" t="str">
        <f t="shared" si="390"/>
        <v>0-205128</v>
      </c>
      <c r="S1110" s="54">
        <v>8</v>
      </c>
      <c r="T1110" s="59" t="s">
        <v>46</v>
      </c>
      <c r="U1110" s="326" t="e">
        <f ca="1">_xlfn.XLOOKUP(PAA_4[[#This Row],[ITEM]],[2]Contrato!A:A,[2]Contrato!Q:Q,"",0)</f>
        <v>#NAME?</v>
      </c>
      <c r="V1110" s="47" t="s">
        <v>95</v>
      </c>
      <c r="W1110" s="47" t="s">
        <v>122</v>
      </c>
      <c r="X1110" s="47" t="s">
        <v>122</v>
      </c>
      <c r="Y1110" s="55" t="e">
        <f ca="1">_xlfn.XLOOKUP(PAA_4[[#This Row],[ITEM]],[2]Contrato!A:A,[2]Contrato!B:B,"",0)</f>
        <v>#NAME?</v>
      </c>
      <c r="Z1110" s="47" t="e">
        <f ca="1">_xlfn.XLOOKUP(PAA_4[[#This Row],[ITEM]],[2]Contrato!A:A,[2]Contrato!G:G,"",0)</f>
        <v>#NAME?</v>
      </c>
      <c r="AA1110" s="47" t="e">
        <f ca="1">_xlfn.XLOOKUP(PAA_4[[#This Row],[ITEM]],[2]Contrato!A:A,[2]Contrato!T:T,"",0)</f>
        <v>#NAME?</v>
      </c>
      <c r="AB1110" s="55" t="e">
        <f ca="1">+MAX(PAA_4[[#This Row],[Comprometido Contrato]],PAA_4[[#This Row],[Comprometido Bolsa]])</f>
        <v>#NAME?</v>
      </c>
      <c r="AC1110" s="55" t="str">
        <f t="shared" ca="1" si="391"/>
        <v/>
      </c>
      <c r="AD1110" s="55" t="e">
        <f ca="1">IF(PAA_4[[#This Row],[ESTADO (formulado)]]="NO CONTRATADO",0,MAX(PAA_4[[#This Row],[Pago por Contrato]],PAA_4[[#This Row],[Pago por bolsa]]))</f>
        <v>#NAME?</v>
      </c>
      <c r="AE1110" s="55" t="str">
        <f t="shared" ca="1" si="392"/>
        <v/>
      </c>
      <c r="AF1110" s="47" t="e">
        <f t="shared" ca="1" si="393"/>
        <v>#NAME?</v>
      </c>
      <c r="AG1110" s="47">
        <f t="shared" si="394"/>
        <v>44021004</v>
      </c>
      <c r="AH1110" s="54">
        <f>IF(Q1110="22",IF(ISNUMBER(SEARCH("econ",PAA_4[[#This Row],[Actividad3]])),"Económico",IF(ISNUMBER(SEARCH("alim",PAA_4[[#This Row],[Actividad3]])),"Alimentación",IF(ISNUMBER(SEARCH("educ",PAA_4[[#This Row],[Actividad3]])),"Educativo","Técnico"))),0)</f>
        <v>0</v>
      </c>
      <c r="AI1110" s="47" t="e" cm="1">
        <f t="array" aca="1" ref="AI1110" ca="1">_xlfn.XLOOKUP(PAA_4[[#This Row],[RCP-RUBRO]],[2]!COMPROMISOS_2024[[#All],[concatenado]],[2]!COMPROMISOS_2024[[#All],[Total pagado]],"",0)</f>
        <v>#NAME?</v>
      </c>
      <c r="AJ1110" s="56">
        <f>IF(PAA_4[[#This Row],[BOLSA]]=0,0,SUMIFS([2]!COMPROMISOS_2024[[#All],[Total pagado]],[2]!COMPROMISOS_2024[[#All],[Bolsa]],PAA_4[[#This Row],[BOLSA]],[2]!COMPROMISOS_2024[[#All],[rubro]],PAA_4[[#This Row],[RCP-RUBRO]]))</f>
        <v>0</v>
      </c>
      <c r="AK1110" s="47" t="e" cm="1">
        <f t="array" aca="1" ref="AK1110" ca="1">_xlfn.XLOOKUP(PAA_4[[#This Row],[RCP-RUBRO]],[2]!COMPROMISOS_2024[[#All],[concatenado]],[2]!COMPROMISOS_2024[[#All],[Total Comprometido]],"",0)</f>
        <v>#NAME?</v>
      </c>
      <c r="AL1110" s="47">
        <f>IF(PAA_4[[#This Row],[BOLSA]]=0,0,SUMIFS([2]!COMPROMISOS_2024[[#All],[Total Comprometido]],[2]!COMPROMISOS_2024[[#All],[Bolsa]],PAA_4[[#This Row],[BOLSA]],[2]!COMPROMISOS_2024[[#All],[concatenado]],PAA_4[[#This Row],[RCP-RUBRO]]))</f>
        <v>0</v>
      </c>
    </row>
    <row r="1111" spans="1:38" s="19" customFormat="1" ht="31.5" customHeight="1">
      <c r="A1111" s="47">
        <v>665</v>
      </c>
      <c r="B1111" s="47">
        <v>80111600</v>
      </c>
      <c r="C1111" s="47" t="str">
        <f>VLOOKUP(PAA_4[[#This Row],[PROYECTO (formulado)2]],[2]PROYECTOS!$G$1:$L$32,6,0)</f>
        <v>SUBGERENCIA DE FOMENTO Y DESARROLLO</v>
      </c>
      <c r="D1111" s="47" t="str">
        <f>+IF(PAA_4[[#This Row],[UNIDAD DE CONTRATACION (formulado)]]="Subgerencia Administrativa y Financiera","FUNCIONAMIENTO","INVERSIÓN")</f>
        <v>INVERSIÓN</v>
      </c>
      <c r="E1111" s="48" t="str">
        <f>VLOOKUP(Q1111,[2]PROYECTOS!$G$1:$K$32,5,0)</f>
        <v>FORTALECIMIENTO_DE_LOS_JUEGOS_DEL_SECTOR_SOCIAL_COMUNITARIO_EN_LOS_MUNICIPIOS_DEL_DEPARTAMENTO_DE_ANTIOQU</v>
      </c>
      <c r="F1111" s="48">
        <f>VLOOKUP(E1111,[2]PROYECTOS!$K$1:$M$32,3,0)</f>
        <v>2020003050033</v>
      </c>
      <c r="G1111" s="49" t="s">
        <v>342</v>
      </c>
      <c r="H1111" s="49" t="str">
        <f>VLOOKUP(Q1111,[2]PROYECTOS!$V$1:$W$32,2,0)</f>
        <v>050057</v>
      </c>
      <c r="I1111" s="50">
        <f>20413492-413232</f>
        <v>20000260</v>
      </c>
      <c r="J1111" s="70" t="s">
        <v>347</v>
      </c>
      <c r="K1111" s="47" t="str">
        <f t="shared" ca="1" si="388"/>
        <v>CONTRATADO</v>
      </c>
      <c r="L1111" s="47" t="s">
        <v>94</v>
      </c>
      <c r="M1111" s="47" t="s">
        <v>1297</v>
      </c>
      <c r="N1111" s="51" t="s">
        <v>343</v>
      </c>
      <c r="O1111" s="51" t="e">
        <f>VLOOKUP(N1111,[2]!RUBROS[#All],3,0)</f>
        <v>#REF!</v>
      </c>
      <c r="P1111" s="53" t="e">
        <f>VLOOKUP(N1111,[2]!RUBROS[#All],2,0)</f>
        <v>#REF!</v>
      </c>
      <c r="Q1111" s="47" t="str">
        <f t="shared" si="389"/>
        <v>50</v>
      </c>
      <c r="R1111" s="47" t="str">
        <f t="shared" si="390"/>
        <v>0-205128</v>
      </c>
      <c r="S1111" s="54">
        <v>8</v>
      </c>
      <c r="T1111" s="59" t="s">
        <v>46</v>
      </c>
      <c r="U1111" s="326" t="e">
        <f ca="1">_xlfn.XLOOKUP(PAA_4[[#This Row],[ITEM]],[2]Contrato!A:A,[2]Contrato!Q:Q,"",0)</f>
        <v>#NAME?</v>
      </c>
      <c r="V1111" s="47" t="s">
        <v>95</v>
      </c>
      <c r="W1111" s="47" t="s">
        <v>122</v>
      </c>
      <c r="X1111" s="47" t="s">
        <v>122</v>
      </c>
      <c r="Y1111" s="55" t="e">
        <f ca="1">_xlfn.XLOOKUP(PAA_4[[#This Row],[ITEM]],[2]Contrato!A:A,[2]Contrato!B:B,"",0)</f>
        <v>#NAME?</v>
      </c>
      <c r="Z1111" s="47" t="e">
        <f ca="1">_xlfn.XLOOKUP(PAA_4[[#This Row],[ITEM]],[2]Contrato!A:A,[2]Contrato!G:G,"",0)</f>
        <v>#NAME?</v>
      </c>
      <c r="AA1111" s="47" t="e">
        <f ca="1">_xlfn.XLOOKUP(PAA_4[[#This Row],[ITEM]],[2]Contrato!A:A,[2]Contrato!T:T,"",0)</f>
        <v>#NAME?</v>
      </c>
      <c r="AB1111" s="55" t="e">
        <f ca="1">+MAX(PAA_4[[#This Row],[Comprometido Contrato]],PAA_4[[#This Row],[Comprometido Bolsa]])</f>
        <v>#NAME?</v>
      </c>
      <c r="AC1111" s="55" t="str">
        <f t="shared" ca="1" si="391"/>
        <v/>
      </c>
      <c r="AD1111" s="55" t="e">
        <f ca="1">IF(PAA_4[[#This Row],[ESTADO (formulado)]]="NO CONTRATADO",0,MAX(PAA_4[[#This Row],[Pago por Contrato]],PAA_4[[#This Row],[Pago por bolsa]]))</f>
        <v>#NAME?</v>
      </c>
      <c r="AE1111" s="55" t="str">
        <f t="shared" ca="1" si="392"/>
        <v/>
      </c>
      <c r="AF1111" s="47" t="e">
        <f t="shared" ca="1" si="393"/>
        <v>#NAME?</v>
      </c>
      <c r="AG1111" s="47">
        <f t="shared" si="394"/>
        <v>44021010</v>
      </c>
      <c r="AH1111" s="54">
        <f>IF(Q1111="22",IF(ISNUMBER(SEARCH("econ",PAA_4[[#This Row],[Actividad3]])),"Económico",IF(ISNUMBER(SEARCH("alim",PAA_4[[#This Row],[Actividad3]])),"Alimentación",IF(ISNUMBER(SEARCH("educ",PAA_4[[#This Row],[Actividad3]])),"Educativo","Técnico"))),0)</f>
        <v>0</v>
      </c>
      <c r="AI1111" s="47" t="e" cm="1">
        <f t="array" aca="1" ref="AI1111" ca="1">_xlfn.XLOOKUP(PAA_4[[#This Row],[RCP-RUBRO]],[2]!COMPROMISOS_2024[[#All],[concatenado]],[2]!COMPROMISOS_2024[[#All],[Total pagado]],"",0)</f>
        <v>#NAME?</v>
      </c>
      <c r="AJ1111" s="56">
        <f>IF(PAA_4[[#This Row],[BOLSA]]=0,0,SUMIFS([2]!COMPROMISOS_2024[[#All],[Total pagado]],[2]!COMPROMISOS_2024[[#All],[Bolsa]],PAA_4[[#This Row],[BOLSA]],[2]!COMPROMISOS_2024[[#All],[rubro]],PAA_4[[#This Row],[RCP-RUBRO]]))</f>
        <v>0</v>
      </c>
      <c r="AK1111" s="47" t="e" cm="1">
        <f t="array" aca="1" ref="AK1111" ca="1">_xlfn.XLOOKUP(PAA_4[[#This Row],[RCP-RUBRO]],[2]!COMPROMISOS_2024[[#All],[concatenado]],[2]!COMPROMISOS_2024[[#All],[Total Comprometido]],"",0)</f>
        <v>#NAME?</v>
      </c>
      <c r="AL1111" s="47">
        <f>IF(PAA_4[[#This Row],[BOLSA]]=0,0,SUMIFS([2]!COMPROMISOS_2024[[#All],[Total Comprometido]],[2]!COMPROMISOS_2024[[#All],[Bolsa]],PAA_4[[#This Row],[BOLSA]],[2]!COMPROMISOS_2024[[#All],[concatenado]],PAA_4[[#This Row],[RCP-RUBRO]]))</f>
        <v>0</v>
      </c>
    </row>
    <row r="1112" spans="1:38" s="19" customFormat="1" ht="31.5" customHeight="1">
      <c r="A1112" s="47">
        <v>665</v>
      </c>
      <c r="B1112" s="47">
        <v>80111600</v>
      </c>
      <c r="C1112" s="47" t="str">
        <f>VLOOKUP(PAA_4[[#This Row],[PROYECTO (formulado)2]],[2]PROYECTOS!$G$1:$L$32,6,0)</f>
        <v>SUBGERENCIA DE FOMENTO Y DESARROLLO</v>
      </c>
      <c r="D1112" s="47" t="str">
        <f>+IF(PAA_4[[#This Row],[UNIDAD DE CONTRATACION (formulado)]]="Subgerencia Administrativa y Financiera","FUNCIONAMIENTO","INVERSIÓN")</f>
        <v>INVERSIÓN</v>
      </c>
      <c r="E1112" s="48" t="str">
        <f>VLOOKUP(Q1112,[2]PROYECTOS!$G$1:$K$32,5,0)</f>
        <v>FORTALECIMIENTO_DE_LOS_JUEGOS_DEL_SECTOR_EDUCATIVO_EN_ANTIOQUIA</v>
      </c>
      <c r="F1112" s="48">
        <f>VLOOKUP(E1112,[2]PROYECTOS!$K$1:$M$32,3,0)</f>
        <v>2020003050034</v>
      </c>
      <c r="G1112" s="49" t="s">
        <v>340</v>
      </c>
      <c r="H1112" s="49" t="str">
        <f>VLOOKUP(Q1112,[2]PROYECTOS!$V$1:$W$32,2,0)</f>
        <v>050053</v>
      </c>
      <c r="I1112" s="50">
        <f>20669485-418409</f>
        <v>20251076</v>
      </c>
      <c r="J1112" s="70" t="s">
        <v>347</v>
      </c>
      <c r="K1112" s="47" t="str">
        <f t="shared" ca="1" si="388"/>
        <v>CONTRATADO</v>
      </c>
      <c r="L1112" s="47" t="s">
        <v>94</v>
      </c>
      <c r="M1112" s="47" t="s">
        <v>1297</v>
      </c>
      <c r="N1112" s="51" t="s">
        <v>341</v>
      </c>
      <c r="O1112" s="51" t="e">
        <f>VLOOKUP(N1112,[2]!RUBROS[#All],3,0)</f>
        <v>#REF!</v>
      </c>
      <c r="P1112" s="53" t="e">
        <f>VLOOKUP(N1112,[2]!RUBROS[#All],2,0)</f>
        <v>#REF!</v>
      </c>
      <c r="Q1112" s="47" t="str">
        <f t="shared" si="389"/>
        <v>51</v>
      </c>
      <c r="R1112" s="47" t="str">
        <f t="shared" si="390"/>
        <v>0-205128</v>
      </c>
      <c r="S1112" s="54">
        <v>8</v>
      </c>
      <c r="T1112" s="59" t="s">
        <v>46</v>
      </c>
      <c r="U1112" s="326" t="e">
        <f ca="1">_xlfn.XLOOKUP(PAA_4[[#This Row],[ITEM]],[2]Contrato!A:A,[2]Contrato!Q:Q,"",0)</f>
        <v>#NAME?</v>
      </c>
      <c r="V1112" s="47" t="s">
        <v>95</v>
      </c>
      <c r="W1112" s="47" t="s">
        <v>122</v>
      </c>
      <c r="X1112" s="47" t="s">
        <v>122</v>
      </c>
      <c r="Y1112" s="55" t="e">
        <f ca="1">_xlfn.XLOOKUP(PAA_4[[#This Row],[ITEM]],[2]Contrato!A:A,[2]Contrato!B:B,"",0)</f>
        <v>#NAME?</v>
      </c>
      <c r="Z1112" s="47" t="e">
        <f ca="1">_xlfn.XLOOKUP(PAA_4[[#This Row],[ITEM]],[2]Contrato!A:A,[2]Contrato!G:G,"",0)</f>
        <v>#NAME?</v>
      </c>
      <c r="AA1112" s="47" t="e">
        <f ca="1">_xlfn.XLOOKUP(PAA_4[[#This Row],[ITEM]],[2]Contrato!A:A,[2]Contrato!T:T,"",0)</f>
        <v>#NAME?</v>
      </c>
      <c r="AB1112" s="55" t="e">
        <f ca="1">+MAX(PAA_4[[#This Row],[Comprometido Contrato]],PAA_4[[#This Row],[Comprometido Bolsa]])</f>
        <v>#NAME?</v>
      </c>
      <c r="AC1112" s="55" t="str">
        <f t="shared" ca="1" si="391"/>
        <v/>
      </c>
      <c r="AD1112" s="55" t="e">
        <f ca="1">IF(PAA_4[[#This Row],[ESTADO (formulado)]]="NO CONTRATADO",0,MAX(PAA_4[[#This Row],[Pago por Contrato]],PAA_4[[#This Row],[Pago por bolsa]]))</f>
        <v>#NAME?</v>
      </c>
      <c r="AE1112" s="55" t="str">
        <f t="shared" ca="1" si="392"/>
        <v/>
      </c>
      <c r="AF1112" s="47" t="e">
        <f t="shared" ca="1" si="393"/>
        <v>#NAME?</v>
      </c>
      <c r="AG1112" s="47">
        <f t="shared" si="394"/>
        <v>44021011</v>
      </c>
      <c r="AH1112" s="54">
        <f>IF(Q1112="22",IF(ISNUMBER(SEARCH("econ",PAA_4[[#This Row],[Actividad3]])),"Económico",IF(ISNUMBER(SEARCH("alim",PAA_4[[#This Row],[Actividad3]])),"Alimentación",IF(ISNUMBER(SEARCH("educ",PAA_4[[#This Row],[Actividad3]])),"Educativo","Técnico"))),0)</f>
        <v>0</v>
      </c>
      <c r="AI1112" s="47" t="e" cm="1">
        <f t="array" aca="1" ref="AI1112" ca="1">_xlfn.XLOOKUP(PAA_4[[#This Row],[RCP-RUBRO]],[2]!COMPROMISOS_2024[[#All],[concatenado]],[2]!COMPROMISOS_2024[[#All],[Total pagado]],"",0)</f>
        <v>#NAME?</v>
      </c>
      <c r="AJ1112" s="56">
        <f>IF(PAA_4[[#This Row],[BOLSA]]=0,0,SUMIFS([2]!COMPROMISOS_2024[[#All],[Total pagado]],[2]!COMPROMISOS_2024[[#All],[Bolsa]],PAA_4[[#This Row],[BOLSA]],[2]!COMPROMISOS_2024[[#All],[rubro]],PAA_4[[#This Row],[RCP-RUBRO]]))</f>
        <v>0</v>
      </c>
      <c r="AK1112" s="47" t="e" cm="1">
        <f t="array" aca="1" ref="AK1112" ca="1">_xlfn.XLOOKUP(PAA_4[[#This Row],[RCP-RUBRO]],[2]!COMPROMISOS_2024[[#All],[concatenado]],[2]!COMPROMISOS_2024[[#All],[Total Comprometido]],"",0)</f>
        <v>#NAME?</v>
      </c>
      <c r="AL1112" s="47">
        <f>IF(PAA_4[[#This Row],[BOLSA]]=0,0,SUMIFS([2]!COMPROMISOS_2024[[#All],[Total Comprometido]],[2]!COMPROMISOS_2024[[#All],[Bolsa]],PAA_4[[#This Row],[BOLSA]],[2]!COMPROMISOS_2024[[#All],[concatenado]],PAA_4[[#This Row],[RCP-RUBRO]]))</f>
        <v>0</v>
      </c>
    </row>
    <row r="1113" spans="1:38" s="19" customFormat="1" ht="31.5" customHeight="1">
      <c r="A1113" s="47">
        <v>665</v>
      </c>
      <c r="B1113" s="47">
        <v>80111600</v>
      </c>
      <c r="C1113" s="47" t="str">
        <f>VLOOKUP(PAA_4[[#This Row],[PROYECTO (formulado)2]],[2]PROYECTOS!$G$1:$L$32,6,0)</f>
        <v>SUBGERENCIA DE FOMENTO Y DESARROLLO</v>
      </c>
      <c r="D1113" s="47" t="str">
        <f>+IF(PAA_4[[#This Row],[UNIDAD DE CONTRATACION (formulado)]]="Subgerencia Administrativa y Financiera","FUNCIONAMIENTO","INVERSIÓN")</f>
        <v>INVERSIÓN</v>
      </c>
      <c r="E1113" s="48" t="str">
        <f>VLOOKUP(Q1113,[2]PROYECTOS!$G$1:$K$32,5,0)</f>
        <v>CAPACITACION_PARA_EL_SECTOR_DEL_DEPORTE_LA_ACTIVIDAD_FISICA_LA_RECREACION_Y_LA_EDUCACION_FISICA_DE_ANTI</v>
      </c>
      <c r="F1113" s="48">
        <f>VLOOKUP(E1113,[2]PROYECTOS!$K$1:$M$32,3,0)</f>
        <v>2020003050024</v>
      </c>
      <c r="G1113" s="49" t="s">
        <v>337</v>
      </c>
      <c r="H1113" s="49" t="str">
        <f>VLOOKUP(Q1113,[2]PROYECTOS!$V$1:$W$32,2,0)</f>
        <v>050063</v>
      </c>
      <c r="I1113" s="50">
        <f>3946883-79893</f>
        <v>3866990</v>
      </c>
      <c r="J1113" s="70" t="s">
        <v>347</v>
      </c>
      <c r="K1113" s="47" t="str">
        <f t="shared" ca="1" si="388"/>
        <v>CONTRATADO</v>
      </c>
      <c r="L1113" s="47" t="s">
        <v>94</v>
      </c>
      <c r="M1113" s="47" t="s">
        <v>1297</v>
      </c>
      <c r="N1113" s="51" t="s">
        <v>339</v>
      </c>
      <c r="O1113" s="51" t="e">
        <f>VLOOKUP(N1113,[2]!RUBROS[#All],3,0)</f>
        <v>#REF!</v>
      </c>
      <c r="P1113" s="53" t="e">
        <f>VLOOKUP(N1113,[2]!RUBROS[#All],2,0)</f>
        <v>#REF!</v>
      </c>
      <c r="Q1113" s="47" t="str">
        <f t="shared" si="389"/>
        <v>48</v>
      </c>
      <c r="R1113" s="47" t="str">
        <f t="shared" si="390"/>
        <v>0-205128</v>
      </c>
      <c r="S1113" s="54">
        <v>8</v>
      </c>
      <c r="T1113" s="59" t="s">
        <v>46</v>
      </c>
      <c r="U1113" s="326" t="e">
        <f ca="1">_xlfn.XLOOKUP(PAA_4[[#This Row],[ITEM]],[2]Contrato!A:A,[2]Contrato!Q:Q,"",0)</f>
        <v>#NAME?</v>
      </c>
      <c r="V1113" s="47" t="s">
        <v>95</v>
      </c>
      <c r="W1113" s="47" t="s">
        <v>122</v>
      </c>
      <c r="X1113" s="47" t="s">
        <v>122</v>
      </c>
      <c r="Y1113" s="55" t="e">
        <f ca="1">_xlfn.XLOOKUP(PAA_4[[#This Row],[ITEM]],[2]Contrato!A:A,[2]Contrato!B:B,"",0)</f>
        <v>#NAME?</v>
      </c>
      <c r="Z1113" s="47" t="e">
        <f ca="1">_xlfn.XLOOKUP(PAA_4[[#This Row],[ITEM]],[2]Contrato!A:A,[2]Contrato!G:G,"",0)</f>
        <v>#NAME?</v>
      </c>
      <c r="AA1113" s="47" t="e">
        <f ca="1">_xlfn.XLOOKUP(PAA_4[[#This Row],[ITEM]],[2]Contrato!A:A,[2]Contrato!T:T,"",0)</f>
        <v>#NAME?</v>
      </c>
      <c r="AB1113" s="55" t="e">
        <f ca="1">+MAX(PAA_4[[#This Row],[Comprometido Contrato]],PAA_4[[#This Row],[Comprometido Bolsa]])</f>
        <v>#NAME?</v>
      </c>
      <c r="AC1113" s="55" t="str">
        <f t="shared" ca="1" si="391"/>
        <v/>
      </c>
      <c r="AD1113" s="55" t="e">
        <f ca="1">IF(PAA_4[[#This Row],[ESTADO (formulado)]]="NO CONTRATADO",0,MAX(PAA_4[[#This Row],[Pago por Contrato]],PAA_4[[#This Row],[Pago por bolsa]]))</f>
        <v>#NAME?</v>
      </c>
      <c r="AE1113" s="55" t="str">
        <f t="shared" ca="1" si="392"/>
        <v/>
      </c>
      <c r="AF1113" s="47" t="e">
        <f t="shared" ca="1" si="393"/>
        <v>#NAME?</v>
      </c>
      <c r="AG1113" s="47">
        <f t="shared" si="394"/>
        <v>41080201</v>
      </c>
      <c r="AH1113" s="54">
        <f>IF(Q1113="22",IF(ISNUMBER(SEARCH("econ",PAA_4[[#This Row],[Actividad3]])),"Económico",IF(ISNUMBER(SEARCH("alim",PAA_4[[#This Row],[Actividad3]])),"Alimentación",IF(ISNUMBER(SEARCH("educ",PAA_4[[#This Row],[Actividad3]])),"Educativo","Técnico"))),0)</f>
        <v>0</v>
      </c>
      <c r="AI1113" s="47" t="e" cm="1">
        <f t="array" aca="1" ref="AI1113" ca="1">_xlfn.XLOOKUP(PAA_4[[#This Row],[RCP-RUBRO]],[2]!COMPROMISOS_2024[[#All],[concatenado]],[2]!COMPROMISOS_2024[[#All],[Total pagado]],"",0)</f>
        <v>#NAME?</v>
      </c>
      <c r="AJ1113" s="56">
        <f>IF(PAA_4[[#This Row],[BOLSA]]=0,0,SUMIFS([2]!COMPROMISOS_2024[[#All],[Total pagado]],[2]!COMPROMISOS_2024[[#All],[Bolsa]],PAA_4[[#This Row],[BOLSA]],[2]!COMPROMISOS_2024[[#All],[rubro]],PAA_4[[#This Row],[RCP-RUBRO]]))</f>
        <v>0</v>
      </c>
      <c r="AK1113" s="47" t="e" cm="1">
        <f t="array" aca="1" ref="AK1113" ca="1">_xlfn.XLOOKUP(PAA_4[[#This Row],[RCP-RUBRO]],[2]!COMPROMISOS_2024[[#All],[concatenado]],[2]!COMPROMISOS_2024[[#All],[Total Comprometido]],"",0)</f>
        <v>#NAME?</v>
      </c>
      <c r="AL1113" s="47">
        <f>IF(PAA_4[[#This Row],[BOLSA]]=0,0,SUMIFS([2]!COMPROMISOS_2024[[#All],[Total Comprometido]],[2]!COMPROMISOS_2024[[#All],[Bolsa]],PAA_4[[#This Row],[BOLSA]],[2]!COMPROMISOS_2024[[#All],[concatenado]],PAA_4[[#This Row],[RCP-RUBRO]]))</f>
        <v>0</v>
      </c>
    </row>
    <row r="1114" spans="1:38" s="19" customFormat="1" ht="31.5" customHeight="1">
      <c r="A1114" s="47" t="s">
        <v>82</v>
      </c>
      <c r="B1114" s="47" t="s">
        <v>42</v>
      </c>
      <c r="C1114" s="47" t="str">
        <f>VLOOKUP(PAA_4[[#This Row],[PROYECTO (formulado)2]],[2]PROYECTOS!$G$1:$L$32,6,0)</f>
        <v>SUBGERENCIA DE FOMENTO Y DESARROLLO</v>
      </c>
      <c r="D1114" s="47" t="str">
        <f>+IF(PAA_4[[#This Row],[UNIDAD DE CONTRATACION (formulado)]]="Subgerencia Administrativa y Financiera","FUNCIONAMIENTO","INVERSIÓN")</f>
        <v>INVERSIÓN</v>
      </c>
      <c r="E1114" s="48" t="str">
        <f>VLOOKUP(Q1114,[2]PROYECTOS!$G$1:$K$32,5,0)</f>
        <v>FORTALECIMIENTO_DEL_PROGRAMA_POR_SU_SALUD_MUÉVASE_PUES_EN_LOS_MUNICIPIO_DEL_DEPARTAMENTO_DE_ANTIOQUIA</v>
      </c>
      <c r="F1114" s="48">
        <f>VLOOKUP(E1114,[2]PROYECTOS!$K$1:$M$32,3,0)</f>
        <v>2020003050030</v>
      </c>
      <c r="G1114" s="49" t="s">
        <v>326</v>
      </c>
      <c r="H1114" s="49" t="str">
        <f>VLOOKUP(Q1114,[2]PROYECTOS!$V$1:$W$32,2,0)</f>
        <v>050055</v>
      </c>
      <c r="I1114" s="50">
        <v>123070</v>
      </c>
      <c r="J1114" s="51" t="s">
        <v>1851</v>
      </c>
      <c r="K1114" s="47" t="str">
        <f t="shared" ca="1" si="388"/>
        <v>CONTRATADO</v>
      </c>
      <c r="L1114" s="47" t="s">
        <v>42</v>
      </c>
      <c r="M1114" s="47" t="s">
        <v>42</v>
      </c>
      <c r="N1114" s="51" t="s">
        <v>329</v>
      </c>
      <c r="O1114" s="51" t="e">
        <f>VLOOKUP(N1114,[2]!RUBROS[#All],3,0)</f>
        <v>#REF!</v>
      </c>
      <c r="P1114" s="53" t="e">
        <f>VLOOKUP(N1114,[2]!RUBROS[#All],2,0)</f>
        <v>#REF!</v>
      </c>
      <c r="Q1114" s="47" t="str">
        <f t="shared" si="389"/>
        <v>45</v>
      </c>
      <c r="R1114" s="47" t="str">
        <f t="shared" si="390"/>
        <v>0-205128</v>
      </c>
      <c r="S1114" s="54" t="s">
        <v>42</v>
      </c>
      <c r="T1114" s="59" t="s">
        <v>42</v>
      </c>
      <c r="U1114" s="326" t="e">
        <f ca="1">_xlfn.XLOOKUP(PAA_4[[#This Row],[ITEM]],[2]Contrato!A:A,[2]Contrato!Q:Q,"",0)</f>
        <v>#NAME?</v>
      </c>
      <c r="V1114" s="47" t="s">
        <v>95</v>
      </c>
      <c r="W1114" s="47" t="s">
        <v>42</v>
      </c>
      <c r="X1114" s="47" t="s">
        <v>42</v>
      </c>
      <c r="Y1114" s="55" t="e">
        <f ca="1">_xlfn.XLOOKUP(PAA_4[[#This Row],[ITEM]],[2]Contrato!A:A,[2]Contrato!B:B,"",0)</f>
        <v>#NAME?</v>
      </c>
      <c r="Z1114" s="47" t="e">
        <f ca="1">_xlfn.XLOOKUP(PAA_4[[#This Row],[ITEM]],[2]Contrato!A:A,[2]Contrato!G:G,"",0)</f>
        <v>#NAME?</v>
      </c>
      <c r="AA1114" s="47" t="e">
        <f ca="1">_xlfn.XLOOKUP(PAA_4[[#This Row],[ITEM]],[2]Contrato!A:A,[2]Contrato!T:T,"",0)</f>
        <v>#NAME?</v>
      </c>
      <c r="AB1114" s="55" t="e">
        <f ca="1">+MAX(PAA_4[[#This Row],[Comprometido Contrato]],PAA_4[[#This Row],[Comprometido Bolsa]])</f>
        <v>#NAME?</v>
      </c>
      <c r="AC1114" s="55" t="str">
        <f t="shared" ca="1" si="391"/>
        <v/>
      </c>
      <c r="AD1114" s="55" t="e">
        <f ca="1">IF(PAA_4[[#This Row],[ESTADO (formulado)]]="NO CONTRATADO",0,MAX(PAA_4[[#This Row],[Pago por Contrato]],PAA_4[[#This Row],[Pago por bolsa]]))</f>
        <v>#NAME?</v>
      </c>
      <c r="AE1114" s="55" t="str">
        <f t="shared" ca="1" si="392"/>
        <v/>
      </c>
      <c r="AF1114" s="47" t="e">
        <f t="shared" ca="1" si="393"/>
        <v>#NAME?</v>
      </c>
      <c r="AG1114" s="47">
        <f t="shared" si="394"/>
        <v>44021001</v>
      </c>
      <c r="AH1114" s="54">
        <f>IF(Q1114="22",IF(ISNUMBER(SEARCH("econ",PAA_4[[#This Row],[Actividad3]])),"Económico",IF(ISNUMBER(SEARCH("alim",PAA_4[[#This Row],[Actividad3]])),"Alimentación",IF(ISNUMBER(SEARCH("educ",PAA_4[[#This Row],[Actividad3]])),"Educativo","Técnico"))),0)</f>
        <v>0</v>
      </c>
      <c r="AI1114" s="47" t="e" cm="1">
        <f t="array" aca="1" ref="AI1114" ca="1">_xlfn.XLOOKUP(PAA_4[[#This Row],[RCP-RUBRO]],[2]!COMPROMISOS_2024[[#All],[concatenado]],[2]!COMPROMISOS_2024[[#All],[Total pagado]],"",0)</f>
        <v>#NAME?</v>
      </c>
      <c r="AJ1114" s="56">
        <f>IF(PAA_4[[#This Row],[BOLSA]]=0,0,SUMIFS([2]!COMPROMISOS_2024[[#All],[Total pagado]],[2]!COMPROMISOS_2024[[#All],[Bolsa]],PAA_4[[#This Row],[BOLSA]],[2]!COMPROMISOS_2024[[#All],[rubro]],PAA_4[[#This Row],[RCP-RUBRO]]))</f>
        <v>0</v>
      </c>
      <c r="AK1114" s="47" t="e" cm="1">
        <f t="array" aca="1" ref="AK1114" ca="1">_xlfn.XLOOKUP(PAA_4[[#This Row],[RCP-RUBRO]],[2]!COMPROMISOS_2024[[#All],[concatenado]],[2]!COMPROMISOS_2024[[#All],[Total Comprometido]],"",0)</f>
        <v>#NAME?</v>
      </c>
      <c r="AL1114" s="47">
        <f>IF(PAA_4[[#This Row],[BOLSA]]=0,0,SUMIFS([2]!COMPROMISOS_2024[[#All],[Total Comprometido]],[2]!COMPROMISOS_2024[[#All],[Bolsa]],PAA_4[[#This Row],[BOLSA]],[2]!COMPROMISOS_2024[[#All],[concatenado]],PAA_4[[#This Row],[RCP-RUBRO]]))</f>
        <v>0</v>
      </c>
    </row>
    <row r="1115" spans="1:38" s="19" customFormat="1" ht="31.5" customHeight="1">
      <c r="A1115" s="47" t="s">
        <v>82</v>
      </c>
      <c r="B1115" s="47" t="s">
        <v>42</v>
      </c>
      <c r="C1115" s="47" t="str">
        <f>VLOOKUP(PAA_4[[#This Row],[PROYECTO (formulado)2]],[2]PROYECTOS!$G$1:$L$32,6,0)</f>
        <v>SUBGERENCIA DE FOMENTO Y DESARROLLO</v>
      </c>
      <c r="D1115" s="47" t="str">
        <f>+IF(PAA_4[[#This Row],[UNIDAD DE CONTRATACION (formulado)]]="Subgerencia Administrativa y Financiera","FUNCIONAMIENTO","INVERSIÓN")</f>
        <v>INVERSIÓN</v>
      </c>
      <c r="E1115" s="48" t="str">
        <f>VLOOKUP(Q1115,[2]PROYECTOS!$G$1:$K$32,5,0)</f>
        <v>FORTALECIMIENTO_DE_LAS_ESCUELAS_DEPORTIVAS_EN_LOS_MUNICIPIOS_DEL_DEPARTAMENTO_DE_ANTIOQUIA</v>
      </c>
      <c r="F1115" s="48">
        <f>VLOOKUP(E1115,[2]PROYECTOS!$K$1:$M$32,3,0)</f>
        <v>2020003050032</v>
      </c>
      <c r="G1115" s="49" t="s">
        <v>333</v>
      </c>
      <c r="H1115" s="49" t="str">
        <f>VLOOKUP(Q1115,[2]PROYECTOS!$V$1:$W$32,2,0)</f>
        <v>050059</v>
      </c>
      <c r="I1115" s="50">
        <v>123524</v>
      </c>
      <c r="J1115" s="51" t="s">
        <v>1851</v>
      </c>
      <c r="K1115" s="47" t="str">
        <f t="shared" ca="1" si="388"/>
        <v>CONTRATADO</v>
      </c>
      <c r="L1115" s="47" t="s">
        <v>42</v>
      </c>
      <c r="M1115" s="47" t="s">
        <v>42</v>
      </c>
      <c r="N1115" s="51" t="s">
        <v>334</v>
      </c>
      <c r="O1115" s="51" t="e">
        <f>VLOOKUP(N1115,[2]!RUBROS[#All],3,0)</f>
        <v>#REF!</v>
      </c>
      <c r="P1115" s="53" t="e">
        <f>VLOOKUP(N1115,[2]!RUBROS[#All],2,0)</f>
        <v>#REF!</v>
      </c>
      <c r="Q1115" s="47" t="str">
        <f t="shared" si="389"/>
        <v>46</v>
      </c>
      <c r="R1115" s="47" t="str">
        <f t="shared" si="390"/>
        <v>0-205128</v>
      </c>
      <c r="S1115" s="54" t="s">
        <v>42</v>
      </c>
      <c r="T1115" s="59" t="s">
        <v>42</v>
      </c>
      <c r="U1115" s="326" t="e">
        <f ca="1">_xlfn.XLOOKUP(PAA_4[[#This Row],[ITEM]],[2]Contrato!A:A,[2]Contrato!Q:Q,"",0)</f>
        <v>#NAME?</v>
      </c>
      <c r="V1115" s="47" t="s">
        <v>95</v>
      </c>
      <c r="W1115" s="47" t="s">
        <v>42</v>
      </c>
      <c r="X1115" s="47" t="s">
        <v>42</v>
      </c>
      <c r="Y1115" s="55" t="e">
        <f ca="1">_xlfn.XLOOKUP(PAA_4[[#This Row],[ITEM]],[2]Contrato!A:A,[2]Contrato!B:B,"",0)</f>
        <v>#NAME?</v>
      </c>
      <c r="Z1115" s="47" t="e">
        <f ca="1">_xlfn.XLOOKUP(PAA_4[[#This Row],[ITEM]],[2]Contrato!A:A,[2]Contrato!G:G,"",0)</f>
        <v>#NAME?</v>
      </c>
      <c r="AA1115" s="47" t="e">
        <f ca="1">_xlfn.XLOOKUP(PAA_4[[#This Row],[ITEM]],[2]Contrato!A:A,[2]Contrato!T:T,"",0)</f>
        <v>#NAME?</v>
      </c>
      <c r="AB1115" s="55" t="e">
        <f ca="1">+MAX(PAA_4[[#This Row],[Comprometido Contrato]],PAA_4[[#This Row],[Comprometido Bolsa]])</f>
        <v>#NAME?</v>
      </c>
      <c r="AC1115" s="55" t="str">
        <f t="shared" ca="1" si="391"/>
        <v/>
      </c>
      <c r="AD1115" s="55" t="e">
        <f ca="1">IF(PAA_4[[#This Row],[ESTADO (formulado)]]="NO CONTRATADO",0,MAX(PAA_4[[#This Row],[Pago por Contrato]],PAA_4[[#This Row],[Pago por bolsa]]))</f>
        <v>#NAME?</v>
      </c>
      <c r="AE1115" s="55" t="str">
        <f t="shared" ca="1" si="392"/>
        <v/>
      </c>
      <c r="AF1115" s="47" t="e">
        <f t="shared" ca="1" si="393"/>
        <v>#NAME?</v>
      </c>
      <c r="AG1115" s="47">
        <f t="shared" si="394"/>
        <v>44021007</v>
      </c>
      <c r="AH1115" s="54">
        <f>IF(Q1115="22",IF(ISNUMBER(SEARCH("econ",PAA_4[[#This Row],[Actividad3]])),"Económico",IF(ISNUMBER(SEARCH("alim",PAA_4[[#This Row],[Actividad3]])),"Alimentación",IF(ISNUMBER(SEARCH("educ",PAA_4[[#This Row],[Actividad3]])),"Educativo","Técnico"))),0)</f>
        <v>0</v>
      </c>
      <c r="AI1115" s="47" t="e" cm="1">
        <f t="array" aca="1" ref="AI1115" ca="1">_xlfn.XLOOKUP(PAA_4[[#This Row],[RCP-RUBRO]],[2]!COMPROMISOS_2024[[#All],[concatenado]],[2]!COMPROMISOS_2024[[#All],[Total pagado]],"",0)</f>
        <v>#NAME?</v>
      </c>
      <c r="AJ1115" s="56">
        <f>IF(PAA_4[[#This Row],[BOLSA]]=0,0,SUMIFS([2]!COMPROMISOS_2024[[#All],[Total pagado]],[2]!COMPROMISOS_2024[[#All],[Bolsa]],PAA_4[[#This Row],[BOLSA]],[2]!COMPROMISOS_2024[[#All],[rubro]],PAA_4[[#This Row],[RCP-RUBRO]]))</f>
        <v>0</v>
      </c>
      <c r="AK1115" s="47" t="e" cm="1">
        <f t="array" aca="1" ref="AK1115" ca="1">_xlfn.XLOOKUP(PAA_4[[#This Row],[RCP-RUBRO]],[2]!COMPROMISOS_2024[[#All],[concatenado]],[2]!COMPROMISOS_2024[[#All],[Total Comprometido]],"",0)</f>
        <v>#NAME?</v>
      </c>
      <c r="AL1115" s="47">
        <f>IF(PAA_4[[#This Row],[BOLSA]]=0,0,SUMIFS([2]!COMPROMISOS_2024[[#All],[Total Comprometido]],[2]!COMPROMISOS_2024[[#All],[Bolsa]],PAA_4[[#This Row],[BOLSA]],[2]!COMPROMISOS_2024[[#All],[concatenado]],PAA_4[[#This Row],[RCP-RUBRO]]))</f>
        <v>0</v>
      </c>
    </row>
    <row r="1116" spans="1:38" s="19" customFormat="1" ht="31.5" customHeight="1">
      <c r="A1116" s="47" t="s">
        <v>82</v>
      </c>
      <c r="B1116" s="47" t="s">
        <v>42</v>
      </c>
      <c r="C1116" s="47" t="str">
        <f>VLOOKUP(PAA_4[[#This Row],[PROYECTO (formulado)2]],[2]PROYECTOS!$G$1:$L$32,6,0)</f>
        <v>SUBGERENCIA DE FOMENTO Y DESARROLLO</v>
      </c>
      <c r="D1116" s="47" t="str">
        <f>+IF(PAA_4[[#This Row],[UNIDAD DE CONTRATACION (formulado)]]="Subgerencia Administrativa y Financiera","FUNCIONAMIENTO","INVERSIÓN")</f>
        <v>INVERSIÓN</v>
      </c>
      <c r="E1116" s="48" t="str">
        <f>VLOOKUP(Q1116,[2]PROYECTOS!$G$1:$K$32,5,0)</f>
        <v>FORTALECIMIENTO_DE_LOS_PROGRAMAS_RECREATIVOS_EN_LOS_MUNICIPIOS_DEL_DEPARTAMENTO_DE_ANTIOQUIA</v>
      </c>
      <c r="F1116" s="48">
        <f>VLOOKUP(E1116,[2]PROYECTOS!$K$1:$M$32,3,0)</f>
        <v>2020003050031</v>
      </c>
      <c r="G1116" s="49" t="s">
        <v>335</v>
      </c>
      <c r="H1116" s="49" t="str">
        <f>VLOOKUP(Q1116,[2]PROYECTOS!$V$1:$W$32,2,0)</f>
        <v>050064</v>
      </c>
      <c r="I1116" s="50">
        <v>123616</v>
      </c>
      <c r="J1116" s="51" t="s">
        <v>1851</v>
      </c>
      <c r="K1116" s="47" t="str">
        <f t="shared" ca="1" si="388"/>
        <v>CONTRATADO</v>
      </c>
      <c r="L1116" s="47" t="s">
        <v>42</v>
      </c>
      <c r="M1116" s="47" t="s">
        <v>42</v>
      </c>
      <c r="N1116" s="51" t="s">
        <v>336</v>
      </c>
      <c r="O1116" s="51" t="e">
        <f>VLOOKUP(N1116,[2]!RUBROS[#All],3,0)</f>
        <v>#REF!</v>
      </c>
      <c r="P1116" s="53" t="e">
        <f>VLOOKUP(N1116,[2]!RUBROS[#All],2,0)</f>
        <v>#REF!</v>
      </c>
      <c r="Q1116" s="47" t="str">
        <f t="shared" si="389"/>
        <v>47</v>
      </c>
      <c r="R1116" s="47" t="str">
        <f t="shared" si="390"/>
        <v>0-205128</v>
      </c>
      <c r="S1116" s="54" t="s">
        <v>42</v>
      </c>
      <c r="T1116" s="59" t="s">
        <v>42</v>
      </c>
      <c r="U1116" s="326" t="e">
        <f ca="1">_xlfn.XLOOKUP(PAA_4[[#This Row],[ITEM]],[2]Contrato!A:A,[2]Contrato!Q:Q,"",0)</f>
        <v>#NAME?</v>
      </c>
      <c r="V1116" s="47" t="s">
        <v>95</v>
      </c>
      <c r="W1116" s="47" t="s">
        <v>42</v>
      </c>
      <c r="X1116" s="47" t="s">
        <v>42</v>
      </c>
      <c r="Y1116" s="55" t="e">
        <f ca="1">_xlfn.XLOOKUP(PAA_4[[#This Row],[ITEM]],[2]Contrato!A:A,[2]Contrato!B:B,"",0)</f>
        <v>#NAME?</v>
      </c>
      <c r="Z1116" s="47" t="e">
        <f ca="1">_xlfn.XLOOKUP(PAA_4[[#This Row],[ITEM]],[2]Contrato!A:A,[2]Contrato!G:G,"",0)</f>
        <v>#NAME?</v>
      </c>
      <c r="AA1116" s="47" t="e">
        <f ca="1">_xlfn.XLOOKUP(PAA_4[[#This Row],[ITEM]],[2]Contrato!A:A,[2]Contrato!T:T,"",0)</f>
        <v>#NAME?</v>
      </c>
      <c r="AB1116" s="55" t="e">
        <f ca="1">+MAX(PAA_4[[#This Row],[Comprometido Contrato]],PAA_4[[#This Row],[Comprometido Bolsa]])</f>
        <v>#NAME?</v>
      </c>
      <c r="AC1116" s="55" t="str">
        <f t="shared" ca="1" si="391"/>
        <v/>
      </c>
      <c r="AD1116" s="55" t="e">
        <f ca="1">IF(PAA_4[[#This Row],[ESTADO (formulado)]]="NO CONTRATADO",0,MAX(PAA_4[[#This Row],[Pago por Contrato]],PAA_4[[#This Row],[Pago por bolsa]]))</f>
        <v>#NAME?</v>
      </c>
      <c r="AE1116" s="55" t="str">
        <f t="shared" ca="1" si="392"/>
        <v/>
      </c>
      <c r="AF1116" s="47" t="e">
        <f t="shared" ca="1" si="393"/>
        <v>#NAME?</v>
      </c>
      <c r="AG1116" s="47">
        <f t="shared" si="394"/>
        <v>44021004</v>
      </c>
      <c r="AH1116" s="54">
        <f>IF(Q1116="22",IF(ISNUMBER(SEARCH("econ",PAA_4[[#This Row],[Actividad3]])),"Económico",IF(ISNUMBER(SEARCH("alim",PAA_4[[#This Row],[Actividad3]])),"Alimentación",IF(ISNUMBER(SEARCH("educ",PAA_4[[#This Row],[Actividad3]])),"Educativo","Técnico"))),0)</f>
        <v>0</v>
      </c>
      <c r="AI1116" s="47" t="e" cm="1">
        <f t="array" aca="1" ref="AI1116" ca="1">_xlfn.XLOOKUP(PAA_4[[#This Row],[RCP-RUBRO]],[2]!COMPROMISOS_2024[[#All],[concatenado]],[2]!COMPROMISOS_2024[[#All],[Total pagado]],"",0)</f>
        <v>#NAME?</v>
      </c>
      <c r="AJ1116" s="56">
        <f>IF(PAA_4[[#This Row],[BOLSA]]=0,0,SUMIFS([2]!COMPROMISOS_2024[[#All],[Total pagado]],[2]!COMPROMISOS_2024[[#All],[Bolsa]],PAA_4[[#This Row],[BOLSA]],[2]!COMPROMISOS_2024[[#All],[rubro]],PAA_4[[#This Row],[RCP-RUBRO]]))</f>
        <v>0</v>
      </c>
      <c r="AK1116" s="47" t="e" cm="1">
        <f t="array" aca="1" ref="AK1116" ca="1">_xlfn.XLOOKUP(PAA_4[[#This Row],[RCP-RUBRO]],[2]!COMPROMISOS_2024[[#All],[concatenado]],[2]!COMPROMISOS_2024[[#All],[Total Comprometido]],"",0)</f>
        <v>#NAME?</v>
      </c>
      <c r="AL1116" s="47">
        <f>IF(PAA_4[[#This Row],[BOLSA]]=0,0,SUMIFS([2]!COMPROMISOS_2024[[#All],[Total Comprometido]],[2]!COMPROMISOS_2024[[#All],[Bolsa]],PAA_4[[#This Row],[BOLSA]],[2]!COMPROMISOS_2024[[#All],[concatenado]],PAA_4[[#This Row],[RCP-RUBRO]]))</f>
        <v>0</v>
      </c>
    </row>
    <row r="1117" spans="1:38" s="19" customFormat="1" ht="31.5" customHeight="1">
      <c r="A1117" s="47" t="s">
        <v>82</v>
      </c>
      <c r="B1117" s="47" t="s">
        <v>42</v>
      </c>
      <c r="C1117" s="47" t="str">
        <f>VLOOKUP(PAA_4[[#This Row],[PROYECTO (formulado)2]],[2]PROYECTOS!$G$1:$L$32,6,0)</f>
        <v>SUBGERENCIA DE FOMENTO Y DESARROLLO</v>
      </c>
      <c r="D1117" s="47" t="str">
        <f>+IF(PAA_4[[#This Row],[UNIDAD DE CONTRATACION (formulado)]]="Subgerencia Administrativa y Financiera","FUNCIONAMIENTO","INVERSIÓN")</f>
        <v>INVERSIÓN</v>
      </c>
      <c r="E1117" s="48" t="str">
        <f>VLOOKUP(Q1117,[2]PROYECTOS!$G$1:$K$32,5,0)</f>
        <v>FORTALECIMIENTO_DE_LOS_JUEGOS_DEL_SECTOR_SOCIAL_COMUNITARIO_EN_LOS_MUNICIPIOS_DEL_DEPARTAMENTO_DE_ANTIOQU</v>
      </c>
      <c r="F1117" s="48">
        <f>VLOOKUP(E1117,[2]PROYECTOS!$K$1:$M$32,3,0)</f>
        <v>2020003050033</v>
      </c>
      <c r="G1117" s="49" t="s">
        <v>342</v>
      </c>
      <c r="H1117" s="49" t="str">
        <f>VLOOKUP(Q1117,[2]PROYECTOS!$V$1:$W$32,2,0)</f>
        <v>050057</v>
      </c>
      <c r="I1117" s="50">
        <v>413233</v>
      </c>
      <c r="J1117" s="51" t="s">
        <v>1851</v>
      </c>
      <c r="K1117" s="47" t="str">
        <f t="shared" ref="K1117:K1125" ca="1" si="395">IF(ISNONTEXT(Y1117)=TRUE,"CONTRATADO","NO CONTRATADO")</f>
        <v>CONTRATADO</v>
      </c>
      <c r="L1117" s="47" t="s">
        <v>42</v>
      </c>
      <c r="M1117" s="47" t="s">
        <v>42</v>
      </c>
      <c r="N1117" s="51" t="s">
        <v>343</v>
      </c>
      <c r="O1117" s="51" t="e">
        <f>VLOOKUP(N1117,[2]!RUBROS[#All],3,0)</f>
        <v>#REF!</v>
      </c>
      <c r="P1117" s="53" t="e">
        <f>VLOOKUP(N1117,[2]!RUBROS[#All],2,0)</f>
        <v>#REF!</v>
      </c>
      <c r="Q1117" s="47" t="str">
        <f t="shared" si="389"/>
        <v>50</v>
      </c>
      <c r="R1117" s="47" t="str">
        <f t="shared" si="390"/>
        <v>0-205128</v>
      </c>
      <c r="S1117" s="54" t="s">
        <v>42</v>
      </c>
      <c r="T1117" s="59" t="s">
        <v>42</v>
      </c>
      <c r="U1117" s="326" t="e">
        <f ca="1">_xlfn.XLOOKUP(PAA_4[[#This Row],[ITEM]],[2]Contrato!A:A,[2]Contrato!Q:Q,"",0)</f>
        <v>#NAME?</v>
      </c>
      <c r="V1117" s="47" t="s">
        <v>95</v>
      </c>
      <c r="W1117" s="47" t="s">
        <v>42</v>
      </c>
      <c r="X1117" s="47" t="s">
        <v>42</v>
      </c>
      <c r="Y1117" s="55" t="e">
        <f ca="1">_xlfn.XLOOKUP(PAA_4[[#This Row],[ITEM]],[2]Contrato!A:A,[2]Contrato!B:B,"",0)</f>
        <v>#NAME?</v>
      </c>
      <c r="Z1117" s="47" t="e">
        <f ca="1">_xlfn.XLOOKUP(PAA_4[[#This Row],[ITEM]],[2]Contrato!A:A,[2]Contrato!G:G,"",0)</f>
        <v>#NAME?</v>
      </c>
      <c r="AA1117" s="47" t="e">
        <f ca="1">_xlfn.XLOOKUP(PAA_4[[#This Row],[ITEM]],[2]Contrato!A:A,[2]Contrato!T:T,"",0)</f>
        <v>#NAME?</v>
      </c>
      <c r="AB1117" s="55" t="e">
        <f ca="1">+MAX(PAA_4[[#This Row],[Comprometido Contrato]],PAA_4[[#This Row],[Comprometido Bolsa]])</f>
        <v>#NAME?</v>
      </c>
      <c r="AC1117" s="55" t="str">
        <f t="shared" ca="1" si="391"/>
        <v/>
      </c>
      <c r="AD1117" s="55" t="e">
        <f ca="1">IF(PAA_4[[#This Row],[ESTADO (formulado)]]="NO CONTRATADO",0,MAX(PAA_4[[#This Row],[Pago por Contrato]],PAA_4[[#This Row],[Pago por bolsa]]))</f>
        <v>#NAME?</v>
      </c>
      <c r="AE1117" s="55" t="str">
        <f t="shared" ref="AE1117:AE1125" ca="1" si="396">+IFERROR(AB1117-AD1117,"")</f>
        <v/>
      </c>
      <c r="AF1117" s="47" t="e">
        <f t="shared" ca="1" si="393"/>
        <v>#NAME?</v>
      </c>
      <c r="AG1117" s="47">
        <f t="shared" ref="AG1117:AG1125" si="397">IFERROR(_xlfn.NUMBERVALUE(MID(G1117,1,8)),"")</f>
        <v>44021010</v>
      </c>
      <c r="AH1117" s="54">
        <f>IF(Q1117="22",IF(ISNUMBER(SEARCH("econ",PAA_4[[#This Row],[Actividad3]])),"Económico",IF(ISNUMBER(SEARCH("alim",PAA_4[[#This Row],[Actividad3]])),"Alimentación",IF(ISNUMBER(SEARCH("educ",PAA_4[[#This Row],[Actividad3]])),"Educativo","Técnico"))),0)</f>
        <v>0</v>
      </c>
      <c r="AI1117" s="47" t="e" cm="1">
        <f t="array" aca="1" ref="AI1117" ca="1">_xlfn.XLOOKUP(PAA_4[[#This Row],[RCP-RUBRO]],[2]!COMPROMISOS_2024[[#All],[concatenado]],[2]!COMPROMISOS_2024[[#All],[Total pagado]],"",0)</f>
        <v>#NAME?</v>
      </c>
      <c r="AJ1117" s="56">
        <f>IF(PAA_4[[#This Row],[BOLSA]]=0,0,SUMIFS([2]!COMPROMISOS_2024[[#All],[Total pagado]],[2]!COMPROMISOS_2024[[#All],[Bolsa]],PAA_4[[#This Row],[BOLSA]],[2]!COMPROMISOS_2024[[#All],[rubro]],PAA_4[[#This Row],[RCP-RUBRO]]))</f>
        <v>0</v>
      </c>
      <c r="AK1117" s="47" t="e" cm="1">
        <f t="array" aca="1" ref="AK1117" ca="1">_xlfn.XLOOKUP(PAA_4[[#This Row],[RCP-RUBRO]],[2]!COMPROMISOS_2024[[#All],[concatenado]],[2]!COMPROMISOS_2024[[#All],[Total Comprometido]],"",0)</f>
        <v>#NAME?</v>
      </c>
      <c r="AL1117" s="47">
        <f>IF(PAA_4[[#This Row],[BOLSA]]=0,0,SUMIFS([2]!COMPROMISOS_2024[[#All],[Total Comprometido]],[2]!COMPROMISOS_2024[[#All],[Bolsa]],PAA_4[[#This Row],[BOLSA]],[2]!COMPROMISOS_2024[[#All],[concatenado]],PAA_4[[#This Row],[RCP-RUBRO]]))</f>
        <v>0</v>
      </c>
    </row>
    <row r="1118" spans="1:38" s="19" customFormat="1" ht="31.5" customHeight="1">
      <c r="A1118" s="47" t="s">
        <v>82</v>
      </c>
      <c r="B1118" s="47" t="s">
        <v>42</v>
      </c>
      <c r="C1118" s="47" t="str">
        <f>VLOOKUP(PAA_4[[#This Row],[PROYECTO (formulado)2]],[2]PROYECTOS!$G$1:$L$32,6,0)</f>
        <v>SUBGERENCIA DE FOMENTO Y DESARROLLO</v>
      </c>
      <c r="D1118" s="47" t="str">
        <f>+IF(PAA_4[[#This Row],[UNIDAD DE CONTRATACION (formulado)]]="Subgerencia Administrativa y Financiera","FUNCIONAMIENTO","INVERSIÓN")</f>
        <v>INVERSIÓN</v>
      </c>
      <c r="E1118" s="48" t="str">
        <f>VLOOKUP(Q1118,[2]PROYECTOS!$G$1:$K$32,5,0)</f>
        <v>FORTALECIMIENTO_DE_LOS_JUEGOS_DEL_SECTOR_EDUCATIVO_EN_ANTIOQUIA</v>
      </c>
      <c r="F1118" s="48">
        <f>VLOOKUP(E1118,[2]PROYECTOS!$K$1:$M$32,3,0)</f>
        <v>2020003050034</v>
      </c>
      <c r="G1118" s="49" t="s">
        <v>340</v>
      </c>
      <c r="H1118" s="49" t="str">
        <f>VLOOKUP(Q1118,[2]PROYECTOS!$V$1:$W$32,2,0)</f>
        <v>050053</v>
      </c>
      <c r="I1118" s="50">
        <v>418409</v>
      </c>
      <c r="J1118" s="51" t="s">
        <v>1851</v>
      </c>
      <c r="K1118" s="47" t="str">
        <f t="shared" ca="1" si="395"/>
        <v>CONTRATADO</v>
      </c>
      <c r="L1118" s="47" t="s">
        <v>42</v>
      </c>
      <c r="M1118" s="47" t="s">
        <v>42</v>
      </c>
      <c r="N1118" s="51" t="s">
        <v>341</v>
      </c>
      <c r="O1118" s="51" t="e">
        <f>VLOOKUP(N1118,[2]!RUBROS[#All],3,0)</f>
        <v>#REF!</v>
      </c>
      <c r="P1118" s="53" t="e">
        <f>VLOOKUP(N1118,[2]!RUBROS[#All],2,0)</f>
        <v>#REF!</v>
      </c>
      <c r="Q1118" s="47" t="str">
        <f t="shared" si="389"/>
        <v>51</v>
      </c>
      <c r="R1118" s="47" t="str">
        <f t="shared" ref="R1118:R1157" si="398">+MID(N1118,14,8)</f>
        <v>0-205128</v>
      </c>
      <c r="S1118" s="54" t="s">
        <v>42</v>
      </c>
      <c r="T1118" s="59" t="s">
        <v>42</v>
      </c>
      <c r="U1118" s="326" t="e">
        <f ca="1">_xlfn.XLOOKUP(PAA_4[[#This Row],[ITEM]],[2]Contrato!A:A,[2]Contrato!Q:Q,"",0)</f>
        <v>#NAME?</v>
      </c>
      <c r="V1118" s="47" t="s">
        <v>95</v>
      </c>
      <c r="W1118" s="47" t="s">
        <v>42</v>
      </c>
      <c r="X1118" s="47" t="s">
        <v>42</v>
      </c>
      <c r="Y1118" s="55" t="e">
        <f ca="1">_xlfn.XLOOKUP(PAA_4[[#This Row],[ITEM]],[2]Contrato!A:A,[2]Contrato!B:B,"",0)</f>
        <v>#NAME?</v>
      </c>
      <c r="Z1118" s="47" t="e">
        <f ca="1">_xlfn.XLOOKUP(PAA_4[[#This Row],[ITEM]],[2]Contrato!A:A,[2]Contrato!G:G,"",0)</f>
        <v>#NAME?</v>
      </c>
      <c r="AA1118" s="47" t="e">
        <f ca="1">_xlfn.XLOOKUP(PAA_4[[#This Row],[ITEM]],[2]Contrato!A:A,[2]Contrato!T:T,"",0)</f>
        <v>#NAME?</v>
      </c>
      <c r="AB1118" s="55" t="e">
        <f ca="1">+MAX(PAA_4[[#This Row],[Comprometido Contrato]],PAA_4[[#This Row],[Comprometido Bolsa]])</f>
        <v>#NAME?</v>
      </c>
      <c r="AC1118" s="55" t="str">
        <f t="shared" ca="1" si="391"/>
        <v/>
      </c>
      <c r="AD1118" s="55" t="e">
        <f ca="1">IF(PAA_4[[#This Row],[ESTADO (formulado)]]="NO CONTRATADO",0,MAX(PAA_4[[#This Row],[Pago por Contrato]],PAA_4[[#This Row],[Pago por bolsa]]))</f>
        <v>#NAME?</v>
      </c>
      <c r="AE1118" s="55" t="str">
        <f t="shared" ca="1" si="396"/>
        <v/>
      </c>
      <c r="AF1118" s="47" t="e">
        <f t="shared" ca="1" si="393"/>
        <v>#NAME?</v>
      </c>
      <c r="AG1118" s="47">
        <f t="shared" si="397"/>
        <v>44021011</v>
      </c>
      <c r="AH1118" s="54">
        <f>IF(Q1118="22",IF(ISNUMBER(SEARCH("econ",PAA_4[[#This Row],[Actividad3]])),"Económico",IF(ISNUMBER(SEARCH("alim",PAA_4[[#This Row],[Actividad3]])),"Alimentación",IF(ISNUMBER(SEARCH("educ",PAA_4[[#This Row],[Actividad3]])),"Educativo","Técnico"))),0)</f>
        <v>0</v>
      </c>
      <c r="AI1118" s="47" t="e" cm="1">
        <f t="array" aca="1" ref="AI1118" ca="1">_xlfn.XLOOKUP(PAA_4[[#This Row],[RCP-RUBRO]],[2]!COMPROMISOS_2024[[#All],[concatenado]],[2]!COMPROMISOS_2024[[#All],[Total pagado]],"",0)</f>
        <v>#NAME?</v>
      </c>
      <c r="AJ1118" s="56">
        <f>IF(PAA_4[[#This Row],[BOLSA]]=0,0,SUMIFS([2]!COMPROMISOS_2024[[#All],[Total pagado]],[2]!COMPROMISOS_2024[[#All],[Bolsa]],PAA_4[[#This Row],[BOLSA]],[2]!COMPROMISOS_2024[[#All],[rubro]],PAA_4[[#This Row],[RCP-RUBRO]]))</f>
        <v>0</v>
      </c>
      <c r="AK1118" s="47" t="e" cm="1">
        <f t="array" aca="1" ref="AK1118" ca="1">_xlfn.XLOOKUP(PAA_4[[#This Row],[RCP-RUBRO]],[2]!COMPROMISOS_2024[[#All],[concatenado]],[2]!COMPROMISOS_2024[[#All],[Total Comprometido]],"",0)</f>
        <v>#NAME?</v>
      </c>
      <c r="AL1118" s="47">
        <f>IF(PAA_4[[#This Row],[BOLSA]]=0,0,SUMIFS([2]!COMPROMISOS_2024[[#All],[Total Comprometido]],[2]!COMPROMISOS_2024[[#All],[Bolsa]],PAA_4[[#This Row],[BOLSA]],[2]!COMPROMISOS_2024[[#All],[concatenado]],PAA_4[[#This Row],[RCP-RUBRO]]))</f>
        <v>0</v>
      </c>
    </row>
    <row r="1119" spans="1:38" s="19" customFormat="1" ht="31.5" customHeight="1">
      <c r="A1119" s="47" t="s">
        <v>82</v>
      </c>
      <c r="B1119" s="47" t="s">
        <v>42</v>
      </c>
      <c r="C1119" s="47" t="str">
        <f>VLOOKUP(PAA_4[[#This Row],[PROYECTO (formulado)2]],[2]PROYECTOS!$G$1:$L$32,6,0)</f>
        <v>SUBGERENCIA DE FOMENTO Y DESARROLLO</v>
      </c>
      <c r="D1119" s="47" t="str">
        <f>+IF(PAA_4[[#This Row],[UNIDAD DE CONTRATACION (formulado)]]="Subgerencia Administrativa y Financiera","FUNCIONAMIENTO","INVERSIÓN")</f>
        <v>INVERSIÓN</v>
      </c>
      <c r="E1119" s="48" t="str">
        <f>VLOOKUP(Q1119,[2]PROYECTOS!$G$1:$K$32,5,0)</f>
        <v>CAPACITACION_PARA_EL_SECTOR_DEL_DEPORTE_LA_ACTIVIDAD_FISICA_LA_RECREACION_Y_LA_EDUCACION_FISICA_DE_ANTI</v>
      </c>
      <c r="F1119" s="48">
        <f>VLOOKUP(E1119,[2]PROYECTOS!$K$1:$M$32,3,0)</f>
        <v>2020003050024</v>
      </c>
      <c r="G1119" s="49" t="s">
        <v>337</v>
      </c>
      <c r="H1119" s="49" t="str">
        <f>VLOOKUP(Q1119,[2]PROYECTOS!$V$1:$W$32,2,0)</f>
        <v>050063</v>
      </c>
      <c r="I1119" s="50">
        <v>79893</v>
      </c>
      <c r="J1119" s="51" t="s">
        <v>1851</v>
      </c>
      <c r="K1119" s="47" t="str">
        <f t="shared" ca="1" si="395"/>
        <v>CONTRATADO</v>
      </c>
      <c r="L1119" s="47" t="s">
        <v>42</v>
      </c>
      <c r="M1119" s="47" t="s">
        <v>42</v>
      </c>
      <c r="N1119" s="51" t="s">
        <v>339</v>
      </c>
      <c r="O1119" s="51" t="e">
        <f>VLOOKUP(N1119,[2]!RUBROS[#All],3,0)</f>
        <v>#REF!</v>
      </c>
      <c r="P1119" s="53" t="e">
        <f>VLOOKUP(N1119,[2]!RUBROS[#All],2,0)</f>
        <v>#REF!</v>
      </c>
      <c r="Q1119" s="47" t="str">
        <f t="shared" si="389"/>
        <v>48</v>
      </c>
      <c r="R1119" s="47" t="str">
        <f t="shared" si="398"/>
        <v>0-205128</v>
      </c>
      <c r="S1119" s="54" t="s">
        <v>42</v>
      </c>
      <c r="T1119" s="59" t="s">
        <v>42</v>
      </c>
      <c r="U1119" s="326" t="e">
        <f ca="1">_xlfn.XLOOKUP(PAA_4[[#This Row],[ITEM]],[2]Contrato!A:A,[2]Contrato!Q:Q,"",0)</f>
        <v>#NAME?</v>
      </c>
      <c r="V1119" s="47" t="s">
        <v>95</v>
      </c>
      <c r="W1119" s="47" t="s">
        <v>42</v>
      </c>
      <c r="X1119" s="47" t="s">
        <v>42</v>
      </c>
      <c r="Y1119" s="55" t="e">
        <f ca="1">_xlfn.XLOOKUP(PAA_4[[#This Row],[ITEM]],[2]Contrato!A:A,[2]Contrato!B:B,"",0)</f>
        <v>#NAME?</v>
      </c>
      <c r="Z1119" s="47" t="e">
        <f ca="1">_xlfn.XLOOKUP(PAA_4[[#This Row],[ITEM]],[2]Contrato!A:A,[2]Contrato!G:G,"",0)</f>
        <v>#NAME?</v>
      </c>
      <c r="AA1119" s="47" t="e">
        <f ca="1">_xlfn.XLOOKUP(PAA_4[[#This Row],[ITEM]],[2]Contrato!A:A,[2]Contrato!T:T,"",0)</f>
        <v>#NAME?</v>
      </c>
      <c r="AB1119" s="55" t="e">
        <f ca="1">+MAX(PAA_4[[#This Row],[Comprometido Contrato]],PAA_4[[#This Row],[Comprometido Bolsa]])</f>
        <v>#NAME?</v>
      </c>
      <c r="AC1119" s="55" t="str">
        <f t="shared" ca="1" si="391"/>
        <v/>
      </c>
      <c r="AD1119" s="55" t="e">
        <f ca="1">IF(PAA_4[[#This Row],[ESTADO (formulado)]]="NO CONTRATADO",0,MAX(PAA_4[[#This Row],[Pago por Contrato]],PAA_4[[#This Row],[Pago por bolsa]]))</f>
        <v>#NAME?</v>
      </c>
      <c r="AE1119" s="55" t="str">
        <f t="shared" ca="1" si="396"/>
        <v/>
      </c>
      <c r="AF1119" s="47" t="e">
        <f t="shared" ca="1" si="393"/>
        <v>#NAME?</v>
      </c>
      <c r="AG1119" s="47">
        <f t="shared" si="397"/>
        <v>41080201</v>
      </c>
      <c r="AH1119" s="54">
        <f>IF(Q1119="22",IF(ISNUMBER(SEARCH("econ",PAA_4[[#This Row],[Actividad3]])),"Económico",IF(ISNUMBER(SEARCH("alim",PAA_4[[#This Row],[Actividad3]])),"Alimentación",IF(ISNUMBER(SEARCH("educ",PAA_4[[#This Row],[Actividad3]])),"Educativo","Técnico"))),0)</f>
        <v>0</v>
      </c>
      <c r="AI1119" s="47" t="e" cm="1">
        <f t="array" aca="1" ref="AI1119" ca="1">_xlfn.XLOOKUP(PAA_4[[#This Row],[RCP-RUBRO]],[2]!COMPROMISOS_2024[[#All],[concatenado]],[2]!COMPROMISOS_2024[[#All],[Total pagado]],"",0)</f>
        <v>#NAME?</v>
      </c>
      <c r="AJ1119" s="56">
        <f>IF(PAA_4[[#This Row],[BOLSA]]=0,0,SUMIFS([2]!COMPROMISOS_2024[[#All],[Total pagado]],[2]!COMPROMISOS_2024[[#All],[Bolsa]],PAA_4[[#This Row],[BOLSA]],[2]!COMPROMISOS_2024[[#All],[rubro]],PAA_4[[#This Row],[RCP-RUBRO]]))</f>
        <v>0</v>
      </c>
      <c r="AK1119" s="47" t="e" cm="1">
        <f t="array" aca="1" ref="AK1119" ca="1">_xlfn.XLOOKUP(PAA_4[[#This Row],[RCP-RUBRO]],[2]!COMPROMISOS_2024[[#All],[concatenado]],[2]!COMPROMISOS_2024[[#All],[Total Comprometido]],"",0)</f>
        <v>#NAME?</v>
      </c>
      <c r="AL1119" s="47">
        <f>IF(PAA_4[[#This Row],[BOLSA]]=0,0,SUMIFS([2]!COMPROMISOS_2024[[#All],[Total Comprometido]],[2]!COMPROMISOS_2024[[#All],[Bolsa]],PAA_4[[#This Row],[BOLSA]],[2]!COMPROMISOS_2024[[#All],[concatenado]],PAA_4[[#This Row],[RCP-RUBRO]]))</f>
        <v>0</v>
      </c>
    </row>
    <row r="1120" spans="1:38" s="19" customFormat="1" ht="31.5" customHeight="1">
      <c r="A1120" s="47">
        <v>666</v>
      </c>
      <c r="B1120" s="47">
        <v>80111600</v>
      </c>
      <c r="C1120" s="47" t="str">
        <f>VLOOKUP(PAA_4[[#This Row],[PROYECTO (formulado)2]],[2]PROYECTOS!$G$1:$L$32,6,0)</f>
        <v>SUBGERENCIA DE FOMENTO Y DESARROLLO</v>
      </c>
      <c r="D1120" s="47" t="str">
        <f>+IF(PAA_4[[#This Row],[UNIDAD DE CONTRATACION (formulado)]]="Subgerencia Administrativa y Financiera","FUNCIONAMIENTO","INVERSIÓN")</f>
        <v>INVERSIÓN</v>
      </c>
      <c r="E1120" s="48" t="str">
        <f>VLOOKUP(Q1120,[2]PROYECTOS!$G$1:$K$32,5,0)</f>
        <v>FORTALECIMIENTO_DEL_PROGRAMA_POR_SU_SALUD_MUÉVASE_PUES_EN_LOS_MUNICIPIO_DEL_DEPARTAMENTO_DE_ANTIOQUIA</v>
      </c>
      <c r="F1120" s="48">
        <f>VLOOKUP(E1120,[2]PROYECTOS!$K$1:$M$32,3,0)</f>
        <v>2020003050030</v>
      </c>
      <c r="G1120" s="49" t="s">
        <v>326</v>
      </c>
      <c r="H1120" s="49" t="str">
        <f>VLOOKUP(Q1120,[2]PROYECTOS!$V$1:$W$32,2,0)</f>
        <v>050055</v>
      </c>
      <c r="I1120" s="50">
        <f>6079610-123070</f>
        <v>5956540</v>
      </c>
      <c r="J1120" s="70" t="s">
        <v>347</v>
      </c>
      <c r="K1120" s="47" t="str">
        <f t="shared" ca="1" si="395"/>
        <v>CONTRATADO</v>
      </c>
      <c r="L1120" s="47" t="s">
        <v>94</v>
      </c>
      <c r="M1120" s="47" t="s">
        <v>1297</v>
      </c>
      <c r="N1120" s="51" t="s">
        <v>329</v>
      </c>
      <c r="O1120" s="51" t="e">
        <f>VLOOKUP(N1120,[2]!RUBROS[#All],3,0)</f>
        <v>#REF!</v>
      </c>
      <c r="P1120" s="53" t="e">
        <f>VLOOKUP(N1120,[2]!RUBROS[#All],2,0)</f>
        <v>#REF!</v>
      </c>
      <c r="Q1120" s="47" t="str">
        <f t="shared" ref="Q1120:Q1125" si="399">+MID(N1120,11,2)</f>
        <v>45</v>
      </c>
      <c r="R1120" s="47" t="str">
        <f t="shared" si="398"/>
        <v>0-205128</v>
      </c>
      <c r="S1120" s="54">
        <v>8</v>
      </c>
      <c r="T1120" s="59" t="s">
        <v>46</v>
      </c>
      <c r="U1120" s="326" t="e">
        <f ca="1">_xlfn.XLOOKUP(PAA_4[[#This Row],[ITEM]],[2]Contrato!A:A,[2]Contrato!Q:Q,"",0)</f>
        <v>#NAME?</v>
      </c>
      <c r="V1120" s="47" t="s">
        <v>95</v>
      </c>
      <c r="W1120" s="47" t="s">
        <v>122</v>
      </c>
      <c r="X1120" s="47" t="s">
        <v>122</v>
      </c>
      <c r="Y1120" s="55" t="e">
        <f ca="1">_xlfn.XLOOKUP(PAA_4[[#This Row],[ITEM]],[2]Contrato!A:A,[2]Contrato!B:B,"",0)</f>
        <v>#NAME?</v>
      </c>
      <c r="Z1120" s="47" t="e">
        <f ca="1">_xlfn.XLOOKUP(PAA_4[[#This Row],[ITEM]],[2]Contrato!A:A,[2]Contrato!G:G,"",0)</f>
        <v>#NAME?</v>
      </c>
      <c r="AA1120" s="47" t="e">
        <f ca="1">_xlfn.XLOOKUP(PAA_4[[#This Row],[ITEM]],[2]Contrato!A:A,[2]Contrato!T:T,"",0)</f>
        <v>#NAME?</v>
      </c>
      <c r="AB1120" s="55" t="e">
        <f ca="1">+MAX(PAA_4[[#This Row],[Comprometido Contrato]],PAA_4[[#This Row],[Comprometido Bolsa]])</f>
        <v>#NAME?</v>
      </c>
      <c r="AC1120" s="55" t="str">
        <f t="shared" ca="1" si="391"/>
        <v/>
      </c>
      <c r="AD1120" s="55" t="e">
        <f ca="1">IF(PAA_4[[#This Row],[ESTADO (formulado)]]="NO CONTRATADO",0,MAX(PAA_4[[#This Row],[Pago por Contrato]],PAA_4[[#This Row],[Pago por bolsa]]))</f>
        <v>#NAME?</v>
      </c>
      <c r="AE1120" s="55" t="str">
        <f t="shared" ca="1" si="396"/>
        <v/>
      </c>
      <c r="AF1120" s="47" t="e">
        <f t="shared" ca="1" si="393"/>
        <v>#NAME?</v>
      </c>
      <c r="AG1120" s="47">
        <f t="shared" si="397"/>
        <v>44021001</v>
      </c>
      <c r="AH1120" s="54">
        <f>IF(Q1120="22",IF(ISNUMBER(SEARCH("econ",PAA_4[[#This Row],[Actividad3]])),"Económico",IF(ISNUMBER(SEARCH("alim",PAA_4[[#This Row],[Actividad3]])),"Alimentación",IF(ISNUMBER(SEARCH("educ",PAA_4[[#This Row],[Actividad3]])),"Educativo","Técnico"))),0)</f>
        <v>0</v>
      </c>
      <c r="AI1120" s="47" t="e" cm="1">
        <f t="array" aca="1" ref="AI1120" ca="1">_xlfn.XLOOKUP(PAA_4[[#This Row],[RCP-RUBRO]],[2]!COMPROMISOS_2024[[#All],[concatenado]],[2]!COMPROMISOS_2024[[#All],[Total pagado]],"",0)</f>
        <v>#NAME?</v>
      </c>
      <c r="AJ1120" s="56">
        <f>IF(PAA_4[[#This Row],[BOLSA]]=0,0,SUMIFS([2]!COMPROMISOS_2024[[#All],[Total pagado]],[2]!COMPROMISOS_2024[[#All],[Bolsa]],PAA_4[[#This Row],[BOLSA]],[2]!COMPROMISOS_2024[[#All],[rubro]],PAA_4[[#This Row],[RCP-RUBRO]]))</f>
        <v>0</v>
      </c>
      <c r="AK1120" s="47" t="e" cm="1">
        <f t="array" aca="1" ref="AK1120" ca="1">_xlfn.XLOOKUP(PAA_4[[#This Row],[RCP-RUBRO]],[2]!COMPROMISOS_2024[[#All],[concatenado]],[2]!COMPROMISOS_2024[[#All],[Total Comprometido]],"",0)</f>
        <v>#NAME?</v>
      </c>
      <c r="AL1120" s="47">
        <f>IF(PAA_4[[#This Row],[BOLSA]]=0,0,SUMIFS([2]!COMPROMISOS_2024[[#All],[Total Comprometido]],[2]!COMPROMISOS_2024[[#All],[Bolsa]],PAA_4[[#This Row],[BOLSA]],[2]!COMPROMISOS_2024[[#All],[concatenado]],PAA_4[[#This Row],[RCP-RUBRO]]))</f>
        <v>0</v>
      </c>
    </row>
    <row r="1121" spans="1:38" s="19" customFormat="1" ht="31.5" customHeight="1">
      <c r="A1121" s="47">
        <v>666</v>
      </c>
      <c r="B1121" s="47">
        <v>80111600</v>
      </c>
      <c r="C1121" s="47" t="str">
        <f>VLOOKUP(PAA_4[[#This Row],[PROYECTO (formulado)2]],[2]PROYECTOS!$G$1:$L$32,6,0)</f>
        <v>SUBGERENCIA DE FOMENTO Y DESARROLLO</v>
      </c>
      <c r="D1121" s="47" t="str">
        <f>+IF(PAA_4[[#This Row],[UNIDAD DE CONTRATACION (formulado)]]="Subgerencia Administrativa y Financiera","FUNCIONAMIENTO","INVERSIÓN")</f>
        <v>INVERSIÓN</v>
      </c>
      <c r="E1121" s="48" t="str">
        <f>VLOOKUP(Q1121,[2]PROYECTOS!$G$1:$K$32,5,0)</f>
        <v>FORTALECIMIENTO_DE_LAS_ESCUELAS_DEPORTIVAS_EN_LOS_MUNICIPIOS_DEL_DEPARTAMENTO_DE_ANTIOQUIA</v>
      </c>
      <c r="F1121" s="48">
        <f>VLOOKUP(E1121,[2]PROYECTOS!$K$1:$M$32,3,0)</f>
        <v>2020003050032</v>
      </c>
      <c r="G1121" s="49" t="s">
        <v>333</v>
      </c>
      <c r="H1121" s="49" t="str">
        <f>VLOOKUP(Q1121,[2]PROYECTOS!$V$1:$W$32,2,0)</f>
        <v>050059</v>
      </c>
      <c r="I1121" s="50">
        <f>6102062-123524</f>
        <v>5978538</v>
      </c>
      <c r="J1121" s="70" t="s">
        <v>347</v>
      </c>
      <c r="K1121" s="47" t="str">
        <f t="shared" ca="1" si="395"/>
        <v>CONTRATADO</v>
      </c>
      <c r="L1121" s="47" t="s">
        <v>94</v>
      </c>
      <c r="M1121" s="47" t="s">
        <v>1297</v>
      </c>
      <c r="N1121" s="51" t="s">
        <v>334</v>
      </c>
      <c r="O1121" s="51" t="e">
        <f>VLOOKUP(N1121,[2]!RUBROS[#All],3,0)</f>
        <v>#REF!</v>
      </c>
      <c r="P1121" s="53" t="e">
        <f>VLOOKUP(N1121,[2]!RUBROS[#All],2,0)</f>
        <v>#REF!</v>
      </c>
      <c r="Q1121" s="47" t="str">
        <f t="shared" si="399"/>
        <v>46</v>
      </c>
      <c r="R1121" s="47" t="str">
        <f t="shared" si="398"/>
        <v>0-205128</v>
      </c>
      <c r="S1121" s="54">
        <v>8</v>
      </c>
      <c r="T1121" s="59" t="s">
        <v>46</v>
      </c>
      <c r="U1121" s="326" t="e">
        <f ca="1">_xlfn.XLOOKUP(PAA_4[[#This Row],[ITEM]],[2]Contrato!A:A,[2]Contrato!Q:Q,"",0)</f>
        <v>#NAME?</v>
      </c>
      <c r="V1121" s="47" t="s">
        <v>95</v>
      </c>
      <c r="W1121" s="47" t="s">
        <v>122</v>
      </c>
      <c r="X1121" s="47" t="s">
        <v>122</v>
      </c>
      <c r="Y1121" s="55" t="e">
        <f ca="1">_xlfn.XLOOKUP(PAA_4[[#This Row],[ITEM]],[2]Contrato!A:A,[2]Contrato!B:B,"",0)</f>
        <v>#NAME?</v>
      </c>
      <c r="Z1121" s="47" t="e">
        <f ca="1">_xlfn.XLOOKUP(PAA_4[[#This Row],[ITEM]],[2]Contrato!A:A,[2]Contrato!G:G,"",0)</f>
        <v>#NAME?</v>
      </c>
      <c r="AA1121" s="47" t="e">
        <f ca="1">_xlfn.XLOOKUP(PAA_4[[#This Row],[ITEM]],[2]Contrato!A:A,[2]Contrato!T:T,"",0)</f>
        <v>#NAME?</v>
      </c>
      <c r="AB1121" s="55" t="e">
        <f ca="1">+MAX(PAA_4[[#This Row],[Comprometido Contrato]],PAA_4[[#This Row],[Comprometido Bolsa]])</f>
        <v>#NAME?</v>
      </c>
      <c r="AC1121" s="55" t="str">
        <f t="shared" ca="1" si="391"/>
        <v/>
      </c>
      <c r="AD1121" s="55" t="e">
        <f ca="1">IF(PAA_4[[#This Row],[ESTADO (formulado)]]="NO CONTRATADO",0,MAX(PAA_4[[#This Row],[Pago por Contrato]],PAA_4[[#This Row],[Pago por bolsa]]))</f>
        <v>#NAME?</v>
      </c>
      <c r="AE1121" s="55" t="str">
        <f t="shared" ca="1" si="396"/>
        <v/>
      </c>
      <c r="AF1121" s="47" t="e">
        <f t="shared" ref="AF1121:AF1125" ca="1" si="400">+CONCATENATE(AA1121,N1121)</f>
        <v>#NAME?</v>
      </c>
      <c r="AG1121" s="47">
        <f t="shared" si="397"/>
        <v>44021007</v>
      </c>
      <c r="AH1121" s="54">
        <f>IF(Q1121="22",IF(ISNUMBER(SEARCH("econ",PAA_4[[#This Row],[Actividad3]])),"Económico",IF(ISNUMBER(SEARCH("alim",PAA_4[[#This Row],[Actividad3]])),"Alimentación",IF(ISNUMBER(SEARCH("educ",PAA_4[[#This Row],[Actividad3]])),"Educativo","Técnico"))),0)</f>
        <v>0</v>
      </c>
      <c r="AI1121" s="47" t="e" cm="1">
        <f t="array" aca="1" ref="AI1121" ca="1">_xlfn.XLOOKUP(PAA_4[[#This Row],[RCP-RUBRO]],[2]!COMPROMISOS_2024[[#All],[concatenado]],[2]!COMPROMISOS_2024[[#All],[Total pagado]],"",0)</f>
        <v>#NAME?</v>
      </c>
      <c r="AJ1121" s="56">
        <f>IF(PAA_4[[#This Row],[BOLSA]]=0,0,SUMIFS([2]!COMPROMISOS_2024[[#All],[Total pagado]],[2]!COMPROMISOS_2024[[#All],[Bolsa]],PAA_4[[#This Row],[BOLSA]],[2]!COMPROMISOS_2024[[#All],[rubro]],PAA_4[[#This Row],[RCP-RUBRO]]))</f>
        <v>0</v>
      </c>
      <c r="AK1121" s="47" t="e" cm="1">
        <f t="array" aca="1" ref="AK1121" ca="1">_xlfn.XLOOKUP(PAA_4[[#This Row],[RCP-RUBRO]],[2]!COMPROMISOS_2024[[#All],[concatenado]],[2]!COMPROMISOS_2024[[#All],[Total Comprometido]],"",0)</f>
        <v>#NAME?</v>
      </c>
      <c r="AL1121" s="47">
        <f>IF(PAA_4[[#This Row],[BOLSA]]=0,0,SUMIFS([2]!COMPROMISOS_2024[[#All],[Total Comprometido]],[2]!COMPROMISOS_2024[[#All],[Bolsa]],PAA_4[[#This Row],[BOLSA]],[2]!COMPROMISOS_2024[[#All],[concatenado]],PAA_4[[#This Row],[RCP-RUBRO]]))</f>
        <v>0</v>
      </c>
    </row>
    <row r="1122" spans="1:38" s="19" customFormat="1" ht="31.5" customHeight="1">
      <c r="A1122" s="47">
        <v>666</v>
      </c>
      <c r="B1122" s="47">
        <v>80111600</v>
      </c>
      <c r="C1122" s="47" t="str">
        <f>VLOOKUP(PAA_4[[#This Row],[PROYECTO (formulado)2]],[2]PROYECTOS!$G$1:$L$32,6,0)</f>
        <v>SUBGERENCIA DE FOMENTO Y DESARROLLO</v>
      </c>
      <c r="D1122" s="47" t="str">
        <f>+IF(PAA_4[[#This Row],[UNIDAD DE CONTRATACION (formulado)]]="Subgerencia Administrativa y Financiera","FUNCIONAMIENTO","INVERSIÓN")</f>
        <v>INVERSIÓN</v>
      </c>
      <c r="E1122" s="48" t="str">
        <f>VLOOKUP(Q1122,[2]PROYECTOS!$G$1:$K$32,5,0)</f>
        <v>FORTALECIMIENTO_DE_LOS_PROGRAMAS_RECREATIVOS_EN_LOS_MUNICIPIOS_DEL_DEPARTAMENTO_DE_ANTIOQUIA</v>
      </c>
      <c r="F1122" s="48">
        <f>VLOOKUP(E1122,[2]PROYECTOS!$K$1:$M$32,3,0)</f>
        <v>2020003050031</v>
      </c>
      <c r="G1122" s="49" t="s">
        <v>335</v>
      </c>
      <c r="H1122" s="49" t="str">
        <f>VLOOKUP(Q1122,[2]PROYECTOS!$V$1:$W$32,2,0)</f>
        <v>050064</v>
      </c>
      <c r="I1122" s="50">
        <f>6106663-123616</f>
        <v>5983047</v>
      </c>
      <c r="J1122" s="70" t="s">
        <v>347</v>
      </c>
      <c r="K1122" s="47" t="str">
        <f t="shared" ca="1" si="395"/>
        <v>CONTRATADO</v>
      </c>
      <c r="L1122" s="47" t="s">
        <v>94</v>
      </c>
      <c r="M1122" s="47" t="s">
        <v>1297</v>
      </c>
      <c r="N1122" s="51" t="s">
        <v>336</v>
      </c>
      <c r="O1122" s="51" t="e">
        <f>VLOOKUP(N1122,[2]!RUBROS[#All],3,0)</f>
        <v>#REF!</v>
      </c>
      <c r="P1122" s="53" t="e">
        <f>VLOOKUP(N1122,[2]!RUBROS[#All],2,0)</f>
        <v>#REF!</v>
      </c>
      <c r="Q1122" s="47" t="str">
        <f t="shared" si="399"/>
        <v>47</v>
      </c>
      <c r="R1122" s="47" t="str">
        <f t="shared" si="398"/>
        <v>0-205128</v>
      </c>
      <c r="S1122" s="54">
        <v>8</v>
      </c>
      <c r="T1122" s="59" t="s">
        <v>46</v>
      </c>
      <c r="U1122" s="326" t="e">
        <f ca="1">_xlfn.XLOOKUP(PAA_4[[#This Row],[ITEM]],[2]Contrato!A:A,[2]Contrato!Q:Q,"",0)</f>
        <v>#NAME?</v>
      </c>
      <c r="V1122" s="47" t="s">
        <v>95</v>
      </c>
      <c r="W1122" s="47" t="s">
        <v>122</v>
      </c>
      <c r="X1122" s="47" t="s">
        <v>122</v>
      </c>
      <c r="Y1122" s="55" t="e">
        <f ca="1">_xlfn.XLOOKUP(PAA_4[[#This Row],[ITEM]],[2]Contrato!A:A,[2]Contrato!B:B,"",0)</f>
        <v>#NAME?</v>
      </c>
      <c r="Z1122" s="47" t="e">
        <f ca="1">_xlfn.XLOOKUP(PAA_4[[#This Row],[ITEM]],[2]Contrato!A:A,[2]Contrato!G:G,"",0)</f>
        <v>#NAME?</v>
      </c>
      <c r="AA1122" s="47" t="e">
        <f ca="1">_xlfn.XLOOKUP(PAA_4[[#This Row],[ITEM]],[2]Contrato!A:A,[2]Contrato!T:T,"",0)</f>
        <v>#NAME?</v>
      </c>
      <c r="AB1122" s="55" t="e">
        <f ca="1">+MAX(PAA_4[[#This Row],[Comprometido Contrato]],PAA_4[[#This Row],[Comprometido Bolsa]])</f>
        <v>#NAME?</v>
      </c>
      <c r="AC1122" s="55" t="str">
        <f t="shared" ref="AC1122:AC1125" ca="1" si="401">IFERROR(I1122-AB1122,"")</f>
        <v/>
      </c>
      <c r="AD1122" s="55" t="e">
        <f ca="1">IF(PAA_4[[#This Row],[ESTADO (formulado)]]="NO CONTRATADO",0,MAX(PAA_4[[#This Row],[Pago por Contrato]],PAA_4[[#This Row],[Pago por bolsa]]))</f>
        <v>#NAME?</v>
      </c>
      <c r="AE1122" s="55" t="str">
        <f t="shared" ca="1" si="396"/>
        <v/>
      </c>
      <c r="AF1122" s="47" t="e">
        <f t="shared" ca="1" si="400"/>
        <v>#NAME?</v>
      </c>
      <c r="AG1122" s="47">
        <f t="shared" si="397"/>
        <v>44021004</v>
      </c>
      <c r="AH1122" s="54">
        <f>IF(Q1122="22",IF(ISNUMBER(SEARCH("econ",PAA_4[[#This Row],[Actividad3]])),"Económico",IF(ISNUMBER(SEARCH("alim",PAA_4[[#This Row],[Actividad3]])),"Alimentación",IF(ISNUMBER(SEARCH("educ",PAA_4[[#This Row],[Actividad3]])),"Educativo","Técnico"))),0)</f>
        <v>0</v>
      </c>
      <c r="AI1122" s="47" t="e" cm="1">
        <f t="array" aca="1" ref="AI1122" ca="1">_xlfn.XLOOKUP(PAA_4[[#This Row],[RCP-RUBRO]],[2]!COMPROMISOS_2024[[#All],[concatenado]],[2]!COMPROMISOS_2024[[#All],[Total pagado]],"",0)</f>
        <v>#NAME?</v>
      </c>
      <c r="AJ1122" s="56">
        <f>IF(PAA_4[[#This Row],[BOLSA]]=0,0,SUMIFS([2]!COMPROMISOS_2024[[#All],[Total pagado]],[2]!COMPROMISOS_2024[[#All],[Bolsa]],PAA_4[[#This Row],[BOLSA]],[2]!COMPROMISOS_2024[[#All],[rubro]],PAA_4[[#This Row],[RCP-RUBRO]]))</f>
        <v>0</v>
      </c>
      <c r="AK1122" s="47" t="e" cm="1">
        <f t="array" aca="1" ref="AK1122" ca="1">_xlfn.XLOOKUP(PAA_4[[#This Row],[RCP-RUBRO]],[2]!COMPROMISOS_2024[[#All],[concatenado]],[2]!COMPROMISOS_2024[[#All],[Total Comprometido]],"",0)</f>
        <v>#NAME?</v>
      </c>
      <c r="AL1122" s="47">
        <f>IF(PAA_4[[#This Row],[BOLSA]]=0,0,SUMIFS([2]!COMPROMISOS_2024[[#All],[Total Comprometido]],[2]!COMPROMISOS_2024[[#All],[Bolsa]],PAA_4[[#This Row],[BOLSA]],[2]!COMPROMISOS_2024[[#All],[concatenado]],PAA_4[[#This Row],[RCP-RUBRO]]))</f>
        <v>0</v>
      </c>
    </row>
    <row r="1123" spans="1:38" s="19" customFormat="1" ht="31.5" customHeight="1">
      <c r="A1123" s="47">
        <v>666</v>
      </c>
      <c r="B1123" s="47">
        <v>80111600</v>
      </c>
      <c r="C1123" s="47" t="str">
        <f>VLOOKUP(PAA_4[[#This Row],[PROYECTO (formulado)2]],[2]PROYECTOS!$G$1:$L$32,6,0)</f>
        <v>SUBGERENCIA DE FOMENTO Y DESARROLLO</v>
      </c>
      <c r="D1123" s="47" t="str">
        <f>+IF(PAA_4[[#This Row],[UNIDAD DE CONTRATACION (formulado)]]="Subgerencia Administrativa y Financiera","FUNCIONAMIENTO","INVERSIÓN")</f>
        <v>INVERSIÓN</v>
      </c>
      <c r="E1123" s="48" t="str">
        <f>VLOOKUP(Q1123,[2]PROYECTOS!$G$1:$K$32,5,0)</f>
        <v>FORTALECIMIENTO_DE_LOS_JUEGOS_DEL_SECTOR_SOCIAL_COMUNITARIO_EN_LOS_MUNICIPIOS_DEL_DEPARTAMENTO_DE_ANTIOQU</v>
      </c>
      <c r="F1123" s="48">
        <f>VLOOKUP(E1123,[2]PROYECTOS!$K$1:$M$32,3,0)</f>
        <v>2020003050033</v>
      </c>
      <c r="G1123" s="49" t="s">
        <v>342</v>
      </c>
      <c r="H1123" s="49" t="str">
        <f>VLOOKUP(Q1123,[2]PROYECTOS!$V$1:$W$32,2,0)</f>
        <v>050057</v>
      </c>
      <c r="I1123" s="50">
        <f>20413492-413233</f>
        <v>20000259</v>
      </c>
      <c r="J1123" s="70" t="s">
        <v>347</v>
      </c>
      <c r="K1123" s="47" t="str">
        <f t="shared" ca="1" si="395"/>
        <v>CONTRATADO</v>
      </c>
      <c r="L1123" s="47" t="s">
        <v>94</v>
      </c>
      <c r="M1123" s="47" t="s">
        <v>1297</v>
      </c>
      <c r="N1123" s="51" t="s">
        <v>343</v>
      </c>
      <c r="O1123" s="51" t="e">
        <f>VLOOKUP(N1123,[2]!RUBROS[#All],3,0)</f>
        <v>#REF!</v>
      </c>
      <c r="P1123" s="53" t="e">
        <f>VLOOKUP(N1123,[2]!RUBROS[#All],2,0)</f>
        <v>#REF!</v>
      </c>
      <c r="Q1123" s="47" t="str">
        <f t="shared" si="399"/>
        <v>50</v>
      </c>
      <c r="R1123" s="47" t="str">
        <f t="shared" si="398"/>
        <v>0-205128</v>
      </c>
      <c r="S1123" s="54">
        <v>8</v>
      </c>
      <c r="T1123" s="59" t="s">
        <v>46</v>
      </c>
      <c r="U1123" s="326" t="e">
        <f ca="1">_xlfn.XLOOKUP(PAA_4[[#This Row],[ITEM]],[2]Contrato!A:A,[2]Contrato!Q:Q,"",0)</f>
        <v>#NAME?</v>
      </c>
      <c r="V1123" s="47" t="s">
        <v>95</v>
      </c>
      <c r="W1123" s="47" t="s">
        <v>122</v>
      </c>
      <c r="X1123" s="47" t="s">
        <v>122</v>
      </c>
      <c r="Y1123" s="55" t="e">
        <f ca="1">_xlfn.XLOOKUP(PAA_4[[#This Row],[ITEM]],[2]Contrato!A:A,[2]Contrato!B:B,"",0)</f>
        <v>#NAME?</v>
      </c>
      <c r="Z1123" s="47" t="e">
        <f ca="1">_xlfn.XLOOKUP(PAA_4[[#This Row],[ITEM]],[2]Contrato!A:A,[2]Contrato!G:G,"",0)</f>
        <v>#NAME?</v>
      </c>
      <c r="AA1123" s="47" t="e">
        <f ca="1">_xlfn.XLOOKUP(PAA_4[[#This Row],[ITEM]],[2]Contrato!A:A,[2]Contrato!T:T,"",0)</f>
        <v>#NAME?</v>
      </c>
      <c r="AB1123" s="55" t="e">
        <f ca="1">+MAX(PAA_4[[#This Row],[Comprometido Contrato]],PAA_4[[#This Row],[Comprometido Bolsa]])</f>
        <v>#NAME?</v>
      </c>
      <c r="AC1123" s="55" t="str">
        <f t="shared" ca="1" si="401"/>
        <v/>
      </c>
      <c r="AD1123" s="55" t="e">
        <f ca="1">IF(PAA_4[[#This Row],[ESTADO (formulado)]]="NO CONTRATADO",0,MAX(PAA_4[[#This Row],[Pago por Contrato]],PAA_4[[#This Row],[Pago por bolsa]]))</f>
        <v>#NAME?</v>
      </c>
      <c r="AE1123" s="55" t="str">
        <f t="shared" ca="1" si="396"/>
        <v/>
      </c>
      <c r="AF1123" s="47" t="e">
        <f t="shared" ca="1" si="400"/>
        <v>#NAME?</v>
      </c>
      <c r="AG1123" s="47">
        <f t="shared" si="397"/>
        <v>44021010</v>
      </c>
      <c r="AH1123" s="54">
        <f>IF(Q1123="22",IF(ISNUMBER(SEARCH("econ",PAA_4[[#This Row],[Actividad3]])),"Económico",IF(ISNUMBER(SEARCH("alim",PAA_4[[#This Row],[Actividad3]])),"Alimentación",IF(ISNUMBER(SEARCH("educ",PAA_4[[#This Row],[Actividad3]])),"Educativo","Técnico"))),0)</f>
        <v>0</v>
      </c>
      <c r="AI1123" s="47" t="e" cm="1">
        <f t="array" aca="1" ref="AI1123" ca="1">_xlfn.XLOOKUP(PAA_4[[#This Row],[RCP-RUBRO]],[2]!COMPROMISOS_2024[[#All],[concatenado]],[2]!COMPROMISOS_2024[[#All],[Total pagado]],"",0)</f>
        <v>#NAME?</v>
      </c>
      <c r="AJ1123" s="56">
        <f>IF(PAA_4[[#This Row],[BOLSA]]=0,0,SUMIFS([2]!COMPROMISOS_2024[[#All],[Total pagado]],[2]!COMPROMISOS_2024[[#All],[Bolsa]],PAA_4[[#This Row],[BOLSA]],[2]!COMPROMISOS_2024[[#All],[rubro]],PAA_4[[#This Row],[RCP-RUBRO]]))</f>
        <v>0</v>
      </c>
      <c r="AK1123" s="47" t="e" cm="1">
        <f t="array" aca="1" ref="AK1123" ca="1">_xlfn.XLOOKUP(PAA_4[[#This Row],[RCP-RUBRO]],[2]!COMPROMISOS_2024[[#All],[concatenado]],[2]!COMPROMISOS_2024[[#All],[Total Comprometido]],"",0)</f>
        <v>#NAME?</v>
      </c>
      <c r="AL1123" s="47">
        <f>IF(PAA_4[[#This Row],[BOLSA]]=0,0,SUMIFS([2]!COMPROMISOS_2024[[#All],[Total Comprometido]],[2]!COMPROMISOS_2024[[#All],[Bolsa]],PAA_4[[#This Row],[BOLSA]],[2]!COMPROMISOS_2024[[#All],[concatenado]],PAA_4[[#This Row],[RCP-RUBRO]]))</f>
        <v>0</v>
      </c>
    </row>
    <row r="1124" spans="1:38" s="19" customFormat="1" ht="31.5" customHeight="1">
      <c r="A1124" s="47">
        <v>666</v>
      </c>
      <c r="B1124" s="47">
        <v>80111600</v>
      </c>
      <c r="C1124" s="47" t="str">
        <f>VLOOKUP(PAA_4[[#This Row],[PROYECTO (formulado)2]],[2]PROYECTOS!$G$1:$L$32,6,0)</f>
        <v>SUBGERENCIA DE FOMENTO Y DESARROLLO</v>
      </c>
      <c r="D1124" s="47" t="str">
        <f>+IF(PAA_4[[#This Row],[UNIDAD DE CONTRATACION (formulado)]]="Subgerencia Administrativa y Financiera","FUNCIONAMIENTO","INVERSIÓN")</f>
        <v>INVERSIÓN</v>
      </c>
      <c r="E1124" s="48" t="str">
        <f>VLOOKUP(Q1124,[2]PROYECTOS!$G$1:$K$32,5,0)</f>
        <v>FORTALECIMIENTO_DE_LOS_JUEGOS_DEL_SECTOR_EDUCATIVO_EN_ANTIOQUIA</v>
      </c>
      <c r="F1124" s="48">
        <f>VLOOKUP(E1124,[2]PROYECTOS!$K$1:$M$32,3,0)</f>
        <v>2020003050034</v>
      </c>
      <c r="G1124" s="49" t="s">
        <v>340</v>
      </c>
      <c r="H1124" s="49" t="str">
        <f>VLOOKUP(Q1124,[2]PROYECTOS!$V$1:$W$32,2,0)</f>
        <v>050053</v>
      </c>
      <c r="I1124" s="50">
        <f>20669485-418409</f>
        <v>20251076</v>
      </c>
      <c r="J1124" s="70" t="s">
        <v>347</v>
      </c>
      <c r="K1124" s="47" t="str">
        <f t="shared" ca="1" si="395"/>
        <v>CONTRATADO</v>
      </c>
      <c r="L1124" s="47" t="s">
        <v>94</v>
      </c>
      <c r="M1124" s="47" t="s">
        <v>1297</v>
      </c>
      <c r="N1124" s="51" t="s">
        <v>341</v>
      </c>
      <c r="O1124" s="51" t="e">
        <f>VLOOKUP(N1124,[2]!RUBROS[#All],3,0)</f>
        <v>#REF!</v>
      </c>
      <c r="P1124" s="53" t="e">
        <f>VLOOKUP(N1124,[2]!RUBROS[#All],2,0)</f>
        <v>#REF!</v>
      </c>
      <c r="Q1124" s="47" t="str">
        <f t="shared" si="399"/>
        <v>51</v>
      </c>
      <c r="R1124" s="47" t="str">
        <f t="shared" si="398"/>
        <v>0-205128</v>
      </c>
      <c r="S1124" s="54">
        <v>8</v>
      </c>
      <c r="T1124" s="59" t="s">
        <v>46</v>
      </c>
      <c r="U1124" s="326" t="e">
        <f ca="1">_xlfn.XLOOKUP(PAA_4[[#This Row],[ITEM]],[2]Contrato!A:A,[2]Contrato!Q:Q,"",0)</f>
        <v>#NAME?</v>
      </c>
      <c r="V1124" s="47" t="s">
        <v>95</v>
      </c>
      <c r="W1124" s="47" t="s">
        <v>122</v>
      </c>
      <c r="X1124" s="47" t="s">
        <v>122</v>
      </c>
      <c r="Y1124" s="55" t="e">
        <f ca="1">_xlfn.XLOOKUP(PAA_4[[#This Row],[ITEM]],[2]Contrato!A:A,[2]Contrato!B:B,"",0)</f>
        <v>#NAME?</v>
      </c>
      <c r="Z1124" s="47" t="e">
        <f ca="1">_xlfn.XLOOKUP(PAA_4[[#This Row],[ITEM]],[2]Contrato!A:A,[2]Contrato!G:G,"",0)</f>
        <v>#NAME?</v>
      </c>
      <c r="AA1124" s="47" t="e">
        <f ca="1">_xlfn.XLOOKUP(PAA_4[[#This Row],[ITEM]],[2]Contrato!A:A,[2]Contrato!T:T,"",0)</f>
        <v>#NAME?</v>
      </c>
      <c r="AB1124" s="55" t="e">
        <f ca="1">+MAX(PAA_4[[#This Row],[Comprometido Contrato]],PAA_4[[#This Row],[Comprometido Bolsa]])</f>
        <v>#NAME?</v>
      </c>
      <c r="AC1124" s="55" t="str">
        <f t="shared" ca="1" si="401"/>
        <v/>
      </c>
      <c r="AD1124" s="55" t="e">
        <f ca="1">IF(PAA_4[[#This Row],[ESTADO (formulado)]]="NO CONTRATADO",0,MAX(PAA_4[[#This Row],[Pago por Contrato]],PAA_4[[#This Row],[Pago por bolsa]]))</f>
        <v>#NAME?</v>
      </c>
      <c r="AE1124" s="55" t="str">
        <f t="shared" ca="1" si="396"/>
        <v/>
      </c>
      <c r="AF1124" s="47" t="e">
        <f t="shared" ca="1" si="400"/>
        <v>#NAME?</v>
      </c>
      <c r="AG1124" s="47">
        <f t="shared" si="397"/>
        <v>44021011</v>
      </c>
      <c r="AH1124" s="54">
        <f>IF(Q1124="22",IF(ISNUMBER(SEARCH("econ",PAA_4[[#This Row],[Actividad3]])),"Económico",IF(ISNUMBER(SEARCH("alim",PAA_4[[#This Row],[Actividad3]])),"Alimentación",IF(ISNUMBER(SEARCH("educ",PAA_4[[#This Row],[Actividad3]])),"Educativo","Técnico"))),0)</f>
        <v>0</v>
      </c>
      <c r="AI1124" s="47" t="e" cm="1">
        <f t="array" aca="1" ref="AI1124" ca="1">_xlfn.XLOOKUP(PAA_4[[#This Row],[RCP-RUBRO]],[2]!COMPROMISOS_2024[[#All],[concatenado]],[2]!COMPROMISOS_2024[[#All],[Total pagado]],"",0)</f>
        <v>#NAME?</v>
      </c>
      <c r="AJ1124" s="56">
        <f>IF(PAA_4[[#This Row],[BOLSA]]=0,0,SUMIFS([2]!COMPROMISOS_2024[[#All],[Total pagado]],[2]!COMPROMISOS_2024[[#All],[Bolsa]],PAA_4[[#This Row],[BOLSA]],[2]!COMPROMISOS_2024[[#All],[rubro]],PAA_4[[#This Row],[RCP-RUBRO]]))</f>
        <v>0</v>
      </c>
      <c r="AK1124" s="47" t="e" cm="1">
        <f t="array" aca="1" ref="AK1124" ca="1">_xlfn.XLOOKUP(PAA_4[[#This Row],[RCP-RUBRO]],[2]!COMPROMISOS_2024[[#All],[concatenado]],[2]!COMPROMISOS_2024[[#All],[Total Comprometido]],"",0)</f>
        <v>#NAME?</v>
      </c>
      <c r="AL1124" s="47">
        <f>IF(PAA_4[[#This Row],[BOLSA]]=0,0,SUMIFS([2]!COMPROMISOS_2024[[#All],[Total Comprometido]],[2]!COMPROMISOS_2024[[#All],[Bolsa]],PAA_4[[#This Row],[BOLSA]],[2]!COMPROMISOS_2024[[#All],[concatenado]],PAA_4[[#This Row],[RCP-RUBRO]]))</f>
        <v>0</v>
      </c>
    </row>
    <row r="1125" spans="1:38" s="19" customFormat="1" ht="31.5" customHeight="1">
      <c r="A1125" s="47">
        <v>666</v>
      </c>
      <c r="B1125" s="47">
        <v>80111600</v>
      </c>
      <c r="C1125" s="47" t="str">
        <f>VLOOKUP(PAA_4[[#This Row],[PROYECTO (formulado)2]],[2]PROYECTOS!$G$1:$L$32,6,0)</f>
        <v>SUBGERENCIA DE FOMENTO Y DESARROLLO</v>
      </c>
      <c r="D1125" s="47" t="str">
        <f>+IF(PAA_4[[#This Row],[UNIDAD DE CONTRATACION (formulado)]]="Subgerencia Administrativa y Financiera","FUNCIONAMIENTO","INVERSIÓN")</f>
        <v>INVERSIÓN</v>
      </c>
      <c r="E1125" s="48" t="str">
        <f>VLOOKUP(Q1125,[2]PROYECTOS!$G$1:$K$32,5,0)</f>
        <v>CAPACITACION_PARA_EL_SECTOR_DEL_DEPORTE_LA_ACTIVIDAD_FISICA_LA_RECREACION_Y_LA_EDUCACION_FISICA_DE_ANTI</v>
      </c>
      <c r="F1125" s="48">
        <f>VLOOKUP(E1125,[2]PROYECTOS!$K$1:$M$32,3,0)</f>
        <v>2020003050024</v>
      </c>
      <c r="G1125" s="49" t="s">
        <v>337</v>
      </c>
      <c r="H1125" s="49" t="str">
        <f>VLOOKUP(Q1125,[2]PROYECTOS!$V$1:$W$32,2,0)</f>
        <v>050063</v>
      </c>
      <c r="I1125" s="50">
        <f>3946883-79893</f>
        <v>3866990</v>
      </c>
      <c r="J1125" s="70" t="s">
        <v>347</v>
      </c>
      <c r="K1125" s="47" t="str">
        <f t="shared" ca="1" si="395"/>
        <v>CONTRATADO</v>
      </c>
      <c r="L1125" s="47" t="s">
        <v>94</v>
      </c>
      <c r="M1125" s="47" t="s">
        <v>1297</v>
      </c>
      <c r="N1125" s="51" t="s">
        <v>339</v>
      </c>
      <c r="O1125" s="51" t="e">
        <f>VLOOKUP(N1125,[2]!RUBROS[#All],3,0)</f>
        <v>#REF!</v>
      </c>
      <c r="P1125" s="53" t="e">
        <f>VLOOKUP(N1125,[2]!RUBROS[#All],2,0)</f>
        <v>#REF!</v>
      </c>
      <c r="Q1125" s="47" t="str">
        <f t="shared" si="399"/>
        <v>48</v>
      </c>
      <c r="R1125" s="47" t="str">
        <f t="shared" si="398"/>
        <v>0-205128</v>
      </c>
      <c r="S1125" s="54">
        <v>8</v>
      </c>
      <c r="T1125" s="59" t="s">
        <v>46</v>
      </c>
      <c r="U1125" s="326" t="e">
        <f ca="1">_xlfn.XLOOKUP(PAA_4[[#This Row],[ITEM]],[2]Contrato!A:A,[2]Contrato!Q:Q,"",0)</f>
        <v>#NAME?</v>
      </c>
      <c r="V1125" s="47" t="s">
        <v>95</v>
      </c>
      <c r="W1125" s="47" t="s">
        <v>122</v>
      </c>
      <c r="X1125" s="47" t="s">
        <v>122</v>
      </c>
      <c r="Y1125" s="55" t="e">
        <f ca="1">_xlfn.XLOOKUP(PAA_4[[#This Row],[ITEM]],[2]Contrato!A:A,[2]Contrato!B:B,"",0)</f>
        <v>#NAME?</v>
      </c>
      <c r="Z1125" s="47" t="e">
        <f ca="1">_xlfn.XLOOKUP(PAA_4[[#This Row],[ITEM]],[2]Contrato!A:A,[2]Contrato!G:G,"",0)</f>
        <v>#NAME?</v>
      </c>
      <c r="AA1125" s="47" t="e">
        <f ca="1">_xlfn.XLOOKUP(PAA_4[[#This Row],[ITEM]],[2]Contrato!A:A,[2]Contrato!T:T,"",0)</f>
        <v>#NAME?</v>
      </c>
      <c r="AB1125" s="55" t="e">
        <f ca="1">+MAX(PAA_4[[#This Row],[Comprometido Contrato]],PAA_4[[#This Row],[Comprometido Bolsa]])</f>
        <v>#NAME?</v>
      </c>
      <c r="AC1125" s="55" t="str">
        <f t="shared" ca="1" si="401"/>
        <v/>
      </c>
      <c r="AD1125" s="55" t="e">
        <f ca="1">IF(PAA_4[[#This Row],[ESTADO (formulado)]]="NO CONTRATADO",0,MAX(PAA_4[[#This Row],[Pago por Contrato]],PAA_4[[#This Row],[Pago por bolsa]]))</f>
        <v>#NAME?</v>
      </c>
      <c r="AE1125" s="55" t="str">
        <f t="shared" ca="1" si="396"/>
        <v/>
      </c>
      <c r="AF1125" s="47" t="e">
        <f t="shared" ca="1" si="400"/>
        <v>#NAME?</v>
      </c>
      <c r="AG1125" s="47">
        <f t="shared" si="397"/>
        <v>41080201</v>
      </c>
      <c r="AH1125" s="54">
        <f>IF(Q1125="22",IF(ISNUMBER(SEARCH("econ",PAA_4[[#This Row],[Actividad3]])),"Económico",IF(ISNUMBER(SEARCH("alim",PAA_4[[#This Row],[Actividad3]])),"Alimentación",IF(ISNUMBER(SEARCH("educ",PAA_4[[#This Row],[Actividad3]])),"Educativo","Técnico"))),0)</f>
        <v>0</v>
      </c>
      <c r="AI1125" s="47" t="e" cm="1">
        <f t="array" aca="1" ref="AI1125" ca="1">_xlfn.XLOOKUP(PAA_4[[#This Row],[RCP-RUBRO]],[2]!COMPROMISOS_2024[[#All],[concatenado]],[2]!COMPROMISOS_2024[[#All],[Total pagado]],"",0)</f>
        <v>#NAME?</v>
      </c>
      <c r="AJ1125" s="56">
        <f>IF(PAA_4[[#This Row],[BOLSA]]=0,0,SUMIFS([2]!COMPROMISOS_2024[[#All],[Total pagado]],[2]!COMPROMISOS_2024[[#All],[Bolsa]],PAA_4[[#This Row],[BOLSA]],[2]!COMPROMISOS_2024[[#All],[rubro]],PAA_4[[#This Row],[RCP-RUBRO]]))</f>
        <v>0</v>
      </c>
      <c r="AK1125" s="47" t="e" cm="1">
        <f t="array" aca="1" ref="AK1125" ca="1">_xlfn.XLOOKUP(PAA_4[[#This Row],[RCP-RUBRO]],[2]!COMPROMISOS_2024[[#All],[concatenado]],[2]!COMPROMISOS_2024[[#All],[Total Comprometido]],"",0)</f>
        <v>#NAME?</v>
      </c>
      <c r="AL1125" s="47">
        <f>IF(PAA_4[[#This Row],[BOLSA]]=0,0,SUMIFS([2]!COMPROMISOS_2024[[#All],[Total Comprometido]],[2]!COMPROMISOS_2024[[#All],[Bolsa]],PAA_4[[#This Row],[BOLSA]],[2]!COMPROMISOS_2024[[#All],[concatenado]],PAA_4[[#This Row],[RCP-RUBRO]]))</f>
        <v>0</v>
      </c>
    </row>
    <row r="1126" spans="1:38" s="19" customFormat="1" ht="31.5" customHeight="1">
      <c r="A1126" s="47" t="s">
        <v>82</v>
      </c>
      <c r="B1126" s="51" t="s">
        <v>42</v>
      </c>
      <c r="C1126" s="47" t="str">
        <f>VLOOKUP(PAA_4[[#This Row],[PROYECTO (formulado)2]],[2]PROYECTOS!$G$1:$L$32,6,0)</f>
        <v>SUBGERENCIA DE FOMENTO Y DESARROLLO</v>
      </c>
      <c r="D1126" s="47" t="str">
        <f>+IF(PAA_4[[#This Row],[UNIDAD DE CONTRATACION (formulado)]]="Subgerencia Administrativa y Financiera","FUNCIONAMIENTO","INVERSIÓN")</f>
        <v>INVERSIÓN</v>
      </c>
      <c r="E1126" s="48" t="str">
        <f>VLOOKUP(Q1126,[2]PROYECTOS!$G$1:$K$32,5,0)</f>
        <v>CAPACITACION_PARA_EL_SECTOR_DEL_DEPORTE_LA_ACTIVIDAD_FISICA_LA_RECREACION_Y_LA_EDUCACION_FISICA_DE_ANTI</v>
      </c>
      <c r="F1126" s="48">
        <f>VLOOKUP(E1126,[2]PROYECTOS!$K$1:$M$32,3,0)</f>
        <v>2020003050024</v>
      </c>
      <c r="G1126" s="49" t="s">
        <v>337</v>
      </c>
      <c r="H1126" s="49" t="str">
        <f>VLOOKUP(Q1126,[2]PROYECTOS!$V$1:$W$32,2,0)</f>
        <v>050063</v>
      </c>
      <c r="I1126" s="50">
        <v>3814413</v>
      </c>
      <c r="J1126" s="340" t="s">
        <v>1785</v>
      </c>
      <c r="K1126" s="47" t="str">
        <f ca="1">IF(ISNONTEXT(Y1126)=TRUE,"CONTRATADO","NO CONTRATADO")</f>
        <v>CONTRATADO</v>
      </c>
      <c r="L1126" s="351" t="s">
        <v>42</v>
      </c>
      <c r="M1126" s="65" t="s">
        <v>42</v>
      </c>
      <c r="N1126" s="51" t="s">
        <v>349</v>
      </c>
      <c r="O1126" s="51" t="e">
        <f>VLOOKUP(N1126,[2]!RUBROS[#All],3,0)</f>
        <v>#REF!</v>
      </c>
      <c r="P1126" s="53" t="e">
        <f>VLOOKUP(N1126,[2]!RUBROS[#All],2,0)</f>
        <v>#REF!</v>
      </c>
      <c r="Q1126" s="47" t="str">
        <f>+MID(N1126,11,2)</f>
        <v>48</v>
      </c>
      <c r="R1126" s="47" t="str">
        <f t="shared" si="398"/>
        <v>0-205128</v>
      </c>
      <c r="S1126" s="342" t="s">
        <v>42</v>
      </c>
      <c r="T1126" s="59" t="s">
        <v>42</v>
      </c>
      <c r="U1126" s="326" t="e">
        <f ca="1">_xlfn.XLOOKUP(PAA_4[[#This Row],[ITEM]],[2]Contrato!A:A,[2]Contrato!Q:Q,"",0)</f>
        <v>#NAME?</v>
      </c>
      <c r="V1126" s="47" t="s">
        <v>95</v>
      </c>
      <c r="W1126" s="343" t="s">
        <v>42</v>
      </c>
      <c r="X1126" s="343" t="s">
        <v>42</v>
      </c>
      <c r="Y1126" s="55" t="e">
        <f ca="1">_xlfn.XLOOKUP(PAA_4[[#This Row],[ITEM]],[2]Contrato!A:A,[2]Contrato!B:B,"",0)</f>
        <v>#NAME?</v>
      </c>
      <c r="Z1126" s="47" t="e">
        <f ca="1">_xlfn.XLOOKUP(PAA_4[[#This Row],[ITEM]],[2]Contrato!A:A,[2]Contrato!G:G,"",0)</f>
        <v>#NAME?</v>
      </c>
      <c r="AA1126" s="47" t="e">
        <f ca="1">_xlfn.XLOOKUP(PAA_4[[#This Row],[ITEM]],[2]Contrato!A:A,[2]Contrato!T:T,"",0)</f>
        <v>#NAME?</v>
      </c>
      <c r="AB1126" s="55" t="e">
        <f ca="1">+MAX(PAA_4[[#This Row],[Comprometido Contrato]],PAA_4[[#This Row],[Comprometido Bolsa]])</f>
        <v>#NAME?</v>
      </c>
      <c r="AC1126" s="55" t="str">
        <f ca="1">IFERROR(I1126-AB1126,"")</f>
        <v/>
      </c>
      <c r="AD1126" s="55" t="e">
        <f ca="1">IF(PAA_4[[#This Row],[ESTADO (formulado)]]="NO CONTRATADO",0,MAX(PAA_4[[#This Row],[Pago por Contrato]],PAA_4[[#This Row],[Pago por bolsa]]))</f>
        <v>#NAME?</v>
      </c>
      <c r="AE1126" s="55" t="str">
        <f ca="1">+IFERROR(AB1126-AD1126,"")</f>
        <v/>
      </c>
      <c r="AF1126" s="47" t="e">
        <f ca="1">+CONCATENATE(AA1126,N1126)</f>
        <v>#NAME?</v>
      </c>
      <c r="AG1126" s="47">
        <f>IFERROR(_xlfn.NUMBERVALUE(MID(G1126,1,8)),"")</f>
        <v>41080201</v>
      </c>
      <c r="AH1126" s="54">
        <f>IF(Q1126="22",IF(ISNUMBER(SEARCH("econ",PAA_4[[#This Row],[Actividad3]])),"Económico",IF(ISNUMBER(SEARCH("alim",PAA_4[[#This Row],[Actividad3]])),"Alimentación",IF(ISNUMBER(SEARCH("educ",PAA_4[[#This Row],[Actividad3]])),"Educativo","Técnico"))),0)</f>
        <v>0</v>
      </c>
      <c r="AI1126" s="47" t="e" cm="1">
        <f t="array" aca="1" ref="AI1126" ca="1">_xlfn.XLOOKUP(PAA_4[[#This Row],[RCP-RUBRO]],[2]!COMPROMISOS_2024[[#All],[concatenado]],[2]!COMPROMISOS_2024[[#All],[Total pagado]],"",0)</f>
        <v>#NAME?</v>
      </c>
      <c r="AJ1126" s="56">
        <f>IF(PAA_4[[#This Row],[BOLSA]]=0,0,SUMIFS([2]!COMPROMISOS_2024[[#All],[Total pagado]],[2]!COMPROMISOS_2024[[#All],[Bolsa]],PAA_4[[#This Row],[BOLSA]],[2]!COMPROMISOS_2024[[#All],[rubro]],PAA_4[[#This Row],[RCP-RUBRO]]))</f>
        <v>0</v>
      </c>
      <c r="AK1126" s="47" t="e" cm="1">
        <f t="array" aca="1" ref="AK1126" ca="1">_xlfn.XLOOKUP(PAA_4[[#This Row],[RCP-RUBRO]],[2]!COMPROMISOS_2024[[#All],[concatenado]],[2]!COMPROMISOS_2024[[#All],[Total Comprometido]],"",0)</f>
        <v>#NAME?</v>
      </c>
      <c r="AL1126" s="47">
        <f>IF(PAA_4[[#This Row],[BOLSA]]=0,0,SUMIFS([2]!COMPROMISOS_2024[[#All],[Total Comprometido]],[2]!COMPROMISOS_2024[[#All],[Bolsa]],PAA_4[[#This Row],[BOLSA]],[2]!COMPROMISOS_2024[[#All],[concatenado]],PAA_4[[#This Row],[RCP-RUBRO]]))</f>
        <v>0</v>
      </c>
    </row>
    <row r="1127" spans="1:38" s="19" customFormat="1" ht="31.5" customHeight="1">
      <c r="A1127" s="47">
        <v>667</v>
      </c>
      <c r="B1127" s="47">
        <v>80111600</v>
      </c>
      <c r="C1127" s="47" t="str">
        <f>VLOOKUP(PAA_4[[#This Row],[PROYECTO (formulado)2]],[2]PROYECTOS!$G$1:$L$32,6,0)</f>
        <v>SUBGERENCIA DE FOMENTO Y DESARROLLO</v>
      </c>
      <c r="D1127" s="47" t="str">
        <f>+IF(PAA_4[[#This Row],[UNIDAD DE CONTRATACION (formulado)]]="Subgerencia Administrativa y Financiera","FUNCIONAMIENTO","INVERSIÓN")</f>
        <v>INVERSIÓN</v>
      </c>
      <c r="E1127" s="48" t="str">
        <f>VLOOKUP(Q1127,[2]PROYECTOS!$G$1:$K$32,5,0)</f>
        <v>CAPACITACION_PARA_EL_SECTOR_DEL_DEPORTE_LA_ACTIVIDAD_FISICA_LA_RECREACION_Y_LA_EDUCACION_FISICA_DE_ANTI</v>
      </c>
      <c r="F1127" s="48">
        <f>VLOOKUP(E1127,[2]PROYECTOS!$K$1:$M$32,3,0)</f>
        <v>2020003050024</v>
      </c>
      <c r="G1127" s="49" t="s">
        <v>337</v>
      </c>
      <c r="H1127" s="49" t="str">
        <f>VLOOKUP(Q1127,[2]PROYECTOS!$V$1:$W$32,2,0)</f>
        <v>050063</v>
      </c>
      <c r="I1127" s="50">
        <f>65160750-3814413</f>
        <v>61346337</v>
      </c>
      <c r="J1127" s="70" t="s">
        <v>348</v>
      </c>
      <c r="K1127" s="47" t="str">
        <f t="shared" ref="K1127" ca="1" si="402">IF(ISNONTEXT(Y1127)=TRUE,"CONTRATADO","NO CONTRATADO")</f>
        <v>CONTRATADO</v>
      </c>
      <c r="L1127" s="47" t="s">
        <v>94</v>
      </c>
      <c r="M1127" s="47" t="s">
        <v>1297</v>
      </c>
      <c r="N1127" s="51" t="s">
        <v>349</v>
      </c>
      <c r="O1127" s="51" t="e">
        <f>VLOOKUP(N1127,[2]!RUBROS[#All],3,0)</f>
        <v>#REF!</v>
      </c>
      <c r="P1127" s="53" t="e">
        <f>VLOOKUP(N1127,[2]!RUBROS[#All],2,0)</f>
        <v>#REF!</v>
      </c>
      <c r="Q1127" s="47" t="str">
        <f t="shared" ref="Q1127" si="403">+MID(N1127,11,2)</f>
        <v>48</v>
      </c>
      <c r="R1127" s="47" t="str">
        <f t="shared" si="398"/>
        <v>0-205128</v>
      </c>
      <c r="S1127" s="54">
        <v>8</v>
      </c>
      <c r="T1127" s="59" t="s">
        <v>46</v>
      </c>
      <c r="U1127" s="326" t="e">
        <f ca="1">_xlfn.XLOOKUP(PAA_4[[#This Row],[ITEM]],[2]Contrato!A:A,[2]Contrato!Q:Q,"",0)</f>
        <v>#NAME?</v>
      </c>
      <c r="V1127" s="47" t="s">
        <v>95</v>
      </c>
      <c r="W1127" s="47" t="s">
        <v>122</v>
      </c>
      <c r="X1127" s="47" t="s">
        <v>122</v>
      </c>
      <c r="Y1127" s="55" t="e">
        <f ca="1">_xlfn.XLOOKUP(PAA_4[[#This Row],[ITEM]],[2]Contrato!A:A,[2]Contrato!B:B,"",0)</f>
        <v>#NAME?</v>
      </c>
      <c r="Z1127" s="47" t="e">
        <f ca="1">_xlfn.XLOOKUP(PAA_4[[#This Row],[ITEM]],[2]Contrato!A:A,[2]Contrato!G:G,"",0)</f>
        <v>#NAME?</v>
      </c>
      <c r="AA1127" s="47" t="e">
        <f ca="1">_xlfn.XLOOKUP(PAA_4[[#This Row],[ITEM]],[2]Contrato!A:A,[2]Contrato!T:T,"",0)</f>
        <v>#NAME?</v>
      </c>
      <c r="AB1127" s="55" t="e">
        <f ca="1">+MAX(PAA_4[[#This Row],[Comprometido Contrato]],PAA_4[[#This Row],[Comprometido Bolsa]])</f>
        <v>#NAME?</v>
      </c>
      <c r="AC1127" s="55" t="str">
        <f t="shared" ref="AC1127" ca="1" si="404">IFERROR(I1127-AB1127,"")</f>
        <v/>
      </c>
      <c r="AD1127" s="55" t="e">
        <f ca="1">IF(PAA_4[[#This Row],[ESTADO (formulado)]]="NO CONTRATADO",0,MAX(PAA_4[[#This Row],[Pago por Contrato]],PAA_4[[#This Row],[Pago por bolsa]]))</f>
        <v>#NAME?</v>
      </c>
      <c r="AE1127" s="55" t="str">
        <f t="shared" ref="AE1127" ca="1" si="405">+IFERROR(AB1127-AD1127,"")</f>
        <v/>
      </c>
      <c r="AF1127" s="47" t="e">
        <f t="shared" ref="AF1127" ca="1" si="406">+CONCATENATE(AA1127,N1127)</f>
        <v>#NAME?</v>
      </c>
      <c r="AG1127" s="47">
        <f t="shared" ref="AG1127" si="407">IFERROR(_xlfn.NUMBERVALUE(MID(G1127,1,8)),"")</f>
        <v>41080201</v>
      </c>
      <c r="AH1127" s="54">
        <f>IF(Q1127="22",IF(ISNUMBER(SEARCH("econ",PAA_4[[#This Row],[Actividad3]])),"Económico",IF(ISNUMBER(SEARCH("alim",PAA_4[[#This Row],[Actividad3]])),"Alimentación",IF(ISNUMBER(SEARCH("educ",PAA_4[[#This Row],[Actividad3]])),"Educativo","Técnico"))),0)</f>
        <v>0</v>
      </c>
      <c r="AI1127" s="47" t="e" cm="1">
        <f t="array" aca="1" ref="AI1127" ca="1">_xlfn.XLOOKUP(PAA_4[[#This Row],[RCP-RUBRO]],[2]!COMPROMISOS_2024[[#All],[concatenado]],[2]!COMPROMISOS_2024[[#All],[Total pagado]],"",0)</f>
        <v>#NAME?</v>
      </c>
      <c r="AJ1127" s="56">
        <f>IF(PAA_4[[#This Row],[BOLSA]]=0,0,SUMIFS([2]!COMPROMISOS_2024[[#All],[Total pagado]],[2]!COMPROMISOS_2024[[#All],[Bolsa]],PAA_4[[#This Row],[BOLSA]],[2]!COMPROMISOS_2024[[#All],[rubro]],PAA_4[[#This Row],[RCP-RUBRO]]))</f>
        <v>0</v>
      </c>
      <c r="AK1127" s="47" t="e" cm="1">
        <f t="array" aca="1" ref="AK1127" ca="1">_xlfn.XLOOKUP(PAA_4[[#This Row],[RCP-RUBRO]],[2]!COMPROMISOS_2024[[#All],[concatenado]],[2]!COMPROMISOS_2024[[#All],[Total Comprometido]],"",0)</f>
        <v>#NAME?</v>
      </c>
      <c r="AL1127" s="47">
        <f>IF(PAA_4[[#This Row],[BOLSA]]=0,0,SUMIFS([2]!COMPROMISOS_2024[[#All],[Total Comprometido]],[2]!COMPROMISOS_2024[[#All],[Bolsa]],PAA_4[[#This Row],[BOLSA]],[2]!COMPROMISOS_2024[[#All],[concatenado]],PAA_4[[#This Row],[RCP-RUBRO]]))</f>
        <v>0</v>
      </c>
    </row>
    <row r="1128" spans="1:38" s="19" customFormat="1" ht="31.5" customHeight="1">
      <c r="A1128" s="47" t="s">
        <v>82</v>
      </c>
      <c r="B1128" s="47" t="s">
        <v>42</v>
      </c>
      <c r="C1128" s="47" t="str">
        <f>VLOOKUP(PAA_4[[#This Row],[PROYECTO (formulado)2]],[2]PROYECTOS!$G$1:$L$32,6,0)</f>
        <v>SUBGERENCIA DE FOMENTO Y DESARROLLO</v>
      </c>
      <c r="D1128" s="47" t="str">
        <f>+IF(PAA_4[[#This Row],[UNIDAD DE CONTRATACION (formulado)]]="Subgerencia Administrativa y Financiera","FUNCIONAMIENTO","INVERSIÓN")</f>
        <v>INVERSIÓN</v>
      </c>
      <c r="E1128" s="48" t="str">
        <f>VLOOKUP(Q1128,[2]PROYECTOS!$G$1:$K$32,5,0)</f>
        <v>FORTALECIMIENTO_DEL_PROGRAMA_POR_SU_SALUD_MUÉVASE_PUES_EN_LOS_MUNICIPIO_DEL_DEPARTAMENTO_DE_ANTIOQUIA</v>
      </c>
      <c r="F1128" s="48">
        <f>VLOOKUP(E1128,[2]PROYECTOS!$K$1:$M$32,3,0)</f>
        <v>2020003050030</v>
      </c>
      <c r="G1128" s="49" t="s">
        <v>350</v>
      </c>
      <c r="H1128" s="49" t="str">
        <f>VLOOKUP(Q1128,[2]PROYECTOS!$V$1:$W$32,2,0)</f>
        <v>050055</v>
      </c>
      <c r="I1128" s="50">
        <v>3025325</v>
      </c>
      <c r="J1128" s="70" t="s">
        <v>1853</v>
      </c>
      <c r="K1128" s="47" t="str">
        <f ca="1">IF(ISNONTEXT(Y1128)=TRUE,"CONTRATADO","NO CONTRATADO")</f>
        <v>CONTRATADO</v>
      </c>
      <c r="L1128" s="47" t="s">
        <v>42</v>
      </c>
      <c r="M1128" s="47" t="s">
        <v>42</v>
      </c>
      <c r="N1128" s="51" t="s">
        <v>352</v>
      </c>
      <c r="O1128" s="51" t="e">
        <f>VLOOKUP(N1128,[2]!RUBROS[#All],3,0)</f>
        <v>#REF!</v>
      </c>
      <c r="P1128" s="53" t="e">
        <f>VLOOKUP(N1128,[2]!RUBROS[#All],2,0)</f>
        <v>#REF!</v>
      </c>
      <c r="Q1128" s="47" t="str">
        <f>+MID(N1128,11,2)</f>
        <v>45</v>
      </c>
      <c r="R1128" s="47" t="str">
        <f t="shared" si="398"/>
        <v>0-205128</v>
      </c>
      <c r="S1128" s="54" t="s">
        <v>42</v>
      </c>
      <c r="T1128" s="59" t="s">
        <v>42</v>
      </c>
      <c r="U1128" s="326" t="e">
        <f ca="1">_xlfn.XLOOKUP(PAA_4[[#This Row],[ITEM]],[2]Contrato!A:A,[2]Contrato!Q:Q,"",0)</f>
        <v>#NAME?</v>
      </c>
      <c r="V1128" s="47" t="s">
        <v>95</v>
      </c>
      <c r="W1128" s="47" t="s">
        <v>42</v>
      </c>
      <c r="X1128" s="47" t="s">
        <v>42</v>
      </c>
      <c r="Y1128" s="55" t="e">
        <f ca="1">_xlfn.XLOOKUP(PAA_4[[#This Row],[ITEM]],[2]Contrato!A:A,[2]Contrato!B:B,"",0)</f>
        <v>#NAME?</v>
      </c>
      <c r="Z1128" s="47" t="e">
        <f ca="1">_xlfn.XLOOKUP(PAA_4[[#This Row],[ITEM]],[2]Contrato!A:A,[2]Contrato!G:G,"",0)</f>
        <v>#NAME?</v>
      </c>
      <c r="AA1128" s="47" t="e">
        <f ca="1">_xlfn.XLOOKUP(PAA_4[[#This Row],[ITEM]],[2]Contrato!A:A,[2]Contrato!T:T,"",0)</f>
        <v>#NAME?</v>
      </c>
      <c r="AB1128" s="55" t="e">
        <f ca="1">+MAX(PAA_4[[#This Row],[Comprometido Contrato]],PAA_4[[#This Row],[Comprometido Bolsa]])</f>
        <v>#NAME?</v>
      </c>
      <c r="AC1128" s="55" t="str">
        <f ca="1">IFERROR(I1128-AB1128,"")</f>
        <v/>
      </c>
      <c r="AD1128" s="55" t="e">
        <f ca="1">IF(PAA_4[[#This Row],[ESTADO (formulado)]]="NO CONTRATADO",0,MAX(PAA_4[[#This Row],[Pago por Contrato]],PAA_4[[#This Row],[Pago por bolsa]]))</f>
        <v>#NAME?</v>
      </c>
      <c r="AE1128" s="55" t="str">
        <f ca="1">+IFERROR(AB1128-AD1128,"")</f>
        <v/>
      </c>
      <c r="AF1128" s="47" t="e">
        <f ca="1">+CONCATENATE(AA1128,N1128)</f>
        <v>#NAME?</v>
      </c>
      <c r="AG1128" s="47">
        <f>IFERROR(_xlfn.NUMBERVALUE(MID(G1128,1,8)),"")</f>
        <v>44021001</v>
      </c>
      <c r="AH1128" s="54">
        <f>IF(Q1128="22",IF(ISNUMBER(SEARCH("econ",PAA_4[[#This Row],[Actividad3]])),"Económico",IF(ISNUMBER(SEARCH("alim",PAA_4[[#This Row],[Actividad3]])),"Alimentación",IF(ISNUMBER(SEARCH("educ",PAA_4[[#This Row],[Actividad3]])),"Educativo","Técnico"))),0)</f>
        <v>0</v>
      </c>
      <c r="AI1128" s="47" t="e" cm="1">
        <f t="array" aca="1" ref="AI1128" ca="1">_xlfn.XLOOKUP(PAA_4[[#This Row],[RCP-RUBRO]],[2]!COMPROMISOS_2024[[#All],[concatenado]],[2]!COMPROMISOS_2024[[#All],[Total pagado]],"",0)</f>
        <v>#NAME?</v>
      </c>
      <c r="AJ1128" s="56">
        <f>IF(PAA_4[[#This Row],[BOLSA]]=0,0,SUMIFS([2]!COMPROMISOS_2024[[#All],[Total pagado]],[2]!COMPROMISOS_2024[[#All],[Bolsa]],PAA_4[[#This Row],[BOLSA]],[2]!COMPROMISOS_2024[[#All],[rubro]],PAA_4[[#This Row],[RCP-RUBRO]]))</f>
        <v>0</v>
      </c>
      <c r="AK1128" s="47" t="e" cm="1">
        <f t="array" aca="1" ref="AK1128" ca="1">_xlfn.XLOOKUP(PAA_4[[#This Row],[RCP-RUBRO]],[2]!COMPROMISOS_2024[[#All],[concatenado]],[2]!COMPROMISOS_2024[[#All],[Total Comprometido]],"",0)</f>
        <v>#NAME?</v>
      </c>
      <c r="AL1128" s="47">
        <f>IF(PAA_4[[#This Row],[BOLSA]]=0,0,SUMIFS([2]!COMPROMISOS_2024[[#All],[Total Comprometido]],[2]!COMPROMISOS_2024[[#All],[Bolsa]],PAA_4[[#This Row],[BOLSA]],[2]!COMPROMISOS_2024[[#All],[concatenado]],PAA_4[[#This Row],[RCP-RUBRO]]))</f>
        <v>0</v>
      </c>
    </row>
    <row r="1129" spans="1:38" s="19" customFormat="1" ht="31.5" customHeight="1">
      <c r="A1129" s="47">
        <v>668</v>
      </c>
      <c r="B1129" s="47">
        <v>80111600</v>
      </c>
      <c r="C1129" s="47" t="str">
        <f>VLOOKUP(PAA_4[[#This Row],[PROYECTO (formulado)2]],[2]PROYECTOS!$G$1:$L$32,6,0)</f>
        <v>SUBGERENCIA DE FOMENTO Y DESARROLLO</v>
      </c>
      <c r="D1129" s="47" t="str">
        <f>+IF(PAA_4[[#This Row],[UNIDAD DE CONTRATACION (formulado)]]="Subgerencia Administrativa y Financiera","FUNCIONAMIENTO","INVERSIÓN")</f>
        <v>INVERSIÓN</v>
      </c>
      <c r="E1129" s="48" t="str">
        <f>VLOOKUP(Q1129,[2]PROYECTOS!$G$1:$K$32,5,0)</f>
        <v>FORTALECIMIENTO_DEL_PROGRAMA_POR_SU_SALUD_MUÉVASE_PUES_EN_LOS_MUNICIPIO_DEL_DEPARTAMENTO_DE_ANTIOQUIA</v>
      </c>
      <c r="F1129" s="48">
        <f>VLOOKUP(E1129,[2]PROYECTOS!$K$1:$M$32,3,0)</f>
        <v>2020003050030</v>
      </c>
      <c r="G1129" s="49" t="s">
        <v>350</v>
      </c>
      <c r="H1129" s="49" t="str">
        <f>VLOOKUP(Q1129,[2]PROYECTOS!$V$1:$W$32,2,0)</f>
        <v>050055</v>
      </c>
      <c r="I1129" s="50">
        <f>64803345-3025325</f>
        <v>61778020</v>
      </c>
      <c r="J1129" s="70" t="s">
        <v>351</v>
      </c>
      <c r="K1129" s="47" t="str">
        <f t="shared" ref="K1129" ca="1" si="408">IF(ISNONTEXT(Y1129)=TRUE,"CONTRATADO","NO CONTRATADO")</f>
        <v>CONTRATADO</v>
      </c>
      <c r="L1129" s="47" t="s">
        <v>94</v>
      </c>
      <c r="M1129" s="47" t="s">
        <v>1297</v>
      </c>
      <c r="N1129" s="51" t="s">
        <v>352</v>
      </c>
      <c r="O1129" s="51" t="e">
        <f>VLOOKUP(N1129,[2]!RUBROS[#All],3,0)</f>
        <v>#REF!</v>
      </c>
      <c r="P1129" s="53" t="e">
        <f>VLOOKUP(N1129,[2]!RUBROS[#All],2,0)</f>
        <v>#REF!</v>
      </c>
      <c r="Q1129" s="47" t="str">
        <f t="shared" ref="Q1129" si="409">+MID(N1129,11,2)</f>
        <v>45</v>
      </c>
      <c r="R1129" s="47" t="str">
        <f t="shared" si="398"/>
        <v>0-205128</v>
      </c>
      <c r="S1129" s="54">
        <v>8</v>
      </c>
      <c r="T1129" s="59" t="s">
        <v>46</v>
      </c>
      <c r="U1129" s="326" t="e">
        <f ca="1">_xlfn.XLOOKUP(PAA_4[[#This Row],[ITEM]],[2]Contrato!A:A,[2]Contrato!Q:Q,"",0)</f>
        <v>#NAME?</v>
      </c>
      <c r="V1129" s="47" t="s">
        <v>95</v>
      </c>
      <c r="W1129" s="47" t="s">
        <v>122</v>
      </c>
      <c r="X1129" s="47" t="s">
        <v>122</v>
      </c>
      <c r="Y1129" s="55" t="e">
        <f ca="1">_xlfn.XLOOKUP(PAA_4[[#This Row],[ITEM]],[2]Contrato!A:A,[2]Contrato!B:B,"",0)</f>
        <v>#NAME?</v>
      </c>
      <c r="Z1129" s="47" t="e">
        <f ca="1">_xlfn.XLOOKUP(PAA_4[[#This Row],[ITEM]],[2]Contrato!A:A,[2]Contrato!G:G,"",0)</f>
        <v>#NAME?</v>
      </c>
      <c r="AA1129" s="47" t="e">
        <f ca="1">_xlfn.XLOOKUP(PAA_4[[#This Row],[ITEM]],[2]Contrato!A:A,[2]Contrato!T:T,"",0)</f>
        <v>#NAME?</v>
      </c>
      <c r="AB1129" s="55" t="e">
        <f ca="1">+MAX(PAA_4[[#This Row],[Comprometido Contrato]],PAA_4[[#This Row],[Comprometido Bolsa]])</f>
        <v>#NAME?</v>
      </c>
      <c r="AC1129" s="55" t="str">
        <f t="shared" ref="AC1129" ca="1" si="410">IFERROR(I1129-AB1129,"")</f>
        <v/>
      </c>
      <c r="AD1129" s="55" t="e">
        <f ca="1">IF(PAA_4[[#This Row],[ESTADO (formulado)]]="NO CONTRATADO",0,MAX(PAA_4[[#This Row],[Pago por Contrato]],PAA_4[[#This Row],[Pago por bolsa]]))</f>
        <v>#NAME?</v>
      </c>
      <c r="AE1129" s="55" t="str">
        <f t="shared" ref="AE1129" ca="1" si="411">+IFERROR(AB1129-AD1129,"")</f>
        <v/>
      </c>
      <c r="AF1129" s="47" t="e">
        <f t="shared" ref="AF1129" ca="1" si="412">+CONCATENATE(AA1129,N1129)</f>
        <v>#NAME?</v>
      </c>
      <c r="AG1129" s="47">
        <f t="shared" ref="AG1129" si="413">IFERROR(_xlfn.NUMBERVALUE(MID(G1129,1,8)),"")</f>
        <v>44021001</v>
      </c>
      <c r="AH1129" s="54">
        <f>IF(Q1129="22",IF(ISNUMBER(SEARCH("econ",PAA_4[[#This Row],[Actividad3]])),"Económico",IF(ISNUMBER(SEARCH("alim",PAA_4[[#This Row],[Actividad3]])),"Alimentación",IF(ISNUMBER(SEARCH("educ",PAA_4[[#This Row],[Actividad3]])),"Educativo","Técnico"))),0)</f>
        <v>0</v>
      </c>
      <c r="AI1129" s="47" t="e" cm="1">
        <f t="array" aca="1" ref="AI1129" ca="1">_xlfn.XLOOKUP(PAA_4[[#This Row],[RCP-RUBRO]],[2]!COMPROMISOS_2024[[#All],[concatenado]],[2]!COMPROMISOS_2024[[#All],[Total pagado]],"",0)</f>
        <v>#NAME?</v>
      </c>
      <c r="AJ1129" s="56">
        <f>IF(PAA_4[[#This Row],[BOLSA]]=0,0,SUMIFS([2]!COMPROMISOS_2024[[#All],[Total pagado]],[2]!COMPROMISOS_2024[[#All],[Bolsa]],PAA_4[[#This Row],[BOLSA]],[2]!COMPROMISOS_2024[[#All],[rubro]],PAA_4[[#This Row],[RCP-RUBRO]]))</f>
        <v>0</v>
      </c>
      <c r="AK1129" s="47" t="e" cm="1">
        <f t="array" aca="1" ref="AK1129" ca="1">_xlfn.XLOOKUP(PAA_4[[#This Row],[RCP-RUBRO]],[2]!COMPROMISOS_2024[[#All],[concatenado]],[2]!COMPROMISOS_2024[[#All],[Total Comprometido]],"",0)</f>
        <v>#NAME?</v>
      </c>
      <c r="AL1129" s="47">
        <f>IF(PAA_4[[#This Row],[BOLSA]]=0,0,SUMIFS([2]!COMPROMISOS_2024[[#All],[Total Comprometido]],[2]!COMPROMISOS_2024[[#All],[Bolsa]],PAA_4[[#This Row],[BOLSA]],[2]!COMPROMISOS_2024[[#All],[concatenado]],PAA_4[[#This Row],[RCP-RUBRO]]))</f>
        <v>0</v>
      </c>
    </row>
    <row r="1130" spans="1:38" s="19" customFormat="1" ht="31.5" customHeight="1">
      <c r="A1130" s="47" t="s">
        <v>82</v>
      </c>
      <c r="B1130" s="47" t="s">
        <v>42</v>
      </c>
      <c r="C1130" s="47" t="str">
        <f>VLOOKUP(PAA_4[[#This Row],[PROYECTO (formulado)2]],[2]PROYECTOS!$G$1:$L$32,6,0)</f>
        <v>SUBGERENCIA DE FOMENTO Y DESARROLLO</v>
      </c>
      <c r="D1130" s="47" t="str">
        <f>+IF(PAA_4[[#This Row],[UNIDAD DE CONTRATACION (formulado)]]="Subgerencia Administrativa y Financiera","FUNCIONAMIENTO","INVERSIÓN")</f>
        <v>INVERSIÓN</v>
      </c>
      <c r="E1130" s="48" t="str">
        <f>VLOOKUP(Q1130,[2]PROYECTOS!$G$1:$K$32,5,0)</f>
        <v>FORTALECIMIENTO_DE_LOS_PROGRAMAS_RECREATIVOS_EN_LOS_MUNICIPIOS_DEL_DEPARTAMENTO_DE_ANTIOQUIA</v>
      </c>
      <c r="F1130" s="48">
        <f>VLOOKUP(E1130,[2]PROYECTOS!$K$1:$M$32,3,0)</f>
        <v>2020003050031</v>
      </c>
      <c r="G1130" s="49" t="s">
        <v>353</v>
      </c>
      <c r="H1130" s="49" t="str">
        <f>VLOOKUP(Q1130,[2]PROYECTOS!$V$1:$W$32,2,0)</f>
        <v>050064</v>
      </c>
      <c r="I1130" s="50">
        <v>117656</v>
      </c>
      <c r="J1130" s="51" t="s">
        <v>1368</v>
      </c>
      <c r="K1130" s="47" t="str">
        <f ca="1">IF(ISNONTEXT(Y1130)=TRUE,"CONTRATADO","NO CONTRATADO")</f>
        <v>CONTRATADO</v>
      </c>
      <c r="L1130" s="47" t="s">
        <v>42</v>
      </c>
      <c r="M1130" s="47" t="s">
        <v>42</v>
      </c>
      <c r="N1130" s="51" t="s">
        <v>355</v>
      </c>
      <c r="O1130" s="51" t="e">
        <f>VLOOKUP(N1130,[2]!RUBROS[#All],3,0)</f>
        <v>#REF!</v>
      </c>
      <c r="P1130" s="53" t="e">
        <f>VLOOKUP(N1130,[2]!RUBROS[#All],2,0)</f>
        <v>#REF!</v>
      </c>
      <c r="Q1130" s="47" t="str">
        <f>+MID(N1130,11,2)</f>
        <v>47</v>
      </c>
      <c r="R1130" s="47" t="str">
        <f t="shared" si="398"/>
        <v>0-205128</v>
      </c>
      <c r="S1130" s="47" t="s">
        <v>42</v>
      </c>
      <c r="T1130" s="59" t="s">
        <v>42</v>
      </c>
      <c r="U1130" s="326" t="e">
        <f ca="1">_xlfn.XLOOKUP(PAA_4[[#This Row],[ITEM]],[2]Contrato!A:A,[2]Contrato!Q:Q,"",0)</f>
        <v>#NAME?</v>
      </c>
      <c r="V1130" s="47" t="s">
        <v>95</v>
      </c>
      <c r="W1130" s="47" t="s">
        <v>42</v>
      </c>
      <c r="X1130" s="47" t="s">
        <v>42</v>
      </c>
      <c r="Y1130" s="55" t="e">
        <f ca="1">_xlfn.XLOOKUP(PAA_4[[#This Row],[ITEM]],[2]Contrato!A:A,[2]Contrato!B:B,"",0)</f>
        <v>#NAME?</v>
      </c>
      <c r="Z1130" s="47" t="e">
        <f ca="1">_xlfn.XLOOKUP(PAA_4[[#This Row],[ITEM]],[2]Contrato!A:A,[2]Contrato!G:G,"",0)</f>
        <v>#NAME?</v>
      </c>
      <c r="AA1130" s="47" t="e">
        <f ca="1">_xlfn.XLOOKUP(PAA_4[[#This Row],[ITEM]],[2]Contrato!A:A,[2]Contrato!T:T,"",0)</f>
        <v>#NAME?</v>
      </c>
      <c r="AB1130" s="55" t="e">
        <f ca="1">+MAX(PAA_4[[#This Row],[Comprometido Contrato]],PAA_4[[#This Row],[Comprometido Bolsa]])</f>
        <v>#NAME?</v>
      </c>
      <c r="AC1130" s="55" t="str">
        <f ca="1">IFERROR(I1130-AB1130,"")</f>
        <v/>
      </c>
      <c r="AD1130" s="55" t="e">
        <f ca="1">IF(PAA_4[[#This Row],[ESTADO (formulado)]]="NO CONTRATADO",0,MAX(PAA_4[[#This Row],[Pago por Contrato]],PAA_4[[#This Row],[Pago por bolsa]]))</f>
        <v>#NAME?</v>
      </c>
      <c r="AE1130" s="55" t="str">
        <f ca="1">+IFERROR(AB1130-AD1130,"")</f>
        <v/>
      </c>
      <c r="AF1130" s="47" t="e">
        <f ca="1">+CONCATENATE(AA1130,N1130)</f>
        <v>#NAME?</v>
      </c>
      <c r="AG1130" s="47">
        <f>IFERROR(_xlfn.NUMBERVALUE(MID(G1130,1,8)),"")</f>
        <v>44021004</v>
      </c>
      <c r="AH1130" s="54">
        <f>IF(Q1130="22",IF(ISNUMBER(SEARCH("econ",PAA_4[[#This Row],[Actividad3]])),"Económico",IF(ISNUMBER(SEARCH("alim",PAA_4[[#This Row],[Actividad3]])),"Alimentación",IF(ISNUMBER(SEARCH("educ",PAA_4[[#This Row],[Actividad3]])),"Educativo","Técnico"))),0)</f>
        <v>0</v>
      </c>
      <c r="AI1130" s="47" t="e" cm="1">
        <f t="array" aca="1" ref="AI1130" ca="1">_xlfn.XLOOKUP(PAA_4[[#This Row],[RCP-RUBRO]],[2]!COMPROMISOS_2024[[#All],[concatenado]],[2]!COMPROMISOS_2024[[#All],[Total pagado]],"",0)</f>
        <v>#NAME?</v>
      </c>
      <c r="AJ1130" s="56">
        <f>IF(PAA_4[[#This Row],[BOLSA]]=0,0,SUMIFS([2]!COMPROMISOS_2024[[#All],[Total pagado]],[2]!COMPROMISOS_2024[[#All],[Bolsa]],PAA_4[[#This Row],[BOLSA]],[2]!COMPROMISOS_2024[[#All],[rubro]],PAA_4[[#This Row],[RCP-RUBRO]]))</f>
        <v>0</v>
      </c>
      <c r="AK1130" s="47" t="e" cm="1">
        <f t="array" aca="1" ref="AK1130" ca="1">_xlfn.XLOOKUP(PAA_4[[#This Row],[RCP-RUBRO]],[2]!COMPROMISOS_2024[[#All],[concatenado]],[2]!COMPROMISOS_2024[[#All],[Total Comprometido]],"",0)</f>
        <v>#NAME?</v>
      </c>
      <c r="AL1130" s="47">
        <f>IF(PAA_4[[#This Row],[BOLSA]]=0,0,SUMIFS([2]!COMPROMISOS_2024[[#All],[Total Comprometido]],[2]!COMPROMISOS_2024[[#All],[Bolsa]],PAA_4[[#This Row],[BOLSA]],[2]!COMPROMISOS_2024[[#All],[concatenado]],PAA_4[[#This Row],[RCP-RUBRO]]))</f>
        <v>0</v>
      </c>
    </row>
    <row r="1131" spans="1:38" s="19" customFormat="1" ht="31.5" customHeight="1">
      <c r="A1131" s="47">
        <v>669</v>
      </c>
      <c r="B1131" s="47">
        <v>80111600</v>
      </c>
      <c r="C1131" s="47" t="str">
        <f>VLOOKUP(PAA_4[[#This Row],[PROYECTO (formulado)2]],[2]PROYECTOS!$G$1:$L$32,6,0)</f>
        <v>SUBGERENCIA DE FOMENTO Y DESARROLLO</v>
      </c>
      <c r="D1131" s="47" t="str">
        <f>+IF(PAA_4[[#This Row],[UNIDAD DE CONTRATACION (formulado)]]="Subgerencia Administrativa y Financiera","FUNCIONAMIENTO","INVERSIÓN")</f>
        <v>INVERSIÓN</v>
      </c>
      <c r="E1131" s="48" t="str">
        <f>VLOOKUP(Q1131,[2]PROYECTOS!$G$1:$K$32,5,0)</f>
        <v>FORTALECIMIENTO_DE_LOS_PROGRAMAS_RECREATIVOS_EN_LOS_MUNICIPIOS_DEL_DEPARTAMENTO_DE_ANTIOQUIA</v>
      </c>
      <c r="F1131" s="48">
        <f>VLOOKUP(E1131,[2]PROYECTOS!$K$1:$M$32,3,0)</f>
        <v>2020003050031</v>
      </c>
      <c r="G1131" s="49" t="s">
        <v>353</v>
      </c>
      <c r="H1131" s="49" t="str">
        <f>VLOOKUP(Q1131,[2]PROYECTOS!$V$1:$W$32,2,0)</f>
        <v>050064</v>
      </c>
      <c r="I1131" s="50">
        <f>66803345-117656</f>
        <v>66685689</v>
      </c>
      <c r="J1131" s="70" t="s">
        <v>354</v>
      </c>
      <c r="K1131" s="47" t="str">
        <f t="shared" ref="K1131:K1157" ca="1" si="414">IF(ISNONTEXT(Y1131)=TRUE,"CONTRATADO","NO CONTRATADO")</f>
        <v>CONTRATADO</v>
      </c>
      <c r="L1131" s="47" t="s">
        <v>94</v>
      </c>
      <c r="M1131" s="47" t="s">
        <v>1297</v>
      </c>
      <c r="N1131" s="51" t="s">
        <v>355</v>
      </c>
      <c r="O1131" s="51" t="e">
        <f>VLOOKUP(N1131,[2]!RUBROS[#All],3,0)</f>
        <v>#REF!</v>
      </c>
      <c r="P1131" s="53" t="e">
        <f>VLOOKUP(N1131,[2]!RUBROS[#All],2,0)</f>
        <v>#REF!</v>
      </c>
      <c r="Q1131" s="47" t="str">
        <f t="shared" ref="Q1131:Q1157" si="415">+MID(N1131,11,2)</f>
        <v>47</v>
      </c>
      <c r="R1131" s="47" t="str">
        <f t="shared" si="398"/>
        <v>0-205128</v>
      </c>
      <c r="S1131" s="54">
        <v>8</v>
      </c>
      <c r="T1131" s="59" t="s">
        <v>46</v>
      </c>
      <c r="U1131" s="326" t="e">
        <f ca="1">_xlfn.XLOOKUP(PAA_4[[#This Row],[ITEM]],[2]Contrato!A:A,[2]Contrato!Q:Q,"",0)</f>
        <v>#NAME?</v>
      </c>
      <c r="V1131" s="47" t="s">
        <v>95</v>
      </c>
      <c r="W1131" s="47" t="s">
        <v>122</v>
      </c>
      <c r="X1131" s="47" t="s">
        <v>122</v>
      </c>
      <c r="Y1131" s="55" t="e">
        <f ca="1">_xlfn.XLOOKUP(PAA_4[[#This Row],[ITEM]],[2]Contrato!A:A,[2]Contrato!B:B,"",0)</f>
        <v>#NAME?</v>
      </c>
      <c r="Z1131" s="47" t="e">
        <f ca="1">_xlfn.XLOOKUP(PAA_4[[#This Row],[ITEM]],[2]Contrato!A:A,[2]Contrato!G:G,"",0)</f>
        <v>#NAME?</v>
      </c>
      <c r="AA1131" s="47" t="e">
        <f ca="1">_xlfn.XLOOKUP(PAA_4[[#This Row],[ITEM]],[2]Contrato!A:A,[2]Contrato!T:T,"",0)</f>
        <v>#NAME?</v>
      </c>
      <c r="AB1131" s="55" t="e">
        <f ca="1">+MAX(PAA_4[[#This Row],[Comprometido Contrato]],PAA_4[[#This Row],[Comprometido Bolsa]])</f>
        <v>#NAME?</v>
      </c>
      <c r="AC1131" s="55" t="str">
        <f t="shared" ref="AC1131:AC1157" ca="1" si="416">IFERROR(I1131-AB1131,"")</f>
        <v/>
      </c>
      <c r="AD1131" s="55" t="e">
        <f ca="1">IF(PAA_4[[#This Row],[ESTADO (formulado)]]="NO CONTRATADO",0,MAX(PAA_4[[#This Row],[Pago por Contrato]],PAA_4[[#This Row],[Pago por bolsa]]))</f>
        <v>#NAME?</v>
      </c>
      <c r="AE1131" s="55" t="str">
        <f t="shared" ref="AE1131:AE1157" ca="1" si="417">+IFERROR(AB1131-AD1131,"")</f>
        <v/>
      </c>
      <c r="AF1131" s="47" t="e">
        <f t="shared" ref="AF1131:AF1157" ca="1" si="418">+CONCATENATE(AA1131,N1131)</f>
        <v>#NAME?</v>
      </c>
      <c r="AG1131" s="47">
        <f t="shared" ref="AG1131:AG1157" si="419">IFERROR(_xlfn.NUMBERVALUE(MID(G1131,1,8)),"")</f>
        <v>44021004</v>
      </c>
      <c r="AH1131" s="54">
        <f>IF(Q1131="22",IF(ISNUMBER(SEARCH("econ",PAA_4[[#This Row],[Actividad3]])),"Económico",IF(ISNUMBER(SEARCH("alim",PAA_4[[#This Row],[Actividad3]])),"Alimentación",IF(ISNUMBER(SEARCH("educ",PAA_4[[#This Row],[Actividad3]])),"Educativo","Técnico"))),0)</f>
        <v>0</v>
      </c>
      <c r="AI1131" s="47" t="e" cm="1">
        <f t="array" aca="1" ref="AI1131" ca="1">_xlfn.XLOOKUP(PAA_4[[#This Row],[RCP-RUBRO]],[2]!COMPROMISOS_2024[[#All],[concatenado]],[2]!COMPROMISOS_2024[[#All],[Total pagado]],"",0)</f>
        <v>#NAME?</v>
      </c>
      <c r="AJ1131" s="56">
        <f>IF(PAA_4[[#This Row],[BOLSA]]=0,0,SUMIFS([2]!COMPROMISOS_2024[[#All],[Total pagado]],[2]!COMPROMISOS_2024[[#All],[Bolsa]],PAA_4[[#This Row],[BOLSA]],[2]!COMPROMISOS_2024[[#All],[rubro]],PAA_4[[#This Row],[RCP-RUBRO]]))</f>
        <v>0</v>
      </c>
      <c r="AK1131" s="47" t="e" cm="1">
        <f t="array" aca="1" ref="AK1131" ca="1">_xlfn.XLOOKUP(PAA_4[[#This Row],[RCP-RUBRO]],[2]!COMPROMISOS_2024[[#All],[concatenado]],[2]!COMPROMISOS_2024[[#All],[Total Comprometido]],"",0)</f>
        <v>#NAME?</v>
      </c>
      <c r="AL1131" s="47">
        <f>IF(PAA_4[[#This Row],[BOLSA]]=0,0,SUMIFS([2]!COMPROMISOS_2024[[#All],[Total Comprometido]],[2]!COMPROMISOS_2024[[#All],[Bolsa]],PAA_4[[#This Row],[BOLSA]],[2]!COMPROMISOS_2024[[#All],[concatenado]],PAA_4[[#This Row],[RCP-RUBRO]]))</f>
        <v>0</v>
      </c>
    </row>
    <row r="1132" spans="1:38" s="19" customFormat="1" ht="31.5" customHeight="1">
      <c r="A1132" s="47" t="s">
        <v>82</v>
      </c>
      <c r="B1132" s="47">
        <v>80111600</v>
      </c>
      <c r="C1132" s="47" t="str">
        <f>VLOOKUP(PAA_4[[#This Row],[PROYECTO (formulado)2]],[2]PROYECTOS!$G$1:$L$32,6,0)</f>
        <v>SUBGERENCIA DE FOMENTO Y DESARROLLO</v>
      </c>
      <c r="D1132" s="47" t="str">
        <f>+IF(PAA_4[[#This Row],[UNIDAD DE CONTRATACION (formulado)]]="Subgerencia Administrativa y Financiera","FUNCIONAMIENTO","INVERSIÓN")</f>
        <v>INVERSIÓN</v>
      </c>
      <c r="E1132" s="48" t="str">
        <f>VLOOKUP(Q1132,[2]PROYECTOS!$G$1:$K$32,5,0)</f>
        <v>FORTALECIMIENTO_DEL_PROGRAMA_POR_SU_SALUD_MUÉVASE_PUES_EN_LOS_MUNICIPIO_DEL_DEPARTAMENTO_DE_ANTIOQUIA</v>
      </c>
      <c r="F1132" s="48">
        <f>VLOOKUP(E1132,[2]PROYECTOS!$K$1:$M$32,3,0)</f>
        <v>2020003050030</v>
      </c>
      <c r="G1132" s="49" t="s">
        <v>326</v>
      </c>
      <c r="H1132" s="49" t="str">
        <f>VLOOKUP(Q1132,[2]PROYECTOS!$V$1:$W$32,2,0)</f>
        <v>050055</v>
      </c>
      <c r="I1132" s="50">
        <v>0</v>
      </c>
      <c r="J1132" s="51" t="s">
        <v>356</v>
      </c>
      <c r="K1132" s="47" t="str">
        <f t="shared" ca="1" si="414"/>
        <v>CONTRATADO</v>
      </c>
      <c r="L1132" s="47" t="s">
        <v>94</v>
      </c>
      <c r="M1132" s="47" t="s">
        <v>1297</v>
      </c>
      <c r="N1132" s="51" t="s">
        <v>329</v>
      </c>
      <c r="O1132" s="51" t="e">
        <f>VLOOKUP(N1132,[2]!RUBROS[#All],3,0)</f>
        <v>#REF!</v>
      </c>
      <c r="P1132" s="53" t="e">
        <f>VLOOKUP(N1132,[2]!RUBROS[#All],2,0)</f>
        <v>#REF!</v>
      </c>
      <c r="Q1132" s="47" t="str">
        <f t="shared" si="415"/>
        <v>45</v>
      </c>
      <c r="R1132" s="47" t="str">
        <f t="shared" si="398"/>
        <v>0-205128</v>
      </c>
      <c r="S1132" s="54">
        <v>9</v>
      </c>
      <c r="T1132" s="59" t="s">
        <v>46</v>
      </c>
      <c r="U1132" s="326" t="e">
        <f ca="1">_xlfn.XLOOKUP(PAA_4[[#This Row],[ITEM]],[2]Contrato!A:A,[2]Contrato!Q:Q,"",0)</f>
        <v>#NAME?</v>
      </c>
      <c r="V1132" s="47" t="s">
        <v>47</v>
      </c>
      <c r="W1132" s="47" t="s">
        <v>122</v>
      </c>
      <c r="X1132" s="47" t="s">
        <v>122</v>
      </c>
      <c r="Y1132" s="55" t="e">
        <f ca="1">_xlfn.XLOOKUP(PAA_4[[#This Row],[ITEM]],[2]Contrato!A:A,[2]Contrato!B:B,"",0)</f>
        <v>#NAME?</v>
      </c>
      <c r="Z1132" s="47" t="e">
        <f ca="1">_xlfn.XLOOKUP(PAA_4[[#This Row],[ITEM]],[2]Contrato!A:A,[2]Contrato!G:G,"",0)</f>
        <v>#NAME?</v>
      </c>
      <c r="AA1132" s="47" t="e">
        <f ca="1">_xlfn.XLOOKUP(PAA_4[[#This Row],[ITEM]],[2]Contrato!A:A,[2]Contrato!T:T,"",0)</f>
        <v>#NAME?</v>
      </c>
      <c r="AB1132" s="55" t="e">
        <f ca="1">+MAX(PAA_4[[#This Row],[Comprometido Contrato]],PAA_4[[#This Row],[Comprometido Bolsa]])</f>
        <v>#NAME?</v>
      </c>
      <c r="AC1132" s="55" t="str">
        <f t="shared" ca="1" si="416"/>
        <v/>
      </c>
      <c r="AD1132" s="55" t="e">
        <f ca="1">IF(PAA_4[[#This Row],[ESTADO (formulado)]]="NO CONTRATADO",0,MAX(PAA_4[[#This Row],[Pago por Contrato]],PAA_4[[#This Row],[Pago por bolsa]]))</f>
        <v>#NAME?</v>
      </c>
      <c r="AE1132" s="55" t="str">
        <f t="shared" ca="1" si="417"/>
        <v/>
      </c>
      <c r="AF1132" s="47" t="e">
        <f t="shared" ca="1" si="418"/>
        <v>#NAME?</v>
      </c>
      <c r="AG1132" s="47">
        <f t="shared" si="419"/>
        <v>44021001</v>
      </c>
      <c r="AH1132" s="54">
        <f>IF(Q1132="22",IF(ISNUMBER(SEARCH("econ",PAA_4[[#This Row],[Actividad3]])),"Económico",IF(ISNUMBER(SEARCH("alim",PAA_4[[#This Row],[Actividad3]])),"Alimentación",IF(ISNUMBER(SEARCH("educ",PAA_4[[#This Row],[Actividad3]])),"Educativo","Técnico"))),0)</f>
        <v>0</v>
      </c>
      <c r="AI1132" s="47" t="e" cm="1">
        <f t="array" aca="1" ref="AI1132" ca="1">_xlfn.XLOOKUP(PAA_4[[#This Row],[RCP-RUBRO]],[2]!COMPROMISOS_2024[[#All],[concatenado]],[2]!COMPROMISOS_2024[[#All],[Total pagado]],"",0)</f>
        <v>#NAME?</v>
      </c>
      <c r="AJ1132" s="56">
        <f>IF(PAA_4[[#This Row],[BOLSA]]=0,0,SUMIFS([2]!COMPROMISOS_2024[[#All],[Total pagado]],[2]!COMPROMISOS_2024[[#All],[Bolsa]],PAA_4[[#This Row],[BOLSA]],[2]!COMPROMISOS_2024[[#All],[rubro]],PAA_4[[#This Row],[RCP-RUBRO]]))</f>
        <v>0</v>
      </c>
      <c r="AK1132" s="47" t="e" cm="1">
        <f t="array" aca="1" ref="AK1132" ca="1">_xlfn.XLOOKUP(PAA_4[[#This Row],[RCP-RUBRO]],[2]!COMPROMISOS_2024[[#All],[concatenado]],[2]!COMPROMISOS_2024[[#All],[Total Comprometido]],"",0)</f>
        <v>#NAME?</v>
      </c>
      <c r="AL1132" s="47">
        <f>IF(PAA_4[[#This Row],[BOLSA]]=0,0,SUMIFS([2]!COMPROMISOS_2024[[#All],[Total Comprometido]],[2]!COMPROMISOS_2024[[#All],[Bolsa]],PAA_4[[#This Row],[BOLSA]],[2]!COMPROMISOS_2024[[#All],[concatenado]],PAA_4[[#This Row],[RCP-RUBRO]]))</f>
        <v>0</v>
      </c>
    </row>
    <row r="1133" spans="1:38" s="19" customFormat="1" ht="31.5" customHeight="1">
      <c r="A1133" s="47" t="s">
        <v>82</v>
      </c>
      <c r="B1133" s="47">
        <v>80111600</v>
      </c>
      <c r="C1133" s="47" t="str">
        <f>VLOOKUP(PAA_4[[#This Row],[PROYECTO (formulado)2]],[2]PROYECTOS!$G$1:$L$32,6,0)</f>
        <v>SUBGERENCIA DE FOMENTO Y DESARROLLO</v>
      </c>
      <c r="D1133" s="47" t="str">
        <f>+IF(PAA_4[[#This Row],[UNIDAD DE CONTRATACION (formulado)]]="Subgerencia Administrativa y Financiera","FUNCIONAMIENTO","INVERSIÓN")</f>
        <v>INVERSIÓN</v>
      </c>
      <c r="E1133" s="48" t="str">
        <f>VLOOKUP(Q1133,[2]PROYECTOS!$G$1:$K$32,5,0)</f>
        <v>FORTALECIMIENTO_DE_LAS_ESCUELAS_DEPORTIVAS_EN_LOS_MUNICIPIOS_DEL_DEPARTAMENTO_DE_ANTIOQUIA</v>
      </c>
      <c r="F1133" s="48">
        <f>VLOOKUP(E1133,[2]PROYECTOS!$K$1:$M$32,3,0)</f>
        <v>2020003050032</v>
      </c>
      <c r="G1133" s="49" t="s">
        <v>333</v>
      </c>
      <c r="H1133" s="49" t="str">
        <f>VLOOKUP(Q1133,[2]PROYECTOS!$V$1:$W$32,2,0)</f>
        <v>050059</v>
      </c>
      <c r="I1133" s="50">
        <v>0</v>
      </c>
      <c r="J1133" s="51" t="s">
        <v>356</v>
      </c>
      <c r="K1133" s="47" t="str">
        <f t="shared" ca="1" si="414"/>
        <v>CONTRATADO</v>
      </c>
      <c r="L1133" s="47" t="s">
        <v>94</v>
      </c>
      <c r="M1133" s="47" t="s">
        <v>1297</v>
      </c>
      <c r="N1133" s="51" t="s">
        <v>334</v>
      </c>
      <c r="O1133" s="51" t="e">
        <f>VLOOKUP(N1133,[2]!RUBROS[#All],3,0)</f>
        <v>#REF!</v>
      </c>
      <c r="P1133" s="53" t="e">
        <f>VLOOKUP(N1133,[2]!RUBROS[#All],2,0)</f>
        <v>#REF!</v>
      </c>
      <c r="Q1133" s="47" t="str">
        <f t="shared" si="415"/>
        <v>46</v>
      </c>
      <c r="R1133" s="47" t="str">
        <f t="shared" si="398"/>
        <v>0-205128</v>
      </c>
      <c r="S1133" s="54">
        <v>9</v>
      </c>
      <c r="T1133" s="59" t="s">
        <v>46</v>
      </c>
      <c r="U1133" s="326" t="e">
        <f ca="1">_xlfn.XLOOKUP(PAA_4[[#This Row],[ITEM]],[2]Contrato!A:A,[2]Contrato!Q:Q,"",0)</f>
        <v>#NAME?</v>
      </c>
      <c r="V1133" s="47" t="s">
        <v>47</v>
      </c>
      <c r="W1133" s="47" t="s">
        <v>122</v>
      </c>
      <c r="X1133" s="47" t="s">
        <v>122</v>
      </c>
      <c r="Y1133" s="55" t="e">
        <f ca="1">_xlfn.XLOOKUP(PAA_4[[#This Row],[ITEM]],[2]Contrato!A:A,[2]Contrato!B:B,"",0)</f>
        <v>#NAME?</v>
      </c>
      <c r="Z1133" s="47" t="e">
        <f ca="1">_xlfn.XLOOKUP(PAA_4[[#This Row],[ITEM]],[2]Contrato!A:A,[2]Contrato!G:G,"",0)</f>
        <v>#NAME?</v>
      </c>
      <c r="AA1133" s="47" t="e">
        <f ca="1">_xlfn.XLOOKUP(PAA_4[[#This Row],[ITEM]],[2]Contrato!A:A,[2]Contrato!T:T,"",0)</f>
        <v>#NAME?</v>
      </c>
      <c r="AB1133" s="55" t="e">
        <f ca="1">+MAX(PAA_4[[#This Row],[Comprometido Contrato]],PAA_4[[#This Row],[Comprometido Bolsa]])</f>
        <v>#NAME?</v>
      </c>
      <c r="AC1133" s="55" t="str">
        <f t="shared" ca="1" si="416"/>
        <v/>
      </c>
      <c r="AD1133" s="55" t="e">
        <f ca="1">IF(PAA_4[[#This Row],[ESTADO (formulado)]]="NO CONTRATADO",0,MAX(PAA_4[[#This Row],[Pago por Contrato]],PAA_4[[#This Row],[Pago por bolsa]]))</f>
        <v>#NAME?</v>
      </c>
      <c r="AE1133" s="55" t="str">
        <f t="shared" ca="1" si="417"/>
        <v/>
      </c>
      <c r="AF1133" s="47" t="e">
        <f t="shared" ca="1" si="418"/>
        <v>#NAME?</v>
      </c>
      <c r="AG1133" s="47">
        <f t="shared" si="419"/>
        <v>44021007</v>
      </c>
      <c r="AH1133" s="54">
        <f>IF(Q1133="22",IF(ISNUMBER(SEARCH("econ",PAA_4[[#This Row],[Actividad3]])),"Económico",IF(ISNUMBER(SEARCH("alim",PAA_4[[#This Row],[Actividad3]])),"Alimentación",IF(ISNUMBER(SEARCH("educ",PAA_4[[#This Row],[Actividad3]])),"Educativo","Técnico"))),0)</f>
        <v>0</v>
      </c>
      <c r="AI1133" s="47" t="e" cm="1">
        <f t="array" aca="1" ref="AI1133" ca="1">_xlfn.XLOOKUP(PAA_4[[#This Row],[RCP-RUBRO]],[2]!COMPROMISOS_2024[[#All],[concatenado]],[2]!COMPROMISOS_2024[[#All],[Total pagado]],"",0)</f>
        <v>#NAME?</v>
      </c>
      <c r="AJ1133" s="56">
        <f>IF(PAA_4[[#This Row],[BOLSA]]=0,0,SUMIFS([2]!COMPROMISOS_2024[[#All],[Total pagado]],[2]!COMPROMISOS_2024[[#All],[Bolsa]],PAA_4[[#This Row],[BOLSA]],[2]!COMPROMISOS_2024[[#All],[rubro]],PAA_4[[#This Row],[RCP-RUBRO]]))</f>
        <v>0</v>
      </c>
      <c r="AK1133" s="47" t="e" cm="1">
        <f t="array" aca="1" ref="AK1133" ca="1">_xlfn.XLOOKUP(PAA_4[[#This Row],[RCP-RUBRO]],[2]!COMPROMISOS_2024[[#All],[concatenado]],[2]!COMPROMISOS_2024[[#All],[Total Comprometido]],"",0)</f>
        <v>#NAME?</v>
      </c>
      <c r="AL1133" s="47">
        <f>IF(PAA_4[[#This Row],[BOLSA]]=0,0,SUMIFS([2]!COMPROMISOS_2024[[#All],[Total Comprometido]],[2]!COMPROMISOS_2024[[#All],[Bolsa]],PAA_4[[#This Row],[BOLSA]],[2]!COMPROMISOS_2024[[#All],[concatenado]],PAA_4[[#This Row],[RCP-RUBRO]]))</f>
        <v>0</v>
      </c>
    </row>
    <row r="1134" spans="1:38" s="19" customFormat="1" ht="31.5" customHeight="1">
      <c r="A1134" s="47" t="s">
        <v>82</v>
      </c>
      <c r="B1134" s="47">
        <v>80111600</v>
      </c>
      <c r="C1134" s="47" t="str">
        <f>VLOOKUP(PAA_4[[#This Row],[PROYECTO (formulado)2]],[2]PROYECTOS!$G$1:$L$32,6,0)</f>
        <v>SUBGERENCIA DE FOMENTO Y DESARROLLO</v>
      </c>
      <c r="D1134" s="47" t="str">
        <f>+IF(PAA_4[[#This Row],[UNIDAD DE CONTRATACION (formulado)]]="Subgerencia Administrativa y Financiera","FUNCIONAMIENTO","INVERSIÓN")</f>
        <v>INVERSIÓN</v>
      </c>
      <c r="E1134" s="48" t="str">
        <f>VLOOKUP(Q1134,[2]PROYECTOS!$G$1:$K$32,5,0)</f>
        <v>FORTALECIMIENTO_DE_LOS_PROGRAMAS_RECREATIVOS_EN_LOS_MUNICIPIOS_DEL_DEPARTAMENTO_DE_ANTIOQUIA</v>
      </c>
      <c r="F1134" s="48">
        <f>VLOOKUP(E1134,[2]PROYECTOS!$K$1:$M$32,3,0)</f>
        <v>2020003050031</v>
      </c>
      <c r="G1134" s="49" t="s">
        <v>335</v>
      </c>
      <c r="H1134" s="49" t="str">
        <f>VLOOKUP(Q1134,[2]PROYECTOS!$V$1:$W$32,2,0)</f>
        <v>050064</v>
      </c>
      <c r="I1134" s="50">
        <v>0</v>
      </c>
      <c r="J1134" s="51" t="s">
        <v>356</v>
      </c>
      <c r="K1134" s="47" t="str">
        <f t="shared" ca="1" si="414"/>
        <v>CONTRATADO</v>
      </c>
      <c r="L1134" s="47" t="s">
        <v>94</v>
      </c>
      <c r="M1134" s="47" t="s">
        <v>1297</v>
      </c>
      <c r="N1134" s="51" t="s">
        <v>336</v>
      </c>
      <c r="O1134" s="51" t="e">
        <f>VLOOKUP(N1134,[2]!RUBROS[#All],3,0)</f>
        <v>#REF!</v>
      </c>
      <c r="P1134" s="53" t="e">
        <f>VLOOKUP(N1134,[2]!RUBROS[#All],2,0)</f>
        <v>#REF!</v>
      </c>
      <c r="Q1134" s="47" t="str">
        <f t="shared" si="415"/>
        <v>47</v>
      </c>
      <c r="R1134" s="47" t="str">
        <f t="shared" si="398"/>
        <v>0-205128</v>
      </c>
      <c r="S1134" s="54">
        <v>9</v>
      </c>
      <c r="T1134" s="59" t="s">
        <v>46</v>
      </c>
      <c r="U1134" s="326" t="e">
        <f ca="1">_xlfn.XLOOKUP(PAA_4[[#This Row],[ITEM]],[2]Contrato!A:A,[2]Contrato!Q:Q,"",0)</f>
        <v>#NAME?</v>
      </c>
      <c r="V1134" s="47" t="s">
        <v>47</v>
      </c>
      <c r="W1134" s="47" t="s">
        <v>122</v>
      </c>
      <c r="X1134" s="47" t="s">
        <v>122</v>
      </c>
      <c r="Y1134" s="55" t="e">
        <f ca="1">_xlfn.XLOOKUP(PAA_4[[#This Row],[ITEM]],[2]Contrato!A:A,[2]Contrato!B:B,"",0)</f>
        <v>#NAME?</v>
      </c>
      <c r="Z1134" s="47" t="e">
        <f ca="1">_xlfn.XLOOKUP(PAA_4[[#This Row],[ITEM]],[2]Contrato!A:A,[2]Contrato!G:G,"",0)</f>
        <v>#NAME?</v>
      </c>
      <c r="AA1134" s="47" t="e">
        <f ca="1">_xlfn.XLOOKUP(PAA_4[[#This Row],[ITEM]],[2]Contrato!A:A,[2]Contrato!T:T,"",0)</f>
        <v>#NAME?</v>
      </c>
      <c r="AB1134" s="55" t="e">
        <f ca="1">+MAX(PAA_4[[#This Row],[Comprometido Contrato]],PAA_4[[#This Row],[Comprometido Bolsa]])</f>
        <v>#NAME?</v>
      </c>
      <c r="AC1134" s="55" t="str">
        <f t="shared" ca="1" si="416"/>
        <v/>
      </c>
      <c r="AD1134" s="55" t="e">
        <f ca="1">IF(PAA_4[[#This Row],[ESTADO (formulado)]]="NO CONTRATADO",0,MAX(PAA_4[[#This Row],[Pago por Contrato]],PAA_4[[#This Row],[Pago por bolsa]]))</f>
        <v>#NAME?</v>
      </c>
      <c r="AE1134" s="55" t="str">
        <f t="shared" ca="1" si="417"/>
        <v/>
      </c>
      <c r="AF1134" s="47" t="e">
        <f t="shared" ca="1" si="418"/>
        <v>#NAME?</v>
      </c>
      <c r="AG1134" s="47">
        <f t="shared" si="419"/>
        <v>44021004</v>
      </c>
      <c r="AH1134" s="54">
        <f>IF(Q1134="22",IF(ISNUMBER(SEARCH("econ",PAA_4[[#This Row],[Actividad3]])),"Económico",IF(ISNUMBER(SEARCH("alim",PAA_4[[#This Row],[Actividad3]])),"Alimentación",IF(ISNUMBER(SEARCH("educ",PAA_4[[#This Row],[Actividad3]])),"Educativo","Técnico"))),0)</f>
        <v>0</v>
      </c>
      <c r="AI1134" s="47" t="e" cm="1">
        <f t="array" aca="1" ref="AI1134" ca="1">_xlfn.XLOOKUP(PAA_4[[#This Row],[RCP-RUBRO]],[2]!COMPROMISOS_2024[[#All],[concatenado]],[2]!COMPROMISOS_2024[[#All],[Total pagado]],"",0)</f>
        <v>#NAME?</v>
      </c>
      <c r="AJ1134" s="56">
        <f>IF(PAA_4[[#This Row],[BOLSA]]=0,0,SUMIFS([2]!COMPROMISOS_2024[[#All],[Total pagado]],[2]!COMPROMISOS_2024[[#All],[Bolsa]],PAA_4[[#This Row],[BOLSA]],[2]!COMPROMISOS_2024[[#All],[rubro]],PAA_4[[#This Row],[RCP-RUBRO]]))</f>
        <v>0</v>
      </c>
      <c r="AK1134" s="47" t="e" cm="1">
        <f t="array" aca="1" ref="AK1134" ca="1">_xlfn.XLOOKUP(PAA_4[[#This Row],[RCP-RUBRO]],[2]!COMPROMISOS_2024[[#All],[concatenado]],[2]!COMPROMISOS_2024[[#All],[Total Comprometido]],"",0)</f>
        <v>#NAME?</v>
      </c>
      <c r="AL1134" s="47">
        <f>IF(PAA_4[[#This Row],[BOLSA]]=0,0,SUMIFS([2]!COMPROMISOS_2024[[#All],[Total Comprometido]],[2]!COMPROMISOS_2024[[#All],[Bolsa]],PAA_4[[#This Row],[BOLSA]],[2]!COMPROMISOS_2024[[#All],[concatenado]],PAA_4[[#This Row],[RCP-RUBRO]]))</f>
        <v>0</v>
      </c>
    </row>
    <row r="1135" spans="1:38" s="19" customFormat="1" ht="31.5" customHeight="1">
      <c r="A1135" s="47" t="s">
        <v>82</v>
      </c>
      <c r="B1135" s="47">
        <v>80111600</v>
      </c>
      <c r="C1135" s="47" t="str">
        <f>VLOOKUP(PAA_4[[#This Row],[PROYECTO (formulado)2]],[2]PROYECTOS!$G$1:$L$32,6,0)</f>
        <v>SUBGERENCIA DE FOMENTO Y DESARROLLO</v>
      </c>
      <c r="D1135" s="47" t="str">
        <f>+IF(PAA_4[[#This Row],[UNIDAD DE CONTRATACION (formulado)]]="Subgerencia Administrativa y Financiera","FUNCIONAMIENTO","INVERSIÓN")</f>
        <v>INVERSIÓN</v>
      </c>
      <c r="E1135" s="48" t="str">
        <f>VLOOKUP(Q1135,[2]PROYECTOS!$G$1:$K$32,5,0)</f>
        <v>FORTALECIMIENTO_DE_LOS_JUEGOS_DEL_SECTOR_SOCIAL_COMUNITARIO_EN_LOS_MUNICIPIOS_DEL_DEPARTAMENTO_DE_ANTIOQU</v>
      </c>
      <c r="F1135" s="48">
        <f>VLOOKUP(E1135,[2]PROYECTOS!$K$1:$M$32,3,0)</f>
        <v>2020003050033</v>
      </c>
      <c r="G1135" s="49" t="s">
        <v>342</v>
      </c>
      <c r="H1135" s="49" t="str">
        <f>VLOOKUP(Q1135,[2]PROYECTOS!$V$1:$W$32,2,0)</f>
        <v>050057</v>
      </c>
      <c r="I1135" s="50">
        <v>0</v>
      </c>
      <c r="J1135" s="51" t="s">
        <v>356</v>
      </c>
      <c r="K1135" s="47" t="str">
        <f t="shared" ca="1" si="414"/>
        <v>CONTRATADO</v>
      </c>
      <c r="L1135" s="47" t="s">
        <v>94</v>
      </c>
      <c r="M1135" s="47" t="s">
        <v>1297</v>
      </c>
      <c r="N1135" s="51" t="s">
        <v>343</v>
      </c>
      <c r="O1135" s="51" t="e">
        <f>VLOOKUP(N1135,[2]!RUBROS[#All],3,0)</f>
        <v>#REF!</v>
      </c>
      <c r="P1135" s="53" t="e">
        <f>VLOOKUP(N1135,[2]!RUBROS[#All],2,0)</f>
        <v>#REF!</v>
      </c>
      <c r="Q1135" s="47" t="str">
        <f t="shared" si="415"/>
        <v>50</v>
      </c>
      <c r="R1135" s="47" t="str">
        <f t="shared" si="398"/>
        <v>0-205128</v>
      </c>
      <c r="S1135" s="54">
        <v>9</v>
      </c>
      <c r="T1135" s="59" t="s">
        <v>46</v>
      </c>
      <c r="U1135" s="326" t="e">
        <f ca="1">_xlfn.XLOOKUP(PAA_4[[#This Row],[ITEM]],[2]Contrato!A:A,[2]Contrato!Q:Q,"",0)</f>
        <v>#NAME?</v>
      </c>
      <c r="V1135" s="47" t="s">
        <v>47</v>
      </c>
      <c r="W1135" s="47" t="s">
        <v>122</v>
      </c>
      <c r="X1135" s="47" t="s">
        <v>122</v>
      </c>
      <c r="Y1135" s="55" t="e">
        <f ca="1">_xlfn.XLOOKUP(PAA_4[[#This Row],[ITEM]],[2]Contrato!A:A,[2]Contrato!B:B,"",0)</f>
        <v>#NAME?</v>
      </c>
      <c r="Z1135" s="47" t="e">
        <f ca="1">_xlfn.XLOOKUP(PAA_4[[#This Row],[ITEM]],[2]Contrato!A:A,[2]Contrato!G:G,"",0)</f>
        <v>#NAME?</v>
      </c>
      <c r="AA1135" s="47" t="e">
        <f ca="1">_xlfn.XLOOKUP(PAA_4[[#This Row],[ITEM]],[2]Contrato!A:A,[2]Contrato!T:T,"",0)</f>
        <v>#NAME?</v>
      </c>
      <c r="AB1135" s="55" t="e">
        <f ca="1">+MAX(PAA_4[[#This Row],[Comprometido Contrato]],PAA_4[[#This Row],[Comprometido Bolsa]])</f>
        <v>#NAME?</v>
      </c>
      <c r="AC1135" s="55" t="str">
        <f t="shared" ca="1" si="416"/>
        <v/>
      </c>
      <c r="AD1135" s="55" t="e">
        <f ca="1">IF(PAA_4[[#This Row],[ESTADO (formulado)]]="NO CONTRATADO",0,MAX(PAA_4[[#This Row],[Pago por Contrato]],PAA_4[[#This Row],[Pago por bolsa]]))</f>
        <v>#NAME?</v>
      </c>
      <c r="AE1135" s="55" t="str">
        <f t="shared" ca="1" si="417"/>
        <v/>
      </c>
      <c r="AF1135" s="47" t="e">
        <f t="shared" ca="1" si="418"/>
        <v>#NAME?</v>
      </c>
      <c r="AG1135" s="47">
        <f t="shared" si="419"/>
        <v>44021010</v>
      </c>
      <c r="AH1135" s="54">
        <f>IF(Q1135="22",IF(ISNUMBER(SEARCH("econ",PAA_4[[#This Row],[Actividad3]])),"Económico",IF(ISNUMBER(SEARCH("alim",PAA_4[[#This Row],[Actividad3]])),"Alimentación",IF(ISNUMBER(SEARCH("educ",PAA_4[[#This Row],[Actividad3]])),"Educativo","Técnico"))),0)</f>
        <v>0</v>
      </c>
      <c r="AI1135" s="47" t="e" cm="1">
        <f t="array" aca="1" ref="AI1135" ca="1">_xlfn.XLOOKUP(PAA_4[[#This Row],[RCP-RUBRO]],[2]!COMPROMISOS_2024[[#All],[concatenado]],[2]!COMPROMISOS_2024[[#All],[Total pagado]],"",0)</f>
        <v>#NAME?</v>
      </c>
      <c r="AJ1135" s="56">
        <f>IF(PAA_4[[#This Row],[BOLSA]]=0,0,SUMIFS([2]!COMPROMISOS_2024[[#All],[Total pagado]],[2]!COMPROMISOS_2024[[#All],[Bolsa]],PAA_4[[#This Row],[BOLSA]],[2]!COMPROMISOS_2024[[#All],[rubro]],PAA_4[[#This Row],[RCP-RUBRO]]))</f>
        <v>0</v>
      </c>
      <c r="AK1135" s="47" t="e" cm="1">
        <f t="array" aca="1" ref="AK1135" ca="1">_xlfn.XLOOKUP(PAA_4[[#This Row],[RCP-RUBRO]],[2]!COMPROMISOS_2024[[#All],[concatenado]],[2]!COMPROMISOS_2024[[#All],[Total Comprometido]],"",0)</f>
        <v>#NAME?</v>
      </c>
      <c r="AL1135" s="47">
        <f>IF(PAA_4[[#This Row],[BOLSA]]=0,0,SUMIFS([2]!COMPROMISOS_2024[[#All],[Total Comprometido]],[2]!COMPROMISOS_2024[[#All],[Bolsa]],PAA_4[[#This Row],[BOLSA]],[2]!COMPROMISOS_2024[[#All],[concatenado]],PAA_4[[#This Row],[RCP-RUBRO]]))</f>
        <v>0</v>
      </c>
    </row>
    <row r="1136" spans="1:38" s="19" customFormat="1" ht="31.5" customHeight="1">
      <c r="A1136" s="47" t="s">
        <v>82</v>
      </c>
      <c r="B1136" s="47">
        <v>80111600</v>
      </c>
      <c r="C1136" s="47" t="str">
        <f>VLOOKUP(PAA_4[[#This Row],[PROYECTO (formulado)2]],[2]PROYECTOS!$G$1:$L$32,6,0)</f>
        <v>SUBGERENCIA DE FOMENTO Y DESARROLLO</v>
      </c>
      <c r="D1136" s="47" t="str">
        <f>+IF(PAA_4[[#This Row],[UNIDAD DE CONTRATACION (formulado)]]="Subgerencia Administrativa y Financiera","FUNCIONAMIENTO","INVERSIÓN")</f>
        <v>INVERSIÓN</v>
      </c>
      <c r="E1136" s="48" t="str">
        <f>VLOOKUP(Q1136,[2]PROYECTOS!$G$1:$K$32,5,0)</f>
        <v>FORTALECIMIENTO_DE_LOS_JUEGOS_DEL_SECTOR_EDUCATIVO_EN_ANTIOQUIA</v>
      </c>
      <c r="F1136" s="48">
        <f>VLOOKUP(E1136,[2]PROYECTOS!$K$1:$M$32,3,0)</f>
        <v>2020003050034</v>
      </c>
      <c r="G1136" s="49" t="s">
        <v>340</v>
      </c>
      <c r="H1136" s="49" t="str">
        <f>VLOOKUP(Q1136,[2]PROYECTOS!$V$1:$W$32,2,0)</f>
        <v>050053</v>
      </c>
      <c r="I1136" s="50">
        <v>0</v>
      </c>
      <c r="J1136" s="51" t="s">
        <v>356</v>
      </c>
      <c r="K1136" s="47" t="str">
        <f t="shared" ca="1" si="414"/>
        <v>CONTRATADO</v>
      </c>
      <c r="L1136" s="47" t="s">
        <v>94</v>
      </c>
      <c r="M1136" s="47" t="s">
        <v>1297</v>
      </c>
      <c r="N1136" s="51" t="s">
        <v>341</v>
      </c>
      <c r="O1136" s="51" t="e">
        <f>VLOOKUP(N1136,[2]!RUBROS[#All],3,0)</f>
        <v>#REF!</v>
      </c>
      <c r="P1136" s="53" t="e">
        <f>VLOOKUP(N1136,[2]!RUBROS[#All],2,0)</f>
        <v>#REF!</v>
      </c>
      <c r="Q1136" s="47" t="str">
        <f t="shared" si="415"/>
        <v>51</v>
      </c>
      <c r="R1136" s="47" t="str">
        <f t="shared" si="398"/>
        <v>0-205128</v>
      </c>
      <c r="S1136" s="54">
        <v>9</v>
      </c>
      <c r="T1136" s="59" t="s">
        <v>46</v>
      </c>
      <c r="U1136" s="326" t="e">
        <f ca="1">_xlfn.XLOOKUP(PAA_4[[#This Row],[ITEM]],[2]Contrato!A:A,[2]Contrato!Q:Q,"",0)</f>
        <v>#NAME?</v>
      </c>
      <c r="V1136" s="47" t="s">
        <v>47</v>
      </c>
      <c r="W1136" s="47" t="s">
        <v>122</v>
      </c>
      <c r="X1136" s="47" t="s">
        <v>122</v>
      </c>
      <c r="Y1136" s="55" t="e">
        <f ca="1">_xlfn.XLOOKUP(PAA_4[[#This Row],[ITEM]],[2]Contrato!A:A,[2]Contrato!B:B,"",0)</f>
        <v>#NAME?</v>
      </c>
      <c r="Z1136" s="47" t="e">
        <f ca="1">_xlfn.XLOOKUP(PAA_4[[#This Row],[ITEM]],[2]Contrato!A:A,[2]Contrato!G:G,"",0)</f>
        <v>#NAME?</v>
      </c>
      <c r="AA1136" s="47" t="e">
        <f ca="1">_xlfn.XLOOKUP(PAA_4[[#This Row],[ITEM]],[2]Contrato!A:A,[2]Contrato!T:T,"",0)</f>
        <v>#NAME?</v>
      </c>
      <c r="AB1136" s="55" t="e">
        <f ca="1">+MAX(PAA_4[[#This Row],[Comprometido Contrato]],PAA_4[[#This Row],[Comprometido Bolsa]])</f>
        <v>#NAME?</v>
      </c>
      <c r="AC1136" s="55" t="str">
        <f t="shared" ca="1" si="416"/>
        <v/>
      </c>
      <c r="AD1136" s="55" t="e">
        <f ca="1">IF(PAA_4[[#This Row],[ESTADO (formulado)]]="NO CONTRATADO",0,MAX(PAA_4[[#This Row],[Pago por Contrato]],PAA_4[[#This Row],[Pago por bolsa]]))</f>
        <v>#NAME?</v>
      </c>
      <c r="AE1136" s="55" t="str">
        <f t="shared" ca="1" si="417"/>
        <v/>
      </c>
      <c r="AF1136" s="47" t="e">
        <f t="shared" ca="1" si="418"/>
        <v>#NAME?</v>
      </c>
      <c r="AG1136" s="47">
        <f t="shared" si="419"/>
        <v>44021011</v>
      </c>
      <c r="AH1136" s="54">
        <f>IF(Q1136="22",IF(ISNUMBER(SEARCH("econ",PAA_4[[#This Row],[Actividad3]])),"Económico",IF(ISNUMBER(SEARCH("alim",PAA_4[[#This Row],[Actividad3]])),"Alimentación",IF(ISNUMBER(SEARCH("educ",PAA_4[[#This Row],[Actividad3]])),"Educativo","Técnico"))),0)</f>
        <v>0</v>
      </c>
      <c r="AI1136" s="47" t="e" cm="1">
        <f t="array" aca="1" ref="AI1136" ca="1">_xlfn.XLOOKUP(PAA_4[[#This Row],[RCP-RUBRO]],[2]!COMPROMISOS_2024[[#All],[concatenado]],[2]!COMPROMISOS_2024[[#All],[Total pagado]],"",0)</f>
        <v>#NAME?</v>
      </c>
      <c r="AJ1136" s="56">
        <f>IF(PAA_4[[#This Row],[BOLSA]]=0,0,SUMIFS([2]!COMPROMISOS_2024[[#All],[Total pagado]],[2]!COMPROMISOS_2024[[#All],[Bolsa]],PAA_4[[#This Row],[BOLSA]],[2]!COMPROMISOS_2024[[#All],[rubro]],PAA_4[[#This Row],[RCP-RUBRO]]))</f>
        <v>0</v>
      </c>
      <c r="AK1136" s="47" t="e" cm="1">
        <f t="array" aca="1" ref="AK1136" ca="1">_xlfn.XLOOKUP(PAA_4[[#This Row],[RCP-RUBRO]],[2]!COMPROMISOS_2024[[#All],[concatenado]],[2]!COMPROMISOS_2024[[#All],[Total Comprometido]],"",0)</f>
        <v>#NAME?</v>
      </c>
      <c r="AL1136" s="47">
        <f>IF(PAA_4[[#This Row],[BOLSA]]=0,0,SUMIFS([2]!COMPROMISOS_2024[[#All],[Total Comprometido]],[2]!COMPROMISOS_2024[[#All],[Bolsa]],PAA_4[[#This Row],[BOLSA]],[2]!COMPROMISOS_2024[[#All],[concatenado]],PAA_4[[#This Row],[RCP-RUBRO]]))</f>
        <v>0</v>
      </c>
    </row>
    <row r="1137" spans="1:38" s="19" customFormat="1" ht="31.5" customHeight="1">
      <c r="A1137" s="47" t="s">
        <v>82</v>
      </c>
      <c r="B1137" s="47">
        <v>80111600</v>
      </c>
      <c r="C1137" s="47" t="str">
        <f>VLOOKUP(PAA_4[[#This Row],[PROYECTO (formulado)2]],[2]PROYECTOS!$G$1:$L$32,6,0)</f>
        <v>SUBGERENCIA DE FOMENTO Y DESARROLLO</v>
      </c>
      <c r="D1137" s="47" t="str">
        <f>+IF(PAA_4[[#This Row],[UNIDAD DE CONTRATACION (formulado)]]="Subgerencia Administrativa y Financiera","FUNCIONAMIENTO","INVERSIÓN")</f>
        <v>INVERSIÓN</v>
      </c>
      <c r="E1137" s="48" t="str">
        <f>VLOOKUP(Q1137,[2]PROYECTOS!$G$1:$K$32,5,0)</f>
        <v>CAPACITACION_PARA_EL_SECTOR_DEL_DEPORTE_LA_ACTIVIDAD_FISICA_LA_RECREACION_Y_LA_EDUCACION_FISICA_DE_ANTI</v>
      </c>
      <c r="F1137" s="48">
        <f>VLOOKUP(E1137,[2]PROYECTOS!$K$1:$M$32,3,0)</f>
        <v>2020003050024</v>
      </c>
      <c r="G1137" s="49" t="s">
        <v>337</v>
      </c>
      <c r="H1137" s="49" t="str">
        <f>VLOOKUP(Q1137,[2]PROYECTOS!$V$1:$W$32,2,0)</f>
        <v>050063</v>
      </c>
      <c r="I1137" s="50">
        <v>0</v>
      </c>
      <c r="J1137" s="51" t="s">
        <v>356</v>
      </c>
      <c r="K1137" s="47" t="str">
        <f t="shared" ca="1" si="414"/>
        <v>CONTRATADO</v>
      </c>
      <c r="L1137" s="47" t="s">
        <v>94</v>
      </c>
      <c r="M1137" s="47" t="s">
        <v>1297</v>
      </c>
      <c r="N1137" s="51" t="s">
        <v>339</v>
      </c>
      <c r="O1137" s="51" t="e">
        <f>VLOOKUP(N1137,[2]!RUBROS[#All],3,0)</f>
        <v>#REF!</v>
      </c>
      <c r="P1137" s="53" t="e">
        <f>VLOOKUP(N1137,[2]!RUBROS[#All],2,0)</f>
        <v>#REF!</v>
      </c>
      <c r="Q1137" s="47" t="str">
        <f t="shared" si="415"/>
        <v>48</v>
      </c>
      <c r="R1137" s="47" t="str">
        <f t="shared" si="398"/>
        <v>0-205128</v>
      </c>
      <c r="S1137" s="54">
        <v>9</v>
      </c>
      <c r="T1137" s="59" t="s">
        <v>46</v>
      </c>
      <c r="U1137" s="326" t="e">
        <f ca="1">_xlfn.XLOOKUP(PAA_4[[#This Row],[ITEM]],[2]Contrato!A:A,[2]Contrato!Q:Q,"",0)</f>
        <v>#NAME?</v>
      </c>
      <c r="V1137" s="47" t="s">
        <v>47</v>
      </c>
      <c r="W1137" s="47" t="s">
        <v>122</v>
      </c>
      <c r="X1137" s="47" t="s">
        <v>122</v>
      </c>
      <c r="Y1137" s="55" t="e">
        <f ca="1">_xlfn.XLOOKUP(PAA_4[[#This Row],[ITEM]],[2]Contrato!A:A,[2]Contrato!B:B,"",0)</f>
        <v>#NAME?</v>
      </c>
      <c r="Z1137" s="47" t="e">
        <f ca="1">_xlfn.XLOOKUP(PAA_4[[#This Row],[ITEM]],[2]Contrato!A:A,[2]Contrato!G:G,"",0)</f>
        <v>#NAME?</v>
      </c>
      <c r="AA1137" s="47" t="e">
        <f ca="1">_xlfn.XLOOKUP(PAA_4[[#This Row],[ITEM]],[2]Contrato!A:A,[2]Contrato!T:T,"",0)</f>
        <v>#NAME?</v>
      </c>
      <c r="AB1137" s="55" t="e">
        <f ca="1">+MAX(PAA_4[[#This Row],[Comprometido Contrato]],PAA_4[[#This Row],[Comprometido Bolsa]])</f>
        <v>#NAME?</v>
      </c>
      <c r="AC1137" s="55" t="str">
        <f t="shared" ca="1" si="416"/>
        <v/>
      </c>
      <c r="AD1137" s="55" t="e">
        <f ca="1">IF(PAA_4[[#This Row],[ESTADO (formulado)]]="NO CONTRATADO",0,MAX(PAA_4[[#This Row],[Pago por Contrato]],PAA_4[[#This Row],[Pago por bolsa]]))</f>
        <v>#NAME?</v>
      </c>
      <c r="AE1137" s="55" t="str">
        <f t="shared" ca="1" si="417"/>
        <v/>
      </c>
      <c r="AF1137" s="47" t="e">
        <f t="shared" ca="1" si="418"/>
        <v>#NAME?</v>
      </c>
      <c r="AG1137" s="47">
        <f t="shared" si="419"/>
        <v>41080201</v>
      </c>
      <c r="AH1137" s="54">
        <f>IF(Q1137="22",IF(ISNUMBER(SEARCH("econ",PAA_4[[#This Row],[Actividad3]])),"Económico",IF(ISNUMBER(SEARCH("alim",PAA_4[[#This Row],[Actividad3]])),"Alimentación",IF(ISNUMBER(SEARCH("educ",PAA_4[[#This Row],[Actividad3]])),"Educativo","Técnico"))),0)</f>
        <v>0</v>
      </c>
      <c r="AI1137" s="47" t="e" cm="1">
        <f t="array" aca="1" ref="AI1137" ca="1">_xlfn.XLOOKUP(PAA_4[[#This Row],[RCP-RUBRO]],[2]!COMPROMISOS_2024[[#All],[concatenado]],[2]!COMPROMISOS_2024[[#All],[Total pagado]],"",0)</f>
        <v>#NAME?</v>
      </c>
      <c r="AJ1137" s="56">
        <f>IF(PAA_4[[#This Row],[BOLSA]]=0,0,SUMIFS([2]!COMPROMISOS_2024[[#All],[Total pagado]],[2]!COMPROMISOS_2024[[#All],[Bolsa]],PAA_4[[#This Row],[BOLSA]],[2]!COMPROMISOS_2024[[#All],[rubro]],PAA_4[[#This Row],[RCP-RUBRO]]))</f>
        <v>0</v>
      </c>
      <c r="AK1137" s="47" t="e" cm="1">
        <f t="array" aca="1" ref="AK1137" ca="1">_xlfn.XLOOKUP(PAA_4[[#This Row],[RCP-RUBRO]],[2]!COMPROMISOS_2024[[#All],[concatenado]],[2]!COMPROMISOS_2024[[#All],[Total Comprometido]],"",0)</f>
        <v>#NAME?</v>
      </c>
      <c r="AL1137" s="47">
        <f>IF(PAA_4[[#This Row],[BOLSA]]=0,0,SUMIFS([2]!COMPROMISOS_2024[[#All],[Total Comprometido]],[2]!COMPROMISOS_2024[[#All],[Bolsa]],PAA_4[[#This Row],[BOLSA]],[2]!COMPROMISOS_2024[[#All],[concatenado]],PAA_4[[#This Row],[RCP-RUBRO]]))</f>
        <v>0</v>
      </c>
    </row>
    <row r="1138" spans="1:38" s="19" customFormat="1" ht="31.5" customHeight="1">
      <c r="A1138" s="47" t="s">
        <v>82</v>
      </c>
      <c r="B1138" s="47" t="s">
        <v>42</v>
      </c>
      <c r="C1138" s="47" t="str">
        <f>VLOOKUP(PAA_4[[#This Row],[PROYECTO (formulado)2]],[2]PROYECTOS!$G$1:$L$32,6,0)</f>
        <v>SUBGERENCIA DE FOMENTO Y DESARROLLO</v>
      </c>
      <c r="D1138" s="47" t="str">
        <f>+IF(PAA_4[[#This Row],[UNIDAD DE CONTRATACION (formulado)]]="Subgerencia Administrativa y Financiera","FUNCIONAMIENTO","INVERSIÓN")</f>
        <v>INVERSIÓN</v>
      </c>
      <c r="E1138" s="48" t="str">
        <f>VLOOKUP(Q1138,[2]PROYECTOS!$G$1:$K$32,5,0)</f>
        <v>FORTALECIMIENTO_DEL_PROGRAMA_POR_SU_SALUD_MUÉVASE_PUES_EN_LOS_MUNICIPIO_DEL_DEPARTAMENTO_DE_ANTIOQUIA</v>
      </c>
      <c r="F1138" s="48">
        <f>VLOOKUP(E1138,[2]PROYECTOS!$K$1:$M$32,3,0)</f>
        <v>2020003050030</v>
      </c>
      <c r="G1138" s="49" t="s">
        <v>326</v>
      </c>
      <c r="H1138" s="49" t="str">
        <f>VLOOKUP(Q1138,[2]PROYECTOS!$V$1:$W$32,2,0)</f>
        <v>050055</v>
      </c>
      <c r="I1138" s="50">
        <v>0</v>
      </c>
      <c r="J1138" s="51" t="s">
        <v>42</v>
      </c>
      <c r="K1138" s="47" t="str">
        <f t="shared" ca="1" si="414"/>
        <v>CONTRATADO</v>
      </c>
      <c r="L1138" s="47" t="s">
        <v>42</v>
      </c>
      <c r="M1138" s="47" t="s">
        <v>42</v>
      </c>
      <c r="N1138" s="51" t="s">
        <v>329</v>
      </c>
      <c r="O1138" s="51" t="e">
        <f>VLOOKUP(N1138,[2]!RUBROS[#All],3,0)</f>
        <v>#REF!</v>
      </c>
      <c r="P1138" s="53" t="e">
        <f>VLOOKUP(N1138,[2]!RUBROS[#All],2,0)</f>
        <v>#REF!</v>
      </c>
      <c r="Q1138" s="47" t="str">
        <f t="shared" si="415"/>
        <v>45</v>
      </c>
      <c r="R1138" s="47" t="str">
        <f t="shared" si="398"/>
        <v>0-205128</v>
      </c>
      <c r="S1138" s="54" t="s">
        <v>42</v>
      </c>
      <c r="T1138" s="59" t="s">
        <v>42</v>
      </c>
      <c r="U1138" s="326" t="e">
        <f ca="1">_xlfn.XLOOKUP(PAA_4[[#This Row],[ITEM]],[2]Contrato!A:A,[2]Contrato!Q:Q,"",0)</f>
        <v>#NAME?</v>
      </c>
      <c r="V1138" s="47" t="s">
        <v>95</v>
      </c>
      <c r="W1138" s="47" t="s">
        <v>42</v>
      </c>
      <c r="X1138" s="47" t="s">
        <v>42</v>
      </c>
      <c r="Y1138" s="55" t="e">
        <f ca="1">_xlfn.XLOOKUP(PAA_4[[#This Row],[ITEM]],[2]Contrato!A:A,[2]Contrato!B:B,"",0)</f>
        <v>#NAME?</v>
      </c>
      <c r="Z1138" s="47" t="e">
        <f ca="1">_xlfn.XLOOKUP(PAA_4[[#This Row],[ITEM]],[2]Contrato!A:A,[2]Contrato!G:G,"",0)</f>
        <v>#NAME?</v>
      </c>
      <c r="AA1138" s="47" t="e">
        <f ca="1">_xlfn.XLOOKUP(PAA_4[[#This Row],[ITEM]],[2]Contrato!A:A,[2]Contrato!T:T,"",0)</f>
        <v>#NAME?</v>
      </c>
      <c r="AB1138" s="55" t="e">
        <f ca="1">+MAX(PAA_4[[#This Row],[Comprometido Contrato]],PAA_4[[#This Row],[Comprometido Bolsa]])</f>
        <v>#NAME?</v>
      </c>
      <c r="AC1138" s="55" t="str">
        <f t="shared" ca="1" si="416"/>
        <v/>
      </c>
      <c r="AD1138" s="55" t="e">
        <f ca="1">IF(PAA_4[[#This Row],[ESTADO (formulado)]]="NO CONTRATADO",0,MAX(PAA_4[[#This Row],[Pago por Contrato]],PAA_4[[#This Row],[Pago por bolsa]]))</f>
        <v>#NAME?</v>
      </c>
      <c r="AE1138" s="55" t="str">
        <f t="shared" ca="1" si="417"/>
        <v/>
      </c>
      <c r="AF1138" s="47" t="e">
        <f t="shared" ca="1" si="418"/>
        <v>#NAME?</v>
      </c>
      <c r="AG1138" s="47">
        <f t="shared" si="419"/>
        <v>44021001</v>
      </c>
      <c r="AH1138" s="54">
        <f>IF(Q1138="22",IF(ISNUMBER(SEARCH("econ",PAA_4[[#This Row],[Actividad3]])),"Económico",IF(ISNUMBER(SEARCH("alim",PAA_4[[#This Row],[Actividad3]])),"Alimentación",IF(ISNUMBER(SEARCH("educ",PAA_4[[#This Row],[Actividad3]])),"Educativo","Técnico"))),0)</f>
        <v>0</v>
      </c>
      <c r="AI1138" s="47" t="e" cm="1">
        <f t="array" aca="1" ref="AI1138" ca="1">_xlfn.XLOOKUP(PAA_4[[#This Row],[RCP-RUBRO]],[2]!COMPROMISOS_2024[[#All],[concatenado]],[2]!COMPROMISOS_2024[[#All],[Total pagado]],"",0)</f>
        <v>#NAME?</v>
      </c>
      <c r="AJ1138" s="56">
        <f>IF(PAA_4[[#This Row],[BOLSA]]=0,0,SUMIFS([2]!COMPROMISOS_2024[[#All],[Total pagado]],[2]!COMPROMISOS_2024[[#All],[Bolsa]],PAA_4[[#This Row],[BOLSA]],[2]!COMPROMISOS_2024[[#All],[rubro]],PAA_4[[#This Row],[RCP-RUBRO]]))</f>
        <v>0</v>
      </c>
      <c r="AK1138" s="47" t="e" cm="1">
        <f t="array" aca="1" ref="AK1138" ca="1">_xlfn.XLOOKUP(PAA_4[[#This Row],[RCP-RUBRO]],[2]!COMPROMISOS_2024[[#All],[concatenado]],[2]!COMPROMISOS_2024[[#All],[Total Comprometido]],"",0)</f>
        <v>#NAME?</v>
      </c>
      <c r="AL1138" s="47">
        <f>IF(PAA_4[[#This Row],[BOLSA]]=0,0,SUMIFS([2]!COMPROMISOS_2024[[#All],[Total Comprometido]],[2]!COMPROMISOS_2024[[#All],[Bolsa]],PAA_4[[#This Row],[BOLSA]],[2]!COMPROMISOS_2024[[#All],[concatenado]],PAA_4[[#This Row],[RCP-RUBRO]]))</f>
        <v>0</v>
      </c>
    </row>
    <row r="1139" spans="1:38" s="19" customFormat="1" ht="31.5" customHeight="1">
      <c r="A1139" s="47">
        <v>837</v>
      </c>
      <c r="B1139" s="47">
        <v>80111600</v>
      </c>
      <c r="C1139" s="47" t="str">
        <f>VLOOKUP(PAA_4[[#This Row],[PROYECTO (formulado)2]],[2]PROYECTOS!$G$1:$L$32,6,0)</f>
        <v>SUBGERENCIA DE FOMENTO Y DESARROLLO</v>
      </c>
      <c r="D1139" s="47" t="str">
        <f>+IF(PAA_4[[#This Row],[UNIDAD DE CONTRATACION (formulado)]]="Subgerencia Administrativa y Financiera","FUNCIONAMIENTO","INVERSIÓN")</f>
        <v>INVERSIÓN</v>
      </c>
      <c r="E1139" s="48" t="str">
        <f>VLOOKUP(Q1139,[2]PROYECTOS!$G$1:$K$32,5,0)</f>
        <v>FORTALECIMIENTO_DEL_PROGRAMA_POR_SU_SALUD_MUÉVASE_PUES_EN_LOS_MUNICIPIO_DEL_DEPARTAMENTO_DE_ANTIOQUIA</v>
      </c>
      <c r="F1139" s="48">
        <f>VLOOKUP(E1139,[2]PROYECTOS!$K$1:$M$32,3,0)</f>
        <v>2020003050030</v>
      </c>
      <c r="G1139" s="49" t="s">
        <v>326</v>
      </c>
      <c r="H1139" s="49" t="str">
        <f>VLOOKUP(Q1139,[2]PROYECTOS!$V$1:$W$32,2,0)</f>
        <v>050055</v>
      </c>
      <c r="I1139" s="50">
        <f>3673254-287293</f>
        <v>3385961</v>
      </c>
      <c r="J1139" s="51" t="s">
        <v>1854</v>
      </c>
      <c r="K1139" s="47" t="str">
        <f t="shared" ca="1" si="414"/>
        <v>CONTRATADO</v>
      </c>
      <c r="L1139" s="47" t="s">
        <v>94</v>
      </c>
      <c r="M1139" s="47" t="s">
        <v>1297</v>
      </c>
      <c r="N1139" s="51" t="s">
        <v>329</v>
      </c>
      <c r="O1139" s="51" t="e">
        <f>VLOOKUP(N1139,[2]!RUBROS[#All],3,0)</f>
        <v>#REF!</v>
      </c>
      <c r="P1139" s="53" t="e">
        <f>VLOOKUP(N1139,[2]!RUBROS[#All],2,0)</f>
        <v>#REF!</v>
      </c>
      <c r="Q1139" s="47" t="str">
        <f t="shared" si="415"/>
        <v>45</v>
      </c>
      <c r="R1139" s="47" t="str">
        <f t="shared" si="398"/>
        <v>0-205128</v>
      </c>
      <c r="S1139" s="54">
        <v>6</v>
      </c>
      <c r="T1139" s="59" t="s">
        <v>46</v>
      </c>
      <c r="U1139" s="326" t="e">
        <f ca="1">_xlfn.XLOOKUP(PAA_4[[#This Row],[ITEM]],[2]Contrato!A:A,[2]Contrato!Q:Q,"",0)</f>
        <v>#NAME?</v>
      </c>
      <c r="V1139" s="47" t="s">
        <v>47</v>
      </c>
      <c r="W1139" s="47" t="s">
        <v>154</v>
      </c>
      <c r="X1139" s="47" t="s">
        <v>154</v>
      </c>
      <c r="Y1139" s="55" t="e">
        <f ca="1">_xlfn.XLOOKUP(PAA_4[[#This Row],[ITEM]],[2]Contrato!A:A,[2]Contrato!B:B,"",0)</f>
        <v>#NAME?</v>
      </c>
      <c r="Z1139" s="47" t="e">
        <f ca="1">_xlfn.XLOOKUP(PAA_4[[#This Row],[ITEM]],[2]Contrato!A:A,[2]Contrato!G:G,"",0)</f>
        <v>#NAME?</v>
      </c>
      <c r="AA1139" s="47" t="e">
        <f ca="1">_xlfn.XLOOKUP(PAA_4[[#This Row],[ITEM]],[2]Contrato!A:A,[2]Contrato!T:T,"",0)</f>
        <v>#NAME?</v>
      </c>
      <c r="AB1139" s="55" t="e">
        <f ca="1">+MAX(PAA_4[[#This Row],[Comprometido Contrato]],PAA_4[[#This Row],[Comprometido Bolsa]])</f>
        <v>#NAME?</v>
      </c>
      <c r="AC1139" s="55" t="str">
        <f t="shared" ca="1" si="416"/>
        <v/>
      </c>
      <c r="AD1139" s="55" t="e">
        <f ca="1">IF(PAA_4[[#This Row],[ESTADO (formulado)]]="NO CONTRATADO",0,MAX(PAA_4[[#This Row],[Pago por Contrato]],PAA_4[[#This Row],[Pago por bolsa]]))</f>
        <v>#NAME?</v>
      </c>
      <c r="AE1139" s="55" t="str">
        <f t="shared" ca="1" si="417"/>
        <v/>
      </c>
      <c r="AF1139" s="47" t="e">
        <f t="shared" ca="1" si="418"/>
        <v>#NAME?</v>
      </c>
      <c r="AG1139" s="47">
        <f t="shared" si="419"/>
        <v>44021001</v>
      </c>
      <c r="AH1139" s="54">
        <f>IF(Q1139="22",IF(ISNUMBER(SEARCH("econ",PAA_4[[#This Row],[Actividad3]])),"Económico",IF(ISNUMBER(SEARCH("alim",PAA_4[[#This Row],[Actividad3]])),"Alimentación",IF(ISNUMBER(SEARCH("educ",PAA_4[[#This Row],[Actividad3]])),"Educativo","Técnico"))),0)</f>
        <v>0</v>
      </c>
      <c r="AI1139" s="47" t="e" cm="1">
        <f t="array" aca="1" ref="AI1139" ca="1">_xlfn.XLOOKUP(PAA_4[[#This Row],[RCP-RUBRO]],[2]!COMPROMISOS_2024[[#All],[concatenado]],[2]!COMPROMISOS_2024[[#All],[Total pagado]],"",0)</f>
        <v>#NAME?</v>
      </c>
      <c r="AJ1139" s="56">
        <f>IF(PAA_4[[#This Row],[BOLSA]]=0,0,SUMIFS([2]!COMPROMISOS_2024[[#All],[Total pagado]],[2]!COMPROMISOS_2024[[#All],[Bolsa]],PAA_4[[#This Row],[BOLSA]],[2]!COMPROMISOS_2024[[#All],[rubro]],PAA_4[[#This Row],[RCP-RUBRO]]))</f>
        <v>0</v>
      </c>
      <c r="AK1139" s="47" t="e" cm="1">
        <f t="array" aca="1" ref="AK1139" ca="1">_xlfn.XLOOKUP(PAA_4[[#This Row],[RCP-RUBRO]],[2]!COMPROMISOS_2024[[#All],[concatenado]],[2]!COMPROMISOS_2024[[#All],[Total Comprometido]],"",0)</f>
        <v>#NAME?</v>
      </c>
      <c r="AL1139" s="47">
        <f>IF(PAA_4[[#This Row],[BOLSA]]=0,0,SUMIFS([2]!COMPROMISOS_2024[[#All],[Total Comprometido]],[2]!COMPROMISOS_2024[[#All],[Bolsa]],PAA_4[[#This Row],[BOLSA]],[2]!COMPROMISOS_2024[[#All],[concatenado]],PAA_4[[#This Row],[RCP-RUBRO]]))</f>
        <v>0</v>
      </c>
    </row>
    <row r="1140" spans="1:38" s="19" customFormat="1" ht="31.5" customHeight="1">
      <c r="A1140" s="47" t="s">
        <v>82</v>
      </c>
      <c r="B1140" s="47" t="s">
        <v>42</v>
      </c>
      <c r="C1140" s="47" t="str">
        <f>VLOOKUP(PAA_4[[#This Row],[PROYECTO (formulado)2]],[2]PROYECTOS!$G$1:$L$32,6,0)</f>
        <v>SUBGERENCIA DE FOMENTO Y DESARROLLO</v>
      </c>
      <c r="D1140" s="47" t="str">
        <f>+IF(PAA_4[[#This Row],[UNIDAD DE CONTRATACION (formulado)]]="Subgerencia Administrativa y Financiera","FUNCIONAMIENTO","INVERSIÓN")</f>
        <v>INVERSIÓN</v>
      </c>
      <c r="E1140" s="48" t="str">
        <f>VLOOKUP(Q1140,[2]PROYECTOS!$G$1:$K$32,5,0)</f>
        <v>FORTALECIMIENTO_DE_LAS_ESCUELAS_DEPORTIVAS_EN_LOS_MUNICIPIOS_DEL_DEPARTAMENTO_DE_ANTIOQUIA</v>
      </c>
      <c r="F1140" s="48">
        <f>VLOOKUP(E1140,[2]PROYECTOS!$K$1:$M$32,3,0)</f>
        <v>2020003050032</v>
      </c>
      <c r="G1140" s="49" t="s">
        <v>333</v>
      </c>
      <c r="H1140" s="49" t="str">
        <f>VLOOKUP(Q1140,[2]PROYECTOS!$V$1:$W$32,2,0)</f>
        <v>050059</v>
      </c>
      <c r="I1140" s="50">
        <v>0</v>
      </c>
      <c r="J1140" s="51" t="s">
        <v>42</v>
      </c>
      <c r="K1140" s="47" t="str">
        <f t="shared" ca="1" si="414"/>
        <v>CONTRATADO</v>
      </c>
      <c r="L1140" s="47" t="s">
        <v>42</v>
      </c>
      <c r="M1140" s="47" t="s">
        <v>42</v>
      </c>
      <c r="N1140" s="51" t="s">
        <v>334</v>
      </c>
      <c r="O1140" s="51" t="e">
        <f>VLOOKUP(N1140,[2]!RUBROS[#All],3,0)</f>
        <v>#REF!</v>
      </c>
      <c r="P1140" s="53" t="e">
        <f>VLOOKUP(N1140,[2]!RUBROS[#All],2,0)</f>
        <v>#REF!</v>
      </c>
      <c r="Q1140" s="47" t="str">
        <f t="shared" si="415"/>
        <v>46</v>
      </c>
      <c r="R1140" s="47" t="str">
        <f t="shared" si="398"/>
        <v>0-205128</v>
      </c>
      <c r="S1140" s="54" t="s">
        <v>42</v>
      </c>
      <c r="T1140" s="59" t="s">
        <v>42</v>
      </c>
      <c r="U1140" s="326" t="e">
        <f ca="1">_xlfn.XLOOKUP(PAA_4[[#This Row],[ITEM]],[2]Contrato!A:A,[2]Contrato!Q:Q,"",0)</f>
        <v>#NAME?</v>
      </c>
      <c r="V1140" s="47" t="s">
        <v>95</v>
      </c>
      <c r="W1140" s="47" t="s">
        <v>42</v>
      </c>
      <c r="X1140" s="47" t="s">
        <v>42</v>
      </c>
      <c r="Y1140" s="55" t="e">
        <f ca="1">_xlfn.XLOOKUP(PAA_4[[#This Row],[ITEM]],[2]Contrato!A:A,[2]Contrato!B:B,"",0)</f>
        <v>#NAME?</v>
      </c>
      <c r="Z1140" s="47" t="e">
        <f ca="1">_xlfn.XLOOKUP(PAA_4[[#This Row],[ITEM]],[2]Contrato!A:A,[2]Contrato!G:G,"",0)</f>
        <v>#NAME?</v>
      </c>
      <c r="AA1140" s="47" t="e">
        <f ca="1">_xlfn.XLOOKUP(PAA_4[[#This Row],[ITEM]],[2]Contrato!A:A,[2]Contrato!T:T,"",0)</f>
        <v>#NAME?</v>
      </c>
      <c r="AB1140" s="55" t="e">
        <f ca="1">+MAX(PAA_4[[#This Row],[Comprometido Contrato]],PAA_4[[#This Row],[Comprometido Bolsa]])</f>
        <v>#NAME?</v>
      </c>
      <c r="AC1140" s="55" t="str">
        <f t="shared" ca="1" si="416"/>
        <v/>
      </c>
      <c r="AD1140" s="55" t="e">
        <f ca="1">IF(PAA_4[[#This Row],[ESTADO (formulado)]]="NO CONTRATADO",0,MAX(PAA_4[[#This Row],[Pago por Contrato]],PAA_4[[#This Row],[Pago por bolsa]]))</f>
        <v>#NAME?</v>
      </c>
      <c r="AE1140" s="55" t="str">
        <f t="shared" ca="1" si="417"/>
        <v/>
      </c>
      <c r="AF1140" s="47" t="e">
        <f t="shared" ca="1" si="418"/>
        <v>#NAME?</v>
      </c>
      <c r="AG1140" s="47">
        <f t="shared" si="419"/>
        <v>44021007</v>
      </c>
      <c r="AH1140" s="54">
        <f>IF(Q1140="22",IF(ISNUMBER(SEARCH("econ",PAA_4[[#This Row],[Actividad3]])),"Económico",IF(ISNUMBER(SEARCH("alim",PAA_4[[#This Row],[Actividad3]])),"Alimentación",IF(ISNUMBER(SEARCH("educ",PAA_4[[#This Row],[Actividad3]])),"Educativo","Técnico"))),0)</f>
        <v>0</v>
      </c>
      <c r="AI1140" s="47" t="e" cm="1">
        <f t="array" aca="1" ref="AI1140" ca="1">_xlfn.XLOOKUP(PAA_4[[#This Row],[RCP-RUBRO]],[2]!COMPROMISOS_2024[[#All],[concatenado]],[2]!COMPROMISOS_2024[[#All],[Total pagado]],"",0)</f>
        <v>#NAME?</v>
      </c>
      <c r="AJ1140" s="56">
        <f>IF(PAA_4[[#This Row],[BOLSA]]=0,0,SUMIFS([2]!COMPROMISOS_2024[[#All],[Total pagado]],[2]!COMPROMISOS_2024[[#All],[Bolsa]],PAA_4[[#This Row],[BOLSA]],[2]!COMPROMISOS_2024[[#All],[rubro]],PAA_4[[#This Row],[RCP-RUBRO]]))</f>
        <v>0</v>
      </c>
      <c r="AK1140" s="47" t="e" cm="1">
        <f t="array" aca="1" ref="AK1140" ca="1">_xlfn.XLOOKUP(PAA_4[[#This Row],[RCP-RUBRO]],[2]!COMPROMISOS_2024[[#All],[concatenado]],[2]!COMPROMISOS_2024[[#All],[Total Comprometido]],"",0)</f>
        <v>#NAME?</v>
      </c>
      <c r="AL1140" s="47">
        <f>IF(PAA_4[[#This Row],[BOLSA]]=0,0,SUMIFS([2]!COMPROMISOS_2024[[#All],[Total Comprometido]],[2]!COMPROMISOS_2024[[#All],[Bolsa]],PAA_4[[#This Row],[BOLSA]],[2]!COMPROMISOS_2024[[#All],[concatenado]],PAA_4[[#This Row],[RCP-RUBRO]]))</f>
        <v>0</v>
      </c>
    </row>
    <row r="1141" spans="1:38" s="19" customFormat="1" ht="31.5" customHeight="1">
      <c r="A1141" s="47">
        <v>837</v>
      </c>
      <c r="B1141" s="47">
        <v>80111600</v>
      </c>
      <c r="C1141" s="47" t="str">
        <f>VLOOKUP(PAA_4[[#This Row],[PROYECTO (formulado)2]],[2]PROYECTOS!$G$1:$L$32,6,0)</f>
        <v>SUBGERENCIA DE FOMENTO Y DESARROLLO</v>
      </c>
      <c r="D1141" s="47" t="str">
        <f>+IF(PAA_4[[#This Row],[UNIDAD DE CONTRATACION (formulado)]]="Subgerencia Administrativa y Financiera","FUNCIONAMIENTO","INVERSIÓN")</f>
        <v>INVERSIÓN</v>
      </c>
      <c r="E1141" s="48" t="str">
        <f>VLOOKUP(Q1141,[2]PROYECTOS!$G$1:$K$32,5,0)</f>
        <v>FORTALECIMIENTO_DE_LAS_ESCUELAS_DEPORTIVAS_EN_LOS_MUNICIPIOS_DEL_DEPARTAMENTO_DE_ANTIOQUIA</v>
      </c>
      <c r="F1141" s="48">
        <f>VLOOKUP(E1141,[2]PROYECTOS!$K$1:$M$32,3,0)</f>
        <v>2020003050032</v>
      </c>
      <c r="G1141" s="49" t="s">
        <v>333</v>
      </c>
      <c r="H1141" s="49" t="str">
        <f>VLOOKUP(Q1141,[2]PROYECTOS!$V$1:$W$32,2,0)</f>
        <v>050059</v>
      </c>
      <c r="I1141" s="50">
        <f>3559210-278374</f>
        <v>3280836</v>
      </c>
      <c r="J1141" s="51" t="s">
        <v>1854</v>
      </c>
      <c r="K1141" s="47" t="str">
        <f t="shared" ca="1" si="414"/>
        <v>CONTRATADO</v>
      </c>
      <c r="L1141" s="47" t="s">
        <v>94</v>
      </c>
      <c r="M1141" s="47" t="s">
        <v>1297</v>
      </c>
      <c r="N1141" s="51" t="s">
        <v>334</v>
      </c>
      <c r="O1141" s="51" t="e">
        <f>VLOOKUP(N1141,[2]!RUBROS[#All],3,0)</f>
        <v>#REF!</v>
      </c>
      <c r="P1141" s="53" t="e">
        <f>VLOOKUP(N1141,[2]!RUBROS[#All],2,0)</f>
        <v>#REF!</v>
      </c>
      <c r="Q1141" s="47" t="str">
        <f t="shared" si="415"/>
        <v>46</v>
      </c>
      <c r="R1141" s="47" t="str">
        <f t="shared" si="398"/>
        <v>0-205128</v>
      </c>
      <c r="S1141" s="54">
        <v>6</v>
      </c>
      <c r="T1141" s="59" t="s">
        <v>46</v>
      </c>
      <c r="U1141" s="326" t="e">
        <f ca="1">_xlfn.XLOOKUP(PAA_4[[#This Row],[ITEM]],[2]Contrato!A:A,[2]Contrato!Q:Q,"",0)</f>
        <v>#NAME?</v>
      </c>
      <c r="V1141" s="47" t="s">
        <v>47</v>
      </c>
      <c r="W1141" s="47" t="s">
        <v>154</v>
      </c>
      <c r="X1141" s="47" t="s">
        <v>154</v>
      </c>
      <c r="Y1141" s="55" t="e">
        <f ca="1">_xlfn.XLOOKUP(PAA_4[[#This Row],[ITEM]],[2]Contrato!A:A,[2]Contrato!B:B,"",0)</f>
        <v>#NAME?</v>
      </c>
      <c r="Z1141" s="47" t="e">
        <f ca="1">_xlfn.XLOOKUP(PAA_4[[#This Row],[ITEM]],[2]Contrato!A:A,[2]Contrato!G:G,"",0)</f>
        <v>#NAME?</v>
      </c>
      <c r="AA1141" s="47" t="e">
        <f ca="1">_xlfn.XLOOKUP(PAA_4[[#This Row],[ITEM]],[2]Contrato!A:A,[2]Contrato!T:T,"",0)</f>
        <v>#NAME?</v>
      </c>
      <c r="AB1141" s="55" t="e">
        <f ca="1">+MAX(PAA_4[[#This Row],[Comprometido Contrato]],PAA_4[[#This Row],[Comprometido Bolsa]])</f>
        <v>#NAME?</v>
      </c>
      <c r="AC1141" s="55" t="str">
        <f t="shared" ca="1" si="416"/>
        <v/>
      </c>
      <c r="AD1141" s="55" t="e">
        <f ca="1">IF(PAA_4[[#This Row],[ESTADO (formulado)]]="NO CONTRATADO",0,MAX(PAA_4[[#This Row],[Pago por Contrato]],PAA_4[[#This Row],[Pago por bolsa]]))</f>
        <v>#NAME?</v>
      </c>
      <c r="AE1141" s="55" t="str">
        <f t="shared" ca="1" si="417"/>
        <v/>
      </c>
      <c r="AF1141" s="47" t="e">
        <f t="shared" ca="1" si="418"/>
        <v>#NAME?</v>
      </c>
      <c r="AG1141" s="47">
        <f t="shared" si="419"/>
        <v>44021007</v>
      </c>
      <c r="AH1141" s="54">
        <f>IF(Q1141="22",IF(ISNUMBER(SEARCH("econ",PAA_4[[#This Row],[Actividad3]])),"Económico",IF(ISNUMBER(SEARCH("alim",PAA_4[[#This Row],[Actividad3]])),"Alimentación",IF(ISNUMBER(SEARCH("educ",PAA_4[[#This Row],[Actividad3]])),"Educativo","Técnico"))),0)</f>
        <v>0</v>
      </c>
      <c r="AI1141" s="47" t="e" cm="1">
        <f t="array" aca="1" ref="AI1141" ca="1">_xlfn.XLOOKUP(PAA_4[[#This Row],[RCP-RUBRO]],[2]!COMPROMISOS_2024[[#All],[concatenado]],[2]!COMPROMISOS_2024[[#All],[Total pagado]],"",0)</f>
        <v>#NAME?</v>
      </c>
      <c r="AJ1141" s="56">
        <f>IF(PAA_4[[#This Row],[BOLSA]]=0,0,SUMIFS([2]!COMPROMISOS_2024[[#All],[Total pagado]],[2]!COMPROMISOS_2024[[#All],[Bolsa]],PAA_4[[#This Row],[BOLSA]],[2]!COMPROMISOS_2024[[#All],[rubro]],PAA_4[[#This Row],[RCP-RUBRO]]))</f>
        <v>0</v>
      </c>
      <c r="AK1141" s="47" t="e" cm="1">
        <f t="array" aca="1" ref="AK1141" ca="1">_xlfn.XLOOKUP(PAA_4[[#This Row],[RCP-RUBRO]],[2]!COMPROMISOS_2024[[#All],[concatenado]],[2]!COMPROMISOS_2024[[#All],[Total Comprometido]],"",0)</f>
        <v>#NAME?</v>
      </c>
      <c r="AL1141" s="47">
        <f>IF(PAA_4[[#This Row],[BOLSA]]=0,0,SUMIFS([2]!COMPROMISOS_2024[[#All],[Total Comprometido]],[2]!COMPROMISOS_2024[[#All],[Bolsa]],PAA_4[[#This Row],[BOLSA]],[2]!COMPROMISOS_2024[[#All],[concatenado]],PAA_4[[#This Row],[RCP-RUBRO]]))</f>
        <v>0</v>
      </c>
    </row>
    <row r="1142" spans="1:38" s="19" customFormat="1" ht="31.5" customHeight="1">
      <c r="A1142" s="47" t="s">
        <v>82</v>
      </c>
      <c r="B1142" s="47" t="s">
        <v>42</v>
      </c>
      <c r="C1142" s="47" t="str">
        <f>VLOOKUP(PAA_4[[#This Row],[PROYECTO (formulado)2]],[2]PROYECTOS!$G$1:$L$32,6,0)</f>
        <v>SUBGERENCIA DE FOMENTO Y DESARROLLO</v>
      </c>
      <c r="D1142" s="47" t="str">
        <f>+IF(PAA_4[[#This Row],[UNIDAD DE CONTRATACION (formulado)]]="Subgerencia Administrativa y Financiera","FUNCIONAMIENTO","INVERSIÓN")</f>
        <v>INVERSIÓN</v>
      </c>
      <c r="E1142" s="48" t="str">
        <f>VLOOKUP(Q1142,[2]PROYECTOS!$G$1:$K$32,5,0)</f>
        <v>FORTALECIMIENTO_DE_LOS_PROGRAMAS_RECREATIVOS_EN_LOS_MUNICIPIOS_DEL_DEPARTAMENTO_DE_ANTIOQUIA</v>
      </c>
      <c r="F1142" s="48">
        <f>VLOOKUP(E1142,[2]PROYECTOS!$K$1:$M$32,3,0)</f>
        <v>2020003050031</v>
      </c>
      <c r="G1142" s="49" t="s">
        <v>335</v>
      </c>
      <c r="H1142" s="49" t="str">
        <f>VLOOKUP(Q1142,[2]PROYECTOS!$V$1:$W$32,2,0)</f>
        <v>050064</v>
      </c>
      <c r="I1142" s="50">
        <v>0</v>
      </c>
      <c r="J1142" s="51" t="s">
        <v>42</v>
      </c>
      <c r="K1142" s="47" t="str">
        <f t="shared" ca="1" si="414"/>
        <v>CONTRATADO</v>
      </c>
      <c r="L1142" s="47" t="s">
        <v>42</v>
      </c>
      <c r="M1142" s="47" t="s">
        <v>42</v>
      </c>
      <c r="N1142" s="51" t="s">
        <v>336</v>
      </c>
      <c r="O1142" s="51" t="e">
        <f>VLOOKUP(N1142,[2]!RUBROS[#All],3,0)</f>
        <v>#REF!</v>
      </c>
      <c r="P1142" s="53" t="e">
        <f>VLOOKUP(N1142,[2]!RUBROS[#All],2,0)</f>
        <v>#REF!</v>
      </c>
      <c r="Q1142" s="47" t="str">
        <f t="shared" si="415"/>
        <v>47</v>
      </c>
      <c r="R1142" s="47" t="str">
        <f t="shared" si="398"/>
        <v>0-205128</v>
      </c>
      <c r="S1142" s="54" t="s">
        <v>42</v>
      </c>
      <c r="T1142" s="59" t="s">
        <v>42</v>
      </c>
      <c r="U1142" s="326" t="e">
        <f ca="1">_xlfn.XLOOKUP(PAA_4[[#This Row],[ITEM]],[2]Contrato!A:A,[2]Contrato!Q:Q,"",0)</f>
        <v>#NAME?</v>
      </c>
      <c r="V1142" s="47" t="s">
        <v>95</v>
      </c>
      <c r="W1142" s="47" t="s">
        <v>42</v>
      </c>
      <c r="X1142" s="47" t="s">
        <v>42</v>
      </c>
      <c r="Y1142" s="55" t="e">
        <f ca="1">_xlfn.XLOOKUP(PAA_4[[#This Row],[ITEM]],[2]Contrato!A:A,[2]Contrato!B:B,"",0)</f>
        <v>#NAME?</v>
      </c>
      <c r="Z1142" s="47" t="e">
        <f ca="1">_xlfn.XLOOKUP(PAA_4[[#This Row],[ITEM]],[2]Contrato!A:A,[2]Contrato!G:G,"",0)</f>
        <v>#NAME?</v>
      </c>
      <c r="AA1142" s="47" t="e">
        <f ca="1">_xlfn.XLOOKUP(PAA_4[[#This Row],[ITEM]],[2]Contrato!A:A,[2]Contrato!T:T,"",0)</f>
        <v>#NAME?</v>
      </c>
      <c r="AB1142" s="55" t="e">
        <f ca="1">+MAX(PAA_4[[#This Row],[Comprometido Contrato]],PAA_4[[#This Row],[Comprometido Bolsa]])</f>
        <v>#NAME?</v>
      </c>
      <c r="AC1142" s="55" t="str">
        <f t="shared" ca="1" si="416"/>
        <v/>
      </c>
      <c r="AD1142" s="55" t="e">
        <f ca="1">IF(PAA_4[[#This Row],[ESTADO (formulado)]]="NO CONTRATADO",0,MAX(PAA_4[[#This Row],[Pago por Contrato]],PAA_4[[#This Row],[Pago por bolsa]]))</f>
        <v>#NAME?</v>
      </c>
      <c r="AE1142" s="55" t="str">
        <f t="shared" ca="1" si="417"/>
        <v/>
      </c>
      <c r="AF1142" s="47" t="e">
        <f t="shared" ca="1" si="418"/>
        <v>#NAME?</v>
      </c>
      <c r="AG1142" s="47">
        <f t="shared" si="419"/>
        <v>44021004</v>
      </c>
      <c r="AH1142" s="54">
        <f>IF(Q1142="22",IF(ISNUMBER(SEARCH("econ",PAA_4[[#This Row],[Actividad3]])),"Económico",IF(ISNUMBER(SEARCH("alim",PAA_4[[#This Row],[Actividad3]])),"Alimentación",IF(ISNUMBER(SEARCH("educ",PAA_4[[#This Row],[Actividad3]])),"Educativo","Técnico"))),0)</f>
        <v>0</v>
      </c>
      <c r="AI1142" s="47" t="e" cm="1">
        <f t="array" aca="1" ref="AI1142" ca="1">_xlfn.XLOOKUP(PAA_4[[#This Row],[RCP-RUBRO]],[2]!COMPROMISOS_2024[[#All],[concatenado]],[2]!COMPROMISOS_2024[[#All],[Total pagado]],"",0)</f>
        <v>#NAME?</v>
      </c>
      <c r="AJ1142" s="56">
        <f>IF(PAA_4[[#This Row],[BOLSA]]=0,0,SUMIFS([2]!COMPROMISOS_2024[[#All],[Total pagado]],[2]!COMPROMISOS_2024[[#All],[Bolsa]],PAA_4[[#This Row],[BOLSA]],[2]!COMPROMISOS_2024[[#All],[rubro]],PAA_4[[#This Row],[RCP-RUBRO]]))</f>
        <v>0</v>
      </c>
      <c r="AK1142" s="47" t="e" cm="1">
        <f t="array" aca="1" ref="AK1142" ca="1">_xlfn.XLOOKUP(PAA_4[[#This Row],[RCP-RUBRO]],[2]!COMPROMISOS_2024[[#All],[concatenado]],[2]!COMPROMISOS_2024[[#All],[Total Comprometido]],"",0)</f>
        <v>#NAME?</v>
      </c>
      <c r="AL1142" s="47">
        <f>IF(PAA_4[[#This Row],[BOLSA]]=0,0,SUMIFS([2]!COMPROMISOS_2024[[#All],[Total Comprometido]],[2]!COMPROMISOS_2024[[#All],[Bolsa]],PAA_4[[#This Row],[BOLSA]],[2]!COMPROMISOS_2024[[#All],[concatenado]],PAA_4[[#This Row],[RCP-RUBRO]]))</f>
        <v>0</v>
      </c>
    </row>
    <row r="1143" spans="1:38" s="19" customFormat="1" ht="31.5" customHeight="1">
      <c r="A1143" s="47">
        <v>837</v>
      </c>
      <c r="B1143" s="47">
        <v>80111600</v>
      </c>
      <c r="C1143" s="47" t="str">
        <f>VLOOKUP(PAA_4[[#This Row],[PROYECTO (formulado)2]],[2]PROYECTOS!$G$1:$L$32,6,0)</f>
        <v>SUBGERENCIA DE FOMENTO Y DESARROLLO</v>
      </c>
      <c r="D1143" s="47" t="str">
        <f>+IF(PAA_4[[#This Row],[UNIDAD DE CONTRATACION (formulado)]]="Subgerencia Administrativa y Financiera","FUNCIONAMIENTO","INVERSIÓN")</f>
        <v>INVERSIÓN</v>
      </c>
      <c r="E1143" s="48" t="str">
        <f>VLOOKUP(Q1143,[2]PROYECTOS!$G$1:$K$32,5,0)</f>
        <v>FORTALECIMIENTO_DE_LOS_PROGRAMAS_RECREATIVOS_EN_LOS_MUNICIPIOS_DEL_DEPARTAMENTO_DE_ANTIOQUIA</v>
      </c>
      <c r="F1143" s="48">
        <f>VLOOKUP(E1143,[2]PROYECTOS!$K$1:$M$32,3,0)</f>
        <v>2020003050031</v>
      </c>
      <c r="G1143" s="49" t="s">
        <v>335</v>
      </c>
      <c r="H1143" s="49" t="str">
        <f>VLOOKUP(Q1143,[2]PROYECTOS!$V$1:$W$32,2,0)</f>
        <v>050064</v>
      </c>
      <c r="I1143" s="50">
        <f>3535841-276546</f>
        <v>3259295</v>
      </c>
      <c r="J1143" s="51" t="s">
        <v>1854</v>
      </c>
      <c r="K1143" s="47" t="str">
        <f t="shared" ca="1" si="414"/>
        <v>CONTRATADO</v>
      </c>
      <c r="L1143" s="47" t="s">
        <v>94</v>
      </c>
      <c r="M1143" s="47" t="s">
        <v>1297</v>
      </c>
      <c r="N1143" s="51" t="s">
        <v>336</v>
      </c>
      <c r="O1143" s="51" t="e">
        <f>VLOOKUP(N1143,[2]!RUBROS[#All],3,0)</f>
        <v>#REF!</v>
      </c>
      <c r="P1143" s="53" t="e">
        <f>VLOOKUP(N1143,[2]!RUBROS[#All],2,0)</f>
        <v>#REF!</v>
      </c>
      <c r="Q1143" s="47" t="str">
        <f t="shared" si="415"/>
        <v>47</v>
      </c>
      <c r="R1143" s="47" t="str">
        <f t="shared" si="398"/>
        <v>0-205128</v>
      </c>
      <c r="S1143" s="54">
        <v>6</v>
      </c>
      <c r="T1143" s="59" t="s">
        <v>46</v>
      </c>
      <c r="U1143" s="326" t="e">
        <f ca="1">_xlfn.XLOOKUP(PAA_4[[#This Row],[ITEM]],[2]Contrato!A:A,[2]Contrato!Q:Q,"",0)</f>
        <v>#NAME?</v>
      </c>
      <c r="V1143" s="47" t="s">
        <v>47</v>
      </c>
      <c r="W1143" s="47" t="s">
        <v>154</v>
      </c>
      <c r="X1143" s="47" t="s">
        <v>154</v>
      </c>
      <c r="Y1143" s="55" t="e">
        <f ca="1">_xlfn.XLOOKUP(PAA_4[[#This Row],[ITEM]],[2]Contrato!A:A,[2]Contrato!B:B,"",0)</f>
        <v>#NAME?</v>
      </c>
      <c r="Z1143" s="47" t="e">
        <f ca="1">_xlfn.XLOOKUP(PAA_4[[#This Row],[ITEM]],[2]Contrato!A:A,[2]Contrato!G:G,"",0)</f>
        <v>#NAME?</v>
      </c>
      <c r="AA1143" s="47" t="e">
        <f ca="1">_xlfn.XLOOKUP(PAA_4[[#This Row],[ITEM]],[2]Contrato!A:A,[2]Contrato!T:T,"",0)</f>
        <v>#NAME?</v>
      </c>
      <c r="AB1143" s="55" t="e">
        <f ca="1">+MAX(PAA_4[[#This Row],[Comprometido Contrato]],PAA_4[[#This Row],[Comprometido Bolsa]])</f>
        <v>#NAME?</v>
      </c>
      <c r="AC1143" s="55" t="str">
        <f t="shared" ca="1" si="416"/>
        <v/>
      </c>
      <c r="AD1143" s="55" t="e">
        <f ca="1">IF(PAA_4[[#This Row],[ESTADO (formulado)]]="NO CONTRATADO",0,MAX(PAA_4[[#This Row],[Pago por Contrato]],PAA_4[[#This Row],[Pago por bolsa]]))</f>
        <v>#NAME?</v>
      </c>
      <c r="AE1143" s="55" t="str">
        <f t="shared" ca="1" si="417"/>
        <v/>
      </c>
      <c r="AF1143" s="47" t="e">
        <f t="shared" ca="1" si="418"/>
        <v>#NAME?</v>
      </c>
      <c r="AG1143" s="47">
        <f t="shared" si="419"/>
        <v>44021004</v>
      </c>
      <c r="AH1143" s="54">
        <f>IF(Q1143="22",IF(ISNUMBER(SEARCH("econ",PAA_4[[#This Row],[Actividad3]])),"Económico",IF(ISNUMBER(SEARCH("alim",PAA_4[[#This Row],[Actividad3]])),"Alimentación",IF(ISNUMBER(SEARCH("educ",PAA_4[[#This Row],[Actividad3]])),"Educativo","Técnico"))),0)</f>
        <v>0</v>
      </c>
      <c r="AI1143" s="47" t="e" cm="1">
        <f t="array" aca="1" ref="AI1143" ca="1">_xlfn.XLOOKUP(PAA_4[[#This Row],[RCP-RUBRO]],[2]!COMPROMISOS_2024[[#All],[concatenado]],[2]!COMPROMISOS_2024[[#All],[Total pagado]],"",0)</f>
        <v>#NAME?</v>
      </c>
      <c r="AJ1143" s="56">
        <f>IF(PAA_4[[#This Row],[BOLSA]]=0,0,SUMIFS([2]!COMPROMISOS_2024[[#All],[Total pagado]],[2]!COMPROMISOS_2024[[#All],[Bolsa]],PAA_4[[#This Row],[BOLSA]],[2]!COMPROMISOS_2024[[#All],[rubro]],PAA_4[[#This Row],[RCP-RUBRO]]))</f>
        <v>0</v>
      </c>
      <c r="AK1143" s="47" t="e" cm="1">
        <f t="array" aca="1" ref="AK1143" ca="1">_xlfn.XLOOKUP(PAA_4[[#This Row],[RCP-RUBRO]],[2]!COMPROMISOS_2024[[#All],[concatenado]],[2]!COMPROMISOS_2024[[#All],[Total Comprometido]],"",0)</f>
        <v>#NAME?</v>
      </c>
      <c r="AL1143" s="47">
        <f>IF(PAA_4[[#This Row],[BOLSA]]=0,0,SUMIFS([2]!COMPROMISOS_2024[[#All],[Total Comprometido]],[2]!COMPROMISOS_2024[[#All],[Bolsa]],PAA_4[[#This Row],[BOLSA]],[2]!COMPROMISOS_2024[[#All],[concatenado]],PAA_4[[#This Row],[RCP-RUBRO]]))</f>
        <v>0</v>
      </c>
    </row>
    <row r="1144" spans="1:38" s="19" customFormat="1" ht="31.5" customHeight="1">
      <c r="A1144" s="47" t="s">
        <v>82</v>
      </c>
      <c r="B1144" s="47" t="s">
        <v>42</v>
      </c>
      <c r="C1144" s="47" t="str">
        <f>VLOOKUP(PAA_4[[#This Row],[PROYECTO (formulado)2]],[2]PROYECTOS!$G$1:$L$32,6,0)</f>
        <v>SUBGERENCIA DE FOMENTO Y DESARROLLO</v>
      </c>
      <c r="D1144" s="47" t="str">
        <f>+IF(PAA_4[[#This Row],[UNIDAD DE CONTRATACION (formulado)]]="Subgerencia Administrativa y Financiera","FUNCIONAMIENTO","INVERSIÓN")</f>
        <v>INVERSIÓN</v>
      </c>
      <c r="E1144" s="48" t="str">
        <f>VLOOKUP(Q1144,[2]PROYECTOS!$G$1:$K$32,5,0)</f>
        <v>FORTALECIMIENTO_DE_LOS_JUEGOS_DEL_SECTOR_SOCIAL_COMUNITARIO_EN_LOS_MUNICIPIOS_DEL_DEPARTAMENTO_DE_ANTIOQU</v>
      </c>
      <c r="F1144" s="48">
        <f>VLOOKUP(E1144,[2]PROYECTOS!$K$1:$M$32,3,0)</f>
        <v>2020003050033</v>
      </c>
      <c r="G1144" s="49" t="s">
        <v>342</v>
      </c>
      <c r="H1144" s="49" t="str">
        <f>VLOOKUP(Q1144,[2]PROYECTOS!$V$1:$W$32,2,0)</f>
        <v>050057</v>
      </c>
      <c r="I1144" s="50">
        <v>0</v>
      </c>
      <c r="J1144" s="51" t="s">
        <v>42</v>
      </c>
      <c r="K1144" s="47" t="str">
        <f t="shared" ca="1" si="414"/>
        <v>CONTRATADO</v>
      </c>
      <c r="L1144" s="47" t="s">
        <v>42</v>
      </c>
      <c r="M1144" s="47" t="s">
        <v>42</v>
      </c>
      <c r="N1144" s="51" t="s">
        <v>343</v>
      </c>
      <c r="O1144" s="51" t="e">
        <f>VLOOKUP(N1144,[2]!RUBROS[#All],3,0)</f>
        <v>#REF!</v>
      </c>
      <c r="P1144" s="53" t="e">
        <f>VLOOKUP(N1144,[2]!RUBROS[#All],2,0)</f>
        <v>#REF!</v>
      </c>
      <c r="Q1144" s="47" t="str">
        <f t="shared" si="415"/>
        <v>50</v>
      </c>
      <c r="R1144" s="47" t="str">
        <f t="shared" si="398"/>
        <v>0-205128</v>
      </c>
      <c r="S1144" s="54" t="s">
        <v>42</v>
      </c>
      <c r="T1144" s="59" t="s">
        <v>42</v>
      </c>
      <c r="U1144" s="326" t="e">
        <f ca="1">_xlfn.XLOOKUP(PAA_4[[#This Row],[ITEM]],[2]Contrato!A:A,[2]Contrato!Q:Q,"",0)</f>
        <v>#NAME?</v>
      </c>
      <c r="V1144" s="47" t="s">
        <v>95</v>
      </c>
      <c r="W1144" s="47" t="s">
        <v>42</v>
      </c>
      <c r="X1144" s="47" t="s">
        <v>42</v>
      </c>
      <c r="Y1144" s="55" t="e">
        <f ca="1">_xlfn.XLOOKUP(PAA_4[[#This Row],[ITEM]],[2]Contrato!A:A,[2]Contrato!B:B,"",0)</f>
        <v>#NAME?</v>
      </c>
      <c r="Z1144" s="47" t="e">
        <f ca="1">_xlfn.XLOOKUP(PAA_4[[#This Row],[ITEM]],[2]Contrato!A:A,[2]Contrato!G:G,"",0)</f>
        <v>#NAME?</v>
      </c>
      <c r="AA1144" s="47" t="e">
        <f ca="1">_xlfn.XLOOKUP(PAA_4[[#This Row],[ITEM]],[2]Contrato!A:A,[2]Contrato!T:T,"",0)</f>
        <v>#NAME?</v>
      </c>
      <c r="AB1144" s="55" t="e">
        <f ca="1">+MAX(PAA_4[[#This Row],[Comprometido Contrato]],PAA_4[[#This Row],[Comprometido Bolsa]])</f>
        <v>#NAME?</v>
      </c>
      <c r="AC1144" s="55" t="str">
        <f t="shared" ca="1" si="416"/>
        <v/>
      </c>
      <c r="AD1144" s="55" t="e">
        <f ca="1">IF(PAA_4[[#This Row],[ESTADO (formulado)]]="NO CONTRATADO",0,MAX(PAA_4[[#This Row],[Pago por Contrato]],PAA_4[[#This Row],[Pago por bolsa]]))</f>
        <v>#NAME?</v>
      </c>
      <c r="AE1144" s="55" t="str">
        <f t="shared" ca="1" si="417"/>
        <v/>
      </c>
      <c r="AF1144" s="47" t="e">
        <f t="shared" ca="1" si="418"/>
        <v>#NAME?</v>
      </c>
      <c r="AG1144" s="47">
        <f t="shared" si="419"/>
        <v>44021010</v>
      </c>
      <c r="AH1144" s="54">
        <f>IF(Q1144="22",IF(ISNUMBER(SEARCH("econ",PAA_4[[#This Row],[Actividad3]])),"Económico",IF(ISNUMBER(SEARCH("alim",PAA_4[[#This Row],[Actividad3]])),"Alimentación",IF(ISNUMBER(SEARCH("educ",PAA_4[[#This Row],[Actividad3]])),"Educativo","Técnico"))),0)</f>
        <v>0</v>
      </c>
      <c r="AI1144" s="47" t="e" cm="1">
        <f t="array" aca="1" ref="AI1144" ca="1">_xlfn.XLOOKUP(PAA_4[[#This Row],[RCP-RUBRO]],[2]!COMPROMISOS_2024[[#All],[concatenado]],[2]!COMPROMISOS_2024[[#All],[Total pagado]],"",0)</f>
        <v>#NAME?</v>
      </c>
      <c r="AJ1144" s="56">
        <f>IF(PAA_4[[#This Row],[BOLSA]]=0,0,SUMIFS([2]!COMPROMISOS_2024[[#All],[Total pagado]],[2]!COMPROMISOS_2024[[#All],[Bolsa]],PAA_4[[#This Row],[BOLSA]],[2]!COMPROMISOS_2024[[#All],[rubro]],PAA_4[[#This Row],[RCP-RUBRO]]))</f>
        <v>0</v>
      </c>
      <c r="AK1144" s="47" t="e" cm="1">
        <f t="array" aca="1" ref="AK1144" ca="1">_xlfn.XLOOKUP(PAA_4[[#This Row],[RCP-RUBRO]],[2]!COMPROMISOS_2024[[#All],[concatenado]],[2]!COMPROMISOS_2024[[#All],[Total Comprometido]],"",0)</f>
        <v>#NAME?</v>
      </c>
      <c r="AL1144" s="47">
        <f>IF(PAA_4[[#This Row],[BOLSA]]=0,0,SUMIFS([2]!COMPROMISOS_2024[[#All],[Total Comprometido]],[2]!COMPROMISOS_2024[[#All],[Bolsa]],PAA_4[[#This Row],[BOLSA]],[2]!COMPROMISOS_2024[[#All],[concatenado]],PAA_4[[#This Row],[RCP-RUBRO]]))</f>
        <v>0</v>
      </c>
    </row>
    <row r="1145" spans="1:38" s="19" customFormat="1" ht="31.5" customHeight="1">
      <c r="A1145" s="47" t="s">
        <v>82</v>
      </c>
      <c r="B1145" s="47" t="s">
        <v>42</v>
      </c>
      <c r="C1145" s="47" t="str">
        <f>VLOOKUP(PAA_4[[#This Row],[PROYECTO (formulado)2]],[2]PROYECTOS!$G$1:$L$32,6,0)</f>
        <v>SUBGERENCIA DE FOMENTO Y DESARROLLO</v>
      </c>
      <c r="D1145" s="47" t="str">
        <f>+IF(PAA_4[[#This Row],[UNIDAD DE CONTRATACION (formulado)]]="Subgerencia Administrativa y Financiera","FUNCIONAMIENTO","INVERSIÓN")</f>
        <v>INVERSIÓN</v>
      </c>
      <c r="E1145" s="48" t="str">
        <f>VLOOKUP(Q1145,[2]PROYECTOS!$G$1:$K$32,5,0)</f>
        <v>FORTALECIMIENTO_DE_LOS_JUEGOS_DEL_SECTOR_SOCIAL_COMUNITARIO_EN_LOS_MUNICIPIOS_DEL_DEPARTAMENTO_DE_ANTIOQU</v>
      </c>
      <c r="F1145" s="48">
        <f>VLOOKUP(E1145,[2]PROYECTOS!$K$1:$M$32,3,0)</f>
        <v>2020003050033</v>
      </c>
      <c r="G1145" s="49" t="s">
        <v>342</v>
      </c>
      <c r="H1145" s="49" t="str">
        <f>VLOOKUP(Q1145,[2]PROYECTOS!$V$1:$W$32,2,0)</f>
        <v>050057</v>
      </c>
      <c r="I1145" s="50">
        <v>8828526</v>
      </c>
      <c r="J1145" s="51" t="s">
        <v>1855</v>
      </c>
      <c r="K1145" s="47" t="str">
        <f t="shared" ca="1" si="414"/>
        <v>CONTRATADO</v>
      </c>
      <c r="L1145" s="47" t="s">
        <v>42</v>
      </c>
      <c r="M1145" s="47" t="s">
        <v>42</v>
      </c>
      <c r="N1145" s="51" t="s">
        <v>343</v>
      </c>
      <c r="O1145" s="51" t="e">
        <f>VLOOKUP(N1145,[2]!RUBROS[#All],3,0)</f>
        <v>#REF!</v>
      </c>
      <c r="P1145" s="53" t="e">
        <f>VLOOKUP(N1145,[2]!RUBROS[#All],2,0)</f>
        <v>#REF!</v>
      </c>
      <c r="Q1145" s="47" t="str">
        <f t="shared" si="415"/>
        <v>50</v>
      </c>
      <c r="R1145" s="47" t="str">
        <f t="shared" si="398"/>
        <v>0-205128</v>
      </c>
      <c r="S1145" s="54" t="s">
        <v>42</v>
      </c>
      <c r="T1145" s="59" t="s">
        <v>42</v>
      </c>
      <c r="U1145" s="326" t="e">
        <f ca="1">_xlfn.XLOOKUP(PAA_4[[#This Row],[ITEM]],[2]Contrato!A:A,[2]Contrato!Q:Q,"",0)</f>
        <v>#NAME?</v>
      </c>
      <c r="V1145" s="47" t="s">
        <v>42</v>
      </c>
      <c r="W1145" s="47" t="s">
        <v>42</v>
      </c>
      <c r="X1145" s="47" t="s">
        <v>42</v>
      </c>
      <c r="Y1145" s="55" t="e">
        <f ca="1">_xlfn.XLOOKUP(PAA_4[[#This Row],[ITEM]],[2]Contrato!A:A,[2]Contrato!B:B,"",0)</f>
        <v>#NAME?</v>
      </c>
      <c r="Z1145" s="47" t="e">
        <f ca="1">_xlfn.XLOOKUP(PAA_4[[#This Row],[ITEM]],[2]Contrato!A:A,[2]Contrato!G:G,"",0)</f>
        <v>#NAME?</v>
      </c>
      <c r="AA1145" s="47" t="e">
        <f ca="1">_xlfn.XLOOKUP(PAA_4[[#This Row],[ITEM]],[2]Contrato!A:A,[2]Contrato!T:T,"",0)</f>
        <v>#NAME?</v>
      </c>
      <c r="AB1145" s="55" t="e">
        <f ca="1">+MAX(PAA_4[[#This Row],[Comprometido Contrato]],PAA_4[[#This Row],[Comprometido Bolsa]])</f>
        <v>#NAME?</v>
      </c>
      <c r="AC1145" s="55" t="str">
        <f t="shared" ca="1" si="416"/>
        <v/>
      </c>
      <c r="AD1145" s="55" t="e">
        <f ca="1">IF(PAA_4[[#This Row],[ESTADO (formulado)]]="NO CONTRATADO",0,MAX(PAA_4[[#This Row],[Pago por Contrato]],PAA_4[[#This Row],[Pago por bolsa]]))</f>
        <v>#NAME?</v>
      </c>
      <c r="AE1145" s="55" t="str">
        <f t="shared" ca="1" si="417"/>
        <v/>
      </c>
      <c r="AF1145" s="47" t="e">
        <f t="shared" ca="1" si="418"/>
        <v>#NAME?</v>
      </c>
      <c r="AG1145" s="47">
        <f t="shared" si="419"/>
        <v>44021010</v>
      </c>
      <c r="AH1145" s="54">
        <f>IF(Q1145="22",IF(ISNUMBER(SEARCH("econ",PAA_4[[#This Row],[Actividad3]])),"Económico",IF(ISNUMBER(SEARCH("alim",PAA_4[[#This Row],[Actividad3]])),"Alimentación",IF(ISNUMBER(SEARCH("educ",PAA_4[[#This Row],[Actividad3]])),"Educativo","Técnico"))),0)</f>
        <v>0</v>
      </c>
      <c r="AI1145" s="47" t="e" cm="1">
        <f t="array" aca="1" ref="AI1145" ca="1">_xlfn.XLOOKUP(PAA_4[[#This Row],[RCP-RUBRO]],[2]!COMPROMISOS_2024[[#All],[concatenado]],[2]!COMPROMISOS_2024[[#All],[Total pagado]],"",0)</f>
        <v>#NAME?</v>
      </c>
      <c r="AJ1145" s="56">
        <f>IF(PAA_4[[#This Row],[BOLSA]]=0,0,SUMIFS([2]!COMPROMISOS_2024[[#All],[Total pagado]],[2]!COMPROMISOS_2024[[#All],[Bolsa]],PAA_4[[#This Row],[BOLSA]],[2]!COMPROMISOS_2024[[#All],[rubro]],PAA_4[[#This Row],[RCP-RUBRO]]))</f>
        <v>0</v>
      </c>
      <c r="AK1145" s="47" t="e" cm="1">
        <f t="array" aca="1" ref="AK1145" ca="1">_xlfn.XLOOKUP(PAA_4[[#This Row],[RCP-RUBRO]],[2]!COMPROMISOS_2024[[#All],[concatenado]],[2]!COMPROMISOS_2024[[#All],[Total Comprometido]],"",0)</f>
        <v>#NAME?</v>
      </c>
      <c r="AL1145" s="47">
        <f>IF(PAA_4[[#This Row],[BOLSA]]=0,0,SUMIFS([2]!COMPROMISOS_2024[[#All],[Total Comprometido]],[2]!COMPROMISOS_2024[[#All],[Bolsa]],PAA_4[[#This Row],[BOLSA]],[2]!COMPROMISOS_2024[[#All],[concatenado]],PAA_4[[#This Row],[RCP-RUBRO]]))</f>
        <v>0</v>
      </c>
    </row>
    <row r="1146" spans="1:38" s="19" customFormat="1" ht="31.5" customHeight="1">
      <c r="A1146" s="47">
        <v>837</v>
      </c>
      <c r="B1146" s="47">
        <v>80111600</v>
      </c>
      <c r="C1146" s="47" t="str">
        <f>VLOOKUP(PAA_4[[#This Row],[PROYECTO (formulado)2]],[2]PROYECTOS!$G$1:$L$32,6,0)</f>
        <v>SUBGERENCIA DE FOMENTO Y DESARROLLO</v>
      </c>
      <c r="D1146" s="47" t="str">
        <f>+IF(PAA_4[[#This Row],[UNIDAD DE CONTRATACION (formulado)]]="Subgerencia Administrativa y Financiera","FUNCIONAMIENTO","INVERSIÓN")</f>
        <v>INVERSIÓN</v>
      </c>
      <c r="E1146" s="48" t="str">
        <f>VLOOKUP(Q1146,[2]PROYECTOS!$G$1:$K$32,5,0)</f>
        <v>FORTALECIMIENTO_DE_LOS_JUEGOS_DEL_SECTOR_SOCIAL_COMUNITARIO_EN_LOS_MUNICIPIOS_DEL_DEPARTAMENTO_DE_ANTIOQU</v>
      </c>
      <c r="F1146" s="48">
        <f>VLOOKUP(E1146,[2]PROYECTOS!$K$1:$M$32,3,0)</f>
        <v>2020003050033</v>
      </c>
      <c r="G1146" s="49" t="s">
        <v>342</v>
      </c>
      <c r="H1146" s="49" t="str">
        <f>VLOOKUP(Q1146,[2]PROYECTOS!$V$1:$W$32,2,0)</f>
        <v>050057</v>
      </c>
      <c r="I1146" s="50">
        <f>13734828-1074232-8828526</f>
        <v>3832070</v>
      </c>
      <c r="J1146" s="51" t="s">
        <v>1854</v>
      </c>
      <c r="K1146" s="47" t="str">
        <f t="shared" ca="1" si="414"/>
        <v>CONTRATADO</v>
      </c>
      <c r="L1146" s="47" t="s">
        <v>94</v>
      </c>
      <c r="M1146" s="47" t="s">
        <v>1297</v>
      </c>
      <c r="N1146" s="51" t="s">
        <v>343</v>
      </c>
      <c r="O1146" s="51" t="e">
        <f>VLOOKUP(N1146,[2]!RUBROS[#All],3,0)</f>
        <v>#REF!</v>
      </c>
      <c r="P1146" s="53" t="e">
        <f>VLOOKUP(N1146,[2]!RUBROS[#All],2,0)</f>
        <v>#REF!</v>
      </c>
      <c r="Q1146" s="47" t="str">
        <f t="shared" si="415"/>
        <v>50</v>
      </c>
      <c r="R1146" s="47" t="str">
        <f t="shared" si="398"/>
        <v>0-205128</v>
      </c>
      <c r="S1146" s="54">
        <v>6</v>
      </c>
      <c r="T1146" s="59" t="s">
        <v>46</v>
      </c>
      <c r="U1146" s="326" t="e">
        <f ca="1">_xlfn.XLOOKUP(PAA_4[[#This Row],[ITEM]],[2]Contrato!A:A,[2]Contrato!Q:Q,"",0)</f>
        <v>#NAME?</v>
      </c>
      <c r="V1146" s="47" t="s">
        <v>47</v>
      </c>
      <c r="W1146" s="47" t="s">
        <v>154</v>
      </c>
      <c r="X1146" s="47" t="s">
        <v>154</v>
      </c>
      <c r="Y1146" s="55" t="e">
        <f ca="1">_xlfn.XLOOKUP(PAA_4[[#This Row],[ITEM]],[2]Contrato!A:A,[2]Contrato!B:B,"",0)</f>
        <v>#NAME?</v>
      </c>
      <c r="Z1146" s="47" t="e">
        <f ca="1">_xlfn.XLOOKUP(PAA_4[[#This Row],[ITEM]],[2]Contrato!A:A,[2]Contrato!G:G,"",0)</f>
        <v>#NAME?</v>
      </c>
      <c r="AA1146" s="47" t="e">
        <f ca="1">_xlfn.XLOOKUP(PAA_4[[#This Row],[ITEM]],[2]Contrato!A:A,[2]Contrato!T:T,"",0)</f>
        <v>#NAME?</v>
      </c>
      <c r="AB1146" s="55" t="e">
        <f ca="1">+MAX(PAA_4[[#This Row],[Comprometido Contrato]],PAA_4[[#This Row],[Comprometido Bolsa]])</f>
        <v>#NAME?</v>
      </c>
      <c r="AC1146" s="55" t="str">
        <f t="shared" ca="1" si="416"/>
        <v/>
      </c>
      <c r="AD1146" s="55" t="e">
        <f ca="1">IF(PAA_4[[#This Row],[ESTADO (formulado)]]="NO CONTRATADO",0,MAX(PAA_4[[#This Row],[Pago por Contrato]],PAA_4[[#This Row],[Pago por bolsa]]))</f>
        <v>#NAME?</v>
      </c>
      <c r="AE1146" s="55" t="str">
        <f t="shared" ca="1" si="417"/>
        <v/>
      </c>
      <c r="AF1146" s="47" t="e">
        <f t="shared" ca="1" si="418"/>
        <v>#NAME?</v>
      </c>
      <c r="AG1146" s="47">
        <f t="shared" si="419"/>
        <v>44021010</v>
      </c>
      <c r="AH1146" s="54">
        <f>IF(Q1146="22",IF(ISNUMBER(SEARCH("econ",PAA_4[[#This Row],[Actividad3]])),"Económico",IF(ISNUMBER(SEARCH("alim",PAA_4[[#This Row],[Actividad3]])),"Alimentación",IF(ISNUMBER(SEARCH("educ",PAA_4[[#This Row],[Actividad3]])),"Educativo","Técnico"))),0)</f>
        <v>0</v>
      </c>
      <c r="AI1146" s="47" t="e" cm="1">
        <f t="array" aca="1" ref="AI1146" ca="1">_xlfn.XLOOKUP(PAA_4[[#This Row],[RCP-RUBRO]],[2]!COMPROMISOS_2024[[#All],[concatenado]],[2]!COMPROMISOS_2024[[#All],[Total pagado]],"",0)</f>
        <v>#NAME?</v>
      </c>
      <c r="AJ1146" s="56">
        <f>IF(PAA_4[[#This Row],[BOLSA]]=0,0,SUMIFS([2]!COMPROMISOS_2024[[#All],[Total pagado]],[2]!COMPROMISOS_2024[[#All],[Bolsa]],PAA_4[[#This Row],[BOLSA]],[2]!COMPROMISOS_2024[[#All],[rubro]],PAA_4[[#This Row],[RCP-RUBRO]]))</f>
        <v>0</v>
      </c>
      <c r="AK1146" s="47" t="e" cm="1">
        <f t="array" aca="1" ref="AK1146" ca="1">_xlfn.XLOOKUP(PAA_4[[#This Row],[RCP-RUBRO]],[2]!COMPROMISOS_2024[[#All],[concatenado]],[2]!COMPROMISOS_2024[[#All],[Total Comprometido]],"",0)</f>
        <v>#NAME?</v>
      </c>
      <c r="AL1146" s="47">
        <f>IF(PAA_4[[#This Row],[BOLSA]]=0,0,SUMIFS([2]!COMPROMISOS_2024[[#All],[Total Comprometido]],[2]!COMPROMISOS_2024[[#All],[Bolsa]],PAA_4[[#This Row],[BOLSA]],[2]!COMPROMISOS_2024[[#All],[concatenado]],PAA_4[[#This Row],[RCP-RUBRO]]))</f>
        <v>0</v>
      </c>
    </row>
    <row r="1147" spans="1:38" s="19" customFormat="1" ht="31.5" customHeight="1">
      <c r="A1147" s="47" t="s">
        <v>82</v>
      </c>
      <c r="B1147" s="47" t="s">
        <v>42</v>
      </c>
      <c r="C1147" s="47" t="str">
        <f>VLOOKUP(PAA_4[[#This Row],[PROYECTO (formulado)2]],[2]PROYECTOS!$G$1:$L$32,6,0)</f>
        <v>SUBGERENCIA DE FOMENTO Y DESARROLLO</v>
      </c>
      <c r="D1147" s="47" t="str">
        <f>+IF(PAA_4[[#This Row],[UNIDAD DE CONTRATACION (formulado)]]="Subgerencia Administrativa y Financiera","FUNCIONAMIENTO","INVERSIÓN")</f>
        <v>INVERSIÓN</v>
      </c>
      <c r="E1147" s="48" t="str">
        <f>VLOOKUP(Q1147,[2]PROYECTOS!$G$1:$K$32,5,0)</f>
        <v>FORTALECIMIENTO_DE_LOS_JUEGOS_DEL_SECTOR_EDUCATIVO_EN_ANTIOQUIA</v>
      </c>
      <c r="F1147" s="48">
        <f>VLOOKUP(E1147,[2]PROYECTOS!$K$1:$M$32,3,0)</f>
        <v>2020003050034</v>
      </c>
      <c r="G1147" s="49" t="s">
        <v>340</v>
      </c>
      <c r="H1147" s="49" t="str">
        <f>VLOOKUP(Q1147,[2]PROYECTOS!$V$1:$W$32,2,0)</f>
        <v>050053</v>
      </c>
      <c r="I1147" s="50">
        <v>0</v>
      </c>
      <c r="J1147" s="51" t="s">
        <v>42</v>
      </c>
      <c r="K1147" s="47" t="str">
        <f t="shared" ca="1" si="414"/>
        <v>CONTRATADO</v>
      </c>
      <c r="L1147" s="47" t="s">
        <v>42</v>
      </c>
      <c r="M1147" s="47" t="s">
        <v>42</v>
      </c>
      <c r="N1147" s="51" t="s">
        <v>341</v>
      </c>
      <c r="O1147" s="51" t="e">
        <f>VLOOKUP(N1147,[2]!RUBROS[#All],3,0)</f>
        <v>#REF!</v>
      </c>
      <c r="P1147" s="53" t="e">
        <f>VLOOKUP(N1147,[2]!RUBROS[#All],2,0)</f>
        <v>#REF!</v>
      </c>
      <c r="Q1147" s="47" t="str">
        <f t="shared" si="415"/>
        <v>51</v>
      </c>
      <c r="R1147" s="47" t="str">
        <f t="shared" si="398"/>
        <v>0-205128</v>
      </c>
      <c r="S1147" s="54" t="s">
        <v>42</v>
      </c>
      <c r="T1147" s="59" t="s">
        <v>42</v>
      </c>
      <c r="U1147" s="326" t="e">
        <f ca="1">_xlfn.XLOOKUP(PAA_4[[#This Row],[ITEM]],[2]Contrato!A:A,[2]Contrato!Q:Q,"",0)</f>
        <v>#NAME?</v>
      </c>
      <c r="V1147" s="47" t="s">
        <v>95</v>
      </c>
      <c r="W1147" s="47" t="s">
        <v>42</v>
      </c>
      <c r="X1147" s="47" t="s">
        <v>42</v>
      </c>
      <c r="Y1147" s="55" t="e">
        <f ca="1">_xlfn.XLOOKUP(PAA_4[[#This Row],[ITEM]],[2]Contrato!A:A,[2]Contrato!B:B,"",0)</f>
        <v>#NAME?</v>
      </c>
      <c r="Z1147" s="47" t="e">
        <f ca="1">_xlfn.XLOOKUP(PAA_4[[#This Row],[ITEM]],[2]Contrato!A:A,[2]Contrato!G:G,"",0)</f>
        <v>#NAME?</v>
      </c>
      <c r="AA1147" s="47" t="e">
        <f ca="1">_xlfn.XLOOKUP(PAA_4[[#This Row],[ITEM]],[2]Contrato!A:A,[2]Contrato!T:T,"",0)</f>
        <v>#NAME?</v>
      </c>
      <c r="AB1147" s="55" t="e">
        <f ca="1">+MAX(PAA_4[[#This Row],[Comprometido Contrato]],PAA_4[[#This Row],[Comprometido Bolsa]])</f>
        <v>#NAME?</v>
      </c>
      <c r="AC1147" s="55" t="str">
        <f t="shared" ca="1" si="416"/>
        <v/>
      </c>
      <c r="AD1147" s="55" t="e">
        <f ca="1">IF(PAA_4[[#This Row],[ESTADO (formulado)]]="NO CONTRATADO",0,MAX(PAA_4[[#This Row],[Pago por Contrato]],PAA_4[[#This Row],[Pago por bolsa]]))</f>
        <v>#NAME?</v>
      </c>
      <c r="AE1147" s="55" t="str">
        <f t="shared" ca="1" si="417"/>
        <v/>
      </c>
      <c r="AF1147" s="47" t="e">
        <f t="shared" ca="1" si="418"/>
        <v>#NAME?</v>
      </c>
      <c r="AG1147" s="47">
        <f t="shared" si="419"/>
        <v>44021011</v>
      </c>
      <c r="AH1147" s="54">
        <f>IF(Q1147="22",IF(ISNUMBER(SEARCH("econ",PAA_4[[#This Row],[Actividad3]])),"Económico",IF(ISNUMBER(SEARCH("alim",PAA_4[[#This Row],[Actividad3]])),"Alimentación",IF(ISNUMBER(SEARCH("educ",PAA_4[[#This Row],[Actividad3]])),"Educativo","Técnico"))),0)</f>
        <v>0</v>
      </c>
      <c r="AI1147" s="47" t="e" cm="1">
        <f t="array" aca="1" ref="AI1147" ca="1">_xlfn.XLOOKUP(PAA_4[[#This Row],[RCP-RUBRO]],[2]!COMPROMISOS_2024[[#All],[concatenado]],[2]!COMPROMISOS_2024[[#All],[Total pagado]],"",0)</f>
        <v>#NAME?</v>
      </c>
      <c r="AJ1147" s="56">
        <f>IF(PAA_4[[#This Row],[BOLSA]]=0,0,SUMIFS([2]!COMPROMISOS_2024[[#All],[Total pagado]],[2]!COMPROMISOS_2024[[#All],[Bolsa]],PAA_4[[#This Row],[BOLSA]],[2]!COMPROMISOS_2024[[#All],[rubro]],PAA_4[[#This Row],[RCP-RUBRO]]))</f>
        <v>0</v>
      </c>
      <c r="AK1147" s="47" t="e" cm="1">
        <f t="array" aca="1" ref="AK1147" ca="1">_xlfn.XLOOKUP(PAA_4[[#This Row],[RCP-RUBRO]],[2]!COMPROMISOS_2024[[#All],[concatenado]],[2]!COMPROMISOS_2024[[#All],[Total Comprometido]],"",0)</f>
        <v>#NAME?</v>
      </c>
      <c r="AL1147" s="47">
        <f>IF(PAA_4[[#This Row],[BOLSA]]=0,0,SUMIFS([2]!COMPROMISOS_2024[[#All],[Total Comprometido]],[2]!COMPROMISOS_2024[[#All],[Bolsa]],PAA_4[[#This Row],[BOLSA]],[2]!COMPROMISOS_2024[[#All],[concatenado]],PAA_4[[#This Row],[RCP-RUBRO]]))</f>
        <v>0</v>
      </c>
    </row>
    <row r="1148" spans="1:38" s="19" customFormat="1" ht="31.5" customHeight="1">
      <c r="A1148" s="47" t="s">
        <v>82</v>
      </c>
      <c r="B1148" s="47" t="s">
        <v>42</v>
      </c>
      <c r="C1148" s="47" t="str">
        <f>VLOOKUP(PAA_4[[#This Row],[PROYECTO (formulado)2]],[2]PROYECTOS!$G$1:$L$32,6,0)</f>
        <v>SUBGERENCIA DE FOMENTO Y DESARROLLO</v>
      </c>
      <c r="D1148" s="47" t="str">
        <f>+IF(PAA_4[[#This Row],[UNIDAD DE CONTRATACION (formulado)]]="Subgerencia Administrativa y Financiera","FUNCIONAMIENTO","INVERSIÓN")</f>
        <v>INVERSIÓN</v>
      </c>
      <c r="E1148" s="48" t="str">
        <f>VLOOKUP(Q1148,[2]PROYECTOS!$G$1:$K$32,5,0)</f>
        <v>FORTALECIMIENTO_DE_LOS_JUEGOS_DEL_SECTOR_EDUCATIVO_EN_ANTIOQUIA</v>
      </c>
      <c r="F1148" s="48">
        <f>VLOOKUP(E1148,[2]PROYECTOS!$K$1:$M$32,3,0)</f>
        <v>2020003050034</v>
      </c>
      <c r="G1148" s="49" t="s">
        <v>340</v>
      </c>
      <c r="H1148" s="49" t="str">
        <f>VLOOKUP(Q1148,[2]PROYECTOS!$V$1:$W$32,2,0)</f>
        <v>050053</v>
      </c>
      <c r="I1148" s="50">
        <v>1772389</v>
      </c>
      <c r="J1148" s="51" t="s">
        <v>1855</v>
      </c>
      <c r="K1148" s="47" t="str">
        <f t="shared" ca="1" si="414"/>
        <v>CONTRATADO</v>
      </c>
      <c r="L1148" s="47" t="s">
        <v>42</v>
      </c>
      <c r="M1148" s="47" t="s">
        <v>42</v>
      </c>
      <c r="N1148" s="51" t="s">
        <v>341</v>
      </c>
      <c r="O1148" s="51" t="e">
        <f>VLOOKUP(N1148,[2]!RUBROS[#All],3,0)</f>
        <v>#REF!</v>
      </c>
      <c r="P1148" s="53" t="e">
        <f>VLOOKUP(N1148,[2]!RUBROS[#All],2,0)</f>
        <v>#REF!</v>
      </c>
      <c r="Q1148" s="47" t="str">
        <f t="shared" si="415"/>
        <v>51</v>
      </c>
      <c r="R1148" s="47" t="str">
        <f t="shared" si="398"/>
        <v>0-205128</v>
      </c>
      <c r="S1148" s="54" t="s">
        <v>42</v>
      </c>
      <c r="T1148" s="59" t="s">
        <v>42</v>
      </c>
      <c r="U1148" s="326" t="e">
        <f ca="1">_xlfn.XLOOKUP(PAA_4[[#This Row],[ITEM]],[2]Contrato!A:A,[2]Contrato!Q:Q,"",0)</f>
        <v>#NAME?</v>
      </c>
      <c r="V1148" s="47" t="s">
        <v>42</v>
      </c>
      <c r="W1148" s="47" t="s">
        <v>42</v>
      </c>
      <c r="X1148" s="47" t="s">
        <v>42</v>
      </c>
      <c r="Y1148" s="55" t="e">
        <f ca="1">_xlfn.XLOOKUP(PAA_4[[#This Row],[ITEM]],[2]Contrato!A:A,[2]Contrato!B:B,"",0)</f>
        <v>#NAME?</v>
      </c>
      <c r="Z1148" s="47" t="e">
        <f ca="1">_xlfn.XLOOKUP(PAA_4[[#This Row],[ITEM]],[2]Contrato!A:A,[2]Contrato!G:G,"",0)</f>
        <v>#NAME?</v>
      </c>
      <c r="AA1148" s="47" t="e">
        <f ca="1">_xlfn.XLOOKUP(PAA_4[[#This Row],[ITEM]],[2]Contrato!A:A,[2]Contrato!T:T,"",0)</f>
        <v>#NAME?</v>
      </c>
      <c r="AB1148" s="55" t="e">
        <f ca="1">+MAX(PAA_4[[#This Row],[Comprometido Contrato]],PAA_4[[#This Row],[Comprometido Bolsa]])</f>
        <v>#NAME?</v>
      </c>
      <c r="AC1148" s="55" t="str">
        <f t="shared" ca="1" si="416"/>
        <v/>
      </c>
      <c r="AD1148" s="55" t="e">
        <f ca="1">IF(PAA_4[[#This Row],[ESTADO (formulado)]]="NO CONTRATADO",0,MAX(PAA_4[[#This Row],[Pago por Contrato]],PAA_4[[#This Row],[Pago por bolsa]]))</f>
        <v>#NAME?</v>
      </c>
      <c r="AE1148" s="55" t="str">
        <f t="shared" ca="1" si="417"/>
        <v/>
      </c>
      <c r="AF1148" s="47" t="e">
        <f t="shared" ca="1" si="418"/>
        <v>#NAME?</v>
      </c>
      <c r="AG1148" s="47">
        <f t="shared" si="419"/>
        <v>44021011</v>
      </c>
      <c r="AH1148" s="54">
        <f>IF(Q1148="22",IF(ISNUMBER(SEARCH("econ",PAA_4[[#This Row],[Actividad3]])),"Económico",IF(ISNUMBER(SEARCH("alim",PAA_4[[#This Row],[Actividad3]])),"Alimentación",IF(ISNUMBER(SEARCH("educ",PAA_4[[#This Row],[Actividad3]])),"Educativo","Técnico"))),0)</f>
        <v>0</v>
      </c>
      <c r="AI1148" s="47" t="e" cm="1">
        <f t="array" aca="1" ref="AI1148" ca="1">_xlfn.XLOOKUP(PAA_4[[#This Row],[RCP-RUBRO]],[2]!COMPROMISOS_2024[[#All],[concatenado]],[2]!COMPROMISOS_2024[[#All],[Total pagado]],"",0)</f>
        <v>#NAME?</v>
      </c>
      <c r="AJ1148" s="56">
        <f>IF(PAA_4[[#This Row],[BOLSA]]=0,0,SUMIFS([2]!COMPROMISOS_2024[[#All],[Total pagado]],[2]!COMPROMISOS_2024[[#All],[Bolsa]],PAA_4[[#This Row],[BOLSA]],[2]!COMPROMISOS_2024[[#All],[rubro]],PAA_4[[#This Row],[RCP-RUBRO]]))</f>
        <v>0</v>
      </c>
      <c r="AK1148" s="47" t="e" cm="1">
        <f t="array" aca="1" ref="AK1148" ca="1">_xlfn.XLOOKUP(PAA_4[[#This Row],[RCP-RUBRO]],[2]!COMPROMISOS_2024[[#All],[concatenado]],[2]!COMPROMISOS_2024[[#All],[Total Comprometido]],"",0)</f>
        <v>#NAME?</v>
      </c>
      <c r="AL1148" s="47">
        <f>IF(PAA_4[[#This Row],[BOLSA]]=0,0,SUMIFS([2]!COMPROMISOS_2024[[#All],[Total Comprometido]],[2]!COMPROMISOS_2024[[#All],[Bolsa]],PAA_4[[#This Row],[BOLSA]],[2]!COMPROMISOS_2024[[#All],[concatenado]],PAA_4[[#This Row],[RCP-RUBRO]]))</f>
        <v>0</v>
      </c>
    </row>
    <row r="1149" spans="1:38" s="19" customFormat="1" ht="31.5" customHeight="1">
      <c r="A1149" s="47">
        <v>837</v>
      </c>
      <c r="B1149" s="47">
        <v>80111600</v>
      </c>
      <c r="C1149" s="47" t="str">
        <f>VLOOKUP(PAA_4[[#This Row],[PROYECTO (formulado)2]],[2]PROYECTOS!$G$1:$L$32,6,0)</f>
        <v>SUBGERENCIA DE FOMENTO Y DESARROLLO</v>
      </c>
      <c r="D1149" s="47" t="str">
        <f>+IF(PAA_4[[#This Row],[UNIDAD DE CONTRATACION (formulado)]]="Subgerencia Administrativa y Financiera","FUNCIONAMIENTO","INVERSIÓN")</f>
        <v>INVERSIÓN</v>
      </c>
      <c r="E1149" s="48" t="str">
        <f>VLOOKUP(Q1149,[2]PROYECTOS!$G$1:$K$32,5,0)</f>
        <v>FORTALECIMIENTO_DE_LOS_JUEGOS_DEL_SECTOR_EDUCATIVO_EN_ANTIOQUIA</v>
      </c>
      <c r="F1149" s="48">
        <f>VLOOKUP(E1149,[2]PROYECTOS!$K$1:$M$32,3,0)</f>
        <v>2020003050034</v>
      </c>
      <c r="G1149" s="49" t="s">
        <v>340</v>
      </c>
      <c r="H1149" s="49" t="str">
        <f>VLOOKUP(Q1149,[2]PROYECTOS!$V$1:$W$32,2,0)</f>
        <v>050053</v>
      </c>
      <c r="I1149" s="50">
        <f>13863190-1084272-1772389</f>
        <v>11006529</v>
      </c>
      <c r="J1149" s="51" t="s">
        <v>1854</v>
      </c>
      <c r="K1149" s="47" t="str">
        <f t="shared" ca="1" si="414"/>
        <v>CONTRATADO</v>
      </c>
      <c r="L1149" s="47" t="s">
        <v>94</v>
      </c>
      <c r="M1149" s="47" t="s">
        <v>1297</v>
      </c>
      <c r="N1149" s="51" t="s">
        <v>341</v>
      </c>
      <c r="O1149" s="51" t="e">
        <f>VLOOKUP(N1149,[2]!RUBROS[#All],3,0)</f>
        <v>#REF!</v>
      </c>
      <c r="P1149" s="53" t="e">
        <f>VLOOKUP(N1149,[2]!RUBROS[#All],2,0)</f>
        <v>#REF!</v>
      </c>
      <c r="Q1149" s="47" t="str">
        <f t="shared" si="415"/>
        <v>51</v>
      </c>
      <c r="R1149" s="47" t="str">
        <f t="shared" si="398"/>
        <v>0-205128</v>
      </c>
      <c r="S1149" s="54">
        <v>6</v>
      </c>
      <c r="T1149" s="59" t="s">
        <v>46</v>
      </c>
      <c r="U1149" s="326" t="e">
        <f ca="1">_xlfn.XLOOKUP(PAA_4[[#This Row],[ITEM]],[2]Contrato!A:A,[2]Contrato!Q:Q,"",0)</f>
        <v>#NAME?</v>
      </c>
      <c r="V1149" s="47" t="s">
        <v>47</v>
      </c>
      <c r="W1149" s="47" t="s">
        <v>154</v>
      </c>
      <c r="X1149" s="47" t="s">
        <v>154</v>
      </c>
      <c r="Y1149" s="55" t="e">
        <f ca="1">_xlfn.XLOOKUP(PAA_4[[#This Row],[ITEM]],[2]Contrato!A:A,[2]Contrato!B:B,"",0)</f>
        <v>#NAME?</v>
      </c>
      <c r="Z1149" s="47" t="e">
        <f ca="1">_xlfn.XLOOKUP(PAA_4[[#This Row],[ITEM]],[2]Contrato!A:A,[2]Contrato!G:G,"",0)</f>
        <v>#NAME?</v>
      </c>
      <c r="AA1149" s="47" t="e">
        <f ca="1">_xlfn.XLOOKUP(PAA_4[[#This Row],[ITEM]],[2]Contrato!A:A,[2]Contrato!T:T,"",0)</f>
        <v>#NAME?</v>
      </c>
      <c r="AB1149" s="55" t="e">
        <f ca="1">+MAX(PAA_4[[#This Row],[Comprometido Contrato]],PAA_4[[#This Row],[Comprometido Bolsa]])</f>
        <v>#NAME?</v>
      </c>
      <c r="AC1149" s="55" t="str">
        <f t="shared" ca="1" si="416"/>
        <v/>
      </c>
      <c r="AD1149" s="55" t="e">
        <f ca="1">IF(PAA_4[[#This Row],[ESTADO (formulado)]]="NO CONTRATADO",0,MAX(PAA_4[[#This Row],[Pago por Contrato]],PAA_4[[#This Row],[Pago por bolsa]]))</f>
        <v>#NAME?</v>
      </c>
      <c r="AE1149" s="55" t="str">
        <f t="shared" ca="1" si="417"/>
        <v/>
      </c>
      <c r="AF1149" s="47" t="e">
        <f t="shared" ca="1" si="418"/>
        <v>#NAME?</v>
      </c>
      <c r="AG1149" s="47">
        <f t="shared" si="419"/>
        <v>44021011</v>
      </c>
      <c r="AH1149" s="54">
        <f>IF(Q1149="22",IF(ISNUMBER(SEARCH("econ",PAA_4[[#This Row],[Actividad3]])),"Económico",IF(ISNUMBER(SEARCH("alim",PAA_4[[#This Row],[Actividad3]])),"Alimentación",IF(ISNUMBER(SEARCH("educ",PAA_4[[#This Row],[Actividad3]])),"Educativo","Técnico"))),0)</f>
        <v>0</v>
      </c>
      <c r="AI1149" s="47" t="e" cm="1">
        <f t="array" aca="1" ref="AI1149" ca="1">_xlfn.XLOOKUP(PAA_4[[#This Row],[RCP-RUBRO]],[2]!COMPROMISOS_2024[[#All],[concatenado]],[2]!COMPROMISOS_2024[[#All],[Total pagado]],"",0)</f>
        <v>#NAME?</v>
      </c>
      <c r="AJ1149" s="56">
        <f>IF(PAA_4[[#This Row],[BOLSA]]=0,0,SUMIFS([2]!COMPROMISOS_2024[[#All],[Total pagado]],[2]!COMPROMISOS_2024[[#All],[Bolsa]],PAA_4[[#This Row],[BOLSA]],[2]!COMPROMISOS_2024[[#All],[rubro]],PAA_4[[#This Row],[RCP-RUBRO]]))</f>
        <v>0</v>
      </c>
      <c r="AK1149" s="47" t="e" cm="1">
        <f t="array" aca="1" ref="AK1149" ca="1">_xlfn.XLOOKUP(PAA_4[[#This Row],[RCP-RUBRO]],[2]!COMPROMISOS_2024[[#All],[concatenado]],[2]!COMPROMISOS_2024[[#All],[Total Comprometido]],"",0)</f>
        <v>#NAME?</v>
      </c>
      <c r="AL1149" s="47">
        <f>IF(PAA_4[[#This Row],[BOLSA]]=0,0,SUMIFS([2]!COMPROMISOS_2024[[#All],[Total Comprometido]],[2]!COMPROMISOS_2024[[#All],[Bolsa]],PAA_4[[#This Row],[BOLSA]],[2]!COMPROMISOS_2024[[#All],[concatenado]],PAA_4[[#This Row],[RCP-RUBRO]]))</f>
        <v>0</v>
      </c>
    </row>
    <row r="1150" spans="1:38" s="19" customFormat="1" ht="31.5" customHeight="1">
      <c r="A1150" s="47" t="s">
        <v>82</v>
      </c>
      <c r="B1150" s="47" t="s">
        <v>42</v>
      </c>
      <c r="C1150" s="47" t="str">
        <f>VLOOKUP(PAA_4[[#This Row],[PROYECTO (formulado)2]],[2]PROYECTOS!$G$1:$L$32,6,0)</f>
        <v>SUBGERENCIA DE FOMENTO Y DESARROLLO</v>
      </c>
      <c r="D1150" s="47" t="str">
        <f>+IF(PAA_4[[#This Row],[UNIDAD DE CONTRATACION (formulado)]]="Subgerencia Administrativa y Financiera","FUNCIONAMIENTO","INVERSIÓN")</f>
        <v>INVERSIÓN</v>
      </c>
      <c r="E1150" s="48" t="str">
        <f>VLOOKUP(Q1150,[2]PROYECTOS!$G$1:$K$32,5,0)</f>
        <v>CAPACITACION_PARA_EL_SECTOR_DEL_DEPORTE_LA_ACTIVIDAD_FISICA_LA_RECREACION_Y_LA_EDUCACION_FISICA_DE_ANTI</v>
      </c>
      <c r="F1150" s="48">
        <f>VLOOKUP(E1150,[2]PROYECTOS!$K$1:$M$32,3,0)</f>
        <v>2020003050024</v>
      </c>
      <c r="G1150" s="49" t="s">
        <v>337</v>
      </c>
      <c r="H1150" s="49" t="str">
        <f>VLOOKUP(Q1150,[2]PROYECTOS!$V$1:$W$32,2,0)</f>
        <v>050063</v>
      </c>
      <c r="I1150" s="50">
        <v>0</v>
      </c>
      <c r="J1150" s="51" t="s">
        <v>42</v>
      </c>
      <c r="K1150" s="47" t="str">
        <f t="shared" ca="1" si="414"/>
        <v>CONTRATADO</v>
      </c>
      <c r="L1150" s="47" t="s">
        <v>42</v>
      </c>
      <c r="M1150" s="47" t="s">
        <v>42</v>
      </c>
      <c r="N1150" s="51" t="s">
        <v>339</v>
      </c>
      <c r="O1150" s="51" t="e">
        <f>VLOOKUP(N1150,[2]!RUBROS[#All],3,0)</f>
        <v>#REF!</v>
      </c>
      <c r="P1150" s="53" t="e">
        <f>VLOOKUP(N1150,[2]!RUBROS[#All],2,0)</f>
        <v>#REF!</v>
      </c>
      <c r="Q1150" s="47" t="str">
        <f t="shared" si="415"/>
        <v>48</v>
      </c>
      <c r="R1150" s="47" t="str">
        <f t="shared" si="398"/>
        <v>0-205128</v>
      </c>
      <c r="S1150" s="54" t="s">
        <v>42</v>
      </c>
      <c r="T1150" s="59" t="s">
        <v>42</v>
      </c>
      <c r="U1150" s="326" t="e">
        <f ca="1">_xlfn.XLOOKUP(PAA_4[[#This Row],[ITEM]],[2]Contrato!A:A,[2]Contrato!Q:Q,"",0)</f>
        <v>#NAME?</v>
      </c>
      <c r="V1150" s="47" t="s">
        <v>95</v>
      </c>
      <c r="W1150" s="47" t="s">
        <v>42</v>
      </c>
      <c r="X1150" s="47" t="s">
        <v>42</v>
      </c>
      <c r="Y1150" s="55" t="e">
        <f ca="1">_xlfn.XLOOKUP(PAA_4[[#This Row],[ITEM]],[2]Contrato!A:A,[2]Contrato!B:B,"",0)</f>
        <v>#NAME?</v>
      </c>
      <c r="Z1150" s="47" t="e">
        <f ca="1">_xlfn.XLOOKUP(PAA_4[[#This Row],[ITEM]],[2]Contrato!A:A,[2]Contrato!G:G,"",0)</f>
        <v>#NAME?</v>
      </c>
      <c r="AA1150" s="47" t="e">
        <f ca="1">_xlfn.XLOOKUP(PAA_4[[#This Row],[ITEM]],[2]Contrato!A:A,[2]Contrato!T:T,"",0)</f>
        <v>#NAME?</v>
      </c>
      <c r="AB1150" s="55" t="e">
        <f ca="1">+MAX(PAA_4[[#This Row],[Comprometido Contrato]],PAA_4[[#This Row],[Comprometido Bolsa]])</f>
        <v>#NAME?</v>
      </c>
      <c r="AC1150" s="55" t="str">
        <f t="shared" ca="1" si="416"/>
        <v/>
      </c>
      <c r="AD1150" s="55" t="e">
        <f ca="1">IF(PAA_4[[#This Row],[ESTADO (formulado)]]="NO CONTRATADO",0,MAX(PAA_4[[#This Row],[Pago por Contrato]],PAA_4[[#This Row],[Pago por bolsa]]))</f>
        <v>#NAME?</v>
      </c>
      <c r="AE1150" s="55" t="str">
        <f t="shared" ca="1" si="417"/>
        <v/>
      </c>
      <c r="AF1150" s="47" t="e">
        <f t="shared" ca="1" si="418"/>
        <v>#NAME?</v>
      </c>
      <c r="AG1150" s="47">
        <f t="shared" si="419"/>
        <v>41080201</v>
      </c>
      <c r="AH1150" s="54">
        <f>IF(Q1150="22",IF(ISNUMBER(SEARCH("econ",PAA_4[[#This Row],[Actividad3]])),"Económico",IF(ISNUMBER(SEARCH("alim",PAA_4[[#This Row],[Actividad3]])),"Alimentación",IF(ISNUMBER(SEARCH("educ",PAA_4[[#This Row],[Actividad3]])),"Educativo","Técnico"))),0)</f>
        <v>0</v>
      </c>
      <c r="AI1150" s="47" t="e" cm="1">
        <f t="array" aca="1" ref="AI1150" ca="1">_xlfn.XLOOKUP(PAA_4[[#This Row],[RCP-RUBRO]],[2]!COMPROMISOS_2024[[#All],[concatenado]],[2]!COMPROMISOS_2024[[#All],[Total pagado]],"",0)</f>
        <v>#NAME?</v>
      </c>
      <c r="AJ1150" s="56">
        <f>IF(PAA_4[[#This Row],[BOLSA]]=0,0,SUMIFS([2]!COMPROMISOS_2024[[#All],[Total pagado]],[2]!COMPROMISOS_2024[[#All],[Bolsa]],PAA_4[[#This Row],[BOLSA]],[2]!COMPROMISOS_2024[[#All],[rubro]],PAA_4[[#This Row],[RCP-RUBRO]]))</f>
        <v>0</v>
      </c>
      <c r="AK1150" s="47" t="e" cm="1">
        <f t="array" aca="1" ref="AK1150" ca="1">_xlfn.XLOOKUP(PAA_4[[#This Row],[RCP-RUBRO]],[2]!COMPROMISOS_2024[[#All],[concatenado]],[2]!COMPROMISOS_2024[[#All],[Total Comprometido]],"",0)</f>
        <v>#NAME?</v>
      </c>
      <c r="AL1150" s="47">
        <f>IF(PAA_4[[#This Row],[BOLSA]]=0,0,SUMIFS([2]!COMPROMISOS_2024[[#All],[Total Comprometido]],[2]!COMPROMISOS_2024[[#All],[Bolsa]],PAA_4[[#This Row],[BOLSA]],[2]!COMPROMISOS_2024[[#All],[concatenado]],PAA_4[[#This Row],[RCP-RUBRO]]))</f>
        <v>0</v>
      </c>
    </row>
    <row r="1151" spans="1:38" s="19" customFormat="1" ht="31.5" customHeight="1">
      <c r="A1151" s="47" t="s">
        <v>82</v>
      </c>
      <c r="B1151" s="47" t="s">
        <v>42</v>
      </c>
      <c r="C1151" s="47" t="str">
        <f>VLOOKUP(PAA_4[[#This Row],[PROYECTO (formulado)2]],[2]PROYECTOS!$G$1:$L$32,6,0)</f>
        <v>SUBGERENCIA DE FOMENTO Y DESARROLLO</v>
      </c>
      <c r="D1151" s="47" t="str">
        <f>+IF(PAA_4[[#This Row],[UNIDAD DE CONTRATACION (formulado)]]="Subgerencia Administrativa y Financiera","FUNCIONAMIENTO","INVERSIÓN")</f>
        <v>INVERSIÓN</v>
      </c>
      <c r="E1151" s="48" t="str">
        <f>VLOOKUP(Q1151,[2]PROYECTOS!$G$1:$K$32,5,0)</f>
        <v>CAPACITACION_PARA_EL_SECTOR_DEL_DEPORTE_LA_ACTIVIDAD_FISICA_LA_RECREACION_Y_LA_EDUCACION_FISICA_DE_ANTI</v>
      </c>
      <c r="F1151" s="48">
        <f>VLOOKUP(E1151,[2]PROYECTOS!$K$1:$M$32,3,0)</f>
        <v>2020003050024</v>
      </c>
      <c r="G1151" s="49" t="s">
        <v>337</v>
      </c>
      <c r="H1151" s="49" t="str">
        <f>VLOOKUP(Q1151,[2]PROYECTOS!$V$1:$W$32,2,0)</f>
        <v>050063</v>
      </c>
      <c r="I1151" s="50">
        <v>2469340</v>
      </c>
      <c r="J1151" s="51" t="s">
        <v>1855</v>
      </c>
      <c r="K1151" s="47" t="str">
        <f t="shared" ca="1" si="414"/>
        <v>CONTRATADO</v>
      </c>
      <c r="L1151" s="47" t="s">
        <v>42</v>
      </c>
      <c r="M1151" s="47" t="s">
        <v>42</v>
      </c>
      <c r="N1151" s="51" t="s">
        <v>339</v>
      </c>
      <c r="O1151" s="51" t="e">
        <f>VLOOKUP(N1151,[2]!RUBROS[#All],3,0)</f>
        <v>#REF!</v>
      </c>
      <c r="P1151" s="53" t="e">
        <f>VLOOKUP(N1151,[2]!RUBROS[#All],2,0)</f>
        <v>#REF!</v>
      </c>
      <c r="Q1151" s="47" t="str">
        <f t="shared" si="415"/>
        <v>48</v>
      </c>
      <c r="R1151" s="47" t="str">
        <f t="shared" si="398"/>
        <v>0-205128</v>
      </c>
      <c r="S1151" s="54" t="s">
        <v>42</v>
      </c>
      <c r="T1151" s="59" t="s">
        <v>42</v>
      </c>
      <c r="U1151" s="326" t="e">
        <f ca="1">_xlfn.XLOOKUP(PAA_4[[#This Row],[ITEM]],[2]Contrato!A:A,[2]Contrato!Q:Q,"",0)</f>
        <v>#NAME?</v>
      </c>
      <c r="V1151" s="47" t="s">
        <v>42</v>
      </c>
      <c r="W1151" s="47" t="s">
        <v>42</v>
      </c>
      <c r="X1151" s="47" t="s">
        <v>42</v>
      </c>
      <c r="Y1151" s="55" t="e">
        <f ca="1">_xlfn.XLOOKUP(PAA_4[[#This Row],[ITEM]],[2]Contrato!A:A,[2]Contrato!B:B,"",0)</f>
        <v>#NAME?</v>
      </c>
      <c r="Z1151" s="47" t="e">
        <f ca="1">_xlfn.XLOOKUP(PAA_4[[#This Row],[ITEM]],[2]Contrato!A:A,[2]Contrato!G:G,"",0)</f>
        <v>#NAME?</v>
      </c>
      <c r="AA1151" s="47" t="e">
        <f ca="1">_xlfn.XLOOKUP(PAA_4[[#This Row],[ITEM]],[2]Contrato!A:A,[2]Contrato!T:T,"",0)</f>
        <v>#NAME?</v>
      </c>
      <c r="AB1151" s="55" t="e">
        <f ca="1">+MAX(PAA_4[[#This Row],[Comprometido Contrato]],PAA_4[[#This Row],[Comprometido Bolsa]])</f>
        <v>#NAME?</v>
      </c>
      <c r="AC1151" s="55" t="str">
        <f t="shared" ca="1" si="416"/>
        <v/>
      </c>
      <c r="AD1151" s="55" t="e">
        <f ca="1">IF(PAA_4[[#This Row],[ESTADO (formulado)]]="NO CONTRATADO",0,MAX(PAA_4[[#This Row],[Pago por Contrato]],PAA_4[[#This Row],[Pago por bolsa]]))</f>
        <v>#NAME?</v>
      </c>
      <c r="AE1151" s="55" t="str">
        <f t="shared" ca="1" si="417"/>
        <v/>
      </c>
      <c r="AF1151" s="47" t="e">
        <f t="shared" ca="1" si="418"/>
        <v>#NAME?</v>
      </c>
      <c r="AG1151" s="47">
        <f t="shared" si="419"/>
        <v>41080201</v>
      </c>
      <c r="AH1151" s="54">
        <f>IF(Q1151="22",IF(ISNUMBER(SEARCH("econ",PAA_4[[#This Row],[Actividad3]])),"Económico",IF(ISNUMBER(SEARCH("alim",PAA_4[[#This Row],[Actividad3]])),"Alimentación",IF(ISNUMBER(SEARCH("educ",PAA_4[[#This Row],[Actividad3]])),"Educativo","Técnico"))),0)</f>
        <v>0</v>
      </c>
      <c r="AI1151" s="47" t="e" cm="1">
        <f t="array" aca="1" ref="AI1151" ca="1">_xlfn.XLOOKUP(PAA_4[[#This Row],[RCP-RUBRO]],[2]!COMPROMISOS_2024[[#All],[concatenado]],[2]!COMPROMISOS_2024[[#All],[Total pagado]],"",0)</f>
        <v>#NAME?</v>
      </c>
      <c r="AJ1151" s="56">
        <f>IF(PAA_4[[#This Row],[BOLSA]]=0,0,SUMIFS([2]!COMPROMISOS_2024[[#All],[Total pagado]],[2]!COMPROMISOS_2024[[#All],[Bolsa]],PAA_4[[#This Row],[BOLSA]],[2]!COMPROMISOS_2024[[#All],[rubro]],PAA_4[[#This Row],[RCP-RUBRO]]))</f>
        <v>0</v>
      </c>
      <c r="AK1151" s="47" t="e" cm="1">
        <f t="array" aca="1" ref="AK1151" ca="1">_xlfn.XLOOKUP(PAA_4[[#This Row],[RCP-RUBRO]],[2]!COMPROMISOS_2024[[#All],[concatenado]],[2]!COMPROMISOS_2024[[#All],[Total Comprometido]],"",0)</f>
        <v>#NAME?</v>
      </c>
      <c r="AL1151" s="47">
        <f>IF(PAA_4[[#This Row],[BOLSA]]=0,0,SUMIFS([2]!COMPROMISOS_2024[[#All],[Total Comprometido]],[2]!COMPROMISOS_2024[[#All],[Bolsa]],PAA_4[[#This Row],[BOLSA]],[2]!COMPROMISOS_2024[[#All],[concatenado]],PAA_4[[#This Row],[RCP-RUBRO]]))</f>
        <v>0</v>
      </c>
    </row>
    <row r="1152" spans="1:38" s="19" customFormat="1" ht="31.5" customHeight="1">
      <c r="A1152" s="47">
        <v>837</v>
      </c>
      <c r="B1152" s="47">
        <v>80111600</v>
      </c>
      <c r="C1152" s="47" t="str">
        <f>VLOOKUP(PAA_4[[#This Row],[PROYECTO (formulado)2]],[2]PROYECTOS!$G$1:$L$32,6,0)</f>
        <v>SUBGERENCIA DE FOMENTO Y DESARROLLO</v>
      </c>
      <c r="D1152" s="47" t="str">
        <f>+IF(PAA_4[[#This Row],[UNIDAD DE CONTRATACION (formulado)]]="Subgerencia Administrativa y Financiera","FUNCIONAMIENTO","INVERSIÓN")</f>
        <v>INVERSIÓN</v>
      </c>
      <c r="E1152" s="48" t="str">
        <f>VLOOKUP(Q1152,[2]PROYECTOS!$G$1:$K$32,5,0)</f>
        <v>CAPACITACION_PARA_EL_SECTOR_DEL_DEPORTE_LA_ACTIVIDAD_FISICA_LA_RECREACION_Y_LA_EDUCACION_FISICA_DE_ANTI</v>
      </c>
      <c r="F1152" s="48">
        <f>VLOOKUP(E1152,[2]PROYECTOS!$K$1:$M$32,3,0)</f>
        <v>2020003050024</v>
      </c>
      <c r="G1152" s="49" t="s">
        <v>337</v>
      </c>
      <c r="H1152" s="49" t="str">
        <f>VLOOKUP(Q1152,[2]PROYECTOS!$V$1:$W$32,2,0)</f>
        <v>050063</v>
      </c>
      <c r="I1152" s="50">
        <f>2678860-209520-2469340</f>
        <v>0</v>
      </c>
      <c r="J1152" s="51" t="s">
        <v>1854</v>
      </c>
      <c r="K1152" s="47" t="str">
        <f t="shared" ca="1" si="414"/>
        <v>CONTRATADO</v>
      </c>
      <c r="L1152" s="47" t="s">
        <v>94</v>
      </c>
      <c r="M1152" s="47" t="s">
        <v>1297</v>
      </c>
      <c r="N1152" s="51" t="s">
        <v>339</v>
      </c>
      <c r="O1152" s="51" t="e">
        <f>VLOOKUP(N1152,[2]!RUBROS[#All],3,0)</f>
        <v>#REF!</v>
      </c>
      <c r="P1152" s="53" t="e">
        <f>VLOOKUP(N1152,[2]!RUBROS[#All],2,0)</f>
        <v>#REF!</v>
      </c>
      <c r="Q1152" s="47" t="str">
        <f t="shared" si="415"/>
        <v>48</v>
      </c>
      <c r="R1152" s="47" t="str">
        <f t="shared" si="398"/>
        <v>0-205128</v>
      </c>
      <c r="S1152" s="54">
        <v>6</v>
      </c>
      <c r="T1152" s="59" t="s">
        <v>46</v>
      </c>
      <c r="U1152" s="326" t="e">
        <f ca="1">_xlfn.XLOOKUP(PAA_4[[#This Row],[ITEM]],[2]Contrato!A:A,[2]Contrato!Q:Q,"",0)</f>
        <v>#NAME?</v>
      </c>
      <c r="V1152" s="47" t="s">
        <v>47</v>
      </c>
      <c r="W1152" s="47" t="s">
        <v>154</v>
      </c>
      <c r="X1152" s="47" t="s">
        <v>154</v>
      </c>
      <c r="Y1152" s="55" t="e">
        <f ca="1">_xlfn.XLOOKUP(PAA_4[[#This Row],[ITEM]],[2]Contrato!A:A,[2]Contrato!B:B,"",0)</f>
        <v>#NAME?</v>
      </c>
      <c r="Z1152" s="47" t="e">
        <f ca="1">_xlfn.XLOOKUP(PAA_4[[#This Row],[ITEM]],[2]Contrato!A:A,[2]Contrato!G:G,"",0)</f>
        <v>#NAME?</v>
      </c>
      <c r="AA1152" s="47" t="e">
        <f ca="1">_xlfn.XLOOKUP(PAA_4[[#This Row],[ITEM]],[2]Contrato!A:A,[2]Contrato!T:T,"",0)</f>
        <v>#NAME?</v>
      </c>
      <c r="AB1152" s="55" t="e">
        <f ca="1">+MAX(PAA_4[[#This Row],[Comprometido Contrato]],PAA_4[[#This Row],[Comprometido Bolsa]])</f>
        <v>#NAME?</v>
      </c>
      <c r="AC1152" s="55" t="str">
        <f t="shared" ca="1" si="416"/>
        <v/>
      </c>
      <c r="AD1152" s="55" t="e">
        <f ca="1">IF(PAA_4[[#This Row],[ESTADO (formulado)]]="NO CONTRATADO",0,MAX(PAA_4[[#This Row],[Pago por Contrato]],PAA_4[[#This Row],[Pago por bolsa]]))</f>
        <v>#NAME?</v>
      </c>
      <c r="AE1152" s="55" t="str">
        <f t="shared" ca="1" si="417"/>
        <v/>
      </c>
      <c r="AF1152" s="47" t="e">
        <f t="shared" ca="1" si="418"/>
        <v>#NAME?</v>
      </c>
      <c r="AG1152" s="47">
        <f t="shared" si="419"/>
        <v>41080201</v>
      </c>
      <c r="AH1152" s="54">
        <f>IF(Q1152="22",IF(ISNUMBER(SEARCH("econ",PAA_4[[#This Row],[Actividad3]])),"Económico",IF(ISNUMBER(SEARCH("alim",PAA_4[[#This Row],[Actividad3]])),"Alimentación",IF(ISNUMBER(SEARCH("educ",PAA_4[[#This Row],[Actividad3]])),"Educativo","Técnico"))),0)</f>
        <v>0</v>
      </c>
      <c r="AI1152" s="47" t="e" cm="1">
        <f t="array" aca="1" ref="AI1152" ca="1">_xlfn.XLOOKUP(PAA_4[[#This Row],[RCP-RUBRO]],[2]!COMPROMISOS_2024[[#All],[concatenado]],[2]!COMPROMISOS_2024[[#All],[Total pagado]],"",0)</f>
        <v>#NAME?</v>
      </c>
      <c r="AJ1152" s="56">
        <f>IF(PAA_4[[#This Row],[BOLSA]]=0,0,SUMIFS([2]!COMPROMISOS_2024[[#All],[Total pagado]],[2]!COMPROMISOS_2024[[#All],[Bolsa]],PAA_4[[#This Row],[BOLSA]],[2]!COMPROMISOS_2024[[#All],[rubro]],PAA_4[[#This Row],[RCP-RUBRO]]))</f>
        <v>0</v>
      </c>
      <c r="AK1152" s="47" t="e" cm="1">
        <f t="array" aca="1" ref="AK1152" ca="1">_xlfn.XLOOKUP(PAA_4[[#This Row],[RCP-RUBRO]],[2]!COMPROMISOS_2024[[#All],[concatenado]],[2]!COMPROMISOS_2024[[#All],[Total Comprometido]],"",0)</f>
        <v>#NAME?</v>
      </c>
      <c r="AL1152" s="47">
        <f>IF(PAA_4[[#This Row],[BOLSA]]=0,0,SUMIFS([2]!COMPROMISOS_2024[[#All],[Total Comprometido]],[2]!COMPROMISOS_2024[[#All],[Bolsa]],PAA_4[[#This Row],[BOLSA]],[2]!COMPROMISOS_2024[[#All],[concatenado]],PAA_4[[#This Row],[RCP-RUBRO]]))</f>
        <v>0</v>
      </c>
    </row>
    <row r="1153" spans="1:38" s="19" customFormat="1" ht="31.5" customHeight="1">
      <c r="A1153" s="47" t="s">
        <v>82</v>
      </c>
      <c r="B1153" s="47" t="s">
        <v>42</v>
      </c>
      <c r="C1153" s="47" t="str">
        <f>VLOOKUP(PAA_4[[#This Row],[PROYECTO (formulado)2]],[2]PROYECTOS!$G$1:$L$32,6,0)</f>
        <v>SUBGERENCIA DE FOMENTO Y DESARROLLO</v>
      </c>
      <c r="D1153" s="47" t="str">
        <f>+IF(PAA_4[[#This Row],[UNIDAD DE CONTRATACION (formulado)]]="Subgerencia Administrativa y Financiera","FUNCIONAMIENTO","INVERSIÓN")</f>
        <v>INVERSIÓN</v>
      </c>
      <c r="E1153" s="48" t="str">
        <f>VLOOKUP(Q1153,[2]PROYECTOS!$G$1:$K$32,5,0)</f>
        <v>FORTALECIMIENTO_DEL_PROGRAMA_POR_SU_SALUD_MUÉVASE_PUES_EN_LOS_MUNICIPIO_DEL_DEPARTAMENTO_DE_ANTIOQUIA</v>
      </c>
      <c r="F1153" s="48">
        <f>VLOOKUP(E1153,[2]PROYECTOS!$K$1:$M$32,3,0)</f>
        <v>2020003050030</v>
      </c>
      <c r="G1153" s="49" t="s">
        <v>326</v>
      </c>
      <c r="H1153" s="49" t="str">
        <f>VLOOKUP(Q1153,[2]PROYECTOS!$V$1:$W$32,2,0)</f>
        <v>050055</v>
      </c>
      <c r="I1153" s="50">
        <v>0</v>
      </c>
      <c r="J1153" s="51" t="s">
        <v>42</v>
      </c>
      <c r="K1153" s="47" t="str">
        <f t="shared" ca="1" si="414"/>
        <v>CONTRATADO</v>
      </c>
      <c r="L1153" s="47" t="s">
        <v>42</v>
      </c>
      <c r="M1153" s="47" t="s">
        <v>42</v>
      </c>
      <c r="N1153" s="51" t="s">
        <v>329</v>
      </c>
      <c r="O1153" s="51" t="e">
        <f>VLOOKUP(N1153,[2]!RUBROS[#All],3,0)</f>
        <v>#REF!</v>
      </c>
      <c r="P1153" s="53" t="e">
        <f>VLOOKUP(N1153,[2]!RUBROS[#All],2,0)</f>
        <v>#REF!</v>
      </c>
      <c r="Q1153" s="47" t="str">
        <f t="shared" si="415"/>
        <v>45</v>
      </c>
      <c r="R1153" s="47" t="str">
        <f t="shared" si="398"/>
        <v>0-205128</v>
      </c>
      <c r="S1153" s="54" t="s">
        <v>42</v>
      </c>
      <c r="T1153" s="59" t="s">
        <v>42</v>
      </c>
      <c r="U1153" s="326" t="e">
        <f ca="1">_xlfn.XLOOKUP(PAA_4[[#This Row],[ITEM]],[2]Contrato!A:A,[2]Contrato!Q:Q,"",0)</f>
        <v>#NAME?</v>
      </c>
      <c r="V1153" s="47" t="s">
        <v>42</v>
      </c>
      <c r="W1153" s="47" t="s">
        <v>42</v>
      </c>
      <c r="X1153" s="47" t="s">
        <v>42</v>
      </c>
      <c r="Y1153" s="55" t="e">
        <f ca="1">_xlfn.XLOOKUP(PAA_4[[#This Row],[ITEM]],[2]Contrato!A:A,[2]Contrato!B:B,"",0)</f>
        <v>#NAME?</v>
      </c>
      <c r="Z1153" s="47" t="e">
        <f ca="1">_xlfn.XLOOKUP(PAA_4[[#This Row],[ITEM]],[2]Contrato!A:A,[2]Contrato!G:G,"",0)</f>
        <v>#NAME?</v>
      </c>
      <c r="AA1153" s="47" t="e">
        <f ca="1">_xlfn.XLOOKUP(PAA_4[[#This Row],[ITEM]],[2]Contrato!A:A,[2]Contrato!T:T,"",0)</f>
        <v>#NAME?</v>
      </c>
      <c r="AB1153" s="55" t="e">
        <f ca="1">+MAX(PAA_4[[#This Row],[Comprometido Contrato]],PAA_4[[#This Row],[Comprometido Bolsa]])</f>
        <v>#NAME?</v>
      </c>
      <c r="AC1153" s="55" t="str">
        <f t="shared" ca="1" si="416"/>
        <v/>
      </c>
      <c r="AD1153" s="55" t="e">
        <f ca="1">IF(PAA_4[[#This Row],[ESTADO (formulado)]]="NO CONTRATADO",0,MAX(PAA_4[[#This Row],[Pago por Contrato]],PAA_4[[#This Row],[Pago por bolsa]]))</f>
        <v>#NAME?</v>
      </c>
      <c r="AE1153" s="55" t="str">
        <f t="shared" ca="1" si="417"/>
        <v/>
      </c>
      <c r="AF1153" s="47" t="e">
        <f t="shared" ca="1" si="418"/>
        <v>#NAME?</v>
      </c>
      <c r="AG1153" s="47">
        <f t="shared" si="419"/>
        <v>44021001</v>
      </c>
      <c r="AH1153" s="54">
        <f>IF(Q1153="22",IF(ISNUMBER(SEARCH("econ",PAA_4[[#This Row],[Actividad3]])),"Económico",IF(ISNUMBER(SEARCH("alim",PAA_4[[#This Row],[Actividad3]])),"Alimentación",IF(ISNUMBER(SEARCH("educ",PAA_4[[#This Row],[Actividad3]])),"Educativo","Técnico"))),0)</f>
        <v>0</v>
      </c>
      <c r="AI1153" s="47" t="e" cm="1">
        <f t="array" aca="1" ref="AI1153" ca="1">_xlfn.XLOOKUP(PAA_4[[#This Row],[RCP-RUBRO]],[2]!COMPROMISOS_2024[[#All],[concatenado]],[2]!COMPROMISOS_2024[[#All],[Total pagado]],"",0)</f>
        <v>#NAME?</v>
      </c>
      <c r="AJ1153" s="56">
        <f>IF(PAA_4[[#This Row],[BOLSA]]=0,0,SUMIFS([2]!COMPROMISOS_2024[[#All],[Total pagado]],[2]!COMPROMISOS_2024[[#All],[Bolsa]],PAA_4[[#This Row],[BOLSA]],[2]!COMPROMISOS_2024[[#All],[rubro]],PAA_4[[#This Row],[RCP-RUBRO]]))</f>
        <v>0</v>
      </c>
      <c r="AK1153" s="47" t="e" cm="1">
        <f t="array" aca="1" ref="AK1153" ca="1">_xlfn.XLOOKUP(PAA_4[[#This Row],[RCP-RUBRO]],[2]!COMPROMISOS_2024[[#All],[concatenado]],[2]!COMPROMISOS_2024[[#All],[Total Comprometido]],"",0)</f>
        <v>#NAME?</v>
      </c>
      <c r="AL1153" s="47">
        <f>IF(PAA_4[[#This Row],[BOLSA]]=0,0,SUMIFS([2]!COMPROMISOS_2024[[#All],[Total Comprometido]],[2]!COMPROMISOS_2024[[#All],[Bolsa]],PAA_4[[#This Row],[BOLSA]],[2]!COMPROMISOS_2024[[#All],[concatenado]],PAA_4[[#This Row],[RCP-RUBRO]]))</f>
        <v>0</v>
      </c>
    </row>
    <row r="1154" spans="1:38" s="19" customFormat="1" ht="31.5" customHeight="1">
      <c r="A1154" s="47" t="s">
        <v>82</v>
      </c>
      <c r="B1154" s="47" t="s">
        <v>42</v>
      </c>
      <c r="C1154" s="47" t="str">
        <f>VLOOKUP(PAA_4[[#This Row],[PROYECTO (formulado)2]],[2]PROYECTOS!$G$1:$L$32,6,0)</f>
        <v>SUBGERENCIA DE FOMENTO Y DESARROLLO</v>
      </c>
      <c r="D1154" s="47" t="str">
        <f>+IF(PAA_4[[#This Row],[UNIDAD DE CONTRATACION (formulado)]]="Subgerencia Administrativa y Financiera","FUNCIONAMIENTO","INVERSIÓN")</f>
        <v>INVERSIÓN</v>
      </c>
      <c r="E1154" s="48" t="str">
        <f>VLOOKUP(Q1154,[2]PROYECTOS!$G$1:$K$32,5,0)</f>
        <v>FORTALECIMIENTO_DEL_PROGRAMA_POR_SU_SALUD_MUÉVASE_PUES_EN_LOS_MUNICIPIO_DEL_DEPARTAMENTO_DE_ANTIOQUIA</v>
      </c>
      <c r="F1154" s="48">
        <f>VLOOKUP(E1154,[2]PROYECTOS!$K$1:$M$32,3,0)</f>
        <v>2020003050030</v>
      </c>
      <c r="G1154" s="49" t="s">
        <v>326</v>
      </c>
      <c r="H1154" s="49" t="str">
        <f>VLOOKUP(Q1154,[2]PROYECTOS!$V$1:$W$32,2,0)</f>
        <v>050055</v>
      </c>
      <c r="I1154" s="50">
        <v>808592</v>
      </c>
      <c r="J1154" s="51" t="s">
        <v>1851</v>
      </c>
      <c r="K1154" s="47" t="str">
        <f t="shared" ca="1" si="414"/>
        <v>CONTRATADO</v>
      </c>
      <c r="L1154" s="47" t="s">
        <v>42</v>
      </c>
      <c r="M1154" s="47" t="s">
        <v>42</v>
      </c>
      <c r="N1154" s="51" t="s">
        <v>329</v>
      </c>
      <c r="O1154" s="51" t="e">
        <f>VLOOKUP(N1154,[2]!RUBROS[#All],3,0)</f>
        <v>#REF!</v>
      </c>
      <c r="P1154" s="53" t="e">
        <f>VLOOKUP(N1154,[2]!RUBROS[#All],2,0)</f>
        <v>#REF!</v>
      </c>
      <c r="Q1154" s="47" t="str">
        <f t="shared" si="415"/>
        <v>45</v>
      </c>
      <c r="R1154" s="47" t="str">
        <f t="shared" si="398"/>
        <v>0-205128</v>
      </c>
      <c r="S1154" s="54" t="s">
        <v>42</v>
      </c>
      <c r="T1154" s="59" t="s">
        <v>42</v>
      </c>
      <c r="U1154" s="326" t="e">
        <f ca="1">_xlfn.XLOOKUP(PAA_4[[#This Row],[ITEM]],[2]Contrato!A:A,[2]Contrato!Q:Q,"",0)</f>
        <v>#NAME?</v>
      </c>
      <c r="V1154" s="47" t="s">
        <v>95</v>
      </c>
      <c r="W1154" s="47" t="s">
        <v>42</v>
      </c>
      <c r="X1154" s="47" t="s">
        <v>42</v>
      </c>
      <c r="Y1154" s="55" t="e">
        <f ca="1">_xlfn.XLOOKUP(PAA_4[[#This Row],[ITEM]],[2]Contrato!A:A,[2]Contrato!B:B,"",0)</f>
        <v>#NAME?</v>
      </c>
      <c r="Z1154" s="47" t="e">
        <f ca="1">_xlfn.XLOOKUP(PAA_4[[#This Row],[ITEM]],[2]Contrato!A:A,[2]Contrato!G:G,"",0)</f>
        <v>#NAME?</v>
      </c>
      <c r="AA1154" s="47" t="e">
        <f ca="1">_xlfn.XLOOKUP(PAA_4[[#This Row],[ITEM]],[2]Contrato!A:A,[2]Contrato!T:T,"",0)</f>
        <v>#NAME?</v>
      </c>
      <c r="AB1154" s="55" t="e">
        <f ca="1">+MAX(PAA_4[[#This Row],[Comprometido Contrato]],PAA_4[[#This Row],[Comprometido Bolsa]])</f>
        <v>#NAME?</v>
      </c>
      <c r="AC1154" s="55" t="str">
        <f t="shared" ca="1" si="416"/>
        <v/>
      </c>
      <c r="AD1154" s="55" t="e">
        <f ca="1">IF(PAA_4[[#This Row],[ESTADO (formulado)]]="NO CONTRATADO",0,MAX(PAA_4[[#This Row],[Pago por Contrato]],PAA_4[[#This Row],[Pago por bolsa]]))</f>
        <v>#NAME?</v>
      </c>
      <c r="AE1154" s="55" t="str">
        <f t="shared" ca="1" si="417"/>
        <v/>
      </c>
      <c r="AF1154" s="47" t="e">
        <f t="shared" ca="1" si="418"/>
        <v>#NAME?</v>
      </c>
      <c r="AG1154" s="47">
        <f t="shared" si="419"/>
        <v>44021001</v>
      </c>
      <c r="AH1154" s="54">
        <f>IF(Q1154="22",IF(ISNUMBER(SEARCH("econ",PAA_4[[#This Row],[Actividad3]])),"Económico",IF(ISNUMBER(SEARCH("alim",PAA_4[[#This Row],[Actividad3]])),"Alimentación",IF(ISNUMBER(SEARCH("educ",PAA_4[[#This Row],[Actividad3]])),"Educativo","Técnico"))),0)</f>
        <v>0</v>
      </c>
      <c r="AI1154" s="47" t="e" cm="1">
        <f t="array" aca="1" ref="AI1154" ca="1">_xlfn.XLOOKUP(PAA_4[[#This Row],[RCP-RUBRO]],[2]!COMPROMISOS_2024[[#All],[concatenado]],[2]!COMPROMISOS_2024[[#All],[Total pagado]],"",0)</f>
        <v>#NAME?</v>
      </c>
      <c r="AJ1154" s="56">
        <f>IF(PAA_4[[#This Row],[BOLSA]]=0,0,SUMIFS([2]!COMPROMISOS_2024[[#All],[Total pagado]],[2]!COMPROMISOS_2024[[#All],[Bolsa]],PAA_4[[#This Row],[BOLSA]],[2]!COMPROMISOS_2024[[#All],[rubro]],PAA_4[[#This Row],[RCP-RUBRO]]))</f>
        <v>0</v>
      </c>
      <c r="AK1154" s="47" t="e" cm="1">
        <f t="array" aca="1" ref="AK1154" ca="1">_xlfn.XLOOKUP(PAA_4[[#This Row],[RCP-RUBRO]],[2]!COMPROMISOS_2024[[#All],[concatenado]],[2]!COMPROMISOS_2024[[#All],[Total Comprometido]],"",0)</f>
        <v>#NAME?</v>
      </c>
      <c r="AL1154" s="47">
        <f>IF(PAA_4[[#This Row],[BOLSA]]=0,0,SUMIFS([2]!COMPROMISOS_2024[[#All],[Total Comprometido]],[2]!COMPROMISOS_2024[[#All],[Bolsa]],PAA_4[[#This Row],[BOLSA]],[2]!COMPROMISOS_2024[[#All],[concatenado]],PAA_4[[#This Row],[RCP-RUBRO]]))</f>
        <v>0</v>
      </c>
    </row>
    <row r="1155" spans="1:38" s="19" customFormat="1" ht="31.5" customHeight="1">
      <c r="A1155" s="47" t="s">
        <v>82</v>
      </c>
      <c r="B1155" s="47" t="s">
        <v>42</v>
      </c>
      <c r="C1155" s="47" t="str">
        <f>VLOOKUP(PAA_4[[#This Row],[PROYECTO (formulado)2]],[2]PROYECTOS!$G$1:$L$32,6,0)</f>
        <v>SUBGERENCIA DE FOMENTO Y DESARROLLO</v>
      </c>
      <c r="D1155" s="47" t="str">
        <f>+IF(PAA_4[[#This Row],[UNIDAD DE CONTRATACION (formulado)]]="Subgerencia Administrativa y Financiera","FUNCIONAMIENTO","INVERSIÓN")</f>
        <v>INVERSIÓN</v>
      </c>
      <c r="E1155" s="48" t="str">
        <f>VLOOKUP(Q1155,[2]PROYECTOS!$G$1:$K$32,5,0)</f>
        <v>FORTALECIMIENTO_DE_LAS_ESCUELAS_DEPORTIVAS_EN_LOS_MUNICIPIOS_DEL_DEPARTAMENTO_DE_ANTIOQUIA</v>
      </c>
      <c r="F1155" s="48">
        <f>VLOOKUP(E1155,[2]PROYECTOS!$K$1:$M$32,3,0)</f>
        <v>2020003050032</v>
      </c>
      <c r="G1155" s="49" t="s">
        <v>333</v>
      </c>
      <c r="H1155" s="49" t="str">
        <f>VLOOKUP(Q1155,[2]PROYECTOS!$V$1:$W$32,2,0)</f>
        <v>050059</v>
      </c>
      <c r="I1155" s="50">
        <v>783487</v>
      </c>
      <c r="J1155" s="51" t="s">
        <v>1851</v>
      </c>
      <c r="K1155" s="47" t="str">
        <f t="shared" ca="1" si="414"/>
        <v>CONTRATADO</v>
      </c>
      <c r="L1155" s="47" t="s">
        <v>42</v>
      </c>
      <c r="M1155" s="47" t="s">
        <v>42</v>
      </c>
      <c r="N1155" s="51" t="s">
        <v>334</v>
      </c>
      <c r="O1155" s="51" t="e">
        <f>VLOOKUP(N1155,[2]!RUBROS[#All],3,0)</f>
        <v>#REF!</v>
      </c>
      <c r="P1155" s="53" t="e">
        <f>VLOOKUP(N1155,[2]!RUBROS[#All],2,0)</f>
        <v>#REF!</v>
      </c>
      <c r="Q1155" s="47" t="str">
        <f t="shared" si="415"/>
        <v>46</v>
      </c>
      <c r="R1155" s="47" t="str">
        <f t="shared" si="398"/>
        <v>0-205128</v>
      </c>
      <c r="S1155" s="54" t="s">
        <v>42</v>
      </c>
      <c r="T1155" s="59" t="s">
        <v>42</v>
      </c>
      <c r="U1155" s="326" t="e">
        <f ca="1">_xlfn.XLOOKUP(PAA_4[[#This Row],[ITEM]],[2]Contrato!A:A,[2]Contrato!Q:Q,"",0)</f>
        <v>#NAME?</v>
      </c>
      <c r="V1155" s="47" t="s">
        <v>95</v>
      </c>
      <c r="W1155" s="47" t="s">
        <v>42</v>
      </c>
      <c r="X1155" s="47" t="s">
        <v>42</v>
      </c>
      <c r="Y1155" s="55" t="e">
        <f ca="1">_xlfn.XLOOKUP(PAA_4[[#This Row],[ITEM]],[2]Contrato!A:A,[2]Contrato!B:B,"",0)</f>
        <v>#NAME?</v>
      </c>
      <c r="Z1155" s="47" t="e">
        <f ca="1">_xlfn.XLOOKUP(PAA_4[[#This Row],[ITEM]],[2]Contrato!A:A,[2]Contrato!G:G,"",0)</f>
        <v>#NAME?</v>
      </c>
      <c r="AA1155" s="47" t="e">
        <f ca="1">_xlfn.XLOOKUP(PAA_4[[#This Row],[ITEM]],[2]Contrato!A:A,[2]Contrato!T:T,"",0)</f>
        <v>#NAME?</v>
      </c>
      <c r="AB1155" s="55" t="e">
        <f ca="1">+MAX(PAA_4[[#This Row],[Comprometido Contrato]],PAA_4[[#This Row],[Comprometido Bolsa]])</f>
        <v>#NAME?</v>
      </c>
      <c r="AC1155" s="55" t="str">
        <f t="shared" ca="1" si="416"/>
        <v/>
      </c>
      <c r="AD1155" s="55" t="e">
        <f ca="1">IF(PAA_4[[#This Row],[ESTADO (formulado)]]="NO CONTRATADO",0,MAX(PAA_4[[#This Row],[Pago por Contrato]],PAA_4[[#This Row],[Pago por bolsa]]))</f>
        <v>#NAME?</v>
      </c>
      <c r="AE1155" s="55" t="str">
        <f t="shared" ca="1" si="417"/>
        <v/>
      </c>
      <c r="AF1155" s="47" t="e">
        <f t="shared" ca="1" si="418"/>
        <v>#NAME?</v>
      </c>
      <c r="AG1155" s="47">
        <f t="shared" si="419"/>
        <v>44021007</v>
      </c>
      <c r="AH1155" s="54">
        <f>IF(Q1155="22",IF(ISNUMBER(SEARCH("econ",PAA_4[[#This Row],[Actividad3]])),"Económico",IF(ISNUMBER(SEARCH("alim",PAA_4[[#This Row],[Actividad3]])),"Alimentación",IF(ISNUMBER(SEARCH("educ",PAA_4[[#This Row],[Actividad3]])),"Educativo","Técnico"))),0)</f>
        <v>0</v>
      </c>
      <c r="AI1155" s="47" t="e" cm="1">
        <f t="array" aca="1" ref="AI1155" ca="1">_xlfn.XLOOKUP(PAA_4[[#This Row],[RCP-RUBRO]],[2]!COMPROMISOS_2024[[#All],[concatenado]],[2]!COMPROMISOS_2024[[#All],[Total pagado]],"",0)</f>
        <v>#NAME?</v>
      </c>
      <c r="AJ1155" s="56">
        <f>IF(PAA_4[[#This Row],[BOLSA]]=0,0,SUMIFS([2]!COMPROMISOS_2024[[#All],[Total pagado]],[2]!COMPROMISOS_2024[[#All],[Bolsa]],PAA_4[[#This Row],[BOLSA]],[2]!COMPROMISOS_2024[[#All],[rubro]],PAA_4[[#This Row],[RCP-RUBRO]]))</f>
        <v>0</v>
      </c>
      <c r="AK1155" s="47" t="e" cm="1">
        <f t="array" aca="1" ref="AK1155" ca="1">_xlfn.XLOOKUP(PAA_4[[#This Row],[RCP-RUBRO]],[2]!COMPROMISOS_2024[[#All],[concatenado]],[2]!COMPROMISOS_2024[[#All],[Total Comprometido]],"",0)</f>
        <v>#NAME?</v>
      </c>
      <c r="AL1155" s="47">
        <f>IF(PAA_4[[#This Row],[BOLSA]]=0,0,SUMIFS([2]!COMPROMISOS_2024[[#All],[Total Comprometido]],[2]!COMPROMISOS_2024[[#All],[Bolsa]],PAA_4[[#This Row],[BOLSA]],[2]!COMPROMISOS_2024[[#All],[concatenado]],PAA_4[[#This Row],[RCP-RUBRO]]))</f>
        <v>0</v>
      </c>
    </row>
    <row r="1156" spans="1:38" s="19" customFormat="1" ht="31.5" customHeight="1">
      <c r="A1156" s="47" t="s">
        <v>82</v>
      </c>
      <c r="B1156" s="47" t="s">
        <v>42</v>
      </c>
      <c r="C1156" s="47" t="str">
        <f>VLOOKUP(PAA_4[[#This Row],[PROYECTO (formulado)2]],[2]PROYECTOS!$G$1:$L$32,6,0)</f>
        <v>SUBGERENCIA DE FOMENTO Y DESARROLLO</v>
      </c>
      <c r="D1156" s="47" t="str">
        <f>+IF(PAA_4[[#This Row],[UNIDAD DE CONTRATACION (formulado)]]="Subgerencia Administrativa y Financiera","FUNCIONAMIENTO","INVERSIÓN")</f>
        <v>INVERSIÓN</v>
      </c>
      <c r="E1156" s="48" t="str">
        <f>VLOOKUP(Q1156,[2]PROYECTOS!$G$1:$K$32,5,0)</f>
        <v>FORTALECIMIENTO_DE_LOS_PROGRAMAS_RECREATIVOS_EN_LOS_MUNICIPIOS_DEL_DEPARTAMENTO_DE_ANTIOQUIA</v>
      </c>
      <c r="F1156" s="48">
        <f>VLOOKUP(E1156,[2]PROYECTOS!$K$1:$M$32,3,0)</f>
        <v>2020003050031</v>
      </c>
      <c r="G1156" s="49" t="s">
        <v>335</v>
      </c>
      <c r="H1156" s="49" t="str">
        <f>VLOOKUP(Q1156,[2]PROYECTOS!$V$1:$W$32,2,0)</f>
        <v>050064</v>
      </c>
      <c r="I1156" s="50">
        <v>778343</v>
      </c>
      <c r="J1156" s="51" t="s">
        <v>1851</v>
      </c>
      <c r="K1156" s="47" t="str">
        <f t="shared" ca="1" si="414"/>
        <v>CONTRATADO</v>
      </c>
      <c r="L1156" s="47" t="s">
        <v>42</v>
      </c>
      <c r="M1156" s="47" t="s">
        <v>42</v>
      </c>
      <c r="N1156" s="51" t="s">
        <v>336</v>
      </c>
      <c r="O1156" s="51" t="e">
        <f>VLOOKUP(N1156,[2]!RUBROS[#All],3,0)</f>
        <v>#REF!</v>
      </c>
      <c r="P1156" s="53" t="e">
        <f>VLOOKUP(N1156,[2]!RUBROS[#All],2,0)</f>
        <v>#REF!</v>
      </c>
      <c r="Q1156" s="47" t="str">
        <f t="shared" si="415"/>
        <v>47</v>
      </c>
      <c r="R1156" s="47" t="str">
        <f t="shared" si="398"/>
        <v>0-205128</v>
      </c>
      <c r="S1156" s="54" t="s">
        <v>42</v>
      </c>
      <c r="T1156" s="59" t="s">
        <v>42</v>
      </c>
      <c r="U1156" s="326" t="e">
        <f ca="1">_xlfn.XLOOKUP(PAA_4[[#This Row],[ITEM]],[2]Contrato!A:A,[2]Contrato!Q:Q,"",0)</f>
        <v>#NAME?</v>
      </c>
      <c r="V1156" s="47" t="s">
        <v>95</v>
      </c>
      <c r="W1156" s="47" t="s">
        <v>42</v>
      </c>
      <c r="X1156" s="47" t="s">
        <v>42</v>
      </c>
      <c r="Y1156" s="55" t="e">
        <f ca="1">_xlfn.XLOOKUP(PAA_4[[#This Row],[ITEM]],[2]Contrato!A:A,[2]Contrato!B:B,"",0)</f>
        <v>#NAME?</v>
      </c>
      <c r="Z1156" s="47" t="e">
        <f ca="1">_xlfn.XLOOKUP(PAA_4[[#This Row],[ITEM]],[2]Contrato!A:A,[2]Contrato!G:G,"",0)</f>
        <v>#NAME?</v>
      </c>
      <c r="AA1156" s="47" t="e">
        <f ca="1">_xlfn.XLOOKUP(PAA_4[[#This Row],[ITEM]],[2]Contrato!A:A,[2]Contrato!T:T,"",0)</f>
        <v>#NAME?</v>
      </c>
      <c r="AB1156" s="55" t="e">
        <f ca="1">+MAX(PAA_4[[#This Row],[Comprometido Contrato]],PAA_4[[#This Row],[Comprometido Bolsa]])</f>
        <v>#NAME?</v>
      </c>
      <c r="AC1156" s="55" t="str">
        <f t="shared" ca="1" si="416"/>
        <v/>
      </c>
      <c r="AD1156" s="55" t="e">
        <f ca="1">IF(PAA_4[[#This Row],[ESTADO (formulado)]]="NO CONTRATADO",0,MAX(PAA_4[[#This Row],[Pago por Contrato]],PAA_4[[#This Row],[Pago por bolsa]]))</f>
        <v>#NAME?</v>
      </c>
      <c r="AE1156" s="55" t="str">
        <f t="shared" ca="1" si="417"/>
        <v/>
      </c>
      <c r="AF1156" s="47" t="e">
        <f t="shared" ca="1" si="418"/>
        <v>#NAME?</v>
      </c>
      <c r="AG1156" s="47">
        <f t="shared" si="419"/>
        <v>44021004</v>
      </c>
      <c r="AH1156" s="54">
        <f>IF(Q1156="22",IF(ISNUMBER(SEARCH("econ",PAA_4[[#This Row],[Actividad3]])),"Económico",IF(ISNUMBER(SEARCH("alim",PAA_4[[#This Row],[Actividad3]])),"Alimentación",IF(ISNUMBER(SEARCH("educ",PAA_4[[#This Row],[Actividad3]])),"Educativo","Técnico"))),0)</f>
        <v>0</v>
      </c>
      <c r="AI1156" s="47" t="e" cm="1">
        <f t="array" aca="1" ref="AI1156" ca="1">_xlfn.XLOOKUP(PAA_4[[#This Row],[RCP-RUBRO]],[2]!COMPROMISOS_2024[[#All],[concatenado]],[2]!COMPROMISOS_2024[[#All],[Total pagado]],"",0)</f>
        <v>#NAME?</v>
      </c>
      <c r="AJ1156" s="56">
        <f>IF(PAA_4[[#This Row],[BOLSA]]=0,0,SUMIFS([2]!COMPROMISOS_2024[[#All],[Total pagado]],[2]!COMPROMISOS_2024[[#All],[Bolsa]],PAA_4[[#This Row],[BOLSA]],[2]!COMPROMISOS_2024[[#All],[rubro]],PAA_4[[#This Row],[RCP-RUBRO]]))</f>
        <v>0</v>
      </c>
      <c r="AK1156" s="47" t="e" cm="1">
        <f t="array" aca="1" ref="AK1156" ca="1">_xlfn.XLOOKUP(PAA_4[[#This Row],[RCP-RUBRO]],[2]!COMPROMISOS_2024[[#All],[concatenado]],[2]!COMPROMISOS_2024[[#All],[Total Comprometido]],"",0)</f>
        <v>#NAME?</v>
      </c>
      <c r="AL1156" s="47">
        <f>IF(PAA_4[[#This Row],[BOLSA]]=0,0,SUMIFS([2]!COMPROMISOS_2024[[#All],[Total Comprometido]],[2]!COMPROMISOS_2024[[#All],[Bolsa]],PAA_4[[#This Row],[BOLSA]],[2]!COMPROMISOS_2024[[#All],[concatenado]],PAA_4[[#This Row],[RCP-RUBRO]]))</f>
        <v>0</v>
      </c>
    </row>
    <row r="1157" spans="1:38" s="19" customFormat="1" ht="31.5" customHeight="1">
      <c r="A1157" s="47" t="s">
        <v>82</v>
      </c>
      <c r="B1157" s="47" t="s">
        <v>42</v>
      </c>
      <c r="C1157" s="47" t="str">
        <f>VLOOKUP(PAA_4[[#This Row],[PROYECTO (formulado)2]],[2]PROYECTOS!$G$1:$L$32,6,0)</f>
        <v>SUBGERENCIA DE FOMENTO Y DESARROLLO</v>
      </c>
      <c r="D1157" s="47" t="str">
        <f>+IF(PAA_4[[#This Row],[UNIDAD DE CONTRATACION (formulado)]]="Subgerencia Administrativa y Financiera","FUNCIONAMIENTO","INVERSIÓN")</f>
        <v>INVERSIÓN</v>
      </c>
      <c r="E1157" s="48" t="str">
        <f>VLOOKUP(Q1157,[2]PROYECTOS!$G$1:$K$32,5,0)</f>
        <v>FORTALECIMIENTO_DE_LOS_JUEGOS_DEL_SECTOR_SOCIAL_COMUNITARIO_EN_LOS_MUNICIPIOS_DEL_DEPARTAMENTO_DE_ANTIOQU</v>
      </c>
      <c r="F1157" s="48">
        <f>VLOOKUP(E1157,[2]PROYECTOS!$K$1:$M$32,3,0)</f>
        <v>2020003050033</v>
      </c>
      <c r="G1157" s="49" t="s">
        <v>342</v>
      </c>
      <c r="H1157" s="49" t="str">
        <f>VLOOKUP(Q1157,[2]PROYECTOS!$V$1:$W$32,2,0)</f>
        <v>050057</v>
      </c>
      <c r="I1157" s="50">
        <v>3023442</v>
      </c>
      <c r="J1157" s="51" t="s">
        <v>1851</v>
      </c>
      <c r="K1157" s="47" t="str">
        <f t="shared" ca="1" si="414"/>
        <v>CONTRATADO</v>
      </c>
      <c r="L1157" s="47" t="s">
        <v>42</v>
      </c>
      <c r="M1157" s="47" t="s">
        <v>42</v>
      </c>
      <c r="N1157" s="51" t="s">
        <v>343</v>
      </c>
      <c r="O1157" s="51" t="e">
        <f>VLOOKUP(N1157,[2]!RUBROS[#All],3,0)</f>
        <v>#REF!</v>
      </c>
      <c r="P1157" s="53" t="e">
        <f>VLOOKUP(N1157,[2]!RUBROS[#All],2,0)</f>
        <v>#REF!</v>
      </c>
      <c r="Q1157" s="47" t="str">
        <f t="shared" si="415"/>
        <v>50</v>
      </c>
      <c r="R1157" s="47" t="str">
        <f t="shared" si="398"/>
        <v>0-205128</v>
      </c>
      <c r="S1157" s="54" t="s">
        <v>42</v>
      </c>
      <c r="T1157" s="59" t="s">
        <v>42</v>
      </c>
      <c r="U1157" s="326" t="e">
        <f ca="1">_xlfn.XLOOKUP(PAA_4[[#This Row],[ITEM]],[2]Contrato!A:A,[2]Contrato!Q:Q,"",0)</f>
        <v>#NAME?</v>
      </c>
      <c r="V1157" s="47" t="s">
        <v>95</v>
      </c>
      <c r="W1157" s="47" t="s">
        <v>42</v>
      </c>
      <c r="X1157" s="47" t="s">
        <v>42</v>
      </c>
      <c r="Y1157" s="55" t="e">
        <f ca="1">_xlfn.XLOOKUP(PAA_4[[#This Row],[ITEM]],[2]Contrato!A:A,[2]Contrato!B:B,"",0)</f>
        <v>#NAME?</v>
      </c>
      <c r="Z1157" s="47" t="e">
        <f ca="1">_xlfn.XLOOKUP(PAA_4[[#This Row],[ITEM]],[2]Contrato!A:A,[2]Contrato!G:G,"",0)</f>
        <v>#NAME?</v>
      </c>
      <c r="AA1157" s="47" t="e">
        <f ca="1">_xlfn.XLOOKUP(PAA_4[[#This Row],[ITEM]],[2]Contrato!A:A,[2]Contrato!T:T,"",0)</f>
        <v>#NAME?</v>
      </c>
      <c r="AB1157" s="55" t="e">
        <f ca="1">+MAX(PAA_4[[#This Row],[Comprometido Contrato]],PAA_4[[#This Row],[Comprometido Bolsa]])</f>
        <v>#NAME?</v>
      </c>
      <c r="AC1157" s="55" t="str">
        <f t="shared" ca="1" si="416"/>
        <v/>
      </c>
      <c r="AD1157" s="55" t="e">
        <f ca="1">IF(PAA_4[[#This Row],[ESTADO (formulado)]]="NO CONTRATADO",0,MAX(PAA_4[[#This Row],[Pago por Contrato]],PAA_4[[#This Row],[Pago por bolsa]]))</f>
        <v>#NAME?</v>
      </c>
      <c r="AE1157" s="55" t="str">
        <f t="shared" ca="1" si="417"/>
        <v/>
      </c>
      <c r="AF1157" s="47" t="e">
        <f t="shared" ca="1" si="418"/>
        <v>#NAME?</v>
      </c>
      <c r="AG1157" s="47">
        <f t="shared" si="419"/>
        <v>44021010</v>
      </c>
      <c r="AH1157" s="54">
        <f>IF(Q1157="22",IF(ISNUMBER(SEARCH("econ",PAA_4[[#This Row],[Actividad3]])),"Económico",IF(ISNUMBER(SEARCH("alim",PAA_4[[#This Row],[Actividad3]])),"Alimentación",IF(ISNUMBER(SEARCH("educ",PAA_4[[#This Row],[Actividad3]])),"Educativo","Técnico"))),0)</f>
        <v>0</v>
      </c>
      <c r="AI1157" s="47" t="e" cm="1">
        <f t="array" aca="1" ref="AI1157" ca="1">_xlfn.XLOOKUP(PAA_4[[#This Row],[RCP-RUBRO]],[2]!COMPROMISOS_2024[[#All],[concatenado]],[2]!COMPROMISOS_2024[[#All],[Total pagado]],"",0)</f>
        <v>#NAME?</v>
      </c>
      <c r="AJ1157" s="56">
        <f>IF(PAA_4[[#This Row],[BOLSA]]=0,0,SUMIFS([2]!COMPROMISOS_2024[[#All],[Total pagado]],[2]!COMPROMISOS_2024[[#All],[Bolsa]],PAA_4[[#This Row],[BOLSA]],[2]!COMPROMISOS_2024[[#All],[rubro]],PAA_4[[#This Row],[RCP-RUBRO]]))</f>
        <v>0</v>
      </c>
      <c r="AK1157" s="47" t="e" cm="1">
        <f t="array" aca="1" ref="AK1157" ca="1">_xlfn.XLOOKUP(PAA_4[[#This Row],[RCP-RUBRO]],[2]!COMPROMISOS_2024[[#All],[concatenado]],[2]!COMPROMISOS_2024[[#All],[Total Comprometido]],"",0)</f>
        <v>#NAME?</v>
      </c>
      <c r="AL1157" s="47">
        <f>IF(PAA_4[[#This Row],[BOLSA]]=0,0,SUMIFS([2]!COMPROMISOS_2024[[#All],[Total Comprometido]],[2]!COMPROMISOS_2024[[#All],[Bolsa]],PAA_4[[#This Row],[BOLSA]],[2]!COMPROMISOS_2024[[#All],[concatenado]],PAA_4[[#This Row],[RCP-RUBRO]]))</f>
        <v>0</v>
      </c>
    </row>
    <row r="1158" spans="1:38" s="19" customFormat="1" ht="31.5" customHeight="1">
      <c r="A1158" s="47" t="s">
        <v>82</v>
      </c>
      <c r="B1158" s="47" t="s">
        <v>42</v>
      </c>
      <c r="C1158" s="47" t="str">
        <f>VLOOKUP(PAA_4[[#This Row],[PROYECTO (formulado)2]],[2]PROYECTOS!$G$1:$L$32,6,0)</f>
        <v>SUBGERENCIA DE FOMENTO Y DESARROLLO</v>
      </c>
      <c r="D1158" s="47" t="str">
        <f>+IF(PAA_4[[#This Row],[UNIDAD DE CONTRATACION (formulado)]]="Subgerencia Administrativa y Financiera","FUNCIONAMIENTO","INVERSIÓN")</f>
        <v>INVERSIÓN</v>
      </c>
      <c r="E1158" s="48" t="str">
        <f>VLOOKUP(Q1158,[2]PROYECTOS!$G$1:$K$32,5,0)</f>
        <v>FORTALECIMIENTO_DE_LOS_JUEGOS_DEL_SECTOR_EDUCATIVO_EN_ANTIOQUIA</v>
      </c>
      <c r="F1158" s="48">
        <f>VLOOKUP(E1158,[2]PROYECTOS!$K$1:$M$32,3,0)</f>
        <v>2020003050034</v>
      </c>
      <c r="G1158" s="49" t="s">
        <v>340</v>
      </c>
      <c r="H1158" s="49" t="str">
        <f>VLOOKUP(Q1158,[2]PROYECTOS!$V$1:$W$32,2,0)</f>
        <v>050053</v>
      </c>
      <c r="I1158" s="50">
        <v>3051702</v>
      </c>
      <c r="J1158" s="51" t="s">
        <v>1851</v>
      </c>
      <c r="K1158" s="47" t="str">
        <f ca="1">IF(ISNONTEXT(Y1158)=TRUE,"CONTRATADO","NO CONTRATADO")</f>
        <v>CONTRATADO</v>
      </c>
      <c r="L1158" s="47" t="s">
        <v>42</v>
      </c>
      <c r="M1158" s="47" t="s">
        <v>42</v>
      </c>
      <c r="N1158" s="51" t="s">
        <v>341</v>
      </c>
      <c r="O1158" s="51" t="e">
        <f>VLOOKUP(N1158,[2]!RUBROS[#All],3,0)</f>
        <v>#REF!</v>
      </c>
      <c r="P1158" s="53" t="e">
        <f>VLOOKUP(N1158,[2]!RUBROS[#All],2,0)</f>
        <v>#REF!</v>
      </c>
      <c r="Q1158" s="47" t="str">
        <f>+MID(N1158,11,2)</f>
        <v>51</v>
      </c>
      <c r="R1158" s="47" t="str">
        <f>+MID(N1158,14,8)</f>
        <v>0-205128</v>
      </c>
      <c r="S1158" s="54" t="s">
        <v>42</v>
      </c>
      <c r="T1158" s="59" t="s">
        <v>42</v>
      </c>
      <c r="U1158" s="326" t="e">
        <f ca="1">_xlfn.XLOOKUP(PAA_4[[#This Row],[ITEM]],[2]Contrato!A:A,[2]Contrato!Q:Q,"",0)</f>
        <v>#NAME?</v>
      </c>
      <c r="V1158" s="47" t="s">
        <v>95</v>
      </c>
      <c r="W1158" s="47" t="s">
        <v>42</v>
      </c>
      <c r="X1158" s="47" t="s">
        <v>42</v>
      </c>
      <c r="Y1158" s="55" t="e">
        <f ca="1">_xlfn.XLOOKUP(PAA_4[[#This Row],[ITEM]],[2]Contrato!A:A,[2]Contrato!B:B,"",0)</f>
        <v>#NAME?</v>
      </c>
      <c r="Z1158" s="47" t="e">
        <f ca="1">_xlfn.XLOOKUP(PAA_4[[#This Row],[ITEM]],[2]Contrato!A:A,[2]Contrato!G:G,"",0)</f>
        <v>#NAME?</v>
      </c>
      <c r="AA1158" s="47" t="e">
        <f ca="1">_xlfn.XLOOKUP(PAA_4[[#This Row],[ITEM]],[2]Contrato!A:A,[2]Contrato!T:T,"",0)</f>
        <v>#NAME?</v>
      </c>
      <c r="AB1158" s="55" t="e">
        <f ca="1">+MAX(PAA_4[[#This Row],[Comprometido Contrato]],PAA_4[[#This Row],[Comprometido Bolsa]])</f>
        <v>#NAME?</v>
      </c>
      <c r="AC1158" s="55" t="str">
        <f ca="1">IFERROR(I1158-AB1158,"")</f>
        <v/>
      </c>
      <c r="AD1158" s="55" t="e">
        <f ca="1">IF(PAA_4[[#This Row],[ESTADO (formulado)]]="NO CONTRATADO",0,MAX(PAA_4[[#This Row],[Pago por Contrato]],PAA_4[[#This Row],[Pago por bolsa]]))</f>
        <v>#NAME?</v>
      </c>
      <c r="AE1158" s="55" t="str">
        <f ca="1">+IFERROR(AB1158-AD1158,"")</f>
        <v/>
      </c>
      <c r="AF1158" s="47" t="e">
        <f ca="1">+CONCATENATE(AA1158,N1158)</f>
        <v>#NAME?</v>
      </c>
      <c r="AG1158" s="47">
        <f>IFERROR(_xlfn.NUMBERVALUE(MID(G1158,1,8)),"")</f>
        <v>44021011</v>
      </c>
      <c r="AH1158" s="54">
        <f>IF(Q1158="22",IF(ISNUMBER(SEARCH("econ",PAA_4[[#This Row],[Actividad3]])),"Económico",IF(ISNUMBER(SEARCH("alim",PAA_4[[#This Row],[Actividad3]])),"Alimentación",IF(ISNUMBER(SEARCH("educ",PAA_4[[#This Row],[Actividad3]])),"Educativo","Técnico"))),0)</f>
        <v>0</v>
      </c>
      <c r="AI1158" s="47" t="e" cm="1">
        <f t="array" aca="1" ref="AI1158" ca="1">_xlfn.XLOOKUP(PAA_4[[#This Row],[RCP-RUBRO]],[2]!COMPROMISOS_2024[[#All],[concatenado]],[2]!COMPROMISOS_2024[[#All],[Total pagado]],"",0)</f>
        <v>#NAME?</v>
      </c>
      <c r="AJ1158" s="56">
        <f>IF(PAA_4[[#This Row],[BOLSA]]=0,0,SUMIFS([2]!COMPROMISOS_2024[[#All],[Total pagado]],[2]!COMPROMISOS_2024[[#All],[Bolsa]],PAA_4[[#This Row],[BOLSA]],[2]!COMPROMISOS_2024[[#All],[rubro]],PAA_4[[#This Row],[RCP-RUBRO]]))</f>
        <v>0</v>
      </c>
      <c r="AK1158" s="47" t="e" cm="1">
        <f t="array" aca="1" ref="AK1158" ca="1">_xlfn.XLOOKUP(PAA_4[[#This Row],[RCP-RUBRO]],[2]!COMPROMISOS_2024[[#All],[concatenado]],[2]!COMPROMISOS_2024[[#All],[Total Comprometido]],"",0)</f>
        <v>#NAME?</v>
      </c>
      <c r="AL1158" s="47">
        <f>IF(PAA_4[[#This Row],[BOLSA]]=0,0,SUMIFS([2]!COMPROMISOS_2024[[#All],[Total Comprometido]],[2]!COMPROMISOS_2024[[#All],[Bolsa]],PAA_4[[#This Row],[BOLSA]],[2]!COMPROMISOS_2024[[#All],[concatenado]],PAA_4[[#This Row],[RCP-RUBRO]]))</f>
        <v>0</v>
      </c>
    </row>
    <row r="1159" spans="1:38" s="19" customFormat="1" ht="31.5" customHeight="1">
      <c r="A1159" s="47" t="s">
        <v>82</v>
      </c>
      <c r="B1159" s="47" t="s">
        <v>42</v>
      </c>
      <c r="C1159" s="47" t="str">
        <f>VLOOKUP(PAA_4[[#This Row],[PROYECTO (formulado)2]],[2]PROYECTOS!$G$1:$L$32,6,0)</f>
        <v>SUBGERENCIA DE FOMENTO Y DESARROLLO</v>
      </c>
      <c r="D1159" s="47" t="str">
        <f>+IF(PAA_4[[#This Row],[UNIDAD DE CONTRATACION (formulado)]]="Subgerencia Administrativa y Financiera","FUNCIONAMIENTO","INVERSIÓN")</f>
        <v>INVERSIÓN</v>
      </c>
      <c r="E1159" s="48" t="str">
        <f>VLOOKUP(Q1159,[2]PROYECTOS!$G$1:$K$32,5,0)</f>
        <v>CAPACITACION_PARA_EL_SECTOR_DEL_DEPORTE_LA_ACTIVIDAD_FISICA_LA_RECREACION_Y_LA_EDUCACION_FISICA_DE_ANTI</v>
      </c>
      <c r="F1159" s="48">
        <f>VLOOKUP(E1159,[2]PROYECTOS!$K$1:$M$32,3,0)</f>
        <v>2020003050024</v>
      </c>
      <c r="G1159" s="49" t="s">
        <v>337</v>
      </c>
      <c r="H1159" s="49" t="str">
        <f>VLOOKUP(Q1159,[2]PROYECTOS!$V$1:$W$32,2,0)</f>
        <v>050063</v>
      </c>
      <c r="I1159" s="50">
        <v>589698</v>
      </c>
      <c r="J1159" s="51" t="s">
        <v>1851</v>
      </c>
      <c r="K1159" s="47" t="str">
        <f ca="1">IF(ISNONTEXT(Y1159)=TRUE,"CONTRATADO","NO CONTRATADO")</f>
        <v>CONTRATADO</v>
      </c>
      <c r="L1159" s="47" t="s">
        <v>42</v>
      </c>
      <c r="M1159" s="47" t="s">
        <v>42</v>
      </c>
      <c r="N1159" s="51" t="s">
        <v>339</v>
      </c>
      <c r="O1159" s="51" t="e">
        <f>VLOOKUP(N1159,[2]!RUBROS[#All],3,0)</f>
        <v>#REF!</v>
      </c>
      <c r="P1159" s="53" t="e">
        <f>VLOOKUP(N1159,[2]!RUBROS[#All],2,0)</f>
        <v>#REF!</v>
      </c>
      <c r="Q1159" s="47" t="str">
        <f>+MID(N1159,11,2)</f>
        <v>48</v>
      </c>
      <c r="R1159" s="47" t="str">
        <f>+MID(N1159,14,8)</f>
        <v>0-205128</v>
      </c>
      <c r="S1159" s="54" t="s">
        <v>42</v>
      </c>
      <c r="T1159" s="59" t="s">
        <v>42</v>
      </c>
      <c r="U1159" s="326" t="e">
        <f ca="1">_xlfn.XLOOKUP(PAA_4[[#This Row],[ITEM]],[2]Contrato!A:A,[2]Contrato!Q:Q,"",0)</f>
        <v>#NAME?</v>
      </c>
      <c r="V1159" s="47" t="s">
        <v>95</v>
      </c>
      <c r="W1159" s="47" t="s">
        <v>42</v>
      </c>
      <c r="X1159" s="47" t="s">
        <v>42</v>
      </c>
      <c r="Y1159" s="55" t="e">
        <f ca="1">_xlfn.XLOOKUP(PAA_4[[#This Row],[ITEM]],[2]Contrato!A:A,[2]Contrato!B:B,"",0)</f>
        <v>#NAME?</v>
      </c>
      <c r="Z1159" s="47" t="e">
        <f ca="1">_xlfn.XLOOKUP(PAA_4[[#This Row],[ITEM]],[2]Contrato!A:A,[2]Contrato!G:G,"",0)</f>
        <v>#NAME?</v>
      </c>
      <c r="AA1159" s="47" t="e">
        <f ca="1">_xlfn.XLOOKUP(PAA_4[[#This Row],[ITEM]],[2]Contrato!A:A,[2]Contrato!T:T,"",0)</f>
        <v>#NAME?</v>
      </c>
      <c r="AB1159" s="55" t="e">
        <f ca="1">+MAX(PAA_4[[#This Row],[Comprometido Contrato]],PAA_4[[#This Row],[Comprometido Bolsa]])</f>
        <v>#NAME?</v>
      </c>
      <c r="AC1159" s="55" t="str">
        <f ca="1">IFERROR(I1159-AB1159,"")</f>
        <v/>
      </c>
      <c r="AD1159" s="55" t="e">
        <f ca="1">IF(PAA_4[[#This Row],[ESTADO (formulado)]]="NO CONTRATADO",0,MAX(PAA_4[[#This Row],[Pago por Contrato]],PAA_4[[#This Row],[Pago por bolsa]]))</f>
        <v>#NAME?</v>
      </c>
      <c r="AE1159" s="55" t="str">
        <f ca="1">+IFERROR(AB1159-AD1159,"")</f>
        <v/>
      </c>
      <c r="AF1159" s="47" t="e">
        <f ca="1">+CONCATENATE(AA1159,N1159)</f>
        <v>#NAME?</v>
      </c>
      <c r="AG1159" s="47">
        <f>IFERROR(_xlfn.NUMBERVALUE(MID(G1159,1,8)),"")</f>
        <v>41080201</v>
      </c>
      <c r="AH1159" s="54">
        <f>IF(Q1159="22",IF(ISNUMBER(SEARCH("econ",PAA_4[[#This Row],[Actividad3]])),"Económico",IF(ISNUMBER(SEARCH("alim",PAA_4[[#This Row],[Actividad3]])),"Alimentación",IF(ISNUMBER(SEARCH("educ",PAA_4[[#This Row],[Actividad3]])),"Educativo","Técnico"))),0)</f>
        <v>0</v>
      </c>
      <c r="AI1159" s="47" t="e" cm="1">
        <f t="array" aca="1" ref="AI1159" ca="1">_xlfn.XLOOKUP(PAA_4[[#This Row],[RCP-RUBRO]],[2]!COMPROMISOS_2024[[#All],[concatenado]],[2]!COMPROMISOS_2024[[#All],[Total pagado]],"",0)</f>
        <v>#NAME?</v>
      </c>
      <c r="AJ1159" s="56">
        <f>IF(PAA_4[[#This Row],[BOLSA]]=0,0,SUMIFS([2]!COMPROMISOS_2024[[#All],[Total pagado]],[2]!COMPROMISOS_2024[[#All],[Bolsa]],PAA_4[[#This Row],[BOLSA]],[2]!COMPROMISOS_2024[[#All],[rubro]],PAA_4[[#This Row],[RCP-RUBRO]]))</f>
        <v>0</v>
      </c>
      <c r="AK1159" s="47" t="e" cm="1">
        <f t="array" aca="1" ref="AK1159" ca="1">_xlfn.XLOOKUP(PAA_4[[#This Row],[RCP-RUBRO]],[2]!COMPROMISOS_2024[[#All],[concatenado]],[2]!COMPROMISOS_2024[[#All],[Total Comprometido]],"",0)</f>
        <v>#NAME?</v>
      </c>
      <c r="AL1159" s="47">
        <f>IF(PAA_4[[#This Row],[BOLSA]]=0,0,SUMIFS([2]!COMPROMISOS_2024[[#All],[Total Comprometido]],[2]!COMPROMISOS_2024[[#All],[Bolsa]],PAA_4[[#This Row],[BOLSA]],[2]!COMPROMISOS_2024[[#All],[concatenado]],PAA_4[[#This Row],[RCP-RUBRO]]))</f>
        <v>0</v>
      </c>
    </row>
    <row r="1160" spans="1:38" s="19" customFormat="1" ht="31.5" customHeight="1">
      <c r="A1160" s="47">
        <v>983</v>
      </c>
      <c r="B1160" s="47">
        <v>80111600</v>
      </c>
      <c r="C1160" s="47" t="str">
        <f>VLOOKUP(PAA_4[[#This Row],[PROYECTO (formulado)2]],[2]PROYECTOS!$G$1:$L$32,6,0)</f>
        <v>SUBGERENCIA DE FOMENTO Y DESARROLLO</v>
      </c>
      <c r="D1160" s="47" t="str">
        <f>+IF(PAA_4[[#This Row],[UNIDAD DE CONTRATACION (formulado)]]="Subgerencia Administrativa y Financiera","FUNCIONAMIENTO","INVERSIÓN")</f>
        <v>INVERSIÓN</v>
      </c>
      <c r="E1160" s="48" t="str">
        <f>VLOOKUP(Q1160,[2]PROYECTOS!$G$1:$K$32,5,0)</f>
        <v>FORTALECIMIENTO_DEL_PROGRAMA_POR_SU_SALUD_MUÉVASE_PUES_EN_LOS_MUNICIPIO_DEL_DEPARTAMENTO_DE_ANTIOQUIA</v>
      </c>
      <c r="F1160" s="48">
        <f>VLOOKUP(E1160,[2]PROYECTOS!$K$1:$M$32,3,0)</f>
        <v>2020003050030</v>
      </c>
      <c r="G1160" s="49" t="s">
        <v>326</v>
      </c>
      <c r="H1160" s="49" t="str">
        <f>VLOOKUP(Q1160,[2]PROYECTOS!$V$1:$W$32,2,0)</f>
        <v>050055</v>
      </c>
      <c r="I1160" s="50">
        <f>4349669-167295-808592</f>
        <v>3373782</v>
      </c>
      <c r="J1160" s="51" t="s">
        <v>1856</v>
      </c>
      <c r="K1160" s="47" t="str">
        <f t="shared" ref="K1160:K1176" ca="1" si="420">IF(ISNONTEXT(Y1160)=TRUE,"CONTRATADO","NO CONTRATADO")</f>
        <v>CONTRATADO</v>
      </c>
      <c r="L1160" s="47" t="s">
        <v>94</v>
      </c>
      <c r="M1160" s="47" t="s">
        <v>1297</v>
      </c>
      <c r="N1160" s="51" t="s">
        <v>329</v>
      </c>
      <c r="O1160" s="51" t="e">
        <f>VLOOKUP(N1160,[2]!RUBROS[#All],3,0)</f>
        <v>#REF!</v>
      </c>
      <c r="P1160" s="53" t="e">
        <f>VLOOKUP(N1160,[2]!RUBROS[#All],2,0)</f>
        <v>#REF!</v>
      </c>
      <c r="Q1160" s="47" t="str">
        <f t="shared" ref="Q1160:Q1176" si="421">+MID(N1160,11,2)</f>
        <v>45</v>
      </c>
      <c r="R1160" s="47" t="str">
        <f t="shared" ref="R1160:R1176" si="422">+MID(N1160,14,8)</f>
        <v>0-205128</v>
      </c>
      <c r="S1160" s="54">
        <v>5</v>
      </c>
      <c r="T1160" s="59" t="s">
        <v>46</v>
      </c>
      <c r="U1160" s="326" t="e">
        <f ca="1">_xlfn.XLOOKUP(PAA_4[[#This Row],[ITEM]],[2]Contrato!A:A,[2]Contrato!Q:Q,"",0)</f>
        <v>#NAME?</v>
      </c>
      <c r="V1160" s="47" t="s">
        <v>47</v>
      </c>
      <c r="W1160" s="47" t="s">
        <v>193</v>
      </c>
      <c r="X1160" s="47" t="s">
        <v>193</v>
      </c>
      <c r="Y1160" s="55" t="e">
        <f ca="1">_xlfn.XLOOKUP(PAA_4[[#This Row],[ITEM]],[2]Contrato!A:A,[2]Contrato!B:B,"",0)</f>
        <v>#NAME?</v>
      </c>
      <c r="Z1160" s="47" t="e">
        <f ca="1">_xlfn.XLOOKUP(PAA_4[[#This Row],[ITEM]],[2]Contrato!A:A,[2]Contrato!G:G,"",0)</f>
        <v>#NAME?</v>
      </c>
      <c r="AA1160" s="47" t="e">
        <f ca="1">_xlfn.XLOOKUP(PAA_4[[#This Row],[ITEM]],[2]Contrato!A:A,[2]Contrato!T:T,"",0)</f>
        <v>#NAME?</v>
      </c>
      <c r="AB1160" s="55" t="e">
        <f ca="1">+MAX(PAA_4[[#This Row],[Comprometido Contrato]],PAA_4[[#This Row],[Comprometido Bolsa]])</f>
        <v>#NAME?</v>
      </c>
      <c r="AC1160" s="55" t="str">
        <f t="shared" ref="AC1160:AC1176" ca="1" si="423">IFERROR(I1160-AB1160,"")</f>
        <v/>
      </c>
      <c r="AD1160" s="55" t="e">
        <f ca="1">IF(PAA_4[[#This Row],[ESTADO (formulado)]]="NO CONTRATADO",0,MAX(PAA_4[[#This Row],[Pago por Contrato]],PAA_4[[#This Row],[Pago por bolsa]]))</f>
        <v>#NAME?</v>
      </c>
      <c r="AE1160" s="55" t="str">
        <f t="shared" ref="AE1160:AE1176" ca="1" si="424">+IFERROR(AB1160-AD1160,"")</f>
        <v/>
      </c>
      <c r="AF1160" s="47" t="e">
        <f t="shared" ref="AF1160:AF1176" ca="1" si="425">+CONCATENATE(AA1160,N1160)</f>
        <v>#NAME?</v>
      </c>
      <c r="AG1160" s="47">
        <f t="shared" ref="AG1160:AG1176" si="426">IFERROR(_xlfn.NUMBERVALUE(MID(G1160,1,8)),"")</f>
        <v>44021001</v>
      </c>
      <c r="AH1160" s="54">
        <f>IF(Q1160="22",IF(ISNUMBER(SEARCH("econ",PAA_4[[#This Row],[Actividad3]])),"Económico",IF(ISNUMBER(SEARCH("alim",PAA_4[[#This Row],[Actividad3]])),"Alimentación",IF(ISNUMBER(SEARCH("educ",PAA_4[[#This Row],[Actividad3]])),"Educativo","Técnico"))),0)</f>
        <v>0</v>
      </c>
      <c r="AI1160" s="47" t="e" cm="1">
        <f t="array" aca="1" ref="AI1160" ca="1">_xlfn.XLOOKUP(PAA_4[[#This Row],[RCP-RUBRO]],[2]!COMPROMISOS_2024[[#All],[concatenado]],[2]!COMPROMISOS_2024[[#All],[Total pagado]],"",0)</f>
        <v>#NAME?</v>
      </c>
      <c r="AJ1160" s="56">
        <f>IF(PAA_4[[#This Row],[BOLSA]]=0,0,SUMIFS([2]!COMPROMISOS_2024[[#All],[Total pagado]],[2]!COMPROMISOS_2024[[#All],[Bolsa]],PAA_4[[#This Row],[BOLSA]],[2]!COMPROMISOS_2024[[#All],[rubro]],PAA_4[[#This Row],[RCP-RUBRO]]))</f>
        <v>0</v>
      </c>
      <c r="AK1160" s="47" t="e" cm="1">
        <f t="array" aca="1" ref="AK1160" ca="1">_xlfn.XLOOKUP(PAA_4[[#This Row],[RCP-RUBRO]],[2]!COMPROMISOS_2024[[#All],[concatenado]],[2]!COMPROMISOS_2024[[#All],[Total Comprometido]],"",0)</f>
        <v>#NAME?</v>
      </c>
      <c r="AL1160" s="47">
        <f>IF(PAA_4[[#This Row],[BOLSA]]=0,0,SUMIFS([2]!COMPROMISOS_2024[[#All],[Total Comprometido]],[2]!COMPROMISOS_2024[[#All],[Bolsa]],PAA_4[[#This Row],[BOLSA]],[2]!COMPROMISOS_2024[[#All],[concatenado]],PAA_4[[#This Row],[RCP-RUBRO]]))</f>
        <v>0</v>
      </c>
    </row>
    <row r="1161" spans="1:38" s="19" customFormat="1" ht="31.5" customHeight="1">
      <c r="A1161" s="47" t="s">
        <v>82</v>
      </c>
      <c r="B1161" s="47" t="s">
        <v>42</v>
      </c>
      <c r="C1161" s="47" t="str">
        <f>VLOOKUP(PAA_4[[#This Row],[PROYECTO (formulado)2]],[2]PROYECTOS!$G$1:$L$32,6,0)</f>
        <v>SUBGERENCIA DE FOMENTO Y DESARROLLO</v>
      </c>
      <c r="D1161" s="47" t="str">
        <f>+IF(PAA_4[[#This Row],[UNIDAD DE CONTRATACION (formulado)]]="Subgerencia Administrativa y Financiera","FUNCIONAMIENTO","INVERSIÓN")</f>
        <v>INVERSIÓN</v>
      </c>
      <c r="E1161" s="48" t="str">
        <f>VLOOKUP(Q1161,[2]PROYECTOS!$G$1:$K$32,5,0)</f>
        <v>FORTALECIMIENTO_DE_LAS_ESCUELAS_DEPORTIVAS_EN_LOS_MUNICIPIOS_DEL_DEPARTAMENTO_DE_ANTIOQUIA</v>
      </c>
      <c r="F1161" s="48">
        <f>VLOOKUP(E1161,[2]PROYECTOS!$K$1:$M$32,3,0)</f>
        <v>2020003050032</v>
      </c>
      <c r="G1161" s="49" t="s">
        <v>333</v>
      </c>
      <c r="H1161" s="49" t="str">
        <f>VLOOKUP(Q1161,[2]PROYECTOS!$V$1:$W$32,2,0)</f>
        <v>050059</v>
      </c>
      <c r="I1161" s="50">
        <v>0</v>
      </c>
      <c r="J1161" s="51" t="s">
        <v>42</v>
      </c>
      <c r="K1161" s="47" t="str">
        <f t="shared" ca="1" si="420"/>
        <v>CONTRATADO</v>
      </c>
      <c r="L1161" s="47" t="s">
        <v>42</v>
      </c>
      <c r="M1161" s="47" t="s">
        <v>42</v>
      </c>
      <c r="N1161" s="52" t="s">
        <v>334</v>
      </c>
      <c r="O1161" s="51" t="e">
        <f>VLOOKUP(N1161,[2]!RUBROS[#All],3,0)</f>
        <v>#REF!</v>
      </c>
      <c r="P1161" s="53" t="e">
        <f>VLOOKUP(N1161,[2]!RUBROS[#All],2,0)</f>
        <v>#REF!</v>
      </c>
      <c r="Q1161" s="47" t="str">
        <f t="shared" si="421"/>
        <v>46</v>
      </c>
      <c r="R1161" s="47" t="str">
        <f t="shared" si="422"/>
        <v>0-205128</v>
      </c>
      <c r="S1161" s="54" t="s">
        <v>42</v>
      </c>
      <c r="T1161" s="59" t="s">
        <v>42</v>
      </c>
      <c r="U1161" s="326" t="e">
        <f ca="1">_xlfn.XLOOKUP(PAA_4[[#This Row],[ITEM]],[2]Contrato!A:A,[2]Contrato!Q:Q,"",0)</f>
        <v>#NAME?</v>
      </c>
      <c r="V1161" s="47" t="s">
        <v>42</v>
      </c>
      <c r="W1161" s="47" t="s">
        <v>42</v>
      </c>
      <c r="X1161" s="47" t="s">
        <v>42</v>
      </c>
      <c r="Y1161" s="55" t="e">
        <f ca="1">_xlfn.XLOOKUP(PAA_4[[#This Row],[ITEM]],[2]Contrato!A:A,[2]Contrato!B:B,"",0)</f>
        <v>#NAME?</v>
      </c>
      <c r="Z1161" s="47" t="e">
        <f ca="1">_xlfn.XLOOKUP(PAA_4[[#This Row],[ITEM]],[2]Contrato!A:A,[2]Contrato!G:G,"",0)</f>
        <v>#NAME?</v>
      </c>
      <c r="AA1161" s="47" t="e">
        <f ca="1">_xlfn.XLOOKUP(PAA_4[[#This Row],[ITEM]],[2]Contrato!A:A,[2]Contrato!T:T,"",0)</f>
        <v>#NAME?</v>
      </c>
      <c r="AB1161" s="55" t="e">
        <f ca="1">+MAX(PAA_4[[#This Row],[Comprometido Contrato]],PAA_4[[#This Row],[Comprometido Bolsa]])</f>
        <v>#NAME?</v>
      </c>
      <c r="AC1161" s="55" t="str">
        <f t="shared" ca="1" si="423"/>
        <v/>
      </c>
      <c r="AD1161" s="55" t="e">
        <f ca="1">IF(PAA_4[[#This Row],[ESTADO (formulado)]]="NO CONTRATADO",0,MAX(PAA_4[[#This Row],[Pago por Contrato]],PAA_4[[#This Row],[Pago por bolsa]]))</f>
        <v>#NAME?</v>
      </c>
      <c r="AE1161" s="55" t="str">
        <f t="shared" ca="1" si="424"/>
        <v/>
      </c>
      <c r="AF1161" s="47" t="e">
        <f t="shared" ca="1" si="425"/>
        <v>#NAME?</v>
      </c>
      <c r="AG1161" s="47">
        <f t="shared" si="426"/>
        <v>44021007</v>
      </c>
      <c r="AH1161" s="54">
        <f>IF(Q1161="22",IF(ISNUMBER(SEARCH("econ",PAA_4[[#This Row],[Actividad3]])),"Económico",IF(ISNUMBER(SEARCH("alim",PAA_4[[#This Row],[Actividad3]])),"Alimentación",IF(ISNUMBER(SEARCH("educ",PAA_4[[#This Row],[Actividad3]])),"Educativo","Técnico"))),0)</f>
        <v>0</v>
      </c>
      <c r="AI1161" s="47" t="e" cm="1">
        <f t="array" aca="1" ref="AI1161" ca="1">_xlfn.XLOOKUP(PAA_4[[#This Row],[RCP-RUBRO]],[2]!COMPROMISOS_2024[[#All],[concatenado]],[2]!COMPROMISOS_2024[[#All],[Total pagado]],"",0)</f>
        <v>#NAME?</v>
      </c>
      <c r="AJ1161" s="56">
        <f>IF(PAA_4[[#This Row],[BOLSA]]=0,0,SUMIFS([2]!COMPROMISOS_2024[[#All],[Total pagado]],[2]!COMPROMISOS_2024[[#All],[Bolsa]],PAA_4[[#This Row],[BOLSA]],[2]!COMPROMISOS_2024[[#All],[rubro]],PAA_4[[#This Row],[RCP-RUBRO]]))</f>
        <v>0</v>
      </c>
      <c r="AK1161" s="47" t="e" cm="1">
        <f t="array" aca="1" ref="AK1161" ca="1">_xlfn.XLOOKUP(PAA_4[[#This Row],[RCP-RUBRO]],[2]!COMPROMISOS_2024[[#All],[concatenado]],[2]!COMPROMISOS_2024[[#All],[Total Comprometido]],"",0)</f>
        <v>#NAME?</v>
      </c>
      <c r="AL1161" s="47">
        <f>IF(PAA_4[[#This Row],[BOLSA]]=0,0,SUMIFS([2]!COMPROMISOS_2024[[#All],[Total Comprometido]],[2]!COMPROMISOS_2024[[#All],[Bolsa]],PAA_4[[#This Row],[BOLSA]],[2]!COMPROMISOS_2024[[#All],[concatenado]],PAA_4[[#This Row],[RCP-RUBRO]]))</f>
        <v>0</v>
      </c>
    </row>
    <row r="1162" spans="1:38" s="19" customFormat="1" ht="31.5" customHeight="1">
      <c r="A1162" s="47">
        <v>983</v>
      </c>
      <c r="B1162" s="47">
        <v>80111600</v>
      </c>
      <c r="C1162" s="47" t="str">
        <f>VLOOKUP(PAA_4[[#This Row],[PROYECTO (formulado)2]],[2]PROYECTOS!$G$1:$L$32,6,0)</f>
        <v>SUBGERENCIA DE FOMENTO Y DESARROLLO</v>
      </c>
      <c r="D1162" s="47" t="str">
        <f>+IF(PAA_4[[#This Row],[UNIDAD DE CONTRATACION (formulado)]]="Subgerencia Administrativa y Financiera","FUNCIONAMIENTO","INVERSIÓN")</f>
        <v>INVERSIÓN</v>
      </c>
      <c r="E1162" s="48" t="str">
        <f>VLOOKUP(Q1162,[2]PROYECTOS!$G$1:$K$32,5,0)</f>
        <v>FORTALECIMIENTO_DE_LAS_ESCUELAS_DEPORTIVAS_EN_LOS_MUNICIPIOS_DEL_DEPARTAMENTO_DE_ANTIOQUIA</v>
      </c>
      <c r="F1162" s="48">
        <f>VLOOKUP(E1162,[2]PROYECTOS!$K$1:$M$32,3,0)</f>
        <v>2020003050032</v>
      </c>
      <c r="G1162" s="49" t="s">
        <v>333</v>
      </c>
      <c r="H1162" s="49" t="str">
        <f>VLOOKUP(Q1162,[2]PROYECTOS!$V$1:$W$32,2,0)</f>
        <v>050059</v>
      </c>
      <c r="I1162" s="50">
        <f>4214624-162101-783487</f>
        <v>3269036</v>
      </c>
      <c r="J1162" s="51" t="s">
        <v>1856</v>
      </c>
      <c r="K1162" s="47" t="str">
        <f t="shared" ca="1" si="420"/>
        <v>CONTRATADO</v>
      </c>
      <c r="L1162" s="47" t="s">
        <v>94</v>
      </c>
      <c r="M1162" s="47" t="s">
        <v>1297</v>
      </c>
      <c r="N1162" s="52" t="s">
        <v>334</v>
      </c>
      <c r="O1162" s="51" t="e">
        <f>VLOOKUP(N1162,[2]!RUBROS[#All],3,0)</f>
        <v>#REF!</v>
      </c>
      <c r="P1162" s="53" t="e">
        <f>VLOOKUP(N1162,[2]!RUBROS[#All],2,0)</f>
        <v>#REF!</v>
      </c>
      <c r="Q1162" s="47" t="str">
        <f t="shared" si="421"/>
        <v>46</v>
      </c>
      <c r="R1162" s="47" t="str">
        <f t="shared" si="422"/>
        <v>0-205128</v>
      </c>
      <c r="S1162" s="54">
        <v>5</v>
      </c>
      <c r="T1162" s="59" t="s">
        <v>46</v>
      </c>
      <c r="U1162" s="326" t="e">
        <f ca="1">_xlfn.XLOOKUP(PAA_4[[#This Row],[ITEM]],[2]Contrato!A:A,[2]Contrato!Q:Q,"",0)</f>
        <v>#NAME?</v>
      </c>
      <c r="V1162" s="47" t="s">
        <v>47</v>
      </c>
      <c r="W1162" s="47" t="s">
        <v>193</v>
      </c>
      <c r="X1162" s="47" t="s">
        <v>193</v>
      </c>
      <c r="Y1162" s="55" t="e">
        <f ca="1">_xlfn.XLOOKUP(PAA_4[[#This Row],[ITEM]],[2]Contrato!A:A,[2]Contrato!B:B,"",0)</f>
        <v>#NAME?</v>
      </c>
      <c r="Z1162" s="47" t="e">
        <f ca="1">_xlfn.XLOOKUP(PAA_4[[#This Row],[ITEM]],[2]Contrato!A:A,[2]Contrato!G:G,"",0)</f>
        <v>#NAME?</v>
      </c>
      <c r="AA1162" s="47" t="e">
        <f ca="1">_xlfn.XLOOKUP(PAA_4[[#This Row],[ITEM]],[2]Contrato!A:A,[2]Contrato!T:T,"",0)</f>
        <v>#NAME?</v>
      </c>
      <c r="AB1162" s="55" t="e">
        <f ca="1">+MAX(PAA_4[[#This Row],[Comprometido Contrato]],PAA_4[[#This Row],[Comprometido Bolsa]])</f>
        <v>#NAME?</v>
      </c>
      <c r="AC1162" s="55" t="str">
        <f t="shared" ca="1" si="423"/>
        <v/>
      </c>
      <c r="AD1162" s="55" t="e">
        <f ca="1">IF(PAA_4[[#This Row],[ESTADO (formulado)]]="NO CONTRATADO",0,MAX(PAA_4[[#This Row],[Pago por Contrato]],PAA_4[[#This Row],[Pago por bolsa]]))</f>
        <v>#NAME?</v>
      </c>
      <c r="AE1162" s="55" t="str">
        <f t="shared" ca="1" si="424"/>
        <v/>
      </c>
      <c r="AF1162" s="47" t="e">
        <f t="shared" ca="1" si="425"/>
        <v>#NAME?</v>
      </c>
      <c r="AG1162" s="47">
        <f t="shared" si="426"/>
        <v>44021007</v>
      </c>
      <c r="AH1162" s="54">
        <f>IF(Q1162="22",IF(ISNUMBER(SEARCH("econ",PAA_4[[#This Row],[Actividad3]])),"Económico",IF(ISNUMBER(SEARCH("alim",PAA_4[[#This Row],[Actividad3]])),"Alimentación",IF(ISNUMBER(SEARCH("educ",PAA_4[[#This Row],[Actividad3]])),"Educativo","Técnico"))),0)</f>
        <v>0</v>
      </c>
      <c r="AI1162" s="47" t="e" cm="1">
        <f t="array" aca="1" ref="AI1162" ca="1">_xlfn.XLOOKUP(PAA_4[[#This Row],[RCP-RUBRO]],[2]!COMPROMISOS_2024[[#All],[concatenado]],[2]!COMPROMISOS_2024[[#All],[Total pagado]],"",0)</f>
        <v>#NAME?</v>
      </c>
      <c r="AJ1162" s="56">
        <f>IF(PAA_4[[#This Row],[BOLSA]]=0,0,SUMIFS([2]!COMPROMISOS_2024[[#All],[Total pagado]],[2]!COMPROMISOS_2024[[#All],[Bolsa]],PAA_4[[#This Row],[BOLSA]],[2]!COMPROMISOS_2024[[#All],[rubro]],PAA_4[[#This Row],[RCP-RUBRO]]))</f>
        <v>0</v>
      </c>
      <c r="AK1162" s="47" t="e" cm="1">
        <f t="array" aca="1" ref="AK1162" ca="1">_xlfn.XLOOKUP(PAA_4[[#This Row],[RCP-RUBRO]],[2]!COMPROMISOS_2024[[#All],[concatenado]],[2]!COMPROMISOS_2024[[#All],[Total Comprometido]],"",0)</f>
        <v>#NAME?</v>
      </c>
      <c r="AL1162" s="47">
        <f>IF(PAA_4[[#This Row],[BOLSA]]=0,0,SUMIFS([2]!COMPROMISOS_2024[[#All],[Total Comprometido]],[2]!COMPROMISOS_2024[[#All],[Bolsa]],PAA_4[[#This Row],[BOLSA]],[2]!COMPROMISOS_2024[[#All],[concatenado]],PAA_4[[#This Row],[RCP-RUBRO]]))</f>
        <v>0</v>
      </c>
    </row>
    <row r="1163" spans="1:38" s="19" customFormat="1" ht="31.5" customHeight="1">
      <c r="A1163" s="47" t="s">
        <v>82</v>
      </c>
      <c r="B1163" s="47" t="s">
        <v>42</v>
      </c>
      <c r="C1163" s="47" t="str">
        <f>VLOOKUP(PAA_4[[#This Row],[PROYECTO (formulado)2]],[2]PROYECTOS!$G$1:$L$32,6,0)</f>
        <v>SUBGERENCIA DE FOMENTO Y DESARROLLO</v>
      </c>
      <c r="D1163" s="47" t="str">
        <f>+IF(PAA_4[[#This Row],[UNIDAD DE CONTRATACION (formulado)]]="Subgerencia Administrativa y Financiera","FUNCIONAMIENTO","INVERSIÓN")</f>
        <v>INVERSIÓN</v>
      </c>
      <c r="E1163" s="48" t="str">
        <f>VLOOKUP(Q1163,[2]PROYECTOS!$G$1:$K$32,5,0)</f>
        <v>FORTALECIMIENTO_DE_LOS_PROGRAMAS_RECREATIVOS_EN_LOS_MUNICIPIOS_DEL_DEPARTAMENTO_DE_ANTIOQUIA</v>
      </c>
      <c r="F1163" s="48">
        <f>VLOOKUP(E1163,[2]PROYECTOS!$K$1:$M$32,3,0)</f>
        <v>2020003050031</v>
      </c>
      <c r="G1163" s="49" t="s">
        <v>335</v>
      </c>
      <c r="H1163" s="49" t="str">
        <f>VLOOKUP(Q1163,[2]PROYECTOS!$V$1:$W$32,2,0)</f>
        <v>050064</v>
      </c>
      <c r="I1163" s="50">
        <v>0</v>
      </c>
      <c r="J1163" s="51" t="s">
        <v>42</v>
      </c>
      <c r="K1163" s="47" t="str">
        <f t="shared" ca="1" si="420"/>
        <v>CONTRATADO</v>
      </c>
      <c r="L1163" s="47" t="s">
        <v>42</v>
      </c>
      <c r="M1163" s="47" t="s">
        <v>42</v>
      </c>
      <c r="N1163" s="52" t="s">
        <v>336</v>
      </c>
      <c r="O1163" s="51" t="e">
        <f>VLOOKUP(N1163,[2]!RUBROS[#All],3,0)</f>
        <v>#REF!</v>
      </c>
      <c r="P1163" s="53" t="e">
        <f>VLOOKUP(N1163,[2]!RUBROS[#All],2,0)</f>
        <v>#REF!</v>
      </c>
      <c r="Q1163" s="47" t="str">
        <f t="shared" si="421"/>
        <v>47</v>
      </c>
      <c r="R1163" s="47" t="str">
        <f t="shared" si="422"/>
        <v>0-205128</v>
      </c>
      <c r="S1163" s="54" t="s">
        <v>42</v>
      </c>
      <c r="T1163" s="59" t="s">
        <v>42</v>
      </c>
      <c r="U1163" s="326" t="e">
        <f ca="1">_xlfn.XLOOKUP(PAA_4[[#This Row],[ITEM]],[2]Contrato!A:A,[2]Contrato!Q:Q,"",0)</f>
        <v>#NAME?</v>
      </c>
      <c r="V1163" s="47" t="s">
        <v>42</v>
      </c>
      <c r="W1163" s="47" t="s">
        <v>42</v>
      </c>
      <c r="X1163" s="47" t="s">
        <v>42</v>
      </c>
      <c r="Y1163" s="55" t="e">
        <f ca="1">_xlfn.XLOOKUP(PAA_4[[#This Row],[ITEM]],[2]Contrato!A:A,[2]Contrato!B:B,"",0)</f>
        <v>#NAME?</v>
      </c>
      <c r="Z1163" s="47" t="e">
        <f ca="1">_xlfn.XLOOKUP(PAA_4[[#This Row],[ITEM]],[2]Contrato!A:A,[2]Contrato!G:G,"",0)</f>
        <v>#NAME?</v>
      </c>
      <c r="AA1163" s="47" t="e">
        <f ca="1">_xlfn.XLOOKUP(PAA_4[[#This Row],[ITEM]],[2]Contrato!A:A,[2]Contrato!T:T,"",0)</f>
        <v>#NAME?</v>
      </c>
      <c r="AB1163" s="55" t="e">
        <f ca="1">+MAX(PAA_4[[#This Row],[Comprometido Contrato]],PAA_4[[#This Row],[Comprometido Bolsa]])</f>
        <v>#NAME?</v>
      </c>
      <c r="AC1163" s="55" t="str">
        <f t="shared" ca="1" si="423"/>
        <v/>
      </c>
      <c r="AD1163" s="55" t="e">
        <f ca="1">IF(PAA_4[[#This Row],[ESTADO (formulado)]]="NO CONTRATADO",0,MAX(PAA_4[[#This Row],[Pago por Contrato]],PAA_4[[#This Row],[Pago por bolsa]]))</f>
        <v>#NAME?</v>
      </c>
      <c r="AE1163" s="55" t="str">
        <f t="shared" ca="1" si="424"/>
        <v/>
      </c>
      <c r="AF1163" s="47" t="e">
        <f t="shared" ca="1" si="425"/>
        <v>#NAME?</v>
      </c>
      <c r="AG1163" s="47">
        <f t="shared" si="426"/>
        <v>44021004</v>
      </c>
      <c r="AH1163" s="54">
        <f>IF(Q1163="22",IF(ISNUMBER(SEARCH("econ",PAA_4[[#This Row],[Actividad3]])),"Económico",IF(ISNUMBER(SEARCH("alim",PAA_4[[#This Row],[Actividad3]])),"Alimentación",IF(ISNUMBER(SEARCH("educ",PAA_4[[#This Row],[Actividad3]])),"Educativo","Técnico"))),0)</f>
        <v>0</v>
      </c>
      <c r="AI1163" s="47" t="e" cm="1">
        <f t="array" aca="1" ref="AI1163" ca="1">_xlfn.XLOOKUP(PAA_4[[#This Row],[RCP-RUBRO]],[2]!COMPROMISOS_2024[[#All],[concatenado]],[2]!COMPROMISOS_2024[[#All],[Total pagado]],"",0)</f>
        <v>#NAME?</v>
      </c>
      <c r="AJ1163" s="56">
        <f>IF(PAA_4[[#This Row],[BOLSA]]=0,0,SUMIFS([2]!COMPROMISOS_2024[[#All],[Total pagado]],[2]!COMPROMISOS_2024[[#All],[Bolsa]],PAA_4[[#This Row],[BOLSA]],[2]!COMPROMISOS_2024[[#All],[rubro]],PAA_4[[#This Row],[RCP-RUBRO]]))</f>
        <v>0</v>
      </c>
      <c r="AK1163" s="47" t="e" cm="1">
        <f t="array" aca="1" ref="AK1163" ca="1">_xlfn.XLOOKUP(PAA_4[[#This Row],[RCP-RUBRO]],[2]!COMPROMISOS_2024[[#All],[concatenado]],[2]!COMPROMISOS_2024[[#All],[Total Comprometido]],"",0)</f>
        <v>#NAME?</v>
      </c>
      <c r="AL1163" s="47">
        <f>IF(PAA_4[[#This Row],[BOLSA]]=0,0,SUMIFS([2]!COMPROMISOS_2024[[#All],[Total Comprometido]],[2]!COMPROMISOS_2024[[#All],[Bolsa]],PAA_4[[#This Row],[BOLSA]],[2]!COMPROMISOS_2024[[#All],[concatenado]],PAA_4[[#This Row],[RCP-RUBRO]]))</f>
        <v>0</v>
      </c>
    </row>
    <row r="1164" spans="1:38" s="19" customFormat="1" ht="31.5" customHeight="1">
      <c r="A1164" s="47">
        <v>983</v>
      </c>
      <c r="B1164" s="47">
        <v>80111600</v>
      </c>
      <c r="C1164" s="47" t="str">
        <f>VLOOKUP(PAA_4[[#This Row],[PROYECTO (formulado)2]],[2]PROYECTOS!$G$1:$L$32,6,0)</f>
        <v>SUBGERENCIA DE FOMENTO Y DESARROLLO</v>
      </c>
      <c r="D1164" s="47" t="str">
        <f>+IF(PAA_4[[#This Row],[UNIDAD DE CONTRATACION (formulado)]]="Subgerencia Administrativa y Financiera","FUNCIONAMIENTO","INVERSIÓN")</f>
        <v>INVERSIÓN</v>
      </c>
      <c r="E1164" s="48" t="str">
        <f>VLOOKUP(Q1164,[2]PROYECTOS!$G$1:$K$32,5,0)</f>
        <v>FORTALECIMIENTO_DE_LOS_PROGRAMAS_RECREATIVOS_EN_LOS_MUNICIPIOS_DEL_DEPARTAMENTO_DE_ANTIOQUIA</v>
      </c>
      <c r="F1164" s="48">
        <f>VLOOKUP(E1164,[2]PROYECTOS!$K$1:$M$32,3,0)</f>
        <v>2020003050031</v>
      </c>
      <c r="G1164" s="49" t="s">
        <v>335</v>
      </c>
      <c r="H1164" s="49" t="str">
        <f>VLOOKUP(Q1164,[2]PROYECTOS!$V$1:$W$32,2,0)</f>
        <v>050064</v>
      </c>
      <c r="I1164" s="50">
        <f>4186951-161037-778343</f>
        <v>3247571</v>
      </c>
      <c r="J1164" s="51" t="s">
        <v>1856</v>
      </c>
      <c r="K1164" s="47" t="str">
        <f t="shared" ca="1" si="420"/>
        <v>CONTRATADO</v>
      </c>
      <c r="L1164" s="47" t="s">
        <v>94</v>
      </c>
      <c r="M1164" s="47" t="s">
        <v>1297</v>
      </c>
      <c r="N1164" s="52" t="s">
        <v>336</v>
      </c>
      <c r="O1164" s="51" t="e">
        <f>VLOOKUP(N1164,[2]!RUBROS[#All],3,0)</f>
        <v>#REF!</v>
      </c>
      <c r="P1164" s="53" t="e">
        <f>VLOOKUP(N1164,[2]!RUBROS[#All],2,0)</f>
        <v>#REF!</v>
      </c>
      <c r="Q1164" s="47" t="str">
        <f t="shared" si="421"/>
        <v>47</v>
      </c>
      <c r="R1164" s="47" t="str">
        <f t="shared" si="422"/>
        <v>0-205128</v>
      </c>
      <c r="S1164" s="54">
        <v>5</v>
      </c>
      <c r="T1164" s="59" t="s">
        <v>46</v>
      </c>
      <c r="U1164" s="326" t="e">
        <f ca="1">_xlfn.XLOOKUP(PAA_4[[#This Row],[ITEM]],[2]Contrato!A:A,[2]Contrato!Q:Q,"",0)</f>
        <v>#NAME?</v>
      </c>
      <c r="V1164" s="47" t="s">
        <v>47</v>
      </c>
      <c r="W1164" s="47" t="s">
        <v>193</v>
      </c>
      <c r="X1164" s="47" t="s">
        <v>193</v>
      </c>
      <c r="Y1164" s="55" t="e">
        <f ca="1">_xlfn.XLOOKUP(PAA_4[[#This Row],[ITEM]],[2]Contrato!A:A,[2]Contrato!B:B,"",0)</f>
        <v>#NAME?</v>
      </c>
      <c r="Z1164" s="47" t="e">
        <f ca="1">_xlfn.XLOOKUP(PAA_4[[#This Row],[ITEM]],[2]Contrato!A:A,[2]Contrato!G:G,"",0)</f>
        <v>#NAME?</v>
      </c>
      <c r="AA1164" s="47" t="e">
        <f ca="1">_xlfn.XLOOKUP(PAA_4[[#This Row],[ITEM]],[2]Contrato!A:A,[2]Contrato!T:T,"",0)</f>
        <v>#NAME?</v>
      </c>
      <c r="AB1164" s="55" t="e">
        <f ca="1">+MAX(PAA_4[[#This Row],[Comprometido Contrato]],PAA_4[[#This Row],[Comprometido Bolsa]])</f>
        <v>#NAME?</v>
      </c>
      <c r="AC1164" s="55" t="str">
        <f t="shared" ca="1" si="423"/>
        <v/>
      </c>
      <c r="AD1164" s="55" t="e">
        <f ca="1">IF(PAA_4[[#This Row],[ESTADO (formulado)]]="NO CONTRATADO",0,MAX(PAA_4[[#This Row],[Pago por Contrato]],PAA_4[[#This Row],[Pago por bolsa]]))</f>
        <v>#NAME?</v>
      </c>
      <c r="AE1164" s="55" t="str">
        <f t="shared" ca="1" si="424"/>
        <v/>
      </c>
      <c r="AF1164" s="47" t="e">
        <f t="shared" ca="1" si="425"/>
        <v>#NAME?</v>
      </c>
      <c r="AG1164" s="47">
        <f t="shared" si="426"/>
        <v>44021004</v>
      </c>
      <c r="AH1164" s="54">
        <f>IF(Q1164="22",IF(ISNUMBER(SEARCH("econ",PAA_4[[#This Row],[Actividad3]])),"Económico",IF(ISNUMBER(SEARCH("alim",PAA_4[[#This Row],[Actividad3]])),"Alimentación",IF(ISNUMBER(SEARCH("educ",PAA_4[[#This Row],[Actividad3]])),"Educativo","Técnico"))),0)</f>
        <v>0</v>
      </c>
      <c r="AI1164" s="47" t="e" cm="1">
        <f t="array" aca="1" ref="AI1164" ca="1">_xlfn.XLOOKUP(PAA_4[[#This Row],[RCP-RUBRO]],[2]!COMPROMISOS_2024[[#All],[concatenado]],[2]!COMPROMISOS_2024[[#All],[Total pagado]],"",0)</f>
        <v>#NAME?</v>
      </c>
      <c r="AJ1164" s="56">
        <f>IF(PAA_4[[#This Row],[BOLSA]]=0,0,SUMIFS([2]!COMPROMISOS_2024[[#All],[Total pagado]],[2]!COMPROMISOS_2024[[#All],[Bolsa]],PAA_4[[#This Row],[BOLSA]],[2]!COMPROMISOS_2024[[#All],[rubro]],PAA_4[[#This Row],[RCP-RUBRO]]))</f>
        <v>0</v>
      </c>
      <c r="AK1164" s="47" t="e" cm="1">
        <f t="array" aca="1" ref="AK1164" ca="1">_xlfn.XLOOKUP(PAA_4[[#This Row],[RCP-RUBRO]],[2]!COMPROMISOS_2024[[#All],[concatenado]],[2]!COMPROMISOS_2024[[#All],[Total Comprometido]],"",0)</f>
        <v>#NAME?</v>
      </c>
      <c r="AL1164" s="47">
        <f>IF(PAA_4[[#This Row],[BOLSA]]=0,0,SUMIFS([2]!COMPROMISOS_2024[[#All],[Total Comprometido]],[2]!COMPROMISOS_2024[[#All],[Bolsa]],PAA_4[[#This Row],[BOLSA]],[2]!COMPROMISOS_2024[[#All],[concatenado]],PAA_4[[#This Row],[RCP-RUBRO]]))</f>
        <v>0</v>
      </c>
    </row>
    <row r="1165" spans="1:38" s="19" customFormat="1" ht="31.5" customHeight="1">
      <c r="A1165" s="47" t="s">
        <v>82</v>
      </c>
      <c r="B1165" s="47" t="s">
        <v>42</v>
      </c>
      <c r="C1165" s="47" t="str">
        <f>VLOOKUP(PAA_4[[#This Row],[PROYECTO (formulado)2]],[2]PROYECTOS!$G$1:$L$32,6,0)</f>
        <v>SUBGERENCIA DE FOMENTO Y DESARROLLO</v>
      </c>
      <c r="D1165" s="47" t="str">
        <f>+IF(PAA_4[[#This Row],[UNIDAD DE CONTRATACION (formulado)]]="Subgerencia Administrativa y Financiera","FUNCIONAMIENTO","INVERSIÓN")</f>
        <v>INVERSIÓN</v>
      </c>
      <c r="E1165" s="48" t="str">
        <f>VLOOKUP(Q1165,[2]PROYECTOS!$G$1:$K$32,5,0)</f>
        <v>FORTALECIMIENTO_DE_LOS_JUEGOS_DEL_SECTOR_SOCIAL_COMUNITARIO_EN_LOS_MUNICIPIOS_DEL_DEPARTAMENTO_DE_ANTIOQU</v>
      </c>
      <c r="F1165" s="48">
        <f>VLOOKUP(E1165,[2]PROYECTOS!$K$1:$M$32,3,0)</f>
        <v>2020003050033</v>
      </c>
      <c r="G1165" s="49" t="s">
        <v>342</v>
      </c>
      <c r="H1165" s="49" t="str">
        <f>VLOOKUP(Q1165,[2]PROYECTOS!$V$1:$W$32,2,0)</f>
        <v>050057</v>
      </c>
      <c r="I1165" s="50">
        <v>0</v>
      </c>
      <c r="J1165" s="51" t="s">
        <v>42</v>
      </c>
      <c r="K1165" s="47" t="str">
        <f t="shared" ca="1" si="420"/>
        <v>CONTRATADO</v>
      </c>
      <c r="L1165" s="47" t="s">
        <v>42</v>
      </c>
      <c r="M1165" s="47" t="s">
        <v>42</v>
      </c>
      <c r="N1165" s="52" t="s">
        <v>343</v>
      </c>
      <c r="O1165" s="51" t="e">
        <f>VLOOKUP(N1165,[2]!RUBROS[#All],3,0)</f>
        <v>#REF!</v>
      </c>
      <c r="P1165" s="53" t="e">
        <f>VLOOKUP(N1165,[2]!RUBROS[#All],2,0)</f>
        <v>#REF!</v>
      </c>
      <c r="Q1165" s="47" t="str">
        <f t="shared" si="421"/>
        <v>50</v>
      </c>
      <c r="R1165" s="47" t="str">
        <f t="shared" si="422"/>
        <v>0-205128</v>
      </c>
      <c r="S1165" s="54" t="s">
        <v>42</v>
      </c>
      <c r="T1165" s="59" t="s">
        <v>42</v>
      </c>
      <c r="U1165" s="326" t="e">
        <f ca="1">_xlfn.XLOOKUP(PAA_4[[#This Row],[ITEM]],[2]Contrato!A:A,[2]Contrato!Q:Q,"",0)</f>
        <v>#NAME?</v>
      </c>
      <c r="V1165" s="47" t="s">
        <v>42</v>
      </c>
      <c r="W1165" s="47" t="s">
        <v>42</v>
      </c>
      <c r="X1165" s="47" t="s">
        <v>42</v>
      </c>
      <c r="Y1165" s="55" t="e">
        <f ca="1">_xlfn.XLOOKUP(PAA_4[[#This Row],[ITEM]],[2]Contrato!A:A,[2]Contrato!B:B,"",0)</f>
        <v>#NAME?</v>
      </c>
      <c r="Z1165" s="47" t="e">
        <f ca="1">_xlfn.XLOOKUP(PAA_4[[#This Row],[ITEM]],[2]Contrato!A:A,[2]Contrato!G:G,"",0)</f>
        <v>#NAME?</v>
      </c>
      <c r="AA1165" s="47" t="e">
        <f ca="1">_xlfn.XLOOKUP(PAA_4[[#This Row],[ITEM]],[2]Contrato!A:A,[2]Contrato!T:T,"",0)</f>
        <v>#NAME?</v>
      </c>
      <c r="AB1165" s="55" t="e">
        <f ca="1">+MAX(PAA_4[[#This Row],[Comprometido Contrato]],PAA_4[[#This Row],[Comprometido Bolsa]])</f>
        <v>#NAME?</v>
      </c>
      <c r="AC1165" s="55" t="str">
        <f t="shared" ca="1" si="423"/>
        <v/>
      </c>
      <c r="AD1165" s="55" t="e">
        <f ca="1">IF(PAA_4[[#This Row],[ESTADO (formulado)]]="NO CONTRATADO",0,MAX(PAA_4[[#This Row],[Pago por Contrato]],PAA_4[[#This Row],[Pago por bolsa]]))</f>
        <v>#NAME?</v>
      </c>
      <c r="AE1165" s="55" t="str">
        <f t="shared" ca="1" si="424"/>
        <v/>
      </c>
      <c r="AF1165" s="47" t="e">
        <f t="shared" ca="1" si="425"/>
        <v>#NAME?</v>
      </c>
      <c r="AG1165" s="47">
        <f t="shared" si="426"/>
        <v>44021010</v>
      </c>
      <c r="AH1165" s="54">
        <f>IF(Q1165="22",IF(ISNUMBER(SEARCH("econ",PAA_4[[#This Row],[Actividad3]])),"Económico",IF(ISNUMBER(SEARCH("alim",PAA_4[[#This Row],[Actividad3]])),"Alimentación",IF(ISNUMBER(SEARCH("educ",PAA_4[[#This Row],[Actividad3]])),"Educativo","Técnico"))),0)</f>
        <v>0</v>
      </c>
      <c r="AI1165" s="47" t="e" cm="1">
        <f t="array" aca="1" ref="AI1165" ca="1">_xlfn.XLOOKUP(PAA_4[[#This Row],[RCP-RUBRO]],[2]!COMPROMISOS_2024[[#All],[concatenado]],[2]!COMPROMISOS_2024[[#All],[Total pagado]],"",0)</f>
        <v>#NAME?</v>
      </c>
      <c r="AJ1165" s="56">
        <f>IF(PAA_4[[#This Row],[BOLSA]]=0,0,SUMIFS([2]!COMPROMISOS_2024[[#All],[Total pagado]],[2]!COMPROMISOS_2024[[#All],[Bolsa]],PAA_4[[#This Row],[BOLSA]],[2]!COMPROMISOS_2024[[#All],[rubro]],PAA_4[[#This Row],[RCP-RUBRO]]))</f>
        <v>0</v>
      </c>
      <c r="AK1165" s="47" t="e" cm="1">
        <f t="array" aca="1" ref="AK1165" ca="1">_xlfn.XLOOKUP(PAA_4[[#This Row],[RCP-RUBRO]],[2]!COMPROMISOS_2024[[#All],[concatenado]],[2]!COMPROMISOS_2024[[#All],[Total Comprometido]],"",0)</f>
        <v>#NAME?</v>
      </c>
      <c r="AL1165" s="47">
        <f>IF(PAA_4[[#This Row],[BOLSA]]=0,0,SUMIFS([2]!COMPROMISOS_2024[[#All],[Total Comprometido]],[2]!COMPROMISOS_2024[[#All],[Bolsa]],PAA_4[[#This Row],[BOLSA]],[2]!COMPROMISOS_2024[[#All],[concatenado]],PAA_4[[#This Row],[RCP-RUBRO]]))</f>
        <v>0</v>
      </c>
    </row>
    <row r="1166" spans="1:38" s="19" customFormat="1" ht="31.5" customHeight="1">
      <c r="A1166" s="47">
        <v>983</v>
      </c>
      <c r="B1166" s="47">
        <v>80111600</v>
      </c>
      <c r="C1166" s="47" t="str">
        <f>VLOOKUP(PAA_4[[#This Row],[PROYECTO (formulado)2]],[2]PROYECTOS!$G$1:$L$32,6,0)</f>
        <v>SUBGERENCIA DE FOMENTO Y DESARROLLO</v>
      </c>
      <c r="D1166" s="47" t="str">
        <f>+IF(PAA_4[[#This Row],[UNIDAD DE CONTRATACION (formulado)]]="Subgerencia Administrativa y Financiera","FUNCIONAMIENTO","INVERSIÓN")</f>
        <v>INVERSIÓN</v>
      </c>
      <c r="E1166" s="48" t="str">
        <f>VLOOKUP(Q1166,[2]PROYECTOS!$G$1:$K$32,5,0)</f>
        <v>FORTALECIMIENTO_DE_LOS_JUEGOS_DEL_SECTOR_SOCIAL_COMUNITARIO_EN_LOS_MUNICIPIOS_DEL_DEPARTAMENTO_DE_ANTIOQU</v>
      </c>
      <c r="F1166" s="48">
        <f>VLOOKUP(E1166,[2]PROYECTOS!$K$1:$M$32,3,0)</f>
        <v>2020003050033</v>
      </c>
      <c r="G1166" s="49" t="s">
        <v>342</v>
      </c>
      <c r="H1166" s="49" t="str">
        <f>VLOOKUP(Q1166,[2]PROYECTOS!$V$1:$W$32,2,0)</f>
        <v>050057</v>
      </c>
      <c r="I1166" s="50">
        <f>16264036-625540-3023442</f>
        <v>12615054</v>
      </c>
      <c r="J1166" s="51" t="s">
        <v>1856</v>
      </c>
      <c r="K1166" s="47" t="str">
        <f t="shared" ca="1" si="420"/>
        <v>CONTRATADO</v>
      </c>
      <c r="L1166" s="47" t="s">
        <v>94</v>
      </c>
      <c r="M1166" s="47" t="s">
        <v>1297</v>
      </c>
      <c r="N1166" s="52" t="s">
        <v>343</v>
      </c>
      <c r="O1166" s="51" t="e">
        <f>VLOOKUP(N1166,[2]!RUBROS[#All],3,0)</f>
        <v>#REF!</v>
      </c>
      <c r="P1166" s="53" t="e">
        <f>VLOOKUP(N1166,[2]!RUBROS[#All],2,0)</f>
        <v>#REF!</v>
      </c>
      <c r="Q1166" s="47" t="str">
        <f t="shared" si="421"/>
        <v>50</v>
      </c>
      <c r="R1166" s="47" t="str">
        <f t="shared" si="422"/>
        <v>0-205128</v>
      </c>
      <c r="S1166" s="54">
        <v>5</v>
      </c>
      <c r="T1166" s="59" t="s">
        <v>46</v>
      </c>
      <c r="U1166" s="326" t="e">
        <f ca="1">_xlfn.XLOOKUP(PAA_4[[#This Row],[ITEM]],[2]Contrato!A:A,[2]Contrato!Q:Q,"",0)</f>
        <v>#NAME?</v>
      </c>
      <c r="V1166" s="47" t="s">
        <v>47</v>
      </c>
      <c r="W1166" s="47" t="s">
        <v>193</v>
      </c>
      <c r="X1166" s="47" t="s">
        <v>193</v>
      </c>
      <c r="Y1166" s="55" t="e">
        <f ca="1">_xlfn.XLOOKUP(PAA_4[[#This Row],[ITEM]],[2]Contrato!A:A,[2]Contrato!B:B,"",0)</f>
        <v>#NAME?</v>
      </c>
      <c r="Z1166" s="47" t="e">
        <f ca="1">_xlfn.XLOOKUP(PAA_4[[#This Row],[ITEM]],[2]Contrato!A:A,[2]Contrato!G:G,"",0)</f>
        <v>#NAME?</v>
      </c>
      <c r="AA1166" s="47" t="e">
        <f ca="1">_xlfn.XLOOKUP(PAA_4[[#This Row],[ITEM]],[2]Contrato!A:A,[2]Contrato!T:T,"",0)</f>
        <v>#NAME?</v>
      </c>
      <c r="AB1166" s="55" t="e">
        <f ca="1">+MAX(PAA_4[[#This Row],[Comprometido Contrato]],PAA_4[[#This Row],[Comprometido Bolsa]])</f>
        <v>#NAME?</v>
      </c>
      <c r="AC1166" s="55" t="str">
        <f t="shared" ca="1" si="423"/>
        <v/>
      </c>
      <c r="AD1166" s="55" t="e">
        <f ca="1">IF(PAA_4[[#This Row],[ESTADO (formulado)]]="NO CONTRATADO",0,MAX(PAA_4[[#This Row],[Pago por Contrato]],PAA_4[[#This Row],[Pago por bolsa]]))</f>
        <v>#NAME?</v>
      </c>
      <c r="AE1166" s="55" t="str">
        <f t="shared" ca="1" si="424"/>
        <v/>
      </c>
      <c r="AF1166" s="47" t="e">
        <f t="shared" ca="1" si="425"/>
        <v>#NAME?</v>
      </c>
      <c r="AG1166" s="47">
        <f t="shared" si="426"/>
        <v>44021010</v>
      </c>
      <c r="AH1166" s="54">
        <f>IF(Q1166="22",IF(ISNUMBER(SEARCH("econ",PAA_4[[#This Row],[Actividad3]])),"Económico",IF(ISNUMBER(SEARCH("alim",PAA_4[[#This Row],[Actividad3]])),"Alimentación",IF(ISNUMBER(SEARCH("educ",PAA_4[[#This Row],[Actividad3]])),"Educativo","Técnico"))),0)</f>
        <v>0</v>
      </c>
      <c r="AI1166" s="47" t="e" cm="1">
        <f t="array" aca="1" ref="AI1166" ca="1">_xlfn.XLOOKUP(PAA_4[[#This Row],[RCP-RUBRO]],[2]!COMPROMISOS_2024[[#All],[concatenado]],[2]!COMPROMISOS_2024[[#All],[Total pagado]],"",0)</f>
        <v>#NAME?</v>
      </c>
      <c r="AJ1166" s="56">
        <f>IF(PAA_4[[#This Row],[BOLSA]]=0,0,SUMIFS([2]!COMPROMISOS_2024[[#All],[Total pagado]],[2]!COMPROMISOS_2024[[#All],[Bolsa]],PAA_4[[#This Row],[BOLSA]],[2]!COMPROMISOS_2024[[#All],[rubro]],PAA_4[[#This Row],[RCP-RUBRO]]))</f>
        <v>0</v>
      </c>
      <c r="AK1166" s="47" t="e" cm="1">
        <f t="array" aca="1" ref="AK1166" ca="1">_xlfn.XLOOKUP(PAA_4[[#This Row],[RCP-RUBRO]],[2]!COMPROMISOS_2024[[#All],[concatenado]],[2]!COMPROMISOS_2024[[#All],[Total Comprometido]],"",0)</f>
        <v>#NAME?</v>
      </c>
      <c r="AL1166" s="47">
        <f>IF(PAA_4[[#This Row],[BOLSA]]=0,0,SUMIFS([2]!COMPROMISOS_2024[[#All],[Total Comprometido]],[2]!COMPROMISOS_2024[[#All],[Bolsa]],PAA_4[[#This Row],[BOLSA]],[2]!COMPROMISOS_2024[[#All],[concatenado]],PAA_4[[#This Row],[RCP-RUBRO]]))</f>
        <v>0</v>
      </c>
    </row>
    <row r="1167" spans="1:38" s="19" customFormat="1" ht="31.5" customHeight="1">
      <c r="A1167" s="47" t="s">
        <v>82</v>
      </c>
      <c r="B1167" s="47" t="s">
        <v>42</v>
      </c>
      <c r="C1167" s="47" t="str">
        <f>VLOOKUP(PAA_4[[#This Row],[PROYECTO (formulado)2]],[2]PROYECTOS!$G$1:$L$32,6,0)</f>
        <v>SUBGERENCIA DE FOMENTO Y DESARROLLO</v>
      </c>
      <c r="D1167" s="47" t="str">
        <f>+IF(PAA_4[[#This Row],[UNIDAD DE CONTRATACION (formulado)]]="Subgerencia Administrativa y Financiera","FUNCIONAMIENTO","INVERSIÓN")</f>
        <v>INVERSIÓN</v>
      </c>
      <c r="E1167" s="48" t="str">
        <f>VLOOKUP(Q1167,[2]PROYECTOS!$G$1:$K$32,5,0)</f>
        <v>FORTALECIMIENTO_DE_LOS_JUEGOS_DEL_SECTOR_EDUCATIVO_EN_ANTIOQUIA</v>
      </c>
      <c r="F1167" s="48">
        <f>VLOOKUP(E1167,[2]PROYECTOS!$K$1:$M$32,3,0)</f>
        <v>2020003050034</v>
      </c>
      <c r="G1167" s="49" t="s">
        <v>340</v>
      </c>
      <c r="H1167" s="49" t="str">
        <f>VLOOKUP(Q1167,[2]PROYECTOS!$V$1:$W$32,2,0)</f>
        <v>050053</v>
      </c>
      <c r="I1167" s="50">
        <v>0</v>
      </c>
      <c r="J1167" s="51" t="s">
        <v>42</v>
      </c>
      <c r="K1167" s="47" t="str">
        <f t="shared" ca="1" si="420"/>
        <v>CONTRATADO</v>
      </c>
      <c r="L1167" s="47" t="s">
        <v>42</v>
      </c>
      <c r="M1167" s="47" t="s">
        <v>42</v>
      </c>
      <c r="N1167" s="52" t="s">
        <v>341</v>
      </c>
      <c r="O1167" s="51" t="e">
        <f>VLOOKUP(N1167,[2]!RUBROS[#All],3,0)</f>
        <v>#REF!</v>
      </c>
      <c r="P1167" s="53" t="e">
        <f>VLOOKUP(N1167,[2]!RUBROS[#All],2,0)</f>
        <v>#REF!</v>
      </c>
      <c r="Q1167" s="47" t="str">
        <f t="shared" si="421"/>
        <v>51</v>
      </c>
      <c r="R1167" s="47" t="str">
        <f t="shared" si="422"/>
        <v>0-205128</v>
      </c>
      <c r="S1167" s="54" t="s">
        <v>42</v>
      </c>
      <c r="T1167" s="59" t="s">
        <v>42</v>
      </c>
      <c r="U1167" s="326" t="e">
        <f ca="1">_xlfn.XLOOKUP(PAA_4[[#This Row],[ITEM]],[2]Contrato!A:A,[2]Contrato!Q:Q,"",0)</f>
        <v>#NAME?</v>
      </c>
      <c r="V1167" s="47" t="s">
        <v>42</v>
      </c>
      <c r="W1167" s="47" t="s">
        <v>42</v>
      </c>
      <c r="X1167" s="47" t="s">
        <v>42</v>
      </c>
      <c r="Y1167" s="55" t="e">
        <f ca="1">_xlfn.XLOOKUP(PAA_4[[#This Row],[ITEM]],[2]Contrato!A:A,[2]Contrato!B:B,"",0)</f>
        <v>#NAME?</v>
      </c>
      <c r="Z1167" s="47" t="e">
        <f ca="1">_xlfn.XLOOKUP(PAA_4[[#This Row],[ITEM]],[2]Contrato!A:A,[2]Contrato!G:G,"",0)</f>
        <v>#NAME?</v>
      </c>
      <c r="AA1167" s="47" t="e">
        <f ca="1">_xlfn.XLOOKUP(PAA_4[[#This Row],[ITEM]],[2]Contrato!A:A,[2]Contrato!T:T,"",0)</f>
        <v>#NAME?</v>
      </c>
      <c r="AB1167" s="55" t="e">
        <f ca="1">+MAX(PAA_4[[#This Row],[Comprometido Contrato]],PAA_4[[#This Row],[Comprometido Bolsa]])</f>
        <v>#NAME?</v>
      </c>
      <c r="AC1167" s="55" t="str">
        <f t="shared" ca="1" si="423"/>
        <v/>
      </c>
      <c r="AD1167" s="55" t="e">
        <f ca="1">IF(PAA_4[[#This Row],[ESTADO (formulado)]]="NO CONTRATADO",0,MAX(PAA_4[[#This Row],[Pago por Contrato]],PAA_4[[#This Row],[Pago por bolsa]]))</f>
        <v>#NAME?</v>
      </c>
      <c r="AE1167" s="55" t="str">
        <f t="shared" ca="1" si="424"/>
        <v/>
      </c>
      <c r="AF1167" s="47" t="e">
        <f t="shared" ca="1" si="425"/>
        <v>#NAME?</v>
      </c>
      <c r="AG1167" s="47">
        <f t="shared" si="426"/>
        <v>44021011</v>
      </c>
      <c r="AH1167" s="54">
        <f>IF(Q1167="22",IF(ISNUMBER(SEARCH("econ",PAA_4[[#This Row],[Actividad3]])),"Económico",IF(ISNUMBER(SEARCH("alim",PAA_4[[#This Row],[Actividad3]])),"Alimentación",IF(ISNUMBER(SEARCH("educ",PAA_4[[#This Row],[Actividad3]])),"Educativo","Técnico"))),0)</f>
        <v>0</v>
      </c>
      <c r="AI1167" s="47" t="e" cm="1">
        <f t="array" aca="1" ref="AI1167" ca="1">_xlfn.XLOOKUP(PAA_4[[#This Row],[RCP-RUBRO]],[2]!COMPROMISOS_2024[[#All],[concatenado]],[2]!COMPROMISOS_2024[[#All],[Total pagado]],"",0)</f>
        <v>#NAME?</v>
      </c>
      <c r="AJ1167" s="56">
        <f>IF(PAA_4[[#This Row],[BOLSA]]=0,0,SUMIFS([2]!COMPROMISOS_2024[[#All],[Total pagado]],[2]!COMPROMISOS_2024[[#All],[Bolsa]],PAA_4[[#This Row],[BOLSA]],[2]!COMPROMISOS_2024[[#All],[rubro]],PAA_4[[#This Row],[RCP-RUBRO]]))</f>
        <v>0</v>
      </c>
      <c r="AK1167" s="47" t="e" cm="1">
        <f t="array" aca="1" ref="AK1167" ca="1">_xlfn.XLOOKUP(PAA_4[[#This Row],[RCP-RUBRO]],[2]!COMPROMISOS_2024[[#All],[concatenado]],[2]!COMPROMISOS_2024[[#All],[Total Comprometido]],"",0)</f>
        <v>#NAME?</v>
      </c>
      <c r="AL1167" s="47">
        <f>IF(PAA_4[[#This Row],[BOLSA]]=0,0,SUMIFS([2]!COMPROMISOS_2024[[#All],[Total Comprometido]],[2]!COMPROMISOS_2024[[#All],[Bolsa]],PAA_4[[#This Row],[BOLSA]],[2]!COMPROMISOS_2024[[#All],[concatenado]],PAA_4[[#This Row],[RCP-RUBRO]]))</f>
        <v>0</v>
      </c>
    </row>
    <row r="1168" spans="1:38" s="19" customFormat="1" ht="31.5" customHeight="1">
      <c r="A1168" s="47">
        <v>983</v>
      </c>
      <c r="B1168" s="47">
        <v>80111600</v>
      </c>
      <c r="C1168" s="47" t="str">
        <f>VLOOKUP(PAA_4[[#This Row],[PROYECTO (formulado)2]],[2]PROYECTOS!$G$1:$L$32,6,0)</f>
        <v>SUBGERENCIA DE FOMENTO Y DESARROLLO</v>
      </c>
      <c r="D1168" s="47" t="str">
        <f>+IF(PAA_4[[#This Row],[UNIDAD DE CONTRATACION (formulado)]]="Subgerencia Administrativa y Financiera","FUNCIONAMIENTO","INVERSIÓN")</f>
        <v>INVERSIÓN</v>
      </c>
      <c r="E1168" s="48" t="str">
        <f>VLOOKUP(Q1168,[2]PROYECTOS!$G$1:$K$32,5,0)</f>
        <v>FORTALECIMIENTO_DE_LOS_JUEGOS_DEL_SECTOR_EDUCATIVO_EN_ANTIOQUIA</v>
      </c>
      <c r="F1168" s="48">
        <f>VLOOKUP(E1168,[2]PROYECTOS!$K$1:$M$32,3,0)</f>
        <v>2020003050034</v>
      </c>
      <c r="G1168" s="49" t="s">
        <v>340</v>
      </c>
      <c r="H1168" s="49" t="str">
        <f>VLOOKUP(Q1168,[2]PROYECTOS!$V$1:$W$32,2,0)</f>
        <v>050053</v>
      </c>
      <c r="I1168" s="50">
        <f>16416039-631386-3051702</f>
        <v>12732951</v>
      </c>
      <c r="J1168" s="51" t="s">
        <v>1856</v>
      </c>
      <c r="K1168" s="47" t="str">
        <f t="shared" ca="1" si="420"/>
        <v>CONTRATADO</v>
      </c>
      <c r="L1168" s="47" t="s">
        <v>94</v>
      </c>
      <c r="M1168" s="47" t="s">
        <v>1297</v>
      </c>
      <c r="N1168" s="52" t="s">
        <v>341</v>
      </c>
      <c r="O1168" s="51" t="e">
        <f>VLOOKUP(N1168,[2]!RUBROS[#All],3,0)</f>
        <v>#REF!</v>
      </c>
      <c r="P1168" s="53" t="e">
        <f>VLOOKUP(N1168,[2]!RUBROS[#All],2,0)</f>
        <v>#REF!</v>
      </c>
      <c r="Q1168" s="47" t="str">
        <f t="shared" si="421"/>
        <v>51</v>
      </c>
      <c r="R1168" s="47" t="str">
        <f t="shared" si="422"/>
        <v>0-205128</v>
      </c>
      <c r="S1168" s="54">
        <v>5</v>
      </c>
      <c r="T1168" s="59" t="s">
        <v>46</v>
      </c>
      <c r="U1168" s="326" t="e">
        <f ca="1">_xlfn.XLOOKUP(PAA_4[[#This Row],[ITEM]],[2]Contrato!A:A,[2]Contrato!Q:Q,"",0)</f>
        <v>#NAME?</v>
      </c>
      <c r="V1168" s="47" t="s">
        <v>47</v>
      </c>
      <c r="W1168" s="47" t="s">
        <v>193</v>
      </c>
      <c r="X1168" s="47" t="s">
        <v>193</v>
      </c>
      <c r="Y1168" s="55" t="e">
        <f ca="1">_xlfn.XLOOKUP(PAA_4[[#This Row],[ITEM]],[2]Contrato!A:A,[2]Contrato!B:B,"",0)</f>
        <v>#NAME?</v>
      </c>
      <c r="Z1168" s="47" t="e">
        <f ca="1">_xlfn.XLOOKUP(PAA_4[[#This Row],[ITEM]],[2]Contrato!A:A,[2]Contrato!G:G,"",0)</f>
        <v>#NAME?</v>
      </c>
      <c r="AA1168" s="47" t="e">
        <f ca="1">_xlfn.XLOOKUP(PAA_4[[#This Row],[ITEM]],[2]Contrato!A:A,[2]Contrato!T:T,"",0)</f>
        <v>#NAME?</v>
      </c>
      <c r="AB1168" s="55" t="e">
        <f ca="1">+MAX(PAA_4[[#This Row],[Comprometido Contrato]],PAA_4[[#This Row],[Comprometido Bolsa]])</f>
        <v>#NAME?</v>
      </c>
      <c r="AC1168" s="55" t="str">
        <f t="shared" ca="1" si="423"/>
        <v/>
      </c>
      <c r="AD1168" s="55" t="e">
        <f ca="1">IF(PAA_4[[#This Row],[ESTADO (formulado)]]="NO CONTRATADO",0,MAX(PAA_4[[#This Row],[Pago por Contrato]],PAA_4[[#This Row],[Pago por bolsa]]))</f>
        <v>#NAME?</v>
      </c>
      <c r="AE1168" s="55" t="str">
        <f t="shared" ca="1" si="424"/>
        <v/>
      </c>
      <c r="AF1168" s="47" t="e">
        <f t="shared" ca="1" si="425"/>
        <v>#NAME?</v>
      </c>
      <c r="AG1168" s="47">
        <f t="shared" si="426"/>
        <v>44021011</v>
      </c>
      <c r="AH1168" s="54">
        <f>IF(Q1168="22",IF(ISNUMBER(SEARCH("econ",PAA_4[[#This Row],[Actividad3]])),"Económico",IF(ISNUMBER(SEARCH("alim",PAA_4[[#This Row],[Actividad3]])),"Alimentación",IF(ISNUMBER(SEARCH("educ",PAA_4[[#This Row],[Actividad3]])),"Educativo","Técnico"))),0)</f>
        <v>0</v>
      </c>
      <c r="AI1168" s="47" t="e" cm="1">
        <f t="array" aca="1" ref="AI1168" ca="1">_xlfn.XLOOKUP(PAA_4[[#This Row],[RCP-RUBRO]],[2]!COMPROMISOS_2024[[#All],[concatenado]],[2]!COMPROMISOS_2024[[#All],[Total pagado]],"",0)</f>
        <v>#NAME?</v>
      </c>
      <c r="AJ1168" s="56">
        <f>IF(PAA_4[[#This Row],[BOLSA]]=0,0,SUMIFS([2]!COMPROMISOS_2024[[#All],[Total pagado]],[2]!COMPROMISOS_2024[[#All],[Bolsa]],PAA_4[[#This Row],[BOLSA]],[2]!COMPROMISOS_2024[[#All],[rubro]],PAA_4[[#This Row],[RCP-RUBRO]]))</f>
        <v>0</v>
      </c>
      <c r="AK1168" s="47" t="e" cm="1">
        <f t="array" aca="1" ref="AK1168" ca="1">_xlfn.XLOOKUP(PAA_4[[#This Row],[RCP-RUBRO]],[2]!COMPROMISOS_2024[[#All],[concatenado]],[2]!COMPROMISOS_2024[[#All],[Total Comprometido]],"",0)</f>
        <v>#NAME?</v>
      </c>
      <c r="AL1168" s="47">
        <f>IF(PAA_4[[#This Row],[BOLSA]]=0,0,SUMIFS([2]!COMPROMISOS_2024[[#All],[Total Comprometido]],[2]!COMPROMISOS_2024[[#All],[Bolsa]],PAA_4[[#This Row],[BOLSA]],[2]!COMPROMISOS_2024[[#All],[concatenado]],PAA_4[[#This Row],[RCP-RUBRO]]))</f>
        <v>0</v>
      </c>
    </row>
    <row r="1169" spans="1:38" s="19" customFormat="1" ht="31.5" customHeight="1">
      <c r="A1169" s="47" t="s">
        <v>82</v>
      </c>
      <c r="B1169" s="47" t="s">
        <v>42</v>
      </c>
      <c r="C1169" s="47" t="str">
        <f>VLOOKUP(PAA_4[[#This Row],[PROYECTO (formulado)2]],[2]PROYECTOS!$G$1:$L$32,6,0)</f>
        <v>SUBGERENCIA DE FOMENTO Y DESARROLLO</v>
      </c>
      <c r="D1169" s="47" t="str">
        <f>+IF(PAA_4[[#This Row],[UNIDAD DE CONTRATACION (formulado)]]="Subgerencia Administrativa y Financiera","FUNCIONAMIENTO","INVERSIÓN")</f>
        <v>INVERSIÓN</v>
      </c>
      <c r="E1169" s="48" t="str">
        <f>VLOOKUP(Q1169,[2]PROYECTOS!$G$1:$K$32,5,0)</f>
        <v>CAPACITACION_PARA_EL_SECTOR_DEL_DEPORTE_LA_ACTIVIDAD_FISICA_LA_RECREACION_Y_LA_EDUCACION_FISICA_DE_ANTI</v>
      </c>
      <c r="F1169" s="48">
        <f>VLOOKUP(E1169,[2]PROYECTOS!$K$1:$M$32,3,0)</f>
        <v>2020003050024</v>
      </c>
      <c r="G1169" s="49" t="s">
        <v>337</v>
      </c>
      <c r="H1169" s="49" t="str">
        <f>VLOOKUP(Q1169,[2]PROYECTOS!$V$1:$W$32,2,0)</f>
        <v>050063</v>
      </c>
      <c r="I1169" s="50">
        <v>0</v>
      </c>
      <c r="J1169" s="51" t="s">
        <v>42</v>
      </c>
      <c r="K1169" s="47" t="str">
        <f t="shared" ca="1" si="420"/>
        <v>CONTRATADO</v>
      </c>
      <c r="L1169" s="47" t="s">
        <v>42</v>
      </c>
      <c r="M1169" s="47" t="s">
        <v>42</v>
      </c>
      <c r="N1169" s="52" t="s">
        <v>339</v>
      </c>
      <c r="O1169" s="51" t="e">
        <f>VLOOKUP(N1169,[2]!RUBROS[#All],3,0)</f>
        <v>#REF!</v>
      </c>
      <c r="P1169" s="53" t="e">
        <f>VLOOKUP(N1169,[2]!RUBROS[#All],2,0)</f>
        <v>#REF!</v>
      </c>
      <c r="Q1169" s="47" t="str">
        <f t="shared" si="421"/>
        <v>48</v>
      </c>
      <c r="R1169" s="47" t="str">
        <f t="shared" si="422"/>
        <v>0-205128</v>
      </c>
      <c r="S1169" s="54" t="s">
        <v>42</v>
      </c>
      <c r="T1169" s="59" t="s">
        <v>42</v>
      </c>
      <c r="U1169" s="326" t="e">
        <f ca="1">_xlfn.XLOOKUP(PAA_4[[#This Row],[ITEM]],[2]Contrato!A:A,[2]Contrato!Q:Q,"",0)</f>
        <v>#NAME?</v>
      </c>
      <c r="V1169" s="47" t="s">
        <v>42</v>
      </c>
      <c r="W1169" s="47" t="s">
        <v>42</v>
      </c>
      <c r="X1169" s="47" t="s">
        <v>42</v>
      </c>
      <c r="Y1169" s="55" t="e">
        <f ca="1">_xlfn.XLOOKUP(PAA_4[[#This Row],[ITEM]],[2]Contrato!A:A,[2]Contrato!B:B,"",0)</f>
        <v>#NAME?</v>
      </c>
      <c r="Z1169" s="47" t="e">
        <f ca="1">_xlfn.XLOOKUP(PAA_4[[#This Row],[ITEM]],[2]Contrato!A:A,[2]Contrato!G:G,"",0)</f>
        <v>#NAME?</v>
      </c>
      <c r="AA1169" s="47" t="e">
        <f ca="1">_xlfn.XLOOKUP(PAA_4[[#This Row],[ITEM]],[2]Contrato!A:A,[2]Contrato!T:T,"",0)</f>
        <v>#NAME?</v>
      </c>
      <c r="AB1169" s="55" t="e">
        <f ca="1">+MAX(PAA_4[[#This Row],[Comprometido Contrato]],PAA_4[[#This Row],[Comprometido Bolsa]])</f>
        <v>#NAME?</v>
      </c>
      <c r="AC1169" s="55" t="str">
        <f t="shared" ca="1" si="423"/>
        <v/>
      </c>
      <c r="AD1169" s="55" t="e">
        <f ca="1">IF(PAA_4[[#This Row],[ESTADO (formulado)]]="NO CONTRATADO",0,MAX(PAA_4[[#This Row],[Pago por Contrato]],PAA_4[[#This Row],[Pago por bolsa]]))</f>
        <v>#NAME?</v>
      </c>
      <c r="AE1169" s="55" t="str">
        <f t="shared" ca="1" si="424"/>
        <v/>
      </c>
      <c r="AF1169" s="47" t="e">
        <f t="shared" ca="1" si="425"/>
        <v>#NAME?</v>
      </c>
      <c r="AG1169" s="47">
        <f t="shared" si="426"/>
        <v>41080201</v>
      </c>
      <c r="AH1169" s="54">
        <f>IF(Q1169="22",IF(ISNUMBER(SEARCH("econ",PAA_4[[#This Row],[Actividad3]])),"Económico",IF(ISNUMBER(SEARCH("alim",PAA_4[[#This Row],[Actividad3]])),"Alimentación",IF(ISNUMBER(SEARCH("educ",PAA_4[[#This Row],[Actividad3]])),"Educativo","Técnico"))),0)</f>
        <v>0</v>
      </c>
      <c r="AI1169" s="47" t="e" cm="1">
        <f t="array" aca="1" ref="AI1169" ca="1">_xlfn.XLOOKUP(PAA_4[[#This Row],[RCP-RUBRO]],[2]!COMPROMISOS_2024[[#All],[concatenado]],[2]!COMPROMISOS_2024[[#All],[Total pagado]],"",0)</f>
        <v>#NAME?</v>
      </c>
      <c r="AJ1169" s="56">
        <f>IF(PAA_4[[#This Row],[BOLSA]]=0,0,SUMIFS([2]!COMPROMISOS_2024[[#All],[Total pagado]],[2]!COMPROMISOS_2024[[#All],[Bolsa]],PAA_4[[#This Row],[BOLSA]],[2]!COMPROMISOS_2024[[#All],[rubro]],PAA_4[[#This Row],[RCP-RUBRO]]))</f>
        <v>0</v>
      </c>
      <c r="AK1169" s="47" t="e" cm="1">
        <f t="array" aca="1" ref="AK1169" ca="1">_xlfn.XLOOKUP(PAA_4[[#This Row],[RCP-RUBRO]],[2]!COMPROMISOS_2024[[#All],[concatenado]],[2]!COMPROMISOS_2024[[#All],[Total Comprometido]],"",0)</f>
        <v>#NAME?</v>
      </c>
      <c r="AL1169" s="47">
        <f>IF(PAA_4[[#This Row],[BOLSA]]=0,0,SUMIFS([2]!COMPROMISOS_2024[[#All],[Total Comprometido]],[2]!COMPROMISOS_2024[[#All],[Bolsa]],PAA_4[[#This Row],[BOLSA]],[2]!COMPROMISOS_2024[[#All],[concatenado]],PAA_4[[#This Row],[RCP-RUBRO]]))</f>
        <v>0</v>
      </c>
    </row>
    <row r="1170" spans="1:38" s="19" customFormat="1" ht="31.5" customHeight="1">
      <c r="A1170" s="47">
        <v>983</v>
      </c>
      <c r="B1170" s="47">
        <v>80111600</v>
      </c>
      <c r="C1170" s="47" t="str">
        <f>VLOOKUP(PAA_4[[#This Row],[PROYECTO (formulado)2]],[2]PROYECTOS!$G$1:$L$32,6,0)</f>
        <v>SUBGERENCIA DE FOMENTO Y DESARROLLO</v>
      </c>
      <c r="D1170" s="47" t="str">
        <f>+IF(PAA_4[[#This Row],[UNIDAD DE CONTRATACION (formulado)]]="Subgerencia Administrativa y Financiera","FUNCIONAMIENTO","INVERSIÓN")</f>
        <v>INVERSIÓN</v>
      </c>
      <c r="E1170" s="48" t="str">
        <f>VLOOKUP(Q1170,[2]PROYECTOS!$G$1:$K$32,5,0)</f>
        <v>CAPACITACION_PARA_EL_SECTOR_DEL_DEPORTE_LA_ACTIVIDAD_FISICA_LA_RECREACION_Y_LA_EDUCACION_FISICA_DE_ANTI</v>
      </c>
      <c r="F1170" s="48">
        <f>VLOOKUP(E1170,[2]PROYECTOS!$K$1:$M$32,3,0)</f>
        <v>2020003050024</v>
      </c>
      <c r="G1170" s="49" t="s">
        <v>337</v>
      </c>
      <c r="H1170" s="49" t="str">
        <f>VLOOKUP(Q1170,[2]PROYECTOS!$V$1:$W$32,2,0)</f>
        <v>050063</v>
      </c>
      <c r="I1170" s="50">
        <f>3172166-122006-589698</f>
        <v>2460462</v>
      </c>
      <c r="J1170" s="51" t="s">
        <v>1856</v>
      </c>
      <c r="K1170" s="47" t="str">
        <f t="shared" ca="1" si="420"/>
        <v>CONTRATADO</v>
      </c>
      <c r="L1170" s="47" t="s">
        <v>94</v>
      </c>
      <c r="M1170" s="47" t="s">
        <v>1297</v>
      </c>
      <c r="N1170" s="52" t="s">
        <v>339</v>
      </c>
      <c r="O1170" s="51" t="e">
        <f>VLOOKUP(N1170,[2]!RUBROS[#All],3,0)</f>
        <v>#REF!</v>
      </c>
      <c r="P1170" s="53" t="e">
        <f>VLOOKUP(N1170,[2]!RUBROS[#All],2,0)</f>
        <v>#REF!</v>
      </c>
      <c r="Q1170" s="47" t="str">
        <f t="shared" si="421"/>
        <v>48</v>
      </c>
      <c r="R1170" s="47" t="str">
        <f t="shared" si="422"/>
        <v>0-205128</v>
      </c>
      <c r="S1170" s="54">
        <v>5</v>
      </c>
      <c r="T1170" s="59" t="s">
        <v>46</v>
      </c>
      <c r="U1170" s="326" t="e">
        <f ca="1">_xlfn.XLOOKUP(PAA_4[[#This Row],[ITEM]],[2]Contrato!A:A,[2]Contrato!Q:Q,"",0)</f>
        <v>#NAME?</v>
      </c>
      <c r="V1170" s="47" t="s">
        <v>47</v>
      </c>
      <c r="W1170" s="47" t="s">
        <v>193</v>
      </c>
      <c r="X1170" s="47" t="s">
        <v>193</v>
      </c>
      <c r="Y1170" s="55" t="e">
        <f ca="1">_xlfn.XLOOKUP(PAA_4[[#This Row],[ITEM]],[2]Contrato!A:A,[2]Contrato!B:B,"",0)</f>
        <v>#NAME?</v>
      </c>
      <c r="Z1170" s="47" t="e">
        <f ca="1">_xlfn.XLOOKUP(PAA_4[[#This Row],[ITEM]],[2]Contrato!A:A,[2]Contrato!G:G,"",0)</f>
        <v>#NAME?</v>
      </c>
      <c r="AA1170" s="47" t="e">
        <f ca="1">_xlfn.XLOOKUP(PAA_4[[#This Row],[ITEM]],[2]Contrato!A:A,[2]Contrato!T:T,"",0)</f>
        <v>#NAME?</v>
      </c>
      <c r="AB1170" s="55" t="e">
        <f ca="1">+MAX(PAA_4[[#This Row],[Comprometido Contrato]],PAA_4[[#This Row],[Comprometido Bolsa]])</f>
        <v>#NAME?</v>
      </c>
      <c r="AC1170" s="55" t="str">
        <f t="shared" ca="1" si="423"/>
        <v/>
      </c>
      <c r="AD1170" s="55" t="e">
        <f ca="1">IF(PAA_4[[#This Row],[ESTADO (formulado)]]="NO CONTRATADO",0,MAX(PAA_4[[#This Row],[Pago por Contrato]],PAA_4[[#This Row],[Pago por bolsa]]))</f>
        <v>#NAME?</v>
      </c>
      <c r="AE1170" s="55" t="str">
        <f t="shared" ca="1" si="424"/>
        <v/>
      </c>
      <c r="AF1170" s="47" t="e">
        <f t="shared" ca="1" si="425"/>
        <v>#NAME?</v>
      </c>
      <c r="AG1170" s="47">
        <f t="shared" si="426"/>
        <v>41080201</v>
      </c>
      <c r="AH1170" s="54">
        <f>IF(Q1170="22",IF(ISNUMBER(SEARCH("econ",PAA_4[[#This Row],[Actividad3]])),"Económico",IF(ISNUMBER(SEARCH("alim",PAA_4[[#This Row],[Actividad3]])),"Alimentación",IF(ISNUMBER(SEARCH("educ",PAA_4[[#This Row],[Actividad3]])),"Educativo","Técnico"))),0)</f>
        <v>0</v>
      </c>
      <c r="AI1170" s="47" t="e" cm="1">
        <f t="array" aca="1" ref="AI1170" ca="1">_xlfn.XLOOKUP(PAA_4[[#This Row],[RCP-RUBRO]],[2]!COMPROMISOS_2024[[#All],[concatenado]],[2]!COMPROMISOS_2024[[#All],[Total pagado]],"",0)</f>
        <v>#NAME?</v>
      </c>
      <c r="AJ1170" s="56">
        <f>IF(PAA_4[[#This Row],[BOLSA]]=0,0,SUMIFS([2]!COMPROMISOS_2024[[#All],[Total pagado]],[2]!COMPROMISOS_2024[[#All],[Bolsa]],PAA_4[[#This Row],[BOLSA]],[2]!COMPROMISOS_2024[[#All],[rubro]],PAA_4[[#This Row],[RCP-RUBRO]]))</f>
        <v>0</v>
      </c>
      <c r="AK1170" s="47" t="e" cm="1">
        <f t="array" aca="1" ref="AK1170" ca="1">_xlfn.XLOOKUP(PAA_4[[#This Row],[RCP-RUBRO]],[2]!COMPROMISOS_2024[[#All],[concatenado]],[2]!COMPROMISOS_2024[[#All],[Total Comprometido]],"",0)</f>
        <v>#NAME?</v>
      </c>
      <c r="AL1170" s="47">
        <f>IF(PAA_4[[#This Row],[BOLSA]]=0,0,SUMIFS([2]!COMPROMISOS_2024[[#All],[Total Comprometido]],[2]!COMPROMISOS_2024[[#All],[Bolsa]],PAA_4[[#This Row],[BOLSA]],[2]!COMPROMISOS_2024[[#All],[concatenado]],PAA_4[[#This Row],[RCP-RUBRO]]))</f>
        <v>0</v>
      </c>
    </row>
    <row r="1171" spans="1:38" s="19" customFormat="1" ht="31.5" customHeight="1">
      <c r="A1171" s="47">
        <v>382</v>
      </c>
      <c r="B1171" s="47">
        <v>80111600</v>
      </c>
      <c r="C1171" s="47" t="str">
        <f>VLOOKUP(PAA_4[[#This Row],[PROYECTO (formulado)2]],[2]PROYECTOS!$G$1:$L$32,6,0)</f>
        <v>SUBGERENCIA DE FOMENTO Y DESARROLLO</v>
      </c>
      <c r="D1171" s="47" t="str">
        <f>+IF(PAA_4[[#This Row],[UNIDAD DE CONTRATACION (formulado)]]="Subgerencia Administrativa y Financiera","FUNCIONAMIENTO","INVERSIÓN")</f>
        <v>INVERSIÓN</v>
      </c>
      <c r="E1171" s="48" t="str">
        <f>VLOOKUP(Q1171,[2]PROYECTOS!$G$1:$K$32,5,0)</f>
        <v>FORTALECIMIENTO_DEL_PROGRAMA_POR_SU_SALUD_MUÉVASE_PUES_EN_LOS_MUNICIPIO_DEL_DEPARTAMENTO_DE_ANTIOQUIA</v>
      </c>
      <c r="F1171" s="48">
        <f>VLOOKUP(E1171,[2]PROYECTOS!$K$1:$M$32,3,0)</f>
        <v>2020003050030</v>
      </c>
      <c r="G1171" s="49" t="s">
        <v>326</v>
      </c>
      <c r="H1171" s="49" t="str">
        <f>VLOOKUP(Q1171,[2]PROYECTOS!$V$1:$W$32,2,0)</f>
        <v>050055</v>
      </c>
      <c r="I1171" s="50">
        <v>0</v>
      </c>
      <c r="J1171" s="51" t="s">
        <v>357</v>
      </c>
      <c r="K1171" s="47" t="str">
        <f t="shared" ca="1" si="420"/>
        <v>CONTRATADO</v>
      </c>
      <c r="L1171" s="47" t="s">
        <v>94</v>
      </c>
      <c r="M1171" s="47" t="s">
        <v>1297</v>
      </c>
      <c r="N1171" s="51" t="s">
        <v>329</v>
      </c>
      <c r="O1171" s="51" t="e">
        <f>VLOOKUP(N1171,[2]!RUBROS[#All],3,0)</f>
        <v>#REF!</v>
      </c>
      <c r="P1171" s="53" t="e">
        <f>VLOOKUP(N1171,[2]!RUBROS[#All],2,0)</f>
        <v>#REF!</v>
      </c>
      <c r="Q1171" s="47" t="str">
        <f t="shared" si="421"/>
        <v>45</v>
      </c>
      <c r="R1171" s="47" t="str">
        <f t="shared" si="422"/>
        <v>0-205128</v>
      </c>
      <c r="S1171" s="54">
        <v>5</v>
      </c>
      <c r="T1171" s="59" t="s">
        <v>46</v>
      </c>
      <c r="U1171" s="326" t="e">
        <f ca="1">_xlfn.XLOOKUP(PAA_4[[#This Row],[ITEM]],[2]Contrato!A:A,[2]Contrato!Q:Q,"",0)</f>
        <v>#NAME?</v>
      </c>
      <c r="V1171" s="47" t="s">
        <v>47</v>
      </c>
      <c r="W1171" s="47" t="s">
        <v>193</v>
      </c>
      <c r="X1171" s="47" t="s">
        <v>193</v>
      </c>
      <c r="Y1171" s="55" t="e">
        <f ca="1">_xlfn.XLOOKUP(PAA_4[[#This Row],[ITEM]],[2]Contrato!A:A,[2]Contrato!B:B,"",0)</f>
        <v>#NAME?</v>
      </c>
      <c r="Z1171" s="47" t="e">
        <f ca="1">_xlfn.XLOOKUP(PAA_4[[#This Row],[ITEM]],[2]Contrato!A:A,[2]Contrato!G:G,"",0)</f>
        <v>#NAME?</v>
      </c>
      <c r="AA1171" s="47" t="e">
        <f ca="1">_xlfn.XLOOKUP(PAA_4[[#This Row],[ITEM]],[2]Contrato!A:A,[2]Contrato!T:T,"",0)</f>
        <v>#NAME?</v>
      </c>
      <c r="AB1171" s="55" t="e">
        <f ca="1">+MAX(PAA_4[[#This Row],[Comprometido Contrato]],PAA_4[[#This Row],[Comprometido Bolsa]])</f>
        <v>#NAME?</v>
      </c>
      <c r="AC1171" s="55" t="str">
        <f t="shared" ca="1" si="423"/>
        <v/>
      </c>
      <c r="AD1171" s="55" t="e">
        <f ca="1">IF(PAA_4[[#This Row],[ESTADO (formulado)]]="NO CONTRATADO",0,MAX(PAA_4[[#This Row],[Pago por Contrato]],PAA_4[[#This Row],[Pago por bolsa]]))</f>
        <v>#NAME?</v>
      </c>
      <c r="AE1171" s="55" t="str">
        <f t="shared" ca="1" si="424"/>
        <v/>
      </c>
      <c r="AF1171" s="47" t="e">
        <f t="shared" ca="1" si="425"/>
        <v>#NAME?</v>
      </c>
      <c r="AG1171" s="47">
        <f t="shared" si="426"/>
        <v>44021001</v>
      </c>
      <c r="AH1171" s="54">
        <f>IF(Q1171="22",IF(ISNUMBER(SEARCH("econ",PAA_4[[#This Row],[Actividad3]])),"Económico",IF(ISNUMBER(SEARCH("alim",PAA_4[[#This Row],[Actividad3]])),"Alimentación",IF(ISNUMBER(SEARCH("educ",PAA_4[[#This Row],[Actividad3]])),"Educativo","Técnico"))),0)</f>
        <v>0</v>
      </c>
      <c r="AI1171" s="47" t="e" cm="1">
        <f t="array" aca="1" ref="AI1171" ca="1">_xlfn.XLOOKUP(PAA_4[[#This Row],[RCP-RUBRO]],[2]!COMPROMISOS_2024[[#All],[concatenado]],[2]!COMPROMISOS_2024[[#All],[Total pagado]],"",0)</f>
        <v>#NAME?</v>
      </c>
      <c r="AJ1171" s="56">
        <f>IF(PAA_4[[#This Row],[BOLSA]]=0,0,SUMIFS([2]!COMPROMISOS_2024[[#All],[Total pagado]],[2]!COMPROMISOS_2024[[#All],[Bolsa]],PAA_4[[#This Row],[BOLSA]],[2]!COMPROMISOS_2024[[#All],[rubro]],PAA_4[[#This Row],[RCP-RUBRO]]))</f>
        <v>0</v>
      </c>
      <c r="AK1171" s="47" t="e" cm="1">
        <f t="array" aca="1" ref="AK1171" ca="1">_xlfn.XLOOKUP(PAA_4[[#This Row],[RCP-RUBRO]],[2]!COMPROMISOS_2024[[#All],[concatenado]],[2]!COMPROMISOS_2024[[#All],[Total Comprometido]],"",0)</f>
        <v>#NAME?</v>
      </c>
      <c r="AL1171" s="47">
        <f>IF(PAA_4[[#This Row],[BOLSA]]=0,0,SUMIFS([2]!COMPROMISOS_2024[[#All],[Total Comprometido]],[2]!COMPROMISOS_2024[[#All],[Bolsa]],PAA_4[[#This Row],[BOLSA]],[2]!COMPROMISOS_2024[[#All],[concatenado]],PAA_4[[#This Row],[RCP-RUBRO]]))</f>
        <v>0</v>
      </c>
    </row>
    <row r="1172" spans="1:38" s="19" customFormat="1" ht="31.5" customHeight="1">
      <c r="A1172" s="47">
        <v>535</v>
      </c>
      <c r="B1172" s="47" t="s">
        <v>42</v>
      </c>
      <c r="C1172" s="47" t="str">
        <f>VLOOKUP(PAA_4[[#This Row],[PROYECTO (formulado)2]],[2]PROYECTOS!$G$1:$L$32,6,0)</f>
        <v>SUBGERENCIA DE FOMENTO Y DESARROLLO</v>
      </c>
      <c r="D1172" s="47" t="str">
        <f>+IF(PAA_4[[#This Row],[UNIDAD DE CONTRATACION (formulado)]]="Subgerencia Administrativa y Financiera","FUNCIONAMIENTO","INVERSIÓN")</f>
        <v>INVERSIÓN</v>
      </c>
      <c r="E1172" s="48" t="str">
        <f>VLOOKUP(Q1172,[2]PROYECTOS!$G$1:$K$32,5,0)</f>
        <v>FORTALECIMIENTO_DEL_PROGRAMA_POR_SU_SALUD_MUÉVASE_PUES_EN_LOS_MUNICIPIO_DEL_DEPARTAMENTO_DE_ANTIOQUIA</v>
      </c>
      <c r="F1172" s="48">
        <f>VLOOKUP(E1172,[2]PROYECTOS!$K$1:$M$32,3,0)</f>
        <v>2020003050030</v>
      </c>
      <c r="G1172" s="49" t="s">
        <v>326</v>
      </c>
      <c r="H1172" s="49" t="str">
        <f>VLOOKUP(Q1172,[2]PROYECTOS!$V$1:$W$32,2,0)</f>
        <v>050055</v>
      </c>
      <c r="I1172" s="50">
        <v>8422399</v>
      </c>
      <c r="J1172" s="51" t="s">
        <v>358</v>
      </c>
      <c r="K1172" s="47" t="str">
        <f t="shared" ca="1" si="420"/>
        <v>CONTRATADO</v>
      </c>
      <c r="L1172" s="47" t="s">
        <v>94</v>
      </c>
      <c r="M1172" s="47" t="s">
        <v>1297</v>
      </c>
      <c r="N1172" s="51" t="s">
        <v>329</v>
      </c>
      <c r="O1172" s="51" t="e">
        <f>VLOOKUP(N1172,[2]!RUBROS[#All],3,0)</f>
        <v>#REF!</v>
      </c>
      <c r="P1172" s="53" t="e">
        <f>VLOOKUP(N1172,[2]!RUBROS[#All],2,0)</f>
        <v>#REF!</v>
      </c>
      <c r="Q1172" s="47" t="str">
        <f t="shared" si="421"/>
        <v>45</v>
      </c>
      <c r="R1172" s="47" t="str">
        <f t="shared" si="422"/>
        <v>0-205128</v>
      </c>
      <c r="S1172" s="54">
        <v>6</v>
      </c>
      <c r="T1172" s="59" t="s">
        <v>46</v>
      </c>
      <c r="U1172" s="326" t="e">
        <f ca="1">_xlfn.XLOOKUP(PAA_4[[#This Row],[ITEM]],[2]Contrato!A:A,[2]Contrato!Q:Q,"",0)</f>
        <v>#NAME?</v>
      </c>
      <c r="V1172" s="47" t="s">
        <v>47</v>
      </c>
      <c r="W1172" s="47" t="s">
        <v>91</v>
      </c>
      <c r="X1172" s="47" t="s">
        <v>92</v>
      </c>
      <c r="Y1172" s="55" t="e">
        <f ca="1">_xlfn.XLOOKUP(PAA_4[[#This Row],[ITEM]],[2]Contrato!A:A,[2]Contrato!B:B,"",0)</f>
        <v>#NAME?</v>
      </c>
      <c r="Z1172" s="47" t="e">
        <f ca="1">_xlfn.XLOOKUP(PAA_4[[#This Row],[ITEM]],[2]Contrato!A:A,[2]Contrato!G:G,"",0)</f>
        <v>#NAME?</v>
      </c>
      <c r="AA1172" s="47" t="e">
        <f ca="1">_xlfn.XLOOKUP(PAA_4[[#This Row],[ITEM]],[2]Contrato!A:A,[2]Contrato!T:T,"",0)</f>
        <v>#NAME?</v>
      </c>
      <c r="AB1172" s="55" t="e">
        <f ca="1">+MAX(PAA_4[[#This Row],[Comprometido Contrato]],PAA_4[[#This Row],[Comprometido Bolsa]])</f>
        <v>#NAME?</v>
      </c>
      <c r="AC1172" s="55" t="str">
        <f t="shared" ca="1" si="423"/>
        <v/>
      </c>
      <c r="AD1172" s="55" t="e">
        <f ca="1">IF(PAA_4[[#This Row],[ESTADO (formulado)]]="NO CONTRATADO",0,MAX(PAA_4[[#This Row],[Pago por Contrato]],PAA_4[[#This Row],[Pago por bolsa]]))</f>
        <v>#NAME?</v>
      </c>
      <c r="AE1172" s="55" t="str">
        <f t="shared" ca="1" si="424"/>
        <v/>
      </c>
      <c r="AF1172" s="47" t="e">
        <f t="shared" ca="1" si="425"/>
        <v>#NAME?</v>
      </c>
      <c r="AG1172" s="47">
        <f t="shared" si="426"/>
        <v>44021001</v>
      </c>
      <c r="AH1172" s="54">
        <f>IF(Q1172="22",IF(ISNUMBER(SEARCH("econ",PAA_4[[#This Row],[Actividad3]])),"Económico",IF(ISNUMBER(SEARCH("alim",PAA_4[[#This Row],[Actividad3]])),"Alimentación",IF(ISNUMBER(SEARCH("educ",PAA_4[[#This Row],[Actividad3]])),"Educativo","Técnico"))),0)</f>
        <v>0</v>
      </c>
      <c r="AI1172" s="47" t="e" cm="1">
        <f t="array" aca="1" ref="AI1172" ca="1">_xlfn.XLOOKUP(PAA_4[[#This Row],[RCP-RUBRO]],[2]!COMPROMISOS_2024[[#All],[concatenado]],[2]!COMPROMISOS_2024[[#All],[Total pagado]],"",0)</f>
        <v>#NAME?</v>
      </c>
      <c r="AJ1172" s="56">
        <f>IF(PAA_4[[#This Row],[BOLSA]]=0,0,SUMIFS([2]!COMPROMISOS_2024[[#All],[Total pagado]],[2]!COMPROMISOS_2024[[#All],[Bolsa]],PAA_4[[#This Row],[BOLSA]],[2]!COMPROMISOS_2024[[#All],[rubro]],PAA_4[[#This Row],[RCP-RUBRO]]))</f>
        <v>0</v>
      </c>
      <c r="AK1172" s="47" t="e" cm="1">
        <f t="array" aca="1" ref="AK1172" ca="1">_xlfn.XLOOKUP(PAA_4[[#This Row],[RCP-RUBRO]],[2]!COMPROMISOS_2024[[#All],[concatenado]],[2]!COMPROMISOS_2024[[#All],[Total Comprometido]],"",0)</f>
        <v>#NAME?</v>
      </c>
      <c r="AL1172" s="47">
        <f>IF(PAA_4[[#This Row],[BOLSA]]=0,0,SUMIFS([2]!COMPROMISOS_2024[[#All],[Total Comprometido]],[2]!COMPROMISOS_2024[[#All],[Bolsa]],PAA_4[[#This Row],[BOLSA]],[2]!COMPROMISOS_2024[[#All],[concatenado]],PAA_4[[#This Row],[RCP-RUBRO]]))</f>
        <v>0</v>
      </c>
    </row>
    <row r="1173" spans="1:38" s="19" customFormat="1" ht="31.5" customHeight="1">
      <c r="A1173" s="47">
        <v>535</v>
      </c>
      <c r="B1173" s="47" t="s">
        <v>42</v>
      </c>
      <c r="C1173" s="47" t="str">
        <f>VLOOKUP(PAA_4[[#This Row],[PROYECTO (formulado)2]],[2]PROYECTOS!$G$1:$L$32,6,0)</f>
        <v>SUBGERENCIA DE FOMENTO Y DESARROLLO</v>
      </c>
      <c r="D1173" s="47" t="str">
        <f>+IF(PAA_4[[#This Row],[UNIDAD DE CONTRATACION (formulado)]]="Subgerencia Administrativa y Financiera","FUNCIONAMIENTO","INVERSIÓN")</f>
        <v>INVERSIÓN</v>
      </c>
      <c r="E1173" s="48" t="str">
        <f>VLOOKUP(Q1173,[2]PROYECTOS!$G$1:$K$32,5,0)</f>
        <v>FORTALECIMIENTO_DE_LAS_ESCUELAS_DEPORTIVAS_EN_LOS_MUNICIPIOS_DEL_DEPARTAMENTO_DE_ANTIOQUIA</v>
      </c>
      <c r="F1173" s="48">
        <f>VLOOKUP(E1173,[2]PROYECTOS!$K$1:$M$32,3,0)</f>
        <v>2020003050032</v>
      </c>
      <c r="G1173" s="49" t="s">
        <v>333</v>
      </c>
      <c r="H1173" s="49" t="str">
        <f>VLOOKUP(Q1173,[2]PROYECTOS!$V$1:$W$32,2,0)</f>
        <v>050059</v>
      </c>
      <c r="I1173" s="50">
        <v>8265826</v>
      </c>
      <c r="J1173" s="51" t="s">
        <v>358</v>
      </c>
      <c r="K1173" s="47" t="str">
        <f t="shared" ca="1" si="420"/>
        <v>CONTRATADO</v>
      </c>
      <c r="L1173" s="47" t="s">
        <v>94</v>
      </c>
      <c r="M1173" s="47" t="s">
        <v>1297</v>
      </c>
      <c r="N1173" s="51" t="s">
        <v>334</v>
      </c>
      <c r="O1173" s="51" t="e">
        <f>VLOOKUP(N1173,[2]!RUBROS[#All],3,0)</f>
        <v>#REF!</v>
      </c>
      <c r="P1173" s="53" t="e">
        <f>VLOOKUP(N1173,[2]!RUBROS[#All],2,0)</f>
        <v>#REF!</v>
      </c>
      <c r="Q1173" s="47" t="str">
        <f t="shared" si="421"/>
        <v>46</v>
      </c>
      <c r="R1173" s="47" t="str">
        <f t="shared" si="422"/>
        <v>0-205128</v>
      </c>
      <c r="S1173" s="54">
        <v>6</v>
      </c>
      <c r="T1173" s="59" t="s">
        <v>46</v>
      </c>
      <c r="U1173" s="326" t="e">
        <f ca="1">_xlfn.XLOOKUP(PAA_4[[#This Row],[ITEM]],[2]Contrato!A:A,[2]Contrato!Q:Q,"",0)</f>
        <v>#NAME?</v>
      </c>
      <c r="V1173" s="47" t="s">
        <v>47</v>
      </c>
      <c r="W1173" s="47" t="s">
        <v>91</v>
      </c>
      <c r="X1173" s="47" t="s">
        <v>92</v>
      </c>
      <c r="Y1173" s="55" t="e">
        <f ca="1">_xlfn.XLOOKUP(PAA_4[[#This Row],[ITEM]],[2]Contrato!A:A,[2]Contrato!B:B,"",0)</f>
        <v>#NAME?</v>
      </c>
      <c r="Z1173" s="47" t="e">
        <f ca="1">_xlfn.XLOOKUP(PAA_4[[#This Row],[ITEM]],[2]Contrato!A:A,[2]Contrato!G:G,"",0)</f>
        <v>#NAME?</v>
      </c>
      <c r="AA1173" s="47" t="e">
        <f ca="1">_xlfn.XLOOKUP(PAA_4[[#This Row],[ITEM]],[2]Contrato!A:A,[2]Contrato!T:T,"",0)</f>
        <v>#NAME?</v>
      </c>
      <c r="AB1173" s="55" t="e">
        <f ca="1">+MAX(PAA_4[[#This Row],[Comprometido Contrato]],PAA_4[[#This Row],[Comprometido Bolsa]])</f>
        <v>#NAME?</v>
      </c>
      <c r="AC1173" s="55" t="str">
        <f t="shared" ca="1" si="423"/>
        <v/>
      </c>
      <c r="AD1173" s="55" t="e">
        <f ca="1">IF(PAA_4[[#This Row],[ESTADO (formulado)]]="NO CONTRATADO",0,MAX(PAA_4[[#This Row],[Pago por Contrato]],PAA_4[[#This Row],[Pago por bolsa]]))</f>
        <v>#NAME?</v>
      </c>
      <c r="AE1173" s="55" t="str">
        <f t="shared" ca="1" si="424"/>
        <v/>
      </c>
      <c r="AF1173" s="47" t="e">
        <f t="shared" ca="1" si="425"/>
        <v>#NAME?</v>
      </c>
      <c r="AG1173" s="47">
        <f t="shared" si="426"/>
        <v>44021007</v>
      </c>
      <c r="AH1173" s="54">
        <f>IF(Q1173="22",IF(ISNUMBER(SEARCH("econ",PAA_4[[#This Row],[Actividad3]])),"Económico",IF(ISNUMBER(SEARCH("alim",PAA_4[[#This Row],[Actividad3]])),"Alimentación",IF(ISNUMBER(SEARCH("educ",PAA_4[[#This Row],[Actividad3]])),"Educativo","Técnico"))),0)</f>
        <v>0</v>
      </c>
      <c r="AI1173" s="47" t="e" cm="1">
        <f t="array" aca="1" ref="AI1173" ca="1">_xlfn.XLOOKUP(PAA_4[[#This Row],[RCP-RUBRO]],[2]!COMPROMISOS_2024[[#All],[concatenado]],[2]!COMPROMISOS_2024[[#All],[Total pagado]],"",0)</f>
        <v>#NAME?</v>
      </c>
      <c r="AJ1173" s="56">
        <f>IF(PAA_4[[#This Row],[BOLSA]]=0,0,SUMIFS([2]!COMPROMISOS_2024[[#All],[Total pagado]],[2]!COMPROMISOS_2024[[#All],[Bolsa]],PAA_4[[#This Row],[BOLSA]],[2]!COMPROMISOS_2024[[#All],[rubro]],PAA_4[[#This Row],[RCP-RUBRO]]))</f>
        <v>0</v>
      </c>
      <c r="AK1173" s="47" t="e" cm="1">
        <f t="array" aca="1" ref="AK1173" ca="1">_xlfn.XLOOKUP(PAA_4[[#This Row],[RCP-RUBRO]],[2]!COMPROMISOS_2024[[#All],[concatenado]],[2]!COMPROMISOS_2024[[#All],[Total Comprometido]],"",0)</f>
        <v>#NAME?</v>
      </c>
      <c r="AL1173" s="47">
        <f>IF(PAA_4[[#This Row],[BOLSA]]=0,0,SUMIFS([2]!COMPROMISOS_2024[[#All],[Total Comprometido]],[2]!COMPROMISOS_2024[[#All],[Bolsa]],PAA_4[[#This Row],[BOLSA]],[2]!COMPROMISOS_2024[[#All],[concatenado]],PAA_4[[#This Row],[RCP-RUBRO]]))</f>
        <v>0</v>
      </c>
    </row>
    <row r="1174" spans="1:38" s="19" customFormat="1" ht="31.5" customHeight="1">
      <c r="A1174" s="47">
        <v>535</v>
      </c>
      <c r="B1174" s="47" t="s">
        <v>42</v>
      </c>
      <c r="C1174" s="47" t="str">
        <f>VLOOKUP(PAA_4[[#This Row],[PROYECTO (formulado)2]],[2]PROYECTOS!$G$1:$L$32,6,0)</f>
        <v>SUBGERENCIA DE FOMENTO Y DESARROLLO</v>
      </c>
      <c r="D1174" s="47" t="str">
        <f>+IF(PAA_4[[#This Row],[UNIDAD DE CONTRATACION (formulado)]]="Subgerencia Administrativa y Financiera","FUNCIONAMIENTO","INVERSIÓN")</f>
        <v>INVERSIÓN</v>
      </c>
      <c r="E1174" s="48" t="str">
        <f>VLOOKUP(Q1174,[2]PROYECTOS!$G$1:$K$32,5,0)</f>
        <v>FORTALECIMIENTO_DE_LOS_PROGRAMAS_RECREATIVOS_EN_LOS_MUNICIPIOS_DEL_DEPARTAMENTO_DE_ANTIOQUIA</v>
      </c>
      <c r="F1174" s="48">
        <f>VLOOKUP(E1174,[2]PROYECTOS!$K$1:$M$32,3,0)</f>
        <v>2020003050031</v>
      </c>
      <c r="G1174" s="49" t="s">
        <v>335</v>
      </c>
      <c r="H1174" s="49" t="str">
        <f>VLOOKUP(Q1174,[2]PROYECTOS!$V$1:$W$32,2,0)</f>
        <v>050064</v>
      </c>
      <c r="I1174" s="50">
        <v>8233742</v>
      </c>
      <c r="J1174" s="51" t="s">
        <v>358</v>
      </c>
      <c r="K1174" s="47" t="str">
        <f t="shared" ca="1" si="420"/>
        <v>CONTRATADO</v>
      </c>
      <c r="L1174" s="47" t="s">
        <v>94</v>
      </c>
      <c r="M1174" s="47" t="s">
        <v>1297</v>
      </c>
      <c r="N1174" s="51" t="s">
        <v>336</v>
      </c>
      <c r="O1174" s="51" t="e">
        <f>VLOOKUP(N1174,[2]!RUBROS[#All],3,0)</f>
        <v>#REF!</v>
      </c>
      <c r="P1174" s="53" t="e">
        <f>VLOOKUP(N1174,[2]!RUBROS[#All],2,0)</f>
        <v>#REF!</v>
      </c>
      <c r="Q1174" s="47" t="str">
        <f t="shared" si="421"/>
        <v>47</v>
      </c>
      <c r="R1174" s="47" t="str">
        <f t="shared" si="422"/>
        <v>0-205128</v>
      </c>
      <c r="S1174" s="54">
        <v>6</v>
      </c>
      <c r="T1174" s="59" t="s">
        <v>46</v>
      </c>
      <c r="U1174" s="326" t="e">
        <f ca="1">_xlfn.XLOOKUP(PAA_4[[#This Row],[ITEM]],[2]Contrato!A:A,[2]Contrato!Q:Q,"",0)</f>
        <v>#NAME?</v>
      </c>
      <c r="V1174" s="47" t="s">
        <v>47</v>
      </c>
      <c r="W1174" s="47" t="s">
        <v>91</v>
      </c>
      <c r="X1174" s="47" t="s">
        <v>92</v>
      </c>
      <c r="Y1174" s="55" t="e">
        <f ca="1">_xlfn.XLOOKUP(PAA_4[[#This Row],[ITEM]],[2]Contrato!A:A,[2]Contrato!B:B,"",0)</f>
        <v>#NAME?</v>
      </c>
      <c r="Z1174" s="47" t="e">
        <f ca="1">_xlfn.XLOOKUP(PAA_4[[#This Row],[ITEM]],[2]Contrato!A:A,[2]Contrato!G:G,"",0)</f>
        <v>#NAME?</v>
      </c>
      <c r="AA1174" s="47" t="e">
        <f ca="1">_xlfn.XLOOKUP(PAA_4[[#This Row],[ITEM]],[2]Contrato!A:A,[2]Contrato!T:T,"",0)</f>
        <v>#NAME?</v>
      </c>
      <c r="AB1174" s="55" t="e">
        <f ca="1">+MAX(PAA_4[[#This Row],[Comprometido Contrato]],PAA_4[[#This Row],[Comprometido Bolsa]])</f>
        <v>#NAME?</v>
      </c>
      <c r="AC1174" s="55" t="str">
        <f t="shared" ca="1" si="423"/>
        <v/>
      </c>
      <c r="AD1174" s="55" t="e">
        <f ca="1">IF(PAA_4[[#This Row],[ESTADO (formulado)]]="NO CONTRATADO",0,MAX(PAA_4[[#This Row],[Pago por Contrato]],PAA_4[[#This Row],[Pago por bolsa]]))</f>
        <v>#NAME?</v>
      </c>
      <c r="AE1174" s="55" t="str">
        <f t="shared" ca="1" si="424"/>
        <v/>
      </c>
      <c r="AF1174" s="47" t="e">
        <f t="shared" ca="1" si="425"/>
        <v>#NAME?</v>
      </c>
      <c r="AG1174" s="47">
        <f t="shared" si="426"/>
        <v>44021004</v>
      </c>
      <c r="AH1174" s="54">
        <f>IF(Q1174="22",IF(ISNUMBER(SEARCH("econ",PAA_4[[#This Row],[Actividad3]])),"Económico",IF(ISNUMBER(SEARCH("alim",PAA_4[[#This Row],[Actividad3]])),"Alimentación",IF(ISNUMBER(SEARCH("educ",PAA_4[[#This Row],[Actividad3]])),"Educativo","Técnico"))),0)</f>
        <v>0</v>
      </c>
      <c r="AI1174" s="47" t="e" cm="1">
        <f t="array" aca="1" ref="AI1174" ca="1">_xlfn.XLOOKUP(PAA_4[[#This Row],[RCP-RUBRO]],[2]!COMPROMISOS_2024[[#All],[concatenado]],[2]!COMPROMISOS_2024[[#All],[Total pagado]],"",0)</f>
        <v>#NAME?</v>
      </c>
      <c r="AJ1174" s="56">
        <f>IF(PAA_4[[#This Row],[BOLSA]]=0,0,SUMIFS([2]!COMPROMISOS_2024[[#All],[Total pagado]],[2]!COMPROMISOS_2024[[#All],[Bolsa]],PAA_4[[#This Row],[BOLSA]],[2]!COMPROMISOS_2024[[#All],[rubro]],PAA_4[[#This Row],[RCP-RUBRO]]))</f>
        <v>0</v>
      </c>
      <c r="AK1174" s="47" t="e" cm="1">
        <f t="array" aca="1" ref="AK1174" ca="1">_xlfn.XLOOKUP(PAA_4[[#This Row],[RCP-RUBRO]],[2]!COMPROMISOS_2024[[#All],[concatenado]],[2]!COMPROMISOS_2024[[#All],[Total Comprometido]],"",0)</f>
        <v>#NAME?</v>
      </c>
      <c r="AL1174" s="47">
        <f>IF(PAA_4[[#This Row],[BOLSA]]=0,0,SUMIFS([2]!COMPROMISOS_2024[[#All],[Total Comprometido]],[2]!COMPROMISOS_2024[[#All],[Bolsa]],PAA_4[[#This Row],[BOLSA]],[2]!COMPROMISOS_2024[[#All],[concatenado]],PAA_4[[#This Row],[RCP-RUBRO]]))</f>
        <v>0</v>
      </c>
    </row>
    <row r="1175" spans="1:38" s="19" customFormat="1" ht="31.5" customHeight="1">
      <c r="A1175" s="47">
        <v>535</v>
      </c>
      <c r="B1175" s="47" t="s">
        <v>42</v>
      </c>
      <c r="C1175" s="47" t="str">
        <f>VLOOKUP(PAA_4[[#This Row],[PROYECTO (formulado)2]],[2]PROYECTOS!$G$1:$L$32,6,0)</f>
        <v>SUBGERENCIA DE FOMENTO Y DESARROLLO</v>
      </c>
      <c r="D1175" s="47" t="str">
        <f>+IF(PAA_4[[#This Row],[UNIDAD DE CONTRATACION (formulado)]]="Subgerencia Administrativa y Financiera","FUNCIONAMIENTO","INVERSIÓN")</f>
        <v>INVERSIÓN</v>
      </c>
      <c r="E1175" s="48" t="str">
        <f>VLOOKUP(Q1175,[2]PROYECTOS!$G$1:$K$32,5,0)</f>
        <v>FORTALECIMIENTO_DE_LOS_JUEGOS_DEL_SECTOR_SOCIAL_COMUNITARIO_EN_LOS_MUNICIPIOS_DEL_DEPARTAMENTO_DE_ANTIOQU</v>
      </c>
      <c r="F1175" s="48">
        <f>VLOOKUP(E1175,[2]PROYECTOS!$K$1:$M$32,3,0)</f>
        <v>2020003050033</v>
      </c>
      <c r="G1175" s="49" t="s">
        <v>342</v>
      </c>
      <c r="H1175" s="49" t="str">
        <f>VLOOKUP(Q1175,[2]PROYECTOS!$V$1:$W$32,2,0)</f>
        <v>050057</v>
      </c>
      <c r="I1175" s="50">
        <v>14141134</v>
      </c>
      <c r="J1175" s="51" t="s">
        <v>358</v>
      </c>
      <c r="K1175" s="47" t="str">
        <f t="shared" ca="1" si="420"/>
        <v>CONTRATADO</v>
      </c>
      <c r="L1175" s="47" t="s">
        <v>94</v>
      </c>
      <c r="M1175" s="47" t="s">
        <v>1297</v>
      </c>
      <c r="N1175" s="51" t="s">
        <v>343</v>
      </c>
      <c r="O1175" s="51" t="e">
        <f>VLOOKUP(N1175,[2]!RUBROS[#All],3,0)</f>
        <v>#REF!</v>
      </c>
      <c r="P1175" s="53" t="e">
        <f>VLOOKUP(N1175,[2]!RUBROS[#All],2,0)</f>
        <v>#REF!</v>
      </c>
      <c r="Q1175" s="47" t="str">
        <f t="shared" si="421"/>
        <v>50</v>
      </c>
      <c r="R1175" s="47" t="str">
        <f t="shared" si="422"/>
        <v>0-205128</v>
      </c>
      <c r="S1175" s="54">
        <v>6</v>
      </c>
      <c r="T1175" s="59" t="s">
        <v>46</v>
      </c>
      <c r="U1175" s="326" t="e">
        <f ca="1">_xlfn.XLOOKUP(PAA_4[[#This Row],[ITEM]],[2]Contrato!A:A,[2]Contrato!Q:Q,"",0)</f>
        <v>#NAME?</v>
      </c>
      <c r="V1175" s="47" t="s">
        <v>47</v>
      </c>
      <c r="W1175" s="47" t="s">
        <v>91</v>
      </c>
      <c r="X1175" s="47" t="s">
        <v>92</v>
      </c>
      <c r="Y1175" s="55" t="e">
        <f ca="1">_xlfn.XLOOKUP(PAA_4[[#This Row],[ITEM]],[2]Contrato!A:A,[2]Contrato!B:B,"",0)</f>
        <v>#NAME?</v>
      </c>
      <c r="Z1175" s="47" t="e">
        <f ca="1">_xlfn.XLOOKUP(PAA_4[[#This Row],[ITEM]],[2]Contrato!A:A,[2]Contrato!G:G,"",0)</f>
        <v>#NAME?</v>
      </c>
      <c r="AA1175" s="47" t="e">
        <f ca="1">_xlfn.XLOOKUP(PAA_4[[#This Row],[ITEM]],[2]Contrato!A:A,[2]Contrato!T:T,"",0)</f>
        <v>#NAME?</v>
      </c>
      <c r="AB1175" s="55" t="e">
        <f ca="1">+MAX(PAA_4[[#This Row],[Comprometido Contrato]],PAA_4[[#This Row],[Comprometido Bolsa]])</f>
        <v>#NAME?</v>
      </c>
      <c r="AC1175" s="55" t="str">
        <f t="shared" ca="1" si="423"/>
        <v/>
      </c>
      <c r="AD1175" s="55" t="e">
        <f ca="1">IF(PAA_4[[#This Row],[ESTADO (formulado)]]="NO CONTRATADO",0,MAX(PAA_4[[#This Row],[Pago por Contrato]],PAA_4[[#This Row],[Pago por bolsa]]))</f>
        <v>#NAME?</v>
      </c>
      <c r="AE1175" s="55" t="str">
        <f t="shared" ca="1" si="424"/>
        <v/>
      </c>
      <c r="AF1175" s="47" t="e">
        <f t="shared" ca="1" si="425"/>
        <v>#NAME?</v>
      </c>
      <c r="AG1175" s="47">
        <f t="shared" si="426"/>
        <v>44021010</v>
      </c>
      <c r="AH1175" s="54">
        <f>IF(Q1175="22",IF(ISNUMBER(SEARCH("econ",PAA_4[[#This Row],[Actividad3]])),"Económico",IF(ISNUMBER(SEARCH("alim",PAA_4[[#This Row],[Actividad3]])),"Alimentación",IF(ISNUMBER(SEARCH("educ",PAA_4[[#This Row],[Actividad3]])),"Educativo","Técnico"))),0)</f>
        <v>0</v>
      </c>
      <c r="AI1175" s="47" t="e" cm="1">
        <f t="array" aca="1" ref="AI1175" ca="1">_xlfn.XLOOKUP(PAA_4[[#This Row],[RCP-RUBRO]],[2]!COMPROMISOS_2024[[#All],[concatenado]],[2]!COMPROMISOS_2024[[#All],[Total pagado]],"",0)</f>
        <v>#NAME?</v>
      </c>
      <c r="AJ1175" s="56">
        <f>IF(PAA_4[[#This Row],[BOLSA]]=0,0,SUMIFS([2]!COMPROMISOS_2024[[#All],[Total pagado]],[2]!COMPROMISOS_2024[[#All],[Bolsa]],PAA_4[[#This Row],[BOLSA]],[2]!COMPROMISOS_2024[[#All],[rubro]],PAA_4[[#This Row],[RCP-RUBRO]]))</f>
        <v>0</v>
      </c>
      <c r="AK1175" s="47" t="e" cm="1">
        <f t="array" aca="1" ref="AK1175" ca="1">_xlfn.XLOOKUP(PAA_4[[#This Row],[RCP-RUBRO]],[2]!COMPROMISOS_2024[[#All],[concatenado]],[2]!COMPROMISOS_2024[[#All],[Total Comprometido]],"",0)</f>
        <v>#NAME?</v>
      </c>
      <c r="AL1175" s="47">
        <f>IF(PAA_4[[#This Row],[BOLSA]]=0,0,SUMIFS([2]!COMPROMISOS_2024[[#All],[Total Comprometido]],[2]!COMPROMISOS_2024[[#All],[Bolsa]],PAA_4[[#This Row],[BOLSA]],[2]!COMPROMISOS_2024[[#All],[concatenado]],PAA_4[[#This Row],[RCP-RUBRO]]))</f>
        <v>0</v>
      </c>
    </row>
    <row r="1176" spans="1:38" s="19" customFormat="1" ht="31.5" customHeight="1">
      <c r="A1176" s="47">
        <v>535</v>
      </c>
      <c r="B1176" s="47" t="s">
        <v>42</v>
      </c>
      <c r="C1176" s="47" t="str">
        <f>VLOOKUP(PAA_4[[#This Row],[PROYECTO (formulado)2]],[2]PROYECTOS!$G$1:$L$32,6,0)</f>
        <v>SUBGERENCIA DE FOMENTO Y DESARROLLO</v>
      </c>
      <c r="D1176" s="47" t="str">
        <f>+IF(PAA_4[[#This Row],[UNIDAD DE CONTRATACION (formulado)]]="Subgerencia Administrativa y Financiera","FUNCIONAMIENTO","INVERSIÓN")</f>
        <v>INVERSIÓN</v>
      </c>
      <c r="E1176" s="48" t="str">
        <f>VLOOKUP(Q1176,[2]PROYECTOS!$G$1:$K$32,5,0)</f>
        <v>FORTALECIMIENTO_DE_LOS_JUEGOS_DEL_SECTOR_EDUCATIVO_EN_ANTIOQUIA</v>
      </c>
      <c r="F1176" s="48">
        <f>VLOOKUP(E1176,[2]PROYECTOS!$K$1:$M$32,3,0)</f>
        <v>2020003050034</v>
      </c>
      <c r="G1176" s="49" t="s">
        <v>340</v>
      </c>
      <c r="H1176" s="49" t="str">
        <f>VLOOKUP(Q1176,[2]PROYECTOS!$V$1:$W$32,2,0)</f>
        <v>050053</v>
      </c>
      <c r="I1176" s="50">
        <v>14244395</v>
      </c>
      <c r="J1176" s="51" t="s">
        <v>358</v>
      </c>
      <c r="K1176" s="47" t="str">
        <f t="shared" ca="1" si="420"/>
        <v>CONTRATADO</v>
      </c>
      <c r="L1176" s="47" t="s">
        <v>94</v>
      </c>
      <c r="M1176" s="47" t="s">
        <v>1297</v>
      </c>
      <c r="N1176" s="51" t="s">
        <v>341</v>
      </c>
      <c r="O1176" s="51" t="e">
        <f>VLOOKUP(N1176,[2]!RUBROS[#All],3,0)</f>
        <v>#REF!</v>
      </c>
      <c r="P1176" s="53" t="e">
        <f>VLOOKUP(N1176,[2]!RUBROS[#All],2,0)</f>
        <v>#REF!</v>
      </c>
      <c r="Q1176" s="47" t="str">
        <f t="shared" si="421"/>
        <v>51</v>
      </c>
      <c r="R1176" s="47" t="str">
        <f t="shared" si="422"/>
        <v>0-205128</v>
      </c>
      <c r="S1176" s="54">
        <v>6</v>
      </c>
      <c r="T1176" s="59" t="s">
        <v>46</v>
      </c>
      <c r="U1176" s="326" t="e">
        <f ca="1">_xlfn.XLOOKUP(PAA_4[[#This Row],[ITEM]],[2]Contrato!A:A,[2]Contrato!Q:Q,"",0)</f>
        <v>#NAME?</v>
      </c>
      <c r="V1176" s="47" t="s">
        <v>47</v>
      </c>
      <c r="W1176" s="47" t="s">
        <v>91</v>
      </c>
      <c r="X1176" s="47" t="s">
        <v>92</v>
      </c>
      <c r="Y1176" s="55" t="e">
        <f ca="1">_xlfn.XLOOKUP(PAA_4[[#This Row],[ITEM]],[2]Contrato!A:A,[2]Contrato!B:B,"",0)</f>
        <v>#NAME?</v>
      </c>
      <c r="Z1176" s="47" t="e">
        <f ca="1">_xlfn.XLOOKUP(PAA_4[[#This Row],[ITEM]],[2]Contrato!A:A,[2]Contrato!G:G,"",0)</f>
        <v>#NAME?</v>
      </c>
      <c r="AA1176" s="47" t="e">
        <f ca="1">_xlfn.XLOOKUP(PAA_4[[#This Row],[ITEM]],[2]Contrato!A:A,[2]Contrato!T:T,"",0)</f>
        <v>#NAME?</v>
      </c>
      <c r="AB1176" s="55" t="e">
        <f ca="1">+MAX(PAA_4[[#This Row],[Comprometido Contrato]],PAA_4[[#This Row],[Comprometido Bolsa]])</f>
        <v>#NAME?</v>
      </c>
      <c r="AC1176" s="55" t="str">
        <f t="shared" ca="1" si="423"/>
        <v/>
      </c>
      <c r="AD1176" s="55" t="e">
        <f ca="1">IF(PAA_4[[#This Row],[ESTADO (formulado)]]="NO CONTRATADO",0,MAX(PAA_4[[#This Row],[Pago por Contrato]],PAA_4[[#This Row],[Pago por bolsa]]))</f>
        <v>#NAME?</v>
      </c>
      <c r="AE1176" s="55" t="str">
        <f t="shared" ca="1" si="424"/>
        <v/>
      </c>
      <c r="AF1176" s="47" t="e">
        <f t="shared" ca="1" si="425"/>
        <v>#NAME?</v>
      </c>
      <c r="AG1176" s="47">
        <f t="shared" si="426"/>
        <v>44021011</v>
      </c>
      <c r="AH1176" s="54">
        <f>IF(Q1176="22",IF(ISNUMBER(SEARCH("econ",PAA_4[[#This Row],[Actividad3]])),"Económico",IF(ISNUMBER(SEARCH("alim",PAA_4[[#This Row],[Actividad3]])),"Alimentación",IF(ISNUMBER(SEARCH("educ",PAA_4[[#This Row],[Actividad3]])),"Educativo","Técnico"))),0)</f>
        <v>0</v>
      </c>
      <c r="AI1176" s="47" t="e" cm="1">
        <f t="array" aca="1" ref="AI1176" ca="1">_xlfn.XLOOKUP(PAA_4[[#This Row],[RCP-RUBRO]],[2]!COMPROMISOS_2024[[#All],[concatenado]],[2]!COMPROMISOS_2024[[#All],[Total pagado]],"",0)</f>
        <v>#NAME?</v>
      </c>
      <c r="AJ1176" s="56">
        <f>IF(PAA_4[[#This Row],[BOLSA]]=0,0,SUMIFS([2]!COMPROMISOS_2024[[#All],[Total pagado]],[2]!COMPROMISOS_2024[[#All],[Bolsa]],PAA_4[[#This Row],[BOLSA]],[2]!COMPROMISOS_2024[[#All],[rubro]],PAA_4[[#This Row],[RCP-RUBRO]]))</f>
        <v>0</v>
      </c>
      <c r="AK1176" s="47" t="e" cm="1">
        <f t="array" aca="1" ref="AK1176" ca="1">_xlfn.XLOOKUP(PAA_4[[#This Row],[RCP-RUBRO]],[2]!COMPROMISOS_2024[[#All],[concatenado]],[2]!COMPROMISOS_2024[[#All],[Total Comprometido]],"",0)</f>
        <v>#NAME?</v>
      </c>
      <c r="AL1176" s="47">
        <f>IF(PAA_4[[#This Row],[BOLSA]]=0,0,SUMIFS([2]!COMPROMISOS_2024[[#All],[Total Comprometido]],[2]!COMPROMISOS_2024[[#All],[Bolsa]],PAA_4[[#This Row],[BOLSA]],[2]!COMPROMISOS_2024[[#All],[concatenado]],PAA_4[[#This Row],[RCP-RUBRO]]))</f>
        <v>0</v>
      </c>
    </row>
    <row r="1177" spans="1:38" s="19" customFormat="1" ht="31.5" customHeight="1">
      <c r="A1177" s="47" t="s">
        <v>82</v>
      </c>
      <c r="B1177" s="47" t="s">
        <v>42</v>
      </c>
      <c r="C1177" s="47" t="str">
        <f>VLOOKUP(PAA_4[[#This Row],[PROYECTO (formulado)2]],[2]PROYECTOS!$G$1:$L$32,6,0)</f>
        <v>SUBGERENCIA DE FOMENTO Y DESARROLLO</v>
      </c>
      <c r="D1177" s="47" t="str">
        <f>+IF(PAA_4[[#This Row],[UNIDAD DE CONTRATACION (formulado)]]="Subgerencia Administrativa y Financiera","FUNCIONAMIENTO","INVERSIÓN")</f>
        <v>INVERSIÓN</v>
      </c>
      <c r="E1177" s="48" t="str">
        <f>VLOOKUP(Q1177,[2]PROYECTOS!$G$1:$K$32,5,0)</f>
        <v>CAPACITACION_PARA_EL_SECTOR_DEL_DEPORTE_LA_ACTIVIDAD_FISICA_LA_RECREACION_Y_LA_EDUCACION_FISICA_DE_ANTI</v>
      </c>
      <c r="F1177" s="48">
        <f>VLOOKUP(E1177,[2]PROYECTOS!$K$1:$M$32,3,0)</f>
        <v>2020003050024</v>
      </c>
      <c r="G1177" s="49" t="s">
        <v>337</v>
      </c>
      <c r="H1177" s="49" t="str">
        <f>VLOOKUP(Q1177,[2]PROYECTOS!$V$1:$W$32,2,0)</f>
        <v>050063</v>
      </c>
      <c r="I1177" s="50">
        <v>1</v>
      </c>
      <c r="J1177" s="51" t="s">
        <v>1857</v>
      </c>
      <c r="K1177" s="47" t="str">
        <f ca="1">IF(ISNONTEXT(Y1177)=TRUE,"CONTRATADO","NO CONTRATADO")</f>
        <v>CONTRATADO</v>
      </c>
      <c r="L1177" s="47" t="s">
        <v>42</v>
      </c>
      <c r="M1177" s="47" t="s">
        <v>42</v>
      </c>
      <c r="N1177" s="51" t="s">
        <v>339</v>
      </c>
      <c r="O1177" s="51" t="e">
        <f>VLOOKUP(N1177,[2]!RUBROS[#All],3,0)</f>
        <v>#REF!</v>
      </c>
      <c r="P1177" s="53" t="e">
        <f>VLOOKUP(N1177,[2]!RUBROS[#All],2,0)</f>
        <v>#REF!</v>
      </c>
      <c r="Q1177" s="47" t="str">
        <f>+MID(N1177,11,2)</f>
        <v>48</v>
      </c>
      <c r="R1177" s="47" t="str">
        <f>+MID(N1177,14,8)</f>
        <v>0-205128</v>
      </c>
      <c r="S1177" s="54" t="s">
        <v>42</v>
      </c>
      <c r="T1177" s="59" t="s">
        <v>42</v>
      </c>
      <c r="U1177" s="326" t="e">
        <f ca="1">_xlfn.XLOOKUP(PAA_4[[#This Row],[ITEM]],[2]Contrato!A:A,[2]Contrato!Q:Q,"",0)</f>
        <v>#NAME?</v>
      </c>
      <c r="V1177" s="47" t="s">
        <v>47</v>
      </c>
      <c r="W1177" s="47" t="s">
        <v>42</v>
      </c>
      <c r="X1177" s="47" t="s">
        <v>42</v>
      </c>
      <c r="Y1177" s="55" t="e">
        <f ca="1">_xlfn.XLOOKUP(PAA_4[[#This Row],[ITEM]],[2]Contrato!A:A,[2]Contrato!B:B,"",0)</f>
        <v>#NAME?</v>
      </c>
      <c r="Z1177" s="47" t="e">
        <f ca="1">_xlfn.XLOOKUP(PAA_4[[#This Row],[ITEM]],[2]Contrato!A:A,[2]Contrato!G:G,"",0)</f>
        <v>#NAME?</v>
      </c>
      <c r="AA1177" s="47" t="e">
        <f ca="1">_xlfn.XLOOKUP(PAA_4[[#This Row],[ITEM]],[2]Contrato!A:A,[2]Contrato!T:T,"",0)</f>
        <v>#NAME?</v>
      </c>
      <c r="AB1177" s="55" t="e">
        <f ca="1">+MAX(PAA_4[[#This Row],[Comprometido Contrato]],PAA_4[[#This Row],[Comprometido Bolsa]])</f>
        <v>#NAME?</v>
      </c>
      <c r="AC1177" s="55" t="str">
        <f ca="1">IFERROR(I1177-AB1177,"")</f>
        <v/>
      </c>
      <c r="AD1177" s="55" t="e">
        <f ca="1">IF(PAA_4[[#This Row],[ESTADO (formulado)]]="NO CONTRATADO",0,MAX(PAA_4[[#This Row],[Pago por Contrato]],PAA_4[[#This Row],[Pago por bolsa]]))</f>
        <v>#NAME?</v>
      </c>
      <c r="AE1177" s="55" t="str">
        <f ca="1">+IFERROR(AB1177-AD1177,"")</f>
        <v/>
      </c>
      <c r="AF1177" s="47" t="e">
        <f ca="1">+CONCATENATE(AA1177,N1177)</f>
        <v>#NAME?</v>
      </c>
      <c r="AG1177" s="47">
        <f>IFERROR(_xlfn.NUMBERVALUE(MID(G1177,1,8)),"")</f>
        <v>41080201</v>
      </c>
      <c r="AH1177" s="54">
        <f>IF(Q1177="22",IF(ISNUMBER(SEARCH("econ",PAA_4[[#This Row],[Actividad3]])),"Económico",IF(ISNUMBER(SEARCH("alim",PAA_4[[#This Row],[Actividad3]])),"Alimentación",IF(ISNUMBER(SEARCH("educ",PAA_4[[#This Row],[Actividad3]])),"Educativo","Técnico"))),0)</f>
        <v>0</v>
      </c>
      <c r="AI1177" s="47" t="e" cm="1">
        <f t="array" aca="1" ref="AI1177" ca="1">_xlfn.XLOOKUP(PAA_4[[#This Row],[RCP-RUBRO]],[2]!COMPROMISOS_2024[[#All],[concatenado]],[2]!COMPROMISOS_2024[[#All],[Total pagado]],"",0)</f>
        <v>#NAME?</v>
      </c>
      <c r="AJ1177" s="56">
        <f>IF(PAA_4[[#This Row],[BOLSA]]=0,0,SUMIFS([2]!COMPROMISOS_2024[[#All],[Total pagado]],[2]!COMPROMISOS_2024[[#All],[Bolsa]],PAA_4[[#This Row],[BOLSA]],[2]!COMPROMISOS_2024[[#All],[rubro]],PAA_4[[#This Row],[RCP-RUBRO]]))</f>
        <v>0</v>
      </c>
      <c r="AK1177" s="47" t="e" cm="1">
        <f t="array" aca="1" ref="AK1177" ca="1">_xlfn.XLOOKUP(PAA_4[[#This Row],[RCP-RUBRO]],[2]!COMPROMISOS_2024[[#All],[concatenado]],[2]!COMPROMISOS_2024[[#All],[Total Comprometido]],"",0)</f>
        <v>#NAME?</v>
      </c>
      <c r="AL1177" s="47">
        <f>IF(PAA_4[[#This Row],[BOLSA]]=0,0,SUMIFS([2]!COMPROMISOS_2024[[#All],[Total Comprometido]],[2]!COMPROMISOS_2024[[#All],[Bolsa]],PAA_4[[#This Row],[BOLSA]],[2]!COMPROMISOS_2024[[#All],[concatenado]],PAA_4[[#This Row],[RCP-RUBRO]]))</f>
        <v>0</v>
      </c>
    </row>
    <row r="1178" spans="1:38" s="19" customFormat="1" ht="31.5" customHeight="1">
      <c r="A1178" s="47">
        <v>535</v>
      </c>
      <c r="B1178" s="47" t="s">
        <v>42</v>
      </c>
      <c r="C1178" s="47" t="str">
        <f>VLOOKUP(PAA_4[[#This Row],[PROYECTO (formulado)2]],[2]PROYECTOS!$G$1:$L$32,6,0)</f>
        <v>SUBGERENCIA DE FOMENTO Y DESARROLLO</v>
      </c>
      <c r="D1178" s="47" t="str">
        <f>+IF(PAA_4[[#This Row],[UNIDAD DE CONTRATACION (formulado)]]="Subgerencia Administrativa y Financiera","FUNCIONAMIENTO","INVERSIÓN")</f>
        <v>INVERSIÓN</v>
      </c>
      <c r="E1178" s="48" t="str">
        <f>VLOOKUP(Q1178,[2]PROYECTOS!$G$1:$K$32,5,0)</f>
        <v>CAPACITACION_PARA_EL_SECTOR_DEL_DEPORTE_LA_ACTIVIDAD_FISICA_LA_RECREACION_Y_LA_EDUCACION_FISICA_DE_ANTI</v>
      </c>
      <c r="F1178" s="48">
        <f>VLOOKUP(E1178,[2]PROYECTOS!$K$1:$M$32,3,0)</f>
        <v>2020003050024</v>
      </c>
      <c r="G1178" s="49" t="s">
        <v>337</v>
      </c>
      <c r="H1178" s="49" t="str">
        <f>VLOOKUP(Q1178,[2]PROYECTOS!$V$1:$W$32,2,0)</f>
        <v>050063</v>
      </c>
      <c r="I1178" s="50">
        <f>2773448-1</f>
        <v>2773447</v>
      </c>
      <c r="J1178" s="51" t="s">
        <v>358</v>
      </c>
      <c r="K1178" s="47" t="str">
        <f t="shared" ref="K1178:K1181" ca="1" si="427">IF(ISNONTEXT(Y1178)=TRUE,"CONTRATADO","NO CONTRATADO")</f>
        <v>CONTRATADO</v>
      </c>
      <c r="L1178" s="47" t="s">
        <v>94</v>
      </c>
      <c r="M1178" s="47" t="s">
        <v>1297</v>
      </c>
      <c r="N1178" s="51" t="s">
        <v>339</v>
      </c>
      <c r="O1178" s="51" t="e">
        <f>VLOOKUP(N1178,[2]!RUBROS[#All],3,0)</f>
        <v>#REF!</v>
      </c>
      <c r="P1178" s="53" t="e">
        <f>VLOOKUP(N1178,[2]!RUBROS[#All],2,0)</f>
        <v>#REF!</v>
      </c>
      <c r="Q1178" s="47" t="str">
        <f t="shared" ref="Q1178:Q1181" si="428">+MID(N1178,11,2)</f>
        <v>48</v>
      </c>
      <c r="R1178" s="47" t="str">
        <f t="shared" ref="R1178:R1201" si="429">+MID(N1178,14,8)</f>
        <v>0-205128</v>
      </c>
      <c r="S1178" s="54">
        <v>6</v>
      </c>
      <c r="T1178" s="59" t="s">
        <v>46</v>
      </c>
      <c r="U1178" s="326" t="e">
        <f ca="1">_xlfn.XLOOKUP(PAA_4[[#This Row],[ITEM]],[2]Contrato!A:A,[2]Contrato!Q:Q,"",0)</f>
        <v>#NAME?</v>
      </c>
      <c r="V1178" s="47" t="s">
        <v>47</v>
      </c>
      <c r="W1178" s="47" t="s">
        <v>91</v>
      </c>
      <c r="X1178" s="47" t="s">
        <v>92</v>
      </c>
      <c r="Y1178" s="55" t="e">
        <f ca="1">_xlfn.XLOOKUP(PAA_4[[#This Row],[ITEM]],[2]Contrato!A:A,[2]Contrato!B:B,"",0)</f>
        <v>#NAME?</v>
      </c>
      <c r="Z1178" s="47" t="e">
        <f ca="1">_xlfn.XLOOKUP(PAA_4[[#This Row],[ITEM]],[2]Contrato!A:A,[2]Contrato!G:G,"",0)</f>
        <v>#NAME?</v>
      </c>
      <c r="AA1178" s="47" t="e">
        <f ca="1">_xlfn.XLOOKUP(PAA_4[[#This Row],[ITEM]],[2]Contrato!A:A,[2]Contrato!T:T,"",0)</f>
        <v>#NAME?</v>
      </c>
      <c r="AB1178" s="55" t="e">
        <f ca="1">+MAX(PAA_4[[#This Row],[Comprometido Contrato]],PAA_4[[#This Row],[Comprometido Bolsa]])</f>
        <v>#NAME?</v>
      </c>
      <c r="AC1178" s="55" t="str">
        <f t="shared" ref="AC1178:AC1181" ca="1" si="430">IFERROR(I1178-AB1178,"")</f>
        <v/>
      </c>
      <c r="AD1178" s="55" t="e">
        <f ca="1">IF(PAA_4[[#This Row],[ESTADO (formulado)]]="NO CONTRATADO",0,MAX(PAA_4[[#This Row],[Pago por Contrato]],PAA_4[[#This Row],[Pago por bolsa]]))</f>
        <v>#NAME?</v>
      </c>
      <c r="AE1178" s="55" t="str">
        <f t="shared" ref="AE1178:AE1181" ca="1" si="431">+IFERROR(AB1178-AD1178,"")</f>
        <v/>
      </c>
      <c r="AF1178" s="47" t="e">
        <f t="shared" ref="AF1178:AF1181" ca="1" si="432">+CONCATENATE(AA1178,N1178)</f>
        <v>#NAME?</v>
      </c>
      <c r="AG1178" s="47">
        <f t="shared" ref="AG1178:AG1181" si="433">IFERROR(_xlfn.NUMBERVALUE(MID(G1178,1,8)),"")</f>
        <v>41080201</v>
      </c>
      <c r="AH1178" s="54">
        <f>IF(Q1178="22",IF(ISNUMBER(SEARCH("econ",PAA_4[[#This Row],[Actividad3]])),"Económico",IF(ISNUMBER(SEARCH("alim",PAA_4[[#This Row],[Actividad3]])),"Alimentación",IF(ISNUMBER(SEARCH("educ",PAA_4[[#This Row],[Actividad3]])),"Educativo","Técnico"))),0)</f>
        <v>0</v>
      </c>
      <c r="AI1178" s="47" t="e" cm="1">
        <f t="array" aca="1" ref="AI1178" ca="1">_xlfn.XLOOKUP(PAA_4[[#This Row],[RCP-RUBRO]],[2]!COMPROMISOS_2024[[#All],[concatenado]],[2]!COMPROMISOS_2024[[#All],[Total pagado]],"",0)</f>
        <v>#NAME?</v>
      </c>
      <c r="AJ1178" s="56">
        <f>IF(PAA_4[[#This Row],[BOLSA]]=0,0,SUMIFS([2]!COMPROMISOS_2024[[#All],[Total pagado]],[2]!COMPROMISOS_2024[[#All],[Bolsa]],PAA_4[[#This Row],[BOLSA]],[2]!COMPROMISOS_2024[[#All],[rubro]],PAA_4[[#This Row],[RCP-RUBRO]]))</f>
        <v>0</v>
      </c>
      <c r="AK1178" s="47" t="e" cm="1">
        <f t="array" aca="1" ref="AK1178" ca="1">_xlfn.XLOOKUP(PAA_4[[#This Row],[RCP-RUBRO]],[2]!COMPROMISOS_2024[[#All],[concatenado]],[2]!COMPROMISOS_2024[[#All],[Total Comprometido]],"",0)</f>
        <v>#NAME?</v>
      </c>
      <c r="AL1178" s="47">
        <f>IF(PAA_4[[#This Row],[BOLSA]]=0,0,SUMIFS([2]!COMPROMISOS_2024[[#All],[Total Comprometido]],[2]!COMPROMISOS_2024[[#All],[Bolsa]],PAA_4[[#This Row],[BOLSA]],[2]!COMPROMISOS_2024[[#All],[concatenado]],PAA_4[[#This Row],[RCP-RUBRO]]))</f>
        <v>0</v>
      </c>
    </row>
    <row r="1179" spans="1:38" s="19" customFormat="1" ht="31.5" customHeight="1">
      <c r="A1179" s="47">
        <v>383</v>
      </c>
      <c r="B1179" s="47">
        <v>80111600</v>
      </c>
      <c r="C1179" s="47" t="str">
        <f>VLOOKUP(PAA_4[[#This Row],[PROYECTO (formulado)2]],[2]PROYECTOS!$G$1:$L$32,6,0)</f>
        <v>SUBGERENCIA DE FOMENTO Y DESARROLLO</v>
      </c>
      <c r="D1179" s="47" t="str">
        <f>+IF(PAA_4[[#This Row],[UNIDAD DE CONTRATACION (formulado)]]="Subgerencia Administrativa y Financiera","FUNCIONAMIENTO","INVERSIÓN")</f>
        <v>INVERSIÓN</v>
      </c>
      <c r="E1179" s="48" t="str">
        <f>VLOOKUP(Q1179,[2]PROYECTOS!$G$1:$K$32,5,0)</f>
        <v>FORTALECIMIENTO_DEL_PROGRAMA_POR_SU_SALUD_MUÉVASE_PUES_EN_LOS_MUNICIPIO_DEL_DEPARTAMENTO_DE_ANTIOQUIA</v>
      </c>
      <c r="F1179" s="48">
        <f>VLOOKUP(E1179,[2]PROYECTOS!$K$1:$M$32,3,0)</f>
        <v>2020003050030</v>
      </c>
      <c r="G1179" s="49" t="s">
        <v>326</v>
      </c>
      <c r="H1179" s="49" t="str">
        <f>VLOOKUP(Q1179,[2]PROYECTOS!$V$1:$W$32,2,0)</f>
        <v>050055</v>
      </c>
      <c r="I1179" s="50">
        <v>0</v>
      </c>
      <c r="J1179" s="70" t="s">
        <v>357</v>
      </c>
      <c r="K1179" s="47" t="str">
        <f t="shared" ca="1" si="427"/>
        <v>CONTRATADO</v>
      </c>
      <c r="L1179" s="47" t="s">
        <v>94</v>
      </c>
      <c r="M1179" s="47" t="s">
        <v>1297</v>
      </c>
      <c r="N1179" s="51" t="s">
        <v>329</v>
      </c>
      <c r="O1179" s="51" t="e">
        <f>VLOOKUP(N1179,[2]!RUBROS[#All],3,0)</f>
        <v>#REF!</v>
      </c>
      <c r="P1179" s="53" t="e">
        <f>VLOOKUP(N1179,[2]!RUBROS[#All],2,0)</f>
        <v>#REF!</v>
      </c>
      <c r="Q1179" s="47" t="str">
        <f t="shared" si="428"/>
        <v>45</v>
      </c>
      <c r="R1179" s="47" t="str">
        <f t="shared" si="429"/>
        <v>0-205128</v>
      </c>
      <c r="S1179" s="54">
        <v>5</v>
      </c>
      <c r="T1179" s="59" t="s">
        <v>46</v>
      </c>
      <c r="U1179" s="326" t="e">
        <f ca="1">_xlfn.XLOOKUP(PAA_4[[#This Row],[ITEM]],[2]Contrato!A:A,[2]Contrato!Q:Q,"",0)</f>
        <v>#NAME?</v>
      </c>
      <c r="V1179" s="47" t="s">
        <v>47</v>
      </c>
      <c r="W1179" s="47" t="s">
        <v>193</v>
      </c>
      <c r="X1179" s="47" t="s">
        <v>193</v>
      </c>
      <c r="Y1179" s="55" t="e">
        <f ca="1">_xlfn.XLOOKUP(PAA_4[[#This Row],[ITEM]],[2]Contrato!A:A,[2]Contrato!B:B,"",0)</f>
        <v>#NAME?</v>
      </c>
      <c r="Z1179" s="47" t="e">
        <f ca="1">_xlfn.XLOOKUP(PAA_4[[#This Row],[ITEM]],[2]Contrato!A:A,[2]Contrato!G:G,"",0)</f>
        <v>#NAME?</v>
      </c>
      <c r="AA1179" s="47" t="e">
        <f ca="1">_xlfn.XLOOKUP(PAA_4[[#This Row],[ITEM]],[2]Contrato!A:A,[2]Contrato!T:T,"",0)</f>
        <v>#NAME?</v>
      </c>
      <c r="AB1179" s="55" t="e">
        <f ca="1">+MAX(PAA_4[[#This Row],[Comprometido Contrato]],PAA_4[[#This Row],[Comprometido Bolsa]])</f>
        <v>#NAME?</v>
      </c>
      <c r="AC1179" s="55" t="str">
        <f t="shared" ca="1" si="430"/>
        <v/>
      </c>
      <c r="AD1179" s="55" t="e">
        <f ca="1">IF(PAA_4[[#This Row],[ESTADO (formulado)]]="NO CONTRATADO",0,MAX(PAA_4[[#This Row],[Pago por Contrato]],PAA_4[[#This Row],[Pago por bolsa]]))</f>
        <v>#NAME?</v>
      </c>
      <c r="AE1179" s="55" t="str">
        <f t="shared" ca="1" si="431"/>
        <v/>
      </c>
      <c r="AF1179" s="47" t="e">
        <f t="shared" ca="1" si="432"/>
        <v>#NAME?</v>
      </c>
      <c r="AG1179" s="47">
        <f t="shared" si="433"/>
        <v>44021001</v>
      </c>
      <c r="AH1179" s="54">
        <f>IF(Q1179="22",IF(ISNUMBER(SEARCH("econ",PAA_4[[#This Row],[Actividad3]])),"Económico",IF(ISNUMBER(SEARCH("alim",PAA_4[[#This Row],[Actividad3]])),"Alimentación",IF(ISNUMBER(SEARCH("educ",PAA_4[[#This Row],[Actividad3]])),"Educativo","Técnico"))),0)</f>
        <v>0</v>
      </c>
      <c r="AI1179" s="47" t="e" cm="1">
        <f t="array" aca="1" ref="AI1179" ca="1">_xlfn.XLOOKUP(PAA_4[[#This Row],[RCP-RUBRO]],[2]!COMPROMISOS_2024[[#All],[concatenado]],[2]!COMPROMISOS_2024[[#All],[Total pagado]],"",0)</f>
        <v>#NAME?</v>
      </c>
      <c r="AJ1179" s="56">
        <f>IF(PAA_4[[#This Row],[BOLSA]]=0,0,SUMIFS([2]!COMPROMISOS_2024[[#All],[Total pagado]],[2]!COMPROMISOS_2024[[#All],[Bolsa]],PAA_4[[#This Row],[BOLSA]],[2]!COMPROMISOS_2024[[#All],[rubro]],PAA_4[[#This Row],[RCP-RUBRO]]))</f>
        <v>0</v>
      </c>
      <c r="AK1179" s="47" t="e" cm="1">
        <f t="array" aca="1" ref="AK1179" ca="1">_xlfn.XLOOKUP(PAA_4[[#This Row],[RCP-RUBRO]],[2]!COMPROMISOS_2024[[#All],[concatenado]],[2]!COMPROMISOS_2024[[#All],[Total Comprometido]],"",0)</f>
        <v>#NAME?</v>
      </c>
      <c r="AL1179" s="47">
        <f>IF(PAA_4[[#This Row],[BOLSA]]=0,0,SUMIFS([2]!COMPROMISOS_2024[[#All],[Total Comprometido]],[2]!COMPROMISOS_2024[[#All],[Bolsa]],PAA_4[[#This Row],[BOLSA]],[2]!COMPROMISOS_2024[[#All],[concatenado]],PAA_4[[#This Row],[RCP-RUBRO]]))</f>
        <v>0</v>
      </c>
    </row>
    <row r="1180" spans="1:38" s="19" customFormat="1" ht="31.5" customHeight="1">
      <c r="A1180" s="47">
        <v>384</v>
      </c>
      <c r="B1180" s="47">
        <v>80111600</v>
      </c>
      <c r="C1180" s="47" t="str">
        <f>VLOOKUP(PAA_4[[#This Row],[PROYECTO (formulado)2]],[2]PROYECTOS!$G$1:$L$32,6,0)</f>
        <v>SUBGERENCIA DE FOMENTO Y DESARROLLO</v>
      </c>
      <c r="D1180" s="47" t="str">
        <f>+IF(PAA_4[[#This Row],[UNIDAD DE CONTRATACION (formulado)]]="Subgerencia Administrativa y Financiera","FUNCIONAMIENTO","INVERSIÓN")</f>
        <v>INVERSIÓN</v>
      </c>
      <c r="E1180" s="48" t="str">
        <f>VLOOKUP(Q1180,[2]PROYECTOS!$G$1:$K$32,5,0)</f>
        <v>FORTALECIMIENTO_DEL_PROGRAMA_POR_SU_SALUD_MUÉVASE_PUES_EN_LOS_MUNICIPIO_DEL_DEPARTAMENTO_DE_ANTIOQUIA</v>
      </c>
      <c r="F1180" s="48">
        <f>VLOOKUP(E1180,[2]PROYECTOS!$K$1:$M$32,3,0)</f>
        <v>2020003050030</v>
      </c>
      <c r="G1180" s="49" t="s">
        <v>326</v>
      </c>
      <c r="H1180" s="49" t="str">
        <f>VLOOKUP(Q1180,[2]PROYECTOS!$V$1:$W$32,2,0)</f>
        <v>050055</v>
      </c>
      <c r="I1180" s="50">
        <v>0</v>
      </c>
      <c r="J1180" s="70" t="s">
        <v>344</v>
      </c>
      <c r="K1180" s="47" t="str">
        <f t="shared" ca="1" si="427"/>
        <v>CONTRATADO</v>
      </c>
      <c r="L1180" s="47" t="s">
        <v>344</v>
      </c>
      <c r="M1180" s="47" t="s">
        <v>344</v>
      </c>
      <c r="N1180" s="51" t="s">
        <v>329</v>
      </c>
      <c r="O1180" s="51" t="e">
        <f>VLOOKUP(N1180,[2]!RUBROS[#All],3,0)</f>
        <v>#REF!</v>
      </c>
      <c r="P1180" s="53" t="e">
        <f>VLOOKUP(N1180,[2]!RUBROS[#All],2,0)</f>
        <v>#REF!</v>
      </c>
      <c r="Q1180" s="47" t="str">
        <f t="shared" si="428"/>
        <v>45</v>
      </c>
      <c r="R1180" s="47" t="str">
        <f t="shared" si="429"/>
        <v>0-205128</v>
      </c>
      <c r="S1180" s="54">
        <v>10.5</v>
      </c>
      <c r="T1180" s="59" t="s">
        <v>46</v>
      </c>
      <c r="U1180" s="326" t="e">
        <f ca="1">_xlfn.XLOOKUP(PAA_4[[#This Row],[ITEM]],[2]Contrato!A:A,[2]Contrato!Q:Q,"",0)</f>
        <v>#NAME?</v>
      </c>
      <c r="V1180" s="47" t="s">
        <v>47</v>
      </c>
      <c r="W1180" s="71" t="s">
        <v>91</v>
      </c>
      <c r="X1180" s="47" t="s">
        <v>91</v>
      </c>
      <c r="Y1180" s="55" t="e">
        <f ca="1">_xlfn.XLOOKUP(PAA_4[[#This Row],[ITEM]],[2]Contrato!A:A,[2]Contrato!B:B,"",0)</f>
        <v>#NAME?</v>
      </c>
      <c r="Z1180" s="47" t="e">
        <f ca="1">_xlfn.XLOOKUP(PAA_4[[#This Row],[ITEM]],[2]Contrato!A:A,[2]Contrato!G:G,"",0)</f>
        <v>#NAME?</v>
      </c>
      <c r="AA1180" s="47" t="e">
        <f ca="1">_xlfn.XLOOKUP(PAA_4[[#This Row],[ITEM]],[2]Contrato!A:A,[2]Contrato!T:T,"",0)</f>
        <v>#NAME?</v>
      </c>
      <c r="AB1180" s="55" t="e">
        <f ca="1">+MAX(PAA_4[[#This Row],[Comprometido Contrato]],PAA_4[[#This Row],[Comprometido Bolsa]])</f>
        <v>#NAME?</v>
      </c>
      <c r="AC1180" s="55" t="str">
        <f t="shared" ca="1" si="430"/>
        <v/>
      </c>
      <c r="AD1180" s="55" t="e">
        <f ca="1">IF(PAA_4[[#This Row],[ESTADO (formulado)]]="NO CONTRATADO",0,MAX(PAA_4[[#This Row],[Pago por Contrato]],PAA_4[[#This Row],[Pago por bolsa]]))</f>
        <v>#NAME?</v>
      </c>
      <c r="AE1180" s="55" t="str">
        <f t="shared" ca="1" si="431"/>
        <v/>
      </c>
      <c r="AF1180" s="47" t="e">
        <f t="shared" ca="1" si="432"/>
        <v>#NAME?</v>
      </c>
      <c r="AG1180" s="47">
        <f t="shared" si="433"/>
        <v>44021001</v>
      </c>
      <c r="AH1180" s="54">
        <f>IF(Q1180="22",IF(ISNUMBER(SEARCH("econ",PAA_4[[#This Row],[Actividad3]])),"Económico",IF(ISNUMBER(SEARCH("alim",PAA_4[[#This Row],[Actividad3]])),"Alimentación",IF(ISNUMBER(SEARCH("educ",PAA_4[[#This Row],[Actividad3]])),"Educativo","Técnico"))),0)</f>
        <v>0</v>
      </c>
      <c r="AI1180" s="47" t="e" cm="1">
        <f t="array" aca="1" ref="AI1180" ca="1">_xlfn.XLOOKUP(PAA_4[[#This Row],[RCP-RUBRO]],[2]!COMPROMISOS_2024[[#All],[concatenado]],[2]!COMPROMISOS_2024[[#All],[Total pagado]],"",0)</f>
        <v>#NAME?</v>
      </c>
      <c r="AJ1180" s="56">
        <f>IF(PAA_4[[#This Row],[BOLSA]]=0,0,SUMIFS([2]!COMPROMISOS_2024[[#All],[Total pagado]],[2]!COMPROMISOS_2024[[#All],[Bolsa]],PAA_4[[#This Row],[BOLSA]],[2]!COMPROMISOS_2024[[#All],[rubro]],PAA_4[[#This Row],[RCP-RUBRO]]))</f>
        <v>0</v>
      </c>
      <c r="AK1180" s="47" t="e" cm="1">
        <f t="array" aca="1" ref="AK1180" ca="1">_xlfn.XLOOKUP(PAA_4[[#This Row],[RCP-RUBRO]],[2]!COMPROMISOS_2024[[#All],[concatenado]],[2]!COMPROMISOS_2024[[#All],[Total Comprometido]],"",0)</f>
        <v>#NAME?</v>
      </c>
      <c r="AL1180" s="47">
        <f>IF(PAA_4[[#This Row],[BOLSA]]=0,0,SUMIFS([2]!COMPROMISOS_2024[[#All],[Total Comprometido]],[2]!COMPROMISOS_2024[[#All],[Bolsa]],PAA_4[[#This Row],[BOLSA]],[2]!COMPROMISOS_2024[[#All],[concatenado]],PAA_4[[#This Row],[RCP-RUBRO]]))</f>
        <v>0</v>
      </c>
    </row>
    <row r="1181" spans="1:38" s="19" customFormat="1" ht="31.5" customHeight="1">
      <c r="A1181" s="47" t="s">
        <v>82</v>
      </c>
      <c r="B1181" s="47" t="s">
        <v>42</v>
      </c>
      <c r="C1181" s="47" t="str">
        <f>VLOOKUP(PAA_4[[#This Row],[PROYECTO (formulado)2]],[2]PROYECTOS!$G$1:$L$32,6,0)</f>
        <v>SUBGERENCIA DE FOMENTO Y DESARROLLO</v>
      </c>
      <c r="D1181" s="47" t="str">
        <f>+IF(PAA_4[[#This Row],[UNIDAD DE CONTRATACION (formulado)]]="Subgerencia Administrativa y Financiera","FUNCIONAMIENTO","INVERSIÓN")</f>
        <v>INVERSIÓN</v>
      </c>
      <c r="E1181" s="48" t="str">
        <f>VLOOKUP(Q1181,[2]PROYECTOS!$G$1:$K$32,5,0)</f>
        <v>FORTALECIMIENTO_DEL_PROGRAMA_POR_SU_SALUD_MUÉVASE_PUES_EN_LOS_MUNICIPIO_DEL_DEPARTAMENTO_DE_ANTIOQUIA</v>
      </c>
      <c r="F1181" s="48">
        <f>VLOOKUP(E1181,[2]PROYECTOS!$K$1:$M$32,3,0)</f>
        <v>2020003050030</v>
      </c>
      <c r="G1181" s="49" t="s">
        <v>359</v>
      </c>
      <c r="H1181" s="49" t="str">
        <f>VLOOKUP(Q1181,[2]PROYECTOS!$V$1:$W$32,2,0)</f>
        <v>050055</v>
      </c>
      <c r="I1181" s="50">
        <v>104793608</v>
      </c>
      <c r="J1181" s="70" t="s">
        <v>1858</v>
      </c>
      <c r="K1181" s="47" t="str">
        <f t="shared" ca="1" si="427"/>
        <v>CONTRATADO</v>
      </c>
      <c r="L1181" s="47" t="s">
        <v>42</v>
      </c>
      <c r="M1181" s="47" t="s">
        <v>42</v>
      </c>
      <c r="N1181" s="52" t="s">
        <v>360</v>
      </c>
      <c r="O1181" s="51" t="e">
        <f>VLOOKUP(N1181,[2]!RUBROS[#All],3,0)</f>
        <v>#REF!</v>
      </c>
      <c r="P1181" s="53" t="e">
        <f>VLOOKUP(N1181,[2]!RUBROS[#All],2,0)</f>
        <v>#REF!</v>
      </c>
      <c r="Q1181" s="47" t="str">
        <f t="shared" si="428"/>
        <v>45</v>
      </c>
      <c r="R1181" s="47" t="str">
        <f t="shared" si="429"/>
        <v>0-205128</v>
      </c>
      <c r="S1181" s="54" t="s">
        <v>42</v>
      </c>
      <c r="T1181" s="59" t="s">
        <v>42</v>
      </c>
      <c r="U1181" s="326" t="e">
        <f ca="1">_xlfn.XLOOKUP(PAA_4[[#This Row],[ITEM]],[2]Contrato!A:A,[2]Contrato!Q:Q,"",0)</f>
        <v>#NAME?</v>
      </c>
      <c r="V1181" s="47" t="s">
        <v>42</v>
      </c>
      <c r="W1181" s="71" t="s">
        <v>42</v>
      </c>
      <c r="X1181" s="47" t="s">
        <v>42</v>
      </c>
      <c r="Y1181" s="55" t="e">
        <f ca="1">_xlfn.XLOOKUP(PAA_4[[#This Row],[ITEM]],[2]Contrato!A:A,[2]Contrato!B:B,"",0)</f>
        <v>#NAME?</v>
      </c>
      <c r="Z1181" s="47" t="e">
        <f ca="1">_xlfn.XLOOKUP(PAA_4[[#This Row],[ITEM]],[2]Contrato!A:A,[2]Contrato!G:G,"",0)</f>
        <v>#NAME?</v>
      </c>
      <c r="AA1181" s="47" t="e">
        <f ca="1">_xlfn.XLOOKUP(PAA_4[[#This Row],[ITEM]],[2]Contrato!A:A,[2]Contrato!T:T,"",0)</f>
        <v>#NAME?</v>
      </c>
      <c r="AB1181" s="55" t="e">
        <f ca="1">+MAX(PAA_4[[#This Row],[Comprometido Contrato]],PAA_4[[#This Row],[Comprometido Bolsa]])</f>
        <v>#NAME?</v>
      </c>
      <c r="AC1181" s="55" t="str">
        <f t="shared" ca="1" si="430"/>
        <v/>
      </c>
      <c r="AD1181" s="55" t="e">
        <f ca="1">IF(PAA_4[[#This Row],[ESTADO (formulado)]]="NO CONTRATADO",0,MAX(PAA_4[[#This Row],[Pago por Contrato]],PAA_4[[#This Row],[Pago por bolsa]]))</f>
        <v>#NAME?</v>
      </c>
      <c r="AE1181" s="55" t="str">
        <f t="shared" ca="1" si="431"/>
        <v/>
      </c>
      <c r="AF1181" s="47" t="e">
        <f t="shared" ca="1" si="432"/>
        <v>#NAME?</v>
      </c>
      <c r="AG1181" s="47">
        <f t="shared" si="433"/>
        <v>44021003</v>
      </c>
      <c r="AH1181" s="54">
        <f>IF(Q1181="22",IF(ISNUMBER(SEARCH("econ",PAA_4[[#This Row],[Actividad3]])),"Económico",IF(ISNUMBER(SEARCH("alim",PAA_4[[#This Row],[Actividad3]])),"Alimentación",IF(ISNUMBER(SEARCH("educ",PAA_4[[#This Row],[Actividad3]])),"Educativo","Técnico"))),0)</f>
        <v>0</v>
      </c>
      <c r="AI1181" s="47" t="e" cm="1">
        <f t="array" aca="1" ref="AI1181" ca="1">_xlfn.XLOOKUP(PAA_4[[#This Row],[RCP-RUBRO]],[2]!COMPROMISOS_2024[[#All],[concatenado]],[2]!COMPROMISOS_2024[[#All],[Total pagado]],"",0)</f>
        <v>#NAME?</v>
      </c>
      <c r="AJ1181" s="56">
        <f>IF(PAA_4[[#This Row],[BOLSA]]=0,0,SUMIFS([2]!COMPROMISOS_2024[[#All],[Total pagado]],[2]!COMPROMISOS_2024[[#All],[Bolsa]],PAA_4[[#This Row],[BOLSA]],[2]!COMPROMISOS_2024[[#All],[rubro]],PAA_4[[#This Row],[RCP-RUBRO]]))</f>
        <v>0</v>
      </c>
      <c r="AK1181" s="47" t="e" cm="1">
        <f t="array" aca="1" ref="AK1181" ca="1">_xlfn.XLOOKUP(PAA_4[[#This Row],[RCP-RUBRO]],[2]!COMPROMISOS_2024[[#All],[concatenado]],[2]!COMPROMISOS_2024[[#All],[Total Comprometido]],"",0)</f>
        <v>#NAME?</v>
      </c>
      <c r="AL1181" s="47">
        <f>IF(PAA_4[[#This Row],[BOLSA]]=0,0,SUMIFS([2]!COMPROMISOS_2024[[#All],[Total Comprometido]],[2]!COMPROMISOS_2024[[#All],[Bolsa]],PAA_4[[#This Row],[BOLSA]],[2]!COMPROMISOS_2024[[#All],[concatenado]],PAA_4[[#This Row],[RCP-RUBRO]]))</f>
        <v>0</v>
      </c>
    </row>
    <row r="1182" spans="1:38" s="19" customFormat="1" ht="31.5" customHeight="1">
      <c r="A1182" s="47" t="s">
        <v>82</v>
      </c>
      <c r="B1182" s="47" t="s">
        <v>42</v>
      </c>
      <c r="C1182" s="47" t="str">
        <f>VLOOKUP(PAA_4[[#This Row],[PROYECTO (formulado)2]],[2]PROYECTOS!$G$1:$L$32,6,0)</f>
        <v>SUBGERENCIA DE FOMENTO Y DESARROLLO</v>
      </c>
      <c r="D1182" s="47" t="str">
        <f>+IF(PAA_4[[#This Row],[UNIDAD DE CONTRATACION (formulado)]]="Subgerencia Administrativa y Financiera","FUNCIONAMIENTO","INVERSIÓN")</f>
        <v>INVERSIÓN</v>
      </c>
      <c r="E1182" s="48" t="str">
        <f>VLOOKUP(Q1182,[2]PROYECTOS!$G$1:$K$32,5,0)</f>
        <v>FORTALECIMIENTO_DEL_PROGRAMA_POR_SU_SALUD_MUÉVASE_PUES_EN_LOS_MUNICIPIO_DEL_DEPARTAMENTO_DE_ANTIOQUIA</v>
      </c>
      <c r="F1182" s="48">
        <f>VLOOKUP(E1182,[2]PROYECTOS!$K$1:$M$32,3,0)</f>
        <v>2020003050030</v>
      </c>
      <c r="G1182" s="49" t="s">
        <v>359</v>
      </c>
      <c r="H1182" s="49" t="str">
        <f>VLOOKUP(Q1182,[2]PROYECTOS!$V$1:$W$32,2,0)</f>
        <v>050055</v>
      </c>
      <c r="I1182" s="50">
        <v>1642602</v>
      </c>
      <c r="J1182" s="70" t="s">
        <v>1853</v>
      </c>
      <c r="K1182" s="47" t="str">
        <f ca="1">IF(ISNONTEXT(Y1182)=TRUE,"CONTRATADO","NO CONTRATADO")</f>
        <v>CONTRATADO</v>
      </c>
      <c r="L1182" s="47" t="s">
        <v>42</v>
      </c>
      <c r="M1182" s="47" t="s">
        <v>42</v>
      </c>
      <c r="N1182" s="52" t="s">
        <v>360</v>
      </c>
      <c r="O1182" s="51" t="e">
        <f>VLOOKUP(N1182,[2]!RUBROS[#All],3,0)</f>
        <v>#REF!</v>
      </c>
      <c r="P1182" s="53" t="e">
        <f>VLOOKUP(N1182,[2]!RUBROS[#All],2,0)</f>
        <v>#REF!</v>
      </c>
      <c r="Q1182" s="47" t="str">
        <f>+MID(N1182,11,2)</f>
        <v>45</v>
      </c>
      <c r="R1182" s="47" t="str">
        <f t="shared" si="429"/>
        <v>0-205128</v>
      </c>
      <c r="S1182" s="47" t="s">
        <v>42</v>
      </c>
      <c r="T1182" s="59" t="s">
        <v>42</v>
      </c>
      <c r="U1182" s="326" t="e">
        <f ca="1">_xlfn.XLOOKUP(PAA_4[[#This Row],[ITEM]],[2]Contrato!A:A,[2]Contrato!Q:Q,"",0)</f>
        <v>#NAME?</v>
      </c>
      <c r="V1182" s="47" t="s">
        <v>95</v>
      </c>
      <c r="W1182" s="71" t="s">
        <v>42</v>
      </c>
      <c r="X1182" s="47" t="s">
        <v>42</v>
      </c>
      <c r="Y1182" s="55" t="e">
        <f ca="1">_xlfn.XLOOKUP(PAA_4[[#This Row],[ITEM]],[2]Contrato!A:A,[2]Contrato!B:B,"",0)</f>
        <v>#NAME?</v>
      </c>
      <c r="Z1182" s="47" t="e">
        <f ca="1">_xlfn.XLOOKUP(PAA_4[[#This Row],[ITEM]],[2]Contrato!A:A,[2]Contrato!G:G,"",0)</f>
        <v>#NAME?</v>
      </c>
      <c r="AA1182" s="47" t="e">
        <f ca="1">_xlfn.XLOOKUP(PAA_4[[#This Row],[ITEM]],[2]Contrato!A:A,[2]Contrato!T:T,"",0)</f>
        <v>#NAME?</v>
      </c>
      <c r="AB1182" s="55" t="e">
        <f ca="1">+MAX(PAA_4[[#This Row],[Comprometido Contrato]],PAA_4[[#This Row],[Comprometido Bolsa]])</f>
        <v>#NAME?</v>
      </c>
      <c r="AC1182" s="55" t="str">
        <f ca="1">IFERROR(I1182-AB1182,"")</f>
        <v/>
      </c>
      <c r="AD1182" s="55" t="e">
        <f ca="1">IF(PAA_4[[#This Row],[ESTADO (formulado)]]="NO CONTRATADO",0,MAX(PAA_4[[#This Row],[Pago por Contrato]],PAA_4[[#This Row],[Pago por bolsa]]))</f>
        <v>#NAME?</v>
      </c>
      <c r="AE1182" s="55" t="str">
        <f ca="1">+IFERROR(AB1182-AD1182,"")</f>
        <v/>
      </c>
      <c r="AF1182" s="47" t="e">
        <f ca="1">+CONCATENATE(AA1182,N1182)</f>
        <v>#NAME?</v>
      </c>
      <c r="AG1182" s="47">
        <f>IFERROR(_xlfn.NUMBERVALUE(MID(G1182,1,8)),"")</f>
        <v>44021003</v>
      </c>
      <c r="AH1182" s="54">
        <f>IF(Q1182="22",IF(ISNUMBER(SEARCH("econ",PAA_4[[#This Row],[Actividad3]])),"Económico",IF(ISNUMBER(SEARCH("alim",PAA_4[[#This Row],[Actividad3]])),"Alimentación",IF(ISNUMBER(SEARCH("educ",PAA_4[[#This Row],[Actividad3]])),"Educativo","Técnico"))),0)</f>
        <v>0</v>
      </c>
      <c r="AI1182" s="47" t="e" cm="1">
        <f t="array" aca="1" ref="AI1182" ca="1">_xlfn.XLOOKUP(PAA_4[[#This Row],[RCP-RUBRO]],[2]!COMPROMISOS_2024[[#All],[concatenado]],[2]!COMPROMISOS_2024[[#All],[Total pagado]],"",0)</f>
        <v>#NAME?</v>
      </c>
      <c r="AJ1182" s="56">
        <f>IF(PAA_4[[#This Row],[BOLSA]]=0,0,SUMIFS([2]!COMPROMISOS_2024[[#All],[Total pagado]],[2]!COMPROMISOS_2024[[#All],[Bolsa]],PAA_4[[#This Row],[BOLSA]],[2]!COMPROMISOS_2024[[#All],[rubro]],PAA_4[[#This Row],[RCP-RUBRO]]))</f>
        <v>0</v>
      </c>
      <c r="AK1182" s="47" t="e" cm="1">
        <f t="array" aca="1" ref="AK1182" ca="1">_xlfn.XLOOKUP(PAA_4[[#This Row],[RCP-RUBRO]],[2]!COMPROMISOS_2024[[#All],[concatenado]],[2]!COMPROMISOS_2024[[#All],[Total Comprometido]],"",0)</f>
        <v>#NAME?</v>
      </c>
      <c r="AL1182" s="47">
        <f>IF(PAA_4[[#This Row],[BOLSA]]=0,0,SUMIFS([2]!COMPROMISOS_2024[[#All],[Total Comprometido]],[2]!COMPROMISOS_2024[[#All],[Bolsa]],PAA_4[[#This Row],[BOLSA]],[2]!COMPROMISOS_2024[[#All],[concatenado]],PAA_4[[#This Row],[RCP-RUBRO]]))</f>
        <v>0</v>
      </c>
    </row>
    <row r="1183" spans="1:38" s="19" customFormat="1" ht="31.5" customHeight="1">
      <c r="A1183" s="47">
        <v>990</v>
      </c>
      <c r="B1183" s="47">
        <v>80141607</v>
      </c>
      <c r="C1183" s="47" t="str">
        <f>VLOOKUP(PAA_4[[#This Row],[PROYECTO (formulado)2]],[2]PROYECTOS!$G$1:$L$32,6,0)</f>
        <v>SUBGERENCIA DE FOMENTO Y DESARROLLO</v>
      </c>
      <c r="D1183" s="47" t="str">
        <f>+IF(PAA_4[[#This Row],[UNIDAD DE CONTRATACION (formulado)]]="Subgerencia Administrativa y Financiera","FUNCIONAMIENTO","INVERSIÓN")</f>
        <v>INVERSIÓN</v>
      </c>
      <c r="E1183" s="48" t="str">
        <f>VLOOKUP(Q1183,[2]PROYECTOS!$G$1:$K$32,5,0)</f>
        <v>FORTALECIMIENTO_DEL_PROGRAMA_POR_SU_SALUD_MUÉVASE_PUES_EN_LOS_MUNICIPIO_DEL_DEPARTAMENTO_DE_ANTIOQUIA</v>
      </c>
      <c r="F1183" s="48">
        <f>VLOOKUP(E1183,[2]PROYECTOS!$K$1:$M$32,3,0)</f>
        <v>2020003050030</v>
      </c>
      <c r="G1183" s="49" t="s">
        <v>359</v>
      </c>
      <c r="H1183" s="49" t="str">
        <f>VLOOKUP(Q1183,[2]PROYECTOS!$V$1:$W$32,2,0)</f>
        <v>050055</v>
      </c>
      <c r="I1183" s="50">
        <f>579355526-104793608-1642602</f>
        <v>472919316</v>
      </c>
      <c r="J1183" s="70" t="s">
        <v>1859</v>
      </c>
      <c r="K1183" s="47" t="str">
        <f t="shared" ref="K1183:K1184" ca="1" si="434">IF(ISNONTEXT(Y1183)=TRUE,"CONTRATADO","NO CONTRATADO")</f>
        <v>CONTRATADO</v>
      </c>
      <c r="L1183" s="47" t="s">
        <v>94</v>
      </c>
      <c r="M1183" s="47" t="s">
        <v>89</v>
      </c>
      <c r="N1183" s="52" t="s">
        <v>360</v>
      </c>
      <c r="O1183" s="51" t="e">
        <f>VLOOKUP(N1183,[2]!RUBROS[#All],3,0)</f>
        <v>#REF!</v>
      </c>
      <c r="P1183" s="53" t="e">
        <f>VLOOKUP(N1183,[2]!RUBROS[#All],2,0)</f>
        <v>#REF!</v>
      </c>
      <c r="Q1183" s="47" t="str">
        <f t="shared" ref="Q1183:Q1184" si="435">+MID(N1183,11,2)</f>
        <v>45</v>
      </c>
      <c r="R1183" s="47" t="str">
        <f t="shared" si="429"/>
        <v>0-205128</v>
      </c>
      <c r="S1183" s="54">
        <v>5</v>
      </c>
      <c r="T1183" s="59" t="s">
        <v>46</v>
      </c>
      <c r="U1183" s="326" t="e">
        <f ca="1">_xlfn.XLOOKUP(PAA_4[[#This Row],[ITEM]],[2]Contrato!A:A,[2]Contrato!Q:Q,"",0)</f>
        <v>#NAME?</v>
      </c>
      <c r="V1183" s="47" t="s">
        <v>47</v>
      </c>
      <c r="W1183" s="47" t="s">
        <v>193</v>
      </c>
      <c r="X1183" s="47" t="s">
        <v>193</v>
      </c>
      <c r="Y1183" s="55" t="e">
        <f ca="1">_xlfn.XLOOKUP(PAA_4[[#This Row],[ITEM]],[2]Contrato!A:A,[2]Contrato!B:B,"",0)</f>
        <v>#NAME?</v>
      </c>
      <c r="Z1183" s="47" t="e">
        <f ca="1">_xlfn.XLOOKUP(PAA_4[[#This Row],[ITEM]],[2]Contrato!A:A,[2]Contrato!G:G,"",0)</f>
        <v>#NAME?</v>
      </c>
      <c r="AA1183" s="47" t="e">
        <f ca="1">_xlfn.XLOOKUP(PAA_4[[#This Row],[ITEM]],[2]Contrato!A:A,[2]Contrato!T:T,"",0)</f>
        <v>#NAME?</v>
      </c>
      <c r="AB1183" s="55" t="e">
        <f ca="1">+MAX(PAA_4[[#This Row],[Comprometido Contrato]],PAA_4[[#This Row],[Comprometido Bolsa]])</f>
        <v>#NAME?</v>
      </c>
      <c r="AC1183" s="55" t="str">
        <f t="shared" ref="AC1183:AC1184" ca="1" si="436">IFERROR(I1183-AB1183,"")</f>
        <v/>
      </c>
      <c r="AD1183" s="55" t="e">
        <f ca="1">IF(PAA_4[[#This Row],[ESTADO (formulado)]]="NO CONTRATADO",0,MAX(PAA_4[[#This Row],[Pago por Contrato]],PAA_4[[#This Row],[Pago por bolsa]]))</f>
        <v>#NAME?</v>
      </c>
      <c r="AE1183" s="55" t="str">
        <f t="shared" ref="AE1183:AE1184" ca="1" si="437">+IFERROR(AB1183-AD1183,"")</f>
        <v/>
      </c>
      <c r="AF1183" s="47" t="e">
        <f t="shared" ref="AF1183:AF1184" ca="1" si="438">+CONCATENATE(AA1183,N1183)</f>
        <v>#NAME?</v>
      </c>
      <c r="AG1183" s="47">
        <f t="shared" ref="AG1183:AG1184" si="439">IFERROR(_xlfn.NUMBERVALUE(MID(G1183,1,8)),"")</f>
        <v>44021003</v>
      </c>
      <c r="AH1183" s="54">
        <f>IF(Q1183="22",IF(ISNUMBER(SEARCH("econ",PAA_4[[#This Row],[Actividad3]])),"Económico",IF(ISNUMBER(SEARCH("alim",PAA_4[[#This Row],[Actividad3]])),"Alimentación",IF(ISNUMBER(SEARCH("educ",PAA_4[[#This Row],[Actividad3]])),"Educativo","Técnico"))),0)</f>
        <v>0</v>
      </c>
      <c r="AI1183" s="47" t="e" cm="1">
        <f t="array" aca="1" ref="AI1183" ca="1">_xlfn.XLOOKUP(PAA_4[[#This Row],[RCP-RUBRO]],[2]!COMPROMISOS_2024[[#All],[concatenado]],[2]!COMPROMISOS_2024[[#All],[Total pagado]],"",0)</f>
        <v>#NAME?</v>
      </c>
      <c r="AJ1183" s="56">
        <f>IF(PAA_4[[#This Row],[BOLSA]]=0,0,SUMIFS([2]!COMPROMISOS_2024[[#All],[Total pagado]],[2]!COMPROMISOS_2024[[#All],[Bolsa]],PAA_4[[#This Row],[BOLSA]],[2]!COMPROMISOS_2024[[#All],[rubro]],PAA_4[[#This Row],[RCP-RUBRO]]))</f>
        <v>0</v>
      </c>
      <c r="AK1183" s="47" t="e" cm="1">
        <f t="array" aca="1" ref="AK1183" ca="1">_xlfn.XLOOKUP(PAA_4[[#This Row],[RCP-RUBRO]],[2]!COMPROMISOS_2024[[#All],[concatenado]],[2]!COMPROMISOS_2024[[#All],[Total Comprometido]],"",0)</f>
        <v>#NAME?</v>
      </c>
      <c r="AL1183" s="47">
        <f>IF(PAA_4[[#This Row],[BOLSA]]=0,0,SUMIFS([2]!COMPROMISOS_2024[[#All],[Total Comprometido]],[2]!COMPROMISOS_2024[[#All],[Bolsa]],PAA_4[[#This Row],[BOLSA]],[2]!COMPROMISOS_2024[[#All],[concatenado]],PAA_4[[#This Row],[RCP-RUBRO]]))</f>
        <v>0</v>
      </c>
    </row>
    <row r="1184" spans="1:38" s="19" customFormat="1" ht="31.5" customHeight="1">
      <c r="A1184" s="47" t="s">
        <v>82</v>
      </c>
      <c r="B1184" s="47" t="s">
        <v>42</v>
      </c>
      <c r="C1184" s="47" t="str">
        <f>VLOOKUP(PAA_4[[#This Row],[PROYECTO (formulado)2]],[2]PROYECTOS!$G$1:$L$32,6,0)</f>
        <v>SUBGERENCIA DE FOMENTO Y DESARROLLO</v>
      </c>
      <c r="D1184" s="47" t="str">
        <f>+IF(PAA_4[[#This Row],[UNIDAD DE CONTRATACION (formulado)]]="Subgerencia Administrativa y Financiera","FUNCIONAMIENTO","INVERSIÓN")</f>
        <v>INVERSIÓN</v>
      </c>
      <c r="E1184" s="48" t="str">
        <f>VLOOKUP(Q1184,[2]PROYECTOS!$G$1:$K$32,5,0)</f>
        <v>FORTALECIMIENTO_DE_LAS_ESCUELAS_DEPORTIVAS_EN_LOS_MUNICIPIOS_DEL_DEPARTAMENTO_DE_ANTIOQUIA</v>
      </c>
      <c r="F1184" s="48">
        <f>VLOOKUP(E1184,[2]PROYECTOS!$K$1:$M$32,3,0)</f>
        <v>2020003050032</v>
      </c>
      <c r="G1184" s="49" t="s">
        <v>365</v>
      </c>
      <c r="H1184" s="49" t="str">
        <f>VLOOKUP(Q1184,[2]PROYECTOS!$V$1:$W$32,2,0)</f>
        <v>050059</v>
      </c>
      <c r="I1184" s="50">
        <v>1</v>
      </c>
      <c r="J1184" s="70" t="s">
        <v>1858</v>
      </c>
      <c r="K1184" s="47" t="str">
        <f t="shared" ca="1" si="434"/>
        <v>CONTRATADO</v>
      </c>
      <c r="L1184" s="47" t="s">
        <v>42</v>
      </c>
      <c r="M1184" s="47" t="s">
        <v>42</v>
      </c>
      <c r="N1184" s="52" t="s">
        <v>1860</v>
      </c>
      <c r="O1184" s="51" t="e">
        <f>VLOOKUP(N1184,[2]!RUBROS[#All],3,0)</f>
        <v>#REF!</v>
      </c>
      <c r="P1184" s="53" t="e">
        <f>VLOOKUP(N1184,[2]!RUBROS[#All],2,0)</f>
        <v>#REF!</v>
      </c>
      <c r="Q1184" s="47" t="str">
        <f t="shared" si="435"/>
        <v>46</v>
      </c>
      <c r="R1184" s="47" t="str">
        <f t="shared" si="429"/>
        <v>0-205400</v>
      </c>
      <c r="S1184" s="54" t="s">
        <v>42</v>
      </c>
      <c r="T1184" s="59" t="s">
        <v>42</v>
      </c>
      <c r="U1184" s="326" t="e">
        <f ca="1">_xlfn.XLOOKUP(PAA_4[[#This Row],[ITEM]],[2]Contrato!A:A,[2]Contrato!Q:Q,"",0)</f>
        <v>#NAME?</v>
      </c>
      <c r="V1184" s="47" t="s">
        <v>42</v>
      </c>
      <c r="W1184" s="47" t="s">
        <v>42</v>
      </c>
      <c r="X1184" s="47" t="s">
        <v>42</v>
      </c>
      <c r="Y1184" s="55" t="e">
        <f ca="1">_xlfn.XLOOKUP(PAA_4[[#This Row],[ITEM]],[2]Contrato!A:A,[2]Contrato!B:B,"",0)</f>
        <v>#NAME?</v>
      </c>
      <c r="Z1184" s="47" t="e">
        <f ca="1">_xlfn.XLOOKUP(PAA_4[[#This Row],[ITEM]],[2]Contrato!A:A,[2]Contrato!G:G,"",0)</f>
        <v>#NAME?</v>
      </c>
      <c r="AA1184" s="47" t="e">
        <f ca="1">_xlfn.XLOOKUP(PAA_4[[#This Row],[ITEM]],[2]Contrato!A:A,[2]Contrato!T:T,"",0)</f>
        <v>#NAME?</v>
      </c>
      <c r="AB1184" s="55" t="e">
        <f ca="1">+MAX(PAA_4[[#This Row],[Comprometido Contrato]],PAA_4[[#This Row],[Comprometido Bolsa]])</f>
        <v>#NAME?</v>
      </c>
      <c r="AC1184" s="55" t="str">
        <f t="shared" ca="1" si="436"/>
        <v/>
      </c>
      <c r="AD1184" s="55" t="e">
        <f ca="1">IF(PAA_4[[#This Row],[ESTADO (formulado)]]="NO CONTRATADO",0,MAX(PAA_4[[#This Row],[Pago por Contrato]],PAA_4[[#This Row],[Pago por bolsa]]))</f>
        <v>#NAME?</v>
      </c>
      <c r="AE1184" s="55" t="str">
        <f t="shared" ca="1" si="437"/>
        <v/>
      </c>
      <c r="AF1184" s="47" t="e">
        <f t="shared" ca="1" si="438"/>
        <v>#NAME?</v>
      </c>
      <c r="AG1184" s="47">
        <f t="shared" si="439"/>
        <v>44021009</v>
      </c>
      <c r="AH1184" s="54">
        <f>IF(Q1184="22",IF(ISNUMBER(SEARCH("econ",PAA_4[[#This Row],[Actividad3]])),"Económico",IF(ISNUMBER(SEARCH("alim",PAA_4[[#This Row],[Actividad3]])),"Alimentación",IF(ISNUMBER(SEARCH("educ",PAA_4[[#This Row],[Actividad3]])),"Educativo","Técnico"))),0)</f>
        <v>0</v>
      </c>
      <c r="AI1184" s="47" t="e" cm="1">
        <f t="array" aca="1" ref="AI1184" ca="1">_xlfn.XLOOKUP(PAA_4[[#This Row],[RCP-RUBRO]],[2]!COMPROMISOS_2024[[#All],[concatenado]],[2]!COMPROMISOS_2024[[#All],[Total pagado]],"",0)</f>
        <v>#NAME?</v>
      </c>
      <c r="AJ1184" s="56">
        <f>IF(PAA_4[[#This Row],[BOLSA]]=0,0,SUMIFS([2]!COMPROMISOS_2024[[#All],[Total pagado]],[2]!COMPROMISOS_2024[[#All],[Bolsa]],PAA_4[[#This Row],[BOLSA]],[2]!COMPROMISOS_2024[[#All],[rubro]],PAA_4[[#This Row],[RCP-RUBRO]]))</f>
        <v>0</v>
      </c>
      <c r="AK1184" s="47" t="e" cm="1">
        <f t="array" aca="1" ref="AK1184" ca="1">_xlfn.XLOOKUP(PAA_4[[#This Row],[RCP-RUBRO]],[2]!COMPROMISOS_2024[[#All],[concatenado]],[2]!COMPROMISOS_2024[[#All],[Total Comprometido]],"",0)</f>
        <v>#NAME?</v>
      </c>
      <c r="AL1184" s="47">
        <f>IF(PAA_4[[#This Row],[BOLSA]]=0,0,SUMIFS([2]!COMPROMISOS_2024[[#All],[Total Comprometido]],[2]!COMPROMISOS_2024[[#All],[Bolsa]],PAA_4[[#This Row],[BOLSA]],[2]!COMPROMISOS_2024[[#All],[concatenado]],PAA_4[[#This Row],[RCP-RUBRO]]))</f>
        <v>0</v>
      </c>
    </row>
    <row r="1185" spans="1:38" s="19" customFormat="1" ht="31.5" customHeight="1">
      <c r="A1185" s="47" t="s">
        <v>82</v>
      </c>
      <c r="B1185" s="47" t="s">
        <v>42</v>
      </c>
      <c r="C1185" s="47" t="str">
        <f>VLOOKUP(PAA_4[[#This Row],[PROYECTO (formulado)2]],[2]PROYECTOS!$G$1:$L$32,6,0)</f>
        <v>SUBGERENCIA DE FOMENTO Y DESARROLLO</v>
      </c>
      <c r="D1185" s="47" t="str">
        <f>+IF(PAA_4[[#This Row],[UNIDAD DE CONTRATACION (formulado)]]="Subgerencia Administrativa y Financiera","FUNCIONAMIENTO","INVERSIÓN")</f>
        <v>INVERSIÓN</v>
      </c>
      <c r="E1185" s="48" t="str">
        <f>VLOOKUP(Q1185,[2]PROYECTOS!$G$1:$K$32,5,0)</f>
        <v>FORTALECIMIENTO_DE_LAS_ESCUELAS_DEPORTIVAS_EN_LOS_MUNICIPIOS_DEL_DEPARTAMENTO_DE_ANTIOQUIA</v>
      </c>
      <c r="F1185" s="48">
        <f>VLOOKUP(E1185,[2]PROYECTOS!$K$1:$M$32,3,0)</f>
        <v>2020003050032</v>
      </c>
      <c r="G1185" s="49" t="s">
        <v>365</v>
      </c>
      <c r="H1185" s="49" t="str">
        <f>VLOOKUP(Q1185,[2]PROYECTOS!$V$1:$W$32,2,0)</f>
        <v>050059</v>
      </c>
      <c r="I1185" s="50">
        <v>999357</v>
      </c>
      <c r="J1185" s="70" t="s">
        <v>1853</v>
      </c>
      <c r="K1185" s="47" t="str">
        <f ca="1">IF(ISNONTEXT(Y1185)=TRUE,"CONTRATADO","NO CONTRATADO")</f>
        <v>CONTRATADO</v>
      </c>
      <c r="L1185" s="47" t="s">
        <v>42</v>
      </c>
      <c r="M1185" s="47" t="s">
        <v>42</v>
      </c>
      <c r="N1185" s="52" t="s">
        <v>1860</v>
      </c>
      <c r="O1185" s="51" t="e">
        <f>VLOOKUP(N1185,[2]!RUBROS[#All],3,0)</f>
        <v>#REF!</v>
      </c>
      <c r="P1185" s="53" t="e">
        <f>VLOOKUP(N1185,[2]!RUBROS[#All],2,0)</f>
        <v>#REF!</v>
      </c>
      <c r="Q1185" s="47" t="str">
        <f>+MID(N1185,11,2)</f>
        <v>46</v>
      </c>
      <c r="R1185" s="47" t="str">
        <f t="shared" si="429"/>
        <v>0-205400</v>
      </c>
      <c r="S1185" s="47" t="s">
        <v>42</v>
      </c>
      <c r="T1185" s="59" t="s">
        <v>42</v>
      </c>
      <c r="U1185" s="326" t="e">
        <f ca="1">_xlfn.XLOOKUP(PAA_4[[#This Row],[ITEM]],[2]Contrato!A:A,[2]Contrato!Q:Q,"",0)</f>
        <v>#NAME?</v>
      </c>
      <c r="V1185" s="47" t="s">
        <v>95</v>
      </c>
      <c r="W1185" s="47" t="s">
        <v>42</v>
      </c>
      <c r="X1185" s="47" t="s">
        <v>42</v>
      </c>
      <c r="Y1185" s="55" t="e">
        <f ca="1">_xlfn.XLOOKUP(PAA_4[[#This Row],[ITEM]],[2]Contrato!A:A,[2]Contrato!B:B,"",0)</f>
        <v>#NAME?</v>
      </c>
      <c r="Z1185" s="47" t="e">
        <f ca="1">_xlfn.XLOOKUP(PAA_4[[#This Row],[ITEM]],[2]Contrato!A:A,[2]Contrato!G:G,"",0)</f>
        <v>#NAME?</v>
      </c>
      <c r="AA1185" s="47" t="e">
        <f ca="1">_xlfn.XLOOKUP(PAA_4[[#This Row],[ITEM]],[2]Contrato!A:A,[2]Contrato!T:T,"",0)</f>
        <v>#NAME?</v>
      </c>
      <c r="AB1185" s="55" t="e">
        <f ca="1">+MAX(PAA_4[[#This Row],[Comprometido Contrato]],PAA_4[[#This Row],[Comprometido Bolsa]])</f>
        <v>#NAME?</v>
      </c>
      <c r="AC1185" s="55" t="str">
        <f ca="1">IFERROR(I1185-AB1185,"")</f>
        <v/>
      </c>
      <c r="AD1185" s="55" t="e">
        <f ca="1">IF(PAA_4[[#This Row],[ESTADO (formulado)]]="NO CONTRATADO",0,MAX(PAA_4[[#This Row],[Pago por Contrato]],PAA_4[[#This Row],[Pago por bolsa]]))</f>
        <v>#NAME?</v>
      </c>
      <c r="AE1185" s="55" t="str">
        <f ca="1">+IFERROR(AB1185-AD1185,"")</f>
        <v/>
      </c>
      <c r="AF1185" s="47" t="e">
        <f ca="1">+CONCATENATE(AA1185,N1185)</f>
        <v>#NAME?</v>
      </c>
      <c r="AG1185" s="47">
        <f>IFERROR(_xlfn.NUMBERVALUE(MID(G1185,1,8)),"")</f>
        <v>44021009</v>
      </c>
      <c r="AH1185" s="54">
        <f>IF(Q1185="22",IF(ISNUMBER(SEARCH("econ",PAA_4[[#This Row],[Actividad3]])),"Económico",IF(ISNUMBER(SEARCH("alim",PAA_4[[#This Row],[Actividad3]])),"Alimentación",IF(ISNUMBER(SEARCH("educ",PAA_4[[#This Row],[Actividad3]])),"Educativo","Técnico"))),0)</f>
        <v>0</v>
      </c>
      <c r="AI1185" s="47" t="e" cm="1">
        <f t="array" aca="1" ref="AI1185" ca="1">_xlfn.XLOOKUP(PAA_4[[#This Row],[RCP-RUBRO]],[2]!COMPROMISOS_2024[[#All],[concatenado]],[2]!COMPROMISOS_2024[[#All],[Total pagado]],"",0)</f>
        <v>#NAME?</v>
      </c>
      <c r="AJ1185" s="56">
        <f>IF(PAA_4[[#This Row],[BOLSA]]=0,0,SUMIFS([2]!COMPROMISOS_2024[[#All],[Total pagado]],[2]!COMPROMISOS_2024[[#All],[Bolsa]],PAA_4[[#This Row],[BOLSA]],[2]!COMPROMISOS_2024[[#All],[rubro]],PAA_4[[#This Row],[RCP-RUBRO]]))</f>
        <v>0</v>
      </c>
      <c r="AK1185" s="47" t="e" cm="1">
        <f t="array" aca="1" ref="AK1185" ca="1">_xlfn.XLOOKUP(PAA_4[[#This Row],[RCP-RUBRO]],[2]!COMPROMISOS_2024[[#All],[concatenado]],[2]!COMPROMISOS_2024[[#All],[Total Comprometido]],"",0)</f>
        <v>#NAME?</v>
      </c>
      <c r="AL1185" s="47">
        <f>IF(PAA_4[[#This Row],[BOLSA]]=0,0,SUMIFS([2]!COMPROMISOS_2024[[#All],[Total Comprometido]],[2]!COMPROMISOS_2024[[#All],[Bolsa]],PAA_4[[#This Row],[BOLSA]],[2]!COMPROMISOS_2024[[#All],[concatenado]],PAA_4[[#This Row],[RCP-RUBRO]]))</f>
        <v>0</v>
      </c>
    </row>
    <row r="1186" spans="1:38" s="19" customFormat="1" ht="31.5" customHeight="1">
      <c r="A1186" s="47">
        <v>990</v>
      </c>
      <c r="B1186" s="47">
        <v>80141607</v>
      </c>
      <c r="C1186" s="47" t="str">
        <f>VLOOKUP(PAA_4[[#This Row],[PROYECTO (formulado)2]],[2]PROYECTOS!$G$1:$L$32,6,0)</f>
        <v>SUBGERENCIA DE FOMENTO Y DESARROLLO</v>
      </c>
      <c r="D1186" s="47" t="str">
        <f>+IF(PAA_4[[#This Row],[UNIDAD DE CONTRATACION (formulado)]]="Subgerencia Administrativa y Financiera","FUNCIONAMIENTO","INVERSIÓN")</f>
        <v>INVERSIÓN</v>
      </c>
      <c r="E1186" s="48" t="str">
        <f>VLOOKUP(Q1186,[2]PROYECTOS!$G$1:$K$32,5,0)</f>
        <v>FORTALECIMIENTO_DE_LAS_ESCUELAS_DEPORTIVAS_EN_LOS_MUNICIPIOS_DEL_DEPARTAMENTO_DE_ANTIOQUIA</v>
      </c>
      <c r="F1186" s="48">
        <f>VLOOKUP(E1186,[2]PROYECTOS!$K$1:$M$32,3,0)</f>
        <v>2020003050032</v>
      </c>
      <c r="G1186" s="49" t="s">
        <v>365</v>
      </c>
      <c r="H1186" s="49" t="str">
        <f>VLOOKUP(Q1186,[2]PROYECTOS!$V$1:$W$32,2,0)</f>
        <v>050059</v>
      </c>
      <c r="I1186" s="50">
        <f>131002321-1-999357</f>
        <v>130002963</v>
      </c>
      <c r="J1186" s="70" t="s">
        <v>1859</v>
      </c>
      <c r="K1186" s="47" t="str">
        <f t="shared" ref="K1186:K1187" ca="1" si="440">IF(ISNONTEXT(Y1186)=TRUE,"CONTRATADO","NO CONTRATADO")</f>
        <v>CONTRATADO</v>
      </c>
      <c r="L1186" s="47" t="s">
        <v>94</v>
      </c>
      <c r="M1186" s="47" t="s">
        <v>89</v>
      </c>
      <c r="N1186" s="52" t="s">
        <v>1860</v>
      </c>
      <c r="O1186" s="51" t="e">
        <f>VLOOKUP(N1186,[2]!RUBROS[#All],3,0)</f>
        <v>#REF!</v>
      </c>
      <c r="P1186" s="53" t="e">
        <f>VLOOKUP(N1186,[2]!RUBROS[#All],2,0)</f>
        <v>#REF!</v>
      </c>
      <c r="Q1186" s="47" t="str">
        <f t="shared" ref="Q1186:Q1187" si="441">+MID(N1186,11,2)</f>
        <v>46</v>
      </c>
      <c r="R1186" s="47" t="str">
        <f t="shared" si="429"/>
        <v>0-205400</v>
      </c>
      <c r="S1186" s="54">
        <v>5</v>
      </c>
      <c r="T1186" s="59" t="s">
        <v>46</v>
      </c>
      <c r="U1186" s="326" t="e">
        <f ca="1">_xlfn.XLOOKUP(PAA_4[[#This Row],[ITEM]],[2]Contrato!A:A,[2]Contrato!Q:Q,"",0)</f>
        <v>#NAME?</v>
      </c>
      <c r="V1186" s="47" t="s">
        <v>47</v>
      </c>
      <c r="W1186" s="47" t="s">
        <v>193</v>
      </c>
      <c r="X1186" s="47" t="s">
        <v>193</v>
      </c>
      <c r="Y1186" s="55" t="e">
        <f ca="1">_xlfn.XLOOKUP(PAA_4[[#This Row],[ITEM]],[2]Contrato!A:A,[2]Contrato!B:B,"",0)</f>
        <v>#NAME?</v>
      </c>
      <c r="Z1186" s="47" t="e">
        <f ca="1">_xlfn.XLOOKUP(PAA_4[[#This Row],[ITEM]],[2]Contrato!A:A,[2]Contrato!G:G,"",0)</f>
        <v>#NAME?</v>
      </c>
      <c r="AA1186" s="47" t="e">
        <f ca="1">_xlfn.XLOOKUP(PAA_4[[#This Row],[ITEM]],[2]Contrato!A:A,[2]Contrato!T:T,"",0)</f>
        <v>#NAME?</v>
      </c>
      <c r="AB1186" s="55" t="e">
        <f ca="1">+MAX(PAA_4[[#This Row],[Comprometido Contrato]],PAA_4[[#This Row],[Comprometido Bolsa]])</f>
        <v>#NAME?</v>
      </c>
      <c r="AC1186" s="55" t="str">
        <f t="shared" ref="AC1186:AC1187" ca="1" si="442">IFERROR(I1186-AB1186,"")</f>
        <v/>
      </c>
      <c r="AD1186" s="55" t="e">
        <f ca="1">IF(PAA_4[[#This Row],[ESTADO (formulado)]]="NO CONTRATADO",0,MAX(PAA_4[[#This Row],[Pago por Contrato]],PAA_4[[#This Row],[Pago por bolsa]]))</f>
        <v>#NAME?</v>
      </c>
      <c r="AE1186" s="55" t="str">
        <f t="shared" ref="AE1186:AE1187" ca="1" si="443">+IFERROR(AB1186-AD1186,"")</f>
        <v/>
      </c>
      <c r="AF1186" s="47" t="e">
        <f t="shared" ref="AF1186:AF1187" ca="1" si="444">+CONCATENATE(AA1186,N1186)</f>
        <v>#NAME?</v>
      </c>
      <c r="AG1186" s="47">
        <f t="shared" ref="AG1186:AG1187" si="445">IFERROR(_xlfn.NUMBERVALUE(MID(G1186,1,8)),"")</f>
        <v>44021009</v>
      </c>
      <c r="AH1186" s="54">
        <f>IF(Q1186="22",IF(ISNUMBER(SEARCH("econ",PAA_4[[#This Row],[Actividad3]])),"Económico",IF(ISNUMBER(SEARCH("alim",PAA_4[[#This Row],[Actividad3]])),"Alimentación",IF(ISNUMBER(SEARCH("educ",PAA_4[[#This Row],[Actividad3]])),"Educativo","Técnico"))),0)</f>
        <v>0</v>
      </c>
      <c r="AI1186" s="47" t="e" cm="1">
        <f t="array" aca="1" ref="AI1186" ca="1">_xlfn.XLOOKUP(PAA_4[[#This Row],[RCP-RUBRO]],[2]!COMPROMISOS_2024[[#All],[concatenado]],[2]!COMPROMISOS_2024[[#All],[Total pagado]],"",0)</f>
        <v>#NAME?</v>
      </c>
      <c r="AJ1186" s="56">
        <f>IF(PAA_4[[#This Row],[BOLSA]]=0,0,SUMIFS([2]!COMPROMISOS_2024[[#All],[Total pagado]],[2]!COMPROMISOS_2024[[#All],[Bolsa]],PAA_4[[#This Row],[BOLSA]],[2]!COMPROMISOS_2024[[#All],[rubro]],PAA_4[[#This Row],[RCP-RUBRO]]))</f>
        <v>0</v>
      </c>
      <c r="AK1186" s="47" t="e" cm="1">
        <f t="array" aca="1" ref="AK1186" ca="1">_xlfn.XLOOKUP(PAA_4[[#This Row],[RCP-RUBRO]],[2]!COMPROMISOS_2024[[#All],[concatenado]],[2]!COMPROMISOS_2024[[#All],[Total Comprometido]],"",0)</f>
        <v>#NAME?</v>
      </c>
      <c r="AL1186" s="47">
        <f>IF(PAA_4[[#This Row],[BOLSA]]=0,0,SUMIFS([2]!COMPROMISOS_2024[[#All],[Total Comprometido]],[2]!COMPROMISOS_2024[[#All],[Bolsa]],PAA_4[[#This Row],[BOLSA]],[2]!COMPROMISOS_2024[[#All],[concatenado]],PAA_4[[#This Row],[RCP-RUBRO]]))</f>
        <v>0</v>
      </c>
    </row>
    <row r="1187" spans="1:38" s="19" customFormat="1" ht="31.5" customHeight="1">
      <c r="A1187" s="47" t="s">
        <v>82</v>
      </c>
      <c r="B1187" s="47" t="s">
        <v>42</v>
      </c>
      <c r="C1187" s="47" t="str">
        <f>VLOOKUP(PAA_4[[#This Row],[PROYECTO (formulado)2]],[2]PROYECTOS!$G$1:$L$32,6,0)</f>
        <v>SUBGERENCIA DE FOMENTO Y DESARROLLO</v>
      </c>
      <c r="D1187" s="47" t="str">
        <f>+IF(PAA_4[[#This Row],[UNIDAD DE CONTRATACION (formulado)]]="Subgerencia Administrativa y Financiera","FUNCIONAMIENTO","INVERSIÓN")</f>
        <v>INVERSIÓN</v>
      </c>
      <c r="E1187" s="48" t="str">
        <f>VLOOKUP(Q1187,[2]PROYECTOS!$G$1:$K$32,5,0)</f>
        <v>FORTALECIMIENTO_DE_LOS_PROGRAMAS_RECREATIVOS_EN_LOS_MUNICIPIOS_DEL_DEPARTAMENTO_DE_ANTIOQUIA</v>
      </c>
      <c r="F1187" s="48">
        <f>VLOOKUP(E1187,[2]PROYECTOS!$K$1:$M$32,3,0)</f>
        <v>2020003050031</v>
      </c>
      <c r="G1187" s="49" t="s">
        <v>367</v>
      </c>
      <c r="H1187" s="49" t="str">
        <f>VLOOKUP(Q1187,[2]PROYECTOS!$V$1:$W$32,2,0)</f>
        <v>050064</v>
      </c>
      <c r="I1187" s="50">
        <v>5985808</v>
      </c>
      <c r="J1187" s="70" t="s">
        <v>1858</v>
      </c>
      <c r="K1187" s="47" t="str">
        <f t="shared" ca="1" si="440"/>
        <v>CONTRATADO</v>
      </c>
      <c r="L1187" s="47" t="s">
        <v>42</v>
      </c>
      <c r="M1187" s="47" t="s">
        <v>42</v>
      </c>
      <c r="N1187" s="52" t="s">
        <v>355</v>
      </c>
      <c r="O1187" s="51" t="e">
        <f>VLOOKUP(N1187,[2]!RUBROS[#All],3,0)</f>
        <v>#REF!</v>
      </c>
      <c r="P1187" s="53" t="e">
        <f>VLOOKUP(N1187,[2]!RUBROS[#All],2,0)</f>
        <v>#REF!</v>
      </c>
      <c r="Q1187" s="47" t="str">
        <f t="shared" si="441"/>
        <v>47</v>
      </c>
      <c r="R1187" s="47" t="str">
        <f t="shared" si="429"/>
        <v>0-205128</v>
      </c>
      <c r="S1187" s="54" t="s">
        <v>42</v>
      </c>
      <c r="T1187" s="59" t="s">
        <v>42</v>
      </c>
      <c r="U1187" s="326" t="e">
        <f ca="1">_xlfn.XLOOKUP(PAA_4[[#This Row],[ITEM]],[2]Contrato!A:A,[2]Contrato!Q:Q,"",0)</f>
        <v>#NAME?</v>
      </c>
      <c r="V1187" s="47" t="s">
        <v>42</v>
      </c>
      <c r="W1187" s="47" t="s">
        <v>42</v>
      </c>
      <c r="X1187" s="47" t="s">
        <v>42</v>
      </c>
      <c r="Y1187" s="55" t="e">
        <f ca="1">_xlfn.XLOOKUP(PAA_4[[#This Row],[ITEM]],[2]Contrato!A:A,[2]Contrato!B:B,"",0)</f>
        <v>#NAME?</v>
      </c>
      <c r="Z1187" s="47" t="e">
        <f ca="1">_xlfn.XLOOKUP(PAA_4[[#This Row],[ITEM]],[2]Contrato!A:A,[2]Contrato!G:G,"",0)</f>
        <v>#NAME?</v>
      </c>
      <c r="AA1187" s="47" t="e">
        <f ca="1">_xlfn.XLOOKUP(PAA_4[[#This Row],[ITEM]],[2]Contrato!A:A,[2]Contrato!T:T,"",0)</f>
        <v>#NAME?</v>
      </c>
      <c r="AB1187" s="55" t="e">
        <f ca="1">+MAX(PAA_4[[#This Row],[Comprometido Contrato]],PAA_4[[#This Row],[Comprometido Bolsa]])</f>
        <v>#NAME?</v>
      </c>
      <c r="AC1187" s="55" t="str">
        <f t="shared" ca="1" si="442"/>
        <v/>
      </c>
      <c r="AD1187" s="55" t="e">
        <f ca="1">IF(PAA_4[[#This Row],[ESTADO (formulado)]]="NO CONTRATADO",0,MAX(PAA_4[[#This Row],[Pago por Contrato]],PAA_4[[#This Row],[Pago por bolsa]]))</f>
        <v>#NAME?</v>
      </c>
      <c r="AE1187" s="55" t="str">
        <f t="shared" ca="1" si="443"/>
        <v/>
      </c>
      <c r="AF1187" s="47" t="e">
        <f t="shared" ca="1" si="444"/>
        <v>#NAME?</v>
      </c>
      <c r="AG1187" s="47">
        <f t="shared" si="445"/>
        <v>44021006</v>
      </c>
      <c r="AH1187" s="54">
        <f>IF(Q1187="22",IF(ISNUMBER(SEARCH("econ",PAA_4[[#This Row],[Actividad3]])),"Económico",IF(ISNUMBER(SEARCH("alim",PAA_4[[#This Row],[Actividad3]])),"Alimentación",IF(ISNUMBER(SEARCH("educ",PAA_4[[#This Row],[Actividad3]])),"Educativo","Técnico"))),0)</f>
        <v>0</v>
      </c>
      <c r="AI1187" s="47" t="e" cm="1">
        <f t="array" aca="1" ref="AI1187" ca="1">_xlfn.XLOOKUP(PAA_4[[#This Row],[RCP-RUBRO]],[2]!COMPROMISOS_2024[[#All],[concatenado]],[2]!COMPROMISOS_2024[[#All],[Total pagado]],"",0)</f>
        <v>#NAME?</v>
      </c>
      <c r="AJ1187" s="56">
        <f>IF(PAA_4[[#This Row],[BOLSA]]=0,0,SUMIFS([2]!COMPROMISOS_2024[[#All],[Total pagado]],[2]!COMPROMISOS_2024[[#All],[Bolsa]],PAA_4[[#This Row],[BOLSA]],[2]!COMPROMISOS_2024[[#All],[rubro]],PAA_4[[#This Row],[RCP-RUBRO]]))</f>
        <v>0</v>
      </c>
      <c r="AK1187" s="47" t="e" cm="1">
        <f t="array" aca="1" ref="AK1187" ca="1">_xlfn.XLOOKUP(PAA_4[[#This Row],[RCP-RUBRO]],[2]!COMPROMISOS_2024[[#All],[concatenado]],[2]!COMPROMISOS_2024[[#All],[Total Comprometido]],"",0)</f>
        <v>#NAME?</v>
      </c>
      <c r="AL1187" s="47">
        <f>IF(PAA_4[[#This Row],[BOLSA]]=0,0,SUMIFS([2]!COMPROMISOS_2024[[#All],[Total Comprometido]],[2]!COMPROMISOS_2024[[#All],[Bolsa]],PAA_4[[#This Row],[BOLSA]],[2]!COMPROMISOS_2024[[#All],[concatenado]],PAA_4[[#This Row],[RCP-RUBRO]]))</f>
        <v>0</v>
      </c>
    </row>
    <row r="1188" spans="1:38" s="19" customFormat="1" ht="31.5" customHeight="1">
      <c r="A1188" s="47" t="s">
        <v>82</v>
      </c>
      <c r="B1188" s="47" t="s">
        <v>42</v>
      </c>
      <c r="C1188" s="47" t="str">
        <f>VLOOKUP(PAA_4[[#This Row],[PROYECTO (formulado)2]],[2]PROYECTOS!$G$1:$L$32,6,0)</f>
        <v>SUBGERENCIA DE FOMENTO Y DESARROLLO</v>
      </c>
      <c r="D1188" s="47" t="str">
        <f>+IF(PAA_4[[#This Row],[UNIDAD DE CONTRATACION (formulado)]]="Subgerencia Administrativa y Financiera","FUNCIONAMIENTO","INVERSIÓN")</f>
        <v>INVERSIÓN</v>
      </c>
      <c r="E1188" s="48" t="str">
        <f>VLOOKUP(Q1188,[2]PROYECTOS!$G$1:$K$32,5,0)</f>
        <v>FORTALECIMIENTO_DE_LOS_PROGRAMAS_RECREATIVOS_EN_LOS_MUNICIPIOS_DEL_DEPARTAMENTO_DE_ANTIOQUIA</v>
      </c>
      <c r="F1188" s="48">
        <f>VLOOKUP(E1188,[2]PROYECTOS!$K$1:$M$32,3,0)</f>
        <v>2020003050031</v>
      </c>
      <c r="G1188" s="49" t="s">
        <v>367</v>
      </c>
      <c r="H1188" s="49" t="str">
        <f>VLOOKUP(Q1188,[2]PROYECTOS!$V$1:$W$32,2,0)</f>
        <v>050064</v>
      </c>
      <c r="I1188" s="50">
        <v>236958</v>
      </c>
      <c r="J1188" s="70" t="s">
        <v>1853</v>
      </c>
      <c r="K1188" s="47" t="str">
        <f ca="1">IF(ISNONTEXT(Y1188)=TRUE,"CONTRATADO","NO CONTRATADO")</f>
        <v>CONTRATADO</v>
      </c>
      <c r="L1188" s="47" t="s">
        <v>42</v>
      </c>
      <c r="M1188" s="47" t="s">
        <v>42</v>
      </c>
      <c r="N1188" s="52" t="s">
        <v>355</v>
      </c>
      <c r="O1188" s="51" t="e">
        <f>VLOOKUP(N1188,[2]!RUBROS[#All],3,0)</f>
        <v>#REF!</v>
      </c>
      <c r="P1188" s="53" t="e">
        <f>VLOOKUP(N1188,[2]!RUBROS[#All],2,0)</f>
        <v>#REF!</v>
      </c>
      <c r="Q1188" s="47" t="str">
        <f>+MID(N1188,11,2)</f>
        <v>47</v>
      </c>
      <c r="R1188" s="47" t="str">
        <f t="shared" si="429"/>
        <v>0-205128</v>
      </c>
      <c r="S1188" s="47" t="s">
        <v>42</v>
      </c>
      <c r="T1188" s="59" t="s">
        <v>42</v>
      </c>
      <c r="U1188" s="326" t="e">
        <f ca="1">_xlfn.XLOOKUP(PAA_4[[#This Row],[ITEM]],[2]Contrato!A:A,[2]Contrato!Q:Q,"",0)</f>
        <v>#NAME?</v>
      </c>
      <c r="V1188" s="47" t="s">
        <v>95</v>
      </c>
      <c r="W1188" s="47" t="s">
        <v>42</v>
      </c>
      <c r="X1188" s="47" t="s">
        <v>42</v>
      </c>
      <c r="Y1188" s="55" t="e">
        <f ca="1">_xlfn.XLOOKUP(PAA_4[[#This Row],[ITEM]],[2]Contrato!A:A,[2]Contrato!B:B,"",0)</f>
        <v>#NAME?</v>
      </c>
      <c r="Z1188" s="47" t="e">
        <f ca="1">_xlfn.XLOOKUP(PAA_4[[#This Row],[ITEM]],[2]Contrato!A:A,[2]Contrato!G:G,"",0)</f>
        <v>#NAME?</v>
      </c>
      <c r="AA1188" s="47" t="e">
        <f ca="1">_xlfn.XLOOKUP(PAA_4[[#This Row],[ITEM]],[2]Contrato!A:A,[2]Contrato!T:T,"",0)</f>
        <v>#NAME?</v>
      </c>
      <c r="AB1188" s="55" t="e">
        <f ca="1">+MAX(PAA_4[[#This Row],[Comprometido Contrato]],PAA_4[[#This Row],[Comprometido Bolsa]])</f>
        <v>#NAME?</v>
      </c>
      <c r="AC1188" s="55" t="str">
        <f ca="1">IFERROR(I1188-AB1188,"")</f>
        <v/>
      </c>
      <c r="AD1188" s="55" t="e">
        <f ca="1">IF(PAA_4[[#This Row],[ESTADO (formulado)]]="NO CONTRATADO",0,MAX(PAA_4[[#This Row],[Pago por Contrato]],PAA_4[[#This Row],[Pago por bolsa]]))</f>
        <v>#NAME?</v>
      </c>
      <c r="AE1188" s="55" t="str">
        <f ca="1">+IFERROR(AB1188-AD1188,"")</f>
        <v/>
      </c>
      <c r="AF1188" s="47" t="e">
        <f ca="1">+CONCATENATE(AA1188,N1188)</f>
        <v>#NAME?</v>
      </c>
      <c r="AG1188" s="47">
        <f>IFERROR(_xlfn.NUMBERVALUE(MID(G1188,1,8)),"")</f>
        <v>44021006</v>
      </c>
      <c r="AH1188" s="54">
        <f>IF(Q1188="22",IF(ISNUMBER(SEARCH("econ",PAA_4[[#This Row],[Actividad3]])),"Económico",IF(ISNUMBER(SEARCH("alim",PAA_4[[#This Row],[Actividad3]])),"Alimentación",IF(ISNUMBER(SEARCH("educ",PAA_4[[#This Row],[Actividad3]])),"Educativo","Técnico"))),0)</f>
        <v>0</v>
      </c>
      <c r="AI1188" s="47" t="e" cm="1">
        <f t="array" aca="1" ref="AI1188" ca="1">_xlfn.XLOOKUP(PAA_4[[#This Row],[RCP-RUBRO]],[2]!COMPROMISOS_2024[[#All],[concatenado]],[2]!COMPROMISOS_2024[[#All],[Total pagado]],"",0)</f>
        <v>#NAME?</v>
      </c>
      <c r="AJ1188" s="56">
        <f>IF(PAA_4[[#This Row],[BOLSA]]=0,0,SUMIFS([2]!COMPROMISOS_2024[[#All],[Total pagado]],[2]!COMPROMISOS_2024[[#All],[Bolsa]],PAA_4[[#This Row],[BOLSA]],[2]!COMPROMISOS_2024[[#All],[rubro]],PAA_4[[#This Row],[RCP-RUBRO]]))</f>
        <v>0</v>
      </c>
      <c r="AK1188" s="47" t="e" cm="1">
        <f t="array" aca="1" ref="AK1188" ca="1">_xlfn.XLOOKUP(PAA_4[[#This Row],[RCP-RUBRO]],[2]!COMPROMISOS_2024[[#All],[concatenado]],[2]!COMPROMISOS_2024[[#All],[Total Comprometido]],"",0)</f>
        <v>#NAME?</v>
      </c>
      <c r="AL1188" s="47">
        <f>IF(PAA_4[[#This Row],[BOLSA]]=0,0,SUMIFS([2]!COMPROMISOS_2024[[#All],[Total Comprometido]],[2]!COMPROMISOS_2024[[#All],[Bolsa]],PAA_4[[#This Row],[BOLSA]],[2]!COMPROMISOS_2024[[#All],[concatenado]],PAA_4[[#This Row],[RCP-RUBRO]]))</f>
        <v>0</v>
      </c>
    </row>
    <row r="1189" spans="1:38" s="19" customFormat="1" ht="31.5" customHeight="1">
      <c r="A1189" s="47">
        <v>990</v>
      </c>
      <c r="B1189" s="47">
        <v>80141607</v>
      </c>
      <c r="C1189" s="47" t="str">
        <f>VLOOKUP(PAA_4[[#This Row],[PROYECTO (formulado)2]],[2]PROYECTOS!$G$1:$L$32,6,0)</f>
        <v>SUBGERENCIA DE FOMENTO Y DESARROLLO</v>
      </c>
      <c r="D1189" s="47" t="str">
        <f>+IF(PAA_4[[#This Row],[UNIDAD DE CONTRATACION (formulado)]]="Subgerencia Administrativa y Financiera","FUNCIONAMIENTO","INVERSIÓN")</f>
        <v>INVERSIÓN</v>
      </c>
      <c r="E1189" s="48" t="str">
        <f>VLOOKUP(Q1189,[2]PROYECTOS!$G$1:$K$32,5,0)</f>
        <v>FORTALECIMIENTO_DE_LOS_PROGRAMAS_RECREATIVOS_EN_LOS_MUNICIPIOS_DEL_DEPARTAMENTO_DE_ANTIOQUIA</v>
      </c>
      <c r="F1189" s="48">
        <f>VLOOKUP(E1189,[2]PROYECTOS!$K$1:$M$32,3,0)</f>
        <v>2020003050031</v>
      </c>
      <c r="G1189" s="49" t="s">
        <v>367</v>
      </c>
      <c r="H1189" s="49" t="str">
        <f>VLOOKUP(Q1189,[2]PROYECTOS!$V$1:$W$32,2,0)</f>
        <v>050064</v>
      </c>
      <c r="I1189" s="50">
        <f>103750074-5985808-236958</f>
        <v>97527308</v>
      </c>
      <c r="J1189" s="70" t="s">
        <v>1859</v>
      </c>
      <c r="K1189" s="47" t="str">
        <f t="shared" ref="K1189:K1201" ca="1" si="446">IF(ISNONTEXT(Y1189)=TRUE,"CONTRATADO","NO CONTRATADO")</f>
        <v>CONTRATADO</v>
      </c>
      <c r="L1189" s="47" t="s">
        <v>94</v>
      </c>
      <c r="M1189" s="47" t="s">
        <v>89</v>
      </c>
      <c r="N1189" s="52" t="s">
        <v>355</v>
      </c>
      <c r="O1189" s="51" t="e">
        <f>VLOOKUP(N1189,[2]!RUBROS[#All],3,0)</f>
        <v>#REF!</v>
      </c>
      <c r="P1189" s="53" t="e">
        <f>VLOOKUP(N1189,[2]!RUBROS[#All],2,0)</f>
        <v>#REF!</v>
      </c>
      <c r="Q1189" s="47" t="str">
        <f t="shared" ref="Q1189:Q1201" si="447">+MID(N1189,11,2)</f>
        <v>47</v>
      </c>
      <c r="R1189" s="47" t="str">
        <f t="shared" si="429"/>
        <v>0-205128</v>
      </c>
      <c r="S1189" s="54">
        <v>5</v>
      </c>
      <c r="T1189" s="59" t="s">
        <v>46</v>
      </c>
      <c r="U1189" s="326" t="e">
        <f ca="1">_xlfn.XLOOKUP(PAA_4[[#This Row],[ITEM]],[2]Contrato!A:A,[2]Contrato!Q:Q,"",0)</f>
        <v>#NAME?</v>
      </c>
      <c r="V1189" s="47" t="s">
        <v>47</v>
      </c>
      <c r="W1189" s="47" t="s">
        <v>193</v>
      </c>
      <c r="X1189" s="47" t="s">
        <v>193</v>
      </c>
      <c r="Y1189" s="55" t="e">
        <f ca="1">_xlfn.XLOOKUP(PAA_4[[#This Row],[ITEM]],[2]Contrato!A:A,[2]Contrato!B:B,"",0)</f>
        <v>#NAME?</v>
      </c>
      <c r="Z1189" s="47" t="e">
        <f ca="1">_xlfn.XLOOKUP(PAA_4[[#This Row],[ITEM]],[2]Contrato!A:A,[2]Contrato!G:G,"",0)</f>
        <v>#NAME?</v>
      </c>
      <c r="AA1189" s="47" t="e">
        <f ca="1">_xlfn.XLOOKUP(PAA_4[[#This Row],[ITEM]],[2]Contrato!A:A,[2]Contrato!T:T,"",0)</f>
        <v>#NAME?</v>
      </c>
      <c r="AB1189" s="55" t="e">
        <f ca="1">+MAX(PAA_4[[#This Row],[Comprometido Contrato]],PAA_4[[#This Row],[Comprometido Bolsa]])</f>
        <v>#NAME?</v>
      </c>
      <c r="AC1189" s="55" t="str">
        <f t="shared" ref="AC1189:AC1201" ca="1" si="448">IFERROR(I1189-AB1189,"")</f>
        <v/>
      </c>
      <c r="AD1189" s="55" t="e">
        <f ca="1">IF(PAA_4[[#This Row],[ESTADO (formulado)]]="NO CONTRATADO",0,MAX(PAA_4[[#This Row],[Pago por Contrato]],PAA_4[[#This Row],[Pago por bolsa]]))</f>
        <v>#NAME?</v>
      </c>
      <c r="AE1189" s="55" t="str">
        <f t="shared" ref="AE1189:AE1201" ca="1" si="449">+IFERROR(AB1189-AD1189,"")</f>
        <v/>
      </c>
      <c r="AF1189" s="47" t="e">
        <f t="shared" ref="AF1189:AF1201" ca="1" si="450">+CONCATENATE(AA1189,N1189)</f>
        <v>#NAME?</v>
      </c>
      <c r="AG1189" s="47">
        <f t="shared" ref="AG1189:AG1201" si="451">IFERROR(_xlfn.NUMBERVALUE(MID(G1189,1,8)),"")</f>
        <v>44021006</v>
      </c>
      <c r="AH1189" s="54">
        <f>IF(Q1189="22",IF(ISNUMBER(SEARCH("econ",PAA_4[[#This Row],[Actividad3]])),"Económico",IF(ISNUMBER(SEARCH("alim",PAA_4[[#This Row],[Actividad3]])),"Alimentación",IF(ISNUMBER(SEARCH("educ",PAA_4[[#This Row],[Actividad3]])),"Educativo","Técnico"))),0)</f>
        <v>0</v>
      </c>
      <c r="AI1189" s="47" t="e" cm="1">
        <f t="array" aca="1" ref="AI1189" ca="1">_xlfn.XLOOKUP(PAA_4[[#This Row],[RCP-RUBRO]],[2]!COMPROMISOS_2024[[#All],[concatenado]],[2]!COMPROMISOS_2024[[#All],[Total pagado]],"",0)</f>
        <v>#NAME?</v>
      </c>
      <c r="AJ1189" s="56">
        <f>IF(PAA_4[[#This Row],[BOLSA]]=0,0,SUMIFS([2]!COMPROMISOS_2024[[#All],[Total pagado]],[2]!COMPROMISOS_2024[[#All],[Bolsa]],PAA_4[[#This Row],[BOLSA]],[2]!COMPROMISOS_2024[[#All],[rubro]],PAA_4[[#This Row],[RCP-RUBRO]]))</f>
        <v>0</v>
      </c>
      <c r="AK1189" s="47" t="e" cm="1">
        <f t="array" aca="1" ref="AK1189" ca="1">_xlfn.XLOOKUP(PAA_4[[#This Row],[RCP-RUBRO]],[2]!COMPROMISOS_2024[[#All],[concatenado]],[2]!COMPROMISOS_2024[[#All],[Total Comprometido]],"",0)</f>
        <v>#NAME?</v>
      </c>
      <c r="AL1189" s="47">
        <f>IF(PAA_4[[#This Row],[BOLSA]]=0,0,SUMIFS([2]!COMPROMISOS_2024[[#All],[Total Comprometido]],[2]!COMPROMISOS_2024[[#All],[Bolsa]],PAA_4[[#This Row],[BOLSA]],[2]!COMPROMISOS_2024[[#All],[concatenado]],PAA_4[[#This Row],[RCP-RUBRO]]))</f>
        <v>0</v>
      </c>
    </row>
    <row r="1190" spans="1:38" s="19" customFormat="1" ht="31.5" customHeight="1">
      <c r="A1190" s="47">
        <v>991</v>
      </c>
      <c r="B1190" s="51" t="s">
        <v>393</v>
      </c>
      <c r="C1190" s="47" t="str">
        <f>VLOOKUP(PAA_4[[#This Row],[PROYECTO (formulado)2]],[2]PROYECTOS!$G$1:$L$32,6,0)</f>
        <v>SUBGERENCIA DE FOMENTO Y DESARROLLO</v>
      </c>
      <c r="D1190" s="47" t="str">
        <f>+IF(PAA_4[[#This Row],[UNIDAD DE CONTRATACION (formulado)]]="Subgerencia Administrativa y Financiera","FUNCIONAMIENTO","INVERSIÓN")</f>
        <v>INVERSIÓN</v>
      </c>
      <c r="E1190" s="48" t="str">
        <f>VLOOKUP(Q1190,[2]PROYECTOS!$G$1:$K$32,5,0)</f>
        <v>FORTALECIMIENTO_DEL_PROGRAMA_POR_SU_SALUD_MUÉVASE_PUES_EN_LOS_MUNICIPIO_DEL_DEPARTAMENTO_DE_ANTIOQUIA</v>
      </c>
      <c r="F1190" s="48">
        <f>VLOOKUP(E1190,[2]PROYECTOS!$K$1:$M$32,3,0)</f>
        <v>2020003050030</v>
      </c>
      <c r="G1190" s="49" t="s">
        <v>359</v>
      </c>
      <c r="H1190" s="49" t="str">
        <f>VLOOKUP(Q1190,[2]PROYECTOS!$V$1:$W$32,2,0)</f>
        <v>050055</v>
      </c>
      <c r="I1190" s="50">
        <v>60000000</v>
      </c>
      <c r="J1190" s="70" t="s">
        <v>1861</v>
      </c>
      <c r="K1190" s="47" t="str">
        <f t="shared" ca="1" si="446"/>
        <v>CONTRATADO</v>
      </c>
      <c r="L1190" s="47" t="s">
        <v>94</v>
      </c>
      <c r="M1190" s="47" t="s">
        <v>255</v>
      </c>
      <c r="N1190" s="52" t="s">
        <v>360</v>
      </c>
      <c r="O1190" s="51" t="e">
        <f>VLOOKUP(N1190,[2]!RUBROS[#All],3,0)</f>
        <v>#REF!</v>
      </c>
      <c r="P1190" s="53" t="e">
        <f>VLOOKUP(N1190,[2]!RUBROS[#All],2,0)</f>
        <v>#REF!</v>
      </c>
      <c r="Q1190" s="47" t="str">
        <f t="shared" si="447"/>
        <v>45</v>
      </c>
      <c r="R1190" s="47" t="str">
        <f t="shared" si="429"/>
        <v>0-205128</v>
      </c>
      <c r="S1190" s="54">
        <v>5</v>
      </c>
      <c r="T1190" s="59" t="s">
        <v>46</v>
      </c>
      <c r="U1190" s="326" t="e">
        <f ca="1">_xlfn.XLOOKUP(PAA_4[[#This Row],[ITEM]],[2]Contrato!A:A,[2]Contrato!Q:Q,"",0)</f>
        <v>#NAME?</v>
      </c>
      <c r="V1190" s="47" t="s">
        <v>47</v>
      </c>
      <c r="W1190" s="47" t="s">
        <v>193</v>
      </c>
      <c r="X1190" s="47" t="s">
        <v>193</v>
      </c>
      <c r="Y1190" s="55" t="e">
        <f ca="1">_xlfn.XLOOKUP(PAA_4[[#This Row],[ITEM]],[2]Contrato!A:A,[2]Contrato!B:B,"",0)</f>
        <v>#NAME?</v>
      </c>
      <c r="Z1190" s="47" t="e">
        <f ca="1">_xlfn.XLOOKUP(PAA_4[[#This Row],[ITEM]],[2]Contrato!A:A,[2]Contrato!G:G,"",0)</f>
        <v>#NAME?</v>
      </c>
      <c r="AA1190" s="47" t="e">
        <f ca="1">_xlfn.XLOOKUP(PAA_4[[#This Row],[ITEM]],[2]Contrato!A:A,[2]Contrato!T:T,"",0)</f>
        <v>#NAME?</v>
      </c>
      <c r="AB1190" s="55" t="e">
        <f ca="1">+MAX(PAA_4[[#This Row],[Comprometido Contrato]],PAA_4[[#This Row],[Comprometido Bolsa]])</f>
        <v>#NAME?</v>
      </c>
      <c r="AC1190" s="55" t="str">
        <f t="shared" ca="1" si="448"/>
        <v/>
      </c>
      <c r="AD1190" s="55" t="e">
        <f ca="1">IF(PAA_4[[#This Row],[ESTADO (formulado)]]="NO CONTRATADO",0,MAX(PAA_4[[#This Row],[Pago por Contrato]],PAA_4[[#This Row],[Pago por bolsa]]))</f>
        <v>#NAME?</v>
      </c>
      <c r="AE1190" s="55" t="str">
        <f t="shared" ca="1" si="449"/>
        <v/>
      </c>
      <c r="AF1190" s="47" t="e">
        <f t="shared" ca="1" si="450"/>
        <v>#NAME?</v>
      </c>
      <c r="AG1190" s="47">
        <f t="shared" si="451"/>
        <v>44021003</v>
      </c>
      <c r="AH1190" s="54">
        <f>IF(Q1190="22",IF(ISNUMBER(SEARCH("econ",PAA_4[[#This Row],[Actividad3]])),"Económico",IF(ISNUMBER(SEARCH("alim",PAA_4[[#This Row],[Actividad3]])),"Alimentación",IF(ISNUMBER(SEARCH("educ",PAA_4[[#This Row],[Actividad3]])),"Educativo","Técnico"))),0)</f>
        <v>0</v>
      </c>
      <c r="AI1190" s="47" t="e" cm="1">
        <f t="array" aca="1" ref="AI1190" ca="1">_xlfn.XLOOKUP(PAA_4[[#This Row],[RCP-RUBRO]],[2]!COMPROMISOS_2024[[#All],[concatenado]],[2]!COMPROMISOS_2024[[#All],[Total pagado]],"",0)</f>
        <v>#NAME?</v>
      </c>
      <c r="AJ1190" s="56">
        <f>IF(PAA_4[[#This Row],[BOLSA]]=0,0,SUMIFS([2]!COMPROMISOS_2024[[#All],[Total pagado]],[2]!COMPROMISOS_2024[[#All],[Bolsa]],PAA_4[[#This Row],[BOLSA]],[2]!COMPROMISOS_2024[[#All],[rubro]],PAA_4[[#This Row],[RCP-RUBRO]]))</f>
        <v>0</v>
      </c>
      <c r="AK1190" s="47" t="e" cm="1">
        <f t="array" aca="1" ref="AK1190" ca="1">_xlfn.XLOOKUP(PAA_4[[#This Row],[RCP-RUBRO]],[2]!COMPROMISOS_2024[[#All],[concatenado]],[2]!COMPROMISOS_2024[[#All],[Total Comprometido]],"",0)</f>
        <v>#NAME?</v>
      </c>
      <c r="AL1190" s="47">
        <f>IF(PAA_4[[#This Row],[BOLSA]]=0,0,SUMIFS([2]!COMPROMISOS_2024[[#All],[Total Comprometido]],[2]!COMPROMISOS_2024[[#All],[Bolsa]],PAA_4[[#This Row],[BOLSA]],[2]!COMPROMISOS_2024[[#All],[concatenado]],PAA_4[[#This Row],[RCP-RUBRO]]))</f>
        <v>0</v>
      </c>
    </row>
    <row r="1191" spans="1:38" s="19" customFormat="1" ht="31.5" customHeight="1">
      <c r="A1191" s="47">
        <v>992</v>
      </c>
      <c r="B1191" s="47">
        <v>80141607</v>
      </c>
      <c r="C1191" s="47" t="str">
        <f>VLOOKUP(PAA_4[[#This Row],[PROYECTO (formulado)2]],[2]PROYECTOS!$G$1:$L$32,6,0)</f>
        <v>SUBGERENCIA DE FOMENTO Y DESARROLLO</v>
      </c>
      <c r="D1191" s="47" t="str">
        <f>+IF(PAA_4[[#This Row],[UNIDAD DE CONTRATACION (formulado)]]="Subgerencia Administrativa y Financiera","FUNCIONAMIENTO","INVERSIÓN")</f>
        <v>INVERSIÓN</v>
      </c>
      <c r="E1191" s="48" t="str">
        <f>VLOOKUP(Q1191,[2]PROYECTOS!$G$1:$K$32,5,0)</f>
        <v>FORTALECIMIENTO_DEL_PROGRAMA_POR_SU_SALUD_MUÉVASE_PUES_EN_LOS_MUNICIPIO_DEL_DEPARTAMENTO_DE_ANTIOQUIA</v>
      </c>
      <c r="F1191" s="48">
        <f>VLOOKUP(E1191,[2]PROYECTOS!$K$1:$M$32,3,0)</f>
        <v>2020003050030</v>
      </c>
      <c r="G1191" s="49" t="s">
        <v>359</v>
      </c>
      <c r="H1191" s="49" t="str">
        <f>VLOOKUP(Q1191,[2]PROYECTOS!$V$1:$W$32,2,0)</f>
        <v>050055</v>
      </c>
      <c r="I1191" s="50">
        <v>0</v>
      </c>
      <c r="J1191" s="51" t="s">
        <v>42</v>
      </c>
      <c r="K1191" s="47" t="str">
        <f t="shared" ca="1" si="446"/>
        <v>CONTRATADO</v>
      </c>
      <c r="L1191" s="47" t="s">
        <v>94</v>
      </c>
      <c r="M1191" s="47" t="s">
        <v>89</v>
      </c>
      <c r="N1191" s="52" t="s">
        <v>360</v>
      </c>
      <c r="O1191" s="51" t="e">
        <f>VLOOKUP(N1191,[2]!RUBROS[#All],3,0)</f>
        <v>#REF!</v>
      </c>
      <c r="P1191" s="53" t="e">
        <f>VLOOKUP(N1191,[2]!RUBROS[#All],2,0)</f>
        <v>#REF!</v>
      </c>
      <c r="Q1191" s="47" t="str">
        <f t="shared" si="447"/>
        <v>45</v>
      </c>
      <c r="R1191" s="47" t="str">
        <f t="shared" si="429"/>
        <v>0-205128</v>
      </c>
      <c r="S1191" s="54">
        <v>5</v>
      </c>
      <c r="T1191" s="59" t="s">
        <v>46</v>
      </c>
      <c r="U1191" s="326" t="e">
        <f ca="1">_xlfn.XLOOKUP(PAA_4[[#This Row],[ITEM]],[2]Contrato!A:A,[2]Contrato!Q:Q,"",0)</f>
        <v>#NAME?</v>
      </c>
      <c r="V1191" s="47" t="s">
        <v>47</v>
      </c>
      <c r="W1191" s="47" t="s">
        <v>42</v>
      </c>
      <c r="X1191" s="47" t="s">
        <v>42</v>
      </c>
      <c r="Y1191" s="55" t="e">
        <f ca="1">_xlfn.XLOOKUP(PAA_4[[#This Row],[ITEM]],[2]Contrato!A:A,[2]Contrato!B:B,"",0)</f>
        <v>#NAME?</v>
      </c>
      <c r="Z1191" s="47" t="e">
        <f ca="1">_xlfn.XLOOKUP(PAA_4[[#This Row],[ITEM]],[2]Contrato!A:A,[2]Contrato!G:G,"",0)</f>
        <v>#NAME?</v>
      </c>
      <c r="AA1191" s="47" t="e">
        <f ca="1">_xlfn.XLOOKUP(PAA_4[[#This Row],[ITEM]],[2]Contrato!A:A,[2]Contrato!T:T,"",0)</f>
        <v>#NAME?</v>
      </c>
      <c r="AB1191" s="55" t="e">
        <f ca="1">+MAX(PAA_4[[#This Row],[Comprometido Contrato]],PAA_4[[#This Row],[Comprometido Bolsa]])</f>
        <v>#NAME?</v>
      </c>
      <c r="AC1191" s="55" t="str">
        <f t="shared" ca="1" si="448"/>
        <v/>
      </c>
      <c r="AD1191" s="55" t="e">
        <f ca="1">IF(PAA_4[[#This Row],[ESTADO (formulado)]]="NO CONTRATADO",0,MAX(PAA_4[[#This Row],[Pago por Contrato]],PAA_4[[#This Row],[Pago por bolsa]]))</f>
        <v>#NAME?</v>
      </c>
      <c r="AE1191" s="55" t="str">
        <f t="shared" ca="1" si="449"/>
        <v/>
      </c>
      <c r="AF1191" s="47" t="e">
        <f t="shared" ca="1" si="450"/>
        <v>#NAME?</v>
      </c>
      <c r="AG1191" s="47">
        <f t="shared" si="451"/>
        <v>44021003</v>
      </c>
      <c r="AH1191" s="54">
        <f>IF(Q1191="22",IF(ISNUMBER(SEARCH("econ",PAA_4[[#This Row],[Actividad3]])),"Económico",IF(ISNUMBER(SEARCH("alim",PAA_4[[#This Row],[Actividad3]])),"Alimentación",IF(ISNUMBER(SEARCH("educ",PAA_4[[#This Row],[Actividad3]])),"Educativo","Técnico"))),0)</f>
        <v>0</v>
      </c>
      <c r="AI1191" s="47" t="e" cm="1">
        <f t="array" aca="1" ref="AI1191" ca="1">_xlfn.XLOOKUP(PAA_4[[#This Row],[RCP-RUBRO]],[2]!COMPROMISOS_2024[[#All],[concatenado]],[2]!COMPROMISOS_2024[[#All],[Total pagado]],"",0)</f>
        <v>#NAME?</v>
      </c>
      <c r="AJ1191" s="56">
        <f>IF(PAA_4[[#This Row],[BOLSA]]=0,0,SUMIFS([2]!COMPROMISOS_2024[[#All],[Total pagado]],[2]!COMPROMISOS_2024[[#All],[Bolsa]],PAA_4[[#This Row],[BOLSA]],[2]!COMPROMISOS_2024[[#All],[rubro]],PAA_4[[#This Row],[RCP-RUBRO]]))</f>
        <v>0</v>
      </c>
      <c r="AK1191" s="47" t="e" cm="1">
        <f t="array" aca="1" ref="AK1191" ca="1">_xlfn.XLOOKUP(PAA_4[[#This Row],[RCP-RUBRO]],[2]!COMPROMISOS_2024[[#All],[concatenado]],[2]!COMPROMISOS_2024[[#All],[Total Comprometido]],"",0)</f>
        <v>#NAME?</v>
      </c>
      <c r="AL1191" s="47">
        <f>IF(PAA_4[[#This Row],[BOLSA]]=0,0,SUMIFS([2]!COMPROMISOS_2024[[#All],[Total Comprometido]],[2]!COMPROMISOS_2024[[#All],[Bolsa]],PAA_4[[#This Row],[BOLSA]],[2]!COMPROMISOS_2024[[#All],[concatenado]],PAA_4[[#This Row],[RCP-RUBRO]]))</f>
        <v>0</v>
      </c>
    </row>
    <row r="1192" spans="1:38" s="19" customFormat="1" ht="31.5" customHeight="1">
      <c r="A1192" s="47">
        <v>369</v>
      </c>
      <c r="B1192" s="47">
        <v>80111600</v>
      </c>
      <c r="C1192" s="47" t="str">
        <f>VLOOKUP(PAA_4[[#This Row],[PROYECTO (formulado)2]],[2]PROYECTOS!$G$1:$L$32,6,0)</f>
        <v>SUBGERENCIA DE FOMENTO Y DESARROLLO</v>
      </c>
      <c r="D1192" s="47" t="str">
        <f>+IF(PAA_4[[#This Row],[UNIDAD DE CONTRATACION (formulado)]]="Subgerencia Administrativa y Financiera","FUNCIONAMIENTO","INVERSIÓN")</f>
        <v>INVERSIÓN</v>
      </c>
      <c r="E1192" s="48" t="str">
        <f>VLOOKUP(Q1192,[2]PROYECTOS!$G$1:$K$32,5,0)</f>
        <v>FORTALECIMIENTO_DEL_PROGRAMA_POR_SU_SALUD_MUÉVASE_PUES_EN_LOS_MUNICIPIO_DEL_DEPARTAMENTO_DE_ANTIOQUIA</v>
      </c>
      <c r="F1192" s="48">
        <f>VLOOKUP(E1192,[2]PROYECTOS!$K$1:$M$32,3,0)</f>
        <v>2020003050030</v>
      </c>
      <c r="G1192" s="49" t="s">
        <v>359</v>
      </c>
      <c r="H1192" s="49" t="str">
        <f>VLOOKUP(Q1192,[2]PROYECTOS!$V$1:$W$32,2,0)</f>
        <v>050055</v>
      </c>
      <c r="I1192" s="50">
        <v>0</v>
      </c>
      <c r="J1192" s="51" t="s">
        <v>1862</v>
      </c>
      <c r="K1192" s="47" t="str">
        <f t="shared" ca="1" si="446"/>
        <v>CONTRATADO</v>
      </c>
      <c r="L1192" s="47" t="s">
        <v>94</v>
      </c>
      <c r="M1192" s="47" t="s">
        <v>161</v>
      </c>
      <c r="N1192" s="52" t="s">
        <v>360</v>
      </c>
      <c r="O1192" s="51" t="e">
        <f>VLOOKUP(N1192,[2]!RUBROS[#All],3,0)</f>
        <v>#REF!</v>
      </c>
      <c r="P1192" s="53" t="e">
        <f>VLOOKUP(N1192,[2]!RUBROS[#All],2,0)</f>
        <v>#REF!</v>
      </c>
      <c r="Q1192" s="47" t="str">
        <f t="shared" si="447"/>
        <v>45</v>
      </c>
      <c r="R1192" s="47" t="str">
        <f t="shared" si="429"/>
        <v>0-205128</v>
      </c>
      <c r="S1192" s="54">
        <v>5</v>
      </c>
      <c r="T1192" s="59" t="s">
        <v>46</v>
      </c>
      <c r="U1192" s="326" t="e">
        <f ca="1">_xlfn.XLOOKUP(PAA_4[[#This Row],[ITEM]],[2]Contrato!A:A,[2]Contrato!Q:Q,"",0)</f>
        <v>#NAME?</v>
      </c>
      <c r="V1192" s="47" t="s">
        <v>47</v>
      </c>
      <c r="W1192" s="47" t="s">
        <v>193</v>
      </c>
      <c r="X1192" s="47" t="s">
        <v>193</v>
      </c>
      <c r="Y1192" s="55" t="e">
        <f ca="1">_xlfn.XLOOKUP(PAA_4[[#This Row],[ITEM]],[2]Contrato!A:A,[2]Contrato!B:B,"",0)</f>
        <v>#NAME?</v>
      </c>
      <c r="Z1192" s="47" t="e">
        <f ca="1">_xlfn.XLOOKUP(PAA_4[[#This Row],[ITEM]],[2]Contrato!A:A,[2]Contrato!G:G,"",0)</f>
        <v>#NAME?</v>
      </c>
      <c r="AA1192" s="47" t="e">
        <f ca="1">_xlfn.XLOOKUP(PAA_4[[#This Row],[ITEM]],[2]Contrato!A:A,[2]Contrato!T:T,"",0)</f>
        <v>#NAME?</v>
      </c>
      <c r="AB1192" s="55" t="e">
        <f ca="1">+MAX(PAA_4[[#This Row],[Comprometido Contrato]],PAA_4[[#This Row],[Comprometido Bolsa]])</f>
        <v>#NAME?</v>
      </c>
      <c r="AC1192" s="55" t="str">
        <f t="shared" ca="1" si="448"/>
        <v/>
      </c>
      <c r="AD1192" s="55" t="e">
        <f ca="1">IF(PAA_4[[#This Row],[ESTADO (formulado)]]="NO CONTRATADO",0,MAX(PAA_4[[#This Row],[Pago por Contrato]],PAA_4[[#This Row],[Pago por bolsa]]))</f>
        <v>#NAME?</v>
      </c>
      <c r="AE1192" s="55" t="str">
        <f t="shared" ca="1" si="449"/>
        <v/>
      </c>
      <c r="AF1192" s="47" t="e">
        <f t="shared" ca="1" si="450"/>
        <v>#NAME?</v>
      </c>
      <c r="AG1192" s="47">
        <f t="shared" si="451"/>
        <v>44021003</v>
      </c>
      <c r="AH1192" s="54">
        <f>IF(Q1192="22",IF(ISNUMBER(SEARCH("econ",PAA_4[[#This Row],[Actividad3]])),"Económico",IF(ISNUMBER(SEARCH("alim",PAA_4[[#This Row],[Actividad3]])),"Alimentación",IF(ISNUMBER(SEARCH("educ",PAA_4[[#This Row],[Actividad3]])),"Educativo","Técnico"))),0)</f>
        <v>0</v>
      </c>
      <c r="AI1192" s="47" t="e" cm="1">
        <f t="array" aca="1" ref="AI1192" ca="1">_xlfn.XLOOKUP(PAA_4[[#This Row],[RCP-RUBRO]],[2]!COMPROMISOS_2024[[#All],[concatenado]],[2]!COMPROMISOS_2024[[#All],[Total pagado]],"",0)</f>
        <v>#NAME?</v>
      </c>
      <c r="AJ1192" s="56">
        <f>IF(PAA_4[[#This Row],[BOLSA]]=0,0,SUMIFS([2]!COMPROMISOS_2024[[#All],[Total pagado]],[2]!COMPROMISOS_2024[[#All],[Bolsa]],PAA_4[[#This Row],[BOLSA]],[2]!COMPROMISOS_2024[[#All],[rubro]],PAA_4[[#This Row],[RCP-RUBRO]]))</f>
        <v>0</v>
      </c>
      <c r="AK1192" s="47" t="e" cm="1">
        <f t="array" aca="1" ref="AK1192" ca="1">_xlfn.XLOOKUP(PAA_4[[#This Row],[RCP-RUBRO]],[2]!COMPROMISOS_2024[[#All],[concatenado]],[2]!COMPROMISOS_2024[[#All],[Total Comprometido]],"",0)</f>
        <v>#NAME?</v>
      </c>
      <c r="AL1192" s="47">
        <f>IF(PAA_4[[#This Row],[BOLSA]]=0,0,SUMIFS([2]!COMPROMISOS_2024[[#All],[Total Comprometido]],[2]!COMPROMISOS_2024[[#All],[Bolsa]],PAA_4[[#This Row],[BOLSA]],[2]!COMPROMISOS_2024[[#All],[concatenado]],PAA_4[[#This Row],[RCP-RUBRO]]))</f>
        <v>0</v>
      </c>
    </row>
    <row r="1193" spans="1:38" s="19" customFormat="1" ht="31.5" customHeight="1">
      <c r="A1193" s="47" t="s">
        <v>1863</v>
      </c>
      <c r="B1193" s="362" t="s">
        <v>361</v>
      </c>
      <c r="C1193" s="47" t="str">
        <f>VLOOKUP(PAA_4[[#This Row],[PROYECTO (formulado)2]],[2]PROYECTOS!$G$1:$L$32,6,0)</f>
        <v>SUBGERENCIA DE FOMENTO Y DESARROLLO</v>
      </c>
      <c r="D1193" s="47" t="str">
        <f>+IF(PAA_4[[#This Row],[UNIDAD DE CONTRATACION (formulado)]]="Subgerencia Administrativa y Financiera","FUNCIONAMIENTO","INVERSIÓN")</f>
        <v>INVERSIÓN</v>
      </c>
      <c r="E1193" s="48" t="str">
        <f>VLOOKUP(Q1193,[2]PROYECTOS!$G$1:$K$32,5,0)</f>
        <v>FORTALECIMIENTO_DE_LAS_ESCUELAS_DEPORTIVAS_EN_LOS_MUNICIPIOS_DEL_DEPARTAMENTO_DE_ANTIOQUIA</v>
      </c>
      <c r="F1193" s="48">
        <f>VLOOKUP(E1193,[2]PROYECTOS!$K$1:$M$32,3,0)</f>
        <v>2020003050032</v>
      </c>
      <c r="G1193" s="49" t="s">
        <v>362</v>
      </c>
      <c r="H1193" s="49" t="str">
        <f>VLOOKUP(Q1193,[2]PROYECTOS!$V$1:$W$32,2,0)</f>
        <v>050059</v>
      </c>
      <c r="I1193" s="50">
        <v>1333079384</v>
      </c>
      <c r="J1193" s="51" t="s">
        <v>321</v>
      </c>
      <c r="K1193" s="47" t="str">
        <f t="shared" ca="1" si="446"/>
        <v>CONTRATADO</v>
      </c>
      <c r="L1193" s="47" t="s">
        <v>264</v>
      </c>
      <c r="M1193" s="47" t="s">
        <v>107</v>
      </c>
      <c r="N1193" s="52" t="s">
        <v>363</v>
      </c>
      <c r="O1193" s="51" t="e">
        <f>VLOOKUP(N1193,[2]!RUBROS[#All],3,0)</f>
        <v>#REF!</v>
      </c>
      <c r="P1193" s="53" t="e">
        <f>VLOOKUP(N1193,[2]!RUBROS[#All],2,0)</f>
        <v>#REF!</v>
      </c>
      <c r="Q1193" s="47" t="str">
        <f t="shared" si="447"/>
        <v>46</v>
      </c>
      <c r="R1193" s="47" t="str">
        <f t="shared" si="429"/>
        <v>0-205128</v>
      </c>
      <c r="S1193" s="54">
        <v>9</v>
      </c>
      <c r="T1193" s="59" t="s">
        <v>46</v>
      </c>
      <c r="U1193" s="326" t="e">
        <f ca="1">_xlfn.XLOOKUP(PAA_4[[#This Row],[ITEM]],[2]Contrato!A:A,[2]Contrato!Q:Q,"",0)</f>
        <v>#NAME?</v>
      </c>
      <c r="V1193" s="47" t="s">
        <v>47</v>
      </c>
      <c r="W1193" s="47" t="s">
        <v>96</v>
      </c>
      <c r="X1193" s="47" t="s">
        <v>96</v>
      </c>
      <c r="Y1193" s="55" t="e">
        <f ca="1">_xlfn.XLOOKUP(PAA_4[[#This Row],[ITEM]],[2]Contrato!A:A,[2]Contrato!B:B,"",0)</f>
        <v>#NAME?</v>
      </c>
      <c r="Z1193" s="47" t="e">
        <f ca="1">_xlfn.XLOOKUP(PAA_4[[#This Row],[ITEM]],[2]Contrato!A:A,[2]Contrato!G:G,"",0)</f>
        <v>#NAME?</v>
      </c>
      <c r="AA1193" s="47" t="e">
        <f ca="1">_xlfn.XLOOKUP(PAA_4[[#This Row],[ITEM]],[2]Contrato!A:A,[2]Contrato!T:T,"",0)</f>
        <v>#NAME?</v>
      </c>
      <c r="AB1193" s="55" t="e">
        <f ca="1">+MAX(PAA_4[[#This Row],[Comprometido Contrato]],PAA_4[[#This Row],[Comprometido Bolsa]])</f>
        <v>#NAME?</v>
      </c>
      <c r="AC1193" s="55" t="str">
        <f t="shared" ca="1" si="448"/>
        <v/>
      </c>
      <c r="AD1193" s="55" t="e">
        <f ca="1">IF(PAA_4[[#This Row],[ESTADO (formulado)]]="NO CONTRATADO",0,MAX(PAA_4[[#This Row],[Pago por Contrato]],PAA_4[[#This Row],[Pago por bolsa]]))</f>
        <v>#NAME?</v>
      </c>
      <c r="AE1193" s="55" t="str">
        <f t="shared" ca="1" si="449"/>
        <v/>
      </c>
      <c r="AF1193" s="47" t="e">
        <f t="shared" ca="1" si="450"/>
        <v>#NAME?</v>
      </c>
      <c r="AG1193" s="47">
        <f t="shared" si="451"/>
        <v>44021008</v>
      </c>
      <c r="AH1193" s="54">
        <f>IF(Q1193="22",IF(ISNUMBER(SEARCH("econ",PAA_4[[#This Row],[Actividad3]])),"Económico",IF(ISNUMBER(SEARCH("alim",PAA_4[[#This Row],[Actividad3]])),"Alimentación",IF(ISNUMBER(SEARCH("educ",PAA_4[[#This Row],[Actividad3]])),"Educativo","Técnico"))),0)</f>
        <v>0</v>
      </c>
      <c r="AI1193" s="47" t="e" cm="1">
        <f t="array" aca="1" ref="AI1193" ca="1">_xlfn.XLOOKUP(PAA_4[[#This Row],[RCP-RUBRO]],[2]!COMPROMISOS_2024[[#All],[concatenado]],[2]!COMPROMISOS_2024[[#All],[Total pagado]],"",0)</f>
        <v>#NAME?</v>
      </c>
      <c r="AJ1193" s="56">
        <f>IF(PAA_4[[#This Row],[BOLSA]]=0,0,SUMIFS([2]!COMPROMISOS_2024[[#All],[Total pagado]],[2]!COMPROMISOS_2024[[#All],[Bolsa]],PAA_4[[#This Row],[BOLSA]],[2]!COMPROMISOS_2024[[#All],[rubro]],PAA_4[[#This Row],[RCP-RUBRO]]))</f>
        <v>0</v>
      </c>
      <c r="AK1193" s="47" t="e" cm="1">
        <f t="array" aca="1" ref="AK1193" ca="1">_xlfn.XLOOKUP(PAA_4[[#This Row],[RCP-RUBRO]],[2]!COMPROMISOS_2024[[#All],[concatenado]],[2]!COMPROMISOS_2024[[#All],[Total Comprometido]],"",0)</f>
        <v>#NAME?</v>
      </c>
      <c r="AL1193" s="47">
        <f>IF(PAA_4[[#This Row],[BOLSA]]=0,0,SUMIFS([2]!COMPROMISOS_2024[[#All],[Total Comprometido]],[2]!COMPROMISOS_2024[[#All],[Bolsa]],PAA_4[[#This Row],[BOLSA]],[2]!COMPROMISOS_2024[[#All],[concatenado]],PAA_4[[#This Row],[RCP-RUBRO]]))</f>
        <v>0</v>
      </c>
    </row>
    <row r="1194" spans="1:38" s="19" customFormat="1" ht="31.5" customHeight="1">
      <c r="A1194" s="47">
        <v>634</v>
      </c>
      <c r="B1194" s="362" t="s">
        <v>361</v>
      </c>
      <c r="C1194" s="47" t="str">
        <f>VLOOKUP(PAA_4[[#This Row],[PROYECTO (formulado)2]],[2]PROYECTOS!$G$1:$L$32,6,0)</f>
        <v>SUBGERENCIA DE FOMENTO Y DESARROLLO</v>
      </c>
      <c r="D1194" s="47" t="str">
        <f>+IF(PAA_4[[#This Row],[UNIDAD DE CONTRATACION (formulado)]]="Subgerencia Administrativa y Financiera","FUNCIONAMIENTO","INVERSIÓN")</f>
        <v>INVERSIÓN</v>
      </c>
      <c r="E1194" s="48" t="str">
        <f>VLOOKUP(Q1194,[2]PROYECTOS!$G$1:$K$32,5,0)</f>
        <v>FORTALECIMIENTO_DE_LAS_ESCUELAS_DEPORTIVAS_EN_LOS_MUNICIPIOS_DEL_DEPARTAMENTO_DE_ANTIOQUIA</v>
      </c>
      <c r="F1194" s="48">
        <f>VLOOKUP(E1194,[2]PROYECTOS!$K$1:$M$32,3,0)</f>
        <v>2020003050032</v>
      </c>
      <c r="G1194" s="49" t="s">
        <v>362</v>
      </c>
      <c r="H1194" s="49" t="str">
        <f>VLOOKUP(Q1194,[2]PROYECTOS!$V$1:$W$32,2,0)</f>
        <v>050059</v>
      </c>
      <c r="I1194" s="50">
        <v>0</v>
      </c>
      <c r="J1194" s="51" t="s">
        <v>321</v>
      </c>
      <c r="K1194" s="47" t="str">
        <f t="shared" ca="1" si="446"/>
        <v>CONTRATADO</v>
      </c>
      <c r="L1194" s="47" t="s">
        <v>264</v>
      </c>
      <c r="M1194" s="47" t="s">
        <v>107</v>
      </c>
      <c r="N1194" s="52" t="s">
        <v>363</v>
      </c>
      <c r="O1194" s="51" t="e">
        <f>VLOOKUP(N1194,[2]!RUBROS[#All],3,0)</f>
        <v>#REF!</v>
      </c>
      <c r="P1194" s="53" t="e">
        <f>VLOOKUP(N1194,[2]!RUBROS[#All],2,0)</f>
        <v>#REF!</v>
      </c>
      <c r="Q1194" s="47" t="str">
        <f t="shared" si="447"/>
        <v>46</v>
      </c>
      <c r="R1194" s="47" t="str">
        <f t="shared" si="429"/>
        <v>0-205128</v>
      </c>
      <c r="S1194" s="54">
        <v>9</v>
      </c>
      <c r="T1194" s="59" t="s">
        <v>46</v>
      </c>
      <c r="U1194" s="326" t="e">
        <f ca="1">_xlfn.XLOOKUP(PAA_4[[#This Row],[ITEM]],[2]Contrato!A:A,[2]Contrato!Q:Q,"",0)</f>
        <v>#NAME?</v>
      </c>
      <c r="V1194" s="47" t="s">
        <v>47</v>
      </c>
      <c r="W1194" s="47" t="s">
        <v>96</v>
      </c>
      <c r="X1194" s="47" t="s">
        <v>96</v>
      </c>
      <c r="Y1194" s="55" t="e">
        <f ca="1">_xlfn.XLOOKUP(PAA_4[[#This Row],[ITEM]],[2]Contrato!A:A,[2]Contrato!B:B,"",0)</f>
        <v>#NAME?</v>
      </c>
      <c r="Z1194" s="47" t="e">
        <f ca="1">_xlfn.XLOOKUP(PAA_4[[#This Row],[ITEM]],[2]Contrato!A:A,[2]Contrato!G:G,"",0)</f>
        <v>#NAME?</v>
      </c>
      <c r="AA1194" s="47" t="e">
        <f ca="1">_xlfn.XLOOKUP(PAA_4[[#This Row],[ITEM]],[2]Contrato!A:A,[2]Contrato!T:T,"",0)</f>
        <v>#NAME?</v>
      </c>
      <c r="AB1194" s="55" t="e">
        <f ca="1">+MAX(PAA_4[[#This Row],[Comprometido Contrato]],PAA_4[[#This Row],[Comprometido Bolsa]])</f>
        <v>#NAME?</v>
      </c>
      <c r="AC1194" s="55" t="str">
        <f t="shared" ca="1" si="448"/>
        <v/>
      </c>
      <c r="AD1194" s="55" t="e">
        <f ca="1">IF(PAA_4[[#This Row],[ESTADO (formulado)]]="NO CONTRATADO",0,MAX(PAA_4[[#This Row],[Pago por Contrato]],PAA_4[[#This Row],[Pago por bolsa]]))</f>
        <v>#NAME?</v>
      </c>
      <c r="AE1194" s="55" t="str">
        <f t="shared" ca="1" si="449"/>
        <v/>
      </c>
      <c r="AF1194" s="47" t="e">
        <f t="shared" ca="1" si="450"/>
        <v>#NAME?</v>
      </c>
      <c r="AG1194" s="47">
        <f t="shared" si="451"/>
        <v>44021008</v>
      </c>
      <c r="AH1194" s="54">
        <f>IF(Q1194="22",IF(ISNUMBER(SEARCH("econ",PAA_4[[#This Row],[Actividad3]])),"Económico",IF(ISNUMBER(SEARCH("alim",PAA_4[[#This Row],[Actividad3]])),"Alimentación",IF(ISNUMBER(SEARCH("educ",PAA_4[[#This Row],[Actividad3]])),"Educativo","Técnico"))),0)</f>
        <v>0</v>
      </c>
      <c r="AI1194" s="47" t="e" cm="1">
        <f t="array" aca="1" ref="AI1194" ca="1">_xlfn.XLOOKUP(PAA_4[[#This Row],[RCP-RUBRO]],[2]!COMPROMISOS_2024[[#All],[concatenado]],[2]!COMPROMISOS_2024[[#All],[Total pagado]],"",0)</f>
        <v>#NAME?</v>
      </c>
      <c r="AJ1194" s="56">
        <f>IF(PAA_4[[#This Row],[BOLSA]]=0,0,SUMIFS([2]!COMPROMISOS_2024[[#All],[Total pagado]],[2]!COMPROMISOS_2024[[#All],[Bolsa]],PAA_4[[#This Row],[BOLSA]],[2]!COMPROMISOS_2024[[#All],[rubro]],PAA_4[[#This Row],[RCP-RUBRO]]))</f>
        <v>0</v>
      </c>
      <c r="AK1194" s="47" t="e" cm="1">
        <f t="array" aca="1" ref="AK1194" ca="1">_xlfn.XLOOKUP(PAA_4[[#This Row],[RCP-RUBRO]],[2]!COMPROMISOS_2024[[#All],[concatenado]],[2]!COMPROMISOS_2024[[#All],[Total Comprometido]],"",0)</f>
        <v>#NAME?</v>
      </c>
      <c r="AL1194" s="47">
        <f>IF(PAA_4[[#This Row],[BOLSA]]=0,0,SUMIFS([2]!COMPROMISOS_2024[[#All],[Total Comprometido]],[2]!COMPROMISOS_2024[[#All],[Bolsa]],PAA_4[[#This Row],[BOLSA]],[2]!COMPROMISOS_2024[[#All],[concatenado]],PAA_4[[#This Row],[RCP-RUBRO]]))</f>
        <v>0</v>
      </c>
    </row>
    <row r="1195" spans="1:38" s="19" customFormat="1" ht="31.5" customHeight="1">
      <c r="A1195" s="47">
        <v>648</v>
      </c>
      <c r="B1195" s="75">
        <v>80141607</v>
      </c>
      <c r="C1195" s="47" t="str">
        <f>VLOOKUP(PAA_4[[#This Row],[PROYECTO (formulado)2]],[2]PROYECTOS!$G$1:$L$32,6,0)</f>
        <v>SUBGERENCIA DE FOMENTO Y DESARROLLO</v>
      </c>
      <c r="D1195" s="47" t="str">
        <f>+IF(PAA_4[[#This Row],[UNIDAD DE CONTRATACION (formulado)]]="Subgerencia Administrativa y Financiera","FUNCIONAMIENTO","INVERSIÓN")</f>
        <v>INVERSIÓN</v>
      </c>
      <c r="E1195" s="48" t="str">
        <f>VLOOKUP(Q1195,[2]PROYECTOS!$G$1:$K$32,5,0)</f>
        <v>FORTALECIMIENTO_DEL_PROGRAMA_POR_SU_SALUD_MUÉVASE_PUES_EN_LOS_MUNICIPIO_DEL_DEPARTAMENTO_DE_ANTIOQUIA</v>
      </c>
      <c r="F1195" s="48">
        <f>VLOOKUP(E1195,[2]PROYECTOS!$K$1:$M$32,3,0)</f>
        <v>2020003050030</v>
      </c>
      <c r="G1195" s="49" t="s">
        <v>359</v>
      </c>
      <c r="H1195" s="49" t="str">
        <f>VLOOKUP(Q1195,[2]PROYECTOS!$V$1:$W$32,2,0)</f>
        <v>050055</v>
      </c>
      <c r="I1195" s="50">
        <v>29840700</v>
      </c>
      <c r="J1195" s="51" t="s">
        <v>364</v>
      </c>
      <c r="K1195" s="47" t="str">
        <f t="shared" ca="1" si="446"/>
        <v>CONTRATADO</v>
      </c>
      <c r="L1195" s="47" t="s">
        <v>94</v>
      </c>
      <c r="M1195" s="47" t="s">
        <v>89</v>
      </c>
      <c r="N1195" s="52" t="s">
        <v>360</v>
      </c>
      <c r="O1195" s="51" t="e">
        <f>VLOOKUP(N1195,[2]!RUBROS[#All],3,0)</f>
        <v>#REF!</v>
      </c>
      <c r="P1195" s="53" t="e">
        <f>VLOOKUP(N1195,[2]!RUBROS[#All],2,0)</f>
        <v>#REF!</v>
      </c>
      <c r="Q1195" s="47" t="str">
        <f t="shared" si="447"/>
        <v>45</v>
      </c>
      <c r="R1195" s="47" t="str">
        <f t="shared" si="429"/>
        <v>0-205128</v>
      </c>
      <c r="S1195" s="54">
        <v>2</v>
      </c>
      <c r="T1195" s="59" t="s">
        <v>46</v>
      </c>
      <c r="U1195" s="326" t="e">
        <f ca="1">_xlfn.XLOOKUP(PAA_4[[#This Row],[ITEM]],[2]Contrato!A:A,[2]Contrato!Q:Q,"",0)</f>
        <v>#NAME?</v>
      </c>
      <c r="V1195" s="47" t="s">
        <v>95</v>
      </c>
      <c r="W1195" s="47" t="s">
        <v>122</v>
      </c>
      <c r="X1195" s="47" t="s">
        <v>122</v>
      </c>
      <c r="Y1195" s="55" t="e">
        <f ca="1">_xlfn.XLOOKUP(PAA_4[[#This Row],[ITEM]],[2]Contrato!A:A,[2]Contrato!B:B,"",0)</f>
        <v>#NAME?</v>
      </c>
      <c r="Z1195" s="47" t="e">
        <f ca="1">_xlfn.XLOOKUP(PAA_4[[#This Row],[ITEM]],[2]Contrato!A:A,[2]Contrato!G:G,"",0)</f>
        <v>#NAME?</v>
      </c>
      <c r="AA1195" s="47" t="e">
        <f ca="1">_xlfn.XLOOKUP(PAA_4[[#This Row],[ITEM]],[2]Contrato!A:A,[2]Contrato!T:T,"",0)</f>
        <v>#NAME?</v>
      </c>
      <c r="AB1195" s="55" t="e">
        <f ca="1">+MAX(PAA_4[[#This Row],[Comprometido Contrato]],PAA_4[[#This Row],[Comprometido Bolsa]])</f>
        <v>#NAME?</v>
      </c>
      <c r="AC1195" s="55" t="str">
        <f t="shared" ca="1" si="448"/>
        <v/>
      </c>
      <c r="AD1195" s="55" t="e">
        <f ca="1">IF(PAA_4[[#This Row],[ESTADO (formulado)]]="NO CONTRATADO",0,MAX(PAA_4[[#This Row],[Pago por Contrato]],PAA_4[[#This Row],[Pago por bolsa]]))</f>
        <v>#NAME?</v>
      </c>
      <c r="AE1195" s="55" t="str">
        <f t="shared" ca="1" si="449"/>
        <v/>
      </c>
      <c r="AF1195" s="47" t="e">
        <f t="shared" ca="1" si="450"/>
        <v>#NAME?</v>
      </c>
      <c r="AG1195" s="47">
        <f t="shared" si="451"/>
        <v>44021003</v>
      </c>
      <c r="AH1195" s="54">
        <f>IF(Q1195="22",IF(ISNUMBER(SEARCH("econ",PAA_4[[#This Row],[Actividad3]])),"Económico",IF(ISNUMBER(SEARCH("alim",PAA_4[[#This Row],[Actividad3]])),"Alimentación",IF(ISNUMBER(SEARCH("educ",PAA_4[[#This Row],[Actividad3]])),"Educativo","Técnico"))),0)</f>
        <v>0</v>
      </c>
      <c r="AI1195" s="47" t="e" cm="1">
        <f t="array" aca="1" ref="AI1195" ca="1">_xlfn.XLOOKUP(PAA_4[[#This Row],[RCP-RUBRO]],[2]!COMPROMISOS_2024[[#All],[concatenado]],[2]!COMPROMISOS_2024[[#All],[Total pagado]],"",0)</f>
        <v>#NAME?</v>
      </c>
      <c r="AJ1195" s="56">
        <f>IF(PAA_4[[#This Row],[BOLSA]]=0,0,SUMIFS([2]!COMPROMISOS_2024[[#All],[Total pagado]],[2]!COMPROMISOS_2024[[#All],[Bolsa]],PAA_4[[#This Row],[BOLSA]],[2]!COMPROMISOS_2024[[#All],[rubro]],PAA_4[[#This Row],[RCP-RUBRO]]))</f>
        <v>0</v>
      </c>
      <c r="AK1195" s="47" t="e" cm="1">
        <f t="array" aca="1" ref="AK1195" ca="1">_xlfn.XLOOKUP(PAA_4[[#This Row],[RCP-RUBRO]],[2]!COMPROMISOS_2024[[#All],[concatenado]],[2]!COMPROMISOS_2024[[#All],[Total Comprometido]],"",0)</f>
        <v>#NAME?</v>
      </c>
      <c r="AL1195" s="47">
        <f>IF(PAA_4[[#This Row],[BOLSA]]=0,0,SUMIFS([2]!COMPROMISOS_2024[[#All],[Total Comprometido]],[2]!COMPROMISOS_2024[[#All],[Bolsa]],PAA_4[[#This Row],[BOLSA]],[2]!COMPROMISOS_2024[[#All],[concatenado]],PAA_4[[#This Row],[RCP-RUBRO]]))</f>
        <v>0</v>
      </c>
    </row>
    <row r="1196" spans="1:38" s="19" customFormat="1" ht="31.5" customHeight="1">
      <c r="A1196" s="47">
        <v>648</v>
      </c>
      <c r="B1196" s="75">
        <v>80141607</v>
      </c>
      <c r="C1196" s="47" t="str">
        <f>VLOOKUP(PAA_4[[#This Row],[PROYECTO (formulado)2]],[2]PROYECTOS!$G$1:$L$32,6,0)</f>
        <v>SUBGERENCIA DE FOMENTO Y DESARROLLO</v>
      </c>
      <c r="D1196" s="47" t="str">
        <f>+IF(PAA_4[[#This Row],[UNIDAD DE CONTRATACION (formulado)]]="Subgerencia Administrativa y Financiera","FUNCIONAMIENTO","INVERSIÓN")</f>
        <v>INVERSIÓN</v>
      </c>
      <c r="E1196" s="48" t="str">
        <f>VLOOKUP(Q1196,[2]PROYECTOS!$G$1:$K$32,5,0)</f>
        <v>FORTALECIMIENTO_DE_LAS_ESCUELAS_DEPORTIVAS_EN_LOS_MUNICIPIOS_DEL_DEPARTAMENTO_DE_ANTIOQUIA</v>
      </c>
      <c r="F1196" s="48">
        <f>VLOOKUP(E1196,[2]PROYECTOS!$K$1:$M$32,3,0)</f>
        <v>2020003050032</v>
      </c>
      <c r="G1196" s="49" t="s">
        <v>365</v>
      </c>
      <c r="H1196" s="49" t="str">
        <f>VLOOKUP(Q1196,[2]PROYECTOS!$V$1:$W$32,2,0)</f>
        <v>050059</v>
      </c>
      <c r="I1196" s="50">
        <v>9091525</v>
      </c>
      <c r="J1196" s="51" t="s">
        <v>364</v>
      </c>
      <c r="K1196" s="47" t="str">
        <f t="shared" ca="1" si="446"/>
        <v>CONTRATADO</v>
      </c>
      <c r="L1196" s="47" t="s">
        <v>94</v>
      </c>
      <c r="M1196" s="47" t="s">
        <v>89</v>
      </c>
      <c r="N1196" s="52" t="s">
        <v>366</v>
      </c>
      <c r="O1196" s="51" t="e">
        <f>VLOOKUP(N1196,[2]!RUBROS[#All],3,0)</f>
        <v>#REF!</v>
      </c>
      <c r="P1196" s="53" t="e">
        <f>VLOOKUP(N1196,[2]!RUBROS[#All],2,0)</f>
        <v>#REF!</v>
      </c>
      <c r="Q1196" s="47" t="str">
        <f t="shared" si="447"/>
        <v>46</v>
      </c>
      <c r="R1196" s="47" t="str">
        <f t="shared" si="429"/>
        <v>0-205128</v>
      </c>
      <c r="S1196" s="54">
        <v>2</v>
      </c>
      <c r="T1196" s="59" t="s">
        <v>46</v>
      </c>
      <c r="U1196" s="326" t="e">
        <f ca="1">_xlfn.XLOOKUP(PAA_4[[#This Row],[ITEM]],[2]Contrato!A:A,[2]Contrato!Q:Q,"",0)</f>
        <v>#NAME?</v>
      </c>
      <c r="V1196" s="47" t="s">
        <v>95</v>
      </c>
      <c r="W1196" s="47" t="s">
        <v>122</v>
      </c>
      <c r="X1196" s="47" t="s">
        <v>122</v>
      </c>
      <c r="Y1196" s="55" t="e">
        <f ca="1">_xlfn.XLOOKUP(PAA_4[[#This Row],[ITEM]],[2]Contrato!A:A,[2]Contrato!B:B,"",0)</f>
        <v>#NAME?</v>
      </c>
      <c r="Z1196" s="47" t="e">
        <f ca="1">_xlfn.XLOOKUP(PAA_4[[#This Row],[ITEM]],[2]Contrato!A:A,[2]Contrato!G:G,"",0)</f>
        <v>#NAME?</v>
      </c>
      <c r="AA1196" s="47" t="e">
        <f ca="1">_xlfn.XLOOKUP(PAA_4[[#This Row],[ITEM]],[2]Contrato!A:A,[2]Contrato!T:T,"",0)</f>
        <v>#NAME?</v>
      </c>
      <c r="AB1196" s="55" t="e">
        <f ca="1">+MAX(PAA_4[[#This Row],[Comprometido Contrato]],PAA_4[[#This Row],[Comprometido Bolsa]])</f>
        <v>#NAME?</v>
      </c>
      <c r="AC1196" s="55" t="str">
        <f t="shared" ca="1" si="448"/>
        <v/>
      </c>
      <c r="AD1196" s="55" t="e">
        <f ca="1">IF(PAA_4[[#This Row],[ESTADO (formulado)]]="NO CONTRATADO",0,MAX(PAA_4[[#This Row],[Pago por Contrato]],PAA_4[[#This Row],[Pago por bolsa]]))</f>
        <v>#NAME?</v>
      </c>
      <c r="AE1196" s="55" t="str">
        <f t="shared" ca="1" si="449"/>
        <v/>
      </c>
      <c r="AF1196" s="47" t="e">
        <f t="shared" ca="1" si="450"/>
        <v>#NAME?</v>
      </c>
      <c r="AG1196" s="47">
        <f t="shared" si="451"/>
        <v>44021009</v>
      </c>
      <c r="AH1196" s="54">
        <f>IF(Q1196="22",IF(ISNUMBER(SEARCH("econ",PAA_4[[#This Row],[Actividad3]])),"Económico",IF(ISNUMBER(SEARCH("alim",PAA_4[[#This Row],[Actividad3]])),"Alimentación",IF(ISNUMBER(SEARCH("educ",PAA_4[[#This Row],[Actividad3]])),"Educativo","Técnico"))),0)</f>
        <v>0</v>
      </c>
      <c r="AI1196" s="47" t="e" cm="1">
        <f t="array" aca="1" ref="AI1196" ca="1">_xlfn.XLOOKUP(PAA_4[[#This Row],[RCP-RUBRO]],[2]!COMPROMISOS_2024[[#All],[concatenado]],[2]!COMPROMISOS_2024[[#All],[Total pagado]],"",0)</f>
        <v>#NAME?</v>
      </c>
      <c r="AJ1196" s="56">
        <f>IF(PAA_4[[#This Row],[BOLSA]]=0,0,SUMIFS([2]!COMPROMISOS_2024[[#All],[Total pagado]],[2]!COMPROMISOS_2024[[#All],[Bolsa]],PAA_4[[#This Row],[BOLSA]],[2]!COMPROMISOS_2024[[#All],[rubro]],PAA_4[[#This Row],[RCP-RUBRO]]))</f>
        <v>0</v>
      </c>
      <c r="AK1196" s="47" t="e" cm="1">
        <f t="array" aca="1" ref="AK1196" ca="1">_xlfn.XLOOKUP(PAA_4[[#This Row],[RCP-RUBRO]],[2]!COMPROMISOS_2024[[#All],[concatenado]],[2]!COMPROMISOS_2024[[#All],[Total Comprometido]],"",0)</f>
        <v>#NAME?</v>
      </c>
      <c r="AL1196" s="47">
        <f>IF(PAA_4[[#This Row],[BOLSA]]=0,0,SUMIFS([2]!COMPROMISOS_2024[[#All],[Total Comprometido]],[2]!COMPROMISOS_2024[[#All],[Bolsa]],PAA_4[[#This Row],[BOLSA]],[2]!COMPROMISOS_2024[[#All],[concatenado]],PAA_4[[#This Row],[RCP-RUBRO]]))</f>
        <v>0</v>
      </c>
    </row>
    <row r="1197" spans="1:38" s="19" customFormat="1" ht="31.5" customHeight="1">
      <c r="A1197" s="47">
        <v>648</v>
      </c>
      <c r="B1197" s="75">
        <v>80141607</v>
      </c>
      <c r="C1197" s="47" t="str">
        <f>VLOOKUP(PAA_4[[#This Row],[PROYECTO (formulado)2]],[2]PROYECTOS!$G$1:$L$32,6,0)</f>
        <v>SUBGERENCIA DE FOMENTO Y DESARROLLO</v>
      </c>
      <c r="D1197" s="47" t="str">
        <f>+IF(PAA_4[[#This Row],[UNIDAD DE CONTRATACION (formulado)]]="Subgerencia Administrativa y Financiera","FUNCIONAMIENTO","INVERSIÓN")</f>
        <v>INVERSIÓN</v>
      </c>
      <c r="E1197" s="48" t="str">
        <f>VLOOKUP(Q1197,[2]PROYECTOS!$G$1:$K$32,5,0)</f>
        <v>FORTALECIMIENTO_DE_LOS_PROGRAMAS_RECREATIVOS_EN_LOS_MUNICIPIOS_DEL_DEPARTAMENTO_DE_ANTIOQUIA</v>
      </c>
      <c r="F1197" s="48">
        <f>VLOOKUP(E1197,[2]PROYECTOS!$K$1:$M$32,3,0)</f>
        <v>2020003050031</v>
      </c>
      <c r="G1197" s="49" t="s">
        <v>367</v>
      </c>
      <c r="H1197" s="49" t="str">
        <f>VLOOKUP(Q1197,[2]PROYECTOS!$V$1:$W$32,2,0)</f>
        <v>050064</v>
      </c>
      <c r="I1197" s="50">
        <v>15950075</v>
      </c>
      <c r="J1197" s="51" t="s">
        <v>364</v>
      </c>
      <c r="K1197" s="47" t="str">
        <f t="shared" ca="1" si="446"/>
        <v>CONTRATADO</v>
      </c>
      <c r="L1197" s="47" t="s">
        <v>94</v>
      </c>
      <c r="M1197" s="47" t="s">
        <v>89</v>
      </c>
      <c r="N1197" s="52" t="s">
        <v>355</v>
      </c>
      <c r="O1197" s="51" t="e">
        <f>VLOOKUP(N1197,[2]!RUBROS[#All],3,0)</f>
        <v>#REF!</v>
      </c>
      <c r="P1197" s="53" t="e">
        <f>VLOOKUP(N1197,[2]!RUBROS[#All],2,0)</f>
        <v>#REF!</v>
      </c>
      <c r="Q1197" s="47" t="str">
        <f t="shared" si="447"/>
        <v>47</v>
      </c>
      <c r="R1197" s="47" t="str">
        <f t="shared" si="429"/>
        <v>0-205128</v>
      </c>
      <c r="S1197" s="54">
        <v>2</v>
      </c>
      <c r="T1197" s="59" t="s">
        <v>46</v>
      </c>
      <c r="U1197" s="326" t="e">
        <f ca="1">_xlfn.XLOOKUP(PAA_4[[#This Row],[ITEM]],[2]Contrato!A:A,[2]Contrato!Q:Q,"",0)</f>
        <v>#NAME?</v>
      </c>
      <c r="V1197" s="47" t="s">
        <v>95</v>
      </c>
      <c r="W1197" s="47" t="s">
        <v>122</v>
      </c>
      <c r="X1197" s="47" t="s">
        <v>122</v>
      </c>
      <c r="Y1197" s="55" t="e">
        <f ca="1">_xlfn.XLOOKUP(PAA_4[[#This Row],[ITEM]],[2]Contrato!A:A,[2]Contrato!B:B,"",0)</f>
        <v>#NAME?</v>
      </c>
      <c r="Z1197" s="47" t="e">
        <f ca="1">_xlfn.XLOOKUP(PAA_4[[#This Row],[ITEM]],[2]Contrato!A:A,[2]Contrato!G:G,"",0)</f>
        <v>#NAME?</v>
      </c>
      <c r="AA1197" s="47" t="e">
        <f ca="1">_xlfn.XLOOKUP(PAA_4[[#This Row],[ITEM]],[2]Contrato!A:A,[2]Contrato!T:T,"",0)</f>
        <v>#NAME?</v>
      </c>
      <c r="AB1197" s="55" t="e">
        <f ca="1">+MAX(PAA_4[[#This Row],[Comprometido Contrato]],PAA_4[[#This Row],[Comprometido Bolsa]])</f>
        <v>#NAME?</v>
      </c>
      <c r="AC1197" s="55" t="str">
        <f t="shared" ca="1" si="448"/>
        <v/>
      </c>
      <c r="AD1197" s="55" t="e">
        <f ca="1">IF(PAA_4[[#This Row],[ESTADO (formulado)]]="NO CONTRATADO",0,MAX(PAA_4[[#This Row],[Pago por Contrato]],PAA_4[[#This Row],[Pago por bolsa]]))</f>
        <v>#NAME?</v>
      </c>
      <c r="AE1197" s="55" t="str">
        <f t="shared" ca="1" si="449"/>
        <v/>
      </c>
      <c r="AF1197" s="47" t="e">
        <f t="shared" ca="1" si="450"/>
        <v>#NAME?</v>
      </c>
      <c r="AG1197" s="47">
        <f t="shared" si="451"/>
        <v>44021006</v>
      </c>
      <c r="AH1197" s="54">
        <f>IF(Q1197="22",IF(ISNUMBER(SEARCH("econ",PAA_4[[#This Row],[Actividad3]])),"Económico",IF(ISNUMBER(SEARCH("alim",PAA_4[[#This Row],[Actividad3]])),"Alimentación",IF(ISNUMBER(SEARCH("educ",PAA_4[[#This Row],[Actividad3]])),"Educativo","Técnico"))),0)</f>
        <v>0</v>
      </c>
      <c r="AI1197" s="47" t="e" cm="1">
        <f t="array" aca="1" ref="AI1197" ca="1">_xlfn.XLOOKUP(PAA_4[[#This Row],[RCP-RUBRO]],[2]!COMPROMISOS_2024[[#All],[concatenado]],[2]!COMPROMISOS_2024[[#All],[Total pagado]],"",0)</f>
        <v>#NAME?</v>
      </c>
      <c r="AJ1197" s="56">
        <f>IF(PAA_4[[#This Row],[BOLSA]]=0,0,SUMIFS([2]!COMPROMISOS_2024[[#All],[Total pagado]],[2]!COMPROMISOS_2024[[#All],[Bolsa]],PAA_4[[#This Row],[BOLSA]],[2]!COMPROMISOS_2024[[#All],[rubro]],PAA_4[[#This Row],[RCP-RUBRO]]))</f>
        <v>0</v>
      </c>
      <c r="AK1197" s="47" t="e" cm="1">
        <f t="array" aca="1" ref="AK1197" ca="1">_xlfn.XLOOKUP(PAA_4[[#This Row],[RCP-RUBRO]],[2]!COMPROMISOS_2024[[#All],[concatenado]],[2]!COMPROMISOS_2024[[#All],[Total Comprometido]],"",0)</f>
        <v>#NAME?</v>
      </c>
      <c r="AL1197" s="47">
        <f>IF(PAA_4[[#This Row],[BOLSA]]=0,0,SUMIFS([2]!COMPROMISOS_2024[[#All],[Total Comprometido]],[2]!COMPROMISOS_2024[[#All],[Bolsa]],PAA_4[[#This Row],[BOLSA]],[2]!COMPROMISOS_2024[[#All],[concatenado]],PAA_4[[#This Row],[RCP-RUBRO]]))</f>
        <v>0</v>
      </c>
    </row>
    <row r="1198" spans="1:38" s="19" customFormat="1" ht="31.5" customHeight="1">
      <c r="A1198" s="47">
        <v>370</v>
      </c>
      <c r="B1198" s="47">
        <v>80141607</v>
      </c>
      <c r="C1198" s="47" t="str">
        <f>VLOOKUP(PAA_4[[#This Row],[PROYECTO (formulado)2]],[2]PROYECTOS!$G$1:$L$32,6,0)</f>
        <v>SUBGERENCIA DE FOMENTO Y DESARROLLO</v>
      </c>
      <c r="D1198" s="47" t="str">
        <f>+IF(PAA_4[[#This Row],[UNIDAD DE CONTRATACION (formulado)]]="Subgerencia Administrativa y Financiera","FUNCIONAMIENTO","INVERSIÓN")</f>
        <v>INVERSIÓN</v>
      </c>
      <c r="E1198" s="48" t="str">
        <f>VLOOKUP(Q1198,[2]PROYECTOS!$G$1:$K$32,5,0)</f>
        <v>FORTALECIMIENTO_DEL_PROGRAMA_POR_SU_SALUD_MUÉVASE_PUES_EN_LOS_MUNICIPIO_DEL_DEPARTAMENTO_DE_ANTIOQUIA</v>
      </c>
      <c r="F1198" s="48">
        <f>VLOOKUP(E1198,[2]PROYECTOS!$K$1:$M$32,3,0)</f>
        <v>2020003050030</v>
      </c>
      <c r="G1198" s="49" t="s">
        <v>359</v>
      </c>
      <c r="H1198" s="49" t="str">
        <f>VLOOKUP(Q1198,[2]PROYECTOS!$V$1:$W$32,2,0)</f>
        <v>050055</v>
      </c>
      <c r="I1198" s="50">
        <v>382858872</v>
      </c>
      <c r="J1198" s="51" t="s">
        <v>368</v>
      </c>
      <c r="K1198" s="47" t="str">
        <f t="shared" ca="1" si="446"/>
        <v>CONTRATADO</v>
      </c>
      <c r="L1198" s="47" t="s">
        <v>94</v>
      </c>
      <c r="M1198" s="47" t="s">
        <v>161</v>
      </c>
      <c r="N1198" s="52" t="s">
        <v>360</v>
      </c>
      <c r="O1198" s="51" t="e">
        <f>VLOOKUP(N1198,[2]!RUBROS[#All],3,0)</f>
        <v>#REF!</v>
      </c>
      <c r="P1198" s="53" t="e">
        <f>VLOOKUP(N1198,[2]!RUBROS[#All],2,0)</f>
        <v>#REF!</v>
      </c>
      <c r="Q1198" s="47" t="str">
        <f t="shared" si="447"/>
        <v>45</v>
      </c>
      <c r="R1198" s="47" t="str">
        <f t="shared" si="429"/>
        <v>0-205128</v>
      </c>
      <c r="S1198" s="54">
        <v>7.5</v>
      </c>
      <c r="T1198" s="59" t="s">
        <v>46</v>
      </c>
      <c r="U1198" s="326" t="e">
        <f ca="1">_xlfn.XLOOKUP(PAA_4[[#This Row],[ITEM]],[2]Contrato!A:A,[2]Contrato!Q:Q,"",0)</f>
        <v>#NAME?</v>
      </c>
      <c r="V1198" s="47" t="s">
        <v>47</v>
      </c>
      <c r="W1198" s="47" t="s">
        <v>119</v>
      </c>
      <c r="X1198" s="47" t="s">
        <v>119</v>
      </c>
      <c r="Y1198" s="55" t="e">
        <f ca="1">_xlfn.XLOOKUP(PAA_4[[#This Row],[ITEM]],[2]Contrato!A:A,[2]Contrato!B:B,"",0)</f>
        <v>#NAME?</v>
      </c>
      <c r="Z1198" s="47" t="e">
        <f ca="1">_xlfn.XLOOKUP(PAA_4[[#This Row],[ITEM]],[2]Contrato!A:A,[2]Contrato!G:G,"",0)</f>
        <v>#NAME?</v>
      </c>
      <c r="AA1198" s="47" t="e">
        <f ca="1">_xlfn.XLOOKUP(PAA_4[[#This Row],[ITEM]],[2]Contrato!A:A,[2]Contrato!T:T,"",0)</f>
        <v>#NAME?</v>
      </c>
      <c r="AB1198" s="55" t="e">
        <f ca="1">+MAX(PAA_4[[#This Row],[Comprometido Contrato]],PAA_4[[#This Row],[Comprometido Bolsa]])</f>
        <v>#NAME?</v>
      </c>
      <c r="AC1198" s="55" t="str">
        <f t="shared" ca="1" si="448"/>
        <v/>
      </c>
      <c r="AD1198" s="55" t="e">
        <f ca="1">IF(PAA_4[[#This Row],[ESTADO (formulado)]]="NO CONTRATADO",0,MAX(PAA_4[[#This Row],[Pago por Contrato]],PAA_4[[#This Row],[Pago por bolsa]]))</f>
        <v>#NAME?</v>
      </c>
      <c r="AE1198" s="55" t="str">
        <f t="shared" ca="1" si="449"/>
        <v/>
      </c>
      <c r="AF1198" s="47" t="e">
        <f t="shared" ca="1" si="450"/>
        <v>#NAME?</v>
      </c>
      <c r="AG1198" s="47">
        <f t="shared" si="451"/>
        <v>44021003</v>
      </c>
      <c r="AH1198" s="54">
        <f>IF(Q1198="22",IF(ISNUMBER(SEARCH("econ",PAA_4[[#This Row],[Actividad3]])),"Económico",IF(ISNUMBER(SEARCH("alim",PAA_4[[#This Row],[Actividad3]])),"Alimentación",IF(ISNUMBER(SEARCH("educ",PAA_4[[#This Row],[Actividad3]])),"Educativo","Técnico"))),0)</f>
        <v>0</v>
      </c>
      <c r="AI1198" s="47" t="e" cm="1">
        <f t="array" aca="1" ref="AI1198" ca="1">_xlfn.XLOOKUP(PAA_4[[#This Row],[RCP-RUBRO]],[2]!COMPROMISOS_2024[[#All],[concatenado]],[2]!COMPROMISOS_2024[[#All],[Total pagado]],"",0)</f>
        <v>#NAME?</v>
      </c>
      <c r="AJ1198" s="56">
        <f>IF(PAA_4[[#This Row],[BOLSA]]=0,0,SUMIFS([2]!COMPROMISOS_2024[[#All],[Total pagado]],[2]!COMPROMISOS_2024[[#All],[Bolsa]],PAA_4[[#This Row],[BOLSA]],[2]!COMPROMISOS_2024[[#All],[rubro]],PAA_4[[#This Row],[RCP-RUBRO]]))</f>
        <v>0</v>
      </c>
      <c r="AK1198" s="47" t="e" cm="1">
        <f t="array" aca="1" ref="AK1198" ca="1">_xlfn.XLOOKUP(PAA_4[[#This Row],[RCP-RUBRO]],[2]!COMPROMISOS_2024[[#All],[concatenado]],[2]!COMPROMISOS_2024[[#All],[Total Comprometido]],"",0)</f>
        <v>#NAME?</v>
      </c>
      <c r="AL1198" s="47">
        <f>IF(PAA_4[[#This Row],[BOLSA]]=0,0,SUMIFS([2]!COMPROMISOS_2024[[#All],[Total Comprometido]],[2]!COMPROMISOS_2024[[#All],[Bolsa]],PAA_4[[#This Row],[BOLSA]],[2]!COMPROMISOS_2024[[#All],[concatenado]],PAA_4[[#This Row],[RCP-RUBRO]]))</f>
        <v>0</v>
      </c>
    </row>
    <row r="1199" spans="1:38" s="19" customFormat="1" ht="31.5" customHeight="1">
      <c r="A1199" s="47">
        <v>385</v>
      </c>
      <c r="B1199" s="47">
        <v>80111600</v>
      </c>
      <c r="C1199" s="47" t="str">
        <f>VLOOKUP(PAA_4[[#This Row],[PROYECTO (formulado)2]],[2]PROYECTOS!$G$1:$L$32,6,0)</f>
        <v>SUBGERENCIA DE FOMENTO Y DESARROLLO</v>
      </c>
      <c r="D1199" s="47" t="str">
        <f>+IF(PAA_4[[#This Row],[UNIDAD DE CONTRATACION (formulado)]]="Subgerencia Administrativa y Financiera","FUNCIONAMIENTO","INVERSIÓN")</f>
        <v>INVERSIÓN</v>
      </c>
      <c r="E1199" s="48" t="str">
        <f>VLOOKUP(Q1199,[2]PROYECTOS!$G$1:$K$32,5,0)</f>
        <v>FORTALECIMIENTO_DEL_PROGRAMA_POR_SU_SALUD_MUÉVASE_PUES_EN_LOS_MUNICIPIO_DEL_DEPARTAMENTO_DE_ANTIOQUIA</v>
      </c>
      <c r="F1199" s="48">
        <f>VLOOKUP(E1199,[2]PROYECTOS!$K$1:$M$32,3,0)</f>
        <v>2020003050030</v>
      </c>
      <c r="G1199" s="49" t="s">
        <v>369</v>
      </c>
      <c r="H1199" s="49" t="str">
        <f>VLOOKUP(Q1199,[2]PROYECTOS!$V$1:$W$32,2,0)</f>
        <v>050055</v>
      </c>
      <c r="I1199" s="50">
        <v>0</v>
      </c>
      <c r="J1199" s="51" t="s">
        <v>1864</v>
      </c>
      <c r="K1199" s="47" t="str">
        <f t="shared" ca="1" si="446"/>
        <v>CONTRATADO</v>
      </c>
      <c r="L1199" s="47" t="s">
        <v>94</v>
      </c>
      <c r="M1199" s="47" t="s">
        <v>1297</v>
      </c>
      <c r="N1199" s="52" t="s">
        <v>360</v>
      </c>
      <c r="O1199" s="51" t="e">
        <f>VLOOKUP(N1199,[2]!RUBROS[#All],3,0)</f>
        <v>#REF!</v>
      </c>
      <c r="P1199" s="53" t="e">
        <f>VLOOKUP(N1199,[2]!RUBROS[#All],2,0)</f>
        <v>#REF!</v>
      </c>
      <c r="Q1199" s="47" t="str">
        <f t="shared" si="447"/>
        <v>45</v>
      </c>
      <c r="R1199" s="47" t="str">
        <f t="shared" si="429"/>
        <v>0-205128</v>
      </c>
      <c r="S1199" s="54">
        <v>12</v>
      </c>
      <c r="T1199" s="59" t="s">
        <v>46</v>
      </c>
      <c r="U1199" s="326" t="e">
        <f ca="1">_xlfn.XLOOKUP(PAA_4[[#This Row],[ITEM]],[2]Contrato!A:A,[2]Contrato!Q:Q,"",0)</f>
        <v>#NAME?</v>
      </c>
      <c r="V1199" s="47" t="s">
        <v>47</v>
      </c>
      <c r="W1199" s="47" t="s">
        <v>83</v>
      </c>
      <c r="X1199" s="47" t="s">
        <v>83</v>
      </c>
      <c r="Y1199" s="55" t="e">
        <f ca="1">_xlfn.XLOOKUP(PAA_4[[#This Row],[ITEM]],[2]Contrato!A:A,[2]Contrato!B:B,"",0)</f>
        <v>#NAME?</v>
      </c>
      <c r="Z1199" s="47" t="e">
        <f ca="1">_xlfn.XLOOKUP(PAA_4[[#This Row],[ITEM]],[2]Contrato!A:A,[2]Contrato!G:G,"",0)</f>
        <v>#NAME?</v>
      </c>
      <c r="AA1199" s="47" t="e">
        <f ca="1">_xlfn.XLOOKUP(PAA_4[[#This Row],[ITEM]],[2]Contrato!A:A,[2]Contrato!T:T,"",0)</f>
        <v>#NAME?</v>
      </c>
      <c r="AB1199" s="55" t="e">
        <f ca="1">+MAX(PAA_4[[#This Row],[Comprometido Contrato]],PAA_4[[#This Row],[Comprometido Bolsa]])</f>
        <v>#NAME?</v>
      </c>
      <c r="AC1199" s="55" t="str">
        <f t="shared" ca="1" si="448"/>
        <v/>
      </c>
      <c r="AD1199" s="55" t="e">
        <f ca="1">IF(PAA_4[[#This Row],[ESTADO (formulado)]]="NO CONTRATADO",0,MAX(PAA_4[[#This Row],[Pago por Contrato]],PAA_4[[#This Row],[Pago por bolsa]]))</f>
        <v>#NAME?</v>
      </c>
      <c r="AE1199" s="55" t="str">
        <f t="shared" ca="1" si="449"/>
        <v/>
      </c>
      <c r="AF1199" s="47" t="e">
        <f t="shared" ca="1" si="450"/>
        <v>#NAME?</v>
      </c>
      <c r="AG1199" s="47">
        <f t="shared" si="451"/>
        <v>44021001</v>
      </c>
      <c r="AH1199" s="54">
        <f>IF(Q1199="22",IF(ISNUMBER(SEARCH("econ",PAA_4[[#This Row],[Actividad3]])),"Económico",IF(ISNUMBER(SEARCH("alim",PAA_4[[#This Row],[Actividad3]])),"Alimentación",IF(ISNUMBER(SEARCH("educ",PAA_4[[#This Row],[Actividad3]])),"Educativo","Técnico"))),0)</f>
        <v>0</v>
      </c>
      <c r="AI1199" s="47" t="e" cm="1">
        <f t="array" aca="1" ref="AI1199" ca="1">_xlfn.XLOOKUP(PAA_4[[#This Row],[RCP-RUBRO]],[2]!COMPROMISOS_2024[[#All],[concatenado]],[2]!COMPROMISOS_2024[[#All],[Total pagado]],"",0)</f>
        <v>#NAME?</v>
      </c>
      <c r="AJ1199" s="56">
        <f>IF(PAA_4[[#This Row],[BOLSA]]=0,0,SUMIFS([2]!COMPROMISOS_2024[[#All],[Total pagado]],[2]!COMPROMISOS_2024[[#All],[Bolsa]],PAA_4[[#This Row],[BOLSA]],[2]!COMPROMISOS_2024[[#All],[rubro]],PAA_4[[#This Row],[RCP-RUBRO]]))</f>
        <v>0</v>
      </c>
      <c r="AK1199" s="47" t="e" cm="1">
        <f t="array" aca="1" ref="AK1199" ca="1">_xlfn.XLOOKUP(PAA_4[[#This Row],[RCP-RUBRO]],[2]!COMPROMISOS_2024[[#All],[concatenado]],[2]!COMPROMISOS_2024[[#All],[Total Comprometido]],"",0)</f>
        <v>#NAME?</v>
      </c>
      <c r="AL1199" s="47">
        <f>IF(PAA_4[[#This Row],[BOLSA]]=0,0,SUMIFS([2]!COMPROMISOS_2024[[#All],[Total Comprometido]],[2]!COMPROMISOS_2024[[#All],[Bolsa]],PAA_4[[#This Row],[BOLSA]],[2]!COMPROMISOS_2024[[#All],[concatenado]],PAA_4[[#This Row],[RCP-RUBRO]]))</f>
        <v>0</v>
      </c>
    </row>
    <row r="1200" spans="1:38" s="19" customFormat="1" ht="31.5" customHeight="1">
      <c r="A1200" s="47">
        <v>386</v>
      </c>
      <c r="B1200" s="47">
        <v>80111600</v>
      </c>
      <c r="C1200" s="47" t="str">
        <f>VLOOKUP(PAA_4[[#This Row],[PROYECTO (formulado)2]],[2]PROYECTOS!$G$1:$L$32,6,0)</f>
        <v>SUBGERENCIA DE FOMENTO Y DESARROLLO</v>
      </c>
      <c r="D1200" s="47" t="str">
        <f>+IF(PAA_4[[#This Row],[UNIDAD DE CONTRATACION (formulado)]]="Subgerencia Administrativa y Financiera","FUNCIONAMIENTO","INVERSIÓN")</f>
        <v>INVERSIÓN</v>
      </c>
      <c r="E1200" s="48" t="str">
        <f>VLOOKUP(Q1200,[2]PROYECTOS!$G$1:$K$32,5,0)</f>
        <v>FORTALECIMIENTO_DEL_PROGRAMA_POR_SU_SALUD_MUÉVASE_PUES_EN_LOS_MUNICIPIO_DEL_DEPARTAMENTO_DE_ANTIOQUIA</v>
      </c>
      <c r="F1200" s="48">
        <f>VLOOKUP(E1200,[2]PROYECTOS!$K$1:$M$32,3,0)</f>
        <v>2020003050030</v>
      </c>
      <c r="G1200" s="49" t="s">
        <v>369</v>
      </c>
      <c r="H1200" s="49" t="str">
        <f>VLOOKUP(Q1200,[2]PROYECTOS!$V$1:$W$32,2,0)</f>
        <v>050055</v>
      </c>
      <c r="I1200" s="50">
        <v>0</v>
      </c>
      <c r="J1200" s="76" t="s">
        <v>370</v>
      </c>
      <c r="K1200" s="47" t="str">
        <f t="shared" ca="1" si="446"/>
        <v>CONTRATADO</v>
      </c>
      <c r="L1200" s="47" t="s">
        <v>94</v>
      </c>
      <c r="M1200" s="47" t="s">
        <v>1297</v>
      </c>
      <c r="N1200" s="52" t="s">
        <v>360</v>
      </c>
      <c r="O1200" s="51" t="e">
        <f>VLOOKUP(N1200,[2]!RUBROS[#All],3,0)</f>
        <v>#REF!</v>
      </c>
      <c r="P1200" s="53" t="e">
        <f>VLOOKUP(N1200,[2]!RUBROS[#All],2,0)</f>
        <v>#REF!</v>
      </c>
      <c r="Q1200" s="47" t="str">
        <f t="shared" si="447"/>
        <v>45</v>
      </c>
      <c r="R1200" s="47" t="str">
        <f t="shared" si="429"/>
        <v>0-205128</v>
      </c>
      <c r="S1200" s="54">
        <v>10</v>
      </c>
      <c r="T1200" s="59" t="s">
        <v>46</v>
      </c>
      <c r="U1200" s="326" t="e">
        <f ca="1">_xlfn.XLOOKUP(PAA_4[[#This Row],[ITEM]],[2]Contrato!A:A,[2]Contrato!Q:Q,"",0)</f>
        <v>#NAME?</v>
      </c>
      <c r="V1200" s="47" t="s">
        <v>47</v>
      </c>
      <c r="W1200" s="47" t="s">
        <v>91</v>
      </c>
      <c r="X1200" s="47" t="s">
        <v>91</v>
      </c>
      <c r="Y1200" s="55" t="e">
        <f ca="1">_xlfn.XLOOKUP(PAA_4[[#This Row],[ITEM]],[2]Contrato!A:A,[2]Contrato!B:B,"",0)</f>
        <v>#NAME?</v>
      </c>
      <c r="Z1200" s="47" t="e">
        <f ca="1">_xlfn.XLOOKUP(PAA_4[[#This Row],[ITEM]],[2]Contrato!A:A,[2]Contrato!G:G,"",0)</f>
        <v>#NAME?</v>
      </c>
      <c r="AA1200" s="47" t="e">
        <f ca="1">_xlfn.XLOOKUP(PAA_4[[#This Row],[ITEM]],[2]Contrato!A:A,[2]Contrato!T:T,"",0)</f>
        <v>#NAME?</v>
      </c>
      <c r="AB1200" s="55" t="e">
        <f ca="1">+MAX(PAA_4[[#This Row],[Comprometido Contrato]],PAA_4[[#This Row],[Comprometido Bolsa]])</f>
        <v>#NAME?</v>
      </c>
      <c r="AC1200" s="55" t="str">
        <f t="shared" ca="1" si="448"/>
        <v/>
      </c>
      <c r="AD1200" s="55" t="e">
        <f ca="1">IF(PAA_4[[#This Row],[ESTADO (formulado)]]="NO CONTRATADO",0,MAX(PAA_4[[#This Row],[Pago por Contrato]],PAA_4[[#This Row],[Pago por bolsa]]))</f>
        <v>#NAME?</v>
      </c>
      <c r="AE1200" s="55" t="str">
        <f t="shared" ca="1" si="449"/>
        <v/>
      </c>
      <c r="AF1200" s="47" t="e">
        <f t="shared" ca="1" si="450"/>
        <v>#NAME?</v>
      </c>
      <c r="AG1200" s="47">
        <f t="shared" si="451"/>
        <v>44021001</v>
      </c>
      <c r="AH1200" s="54">
        <f>IF(Q1200="22",IF(ISNUMBER(SEARCH("econ",PAA_4[[#This Row],[Actividad3]])),"Económico",IF(ISNUMBER(SEARCH("alim",PAA_4[[#This Row],[Actividad3]])),"Alimentación",IF(ISNUMBER(SEARCH("educ",PAA_4[[#This Row],[Actividad3]])),"Educativo","Técnico"))),0)</f>
        <v>0</v>
      </c>
      <c r="AI1200" s="47" t="e" cm="1">
        <f t="array" aca="1" ref="AI1200" ca="1">_xlfn.XLOOKUP(PAA_4[[#This Row],[RCP-RUBRO]],[2]!COMPROMISOS_2024[[#All],[concatenado]],[2]!COMPROMISOS_2024[[#All],[Total pagado]],"",0)</f>
        <v>#NAME?</v>
      </c>
      <c r="AJ1200" s="56">
        <f>IF(PAA_4[[#This Row],[BOLSA]]=0,0,SUMIFS([2]!COMPROMISOS_2024[[#All],[Total pagado]],[2]!COMPROMISOS_2024[[#All],[Bolsa]],PAA_4[[#This Row],[BOLSA]],[2]!COMPROMISOS_2024[[#All],[rubro]],PAA_4[[#This Row],[RCP-RUBRO]]))</f>
        <v>0</v>
      </c>
      <c r="AK1200" s="47" t="e" cm="1">
        <f t="array" aca="1" ref="AK1200" ca="1">_xlfn.XLOOKUP(PAA_4[[#This Row],[RCP-RUBRO]],[2]!COMPROMISOS_2024[[#All],[concatenado]],[2]!COMPROMISOS_2024[[#All],[Total Comprometido]],"",0)</f>
        <v>#NAME?</v>
      </c>
      <c r="AL1200" s="47">
        <f>IF(PAA_4[[#This Row],[BOLSA]]=0,0,SUMIFS([2]!COMPROMISOS_2024[[#All],[Total Comprometido]],[2]!COMPROMISOS_2024[[#All],[Bolsa]],PAA_4[[#This Row],[BOLSA]],[2]!COMPROMISOS_2024[[#All],[concatenado]],PAA_4[[#This Row],[RCP-RUBRO]]))</f>
        <v>0</v>
      </c>
    </row>
    <row r="1201" spans="1:38" s="19" customFormat="1" ht="31.5" customHeight="1">
      <c r="A1201" s="47">
        <v>387</v>
      </c>
      <c r="B1201" s="47">
        <v>80111600</v>
      </c>
      <c r="C1201" s="47" t="str">
        <f>VLOOKUP(PAA_4[[#This Row],[PROYECTO (formulado)2]],[2]PROYECTOS!$G$1:$L$32,6,0)</f>
        <v>SUBGERENCIA DE FOMENTO Y DESARROLLO</v>
      </c>
      <c r="D1201" s="47" t="str">
        <f>+IF(PAA_4[[#This Row],[UNIDAD DE CONTRATACION (formulado)]]="Subgerencia Administrativa y Financiera","FUNCIONAMIENTO","INVERSIÓN")</f>
        <v>INVERSIÓN</v>
      </c>
      <c r="E1201" s="48" t="str">
        <f>VLOOKUP(Q1201,[2]PROYECTOS!$G$1:$K$32,5,0)</f>
        <v>FORTALECIMIENTO_DEL_PROGRAMA_POR_SU_SALUD_MUÉVASE_PUES_EN_LOS_MUNICIPIO_DEL_DEPARTAMENTO_DE_ANTIOQUIA</v>
      </c>
      <c r="F1201" s="48">
        <f>VLOOKUP(E1201,[2]PROYECTOS!$K$1:$M$32,3,0)</f>
        <v>2020003050030</v>
      </c>
      <c r="G1201" s="49" t="s">
        <v>369</v>
      </c>
      <c r="H1201" s="49" t="str">
        <f>VLOOKUP(Q1201,[2]PROYECTOS!$V$1:$W$32,2,0)</f>
        <v>050055</v>
      </c>
      <c r="I1201" s="50">
        <v>0</v>
      </c>
      <c r="J1201" s="70" t="s">
        <v>370</v>
      </c>
      <c r="K1201" s="47" t="str">
        <f t="shared" ca="1" si="446"/>
        <v>CONTRATADO</v>
      </c>
      <c r="L1201" s="47" t="s">
        <v>94</v>
      </c>
      <c r="M1201" s="47" t="s">
        <v>1297</v>
      </c>
      <c r="N1201" s="52" t="s">
        <v>360</v>
      </c>
      <c r="O1201" s="51" t="e">
        <f>VLOOKUP(N1201,[2]!RUBROS[#All],3,0)</f>
        <v>#REF!</v>
      </c>
      <c r="P1201" s="53" t="e">
        <f>VLOOKUP(N1201,[2]!RUBROS[#All],2,0)</f>
        <v>#REF!</v>
      </c>
      <c r="Q1201" s="47" t="str">
        <f t="shared" si="447"/>
        <v>45</v>
      </c>
      <c r="R1201" s="47" t="str">
        <f t="shared" si="429"/>
        <v>0-205128</v>
      </c>
      <c r="S1201" s="54">
        <v>7.5</v>
      </c>
      <c r="T1201" s="59" t="s">
        <v>46</v>
      </c>
      <c r="U1201" s="326" t="e">
        <f ca="1">_xlfn.XLOOKUP(PAA_4[[#This Row],[ITEM]],[2]Contrato!A:A,[2]Contrato!Q:Q,"",0)</f>
        <v>#NAME?</v>
      </c>
      <c r="V1201" s="47" t="s">
        <v>47</v>
      </c>
      <c r="W1201" s="47" t="s">
        <v>119</v>
      </c>
      <c r="X1201" s="47" t="s">
        <v>119</v>
      </c>
      <c r="Y1201" s="55" t="e">
        <f ca="1">_xlfn.XLOOKUP(PAA_4[[#This Row],[ITEM]],[2]Contrato!A:A,[2]Contrato!B:B,"",0)</f>
        <v>#NAME?</v>
      </c>
      <c r="Z1201" s="47" t="e">
        <f ca="1">_xlfn.XLOOKUP(PAA_4[[#This Row],[ITEM]],[2]Contrato!A:A,[2]Contrato!G:G,"",0)</f>
        <v>#NAME?</v>
      </c>
      <c r="AA1201" s="47" t="e">
        <f ca="1">_xlfn.XLOOKUP(PAA_4[[#This Row],[ITEM]],[2]Contrato!A:A,[2]Contrato!T:T,"",0)</f>
        <v>#NAME?</v>
      </c>
      <c r="AB1201" s="55" t="e">
        <f ca="1">+MAX(PAA_4[[#This Row],[Comprometido Contrato]],PAA_4[[#This Row],[Comprometido Bolsa]])</f>
        <v>#NAME?</v>
      </c>
      <c r="AC1201" s="55" t="str">
        <f t="shared" ca="1" si="448"/>
        <v/>
      </c>
      <c r="AD1201" s="55" t="e">
        <f ca="1">IF(PAA_4[[#This Row],[ESTADO (formulado)]]="NO CONTRATADO",0,MAX(PAA_4[[#This Row],[Pago por Contrato]],PAA_4[[#This Row],[Pago por bolsa]]))</f>
        <v>#NAME?</v>
      </c>
      <c r="AE1201" s="55" t="str">
        <f t="shared" ca="1" si="449"/>
        <v/>
      </c>
      <c r="AF1201" s="47" t="e">
        <f t="shared" ca="1" si="450"/>
        <v>#NAME?</v>
      </c>
      <c r="AG1201" s="47">
        <f t="shared" si="451"/>
        <v>44021001</v>
      </c>
      <c r="AH1201" s="54">
        <f>IF(Q1201="22",IF(ISNUMBER(SEARCH("econ",PAA_4[[#This Row],[Actividad3]])),"Económico",IF(ISNUMBER(SEARCH("alim",PAA_4[[#This Row],[Actividad3]])),"Alimentación",IF(ISNUMBER(SEARCH("educ",PAA_4[[#This Row],[Actividad3]])),"Educativo","Técnico"))),0)</f>
        <v>0</v>
      </c>
      <c r="AI1201" s="47" t="e" cm="1">
        <f t="array" aca="1" ref="AI1201" ca="1">_xlfn.XLOOKUP(PAA_4[[#This Row],[RCP-RUBRO]],[2]!COMPROMISOS_2024[[#All],[concatenado]],[2]!COMPROMISOS_2024[[#All],[Total pagado]],"",0)</f>
        <v>#NAME?</v>
      </c>
      <c r="AJ1201" s="56">
        <f>IF(PAA_4[[#This Row],[BOLSA]]=0,0,SUMIFS([2]!COMPROMISOS_2024[[#All],[Total pagado]],[2]!COMPROMISOS_2024[[#All],[Bolsa]],PAA_4[[#This Row],[BOLSA]],[2]!COMPROMISOS_2024[[#All],[rubro]],PAA_4[[#This Row],[RCP-RUBRO]]))</f>
        <v>0</v>
      </c>
      <c r="AK1201" s="47" t="e" cm="1">
        <f t="array" aca="1" ref="AK1201" ca="1">_xlfn.XLOOKUP(PAA_4[[#This Row],[RCP-RUBRO]],[2]!COMPROMISOS_2024[[#All],[concatenado]],[2]!COMPROMISOS_2024[[#All],[Total Comprometido]],"",0)</f>
        <v>#NAME?</v>
      </c>
      <c r="AL1201" s="47">
        <f>IF(PAA_4[[#This Row],[BOLSA]]=0,0,SUMIFS([2]!COMPROMISOS_2024[[#All],[Total Comprometido]],[2]!COMPROMISOS_2024[[#All],[Bolsa]],PAA_4[[#This Row],[BOLSA]],[2]!COMPROMISOS_2024[[#All],[concatenado]],PAA_4[[#This Row],[RCP-RUBRO]]))</f>
        <v>0</v>
      </c>
    </row>
    <row r="1202" spans="1:38" s="19" customFormat="1" ht="31.5" customHeight="1">
      <c r="A1202" s="47" t="s">
        <v>82</v>
      </c>
      <c r="B1202" s="47" t="s">
        <v>42</v>
      </c>
      <c r="C1202" s="47" t="str">
        <f>VLOOKUP(PAA_4[[#This Row],[PROYECTO (formulado)2]],[2]PROYECTOS!$G$1:$L$32,6,0)</f>
        <v>SUBGERENCIA DE FOMENTO Y DESARROLLO</v>
      </c>
      <c r="D1202" s="47" t="str">
        <f>+IF(PAA_4[[#This Row],[UNIDAD DE CONTRATACION (formulado)]]="Subgerencia Administrativa y Financiera","FUNCIONAMIENTO","INVERSIÓN")</f>
        <v>INVERSIÓN</v>
      </c>
      <c r="E1202" s="48" t="str">
        <f>VLOOKUP(Q1202,[2]PROYECTOS!$G$1:$K$32,5,0)</f>
        <v>FORTALECIMIENTO_DEL_PROGRAMA_POR_SU_SALUD_MUÉVASE_PUES_EN_LOS_MUNICIPIO_DEL_DEPARTAMENTO_DE_ANTIOQUIA</v>
      </c>
      <c r="F1202" s="48">
        <f>VLOOKUP(E1202,[2]PROYECTOS!$K$1:$M$32,3,0)</f>
        <v>2020003050030</v>
      </c>
      <c r="G1202" s="49" t="s">
        <v>369</v>
      </c>
      <c r="H1202" s="49" t="str">
        <f>VLOOKUP(Q1202,[2]PROYECTOS!$V$1:$W$32,2,0)</f>
        <v>050055</v>
      </c>
      <c r="I1202" s="50">
        <v>9327091</v>
      </c>
      <c r="J1202" s="70" t="s">
        <v>1851</v>
      </c>
      <c r="K1202" s="47" t="str">
        <f ca="1">IF(ISNONTEXT(Y1202)=TRUE,"CONTRATADO","NO CONTRATADO")</f>
        <v>CONTRATADO</v>
      </c>
      <c r="L1202" s="47" t="s">
        <v>42</v>
      </c>
      <c r="M1202" s="47" t="s">
        <v>42</v>
      </c>
      <c r="N1202" s="52" t="s">
        <v>360</v>
      </c>
      <c r="O1202" s="51" t="e">
        <f>VLOOKUP(N1202,[2]!RUBROS[#All],3,0)</f>
        <v>#REF!</v>
      </c>
      <c r="P1202" s="53" t="e">
        <f>VLOOKUP(N1202,[2]!RUBROS[#All],2,0)</f>
        <v>#REF!</v>
      </c>
      <c r="Q1202" s="47" t="str">
        <f>+MID(N1202,11,2)</f>
        <v>45</v>
      </c>
      <c r="R1202" s="47" t="str">
        <f>+MID(N1202,14,8)</f>
        <v>0-205128</v>
      </c>
      <c r="S1202" s="54" t="s">
        <v>42</v>
      </c>
      <c r="T1202" s="59" t="s">
        <v>42</v>
      </c>
      <c r="U1202" s="326" t="e">
        <f ca="1">_xlfn.XLOOKUP(PAA_4[[#This Row],[ITEM]],[2]Contrato!A:A,[2]Contrato!Q:Q,"",0)</f>
        <v>#NAME?</v>
      </c>
      <c r="V1202" s="47" t="s">
        <v>47</v>
      </c>
      <c r="W1202" s="47" t="s">
        <v>42</v>
      </c>
      <c r="X1202" s="47" t="s">
        <v>42</v>
      </c>
      <c r="Y1202" s="55" t="e">
        <f ca="1">_xlfn.XLOOKUP(PAA_4[[#This Row],[ITEM]],[2]Contrato!A:A,[2]Contrato!B:B,"",0)</f>
        <v>#NAME?</v>
      </c>
      <c r="Z1202" s="47" t="e">
        <f ca="1">_xlfn.XLOOKUP(PAA_4[[#This Row],[ITEM]],[2]Contrato!A:A,[2]Contrato!G:G,"",0)</f>
        <v>#NAME?</v>
      </c>
      <c r="AA1202" s="47" t="e">
        <f ca="1">_xlfn.XLOOKUP(PAA_4[[#This Row],[ITEM]],[2]Contrato!A:A,[2]Contrato!T:T,"",0)</f>
        <v>#NAME?</v>
      </c>
      <c r="AB1202" s="55" t="e">
        <f ca="1">+MAX(PAA_4[[#This Row],[Comprometido Contrato]],PAA_4[[#This Row],[Comprometido Bolsa]])</f>
        <v>#NAME?</v>
      </c>
      <c r="AC1202" s="55" t="str">
        <f ca="1">IFERROR(I1202-AB1202,"")</f>
        <v/>
      </c>
      <c r="AD1202" s="55" t="e">
        <f ca="1">IF(PAA_4[[#This Row],[ESTADO (formulado)]]="NO CONTRATADO",0,MAX(PAA_4[[#This Row],[Pago por Contrato]],PAA_4[[#This Row],[Pago por bolsa]]))</f>
        <v>#NAME?</v>
      </c>
      <c r="AE1202" s="55" t="str">
        <f ca="1">+IFERROR(AB1202-AD1202,"")</f>
        <v/>
      </c>
      <c r="AF1202" s="47" t="e">
        <f ca="1">+CONCATENATE(AA1202,N1202)</f>
        <v>#NAME?</v>
      </c>
      <c r="AG1202" s="47">
        <f>IFERROR(_xlfn.NUMBERVALUE(MID(G1202,1,8)),"")</f>
        <v>44021001</v>
      </c>
      <c r="AH1202" s="54">
        <f>IF(Q1202="22",IF(ISNUMBER(SEARCH("econ",PAA_4[[#This Row],[Actividad3]])),"Económico",IF(ISNUMBER(SEARCH("alim",PAA_4[[#This Row],[Actividad3]])),"Alimentación",IF(ISNUMBER(SEARCH("educ",PAA_4[[#This Row],[Actividad3]])),"Educativo","Técnico"))),0)</f>
        <v>0</v>
      </c>
      <c r="AI1202" s="47" t="e" cm="1">
        <f t="array" aca="1" ref="AI1202" ca="1">_xlfn.XLOOKUP(PAA_4[[#This Row],[RCP-RUBRO]],[2]!COMPROMISOS_2024[[#All],[concatenado]],[2]!COMPROMISOS_2024[[#All],[Total pagado]],"",0)</f>
        <v>#NAME?</v>
      </c>
      <c r="AJ1202" s="56">
        <f>IF(PAA_4[[#This Row],[BOLSA]]=0,0,SUMIFS([2]!COMPROMISOS_2024[[#All],[Total pagado]],[2]!COMPROMISOS_2024[[#All],[Bolsa]],PAA_4[[#This Row],[BOLSA]],[2]!COMPROMISOS_2024[[#All],[rubro]],PAA_4[[#This Row],[RCP-RUBRO]]))</f>
        <v>0</v>
      </c>
      <c r="AK1202" s="47" t="e" cm="1">
        <f t="array" aca="1" ref="AK1202" ca="1">_xlfn.XLOOKUP(PAA_4[[#This Row],[RCP-RUBRO]],[2]!COMPROMISOS_2024[[#All],[concatenado]],[2]!COMPROMISOS_2024[[#All],[Total Comprometido]],"",0)</f>
        <v>#NAME?</v>
      </c>
      <c r="AL1202" s="47">
        <f>IF(PAA_4[[#This Row],[BOLSA]]=0,0,SUMIFS([2]!COMPROMISOS_2024[[#All],[Total Comprometido]],[2]!COMPROMISOS_2024[[#All],[Bolsa]],PAA_4[[#This Row],[BOLSA]],[2]!COMPROMISOS_2024[[#All],[concatenado]],PAA_4[[#This Row],[RCP-RUBRO]]))</f>
        <v>0</v>
      </c>
    </row>
    <row r="1203" spans="1:38" s="19" customFormat="1" ht="31.5" customHeight="1">
      <c r="A1203" s="47">
        <v>697</v>
      </c>
      <c r="B1203" s="47">
        <v>80111600</v>
      </c>
      <c r="C1203" s="47" t="str">
        <f>VLOOKUP(PAA_4[[#This Row],[PROYECTO (formulado)2]],[2]PROYECTOS!$G$1:$L$32,6,0)</f>
        <v>SUBGERENCIA DE FOMENTO Y DESARROLLO</v>
      </c>
      <c r="D1203" s="47" t="str">
        <f>+IF(PAA_4[[#This Row],[UNIDAD DE CONTRATACION (formulado)]]="Subgerencia Administrativa y Financiera","FUNCIONAMIENTO","INVERSIÓN")</f>
        <v>INVERSIÓN</v>
      </c>
      <c r="E1203" s="48" t="str">
        <f>VLOOKUP(Q1203,[2]PROYECTOS!$G$1:$K$32,5,0)</f>
        <v>FORTALECIMIENTO_DEL_PROGRAMA_POR_SU_SALUD_MUÉVASE_PUES_EN_LOS_MUNICIPIO_DEL_DEPARTAMENTO_DE_ANTIOQUIA</v>
      </c>
      <c r="F1203" s="48">
        <f>VLOOKUP(E1203,[2]PROYECTOS!$K$1:$M$32,3,0)</f>
        <v>2020003050030</v>
      </c>
      <c r="G1203" s="49" t="s">
        <v>369</v>
      </c>
      <c r="H1203" s="49" t="str">
        <f>VLOOKUP(Q1203,[2]PROYECTOS!$V$1:$W$32,2,0)</f>
        <v>050055</v>
      </c>
      <c r="I1203" s="50">
        <f>56484724-9327091</f>
        <v>47157633</v>
      </c>
      <c r="J1203" s="70" t="s">
        <v>371</v>
      </c>
      <c r="K1203" s="47" t="str">
        <f t="shared" ref="K1203:K1269" ca="1" si="452">IF(ISNONTEXT(Y1203)=TRUE,"CONTRATADO","NO CONTRATADO")</f>
        <v>CONTRATADO</v>
      </c>
      <c r="L1203" s="47" t="s">
        <v>94</v>
      </c>
      <c r="M1203" s="47" t="s">
        <v>1297</v>
      </c>
      <c r="N1203" s="52" t="s">
        <v>360</v>
      </c>
      <c r="O1203" s="51" t="e">
        <f>VLOOKUP(N1203,[2]!RUBROS[#All],3,0)</f>
        <v>#REF!</v>
      </c>
      <c r="P1203" s="53" t="e">
        <f>VLOOKUP(N1203,[2]!RUBROS[#All],2,0)</f>
        <v>#REF!</v>
      </c>
      <c r="Q1203" s="47" t="str">
        <f t="shared" ref="Q1203:Q1277" si="453">+MID(N1203,11,2)</f>
        <v>45</v>
      </c>
      <c r="R1203" s="47" t="str">
        <f t="shared" ref="R1203:R1268" si="454">+MID(N1203,14,8)</f>
        <v>0-205128</v>
      </c>
      <c r="S1203" s="54">
        <v>6.5</v>
      </c>
      <c r="T1203" s="59" t="s">
        <v>46</v>
      </c>
      <c r="U1203" s="326" t="e">
        <f ca="1">_xlfn.XLOOKUP(PAA_4[[#This Row],[ITEM]],[2]Contrato!A:A,[2]Contrato!Q:Q,"",0)</f>
        <v>#NAME?</v>
      </c>
      <c r="V1203" s="47" t="s">
        <v>47</v>
      </c>
      <c r="W1203" s="47" t="s">
        <v>226</v>
      </c>
      <c r="X1203" s="47" t="s">
        <v>226</v>
      </c>
      <c r="Y1203" s="55" t="e">
        <f ca="1">_xlfn.XLOOKUP(PAA_4[[#This Row],[ITEM]],[2]Contrato!A:A,[2]Contrato!B:B,"",0)</f>
        <v>#NAME?</v>
      </c>
      <c r="Z1203" s="47" t="e">
        <f ca="1">_xlfn.XLOOKUP(PAA_4[[#This Row],[ITEM]],[2]Contrato!A:A,[2]Contrato!G:G,"",0)</f>
        <v>#NAME?</v>
      </c>
      <c r="AA1203" s="47" t="e">
        <f ca="1">_xlfn.XLOOKUP(PAA_4[[#This Row],[ITEM]],[2]Contrato!A:A,[2]Contrato!T:T,"",0)</f>
        <v>#NAME?</v>
      </c>
      <c r="AB1203" s="55" t="e">
        <f ca="1">+MAX(PAA_4[[#This Row],[Comprometido Contrato]],PAA_4[[#This Row],[Comprometido Bolsa]])</f>
        <v>#NAME?</v>
      </c>
      <c r="AC1203" s="55" t="str">
        <f t="shared" ref="AC1203:AC1277" ca="1" si="455">IFERROR(I1203-AB1203,"")</f>
        <v/>
      </c>
      <c r="AD1203" s="55" t="e">
        <f ca="1">IF(PAA_4[[#This Row],[ESTADO (formulado)]]="NO CONTRATADO",0,MAX(PAA_4[[#This Row],[Pago por Contrato]],PAA_4[[#This Row],[Pago por bolsa]]))</f>
        <v>#NAME?</v>
      </c>
      <c r="AE1203" s="55" t="str">
        <f t="shared" ref="AE1203:AE1269" ca="1" si="456">+IFERROR(AB1203-AD1203,"")</f>
        <v/>
      </c>
      <c r="AF1203" s="47" t="e">
        <f t="shared" ref="AF1203:AF1277" ca="1" si="457">+CONCATENATE(AA1203,N1203)</f>
        <v>#NAME?</v>
      </c>
      <c r="AG1203" s="47">
        <f t="shared" ref="AG1203:AG1269" si="458">IFERROR(_xlfn.NUMBERVALUE(MID(G1203,1,8)),"")</f>
        <v>44021001</v>
      </c>
      <c r="AH1203" s="54">
        <f>IF(Q1203="22",IF(ISNUMBER(SEARCH("econ",PAA_4[[#This Row],[Actividad3]])),"Económico",IF(ISNUMBER(SEARCH("alim",PAA_4[[#This Row],[Actividad3]])),"Alimentación",IF(ISNUMBER(SEARCH("educ",PAA_4[[#This Row],[Actividad3]])),"Educativo","Técnico"))),0)</f>
        <v>0</v>
      </c>
      <c r="AI1203" s="47" t="e" cm="1">
        <f t="array" aca="1" ref="AI1203" ca="1">_xlfn.XLOOKUP(PAA_4[[#This Row],[RCP-RUBRO]],[2]!COMPROMISOS_2024[[#All],[concatenado]],[2]!COMPROMISOS_2024[[#All],[Total pagado]],"",0)</f>
        <v>#NAME?</v>
      </c>
      <c r="AJ1203" s="56">
        <f>IF(PAA_4[[#This Row],[BOLSA]]=0,0,SUMIFS([2]!COMPROMISOS_2024[[#All],[Total pagado]],[2]!COMPROMISOS_2024[[#All],[Bolsa]],PAA_4[[#This Row],[BOLSA]],[2]!COMPROMISOS_2024[[#All],[rubro]],PAA_4[[#This Row],[RCP-RUBRO]]))</f>
        <v>0</v>
      </c>
      <c r="AK1203" s="47" t="e" cm="1">
        <f t="array" aca="1" ref="AK1203" ca="1">_xlfn.XLOOKUP(PAA_4[[#This Row],[RCP-RUBRO]],[2]!COMPROMISOS_2024[[#All],[concatenado]],[2]!COMPROMISOS_2024[[#All],[Total Comprometido]],"",0)</f>
        <v>#NAME?</v>
      </c>
      <c r="AL1203" s="47">
        <f>IF(PAA_4[[#This Row],[BOLSA]]=0,0,SUMIFS([2]!COMPROMISOS_2024[[#All],[Total Comprometido]],[2]!COMPROMISOS_2024[[#All],[Bolsa]],PAA_4[[#This Row],[BOLSA]],[2]!COMPROMISOS_2024[[#All],[concatenado]],PAA_4[[#This Row],[RCP-RUBRO]]))</f>
        <v>0</v>
      </c>
    </row>
    <row r="1204" spans="1:38" s="19" customFormat="1" ht="31.5" customHeight="1">
      <c r="A1204" s="47">
        <v>388</v>
      </c>
      <c r="B1204" s="47">
        <v>80111600</v>
      </c>
      <c r="C1204" s="47" t="str">
        <f>VLOOKUP(PAA_4[[#This Row],[PROYECTO (formulado)2]],[2]PROYECTOS!$G$1:$L$32,6,0)</f>
        <v>SUBGERENCIA DE FOMENTO Y DESARROLLO</v>
      </c>
      <c r="D1204" s="47" t="str">
        <f>+IF(PAA_4[[#This Row],[UNIDAD DE CONTRATACION (formulado)]]="Subgerencia Administrativa y Financiera","FUNCIONAMIENTO","INVERSIÓN")</f>
        <v>INVERSIÓN</v>
      </c>
      <c r="E1204" s="48" t="str">
        <f>VLOOKUP(Q1204,[2]PROYECTOS!$G$1:$K$32,5,0)</f>
        <v>FORTALECIMIENTO_DEL_PROGRAMA_POR_SU_SALUD_MUÉVASE_PUES_EN_LOS_MUNICIPIO_DEL_DEPARTAMENTO_DE_ANTIOQUIA</v>
      </c>
      <c r="F1204" s="48">
        <f>VLOOKUP(E1204,[2]PROYECTOS!$K$1:$M$32,3,0)</f>
        <v>2020003050030</v>
      </c>
      <c r="G1204" s="49" t="s">
        <v>369</v>
      </c>
      <c r="H1204" s="49" t="str">
        <f>VLOOKUP(Q1204,[2]PROYECTOS!$V$1:$W$32,2,0)</f>
        <v>050055</v>
      </c>
      <c r="I1204" s="50">
        <v>0</v>
      </c>
      <c r="J1204" s="70" t="s">
        <v>370</v>
      </c>
      <c r="K1204" s="47" t="str">
        <f t="shared" ca="1" si="452"/>
        <v>CONTRATADO</v>
      </c>
      <c r="L1204" s="47" t="s">
        <v>94</v>
      </c>
      <c r="M1204" s="47" t="s">
        <v>1297</v>
      </c>
      <c r="N1204" s="52" t="s">
        <v>360</v>
      </c>
      <c r="O1204" s="51" t="e">
        <f>VLOOKUP(N1204,[2]!RUBROS[#All],3,0)</f>
        <v>#REF!</v>
      </c>
      <c r="P1204" s="53" t="e">
        <f>VLOOKUP(N1204,[2]!RUBROS[#All],2,0)</f>
        <v>#REF!</v>
      </c>
      <c r="Q1204" s="47" t="str">
        <f t="shared" si="453"/>
        <v>45</v>
      </c>
      <c r="R1204" s="47" t="str">
        <f t="shared" si="454"/>
        <v>0-205128</v>
      </c>
      <c r="S1204" s="54">
        <v>7</v>
      </c>
      <c r="T1204" s="59" t="s">
        <v>46</v>
      </c>
      <c r="U1204" s="326" t="e">
        <f ca="1">_xlfn.XLOOKUP(PAA_4[[#This Row],[ITEM]],[2]Contrato!A:A,[2]Contrato!Q:Q,"",0)</f>
        <v>#NAME?</v>
      </c>
      <c r="V1204" s="47" t="s">
        <v>47</v>
      </c>
      <c r="W1204" s="71" t="s">
        <v>226</v>
      </c>
      <c r="X1204" s="47" t="s">
        <v>226</v>
      </c>
      <c r="Y1204" s="55" t="e">
        <f ca="1">_xlfn.XLOOKUP(PAA_4[[#This Row],[ITEM]],[2]Contrato!A:A,[2]Contrato!B:B,"",0)</f>
        <v>#NAME?</v>
      </c>
      <c r="Z1204" s="47" t="e">
        <f ca="1">_xlfn.XLOOKUP(PAA_4[[#This Row],[ITEM]],[2]Contrato!A:A,[2]Contrato!G:G,"",0)</f>
        <v>#NAME?</v>
      </c>
      <c r="AA1204" s="47" t="e">
        <f ca="1">_xlfn.XLOOKUP(PAA_4[[#This Row],[ITEM]],[2]Contrato!A:A,[2]Contrato!T:T,"",0)</f>
        <v>#NAME?</v>
      </c>
      <c r="AB1204" s="55" t="e">
        <f ca="1">+MAX(PAA_4[[#This Row],[Comprometido Contrato]],PAA_4[[#This Row],[Comprometido Bolsa]])</f>
        <v>#NAME?</v>
      </c>
      <c r="AC1204" s="55" t="str">
        <f t="shared" ca="1" si="455"/>
        <v/>
      </c>
      <c r="AD1204" s="55" t="e">
        <f ca="1">IF(PAA_4[[#This Row],[ESTADO (formulado)]]="NO CONTRATADO",0,MAX(PAA_4[[#This Row],[Pago por Contrato]],PAA_4[[#This Row],[Pago por bolsa]]))</f>
        <v>#NAME?</v>
      </c>
      <c r="AE1204" s="55" t="str">
        <f t="shared" ca="1" si="456"/>
        <v/>
      </c>
      <c r="AF1204" s="47" t="e">
        <f t="shared" ca="1" si="457"/>
        <v>#NAME?</v>
      </c>
      <c r="AG1204" s="47">
        <f t="shared" si="458"/>
        <v>44021001</v>
      </c>
      <c r="AH1204" s="54">
        <f>IF(Q1204="22",IF(ISNUMBER(SEARCH("econ",PAA_4[[#This Row],[Actividad3]])),"Económico",IF(ISNUMBER(SEARCH("alim",PAA_4[[#This Row],[Actividad3]])),"Alimentación",IF(ISNUMBER(SEARCH("educ",PAA_4[[#This Row],[Actividad3]])),"Educativo","Técnico"))),0)</f>
        <v>0</v>
      </c>
      <c r="AI1204" s="47" t="e" cm="1">
        <f t="array" aca="1" ref="AI1204" ca="1">_xlfn.XLOOKUP(PAA_4[[#This Row],[RCP-RUBRO]],[2]!COMPROMISOS_2024[[#All],[concatenado]],[2]!COMPROMISOS_2024[[#All],[Total pagado]],"",0)</f>
        <v>#NAME?</v>
      </c>
      <c r="AJ1204" s="56">
        <f>IF(PAA_4[[#This Row],[BOLSA]]=0,0,SUMIFS([2]!COMPROMISOS_2024[[#All],[Total pagado]],[2]!COMPROMISOS_2024[[#All],[Bolsa]],PAA_4[[#This Row],[BOLSA]],[2]!COMPROMISOS_2024[[#All],[rubro]],PAA_4[[#This Row],[RCP-RUBRO]]))</f>
        <v>0</v>
      </c>
      <c r="AK1204" s="47" t="e" cm="1">
        <f t="array" aca="1" ref="AK1204" ca="1">_xlfn.XLOOKUP(PAA_4[[#This Row],[RCP-RUBRO]],[2]!COMPROMISOS_2024[[#All],[concatenado]],[2]!COMPROMISOS_2024[[#All],[Total Comprometido]],"",0)</f>
        <v>#NAME?</v>
      </c>
      <c r="AL1204" s="47">
        <f>IF(PAA_4[[#This Row],[BOLSA]]=0,0,SUMIFS([2]!COMPROMISOS_2024[[#All],[Total Comprometido]],[2]!COMPROMISOS_2024[[#All],[Bolsa]],PAA_4[[#This Row],[BOLSA]],[2]!COMPROMISOS_2024[[#All],[concatenado]],PAA_4[[#This Row],[RCP-RUBRO]]))</f>
        <v>0</v>
      </c>
    </row>
    <row r="1205" spans="1:38" s="19" customFormat="1" ht="31.5" customHeight="1">
      <c r="A1205" s="47">
        <v>389</v>
      </c>
      <c r="B1205" s="47">
        <v>80111600</v>
      </c>
      <c r="C1205" s="47" t="str">
        <f>VLOOKUP(PAA_4[[#This Row],[PROYECTO (formulado)2]],[2]PROYECTOS!$G$1:$L$32,6,0)</f>
        <v>SUBGERENCIA DE FOMENTO Y DESARROLLO</v>
      </c>
      <c r="D1205" s="47" t="str">
        <f>+IF(PAA_4[[#This Row],[UNIDAD DE CONTRATACION (formulado)]]="Subgerencia Administrativa y Financiera","FUNCIONAMIENTO","INVERSIÓN")</f>
        <v>INVERSIÓN</v>
      </c>
      <c r="E1205" s="48" t="str">
        <f>VLOOKUP(Q1205,[2]PROYECTOS!$G$1:$K$32,5,0)</f>
        <v>FORTALECIMIENTO_DEL_PROGRAMA_POR_SU_SALUD_MUÉVASE_PUES_EN_LOS_MUNICIPIO_DEL_DEPARTAMENTO_DE_ANTIOQUIA</v>
      </c>
      <c r="F1205" s="48">
        <f>VLOOKUP(E1205,[2]PROYECTOS!$K$1:$M$32,3,0)</f>
        <v>2020003050030</v>
      </c>
      <c r="G1205" s="49" t="s">
        <v>369</v>
      </c>
      <c r="H1205" s="49" t="str">
        <f>VLOOKUP(Q1205,[2]PROYECTOS!$V$1:$W$32,2,0)</f>
        <v>050055</v>
      </c>
      <c r="I1205" s="50">
        <v>0</v>
      </c>
      <c r="J1205" s="51" t="s">
        <v>1865</v>
      </c>
      <c r="K1205" s="47" t="str">
        <f t="shared" ca="1" si="452"/>
        <v>CONTRATADO</v>
      </c>
      <c r="L1205" s="47" t="s">
        <v>94</v>
      </c>
      <c r="M1205" s="47" t="s">
        <v>1297</v>
      </c>
      <c r="N1205" s="52" t="s">
        <v>360</v>
      </c>
      <c r="O1205" s="51" t="e">
        <f>VLOOKUP(N1205,[2]!RUBROS[#All],3,0)</f>
        <v>#REF!</v>
      </c>
      <c r="P1205" s="53" t="e">
        <f>VLOOKUP(N1205,[2]!RUBROS[#All],2,0)</f>
        <v>#REF!</v>
      </c>
      <c r="Q1205" s="47" t="str">
        <f t="shared" si="453"/>
        <v>45</v>
      </c>
      <c r="R1205" s="47" t="str">
        <f t="shared" si="454"/>
        <v>0-205128</v>
      </c>
      <c r="S1205" s="54">
        <v>12</v>
      </c>
      <c r="T1205" s="59" t="s">
        <v>46</v>
      </c>
      <c r="U1205" s="326" t="e">
        <f ca="1">_xlfn.XLOOKUP(PAA_4[[#This Row],[ITEM]],[2]Contrato!A:A,[2]Contrato!Q:Q,"",0)</f>
        <v>#NAME?</v>
      </c>
      <c r="V1205" s="47" t="s">
        <v>47</v>
      </c>
      <c r="W1205" s="47" t="s">
        <v>83</v>
      </c>
      <c r="X1205" s="47" t="s">
        <v>83</v>
      </c>
      <c r="Y1205" s="55" t="e">
        <f ca="1">_xlfn.XLOOKUP(PAA_4[[#This Row],[ITEM]],[2]Contrato!A:A,[2]Contrato!B:B,"",0)</f>
        <v>#NAME?</v>
      </c>
      <c r="Z1205" s="47" t="e">
        <f ca="1">_xlfn.XLOOKUP(PAA_4[[#This Row],[ITEM]],[2]Contrato!A:A,[2]Contrato!G:G,"",0)</f>
        <v>#NAME?</v>
      </c>
      <c r="AA1205" s="47" t="e">
        <f ca="1">_xlfn.XLOOKUP(PAA_4[[#This Row],[ITEM]],[2]Contrato!A:A,[2]Contrato!T:T,"",0)</f>
        <v>#NAME?</v>
      </c>
      <c r="AB1205" s="55" t="e">
        <f ca="1">+MAX(PAA_4[[#This Row],[Comprometido Contrato]],PAA_4[[#This Row],[Comprometido Bolsa]])</f>
        <v>#NAME?</v>
      </c>
      <c r="AC1205" s="55" t="str">
        <f t="shared" ca="1" si="455"/>
        <v/>
      </c>
      <c r="AD1205" s="55" t="e">
        <f ca="1">IF(PAA_4[[#This Row],[ESTADO (formulado)]]="NO CONTRATADO",0,MAX(PAA_4[[#This Row],[Pago por Contrato]],PAA_4[[#This Row],[Pago por bolsa]]))</f>
        <v>#NAME?</v>
      </c>
      <c r="AE1205" s="55" t="str">
        <f t="shared" ca="1" si="456"/>
        <v/>
      </c>
      <c r="AF1205" s="47" t="e">
        <f t="shared" ca="1" si="457"/>
        <v>#NAME?</v>
      </c>
      <c r="AG1205" s="47">
        <f t="shared" si="458"/>
        <v>44021001</v>
      </c>
      <c r="AH1205" s="54">
        <f>IF(Q1205="22",IF(ISNUMBER(SEARCH("econ",PAA_4[[#This Row],[Actividad3]])),"Económico",IF(ISNUMBER(SEARCH("alim",PAA_4[[#This Row],[Actividad3]])),"Alimentación",IF(ISNUMBER(SEARCH("educ",PAA_4[[#This Row],[Actividad3]])),"Educativo","Técnico"))),0)</f>
        <v>0</v>
      </c>
      <c r="AI1205" s="47" t="e" cm="1">
        <f t="array" aca="1" ref="AI1205" ca="1">_xlfn.XLOOKUP(PAA_4[[#This Row],[RCP-RUBRO]],[2]!COMPROMISOS_2024[[#All],[concatenado]],[2]!COMPROMISOS_2024[[#All],[Total pagado]],"",0)</f>
        <v>#NAME?</v>
      </c>
      <c r="AJ1205" s="56">
        <f>IF(PAA_4[[#This Row],[BOLSA]]=0,0,SUMIFS([2]!COMPROMISOS_2024[[#All],[Total pagado]],[2]!COMPROMISOS_2024[[#All],[Bolsa]],PAA_4[[#This Row],[BOLSA]],[2]!COMPROMISOS_2024[[#All],[rubro]],PAA_4[[#This Row],[RCP-RUBRO]]))</f>
        <v>0</v>
      </c>
      <c r="AK1205" s="47" t="e" cm="1">
        <f t="array" aca="1" ref="AK1205" ca="1">_xlfn.XLOOKUP(PAA_4[[#This Row],[RCP-RUBRO]],[2]!COMPROMISOS_2024[[#All],[concatenado]],[2]!COMPROMISOS_2024[[#All],[Total Comprometido]],"",0)</f>
        <v>#NAME?</v>
      </c>
      <c r="AL1205" s="47">
        <f>IF(PAA_4[[#This Row],[BOLSA]]=0,0,SUMIFS([2]!COMPROMISOS_2024[[#All],[Total Comprometido]],[2]!COMPROMISOS_2024[[#All],[Bolsa]],PAA_4[[#This Row],[BOLSA]],[2]!COMPROMISOS_2024[[#All],[concatenado]],PAA_4[[#This Row],[RCP-RUBRO]]))</f>
        <v>0</v>
      </c>
    </row>
    <row r="1206" spans="1:38" s="19" customFormat="1" ht="31.5" customHeight="1">
      <c r="A1206" s="47">
        <v>390</v>
      </c>
      <c r="B1206" s="47">
        <v>80111600</v>
      </c>
      <c r="C1206" s="47" t="str">
        <f>VLOOKUP(PAA_4[[#This Row],[PROYECTO (formulado)2]],[2]PROYECTOS!$G$1:$L$32,6,0)</f>
        <v>SUBGERENCIA DE FOMENTO Y DESARROLLO</v>
      </c>
      <c r="D1206" s="47" t="str">
        <f>+IF(PAA_4[[#This Row],[UNIDAD DE CONTRATACION (formulado)]]="Subgerencia Administrativa y Financiera","FUNCIONAMIENTO","INVERSIÓN")</f>
        <v>INVERSIÓN</v>
      </c>
      <c r="E1206" s="48" t="str">
        <f>VLOOKUP(Q1206,[2]PROYECTOS!$G$1:$K$32,5,0)</f>
        <v>FORTALECIMIENTO_DEL_PROGRAMA_POR_SU_SALUD_MUÉVASE_PUES_EN_LOS_MUNICIPIO_DEL_DEPARTAMENTO_DE_ANTIOQUIA</v>
      </c>
      <c r="F1206" s="48">
        <f>VLOOKUP(E1206,[2]PROYECTOS!$K$1:$M$32,3,0)</f>
        <v>2020003050030</v>
      </c>
      <c r="G1206" s="49" t="s">
        <v>369</v>
      </c>
      <c r="H1206" s="49" t="str">
        <f>VLOOKUP(Q1206,[2]PROYECTOS!$V$1:$W$32,2,0)</f>
        <v>050055</v>
      </c>
      <c r="I1206" s="50">
        <v>0</v>
      </c>
      <c r="J1206" s="51" t="s">
        <v>1865</v>
      </c>
      <c r="K1206" s="47" t="str">
        <f t="shared" ca="1" si="452"/>
        <v>CONTRATADO</v>
      </c>
      <c r="L1206" s="47" t="s">
        <v>94</v>
      </c>
      <c r="M1206" s="47" t="s">
        <v>1297</v>
      </c>
      <c r="N1206" s="52" t="s">
        <v>360</v>
      </c>
      <c r="O1206" s="51" t="e">
        <f>VLOOKUP(N1206,[2]!RUBROS[#All],3,0)</f>
        <v>#REF!</v>
      </c>
      <c r="P1206" s="53" t="e">
        <f>VLOOKUP(N1206,[2]!RUBROS[#All],2,0)</f>
        <v>#REF!</v>
      </c>
      <c r="Q1206" s="47" t="str">
        <f t="shared" si="453"/>
        <v>45</v>
      </c>
      <c r="R1206" s="47" t="str">
        <f t="shared" si="454"/>
        <v>0-205128</v>
      </c>
      <c r="S1206" s="54">
        <v>12</v>
      </c>
      <c r="T1206" s="59" t="s">
        <v>46</v>
      </c>
      <c r="U1206" s="326" t="e">
        <f ca="1">_xlfn.XLOOKUP(PAA_4[[#This Row],[ITEM]],[2]Contrato!A:A,[2]Contrato!Q:Q,"",0)</f>
        <v>#NAME?</v>
      </c>
      <c r="V1206" s="47" t="s">
        <v>47</v>
      </c>
      <c r="W1206" s="47" t="s">
        <v>83</v>
      </c>
      <c r="X1206" s="47" t="s">
        <v>83</v>
      </c>
      <c r="Y1206" s="55" t="e">
        <f ca="1">_xlfn.XLOOKUP(PAA_4[[#This Row],[ITEM]],[2]Contrato!A:A,[2]Contrato!B:B,"",0)</f>
        <v>#NAME?</v>
      </c>
      <c r="Z1206" s="47" t="e">
        <f ca="1">_xlfn.XLOOKUP(PAA_4[[#This Row],[ITEM]],[2]Contrato!A:A,[2]Contrato!G:G,"",0)</f>
        <v>#NAME?</v>
      </c>
      <c r="AA1206" s="47" t="e">
        <f ca="1">_xlfn.XLOOKUP(PAA_4[[#This Row],[ITEM]],[2]Contrato!A:A,[2]Contrato!T:T,"",0)</f>
        <v>#NAME?</v>
      </c>
      <c r="AB1206" s="55" t="e">
        <f ca="1">+MAX(PAA_4[[#This Row],[Comprometido Contrato]],PAA_4[[#This Row],[Comprometido Bolsa]])</f>
        <v>#NAME?</v>
      </c>
      <c r="AC1206" s="55" t="str">
        <f t="shared" ca="1" si="455"/>
        <v/>
      </c>
      <c r="AD1206" s="55" t="e">
        <f ca="1">IF(PAA_4[[#This Row],[ESTADO (formulado)]]="NO CONTRATADO",0,MAX(PAA_4[[#This Row],[Pago por Contrato]],PAA_4[[#This Row],[Pago por bolsa]]))</f>
        <v>#NAME?</v>
      </c>
      <c r="AE1206" s="55" t="str">
        <f t="shared" ca="1" si="456"/>
        <v/>
      </c>
      <c r="AF1206" s="47" t="e">
        <f t="shared" ca="1" si="457"/>
        <v>#NAME?</v>
      </c>
      <c r="AG1206" s="47">
        <f t="shared" si="458"/>
        <v>44021001</v>
      </c>
      <c r="AH1206" s="54">
        <f>IF(Q1206="22",IF(ISNUMBER(SEARCH("econ",PAA_4[[#This Row],[Actividad3]])),"Económico",IF(ISNUMBER(SEARCH("alim",PAA_4[[#This Row],[Actividad3]])),"Alimentación",IF(ISNUMBER(SEARCH("educ",PAA_4[[#This Row],[Actividad3]])),"Educativo","Técnico"))),0)</f>
        <v>0</v>
      </c>
      <c r="AI1206" s="47" t="e" cm="1">
        <f t="array" aca="1" ref="AI1206" ca="1">_xlfn.XLOOKUP(PAA_4[[#This Row],[RCP-RUBRO]],[2]!COMPROMISOS_2024[[#All],[concatenado]],[2]!COMPROMISOS_2024[[#All],[Total pagado]],"",0)</f>
        <v>#NAME?</v>
      </c>
      <c r="AJ1206" s="56">
        <f>IF(PAA_4[[#This Row],[BOLSA]]=0,0,SUMIFS([2]!COMPROMISOS_2024[[#All],[Total pagado]],[2]!COMPROMISOS_2024[[#All],[Bolsa]],PAA_4[[#This Row],[BOLSA]],[2]!COMPROMISOS_2024[[#All],[rubro]],PAA_4[[#This Row],[RCP-RUBRO]]))</f>
        <v>0</v>
      </c>
      <c r="AK1206" s="47" t="e" cm="1">
        <f t="array" aca="1" ref="AK1206" ca="1">_xlfn.XLOOKUP(PAA_4[[#This Row],[RCP-RUBRO]],[2]!COMPROMISOS_2024[[#All],[concatenado]],[2]!COMPROMISOS_2024[[#All],[Total Comprometido]],"",0)</f>
        <v>#NAME?</v>
      </c>
      <c r="AL1206" s="47">
        <f>IF(PAA_4[[#This Row],[BOLSA]]=0,0,SUMIFS([2]!COMPROMISOS_2024[[#All],[Total Comprometido]],[2]!COMPROMISOS_2024[[#All],[Bolsa]],PAA_4[[#This Row],[BOLSA]],[2]!COMPROMISOS_2024[[#All],[concatenado]],PAA_4[[#This Row],[RCP-RUBRO]]))</f>
        <v>0</v>
      </c>
    </row>
    <row r="1207" spans="1:38" s="19" customFormat="1" ht="31.5" customHeight="1">
      <c r="A1207" s="47">
        <v>391</v>
      </c>
      <c r="B1207" s="47">
        <v>80111600</v>
      </c>
      <c r="C1207" s="47" t="str">
        <f>VLOOKUP(PAA_4[[#This Row],[PROYECTO (formulado)2]],[2]PROYECTOS!$G$1:$L$32,6,0)</f>
        <v>SUBGERENCIA DE FOMENTO Y DESARROLLO</v>
      </c>
      <c r="D1207" s="47" t="str">
        <f>+IF(PAA_4[[#This Row],[UNIDAD DE CONTRATACION (formulado)]]="Subgerencia Administrativa y Financiera","FUNCIONAMIENTO","INVERSIÓN")</f>
        <v>INVERSIÓN</v>
      </c>
      <c r="E1207" s="48" t="str">
        <f>VLOOKUP(Q1207,[2]PROYECTOS!$G$1:$K$32,5,0)</f>
        <v>FORTALECIMIENTO_DEL_PROGRAMA_POR_SU_SALUD_MUÉVASE_PUES_EN_LOS_MUNICIPIO_DEL_DEPARTAMENTO_DE_ANTIOQUIA</v>
      </c>
      <c r="F1207" s="48">
        <f>VLOOKUP(E1207,[2]PROYECTOS!$K$1:$M$32,3,0)</f>
        <v>2020003050030</v>
      </c>
      <c r="G1207" s="49" t="s">
        <v>369</v>
      </c>
      <c r="H1207" s="49" t="str">
        <f>VLOOKUP(Q1207,[2]PROYECTOS!$V$1:$W$32,2,0)</f>
        <v>050055</v>
      </c>
      <c r="I1207" s="50">
        <v>0</v>
      </c>
      <c r="J1207" s="51" t="s">
        <v>1866</v>
      </c>
      <c r="K1207" s="47" t="str">
        <f t="shared" ca="1" si="452"/>
        <v>CONTRATADO</v>
      </c>
      <c r="L1207" s="47" t="s">
        <v>94</v>
      </c>
      <c r="M1207" s="47" t="s">
        <v>1297</v>
      </c>
      <c r="N1207" s="52" t="s">
        <v>360</v>
      </c>
      <c r="O1207" s="51" t="e">
        <f>VLOOKUP(N1207,[2]!RUBROS[#All],3,0)</f>
        <v>#REF!</v>
      </c>
      <c r="P1207" s="53" t="e">
        <f>VLOOKUP(N1207,[2]!RUBROS[#All],2,0)</f>
        <v>#REF!</v>
      </c>
      <c r="Q1207" s="47" t="str">
        <f t="shared" si="453"/>
        <v>45</v>
      </c>
      <c r="R1207" s="47" t="str">
        <f t="shared" si="454"/>
        <v>0-205128</v>
      </c>
      <c r="S1207" s="54">
        <v>10.5</v>
      </c>
      <c r="T1207" s="59" t="s">
        <v>46</v>
      </c>
      <c r="U1207" s="326" t="e">
        <f ca="1">_xlfn.XLOOKUP(PAA_4[[#This Row],[ITEM]],[2]Contrato!A:A,[2]Contrato!Q:Q,"",0)</f>
        <v>#NAME?</v>
      </c>
      <c r="V1207" s="47" t="s">
        <v>47</v>
      </c>
      <c r="W1207" s="47" t="s">
        <v>91</v>
      </c>
      <c r="X1207" s="47" t="s">
        <v>91</v>
      </c>
      <c r="Y1207" s="55" t="e">
        <f ca="1">_xlfn.XLOOKUP(PAA_4[[#This Row],[ITEM]],[2]Contrato!A:A,[2]Contrato!B:B,"",0)</f>
        <v>#NAME?</v>
      </c>
      <c r="Z1207" s="47" t="e">
        <f ca="1">_xlfn.XLOOKUP(PAA_4[[#This Row],[ITEM]],[2]Contrato!A:A,[2]Contrato!G:G,"",0)</f>
        <v>#NAME?</v>
      </c>
      <c r="AA1207" s="47" t="e">
        <f ca="1">_xlfn.XLOOKUP(PAA_4[[#This Row],[ITEM]],[2]Contrato!A:A,[2]Contrato!T:T,"",0)</f>
        <v>#NAME?</v>
      </c>
      <c r="AB1207" s="55" t="e">
        <f ca="1">+MAX(PAA_4[[#This Row],[Comprometido Contrato]],PAA_4[[#This Row],[Comprometido Bolsa]])</f>
        <v>#NAME?</v>
      </c>
      <c r="AC1207" s="55" t="str">
        <f t="shared" ca="1" si="455"/>
        <v/>
      </c>
      <c r="AD1207" s="55" t="e">
        <f ca="1">IF(PAA_4[[#This Row],[ESTADO (formulado)]]="NO CONTRATADO",0,MAX(PAA_4[[#This Row],[Pago por Contrato]],PAA_4[[#This Row],[Pago por bolsa]]))</f>
        <v>#NAME?</v>
      </c>
      <c r="AE1207" s="55" t="str">
        <f t="shared" ca="1" si="456"/>
        <v/>
      </c>
      <c r="AF1207" s="47" t="e">
        <f t="shared" ca="1" si="457"/>
        <v>#NAME?</v>
      </c>
      <c r="AG1207" s="47">
        <f t="shared" si="458"/>
        <v>44021001</v>
      </c>
      <c r="AH1207" s="54">
        <f>IF(Q1207="22",IF(ISNUMBER(SEARCH("econ",PAA_4[[#This Row],[Actividad3]])),"Económico",IF(ISNUMBER(SEARCH("alim",PAA_4[[#This Row],[Actividad3]])),"Alimentación",IF(ISNUMBER(SEARCH("educ",PAA_4[[#This Row],[Actividad3]])),"Educativo","Técnico"))),0)</f>
        <v>0</v>
      </c>
      <c r="AI1207" s="47" t="e" cm="1">
        <f t="array" aca="1" ref="AI1207" ca="1">_xlfn.XLOOKUP(PAA_4[[#This Row],[RCP-RUBRO]],[2]!COMPROMISOS_2024[[#All],[concatenado]],[2]!COMPROMISOS_2024[[#All],[Total pagado]],"",0)</f>
        <v>#NAME?</v>
      </c>
      <c r="AJ1207" s="56">
        <f>IF(PAA_4[[#This Row],[BOLSA]]=0,0,SUMIFS([2]!COMPROMISOS_2024[[#All],[Total pagado]],[2]!COMPROMISOS_2024[[#All],[Bolsa]],PAA_4[[#This Row],[BOLSA]],[2]!COMPROMISOS_2024[[#All],[rubro]],PAA_4[[#This Row],[RCP-RUBRO]]))</f>
        <v>0</v>
      </c>
      <c r="AK1207" s="47" t="e" cm="1">
        <f t="array" aca="1" ref="AK1207" ca="1">_xlfn.XLOOKUP(PAA_4[[#This Row],[RCP-RUBRO]],[2]!COMPROMISOS_2024[[#All],[concatenado]],[2]!COMPROMISOS_2024[[#All],[Total Comprometido]],"",0)</f>
        <v>#NAME?</v>
      </c>
      <c r="AL1207" s="47">
        <f>IF(PAA_4[[#This Row],[BOLSA]]=0,0,SUMIFS([2]!COMPROMISOS_2024[[#All],[Total Comprometido]],[2]!COMPROMISOS_2024[[#All],[Bolsa]],PAA_4[[#This Row],[BOLSA]],[2]!COMPROMISOS_2024[[#All],[concatenado]],PAA_4[[#This Row],[RCP-RUBRO]]))</f>
        <v>0</v>
      </c>
    </row>
    <row r="1208" spans="1:38" s="19" customFormat="1" ht="31.5" customHeight="1">
      <c r="A1208" s="47">
        <v>392</v>
      </c>
      <c r="B1208" s="47">
        <v>80111600</v>
      </c>
      <c r="C1208" s="47" t="str">
        <f>VLOOKUP(PAA_4[[#This Row],[PROYECTO (formulado)2]],[2]PROYECTOS!$G$1:$L$32,6,0)</f>
        <v>SUBGERENCIA DE FOMENTO Y DESARROLLO</v>
      </c>
      <c r="D1208" s="47" t="str">
        <f>+IF(PAA_4[[#This Row],[UNIDAD DE CONTRATACION (formulado)]]="Subgerencia Administrativa y Financiera","FUNCIONAMIENTO","INVERSIÓN")</f>
        <v>INVERSIÓN</v>
      </c>
      <c r="E1208" s="48" t="str">
        <f>VLOOKUP(Q1208,[2]PROYECTOS!$G$1:$K$32,5,0)</f>
        <v>FORTALECIMIENTO_DEL_PROGRAMA_POR_SU_SALUD_MUÉVASE_PUES_EN_LOS_MUNICIPIO_DEL_DEPARTAMENTO_DE_ANTIOQUIA</v>
      </c>
      <c r="F1208" s="48">
        <f>VLOOKUP(E1208,[2]PROYECTOS!$K$1:$M$32,3,0)</f>
        <v>2020003050030</v>
      </c>
      <c r="G1208" s="49" t="s">
        <v>369</v>
      </c>
      <c r="H1208" s="49" t="str">
        <f>VLOOKUP(Q1208,[2]PROYECTOS!$V$1:$W$32,2,0)</f>
        <v>050055</v>
      </c>
      <c r="I1208" s="50">
        <v>0</v>
      </c>
      <c r="J1208" s="51" t="s">
        <v>1867</v>
      </c>
      <c r="K1208" s="47" t="str">
        <f t="shared" ca="1" si="452"/>
        <v>CONTRATADO</v>
      </c>
      <c r="L1208" s="47" t="s">
        <v>94</v>
      </c>
      <c r="M1208" s="47" t="s">
        <v>1297</v>
      </c>
      <c r="N1208" s="52" t="s">
        <v>360</v>
      </c>
      <c r="O1208" s="51" t="e">
        <f>VLOOKUP(N1208,[2]!RUBROS[#All],3,0)</f>
        <v>#REF!</v>
      </c>
      <c r="P1208" s="53" t="e">
        <f>VLOOKUP(N1208,[2]!RUBROS[#All],2,0)</f>
        <v>#REF!</v>
      </c>
      <c r="Q1208" s="47" t="str">
        <f t="shared" si="453"/>
        <v>45</v>
      </c>
      <c r="R1208" s="47" t="str">
        <f t="shared" si="454"/>
        <v>0-205128</v>
      </c>
      <c r="S1208" s="54">
        <v>12</v>
      </c>
      <c r="T1208" s="59" t="s">
        <v>46</v>
      </c>
      <c r="U1208" s="326" t="e">
        <f ca="1">_xlfn.XLOOKUP(PAA_4[[#This Row],[ITEM]],[2]Contrato!A:A,[2]Contrato!Q:Q,"",0)</f>
        <v>#NAME?</v>
      </c>
      <c r="V1208" s="47" t="s">
        <v>47</v>
      </c>
      <c r="W1208" s="47" t="s">
        <v>83</v>
      </c>
      <c r="X1208" s="47" t="s">
        <v>83</v>
      </c>
      <c r="Y1208" s="55" t="e">
        <f ca="1">_xlfn.XLOOKUP(PAA_4[[#This Row],[ITEM]],[2]Contrato!A:A,[2]Contrato!B:B,"",0)</f>
        <v>#NAME?</v>
      </c>
      <c r="Z1208" s="47" t="e">
        <f ca="1">_xlfn.XLOOKUP(PAA_4[[#This Row],[ITEM]],[2]Contrato!A:A,[2]Contrato!G:G,"",0)</f>
        <v>#NAME?</v>
      </c>
      <c r="AA1208" s="47" t="e">
        <f ca="1">_xlfn.XLOOKUP(PAA_4[[#This Row],[ITEM]],[2]Contrato!A:A,[2]Contrato!T:T,"",0)</f>
        <v>#NAME?</v>
      </c>
      <c r="AB1208" s="55" t="e">
        <f ca="1">+MAX(PAA_4[[#This Row],[Comprometido Contrato]],PAA_4[[#This Row],[Comprometido Bolsa]])</f>
        <v>#NAME?</v>
      </c>
      <c r="AC1208" s="55" t="str">
        <f t="shared" ca="1" si="455"/>
        <v/>
      </c>
      <c r="AD1208" s="55" t="e">
        <f ca="1">IF(PAA_4[[#This Row],[ESTADO (formulado)]]="NO CONTRATADO",0,MAX(PAA_4[[#This Row],[Pago por Contrato]],PAA_4[[#This Row],[Pago por bolsa]]))</f>
        <v>#NAME?</v>
      </c>
      <c r="AE1208" s="55" t="str">
        <f t="shared" ca="1" si="456"/>
        <v/>
      </c>
      <c r="AF1208" s="47" t="e">
        <f t="shared" ca="1" si="457"/>
        <v>#NAME?</v>
      </c>
      <c r="AG1208" s="47">
        <f t="shared" si="458"/>
        <v>44021001</v>
      </c>
      <c r="AH1208" s="54">
        <f>IF(Q1208="22",IF(ISNUMBER(SEARCH("econ",PAA_4[[#This Row],[Actividad3]])),"Económico",IF(ISNUMBER(SEARCH("alim",PAA_4[[#This Row],[Actividad3]])),"Alimentación",IF(ISNUMBER(SEARCH("educ",PAA_4[[#This Row],[Actividad3]])),"Educativo","Técnico"))),0)</f>
        <v>0</v>
      </c>
      <c r="AI1208" s="47" t="e" cm="1">
        <f t="array" aca="1" ref="AI1208" ca="1">_xlfn.XLOOKUP(PAA_4[[#This Row],[RCP-RUBRO]],[2]!COMPROMISOS_2024[[#All],[concatenado]],[2]!COMPROMISOS_2024[[#All],[Total pagado]],"",0)</f>
        <v>#NAME?</v>
      </c>
      <c r="AJ1208" s="56">
        <f>IF(PAA_4[[#This Row],[BOLSA]]=0,0,SUMIFS([2]!COMPROMISOS_2024[[#All],[Total pagado]],[2]!COMPROMISOS_2024[[#All],[Bolsa]],PAA_4[[#This Row],[BOLSA]],[2]!COMPROMISOS_2024[[#All],[rubro]],PAA_4[[#This Row],[RCP-RUBRO]]))</f>
        <v>0</v>
      </c>
      <c r="AK1208" s="47" t="e" cm="1">
        <f t="array" aca="1" ref="AK1208" ca="1">_xlfn.XLOOKUP(PAA_4[[#This Row],[RCP-RUBRO]],[2]!COMPROMISOS_2024[[#All],[concatenado]],[2]!COMPROMISOS_2024[[#All],[Total Comprometido]],"",0)</f>
        <v>#NAME?</v>
      </c>
      <c r="AL1208" s="47">
        <f>IF(PAA_4[[#This Row],[BOLSA]]=0,0,SUMIFS([2]!COMPROMISOS_2024[[#All],[Total Comprometido]],[2]!COMPROMISOS_2024[[#All],[Bolsa]],PAA_4[[#This Row],[BOLSA]],[2]!COMPROMISOS_2024[[#All],[concatenado]],PAA_4[[#This Row],[RCP-RUBRO]]))</f>
        <v>0</v>
      </c>
    </row>
    <row r="1209" spans="1:38" s="19" customFormat="1" ht="31.5" customHeight="1">
      <c r="A1209" s="47">
        <v>393</v>
      </c>
      <c r="B1209" s="47">
        <v>80111600</v>
      </c>
      <c r="C1209" s="47" t="str">
        <f>VLOOKUP(PAA_4[[#This Row],[PROYECTO (formulado)2]],[2]PROYECTOS!$G$1:$L$32,6,0)</f>
        <v>SUBGERENCIA DE FOMENTO Y DESARROLLO</v>
      </c>
      <c r="D1209" s="47" t="str">
        <f>+IF(PAA_4[[#This Row],[UNIDAD DE CONTRATACION (formulado)]]="Subgerencia Administrativa y Financiera","FUNCIONAMIENTO","INVERSIÓN")</f>
        <v>INVERSIÓN</v>
      </c>
      <c r="E1209" s="48" t="str">
        <f>VLOOKUP(Q1209,[2]PROYECTOS!$G$1:$K$32,5,0)</f>
        <v>FORTALECIMIENTO_DEL_PROGRAMA_POR_SU_SALUD_MUÉVASE_PUES_EN_LOS_MUNICIPIO_DEL_DEPARTAMENTO_DE_ANTIOQUIA</v>
      </c>
      <c r="F1209" s="48">
        <f>VLOOKUP(E1209,[2]PROYECTOS!$K$1:$M$32,3,0)</f>
        <v>2020003050030</v>
      </c>
      <c r="G1209" s="49" t="s">
        <v>369</v>
      </c>
      <c r="H1209" s="49" t="str">
        <f>VLOOKUP(Q1209,[2]PROYECTOS!$V$1:$W$32,2,0)</f>
        <v>050055</v>
      </c>
      <c r="I1209" s="50">
        <v>0</v>
      </c>
      <c r="J1209" s="76" t="s">
        <v>42</v>
      </c>
      <c r="K1209" s="47" t="str">
        <f t="shared" ca="1" si="452"/>
        <v>CONTRATADO</v>
      </c>
      <c r="L1209" s="47" t="s">
        <v>94</v>
      </c>
      <c r="M1209" s="47" t="s">
        <v>1297</v>
      </c>
      <c r="N1209" s="52" t="s">
        <v>360</v>
      </c>
      <c r="O1209" s="51" t="e">
        <f>VLOOKUP(N1209,[2]!RUBROS[#All],3,0)</f>
        <v>#REF!</v>
      </c>
      <c r="P1209" s="53" t="e">
        <f>VLOOKUP(N1209,[2]!RUBROS[#All],2,0)</f>
        <v>#REF!</v>
      </c>
      <c r="Q1209" s="47" t="str">
        <f t="shared" si="453"/>
        <v>45</v>
      </c>
      <c r="R1209" s="47" t="str">
        <f t="shared" si="454"/>
        <v>0-205128</v>
      </c>
      <c r="S1209" s="54">
        <v>10</v>
      </c>
      <c r="T1209" s="59" t="s">
        <v>46</v>
      </c>
      <c r="U1209" s="326" t="e">
        <f ca="1">_xlfn.XLOOKUP(PAA_4[[#This Row],[ITEM]],[2]Contrato!A:A,[2]Contrato!Q:Q,"",0)</f>
        <v>#NAME?</v>
      </c>
      <c r="V1209" s="47" t="s">
        <v>47</v>
      </c>
      <c r="W1209" s="47" t="s">
        <v>96</v>
      </c>
      <c r="X1209" s="47" t="s">
        <v>96</v>
      </c>
      <c r="Y1209" s="55" t="e">
        <f ca="1">_xlfn.XLOOKUP(PAA_4[[#This Row],[ITEM]],[2]Contrato!A:A,[2]Contrato!B:B,"",0)</f>
        <v>#NAME?</v>
      </c>
      <c r="Z1209" s="47" t="e">
        <f ca="1">_xlfn.XLOOKUP(PAA_4[[#This Row],[ITEM]],[2]Contrato!A:A,[2]Contrato!G:G,"",0)</f>
        <v>#NAME?</v>
      </c>
      <c r="AA1209" s="47" t="e">
        <f ca="1">_xlfn.XLOOKUP(PAA_4[[#This Row],[ITEM]],[2]Contrato!A:A,[2]Contrato!T:T,"",0)</f>
        <v>#NAME?</v>
      </c>
      <c r="AB1209" s="55" t="e">
        <f ca="1">+MAX(PAA_4[[#This Row],[Comprometido Contrato]],PAA_4[[#This Row],[Comprometido Bolsa]])</f>
        <v>#NAME?</v>
      </c>
      <c r="AC1209" s="55" t="str">
        <f t="shared" ca="1" si="455"/>
        <v/>
      </c>
      <c r="AD1209" s="55" t="e">
        <f ca="1">IF(PAA_4[[#This Row],[ESTADO (formulado)]]="NO CONTRATADO",0,MAX(PAA_4[[#This Row],[Pago por Contrato]],PAA_4[[#This Row],[Pago por bolsa]]))</f>
        <v>#NAME?</v>
      </c>
      <c r="AE1209" s="55" t="str">
        <f t="shared" ca="1" si="456"/>
        <v/>
      </c>
      <c r="AF1209" s="47" t="e">
        <f t="shared" ca="1" si="457"/>
        <v>#NAME?</v>
      </c>
      <c r="AG1209" s="47">
        <f t="shared" si="458"/>
        <v>44021001</v>
      </c>
      <c r="AH1209" s="54">
        <f>IF(Q1209="22",IF(ISNUMBER(SEARCH("econ",PAA_4[[#This Row],[Actividad3]])),"Económico",IF(ISNUMBER(SEARCH("alim",PAA_4[[#This Row],[Actividad3]])),"Alimentación",IF(ISNUMBER(SEARCH("educ",PAA_4[[#This Row],[Actividad3]])),"Educativo","Técnico"))),0)</f>
        <v>0</v>
      </c>
      <c r="AI1209" s="47" t="e" cm="1">
        <f t="array" aca="1" ref="AI1209" ca="1">_xlfn.XLOOKUP(PAA_4[[#This Row],[RCP-RUBRO]],[2]!COMPROMISOS_2024[[#All],[concatenado]],[2]!COMPROMISOS_2024[[#All],[Total pagado]],"",0)</f>
        <v>#NAME?</v>
      </c>
      <c r="AJ1209" s="56">
        <f>IF(PAA_4[[#This Row],[BOLSA]]=0,0,SUMIFS([2]!COMPROMISOS_2024[[#All],[Total pagado]],[2]!COMPROMISOS_2024[[#All],[Bolsa]],PAA_4[[#This Row],[BOLSA]],[2]!COMPROMISOS_2024[[#All],[rubro]],PAA_4[[#This Row],[RCP-RUBRO]]))</f>
        <v>0</v>
      </c>
      <c r="AK1209" s="47" t="e" cm="1">
        <f t="array" aca="1" ref="AK1209" ca="1">_xlfn.XLOOKUP(PAA_4[[#This Row],[RCP-RUBRO]],[2]!COMPROMISOS_2024[[#All],[concatenado]],[2]!COMPROMISOS_2024[[#All],[Total Comprometido]],"",0)</f>
        <v>#NAME?</v>
      </c>
      <c r="AL1209" s="47">
        <f>IF(PAA_4[[#This Row],[BOLSA]]=0,0,SUMIFS([2]!COMPROMISOS_2024[[#All],[Total Comprometido]],[2]!COMPROMISOS_2024[[#All],[Bolsa]],PAA_4[[#This Row],[BOLSA]],[2]!COMPROMISOS_2024[[#All],[concatenado]],PAA_4[[#This Row],[RCP-RUBRO]]))</f>
        <v>0</v>
      </c>
    </row>
    <row r="1210" spans="1:38" s="19" customFormat="1" ht="31.5" customHeight="1">
      <c r="A1210" s="47">
        <v>394</v>
      </c>
      <c r="B1210" s="47">
        <v>80111600</v>
      </c>
      <c r="C1210" s="47" t="str">
        <f>VLOOKUP(PAA_4[[#This Row],[PROYECTO (formulado)2]],[2]PROYECTOS!$G$1:$L$32,6,0)</f>
        <v>SUBGERENCIA DE FOMENTO Y DESARROLLO</v>
      </c>
      <c r="D1210" s="47" t="str">
        <f>+IF(PAA_4[[#This Row],[UNIDAD DE CONTRATACION (formulado)]]="Subgerencia Administrativa y Financiera","FUNCIONAMIENTO","INVERSIÓN")</f>
        <v>INVERSIÓN</v>
      </c>
      <c r="E1210" s="48" t="str">
        <f>VLOOKUP(Q1210,[2]PROYECTOS!$G$1:$K$32,5,0)</f>
        <v>FORTALECIMIENTO_DEL_PROGRAMA_POR_SU_SALUD_MUÉVASE_PUES_EN_LOS_MUNICIPIO_DEL_DEPARTAMENTO_DE_ANTIOQUIA</v>
      </c>
      <c r="F1210" s="48">
        <f>VLOOKUP(E1210,[2]PROYECTOS!$K$1:$M$32,3,0)</f>
        <v>2020003050030</v>
      </c>
      <c r="G1210" s="49" t="s">
        <v>369</v>
      </c>
      <c r="H1210" s="49" t="str">
        <f>VLOOKUP(Q1210,[2]PROYECTOS!$V$1:$W$32,2,0)</f>
        <v>050055</v>
      </c>
      <c r="I1210" s="50">
        <v>0</v>
      </c>
      <c r="J1210" s="76" t="s">
        <v>42</v>
      </c>
      <c r="K1210" s="47" t="str">
        <f t="shared" ca="1" si="452"/>
        <v>CONTRATADO</v>
      </c>
      <c r="L1210" s="47" t="s">
        <v>94</v>
      </c>
      <c r="M1210" s="47" t="s">
        <v>1297</v>
      </c>
      <c r="N1210" s="52" t="s">
        <v>360</v>
      </c>
      <c r="O1210" s="51" t="e">
        <f>VLOOKUP(N1210,[2]!RUBROS[#All],3,0)</f>
        <v>#REF!</v>
      </c>
      <c r="P1210" s="53" t="e">
        <f>VLOOKUP(N1210,[2]!RUBROS[#All],2,0)</f>
        <v>#REF!</v>
      </c>
      <c r="Q1210" s="47" t="str">
        <f t="shared" si="453"/>
        <v>45</v>
      </c>
      <c r="R1210" s="47" t="str">
        <f t="shared" si="454"/>
        <v>0-205128</v>
      </c>
      <c r="S1210" s="54">
        <v>10</v>
      </c>
      <c r="T1210" s="59" t="s">
        <v>46</v>
      </c>
      <c r="U1210" s="326" t="e">
        <f ca="1">_xlfn.XLOOKUP(PAA_4[[#This Row],[ITEM]],[2]Contrato!A:A,[2]Contrato!Q:Q,"",0)</f>
        <v>#NAME?</v>
      </c>
      <c r="V1210" s="47" t="s">
        <v>47</v>
      </c>
      <c r="W1210" s="47" t="s">
        <v>96</v>
      </c>
      <c r="X1210" s="47" t="s">
        <v>96</v>
      </c>
      <c r="Y1210" s="55" t="e">
        <f ca="1">_xlfn.XLOOKUP(PAA_4[[#This Row],[ITEM]],[2]Contrato!A:A,[2]Contrato!B:B,"",0)</f>
        <v>#NAME?</v>
      </c>
      <c r="Z1210" s="47" t="e">
        <f ca="1">_xlfn.XLOOKUP(PAA_4[[#This Row],[ITEM]],[2]Contrato!A:A,[2]Contrato!G:G,"",0)</f>
        <v>#NAME?</v>
      </c>
      <c r="AA1210" s="47" t="e">
        <f ca="1">_xlfn.XLOOKUP(PAA_4[[#This Row],[ITEM]],[2]Contrato!A:A,[2]Contrato!T:T,"",0)</f>
        <v>#NAME?</v>
      </c>
      <c r="AB1210" s="55" t="e">
        <f ca="1">+MAX(PAA_4[[#This Row],[Comprometido Contrato]],PAA_4[[#This Row],[Comprometido Bolsa]])</f>
        <v>#NAME?</v>
      </c>
      <c r="AC1210" s="55" t="str">
        <f t="shared" ca="1" si="455"/>
        <v/>
      </c>
      <c r="AD1210" s="55" t="e">
        <f ca="1">IF(PAA_4[[#This Row],[ESTADO (formulado)]]="NO CONTRATADO",0,MAX(PAA_4[[#This Row],[Pago por Contrato]],PAA_4[[#This Row],[Pago por bolsa]]))</f>
        <v>#NAME?</v>
      </c>
      <c r="AE1210" s="55" t="str">
        <f t="shared" ca="1" si="456"/>
        <v/>
      </c>
      <c r="AF1210" s="47" t="e">
        <f t="shared" ca="1" si="457"/>
        <v>#NAME?</v>
      </c>
      <c r="AG1210" s="47">
        <f t="shared" si="458"/>
        <v>44021001</v>
      </c>
      <c r="AH1210" s="54">
        <f>IF(Q1210="22",IF(ISNUMBER(SEARCH("econ",PAA_4[[#This Row],[Actividad3]])),"Económico",IF(ISNUMBER(SEARCH("alim",PAA_4[[#This Row],[Actividad3]])),"Alimentación",IF(ISNUMBER(SEARCH("educ",PAA_4[[#This Row],[Actividad3]])),"Educativo","Técnico"))),0)</f>
        <v>0</v>
      </c>
      <c r="AI1210" s="47" t="e" cm="1">
        <f t="array" aca="1" ref="AI1210" ca="1">_xlfn.XLOOKUP(PAA_4[[#This Row],[RCP-RUBRO]],[2]!COMPROMISOS_2024[[#All],[concatenado]],[2]!COMPROMISOS_2024[[#All],[Total pagado]],"",0)</f>
        <v>#NAME?</v>
      </c>
      <c r="AJ1210" s="56">
        <f>IF(PAA_4[[#This Row],[BOLSA]]=0,0,SUMIFS([2]!COMPROMISOS_2024[[#All],[Total pagado]],[2]!COMPROMISOS_2024[[#All],[Bolsa]],PAA_4[[#This Row],[BOLSA]],[2]!COMPROMISOS_2024[[#All],[rubro]],PAA_4[[#This Row],[RCP-RUBRO]]))</f>
        <v>0</v>
      </c>
      <c r="AK1210" s="47" t="e" cm="1">
        <f t="array" aca="1" ref="AK1210" ca="1">_xlfn.XLOOKUP(PAA_4[[#This Row],[RCP-RUBRO]],[2]!COMPROMISOS_2024[[#All],[concatenado]],[2]!COMPROMISOS_2024[[#All],[Total Comprometido]],"",0)</f>
        <v>#NAME?</v>
      </c>
      <c r="AL1210" s="47">
        <f>IF(PAA_4[[#This Row],[BOLSA]]=0,0,SUMIFS([2]!COMPROMISOS_2024[[#All],[Total Comprometido]],[2]!COMPROMISOS_2024[[#All],[Bolsa]],PAA_4[[#This Row],[BOLSA]],[2]!COMPROMISOS_2024[[#All],[concatenado]],PAA_4[[#This Row],[RCP-RUBRO]]))</f>
        <v>0</v>
      </c>
    </row>
    <row r="1211" spans="1:38" s="19" customFormat="1" ht="31.5" customHeight="1">
      <c r="A1211" s="47">
        <v>395</v>
      </c>
      <c r="B1211" s="47">
        <v>80111600</v>
      </c>
      <c r="C1211" s="47" t="str">
        <f>VLOOKUP(PAA_4[[#This Row],[PROYECTO (formulado)2]],[2]PROYECTOS!$G$1:$L$32,6,0)</f>
        <v>SUBGERENCIA DE FOMENTO Y DESARROLLO</v>
      </c>
      <c r="D1211" s="47" t="str">
        <f>+IF(PAA_4[[#This Row],[UNIDAD DE CONTRATACION (formulado)]]="Subgerencia Administrativa y Financiera","FUNCIONAMIENTO","INVERSIÓN")</f>
        <v>INVERSIÓN</v>
      </c>
      <c r="E1211" s="48" t="str">
        <f>VLOOKUP(Q1211,[2]PROYECTOS!$G$1:$K$32,5,0)</f>
        <v>FORTALECIMIENTO_DEL_PROGRAMA_POR_SU_SALUD_MUÉVASE_PUES_EN_LOS_MUNICIPIO_DEL_DEPARTAMENTO_DE_ANTIOQUIA</v>
      </c>
      <c r="F1211" s="48">
        <f>VLOOKUP(E1211,[2]PROYECTOS!$K$1:$M$32,3,0)</f>
        <v>2020003050030</v>
      </c>
      <c r="G1211" s="49" t="s">
        <v>369</v>
      </c>
      <c r="H1211" s="49" t="str">
        <f>VLOOKUP(Q1211,[2]PROYECTOS!$V$1:$W$32,2,0)</f>
        <v>050055</v>
      </c>
      <c r="I1211" s="50">
        <v>0</v>
      </c>
      <c r="J1211" s="76" t="s">
        <v>42</v>
      </c>
      <c r="K1211" s="47" t="str">
        <f t="shared" ca="1" si="452"/>
        <v>CONTRATADO</v>
      </c>
      <c r="L1211" s="47" t="s">
        <v>94</v>
      </c>
      <c r="M1211" s="47" t="s">
        <v>1297</v>
      </c>
      <c r="N1211" s="52" t="s">
        <v>360</v>
      </c>
      <c r="O1211" s="51" t="e">
        <f>VLOOKUP(N1211,[2]!RUBROS[#All],3,0)</f>
        <v>#REF!</v>
      </c>
      <c r="P1211" s="53" t="e">
        <f>VLOOKUP(N1211,[2]!RUBROS[#All],2,0)</f>
        <v>#REF!</v>
      </c>
      <c r="Q1211" s="47" t="str">
        <f t="shared" si="453"/>
        <v>45</v>
      </c>
      <c r="R1211" s="47" t="str">
        <f t="shared" si="454"/>
        <v>0-205128</v>
      </c>
      <c r="S1211" s="54">
        <v>10</v>
      </c>
      <c r="T1211" s="59" t="s">
        <v>46</v>
      </c>
      <c r="U1211" s="326" t="e">
        <f ca="1">_xlfn.XLOOKUP(PAA_4[[#This Row],[ITEM]],[2]Contrato!A:A,[2]Contrato!Q:Q,"",0)</f>
        <v>#NAME?</v>
      </c>
      <c r="V1211" s="47" t="s">
        <v>47</v>
      </c>
      <c r="W1211" s="47" t="s">
        <v>96</v>
      </c>
      <c r="X1211" s="47" t="s">
        <v>96</v>
      </c>
      <c r="Y1211" s="55" t="e">
        <f ca="1">_xlfn.XLOOKUP(PAA_4[[#This Row],[ITEM]],[2]Contrato!A:A,[2]Contrato!B:B,"",0)</f>
        <v>#NAME?</v>
      </c>
      <c r="Z1211" s="47" t="e">
        <f ca="1">_xlfn.XLOOKUP(PAA_4[[#This Row],[ITEM]],[2]Contrato!A:A,[2]Contrato!G:G,"",0)</f>
        <v>#NAME?</v>
      </c>
      <c r="AA1211" s="47" t="e">
        <f ca="1">_xlfn.XLOOKUP(PAA_4[[#This Row],[ITEM]],[2]Contrato!A:A,[2]Contrato!T:T,"",0)</f>
        <v>#NAME?</v>
      </c>
      <c r="AB1211" s="55" t="e">
        <f ca="1">+MAX(PAA_4[[#This Row],[Comprometido Contrato]],PAA_4[[#This Row],[Comprometido Bolsa]])</f>
        <v>#NAME?</v>
      </c>
      <c r="AC1211" s="55" t="str">
        <f t="shared" ca="1" si="455"/>
        <v/>
      </c>
      <c r="AD1211" s="55" t="e">
        <f ca="1">IF(PAA_4[[#This Row],[ESTADO (formulado)]]="NO CONTRATADO",0,MAX(PAA_4[[#This Row],[Pago por Contrato]],PAA_4[[#This Row],[Pago por bolsa]]))</f>
        <v>#NAME?</v>
      </c>
      <c r="AE1211" s="55" t="str">
        <f t="shared" ca="1" si="456"/>
        <v/>
      </c>
      <c r="AF1211" s="47" t="e">
        <f t="shared" ca="1" si="457"/>
        <v>#NAME?</v>
      </c>
      <c r="AG1211" s="47">
        <f t="shared" si="458"/>
        <v>44021001</v>
      </c>
      <c r="AH1211" s="54">
        <f>IF(Q1211="22",IF(ISNUMBER(SEARCH("econ",PAA_4[[#This Row],[Actividad3]])),"Económico",IF(ISNUMBER(SEARCH("alim",PAA_4[[#This Row],[Actividad3]])),"Alimentación",IF(ISNUMBER(SEARCH("educ",PAA_4[[#This Row],[Actividad3]])),"Educativo","Técnico"))),0)</f>
        <v>0</v>
      </c>
      <c r="AI1211" s="47" t="e" cm="1">
        <f t="array" aca="1" ref="AI1211" ca="1">_xlfn.XLOOKUP(PAA_4[[#This Row],[RCP-RUBRO]],[2]!COMPROMISOS_2024[[#All],[concatenado]],[2]!COMPROMISOS_2024[[#All],[Total pagado]],"",0)</f>
        <v>#NAME?</v>
      </c>
      <c r="AJ1211" s="56">
        <f>IF(PAA_4[[#This Row],[BOLSA]]=0,0,SUMIFS([2]!COMPROMISOS_2024[[#All],[Total pagado]],[2]!COMPROMISOS_2024[[#All],[Bolsa]],PAA_4[[#This Row],[BOLSA]],[2]!COMPROMISOS_2024[[#All],[rubro]],PAA_4[[#This Row],[RCP-RUBRO]]))</f>
        <v>0</v>
      </c>
      <c r="AK1211" s="47" t="e" cm="1">
        <f t="array" aca="1" ref="AK1211" ca="1">_xlfn.XLOOKUP(PAA_4[[#This Row],[RCP-RUBRO]],[2]!COMPROMISOS_2024[[#All],[concatenado]],[2]!COMPROMISOS_2024[[#All],[Total Comprometido]],"",0)</f>
        <v>#NAME?</v>
      </c>
      <c r="AL1211" s="47">
        <f>IF(PAA_4[[#This Row],[BOLSA]]=0,0,SUMIFS([2]!COMPROMISOS_2024[[#All],[Total Comprometido]],[2]!COMPROMISOS_2024[[#All],[Bolsa]],PAA_4[[#This Row],[BOLSA]],[2]!COMPROMISOS_2024[[#All],[concatenado]],PAA_4[[#This Row],[RCP-RUBRO]]))</f>
        <v>0</v>
      </c>
    </row>
    <row r="1212" spans="1:38" s="19" customFormat="1" ht="31.5" customHeight="1">
      <c r="A1212" s="47">
        <v>396</v>
      </c>
      <c r="B1212" s="47">
        <v>80111600</v>
      </c>
      <c r="C1212" s="47" t="str">
        <f>VLOOKUP(PAA_4[[#This Row],[PROYECTO (formulado)2]],[2]PROYECTOS!$G$1:$L$32,6,0)</f>
        <v>SUBGERENCIA DE FOMENTO Y DESARROLLO</v>
      </c>
      <c r="D1212" s="47" t="str">
        <f>+IF(PAA_4[[#This Row],[UNIDAD DE CONTRATACION (formulado)]]="Subgerencia Administrativa y Financiera","FUNCIONAMIENTO","INVERSIÓN")</f>
        <v>INVERSIÓN</v>
      </c>
      <c r="E1212" s="48" t="str">
        <f>VLOOKUP(Q1212,[2]PROYECTOS!$G$1:$K$32,5,0)</f>
        <v>FORTALECIMIENTO_DEL_PROGRAMA_POR_SU_SALUD_MUÉVASE_PUES_EN_LOS_MUNICIPIO_DEL_DEPARTAMENTO_DE_ANTIOQUIA</v>
      </c>
      <c r="F1212" s="48">
        <f>VLOOKUP(E1212,[2]PROYECTOS!$K$1:$M$32,3,0)</f>
        <v>2020003050030</v>
      </c>
      <c r="G1212" s="49" t="s">
        <v>369</v>
      </c>
      <c r="H1212" s="49" t="str">
        <f>VLOOKUP(Q1212,[2]PROYECTOS!$V$1:$W$32,2,0)</f>
        <v>050055</v>
      </c>
      <c r="I1212" s="50">
        <v>0</v>
      </c>
      <c r="J1212" s="76" t="s">
        <v>42</v>
      </c>
      <c r="K1212" s="47" t="str">
        <f t="shared" ca="1" si="452"/>
        <v>CONTRATADO</v>
      </c>
      <c r="L1212" s="47" t="s">
        <v>94</v>
      </c>
      <c r="M1212" s="47" t="s">
        <v>1297</v>
      </c>
      <c r="N1212" s="52" t="s">
        <v>360</v>
      </c>
      <c r="O1212" s="51" t="e">
        <f>VLOOKUP(N1212,[2]!RUBROS[#All],3,0)</f>
        <v>#REF!</v>
      </c>
      <c r="P1212" s="53" t="e">
        <f>VLOOKUP(N1212,[2]!RUBROS[#All],2,0)</f>
        <v>#REF!</v>
      </c>
      <c r="Q1212" s="47" t="str">
        <f t="shared" si="453"/>
        <v>45</v>
      </c>
      <c r="R1212" s="47" t="str">
        <f t="shared" si="454"/>
        <v>0-205128</v>
      </c>
      <c r="S1212" s="54">
        <v>10</v>
      </c>
      <c r="T1212" s="59" t="s">
        <v>46</v>
      </c>
      <c r="U1212" s="326" t="e">
        <f ca="1">_xlfn.XLOOKUP(PAA_4[[#This Row],[ITEM]],[2]Contrato!A:A,[2]Contrato!Q:Q,"",0)</f>
        <v>#NAME?</v>
      </c>
      <c r="V1212" s="47" t="s">
        <v>47</v>
      </c>
      <c r="W1212" s="47" t="s">
        <v>96</v>
      </c>
      <c r="X1212" s="47" t="s">
        <v>96</v>
      </c>
      <c r="Y1212" s="55" t="e">
        <f ca="1">_xlfn.XLOOKUP(PAA_4[[#This Row],[ITEM]],[2]Contrato!A:A,[2]Contrato!B:B,"",0)</f>
        <v>#NAME?</v>
      </c>
      <c r="Z1212" s="47" t="e">
        <f ca="1">_xlfn.XLOOKUP(PAA_4[[#This Row],[ITEM]],[2]Contrato!A:A,[2]Contrato!G:G,"",0)</f>
        <v>#NAME?</v>
      </c>
      <c r="AA1212" s="47" t="e">
        <f ca="1">_xlfn.XLOOKUP(PAA_4[[#This Row],[ITEM]],[2]Contrato!A:A,[2]Contrato!T:T,"",0)</f>
        <v>#NAME?</v>
      </c>
      <c r="AB1212" s="55" t="e">
        <f ca="1">+MAX(PAA_4[[#This Row],[Comprometido Contrato]],PAA_4[[#This Row],[Comprometido Bolsa]])</f>
        <v>#NAME?</v>
      </c>
      <c r="AC1212" s="55" t="str">
        <f t="shared" ca="1" si="455"/>
        <v/>
      </c>
      <c r="AD1212" s="55" t="e">
        <f ca="1">IF(PAA_4[[#This Row],[ESTADO (formulado)]]="NO CONTRATADO",0,MAX(PAA_4[[#This Row],[Pago por Contrato]],PAA_4[[#This Row],[Pago por bolsa]]))</f>
        <v>#NAME?</v>
      </c>
      <c r="AE1212" s="55" t="str">
        <f t="shared" ca="1" si="456"/>
        <v/>
      </c>
      <c r="AF1212" s="47" t="e">
        <f t="shared" ca="1" si="457"/>
        <v>#NAME?</v>
      </c>
      <c r="AG1212" s="47">
        <f t="shared" si="458"/>
        <v>44021001</v>
      </c>
      <c r="AH1212" s="54">
        <f>IF(Q1212="22",IF(ISNUMBER(SEARCH("econ",PAA_4[[#This Row],[Actividad3]])),"Económico",IF(ISNUMBER(SEARCH("alim",PAA_4[[#This Row],[Actividad3]])),"Alimentación",IF(ISNUMBER(SEARCH("educ",PAA_4[[#This Row],[Actividad3]])),"Educativo","Técnico"))),0)</f>
        <v>0</v>
      </c>
      <c r="AI1212" s="47" t="e" cm="1">
        <f t="array" aca="1" ref="AI1212" ca="1">_xlfn.XLOOKUP(PAA_4[[#This Row],[RCP-RUBRO]],[2]!COMPROMISOS_2024[[#All],[concatenado]],[2]!COMPROMISOS_2024[[#All],[Total pagado]],"",0)</f>
        <v>#NAME?</v>
      </c>
      <c r="AJ1212" s="56">
        <f>IF(PAA_4[[#This Row],[BOLSA]]=0,0,SUMIFS([2]!COMPROMISOS_2024[[#All],[Total pagado]],[2]!COMPROMISOS_2024[[#All],[Bolsa]],PAA_4[[#This Row],[BOLSA]],[2]!COMPROMISOS_2024[[#All],[rubro]],PAA_4[[#This Row],[RCP-RUBRO]]))</f>
        <v>0</v>
      </c>
      <c r="AK1212" s="47" t="e" cm="1">
        <f t="array" aca="1" ref="AK1212" ca="1">_xlfn.XLOOKUP(PAA_4[[#This Row],[RCP-RUBRO]],[2]!COMPROMISOS_2024[[#All],[concatenado]],[2]!COMPROMISOS_2024[[#All],[Total Comprometido]],"",0)</f>
        <v>#NAME?</v>
      </c>
      <c r="AL1212" s="47">
        <f>IF(PAA_4[[#This Row],[BOLSA]]=0,0,SUMIFS([2]!COMPROMISOS_2024[[#All],[Total Comprometido]],[2]!COMPROMISOS_2024[[#All],[Bolsa]],PAA_4[[#This Row],[BOLSA]],[2]!COMPROMISOS_2024[[#All],[concatenado]],PAA_4[[#This Row],[RCP-RUBRO]]))</f>
        <v>0</v>
      </c>
    </row>
    <row r="1213" spans="1:38" s="19" customFormat="1" ht="31.5" customHeight="1">
      <c r="A1213" s="47">
        <v>397</v>
      </c>
      <c r="B1213" s="47">
        <v>80111600</v>
      </c>
      <c r="C1213" s="47" t="str">
        <f>VLOOKUP(PAA_4[[#This Row],[PROYECTO (formulado)2]],[2]PROYECTOS!$G$1:$L$32,6,0)</f>
        <v>SUBGERENCIA DE FOMENTO Y DESARROLLO</v>
      </c>
      <c r="D1213" s="47" t="str">
        <f>+IF(PAA_4[[#This Row],[UNIDAD DE CONTRATACION (formulado)]]="Subgerencia Administrativa y Financiera","FUNCIONAMIENTO","INVERSIÓN")</f>
        <v>INVERSIÓN</v>
      </c>
      <c r="E1213" s="48" t="str">
        <f>VLOOKUP(Q1213,[2]PROYECTOS!$G$1:$K$32,5,0)</f>
        <v>FORTALECIMIENTO_DEL_PROGRAMA_POR_SU_SALUD_MUÉVASE_PUES_EN_LOS_MUNICIPIO_DEL_DEPARTAMENTO_DE_ANTIOQUIA</v>
      </c>
      <c r="F1213" s="48">
        <f>VLOOKUP(E1213,[2]PROYECTOS!$K$1:$M$32,3,0)</f>
        <v>2020003050030</v>
      </c>
      <c r="G1213" s="49" t="s">
        <v>369</v>
      </c>
      <c r="H1213" s="49" t="str">
        <f>VLOOKUP(Q1213,[2]PROYECTOS!$V$1:$W$32,2,0)</f>
        <v>050055</v>
      </c>
      <c r="I1213" s="50">
        <v>0</v>
      </c>
      <c r="J1213" s="76" t="s">
        <v>42</v>
      </c>
      <c r="K1213" s="47" t="str">
        <f t="shared" ca="1" si="452"/>
        <v>CONTRATADO</v>
      </c>
      <c r="L1213" s="47" t="s">
        <v>94</v>
      </c>
      <c r="M1213" s="47" t="s">
        <v>1297</v>
      </c>
      <c r="N1213" s="52" t="s">
        <v>360</v>
      </c>
      <c r="O1213" s="51" t="e">
        <f>VLOOKUP(N1213,[2]!RUBROS[#All],3,0)</f>
        <v>#REF!</v>
      </c>
      <c r="P1213" s="53" t="e">
        <f>VLOOKUP(N1213,[2]!RUBROS[#All],2,0)</f>
        <v>#REF!</v>
      </c>
      <c r="Q1213" s="47" t="str">
        <f t="shared" si="453"/>
        <v>45</v>
      </c>
      <c r="R1213" s="47" t="str">
        <f t="shared" si="454"/>
        <v>0-205128</v>
      </c>
      <c r="S1213" s="54">
        <v>10</v>
      </c>
      <c r="T1213" s="59" t="s">
        <v>46</v>
      </c>
      <c r="U1213" s="326" t="e">
        <f ca="1">_xlfn.XLOOKUP(PAA_4[[#This Row],[ITEM]],[2]Contrato!A:A,[2]Contrato!Q:Q,"",0)</f>
        <v>#NAME?</v>
      </c>
      <c r="V1213" s="47" t="s">
        <v>47</v>
      </c>
      <c r="W1213" s="47" t="s">
        <v>96</v>
      </c>
      <c r="X1213" s="47" t="s">
        <v>96</v>
      </c>
      <c r="Y1213" s="55" t="e">
        <f ca="1">_xlfn.XLOOKUP(PAA_4[[#This Row],[ITEM]],[2]Contrato!A:A,[2]Contrato!B:B,"",0)</f>
        <v>#NAME?</v>
      </c>
      <c r="Z1213" s="47" t="e">
        <f ca="1">_xlfn.XLOOKUP(PAA_4[[#This Row],[ITEM]],[2]Contrato!A:A,[2]Contrato!G:G,"",0)</f>
        <v>#NAME?</v>
      </c>
      <c r="AA1213" s="47" t="e">
        <f ca="1">_xlfn.XLOOKUP(PAA_4[[#This Row],[ITEM]],[2]Contrato!A:A,[2]Contrato!T:T,"",0)</f>
        <v>#NAME?</v>
      </c>
      <c r="AB1213" s="55" t="e">
        <f ca="1">+MAX(PAA_4[[#This Row],[Comprometido Contrato]],PAA_4[[#This Row],[Comprometido Bolsa]])</f>
        <v>#NAME?</v>
      </c>
      <c r="AC1213" s="55" t="str">
        <f t="shared" ca="1" si="455"/>
        <v/>
      </c>
      <c r="AD1213" s="55" t="e">
        <f ca="1">IF(PAA_4[[#This Row],[ESTADO (formulado)]]="NO CONTRATADO",0,MAX(PAA_4[[#This Row],[Pago por Contrato]],PAA_4[[#This Row],[Pago por bolsa]]))</f>
        <v>#NAME?</v>
      </c>
      <c r="AE1213" s="55" t="str">
        <f t="shared" ca="1" si="456"/>
        <v/>
      </c>
      <c r="AF1213" s="47" t="e">
        <f t="shared" ca="1" si="457"/>
        <v>#NAME?</v>
      </c>
      <c r="AG1213" s="47">
        <f t="shared" si="458"/>
        <v>44021001</v>
      </c>
      <c r="AH1213" s="54">
        <f>IF(Q1213="22",IF(ISNUMBER(SEARCH("econ",PAA_4[[#This Row],[Actividad3]])),"Económico",IF(ISNUMBER(SEARCH("alim",PAA_4[[#This Row],[Actividad3]])),"Alimentación",IF(ISNUMBER(SEARCH("educ",PAA_4[[#This Row],[Actividad3]])),"Educativo","Técnico"))),0)</f>
        <v>0</v>
      </c>
      <c r="AI1213" s="47" t="e" cm="1">
        <f t="array" aca="1" ref="AI1213" ca="1">_xlfn.XLOOKUP(PAA_4[[#This Row],[RCP-RUBRO]],[2]!COMPROMISOS_2024[[#All],[concatenado]],[2]!COMPROMISOS_2024[[#All],[Total pagado]],"",0)</f>
        <v>#NAME?</v>
      </c>
      <c r="AJ1213" s="56">
        <f>IF(PAA_4[[#This Row],[BOLSA]]=0,0,SUMIFS([2]!COMPROMISOS_2024[[#All],[Total pagado]],[2]!COMPROMISOS_2024[[#All],[Bolsa]],PAA_4[[#This Row],[BOLSA]],[2]!COMPROMISOS_2024[[#All],[rubro]],PAA_4[[#This Row],[RCP-RUBRO]]))</f>
        <v>0</v>
      </c>
      <c r="AK1213" s="47" t="e" cm="1">
        <f t="array" aca="1" ref="AK1213" ca="1">_xlfn.XLOOKUP(PAA_4[[#This Row],[RCP-RUBRO]],[2]!COMPROMISOS_2024[[#All],[concatenado]],[2]!COMPROMISOS_2024[[#All],[Total Comprometido]],"",0)</f>
        <v>#NAME?</v>
      </c>
      <c r="AL1213" s="47">
        <f>IF(PAA_4[[#This Row],[BOLSA]]=0,0,SUMIFS([2]!COMPROMISOS_2024[[#All],[Total Comprometido]],[2]!COMPROMISOS_2024[[#All],[Bolsa]],PAA_4[[#This Row],[BOLSA]],[2]!COMPROMISOS_2024[[#All],[concatenado]],PAA_4[[#This Row],[RCP-RUBRO]]))</f>
        <v>0</v>
      </c>
    </row>
    <row r="1214" spans="1:38" s="19" customFormat="1" ht="31.5" customHeight="1">
      <c r="A1214" s="47">
        <v>398</v>
      </c>
      <c r="B1214" s="47">
        <v>80111600</v>
      </c>
      <c r="C1214" s="47" t="str">
        <f>VLOOKUP(PAA_4[[#This Row],[PROYECTO (formulado)2]],[2]PROYECTOS!$G$1:$L$32,6,0)</f>
        <v>SUBGERENCIA DE FOMENTO Y DESARROLLO</v>
      </c>
      <c r="D1214" s="47" t="str">
        <f>+IF(PAA_4[[#This Row],[UNIDAD DE CONTRATACION (formulado)]]="Subgerencia Administrativa y Financiera","FUNCIONAMIENTO","INVERSIÓN")</f>
        <v>INVERSIÓN</v>
      </c>
      <c r="E1214" s="48" t="str">
        <f>VLOOKUP(Q1214,[2]PROYECTOS!$G$1:$K$32,5,0)</f>
        <v>FORTALECIMIENTO_DEL_PROGRAMA_POR_SU_SALUD_MUÉVASE_PUES_EN_LOS_MUNICIPIO_DEL_DEPARTAMENTO_DE_ANTIOQUIA</v>
      </c>
      <c r="F1214" s="48">
        <f>VLOOKUP(E1214,[2]PROYECTOS!$K$1:$M$32,3,0)</f>
        <v>2020003050030</v>
      </c>
      <c r="G1214" s="49" t="s">
        <v>369</v>
      </c>
      <c r="H1214" s="49" t="str">
        <f>VLOOKUP(Q1214,[2]PROYECTOS!$V$1:$W$32,2,0)</f>
        <v>050055</v>
      </c>
      <c r="I1214" s="50">
        <v>0</v>
      </c>
      <c r="J1214" s="76" t="s">
        <v>42</v>
      </c>
      <c r="K1214" s="47" t="str">
        <f t="shared" ca="1" si="452"/>
        <v>CONTRATADO</v>
      </c>
      <c r="L1214" s="47" t="s">
        <v>94</v>
      </c>
      <c r="M1214" s="47" t="s">
        <v>1297</v>
      </c>
      <c r="N1214" s="52" t="s">
        <v>360</v>
      </c>
      <c r="O1214" s="51" t="e">
        <f>VLOOKUP(N1214,[2]!RUBROS[#All],3,0)</f>
        <v>#REF!</v>
      </c>
      <c r="P1214" s="53" t="e">
        <f>VLOOKUP(N1214,[2]!RUBROS[#All],2,0)</f>
        <v>#REF!</v>
      </c>
      <c r="Q1214" s="47" t="str">
        <f t="shared" si="453"/>
        <v>45</v>
      </c>
      <c r="R1214" s="47" t="str">
        <f t="shared" si="454"/>
        <v>0-205128</v>
      </c>
      <c r="S1214" s="54">
        <v>10</v>
      </c>
      <c r="T1214" s="59" t="s">
        <v>46</v>
      </c>
      <c r="U1214" s="326" t="e">
        <f ca="1">_xlfn.XLOOKUP(PAA_4[[#This Row],[ITEM]],[2]Contrato!A:A,[2]Contrato!Q:Q,"",0)</f>
        <v>#NAME?</v>
      </c>
      <c r="V1214" s="47" t="s">
        <v>47</v>
      </c>
      <c r="W1214" s="47" t="s">
        <v>96</v>
      </c>
      <c r="X1214" s="47" t="s">
        <v>96</v>
      </c>
      <c r="Y1214" s="55" t="e">
        <f ca="1">_xlfn.XLOOKUP(PAA_4[[#This Row],[ITEM]],[2]Contrato!A:A,[2]Contrato!B:B,"",0)</f>
        <v>#NAME?</v>
      </c>
      <c r="Z1214" s="47" t="e">
        <f ca="1">_xlfn.XLOOKUP(PAA_4[[#This Row],[ITEM]],[2]Contrato!A:A,[2]Contrato!G:G,"",0)</f>
        <v>#NAME?</v>
      </c>
      <c r="AA1214" s="47" t="e">
        <f ca="1">_xlfn.XLOOKUP(PAA_4[[#This Row],[ITEM]],[2]Contrato!A:A,[2]Contrato!T:T,"",0)</f>
        <v>#NAME?</v>
      </c>
      <c r="AB1214" s="55" t="e">
        <f ca="1">+MAX(PAA_4[[#This Row],[Comprometido Contrato]],PAA_4[[#This Row],[Comprometido Bolsa]])</f>
        <v>#NAME?</v>
      </c>
      <c r="AC1214" s="55" t="str">
        <f t="shared" ca="1" si="455"/>
        <v/>
      </c>
      <c r="AD1214" s="55" t="e">
        <f ca="1">IF(PAA_4[[#This Row],[ESTADO (formulado)]]="NO CONTRATADO",0,MAX(PAA_4[[#This Row],[Pago por Contrato]],PAA_4[[#This Row],[Pago por bolsa]]))</f>
        <v>#NAME?</v>
      </c>
      <c r="AE1214" s="55" t="str">
        <f t="shared" ca="1" si="456"/>
        <v/>
      </c>
      <c r="AF1214" s="47" t="e">
        <f t="shared" ca="1" si="457"/>
        <v>#NAME?</v>
      </c>
      <c r="AG1214" s="47">
        <f t="shared" si="458"/>
        <v>44021001</v>
      </c>
      <c r="AH1214" s="54">
        <f>IF(Q1214="22",IF(ISNUMBER(SEARCH("econ",PAA_4[[#This Row],[Actividad3]])),"Económico",IF(ISNUMBER(SEARCH("alim",PAA_4[[#This Row],[Actividad3]])),"Alimentación",IF(ISNUMBER(SEARCH("educ",PAA_4[[#This Row],[Actividad3]])),"Educativo","Técnico"))),0)</f>
        <v>0</v>
      </c>
      <c r="AI1214" s="47" t="e" cm="1">
        <f t="array" aca="1" ref="AI1214" ca="1">_xlfn.XLOOKUP(PAA_4[[#This Row],[RCP-RUBRO]],[2]!COMPROMISOS_2024[[#All],[concatenado]],[2]!COMPROMISOS_2024[[#All],[Total pagado]],"",0)</f>
        <v>#NAME?</v>
      </c>
      <c r="AJ1214" s="56">
        <f>IF(PAA_4[[#This Row],[BOLSA]]=0,0,SUMIFS([2]!COMPROMISOS_2024[[#All],[Total pagado]],[2]!COMPROMISOS_2024[[#All],[Bolsa]],PAA_4[[#This Row],[BOLSA]],[2]!COMPROMISOS_2024[[#All],[rubro]],PAA_4[[#This Row],[RCP-RUBRO]]))</f>
        <v>0</v>
      </c>
      <c r="AK1214" s="47" t="e" cm="1">
        <f t="array" aca="1" ref="AK1214" ca="1">_xlfn.XLOOKUP(PAA_4[[#This Row],[RCP-RUBRO]],[2]!COMPROMISOS_2024[[#All],[concatenado]],[2]!COMPROMISOS_2024[[#All],[Total Comprometido]],"",0)</f>
        <v>#NAME?</v>
      </c>
      <c r="AL1214" s="47">
        <f>IF(PAA_4[[#This Row],[BOLSA]]=0,0,SUMIFS([2]!COMPROMISOS_2024[[#All],[Total Comprometido]],[2]!COMPROMISOS_2024[[#All],[Bolsa]],PAA_4[[#This Row],[BOLSA]],[2]!COMPROMISOS_2024[[#All],[concatenado]],PAA_4[[#This Row],[RCP-RUBRO]]))</f>
        <v>0</v>
      </c>
    </row>
    <row r="1215" spans="1:38" s="19" customFormat="1" ht="31.5" customHeight="1">
      <c r="A1215" s="47">
        <v>399</v>
      </c>
      <c r="B1215" s="47">
        <v>80111600</v>
      </c>
      <c r="C1215" s="47" t="str">
        <f>VLOOKUP(PAA_4[[#This Row],[PROYECTO (formulado)2]],[2]PROYECTOS!$G$1:$L$32,6,0)</f>
        <v>SUBGERENCIA DE FOMENTO Y DESARROLLO</v>
      </c>
      <c r="D1215" s="47" t="str">
        <f>+IF(PAA_4[[#This Row],[UNIDAD DE CONTRATACION (formulado)]]="Subgerencia Administrativa y Financiera","FUNCIONAMIENTO","INVERSIÓN")</f>
        <v>INVERSIÓN</v>
      </c>
      <c r="E1215" s="48" t="str">
        <f>VLOOKUP(Q1215,[2]PROYECTOS!$G$1:$K$32,5,0)</f>
        <v>FORTALECIMIENTO_DEL_PROGRAMA_POR_SU_SALUD_MUÉVASE_PUES_EN_LOS_MUNICIPIO_DEL_DEPARTAMENTO_DE_ANTIOQUIA</v>
      </c>
      <c r="F1215" s="48">
        <f>VLOOKUP(E1215,[2]PROYECTOS!$K$1:$M$32,3,0)</f>
        <v>2020003050030</v>
      </c>
      <c r="G1215" s="49" t="s">
        <v>369</v>
      </c>
      <c r="H1215" s="49" t="str">
        <f>VLOOKUP(Q1215,[2]PROYECTOS!$V$1:$W$32,2,0)</f>
        <v>050055</v>
      </c>
      <c r="I1215" s="50">
        <v>0</v>
      </c>
      <c r="J1215" s="76" t="s">
        <v>42</v>
      </c>
      <c r="K1215" s="47" t="str">
        <f t="shared" ca="1" si="452"/>
        <v>CONTRATADO</v>
      </c>
      <c r="L1215" s="47" t="s">
        <v>94</v>
      </c>
      <c r="M1215" s="47" t="s">
        <v>1297</v>
      </c>
      <c r="N1215" s="52" t="s">
        <v>360</v>
      </c>
      <c r="O1215" s="51" t="e">
        <f>VLOOKUP(N1215,[2]!RUBROS[#All],3,0)</f>
        <v>#REF!</v>
      </c>
      <c r="P1215" s="53" t="e">
        <f>VLOOKUP(N1215,[2]!RUBROS[#All],2,0)</f>
        <v>#REF!</v>
      </c>
      <c r="Q1215" s="47" t="str">
        <f t="shared" si="453"/>
        <v>45</v>
      </c>
      <c r="R1215" s="47" t="str">
        <f t="shared" si="454"/>
        <v>0-205128</v>
      </c>
      <c r="S1215" s="54">
        <v>10</v>
      </c>
      <c r="T1215" s="59" t="s">
        <v>46</v>
      </c>
      <c r="U1215" s="326" t="e">
        <f ca="1">_xlfn.XLOOKUP(PAA_4[[#This Row],[ITEM]],[2]Contrato!A:A,[2]Contrato!Q:Q,"",0)</f>
        <v>#NAME?</v>
      </c>
      <c r="V1215" s="47" t="s">
        <v>47</v>
      </c>
      <c r="W1215" s="47" t="s">
        <v>96</v>
      </c>
      <c r="X1215" s="47" t="s">
        <v>96</v>
      </c>
      <c r="Y1215" s="55" t="e">
        <f ca="1">_xlfn.XLOOKUP(PAA_4[[#This Row],[ITEM]],[2]Contrato!A:A,[2]Contrato!B:B,"",0)</f>
        <v>#NAME?</v>
      </c>
      <c r="Z1215" s="47" t="e">
        <f ca="1">_xlfn.XLOOKUP(PAA_4[[#This Row],[ITEM]],[2]Contrato!A:A,[2]Contrato!G:G,"",0)</f>
        <v>#NAME?</v>
      </c>
      <c r="AA1215" s="47" t="e">
        <f ca="1">_xlfn.XLOOKUP(PAA_4[[#This Row],[ITEM]],[2]Contrato!A:A,[2]Contrato!T:T,"",0)</f>
        <v>#NAME?</v>
      </c>
      <c r="AB1215" s="55" t="e">
        <f ca="1">+MAX(PAA_4[[#This Row],[Comprometido Contrato]],PAA_4[[#This Row],[Comprometido Bolsa]])</f>
        <v>#NAME?</v>
      </c>
      <c r="AC1215" s="55" t="str">
        <f t="shared" ca="1" si="455"/>
        <v/>
      </c>
      <c r="AD1215" s="55" t="e">
        <f ca="1">IF(PAA_4[[#This Row],[ESTADO (formulado)]]="NO CONTRATADO",0,MAX(PAA_4[[#This Row],[Pago por Contrato]],PAA_4[[#This Row],[Pago por bolsa]]))</f>
        <v>#NAME?</v>
      </c>
      <c r="AE1215" s="55" t="str">
        <f t="shared" ca="1" si="456"/>
        <v/>
      </c>
      <c r="AF1215" s="47" t="e">
        <f t="shared" ca="1" si="457"/>
        <v>#NAME?</v>
      </c>
      <c r="AG1215" s="47">
        <f t="shared" si="458"/>
        <v>44021001</v>
      </c>
      <c r="AH1215" s="54">
        <f>IF(Q1215="22",IF(ISNUMBER(SEARCH("econ",PAA_4[[#This Row],[Actividad3]])),"Económico",IF(ISNUMBER(SEARCH("alim",PAA_4[[#This Row],[Actividad3]])),"Alimentación",IF(ISNUMBER(SEARCH("educ",PAA_4[[#This Row],[Actividad3]])),"Educativo","Técnico"))),0)</f>
        <v>0</v>
      </c>
      <c r="AI1215" s="47" t="e" cm="1">
        <f t="array" aca="1" ref="AI1215" ca="1">_xlfn.XLOOKUP(PAA_4[[#This Row],[RCP-RUBRO]],[2]!COMPROMISOS_2024[[#All],[concatenado]],[2]!COMPROMISOS_2024[[#All],[Total pagado]],"",0)</f>
        <v>#NAME?</v>
      </c>
      <c r="AJ1215" s="56">
        <f>IF(PAA_4[[#This Row],[BOLSA]]=0,0,SUMIFS([2]!COMPROMISOS_2024[[#All],[Total pagado]],[2]!COMPROMISOS_2024[[#All],[Bolsa]],PAA_4[[#This Row],[BOLSA]],[2]!COMPROMISOS_2024[[#All],[rubro]],PAA_4[[#This Row],[RCP-RUBRO]]))</f>
        <v>0</v>
      </c>
      <c r="AK1215" s="47" t="e" cm="1">
        <f t="array" aca="1" ref="AK1215" ca="1">_xlfn.XLOOKUP(PAA_4[[#This Row],[RCP-RUBRO]],[2]!COMPROMISOS_2024[[#All],[concatenado]],[2]!COMPROMISOS_2024[[#All],[Total Comprometido]],"",0)</f>
        <v>#NAME?</v>
      </c>
      <c r="AL1215" s="47">
        <f>IF(PAA_4[[#This Row],[BOLSA]]=0,0,SUMIFS([2]!COMPROMISOS_2024[[#All],[Total Comprometido]],[2]!COMPROMISOS_2024[[#All],[Bolsa]],PAA_4[[#This Row],[BOLSA]],[2]!COMPROMISOS_2024[[#All],[concatenado]],PAA_4[[#This Row],[RCP-RUBRO]]))</f>
        <v>0</v>
      </c>
    </row>
    <row r="1216" spans="1:38" s="19" customFormat="1" ht="31.5" customHeight="1">
      <c r="A1216" s="47">
        <v>400</v>
      </c>
      <c r="B1216" s="47">
        <v>80111600</v>
      </c>
      <c r="C1216" s="47" t="str">
        <f>VLOOKUP(PAA_4[[#This Row],[PROYECTO (formulado)2]],[2]PROYECTOS!$G$1:$L$32,6,0)</f>
        <v>SUBGERENCIA DE FOMENTO Y DESARROLLO</v>
      </c>
      <c r="D1216" s="47" t="str">
        <f>+IF(PAA_4[[#This Row],[UNIDAD DE CONTRATACION (formulado)]]="Subgerencia Administrativa y Financiera","FUNCIONAMIENTO","INVERSIÓN")</f>
        <v>INVERSIÓN</v>
      </c>
      <c r="E1216" s="48" t="str">
        <f>VLOOKUP(Q1216,[2]PROYECTOS!$G$1:$K$32,5,0)</f>
        <v>FORTALECIMIENTO_DEL_PROGRAMA_POR_SU_SALUD_MUÉVASE_PUES_EN_LOS_MUNICIPIO_DEL_DEPARTAMENTO_DE_ANTIOQUIA</v>
      </c>
      <c r="F1216" s="48">
        <f>VLOOKUP(E1216,[2]PROYECTOS!$K$1:$M$32,3,0)</f>
        <v>2020003050030</v>
      </c>
      <c r="G1216" s="49" t="s">
        <v>369</v>
      </c>
      <c r="H1216" s="49" t="str">
        <f>VLOOKUP(Q1216,[2]PROYECTOS!$V$1:$W$32,2,0)</f>
        <v>050055</v>
      </c>
      <c r="I1216" s="50">
        <v>0</v>
      </c>
      <c r="J1216" s="76" t="s">
        <v>42</v>
      </c>
      <c r="K1216" s="47" t="str">
        <f t="shared" ca="1" si="452"/>
        <v>CONTRATADO</v>
      </c>
      <c r="L1216" s="47" t="s">
        <v>94</v>
      </c>
      <c r="M1216" s="47" t="s">
        <v>1297</v>
      </c>
      <c r="N1216" s="52" t="s">
        <v>360</v>
      </c>
      <c r="O1216" s="51" t="e">
        <f>VLOOKUP(N1216,[2]!RUBROS[#All],3,0)</f>
        <v>#REF!</v>
      </c>
      <c r="P1216" s="53" t="e">
        <f>VLOOKUP(N1216,[2]!RUBROS[#All],2,0)</f>
        <v>#REF!</v>
      </c>
      <c r="Q1216" s="47" t="str">
        <f t="shared" si="453"/>
        <v>45</v>
      </c>
      <c r="R1216" s="47" t="str">
        <f t="shared" si="454"/>
        <v>0-205128</v>
      </c>
      <c r="S1216" s="54">
        <v>10</v>
      </c>
      <c r="T1216" s="59" t="s">
        <v>46</v>
      </c>
      <c r="U1216" s="326" t="e">
        <f ca="1">_xlfn.XLOOKUP(PAA_4[[#This Row],[ITEM]],[2]Contrato!A:A,[2]Contrato!Q:Q,"",0)</f>
        <v>#NAME?</v>
      </c>
      <c r="V1216" s="47" t="s">
        <v>47</v>
      </c>
      <c r="W1216" s="47" t="s">
        <v>96</v>
      </c>
      <c r="X1216" s="47" t="s">
        <v>96</v>
      </c>
      <c r="Y1216" s="55" t="e">
        <f ca="1">_xlfn.XLOOKUP(PAA_4[[#This Row],[ITEM]],[2]Contrato!A:A,[2]Contrato!B:B,"",0)</f>
        <v>#NAME?</v>
      </c>
      <c r="Z1216" s="47" t="e">
        <f ca="1">_xlfn.XLOOKUP(PAA_4[[#This Row],[ITEM]],[2]Contrato!A:A,[2]Contrato!G:G,"",0)</f>
        <v>#NAME?</v>
      </c>
      <c r="AA1216" s="47" t="e">
        <f ca="1">_xlfn.XLOOKUP(PAA_4[[#This Row],[ITEM]],[2]Contrato!A:A,[2]Contrato!T:T,"",0)</f>
        <v>#NAME?</v>
      </c>
      <c r="AB1216" s="55" t="e">
        <f ca="1">+MAX(PAA_4[[#This Row],[Comprometido Contrato]],PAA_4[[#This Row],[Comprometido Bolsa]])</f>
        <v>#NAME?</v>
      </c>
      <c r="AC1216" s="55" t="str">
        <f t="shared" ca="1" si="455"/>
        <v/>
      </c>
      <c r="AD1216" s="55" t="e">
        <f ca="1">IF(PAA_4[[#This Row],[ESTADO (formulado)]]="NO CONTRATADO",0,MAX(PAA_4[[#This Row],[Pago por Contrato]],PAA_4[[#This Row],[Pago por bolsa]]))</f>
        <v>#NAME?</v>
      </c>
      <c r="AE1216" s="55" t="str">
        <f t="shared" ca="1" si="456"/>
        <v/>
      </c>
      <c r="AF1216" s="47" t="e">
        <f t="shared" ca="1" si="457"/>
        <v>#NAME?</v>
      </c>
      <c r="AG1216" s="47">
        <f t="shared" si="458"/>
        <v>44021001</v>
      </c>
      <c r="AH1216" s="54">
        <f>IF(Q1216="22",IF(ISNUMBER(SEARCH("econ",PAA_4[[#This Row],[Actividad3]])),"Económico",IF(ISNUMBER(SEARCH("alim",PAA_4[[#This Row],[Actividad3]])),"Alimentación",IF(ISNUMBER(SEARCH("educ",PAA_4[[#This Row],[Actividad3]])),"Educativo","Técnico"))),0)</f>
        <v>0</v>
      </c>
      <c r="AI1216" s="47" t="e" cm="1">
        <f t="array" aca="1" ref="AI1216" ca="1">_xlfn.XLOOKUP(PAA_4[[#This Row],[RCP-RUBRO]],[2]!COMPROMISOS_2024[[#All],[concatenado]],[2]!COMPROMISOS_2024[[#All],[Total pagado]],"",0)</f>
        <v>#NAME?</v>
      </c>
      <c r="AJ1216" s="56">
        <f>IF(PAA_4[[#This Row],[BOLSA]]=0,0,SUMIFS([2]!COMPROMISOS_2024[[#All],[Total pagado]],[2]!COMPROMISOS_2024[[#All],[Bolsa]],PAA_4[[#This Row],[BOLSA]],[2]!COMPROMISOS_2024[[#All],[rubro]],PAA_4[[#This Row],[RCP-RUBRO]]))</f>
        <v>0</v>
      </c>
      <c r="AK1216" s="47" t="e" cm="1">
        <f t="array" aca="1" ref="AK1216" ca="1">_xlfn.XLOOKUP(PAA_4[[#This Row],[RCP-RUBRO]],[2]!COMPROMISOS_2024[[#All],[concatenado]],[2]!COMPROMISOS_2024[[#All],[Total Comprometido]],"",0)</f>
        <v>#NAME?</v>
      </c>
      <c r="AL1216" s="47">
        <f>IF(PAA_4[[#This Row],[BOLSA]]=0,0,SUMIFS([2]!COMPROMISOS_2024[[#All],[Total Comprometido]],[2]!COMPROMISOS_2024[[#All],[Bolsa]],PAA_4[[#This Row],[BOLSA]],[2]!COMPROMISOS_2024[[#All],[concatenado]],PAA_4[[#This Row],[RCP-RUBRO]]))</f>
        <v>0</v>
      </c>
    </row>
    <row r="1217" spans="1:38" s="19" customFormat="1" ht="31.5" customHeight="1">
      <c r="A1217" s="47">
        <v>401</v>
      </c>
      <c r="B1217" s="47">
        <v>80111600</v>
      </c>
      <c r="C1217" s="47" t="str">
        <f>VLOOKUP(PAA_4[[#This Row],[PROYECTO (formulado)2]],[2]PROYECTOS!$G$1:$L$32,6,0)</f>
        <v>SUBGERENCIA DE FOMENTO Y DESARROLLO</v>
      </c>
      <c r="D1217" s="47" t="str">
        <f>+IF(PAA_4[[#This Row],[UNIDAD DE CONTRATACION (formulado)]]="Subgerencia Administrativa y Financiera","FUNCIONAMIENTO","INVERSIÓN")</f>
        <v>INVERSIÓN</v>
      </c>
      <c r="E1217" s="48" t="str">
        <f>VLOOKUP(Q1217,[2]PROYECTOS!$G$1:$K$32,5,0)</f>
        <v>FORTALECIMIENTO_DEL_PROGRAMA_POR_SU_SALUD_MUÉVASE_PUES_EN_LOS_MUNICIPIO_DEL_DEPARTAMENTO_DE_ANTIOQUIA</v>
      </c>
      <c r="F1217" s="48">
        <f>VLOOKUP(E1217,[2]PROYECTOS!$K$1:$M$32,3,0)</f>
        <v>2020003050030</v>
      </c>
      <c r="G1217" s="49" t="s">
        <v>369</v>
      </c>
      <c r="H1217" s="49" t="str">
        <f>VLOOKUP(Q1217,[2]PROYECTOS!$V$1:$W$32,2,0)</f>
        <v>050055</v>
      </c>
      <c r="I1217" s="50">
        <v>0</v>
      </c>
      <c r="J1217" s="76" t="s">
        <v>42</v>
      </c>
      <c r="K1217" s="47" t="str">
        <f t="shared" ca="1" si="452"/>
        <v>CONTRATADO</v>
      </c>
      <c r="L1217" s="47" t="s">
        <v>94</v>
      </c>
      <c r="M1217" s="47" t="s">
        <v>1297</v>
      </c>
      <c r="N1217" s="52" t="s">
        <v>360</v>
      </c>
      <c r="O1217" s="51" t="e">
        <f>VLOOKUP(N1217,[2]!RUBROS[#All],3,0)</f>
        <v>#REF!</v>
      </c>
      <c r="P1217" s="53" t="e">
        <f>VLOOKUP(N1217,[2]!RUBROS[#All],2,0)</f>
        <v>#REF!</v>
      </c>
      <c r="Q1217" s="47" t="str">
        <f t="shared" si="453"/>
        <v>45</v>
      </c>
      <c r="R1217" s="47" t="str">
        <f t="shared" si="454"/>
        <v>0-205128</v>
      </c>
      <c r="S1217" s="54">
        <v>10</v>
      </c>
      <c r="T1217" s="59" t="s">
        <v>46</v>
      </c>
      <c r="U1217" s="326" t="e">
        <f ca="1">_xlfn.XLOOKUP(PAA_4[[#This Row],[ITEM]],[2]Contrato!A:A,[2]Contrato!Q:Q,"",0)</f>
        <v>#NAME?</v>
      </c>
      <c r="V1217" s="47" t="s">
        <v>47</v>
      </c>
      <c r="W1217" s="47" t="s">
        <v>96</v>
      </c>
      <c r="X1217" s="47" t="s">
        <v>96</v>
      </c>
      <c r="Y1217" s="55" t="e">
        <f ca="1">_xlfn.XLOOKUP(PAA_4[[#This Row],[ITEM]],[2]Contrato!A:A,[2]Contrato!B:B,"",0)</f>
        <v>#NAME?</v>
      </c>
      <c r="Z1217" s="47" t="e">
        <f ca="1">_xlfn.XLOOKUP(PAA_4[[#This Row],[ITEM]],[2]Contrato!A:A,[2]Contrato!G:G,"",0)</f>
        <v>#NAME?</v>
      </c>
      <c r="AA1217" s="47" t="e">
        <f ca="1">_xlfn.XLOOKUP(PAA_4[[#This Row],[ITEM]],[2]Contrato!A:A,[2]Contrato!T:T,"",0)</f>
        <v>#NAME?</v>
      </c>
      <c r="AB1217" s="55" t="e">
        <f ca="1">+MAX(PAA_4[[#This Row],[Comprometido Contrato]],PAA_4[[#This Row],[Comprometido Bolsa]])</f>
        <v>#NAME?</v>
      </c>
      <c r="AC1217" s="55" t="str">
        <f t="shared" ca="1" si="455"/>
        <v/>
      </c>
      <c r="AD1217" s="55" t="e">
        <f ca="1">IF(PAA_4[[#This Row],[ESTADO (formulado)]]="NO CONTRATADO",0,MAX(PAA_4[[#This Row],[Pago por Contrato]],PAA_4[[#This Row],[Pago por bolsa]]))</f>
        <v>#NAME?</v>
      </c>
      <c r="AE1217" s="55" t="str">
        <f t="shared" ca="1" si="456"/>
        <v/>
      </c>
      <c r="AF1217" s="47" t="e">
        <f t="shared" ca="1" si="457"/>
        <v>#NAME?</v>
      </c>
      <c r="AG1217" s="47">
        <f t="shared" si="458"/>
        <v>44021001</v>
      </c>
      <c r="AH1217" s="54">
        <f>IF(Q1217="22",IF(ISNUMBER(SEARCH("econ",PAA_4[[#This Row],[Actividad3]])),"Económico",IF(ISNUMBER(SEARCH("alim",PAA_4[[#This Row],[Actividad3]])),"Alimentación",IF(ISNUMBER(SEARCH("educ",PAA_4[[#This Row],[Actividad3]])),"Educativo","Técnico"))),0)</f>
        <v>0</v>
      </c>
      <c r="AI1217" s="47" t="e" cm="1">
        <f t="array" aca="1" ref="AI1217" ca="1">_xlfn.XLOOKUP(PAA_4[[#This Row],[RCP-RUBRO]],[2]!COMPROMISOS_2024[[#All],[concatenado]],[2]!COMPROMISOS_2024[[#All],[Total pagado]],"",0)</f>
        <v>#NAME?</v>
      </c>
      <c r="AJ1217" s="56">
        <f>IF(PAA_4[[#This Row],[BOLSA]]=0,0,SUMIFS([2]!COMPROMISOS_2024[[#All],[Total pagado]],[2]!COMPROMISOS_2024[[#All],[Bolsa]],PAA_4[[#This Row],[BOLSA]],[2]!COMPROMISOS_2024[[#All],[rubro]],PAA_4[[#This Row],[RCP-RUBRO]]))</f>
        <v>0</v>
      </c>
      <c r="AK1217" s="47" t="e" cm="1">
        <f t="array" aca="1" ref="AK1217" ca="1">_xlfn.XLOOKUP(PAA_4[[#This Row],[RCP-RUBRO]],[2]!COMPROMISOS_2024[[#All],[concatenado]],[2]!COMPROMISOS_2024[[#All],[Total Comprometido]],"",0)</f>
        <v>#NAME?</v>
      </c>
      <c r="AL1217" s="47">
        <f>IF(PAA_4[[#This Row],[BOLSA]]=0,0,SUMIFS([2]!COMPROMISOS_2024[[#All],[Total Comprometido]],[2]!COMPROMISOS_2024[[#All],[Bolsa]],PAA_4[[#This Row],[BOLSA]],[2]!COMPROMISOS_2024[[#All],[concatenado]],PAA_4[[#This Row],[RCP-RUBRO]]))</f>
        <v>0</v>
      </c>
    </row>
    <row r="1218" spans="1:38" s="19" customFormat="1" ht="31.5" customHeight="1">
      <c r="A1218" s="47">
        <v>402</v>
      </c>
      <c r="B1218" s="47">
        <v>80111600</v>
      </c>
      <c r="C1218" s="47" t="str">
        <f>VLOOKUP(PAA_4[[#This Row],[PROYECTO (formulado)2]],[2]PROYECTOS!$G$1:$L$32,6,0)</f>
        <v>SUBGERENCIA DE FOMENTO Y DESARROLLO</v>
      </c>
      <c r="D1218" s="47" t="str">
        <f>+IF(PAA_4[[#This Row],[UNIDAD DE CONTRATACION (formulado)]]="Subgerencia Administrativa y Financiera","FUNCIONAMIENTO","INVERSIÓN")</f>
        <v>INVERSIÓN</v>
      </c>
      <c r="E1218" s="48" t="str">
        <f>VLOOKUP(Q1218,[2]PROYECTOS!$G$1:$K$32,5,0)</f>
        <v>FORTALECIMIENTO_DEL_PROGRAMA_POR_SU_SALUD_MUÉVASE_PUES_EN_LOS_MUNICIPIO_DEL_DEPARTAMENTO_DE_ANTIOQUIA</v>
      </c>
      <c r="F1218" s="48">
        <f>VLOOKUP(E1218,[2]PROYECTOS!$K$1:$M$32,3,0)</f>
        <v>2020003050030</v>
      </c>
      <c r="G1218" s="49" t="s">
        <v>369</v>
      </c>
      <c r="H1218" s="49" t="str">
        <f>VLOOKUP(Q1218,[2]PROYECTOS!$V$1:$W$32,2,0)</f>
        <v>050055</v>
      </c>
      <c r="I1218" s="50">
        <v>0</v>
      </c>
      <c r="J1218" s="76" t="s">
        <v>42</v>
      </c>
      <c r="K1218" s="47" t="str">
        <f t="shared" ca="1" si="452"/>
        <v>CONTRATADO</v>
      </c>
      <c r="L1218" s="47" t="s">
        <v>94</v>
      </c>
      <c r="M1218" s="47" t="s">
        <v>1297</v>
      </c>
      <c r="N1218" s="52" t="s">
        <v>360</v>
      </c>
      <c r="O1218" s="51" t="e">
        <f>VLOOKUP(N1218,[2]!RUBROS[#All],3,0)</f>
        <v>#REF!</v>
      </c>
      <c r="P1218" s="53" t="e">
        <f>VLOOKUP(N1218,[2]!RUBROS[#All],2,0)</f>
        <v>#REF!</v>
      </c>
      <c r="Q1218" s="47" t="str">
        <f t="shared" si="453"/>
        <v>45</v>
      </c>
      <c r="R1218" s="47" t="str">
        <f t="shared" si="454"/>
        <v>0-205128</v>
      </c>
      <c r="S1218" s="54">
        <v>10</v>
      </c>
      <c r="T1218" s="59" t="s">
        <v>46</v>
      </c>
      <c r="U1218" s="326" t="e">
        <f ca="1">_xlfn.XLOOKUP(PAA_4[[#This Row],[ITEM]],[2]Contrato!A:A,[2]Contrato!Q:Q,"",0)</f>
        <v>#NAME?</v>
      </c>
      <c r="V1218" s="47" t="s">
        <v>47</v>
      </c>
      <c r="W1218" s="47" t="s">
        <v>96</v>
      </c>
      <c r="X1218" s="47" t="s">
        <v>96</v>
      </c>
      <c r="Y1218" s="55" t="e">
        <f ca="1">_xlfn.XLOOKUP(PAA_4[[#This Row],[ITEM]],[2]Contrato!A:A,[2]Contrato!B:B,"",0)</f>
        <v>#NAME?</v>
      </c>
      <c r="Z1218" s="47" t="e">
        <f ca="1">_xlfn.XLOOKUP(PAA_4[[#This Row],[ITEM]],[2]Contrato!A:A,[2]Contrato!G:G,"",0)</f>
        <v>#NAME?</v>
      </c>
      <c r="AA1218" s="47" t="e">
        <f ca="1">_xlfn.XLOOKUP(PAA_4[[#This Row],[ITEM]],[2]Contrato!A:A,[2]Contrato!T:T,"",0)</f>
        <v>#NAME?</v>
      </c>
      <c r="AB1218" s="55" t="e">
        <f ca="1">+MAX(PAA_4[[#This Row],[Comprometido Contrato]],PAA_4[[#This Row],[Comprometido Bolsa]])</f>
        <v>#NAME?</v>
      </c>
      <c r="AC1218" s="55" t="str">
        <f t="shared" ca="1" si="455"/>
        <v/>
      </c>
      <c r="AD1218" s="55" t="e">
        <f ca="1">IF(PAA_4[[#This Row],[ESTADO (formulado)]]="NO CONTRATADO",0,MAX(PAA_4[[#This Row],[Pago por Contrato]],PAA_4[[#This Row],[Pago por bolsa]]))</f>
        <v>#NAME?</v>
      </c>
      <c r="AE1218" s="55" t="str">
        <f t="shared" ca="1" si="456"/>
        <v/>
      </c>
      <c r="AF1218" s="47" t="e">
        <f t="shared" ca="1" si="457"/>
        <v>#NAME?</v>
      </c>
      <c r="AG1218" s="47">
        <f t="shared" si="458"/>
        <v>44021001</v>
      </c>
      <c r="AH1218" s="54">
        <f>IF(Q1218="22",IF(ISNUMBER(SEARCH("econ",PAA_4[[#This Row],[Actividad3]])),"Económico",IF(ISNUMBER(SEARCH("alim",PAA_4[[#This Row],[Actividad3]])),"Alimentación",IF(ISNUMBER(SEARCH("educ",PAA_4[[#This Row],[Actividad3]])),"Educativo","Técnico"))),0)</f>
        <v>0</v>
      </c>
      <c r="AI1218" s="47" t="e" cm="1">
        <f t="array" aca="1" ref="AI1218" ca="1">_xlfn.XLOOKUP(PAA_4[[#This Row],[RCP-RUBRO]],[2]!COMPROMISOS_2024[[#All],[concatenado]],[2]!COMPROMISOS_2024[[#All],[Total pagado]],"",0)</f>
        <v>#NAME?</v>
      </c>
      <c r="AJ1218" s="56">
        <f>IF(PAA_4[[#This Row],[BOLSA]]=0,0,SUMIFS([2]!COMPROMISOS_2024[[#All],[Total pagado]],[2]!COMPROMISOS_2024[[#All],[Bolsa]],PAA_4[[#This Row],[BOLSA]],[2]!COMPROMISOS_2024[[#All],[rubro]],PAA_4[[#This Row],[RCP-RUBRO]]))</f>
        <v>0</v>
      </c>
      <c r="AK1218" s="47" t="e" cm="1">
        <f t="array" aca="1" ref="AK1218" ca="1">_xlfn.XLOOKUP(PAA_4[[#This Row],[RCP-RUBRO]],[2]!COMPROMISOS_2024[[#All],[concatenado]],[2]!COMPROMISOS_2024[[#All],[Total Comprometido]],"",0)</f>
        <v>#NAME?</v>
      </c>
      <c r="AL1218" s="47">
        <f>IF(PAA_4[[#This Row],[BOLSA]]=0,0,SUMIFS([2]!COMPROMISOS_2024[[#All],[Total Comprometido]],[2]!COMPROMISOS_2024[[#All],[Bolsa]],PAA_4[[#This Row],[BOLSA]],[2]!COMPROMISOS_2024[[#All],[concatenado]],PAA_4[[#This Row],[RCP-RUBRO]]))</f>
        <v>0</v>
      </c>
    </row>
    <row r="1219" spans="1:38" s="19" customFormat="1" ht="31.5" customHeight="1">
      <c r="A1219" s="47">
        <v>403</v>
      </c>
      <c r="B1219" s="47">
        <v>80111600</v>
      </c>
      <c r="C1219" s="47" t="str">
        <f>VLOOKUP(PAA_4[[#This Row],[PROYECTO (formulado)2]],[2]PROYECTOS!$G$1:$L$32,6,0)</f>
        <v>SUBGERENCIA DE FOMENTO Y DESARROLLO</v>
      </c>
      <c r="D1219" s="47" t="str">
        <f>+IF(PAA_4[[#This Row],[UNIDAD DE CONTRATACION (formulado)]]="Subgerencia Administrativa y Financiera","FUNCIONAMIENTO","INVERSIÓN")</f>
        <v>INVERSIÓN</v>
      </c>
      <c r="E1219" s="48" t="str">
        <f>VLOOKUP(Q1219,[2]PROYECTOS!$G$1:$K$32,5,0)</f>
        <v>FORTALECIMIENTO_DEL_PROGRAMA_POR_SU_SALUD_MUÉVASE_PUES_EN_LOS_MUNICIPIO_DEL_DEPARTAMENTO_DE_ANTIOQUIA</v>
      </c>
      <c r="F1219" s="48">
        <f>VLOOKUP(E1219,[2]PROYECTOS!$K$1:$M$32,3,0)</f>
        <v>2020003050030</v>
      </c>
      <c r="G1219" s="49" t="s">
        <v>369</v>
      </c>
      <c r="H1219" s="49" t="str">
        <f>VLOOKUP(Q1219,[2]PROYECTOS!$V$1:$W$32,2,0)</f>
        <v>050055</v>
      </c>
      <c r="I1219" s="50">
        <v>0</v>
      </c>
      <c r="J1219" s="76" t="s">
        <v>42</v>
      </c>
      <c r="K1219" s="47" t="str">
        <f t="shared" ca="1" si="452"/>
        <v>CONTRATADO</v>
      </c>
      <c r="L1219" s="47" t="s">
        <v>94</v>
      </c>
      <c r="M1219" s="47" t="s">
        <v>1297</v>
      </c>
      <c r="N1219" s="52" t="s">
        <v>360</v>
      </c>
      <c r="O1219" s="51" t="e">
        <f>VLOOKUP(N1219,[2]!RUBROS[#All],3,0)</f>
        <v>#REF!</v>
      </c>
      <c r="P1219" s="53" t="e">
        <f>VLOOKUP(N1219,[2]!RUBROS[#All],2,0)</f>
        <v>#REF!</v>
      </c>
      <c r="Q1219" s="47" t="str">
        <f t="shared" si="453"/>
        <v>45</v>
      </c>
      <c r="R1219" s="47" t="str">
        <f t="shared" si="454"/>
        <v>0-205128</v>
      </c>
      <c r="S1219" s="54">
        <v>10</v>
      </c>
      <c r="T1219" s="59" t="s">
        <v>46</v>
      </c>
      <c r="U1219" s="326" t="e">
        <f ca="1">_xlfn.XLOOKUP(PAA_4[[#This Row],[ITEM]],[2]Contrato!A:A,[2]Contrato!Q:Q,"",0)</f>
        <v>#NAME?</v>
      </c>
      <c r="V1219" s="47" t="s">
        <v>47</v>
      </c>
      <c r="W1219" s="47" t="s">
        <v>96</v>
      </c>
      <c r="X1219" s="47" t="s">
        <v>96</v>
      </c>
      <c r="Y1219" s="55" t="e">
        <f ca="1">_xlfn.XLOOKUP(PAA_4[[#This Row],[ITEM]],[2]Contrato!A:A,[2]Contrato!B:B,"",0)</f>
        <v>#NAME?</v>
      </c>
      <c r="Z1219" s="47" t="e">
        <f ca="1">_xlfn.XLOOKUP(PAA_4[[#This Row],[ITEM]],[2]Contrato!A:A,[2]Contrato!G:G,"",0)</f>
        <v>#NAME?</v>
      </c>
      <c r="AA1219" s="47" t="e">
        <f ca="1">_xlfn.XLOOKUP(PAA_4[[#This Row],[ITEM]],[2]Contrato!A:A,[2]Contrato!T:T,"",0)</f>
        <v>#NAME?</v>
      </c>
      <c r="AB1219" s="55" t="e">
        <f ca="1">+MAX(PAA_4[[#This Row],[Comprometido Contrato]],PAA_4[[#This Row],[Comprometido Bolsa]])</f>
        <v>#NAME?</v>
      </c>
      <c r="AC1219" s="55" t="str">
        <f t="shared" ca="1" si="455"/>
        <v/>
      </c>
      <c r="AD1219" s="55" t="e">
        <f ca="1">IF(PAA_4[[#This Row],[ESTADO (formulado)]]="NO CONTRATADO",0,MAX(PAA_4[[#This Row],[Pago por Contrato]],PAA_4[[#This Row],[Pago por bolsa]]))</f>
        <v>#NAME?</v>
      </c>
      <c r="AE1219" s="55" t="str">
        <f t="shared" ca="1" si="456"/>
        <v/>
      </c>
      <c r="AF1219" s="47" t="e">
        <f t="shared" ca="1" si="457"/>
        <v>#NAME?</v>
      </c>
      <c r="AG1219" s="47">
        <f t="shared" si="458"/>
        <v>44021001</v>
      </c>
      <c r="AH1219" s="54">
        <f>IF(Q1219="22",IF(ISNUMBER(SEARCH("econ",PAA_4[[#This Row],[Actividad3]])),"Económico",IF(ISNUMBER(SEARCH("alim",PAA_4[[#This Row],[Actividad3]])),"Alimentación",IF(ISNUMBER(SEARCH("educ",PAA_4[[#This Row],[Actividad3]])),"Educativo","Técnico"))),0)</f>
        <v>0</v>
      </c>
      <c r="AI1219" s="47" t="e" cm="1">
        <f t="array" aca="1" ref="AI1219" ca="1">_xlfn.XLOOKUP(PAA_4[[#This Row],[RCP-RUBRO]],[2]!COMPROMISOS_2024[[#All],[concatenado]],[2]!COMPROMISOS_2024[[#All],[Total pagado]],"",0)</f>
        <v>#NAME?</v>
      </c>
      <c r="AJ1219" s="56">
        <f>IF(PAA_4[[#This Row],[BOLSA]]=0,0,SUMIFS([2]!COMPROMISOS_2024[[#All],[Total pagado]],[2]!COMPROMISOS_2024[[#All],[Bolsa]],PAA_4[[#This Row],[BOLSA]],[2]!COMPROMISOS_2024[[#All],[rubro]],PAA_4[[#This Row],[RCP-RUBRO]]))</f>
        <v>0</v>
      </c>
      <c r="AK1219" s="47" t="e" cm="1">
        <f t="array" aca="1" ref="AK1219" ca="1">_xlfn.XLOOKUP(PAA_4[[#This Row],[RCP-RUBRO]],[2]!COMPROMISOS_2024[[#All],[concatenado]],[2]!COMPROMISOS_2024[[#All],[Total Comprometido]],"",0)</f>
        <v>#NAME?</v>
      </c>
      <c r="AL1219" s="47">
        <f>IF(PAA_4[[#This Row],[BOLSA]]=0,0,SUMIFS([2]!COMPROMISOS_2024[[#All],[Total Comprometido]],[2]!COMPROMISOS_2024[[#All],[Bolsa]],PAA_4[[#This Row],[BOLSA]],[2]!COMPROMISOS_2024[[#All],[concatenado]],PAA_4[[#This Row],[RCP-RUBRO]]))</f>
        <v>0</v>
      </c>
    </row>
    <row r="1220" spans="1:38" s="19" customFormat="1" ht="31.5" customHeight="1">
      <c r="A1220" s="47">
        <v>404</v>
      </c>
      <c r="B1220" s="47">
        <v>80111600</v>
      </c>
      <c r="C1220" s="47" t="str">
        <f>VLOOKUP(PAA_4[[#This Row],[PROYECTO (formulado)2]],[2]PROYECTOS!$G$1:$L$32,6,0)</f>
        <v>SUBGERENCIA DE FOMENTO Y DESARROLLO</v>
      </c>
      <c r="D1220" s="47" t="str">
        <f>+IF(PAA_4[[#This Row],[UNIDAD DE CONTRATACION (formulado)]]="Subgerencia Administrativa y Financiera","FUNCIONAMIENTO","INVERSIÓN")</f>
        <v>INVERSIÓN</v>
      </c>
      <c r="E1220" s="48" t="str">
        <f>VLOOKUP(Q1220,[2]PROYECTOS!$G$1:$K$32,5,0)</f>
        <v>FORTALECIMIENTO_DEL_PROGRAMA_POR_SU_SALUD_MUÉVASE_PUES_EN_LOS_MUNICIPIO_DEL_DEPARTAMENTO_DE_ANTIOQUIA</v>
      </c>
      <c r="F1220" s="48">
        <f>VLOOKUP(E1220,[2]PROYECTOS!$K$1:$M$32,3,0)</f>
        <v>2020003050030</v>
      </c>
      <c r="G1220" s="49" t="s">
        <v>369</v>
      </c>
      <c r="H1220" s="49" t="str">
        <f>VLOOKUP(Q1220,[2]PROYECTOS!$V$1:$W$32,2,0)</f>
        <v>050055</v>
      </c>
      <c r="I1220" s="50">
        <v>0</v>
      </c>
      <c r="J1220" s="76" t="s">
        <v>42</v>
      </c>
      <c r="K1220" s="47" t="str">
        <f t="shared" ca="1" si="452"/>
        <v>CONTRATADO</v>
      </c>
      <c r="L1220" s="47" t="s">
        <v>94</v>
      </c>
      <c r="M1220" s="47" t="s">
        <v>1297</v>
      </c>
      <c r="N1220" s="52" t="s">
        <v>360</v>
      </c>
      <c r="O1220" s="51" t="e">
        <f>VLOOKUP(N1220,[2]!RUBROS[#All],3,0)</f>
        <v>#REF!</v>
      </c>
      <c r="P1220" s="53" t="e">
        <f>VLOOKUP(N1220,[2]!RUBROS[#All],2,0)</f>
        <v>#REF!</v>
      </c>
      <c r="Q1220" s="47" t="str">
        <f t="shared" si="453"/>
        <v>45</v>
      </c>
      <c r="R1220" s="47" t="str">
        <f t="shared" si="454"/>
        <v>0-205128</v>
      </c>
      <c r="S1220" s="54">
        <v>10</v>
      </c>
      <c r="T1220" s="59" t="s">
        <v>46</v>
      </c>
      <c r="U1220" s="326" t="e">
        <f ca="1">_xlfn.XLOOKUP(PAA_4[[#This Row],[ITEM]],[2]Contrato!A:A,[2]Contrato!Q:Q,"",0)</f>
        <v>#NAME?</v>
      </c>
      <c r="V1220" s="47" t="s">
        <v>47</v>
      </c>
      <c r="W1220" s="47" t="s">
        <v>96</v>
      </c>
      <c r="X1220" s="47" t="s">
        <v>96</v>
      </c>
      <c r="Y1220" s="55" t="e">
        <f ca="1">_xlfn.XLOOKUP(PAA_4[[#This Row],[ITEM]],[2]Contrato!A:A,[2]Contrato!B:B,"",0)</f>
        <v>#NAME?</v>
      </c>
      <c r="Z1220" s="47" t="e">
        <f ca="1">_xlfn.XLOOKUP(PAA_4[[#This Row],[ITEM]],[2]Contrato!A:A,[2]Contrato!G:G,"",0)</f>
        <v>#NAME?</v>
      </c>
      <c r="AA1220" s="47" t="e">
        <f ca="1">_xlfn.XLOOKUP(PAA_4[[#This Row],[ITEM]],[2]Contrato!A:A,[2]Contrato!T:T,"",0)</f>
        <v>#NAME?</v>
      </c>
      <c r="AB1220" s="55" t="e">
        <f ca="1">+MAX(PAA_4[[#This Row],[Comprometido Contrato]],PAA_4[[#This Row],[Comprometido Bolsa]])</f>
        <v>#NAME?</v>
      </c>
      <c r="AC1220" s="55" t="str">
        <f t="shared" ca="1" si="455"/>
        <v/>
      </c>
      <c r="AD1220" s="55" t="e">
        <f ca="1">IF(PAA_4[[#This Row],[ESTADO (formulado)]]="NO CONTRATADO",0,MAX(PAA_4[[#This Row],[Pago por Contrato]],PAA_4[[#This Row],[Pago por bolsa]]))</f>
        <v>#NAME?</v>
      </c>
      <c r="AE1220" s="55" t="str">
        <f t="shared" ca="1" si="456"/>
        <v/>
      </c>
      <c r="AF1220" s="47" t="e">
        <f t="shared" ca="1" si="457"/>
        <v>#NAME?</v>
      </c>
      <c r="AG1220" s="47">
        <f t="shared" si="458"/>
        <v>44021001</v>
      </c>
      <c r="AH1220" s="54">
        <f>IF(Q1220="22",IF(ISNUMBER(SEARCH("econ",PAA_4[[#This Row],[Actividad3]])),"Económico",IF(ISNUMBER(SEARCH("alim",PAA_4[[#This Row],[Actividad3]])),"Alimentación",IF(ISNUMBER(SEARCH("educ",PAA_4[[#This Row],[Actividad3]])),"Educativo","Técnico"))),0)</f>
        <v>0</v>
      </c>
      <c r="AI1220" s="47" t="e" cm="1">
        <f t="array" aca="1" ref="AI1220" ca="1">_xlfn.XLOOKUP(PAA_4[[#This Row],[RCP-RUBRO]],[2]!COMPROMISOS_2024[[#All],[concatenado]],[2]!COMPROMISOS_2024[[#All],[Total pagado]],"",0)</f>
        <v>#NAME?</v>
      </c>
      <c r="AJ1220" s="56">
        <f>IF(PAA_4[[#This Row],[BOLSA]]=0,0,SUMIFS([2]!COMPROMISOS_2024[[#All],[Total pagado]],[2]!COMPROMISOS_2024[[#All],[Bolsa]],PAA_4[[#This Row],[BOLSA]],[2]!COMPROMISOS_2024[[#All],[rubro]],PAA_4[[#This Row],[RCP-RUBRO]]))</f>
        <v>0</v>
      </c>
      <c r="AK1220" s="47" t="e" cm="1">
        <f t="array" aca="1" ref="AK1220" ca="1">_xlfn.XLOOKUP(PAA_4[[#This Row],[RCP-RUBRO]],[2]!COMPROMISOS_2024[[#All],[concatenado]],[2]!COMPROMISOS_2024[[#All],[Total Comprometido]],"",0)</f>
        <v>#NAME?</v>
      </c>
      <c r="AL1220" s="47">
        <f>IF(PAA_4[[#This Row],[BOLSA]]=0,0,SUMIFS([2]!COMPROMISOS_2024[[#All],[Total Comprometido]],[2]!COMPROMISOS_2024[[#All],[Bolsa]],PAA_4[[#This Row],[BOLSA]],[2]!COMPROMISOS_2024[[#All],[concatenado]],PAA_4[[#This Row],[RCP-RUBRO]]))</f>
        <v>0</v>
      </c>
    </row>
    <row r="1221" spans="1:38" s="19" customFormat="1" ht="31.5" customHeight="1">
      <c r="A1221" s="47">
        <v>405</v>
      </c>
      <c r="B1221" s="47">
        <v>80111600</v>
      </c>
      <c r="C1221" s="47" t="str">
        <f>VLOOKUP(PAA_4[[#This Row],[PROYECTO (formulado)2]],[2]PROYECTOS!$G$1:$L$32,6,0)</f>
        <v>SUBGERENCIA DE FOMENTO Y DESARROLLO</v>
      </c>
      <c r="D1221" s="47" t="str">
        <f>+IF(PAA_4[[#This Row],[UNIDAD DE CONTRATACION (formulado)]]="Subgerencia Administrativa y Financiera","FUNCIONAMIENTO","INVERSIÓN")</f>
        <v>INVERSIÓN</v>
      </c>
      <c r="E1221" s="48" t="str">
        <f>VLOOKUP(Q1221,[2]PROYECTOS!$G$1:$K$32,5,0)</f>
        <v>FORTALECIMIENTO_DEL_PROGRAMA_POR_SU_SALUD_MUÉVASE_PUES_EN_LOS_MUNICIPIO_DEL_DEPARTAMENTO_DE_ANTIOQUIA</v>
      </c>
      <c r="F1221" s="48">
        <f>VLOOKUP(E1221,[2]PROYECTOS!$K$1:$M$32,3,0)</f>
        <v>2020003050030</v>
      </c>
      <c r="G1221" s="49" t="s">
        <v>369</v>
      </c>
      <c r="H1221" s="49" t="str">
        <f>VLOOKUP(Q1221,[2]PROYECTOS!$V$1:$W$32,2,0)</f>
        <v>050055</v>
      </c>
      <c r="I1221" s="50">
        <v>0</v>
      </c>
      <c r="J1221" s="76" t="s">
        <v>42</v>
      </c>
      <c r="K1221" s="47" t="str">
        <f t="shared" ca="1" si="452"/>
        <v>CONTRATADO</v>
      </c>
      <c r="L1221" s="47" t="s">
        <v>94</v>
      </c>
      <c r="M1221" s="47" t="s">
        <v>1297</v>
      </c>
      <c r="N1221" s="52" t="s">
        <v>360</v>
      </c>
      <c r="O1221" s="51" t="e">
        <f>VLOOKUP(N1221,[2]!RUBROS[#All],3,0)</f>
        <v>#REF!</v>
      </c>
      <c r="P1221" s="53" t="e">
        <f>VLOOKUP(N1221,[2]!RUBROS[#All],2,0)</f>
        <v>#REF!</v>
      </c>
      <c r="Q1221" s="47" t="str">
        <f t="shared" si="453"/>
        <v>45</v>
      </c>
      <c r="R1221" s="47" t="str">
        <f t="shared" si="454"/>
        <v>0-205128</v>
      </c>
      <c r="S1221" s="54">
        <v>10</v>
      </c>
      <c r="T1221" s="59" t="s">
        <v>46</v>
      </c>
      <c r="U1221" s="326" t="e">
        <f ca="1">_xlfn.XLOOKUP(PAA_4[[#This Row],[ITEM]],[2]Contrato!A:A,[2]Contrato!Q:Q,"",0)</f>
        <v>#NAME?</v>
      </c>
      <c r="V1221" s="47" t="s">
        <v>47</v>
      </c>
      <c r="W1221" s="47" t="s">
        <v>96</v>
      </c>
      <c r="X1221" s="47" t="s">
        <v>96</v>
      </c>
      <c r="Y1221" s="55" t="e">
        <f ca="1">_xlfn.XLOOKUP(PAA_4[[#This Row],[ITEM]],[2]Contrato!A:A,[2]Contrato!B:B,"",0)</f>
        <v>#NAME?</v>
      </c>
      <c r="Z1221" s="47" t="e">
        <f ca="1">_xlfn.XLOOKUP(PAA_4[[#This Row],[ITEM]],[2]Contrato!A:A,[2]Contrato!G:G,"",0)</f>
        <v>#NAME?</v>
      </c>
      <c r="AA1221" s="47" t="e">
        <f ca="1">_xlfn.XLOOKUP(PAA_4[[#This Row],[ITEM]],[2]Contrato!A:A,[2]Contrato!T:T,"",0)</f>
        <v>#NAME?</v>
      </c>
      <c r="AB1221" s="55" t="e">
        <f ca="1">+MAX(PAA_4[[#This Row],[Comprometido Contrato]],PAA_4[[#This Row],[Comprometido Bolsa]])</f>
        <v>#NAME?</v>
      </c>
      <c r="AC1221" s="55" t="str">
        <f t="shared" ca="1" si="455"/>
        <v/>
      </c>
      <c r="AD1221" s="55" t="e">
        <f ca="1">IF(PAA_4[[#This Row],[ESTADO (formulado)]]="NO CONTRATADO",0,MAX(PAA_4[[#This Row],[Pago por Contrato]],PAA_4[[#This Row],[Pago por bolsa]]))</f>
        <v>#NAME?</v>
      </c>
      <c r="AE1221" s="55" t="str">
        <f t="shared" ca="1" si="456"/>
        <v/>
      </c>
      <c r="AF1221" s="47" t="e">
        <f t="shared" ca="1" si="457"/>
        <v>#NAME?</v>
      </c>
      <c r="AG1221" s="47">
        <f t="shared" si="458"/>
        <v>44021001</v>
      </c>
      <c r="AH1221" s="54">
        <f>IF(Q1221="22",IF(ISNUMBER(SEARCH("econ",PAA_4[[#This Row],[Actividad3]])),"Económico",IF(ISNUMBER(SEARCH("alim",PAA_4[[#This Row],[Actividad3]])),"Alimentación",IF(ISNUMBER(SEARCH("educ",PAA_4[[#This Row],[Actividad3]])),"Educativo","Técnico"))),0)</f>
        <v>0</v>
      </c>
      <c r="AI1221" s="47" t="e" cm="1">
        <f t="array" aca="1" ref="AI1221" ca="1">_xlfn.XLOOKUP(PAA_4[[#This Row],[RCP-RUBRO]],[2]!COMPROMISOS_2024[[#All],[concatenado]],[2]!COMPROMISOS_2024[[#All],[Total pagado]],"",0)</f>
        <v>#NAME?</v>
      </c>
      <c r="AJ1221" s="56">
        <f>IF(PAA_4[[#This Row],[BOLSA]]=0,0,SUMIFS([2]!COMPROMISOS_2024[[#All],[Total pagado]],[2]!COMPROMISOS_2024[[#All],[Bolsa]],PAA_4[[#This Row],[BOLSA]],[2]!COMPROMISOS_2024[[#All],[rubro]],PAA_4[[#This Row],[RCP-RUBRO]]))</f>
        <v>0</v>
      </c>
      <c r="AK1221" s="47" t="e" cm="1">
        <f t="array" aca="1" ref="AK1221" ca="1">_xlfn.XLOOKUP(PAA_4[[#This Row],[RCP-RUBRO]],[2]!COMPROMISOS_2024[[#All],[concatenado]],[2]!COMPROMISOS_2024[[#All],[Total Comprometido]],"",0)</f>
        <v>#NAME?</v>
      </c>
      <c r="AL1221" s="47">
        <f>IF(PAA_4[[#This Row],[BOLSA]]=0,0,SUMIFS([2]!COMPROMISOS_2024[[#All],[Total Comprometido]],[2]!COMPROMISOS_2024[[#All],[Bolsa]],PAA_4[[#This Row],[BOLSA]],[2]!COMPROMISOS_2024[[#All],[concatenado]],PAA_4[[#This Row],[RCP-RUBRO]]))</f>
        <v>0</v>
      </c>
    </row>
    <row r="1222" spans="1:38" s="19" customFormat="1" ht="31.5" customHeight="1">
      <c r="A1222" s="47">
        <v>406</v>
      </c>
      <c r="B1222" s="47">
        <v>80111600</v>
      </c>
      <c r="C1222" s="47" t="str">
        <f>VLOOKUP(PAA_4[[#This Row],[PROYECTO (formulado)2]],[2]PROYECTOS!$G$1:$L$32,6,0)</f>
        <v>SUBGERENCIA DE FOMENTO Y DESARROLLO</v>
      </c>
      <c r="D1222" s="47" t="str">
        <f>+IF(PAA_4[[#This Row],[UNIDAD DE CONTRATACION (formulado)]]="Subgerencia Administrativa y Financiera","FUNCIONAMIENTO","INVERSIÓN")</f>
        <v>INVERSIÓN</v>
      </c>
      <c r="E1222" s="48" t="str">
        <f>VLOOKUP(Q1222,[2]PROYECTOS!$G$1:$K$32,5,0)</f>
        <v>FORTALECIMIENTO_DEL_PROGRAMA_POR_SU_SALUD_MUÉVASE_PUES_EN_LOS_MUNICIPIO_DEL_DEPARTAMENTO_DE_ANTIOQUIA</v>
      </c>
      <c r="F1222" s="48">
        <f>VLOOKUP(E1222,[2]PROYECTOS!$K$1:$M$32,3,0)</f>
        <v>2020003050030</v>
      </c>
      <c r="G1222" s="49" t="s">
        <v>369</v>
      </c>
      <c r="H1222" s="49" t="str">
        <f>VLOOKUP(Q1222,[2]PROYECTOS!$V$1:$W$32,2,0)</f>
        <v>050055</v>
      </c>
      <c r="I1222" s="50">
        <v>0</v>
      </c>
      <c r="J1222" s="76" t="s">
        <v>42</v>
      </c>
      <c r="K1222" s="47" t="str">
        <f t="shared" ca="1" si="452"/>
        <v>CONTRATADO</v>
      </c>
      <c r="L1222" s="47" t="s">
        <v>94</v>
      </c>
      <c r="M1222" s="47" t="s">
        <v>1297</v>
      </c>
      <c r="N1222" s="52" t="s">
        <v>360</v>
      </c>
      <c r="O1222" s="51" t="e">
        <f>VLOOKUP(N1222,[2]!RUBROS[#All],3,0)</f>
        <v>#REF!</v>
      </c>
      <c r="P1222" s="53" t="e">
        <f>VLOOKUP(N1222,[2]!RUBROS[#All],2,0)</f>
        <v>#REF!</v>
      </c>
      <c r="Q1222" s="47" t="str">
        <f t="shared" si="453"/>
        <v>45</v>
      </c>
      <c r="R1222" s="47" t="str">
        <f t="shared" si="454"/>
        <v>0-205128</v>
      </c>
      <c r="S1222" s="54">
        <v>10</v>
      </c>
      <c r="T1222" s="59" t="s">
        <v>46</v>
      </c>
      <c r="U1222" s="326" t="e">
        <f ca="1">_xlfn.XLOOKUP(PAA_4[[#This Row],[ITEM]],[2]Contrato!A:A,[2]Contrato!Q:Q,"",0)</f>
        <v>#NAME?</v>
      </c>
      <c r="V1222" s="47" t="s">
        <v>47</v>
      </c>
      <c r="W1222" s="47" t="s">
        <v>96</v>
      </c>
      <c r="X1222" s="47" t="s">
        <v>96</v>
      </c>
      <c r="Y1222" s="55" t="e">
        <f ca="1">_xlfn.XLOOKUP(PAA_4[[#This Row],[ITEM]],[2]Contrato!A:A,[2]Contrato!B:B,"",0)</f>
        <v>#NAME?</v>
      </c>
      <c r="Z1222" s="47" t="e">
        <f ca="1">_xlfn.XLOOKUP(PAA_4[[#This Row],[ITEM]],[2]Contrato!A:A,[2]Contrato!G:G,"",0)</f>
        <v>#NAME?</v>
      </c>
      <c r="AA1222" s="47" t="e">
        <f ca="1">_xlfn.XLOOKUP(PAA_4[[#This Row],[ITEM]],[2]Contrato!A:A,[2]Contrato!T:T,"",0)</f>
        <v>#NAME?</v>
      </c>
      <c r="AB1222" s="55" t="e">
        <f ca="1">+MAX(PAA_4[[#This Row],[Comprometido Contrato]],PAA_4[[#This Row],[Comprometido Bolsa]])</f>
        <v>#NAME?</v>
      </c>
      <c r="AC1222" s="55" t="str">
        <f t="shared" ca="1" si="455"/>
        <v/>
      </c>
      <c r="AD1222" s="55" t="e">
        <f ca="1">IF(PAA_4[[#This Row],[ESTADO (formulado)]]="NO CONTRATADO",0,MAX(PAA_4[[#This Row],[Pago por Contrato]],PAA_4[[#This Row],[Pago por bolsa]]))</f>
        <v>#NAME?</v>
      </c>
      <c r="AE1222" s="55" t="str">
        <f t="shared" ca="1" si="456"/>
        <v/>
      </c>
      <c r="AF1222" s="47" t="e">
        <f t="shared" ca="1" si="457"/>
        <v>#NAME?</v>
      </c>
      <c r="AG1222" s="47">
        <f t="shared" si="458"/>
        <v>44021001</v>
      </c>
      <c r="AH1222" s="54">
        <f>IF(Q1222="22",IF(ISNUMBER(SEARCH("econ",PAA_4[[#This Row],[Actividad3]])),"Económico",IF(ISNUMBER(SEARCH("alim",PAA_4[[#This Row],[Actividad3]])),"Alimentación",IF(ISNUMBER(SEARCH("educ",PAA_4[[#This Row],[Actividad3]])),"Educativo","Técnico"))),0)</f>
        <v>0</v>
      </c>
      <c r="AI1222" s="47" t="e" cm="1">
        <f t="array" aca="1" ref="AI1222" ca="1">_xlfn.XLOOKUP(PAA_4[[#This Row],[RCP-RUBRO]],[2]!COMPROMISOS_2024[[#All],[concatenado]],[2]!COMPROMISOS_2024[[#All],[Total pagado]],"",0)</f>
        <v>#NAME?</v>
      </c>
      <c r="AJ1222" s="56">
        <f>IF(PAA_4[[#This Row],[BOLSA]]=0,0,SUMIFS([2]!COMPROMISOS_2024[[#All],[Total pagado]],[2]!COMPROMISOS_2024[[#All],[Bolsa]],PAA_4[[#This Row],[BOLSA]],[2]!COMPROMISOS_2024[[#All],[rubro]],PAA_4[[#This Row],[RCP-RUBRO]]))</f>
        <v>0</v>
      </c>
      <c r="AK1222" s="47" t="e" cm="1">
        <f t="array" aca="1" ref="AK1222" ca="1">_xlfn.XLOOKUP(PAA_4[[#This Row],[RCP-RUBRO]],[2]!COMPROMISOS_2024[[#All],[concatenado]],[2]!COMPROMISOS_2024[[#All],[Total Comprometido]],"",0)</f>
        <v>#NAME?</v>
      </c>
      <c r="AL1222" s="47">
        <f>IF(PAA_4[[#This Row],[BOLSA]]=0,0,SUMIFS([2]!COMPROMISOS_2024[[#All],[Total Comprometido]],[2]!COMPROMISOS_2024[[#All],[Bolsa]],PAA_4[[#This Row],[BOLSA]],[2]!COMPROMISOS_2024[[#All],[concatenado]],PAA_4[[#This Row],[RCP-RUBRO]]))</f>
        <v>0</v>
      </c>
    </row>
    <row r="1223" spans="1:38" s="19" customFormat="1" ht="31.5" customHeight="1">
      <c r="A1223" s="47">
        <v>407</v>
      </c>
      <c r="B1223" s="47">
        <v>80111600</v>
      </c>
      <c r="C1223" s="47" t="str">
        <f>VLOOKUP(PAA_4[[#This Row],[PROYECTO (formulado)2]],[2]PROYECTOS!$G$1:$L$32,6,0)</f>
        <v>SUBGERENCIA DE FOMENTO Y DESARROLLO</v>
      </c>
      <c r="D1223" s="47" t="str">
        <f>+IF(PAA_4[[#This Row],[UNIDAD DE CONTRATACION (formulado)]]="Subgerencia Administrativa y Financiera","FUNCIONAMIENTO","INVERSIÓN")</f>
        <v>INVERSIÓN</v>
      </c>
      <c r="E1223" s="48" t="str">
        <f>VLOOKUP(Q1223,[2]PROYECTOS!$G$1:$K$32,5,0)</f>
        <v>FORTALECIMIENTO_DEL_PROGRAMA_POR_SU_SALUD_MUÉVASE_PUES_EN_LOS_MUNICIPIO_DEL_DEPARTAMENTO_DE_ANTIOQUIA</v>
      </c>
      <c r="F1223" s="48">
        <f>VLOOKUP(E1223,[2]PROYECTOS!$K$1:$M$32,3,0)</f>
        <v>2020003050030</v>
      </c>
      <c r="G1223" s="49" t="s">
        <v>369</v>
      </c>
      <c r="H1223" s="49" t="str">
        <f>VLOOKUP(Q1223,[2]PROYECTOS!$V$1:$W$32,2,0)</f>
        <v>050055</v>
      </c>
      <c r="I1223" s="50">
        <v>0</v>
      </c>
      <c r="J1223" s="76" t="s">
        <v>42</v>
      </c>
      <c r="K1223" s="47" t="str">
        <f t="shared" ca="1" si="452"/>
        <v>CONTRATADO</v>
      </c>
      <c r="L1223" s="47" t="s">
        <v>94</v>
      </c>
      <c r="M1223" s="47" t="s">
        <v>1297</v>
      </c>
      <c r="N1223" s="52" t="s">
        <v>360</v>
      </c>
      <c r="O1223" s="51" t="e">
        <f>VLOOKUP(N1223,[2]!RUBROS[#All],3,0)</f>
        <v>#REF!</v>
      </c>
      <c r="P1223" s="53" t="e">
        <f>VLOOKUP(N1223,[2]!RUBROS[#All],2,0)</f>
        <v>#REF!</v>
      </c>
      <c r="Q1223" s="47" t="str">
        <f t="shared" si="453"/>
        <v>45</v>
      </c>
      <c r="R1223" s="47" t="str">
        <f t="shared" si="454"/>
        <v>0-205128</v>
      </c>
      <c r="S1223" s="54">
        <v>10</v>
      </c>
      <c r="T1223" s="59" t="s">
        <v>46</v>
      </c>
      <c r="U1223" s="326" t="e">
        <f ca="1">_xlfn.XLOOKUP(PAA_4[[#This Row],[ITEM]],[2]Contrato!A:A,[2]Contrato!Q:Q,"",0)</f>
        <v>#NAME?</v>
      </c>
      <c r="V1223" s="47" t="s">
        <v>47</v>
      </c>
      <c r="W1223" s="47" t="s">
        <v>96</v>
      </c>
      <c r="X1223" s="47" t="s">
        <v>96</v>
      </c>
      <c r="Y1223" s="55" t="e">
        <f ca="1">_xlfn.XLOOKUP(PAA_4[[#This Row],[ITEM]],[2]Contrato!A:A,[2]Contrato!B:B,"",0)</f>
        <v>#NAME?</v>
      </c>
      <c r="Z1223" s="47" t="e">
        <f ca="1">_xlfn.XLOOKUP(PAA_4[[#This Row],[ITEM]],[2]Contrato!A:A,[2]Contrato!G:G,"",0)</f>
        <v>#NAME?</v>
      </c>
      <c r="AA1223" s="47" t="e">
        <f ca="1">_xlfn.XLOOKUP(PAA_4[[#This Row],[ITEM]],[2]Contrato!A:A,[2]Contrato!T:T,"",0)</f>
        <v>#NAME?</v>
      </c>
      <c r="AB1223" s="55" t="e">
        <f ca="1">+MAX(PAA_4[[#This Row],[Comprometido Contrato]],PAA_4[[#This Row],[Comprometido Bolsa]])</f>
        <v>#NAME?</v>
      </c>
      <c r="AC1223" s="55" t="str">
        <f t="shared" ca="1" si="455"/>
        <v/>
      </c>
      <c r="AD1223" s="55" t="e">
        <f ca="1">IF(PAA_4[[#This Row],[ESTADO (formulado)]]="NO CONTRATADO",0,MAX(PAA_4[[#This Row],[Pago por Contrato]],PAA_4[[#This Row],[Pago por bolsa]]))</f>
        <v>#NAME?</v>
      </c>
      <c r="AE1223" s="55" t="str">
        <f t="shared" ca="1" si="456"/>
        <v/>
      </c>
      <c r="AF1223" s="47" t="e">
        <f t="shared" ca="1" si="457"/>
        <v>#NAME?</v>
      </c>
      <c r="AG1223" s="47">
        <f t="shared" si="458"/>
        <v>44021001</v>
      </c>
      <c r="AH1223" s="54">
        <f>IF(Q1223="22",IF(ISNUMBER(SEARCH("econ",PAA_4[[#This Row],[Actividad3]])),"Económico",IF(ISNUMBER(SEARCH("alim",PAA_4[[#This Row],[Actividad3]])),"Alimentación",IF(ISNUMBER(SEARCH("educ",PAA_4[[#This Row],[Actividad3]])),"Educativo","Técnico"))),0)</f>
        <v>0</v>
      </c>
      <c r="AI1223" s="47" t="e" cm="1">
        <f t="array" aca="1" ref="AI1223" ca="1">_xlfn.XLOOKUP(PAA_4[[#This Row],[RCP-RUBRO]],[2]!COMPROMISOS_2024[[#All],[concatenado]],[2]!COMPROMISOS_2024[[#All],[Total pagado]],"",0)</f>
        <v>#NAME?</v>
      </c>
      <c r="AJ1223" s="56">
        <f>IF(PAA_4[[#This Row],[BOLSA]]=0,0,SUMIFS([2]!COMPROMISOS_2024[[#All],[Total pagado]],[2]!COMPROMISOS_2024[[#All],[Bolsa]],PAA_4[[#This Row],[BOLSA]],[2]!COMPROMISOS_2024[[#All],[rubro]],PAA_4[[#This Row],[RCP-RUBRO]]))</f>
        <v>0</v>
      </c>
      <c r="AK1223" s="47" t="e" cm="1">
        <f t="array" aca="1" ref="AK1223" ca="1">_xlfn.XLOOKUP(PAA_4[[#This Row],[RCP-RUBRO]],[2]!COMPROMISOS_2024[[#All],[concatenado]],[2]!COMPROMISOS_2024[[#All],[Total Comprometido]],"",0)</f>
        <v>#NAME?</v>
      </c>
      <c r="AL1223" s="47">
        <f>IF(PAA_4[[#This Row],[BOLSA]]=0,0,SUMIFS([2]!COMPROMISOS_2024[[#All],[Total Comprometido]],[2]!COMPROMISOS_2024[[#All],[Bolsa]],PAA_4[[#This Row],[BOLSA]],[2]!COMPROMISOS_2024[[#All],[concatenado]],PAA_4[[#This Row],[RCP-RUBRO]]))</f>
        <v>0</v>
      </c>
    </row>
    <row r="1224" spans="1:38" s="19" customFormat="1" ht="31.5" customHeight="1">
      <c r="A1224" s="47">
        <v>408</v>
      </c>
      <c r="B1224" s="47">
        <v>80111600</v>
      </c>
      <c r="C1224" s="47" t="str">
        <f>VLOOKUP(PAA_4[[#This Row],[PROYECTO (formulado)2]],[2]PROYECTOS!$G$1:$L$32,6,0)</f>
        <v>SUBGERENCIA DE FOMENTO Y DESARROLLO</v>
      </c>
      <c r="D1224" s="47" t="str">
        <f>+IF(PAA_4[[#This Row],[UNIDAD DE CONTRATACION (formulado)]]="Subgerencia Administrativa y Financiera","FUNCIONAMIENTO","INVERSIÓN")</f>
        <v>INVERSIÓN</v>
      </c>
      <c r="E1224" s="48" t="str">
        <f>VLOOKUP(Q1224,[2]PROYECTOS!$G$1:$K$32,5,0)</f>
        <v>FORTALECIMIENTO_DEL_PROGRAMA_POR_SU_SALUD_MUÉVASE_PUES_EN_LOS_MUNICIPIO_DEL_DEPARTAMENTO_DE_ANTIOQUIA</v>
      </c>
      <c r="F1224" s="48">
        <f>VLOOKUP(E1224,[2]PROYECTOS!$K$1:$M$32,3,0)</f>
        <v>2020003050030</v>
      </c>
      <c r="G1224" s="49" t="s">
        <v>369</v>
      </c>
      <c r="H1224" s="49" t="str">
        <f>VLOOKUP(Q1224,[2]PROYECTOS!$V$1:$W$32,2,0)</f>
        <v>050055</v>
      </c>
      <c r="I1224" s="50">
        <v>0</v>
      </c>
      <c r="J1224" s="76" t="s">
        <v>42</v>
      </c>
      <c r="K1224" s="47" t="str">
        <f t="shared" ca="1" si="452"/>
        <v>CONTRATADO</v>
      </c>
      <c r="L1224" s="47" t="s">
        <v>94</v>
      </c>
      <c r="M1224" s="47" t="s">
        <v>1297</v>
      </c>
      <c r="N1224" s="52" t="s">
        <v>360</v>
      </c>
      <c r="O1224" s="51" t="e">
        <f>VLOOKUP(N1224,[2]!RUBROS[#All],3,0)</f>
        <v>#REF!</v>
      </c>
      <c r="P1224" s="53" t="e">
        <f>VLOOKUP(N1224,[2]!RUBROS[#All],2,0)</f>
        <v>#REF!</v>
      </c>
      <c r="Q1224" s="47" t="str">
        <f t="shared" si="453"/>
        <v>45</v>
      </c>
      <c r="R1224" s="47" t="str">
        <f t="shared" si="454"/>
        <v>0-205128</v>
      </c>
      <c r="S1224" s="54">
        <v>10</v>
      </c>
      <c r="T1224" s="59" t="s">
        <v>46</v>
      </c>
      <c r="U1224" s="326" t="e">
        <f ca="1">_xlfn.XLOOKUP(PAA_4[[#This Row],[ITEM]],[2]Contrato!A:A,[2]Contrato!Q:Q,"",0)</f>
        <v>#NAME?</v>
      </c>
      <c r="V1224" s="47" t="s">
        <v>47</v>
      </c>
      <c r="W1224" s="47" t="s">
        <v>96</v>
      </c>
      <c r="X1224" s="47" t="s">
        <v>96</v>
      </c>
      <c r="Y1224" s="55" t="e">
        <f ca="1">_xlfn.XLOOKUP(PAA_4[[#This Row],[ITEM]],[2]Contrato!A:A,[2]Contrato!B:B,"",0)</f>
        <v>#NAME?</v>
      </c>
      <c r="Z1224" s="47" t="e">
        <f ca="1">_xlfn.XLOOKUP(PAA_4[[#This Row],[ITEM]],[2]Contrato!A:A,[2]Contrato!G:G,"",0)</f>
        <v>#NAME?</v>
      </c>
      <c r="AA1224" s="47" t="e">
        <f ca="1">_xlfn.XLOOKUP(PAA_4[[#This Row],[ITEM]],[2]Contrato!A:A,[2]Contrato!T:T,"",0)</f>
        <v>#NAME?</v>
      </c>
      <c r="AB1224" s="55" t="e">
        <f ca="1">+MAX(PAA_4[[#This Row],[Comprometido Contrato]],PAA_4[[#This Row],[Comprometido Bolsa]])</f>
        <v>#NAME?</v>
      </c>
      <c r="AC1224" s="55" t="str">
        <f t="shared" ca="1" si="455"/>
        <v/>
      </c>
      <c r="AD1224" s="55" t="e">
        <f ca="1">IF(PAA_4[[#This Row],[ESTADO (formulado)]]="NO CONTRATADO",0,MAX(PAA_4[[#This Row],[Pago por Contrato]],PAA_4[[#This Row],[Pago por bolsa]]))</f>
        <v>#NAME?</v>
      </c>
      <c r="AE1224" s="55" t="str">
        <f t="shared" ca="1" si="456"/>
        <v/>
      </c>
      <c r="AF1224" s="47" t="e">
        <f t="shared" ca="1" si="457"/>
        <v>#NAME?</v>
      </c>
      <c r="AG1224" s="47">
        <f t="shared" si="458"/>
        <v>44021001</v>
      </c>
      <c r="AH1224" s="54">
        <f>IF(Q1224="22",IF(ISNUMBER(SEARCH("econ",PAA_4[[#This Row],[Actividad3]])),"Económico",IF(ISNUMBER(SEARCH("alim",PAA_4[[#This Row],[Actividad3]])),"Alimentación",IF(ISNUMBER(SEARCH("educ",PAA_4[[#This Row],[Actividad3]])),"Educativo","Técnico"))),0)</f>
        <v>0</v>
      </c>
      <c r="AI1224" s="47" t="e" cm="1">
        <f t="array" aca="1" ref="AI1224" ca="1">_xlfn.XLOOKUP(PAA_4[[#This Row],[RCP-RUBRO]],[2]!COMPROMISOS_2024[[#All],[concatenado]],[2]!COMPROMISOS_2024[[#All],[Total pagado]],"",0)</f>
        <v>#NAME?</v>
      </c>
      <c r="AJ1224" s="56">
        <f>IF(PAA_4[[#This Row],[BOLSA]]=0,0,SUMIFS([2]!COMPROMISOS_2024[[#All],[Total pagado]],[2]!COMPROMISOS_2024[[#All],[Bolsa]],PAA_4[[#This Row],[BOLSA]],[2]!COMPROMISOS_2024[[#All],[rubro]],PAA_4[[#This Row],[RCP-RUBRO]]))</f>
        <v>0</v>
      </c>
      <c r="AK1224" s="47" t="e" cm="1">
        <f t="array" aca="1" ref="AK1224" ca="1">_xlfn.XLOOKUP(PAA_4[[#This Row],[RCP-RUBRO]],[2]!COMPROMISOS_2024[[#All],[concatenado]],[2]!COMPROMISOS_2024[[#All],[Total Comprometido]],"",0)</f>
        <v>#NAME?</v>
      </c>
      <c r="AL1224" s="47">
        <f>IF(PAA_4[[#This Row],[BOLSA]]=0,0,SUMIFS([2]!COMPROMISOS_2024[[#All],[Total Comprometido]],[2]!COMPROMISOS_2024[[#All],[Bolsa]],PAA_4[[#This Row],[BOLSA]],[2]!COMPROMISOS_2024[[#All],[concatenado]],PAA_4[[#This Row],[RCP-RUBRO]]))</f>
        <v>0</v>
      </c>
    </row>
    <row r="1225" spans="1:38" s="19" customFormat="1" ht="31.5" customHeight="1">
      <c r="A1225" s="47">
        <v>409</v>
      </c>
      <c r="B1225" s="47">
        <v>80111600</v>
      </c>
      <c r="C1225" s="47" t="str">
        <f>VLOOKUP(PAA_4[[#This Row],[PROYECTO (formulado)2]],[2]PROYECTOS!$G$1:$L$32,6,0)</f>
        <v>SUBGERENCIA DE FOMENTO Y DESARROLLO</v>
      </c>
      <c r="D1225" s="47" t="str">
        <f>+IF(PAA_4[[#This Row],[UNIDAD DE CONTRATACION (formulado)]]="Subgerencia Administrativa y Financiera","FUNCIONAMIENTO","INVERSIÓN")</f>
        <v>INVERSIÓN</v>
      </c>
      <c r="E1225" s="48" t="str">
        <f>VLOOKUP(Q1225,[2]PROYECTOS!$G$1:$K$32,5,0)</f>
        <v>FORTALECIMIENTO_DEL_PROGRAMA_POR_SU_SALUD_MUÉVASE_PUES_EN_LOS_MUNICIPIO_DEL_DEPARTAMENTO_DE_ANTIOQUIA</v>
      </c>
      <c r="F1225" s="48">
        <f>VLOOKUP(E1225,[2]PROYECTOS!$K$1:$M$32,3,0)</f>
        <v>2020003050030</v>
      </c>
      <c r="G1225" s="49" t="s">
        <v>369</v>
      </c>
      <c r="H1225" s="49" t="str">
        <f>VLOOKUP(Q1225,[2]PROYECTOS!$V$1:$W$32,2,0)</f>
        <v>050055</v>
      </c>
      <c r="I1225" s="50">
        <v>0</v>
      </c>
      <c r="J1225" s="76" t="s">
        <v>42</v>
      </c>
      <c r="K1225" s="47" t="str">
        <f t="shared" ca="1" si="452"/>
        <v>CONTRATADO</v>
      </c>
      <c r="L1225" s="47" t="s">
        <v>94</v>
      </c>
      <c r="M1225" s="47" t="s">
        <v>1297</v>
      </c>
      <c r="N1225" s="52" t="s">
        <v>360</v>
      </c>
      <c r="O1225" s="51" t="e">
        <f>VLOOKUP(N1225,[2]!RUBROS[#All],3,0)</f>
        <v>#REF!</v>
      </c>
      <c r="P1225" s="53" t="e">
        <f>VLOOKUP(N1225,[2]!RUBROS[#All],2,0)</f>
        <v>#REF!</v>
      </c>
      <c r="Q1225" s="47" t="str">
        <f t="shared" si="453"/>
        <v>45</v>
      </c>
      <c r="R1225" s="47" t="str">
        <f t="shared" si="454"/>
        <v>0-205128</v>
      </c>
      <c r="S1225" s="54">
        <v>10</v>
      </c>
      <c r="T1225" s="59" t="s">
        <v>46</v>
      </c>
      <c r="U1225" s="326" t="e">
        <f ca="1">_xlfn.XLOOKUP(PAA_4[[#This Row],[ITEM]],[2]Contrato!A:A,[2]Contrato!Q:Q,"",0)</f>
        <v>#NAME?</v>
      </c>
      <c r="V1225" s="47" t="s">
        <v>47</v>
      </c>
      <c r="W1225" s="47" t="s">
        <v>96</v>
      </c>
      <c r="X1225" s="47" t="s">
        <v>96</v>
      </c>
      <c r="Y1225" s="55" t="e">
        <f ca="1">_xlfn.XLOOKUP(PAA_4[[#This Row],[ITEM]],[2]Contrato!A:A,[2]Contrato!B:B,"",0)</f>
        <v>#NAME?</v>
      </c>
      <c r="Z1225" s="47" t="e">
        <f ca="1">_xlfn.XLOOKUP(PAA_4[[#This Row],[ITEM]],[2]Contrato!A:A,[2]Contrato!G:G,"",0)</f>
        <v>#NAME?</v>
      </c>
      <c r="AA1225" s="47" t="e">
        <f ca="1">_xlfn.XLOOKUP(PAA_4[[#This Row],[ITEM]],[2]Contrato!A:A,[2]Contrato!T:T,"",0)</f>
        <v>#NAME?</v>
      </c>
      <c r="AB1225" s="55" t="e">
        <f ca="1">+MAX(PAA_4[[#This Row],[Comprometido Contrato]],PAA_4[[#This Row],[Comprometido Bolsa]])</f>
        <v>#NAME?</v>
      </c>
      <c r="AC1225" s="55" t="str">
        <f t="shared" ca="1" si="455"/>
        <v/>
      </c>
      <c r="AD1225" s="55" t="e">
        <f ca="1">IF(PAA_4[[#This Row],[ESTADO (formulado)]]="NO CONTRATADO",0,MAX(PAA_4[[#This Row],[Pago por Contrato]],PAA_4[[#This Row],[Pago por bolsa]]))</f>
        <v>#NAME?</v>
      </c>
      <c r="AE1225" s="55" t="str">
        <f t="shared" ca="1" si="456"/>
        <v/>
      </c>
      <c r="AF1225" s="47" t="e">
        <f t="shared" ca="1" si="457"/>
        <v>#NAME?</v>
      </c>
      <c r="AG1225" s="47">
        <f t="shared" si="458"/>
        <v>44021001</v>
      </c>
      <c r="AH1225" s="54">
        <f>IF(Q1225="22",IF(ISNUMBER(SEARCH("econ",PAA_4[[#This Row],[Actividad3]])),"Económico",IF(ISNUMBER(SEARCH("alim",PAA_4[[#This Row],[Actividad3]])),"Alimentación",IF(ISNUMBER(SEARCH("educ",PAA_4[[#This Row],[Actividad3]])),"Educativo","Técnico"))),0)</f>
        <v>0</v>
      </c>
      <c r="AI1225" s="47" t="e" cm="1">
        <f t="array" aca="1" ref="AI1225" ca="1">_xlfn.XLOOKUP(PAA_4[[#This Row],[RCP-RUBRO]],[2]!COMPROMISOS_2024[[#All],[concatenado]],[2]!COMPROMISOS_2024[[#All],[Total pagado]],"",0)</f>
        <v>#NAME?</v>
      </c>
      <c r="AJ1225" s="56">
        <f>IF(PAA_4[[#This Row],[BOLSA]]=0,0,SUMIFS([2]!COMPROMISOS_2024[[#All],[Total pagado]],[2]!COMPROMISOS_2024[[#All],[Bolsa]],PAA_4[[#This Row],[BOLSA]],[2]!COMPROMISOS_2024[[#All],[rubro]],PAA_4[[#This Row],[RCP-RUBRO]]))</f>
        <v>0</v>
      </c>
      <c r="AK1225" s="47" t="e" cm="1">
        <f t="array" aca="1" ref="AK1225" ca="1">_xlfn.XLOOKUP(PAA_4[[#This Row],[RCP-RUBRO]],[2]!COMPROMISOS_2024[[#All],[concatenado]],[2]!COMPROMISOS_2024[[#All],[Total Comprometido]],"",0)</f>
        <v>#NAME?</v>
      </c>
      <c r="AL1225" s="47">
        <f>IF(PAA_4[[#This Row],[BOLSA]]=0,0,SUMIFS([2]!COMPROMISOS_2024[[#All],[Total Comprometido]],[2]!COMPROMISOS_2024[[#All],[Bolsa]],PAA_4[[#This Row],[BOLSA]],[2]!COMPROMISOS_2024[[#All],[concatenado]],PAA_4[[#This Row],[RCP-RUBRO]]))</f>
        <v>0</v>
      </c>
    </row>
    <row r="1226" spans="1:38" s="19" customFormat="1" ht="31.5" customHeight="1">
      <c r="A1226" s="47">
        <v>420</v>
      </c>
      <c r="B1226" s="47">
        <v>80111600</v>
      </c>
      <c r="C1226" s="47" t="str">
        <f>VLOOKUP(PAA_4[[#This Row],[PROYECTO (formulado)2]],[2]PROYECTOS!$G$1:$L$32,6,0)</f>
        <v>SUBGERENCIA DE FOMENTO Y DESARROLLO</v>
      </c>
      <c r="D1226" s="47" t="str">
        <f>+IF(PAA_4[[#This Row],[UNIDAD DE CONTRATACION (formulado)]]="Subgerencia Administrativa y Financiera","FUNCIONAMIENTO","INVERSIÓN")</f>
        <v>INVERSIÓN</v>
      </c>
      <c r="E1226" s="48" t="str">
        <f>VLOOKUP(Q1226,[2]PROYECTOS!$G$1:$K$32,5,0)</f>
        <v>FORTALECIMIENTO_DEL_PROGRAMA_POR_SU_SALUD_MUÉVASE_PUES_EN_LOS_MUNICIPIO_DEL_DEPARTAMENTO_DE_ANTIOQUIA</v>
      </c>
      <c r="F1226" s="48">
        <f>VLOOKUP(E1226,[2]PROYECTOS!$K$1:$M$32,3,0)</f>
        <v>2020003050030</v>
      </c>
      <c r="G1226" s="49" t="s">
        <v>369</v>
      </c>
      <c r="H1226" s="49" t="str">
        <f>VLOOKUP(Q1226,[2]PROYECTOS!$V$1:$W$32,2,0)</f>
        <v>050055</v>
      </c>
      <c r="I1226" s="50">
        <v>0</v>
      </c>
      <c r="J1226" s="76" t="s">
        <v>42</v>
      </c>
      <c r="K1226" s="47" t="str">
        <f t="shared" ca="1" si="452"/>
        <v>CONTRATADO</v>
      </c>
      <c r="L1226" s="47" t="s">
        <v>94</v>
      </c>
      <c r="M1226" s="47" t="s">
        <v>1297</v>
      </c>
      <c r="N1226" s="52" t="s">
        <v>360</v>
      </c>
      <c r="O1226" s="51" t="e">
        <f>VLOOKUP(N1226,[2]!RUBROS[#All],3,0)</f>
        <v>#REF!</v>
      </c>
      <c r="P1226" s="53" t="e">
        <f>VLOOKUP(N1226,[2]!RUBROS[#All],2,0)</f>
        <v>#REF!</v>
      </c>
      <c r="Q1226" s="47" t="str">
        <f t="shared" si="453"/>
        <v>45</v>
      </c>
      <c r="R1226" s="47" t="str">
        <f t="shared" si="454"/>
        <v>0-205128</v>
      </c>
      <c r="S1226" s="54">
        <v>10</v>
      </c>
      <c r="T1226" s="59" t="s">
        <v>46</v>
      </c>
      <c r="U1226" s="326" t="e">
        <f ca="1">_xlfn.XLOOKUP(PAA_4[[#This Row],[ITEM]],[2]Contrato!A:A,[2]Contrato!Q:Q,"",0)</f>
        <v>#NAME?</v>
      </c>
      <c r="V1226" s="47" t="s">
        <v>47</v>
      </c>
      <c r="W1226" s="47" t="s">
        <v>96</v>
      </c>
      <c r="X1226" s="47" t="s">
        <v>96</v>
      </c>
      <c r="Y1226" s="55" t="e">
        <f ca="1">_xlfn.XLOOKUP(PAA_4[[#This Row],[ITEM]],[2]Contrato!A:A,[2]Contrato!B:B,"",0)</f>
        <v>#NAME?</v>
      </c>
      <c r="Z1226" s="47" t="e">
        <f ca="1">_xlfn.XLOOKUP(PAA_4[[#This Row],[ITEM]],[2]Contrato!A:A,[2]Contrato!G:G,"",0)</f>
        <v>#NAME?</v>
      </c>
      <c r="AA1226" s="47" t="e">
        <f ca="1">_xlfn.XLOOKUP(PAA_4[[#This Row],[ITEM]],[2]Contrato!A:A,[2]Contrato!T:T,"",0)</f>
        <v>#NAME?</v>
      </c>
      <c r="AB1226" s="55" t="e">
        <f ca="1">+MAX(PAA_4[[#This Row],[Comprometido Contrato]],PAA_4[[#This Row],[Comprometido Bolsa]])</f>
        <v>#NAME?</v>
      </c>
      <c r="AC1226" s="55" t="str">
        <f t="shared" ca="1" si="455"/>
        <v/>
      </c>
      <c r="AD1226" s="55" t="e">
        <f ca="1">IF(PAA_4[[#This Row],[ESTADO (formulado)]]="NO CONTRATADO",0,MAX(PAA_4[[#This Row],[Pago por Contrato]],PAA_4[[#This Row],[Pago por bolsa]]))</f>
        <v>#NAME?</v>
      </c>
      <c r="AE1226" s="55" t="str">
        <f t="shared" ca="1" si="456"/>
        <v/>
      </c>
      <c r="AF1226" s="47" t="e">
        <f t="shared" ca="1" si="457"/>
        <v>#NAME?</v>
      </c>
      <c r="AG1226" s="47">
        <f t="shared" si="458"/>
        <v>44021001</v>
      </c>
      <c r="AH1226" s="54">
        <f>IF(Q1226="22",IF(ISNUMBER(SEARCH("econ",PAA_4[[#This Row],[Actividad3]])),"Económico",IF(ISNUMBER(SEARCH("alim",PAA_4[[#This Row],[Actividad3]])),"Alimentación",IF(ISNUMBER(SEARCH("educ",PAA_4[[#This Row],[Actividad3]])),"Educativo","Técnico"))),0)</f>
        <v>0</v>
      </c>
      <c r="AI1226" s="47" t="e" cm="1">
        <f t="array" aca="1" ref="AI1226" ca="1">_xlfn.XLOOKUP(PAA_4[[#This Row],[RCP-RUBRO]],[2]!COMPROMISOS_2024[[#All],[concatenado]],[2]!COMPROMISOS_2024[[#All],[Total pagado]],"",0)</f>
        <v>#NAME?</v>
      </c>
      <c r="AJ1226" s="56">
        <f>IF(PAA_4[[#This Row],[BOLSA]]=0,0,SUMIFS([2]!COMPROMISOS_2024[[#All],[Total pagado]],[2]!COMPROMISOS_2024[[#All],[Bolsa]],PAA_4[[#This Row],[BOLSA]],[2]!COMPROMISOS_2024[[#All],[rubro]],PAA_4[[#This Row],[RCP-RUBRO]]))</f>
        <v>0</v>
      </c>
      <c r="AK1226" s="47" t="e" cm="1">
        <f t="array" aca="1" ref="AK1226" ca="1">_xlfn.XLOOKUP(PAA_4[[#This Row],[RCP-RUBRO]],[2]!COMPROMISOS_2024[[#All],[concatenado]],[2]!COMPROMISOS_2024[[#All],[Total Comprometido]],"",0)</f>
        <v>#NAME?</v>
      </c>
      <c r="AL1226" s="47">
        <f>IF(PAA_4[[#This Row],[BOLSA]]=0,0,SUMIFS([2]!COMPROMISOS_2024[[#All],[Total Comprometido]],[2]!COMPROMISOS_2024[[#All],[Bolsa]],PAA_4[[#This Row],[BOLSA]],[2]!COMPROMISOS_2024[[#All],[concatenado]],PAA_4[[#This Row],[RCP-RUBRO]]))</f>
        <v>0</v>
      </c>
    </row>
    <row r="1227" spans="1:38" s="19" customFormat="1" ht="31.5" customHeight="1">
      <c r="A1227" s="47">
        <v>421</v>
      </c>
      <c r="B1227" s="47">
        <v>80111600</v>
      </c>
      <c r="C1227" s="47" t="str">
        <f>VLOOKUP(PAA_4[[#This Row],[PROYECTO (formulado)2]],[2]PROYECTOS!$G$1:$L$32,6,0)</f>
        <v>SUBGERENCIA DE FOMENTO Y DESARROLLO</v>
      </c>
      <c r="D1227" s="47" t="str">
        <f>+IF(PAA_4[[#This Row],[UNIDAD DE CONTRATACION (formulado)]]="Subgerencia Administrativa y Financiera","FUNCIONAMIENTO","INVERSIÓN")</f>
        <v>INVERSIÓN</v>
      </c>
      <c r="E1227" s="48" t="str">
        <f>VLOOKUP(Q1227,[2]PROYECTOS!$G$1:$K$32,5,0)</f>
        <v>FORTALECIMIENTO_DEL_PROGRAMA_POR_SU_SALUD_MUÉVASE_PUES_EN_LOS_MUNICIPIO_DEL_DEPARTAMENTO_DE_ANTIOQUIA</v>
      </c>
      <c r="F1227" s="48">
        <f>VLOOKUP(E1227,[2]PROYECTOS!$K$1:$M$32,3,0)</f>
        <v>2020003050030</v>
      </c>
      <c r="G1227" s="49" t="s">
        <v>369</v>
      </c>
      <c r="H1227" s="49" t="str">
        <f>VLOOKUP(Q1227,[2]PROYECTOS!$V$1:$W$32,2,0)</f>
        <v>050055</v>
      </c>
      <c r="I1227" s="50">
        <v>0</v>
      </c>
      <c r="J1227" s="76" t="s">
        <v>42</v>
      </c>
      <c r="K1227" s="47" t="str">
        <f t="shared" ca="1" si="452"/>
        <v>CONTRATADO</v>
      </c>
      <c r="L1227" s="47" t="s">
        <v>94</v>
      </c>
      <c r="M1227" s="47" t="s">
        <v>1297</v>
      </c>
      <c r="N1227" s="52" t="s">
        <v>360</v>
      </c>
      <c r="O1227" s="51" t="e">
        <f>VLOOKUP(N1227,[2]!RUBROS[#All],3,0)</f>
        <v>#REF!</v>
      </c>
      <c r="P1227" s="53" t="e">
        <f>VLOOKUP(N1227,[2]!RUBROS[#All],2,0)</f>
        <v>#REF!</v>
      </c>
      <c r="Q1227" s="47" t="str">
        <f t="shared" si="453"/>
        <v>45</v>
      </c>
      <c r="R1227" s="47" t="str">
        <f t="shared" si="454"/>
        <v>0-205128</v>
      </c>
      <c r="S1227" s="54">
        <v>10</v>
      </c>
      <c r="T1227" s="59" t="s">
        <v>46</v>
      </c>
      <c r="U1227" s="326" t="e">
        <f ca="1">_xlfn.XLOOKUP(PAA_4[[#This Row],[ITEM]],[2]Contrato!A:A,[2]Contrato!Q:Q,"",0)</f>
        <v>#NAME?</v>
      </c>
      <c r="V1227" s="47" t="s">
        <v>47</v>
      </c>
      <c r="W1227" s="47" t="s">
        <v>96</v>
      </c>
      <c r="X1227" s="47" t="s">
        <v>96</v>
      </c>
      <c r="Y1227" s="55" t="e">
        <f ca="1">_xlfn.XLOOKUP(PAA_4[[#This Row],[ITEM]],[2]Contrato!A:A,[2]Contrato!B:B,"",0)</f>
        <v>#NAME?</v>
      </c>
      <c r="Z1227" s="47" t="e">
        <f ca="1">_xlfn.XLOOKUP(PAA_4[[#This Row],[ITEM]],[2]Contrato!A:A,[2]Contrato!G:G,"",0)</f>
        <v>#NAME?</v>
      </c>
      <c r="AA1227" s="47" t="e">
        <f ca="1">_xlfn.XLOOKUP(PAA_4[[#This Row],[ITEM]],[2]Contrato!A:A,[2]Contrato!T:T,"",0)</f>
        <v>#NAME?</v>
      </c>
      <c r="AB1227" s="55" t="e">
        <f ca="1">+MAX(PAA_4[[#This Row],[Comprometido Contrato]],PAA_4[[#This Row],[Comprometido Bolsa]])</f>
        <v>#NAME?</v>
      </c>
      <c r="AC1227" s="55" t="str">
        <f t="shared" ca="1" si="455"/>
        <v/>
      </c>
      <c r="AD1227" s="55" t="e">
        <f ca="1">IF(PAA_4[[#This Row],[ESTADO (formulado)]]="NO CONTRATADO",0,MAX(PAA_4[[#This Row],[Pago por Contrato]],PAA_4[[#This Row],[Pago por bolsa]]))</f>
        <v>#NAME?</v>
      </c>
      <c r="AE1227" s="55" t="str">
        <f t="shared" ca="1" si="456"/>
        <v/>
      </c>
      <c r="AF1227" s="47" t="e">
        <f t="shared" ca="1" si="457"/>
        <v>#NAME?</v>
      </c>
      <c r="AG1227" s="47">
        <f t="shared" si="458"/>
        <v>44021001</v>
      </c>
      <c r="AH1227" s="54">
        <f>IF(Q1227="22",IF(ISNUMBER(SEARCH("econ",PAA_4[[#This Row],[Actividad3]])),"Económico",IF(ISNUMBER(SEARCH("alim",PAA_4[[#This Row],[Actividad3]])),"Alimentación",IF(ISNUMBER(SEARCH("educ",PAA_4[[#This Row],[Actividad3]])),"Educativo","Técnico"))),0)</f>
        <v>0</v>
      </c>
      <c r="AI1227" s="47" t="e" cm="1">
        <f t="array" aca="1" ref="AI1227" ca="1">_xlfn.XLOOKUP(PAA_4[[#This Row],[RCP-RUBRO]],[2]!COMPROMISOS_2024[[#All],[concatenado]],[2]!COMPROMISOS_2024[[#All],[Total pagado]],"",0)</f>
        <v>#NAME?</v>
      </c>
      <c r="AJ1227" s="56">
        <f>IF(PAA_4[[#This Row],[BOLSA]]=0,0,SUMIFS([2]!COMPROMISOS_2024[[#All],[Total pagado]],[2]!COMPROMISOS_2024[[#All],[Bolsa]],PAA_4[[#This Row],[BOLSA]],[2]!COMPROMISOS_2024[[#All],[rubro]],PAA_4[[#This Row],[RCP-RUBRO]]))</f>
        <v>0</v>
      </c>
      <c r="AK1227" s="47" t="e" cm="1">
        <f t="array" aca="1" ref="AK1227" ca="1">_xlfn.XLOOKUP(PAA_4[[#This Row],[RCP-RUBRO]],[2]!COMPROMISOS_2024[[#All],[concatenado]],[2]!COMPROMISOS_2024[[#All],[Total Comprometido]],"",0)</f>
        <v>#NAME?</v>
      </c>
      <c r="AL1227" s="47">
        <f>IF(PAA_4[[#This Row],[BOLSA]]=0,0,SUMIFS([2]!COMPROMISOS_2024[[#All],[Total Comprometido]],[2]!COMPROMISOS_2024[[#All],[Bolsa]],PAA_4[[#This Row],[BOLSA]],[2]!COMPROMISOS_2024[[#All],[concatenado]],PAA_4[[#This Row],[RCP-RUBRO]]))</f>
        <v>0</v>
      </c>
    </row>
    <row r="1228" spans="1:38" s="19" customFormat="1" ht="31.5" customHeight="1">
      <c r="A1228" s="47">
        <v>422</v>
      </c>
      <c r="B1228" s="47">
        <v>80111600</v>
      </c>
      <c r="C1228" s="47" t="str">
        <f>VLOOKUP(PAA_4[[#This Row],[PROYECTO (formulado)2]],[2]PROYECTOS!$G$1:$L$32,6,0)</f>
        <v>SUBGERENCIA DE FOMENTO Y DESARROLLO</v>
      </c>
      <c r="D1228" s="47" t="str">
        <f>+IF(PAA_4[[#This Row],[UNIDAD DE CONTRATACION (formulado)]]="Subgerencia Administrativa y Financiera","FUNCIONAMIENTO","INVERSIÓN")</f>
        <v>INVERSIÓN</v>
      </c>
      <c r="E1228" s="48" t="str">
        <f>VLOOKUP(Q1228,[2]PROYECTOS!$G$1:$K$32,5,0)</f>
        <v>FORTALECIMIENTO_DEL_PROGRAMA_POR_SU_SALUD_MUÉVASE_PUES_EN_LOS_MUNICIPIO_DEL_DEPARTAMENTO_DE_ANTIOQUIA</v>
      </c>
      <c r="F1228" s="48">
        <f>VLOOKUP(E1228,[2]PROYECTOS!$K$1:$M$32,3,0)</f>
        <v>2020003050030</v>
      </c>
      <c r="G1228" s="49" t="s">
        <v>369</v>
      </c>
      <c r="H1228" s="49" t="str">
        <f>VLOOKUP(Q1228,[2]PROYECTOS!$V$1:$W$32,2,0)</f>
        <v>050055</v>
      </c>
      <c r="I1228" s="50">
        <v>0</v>
      </c>
      <c r="J1228" s="76" t="s">
        <v>42</v>
      </c>
      <c r="K1228" s="47" t="str">
        <f t="shared" ca="1" si="452"/>
        <v>CONTRATADO</v>
      </c>
      <c r="L1228" s="47" t="s">
        <v>94</v>
      </c>
      <c r="M1228" s="47" t="s">
        <v>1297</v>
      </c>
      <c r="N1228" s="52" t="s">
        <v>360</v>
      </c>
      <c r="O1228" s="51" t="e">
        <f>VLOOKUP(N1228,[2]!RUBROS[#All],3,0)</f>
        <v>#REF!</v>
      </c>
      <c r="P1228" s="53" t="e">
        <f>VLOOKUP(N1228,[2]!RUBROS[#All],2,0)</f>
        <v>#REF!</v>
      </c>
      <c r="Q1228" s="47" t="str">
        <f t="shared" si="453"/>
        <v>45</v>
      </c>
      <c r="R1228" s="47" t="str">
        <f t="shared" si="454"/>
        <v>0-205128</v>
      </c>
      <c r="S1228" s="54">
        <v>10</v>
      </c>
      <c r="T1228" s="59" t="s">
        <v>46</v>
      </c>
      <c r="U1228" s="326" t="e">
        <f ca="1">_xlfn.XLOOKUP(PAA_4[[#This Row],[ITEM]],[2]Contrato!A:A,[2]Contrato!Q:Q,"",0)</f>
        <v>#NAME?</v>
      </c>
      <c r="V1228" s="47" t="s">
        <v>47</v>
      </c>
      <c r="W1228" s="47" t="s">
        <v>96</v>
      </c>
      <c r="X1228" s="47" t="s">
        <v>96</v>
      </c>
      <c r="Y1228" s="55" t="e">
        <f ca="1">_xlfn.XLOOKUP(PAA_4[[#This Row],[ITEM]],[2]Contrato!A:A,[2]Contrato!B:B,"",0)</f>
        <v>#NAME?</v>
      </c>
      <c r="Z1228" s="47" t="e">
        <f ca="1">_xlfn.XLOOKUP(PAA_4[[#This Row],[ITEM]],[2]Contrato!A:A,[2]Contrato!G:G,"",0)</f>
        <v>#NAME?</v>
      </c>
      <c r="AA1228" s="47" t="e">
        <f ca="1">_xlfn.XLOOKUP(PAA_4[[#This Row],[ITEM]],[2]Contrato!A:A,[2]Contrato!T:T,"",0)</f>
        <v>#NAME?</v>
      </c>
      <c r="AB1228" s="55" t="e">
        <f ca="1">+MAX(PAA_4[[#This Row],[Comprometido Contrato]],PAA_4[[#This Row],[Comprometido Bolsa]])</f>
        <v>#NAME?</v>
      </c>
      <c r="AC1228" s="55" t="str">
        <f t="shared" ca="1" si="455"/>
        <v/>
      </c>
      <c r="AD1228" s="55" t="e">
        <f ca="1">IF(PAA_4[[#This Row],[ESTADO (formulado)]]="NO CONTRATADO",0,MAX(PAA_4[[#This Row],[Pago por Contrato]],PAA_4[[#This Row],[Pago por bolsa]]))</f>
        <v>#NAME?</v>
      </c>
      <c r="AE1228" s="55" t="str">
        <f t="shared" ca="1" si="456"/>
        <v/>
      </c>
      <c r="AF1228" s="47" t="e">
        <f t="shared" ca="1" si="457"/>
        <v>#NAME?</v>
      </c>
      <c r="AG1228" s="47">
        <f t="shared" si="458"/>
        <v>44021001</v>
      </c>
      <c r="AH1228" s="54">
        <f>IF(Q1228="22",IF(ISNUMBER(SEARCH("econ",PAA_4[[#This Row],[Actividad3]])),"Económico",IF(ISNUMBER(SEARCH("alim",PAA_4[[#This Row],[Actividad3]])),"Alimentación",IF(ISNUMBER(SEARCH("educ",PAA_4[[#This Row],[Actividad3]])),"Educativo","Técnico"))),0)</f>
        <v>0</v>
      </c>
      <c r="AI1228" s="47" t="e" cm="1">
        <f t="array" aca="1" ref="AI1228" ca="1">_xlfn.XLOOKUP(PAA_4[[#This Row],[RCP-RUBRO]],[2]!COMPROMISOS_2024[[#All],[concatenado]],[2]!COMPROMISOS_2024[[#All],[Total pagado]],"",0)</f>
        <v>#NAME?</v>
      </c>
      <c r="AJ1228" s="56">
        <f>IF(PAA_4[[#This Row],[BOLSA]]=0,0,SUMIFS([2]!COMPROMISOS_2024[[#All],[Total pagado]],[2]!COMPROMISOS_2024[[#All],[Bolsa]],PAA_4[[#This Row],[BOLSA]],[2]!COMPROMISOS_2024[[#All],[rubro]],PAA_4[[#This Row],[RCP-RUBRO]]))</f>
        <v>0</v>
      </c>
      <c r="AK1228" s="47" t="e" cm="1">
        <f t="array" aca="1" ref="AK1228" ca="1">_xlfn.XLOOKUP(PAA_4[[#This Row],[RCP-RUBRO]],[2]!COMPROMISOS_2024[[#All],[concatenado]],[2]!COMPROMISOS_2024[[#All],[Total Comprometido]],"",0)</f>
        <v>#NAME?</v>
      </c>
      <c r="AL1228" s="47">
        <f>IF(PAA_4[[#This Row],[BOLSA]]=0,0,SUMIFS([2]!COMPROMISOS_2024[[#All],[Total Comprometido]],[2]!COMPROMISOS_2024[[#All],[Bolsa]],PAA_4[[#This Row],[BOLSA]],[2]!COMPROMISOS_2024[[#All],[concatenado]],PAA_4[[#This Row],[RCP-RUBRO]]))</f>
        <v>0</v>
      </c>
    </row>
    <row r="1229" spans="1:38" s="19" customFormat="1" ht="31.5" customHeight="1">
      <c r="A1229" s="47">
        <v>423</v>
      </c>
      <c r="B1229" s="47">
        <v>80111600</v>
      </c>
      <c r="C1229" s="47" t="str">
        <f>VLOOKUP(PAA_4[[#This Row],[PROYECTO (formulado)2]],[2]PROYECTOS!$G$1:$L$32,6,0)</f>
        <v>SUBGERENCIA DE FOMENTO Y DESARROLLO</v>
      </c>
      <c r="D1229" s="47" t="str">
        <f>+IF(PAA_4[[#This Row],[UNIDAD DE CONTRATACION (formulado)]]="Subgerencia Administrativa y Financiera","FUNCIONAMIENTO","INVERSIÓN")</f>
        <v>INVERSIÓN</v>
      </c>
      <c r="E1229" s="48" t="str">
        <f>VLOOKUP(Q1229,[2]PROYECTOS!$G$1:$K$32,5,0)</f>
        <v>FORTALECIMIENTO_DEL_PROGRAMA_POR_SU_SALUD_MUÉVASE_PUES_EN_LOS_MUNICIPIO_DEL_DEPARTAMENTO_DE_ANTIOQUIA</v>
      </c>
      <c r="F1229" s="48">
        <f>VLOOKUP(E1229,[2]PROYECTOS!$K$1:$M$32,3,0)</f>
        <v>2020003050030</v>
      </c>
      <c r="G1229" s="49" t="s">
        <v>369</v>
      </c>
      <c r="H1229" s="49" t="str">
        <f>VLOOKUP(Q1229,[2]PROYECTOS!$V$1:$W$32,2,0)</f>
        <v>050055</v>
      </c>
      <c r="I1229" s="50">
        <v>0</v>
      </c>
      <c r="J1229" s="76" t="s">
        <v>42</v>
      </c>
      <c r="K1229" s="47" t="str">
        <f t="shared" ca="1" si="452"/>
        <v>CONTRATADO</v>
      </c>
      <c r="L1229" s="47" t="s">
        <v>94</v>
      </c>
      <c r="M1229" s="47" t="s">
        <v>1297</v>
      </c>
      <c r="N1229" s="52" t="s">
        <v>360</v>
      </c>
      <c r="O1229" s="51" t="e">
        <f>VLOOKUP(N1229,[2]!RUBROS[#All],3,0)</f>
        <v>#REF!</v>
      </c>
      <c r="P1229" s="53" t="e">
        <f>VLOOKUP(N1229,[2]!RUBROS[#All],2,0)</f>
        <v>#REF!</v>
      </c>
      <c r="Q1229" s="47" t="str">
        <f t="shared" si="453"/>
        <v>45</v>
      </c>
      <c r="R1229" s="47" t="str">
        <f t="shared" si="454"/>
        <v>0-205128</v>
      </c>
      <c r="S1229" s="54">
        <v>10</v>
      </c>
      <c r="T1229" s="59" t="s">
        <v>46</v>
      </c>
      <c r="U1229" s="326" t="e">
        <f ca="1">_xlfn.XLOOKUP(PAA_4[[#This Row],[ITEM]],[2]Contrato!A:A,[2]Contrato!Q:Q,"",0)</f>
        <v>#NAME?</v>
      </c>
      <c r="V1229" s="47" t="s">
        <v>47</v>
      </c>
      <c r="W1229" s="47" t="s">
        <v>96</v>
      </c>
      <c r="X1229" s="47" t="s">
        <v>96</v>
      </c>
      <c r="Y1229" s="55" t="e">
        <f ca="1">_xlfn.XLOOKUP(PAA_4[[#This Row],[ITEM]],[2]Contrato!A:A,[2]Contrato!B:B,"",0)</f>
        <v>#NAME?</v>
      </c>
      <c r="Z1229" s="47" t="e">
        <f ca="1">_xlfn.XLOOKUP(PAA_4[[#This Row],[ITEM]],[2]Contrato!A:A,[2]Contrato!G:G,"",0)</f>
        <v>#NAME?</v>
      </c>
      <c r="AA1229" s="47" t="e">
        <f ca="1">_xlfn.XLOOKUP(PAA_4[[#This Row],[ITEM]],[2]Contrato!A:A,[2]Contrato!T:T,"",0)</f>
        <v>#NAME?</v>
      </c>
      <c r="AB1229" s="55" t="e">
        <f ca="1">+MAX(PAA_4[[#This Row],[Comprometido Contrato]],PAA_4[[#This Row],[Comprometido Bolsa]])</f>
        <v>#NAME?</v>
      </c>
      <c r="AC1229" s="55" t="str">
        <f t="shared" ca="1" si="455"/>
        <v/>
      </c>
      <c r="AD1229" s="55" t="e">
        <f ca="1">IF(PAA_4[[#This Row],[ESTADO (formulado)]]="NO CONTRATADO",0,MAX(PAA_4[[#This Row],[Pago por Contrato]],PAA_4[[#This Row],[Pago por bolsa]]))</f>
        <v>#NAME?</v>
      </c>
      <c r="AE1229" s="55" t="str">
        <f t="shared" ca="1" si="456"/>
        <v/>
      </c>
      <c r="AF1229" s="47" t="e">
        <f t="shared" ca="1" si="457"/>
        <v>#NAME?</v>
      </c>
      <c r="AG1229" s="47">
        <f t="shared" si="458"/>
        <v>44021001</v>
      </c>
      <c r="AH1229" s="54">
        <f>IF(Q1229="22",IF(ISNUMBER(SEARCH("econ",PAA_4[[#This Row],[Actividad3]])),"Económico",IF(ISNUMBER(SEARCH("alim",PAA_4[[#This Row],[Actividad3]])),"Alimentación",IF(ISNUMBER(SEARCH("educ",PAA_4[[#This Row],[Actividad3]])),"Educativo","Técnico"))),0)</f>
        <v>0</v>
      </c>
      <c r="AI1229" s="47" t="e" cm="1">
        <f t="array" aca="1" ref="AI1229" ca="1">_xlfn.XLOOKUP(PAA_4[[#This Row],[RCP-RUBRO]],[2]!COMPROMISOS_2024[[#All],[concatenado]],[2]!COMPROMISOS_2024[[#All],[Total pagado]],"",0)</f>
        <v>#NAME?</v>
      </c>
      <c r="AJ1229" s="56">
        <f>IF(PAA_4[[#This Row],[BOLSA]]=0,0,SUMIFS([2]!COMPROMISOS_2024[[#All],[Total pagado]],[2]!COMPROMISOS_2024[[#All],[Bolsa]],PAA_4[[#This Row],[BOLSA]],[2]!COMPROMISOS_2024[[#All],[rubro]],PAA_4[[#This Row],[RCP-RUBRO]]))</f>
        <v>0</v>
      </c>
      <c r="AK1229" s="47" t="e" cm="1">
        <f t="array" aca="1" ref="AK1229" ca="1">_xlfn.XLOOKUP(PAA_4[[#This Row],[RCP-RUBRO]],[2]!COMPROMISOS_2024[[#All],[concatenado]],[2]!COMPROMISOS_2024[[#All],[Total Comprometido]],"",0)</f>
        <v>#NAME?</v>
      </c>
      <c r="AL1229" s="47">
        <f>IF(PAA_4[[#This Row],[BOLSA]]=0,0,SUMIFS([2]!COMPROMISOS_2024[[#All],[Total Comprometido]],[2]!COMPROMISOS_2024[[#All],[Bolsa]],PAA_4[[#This Row],[BOLSA]],[2]!COMPROMISOS_2024[[#All],[concatenado]],PAA_4[[#This Row],[RCP-RUBRO]]))</f>
        <v>0</v>
      </c>
    </row>
    <row r="1230" spans="1:38" s="19" customFormat="1" ht="31.5" customHeight="1">
      <c r="A1230" s="47">
        <v>424</v>
      </c>
      <c r="B1230" s="47">
        <v>80111600</v>
      </c>
      <c r="C1230" s="47" t="str">
        <f>VLOOKUP(PAA_4[[#This Row],[PROYECTO (formulado)2]],[2]PROYECTOS!$G$1:$L$32,6,0)</f>
        <v>SUBGERENCIA DE FOMENTO Y DESARROLLO</v>
      </c>
      <c r="D1230" s="47" t="str">
        <f>+IF(PAA_4[[#This Row],[UNIDAD DE CONTRATACION (formulado)]]="Subgerencia Administrativa y Financiera","FUNCIONAMIENTO","INVERSIÓN")</f>
        <v>INVERSIÓN</v>
      </c>
      <c r="E1230" s="48" t="str">
        <f>VLOOKUP(Q1230,[2]PROYECTOS!$G$1:$K$32,5,0)</f>
        <v>FORTALECIMIENTO_DEL_PROGRAMA_POR_SU_SALUD_MUÉVASE_PUES_EN_LOS_MUNICIPIO_DEL_DEPARTAMENTO_DE_ANTIOQUIA</v>
      </c>
      <c r="F1230" s="48">
        <f>VLOOKUP(E1230,[2]PROYECTOS!$K$1:$M$32,3,0)</f>
        <v>2020003050030</v>
      </c>
      <c r="G1230" s="49" t="s">
        <v>369</v>
      </c>
      <c r="H1230" s="49" t="str">
        <f>VLOOKUP(Q1230,[2]PROYECTOS!$V$1:$W$32,2,0)</f>
        <v>050055</v>
      </c>
      <c r="I1230" s="50">
        <v>0</v>
      </c>
      <c r="J1230" s="76" t="s">
        <v>42</v>
      </c>
      <c r="K1230" s="47" t="str">
        <f t="shared" ca="1" si="452"/>
        <v>CONTRATADO</v>
      </c>
      <c r="L1230" s="47" t="s">
        <v>94</v>
      </c>
      <c r="M1230" s="47" t="s">
        <v>1297</v>
      </c>
      <c r="N1230" s="52" t="s">
        <v>360</v>
      </c>
      <c r="O1230" s="51" t="e">
        <f>VLOOKUP(N1230,[2]!RUBROS[#All],3,0)</f>
        <v>#REF!</v>
      </c>
      <c r="P1230" s="53" t="e">
        <f>VLOOKUP(N1230,[2]!RUBROS[#All],2,0)</f>
        <v>#REF!</v>
      </c>
      <c r="Q1230" s="47" t="str">
        <f t="shared" si="453"/>
        <v>45</v>
      </c>
      <c r="R1230" s="47" t="str">
        <f t="shared" si="454"/>
        <v>0-205128</v>
      </c>
      <c r="S1230" s="54">
        <v>10</v>
      </c>
      <c r="T1230" s="59" t="s">
        <v>46</v>
      </c>
      <c r="U1230" s="326" t="e">
        <f ca="1">_xlfn.XLOOKUP(PAA_4[[#This Row],[ITEM]],[2]Contrato!A:A,[2]Contrato!Q:Q,"",0)</f>
        <v>#NAME?</v>
      </c>
      <c r="V1230" s="47" t="s">
        <v>47</v>
      </c>
      <c r="W1230" s="47" t="s">
        <v>96</v>
      </c>
      <c r="X1230" s="47" t="s">
        <v>96</v>
      </c>
      <c r="Y1230" s="55" t="e">
        <f ca="1">_xlfn.XLOOKUP(PAA_4[[#This Row],[ITEM]],[2]Contrato!A:A,[2]Contrato!B:B,"",0)</f>
        <v>#NAME?</v>
      </c>
      <c r="Z1230" s="47" t="e">
        <f ca="1">_xlfn.XLOOKUP(PAA_4[[#This Row],[ITEM]],[2]Contrato!A:A,[2]Contrato!G:G,"",0)</f>
        <v>#NAME?</v>
      </c>
      <c r="AA1230" s="47" t="e">
        <f ca="1">_xlfn.XLOOKUP(PAA_4[[#This Row],[ITEM]],[2]Contrato!A:A,[2]Contrato!T:T,"",0)</f>
        <v>#NAME?</v>
      </c>
      <c r="AB1230" s="55" t="e">
        <f ca="1">+MAX(PAA_4[[#This Row],[Comprometido Contrato]],PAA_4[[#This Row],[Comprometido Bolsa]])</f>
        <v>#NAME?</v>
      </c>
      <c r="AC1230" s="55" t="str">
        <f t="shared" ca="1" si="455"/>
        <v/>
      </c>
      <c r="AD1230" s="55" t="e">
        <f ca="1">IF(PAA_4[[#This Row],[ESTADO (formulado)]]="NO CONTRATADO",0,MAX(PAA_4[[#This Row],[Pago por Contrato]],PAA_4[[#This Row],[Pago por bolsa]]))</f>
        <v>#NAME?</v>
      </c>
      <c r="AE1230" s="55" t="str">
        <f t="shared" ca="1" si="456"/>
        <v/>
      </c>
      <c r="AF1230" s="47" t="e">
        <f t="shared" ca="1" si="457"/>
        <v>#NAME?</v>
      </c>
      <c r="AG1230" s="47">
        <f t="shared" si="458"/>
        <v>44021001</v>
      </c>
      <c r="AH1230" s="54">
        <f>IF(Q1230="22",IF(ISNUMBER(SEARCH("econ",PAA_4[[#This Row],[Actividad3]])),"Económico",IF(ISNUMBER(SEARCH("alim",PAA_4[[#This Row],[Actividad3]])),"Alimentación",IF(ISNUMBER(SEARCH("educ",PAA_4[[#This Row],[Actividad3]])),"Educativo","Técnico"))),0)</f>
        <v>0</v>
      </c>
      <c r="AI1230" s="47" t="e" cm="1">
        <f t="array" aca="1" ref="AI1230" ca="1">_xlfn.XLOOKUP(PAA_4[[#This Row],[RCP-RUBRO]],[2]!COMPROMISOS_2024[[#All],[concatenado]],[2]!COMPROMISOS_2024[[#All],[Total pagado]],"",0)</f>
        <v>#NAME?</v>
      </c>
      <c r="AJ1230" s="56">
        <f>IF(PAA_4[[#This Row],[BOLSA]]=0,0,SUMIFS([2]!COMPROMISOS_2024[[#All],[Total pagado]],[2]!COMPROMISOS_2024[[#All],[Bolsa]],PAA_4[[#This Row],[BOLSA]],[2]!COMPROMISOS_2024[[#All],[rubro]],PAA_4[[#This Row],[RCP-RUBRO]]))</f>
        <v>0</v>
      </c>
      <c r="AK1230" s="47" t="e" cm="1">
        <f t="array" aca="1" ref="AK1230" ca="1">_xlfn.XLOOKUP(PAA_4[[#This Row],[RCP-RUBRO]],[2]!COMPROMISOS_2024[[#All],[concatenado]],[2]!COMPROMISOS_2024[[#All],[Total Comprometido]],"",0)</f>
        <v>#NAME?</v>
      </c>
      <c r="AL1230" s="47">
        <f>IF(PAA_4[[#This Row],[BOLSA]]=0,0,SUMIFS([2]!COMPROMISOS_2024[[#All],[Total Comprometido]],[2]!COMPROMISOS_2024[[#All],[Bolsa]],PAA_4[[#This Row],[BOLSA]],[2]!COMPROMISOS_2024[[#All],[concatenado]],PAA_4[[#This Row],[RCP-RUBRO]]))</f>
        <v>0</v>
      </c>
    </row>
    <row r="1231" spans="1:38" s="19" customFormat="1" ht="31.5" customHeight="1">
      <c r="A1231" s="47">
        <v>425</v>
      </c>
      <c r="B1231" s="47">
        <v>80111600</v>
      </c>
      <c r="C1231" s="47" t="str">
        <f>VLOOKUP(PAA_4[[#This Row],[PROYECTO (formulado)2]],[2]PROYECTOS!$G$1:$L$32,6,0)</f>
        <v>SUBGERENCIA DE FOMENTO Y DESARROLLO</v>
      </c>
      <c r="D1231" s="47" t="str">
        <f>+IF(PAA_4[[#This Row],[UNIDAD DE CONTRATACION (formulado)]]="Subgerencia Administrativa y Financiera","FUNCIONAMIENTO","INVERSIÓN")</f>
        <v>INVERSIÓN</v>
      </c>
      <c r="E1231" s="48" t="str">
        <f>VLOOKUP(Q1231,[2]PROYECTOS!$G$1:$K$32,5,0)</f>
        <v>FORTALECIMIENTO_DEL_PROGRAMA_POR_SU_SALUD_MUÉVASE_PUES_EN_LOS_MUNICIPIO_DEL_DEPARTAMENTO_DE_ANTIOQUIA</v>
      </c>
      <c r="F1231" s="48">
        <f>VLOOKUP(E1231,[2]PROYECTOS!$K$1:$M$32,3,0)</f>
        <v>2020003050030</v>
      </c>
      <c r="G1231" s="49" t="s">
        <v>369</v>
      </c>
      <c r="H1231" s="49" t="str">
        <f>VLOOKUP(Q1231,[2]PROYECTOS!$V$1:$W$32,2,0)</f>
        <v>050055</v>
      </c>
      <c r="I1231" s="50">
        <v>0</v>
      </c>
      <c r="J1231" s="76" t="s">
        <v>42</v>
      </c>
      <c r="K1231" s="47" t="str">
        <f t="shared" ca="1" si="452"/>
        <v>CONTRATADO</v>
      </c>
      <c r="L1231" s="47" t="s">
        <v>94</v>
      </c>
      <c r="M1231" s="47" t="s">
        <v>1297</v>
      </c>
      <c r="N1231" s="52" t="s">
        <v>360</v>
      </c>
      <c r="O1231" s="51" t="e">
        <f>VLOOKUP(N1231,[2]!RUBROS[#All],3,0)</f>
        <v>#REF!</v>
      </c>
      <c r="P1231" s="53" t="e">
        <f>VLOOKUP(N1231,[2]!RUBROS[#All],2,0)</f>
        <v>#REF!</v>
      </c>
      <c r="Q1231" s="47" t="str">
        <f t="shared" si="453"/>
        <v>45</v>
      </c>
      <c r="R1231" s="47" t="str">
        <f t="shared" si="454"/>
        <v>0-205128</v>
      </c>
      <c r="S1231" s="54">
        <v>10</v>
      </c>
      <c r="T1231" s="59" t="s">
        <v>46</v>
      </c>
      <c r="U1231" s="326" t="e">
        <f ca="1">_xlfn.XLOOKUP(PAA_4[[#This Row],[ITEM]],[2]Contrato!A:A,[2]Contrato!Q:Q,"",0)</f>
        <v>#NAME?</v>
      </c>
      <c r="V1231" s="47" t="s">
        <v>47</v>
      </c>
      <c r="W1231" s="47" t="s">
        <v>96</v>
      </c>
      <c r="X1231" s="47" t="s">
        <v>96</v>
      </c>
      <c r="Y1231" s="55" t="e">
        <f ca="1">_xlfn.XLOOKUP(PAA_4[[#This Row],[ITEM]],[2]Contrato!A:A,[2]Contrato!B:B,"",0)</f>
        <v>#NAME?</v>
      </c>
      <c r="Z1231" s="47" t="e">
        <f ca="1">_xlfn.XLOOKUP(PAA_4[[#This Row],[ITEM]],[2]Contrato!A:A,[2]Contrato!G:G,"",0)</f>
        <v>#NAME?</v>
      </c>
      <c r="AA1231" s="47" t="e">
        <f ca="1">_xlfn.XLOOKUP(PAA_4[[#This Row],[ITEM]],[2]Contrato!A:A,[2]Contrato!T:T,"",0)</f>
        <v>#NAME?</v>
      </c>
      <c r="AB1231" s="55" t="e">
        <f ca="1">+MAX(PAA_4[[#This Row],[Comprometido Contrato]],PAA_4[[#This Row],[Comprometido Bolsa]])</f>
        <v>#NAME?</v>
      </c>
      <c r="AC1231" s="55" t="str">
        <f t="shared" ca="1" si="455"/>
        <v/>
      </c>
      <c r="AD1231" s="55" t="e">
        <f ca="1">IF(PAA_4[[#This Row],[ESTADO (formulado)]]="NO CONTRATADO",0,MAX(PAA_4[[#This Row],[Pago por Contrato]],PAA_4[[#This Row],[Pago por bolsa]]))</f>
        <v>#NAME?</v>
      </c>
      <c r="AE1231" s="55" t="str">
        <f t="shared" ca="1" si="456"/>
        <v/>
      </c>
      <c r="AF1231" s="47" t="e">
        <f t="shared" ca="1" si="457"/>
        <v>#NAME?</v>
      </c>
      <c r="AG1231" s="47">
        <f t="shared" si="458"/>
        <v>44021001</v>
      </c>
      <c r="AH1231" s="54">
        <f>IF(Q1231="22",IF(ISNUMBER(SEARCH("econ",PAA_4[[#This Row],[Actividad3]])),"Económico",IF(ISNUMBER(SEARCH("alim",PAA_4[[#This Row],[Actividad3]])),"Alimentación",IF(ISNUMBER(SEARCH("educ",PAA_4[[#This Row],[Actividad3]])),"Educativo","Técnico"))),0)</f>
        <v>0</v>
      </c>
      <c r="AI1231" s="47" t="e" cm="1">
        <f t="array" aca="1" ref="AI1231" ca="1">_xlfn.XLOOKUP(PAA_4[[#This Row],[RCP-RUBRO]],[2]!COMPROMISOS_2024[[#All],[concatenado]],[2]!COMPROMISOS_2024[[#All],[Total pagado]],"",0)</f>
        <v>#NAME?</v>
      </c>
      <c r="AJ1231" s="56">
        <f>IF(PAA_4[[#This Row],[BOLSA]]=0,0,SUMIFS([2]!COMPROMISOS_2024[[#All],[Total pagado]],[2]!COMPROMISOS_2024[[#All],[Bolsa]],PAA_4[[#This Row],[BOLSA]],[2]!COMPROMISOS_2024[[#All],[rubro]],PAA_4[[#This Row],[RCP-RUBRO]]))</f>
        <v>0</v>
      </c>
      <c r="AK1231" s="47" t="e" cm="1">
        <f t="array" aca="1" ref="AK1231" ca="1">_xlfn.XLOOKUP(PAA_4[[#This Row],[RCP-RUBRO]],[2]!COMPROMISOS_2024[[#All],[concatenado]],[2]!COMPROMISOS_2024[[#All],[Total Comprometido]],"",0)</f>
        <v>#NAME?</v>
      </c>
      <c r="AL1231" s="47">
        <f>IF(PAA_4[[#This Row],[BOLSA]]=0,0,SUMIFS([2]!COMPROMISOS_2024[[#All],[Total Comprometido]],[2]!COMPROMISOS_2024[[#All],[Bolsa]],PAA_4[[#This Row],[BOLSA]],[2]!COMPROMISOS_2024[[#All],[concatenado]],PAA_4[[#This Row],[RCP-RUBRO]]))</f>
        <v>0</v>
      </c>
    </row>
    <row r="1232" spans="1:38" s="19" customFormat="1" ht="31.5" customHeight="1">
      <c r="A1232" s="47">
        <v>426</v>
      </c>
      <c r="B1232" s="47">
        <v>80111600</v>
      </c>
      <c r="C1232" s="47" t="str">
        <f>VLOOKUP(PAA_4[[#This Row],[PROYECTO (formulado)2]],[2]PROYECTOS!$G$1:$L$32,6,0)</f>
        <v>SUBGERENCIA DE FOMENTO Y DESARROLLO</v>
      </c>
      <c r="D1232" s="47" t="str">
        <f>+IF(PAA_4[[#This Row],[UNIDAD DE CONTRATACION (formulado)]]="Subgerencia Administrativa y Financiera","FUNCIONAMIENTO","INVERSIÓN")</f>
        <v>INVERSIÓN</v>
      </c>
      <c r="E1232" s="48" t="str">
        <f>VLOOKUP(Q1232,[2]PROYECTOS!$G$1:$K$32,5,0)</f>
        <v>FORTALECIMIENTO_DEL_PROGRAMA_POR_SU_SALUD_MUÉVASE_PUES_EN_LOS_MUNICIPIO_DEL_DEPARTAMENTO_DE_ANTIOQUIA</v>
      </c>
      <c r="F1232" s="48">
        <f>VLOOKUP(E1232,[2]PROYECTOS!$K$1:$M$32,3,0)</f>
        <v>2020003050030</v>
      </c>
      <c r="G1232" s="49" t="s">
        <v>369</v>
      </c>
      <c r="H1232" s="49" t="str">
        <f>VLOOKUP(Q1232,[2]PROYECTOS!$V$1:$W$32,2,0)</f>
        <v>050055</v>
      </c>
      <c r="I1232" s="50">
        <v>0</v>
      </c>
      <c r="J1232" s="76" t="s">
        <v>42</v>
      </c>
      <c r="K1232" s="47" t="str">
        <f t="shared" ca="1" si="452"/>
        <v>CONTRATADO</v>
      </c>
      <c r="L1232" s="47" t="s">
        <v>94</v>
      </c>
      <c r="M1232" s="47" t="s">
        <v>1297</v>
      </c>
      <c r="N1232" s="52" t="s">
        <v>360</v>
      </c>
      <c r="O1232" s="51" t="e">
        <f>VLOOKUP(N1232,[2]!RUBROS[#All],3,0)</f>
        <v>#REF!</v>
      </c>
      <c r="P1232" s="53" t="e">
        <f>VLOOKUP(N1232,[2]!RUBROS[#All],2,0)</f>
        <v>#REF!</v>
      </c>
      <c r="Q1232" s="47" t="str">
        <f t="shared" si="453"/>
        <v>45</v>
      </c>
      <c r="R1232" s="47" t="str">
        <f t="shared" si="454"/>
        <v>0-205128</v>
      </c>
      <c r="S1232" s="54">
        <v>10</v>
      </c>
      <c r="T1232" s="59" t="s">
        <v>46</v>
      </c>
      <c r="U1232" s="326" t="e">
        <f ca="1">_xlfn.XLOOKUP(PAA_4[[#This Row],[ITEM]],[2]Contrato!A:A,[2]Contrato!Q:Q,"",0)</f>
        <v>#NAME?</v>
      </c>
      <c r="V1232" s="47" t="s">
        <v>47</v>
      </c>
      <c r="W1232" s="47" t="s">
        <v>96</v>
      </c>
      <c r="X1232" s="47" t="s">
        <v>96</v>
      </c>
      <c r="Y1232" s="55" t="e">
        <f ca="1">_xlfn.XLOOKUP(PAA_4[[#This Row],[ITEM]],[2]Contrato!A:A,[2]Contrato!B:B,"",0)</f>
        <v>#NAME?</v>
      </c>
      <c r="Z1232" s="47" t="e">
        <f ca="1">_xlfn.XLOOKUP(PAA_4[[#This Row],[ITEM]],[2]Contrato!A:A,[2]Contrato!G:G,"",0)</f>
        <v>#NAME?</v>
      </c>
      <c r="AA1232" s="47" t="e">
        <f ca="1">_xlfn.XLOOKUP(PAA_4[[#This Row],[ITEM]],[2]Contrato!A:A,[2]Contrato!T:T,"",0)</f>
        <v>#NAME?</v>
      </c>
      <c r="AB1232" s="55" t="e">
        <f ca="1">+MAX(PAA_4[[#This Row],[Comprometido Contrato]],PAA_4[[#This Row],[Comprometido Bolsa]])</f>
        <v>#NAME?</v>
      </c>
      <c r="AC1232" s="55" t="str">
        <f t="shared" ca="1" si="455"/>
        <v/>
      </c>
      <c r="AD1232" s="55" t="e">
        <f ca="1">IF(PAA_4[[#This Row],[ESTADO (formulado)]]="NO CONTRATADO",0,MAX(PAA_4[[#This Row],[Pago por Contrato]],PAA_4[[#This Row],[Pago por bolsa]]))</f>
        <v>#NAME?</v>
      </c>
      <c r="AE1232" s="55" t="str">
        <f t="shared" ca="1" si="456"/>
        <v/>
      </c>
      <c r="AF1232" s="47" t="e">
        <f t="shared" ca="1" si="457"/>
        <v>#NAME?</v>
      </c>
      <c r="AG1232" s="47">
        <f t="shared" si="458"/>
        <v>44021001</v>
      </c>
      <c r="AH1232" s="54">
        <f>IF(Q1232="22",IF(ISNUMBER(SEARCH("econ",PAA_4[[#This Row],[Actividad3]])),"Económico",IF(ISNUMBER(SEARCH("alim",PAA_4[[#This Row],[Actividad3]])),"Alimentación",IF(ISNUMBER(SEARCH("educ",PAA_4[[#This Row],[Actividad3]])),"Educativo","Técnico"))),0)</f>
        <v>0</v>
      </c>
      <c r="AI1232" s="47" t="e" cm="1">
        <f t="array" aca="1" ref="AI1232" ca="1">_xlfn.XLOOKUP(PAA_4[[#This Row],[RCP-RUBRO]],[2]!COMPROMISOS_2024[[#All],[concatenado]],[2]!COMPROMISOS_2024[[#All],[Total pagado]],"",0)</f>
        <v>#NAME?</v>
      </c>
      <c r="AJ1232" s="56">
        <f>IF(PAA_4[[#This Row],[BOLSA]]=0,0,SUMIFS([2]!COMPROMISOS_2024[[#All],[Total pagado]],[2]!COMPROMISOS_2024[[#All],[Bolsa]],PAA_4[[#This Row],[BOLSA]],[2]!COMPROMISOS_2024[[#All],[rubro]],PAA_4[[#This Row],[RCP-RUBRO]]))</f>
        <v>0</v>
      </c>
      <c r="AK1232" s="47" t="e" cm="1">
        <f t="array" aca="1" ref="AK1232" ca="1">_xlfn.XLOOKUP(PAA_4[[#This Row],[RCP-RUBRO]],[2]!COMPROMISOS_2024[[#All],[concatenado]],[2]!COMPROMISOS_2024[[#All],[Total Comprometido]],"",0)</f>
        <v>#NAME?</v>
      </c>
      <c r="AL1232" s="47">
        <f>IF(PAA_4[[#This Row],[BOLSA]]=0,0,SUMIFS([2]!COMPROMISOS_2024[[#All],[Total Comprometido]],[2]!COMPROMISOS_2024[[#All],[Bolsa]],PAA_4[[#This Row],[BOLSA]],[2]!COMPROMISOS_2024[[#All],[concatenado]],PAA_4[[#This Row],[RCP-RUBRO]]))</f>
        <v>0</v>
      </c>
    </row>
    <row r="1233" spans="1:38" s="19" customFormat="1" ht="31.5" customHeight="1">
      <c r="A1233" s="47">
        <v>427</v>
      </c>
      <c r="B1233" s="47">
        <v>80111600</v>
      </c>
      <c r="C1233" s="47" t="str">
        <f>VLOOKUP(PAA_4[[#This Row],[PROYECTO (formulado)2]],[2]PROYECTOS!$G$1:$L$32,6,0)</f>
        <v>SUBGERENCIA DE FOMENTO Y DESARROLLO</v>
      </c>
      <c r="D1233" s="47" t="str">
        <f>+IF(PAA_4[[#This Row],[UNIDAD DE CONTRATACION (formulado)]]="Subgerencia Administrativa y Financiera","FUNCIONAMIENTO","INVERSIÓN")</f>
        <v>INVERSIÓN</v>
      </c>
      <c r="E1233" s="48" t="str">
        <f>VLOOKUP(Q1233,[2]PROYECTOS!$G$1:$K$32,5,0)</f>
        <v>FORTALECIMIENTO_DEL_PROGRAMA_POR_SU_SALUD_MUÉVASE_PUES_EN_LOS_MUNICIPIO_DEL_DEPARTAMENTO_DE_ANTIOQUIA</v>
      </c>
      <c r="F1233" s="48">
        <f>VLOOKUP(E1233,[2]PROYECTOS!$K$1:$M$32,3,0)</f>
        <v>2020003050030</v>
      </c>
      <c r="G1233" s="49" t="s">
        <v>369</v>
      </c>
      <c r="H1233" s="49" t="str">
        <f>VLOOKUP(Q1233,[2]PROYECTOS!$V$1:$W$32,2,0)</f>
        <v>050055</v>
      </c>
      <c r="I1233" s="50">
        <v>0</v>
      </c>
      <c r="J1233" s="76" t="s">
        <v>42</v>
      </c>
      <c r="K1233" s="47" t="str">
        <f t="shared" ca="1" si="452"/>
        <v>CONTRATADO</v>
      </c>
      <c r="L1233" s="47" t="s">
        <v>94</v>
      </c>
      <c r="M1233" s="47" t="s">
        <v>1297</v>
      </c>
      <c r="N1233" s="52" t="s">
        <v>360</v>
      </c>
      <c r="O1233" s="51" t="e">
        <f>VLOOKUP(N1233,[2]!RUBROS[#All],3,0)</f>
        <v>#REF!</v>
      </c>
      <c r="P1233" s="53" t="e">
        <f>VLOOKUP(N1233,[2]!RUBROS[#All],2,0)</f>
        <v>#REF!</v>
      </c>
      <c r="Q1233" s="47" t="str">
        <f t="shared" si="453"/>
        <v>45</v>
      </c>
      <c r="R1233" s="47" t="str">
        <f t="shared" si="454"/>
        <v>0-205128</v>
      </c>
      <c r="S1233" s="54">
        <v>10</v>
      </c>
      <c r="T1233" s="59" t="s">
        <v>46</v>
      </c>
      <c r="U1233" s="326" t="e">
        <f ca="1">_xlfn.XLOOKUP(PAA_4[[#This Row],[ITEM]],[2]Contrato!A:A,[2]Contrato!Q:Q,"",0)</f>
        <v>#NAME?</v>
      </c>
      <c r="V1233" s="47" t="s">
        <v>47</v>
      </c>
      <c r="W1233" s="47" t="s">
        <v>96</v>
      </c>
      <c r="X1233" s="47" t="s">
        <v>96</v>
      </c>
      <c r="Y1233" s="55" t="e">
        <f ca="1">_xlfn.XLOOKUP(PAA_4[[#This Row],[ITEM]],[2]Contrato!A:A,[2]Contrato!B:B,"",0)</f>
        <v>#NAME?</v>
      </c>
      <c r="Z1233" s="47" t="e">
        <f ca="1">_xlfn.XLOOKUP(PAA_4[[#This Row],[ITEM]],[2]Contrato!A:A,[2]Contrato!G:G,"",0)</f>
        <v>#NAME?</v>
      </c>
      <c r="AA1233" s="47" t="e">
        <f ca="1">_xlfn.XLOOKUP(PAA_4[[#This Row],[ITEM]],[2]Contrato!A:A,[2]Contrato!T:T,"",0)</f>
        <v>#NAME?</v>
      </c>
      <c r="AB1233" s="55" t="e">
        <f ca="1">+MAX(PAA_4[[#This Row],[Comprometido Contrato]],PAA_4[[#This Row],[Comprometido Bolsa]])</f>
        <v>#NAME?</v>
      </c>
      <c r="AC1233" s="55" t="str">
        <f t="shared" ca="1" si="455"/>
        <v/>
      </c>
      <c r="AD1233" s="55" t="e">
        <f ca="1">IF(PAA_4[[#This Row],[ESTADO (formulado)]]="NO CONTRATADO",0,MAX(PAA_4[[#This Row],[Pago por Contrato]],PAA_4[[#This Row],[Pago por bolsa]]))</f>
        <v>#NAME?</v>
      </c>
      <c r="AE1233" s="55" t="str">
        <f t="shared" ca="1" si="456"/>
        <v/>
      </c>
      <c r="AF1233" s="47" t="e">
        <f t="shared" ca="1" si="457"/>
        <v>#NAME?</v>
      </c>
      <c r="AG1233" s="47">
        <f t="shared" si="458"/>
        <v>44021001</v>
      </c>
      <c r="AH1233" s="54">
        <f>IF(Q1233="22",IF(ISNUMBER(SEARCH("econ",PAA_4[[#This Row],[Actividad3]])),"Económico",IF(ISNUMBER(SEARCH("alim",PAA_4[[#This Row],[Actividad3]])),"Alimentación",IF(ISNUMBER(SEARCH("educ",PAA_4[[#This Row],[Actividad3]])),"Educativo","Técnico"))),0)</f>
        <v>0</v>
      </c>
      <c r="AI1233" s="47" t="e" cm="1">
        <f t="array" aca="1" ref="AI1233" ca="1">_xlfn.XLOOKUP(PAA_4[[#This Row],[RCP-RUBRO]],[2]!COMPROMISOS_2024[[#All],[concatenado]],[2]!COMPROMISOS_2024[[#All],[Total pagado]],"",0)</f>
        <v>#NAME?</v>
      </c>
      <c r="AJ1233" s="56">
        <f>IF(PAA_4[[#This Row],[BOLSA]]=0,0,SUMIFS([2]!COMPROMISOS_2024[[#All],[Total pagado]],[2]!COMPROMISOS_2024[[#All],[Bolsa]],PAA_4[[#This Row],[BOLSA]],[2]!COMPROMISOS_2024[[#All],[rubro]],PAA_4[[#This Row],[RCP-RUBRO]]))</f>
        <v>0</v>
      </c>
      <c r="AK1233" s="47" t="e" cm="1">
        <f t="array" aca="1" ref="AK1233" ca="1">_xlfn.XLOOKUP(PAA_4[[#This Row],[RCP-RUBRO]],[2]!COMPROMISOS_2024[[#All],[concatenado]],[2]!COMPROMISOS_2024[[#All],[Total Comprometido]],"",0)</f>
        <v>#NAME?</v>
      </c>
      <c r="AL1233" s="47">
        <f>IF(PAA_4[[#This Row],[BOLSA]]=0,0,SUMIFS([2]!COMPROMISOS_2024[[#All],[Total Comprometido]],[2]!COMPROMISOS_2024[[#All],[Bolsa]],PAA_4[[#This Row],[BOLSA]],[2]!COMPROMISOS_2024[[#All],[concatenado]],PAA_4[[#This Row],[RCP-RUBRO]]))</f>
        <v>0</v>
      </c>
    </row>
    <row r="1234" spans="1:38" s="19" customFormat="1" ht="31.5" customHeight="1">
      <c r="A1234" s="47">
        <v>428</v>
      </c>
      <c r="B1234" s="47">
        <v>80111600</v>
      </c>
      <c r="C1234" s="47" t="str">
        <f>VLOOKUP(PAA_4[[#This Row],[PROYECTO (formulado)2]],[2]PROYECTOS!$G$1:$L$32,6,0)</f>
        <v>SUBGERENCIA DE FOMENTO Y DESARROLLO</v>
      </c>
      <c r="D1234" s="47" t="str">
        <f>+IF(PAA_4[[#This Row],[UNIDAD DE CONTRATACION (formulado)]]="Subgerencia Administrativa y Financiera","FUNCIONAMIENTO","INVERSIÓN")</f>
        <v>INVERSIÓN</v>
      </c>
      <c r="E1234" s="48" t="str">
        <f>VLOOKUP(Q1234,[2]PROYECTOS!$G$1:$K$32,5,0)</f>
        <v>FORTALECIMIENTO_DEL_PROGRAMA_POR_SU_SALUD_MUÉVASE_PUES_EN_LOS_MUNICIPIO_DEL_DEPARTAMENTO_DE_ANTIOQUIA</v>
      </c>
      <c r="F1234" s="48">
        <f>VLOOKUP(E1234,[2]PROYECTOS!$K$1:$M$32,3,0)</f>
        <v>2020003050030</v>
      </c>
      <c r="G1234" s="49" t="s">
        <v>369</v>
      </c>
      <c r="H1234" s="49" t="str">
        <f>VLOOKUP(Q1234,[2]PROYECTOS!$V$1:$W$32,2,0)</f>
        <v>050055</v>
      </c>
      <c r="I1234" s="50">
        <v>0</v>
      </c>
      <c r="J1234" s="76" t="s">
        <v>42</v>
      </c>
      <c r="K1234" s="47" t="str">
        <f t="shared" ca="1" si="452"/>
        <v>CONTRATADO</v>
      </c>
      <c r="L1234" s="47" t="s">
        <v>94</v>
      </c>
      <c r="M1234" s="47" t="s">
        <v>1297</v>
      </c>
      <c r="N1234" s="52" t="s">
        <v>360</v>
      </c>
      <c r="O1234" s="51" t="e">
        <f>VLOOKUP(N1234,[2]!RUBROS[#All],3,0)</f>
        <v>#REF!</v>
      </c>
      <c r="P1234" s="53" t="e">
        <f>VLOOKUP(N1234,[2]!RUBROS[#All],2,0)</f>
        <v>#REF!</v>
      </c>
      <c r="Q1234" s="47" t="str">
        <f t="shared" si="453"/>
        <v>45</v>
      </c>
      <c r="R1234" s="47" t="str">
        <f t="shared" si="454"/>
        <v>0-205128</v>
      </c>
      <c r="S1234" s="54">
        <v>10</v>
      </c>
      <c r="T1234" s="59" t="s">
        <v>46</v>
      </c>
      <c r="U1234" s="326" t="e">
        <f ca="1">_xlfn.XLOOKUP(PAA_4[[#This Row],[ITEM]],[2]Contrato!A:A,[2]Contrato!Q:Q,"",0)</f>
        <v>#NAME?</v>
      </c>
      <c r="V1234" s="47" t="s">
        <v>47</v>
      </c>
      <c r="W1234" s="47" t="s">
        <v>96</v>
      </c>
      <c r="X1234" s="47" t="s">
        <v>96</v>
      </c>
      <c r="Y1234" s="55" t="e">
        <f ca="1">_xlfn.XLOOKUP(PAA_4[[#This Row],[ITEM]],[2]Contrato!A:A,[2]Contrato!B:B,"",0)</f>
        <v>#NAME?</v>
      </c>
      <c r="Z1234" s="47" t="e">
        <f ca="1">_xlfn.XLOOKUP(PAA_4[[#This Row],[ITEM]],[2]Contrato!A:A,[2]Contrato!G:G,"",0)</f>
        <v>#NAME?</v>
      </c>
      <c r="AA1234" s="47" t="e">
        <f ca="1">_xlfn.XLOOKUP(PAA_4[[#This Row],[ITEM]],[2]Contrato!A:A,[2]Contrato!T:T,"",0)</f>
        <v>#NAME?</v>
      </c>
      <c r="AB1234" s="55" t="e">
        <f ca="1">+MAX(PAA_4[[#This Row],[Comprometido Contrato]],PAA_4[[#This Row],[Comprometido Bolsa]])</f>
        <v>#NAME?</v>
      </c>
      <c r="AC1234" s="55" t="str">
        <f t="shared" ca="1" si="455"/>
        <v/>
      </c>
      <c r="AD1234" s="55" t="e">
        <f ca="1">IF(PAA_4[[#This Row],[ESTADO (formulado)]]="NO CONTRATADO",0,MAX(PAA_4[[#This Row],[Pago por Contrato]],PAA_4[[#This Row],[Pago por bolsa]]))</f>
        <v>#NAME?</v>
      </c>
      <c r="AE1234" s="55" t="str">
        <f t="shared" ca="1" si="456"/>
        <v/>
      </c>
      <c r="AF1234" s="47" t="e">
        <f t="shared" ca="1" si="457"/>
        <v>#NAME?</v>
      </c>
      <c r="AG1234" s="47">
        <f t="shared" si="458"/>
        <v>44021001</v>
      </c>
      <c r="AH1234" s="54">
        <f>IF(Q1234="22",IF(ISNUMBER(SEARCH("econ",PAA_4[[#This Row],[Actividad3]])),"Económico",IF(ISNUMBER(SEARCH("alim",PAA_4[[#This Row],[Actividad3]])),"Alimentación",IF(ISNUMBER(SEARCH("educ",PAA_4[[#This Row],[Actividad3]])),"Educativo","Técnico"))),0)</f>
        <v>0</v>
      </c>
      <c r="AI1234" s="47" t="e" cm="1">
        <f t="array" aca="1" ref="AI1234" ca="1">_xlfn.XLOOKUP(PAA_4[[#This Row],[RCP-RUBRO]],[2]!COMPROMISOS_2024[[#All],[concatenado]],[2]!COMPROMISOS_2024[[#All],[Total pagado]],"",0)</f>
        <v>#NAME?</v>
      </c>
      <c r="AJ1234" s="56">
        <f>IF(PAA_4[[#This Row],[BOLSA]]=0,0,SUMIFS([2]!COMPROMISOS_2024[[#All],[Total pagado]],[2]!COMPROMISOS_2024[[#All],[Bolsa]],PAA_4[[#This Row],[BOLSA]],[2]!COMPROMISOS_2024[[#All],[rubro]],PAA_4[[#This Row],[RCP-RUBRO]]))</f>
        <v>0</v>
      </c>
      <c r="AK1234" s="47" t="e" cm="1">
        <f t="array" aca="1" ref="AK1234" ca="1">_xlfn.XLOOKUP(PAA_4[[#This Row],[RCP-RUBRO]],[2]!COMPROMISOS_2024[[#All],[concatenado]],[2]!COMPROMISOS_2024[[#All],[Total Comprometido]],"",0)</f>
        <v>#NAME?</v>
      </c>
      <c r="AL1234" s="47">
        <f>IF(PAA_4[[#This Row],[BOLSA]]=0,0,SUMIFS([2]!COMPROMISOS_2024[[#All],[Total Comprometido]],[2]!COMPROMISOS_2024[[#All],[Bolsa]],PAA_4[[#This Row],[BOLSA]],[2]!COMPROMISOS_2024[[#All],[concatenado]],PAA_4[[#This Row],[RCP-RUBRO]]))</f>
        <v>0</v>
      </c>
    </row>
    <row r="1235" spans="1:38" s="19" customFormat="1" ht="31.5" customHeight="1">
      <c r="A1235" s="47">
        <v>429</v>
      </c>
      <c r="B1235" s="47">
        <v>80111600</v>
      </c>
      <c r="C1235" s="47" t="str">
        <f>VLOOKUP(PAA_4[[#This Row],[PROYECTO (formulado)2]],[2]PROYECTOS!$G$1:$L$32,6,0)</f>
        <v>SUBGERENCIA DE FOMENTO Y DESARROLLO</v>
      </c>
      <c r="D1235" s="47" t="str">
        <f>+IF(PAA_4[[#This Row],[UNIDAD DE CONTRATACION (formulado)]]="Subgerencia Administrativa y Financiera","FUNCIONAMIENTO","INVERSIÓN")</f>
        <v>INVERSIÓN</v>
      </c>
      <c r="E1235" s="48" t="str">
        <f>VLOOKUP(Q1235,[2]PROYECTOS!$G$1:$K$32,5,0)</f>
        <v>FORTALECIMIENTO_DEL_PROGRAMA_POR_SU_SALUD_MUÉVASE_PUES_EN_LOS_MUNICIPIO_DEL_DEPARTAMENTO_DE_ANTIOQUIA</v>
      </c>
      <c r="F1235" s="48">
        <f>VLOOKUP(E1235,[2]PROYECTOS!$K$1:$M$32,3,0)</f>
        <v>2020003050030</v>
      </c>
      <c r="G1235" s="49" t="s">
        <v>369</v>
      </c>
      <c r="H1235" s="49" t="str">
        <f>VLOOKUP(Q1235,[2]PROYECTOS!$V$1:$W$32,2,0)</f>
        <v>050055</v>
      </c>
      <c r="I1235" s="50">
        <v>0</v>
      </c>
      <c r="J1235" s="76" t="s">
        <v>42</v>
      </c>
      <c r="K1235" s="47" t="str">
        <f t="shared" ca="1" si="452"/>
        <v>CONTRATADO</v>
      </c>
      <c r="L1235" s="47" t="s">
        <v>94</v>
      </c>
      <c r="M1235" s="47" t="s">
        <v>1297</v>
      </c>
      <c r="N1235" s="52" t="s">
        <v>360</v>
      </c>
      <c r="O1235" s="51" t="e">
        <f>VLOOKUP(N1235,[2]!RUBROS[#All],3,0)</f>
        <v>#REF!</v>
      </c>
      <c r="P1235" s="53" t="e">
        <f>VLOOKUP(N1235,[2]!RUBROS[#All],2,0)</f>
        <v>#REF!</v>
      </c>
      <c r="Q1235" s="47" t="str">
        <f t="shared" si="453"/>
        <v>45</v>
      </c>
      <c r="R1235" s="47" t="str">
        <f t="shared" si="454"/>
        <v>0-205128</v>
      </c>
      <c r="S1235" s="54">
        <v>10</v>
      </c>
      <c r="T1235" s="59" t="s">
        <v>46</v>
      </c>
      <c r="U1235" s="326" t="e">
        <f ca="1">_xlfn.XLOOKUP(PAA_4[[#This Row],[ITEM]],[2]Contrato!A:A,[2]Contrato!Q:Q,"",0)</f>
        <v>#NAME?</v>
      </c>
      <c r="V1235" s="47" t="s">
        <v>47</v>
      </c>
      <c r="W1235" s="47" t="s">
        <v>96</v>
      </c>
      <c r="X1235" s="47" t="s">
        <v>96</v>
      </c>
      <c r="Y1235" s="55" t="e">
        <f ca="1">_xlfn.XLOOKUP(PAA_4[[#This Row],[ITEM]],[2]Contrato!A:A,[2]Contrato!B:B,"",0)</f>
        <v>#NAME?</v>
      </c>
      <c r="Z1235" s="47" t="e">
        <f ca="1">_xlfn.XLOOKUP(PAA_4[[#This Row],[ITEM]],[2]Contrato!A:A,[2]Contrato!G:G,"",0)</f>
        <v>#NAME?</v>
      </c>
      <c r="AA1235" s="47" t="e">
        <f ca="1">_xlfn.XLOOKUP(PAA_4[[#This Row],[ITEM]],[2]Contrato!A:A,[2]Contrato!T:T,"",0)</f>
        <v>#NAME?</v>
      </c>
      <c r="AB1235" s="55" t="e">
        <f ca="1">+MAX(PAA_4[[#This Row],[Comprometido Contrato]],PAA_4[[#This Row],[Comprometido Bolsa]])</f>
        <v>#NAME?</v>
      </c>
      <c r="AC1235" s="55" t="str">
        <f t="shared" ca="1" si="455"/>
        <v/>
      </c>
      <c r="AD1235" s="55" t="e">
        <f ca="1">IF(PAA_4[[#This Row],[ESTADO (formulado)]]="NO CONTRATADO",0,MAX(PAA_4[[#This Row],[Pago por Contrato]],PAA_4[[#This Row],[Pago por bolsa]]))</f>
        <v>#NAME?</v>
      </c>
      <c r="AE1235" s="55" t="str">
        <f t="shared" ca="1" si="456"/>
        <v/>
      </c>
      <c r="AF1235" s="47" t="e">
        <f t="shared" ca="1" si="457"/>
        <v>#NAME?</v>
      </c>
      <c r="AG1235" s="47">
        <f t="shared" si="458"/>
        <v>44021001</v>
      </c>
      <c r="AH1235" s="54">
        <f>IF(Q1235="22",IF(ISNUMBER(SEARCH("econ",PAA_4[[#This Row],[Actividad3]])),"Económico",IF(ISNUMBER(SEARCH("alim",PAA_4[[#This Row],[Actividad3]])),"Alimentación",IF(ISNUMBER(SEARCH("educ",PAA_4[[#This Row],[Actividad3]])),"Educativo","Técnico"))),0)</f>
        <v>0</v>
      </c>
      <c r="AI1235" s="47" t="e" cm="1">
        <f t="array" aca="1" ref="AI1235" ca="1">_xlfn.XLOOKUP(PAA_4[[#This Row],[RCP-RUBRO]],[2]!COMPROMISOS_2024[[#All],[concatenado]],[2]!COMPROMISOS_2024[[#All],[Total pagado]],"",0)</f>
        <v>#NAME?</v>
      </c>
      <c r="AJ1235" s="56">
        <f>IF(PAA_4[[#This Row],[BOLSA]]=0,0,SUMIFS([2]!COMPROMISOS_2024[[#All],[Total pagado]],[2]!COMPROMISOS_2024[[#All],[Bolsa]],PAA_4[[#This Row],[BOLSA]],[2]!COMPROMISOS_2024[[#All],[rubro]],PAA_4[[#This Row],[RCP-RUBRO]]))</f>
        <v>0</v>
      </c>
      <c r="AK1235" s="47" t="e" cm="1">
        <f t="array" aca="1" ref="AK1235" ca="1">_xlfn.XLOOKUP(PAA_4[[#This Row],[RCP-RUBRO]],[2]!COMPROMISOS_2024[[#All],[concatenado]],[2]!COMPROMISOS_2024[[#All],[Total Comprometido]],"",0)</f>
        <v>#NAME?</v>
      </c>
      <c r="AL1235" s="47">
        <f>IF(PAA_4[[#This Row],[BOLSA]]=0,0,SUMIFS([2]!COMPROMISOS_2024[[#All],[Total Comprometido]],[2]!COMPROMISOS_2024[[#All],[Bolsa]],PAA_4[[#This Row],[BOLSA]],[2]!COMPROMISOS_2024[[#All],[concatenado]],PAA_4[[#This Row],[RCP-RUBRO]]))</f>
        <v>0</v>
      </c>
    </row>
    <row r="1236" spans="1:38" s="19" customFormat="1" ht="31.5" customHeight="1">
      <c r="A1236" s="47">
        <v>430</v>
      </c>
      <c r="B1236" s="47">
        <v>80111600</v>
      </c>
      <c r="C1236" s="47" t="str">
        <f>VLOOKUP(PAA_4[[#This Row],[PROYECTO (formulado)2]],[2]PROYECTOS!$G$1:$L$32,6,0)</f>
        <v>SUBGERENCIA DE FOMENTO Y DESARROLLO</v>
      </c>
      <c r="D1236" s="47" t="str">
        <f>+IF(PAA_4[[#This Row],[UNIDAD DE CONTRATACION (formulado)]]="Subgerencia Administrativa y Financiera","FUNCIONAMIENTO","INVERSIÓN")</f>
        <v>INVERSIÓN</v>
      </c>
      <c r="E1236" s="48" t="str">
        <f>VLOOKUP(Q1236,[2]PROYECTOS!$G$1:$K$32,5,0)</f>
        <v>FORTALECIMIENTO_DEL_PROGRAMA_POR_SU_SALUD_MUÉVASE_PUES_EN_LOS_MUNICIPIO_DEL_DEPARTAMENTO_DE_ANTIOQUIA</v>
      </c>
      <c r="F1236" s="48">
        <f>VLOOKUP(E1236,[2]PROYECTOS!$K$1:$M$32,3,0)</f>
        <v>2020003050030</v>
      </c>
      <c r="G1236" s="49" t="s">
        <v>369</v>
      </c>
      <c r="H1236" s="49" t="str">
        <f>VLOOKUP(Q1236,[2]PROYECTOS!$V$1:$W$32,2,0)</f>
        <v>050055</v>
      </c>
      <c r="I1236" s="50">
        <v>0</v>
      </c>
      <c r="J1236" s="76" t="s">
        <v>42</v>
      </c>
      <c r="K1236" s="47" t="str">
        <f t="shared" ca="1" si="452"/>
        <v>CONTRATADO</v>
      </c>
      <c r="L1236" s="47" t="s">
        <v>94</v>
      </c>
      <c r="M1236" s="47" t="s">
        <v>1297</v>
      </c>
      <c r="N1236" s="52" t="s">
        <v>360</v>
      </c>
      <c r="O1236" s="51" t="e">
        <f>VLOOKUP(N1236,[2]!RUBROS[#All],3,0)</f>
        <v>#REF!</v>
      </c>
      <c r="P1236" s="53" t="e">
        <f>VLOOKUP(N1236,[2]!RUBROS[#All],2,0)</f>
        <v>#REF!</v>
      </c>
      <c r="Q1236" s="47" t="str">
        <f t="shared" si="453"/>
        <v>45</v>
      </c>
      <c r="R1236" s="47" t="str">
        <f t="shared" si="454"/>
        <v>0-205128</v>
      </c>
      <c r="S1236" s="54">
        <v>10</v>
      </c>
      <c r="T1236" s="59" t="s">
        <v>46</v>
      </c>
      <c r="U1236" s="326" t="e">
        <f ca="1">_xlfn.XLOOKUP(PAA_4[[#This Row],[ITEM]],[2]Contrato!A:A,[2]Contrato!Q:Q,"",0)</f>
        <v>#NAME?</v>
      </c>
      <c r="V1236" s="47" t="s">
        <v>47</v>
      </c>
      <c r="W1236" s="47" t="s">
        <v>96</v>
      </c>
      <c r="X1236" s="47" t="s">
        <v>96</v>
      </c>
      <c r="Y1236" s="55" t="e">
        <f ca="1">_xlfn.XLOOKUP(PAA_4[[#This Row],[ITEM]],[2]Contrato!A:A,[2]Contrato!B:B,"",0)</f>
        <v>#NAME?</v>
      </c>
      <c r="Z1236" s="47" t="e">
        <f ca="1">_xlfn.XLOOKUP(PAA_4[[#This Row],[ITEM]],[2]Contrato!A:A,[2]Contrato!G:G,"",0)</f>
        <v>#NAME?</v>
      </c>
      <c r="AA1236" s="47" t="e">
        <f ca="1">_xlfn.XLOOKUP(PAA_4[[#This Row],[ITEM]],[2]Contrato!A:A,[2]Contrato!T:T,"",0)</f>
        <v>#NAME?</v>
      </c>
      <c r="AB1236" s="55" t="e">
        <f ca="1">+MAX(PAA_4[[#This Row],[Comprometido Contrato]],PAA_4[[#This Row],[Comprometido Bolsa]])</f>
        <v>#NAME?</v>
      </c>
      <c r="AC1236" s="55" t="str">
        <f t="shared" ca="1" si="455"/>
        <v/>
      </c>
      <c r="AD1236" s="55" t="e">
        <f ca="1">IF(PAA_4[[#This Row],[ESTADO (formulado)]]="NO CONTRATADO",0,MAX(PAA_4[[#This Row],[Pago por Contrato]],PAA_4[[#This Row],[Pago por bolsa]]))</f>
        <v>#NAME?</v>
      </c>
      <c r="AE1236" s="55" t="str">
        <f t="shared" ca="1" si="456"/>
        <v/>
      </c>
      <c r="AF1236" s="47" t="e">
        <f t="shared" ca="1" si="457"/>
        <v>#NAME?</v>
      </c>
      <c r="AG1236" s="47">
        <f t="shared" si="458"/>
        <v>44021001</v>
      </c>
      <c r="AH1236" s="54">
        <f>IF(Q1236="22",IF(ISNUMBER(SEARCH("econ",PAA_4[[#This Row],[Actividad3]])),"Económico",IF(ISNUMBER(SEARCH("alim",PAA_4[[#This Row],[Actividad3]])),"Alimentación",IF(ISNUMBER(SEARCH("educ",PAA_4[[#This Row],[Actividad3]])),"Educativo","Técnico"))),0)</f>
        <v>0</v>
      </c>
      <c r="AI1236" s="47" t="e" cm="1">
        <f t="array" aca="1" ref="AI1236" ca="1">_xlfn.XLOOKUP(PAA_4[[#This Row],[RCP-RUBRO]],[2]!COMPROMISOS_2024[[#All],[concatenado]],[2]!COMPROMISOS_2024[[#All],[Total pagado]],"",0)</f>
        <v>#NAME?</v>
      </c>
      <c r="AJ1236" s="56">
        <f>IF(PAA_4[[#This Row],[BOLSA]]=0,0,SUMIFS([2]!COMPROMISOS_2024[[#All],[Total pagado]],[2]!COMPROMISOS_2024[[#All],[Bolsa]],PAA_4[[#This Row],[BOLSA]],[2]!COMPROMISOS_2024[[#All],[rubro]],PAA_4[[#This Row],[RCP-RUBRO]]))</f>
        <v>0</v>
      </c>
      <c r="AK1236" s="47" t="e" cm="1">
        <f t="array" aca="1" ref="AK1236" ca="1">_xlfn.XLOOKUP(PAA_4[[#This Row],[RCP-RUBRO]],[2]!COMPROMISOS_2024[[#All],[concatenado]],[2]!COMPROMISOS_2024[[#All],[Total Comprometido]],"",0)</f>
        <v>#NAME?</v>
      </c>
      <c r="AL1236" s="47">
        <f>IF(PAA_4[[#This Row],[BOLSA]]=0,0,SUMIFS([2]!COMPROMISOS_2024[[#All],[Total Comprometido]],[2]!COMPROMISOS_2024[[#All],[Bolsa]],PAA_4[[#This Row],[BOLSA]],[2]!COMPROMISOS_2024[[#All],[concatenado]],PAA_4[[#This Row],[RCP-RUBRO]]))</f>
        <v>0</v>
      </c>
    </row>
    <row r="1237" spans="1:38" s="19" customFormat="1" ht="31.5" customHeight="1">
      <c r="A1237" s="47">
        <v>431</v>
      </c>
      <c r="B1237" s="47">
        <v>80111600</v>
      </c>
      <c r="C1237" s="47" t="str">
        <f>VLOOKUP(PAA_4[[#This Row],[PROYECTO (formulado)2]],[2]PROYECTOS!$G$1:$L$32,6,0)</f>
        <v>SUBGERENCIA DE FOMENTO Y DESARROLLO</v>
      </c>
      <c r="D1237" s="47" t="str">
        <f>+IF(PAA_4[[#This Row],[UNIDAD DE CONTRATACION (formulado)]]="Subgerencia Administrativa y Financiera","FUNCIONAMIENTO","INVERSIÓN")</f>
        <v>INVERSIÓN</v>
      </c>
      <c r="E1237" s="48" t="str">
        <f>VLOOKUP(Q1237,[2]PROYECTOS!$G$1:$K$32,5,0)</f>
        <v>FORTALECIMIENTO_DEL_PROGRAMA_POR_SU_SALUD_MUÉVASE_PUES_EN_LOS_MUNICIPIO_DEL_DEPARTAMENTO_DE_ANTIOQUIA</v>
      </c>
      <c r="F1237" s="48">
        <f>VLOOKUP(E1237,[2]PROYECTOS!$K$1:$M$32,3,0)</f>
        <v>2020003050030</v>
      </c>
      <c r="G1237" s="49" t="s">
        <v>369</v>
      </c>
      <c r="H1237" s="49" t="str">
        <f>VLOOKUP(Q1237,[2]PROYECTOS!$V$1:$W$32,2,0)</f>
        <v>050055</v>
      </c>
      <c r="I1237" s="50">
        <v>0</v>
      </c>
      <c r="J1237" s="76" t="s">
        <v>42</v>
      </c>
      <c r="K1237" s="47" t="str">
        <f t="shared" ca="1" si="452"/>
        <v>CONTRATADO</v>
      </c>
      <c r="L1237" s="47" t="s">
        <v>94</v>
      </c>
      <c r="M1237" s="47" t="s">
        <v>1297</v>
      </c>
      <c r="N1237" s="52" t="s">
        <v>360</v>
      </c>
      <c r="O1237" s="51" t="e">
        <f>VLOOKUP(N1237,[2]!RUBROS[#All],3,0)</f>
        <v>#REF!</v>
      </c>
      <c r="P1237" s="53" t="e">
        <f>VLOOKUP(N1237,[2]!RUBROS[#All],2,0)</f>
        <v>#REF!</v>
      </c>
      <c r="Q1237" s="47" t="str">
        <f t="shared" si="453"/>
        <v>45</v>
      </c>
      <c r="R1237" s="47" t="str">
        <f t="shared" si="454"/>
        <v>0-205128</v>
      </c>
      <c r="S1237" s="54">
        <v>10</v>
      </c>
      <c r="T1237" s="59" t="s">
        <v>46</v>
      </c>
      <c r="U1237" s="326" t="e">
        <f ca="1">_xlfn.XLOOKUP(PAA_4[[#This Row],[ITEM]],[2]Contrato!A:A,[2]Contrato!Q:Q,"",0)</f>
        <v>#NAME?</v>
      </c>
      <c r="V1237" s="47" t="s">
        <v>47</v>
      </c>
      <c r="W1237" s="47" t="s">
        <v>96</v>
      </c>
      <c r="X1237" s="47" t="s">
        <v>96</v>
      </c>
      <c r="Y1237" s="55" t="e">
        <f ca="1">_xlfn.XLOOKUP(PAA_4[[#This Row],[ITEM]],[2]Contrato!A:A,[2]Contrato!B:B,"",0)</f>
        <v>#NAME?</v>
      </c>
      <c r="Z1237" s="47" t="e">
        <f ca="1">_xlfn.XLOOKUP(PAA_4[[#This Row],[ITEM]],[2]Contrato!A:A,[2]Contrato!G:G,"",0)</f>
        <v>#NAME?</v>
      </c>
      <c r="AA1237" s="47" t="e">
        <f ca="1">_xlfn.XLOOKUP(PAA_4[[#This Row],[ITEM]],[2]Contrato!A:A,[2]Contrato!T:T,"",0)</f>
        <v>#NAME?</v>
      </c>
      <c r="AB1237" s="55" t="e">
        <f ca="1">+MAX(PAA_4[[#This Row],[Comprometido Contrato]],PAA_4[[#This Row],[Comprometido Bolsa]])</f>
        <v>#NAME?</v>
      </c>
      <c r="AC1237" s="55" t="str">
        <f t="shared" ca="1" si="455"/>
        <v/>
      </c>
      <c r="AD1237" s="55" t="e">
        <f ca="1">IF(PAA_4[[#This Row],[ESTADO (formulado)]]="NO CONTRATADO",0,MAX(PAA_4[[#This Row],[Pago por Contrato]],PAA_4[[#This Row],[Pago por bolsa]]))</f>
        <v>#NAME?</v>
      </c>
      <c r="AE1237" s="55" t="str">
        <f t="shared" ca="1" si="456"/>
        <v/>
      </c>
      <c r="AF1237" s="47" t="e">
        <f t="shared" ca="1" si="457"/>
        <v>#NAME?</v>
      </c>
      <c r="AG1237" s="47">
        <f t="shared" si="458"/>
        <v>44021001</v>
      </c>
      <c r="AH1237" s="54">
        <f>IF(Q1237="22",IF(ISNUMBER(SEARCH("econ",PAA_4[[#This Row],[Actividad3]])),"Económico",IF(ISNUMBER(SEARCH("alim",PAA_4[[#This Row],[Actividad3]])),"Alimentación",IF(ISNUMBER(SEARCH("educ",PAA_4[[#This Row],[Actividad3]])),"Educativo","Técnico"))),0)</f>
        <v>0</v>
      </c>
      <c r="AI1237" s="47" t="e" cm="1">
        <f t="array" aca="1" ref="AI1237" ca="1">_xlfn.XLOOKUP(PAA_4[[#This Row],[RCP-RUBRO]],[2]!COMPROMISOS_2024[[#All],[concatenado]],[2]!COMPROMISOS_2024[[#All],[Total pagado]],"",0)</f>
        <v>#NAME?</v>
      </c>
      <c r="AJ1237" s="56">
        <f>IF(PAA_4[[#This Row],[BOLSA]]=0,0,SUMIFS([2]!COMPROMISOS_2024[[#All],[Total pagado]],[2]!COMPROMISOS_2024[[#All],[Bolsa]],PAA_4[[#This Row],[BOLSA]],[2]!COMPROMISOS_2024[[#All],[rubro]],PAA_4[[#This Row],[RCP-RUBRO]]))</f>
        <v>0</v>
      </c>
      <c r="AK1237" s="47" t="e" cm="1">
        <f t="array" aca="1" ref="AK1237" ca="1">_xlfn.XLOOKUP(PAA_4[[#This Row],[RCP-RUBRO]],[2]!COMPROMISOS_2024[[#All],[concatenado]],[2]!COMPROMISOS_2024[[#All],[Total Comprometido]],"",0)</f>
        <v>#NAME?</v>
      </c>
      <c r="AL1237" s="47">
        <f>IF(PAA_4[[#This Row],[BOLSA]]=0,0,SUMIFS([2]!COMPROMISOS_2024[[#All],[Total Comprometido]],[2]!COMPROMISOS_2024[[#All],[Bolsa]],PAA_4[[#This Row],[BOLSA]],[2]!COMPROMISOS_2024[[#All],[concatenado]],PAA_4[[#This Row],[RCP-RUBRO]]))</f>
        <v>0</v>
      </c>
    </row>
    <row r="1238" spans="1:38" s="19" customFormat="1" ht="31.5" customHeight="1">
      <c r="A1238" s="47">
        <v>432</v>
      </c>
      <c r="B1238" s="47">
        <v>80111600</v>
      </c>
      <c r="C1238" s="47" t="str">
        <f>VLOOKUP(PAA_4[[#This Row],[PROYECTO (formulado)2]],[2]PROYECTOS!$G$1:$L$32,6,0)</f>
        <v>SUBGERENCIA DE FOMENTO Y DESARROLLO</v>
      </c>
      <c r="D1238" s="47" t="str">
        <f>+IF(PAA_4[[#This Row],[UNIDAD DE CONTRATACION (formulado)]]="Subgerencia Administrativa y Financiera","FUNCIONAMIENTO","INVERSIÓN")</f>
        <v>INVERSIÓN</v>
      </c>
      <c r="E1238" s="48" t="str">
        <f>VLOOKUP(Q1238,[2]PROYECTOS!$G$1:$K$32,5,0)</f>
        <v>FORTALECIMIENTO_DEL_PROGRAMA_POR_SU_SALUD_MUÉVASE_PUES_EN_LOS_MUNICIPIO_DEL_DEPARTAMENTO_DE_ANTIOQUIA</v>
      </c>
      <c r="F1238" s="48">
        <f>VLOOKUP(E1238,[2]PROYECTOS!$K$1:$M$32,3,0)</f>
        <v>2020003050030</v>
      </c>
      <c r="G1238" s="49" t="s">
        <v>369</v>
      </c>
      <c r="H1238" s="49" t="str">
        <f>VLOOKUP(Q1238,[2]PROYECTOS!$V$1:$W$32,2,0)</f>
        <v>050055</v>
      </c>
      <c r="I1238" s="50">
        <v>0</v>
      </c>
      <c r="J1238" s="76" t="s">
        <v>42</v>
      </c>
      <c r="K1238" s="47" t="str">
        <f t="shared" ca="1" si="452"/>
        <v>CONTRATADO</v>
      </c>
      <c r="L1238" s="47" t="s">
        <v>94</v>
      </c>
      <c r="M1238" s="47" t="s">
        <v>1297</v>
      </c>
      <c r="N1238" s="52" t="s">
        <v>360</v>
      </c>
      <c r="O1238" s="51" t="e">
        <f>VLOOKUP(N1238,[2]!RUBROS[#All],3,0)</f>
        <v>#REF!</v>
      </c>
      <c r="P1238" s="53" t="e">
        <f>VLOOKUP(N1238,[2]!RUBROS[#All],2,0)</f>
        <v>#REF!</v>
      </c>
      <c r="Q1238" s="47" t="str">
        <f t="shared" si="453"/>
        <v>45</v>
      </c>
      <c r="R1238" s="47" t="str">
        <f t="shared" si="454"/>
        <v>0-205128</v>
      </c>
      <c r="S1238" s="54">
        <v>10</v>
      </c>
      <c r="T1238" s="59" t="s">
        <v>46</v>
      </c>
      <c r="U1238" s="326" t="e">
        <f ca="1">_xlfn.XLOOKUP(PAA_4[[#This Row],[ITEM]],[2]Contrato!A:A,[2]Contrato!Q:Q,"",0)</f>
        <v>#NAME?</v>
      </c>
      <c r="V1238" s="47" t="s">
        <v>47</v>
      </c>
      <c r="W1238" s="47" t="s">
        <v>96</v>
      </c>
      <c r="X1238" s="47" t="s">
        <v>96</v>
      </c>
      <c r="Y1238" s="55" t="e">
        <f ca="1">_xlfn.XLOOKUP(PAA_4[[#This Row],[ITEM]],[2]Contrato!A:A,[2]Contrato!B:B,"",0)</f>
        <v>#NAME?</v>
      </c>
      <c r="Z1238" s="47" t="e">
        <f ca="1">_xlfn.XLOOKUP(PAA_4[[#This Row],[ITEM]],[2]Contrato!A:A,[2]Contrato!G:G,"",0)</f>
        <v>#NAME?</v>
      </c>
      <c r="AA1238" s="47" t="e">
        <f ca="1">_xlfn.XLOOKUP(PAA_4[[#This Row],[ITEM]],[2]Contrato!A:A,[2]Contrato!T:T,"",0)</f>
        <v>#NAME?</v>
      </c>
      <c r="AB1238" s="55" t="e">
        <f ca="1">+MAX(PAA_4[[#This Row],[Comprometido Contrato]],PAA_4[[#This Row],[Comprometido Bolsa]])</f>
        <v>#NAME?</v>
      </c>
      <c r="AC1238" s="55" t="str">
        <f t="shared" ca="1" si="455"/>
        <v/>
      </c>
      <c r="AD1238" s="55" t="e">
        <f ca="1">IF(PAA_4[[#This Row],[ESTADO (formulado)]]="NO CONTRATADO",0,MAX(PAA_4[[#This Row],[Pago por Contrato]],PAA_4[[#This Row],[Pago por bolsa]]))</f>
        <v>#NAME?</v>
      </c>
      <c r="AE1238" s="55" t="str">
        <f t="shared" ca="1" si="456"/>
        <v/>
      </c>
      <c r="AF1238" s="47" t="e">
        <f t="shared" ca="1" si="457"/>
        <v>#NAME?</v>
      </c>
      <c r="AG1238" s="47">
        <f t="shared" si="458"/>
        <v>44021001</v>
      </c>
      <c r="AH1238" s="54">
        <f>IF(Q1238="22",IF(ISNUMBER(SEARCH("econ",PAA_4[[#This Row],[Actividad3]])),"Económico",IF(ISNUMBER(SEARCH("alim",PAA_4[[#This Row],[Actividad3]])),"Alimentación",IF(ISNUMBER(SEARCH("educ",PAA_4[[#This Row],[Actividad3]])),"Educativo","Técnico"))),0)</f>
        <v>0</v>
      </c>
      <c r="AI1238" s="47" t="e" cm="1">
        <f t="array" aca="1" ref="AI1238" ca="1">_xlfn.XLOOKUP(PAA_4[[#This Row],[RCP-RUBRO]],[2]!COMPROMISOS_2024[[#All],[concatenado]],[2]!COMPROMISOS_2024[[#All],[Total pagado]],"",0)</f>
        <v>#NAME?</v>
      </c>
      <c r="AJ1238" s="56">
        <f>IF(PAA_4[[#This Row],[BOLSA]]=0,0,SUMIFS([2]!COMPROMISOS_2024[[#All],[Total pagado]],[2]!COMPROMISOS_2024[[#All],[Bolsa]],PAA_4[[#This Row],[BOLSA]],[2]!COMPROMISOS_2024[[#All],[rubro]],PAA_4[[#This Row],[RCP-RUBRO]]))</f>
        <v>0</v>
      </c>
      <c r="AK1238" s="47" t="e" cm="1">
        <f t="array" aca="1" ref="AK1238" ca="1">_xlfn.XLOOKUP(PAA_4[[#This Row],[RCP-RUBRO]],[2]!COMPROMISOS_2024[[#All],[concatenado]],[2]!COMPROMISOS_2024[[#All],[Total Comprometido]],"",0)</f>
        <v>#NAME?</v>
      </c>
      <c r="AL1238" s="47">
        <f>IF(PAA_4[[#This Row],[BOLSA]]=0,0,SUMIFS([2]!COMPROMISOS_2024[[#All],[Total Comprometido]],[2]!COMPROMISOS_2024[[#All],[Bolsa]],PAA_4[[#This Row],[BOLSA]],[2]!COMPROMISOS_2024[[#All],[concatenado]],PAA_4[[#This Row],[RCP-RUBRO]]))</f>
        <v>0</v>
      </c>
    </row>
    <row r="1239" spans="1:38" s="19" customFormat="1" ht="31.5" customHeight="1">
      <c r="A1239" s="47">
        <v>368</v>
      </c>
      <c r="B1239" s="47">
        <v>80111600</v>
      </c>
      <c r="C1239" s="47" t="str">
        <f>VLOOKUP(PAA_4[[#This Row],[PROYECTO (formulado)2]],[2]PROYECTOS!$G$1:$L$32,6,0)</f>
        <v>SUBGERENCIA DE FOMENTO Y DESARROLLO</v>
      </c>
      <c r="D1239" s="47" t="str">
        <f>+IF(PAA_4[[#This Row],[UNIDAD DE CONTRATACION (formulado)]]="Subgerencia Administrativa y Financiera","FUNCIONAMIENTO","INVERSIÓN")</f>
        <v>INVERSIÓN</v>
      </c>
      <c r="E1239" s="48" t="str">
        <f>VLOOKUP(Q1239,[2]PROYECTOS!$G$1:$K$32,5,0)</f>
        <v>FORTALECIMIENTO_DEL_PROGRAMA_POR_SU_SALUD_MUÉVASE_PUES_EN_LOS_MUNICIPIO_DEL_DEPARTAMENTO_DE_ANTIOQUIA</v>
      </c>
      <c r="F1239" s="48">
        <f>VLOOKUP(E1239,[2]PROYECTOS!$K$1:$M$32,3,0)</f>
        <v>2020003050030</v>
      </c>
      <c r="G1239" s="49" t="s">
        <v>350</v>
      </c>
      <c r="H1239" s="49" t="str">
        <f>VLOOKUP(Q1239,[2]PROYECTOS!$V$1:$W$32,2,0)</f>
        <v>050055</v>
      </c>
      <c r="I1239" s="50">
        <v>0</v>
      </c>
      <c r="J1239" s="51" t="s">
        <v>372</v>
      </c>
      <c r="K1239" s="47" t="str">
        <f t="shared" ca="1" si="452"/>
        <v>CONTRATADO</v>
      </c>
      <c r="L1239" s="47" t="s">
        <v>44</v>
      </c>
      <c r="M1239" s="47" t="s">
        <v>1236</v>
      </c>
      <c r="N1239" s="52" t="s">
        <v>352</v>
      </c>
      <c r="O1239" s="51" t="e">
        <f>VLOOKUP(N1239,[2]!RUBROS[#All],3,0)</f>
        <v>#REF!</v>
      </c>
      <c r="P1239" s="53" t="e">
        <f>VLOOKUP(N1239,[2]!RUBROS[#All],2,0)</f>
        <v>#REF!</v>
      </c>
      <c r="Q1239" s="47" t="str">
        <f t="shared" si="453"/>
        <v>45</v>
      </c>
      <c r="R1239" s="47" t="str">
        <f t="shared" si="454"/>
        <v>0-205128</v>
      </c>
      <c r="S1239" s="54">
        <v>9</v>
      </c>
      <c r="T1239" s="59" t="s">
        <v>46</v>
      </c>
      <c r="U1239" s="326" t="e">
        <f ca="1">_xlfn.XLOOKUP(PAA_4[[#This Row],[ITEM]],[2]Contrato!A:A,[2]Contrato!Q:Q,"",0)</f>
        <v>#NAME?</v>
      </c>
      <c r="V1239" s="47" t="s">
        <v>47</v>
      </c>
      <c r="W1239" s="47" t="s">
        <v>122</v>
      </c>
      <c r="X1239" s="47" t="s">
        <v>122</v>
      </c>
      <c r="Y1239" s="55" t="e">
        <f ca="1">_xlfn.XLOOKUP(PAA_4[[#This Row],[ITEM]],[2]Contrato!A:A,[2]Contrato!B:B,"",0)</f>
        <v>#NAME?</v>
      </c>
      <c r="Z1239" s="47" t="e">
        <f ca="1">_xlfn.XLOOKUP(PAA_4[[#This Row],[ITEM]],[2]Contrato!A:A,[2]Contrato!G:G,"",0)</f>
        <v>#NAME?</v>
      </c>
      <c r="AA1239" s="47" t="e">
        <f ca="1">_xlfn.XLOOKUP(PAA_4[[#This Row],[ITEM]],[2]Contrato!A:A,[2]Contrato!T:T,"",0)</f>
        <v>#NAME?</v>
      </c>
      <c r="AB1239" s="55" t="e">
        <f ca="1">+MAX(PAA_4[[#This Row],[Comprometido Contrato]],PAA_4[[#This Row],[Comprometido Bolsa]])</f>
        <v>#NAME?</v>
      </c>
      <c r="AC1239" s="55" t="str">
        <f t="shared" ca="1" si="455"/>
        <v/>
      </c>
      <c r="AD1239" s="55" t="e">
        <f ca="1">IF(PAA_4[[#This Row],[ESTADO (formulado)]]="NO CONTRATADO",0,MAX(PAA_4[[#This Row],[Pago por Contrato]],PAA_4[[#This Row],[Pago por bolsa]]))</f>
        <v>#NAME?</v>
      </c>
      <c r="AE1239" s="55" t="str">
        <f t="shared" ca="1" si="456"/>
        <v/>
      </c>
      <c r="AF1239" s="47" t="e">
        <f t="shared" ca="1" si="457"/>
        <v>#NAME?</v>
      </c>
      <c r="AG1239" s="47">
        <f t="shared" si="458"/>
        <v>44021001</v>
      </c>
      <c r="AH1239" s="54">
        <f>IF(Q1239="22",IF(ISNUMBER(SEARCH("econ",PAA_4[[#This Row],[Actividad3]])),"Económico",IF(ISNUMBER(SEARCH("alim",PAA_4[[#This Row],[Actividad3]])),"Alimentación",IF(ISNUMBER(SEARCH("educ",PAA_4[[#This Row],[Actividad3]])),"Educativo","Técnico"))),0)</f>
        <v>0</v>
      </c>
      <c r="AI1239" s="47" t="e" cm="1">
        <f t="array" aca="1" ref="AI1239" ca="1">_xlfn.XLOOKUP(PAA_4[[#This Row],[RCP-RUBRO]],[2]!COMPROMISOS_2024[[#All],[concatenado]],[2]!COMPROMISOS_2024[[#All],[Total pagado]],"",0)</f>
        <v>#NAME?</v>
      </c>
      <c r="AJ1239" s="56">
        <f>IF(PAA_4[[#This Row],[BOLSA]]=0,0,SUMIFS([2]!COMPROMISOS_2024[[#All],[Total pagado]],[2]!COMPROMISOS_2024[[#All],[Bolsa]],PAA_4[[#This Row],[BOLSA]],[2]!COMPROMISOS_2024[[#All],[rubro]],PAA_4[[#This Row],[RCP-RUBRO]]))</f>
        <v>0</v>
      </c>
      <c r="AK1239" s="47" t="e" cm="1">
        <f t="array" aca="1" ref="AK1239" ca="1">_xlfn.XLOOKUP(PAA_4[[#This Row],[RCP-RUBRO]],[2]!COMPROMISOS_2024[[#All],[concatenado]],[2]!COMPROMISOS_2024[[#All],[Total Comprometido]],"",0)</f>
        <v>#NAME?</v>
      </c>
      <c r="AL1239" s="47">
        <f>IF(PAA_4[[#This Row],[BOLSA]]=0,0,SUMIFS([2]!COMPROMISOS_2024[[#All],[Total Comprometido]],[2]!COMPROMISOS_2024[[#All],[Bolsa]],PAA_4[[#This Row],[BOLSA]],[2]!COMPROMISOS_2024[[#All],[concatenado]],PAA_4[[#This Row],[RCP-RUBRO]]))</f>
        <v>0</v>
      </c>
    </row>
    <row r="1240" spans="1:38" s="19" customFormat="1" ht="31.5" customHeight="1">
      <c r="A1240" s="47">
        <v>521</v>
      </c>
      <c r="B1240" s="47">
        <v>78111800</v>
      </c>
      <c r="C1240" s="47" t="str">
        <f>VLOOKUP(PAA_4[[#This Row],[PROYECTO (formulado)2]],[2]PROYECTOS!$G$1:$L$32,6,0)</f>
        <v>SUBGERENCIA DE FOMENTO Y DESARROLLO</v>
      </c>
      <c r="D1240" s="47" t="str">
        <f>+IF(PAA_4[[#This Row],[UNIDAD DE CONTRATACION (formulado)]]="Subgerencia Administrativa y Financiera","FUNCIONAMIENTO","INVERSIÓN")</f>
        <v>INVERSIÓN</v>
      </c>
      <c r="E1240" s="48" t="str">
        <f>VLOOKUP(Q1240,[2]PROYECTOS!$G$1:$K$32,5,0)</f>
        <v>FORTALECIMIENTO_DEL_PROGRAMA_POR_SU_SALUD_MUÉVASE_PUES_EN_LOS_MUNICIPIO_DEL_DEPARTAMENTO_DE_ANTIOQUIA</v>
      </c>
      <c r="F1240" s="48">
        <f>VLOOKUP(E1240,[2]PROYECTOS!$K$1:$M$32,3,0)</f>
        <v>2020003050030</v>
      </c>
      <c r="G1240" s="49" t="s">
        <v>326</v>
      </c>
      <c r="H1240" s="49" t="str">
        <f>VLOOKUP(Q1240,[2]PROYECTOS!$V$1:$W$32,2,0)</f>
        <v>050055</v>
      </c>
      <c r="I1240" s="50">
        <v>0</v>
      </c>
      <c r="J1240" s="51" t="s">
        <v>344</v>
      </c>
      <c r="K1240" s="47" t="str">
        <f t="shared" ca="1" si="452"/>
        <v>CONTRATADO</v>
      </c>
      <c r="L1240" s="47" t="s">
        <v>344</v>
      </c>
      <c r="M1240" s="47"/>
      <c r="N1240" s="52" t="s">
        <v>327</v>
      </c>
      <c r="O1240" s="51" t="e">
        <f>VLOOKUP(N1240,[2]!RUBROS[#All],3,0)</f>
        <v>#REF!</v>
      </c>
      <c r="P1240" s="53" t="e">
        <f>VLOOKUP(N1240,[2]!RUBROS[#All],2,0)</f>
        <v>#REF!</v>
      </c>
      <c r="Q1240" s="47" t="str">
        <f t="shared" si="453"/>
        <v>45</v>
      </c>
      <c r="R1240" s="47" t="str">
        <f t="shared" si="454"/>
        <v>0-205128</v>
      </c>
      <c r="S1240" s="54">
        <v>10</v>
      </c>
      <c r="T1240" s="59" t="s">
        <v>46</v>
      </c>
      <c r="U1240" s="326" t="e">
        <f ca="1">_xlfn.XLOOKUP(PAA_4[[#This Row],[ITEM]],[2]Contrato!A:A,[2]Contrato!Q:Q,"",0)</f>
        <v>#NAME?</v>
      </c>
      <c r="V1240" s="47" t="s">
        <v>47</v>
      </c>
      <c r="W1240" s="47" t="s">
        <v>91</v>
      </c>
      <c r="X1240" s="47" t="s">
        <v>92</v>
      </c>
      <c r="Y1240" s="55" t="e">
        <f ca="1">_xlfn.XLOOKUP(PAA_4[[#This Row],[ITEM]],[2]Contrato!A:A,[2]Contrato!B:B,"",0)</f>
        <v>#NAME?</v>
      </c>
      <c r="Z1240" s="47" t="e">
        <f ca="1">_xlfn.XLOOKUP(PAA_4[[#This Row],[ITEM]],[2]Contrato!A:A,[2]Contrato!G:G,"",0)</f>
        <v>#NAME?</v>
      </c>
      <c r="AA1240" s="47" t="e">
        <f ca="1">_xlfn.XLOOKUP(PAA_4[[#This Row],[ITEM]],[2]Contrato!A:A,[2]Contrato!T:T,"",0)</f>
        <v>#NAME?</v>
      </c>
      <c r="AB1240" s="55" t="e">
        <f ca="1">+MAX(PAA_4[[#This Row],[Comprometido Contrato]],PAA_4[[#This Row],[Comprometido Bolsa]])</f>
        <v>#NAME?</v>
      </c>
      <c r="AC1240" s="55" t="str">
        <f t="shared" ca="1" si="455"/>
        <v/>
      </c>
      <c r="AD1240" s="55" t="e">
        <f ca="1">IF(PAA_4[[#This Row],[ESTADO (formulado)]]="NO CONTRATADO",0,MAX(PAA_4[[#This Row],[Pago por Contrato]],PAA_4[[#This Row],[Pago por bolsa]]))</f>
        <v>#NAME?</v>
      </c>
      <c r="AE1240" s="55" t="str">
        <f t="shared" ca="1" si="456"/>
        <v/>
      </c>
      <c r="AF1240" s="47" t="e">
        <f t="shared" ca="1" si="457"/>
        <v>#NAME?</v>
      </c>
      <c r="AG1240" s="47">
        <f t="shared" si="458"/>
        <v>44021001</v>
      </c>
      <c r="AH1240" s="54">
        <f>IF(Q1240="22",IF(ISNUMBER(SEARCH("econ",PAA_4[[#This Row],[Actividad3]])),"Económico",IF(ISNUMBER(SEARCH("alim",PAA_4[[#This Row],[Actividad3]])),"Alimentación",IF(ISNUMBER(SEARCH("educ",PAA_4[[#This Row],[Actividad3]])),"Educativo","Técnico"))),0)</f>
        <v>0</v>
      </c>
      <c r="AI1240" s="47" t="e" cm="1">
        <f t="array" aca="1" ref="AI1240" ca="1">_xlfn.XLOOKUP(PAA_4[[#This Row],[RCP-RUBRO]],[2]!COMPROMISOS_2024[[#All],[concatenado]],[2]!COMPROMISOS_2024[[#All],[Total pagado]],"",0)</f>
        <v>#NAME?</v>
      </c>
      <c r="AJ1240" s="56">
        <f>IF(PAA_4[[#This Row],[BOLSA]]=0,0,SUMIFS([2]!COMPROMISOS_2024[[#All],[Total pagado]],[2]!COMPROMISOS_2024[[#All],[Bolsa]],PAA_4[[#This Row],[BOLSA]],[2]!COMPROMISOS_2024[[#All],[rubro]],PAA_4[[#This Row],[RCP-RUBRO]]))</f>
        <v>0</v>
      </c>
      <c r="AK1240" s="47" t="e" cm="1">
        <f t="array" aca="1" ref="AK1240" ca="1">_xlfn.XLOOKUP(PAA_4[[#This Row],[RCP-RUBRO]],[2]!COMPROMISOS_2024[[#All],[concatenado]],[2]!COMPROMISOS_2024[[#All],[Total Comprometido]],"",0)</f>
        <v>#NAME?</v>
      </c>
      <c r="AL1240" s="47">
        <f>IF(PAA_4[[#This Row],[BOLSA]]=0,0,SUMIFS([2]!COMPROMISOS_2024[[#All],[Total Comprometido]],[2]!COMPROMISOS_2024[[#All],[Bolsa]],PAA_4[[#This Row],[BOLSA]],[2]!COMPROMISOS_2024[[#All],[concatenado]],PAA_4[[#This Row],[RCP-RUBRO]]))</f>
        <v>0</v>
      </c>
    </row>
    <row r="1241" spans="1:38" s="19" customFormat="1" ht="31.5" customHeight="1">
      <c r="A1241" s="47">
        <v>366</v>
      </c>
      <c r="B1241" s="47">
        <v>78111800</v>
      </c>
      <c r="C1241" s="47" t="str">
        <f>VLOOKUP(PAA_4[[#This Row],[PROYECTO (formulado)2]],[2]PROYECTOS!$G$1:$L$32,6,0)</f>
        <v>SUBGERENCIA DE FOMENTO Y DESARROLLO</v>
      </c>
      <c r="D1241" s="47" t="str">
        <f>+IF(PAA_4[[#This Row],[UNIDAD DE CONTRATACION (formulado)]]="Subgerencia Administrativa y Financiera","FUNCIONAMIENTO","INVERSIÓN")</f>
        <v>INVERSIÓN</v>
      </c>
      <c r="E1241" s="48" t="str">
        <f>VLOOKUP(Q1241,[2]PROYECTOS!$G$1:$K$32,5,0)</f>
        <v>FORTALECIMIENTO_DE_LAS_ESCUELAS_DEPORTIVAS_EN_LOS_MUNICIPIOS_DEL_DEPARTAMENTO_DE_ANTIOQUIA</v>
      </c>
      <c r="F1241" s="48">
        <f>VLOOKUP(E1241,[2]PROYECTOS!$K$1:$M$32,3,0)</f>
        <v>2020003050032</v>
      </c>
      <c r="G1241" s="49" t="s">
        <v>333</v>
      </c>
      <c r="H1241" s="49" t="str">
        <f>VLOOKUP(Q1241,[2]PROYECTOS!$V$1:$W$32,2,0)</f>
        <v>050059</v>
      </c>
      <c r="I1241" s="50">
        <v>0</v>
      </c>
      <c r="J1241" s="51" t="s">
        <v>42</v>
      </c>
      <c r="K1241" s="47" t="str">
        <f t="shared" ca="1" si="452"/>
        <v>CONTRATADO</v>
      </c>
      <c r="L1241" s="47" t="s">
        <v>94</v>
      </c>
      <c r="M1241" s="47" t="s">
        <v>161</v>
      </c>
      <c r="N1241" s="52" t="s">
        <v>373</v>
      </c>
      <c r="O1241" s="51" t="e">
        <f>VLOOKUP(N1241,[2]!RUBROS[#All],3,0)</f>
        <v>#REF!</v>
      </c>
      <c r="P1241" s="53" t="e">
        <f>VLOOKUP(N1241,[2]!RUBROS[#All],2,0)</f>
        <v>#REF!</v>
      </c>
      <c r="Q1241" s="47" t="str">
        <f t="shared" si="453"/>
        <v>46</v>
      </c>
      <c r="R1241" s="47" t="str">
        <f t="shared" si="454"/>
        <v>0-205128</v>
      </c>
      <c r="S1241" s="342">
        <v>175</v>
      </c>
      <c r="T1241" s="59" t="s">
        <v>120</v>
      </c>
      <c r="U1241" s="326" t="e">
        <f ca="1">_xlfn.XLOOKUP(PAA_4[[#This Row],[ITEM]],[2]Contrato!A:A,[2]Contrato!Q:Q,"",0)</f>
        <v>#NAME?</v>
      </c>
      <c r="V1241" s="47" t="s">
        <v>47</v>
      </c>
      <c r="W1241" s="343" t="s">
        <v>154</v>
      </c>
      <c r="X1241" s="343" t="s">
        <v>154</v>
      </c>
      <c r="Y1241" s="55" t="e">
        <f ca="1">_xlfn.XLOOKUP(PAA_4[[#This Row],[ITEM]],[2]Contrato!A:A,[2]Contrato!B:B,"",0)</f>
        <v>#NAME?</v>
      </c>
      <c r="Z1241" s="47" t="e">
        <f ca="1">_xlfn.XLOOKUP(PAA_4[[#This Row],[ITEM]],[2]Contrato!A:A,[2]Contrato!G:G,"",0)</f>
        <v>#NAME?</v>
      </c>
      <c r="AA1241" s="47" t="e">
        <f ca="1">_xlfn.XLOOKUP(PAA_4[[#This Row],[ITEM]],[2]Contrato!A:A,[2]Contrato!T:T,"",0)</f>
        <v>#NAME?</v>
      </c>
      <c r="AB1241" s="55" t="e">
        <f ca="1">+MAX(PAA_4[[#This Row],[Comprometido Contrato]],PAA_4[[#This Row],[Comprometido Bolsa]])</f>
        <v>#NAME?</v>
      </c>
      <c r="AC1241" s="55" t="str">
        <f t="shared" ca="1" si="455"/>
        <v/>
      </c>
      <c r="AD1241" s="55" t="e">
        <f ca="1">IF(PAA_4[[#This Row],[ESTADO (formulado)]]="NO CONTRATADO",0,MAX(PAA_4[[#This Row],[Pago por Contrato]],PAA_4[[#This Row],[Pago por bolsa]]))</f>
        <v>#NAME?</v>
      </c>
      <c r="AE1241" s="55" t="str">
        <f t="shared" ca="1" si="456"/>
        <v/>
      </c>
      <c r="AF1241" s="47" t="e">
        <f t="shared" ca="1" si="457"/>
        <v>#NAME?</v>
      </c>
      <c r="AG1241" s="47">
        <f t="shared" si="458"/>
        <v>44021007</v>
      </c>
      <c r="AH1241" s="54">
        <f>IF(Q1241="22",IF(ISNUMBER(SEARCH("econ",PAA_4[[#This Row],[Actividad3]])),"Económico",IF(ISNUMBER(SEARCH("alim",PAA_4[[#This Row],[Actividad3]])),"Alimentación",IF(ISNUMBER(SEARCH("educ",PAA_4[[#This Row],[Actividad3]])),"Educativo","Técnico"))),0)</f>
        <v>0</v>
      </c>
      <c r="AI1241" s="47" t="e" cm="1">
        <f t="array" aca="1" ref="AI1241" ca="1">_xlfn.XLOOKUP(PAA_4[[#This Row],[RCP-RUBRO]],[2]!COMPROMISOS_2024[[#All],[concatenado]],[2]!COMPROMISOS_2024[[#All],[Total pagado]],"",0)</f>
        <v>#NAME?</v>
      </c>
      <c r="AJ1241" s="56">
        <f>IF(PAA_4[[#This Row],[BOLSA]]=0,0,SUMIFS([2]!COMPROMISOS_2024[[#All],[Total pagado]],[2]!COMPROMISOS_2024[[#All],[Bolsa]],PAA_4[[#This Row],[BOLSA]],[2]!COMPROMISOS_2024[[#All],[rubro]],PAA_4[[#This Row],[RCP-RUBRO]]))</f>
        <v>0</v>
      </c>
      <c r="AK1241" s="47" t="e" cm="1">
        <f t="array" aca="1" ref="AK1241" ca="1">_xlfn.XLOOKUP(PAA_4[[#This Row],[RCP-RUBRO]],[2]!COMPROMISOS_2024[[#All],[concatenado]],[2]!COMPROMISOS_2024[[#All],[Total Comprometido]],"",0)</f>
        <v>#NAME?</v>
      </c>
      <c r="AL1241" s="47">
        <f>IF(PAA_4[[#This Row],[BOLSA]]=0,0,SUMIFS([2]!COMPROMISOS_2024[[#All],[Total Comprometido]],[2]!COMPROMISOS_2024[[#All],[Bolsa]],PAA_4[[#This Row],[BOLSA]],[2]!COMPROMISOS_2024[[#All],[concatenado]],PAA_4[[#This Row],[RCP-RUBRO]]))</f>
        <v>0</v>
      </c>
    </row>
    <row r="1242" spans="1:38" s="19" customFormat="1" ht="31.5" customHeight="1">
      <c r="A1242" s="47">
        <v>378</v>
      </c>
      <c r="B1242" s="47">
        <v>80111600</v>
      </c>
      <c r="C1242" s="47" t="str">
        <f>VLOOKUP(PAA_4[[#This Row],[PROYECTO (formulado)2]],[2]PROYECTOS!$G$1:$L$32,6,0)</f>
        <v>SUBGERENCIA DE FOMENTO Y DESARROLLO</v>
      </c>
      <c r="D1242" s="47" t="str">
        <f>+IF(PAA_4[[#This Row],[UNIDAD DE CONTRATACION (formulado)]]="Subgerencia Administrativa y Financiera","FUNCIONAMIENTO","INVERSIÓN")</f>
        <v>INVERSIÓN</v>
      </c>
      <c r="E1242" s="48" t="str">
        <f>VLOOKUP(Q1242,[2]PROYECTOS!$G$1:$K$32,5,0)</f>
        <v>FORTALECIMIENTO_DE_LAS_ESCUELAS_DEPORTIVAS_EN_LOS_MUNICIPIOS_DEL_DEPARTAMENTO_DE_ANTIOQUIA</v>
      </c>
      <c r="F1242" s="48">
        <f>VLOOKUP(E1242,[2]PROYECTOS!$K$1:$M$32,3,0)</f>
        <v>2020003050032</v>
      </c>
      <c r="G1242" s="49" t="s">
        <v>333</v>
      </c>
      <c r="H1242" s="49" t="str">
        <f>VLOOKUP(Q1242,[2]PROYECTOS!$V$1:$W$32,2,0)</f>
        <v>050059</v>
      </c>
      <c r="I1242" s="50">
        <v>3095589</v>
      </c>
      <c r="J1242" s="51" t="s">
        <v>328</v>
      </c>
      <c r="K1242" s="47" t="str">
        <f t="shared" ca="1" si="452"/>
        <v>CONTRATADO</v>
      </c>
      <c r="L1242" s="47" t="s">
        <v>94</v>
      </c>
      <c r="M1242" s="47" t="s">
        <v>1297</v>
      </c>
      <c r="N1242" s="52" t="s">
        <v>334</v>
      </c>
      <c r="O1242" s="51" t="e">
        <f>VLOOKUP(N1242,[2]!RUBROS[#All],3,0)</f>
        <v>#REF!</v>
      </c>
      <c r="P1242" s="53" t="e">
        <f>VLOOKUP(N1242,[2]!RUBROS[#All],2,0)</f>
        <v>#REF!</v>
      </c>
      <c r="Q1242" s="47" t="str">
        <f t="shared" si="453"/>
        <v>46</v>
      </c>
      <c r="R1242" s="47" t="str">
        <f t="shared" si="454"/>
        <v>0-205128</v>
      </c>
      <c r="S1242" s="54">
        <v>12</v>
      </c>
      <c r="T1242" s="59" t="s">
        <v>46</v>
      </c>
      <c r="U1242" s="326" t="e">
        <f ca="1">_xlfn.XLOOKUP(PAA_4[[#This Row],[ITEM]],[2]Contrato!A:A,[2]Contrato!Q:Q,"",0)</f>
        <v>#NAME?</v>
      </c>
      <c r="V1242" s="47" t="s">
        <v>47</v>
      </c>
      <c r="W1242" s="47" t="s">
        <v>83</v>
      </c>
      <c r="X1242" s="47" t="s">
        <v>83</v>
      </c>
      <c r="Y1242" s="55" t="e">
        <f ca="1">_xlfn.XLOOKUP(PAA_4[[#This Row],[ITEM]],[2]Contrato!A:A,[2]Contrato!B:B,"",0)</f>
        <v>#NAME?</v>
      </c>
      <c r="Z1242" s="47" t="e">
        <f ca="1">_xlfn.XLOOKUP(PAA_4[[#This Row],[ITEM]],[2]Contrato!A:A,[2]Contrato!G:G,"",0)</f>
        <v>#NAME?</v>
      </c>
      <c r="AA1242" s="47" t="e">
        <f ca="1">_xlfn.XLOOKUP(PAA_4[[#This Row],[ITEM]],[2]Contrato!A:A,[2]Contrato!T:T,"",0)</f>
        <v>#NAME?</v>
      </c>
      <c r="AB1242" s="55" t="e">
        <f ca="1">+MAX(PAA_4[[#This Row],[Comprometido Contrato]],PAA_4[[#This Row],[Comprometido Bolsa]])</f>
        <v>#NAME?</v>
      </c>
      <c r="AC1242" s="55" t="str">
        <f t="shared" ca="1" si="455"/>
        <v/>
      </c>
      <c r="AD1242" s="55" t="e">
        <f ca="1">IF(PAA_4[[#This Row],[ESTADO (formulado)]]="NO CONTRATADO",0,MAX(PAA_4[[#This Row],[Pago por Contrato]],PAA_4[[#This Row],[Pago por bolsa]]))</f>
        <v>#NAME?</v>
      </c>
      <c r="AE1242" s="55" t="str">
        <f t="shared" ca="1" si="456"/>
        <v/>
      </c>
      <c r="AF1242" s="47" t="e">
        <f t="shared" ca="1" si="457"/>
        <v>#NAME?</v>
      </c>
      <c r="AG1242" s="47">
        <f t="shared" si="458"/>
        <v>44021007</v>
      </c>
      <c r="AH1242" s="54">
        <f>IF(Q1242="22",IF(ISNUMBER(SEARCH("econ",PAA_4[[#This Row],[Actividad3]])),"Económico",IF(ISNUMBER(SEARCH("alim",PAA_4[[#This Row],[Actividad3]])),"Alimentación",IF(ISNUMBER(SEARCH("educ",PAA_4[[#This Row],[Actividad3]])),"Educativo","Técnico"))),0)</f>
        <v>0</v>
      </c>
      <c r="AI1242" s="47" t="e" cm="1">
        <f t="array" aca="1" ref="AI1242" ca="1">_xlfn.XLOOKUP(PAA_4[[#This Row],[RCP-RUBRO]],[2]!COMPROMISOS_2024[[#All],[concatenado]],[2]!COMPROMISOS_2024[[#All],[Total pagado]],"",0)</f>
        <v>#NAME?</v>
      </c>
      <c r="AJ1242" s="56">
        <f>IF(PAA_4[[#This Row],[BOLSA]]=0,0,SUMIFS([2]!COMPROMISOS_2024[[#All],[Total pagado]],[2]!COMPROMISOS_2024[[#All],[Bolsa]],PAA_4[[#This Row],[BOLSA]],[2]!COMPROMISOS_2024[[#All],[rubro]],PAA_4[[#This Row],[RCP-RUBRO]]))</f>
        <v>0</v>
      </c>
      <c r="AK1242" s="47" t="e" cm="1">
        <f t="array" aca="1" ref="AK1242" ca="1">_xlfn.XLOOKUP(PAA_4[[#This Row],[RCP-RUBRO]],[2]!COMPROMISOS_2024[[#All],[concatenado]],[2]!COMPROMISOS_2024[[#All],[Total Comprometido]],"",0)</f>
        <v>#NAME?</v>
      </c>
      <c r="AL1242" s="47">
        <f>IF(PAA_4[[#This Row],[BOLSA]]=0,0,SUMIFS([2]!COMPROMISOS_2024[[#All],[Total Comprometido]],[2]!COMPROMISOS_2024[[#All],[Bolsa]],PAA_4[[#This Row],[BOLSA]],[2]!COMPROMISOS_2024[[#All],[concatenado]],PAA_4[[#This Row],[RCP-RUBRO]]))</f>
        <v>0</v>
      </c>
    </row>
    <row r="1243" spans="1:38" s="19" customFormat="1" ht="31.5" customHeight="1">
      <c r="A1243" s="47" t="s">
        <v>82</v>
      </c>
      <c r="B1243" s="47">
        <v>80111600</v>
      </c>
      <c r="C1243" s="47" t="str">
        <f>VLOOKUP(PAA_4[[#This Row],[PROYECTO (formulado)2]],[2]PROYECTOS!$G$1:$L$32,6,0)</f>
        <v>SUBGERENCIA DE FOMENTO Y DESARROLLO</v>
      </c>
      <c r="D1243" s="47" t="str">
        <f>+IF(PAA_4[[#This Row],[UNIDAD DE CONTRATACION (formulado)]]="Subgerencia Administrativa y Financiera","FUNCIONAMIENTO","INVERSIÓN")</f>
        <v>INVERSIÓN</v>
      </c>
      <c r="E1243" s="48" t="str">
        <f>VLOOKUP(Q1243,[2]PROYECTOS!$G$1:$K$32,5,0)</f>
        <v>FORTALECIMIENTO_DEL_PROGRAMA_POR_SU_SALUD_MUÉVASE_PUES_EN_LOS_MUNICIPIO_DEL_DEPARTAMENTO_DE_ANTIOQUIA</v>
      </c>
      <c r="F1243" s="48">
        <f>VLOOKUP(E1243,[2]PROYECTOS!$K$1:$M$32,3,0)</f>
        <v>2020003050030</v>
      </c>
      <c r="G1243" s="49" t="s">
        <v>326</v>
      </c>
      <c r="H1243" s="49" t="str">
        <f>VLOOKUP(Q1243,[2]PROYECTOS!$V$1:$W$32,2,0)</f>
        <v>050055</v>
      </c>
      <c r="I1243" s="50">
        <v>0</v>
      </c>
      <c r="J1243" s="74" t="s">
        <v>374</v>
      </c>
      <c r="K1243" s="47" t="str">
        <f t="shared" ca="1" si="452"/>
        <v>CONTRATADO</v>
      </c>
      <c r="L1243" s="47" t="s">
        <v>94</v>
      </c>
      <c r="M1243" s="47" t="s">
        <v>1297</v>
      </c>
      <c r="N1243" s="51" t="s">
        <v>329</v>
      </c>
      <c r="O1243" s="51" t="e">
        <f>VLOOKUP(N1243,[2]!RUBROS[#All],3,0)</f>
        <v>#REF!</v>
      </c>
      <c r="P1243" s="53" t="e">
        <f>VLOOKUP(N1243,[2]!RUBROS[#All],2,0)</f>
        <v>#REF!</v>
      </c>
      <c r="Q1243" s="47" t="str">
        <f t="shared" si="453"/>
        <v>45</v>
      </c>
      <c r="R1243" s="47" t="str">
        <f t="shared" si="454"/>
        <v>0-205128</v>
      </c>
      <c r="S1243" s="54">
        <v>9</v>
      </c>
      <c r="T1243" s="59" t="s">
        <v>46</v>
      </c>
      <c r="U1243" s="326" t="e">
        <f ca="1">_xlfn.XLOOKUP(PAA_4[[#This Row],[ITEM]],[2]Contrato!A:A,[2]Contrato!Q:Q,"",0)</f>
        <v>#NAME?</v>
      </c>
      <c r="V1243" s="47" t="s">
        <v>47</v>
      </c>
      <c r="W1243" s="47" t="s">
        <v>122</v>
      </c>
      <c r="X1243" s="47" t="s">
        <v>122</v>
      </c>
      <c r="Y1243" s="55" t="e">
        <f ca="1">_xlfn.XLOOKUP(PAA_4[[#This Row],[ITEM]],[2]Contrato!A:A,[2]Contrato!B:B,"",0)</f>
        <v>#NAME?</v>
      </c>
      <c r="Z1243" s="47" t="e">
        <f ca="1">_xlfn.XLOOKUP(PAA_4[[#This Row],[ITEM]],[2]Contrato!A:A,[2]Contrato!G:G,"",0)</f>
        <v>#NAME?</v>
      </c>
      <c r="AA1243" s="47" t="e">
        <f ca="1">_xlfn.XLOOKUP(PAA_4[[#This Row],[ITEM]],[2]Contrato!A:A,[2]Contrato!T:T,"",0)</f>
        <v>#NAME?</v>
      </c>
      <c r="AB1243" s="55" t="e">
        <f ca="1">+MAX(PAA_4[[#This Row],[Comprometido Contrato]],PAA_4[[#This Row],[Comprometido Bolsa]])</f>
        <v>#NAME?</v>
      </c>
      <c r="AC1243" s="55" t="str">
        <f t="shared" ca="1" si="455"/>
        <v/>
      </c>
      <c r="AD1243" s="55" t="e">
        <f ca="1">IF(PAA_4[[#This Row],[ESTADO (formulado)]]="NO CONTRATADO",0,MAX(PAA_4[[#This Row],[Pago por Contrato]],PAA_4[[#This Row],[Pago por bolsa]]))</f>
        <v>#NAME?</v>
      </c>
      <c r="AE1243" s="55" t="str">
        <f t="shared" ca="1" si="456"/>
        <v/>
      </c>
      <c r="AF1243" s="47" t="e">
        <f t="shared" ca="1" si="457"/>
        <v>#NAME?</v>
      </c>
      <c r="AG1243" s="47">
        <f t="shared" si="458"/>
        <v>44021001</v>
      </c>
      <c r="AH1243" s="54">
        <f>IF(Q1243="22",IF(ISNUMBER(SEARCH("econ",PAA_4[[#This Row],[Actividad3]])),"Económico",IF(ISNUMBER(SEARCH("alim",PAA_4[[#This Row],[Actividad3]])),"Alimentación",IF(ISNUMBER(SEARCH("educ",PAA_4[[#This Row],[Actividad3]])),"Educativo","Técnico"))),0)</f>
        <v>0</v>
      </c>
      <c r="AI1243" s="47" t="e" cm="1">
        <f t="array" aca="1" ref="AI1243" ca="1">_xlfn.XLOOKUP(PAA_4[[#This Row],[RCP-RUBRO]],[2]!COMPROMISOS_2024[[#All],[concatenado]],[2]!COMPROMISOS_2024[[#All],[Total pagado]],"",0)</f>
        <v>#NAME?</v>
      </c>
      <c r="AJ1243" s="56">
        <f>IF(PAA_4[[#This Row],[BOLSA]]=0,0,SUMIFS([2]!COMPROMISOS_2024[[#All],[Total pagado]],[2]!COMPROMISOS_2024[[#All],[Bolsa]],PAA_4[[#This Row],[BOLSA]],[2]!COMPROMISOS_2024[[#All],[rubro]],PAA_4[[#This Row],[RCP-RUBRO]]))</f>
        <v>0</v>
      </c>
      <c r="AK1243" s="47" t="e" cm="1">
        <f t="array" aca="1" ref="AK1243" ca="1">_xlfn.XLOOKUP(PAA_4[[#This Row],[RCP-RUBRO]],[2]!COMPROMISOS_2024[[#All],[concatenado]],[2]!COMPROMISOS_2024[[#All],[Total Comprometido]],"",0)</f>
        <v>#NAME?</v>
      </c>
      <c r="AL1243" s="47">
        <f>IF(PAA_4[[#This Row],[BOLSA]]=0,0,SUMIFS([2]!COMPROMISOS_2024[[#All],[Total Comprometido]],[2]!COMPROMISOS_2024[[#All],[Bolsa]],PAA_4[[#This Row],[BOLSA]],[2]!COMPROMISOS_2024[[#All],[concatenado]],PAA_4[[#This Row],[RCP-RUBRO]]))</f>
        <v>0</v>
      </c>
    </row>
    <row r="1244" spans="1:38" s="19" customFormat="1" ht="31.5" customHeight="1">
      <c r="A1244" s="47">
        <v>379</v>
      </c>
      <c r="B1244" s="47">
        <v>80111600</v>
      </c>
      <c r="C1244" s="47" t="str">
        <f>VLOOKUP(PAA_4[[#This Row],[PROYECTO (formulado)2]],[2]PROYECTOS!$G$1:$L$32,6,0)</f>
        <v>SUBGERENCIA DE FOMENTO Y DESARROLLO</v>
      </c>
      <c r="D1244" s="47" t="str">
        <f>+IF(PAA_4[[#This Row],[UNIDAD DE CONTRATACION (formulado)]]="Subgerencia Administrativa y Financiera","FUNCIONAMIENTO","INVERSIÓN")</f>
        <v>INVERSIÓN</v>
      </c>
      <c r="E1244" s="48" t="str">
        <f>VLOOKUP(Q1244,[2]PROYECTOS!$G$1:$K$32,5,0)</f>
        <v>FORTALECIMIENTO_DE_LAS_ESCUELAS_DEPORTIVAS_EN_LOS_MUNICIPIOS_DEL_DEPARTAMENTO_DE_ANTIOQUIA</v>
      </c>
      <c r="F1244" s="48">
        <f>VLOOKUP(E1244,[2]PROYECTOS!$K$1:$M$32,3,0)</f>
        <v>2020003050032</v>
      </c>
      <c r="G1244" s="49" t="s">
        <v>333</v>
      </c>
      <c r="H1244" s="49" t="str">
        <f>VLOOKUP(Q1244,[2]PROYECTOS!$V$1:$W$32,2,0)</f>
        <v>050059</v>
      </c>
      <c r="I1244" s="50">
        <v>3361243</v>
      </c>
      <c r="J1244" s="51" t="s">
        <v>330</v>
      </c>
      <c r="K1244" s="47" t="str">
        <f t="shared" ca="1" si="452"/>
        <v>CONTRATADO</v>
      </c>
      <c r="L1244" s="47" t="s">
        <v>94</v>
      </c>
      <c r="M1244" s="47" t="s">
        <v>1297</v>
      </c>
      <c r="N1244" s="52" t="s">
        <v>334</v>
      </c>
      <c r="O1244" s="51" t="e">
        <f>VLOOKUP(N1244,[2]!RUBROS[#All],3,0)</f>
        <v>#REF!</v>
      </c>
      <c r="P1244" s="53" t="e">
        <f>VLOOKUP(N1244,[2]!RUBROS[#All],2,0)</f>
        <v>#REF!</v>
      </c>
      <c r="Q1244" s="47" t="str">
        <f t="shared" si="453"/>
        <v>46</v>
      </c>
      <c r="R1244" s="47" t="str">
        <f t="shared" si="454"/>
        <v>0-205128</v>
      </c>
      <c r="S1244" s="54">
        <v>3</v>
      </c>
      <c r="T1244" s="59" t="s">
        <v>46</v>
      </c>
      <c r="U1244" s="326" t="e">
        <f ca="1">_xlfn.XLOOKUP(PAA_4[[#This Row],[ITEM]],[2]Contrato!A:A,[2]Contrato!Q:Q,"",0)</f>
        <v>#NAME?</v>
      </c>
      <c r="V1244" s="47" t="s">
        <v>47</v>
      </c>
      <c r="W1244" s="47" t="s">
        <v>83</v>
      </c>
      <c r="X1244" s="47" t="s">
        <v>83</v>
      </c>
      <c r="Y1244" s="55" t="e">
        <f ca="1">_xlfn.XLOOKUP(PAA_4[[#This Row],[ITEM]],[2]Contrato!A:A,[2]Contrato!B:B,"",0)</f>
        <v>#NAME?</v>
      </c>
      <c r="Z1244" s="47" t="e">
        <f ca="1">_xlfn.XLOOKUP(PAA_4[[#This Row],[ITEM]],[2]Contrato!A:A,[2]Contrato!G:G,"",0)</f>
        <v>#NAME?</v>
      </c>
      <c r="AA1244" s="47" t="e">
        <f ca="1">_xlfn.XLOOKUP(PAA_4[[#This Row],[ITEM]],[2]Contrato!A:A,[2]Contrato!T:T,"",0)</f>
        <v>#NAME?</v>
      </c>
      <c r="AB1244" s="55" t="e">
        <f ca="1">+MAX(PAA_4[[#This Row],[Comprometido Contrato]],PAA_4[[#This Row],[Comprometido Bolsa]])</f>
        <v>#NAME?</v>
      </c>
      <c r="AC1244" s="55" t="str">
        <f t="shared" ca="1" si="455"/>
        <v/>
      </c>
      <c r="AD1244" s="55" t="e">
        <f ca="1">IF(PAA_4[[#This Row],[ESTADO (formulado)]]="NO CONTRATADO",0,MAX(PAA_4[[#This Row],[Pago por Contrato]],PAA_4[[#This Row],[Pago por bolsa]]))</f>
        <v>#NAME?</v>
      </c>
      <c r="AE1244" s="55" t="str">
        <f t="shared" ca="1" si="456"/>
        <v/>
      </c>
      <c r="AF1244" s="47" t="e">
        <f t="shared" ca="1" si="457"/>
        <v>#NAME?</v>
      </c>
      <c r="AG1244" s="47">
        <f t="shared" si="458"/>
        <v>44021007</v>
      </c>
      <c r="AH1244" s="54">
        <f>IF(Q1244="22",IF(ISNUMBER(SEARCH("econ",PAA_4[[#This Row],[Actividad3]])),"Económico",IF(ISNUMBER(SEARCH("alim",PAA_4[[#This Row],[Actividad3]])),"Alimentación",IF(ISNUMBER(SEARCH("educ",PAA_4[[#This Row],[Actividad3]])),"Educativo","Técnico"))),0)</f>
        <v>0</v>
      </c>
      <c r="AI1244" s="47" t="e" cm="1">
        <f t="array" aca="1" ref="AI1244" ca="1">_xlfn.XLOOKUP(PAA_4[[#This Row],[RCP-RUBRO]],[2]!COMPROMISOS_2024[[#All],[concatenado]],[2]!COMPROMISOS_2024[[#All],[Total pagado]],"",0)</f>
        <v>#NAME?</v>
      </c>
      <c r="AJ1244" s="56">
        <f>IF(PAA_4[[#This Row],[BOLSA]]=0,0,SUMIFS([2]!COMPROMISOS_2024[[#All],[Total pagado]],[2]!COMPROMISOS_2024[[#All],[Bolsa]],PAA_4[[#This Row],[BOLSA]],[2]!COMPROMISOS_2024[[#All],[rubro]],PAA_4[[#This Row],[RCP-RUBRO]]))</f>
        <v>0</v>
      </c>
      <c r="AK1244" s="47" t="e" cm="1">
        <f t="array" aca="1" ref="AK1244" ca="1">_xlfn.XLOOKUP(PAA_4[[#This Row],[RCP-RUBRO]],[2]!COMPROMISOS_2024[[#All],[concatenado]],[2]!COMPROMISOS_2024[[#All],[Total Comprometido]],"",0)</f>
        <v>#NAME?</v>
      </c>
      <c r="AL1244" s="47">
        <f>IF(PAA_4[[#This Row],[BOLSA]]=0,0,SUMIFS([2]!COMPROMISOS_2024[[#All],[Total Comprometido]],[2]!COMPROMISOS_2024[[#All],[Bolsa]],PAA_4[[#This Row],[BOLSA]],[2]!COMPROMISOS_2024[[#All],[concatenado]],PAA_4[[#This Row],[RCP-RUBRO]]))</f>
        <v>0</v>
      </c>
    </row>
    <row r="1245" spans="1:38" s="19" customFormat="1" ht="31.5" customHeight="1">
      <c r="A1245" s="47">
        <v>380</v>
      </c>
      <c r="B1245" s="47">
        <v>80111600</v>
      </c>
      <c r="C1245" s="47" t="str">
        <f>VLOOKUP(PAA_4[[#This Row],[PROYECTO (formulado)2]],[2]PROYECTOS!$G$1:$L$32,6,0)</f>
        <v>SUBGERENCIA DE FOMENTO Y DESARROLLO</v>
      </c>
      <c r="D1245" s="47" t="str">
        <f>+IF(PAA_4[[#This Row],[UNIDAD DE CONTRATACION (formulado)]]="Subgerencia Administrativa y Financiera","FUNCIONAMIENTO","INVERSIÓN")</f>
        <v>INVERSIÓN</v>
      </c>
      <c r="E1245" s="48" t="str">
        <f>VLOOKUP(Q1245,[2]PROYECTOS!$G$1:$K$32,5,0)</f>
        <v>FORTALECIMIENTO_DE_LAS_ESCUELAS_DEPORTIVAS_EN_LOS_MUNICIPIOS_DEL_DEPARTAMENTO_DE_ANTIOQUIA</v>
      </c>
      <c r="F1245" s="48">
        <f>VLOOKUP(E1245,[2]PROYECTOS!$K$1:$M$32,3,0)</f>
        <v>2020003050032</v>
      </c>
      <c r="G1245" s="49" t="s">
        <v>333</v>
      </c>
      <c r="H1245" s="49" t="str">
        <f>VLOOKUP(Q1245,[2]PROYECTOS!$V$1:$W$32,2,0)</f>
        <v>050059</v>
      </c>
      <c r="I1245" s="50">
        <v>3361243</v>
      </c>
      <c r="J1245" s="70" t="s">
        <v>331</v>
      </c>
      <c r="K1245" s="47" t="str">
        <f t="shared" ca="1" si="452"/>
        <v>CONTRATADO</v>
      </c>
      <c r="L1245" s="47" t="s">
        <v>94</v>
      </c>
      <c r="M1245" s="47" t="s">
        <v>1297</v>
      </c>
      <c r="N1245" s="52" t="s">
        <v>334</v>
      </c>
      <c r="O1245" s="51" t="e">
        <f>VLOOKUP(N1245,[2]!RUBROS[#All],3,0)</f>
        <v>#REF!</v>
      </c>
      <c r="P1245" s="53" t="e">
        <f>VLOOKUP(N1245,[2]!RUBROS[#All],2,0)</f>
        <v>#REF!</v>
      </c>
      <c r="Q1245" s="47" t="str">
        <f t="shared" si="453"/>
        <v>46</v>
      </c>
      <c r="R1245" s="47" t="str">
        <f t="shared" si="454"/>
        <v>0-205128</v>
      </c>
      <c r="S1245" s="54">
        <v>3</v>
      </c>
      <c r="T1245" s="59" t="s">
        <v>46</v>
      </c>
      <c r="U1245" s="326" t="e">
        <f ca="1">_xlfn.XLOOKUP(PAA_4[[#This Row],[ITEM]],[2]Contrato!A:A,[2]Contrato!Q:Q,"",0)</f>
        <v>#NAME?</v>
      </c>
      <c r="V1245" s="47" t="s">
        <v>47</v>
      </c>
      <c r="W1245" s="47" t="s">
        <v>83</v>
      </c>
      <c r="X1245" s="47" t="s">
        <v>83</v>
      </c>
      <c r="Y1245" s="55" t="e">
        <f ca="1">_xlfn.XLOOKUP(PAA_4[[#This Row],[ITEM]],[2]Contrato!A:A,[2]Contrato!B:B,"",0)</f>
        <v>#NAME?</v>
      </c>
      <c r="Z1245" s="47" t="e">
        <f ca="1">_xlfn.XLOOKUP(PAA_4[[#This Row],[ITEM]],[2]Contrato!A:A,[2]Contrato!G:G,"",0)</f>
        <v>#NAME?</v>
      </c>
      <c r="AA1245" s="47" t="e">
        <f ca="1">_xlfn.XLOOKUP(PAA_4[[#This Row],[ITEM]],[2]Contrato!A:A,[2]Contrato!T:T,"",0)</f>
        <v>#NAME?</v>
      </c>
      <c r="AB1245" s="55" t="e">
        <f ca="1">+MAX(PAA_4[[#This Row],[Comprometido Contrato]],PAA_4[[#This Row],[Comprometido Bolsa]])</f>
        <v>#NAME?</v>
      </c>
      <c r="AC1245" s="55" t="str">
        <f t="shared" ca="1" si="455"/>
        <v/>
      </c>
      <c r="AD1245" s="55" t="e">
        <f ca="1">IF(PAA_4[[#This Row],[ESTADO (formulado)]]="NO CONTRATADO",0,MAX(PAA_4[[#This Row],[Pago por Contrato]],PAA_4[[#This Row],[Pago por bolsa]]))</f>
        <v>#NAME?</v>
      </c>
      <c r="AE1245" s="55" t="str">
        <f t="shared" ca="1" si="456"/>
        <v/>
      </c>
      <c r="AF1245" s="47" t="e">
        <f t="shared" ca="1" si="457"/>
        <v>#NAME?</v>
      </c>
      <c r="AG1245" s="47">
        <f t="shared" si="458"/>
        <v>44021007</v>
      </c>
      <c r="AH1245" s="54">
        <f>IF(Q1245="22",IF(ISNUMBER(SEARCH("econ",PAA_4[[#This Row],[Actividad3]])),"Económico",IF(ISNUMBER(SEARCH("alim",PAA_4[[#This Row],[Actividad3]])),"Alimentación",IF(ISNUMBER(SEARCH("educ",PAA_4[[#This Row],[Actividad3]])),"Educativo","Técnico"))),0)</f>
        <v>0</v>
      </c>
      <c r="AI1245" s="47" t="e" cm="1">
        <f t="array" aca="1" ref="AI1245" ca="1">_xlfn.XLOOKUP(PAA_4[[#This Row],[RCP-RUBRO]],[2]!COMPROMISOS_2024[[#All],[concatenado]],[2]!COMPROMISOS_2024[[#All],[Total pagado]],"",0)</f>
        <v>#NAME?</v>
      </c>
      <c r="AJ1245" s="56">
        <f>IF(PAA_4[[#This Row],[BOLSA]]=0,0,SUMIFS([2]!COMPROMISOS_2024[[#All],[Total pagado]],[2]!COMPROMISOS_2024[[#All],[Bolsa]],PAA_4[[#This Row],[BOLSA]],[2]!COMPROMISOS_2024[[#All],[rubro]],PAA_4[[#This Row],[RCP-RUBRO]]))</f>
        <v>0</v>
      </c>
      <c r="AK1245" s="47" t="e" cm="1">
        <f t="array" aca="1" ref="AK1245" ca="1">_xlfn.XLOOKUP(PAA_4[[#This Row],[RCP-RUBRO]],[2]!COMPROMISOS_2024[[#All],[concatenado]],[2]!COMPROMISOS_2024[[#All],[Total Comprometido]],"",0)</f>
        <v>#NAME?</v>
      </c>
      <c r="AL1245" s="47">
        <f>IF(PAA_4[[#This Row],[BOLSA]]=0,0,SUMIFS([2]!COMPROMISOS_2024[[#All],[Total Comprometido]],[2]!COMPROMISOS_2024[[#All],[Bolsa]],PAA_4[[#This Row],[BOLSA]],[2]!COMPROMISOS_2024[[#All],[concatenado]],PAA_4[[#This Row],[RCP-RUBRO]]))</f>
        <v>0</v>
      </c>
    </row>
    <row r="1246" spans="1:38" s="19" customFormat="1" ht="31.5" customHeight="1">
      <c r="A1246" s="47">
        <v>381</v>
      </c>
      <c r="B1246" s="47">
        <v>80111600</v>
      </c>
      <c r="C1246" s="47" t="str">
        <f>VLOOKUP(PAA_4[[#This Row],[PROYECTO (formulado)2]],[2]PROYECTOS!$G$1:$L$32,6,0)</f>
        <v>SUBGERENCIA DE FOMENTO Y DESARROLLO</v>
      </c>
      <c r="D1246" s="47" t="str">
        <f>+IF(PAA_4[[#This Row],[UNIDAD DE CONTRATACION (formulado)]]="Subgerencia Administrativa y Financiera","FUNCIONAMIENTO","INVERSIÓN")</f>
        <v>INVERSIÓN</v>
      </c>
      <c r="E1246" s="48" t="str">
        <f>VLOOKUP(Q1246,[2]PROYECTOS!$G$1:$K$32,5,0)</f>
        <v>FORTALECIMIENTO_DE_LAS_ESCUELAS_DEPORTIVAS_EN_LOS_MUNICIPIOS_DEL_DEPARTAMENTO_DE_ANTIOQUIA</v>
      </c>
      <c r="F1246" s="48">
        <f>VLOOKUP(E1246,[2]PROYECTOS!$K$1:$M$32,3,0)</f>
        <v>2020003050032</v>
      </c>
      <c r="G1246" s="49" t="s">
        <v>333</v>
      </c>
      <c r="H1246" s="49" t="str">
        <f>VLOOKUP(Q1246,[2]PROYECTOS!$V$1:$W$32,2,0)</f>
        <v>050059</v>
      </c>
      <c r="I1246" s="50">
        <v>3095589</v>
      </c>
      <c r="J1246" s="51" t="s">
        <v>328</v>
      </c>
      <c r="K1246" s="47" t="str">
        <f t="shared" ca="1" si="452"/>
        <v>CONTRATADO</v>
      </c>
      <c r="L1246" s="47" t="s">
        <v>94</v>
      </c>
      <c r="M1246" s="47" t="s">
        <v>1297</v>
      </c>
      <c r="N1246" s="52" t="s">
        <v>334</v>
      </c>
      <c r="O1246" s="51" t="e">
        <f>VLOOKUP(N1246,[2]!RUBROS[#All],3,0)</f>
        <v>#REF!</v>
      </c>
      <c r="P1246" s="53" t="e">
        <f>VLOOKUP(N1246,[2]!RUBROS[#All],2,0)</f>
        <v>#REF!</v>
      </c>
      <c r="Q1246" s="47" t="str">
        <f t="shared" si="453"/>
        <v>46</v>
      </c>
      <c r="R1246" s="47" t="str">
        <f t="shared" si="454"/>
        <v>0-205128</v>
      </c>
      <c r="S1246" s="54">
        <v>12</v>
      </c>
      <c r="T1246" s="59" t="s">
        <v>46</v>
      </c>
      <c r="U1246" s="326" t="e">
        <f ca="1">_xlfn.XLOOKUP(PAA_4[[#This Row],[ITEM]],[2]Contrato!A:A,[2]Contrato!Q:Q,"",0)</f>
        <v>#NAME?</v>
      </c>
      <c r="V1246" s="47" t="s">
        <v>47</v>
      </c>
      <c r="W1246" s="47" t="s">
        <v>83</v>
      </c>
      <c r="X1246" s="47" t="s">
        <v>83</v>
      </c>
      <c r="Y1246" s="55" t="e">
        <f ca="1">_xlfn.XLOOKUP(PAA_4[[#This Row],[ITEM]],[2]Contrato!A:A,[2]Contrato!B:B,"",0)</f>
        <v>#NAME?</v>
      </c>
      <c r="Z1246" s="47" t="e">
        <f ca="1">_xlfn.XLOOKUP(PAA_4[[#This Row],[ITEM]],[2]Contrato!A:A,[2]Contrato!G:G,"",0)</f>
        <v>#NAME?</v>
      </c>
      <c r="AA1246" s="47" t="e">
        <f ca="1">_xlfn.XLOOKUP(PAA_4[[#This Row],[ITEM]],[2]Contrato!A:A,[2]Contrato!T:T,"",0)</f>
        <v>#NAME?</v>
      </c>
      <c r="AB1246" s="55" t="e">
        <f ca="1">+MAX(PAA_4[[#This Row],[Comprometido Contrato]],PAA_4[[#This Row],[Comprometido Bolsa]])</f>
        <v>#NAME?</v>
      </c>
      <c r="AC1246" s="55" t="str">
        <f t="shared" ca="1" si="455"/>
        <v/>
      </c>
      <c r="AD1246" s="55" t="e">
        <f ca="1">IF(PAA_4[[#This Row],[ESTADO (formulado)]]="NO CONTRATADO",0,MAX(PAA_4[[#This Row],[Pago por Contrato]],PAA_4[[#This Row],[Pago por bolsa]]))</f>
        <v>#NAME?</v>
      </c>
      <c r="AE1246" s="55" t="str">
        <f t="shared" ca="1" si="456"/>
        <v/>
      </c>
      <c r="AF1246" s="47" t="e">
        <f t="shared" ca="1" si="457"/>
        <v>#NAME?</v>
      </c>
      <c r="AG1246" s="47">
        <f t="shared" si="458"/>
        <v>44021007</v>
      </c>
      <c r="AH1246" s="54">
        <f>IF(Q1246="22",IF(ISNUMBER(SEARCH("econ",PAA_4[[#This Row],[Actividad3]])),"Económico",IF(ISNUMBER(SEARCH("alim",PAA_4[[#This Row],[Actividad3]])),"Alimentación",IF(ISNUMBER(SEARCH("educ",PAA_4[[#This Row],[Actividad3]])),"Educativo","Técnico"))),0)</f>
        <v>0</v>
      </c>
      <c r="AI1246" s="47" t="e" cm="1">
        <f t="array" aca="1" ref="AI1246" ca="1">_xlfn.XLOOKUP(PAA_4[[#This Row],[RCP-RUBRO]],[2]!COMPROMISOS_2024[[#All],[concatenado]],[2]!COMPROMISOS_2024[[#All],[Total pagado]],"",0)</f>
        <v>#NAME?</v>
      </c>
      <c r="AJ1246" s="56">
        <f>IF(PAA_4[[#This Row],[BOLSA]]=0,0,SUMIFS([2]!COMPROMISOS_2024[[#All],[Total pagado]],[2]!COMPROMISOS_2024[[#All],[Bolsa]],PAA_4[[#This Row],[BOLSA]],[2]!COMPROMISOS_2024[[#All],[rubro]],PAA_4[[#This Row],[RCP-RUBRO]]))</f>
        <v>0</v>
      </c>
      <c r="AK1246" s="47" t="e" cm="1">
        <f t="array" aca="1" ref="AK1246" ca="1">_xlfn.XLOOKUP(PAA_4[[#This Row],[RCP-RUBRO]],[2]!COMPROMISOS_2024[[#All],[concatenado]],[2]!COMPROMISOS_2024[[#All],[Total Comprometido]],"",0)</f>
        <v>#NAME?</v>
      </c>
      <c r="AL1246" s="47">
        <f>IF(PAA_4[[#This Row],[BOLSA]]=0,0,SUMIFS([2]!COMPROMISOS_2024[[#All],[Total Comprometido]],[2]!COMPROMISOS_2024[[#All],[Bolsa]],PAA_4[[#This Row],[BOLSA]],[2]!COMPROMISOS_2024[[#All],[concatenado]],PAA_4[[#This Row],[RCP-RUBRO]]))</f>
        <v>0</v>
      </c>
    </row>
    <row r="1247" spans="1:38" s="19" customFormat="1" ht="31.5" customHeight="1">
      <c r="A1247" s="47">
        <v>382</v>
      </c>
      <c r="B1247" s="47">
        <v>80111600</v>
      </c>
      <c r="C1247" s="47" t="str">
        <f>VLOOKUP(PAA_4[[#This Row],[PROYECTO (formulado)2]],[2]PROYECTOS!$G$1:$L$32,6,0)</f>
        <v>SUBGERENCIA DE FOMENTO Y DESARROLLO</v>
      </c>
      <c r="D1247" s="47" t="str">
        <f>+IF(PAA_4[[#This Row],[UNIDAD DE CONTRATACION (formulado)]]="Subgerencia Administrativa y Financiera","FUNCIONAMIENTO","INVERSIÓN")</f>
        <v>INVERSIÓN</v>
      </c>
      <c r="E1247" s="48" t="str">
        <f>VLOOKUP(Q1247,[2]PROYECTOS!$G$1:$K$32,5,0)</f>
        <v>FORTALECIMIENTO_DE_LAS_ESCUELAS_DEPORTIVAS_EN_LOS_MUNICIPIOS_DEL_DEPARTAMENTO_DE_ANTIOQUIA</v>
      </c>
      <c r="F1247" s="48">
        <f>VLOOKUP(E1247,[2]PROYECTOS!$K$1:$M$32,3,0)</f>
        <v>2020003050032</v>
      </c>
      <c r="G1247" s="49" t="s">
        <v>333</v>
      </c>
      <c r="H1247" s="49" t="str">
        <f>VLOOKUP(Q1247,[2]PROYECTOS!$V$1:$W$32,2,0)</f>
        <v>050059</v>
      </c>
      <c r="I1247" s="50">
        <v>0</v>
      </c>
      <c r="J1247" s="51" t="s">
        <v>357</v>
      </c>
      <c r="K1247" s="47" t="str">
        <f t="shared" ca="1" si="452"/>
        <v>CONTRATADO</v>
      </c>
      <c r="L1247" s="47" t="s">
        <v>94</v>
      </c>
      <c r="M1247" s="47" t="s">
        <v>1297</v>
      </c>
      <c r="N1247" s="52" t="s">
        <v>334</v>
      </c>
      <c r="O1247" s="51" t="e">
        <f>VLOOKUP(N1247,[2]!RUBROS[#All],3,0)</f>
        <v>#REF!</v>
      </c>
      <c r="P1247" s="53" t="e">
        <f>VLOOKUP(N1247,[2]!RUBROS[#All],2,0)</f>
        <v>#REF!</v>
      </c>
      <c r="Q1247" s="47" t="str">
        <f t="shared" si="453"/>
        <v>46</v>
      </c>
      <c r="R1247" s="47" t="str">
        <f t="shared" si="454"/>
        <v>0-205128</v>
      </c>
      <c r="S1247" s="54">
        <v>5</v>
      </c>
      <c r="T1247" s="59" t="s">
        <v>46</v>
      </c>
      <c r="U1247" s="326" t="e">
        <f ca="1">_xlfn.XLOOKUP(PAA_4[[#This Row],[ITEM]],[2]Contrato!A:A,[2]Contrato!Q:Q,"",0)</f>
        <v>#NAME?</v>
      </c>
      <c r="V1247" s="47" t="s">
        <v>47</v>
      </c>
      <c r="W1247" s="47" t="s">
        <v>193</v>
      </c>
      <c r="X1247" s="47" t="s">
        <v>193</v>
      </c>
      <c r="Y1247" s="55" t="e">
        <f ca="1">_xlfn.XLOOKUP(PAA_4[[#This Row],[ITEM]],[2]Contrato!A:A,[2]Contrato!B:B,"",0)</f>
        <v>#NAME?</v>
      </c>
      <c r="Z1247" s="47" t="e">
        <f ca="1">_xlfn.XLOOKUP(PAA_4[[#This Row],[ITEM]],[2]Contrato!A:A,[2]Contrato!G:G,"",0)</f>
        <v>#NAME?</v>
      </c>
      <c r="AA1247" s="47" t="e">
        <f ca="1">_xlfn.XLOOKUP(PAA_4[[#This Row],[ITEM]],[2]Contrato!A:A,[2]Contrato!T:T,"",0)</f>
        <v>#NAME?</v>
      </c>
      <c r="AB1247" s="55" t="e">
        <f ca="1">+MAX(PAA_4[[#This Row],[Comprometido Contrato]],PAA_4[[#This Row],[Comprometido Bolsa]])</f>
        <v>#NAME?</v>
      </c>
      <c r="AC1247" s="55" t="str">
        <f t="shared" ca="1" si="455"/>
        <v/>
      </c>
      <c r="AD1247" s="55" t="e">
        <f ca="1">IF(PAA_4[[#This Row],[ESTADO (formulado)]]="NO CONTRATADO",0,MAX(PAA_4[[#This Row],[Pago por Contrato]],PAA_4[[#This Row],[Pago por bolsa]]))</f>
        <v>#NAME?</v>
      </c>
      <c r="AE1247" s="55" t="str">
        <f t="shared" ca="1" si="456"/>
        <v/>
      </c>
      <c r="AF1247" s="47" t="e">
        <f t="shared" ca="1" si="457"/>
        <v>#NAME?</v>
      </c>
      <c r="AG1247" s="47">
        <f t="shared" si="458"/>
        <v>44021007</v>
      </c>
      <c r="AH1247" s="54">
        <f>IF(Q1247="22",IF(ISNUMBER(SEARCH("econ",PAA_4[[#This Row],[Actividad3]])),"Económico",IF(ISNUMBER(SEARCH("alim",PAA_4[[#This Row],[Actividad3]])),"Alimentación",IF(ISNUMBER(SEARCH("educ",PAA_4[[#This Row],[Actividad3]])),"Educativo","Técnico"))),0)</f>
        <v>0</v>
      </c>
      <c r="AI1247" s="47" t="e" cm="1">
        <f t="array" aca="1" ref="AI1247" ca="1">_xlfn.XLOOKUP(PAA_4[[#This Row],[RCP-RUBRO]],[2]!COMPROMISOS_2024[[#All],[concatenado]],[2]!COMPROMISOS_2024[[#All],[Total pagado]],"",0)</f>
        <v>#NAME?</v>
      </c>
      <c r="AJ1247" s="56">
        <f>IF(PAA_4[[#This Row],[BOLSA]]=0,0,SUMIFS([2]!COMPROMISOS_2024[[#All],[Total pagado]],[2]!COMPROMISOS_2024[[#All],[Bolsa]],PAA_4[[#This Row],[BOLSA]],[2]!COMPROMISOS_2024[[#All],[rubro]],PAA_4[[#This Row],[RCP-RUBRO]]))</f>
        <v>0</v>
      </c>
      <c r="AK1247" s="47" t="e" cm="1">
        <f t="array" aca="1" ref="AK1247" ca="1">_xlfn.XLOOKUP(PAA_4[[#This Row],[RCP-RUBRO]],[2]!COMPROMISOS_2024[[#All],[concatenado]],[2]!COMPROMISOS_2024[[#All],[Total Comprometido]],"",0)</f>
        <v>#NAME?</v>
      </c>
      <c r="AL1247" s="47">
        <f>IF(PAA_4[[#This Row],[BOLSA]]=0,0,SUMIFS([2]!COMPROMISOS_2024[[#All],[Total Comprometido]],[2]!COMPROMISOS_2024[[#All],[Bolsa]],PAA_4[[#This Row],[BOLSA]],[2]!COMPROMISOS_2024[[#All],[concatenado]],PAA_4[[#This Row],[RCP-RUBRO]]))</f>
        <v>0</v>
      </c>
    </row>
    <row r="1248" spans="1:38" s="19" customFormat="1" ht="31.5" customHeight="1">
      <c r="A1248" s="47">
        <v>383</v>
      </c>
      <c r="B1248" s="47">
        <v>80111600</v>
      </c>
      <c r="C1248" s="47" t="str">
        <f>VLOOKUP(PAA_4[[#This Row],[PROYECTO (formulado)2]],[2]PROYECTOS!$G$1:$L$32,6,0)</f>
        <v>SUBGERENCIA DE FOMENTO Y DESARROLLO</v>
      </c>
      <c r="D1248" s="47" t="str">
        <f>+IF(PAA_4[[#This Row],[UNIDAD DE CONTRATACION (formulado)]]="Subgerencia Administrativa y Financiera","FUNCIONAMIENTO","INVERSIÓN")</f>
        <v>INVERSIÓN</v>
      </c>
      <c r="E1248" s="48" t="str">
        <f>VLOOKUP(Q1248,[2]PROYECTOS!$G$1:$K$32,5,0)</f>
        <v>FORTALECIMIENTO_DE_LAS_ESCUELAS_DEPORTIVAS_EN_LOS_MUNICIPIOS_DEL_DEPARTAMENTO_DE_ANTIOQUIA</v>
      </c>
      <c r="F1248" s="48">
        <f>VLOOKUP(E1248,[2]PROYECTOS!$K$1:$M$32,3,0)</f>
        <v>2020003050032</v>
      </c>
      <c r="G1248" s="49" t="s">
        <v>333</v>
      </c>
      <c r="H1248" s="49" t="str">
        <f>VLOOKUP(Q1248,[2]PROYECTOS!$V$1:$W$32,2,0)</f>
        <v>050059</v>
      </c>
      <c r="I1248" s="50">
        <v>0</v>
      </c>
      <c r="J1248" s="51" t="s">
        <v>357</v>
      </c>
      <c r="K1248" s="47" t="str">
        <f t="shared" ca="1" si="452"/>
        <v>CONTRATADO</v>
      </c>
      <c r="L1248" s="47" t="s">
        <v>94</v>
      </c>
      <c r="M1248" s="47" t="s">
        <v>1297</v>
      </c>
      <c r="N1248" s="52" t="s">
        <v>334</v>
      </c>
      <c r="O1248" s="51" t="e">
        <f>VLOOKUP(N1248,[2]!RUBROS[#All],3,0)</f>
        <v>#REF!</v>
      </c>
      <c r="P1248" s="53" t="e">
        <f>VLOOKUP(N1248,[2]!RUBROS[#All],2,0)</f>
        <v>#REF!</v>
      </c>
      <c r="Q1248" s="47" t="str">
        <f t="shared" si="453"/>
        <v>46</v>
      </c>
      <c r="R1248" s="47" t="str">
        <f t="shared" si="454"/>
        <v>0-205128</v>
      </c>
      <c r="S1248" s="54">
        <v>5</v>
      </c>
      <c r="T1248" s="59" t="s">
        <v>46</v>
      </c>
      <c r="U1248" s="326" t="e">
        <f ca="1">_xlfn.XLOOKUP(PAA_4[[#This Row],[ITEM]],[2]Contrato!A:A,[2]Contrato!Q:Q,"",0)</f>
        <v>#NAME?</v>
      </c>
      <c r="V1248" s="47" t="s">
        <v>47</v>
      </c>
      <c r="W1248" s="47" t="s">
        <v>193</v>
      </c>
      <c r="X1248" s="47" t="s">
        <v>193</v>
      </c>
      <c r="Y1248" s="55" t="e">
        <f ca="1">_xlfn.XLOOKUP(PAA_4[[#This Row],[ITEM]],[2]Contrato!A:A,[2]Contrato!B:B,"",0)</f>
        <v>#NAME?</v>
      </c>
      <c r="Z1248" s="47" t="e">
        <f ca="1">_xlfn.XLOOKUP(PAA_4[[#This Row],[ITEM]],[2]Contrato!A:A,[2]Contrato!G:G,"",0)</f>
        <v>#NAME?</v>
      </c>
      <c r="AA1248" s="47" t="e">
        <f ca="1">_xlfn.XLOOKUP(PAA_4[[#This Row],[ITEM]],[2]Contrato!A:A,[2]Contrato!T:T,"",0)</f>
        <v>#NAME?</v>
      </c>
      <c r="AB1248" s="55" t="e">
        <f ca="1">+MAX(PAA_4[[#This Row],[Comprometido Contrato]],PAA_4[[#This Row],[Comprometido Bolsa]])</f>
        <v>#NAME?</v>
      </c>
      <c r="AC1248" s="55" t="str">
        <f t="shared" ca="1" si="455"/>
        <v/>
      </c>
      <c r="AD1248" s="55" t="e">
        <f ca="1">IF(PAA_4[[#This Row],[ESTADO (formulado)]]="NO CONTRATADO",0,MAX(PAA_4[[#This Row],[Pago por Contrato]],PAA_4[[#This Row],[Pago por bolsa]]))</f>
        <v>#NAME?</v>
      </c>
      <c r="AE1248" s="55" t="str">
        <f t="shared" ca="1" si="456"/>
        <v/>
      </c>
      <c r="AF1248" s="47" t="e">
        <f t="shared" ca="1" si="457"/>
        <v>#NAME?</v>
      </c>
      <c r="AG1248" s="47">
        <f t="shared" si="458"/>
        <v>44021007</v>
      </c>
      <c r="AH1248" s="54">
        <f>IF(Q1248="22",IF(ISNUMBER(SEARCH("econ",PAA_4[[#This Row],[Actividad3]])),"Económico",IF(ISNUMBER(SEARCH("alim",PAA_4[[#This Row],[Actividad3]])),"Alimentación",IF(ISNUMBER(SEARCH("educ",PAA_4[[#This Row],[Actividad3]])),"Educativo","Técnico"))),0)</f>
        <v>0</v>
      </c>
      <c r="AI1248" s="47" t="e" cm="1">
        <f t="array" aca="1" ref="AI1248" ca="1">_xlfn.XLOOKUP(PAA_4[[#This Row],[RCP-RUBRO]],[2]!COMPROMISOS_2024[[#All],[concatenado]],[2]!COMPROMISOS_2024[[#All],[Total pagado]],"",0)</f>
        <v>#NAME?</v>
      </c>
      <c r="AJ1248" s="56">
        <f>IF(PAA_4[[#This Row],[BOLSA]]=0,0,SUMIFS([2]!COMPROMISOS_2024[[#All],[Total pagado]],[2]!COMPROMISOS_2024[[#All],[Bolsa]],PAA_4[[#This Row],[BOLSA]],[2]!COMPROMISOS_2024[[#All],[rubro]],PAA_4[[#This Row],[RCP-RUBRO]]))</f>
        <v>0</v>
      </c>
      <c r="AK1248" s="47" t="e" cm="1">
        <f t="array" aca="1" ref="AK1248" ca="1">_xlfn.XLOOKUP(PAA_4[[#This Row],[RCP-RUBRO]],[2]!COMPROMISOS_2024[[#All],[concatenado]],[2]!COMPROMISOS_2024[[#All],[Total Comprometido]],"",0)</f>
        <v>#NAME?</v>
      </c>
      <c r="AL1248" s="47">
        <f>IF(PAA_4[[#This Row],[BOLSA]]=0,0,SUMIFS([2]!COMPROMISOS_2024[[#All],[Total Comprometido]],[2]!COMPROMISOS_2024[[#All],[Bolsa]],PAA_4[[#This Row],[BOLSA]],[2]!COMPROMISOS_2024[[#All],[concatenado]],PAA_4[[#This Row],[RCP-RUBRO]]))</f>
        <v>0</v>
      </c>
    </row>
    <row r="1249" spans="1:38" s="19" customFormat="1" ht="31.5" customHeight="1">
      <c r="A1249" s="47">
        <v>384</v>
      </c>
      <c r="B1249" s="47">
        <v>80111600</v>
      </c>
      <c r="C1249" s="47" t="str">
        <f>VLOOKUP(PAA_4[[#This Row],[PROYECTO (formulado)2]],[2]PROYECTOS!$G$1:$L$32,6,0)</f>
        <v>SUBGERENCIA DE FOMENTO Y DESARROLLO</v>
      </c>
      <c r="D1249" s="47" t="str">
        <f>+IF(PAA_4[[#This Row],[UNIDAD DE CONTRATACION (formulado)]]="Subgerencia Administrativa y Financiera","FUNCIONAMIENTO","INVERSIÓN")</f>
        <v>INVERSIÓN</v>
      </c>
      <c r="E1249" s="48" t="str">
        <f>VLOOKUP(Q1249,[2]PROYECTOS!$G$1:$K$32,5,0)</f>
        <v>FORTALECIMIENTO_DE_LAS_ESCUELAS_DEPORTIVAS_EN_LOS_MUNICIPIOS_DEL_DEPARTAMENTO_DE_ANTIOQUIA</v>
      </c>
      <c r="F1249" s="48">
        <f>VLOOKUP(E1249,[2]PROYECTOS!$K$1:$M$32,3,0)</f>
        <v>2020003050032</v>
      </c>
      <c r="G1249" s="49" t="s">
        <v>333</v>
      </c>
      <c r="H1249" s="49" t="str">
        <f>VLOOKUP(Q1249,[2]PROYECTOS!$V$1:$W$32,2,0)</f>
        <v>050059</v>
      </c>
      <c r="I1249" s="50">
        <v>0</v>
      </c>
      <c r="J1249" s="70" t="s">
        <v>344</v>
      </c>
      <c r="K1249" s="47" t="str">
        <f t="shared" ca="1" si="452"/>
        <v>CONTRATADO</v>
      </c>
      <c r="L1249" s="47" t="s">
        <v>344</v>
      </c>
      <c r="M1249" s="47" t="s">
        <v>344</v>
      </c>
      <c r="N1249" s="52" t="s">
        <v>334</v>
      </c>
      <c r="O1249" s="51" t="e">
        <f>VLOOKUP(N1249,[2]!RUBROS[#All],3,0)</f>
        <v>#REF!</v>
      </c>
      <c r="P1249" s="53" t="e">
        <f>VLOOKUP(N1249,[2]!RUBROS[#All],2,0)</f>
        <v>#REF!</v>
      </c>
      <c r="Q1249" s="47" t="str">
        <f t="shared" si="453"/>
        <v>46</v>
      </c>
      <c r="R1249" s="47" t="str">
        <f t="shared" si="454"/>
        <v>0-205128</v>
      </c>
      <c r="S1249" s="54">
        <v>10.5</v>
      </c>
      <c r="T1249" s="59" t="s">
        <v>46</v>
      </c>
      <c r="U1249" s="363" t="e">
        <f ca="1">_xlfn.XLOOKUP(PAA_4[[#This Row],[ITEM]],[2]Contrato!A:A,[2]Contrato!Q:Q,"",0)</f>
        <v>#NAME?</v>
      </c>
      <c r="V1249" s="47" t="s">
        <v>47</v>
      </c>
      <c r="W1249" s="71" t="s">
        <v>91</v>
      </c>
      <c r="X1249" s="71" t="s">
        <v>91</v>
      </c>
      <c r="Y1249" s="55" t="e">
        <f ca="1">_xlfn.XLOOKUP(PAA_4[[#This Row],[ITEM]],[2]Contrato!A:A,[2]Contrato!B:B,"",0)</f>
        <v>#NAME?</v>
      </c>
      <c r="Z1249" s="47" t="e">
        <f ca="1">_xlfn.XLOOKUP(PAA_4[[#This Row],[ITEM]],[2]Contrato!A:A,[2]Contrato!G:G,"",0)</f>
        <v>#NAME?</v>
      </c>
      <c r="AA1249" s="47" t="e">
        <f ca="1">_xlfn.XLOOKUP(PAA_4[[#This Row],[ITEM]],[2]Contrato!A:A,[2]Contrato!T:T,"",0)</f>
        <v>#NAME?</v>
      </c>
      <c r="AB1249" s="55" t="e">
        <f ca="1">+MAX(PAA_4[[#This Row],[Comprometido Contrato]],PAA_4[[#This Row],[Comprometido Bolsa]])</f>
        <v>#NAME?</v>
      </c>
      <c r="AC1249" s="55" t="str">
        <f t="shared" ca="1" si="455"/>
        <v/>
      </c>
      <c r="AD1249" s="55" t="e">
        <f ca="1">IF(PAA_4[[#This Row],[ESTADO (formulado)]]="NO CONTRATADO",0,MAX(PAA_4[[#This Row],[Pago por Contrato]],PAA_4[[#This Row],[Pago por bolsa]]))</f>
        <v>#NAME?</v>
      </c>
      <c r="AE1249" s="55" t="str">
        <f t="shared" ca="1" si="456"/>
        <v/>
      </c>
      <c r="AF1249" s="47" t="e">
        <f t="shared" ca="1" si="457"/>
        <v>#NAME?</v>
      </c>
      <c r="AG1249" s="47">
        <f t="shared" si="458"/>
        <v>44021007</v>
      </c>
      <c r="AH1249" s="54">
        <f>IF(Q1249="22",IF(ISNUMBER(SEARCH("econ",PAA_4[[#This Row],[Actividad3]])),"Económico",IF(ISNUMBER(SEARCH("alim",PAA_4[[#This Row],[Actividad3]])),"Alimentación",IF(ISNUMBER(SEARCH("educ",PAA_4[[#This Row],[Actividad3]])),"Educativo","Técnico"))),0)</f>
        <v>0</v>
      </c>
      <c r="AI1249" s="47" t="e" cm="1">
        <f t="array" aca="1" ref="AI1249" ca="1">_xlfn.XLOOKUP(PAA_4[[#This Row],[RCP-RUBRO]],[2]!COMPROMISOS_2024[[#All],[concatenado]],[2]!COMPROMISOS_2024[[#All],[Total pagado]],"",0)</f>
        <v>#NAME?</v>
      </c>
      <c r="AJ1249" s="56">
        <f>IF(PAA_4[[#This Row],[BOLSA]]=0,0,SUMIFS([2]!COMPROMISOS_2024[[#All],[Total pagado]],[2]!COMPROMISOS_2024[[#All],[Bolsa]],PAA_4[[#This Row],[BOLSA]],[2]!COMPROMISOS_2024[[#All],[rubro]],PAA_4[[#This Row],[RCP-RUBRO]]))</f>
        <v>0</v>
      </c>
      <c r="AK1249" s="47" t="e" cm="1">
        <f t="array" aca="1" ref="AK1249" ca="1">_xlfn.XLOOKUP(PAA_4[[#This Row],[RCP-RUBRO]],[2]!COMPROMISOS_2024[[#All],[concatenado]],[2]!COMPROMISOS_2024[[#All],[Total Comprometido]],"",0)</f>
        <v>#NAME?</v>
      </c>
      <c r="AL1249" s="47">
        <f>IF(PAA_4[[#This Row],[BOLSA]]=0,0,SUMIFS([2]!COMPROMISOS_2024[[#All],[Total Comprometido]],[2]!COMPROMISOS_2024[[#All],[Bolsa]],PAA_4[[#This Row],[BOLSA]],[2]!COMPROMISOS_2024[[#All],[concatenado]],PAA_4[[#This Row],[RCP-RUBRO]]))</f>
        <v>0</v>
      </c>
    </row>
    <row r="1250" spans="1:38" s="19" customFormat="1" ht="31.5" customHeight="1">
      <c r="A1250" s="47">
        <v>371</v>
      </c>
      <c r="B1250" s="47">
        <v>80111600</v>
      </c>
      <c r="C1250" s="47" t="str">
        <f>VLOOKUP(PAA_4[[#This Row],[PROYECTO (formulado)2]],[2]PROYECTOS!$G$1:$L$32,6,0)</f>
        <v>SUBGERENCIA DE FOMENTO Y DESARROLLO</v>
      </c>
      <c r="D1250" s="47" t="str">
        <f>+IF(PAA_4[[#This Row],[UNIDAD DE CONTRATACION (formulado)]]="Subgerencia Administrativa y Financiera","FUNCIONAMIENTO","INVERSIÓN")</f>
        <v>INVERSIÓN</v>
      </c>
      <c r="E1250" s="48" t="str">
        <f>VLOOKUP(Q1250,[2]PROYECTOS!$G$1:$K$32,5,0)</f>
        <v>FORTALECIMIENTO_DE_LAS_ESCUELAS_DEPORTIVAS_EN_LOS_MUNICIPIOS_DEL_DEPARTAMENTO_DE_ANTIOQUIA</v>
      </c>
      <c r="F1250" s="48">
        <f>VLOOKUP(E1250,[2]PROYECTOS!$K$1:$M$32,3,0)</f>
        <v>2020003050032</v>
      </c>
      <c r="G1250" s="49" t="s">
        <v>365</v>
      </c>
      <c r="H1250" s="49" t="str">
        <f>VLOOKUP(Q1250,[2]PROYECTOS!$V$1:$W$32,2,0)</f>
        <v>050059</v>
      </c>
      <c r="I1250" s="50">
        <v>0</v>
      </c>
      <c r="J1250" s="51" t="s">
        <v>375</v>
      </c>
      <c r="K1250" s="47" t="str">
        <f t="shared" ca="1" si="452"/>
        <v>CONTRATADO</v>
      </c>
      <c r="L1250" s="47" t="s">
        <v>94</v>
      </c>
      <c r="M1250" s="47" t="s">
        <v>161</v>
      </c>
      <c r="N1250" s="52" t="s">
        <v>366</v>
      </c>
      <c r="O1250" s="51" t="e">
        <f>VLOOKUP(N1250,[2]!RUBROS[#All],3,0)</f>
        <v>#REF!</v>
      </c>
      <c r="P1250" s="53" t="e">
        <f>VLOOKUP(N1250,[2]!RUBROS[#All],2,0)</f>
        <v>#REF!</v>
      </c>
      <c r="Q1250" s="47" t="str">
        <f t="shared" si="453"/>
        <v>46</v>
      </c>
      <c r="R1250" s="47" t="str">
        <f t="shared" si="454"/>
        <v>0-205128</v>
      </c>
      <c r="S1250" s="54">
        <v>10</v>
      </c>
      <c r="T1250" s="59" t="s">
        <v>46</v>
      </c>
      <c r="U1250" s="363" t="e">
        <f ca="1">_xlfn.XLOOKUP(PAA_4[[#This Row],[ITEM]],[2]Contrato!A:A,[2]Contrato!Q:Q,"",0)</f>
        <v>#NAME?</v>
      </c>
      <c r="V1250" s="47" t="s">
        <v>47</v>
      </c>
      <c r="W1250" s="57" t="s">
        <v>96</v>
      </c>
      <c r="X1250" s="57" t="s">
        <v>96</v>
      </c>
      <c r="Y1250" s="55" t="e">
        <f ca="1">_xlfn.XLOOKUP(PAA_4[[#This Row],[ITEM]],[2]Contrato!A:A,[2]Contrato!B:B,"",0)</f>
        <v>#NAME?</v>
      </c>
      <c r="Z1250" s="47" t="e">
        <f ca="1">_xlfn.XLOOKUP(PAA_4[[#This Row],[ITEM]],[2]Contrato!A:A,[2]Contrato!G:G,"",0)</f>
        <v>#NAME?</v>
      </c>
      <c r="AA1250" s="47" t="e">
        <f ca="1">_xlfn.XLOOKUP(PAA_4[[#This Row],[ITEM]],[2]Contrato!A:A,[2]Contrato!T:T,"",0)</f>
        <v>#NAME?</v>
      </c>
      <c r="AB1250" s="55" t="e">
        <f ca="1">+MAX(PAA_4[[#This Row],[Comprometido Contrato]],PAA_4[[#This Row],[Comprometido Bolsa]])</f>
        <v>#NAME?</v>
      </c>
      <c r="AC1250" s="55" t="str">
        <f t="shared" ca="1" si="455"/>
        <v/>
      </c>
      <c r="AD1250" s="55" t="e">
        <f ca="1">IF(PAA_4[[#This Row],[ESTADO (formulado)]]="NO CONTRATADO",0,MAX(PAA_4[[#This Row],[Pago por Contrato]],PAA_4[[#This Row],[Pago por bolsa]]))</f>
        <v>#NAME?</v>
      </c>
      <c r="AE1250" s="55" t="str">
        <f t="shared" ca="1" si="456"/>
        <v/>
      </c>
      <c r="AF1250" s="47" t="e">
        <f t="shared" ca="1" si="457"/>
        <v>#NAME?</v>
      </c>
      <c r="AG1250" s="47">
        <f t="shared" si="458"/>
        <v>44021009</v>
      </c>
      <c r="AH1250" s="54">
        <f>IF(Q1250="22",IF(ISNUMBER(SEARCH("econ",PAA_4[[#This Row],[Actividad3]])),"Económico",IF(ISNUMBER(SEARCH("alim",PAA_4[[#This Row],[Actividad3]])),"Alimentación",IF(ISNUMBER(SEARCH("educ",PAA_4[[#This Row],[Actividad3]])),"Educativo","Técnico"))),0)</f>
        <v>0</v>
      </c>
      <c r="AI1250" s="47" t="e" cm="1">
        <f t="array" aca="1" ref="AI1250" ca="1">_xlfn.XLOOKUP(PAA_4[[#This Row],[RCP-RUBRO]],[2]!COMPROMISOS_2024[[#All],[concatenado]],[2]!COMPROMISOS_2024[[#All],[Total pagado]],"",0)</f>
        <v>#NAME?</v>
      </c>
      <c r="AJ1250" s="56">
        <f>IF(PAA_4[[#This Row],[BOLSA]]=0,0,SUMIFS([2]!COMPROMISOS_2024[[#All],[Total pagado]],[2]!COMPROMISOS_2024[[#All],[Bolsa]],PAA_4[[#This Row],[BOLSA]],[2]!COMPROMISOS_2024[[#All],[rubro]],PAA_4[[#This Row],[RCP-RUBRO]]))</f>
        <v>0</v>
      </c>
      <c r="AK1250" s="47" t="e" cm="1">
        <f t="array" aca="1" ref="AK1250" ca="1">_xlfn.XLOOKUP(PAA_4[[#This Row],[RCP-RUBRO]],[2]!COMPROMISOS_2024[[#All],[concatenado]],[2]!COMPROMISOS_2024[[#All],[Total Comprometido]],"",0)</f>
        <v>#NAME?</v>
      </c>
      <c r="AL1250" s="47">
        <f>IF(PAA_4[[#This Row],[BOLSA]]=0,0,SUMIFS([2]!COMPROMISOS_2024[[#All],[Total Comprometido]],[2]!COMPROMISOS_2024[[#All],[Bolsa]],PAA_4[[#This Row],[BOLSA]],[2]!COMPROMISOS_2024[[#All],[concatenado]],PAA_4[[#This Row],[RCP-RUBRO]]))</f>
        <v>0</v>
      </c>
    </row>
    <row r="1251" spans="1:38" s="19" customFormat="1" ht="31.5" customHeight="1">
      <c r="A1251" s="47">
        <v>370</v>
      </c>
      <c r="B1251" s="47">
        <v>80141607</v>
      </c>
      <c r="C1251" s="47" t="str">
        <f>VLOOKUP(PAA_4[[#This Row],[PROYECTO (formulado)2]],[2]PROYECTOS!$G$1:$L$32,6,0)</f>
        <v>SUBGERENCIA DE FOMENTO Y DESARROLLO</v>
      </c>
      <c r="D1251" s="47" t="str">
        <f>+IF(PAA_4[[#This Row],[UNIDAD DE CONTRATACION (formulado)]]="Subgerencia Administrativa y Financiera","FUNCIONAMIENTO","INVERSIÓN")</f>
        <v>INVERSIÓN</v>
      </c>
      <c r="E1251" s="48" t="str">
        <f>VLOOKUP(Q1251,[2]PROYECTOS!$G$1:$K$32,5,0)</f>
        <v>FORTALECIMIENTO_DE_LAS_ESCUELAS_DEPORTIVAS_EN_LOS_MUNICIPIOS_DEL_DEPARTAMENTO_DE_ANTIOQUIA</v>
      </c>
      <c r="F1251" s="48">
        <f>VLOOKUP(E1251,[2]PROYECTOS!$K$1:$M$32,3,0)</f>
        <v>2020003050032</v>
      </c>
      <c r="G1251" s="49" t="s">
        <v>365</v>
      </c>
      <c r="H1251" s="49" t="str">
        <f>VLOOKUP(Q1251,[2]PROYECTOS!$V$1:$W$32,2,0)</f>
        <v>050059</v>
      </c>
      <c r="I1251" s="50">
        <v>115657482</v>
      </c>
      <c r="J1251" s="51" t="s">
        <v>368</v>
      </c>
      <c r="K1251" s="47" t="str">
        <f t="shared" ca="1" si="452"/>
        <v>CONTRATADO</v>
      </c>
      <c r="L1251" s="47" t="s">
        <v>94</v>
      </c>
      <c r="M1251" s="47" t="s">
        <v>161</v>
      </c>
      <c r="N1251" s="52" t="s">
        <v>366</v>
      </c>
      <c r="O1251" s="51" t="e">
        <f>VLOOKUP(N1251,[2]!RUBROS[#All],3,0)</f>
        <v>#REF!</v>
      </c>
      <c r="P1251" s="53" t="e">
        <f>VLOOKUP(N1251,[2]!RUBROS[#All],2,0)</f>
        <v>#REF!</v>
      </c>
      <c r="Q1251" s="47" t="str">
        <f t="shared" si="453"/>
        <v>46</v>
      </c>
      <c r="R1251" s="47" t="str">
        <f t="shared" si="454"/>
        <v>0-205128</v>
      </c>
      <c r="S1251" s="54">
        <v>7.5</v>
      </c>
      <c r="T1251" s="59" t="s">
        <v>46</v>
      </c>
      <c r="U1251" s="326" t="e">
        <f ca="1">_xlfn.XLOOKUP(PAA_4[[#This Row],[ITEM]],[2]Contrato!A:A,[2]Contrato!Q:Q,"",0)</f>
        <v>#NAME?</v>
      </c>
      <c r="V1251" s="47" t="s">
        <v>47</v>
      </c>
      <c r="W1251" s="47" t="s">
        <v>119</v>
      </c>
      <c r="X1251" s="47" t="s">
        <v>119</v>
      </c>
      <c r="Y1251" s="55" t="e">
        <f ca="1">_xlfn.XLOOKUP(PAA_4[[#This Row],[ITEM]],[2]Contrato!A:A,[2]Contrato!B:B,"",0)</f>
        <v>#NAME?</v>
      </c>
      <c r="Z1251" s="47" t="e">
        <f ca="1">_xlfn.XLOOKUP(PAA_4[[#This Row],[ITEM]],[2]Contrato!A:A,[2]Contrato!G:G,"",0)</f>
        <v>#NAME?</v>
      </c>
      <c r="AA1251" s="47" t="e">
        <f ca="1">_xlfn.XLOOKUP(PAA_4[[#This Row],[ITEM]],[2]Contrato!A:A,[2]Contrato!T:T,"",0)</f>
        <v>#NAME?</v>
      </c>
      <c r="AB1251" s="55" t="e">
        <f ca="1">+MAX(PAA_4[[#This Row],[Comprometido Contrato]],PAA_4[[#This Row],[Comprometido Bolsa]])</f>
        <v>#NAME?</v>
      </c>
      <c r="AC1251" s="55" t="str">
        <f t="shared" ca="1" si="455"/>
        <v/>
      </c>
      <c r="AD1251" s="55" t="e">
        <f ca="1">IF(PAA_4[[#This Row],[ESTADO (formulado)]]="NO CONTRATADO",0,MAX(PAA_4[[#This Row],[Pago por Contrato]],PAA_4[[#This Row],[Pago por bolsa]]))</f>
        <v>#NAME?</v>
      </c>
      <c r="AE1251" s="55" t="str">
        <f t="shared" ca="1" si="456"/>
        <v/>
      </c>
      <c r="AF1251" s="47" t="e">
        <f t="shared" ca="1" si="457"/>
        <v>#NAME?</v>
      </c>
      <c r="AG1251" s="47">
        <f t="shared" si="458"/>
        <v>44021009</v>
      </c>
      <c r="AH1251" s="54">
        <f>IF(Q1251="22",IF(ISNUMBER(SEARCH("econ",PAA_4[[#This Row],[Actividad3]])),"Económico",IF(ISNUMBER(SEARCH("alim",PAA_4[[#This Row],[Actividad3]])),"Alimentación",IF(ISNUMBER(SEARCH("educ",PAA_4[[#This Row],[Actividad3]])),"Educativo","Técnico"))),0)</f>
        <v>0</v>
      </c>
      <c r="AI1251" s="47" t="e" cm="1">
        <f t="array" aca="1" ref="AI1251" ca="1">_xlfn.XLOOKUP(PAA_4[[#This Row],[RCP-RUBRO]],[2]!COMPROMISOS_2024[[#All],[concatenado]],[2]!COMPROMISOS_2024[[#All],[Total pagado]],"",0)</f>
        <v>#NAME?</v>
      </c>
      <c r="AJ1251" s="56">
        <f>IF(PAA_4[[#This Row],[BOLSA]]=0,0,SUMIFS([2]!COMPROMISOS_2024[[#All],[Total pagado]],[2]!COMPROMISOS_2024[[#All],[Bolsa]],PAA_4[[#This Row],[BOLSA]],[2]!COMPROMISOS_2024[[#All],[rubro]],PAA_4[[#This Row],[RCP-RUBRO]]))</f>
        <v>0</v>
      </c>
      <c r="AK1251" s="47" t="e" cm="1">
        <f t="array" aca="1" ref="AK1251" ca="1">_xlfn.XLOOKUP(PAA_4[[#This Row],[RCP-RUBRO]],[2]!COMPROMISOS_2024[[#All],[concatenado]],[2]!COMPROMISOS_2024[[#All],[Total Comprometido]],"",0)</f>
        <v>#NAME?</v>
      </c>
      <c r="AL1251" s="47">
        <f>IF(PAA_4[[#This Row],[BOLSA]]=0,0,SUMIFS([2]!COMPROMISOS_2024[[#All],[Total Comprometido]],[2]!COMPROMISOS_2024[[#All],[Bolsa]],PAA_4[[#This Row],[BOLSA]],[2]!COMPROMISOS_2024[[#All],[concatenado]],PAA_4[[#This Row],[RCP-RUBRO]]))</f>
        <v>0</v>
      </c>
    </row>
    <row r="1252" spans="1:38" s="19" customFormat="1" ht="31.5" customHeight="1">
      <c r="A1252" s="47">
        <v>433</v>
      </c>
      <c r="B1252" s="47">
        <v>80111600</v>
      </c>
      <c r="C1252" s="47" t="str">
        <f>VLOOKUP(PAA_4[[#This Row],[PROYECTO (formulado)2]],[2]PROYECTOS!$G$1:$L$32,6,0)</f>
        <v>SUBGERENCIA DE FOMENTO Y DESARROLLO</v>
      </c>
      <c r="D1252" s="47" t="str">
        <f>+IF(PAA_4[[#This Row],[UNIDAD DE CONTRATACION (formulado)]]="Subgerencia Administrativa y Financiera","FUNCIONAMIENTO","INVERSIÓN")</f>
        <v>INVERSIÓN</v>
      </c>
      <c r="E1252" s="48" t="str">
        <f>VLOOKUP(Q1252,[2]PROYECTOS!$G$1:$K$32,5,0)</f>
        <v>FORTALECIMIENTO_DE_LAS_ESCUELAS_DEPORTIVAS_EN_LOS_MUNICIPIOS_DEL_DEPARTAMENTO_DE_ANTIOQUIA</v>
      </c>
      <c r="F1252" s="48">
        <f>VLOOKUP(E1252,[2]PROYECTOS!$K$1:$M$32,3,0)</f>
        <v>2020003050032</v>
      </c>
      <c r="G1252" s="49" t="s">
        <v>376</v>
      </c>
      <c r="H1252" s="49" t="str">
        <f>VLOOKUP(Q1252,[2]PROYECTOS!$V$1:$W$32,2,0)</f>
        <v>050059</v>
      </c>
      <c r="I1252" s="50">
        <v>0</v>
      </c>
      <c r="J1252" s="51" t="s">
        <v>377</v>
      </c>
      <c r="K1252" s="47" t="str">
        <f t="shared" ca="1" si="452"/>
        <v>CONTRATADO</v>
      </c>
      <c r="L1252" s="47" t="s">
        <v>94</v>
      </c>
      <c r="M1252" s="47" t="s">
        <v>1297</v>
      </c>
      <c r="N1252" s="52" t="s">
        <v>366</v>
      </c>
      <c r="O1252" s="51" t="e">
        <f>VLOOKUP(N1252,[2]!RUBROS[#All],3,0)</f>
        <v>#REF!</v>
      </c>
      <c r="P1252" s="53" t="e">
        <f>VLOOKUP(N1252,[2]!RUBROS[#All],2,0)</f>
        <v>#REF!</v>
      </c>
      <c r="Q1252" s="47" t="str">
        <f t="shared" si="453"/>
        <v>46</v>
      </c>
      <c r="R1252" s="47" t="str">
        <f t="shared" si="454"/>
        <v>0-205128</v>
      </c>
      <c r="S1252" s="54">
        <v>10</v>
      </c>
      <c r="T1252" s="59" t="s">
        <v>46</v>
      </c>
      <c r="U1252" s="363" t="e">
        <f ca="1">_xlfn.XLOOKUP(PAA_4[[#This Row],[ITEM]],[2]Contrato!A:A,[2]Contrato!Q:Q,"",0)</f>
        <v>#NAME?</v>
      </c>
      <c r="V1252" s="47" t="s">
        <v>47</v>
      </c>
      <c r="W1252" s="47" t="s">
        <v>96</v>
      </c>
      <c r="X1252" s="47" t="s">
        <v>96</v>
      </c>
      <c r="Y1252" s="55" t="e">
        <f ca="1">_xlfn.XLOOKUP(PAA_4[[#This Row],[ITEM]],[2]Contrato!A:A,[2]Contrato!B:B,"",0)</f>
        <v>#NAME?</v>
      </c>
      <c r="Z1252" s="47" t="e">
        <f ca="1">_xlfn.XLOOKUP(PAA_4[[#This Row],[ITEM]],[2]Contrato!A:A,[2]Contrato!G:G,"",0)</f>
        <v>#NAME?</v>
      </c>
      <c r="AA1252" s="47" t="e">
        <f ca="1">_xlfn.XLOOKUP(PAA_4[[#This Row],[ITEM]],[2]Contrato!A:A,[2]Contrato!T:T,"",0)</f>
        <v>#NAME?</v>
      </c>
      <c r="AB1252" s="55" t="e">
        <f ca="1">+MAX(PAA_4[[#This Row],[Comprometido Contrato]],PAA_4[[#This Row],[Comprometido Bolsa]])</f>
        <v>#NAME?</v>
      </c>
      <c r="AC1252" s="55" t="str">
        <f t="shared" ca="1" si="455"/>
        <v/>
      </c>
      <c r="AD1252" s="55" t="e">
        <f ca="1">IF(PAA_4[[#This Row],[ESTADO (formulado)]]="NO CONTRATADO",0,MAX(PAA_4[[#This Row],[Pago por Contrato]],PAA_4[[#This Row],[Pago por bolsa]]))</f>
        <v>#NAME?</v>
      </c>
      <c r="AE1252" s="55" t="str">
        <f t="shared" ca="1" si="456"/>
        <v/>
      </c>
      <c r="AF1252" s="47" t="e">
        <f t="shared" ca="1" si="457"/>
        <v>#NAME?</v>
      </c>
      <c r="AG1252" s="47">
        <f t="shared" si="458"/>
        <v>44021007</v>
      </c>
      <c r="AH1252" s="54">
        <f>IF(Q1252="22",IF(ISNUMBER(SEARCH("econ",PAA_4[[#This Row],[Actividad3]])),"Económico",IF(ISNUMBER(SEARCH("alim",PAA_4[[#This Row],[Actividad3]])),"Alimentación",IF(ISNUMBER(SEARCH("educ",PAA_4[[#This Row],[Actividad3]])),"Educativo","Técnico"))),0)</f>
        <v>0</v>
      </c>
      <c r="AI1252" s="47" t="e" cm="1">
        <f t="array" aca="1" ref="AI1252" ca="1">_xlfn.XLOOKUP(PAA_4[[#This Row],[RCP-RUBRO]],[2]!COMPROMISOS_2024[[#All],[concatenado]],[2]!COMPROMISOS_2024[[#All],[Total pagado]],"",0)</f>
        <v>#NAME?</v>
      </c>
      <c r="AJ1252" s="56">
        <f>IF(PAA_4[[#This Row],[BOLSA]]=0,0,SUMIFS([2]!COMPROMISOS_2024[[#All],[Total pagado]],[2]!COMPROMISOS_2024[[#All],[Bolsa]],PAA_4[[#This Row],[BOLSA]],[2]!COMPROMISOS_2024[[#All],[rubro]],PAA_4[[#This Row],[RCP-RUBRO]]))</f>
        <v>0</v>
      </c>
      <c r="AK1252" s="47" t="e" cm="1">
        <f t="array" aca="1" ref="AK1252" ca="1">_xlfn.XLOOKUP(PAA_4[[#This Row],[RCP-RUBRO]],[2]!COMPROMISOS_2024[[#All],[concatenado]],[2]!COMPROMISOS_2024[[#All],[Total Comprometido]],"",0)</f>
        <v>#NAME?</v>
      </c>
      <c r="AL1252" s="47">
        <f>IF(PAA_4[[#This Row],[BOLSA]]=0,0,SUMIFS([2]!COMPROMISOS_2024[[#All],[Total Comprometido]],[2]!COMPROMISOS_2024[[#All],[Bolsa]],PAA_4[[#This Row],[BOLSA]],[2]!COMPROMISOS_2024[[#All],[concatenado]],PAA_4[[#This Row],[RCP-RUBRO]]))</f>
        <v>0</v>
      </c>
    </row>
    <row r="1253" spans="1:38" s="19" customFormat="1" ht="31.5" customHeight="1">
      <c r="A1253" s="47">
        <v>434</v>
      </c>
      <c r="B1253" s="47">
        <v>80111600</v>
      </c>
      <c r="C1253" s="47" t="str">
        <f>VLOOKUP(PAA_4[[#This Row],[PROYECTO (formulado)2]],[2]PROYECTOS!$G$1:$L$32,6,0)</f>
        <v>SUBGERENCIA DE FOMENTO Y DESARROLLO</v>
      </c>
      <c r="D1253" s="47" t="str">
        <f>+IF(PAA_4[[#This Row],[UNIDAD DE CONTRATACION (formulado)]]="Subgerencia Administrativa y Financiera","FUNCIONAMIENTO","INVERSIÓN")</f>
        <v>INVERSIÓN</v>
      </c>
      <c r="E1253" s="48" t="str">
        <f>VLOOKUP(Q1253,[2]PROYECTOS!$G$1:$K$32,5,0)</f>
        <v>FORTALECIMIENTO_DE_LAS_ESCUELAS_DEPORTIVAS_EN_LOS_MUNICIPIOS_DEL_DEPARTAMENTO_DE_ANTIOQUIA</v>
      </c>
      <c r="F1253" s="48">
        <f>VLOOKUP(E1253,[2]PROYECTOS!$K$1:$M$32,3,0)</f>
        <v>2020003050032</v>
      </c>
      <c r="G1253" s="49" t="s">
        <v>376</v>
      </c>
      <c r="H1253" s="49" t="str">
        <f>VLOOKUP(Q1253,[2]PROYECTOS!$V$1:$W$32,2,0)</f>
        <v>050059</v>
      </c>
      <c r="I1253" s="50">
        <v>0</v>
      </c>
      <c r="J1253" s="51" t="s">
        <v>42</v>
      </c>
      <c r="K1253" s="47" t="str">
        <f t="shared" ca="1" si="452"/>
        <v>CONTRATADO</v>
      </c>
      <c r="L1253" s="47" t="s">
        <v>94</v>
      </c>
      <c r="M1253" s="47" t="s">
        <v>1297</v>
      </c>
      <c r="N1253" s="52" t="s">
        <v>366</v>
      </c>
      <c r="O1253" s="51" t="e">
        <f>VLOOKUP(N1253,[2]!RUBROS[#All],3,0)</f>
        <v>#REF!</v>
      </c>
      <c r="P1253" s="53" t="e">
        <f>VLOOKUP(N1253,[2]!RUBROS[#All],2,0)</f>
        <v>#REF!</v>
      </c>
      <c r="Q1253" s="47" t="str">
        <f t="shared" si="453"/>
        <v>46</v>
      </c>
      <c r="R1253" s="47" t="str">
        <f t="shared" si="454"/>
        <v>0-205128</v>
      </c>
      <c r="S1253" s="54">
        <v>10</v>
      </c>
      <c r="T1253" s="59" t="s">
        <v>46</v>
      </c>
      <c r="U1253" s="363" t="e">
        <f ca="1">_xlfn.XLOOKUP(PAA_4[[#This Row],[ITEM]],[2]Contrato!A:A,[2]Contrato!Q:Q,"",0)</f>
        <v>#NAME?</v>
      </c>
      <c r="V1253" s="47" t="s">
        <v>47</v>
      </c>
      <c r="W1253" s="57" t="s">
        <v>96</v>
      </c>
      <c r="X1253" s="57" t="s">
        <v>96</v>
      </c>
      <c r="Y1253" s="55" t="e">
        <f ca="1">_xlfn.XLOOKUP(PAA_4[[#This Row],[ITEM]],[2]Contrato!A:A,[2]Contrato!B:B,"",0)</f>
        <v>#NAME?</v>
      </c>
      <c r="Z1253" s="47" t="e">
        <f ca="1">_xlfn.XLOOKUP(PAA_4[[#This Row],[ITEM]],[2]Contrato!A:A,[2]Contrato!G:G,"",0)</f>
        <v>#NAME?</v>
      </c>
      <c r="AA1253" s="47" t="e">
        <f ca="1">_xlfn.XLOOKUP(PAA_4[[#This Row],[ITEM]],[2]Contrato!A:A,[2]Contrato!T:T,"",0)</f>
        <v>#NAME?</v>
      </c>
      <c r="AB1253" s="55" t="e">
        <f ca="1">+MAX(PAA_4[[#This Row],[Comprometido Contrato]],PAA_4[[#This Row],[Comprometido Bolsa]])</f>
        <v>#NAME?</v>
      </c>
      <c r="AC1253" s="55" t="str">
        <f t="shared" ca="1" si="455"/>
        <v/>
      </c>
      <c r="AD1253" s="55" t="e">
        <f ca="1">IF(PAA_4[[#This Row],[ESTADO (formulado)]]="NO CONTRATADO",0,MAX(PAA_4[[#This Row],[Pago por Contrato]],PAA_4[[#This Row],[Pago por bolsa]]))</f>
        <v>#NAME?</v>
      </c>
      <c r="AE1253" s="55" t="str">
        <f t="shared" ca="1" si="456"/>
        <v/>
      </c>
      <c r="AF1253" s="47" t="e">
        <f t="shared" ca="1" si="457"/>
        <v>#NAME?</v>
      </c>
      <c r="AG1253" s="47">
        <f t="shared" si="458"/>
        <v>44021007</v>
      </c>
      <c r="AH1253" s="54">
        <f>IF(Q1253="22",IF(ISNUMBER(SEARCH("econ",PAA_4[[#This Row],[Actividad3]])),"Económico",IF(ISNUMBER(SEARCH("alim",PAA_4[[#This Row],[Actividad3]])),"Alimentación",IF(ISNUMBER(SEARCH("educ",PAA_4[[#This Row],[Actividad3]])),"Educativo","Técnico"))),0)</f>
        <v>0</v>
      </c>
      <c r="AI1253" s="47" t="e" cm="1">
        <f t="array" aca="1" ref="AI1253" ca="1">_xlfn.XLOOKUP(PAA_4[[#This Row],[RCP-RUBRO]],[2]!COMPROMISOS_2024[[#All],[concatenado]],[2]!COMPROMISOS_2024[[#All],[Total pagado]],"",0)</f>
        <v>#NAME?</v>
      </c>
      <c r="AJ1253" s="56">
        <f>IF(PAA_4[[#This Row],[BOLSA]]=0,0,SUMIFS([2]!COMPROMISOS_2024[[#All],[Total pagado]],[2]!COMPROMISOS_2024[[#All],[Bolsa]],PAA_4[[#This Row],[BOLSA]],[2]!COMPROMISOS_2024[[#All],[rubro]],PAA_4[[#This Row],[RCP-RUBRO]]))</f>
        <v>0</v>
      </c>
      <c r="AK1253" s="47" t="e" cm="1">
        <f t="array" aca="1" ref="AK1253" ca="1">_xlfn.XLOOKUP(PAA_4[[#This Row],[RCP-RUBRO]],[2]!COMPROMISOS_2024[[#All],[concatenado]],[2]!COMPROMISOS_2024[[#All],[Total Comprometido]],"",0)</f>
        <v>#NAME?</v>
      </c>
      <c r="AL1253" s="47">
        <f>IF(PAA_4[[#This Row],[BOLSA]]=0,0,SUMIFS([2]!COMPROMISOS_2024[[#All],[Total Comprometido]],[2]!COMPROMISOS_2024[[#All],[Bolsa]],PAA_4[[#This Row],[BOLSA]],[2]!COMPROMISOS_2024[[#All],[concatenado]],PAA_4[[#This Row],[RCP-RUBRO]]))</f>
        <v>0</v>
      </c>
    </row>
    <row r="1254" spans="1:38" s="19" customFormat="1" ht="31.5" customHeight="1">
      <c r="A1254" s="47">
        <v>435</v>
      </c>
      <c r="B1254" s="47">
        <v>80111600</v>
      </c>
      <c r="C1254" s="47" t="str">
        <f>VLOOKUP(PAA_4[[#This Row],[PROYECTO (formulado)2]],[2]PROYECTOS!$G$1:$L$32,6,0)</f>
        <v>SUBGERENCIA DE FOMENTO Y DESARROLLO</v>
      </c>
      <c r="D1254" s="47" t="str">
        <f>+IF(PAA_4[[#This Row],[UNIDAD DE CONTRATACION (formulado)]]="Subgerencia Administrativa y Financiera","FUNCIONAMIENTO","INVERSIÓN")</f>
        <v>INVERSIÓN</v>
      </c>
      <c r="E1254" s="48" t="str">
        <f>VLOOKUP(Q1254,[2]PROYECTOS!$G$1:$K$32,5,0)</f>
        <v>FORTALECIMIENTO_DE_LAS_ESCUELAS_DEPORTIVAS_EN_LOS_MUNICIPIOS_DEL_DEPARTAMENTO_DE_ANTIOQUIA</v>
      </c>
      <c r="F1254" s="48">
        <f>VLOOKUP(E1254,[2]PROYECTOS!$K$1:$M$32,3,0)</f>
        <v>2020003050032</v>
      </c>
      <c r="G1254" s="49" t="s">
        <v>376</v>
      </c>
      <c r="H1254" s="49" t="str">
        <f>VLOOKUP(Q1254,[2]PROYECTOS!$V$1:$W$32,2,0)</f>
        <v>050059</v>
      </c>
      <c r="I1254" s="50">
        <v>0</v>
      </c>
      <c r="J1254" s="51" t="s">
        <v>42</v>
      </c>
      <c r="K1254" s="47" t="str">
        <f t="shared" ca="1" si="452"/>
        <v>CONTRATADO</v>
      </c>
      <c r="L1254" s="47" t="s">
        <v>94</v>
      </c>
      <c r="M1254" s="47" t="s">
        <v>1297</v>
      </c>
      <c r="N1254" s="52" t="s">
        <v>366</v>
      </c>
      <c r="O1254" s="51" t="e">
        <f>VLOOKUP(N1254,[2]!RUBROS[#All],3,0)</f>
        <v>#REF!</v>
      </c>
      <c r="P1254" s="53" t="e">
        <f>VLOOKUP(N1254,[2]!RUBROS[#All],2,0)</f>
        <v>#REF!</v>
      </c>
      <c r="Q1254" s="47" t="str">
        <f t="shared" si="453"/>
        <v>46</v>
      </c>
      <c r="R1254" s="47" t="str">
        <f t="shared" si="454"/>
        <v>0-205128</v>
      </c>
      <c r="S1254" s="54">
        <v>10</v>
      </c>
      <c r="T1254" s="59" t="s">
        <v>46</v>
      </c>
      <c r="U1254" s="363" t="e">
        <f ca="1">_xlfn.XLOOKUP(PAA_4[[#This Row],[ITEM]],[2]Contrato!A:A,[2]Contrato!Q:Q,"",0)</f>
        <v>#NAME?</v>
      </c>
      <c r="V1254" s="47" t="s">
        <v>47</v>
      </c>
      <c r="W1254" s="57" t="s">
        <v>96</v>
      </c>
      <c r="X1254" s="57" t="s">
        <v>96</v>
      </c>
      <c r="Y1254" s="55" t="e">
        <f ca="1">_xlfn.XLOOKUP(PAA_4[[#This Row],[ITEM]],[2]Contrato!A:A,[2]Contrato!B:B,"",0)</f>
        <v>#NAME?</v>
      </c>
      <c r="Z1254" s="47" t="e">
        <f ca="1">_xlfn.XLOOKUP(PAA_4[[#This Row],[ITEM]],[2]Contrato!A:A,[2]Contrato!G:G,"",0)</f>
        <v>#NAME?</v>
      </c>
      <c r="AA1254" s="47" t="e">
        <f ca="1">_xlfn.XLOOKUP(PAA_4[[#This Row],[ITEM]],[2]Contrato!A:A,[2]Contrato!T:T,"",0)</f>
        <v>#NAME?</v>
      </c>
      <c r="AB1254" s="55" t="e">
        <f ca="1">+MAX(PAA_4[[#This Row],[Comprometido Contrato]],PAA_4[[#This Row],[Comprometido Bolsa]])</f>
        <v>#NAME?</v>
      </c>
      <c r="AC1254" s="55" t="str">
        <f t="shared" ca="1" si="455"/>
        <v/>
      </c>
      <c r="AD1254" s="55" t="e">
        <f ca="1">IF(PAA_4[[#This Row],[ESTADO (formulado)]]="NO CONTRATADO",0,MAX(PAA_4[[#This Row],[Pago por Contrato]],PAA_4[[#This Row],[Pago por bolsa]]))</f>
        <v>#NAME?</v>
      </c>
      <c r="AE1254" s="55" t="str">
        <f t="shared" ca="1" si="456"/>
        <v/>
      </c>
      <c r="AF1254" s="47" t="e">
        <f t="shared" ca="1" si="457"/>
        <v>#NAME?</v>
      </c>
      <c r="AG1254" s="47">
        <f t="shared" si="458"/>
        <v>44021007</v>
      </c>
      <c r="AH1254" s="54">
        <f>IF(Q1254="22",IF(ISNUMBER(SEARCH("econ",PAA_4[[#This Row],[Actividad3]])),"Económico",IF(ISNUMBER(SEARCH("alim",PAA_4[[#This Row],[Actividad3]])),"Alimentación",IF(ISNUMBER(SEARCH("educ",PAA_4[[#This Row],[Actividad3]])),"Educativo","Técnico"))),0)</f>
        <v>0</v>
      </c>
      <c r="AI1254" s="47" t="e" cm="1">
        <f t="array" aca="1" ref="AI1254" ca="1">_xlfn.XLOOKUP(PAA_4[[#This Row],[RCP-RUBRO]],[2]!COMPROMISOS_2024[[#All],[concatenado]],[2]!COMPROMISOS_2024[[#All],[Total pagado]],"",0)</f>
        <v>#NAME?</v>
      </c>
      <c r="AJ1254" s="56">
        <f>IF(PAA_4[[#This Row],[BOLSA]]=0,0,SUMIFS([2]!COMPROMISOS_2024[[#All],[Total pagado]],[2]!COMPROMISOS_2024[[#All],[Bolsa]],PAA_4[[#This Row],[BOLSA]],[2]!COMPROMISOS_2024[[#All],[rubro]],PAA_4[[#This Row],[RCP-RUBRO]]))</f>
        <v>0</v>
      </c>
      <c r="AK1254" s="47" t="e" cm="1">
        <f t="array" aca="1" ref="AK1254" ca="1">_xlfn.XLOOKUP(PAA_4[[#This Row],[RCP-RUBRO]],[2]!COMPROMISOS_2024[[#All],[concatenado]],[2]!COMPROMISOS_2024[[#All],[Total Comprometido]],"",0)</f>
        <v>#NAME?</v>
      </c>
      <c r="AL1254" s="47">
        <f>IF(PAA_4[[#This Row],[BOLSA]]=0,0,SUMIFS([2]!COMPROMISOS_2024[[#All],[Total Comprometido]],[2]!COMPROMISOS_2024[[#All],[Bolsa]],PAA_4[[#This Row],[BOLSA]],[2]!COMPROMISOS_2024[[#All],[concatenado]],PAA_4[[#This Row],[RCP-RUBRO]]))</f>
        <v>0</v>
      </c>
    </row>
    <row r="1255" spans="1:38" s="19" customFormat="1" ht="31.5" customHeight="1">
      <c r="A1255" s="47">
        <v>436</v>
      </c>
      <c r="B1255" s="47">
        <v>80111600</v>
      </c>
      <c r="C1255" s="47" t="str">
        <f>VLOOKUP(PAA_4[[#This Row],[PROYECTO (formulado)2]],[2]PROYECTOS!$G$1:$L$32,6,0)</f>
        <v>SUBGERENCIA DE FOMENTO Y DESARROLLO</v>
      </c>
      <c r="D1255" s="47" t="str">
        <f>+IF(PAA_4[[#This Row],[UNIDAD DE CONTRATACION (formulado)]]="Subgerencia Administrativa y Financiera","FUNCIONAMIENTO","INVERSIÓN")</f>
        <v>INVERSIÓN</v>
      </c>
      <c r="E1255" s="48" t="str">
        <f>VLOOKUP(Q1255,[2]PROYECTOS!$G$1:$K$32,5,0)</f>
        <v>FORTALECIMIENTO_DE_LAS_ESCUELAS_DEPORTIVAS_EN_LOS_MUNICIPIOS_DEL_DEPARTAMENTO_DE_ANTIOQUIA</v>
      </c>
      <c r="F1255" s="48">
        <f>VLOOKUP(E1255,[2]PROYECTOS!$K$1:$M$32,3,0)</f>
        <v>2020003050032</v>
      </c>
      <c r="G1255" s="49" t="s">
        <v>376</v>
      </c>
      <c r="H1255" s="49" t="str">
        <f>VLOOKUP(Q1255,[2]PROYECTOS!$V$1:$W$32,2,0)</f>
        <v>050059</v>
      </c>
      <c r="I1255" s="50">
        <v>0</v>
      </c>
      <c r="J1255" s="51" t="s">
        <v>42</v>
      </c>
      <c r="K1255" s="47" t="str">
        <f t="shared" ca="1" si="452"/>
        <v>CONTRATADO</v>
      </c>
      <c r="L1255" s="47" t="s">
        <v>94</v>
      </c>
      <c r="M1255" s="47" t="s">
        <v>1297</v>
      </c>
      <c r="N1255" s="52" t="s">
        <v>366</v>
      </c>
      <c r="O1255" s="51" t="e">
        <f>VLOOKUP(N1255,[2]!RUBROS[#All],3,0)</f>
        <v>#REF!</v>
      </c>
      <c r="P1255" s="53" t="e">
        <f>VLOOKUP(N1255,[2]!RUBROS[#All],2,0)</f>
        <v>#REF!</v>
      </c>
      <c r="Q1255" s="47" t="str">
        <f t="shared" si="453"/>
        <v>46</v>
      </c>
      <c r="R1255" s="47" t="str">
        <f t="shared" si="454"/>
        <v>0-205128</v>
      </c>
      <c r="S1255" s="54">
        <v>10</v>
      </c>
      <c r="T1255" s="59" t="s">
        <v>46</v>
      </c>
      <c r="U1255" s="326" t="e">
        <f ca="1">_xlfn.XLOOKUP(PAA_4[[#This Row],[ITEM]],[2]Contrato!A:A,[2]Contrato!Q:Q,"",0)</f>
        <v>#NAME?</v>
      </c>
      <c r="V1255" s="47" t="s">
        <v>47</v>
      </c>
      <c r="W1255" s="57" t="s">
        <v>96</v>
      </c>
      <c r="X1255" s="57" t="s">
        <v>96</v>
      </c>
      <c r="Y1255" s="55" t="e">
        <f ca="1">_xlfn.XLOOKUP(PAA_4[[#This Row],[ITEM]],[2]Contrato!A:A,[2]Contrato!B:B,"",0)</f>
        <v>#NAME?</v>
      </c>
      <c r="Z1255" s="47" t="e">
        <f ca="1">_xlfn.XLOOKUP(PAA_4[[#This Row],[ITEM]],[2]Contrato!A:A,[2]Contrato!G:G,"",0)</f>
        <v>#NAME?</v>
      </c>
      <c r="AA1255" s="47" t="e">
        <f ca="1">_xlfn.XLOOKUP(PAA_4[[#This Row],[ITEM]],[2]Contrato!A:A,[2]Contrato!T:T,"",0)</f>
        <v>#NAME?</v>
      </c>
      <c r="AB1255" s="55" t="e">
        <f ca="1">+MAX(PAA_4[[#This Row],[Comprometido Contrato]],PAA_4[[#This Row],[Comprometido Bolsa]])</f>
        <v>#NAME?</v>
      </c>
      <c r="AC1255" s="55" t="str">
        <f t="shared" ca="1" si="455"/>
        <v/>
      </c>
      <c r="AD1255" s="55" t="e">
        <f ca="1">IF(PAA_4[[#This Row],[ESTADO (formulado)]]="NO CONTRATADO",0,MAX(PAA_4[[#This Row],[Pago por Contrato]],PAA_4[[#This Row],[Pago por bolsa]]))</f>
        <v>#NAME?</v>
      </c>
      <c r="AE1255" s="55" t="str">
        <f t="shared" ca="1" si="456"/>
        <v/>
      </c>
      <c r="AF1255" s="47" t="e">
        <f t="shared" ca="1" si="457"/>
        <v>#NAME?</v>
      </c>
      <c r="AG1255" s="47">
        <f t="shared" si="458"/>
        <v>44021007</v>
      </c>
      <c r="AH1255" s="54">
        <f>IF(Q1255="22",IF(ISNUMBER(SEARCH("econ",PAA_4[[#This Row],[Actividad3]])),"Económico",IF(ISNUMBER(SEARCH("alim",PAA_4[[#This Row],[Actividad3]])),"Alimentación",IF(ISNUMBER(SEARCH("educ",PAA_4[[#This Row],[Actividad3]])),"Educativo","Técnico"))),0)</f>
        <v>0</v>
      </c>
      <c r="AI1255" s="47" t="e" cm="1">
        <f t="array" aca="1" ref="AI1255" ca="1">_xlfn.XLOOKUP(PAA_4[[#This Row],[RCP-RUBRO]],[2]!COMPROMISOS_2024[[#All],[concatenado]],[2]!COMPROMISOS_2024[[#All],[Total pagado]],"",0)</f>
        <v>#NAME?</v>
      </c>
      <c r="AJ1255" s="56">
        <f>IF(PAA_4[[#This Row],[BOLSA]]=0,0,SUMIFS([2]!COMPROMISOS_2024[[#All],[Total pagado]],[2]!COMPROMISOS_2024[[#All],[Bolsa]],PAA_4[[#This Row],[BOLSA]],[2]!COMPROMISOS_2024[[#All],[rubro]],PAA_4[[#This Row],[RCP-RUBRO]]))</f>
        <v>0</v>
      </c>
      <c r="AK1255" s="47" t="e" cm="1">
        <f t="array" aca="1" ref="AK1255" ca="1">_xlfn.XLOOKUP(PAA_4[[#This Row],[RCP-RUBRO]],[2]!COMPROMISOS_2024[[#All],[concatenado]],[2]!COMPROMISOS_2024[[#All],[Total Comprometido]],"",0)</f>
        <v>#NAME?</v>
      </c>
      <c r="AL1255" s="47">
        <f>IF(PAA_4[[#This Row],[BOLSA]]=0,0,SUMIFS([2]!COMPROMISOS_2024[[#All],[Total Comprometido]],[2]!COMPROMISOS_2024[[#All],[Bolsa]],PAA_4[[#This Row],[BOLSA]],[2]!COMPROMISOS_2024[[#All],[concatenado]],PAA_4[[#This Row],[RCP-RUBRO]]))</f>
        <v>0</v>
      </c>
    </row>
    <row r="1256" spans="1:38" s="19" customFormat="1" ht="31.5" customHeight="1">
      <c r="A1256" s="47">
        <v>437</v>
      </c>
      <c r="B1256" s="47">
        <v>80111600</v>
      </c>
      <c r="C1256" s="47" t="str">
        <f>VLOOKUP(PAA_4[[#This Row],[PROYECTO (formulado)2]],[2]PROYECTOS!$G$1:$L$32,6,0)</f>
        <v>SUBGERENCIA DE FOMENTO Y DESARROLLO</v>
      </c>
      <c r="D1256" s="47" t="str">
        <f>+IF(PAA_4[[#This Row],[UNIDAD DE CONTRATACION (formulado)]]="Subgerencia Administrativa y Financiera","FUNCIONAMIENTO","INVERSIÓN")</f>
        <v>INVERSIÓN</v>
      </c>
      <c r="E1256" s="48" t="str">
        <f>VLOOKUP(Q1256,[2]PROYECTOS!$G$1:$K$32,5,0)</f>
        <v>FORTALECIMIENTO_DE_LAS_ESCUELAS_DEPORTIVAS_EN_LOS_MUNICIPIOS_DEL_DEPARTAMENTO_DE_ANTIOQUIA</v>
      </c>
      <c r="F1256" s="48">
        <f>VLOOKUP(E1256,[2]PROYECTOS!$K$1:$M$32,3,0)</f>
        <v>2020003050032</v>
      </c>
      <c r="G1256" s="49" t="s">
        <v>376</v>
      </c>
      <c r="H1256" s="49" t="str">
        <f>VLOOKUP(Q1256,[2]PROYECTOS!$V$1:$W$32,2,0)</f>
        <v>050059</v>
      </c>
      <c r="I1256" s="50">
        <v>0</v>
      </c>
      <c r="J1256" s="51" t="s">
        <v>1868</v>
      </c>
      <c r="K1256" s="47" t="str">
        <f t="shared" ca="1" si="452"/>
        <v>CONTRATADO</v>
      </c>
      <c r="L1256" s="47" t="s">
        <v>94</v>
      </c>
      <c r="M1256" s="47" t="s">
        <v>1297</v>
      </c>
      <c r="N1256" s="52" t="s">
        <v>366</v>
      </c>
      <c r="O1256" s="51" t="e">
        <f>VLOOKUP(N1256,[2]!RUBROS[#All],3,0)</f>
        <v>#REF!</v>
      </c>
      <c r="P1256" s="53" t="e">
        <f>VLOOKUP(N1256,[2]!RUBROS[#All],2,0)</f>
        <v>#REF!</v>
      </c>
      <c r="Q1256" s="47" t="str">
        <f t="shared" si="453"/>
        <v>46</v>
      </c>
      <c r="R1256" s="47" t="str">
        <f t="shared" si="454"/>
        <v>0-205128</v>
      </c>
      <c r="S1256" s="54">
        <v>12</v>
      </c>
      <c r="T1256" s="59" t="s">
        <v>46</v>
      </c>
      <c r="U1256" s="326" t="e">
        <f ca="1">_xlfn.XLOOKUP(PAA_4[[#This Row],[ITEM]],[2]Contrato!A:A,[2]Contrato!Q:Q,"",0)</f>
        <v>#NAME?</v>
      </c>
      <c r="V1256" s="47" t="s">
        <v>47</v>
      </c>
      <c r="W1256" s="47" t="s">
        <v>83</v>
      </c>
      <c r="X1256" s="47" t="s">
        <v>83</v>
      </c>
      <c r="Y1256" s="55" t="e">
        <f ca="1">_xlfn.XLOOKUP(PAA_4[[#This Row],[ITEM]],[2]Contrato!A:A,[2]Contrato!B:B,"",0)</f>
        <v>#NAME?</v>
      </c>
      <c r="Z1256" s="47" t="e">
        <f ca="1">_xlfn.XLOOKUP(PAA_4[[#This Row],[ITEM]],[2]Contrato!A:A,[2]Contrato!G:G,"",0)</f>
        <v>#NAME?</v>
      </c>
      <c r="AA1256" s="47" t="e">
        <f ca="1">_xlfn.XLOOKUP(PAA_4[[#This Row],[ITEM]],[2]Contrato!A:A,[2]Contrato!T:T,"",0)</f>
        <v>#NAME?</v>
      </c>
      <c r="AB1256" s="55" t="e">
        <f ca="1">+MAX(PAA_4[[#This Row],[Comprometido Contrato]],PAA_4[[#This Row],[Comprometido Bolsa]])</f>
        <v>#NAME?</v>
      </c>
      <c r="AC1256" s="55" t="str">
        <f t="shared" ca="1" si="455"/>
        <v/>
      </c>
      <c r="AD1256" s="55" t="e">
        <f ca="1">IF(PAA_4[[#This Row],[ESTADO (formulado)]]="NO CONTRATADO",0,MAX(PAA_4[[#This Row],[Pago por Contrato]],PAA_4[[#This Row],[Pago por bolsa]]))</f>
        <v>#NAME?</v>
      </c>
      <c r="AE1256" s="55" t="str">
        <f t="shared" ca="1" si="456"/>
        <v/>
      </c>
      <c r="AF1256" s="47" t="e">
        <f t="shared" ca="1" si="457"/>
        <v>#NAME?</v>
      </c>
      <c r="AG1256" s="47">
        <f t="shared" si="458"/>
        <v>44021007</v>
      </c>
      <c r="AH1256" s="54">
        <f>IF(Q1256="22",IF(ISNUMBER(SEARCH("econ",PAA_4[[#This Row],[Actividad3]])),"Económico",IF(ISNUMBER(SEARCH("alim",PAA_4[[#This Row],[Actividad3]])),"Alimentación",IF(ISNUMBER(SEARCH("educ",PAA_4[[#This Row],[Actividad3]])),"Educativo","Técnico"))),0)</f>
        <v>0</v>
      </c>
      <c r="AI1256" s="47" t="e" cm="1">
        <f t="array" aca="1" ref="AI1256" ca="1">_xlfn.XLOOKUP(PAA_4[[#This Row],[RCP-RUBRO]],[2]!COMPROMISOS_2024[[#All],[concatenado]],[2]!COMPROMISOS_2024[[#All],[Total pagado]],"",0)</f>
        <v>#NAME?</v>
      </c>
      <c r="AJ1256" s="56">
        <f>IF(PAA_4[[#This Row],[BOLSA]]=0,0,SUMIFS([2]!COMPROMISOS_2024[[#All],[Total pagado]],[2]!COMPROMISOS_2024[[#All],[Bolsa]],PAA_4[[#This Row],[BOLSA]],[2]!COMPROMISOS_2024[[#All],[rubro]],PAA_4[[#This Row],[RCP-RUBRO]]))</f>
        <v>0</v>
      </c>
      <c r="AK1256" s="47" t="e" cm="1">
        <f t="array" aca="1" ref="AK1256" ca="1">_xlfn.XLOOKUP(PAA_4[[#This Row],[RCP-RUBRO]],[2]!COMPROMISOS_2024[[#All],[concatenado]],[2]!COMPROMISOS_2024[[#All],[Total Comprometido]],"",0)</f>
        <v>#NAME?</v>
      </c>
      <c r="AL1256" s="47">
        <f>IF(PAA_4[[#This Row],[BOLSA]]=0,0,SUMIFS([2]!COMPROMISOS_2024[[#All],[Total Comprometido]],[2]!COMPROMISOS_2024[[#All],[Bolsa]],PAA_4[[#This Row],[BOLSA]],[2]!COMPROMISOS_2024[[#All],[concatenado]],PAA_4[[#This Row],[RCP-RUBRO]]))</f>
        <v>0</v>
      </c>
    </row>
    <row r="1257" spans="1:38" s="19" customFormat="1" ht="31.5" customHeight="1">
      <c r="A1257" s="47">
        <v>438</v>
      </c>
      <c r="B1257" s="47">
        <v>80111600</v>
      </c>
      <c r="C1257" s="47" t="str">
        <f>VLOOKUP(PAA_4[[#This Row],[PROYECTO (formulado)2]],[2]PROYECTOS!$G$1:$L$32,6,0)</f>
        <v>SUBGERENCIA DE FOMENTO Y DESARROLLO</v>
      </c>
      <c r="D1257" s="47" t="str">
        <f>+IF(PAA_4[[#This Row],[UNIDAD DE CONTRATACION (formulado)]]="Subgerencia Administrativa y Financiera","FUNCIONAMIENTO","INVERSIÓN")</f>
        <v>INVERSIÓN</v>
      </c>
      <c r="E1257" s="48" t="str">
        <f>VLOOKUP(Q1257,[2]PROYECTOS!$G$1:$K$32,5,0)</f>
        <v>FORTALECIMIENTO_DE_LAS_ESCUELAS_DEPORTIVAS_EN_LOS_MUNICIPIOS_DEL_DEPARTAMENTO_DE_ANTIOQUIA</v>
      </c>
      <c r="F1257" s="48">
        <f>VLOOKUP(E1257,[2]PROYECTOS!$K$1:$M$32,3,0)</f>
        <v>2020003050032</v>
      </c>
      <c r="G1257" s="49" t="s">
        <v>376</v>
      </c>
      <c r="H1257" s="49" t="str">
        <f>VLOOKUP(Q1257,[2]PROYECTOS!$V$1:$W$32,2,0)</f>
        <v>050059</v>
      </c>
      <c r="I1257" s="50">
        <v>0</v>
      </c>
      <c r="J1257" s="51" t="s">
        <v>1868</v>
      </c>
      <c r="K1257" s="47" t="str">
        <f t="shared" ca="1" si="452"/>
        <v>CONTRATADO</v>
      </c>
      <c r="L1257" s="47" t="s">
        <v>94</v>
      </c>
      <c r="M1257" s="47" t="s">
        <v>1297</v>
      </c>
      <c r="N1257" s="52" t="s">
        <v>366</v>
      </c>
      <c r="O1257" s="51" t="e">
        <f>VLOOKUP(N1257,[2]!RUBROS[#All],3,0)</f>
        <v>#REF!</v>
      </c>
      <c r="P1257" s="53" t="e">
        <f>VLOOKUP(N1257,[2]!RUBROS[#All],2,0)</f>
        <v>#REF!</v>
      </c>
      <c r="Q1257" s="47" t="str">
        <f t="shared" si="453"/>
        <v>46</v>
      </c>
      <c r="R1257" s="47" t="str">
        <f t="shared" si="454"/>
        <v>0-205128</v>
      </c>
      <c r="S1257" s="54">
        <v>12</v>
      </c>
      <c r="T1257" s="59" t="s">
        <v>46</v>
      </c>
      <c r="U1257" s="326" t="e">
        <f ca="1">_xlfn.XLOOKUP(PAA_4[[#This Row],[ITEM]],[2]Contrato!A:A,[2]Contrato!Q:Q,"",0)</f>
        <v>#NAME?</v>
      </c>
      <c r="V1257" s="47" t="s">
        <v>47</v>
      </c>
      <c r="W1257" s="47" t="s">
        <v>83</v>
      </c>
      <c r="X1257" s="47" t="s">
        <v>83</v>
      </c>
      <c r="Y1257" s="55" t="e">
        <f ca="1">_xlfn.XLOOKUP(PAA_4[[#This Row],[ITEM]],[2]Contrato!A:A,[2]Contrato!B:B,"",0)</f>
        <v>#NAME?</v>
      </c>
      <c r="Z1257" s="47" t="e">
        <f ca="1">_xlfn.XLOOKUP(PAA_4[[#This Row],[ITEM]],[2]Contrato!A:A,[2]Contrato!G:G,"",0)</f>
        <v>#NAME?</v>
      </c>
      <c r="AA1257" s="47" t="e">
        <f ca="1">_xlfn.XLOOKUP(PAA_4[[#This Row],[ITEM]],[2]Contrato!A:A,[2]Contrato!T:T,"",0)</f>
        <v>#NAME?</v>
      </c>
      <c r="AB1257" s="55" t="e">
        <f ca="1">+MAX(PAA_4[[#This Row],[Comprometido Contrato]],PAA_4[[#This Row],[Comprometido Bolsa]])</f>
        <v>#NAME?</v>
      </c>
      <c r="AC1257" s="55" t="str">
        <f t="shared" ca="1" si="455"/>
        <v/>
      </c>
      <c r="AD1257" s="55" t="e">
        <f ca="1">IF(PAA_4[[#This Row],[ESTADO (formulado)]]="NO CONTRATADO",0,MAX(PAA_4[[#This Row],[Pago por Contrato]],PAA_4[[#This Row],[Pago por bolsa]]))</f>
        <v>#NAME?</v>
      </c>
      <c r="AE1257" s="55" t="str">
        <f t="shared" ca="1" si="456"/>
        <v/>
      </c>
      <c r="AF1257" s="47" t="e">
        <f t="shared" ca="1" si="457"/>
        <v>#NAME?</v>
      </c>
      <c r="AG1257" s="47">
        <f t="shared" si="458"/>
        <v>44021007</v>
      </c>
      <c r="AH1257" s="54">
        <f>IF(Q1257="22",IF(ISNUMBER(SEARCH("econ",PAA_4[[#This Row],[Actividad3]])),"Económico",IF(ISNUMBER(SEARCH("alim",PAA_4[[#This Row],[Actividad3]])),"Alimentación",IF(ISNUMBER(SEARCH("educ",PAA_4[[#This Row],[Actividad3]])),"Educativo","Técnico"))),0)</f>
        <v>0</v>
      </c>
      <c r="AI1257" s="47" t="e" cm="1">
        <f t="array" aca="1" ref="AI1257" ca="1">_xlfn.XLOOKUP(PAA_4[[#This Row],[RCP-RUBRO]],[2]!COMPROMISOS_2024[[#All],[concatenado]],[2]!COMPROMISOS_2024[[#All],[Total pagado]],"",0)</f>
        <v>#NAME?</v>
      </c>
      <c r="AJ1257" s="56">
        <f>IF(PAA_4[[#This Row],[BOLSA]]=0,0,SUMIFS([2]!COMPROMISOS_2024[[#All],[Total pagado]],[2]!COMPROMISOS_2024[[#All],[Bolsa]],PAA_4[[#This Row],[BOLSA]],[2]!COMPROMISOS_2024[[#All],[rubro]],PAA_4[[#This Row],[RCP-RUBRO]]))</f>
        <v>0</v>
      </c>
      <c r="AK1257" s="47" t="e" cm="1">
        <f t="array" aca="1" ref="AK1257" ca="1">_xlfn.XLOOKUP(PAA_4[[#This Row],[RCP-RUBRO]],[2]!COMPROMISOS_2024[[#All],[concatenado]],[2]!COMPROMISOS_2024[[#All],[Total Comprometido]],"",0)</f>
        <v>#NAME?</v>
      </c>
      <c r="AL1257" s="47">
        <f>IF(PAA_4[[#This Row],[BOLSA]]=0,0,SUMIFS([2]!COMPROMISOS_2024[[#All],[Total Comprometido]],[2]!COMPROMISOS_2024[[#All],[Bolsa]],PAA_4[[#This Row],[BOLSA]],[2]!COMPROMISOS_2024[[#All],[concatenado]],PAA_4[[#This Row],[RCP-RUBRO]]))</f>
        <v>0</v>
      </c>
    </row>
    <row r="1258" spans="1:38" s="19" customFormat="1" ht="31.5" customHeight="1">
      <c r="A1258" s="47">
        <v>439</v>
      </c>
      <c r="B1258" s="47">
        <v>80111600</v>
      </c>
      <c r="C1258" s="47" t="str">
        <f>VLOOKUP(PAA_4[[#This Row],[PROYECTO (formulado)2]],[2]PROYECTOS!$G$1:$L$32,6,0)</f>
        <v>SUBGERENCIA DE FOMENTO Y DESARROLLO</v>
      </c>
      <c r="D1258" s="47" t="str">
        <f>+IF(PAA_4[[#This Row],[UNIDAD DE CONTRATACION (formulado)]]="Subgerencia Administrativa y Financiera","FUNCIONAMIENTO","INVERSIÓN")</f>
        <v>INVERSIÓN</v>
      </c>
      <c r="E1258" s="48" t="str">
        <f>VLOOKUP(Q1258,[2]PROYECTOS!$G$1:$K$32,5,0)</f>
        <v>FORTALECIMIENTO_DE_LAS_ESCUELAS_DEPORTIVAS_EN_LOS_MUNICIPIOS_DEL_DEPARTAMENTO_DE_ANTIOQUIA</v>
      </c>
      <c r="F1258" s="48">
        <f>VLOOKUP(E1258,[2]PROYECTOS!$K$1:$M$32,3,0)</f>
        <v>2020003050032</v>
      </c>
      <c r="G1258" s="49" t="s">
        <v>378</v>
      </c>
      <c r="H1258" s="49" t="str">
        <f>VLOOKUP(Q1258,[2]PROYECTOS!$V$1:$W$32,2,0)</f>
        <v>050059</v>
      </c>
      <c r="I1258" s="50">
        <v>0</v>
      </c>
      <c r="J1258" s="51" t="s">
        <v>42</v>
      </c>
      <c r="K1258" s="47" t="str">
        <f t="shared" ca="1" si="452"/>
        <v>CONTRATADO</v>
      </c>
      <c r="L1258" s="47" t="s">
        <v>94</v>
      </c>
      <c r="M1258" s="47" t="s">
        <v>1297</v>
      </c>
      <c r="N1258" s="52" t="s">
        <v>366</v>
      </c>
      <c r="O1258" s="51" t="e">
        <f>VLOOKUP(N1258,[2]!RUBROS[#All],3,0)</f>
        <v>#REF!</v>
      </c>
      <c r="P1258" s="53" t="e">
        <f>VLOOKUP(N1258,[2]!RUBROS[#All],2,0)</f>
        <v>#REF!</v>
      </c>
      <c r="Q1258" s="47" t="str">
        <f t="shared" si="453"/>
        <v>46</v>
      </c>
      <c r="R1258" s="47" t="str">
        <f t="shared" si="454"/>
        <v>0-205128</v>
      </c>
      <c r="S1258" s="54">
        <v>10</v>
      </c>
      <c r="T1258" s="59" t="s">
        <v>46</v>
      </c>
      <c r="U1258" s="326" t="e">
        <f ca="1">_xlfn.XLOOKUP(PAA_4[[#This Row],[ITEM]],[2]Contrato!A:A,[2]Contrato!Q:Q,"",0)</f>
        <v>#NAME?</v>
      </c>
      <c r="V1258" s="47" t="s">
        <v>47</v>
      </c>
      <c r="W1258" s="57" t="s">
        <v>96</v>
      </c>
      <c r="X1258" s="57" t="s">
        <v>96</v>
      </c>
      <c r="Y1258" s="55" t="e">
        <f ca="1">_xlfn.XLOOKUP(PAA_4[[#This Row],[ITEM]],[2]Contrato!A:A,[2]Contrato!B:B,"",0)</f>
        <v>#NAME?</v>
      </c>
      <c r="Z1258" s="47" t="e">
        <f ca="1">_xlfn.XLOOKUP(PAA_4[[#This Row],[ITEM]],[2]Contrato!A:A,[2]Contrato!G:G,"",0)</f>
        <v>#NAME?</v>
      </c>
      <c r="AA1258" s="47" t="e">
        <f ca="1">_xlfn.XLOOKUP(PAA_4[[#This Row],[ITEM]],[2]Contrato!A:A,[2]Contrato!T:T,"",0)</f>
        <v>#NAME?</v>
      </c>
      <c r="AB1258" s="55" t="e">
        <f ca="1">+MAX(PAA_4[[#This Row],[Comprometido Contrato]],PAA_4[[#This Row],[Comprometido Bolsa]])</f>
        <v>#NAME?</v>
      </c>
      <c r="AC1258" s="55" t="str">
        <f t="shared" ca="1" si="455"/>
        <v/>
      </c>
      <c r="AD1258" s="55" t="e">
        <f ca="1">IF(PAA_4[[#This Row],[ESTADO (formulado)]]="NO CONTRATADO",0,MAX(PAA_4[[#This Row],[Pago por Contrato]],PAA_4[[#This Row],[Pago por bolsa]]))</f>
        <v>#NAME?</v>
      </c>
      <c r="AE1258" s="55" t="str">
        <f t="shared" ca="1" si="456"/>
        <v/>
      </c>
      <c r="AF1258" s="47" t="e">
        <f t="shared" ca="1" si="457"/>
        <v>#NAME?</v>
      </c>
      <c r="AG1258" s="47">
        <f t="shared" si="458"/>
        <v>44021007</v>
      </c>
      <c r="AH1258" s="54">
        <f>IF(Q1258="22",IF(ISNUMBER(SEARCH("econ",PAA_4[[#This Row],[Actividad3]])),"Económico",IF(ISNUMBER(SEARCH("alim",PAA_4[[#This Row],[Actividad3]])),"Alimentación",IF(ISNUMBER(SEARCH("educ",PAA_4[[#This Row],[Actividad3]])),"Educativo","Técnico"))),0)</f>
        <v>0</v>
      </c>
      <c r="AI1258" s="47" t="e" cm="1">
        <f t="array" aca="1" ref="AI1258" ca="1">_xlfn.XLOOKUP(PAA_4[[#This Row],[RCP-RUBRO]],[2]!COMPROMISOS_2024[[#All],[concatenado]],[2]!COMPROMISOS_2024[[#All],[Total pagado]],"",0)</f>
        <v>#NAME?</v>
      </c>
      <c r="AJ1258" s="56">
        <f>IF(PAA_4[[#This Row],[BOLSA]]=0,0,SUMIFS([2]!COMPROMISOS_2024[[#All],[Total pagado]],[2]!COMPROMISOS_2024[[#All],[Bolsa]],PAA_4[[#This Row],[BOLSA]],[2]!COMPROMISOS_2024[[#All],[rubro]],PAA_4[[#This Row],[RCP-RUBRO]]))</f>
        <v>0</v>
      </c>
      <c r="AK1258" s="47" t="e" cm="1">
        <f t="array" aca="1" ref="AK1258" ca="1">_xlfn.XLOOKUP(PAA_4[[#This Row],[RCP-RUBRO]],[2]!COMPROMISOS_2024[[#All],[concatenado]],[2]!COMPROMISOS_2024[[#All],[Total Comprometido]],"",0)</f>
        <v>#NAME?</v>
      </c>
      <c r="AL1258" s="47">
        <f>IF(PAA_4[[#This Row],[BOLSA]]=0,0,SUMIFS([2]!COMPROMISOS_2024[[#All],[Total Comprometido]],[2]!COMPROMISOS_2024[[#All],[Bolsa]],PAA_4[[#This Row],[BOLSA]],[2]!COMPROMISOS_2024[[#All],[concatenado]],PAA_4[[#This Row],[RCP-RUBRO]]))</f>
        <v>0</v>
      </c>
    </row>
    <row r="1259" spans="1:38" s="19" customFormat="1" ht="31.5" customHeight="1">
      <c r="A1259" s="47">
        <v>440</v>
      </c>
      <c r="B1259" s="47">
        <v>80111600</v>
      </c>
      <c r="C1259" s="47" t="str">
        <f>VLOOKUP(PAA_4[[#This Row],[PROYECTO (formulado)2]],[2]PROYECTOS!$G$1:$L$32,6,0)</f>
        <v>SUBGERENCIA DE FOMENTO Y DESARROLLO</v>
      </c>
      <c r="D1259" s="47" t="str">
        <f>+IF(PAA_4[[#This Row],[UNIDAD DE CONTRATACION (formulado)]]="Subgerencia Administrativa y Financiera","FUNCIONAMIENTO","INVERSIÓN")</f>
        <v>INVERSIÓN</v>
      </c>
      <c r="E1259" s="48" t="str">
        <f>VLOOKUP(Q1259,[2]PROYECTOS!$G$1:$K$32,5,0)</f>
        <v>FORTALECIMIENTO_DE_LAS_ESCUELAS_DEPORTIVAS_EN_LOS_MUNICIPIOS_DEL_DEPARTAMENTO_DE_ANTIOQUIA</v>
      </c>
      <c r="F1259" s="48">
        <f>VLOOKUP(E1259,[2]PROYECTOS!$K$1:$M$32,3,0)</f>
        <v>2020003050032</v>
      </c>
      <c r="G1259" s="49" t="s">
        <v>378</v>
      </c>
      <c r="H1259" s="49" t="str">
        <f>VLOOKUP(Q1259,[2]PROYECTOS!$V$1:$W$32,2,0)</f>
        <v>050059</v>
      </c>
      <c r="I1259" s="50">
        <v>0</v>
      </c>
      <c r="J1259" s="51" t="s">
        <v>42</v>
      </c>
      <c r="K1259" s="47" t="str">
        <f t="shared" ca="1" si="452"/>
        <v>CONTRATADO</v>
      </c>
      <c r="L1259" s="47" t="s">
        <v>94</v>
      </c>
      <c r="M1259" s="47" t="s">
        <v>1297</v>
      </c>
      <c r="N1259" s="52" t="s">
        <v>366</v>
      </c>
      <c r="O1259" s="51" t="e">
        <f>VLOOKUP(N1259,[2]!RUBROS[#All],3,0)</f>
        <v>#REF!</v>
      </c>
      <c r="P1259" s="53" t="e">
        <f>VLOOKUP(N1259,[2]!RUBROS[#All],2,0)</f>
        <v>#REF!</v>
      </c>
      <c r="Q1259" s="47" t="str">
        <f t="shared" si="453"/>
        <v>46</v>
      </c>
      <c r="R1259" s="47" t="str">
        <f t="shared" si="454"/>
        <v>0-205128</v>
      </c>
      <c r="S1259" s="54">
        <v>10</v>
      </c>
      <c r="T1259" s="59" t="s">
        <v>46</v>
      </c>
      <c r="U1259" s="326" t="e">
        <f ca="1">_xlfn.XLOOKUP(PAA_4[[#This Row],[ITEM]],[2]Contrato!A:A,[2]Contrato!Q:Q,"",0)</f>
        <v>#NAME?</v>
      </c>
      <c r="V1259" s="47" t="s">
        <v>47</v>
      </c>
      <c r="W1259" s="57" t="s">
        <v>96</v>
      </c>
      <c r="X1259" s="57" t="s">
        <v>96</v>
      </c>
      <c r="Y1259" s="55" t="e">
        <f ca="1">_xlfn.XLOOKUP(PAA_4[[#This Row],[ITEM]],[2]Contrato!A:A,[2]Contrato!B:B,"",0)</f>
        <v>#NAME?</v>
      </c>
      <c r="Z1259" s="47" t="e">
        <f ca="1">_xlfn.XLOOKUP(PAA_4[[#This Row],[ITEM]],[2]Contrato!A:A,[2]Contrato!G:G,"",0)</f>
        <v>#NAME?</v>
      </c>
      <c r="AA1259" s="47" t="e">
        <f ca="1">_xlfn.XLOOKUP(PAA_4[[#This Row],[ITEM]],[2]Contrato!A:A,[2]Contrato!T:T,"",0)</f>
        <v>#NAME?</v>
      </c>
      <c r="AB1259" s="55" t="e">
        <f ca="1">+MAX(PAA_4[[#This Row],[Comprometido Contrato]],PAA_4[[#This Row],[Comprometido Bolsa]])</f>
        <v>#NAME?</v>
      </c>
      <c r="AC1259" s="55" t="str">
        <f t="shared" ca="1" si="455"/>
        <v/>
      </c>
      <c r="AD1259" s="55" t="e">
        <f ca="1">IF(PAA_4[[#This Row],[ESTADO (formulado)]]="NO CONTRATADO",0,MAX(PAA_4[[#This Row],[Pago por Contrato]],PAA_4[[#This Row],[Pago por bolsa]]))</f>
        <v>#NAME?</v>
      </c>
      <c r="AE1259" s="55" t="str">
        <f t="shared" ca="1" si="456"/>
        <v/>
      </c>
      <c r="AF1259" s="47" t="e">
        <f t="shared" ca="1" si="457"/>
        <v>#NAME?</v>
      </c>
      <c r="AG1259" s="47">
        <f t="shared" si="458"/>
        <v>44021007</v>
      </c>
      <c r="AH1259" s="54">
        <f>IF(Q1259="22",IF(ISNUMBER(SEARCH("econ",PAA_4[[#This Row],[Actividad3]])),"Económico",IF(ISNUMBER(SEARCH("alim",PAA_4[[#This Row],[Actividad3]])),"Alimentación",IF(ISNUMBER(SEARCH("educ",PAA_4[[#This Row],[Actividad3]])),"Educativo","Técnico"))),0)</f>
        <v>0</v>
      </c>
      <c r="AI1259" s="47" t="e" cm="1">
        <f t="array" aca="1" ref="AI1259" ca="1">_xlfn.XLOOKUP(PAA_4[[#This Row],[RCP-RUBRO]],[2]!COMPROMISOS_2024[[#All],[concatenado]],[2]!COMPROMISOS_2024[[#All],[Total pagado]],"",0)</f>
        <v>#NAME?</v>
      </c>
      <c r="AJ1259" s="56">
        <f>IF(PAA_4[[#This Row],[BOLSA]]=0,0,SUMIFS([2]!COMPROMISOS_2024[[#All],[Total pagado]],[2]!COMPROMISOS_2024[[#All],[Bolsa]],PAA_4[[#This Row],[BOLSA]],[2]!COMPROMISOS_2024[[#All],[rubro]],PAA_4[[#This Row],[RCP-RUBRO]]))</f>
        <v>0</v>
      </c>
      <c r="AK1259" s="47" t="e" cm="1">
        <f t="array" aca="1" ref="AK1259" ca="1">_xlfn.XLOOKUP(PAA_4[[#This Row],[RCP-RUBRO]],[2]!COMPROMISOS_2024[[#All],[concatenado]],[2]!COMPROMISOS_2024[[#All],[Total Comprometido]],"",0)</f>
        <v>#NAME?</v>
      </c>
      <c r="AL1259" s="47">
        <f>IF(PAA_4[[#This Row],[BOLSA]]=0,0,SUMIFS([2]!COMPROMISOS_2024[[#All],[Total Comprometido]],[2]!COMPROMISOS_2024[[#All],[Bolsa]],PAA_4[[#This Row],[BOLSA]],[2]!COMPROMISOS_2024[[#All],[concatenado]],PAA_4[[#This Row],[RCP-RUBRO]]))</f>
        <v>0</v>
      </c>
    </row>
    <row r="1260" spans="1:38" s="19" customFormat="1" ht="31.5" customHeight="1">
      <c r="A1260" s="47">
        <v>441</v>
      </c>
      <c r="B1260" s="47">
        <v>80111600</v>
      </c>
      <c r="C1260" s="47" t="str">
        <f>VLOOKUP(PAA_4[[#This Row],[PROYECTO (formulado)2]],[2]PROYECTOS!$G$1:$L$32,6,0)</f>
        <v>SUBGERENCIA DE FOMENTO Y DESARROLLO</v>
      </c>
      <c r="D1260" s="47" t="str">
        <f>+IF(PAA_4[[#This Row],[UNIDAD DE CONTRATACION (formulado)]]="Subgerencia Administrativa y Financiera","FUNCIONAMIENTO","INVERSIÓN")</f>
        <v>INVERSIÓN</v>
      </c>
      <c r="E1260" s="48" t="str">
        <f>VLOOKUP(Q1260,[2]PROYECTOS!$G$1:$K$32,5,0)</f>
        <v>FORTALECIMIENTO_DE_LAS_ESCUELAS_DEPORTIVAS_EN_LOS_MUNICIPIOS_DEL_DEPARTAMENTO_DE_ANTIOQUIA</v>
      </c>
      <c r="F1260" s="48">
        <f>VLOOKUP(E1260,[2]PROYECTOS!$K$1:$M$32,3,0)</f>
        <v>2020003050032</v>
      </c>
      <c r="G1260" s="49" t="s">
        <v>378</v>
      </c>
      <c r="H1260" s="49" t="str">
        <f>VLOOKUP(Q1260,[2]PROYECTOS!$V$1:$W$32,2,0)</f>
        <v>050059</v>
      </c>
      <c r="I1260" s="50">
        <v>0</v>
      </c>
      <c r="J1260" s="51" t="s">
        <v>42</v>
      </c>
      <c r="K1260" s="47" t="str">
        <f t="shared" ca="1" si="452"/>
        <v>CONTRATADO</v>
      </c>
      <c r="L1260" s="47" t="s">
        <v>94</v>
      </c>
      <c r="M1260" s="47" t="s">
        <v>1297</v>
      </c>
      <c r="N1260" s="52" t="s">
        <v>366</v>
      </c>
      <c r="O1260" s="51" t="e">
        <f>VLOOKUP(N1260,[2]!RUBROS[#All],3,0)</f>
        <v>#REF!</v>
      </c>
      <c r="P1260" s="53" t="e">
        <f>VLOOKUP(N1260,[2]!RUBROS[#All],2,0)</f>
        <v>#REF!</v>
      </c>
      <c r="Q1260" s="47" t="str">
        <f t="shared" si="453"/>
        <v>46</v>
      </c>
      <c r="R1260" s="47" t="str">
        <f t="shared" si="454"/>
        <v>0-205128</v>
      </c>
      <c r="S1260" s="54">
        <v>10</v>
      </c>
      <c r="T1260" s="59" t="s">
        <v>46</v>
      </c>
      <c r="U1260" s="326" t="e">
        <f ca="1">_xlfn.XLOOKUP(PAA_4[[#This Row],[ITEM]],[2]Contrato!A:A,[2]Contrato!Q:Q,"",0)</f>
        <v>#NAME?</v>
      </c>
      <c r="V1260" s="47" t="s">
        <v>47</v>
      </c>
      <c r="W1260" s="57" t="s">
        <v>96</v>
      </c>
      <c r="X1260" s="57" t="s">
        <v>96</v>
      </c>
      <c r="Y1260" s="55" t="e">
        <f ca="1">_xlfn.XLOOKUP(PAA_4[[#This Row],[ITEM]],[2]Contrato!A:A,[2]Contrato!B:B,"",0)</f>
        <v>#NAME?</v>
      </c>
      <c r="Z1260" s="47" t="e">
        <f ca="1">_xlfn.XLOOKUP(PAA_4[[#This Row],[ITEM]],[2]Contrato!A:A,[2]Contrato!G:G,"",0)</f>
        <v>#NAME?</v>
      </c>
      <c r="AA1260" s="47" t="e">
        <f ca="1">_xlfn.XLOOKUP(PAA_4[[#This Row],[ITEM]],[2]Contrato!A:A,[2]Contrato!T:T,"",0)</f>
        <v>#NAME?</v>
      </c>
      <c r="AB1260" s="55" t="e">
        <f ca="1">+MAX(PAA_4[[#This Row],[Comprometido Contrato]],PAA_4[[#This Row],[Comprometido Bolsa]])</f>
        <v>#NAME?</v>
      </c>
      <c r="AC1260" s="55" t="str">
        <f t="shared" ca="1" si="455"/>
        <v/>
      </c>
      <c r="AD1260" s="55" t="e">
        <f ca="1">IF(PAA_4[[#This Row],[ESTADO (formulado)]]="NO CONTRATADO",0,MAX(PAA_4[[#This Row],[Pago por Contrato]],PAA_4[[#This Row],[Pago por bolsa]]))</f>
        <v>#NAME?</v>
      </c>
      <c r="AE1260" s="55" t="str">
        <f t="shared" ca="1" si="456"/>
        <v/>
      </c>
      <c r="AF1260" s="47" t="e">
        <f t="shared" ca="1" si="457"/>
        <v>#NAME?</v>
      </c>
      <c r="AG1260" s="47">
        <f t="shared" si="458"/>
        <v>44021007</v>
      </c>
      <c r="AH1260" s="54">
        <f>IF(Q1260="22",IF(ISNUMBER(SEARCH("econ",PAA_4[[#This Row],[Actividad3]])),"Económico",IF(ISNUMBER(SEARCH("alim",PAA_4[[#This Row],[Actividad3]])),"Alimentación",IF(ISNUMBER(SEARCH("educ",PAA_4[[#This Row],[Actividad3]])),"Educativo","Técnico"))),0)</f>
        <v>0</v>
      </c>
      <c r="AI1260" s="47" t="e" cm="1">
        <f t="array" aca="1" ref="AI1260" ca="1">_xlfn.XLOOKUP(PAA_4[[#This Row],[RCP-RUBRO]],[2]!COMPROMISOS_2024[[#All],[concatenado]],[2]!COMPROMISOS_2024[[#All],[Total pagado]],"",0)</f>
        <v>#NAME?</v>
      </c>
      <c r="AJ1260" s="56">
        <f>IF(PAA_4[[#This Row],[BOLSA]]=0,0,SUMIFS([2]!COMPROMISOS_2024[[#All],[Total pagado]],[2]!COMPROMISOS_2024[[#All],[Bolsa]],PAA_4[[#This Row],[BOLSA]],[2]!COMPROMISOS_2024[[#All],[rubro]],PAA_4[[#This Row],[RCP-RUBRO]]))</f>
        <v>0</v>
      </c>
      <c r="AK1260" s="47" t="e" cm="1">
        <f t="array" aca="1" ref="AK1260" ca="1">_xlfn.XLOOKUP(PAA_4[[#This Row],[RCP-RUBRO]],[2]!COMPROMISOS_2024[[#All],[concatenado]],[2]!COMPROMISOS_2024[[#All],[Total Comprometido]],"",0)</f>
        <v>#NAME?</v>
      </c>
      <c r="AL1260" s="47">
        <f>IF(PAA_4[[#This Row],[BOLSA]]=0,0,SUMIFS([2]!COMPROMISOS_2024[[#All],[Total Comprometido]],[2]!COMPROMISOS_2024[[#All],[Bolsa]],PAA_4[[#This Row],[BOLSA]],[2]!COMPROMISOS_2024[[#All],[concatenado]],PAA_4[[#This Row],[RCP-RUBRO]]))</f>
        <v>0</v>
      </c>
    </row>
    <row r="1261" spans="1:38" s="19" customFormat="1" ht="31.5" customHeight="1">
      <c r="A1261" s="47">
        <v>442</v>
      </c>
      <c r="B1261" s="47">
        <v>80111600</v>
      </c>
      <c r="C1261" s="47" t="str">
        <f>VLOOKUP(PAA_4[[#This Row],[PROYECTO (formulado)2]],[2]PROYECTOS!$G$1:$L$32,6,0)</f>
        <v>SUBGERENCIA DE FOMENTO Y DESARROLLO</v>
      </c>
      <c r="D1261" s="47" t="str">
        <f>+IF(PAA_4[[#This Row],[UNIDAD DE CONTRATACION (formulado)]]="Subgerencia Administrativa y Financiera","FUNCIONAMIENTO","INVERSIÓN")</f>
        <v>INVERSIÓN</v>
      </c>
      <c r="E1261" s="48" t="str">
        <f>VLOOKUP(Q1261,[2]PROYECTOS!$G$1:$K$32,5,0)</f>
        <v>FORTALECIMIENTO_DE_LAS_ESCUELAS_DEPORTIVAS_EN_LOS_MUNICIPIOS_DEL_DEPARTAMENTO_DE_ANTIOQUIA</v>
      </c>
      <c r="F1261" s="48">
        <f>VLOOKUP(E1261,[2]PROYECTOS!$K$1:$M$32,3,0)</f>
        <v>2020003050032</v>
      </c>
      <c r="G1261" s="49" t="s">
        <v>378</v>
      </c>
      <c r="H1261" s="49" t="str">
        <f>VLOOKUP(Q1261,[2]PROYECTOS!$V$1:$W$32,2,0)</f>
        <v>050059</v>
      </c>
      <c r="I1261" s="50">
        <v>0</v>
      </c>
      <c r="J1261" s="51" t="s">
        <v>42</v>
      </c>
      <c r="K1261" s="47" t="str">
        <f t="shared" ca="1" si="452"/>
        <v>CONTRATADO</v>
      </c>
      <c r="L1261" s="47" t="s">
        <v>94</v>
      </c>
      <c r="M1261" s="47" t="s">
        <v>1297</v>
      </c>
      <c r="N1261" s="52" t="s">
        <v>366</v>
      </c>
      <c r="O1261" s="51" t="e">
        <f>VLOOKUP(N1261,[2]!RUBROS[#All],3,0)</f>
        <v>#REF!</v>
      </c>
      <c r="P1261" s="53" t="e">
        <f>VLOOKUP(N1261,[2]!RUBROS[#All],2,0)</f>
        <v>#REF!</v>
      </c>
      <c r="Q1261" s="47" t="str">
        <f t="shared" si="453"/>
        <v>46</v>
      </c>
      <c r="R1261" s="47" t="str">
        <f t="shared" si="454"/>
        <v>0-205128</v>
      </c>
      <c r="S1261" s="54">
        <v>10</v>
      </c>
      <c r="T1261" s="59" t="s">
        <v>46</v>
      </c>
      <c r="U1261" s="326" t="e">
        <f ca="1">_xlfn.XLOOKUP(PAA_4[[#This Row],[ITEM]],[2]Contrato!A:A,[2]Contrato!Q:Q,"",0)</f>
        <v>#NAME?</v>
      </c>
      <c r="V1261" s="47" t="s">
        <v>47</v>
      </c>
      <c r="W1261" s="57" t="s">
        <v>96</v>
      </c>
      <c r="X1261" s="57" t="s">
        <v>96</v>
      </c>
      <c r="Y1261" s="55" t="e">
        <f ca="1">_xlfn.XLOOKUP(PAA_4[[#This Row],[ITEM]],[2]Contrato!A:A,[2]Contrato!B:B,"",0)</f>
        <v>#NAME?</v>
      </c>
      <c r="Z1261" s="47" t="e">
        <f ca="1">_xlfn.XLOOKUP(PAA_4[[#This Row],[ITEM]],[2]Contrato!A:A,[2]Contrato!G:G,"",0)</f>
        <v>#NAME?</v>
      </c>
      <c r="AA1261" s="47" t="e">
        <f ca="1">_xlfn.XLOOKUP(PAA_4[[#This Row],[ITEM]],[2]Contrato!A:A,[2]Contrato!T:T,"",0)</f>
        <v>#NAME?</v>
      </c>
      <c r="AB1261" s="55" t="e">
        <f ca="1">+MAX(PAA_4[[#This Row],[Comprometido Contrato]],PAA_4[[#This Row],[Comprometido Bolsa]])</f>
        <v>#NAME?</v>
      </c>
      <c r="AC1261" s="55" t="str">
        <f t="shared" ca="1" si="455"/>
        <v/>
      </c>
      <c r="AD1261" s="55" t="e">
        <f ca="1">IF(PAA_4[[#This Row],[ESTADO (formulado)]]="NO CONTRATADO",0,MAX(PAA_4[[#This Row],[Pago por Contrato]],PAA_4[[#This Row],[Pago por bolsa]]))</f>
        <v>#NAME?</v>
      </c>
      <c r="AE1261" s="55" t="str">
        <f t="shared" ca="1" si="456"/>
        <v/>
      </c>
      <c r="AF1261" s="47" t="e">
        <f t="shared" ca="1" si="457"/>
        <v>#NAME?</v>
      </c>
      <c r="AG1261" s="47">
        <f t="shared" si="458"/>
        <v>44021007</v>
      </c>
      <c r="AH1261" s="54">
        <f>IF(Q1261="22",IF(ISNUMBER(SEARCH("econ",PAA_4[[#This Row],[Actividad3]])),"Económico",IF(ISNUMBER(SEARCH("alim",PAA_4[[#This Row],[Actividad3]])),"Alimentación",IF(ISNUMBER(SEARCH("educ",PAA_4[[#This Row],[Actividad3]])),"Educativo","Técnico"))),0)</f>
        <v>0</v>
      </c>
      <c r="AI1261" s="47" t="e" cm="1">
        <f t="array" aca="1" ref="AI1261" ca="1">_xlfn.XLOOKUP(PAA_4[[#This Row],[RCP-RUBRO]],[2]!COMPROMISOS_2024[[#All],[concatenado]],[2]!COMPROMISOS_2024[[#All],[Total pagado]],"",0)</f>
        <v>#NAME?</v>
      </c>
      <c r="AJ1261" s="56">
        <f>IF(PAA_4[[#This Row],[BOLSA]]=0,0,SUMIFS([2]!COMPROMISOS_2024[[#All],[Total pagado]],[2]!COMPROMISOS_2024[[#All],[Bolsa]],PAA_4[[#This Row],[BOLSA]],[2]!COMPROMISOS_2024[[#All],[rubro]],PAA_4[[#This Row],[RCP-RUBRO]]))</f>
        <v>0</v>
      </c>
      <c r="AK1261" s="47" t="e" cm="1">
        <f t="array" aca="1" ref="AK1261" ca="1">_xlfn.XLOOKUP(PAA_4[[#This Row],[RCP-RUBRO]],[2]!COMPROMISOS_2024[[#All],[concatenado]],[2]!COMPROMISOS_2024[[#All],[Total Comprometido]],"",0)</f>
        <v>#NAME?</v>
      </c>
      <c r="AL1261" s="47">
        <f>IF(PAA_4[[#This Row],[BOLSA]]=0,0,SUMIFS([2]!COMPROMISOS_2024[[#All],[Total Comprometido]],[2]!COMPROMISOS_2024[[#All],[Bolsa]],PAA_4[[#This Row],[BOLSA]],[2]!COMPROMISOS_2024[[#All],[concatenado]],PAA_4[[#This Row],[RCP-RUBRO]]))</f>
        <v>0</v>
      </c>
    </row>
    <row r="1262" spans="1:38" s="19" customFormat="1" ht="31.5" customHeight="1">
      <c r="A1262" s="47">
        <v>443</v>
      </c>
      <c r="B1262" s="47">
        <v>80111600</v>
      </c>
      <c r="C1262" s="47" t="str">
        <f>VLOOKUP(PAA_4[[#This Row],[PROYECTO (formulado)2]],[2]PROYECTOS!$G$1:$L$32,6,0)</f>
        <v>SUBGERENCIA DE FOMENTO Y DESARROLLO</v>
      </c>
      <c r="D1262" s="47" t="str">
        <f>+IF(PAA_4[[#This Row],[UNIDAD DE CONTRATACION (formulado)]]="Subgerencia Administrativa y Financiera","FUNCIONAMIENTO","INVERSIÓN")</f>
        <v>INVERSIÓN</v>
      </c>
      <c r="E1262" s="48" t="str">
        <f>VLOOKUP(Q1262,[2]PROYECTOS!$G$1:$K$32,5,0)</f>
        <v>FORTALECIMIENTO_DE_LAS_ESCUELAS_DEPORTIVAS_EN_LOS_MUNICIPIOS_DEL_DEPARTAMENTO_DE_ANTIOQUIA</v>
      </c>
      <c r="F1262" s="48">
        <f>VLOOKUP(E1262,[2]PROYECTOS!$K$1:$M$32,3,0)</f>
        <v>2020003050032</v>
      </c>
      <c r="G1262" s="49" t="s">
        <v>378</v>
      </c>
      <c r="H1262" s="49" t="str">
        <f>VLOOKUP(Q1262,[2]PROYECTOS!$V$1:$W$32,2,0)</f>
        <v>050059</v>
      </c>
      <c r="I1262" s="50">
        <v>0</v>
      </c>
      <c r="J1262" s="51" t="s">
        <v>42</v>
      </c>
      <c r="K1262" s="47" t="str">
        <f t="shared" ca="1" si="452"/>
        <v>CONTRATADO</v>
      </c>
      <c r="L1262" s="47" t="s">
        <v>94</v>
      </c>
      <c r="M1262" s="47" t="s">
        <v>1297</v>
      </c>
      <c r="N1262" s="52" t="s">
        <v>366</v>
      </c>
      <c r="O1262" s="51" t="e">
        <f>VLOOKUP(N1262,[2]!RUBROS[#All],3,0)</f>
        <v>#REF!</v>
      </c>
      <c r="P1262" s="53" t="e">
        <f>VLOOKUP(N1262,[2]!RUBROS[#All],2,0)</f>
        <v>#REF!</v>
      </c>
      <c r="Q1262" s="47" t="str">
        <f t="shared" si="453"/>
        <v>46</v>
      </c>
      <c r="R1262" s="47" t="str">
        <f t="shared" si="454"/>
        <v>0-205128</v>
      </c>
      <c r="S1262" s="54">
        <v>10</v>
      </c>
      <c r="T1262" s="59" t="s">
        <v>46</v>
      </c>
      <c r="U1262" s="326" t="e">
        <f ca="1">_xlfn.XLOOKUP(PAA_4[[#This Row],[ITEM]],[2]Contrato!A:A,[2]Contrato!Q:Q,"",0)</f>
        <v>#NAME?</v>
      </c>
      <c r="V1262" s="47" t="s">
        <v>47</v>
      </c>
      <c r="W1262" s="57" t="s">
        <v>96</v>
      </c>
      <c r="X1262" s="57" t="s">
        <v>96</v>
      </c>
      <c r="Y1262" s="55" t="e">
        <f ca="1">_xlfn.XLOOKUP(PAA_4[[#This Row],[ITEM]],[2]Contrato!A:A,[2]Contrato!B:B,"",0)</f>
        <v>#NAME?</v>
      </c>
      <c r="Z1262" s="47" t="e">
        <f ca="1">_xlfn.XLOOKUP(PAA_4[[#This Row],[ITEM]],[2]Contrato!A:A,[2]Contrato!G:G,"",0)</f>
        <v>#NAME?</v>
      </c>
      <c r="AA1262" s="47" t="e">
        <f ca="1">_xlfn.XLOOKUP(PAA_4[[#This Row],[ITEM]],[2]Contrato!A:A,[2]Contrato!T:T,"",0)</f>
        <v>#NAME?</v>
      </c>
      <c r="AB1262" s="55" t="e">
        <f ca="1">+MAX(PAA_4[[#This Row],[Comprometido Contrato]],PAA_4[[#This Row],[Comprometido Bolsa]])</f>
        <v>#NAME?</v>
      </c>
      <c r="AC1262" s="55" t="str">
        <f t="shared" ca="1" si="455"/>
        <v/>
      </c>
      <c r="AD1262" s="55" t="e">
        <f ca="1">IF(PAA_4[[#This Row],[ESTADO (formulado)]]="NO CONTRATADO",0,MAX(PAA_4[[#This Row],[Pago por Contrato]],PAA_4[[#This Row],[Pago por bolsa]]))</f>
        <v>#NAME?</v>
      </c>
      <c r="AE1262" s="55" t="str">
        <f t="shared" ca="1" si="456"/>
        <v/>
      </c>
      <c r="AF1262" s="47" t="e">
        <f t="shared" ca="1" si="457"/>
        <v>#NAME?</v>
      </c>
      <c r="AG1262" s="47">
        <f t="shared" si="458"/>
        <v>44021007</v>
      </c>
      <c r="AH1262" s="54">
        <f>IF(Q1262="22",IF(ISNUMBER(SEARCH("econ",PAA_4[[#This Row],[Actividad3]])),"Económico",IF(ISNUMBER(SEARCH("alim",PAA_4[[#This Row],[Actividad3]])),"Alimentación",IF(ISNUMBER(SEARCH("educ",PAA_4[[#This Row],[Actividad3]])),"Educativo","Técnico"))),0)</f>
        <v>0</v>
      </c>
      <c r="AI1262" s="47" t="e" cm="1">
        <f t="array" aca="1" ref="AI1262" ca="1">_xlfn.XLOOKUP(PAA_4[[#This Row],[RCP-RUBRO]],[2]!COMPROMISOS_2024[[#All],[concatenado]],[2]!COMPROMISOS_2024[[#All],[Total pagado]],"",0)</f>
        <v>#NAME?</v>
      </c>
      <c r="AJ1262" s="56">
        <f>IF(PAA_4[[#This Row],[BOLSA]]=0,0,SUMIFS([2]!COMPROMISOS_2024[[#All],[Total pagado]],[2]!COMPROMISOS_2024[[#All],[Bolsa]],PAA_4[[#This Row],[BOLSA]],[2]!COMPROMISOS_2024[[#All],[rubro]],PAA_4[[#This Row],[RCP-RUBRO]]))</f>
        <v>0</v>
      </c>
      <c r="AK1262" s="47" t="e" cm="1">
        <f t="array" aca="1" ref="AK1262" ca="1">_xlfn.XLOOKUP(PAA_4[[#This Row],[RCP-RUBRO]],[2]!COMPROMISOS_2024[[#All],[concatenado]],[2]!COMPROMISOS_2024[[#All],[Total Comprometido]],"",0)</f>
        <v>#NAME?</v>
      </c>
      <c r="AL1262" s="47">
        <f>IF(PAA_4[[#This Row],[BOLSA]]=0,0,SUMIFS([2]!COMPROMISOS_2024[[#All],[Total Comprometido]],[2]!COMPROMISOS_2024[[#All],[Bolsa]],PAA_4[[#This Row],[BOLSA]],[2]!COMPROMISOS_2024[[#All],[concatenado]],PAA_4[[#This Row],[RCP-RUBRO]]))</f>
        <v>0</v>
      </c>
    </row>
    <row r="1263" spans="1:38" s="19" customFormat="1" ht="31.5" customHeight="1">
      <c r="A1263" s="47">
        <v>444</v>
      </c>
      <c r="B1263" s="47">
        <v>80111600</v>
      </c>
      <c r="C1263" s="47" t="str">
        <f>VLOOKUP(PAA_4[[#This Row],[PROYECTO (formulado)2]],[2]PROYECTOS!$G$1:$L$32,6,0)</f>
        <v>SUBGERENCIA DE FOMENTO Y DESARROLLO</v>
      </c>
      <c r="D1263" s="47" t="str">
        <f>+IF(PAA_4[[#This Row],[UNIDAD DE CONTRATACION (formulado)]]="Subgerencia Administrativa y Financiera","FUNCIONAMIENTO","INVERSIÓN")</f>
        <v>INVERSIÓN</v>
      </c>
      <c r="E1263" s="48" t="str">
        <f>VLOOKUP(Q1263,[2]PROYECTOS!$G$1:$K$32,5,0)</f>
        <v>FORTALECIMIENTO_DE_LAS_ESCUELAS_DEPORTIVAS_EN_LOS_MUNICIPIOS_DEL_DEPARTAMENTO_DE_ANTIOQUIA</v>
      </c>
      <c r="F1263" s="48">
        <f>VLOOKUP(E1263,[2]PROYECTOS!$K$1:$M$32,3,0)</f>
        <v>2020003050032</v>
      </c>
      <c r="G1263" s="49" t="s">
        <v>378</v>
      </c>
      <c r="H1263" s="49" t="str">
        <f>VLOOKUP(Q1263,[2]PROYECTOS!$V$1:$W$32,2,0)</f>
        <v>050059</v>
      </c>
      <c r="I1263" s="50">
        <v>0</v>
      </c>
      <c r="J1263" s="51" t="s">
        <v>42</v>
      </c>
      <c r="K1263" s="47" t="str">
        <f t="shared" ca="1" si="452"/>
        <v>CONTRATADO</v>
      </c>
      <c r="L1263" s="47" t="s">
        <v>94</v>
      </c>
      <c r="M1263" s="47" t="s">
        <v>1297</v>
      </c>
      <c r="N1263" s="52" t="s">
        <v>366</v>
      </c>
      <c r="O1263" s="51" t="e">
        <f>VLOOKUP(N1263,[2]!RUBROS[#All],3,0)</f>
        <v>#REF!</v>
      </c>
      <c r="P1263" s="53" t="e">
        <f>VLOOKUP(N1263,[2]!RUBROS[#All],2,0)</f>
        <v>#REF!</v>
      </c>
      <c r="Q1263" s="47" t="str">
        <f t="shared" si="453"/>
        <v>46</v>
      </c>
      <c r="R1263" s="47" t="str">
        <f t="shared" si="454"/>
        <v>0-205128</v>
      </c>
      <c r="S1263" s="54">
        <v>10</v>
      </c>
      <c r="T1263" s="59" t="s">
        <v>46</v>
      </c>
      <c r="U1263" s="326" t="e">
        <f ca="1">_xlfn.XLOOKUP(PAA_4[[#This Row],[ITEM]],[2]Contrato!A:A,[2]Contrato!Q:Q,"",0)</f>
        <v>#NAME?</v>
      </c>
      <c r="V1263" s="47" t="s">
        <v>47</v>
      </c>
      <c r="W1263" s="57" t="s">
        <v>96</v>
      </c>
      <c r="X1263" s="57" t="s">
        <v>96</v>
      </c>
      <c r="Y1263" s="55" t="e">
        <f ca="1">_xlfn.XLOOKUP(PAA_4[[#This Row],[ITEM]],[2]Contrato!A:A,[2]Contrato!B:B,"",0)</f>
        <v>#NAME?</v>
      </c>
      <c r="Z1263" s="47" t="e">
        <f ca="1">_xlfn.XLOOKUP(PAA_4[[#This Row],[ITEM]],[2]Contrato!A:A,[2]Contrato!G:G,"",0)</f>
        <v>#NAME?</v>
      </c>
      <c r="AA1263" s="47" t="e">
        <f ca="1">_xlfn.XLOOKUP(PAA_4[[#This Row],[ITEM]],[2]Contrato!A:A,[2]Contrato!T:T,"",0)</f>
        <v>#NAME?</v>
      </c>
      <c r="AB1263" s="55" t="e">
        <f ca="1">+MAX(PAA_4[[#This Row],[Comprometido Contrato]],PAA_4[[#This Row],[Comprometido Bolsa]])</f>
        <v>#NAME?</v>
      </c>
      <c r="AC1263" s="55" t="str">
        <f t="shared" ca="1" si="455"/>
        <v/>
      </c>
      <c r="AD1263" s="55" t="e">
        <f ca="1">IF(PAA_4[[#This Row],[ESTADO (formulado)]]="NO CONTRATADO",0,MAX(PAA_4[[#This Row],[Pago por Contrato]],PAA_4[[#This Row],[Pago por bolsa]]))</f>
        <v>#NAME?</v>
      </c>
      <c r="AE1263" s="55" t="str">
        <f t="shared" ca="1" si="456"/>
        <v/>
      </c>
      <c r="AF1263" s="47" t="e">
        <f t="shared" ca="1" si="457"/>
        <v>#NAME?</v>
      </c>
      <c r="AG1263" s="47">
        <f t="shared" si="458"/>
        <v>44021007</v>
      </c>
      <c r="AH1263" s="54">
        <f>IF(Q1263="22",IF(ISNUMBER(SEARCH("econ",PAA_4[[#This Row],[Actividad3]])),"Económico",IF(ISNUMBER(SEARCH("alim",PAA_4[[#This Row],[Actividad3]])),"Alimentación",IF(ISNUMBER(SEARCH("educ",PAA_4[[#This Row],[Actividad3]])),"Educativo","Técnico"))),0)</f>
        <v>0</v>
      </c>
      <c r="AI1263" s="47" t="e" cm="1">
        <f t="array" aca="1" ref="AI1263" ca="1">_xlfn.XLOOKUP(PAA_4[[#This Row],[RCP-RUBRO]],[2]!COMPROMISOS_2024[[#All],[concatenado]],[2]!COMPROMISOS_2024[[#All],[Total pagado]],"",0)</f>
        <v>#NAME?</v>
      </c>
      <c r="AJ1263" s="56">
        <f>IF(PAA_4[[#This Row],[BOLSA]]=0,0,SUMIFS([2]!COMPROMISOS_2024[[#All],[Total pagado]],[2]!COMPROMISOS_2024[[#All],[Bolsa]],PAA_4[[#This Row],[BOLSA]],[2]!COMPROMISOS_2024[[#All],[rubro]],PAA_4[[#This Row],[RCP-RUBRO]]))</f>
        <v>0</v>
      </c>
      <c r="AK1263" s="47" t="e" cm="1">
        <f t="array" aca="1" ref="AK1263" ca="1">_xlfn.XLOOKUP(PAA_4[[#This Row],[RCP-RUBRO]],[2]!COMPROMISOS_2024[[#All],[concatenado]],[2]!COMPROMISOS_2024[[#All],[Total Comprometido]],"",0)</f>
        <v>#NAME?</v>
      </c>
      <c r="AL1263" s="47">
        <f>IF(PAA_4[[#This Row],[BOLSA]]=0,0,SUMIFS([2]!COMPROMISOS_2024[[#All],[Total Comprometido]],[2]!COMPROMISOS_2024[[#All],[Bolsa]],PAA_4[[#This Row],[BOLSA]],[2]!COMPROMISOS_2024[[#All],[concatenado]],PAA_4[[#This Row],[RCP-RUBRO]]))</f>
        <v>0</v>
      </c>
    </row>
    <row r="1264" spans="1:38" s="19" customFormat="1" ht="31.5" customHeight="1">
      <c r="A1264" s="47">
        <v>445</v>
      </c>
      <c r="B1264" s="47">
        <v>80111600</v>
      </c>
      <c r="C1264" s="47" t="str">
        <f>VLOOKUP(PAA_4[[#This Row],[PROYECTO (formulado)2]],[2]PROYECTOS!$G$1:$L$32,6,0)</f>
        <v>SUBGERENCIA DE FOMENTO Y DESARROLLO</v>
      </c>
      <c r="D1264" s="47" t="str">
        <f>+IF(PAA_4[[#This Row],[UNIDAD DE CONTRATACION (formulado)]]="Subgerencia Administrativa y Financiera","FUNCIONAMIENTO","INVERSIÓN")</f>
        <v>INVERSIÓN</v>
      </c>
      <c r="E1264" s="48" t="str">
        <f>VLOOKUP(Q1264,[2]PROYECTOS!$G$1:$K$32,5,0)</f>
        <v>FORTALECIMIENTO_DE_LAS_ESCUELAS_DEPORTIVAS_EN_LOS_MUNICIPIOS_DEL_DEPARTAMENTO_DE_ANTIOQUIA</v>
      </c>
      <c r="F1264" s="48">
        <f>VLOOKUP(E1264,[2]PROYECTOS!$K$1:$M$32,3,0)</f>
        <v>2020003050032</v>
      </c>
      <c r="G1264" s="49" t="s">
        <v>378</v>
      </c>
      <c r="H1264" s="49" t="str">
        <f>VLOOKUP(Q1264,[2]PROYECTOS!$V$1:$W$32,2,0)</f>
        <v>050059</v>
      </c>
      <c r="I1264" s="50">
        <v>0</v>
      </c>
      <c r="J1264" s="51" t="s">
        <v>42</v>
      </c>
      <c r="K1264" s="47" t="str">
        <f t="shared" ca="1" si="452"/>
        <v>CONTRATADO</v>
      </c>
      <c r="L1264" s="47" t="s">
        <v>94</v>
      </c>
      <c r="M1264" s="47" t="s">
        <v>1297</v>
      </c>
      <c r="N1264" s="52" t="s">
        <v>366</v>
      </c>
      <c r="O1264" s="51" t="e">
        <f>VLOOKUP(N1264,[2]!RUBROS[#All],3,0)</f>
        <v>#REF!</v>
      </c>
      <c r="P1264" s="53" t="e">
        <f>VLOOKUP(N1264,[2]!RUBROS[#All],2,0)</f>
        <v>#REF!</v>
      </c>
      <c r="Q1264" s="47" t="str">
        <f t="shared" si="453"/>
        <v>46</v>
      </c>
      <c r="R1264" s="47" t="str">
        <f t="shared" si="454"/>
        <v>0-205128</v>
      </c>
      <c r="S1264" s="54">
        <v>10</v>
      </c>
      <c r="T1264" s="59" t="s">
        <v>46</v>
      </c>
      <c r="U1264" s="326" t="e">
        <f ca="1">_xlfn.XLOOKUP(PAA_4[[#This Row],[ITEM]],[2]Contrato!A:A,[2]Contrato!Q:Q,"",0)</f>
        <v>#NAME?</v>
      </c>
      <c r="V1264" s="47" t="s">
        <v>47</v>
      </c>
      <c r="W1264" s="57" t="s">
        <v>96</v>
      </c>
      <c r="X1264" s="57" t="s">
        <v>96</v>
      </c>
      <c r="Y1264" s="55" t="e">
        <f ca="1">_xlfn.XLOOKUP(PAA_4[[#This Row],[ITEM]],[2]Contrato!A:A,[2]Contrato!B:B,"",0)</f>
        <v>#NAME?</v>
      </c>
      <c r="Z1264" s="47" t="e">
        <f ca="1">_xlfn.XLOOKUP(PAA_4[[#This Row],[ITEM]],[2]Contrato!A:A,[2]Contrato!G:G,"",0)</f>
        <v>#NAME?</v>
      </c>
      <c r="AA1264" s="47" t="e">
        <f ca="1">_xlfn.XLOOKUP(PAA_4[[#This Row],[ITEM]],[2]Contrato!A:A,[2]Contrato!T:T,"",0)</f>
        <v>#NAME?</v>
      </c>
      <c r="AB1264" s="55" t="e">
        <f ca="1">+MAX(PAA_4[[#This Row],[Comprometido Contrato]],PAA_4[[#This Row],[Comprometido Bolsa]])</f>
        <v>#NAME?</v>
      </c>
      <c r="AC1264" s="55" t="str">
        <f t="shared" ca="1" si="455"/>
        <v/>
      </c>
      <c r="AD1264" s="55" t="e">
        <f ca="1">IF(PAA_4[[#This Row],[ESTADO (formulado)]]="NO CONTRATADO",0,MAX(PAA_4[[#This Row],[Pago por Contrato]],PAA_4[[#This Row],[Pago por bolsa]]))</f>
        <v>#NAME?</v>
      </c>
      <c r="AE1264" s="55" t="str">
        <f t="shared" ca="1" si="456"/>
        <v/>
      </c>
      <c r="AF1264" s="47" t="e">
        <f t="shared" ca="1" si="457"/>
        <v>#NAME?</v>
      </c>
      <c r="AG1264" s="47">
        <f t="shared" si="458"/>
        <v>44021007</v>
      </c>
      <c r="AH1264" s="54">
        <f>IF(Q1264="22",IF(ISNUMBER(SEARCH("econ",PAA_4[[#This Row],[Actividad3]])),"Económico",IF(ISNUMBER(SEARCH("alim",PAA_4[[#This Row],[Actividad3]])),"Alimentación",IF(ISNUMBER(SEARCH("educ",PAA_4[[#This Row],[Actividad3]])),"Educativo","Técnico"))),0)</f>
        <v>0</v>
      </c>
      <c r="AI1264" s="47" t="e" cm="1">
        <f t="array" aca="1" ref="AI1264" ca="1">_xlfn.XLOOKUP(PAA_4[[#This Row],[RCP-RUBRO]],[2]!COMPROMISOS_2024[[#All],[concatenado]],[2]!COMPROMISOS_2024[[#All],[Total pagado]],"",0)</f>
        <v>#NAME?</v>
      </c>
      <c r="AJ1264" s="56">
        <f>IF(PAA_4[[#This Row],[BOLSA]]=0,0,SUMIFS([2]!COMPROMISOS_2024[[#All],[Total pagado]],[2]!COMPROMISOS_2024[[#All],[Bolsa]],PAA_4[[#This Row],[BOLSA]],[2]!COMPROMISOS_2024[[#All],[rubro]],PAA_4[[#This Row],[RCP-RUBRO]]))</f>
        <v>0</v>
      </c>
      <c r="AK1264" s="47" t="e" cm="1">
        <f t="array" aca="1" ref="AK1264" ca="1">_xlfn.XLOOKUP(PAA_4[[#This Row],[RCP-RUBRO]],[2]!COMPROMISOS_2024[[#All],[concatenado]],[2]!COMPROMISOS_2024[[#All],[Total Comprometido]],"",0)</f>
        <v>#NAME?</v>
      </c>
      <c r="AL1264" s="47">
        <f>IF(PAA_4[[#This Row],[BOLSA]]=0,0,SUMIFS([2]!COMPROMISOS_2024[[#All],[Total Comprometido]],[2]!COMPROMISOS_2024[[#All],[Bolsa]],PAA_4[[#This Row],[BOLSA]],[2]!COMPROMISOS_2024[[#All],[concatenado]],PAA_4[[#This Row],[RCP-RUBRO]]))</f>
        <v>0</v>
      </c>
    </row>
    <row r="1265" spans="1:38" s="19" customFormat="1" ht="31.5" customHeight="1">
      <c r="A1265" s="47">
        <v>446</v>
      </c>
      <c r="B1265" s="47">
        <v>80111600</v>
      </c>
      <c r="C1265" s="47" t="str">
        <f>VLOOKUP(PAA_4[[#This Row],[PROYECTO (formulado)2]],[2]PROYECTOS!$G$1:$L$32,6,0)</f>
        <v>SUBGERENCIA DE FOMENTO Y DESARROLLO</v>
      </c>
      <c r="D1265" s="47" t="str">
        <f>+IF(PAA_4[[#This Row],[UNIDAD DE CONTRATACION (formulado)]]="Subgerencia Administrativa y Financiera","FUNCIONAMIENTO","INVERSIÓN")</f>
        <v>INVERSIÓN</v>
      </c>
      <c r="E1265" s="48" t="str">
        <f>VLOOKUP(Q1265,[2]PROYECTOS!$G$1:$K$32,5,0)</f>
        <v>FORTALECIMIENTO_DE_LAS_ESCUELAS_DEPORTIVAS_EN_LOS_MUNICIPIOS_DEL_DEPARTAMENTO_DE_ANTIOQUIA</v>
      </c>
      <c r="F1265" s="48">
        <f>VLOOKUP(E1265,[2]PROYECTOS!$K$1:$M$32,3,0)</f>
        <v>2020003050032</v>
      </c>
      <c r="G1265" s="49" t="s">
        <v>378</v>
      </c>
      <c r="H1265" s="49" t="str">
        <f>VLOOKUP(Q1265,[2]PROYECTOS!$V$1:$W$32,2,0)</f>
        <v>050059</v>
      </c>
      <c r="I1265" s="50">
        <v>0</v>
      </c>
      <c r="J1265" s="51" t="s">
        <v>42</v>
      </c>
      <c r="K1265" s="47" t="str">
        <f t="shared" ca="1" si="452"/>
        <v>CONTRATADO</v>
      </c>
      <c r="L1265" s="47" t="s">
        <v>94</v>
      </c>
      <c r="M1265" s="47" t="s">
        <v>1297</v>
      </c>
      <c r="N1265" s="52" t="s">
        <v>366</v>
      </c>
      <c r="O1265" s="51" t="e">
        <f>VLOOKUP(N1265,[2]!RUBROS[#All],3,0)</f>
        <v>#REF!</v>
      </c>
      <c r="P1265" s="53" t="e">
        <f>VLOOKUP(N1265,[2]!RUBROS[#All],2,0)</f>
        <v>#REF!</v>
      </c>
      <c r="Q1265" s="47" t="str">
        <f t="shared" si="453"/>
        <v>46</v>
      </c>
      <c r="R1265" s="47" t="str">
        <f t="shared" si="454"/>
        <v>0-205128</v>
      </c>
      <c r="S1265" s="54">
        <v>10</v>
      </c>
      <c r="T1265" s="59" t="s">
        <v>46</v>
      </c>
      <c r="U1265" s="326" t="e">
        <f ca="1">_xlfn.XLOOKUP(PAA_4[[#This Row],[ITEM]],[2]Contrato!A:A,[2]Contrato!Q:Q,"",0)</f>
        <v>#NAME?</v>
      </c>
      <c r="V1265" s="47" t="s">
        <v>47</v>
      </c>
      <c r="W1265" s="57" t="s">
        <v>96</v>
      </c>
      <c r="X1265" s="57" t="s">
        <v>96</v>
      </c>
      <c r="Y1265" s="55" t="e">
        <f ca="1">_xlfn.XLOOKUP(PAA_4[[#This Row],[ITEM]],[2]Contrato!A:A,[2]Contrato!B:B,"",0)</f>
        <v>#NAME?</v>
      </c>
      <c r="Z1265" s="47" t="e">
        <f ca="1">_xlfn.XLOOKUP(PAA_4[[#This Row],[ITEM]],[2]Contrato!A:A,[2]Contrato!G:G,"",0)</f>
        <v>#NAME?</v>
      </c>
      <c r="AA1265" s="47" t="e">
        <f ca="1">_xlfn.XLOOKUP(PAA_4[[#This Row],[ITEM]],[2]Contrato!A:A,[2]Contrato!T:T,"",0)</f>
        <v>#NAME?</v>
      </c>
      <c r="AB1265" s="55" t="e">
        <f ca="1">+MAX(PAA_4[[#This Row],[Comprometido Contrato]],PAA_4[[#This Row],[Comprometido Bolsa]])</f>
        <v>#NAME?</v>
      </c>
      <c r="AC1265" s="55" t="str">
        <f t="shared" ca="1" si="455"/>
        <v/>
      </c>
      <c r="AD1265" s="55" t="e">
        <f ca="1">IF(PAA_4[[#This Row],[ESTADO (formulado)]]="NO CONTRATADO",0,MAX(PAA_4[[#This Row],[Pago por Contrato]],PAA_4[[#This Row],[Pago por bolsa]]))</f>
        <v>#NAME?</v>
      </c>
      <c r="AE1265" s="55" t="str">
        <f t="shared" ca="1" si="456"/>
        <v/>
      </c>
      <c r="AF1265" s="47" t="e">
        <f t="shared" ca="1" si="457"/>
        <v>#NAME?</v>
      </c>
      <c r="AG1265" s="47">
        <f t="shared" si="458"/>
        <v>44021007</v>
      </c>
      <c r="AH1265" s="54">
        <f>IF(Q1265="22",IF(ISNUMBER(SEARCH("econ",PAA_4[[#This Row],[Actividad3]])),"Económico",IF(ISNUMBER(SEARCH("alim",PAA_4[[#This Row],[Actividad3]])),"Alimentación",IF(ISNUMBER(SEARCH("educ",PAA_4[[#This Row],[Actividad3]])),"Educativo","Técnico"))),0)</f>
        <v>0</v>
      </c>
      <c r="AI1265" s="47" t="e" cm="1">
        <f t="array" aca="1" ref="AI1265" ca="1">_xlfn.XLOOKUP(PAA_4[[#This Row],[RCP-RUBRO]],[2]!COMPROMISOS_2024[[#All],[concatenado]],[2]!COMPROMISOS_2024[[#All],[Total pagado]],"",0)</f>
        <v>#NAME?</v>
      </c>
      <c r="AJ1265" s="56">
        <f>IF(PAA_4[[#This Row],[BOLSA]]=0,0,SUMIFS([2]!COMPROMISOS_2024[[#All],[Total pagado]],[2]!COMPROMISOS_2024[[#All],[Bolsa]],PAA_4[[#This Row],[BOLSA]],[2]!COMPROMISOS_2024[[#All],[rubro]],PAA_4[[#This Row],[RCP-RUBRO]]))</f>
        <v>0</v>
      </c>
      <c r="AK1265" s="47" t="e" cm="1">
        <f t="array" aca="1" ref="AK1265" ca="1">_xlfn.XLOOKUP(PAA_4[[#This Row],[RCP-RUBRO]],[2]!COMPROMISOS_2024[[#All],[concatenado]],[2]!COMPROMISOS_2024[[#All],[Total Comprometido]],"",0)</f>
        <v>#NAME?</v>
      </c>
      <c r="AL1265" s="47">
        <f>IF(PAA_4[[#This Row],[BOLSA]]=0,0,SUMIFS([2]!COMPROMISOS_2024[[#All],[Total Comprometido]],[2]!COMPROMISOS_2024[[#All],[Bolsa]],PAA_4[[#This Row],[BOLSA]],[2]!COMPROMISOS_2024[[#All],[concatenado]],PAA_4[[#This Row],[RCP-RUBRO]]))</f>
        <v>0</v>
      </c>
    </row>
    <row r="1266" spans="1:38" s="19" customFormat="1" ht="31.5" customHeight="1">
      <c r="A1266" s="47">
        <v>447</v>
      </c>
      <c r="B1266" s="47">
        <v>80111600</v>
      </c>
      <c r="C1266" s="47" t="str">
        <f>VLOOKUP(PAA_4[[#This Row],[PROYECTO (formulado)2]],[2]PROYECTOS!$G$1:$L$32,6,0)</f>
        <v>SUBGERENCIA DE FOMENTO Y DESARROLLO</v>
      </c>
      <c r="D1266" s="47" t="str">
        <f>+IF(PAA_4[[#This Row],[UNIDAD DE CONTRATACION (formulado)]]="Subgerencia Administrativa y Financiera","FUNCIONAMIENTO","INVERSIÓN")</f>
        <v>INVERSIÓN</v>
      </c>
      <c r="E1266" s="48" t="str">
        <f>VLOOKUP(Q1266,[2]PROYECTOS!$G$1:$K$32,5,0)</f>
        <v>FORTALECIMIENTO_DE_LAS_ESCUELAS_DEPORTIVAS_EN_LOS_MUNICIPIOS_DEL_DEPARTAMENTO_DE_ANTIOQUIA</v>
      </c>
      <c r="F1266" s="48">
        <f>VLOOKUP(E1266,[2]PROYECTOS!$K$1:$M$32,3,0)</f>
        <v>2020003050032</v>
      </c>
      <c r="G1266" s="49" t="s">
        <v>378</v>
      </c>
      <c r="H1266" s="49" t="str">
        <f>VLOOKUP(Q1266,[2]PROYECTOS!$V$1:$W$32,2,0)</f>
        <v>050059</v>
      </c>
      <c r="I1266" s="50">
        <v>0</v>
      </c>
      <c r="J1266" s="51" t="s">
        <v>42</v>
      </c>
      <c r="K1266" s="47" t="str">
        <f t="shared" ca="1" si="452"/>
        <v>CONTRATADO</v>
      </c>
      <c r="L1266" s="47" t="s">
        <v>94</v>
      </c>
      <c r="M1266" s="47" t="s">
        <v>1297</v>
      </c>
      <c r="N1266" s="52" t="s">
        <v>366</v>
      </c>
      <c r="O1266" s="51" t="e">
        <f>VLOOKUP(N1266,[2]!RUBROS[#All],3,0)</f>
        <v>#REF!</v>
      </c>
      <c r="P1266" s="53" t="e">
        <f>VLOOKUP(N1266,[2]!RUBROS[#All],2,0)</f>
        <v>#REF!</v>
      </c>
      <c r="Q1266" s="47" t="str">
        <f t="shared" si="453"/>
        <v>46</v>
      </c>
      <c r="R1266" s="47" t="str">
        <f t="shared" si="454"/>
        <v>0-205128</v>
      </c>
      <c r="S1266" s="54">
        <v>10</v>
      </c>
      <c r="T1266" s="59" t="s">
        <v>46</v>
      </c>
      <c r="U1266" s="326" t="e">
        <f ca="1">_xlfn.XLOOKUP(PAA_4[[#This Row],[ITEM]],[2]Contrato!A:A,[2]Contrato!Q:Q,"",0)</f>
        <v>#NAME?</v>
      </c>
      <c r="V1266" s="47" t="s">
        <v>47</v>
      </c>
      <c r="W1266" s="57" t="s">
        <v>96</v>
      </c>
      <c r="X1266" s="57" t="s">
        <v>96</v>
      </c>
      <c r="Y1266" s="55" t="e">
        <f ca="1">_xlfn.XLOOKUP(PAA_4[[#This Row],[ITEM]],[2]Contrato!A:A,[2]Contrato!B:B,"",0)</f>
        <v>#NAME?</v>
      </c>
      <c r="Z1266" s="47" t="e">
        <f ca="1">_xlfn.XLOOKUP(PAA_4[[#This Row],[ITEM]],[2]Contrato!A:A,[2]Contrato!G:G,"",0)</f>
        <v>#NAME?</v>
      </c>
      <c r="AA1266" s="47" t="e">
        <f ca="1">_xlfn.XLOOKUP(PAA_4[[#This Row],[ITEM]],[2]Contrato!A:A,[2]Contrato!T:T,"",0)</f>
        <v>#NAME?</v>
      </c>
      <c r="AB1266" s="55" t="e">
        <f ca="1">+MAX(PAA_4[[#This Row],[Comprometido Contrato]],PAA_4[[#This Row],[Comprometido Bolsa]])</f>
        <v>#NAME?</v>
      </c>
      <c r="AC1266" s="55" t="str">
        <f t="shared" ca="1" si="455"/>
        <v/>
      </c>
      <c r="AD1266" s="55" t="e">
        <f ca="1">IF(PAA_4[[#This Row],[ESTADO (formulado)]]="NO CONTRATADO",0,MAX(PAA_4[[#This Row],[Pago por Contrato]],PAA_4[[#This Row],[Pago por bolsa]]))</f>
        <v>#NAME?</v>
      </c>
      <c r="AE1266" s="55" t="str">
        <f t="shared" ca="1" si="456"/>
        <v/>
      </c>
      <c r="AF1266" s="47" t="e">
        <f t="shared" ca="1" si="457"/>
        <v>#NAME?</v>
      </c>
      <c r="AG1266" s="47">
        <f t="shared" si="458"/>
        <v>44021007</v>
      </c>
      <c r="AH1266" s="54">
        <f>IF(Q1266="22",IF(ISNUMBER(SEARCH("econ",PAA_4[[#This Row],[Actividad3]])),"Económico",IF(ISNUMBER(SEARCH("alim",PAA_4[[#This Row],[Actividad3]])),"Alimentación",IF(ISNUMBER(SEARCH("educ",PAA_4[[#This Row],[Actividad3]])),"Educativo","Técnico"))),0)</f>
        <v>0</v>
      </c>
      <c r="AI1266" s="47" t="e" cm="1">
        <f t="array" aca="1" ref="AI1266" ca="1">_xlfn.XLOOKUP(PAA_4[[#This Row],[RCP-RUBRO]],[2]!COMPROMISOS_2024[[#All],[concatenado]],[2]!COMPROMISOS_2024[[#All],[Total pagado]],"",0)</f>
        <v>#NAME?</v>
      </c>
      <c r="AJ1266" s="56">
        <f>IF(PAA_4[[#This Row],[BOLSA]]=0,0,SUMIFS([2]!COMPROMISOS_2024[[#All],[Total pagado]],[2]!COMPROMISOS_2024[[#All],[Bolsa]],PAA_4[[#This Row],[BOLSA]],[2]!COMPROMISOS_2024[[#All],[rubro]],PAA_4[[#This Row],[RCP-RUBRO]]))</f>
        <v>0</v>
      </c>
      <c r="AK1266" s="47" t="e" cm="1">
        <f t="array" aca="1" ref="AK1266" ca="1">_xlfn.XLOOKUP(PAA_4[[#This Row],[RCP-RUBRO]],[2]!COMPROMISOS_2024[[#All],[concatenado]],[2]!COMPROMISOS_2024[[#All],[Total Comprometido]],"",0)</f>
        <v>#NAME?</v>
      </c>
      <c r="AL1266" s="47">
        <f>IF(PAA_4[[#This Row],[BOLSA]]=0,0,SUMIFS([2]!COMPROMISOS_2024[[#All],[Total Comprometido]],[2]!COMPROMISOS_2024[[#All],[Bolsa]],PAA_4[[#This Row],[BOLSA]],[2]!COMPROMISOS_2024[[#All],[concatenado]],PAA_4[[#This Row],[RCP-RUBRO]]))</f>
        <v>0</v>
      </c>
    </row>
    <row r="1267" spans="1:38" s="19" customFormat="1" ht="31.5" customHeight="1">
      <c r="A1267" s="47">
        <v>521</v>
      </c>
      <c r="B1267" s="47">
        <v>78111800</v>
      </c>
      <c r="C1267" s="47" t="str">
        <f>VLOOKUP(PAA_4[[#This Row],[PROYECTO (formulado)2]],[2]PROYECTOS!$G$1:$L$32,6,0)</f>
        <v>SUBGERENCIA DE FOMENTO Y DESARROLLO</v>
      </c>
      <c r="D1267" s="47" t="str">
        <f>+IF(PAA_4[[#This Row],[UNIDAD DE CONTRATACION (formulado)]]="Subgerencia Administrativa y Financiera","FUNCIONAMIENTO","INVERSIÓN")</f>
        <v>INVERSIÓN</v>
      </c>
      <c r="E1267" s="48" t="str">
        <f>VLOOKUP(Q1267,[2]PROYECTOS!$G$1:$K$32,5,0)</f>
        <v>FORTALECIMIENTO_DE_LAS_ESCUELAS_DEPORTIVAS_EN_LOS_MUNICIPIOS_DEL_DEPARTAMENTO_DE_ANTIOQUIA</v>
      </c>
      <c r="F1267" s="48">
        <f>VLOOKUP(E1267,[2]PROYECTOS!$K$1:$M$32,3,0)</f>
        <v>2020003050032</v>
      </c>
      <c r="G1267" s="49" t="s">
        <v>333</v>
      </c>
      <c r="H1267" s="49" t="str">
        <f>VLOOKUP(Q1267,[2]PROYECTOS!$V$1:$W$32,2,0)</f>
        <v>050059</v>
      </c>
      <c r="I1267" s="50">
        <v>0</v>
      </c>
      <c r="J1267" s="51" t="s">
        <v>344</v>
      </c>
      <c r="K1267" s="47" t="str">
        <f t="shared" ca="1" si="452"/>
        <v>CONTRATADO</v>
      </c>
      <c r="L1267" s="47" t="s">
        <v>344</v>
      </c>
      <c r="M1267" s="47"/>
      <c r="N1267" s="52" t="s">
        <v>373</v>
      </c>
      <c r="O1267" s="51" t="e">
        <f>VLOOKUP(N1267,[2]!RUBROS[#All],3,0)</f>
        <v>#REF!</v>
      </c>
      <c r="P1267" s="53" t="e">
        <f>VLOOKUP(N1267,[2]!RUBROS[#All],2,0)</f>
        <v>#REF!</v>
      </c>
      <c r="Q1267" s="47" t="str">
        <f t="shared" si="453"/>
        <v>46</v>
      </c>
      <c r="R1267" s="47" t="str">
        <f t="shared" si="454"/>
        <v>0-205128</v>
      </c>
      <c r="S1267" s="54">
        <v>10</v>
      </c>
      <c r="T1267" s="59" t="s">
        <v>46</v>
      </c>
      <c r="U1267" s="326" t="e">
        <f ca="1">_xlfn.XLOOKUP(PAA_4[[#This Row],[ITEM]],[2]Contrato!A:A,[2]Contrato!Q:Q,"",0)</f>
        <v>#NAME?</v>
      </c>
      <c r="V1267" s="47" t="s">
        <v>47</v>
      </c>
      <c r="W1267" s="47" t="s">
        <v>91</v>
      </c>
      <c r="X1267" s="47" t="s">
        <v>91</v>
      </c>
      <c r="Y1267" s="55" t="e">
        <f ca="1">_xlfn.XLOOKUP(PAA_4[[#This Row],[ITEM]],[2]Contrato!A:A,[2]Contrato!B:B,"",0)</f>
        <v>#NAME?</v>
      </c>
      <c r="Z1267" s="47" t="e">
        <f ca="1">_xlfn.XLOOKUP(PAA_4[[#This Row],[ITEM]],[2]Contrato!A:A,[2]Contrato!G:G,"",0)</f>
        <v>#NAME?</v>
      </c>
      <c r="AA1267" s="47" t="e">
        <f ca="1">_xlfn.XLOOKUP(PAA_4[[#This Row],[ITEM]],[2]Contrato!A:A,[2]Contrato!T:T,"",0)</f>
        <v>#NAME?</v>
      </c>
      <c r="AB1267" s="55" t="e">
        <f ca="1">+MAX(PAA_4[[#This Row],[Comprometido Contrato]],PAA_4[[#This Row],[Comprometido Bolsa]])</f>
        <v>#NAME?</v>
      </c>
      <c r="AC1267" s="55" t="str">
        <f t="shared" ca="1" si="455"/>
        <v/>
      </c>
      <c r="AD1267" s="55" t="e">
        <f ca="1">IF(PAA_4[[#This Row],[ESTADO (formulado)]]="NO CONTRATADO",0,MAX(PAA_4[[#This Row],[Pago por Contrato]],PAA_4[[#This Row],[Pago por bolsa]]))</f>
        <v>#NAME?</v>
      </c>
      <c r="AE1267" s="55" t="str">
        <f t="shared" ca="1" si="456"/>
        <v/>
      </c>
      <c r="AF1267" s="47" t="e">
        <f t="shared" ca="1" si="457"/>
        <v>#NAME?</v>
      </c>
      <c r="AG1267" s="47">
        <f t="shared" si="458"/>
        <v>44021007</v>
      </c>
      <c r="AH1267" s="54">
        <f>IF(Q1267="22",IF(ISNUMBER(SEARCH("econ",PAA_4[[#This Row],[Actividad3]])),"Económico",IF(ISNUMBER(SEARCH("alim",PAA_4[[#This Row],[Actividad3]])),"Alimentación",IF(ISNUMBER(SEARCH("educ",PAA_4[[#This Row],[Actividad3]])),"Educativo","Técnico"))),0)</f>
        <v>0</v>
      </c>
      <c r="AI1267" s="47" t="e" cm="1">
        <f t="array" aca="1" ref="AI1267" ca="1">_xlfn.XLOOKUP(PAA_4[[#This Row],[RCP-RUBRO]],[2]!COMPROMISOS_2024[[#All],[concatenado]],[2]!COMPROMISOS_2024[[#All],[Total pagado]],"",0)</f>
        <v>#NAME?</v>
      </c>
      <c r="AJ1267" s="56">
        <f>IF(PAA_4[[#This Row],[BOLSA]]=0,0,SUMIFS([2]!COMPROMISOS_2024[[#All],[Total pagado]],[2]!COMPROMISOS_2024[[#All],[Bolsa]],PAA_4[[#This Row],[BOLSA]],[2]!COMPROMISOS_2024[[#All],[rubro]],PAA_4[[#This Row],[RCP-RUBRO]]))</f>
        <v>0</v>
      </c>
      <c r="AK1267" s="47" t="e" cm="1">
        <f t="array" aca="1" ref="AK1267" ca="1">_xlfn.XLOOKUP(PAA_4[[#This Row],[RCP-RUBRO]],[2]!COMPROMISOS_2024[[#All],[concatenado]],[2]!COMPROMISOS_2024[[#All],[Total Comprometido]],"",0)</f>
        <v>#NAME?</v>
      </c>
      <c r="AL1267" s="47">
        <f>IF(PAA_4[[#This Row],[BOLSA]]=0,0,SUMIFS([2]!COMPROMISOS_2024[[#All],[Total Comprometido]],[2]!COMPROMISOS_2024[[#All],[Bolsa]],PAA_4[[#This Row],[BOLSA]],[2]!COMPROMISOS_2024[[#All],[concatenado]],PAA_4[[#This Row],[RCP-RUBRO]]))</f>
        <v>0</v>
      </c>
    </row>
    <row r="1268" spans="1:38" s="19" customFormat="1" ht="31.5" customHeight="1">
      <c r="A1268" s="47">
        <v>366</v>
      </c>
      <c r="B1268" s="47">
        <v>78111800</v>
      </c>
      <c r="C1268" s="47" t="str">
        <f>VLOOKUP(PAA_4[[#This Row],[PROYECTO (formulado)2]],[2]PROYECTOS!$G$1:$L$32,6,0)</f>
        <v>SUBGERENCIA DE FOMENTO Y DESARROLLO</v>
      </c>
      <c r="D1268" s="47" t="str">
        <f>+IF(PAA_4[[#This Row],[UNIDAD DE CONTRATACION (formulado)]]="Subgerencia Administrativa y Financiera","FUNCIONAMIENTO","INVERSIÓN")</f>
        <v>INVERSIÓN</v>
      </c>
      <c r="E1268" s="48" t="str">
        <f>VLOOKUP(Q1268,[2]PROYECTOS!$G$1:$K$32,5,0)</f>
        <v>FORTALECIMIENTO_DE_LOS_PROGRAMAS_RECREATIVOS_EN_LOS_MUNICIPIOS_DEL_DEPARTAMENTO_DE_ANTIOQUIA</v>
      </c>
      <c r="F1268" s="48">
        <f>VLOOKUP(E1268,[2]PROYECTOS!$K$1:$M$32,3,0)</f>
        <v>2020003050031</v>
      </c>
      <c r="G1268" s="49" t="s">
        <v>335</v>
      </c>
      <c r="H1268" s="49" t="str">
        <f>VLOOKUP(Q1268,[2]PROYECTOS!$V$1:$W$32,2,0)</f>
        <v>050064</v>
      </c>
      <c r="I1268" s="50">
        <v>0</v>
      </c>
      <c r="J1268" s="51" t="s">
        <v>42</v>
      </c>
      <c r="K1268" s="47" t="str">
        <f t="shared" ca="1" si="452"/>
        <v>CONTRATADO</v>
      </c>
      <c r="L1268" s="47" t="s">
        <v>94</v>
      </c>
      <c r="M1268" s="47" t="s">
        <v>161</v>
      </c>
      <c r="N1268" s="52" t="s">
        <v>379</v>
      </c>
      <c r="O1268" s="51" t="e">
        <f>VLOOKUP(N1268,[2]!RUBROS[#All],3,0)</f>
        <v>#REF!</v>
      </c>
      <c r="P1268" s="53" t="e">
        <f>VLOOKUP(N1268,[2]!RUBROS[#All],2,0)</f>
        <v>#REF!</v>
      </c>
      <c r="Q1268" s="47" t="str">
        <f t="shared" si="453"/>
        <v>47</v>
      </c>
      <c r="R1268" s="47" t="str">
        <f t="shared" si="454"/>
        <v>0-205128</v>
      </c>
      <c r="S1268" s="342">
        <v>175</v>
      </c>
      <c r="T1268" s="59" t="s">
        <v>120</v>
      </c>
      <c r="U1268" s="326" t="e">
        <f ca="1">_xlfn.XLOOKUP(PAA_4[[#This Row],[ITEM]],[2]Contrato!A:A,[2]Contrato!Q:Q,"",0)</f>
        <v>#NAME?</v>
      </c>
      <c r="V1268" s="47" t="s">
        <v>47</v>
      </c>
      <c r="W1268" s="343" t="s">
        <v>154</v>
      </c>
      <c r="X1268" s="343" t="s">
        <v>154</v>
      </c>
      <c r="Y1268" s="55" t="e">
        <f ca="1">_xlfn.XLOOKUP(PAA_4[[#This Row],[ITEM]],[2]Contrato!A:A,[2]Contrato!B:B,"",0)</f>
        <v>#NAME?</v>
      </c>
      <c r="Z1268" s="47" t="e">
        <f ca="1">_xlfn.XLOOKUP(PAA_4[[#This Row],[ITEM]],[2]Contrato!A:A,[2]Contrato!G:G,"",0)</f>
        <v>#NAME?</v>
      </c>
      <c r="AA1268" s="47" t="e">
        <f ca="1">_xlfn.XLOOKUP(PAA_4[[#This Row],[ITEM]],[2]Contrato!A:A,[2]Contrato!T:T,"",0)</f>
        <v>#NAME?</v>
      </c>
      <c r="AB1268" s="55" t="e">
        <f ca="1">+MAX(PAA_4[[#This Row],[Comprometido Contrato]],PAA_4[[#This Row],[Comprometido Bolsa]])</f>
        <v>#NAME?</v>
      </c>
      <c r="AC1268" s="55" t="str">
        <f t="shared" ca="1" si="455"/>
        <v/>
      </c>
      <c r="AD1268" s="55" t="e">
        <f ca="1">IF(PAA_4[[#This Row],[ESTADO (formulado)]]="NO CONTRATADO",0,MAX(PAA_4[[#This Row],[Pago por Contrato]],PAA_4[[#This Row],[Pago por bolsa]]))</f>
        <v>#NAME?</v>
      </c>
      <c r="AE1268" s="55" t="str">
        <f t="shared" ca="1" si="456"/>
        <v/>
      </c>
      <c r="AF1268" s="47" t="e">
        <f t="shared" ca="1" si="457"/>
        <v>#NAME?</v>
      </c>
      <c r="AG1268" s="47">
        <f t="shared" si="458"/>
        <v>44021004</v>
      </c>
      <c r="AH1268" s="54">
        <f>IF(Q1268="22",IF(ISNUMBER(SEARCH("econ",PAA_4[[#This Row],[Actividad3]])),"Económico",IF(ISNUMBER(SEARCH("alim",PAA_4[[#This Row],[Actividad3]])),"Alimentación",IF(ISNUMBER(SEARCH("educ",PAA_4[[#This Row],[Actividad3]])),"Educativo","Técnico"))),0)</f>
        <v>0</v>
      </c>
      <c r="AI1268" s="47" t="e" cm="1">
        <f t="array" aca="1" ref="AI1268" ca="1">_xlfn.XLOOKUP(PAA_4[[#This Row],[RCP-RUBRO]],[2]!COMPROMISOS_2024[[#All],[concatenado]],[2]!COMPROMISOS_2024[[#All],[Total pagado]],"",0)</f>
        <v>#NAME?</v>
      </c>
      <c r="AJ1268" s="56">
        <f>IF(PAA_4[[#This Row],[BOLSA]]=0,0,SUMIFS([2]!COMPROMISOS_2024[[#All],[Total pagado]],[2]!COMPROMISOS_2024[[#All],[Bolsa]],PAA_4[[#This Row],[BOLSA]],[2]!COMPROMISOS_2024[[#All],[rubro]],PAA_4[[#This Row],[RCP-RUBRO]]))</f>
        <v>0</v>
      </c>
      <c r="AK1268" s="47" t="e" cm="1">
        <f t="array" aca="1" ref="AK1268" ca="1">_xlfn.XLOOKUP(PAA_4[[#This Row],[RCP-RUBRO]],[2]!COMPROMISOS_2024[[#All],[concatenado]],[2]!COMPROMISOS_2024[[#All],[Total Comprometido]],"",0)</f>
        <v>#NAME?</v>
      </c>
      <c r="AL1268" s="47">
        <f>IF(PAA_4[[#This Row],[BOLSA]]=0,0,SUMIFS([2]!COMPROMISOS_2024[[#All],[Total Comprometido]],[2]!COMPROMISOS_2024[[#All],[Bolsa]],PAA_4[[#This Row],[BOLSA]],[2]!COMPROMISOS_2024[[#All],[concatenado]],PAA_4[[#This Row],[RCP-RUBRO]]))</f>
        <v>0</v>
      </c>
    </row>
    <row r="1269" spans="1:38" s="19" customFormat="1" ht="31.5" customHeight="1">
      <c r="A1269" s="47">
        <v>378</v>
      </c>
      <c r="B1269" s="47">
        <v>80111600</v>
      </c>
      <c r="C1269" s="47" t="str">
        <f>VLOOKUP(PAA_4[[#This Row],[PROYECTO (formulado)2]],[2]PROYECTOS!$G$1:$L$32,6,0)</f>
        <v>SUBGERENCIA DE FOMENTO Y DESARROLLO</v>
      </c>
      <c r="D1269" s="47" t="str">
        <f>+IF(PAA_4[[#This Row],[UNIDAD DE CONTRATACION (formulado)]]="Subgerencia Administrativa y Financiera","FUNCIONAMIENTO","INVERSIÓN")</f>
        <v>INVERSIÓN</v>
      </c>
      <c r="E1269" s="48" t="str">
        <f>VLOOKUP(Q1269,[2]PROYECTOS!$G$1:$K$32,5,0)</f>
        <v>FORTALECIMIENTO_DE_LOS_PROGRAMAS_RECREATIVOS_EN_LOS_MUNICIPIOS_DEL_DEPARTAMENTO_DE_ANTIOQUIA</v>
      </c>
      <c r="F1269" s="48">
        <f>VLOOKUP(E1269,[2]PROYECTOS!$K$1:$M$32,3,0)</f>
        <v>2020003050031</v>
      </c>
      <c r="G1269" s="49" t="s">
        <v>335</v>
      </c>
      <c r="H1269" s="49" t="str">
        <f>VLOOKUP(Q1269,[2]PROYECTOS!$V$1:$W$32,2,0)</f>
        <v>050064</v>
      </c>
      <c r="I1269" s="50">
        <v>3095589</v>
      </c>
      <c r="J1269" s="51" t="s">
        <v>328</v>
      </c>
      <c r="K1269" s="47" t="str">
        <f t="shared" ca="1" si="452"/>
        <v>CONTRATADO</v>
      </c>
      <c r="L1269" s="47" t="s">
        <v>94</v>
      </c>
      <c r="M1269" s="47" t="s">
        <v>1297</v>
      </c>
      <c r="N1269" s="52" t="s">
        <v>336</v>
      </c>
      <c r="O1269" s="51" t="e">
        <f>VLOOKUP(N1269,[2]!RUBROS[#All],3,0)</f>
        <v>#REF!</v>
      </c>
      <c r="P1269" s="53" t="e">
        <f>VLOOKUP(N1269,[2]!RUBROS[#All],2,0)</f>
        <v>#REF!</v>
      </c>
      <c r="Q1269" s="47" t="str">
        <f t="shared" si="453"/>
        <v>47</v>
      </c>
      <c r="R1269" s="47" t="str">
        <f t="shared" ref="R1269:R1281" si="459">+MID(N1269,14,8)</f>
        <v>0-205128</v>
      </c>
      <c r="S1269" s="54">
        <v>12</v>
      </c>
      <c r="T1269" s="59" t="s">
        <v>46</v>
      </c>
      <c r="U1269" s="326" t="e">
        <f ca="1">_xlfn.XLOOKUP(PAA_4[[#This Row],[ITEM]],[2]Contrato!A:A,[2]Contrato!Q:Q,"",0)</f>
        <v>#NAME?</v>
      </c>
      <c r="V1269" s="47" t="s">
        <v>47</v>
      </c>
      <c r="W1269" s="47" t="s">
        <v>83</v>
      </c>
      <c r="X1269" s="47" t="s">
        <v>83</v>
      </c>
      <c r="Y1269" s="55" t="e">
        <f ca="1">_xlfn.XLOOKUP(PAA_4[[#This Row],[ITEM]],[2]Contrato!A:A,[2]Contrato!B:B,"",0)</f>
        <v>#NAME?</v>
      </c>
      <c r="Z1269" s="47" t="e">
        <f ca="1">_xlfn.XLOOKUP(PAA_4[[#This Row],[ITEM]],[2]Contrato!A:A,[2]Contrato!G:G,"",0)</f>
        <v>#NAME?</v>
      </c>
      <c r="AA1269" s="47" t="e">
        <f ca="1">_xlfn.XLOOKUP(PAA_4[[#This Row],[ITEM]],[2]Contrato!A:A,[2]Contrato!T:T,"",0)</f>
        <v>#NAME?</v>
      </c>
      <c r="AB1269" s="55" t="e">
        <f ca="1">+MAX(PAA_4[[#This Row],[Comprometido Contrato]],PAA_4[[#This Row],[Comprometido Bolsa]])</f>
        <v>#NAME?</v>
      </c>
      <c r="AC1269" s="55" t="str">
        <f t="shared" ca="1" si="455"/>
        <v/>
      </c>
      <c r="AD1269" s="55" t="e">
        <f ca="1">IF(PAA_4[[#This Row],[ESTADO (formulado)]]="NO CONTRATADO",0,MAX(PAA_4[[#This Row],[Pago por Contrato]],PAA_4[[#This Row],[Pago por bolsa]]))</f>
        <v>#NAME?</v>
      </c>
      <c r="AE1269" s="55" t="str">
        <f t="shared" ca="1" si="456"/>
        <v/>
      </c>
      <c r="AF1269" s="47" t="e">
        <f t="shared" ca="1" si="457"/>
        <v>#NAME?</v>
      </c>
      <c r="AG1269" s="47">
        <f t="shared" si="458"/>
        <v>44021004</v>
      </c>
      <c r="AH1269" s="54">
        <f>IF(Q1269="22",IF(ISNUMBER(SEARCH("econ",PAA_4[[#This Row],[Actividad3]])),"Económico",IF(ISNUMBER(SEARCH("alim",PAA_4[[#This Row],[Actividad3]])),"Alimentación",IF(ISNUMBER(SEARCH("educ",PAA_4[[#This Row],[Actividad3]])),"Educativo","Técnico"))),0)</f>
        <v>0</v>
      </c>
      <c r="AI1269" s="47" t="e" cm="1">
        <f t="array" aca="1" ref="AI1269" ca="1">_xlfn.XLOOKUP(PAA_4[[#This Row],[RCP-RUBRO]],[2]!COMPROMISOS_2024[[#All],[concatenado]],[2]!COMPROMISOS_2024[[#All],[Total pagado]],"",0)</f>
        <v>#NAME?</v>
      </c>
      <c r="AJ1269" s="56">
        <f>IF(PAA_4[[#This Row],[BOLSA]]=0,0,SUMIFS([2]!COMPROMISOS_2024[[#All],[Total pagado]],[2]!COMPROMISOS_2024[[#All],[Bolsa]],PAA_4[[#This Row],[BOLSA]],[2]!COMPROMISOS_2024[[#All],[rubro]],PAA_4[[#This Row],[RCP-RUBRO]]))</f>
        <v>0</v>
      </c>
      <c r="AK1269" s="47" t="e" cm="1">
        <f t="array" aca="1" ref="AK1269" ca="1">_xlfn.XLOOKUP(PAA_4[[#This Row],[RCP-RUBRO]],[2]!COMPROMISOS_2024[[#All],[concatenado]],[2]!COMPROMISOS_2024[[#All],[Total Comprometido]],"",0)</f>
        <v>#NAME?</v>
      </c>
      <c r="AL1269" s="47">
        <f>IF(PAA_4[[#This Row],[BOLSA]]=0,0,SUMIFS([2]!COMPROMISOS_2024[[#All],[Total Comprometido]],[2]!COMPROMISOS_2024[[#All],[Bolsa]],PAA_4[[#This Row],[BOLSA]],[2]!COMPROMISOS_2024[[#All],[concatenado]],PAA_4[[#This Row],[RCP-RUBRO]]))</f>
        <v>0</v>
      </c>
    </row>
    <row r="1270" spans="1:38" s="19" customFormat="1" ht="31.5" customHeight="1">
      <c r="A1270" s="47" t="s">
        <v>82</v>
      </c>
      <c r="B1270" s="47">
        <v>80111600</v>
      </c>
      <c r="C1270" s="47" t="str">
        <f>VLOOKUP(PAA_4[[#This Row],[PROYECTO (formulado)2]],[2]PROYECTOS!$G$1:$L$32,6,0)</f>
        <v>SUBGERENCIA DE FOMENTO Y DESARROLLO</v>
      </c>
      <c r="D1270" s="47" t="str">
        <f>+IF(PAA_4[[#This Row],[UNIDAD DE CONTRATACION (formulado)]]="Subgerencia Administrativa y Financiera","FUNCIONAMIENTO","INVERSIÓN")</f>
        <v>INVERSIÓN</v>
      </c>
      <c r="E1270" s="48" t="str">
        <f>VLOOKUP(Q1270,[2]PROYECTOS!$G$1:$K$32,5,0)</f>
        <v>FORTALECIMIENTO_DE_LAS_ESCUELAS_DEPORTIVAS_EN_LOS_MUNICIPIOS_DEL_DEPARTAMENTO_DE_ANTIOQUIA</v>
      </c>
      <c r="F1270" s="48">
        <f>VLOOKUP(E1270,[2]PROYECTOS!$K$1:$M$32,3,0)</f>
        <v>2020003050032</v>
      </c>
      <c r="G1270" s="49" t="s">
        <v>333</v>
      </c>
      <c r="H1270" s="49" t="str">
        <f>VLOOKUP(Q1270,[2]PROYECTOS!$V$1:$W$32,2,0)</f>
        <v>050059</v>
      </c>
      <c r="I1270" s="50">
        <v>0</v>
      </c>
      <c r="J1270" s="74" t="s">
        <v>374</v>
      </c>
      <c r="K1270" s="47" t="str">
        <f t="shared" ref="K1270:K1281" ca="1" si="460">IF(ISNONTEXT(Y1270)=TRUE,"CONTRATADO","NO CONTRATADO")</f>
        <v>CONTRATADO</v>
      </c>
      <c r="L1270" s="47" t="s">
        <v>94</v>
      </c>
      <c r="M1270" s="47" t="s">
        <v>1297</v>
      </c>
      <c r="N1270" s="52" t="s">
        <v>334</v>
      </c>
      <c r="O1270" s="51" t="e">
        <f>VLOOKUP(N1270,[2]!RUBROS[#All],3,0)</f>
        <v>#REF!</v>
      </c>
      <c r="P1270" s="53" t="e">
        <f>VLOOKUP(N1270,[2]!RUBROS[#All],2,0)</f>
        <v>#REF!</v>
      </c>
      <c r="Q1270" s="47" t="str">
        <f t="shared" si="453"/>
        <v>46</v>
      </c>
      <c r="R1270" s="47" t="str">
        <f t="shared" si="459"/>
        <v>0-205128</v>
      </c>
      <c r="S1270" s="54">
        <v>9</v>
      </c>
      <c r="T1270" s="59" t="s">
        <v>46</v>
      </c>
      <c r="U1270" s="326" t="e">
        <f ca="1">_xlfn.XLOOKUP(PAA_4[[#This Row],[ITEM]],[2]Contrato!A:A,[2]Contrato!Q:Q,"",0)</f>
        <v>#NAME?</v>
      </c>
      <c r="V1270" s="47" t="s">
        <v>47</v>
      </c>
      <c r="W1270" s="47" t="s">
        <v>122</v>
      </c>
      <c r="X1270" s="47" t="s">
        <v>122</v>
      </c>
      <c r="Y1270" s="55" t="e">
        <f ca="1">_xlfn.XLOOKUP(PAA_4[[#This Row],[ITEM]],[2]Contrato!A:A,[2]Contrato!B:B,"",0)</f>
        <v>#NAME?</v>
      </c>
      <c r="Z1270" s="47" t="e">
        <f ca="1">_xlfn.XLOOKUP(PAA_4[[#This Row],[ITEM]],[2]Contrato!A:A,[2]Contrato!G:G,"",0)</f>
        <v>#NAME?</v>
      </c>
      <c r="AA1270" s="47" t="e">
        <f ca="1">_xlfn.XLOOKUP(PAA_4[[#This Row],[ITEM]],[2]Contrato!A:A,[2]Contrato!T:T,"",0)</f>
        <v>#NAME?</v>
      </c>
      <c r="AB1270" s="55" t="e">
        <f ca="1">+MAX(PAA_4[[#This Row],[Comprometido Contrato]],PAA_4[[#This Row],[Comprometido Bolsa]])</f>
        <v>#NAME?</v>
      </c>
      <c r="AC1270" s="55" t="str">
        <f t="shared" ca="1" si="455"/>
        <v/>
      </c>
      <c r="AD1270" s="55" t="e">
        <f ca="1">IF(PAA_4[[#This Row],[ESTADO (formulado)]]="NO CONTRATADO",0,MAX(PAA_4[[#This Row],[Pago por Contrato]],PAA_4[[#This Row],[Pago por bolsa]]))</f>
        <v>#NAME?</v>
      </c>
      <c r="AE1270" s="55" t="str">
        <f t="shared" ref="AE1270:AE1281" ca="1" si="461">+IFERROR(AB1270-AD1270,"")</f>
        <v/>
      </c>
      <c r="AF1270" s="47" t="e">
        <f t="shared" ca="1" si="457"/>
        <v>#NAME?</v>
      </c>
      <c r="AG1270" s="47">
        <f t="shared" ref="AG1270:AG1281" si="462">IFERROR(_xlfn.NUMBERVALUE(MID(G1270,1,8)),"")</f>
        <v>44021007</v>
      </c>
      <c r="AH1270" s="54">
        <f>IF(Q1270="22",IF(ISNUMBER(SEARCH("econ",PAA_4[[#This Row],[Actividad3]])),"Económico",IF(ISNUMBER(SEARCH("alim",PAA_4[[#This Row],[Actividad3]])),"Alimentación",IF(ISNUMBER(SEARCH("educ",PAA_4[[#This Row],[Actividad3]])),"Educativo","Técnico"))),0)</f>
        <v>0</v>
      </c>
      <c r="AI1270" s="47" t="e" cm="1">
        <f t="array" aca="1" ref="AI1270" ca="1">_xlfn.XLOOKUP(PAA_4[[#This Row],[RCP-RUBRO]],[2]!COMPROMISOS_2024[[#All],[concatenado]],[2]!COMPROMISOS_2024[[#All],[Total pagado]],"",0)</f>
        <v>#NAME?</v>
      </c>
      <c r="AJ1270" s="56">
        <f>IF(PAA_4[[#This Row],[BOLSA]]=0,0,SUMIFS([2]!COMPROMISOS_2024[[#All],[Total pagado]],[2]!COMPROMISOS_2024[[#All],[Bolsa]],PAA_4[[#This Row],[BOLSA]],[2]!COMPROMISOS_2024[[#All],[rubro]],PAA_4[[#This Row],[RCP-RUBRO]]))</f>
        <v>0</v>
      </c>
      <c r="AK1270" s="47" t="e" cm="1">
        <f t="array" aca="1" ref="AK1270" ca="1">_xlfn.XLOOKUP(PAA_4[[#This Row],[RCP-RUBRO]],[2]!COMPROMISOS_2024[[#All],[concatenado]],[2]!COMPROMISOS_2024[[#All],[Total Comprometido]],"",0)</f>
        <v>#NAME?</v>
      </c>
      <c r="AL1270" s="47">
        <f>IF(PAA_4[[#This Row],[BOLSA]]=0,0,SUMIFS([2]!COMPROMISOS_2024[[#All],[Total Comprometido]],[2]!COMPROMISOS_2024[[#All],[Bolsa]],PAA_4[[#This Row],[BOLSA]],[2]!COMPROMISOS_2024[[#All],[concatenado]],PAA_4[[#This Row],[RCP-RUBRO]]))</f>
        <v>0</v>
      </c>
    </row>
    <row r="1271" spans="1:38" s="19" customFormat="1" ht="31.5" customHeight="1">
      <c r="A1271" s="47">
        <v>379</v>
      </c>
      <c r="B1271" s="47">
        <v>80111600</v>
      </c>
      <c r="C1271" s="47" t="str">
        <f>VLOOKUP(PAA_4[[#This Row],[PROYECTO (formulado)2]],[2]PROYECTOS!$G$1:$L$32,6,0)</f>
        <v>SUBGERENCIA DE FOMENTO Y DESARROLLO</v>
      </c>
      <c r="D1271" s="47" t="str">
        <f>+IF(PAA_4[[#This Row],[UNIDAD DE CONTRATACION (formulado)]]="Subgerencia Administrativa y Financiera","FUNCIONAMIENTO","INVERSIÓN")</f>
        <v>INVERSIÓN</v>
      </c>
      <c r="E1271" s="48" t="str">
        <f>VLOOKUP(Q1271,[2]PROYECTOS!$G$1:$K$32,5,0)</f>
        <v>FORTALECIMIENTO_DE_LOS_PROGRAMAS_RECREATIVOS_EN_LOS_MUNICIPIOS_DEL_DEPARTAMENTO_DE_ANTIOQUIA</v>
      </c>
      <c r="F1271" s="48">
        <f>VLOOKUP(E1271,[2]PROYECTOS!$K$1:$M$32,3,0)</f>
        <v>2020003050031</v>
      </c>
      <c r="G1271" s="49" t="s">
        <v>335</v>
      </c>
      <c r="H1271" s="49" t="str">
        <f>VLOOKUP(Q1271,[2]PROYECTOS!$V$1:$W$32,2,0)</f>
        <v>050064</v>
      </c>
      <c r="I1271" s="50">
        <v>3339431</v>
      </c>
      <c r="J1271" s="51" t="s">
        <v>330</v>
      </c>
      <c r="K1271" s="47" t="str">
        <f t="shared" ca="1" si="460"/>
        <v>CONTRATADO</v>
      </c>
      <c r="L1271" s="47" t="s">
        <v>94</v>
      </c>
      <c r="M1271" s="47" t="s">
        <v>1297</v>
      </c>
      <c r="N1271" s="52" t="s">
        <v>336</v>
      </c>
      <c r="O1271" s="51" t="e">
        <f>VLOOKUP(N1271,[2]!RUBROS[#All],3,0)</f>
        <v>#REF!</v>
      </c>
      <c r="P1271" s="53" t="e">
        <f>VLOOKUP(N1271,[2]!RUBROS[#All],2,0)</f>
        <v>#REF!</v>
      </c>
      <c r="Q1271" s="47" t="str">
        <f t="shared" si="453"/>
        <v>47</v>
      </c>
      <c r="R1271" s="47" t="str">
        <f t="shared" si="459"/>
        <v>0-205128</v>
      </c>
      <c r="S1271" s="54">
        <v>3</v>
      </c>
      <c r="T1271" s="59" t="s">
        <v>46</v>
      </c>
      <c r="U1271" s="326" t="e">
        <f ca="1">_xlfn.XLOOKUP(PAA_4[[#This Row],[ITEM]],[2]Contrato!A:A,[2]Contrato!Q:Q,"",0)</f>
        <v>#NAME?</v>
      </c>
      <c r="V1271" s="47" t="s">
        <v>47</v>
      </c>
      <c r="W1271" s="47" t="s">
        <v>83</v>
      </c>
      <c r="X1271" s="47" t="s">
        <v>83</v>
      </c>
      <c r="Y1271" s="55" t="e">
        <f ca="1">_xlfn.XLOOKUP(PAA_4[[#This Row],[ITEM]],[2]Contrato!A:A,[2]Contrato!B:B,"",0)</f>
        <v>#NAME?</v>
      </c>
      <c r="Z1271" s="47" t="e">
        <f ca="1">_xlfn.XLOOKUP(PAA_4[[#This Row],[ITEM]],[2]Contrato!A:A,[2]Contrato!G:G,"",0)</f>
        <v>#NAME?</v>
      </c>
      <c r="AA1271" s="47" t="e">
        <f ca="1">_xlfn.XLOOKUP(PAA_4[[#This Row],[ITEM]],[2]Contrato!A:A,[2]Contrato!T:T,"",0)</f>
        <v>#NAME?</v>
      </c>
      <c r="AB1271" s="55" t="e">
        <f ca="1">+MAX(PAA_4[[#This Row],[Comprometido Contrato]],PAA_4[[#This Row],[Comprometido Bolsa]])</f>
        <v>#NAME?</v>
      </c>
      <c r="AC1271" s="55" t="str">
        <f t="shared" ca="1" si="455"/>
        <v/>
      </c>
      <c r="AD1271" s="55" t="e">
        <f ca="1">IF(PAA_4[[#This Row],[ESTADO (formulado)]]="NO CONTRATADO",0,MAX(PAA_4[[#This Row],[Pago por Contrato]],PAA_4[[#This Row],[Pago por bolsa]]))</f>
        <v>#NAME?</v>
      </c>
      <c r="AE1271" s="55" t="str">
        <f t="shared" ca="1" si="461"/>
        <v/>
      </c>
      <c r="AF1271" s="47" t="e">
        <f t="shared" ca="1" si="457"/>
        <v>#NAME?</v>
      </c>
      <c r="AG1271" s="47">
        <f t="shared" si="462"/>
        <v>44021004</v>
      </c>
      <c r="AH1271" s="54">
        <f>IF(Q1271="22",IF(ISNUMBER(SEARCH("econ",PAA_4[[#This Row],[Actividad3]])),"Económico",IF(ISNUMBER(SEARCH("alim",PAA_4[[#This Row],[Actividad3]])),"Alimentación",IF(ISNUMBER(SEARCH("educ",PAA_4[[#This Row],[Actividad3]])),"Educativo","Técnico"))),0)</f>
        <v>0</v>
      </c>
      <c r="AI1271" s="47" t="e" cm="1">
        <f t="array" aca="1" ref="AI1271" ca="1">_xlfn.XLOOKUP(PAA_4[[#This Row],[RCP-RUBRO]],[2]!COMPROMISOS_2024[[#All],[concatenado]],[2]!COMPROMISOS_2024[[#All],[Total pagado]],"",0)</f>
        <v>#NAME?</v>
      </c>
      <c r="AJ1271" s="56">
        <f>IF(PAA_4[[#This Row],[BOLSA]]=0,0,SUMIFS([2]!COMPROMISOS_2024[[#All],[Total pagado]],[2]!COMPROMISOS_2024[[#All],[Bolsa]],PAA_4[[#This Row],[BOLSA]],[2]!COMPROMISOS_2024[[#All],[rubro]],PAA_4[[#This Row],[RCP-RUBRO]]))</f>
        <v>0</v>
      </c>
      <c r="AK1271" s="47" t="e" cm="1">
        <f t="array" aca="1" ref="AK1271" ca="1">_xlfn.XLOOKUP(PAA_4[[#This Row],[RCP-RUBRO]],[2]!COMPROMISOS_2024[[#All],[concatenado]],[2]!COMPROMISOS_2024[[#All],[Total Comprometido]],"",0)</f>
        <v>#NAME?</v>
      </c>
      <c r="AL1271" s="47">
        <f>IF(PAA_4[[#This Row],[BOLSA]]=0,0,SUMIFS([2]!COMPROMISOS_2024[[#All],[Total Comprometido]],[2]!COMPROMISOS_2024[[#All],[Bolsa]],PAA_4[[#This Row],[BOLSA]],[2]!COMPROMISOS_2024[[#All],[concatenado]],PAA_4[[#This Row],[RCP-RUBRO]]))</f>
        <v>0</v>
      </c>
    </row>
    <row r="1272" spans="1:38" s="19" customFormat="1" ht="31.5" customHeight="1">
      <c r="A1272" s="47">
        <v>380</v>
      </c>
      <c r="B1272" s="47">
        <v>80111600</v>
      </c>
      <c r="C1272" s="47" t="str">
        <f>VLOOKUP(PAA_4[[#This Row],[PROYECTO (formulado)2]],[2]PROYECTOS!$G$1:$L$32,6,0)</f>
        <v>SUBGERENCIA DE FOMENTO Y DESARROLLO</v>
      </c>
      <c r="D1272" s="47" t="str">
        <f>+IF(PAA_4[[#This Row],[UNIDAD DE CONTRATACION (formulado)]]="Subgerencia Administrativa y Financiera","FUNCIONAMIENTO","INVERSIÓN")</f>
        <v>INVERSIÓN</v>
      </c>
      <c r="E1272" s="48" t="str">
        <f>VLOOKUP(Q1272,[2]PROYECTOS!$G$1:$K$32,5,0)</f>
        <v>FORTALECIMIENTO_DE_LOS_PROGRAMAS_RECREATIVOS_EN_LOS_MUNICIPIOS_DEL_DEPARTAMENTO_DE_ANTIOQUIA</v>
      </c>
      <c r="F1272" s="48">
        <f>VLOOKUP(E1272,[2]PROYECTOS!$K$1:$M$32,3,0)</f>
        <v>2020003050031</v>
      </c>
      <c r="G1272" s="49" t="s">
        <v>335</v>
      </c>
      <c r="H1272" s="49" t="str">
        <f>VLOOKUP(Q1272,[2]PROYECTOS!$V$1:$W$32,2,0)</f>
        <v>050064</v>
      </c>
      <c r="I1272" s="50">
        <v>3339431</v>
      </c>
      <c r="J1272" s="70" t="s">
        <v>331</v>
      </c>
      <c r="K1272" s="47" t="str">
        <f t="shared" ca="1" si="460"/>
        <v>CONTRATADO</v>
      </c>
      <c r="L1272" s="47" t="s">
        <v>94</v>
      </c>
      <c r="M1272" s="47" t="s">
        <v>1297</v>
      </c>
      <c r="N1272" s="52" t="s">
        <v>336</v>
      </c>
      <c r="O1272" s="51" t="e">
        <f>VLOOKUP(N1272,[2]!RUBROS[#All],3,0)</f>
        <v>#REF!</v>
      </c>
      <c r="P1272" s="53" t="e">
        <f>VLOOKUP(N1272,[2]!RUBROS[#All],2,0)</f>
        <v>#REF!</v>
      </c>
      <c r="Q1272" s="47" t="str">
        <f t="shared" si="453"/>
        <v>47</v>
      </c>
      <c r="R1272" s="47" t="str">
        <f t="shared" si="459"/>
        <v>0-205128</v>
      </c>
      <c r="S1272" s="54">
        <v>3</v>
      </c>
      <c r="T1272" s="59" t="s">
        <v>46</v>
      </c>
      <c r="U1272" s="326" t="e">
        <f ca="1">_xlfn.XLOOKUP(PAA_4[[#This Row],[ITEM]],[2]Contrato!A:A,[2]Contrato!Q:Q,"",0)</f>
        <v>#NAME?</v>
      </c>
      <c r="V1272" s="47" t="s">
        <v>47</v>
      </c>
      <c r="W1272" s="47" t="s">
        <v>83</v>
      </c>
      <c r="X1272" s="47" t="s">
        <v>83</v>
      </c>
      <c r="Y1272" s="55" t="e">
        <f ca="1">_xlfn.XLOOKUP(PAA_4[[#This Row],[ITEM]],[2]Contrato!A:A,[2]Contrato!B:B,"",0)</f>
        <v>#NAME?</v>
      </c>
      <c r="Z1272" s="47" t="e">
        <f ca="1">_xlfn.XLOOKUP(PAA_4[[#This Row],[ITEM]],[2]Contrato!A:A,[2]Contrato!G:G,"",0)</f>
        <v>#NAME?</v>
      </c>
      <c r="AA1272" s="47" t="e">
        <f ca="1">_xlfn.XLOOKUP(PAA_4[[#This Row],[ITEM]],[2]Contrato!A:A,[2]Contrato!T:T,"",0)</f>
        <v>#NAME?</v>
      </c>
      <c r="AB1272" s="55" t="e">
        <f ca="1">+MAX(PAA_4[[#This Row],[Comprometido Contrato]],PAA_4[[#This Row],[Comprometido Bolsa]])</f>
        <v>#NAME?</v>
      </c>
      <c r="AC1272" s="55" t="str">
        <f t="shared" ca="1" si="455"/>
        <v/>
      </c>
      <c r="AD1272" s="55" t="e">
        <f ca="1">IF(PAA_4[[#This Row],[ESTADO (formulado)]]="NO CONTRATADO",0,MAX(PAA_4[[#This Row],[Pago por Contrato]],PAA_4[[#This Row],[Pago por bolsa]]))</f>
        <v>#NAME?</v>
      </c>
      <c r="AE1272" s="55" t="str">
        <f t="shared" ca="1" si="461"/>
        <v/>
      </c>
      <c r="AF1272" s="47" t="e">
        <f t="shared" ca="1" si="457"/>
        <v>#NAME?</v>
      </c>
      <c r="AG1272" s="47">
        <f t="shared" si="462"/>
        <v>44021004</v>
      </c>
      <c r="AH1272" s="54">
        <f>IF(Q1272="22",IF(ISNUMBER(SEARCH("econ",PAA_4[[#This Row],[Actividad3]])),"Económico",IF(ISNUMBER(SEARCH("alim",PAA_4[[#This Row],[Actividad3]])),"Alimentación",IF(ISNUMBER(SEARCH("educ",PAA_4[[#This Row],[Actividad3]])),"Educativo","Técnico"))),0)</f>
        <v>0</v>
      </c>
      <c r="AI1272" s="47" t="e" cm="1">
        <f t="array" aca="1" ref="AI1272" ca="1">_xlfn.XLOOKUP(PAA_4[[#This Row],[RCP-RUBRO]],[2]!COMPROMISOS_2024[[#All],[concatenado]],[2]!COMPROMISOS_2024[[#All],[Total pagado]],"",0)</f>
        <v>#NAME?</v>
      </c>
      <c r="AJ1272" s="56">
        <f>IF(PAA_4[[#This Row],[BOLSA]]=0,0,SUMIFS([2]!COMPROMISOS_2024[[#All],[Total pagado]],[2]!COMPROMISOS_2024[[#All],[Bolsa]],PAA_4[[#This Row],[BOLSA]],[2]!COMPROMISOS_2024[[#All],[rubro]],PAA_4[[#This Row],[RCP-RUBRO]]))</f>
        <v>0</v>
      </c>
      <c r="AK1272" s="47" t="e" cm="1">
        <f t="array" aca="1" ref="AK1272" ca="1">_xlfn.XLOOKUP(PAA_4[[#This Row],[RCP-RUBRO]],[2]!COMPROMISOS_2024[[#All],[concatenado]],[2]!COMPROMISOS_2024[[#All],[Total Comprometido]],"",0)</f>
        <v>#NAME?</v>
      </c>
      <c r="AL1272" s="47">
        <f>IF(PAA_4[[#This Row],[BOLSA]]=0,0,SUMIFS([2]!COMPROMISOS_2024[[#All],[Total Comprometido]],[2]!COMPROMISOS_2024[[#All],[Bolsa]],PAA_4[[#This Row],[BOLSA]],[2]!COMPROMISOS_2024[[#All],[concatenado]],PAA_4[[#This Row],[RCP-RUBRO]]))</f>
        <v>0</v>
      </c>
    </row>
    <row r="1273" spans="1:38" s="19" customFormat="1" ht="31.5" customHeight="1">
      <c r="A1273" s="47">
        <v>381</v>
      </c>
      <c r="B1273" s="47">
        <v>80111600</v>
      </c>
      <c r="C1273" s="47" t="str">
        <f>VLOOKUP(PAA_4[[#This Row],[PROYECTO (formulado)2]],[2]PROYECTOS!$G$1:$L$32,6,0)</f>
        <v>SUBGERENCIA DE FOMENTO Y DESARROLLO</v>
      </c>
      <c r="D1273" s="47" t="str">
        <f>+IF(PAA_4[[#This Row],[UNIDAD DE CONTRATACION (formulado)]]="Subgerencia Administrativa y Financiera","FUNCIONAMIENTO","INVERSIÓN")</f>
        <v>INVERSIÓN</v>
      </c>
      <c r="E1273" s="48" t="str">
        <f>VLOOKUP(Q1273,[2]PROYECTOS!$G$1:$K$32,5,0)</f>
        <v>FORTALECIMIENTO_DE_LOS_PROGRAMAS_RECREATIVOS_EN_LOS_MUNICIPIOS_DEL_DEPARTAMENTO_DE_ANTIOQUIA</v>
      </c>
      <c r="F1273" s="48">
        <f>VLOOKUP(E1273,[2]PROYECTOS!$K$1:$M$32,3,0)</f>
        <v>2020003050031</v>
      </c>
      <c r="G1273" s="49" t="s">
        <v>335</v>
      </c>
      <c r="H1273" s="49" t="str">
        <f>VLOOKUP(Q1273,[2]PROYECTOS!$V$1:$W$32,2,0)</f>
        <v>050064</v>
      </c>
      <c r="I1273" s="50">
        <v>3095589</v>
      </c>
      <c r="J1273" s="51" t="s">
        <v>328</v>
      </c>
      <c r="K1273" s="47" t="str">
        <f t="shared" ca="1" si="460"/>
        <v>CONTRATADO</v>
      </c>
      <c r="L1273" s="47" t="s">
        <v>94</v>
      </c>
      <c r="M1273" s="47" t="s">
        <v>1297</v>
      </c>
      <c r="N1273" s="52" t="s">
        <v>336</v>
      </c>
      <c r="O1273" s="51" t="e">
        <f>VLOOKUP(N1273,[2]!RUBROS[#All],3,0)</f>
        <v>#REF!</v>
      </c>
      <c r="P1273" s="53" t="e">
        <f>VLOOKUP(N1273,[2]!RUBROS[#All],2,0)</f>
        <v>#REF!</v>
      </c>
      <c r="Q1273" s="47" t="str">
        <f t="shared" si="453"/>
        <v>47</v>
      </c>
      <c r="R1273" s="47" t="str">
        <f t="shared" si="459"/>
        <v>0-205128</v>
      </c>
      <c r="S1273" s="54">
        <v>12</v>
      </c>
      <c r="T1273" s="59" t="s">
        <v>46</v>
      </c>
      <c r="U1273" s="326" t="e">
        <f ca="1">_xlfn.XLOOKUP(PAA_4[[#This Row],[ITEM]],[2]Contrato!A:A,[2]Contrato!Q:Q,"",0)</f>
        <v>#NAME?</v>
      </c>
      <c r="V1273" s="47" t="s">
        <v>47</v>
      </c>
      <c r="W1273" s="47" t="s">
        <v>83</v>
      </c>
      <c r="X1273" s="47" t="s">
        <v>83</v>
      </c>
      <c r="Y1273" s="55" t="e">
        <f ca="1">_xlfn.XLOOKUP(PAA_4[[#This Row],[ITEM]],[2]Contrato!A:A,[2]Contrato!B:B,"",0)</f>
        <v>#NAME?</v>
      </c>
      <c r="Z1273" s="47" t="e">
        <f ca="1">_xlfn.XLOOKUP(PAA_4[[#This Row],[ITEM]],[2]Contrato!A:A,[2]Contrato!G:G,"",0)</f>
        <v>#NAME?</v>
      </c>
      <c r="AA1273" s="47" t="e">
        <f ca="1">_xlfn.XLOOKUP(PAA_4[[#This Row],[ITEM]],[2]Contrato!A:A,[2]Contrato!T:T,"",0)</f>
        <v>#NAME?</v>
      </c>
      <c r="AB1273" s="55" t="e">
        <f ca="1">+MAX(PAA_4[[#This Row],[Comprometido Contrato]],PAA_4[[#This Row],[Comprometido Bolsa]])</f>
        <v>#NAME?</v>
      </c>
      <c r="AC1273" s="55" t="str">
        <f t="shared" ca="1" si="455"/>
        <v/>
      </c>
      <c r="AD1273" s="55" t="e">
        <f ca="1">IF(PAA_4[[#This Row],[ESTADO (formulado)]]="NO CONTRATADO",0,MAX(PAA_4[[#This Row],[Pago por Contrato]],PAA_4[[#This Row],[Pago por bolsa]]))</f>
        <v>#NAME?</v>
      </c>
      <c r="AE1273" s="55" t="str">
        <f t="shared" ca="1" si="461"/>
        <v/>
      </c>
      <c r="AF1273" s="47" t="e">
        <f t="shared" ca="1" si="457"/>
        <v>#NAME?</v>
      </c>
      <c r="AG1273" s="47">
        <f t="shared" si="462"/>
        <v>44021004</v>
      </c>
      <c r="AH1273" s="54">
        <f>IF(Q1273="22",IF(ISNUMBER(SEARCH("econ",PAA_4[[#This Row],[Actividad3]])),"Económico",IF(ISNUMBER(SEARCH("alim",PAA_4[[#This Row],[Actividad3]])),"Alimentación",IF(ISNUMBER(SEARCH("educ",PAA_4[[#This Row],[Actividad3]])),"Educativo","Técnico"))),0)</f>
        <v>0</v>
      </c>
      <c r="AI1273" s="47" t="e" cm="1">
        <f t="array" aca="1" ref="AI1273" ca="1">_xlfn.XLOOKUP(PAA_4[[#This Row],[RCP-RUBRO]],[2]!COMPROMISOS_2024[[#All],[concatenado]],[2]!COMPROMISOS_2024[[#All],[Total pagado]],"",0)</f>
        <v>#NAME?</v>
      </c>
      <c r="AJ1273" s="56">
        <f>IF(PAA_4[[#This Row],[BOLSA]]=0,0,SUMIFS([2]!COMPROMISOS_2024[[#All],[Total pagado]],[2]!COMPROMISOS_2024[[#All],[Bolsa]],PAA_4[[#This Row],[BOLSA]],[2]!COMPROMISOS_2024[[#All],[rubro]],PAA_4[[#This Row],[RCP-RUBRO]]))</f>
        <v>0</v>
      </c>
      <c r="AK1273" s="47" t="e" cm="1">
        <f t="array" aca="1" ref="AK1273" ca="1">_xlfn.XLOOKUP(PAA_4[[#This Row],[RCP-RUBRO]],[2]!COMPROMISOS_2024[[#All],[concatenado]],[2]!COMPROMISOS_2024[[#All],[Total Comprometido]],"",0)</f>
        <v>#NAME?</v>
      </c>
      <c r="AL1273" s="47">
        <f>IF(PAA_4[[#This Row],[BOLSA]]=0,0,SUMIFS([2]!COMPROMISOS_2024[[#All],[Total Comprometido]],[2]!COMPROMISOS_2024[[#All],[Bolsa]],PAA_4[[#This Row],[BOLSA]],[2]!COMPROMISOS_2024[[#All],[concatenado]],PAA_4[[#This Row],[RCP-RUBRO]]))</f>
        <v>0</v>
      </c>
    </row>
    <row r="1274" spans="1:38" s="19" customFormat="1" ht="31.5" customHeight="1">
      <c r="A1274" s="47">
        <v>382</v>
      </c>
      <c r="B1274" s="47">
        <v>80111600</v>
      </c>
      <c r="C1274" s="47" t="str">
        <f>VLOOKUP(PAA_4[[#This Row],[PROYECTO (formulado)2]],[2]PROYECTOS!$G$1:$L$32,6,0)</f>
        <v>SUBGERENCIA DE FOMENTO Y DESARROLLO</v>
      </c>
      <c r="D1274" s="47" t="str">
        <f>+IF(PAA_4[[#This Row],[UNIDAD DE CONTRATACION (formulado)]]="Subgerencia Administrativa y Financiera","FUNCIONAMIENTO","INVERSIÓN")</f>
        <v>INVERSIÓN</v>
      </c>
      <c r="E1274" s="48" t="str">
        <f>VLOOKUP(Q1274,[2]PROYECTOS!$G$1:$K$32,5,0)</f>
        <v>FORTALECIMIENTO_DE_LOS_PROGRAMAS_RECREATIVOS_EN_LOS_MUNICIPIOS_DEL_DEPARTAMENTO_DE_ANTIOQUIA</v>
      </c>
      <c r="F1274" s="48">
        <f>VLOOKUP(E1274,[2]PROYECTOS!$K$1:$M$32,3,0)</f>
        <v>2020003050031</v>
      </c>
      <c r="G1274" s="49" t="s">
        <v>335</v>
      </c>
      <c r="H1274" s="49" t="str">
        <f>VLOOKUP(Q1274,[2]PROYECTOS!$V$1:$W$32,2,0)</f>
        <v>050064</v>
      </c>
      <c r="I1274" s="50">
        <v>0</v>
      </c>
      <c r="J1274" s="51" t="s">
        <v>357</v>
      </c>
      <c r="K1274" s="47" t="str">
        <f t="shared" ca="1" si="460"/>
        <v>CONTRATADO</v>
      </c>
      <c r="L1274" s="47" t="s">
        <v>94</v>
      </c>
      <c r="M1274" s="47" t="s">
        <v>1297</v>
      </c>
      <c r="N1274" s="52" t="s">
        <v>336</v>
      </c>
      <c r="O1274" s="51" t="e">
        <f>VLOOKUP(N1274,[2]!RUBROS[#All],3,0)</f>
        <v>#REF!</v>
      </c>
      <c r="P1274" s="53" t="e">
        <f>VLOOKUP(N1274,[2]!RUBROS[#All],2,0)</f>
        <v>#REF!</v>
      </c>
      <c r="Q1274" s="47" t="str">
        <f t="shared" si="453"/>
        <v>47</v>
      </c>
      <c r="R1274" s="47" t="str">
        <f t="shared" si="459"/>
        <v>0-205128</v>
      </c>
      <c r="S1274" s="54">
        <v>5</v>
      </c>
      <c r="T1274" s="59" t="s">
        <v>46</v>
      </c>
      <c r="U1274" s="326" t="e">
        <f ca="1">_xlfn.XLOOKUP(PAA_4[[#This Row],[ITEM]],[2]Contrato!A:A,[2]Contrato!Q:Q,"",0)</f>
        <v>#NAME?</v>
      </c>
      <c r="V1274" s="47" t="s">
        <v>47</v>
      </c>
      <c r="W1274" s="47" t="s">
        <v>193</v>
      </c>
      <c r="X1274" s="47" t="s">
        <v>193</v>
      </c>
      <c r="Y1274" s="55" t="e">
        <f ca="1">_xlfn.XLOOKUP(PAA_4[[#This Row],[ITEM]],[2]Contrato!A:A,[2]Contrato!B:B,"",0)</f>
        <v>#NAME?</v>
      </c>
      <c r="Z1274" s="47" t="e">
        <f ca="1">_xlfn.XLOOKUP(PAA_4[[#This Row],[ITEM]],[2]Contrato!A:A,[2]Contrato!G:G,"",0)</f>
        <v>#NAME?</v>
      </c>
      <c r="AA1274" s="47" t="e">
        <f ca="1">_xlfn.XLOOKUP(PAA_4[[#This Row],[ITEM]],[2]Contrato!A:A,[2]Contrato!T:T,"",0)</f>
        <v>#NAME?</v>
      </c>
      <c r="AB1274" s="55" t="e">
        <f ca="1">+MAX(PAA_4[[#This Row],[Comprometido Contrato]],PAA_4[[#This Row],[Comprometido Bolsa]])</f>
        <v>#NAME?</v>
      </c>
      <c r="AC1274" s="55" t="str">
        <f t="shared" ca="1" si="455"/>
        <v/>
      </c>
      <c r="AD1274" s="55" t="e">
        <f ca="1">IF(PAA_4[[#This Row],[ESTADO (formulado)]]="NO CONTRATADO",0,MAX(PAA_4[[#This Row],[Pago por Contrato]],PAA_4[[#This Row],[Pago por bolsa]]))</f>
        <v>#NAME?</v>
      </c>
      <c r="AE1274" s="55" t="str">
        <f t="shared" ca="1" si="461"/>
        <v/>
      </c>
      <c r="AF1274" s="47" t="e">
        <f t="shared" ca="1" si="457"/>
        <v>#NAME?</v>
      </c>
      <c r="AG1274" s="47">
        <f t="shared" si="462"/>
        <v>44021004</v>
      </c>
      <c r="AH1274" s="54">
        <f>IF(Q1274="22",IF(ISNUMBER(SEARCH("econ",PAA_4[[#This Row],[Actividad3]])),"Económico",IF(ISNUMBER(SEARCH("alim",PAA_4[[#This Row],[Actividad3]])),"Alimentación",IF(ISNUMBER(SEARCH("educ",PAA_4[[#This Row],[Actividad3]])),"Educativo","Técnico"))),0)</f>
        <v>0</v>
      </c>
      <c r="AI1274" s="47" t="e" cm="1">
        <f t="array" aca="1" ref="AI1274" ca="1">_xlfn.XLOOKUP(PAA_4[[#This Row],[RCP-RUBRO]],[2]!COMPROMISOS_2024[[#All],[concatenado]],[2]!COMPROMISOS_2024[[#All],[Total pagado]],"",0)</f>
        <v>#NAME?</v>
      </c>
      <c r="AJ1274" s="56">
        <f>IF(PAA_4[[#This Row],[BOLSA]]=0,0,SUMIFS([2]!COMPROMISOS_2024[[#All],[Total pagado]],[2]!COMPROMISOS_2024[[#All],[Bolsa]],PAA_4[[#This Row],[BOLSA]],[2]!COMPROMISOS_2024[[#All],[rubro]],PAA_4[[#This Row],[RCP-RUBRO]]))</f>
        <v>0</v>
      </c>
      <c r="AK1274" s="47" t="e" cm="1">
        <f t="array" aca="1" ref="AK1274" ca="1">_xlfn.XLOOKUP(PAA_4[[#This Row],[RCP-RUBRO]],[2]!COMPROMISOS_2024[[#All],[concatenado]],[2]!COMPROMISOS_2024[[#All],[Total Comprometido]],"",0)</f>
        <v>#NAME?</v>
      </c>
      <c r="AL1274" s="47">
        <f>IF(PAA_4[[#This Row],[BOLSA]]=0,0,SUMIFS([2]!COMPROMISOS_2024[[#All],[Total Comprometido]],[2]!COMPROMISOS_2024[[#All],[Bolsa]],PAA_4[[#This Row],[BOLSA]],[2]!COMPROMISOS_2024[[#All],[concatenado]],PAA_4[[#This Row],[RCP-RUBRO]]))</f>
        <v>0</v>
      </c>
    </row>
    <row r="1275" spans="1:38" s="19" customFormat="1" ht="31.5" customHeight="1">
      <c r="A1275" s="47">
        <v>383</v>
      </c>
      <c r="B1275" s="47">
        <v>80111600</v>
      </c>
      <c r="C1275" s="47" t="str">
        <f>VLOOKUP(PAA_4[[#This Row],[PROYECTO (formulado)2]],[2]PROYECTOS!$G$1:$L$32,6,0)</f>
        <v>SUBGERENCIA DE FOMENTO Y DESARROLLO</v>
      </c>
      <c r="D1275" s="47" t="str">
        <f>+IF(PAA_4[[#This Row],[UNIDAD DE CONTRATACION (formulado)]]="Subgerencia Administrativa y Financiera","FUNCIONAMIENTO","INVERSIÓN")</f>
        <v>INVERSIÓN</v>
      </c>
      <c r="E1275" s="48" t="str">
        <f>VLOOKUP(Q1275,[2]PROYECTOS!$G$1:$K$32,5,0)</f>
        <v>FORTALECIMIENTO_DE_LOS_PROGRAMAS_RECREATIVOS_EN_LOS_MUNICIPIOS_DEL_DEPARTAMENTO_DE_ANTIOQUIA</v>
      </c>
      <c r="F1275" s="48">
        <f>VLOOKUP(E1275,[2]PROYECTOS!$K$1:$M$32,3,0)</f>
        <v>2020003050031</v>
      </c>
      <c r="G1275" s="49" t="s">
        <v>335</v>
      </c>
      <c r="H1275" s="49" t="str">
        <f>VLOOKUP(Q1275,[2]PROYECTOS!$V$1:$W$32,2,0)</f>
        <v>050064</v>
      </c>
      <c r="I1275" s="50">
        <v>0</v>
      </c>
      <c r="J1275" s="51" t="s">
        <v>357</v>
      </c>
      <c r="K1275" s="47" t="str">
        <f t="shared" ca="1" si="460"/>
        <v>CONTRATADO</v>
      </c>
      <c r="L1275" s="47" t="s">
        <v>94</v>
      </c>
      <c r="M1275" s="47" t="s">
        <v>1297</v>
      </c>
      <c r="N1275" s="52" t="s">
        <v>336</v>
      </c>
      <c r="O1275" s="51" t="e">
        <f>VLOOKUP(N1275,[2]!RUBROS[#All],3,0)</f>
        <v>#REF!</v>
      </c>
      <c r="P1275" s="53" t="e">
        <f>VLOOKUP(N1275,[2]!RUBROS[#All],2,0)</f>
        <v>#REF!</v>
      </c>
      <c r="Q1275" s="47" t="str">
        <f t="shared" si="453"/>
        <v>47</v>
      </c>
      <c r="R1275" s="47" t="str">
        <f t="shared" si="459"/>
        <v>0-205128</v>
      </c>
      <c r="S1275" s="54">
        <v>5</v>
      </c>
      <c r="T1275" s="59" t="s">
        <v>46</v>
      </c>
      <c r="U1275" s="326" t="e">
        <f ca="1">_xlfn.XLOOKUP(PAA_4[[#This Row],[ITEM]],[2]Contrato!A:A,[2]Contrato!Q:Q,"",0)</f>
        <v>#NAME?</v>
      </c>
      <c r="V1275" s="47" t="s">
        <v>47</v>
      </c>
      <c r="W1275" s="47" t="s">
        <v>193</v>
      </c>
      <c r="X1275" s="47" t="s">
        <v>193</v>
      </c>
      <c r="Y1275" s="55" t="e">
        <f ca="1">_xlfn.XLOOKUP(PAA_4[[#This Row],[ITEM]],[2]Contrato!A:A,[2]Contrato!B:B,"",0)</f>
        <v>#NAME?</v>
      </c>
      <c r="Z1275" s="47" t="e">
        <f ca="1">_xlfn.XLOOKUP(PAA_4[[#This Row],[ITEM]],[2]Contrato!A:A,[2]Contrato!G:G,"",0)</f>
        <v>#NAME?</v>
      </c>
      <c r="AA1275" s="47" t="e">
        <f ca="1">_xlfn.XLOOKUP(PAA_4[[#This Row],[ITEM]],[2]Contrato!A:A,[2]Contrato!T:T,"",0)</f>
        <v>#NAME?</v>
      </c>
      <c r="AB1275" s="55" t="e">
        <f ca="1">+MAX(PAA_4[[#This Row],[Comprometido Contrato]],PAA_4[[#This Row],[Comprometido Bolsa]])</f>
        <v>#NAME?</v>
      </c>
      <c r="AC1275" s="55" t="str">
        <f t="shared" ca="1" si="455"/>
        <v/>
      </c>
      <c r="AD1275" s="55" t="e">
        <f ca="1">IF(PAA_4[[#This Row],[ESTADO (formulado)]]="NO CONTRATADO",0,MAX(PAA_4[[#This Row],[Pago por Contrato]],PAA_4[[#This Row],[Pago por bolsa]]))</f>
        <v>#NAME?</v>
      </c>
      <c r="AE1275" s="55" t="str">
        <f t="shared" ca="1" si="461"/>
        <v/>
      </c>
      <c r="AF1275" s="47" t="e">
        <f t="shared" ca="1" si="457"/>
        <v>#NAME?</v>
      </c>
      <c r="AG1275" s="47">
        <f t="shared" si="462"/>
        <v>44021004</v>
      </c>
      <c r="AH1275" s="54">
        <f>IF(Q1275="22",IF(ISNUMBER(SEARCH("econ",PAA_4[[#This Row],[Actividad3]])),"Económico",IF(ISNUMBER(SEARCH("alim",PAA_4[[#This Row],[Actividad3]])),"Alimentación",IF(ISNUMBER(SEARCH("educ",PAA_4[[#This Row],[Actividad3]])),"Educativo","Técnico"))),0)</f>
        <v>0</v>
      </c>
      <c r="AI1275" s="47" t="e" cm="1">
        <f t="array" aca="1" ref="AI1275" ca="1">_xlfn.XLOOKUP(PAA_4[[#This Row],[RCP-RUBRO]],[2]!COMPROMISOS_2024[[#All],[concatenado]],[2]!COMPROMISOS_2024[[#All],[Total pagado]],"",0)</f>
        <v>#NAME?</v>
      </c>
      <c r="AJ1275" s="56">
        <f>IF(PAA_4[[#This Row],[BOLSA]]=0,0,SUMIFS([2]!COMPROMISOS_2024[[#All],[Total pagado]],[2]!COMPROMISOS_2024[[#All],[Bolsa]],PAA_4[[#This Row],[BOLSA]],[2]!COMPROMISOS_2024[[#All],[rubro]],PAA_4[[#This Row],[RCP-RUBRO]]))</f>
        <v>0</v>
      </c>
      <c r="AK1275" s="47" t="e" cm="1">
        <f t="array" aca="1" ref="AK1275" ca="1">_xlfn.XLOOKUP(PAA_4[[#This Row],[RCP-RUBRO]],[2]!COMPROMISOS_2024[[#All],[concatenado]],[2]!COMPROMISOS_2024[[#All],[Total Comprometido]],"",0)</f>
        <v>#NAME?</v>
      </c>
      <c r="AL1275" s="47">
        <f>IF(PAA_4[[#This Row],[BOLSA]]=0,0,SUMIFS([2]!COMPROMISOS_2024[[#All],[Total Comprometido]],[2]!COMPROMISOS_2024[[#All],[Bolsa]],PAA_4[[#This Row],[BOLSA]],[2]!COMPROMISOS_2024[[#All],[concatenado]],PAA_4[[#This Row],[RCP-RUBRO]]))</f>
        <v>0</v>
      </c>
    </row>
    <row r="1276" spans="1:38" s="19" customFormat="1" ht="31.5" customHeight="1">
      <c r="A1276" s="47">
        <v>384</v>
      </c>
      <c r="B1276" s="47">
        <v>80111600</v>
      </c>
      <c r="C1276" s="47" t="str">
        <f>VLOOKUP(PAA_4[[#This Row],[PROYECTO (formulado)2]],[2]PROYECTOS!$G$1:$L$32,6,0)</f>
        <v>SUBGERENCIA DE FOMENTO Y DESARROLLO</v>
      </c>
      <c r="D1276" s="47" t="str">
        <f>+IF(PAA_4[[#This Row],[UNIDAD DE CONTRATACION (formulado)]]="Subgerencia Administrativa y Financiera","FUNCIONAMIENTO","INVERSIÓN")</f>
        <v>INVERSIÓN</v>
      </c>
      <c r="E1276" s="48" t="str">
        <f>VLOOKUP(Q1276,[2]PROYECTOS!$G$1:$K$32,5,0)</f>
        <v>FORTALECIMIENTO_DE_LOS_PROGRAMAS_RECREATIVOS_EN_LOS_MUNICIPIOS_DEL_DEPARTAMENTO_DE_ANTIOQUIA</v>
      </c>
      <c r="F1276" s="48">
        <f>VLOOKUP(E1276,[2]PROYECTOS!$K$1:$M$32,3,0)</f>
        <v>2020003050031</v>
      </c>
      <c r="G1276" s="49" t="s">
        <v>335</v>
      </c>
      <c r="H1276" s="49" t="str">
        <f>VLOOKUP(Q1276,[2]PROYECTOS!$V$1:$W$32,2,0)</f>
        <v>050064</v>
      </c>
      <c r="I1276" s="50">
        <v>0</v>
      </c>
      <c r="J1276" s="70" t="s">
        <v>344</v>
      </c>
      <c r="K1276" s="47" t="str">
        <f t="shared" ca="1" si="460"/>
        <v>CONTRATADO</v>
      </c>
      <c r="L1276" s="47" t="s">
        <v>344</v>
      </c>
      <c r="M1276" s="47" t="s">
        <v>344</v>
      </c>
      <c r="N1276" s="52" t="s">
        <v>336</v>
      </c>
      <c r="O1276" s="51" t="e">
        <f>VLOOKUP(N1276,[2]!RUBROS[#All],3,0)</f>
        <v>#REF!</v>
      </c>
      <c r="P1276" s="53" t="e">
        <f>VLOOKUP(N1276,[2]!RUBROS[#All],2,0)</f>
        <v>#REF!</v>
      </c>
      <c r="Q1276" s="47" t="str">
        <f t="shared" si="453"/>
        <v>47</v>
      </c>
      <c r="R1276" s="47" t="str">
        <f t="shared" si="459"/>
        <v>0-205128</v>
      </c>
      <c r="S1276" s="54">
        <v>10.5</v>
      </c>
      <c r="T1276" s="59" t="s">
        <v>46</v>
      </c>
      <c r="U1276" s="326" t="e">
        <f ca="1">_xlfn.XLOOKUP(PAA_4[[#This Row],[ITEM]],[2]Contrato!A:A,[2]Contrato!Q:Q,"",0)</f>
        <v>#NAME?</v>
      </c>
      <c r="V1276" s="47" t="s">
        <v>47</v>
      </c>
      <c r="W1276" s="47" t="s">
        <v>91</v>
      </c>
      <c r="X1276" s="47" t="s">
        <v>91</v>
      </c>
      <c r="Y1276" s="55" t="e">
        <f ca="1">_xlfn.XLOOKUP(PAA_4[[#This Row],[ITEM]],[2]Contrato!A:A,[2]Contrato!B:B,"",0)</f>
        <v>#NAME?</v>
      </c>
      <c r="Z1276" s="47" t="e">
        <f ca="1">_xlfn.XLOOKUP(PAA_4[[#This Row],[ITEM]],[2]Contrato!A:A,[2]Contrato!G:G,"",0)</f>
        <v>#NAME?</v>
      </c>
      <c r="AA1276" s="47" t="e">
        <f ca="1">_xlfn.XLOOKUP(PAA_4[[#This Row],[ITEM]],[2]Contrato!A:A,[2]Contrato!T:T,"",0)</f>
        <v>#NAME?</v>
      </c>
      <c r="AB1276" s="55" t="e">
        <f ca="1">+MAX(PAA_4[[#This Row],[Comprometido Contrato]],PAA_4[[#This Row],[Comprometido Bolsa]])</f>
        <v>#NAME?</v>
      </c>
      <c r="AC1276" s="55" t="str">
        <f t="shared" ca="1" si="455"/>
        <v/>
      </c>
      <c r="AD1276" s="55" t="e">
        <f ca="1">IF(PAA_4[[#This Row],[ESTADO (formulado)]]="NO CONTRATADO",0,MAX(PAA_4[[#This Row],[Pago por Contrato]],PAA_4[[#This Row],[Pago por bolsa]]))</f>
        <v>#NAME?</v>
      </c>
      <c r="AE1276" s="55" t="str">
        <f t="shared" ca="1" si="461"/>
        <v/>
      </c>
      <c r="AF1276" s="47" t="e">
        <f t="shared" ca="1" si="457"/>
        <v>#NAME?</v>
      </c>
      <c r="AG1276" s="47">
        <f t="shared" si="462"/>
        <v>44021004</v>
      </c>
      <c r="AH1276" s="54">
        <f>IF(Q1276="22",IF(ISNUMBER(SEARCH("econ",PAA_4[[#This Row],[Actividad3]])),"Económico",IF(ISNUMBER(SEARCH("alim",PAA_4[[#This Row],[Actividad3]])),"Alimentación",IF(ISNUMBER(SEARCH("educ",PAA_4[[#This Row],[Actividad3]])),"Educativo","Técnico"))),0)</f>
        <v>0</v>
      </c>
      <c r="AI1276" s="47" t="e" cm="1">
        <f t="array" aca="1" ref="AI1276" ca="1">_xlfn.XLOOKUP(PAA_4[[#This Row],[RCP-RUBRO]],[2]!COMPROMISOS_2024[[#All],[concatenado]],[2]!COMPROMISOS_2024[[#All],[Total pagado]],"",0)</f>
        <v>#NAME?</v>
      </c>
      <c r="AJ1276" s="56">
        <f>IF(PAA_4[[#This Row],[BOLSA]]=0,0,SUMIFS([2]!COMPROMISOS_2024[[#All],[Total pagado]],[2]!COMPROMISOS_2024[[#All],[Bolsa]],PAA_4[[#This Row],[BOLSA]],[2]!COMPROMISOS_2024[[#All],[rubro]],PAA_4[[#This Row],[RCP-RUBRO]]))</f>
        <v>0</v>
      </c>
      <c r="AK1276" s="47" t="e" cm="1">
        <f t="array" aca="1" ref="AK1276" ca="1">_xlfn.XLOOKUP(PAA_4[[#This Row],[RCP-RUBRO]],[2]!COMPROMISOS_2024[[#All],[concatenado]],[2]!COMPROMISOS_2024[[#All],[Total Comprometido]],"",0)</f>
        <v>#NAME?</v>
      </c>
      <c r="AL1276" s="47">
        <f>IF(PAA_4[[#This Row],[BOLSA]]=0,0,SUMIFS([2]!COMPROMISOS_2024[[#All],[Total Comprometido]],[2]!COMPROMISOS_2024[[#All],[Bolsa]],PAA_4[[#This Row],[BOLSA]],[2]!COMPROMISOS_2024[[#All],[concatenado]],PAA_4[[#This Row],[RCP-RUBRO]]))</f>
        <v>0</v>
      </c>
    </row>
    <row r="1277" spans="1:38" s="19" customFormat="1" ht="31.5" customHeight="1">
      <c r="A1277" s="47" t="s">
        <v>1869</v>
      </c>
      <c r="B1277" s="362" t="s">
        <v>380</v>
      </c>
      <c r="C1277" s="47" t="str">
        <f>VLOOKUP(PAA_4[[#This Row],[PROYECTO (formulado)2]],[2]PROYECTOS!$G$1:$L$32,6,0)</f>
        <v>SUBGERENCIA DE FOMENTO Y DESARROLLO</v>
      </c>
      <c r="D1277" s="47" t="str">
        <f>+IF(PAA_4[[#This Row],[UNIDAD DE CONTRATACION (formulado)]]="Subgerencia Administrativa y Financiera","FUNCIONAMIENTO","INVERSIÓN")</f>
        <v>INVERSIÓN</v>
      </c>
      <c r="E1277" s="48" t="str">
        <f>VLOOKUP(Q1277,[2]PROYECTOS!$G$1:$K$32,5,0)</f>
        <v>FORTALECIMIENTO_DE_LOS_PROGRAMAS_RECREATIVOS_EN_LOS_MUNICIPIOS_DEL_DEPARTAMENTO_DE_ANTIOQUIA</v>
      </c>
      <c r="F1277" s="48">
        <f>VLOOKUP(E1277,[2]PROYECTOS!$K$1:$M$32,3,0)</f>
        <v>2020003050031</v>
      </c>
      <c r="G1277" s="49" t="s">
        <v>381</v>
      </c>
      <c r="H1277" s="49" t="str">
        <f>VLOOKUP(Q1277,[2]PROYECTOS!$V$1:$W$32,2,0)</f>
        <v>050064</v>
      </c>
      <c r="I1277" s="50">
        <v>570000000</v>
      </c>
      <c r="J1277" s="74" t="s">
        <v>321</v>
      </c>
      <c r="K1277" s="47" t="str">
        <f t="shared" ca="1" si="460"/>
        <v>CONTRATADO</v>
      </c>
      <c r="L1277" s="47" t="s">
        <v>264</v>
      </c>
      <c r="M1277" s="47" t="s">
        <v>107</v>
      </c>
      <c r="N1277" s="52" t="s">
        <v>382</v>
      </c>
      <c r="O1277" s="51" t="e">
        <f>VLOOKUP(N1277,[2]!RUBROS[#All],3,0)</f>
        <v>#REF!</v>
      </c>
      <c r="P1277" s="53" t="e">
        <f>VLOOKUP(N1277,[2]!RUBROS[#All],2,0)</f>
        <v>#REF!</v>
      </c>
      <c r="Q1277" s="47" t="str">
        <f t="shared" si="453"/>
        <v>47</v>
      </c>
      <c r="R1277" s="47" t="str">
        <f t="shared" si="459"/>
        <v>0-205128</v>
      </c>
      <c r="S1277" s="54">
        <v>9</v>
      </c>
      <c r="T1277" s="59" t="s">
        <v>46</v>
      </c>
      <c r="U1277" s="326" t="e">
        <f ca="1">_xlfn.XLOOKUP(PAA_4[[#This Row],[ITEM]],[2]Contrato!A:A,[2]Contrato!Q:Q,"",0)</f>
        <v>#NAME?</v>
      </c>
      <c r="V1277" s="47" t="s">
        <v>47</v>
      </c>
      <c r="W1277" s="47" t="s">
        <v>96</v>
      </c>
      <c r="X1277" s="47" t="s">
        <v>96</v>
      </c>
      <c r="Y1277" s="55" t="e">
        <f ca="1">_xlfn.XLOOKUP(PAA_4[[#This Row],[ITEM]],[2]Contrato!A:A,[2]Contrato!B:B,"",0)</f>
        <v>#NAME?</v>
      </c>
      <c r="Z1277" s="47" t="e">
        <f ca="1">_xlfn.XLOOKUP(PAA_4[[#This Row],[ITEM]],[2]Contrato!A:A,[2]Contrato!G:G,"",0)</f>
        <v>#NAME?</v>
      </c>
      <c r="AA1277" s="47" t="e">
        <f ca="1">_xlfn.XLOOKUP(PAA_4[[#This Row],[ITEM]],[2]Contrato!A:A,[2]Contrato!T:T,"",0)</f>
        <v>#NAME?</v>
      </c>
      <c r="AB1277" s="55" t="e">
        <f ca="1">+MAX(PAA_4[[#This Row],[Comprometido Contrato]],PAA_4[[#This Row],[Comprometido Bolsa]])</f>
        <v>#NAME?</v>
      </c>
      <c r="AC1277" s="55" t="str">
        <f t="shared" ca="1" si="455"/>
        <v/>
      </c>
      <c r="AD1277" s="55" t="e">
        <f ca="1">IF(PAA_4[[#This Row],[ESTADO (formulado)]]="NO CONTRATADO",0,MAX(PAA_4[[#This Row],[Pago por Contrato]],PAA_4[[#This Row],[Pago por bolsa]]))</f>
        <v>#NAME?</v>
      </c>
      <c r="AE1277" s="55" t="str">
        <f t="shared" ca="1" si="461"/>
        <v/>
      </c>
      <c r="AF1277" s="47" t="e">
        <f t="shared" ca="1" si="457"/>
        <v>#NAME?</v>
      </c>
      <c r="AG1277" s="47">
        <f t="shared" si="462"/>
        <v>44021005</v>
      </c>
      <c r="AH1277" s="54">
        <f>IF(Q1277="22",IF(ISNUMBER(SEARCH("econ",PAA_4[[#This Row],[Actividad3]])),"Económico",IF(ISNUMBER(SEARCH("alim",PAA_4[[#This Row],[Actividad3]])),"Alimentación",IF(ISNUMBER(SEARCH("educ",PAA_4[[#This Row],[Actividad3]])),"Educativo","Técnico"))),0)</f>
        <v>0</v>
      </c>
      <c r="AI1277" s="47" t="e" cm="1">
        <f t="array" aca="1" ref="AI1277" ca="1">_xlfn.XLOOKUP(PAA_4[[#This Row],[RCP-RUBRO]],[2]!COMPROMISOS_2024[[#All],[concatenado]],[2]!COMPROMISOS_2024[[#All],[Total pagado]],"",0)</f>
        <v>#NAME?</v>
      </c>
      <c r="AJ1277" s="56">
        <f>IF(PAA_4[[#This Row],[BOLSA]]=0,0,SUMIFS([2]!COMPROMISOS_2024[[#All],[Total pagado]],[2]!COMPROMISOS_2024[[#All],[Bolsa]],PAA_4[[#This Row],[BOLSA]],[2]!COMPROMISOS_2024[[#All],[rubro]],PAA_4[[#This Row],[RCP-RUBRO]]))</f>
        <v>0</v>
      </c>
      <c r="AK1277" s="47" t="e" cm="1">
        <f t="array" aca="1" ref="AK1277" ca="1">_xlfn.XLOOKUP(PAA_4[[#This Row],[RCP-RUBRO]],[2]!COMPROMISOS_2024[[#All],[concatenado]],[2]!COMPROMISOS_2024[[#All],[Total Comprometido]],"",0)</f>
        <v>#NAME?</v>
      </c>
      <c r="AL1277" s="47">
        <f>IF(PAA_4[[#This Row],[BOLSA]]=0,0,SUMIFS([2]!COMPROMISOS_2024[[#All],[Total Comprometido]],[2]!COMPROMISOS_2024[[#All],[Bolsa]],PAA_4[[#This Row],[BOLSA]],[2]!COMPROMISOS_2024[[#All],[concatenado]],PAA_4[[#This Row],[RCP-RUBRO]]))</f>
        <v>0</v>
      </c>
    </row>
    <row r="1278" spans="1:38" s="19" customFormat="1" ht="31.5" customHeight="1">
      <c r="A1278" s="47">
        <v>634</v>
      </c>
      <c r="B1278" s="362" t="s">
        <v>380</v>
      </c>
      <c r="C1278" s="47" t="str">
        <f>VLOOKUP(PAA_4[[#This Row],[PROYECTO (formulado)2]],[2]PROYECTOS!$G$1:$L$32,6,0)</f>
        <v>SUBGERENCIA DE FOMENTO Y DESARROLLO</v>
      </c>
      <c r="D1278" s="47" t="str">
        <f>+IF(PAA_4[[#This Row],[UNIDAD DE CONTRATACION (formulado)]]="Subgerencia Administrativa y Financiera","FUNCIONAMIENTO","INVERSIÓN")</f>
        <v>INVERSIÓN</v>
      </c>
      <c r="E1278" s="48" t="str">
        <f>VLOOKUP(Q1278,[2]PROYECTOS!$G$1:$K$32,5,0)</f>
        <v>FORTALECIMIENTO_DE_LOS_PROGRAMAS_RECREATIVOS_EN_LOS_MUNICIPIOS_DEL_DEPARTAMENTO_DE_ANTIOQUIA</v>
      </c>
      <c r="F1278" s="48">
        <f>VLOOKUP(E1278,[2]PROYECTOS!$K$1:$M$32,3,0)</f>
        <v>2020003050031</v>
      </c>
      <c r="G1278" s="49" t="s">
        <v>381</v>
      </c>
      <c r="H1278" s="49" t="str">
        <f>VLOOKUP(Q1278,[2]PROYECTOS!$V$1:$W$32,2,0)</f>
        <v>050064</v>
      </c>
      <c r="I1278" s="50">
        <v>0</v>
      </c>
      <c r="J1278" s="74" t="s">
        <v>321</v>
      </c>
      <c r="K1278" s="47" t="str">
        <f t="shared" ca="1" si="460"/>
        <v>CONTRATADO</v>
      </c>
      <c r="L1278" s="47" t="s">
        <v>264</v>
      </c>
      <c r="M1278" s="47" t="s">
        <v>107</v>
      </c>
      <c r="N1278" s="52" t="s">
        <v>382</v>
      </c>
      <c r="O1278" s="51" t="e">
        <f>VLOOKUP(N1278,[2]!RUBROS[#All],3,0)</f>
        <v>#REF!</v>
      </c>
      <c r="P1278" s="53" t="e">
        <f>VLOOKUP(N1278,[2]!RUBROS[#All],2,0)</f>
        <v>#REF!</v>
      </c>
      <c r="Q1278" s="47" t="str">
        <f t="shared" ref="Q1278:Q1281" si="463">+MID(N1278,11,2)</f>
        <v>47</v>
      </c>
      <c r="R1278" s="47" t="str">
        <f t="shared" si="459"/>
        <v>0-205128</v>
      </c>
      <c r="S1278" s="54">
        <v>9</v>
      </c>
      <c r="T1278" s="59" t="s">
        <v>46</v>
      </c>
      <c r="U1278" s="326" t="e">
        <f ca="1">_xlfn.XLOOKUP(PAA_4[[#This Row],[ITEM]],[2]Contrato!A:A,[2]Contrato!Q:Q,"",0)</f>
        <v>#NAME?</v>
      </c>
      <c r="V1278" s="47" t="s">
        <v>47</v>
      </c>
      <c r="W1278" s="47" t="s">
        <v>96</v>
      </c>
      <c r="X1278" s="47" t="s">
        <v>96</v>
      </c>
      <c r="Y1278" s="55" t="e">
        <f ca="1">_xlfn.XLOOKUP(PAA_4[[#This Row],[ITEM]],[2]Contrato!A:A,[2]Contrato!B:B,"",0)</f>
        <v>#NAME?</v>
      </c>
      <c r="Z1278" s="47" t="e">
        <f ca="1">_xlfn.XLOOKUP(PAA_4[[#This Row],[ITEM]],[2]Contrato!A:A,[2]Contrato!G:G,"",0)</f>
        <v>#NAME?</v>
      </c>
      <c r="AA1278" s="47" t="e">
        <f ca="1">_xlfn.XLOOKUP(PAA_4[[#This Row],[ITEM]],[2]Contrato!A:A,[2]Contrato!T:T,"",0)</f>
        <v>#NAME?</v>
      </c>
      <c r="AB1278" s="55" t="e">
        <f ca="1">+MAX(PAA_4[[#This Row],[Comprometido Contrato]],PAA_4[[#This Row],[Comprometido Bolsa]])</f>
        <v>#NAME?</v>
      </c>
      <c r="AC1278" s="55" t="str">
        <f t="shared" ref="AC1278:AC1281" ca="1" si="464">IFERROR(I1278-AB1278,"")</f>
        <v/>
      </c>
      <c r="AD1278" s="55" t="e">
        <f ca="1">IF(PAA_4[[#This Row],[ESTADO (formulado)]]="NO CONTRATADO",0,MAX(PAA_4[[#This Row],[Pago por Contrato]],PAA_4[[#This Row],[Pago por bolsa]]))</f>
        <v>#NAME?</v>
      </c>
      <c r="AE1278" s="55" t="str">
        <f t="shared" ca="1" si="461"/>
        <v/>
      </c>
      <c r="AF1278" s="47" t="e">
        <f t="shared" ref="AF1278:AF1281" ca="1" si="465">+CONCATENATE(AA1278,N1278)</f>
        <v>#NAME?</v>
      </c>
      <c r="AG1278" s="47">
        <f t="shared" si="462"/>
        <v>44021005</v>
      </c>
      <c r="AH1278" s="54">
        <f>IF(Q1278="22",IF(ISNUMBER(SEARCH("econ",PAA_4[[#This Row],[Actividad3]])),"Económico",IF(ISNUMBER(SEARCH("alim",PAA_4[[#This Row],[Actividad3]])),"Alimentación",IF(ISNUMBER(SEARCH("educ",PAA_4[[#This Row],[Actividad3]])),"Educativo","Técnico"))),0)</f>
        <v>0</v>
      </c>
      <c r="AI1278" s="47" t="e" cm="1">
        <f t="array" aca="1" ref="AI1278" ca="1">_xlfn.XLOOKUP(PAA_4[[#This Row],[RCP-RUBRO]],[2]!COMPROMISOS_2024[[#All],[concatenado]],[2]!COMPROMISOS_2024[[#All],[Total pagado]],"",0)</f>
        <v>#NAME?</v>
      </c>
      <c r="AJ1278" s="56">
        <f>IF(PAA_4[[#This Row],[BOLSA]]=0,0,SUMIFS([2]!COMPROMISOS_2024[[#All],[Total pagado]],[2]!COMPROMISOS_2024[[#All],[Bolsa]],PAA_4[[#This Row],[BOLSA]],[2]!COMPROMISOS_2024[[#All],[rubro]],PAA_4[[#This Row],[RCP-RUBRO]]))</f>
        <v>0</v>
      </c>
      <c r="AK1278" s="47" t="e" cm="1">
        <f t="array" aca="1" ref="AK1278" ca="1">_xlfn.XLOOKUP(PAA_4[[#This Row],[RCP-RUBRO]],[2]!COMPROMISOS_2024[[#All],[concatenado]],[2]!COMPROMISOS_2024[[#All],[Total Comprometido]],"",0)</f>
        <v>#NAME?</v>
      </c>
      <c r="AL1278" s="47">
        <f>IF(PAA_4[[#This Row],[BOLSA]]=0,0,SUMIFS([2]!COMPROMISOS_2024[[#All],[Total Comprometido]],[2]!COMPROMISOS_2024[[#All],[Bolsa]],PAA_4[[#This Row],[BOLSA]],[2]!COMPROMISOS_2024[[#All],[concatenado]],PAA_4[[#This Row],[RCP-RUBRO]]))</f>
        <v>0</v>
      </c>
    </row>
    <row r="1279" spans="1:38" s="19" customFormat="1" ht="31.5" customHeight="1">
      <c r="A1279" s="47" t="s">
        <v>82</v>
      </c>
      <c r="B1279" s="74">
        <v>80141607</v>
      </c>
      <c r="C1279" s="47" t="str">
        <f>VLOOKUP(PAA_4[[#This Row],[PROYECTO (formulado)2]],[2]PROYECTOS!$G$1:$L$32,6,0)</f>
        <v>SUBGERENCIA DE FOMENTO Y DESARROLLO</v>
      </c>
      <c r="D1279" s="47" t="str">
        <f>+IF(PAA_4[[#This Row],[UNIDAD DE CONTRATACION (formulado)]]="Subgerencia Administrativa y Financiera","FUNCIONAMIENTO","INVERSIÓN")</f>
        <v>INVERSIÓN</v>
      </c>
      <c r="E1279" s="48" t="str">
        <f>VLOOKUP(Q1279,[2]PROYECTOS!$G$1:$K$32,5,0)</f>
        <v>FORTALECIMIENTO_DE_LOS_PROGRAMAS_RECREATIVOS_EN_LOS_MUNICIPIOS_DEL_DEPARTAMENTO_DE_ANTIOQUIA</v>
      </c>
      <c r="F1279" s="48">
        <f>VLOOKUP(E1279,[2]PROYECTOS!$K$1:$M$32,3,0)</f>
        <v>2020003050031</v>
      </c>
      <c r="G1279" s="49" t="s">
        <v>367</v>
      </c>
      <c r="H1279" s="49" t="str">
        <f>VLOOKUP(Q1279,[2]PROYECTOS!$V$1:$W$32,2,0)</f>
        <v>050064</v>
      </c>
      <c r="I1279" s="50">
        <v>0</v>
      </c>
      <c r="J1279" s="74" t="s">
        <v>383</v>
      </c>
      <c r="K1279" s="47" t="str">
        <f t="shared" ca="1" si="460"/>
        <v>CONTRATADO</v>
      </c>
      <c r="L1279" s="47" t="s">
        <v>94</v>
      </c>
      <c r="M1279" s="47" t="s">
        <v>384</v>
      </c>
      <c r="N1279" s="52" t="s">
        <v>355</v>
      </c>
      <c r="O1279" s="51" t="e">
        <f>VLOOKUP(N1279,[2]!RUBROS[#All],3,0)</f>
        <v>#REF!</v>
      </c>
      <c r="P1279" s="53" t="e">
        <f>VLOOKUP(N1279,[2]!RUBROS[#All],2,0)</f>
        <v>#REF!</v>
      </c>
      <c r="Q1279" s="47" t="str">
        <f t="shared" si="463"/>
        <v>47</v>
      </c>
      <c r="R1279" s="47" t="str">
        <f t="shared" si="459"/>
        <v>0-205128</v>
      </c>
      <c r="S1279" s="54">
        <v>8</v>
      </c>
      <c r="T1279" s="59" t="s">
        <v>46</v>
      </c>
      <c r="U1279" s="326" t="e">
        <f ca="1">_xlfn.XLOOKUP(PAA_4[[#This Row],[ITEM]],[2]Contrato!A:A,[2]Contrato!Q:Q,"",0)</f>
        <v>#NAME?</v>
      </c>
      <c r="V1279" s="47" t="s">
        <v>47</v>
      </c>
      <c r="W1279" s="47" t="s">
        <v>122</v>
      </c>
      <c r="X1279" s="47" t="s">
        <v>122</v>
      </c>
      <c r="Y1279" s="55" t="e">
        <f ca="1">_xlfn.XLOOKUP(PAA_4[[#This Row],[ITEM]],[2]Contrato!A:A,[2]Contrato!B:B,"",0)</f>
        <v>#NAME?</v>
      </c>
      <c r="Z1279" s="47" t="e">
        <f ca="1">_xlfn.XLOOKUP(PAA_4[[#This Row],[ITEM]],[2]Contrato!A:A,[2]Contrato!G:G,"",0)</f>
        <v>#NAME?</v>
      </c>
      <c r="AA1279" s="47" t="e">
        <f ca="1">_xlfn.XLOOKUP(PAA_4[[#This Row],[ITEM]],[2]Contrato!A:A,[2]Contrato!T:T,"",0)</f>
        <v>#NAME?</v>
      </c>
      <c r="AB1279" s="55" t="e">
        <f ca="1">+MAX(PAA_4[[#This Row],[Comprometido Contrato]],PAA_4[[#This Row],[Comprometido Bolsa]])</f>
        <v>#NAME?</v>
      </c>
      <c r="AC1279" s="55" t="str">
        <f t="shared" ca="1" si="464"/>
        <v/>
      </c>
      <c r="AD1279" s="55" t="e">
        <f ca="1">IF(PAA_4[[#This Row],[ESTADO (formulado)]]="NO CONTRATADO",0,MAX(PAA_4[[#This Row],[Pago por Contrato]],PAA_4[[#This Row],[Pago por bolsa]]))</f>
        <v>#NAME?</v>
      </c>
      <c r="AE1279" s="55" t="str">
        <f t="shared" ca="1" si="461"/>
        <v/>
      </c>
      <c r="AF1279" s="47" t="e">
        <f t="shared" ca="1" si="465"/>
        <v>#NAME?</v>
      </c>
      <c r="AG1279" s="47">
        <f t="shared" si="462"/>
        <v>44021006</v>
      </c>
      <c r="AH1279" s="54">
        <f>IF(Q1279="22",IF(ISNUMBER(SEARCH("econ",PAA_4[[#This Row],[Actividad3]])),"Económico",IF(ISNUMBER(SEARCH("alim",PAA_4[[#This Row],[Actividad3]])),"Alimentación",IF(ISNUMBER(SEARCH("educ",PAA_4[[#This Row],[Actividad3]])),"Educativo","Técnico"))),0)</f>
        <v>0</v>
      </c>
      <c r="AI1279" s="47" t="e" cm="1">
        <f t="array" aca="1" ref="AI1279" ca="1">_xlfn.XLOOKUP(PAA_4[[#This Row],[RCP-RUBRO]],[2]!COMPROMISOS_2024[[#All],[concatenado]],[2]!COMPROMISOS_2024[[#All],[Total pagado]],"",0)</f>
        <v>#NAME?</v>
      </c>
      <c r="AJ1279" s="56">
        <f>IF(PAA_4[[#This Row],[BOLSA]]=0,0,SUMIFS([2]!COMPROMISOS_2024[[#All],[Total pagado]],[2]!COMPROMISOS_2024[[#All],[Bolsa]],PAA_4[[#This Row],[BOLSA]],[2]!COMPROMISOS_2024[[#All],[rubro]],PAA_4[[#This Row],[RCP-RUBRO]]))</f>
        <v>0</v>
      </c>
      <c r="AK1279" s="47" t="e" cm="1">
        <f t="array" aca="1" ref="AK1279" ca="1">_xlfn.XLOOKUP(PAA_4[[#This Row],[RCP-RUBRO]],[2]!COMPROMISOS_2024[[#All],[concatenado]],[2]!COMPROMISOS_2024[[#All],[Total Comprometido]],"",0)</f>
        <v>#NAME?</v>
      </c>
      <c r="AL1279" s="47">
        <f>IF(PAA_4[[#This Row],[BOLSA]]=0,0,SUMIFS([2]!COMPROMISOS_2024[[#All],[Total Comprometido]],[2]!COMPROMISOS_2024[[#All],[Bolsa]],PAA_4[[#This Row],[BOLSA]],[2]!COMPROMISOS_2024[[#All],[concatenado]],PAA_4[[#This Row],[RCP-RUBRO]]))</f>
        <v>0</v>
      </c>
    </row>
    <row r="1280" spans="1:38" s="19" customFormat="1" ht="31.5" customHeight="1">
      <c r="A1280" s="47">
        <v>372</v>
      </c>
      <c r="B1280" s="47">
        <v>86111602</v>
      </c>
      <c r="C1280" s="47" t="str">
        <f>VLOOKUP(PAA_4[[#This Row],[PROYECTO (formulado)2]],[2]PROYECTOS!$G$1:$L$32,6,0)</f>
        <v>SUBGERENCIA DE FOMENTO Y DESARROLLO</v>
      </c>
      <c r="D1280" s="47" t="str">
        <f>+IF(PAA_4[[#This Row],[UNIDAD DE CONTRATACION (formulado)]]="Subgerencia Administrativa y Financiera","FUNCIONAMIENTO","INVERSIÓN")</f>
        <v>INVERSIÓN</v>
      </c>
      <c r="E1280" s="48" t="str">
        <f>VLOOKUP(Q1280,[2]PROYECTOS!$G$1:$K$32,5,0)</f>
        <v>FORTALECIMIENTO_DE_LOS_PROGRAMAS_RECREATIVOS_EN_LOS_MUNICIPIOS_DEL_DEPARTAMENTO_DE_ANTIOQUIA</v>
      </c>
      <c r="F1280" s="48">
        <f>VLOOKUP(E1280,[2]PROYECTOS!$K$1:$M$32,3,0)</f>
        <v>2020003050031</v>
      </c>
      <c r="G1280" s="49" t="s">
        <v>353</v>
      </c>
      <c r="H1280" s="49" t="str">
        <f>VLOOKUP(Q1280,[2]PROYECTOS!$V$1:$W$32,2,0)</f>
        <v>050064</v>
      </c>
      <c r="I1280" s="50">
        <v>413500782</v>
      </c>
      <c r="J1280" s="77" t="s">
        <v>385</v>
      </c>
      <c r="K1280" s="47" t="str">
        <f t="shared" ca="1" si="460"/>
        <v>CONTRATADO</v>
      </c>
      <c r="L1280" s="47" t="s">
        <v>94</v>
      </c>
      <c r="M1280" s="47" t="s">
        <v>384</v>
      </c>
      <c r="N1280" s="52" t="s">
        <v>355</v>
      </c>
      <c r="O1280" s="51" t="e">
        <f>VLOOKUP(N1280,[2]!RUBROS[#All],3,0)</f>
        <v>#REF!</v>
      </c>
      <c r="P1280" s="53" t="e">
        <f>VLOOKUP(N1280,[2]!RUBROS[#All],2,0)</f>
        <v>#REF!</v>
      </c>
      <c r="Q1280" s="47" t="str">
        <f t="shared" si="463"/>
        <v>47</v>
      </c>
      <c r="R1280" s="47" t="str">
        <f t="shared" si="459"/>
        <v>0-205128</v>
      </c>
      <c r="S1280" s="54">
        <v>5</v>
      </c>
      <c r="T1280" s="59" t="s">
        <v>46</v>
      </c>
      <c r="U1280" s="326" t="e">
        <f ca="1">_xlfn.XLOOKUP(PAA_4[[#This Row],[ITEM]],[2]Contrato!A:A,[2]Contrato!Q:Q,"",0)</f>
        <v>#NAME?</v>
      </c>
      <c r="V1280" s="47" t="s">
        <v>47</v>
      </c>
      <c r="W1280" s="47" t="s">
        <v>122</v>
      </c>
      <c r="X1280" s="47" t="s">
        <v>122</v>
      </c>
      <c r="Y1280" s="55" t="e">
        <f ca="1">_xlfn.XLOOKUP(PAA_4[[#This Row],[ITEM]],[2]Contrato!A:A,[2]Contrato!B:B,"",0)</f>
        <v>#NAME?</v>
      </c>
      <c r="Z1280" s="47" t="e">
        <f ca="1">_xlfn.XLOOKUP(PAA_4[[#This Row],[ITEM]],[2]Contrato!A:A,[2]Contrato!G:G,"",0)</f>
        <v>#NAME?</v>
      </c>
      <c r="AA1280" s="47" t="e">
        <f ca="1">_xlfn.XLOOKUP(PAA_4[[#This Row],[ITEM]],[2]Contrato!A:A,[2]Contrato!T:T,"",0)</f>
        <v>#NAME?</v>
      </c>
      <c r="AB1280" s="55" t="e">
        <f ca="1">+MAX(PAA_4[[#This Row],[Comprometido Contrato]],PAA_4[[#This Row],[Comprometido Bolsa]])</f>
        <v>#NAME?</v>
      </c>
      <c r="AC1280" s="55" t="str">
        <f t="shared" ca="1" si="464"/>
        <v/>
      </c>
      <c r="AD1280" s="55" t="e">
        <f ca="1">IF(PAA_4[[#This Row],[ESTADO (formulado)]]="NO CONTRATADO",0,MAX(PAA_4[[#This Row],[Pago por Contrato]],PAA_4[[#This Row],[Pago por bolsa]]))</f>
        <v>#NAME?</v>
      </c>
      <c r="AE1280" s="55" t="str">
        <f t="shared" ca="1" si="461"/>
        <v/>
      </c>
      <c r="AF1280" s="47" t="e">
        <f t="shared" ca="1" si="465"/>
        <v>#NAME?</v>
      </c>
      <c r="AG1280" s="47">
        <f t="shared" si="462"/>
        <v>44021004</v>
      </c>
      <c r="AH1280" s="54">
        <f>IF(Q1280="22",IF(ISNUMBER(SEARCH("econ",PAA_4[[#This Row],[Actividad3]])),"Económico",IF(ISNUMBER(SEARCH("alim",PAA_4[[#This Row],[Actividad3]])),"Alimentación",IF(ISNUMBER(SEARCH("educ",PAA_4[[#This Row],[Actividad3]])),"Educativo","Técnico"))),0)</f>
        <v>0</v>
      </c>
      <c r="AI1280" s="47" t="e" cm="1">
        <f t="array" aca="1" ref="AI1280" ca="1">_xlfn.XLOOKUP(PAA_4[[#This Row],[RCP-RUBRO]],[2]!COMPROMISOS_2024[[#All],[concatenado]],[2]!COMPROMISOS_2024[[#All],[Total pagado]],"",0)</f>
        <v>#NAME?</v>
      </c>
      <c r="AJ1280" s="56">
        <f>IF(PAA_4[[#This Row],[BOLSA]]=0,0,SUMIFS([2]!COMPROMISOS_2024[[#All],[Total pagado]],[2]!COMPROMISOS_2024[[#All],[Bolsa]],PAA_4[[#This Row],[BOLSA]],[2]!COMPROMISOS_2024[[#All],[rubro]],PAA_4[[#This Row],[RCP-RUBRO]]))</f>
        <v>0</v>
      </c>
      <c r="AK1280" s="47" t="e" cm="1">
        <f t="array" aca="1" ref="AK1280" ca="1">_xlfn.XLOOKUP(PAA_4[[#This Row],[RCP-RUBRO]],[2]!COMPROMISOS_2024[[#All],[concatenado]],[2]!COMPROMISOS_2024[[#All],[Total Comprometido]],"",0)</f>
        <v>#NAME?</v>
      </c>
      <c r="AL1280" s="47">
        <f>IF(PAA_4[[#This Row],[BOLSA]]=0,0,SUMIFS([2]!COMPROMISOS_2024[[#All],[Total Comprometido]],[2]!COMPROMISOS_2024[[#All],[Bolsa]],PAA_4[[#This Row],[BOLSA]],[2]!COMPROMISOS_2024[[#All],[concatenado]],PAA_4[[#This Row],[RCP-RUBRO]]))</f>
        <v>0</v>
      </c>
    </row>
    <row r="1281" spans="1:38" s="19" customFormat="1" ht="31.5" customHeight="1">
      <c r="A1281" s="47">
        <v>370</v>
      </c>
      <c r="B1281" s="47">
        <v>80141607</v>
      </c>
      <c r="C1281" s="47" t="str">
        <f>VLOOKUP(PAA_4[[#This Row],[PROYECTO (formulado)2]],[2]PROYECTOS!$G$1:$L$32,6,0)</f>
        <v>SUBGERENCIA DE FOMENTO Y DESARROLLO</v>
      </c>
      <c r="D1281" s="47" t="str">
        <f>+IF(PAA_4[[#This Row],[UNIDAD DE CONTRATACION (formulado)]]="Subgerencia Administrativa y Financiera","FUNCIONAMIENTO","INVERSIÓN")</f>
        <v>INVERSIÓN</v>
      </c>
      <c r="E1281" s="48" t="str">
        <f>VLOOKUP(Q1281,[2]PROYECTOS!$G$1:$K$32,5,0)</f>
        <v>FORTALECIMIENTO_DE_LOS_PROGRAMAS_RECREATIVOS_EN_LOS_MUNICIPIOS_DEL_DEPARTAMENTO_DE_ANTIOQUIA</v>
      </c>
      <c r="F1281" s="48">
        <f>VLOOKUP(E1281,[2]PROYECTOS!$K$1:$M$32,3,0)</f>
        <v>2020003050031</v>
      </c>
      <c r="G1281" s="49" t="s">
        <v>367</v>
      </c>
      <c r="H1281" s="49" t="str">
        <f>VLOOKUP(Q1281,[2]PROYECTOS!$V$1:$W$32,2,0)</f>
        <v>050064</v>
      </c>
      <c r="I1281" s="50">
        <v>202908246</v>
      </c>
      <c r="J1281" s="51" t="s">
        <v>368</v>
      </c>
      <c r="K1281" s="47" t="str">
        <f t="shared" ca="1" si="460"/>
        <v>CONTRATADO</v>
      </c>
      <c r="L1281" s="47" t="s">
        <v>94</v>
      </c>
      <c r="M1281" s="47" t="s">
        <v>161</v>
      </c>
      <c r="N1281" s="52" t="s">
        <v>355</v>
      </c>
      <c r="O1281" s="51" t="e">
        <f>VLOOKUP(N1281,[2]!RUBROS[#All],3,0)</f>
        <v>#REF!</v>
      </c>
      <c r="P1281" s="53" t="e">
        <f>VLOOKUP(N1281,[2]!RUBROS[#All],2,0)</f>
        <v>#REF!</v>
      </c>
      <c r="Q1281" s="47" t="str">
        <f t="shared" si="463"/>
        <v>47</v>
      </c>
      <c r="R1281" s="47" t="str">
        <f t="shared" si="459"/>
        <v>0-205128</v>
      </c>
      <c r="S1281" s="54">
        <v>7.5</v>
      </c>
      <c r="T1281" s="59" t="s">
        <v>46</v>
      </c>
      <c r="U1281" s="326" t="e">
        <f ca="1">_xlfn.XLOOKUP(PAA_4[[#This Row],[ITEM]],[2]Contrato!A:A,[2]Contrato!Q:Q,"",0)</f>
        <v>#NAME?</v>
      </c>
      <c r="V1281" s="47" t="s">
        <v>47</v>
      </c>
      <c r="W1281" s="47" t="s">
        <v>119</v>
      </c>
      <c r="X1281" s="47" t="s">
        <v>119</v>
      </c>
      <c r="Y1281" s="55" t="e">
        <f ca="1">_xlfn.XLOOKUP(PAA_4[[#This Row],[ITEM]],[2]Contrato!A:A,[2]Contrato!B:B,"",0)</f>
        <v>#NAME?</v>
      </c>
      <c r="Z1281" s="47" t="e">
        <f ca="1">_xlfn.XLOOKUP(PAA_4[[#This Row],[ITEM]],[2]Contrato!A:A,[2]Contrato!G:G,"",0)</f>
        <v>#NAME?</v>
      </c>
      <c r="AA1281" s="47" t="e">
        <f ca="1">_xlfn.XLOOKUP(PAA_4[[#This Row],[ITEM]],[2]Contrato!A:A,[2]Contrato!T:T,"",0)</f>
        <v>#NAME?</v>
      </c>
      <c r="AB1281" s="55" t="e">
        <f ca="1">+MAX(PAA_4[[#This Row],[Comprometido Contrato]],PAA_4[[#This Row],[Comprometido Bolsa]])</f>
        <v>#NAME?</v>
      </c>
      <c r="AC1281" s="55" t="str">
        <f t="shared" ca="1" si="464"/>
        <v/>
      </c>
      <c r="AD1281" s="55" t="e">
        <f ca="1">IF(PAA_4[[#This Row],[ESTADO (formulado)]]="NO CONTRATADO",0,MAX(PAA_4[[#This Row],[Pago por Contrato]],PAA_4[[#This Row],[Pago por bolsa]]))</f>
        <v>#NAME?</v>
      </c>
      <c r="AE1281" s="55" t="str">
        <f t="shared" ca="1" si="461"/>
        <v/>
      </c>
      <c r="AF1281" s="47" t="e">
        <f t="shared" ca="1" si="465"/>
        <v>#NAME?</v>
      </c>
      <c r="AG1281" s="47">
        <f t="shared" si="462"/>
        <v>44021006</v>
      </c>
      <c r="AH1281" s="54">
        <f>IF(Q1281="22",IF(ISNUMBER(SEARCH("econ",PAA_4[[#This Row],[Actividad3]])),"Económico",IF(ISNUMBER(SEARCH("alim",PAA_4[[#This Row],[Actividad3]])),"Alimentación",IF(ISNUMBER(SEARCH("educ",PAA_4[[#This Row],[Actividad3]])),"Educativo","Técnico"))),0)</f>
        <v>0</v>
      </c>
      <c r="AI1281" s="47" t="e" cm="1">
        <f t="array" aca="1" ref="AI1281" ca="1">_xlfn.XLOOKUP(PAA_4[[#This Row],[RCP-RUBRO]],[2]!COMPROMISOS_2024[[#All],[concatenado]],[2]!COMPROMISOS_2024[[#All],[Total pagado]],"",0)</f>
        <v>#NAME?</v>
      </c>
      <c r="AJ1281" s="56">
        <f>IF(PAA_4[[#This Row],[BOLSA]]=0,0,SUMIFS([2]!COMPROMISOS_2024[[#All],[Total pagado]],[2]!COMPROMISOS_2024[[#All],[Bolsa]],PAA_4[[#This Row],[BOLSA]],[2]!COMPROMISOS_2024[[#All],[rubro]],PAA_4[[#This Row],[RCP-RUBRO]]))</f>
        <v>0</v>
      </c>
      <c r="AK1281" s="47" t="e" cm="1">
        <f t="array" aca="1" ref="AK1281" ca="1">_xlfn.XLOOKUP(PAA_4[[#This Row],[RCP-RUBRO]],[2]!COMPROMISOS_2024[[#All],[concatenado]],[2]!COMPROMISOS_2024[[#All],[Total Comprometido]],"",0)</f>
        <v>#NAME?</v>
      </c>
      <c r="AL1281" s="47">
        <f>IF(PAA_4[[#This Row],[BOLSA]]=0,0,SUMIFS([2]!COMPROMISOS_2024[[#All],[Total Comprometido]],[2]!COMPROMISOS_2024[[#All],[Bolsa]],PAA_4[[#This Row],[BOLSA]],[2]!COMPROMISOS_2024[[#All],[concatenado]],PAA_4[[#This Row],[RCP-RUBRO]]))</f>
        <v>0</v>
      </c>
    </row>
    <row r="1282" spans="1:38" s="19" customFormat="1" ht="31.5" customHeight="1">
      <c r="A1282" s="47" t="s">
        <v>82</v>
      </c>
      <c r="B1282" s="47" t="s">
        <v>42</v>
      </c>
      <c r="C1282" s="47" t="str">
        <f>VLOOKUP(PAA_4[[#This Row],[PROYECTO (formulado)2]],[2]PROYECTOS!$G$1:$L$32,6,0)</f>
        <v>SUBGERENCIA DE FOMENTO Y DESARROLLO</v>
      </c>
      <c r="D1282" s="47" t="str">
        <f>+IF(PAA_4[[#This Row],[UNIDAD DE CONTRATACION (formulado)]]="Subgerencia Administrativa y Financiera","FUNCIONAMIENTO","INVERSIÓN")</f>
        <v>INVERSIÓN</v>
      </c>
      <c r="E1282" s="48" t="str">
        <f>VLOOKUP(Q1282,[2]PROYECTOS!$G$1:$K$32,5,0)</f>
        <v>FORTALECIMIENTO_DE_LOS_PROGRAMAS_RECREATIVOS_EN_LOS_MUNICIPIOS_DEL_DEPARTAMENTO_DE_ANTIOQUIA</v>
      </c>
      <c r="F1282" s="48">
        <f>VLOOKUP(E1282,[2]PROYECTOS!$K$1:$M$32,3,0)</f>
        <v>2020003050031</v>
      </c>
      <c r="G1282" s="49" t="s">
        <v>353</v>
      </c>
      <c r="H1282" s="49" t="str">
        <f>VLOOKUP(Q1282,[2]PROYECTOS!$V$1:$W$32,2,0)</f>
        <v>050064</v>
      </c>
      <c r="I1282" s="50">
        <v>2209733</v>
      </c>
      <c r="J1282" s="51" t="s">
        <v>1851</v>
      </c>
      <c r="K1282" s="47" t="str">
        <f ca="1">IF(ISNONTEXT(Y1282)=TRUE,"CONTRATADO","NO CONTRATADO")</f>
        <v>CONTRATADO</v>
      </c>
      <c r="L1282" s="47" t="s">
        <v>42</v>
      </c>
      <c r="M1282" s="47" t="s">
        <v>42</v>
      </c>
      <c r="N1282" s="52" t="s">
        <v>355</v>
      </c>
      <c r="O1282" s="51" t="e">
        <f>VLOOKUP(N1282,[2]!RUBROS[#All],3,0)</f>
        <v>#REF!</v>
      </c>
      <c r="P1282" s="53" t="e">
        <f>VLOOKUP(N1282,[2]!RUBROS[#All],2,0)</f>
        <v>#REF!</v>
      </c>
      <c r="Q1282" s="47" t="str">
        <f>+MID(N1282,11,2)</f>
        <v>47</v>
      </c>
      <c r="R1282" s="47" t="str">
        <f>+MID(N1282,14,8)</f>
        <v>0-205128</v>
      </c>
      <c r="S1282" s="54" t="s">
        <v>42</v>
      </c>
      <c r="T1282" s="59" t="s">
        <v>42</v>
      </c>
      <c r="U1282" s="326" t="e">
        <f ca="1">_xlfn.XLOOKUP(PAA_4[[#This Row],[ITEM]],[2]Contrato!A:A,[2]Contrato!Q:Q,"",0)</f>
        <v>#NAME?</v>
      </c>
      <c r="V1282" s="47" t="s">
        <v>95</v>
      </c>
      <c r="W1282" s="47" t="s">
        <v>42</v>
      </c>
      <c r="X1282" s="47" t="s">
        <v>42</v>
      </c>
      <c r="Y1282" s="55" t="e">
        <f ca="1">_xlfn.XLOOKUP(PAA_4[[#This Row],[ITEM]],[2]Contrato!A:A,[2]Contrato!B:B,"",0)</f>
        <v>#NAME?</v>
      </c>
      <c r="Z1282" s="47" t="e">
        <f ca="1">_xlfn.XLOOKUP(PAA_4[[#This Row],[ITEM]],[2]Contrato!A:A,[2]Contrato!G:G,"",0)</f>
        <v>#NAME?</v>
      </c>
      <c r="AA1282" s="47" t="e">
        <f ca="1">_xlfn.XLOOKUP(PAA_4[[#This Row],[ITEM]],[2]Contrato!A:A,[2]Contrato!T:T,"",0)</f>
        <v>#NAME?</v>
      </c>
      <c r="AB1282" s="55" t="e">
        <f ca="1">+MAX(PAA_4[[#This Row],[Comprometido Contrato]],PAA_4[[#This Row],[Comprometido Bolsa]])</f>
        <v>#NAME?</v>
      </c>
      <c r="AC1282" s="55" t="str">
        <f ca="1">IFERROR(I1282-AB1282,"")</f>
        <v/>
      </c>
      <c r="AD1282" s="55" t="e">
        <f ca="1">IF(PAA_4[[#This Row],[ESTADO (formulado)]]="NO CONTRATADO",0,MAX(PAA_4[[#This Row],[Pago por Contrato]],PAA_4[[#This Row],[Pago por bolsa]]))</f>
        <v>#NAME?</v>
      </c>
      <c r="AE1282" s="55" t="str">
        <f ca="1">+IFERROR(AB1282-AD1282,"")</f>
        <v/>
      </c>
      <c r="AF1282" s="47" t="e">
        <f ca="1">+CONCATENATE(AA1282,N1282)</f>
        <v>#NAME?</v>
      </c>
      <c r="AG1282" s="47">
        <f>IFERROR(_xlfn.NUMBERVALUE(MID(G1282,1,8)),"")</f>
        <v>44021004</v>
      </c>
      <c r="AH1282" s="54">
        <f>IF(Q1282="22",IF(ISNUMBER(SEARCH("econ",PAA_4[[#This Row],[Actividad3]])),"Económico",IF(ISNUMBER(SEARCH("alim",PAA_4[[#This Row],[Actividad3]])),"Alimentación",IF(ISNUMBER(SEARCH("educ",PAA_4[[#This Row],[Actividad3]])),"Educativo","Técnico"))),0)</f>
        <v>0</v>
      </c>
      <c r="AI1282" s="47" t="e" cm="1">
        <f t="array" aca="1" ref="AI1282" ca="1">_xlfn.XLOOKUP(PAA_4[[#This Row],[RCP-RUBRO]],[2]!COMPROMISOS_2024[[#All],[concatenado]],[2]!COMPROMISOS_2024[[#All],[Total pagado]],"",0)</f>
        <v>#NAME?</v>
      </c>
      <c r="AJ1282" s="56">
        <f>IF(PAA_4[[#This Row],[BOLSA]]=0,0,SUMIFS([2]!COMPROMISOS_2024[[#All],[Total pagado]],[2]!COMPROMISOS_2024[[#All],[Bolsa]],PAA_4[[#This Row],[BOLSA]],[2]!COMPROMISOS_2024[[#All],[rubro]],PAA_4[[#This Row],[RCP-RUBRO]]))</f>
        <v>0</v>
      </c>
      <c r="AK1282" s="47" t="e" cm="1">
        <f t="array" aca="1" ref="AK1282" ca="1">_xlfn.XLOOKUP(PAA_4[[#This Row],[RCP-RUBRO]],[2]!COMPROMISOS_2024[[#All],[concatenado]],[2]!COMPROMISOS_2024[[#All],[Total Comprometido]],"",0)</f>
        <v>#NAME?</v>
      </c>
      <c r="AL1282" s="47">
        <f>IF(PAA_4[[#This Row],[BOLSA]]=0,0,SUMIFS([2]!COMPROMISOS_2024[[#All],[Total Comprometido]],[2]!COMPROMISOS_2024[[#All],[Bolsa]],PAA_4[[#This Row],[BOLSA]],[2]!COMPROMISOS_2024[[#All],[concatenado]],PAA_4[[#This Row],[RCP-RUBRO]]))</f>
        <v>0</v>
      </c>
    </row>
    <row r="1283" spans="1:38" s="19" customFormat="1" ht="31.5" customHeight="1">
      <c r="A1283" s="47">
        <v>591</v>
      </c>
      <c r="B1283" s="47">
        <v>80111600</v>
      </c>
      <c r="C1283" s="47" t="str">
        <f>VLOOKUP(PAA_4[[#This Row],[PROYECTO (formulado)2]],[2]PROYECTOS!$G$1:$L$32,6,0)</f>
        <v>SUBGERENCIA DE FOMENTO Y DESARROLLO</v>
      </c>
      <c r="D1283" s="47" t="str">
        <f>+IF(PAA_4[[#This Row],[UNIDAD DE CONTRATACION (formulado)]]="Subgerencia Administrativa y Financiera","FUNCIONAMIENTO","INVERSIÓN")</f>
        <v>INVERSIÓN</v>
      </c>
      <c r="E1283" s="48" t="str">
        <f>VLOOKUP(Q1283,[2]PROYECTOS!$G$1:$K$32,5,0)</f>
        <v>FORTALECIMIENTO_DE_LOS_PROGRAMAS_RECREATIVOS_EN_LOS_MUNICIPIOS_DEL_DEPARTAMENTO_DE_ANTIOQUIA</v>
      </c>
      <c r="F1283" s="48">
        <f>VLOOKUP(E1283,[2]PROYECTOS!$K$1:$M$32,3,0)</f>
        <v>2020003050031</v>
      </c>
      <c r="G1283" s="49" t="s">
        <v>353</v>
      </c>
      <c r="H1283" s="49" t="str">
        <f>VLOOKUP(Q1283,[2]PROYECTOS!$V$1:$W$32,2,0)</f>
        <v>050064</v>
      </c>
      <c r="I1283" s="50">
        <f>56714027-2209733</f>
        <v>54504294</v>
      </c>
      <c r="J1283" s="77" t="s">
        <v>386</v>
      </c>
      <c r="K1283" s="47" t="str">
        <f t="shared" ref="K1283:K1316" ca="1" si="466">IF(ISNONTEXT(Y1283)=TRUE,"CONTRATADO","NO CONTRATADO")</f>
        <v>CONTRATADO</v>
      </c>
      <c r="L1283" s="47" t="s">
        <v>94</v>
      </c>
      <c r="M1283" s="47" t="s">
        <v>1297</v>
      </c>
      <c r="N1283" s="52" t="s">
        <v>355</v>
      </c>
      <c r="O1283" s="51" t="e">
        <f>VLOOKUP(N1283,[2]!RUBROS[#All],3,0)</f>
        <v>#REF!</v>
      </c>
      <c r="P1283" s="53" t="e">
        <f>VLOOKUP(N1283,[2]!RUBROS[#All],2,0)</f>
        <v>#REF!</v>
      </c>
      <c r="Q1283" s="47" t="str">
        <f t="shared" ref="Q1283:Q1316" si="467">+MID(N1283,11,2)</f>
        <v>47</v>
      </c>
      <c r="R1283" s="47" t="str">
        <f t="shared" ref="R1283:R1347" si="468">+MID(N1283,14,8)</f>
        <v>0-205128</v>
      </c>
      <c r="S1283" s="54">
        <v>6.5</v>
      </c>
      <c r="T1283" s="59" t="s">
        <v>46</v>
      </c>
      <c r="U1283" s="326" t="e">
        <f ca="1">_xlfn.XLOOKUP(PAA_4[[#This Row],[ITEM]],[2]Contrato!A:A,[2]Contrato!Q:Q,"",0)</f>
        <v>#NAME?</v>
      </c>
      <c r="V1283" s="47" t="s">
        <v>47</v>
      </c>
      <c r="W1283" s="47" t="s">
        <v>96</v>
      </c>
      <c r="X1283" s="47" t="s">
        <v>96</v>
      </c>
      <c r="Y1283" s="55" t="e">
        <f ca="1">_xlfn.XLOOKUP(PAA_4[[#This Row],[ITEM]],[2]Contrato!A:A,[2]Contrato!B:B,"",0)</f>
        <v>#NAME?</v>
      </c>
      <c r="Z1283" s="47" t="e">
        <f ca="1">_xlfn.XLOOKUP(PAA_4[[#This Row],[ITEM]],[2]Contrato!A:A,[2]Contrato!G:G,"",0)</f>
        <v>#NAME?</v>
      </c>
      <c r="AA1283" s="47" t="e">
        <f ca="1">_xlfn.XLOOKUP(PAA_4[[#This Row],[ITEM]],[2]Contrato!A:A,[2]Contrato!T:T,"",0)</f>
        <v>#NAME?</v>
      </c>
      <c r="AB1283" s="55" t="e">
        <f ca="1">+MAX(PAA_4[[#This Row],[Comprometido Contrato]],PAA_4[[#This Row],[Comprometido Bolsa]])</f>
        <v>#NAME?</v>
      </c>
      <c r="AC1283" s="55" t="str">
        <f t="shared" ref="AC1283:AC1316" ca="1" si="469">IFERROR(I1283-AB1283,"")</f>
        <v/>
      </c>
      <c r="AD1283" s="55" t="e">
        <f ca="1">IF(PAA_4[[#This Row],[ESTADO (formulado)]]="NO CONTRATADO",0,MAX(PAA_4[[#This Row],[Pago por Contrato]],PAA_4[[#This Row],[Pago por bolsa]]))</f>
        <v>#NAME?</v>
      </c>
      <c r="AE1283" s="55" t="str">
        <f t="shared" ref="AE1283:AE1316" ca="1" si="470">+IFERROR(AB1283-AD1283,"")</f>
        <v/>
      </c>
      <c r="AF1283" s="47" t="e">
        <f t="shared" ref="AF1283:AF1316" ca="1" si="471">+CONCATENATE(AA1283,N1283)</f>
        <v>#NAME?</v>
      </c>
      <c r="AG1283" s="47">
        <f t="shared" ref="AG1283:AG1316" si="472">IFERROR(_xlfn.NUMBERVALUE(MID(G1283,1,8)),"")</f>
        <v>44021004</v>
      </c>
      <c r="AH1283" s="54">
        <f>IF(Q1283="22",IF(ISNUMBER(SEARCH("econ",PAA_4[[#This Row],[Actividad3]])),"Económico",IF(ISNUMBER(SEARCH("alim",PAA_4[[#This Row],[Actividad3]])),"Alimentación",IF(ISNUMBER(SEARCH("educ",PAA_4[[#This Row],[Actividad3]])),"Educativo","Técnico"))),0)</f>
        <v>0</v>
      </c>
      <c r="AI1283" s="47" t="e" cm="1">
        <f t="array" aca="1" ref="AI1283" ca="1">_xlfn.XLOOKUP(PAA_4[[#This Row],[RCP-RUBRO]],[2]!COMPROMISOS_2024[[#All],[concatenado]],[2]!COMPROMISOS_2024[[#All],[Total pagado]],"",0)</f>
        <v>#NAME?</v>
      </c>
      <c r="AJ1283" s="56">
        <f>IF(PAA_4[[#This Row],[BOLSA]]=0,0,SUMIFS([2]!COMPROMISOS_2024[[#All],[Total pagado]],[2]!COMPROMISOS_2024[[#All],[Bolsa]],PAA_4[[#This Row],[BOLSA]],[2]!COMPROMISOS_2024[[#All],[rubro]],PAA_4[[#This Row],[RCP-RUBRO]]))</f>
        <v>0</v>
      </c>
      <c r="AK1283" s="47" t="e" cm="1">
        <f t="array" aca="1" ref="AK1283" ca="1">_xlfn.XLOOKUP(PAA_4[[#This Row],[RCP-RUBRO]],[2]!COMPROMISOS_2024[[#All],[concatenado]],[2]!COMPROMISOS_2024[[#All],[Total Comprometido]],"",0)</f>
        <v>#NAME?</v>
      </c>
      <c r="AL1283" s="47">
        <f>IF(PAA_4[[#This Row],[BOLSA]]=0,0,SUMIFS([2]!COMPROMISOS_2024[[#All],[Total Comprometido]],[2]!COMPROMISOS_2024[[#All],[Bolsa]],PAA_4[[#This Row],[BOLSA]],[2]!COMPROMISOS_2024[[#All],[concatenado]],PAA_4[[#This Row],[RCP-RUBRO]]))</f>
        <v>0</v>
      </c>
    </row>
    <row r="1284" spans="1:38" s="19" customFormat="1" ht="31.5" customHeight="1">
      <c r="A1284" s="47">
        <v>592</v>
      </c>
      <c r="B1284" s="47">
        <v>80111600</v>
      </c>
      <c r="C1284" s="47" t="str">
        <f>VLOOKUP(PAA_4[[#This Row],[PROYECTO (formulado)2]],[2]PROYECTOS!$G$1:$L$32,6,0)</f>
        <v>SUBGERENCIA DE FOMENTO Y DESARROLLO</v>
      </c>
      <c r="D1284" s="47" t="str">
        <f>+IF(PAA_4[[#This Row],[UNIDAD DE CONTRATACION (formulado)]]="Subgerencia Administrativa y Financiera","FUNCIONAMIENTO","INVERSIÓN")</f>
        <v>INVERSIÓN</v>
      </c>
      <c r="E1284" s="48" t="str">
        <f>VLOOKUP(Q1284,[2]PROYECTOS!$G$1:$K$32,5,0)</f>
        <v>FORTALECIMIENTO_DEL_PROGRAMA_POR_SU_SALUD_MUÉVASE_PUES_EN_LOS_MUNICIPIO_DEL_DEPARTAMENTO_DE_ANTIOQUIA</v>
      </c>
      <c r="F1284" s="48">
        <f>VLOOKUP(E1284,[2]PROYECTOS!$K$1:$M$32,3,0)</f>
        <v>2020003050030</v>
      </c>
      <c r="G1284" s="49" t="s">
        <v>369</v>
      </c>
      <c r="H1284" s="49" t="str">
        <f>VLOOKUP(Q1284,[2]PROYECTOS!$V$1:$W$32,2,0)</f>
        <v>050055</v>
      </c>
      <c r="I1284" s="50">
        <v>56714027</v>
      </c>
      <c r="J1284" s="77" t="s">
        <v>387</v>
      </c>
      <c r="K1284" s="47" t="str">
        <f t="shared" ca="1" si="466"/>
        <v>CONTRATADO</v>
      </c>
      <c r="L1284" s="47" t="s">
        <v>94</v>
      </c>
      <c r="M1284" s="47" t="s">
        <v>1297</v>
      </c>
      <c r="N1284" s="52" t="s">
        <v>360</v>
      </c>
      <c r="O1284" s="51" t="e">
        <f>VLOOKUP(N1284,[2]!RUBROS[#All],3,0)</f>
        <v>#REF!</v>
      </c>
      <c r="P1284" s="53" t="e">
        <f>VLOOKUP(N1284,[2]!RUBROS[#All],2,0)</f>
        <v>#REF!</v>
      </c>
      <c r="Q1284" s="47" t="str">
        <f t="shared" si="467"/>
        <v>45</v>
      </c>
      <c r="R1284" s="47" t="str">
        <f t="shared" si="468"/>
        <v>0-205128</v>
      </c>
      <c r="S1284" s="54">
        <v>6.5</v>
      </c>
      <c r="T1284" s="59" t="s">
        <v>46</v>
      </c>
      <c r="U1284" s="326" t="e">
        <f ca="1">_xlfn.XLOOKUP(PAA_4[[#This Row],[ITEM]],[2]Contrato!A:A,[2]Contrato!Q:Q,"",0)</f>
        <v>#NAME?</v>
      </c>
      <c r="V1284" s="47" t="s">
        <v>47</v>
      </c>
      <c r="W1284" s="47" t="s">
        <v>96</v>
      </c>
      <c r="X1284" s="47" t="s">
        <v>96</v>
      </c>
      <c r="Y1284" s="55" t="e">
        <f ca="1">_xlfn.XLOOKUP(PAA_4[[#This Row],[ITEM]],[2]Contrato!A:A,[2]Contrato!B:B,"",0)</f>
        <v>#NAME?</v>
      </c>
      <c r="Z1284" s="47" t="e">
        <f ca="1">_xlfn.XLOOKUP(PAA_4[[#This Row],[ITEM]],[2]Contrato!A:A,[2]Contrato!G:G,"",0)</f>
        <v>#NAME?</v>
      </c>
      <c r="AA1284" s="47" t="e">
        <f ca="1">_xlfn.XLOOKUP(PAA_4[[#This Row],[ITEM]],[2]Contrato!A:A,[2]Contrato!T:T,"",0)</f>
        <v>#NAME?</v>
      </c>
      <c r="AB1284" s="55" t="e">
        <f ca="1">+MAX(PAA_4[[#This Row],[Comprometido Contrato]],PAA_4[[#This Row],[Comprometido Bolsa]])</f>
        <v>#NAME?</v>
      </c>
      <c r="AC1284" s="55" t="str">
        <f t="shared" ca="1" si="469"/>
        <v/>
      </c>
      <c r="AD1284" s="55" t="e">
        <f ca="1">IF(PAA_4[[#This Row],[ESTADO (formulado)]]="NO CONTRATADO",0,MAX(PAA_4[[#This Row],[Pago por Contrato]],PAA_4[[#This Row],[Pago por bolsa]]))</f>
        <v>#NAME?</v>
      </c>
      <c r="AE1284" s="55" t="str">
        <f t="shared" ca="1" si="470"/>
        <v/>
      </c>
      <c r="AF1284" s="47" t="e">
        <f t="shared" ca="1" si="471"/>
        <v>#NAME?</v>
      </c>
      <c r="AG1284" s="47">
        <f t="shared" si="472"/>
        <v>44021001</v>
      </c>
      <c r="AH1284" s="54">
        <f>IF(Q1284="22",IF(ISNUMBER(SEARCH("econ",PAA_4[[#This Row],[Actividad3]])),"Económico",IF(ISNUMBER(SEARCH("alim",PAA_4[[#This Row],[Actividad3]])),"Alimentación",IF(ISNUMBER(SEARCH("educ",PAA_4[[#This Row],[Actividad3]])),"Educativo","Técnico"))),0)</f>
        <v>0</v>
      </c>
      <c r="AI1284" s="47" t="e" cm="1">
        <f t="array" aca="1" ref="AI1284" ca="1">_xlfn.XLOOKUP(PAA_4[[#This Row],[RCP-RUBRO]],[2]!COMPROMISOS_2024[[#All],[concatenado]],[2]!COMPROMISOS_2024[[#All],[Total pagado]],"",0)</f>
        <v>#NAME?</v>
      </c>
      <c r="AJ1284" s="56">
        <f>IF(PAA_4[[#This Row],[BOLSA]]=0,0,SUMIFS([2]!COMPROMISOS_2024[[#All],[Total pagado]],[2]!COMPROMISOS_2024[[#All],[Bolsa]],PAA_4[[#This Row],[BOLSA]],[2]!COMPROMISOS_2024[[#All],[rubro]],PAA_4[[#This Row],[RCP-RUBRO]]))</f>
        <v>0</v>
      </c>
      <c r="AK1284" s="47" t="e" cm="1">
        <f t="array" aca="1" ref="AK1284" ca="1">_xlfn.XLOOKUP(PAA_4[[#This Row],[RCP-RUBRO]],[2]!COMPROMISOS_2024[[#All],[concatenado]],[2]!COMPROMISOS_2024[[#All],[Total Comprometido]],"",0)</f>
        <v>#NAME?</v>
      </c>
      <c r="AL1284" s="47">
        <f>IF(PAA_4[[#This Row],[BOLSA]]=0,0,SUMIFS([2]!COMPROMISOS_2024[[#All],[Total Comprometido]],[2]!COMPROMISOS_2024[[#All],[Bolsa]],PAA_4[[#This Row],[BOLSA]],[2]!COMPROMISOS_2024[[#All],[concatenado]],PAA_4[[#This Row],[RCP-RUBRO]]))</f>
        <v>0</v>
      </c>
    </row>
    <row r="1285" spans="1:38" s="19" customFormat="1" ht="31.5" customHeight="1">
      <c r="A1285" s="47" t="s">
        <v>82</v>
      </c>
      <c r="B1285" s="47" t="s">
        <v>42</v>
      </c>
      <c r="C1285" s="47" t="str">
        <f>VLOOKUP(PAA_4[[#This Row],[PROYECTO (formulado)2]],[2]PROYECTOS!$G$1:$L$32,6,0)</f>
        <v>SUBGERENCIA DE FOMENTO Y DESARROLLO</v>
      </c>
      <c r="D1285" s="47" t="str">
        <f>+IF(PAA_4[[#This Row],[UNIDAD DE CONTRATACION (formulado)]]="Subgerencia Administrativa y Financiera","FUNCIONAMIENTO","INVERSIÓN")</f>
        <v>INVERSIÓN</v>
      </c>
      <c r="E1285" s="48" t="str">
        <f>VLOOKUP(Q1285,[2]PROYECTOS!$G$1:$K$32,5,0)</f>
        <v>FORTALECIMIENTO_DEL_PROGRAMA_POR_SU_SALUD_MUÉVASE_PUES_EN_LOS_MUNICIPIO_DEL_DEPARTAMENTO_DE_ANTIOQUIA</v>
      </c>
      <c r="F1285" s="48">
        <f>VLOOKUP(E1285,[2]PROYECTOS!$K$1:$M$32,3,0)</f>
        <v>2020003050030</v>
      </c>
      <c r="G1285" s="49" t="s">
        <v>369</v>
      </c>
      <c r="H1285" s="49" t="str">
        <f>VLOOKUP(Q1285,[2]PROYECTOS!$V$1:$W$32,2,0)</f>
        <v>050055</v>
      </c>
      <c r="I1285" s="50">
        <v>0</v>
      </c>
      <c r="J1285" s="51" t="s">
        <v>42</v>
      </c>
      <c r="K1285" s="47" t="str">
        <f t="shared" ca="1" si="466"/>
        <v>CONTRATADO</v>
      </c>
      <c r="L1285" s="47" t="s">
        <v>42</v>
      </c>
      <c r="M1285" s="47" t="s">
        <v>42</v>
      </c>
      <c r="N1285" s="52" t="s">
        <v>360</v>
      </c>
      <c r="O1285" s="51" t="e">
        <f>VLOOKUP(N1285,[2]!RUBROS[#All],3,0)</f>
        <v>#REF!</v>
      </c>
      <c r="P1285" s="53" t="e">
        <f>VLOOKUP(N1285,[2]!RUBROS[#All],2,0)</f>
        <v>#REF!</v>
      </c>
      <c r="Q1285" s="47" t="str">
        <f t="shared" si="467"/>
        <v>45</v>
      </c>
      <c r="R1285" s="47" t="str">
        <f t="shared" si="468"/>
        <v>0-205128</v>
      </c>
      <c r="S1285" s="54" t="s">
        <v>42</v>
      </c>
      <c r="T1285" s="59" t="s">
        <v>42</v>
      </c>
      <c r="U1285" s="326" t="e">
        <f ca="1">_xlfn.XLOOKUP(PAA_4[[#This Row],[ITEM]],[2]Contrato!A:A,[2]Contrato!Q:Q,"",0)</f>
        <v>#NAME?</v>
      </c>
      <c r="V1285" s="47" t="s">
        <v>42</v>
      </c>
      <c r="W1285" s="47" t="s">
        <v>42</v>
      </c>
      <c r="X1285" s="47" t="s">
        <v>42</v>
      </c>
      <c r="Y1285" s="55" t="e">
        <f ca="1">_xlfn.XLOOKUP(PAA_4[[#This Row],[ITEM]],[2]Contrato!A:A,[2]Contrato!B:B,"",0)</f>
        <v>#NAME?</v>
      </c>
      <c r="Z1285" s="47" t="e">
        <f ca="1">_xlfn.XLOOKUP(PAA_4[[#This Row],[ITEM]],[2]Contrato!A:A,[2]Contrato!G:G,"",0)</f>
        <v>#NAME?</v>
      </c>
      <c r="AA1285" s="47" t="e">
        <f ca="1">_xlfn.XLOOKUP(PAA_4[[#This Row],[ITEM]],[2]Contrato!A:A,[2]Contrato!T:T,"",0)</f>
        <v>#NAME?</v>
      </c>
      <c r="AB1285" s="55" t="e">
        <f ca="1">+MAX(PAA_4[[#This Row],[Comprometido Contrato]],PAA_4[[#This Row],[Comprometido Bolsa]])</f>
        <v>#NAME?</v>
      </c>
      <c r="AC1285" s="55" t="str">
        <f t="shared" ca="1" si="469"/>
        <v/>
      </c>
      <c r="AD1285" s="55" t="e">
        <f ca="1">IF(PAA_4[[#This Row],[ESTADO (formulado)]]="NO CONTRATADO",0,MAX(PAA_4[[#This Row],[Pago por Contrato]],PAA_4[[#This Row],[Pago por bolsa]]))</f>
        <v>#NAME?</v>
      </c>
      <c r="AE1285" s="55" t="str">
        <f t="shared" ca="1" si="470"/>
        <v/>
      </c>
      <c r="AF1285" s="47" t="e">
        <f t="shared" ca="1" si="471"/>
        <v>#NAME?</v>
      </c>
      <c r="AG1285" s="47">
        <f t="shared" si="472"/>
        <v>44021001</v>
      </c>
      <c r="AH1285" s="54">
        <f>IF(Q1285="22",IF(ISNUMBER(SEARCH("econ",PAA_4[[#This Row],[Actividad3]])),"Económico",IF(ISNUMBER(SEARCH("alim",PAA_4[[#This Row],[Actividad3]])),"Alimentación",IF(ISNUMBER(SEARCH("educ",PAA_4[[#This Row],[Actividad3]])),"Educativo","Técnico"))),0)</f>
        <v>0</v>
      </c>
      <c r="AI1285" s="47" t="e" cm="1">
        <f t="array" aca="1" ref="AI1285" ca="1">_xlfn.XLOOKUP(PAA_4[[#This Row],[RCP-RUBRO]],[2]!COMPROMISOS_2024[[#All],[concatenado]],[2]!COMPROMISOS_2024[[#All],[Total pagado]],"",0)</f>
        <v>#NAME?</v>
      </c>
      <c r="AJ1285" s="56">
        <f>IF(PAA_4[[#This Row],[BOLSA]]=0,0,SUMIFS([2]!COMPROMISOS_2024[[#All],[Total pagado]],[2]!COMPROMISOS_2024[[#All],[Bolsa]],PAA_4[[#This Row],[BOLSA]],[2]!COMPROMISOS_2024[[#All],[rubro]],PAA_4[[#This Row],[RCP-RUBRO]]))</f>
        <v>0</v>
      </c>
      <c r="AK1285" s="47" t="e" cm="1">
        <f t="array" aca="1" ref="AK1285" ca="1">_xlfn.XLOOKUP(PAA_4[[#This Row],[RCP-RUBRO]],[2]!COMPROMISOS_2024[[#All],[concatenado]],[2]!COMPROMISOS_2024[[#All],[Total Comprometido]],"",0)</f>
        <v>#NAME?</v>
      </c>
      <c r="AL1285" s="47">
        <f>IF(PAA_4[[#This Row],[BOLSA]]=0,0,SUMIFS([2]!COMPROMISOS_2024[[#All],[Total Comprometido]],[2]!COMPROMISOS_2024[[#All],[Bolsa]],PAA_4[[#This Row],[BOLSA]],[2]!COMPROMISOS_2024[[#All],[concatenado]],PAA_4[[#This Row],[RCP-RUBRO]]))</f>
        <v>0</v>
      </c>
    </row>
    <row r="1286" spans="1:38" s="19" customFormat="1" ht="31.5" customHeight="1">
      <c r="A1286" s="47">
        <v>593</v>
      </c>
      <c r="B1286" s="47">
        <v>80111600</v>
      </c>
      <c r="C1286" s="47" t="str">
        <f>VLOOKUP(PAA_4[[#This Row],[PROYECTO (formulado)2]],[2]PROYECTOS!$G$1:$L$32,6,0)</f>
        <v>SUBGERENCIA DE FOMENTO Y DESARROLLO</v>
      </c>
      <c r="D1286" s="47" t="str">
        <f>+IF(PAA_4[[#This Row],[UNIDAD DE CONTRATACION (formulado)]]="Subgerencia Administrativa y Financiera","FUNCIONAMIENTO","INVERSIÓN")</f>
        <v>INVERSIÓN</v>
      </c>
      <c r="E1286" s="48" t="str">
        <f>VLOOKUP(Q1286,[2]PROYECTOS!$G$1:$K$32,5,0)</f>
        <v>FORTALECIMIENTO_DEL_PROGRAMA_POR_SU_SALUD_MUÉVASE_PUES_EN_LOS_MUNICIPIO_DEL_DEPARTAMENTO_DE_ANTIOQUIA</v>
      </c>
      <c r="F1286" s="48">
        <f>VLOOKUP(E1286,[2]PROYECTOS!$K$1:$M$32,3,0)</f>
        <v>2020003050030</v>
      </c>
      <c r="G1286" s="49" t="s">
        <v>369</v>
      </c>
      <c r="H1286" s="49" t="str">
        <f>VLOOKUP(Q1286,[2]PROYECTOS!$V$1:$W$32,2,0)</f>
        <v>050055</v>
      </c>
      <c r="I1286" s="50">
        <f>37909397-33258992</f>
        <v>4650405</v>
      </c>
      <c r="J1286" s="77" t="s">
        <v>388</v>
      </c>
      <c r="K1286" s="47" t="str">
        <f t="shared" ca="1" si="466"/>
        <v>CONTRATADO</v>
      </c>
      <c r="L1286" s="47" t="s">
        <v>94</v>
      </c>
      <c r="M1286" s="47" t="s">
        <v>1297</v>
      </c>
      <c r="N1286" s="52" t="s">
        <v>360</v>
      </c>
      <c r="O1286" s="51" t="e">
        <f>VLOOKUP(N1286,[2]!RUBROS[#All],3,0)</f>
        <v>#REF!</v>
      </c>
      <c r="P1286" s="53" t="e">
        <f>VLOOKUP(N1286,[2]!RUBROS[#All],2,0)</f>
        <v>#REF!</v>
      </c>
      <c r="Q1286" s="47" t="str">
        <f t="shared" si="467"/>
        <v>45</v>
      </c>
      <c r="R1286" s="47" t="str">
        <f t="shared" si="468"/>
        <v>0-205128</v>
      </c>
      <c r="S1286" s="54">
        <v>6.5</v>
      </c>
      <c r="T1286" s="59" t="s">
        <v>46</v>
      </c>
      <c r="U1286" s="326" t="e">
        <f ca="1">_xlfn.XLOOKUP(PAA_4[[#This Row],[ITEM]],[2]Contrato!A:A,[2]Contrato!Q:Q,"",0)</f>
        <v>#NAME?</v>
      </c>
      <c r="V1286" s="47" t="s">
        <v>47</v>
      </c>
      <c r="W1286" s="47" t="s">
        <v>96</v>
      </c>
      <c r="X1286" s="47" t="s">
        <v>96</v>
      </c>
      <c r="Y1286" s="55" t="e">
        <f ca="1">_xlfn.XLOOKUP(PAA_4[[#This Row],[ITEM]],[2]Contrato!A:A,[2]Contrato!B:B,"",0)</f>
        <v>#NAME?</v>
      </c>
      <c r="Z1286" s="47" t="e">
        <f ca="1">_xlfn.XLOOKUP(PAA_4[[#This Row],[ITEM]],[2]Contrato!A:A,[2]Contrato!G:G,"",0)</f>
        <v>#NAME?</v>
      </c>
      <c r="AA1286" s="47" t="e">
        <f ca="1">_xlfn.XLOOKUP(PAA_4[[#This Row],[ITEM]],[2]Contrato!A:A,[2]Contrato!T:T,"",0)</f>
        <v>#NAME?</v>
      </c>
      <c r="AB1286" s="55" t="e">
        <f ca="1">+MAX(PAA_4[[#This Row],[Comprometido Contrato]],PAA_4[[#This Row],[Comprometido Bolsa]])</f>
        <v>#NAME?</v>
      </c>
      <c r="AC1286" s="55" t="str">
        <f t="shared" ca="1" si="469"/>
        <v/>
      </c>
      <c r="AD1286" s="55" t="e">
        <f ca="1">IF(PAA_4[[#This Row],[ESTADO (formulado)]]="NO CONTRATADO",0,MAX(PAA_4[[#This Row],[Pago por Contrato]],PAA_4[[#This Row],[Pago por bolsa]]))</f>
        <v>#NAME?</v>
      </c>
      <c r="AE1286" s="55" t="str">
        <f t="shared" ca="1" si="470"/>
        <v/>
      </c>
      <c r="AF1286" s="47" t="e">
        <f t="shared" ca="1" si="471"/>
        <v>#NAME?</v>
      </c>
      <c r="AG1286" s="47">
        <f t="shared" si="472"/>
        <v>44021001</v>
      </c>
      <c r="AH1286" s="54">
        <f>IF(Q1286="22",IF(ISNUMBER(SEARCH("econ",PAA_4[[#This Row],[Actividad3]])),"Económico",IF(ISNUMBER(SEARCH("alim",PAA_4[[#This Row],[Actividad3]])),"Alimentación",IF(ISNUMBER(SEARCH("educ",PAA_4[[#This Row],[Actividad3]])),"Educativo","Técnico"))),0)</f>
        <v>0</v>
      </c>
      <c r="AI1286" s="47" t="e" cm="1">
        <f t="array" aca="1" ref="AI1286" ca="1">_xlfn.XLOOKUP(PAA_4[[#This Row],[RCP-RUBRO]],[2]!COMPROMISOS_2024[[#All],[concatenado]],[2]!COMPROMISOS_2024[[#All],[Total pagado]],"",0)</f>
        <v>#NAME?</v>
      </c>
      <c r="AJ1286" s="56">
        <f>IF(PAA_4[[#This Row],[BOLSA]]=0,0,SUMIFS([2]!COMPROMISOS_2024[[#All],[Total pagado]],[2]!COMPROMISOS_2024[[#All],[Bolsa]],PAA_4[[#This Row],[BOLSA]],[2]!COMPROMISOS_2024[[#All],[rubro]],PAA_4[[#This Row],[RCP-RUBRO]]))</f>
        <v>0</v>
      </c>
      <c r="AK1286" s="47" t="e" cm="1">
        <f t="array" aca="1" ref="AK1286" ca="1">_xlfn.XLOOKUP(PAA_4[[#This Row],[RCP-RUBRO]],[2]!COMPROMISOS_2024[[#All],[concatenado]],[2]!COMPROMISOS_2024[[#All],[Total Comprometido]],"",0)</f>
        <v>#NAME?</v>
      </c>
      <c r="AL1286" s="47">
        <f>IF(PAA_4[[#This Row],[BOLSA]]=0,0,SUMIFS([2]!COMPROMISOS_2024[[#All],[Total Comprometido]],[2]!COMPROMISOS_2024[[#All],[Bolsa]],PAA_4[[#This Row],[BOLSA]],[2]!COMPROMISOS_2024[[#All],[concatenado]],PAA_4[[#This Row],[RCP-RUBRO]]))</f>
        <v>0</v>
      </c>
    </row>
    <row r="1287" spans="1:38" s="19" customFormat="1" ht="31.5" customHeight="1">
      <c r="A1287" s="47">
        <v>448</v>
      </c>
      <c r="B1287" s="47">
        <v>80111600</v>
      </c>
      <c r="C1287" s="47" t="str">
        <f>VLOOKUP(PAA_4[[#This Row],[PROYECTO (formulado)2]],[2]PROYECTOS!$G$1:$L$32,6,0)</f>
        <v>SUBGERENCIA DE FOMENTO Y DESARROLLO</v>
      </c>
      <c r="D1287" s="47" t="str">
        <f>+IF(PAA_4[[#This Row],[UNIDAD DE CONTRATACION (formulado)]]="Subgerencia Administrativa y Financiera","FUNCIONAMIENTO","INVERSIÓN")</f>
        <v>INVERSIÓN</v>
      </c>
      <c r="E1287" s="48" t="str">
        <f>VLOOKUP(Q1287,[2]PROYECTOS!$G$1:$K$32,5,0)</f>
        <v>FORTALECIMIENTO_DE_LOS_PROGRAMAS_RECREATIVOS_EN_LOS_MUNICIPIOS_DEL_DEPARTAMENTO_DE_ANTIOQUIA</v>
      </c>
      <c r="F1287" s="48">
        <f>VLOOKUP(E1287,[2]PROYECTOS!$K$1:$M$32,3,0)</f>
        <v>2020003050031</v>
      </c>
      <c r="G1287" s="49" t="s">
        <v>353</v>
      </c>
      <c r="H1287" s="49" t="str">
        <f>VLOOKUP(Q1287,[2]PROYECTOS!$V$1:$W$32,2,0)</f>
        <v>050064</v>
      </c>
      <c r="I1287" s="50">
        <v>0</v>
      </c>
      <c r="J1287" s="51" t="s">
        <v>42</v>
      </c>
      <c r="K1287" s="47" t="str">
        <f t="shared" ca="1" si="466"/>
        <v>CONTRATADO</v>
      </c>
      <c r="L1287" s="47" t="s">
        <v>94</v>
      </c>
      <c r="M1287" s="47" t="s">
        <v>1297</v>
      </c>
      <c r="N1287" s="52" t="s">
        <v>355</v>
      </c>
      <c r="O1287" s="51" t="e">
        <f>VLOOKUP(N1287,[2]!RUBROS[#All],3,0)</f>
        <v>#REF!</v>
      </c>
      <c r="P1287" s="53" t="e">
        <f>VLOOKUP(N1287,[2]!RUBROS[#All],2,0)</f>
        <v>#REF!</v>
      </c>
      <c r="Q1287" s="47" t="str">
        <f t="shared" si="467"/>
        <v>47</v>
      </c>
      <c r="R1287" s="47" t="str">
        <f t="shared" si="468"/>
        <v>0-205128</v>
      </c>
      <c r="S1287" s="54">
        <v>9</v>
      </c>
      <c r="T1287" s="59" t="s">
        <v>46</v>
      </c>
      <c r="U1287" s="326" t="e">
        <f ca="1">_xlfn.XLOOKUP(PAA_4[[#This Row],[ITEM]],[2]Contrato!A:A,[2]Contrato!Q:Q,"",0)</f>
        <v>#NAME?</v>
      </c>
      <c r="V1287" s="47" t="s">
        <v>47</v>
      </c>
      <c r="W1287" s="47" t="s">
        <v>122</v>
      </c>
      <c r="X1287" s="47" t="s">
        <v>122</v>
      </c>
      <c r="Y1287" s="55" t="e">
        <f ca="1">_xlfn.XLOOKUP(PAA_4[[#This Row],[ITEM]],[2]Contrato!A:A,[2]Contrato!B:B,"",0)</f>
        <v>#NAME?</v>
      </c>
      <c r="Z1287" s="47" t="e">
        <f ca="1">_xlfn.XLOOKUP(PAA_4[[#This Row],[ITEM]],[2]Contrato!A:A,[2]Contrato!G:G,"",0)</f>
        <v>#NAME?</v>
      </c>
      <c r="AA1287" s="47" t="e">
        <f ca="1">_xlfn.XLOOKUP(PAA_4[[#This Row],[ITEM]],[2]Contrato!A:A,[2]Contrato!T:T,"",0)</f>
        <v>#NAME?</v>
      </c>
      <c r="AB1287" s="55" t="e">
        <f ca="1">+MAX(PAA_4[[#This Row],[Comprometido Contrato]],PAA_4[[#This Row],[Comprometido Bolsa]])</f>
        <v>#NAME?</v>
      </c>
      <c r="AC1287" s="55" t="str">
        <f t="shared" ca="1" si="469"/>
        <v/>
      </c>
      <c r="AD1287" s="55" t="e">
        <f ca="1">IF(PAA_4[[#This Row],[ESTADO (formulado)]]="NO CONTRATADO",0,MAX(PAA_4[[#This Row],[Pago por Contrato]],PAA_4[[#This Row],[Pago por bolsa]]))</f>
        <v>#NAME?</v>
      </c>
      <c r="AE1287" s="55" t="str">
        <f t="shared" ca="1" si="470"/>
        <v/>
      </c>
      <c r="AF1287" s="47" t="e">
        <f t="shared" ca="1" si="471"/>
        <v>#NAME?</v>
      </c>
      <c r="AG1287" s="47">
        <f t="shared" si="472"/>
        <v>44021004</v>
      </c>
      <c r="AH1287" s="54">
        <f>IF(Q1287="22",IF(ISNUMBER(SEARCH("econ",PAA_4[[#This Row],[Actividad3]])),"Económico",IF(ISNUMBER(SEARCH("alim",PAA_4[[#This Row],[Actividad3]])),"Alimentación",IF(ISNUMBER(SEARCH("educ",PAA_4[[#This Row],[Actividad3]])),"Educativo","Técnico"))),0)</f>
        <v>0</v>
      </c>
      <c r="AI1287" s="47" t="e" cm="1">
        <f t="array" aca="1" ref="AI1287" ca="1">_xlfn.XLOOKUP(PAA_4[[#This Row],[RCP-RUBRO]],[2]!COMPROMISOS_2024[[#All],[concatenado]],[2]!COMPROMISOS_2024[[#All],[Total pagado]],"",0)</f>
        <v>#NAME?</v>
      </c>
      <c r="AJ1287" s="56">
        <f>IF(PAA_4[[#This Row],[BOLSA]]=0,0,SUMIFS([2]!COMPROMISOS_2024[[#All],[Total pagado]],[2]!COMPROMISOS_2024[[#All],[Bolsa]],PAA_4[[#This Row],[BOLSA]],[2]!COMPROMISOS_2024[[#All],[rubro]],PAA_4[[#This Row],[RCP-RUBRO]]))</f>
        <v>0</v>
      </c>
      <c r="AK1287" s="47" t="e" cm="1">
        <f t="array" aca="1" ref="AK1287" ca="1">_xlfn.XLOOKUP(PAA_4[[#This Row],[RCP-RUBRO]],[2]!COMPROMISOS_2024[[#All],[concatenado]],[2]!COMPROMISOS_2024[[#All],[Total Comprometido]],"",0)</f>
        <v>#NAME?</v>
      </c>
      <c r="AL1287" s="47">
        <f>IF(PAA_4[[#This Row],[BOLSA]]=0,0,SUMIFS([2]!COMPROMISOS_2024[[#All],[Total Comprometido]],[2]!COMPROMISOS_2024[[#All],[Bolsa]],PAA_4[[#This Row],[BOLSA]],[2]!COMPROMISOS_2024[[#All],[concatenado]],PAA_4[[#This Row],[RCP-RUBRO]]))</f>
        <v>0</v>
      </c>
    </row>
    <row r="1288" spans="1:38" s="19" customFormat="1" ht="31.5" customHeight="1">
      <c r="A1288" s="47">
        <v>449</v>
      </c>
      <c r="B1288" s="47">
        <v>80111600</v>
      </c>
      <c r="C1288" s="47" t="str">
        <f>VLOOKUP(PAA_4[[#This Row],[PROYECTO (formulado)2]],[2]PROYECTOS!$G$1:$L$32,6,0)</f>
        <v>SUBGERENCIA DE FOMENTO Y DESARROLLO</v>
      </c>
      <c r="D1288" s="47" t="str">
        <f>+IF(PAA_4[[#This Row],[UNIDAD DE CONTRATACION (formulado)]]="Subgerencia Administrativa y Financiera","FUNCIONAMIENTO","INVERSIÓN")</f>
        <v>INVERSIÓN</v>
      </c>
      <c r="E1288" s="48" t="str">
        <f>VLOOKUP(Q1288,[2]PROYECTOS!$G$1:$K$32,5,0)</f>
        <v>FORTALECIMIENTO_DE_LOS_PROGRAMAS_RECREATIVOS_EN_LOS_MUNICIPIOS_DEL_DEPARTAMENTO_DE_ANTIOQUIA</v>
      </c>
      <c r="F1288" s="48">
        <f>VLOOKUP(E1288,[2]PROYECTOS!$K$1:$M$32,3,0)</f>
        <v>2020003050031</v>
      </c>
      <c r="G1288" s="49" t="s">
        <v>353</v>
      </c>
      <c r="H1288" s="49" t="str">
        <f>VLOOKUP(Q1288,[2]PROYECTOS!$V$1:$W$32,2,0)</f>
        <v>050064</v>
      </c>
      <c r="I1288" s="50">
        <v>0</v>
      </c>
      <c r="J1288" s="51" t="s">
        <v>42</v>
      </c>
      <c r="K1288" s="47" t="str">
        <f t="shared" ca="1" si="466"/>
        <v>CONTRATADO</v>
      </c>
      <c r="L1288" s="47" t="s">
        <v>94</v>
      </c>
      <c r="M1288" s="47" t="s">
        <v>1297</v>
      </c>
      <c r="N1288" s="52" t="s">
        <v>355</v>
      </c>
      <c r="O1288" s="51" t="e">
        <f>VLOOKUP(N1288,[2]!RUBROS[#All],3,0)</f>
        <v>#REF!</v>
      </c>
      <c r="P1288" s="53" t="e">
        <f>VLOOKUP(N1288,[2]!RUBROS[#All],2,0)</f>
        <v>#REF!</v>
      </c>
      <c r="Q1288" s="47" t="str">
        <f t="shared" si="467"/>
        <v>47</v>
      </c>
      <c r="R1288" s="47" t="str">
        <f t="shared" si="468"/>
        <v>0-205128</v>
      </c>
      <c r="S1288" s="54">
        <v>9</v>
      </c>
      <c r="T1288" s="59" t="s">
        <v>46</v>
      </c>
      <c r="U1288" s="326" t="e">
        <f ca="1">_xlfn.XLOOKUP(PAA_4[[#This Row],[ITEM]],[2]Contrato!A:A,[2]Contrato!Q:Q,"",0)</f>
        <v>#NAME?</v>
      </c>
      <c r="V1288" s="47" t="s">
        <v>47</v>
      </c>
      <c r="W1288" s="47" t="s">
        <v>122</v>
      </c>
      <c r="X1288" s="47" t="s">
        <v>122</v>
      </c>
      <c r="Y1288" s="55" t="e">
        <f ca="1">_xlfn.XLOOKUP(PAA_4[[#This Row],[ITEM]],[2]Contrato!A:A,[2]Contrato!B:B,"",0)</f>
        <v>#NAME?</v>
      </c>
      <c r="Z1288" s="47" t="e">
        <f ca="1">_xlfn.XLOOKUP(PAA_4[[#This Row],[ITEM]],[2]Contrato!A:A,[2]Contrato!G:G,"",0)</f>
        <v>#NAME?</v>
      </c>
      <c r="AA1288" s="47" t="e">
        <f ca="1">_xlfn.XLOOKUP(PAA_4[[#This Row],[ITEM]],[2]Contrato!A:A,[2]Contrato!T:T,"",0)</f>
        <v>#NAME?</v>
      </c>
      <c r="AB1288" s="55" t="e">
        <f ca="1">+MAX(PAA_4[[#This Row],[Comprometido Contrato]],PAA_4[[#This Row],[Comprometido Bolsa]])</f>
        <v>#NAME?</v>
      </c>
      <c r="AC1288" s="55" t="str">
        <f t="shared" ca="1" si="469"/>
        <v/>
      </c>
      <c r="AD1288" s="55" t="e">
        <f ca="1">IF(PAA_4[[#This Row],[ESTADO (formulado)]]="NO CONTRATADO",0,MAX(PAA_4[[#This Row],[Pago por Contrato]],PAA_4[[#This Row],[Pago por bolsa]]))</f>
        <v>#NAME?</v>
      </c>
      <c r="AE1288" s="55" t="str">
        <f t="shared" ca="1" si="470"/>
        <v/>
      </c>
      <c r="AF1288" s="47" t="e">
        <f t="shared" ca="1" si="471"/>
        <v>#NAME?</v>
      </c>
      <c r="AG1288" s="47">
        <f t="shared" si="472"/>
        <v>44021004</v>
      </c>
      <c r="AH1288" s="54">
        <f>IF(Q1288="22",IF(ISNUMBER(SEARCH("econ",PAA_4[[#This Row],[Actividad3]])),"Económico",IF(ISNUMBER(SEARCH("alim",PAA_4[[#This Row],[Actividad3]])),"Alimentación",IF(ISNUMBER(SEARCH("educ",PAA_4[[#This Row],[Actividad3]])),"Educativo","Técnico"))),0)</f>
        <v>0</v>
      </c>
      <c r="AI1288" s="47" t="e" cm="1">
        <f t="array" aca="1" ref="AI1288" ca="1">_xlfn.XLOOKUP(PAA_4[[#This Row],[RCP-RUBRO]],[2]!COMPROMISOS_2024[[#All],[concatenado]],[2]!COMPROMISOS_2024[[#All],[Total pagado]],"",0)</f>
        <v>#NAME?</v>
      </c>
      <c r="AJ1288" s="56">
        <f>IF(PAA_4[[#This Row],[BOLSA]]=0,0,SUMIFS([2]!COMPROMISOS_2024[[#All],[Total pagado]],[2]!COMPROMISOS_2024[[#All],[Bolsa]],PAA_4[[#This Row],[BOLSA]],[2]!COMPROMISOS_2024[[#All],[rubro]],PAA_4[[#This Row],[RCP-RUBRO]]))</f>
        <v>0</v>
      </c>
      <c r="AK1288" s="47" t="e" cm="1">
        <f t="array" aca="1" ref="AK1288" ca="1">_xlfn.XLOOKUP(PAA_4[[#This Row],[RCP-RUBRO]],[2]!COMPROMISOS_2024[[#All],[concatenado]],[2]!COMPROMISOS_2024[[#All],[Total Comprometido]],"",0)</f>
        <v>#NAME?</v>
      </c>
      <c r="AL1288" s="47">
        <f>IF(PAA_4[[#This Row],[BOLSA]]=0,0,SUMIFS([2]!COMPROMISOS_2024[[#All],[Total Comprometido]],[2]!COMPROMISOS_2024[[#All],[Bolsa]],PAA_4[[#This Row],[BOLSA]],[2]!COMPROMISOS_2024[[#All],[concatenado]],PAA_4[[#This Row],[RCP-RUBRO]]))</f>
        <v>0</v>
      </c>
    </row>
    <row r="1289" spans="1:38" s="19" customFormat="1" ht="31.5" customHeight="1">
      <c r="A1289" s="47">
        <v>450</v>
      </c>
      <c r="B1289" s="47">
        <v>80111600</v>
      </c>
      <c r="C1289" s="47" t="str">
        <f>VLOOKUP(PAA_4[[#This Row],[PROYECTO (formulado)2]],[2]PROYECTOS!$G$1:$L$32,6,0)</f>
        <v>SUBGERENCIA DE FOMENTO Y DESARROLLO</v>
      </c>
      <c r="D1289" s="47" t="str">
        <f>+IF(PAA_4[[#This Row],[UNIDAD DE CONTRATACION (formulado)]]="Subgerencia Administrativa y Financiera","FUNCIONAMIENTO","INVERSIÓN")</f>
        <v>INVERSIÓN</v>
      </c>
      <c r="E1289" s="48" t="str">
        <f>VLOOKUP(Q1289,[2]PROYECTOS!$G$1:$K$32,5,0)</f>
        <v>FORTALECIMIENTO_DE_LOS_PROGRAMAS_RECREATIVOS_EN_LOS_MUNICIPIOS_DEL_DEPARTAMENTO_DE_ANTIOQUIA</v>
      </c>
      <c r="F1289" s="48">
        <f>VLOOKUP(E1289,[2]PROYECTOS!$K$1:$M$32,3,0)</f>
        <v>2020003050031</v>
      </c>
      <c r="G1289" s="49" t="s">
        <v>353</v>
      </c>
      <c r="H1289" s="49" t="str">
        <f>VLOOKUP(Q1289,[2]PROYECTOS!$V$1:$W$32,2,0)</f>
        <v>050064</v>
      </c>
      <c r="I1289" s="50">
        <v>0</v>
      </c>
      <c r="J1289" s="51" t="s">
        <v>42</v>
      </c>
      <c r="K1289" s="47" t="str">
        <f t="shared" ca="1" si="466"/>
        <v>CONTRATADO</v>
      </c>
      <c r="L1289" s="47" t="s">
        <v>94</v>
      </c>
      <c r="M1289" s="47" t="s">
        <v>1297</v>
      </c>
      <c r="N1289" s="52" t="s">
        <v>355</v>
      </c>
      <c r="O1289" s="51" t="e">
        <f>VLOOKUP(N1289,[2]!RUBROS[#All],3,0)</f>
        <v>#REF!</v>
      </c>
      <c r="P1289" s="53" t="e">
        <f>VLOOKUP(N1289,[2]!RUBROS[#All],2,0)</f>
        <v>#REF!</v>
      </c>
      <c r="Q1289" s="47" t="str">
        <f t="shared" si="467"/>
        <v>47</v>
      </c>
      <c r="R1289" s="47" t="str">
        <f t="shared" si="468"/>
        <v>0-205128</v>
      </c>
      <c r="S1289" s="54">
        <v>9</v>
      </c>
      <c r="T1289" s="59" t="s">
        <v>46</v>
      </c>
      <c r="U1289" s="326" t="e">
        <f ca="1">_xlfn.XLOOKUP(PAA_4[[#This Row],[ITEM]],[2]Contrato!A:A,[2]Contrato!Q:Q,"",0)</f>
        <v>#NAME?</v>
      </c>
      <c r="V1289" s="47" t="s">
        <v>47</v>
      </c>
      <c r="W1289" s="47" t="s">
        <v>122</v>
      </c>
      <c r="X1289" s="47" t="s">
        <v>122</v>
      </c>
      <c r="Y1289" s="55" t="e">
        <f ca="1">_xlfn.XLOOKUP(PAA_4[[#This Row],[ITEM]],[2]Contrato!A:A,[2]Contrato!B:B,"",0)</f>
        <v>#NAME?</v>
      </c>
      <c r="Z1289" s="47" t="e">
        <f ca="1">_xlfn.XLOOKUP(PAA_4[[#This Row],[ITEM]],[2]Contrato!A:A,[2]Contrato!G:G,"",0)</f>
        <v>#NAME?</v>
      </c>
      <c r="AA1289" s="47" t="e">
        <f ca="1">_xlfn.XLOOKUP(PAA_4[[#This Row],[ITEM]],[2]Contrato!A:A,[2]Contrato!T:T,"",0)</f>
        <v>#NAME?</v>
      </c>
      <c r="AB1289" s="55" t="e">
        <f ca="1">+MAX(PAA_4[[#This Row],[Comprometido Contrato]],PAA_4[[#This Row],[Comprometido Bolsa]])</f>
        <v>#NAME?</v>
      </c>
      <c r="AC1289" s="55" t="str">
        <f t="shared" ca="1" si="469"/>
        <v/>
      </c>
      <c r="AD1289" s="55" t="e">
        <f ca="1">IF(PAA_4[[#This Row],[ESTADO (formulado)]]="NO CONTRATADO",0,MAX(PAA_4[[#This Row],[Pago por Contrato]],PAA_4[[#This Row],[Pago por bolsa]]))</f>
        <v>#NAME?</v>
      </c>
      <c r="AE1289" s="55" t="str">
        <f t="shared" ca="1" si="470"/>
        <v/>
      </c>
      <c r="AF1289" s="47" t="e">
        <f t="shared" ca="1" si="471"/>
        <v>#NAME?</v>
      </c>
      <c r="AG1289" s="47">
        <f t="shared" si="472"/>
        <v>44021004</v>
      </c>
      <c r="AH1289" s="54">
        <f>IF(Q1289="22",IF(ISNUMBER(SEARCH("econ",PAA_4[[#This Row],[Actividad3]])),"Económico",IF(ISNUMBER(SEARCH("alim",PAA_4[[#This Row],[Actividad3]])),"Alimentación",IF(ISNUMBER(SEARCH("educ",PAA_4[[#This Row],[Actividad3]])),"Educativo","Técnico"))),0)</f>
        <v>0</v>
      </c>
      <c r="AI1289" s="47" t="e" cm="1">
        <f t="array" aca="1" ref="AI1289" ca="1">_xlfn.XLOOKUP(PAA_4[[#This Row],[RCP-RUBRO]],[2]!COMPROMISOS_2024[[#All],[concatenado]],[2]!COMPROMISOS_2024[[#All],[Total pagado]],"",0)</f>
        <v>#NAME?</v>
      </c>
      <c r="AJ1289" s="56">
        <f>IF(PAA_4[[#This Row],[BOLSA]]=0,0,SUMIFS([2]!COMPROMISOS_2024[[#All],[Total pagado]],[2]!COMPROMISOS_2024[[#All],[Bolsa]],PAA_4[[#This Row],[BOLSA]],[2]!COMPROMISOS_2024[[#All],[rubro]],PAA_4[[#This Row],[RCP-RUBRO]]))</f>
        <v>0</v>
      </c>
      <c r="AK1289" s="47" t="e" cm="1">
        <f t="array" aca="1" ref="AK1289" ca="1">_xlfn.XLOOKUP(PAA_4[[#This Row],[RCP-RUBRO]],[2]!COMPROMISOS_2024[[#All],[concatenado]],[2]!COMPROMISOS_2024[[#All],[Total Comprometido]],"",0)</f>
        <v>#NAME?</v>
      </c>
      <c r="AL1289" s="47">
        <f>IF(PAA_4[[#This Row],[BOLSA]]=0,0,SUMIFS([2]!COMPROMISOS_2024[[#All],[Total Comprometido]],[2]!COMPROMISOS_2024[[#All],[Bolsa]],PAA_4[[#This Row],[BOLSA]],[2]!COMPROMISOS_2024[[#All],[concatenado]],PAA_4[[#This Row],[RCP-RUBRO]]))</f>
        <v>0</v>
      </c>
    </row>
    <row r="1290" spans="1:38" s="19" customFormat="1" ht="31.5" customHeight="1">
      <c r="A1290" s="47">
        <v>451</v>
      </c>
      <c r="B1290" s="47">
        <v>80111600</v>
      </c>
      <c r="C1290" s="47" t="str">
        <f>VLOOKUP(PAA_4[[#This Row],[PROYECTO (formulado)2]],[2]PROYECTOS!$G$1:$L$32,6,0)</f>
        <v>SUBGERENCIA DE FOMENTO Y DESARROLLO</v>
      </c>
      <c r="D1290" s="47" t="str">
        <f>+IF(PAA_4[[#This Row],[UNIDAD DE CONTRATACION (formulado)]]="Subgerencia Administrativa y Financiera","FUNCIONAMIENTO","INVERSIÓN")</f>
        <v>INVERSIÓN</v>
      </c>
      <c r="E1290" s="48" t="str">
        <f>VLOOKUP(Q1290,[2]PROYECTOS!$G$1:$K$32,5,0)</f>
        <v>FORTALECIMIENTO_DE_LOS_PROGRAMAS_RECREATIVOS_EN_LOS_MUNICIPIOS_DEL_DEPARTAMENTO_DE_ANTIOQUIA</v>
      </c>
      <c r="F1290" s="48">
        <f>VLOOKUP(E1290,[2]PROYECTOS!$K$1:$M$32,3,0)</f>
        <v>2020003050031</v>
      </c>
      <c r="G1290" s="49" t="s">
        <v>353</v>
      </c>
      <c r="H1290" s="49" t="str">
        <f>VLOOKUP(Q1290,[2]PROYECTOS!$V$1:$W$32,2,0)</f>
        <v>050064</v>
      </c>
      <c r="I1290" s="50">
        <v>0</v>
      </c>
      <c r="J1290" s="51" t="s">
        <v>42</v>
      </c>
      <c r="K1290" s="47" t="str">
        <f t="shared" ca="1" si="466"/>
        <v>CONTRATADO</v>
      </c>
      <c r="L1290" s="47" t="s">
        <v>94</v>
      </c>
      <c r="M1290" s="47" t="s">
        <v>1297</v>
      </c>
      <c r="N1290" s="52" t="s">
        <v>355</v>
      </c>
      <c r="O1290" s="51" t="e">
        <f>VLOOKUP(N1290,[2]!RUBROS[#All],3,0)</f>
        <v>#REF!</v>
      </c>
      <c r="P1290" s="53" t="e">
        <f>VLOOKUP(N1290,[2]!RUBROS[#All],2,0)</f>
        <v>#REF!</v>
      </c>
      <c r="Q1290" s="47" t="str">
        <f t="shared" si="467"/>
        <v>47</v>
      </c>
      <c r="R1290" s="47" t="str">
        <f t="shared" si="468"/>
        <v>0-205128</v>
      </c>
      <c r="S1290" s="54">
        <v>10</v>
      </c>
      <c r="T1290" s="59" t="s">
        <v>46</v>
      </c>
      <c r="U1290" s="326" t="e">
        <f ca="1">_xlfn.XLOOKUP(PAA_4[[#This Row],[ITEM]],[2]Contrato!A:A,[2]Contrato!Q:Q,"",0)</f>
        <v>#NAME?</v>
      </c>
      <c r="V1290" s="47" t="s">
        <v>47</v>
      </c>
      <c r="W1290" s="47" t="s">
        <v>96</v>
      </c>
      <c r="X1290" s="47" t="s">
        <v>96</v>
      </c>
      <c r="Y1290" s="55" t="e">
        <f ca="1">_xlfn.XLOOKUP(PAA_4[[#This Row],[ITEM]],[2]Contrato!A:A,[2]Contrato!B:B,"",0)</f>
        <v>#NAME?</v>
      </c>
      <c r="Z1290" s="47" t="e">
        <f ca="1">_xlfn.XLOOKUP(PAA_4[[#This Row],[ITEM]],[2]Contrato!A:A,[2]Contrato!G:G,"",0)</f>
        <v>#NAME?</v>
      </c>
      <c r="AA1290" s="47" t="e">
        <f ca="1">_xlfn.XLOOKUP(PAA_4[[#This Row],[ITEM]],[2]Contrato!A:A,[2]Contrato!T:T,"",0)</f>
        <v>#NAME?</v>
      </c>
      <c r="AB1290" s="55" t="e">
        <f ca="1">+MAX(PAA_4[[#This Row],[Comprometido Contrato]],PAA_4[[#This Row],[Comprometido Bolsa]])</f>
        <v>#NAME?</v>
      </c>
      <c r="AC1290" s="55" t="str">
        <f t="shared" ca="1" si="469"/>
        <v/>
      </c>
      <c r="AD1290" s="55" t="e">
        <f ca="1">IF(PAA_4[[#This Row],[ESTADO (formulado)]]="NO CONTRATADO",0,MAX(PAA_4[[#This Row],[Pago por Contrato]],PAA_4[[#This Row],[Pago por bolsa]]))</f>
        <v>#NAME?</v>
      </c>
      <c r="AE1290" s="55" t="str">
        <f t="shared" ca="1" si="470"/>
        <v/>
      </c>
      <c r="AF1290" s="47" t="e">
        <f t="shared" ca="1" si="471"/>
        <v>#NAME?</v>
      </c>
      <c r="AG1290" s="47">
        <f t="shared" si="472"/>
        <v>44021004</v>
      </c>
      <c r="AH1290" s="54">
        <f>IF(Q1290="22",IF(ISNUMBER(SEARCH("econ",PAA_4[[#This Row],[Actividad3]])),"Económico",IF(ISNUMBER(SEARCH("alim",PAA_4[[#This Row],[Actividad3]])),"Alimentación",IF(ISNUMBER(SEARCH("educ",PAA_4[[#This Row],[Actividad3]])),"Educativo","Técnico"))),0)</f>
        <v>0</v>
      </c>
      <c r="AI1290" s="47" t="e" cm="1">
        <f t="array" aca="1" ref="AI1290" ca="1">_xlfn.XLOOKUP(PAA_4[[#This Row],[RCP-RUBRO]],[2]!COMPROMISOS_2024[[#All],[concatenado]],[2]!COMPROMISOS_2024[[#All],[Total pagado]],"",0)</f>
        <v>#NAME?</v>
      </c>
      <c r="AJ1290" s="56">
        <f>IF(PAA_4[[#This Row],[BOLSA]]=0,0,SUMIFS([2]!COMPROMISOS_2024[[#All],[Total pagado]],[2]!COMPROMISOS_2024[[#All],[Bolsa]],PAA_4[[#This Row],[BOLSA]],[2]!COMPROMISOS_2024[[#All],[rubro]],PAA_4[[#This Row],[RCP-RUBRO]]))</f>
        <v>0</v>
      </c>
      <c r="AK1290" s="47" t="e" cm="1">
        <f t="array" aca="1" ref="AK1290" ca="1">_xlfn.XLOOKUP(PAA_4[[#This Row],[RCP-RUBRO]],[2]!COMPROMISOS_2024[[#All],[concatenado]],[2]!COMPROMISOS_2024[[#All],[Total Comprometido]],"",0)</f>
        <v>#NAME?</v>
      </c>
      <c r="AL1290" s="47">
        <f>IF(PAA_4[[#This Row],[BOLSA]]=0,0,SUMIFS([2]!COMPROMISOS_2024[[#All],[Total Comprometido]],[2]!COMPROMISOS_2024[[#All],[Bolsa]],PAA_4[[#This Row],[BOLSA]],[2]!COMPROMISOS_2024[[#All],[concatenado]],PAA_4[[#This Row],[RCP-RUBRO]]))</f>
        <v>0</v>
      </c>
    </row>
    <row r="1291" spans="1:38" s="19" customFormat="1" ht="31.5" customHeight="1">
      <c r="A1291" s="47">
        <v>452</v>
      </c>
      <c r="B1291" s="47">
        <v>80111600</v>
      </c>
      <c r="C1291" s="47" t="str">
        <f>VLOOKUP(PAA_4[[#This Row],[PROYECTO (formulado)2]],[2]PROYECTOS!$G$1:$L$32,6,0)</f>
        <v>SUBGERENCIA DE FOMENTO Y DESARROLLO</v>
      </c>
      <c r="D1291" s="47" t="str">
        <f>+IF(PAA_4[[#This Row],[UNIDAD DE CONTRATACION (formulado)]]="Subgerencia Administrativa y Financiera","FUNCIONAMIENTO","INVERSIÓN")</f>
        <v>INVERSIÓN</v>
      </c>
      <c r="E1291" s="48" t="str">
        <f>VLOOKUP(Q1291,[2]PROYECTOS!$G$1:$K$32,5,0)</f>
        <v>FORTALECIMIENTO_DE_LOS_PROGRAMAS_RECREATIVOS_EN_LOS_MUNICIPIOS_DEL_DEPARTAMENTO_DE_ANTIOQUIA</v>
      </c>
      <c r="F1291" s="48">
        <f>VLOOKUP(E1291,[2]PROYECTOS!$K$1:$M$32,3,0)</f>
        <v>2020003050031</v>
      </c>
      <c r="G1291" s="49" t="s">
        <v>353</v>
      </c>
      <c r="H1291" s="49" t="str">
        <f>VLOOKUP(Q1291,[2]PROYECTOS!$V$1:$W$32,2,0)</f>
        <v>050064</v>
      </c>
      <c r="I1291" s="50">
        <v>0</v>
      </c>
      <c r="J1291" s="51" t="s">
        <v>42</v>
      </c>
      <c r="K1291" s="47" t="str">
        <f t="shared" ca="1" si="466"/>
        <v>CONTRATADO</v>
      </c>
      <c r="L1291" s="47" t="s">
        <v>94</v>
      </c>
      <c r="M1291" s="47" t="s">
        <v>1297</v>
      </c>
      <c r="N1291" s="52" t="s">
        <v>355</v>
      </c>
      <c r="O1291" s="51" t="e">
        <f>VLOOKUP(N1291,[2]!RUBROS[#All],3,0)</f>
        <v>#REF!</v>
      </c>
      <c r="P1291" s="53" t="e">
        <f>VLOOKUP(N1291,[2]!RUBROS[#All],2,0)</f>
        <v>#REF!</v>
      </c>
      <c r="Q1291" s="47" t="str">
        <f t="shared" si="467"/>
        <v>47</v>
      </c>
      <c r="R1291" s="47" t="str">
        <f t="shared" si="468"/>
        <v>0-205128</v>
      </c>
      <c r="S1291" s="54">
        <v>10</v>
      </c>
      <c r="T1291" s="59" t="s">
        <v>46</v>
      </c>
      <c r="U1291" s="326" t="e">
        <f ca="1">_xlfn.XLOOKUP(PAA_4[[#This Row],[ITEM]],[2]Contrato!A:A,[2]Contrato!Q:Q,"",0)</f>
        <v>#NAME?</v>
      </c>
      <c r="V1291" s="47" t="s">
        <v>47</v>
      </c>
      <c r="W1291" s="47" t="s">
        <v>96</v>
      </c>
      <c r="X1291" s="47" t="s">
        <v>96</v>
      </c>
      <c r="Y1291" s="55" t="e">
        <f ca="1">_xlfn.XLOOKUP(PAA_4[[#This Row],[ITEM]],[2]Contrato!A:A,[2]Contrato!B:B,"",0)</f>
        <v>#NAME?</v>
      </c>
      <c r="Z1291" s="47" t="e">
        <f ca="1">_xlfn.XLOOKUP(PAA_4[[#This Row],[ITEM]],[2]Contrato!A:A,[2]Contrato!G:G,"",0)</f>
        <v>#NAME?</v>
      </c>
      <c r="AA1291" s="47" t="e">
        <f ca="1">_xlfn.XLOOKUP(PAA_4[[#This Row],[ITEM]],[2]Contrato!A:A,[2]Contrato!T:T,"",0)</f>
        <v>#NAME?</v>
      </c>
      <c r="AB1291" s="55" t="e">
        <f ca="1">+MAX(PAA_4[[#This Row],[Comprometido Contrato]],PAA_4[[#This Row],[Comprometido Bolsa]])</f>
        <v>#NAME?</v>
      </c>
      <c r="AC1291" s="55" t="str">
        <f t="shared" ca="1" si="469"/>
        <v/>
      </c>
      <c r="AD1291" s="55" t="e">
        <f ca="1">IF(PAA_4[[#This Row],[ESTADO (formulado)]]="NO CONTRATADO",0,MAX(PAA_4[[#This Row],[Pago por Contrato]],PAA_4[[#This Row],[Pago por bolsa]]))</f>
        <v>#NAME?</v>
      </c>
      <c r="AE1291" s="55" t="str">
        <f t="shared" ca="1" si="470"/>
        <v/>
      </c>
      <c r="AF1291" s="47" t="e">
        <f t="shared" ca="1" si="471"/>
        <v>#NAME?</v>
      </c>
      <c r="AG1291" s="47">
        <f t="shared" si="472"/>
        <v>44021004</v>
      </c>
      <c r="AH1291" s="54">
        <f>IF(Q1291="22",IF(ISNUMBER(SEARCH("econ",PAA_4[[#This Row],[Actividad3]])),"Económico",IF(ISNUMBER(SEARCH("alim",PAA_4[[#This Row],[Actividad3]])),"Alimentación",IF(ISNUMBER(SEARCH("educ",PAA_4[[#This Row],[Actividad3]])),"Educativo","Técnico"))),0)</f>
        <v>0</v>
      </c>
      <c r="AI1291" s="47" t="e" cm="1">
        <f t="array" aca="1" ref="AI1291" ca="1">_xlfn.XLOOKUP(PAA_4[[#This Row],[RCP-RUBRO]],[2]!COMPROMISOS_2024[[#All],[concatenado]],[2]!COMPROMISOS_2024[[#All],[Total pagado]],"",0)</f>
        <v>#NAME?</v>
      </c>
      <c r="AJ1291" s="56">
        <f>IF(PAA_4[[#This Row],[BOLSA]]=0,0,SUMIFS([2]!COMPROMISOS_2024[[#All],[Total pagado]],[2]!COMPROMISOS_2024[[#All],[Bolsa]],PAA_4[[#This Row],[BOLSA]],[2]!COMPROMISOS_2024[[#All],[rubro]],PAA_4[[#This Row],[RCP-RUBRO]]))</f>
        <v>0</v>
      </c>
      <c r="AK1291" s="47" t="e" cm="1">
        <f t="array" aca="1" ref="AK1291" ca="1">_xlfn.XLOOKUP(PAA_4[[#This Row],[RCP-RUBRO]],[2]!COMPROMISOS_2024[[#All],[concatenado]],[2]!COMPROMISOS_2024[[#All],[Total Comprometido]],"",0)</f>
        <v>#NAME?</v>
      </c>
      <c r="AL1291" s="47">
        <f>IF(PAA_4[[#This Row],[BOLSA]]=0,0,SUMIFS([2]!COMPROMISOS_2024[[#All],[Total Comprometido]],[2]!COMPROMISOS_2024[[#All],[Bolsa]],PAA_4[[#This Row],[BOLSA]],[2]!COMPROMISOS_2024[[#All],[concatenado]],PAA_4[[#This Row],[RCP-RUBRO]]))</f>
        <v>0</v>
      </c>
    </row>
    <row r="1292" spans="1:38" s="19" customFormat="1" ht="31.5" customHeight="1">
      <c r="A1292" s="47">
        <v>453</v>
      </c>
      <c r="B1292" s="47">
        <v>80111600</v>
      </c>
      <c r="C1292" s="47" t="str">
        <f>VLOOKUP(PAA_4[[#This Row],[PROYECTO (formulado)2]],[2]PROYECTOS!$G$1:$L$32,6,0)</f>
        <v>SUBGERENCIA DE FOMENTO Y DESARROLLO</v>
      </c>
      <c r="D1292" s="47" t="str">
        <f>+IF(PAA_4[[#This Row],[UNIDAD DE CONTRATACION (formulado)]]="Subgerencia Administrativa y Financiera","FUNCIONAMIENTO","INVERSIÓN")</f>
        <v>INVERSIÓN</v>
      </c>
      <c r="E1292" s="48" t="str">
        <f>VLOOKUP(Q1292,[2]PROYECTOS!$G$1:$K$32,5,0)</f>
        <v>FORTALECIMIENTO_DE_LOS_PROGRAMAS_RECREATIVOS_EN_LOS_MUNICIPIOS_DEL_DEPARTAMENTO_DE_ANTIOQUIA</v>
      </c>
      <c r="F1292" s="48">
        <f>VLOOKUP(E1292,[2]PROYECTOS!$K$1:$M$32,3,0)</f>
        <v>2020003050031</v>
      </c>
      <c r="G1292" s="49" t="s">
        <v>389</v>
      </c>
      <c r="H1292" s="49" t="str">
        <f>VLOOKUP(Q1292,[2]PROYECTOS!$V$1:$W$32,2,0)</f>
        <v>050064</v>
      </c>
      <c r="I1292" s="50">
        <v>0</v>
      </c>
      <c r="J1292" s="51" t="s">
        <v>42</v>
      </c>
      <c r="K1292" s="47" t="str">
        <f t="shared" ca="1" si="466"/>
        <v>CONTRATADO</v>
      </c>
      <c r="L1292" s="47" t="s">
        <v>94</v>
      </c>
      <c r="M1292" s="47" t="s">
        <v>1297</v>
      </c>
      <c r="N1292" s="52" t="s">
        <v>355</v>
      </c>
      <c r="O1292" s="51" t="e">
        <f>VLOOKUP(N1292,[2]!RUBROS[#All],3,0)</f>
        <v>#REF!</v>
      </c>
      <c r="P1292" s="53" t="e">
        <f>VLOOKUP(N1292,[2]!RUBROS[#All],2,0)</f>
        <v>#REF!</v>
      </c>
      <c r="Q1292" s="47" t="str">
        <f t="shared" si="467"/>
        <v>47</v>
      </c>
      <c r="R1292" s="47" t="str">
        <f t="shared" si="468"/>
        <v>0-205128</v>
      </c>
      <c r="S1292" s="54">
        <v>10</v>
      </c>
      <c r="T1292" s="59" t="s">
        <v>46</v>
      </c>
      <c r="U1292" s="326" t="e">
        <f ca="1">_xlfn.XLOOKUP(PAA_4[[#This Row],[ITEM]],[2]Contrato!A:A,[2]Contrato!Q:Q,"",0)</f>
        <v>#NAME?</v>
      </c>
      <c r="V1292" s="47" t="s">
        <v>47</v>
      </c>
      <c r="W1292" s="47" t="s">
        <v>96</v>
      </c>
      <c r="X1292" s="47" t="s">
        <v>96</v>
      </c>
      <c r="Y1292" s="55" t="e">
        <f ca="1">_xlfn.XLOOKUP(PAA_4[[#This Row],[ITEM]],[2]Contrato!A:A,[2]Contrato!B:B,"",0)</f>
        <v>#NAME?</v>
      </c>
      <c r="Z1292" s="47" t="e">
        <f ca="1">_xlfn.XLOOKUP(PAA_4[[#This Row],[ITEM]],[2]Contrato!A:A,[2]Contrato!G:G,"",0)</f>
        <v>#NAME?</v>
      </c>
      <c r="AA1292" s="47" t="e">
        <f ca="1">_xlfn.XLOOKUP(PAA_4[[#This Row],[ITEM]],[2]Contrato!A:A,[2]Contrato!T:T,"",0)</f>
        <v>#NAME?</v>
      </c>
      <c r="AB1292" s="55" t="e">
        <f ca="1">+MAX(PAA_4[[#This Row],[Comprometido Contrato]],PAA_4[[#This Row],[Comprometido Bolsa]])</f>
        <v>#NAME?</v>
      </c>
      <c r="AC1292" s="55" t="str">
        <f t="shared" ca="1" si="469"/>
        <v/>
      </c>
      <c r="AD1292" s="55" t="e">
        <f ca="1">IF(PAA_4[[#This Row],[ESTADO (formulado)]]="NO CONTRATADO",0,MAX(PAA_4[[#This Row],[Pago por Contrato]],PAA_4[[#This Row],[Pago por bolsa]]))</f>
        <v>#NAME?</v>
      </c>
      <c r="AE1292" s="55" t="str">
        <f t="shared" ca="1" si="470"/>
        <v/>
      </c>
      <c r="AF1292" s="47" t="e">
        <f t="shared" ca="1" si="471"/>
        <v>#NAME?</v>
      </c>
      <c r="AG1292" s="47">
        <f t="shared" si="472"/>
        <v>44021004</v>
      </c>
      <c r="AH1292" s="54">
        <f>IF(Q1292="22",IF(ISNUMBER(SEARCH("econ",PAA_4[[#This Row],[Actividad3]])),"Económico",IF(ISNUMBER(SEARCH("alim",PAA_4[[#This Row],[Actividad3]])),"Alimentación",IF(ISNUMBER(SEARCH("educ",PAA_4[[#This Row],[Actividad3]])),"Educativo","Técnico"))),0)</f>
        <v>0</v>
      </c>
      <c r="AI1292" s="47" t="e" cm="1">
        <f t="array" aca="1" ref="AI1292" ca="1">_xlfn.XLOOKUP(PAA_4[[#This Row],[RCP-RUBRO]],[2]!COMPROMISOS_2024[[#All],[concatenado]],[2]!COMPROMISOS_2024[[#All],[Total pagado]],"",0)</f>
        <v>#NAME?</v>
      </c>
      <c r="AJ1292" s="56">
        <f>IF(PAA_4[[#This Row],[BOLSA]]=0,0,SUMIFS([2]!COMPROMISOS_2024[[#All],[Total pagado]],[2]!COMPROMISOS_2024[[#All],[Bolsa]],PAA_4[[#This Row],[BOLSA]],[2]!COMPROMISOS_2024[[#All],[rubro]],PAA_4[[#This Row],[RCP-RUBRO]]))</f>
        <v>0</v>
      </c>
      <c r="AK1292" s="47" t="e" cm="1">
        <f t="array" aca="1" ref="AK1292" ca="1">_xlfn.XLOOKUP(PAA_4[[#This Row],[RCP-RUBRO]],[2]!COMPROMISOS_2024[[#All],[concatenado]],[2]!COMPROMISOS_2024[[#All],[Total Comprometido]],"",0)</f>
        <v>#NAME?</v>
      </c>
      <c r="AL1292" s="47">
        <f>IF(PAA_4[[#This Row],[BOLSA]]=0,0,SUMIFS([2]!COMPROMISOS_2024[[#All],[Total Comprometido]],[2]!COMPROMISOS_2024[[#All],[Bolsa]],PAA_4[[#This Row],[BOLSA]],[2]!COMPROMISOS_2024[[#All],[concatenado]],PAA_4[[#This Row],[RCP-RUBRO]]))</f>
        <v>0</v>
      </c>
    </row>
    <row r="1293" spans="1:38" s="19" customFormat="1" ht="31.5" customHeight="1">
      <c r="A1293" s="47">
        <v>454</v>
      </c>
      <c r="B1293" s="47">
        <v>80111600</v>
      </c>
      <c r="C1293" s="47" t="str">
        <f>VLOOKUP(PAA_4[[#This Row],[PROYECTO (formulado)2]],[2]PROYECTOS!$G$1:$L$32,6,0)</f>
        <v>SUBGERENCIA DE FOMENTO Y DESARROLLO</v>
      </c>
      <c r="D1293" s="47" t="str">
        <f>+IF(PAA_4[[#This Row],[UNIDAD DE CONTRATACION (formulado)]]="Subgerencia Administrativa y Financiera","FUNCIONAMIENTO","INVERSIÓN")</f>
        <v>INVERSIÓN</v>
      </c>
      <c r="E1293" s="48" t="str">
        <f>VLOOKUP(Q1293,[2]PROYECTOS!$G$1:$K$32,5,0)</f>
        <v>FORTALECIMIENTO_DE_LOS_PROGRAMAS_RECREATIVOS_EN_LOS_MUNICIPIOS_DEL_DEPARTAMENTO_DE_ANTIOQUIA</v>
      </c>
      <c r="F1293" s="48">
        <f>VLOOKUP(E1293,[2]PROYECTOS!$K$1:$M$32,3,0)</f>
        <v>2020003050031</v>
      </c>
      <c r="G1293" s="49" t="s">
        <v>389</v>
      </c>
      <c r="H1293" s="49" t="str">
        <f>VLOOKUP(Q1293,[2]PROYECTOS!$V$1:$W$32,2,0)</f>
        <v>050064</v>
      </c>
      <c r="I1293" s="50">
        <v>0</v>
      </c>
      <c r="J1293" s="51" t="s">
        <v>42</v>
      </c>
      <c r="K1293" s="47" t="str">
        <f t="shared" ca="1" si="466"/>
        <v>CONTRATADO</v>
      </c>
      <c r="L1293" s="47" t="s">
        <v>94</v>
      </c>
      <c r="M1293" s="47" t="s">
        <v>1297</v>
      </c>
      <c r="N1293" s="52" t="s">
        <v>355</v>
      </c>
      <c r="O1293" s="51" t="e">
        <f>VLOOKUP(N1293,[2]!RUBROS[#All],3,0)</f>
        <v>#REF!</v>
      </c>
      <c r="P1293" s="53" t="e">
        <f>VLOOKUP(N1293,[2]!RUBROS[#All],2,0)</f>
        <v>#REF!</v>
      </c>
      <c r="Q1293" s="47" t="str">
        <f t="shared" si="467"/>
        <v>47</v>
      </c>
      <c r="R1293" s="47" t="str">
        <f t="shared" si="468"/>
        <v>0-205128</v>
      </c>
      <c r="S1293" s="54">
        <v>10</v>
      </c>
      <c r="T1293" s="59" t="s">
        <v>46</v>
      </c>
      <c r="U1293" s="326" t="e">
        <f ca="1">_xlfn.XLOOKUP(PAA_4[[#This Row],[ITEM]],[2]Contrato!A:A,[2]Contrato!Q:Q,"",0)</f>
        <v>#NAME?</v>
      </c>
      <c r="V1293" s="47" t="s">
        <v>47</v>
      </c>
      <c r="W1293" s="47" t="s">
        <v>96</v>
      </c>
      <c r="X1293" s="47" t="s">
        <v>96</v>
      </c>
      <c r="Y1293" s="55" t="e">
        <f ca="1">_xlfn.XLOOKUP(PAA_4[[#This Row],[ITEM]],[2]Contrato!A:A,[2]Contrato!B:B,"",0)</f>
        <v>#NAME?</v>
      </c>
      <c r="Z1293" s="47" t="e">
        <f ca="1">_xlfn.XLOOKUP(PAA_4[[#This Row],[ITEM]],[2]Contrato!A:A,[2]Contrato!G:G,"",0)</f>
        <v>#NAME?</v>
      </c>
      <c r="AA1293" s="47" t="e">
        <f ca="1">_xlfn.XLOOKUP(PAA_4[[#This Row],[ITEM]],[2]Contrato!A:A,[2]Contrato!T:T,"",0)</f>
        <v>#NAME?</v>
      </c>
      <c r="AB1293" s="55" t="e">
        <f ca="1">+MAX(PAA_4[[#This Row],[Comprometido Contrato]],PAA_4[[#This Row],[Comprometido Bolsa]])</f>
        <v>#NAME?</v>
      </c>
      <c r="AC1293" s="55" t="str">
        <f t="shared" ca="1" si="469"/>
        <v/>
      </c>
      <c r="AD1293" s="55" t="e">
        <f ca="1">IF(PAA_4[[#This Row],[ESTADO (formulado)]]="NO CONTRATADO",0,MAX(PAA_4[[#This Row],[Pago por Contrato]],PAA_4[[#This Row],[Pago por bolsa]]))</f>
        <v>#NAME?</v>
      </c>
      <c r="AE1293" s="55" t="str">
        <f t="shared" ca="1" si="470"/>
        <v/>
      </c>
      <c r="AF1293" s="47" t="e">
        <f t="shared" ca="1" si="471"/>
        <v>#NAME?</v>
      </c>
      <c r="AG1293" s="47">
        <f t="shared" si="472"/>
        <v>44021004</v>
      </c>
      <c r="AH1293" s="54">
        <f>IF(Q1293="22",IF(ISNUMBER(SEARCH("econ",PAA_4[[#This Row],[Actividad3]])),"Económico",IF(ISNUMBER(SEARCH("alim",PAA_4[[#This Row],[Actividad3]])),"Alimentación",IF(ISNUMBER(SEARCH("educ",PAA_4[[#This Row],[Actividad3]])),"Educativo","Técnico"))),0)</f>
        <v>0</v>
      </c>
      <c r="AI1293" s="47" t="e" cm="1">
        <f t="array" aca="1" ref="AI1293" ca="1">_xlfn.XLOOKUP(PAA_4[[#This Row],[RCP-RUBRO]],[2]!COMPROMISOS_2024[[#All],[concatenado]],[2]!COMPROMISOS_2024[[#All],[Total pagado]],"",0)</f>
        <v>#NAME?</v>
      </c>
      <c r="AJ1293" s="56">
        <f>IF(PAA_4[[#This Row],[BOLSA]]=0,0,SUMIFS([2]!COMPROMISOS_2024[[#All],[Total pagado]],[2]!COMPROMISOS_2024[[#All],[Bolsa]],PAA_4[[#This Row],[BOLSA]],[2]!COMPROMISOS_2024[[#All],[rubro]],PAA_4[[#This Row],[RCP-RUBRO]]))</f>
        <v>0</v>
      </c>
      <c r="AK1293" s="47" t="e" cm="1">
        <f t="array" aca="1" ref="AK1293" ca="1">_xlfn.XLOOKUP(PAA_4[[#This Row],[RCP-RUBRO]],[2]!COMPROMISOS_2024[[#All],[concatenado]],[2]!COMPROMISOS_2024[[#All],[Total Comprometido]],"",0)</f>
        <v>#NAME?</v>
      </c>
      <c r="AL1293" s="47">
        <f>IF(PAA_4[[#This Row],[BOLSA]]=0,0,SUMIFS([2]!COMPROMISOS_2024[[#All],[Total Comprometido]],[2]!COMPROMISOS_2024[[#All],[Bolsa]],PAA_4[[#This Row],[BOLSA]],[2]!COMPROMISOS_2024[[#All],[concatenado]],PAA_4[[#This Row],[RCP-RUBRO]]))</f>
        <v>0</v>
      </c>
    </row>
    <row r="1294" spans="1:38" s="19" customFormat="1" ht="31.5" customHeight="1">
      <c r="A1294" s="47">
        <v>455</v>
      </c>
      <c r="B1294" s="47">
        <v>80111600</v>
      </c>
      <c r="C1294" s="47" t="str">
        <f>VLOOKUP(PAA_4[[#This Row],[PROYECTO (formulado)2]],[2]PROYECTOS!$G$1:$L$32,6,0)</f>
        <v>SUBGERENCIA DE FOMENTO Y DESARROLLO</v>
      </c>
      <c r="D1294" s="47" t="str">
        <f>+IF(PAA_4[[#This Row],[UNIDAD DE CONTRATACION (formulado)]]="Subgerencia Administrativa y Financiera","FUNCIONAMIENTO","INVERSIÓN")</f>
        <v>INVERSIÓN</v>
      </c>
      <c r="E1294" s="48" t="str">
        <f>VLOOKUP(Q1294,[2]PROYECTOS!$G$1:$K$32,5,0)</f>
        <v>FORTALECIMIENTO_DE_LOS_PROGRAMAS_RECREATIVOS_EN_LOS_MUNICIPIOS_DEL_DEPARTAMENTO_DE_ANTIOQUIA</v>
      </c>
      <c r="F1294" s="48">
        <f>VLOOKUP(E1294,[2]PROYECTOS!$K$1:$M$32,3,0)</f>
        <v>2020003050031</v>
      </c>
      <c r="G1294" s="49" t="s">
        <v>389</v>
      </c>
      <c r="H1294" s="49" t="str">
        <f>VLOOKUP(Q1294,[2]PROYECTOS!$V$1:$W$32,2,0)</f>
        <v>050064</v>
      </c>
      <c r="I1294" s="50">
        <v>0</v>
      </c>
      <c r="J1294" s="51" t="s">
        <v>42</v>
      </c>
      <c r="K1294" s="47" t="str">
        <f t="shared" ca="1" si="466"/>
        <v>CONTRATADO</v>
      </c>
      <c r="L1294" s="47" t="s">
        <v>94</v>
      </c>
      <c r="M1294" s="47" t="s">
        <v>1297</v>
      </c>
      <c r="N1294" s="52" t="s">
        <v>355</v>
      </c>
      <c r="O1294" s="51" t="e">
        <f>VLOOKUP(N1294,[2]!RUBROS[#All],3,0)</f>
        <v>#REF!</v>
      </c>
      <c r="P1294" s="53" t="e">
        <f>VLOOKUP(N1294,[2]!RUBROS[#All],2,0)</f>
        <v>#REF!</v>
      </c>
      <c r="Q1294" s="47" t="str">
        <f t="shared" si="467"/>
        <v>47</v>
      </c>
      <c r="R1294" s="47" t="str">
        <f t="shared" si="468"/>
        <v>0-205128</v>
      </c>
      <c r="S1294" s="54">
        <v>10</v>
      </c>
      <c r="T1294" s="59" t="s">
        <v>46</v>
      </c>
      <c r="U1294" s="326" t="e">
        <f ca="1">_xlfn.XLOOKUP(PAA_4[[#This Row],[ITEM]],[2]Contrato!A:A,[2]Contrato!Q:Q,"",0)</f>
        <v>#NAME?</v>
      </c>
      <c r="V1294" s="47" t="s">
        <v>47</v>
      </c>
      <c r="W1294" s="47" t="s">
        <v>96</v>
      </c>
      <c r="X1294" s="47" t="s">
        <v>96</v>
      </c>
      <c r="Y1294" s="55" t="e">
        <f ca="1">_xlfn.XLOOKUP(PAA_4[[#This Row],[ITEM]],[2]Contrato!A:A,[2]Contrato!B:B,"",0)</f>
        <v>#NAME?</v>
      </c>
      <c r="Z1294" s="47" t="e">
        <f ca="1">_xlfn.XLOOKUP(PAA_4[[#This Row],[ITEM]],[2]Contrato!A:A,[2]Contrato!G:G,"",0)</f>
        <v>#NAME?</v>
      </c>
      <c r="AA1294" s="47" t="e">
        <f ca="1">_xlfn.XLOOKUP(PAA_4[[#This Row],[ITEM]],[2]Contrato!A:A,[2]Contrato!T:T,"",0)</f>
        <v>#NAME?</v>
      </c>
      <c r="AB1294" s="55" t="e">
        <f ca="1">+MAX(PAA_4[[#This Row],[Comprometido Contrato]],PAA_4[[#This Row],[Comprometido Bolsa]])</f>
        <v>#NAME?</v>
      </c>
      <c r="AC1294" s="55" t="str">
        <f t="shared" ca="1" si="469"/>
        <v/>
      </c>
      <c r="AD1294" s="55" t="e">
        <f ca="1">IF(PAA_4[[#This Row],[ESTADO (formulado)]]="NO CONTRATADO",0,MAX(PAA_4[[#This Row],[Pago por Contrato]],PAA_4[[#This Row],[Pago por bolsa]]))</f>
        <v>#NAME?</v>
      </c>
      <c r="AE1294" s="55" t="str">
        <f t="shared" ca="1" si="470"/>
        <v/>
      </c>
      <c r="AF1294" s="47" t="e">
        <f t="shared" ca="1" si="471"/>
        <v>#NAME?</v>
      </c>
      <c r="AG1294" s="47">
        <f t="shared" si="472"/>
        <v>44021004</v>
      </c>
      <c r="AH1294" s="54">
        <f>IF(Q1294="22",IF(ISNUMBER(SEARCH("econ",PAA_4[[#This Row],[Actividad3]])),"Económico",IF(ISNUMBER(SEARCH("alim",PAA_4[[#This Row],[Actividad3]])),"Alimentación",IF(ISNUMBER(SEARCH("educ",PAA_4[[#This Row],[Actividad3]])),"Educativo","Técnico"))),0)</f>
        <v>0</v>
      </c>
      <c r="AI1294" s="47" t="e" cm="1">
        <f t="array" aca="1" ref="AI1294" ca="1">_xlfn.XLOOKUP(PAA_4[[#This Row],[RCP-RUBRO]],[2]!COMPROMISOS_2024[[#All],[concatenado]],[2]!COMPROMISOS_2024[[#All],[Total pagado]],"",0)</f>
        <v>#NAME?</v>
      </c>
      <c r="AJ1294" s="56">
        <f>IF(PAA_4[[#This Row],[BOLSA]]=0,0,SUMIFS([2]!COMPROMISOS_2024[[#All],[Total pagado]],[2]!COMPROMISOS_2024[[#All],[Bolsa]],PAA_4[[#This Row],[BOLSA]],[2]!COMPROMISOS_2024[[#All],[rubro]],PAA_4[[#This Row],[RCP-RUBRO]]))</f>
        <v>0</v>
      </c>
      <c r="AK1294" s="47" t="e" cm="1">
        <f t="array" aca="1" ref="AK1294" ca="1">_xlfn.XLOOKUP(PAA_4[[#This Row],[RCP-RUBRO]],[2]!COMPROMISOS_2024[[#All],[concatenado]],[2]!COMPROMISOS_2024[[#All],[Total Comprometido]],"",0)</f>
        <v>#NAME?</v>
      </c>
      <c r="AL1294" s="47">
        <f>IF(PAA_4[[#This Row],[BOLSA]]=0,0,SUMIFS([2]!COMPROMISOS_2024[[#All],[Total Comprometido]],[2]!COMPROMISOS_2024[[#All],[Bolsa]],PAA_4[[#This Row],[BOLSA]],[2]!COMPROMISOS_2024[[#All],[concatenado]],PAA_4[[#This Row],[RCP-RUBRO]]))</f>
        <v>0</v>
      </c>
    </row>
    <row r="1295" spans="1:38" s="19" customFormat="1" ht="31.5" customHeight="1">
      <c r="A1295" s="47">
        <v>456</v>
      </c>
      <c r="B1295" s="47">
        <v>80111600</v>
      </c>
      <c r="C1295" s="47" t="str">
        <f>VLOOKUP(PAA_4[[#This Row],[PROYECTO (formulado)2]],[2]PROYECTOS!$G$1:$L$32,6,0)</f>
        <v>SUBGERENCIA DE FOMENTO Y DESARROLLO</v>
      </c>
      <c r="D1295" s="47" t="str">
        <f>+IF(PAA_4[[#This Row],[UNIDAD DE CONTRATACION (formulado)]]="Subgerencia Administrativa y Financiera","FUNCIONAMIENTO","INVERSIÓN")</f>
        <v>INVERSIÓN</v>
      </c>
      <c r="E1295" s="48" t="str">
        <f>VLOOKUP(Q1295,[2]PROYECTOS!$G$1:$K$32,5,0)</f>
        <v>FORTALECIMIENTO_DE_LOS_PROGRAMAS_RECREATIVOS_EN_LOS_MUNICIPIOS_DEL_DEPARTAMENTO_DE_ANTIOQUIA</v>
      </c>
      <c r="F1295" s="48">
        <f>VLOOKUP(E1295,[2]PROYECTOS!$K$1:$M$32,3,0)</f>
        <v>2020003050031</v>
      </c>
      <c r="G1295" s="49" t="s">
        <v>389</v>
      </c>
      <c r="H1295" s="49" t="str">
        <f>VLOOKUP(Q1295,[2]PROYECTOS!$V$1:$W$32,2,0)</f>
        <v>050064</v>
      </c>
      <c r="I1295" s="50">
        <v>0</v>
      </c>
      <c r="J1295" s="51" t="s">
        <v>42</v>
      </c>
      <c r="K1295" s="47" t="str">
        <f t="shared" ca="1" si="466"/>
        <v>CONTRATADO</v>
      </c>
      <c r="L1295" s="47" t="s">
        <v>94</v>
      </c>
      <c r="M1295" s="47" t="s">
        <v>1297</v>
      </c>
      <c r="N1295" s="52" t="s">
        <v>355</v>
      </c>
      <c r="O1295" s="51" t="e">
        <f>VLOOKUP(N1295,[2]!RUBROS[#All],3,0)</f>
        <v>#REF!</v>
      </c>
      <c r="P1295" s="53" t="e">
        <f>VLOOKUP(N1295,[2]!RUBROS[#All],2,0)</f>
        <v>#REF!</v>
      </c>
      <c r="Q1295" s="47" t="str">
        <f t="shared" si="467"/>
        <v>47</v>
      </c>
      <c r="R1295" s="47" t="str">
        <f t="shared" si="468"/>
        <v>0-205128</v>
      </c>
      <c r="S1295" s="54">
        <v>10</v>
      </c>
      <c r="T1295" s="59" t="s">
        <v>46</v>
      </c>
      <c r="U1295" s="326" t="e">
        <f ca="1">_xlfn.XLOOKUP(PAA_4[[#This Row],[ITEM]],[2]Contrato!A:A,[2]Contrato!Q:Q,"",0)</f>
        <v>#NAME?</v>
      </c>
      <c r="V1295" s="47" t="s">
        <v>47</v>
      </c>
      <c r="W1295" s="47" t="s">
        <v>96</v>
      </c>
      <c r="X1295" s="47" t="s">
        <v>96</v>
      </c>
      <c r="Y1295" s="55" t="e">
        <f ca="1">_xlfn.XLOOKUP(PAA_4[[#This Row],[ITEM]],[2]Contrato!A:A,[2]Contrato!B:B,"",0)</f>
        <v>#NAME?</v>
      </c>
      <c r="Z1295" s="47" t="e">
        <f ca="1">_xlfn.XLOOKUP(PAA_4[[#This Row],[ITEM]],[2]Contrato!A:A,[2]Contrato!G:G,"",0)</f>
        <v>#NAME?</v>
      </c>
      <c r="AA1295" s="47" t="e">
        <f ca="1">_xlfn.XLOOKUP(PAA_4[[#This Row],[ITEM]],[2]Contrato!A:A,[2]Contrato!T:T,"",0)</f>
        <v>#NAME?</v>
      </c>
      <c r="AB1295" s="55" t="e">
        <f ca="1">+MAX(PAA_4[[#This Row],[Comprometido Contrato]],PAA_4[[#This Row],[Comprometido Bolsa]])</f>
        <v>#NAME?</v>
      </c>
      <c r="AC1295" s="55" t="str">
        <f t="shared" ca="1" si="469"/>
        <v/>
      </c>
      <c r="AD1295" s="55" t="e">
        <f ca="1">IF(PAA_4[[#This Row],[ESTADO (formulado)]]="NO CONTRATADO",0,MAX(PAA_4[[#This Row],[Pago por Contrato]],PAA_4[[#This Row],[Pago por bolsa]]))</f>
        <v>#NAME?</v>
      </c>
      <c r="AE1295" s="55" t="str">
        <f t="shared" ca="1" si="470"/>
        <v/>
      </c>
      <c r="AF1295" s="47" t="e">
        <f t="shared" ca="1" si="471"/>
        <v>#NAME?</v>
      </c>
      <c r="AG1295" s="47">
        <f t="shared" si="472"/>
        <v>44021004</v>
      </c>
      <c r="AH1295" s="54">
        <f>IF(Q1295="22",IF(ISNUMBER(SEARCH("econ",PAA_4[[#This Row],[Actividad3]])),"Económico",IF(ISNUMBER(SEARCH("alim",PAA_4[[#This Row],[Actividad3]])),"Alimentación",IF(ISNUMBER(SEARCH("educ",PAA_4[[#This Row],[Actividad3]])),"Educativo","Técnico"))),0)</f>
        <v>0</v>
      </c>
      <c r="AI1295" s="47" t="e" cm="1">
        <f t="array" aca="1" ref="AI1295" ca="1">_xlfn.XLOOKUP(PAA_4[[#This Row],[RCP-RUBRO]],[2]!COMPROMISOS_2024[[#All],[concatenado]],[2]!COMPROMISOS_2024[[#All],[Total pagado]],"",0)</f>
        <v>#NAME?</v>
      </c>
      <c r="AJ1295" s="56">
        <f>IF(PAA_4[[#This Row],[BOLSA]]=0,0,SUMIFS([2]!COMPROMISOS_2024[[#All],[Total pagado]],[2]!COMPROMISOS_2024[[#All],[Bolsa]],PAA_4[[#This Row],[BOLSA]],[2]!COMPROMISOS_2024[[#All],[rubro]],PAA_4[[#This Row],[RCP-RUBRO]]))</f>
        <v>0</v>
      </c>
      <c r="AK1295" s="47" t="e" cm="1">
        <f t="array" aca="1" ref="AK1295" ca="1">_xlfn.XLOOKUP(PAA_4[[#This Row],[RCP-RUBRO]],[2]!COMPROMISOS_2024[[#All],[concatenado]],[2]!COMPROMISOS_2024[[#All],[Total Comprometido]],"",0)</f>
        <v>#NAME?</v>
      </c>
      <c r="AL1295" s="47">
        <f>IF(PAA_4[[#This Row],[BOLSA]]=0,0,SUMIFS([2]!COMPROMISOS_2024[[#All],[Total Comprometido]],[2]!COMPROMISOS_2024[[#All],[Bolsa]],PAA_4[[#This Row],[BOLSA]],[2]!COMPROMISOS_2024[[#All],[concatenado]],PAA_4[[#This Row],[RCP-RUBRO]]))</f>
        <v>0</v>
      </c>
    </row>
    <row r="1296" spans="1:38" s="19" customFormat="1" ht="31.5" customHeight="1">
      <c r="A1296" s="47">
        <v>457</v>
      </c>
      <c r="B1296" s="47">
        <v>80111600</v>
      </c>
      <c r="C1296" s="47" t="str">
        <f>VLOOKUP(PAA_4[[#This Row],[PROYECTO (formulado)2]],[2]PROYECTOS!$G$1:$L$32,6,0)</f>
        <v>SUBGERENCIA DE FOMENTO Y DESARROLLO</v>
      </c>
      <c r="D1296" s="47" t="str">
        <f>+IF(PAA_4[[#This Row],[UNIDAD DE CONTRATACION (formulado)]]="Subgerencia Administrativa y Financiera","FUNCIONAMIENTO","INVERSIÓN")</f>
        <v>INVERSIÓN</v>
      </c>
      <c r="E1296" s="48" t="str">
        <f>VLOOKUP(Q1296,[2]PROYECTOS!$G$1:$K$32,5,0)</f>
        <v>FORTALECIMIENTO_DE_LOS_PROGRAMAS_RECREATIVOS_EN_LOS_MUNICIPIOS_DEL_DEPARTAMENTO_DE_ANTIOQUIA</v>
      </c>
      <c r="F1296" s="48">
        <f>VLOOKUP(E1296,[2]PROYECTOS!$K$1:$M$32,3,0)</f>
        <v>2020003050031</v>
      </c>
      <c r="G1296" s="49" t="s">
        <v>389</v>
      </c>
      <c r="H1296" s="49" t="str">
        <f>VLOOKUP(Q1296,[2]PROYECTOS!$V$1:$W$32,2,0)</f>
        <v>050064</v>
      </c>
      <c r="I1296" s="50">
        <v>0</v>
      </c>
      <c r="J1296" s="51" t="s">
        <v>42</v>
      </c>
      <c r="K1296" s="47" t="str">
        <f t="shared" ca="1" si="466"/>
        <v>CONTRATADO</v>
      </c>
      <c r="L1296" s="47" t="s">
        <v>94</v>
      </c>
      <c r="M1296" s="47" t="s">
        <v>1297</v>
      </c>
      <c r="N1296" s="52" t="s">
        <v>355</v>
      </c>
      <c r="O1296" s="51" t="e">
        <f>VLOOKUP(N1296,[2]!RUBROS[#All],3,0)</f>
        <v>#REF!</v>
      </c>
      <c r="P1296" s="53" t="e">
        <f>VLOOKUP(N1296,[2]!RUBROS[#All],2,0)</f>
        <v>#REF!</v>
      </c>
      <c r="Q1296" s="47" t="str">
        <f t="shared" si="467"/>
        <v>47</v>
      </c>
      <c r="R1296" s="47" t="str">
        <f t="shared" si="468"/>
        <v>0-205128</v>
      </c>
      <c r="S1296" s="54">
        <v>10</v>
      </c>
      <c r="T1296" s="59" t="s">
        <v>46</v>
      </c>
      <c r="U1296" s="326" t="e">
        <f ca="1">_xlfn.XLOOKUP(PAA_4[[#This Row],[ITEM]],[2]Contrato!A:A,[2]Contrato!Q:Q,"",0)</f>
        <v>#NAME?</v>
      </c>
      <c r="V1296" s="47" t="s">
        <v>47</v>
      </c>
      <c r="W1296" s="47" t="s">
        <v>96</v>
      </c>
      <c r="X1296" s="47" t="s">
        <v>96</v>
      </c>
      <c r="Y1296" s="55" t="e">
        <f ca="1">_xlfn.XLOOKUP(PAA_4[[#This Row],[ITEM]],[2]Contrato!A:A,[2]Contrato!B:B,"",0)</f>
        <v>#NAME?</v>
      </c>
      <c r="Z1296" s="47" t="e">
        <f ca="1">_xlfn.XLOOKUP(PAA_4[[#This Row],[ITEM]],[2]Contrato!A:A,[2]Contrato!G:G,"",0)</f>
        <v>#NAME?</v>
      </c>
      <c r="AA1296" s="47" t="e">
        <f ca="1">_xlfn.XLOOKUP(PAA_4[[#This Row],[ITEM]],[2]Contrato!A:A,[2]Contrato!T:T,"",0)</f>
        <v>#NAME?</v>
      </c>
      <c r="AB1296" s="55" t="e">
        <f ca="1">+MAX(PAA_4[[#This Row],[Comprometido Contrato]],PAA_4[[#This Row],[Comprometido Bolsa]])</f>
        <v>#NAME?</v>
      </c>
      <c r="AC1296" s="55" t="str">
        <f t="shared" ca="1" si="469"/>
        <v/>
      </c>
      <c r="AD1296" s="55" t="e">
        <f ca="1">IF(PAA_4[[#This Row],[ESTADO (formulado)]]="NO CONTRATADO",0,MAX(PAA_4[[#This Row],[Pago por Contrato]],PAA_4[[#This Row],[Pago por bolsa]]))</f>
        <v>#NAME?</v>
      </c>
      <c r="AE1296" s="55" t="str">
        <f t="shared" ca="1" si="470"/>
        <v/>
      </c>
      <c r="AF1296" s="47" t="e">
        <f t="shared" ca="1" si="471"/>
        <v>#NAME?</v>
      </c>
      <c r="AG1296" s="47">
        <f t="shared" si="472"/>
        <v>44021004</v>
      </c>
      <c r="AH1296" s="54">
        <f>IF(Q1296="22",IF(ISNUMBER(SEARCH("econ",PAA_4[[#This Row],[Actividad3]])),"Económico",IF(ISNUMBER(SEARCH("alim",PAA_4[[#This Row],[Actividad3]])),"Alimentación",IF(ISNUMBER(SEARCH("educ",PAA_4[[#This Row],[Actividad3]])),"Educativo","Técnico"))),0)</f>
        <v>0</v>
      </c>
      <c r="AI1296" s="47" t="e" cm="1">
        <f t="array" aca="1" ref="AI1296" ca="1">_xlfn.XLOOKUP(PAA_4[[#This Row],[RCP-RUBRO]],[2]!COMPROMISOS_2024[[#All],[concatenado]],[2]!COMPROMISOS_2024[[#All],[Total pagado]],"",0)</f>
        <v>#NAME?</v>
      </c>
      <c r="AJ1296" s="56">
        <f>IF(PAA_4[[#This Row],[BOLSA]]=0,0,SUMIFS([2]!COMPROMISOS_2024[[#All],[Total pagado]],[2]!COMPROMISOS_2024[[#All],[Bolsa]],PAA_4[[#This Row],[BOLSA]],[2]!COMPROMISOS_2024[[#All],[rubro]],PAA_4[[#This Row],[RCP-RUBRO]]))</f>
        <v>0</v>
      </c>
      <c r="AK1296" s="47" t="e" cm="1">
        <f t="array" aca="1" ref="AK1296" ca="1">_xlfn.XLOOKUP(PAA_4[[#This Row],[RCP-RUBRO]],[2]!COMPROMISOS_2024[[#All],[concatenado]],[2]!COMPROMISOS_2024[[#All],[Total Comprometido]],"",0)</f>
        <v>#NAME?</v>
      </c>
      <c r="AL1296" s="47">
        <f>IF(PAA_4[[#This Row],[BOLSA]]=0,0,SUMIFS([2]!COMPROMISOS_2024[[#All],[Total Comprometido]],[2]!COMPROMISOS_2024[[#All],[Bolsa]],PAA_4[[#This Row],[BOLSA]],[2]!COMPROMISOS_2024[[#All],[concatenado]],PAA_4[[#This Row],[RCP-RUBRO]]))</f>
        <v>0</v>
      </c>
    </row>
    <row r="1297" spans="1:38" s="19" customFormat="1" ht="31.5" customHeight="1">
      <c r="A1297" s="47">
        <v>458</v>
      </c>
      <c r="B1297" s="47">
        <v>80111600</v>
      </c>
      <c r="C1297" s="47" t="str">
        <f>VLOOKUP(PAA_4[[#This Row],[PROYECTO (formulado)2]],[2]PROYECTOS!$G$1:$L$32,6,0)</f>
        <v>SUBGERENCIA DE FOMENTO Y DESARROLLO</v>
      </c>
      <c r="D1297" s="47" t="str">
        <f>+IF(PAA_4[[#This Row],[UNIDAD DE CONTRATACION (formulado)]]="Subgerencia Administrativa y Financiera","FUNCIONAMIENTO","INVERSIÓN")</f>
        <v>INVERSIÓN</v>
      </c>
      <c r="E1297" s="48" t="str">
        <f>VLOOKUP(Q1297,[2]PROYECTOS!$G$1:$K$32,5,0)</f>
        <v>FORTALECIMIENTO_DE_LOS_PROGRAMAS_RECREATIVOS_EN_LOS_MUNICIPIOS_DEL_DEPARTAMENTO_DE_ANTIOQUIA</v>
      </c>
      <c r="F1297" s="48">
        <f>VLOOKUP(E1297,[2]PROYECTOS!$K$1:$M$32,3,0)</f>
        <v>2020003050031</v>
      </c>
      <c r="G1297" s="49" t="s">
        <v>389</v>
      </c>
      <c r="H1297" s="49" t="str">
        <f>VLOOKUP(Q1297,[2]PROYECTOS!$V$1:$W$32,2,0)</f>
        <v>050064</v>
      </c>
      <c r="I1297" s="50">
        <v>0</v>
      </c>
      <c r="J1297" s="51" t="s">
        <v>42</v>
      </c>
      <c r="K1297" s="47" t="str">
        <f t="shared" ca="1" si="466"/>
        <v>CONTRATADO</v>
      </c>
      <c r="L1297" s="47" t="s">
        <v>94</v>
      </c>
      <c r="M1297" s="47" t="s">
        <v>1297</v>
      </c>
      <c r="N1297" s="52" t="s">
        <v>355</v>
      </c>
      <c r="O1297" s="51" t="e">
        <f>VLOOKUP(N1297,[2]!RUBROS[#All],3,0)</f>
        <v>#REF!</v>
      </c>
      <c r="P1297" s="53" t="e">
        <f>VLOOKUP(N1297,[2]!RUBROS[#All],2,0)</f>
        <v>#REF!</v>
      </c>
      <c r="Q1297" s="47" t="str">
        <f t="shared" si="467"/>
        <v>47</v>
      </c>
      <c r="R1297" s="47" t="str">
        <f t="shared" si="468"/>
        <v>0-205128</v>
      </c>
      <c r="S1297" s="54">
        <v>10</v>
      </c>
      <c r="T1297" s="59" t="s">
        <v>46</v>
      </c>
      <c r="U1297" s="326" t="e">
        <f ca="1">_xlfn.XLOOKUP(PAA_4[[#This Row],[ITEM]],[2]Contrato!A:A,[2]Contrato!Q:Q,"",0)</f>
        <v>#NAME?</v>
      </c>
      <c r="V1297" s="47" t="s">
        <v>47</v>
      </c>
      <c r="W1297" s="47" t="s">
        <v>96</v>
      </c>
      <c r="X1297" s="47" t="s">
        <v>96</v>
      </c>
      <c r="Y1297" s="55" t="e">
        <f ca="1">_xlfn.XLOOKUP(PAA_4[[#This Row],[ITEM]],[2]Contrato!A:A,[2]Contrato!B:B,"",0)</f>
        <v>#NAME?</v>
      </c>
      <c r="Z1297" s="47" t="e">
        <f ca="1">_xlfn.XLOOKUP(PAA_4[[#This Row],[ITEM]],[2]Contrato!A:A,[2]Contrato!G:G,"",0)</f>
        <v>#NAME?</v>
      </c>
      <c r="AA1297" s="47" t="e">
        <f ca="1">_xlfn.XLOOKUP(PAA_4[[#This Row],[ITEM]],[2]Contrato!A:A,[2]Contrato!T:T,"",0)</f>
        <v>#NAME?</v>
      </c>
      <c r="AB1297" s="55" t="e">
        <f ca="1">+MAX(PAA_4[[#This Row],[Comprometido Contrato]],PAA_4[[#This Row],[Comprometido Bolsa]])</f>
        <v>#NAME?</v>
      </c>
      <c r="AC1297" s="55" t="str">
        <f t="shared" ca="1" si="469"/>
        <v/>
      </c>
      <c r="AD1297" s="55" t="e">
        <f ca="1">IF(PAA_4[[#This Row],[ESTADO (formulado)]]="NO CONTRATADO",0,MAX(PAA_4[[#This Row],[Pago por Contrato]],PAA_4[[#This Row],[Pago por bolsa]]))</f>
        <v>#NAME?</v>
      </c>
      <c r="AE1297" s="55" t="str">
        <f t="shared" ca="1" si="470"/>
        <v/>
      </c>
      <c r="AF1297" s="47" t="e">
        <f t="shared" ca="1" si="471"/>
        <v>#NAME?</v>
      </c>
      <c r="AG1297" s="47">
        <f t="shared" si="472"/>
        <v>44021004</v>
      </c>
      <c r="AH1297" s="54">
        <f>IF(Q1297="22",IF(ISNUMBER(SEARCH("econ",PAA_4[[#This Row],[Actividad3]])),"Económico",IF(ISNUMBER(SEARCH("alim",PAA_4[[#This Row],[Actividad3]])),"Alimentación",IF(ISNUMBER(SEARCH("educ",PAA_4[[#This Row],[Actividad3]])),"Educativo","Técnico"))),0)</f>
        <v>0</v>
      </c>
      <c r="AI1297" s="47" t="e" cm="1">
        <f t="array" aca="1" ref="AI1297" ca="1">_xlfn.XLOOKUP(PAA_4[[#This Row],[RCP-RUBRO]],[2]!COMPROMISOS_2024[[#All],[concatenado]],[2]!COMPROMISOS_2024[[#All],[Total pagado]],"",0)</f>
        <v>#NAME?</v>
      </c>
      <c r="AJ1297" s="56">
        <f>IF(PAA_4[[#This Row],[BOLSA]]=0,0,SUMIFS([2]!COMPROMISOS_2024[[#All],[Total pagado]],[2]!COMPROMISOS_2024[[#All],[Bolsa]],PAA_4[[#This Row],[BOLSA]],[2]!COMPROMISOS_2024[[#All],[rubro]],PAA_4[[#This Row],[RCP-RUBRO]]))</f>
        <v>0</v>
      </c>
      <c r="AK1297" s="47" t="e" cm="1">
        <f t="array" aca="1" ref="AK1297" ca="1">_xlfn.XLOOKUP(PAA_4[[#This Row],[RCP-RUBRO]],[2]!COMPROMISOS_2024[[#All],[concatenado]],[2]!COMPROMISOS_2024[[#All],[Total Comprometido]],"",0)</f>
        <v>#NAME?</v>
      </c>
      <c r="AL1297" s="47">
        <f>IF(PAA_4[[#This Row],[BOLSA]]=0,0,SUMIFS([2]!COMPROMISOS_2024[[#All],[Total Comprometido]],[2]!COMPROMISOS_2024[[#All],[Bolsa]],PAA_4[[#This Row],[BOLSA]],[2]!COMPROMISOS_2024[[#All],[concatenado]],PAA_4[[#This Row],[RCP-RUBRO]]))</f>
        <v>0</v>
      </c>
    </row>
    <row r="1298" spans="1:38" s="19" customFormat="1" ht="31.5" customHeight="1">
      <c r="A1298" s="47">
        <v>459</v>
      </c>
      <c r="B1298" s="47">
        <v>80111600</v>
      </c>
      <c r="C1298" s="47" t="str">
        <f>VLOOKUP(PAA_4[[#This Row],[PROYECTO (formulado)2]],[2]PROYECTOS!$G$1:$L$32,6,0)</f>
        <v>SUBGERENCIA DE FOMENTO Y DESARROLLO</v>
      </c>
      <c r="D1298" s="47" t="str">
        <f>+IF(PAA_4[[#This Row],[UNIDAD DE CONTRATACION (formulado)]]="Subgerencia Administrativa y Financiera","FUNCIONAMIENTO","INVERSIÓN")</f>
        <v>INVERSIÓN</v>
      </c>
      <c r="E1298" s="48" t="str">
        <f>VLOOKUP(Q1298,[2]PROYECTOS!$G$1:$K$32,5,0)</f>
        <v>FORTALECIMIENTO_DE_LOS_PROGRAMAS_RECREATIVOS_EN_LOS_MUNICIPIOS_DEL_DEPARTAMENTO_DE_ANTIOQUIA</v>
      </c>
      <c r="F1298" s="48">
        <f>VLOOKUP(E1298,[2]PROYECTOS!$K$1:$M$32,3,0)</f>
        <v>2020003050031</v>
      </c>
      <c r="G1298" s="49" t="s">
        <v>389</v>
      </c>
      <c r="H1298" s="49" t="str">
        <f>VLOOKUP(Q1298,[2]PROYECTOS!$V$1:$W$32,2,0)</f>
        <v>050064</v>
      </c>
      <c r="I1298" s="50">
        <v>0</v>
      </c>
      <c r="J1298" s="51" t="s">
        <v>42</v>
      </c>
      <c r="K1298" s="47" t="str">
        <f t="shared" ca="1" si="466"/>
        <v>CONTRATADO</v>
      </c>
      <c r="L1298" s="47" t="s">
        <v>94</v>
      </c>
      <c r="M1298" s="47" t="s">
        <v>1297</v>
      </c>
      <c r="N1298" s="52" t="s">
        <v>355</v>
      </c>
      <c r="O1298" s="51" t="e">
        <f>VLOOKUP(N1298,[2]!RUBROS[#All],3,0)</f>
        <v>#REF!</v>
      </c>
      <c r="P1298" s="53" t="e">
        <f>VLOOKUP(N1298,[2]!RUBROS[#All],2,0)</f>
        <v>#REF!</v>
      </c>
      <c r="Q1298" s="47" t="str">
        <f t="shared" si="467"/>
        <v>47</v>
      </c>
      <c r="R1298" s="47" t="str">
        <f t="shared" si="468"/>
        <v>0-205128</v>
      </c>
      <c r="S1298" s="54">
        <v>10</v>
      </c>
      <c r="T1298" s="59" t="s">
        <v>46</v>
      </c>
      <c r="U1298" s="326" t="e">
        <f ca="1">_xlfn.XLOOKUP(PAA_4[[#This Row],[ITEM]],[2]Contrato!A:A,[2]Contrato!Q:Q,"",0)</f>
        <v>#NAME?</v>
      </c>
      <c r="V1298" s="47" t="s">
        <v>47</v>
      </c>
      <c r="W1298" s="47" t="s">
        <v>96</v>
      </c>
      <c r="X1298" s="47" t="s">
        <v>96</v>
      </c>
      <c r="Y1298" s="55" t="e">
        <f ca="1">_xlfn.XLOOKUP(PAA_4[[#This Row],[ITEM]],[2]Contrato!A:A,[2]Contrato!B:B,"",0)</f>
        <v>#NAME?</v>
      </c>
      <c r="Z1298" s="47" t="e">
        <f ca="1">_xlfn.XLOOKUP(PAA_4[[#This Row],[ITEM]],[2]Contrato!A:A,[2]Contrato!G:G,"",0)</f>
        <v>#NAME?</v>
      </c>
      <c r="AA1298" s="47" t="e">
        <f ca="1">_xlfn.XLOOKUP(PAA_4[[#This Row],[ITEM]],[2]Contrato!A:A,[2]Contrato!T:T,"",0)</f>
        <v>#NAME?</v>
      </c>
      <c r="AB1298" s="55" t="e">
        <f ca="1">+MAX(PAA_4[[#This Row],[Comprometido Contrato]],PAA_4[[#This Row],[Comprometido Bolsa]])</f>
        <v>#NAME?</v>
      </c>
      <c r="AC1298" s="55" t="str">
        <f t="shared" ca="1" si="469"/>
        <v/>
      </c>
      <c r="AD1298" s="55" t="e">
        <f ca="1">IF(PAA_4[[#This Row],[ESTADO (formulado)]]="NO CONTRATADO",0,MAX(PAA_4[[#This Row],[Pago por Contrato]],PAA_4[[#This Row],[Pago por bolsa]]))</f>
        <v>#NAME?</v>
      </c>
      <c r="AE1298" s="55" t="str">
        <f t="shared" ca="1" si="470"/>
        <v/>
      </c>
      <c r="AF1298" s="47" t="e">
        <f t="shared" ca="1" si="471"/>
        <v>#NAME?</v>
      </c>
      <c r="AG1298" s="47">
        <f t="shared" si="472"/>
        <v>44021004</v>
      </c>
      <c r="AH1298" s="54">
        <f>IF(Q1298="22",IF(ISNUMBER(SEARCH("econ",PAA_4[[#This Row],[Actividad3]])),"Económico",IF(ISNUMBER(SEARCH("alim",PAA_4[[#This Row],[Actividad3]])),"Alimentación",IF(ISNUMBER(SEARCH("educ",PAA_4[[#This Row],[Actividad3]])),"Educativo","Técnico"))),0)</f>
        <v>0</v>
      </c>
      <c r="AI1298" s="47" t="e" cm="1">
        <f t="array" aca="1" ref="AI1298" ca="1">_xlfn.XLOOKUP(PAA_4[[#This Row],[RCP-RUBRO]],[2]!COMPROMISOS_2024[[#All],[concatenado]],[2]!COMPROMISOS_2024[[#All],[Total pagado]],"",0)</f>
        <v>#NAME?</v>
      </c>
      <c r="AJ1298" s="56">
        <f>IF(PAA_4[[#This Row],[BOLSA]]=0,0,SUMIFS([2]!COMPROMISOS_2024[[#All],[Total pagado]],[2]!COMPROMISOS_2024[[#All],[Bolsa]],PAA_4[[#This Row],[BOLSA]],[2]!COMPROMISOS_2024[[#All],[rubro]],PAA_4[[#This Row],[RCP-RUBRO]]))</f>
        <v>0</v>
      </c>
      <c r="AK1298" s="47" t="e" cm="1">
        <f t="array" aca="1" ref="AK1298" ca="1">_xlfn.XLOOKUP(PAA_4[[#This Row],[RCP-RUBRO]],[2]!COMPROMISOS_2024[[#All],[concatenado]],[2]!COMPROMISOS_2024[[#All],[Total Comprometido]],"",0)</f>
        <v>#NAME?</v>
      </c>
      <c r="AL1298" s="47">
        <f>IF(PAA_4[[#This Row],[BOLSA]]=0,0,SUMIFS([2]!COMPROMISOS_2024[[#All],[Total Comprometido]],[2]!COMPROMISOS_2024[[#All],[Bolsa]],PAA_4[[#This Row],[BOLSA]],[2]!COMPROMISOS_2024[[#All],[concatenado]],PAA_4[[#This Row],[RCP-RUBRO]]))</f>
        <v>0</v>
      </c>
    </row>
    <row r="1299" spans="1:38" s="19" customFormat="1" ht="31.5" customHeight="1">
      <c r="A1299" s="47">
        <v>460</v>
      </c>
      <c r="B1299" s="47">
        <v>80111600</v>
      </c>
      <c r="C1299" s="47" t="str">
        <f>VLOOKUP(PAA_4[[#This Row],[PROYECTO (formulado)2]],[2]PROYECTOS!$G$1:$L$32,6,0)</f>
        <v>SUBGERENCIA DE FOMENTO Y DESARROLLO</v>
      </c>
      <c r="D1299" s="47" t="str">
        <f>+IF(PAA_4[[#This Row],[UNIDAD DE CONTRATACION (formulado)]]="Subgerencia Administrativa y Financiera","FUNCIONAMIENTO","INVERSIÓN")</f>
        <v>INVERSIÓN</v>
      </c>
      <c r="E1299" s="48" t="str">
        <f>VLOOKUP(Q1299,[2]PROYECTOS!$G$1:$K$32,5,0)</f>
        <v>FORTALECIMIENTO_DE_LOS_PROGRAMAS_RECREATIVOS_EN_LOS_MUNICIPIOS_DEL_DEPARTAMENTO_DE_ANTIOQUIA</v>
      </c>
      <c r="F1299" s="48">
        <f>VLOOKUP(E1299,[2]PROYECTOS!$K$1:$M$32,3,0)</f>
        <v>2020003050031</v>
      </c>
      <c r="G1299" s="49" t="s">
        <v>389</v>
      </c>
      <c r="H1299" s="49" t="str">
        <f>VLOOKUP(Q1299,[2]PROYECTOS!$V$1:$W$32,2,0)</f>
        <v>050064</v>
      </c>
      <c r="I1299" s="50">
        <v>0</v>
      </c>
      <c r="J1299" s="51" t="s">
        <v>42</v>
      </c>
      <c r="K1299" s="47" t="str">
        <f t="shared" ca="1" si="466"/>
        <v>CONTRATADO</v>
      </c>
      <c r="L1299" s="47" t="s">
        <v>94</v>
      </c>
      <c r="M1299" s="47" t="s">
        <v>1297</v>
      </c>
      <c r="N1299" s="52" t="s">
        <v>355</v>
      </c>
      <c r="O1299" s="51" t="e">
        <f>VLOOKUP(N1299,[2]!RUBROS[#All],3,0)</f>
        <v>#REF!</v>
      </c>
      <c r="P1299" s="53" t="e">
        <f>VLOOKUP(N1299,[2]!RUBROS[#All],2,0)</f>
        <v>#REF!</v>
      </c>
      <c r="Q1299" s="47" t="str">
        <f t="shared" si="467"/>
        <v>47</v>
      </c>
      <c r="R1299" s="47" t="str">
        <f t="shared" si="468"/>
        <v>0-205128</v>
      </c>
      <c r="S1299" s="54">
        <v>10</v>
      </c>
      <c r="T1299" s="59" t="s">
        <v>46</v>
      </c>
      <c r="U1299" s="326" t="e">
        <f ca="1">_xlfn.XLOOKUP(PAA_4[[#This Row],[ITEM]],[2]Contrato!A:A,[2]Contrato!Q:Q,"",0)</f>
        <v>#NAME?</v>
      </c>
      <c r="V1299" s="47" t="s">
        <v>47</v>
      </c>
      <c r="W1299" s="47" t="s">
        <v>96</v>
      </c>
      <c r="X1299" s="47" t="s">
        <v>96</v>
      </c>
      <c r="Y1299" s="55" t="e">
        <f ca="1">_xlfn.XLOOKUP(PAA_4[[#This Row],[ITEM]],[2]Contrato!A:A,[2]Contrato!B:B,"",0)</f>
        <v>#NAME?</v>
      </c>
      <c r="Z1299" s="47" t="e">
        <f ca="1">_xlfn.XLOOKUP(PAA_4[[#This Row],[ITEM]],[2]Contrato!A:A,[2]Contrato!G:G,"",0)</f>
        <v>#NAME?</v>
      </c>
      <c r="AA1299" s="47" t="e">
        <f ca="1">_xlfn.XLOOKUP(PAA_4[[#This Row],[ITEM]],[2]Contrato!A:A,[2]Contrato!T:T,"",0)</f>
        <v>#NAME?</v>
      </c>
      <c r="AB1299" s="55" t="e">
        <f ca="1">+MAX(PAA_4[[#This Row],[Comprometido Contrato]],PAA_4[[#This Row],[Comprometido Bolsa]])</f>
        <v>#NAME?</v>
      </c>
      <c r="AC1299" s="55" t="str">
        <f t="shared" ca="1" si="469"/>
        <v/>
      </c>
      <c r="AD1299" s="55" t="e">
        <f ca="1">IF(PAA_4[[#This Row],[ESTADO (formulado)]]="NO CONTRATADO",0,MAX(PAA_4[[#This Row],[Pago por Contrato]],PAA_4[[#This Row],[Pago por bolsa]]))</f>
        <v>#NAME?</v>
      </c>
      <c r="AE1299" s="55" t="str">
        <f t="shared" ca="1" si="470"/>
        <v/>
      </c>
      <c r="AF1299" s="47" t="e">
        <f t="shared" ca="1" si="471"/>
        <v>#NAME?</v>
      </c>
      <c r="AG1299" s="47">
        <f t="shared" si="472"/>
        <v>44021004</v>
      </c>
      <c r="AH1299" s="54">
        <f>IF(Q1299="22",IF(ISNUMBER(SEARCH("econ",PAA_4[[#This Row],[Actividad3]])),"Económico",IF(ISNUMBER(SEARCH("alim",PAA_4[[#This Row],[Actividad3]])),"Alimentación",IF(ISNUMBER(SEARCH("educ",PAA_4[[#This Row],[Actividad3]])),"Educativo","Técnico"))),0)</f>
        <v>0</v>
      </c>
      <c r="AI1299" s="47" t="e" cm="1">
        <f t="array" aca="1" ref="AI1299" ca="1">_xlfn.XLOOKUP(PAA_4[[#This Row],[RCP-RUBRO]],[2]!COMPROMISOS_2024[[#All],[concatenado]],[2]!COMPROMISOS_2024[[#All],[Total pagado]],"",0)</f>
        <v>#NAME?</v>
      </c>
      <c r="AJ1299" s="56">
        <f>IF(PAA_4[[#This Row],[BOLSA]]=0,0,SUMIFS([2]!COMPROMISOS_2024[[#All],[Total pagado]],[2]!COMPROMISOS_2024[[#All],[Bolsa]],PAA_4[[#This Row],[BOLSA]],[2]!COMPROMISOS_2024[[#All],[rubro]],PAA_4[[#This Row],[RCP-RUBRO]]))</f>
        <v>0</v>
      </c>
      <c r="AK1299" s="47" t="e" cm="1">
        <f t="array" aca="1" ref="AK1299" ca="1">_xlfn.XLOOKUP(PAA_4[[#This Row],[RCP-RUBRO]],[2]!COMPROMISOS_2024[[#All],[concatenado]],[2]!COMPROMISOS_2024[[#All],[Total Comprometido]],"",0)</f>
        <v>#NAME?</v>
      </c>
      <c r="AL1299" s="47">
        <f>IF(PAA_4[[#This Row],[BOLSA]]=0,0,SUMIFS([2]!COMPROMISOS_2024[[#All],[Total Comprometido]],[2]!COMPROMISOS_2024[[#All],[Bolsa]],PAA_4[[#This Row],[BOLSA]],[2]!COMPROMISOS_2024[[#All],[concatenado]],PAA_4[[#This Row],[RCP-RUBRO]]))</f>
        <v>0</v>
      </c>
    </row>
    <row r="1300" spans="1:38" s="19" customFormat="1" ht="31.5" customHeight="1">
      <c r="A1300" s="47">
        <v>461</v>
      </c>
      <c r="B1300" s="47">
        <v>80111600</v>
      </c>
      <c r="C1300" s="47" t="str">
        <f>VLOOKUP(PAA_4[[#This Row],[PROYECTO (formulado)2]],[2]PROYECTOS!$G$1:$L$32,6,0)</f>
        <v>SUBGERENCIA DE FOMENTO Y DESARROLLO</v>
      </c>
      <c r="D1300" s="47" t="str">
        <f>+IF(PAA_4[[#This Row],[UNIDAD DE CONTRATACION (formulado)]]="Subgerencia Administrativa y Financiera","FUNCIONAMIENTO","INVERSIÓN")</f>
        <v>INVERSIÓN</v>
      </c>
      <c r="E1300" s="48" t="str">
        <f>VLOOKUP(Q1300,[2]PROYECTOS!$G$1:$K$32,5,0)</f>
        <v>FORTALECIMIENTO_DE_LOS_PROGRAMAS_RECREATIVOS_EN_LOS_MUNICIPIOS_DEL_DEPARTAMENTO_DE_ANTIOQUIA</v>
      </c>
      <c r="F1300" s="48">
        <f>VLOOKUP(E1300,[2]PROYECTOS!$K$1:$M$32,3,0)</f>
        <v>2020003050031</v>
      </c>
      <c r="G1300" s="49" t="s">
        <v>389</v>
      </c>
      <c r="H1300" s="49" t="str">
        <f>VLOOKUP(Q1300,[2]PROYECTOS!$V$1:$W$32,2,0)</f>
        <v>050064</v>
      </c>
      <c r="I1300" s="50">
        <v>0</v>
      </c>
      <c r="J1300" s="51" t="s">
        <v>42</v>
      </c>
      <c r="K1300" s="47" t="str">
        <f t="shared" ca="1" si="466"/>
        <v>CONTRATADO</v>
      </c>
      <c r="L1300" s="47" t="s">
        <v>94</v>
      </c>
      <c r="M1300" s="47" t="s">
        <v>1297</v>
      </c>
      <c r="N1300" s="52" t="s">
        <v>355</v>
      </c>
      <c r="O1300" s="51" t="e">
        <f>VLOOKUP(N1300,[2]!RUBROS[#All],3,0)</f>
        <v>#REF!</v>
      </c>
      <c r="P1300" s="53" t="e">
        <f>VLOOKUP(N1300,[2]!RUBROS[#All],2,0)</f>
        <v>#REF!</v>
      </c>
      <c r="Q1300" s="47" t="str">
        <f t="shared" si="467"/>
        <v>47</v>
      </c>
      <c r="R1300" s="47" t="str">
        <f t="shared" si="468"/>
        <v>0-205128</v>
      </c>
      <c r="S1300" s="54">
        <v>10</v>
      </c>
      <c r="T1300" s="59" t="s">
        <v>46</v>
      </c>
      <c r="U1300" s="326" t="e">
        <f ca="1">_xlfn.XLOOKUP(PAA_4[[#This Row],[ITEM]],[2]Contrato!A:A,[2]Contrato!Q:Q,"",0)</f>
        <v>#NAME?</v>
      </c>
      <c r="V1300" s="47" t="s">
        <v>47</v>
      </c>
      <c r="W1300" s="47" t="s">
        <v>96</v>
      </c>
      <c r="X1300" s="47" t="s">
        <v>96</v>
      </c>
      <c r="Y1300" s="55" t="e">
        <f ca="1">_xlfn.XLOOKUP(PAA_4[[#This Row],[ITEM]],[2]Contrato!A:A,[2]Contrato!B:B,"",0)</f>
        <v>#NAME?</v>
      </c>
      <c r="Z1300" s="47" t="e">
        <f ca="1">_xlfn.XLOOKUP(PAA_4[[#This Row],[ITEM]],[2]Contrato!A:A,[2]Contrato!G:G,"",0)</f>
        <v>#NAME?</v>
      </c>
      <c r="AA1300" s="47" t="e">
        <f ca="1">_xlfn.XLOOKUP(PAA_4[[#This Row],[ITEM]],[2]Contrato!A:A,[2]Contrato!T:T,"",0)</f>
        <v>#NAME?</v>
      </c>
      <c r="AB1300" s="55" t="e">
        <f ca="1">+MAX(PAA_4[[#This Row],[Comprometido Contrato]],PAA_4[[#This Row],[Comprometido Bolsa]])</f>
        <v>#NAME?</v>
      </c>
      <c r="AC1300" s="55" t="str">
        <f t="shared" ca="1" si="469"/>
        <v/>
      </c>
      <c r="AD1300" s="55" t="e">
        <f ca="1">IF(PAA_4[[#This Row],[ESTADO (formulado)]]="NO CONTRATADO",0,MAX(PAA_4[[#This Row],[Pago por Contrato]],PAA_4[[#This Row],[Pago por bolsa]]))</f>
        <v>#NAME?</v>
      </c>
      <c r="AE1300" s="55" t="str">
        <f t="shared" ca="1" si="470"/>
        <v/>
      </c>
      <c r="AF1300" s="47" t="e">
        <f t="shared" ca="1" si="471"/>
        <v>#NAME?</v>
      </c>
      <c r="AG1300" s="47">
        <f t="shared" si="472"/>
        <v>44021004</v>
      </c>
      <c r="AH1300" s="54">
        <f>IF(Q1300="22",IF(ISNUMBER(SEARCH("econ",PAA_4[[#This Row],[Actividad3]])),"Económico",IF(ISNUMBER(SEARCH("alim",PAA_4[[#This Row],[Actividad3]])),"Alimentación",IF(ISNUMBER(SEARCH("educ",PAA_4[[#This Row],[Actividad3]])),"Educativo","Técnico"))),0)</f>
        <v>0</v>
      </c>
      <c r="AI1300" s="47" t="e" cm="1">
        <f t="array" aca="1" ref="AI1300" ca="1">_xlfn.XLOOKUP(PAA_4[[#This Row],[RCP-RUBRO]],[2]!COMPROMISOS_2024[[#All],[concatenado]],[2]!COMPROMISOS_2024[[#All],[Total pagado]],"",0)</f>
        <v>#NAME?</v>
      </c>
      <c r="AJ1300" s="56">
        <f>IF(PAA_4[[#This Row],[BOLSA]]=0,0,SUMIFS([2]!COMPROMISOS_2024[[#All],[Total pagado]],[2]!COMPROMISOS_2024[[#All],[Bolsa]],PAA_4[[#This Row],[BOLSA]],[2]!COMPROMISOS_2024[[#All],[rubro]],PAA_4[[#This Row],[RCP-RUBRO]]))</f>
        <v>0</v>
      </c>
      <c r="AK1300" s="47" t="e" cm="1">
        <f t="array" aca="1" ref="AK1300" ca="1">_xlfn.XLOOKUP(PAA_4[[#This Row],[RCP-RUBRO]],[2]!COMPROMISOS_2024[[#All],[concatenado]],[2]!COMPROMISOS_2024[[#All],[Total Comprometido]],"",0)</f>
        <v>#NAME?</v>
      </c>
      <c r="AL1300" s="47">
        <f>IF(PAA_4[[#This Row],[BOLSA]]=0,0,SUMIFS([2]!COMPROMISOS_2024[[#All],[Total Comprometido]],[2]!COMPROMISOS_2024[[#All],[Bolsa]],PAA_4[[#This Row],[BOLSA]],[2]!COMPROMISOS_2024[[#All],[concatenado]],PAA_4[[#This Row],[RCP-RUBRO]]))</f>
        <v>0</v>
      </c>
    </row>
    <row r="1301" spans="1:38" s="19" customFormat="1" ht="31.5" customHeight="1">
      <c r="A1301" s="47">
        <v>633</v>
      </c>
      <c r="B1301" s="47">
        <v>80111600</v>
      </c>
      <c r="C1301" s="47" t="str">
        <f>VLOOKUP(PAA_4[[#This Row],[PROYECTO (formulado)2]],[2]PROYECTOS!$G$1:$L$32,6,0)</f>
        <v>SUBGERENCIA DE FOMENTO Y DESARROLLO</v>
      </c>
      <c r="D1301" s="47" t="str">
        <f>+IF(PAA_4[[#This Row],[UNIDAD DE CONTRATACION (formulado)]]="Subgerencia Administrativa y Financiera","FUNCIONAMIENTO","INVERSIÓN")</f>
        <v>INVERSIÓN</v>
      </c>
      <c r="E1301" s="48" t="str">
        <f>VLOOKUP(Q1301,[2]PROYECTOS!$G$1:$K$32,5,0)</f>
        <v>FORTALECIMIENTO_DE_LOS_PROGRAMAS_RECREATIVOS_EN_LOS_MUNICIPIOS_DEL_DEPARTAMENTO_DE_ANTIOQUIA</v>
      </c>
      <c r="F1301" s="48">
        <f>VLOOKUP(E1301,[2]PROYECTOS!$K$1:$M$32,3,0)</f>
        <v>2020003050031</v>
      </c>
      <c r="G1301" s="49" t="s">
        <v>353</v>
      </c>
      <c r="H1301" s="49" t="str">
        <f>VLOOKUP(Q1301,[2]PROYECTOS!$V$1:$W$32,2,0)</f>
        <v>050064</v>
      </c>
      <c r="I1301" s="50">
        <v>60153567</v>
      </c>
      <c r="J1301" s="51" t="s">
        <v>390</v>
      </c>
      <c r="K1301" s="47" t="str">
        <f t="shared" ca="1" si="466"/>
        <v>CONTRATADO</v>
      </c>
      <c r="L1301" s="47" t="s">
        <v>94</v>
      </c>
      <c r="M1301" s="47" t="s">
        <v>1297</v>
      </c>
      <c r="N1301" s="52" t="s">
        <v>355</v>
      </c>
      <c r="O1301" s="51" t="e">
        <f>VLOOKUP(N1301,[2]!RUBROS[#All],3,0)</f>
        <v>#REF!</v>
      </c>
      <c r="P1301" s="53" t="e">
        <f>VLOOKUP(N1301,[2]!RUBROS[#All],2,0)</f>
        <v>#REF!</v>
      </c>
      <c r="Q1301" s="47" t="str">
        <f t="shared" si="467"/>
        <v>47</v>
      </c>
      <c r="R1301" s="47" t="str">
        <f t="shared" si="468"/>
        <v>0-205128</v>
      </c>
      <c r="S1301" s="54">
        <v>7</v>
      </c>
      <c r="T1301" s="59" t="s">
        <v>46</v>
      </c>
      <c r="U1301" s="326" t="e">
        <f ca="1">_xlfn.XLOOKUP(PAA_4[[#This Row],[ITEM]],[2]Contrato!A:A,[2]Contrato!Q:Q,"",0)</f>
        <v>#NAME?</v>
      </c>
      <c r="V1301" s="47" t="s">
        <v>47</v>
      </c>
      <c r="W1301" s="47" t="s">
        <v>96</v>
      </c>
      <c r="X1301" s="47" t="s">
        <v>96</v>
      </c>
      <c r="Y1301" s="55" t="e">
        <f ca="1">_xlfn.XLOOKUP(PAA_4[[#This Row],[ITEM]],[2]Contrato!A:A,[2]Contrato!B:B,"",0)</f>
        <v>#NAME?</v>
      </c>
      <c r="Z1301" s="47" t="e">
        <f ca="1">_xlfn.XLOOKUP(PAA_4[[#This Row],[ITEM]],[2]Contrato!A:A,[2]Contrato!G:G,"",0)</f>
        <v>#NAME?</v>
      </c>
      <c r="AA1301" s="47" t="e">
        <f ca="1">_xlfn.XLOOKUP(PAA_4[[#This Row],[ITEM]],[2]Contrato!A:A,[2]Contrato!T:T,"",0)</f>
        <v>#NAME?</v>
      </c>
      <c r="AB1301" s="55" t="e">
        <f ca="1">+MAX(PAA_4[[#This Row],[Comprometido Contrato]],PAA_4[[#This Row],[Comprometido Bolsa]])</f>
        <v>#NAME?</v>
      </c>
      <c r="AC1301" s="55" t="str">
        <f t="shared" ca="1" si="469"/>
        <v/>
      </c>
      <c r="AD1301" s="55" t="e">
        <f ca="1">IF(PAA_4[[#This Row],[ESTADO (formulado)]]="NO CONTRATADO",0,MAX(PAA_4[[#This Row],[Pago por Contrato]],PAA_4[[#This Row],[Pago por bolsa]]))</f>
        <v>#NAME?</v>
      </c>
      <c r="AE1301" s="55" t="str">
        <f t="shared" ca="1" si="470"/>
        <v/>
      </c>
      <c r="AF1301" s="47" t="e">
        <f t="shared" ca="1" si="471"/>
        <v>#NAME?</v>
      </c>
      <c r="AG1301" s="47">
        <f t="shared" si="472"/>
        <v>44021004</v>
      </c>
      <c r="AH1301" s="54">
        <f>IF(Q1301="22",IF(ISNUMBER(SEARCH("econ",PAA_4[[#This Row],[Actividad3]])),"Económico",IF(ISNUMBER(SEARCH("alim",PAA_4[[#This Row],[Actividad3]])),"Alimentación",IF(ISNUMBER(SEARCH("educ",PAA_4[[#This Row],[Actividad3]])),"Educativo","Técnico"))),0)</f>
        <v>0</v>
      </c>
      <c r="AI1301" s="47" t="e" cm="1">
        <f t="array" aca="1" ref="AI1301" ca="1">_xlfn.XLOOKUP(PAA_4[[#This Row],[RCP-RUBRO]],[2]!COMPROMISOS_2024[[#All],[concatenado]],[2]!COMPROMISOS_2024[[#All],[Total pagado]],"",0)</f>
        <v>#NAME?</v>
      </c>
      <c r="AJ1301" s="56">
        <f>IF(PAA_4[[#This Row],[BOLSA]]=0,0,SUMIFS([2]!COMPROMISOS_2024[[#All],[Total pagado]],[2]!COMPROMISOS_2024[[#All],[Bolsa]],PAA_4[[#This Row],[BOLSA]],[2]!COMPROMISOS_2024[[#All],[rubro]],PAA_4[[#This Row],[RCP-RUBRO]]))</f>
        <v>0</v>
      </c>
      <c r="AK1301" s="47" t="e" cm="1">
        <f t="array" aca="1" ref="AK1301" ca="1">_xlfn.XLOOKUP(PAA_4[[#This Row],[RCP-RUBRO]],[2]!COMPROMISOS_2024[[#All],[concatenado]],[2]!COMPROMISOS_2024[[#All],[Total Comprometido]],"",0)</f>
        <v>#NAME?</v>
      </c>
      <c r="AL1301" s="47">
        <f>IF(PAA_4[[#This Row],[BOLSA]]=0,0,SUMIFS([2]!COMPROMISOS_2024[[#All],[Total Comprometido]],[2]!COMPROMISOS_2024[[#All],[Bolsa]],PAA_4[[#This Row],[BOLSA]],[2]!COMPROMISOS_2024[[#All],[concatenado]],PAA_4[[#This Row],[RCP-RUBRO]]))</f>
        <v>0</v>
      </c>
    </row>
    <row r="1302" spans="1:38" s="19" customFormat="1" ht="31.5" customHeight="1">
      <c r="A1302" s="47">
        <v>462</v>
      </c>
      <c r="B1302" s="47">
        <v>80111600</v>
      </c>
      <c r="C1302" s="47" t="str">
        <f>VLOOKUP(PAA_4[[#This Row],[PROYECTO (formulado)2]],[2]PROYECTOS!$G$1:$L$32,6,0)</f>
        <v>SUBGERENCIA DE FOMENTO Y DESARROLLO</v>
      </c>
      <c r="D1302" s="47" t="str">
        <f>+IF(PAA_4[[#This Row],[UNIDAD DE CONTRATACION (formulado)]]="Subgerencia Administrativa y Financiera","FUNCIONAMIENTO","INVERSIÓN")</f>
        <v>INVERSIÓN</v>
      </c>
      <c r="E1302" s="48" t="str">
        <f>VLOOKUP(Q1302,[2]PROYECTOS!$G$1:$K$32,5,0)</f>
        <v>FORTALECIMIENTO_DE_LOS_PROGRAMAS_RECREATIVOS_EN_LOS_MUNICIPIOS_DEL_DEPARTAMENTO_DE_ANTIOQUIA</v>
      </c>
      <c r="F1302" s="48">
        <f>VLOOKUP(E1302,[2]PROYECTOS!$K$1:$M$32,3,0)</f>
        <v>2020003050031</v>
      </c>
      <c r="G1302" s="49" t="s">
        <v>353</v>
      </c>
      <c r="H1302" s="49" t="str">
        <f>VLOOKUP(Q1302,[2]PROYECTOS!$V$1:$W$32,2,0)</f>
        <v>050064</v>
      </c>
      <c r="I1302" s="50">
        <v>0</v>
      </c>
      <c r="J1302" s="51" t="s">
        <v>42</v>
      </c>
      <c r="K1302" s="47" t="str">
        <f t="shared" ca="1" si="466"/>
        <v>CONTRATADO</v>
      </c>
      <c r="L1302" s="47" t="s">
        <v>94</v>
      </c>
      <c r="M1302" s="47" t="s">
        <v>1297</v>
      </c>
      <c r="N1302" s="52" t="s">
        <v>355</v>
      </c>
      <c r="O1302" s="51" t="e">
        <f>VLOOKUP(N1302,[2]!RUBROS[#All],3,0)</f>
        <v>#REF!</v>
      </c>
      <c r="P1302" s="53" t="e">
        <f>VLOOKUP(N1302,[2]!RUBROS[#All],2,0)</f>
        <v>#REF!</v>
      </c>
      <c r="Q1302" s="47" t="str">
        <f t="shared" si="467"/>
        <v>47</v>
      </c>
      <c r="R1302" s="47" t="str">
        <f t="shared" si="468"/>
        <v>0-205128</v>
      </c>
      <c r="S1302" s="54">
        <v>9</v>
      </c>
      <c r="T1302" s="59" t="s">
        <v>46</v>
      </c>
      <c r="U1302" s="326" t="e">
        <f ca="1">_xlfn.XLOOKUP(PAA_4[[#This Row],[ITEM]],[2]Contrato!A:A,[2]Contrato!Q:Q,"",0)</f>
        <v>#NAME?</v>
      </c>
      <c r="V1302" s="47" t="s">
        <v>47</v>
      </c>
      <c r="W1302" s="47" t="s">
        <v>122</v>
      </c>
      <c r="X1302" s="47" t="s">
        <v>122</v>
      </c>
      <c r="Y1302" s="55" t="e">
        <f ca="1">_xlfn.XLOOKUP(PAA_4[[#This Row],[ITEM]],[2]Contrato!A:A,[2]Contrato!B:B,"",0)</f>
        <v>#NAME?</v>
      </c>
      <c r="Z1302" s="47" t="e">
        <f ca="1">_xlfn.XLOOKUP(PAA_4[[#This Row],[ITEM]],[2]Contrato!A:A,[2]Contrato!G:G,"",0)</f>
        <v>#NAME?</v>
      </c>
      <c r="AA1302" s="47" t="e">
        <f ca="1">_xlfn.XLOOKUP(PAA_4[[#This Row],[ITEM]],[2]Contrato!A:A,[2]Contrato!T:T,"",0)</f>
        <v>#NAME?</v>
      </c>
      <c r="AB1302" s="55" t="e">
        <f ca="1">+MAX(PAA_4[[#This Row],[Comprometido Contrato]],PAA_4[[#This Row],[Comprometido Bolsa]])</f>
        <v>#NAME?</v>
      </c>
      <c r="AC1302" s="55" t="str">
        <f t="shared" ca="1" si="469"/>
        <v/>
      </c>
      <c r="AD1302" s="55" t="e">
        <f ca="1">IF(PAA_4[[#This Row],[ESTADO (formulado)]]="NO CONTRATADO",0,MAX(PAA_4[[#This Row],[Pago por Contrato]],PAA_4[[#This Row],[Pago por bolsa]]))</f>
        <v>#NAME?</v>
      </c>
      <c r="AE1302" s="55" t="str">
        <f t="shared" ca="1" si="470"/>
        <v/>
      </c>
      <c r="AF1302" s="47" t="e">
        <f t="shared" ca="1" si="471"/>
        <v>#NAME?</v>
      </c>
      <c r="AG1302" s="47">
        <f t="shared" si="472"/>
        <v>44021004</v>
      </c>
      <c r="AH1302" s="54">
        <f>IF(Q1302="22",IF(ISNUMBER(SEARCH("econ",PAA_4[[#This Row],[Actividad3]])),"Económico",IF(ISNUMBER(SEARCH("alim",PAA_4[[#This Row],[Actividad3]])),"Alimentación",IF(ISNUMBER(SEARCH("educ",PAA_4[[#This Row],[Actividad3]])),"Educativo","Técnico"))),0)</f>
        <v>0</v>
      </c>
      <c r="AI1302" s="47" t="e" cm="1">
        <f t="array" aca="1" ref="AI1302" ca="1">_xlfn.XLOOKUP(PAA_4[[#This Row],[RCP-RUBRO]],[2]!COMPROMISOS_2024[[#All],[concatenado]],[2]!COMPROMISOS_2024[[#All],[Total pagado]],"",0)</f>
        <v>#NAME?</v>
      </c>
      <c r="AJ1302" s="56">
        <f>IF(PAA_4[[#This Row],[BOLSA]]=0,0,SUMIFS([2]!COMPROMISOS_2024[[#All],[Total pagado]],[2]!COMPROMISOS_2024[[#All],[Bolsa]],PAA_4[[#This Row],[BOLSA]],[2]!COMPROMISOS_2024[[#All],[rubro]],PAA_4[[#This Row],[RCP-RUBRO]]))</f>
        <v>0</v>
      </c>
      <c r="AK1302" s="47" t="e" cm="1">
        <f t="array" aca="1" ref="AK1302" ca="1">_xlfn.XLOOKUP(PAA_4[[#This Row],[RCP-RUBRO]],[2]!COMPROMISOS_2024[[#All],[concatenado]],[2]!COMPROMISOS_2024[[#All],[Total Comprometido]],"",0)</f>
        <v>#NAME?</v>
      </c>
      <c r="AL1302" s="47">
        <f>IF(PAA_4[[#This Row],[BOLSA]]=0,0,SUMIFS([2]!COMPROMISOS_2024[[#All],[Total Comprometido]],[2]!COMPROMISOS_2024[[#All],[Bolsa]],PAA_4[[#This Row],[BOLSA]],[2]!COMPROMISOS_2024[[#All],[concatenado]],PAA_4[[#This Row],[RCP-RUBRO]]))</f>
        <v>0</v>
      </c>
    </row>
    <row r="1303" spans="1:38" s="19" customFormat="1" ht="31.5" customHeight="1">
      <c r="A1303" s="47">
        <v>463</v>
      </c>
      <c r="B1303" s="47">
        <v>80111600</v>
      </c>
      <c r="C1303" s="47" t="str">
        <f>VLOOKUP(PAA_4[[#This Row],[PROYECTO (formulado)2]],[2]PROYECTOS!$G$1:$L$32,6,0)</f>
        <v>SUBGERENCIA DE FOMENTO Y DESARROLLO</v>
      </c>
      <c r="D1303" s="47" t="str">
        <f>+IF(PAA_4[[#This Row],[UNIDAD DE CONTRATACION (formulado)]]="Subgerencia Administrativa y Financiera","FUNCIONAMIENTO","INVERSIÓN")</f>
        <v>INVERSIÓN</v>
      </c>
      <c r="E1303" s="48" t="str">
        <f>VLOOKUP(Q1303,[2]PROYECTOS!$G$1:$K$32,5,0)</f>
        <v>FORTALECIMIENTO_DE_LOS_PROGRAMAS_RECREATIVOS_EN_LOS_MUNICIPIOS_DEL_DEPARTAMENTO_DE_ANTIOQUIA</v>
      </c>
      <c r="F1303" s="48">
        <f>VLOOKUP(E1303,[2]PROYECTOS!$K$1:$M$32,3,0)</f>
        <v>2020003050031</v>
      </c>
      <c r="G1303" s="49" t="s">
        <v>353</v>
      </c>
      <c r="H1303" s="49" t="str">
        <f>VLOOKUP(Q1303,[2]PROYECTOS!$V$1:$W$32,2,0)</f>
        <v>050064</v>
      </c>
      <c r="I1303" s="50">
        <v>0</v>
      </c>
      <c r="J1303" s="51" t="s">
        <v>391</v>
      </c>
      <c r="K1303" s="47" t="str">
        <f t="shared" ca="1" si="466"/>
        <v>CONTRATADO</v>
      </c>
      <c r="L1303" s="47" t="s">
        <v>94</v>
      </c>
      <c r="M1303" s="47" t="s">
        <v>1297</v>
      </c>
      <c r="N1303" s="52" t="s">
        <v>355</v>
      </c>
      <c r="O1303" s="51" t="e">
        <f>VLOOKUP(N1303,[2]!RUBROS[#All],3,0)</f>
        <v>#REF!</v>
      </c>
      <c r="P1303" s="53" t="e">
        <f>VLOOKUP(N1303,[2]!RUBROS[#All],2,0)</f>
        <v>#REF!</v>
      </c>
      <c r="Q1303" s="47" t="str">
        <f t="shared" si="467"/>
        <v>47</v>
      </c>
      <c r="R1303" s="47" t="str">
        <f t="shared" si="468"/>
        <v>0-205128</v>
      </c>
      <c r="S1303" s="54">
        <v>9</v>
      </c>
      <c r="T1303" s="59" t="s">
        <v>46</v>
      </c>
      <c r="U1303" s="326" t="e">
        <f ca="1">_xlfn.XLOOKUP(PAA_4[[#This Row],[ITEM]],[2]Contrato!A:A,[2]Contrato!Q:Q,"",0)</f>
        <v>#NAME?</v>
      </c>
      <c r="V1303" s="47" t="s">
        <v>47</v>
      </c>
      <c r="W1303" s="47" t="s">
        <v>122</v>
      </c>
      <c r="X1303" s="47" t="s">
        <v>122</v>
      </c>
      <c r="Y1303" s="55" t="e">
        <f ca="1">_xlfn.XLOOKUP(PAA_4[[#This Row],[ITEM]],[2]Contrato!A:A,[2]Contrato!B:B,"",0)</f>
        <v>#NAME?</v>
      </c>
      <c r="Z1303" s="47" t="e">
        <f ca="1">_xlfn.XLOOKUP(PAA_4[[#This Row],[ITEM]],[2]Contrato!A:A,[2]Contrato!G:G,"",0)</f>
        <v>#NAME?</v>
      </c>
      <c r="AA1303" s="47" t="e">
        <f ca="1">_xlfn.XLOOKUP(PAA_4[[#This Row],[ITEM]],[2]Contrato!A:A,[2]Contrato!T:T,"",0)</f>
        <v>#NAME?</v>
      </c>
      <c r="AB1303" s="55" t="e">
        <f ca="1">+MAX(PAA_4[[#This Row],[Comprometido Contrato]],PAA_4[[#This Row],[Comprometido Bolsa]])</f>
        <v>#NAME?</v>
      </c>
      <c r="AC1303" s="55" t="str">
        <f t="shared" ca="1" si="469"/>
        <v/>
      </c>
      <c r="AD1303" s="55" t="e">
        <f ca="1">IF(PAA_4[[#This Row],[ESTADO (formulado)]]="NO CONTRATADO",0,MAX(PAA_4[[#This Row],[Pago por Contrato]],PAA_4[[#This Row],[Pago por bolsa]]))</f>
        <v>#NAME?</v>
      </c>
      <c r="AE1303" s="55" t="str">
        <f t="shared" ca="1" si="470"/>
        <v/>
      </c>
      <c r="AF1303" s="47" t="e">
        <f t="shared" ca="1" si="471"/>
        <v>#NAME?</v>
      </c>
      <c r="AG1303" s="47">
        <f t="shared" si="472"/>
        <v>44021004</v>
      </c>
      <c r="AH1303" s="54">
        <f>IF(Q1303="22",IF(ISNUMBER(SEARCH("econ",PAA_4[[#This Row],[Actividad3]])),"Económico",IF(ISNUMBER(SEARCH("alim",PAA_4[[#This Row],[Actividad3]])),"Alimentación",IF(ISNUMBER(SEARCH("educ",PAA_4[[#This Row],[Actividad3]])),"Educativo","Técnico"))),0)</f>
        <v>0</v>
      </c>
      <c r="AI1303" s="47" t="e" cm="1">
        <f t="array" aca="1" ref="AI1303" ca="1">_xlfn.XLOOKUP(PAA_4[[#This Row],[RCP-RUBRO]],[2]!COMPROMISOS_2024[[#All],[concatenado]],[2]!COMPROMISOS_2024[[#All],[Total pagado]],"",0)</f>
        <v>#NAME?</v>
      </c>
      <c r="AJ1303" s="56">
        <f>IF(PAA_4[[#This Row],[BOLSA]]=0,0,SUMIFS([2]!COMPROMISOS_2024[[#All],[Total pagado]],[2]!COMPROMISOS_2024[[#All],[Bolsa]],PAA_4[[#This Row],[BOLSA]],[2]!COMPROMISOS_2024[[#All],[rubro]],PAA_4[[#This Row],[RCP-RUBRO]]))</f>
        <v>0</v>
      </c>
      <c r="AK1303" s="47" t="e" cm="1">
        <f t="array" aca="1" ref="AK1303" ca="1">_xlfn.XLOOKUP(PAA_4[[#This Row],[RCP-RUBRO]],[2]!COMPROMISOS_2024[[#All],[concatenado]],[2]!COMPROMISOS_2024[[#All],[Total Comprometido]],"",0)</f>
        <v>#NAME?</v>
      </c>
      <c r="AL1303" s="47">
        <f>IF(PAA_4[[#This Row],[BOLSA]]=0,0,SUMIFS([2]!COMPROMISOS_2024[[#All],[Total Comprometido]],[2]!COMPROMISOS_2024[[#All],[Bolsa]],PAA_4[[#This Row],[BOLSA]],[2]!COMPROMISOS_2024[[#All],[concatenado]],PAA_4[[#This Row],[RCP-RUBRO]]))</f>
        <v>0</v>
      </c>
    </row>
    <row r="1304" spans="1:38" s="19" customFormat="1" ht="31.5" customHeight="1">
      <c r="A1304" s="47">
        <v>464</v>
      </c>
      <c r="B1304" s="47">
        <v>80111600</v>
      </c>
      <c r="C1304" s="47" t="str">
        <f>VLOOKUP(PAA_4[[#This Row],[PROYECTO (formulado)2]],[2]PROYECTOS!$G$1:$L$32,6,0)</f>
        <v>SUBGERENCIA DE FOMENTO Y DESARROLLO</v>
      </c>
      <c r="D1304" s="47" t="str">
        <f>+IF(PAA_4[[#This Row],[UNIDAD DE CONTRATACION (formulado)]]="Subgerencia Administrativa y Financiera","FUNCIONAMIENTO","INVERSIÓN")</f>
        <v>INVERSIÓN</v>
      </c>
      <c r="E1304" s="48" t="str">
        <f>VLOOKUP(Q1304,[2]PROYECTOS!$G$1:$K$32,5,0)</f>
        <v>FORTALECIMIENTO_DE_LOS_PROGRAMAS_RECREATIVOS_EN_LOS_MUNICIPIOS_DEL_DEPARTAMENTO_DE_ANTIOQUIA</v>
      </c>
      <c r="F1304" s="48">
        <f>VLOOKUP(E1304,[2]PROYECTOS!$K$1:$M$32,3,0)</f>
        <v>2020003050031</v>
      </c>
      <c r="G1304" s="49" t="s">
        <v>353</v>
      </c>
      <c r="H1304" s="49" t="str">
        <f>VLOOKUP(Q1304,[2]PROYECTOS!$V$1:$W$32,2,0)</f>
        <v>050064</v>
      </c>
      <c r="I1304" s="50">
        <v>0</v>
      </c>
      <c r="J1304" s="51" t="s">
        <v>1870</v>
      </c>
      <c r="K1304" s="47" t="str">
        <f t="shared" ca="1" si="466"/>
        <v>CONTRATADO</v>
      </c>
      <c r="L1304" s="47" t="s">
        <v>94</v>
      </c>
      <c r="M1304" s="47" t="s">
        <v>1297</v>
      </c>
      <c r="N1304" s="52" t="s">
        <v>355</v>
      </c>
      <c r="O1304" s="51" t="e">
        <f>VLOOKUP(N1304,[2]!RUBROS[#All],3,0)</f>
        <v>#REF!</v>
      </c>
      <c r="P1304" s="53" t="e">
        <f>VLOOKUP(N1304,[2]!RUBROS[#All],2,0)</f>
        <v>#REF!</v>
      </c>
      <c r="Q1304" s="47" t="str">
        <f t="shared" si="467"/>
        <v>47</v>
      </c>
      <c r="R1304" s="47" t="str">
        <f t="shared" si="468"/>
        <v>0-205128</v>
      </c>
      <c r="S1304" s="54">
        <v>12</v>
      </c>
      <c r="T1304" s="59" t="s">
        <v>46</v>
      </c>
      <c r="U1304" s="326" t="e">
        <f ca="1">_xlfn.XLOOKUP(PAA_4[[#This Row],[ITEM]],[2]Contrato!A:A,[2]Contrato!Q:Q,"",0)</f>
        <v>#NAME?</v>
      </c>
      <c r="V1304" s="47" t="s">
        <v>47</v>
      </c>
      <c r="W1304" s="47" t="s">
        <v>83</v>
      </c>
      <c r="X1304" s="47" t="s">
        <v>83</v>
      </c>
      <c r="Y1304" s="55" t="e">
        <f ca="1">_xlfn.XLOOKUP(PAA_4[[#This Row],[ITEM]],[2]Contrato!A:A,[2]Contrato!B:B,"",0)</f>
        <v>#NAME?</v>
      </c>
      <c r="Z1304" s="47" t="e">
        <f ca="1">_xlfn.XLOOKUP(PAA_4[[#This Row],[ITEM]],[2]Contrato!A:A,[2]Contrato!G:G,"",0)</f>
        <v>#NAME?</v>
      </c>
      <c r="AA1304" s="47" t="e">
        <f ca="1">_xlfn.XLOOKUP(PAA_4[[#This Row],[ITEM]],[2]Contrato!A:A,[2]Contrato!T:T,"",0)</f>
        <v>#NAME?</v>
      </c>
      <c r="AB1304" s="55" t="e">
        <f ca="1">+MAX(PAA_4[[#This Row],[Comprometido Contrato]],PAA_4[[#This Row],[Comprometido Bolsa]])</f>
        <v>#NAME?</v>
      </c>
      <c r="AC1304" s="55" t="str">
        <f t="shared" ca="1" si="469"/>
        <v/>
      </c>
      <c r="AD1304" s="55" t="e">
        <f ca="1">IF(PAA_4[[#This Row],[ESTADO (formulado)]]="NO CONTRATADO",0,MAX(PAA_4[[#This Row],[Pago por Contrato]],PAA_4[[#This Row],[Pago por bolsa]]))</f>
        <v>#NAME?</v>
      </c>
      <c r="AE1304" s="55" t="str">
        <f t="shared" ca="1" si="470"/>
        <v/>
      </c>
      <c r="AF1304" s="47" t="e">
        <f t="shared" ca="1" si="471"/>
        <v>#NAME?</v>
      </c>
      <c r="AG1304" s="47">
        <f t="shared" si="472"/>
        <v>44021004</v>
      </c>
      <c r="AH1304" s="54">
        <f>IF(Q1304="22",IF(ISNUMBER(SEARCH("econ",PAA_4[[#This Row],[Actividad3]])),"Económico",IF(ISNUMBER(SEARCH("alim",PAA_4[[#This Row],[Actividad3]])),"Alimentación",IF(ISNUMBER(SEARCH("educ",PAA_4[[#This Row],[Actividad3]])),"Educativo","Técnico"))),0)</f>
        <v>0</v>
      </c>
      <c r="AI1304" s="47" t="e" cm="1">
        <f t="array" aca="1" ref="AI1304" ca="1">_xlfn.XLOOKUP(PAA_4[[#This Row],[RCP-RUBRO]],[2]!COMPROMISOS_2024[[#All],[concatenado]],[2]!COMPROMISOS_2024[[#All],[Total pagado]],"",0)</f>
        <v>#NAME?</v>
      </c>
      <c r="AJ1304" s="56">
        <f>IF(PAA_4[[#This Row],[BOLSA]]=0,0,SUMIFS([2]!COMPROMISOS_2024[[#All],[Total pagado]],[2]!COMPROMISOS_2024[[#All],[Bolsa]],PAA_4[[#This Row],[BOLSA]],[2]!COMPROMISOS_2024[[#All],[rubro]],PAA_4[[#This Row],[RCP-RUBRO]]))</f>
        <v>0</v>
      </c>
      <c r="AK1304" s="47" t="e" cm="1">
        <f t="array" aca="1" ref="AK1304" ca="1">_xlfn.XLOOKUP(PAA_4[[#This Row],[RCP-RUBRO]],[2]!COMPROMISOS_2024[[#All],[concatenado]],[2]!COMPROMISOS_2024[[#All],[Total Comprometido]],"",0)</f>
        <v>#NAME?</v>
      </c>
      <c r="AL1304" s="47">
        <f>IF(PAA_4[[#This Row],[BOLSA]]=0,0,SUMIFS([2]!COMPROMISOS_2024[[#All],[Total Comprometido]],[2]!COMPROMISOS_2024[[#All],[Bolsa]],PAA_4[[#This Row],[BOLSA]],[2]!COMPROMISOS_2024[[#All],[concatenado]],PAA_4[[#This Row],[RCP-RUBRO]]))</f>
        <v>0</v>
      </c>
    </row>
    <row r="1305" spans="1:38" s="19" customFormat="1" ht="31.5" customHeight="1">
      <c r="A1305" s="47">
        <v>521</v>
      </c>
      <c r="B1305" s="47">
        <v>78111800</v>
      </c>
      <c r="C1305" s="47" t="str">
        <f>VLOOKUP(PAA_4[[#This Row],[PROYECTO (formulado)2]],[2]PROYECTOS!$G$1:$L$32,6,0)</f>
        <v>SUBGERENCIA DE FOMENTO Y DESARROLLO</v>
      </c>
      <c r="D1305" s="47" t="str">
        <f>+IF(PAA_4[[#This Row],[UNIDAD DE CONTRATACION (formulado)]]="Subgerencia Administrativa y Financiera","FUNCIONAMIENTO","INVERSIÓN")</f>
        <v>INVERSIÓN</v>
      </c>
      <c r="E1305" s="48" t="str">
        <f>VLOOKUP(Q1305,[2]PROYECTOS!$G$1:$K$32,5,0)</f>
        <v>FORTALECIMIENTO_DE_LOS_PROGRAMAS_RECREATIVOS_EN_LOS_MUNICIPIOS_DEL_DEPARTAMENTO_DE_ANTIOQUIA</v>
      </c>
      <c r="F1305" s="48">
        <f>VLOOKUP(E1305,[2]PROYECTOS!$K$1:$M$32,3,0)</f>
        <v>2020003050031</v>
      </c>
      <c r="G1305" s="49" t="s">
        <v>335</v>
      </c>
      <c r="H1305" s="49" t="str">
        <f>VLOOKUP(Q1305,[2]PROYECTOS!$V$1:$W$32,2,0)</f>
        <v>050064</v>
      </c>
      <c r="I1305" s="50">
        <v>0</v>
      </c>
      <c r="J1305" s="51" t="s">
        <v>344</v>
      </c>
      <c r="K1305" s="47" t="str">
        <f t="shared" ca="1" si="466"/>
        <v>CONTRATADO</v>
      </c>
      <c r="L1305" s="47" t="s">
        <v>344</v>
      </c>
      <c r="M1305" s="47"/>
      <c r="N1305" s="52" t="s">
        <v>379</v>
      </c>
      <c r="O1305" s="51" t="e">
        <f>VLOOKUP(N1305,[2]!RUBROS[#All],3,0)</f>
        <v>#REF!</v>
      </c>
      <c r="P1305" s="53" t="e">
        <f>VLOOKUP(N1305,[2]!RUBROS[#All],2,0)</f>
        <v>#REF!</v>
      </c>
      <c r="Q1305" s="47" t="str">
        <f t="shared" si="467"/>
        <v>47</v>
      </c>
      <c r="R1305" s="47" t="str">
        <f t="shared" si="468"/>
        <v>0-205128</v>
      </c>
      <c r="S1305" s="54">
        <v>10</v>
      </c>
      <c r="T1305" s="59" t="s">
        <v>46</v>
      </c>
      <c r="U1305" s="326" t="e">
        <f ca="1">_xlfn.XLOOKUP(PAA_4[[#This Row],[ITEM]],[2]Contrato!A:A,[2]Contrato!Q:Q,"",0)</f>
        <v>#NAME?</v>
      </c>
      <c r="V1305" s="47" t="s">
        <v>47</v>
      </c>
      <c r="W1305" s="47" t="s">
        <v>91</v>
      </c>
      <c r="X1305" s="47" t="s">
        <v>91</v>
      </c>
      <c r="Y1305" s="55" t="e">
        <f ca="1">_xlfn.XLOOKUP(PAA_4[[#This Row],[ITEM]],[2]Contrato!A:A,[2]Contrato!B:B,"",0)</f>
        <v>#NAME?</v>
      </c>
      <c r="Z1305" s="47" t="e">
        <f ca="1">_xlfn.XLOOKUP(PAA_4[[#This Row],[ITEM]],[2]Contrato!A:A,[2]Contrato!G:G,"",0)</f>
        <v>#NAME?</v>
      </c>
      <c r="AA1305" s="47" t="e">
        <f ca="1">_xlfn.XLOOKUP(PAA_4[[#This Row],[ITEM]],[2]Contrato!A:A,[2]Contrato!T:T,"",0)</f>
        <v>#NAME?</v>
      </c>
      <c r="AB1305" s="55" t="e">
        <f ca="1">+MAX(PAA_4[[#This Row],[Comprometido Contrato]],PAA_4[[#This Row],[Comprometido Bolsa]])</f>
        <v>#NAME?</v>
      </c>
      <c r="AC1305" s="55" t="str">
        <f t="shared" ca="1" si="469"/>
        <v/>
      </c>
      <c r="AD1305" s="55" t="e">
        <f ca="1">IF(PAA_4[[#This Row],[ESTADO (formulado)]]="NO CONTRATADO",0,MAX(PAA_4[[#This Row],[Pago por Contrato]],PAA_4[[#This Row],[Pago por bolsa]]))</f>
        <v>#NAME?</v>
      </c>
      <c r="AE1305" s="55" t="str">
        <f t="shared" ca="1" si="470"/>
        <v/>
      </c>
      <c r="AF1305" s="47" t="e">
        <f t="shared" ca="1" si="471"/>
        <v>#NAME?</v>
      </c>
      <c r="AG1305" s="47">
        <f t="shared" si="472"/>
        <v>44021004</v>
      </c>
      <c r="AH1305" s="54">
        <f>IF(Q1305="22",IF(ISNUMBER(SEARCH("econ",PAA_4[[#This Row],[Actividad3]])),"Económico",IF(ISNUMBER(SEARCH("alim",PAA_4[[#This Row],[Actividad3]])),"Alimentación",IF(ISNUMBER(SEARCH("educ",PAA_4[[#This Row],[Actividad3]])),"Educativo","Técnico"))),0)</f>
        <v>0</v>
      </c>
      <c r="AI1305" s="47" t="e" cm="1">
        <f t="array" aca="1" ref="AI1305" ca="1">_xlfn.XLOOKUP(PAA_4[[#This Row],[RCP-RUBRO]],[2]!COMPROMISOS_2024[[#All],[concatenado]],[2]!COMPROMISOS_2024[[#All],[Total pagado]],"",0)</f>
        <v>#NAME?</v>
      </c>
      <c r="AJ1305" s="56">
        <f>IF(PAA_4[[#This Row],[BOLSA]]=0,0,SUMIFS([2]!COMPROMISOS_2024[[#All],[Total pagado]],[2]!COMPROMISOS_2024[[#All],[Bolsa]],PAA_4[[#This Row],[BOLSA]],[2]!COMPROMISOS_2024[[#All],[rubro]],PAA_4[[#This Row],[RCP-RUBRO]]))</f>
        <v>0</v>
      </c>
      <c r="AK1305" s="47" t="e" cm="1">
        <f t="array" aca="1" ref="AK1305" ca="1">_xlfn.XLOOKUP(PAA_4[[#This Row],[RCP-RUBRO]],[2]!COMPROMISOS_2024[[#All],[concatenado]],[2]!COMPROMISOS_2024[[#All],[Total Comprometido]],"",0)</f>
        <v>#NAME?</v>
      </c>
      <c r="AL1305" s="47">
        <f>IF(PAA_4[[#This Row],[BOLSA]]=0,0,SUMIFS([2]!COMPROMISOS_2024[[#All],[Total Comprometido]],[2]!COMPROMISOS_2024[[#All],[Bolsa]],PAA_4[[#This Row],[BOLSA]],[2]!COMPROMISOS_2024[[#All],[concatenado]],PAA_4[[#This Row],[RCP-RUBRO]]))</f>
        <v>0</v>
      </c>
    </row>
    <row r="1306" spans="1:38" s="19" customFormat="1" ht="31.5" customHeight="1">
      <c r="A1306" s="47">
        <v>366</v>
      </c>
      <c r="B1306" s="47">
        <v>78111800</v>
      </c>
      <c r="C1306" s="47" t="str">
        <f>VLOOKUP(PAA_4[[#This Row],[PROYECTO (formulado)2]],[2]PROYECTOS!$G$1:$L$32,6,0)</f>
        <v>SUBGERENCIA DE FOMENTO Y DESARROLLO</v>
      </c>
      <c r="D1306" s="47" t="str">
        <f>+IF(PAA_4[[#This Row],[UNIDAD DE CONTRATACION (formulado)]]="Subgerencia Administrativa y Financiera","FUNCIONAMIENTO","INVERSIÓN")</f>
        <v>INVERSIÓN</v>
      </c>
      <c r="E1306" s="48" t="str">
        <f>VLOOKUP(Q1306,[2]PROYECTOS!$G$1:$K$32,5,0)</f>
        <v>FORTALECIMIENTO_DE_LOS_JUEGOS_DEL_SECTOR_SOCIAL_COMUNITARIO_EN_LOS_MUNICIPIOS_DEL_DEPARTAMENTO_DE_ANTIOQU</v>
      </c>
      <c r="F1306" s="48">
        <f>VLOOKUP(E1306,[2]PROYECTOS!$K$1:$M$32,3,0)</f>
        <v>2020003050033</v>
      </c>
      <c r="G1306" s="49" t="s">
        <v>342</v>
      </c>
      <c r="H1306" s="49" t="str">
        <f>VLOOKUP(Q1306,[2]PROYECTOS!$V$1:$W$32,2,0)</f>
        <v>050057</v>
      </c>
      <c r="I1306" s="50">
        <v>0</v>
      </c>
      <c r="J1306" s="51" t="s">
        <v>42</v>
      </c>
      <c r="K1306" s="47" t="str">
        <f t="shared" ca="1" si="466"/>
        <v>CONTRATADO</v>
      </c>
      <c r="L1306" s="47" t="s">
        <v>94</v>
      </c>
      <c r="M1306" s="47" t="s">
        <v>161</v>
      </c>
      <c r="N1306" s="52" t="s">
        <v>392</v>
      </c>
      <c r="O1306" s="51" t="e">
        <f>VLOOKUP(N1306,[2]!RUBROS[#All],3,0)</f>
        <v>#REF!</v>
      </c>
      <c r="P1306" s="53" t="e">
        <f>VLOOKUP(N1306,[2]!RUBROS[#All],2,0)</f>
        <v>#REF!</v>
      </c>
      <c r="Q1306" s="47" t="str">
        <f t="shared" si="467"/>
        <v>50</v>
      </c>
      <c r="R1306" s="47" t="str">
        <f t="shared" si="468"/>
        <v>0-205128</v>
      </c>
      <c r="S1306" s="342">
        <v>175</v>
      </c>
      <c r="T1306" s="59" t="s">
        <v>120</v>
      </c>
      <c r="U1306" s="326" t="e">
        <f ca="1">_xlfn.XLOOKUP(PAA_4[[#This Row],[ITEM]],[2]Contrato!A:A,[2]Contrato!Q:Q,"",0)</f>
        <v>#NAME?</v>
      </c>
      <c r="V1306" s="47" t="s">
        <v>47</v>
      </c>
      <c r="W1306" s="343" t="s">
        <v>154</v>
      </c>
      <c r="X1306" s="343" t="s">
        <v>154</v>
      </c>
      <c r="Y1306" s="55" t="e">
        <f ca="1">_xlfn.XLOOKUP(PAA_4[[#This Row],[ITEM]],[2]Contrato!A:A,[2]Contrato!B:B,"",0)</f>
        <v>#NAME?</v>
      </c>
      <c r="Z1306" s="47" t="e">
        <f ca="1">_xlfn.XLOOKUP(PAA_4[[#This Row],[ITEM]],[2]Contrato!A:A,[2]Contrato!G:G,"",0)</f>
        <v>#NAME?</v>
      </c>
      <c r="AA1306" s="47" t="e">
        <f ca="1">_xlfn.XLOOKUP(PAA_4[[#This Row],[ITEM]],[2]Contrato!A:A,[2]Contrato!T:T,"",0)</f>
        <v>#NAME?</v>
      </c>
      <c r="AB1306" s="55" t="e">
        <f ca="1">+MAX(PAA_4[[#This Row],[Comprometido Contrato]],PAA_4[[#This Row],[Comprometido Bolsa]])</f>
        <v>#NAME?</v>
      </c>
      <c r="AC1306" s="55" t="str">
        <f t="shared" ca="1" si="469"/>
        <v/>
      </c>
      <c r="AD1306" s="55" t="e">
        <f ca="1">IF(PAA_4[[#This Row],[ESTADO (formulado)]]="NO CONTRATADO",0,MAX(PAA_4[[#This Row],[Pago por Contrato]],PAA_4[[#This Row],[Pago por bolsa]]))</f>
        <v>#NAME?</v>
      </c>
      <c r="AE1306" s="55" t="str">
        <f t="shared" ca="1" si="470"/>
        <v/>
      </c>
      <c r="AF1306" s="47" t="e">
        <f t="shared" ca="1" si="471"/>
        <v>#NAME?</v>
      </c>
      <c r="AG1306" s="47">
        <f t="shared" si="472"/>
        <v>44021010</v>
      </c>
      <c r="AH1306" s="54">
        <f>IF(Q1306="22",IF(ISNUMBER(SEARCH("econ",PAA_4[[#This Row],[Actividad3]])),"Económico",IF(ISNUMBER(SEARCH("alim",PAA_4[[#This Row],[Actividad3]])),"Alimentación",IF(ISNUMBER(SEARCH("educ",PAA_4[[#This Row],[Actividad3]])),"Educativo","Técnico"))),0)</f>
        <v>0</v>
      </c>
      <c r="AI1306" s="47" t="e" cm="1">
        <f t="array" aca="1" ref="AI1306" ca="1">_xlfn.XLOOKUP(PAA_4[[#This Row],[RCP-RUBRO]],[2]!COMPROMISOS_2024[[#All],[concatenado]],[2]!COMPROMISOS_2024[[#All],[Total pagado]],"",0)</f>
        <v>#NAME?</v>
      </c>
      <c r="AJ1306" s="56">
        <f>IF(PAA_4[[#This Row],[BOLSA]]=0,0,SUMIFS([2]!COMPROMISOS_2024[[#All],[Total pagado]],[2]!COMPROMISOS_2024[[#All],[Bolsa]],PAA_4[[#This Row],[BOLSA]],[2]!COMPROMISOS_2024[[#All],[rubro]],PAA_4[[#This Row],[RCP-RUBRO]]))</f>
        <v>0</v>
      </c>
      <c r="AK1306" s="47" t="e" cm="1">
        <f t="array" aca="1" ref="AK1306" ca="1">_xlfn.XLOOKUP(PAA_4[[#This Row],[RCP-RUBRO]],[2]!COMPROMISOS_2024[[#All],[concatenado]],[2]!COMPROMISOS_2024[[#All],[Total Comprometido]],"",0)</f>
        <v>#NAME?</v>
      </c>
      <c r="AL1306" s="47">
        <f>IF(PAA_4[[#This Row],[BOLSA]]=0,0,SUMIFS([2]!COMPROMISOS_2024[[#All],[Total Comprometido]],[2]!COMPROMISOS_2024[[#All],[Bolsa]],PAA_4[[#This Row],[BOLSA]],[2]!COMPROMISOS_2024[[#All],[concatenado]],PAA_4[[#This Row],[RCP-RUBRO]]))</f>
        <v>0</v>
      </c>
    </row>
    <row r="1307" spans="1:38" s="19" customFormat="1" ht="31.5" customHeight="1">
      <c r="A1307" s="47">
        <v>384</v>
      </c>
      <c r="B1307" s="47">
        <v>80111600</v>
      </c>
      <c r="C1307" s="47" t="str">
        <f>VLOOKUP(PAA_4[[#This Row],[PROYECTO (formulado)2]],[2]PROYECTOS!$G$1:$L$32,6,0)</f>
        <v>SUBGERENCIA DE FOMENTO Y DESARROLLO</v>
      </c>
      <c r="D1307" s="47" t="str">
        <f>+IF(PAA_4[[#This Row],[UNIDAD DE CONTRATACION (formulado)]]="Subgerencia Administrativa y Financiera","FUNCIONAMIENTO","INVERSIÓN")</f>
        <v>INVERSIÓN</v>
      </c>
      <c r="E1307" s="48" t="str">
        <f>VLOOKUP(Q1307,[2]PROYECTOS!$G$1:$K$32,5,0)</f>
        <v>FORTALECIMIENTO_DE_LOS_JUEGOS_DEL_SECTOR_SOCIAL_COMUNITARIO_EN_LOS_MUNICIPIOS_DEL_DEPARTAMENTO_DE_ANTIOQU</v>
      </c>
      <c r="F1307" s="48">
        <f>VLOOKUP(E1307,[2]PROYECTOS!$K$1:$M$32,3,0)</f>
        <v>2020003050033</v>
      </c>
      <c r="G1307" s="49" t="s">
        <v>342</v>
      </c>
      <c r="H1307" s="49" t="str">
        <f>VLOOKUP(Q1307,[2]PROYECTOS!$V$1:$W$32,2,0)</f>
        <v>050057</v>
      </c>
      <c r="I1307" s="50">
        <v>0</v>
      </c>
      <c r="J1307" s="51" t="s">
        <v>42</v>
      </c>
      <c r="K1307" s="47" t="str">
        <f t="shared" ca="1" si="466"/>
        <v>CONTRATADO</v>
      </c>
      <c r="L1307" s="47" t="s">
        <v>94</v>
      </c>
      <c r="M1307" s="47" t="s">
        <v>1297</v>
      </c>
      <c r="N1307" s="52" t="s">
        <v>343</v>
      </c>
      <c r="O1307" s="51" t="e">
        <f>VLOOKUP(N1307,[2]!RUBROS[#All],3,0)</f>
        <v>#REF!</v>
      </c>
      <c r="P1307" s="53" t="e">
        <f>VLOOKUP(N1307,[2]!RUBROS[#All],2,0)</f>
        <v>#REF!</v>
      </c>
      <c r="Q1307" s="47" t="str">
        <f t="shared" si="467"/>
        <v>50</v>
      </c>
      <c r="R1307" s="47" t="str">
        <f t="shared" si="468"/>
        <v>0-205128</v>
      </c>
      <c r="S1307" s="54">
        <v>9</v>
      </c>
      <c r="T1307" s="59" t="s">
        <v>46</v>
      </c>
      <c r="U1307" s="326" t="e">
        <f ca="1">_xlfn.XLOOKUP(PAA_4[[#This Row],[ITEM]],[2]Contrato!A:A,[2]Contrato!Q:Q,"",0)</f>
        <v>#NAME?</v>
      </c>
      <c r="V1307" s="47" t="s">
        <v>47</v>
      </c>
      <c r="W1307" s="47" t="s">
        <v>122</v>
      </c>
      <c r="X1307" s="47" t="s">
        <v>122</v>
      </c>
      <c r="Y1307" s="55" t="e">
        <f ca="1">_xlfn.XLOOKUP(PAA_4[[#This Row],[ITEM]],[2]Contrato!A:A,[2]Contrato!B:B,"",0)</f>
        <v>#NAME?</v>
      </c>
      <c r="Z1307" s="47" t="e">
        <f ca="1">_xlfn.XLOOKUP(PAA_4[[#This Row],[ITEM]],[2]Contrato!A:A,[2]Contrato!G:G,"",0)</f>
        <v>#NAME?</v>
      </c>
      <c r="AA1307" s="47" t="e">
        <f ca="1">_xlfn.XLOOKUP(PAA_4[[#This Row],[ITEM]],[2]Contrato!A:A,[2]Contrato!T:T,"",0)</f>
        <v>#NAME?</v>
      </c>
      <c r="AB1307" s="55" t="e">
        <f ca="1">+MAX(PAA_4[[#This Row],[Comprometido Contrato]],PAA_4[[#This Row],[Comprometido Bolsa]])</f>
        <v>#NAME?</v>
      </c>
      <c r="AC1307" s="55" t="str">
        <f t="shared" ca="1" si="469"/>
        <v/>
      </c>
      <c r="AD1307" s="55" t="e">
        <f ca="1">IF(PAA_4[[#This Row],[ESTADO (formulado)]]="NO CONTRATADO",0,MAX(PAA_4[[#This Row],[Pago por Contrato]],PAA_4[[#This Row],[Pago por bolsa]]))</f>
        <v>#NAME?</v>
      </c>
      <c r="AE1307" s="55" t="str">
        <f t="shared" ca="1" si="470"/>
        <v/>
      </c>
      <c r="AF1307" s="47" t="e">
        <f t="shared" ca="1" si="471"/>
        <v>#NAME?</v>
      </c>
      <c r="AG1307" s="47">
        <f t="shared" si="472"/>
        <v>44021010</v>
      </c>
      <c r="AH1307" s="54">
        <f>IF(Q1307="22",IF(ISNUMBER(SEARCH("econ",PAA_4[[#This Row],[Actividad3]])),"Económico",IF(ISNUMBER(SEARCH("alim",PAA_4[[#This Row],[Actividad3]])),"Alimentación",IF(ISNUMBER(SEARCH("educ",PAA_4[[#This Row],[Actividad3]])),"Educativo","Técnico"))),0)</f>
        <v>0</v>
      </c>
      <c r="AI1307" s="47" t="e" cm="1">
        <f t="array" aca="1" ref="AI1307" ca="1">_xlfn.XLOOKUP(PAA_4[[#This Row],[RCP-RUBRO]],[2]!COMPROMISOS_2024[[#All],[concatenado]],[2]!COMPROMISOS_2024[[#All],[Total pagado]],"",0)</f>
        <v>#NAME?</v>
      </c>
      <c r="AJ1307" s="56">
        <f>IF(PAA_4[[#This Row],[BOLSA]]=0,0,SUMIFS([2]!COMPROMISOS_2024[[#All],[Total pagado]],[2]!COMPROMISOS_2024[[#All],[Bolsa]],PAA_4[[#This Row],[BOLSA]],[2]!COMPROMISOS_2024[[#All],[rubro]],PAA_4[[#This Row],[RCP-RUBRO]]))</f>
        <v>0</v>
      </c>
      <c r="AK1307" s="47" t="e" cm="1">
        <f t="array" aca="1" ref="AK1307" ca="1">_xlfn.XLOOKUP(PAA_4[[#This Row],[RCP-RUBRO]],[2]!COMPROMISOS_2024[[#All],[concatenado]],[2]!COMPROMISOS_2024[[#All],[Total Comprometido]],"",0)</f>
        <v>#NAME?</v>
      </c>
      <c r="AL1307" s="47">
        <f>IF(PAA_4[[#This Row],[BOLSA]]=0,0,SUMIFS([2]!COMPROMISOS_2024[[#All],[Total Comprometido]],[2]!COMPROMISOS_2024[[#All],[Bolsa]],PAA_4[[#This Row],[BOLSA]],[2]!COMPROMISOS_2024[[#All],[concatenado]],PAA_4[[#This Row],[RCP-RUBRO]]))</f>
        <v>0</v>
      </c>
    </row>
    <row r="1308" spans="1:38" s="19" customFormat="1" ht="31.5" customHeight="1">
      <c r="A1308" s="47">
        <v>378</v>
      </c>
      <c r="B1308" s="47">
        <v>80111600</v>
      </c>
      <c r="C1308" s="47" t="str">
        <f>VLOOKUP(PAA_4[[#This Row],[PROYECTO (formulado)2]],[2]PROYECTOS!$G$1:$L$32,6,0)</f>
        <v>SUBGERENCIA DE FOMENTO Y DESARROLLO</v>
      </c>
      <c r="D1308" s="47" t="str">
        <f>+IF(PAA_4[[#This Row],[UNIDAD DE CONTRATACION (formulado)]]="Subgerencia Administrativa y Financiera","FUNCIONAMIENTO","INVERSIÓN")</f>
        <v>INVERSIÓN</v>
      </c>
      <c r="E1308" s="48" t="str">
        <f>VLOOKUP(Q1308,[2]PROYECTOS!$G$1:$K$32,5,0)</f>
        <v>FORTALECIMIENTO_DE_LOS_JUEGOS_DEL_SECTOR_SOCIAL_COMUNITARIO_EN_LOS_MUNICIPIOS_DEL_DEPARTAMENTO_DE_ANTIOQU</v>
      </c>
      <c r="F1308" s="48">
        <f>VLOOKUP(E1308,[2]PROYECTOS!$K$1:$M$32,3,0)</f>
        <v>2020003050033</v>
      </c>
      <c r="G1308" s="49" t="s">
        <v>342</v>
      </c>
      <c r="H1308" s="49" t="str">
        <f>VLOOKUP(Q1308,[2]PROYECTOS!$V$1:$W$32,2,0)</f>
        <v>050057</v>
      </c>
      <c r="I1308" s="50">
        <v>5159312</v>
      </c>
      <c r="J1308" s="51" t="s">
        <v>328</v>
      </c>
      <c r="K1308" s="47" t="str">
        <f t="shared" ca="1" si="466"/>
        <v>CONTRATADO</v>
      </c>
      <c r="L1308" s="47" t="s">
        <v>94</v>
      </c>
      <c r="M1308" s="47" t="s">
        <v>1297</v>
      </c>
      <c r="N1308" s="52" t="s">
        <v>343</v>
      </c>
      <c r="O1308" s="51" t="e">
        <f>VLOOKUP(N1308,[2]!RUBROS[#All],3,0)</f>
        <v>#REF!</v>
      </c>
      <c r="P1308" s="53" t="e">
        <f>VLOOKUP(N1308,[2]!RUBROS[#All],2,0)</f>
        <v>#REF!</v>
      </c>
      <c r="Q1308" s="47" t="str">
        <f t="shared" si="467"/>
        <v>50</v>
      </c>
      <c r="R1308" s="47" t="str">
        <f t="shared" si="468"/>
        <v>0-205128</v>
      </c>
      <c r="S1308" s="54">
        <v>12</v>
      </c>
      <c r="T1308" s="59" t="s">
        <v>46</v>
      </c>
      <c r="U1308" s="326" t="e">
        <f ca="1">_xlfn.XLOOKUP(PAA_4[[#This Row],[ITEM]],[2]Contrato!A:A,[2]Contrato!Q:Q,"",0)</f>
        <v>#NAME?</v>
      </c>
      <c r="V1308" s="47" t="s">
        <v>47</v>
      </c>
      <c r="W1308" s="47" t="s">
        <v>83</v>
      </c>
      <c r="X1308" s="47" t="s">
        <v>83</v>
      </c>
      <c r="Y1308" s="55" t="e">
        <f ca="1">_xlfn.XLOOKUP(PAA_4[[#This Row],[ITEM]],[2]Contrato!A:A,[2]Contrato!B:B,"",0)</f>
        <v>#NAME?</v>
      </c>
      <c r="Z1308" s="47" t="e">
        <f ca="1">_xlfn.XLOOKUP(PAA_4[[#This Row],[ITEM]],[2]Contrato!A:A,[2]Contrato!G:G,"",0)</f>
        <v>#NAME?</v>
      </c>
      <c r="AA1308" s="47" t="e">
        <f ca="1">_xlfn.XLOOKUP(PAA_4[[#This Row],[ITEM]],[2]Contrato!A:A,[2]Contrato!T:T,"",0)</f>
        <v>#NAME?</v>
      </c>
      <c r="AB1308" s="55" t="e">
        <f ca="1">+MAX(PAA_4[[#This Row],[Comprometido Contrato]],PAA_4[[#This Row],[Comprometido Bolsa]])</f>
        <v>#NAME?</v>
      </c>
      <c r="AC1308" s="55" t="str">
        <f t="shared" ca="1" si="469"/>
        <v/>
      </c>
      <c r="AD1308" s="55" t="e">
        <f ca="1">IF(PAA_4[[#This Row],[ESTADO (formulado)]]="NO CONTRATADO",0,MAX(PAA_4[[#This Row],[Pago por Contrato]],PAA_4[[#This Row],[Pago por bolsa]]))</f>
        <v>#NAME?</v>
      </c>
      <c r="AE1308" s="55" t="str">
        <f t="shared" ca="1" si="470"/>
        <v/>
      </c>
      <c r="AF1308" s="47" t="e">
        <f t="shared" ca="1" si="471"/>
        <v>#NAME?</v>
      </c>
      <c r="AG1308" s="47">
        <f t="shared" si="472"/>
        <v>44021010</v>
      </c>
      <c r="AH1308" s="54">
        <f>IF(Q1308="22",IF(ISNUMBER(SEARCH("econ",PAA_4[[#This Row],[Actividad3]])),"Económico",IF(ISNUMBER(SEARCH("alim",PAA_4[[#This Row],[Actividad3]])),"Alimentación",IF(ISNUMBER(SEARCH("educ",PAA_4[[#This Row],[Actividad3]])),"Educativo","Técnico"))),0)</f>
        <v>0</v>
      </c>
      <c r="AI1308" s="47" t="e" cm="1">
        <f t="array" aca="1" ref="AI1308" ca="1">_xlfn.XLOOKUP(PAA_4[[#This Row],[RCP-RUBRO]],[2]!COMPROMISOS_2024[[#All],[concatenado]],[2]!COMPROMISOS_2024[[#All],[Total pagado]],"",0)</f>
        <v>#NAME?</v>
      </c>
      <c r="AJ1308" s="56">
        <f>IF(PAA_4[[#This Row],[BOLSA]]=0,0,SUMIFS([2]!COMPROMISOS_2024[[#All],[Total pagado]],[2]!COMPROMISOS_2024[[#All],[Bolsa]],PAA_4[[#This Row],[BOLSA]],[2]!COMPROMISOS_2024[[#All],[rubro]],PAA_4[[#This Row],[RCP-RUBRO]]))</f>
        <v>0</v>
      </c>
      <c r="AK1308" s="47" t="e" cm="1">
        <f t="array" aca="1" ref="AK1308" ca="1">_xlfn.XLOOKUP(PAA_4[[#This Row],[RCP-RUBRO]],[2]!COMPROMISOS_2024[[#All],[concatenado]],[2]!COMPROMISOS_2024[[#All],[Total Comprometido]],"",0)</f>
        <v>#NAME?</v>
      </c>
      <c r="AL1308" s="47">
        <f>IF(PAA_4[[#This Row],[BOLSA]]=0,0,SUMIFS([2]!COMPROMISOS_2024[[#All],[Total Comprometido]],[2]!COMPROMISOS_2024[[#All],[Bolsa]],PAA_4[[#This Row],[BOLSA]],[2]!COMPROMISOS_2024[[#All],[concatenado]],PAA_4[[#This Row],[RCP-RUBRO]]))</f>
        <v>0</v>
      </c>
    </row>
    <row r="1309" spans="1:38" s="19" customFormat="1" ht="31.5" customHeight="1">
      <c r="A1309" s="47" t="s">
        <v>82</v>
      </c>
      <c r="B1309" s="47">
        <v>80111600</v>
      </c>
      <c r="C1309" s="47" t="str">
        <f>VLOOKUP(PAA_4[[#This Row],[PROYECTO (formulado)2]],[2]PROYECTOS!$G$1:$L$32,6,0)</f>
        <v>SUBGERENCIA DE FOMENTO Y DESARROLLO</v>
      </c>
      <c r="D1309" s="47" t="str">
        <f>+IF(PAA_4[[#This Row],[UNIDAD DE CONTRATACION (formulado)]]="Subgerencia Administrativa y Financiera","FUNCIONAMIENTO","INVERSIÓN")</f>
        <v>INVERSIÓN</v>
      </c>
      <c r="E1309" s="48" t="str">
        <f>VLOOKUP(Q1309,[2]PROYECTOS!$G$1:$K$32,5,0)</f>
        <v>FORTALECIMIENTO_DE_LOS_PROGRAMAS_RECREATIVOS_EN_LOS_MUNICIPIOS_DEL_DEPARTAMENTO_DE_ANTIOQUIA</v>
      </c>
      <c r="F1309" s="48">
        <f>VLOOKUP(E1309,[2]PROYECTOS!$K$1:$M$32,3,0)</f>
        <v>2020003050031</v>
      </c>
      <c r="G1309" s="49" t="s">
        <v>335</v>
      </c>
      <c r="H1309" s="49" t="str">
        <f>VLOOKUP(Q1309,[2]PROYECTOS!$V$1:$W$32,2,0)</f>
        <v>050064</v>
      </c>
      <c r="I1309" s="50">
        <v>0</v>
      </c>
      <c r="J1309" s="74" t="s">
        <v>374</v>
      </c>
      <c r="K1309" s="47" t="str">
        <f t="shared" ca="1" si="466"/>
        <v>CONTRATADO</v>
      </c>
      <c r="L1309" s="47" t="s">
        <v>94</v>
      </c>
      <c r="M1309" s="47" t="s">
        <v>1297</v>
      </c>
      <c r="N1309" s="52" t="s">
        <v>336</v>
      </c>
      <c r="O1309" s="51" t="e">
        <f>VLOOKUP(N1309,[2]!RUBROS[#All],3,0)</f>
        <v>#REF!</v>
      </c>
      <c r="P1309" s="53" t="e">
        <f>VLOOKUP(N1309,[2]!RUBROS[#All],2,0)</f>
        <v>#REF!</v>
      </c>
      <c r="Q1309" s="47" t="str">
        <f t="shared" si="467"/>
        <v>47</v>
      </c>
      <c r="R1309" s="47" t="str">
        <f t="shared" si="468"/>
        <v>0-205128</v>
      </c>
      <c r="S1309" s="54">
        <v>9</v>
      </c>
      <c r="T1309" s="59" t="s">
        <v>46</v>
      </c>
      <c r="U1309" s="326" t="e">
        <f ca="1">_xlfn.XLOOKUP(PAA_4[[#This Row],[ITEM]],[2]Contrato!A:A,[2]Contrato!Q:Q,"",0)</f>
        <v>#NAME?</v>
      </c>
      <c r="V1309" s="47" t="s">
        <v>47</v>
      </c>
      <c r="W1309" s="47" t="s">
        <v>122</v>
      </c>
      <c r="X1309" s="47" t="s">
        <v>122</v>
      </c>
      <c r="Y1309" s="55" t="e">
        <f ca="1">_xlfn.XLOOKUP(PAA_4[[#This Row],[ITEM]],[2]Contrato!A:A,[2]Contrato!B:B,"",0)</f>
        <v>#NAME?</v>
      </c>
      <c r="Z1309" s="47" t="e">
        <f ca="1">_xlfn.XLOOKUP(PAA_4[[#This Row],[ITEM]],[2]Contrato!A:A,[2]Contrato!G:G,"",0)</f>
        <v>#NAME?</v>
      </c>
      <c r="AA1309" s="47" t="e">
        <f ca="1">_xlfn.XLOOKUP(PAA_4[[#This Row],[ITEM]],[2]Contrato!A:A,[2]Contrato!T:T,"",0)</f>
        <v>#NAME?</v>
      </c>
      <c r="AB1309" s="55" t="e">
        <f ca="1">+MAX(PAA_4[[#This Row],[Comprometido Contrato]],PAA_4[[#This Row],[Comprometido Bolsa]])</f>
        <v>#NAME?</v>
      </c>
      <c r="AC1309" s="55" t="str">
        <f t="shared" ca="1" si="469"/>
        <v/>
      </c>
      <c r="AD1309" s="55" t="e">
        <f ca="1">IF(PAA_4[[#This Row],[ESTADO (formulado)]]="NO CONTRATADO",0,MAX(PAA_4[[#This Row],[Pago por Contrato]],PAA_4[[#This Row],[Pago por bolsa]]))</f>
        <v>#NAME?</v>
      </c>
      <c r="AE1309" s="55" t="str">
        <f t="shared" ca="1" si="470"/>
        <v/>
      </c>
      <c r="AF1309" s="47" t="e">
        <f t="shared" ca="1" si="471"/>
        <v>#NAME?</v>
      </c>
      <c r="AG1309" s="47">
        <f t="shared" si="472"/>
        <v>44021004</v>
      </c>
      <c r="AH1309" s="54">
        <f>IF(Q1309="22",IF(ISNUMBER(SEARCH("econ",PAA_4[[#This Row],[Actividad3]])),"Económico",IF(ISNUMBER(SEARCH("alim",PAA_4[[#This Row],[Actividad3]])),"Alimentación",IF(ISNUMBER(SEARCH("educ",PAA_4[[#This Row],[Actividad3]])),"Educativo","Técnico"))),0)</f>
        <v>0</v>
      </c>
      <c r="AI1309" s="47" t="e" cm="1">
        <f t="array" aca="1" ref="AI1309" ca="1">_xlfn.XLOOKUP(PAA_4[[#This Row],[RCP-RUBRO]],[2]!COMPROMISOS_2024[[#All],[concatenado]],[2]!COMPROMISOS_2024[[#All],[Total pagado]],"",0)</f>
        <v>#NAME?</v>
      </c>
      <c r="AJ1309" s="56">
        <f>IF(PAA_4[[#This Row],[BOLSA]]=0,0,SUMIFS([2]!COMPROMISOS_2024[[#All],[Total pagado]],[2]!COMPROMISOS_2024[[#All],[Bolsa]],PAA_4[[#This Row],[BOLSA]],[2]!COMPROMISOS_2024[[#All],[rubro]],PAA_4[[#This Row],[RCP-RUBRO]]))</f>
        <v>0</v>
      </c>
      <c r="AK1309" s="47" t="e" cm="1">
        <f t="array" aca="1" ref="AK1309" ca="1">_xlfn.XLOOKUP(PAA_4[[#This Row],[RCP-RUBRO]],[2]!COMPROMISOS_2024[[#All],[concatenado]],[2]!COMPROMISOS_2024[[#All],[Total Comprometido]],"",0)</f>
        <v>#NAME?</v>
      </c>
      <c r="AL1309" s="47">
        <f>IF(PAA_4[[#This Row],[BOLSA]]=0,0,SUMIFS([2]!COMPROMISOS_2024[[#All],[Total Comprometido]],[2]!COMPROMISOS_2024[[#All],[Bolsa]],PAA_4[[#This Row],[BOLSA]],[2]!COMPROMISOS_2024[[#All],[concatenado]],PAA_4[[#This Row],[RCP-RUBRO]]))</f>
        <v>0</v>
      </c>
    </row>
    <row r="1310" spans="1:38" s="19" customFormat="1" ht="31.5" customHeight="1">
      <c r="A1310" s="47">
        <v>379</v>
      </c>
      <c r="B1310" s="47">
        <v>80111600</v>
      </c>
      <c r="C1310" s="47" t="str">
        <f>VLOOKUP(PAA_4[[#This Row],[PROYECTO (formulado)2]],[2]PROYECTOS!$G$1:$L$32,6,0)</f>
        <v>SUBGERENCIA DE FOMENTO Y DESARROLLO</v>
      </c>
      <c r="D1310" s="47" t="str">
        <f>+IF(PAA_4[[#This Row],[UNIDAD DE CONTRATACION (formulado)]]="Subgerencia Administrativa y Financiera","FUNCIONAMIENTO","INVERSIÓN")</f>
        <v>INVERSIÓN</v>
      </c>
      <c r="E1310" s="48" t="str">
        <f>VLOOKUP(Q1310,[2]PROYECTOS!$G$1:$K$32,5,0)</f>
        <v>FORTALECIMIENTO_DE_LOS_JUEGOS_DEL_SECTOR_SOCIAL_COMUNITARIO_EN_LOS_MUNICIPIOS_DEL_DEPARTAMENTO_DE_ANTIOQU</v>
      </c>
      <c r="F1310" s="48">
        <f>VLOOKUP(E1310,[2]PROYECTOS!$K$1:$M$32,3,0)</f>
        <v>2020003050033</v>
      </c>
      <c r="G1310" s="49" t="s">
        <v>342</v>
      </c>
      <c r="H1310" s="49" t="str">
        <f>VLOOKUP(Q1310,[2]PROYECTOS!$V$1:$W$32,2,0)</f>
        <v>050057</v>
      </c>
      <c r="I1310" s="50">
        <v>5850042</v>
      </c>
      <c r="J1310" s="51" t="s">
        <v>330</v>
      </c>
      <c r="K1310" s="47" t="str">
        <f t="shared" ca="1" si="466"/>
        <v>CONTRATADO</v>
      </c>
      <c r="L1310" s="47" t="s">
        <v>94</v>
      </c>
      <c r="M1310" s="47" t="s">
        <v>1297</v>
      </c>
      <c r="N1310" s="52" t="s">
        <v>343</v>
      </c>
      <c r="O1310" s="51" t="e">
        <f>VLOOKUP(N1310,[2]!RUBROS[#All],3,0)</f>
        <v>#REF!</v>
      </c>
      <c r="P1310" s="53" t="e">
        <f>VLOOKUP(N1310,[2]!RUBROS[#All],2,0)</f>
        <v>#REF!</v>
      </c>
      <c r="Q1310" s="47" t="str">
        <f t="shared" si="467"/>
        <v>50</v>
      </c>
      <c r="R1310" s="47" t="str">
        <f t="shared" si="468"/>
        <v>0-205128</v>
      </c>
      <c r="S1310" s="47">
        <v>3</v>
      </c>
      <c r="T1310" s="59" t="s">
        <v>46</v>
      </c>
      <c r="U1310" s="326" t="e">
        <f ca="1">_xlfn.XLOOKUP(PAA_4[[#This Row],[ITEM]],[2]Contrato!A:A,[2]Contrato!Q:Q,"",0)</f>
        <v>#NAME?</v>
      </c>
      <c r="V1310" s="47" t="s">
        <v>47</v>
      </c>
      <c r="W1310" s="47" t="s">
        <v>83</v>
      </c>
      <c r="X1310" s="47" t="s">
        <v>83</v>
      </c>
      <c r="Y1310" s="55" t="e">
        <f ca="1">_xlfn.XLOOKUP(PAA_4[[#This Row],[ITEM]],[2]Contrato!A:A,[2]Contrato!B:B,"",0)</f>
        <v>#NAME?</v>
      </c>
      <c r="Z1310" s="47" t="e">
        <f ca="1">_xlfn.XLOOKUP(PAA_4[[#This Row],[ITEM]],[2]Contrato!A:A,[2]Contrato!G:G,"",0)</f>
        <v>#NAME?</v>
      </c>
      <c r="AA1310" s="47" t="e">
        <f ca="1">_xlfn.XLOOKUP(PAA_4[[#This Row],[ITEM]],[2]Contrato!A:A,[2]Contrato!T:T,"",0)</f>
        <v>#NAME?</v>
      </c>
      <c r="AB1310" s="55" t="e">
        <f ca="1">+MAX(PAA_4[[#This Row],[Comprometido Contrato]],PAA_4[[#This Row],[Comprometido Bolsa]])</f>
        <v>#NAME?</v>
      </c>
      <c r="AC1310" s="55" t="str">
        <f t="shared" ca="1" si="469"/>
        <v/>
      </c>
      <c r="AD1310" s="55" t="e">
        <f ca="1">IF(PAA_4[[#This Row],[ESTADO (formulado)]]="NO CONTRATADO",0,MAX(PAA_4[[#This Row],[Pago por Contrato]],PAA_4[[#This Row],[Pago por bolsa]]))</f>
        <v>#NAME?</v>
      </c>
      <c r="AE1310" s="55" t="str">
        <f t="shared" ca="1" si="470"/>
        <v/>
      </c>
      <c r="AF1310" s="47" t="e">
        <f t="shared" ca="1" si="471"/>
        <v>#NAME?</v>
      </c>
      <c r="AG1310" s="47">
        <f t="shared" si="472"/>
        <v>44021010</v>
      </c>
      <c r="AH1310" s="54">
        <f>IF(Q1310="22",IF(ISNUMBER(SEARCH("econ",PAA_4[[#This Row],[Actividad3]])),"Económico",IF(ISNUMBER(SEARCH("alim",PAA_4[[#This Row],[Actividad3]])),"Alimentación",IF(ISNUMBER(SEARCH("educ",PAA_4[[#This Row],[Actividad3]])),"Educativo","Técnico"))),0)</f>
        <v>0</v>
      </c>
      <c r="AI1310" s="47" t="e" cm="1">
        <f t="array" aca="1" ref="AI1310" ca="1">_xlfn.XLOOKUP(PAA_4[[#This Row],[RCP-RUBRO]],[2]!COMPROMISOS_2024[[#All],[concatenado]],[2]!COMPROMISOS_2024[[#All],[Total pagado]],"",0)</f>
        <v>#NAME?</v>
      </c>
      <c r="AJ1310" s="56">
        <f>IF(PAA_4[[#This Row],[BOLSA]]=0,0,SUMIFS([2]!COMPROMISOS_2024[[#All],[Total pagado]],[2]!COMPROMISOS_2024[[#All],[Bolsa]],PAA_4[[#This Row],[BOLSA]],[2]!COMPROMISOS_2024[[#All],[rubro]],PAA_4[[#This Row],[RCP-RUBRO]]))</f>
        <v>0</v>
      </c>
      <c r="AK1310" s="47" t="e" cm="1">
        <f t="array" aca="1" ref="AK1310" ca="1">_xlfn.XLOOKUP(PAA_4[[#This Row],[RCP-RUBRO]],[2]!COMPROMISOS_2024[[#All],[concatenado]],[2]!COMPROMISOS_2024[[#All],[Total Comprometido]],"",0)</f>
        <v>#NAME?</v>
      </c>
      <c r="AL1310" s="47">
        <f>IF(PAA_4[[#This Row],[BOLSA]]=0,0,SUMIFS([2]!COMPROMISOS_2024[[#All],[Total Comprometido]],[2]!COMPROMISOS_2024[[#All],[Bolsa]],PAA_4[[#This Row],[BOLSA]],[2]!COMPROMISOS_2024[[#All],[concatenado]],PAA_4[[#This Row],[RCP-RUBRO]]))</f>
        <v>0</v>
      </c>
    </row>
    <row r="1311" spans="1:38" s="19" customFormat="1" ht="31.5" customHeight="1">
      <c r="A1311" s="47">
        <v>380</v>
      </c>
      <c r="B1311" s="47">
        <v>80111600</v>
      </c>
      <c r="C1311" s="47" t="str">
        <f>VLOOKUP(PAA_4[[#This Row],[PROYECTO (formulado)2]],[2]PROYECTOS!$G$1:$L$32,6,0)</f>
        <v>SUBGERENCIA DE FOMENTO Y DESARROLLO</v>
      </c>
      <c r="D1311" s="47" t="str">
        <f>+IF(PAA_4[[#This Row],[UNIDAD DE CONTRATACION (formulado)]]="Subgerencia Administrativa y Financiera","FUNCIONAMIENTO","INVERSIÓN")</f>
        <v>INVERSIÓN</v>
      </c>
      <c r="E1311" s="48" t="str">
        <f>VLOOKUP(Q1311,[2]PROYECTOS!$G$1:$K$32,5,0)</f>
        <v>FORTALECIMIENTO_DE_LOS_JUEGOS_DEL_SECTOR_SOCIAL_COMUNITARIO_EN_LOS_MUNICIPIOS_DEL_DEPARTAMENTO_DE_ANTIOQU</v>
      </c>
      <c r="F1311" s="48">
        <f>VLOOKUP(E1311,[2]PROYECTOS!$K$1:$M$32,3,0)</f>
        <v>2020003050033</v>
      </c>
      <c r="G1311" s="49" t="s">
        <v>342</v>
      </c>
      <c r="H1311" s="49" t="str">
        <f>VLOOKUP(Q1311,[2]PROYECTOS!$V$1:$W$32,2,0)</f>
        <v>050057</v>
      </c>
      <c r="I1311" s="50">
        <v>5850042</v>
      </c>
      <c r="J1311" s="70" t="s">
        <v>331</v>
      </c>
      <c r="K1311" s="47" t="str">
        <f t="shared" ca="1" si="466"/>
        <v>CONTRATADO</v>
      </c>
      <c r="L1311" s="47" t="s">
        <v>94</v>
      </c>
      <c r="M1311" s="47" t="s">
        <v>1297</v>
      </c>
      <c r="N1311" s="52" t="s">
        <v>343</v>
      </c>
      <c r="O1311" s="51" t="e">
        <f>VLOOKUP(N1311,[2]!RUBROS[#All],3,0)</f>
        <v>#REF!</v>
      </c>
      <c r="P1311" s="53" t="e">
        <f>VLOOKUP(N1311,[2]!RUBROS[#All],2,0)</f>
        <v>#REF!</v>
      </c>
      <c r="Q1311" s="47" t="str">
        <f t="shared" si="467"/>
        <v>50</v>
      </c>
      <c r="R1311" s="47" t="str">
        <f t="shared" si="468"/>
        <v>0-205128</v>
      </c>
      <c r="S1311" s="54">
        <v>3</v>
      </c>
      <c r="T1311" s="59" t="s">
        <v>46</v>
      </c>
      <c r="U1311" s="326" t="e">
        <f ca="1">_xlfn.XLOOKUP(PAA_4[[#This Row],[ITEM]],[2]Contrato!A:A,[2]Contrato!Q:Q,"",0)</f>
        <v>#NAME?</v>
      </c>
      <c r="V1311" s="47" t="s">
        <v>47</v>
      </c>
      <c r="W1311" s="64" t="s">
        <v>83</v>
      </c>
      <c r="X1311" s="64" t="s">
        <v>83</v>
      </c>
      <c r="Y1311" s="55" t="e">
        <f ca="1">_xlfn.XLOOKUP(PAA_4[[#This Row],[ITEM]],[2]Contrato!A:A,[2]Contrato!B:B,"",0)</f>
        <v>#NAME?</v>
      </c>
      <c r="Z1311" s="47" t="e">
        <f ca="1">_xlfn.XLOOKUP(PAA_4[[#This Row],[ITEM]],[2]Contrato!A:A,[2]Contrato!G:G,"",0)</f>
        <v>#NAME?</v>
      </c>
      <c r="AA1311" s="47" t="e">
        <f ca="1">_xlfn.XLOOKUP(PAA_4[[#This Row],[ITEM]],[2]Contrato!A:A,[2]Contrato!T:T,"",0)</f>
        <v>#NAME?</v>
      </c>
      <c r="AB1311" s="55" t="e">
        <f ca="1">+MAX(PAA_4[[#This Row],[Comprometido Contrato]],PAA_4[[#This Row],[Comprometido Bolsa]])</f>
        <v>#NAME?</v>
      </c>
      <c r="AC1311" s="55" t="str">
        <f t="shared" ca="1" si="469"/>
        <v/>
      </c>
      <c r="AD1311" s="55" t="e">
        <f ca="1">IF(PAA_4[[#This Row],[ESTADO (formulado)]]="NO CONTRATADO",0,MAX(PAA_4[[#This Row],[Pago por Contrato]],PAA_4[[#This Row],[Pago por bolsa]]))</f>
        <v>#NAME?</v>
      </c>
      <c r="AE1311" s="55" t="str">
        <f t="shared" ca="1" si="470"/>
        <v/>
      </c>
      <c r="AF1311" s="47" t="e">
        <f t="shared" ca="1" si="471"/>
        <v>#NAME?</v>
      </c>
      <c r="AG1311" s="47">
        <f t="shared" si="472"/>
        <v>44021010</v>
      </c>
      <c r="AH1311" s="54">
        <f>IF(Q1311="22",IF(ISNUMBER(SEARCH("econ",PAA_4[[#This Row],[Actividad3]])),"Económico",IF(ISNUMBER(SEARCH("alim",PAA_4[[#This Row],[Actividad3]])),"Alimentación",IF(ISNUMBER(SEARCH("educ",PAA_4[[#This Row],[Actividad3]])),"Educativo","Técnico"))),0)</f>
        <v>0</v>
      </c>
      <c r="AI1311" s="47" t="e" cm="1">
        <f t="array" aca="1" ref="AI1311" ca="1">_xlfn.XLOOKUP(PAA_4[[#This Row],[RCP-RUBRO]],[2]!COMPROMISOS_2024[[#All],[concatenado]],[2]!COMPROMISOS_2024[[#All],[Total pagado]],"",0)</f>
        <v>#NAME?</v>
      </c>
      <c r="AJ1311" s="56">
        <f>IF(PAA_4[[#This Row],[BOLSA]]=0,0,SUMIFS([2]!COMPROMISOS_2024[[#All],[Total pagado]],[2]!COMPROMISOS_2024[[#All],[Bolsa]],PAA_4[[#This Row],[BOLSA]],[2]!COMPROMISOS_2024[[#All],[rubro]],PAA_4[[#This Row],[RCP-RUBRO]]))</f>
        <v>0</v>
      </c>
      <c r="AK1311" s="47" t="e" cm="1">
        <f t="array" aca="1" ref="AK1311" ca="1">_xlfn.XLOOKUP(PAA_4[[#This Row],[RCP-RUBRO]],[2]!COMPROMISOS_2024[[#All],[concatenado]],[2]!COMPROMISOS_2024[[#All],[Total Comprometido]],"",0)</f>
        <v>#NAME?</v>
      </c>
      <c r="AL1311" s="47">
        <f>IF(PAA_4[[#This Row],[BOLSA]]=0,0,SUMIFS([2]!COMPROMISOS_2024[[#All],[Total Comprometido]],[2]!COMPROMISOS_2024[[#All],[Bolsa]],PAA_4[[#This Row],[BOLSA]],[2]!COMPROMISOS_2024[[#All],[concatenado]],PAA_4[[#This Row],[RCP-RUBRO]]))</f>
        <v>0</v>
      </c>
    </row>
    <row r="1312" spans="1:38" s="19" customFormat="1" ht="31.5" customHeight="1">
      <c r="A1312" s="47">
        <v>381</v>
      </c>
      <c r="B1312" s="47">
        <v>80111600</v>
      </c>
      <c r="C1312" s="47" t="str">
        <f>VLOOKUP(PAA_4[[#This Row],[PROYECTO (formulado)2]],[2]PROYECTOS!$G$1:$L$32,6,0)</f>
        <v>SUBGERENCIA DE FOMENTO Y DESARROLLO</v>
      </c>
      <c r="D1312" s="47" t="str">
        <f>+IF(PAA_4[[#This Row],[UNIDAD DE CONTRATACION (formulado)]]="Subgerencia Administrativa y Financiera","FUNCIONAMIENTO","INVERSIÓN")</f>
        <v>INVERSIÓN</v>
      </c>
      <c r="E1312" s="48" t="str">
        <f>VLOOKUP(Q1312,[2]PROYECTOS!$G$1:$K$32,5,0)</f>
        <v>FORTALECIMIENTO_DE_LOS_JUEGOS_DEL_SECTOR_SOCIAL_COMUNITARIO_EN_LOS_MUNICIPIOS_DEL_DEPARTAMENTO_DE_ANTIOQU</v>
      </c>
      <c r="F1312" s="48">
        <f>VLOOKUP(E1312,[2]PROYECTOS!$K$1:$M$32,3,0)</f>
        <v>2020003050033</v>
      </c>
      <c r="G1312" s="49" t="s">
        <v>342</v>
      </c>
      <c r="H1312" s="49" t="str">
        <f>VLOOKUP(Q1312,[2]PROYECTOS!$V$1:$W$32,2,0)</f>
        <v>050057</v>
      </c>
      <c r="I1312" s="50">
        <v>5159312</v>
      </c>
      <c r="J1312" s="51" t="s">
        <v>328</v>
      </c>
      <c r="K1312" s="47" t="str">
        <f t="shared" ca="1" si="466"/>
        <v>CONTRATADO</v>
      </c>
      <c r="L1312" s="47" t="s">
        <v>94</v>
      </c>
      <c r="M1312" s="47" t="s">
        <v>1297</v>
      </c>
      <c r="N1312" s="52" t="s">
        <v>343</v>
      </c>
      <c r="O1312" s="51" t="e">
        <f>VLOOKUP(N1312,[2]!RUBROS[#All],3,0)</f>
        <v>#REF!</v>
      </c>
      <c r="P1312" s="53" t="e">
        <f>VLOOKUP(N1312,[2]!RUBROS[#All],2,0)</f>
        <v>#REF!</v>
      </c>
      <c r="Q1312" s="47" t="str">
        <f t="shared" si="467"/>
        <v>50</v>
      </c>
      <c r="R1312" s="47" t="str">
        <f t="shared" si="468"/>
        <v>0-205128</v>
      </c>
      <c r="S1312" s="54">
        <v>12</v>
      </c>
      <c r="T1312" s="59" t="s">
        <v>46</v>
      </c>
      <c r="U1312" s="326" t="e">
        <f ca="1">_xlfn.XLOOKUP(PAA_4[[#This Row],[ITEM]],[2]Contrato!A:A,[2]Contrato!Q:Q,"",0)</f>
        <v>#NAME?</v>
      </c>
      <c r="V1312" s="47" t="s">
        <v>47</v>
      </c>
      <c r="W1312" s="64" t="s">
        <v>83</v>
      </c>
      <c r="X1312" s="64" t="s">
        <v>83</v>
      </c>
      <c r="Y1312" s="55" t="e">
        <f ca="1">_xlfn.XLOOKUP(PAA_4[[#This Row],[ITEM]],[2]Contrato!A:A,[2]Contrato!B:B,"",0)</f>
        <v>#NAME?</v>
      </c>
      <c r="Z1312" s="47" t="e">
        <f ca="1">_xlfn.XLOOKUP(PAA_4[[#This Row],[ITEM]],[2]Contrato!A:A,[2]Contrato!G:G,"",0)</f>
        <v>#NAME?</v>
      </c>
      <c r="AA1312" s="47" t="e">
        <f ca="1">_xlfn.XLOOKUP(PAA_4[[#This Row],[ITEM]],[2]Contrato!A:A,[2]Contrato!T:T,"",0)</f>
        <v>#NAME?</v>
      </c>
      <c r="AB1312" s="55" t="e">
        <f ca="1">+MAX(PAA_4[[#This Row],[Comprometido Contrato]],PAA_4[[#This Row],[Comprometido Bolsa]])</f>
        <v>#NAME?</v>
      </c>
      <c r="AC1312" s="55" t="str">
        <f t="shared" ca="1" si="469"/>
        <v/>
      </c>
      <c r="AD1312" s="55" t="e">
        <f ca="1">IF(PAA_4[[#This Row],[ESTADO (formulado)]]="NO CONTRATADO",0,MAX(PAA_4[[#This Row],[Pago por Contrato]],PAA_4[[#This Row],[Pago por bolsa]]))</f>
        <v>#NAME?</v>
      </c>
      <c r="AE1312" s="55" t="str">
        <f t="shared" ca="1" si="470"/>
        <v/>
      </c>
      <c r="AF1312" s="47" t="e">
        <f t="shared" ca="1" si="471"/>
        <v>#NAME?</v>
      </c>
      <c r="AG1312" s="47">
        <f t="shared" si="472"/>
        <v>44021010</v>
      </c>
      <c r="AH1312" s="54">
        <f>IF(Q1312="22",IF(ISNUMBER(SEARCH("econ",PAA_4[[#This Row],[Actividad3]])),"Económico",IF(ISNUMBER(SEARCH("alim",PAA_4[[#This Row],[Actividad3]])),"Alimentación",IF(ISNUMBER(SEARCH("educ",PAA_4[[#This Row],[Actividad3]])),"Educativo","Técnico"))),0)</f>
        <v>0</v>
      </c>
      <c r="AI1312" s="47" t="e" cm="1">
        <f t="array" aca="1" ref="AI1312" ca="1">_xlfn.XLOOKUP(PAA_4[[#This Row],[RCP-RUBRO]],[2]!COMPROMISOS_2024[[#All],[concatenado]],[2]!COMPROMISOS_2024[[#All],[Total pagado]],"",0)</f>
        <v>#NAME?</v>
      </c>
      <c r="AJ1312" s="56">
        <f>IF(PAA_4[[#This Row],[BOLSA]]=0,0,SUMIFS([2]!COMPROMISOS_2024[[#All],[Total pagado]],[2]!COMPROMISOS_2024[[#All],[Bolsa]],PAA_4[[#This Row],[BOLSA]],[2]!COMPROMISOS_2024[[#All],[rubro]],PAA_4[[#This Row],[RCP-RUBRO]]))</f>
        <v>0</v>
      </c>
      <c r="AK1312" s="47" t="e" cm="1">
        <f t="array" aca="1" ref="AK1312" ca="1">_xlfn.XLOOKUP(PAA_4[[#This Row],[RCP-RUBRO]],[2]!COMPROMISOS_2024[[#All],[concatenado]],[2]!COMPROMISOS_2024[[#All],[Total Comprometido]],"",0)</f>
        <v>#NAME?</v>
      </c>
      <c r="AL1312" s="47">
        <f>IF(PAA_4[[#This Row],[BOLSA]]=0,0,SUMIFS([2]!COMPROMISOS_2024[[#All],[Total Comprometido]],[2]!COMPROMISOS_2024[[#All],[Bolsa]],PAA_4[[#This Row],[BOLSA]],[2]!COMPROMISOS_2024[[#All],[concatenado]],PAA_4[[#This Row],[RCP-RUBRO]]))</f>
        <v>0</v>
      </c>
    </row>
    <row r="1313" spans="1:38" s="19" customFormat="1" ht="31.5" customHeight="1">
      <c r="A1313" s="47">
        <v>382</v>
      </c>
      <c r="B1313" s="47">
        <v>80111600</v>
      </c>
      <c r="C1313" s="47" t="str">
        <f>VLOOKUP(PAA_4[[#This Row],[PROYECTO (formulado)2]],[2]PROYECTOS!$G$1:$L$32,6,0)</f>
        <v>SUBGERENCIA DE FOMENTO Y DESARROLLO</v>
      </c>
      <c r="D1313" s="47" t="str">
        <f>+IF(PAA_4[[#This Row],[UNIDAD DE CONTRATACION (formulado)]]="Subgerencia Administrativa y Financiera","FUNCIONAMIENTO","INVERSIÓN")</f>
        <v>INVERSIÓN</v>
      </c>
      <c r="E1313" s="48" t="str">
        <f>VLOOKUP(Q1313,[2]PROYECTOS!$G$1:$K$32,5,0)</f>
        <v>FORTALECIMIENTO_DE_LOS_JUEGOS_DEL_SECTOR_SOCIAL_COMUNITARIO_EN_LOS_MUNICIPIOS_DEL_DEPARTAMENTO_DE_ANTIOQU</v>
      </c>
      <c r="F1313" s="48">
        <f>VLOOKUP(E1313,[2]PROYECTOS!$K$1:$M$32,3,0)</f>
        <v>2020003050033</v>
      </c>
      <c r="G1313" s="49" t="s">
        <v>342</v>
      </c>
      <c r="H1313" s="49" t="str">
        <f>VLOOKUP(Q1313,[2]PROYECTOS!$V$1:$W$32,2,0)</f>
        <v>050057</v>
      </c>
      <c r="I1313" s="50">
        <v>0</v>
      </c>
      <c r="J1313" s="51" t="s">
        <v>357</v>
      </c>
      <c r="K1313" s="47" t="str">
        <f t="shared" ca="1" si="466"/>
        <v>CONTRATADO</v>
      </c>
      <c r="L1313" s="47" t="s">
        <v>94</v>
      </c>
      <c r="M1313" s="47" t="s">
        <v>1297</v>
      </c>
      <c r="N1313" s="52" t="s">
        <v>343</v>
      </c>
      <c r="O1313" s="51" t="e">
        <f>VLOOKUP(N1313,[2]!RUBROS[#All],3,0)</f>
        <v>#REF!</v>
      </c>
      <c r="P1313" s="53" t="e">
        <f>VLOOKUP(N1313,[2]!RUBROS[#All],2,0)</f>
        <v>#REF!</v>
      </c>
      <c r="Q1313" s="47" t="str">
        <f t="shared" si="467"/>
        <v>50</v>
      </c>
      <c r="R1313" s="47" t="str">
        <f t="shared" si="468"/>
        <v>0-205128</v>
      </c>
      <c r="S1313" s="54">
        <v>5</v>
      </c>
      <c r="T1313" s="59" t="s">
        <v>46</v>
      </c>
      <c r="U1313" s="326" t="e">
        <f ca="1">_xlfn.XLOOKUP(PAA_4[[#This Row],[ITEM]],[2]Contrato!A:A,[2]Contrato!Q:Q,"",0)</f>
        <v>#NAME?</v>
      </c>
      <c r="V1313" s="47" t="s">
        <v>47</v>
      </c>
      <c r="W1313" s="47" t="s">
        <v>193</v>
      </c>
      <c r="X1313" s="47" t="s">
        <v>193</v>
      </c>
      <c r="Y1313" s="55" t="e">
        <f ca="1">_xlfn.XLOOKUP(PAA_4[[#This Row],[ITEM]],[2]Contrato!A:A,[2]Contrato!B:B,"",0)</f>
        <v>#NAME?</v>
      </c>
      <c r="Z1313" s="47" t="e">
        <f ca="1">_xlfn.XLOOKUP(PAA_4[[#This Row],[ITEM]],[2]Contrato!A:A,[2]Contrato!G:G,"",0)</f>
        <v>#NAME?</v>
      </c>
      <c r="AA1313" s="47" t="e">
        <f ca="1">_xlfn.XLOOKUP(PAA_4[[#This Row],[ITEM]],[2]Contrato!A:A,[2]Contrato!T:T,"",0)</f>
        <v>#NAME?</v>
      </c>
      <c r="AB1313" s="55" t="e">
        <f ca="1">+MAX(PAA_4[[#This Row],[Comprometido Contrato]],PAA_4[[#This Row],[Comprometido Bolsa]])</f>
        <v>#NAME?</v>
      </c>
      <c r="AC1313" s="55" t="str">
        <f t="shared" ca="1" si="469"/>
        <v/>
      </c>
      <c r="AD1313" s="55" t="e">
        <f ca="1">IF(PAA_4[[#This Row],[ESTADO (formulado)]]="NO CONTRATADO",0,MAX(PAA_4[[#This Row],[Pago por Contrato]],PAA_4[[#This Row],[Pago por bolsa]]))</f>
        <v>#NAME?</v>
      </c>
      <c r="AE1313" s="55" t="str">
        <f t="shared" ca="1" si="470"/>
        <v/>
      </c>
      <c r="AF1313" s="47" t="e">
        <f t="shared" ca="1" si="471"/>
        <v>#NAME?</v>
      </c>
      <c r="AG1313" s="47">
        <f t="shared" si="472"/>
        <v>44021010</v>
      </c>
      <c r="AH1313" s="54">
        <f>IF(Q1313="22",IF(ISNUMBER(SEARCH("econ",PAA_4[[#This Row],[Actividad3]])),"Económico",IF(ISNUMBER(SEARCH("alim",PAA_4[[#This Row],[Actividad3]])),"Alimentación",IF(ISNUMBER(SEARCH("educ",PAA_4[[#This Row],[Actividad3]])),"Educativo","Técnico"))),0)</f>
        <v>0</v>
      </c>
      <c r="AI1313" s="47" t="e" cm="1">
        <f t="array" aca="1" ref="AI1313" ca="1">_xlfn.XLOOKUP(PAA_4[[#This Row],[RCP-RUBRO]],[2]!COMPROMISOS_2024[[#All],[concatenado]],[2]!COMPROMISOS_2024[[#All],[Total pagado]],"",0)</f>
        <v>#NAME?</v>
      </c>
      <c r="AJ1313" s="56">
        <f>IF(PAA_4[[#This Row],[BOLSA]]=0,0,SUMIFS([2]!COMPROMISOS_2024[[#All],[Total pagado]],[2]!COMPROMISOS_2024[[#All],[Bolsa]],PAA_4[[#This Row],[BOLSA]],[2]!COMPROMISOS_2024[[#All],[rubro]],PAA_4[[#This Row],[RCP-RUBRO]]))</f>
        <v>0</v>
      </c>
      <c r="AK1313" s="47" t="e" cm="1">
        <f t="array" aca="1" ref="AK1313" ca="1">_xlfn.XLOOKUP(PAA_4[[#This Row],[RCP-RUBRO]],[2]!COMPROMISOS_2024[[#All],[concatenado]],[2]!COMPROMISOS_2024[[#All],[Total Comprometido]],"",0)</f>
        <v>#NAME?</v>
      </c>
      <c r="AL1313" s="47">
        <f>IF(PAA_4[[#This Row],[BOLSA]]=0,0,SUMIFS([2]!COMPROMISOS_2024[[#All],[Total Comprometido]],[2]!COMPROMISOS_2024[[#All],[Bolsa]],PAA_4[[#This Row],[BOLSA]],[2]!COMPROMISOS_2024[[#All],[concatenado]],PAA_4[[#This Row],[RCP-RUBRO]]))</f>
        <v>0</v>
      </c>
    </row>
    <row r="1314" spans="1:38" s="19" customFormat="1" ht="31.5" customHeight="1">
      <c r="A1314" s="47">
        <v>383</v>
      </c>
      <c r="B1314" s="47">
        <v>80111600</v>
      </c>
      <c r="C1314" s="47" t="str">
        <f>VLOOKUP(PAA_4[[#This Row],[PROYECTO (formulado)2]],[2]PROYECTOS!$G$1:$L$32,6,0)</f>
        <v>SUBGERENCIA DE FOMENTO Y DESARROLLO</v>
      </c>
      <c r="D1314" s="47" t="str">
        <f>+IF(PAA_4[[#This Row],[UNIDAD DE CONTRATACION (formulado)]]="Subgerencia Administrativa y Financiera","FUNCIONAMIENTO","INVERSIÓN")</f>
        <v>INVERSIÓN</v>
      </c>
      <c r="E1314" s="48" t="str">
        <f>VLOOKUP(Q1314,[2]PROYECTOS!$G$1:$K$32,5,0)</f>
        <v>FORTALECIMIENTO_DE_LOS_JUEGOS_DEL_SECTOR_SOCIAL_COMUNITARIO_EN_LOS_MUNICIPIOS_DEL_DEPARTAMENTO_DE_ANTIOQU</v>
      </c>
      <c r="F1314" s="48">
        <f>VLOOKUP(E1314,[2]PROYECTOS!$K$1:$M$32,3,0)</f>
        <v>2020003050033</v>
      </c>
      <c r="G1314" s="49" t="s">
        <v>342</v>
      </c>
      <c r="H1314" s="49" t="str">
        <f>VLOOKUP(Q1314,[2]PROYECTOS!$V$1:$W$32,2,0)</f>
        <v>050057</v>
      </c>
      <c r="I1314" s="50">
        <v>0</v>
      </c>
      <c r="J1314" s="51" t="s">
        <v>42</v>
      </c>
      <c r="K1314" s="47" t="str">
        <f t="shared" ca="1" si="466"/>
        <v>CONTRATADO</v>
      </c>
      <c r="L1314" s="47" t="s">
        <v>94</v>
      </c>
      <c r="M1314" s="47" t="s">
        <v>1297</v>
      </c>
      <c r="N1314" s="52" t="s">
        <v>343</v>
      </c>
      <c r="O1314" s="51" t="e">
        <f>VLOOKUP(N1314,[2]!RUBROS[#All],3,0)</f>
        <v>#REF!</v>
      </c>
      <c r="P1314" s="53" t="e">
        <f>VLOOKUP(N1314,[2]!RUBROS[#All],2,0)</f>
        <v>#REF!</v>
      </c>
      <c r="Q1314" s="47" t="str">
        <f t="shared" si="467"/>
        <v>50</v>
      </c>
      <c r="R1314" s="47" t="str">
        <f t="shared" si="468"/>
        <v>0-205128</v>
      </c>
      <c r="S1314" s="54">
        <v>5</v>
      </c>
      <c r="T1314" s="59" t="s">
        <v>46</v>
      </c>
      <c r="U1314" s="326" t="e">
        <f ca="1">_xlfn.XLOOKUP(PAA_4[[#This Row],[ITEM]],[2]Contrato!A:A,[2]Contrato!Q:Q,"",0)</f>
        <v>#NAME?</v>
      </c>
      <c r="V1314" s="47" t="s">
        <v>47</v>
      </c>
      <c r="W1314" s="47" t="s">
        <v>193</v>
      </c>
      <c r="X1314" s="47" t="s">
        <v>193</v>
      </c>
      <c r="Y1314" s="55" t="e">
        <f ca="1">_xlfn.XLOOKUP(PAA_4[[#This Row],[ITEM]],[2]Contrato!A:A,[2]Contrato!B:B,"",0)</f>
        <v>#NAME?</v>
      </c>
      <c r="Z1314" s="47" t="e">
        <f ca="1">_xlfn.XLOOKUP(PAA_4[[#This Row],[ITEM]],[2]Contrato!A:A,[2]Contrato!G:G,"",0)</f>
        <v>#NAME?</v>
      </c>
      <c r="AA1314" s="47" t="e">
        <f ca="1">_xlfn.XLOOKUP(PAA_4[[#This Row],[ITEM]],[2]Contrato!A:A,[2]Contrato!T:T,"",0)</f>
        <v>#NAME?</v>
      </c>
      <c r="AB1314" s="55" t="e">
        <f ca="1">+MAX(PAA_4[[#This Row],[Comprometido Contrato]],PAA_4[[#This Row],[Comprometido Bolsa]])</f>
        <v>#NAME?</v>
      </c>
      <c r="AC1314" s="55" t="str">
        <f t="shared" ca="1" si="469"/>
        <v/>
      </c>
      <c r="AD1314" s="55" t="e">
        <f ca="1">IF(PAA_4[[#This Row],[ESTADO (formulado)]]="NO CONTRATADO",0,MAX(PAA_4[[#This Row],[Pago por Contrato]],PAA_4[[#This Row],[Pago por bolsa]]))</f>
        <v>#NAME?</v>
      </c>
      <c r="AE1314" s="55" t="str">
        <f t="shared" ca="1" si="470"/>
        <v/>
      </c>
      <c r="AF1314" s="47" t="e">
        <f t="shared" ca="1" si="471"/>
        <v>#NAME?</v>
      </c>
      <c r="AG1314" s="47">
        <f t="shared" si="472"/>
        <v>44021010</v>
      </c>
      <c r="AH1314" s="54">
        <f>IF(Q1314="22",IF(ISNUMBER(SEARCH("econ",PAA_4[[#This Row],[Actividad3]])),"Económico",IF(ISNUMBER(SEARCH("alim",PAA_4[[#This Row],[Actividad3]])),"Alimentación",IF(ISNUMBER(SEARCH("educ",PAA_4[[#This Row],[Actividad3]])),"Educativo","Técnico"))),0)</f>
        <v>0</v>
      </c>
      <c r="AI1314" s="47" t="e" cm="1">
        <f t="array" aca="1" ref="AI1314" ca="1">_xlfn.XLOOKUP(PAA_4[[#This Row],[RCP-RUBRO]],[2]!COMPROMISOS_2024[[#All],[concatenado]],[2]!COMPROMISOS_2024[[#All],[Total pagado]],"",0)</f>
        <v>#NAME?</v>
      </c>
      <c r="AJ1314" s="56">
        <f>IF(PAA_4[[#This Row],[BOLSA]]=0,0,SUMIFS([2]!COMPROMISOS_2024[[#All],[Total pagado]],[2]!COMPROMISOS_2024[[#All],[Bolsa]],PAA_4[[#This Row],[BOLSA]],[2]!COMPROMISOS_2024[[#All],[rubro]],PAA_4[[#This Row],[RCP-RUBRO]]))</f>
        <v>0</v>
      </c>
      <c r="AK1314" s="47" t="e" cm="1">
        <f t="array" aca="1" ref="AK1314" ca="1">_xlfn.XLOOKUP(PAA_4[[#This Row],[RCP-RUBRO]],[2]!COMPROMISOS_2024[[#All],[concatenado]],[2]!COMPROMISOS_2024[[#All],[Total Comprometido]],"",0)</f>
        <v>#NAME?</v>
      </c>
      <c r="AL1314" s="47">
        <f>IF(PAA_4[[#This Row],[BOLSA]]=0,0,SUMIFS([2]!COMPROMISOS_2024[[#All],[Total Comprometido]],[2]!COMPROMISOS_2024[[#All],[Bolsa]],PAA_4[[#This Row],[BOLSA]],[2]!COMPROMISOS_2024[[#All],[concatenado]],PAA_4[[#This Row],[RCP-RUBRO]]))</f>
        <v>0</v>
      </c>
    </row>
    <row r="1315" spans="1:38" s="19" customFormat="1" ht="31.5" customHeight="1">
      <c r="A1315" s="47" t="s">
        <v>82</v>
      </c>
      <c r="B1315" s="47" t="s">
        <v>42</v>
      </c>
      <c r="C1315" s="47" t="str">
        <f>VLOOKUP(PAA_4[[#This Row],[PROYECTO (formulado)2]],[2]PROYECTOS!$G$1:$L$32,6,0)</f>
        <v>SUBGERENCIA DE FOMENTO Y DESARROLLO</v>
      </c>
      <c r="D1315" s="47" t="str">
        <f>+IF(PAA_4[[#This Row],[UNIDAD DE CONTRATACION (formulado)]]="Subgerencia Administrativa y Financiera","FUNCIONAMIENTO","INVERSIÓN")</f>
        <v>INVERSIÓN</v>
      </c>
      <c r="E1315" s="48" t="str">
        <f>VLOOKUP(Q1315,[2]PROYECTOS!$G$1:$K$32,5,0)</f>
        <v>FORTALECIMIENTO_DE_LOS_JUEGOS_DEL_SECTOR_SOCIAL_COMUNITARIO_EN_LOS_MUNICIPIOS_DEL_DEPARTAMENTO_DE_ANTIOQU</v>
      </c>
      <c r="F1315" s="48">
        <f>VLOOKUP(E1315,[2]PROYECTOS!$K$1:$M$32,3,0)</f>
        <v>2020003050033</v>
      </c>
      <c r="G1315" s="49" t="s">
        <v>394</v>
      </c>
      <c r="H1315" s="49" t="str">
        <f>VLOOKUP(Q1315,[2]PROYECTOS!$V$1:$W$32,2,0)</f>
        <v>050057</v>
      </c>
      <c r="I1315" s="50">
        <v>38952038</v>
      </c>
      <c r="J1315" s="51" t="s">
        <v>1871</v>
      </c>
      <c r="K1315" s="47" t="str">
        <f t="shared" ca="1" si="466"/>
        <v>CONTRATADO</v>
      </c>
      <c r="L1315" s="47" t="s">
        <v>42</v>
      </c>
      <c r="M1315" s="47" t="s">
        <v>42</v>
      </c>
      <c r="N1315" s="52" t="s">
        <v>396</v>
      </c>
      <c r="O1315" s="51" t="e">
        <f>VLOOKUP(N1315,[2]!RUBROS[#All],3,0)</f>
        <v>#REF!</v>
      </c>
      <c r="P1315" s="53" t="e">
        <f>VLOOKUP(N1315,[2]!RUBROS[#All],2,0)</f>
        <v>#REF!</v>
      </c>
      <c r="Q1315" s="47" t="str">
        <f t="shared" si="467"/>
        <v>50</v>
      </c>
      <c r="R1315" s="47" t="str">
        <f t="shared" si="468"/>
        <v>0-205128</v>
      </c>
      <c r="S1315" s="54" t="s">
        <v>42</v>
      </c>
      <c r="T1315" s="59" t="s">
        <v>42</v>
      </c>
      <c r="U1315" s="326" t="e">
        <f ca="1">_xlfn.XLOOKUP(PAA_4[[#This Row],[ITEM]],[2]Contrato!A:A,[2]Contrato!Q:Q,"",0)</f>
        <v>#NAME?</v>
      </c>
      <c r="V1315" s="47" t="s">
        <v>42</v>
      </c>
      <c r="W1315" s="47" t="s">
        <v>42</v>
      </c>
      <c r="X1315" s="47" t="s">
        <v>42</v>
      </c>
      <c r="Y1315" s="55" t="e">
        <f ca="1">_xlfn.XLOOKUP(PAA_4[[#This Row],[ITEM]],[2]Contrato!A:A,[2]Contrato!B:B,"",0)</f>
        <v>#NAME?</v>
      </c>
      <c r="Z1315" s="47" t="e">
        <f ca="1">_xlfn.XLOOKUP(PAA_4[[#This Row],[ITEM]],[2]Contrato!A:A,[2]Contrato!G:G,"",0)</f>
        <v>#NAME?</v>
      </c>
      <c r="AA1315" s="47" t="e">
        <f ca="1">_xlfn.XLOOKUP(PAA_4[[#This Row],[ITEM]],[2]Contrato!A:A,[2]Contrato!T:T,"",0)</f>
        <v>#NAME?</v>
      </c>
      <c r="AB1315" s="55" t="e">
        <f ca="1">+MAX(PAA_4[[#This Row],[Comprometido Contrato]],PAA_4[[#This Row],[Comprometido Bolsa]])</f>
        <v>#NAME?</v>
      </c>
      <c r="AC1315" s="55" t="str">
        <f t="shared" ca="1" si="469"/>
        <v/>
      </c>
      <c r="AD1315" s="55" t="e">
        <f ca="1">IF(PAA_4[[#This Row],[ESTADO (formulado)]]="NO CONTRATADO",0,MAX(PAA_4[[#This Row],[Pago por Contrato]],PAA_4[[#This Row],[Pago por bolsa]]))</f>
        <v>#NAME?</v>
      </c>
      <c r="AE1315" s="55" t="str">
        <f t="shared" ca="1" si="470"/>
        <v/>
      </c>
      <c r="AF1315" s="47" t="e">
        <f t="shared" ca="1" si="471"/>
        <v>#NAME?</v>
      </c>
      <c r="AG1315" s="47">
        <f t="shared" si="472"/>
        <v>44021010</v>
      </c>
      <c r="AH1315" s="54">
        <f>IF(Q1315="22",IF(ISNUMBER(SEARCH("econ",PAA_4[[#This Row],[Actividad3]])),"Económico",IF(ISNUMBER(SEARCH("alim",PAA_4[[#This Row],[Actividad3]])),"Alimentación",IF(ISNUMBER(SEARCH("educ",PAA_4[[#This Row],[Actividad3]])),"Educativo","Técnico"))),0)</f>
        <v>0</v>
      </c>
      <c r="AI1315" s="47" t="e" cm="1">
        <f t="array" aca="1" ref="AI1315" ca="1">_xlfn.XLOOKUP(PAA_4[[#This Row],[RCP-RUBRO]],[2]!COMPROMISOS_2024[[#All],[concatenado]],[2]!COMPROMISOS_2024[[#All],[Total pagado]],"",0)</f>
        <v>#NAME?</v>
      </c>
      <c r="AJ1315" s="56">
        <f>IF(PAA_4[[#This Row],[BOLSA]]=0,0,SUMIFS([2]!COMPROMISOS_2024[[#All],[Total pagado]],[2]!COMPROMISOS_2024[[#All],[Bolsa]],PAA_4[[#This Row],[BOLSA]],[2]!COMPROMISOS_2024[[#All],[rubro]],PAA_4[[#This Row],[RCP-RUBRO]]))</f>
        <v>0</v>
      </c>
      <c r="AK1315" s="47" t="e" cm="1">
        <f t="array" aca="1" ref="AK1315" ca="1">_xlfn.XLOOKUP(PAA_4[[#This Row],[RCP-RUBRO]],[2]!COMPROMISOS_2024[[#All],[concatenado]],[2]!COMPROMISOS_2024[[#All],[Total Comprometido]],"",0)</f>
        <v>#NAME?</v>
      </c>
      <c r="AL1315" s="47">
        <f>IF(PAA_4[[#This Row],[BOLSA]]=0,0,SUMIFS([2]!COMPROMISOS_2024[[#All],[Total Comprometido]],[2]!COMPROMISOS_2024[[#All],[Bolsa]],PAA_4[[#This Row],[BOLSA]],[2]!COMPROMISOS_2024[[#All],[concatenado]],PAA_4[[#This Row],[RCP-RUBRO]]))</f>
        <v>0</v>
      </c>
    </row>
    <row r="1316" spans="1:38" s="19" customFormat="1" ht="31.5" customHeight="1">
      <c r="A1316" s="47">
        <v>688</v>
      </c>
      <c r="B1316" s="51" t="s">
        <v>393</v>
      </c>
      <c r="C1316" s="47" t="str">
        <f>VLOOKUP(PAA_4[[#This Row],[PROYECTO (formulado)2]],[2]PROYECTOS!$G$1:$L$32,6,0)</f>
        <v>SUBGERENCIA DE FOMENTO Y DESARROLLO</v>
      </c>
      <c r="D1316" s="47" t="str">
        <f>+IF(PAA_4[[#This Row],[UNIDAD DE CONTRATACION (formulado)]]="Subgerencia Administrativa y Financiera","FUNCIONAMIENTO","INVERSIÓN")</f>
        <v>INVERSIÓN</v>
      </c>
      <c r="E1316" s="48" t="str">
        <f>VLOOKUP(Q1316,[2]PROYECTOS!$G$1:$K$32,5,0)</f>
        <v>FORTALECIMIENTO_DE_LOS_JUEGOS_DEL_SECTOR_SOCIAL_COMUNITARIO_EN_LOS_MUNICIPIOS_DEL_DEPARTAMENTO_DE_ANTIOQU</v>
      </c>
      <c r="F1316" s="48">
        <f>VLOOKUP(E1316,[2]PROYECTOS!$K$1:$M$32,3,0)</f>
        <v>2020003050033</v>
      </c>
      <c r="G1316" s="49" t="s">
        <v>394</v>
      </c>
      <c r="H1316" s="49" t="str">
        <f>VLOOKUP(Q1316,[2]PROYECTOS!$V$1:$W$32,2,0)</f>
        <v>050057</v>
      </c>
      <c r="I1316" s="50">
        <f>298903670-38952038</f>
        <v>259951632</v>
      </c>
      <c r="J1316" s="51" t="s">
        <v>395</v>
      </c>
      <c r="K1316" s="47" t="str">
        <f t="shared" ca="1" si="466"/>
        <v>CONTRATADO</v>
      </c>
      <c r="L1316" s="47" t="s">
        <v>94</v>
      </c>
      <c r="M1316" s="51" t="s">
        <v>161</v>
      </c>
      <c r="N1316" s="52" t="s">
        <v>396</v>
      </c>
      <c r="O1316" s="51" t="e">
        <f>VLOOKUP(N1316,[2]!RUBROS[#All],3,0)</f>
        <v>#REF!</v>
      </c>
      <c r="P1316" s="53" t="e">
        <f>VLOOKUP(N1316,[2]!RUBROS[#All],2,0)</f>
        <v>#REF!</v>
      </c>
      <c r="Q1316" s="47" t="str">
        <f t="shared" si="467"/>
        <v>50</v>
      </c>
      <c r="R1316" s="47" t="str">
        <f t="shared" si="468"/>
        <v>0-205128</v>
      </c>
      <c r="S1316" s="54">
        <v>225</v>
      </c>
      <c r="T1316" s="59" t="s">
        <v>120</v>
      </c>
      <c r="U1316" s="326" t="e">
        <f ca="1">_xlfn.XLOOKUP(PAA_4[[#This Row],[ITEM]],[2]Contrato!A:A,[2]Contrato!Q:Q,"",0)</f>
        <v>#NAME?</v>
      </c>
      <c r="V1316" s="47" t="s">
        <v>47</v>
      </c>
      <c r="W1316" s="64" t="s">
        <v>119</v>
      </c>
      <c r="X1316" s="64" t="s">
        <v>119</v>
      </c>
      <c r="Y1316" s="55" t="e">
        <f ca="1">_xlfn.XLOOKUP(PAA_4[[#This Row],[ITEM]],[2]Contrato!A:A,[2]Contrato!B:B,"",0)</f>
        <v>#NAME?</v>
      </c>
      <c r="Z1316" s="47" t="e">
        <f ca="1">_xlfn.XLOOKUP(PAA_4[[#This Row],[ITEM]],[2]Contrato!A:A,[2]Contrato!G:G,"",0)</f>
        <v>#NAME?</v>
      </c>
      <c r="AA1316" s="47" t="e">
        <f ca="1">_xlfn.XLOOKUP(PAA_4[[#This Row],[ITEM]],[2]Contrato!A:A,[2]Contrato!T:T,"",0)</f>
        <v>#NAME?</v>
      </c>
      <c r="AB1316" s="55" t="e">
        <f ca="1">+MAX(PAA_4[[#This Row],[Comprometido Contrato]],PAA_4[[#This Row],[Comprometido Bolsa]])</f>
        <v>#NAME?</v>
      </c>
      <c r="AC1316" s="55" t="str">
        <f t="shared" ca="1" si="469"/>
        <v/>
      </c>
      <c r="AD1316" s="55" t="e">
        <f ca="1">IF(PAA_4[[#This Row],[ESTADO (formulado)]]="NO CONTRATADO",0,MAX(PAA_4[[#This Row],[Pago por Contrato]],PAA_4[[#This Row],[Pago por bolsa]]))</f>
        <v>#NAME?</v>
      </c>
      <c r="AE1316" s="55" t="str">
        <f t="shared" ca="1" si="470"/>
        <v/>
      </c>
      <c r="AF1316" s="47" t="e">
        <f t="shared" ca="1" si="471"/>
        <v>#NAME?</v>
      </c>
      <c r="AG1316" s="47">
        <f t="shared" si="472"/>
        <v>44021010</v>
      </c>
      <c r="AH1316" s="54">
        <f>IF(Q1316="22",IF(ISNUMBER(SEARCH("econ",PAA_4[[#This Row],[Actividad3]])),"Económico",IF(ISNUMBER(SEARCH("alim",PAA_4[[#This Row],[Actividad3]])),"Alimentación",IF(ISNUMBER(SEARCH("educ",PAA_4[[#This Row],[Actividad3]])),"Educativo","Técnico"))),0)</f>
        <v>0</v>
      </c>
      <c r="AI1316" s="47" t="e" cm="1">
        <f t="array" aca="1" ref="AI1316" ca="1">_xlfn.XLOOKUP(PAA_4[[#This Row],[RCP-RUBRO]],[2]!COMPROMISOS_2024[[#All],[concatenado]],[2]!COMPROMISOS_2024[[#All],[Total pagado]],"",0)</f>
        <v>#NAME?</v>
      </c>
      <c r="AJ1316" s="56">
        <f>IF(PAA_4[[#This Row],[BOLSA]]=0,0,SUMIFS([2]!COMPROMISOS_2024[[#All],[Total pagado]],[2]!COMPROMISOS_2024[[#All],[Bolsa]],PAA_4[[#This Row],[BOLSA]],[2]!COMPROMISOS_2024[[#All],[rubro]],PAA_4[[#This Row],[RCP-RUBRO]]))</f>
        <v>0</v>
      </c>
      <c r="AK1316" s="47" t="e" cm="1">
        <f t="array" aca="1" ref="AK1316" ca="1">_xlfn.XLOOKUP(PAA_4[[#This Row],[RCP-RUBRO]],[2]!COMPROMISOS_2024[[#All],[concatenado]],[2]!COMPROMISOS_2024[[#All],[Total Comprometido]],"",0)</f>
        <v>#NAME?</v>
      </c>
      <c r="AL1316" s="47">
        <f>IF(PAA_4[[#This Row],[BOLSA]]=0,0,SUMIFS([2]!COMPROMISOS_2024[[#All],[Total Comprometido]],[2]!COMPROMISOS_2024[[#All],[Bolsa]],PAA_4[[#This Row],[BOLSA]],[2]!COMPROMISOS_2024[[#All],[concatenado]],PAA_4[[#This Row],[RCP-RUBRO]]))</f>
        <v>0</v>
      </c>
    </row>
    <row r="1317" spans="1:38" s="19" customFormat="1" ht="31.5" customHeight="1">
      <c r="A1317" s="47" t="s">
        <v>82</v>
      </c>
      <c r="B1317" s="51" t="s">
        <v>42</v>
      </c>
      <c r="C1317" s="47" t="str">
        <f>VLOOKUP(PAA_4[[#This Row],[PROYECTO (formulado)2]],[2]PROYECTOS!$G$1:$L$32,6,0)</f>
        <v>SUBGERENCIA DE FOMENTO Y DESARROLLO</v>
      </c>
      <c r="D1317" s="47" t="str">
        <f>+IF(PAA_4[[#This Row],[UNIDAD DE CONTRATACION (formulado)]]="Subgerencia Administrativa y Financiera","FUNCIONAMIENTO","INVERSIÓN")</f>
        <v>INVERSIÓN</v>
      </c>
      <c r="E1317" s="48" t="str">
        <f>VLOOKUP(Q1317,[2]PROYECTOS!$G$1:$K$32,5,0)</f>
        <v>FORTALECIMIENTO_DE_LOS_JUEGOS_DEL_SECTOR_SOCIAL_COMUNITARIO_EN_LOS_MUNICIPIOS_DEL_DEPARTAMENTO_DE_ANTIOQU</v>
      </c>
      <c r="F1317" s="48">
        <f>VLOOKUP(E1317,[2]PROYECTOS!$K$1:$M$32,3,0)</f>
        <v>2020003050033</v>
      </c>
      <c r="G1317" s="49" t="s">
        <v>394</v>
      </c>
      <c r="H1317" s="49" t="str">
        <f>VLOOKUP(Q1317,[2]PROYECTOS!$V$1:$W$32,2,0)</f>
        <v>050057</v>
      </c>
      <c r="I1317" s="50">
        <v>14539428</v>
      </c>
      <c r="J1317" s="51" t="s">
        <v>1368</v>
      </c>
      <c r="K1317" s="47" t="str">
        <f ca="1">IF(ISNONTEXT(Y1317)=TRUE,"CONTRATADO","NO CONTRATADO")</f>
        <v>CONTRATADO</v>
      </c>
      <c r="L1317" s="47" t="s">
        <v>42</v>
      </c>
      <c r="M1317" s="47" t="s">
        <v>42</v>
      </c>
      <c r="N1317" s="52" t="s">
        <v>396</v>
      </c>
      <c r="O1317" s="51" t="e">
        <f>VLOOKUP(N1317,[2]!RUBROS[#All],3,0)</f>
        <v>#REF!</v>
      </c>
      <c r="P1317" s="53" t="e">
        <f>VLOOKUP(N1317,[2]!RUBROS[#All],2,0)</f>
        <v>#REF!</v>
      </c>
      <c r="Q1317" s="47" t="str">
        <f>+MID(N1317,11,2)</f>
        <v>50</v>
      </c>
      <c r="R1317" s="47" t="str">
        <f t="shared" si="468"/>
        <v>0-205128</v>
      </c>
      <c r="S1317" s="47" t="s">
        <v>42</v>
      </c>
      <c r="T1317" s="59" t="s">
        <v>42</v>
      </c>
      <c r="U1317" s="326" t="e">
        <f ca="1">_xlfn.XLOOKUP(PAA_4[[#This Row],[ITEM]],[2]Contrato!A:A,[2]Contrato!Q:Q,"",0)</f>
        <v>#NAME?</v>
      </c>
      <c r="V1317" s="47" t="s">
        <v>95</v>
      </c>
      <c r="W1317" s="47" t="s">
        <v>42</v>
      </c>
      <c r="X1317" s="47" t="s">
        <v>42</v>
      </c>
      <c r="Y1317" s="55" t="e">
        <f ca="1">_xlfn.XLOOKUP(PAA_4[[#This Row],[ITEM]],[2]Contrato!A:A,[2]Contrato!B:B,"",0)</f>
        <v>#NAME?</v>
      </c>
      <c r="Z1317" s="47" t="e">
        <f ca="1">_xlfn.XLOOKUP(PAA_4[[#This Row],[ITEM]],[2]Contrato!A:A,[2]Contrato!G:G,"",0)</f>
        <v>#NAME?</v>
      </c>
      <c r="AA1317" s="47" t="e">
        <f ca="1">_xlfn.XLOOKUP(PAA_4[[#This Row],[ITEM]],[2]Contrato!A:A,[2]Contrato!T:T,"",0)</f>
        <v>#NAME?</v>
      </c>
      <c r="AB1317" s="55" t="e">
        <f ca="1">+MAX(PAA_4[[#This Row],[Comprometido Contrato]],PAA_4[[#This Row],[Comprometido Bolsa]])</f>
        <v>#NAME?</v>
      </c>
      <c r="AC1317" s="55" t="str">
        <f ca="1">IFERROR(I1317-AB1317,"")</f>
        <v/>
      </c>
      <c r="AD1317" s="55" t="e">
        <f ca="1">IF(PAA_4[[#This Row],[ESTADO (formulado)]]="NO CONTRATADO",0,MAX(PAA_4[[#This Row],[Pago por Contrato]],PAA_4[[#This Row],[Pago por bolsa]]))</f>
        <v>#NAME?</v>
      </c>
      <c r="AE1317" s="55" t="str">
        <f ca="1">+IFERROR(AB1317-AD1317,"")</f>
        <v/>
      </c>
      <c r="AF1317" s="47" t="e">
        <f ca="1">+CONCATENATE(AA1317,N1317)</f>
        <v>#NAME?</v>
      </c>
      <c r="AG1317" s="47">
        <f>IFERROR(_xlfn.NUMBERVALUE(MID(G1317,1,8)),"")</f>
        <v>44021010</v>
      </c>
      <c r="AH1317" s="54">
        <f>IF(Q1317="22",IF(ISNUMBER(SEARCH("econ",PAA_4[[#This Row],[Actividad3]])),"Económico",IF(ISNUMBER(SEARCH("alim",PAA_4[[#This Row],[Actividad3]])),"Alimentación",IF(ISNUMBER(SEARCH("educ",PAA_4[[#This Row],[Actividad3]])),"Educativo","Técnico"))),0)</f>
        <v>0</v>
      </c>
      <c r="AI1317" s="47" t="e" cm="1">
        <f t="array" aca="1" ref="AI1317" ca="1">_xlfn.XLOOKUP(PAA_4[[#This Row],[RCP-RUBRO]],[2]!COMPROMISOS_2024[[#All],[concatenado]],[2]!COMPROMISOS_2024[[#All],[Total pagado]],"",0)</f>
        <v>#NAME?</v>
      </c>
      <c r="AJ1317" s="56">
        <f>IF(PAA_4[[#This Row],[BOLSA]]=0,0,SUMIFS([2]!COMPROMISOS_2024[[#All],[Total pagado]],[2]!COMPROMISOS_2024[[#All],[Bolsa]],PAA_4[[#This Row],[BOLSA]],[2]!COMPROMISOS_2024[[#All],[rubro]],PAA_4[[#This Row],[RCP-RUBRO]]))</f>
        <v>0</v>
      </c>
      <c r="AK1317" s="47" t="e" cm="1">
        <f t="array" aca="1" ref="AK1317" ca="1">_xlfn.XLOOKUP(PAA_4[[#This Row],[RCP-RUBRO]],[2]!COMPROMISOS_2024[[#All],[concatenado]],[2]!COMPROMISOS_2024[[#All],[Total Comprometido]],"",0)</f>
        <v>#NAME?</v>
      </c>
      <c r="AL1317" s="47">
        <f>IF(PAA_4[[#This Row],[BOLSA]]=0,0,SUMIFS([2]!COMPROMISOS_2024[[#All],[Total Comprometido]],[2]!COMPROMISOS_2024[[#All],[Bolsa]],PAA_4[[#This Row],[BOLSA]],[2]!COMPROMISOS_2024[[#All],[concatenado]],PAA_4[[#This Row],[RCP-RUBRO]]))</f>
        <v>0</v>
      </c>
    </row>
    <row r="1318" spans="1:38" s="19" customFormat="1" ht="31.5" customHeight="1">
      <c r="A1318" s="47">
        <v>689</v>
      </c>
      <c r="B1318" s="51" t="s">
        <v>393</v>
      </c>
      <c r="C1318" s="47" t="str">
        <f>VLOOKUP(PAA_4[[#This Row],[PROYECTO (formulado)2]],[2]PROYECTOS!$G$1:$L$32,6,0)</f>
        <v>SUBGERENCIA DE FOMENTO Y DESARROLLO</v>
      </c>
      <c r="D1318" s="47" t="str">
        <f>+IF(PAA_4[[#This Row],[UNIDAD DE CONTRATACION (formulado)]]="Subgerencia Administrativa y Financiera","FUNCIONAMIENTO","INVERSIÓN")</f>
        <v>INVERSIÓN</v>
      </c>
      <c r="E1318" s="48" t="str">
        <f>VLOOKUP(Q1318,[2]PROYECTOS!$G$1:$K$32,5,0)</f>
        <v>FORTALECIMIENTO_DE_LOS_JUEGOS_DEL_SECTOR_SOCIAL_COMUNITARIO_EN_LOS_MUNICIPIOS_DEL_DEPARTAMENTO_DE_ANTIOQU</v>
      </c>
      <c r="F1318" s="48">
        <f>VLOOKUP(E1318,[2]PROYECTOS!$K$1:$M$32,3,0)</f>
        <v>2020003050033</v>
      </c>
      <c r="G1318" s="49" t="s">
        <v>394</v>
      </c>
      <c r="H1318" s="49" t="str">
        <f>VLOOKUP(Q1318,[2]PROYECTOS!$V$1:$W$32,2,0)</f>
        <v>050057</v>
      </c>
      <c r="I1318" s="50">
        <f>215686451-14539428</f>
        <v>201147023</v>
      </c>
      <c r="J1318" s="51" t="s">
        <v>397</v>
      </c>
      <c r="K1318" s="47" t="str">
        <f t="shared" ref="K1318:K1327" ca="1" si="473">IF(ISNONTEXT(Y1318)=TRUE,"CONTRATADO","NO CONTRATADO")</f>
        <v>CONTRATADO</v>
      </c>
      <c r="L1318" s="47" t="s">
        <v>94</v>
      </c>
      <c r="M1318" s="51" t="s">
        <v>255</v>
      </c>
      <c r="N1318" s="52" t="s">
        <v>396</v>
      </c>
      <c r="O1318" s="51" t="e">
        <f>VLOOKUP(N1318,[2]!RUBROS[#All],3,0)</f>
        <v>#REF!</v>
      </c>
      <c r="P1318" s="53" t="e">
        <f>VLOOKUP(N1318,[2]!RUBROS[#All],2,0)</f>
        <v>#REF!</v>
      </c>
      <c r="Q1318" s="47" t="str">
        <f t="shared" ref="Q1318:Q1327" si="474">+MID(N1318,11,2)</f>
        <v>50</v>
      </c>
      <c r="R1318" s="47" t="str">
        <f t="shared" si="468"/>
        <v>0-205128</v>
      </c>
      <c r="S1318" s="54">
        <v>225</v>
      </c>
      <c r="T1318" s="59" t="s">
        <v>120</v>
      </c>
      <c r="U1318" s="326" t="e">
        <f ca="1">_xlfn.XLOOKUP(PAA_4[[#This Row],[ITEM]],[2]Contrato!A:A,[2]Contrato!Q:Q,"",0)</f>
        <v>#NAME?</v>
      </c>
      <c r="V1318" s="47" t="s">
        <v>47</v>
      </c>
      <c r="W1318" s="64" t="s">
        <v>119</v>
      </c>
      <c r="X1318" s="64" t="s">
        <v>119</v>
      </c>
      <c r="Y1318" s="55" t="e">
        <f ca="1">_xlfn.XLOOKUP(PAA_4[[#This Row],[ITEM]],[2]Contrato!A:A,[2]Contrato!B:B,"",0)</f>
        <v>#NAME?</v>
      </c>
      <c r="Z1318" s="47" t="e">
        <f ca="1">_xlfn.XLOOKUP(PAA_4[[#This Row],[ITEM]],[2]Contrato!A:A,[2]Contrato!G:G,"",0)</f>
        <v>#NAME?</v>
      </c>
      <c r="AA1318" s="47" t="e">
        <f ca="1">_xlfn.XLOOKUP(PAA_4[[#This Row],[ITEM]],[2]Contrato!A:A,[2]Contrato!T:T,"",0)</f>
        <v>#NAME?</v>
      </c>
      <c r="AB1318" s="55" t="e">
        <f ca="1">+MAX(PAA_4[[#This Row],[Comprometido Contrato]],PAA_4[[#This Row],[Comprometido Bolsa]])</f>
        <v>#NAME?</v>
      </c>
      <c r="AC1318" s="55" t="str">
        <f t="shared" ref="AC1318:AC1327" ca="1" si="475">IFERROR(I1318-AB1318,"")</f>
        <v/>
      </c>
      <c r="AD1318" s="55" t="e">
        <f ca="1">IF(PAA_4[[#This Row],[ESTADO (formulado)]]="NO CONTRATADO",0,MAX(PAA_4[[#This Row],[Pago por Contrato]],PAA_4[[#This Row],[Pago por bolsa]]))</f>
        <v>#NAME?</v>
      </c>
      <c r="AE1318" s="55" t="str">
        <f t="shared" ref="AE1318:AE1327" ca="1" si="476">+IFERROR(AB1318-AD1318,"")</f>
        <v/>
      </c>
      <c r="AF1318" s="47" t="e">
        <f t="shared" ref="AF1318:AF1327" ca="1" si="477">+CONCATENATE(AA1318,N1318)</f>
        <v>#NAME?</v>
      </c>
      <c r="AG1318" s="47">
        <f t="shared" ref="AG1318:AG1327" si="478">IFERROR(_xlfn.NUMBERVALUE(MID(G1318,1,8)),"")</f>
        <v>44021010</v>
      </c>
      <c r="AH1318" s="54">
        <f>IF(Q1318="22",IF(ISNUMBER(SEARCH("econ",PAA_4[[#This Row],[Actividad3]])),"Económico",IF(ISNUMBER(SEARCH("alim",PAA_4[[#This Row],[Actividad3]])),"Alimentación",IF(ISNUMBER(SEARCH("educ",PAA_4[[#This Row],[Actividad3]])),"Educativo","Técnico"))),0)</f>
        <v>0</v>
      </c>
      <c r="AI1318" s="47" t="e" cm="1">
        <f t="array" aca="1" ref="AI1318" ca="1">_xlfn.XLOOKUP(PAA_4[[#This Row],[RCP-RUBRO]],[2]!COMPROMISOS_2024[[#All],[concatenado]],[2]!COMPROMISOS_2024[[#All],[Total pagado]],"",0)</f>
        <v>#NAME?</v>
      </c>
      <c r="AJ1318" s="56">
        <f>IF(PAA_4[[#This Row],[BOLSA]]=0,0,SUMIFS([2]!COMPROMISOS_2024[[#All],[Total pagado]],[2]!COMPROMISOS_2024[[#All],[Bolsa]],PAA_4[[#This Row],[BOLSA]],[2]!COMPROMISOS_2024[[#All],[rubro]],PAA_4[[#This Row],[RCP-RUBRO]]))</f>
        <v>0</v>
      </c>
      <c r="AK1318" s="47" t="e" cm="1">
        <f t="array" aca="1" ref="AK1318" ca="1">_xlfn.XLOOKUP(PAA_4[[#This Row],[RCP-RUBRO]],[2]!COMPROMISOS_2024[[#All],[concatenado]],[2]!COMPROMISOS_2024[[#All],[Total Comprometido]],"",0)</f>
        <v>#NAME?</v>
      </c>
      <c r="AL1318" s="47">
        <f>IF(PAA_4[[#This Row],[BOLSA]]=0,0,SUMIFS([2]!COMPROMISOS_2024[[#All],[Total Comprometido]],[2]!COMPROMISOS_2024[[#All],[Bolsa]],PAA_4[[#This Row],[BOLSA]],[2]!COMPROMISOS_2024[[#All],[concatenado]],PAA_4[[#This Row],[RCP-RUBRO]]))</f>
        <v>0</v>
      </c>
    </row>
    <row r="1319" spans="1:38" s="19" customFormat="1" ht="31.5" customHeight="1">
      <c r="A1319" s="47">
        <v>690</v>
      </c>
      <c r="B1319" s="51" t="s">
        <v>393</v>
      </c>
      <c r="C1319" s="47" t="str">
        <f>VLOOKUP(PAA_4[[#This Row],[PROYECTO (formulado)2]],[2]PROYECTOS!$G$1:$L$32,6,0)</f>
        <v>SUBGERENCIA DE FOMENTO Y DESARROLLO</v>
      </c>
      <c r="D1319" s="47" t="str">
        <f>+IF(PAA_4[[#This Row],[UNIDAD DE CONTRATACION (formulado)]]="Subgerencia Administrativa y Financiera","FUNCIONAMIENTO","INVERSIÓN")</f>
        <v>INVERSIÓN</v>
      </c>
      <c r="E1319" s="48" t="str">
        <f>VLOOKUP(Q1319,[2]PROYECTOS!$G$1:$K$32,5,0)</f>
        <v>FORTALECIMIENTO_DE_LOS_JUEGOS_DEL_SECTOR_SOCIAL_COMUNITARIO_EN_LOS_MUNICIPIOS_DEL_DEPARTAMENTO_DE_ANTIOQU</v>
      </c>
      <c r="F1319" s="48">
        <f>VLOOKUP(E1319,[2]PROYECTOS!$K$1:$M$32,3,0)</f>
        <v>2020003050033</v>
      </c>
      <c r="G1319" s="49" t="s">
        <v>394</v>
      </c>
      <c r="H1319" s="49" t="str">
        <f>VLOOKUP(Q1319,[2]PROYECTOS!$V$1:$W$32,2,0)</f>
        <v>050057</v>
      </c>
      <c r="I1319" s="50">
        <v>371254394</v>
      </c>
      <c r="J1319" s="51" t="s">
        <v>398</v>
      </c>
      <c r="K1319" s="47" t="str">
        <f t="shared" ca="1" si="473"/>
        <v>CONTRATADO</v>
      </c>
      <c r="L1319" s="47" t="s">
        <v>94</v>
      </c>
      <c r="M1319" s="51" t="s">
        <v>161</v>
      </c>
      <c r="N1319" s="52" t="s">
        <v>396</v>
      </c>
      <c r="O1319" s="51" t="e">
        <f>VLOOKUP(N1319,[2]!RUBROS[#All],3,0)</f>
        <v>#REF!</v>
      </c>
      <c r="P1319" s="53" t="e">
        <f>VLOOKUP(N1319,[2]!RUBROS[#All],2,0)</f>
        <v>#REF!</v>
      </c>
      <c r="Q1319" s="47" t="str">
        <f t="shared" si="474"/>
        <v>50</v>
      </c>
      <c r="R1319" s="47" t="str">
        <f t="shared" si="468"/>
        <v>0-205128</v>
      </c>
      <c r="S1319" s="54">
        <v>225</v>
      </c>
      <c r="T1319" s="59" t="s">
        <v>120</v>
      </c>
      <c r="U1319" s="326" t="e">
        <f ca="1">_xlfn.XLOOKUP(PAA_4[[#This Row],[ITEM]],[2]Contrato!A:A,[2]Contrato!Q:Q,"",0)</f>
        <v>#NAME?</v>
      </c>
      <c r="V1319" s="47" t="s">
        <v>47</v>
      </c>
      <c r="W1319" s="64" t="s">
        <v>119</v>
      </c>
      <c r="X1319" s="64" t="s">
        <v>119</v>
      </c>
      <c r="Y1319" s="55" t="e">
        <f ca="1">_xlfn.XLOOKUP(PAA_4[[#This Row],[ITEM]],[2]Contrato!A:A,[2]Contrato!B:B,"",0)</f>
        <v>#NAME?</v>
      </c>
      <c r="Z1319" s="47" t="e">
        <f ca="1">_xlfn.XLOOKUP(PAA_4[[#This Row],[ITEM]],[2]Contrato!A:A,[2]Contrato!G:G,"",0)</f>
        <v>#NAME?</v>
      </c>
      <c r="AA1319" s="47" t="e">
        <f ca="1">_xlfn.XLOOKUP(PAA_4[[#This Row],[ITEM]],[2]Contrato!A:A,[2]Contrato!T:T,"",0)</f>
        <v>#NAME?</v>
      </c>
      <c r="AB1319" s="55" t="e">
        <f ca="1">+MAX(PAA_4[[#This Row],[Comprometido Contrato]],PAA_4[[#This Row],[Comprometido Bolsa]])</f>
        <v>#NAME?</v>
      </c>
      <c r="AC1319" s="55" t="str">
        <f t="shared" ca="1" si="475"/>
        <v/>
      </c>
      <c r="AD1319" s="55" t="e">
        <f ca="1">IF(PAA_4[[#This Row],[ESTADO (formulado)]]="NO CONTRATADO",0,MAX(PAA_4[[#This Row],[Pago por Contrato]],PAA_4[[#This Row],[Pago por bolsa]]))</f>
        <v>#NAME?</v>
      </c>
      <c r="AE1319" s="55" t="str">
        <f t="shared" ca="1" si="476"/>
        <v/>
      </c>
      <c r="AF1319" s="47" t="e">
        <f t="shared" ca="1" si="477"/>
        <v>#NAME?</v>
      </c>
      <c r="AG1319" s="47">
        <f t="shared" si="478"/>
        <v>44021010</v>
      </c>
      <c r="AH1319" s="54">
        <f>IF(Q1319="22",IF(ISNUMBER(SEARCH("econ",PAA_4[[#This Row],[Actividad3]])),"Económico",IF(ISNUMBER(SEARCH("alim",PAA_4[[#This Row],[Actividad3]])),"Alimentación",IF(ISNUMBER(SEARCH("educ",PAA_4[[#This Row],[Actividad3]])),"Educativo","Técnico"))),0)</f>
        <v>0</v>
      </c>
      <c r="AI1319" s="47" t="e" cm="1">
        <f t="array" aca="1" ref="AI1319" ca="1">_xlfn.XLOOKUP(PAA_4[[#This Row],[RCP-RUBRO]],[2]!COMPROMISOS_2024[[#All],[concatenado]],[2]!COMPROMISOS_2024[[#All],[Total pagado]],"",0)</f>
        <v>#NAME?</v>
      </c>
      <c r="AJ1319" s="56">
        <f>IF(PAA_4[[#This Row],[BOLSA]]=0,0,SUMIFS([2]!COMPROMISOS_2024[[#All],[Total pagado]],[2]!COMPROMISOS_2024[[#All],[Bolsa]],PAA_4[[#This Row],[BOLSA]],[2]!COMPROMISOS_2024[[#All],[rubro]],PAA_4[[#This Row],[RCP-RUBRO]]))</f>
        <v>0</v>
      </c>
      <c r="AK1319" s="47" t="e" cm="1">
        <f t="array" aca="1" ref="AK1319" ca="1">_xlfn.XLOOKUP(PAA_4[[#This Row],[RCP-RUBRO]],[2]!COMPROMISOS_2024[[#All],[concatenado]],[2]!COMPROMISOS_2024[[#All],[Total Comprometido]],"",0)</f>
        <v>#NAME?</v>
      </c>
      <c r="AL1319" s="47">
        <f>IF(PAA_4[[#This Row],[BOLSA]]=0,0,SUMIFS([2]!COMPROMISOS_2024[[#All],[Total Comprometido]],[2]!COMPROMISOS_2024[[#All],[Bolsa]],PAA_4[[#This Row],[BOLSA]],[2]!COMPROMISOS_2024[[#All],[concatenado]],PAA_4[[#This Row],[RCP-RUBRO]]))</f>
        <v>0</v>
      </c>
    </row>
    <row r="1320" spans="1:38" s="19" customFormat="1" ht="31.5" customHeight="1">
      <c r="A1320" s="47" t="s">
        <v>82</v>
      </c>
      <c r="B1320" s="51" t="s">
        <v>42</v>
      </c>
      <c r="C1320" s="47" t="str">
        <f>VLOOKUP(PAA_4[[#This Row],[PROYECTO (formulado)2]],[2]PROYECTOS!$G$1:$L$32,6,0)</f>
        <v>SUBGERENCIA DE FOMENTO Y DESARROLLO</v>
      </c>
      <c r="D1320" s="47" t="str">
        <f>+IF(PAA_4[[#This Row],[UNIDAD DE CONTRATACION (formulado)]]="Subgerencia Administrativa y Financiera","FUNCIONAMIENTO","INVERSIÓN")</f>
        <v>INVERSIÓN</v>
      </c>
      <c r="E1320" s="48" t="str">
        <f>VLOOKUP(Q1320,[2]PROYECTOS!$G$1:$K$32,5,0)</f>
        <v>FORTALECIMIENTO_DE_LOS_JUEGOS_DEL_SECTOR_SOCIAL_COMUNITARIO_EN_LOS_MUNICIPIOS_DEL_DEPARTAMENTO_DE_ANTIOQU</v>
      </c>
      <c r="F1320" s="48">
        <f>VLOOKUP(E1320,[2]PROYECTOS!$K$1:$M$32,3,0)</f>
        <v>2020003050033</v>
      </c>
      <c r="G1320" s="49" t="s">
        <v>394</v>
      </c>
      <c r="H1320" s="49" t="str">
        <f>VLOOKUP(Q1320,[2]PROYECTOS!$V$1:$W$32,2,0)</f>
        <v>050057</v>
      </c>
      <c r="I1320" s="50">
        <v>51140539</v>
      </c>
      <c r="J1320" s="51" t="s">
        <v>1872</v>
      </c>
      <c r="K1320" s="47" t="str">
        <f t="shared" ca="1" si="473"/>
        <v>CONTRATADO</v>
      </c>
      <c r="L1320" s="47" t="s">
        <v>42</v>
      </c>
      <c r="M1320" s="51" t="s">
        <v>42</v>
      </c>
      <c r="N1320" s="52" t="s">
        <v>396</v>
      </c>
      <c r="O1320" s="51" t="e">
        <f>VLOOKUP(N1320,[2]!RUBROS[#All],3,0)</f>
        <v>#REF!</v>
      </c>
      <c r="P1320" s="53" t="e">
        <f>VLOOKUP(N1320,[2]!RUBROS[#All],2,0)</f>
        <v>#REF!</v>
      </c>
      <c r="Q1320" s="47" t="str">
        <f t="shared" si="474"/>
        <v>50</v>
      </c>
      <c r="R1320" s="47" t="str">
        <f t="shared" si="468"/>
        <v>0-205128</v>
      </c>
      <c r="S1320" s="54" t="s">
        <v>42</v>
      </c>
      <c r="T1320" s="59" t="s">
        <v>42</v>
      </c>
      <c r="U1320" s="326" t="e">
        <f ca="1">_xlfn.XLOOKUP(PAA_4[[#This Row],[ITEM]],[2]Contrato!A:A,[2]Contrato!Q:Q,"",0)</f>
        <v>#NAME?</v>
      </c>
      <c r="V1320" s="47" t="s">
        <v>42</v>
      </c>
      <c r="W1320" s="64" t="s">
        <v>42</v>
      </c>
      <c r="X1320" s="64" t="s">
        <v>42</v>
      </c>
      <c r="Y1320" s="55" t="e">
        <f ca="1">_xlfn.XLOOKUP(PAA_4[[#This Row],[ITEM]],[2]Contrato!A:A,[2]Contrato!B:B,"",0)</f>
        <v>#NAME?</v>
      </c>
      <c r="Z1320" s="47" t="e">
        <f ca="1">_xlfn.XLOOKUP(PAA_4[[#This Row],[ITEM]],[2]Contrato!A:A,[2]Contrato!G:G,"",0)</f>
        <v>#NAME?</v>
      </c>
      <c r="AA1320" s="47" t="e">
        <f ca="1">_xlfn.XLOOKUP(PAA_4[[#This Row],[ITEM]],[2]Contrato!A:A,[2]Contrato!T:T,"",0)</f>
        <v>#NAME?</v>
      </c>
      <c r="AB1320" s="55" t="e">
        <f ca="1">+MAX(PAA_4[[#This Row],[Comprometido Contrato]],PAA_4[[#This Row],[Comprometido Bolsa]])</f>
        <v>#NAME?</v>
      </c>
      <c r="AC1320" s="55" t="str">
        <f t="shared" ca="1" si="475"/>
        <v/>
      </c>
      <c r="AD1320" s="55" t="e">
        <f ca="1">IF(PAA_4[[#This Row],[ESTADO (formulado)]]="NO CONTRATADO",0,MAX(PAA_4[[#This Row],[Pago por Contrato]],PAA_4[[#This Row],[Pago por bolsa]]))</f>
        <v>#NAME?</v>
      </c>
      <c r="AE1320" s="55" t="str">
        <f t="shared" ca="1" si="476"/>
        <v/>
      </c>
      <c r="AF1320" s="47" t="e">
        <f t="shared" ca="1" si="477"/>
        <v>#NAME?</v>
      </c>
      <c r="AG1320" s="47">
        <f t="shared" si="478"/>
        <v>44021010</v>
      </c>
      <c r="AH1320" s="54">
        <f>IF(Q1320="22",IF(ISNUMBER(SEARCH("econ",PAA_4[[#This Row],[Actividad3]])),"Económico",IF(ISNUMBER(SEARCH("alim",PAA_4[[#This Row],[Actividad3]])),"Alimentación",IF(ISNUMBER(SEARCH("educ",PAA_4[[#This Row],[Actividad3]])),"Educativo","Técnico"))),0)</f>
        <v>0</v>
      </c>
      <c r="AI1320" s="47" t="e" cm="1">
        <f t="array" aca="1" ref="AI1320" ca="1">_xlfn.XLOOKUP(PAA_4[[#This Row],[RCP-RUBRO]],[2]!COMPROMISOS_2024[[#All],[concatenado]],[2]!COMPROMISOS_2024[[#All],[Total pagado]],"",0)</f>
        <v>#NAME?</v>
      </c>
      <c r="AJ1320" s="56">
        <f>IF(PAA_4[[#This Row],[BOLSA]]=0,0,SUMIFS([2]!COMPROMISOS_2024[[#All],[Total pagado]],[2]!COMPROMISOS_2024[[#All],[Bolsa]],PAA_4[[#This Row],[BOLSA]],[2]!COMPROMISOS_2024[[#All],[rubro]],PAA_4[[#This Row],[RCP-RUBRO]]))</f>
        <v>0</v>
      </c>
      <c r="AK1320" s="47" t="e" cm="1">
        <f t="array" aca="1" ref="AK1320" ca="1">_xlfn.XLOOKUP(PAA_4[[#This Row],[RCP-RUBRO]],[2]!COMPROMISOS_2024[[#All],[concatenado]],[2]!COMPROMISOS_2024[[#All],[Total Comprometido]],"",0)</f>
        <v>#NAME?</v>
      </c>
      <c r="AL1320" s="47">
        <f>IF(PAA_4[[#This Row],[BOLSA]]=0,0,SUMIFS([2]!COMPROMISOS_2024[[#All],[Total Comprometido]],[2]!COMPROMISOS_2024[[#All],[Bolsa]],PAA_4[[#This Row],[BOLSA]],[2]!COMPROMISOS_2024[[#All],[concatenado]],PAA_4[[#This Row],[RCP-RUBRO]]))</f>
        <v>0</v>
      </c>
    </row>
    <row r="1321" spans="1:38" s="19" customFormat="1" ht="31.5" customHeight="1">
      <c r="A1321" s="47">
        <v>691</v>
      </c>
      <c r="B1321" s="51" t="s">
        <v>393</v>
      </c>
      <c r="C1321" s="47" t="str">
        <f>VLOOKUP(PAA_4[[#This Row],[PROYECTO (formulado)2]],[2]PROYECTOS!$G$1:$L$32,6,0)</f>
        <v>SUBGERENCIA DE FOMENTO Y DESARROLLO</v>
      </c>
      <c r="D1321" s="47" t="str">
        <f>+IF(PAA_4[[#This Row],[UNIDAD DE CONTRATACION (formulado)]]="Subgerencia Administrativa y Financiera","FUNCIONAMIENTO","INVERSIÓN")</f>
        <v>INVERSIÓN</v>
      </c>
      <c r="E1321" s="48" t="str">
        <f>VLOOKUP(Q1321,[2]PROYECTOS!$G$1:$K$32,5,0)</f>
        <v>FORTALECIMIENTO_DE_LOS_JUEGOS_DEL_SECTOR_SOCIAL_COMUNITARIO_EN_LOS_MUNICIPIOS_DEL_DEPARTAMENTO_DE_ANTIOQU</v>
      </c>
      <c r="F1321" s="48">
        <f>VLOOKUP(E1321,[2]PROYECTOS!$K$1:$M$32,3,0)</f>
        <v>2020003050033</v>
      </c>
      <c r="G1321" s="49" t="s">
        <v>394</v>
      </c>
      <c r="H1321" s="49" t="str">
        <f>VLOOKUP(Q1321,[2]PROYECTOS!$V$1:$W$32,2,0)</f>
        <v>050057</v>
      </c>
      <c r="I1321" s="50">
        <f>278351169-51140539</f>
        <v>227210630</v>
      </c>
      <c r="J1321" s="51" t="s">
        <v>399</v>
      </c>
      <c r="K1321" s="47" t="str">
        <f t="shared" ca="1" si="473"/>
        <v>CONTRATADO</v>
      </c>
      <c r="L1321" s="47" t="s">
        <v>94</v>
      </c>
      <c r="M1321" s="51" t="s">
        <v>161</v>
      </c>
      <c r="N1321" s="52" t="s">
        <v>396</v>
      </c>
      <c r="O1321" s="51" t="e">
        <f>VLOOKUP(N1321,[2]!RUBROS[#All],3,0)</f>
        <v>#REF!</v>
      </c>
      <c r="P1321" s="53" t="e">
        <f>VLOOKUP(N1321,[2]!RUBROS[#All],2,0)</f>
        <v>#REF!</v>
      </c>
      <c r="Q1321" s="47" t="str">
        <f t="shared" si="474"/>
        <v>50</v>
      </c>
      <c r="R1321" s="47" t="str">
        <f t="shared" si="468"/>
        <v>0-205128</v>
      </c>
      <c r="S1321" s="54">
        <v>225</v>
      </c>
      <c r="T1321" s="59" t="s">
        <v>120</v>
      </c>
      <c r="U1321" s="326" t="e">
        <f ca="1">_xlfn.XLOOKUP(PAA_4[[#This Row],[ITEM]],[2]Contrato!A:A,[2]Contrato!Q:Q,"",0)</f>
        <v>#NAME?</v>
      </c>
      <c r="V1321" s="47" t="s">
        <v>47</v>
      </c>
      <c r="W1321" s="64" t="s">
        <v>119</v>
      </c>
      <c r="X1321" s="64" t="s">
        <v>119</v>
      </c>
      <c r="Y1321" s="55" t="e">
        <f ca="1">_xlfn.XLOOKUP(PAA_4[[#This Row],[ITEM]],[2]Contrato!A:A,[2]Contrato!B:B,"",0)</f>
        <v>#NAME?</v>
      </c>
      <c r="Z1321" s="47" t="e">
        <f ca="1">_xlfn.XLOOKUP(PAA_4[[#This Row],[ITEM]],[2]Contrato!A:A,[2]Contrato!G:G,"",0)</f>
        <v>#NAME?</v>
      </c>
      <c r="AA1321" s="47" t="e">
        <f ca="1">_xlfn.XLOOKUP(PAA_4[[#This Row],[ITEM]],[2]Contrato!A:A,[2]Contrato!T:T,"",0)</f>
        <v>#NAME?</v>
      </c>
      <c r="AB1321" s="55" t="e">
        <f ca="1">+MAX(PAA_4[[#This Row],[Comprometido Contrato]],PAA_4[[#This Row],[Comprometido Bolsa]])</f>
        <v>#NAME?</v>
      </c>
      <c r="AC1321" s="55" t="str">
        <f t="shared" ca="1" si="475"/>
        <v/>
      </c>
      <c r="AD1321" s="55" t="e">
        <f ca="1">IF(PAA_4[[#This Row],[ESTADO (formulado)]]="NO CONTRATADO",0,MAX(PAA_4[[#This Row],[Pago por Contrato]],PAA_4[[#This Row],[Pago por bolsa]]))</f>
        <v>#NAME?</v>
      </c>
      <c r="AE1321" s="55" t="str">
        <f t="shared" ca="1" si="476"/>
        <v/>
      </c>
      <c r="AF1321" s="47" t="e">
        <f t="shared" ca="1" si="477"/>
        <v>#NAME?</v>
      </c>
      <c r="AG1321" s="47">
        <f t="shared" si="478"/>
        <v>44021010</v>
      </c>
      <c r="AH1321" s="54">
        <f>IF(Q1321="22",IF(ISNUMBER(SEARCH("econ",PAA_4[[#This Row],[Actividad3]])),"Económico",IF(ISNUMBER(SEARCH("alim",PAA_4[[#This Row],[Actividad3]])),"Alimentación",IF(ISNUMBER(SEARCH("educ",PAA_4[[#This Row],[Actividad3]])),"Educativo","Técnico"))),0)</f>
        <v>0</v>
      </c>
      <c r="AI1321" s="47" t="e" cm="1">
        <f t="array" aca="1" ref="AI1321" ca="1">_xlfn.XLOOKUP(PAA_4[[#This Row],[RCP-RUBRO]],[2]!COMPROMISOS_2024[[#All],[concatenado]],[2]!COMPROMISOS_2024[[#All],[Total pagado]],"",0)</f>
        <v>#NAME?</v>
      </c>
      <c r="AJ1321" s="56">
        <f>IF(PAA_4[[#This Row],[BOLSA]]=0,0,SUMIFS([2]!COMPROMISOS_2024[[#All],[Total pagado]],[2]!COMPROMISOS_2024[[#All],[Bolsa]],PAA_4[[#This Row],[BOLSA]],[2]!COMPROMISOS_2024[[#All],[rubro]],PAA_4[[#This Row],[RCP-RUBRO]]))</f>
        <v>0</v>
      </c>
      <c r="AK1321" s="47" t="e" cm="1">
        <f t="array" aca="1" ref="AK1321" ca="1">_xlfn.XLOOKUP(PAA_4[[#This Row],[RCP-RUBRO]],[2]!COMPROMISOS_2024[[#All],[concatenado]],[2]!COMPROMISOS_2024[[#All],[Total Comprometido]],"",0)</f>
        <v>#NAME?</v>
      </c>
      <c r="AL1321" s="47">
        <f>IF(PAA_4[[#This Row],[BOLSA]]=0,0,SUMIFS([2]!COMPROMISOS_2024[[#All],[Total Comprometido]],[2]!COMPROMISOS_2024[[#All],[Bolsa]],PAA_4[[#This Row],[BOLSA]],[2]!COMPROMISOS_2024[[#All],[concatenado]],PAA_4[[#This Row],[RCP-RUBRO]]))</f>
        <v>0</v>
      </c>
    </row>
    <row r="1322" spans="1:38" s="19" customFormat="1" ht="31.5" customHeight="1">
      <c r="A1322" s="47" t="s">
        <v>82</v>
      </c>
      <c r="B1322" s="51" t="s">
        <v>42</v>
      </c>
      <c r="C1322" s="47" t="str">
        <f>VLOOKUP(PAA_4[[#This Row],[PROYECTO (formulado)2]],[2]PROYECTOS!$G$1:$L$32,6,0)</f>
        <v>SUBGERENCIA DE FOMENTO Y DESARROLLO</v>
      </c>
      <c r="D1322" s="47" t="str">
        <f>+IF(PAA_4[[#This Row],[UNIDAD DE CONTRATACION (formulado)]]="Subgerencia Administrativa y Financiera","FUNCIONAMIENTO","INVERSIÓN")</f>
        <v>INVERSIÓN</v>
      </c>
      <c r="E1322" s="48" t="str">
        <f>VLOOKUP(Q1322,[2]PROYECTOS!$G$1:$K$32,5,0)</f>
        <v>FORTALECIMIENTO_DE_LOS_JUEGOS_DEL_SECTOR_SOCIAL_COMUNITARIO_EN_LOS_MUNICIPIOS_DEL_DEPARTAMENTO_DE_ANTIOQU</v>
      </c>
      <c r="F1322" s="48">
        <f>VLOOKUP(E1322,[2]PROYECTOS!$K$1:$M$32,3,0)</f>
        <v>2020003050033</v>
      </c>
      <c r="G1322" s="49" t="s">
        <v>394</v>
      </c>
      <c r="H1322" s="49" t="str">
        <f>VLOOKUP(Q1322,[2]PROYECTOS!$V$1:$W$32,2,0)</f>
        <v>050057</v>
      </c>
      <c r="I1322" s="50">
        <v>46682493</v>
      </c>
      <c r="J1322" s="51" t="s">
        <v>1873</v>
      </c>
      <c r="K1322" s="47" t="str">
        <f t="shared" ca="1" si="473"/>
        <v>CONTRATADO</v>
      </c>
      <c r="L1322" s="47" t="s">
        <v>42</v>
      </c>
      <c r="M1322" s="47" t="s">
        <v>42</v>
      </c>
      <c r="N1322" s="52" t="s">
        <v>396</v>
      </c>
      <c r="O1322" s="51" t="e">
        <f>VLOOKUP(N1322,[2]!RUBROS[#All],3,0)</f>
        <v>#REF!</v>
      </c>
      <c r="P1322" s="53" t="e">
        <f>VLOOKUP(N1322,[2]!RUBROS[#All],2,0)</f>
        <v>#REF!</v>
      </c>
      <c r="Q1322" s="47" t="str">
        <f t="shared" si="474"/>
        <v>50</v>
      </c>
      <c r="R1322" s="47" t="str">
        <f t="shared" si="468"/>
        <v>0-205128</v>
      </c>
      <c r="S1322" s="47" t="s">
        <v>42</v>
      </c>
      <c r="T1322" s="59" t="s">
        <v>42</v>
      </c>
      <c r="U1322" s="326" t="e">
        <f ca="1">_xlfn.XLOOKUP(PAA_4[[#This Row],[ITEM]],[2]Contrato!A:A,[2]Contrato!Q:Q,"",0)</f>
        <v>#NAME?</v>
      </c>
      <c r="V1322" s="47" t="s">
        <v>42</v>
      </c>
      <c r="W1322" s="47" t="s">
        <v>42</v>
      </c>
      <c r="X1322" s="47" t="s">
        <v>42</v>
      </c>
      <c r="Y1322" s="55" t="e">
        <f ca="1">_xlfn.XLOOKUP(PAA_4[[#This Row],[ITEM]],[2]Contrato!A:A,[2]Contrato!B:B,"",0)</f>
        <v>#NAME?</v>
      </c>
      <c r="Z1322" s="47" t="e">
        <f ca="1">_xlfn.XLOOKUP(PAA_4[[#This Row],[ITEM]],[2]Contrato!A:A,[2]Contrato!G:G,"",0)</f>
        <v>#NAME?</v>
      </c>
      <c r="AA1322" s="47" t="e">
        <f ca="1">_xlfn.XLOOKUP(PAA_4[[#This Row],[ITEM]],[2]Contrato!A:A,[2]Contrato!T:T,"",0)</f>
        <v>#NAME?</v>
      </c>
      <c r="AB1322" s="55" t="e">
        <f ca="1">+MAX(PAA_4[[#This Row],[Comprometido Contrato]],PAA_4[[#This Row],[Comprometido Bolsa]])</f>
        <v>#NAME?</v>
      </c>
      <c r="AC1322" s="55" t="str">
        <f t="shared" ca="1" si="475"/>
        <v/>
      </c>
      <c r="AD1322" s="55" t="e">
        <f ca="1">IF(PAA_4[[#This Row],[ESTADO (formulado)]]="NO CONTRATADO",0,MAX(PAA_4[[#This Row],[Pago por Contrato]],PAA_4[[#This Row],[Pago por bolsa]]))</f>
        <v>#NAME?</v>
      </c>
      <c r="AE1322" s="55" t="str">
        <f t="shared" ca="1" si="476"/>
        <v/>
      </c>
      <c r="AF1322" s="47" t="e">
        <f t="shared" ca="1" si="477"/>
        <v>#NAME?</v>
      </c>
      <c r="AG1322" s="47">
        <f t="shared" si="478"/>
        <v>44021010</v>
      </c>
      <c r="AH1322" s="54">
        <f>IF(Q1322="22",IF(ISNUMBER(SEARCH("econ",PAA_4[[#This Row],[Actividad3]])),"Económico",IF(ISNUMBER(SEARCH("alim",PAA_4[[#This Row],[Actividad3]])),"Alimentación",IF(ISNUMBER(SEARCH("educ",PAA_4[[#This Row],[Actividad3]])),"Educativo","Técnico"))),0)</f>
        <v>0</v>
      </c>
      <c r="AI1322" s="47" t="e" cm="1">
        <f t="array" aca="1" ref="AI1322" ca="1">_xlfn.XLOOKUP(PAA_4[[#This Row],[RCP-RUBRO]],[2]!COMPROMISOS_2024[[#All],[concatenado]],[2]!COMPROMISOS_2024[[#All],[Total pagado]],"",0)</f>
        <v>#NAME?</v>
      </c>
      <c r="AJ1322" s="56">
        <f>IF(PAA_4[[#This Row],[BOLSA]]=0,0,SUMIFS([2]!COMPROMISOS_2024[[#All],[Total pagado]],[2]!COMPROMISOS_2024[[#All],[Bolsa]],PAA_4[[#This Row],[BOLSA]],[2]!COMPROMISOS_2024[[#All],[rubro]],PAA_4[[#This Row],[RCP-RUBRO]]))</f>
        <v>0</v>
      </c>
      <c r="AK1322" s="47" t="e" cm="1">
        <f t="array" aca="1" ref="AK1322" ca="1">_xlfn.XLOOKUP(PAA_4[[#This Row],[RCP-RUBRO]],[2]!COMPROMISOS_2024[[#All],[concatenado]],[2]!COMPROMISOS_2024[[#All],[Total Comprometido]],"",0)</f>
        <v>#NAME?</v>
      </c>
      <c r="AL1322" s="47">
        <f>IF(PAA_4[[#This Row],[BOLSA]]=0,0,SUMIFS([2]!COMPROMISOS_2024[[#All],[Total Comprometido]],[2]!COMPROMISOS_2024[[#All],[Bolsa]],PAA_4[[#This Row],[BOLSA]],[2]!COMPROMISOS_2024[[#All],[concatenado]],PAA_4[[#This Row],[RCP-RUBRO]]))</f>
        <v>0</v>
      </c>
    </row>
    <row r="1323" spans="1:38" s="19" customFormat="1" ht="31.5" customHeight="1">
      <c r="A1323" s="47">
        <v>692</v>
      </c>
      <c r="B1323" s="51" t="s">
        <v>393</v>
      </c>
      <c r="C1323" s="47" t="str">
        <f>VLOOKUP(PAA_4[[#This Row],[PROYECTO (formulado)2]],[2]PROYECTOS!$G$1:$L$32,6,0)</f>
        <v>SUBGERENCIA DE FOMENTO Y DESARROLLO</v>
      </c>
      <c r="D1323" s="47" t="str">
        <f>+IF(PAA_4[[#This Row],[UNIDAD DE CONTRATACION (formulado)]]="Subgerencia Administrativa y Financiera","FUNCIONAMIENTO","INVERSIÓN")</f>
        <v>INVERSIÓN</v>
      </c>
      <c r="E1323" s="48" t="str">
        <f>VLOOKUP(Q1323,[2]PROYECTOS!$G$1:$K$32,5,0)</f>
        <v>FORTALECIMIENTO_DE_LOS_JUEGOS_DEL_SECTOR_SOCIAL_COMUNITARIO_EN_LOS_MUNICIPIOS_DEL_DEPARTAMENTO_DE_ANTIOQU</v>
      </c>
      <c r="F1323" s="48">
        <f>VLOOKUP(E1323,[2]PROYECTOS!$K$1:$M$32,3,0)</f>
        <v>2020003050033</v>
      </c>
      <c r="G1323" s="49" t="s">
        <v>394</v>
      </c>
      <c r="H1323" s="49" t="str">
        <f>VLOOKUP(Q1323,[2]PROYECTOS!$V$1:$W$32,2,0)</f>
        <v>050057</v>
      </c>
      <c r="I1323" s="50">
        <f>233412467-46682493</f>
        <v>186729974</v>
      </c>
      <c r="J1323" s="51" t="s">
        <v>400</v>
      </c>
      <c r="K1323" s="47" t="str">
        <f t="shared" ca="1" si="473"/>
        <v>CONTRATADO</v>
      </c>
      <c r="L1323" s="47" t="s">
        <v>94</v>
      </c>
      <c r="M1323" s="51" t="s">
        <v>161</v>
      </c>
      <c r="N1323" s="52" t="s">
        <v>396</v>
      </c>
      <c r="O1323" s="51" t="e">
        <f>VLOOKUP(N1323,[2]!RUBROS[#All],3,0)</f>
        <v>#REF!</v>
      </c>
      <c r="P1323" s="53" t="e">
        <f>VLOOKUP(N1323,[2]!RUBROS[#All],2,0)</f>
        <v>#REF!</v>
      </c>
      <c r="Q1323" s="47" t="str">
        <f t="shared" si="474"/>
        <v>50</v>
      </c>
      <c r="R1323" s="47" t="str">
        <f t="shared" si="468"/>
        <v>0-205128</v>
      </c>
      <c r="S1323" s="54">
        <v>225</v>
      </c>
      <c r="T1323" s="59" t="s">
        <v>120</v>
      </c>
      <c r="U1323" s="326" t="e">
        <f ca="1">_xlfn.XLOOKUP(PAA_4[[#This Row],[ITEM]],[2]Contrato!A:A,[2]Contrato!Q:Q,"",0)</f>
        <v>#NAME?</v>
      </c>
      <c r="V1323" s="47" t="s">
        <v>47</v>
      </c>
      <c r="W1323" s="64" t="s">
        <v>119</v>
      </c>
      <c r="X1323" s="64" t="s">
        <v>119</v>
      </c>
      <c r="Y1323" s="55" t="e">
        <f ca="1">_xlfn.XLOOKUP(PAA_4[[#This Row],[ITEM]],[2]Contrato!A:A,[2]Contrato!B:B,"",0)</f>
        <v>#NAME?</v>
      </c>
      <c r="Z1323" s="47" t="e">
        <f ca="1">_xlfn.XLOOKUP(PAA_4[[#This Row],[ITEM]],[2]Contrato!A:A,[2]Contrato!G:G,"",0)</f>
        <v>#NAME?</v>
      </c>
      <c r="AA1323" s="47" t="e">
        <f ca="1">_xlfn.XLOOKUP(PAA_4[[#This Row],[ITEM]],[2]Contrato!A:A,[2]Contrato!T:T,"",0)</f>
        <v>#NAME?</v>
      </c>
      <c r="AB1323" s="55" t="e">
        <f ca="1">+MAX(PAA_4[[#This Row],[Comprometido Contrato]],PAA_4[[#This Row],[Comprometido Bolsa]])</f>
        <v>#NAME?</v>
      </c>
      <c r="AC1323" s="55" t="str">
        <f t="shared" ca="1" si="475"/>
        <v/>
      </c>
      <c r="AD1323" s="55" t="e">
        <f ca="1">IF(PAA_4[[#This Row],[ESTADO (formulado)]]="NO CONTRATADO",0,MAX(PAA_4[[#This Row],[Pago por Contrato]],PAA_4[[#This Row],[Pago por bolsa]]))</f>
        <v>#NAME?</v>
      </c>
      <c r="AE1323" s="55" t="str">
        <f t="shared" ca="1" si="476"/>
        <v/>
      </c>
      <c r="AF1323" s="47" t="e">
        <f t="shared" ca="1" si="477"/>
        <v>#NAME?</v>
      </c>
      <c r="AG1323" s="47">
        <f t="shared" si="478"/>
        <v>44021010</v>
      </c>
      <c r="AH1323" s="54">
        <f>IF(Q1323="22",IF(ISNUMBER(SEARCH("econ",PAA_4[[#This Row],[Actividad3]])),"Económico",IF(ISNUMBER(SEARCH("alim",PAA_4[[#This Row],[Actividad3]])),"Alimentación",IF(ISNUMBER(SEARCH("educ",PAA_4[[#This Row],[Actividad3]])),"Educativo","Técnico"))),0)</f>
        <v>0</v>
      </c>
      <c r="AI1323" s="47" t="e" cm="1">
        <f t="array" aca="1" ref="AI1323" ca="1">_xlfn.XLOOKUP(PAA_4[[#This Row],[RCP-RUBRO]],[2]!COMPROMISOS_2024[[#All],[concatenado]],[2]!COMPROMISOS_2024[[#All],[Total pagado]],"",0)</f>
        <v>#NAME?</v>
      </c>
      <c r="AJ1323" s="56">
        <f>IF(PAA_4[[#This Row],[BOLSA]]=0,0,SUMIFS([2]!COMPROMISOS_2024[[#All],[Total pagado]],[2]!COMPROMISOS_2024[[#All],[Bolsa]],PAA_4[[#This Row],[BOLSA]],[2]!COMPROMISOS_2024[[#All],[rubro]],PAA_4[[#This Row],[RCP-RUBRO]]))</f>
        <v>0</v>
      </c>
      <c r="AK1323" s="47" t="e" cm="1">
        <f t="array" aca="1" ref="AK1323" ca="1">_xlfn.XLOOKUP(PAA_4[[#This Row],[RCP-RUBRO]],[2]!COMPROMISOS_2024[[#All],[concatenado]],[2]!COMPROMISOS_2024[[#All],[Total Comprometido]],"",0)</f>
        <v>#NAME?</v>
      </c>
      <c r="AL1323" s="47">
        <f>IF(PAA_4[[#This Row],[BOLSA]]=0,0,SUMIFS([2]!COMPROMISOS_2024[[#All],[Total Comprometido]],[2]!COMPROMISOS_2024[[#All],[Bolsa]],PAA_4[[#This Row],[BOLSA]],[2]!COMPROMISOS_2024[[#All],[concatenado]],PAA_4[[#This Row],[RCP-RUBRO]]))</f>
        <v>0</v>
      </c>
    </row>
    <row r="1324" spans="1:38" s="19" customFormat="1" ht="31.5" customHeight="1">
      <c r="A1324" s="47" t="s">
        <v>82</v>
      </c>
      <c r="B1324" s="60" t="s">
        <v>42</v>
      </c>
      <c r="C1324" s="47" t="str">
        <f>VLOOKUP(PAA_4[[#This Row],[PROYECTO (formulado)2]],[2]PROYECTOS!$G$1:$L$32,6,0)</f>
        <v>SUBGERENCIA DE FOMENTO Y DESARROLLO</v>
      </c>
      <c r="D1324" s="47" t="str">
        <f>+IF(PAA_4[[#This Row],[UNIDAD DE CONTRATACION (formulado)]]="Subgerencia Administrativa y Financiera","FUNCIONAMIENTO","INVERSIÓN")</f>
        <v>INVERSIÓN</v>
      </c>
      <c r="E1324" s="48" t="str">
        <f>VLOOKUP(Q1324,[2]PROYECTOS!$G$1:$K$32,5,0)</f>
        <v>FORTALECIMIENTO_DE_LOS_JUEGOS_DEL_SECTOR_SOCIAL_COMUNITARIO_EN_LOS_MUNICIPIOS_DEL_DEPARTAMENTO_DE_ANTIOQU</v>
      </c>
      <c r="F1324" s="48">
        <f>VLOOKUP(E1324,[2]PROYECTOS!$K$1:$M$32,3,0)</f>
        <v>2020003050033</v>
      </c>
      <c r="G1324" s="49" t="s">
        <v>394</v>
      </c>
      <c r="H1324" s="49" t="str">
        <f>VLOOKUP(Q1324,[2]PROYECTOS!$V$1:$W$32,2,0)</f>
        <v>050057</v>
      </c>
      <c r="I1324" s="50">
        <v>45040747</v>
      </c>
      <c r="J1324" s="51" t="s">
        <v>1874</v>
      </c>
      <c r="K1324" s="47" t="str">
        <f t="shared" ca="1" si="473"/>
        <v>CONTRATADO</v>
      </c>
      <c r="L1324" s="47" t="s">
        <v>42</v>
      </c>
      <c r="M1324" s="51" t="s">
        <v>42</v>
      </c>
      <c r="N1324" s="52" t="s">
        <v>396</v>
      </c>
      <c r="O1324" s="51" t="e">
        <f>VLOOKUP(N1324,[2]!RUBROS[#All],3,0)</f>
        <v>#REF!</v>
      </c>
      <c r="P1324" s="53" t="e">
        <f>VLOOKUP(N1324,[2]!RUBROS[#All],2,0)</f>
        <v>#REF!</v>
      </c>
      <c r="Q1324" s="47" t="str">
        <f t="shared" si="474"/>
        <v>50</v>
      </c>
      <c r="R1324" s="47" t="str">
        <f t="shared" si="468"/>
        <v>0-205128</v>
      </c>
      <c r="S1324" s="54" t="s">
        <v>42</v>
      </c>
      <c r="T1324" s="59" t="s">
        <v>42</v>
      </c>
      <c r="U1324" s="326" t="e">
        <f ca="1">_xlfn.XLOOKUP(PAA_4[[#This Row],[ITEM]],[2]Contrato!A:A,[2]Contrato!Q:Q,"",0)</f>
        <v>#NAME?</v>
      </c>
      <c r="V1324" s="47" t="s">
        <v>95</v>
      </c>
      <c r="W1324" s="64" t="s">
        <v>42</v>
      </c>
      <c r="X1324" s="64" t="s">
        <v>42</v>
      </c>
      <c r="Y1324" s="55" t="e">
        <f ca="1">_xlfn.XLOOKUP(PAA_4[[#This Row],[ITEM]],[2]Contrato!A:A,[2]Contrato!B:B,"",0)</f>
        <v>#NAME?</v>
      </c>
      <c r="Z1324" s="47" t="e">
        <f ca="1">_xlfn.XLOOKUP(PAA_4[[#This Row],[ITEM]],[2]Contrato!A:A,[2]Contrato!G:G,"",0)</f>
        <v>#NAME?</v>
      </c>
      <c r="AA1324" s="47" t="e">
        <f ca="1">_xlfn.XLOOKUP(PAA_4[[#This Row],[ITEM]],[2]Contrato!A:A,[2]Contrato!T:T,"",0)</f>
        <v>#NAME?</v>
      </c>
      <c r="AB1324" s="55" t="e">
        <f ca="1">+MAX(PAA_4[[#This Row],[Comprometido Contrato]],PAA_4[[#This Row],[Comprometido Bolsa]])</f>
        <v>#NAME?</v>
      </c>
      <c r="AC1324" s="55" t="str">
        <f t="shared" ca="1" si="475"/>
        <v/>
      </c>
      <c r="AD1324" s="55" t="e">
        <f ca="1">IF(PAA_4[[#This Row],[ESTADO (formulado)]]="NO CONTRATADO",0,MAX(PAA_4[[#This Row],[Pago por Contrato]],PAA_4[[#This Row],[Pago por bolsa]]))</f>
        <v>#NAME?</v>
      </c>
      <c r="AE1324" s="55" t="str">
        <f t="shared" ca="1" si="476"/>
        <v/>
      </c>
      <c r="AF1324" s="47" t="e">
        <f t="shared" ca="1" si="477"/>
        <v>#NAME?</v>
      </c>
      <c r="AG1324" s="47">
        <f t="shared" si="478"/>
        <v>44021010</v>
      </c>
      <c r="AH1324" s="54">
        <f>IF(Q1324="22",IF(ISNUMBER(SEARCH("econ",PAA_4[[#This Row],[Actividad3]])),"Económico",IF(ISNUMBER(SEARCH("alim",PAA_4[[#This Row],[Actividad3]])),"Alimentación",IF(ISNUMBER(SEARCH("educ",PAA_4[[#This Row],[Actividad3]])),"Educativo","Técnico"))),0)</f>
        <v>0</v>
      </c>
      <c r="AI1324" s="47" t="e" cm="1">
        <f t="array" aca="1" ref="AI1324" ca="1">_xlfn.XLOOKUP(PAA_4[[#This Row],[RCP-RUBRO]],[2]!COMPROMISOS_2024[[#All],[concatenado]],[2]!COMPROMISOS_2024[[#All],[Total pagado]],"",0)</f>
        <v>#NAME?</v>
      </c>
      <c r="AJ1324" s="56">
        <f>IF(PAA_4[[#This Row],[BOLSA]]=0,0,SUMIFS([2]!COMPROMISOS_2024[[#All],[Total pagado]],[2]!COMPROMISOS_2024[[#All],[Bolsa]],PAA_4[[#This Row],[BOLSA]],[2]!COMPROMISOS_2024[[#All],[rubro]],PAA_4[[#This Row],[RCP-RUBRO]]))</f>
        <v>0</v>
      </c>
      <c r="AK1324" s="47" t="e" cm="1">
        <f t="array" aca="1" ref="AK1324" ca="1">_xlfn.XLOOKUP(PAA_4[[#This Row],[RCP-RUBRO]],[2]!COMPROMISOS_2024[[#All],[concatenado]],[2]!COMPROMISOS_2024[[#All],[Total Comprometido]],"",0)</f>
        <v>#NAME?</v>
      </c>
      <c r="AL1324" s="47">
        <f>IF(PAA_4[[#This Row],[BOLSA]]=0,0,SUMIFS([2]!COMPROMISOS_2024[[#All],[Total Comprometido]],[2]!COMPROMISOS_2024[[#All],[Bolsa]],PAA_4[[#This Row],[BOLSA]],[2]!COMPROMISOS_2024[[#All],[concatenado]],PAA_4[[#This Row],[RCP-RUBRO]]))</f>
        <v>0</v>
      </c>
    </row>
    <row r="1325" spans="1:38" s="19" customFormat="1" ht="31.5" customHeight="1">
      <c r="A1325" s="47">
        <v>693</v>
      </c>
      <c r="B1325" s="51" t="s">
        <v>393</v>
      </c>
      <c r="C1325" s="47" t="str">
        <f>VLOOKUP(PAA_4[[#This Row],[PROYECTO (formulado)2]],[2]PROYECTOS!$G$1:$L$32,6,0)</f>
        <v>SUBGERENCIA DE FOMENTO Y DESARROLLO</v>
      </c>
      <c r="D1325" s="47" t="str">
        <f>+IF(PAA_4[[#This Row],[UNIDAD DE CONTRATACION (formulado)]]="Subgerencia Administrativa y Financiera","FUNCIONAMIENTO","INVERSIÓN")</f>
        <v>INVERSIÓN</v>
      </c>
      <c r="E1325" s="48" t="str">
        <f>VLOOKUP(Q1325,[2]PROYECTOS!$G$1:$K$32,5,0)</f>
        <v>FORTALECIMIENTO_DE_LOS_JUEGOS_DEL_SECTOR_SOCIAL_COMUNITARIO_EN_LOS_MUNICIPIOS_DEL_DEPARTAMENTO_DE_ANTIOQU</v>
      </c>
      <c r="F1325" s="48">
        <f>VLOOKUP(E1325,[2]PROYECTOS!$K$1:$M$32,3,0)</f>
        <v>2020003050033</v>
      </c>
      <c r="G1325" s="49" t="s">
        <v>394</v>
      </c>
      <c r="H1325" s="49" t="str">
        <f>VLOOKUP(Q1325,[2]PROYECTOS!$V$1:$W$32,2,0)</f>
        <v>050057</v>
      </c>
      <c r="I1325" s="50">
        <f>339015088-45040747</f>
        <v>293974341</v>
      </c>
      <c r="J1325" s="51" t="s">
        <v>401</v>
      </c>
      <c r="K1325" s="47" t="str">
        <f t="shared" ca="1" si="473"/>
        <v>CONTRATADO</v>
      </c>
      <c r="L1325" s="47" t="s">
        <v>94</v>
      </c>
      <c r="M1325" s="51" t="s">
        <v>161</v>
      </c>
      <c r="N1325" s="52" t="s">
        <v>396</v>
      </c>
      <c r="O1325" s="51" t="e">
        <f>VLOOKUP(N1325,[2]!RUBROS[#All],3,0)</f>
        <v>#REF!</v>
      </c>
      <c r="P1325" s="53" t="e">
        <f>VLOOKUP(N1325,[2]!RUBROS[#All],2,0)</f>
        <v>#REF!</v>
      </c>
      <c r="Q1325" s="47" t="str">
        <f t="shared" si="474"/>
        <v>50</v>
      </c>
      <c r="R1325" s="47" t="str">
        <f t="shared" si="468"/>
        <v>0-205128</v>
      </c>
      <c r="S1325" s="54">
        <v>225</v>
      </c>
      <c r="T1325" s="59" t="s">
        <v>120</v>
      </c>
      <c r="U1325" s="326" t="e">
        <f ca="1">_xlfn.XLOOKUP(PAA_4[[#This Row],[ITEM]],[2]Contrato!A:A,[2]Contrato!Q:Q,"",0)</f>
        <v>#NAME?</v>
      </c>
      <c r="V1325" s="47" t="s">
        <v>47</v>
      </c>
      <c r="W1325" s="64" t="s">
        <v>119</v>
      </c>
      <c r="X1325" s="64" t="s">
        <v>119</v>
      </c>
      <c r="Y1325" s="55" t="e">
        <f ca="1">_xlfn.XLOOKUP(PAA_4[[#This Row],[ITEM]],[2]Contrato!A:A,[2]Contrato!B:B,"",0)</f>
        <v>#NAME?</v>
      </c>
      <c r="Z1325" s="47" t="e">
        <f ca="1">_xlfn.XLOOKUP(PAA_4[[#This Row],[ITEM]],[2]Contrato!A:A,[2]Contrato!G:G,"",0)</f>
        <v>#NAME?</v>
      </c>
      <c r="AA1325" s="47" t="e">
        <f ca="1">_xlfn.XLOOKUP(PAA_4[[#This Row],[ITEM]],[2]Contrato!A:A,[2]Contrato!T:T,"",0)</f>
        <v>#NAME?</v>
      </c>
      <c r="AB1325" s="55" t="e">
        <f ca="1">+MAX(PAA_4[[#This Row],[Comprometido Contrato]],PAA_4[[#This Row],[Comprometido Bolsa]])</f>
        <v>#NAME?</v>
      </c>
      <c r="AC1325" s="55" t="str">
        <f t="shared" ca="1" si="475"/>
        <v/>
      </c>
      <c r="AD1325" s="55" t="e">
        <f ca="1">IF(PAA_4[[#This Row],[ESTADO (formulado)]]="NO CONTRATADO",0,MAX(PAA_4[[#This Row],[Pago por Contrato]],PAA_4[[#This Row],[Pago por bolsa]]))</f>
        <v>#NAME?</v>
      </c>
      <c r="AE1325" s="55" t="str">
        <f t="shared" ca="1" si="476"/>
        <v/>
      </c>
      <c r="AF1325" s="47" t="e">
        <f t="shared" ca="1" si="477"/>
        <v>#NAME?</v>
      </c>
      <c r="AG1325" s="47">
        <f t="shared" si="478"/>
        <v>44021010</v>
      </c>
      <c r="AH1325" s="54">
        <f>IF(Q1325="22",IF(ISNUMBER(SEARCH("econ",PAA_4[[#This Row],[Actividad3]])),"Económico",IF(ISNUMBER(SEARCH("alim",PAA_4[[#This Row],[Actividad3]])),"Alimentación",IF(ISNUMBER(SEARCH("educ",PAA_4[[#This Row],[Actividad3]])),"Educativo","Técnico"))),0)</f>
        <v>0</v>
      </c>
      <c r="AI1325" s="47" t="e" cm="1">
        <f t="array" aca="1" ref="AI1325" ca="1">_xlfn.XLOOKUP(PAA_4[[#This Row],[RCP-RUBRO]],[2]!COMPROMISOS_2024[[#All],[concatenado]],[2]!COMPROMISOS_2024[[#All],[Total pagado]],"",0)</f>
        <v>#NAME?</v>
      </c>
      <c r="AJ1325" s="56">
        <f>IF(PAA_4[[#This Row],[BOLSA]]=0,0,SUMIFS([2]!COMPROMISOS_2024[[#All],[Total pagado]],[2]!COMPROMISOS_2024[[#All],[Bolsa]],PAA_4[[#This Row],[BOLSA]],[2]!COMPROMISOS_2024[[#All],[rubro]],PAA_4[[#This Row],[RCP-RUBRO]]))</f>
        <v>0</v>
      </c>
      <c r="AK1325" s="47" t="e" cm="1">
        <f t="array" aca="1" ref="AK1325" ca="1">_xlfn.XLOOKUP(PAA_4[[#This Row],[RCP-RUBRO]],[2]!COMPROMISOS_2024[[#All],[concatenado]],[2]!COMPROMISOS_2024[[#All],[Total Comprometido]],"",0)</f>
        <v>#NAME?</v>
      </c>
      <c r="AL1325" s="47">
        <f>IF(PAA_4[[#This Row],[BOLSA]]=0,0,SUMIFS([2]!COMPROMISOS_2024[[#All],[Total Comprometido]],[2]!COMPROMISOS_2024[[#All],[Bolsa]],PAA_4[[#This Row],[BOLSA]],[2]!COMPROMISOS_2024[[#All],[concatenado]],PAA_4[[#This Row],[RCP-RUBRO]]))</f>
        <v>0</v>
      </c>
    </row>
    <row r="1326" spans="1:38" s="19" customFormat="1" ht="31.5" customHeight="1">
      <c r="A1326" s="47">
        <v>373</v>
      </c>
      <c r="B1326" s="47">
        <v>80141607</v>
      </c>
      <c r="C1326" s="47" t="str">
        <f>VLOOKUP(PAA_4[[#This Row],[PROYECTO (formulado)2]],[2]PROYECTOS!$G$1:$L$32,6,0)</f>
        <v>SUBGERENCIA DE FOMENTO Y DESARROLLO</v>
      </c>
      <c r="D1326" s="47" t="str">
        <f>+IF(PAA_4[[#This Row],[UNIDAD DE CONTRATACION (formulado)]]="Subgerencia Administrativa y Financiera","FUNCIONAMIENTO","INVERSIÓN")</f>
        <v>INVERSIÓN</v>
      </c>
      <c r="E1326" s="48" t="str">
        <f>VLOOKUP(Q1326,[2]PROYECTOS!$G$1:$K$32,5,0)</f>
        <v>FORTALECIMIENTO_DE_LOS_JUEGOS_DEL_SECTOR_SOCIAL_COMUNITARIO_EN_LOS_MUNICIPIOS_DEL_DEPARTAMENTO_DE_ANTIOQU</v>
      </c>
      <c r="F1326" s="48">
        <f>VLOOKUP(E1326,[2]PROYECTOS!$K$1:$M$32,3,0)</f>
        <v>2020003050033</v>
      </c>
      <c r="G1326" s="49" t="s">
        <v>394</v>
      </c>
      <c r="H1326" s="49" t="str">
        <f>VLOOKUP(Q1326,[2]PROYECTOS!$V$1:$W$32,2,0)</f>
        <v>050057</v>
      </c>
      <c r="I1326" s="50">
        <v>0</v>
      </c>
      <c r="J1326" s="51" t="s">
        <v>402</v>
      </c>
      <c r="K1326" s="47" t="str">
        <f t="shared" ca="1" si="473"/>
        <v>CONTRATADO</v>
      </c>
      <c r="L1326" s="52" t="s">
        <v>94</v>
      </c>
      <c r="M1326" s="51" t="s">
        <v>161</v>
      </c>
      <c r="N1326" s="52" t="s">
        <v>396</v>
      </c>
      <c r="O1326" s="51" t="e">
        <f>VLOOKUP(N1326,[2]!RUBROS[#All],3,0)</f>
        <v>#REF!</v>
      </c>
      <c r="P1326" s="53" t="e">
        <f>VLOOKUP(N1326,[2]!RUBROS[#All],2,0)</f>
        <v>#REF!</v>
      </c>
      <c r="Q1326" s="47" t="str">
        <f t="shared" si="474"/>
        <v>50</v>
      </c>
      <c r="R1326" s="47" t="str">
        <f t="shared" si="468"/>
        <v>0-205128</v>
      </c>
      <c r="S1326" s="54">
        <v>7</v>
      </c>
      <c r="T1326" s="59" t="s">
        <v>46</v>
      </c>
      <c r="U1326" s="326" t="e">
        <f ca="1">_xlfn.XLOOKUP(PAA_4[[#This Row],[ITEM]],[2]Contrato!A:A,[2]Contrato!Q:Q,"",0)</f>
        <v>#NAME?</v>
      </c>
      <c r="V1326" s="47" t="s">
        <v>47</v>
      </c>
      <c r="W1326" s="47" t="s">
        <v>226</v>
      </c>
      <c r="X1326" s="47" t="s">
        <v>226</v>
      </c>
      <c r="Y1326" s="55" t="e">
        <f ca="1">_xlfn.XLOOKUP(PAA_4[[#This Row],[ITEM]],[2]Contrato!A:A,[2]Contrato!B:B,"",0)</f>
        <v>#NAME?</v>
      </c>
      <c r="Z1326" s="47" t="e">
        <f ca="1">_xlfn.XLOOKUP(PAA_4[[#This Row],[ITEM]],[2]Contrato!A:A,[2]Contrato!G:G,"",0)</f>
        <v>#NAME?</v>
      </c>
      <c r="AA1326" s="47" t="e">
        <f ca="1">_xlfn.XLOOKUP(PAA_4[[#This Row],[ITEM]],[2]Contrato!A:A,[2]Contrato!T:T,"",0)</f>
        <v>#NAME?</v>
      </c>
      <c r="AB1326" s="55" t="e">
        <f ca="1">+MAX(PAA_4[[#This Row],[Comprometido Contrato]],PAA_4[[#This Row],[Comprometido Bolsa]])</f>
        <v>#NAME?</v>
      </c>
      <c r="AC1326" s="55" t="str">
        <f t="shared" ca="1" si="475"/>
        <v/>
      </c>
      <c r="AD1326" s="55" t="e">
        <f ca="1">IF(PAA_4[[#This Row],[ESTADO (formulado)]]="NO CONTRATADO",0,MAX(PAA_4[[#This Row],[Pago por Contrato]],PAA_4[[#This Row],[Pago por bolsa]]))</f>
        <v>#NAME?</v>
      </c>
      <c r="AE1326" s="55" t="str">
        <f t="shared" ca="1" si="476"/>
        <v/>
      </c>
      <c r="AF1326" s="47" t="e">
        <f t="shared" ca="1" si="477"/>
        <v>#NAME?</v>
      </c>
      <c r="AG1326" s="47">
        <f t="shared" si="478"/>
        <v>44021010</v>
      </c>
      <c r="AH1326" s="54">
        <f>IF(Q1326="22",IF(ISNUMBER(SEARCH("econ",PAA_4[[#This Row],[Actividad3]])),"Económico",IF(ISNUMBER(SEARCH("alim",PAA_4[[#This Row],[Actividad3]])),"Alimentación",IF(ISNUMBER(SEARCH("educ",PAA_4[[#This Row],[Actividad3]])),"Educativo","Técnico"))),0)</f>
        <v>0</v>
      </c>
      <c r="AI1326" s="47" t="e" cm="1">
        <f t="array" aca="1" ref="AI1326" ca="1">_xlfn.XLOOKUP(PAA_4[[#This Row],[RCP-RUBRO]],[2]!COMPROMISOS_2024[[#All],[concatenado]],[2]!COMPROMISOS_2024[[#All],[Total pagado]],"",0)</f>
        <v>#NAME?</v>
      </c>
      <c r="AJ1326" s="56">
        <f>IF(PAA_4[[#This Row],[BOLSA]]=0,0,SUMIFS([2]!COMPROMISOS_2024[[#All],[Total pagado]],[2]!COMPROMISOS_2024[[#All],[Bolsa]],PAA_4[[#This Row],[BOLSA]],[2]!COMPROMISOS_2024[[#All],[rubro]],PAA_4[[#This Row],[RCP-RUBRO]]))</f>
        <v>0</v>
      </c>
      <c r="AK1326" s="47" t="e" cm="1">
        <f t="array" aca="1" ref="AK1326" ca="1">_xlfn.XLOOKUP(PAA_4[[#This Row],[RCP-RUBRO]],[2]!COMPROMISOS_2024[[#All],[concatenado]],[2]!COMPROMISOS_2024[[#All],[Total Comprometido]],"",0)</f>
        <v>#NAME?</v>
      </c>
      <c r="AL1326" s="47">
        <f>IF(PAA_4[[#This Row],[BOLSA]]=0,0,SUMIFS([2]!COMPROMISOS_2024[[#All],[Total Comprometido]],[2]!COMPROMISOS_2024[[#All],[Bolsa]],PAA_4[[#This Row],[BOLSA]],[2]!COMPROMISOS_2024[[#All],[concatenado]],PAA_4[[#This Row],[RCP-RUBRO]]))</f>
        <v>0</v>
      </c>
    </row>
    <row r="1327" spans="1:38" s="19" customFormat="1" ht="31.5" customHeight="1">
      <c r="A1327" s="47">
        <v>465</v>
      </c>
      <c r="B1327" s="47">
        <v>80111600</v>
      </c>
      <c r="C1327" s="47" t="str">
        <f>VLOOKUP(PAA_4[[#This Row],[PROYECTO (formulado)2]],[2]PROYECTOS!$G$1:$L$32,6,0)</f>
        <v>SUBGERENCIA DE FOMENTO Y DESARROLLO</v>
      </c>
      <c r="D1327" s="47" t="str">
        <f>+IF(PAA_4[[#This Row],[UNIDAD DE CONTRATACION (formulado)]]="Subgerencia Administrativa y Financiera","FUNCIONAMIENTO","INVERSIÓN")</f>
        <v>INVERSIÓN</v>
      </c>
      <c r="E1327" s="48" t="str">
        <f>VLOOKUP(Q1327,[2]PROYECTOS!$G$1:$K$32,5,0)</f>
        <v>FORTALECIMIENTO_DE_LOS_JUEGOS_DEL_SECTOR_SOCIAL_COMUNITARIO_EN_LOS_MUNICIPIOS_DEL_DEPARTAMENTO_DE_ANTIOQU</v>
      </c>
      <c r="F1327" s="48">
        <f>VLOOKUP(E1327,[2]PROYECTOS!$K$1:$M$32,3,0)</f>
        <v>2020003050033</v>
      </c>
      <c r="G1327" s="49" t="s">
        <v>342</v>
      </c>
      <c r="H1327" s="49" t="str">
        <f>VLOOKUP(Q1327,[2]PROYECTOS!$V$1:$W$32,2,0)</f>
        <v>050057</v>
      </c>
      <c r="I1327" s="50">
        <v>0</v>
      </c>
      <c r="J1327" s="51" t="s">
        <v>403</v>
      </c>
      <c r="K1327" s="47" t="str">
        <f t="shared" ca="1" si="473"/>
        <v>CONTRATADO</v>
      </c>
      <c r="L1327" s="47" t="s">
        <v>94</v>
      </c>
      <c r="M1327" s="47" t="s">
        <v>1297</v>
      </c>
      <c r="N1327" s="52" t="s">
        <v>396</v>
      </c>
      <c r="O1327" s="51" t="e">
        <f>VLOOKUP(N1327,[2]!RUBROS[#All],3,0)</f>
        <v>#REF!</v>
      </c>
      <c r="P1327" s="53" t="e">
        <f>VLOOKUP(N1327,[2]!RUBROS[#All],2,0)</f>
        <v>#REF!</v>
      </c>
      <c r="Q1327" s="47" t="str">
        <f t="shared" si="474"/>
        <v>50</v>
      </c>
      <c r="R1327" s="47" t="str">
        <f t="shared" si="468"/>
        <v>0-205128</v>
      </c>
      <c r="S1327" s="54">
        <v>10</v>
      </c>
      <c r="T1327" s="59" t="s">
        <v>46</v>
      </c>
      <c r="U1327" s="326" t="e">
        <f ca="1">_xlfn.XLOOKUP(PAA_4[[#This Row],[ITEM]],[2]Contrato!A:A,[2]Contrato!Q:Q,"",0)</f>
        <v>#NAME?</v>
      </c>
      <c r="V1327" s="47" t="s">
        <v>47</v>
      </c>
      <c r="W1327" s="47" t="s">
        <v>96</v>
      </c>
      <c r="X1327" s="47" t="s">
        <v>96</v>
      </c>
      <c r="Y1327" s="55" t="e">
        <f ca="1">_xlfn.XLOOKUP(PAA_4[[#This Row],[ITEM]],[2]Contrato!A:A,[2]Contrato!B:B,"",0)</f>
        <v>#NAME?</v>
      </c>
      <c r="Z1327" s="47" t="e">
        <f ca="1">_xlfn.XLOOKUP(PAA_4[[#This Row],[ITEM]],[2]Contrato!A:A,[2]Contrato!G:G,"",0)</f>
        <v>#NAME?</v>
      </c>
      <c r="AA1327" s="47" t="e">
        <f ca="1">_xlfn.XLOOKUP(PAA_4[[#This Row],[ITEM]],[2]Contrato!A:A,[2]Contrato!T:T,"",0)</f>
        <v>#NAME?</v>
      </c>
      <c r="AB1327" s="55" t="e">
        <f ca="1">+MAX(PAA_4[[#This Row],[Comprometido Contrato]],PAA_4[[#This Row],[Comprometido Bolsa]])</f>
        <v>#NAME?</v>
      </c>
      <c r="AC1327" s="55" t="str">
        <f t="shared" ca="1" si="475"/>
        <v/>
      </c>
      <c r="AD1327" s="55" t="e">
        <f ca="1">IF(PAA_4[[#This Row],[ESTADO (formulado)]]="NO CONTRATADO",0,MAX(PAA_4[[#This Row],[Pago por Contrato]],PAA_4[[#This Row],[Pago por bolsa]]))</f>
        <v>#NAME?</v>
      </c>
      <c r="AE1327" s="55" t="str">
        <f t="shared" ca="1" si="476"/>
        <v/>
      </c>
      <c r="AF1327" s="47" t="e">
        <f t="shared" ca="1" si="477"/>
        <v>#NAME?</v>
      </c>
      <c r="AG1327" s="47">
        <f t="shared" si="478"/>
        <v>44021010</v>
      </c>
      <c r="AH1327" s="54">
        <f>IF(Q1327="22",IF(ISNUMBER(SEARCH("econ",PAA_4[[#This Row],[Actividad3]])),"Económico",IF(ISNUMBER(SEARCH("alim",PAA_4[[#This Row],[Actividad3]])),"Alimentación",IF(ISNUMBER(SEARCH("educ",PAA_4[[#This Row],[Actividad3]])),"Educativo","Técnico"))),0)</f>
        <v>0</v>
      </c>
      <c r="AI1327" s="47" t="e" cm="1">
        <f t="array" aca="1" ref="AI1327" ca="1">_xlfn.XLOOKUP(PAA_4[[#This Row],[RCP-RUBRO]],[2]!COMPROMISOS_2024[[#All],[concatenado]],[2]!COMPROMISOS_2024[[#All],[Total pagado]],"",0)</f>
        <v>#NAME?</v>
      </c>
      <c r="AJ1327" s="56">
        <f>IF(PAA_4[[#This Row],[BOLSA]]=0,0,SUMIFS([2]!COMPROMISOS_2024[[#All],[Total pagado]],[2]!COMPROMISOS_2024[[#All],[Bolsa]],PAA_4[[#This Row],[BOLSA]],[2]!COMPROMISOS_2024[[#All],[rubro]],PAA_4[[#This Row],[RCP-RUBRO]]))</f>
        <v>0</v>
      </c>
      <c r="AK1327" s="47" t="e" cm="1">
        <f t="array" aca="1" ref="AK1327" ca="1">_xlfn.XLOOKUP(PAA_4[[#This Row],[RCP-RUBRO]],[2]!COMPROMISOS_2024[[#All],[concatenado]],[2]!COMPROMISOS_2024[[#All],[Total Comprometido]],"",0)</f>
        <v>#NAME?</v>
      </c>
      <c r="AL1327" s="47">
        <f>IF(PAA_4[[#This Row],[BOLSA]]=0,0,SUMIFS([2]!COMPROMISOS_2024[[#All],[Total Comprometido]],[2]!COMPROMISOS_2024[[#All],[Bolsa]],PAA_4[[#This Row],[BOLSA]],[2]!COMPROMISOS_2024[[#All],[concatenado]],PAA_4[[#This Row],[RCP-RUBRO]]))</f>
        <v>0</v>
      </c>
    </row>
    <row r="1328" spans="1:38" s="19" customFormat="1" ht="31.5" customHeight="1">
      <c r="A1328" s="47" t="s">
        <v>82</v>
      </c>
      <c r="B1328" s="47" t="s">
        <v>42</v>
      </c>
      <c r="C1328" s="47" t="str">
        <f>VLOOKUP(PAA_4[[#This Row],[PROYECTO (formulado)2]],[2]PROYECTOS!$G$1:$L$32,6,0)</f>
        <v>SUBGERENCIA DE FOMENTO Y DESARROLLO</v>
      </c>
      <c r="D1328" s="47" t="str">
        <f>+IF(PAA_4[[#This Row],[UNIDAD DE CONTRATACION (formulado)]]="Subgerencia Administrativa y Financiera","FUNCIONAMIENTO","INVERSIÓN")</f>
        <v>INVERSIÓN</v>
      </c>
      <c r="E1328" s="48" t="str">
        <f>VLOOKUP(Q1328,[2]PROYECTOS!$G$1:$K$32,5,0)</f>
        <v>FORTALECIMIENTO_DE_LOS_JUEGOS_DEL_SECTOR_EDUCATIVO_EN_ANTIOQUIA</v>
      </c>
      <c r="F1328" s="48">
        <f>VLOOKUP(E1328,[2]PROYECTOS!$K$1:$M$32,3,0)</f>
        <v>2020003050034</v>
      </c>
      <c r="G1328" s="49" t="s">
        <v>342</v>
      </c>
      <c r="H1328" s="49" t="str">
        <f>VLOOKUP(Q1328,[2]PROYECTOS!$V$1:$W$32,2,0)</f>
        <v>050053</v>
      </c>
      <c r="I1328" s="50">
        <v>369600</v>
      </c>
      <c r="J1328" s="51" t="s">
        <v>1368</v>
      </c>
      <c r="K1328" s="47" t="str">
        <f ca="1">IF(ISNONTEXT(Y1328)=TRUE,"CONTRATADO","NO CONTRATADO")</f>
        <v>CONTRATADO</v>
      </c>
      <c r="L1328" s="47" t="s">
        <v>42</v>
      </c>
      <c r="M1328" s="47" t="s">
        <v>42</v>
      </c>
      <c r="N1328" s="52" t="s">
        <v>144</v>
      </c>
      <c r="O1328" s="51" t="e">
        <f>VLOOKUP(N1328,[2]!RUBROS[#All],3,0)</f>
        <v>#REF!</v>
      </c>
      <c r="P1328" s="53" t="e">
        <f>VLOOKUP(N1328,[2]!RUBROS[#All],2,0)</f>
        <v>#REF!</v>
      </c>
      <c r="Q1328" s="47" t="str">
        <f>+MID(N1328,11,2)</f>
        <v>51</v>
      </c>
      <c r="R1328" s="47" t="str">
        <f t="shared" si="468"/>
        <v>0-205128</v>
      </c>
      <c r="S1328" s="47" t="s">
        <v>42</v>
      </c>
      <c r="T1328" s="59" t="s">
        <v>42</v>
      </c>
      <c r="U1328" s="326" t="e">
        <f ca="1">_xlfn.XLOOKUP(PAA_4[[#This Row],[ITEM]],[2]Contrato!A:A,[2]Contrato!Q:Q,"",0)</f>
        <v>#NAME?</v>
      </c>
      <c r="V1328" s="47" t="s">
        <v>95</v>
      </c>
      <c r="W1328" s="47" t="s">
        <v>42</v>
      </c>
      <c r="X1328" s="47" t="s">
        <v>42</v>
      </c>
      <c r="Y1328" s="55" t="e">
        <f ca="1">_xlfn.XLOOKUP(PAA_4[[#This Row],[ITEM]],[2]Contrato!A:A,[2]Contrato!B:B,"",0)</f>
        <v>#NAME?</v>
      </c>
      <c r="Z1328" s="47" t="e">
        <f ca="1">_xlfn.XLOOKUP(PAA_4[[#This Row],[ITEM]],[2]Contrato!A:A,[2]Contrato!G:G,"",0)</f>
        <v>#NAME?</v>
      </c>
      <c r="AA1328" s="47" t="e">
        <f ca="1">_xlfn.XLOOKUP(PAA_4[[#This Row],[ITEM]],[2]Contrato!A:A,[2]Contrato!T:T,"",0)</f>
        <v>#NAME?</v>
      </c>
      <c r="AB1328" s="55" t="e">
        <f ca="1">+MAX(PAA_4[[#This Row],[Comprometido Contrato]],PAA_4[[#This Row],[Comprometido Bolsa]])</f>
        <v>#NAME?</v>
      </c>
      <c r="AC1328" s="55" t="str">
        <f ca="1">IFERROR(I1328-AB1328,"")</f>
        <v/>
      </c>
      <c r="AD1328" s="55" t="e">
        <f ca="1">IF(PAA_4[[#This Row],[ESTADO (formulado)]]="NO CONTRATADO",0,MAX(PAA_4[[#This Row],[Pago por Contrato]],PAA_4[[#This Row],[Pago por bolsa]]))</f>
        <v>#NAME?</v>
      </c>
      <c r="AE1328" s="55" t="str">
        <f ca="1">+IFERROR(AB1328-AD1328,"")</f>
        <v/>
      </c>
      <c r="AF1328" s="47" t="e">
        <f ca="1">+CONCATENATE(AA1328,N1328)</f>
        <v>#NAME?</v>
      </c>
      <c r="AG1328" s="47">
        <f>IFERROR(_xlfn.NUMBERVALUE(MID(G1328,1,8)),"")</f>
        <v>44021010</v>
      </c>
      <c r="AH1328" s="54">
        <f>IF(Q1328="22",IF(ISNUMBER(SEARCH("econ",PAA_4[[#This Row],[Actividad3]])),"Económico",IF(ISNUMBER(SEARCH("alim",PAA_4[[#This Row],[Actividad3]])),"Alimentación",IF(ISNUMBER(SEARCH("educ",PAA_4[[#This Row],[Actividad3]])),"Educativo","Técnico"))),0)</f>
        <v>0</v>
      </c>
      <c r="AI1328" s="47" t="e" cm="1">
        <f t="array" aca="1" ref="AI1328" ca="1">_xlfn.XLOOKUP(PAA_4[[#This Row],[RCP-RUBRO]],[2]!COMPROMISOS_2024[[#All],[concatenado]],[2]!COMPROMISOS_2024[[#All],[Total pagado]],"",0)</f>
        <v>#NAME?</v>
      </c>
      <c r="AJ1328" s="56">
        <f>IF(PAA_4[[#This Row],[BOLSA]]=0,0,SUMIFS([2]!COMPROMISOS_2024[[#All],[Total pagado]],[2]!COMPROMISOS_2024[[#All],[Bolsa]],PAA_4[[#This Row],[BOLSA]],[2]!COMPROMISOS_2024[[#All],[rubro]],PAA_4[[#This Row],[RCP-RUBRO]]))</f>
        <v>0</v>
      </c>
      <c r="AK1328" s="47" t="e" cm="1">
        <f t="array" aca="1" ref="AK1328" ca="1">_xlfn.XLOOKUP(PAA_4[[#This Row],[RCP-RUBRO]],[2]!COMPROMISOS_2024[[#All],[concatenado]],[2]!COMPROMISOS_2024[[#All],[Total Comprometido]],"",0)</f>
        <v>#NAME?</v>
      </c>
      <c r="AL1328" s="47">
        <f>IF(PAA_4[[#This Row],[BOLSA]]=0,0,SUMIFS([2]!COMPROMISOS_2024[[#All],[Total Comprometido]],[2]!COMPROMISOS_2024[[#All],[Bolsa]],PAA_4[[#This Row],[BOLSA]],[2]!COMPROMISOS_2024[[#All],[concatenado]],PAA_4[[#This Row],[RCP-RUBRO]]))</f>
        <v>0</v>
      </c>
    </row>
    <row r="1329" spans="1:38" s="19" customFormat="1" ht="31.5" customHeight="1">
      <c r="A1329" s="47">
        <v>534</v>
      </c>
      <c r="B1329" s="47"/>
      <c r="C1329" s="47" t="str">
        <f>VLOOKUP(PAA_4[[#This Row],[PROYECTO (formulado)2]],[2]PROYECTOS!$G$1:$L$32,6,0)</f>
        <v>SUBGERENCIA DE FOMENTO Y DESARROLLO</v>
      </c>
      <c r="D1329" s="47" t="str">
        <f>+IF(PAA_4[[#This Row],[UNIDAD DE CONTRATACION (formulado)]]="Subgerencia Administrativa y Financiera","FUNCIONAMIENTO","INVERSIÓN")</f>
        <v>INVERSIÓN</v>
      </c>
      <c r="E1329" s="48" t="str">
        <f>VLOOKUP(Q1329,[2]PROYECTOS!$G$1:$K$32,5,0)</f>
        <v>FORTALECIMIENTO_DE_LOS_JUEGOS_DEL_SECTOR_SOCIAL_COMUNITARIO_EN_LOS_MUNICIPIOS_DEL_DEPARTAMENTO_DE_ANTIOQU</v>
      </c>
      <c r="F1329" s="48">
        <f>VLOOKUP(E1329,[2]PROYECTOS!$K$1:$M$32,3,0)</f>
        <v>2020003050033</v>
      </c>
      <c r="G1329" s="49" t="s">
        <v>342</v>
      </c>
      <c r="H1329" s="49" t="str">
        <f>VLOOKUP(Q1329,[2]PROYECTOS!$V$1:$W$32,2,0)</f>
        <v>050057</v>
      </c>
      <c r="I1329" s="50">
        <f>14458183</f>
        <v>14458183</v>
      </c>
      <c r="J1329" s="51" t="s">
        <v>404</v>
      </c>
      <c r="K1329" s="47" t="str">
        <f t="shared" ref="K1329:K1354" ca="1" si="479">IF(ISNONTEXT(Y1329)=TRUE,"CONTRATADO","NO CONTRATADO")</f>
        <v>CONTRATADO</v>
      </c>
      <c r="L1329" s="47" t="s">
        <v>94</v>
      </c>
      <c r="M1329" s="47" t="s">
        <v>1297</v>
      </c>
      <c r="N1329" s="52" t="s">
        <v>396</v>
      </c>
      <c r="O1329" s="51" t="e">
        <f>VLOOKUP(N1329,[2]!RUBROS[#All],3,0)</f>
        <v>#REF!</v>
      </c>
      <c r="P1329" s="53" t="e">
        <f>VLOOKUP(N1329,[2]!RUBROS[#All],2,0)</f>
        <v>#REF!</v>
      </c>
      <c r="Q1329" s="47" t="str">
        <f t="shared" ref="Q1329:Q1354" si="480">+MID(N1329,11,2)</f>
        <v>50</v>
      </c>
      <c r="R1329" s="47" t="str">
        <f t="shared" si="468"/>
        <v>0-205128</v>
      </c>
      <c r="S1329" s="54">
        <v>6</v>
      </c>
      <c r="T1329" s="59" t="s">
        <v>46</v>
      </c>
      <c r="U1329" s="326" t="e">
        <f ca="1">_xlfn.XLOOKUP(PAA_4[[#This Row],[ITEM]],[2]Contrato!A:A,[2]Contrato!Q:Q,"",0)</f>
        <v>#NAME?</v>
      </c>
      <c r="V1329" s="47" t="s">
        <v>47</v>
      </c>
      <c r="W1329" s="47" t="s">
        <v>91</v>
      </c>
      <c r="X1329" s="47" t="s">
        <v>91</v>
      </c>
      <c r="Y1329" s="55" t="e">
        <f ca="1">_xlfn.XLOOKUP(PAA_4[[#This Row],[ITEM]],[2]Contrato!A:A,[2]Contrato!B:B,"",0)</f>
        <v>#NAME?</v>
      </c>
      <c r="Z1329" s="47" t="e">
        <f ca="1">_xlfn.XLOOKUP(PAA_4[[#This Row],[ITEM]],[2]Contrato!A:A,[2]Contrato!G:G,"",0)</f>
        <v>#NAME?</v>
      </c>
      <c r="AA1329" s="47" t="e">
        <f ca="1">_xlfn.XLOOKUP(PAA_4[[#This Row],[ITEM]],[2]Contrato!A:A,[2]Contrato!T:T,"",0)</f>
        <v>#NAME?</v>
      </c>
      <c r="AB1329" s="55" t="e">
        <f ca="1">+MAX(PAA_4[[#This Row],[Comprometido Contrato]],PAA_4[[#This Row],[Comprometido Bolsa]])</f>
        <v>#NAME?</v>
      </c>
      <c r="AC1329" s="55" t="str">
        <f t="shared" ref="AC1329:AC1354" ca="1" si="481">IFERROR(I1329-AB1329,"")</f>
        <v/>
      </c>
      <c r="AD1329" s="55" t="e">
        <f ca="1">IF(PAA_4[[#This Row],[ESTADO (formulado)]]="NO CONTRATADO",0,MAX(PAA_4[[#This Row],[Pago por Contrato]],PAA_4[[#This Row],[Pago por bolsa]]))</f>
        <v>#NAME?</v>
      </c>
      <c r="AE1329" s="55" t="str">
        <f t="shared" ref="AE1329:AE1354" ca="1" si="482">+IFERROR(AB1329-AD1329,"")</f>
        <v/>
      </c>
      <c r="AF1329" s="47" t="e">
        <f t="shared" ref="AF1329:AF1354" ca="1" si="483">+CONCATENATE(AA1329,N1329)</f>
        <v>#NAME?</v>
      </c>
      <c r="AG1329" s="47">
        <f t="shared" ref="AG1329:AG1354" si="484">IFERROR(_xlfn.NUMBERVALUE(MID(G1329,1,8)),"")</f>
        <v>44021010</v>
      </c>
      <c r="AH1329" s="54">
        <f>IF(Q1329="22",IF(ISNUMBER(SEARCH("econ",PAA_4[[#This Row],[Actividad3]])),"Económico",IF(ISNUMBER(SEARCH("alim",PAA_4[[#This Row],[Actividad3]])),"Alimentación",IF(ISNUMBER(SEARCH("educ",PAA_4[[#This Row],[Actividad3]])),"Educativo","Técnico"))),0)</f>
        <v>0</v>
      </c>
      <c r="AI1329" s="47" t="e" cm="1">
        <f t="array" aca="1" ref="AI1329" ca="1">_xlfn.XLOOKUP(PAA_4[[#This Row],[RCP-RUBRO]],[2]!COMPROMISOS_2024[[#All],[concatenado]],[2]!COMPROMISOS_2024[[#All],[Total pagado]],"",0)</f>
        <v>#NAME?</v>
      </c>
      <c r="AJ1329" s="56">
        <f>IF(PAA_4[[#This Row],[BOLSA]]=0,0,SUMIFS([2]!COMPROMISOS_2024[[#All],[Total pagado]],[2]!COMPROMISOS_2024[[#All],[Bolsa]],PAA_4[[#This Row],[BOLSA]],[2]!COMPROMISOS_2024[[#All],[rubro]],PAA_4[[#This Row],[RCP-RUBRO]]))</f>
        <v>0</v>
      </c>
      <c r="AK1329" s="47" t="e" cm="1">
        <f t="array" aca="1" ref="AK1329" ca="1">_xlfn.XLOOKUP(PAA_4[[#This Row],[RCP-RUBRO]],[2]!COMPROMISOS_2024[[#All],[concatenado]],[2]!COMPROMISOS_2024[[#All],[Total Comprometido]],"",0)</f>
        <v>#NAME?</v>
      </c>
      <c r="AL1329" s="47">
        <f>IF(PAA_4[[#This Row],[BOLSA]]=0,0,SUMIFS([2]!COMPROMISOS_2024[[#All],[Total Comprometido]],[2]!COMPROMISOS_2024[[#All],[Bolsa]],PAA_4[[#This Row],[BOLSA]],[2]!COMPROMISOS_2024[[#All],[concatenado]],PAA_4[[#This Row],[RCP-RUBRO]]))</f>
        <v>0</v>
      </c>
    </row>
    <row r="1330" spans="1:38" s="19" customFormat="1" ht="31.5" customHeight="1">
      <c r="A1330" s="47">
        <v>534</v>
      </c>
      <c r="B1330" s="47"/>
      <c r="C1330" s="47" t="str">
        <f>VLOOKUP(PAA_4[[#This Row],[PROYECTO (formulado)2]],[2]PROYECTOS!$G$1:$L$32,6,0)</f>
        <v>SUBGERENCIA DE FOMENTO Y DESARROLLO</v>
      </c>
      <c r="D1330" s="47" t="str">
        <f>+IF(PAA_4[[#This Row],[UNIDAD DE CONTRATACION (formulado)]]="Subgerencia Administrativa y Financiera","FUNCIONAMIENTO","INVERSIÓN")</f>
        <v>INVERSIÓN</v>
      </c>
      <c r="E1330" s="48" t="str">
        <f>VLOOKUP(Q1330,[2]PROYECTOS!$G$1:$K$32,5,0)</f>
        <v>FORTALECIMIENTO_DE_LOS_JUEGOS_DEL_SECTOR_EDUCATIVO_EN_ANTIOQUIA</v>
      </c>
      <c r="F1330" s="48">
        <f>VLOOKUP(E1330,[2]PROYECTOS!$K$1:$M$32,3,0)</f>
        <v>2020003050034</v>
      </c>
      <c r="G1330" s="49" t="s">
        <v>340</v>
      </c>
      <c r="H1330" s="49" t="str">
        <f>VLOOKUP(Q1330,[2]PROYECTOS!$V$1:$W$32,2,0)</f>
        <v>050053</v>
      </c>
      <c r="I1330" s="50">
        <f>14458183-369600</f>
        <v>14088583</v>
      </c>
      <c r="J1330" s="51" t="s">
        <v>404</v>
      </c>
      <c r="K1330" s="47" t="str">
        <f t="shared" ca="1" si="479"/>
        <v>CONTRATADO</v>
      </c>
      <c r="L1330" s="47" t="s">
        <v>94</v>
      </c>
      <c r="M1330" s="47" t="s">
        <v>1297</v>
      </c>
      <c r="N1330" s="52" t="s">
        <v>144</v>
      </c>
      <c r="O1330" s="51" t="e">
        <f>VLOOKUP(N1330,[2]!RUBROS[#All],3,0)</f>
        <v>#REF!</v>
      </c>
      <c r="P1330" s="53" t="e">
        <f>VLOOKUP(N1330,[2]!RUBROS[#All],2,0)</f>
        <v>#REF!</v>
      </c>
      <c r="Q1330" s="47" t="str">
        <f t="shared" si="480"/>
        <v>51</v>
      </c>
      <c r="R1330" s="47" t="str">
        <f t="shared" si="468"/>
        <v>0-205128</v>
      </c>
      <c r="S1330" s="54">
        <v>6</v>
      </c>
      <c r="T1330" s="59" t="s">
        <v>46</v>
      </c>
      <c r="U1330" s="326" t="e">
        <f ca="1">_xlfn.XLOOKUP(PAA_4[[#This Row],[ITEM]],[2]Contrato!A:A,[2]Contrato!Q:Q,"",0)</f>
        <v>#NAME?</v>
      </c>
      <c r="V1330" s="47" t="s">
        <v>47</v>
      </c>
      <c r="W1330" s="47" t="s">
        <v>91</v>
      </c>
      <c r="X1330" s="47" t="s">
        <v>91</v>
      </c>
      <c r="Y1330" s="55" t="e">
        <f ca="1">_xlfn.XLOOKUP(PAA_4[[#This Row],[ITEM]],[2]Contrato!A:A,[2]Contrato!B:B,"",0)</f>
        <v>#NAME?</v>
      </c>
      <c r="Z1330" s="47" t="e">
        <f ca="1">_xlfn.XLOOKUP(PAA_4[[#This Row],[ITEM]],[2]Contrato!A:A,[2]Contrato!G:G,"",0)</f>
        <v>#NAME?</v>
      </c>
      <c r="AA1330" s="47" t="e">
        <f ca="1">_xlfn.XLOOKUP(PAA_4[[#This Row],[ITEM]],[2]Contrato!A:A,[2]Contrato!T:T,"",0)</f>
        <v>#NAME?</v>
      </c>
      <c r="AB1330" s="55" t="e">
        <f ca="1">+MAX(PAA_4[[#This Row],[Comprometido Contrato]],PAA_4[[#This Row],[Comprometido Bolsa]])</f>
        <v>#NAME?</v>
      </c>
      <c r="AC1330" s="55" t="str">
        <f t="shared" ca="1" si="481"/>
        <v/>
      </c>
      <c r="AD1330" s="55" t="e">
        <f ca="1">IF(PAA_4[[#This Row],[ESTADO (formulado)]]="NO CONTRATADO",0,MAX(PAA_4[[#This Row],[Pago por Contrato]],PAA_4[[#This Row],[Pago por bolsa]]))</f>
        <v>#NAME?</v>
      </c>
      <c r="AE1330" s="55" t="str">
        <f t="shared" ca="1" si="482"/>
        <v/>
      </c>
      <c r="AF1330" s="47" t="e">
        <f t="shared" ca="1" si="483"/>
        <v>#NAME?</v>
      </c>
      <c r="AG1330" s="47">
        <f t="shared" si="484"/>
        <v>44021011</v>
      </c>
      <c r="AH1330" s="54">
        <f>IF(Q1330="22",IF(ISNUMBER(SEARCH("econ",PAA_4[[#This Row],[Actividad3]])),"Económico",IF(ISNUMBER(SEARCH("alim",PAA_4[[#This Row],[Actividad3]])),"Alimentación",IF(ISNUMBER(SEARCH("educ",PAA_4[[#This Row],[Actividad3]])),"Educativo","Técnico"))),0)</f>
        <v>0</v>
      </c>
      <c r="AI1330" s="47" t="e" cm="1">
        <f t="array" aca="1" ref="AI1330" ca="1">_xlfn.XLOOKUP(PAA_4[[#This Row],[RCP-RUBRO]],[2]!COMPROMISOS_2024[[#All],[concatenado]],[2]!COMPROMISOS_2024[[#All],[Total pagado]],"",0)</f>
        <v>#NAME?</v>
      </c>
      <c r="AJ1330" s="56">
        <f>IF(PAA_4[[#This Row],[BOLSA]]=0,0,SUMIFS([2]!COMPROMISOS_2024[[#All],[Total pagado]],[2]!COMPROMISOS_2024[[#All],[Bolsa]],PAA_4[[#This Row],[BOLSA]],[2]!COMPROMISOS_2024[[#All],[rubro]],PAA_4[[#This Row],[RCP-RUBRO]]))</f>
        <v>0</v>
      </c>
      <c r="AK1330" s="47" t="e" cm="1">
        <f t="array" aca="1" ref="AK1330" ca="1">_xlfn.XLOOKUP(PAA_4[[#This Row],[RCP-RUBRO]],[2]!COMPROMISOS_2024[[#All],[concatenado]],[2]!COMPROMISOS_2024[[#All],[Total Comprometido]],"",0)</f>
        <v>#NAME?</v>
      </c>
      <c r="AL1330" s="47">
        <f>IF(PAA_4[[#This Row],[BOLSA]]=0,0,SUMIFS([2]!COMPROMISOS_2024[[#All],[Total Comprometido]],[2]!COMPROMISOS_2024[[#All],[Bolsa]],PAA_4[[#This Row],[BOLSA]],[2]!COMPROMISOS_2024[[#All],[concatenado]],PAA_4[[#This Row],[RCP-RUBRO]]))</f>
        <v>0</v>
      </c>
    </row>
    <row r="1331" spans="1:38" s="19" customFormat="1" ht="31.5" customHeight="1">
      <c r="A1331" s="47">
        <v>576</v>
      </c>
      <c r="B1331" s="47">
        <v>80111600</v>
      </c>
      <c r="C1331" s="47" t="str">
        <f>VLOOKUP(PAA_4[[#This Row],[PROYECTO (formulado)2]],[2]PROYECTOS!$G$1:$L$32,6,0)</f>
        <v>SUBGERENCIA DE FOMENTO Y DESARROLLO</v>
      </c>
      <c r="D1331" s="47" t="str">
        <f>+IF(PAA_4[[#This Row],[UNIDAD DE CONTRATACION (formulado)]]="Subgerencia Administrativa y Financiera","FUNCIONAMIENTO","INVERSIÓN")</f>
        <v>INVERSIÓN</v>
      </c>
      <c r="E1331" s="48" t="str">
        <f>VLOOKUP(Q1331,[2]PROYECTOS!$G$1:$K$32,5,0)</f>
        <v>CAPACITACION_PARA_EL_SECTOR_DEL_DEPORTE_LA_ACTIVIDAD_FISICA_LA_RECREACION_Y_LA_EDUCACION_FISICA_DE_ANTI</v>
      </c>
      <c r="F1331" s="48">
        <f>VLOOKUP(E1331,[2]PROYECTOS!$K$1:$M$32,3,0)</f>
        <v>2020003050024</v>
      </c>
      <c r="G1331" s="49" t="s">
        <v>337</v>
      </c>
      <c r="H1331" s="49" t="str">
        <f>VLOOKUP(Q1331,[2]PROYECTOS!$V$1:$W$32,2,0)</f>
        <v>050063</v>
      </c>
      <c r="I1331" s="50">
        <v>64190688</v>
      </c>
      <c r="J1331" s="51" t="s">
        <v>405</v>
      </c>
      <c r="K1331" s="47" t="str">
        <f t="shared" ca="1" si="479"/>
        <v>CONTRATADO</v>
      </c>
      <c r="L1331" s="47" t="s">
        <v>94</v>
      </c>
      <c r="M1331" s="47" t="s">
        <v>1297</v>
      </c>
      <c r="N1331" s="52" t="s">
        <v>349</v>
      </c>
      <c r="O1331" s="51" t="e">
        <f>VLOOKUP(N1331,[2]!RUBROS[#All],3,0)</f>
        <v>#REF!</v>
      </c>
      <c r="P1331" s="53" t="e">
        <f>VLOOKUP(N1331,[2]!RUBROS[#All],2,0)</f>
        <v>#REF!</v>
      </c>
      <c r="Q1331" s="47" t="str">
        <f t="shared" si="480"/>
        <v>48</v>
      </c>
      <c r="R1331" s="47" t="str">
        <f t="shared" si="468"/>
        <v>0-205128</v>
      </c>
      <c r="S1331" s="54">
        <v>7</v>
      </c>
      <c r="T1331" s="59" t="s">
        <v>46</v>
      </c>
      <c r="U1331" s="326" t="e">
        <f ca="1">_xlfn.XLOOKUP(PAA_4[[#This Row],[ITEM]],[2]Contrato!A:A,[2]Contrato!Q:Q,"",0)</f>
        <v>#NAME?</v>
      </c>
      <c r="V1331" s="47" t="s">
        <v>47</v>
      </c>
      <c r="W1331" s="47" t="s">
        <v>96</v>
      </c>
      <c r="X1331" s="47" t="s">
        <v>96</v>
      </c>
      <c r="Y1331" s="55" t="e">
        <f ca="1">_xlfn.XLOOKUP(PAA_4[[#This Row],[ITEM]],[2]Contrato!A:A,[2]Contrato!B:B,"",0)</f>
        <v>#NAME?</v>
      </c>
      <c r="Z1331" s="47" t="e">
        <f ca="1">_xlfn.XLOOKUP(PAA_4[[#This Row],[ITEM]],[2]Contrato!A:A,[2]Contrato!G:G,"",0)</f>
        <v>#NAME?</v>
      </c>
      <c r="AA1331" s="47" t="e">
        <f ca="1">_xlfn.XLOOKUP(PAA_4[[#This Row],[ITEM]],[2]Contrato!A:A,[2]Contrato!T:T,"",0)</f>
        <v>#NAME?</v>
      </c>
      <c r="AB1331" s="55" t="e">
        <f ca="1">+MAX(PAA_4[[#This Row],[Comprometido Contrato]],PAA_4[[#This Row],[Comprometido Bolsa]])</f>
        <v>#NAME?</v>
      </c>
      <c r="AC1331" s="55" t="str">
        <f t="shared" ca="1" si="481"/>
        <v/>
      </c>
      <c r="AD1331" s="55" t="e">
        <f ca="1">IF(PAA_4[[#This Row],[ESTADO (formulado)]]="NO CONTRATADO",0,MAX(PAA_4[[#This Row],[Pago por Contrato]],PAA_4[[#This Row],[Pago por bolsa]]))</f>
        <v>#NAME?</v>
      </c>
      <c r="AE1331" s="55" t="str">
        <f t="shared" ca="1" si="482"/>
        <v/>
      </c>
      <c r="AF1331" s="47" t="e">
        <f t="shared" ca="1" si="483"/>
        <v>#NAME?</v>
      </c>
      <c r="AG1331" s="47">
        <f t="shared" si="484"/>
        <v>41080201</v>
      </c>
      <c r="AH1331" s="54">
        <f>IF(Q1331="22",IF(ISNUMBER(SEARCH("econ",PAA_4[[#This Row],[Actividad3]])),"Económico",IF(ISNUMBER(SEARCH("alim",PAA_4[[#This Row],[Actividad3]])),"Alimentación",IF(ISNUMBER(SEARCH("educ",PAA_4[[#This Row],[Actividad3]])),"Educativo","Técnico"))),0)</f>
        <v>0</v>
      </c>
      <c r="AI1331" s="47" t="e" cm="1">
        <f t="array" aca="1" ref="AI1331" ca="1">_xlfn.XLOOKUP(PAA_4[[#This Row],[RCP-RUBRO]],[2]!COMPROMISOS_2024[[#All],[concatenado]],[2]!COMPROMISOS_2024[[#All],[Total pagado]],"",0)</f>
        <v>#NAME?</v>
      </c>
      <c r="AJ1331" s="56">
        <f>IF(PAA_4[[#This Row],[BOLSA]]=0,0,SUMIFS([2]!COMPROMISOS_2024[[#All],[Total pagado]],[2]!COMPROMISOS_2024[[#All],[Bolsa]],PAA_4[[#This Row],[BOLSA]],[2]!COMPROMISOS_2024[[#All],[rubro]],PAA_4[[#This Row],[RCP-RUBRO]]))</f>
        <v>0</v>
      </c>
      <c r="AK1331" s="47" t="e" cm="1">
        <f t="array" aca="1" ref="AK1331" ca="1">_xlfn.XLOOKUP(PAA_4[[#This Row],[RCP-RUBRO]],[2]!COMPROMISOS_2024[[#All],[concatenado]],[2]!COMPROMISOS_2024[[#All],[Total Comprometido]],"",0)</f>
        <v>#NAME?</v>
      </c>
      <c r="AL1331" s="47">
        <f>IF(PAA_4[[#This Row],[BOLSA]]=0,0,SUMIFS([2]!COMPROMISOS_2024[[#All],[Total Comprometido]],[2]!COMPROMISOS_2024[[#All],[Bolsa]],PAA_4[[#This Row],[BOLSA]],[2]!COMPROMISOS_2024[[#All],[concatenado]],PAA_4[[#This Row],[RCP-RUBRO]]))</f>
        <v>0</v>
      </c>
    </row>
    <row r="1332" spans="1:38" s="19" customFormat="1" ht="31.5" customHeight="1">
      <c r="A1332" s="47">
        <v>577</v>
      </c>
      <c r="B1332" s="47">
        <v>80111600</v>
      </c>
      <c r="C1332" s="47" t="str">
        <f>VLOOKUP(PAA_4[[#This Row],[PROYECTO (formulado)2]],[2]PROYECTOS!$G$1:$L$32,6,0)</f>
        <v>SUBGERENCIA DE FOMENTO Y DESARROLLO</v>
      </c>
      <c r="D1332" s="47" t="str">
        <f>+IF(PAA_4[[#This Row],[UNIDAD DE CONTRATACION (formulado)]]="Subgerencia Administrativa y Financiera","FUNCIONAMIENTO","INVERSIÓN")</f>
        <v>INVERSIÓN</v>
      </c>
      <c r="E1332" s="48" t="str">
        <f>VLOOKUP(Q1332,[2]PROYECTOS!$G$1:$K$32,5,0)</f>
        <v>FORTALECIMIENTO_DE_LOS_JUEGOS_DEL_SECTOR_SOCIAL_COMUNITARIO_EN_LOS_MUNICIPIOS_DEL_DEPARTAMENTO_DE_ANTIOQU</v>
      </c>
      <c r="F1332" s="48">
        <f>VLOOKUP(E1332,[2]PROYECTOS!$K$1:$M$32,3,0)</f>
        <v>2020003050033</v>
      </c>
      <c r="G1332" s="49" t="s">
        <v>342</v>
      </c>
      <c r="H1332" s="49" t="str">
        <f>VLOOKUP(Q1332,[2]PROYECTOS!$V$1:$W$32,2,0)</f>
        <v>050057</v>
      </c>
      <c r="I1332" s="50">
        <v>30076784</v>
      </c>
      <c r="J1332" s="51" t="s">
        <v>406</v>
      </c>
      <c r="K1332" s="47" t="str">
        <f t="shared" ca="1" si="479"/>
        <v>CONTRATADO</v>
      </c>
      <c r="L1332" s="47" t="s">
        <v>94</v>
      </c>
      <c r="M1332" s="47" t="s">
        <v>1297</v>
      </c>
      <c r="N1332" s="52" t="s">
        <v>396</v>
      </c>
      <c r="O1332" s="51" t="e">
        <f>VLOOKUP(N1332,[2]!RUBROS[#All],3,0)</f>
        <v>#REF!</v>
      </c>
      <c r="P1332" s="53" t="e">
        <f>VLOOKUP(N1332,[2]!RUBROS[#All],2,0)</f>
        <v>#REF!</v>
      </c>
      <c r="Q1332" s="47" t="str">
        <f t="shared" si="480"/>
        <v>50</v>
      </c>
      <c r="R1332" s="47" t="str">
        <f t="shared" si="468"/>
        <v>0-205128</v>
      </c>
      <c r="S1332" s="54">
        <v>7</v>
      </c>
      <c r="T1332" s="59" t="s">
        <v>46</v>
      </c>
      <c r="U1332" s="326" t="e">
        <f ca="1">_xlfn.XLOOKUP(PAA_4[[#This Row],[ITEM]],[2]Contrato!A:A,[2]Contrato!Q:Q,"",0)</f>
        <v>#NAME?</v>
      </c>
      <c r="V1332" s="47" t="s">
        <v>47</v>
      </c>
      <c r="W1332" s="47" t="s">
        <v>96</v>
      </c>
      <c r="X1332" s="47" t="s">
        <v>96</v>
      </c>
      <c r="Y1332" s="55" t="e">
        <f ca="1">_xlfn.XLOOKUP(PAA_4[[#This Row],[ITEM]],[2]Contrato!A:A,[2]Contrato!B:B,"",0)</f>
        <v>#NAME?</v>
      </c>
      <c r="Z1332" s="47" t="e">
        <f ca="1">_xlfn.XLOOKUP(PAA_4[[#This Row],[ITEM]],[2]Contrato!A:A,[2]Contrato!G:G,"",0)</f>
        <v>#NAME?</v>
      </c>
      <c r="AA1332" s="47" t="e">
        <f ca="1">_xlfn.XLOOKUP(PAA_4[[#This Row],[ITEM]],[2]Contrato!A:A,[2]Contrato!T:T,"",0)</f>
        <v>#NAME?</v>
      </c>
      <c r="AB1332" s="55" t="e">
        <f ca="1">+MAX(PAA_4[[#This Row],[Comprometido Contrato]],PAA_4[[#This Row],[Comprometido Bolsa]])</f>
        <v>#NAME?</v>
      </c>
      <c r="AC1332" s="55" t="str">
        <f t="shared" ca="1" si="481"/>
        <v/>
      </c>
      <c r="AD1332" s="55" t="e">
        <f ca="1">IF(PAA_4[[#This Row],[ESTADO (formulado)]]="NO CONTRATADO",0,MAX(PAA_4[[#This Row],[Pago por Contrato]],PAA_4[[#This Row],[Pago por bolsa]]))</f>
        <v>#NAME?</v>
      </c>
      <c r="AE1332" s="55" t="str">
        <f t="shared" ca="1" si="482"/>
        <v/>
      </c>
      <c r="AF1332" s="47" t="e">
        <f t="shared" ca="1" si="483"/>
        <v>#NAME?</v>
      </c>
      <c r="AG1332" s="47">
        <f t="shared" si="484"/>
        <v>44021010</v>
      </c>
      <c r="AH1332" s="54">
        <f>IF(Q1332="22",IF(ISNUMBER(SEARCH("econ",PAA_4[[#This Row],[Actividad3]])),"Económico",IF(ISNUMBER(SEARCH("alim",PAA_4[[#This Row],[Actividad3]])),"Alimentación",IF(ISNUMBER(SEARCH("educ",PAA_4[[#This Row],[Actividad3]])),"Educativo","Técnico"))),0)</f>
        <v>0</v>
      </c>
      <c r="AI1332" s="47" t="e" cm="1">
        <f t="array" aca="1" ref="AI1332" ca="1">_xlfn.XLOOKUP(PAA_4[[#This Row],[RCP-RUBRO]],[2]!COMPROMISOS_2024[[#All],[concatenado]],[2]!COMPROMISOS_2024[[#All],[Total pagado]],"",0)</f>
        <v>#NAME?</v>
      </c>
      <c r="AJ1332" s="56">
        <f>IF(PAA_4[[#This Row],[BOLSA]]=0,0,SUMIFS([2]!COMPROMISOS_2024[[#All],[Total pagado]],[2]!COMPROMISOS_2024[[#All],[Bolsa]],PAA_4[[#This Row],[BOLSA]],[2]!COMPROMISOS_2024[[#All],[rubro]],PAA_4[[#This Row],[RCP-RUBRO]]))</f>
        <v>0</v>
      </c>
      <c r="AK1332" s="47" t="e" cm="1">
        <f t="array" aca="1" ref="AK1332" ca="1">_xlfn.XLOOKUP(PAA_4[[#This Row],[RCP-RUBRO]],[2]!COMPROMISOS_2024[[#All],[concatenado]],[2]!COMPROMISOS_2024[[#All],[Total Comprometido]],"",0)</f>
        <v>#NAME?</v>
      </c>
      <c r="AL1332" s="47">
        <f>IF(PAA_4[[#This Row],[BOLSA]]=0,0,SUMIFS([2]!COMPROMISOS_2024[[#All],[Total Comprometido]],[2]!COMPROMISOS_2024[[#All],[Bolsa]],PAA_4[[#This Row],[BOLSA]],[2]!COMPROMISOS_2024[[#All],[concatenado]],PAA_4[[#This Row],[RCP-RUBRO]]))</f>
        <v>0</v>
      </c>
    </row>
    <row r="1333" spans="1:38" s="19" customFormat="1" ht="31.5" customHeight="1">
      <c r="A1333" s="47">
        <v>577</v>
      </c>
      <c r="B1333" s="47">
        <v>80111600</v>
      </c>
      <c r="C1333" s="47" t="str">
        <f>VLOOKUP(PAA_4[[#This Row],[PROYECTO (formulado)2]],[2]PROYECTOS!$G$1:$L$32,6,0)</f>
        <v>SUBGERENCIA DE FOMENTO Y DESARROLLO</v>
      </c>
      <c r="D1333" s="47" t="str">
        <f>+IF(PAA_4[[#This Row],[UNIDAD DE CONTRATACION (formulado)]]="Subgerencia Administrativa y Financiera","FUNCIONAMIENTO","INVERSIÓN")</f>
        <v>INVERSIÓN</v>
      </c>
      <c r="E1333" s="48" t="str">
        <f>VLOOKUP(Q1333,[2]PROYECTOS!$G$1:$K$32,5,0)</f>
        <v>FORTALECIMIENTO_DE_LOS_JUEGOS_DEL_SECTOR_EDUCATIVO_EN_ANTIOQUIA</v>
      </c>
      <c r="F1333" s="48">
        <f>VLOOKUP(E1333,[2]PROYECTOS!$K$1:$M$32,3,0)</f>
        <v>2020003050034</v>
      </c>
      <c r="G1333" s="49" t="s">
        <v>340</v>
      </c>
      <c r="H1333" s="49" t="str">
        <f>VLOOKUP(Q1333,[2]PROYECTOS!$V$1:$W$32,2,0)</f>
        <v>050053</v>
      </c>
      <c r="I1333" s="50">
        <v>30076783</v>
      </c>
      <c r="J1333" s="51" t="s">
        <v>406</v>
      </c>
      <c r="K1333" s="47" t="str">
        <f t="shared" ca="1" si="479"/>
        <v>CONTRATADO</v>
      </c>
      <c r="L1333" s="47" t="s">
        <v>94</v>
      </c>
      <c r="M1333" s="47" t="s">
        <v>1297</v>
      </c>
      <c r="N1333" s="52" t="s">
        <v>144</v>
      </c>
      <c r="O1333" s="51" t="e">
        <f>VLOOKUP(N1333,[2]!RUBROS[#All],3,0)</f>
        <v>#REF!</v>
      </c>
      <c r="P1333" s="53" t="e">
        <f>VLOOKUP(N1333,[2]!RUBROS[#All],2,0)</f>
        <v>#REF!</v>
      </c>
      <c r="Q1333" s="47" t="str">
        <f t="shared" si="480"/>
        <v>51</v>
      </c>
      <c r="R1333" s="47" t="str">
        <f t="shared" si="468"/>
        <v>0-205128</v>
      </c>
      <c r="S1333" s="54">
        <v>7</v>
      </c>
      <c r="T1333" s="59" t="s">
        <v>46</v>
      </c>
      <c r="U1333" s="326" t="e">
        <f ca="1">_xlfn.XLOOKUP(PAA_4[[#This Row],[ITEM]],[2]Contrato!A:A,[2]Contrato!Q:Q,"",0)</f>
        <v>#NAME?</v>
      </c>
      <c r="V1333" s="47" t="s">
        <v>47</v>
      </c>
      <c r="W1333" s="47" t="s">
        <v>96</v>
      </c>
      <c r="X1333" s="47" t="s">
        <v>96</v>
      </c>
      <c r="Y1333" s="55" t="e">
        <f ca="1">_xlfn.XLOOKUP(PAA_4[[#This Row],[ITEM]],[2]Contrato!A:A,[2]Contrato!B:B,"",0)</f>
        <v>#NAME?</v>
      </c>
      <c r="Z1333" s="47" t="e">
        <f ca="1">_xlfn.XLOOKUP(PAA_4[[#This Row],[ITEM]],[2]Contrato!A:A,[2]Contrato!G:G,"",0)</f>
        <v>#NAME?</v>
      </c>
      <c r="AA1333" s="47" t="e">
        <f ca="1">_xlfn.XLOOKUP(PAA_4[[#This Row],[ITEM]],[2]Contrato!A:A,[2]Contrato!T:T,"",0)</f>
        <v>#NAME?</v>
      </c>
      <c r="AB1333" s="55" t="e">
        <f ca="1">+MAX(PAA_4[[#This Row],[Comprometido Contrato]],PAA_4[[#This Row],[Comprometido Bolsa]])</f>
        <v>#NAME?</v>
      </c>
      <c r="AC1333" s="55" t="str">
        <f t="shared" ca="1" si="481"/>
        <v/>
      </c>
      <c r="AD1333" s="55" t="e">
        <f ca="1">IF(PAA_4[[#This Row],[ESTADO (formulado)]]="NO CONTRATADO",0,MAX(PAA_4[[#This Row],[Pago por Contrato]],PAA_4[[#This Row],[Pago por bolsa]]))</f>
        <v>#NAME?</v>
      </c>
      <c r="AE1333" s="55" t="str">
        <f t="shared" ca="1" si="482"/>
        <v/>
      </c>
      <c r="AF1333" s="47" t="e">
        <f t="shared" ca="1" si="483"/>
        <v>#NAME?</v>
      </c>
      <c r="AG1333" s="47">
        <f t="shared" si="484"/>
        <v>44021011</v>
      </c>
      <c r="AH1333" s="54">
        <f>IF(Q1333="22",IF(ISNUMBER(SEARCH("econ",PAA_4[[#This Row],[Actividad3]])),"Económico",IF(ISNUMBER(SEARCH("alim",PAA_4[[#This Row],[Actividad3]])),"Alimentación",IF(ISNUMBER(SEARCH("educ",PAA_4[[#This Row],[Actividad3]])),"Educativo","Técnico"))),0)</f>
        <v>0</v>
      </c>
      <c r="AI1333" s="47" t="e" cm="1">
        <f t="array" aca="1" ref="AI1333" ca="1">_xlfn.XLOOKUP(PAA_4[[#This Row],[RCP-RUBRO]],[2]!COMPROMISOS_2024[[#All],[concatenado]],[2]!COMPROMISOS_2024[[#All],[Total pagado]],"",0)</f>
        <v>#NAME?</v>
      </c>
      <c r="AJ1333" s="56">
        <f>IF(PAA_4[[#This Row],[BOLSA]]=0,0,SUMIFS([2]!COMPROMISOS_2024[[#All],[Total pagado]],[2]!COMPROMISOS_2024[[#All],[Bolsa]],PAA_4[[#This Row],[BOLSA]],[2]!COMPROMISOS_2024[[#All],[rubro]],PAA_4[[#This Row],[RCP-RUBRO]]))</f>
        <v>0</v>
      </c>
      <c r="AK1333" s="47" t="e" cm="1">
        <f t="array" aca="1" ref="AK1333" ca="1">_xlfn.XLOOKUP(PAA_4[[#This Row],[RCP-RUBRO]],[2]!COMPROMISOS_2024[[#All],[concatenado]],[2]!COMPROMISOS_2024[[#All],[Total Comprometido]],"",0)</f>
        <v>#NAME?</v>
      </c>
      <c r="AL1333" s="47">
        <f>IF(PAA_4[[#This Row],[BOLSA]]=0,0,SUMIFS([2]!COMPROMISOS_2024[[#All],[Total Comprometido]],[2]!COMPROMISOS_2024[[#All],[Bolsa]],PAA_4[[#This Row],[BOLSA]],[2]!COMPROMISOS_2024[[#All],[concatenado]],PAA_4[[#This Row],[RCP-RUBRO]]))</f>
        <v>0</v>
      </c>
    </row>
    <row r="1334" spans="1:38" s="19" customFormat="1" ht="31.5" customHeight="1">
      <c r="A1334" s="47">
        <v>578</v>
      </c>
      <c r="B1334" s="47">
        <v>80111600</v>
      </c>
      <c r="C1334" s="47" t="str">
        <f>VLOOKUP(PAA_4[[#This Row],[PROYECTO (formulado)2]],[2]PROYECTOS!$G$1:$L$32,6,0)</f>
        <v>SUBGERENCIA DE FOMENTO Y DESARROLLO</v>
      </c>
      <c r="D1334" s="47" t="str">
        <f>+IF(PAA_4[[#This Row],[UNIDAD DE CONTRATACION (formulado)]]="Subgerencia Administrativa y Financiera","FUNCIONAMIENTO","INVERSIÓN")</f>
        <v>INVERSIÓN</v>
      </c>
      <c r="E1334" s="48" t="str">
        <f>VLOOKUP(Q1334,[2]PROYECTOS!$G$1:$K$32,5,0)</f>
        <v>FORTALECIMIENTO_DE_LOS_JUEGOS_DEL_SECTOR_SOCIAL_COMUNITARIO_EN_LOS_MUNICIPIOS_DEL_DEPARTAMENTO_DE_ANTIOQU</v>
      </c>
      <c r="F1334" s="48">
        <f>VLOOKUP(E1334,[2]PROYECTOS!$K$1:$M$32,3,0)</f>
        <v>2020003050033</v>
      </c>
      <c r="G1334" s="49" t="s">
        <v>342</v>
      </c>
      <c r="H1334" s="49" t="str">
        <f>VLOOKUP(Q1334,[2]PROYECTOS!$V$1:$W$32,2,0)</f>
        <v>050057</v>
      </c>
      <c r="I1334" s="50">
        <v>30076784</v>
      </c>
      <c r="J1334" s="51" t="s">
        <v>407</v>
      </c>
      <c r="K1334" s="47" t="str">
        <f t="shared" ca="1" si="479"/>
        <v>CONTRATADO</v>
      </c>
      <c r="L1334" s="47" t="s">
        <v>94</v>
      </c>
      <c r="M1334" s="47" t="s">
        <v>1297</v>
      </c>
      <c r="N1334" s="52" t="s">
        <v>396</v>
      </c>
      <c r="O1334" s="51" t="e">
        <f>VLOOKUP(N1334,[2]!RUBROS[#All],3,0)</f>
        <v>#REF!</v>
      </c>
      <c r="P1334" s="53" t="e">
        <f>VLOOKUP(N1334,[2]!RUBROS[#All],2,0)</f>
        <v>#REF!</v>
      </c>
      <c r="Q1334" s="47" t="str">
        <f t="shared" si="480"/>
        <v>50</v>
      </c>
      <c r="R1334" s="47" t="str">
        <f t="shared" si="468"/>
        <v>0-205128</v>
      </c>
      <c r="S1334" s="54">
        <v>7</v>
      </c>
      <c r="T1334" s="59" t="s">
        <v>46</v>
      </c>
      <c r="U1334" s="326" t="e">
        <f ca="1">_xlfn.XLOOKUP(PAA_4[[#This Row],[ITEM]],[2]Contrato!A:A,[2]Contrato!Q:Q,"",0)</f>
        <v>#NAME?</v>
      </c>
      <c r="V1334" s="47" t="s">
        <v>47</v>
      </c>
      <c r="W1334" s="47" t="s">
        <v>96</v>
      </c>
      <c r="X1334" s="47" t="s">
        <v>96</v>
      </c>
      <c r="Y1334" s="55" t="e">
        <f ca="1">_xlfn.XLOOKUP(PAA_4[[#This Row],[ITEM]],[2]Contrato!A:A,[2]Contrato!B:B,"",0)</f>
        <v>#NAME?</v>
      </c>
      <c r="Z1334" s="47" t="e">
        <f ca="1">_xlfn.XLOOKUP(PAA_4[[#This Row],[ITEM]],[2]Contrato!A:A,[2]Contrato!G:G,"",0)</f>
        <v>#NAME?</v>
      </c>
      <c r="AA1334" s="47" t="e">
        <f ca="1">_xlfn.XLOOKUP(PAA_4[[#This Row],[ITEM]],[2]Contrato!A:A,[2]Contrato!T:T,"",0)</f>
        <v>#NAME?</v>
      </c>
      <c r="AB1334" s="55" t="e">
        <f ca="1">+MAX(PAA_4[[#This Row],[Comprometido Contrato]],PAA_4[[#This Row],[Comprometido Bolsa]])</f>
        <v>#NAME?</v>
      </c>
      <c r="AC1334" s="55" t="str">
        <f t="shared" ca="1" si="481"/>
        <v/>
      </c>
      <c r="AD1334" s="55" t="e">
        <f ca="1">IF(PAA_4[[#This Row],[ESTADO (formulado)]]="NO CONTRATADO",0,MAX(PAA_4[[#This Row],[Pago por Contrato]],PAA_4[[#This Row],[Pago por bolsa]]))</f>
        <v>#NAME?</v>
      </c>
      <c r="AE1334" s="55" t="str">
        <f t="shared" ca="1" si="482"/>
        <v/>
      </c>
      <c r="AF1334" s="47" t="e">
        <f t="shared" ca="1" si="483"/>
        <v>#NAME?</v>
      </c>
      <c r="AG1334" s="47">
        <f t="shared" si="484"/>
        <v>44021010</v>
      </c>
      <c r="AH1334" s="54">
        <f>IF(Q1334="22",IF(ISNUMBER(SEARCH("econ",PAA_4[[#This Row],[Actividad3]])),"Económico",IF(ISNUMBER(SEARCH("alim",PAA_4[[#This Row],[Actividad3]])),"Alimentación",IF(ISNUMBER(SEARCH("educ",PAA_4[[#This Row],[Actividad3]])),"Educativo","Técnico"))),0)</f>
        <v>0</v>
      </c>
      <c r="AI1334" s="47" t="e" cm="1">
        <f t="array" aca="1" ref="AI1334" ca="1">_xlfn.XLOOKUP(PAA_4[[#This Row],[RCP-RUBRO]],[2]!COMPROMISOS_2024[[#All],[concatenado]],[2]!COMPROMISOS_2024[[#All],[Total pagado]],"",0)</f>
        <v>#NAME?</v>
      </c>
      <c r="AJ1334" s="56">
        <f>IF(PAA_4[[#This Row],[BOLSA]]=0,0,SUMIFS([2]!COMPROMISOS_2024[[#All],[Total pagado]],[2]!COMPROMISOS_2024[[#All],[Bolsa]],PAA_4[[#This Row],[BOLSA]],[2]!COMPROMISOS_2024[[#All],[rubro]],PAA_4[[#This Row],[RCP-RUBRO]]))</f>
        <v>0</v>
      </c>
      <c r="AK1334" s="47" t="e" cm="1">
        <f t="array" aca="1" ref="AK1334" ca="1">_xlfn.XLOOKUP(PAA_4[[#This Row],[RCP-RUBRO]],[2]!COMPROMISOS_2024[[#All],[concatenado]],[2]!COMPROMISOS_2024[[#All],[Total Comprometido]],"",0)</f>
        <v>#NAME?</v>
      </c>
      <c r="AL1334" s="47">
        <f>IF(PAA_4[[#This Row],[BOLSA]]=0,0,SUMIFS([2]!COMPROMISOS_2024[[#All],[Total Comprometido]],[2]!COMPROMISOS_2024[[#All],[Bolsa]],PAA_4[[#This Row],[BOLSA]],[2]!COMPROMISOS_2024[[#All],[concatenado]],PAA_4[[#This Row],[RCP-RUBRO]]))</f>
        <v>0</v>
      </c>
    </row>
    <row r="1335" spans="1:38" s="19" customFormat="1" ht="31.5" customHeight="1">
      <c r="A1335" s="47">
        <v>578</v>
      </c>
      <c r="B1335" s="47">
        <v>80111600</v>
      </c>
      <c r="C1335" s="47" t="str">
        <f>VLOOKUP(PAA_4[[#This Row],[PROYECTO (formulado)2]],[2]PROYECTOS!$G$1:$L$32,6,0)</f>
        <v>SUBGERENCIA DE FOMENTO Y DESARROLLO</v>
      </c>
      <c r="D1335" s="47" t="str">
        <f>+IF(PAA_4[[#This Row],[UNIDAD DE CONTRATACION (formulado)]]="Subgerencia Administrativa y Financiera","FUNCIONAMIENTO","INVERSIÓN")</f>
        <v>INVERSIÓN</v>
      </c>
      <c r="E1335" s="48" t="str">
        <f>VLOOKUP(Q1335,[2]PROYECTOS!$G$1:$K$32,5,0)</f>
        <v>FORTALECIMIENTO_DE_LOS_JUEGOS_DEL_SECTOR_EDUCATIVO_EN_ANTIOQUIA</v>
      </c>
      <c r="F1335" s="48">
        <f>VLOOKUP(E1335,[2]PROYECTOS!$K$1:$M$32,3,0)</f>
        <v>2020003050034</v>
      </c>
      <c r="G1335" s="49" t="s">
        <v>340</v>
      </c>
      <c r="H1335" s="49" t="str">
        <f>VLOOKUP(Q1335,[2]PROYECTOS!$V$1:$W$32,2,0)</f>
        <v>050053</v>
      </c>
      <c r="I1335" s="50">
        <v>30076783</v>
      </c>
      <c r="J1335" s="51" t="s">
        <v>407</v>
      </c>
      <c r="K1335" s="47" t="str">
        <f t="shared" ca="1" si="479"/>
        <v>CONTRATADO</v>
      </c>
      <c r="L1335" s="47" t="s">
        <v>94</v>
      </c>
      <c r="M1335" s="47" t="s">
        <v>1297</v>
      </c>
      <c r="N1335" s="52" t="s">
        <v>144</v>
      </c>
      <c r="O1335" s="51" t="e">
        <f>VLOOKUP(N1335,[2]!RUBROS[#All],3,0)</f>
        <v>#REF!</v>
      </c>
      <c r="P1335" s="53" t="e">
        <f>VLOOKUP(N1335,[2]!RUBROS[#All],2,0)</f>
        <v>#REF!</v>
      </c>
      <c r="Q1335" s="47" t="str">
        <f t="shared" si="480"/>
        <v>51</v>
      </c>
      <c r="R1335" s="47" t="str">
        <f t="shared" si="468"/>
        <v>0-205128</v>
      </c>
      <c r="S1335" s="54">
        <v>7</v>
      </c>
      <c r="T1335" s="59" t="s">
        <v>46</v>
      </c>
      <c r="U1335" s="326" t="e">
        <f ca="1">_xlfn.XLOOKUP(PAA_4[[#This Row],[ITEM]],[2]Contrato!A:A,[2]Contrato!Q:Q,"",0)</f>
        <v>#NAME?</v>
      </c>
      <c r="V1335" s="47" t="s">
        <v>47</v>
      </c>
      <c r="W1335" s="47" t="s">
        <v>96</v>
      </c>
      <c r="X1335" s="47" t="s">
        <v>96</v>
      </c>
      <c r="Y1335" s="55" t="e">
        <f ca="1">_xlfn.XLOOKUP(PAA_4[[#This Row],[ITEM]],[2]Contrato!A:A,[2]Contrato!B:B,"",0)</f>
        <v>#NAME?</v>
      </c>
      <c r="Z1335" s="47" t="e">
        <f ca="1">_xlfn.XLOOKUP(PAA_4[[#This Row],[ITEM]],[2]Contrato!A:A,[2]Contrato!G:G,"",0)</f>
        <v>#NAME?</v>
      </c>
      <c r="AA1335" s="47" t="e">
        <f ca="1">_xlfn.XLOOKUP(PAA_4[[#This Row],[ITEM]],[2]Contrato!A:A,[2]Contrato!T:T,"",0)</f>
        <v>#NAME?</v>
      </c>
      <c r="AB1335" s="55" t="e">
        <f ca="1">+MAX(PAA_4[[#This Row],[Comprometido Contrato]],PAA_4[[#This Row],[Comprometido Bolsa]])</f>
        <v>#NAME?</v>
      </c>
      <c r="AC1335" s="55" t="str">
        <f t="shared" ca="1" si="481"/>
        <v/>
      </c>
      <c r="AD1335" s="55" t="e">
        <f ca="1">IF(PAA_4[[#This Row],[ESTADO (formulado)]]="NO CONTRATADO",0,MAX(PAA_4[[#This Row],[Pago por Contrato]],PAA_4[[#This Row],[Pago por bolsa]]))</f>
        <v>#NAME?</v>
      </c>
      <c r="AE1335" s="55" t="str">
        <f t="shared" ca="1" si="482"/>
        <v/>
      </c>
      <c r="AF1335" s="47" t="e">
        <f t="shared" ca="1" si="483"/>
        <v>#NAME?</v>
      </c>
      <c r="AG1335" s="47">
        <f t="shared" si="484"/>
        <v>44021011</v>
      </c>
      <c r="AH1335" s="54">
        <f>IF(Q1335="22",IF(ISNUMBER(SEARCH("econ",PAA_4[[#This Row],[Actividad3]])),"Económico",IF(ISNUMBER(SEARCH("alim",PAA_4[[#This Row],[Actividad3]])),"Alimentación",IF(ISNUMBER(SEARCH("educ",PAA_4[[#This Row],[Actividad3]])),"Educativo","Técnico"))),0)</f>
        <v>0</v>
      </c>
      <c r="AI1335" s="47" t="e" cm="1">
        <f t="array" aca="1" ref="AI1335" ca="1">_xlfn.XLOOKUP(PAA_4[[#This Row],[RCP-RUBRO]],[2]!COMPROMISOS_2024[[#All],[concatenado]],[2]!COMPROMISOS_2024[[#All],[Total pagado]],"",0)</f>
        <v>#NAME?</v>
      </c>
      <c r="AJ1335" s="56">
        <f>IF(PAA_4[[#This Row],[BOLSA]]=0,0,SUMIFS([2]!COMPROMISOS_2024[[#All],[Total pagado]],[2]!COMPROMISOS_2024[[#All],[Bolsa]],PAA_4[[#This Row],[BOLSA]],[2]!COMPROMISOS_2024[[#All],[rubro]],PAA_4[[#This Row],[RCP-RUBRO]]))</f>
        <v>0</v>
      </c>
      <c r="AK1335" s="47" t="e" cm="1">
        <f t="array" aca="1" ref="AK1335" ca="1">_xlfn.XLOOKUP(PAA_4[[#This Row],[RCP-RUBRO]],[2]!COMPROMISOS_2024[[#All],[concatenado]],[2]!COMPROMISOS_2024[[#All],[Total Comprometido]],"",0)</f>
        <v>#NAME?</v>
      </c>
      <c r="AL1335" s="47">
        <f>IF(PAA_4[[#This Row],[BOLSA]]=0,0,SUMIFS([2]!COMPROMISOS_2024[[#All],[Total Comprometido]],[2]!COMPROMISOS_2024[[#All],[Bolsa]],PAA_4[[#This Row],[BOLSA]],[2]!COMPROMISOS_2024[[#All],[concatenado]],PAA_4[[#This Row],[RCP-RUBRO]]))</f>
        <v>0</v>
      </c>
    </row>
    <row r="1336" spans="1:38" s="19" customFormat="1" ht="31.5" customHeight="1">
      <c r="A1336" s="47">
        <v>579</v>
      </c>
      <c r="B1336" s="47">
        <v>80111600</v>
      </c>
      <c r="C1336" s="47" t="str">
        <f>VLOOKUP(PAA_4[[#This Row],[PROYECTO (formulado)2]],[2]PROYECTOS!$G$1:$L$32,6,0)</f>
        <v>SUBGERENCIA DE FOMENTO Y DESARROLLO</v>
      </c>
      <c r="D1336" s="47" t="str">
        <f>+IF(PAA_4[[#This Row],[UNIDAD DE CONTRATACION (formulado)]]="Subgerencia Administrativa y Financiera","FUNCIONAMIENTO","INVERSIÓN")</f>
        <v>INVERSIÓN</v>
      </c>
      <c r="E1336" s="48" t="str">
        <f>VLOOKUP(Q1336,[2]PROYECTOS!$G$1:$K$32,5,0)</f>
        <v>FORTALECIMIENTO_DE_LOS_JUEGOS_DEL_SECTOR_SOCIAL_COMUNITARIO_EN_LOS_MUNICIPIOS_DEL_DEPARTAMENTO_DE_ANTIOQU</v>
      </c>
      <c r="F1336" s="48">
        <f>VLOOKUP(E1336,[2]PROYECTOS!$K$1:$M$32,3,0)</f>
        <v>2020003050033</v>
      </c>
      <c r="G1336" s="49" t="s">
        <v>342</v>
      </c>
      <c r="H1336" s="49" t="str">
        <f>VLOOKUP(Q1336,[2]PROYECTOS!$V$1:$W$32,2,0)</f>
        <v>050057</v>
      </c>
      <c r="I1336" s="50">
        <v>18701214</v>
      </c>
      <c r="J1336" s="51" t="s">
        <v>408</v>
      </c>
      <c r="K1336" s="47" t="str">
        <f t="shared" ca="1" si="479"/>
        <v>CONTRATADO</v>
      </c>
      <c r="L1336" s="47" t="s">
        <v>94</v>
      </c>
      <c r="M1336" s="47" t="s">
        <v>1297</v>
      </c>
      <c r="N1336" s="52" t="s">
        <v>396</v>
      </c>
      <c r="O1336" s="51" t="e">
        <f>VLOOKUP(N1336,[2]!RUBROS[#All],3,0)</f>
        <v>#REF!</v>
      </c>
      <c r="P1336" s="53" t="e">
        <f>VLOOKUP(N1336,[2]!RUBROS[#All],2,0)</f>
        <v>#REF!</v>
      </c>
      <c r="Q1336" s="47" t="str">
        <f t="shared" si="480"/>
        <v>50</v>
      </c>
      <c r="R1336" s="47" t="str">
        <f t="shared" si="468"/>
        <v>0-205128</v>
      </c>
      <c r="S1336" s="54">
        <v>7</v>
      </c>
      <c r="T1336" s="59" t="s">
        <v>46</v>
      </c>
      <c r="U1336" s="326" t="e">
        <f ca="1">_xlfn.XLOOKUP(PAA_4[[#This Row],[ITEM]],[2]Contrato!A:A,[2]Contrato!Q:Q,"",0)</f>
        <v>#NAME?</v>
      </c>
      <c r="V1336" s="47" t="s">
        <v>47</v>
      </c>
      <c r="W1336" s="47" t="s">
        <v>96</v>
      </c>
      <c r="X1336" s="47" t="s">
        <v>96</v>
      </c>
      <c r="Y1336" s="55" t="e">
        <f ca="1">_xlfn.XLOOKUP(PAA_4[[#This Row],[ITEM]],[2]Contrato!A:A,[2]Contrato!B:B,"",0)</f>
        <v>#NAME?</v>
      </c>
      <c r="Z1336" s="47" t="e">
        <f ca="1">_xlfn.XLOOKUP(PAA_4[[#This Row],[ITEM]],[2]Contrato!A:A,[2]Contrato!G:G,"",0)</f>
        <v>#NAME?</v>
      </c>
      <c r="AA1336" s="47" t="e">
        <f ca="1">_xlfn.XLOOKUP(PAA_4[[#This Row],[ITEM]],[2]Contrato!A:A,[2]Contrato!T:T,"",0)</f>
        <v>#NAME?</v>
      </c>
      <c r="AB1336" s="55" t="e">
        <f ca="1">+MAX(PAA_4[[#This Row],[Comprometido Contrato]],PAA_4[[#This Row],[Comprometido Bolsa]])</f>
        <v>#NAME?</v>
      </c>
      <c r="AC1336" s="55" t="str">
        <f t="shared" ca="1" si="481"/>
        <v/>
      </c>
      <c r="AD1336" s="55" t="e">
        <f ca="1">IF(PAA_4[[#This Row],[ESTADO (formulado)]]="NO CONTRATADO",0,MAX(PAA_4[[#This Row],[Pago por Contrato]],PAA_4[[#This Row],[Pago por bolsa]]))</f>
        <v>#NAME?</v>
      </c>
      <c r="AE1336" s="55" t="str">
        <f t="shared" ca="1" si="482"/>
        <v/>
      </c>
      <c r="AF1336" s="47" t="e">
        <f t="shared" ca="1" si="483"/>
        <v>#NAME?</v>
      </c>
      <c r="AG1336" s="47">
        <f t="shared" si="484"/>
        <v>44021010</v>
      </c>
      <c r="AH1336" s="54">
        <f>IF(Q1336="22",IF(ISNUMBER(SEARCH("econ",PAA_4[[#This Row],[Actividad3]])),"Económico",IF(ISNUMBER(SEARCH("alim",PAA_4[[#This Row],[Actividad3]])),"Alimentación",IF(ISNUMBER(SEARCH("educ",PAA_4[[#This Row],[Actividad3]])),"Educativo","Técnico"))),0)</f>
        <v>0</v>
      </c>
      <c r="AI1336" s="47" t="e" cm="1">
        <f t="array" aca="1" ref="AI1336" ca="1">_xlfn.XLOOKUP(PAA_4[[#This Row],[RCP-RUBRO]],[2]!COMPROMISOS_2024[[#All],[concatenado]],[2]!COMPROMISOS_2024[[#All],[Total pagado]],"",0)</f>
        <v>#NAME?</v>
      </c>
      <c r="AJ1336" s="56">
        <f>IF(PAA_4[[#This Row],[BOLSA]]=0,0,SUMIFS([2]!COMPROMISOS_2024[[#All],[Total pagado]],[2]!COMPROMISOS_2024[[#All],[Bolsa]],PAA_4[[#This Row],[BOLSA]],[2]!COMPROMISOS_2024[[#All],[rubro]],PAA_4[[#This Row],[RCP-RUBRO]]))</f>
        <v>0</v>
      </c>
      <c r="AK1336" s="47" t="e" cm="1">
        <f t="array" aca="1" ref="AK1336" ca="1">_xlfn.XLOOKUP(PAA_4[[#This Row],[RCP-RUBRO]],[2]!COMPROMISOS_2024[[#All],[concatenado]],[2]!COMPROMISOS_2024[[#All],[Total Comprometido]],"",0)</f>
        <v>#NAME?</v>
      </c>
      <c r="AL1336" s="47">
        <f>IF(PAA_4[[#This Row],[BOLSA]]=0,0,SUMIFS([2]!COMPROMISOS_2024[[#All],[Total Comprometido]],[2]!COMPROMISOS_2024[[#All],[Bolsa]],PAA_4[[#This Row],[BOLSA]],[2]!COMPROMISOS_2024[[#All],[concatenado]],PAA_4[[#This Row],[RCP-RUBRO]]))</f>
        <v>0</v>
      </c>
    </row>
    <row r="1337" spans="1:38" s="19" customFormat="1" ht="31.5" customHeight="1">
      <c r="A1337" s="47">
        <v>579</v>
      </c>
      <c r="B1337" s="47">
        <v>80111600</v>
      </c>
      <c r="C1337" s="47" t="str">
        <f>VLOOKUP(PAA_4[[#This Row],[PROYECTO (formulado)2]],[2]PROYECTOS!$G$1:$L$32,6,0)</f>
        <v>SUBGERENCIA DE FOMENTO Y DESARROLLO</v>
      </c>
      <c r="D1337" s="47" t="str">
        <f>+IF(PAA_4[[#This Row],[UNIDAD DE CONTRATACION (formulado)]]="Subgerencia Administrativa y Financiera","FUNCIONAMIENTO","INVERSIÓN")</f>
        <v>INVERSIÓN</v>
      </c>
      <c r="E1337" s="48" t="str">
        <f>VLOOKUP(Q1337,[2]PROYECTOS!$G$1:$K$32,5,0)</f>
        <v>FORTALECIMIENTO_DE_LOS_JUEGOS_DEL_SECTOR_EDUCATIVO_EN_ANTIOQUIA</v>
      </c>
      <c r="F1337" s="48">
        <f>VLOOKUP(E1337,[2]PROYECTOS!$K$1:$M$32,3,0)</f>
        <v>2020003050034</v>
      </c>
      <c r="G1337" s="49" t="s">
        <v>340</v>
      </c>
      <c r="H1337" s="49" t="str">
        <f>VLOOKUP(Q1337,[2]PROYECTOS!$V$1:$W$32,2,0)</f>
        <v>050053</v>
      </c>
      <c r="I1337" s="50">
        <v>18701213</v>
      </c>
      <c r="J1337" s="51" t="s">
        <v>408</v>
      </c>
      <c r="K1337" s="47" t="str">
        <f t="shared" ca="1" si="479"/>
        <v>CONTRATADO</v>
      </c>
      <c r="L1337" s="47" t="s">
        <v>94</v>
      </c>
      <c r="M1337" s="47" t="s">
        <v>1297</v>
      </c>
      <c r="N1337" s="52" t="s">
        <v>144</v>
      </c>
      <c r="O1337" s="51" t="e">
        <f>VLOOKUP(N1337,[2]!RUBROS[#All],3,0)</f>
        <v>#REF!</v>
      </c>
      <c r="P1337" s="53" t="e">
        <f>VLOOKUP(N1337,[2]!RUBROS[#All],2,0)</f>
        <v>#REF!</v>
      </c>
      <c r="Q1337" s="47" t="str">
        <f t="shared" si="480"/>
        <v>51</v>
      </c>
      <c r="R1337" s="47" t="str">
        <f t="shared" si="468"/>
        <v>0-205128</v>
      </c>
      <c r="S1337" s="54">
        <v>7</v>
      </c>
      <c r="T1337" s="59" t="s">
        <v>46</v>
      </c>
      <c r="U1337" s="326" t="e">
        <f ca="1">_xlfn.XLOOKUP(PAA_4[[#This Row],[ITEM]],[2]Contrato!A:A,[2]Contrato!Q:Q,"",0)</f>
        <v>#NAME?</v>
      </c>
      <c r="V1337" s="47" t="s">
        <v>47</v>
      </c>
      <c r="W1337" s="47" t="s">
        <v>96</v>
      </c>
      <c r="X1337" s="47" t="s">
        <v>96</v>
      </c>
      <c r="Y1337" s="55" t="e">
        <f ca="1">_xlfn.XLOOKUP(PAA_4[[#This Row],[ITEM]],[2]Contrato!A:A,[2]Contrato!B:B,"",0)</f>
        <v>#NAME?</v>
      </c>
      <c r="Z1337" s="47" t="e">
        <f ca="1">_xlfn.XLOOKUP(PAA_4[[#This Row],[ITEM]],[2]Contrato!A:A,[2]Contrato!G:G,"",0)</f>
        <v>#NAME?</v>
      </c>
      <c r="AA1337" s="47" t="e">
        <f ca="1">_xlfn.XLOOKUP(PAA_4[[#This Row],[ITEM]],[2]Contrato!A:A,[2]Contrato!T:T,"",0)</f>
        <v>#NAME?</v>
      </c>
      <c r="AB1337" s="55" t="e">
        <f ca="1">+MAX(PAA_4[[#This Row],[Comprometido Contrato]],PAA_4[[#This Row],[Comprometido Bolsa]])</f>
        <v>#NAME?</v>
      </c>
      <c r="AC1337" s="55" t="str">
        <f t="shared" ca="1" si="481"/>
        <v/>
      </c>
      <c r="AD1337" s="55" t="e">
        <f ca="1">IF(PAA_4[[#This Row],[ESTADO (formulado)]]="NO CONTRATADO",0,MAX(PAA_4[[#This Row],[Pago por Contrato]],PAA_4[[#This Row],[Pago por bolsa]]))</f>
        <v>#NAME?</v>
      </c>
      <c r="AE1337" s="55" t="str">
        <f t="shared" ca="1" si="482"/>
        <v/>
      </c>
      <c r="AF1337" s="47" t="e">
        <f t="shared" ca="1" si="483"/>
        <v>#NAME?</v>
      </c>
      <c r="AG1337" s="47">
        <f t="shared" si="484"/>
        <v>44021011</v>
      </c>
      <c r="AH1337" s="54">
        <f>IF(Q1337="22",IF(ISNUMBER(SEARCH("econ",PAA_4[[#This Row],[Actividad3]])),"Económico",IF(ISNUMBER(SEARCH("alim",PAA_4[[#This Row],[Actividad3]])),"Alimentación",IF(ISNUMBER(SEARCH("educ",PAA_4[[#This Row],[Actividad3]])),"Educativo","Técnico"))),0)</f>
        <v>0</v>
      </c>
      <c r="AI1337" s="47" t="e" cm="1">
        <f t="array" aca="1" ref="AI1337" ca="1">_xlfn.XLOOKUP(PAA_4[[#This Row],[RCP-RUBRO]],[2]!COMPROMISOS_2024[[#All],[concatenado]],[2]!COMPROMISOS_2024[[#All],[Total pagado]],"",0)</f>
        <v>#NAME?</v>
      </c>
      <c r="AJ1337" s="56">
        <f>IF(PAA_4[[#This Row],[BOLSA]]=0,0,SUMIFS([2]!COMPROMISOS_2024[[#All],[Total pagado]],[2]!COMPROMISOS_2024[[#All],[Bolsa]],PAA_4[[#This Row],[BOLSA]],[2]!COMPROMISOS_2024[[#All],[rubro]],PAA_4[[#This Row],[RCP-RUBRO]]))</f>
        <v>0</v>
      </c>
      <c r="AK1337" s="47" t="e" cm="1">
        <f t="array" aca="1" ref="AK1337" ca="1">_xlfn.XLOOKUP(PAA_4[[#This Row],[RCP-RUBRO]],[2]!COMPROMISOS_2024[[#All],[concatenado]],[2]!COMPROMISOS_2024[[#All],[Total Comprometido]],"",0)</f>
        <v>#NAME?</v>
      </c>
      <c r="AL1337" s="47">
        <f>IF(PAA_4[[#This Row],[BOLSA]]=0,0,SUMIFS([2]!COMPROMISOS_2024[[#All],[Total Comprometido]],[2]!COMPROMISOS_2024[[#All],[Bolsa]],PAA_4[[#This Row],[BOLSA]],[2]!COMPROMISOS_2024[[#All],[concatenado]],PAA_4[[#This Row],[RCP-RUBRO]]))</f>
        <v>0</v>
      </c>
    </row>
    <row r="1338" spans="1:38" s="19" customFormat="1" ht="31.5" customHeight="1">
      <c r="A1338" s="47">
        <v>466</v>
      </c>
      <c r="B1338" s="47" t="s">
        <v>42</v>
      </c>
      <c r="C1338" s="47" t="str">
        <f>VLOOKUP(PAA_4[[#This Row],[PROYECTO (formulado)2]],[2]PROYECTOS!$G$1:$L$32,6,0)</f>
        <v>SUBGERENCIA DE FOMENTO Y DESARROLLO</v>
      </c>
      <c r="D1338" s="47" t="str">
        <f>+IF(PAA_4[[#This Row],[UNIDAD DE CONTRATACION (formulado)]]="Subgerencia Administrativa y Financiera","FUNCIONAMIENTO","INVERSIÓN")</f>
        <v>INVERSIÓN</v>
      </c>
      <c r="E1338" s="48" t="str">
        <f>VLOOKUP(Q1338,[2]PROYECTOS!$G$1:$K$32,5,0)</f>
        <v>FORTALECIMIENTO_DE_LOS_JUEGOS_DEL_SECTOR_SOCIAL_COMUNITARIO_EN_LOS_MUNICIPIOS_DEL_DEPARTAMENTO_DE_ANTIOQU</v>
      </c>
      <c r="F1338" s="48">
        <f>VLOOKUP(E1338,[2]PROYECTOS!$K$1:$M$32,3,0)</f>
        <v>2020003050033</v>
      </c>
      <c r="G1338" s="49" t="s">
        <v>342</v>
      </c>
      <c r="H1338" s="49" t="str">
        <f>VLOOKUP(Q1338,[2]PROYECTOS!$V$1:$W$32,2,0)</f>
        <v>050057</v>
      </c>
      <c r="I1338" s="50">
        <v>0</v>
      </c>
      <c r="J1338" s="70" t="s">
        <v>42</v>
      </c>
      <c r="K1338" s="47" t="str">
        <f t="shared" ca="1" si="479"/>
        <v>CONTRATADO</v>
      </c>
      <c r="L1338" s="47" t="s">
        <v>42</v>
      </c>
      <c r="M1338" s="47" t="s">
        <v>42</v>
      </c>
      <c r="N1338" s="52" t="s">
        <v>396</v>
      </c>
      <c r="O1338" s="51" t="e">
        <f>VLOOKUP(N1338,[2]!RUBROS[#All],3,0)</f>
        <v>#REF!</v>
      </c>
      <c r="P1338" s="53" t="e">
        <f>VLOOKUP(N1338,[2]!RUBROS[#All],2,0)</f>
        <v>#REF!</v>
      </c>
      <c r="Q1338" s="47" t="str">
        <f t="shared" si="480"/>
        <v>50</v>
      </c>
      <c r="R1338" s="47" t="str">
        <f t="shared" si="468"/>
        <v>0-205128</v>
      </c>
      <c r="S1338" s="54">
        <v>10</v>
      </c>
      <c r="T1338" s="59" t="s">
        <v>46</v>
      </c>
      <c r="U1338" s="326" t="e">
        <f ca="1">_xlfn.XLOOKUP(PAA_4[[#This Row],[ITEM]],[2]Contrato!A:A,[2]Contrato!Q:Q,"",0)</f>
        <v>#NAME?</v>
      </c>
      <c r="V1338" s="47" t="s">
        <v>47</v>
      </c>
      <c r="W1338" s="47" t="s">
        <v>96</v>
      </c>
      <c r="X1338" s="47" t="s">
        <v>96</v>
      </c>
      <c r="Y1338" s="55" t="e">
        <f ca="1">_xlfn.XLOOKUP(PAA_4[[#This Row],[ITEM]],[2]Contrato!A:A,[2]Contrato!B:B,"",0)</f>
        <v>#NAME?</v>
      </c>
      <c r="Z1338" s="47" t="e">
        <f ca="1">_xlfn.XLOOKUP(PAA_4[[#This Row],[ITEM]],[2]Contrato!A:A,[2]Contrato!G:G,"",0)</f>
        <v>#NAME?</v>
      </c>
      <c r="AA1338" s="47" t="e">
        <f ca="1">_xlfn.XLOOKUP(PAA_4[[#This Row],[ITEM]],[2]Contrato!A:A,[2]Contrato!T:T,"",0)</f>
        <v>#NAME?</v>
      </c>
      <c r="AB1338" s="55" t="e">
        <f ca="1">+MAX(PAA_4[[#This Row],[Comprometido Contrato]],PAA_4[[#This Row],[Comprometido Bolsa]])</f>
        <v>#NAME?</v>
      </c>
      <c r="AC1338" s="55" t="str">
        <f t="shared" ca="1" si="481"/>
        <v/>
      </c>
      <c r="AD1338" s="55" t="e">
        <f ca="1">IF(PAA_4[[#This Row],[ESTADO (formulado)]]="NO CONTRATADO",0,MAX(PAA_4[[#This Row],[Pago por Contrato]],PAA_4[[#This Row],[Pago por bolsa]]))</f>
        <v>#NAME?</v>
      </c>
      <c r="AE1338" s="55" t="str">
        <f t="shared" ca="1" si="482"/>
        <v/>
      </c>
      <c r="AF1338" s="47" t="e">
        <f t="shared" ca="1" si="483"/>
        <v>#NAME?</v>
      </c>
      <c r="AG1338" s="47">
        <f t="shared" si="484"/>
        <v>44021010</v>
      </c>
      <c r="AH1338" s="54">
        <f>IF(Q1338="22",IF(ISNUMBER(SEARCH("econ",PAA_4[[#This Row],[Actividad3]])),"Económico",IF(ISNUMBER(SEARCH("alim",PAA_4[[#This Row],[Actividad3]])),"Alimentación",IF(ISNUMBER(SEARCH("educ",PAA_4[[#This Row],[Actividad3]])),"Educativo","Técnico"))),0)</f>
        <v>0</v>
      </c>
      <c r="AI1338" s="47" t="e" cm="1">
        <f t="array" aca="1" ref="AI1338" ca="1">_xlfn.XLOOKUP(PAA_4[[#This Row],[RCP-RUBRO]],[2]!COMPROMISOS_2024[[#All],[concatenado]],[2]!COMPROMISOS_2024[[#All],[Total pagado]],"",0)</f>
        <v>#NAME?</v>
      </c>
      <c r="AJ1338" s="56">
        <f>IF(PAA_4[[#This Row],[BOLSA]]=0,0,SUMIFS([2]!COMPROMISOS_2024[[#All],[Total pagado]],[2]!COMPROMISOS_2024[[#All],[Bolsa]],PAA_4[[#This Row],[BOLSA]],[2]!COMPROMISOS_2024[[#All],[rubro]],PAA_4[[#This Row],[RCP-RUBRO]]))</f>
        <v>0</v>
      </c>
      <c r="AK1338" s="47" t="e" cm="1">
        <f t="array" aca="1" ref="AK1338" ca="1">_xlfn.XLOOKUP(PAA_4[[#This Row],[RCP-RUBRO]],[2]!COMPROMISOS_2024[[#All],[concatenado]],[2]!COMPROMISOS_2024[[#All],[Total Comprometido]],"",0)</f>
        <v>#NAME?</v>
      </c>
      <c r="AL1338" s="47">
        <f>IF(PAA_4[[#This Row],[BOLSA]]=0,0,SUMIFS([2]!COMPROMISOS_2024[[#All],[Total Comprometido]],[2]!COMPROMISOS_2024[[#All],[Bolsa]],PAA_4[[#This Row],[BOLSA]],[2]!COMPROMISOS_2024[[#All],[concatenado]],PAA_4[[#This Row],[RCP-RUBRO]]))</f>
        <v>0</v>
      </c>
    </row>
    <row r="1339" spans="1:38" s="19" customFormat="1" ht="31.5" customHeight="1">
      <c r="A1339" s="47">
        <v>467</v>
      </c>
      <c r="B1339" s="47" t="s">
        <v>42</v>
      </c>
      <c r="C1339" s="47" t="str">
        <f>VLOOKUP(PAA_4[[#This Row],[PROYECTO (formulado)2]],[2]PROYECTOS!$G$1:$L$32,6,0)</f>
        <v>SUBGERENCIA DE FOMENTO Y DESARROLLO</v>
      </c>
      <c r="D1339" s="47" t="str">
        <f>+IF(PAA_4[[#This Row],[UNIDAD DE CONTRATACION (formulado)]]="Subgerencia Administrativa y Financiera","FUNCIONAMIENTO","INVERSIÓN")</f>
        <v>INVERSIÓN</v>
      </c>
      <c r="E1339" s="48" t="str">
        <f>VLOOKUP(Q1339,[2]PROYECTOS!$G$1:$K$32,5,0)</f>
        <v>FORTALECIMIENTO_DE_LOS_JUEGOS_DEL_SECTOR_SOCIAL_COMUNITARIO_EN_LOS_MUNICIPIOS_DEL_DEPARTAMENTO_DE_ANTIOQU</v>
      </c>
      <c r="F1339" s="48">
        <f>VLOOKUP(E1339,[2]PROYECTOS!$K$1:$M$32,3,0)</f>
        <v>2020003050033</v>
      </c>
      <c r="G1339" s="49" t="s">
        <v>342</v>
      </c>
      <c r="H1339" s="49" t="str">
        <f>VLOOKUP(Q1339,[2]PROYECTOS!$V$1:$W$32,2,0)</f>
        <v>050057</v>
      </c>
      <c r="I1339" s="50">
        <v>0</v>
      </c>
      <c r="J1339" s="70" t="s">
        <v>42</v>
      </c>
      <c r="K1339" s="47" t="str">
        <f t="shared" ca="1" si="479"/>
        <v>CONTRATADO</v>
      </c>
      <c r="L1339" s="47" t="s">
        <v>42</v>
      </c>
      <c r="M1339" s="47" t="s">
        <v>42</v>
      </c>
      <c r="N1339" s="52" t="s">
        <v>396</v>
      </c>
      <c r="O1339" s="51" t="e">
        <f>VLOOKUP(N1339,[2]!RUBROS[#All],3,0)</f>
        <v>#REF!</v>
      </c>
      <c r="P1339" s="53" t="e">
        <f>VLOOKUP(N1339,[2]!RUBROS[#All],2,0)</f>
        <v>#REF!</v>
      </c>
      <c r="Q1339" s="47" t="str">
        <f t="shared" si="480"/>
        <v>50</v>
      </c>
      <c r="R1339" s="47" t="str">
        <f t="shared" si="468"/>
        <v>0-205128</v>
      </c>
      <c r="S1339" s="54">
        <v>10</v>
      </c>
      <c r="T1339" s="59" t="s">
        <v>46</v>
      </c>
      <c r="U1339" s="326" t="e">
        <f ca="1">_xlfn.XLOOKUP(PAA_4[[#This Row],[ITEM]],[2]Contrato!A:A,[2]Contrato!Q:Q,"",0)</f>
        <v>#NAME?</v>
      </c>
      <c r="V1339" s="47" t="s">
        <v>47</v>
      </c>
      <c r="W1339" s="47" t="s">
        <v>96</v>
      </c>
      <c r="X1339" s="47" t="s">
        <v>96</v>
      </c>
      <c r="Y1339" s="55" t="e">
        <f ca="1">_xlfn.XLOOKUP(PAA_4[[#This Row],[ITEM]],[2]Contrato!A:A,[2]Contrato!B:B,"",0)</f>
        <v>#NAME?</v>
      </c>
      <c r="Z1339" s="47" t="e">
        <f ca="1">_xlfn.XLOOKUP(PAA_4[[#This Row],[ITEM]],[2]Contrato!A:A,[2]Contrato!G:G,"",0)</f>
        <v>#NAME?</v>
      </c>
      <c r="AA1339" s="47" t="e">
        <f ca="1">_xlfn.XLOOKUP(PAA_4[[#This Row],[ITEM]],[2]Contrato!A:A,[2]Contrato!T:T,"",0)</f>
        <v>#NAME?</v>
      </c>
      <c r="AB1339" s="55" t="e">
        <f ca="1">+MAX(PAA_4[[#This Row],[Comprometido Contrato]],PAA_4[[#This Row],[Comprometido Bolsa]])</f>
        <v>#NAME?</v>
      </c>
      <c r="AC1339" s="55" t="str">
        <f t="shared" ca="1" si="481"/>
        <v/>
      </c>
      <c r="AD1339" s="55" t="e">
        <f ca="1">IF(PAA_4[[#This Row],[ESTADO (formulado)]]="NO CONTRATADO",0,MAX(PAA_4[[#This Row],[Pago por Contrato]],PAA_4[[#This Row],[Pago por bolsa]]))</f>
        <v>#NAME?</v>
      </c>
      <c r="AE1339" s="55" t="str">
        <f t="shared" ca="1" si="482"/>
        <v/>
      </c>
      <c r="AF1339" s="47" t="e">
        <f t="shared" ca="1" si="483"/>
        <v>#NAME?</v>
      </c>
      <c r="AG1339" s="47">
        <f t="shared" si="484"/>
        <v>44021010</v>
      </c>
      <c r="AH1339" s="54">
        <f>IF(Q1339="22",IF(ISNUMBER(SEARCH("econ",PAA_4[[#This Row],[Actividad3]])),"Económico",IF(ISNUMBER(SEARCH("alim",PAA_4[[#This Row],[Actividad3]])),"Alimentación",IF(ISNUMBER(SEARCH("educ",PAA_4[[#This Row],[Actividad3]])),"Educativo","Técnico"))),0)</f>
        <v>0</v>
      </c>
      <c r="AI1339" s="47" t="e" cm="1">
        <f t="array" aca="1" ref="AI1339" ca="1">_xlfn.XLOOKUP(PAA_4[[#This Row],[RCP-RUBRO]],[2]!COMPROMISOS_2024[[#All],[concatenado]],[2]!COMPROMISOS_2024[[#All],[Total pagado]],"",0)</f>
        <v>#NAME?</v>
      </c>
      <c r="AJ1339" s="56">
        <f>IF(PAA_4[[#This Row],[BOLSA]]=0,0,SUMIFS([2]!COMPROMISOS_2024[[#All],[Total pagado]],[2]!COMPROMISOS_2024[[#All],[Bolsa]],PAA_4[[#This Row],[BOLSA]],[2]!COMPROMISOS_2024[[#All],[rubro]],PAA_4[[#This Row],[RCP-RUBRO]]))</f>
        <v>0</v>
      </c>
      <c r="AK1339" s="47" t="e" cm="1">
        <f t="array" aca="1" ref="AK1339" ca="1">_xlfn.XLOOKUP(PAA_4[[#This Row],[RCP-RUBRO]],[2]!COMPROMISOS_2024[[#All],[concatenado]],[2]!COMPROMISOS_2024[[#All],[Total Comprometido]],"",0)</f>
        <v>#NAME?</v>
      </c>
      <c r="AL1339" s="47">
        <f>IF(PAA_4[[#This Row],[BOLSA]]=0,0,SUMIFS([2]!COMPROMISOS_2024[[#All],[Total Comprometido]],[2]!COMPROMISOS_2024[[#All],[Bolsa]],PAA_4[[#This Row],[BOLSA]],[2]!COMPROMISOS_2024[[#All],[concatenado]],PAA_4[[#This Row],[RCP-RUBRO]]))</f>
        <v>0</v>
      </c>
    </row>
    <row r="1340" spans="1:38" s="19" customFormat="1" ht="31.5" customHeight="1">
      <c r="A1340" s="47">
        <v>468</v>
      </c>
      <c r="B1340" s="47">
        <v>80111600</v>
      </c>
      <c r="C1340" s="47" t="str">
        <f>VLOOKUP(PAA_4[[#This Row],[PROYECTO (formulado)2]],[2]PROYECTOS!$G$1:$L$32,6,0)</f>
        <v>SUBGERENCIA DE FOMENTO Y DESARROLLO</v>
      </c>
      <c r="D1340" s="47" t="str">
        <f>+IF(PAA_4[[#This Row],[UNIDAD DE CONTRATACION (formulado)]]="Subgerencia Administrativa y Financiera","FUNCIONAMIENTO","INVERSIÓN")</f>
        <v>INVERSIÓN</v>
      </c>
      <c r="E1340" s="48" t="str">
        <f>VLOOKUP(Q1340,[2]PROYECTOS!$G$1:$K$32,5,0)</f>
        <v>FORTALECIMIENTO_DE_LOS_JUEGOS_DEL_SECTOR_SOCIAL_COMUNITARIO_EN_LOS_MUNICIPIOS_DEL_DEPARTAMENTO_DE_ANTIOQU</v>
      </c>
      <c r="F1340" s="48">
        <f>VLOOKUP(E1340,[2]PROYECTOS!$K$1:$M$32,3,0)</f>
        <v>2020003050033</v>
      </c>
      <c r="G1340" s="49" t="s">
        <v>342</v>
      </c>
      <c r="H1340" s="49" t="str">
        <f>VLOOKUP(Q1340,[2]PROYECTOS!$V$1:$W$32,2,0)</f>
        <v>050057</v>
      </c>
      <c r="I1340" s="50">
        <v>0</v>
      </c>
      <c r="J1340" s="70" t="s">
        <v>1875</v>
      </c>
      <c r="K1340" s="47" t="str">
        <f t="shared" ca="1" si="479"/>
        <v>CONTRATADO</v>
      </c>
      <c r="L1340" s="47" t="s">
        <v>94</v>
      </c>
      <c r="M1340" s="47" t="s">
        <v>1297</v>
      </c>
      <c r="N1340" s="52" t="s">
        <v>396</v>
      </c>
      <c r="O1340" s="51" t="e">
        <f>VLOOKUP(N1340,[2]!RUBROS[#All],3,0)</f>
        <v>#REF!</v>
      </c>
      <c r="P1340" s="53" t="e">
        <f>VLOOKUP(N1340,[2]!RUBROS[#All],2,0)</f>
        <v>#REF!</v>
      </c>
      <c r="Q1340" s="47" t="str">
        <f t="shared" si="480"/>
        <v>50</v>
      </c>
      <c r="R1340" s="47" t="str">
        <f t="shared" si="468"/>
        <v>0-205128</v>
      </c>
      <c r="S1340" s="54">
        <v>12</v>
      </c>
      <c r="T1340" s="59" t="s">
        <v>46</v>
      </c>
      <c r="U1340" s="326" t="e">
        <f ca="1">_xlfn.XLOOKUP(PAA_4[[#This Row],[ITEM]],[2]Contrato!A:A,[2]Contrato!Q:Q,"",0)</f>
        <v>#NAME?</v>
      </c>
      <c r="V1340" s="47" t="s">
        <v>47</v>
      </c>
      <c r="W1340" s="47" t="s">
        <v>83</v>
      </c>
      <c r="X1340" s="47" t="s">
        <v>83</v>
      </c>
      <c r="Y1340" s="55" t="e">
        <f ca="1">_xlfn.XLOOKUP(PAA_4[[#This Row],[ITEM]],[2]Contrato!A:A,[2]Contrato!B:B,"",0)</f>
        <v>#NAME?</v>
      </c>
      <c r="Z1340" s="47" t="e">
        <f ca="1">_xlfn.XLOOKUP(PAA_4[[#This Row],[ITEM]],[2]Contrato!A:A,[2]Contrato!G:G,"",0)</f>
        <v>#NAME?</v>
      </c>
      <c r="AA1340" s="47" t="e">
        <f ca="1">_xlfn.XLOOKUP(PAA_4[[#This Row],[ITEM]],[2]Contrato!A:A,[2]Contrato!T:T,"",0)</f>
        <v>#NAME?</v>
      </c>
      <c r="AB1340" s="55" t="e">
        <f ca="1">+MAX(PAA_4[[#This Row],[Comprometido Contrato]],PAA_4[[#This Row],[Comprometido Bolsa]])</f>
        <v>#NAME?</v>
      </c>
      <c r="AC1340" s="55" t="str">
        <f t="shared" ca="1" si="481"/>
        <v/>
      </c>
      <c r="AD1340" s="55" t="e">
        <f ca="1">IF(PAA_4[[#This Row],[ESTADO (formulado)]]="NO CONTRATADO",0,MAX(PAA_4[[#This Row],[Pago por Contrato]],PAA_4[[#This Row],[Pago por bolsa]]))</f>
        <v>#NAME?</v>
      </c>
      <c r="AE1340" s="55" t="str">
        <f t="shared" ca="1" si="482"/>
        <v/>
      </c>
      <c r="AF1340" s="47" t="e">
        <f t="shared" ca="1" si="483"/>
        <v>#NAME?</v>
      </c>
      <c r="AG1340" s="47">
        <f t="shared" si="484"/>
        <v>44021010</v>
      </c>
      <c r="AH1340" s="54">
        <f>IF(Q1340="22",IF(ISNUMBER(SEARCH("econ",PAA_4[[#This Row],[Actividad3]])),"Económico",IF(ISNUMBER(SEARCH("alim",PAA_4[[#This Row],[Actividad3]])),"Alimentación",IF(ISNUMBER(SEARCH("educ",PAA_4[[#This Row],[Actividad3]])),"Educativo","Técnico"))),0)</f>
        <v>0</v>
      </c>
      <c r="AI1340" s="47" t="e" cm="1">
        <f t="array" aca="1" ref="AI1340" ca="1">_xlfn.XLOOKUP(PAA_4[[#This Row],[RCP-RUBRO]],[2]!COMPROMISOS_2024[[#All],[concatenado]],[2]!COMPROMISOS_2024[[#All],[Total pagado]],"",0)</f>
        <v>#NAME?</v>
      </c>
      <c r="AJ1340" s="56">
        <f>IF(PAA_4[[#This Row],[BOLSA]]=0,0,SUMIFS([2]!COMPROMISOS_2024[[#All],[Total pagado]],[2]!COMPROMISOS_2024[[#All],[Bolsa]],PAA_4[[#This Row],[BOLSA]],[2]!COMPROMISOS_2024[[#All],[rubro]],PAA_4[[#This Row],[RCP-RUBRO]]))</f>
        <v>0</v>
      </c>
      <c r="AK1340" s="47" t="e" cm="1">
        <f t="array" aca="1" ref="AK1340" ca="1">_xlfn.XLOOKUP(PAA_4[[#This Row],[RCP-RUBRO]],[2]!COMPROMISOS_2024[[#All],[concatenado]],[2]!COMPROMISOS_2024[[#All],[Total Comprometido]],"",0)</f>
        <v>#NAME?</v>
      </c>
      <c r="AL1340" s="47">
        <f>IF(PAA_4[[#This Row],[BOLSA]]=0,0,SUMIFS([2]!COMPROMISOS_2024[[#All],[Total Comprometido]],[2]!COMPROMISOS_2024[[#All],[Bolsa]],PAA_4[[#This Row],[BOLSA]],[2]!COMPROMISOS_2024[[#All],[concatenado]],PAA_4[[#This Row],[RCP-RUBRO]]))</f>
        <v>0</v>
      </c>
    </row>
    <row r="1341" spans="1:38" s="19" customFormat="1" ht="31.5" customHeight="1">
      <c r="A1341" s="47">
        <v>469</v>
      </c>
      <c r="B1341" s="47">
        <v>80111600</v>
      </c>
      <c r="C1341" s="47" t="str">
        <f>VLOOKUP(PAA_4[[#This Row],[PROYECTO (formulado)2]],[2]PROYECTOS!$G$1:$L$32,6,0)</f>
        <v>SUBGERENCIA DE FOMENTO Y DESARROLLO</v>
      </c>
      <c r="D1341" s="47" t="str">
        <f>+IF(PAA_4[[#This Row],[UNIDAD DE CONTRATACION (formulado)]]="Subgerencia Administrativa y Financiera","FUNCIONAMIENTO","INVERSIÓN")</f>
        <v>INVERSIÓN</v>
      </c>
      <c r="E1341" s="48" t="str">
        <f>VLOOKUP(Q1341,[2]PROYECTOS!$G$1:$K$32,5,0)</f>
        <v>FORTALECIMIENTO_DE_LOS_JUEGOS_DEL_SECTOR_SOCIAL_COMUNITARIO_EN_LOS_MUNICIPIOS_DEL_DEPARTAMENTO_DE_ANTIOQU</v>
      </c>
      <c r="F1341" s="48">
        <f>VLOOKUP(E1341,[2]PROYECTOS!$K$1:$M$32,3,0)</f>
        <v>2020003050033</v>
      </c>
      <c r="G1341" s="49" t="s">
        <v>342</v>
      </c>
      <c r="H1341" s="49" t="str">
        <f>VLOOKUP(Q1341,[2]PROYECTOS!$V$1:$W$32,2,0)</f>
        <v>050057</v>
      </c>
      <c r="I1341" s="50">
        <v>0</v>
      </c>
      <c r="J1341" s="70" t="s">
        <v>1875</v>
      </c>
      <c r="K1341" s="47" t="str">
        <f t="shared" ca="1" si="479"/>
        <v>CONTRATADO</v>
      </c>
      <c r="L1341" s="47" t="s">
        <v>94</v>
      </c>
      <c r="M1341" s="47" t="s">
        <v>1297</v>
      </c>
      <c r="N1341" s="52" t="s">
        <v>396</v>
      </c>
      <c r="O1341" s="51" t="e">
        <f>VLOOKUP(N1341,[2]!RUBROS[#All],3,0)</f>
        <v>#REF!</v>
      </c>
      <c r="P1341" s="53" t="e">
        <f>VLOOKUP(N1341,[2]!RUBROS[#All],2,0)</f>
        <v>#REF!</v>
      </c>
      <c r="Q1341" s="47" t="str">
        <f t="shared" si="480"/>
        <v>50</v>
      </c>
      <c r="R1341" s="47" t="str">
        <f t="shared" si="468"/>
        <v>0-205128</v>
      </c>
      <c r="S1341" s="54">
        <v>12</v>
      </c>
      <c r="T1341" s="59" t="s">
        <v>46</v>
      </c>
      <c r="U1341" s="326" t="e">
        <f ca="1">_xlfn.XLOOKUP(PAA_4[[#This Row],[ITEM]],[2]Contrato!A:A,[2]Contrato!Q:Q,"",0)</f>
        <v>#NAME?</v>
      </c>
      <c r="V1341" s="47" t="s">
        <v>47</v>
      </c>
      <c r="W1341" s="47" t="s">
        <v>83</v>
      </c>
      <c r="X1341" s="47" t="s">
        <v>83</v>
      </c>
      <c r="Y1341" s="55" t="e">
        <f ca="1">_xlfn.XLOOKUP(PAA_4[[#This Row],[ITEM]],[2]Contrato!A:A,[2]Contrato!B:B,"",0)</f>
        <v>#NAME?</v>
      </c>
      <c r="Z1341" s="47" t="e">
        <f ca="1">_xlfn.XLOOKUP(PAA_4[[#This Row],[ITEM]],[2]Contrato!A:A,[2]Contrato!G:G,"",0)</f>
        <v>#NAME?</v>
      </c>
      <c r="AA1341" s="47" t="e">
        <f ca="1">_xlfn.XLOOKUP(PAA_4[[#This Row],[ITEM]],[2]Contrato!A:A,[2]Contrato!T:T,"",0)</f>
        <v>#NAME?</v>
      </c>
      <c r="AB1341" s="55" t="e">
        <f ca="1">+MAX(PAA_4[[#This Row],[Comprometido Contrato]],PAA_4[[#This Row],[Comprometido Bolsa]])</f>
        <v>#NAME?</v>
      </c>
      <c r="AC1341" s="55" t="str">
        <f t="shared" ca="1" si="481"/>
        <v/>
      </c>
      <c r="AD1341" s="55" t="e">
        <f ca="1">IF(PAA_4[[#This Row],[ESTADO (formulado)]]="NO CONTRATADO",0,MAX(PAA_4[[#This Row],[Pago por Contrato]],PAA_4[[#This Row],[Pago por bolsa]]))</f>
        <v>#NAME?</v>
      </c>
      <c r="AE1341" s="55" t="str">
        <f t="shared" ca="1" si="482"/>
        <v/>
      </c>
      <c r="AF1341" s="47" t="e">
        <f t="shared" ca="1" si="483"/>
        <v>#NAME?</v>
      </c>
      <c r="AG1341" s="47">
        <f t="shared" si="484"/>
        <v>44021010</v>
      </c>
      <c r="AH1341" s="54">
        <f>IF(Q1341="22",IF(ISNUMBER(SEARCH("econ",PAA_4[[#This Row],[Actividad3]])),"Económico",IF(ISNUMBER(SEARCH("alim",PAA_4[[#This Row],[Actividad3]])),"Alimentación",IF(ISNUMBER(SEARCH("educ",PAA_4[[#This Row],[Actividad3]])),"Educativo","Técnico"))),0)</f>
        <v>0</v>
      </c>
      <c r="AI1341" s="47" t="e" cm="1">
        <f t="array" aca="1" ref="AI1341" ca="1">_xlfn.XLOOKUP(PAA_4[[#This Row],[RCP-RUBRO]],[2]!COMPROMISOS_2024[[#All],[concatenado]],[2]!COMPROMISOS_2024[[#All],[Total pagado]],"",0)</f>
        <v>#NAME?</v>
      </c>
      <c r="AJ1341" s="56">
        <f>IF(PAA_4[[#This Row],[BOLSA]]=0,0,SUMIFS([2]!COMPROMISOS_2024[[#All],[Total pagado]],[2]!COMPROMISOS_2024[[#All],[Bolsa]],PAA_4[[#This Row],[BOLSA]],[2]!COMPROMISOS_2024[[#All],[rubro]],PAA_4[[#This Row],[RCP-RUBRO]]))</f>
        <v>0</v>
      </c>
      <c r="AK1341" s="47" t="e" cm="1">
        <f t="array" aca="1" ref="AK1341" ca="1">_xlfn.XLOOKUP(PAA_4[[#This Row],[RCP-RUBRO]],[2]!COMPROMISOS_2024[[#All],[concatenado]],[2]!COMPROMISOS_2024[[#All],[Total Comprometido]],"",0)</f>
        <v>#NAME?</v>
      </c>
      <c r="AL1341" s="47">
        <f>IF(PAA_4[[#This Row],[BOLSA]]=0,0,SUMIFS([2]!COMPROMISOS_2024[[#All],[Total Comprometido]],[2]!COMPROMISOS_2024[[#All],[Bolsa]],PAA_4[[#This Row],[BOLSA]],[2]!COMPROMISOS_2024[[#All],[concatenado]],PAA_4[[#This Row],[RCP-RUBRO]]))</f>
        <v>0</v>
      </c>
    </row>
    <row r="1342" spans="1:38" s="19" customFormat="1" ht="31.5" customHeight="1">
      <c r="A1342" s="47">
        <v>470</v>
      </c>
      <c r="B1342" s="47">
        <v>80111600</v>
      </c>
      <c r="C1342" s="47" t="str">
        <f>VLOOKUP(PAA_4[[#This Row],[PROYECTO (formulado)2]],[2]PROYECTOS!$G$1:$L$32,6,0)</f>
        <v>SUBGERENCIA DE FOMENTO Y DESARROLLO</v>
      </c>
      <c r="D1342" s="47" t="str">
        <f>+IF(PAA_4[[#This Row],[UNIDAD DE CONTRATACION (formulado)]]="Subgerencia Administrativa y Financiera","FUNCIONAMIENTO","INVERSIÓN")</f>
        <v>INVERSIÓN</v>
      </c>
      <c r="E1342" s="48" t="str">
        <f>VLOOKUP(Q1342,[2]PROYECTOS!$G$1:$K$32,5,0)</f>
        <v>FORTALECIMIENTO_DE_LOS_JUEGOS_DEL_SECTOR_SOCIAL_COMUNITARIO_EN_LOS_MUNICIPIOS_DEL_DEPARTAMENTO_DE_ANTIOQU</v>
      </c>
      <c r="F1342" s="48">
        <f>VLOOKUP(E1342,[2]PROYECTOS!$K$1:$M$32,3,0)</f>
        <v>2020003050033</v>
      </c>
      <c r="G1342" s="49" t="s">
        <v>342</v>
      </c>
      <c r="H1342" s="49" t="str">
        <f>VLOOKUP(Q1342,[2]PROYECTOS!$V$1:$W$32,2,0)</f>
        <v>050057</v>
      </c>
      <c r="I1342" s="50">
        <v>0</v>
      </c>
      <c r="J1342" s="70" t="s">
        <v>1875</v>
      </c>
      <c r="K1342" s="47" t="str">
        <f t="shared" ca="1" si="479"/>
        <v>CONTRATADO</v>
      </c>
      <c r="L1342" s="47" t="s">
        <v>94</v>
      </c>
      <c r="M1342" s="47" t="s">
        <v>1297</v>
      </c>
      <c r="N1342" s="52" t="s">
        <v>396</v>
      </c>
      <c r="O1342" s="51" t="e">
        <f>VLOOKUP(N1342,[2]!RUBROS[#All],3,0)</f>
        <v>#REF!</v>
      </c>
      <c r="P1342" s="53" t="e">
        <f>VLOOKUP(N1342,[2]!RUBROS[#All],2,0)</f>
        <v>#REF!</v>
      </c>
      <c r="Q1342" s="47" t="str">
        <f t="shared" si="480"/>
        <v>50</v>
      </c>
      <c r="R1342" s="47" t="str">
        <f t="shared" si="468"/>
        <v>0-205128</v>
      </c>
      <c r="S1342" s="54">
        <v>12</v>
      </c>
      <c r="T1342" s="59" t="s">
        <v>46</v>
      </c>
      <c r="U1342" s="326" t="e">
        <f ca="1">_xlfn.XLOOKUP(PAA_4[[#This Row],[ITEM]],[2]Contrato!A:A,[2]Contrato!Q:Q,"",0)</f>
        <v>#NAME?</v>
      </c>
      <c r="V1342" s="47" t="s">
        <v>47</v>
      </c>
      <c r="W1342" s="47" t="s">
        <v>83</v>
      </c>
      <c r="X1342" s="47" t="s">
        <v>83</v>
      </c>
      <c r="Y1342" s="55" t="e">
        <f ca="1">_xlfn.XLOOKUP(PAA_4[[#This Row],[ITEM]],[2]Contrato!A:A,[2]Contrato!B:B,"",0)</f>
        <v>#NAME?</v>
      </c>
      <c r="Z1342" s="47" t="e">
        <f ca="1">_xlfn.XLOOKUP(PAA_4[[#This Row],[ITEM]],[2]Contrato!A:A,[2]Contrato!G:G,"",0)</f>
        <v>#NAME?</v>
      </c>
      <c r="AA1342" s="47" t="e">
        <f ca="1">_xlfn.XLOOKUP(PAA_4[[#This Row],[ITEM]],[2]Contrato!A:A,[2]Contrato!T:T,"",0)</f>
        <v>#NAME?</v>
      </c>
      <c r="AB1342" s="55" t="e">
        <f ca="1">+MAX(PAA_4[[#This Row],[Comprometido Contrato]],PAA_4[[#This Row],[Comprometido Bolsa]])</f>
        <v>#NAME?</v>
      </c>
      <c r="AC1342" s="55" t="str">
        <f t="shared" ca="1" si="481"/>
        <v/>
      </c>
      <c r="AD1342" s="55" t="e">
        <f ca="1">IF(PAA_4[[#This Row],[ESTADO (formulado)]]="NO CONTRATADO",0,MAX(PAA_4[[#This Row],[Pago por Contrato]],PAA_4[[#This Row],[Pago por bolsa]]))</f>
        <v>#NAME?</v>
      </c>
      <c r="AE1342" s="55" t="str">
        <f t="shared" ca="1" si="482"/>
        <v/>
      </c>
      <c r="AF1342" s="47" t="e">
        <f t="shared" ca="1" si="483"/>
        <v>#NAME?</v>
      </c>
      <c r="AG1342" s="47">
        <f t="shared" si="484"/>
        <v>44021010</v>
      </c>
      <c r="AH1342" s="54">
        <f>IF(Q1342="22",IF(ISNUMBER(SEARCH("econ",PAA_4[[#This Row],[Actividad3]])),"Económico",IF(ISNUMBER(SEARCH("alim",PAA_4[[#This Row],[Actividad3]])),"Alimentación",IF(ISNUMBER(SEARCH("educ",PAA_4[[#This Row],[Actividad3]])),"Educativo","Técnico"))),0)</f>
        <v>0</v>
      </c>
      <c r="AI1342" s="47" t="e" cm="1">
        <f t="array" aca="1" ref="AI1342" ca="1">_xlfn.XLOOKUP(PAA_4[[#This Row],[RCP-RUBRO]],[2]!COMPROMISOS_2024[[#All],[concatenado]],[2]!COMPROMISOS_2024[[#All],[Total pagado]],"",0)</f>
        <v>#NAME?</v>
      </c>
      <c r="AJ1342" s="56">
        <f>IF(PAA_4[[#This Row],[BOLSA]]=0,0,SUMIFS([2]!COMPROMISOS_2024[[#All],[Total pagado]],[2]!COMPROMISOS_2024[[#All],[Bolsa]],PAA_4[[#This Row],[BOLSA]],[2]!COMPROMISOS_2024[[#All],[rubro]],PAA_4[[#This Row],[RCP-RUBRO]]))</f>
        <v>0</v>
      </c>
      <c r="AK1342" s="47" t="e" cm="1">
        <f t="array" aca="1" ref="AK1342" ca="1">_xlfn.XLOOKUP(PAA_4[[#This Row],[RCP-RUBRO]],[2]!COMPROMISOS_2024[[#All],[concatenado]],[2]!COMPROMISOS_2024[[#All],[Total Comprometido]],"",0)</f>
        <v>#NAME?</v>
      </c>
      <c r="AL1342" s="47">
        <f>IF(PAA_4[[#This Row],[BOLSA]]=0,0,SUMIFS([2]!COMPROMISOS_2024[[#All],[Total Comprometido]],[2]!COMPROMISOS_2024[[#All],[Bolsa]],PAA_4[[#This Row],[BOLSA]],[2]!COMPROMISOS_2024[[#All],[concatenado]],PAA_4[[#This Row],[RCP-RUBRO]]))</f>
        <v>0</v>
      </c>
    </row>
    <row r="1343" spans="1:38" s="19" customFormat="1" ht="31.5" customHeight="1">
      <c r="A1343" s="47">
        <v>471</v>
      </c>
      <c r="B1343" s="47">
        <v>80111600</v>
      </c>
      <c r="C1343" s="47" t="str">
        <f>VLOOKUP(PAA_4[[#This Row],[PROYECTO (formulado)2]],[2]PROYECTOS!$G$1:$L$32,6,0)</f>
        <v>SUBGERENCIA DE FOMENTO Y DESARROLLO</v>
      </c>
      <c r="D1343" s="47" t="str">
        <f>+IF(PAA_4[[#This Row],[UNIDAD DE CONTRATACION (formulado)]]="Subgerencia Administrativa y Financiera","FUNCIONAMIENTO","INVERSIÓN")</f>
        <v>INVERSIÓN</v>
      </c>
      <c r="E1343" s="48" t="str">
        <f>VLOOKUP(Q1343,[2]PROYECTOS!$G$1:$K$32,5,0)</f>
        <v>FORTALECIMIENTO_DE_LOS_JUEGOS_DEL_SECTOR_SOCIAL_COMUNITARIO_EN_LOS_MUNICIPIOS_DEL_DEPARTAMENTO_DE_ANTIOQU</v>
      </c>
      <c r="F1343" s="48">
        <f>VLOOKUP(E1343,[2]PROYECTOS!$K$1:$M$32,3,0)</f>
        <v>2020003050033</v>
      </c>
      <c r="G1343" s="49" t="s">
        <v>342</v>
      </c>
      <c r="H1343" s="49" t="str">
        <f>VLOOKUP(Q1343,[2]PROYECTOS!$V$1:$W$32,2,0)</f>
        <v>050057</v>
      </c>
      <c r="I1343" s="50">
        <v>0</v>
      </c>
      <c r="J1343" s="70" t="s">
        <v>42</v>
      </c>
      <c r="K1343" s="47" t="str">
        <f t="shared" ca="1" si="479"/>
        <v>CONTRATADO</v>
      </c>
      <c r="L1343" s="47" t="s">
        <v>344</v>
      </c>
      <c r="M1343" s="47" t="s">
        <v>344</v>
      </c>
      <c r="N1343" s="52" t="s">
        <v>396</v>
      </c>
      <c r="O1343" s="51" t="e">
        <f>VLOOKUP(N1343,[2]!RUBROS[#All],3,0)</f>
        <v>#REF!</v>
      </c>
      <c r="P1343" s="53" t="e">
        <f>VLOOKUP(N1343,[2]!RUBROS[#All],2,0)</f>
        <v>#REF!</v>
      </c>
      <c r="Q1343" s="47" t="str">
        <f t="shared" si="480"/>
        <v>50</v>
      </c>
      <c r="R1343" s="47" t="str">
        <f t="shared" si="468"/>
        <v>0-205128</v>
      </c>
      <c r="S1343" s="54">
        <v>10.5</v>
      </c>
      <c r="T1343" s="59" t="s">
        <v>46</v>
      </c>
      <c r="U1343" s="326" t="e">
        <f ca="1">_xlfn.XLOOKUP(PAA_4[[#This Row],[ITEM]],[2]Contrato!A:A,[2]Contrato!Q:Q,"",0)</f>
        <v>#NAME?</v>
      </c>
      <c r="V1343" s="47" t="s">
        <v>47</v>
      </c>
      <c r="W1343" s="47" t="s">
        <v>91</v>
      </c>
      <c r="X1343" s="47" t="s">
        <v>91</v>
      </c>
      <c r="Y1343" s="55" t="e">
        <f ca="1">_xlfn.XLOOKUP(PAA_4[[#This Row],[ITEM]],[2]Contrato!A:A,[2]Contrato!B:B,"",0)</f>
        <v>#NAME?</v>
      </c>
      <c r="Z1343" s="47" t="e">
        <f ca="1">_xlfn.XLOOKUP(PAA_4[[#This Row],[ITEM]],[2]Contrato!A:A,[2]Contrato!G:G,"",0)</f>
        <v>#NAME?</v>
      </c>
      <c r="AA1343" s="47" t="e">
        <f ca="1">_xlfn.XLOOKUP(PAA_4[[#This Row],[ITEM]],[2]Contrato!A:A,[2]Contrato!T:T,"",0)</f>
        <v>#NAME?</v>
      </c>
      <c r="AB1343" s="55" t="e">
        <f ca="1">+MAX(PAA_4[[#This Row],[Comprometido Contrato]],PAA_4[[#This Row],[Comprometido Bolsa]])</f>
        <v>#NAME?</v>
      </c>
      <c r="AC1343" s="55" t="str">
        <f t="shared" ca="1" si="481"/>
        <v/>
      </c>
      <c r="AD1343" s="55" t="e">
        <f ca="1">IF(PAA_4[[#This Row],[ESTADO (formulado)]]="NO CONTRATADO",0,MAX(PAA_4[[#This Row],[Pago por Contrato]],PAA_4[[#This Row],[Pago por bolsa]]))</f>
        <v>#NAME?</v>
      </c>
      <c r="AE1343" s="55" t="str">
        <f t="shared" ca="1" si="482"/>
        <v/>
      </c>
      <c r="AF1343" s="47" t="e">
        <f t="shared" ca="1" si="483"/>
        <v>#NAME?</v>
      </c>
      <c r="AG1343" s="47">
        <f t="shared" si="484"/>
        <v>44021010</v>
      </c>
      <c r="AH1343" s="54">
        <f>IF(Q1343="22",IF(ISNUMBER(SEARCH("econ",PAA_4[[#This Row],[Actividad3]])),"Económico",IF(ISNUMBER(SEARCH("alim",PAA_4[[#This Row],[Actividad3]])),"Alimentación",IF(ISNUMBER(SEARCH("educ",PAA_4[[#This Row],[Actividad3]])),"Educativo","Técnico"))),0)</f>
        <v>0</v>
      </c>
      <c r="AI1343" s="47" t="e" cm="1">
        <f t="array" aca="1" ref="AI1343" ca="1">_xlfn.XLOOKUP(PAA_4[[#This Row],[RCP-RUBRO]],[2]!COMPROMISOS_2024[[#All],[concatenado]],[2]!COMPROMISOS_2024[[#All],[Total pagado]],"",0)</f>
        <v>#NAME?</v>
      </c>
      <c r="AJ1343" s="56">
        <f>IF(PAA_4[[#This Row],[BOLSA]]=0,0,SUMIFS([2]!COMPROMISOS_2024[[#All],[Total pagado]],[2]!COMPROMISOS_2024[[#All],[Bolsa]],PAA_4[[#This Row],[BOLSA]],[2]!COMPROMISOS_2024[[#All],[rubro]],PAA_4[[#This Row],[RCP-RUBRO]]))</f>
        <v>0</v>
      </c>
      <c r="AK1343" s="47" t="e" cm="1">
        <f t="array" aca="1" ref="AK1343" ca="1">_xlfn.XLOOKUP(PAA_4[[#This Row],[RCP-RUBRO]],[2]!COMPROMISOS_2024[[#All],[concatenado]],[2]!COMPROMISOS_2024[[#All],[Total Comprometido]],"",0)</f>
        <v>#NAME?</v>
      </c>
      <c r="AL1343" s="47">
        <f>IF(PAA_4[[#This Row],[BOLSA]]=0,0,SUMIFS([2]!COMPROMISOS_2024[[#All],[Total Comprometido]],[2]!COMPROMISOS_2024[[#All],[Bolsa]],PAA_4[[#This Row],[BOLSA]],[2]!COMPROMISOS_2024[[#All],[concatenado]],PAA_4[[#This Row],[RCP-RUBRO]]))</f>
        <v>0</v>
      </c>
    </row>
    <row r="1344" spans="1:38" s="19" customFormat="1" ht="31.5" customHeight="1">
      <c r="A1344" s="47">
        <v>472</v>
      </c>
      <c r="B1344" s="47" t="s">
        <v>42</v>
      </c>
      <c r="C1344" s="47" t="str">
        <f>VLOOKUP(PAA_4[[#This Row],[PROYECTO (formulado)2]],[2]PROYECTOS!$G$1:$L$32,6,0)</f>
        <v>SUBGERENCIA DE FOMENTO Y DESARROLLO</v>
      </c>
      <c r="D1344" s="47" t="str">
        <f>+IF(PAA_4[[#This Row],[UNIDAD DE CONTRATACION (formulado)]]="Subgerencia Administrativa y Financiera","FUNCIONAMIENTO","INVERSIÓN")</f>
        <v>INVERSIÓN</v>
      </c>
      <c r="E1344" s="48" t="str">
        <f>VLOOKUP(Q1344,[2]PROYECTOS!$G$1:$K$32,5,0)</f>
        <v>FORTALECIMIENTO_DE_LOS_JUEGOS_DEL_SECTOR_SOCIAL_COMUNITARIO_EN_LOS_MUNICIPIOS_DEL_DEPARTAMENTO_DE_ANTIOQU</v>
      </c>
      <c r="F1344" s="48">
        <f>VLOOKUP(E1344,[2]PROYECTOS!$K$1:$M$32,3,0)</f>
        <v>2020003050033</v>
      </c>
      <c r="G1344" s="49" t="s">
        <v>342</v>
      </c>
      <c r="H1344" s="49" t="str">
        <f>VLOOKUP(Q1344,[2]PROYECTOS!$V$1:$W$32,2,0)</f>
        <v>050057</v>
      </c>
      <c r="I1344" s="50">
        <v>0</v>
      </c>
      <c r="J1344" s="70" t="s">
        <v>42</v>
      </c>
      <c r="K1344" s="47" t="str">
        <f t="shared" ca="1" si="479"/>
        <v>CONTRATADO</v>
      </c>
      <c r="L1344" s="47" t="s">
        <v>94</v>
      </c>
      <c r="M1344" s="47" t="s">
        <v>1297</v>
      </c>
      <c r="N1344" s="52" t="s">
        <v>396</v>
      </c>
      <c r="O1344" s="51" t="e">
        <f>VLOOKUP(N1344,[2]!RUBROS[#All],3,0)</f>
        <v>#REF!</v>
      </c>
      <c r="P1344" s="53" t="e">
        <f>VLOOKUP(N1344,[2]!RUBROS[#All],2,0)</f>
        <v>#REF!</v>
      </c>
      <c r="Q1344" s="47" t="str">
        <f t="shared" si="480"/>
        <v>50</v>
      </c>
      <c r="R1344" s="47" t="str">
        <f t="shared" si="468"/>
        <v>0-205128</v>
      </c>
      <c r="S1344" s="54">
        <v>10</v>
      </c>
      <c r="T1344" s="59" t="s">
        <v>46</v>
      </c>
      <c r="U1344" s="326" t="e">
        <f ca="1">_xlfn.XLOOKUP(PAA_4[[#This Row],[ITEM]],[2]Contrato!A:A,[2]Contrato!Q:Q,"",0)</f>
        <v>#NAME?</v>
      </c>
      <c r="V1344" s="47" t="s">
        <v>47</v>
      </c>
      <c r="W1344" s="47" t="s">
        <v>91</v>
      </c>
      <c r="X1344" s="47" t="s">
        <v>91</v>
      </c>
      <c r="Y1344" s="55" t="e">
        <f ca="1">_xlfn.XLOOKUP(PAA_4[[#This Row],[ITEM]],[2]Contrato!A:A,[2]Contrato!B:B,"",0)</f>
        <v>#NAME?</v>
      </c>
      <c r="Z1344" s="47" t="e">
        <f ca="1">_xlfn.XLOOKUP(PAA_4[[#This Row],[ITEM]],[2]Contrato!A:A,[2]Contrato!G:G,"",0)</f>
        <v>#NAME?</v>
      </c>
      <c r="AA1344" s="47" t="e">
        <f ca="1">_xlfn.XLOOKUP(PAA_4[[#This Row],[ITEM]],[2]Contrato!A:A,[2]Contrato!T:T,"",0)</f>
        <v>#NAME?</v>
      </c>
      <c r="AB1344" s="55" t="e">
        <f ca="1">+MAX(PAA_4[[#This Row],[Comprometido Contrato]],PAA_4[[#This Row],[Comprometido Bolsa]])</f>
        <v>#NAME?</v>
      </c>
      <c r="AC1344" s="55" t="str">
        <f t="shared" ca="1" si="481"/>
        <v/>
      </c>
      <c r="AD1344" s="55" t="e">
        <f ca="1">IF(PAA_4[[#This Row],[ESTADO (formulado)]]="NO CONTRATADO",0,MAX(PAA_4[[#This Row],[Pago por Contrato]],PAA_4[[#This Row],[Pago por bolsa]]))</f>
        <v>#NAME?</v>
      </c>
      <c r="AE1344" s="55" t="str">
        <f t="shared" ca="1" si="482"/>
        <v/>
      </c>
      <c r="AF1344" s="47" t="e">
        <f t="shared" ca="1" si="483"/>
        <v>#NAME?</v>
      </c>
      <c r="AG1344" s="47">
        <f t="shared" si="484"/>
        <v>44021010</v>
      </c>
      <c r="AH1344" s="54">
        <f>IF(Q1344="22",IF(ISNUMBER(SEARCH("econ",PAA_4[[#This Row],[Actividad3]])),"Económico",IF(ISNUMBER(SEARCH("alim",PAA_4[[#This Row],[Actividad3]])),"Alimentación",IF(ISNUMBER(SEARCH("educ",PAA_4[[#This Row],[Actividad3]])),"Educativo","Técnico"))),0)</f>
        <v>0</v>
      </c>
      <c r="AI1344" s="47" t="e" cm="1">
        <f t="array" aca="1" ref="AI1344" ca="1">_xlfn.XLOOKUP(PAA_4[[#This Row],[RCP-RUBRO]],[2]!COMPROMISOS_2024[[#All],[concatenado]],[2]!COMPROMISOS_2024[[#All],[Total pagado]],"",0)</f>
        <v>#NAME?</v>
      </c>
      <c r="AJ1344" s="56">
        <f>IF(PAA_4[[#This Row],[BOLSA]]=0,0,SUMIFS([2]!COMPROMISOS_2024[[#All],[Total pagado]],[2]!COMPROMISOS_2024[[#All],[Bolsa]],PAA_4[[#This Row],[BOLSA]],[2]!COMPROMISOS_2024[[#All],[rubro]],PAA_4[[#This Row],[RCP-RUBRO]]))</f>
        <v>0</v>
      </c>
      <c r="AK1344" s="47" t="e" cm="1">
        <f t="array" aca="1" ref="AK1344" ca="1">_xlfn.XLOOKUP(PAA_4[[#This Row],[RCP-RUBRO]],[2]!COMPROMISOS_2024[[#All],[concatenado]],[2]!COMPROMISOS_2024[[#All],[Total Comprometido]],"",0)</f>
        <v>#NAME?</v>
      </c>
      <c r="AL1344" s="47">
        <f>IF(PAA_4[[#This Row],[BOLSA]]=0,0,SUMIFS([2]!COMPROMISOS_2024[[#All],[Total Comprometido]],[2]!COMPROMISOS_2024[[#All],[Bolsa]],PAA_4[[#This Row],[BOLSA]],[2]!COMPROMISOS_2024[[#All],[concatenado]],PAA_4[[#This Row],[RCP-RUBRO]]))</f>
        <v>0</v>
      </c>
    </row>
    <row r="1345" spans="1:38" s="19" customFormat="1" ht="31.5" customHeight="1">
      <c r="A1345" s="47">
        <v>473</v>
      </c>
      <c r="B1345" s="47" t="s">
        <v>42</v>
      </c>
      <c r="C1345" s="47" t="str">
        <f>VLOOKUP(PAA_4[[#This Row],[PROYECTO (formulado)2]],[2]PROYECTOS!$G$1:$L$32,6,0)</f>
        <v>SUBGERENCIA DE FOMENTO Y DESARROLLO</v>
      </c>
      <c r="D1345" s="47" t="str">
        <f>+IF(PAA_4[[#This Row],[UNIDAD DE CONTRATACION (formulado)]]="Subgerencia Administrativa y Financiera","FUNCIONAMIENTO","INVERSIÓN")</f>
        <v>INVERSIÓN</v>
      </c>
      <c r="E1345" s="48" t="str">
        <f>VLOOKUP(Q1345,[2]PROYECTOS!$G$1:$K$32,5,0)</f>
        <v>FORTALECIMIENTO_DE_LOS_JUEGOS_DEL_SECTOR_SOCIAL_COMUNITARIO_EN_LOS_MUNICIPIOS_DEL_DEPARTAMENTO_DE_ANTIOQU</v>
      </c>
      <c r="F1345" s="48">
        <f>VLOOKUP(E1345,[2]PROYECTOS!$K$1:$M$32,3,0)</f>
        <v>2020003050033</v>
      </c>
      <c r="G1345" s="49" t="s">
        <v>342</v>
      </c>
      <c r="H1345" s="49" t="str">
        <f>VLOOKUP(Q1345,[2]PROYECTOS!$V$1:$W$32,2,0)</f>
        <v>050057</v>
      </c>
      <c r="I1345" s="50">
        <v>0</v>
      </c>
      <c r="J1345" s="70" t="s">
        <v>42</v>
      </c>
      <c r="K1345" s="47" t="str">
        <f t="shared" ca="1" si="479"/>
        <v>CONTRATADO</v>
      </c>
      <c r="L1345" s="47" t="s">
        <v>94</v>
      </c>
      <c r="M1345" s="47" t="s">
        <v>1297</v>
      </c>
      <c r="N1345" s="52" t="s">
        <v>396</v>
      </c>
      <c r="O1345" s="51" t="e">
        <f>VLOOKUP(N1345,[2]!RUBROS[#All],3,0)</f>
        <v>#REF!</v>
      </c>
      <c r="P1345" s="53" t="e">
        <f>VLOOKUP(N1345,[2]!RUBROS[#All],2,0)</f>
        <v>#REF!</v>
      </c>
      <c r="Q1345" s="47" t="str">
        <f t="shared" si="480"/>
        <v>50</v>
      </c>
      <c r="R1345" s="47" t="str">
        <f t="shared" si="468"/>
        <v>0-205128</v>
      </c>
      <c r="S1345" s="54">
        <v>10</v>
      </c>
      <c r="T1345" s="59" t="s">
        <v>46</v>
      </c>
      <c r="U1345" s="326" t="e">
        <f ca="1">_xlfn.XLOOKUP(PAA_4[[#This Row],[ITEM]],[2]Contrato!A:A,[2]Contrato!Q:Q,"",0)</f>
        <v>#NAME?</v>
      </c>
      <c r="V1345" s="47" t="s">
        <v>47</v>
      </c>
      <c r="W1345" s="47" t="s">
        <v>91</v>
      </c>
      <c r="X1345" s="47" t="s">
        <v>91</v>
      </c>
      <c r="Y1345" s="55" t="e">
        <f ca="1">_xlfn.XLOOKUP(PAA_4[[#This Row],[ITEM]],[2]Contrato!A:A,[2]Contrato!B:B,"",0)</f>
        <v>#NAME?</v>
      </c>
      <c r="Z1345" s="47" t="e">
        <f ca="1">_xlfn.XLOOKUP(PAA_4[[#This Row],[ITEM]],[2]Contrato!A:A,[2]Contrato!G:G,"",0)</f>
        <v>#NAME?</v>
      </c>
      <c r="AA1345" s="47" t="e">
        <f ca="1">_xlfn.XLOOKUP(PAA_4[[#This Row],[ITEM]],[2]Contrato!A:A,[2]Contrato!T:T,"",0)</f>
        <v>#NAME?</v>
      </c>
      <c r="AB1345" s="55" t="e">
        <f ca="1">+MAX(PAA_4[[#This Row],[Comprometido Contrato]],PAA_4[[#This Row],[Comprometido Bolsa]])</f>
        <v>#NAME?</v>
      </c>
      <c r="AC1345" s="55" t="str">
        <f t="shared" ca="1" si="481"/>
        <v/>
      </c>
      <c r="AD1345" s="55" t="e">
        <f ca="1">IF(PAA_4[[#This Row],[ESTADO (formulado)]]="NO CONTRATADO",0,MAX(PAA_4[[#This Row],[Pago por Contrato]],PAA_4[[#This Row],[Pago por bolsa]]))</f>
        <v>#NAME?</v>
      </c>
      <c r="AE1345" s="55" t="str">
        <f t="shared" ca="1" si="482"/>
        <v/>
      </c>
      <c r="AF1345" s="47" t="e">
        <f t="shared" ca="1" si="483"/>
        <v>#NAME?</v>
      </c>
      <c r="AG1345" s="47">
        <f t="shared" si="484"/>
        <v>44021010</v>
      </c>
      <c r="AH1345" s="54">
        <f>IF(Q1345="22",IF(ISNUMBER(SEARCH("econ",PAA_4[[#This Row],[Actividad3]])),"Económico",IF(ISNUMBER(SEARCH("alim",PAA_4[[#This Row],[Actividad3]])),"Alimentación",IF(ISNUMBER(SEARCH("educ",PAA_4[[#This Row],[Actividad3]])),"Educativo","Técnico"))),0)</f>
        <v>0</v>
      </c>
      <c r="AI1345" s="47" t="e" cm="1">
        <f t="array" aca="1" ref="AI1345" ca="1">_xlfn.XLOOKUP(PAA_4[[#This Row],[RCP-RUBRO]],[2]!COMPROMISOS_2024[[#All],[concatenado]],[2]!COMPROMISOS_2024[[#All],[Total pagado]],"",0)</f>
        <v>#NAME?</v>
      </c>
      <c r="AJ1345" s="56">
        <f>IF(PAA_4[[#This Row],[BOLSA]]=0,0,SUMIFS([2]!COMPROMISOS_2024[[#All],[Total pagado]],[2]!COMPROMISOS_2024[[#All],[Bolsa]],PAA_4[[#This Row],[BOLSA]],[2]!COMPROMISOS_2024[[#All],[rubro]],PAA_4[[#This Row],[RCP-RUBRO]]))</f>
        <v>0</v>
      </c>
      <c r="AK1345" s="47" t="e" cm="1">
        <f t="array" aca="1" ref="AK1345" ca="1">_xlfn.XLOOKUP(PAA_4[[#This Row],[RCP-RUBRO]],[2]!COMPROMISOS_2024[[#All],[concatenado]],[2]!COMPROMISOS_2024[[#All],[Total Comprometido]],"",0)</f>
        <v>#NAME?</v>
      </c>
      <c r="AL1345" s="47">
        <f>IF(PAA_4[[#This Row],[BOLSA]]=0,0,SUMIFS([2]!COMPROMISOS_2024[[#All],[Total Comprometido]],[2]!COMPROMISOS_2024[[#All],[Bolsa]],PAA_4[[#This Row],[BOLSA]],[2]!COMPROMISOS_2024[[#All],[concatenado]],PAA_4[[#This Row],[RCP-RUBRO]]))</f>
        <v>0</v>
      </c>
    </row>
    <row r="1346" spans="1:38" s="19" customFormat="1" ht="31.5" customHeight="1">
      <c r="A1346" s="47">
        <v>474</v>
      </c>
      <c r="B1346" s="47">
        <v>80111600</v>
      </c>
      <c r="C1346" s="47" t="str">
        <f>VLOOKUP(PAA_4[[#This Row],[PROYECTO (formulado)2]],[2]PROYECTOS!$G$1:$L$32,6,0)</f>
        <v>SUBGERENCIA DE FOMENTO Y DESARROLLO</v>
      </c>
      <c r="D1346" s="47" t="str">
        <f>+IF(PAA_4[[#This Row],[UNIDAD DE CONTRATACION (formulado)]]="Subgerencia Administrativa y Financiera","FUNCIONAMIENTO","INVERSIÓN")</f>
        <v>INVERSIÓN</v>
      </c>
      <c r="E1346" s="48" t="str">
        <f>VLOOKUP(Q1346,[2]PROYECTOS!$G$1:$K$32,5,0)</f>
        <v>FORTALECIMIENTO_DE_LOS_JUEGOS_DEL_SECTOR_SOCIAL_COMUNITARIO_EN_LOS_MUNICIPIOS_DEL_DEPARTAMENTO_DE_ANTIOQU</v>
      </c>
      <c r="F1346" s="48">
        <f>VLOOKUP(E1346,[2]PROYECTOS!$K$1:$M$32,3,0)</f>
        <v>2020003050033</v>
      </c>
      <c r="G1346" s="49" t="s">
        <v>342</v>
      </c>
      <c r="H1346" s="49" t="str">
        <f>VLOOKUP(Q1346,[2]PROYECTOS!$V$1:$W$32,2,0)</f>
        <v>050057</v>
      </c>
      <c r="I1346" s="50">
        <v>0</v>
      </c>
      <c r="J1346" s="70" t="s">
        <v>409</v>
      </c>
      <c r="K1346" s="47" t="str">
        <f t="shared" ca="1" si="479"/>
        <v>CONTRATADO</v>
      </c>
      <c r="L1346" s="47" t="s">
        <v>94</v>
      </c>
      <c r="M1346" s="47" t="s">
        <v>1297</v>
      </c>
      <c r="N1346" s="52" t="s">
        <v>396</v>
      </c>
      <c r="O1346" s="51" t="e">
        <f>VLOOKUP(N1346,[2]!RUBROS[#All],3,0)</f>
        <v>#REF!</v>
      </c>
      <c r="P1346" s="53" t="e">
        <f>VLOOKUP(N1346,[2]!RUBROS[#All],2,0)</f>
        <v>#REF!</v>
      </c>
      <c r="Q1346" s="47" t="str">
        <f t="shared" si="480"/>
        <v>50</v>
      </c>
      <c r="R1346" s="47" t="str">
        <f t="shared" si="468"/>
        <v>0-205128</v>
      </c>
      <c r="S1346" s="54">
        <v>10</v>
      </c>
      <c r="T1346" s="59" t="s">
        <v>46</v>
      </c>
      <c r="U1346" s="326" t="e">
        <f ca="1">_xlfn.XLOOKUP(PAA_4[[#This Row],[ITEM]],[2]Contrato!A:A,[2]Contrato!Q:Q,"",0)</f>
        <v>#NAME?</v>
      </c>
      <c r="V1346" s="47" t="s">
        <v>47</v>
      </c>
      <c r="W1346" s="47" t="s">
        <v>96</v>
      </c>
      <c r="X1346" s="47" t="s">
        <v>96</v>
      </c>
      <c r="Y1346" s="55" t="e">
        <f ca="1">_xlfn.XLOOKUP(PAA_4[[#This Row],[ITEM]],[2]Contrato!A:A,[2]Contrato!B:B,"",0)</f>
        <v>#NAME?</v>
      </c>
      <c r="Z1346" s="47" t="e">
        <f ca="1">_xlfn.XLOOKUP(PAA_4[[#This Row],[ITEM]],[2]Contrato!A:A,[2]Contrato!G:G,"",0)</f>
        <v>#NAME?</v>
      </c>
      <c r="AA1346" s="47" t="e">
        <f ca="1">_xlfn.XLOOKUP(PAA_4[[#This Row],[ITEM]],[2]Contrato!A:A,[2]Contrato!T:T,"",0)</f>
        <v>#NAME?</v>
      </c>
      <c r="AB1346" s="55" t="e">
        <f ca="1">+MAX(PAA_4[[#This Row],[Comprometido Contrato]],PAA_4[[#This Row],[Comprometido Bolsa]])</f>
        <v>#NAME?</v>
      </c>
      <c r="AC1346" s="55" t="str">
        <f t="shared" ca="1" si="481"/>
        <v/>
      </c>
      <c r="AD1346" s="55" t="e">
        <f ca="1">IF(PAA_4[[#This Row],[ESTADO (formulado)]]="NO CONTRATADO",0,MAX(PAA_4[[#This Row],[Pago por Contrato]],PAA_4[[#This Row],[Pago por bolsa]]))</f>
        <v>#NAME?</v>
      </c>
      <c r="AE1346" s="55" t="str">
        <f t="shared" ca="1" si="482"/>
        <v/>
      </c>
      <c r="AF1346" s="47" t="e">
        <f t="shared" ca="1" si="483"/>
        <v>#NAME?</v>
      </c>
      <c r="AG1346" s="47">
        <f t="shared" si="484"/>
        <v>44021010</v>
      </c>
      <c r="AH1346" s="54">
        <f>IF(Q1346="22",IF(ISNUMBER(SEARCH("econ",PAA_4[[#This Row],[Actividad3]])),"Económico",IF(ISNUMBER(SEARCH("alim",PAA_4[[#This Row],[Actividad3]])),"Alimentación",IF(ISNUMBER(SEARCH("educ",PAA_4[[#This Row],[Actividad3]])),"Educativo","Técnico"))),0)</f>
        <v>0</v>
      </c>
      <c r="AI1346" s="47" t="e" cm="1">
        <f t="array" aca="1" ref="AI1346" ca="1">_xlfn.XLOOKUP(PAA_4[[#This Row],[RCP-RUBRO]],[2]!COMPROMISOS_2024[[#All],[concatenado]],[2]!COMPROMISOS_2024[[#All],[Total pagado]],"",0)</f>
        <v>#NAME?</v>
      </c>
      <c r="AJ1346" s="56">
        <f>IF(PAA_4[[#This Row],[BOLSA]]=0,0,SUMIFS([2]!COMPROMISOS_2024[[#All],[Total pagado]],[2]!COMPROMISOS_2024[[#All],[Bolsa]],PAA_4[[#This Row],[BOLSA]],[2]!COMPROMISOS_2024[[#All],[rubro]],PAA_4[[#This Row],[RCP-RUBRO]]))</f>
        <v>0</v>
      </c>
      <c r="AK1346" s="47" t="e" cm="1">
        <f t="array" aca="1" ref="AK1346" ca="1">_xlfn.XLOOKUP(PAA_4[[#This Row],[RCP-RUBRO]],[2]!COMPROMISOS_2024[[#All],[concatenado]],[2]!COMPROMISOS_2024[[#All],[Total Comprometido]],"",0)</f>
        <v>#NAME?</v>
      </c>
      <c r="AL1346" s="47">
        <f>IF(PAA_4[[#This Row],[BOLSA]]=0,0,SUMIFS([2]!COMPROMISOS_2024[[#All],[Total Comprometido]],[2]!COMPROMISOS_2024[[#All],[Bolsa]],PAA_4[[#This Row],[BOLSA]],[2]!COMPROMISOS_2024[[#All],[concatenado]],PAA_4[[#This Row],[RCP-RUBRO]]))</f>
        <v>0</v>
      </c>
    </row>
    <row r="1347" spans="1:38" s="19" customFormat="1" ht="31.5" customHeight="1">
      <c r="A1347" s="47">
        <v>687</v>
      </c>
      <c r="B1347" s="47">
        <v>80141607</v>
      </c>
      <c r="C1347" s="47" t="str">
        <f>VLOOKUP(PAA_4[[#This Row],[PROYECTO (formulado)2]],[2]PROYECTOS!$G$1:$L$32,6,0)</f>
        <v>SUBGERENCIA DE FOMENTO Y DESARROLLO</v>
      </c>
      <c r="D1347" s="47" t="str">
        <f>+IF(PAA_4[[#This Row],[UNIDAD DE CONTRATACION (formulado)]]="Subgerencia Administrativa y Financiera","FUNCIONAMIENTO","INVERSIÓN")</f>
        <v>INVERSIÓN</v>
      </c>
      <c r="E1347" s="48" t="str">
        <f>VLOOKUP(Q1347,[2]PROYECTOS!$G$1:$K$32,5,0)</f>
        <v>FORTALECIMIENTO_DE_LOS_JUEGOS_DEL_SECTOR_SOCIAL_COMUNITARIO_EN_LOS_MUNICIPIOS_DEL_DEPARTAMENTO_DE_ANTIOQU</v>
      </c>
      <c r="F1347" s="48">
        <f>VLOOKUP(E1347,[2]PROYECTOS!$K$1:$M$32,3,0)</f>
        <v>2020003050033</v>
      </c>
      <c r="G1347" s="49" t="s">
        <v>394</v>
      </c>
      <c r="H1347" s="49" t="str">
        <f>VLOOKUP(Q1347,[2]PROYECTOS!$V$1:$W$32,2,0)</f>
        <v>050057</v>
      </c>
      <c r="I1347" s="50">
        <v>0</v>
      </c>
      <c r="J1347" s="70" t="s">
        <v>410</v>
      </c>
      <c r="K1347" s="47" t="str">
        <f t="shared" ca="1" si="479"/>
        <v>CONTRATADO</v>
      </c>
      <c r="L1347" s="47" t="s">
        <v>78</v>
      </c>
      <c r="M1347" s="47" t="s">
        <v>161</v>
      </c>
      <c r="N1347" s="52" t="s">
        <v>396</v>
      </c>
      <c r="O1347" s="51" t="e">
        <f>VLOOKUP(N1347,[2]!RUBROS[#All],3,0)</f>
        <v>#REF!</v>
      </c>
      <c r="P1347" s="53" t="e">
        <f>VLOOKUP(N1347,[2]!RUBROS[#All],2,0)</f>
        <v>#REF!</v>
      </c>
      <c r="Q1347" s="47" t="str">
        <f t="shared" si="480"/>
        <v>50</v>
      </c>
      <c r="R1347" s="47" t="str">
        <f t="shared" si="468"/>
        <v>0-205128</v>
      </c>
      <c r="S1347" s="54">
        <v>7.5</v>
      </c>
      <c r="T1347" s="59" t="s">
        <v>46</v>
      </c>
      <c r="U1347" s="326" t="e">
        <f ca="1">_xlfn.XLOOKUP(PAA_4[[#This Row],[ITEM]],[2]Contrato!A:A,[2]Contrato!Q:Q,"",0)</f>
        <v>#NAME?</v>
      </c>
      <c r="V1347" s="47" t="s">
        <v>47</v>
      </c>
      <c r="W1347" s="47" t="s">
        <v>119</v>
      </c>
      <c r="X1347" s="47" t="s">
        <v>119</v>
      </c>
      <c r="Y1347" s="55" t="e">
        <f ca="1">_xlfn.XLOOKUP(PAA_4[[#This Row],[ITEM]],[2]Contrato!A:A,[2]Contrato!B:B,"",0)</f>
        <v>#NAME?</v>
      </c>
      <c r="Z1347" s="47" t="e">
        <f ca="1">_xlfn.XLOOKUP(PAA_4[[#This Row],[ITEM]],[2]Contrato!A:A,[2]Contrato!G:G,"",0)</f>
        <v>#NAME?</v>
      </c>
      <c r="AA1347" s="47" t="e">
        <f ca="1">_xlfn.XLOOKUP(PAA_4[[#This Row],[ITEM]],[2]Contrato!A:A,[2]Contrato!T:T,"",0)</f>
        <v>#NAME?</v>
      </c>
      <c r="AB1347" s="55" t="e">
        <f ca="1">+MAX(PAA_4[[#This Row],[Comprometido Contrato]],PAA_4[[#This Row],[Comprometido Bolsa]])</f>
        <v>#NAME?</v>
      </c>
      <c r="AC1347" s="55" t="str">
        <f t="shared" ca="1" si="481"/>
        <v/>
      </c>
      <c r="AD1347" s="55" t="e">
        <f ca="1">IF(PAA_4[[#This Row],[ESTADO (formulado)]]="NO CONTRATADO",0,MAX(PAA_4[[#This Row],[Pago por Contrato]],PAA_4[[#This Row],[Pago por bolsa]]))</f>
        <v>#NAME?</v>
      </c>
      <c r="AE1347" s="55" t="str">
        <f t="shared" ca="1" si="482"/>
        <v/>
      </c>
      <c r="AF1347" s="47" t="e">
        <f t="shared" ca="1" si="483"/>
        <v>#NAME?</v>
      </c>
      <c r="AG1347" s="47">
        <f t="shared" si="484"/>
        <v>44021010</v>
      </c>
      <c r="AH1347" s="54">
        <f>IF(Q1347="22",IF(ISNUMBER(SEARCH("econ",PAA_4[[#This Row],[Actividad3]])),"Económico",IF(ISNUMBER(SEARCH("alim",PAA_4[[#This Row],[Actividad3]])),"Alimentación",IF(ISNUMBER(SEARCH("educ",PAA_4[[#This Row],[Actividad3]])),"Educativo","Técnico"))),0)</f>
        <v>0</v>
      </c>
      <c r="AI1347" s="47" t="e" cm="1">
        <f t="array" aca="1" ref="AI1347" ca="1">_xlfn.XLOOKUP(PAA_4[[#This Row],[RCP-RUBRO]],[2]!COMPROMISOS_2024[[#All],[concatenado]],[2]!COMPROMISOS_2024[[#All],[Total pagado]],"",0)</f>
        <v>#NAME?</v>
      </c>
      <c r="AJ1347" s="56">
        <f>IF(PAA_4[[#This Row],[BOLSA]]=0,0,SUMIFS([2]!COMPROMISOS_2024[[#All],[Total pagado]],[2]!COMPROMISOS_2024[[#All],[Bolsa]],PAA_4[[#This Row],[BOLSA]],[2]!COMPROMISOS_2024[[#All],[rubro]],PAA_4[[#This Row],[RCP-RUBRO]]))</f>
        <v>0</v>
      </c>
      <c r="AK1347" s="47" t="e" cm="1">
        <f t="array" aca="1" ref="AK1347" ca="1">_xlfn.XLOOKUP(PAA_4[[#This Row],[RCP-RUBRO]],[2]!COMPROMISOS_2024[[#All],[concatenado]],[2]!COMPROMISOS_2024[[#All],[Total Comprometido]],"",0)</f>
        <v>#NAME?</v>
      </c>
      <c r="AL1347" s="47">
        <f>IF(PAA_4[[#This Row],[BOLSA]]=0,0,SUMIFS([2]!COMPROMISOS_2024[[#All],[Total Comprometido]],[2]!COMPROMISOS_2024[[#All],[Bolsa]],PAA_4[[#This Row],[BOLSA]],[2]!COMPROMISOS_2024[[#All],[concatenado]],PAA_4[[#This Row],[RCP-RUBRO]]))</f>
        <v>0</v>
      </c>
    </row>
    <row r="1348" spans="1:38" s="19" customFormat="1" ht="31.5" customHeight="1">
      <c r="A1348" s="47">
        <v>687</v>
      </c>
      <c r="B1348" s="47">
        <v>80141607</v>
      </c>
      <c r="C1348" s="47" t="str">
        <f>VLOOKUP(PAA_4[[#This Row],[PROYECTO (formulado)2]],[2]PROYECTOS!$G$1:$L$32,6,0)</f>
        <v>SUBGERENCIA DE FOMENTO Y DESARROLLO</v>
      </c>
      <c r="D1348" s="47" t="str">
        <f>+IF(PAA_4[[#This Row],[UNIDAD DE CONTRATACION (formulado)]]="Subgerencia Administrativa y Financiera","FUNCIONAMIENTO","INVERSIÓN")</f>
        <v>INVERSIÓN</v>
      </c>
      <c r="E1348" s="48" t="str">
        <f>VLOOKUP(Q1348,[2]PROYECTOS!$G$1:$K$32,5,0)</f>
        <v>FORTALECIMIENTO_DE_LOS_JUEGOS_DEL_SECTOR_SOCIAL_COMUNITARIO_EN_LOS_MUNICIPIOS_DEL_DEPARTAMENTO_DE_ANTIOQU</v>
      </c>
      <c r="F1348" s="48">
        <f>VLOOKUP(E1348,[2]PROYECTOS!$K$1:$M$32,3,0)</f>
        <v>2020003050033</v>
      </c>
      <c r="G1348" s="49" t="s">
        <v>411</v>
      </c>
      <c r="H1348" s="49" t="str">
        <f>VLOOKUP(Q1348,[2]PROYECTOS!$V$1:$W$32,2,0)</f>
        <v>050057</v>
      </c>
      <c r="I1348" s="50">
        <v>0</v>
      </c>
      <c r="J1348" s="70" t="s">
        <v>410</v>
      </c>
      <c r="K1348" s="47" t="str">
        <f t="shared" ca="1" si="479"/>
        <v>CONTRATADO</v>
      </c>
      <c r="L1348" s="47" t="s">
        <v>78</v>
      </c>
      <c r="M1348" s="47" t="s">
        <v>161</v>
      </c>
      <c r="N1348" s="52" t="s">
        <v>396</v>
      </c>
      <c r="O1348" s="51" t="e">
        <f>VLOOKUP(N1348,[2]!RUBROS[#All],3,0)</f>
        <v>#REF!</v>
      </c>
      <c r="P1348" s="53" t="e">
        <f>VLOOKUP(N1348,[2]!RUBROS[#All],2,0)</f>
        <v>#REF!</v>
      </c>
      <c r="Q1348" s="47" t="str">
        <f t="shared" si="480"/>
        <v>50</v>
      </c>
      <c r="R1348" s="47" t="str">
        <f t="shared" ref="R1348:R1389" si="485">+MID(N1348,14,8)</f>
        <v>0-205128</v>
      </c>
      <c r="S1348" s="54">
        <v>7.5</v>
      </c>
      <c r="T1348" s="59" t="s">
        <v>46</v>
      </c>
      <c r="U1348" s="326" t="e">
        <f ca="1">_xlfn.XLOOKUP(PAA_4[[#This Row],[ITEM]],[2]Contrato!A:A,[2]Contrato!Q:Q,"",0)</f>
        <v>#NAME?</v>
      </c>
      <c r="V1348" s="47" t="s">
        <v>47</v>
      </c>
      <c r="W1348" s="47" t="s">
        <v>119</v>
      </c>
      <c r="X1348" s="47" t="s">
        <v>119</v>
      </c>
      <c r="Y1348" s="55" t="e">
        <f ca="1">_xlfn.XLOOKUP(PAA_4[[#This Row],[ITEM]],[2]Contrato!A:A,[2]Contrato!B:B,"",0)</f>
        <v>#NAME?</v>
      </c>
      <c r="Z1348" s="47" t="e">
        <f ca="1">_xlfn.XLOOKUP(PAA_4[[#This Row],[ITEM]],[2]Contrato!A:A,[2]Contrato!G:G,"",0)</f>
        <v>#NAME?</v>
      </c>
      <c r="AA1348" s="47" t="e">
        <f ca="1">_xlfn.XLOOKUP(PAA_4[[#This Row],[ITEM]],[2]Contrato!A:A,[2]Contrato!T:T,"",0)</f>
        <v>#NAME?</v>
      </c>
      <c r="AB1348" s="55" t="e">
        <f ca="1">+MAX(PAA_4[[#This Row],[Comprometido Contrato]],PAA_4[[#This Row],[Comprometido Bolsa]])</f>
        <v>#NAME?</v>
      </c>
      <c r="AC1348" s="55" t="str">
        <f t="shared" ca="1" si="481"/>
        <v/>
      </c>
      <c r="AD1348" s="55" t="e">
        <f ca="1">IF(PAA_4[[#This Row],[ESTADO (formulado)]]="NO CONTRATADO",0,MAX(PAA_4[[#This Row],[Pago por Contrato]],PAA_4[[#This Row],[Pago por bolsa]]))</f>
        <v>#NAME?</v>
      </c>
      <c r="AE1348" s="55" t="str">
        <f t="shared" ca="1" si="482"/>
        <v/>
      </c>
      <c r="AF1348" s="47" t="e">
        <f t="shared" ca="1" si="483"/>
        <v>#NAME?</v>
      </c>
      <c r="AG1348" s="47">
        <f t="shared" si="484"/>
        <v>44021010</v>
      </c>
      <c r="AH1348" s="54">
        <f>IF(Q1348="22",IF(ISNUMBER(SEARCH("econ",PAA_4[[#This Row],[Actividad3]])),"Económico",IF(ISNUMBER(SEARCH("alim",PAA_4[[#This Row],[Actividad3]])),"Alimentación",IF(ISNUMBER(SEARCH("educ",PAA_4[[#This Row],[Actividad3]])),"Educativo","Técnico"))),0)</f>
        <v>0</v>
      </c>
      <c r="AI1348" s="47" t="e" cm="1">
        <f t="array" aca="1" ref="AI1348" ca="1">_xlfn.XLOOKUP(PAA_4[[#This Row],[RCP-RUBRO]],[2]!COMPROMISOS_2024[[#All],[concatenado]],[2]!COMPROMISOS_2024[[#All],[Total pagado]],"",0)</f>
        <v>#NAME?</v>
      </c>
      <c r="AJ1348" s="56">
        <f>IF(PAA_4[[#This Row],[BOLSA]]=0,0,SUMIFS([2]!COMPROMISOS_2024[[#All],[Total pagado]],[2]!COMPROMISOS_2024[[#All],[Bolsa]],PAA_4[[#This Row],[BOLSA]],[2]!COMPROMISOS_2024[[#All],[rubro]],PAA_4[[#This Row],[RCP-RUBRO]]))</f>
        <v>0</v>
      </c>
      <c r="AK1348" s="47" t="e" cm="1">
        <f t="array" aca="1" ref="AK1348" ca="1">_xlfn.XLOOKUP(PAA_4[[#This Row],[RCP-RUBRO]],[2]!COMPROMISOS_2024[[#All],[concatenado]],[2]!COMPROMISOS_2024[[#All],[Total Comprometido]],"",0)</f>
        <v>#NAME?</v>
      </c>
      <c r="AL1348" s="47">
        <f>IF(PAA_4[[#This Row],[BOLSA]]=0,0,SUMIFS([2]!COMPROMISOS_2024[[#All],[Total Comprometido]],[2]!COMPROMISOS_2024[[#All],[Bolsa]],PAA_4[[#This Row],[BOLSA]],[2]!COMPROMISOS_2024[[#All],[concatenado]],PAA_4[[#This Row],[RCP-RUBRO]]))</f>
        <v>0</v>
      </c>
    </row>
    <row r="1349" spans="1:38" s="19" customFormat="1" ht="31.5" customHeight="1">
      <c r="A1349" s="47">
        <v>687</v>
      </c>
      <c r="B1349" s="47">
        <v>80141607</v>
      </c>
      <c r="C1349" s="47" t="str">
        <f>VLOOKUP(PAA_4[[#This Row],[PROYECTO (formulado)2]],[2]PROYECTOS!$G$1:$L$32,6,0)</f>
        <v>SUBGERENCIA DE FOMENTO Y DESARROLLO</v>
      </c>
      <c r="D1349" s="47" t="str">
        <f>+IF(PAA_4[[#This Row],[UNIDAD DE CONTRATACION (formulado)]]="Subgerencia Administrativa y Financiera","FUNCIONAMIENTO","INVERSIÓN")</f>
        <v>INVERSIÓN</v>
      </c>
      <c r="E1349" s="48" t="str">
        <f>VLOOKUP(Q1349,[2]PROYECTOS!$G$1:$K$32,5,0)</f>
        <v>FORTALECIMIENTO_DE_LOS_JUEGOS_DEL_SECTOR_EDUCATIVO_EN_ANTIOQUIA</v>
      </c>
      <c r="F1349" s="48">
        <f>VLOOKUP(E1349,[2]PROYECTOS!$K$1:$M$32,3,0)</f>
        <v>2020003050034</v>
      </c>
      <c r="G1349" s="49" t="s">
        <v>412</v>
      </c>
      <c r="H1349" s="49" t="str">
        <f>VLOOKUP(Q1349,[2]PROYECTOS!$V$1:$W$32,2,0)</f>
        <v>050053</v>
      </c>
      <c r="I1349" s="50">
        <v>0</v>
      </c>
      <c r="J1349" s="70" t="s">
        <v>410</v>
      </c>
      <c r="K1349" s="47" t="str">
        <f t="shared" ca="1" si="479"/>
        <v>CONTRATADO</v>
      </c>
      <c r="L1349" s="47" t="s">
        <v>78</v>
      </c>
      <c r="M1349" s="47" t="s">
        <v>161</v>
      </c>
      <c r="N1349" s="52" t="s">
        <v>144</v>
      </c>
      <c r="O1349" s="51" t="e">
        <f>VLOOKUP(N1349,[2]!RUBROS[#All],3,0)</f>
        <v>#REF!</v>
      </c>
      <c r="P1349" s="53" t="e">
        <f>VLOOKUP(N1349,[2]!RUBROS[#All],2,0)</f>
        <v>#REF!</v>
      </c>
      <c r="Q1349" s="47" t="str">
        <f t="shared" si="480"/>
        <v>51</v>
      </c>
      <c r="R1349" s="47" t="str">
        <f t="shared" si="485"/>
        <v>0-205128</v>
      </c>
      <c r="S1349" s="54">
        <v>7.5</v>
      </c>
      <c r="T1349" s="59" t="s">
        <v>46</v>
      </c>
      <c r="U1349" s="326" t="e">
        <f ca="1">_xlfn.XLOOKUP(PAA_4[[#This Row],[ITEM]],[2]Contrato!A:A,[2]Contrato!Q:Q,"",0)</f>
        <v>#NAME?</v>
      </c>
      <c r="V1349" s="47" t="s">
        <v>47</v>
      </c>
      <c r="W1349" s="47" t="s">
        <v>119</v>
      </c>
      <c r="X1349" s="47" t="s">
        <v>119</v>
      </c>
      <c r="Y1349" s="55" t="e">
        <f ca="1">_xlfn.XLOOKUP(PAA_4[[#This Row],[ITEM]],[2]Contrato!A:A,[2]Contrato!B:B,"",0)</f>
        <v>#NAME?</v>
      </c>
      <c r="Z1349" s="47" t="e">
        <f ca="1">_xlfn.XLOOKUP(PAA_4[[#This Row],[ITEM]],[2]Contrato!A:A,[2]Contrato!G:G,"",0)</f>
        <v>#NAME?</v>
      </c>
      <c r="AA1349" s="47" t="e">
        <f ca="1">_xlfn.XLOOKUP(PAA_4[[#This Row],[ITEM]],[2]Contrato!A:A,[2]Contrato!T:T,"",0)</f>
        <v>#NAME?</v>
      </c>
      <c r="AB1349" s="55" t="e">
        <f ca="1">+MAX(PAA_4[[#This Row],[Comprometido Contrato]],PAA_4[[#This Row],[Comprometido Bolsa]])</f>
        <v>#NAME?</v>
      </c>
      <c r="AC1349" s="55" t="str">
        <f t="shared" ca="1" si="481"/>
        <v/>
      </c>
      <c r="AD1349" s="55" t="e">
        <f ca="1">IF(PAA_4[[#This Row],[ESTADO (formulado)]]="NO CONTRATADO",0,MAX(PAA_4[[#This Row],[Pago por Contrato]],PAA_4[[#This Row],[Pago por bolsa]]))</f>
        <v>#NAME?</v>
      </c>
      <c r="AE1349" s="55" t="str">
        <f t="shared" ca="1" si="482"/>
        <v/>
      </c>
      <c r="AF1349" s="47" t="e">
        <f t="shared" ca="1" si="483"/>
        <v>#NAME?</v>
      </c>
      <c r="AG1349" s="47">
        <f t="shared" si="484"/>
        <v>44021011</v>
      </c>
      <c r="AH1349" s="54">
        <f>IF(Q1349="22",IF(ISNUMBER(SEARCH("econ",PAA_4[[#This Row],[Actividad3]])),"Económico",IF(ISNUMBER(SEARCH("alim",PAA_4[[#This Row],[Actividad3]])),"Alimentación",IF(ISNUMBER(SEARCH("educ",PAA_4[[#This Row],[Actividad3]])),"Educativo","Técnico"))),0)</f>
        <v>0</v>
      </c>
      <c r="AI1349" s="47" t="e" cm="1">
        <f t="array" aca="1" ref="AI1349" ca="1">_xlfn.XLOOKUP(PAA_4[[#This Row],[RCP-RUBRO]],[2]!COMPROMISOS_2024[[#All],[concatenado]],[2]!COMPROMISOS_2024[[#All],[Total pagado]],"",0)</f>
        <v>#NAME?</v>
      </c>
      <c r="AJ1349" s="56">
        <f>IF(PAA_4[[#This Row],[BOLSA]]=0,0,SUMIFS([2]!COMPROMISOS_2024[[#All],[Total pagado]],[2]!COMPROMISOS_2024[[#All],[Bolsa]],PAA_4[[#This Row],[BOLSA]],[2]!COMPROMISOS_2024[[#All],[rubro]],PAA_4[[#This Row],[RCP-RUBRO]]))</f>
        <v>0</v>
      </c>
      <c r="AK1349" s="47" t="e" cm="1">
        <f t="array" aca="1" ref="AK1349" ca="1">_xlfn.XLOOKUP(PAA_4[[#This Row],[RCP-RUBRO]],[2]!COMPROMISOS_2024[[#All],[concatenado]],[2]!COMPROMISOS_2024[[#All],[Total Comprometido]],"",0)</f>
        <v>#NAME?</v>
      </c>
      <c r="AL1349" s="47">
        <f>IF(PAA_4[[#This Row],[BOLSA]]=0,0,SUMIFS([2]!COMPROMISOS_2024[[#All],[Total Comprometido]],[2]!COMPROMISOS_2024[[#All],[Bolsa]],PAA_4[[#This Row],[BOLSA]],[2]!COMPROMISOS_2024[[#All],[concatenado]],PAA_4[[#This Row],[RCP-RUBRO]]))</f>
        <v>0</v>
      </c>
    </row>
    <row r="1350" spans="1:38" s="19" customFormat="1" ht="31.5" customHeight="1">
      <c r="A1350" s="47">
        <v>687</v>
      </c>
      <c r="B1350" s="47">
        <v>80141607</v>
      </c>
      <c r="C1350" s="47" t="str">
        <f>VLOOKUP(PAA_4[[#This Row],[PROYECTO (formulado)2]],[2]PROYECTOS!$G$1:$L$32,6,0)</f>
        <v>SUBGERENCIA DE FOMENTO Y DESARROLLO</v>
      </c>
      <c r="D1350" s="47" t="str">
        <f>+IF(PAA_4[[#This Row],[UNIDAD DE CONTRATACION (formulado)]]="Subgerencia Administrativa y Financiera","FUNCIONAMIENTO","INVERSIÓN")</f>
        <v>INVERSIÓN</v>
      </c>
      <c r="E1350" s="48" t="str">
        <f>VLOOKUP(Q1350,[2]PROYECTOS!$G$1:$K$32,5,0)</f>
        <v>FORTALECIMIENTO_DE_LOS_JUEGOS_DEL_SECTOR_EDUCATIVO_EN_ANTIOQUIA</v>
      </c>
      <c r="F1350" s="48">
        <f>VLOOKUP(E1350,[2]PROYECTOS!$K$1:$M$32,3,0)</f>
        <v>2020003050034</v>
      </c>
      <c r="G1350" s="49" t="s">
        <v>413</v>
      </c>
      <c r="H1350" s="49" t="str">
        <f>VLOOKUP(Q1350,[2]PROYECTOS!$V$1:$W$32,2,0)</f>
        <v>050053</v>
      </c>
      <c r="I1350" s="50">
        <v>0</v>
      </c>
      <c r="J1350" s="70" t="s">
        <v>410</v>
      </c>
      <c r="K1350" s="47" t="str">
        <f t="shared" ca="1" si="479"/>
        <v>CONTRATADO</v>
      </c>
      <c r="L1350" s="47" t="s">
        <v>78</v>
      </c>
      <c r="M1350" s="47" t="s">
        <v>161</v>
      </c>
      <c r="N1350" s="52" t="s">
        <v>144</v>
      </c>
      <c r="O1350" s="51" t="e">
        <f>VLOOKUP(N1350,[2]!RUBROS[#All],3,0)</f>
        <v>#REF!</v>
      </c>
      <c r="P1350" s="53" t="e">
        <f>VLOOKUP(N1350,[2]!RUBROS[#All],2,0)</f>
        <v>#REF!</v>
      </c>
      <c r="Q1350" s="47" t="str">
        <f t="shared" si="480"/>
        <v>51</v>
      </c>
      <c r="R1350" s="47" t="str">
        <f t="shared" si="485"/>
        <v>0-205128</v>
      </c>
      <c r="S1350" s="54">
        <v>7.5</v>
      </c>
      <c r="T1350" s="59" t="s">
        <v>46</v>
      </c>
      <c r="U1350" s="326" t="e">
        <f ca="1">_xlfn.XLOOKUP(PAA_4[[#This Row],[ITEM]],[2]Contrato!A:A,[2]Contrato!Q:Q,"",0)</f>
        <v>#NAME?</v>
      </c>
      <c r="V1350" s="47" t="s">
        <v>47</v>
      </c>
      <c r="W1350" s="47" t="s">
        <v>119</v>
      </c>
      <c r="X1350" s="47" t="s">
        <v>119</v>
      </c>
      <c r="Y1350" s="55" t="e">
        <f ca="1">_xlfn.XLOOKUP(PAA_4[[#This Row],[ITEM]],[2]Contrato!A:A,[2]Contrato!B:B,"",0)</f>
        <v>#NAME?</v>
      </c>
      <c r="Z1350" s="47" t="e">
        <f ca="1">_xlfn.XLOOKUP(PAA_4[[#This Row],[ITEM]],[2]Contrato!A:A,[2]Contrato!G:G,"",0)</f>
        <v>#NAME?</v>
      </c>
      <c r="AA1350" s="47" t="e">
        <f ca="1">_xlfn.XLOOKUP(PAA_4[[#This Row],[ITEM]],[2]Contrato!A:A,[2]Contrato!T:T,"",0)</f>
        <v>#NAME?</v>
      </c>
      <c r="AB1350" s="55" t="e">
        <f ca="1">+MAX(PAA_4[[#This Row],[Comprometido Contrato]],PAA_4[[#This Row],[Comprometido Bolsa]])</f>
        <v>#NAME?</v>
      </c>
      <c r="AC1350" s="55" t="str">
        <f t="shared" ca="1" si="481"/>
        <v/>
      </c>
      <c r="AD1350" s="55" t="e">
        <f ca="1">IF(PAA_4[[#This Row],[ESTADO (formulado)]]="NO CONTRATADO",0,MAX(PAA_4[[#This Row],[Pago por Contrato]],PAA_4[[#This Row],[Pago por bolsa]]))</f>
        <v>#NAME?</v>
      </c>
      <c r="AE1350" s="55" t="str">
        <f t="shared" ca="1" si="482"/>
        <v/>
      </c>
      <c r="AF1350" s="47" t="e">
        <f t="shared" ca="1" si="483"/>
        <v>#NAME?</v>
      </c>
      <c r="AG1350" s="47">
        <f t="shared" si="484"/>
        <v>44021011</v>
      </c>
      <c r="AH1350" s="54">
        <f>IF(Q1350="22",IF(ISNUMBER(SEARCH("econ",PAA_4[[#This Row],[Actividad3]])),"Económico",IF(ISNUMBER(SEARCH("alim",PAA_4[[#This Row],[Actividad3]])),"Alimentación",IF(ISNUMBER(SEARCH("educ",PAA_4[[#This Row],[Actividad3]])),"Educativo","Técnico"))),0)</f>
        <v>0</v>
      </c>
      <c r="AI1350" s="47" t="e" cm="1">
        <f t="array" aca="1" ref="AI1350" ca="1">_xlfn.XLOOKUP(PAA_4[[#This Row],[RCP-RUBRO]],[2]!COMPROMISOS_2024[[#All],[concatenado]],[2]!COMPROMISOS_2024[[#All],[Total pagado]],"",0)</f>
        <v>#NAME?</v>
      </c>
      <c r="AJ1350" s="56">
        <f>IF(PAA_4[[#This Row],[BOLSA]]=0,0,SUMIFS([2]!COMPROMISOS_2024[[#All],[Total pagado]],[2]!COMPROMISOS_2024[[#All],[Bolsa]],PAA_4[[#This Row],[BOLSA]],[2]!COMPROMISOS_2024[[#All],[rubro]],PAA_4[[#This Row],[RCP-RUBRO]]))</f>
        <v>0</v>
      </c>
      <c r="AK1350" s="47" t="e" cm="1">
        <f t="array" aca="1" ref="AK1350" ca="1">_xlfn.XLOOKUP(PAA_4[[#This Row],[RCP-RUBRO]],[2]!COMPROMISOS_2024[[#All],[concatenado]],[2]!COMPROMISOS_2024[[#All],[Total Comprometido]],"",0)</f>
        <v>#NAME?</v>
      </c>
      <c r="AL1350" s="47">
        <f>IF(PAA_4[[#This Row],[BOLSA]]=0,0,SUMIFS([2]!COMPROMISOS_2024[[#All],[Total Comprometido]],[2]!COMPROMISOS_2024[[#All],[Bolsa]],PAA_4[[#This Row],[BOLSA]],[2]!COMPROMISOS_2024[[#All],[concatenado]],PAA_4[[#This Row],[RCP-RUBRO]]))</f>
        <v>0</v>
      </c>
    </row>
    <row r="1351" spans="1:38" s="19" customFormat="1" ht="31.5" customHeight="1">
      <c r="A1351" s="47">
        <v>475</v>
      </c>
      <c r="B1351" s="47">
        <v>80111600</v>
      </c>
      <c r="C1351" s="47" t="str">
        <f>VLOOKUP(PAA_4[[#This Row],[PROYECTO (formulado)2]],[2]PROYECTOS!$G$1:$L$32,6,0)</f>
        <v>SUBGERENCIA DE FOMENTO Y DESARROLLO</v>
      </c>
      <c r="D1351" s="47" t="str">
        <f>+IF(PAA_4[[#This Row],[UNIDAD DE CONTRATACION (formulado)]]="Subgerencia Administrativa y Financiera","FUNCIONAMIENTO","INVERSIÓN")</f>
        <v>INVERSIÓN</v>
      </c>
      <c r="E1351" s="48" t="str">
        <f>VLOOKUP(Q1351,[2]PROYECTOS!$G$1:$K$32,5,0)</f>
        <v>FORTALECIMIENTO_DE_LOS_JUEGOS_DEL_SECTOR_SOCIAL_COMUNITARIO_EN_LOS_MUNICIPIOS_DEL_DEPARTAMENTO_DE_ANTIOQU</v>
      </c>
      <c r="F1351" s="48">
        <f>VLOOKUP(E1351,[2]PROYECTOS!$K$1:$M$32,3,0)</f>
        <v>2020003050033</v>
      </c>
      <c r="G1351" s="49" t="s">
        <v>342</v>
      </c>
      <c r="H1351" s="49" t="str">
        <f>VLOOKUP(Q1351,[2]PROYECTOS!$V$1:$W$32,2,0)</f>
        <v>050057</v>
      </c>
      <c r="I1351" s="50">
        <v>0</v>
      </c>
      <c r="J1351" s="70" t="s">
        <v>409</v>
      </c>
      <c r="K1351" s="47" t="str">
        <f t="shared" ca="1" si="479"/>
        <v>CONTRATADO</v>
      </c>
      <c r="L1351" s="47" t="s">
        <v>94</v>
      </c>
      <c r="M1351" s="47" t="s">
        <v>1297</v>
      </c>
      <c r="N1351" s="52" t="s">
        <v>396</v>
      </c>
      <c r="O1351" s="51" t="e">
        <f>VLOOKUP(N1351,[2]!RUBROS[#All],3,0)</f>
        <v>#REF!</v>
      </c>
      <c r="P1351" s="53" t="e">
        <f>VLOOKUP(N1351,[2]!RUBROS[#All],2,0)</f>
        <v>#REF!</v>
      </c>
      <c r="Q1351" s="47" t="str">
        <f t="shared" si="480"/>
        <v>50</v>
      </c>
      <c r="R1351" s="47" t="str">
        <f t="shared" si="485"/>
        <v>0-205128</v>
      </c>
      <c r="S1351" s="54">
        <v>8</v>
      </c>
      <c r="T1351" s="59" t="s">
        <v>46</v>
      </c>
      <c r="U1351" s="326" t="e">
        <f ca="1">_xlfn.XLOOKUP(PAA_4[[#This Row],[ITEM]],[2]Contrato!A:A,[2]Contrato!Q:Q,"",0)</f>
        <v>#NAME?</v>
      </c>
      <c r="V1351" s="47" t="s">
        <v>47</v>
      </c>
      <c r="W1351" s="47" t="s">
        <v>119</v>
      </c>
      <c r="X1351" s="47" t="s">
        <v>119</v>
      </c>
      <c r="Y1351" s="55" t="e">
        <f ca="1">_xlfn.XLOOKUP(PAA_4[[#This Row],[ITEM]],[2]Contrato!A:A,[2]Contrato!B:B,"",0)</f>
        <v>#NAME?</v>
      </c>
      <c r="Z1351" s="47" t="e">
        <f ca="1">_xlfn.XLOOKUP(PAA_4[[#This Row],[ITEM]],[2]Contrato!A:A,[2]Contrato!G:G,"",0)</f>
        <v>#NAME?</v>
      </c>
      <c r="AA1351" s="47" t="e">
        <f ca="1">_xlfn.XLOOKUP(PAA_4[[#This Row],[ITEM]],[2]Contrato!A:A,[2]Contrato!T:T,"",0)</f>
        <v>#NAME?</v>
      </c>
      <c r="AB1351" s="55" t="e">
        <f ca="1">+MAX(PAA_4[[#This Row],[Comprometido Contrato]],PAA_4[[#This Row],[Comprometido Bolsa]])</f>
        <v>#NAME?</v>
      </c>
      <c r="AC1351" s="55" t="str">
        <f t="shared" ca="1" si="481"/>
        <v/>
      </c>
      <c r="AD1351" s="55" t="e">
        <f ca="1">IF(PAA_4[[#This Row],[ESTADO (formulado)]]="NO CONTRATADO",0,MAX(PAA_4[[#This Row],[Pago por Contrato]],PAA_4[[#This Row],[Pago por bolsa]]))</f>
        <v>#NAME?</v>
      </c>
      <c r="AE1351" s="55" t="str">
        <f t="shared" ca="1" si="482"/>
        <v/>
      </c>
      <c r="AF1351" s="47" t="e">
        <f t="shared" ca="1" si="483"/>
        <v>#NAME?</v>
      </c>
      <c r="AG1351" s="47">
        <f t="shared" si="484"/>
        <v>44021010</v>
      </c>
      <c r="AH1351" s="54">
        <f>IF(Q1351="22",IF(ISNUMBER(SEARCH("econ",PAA_4[[#This Row],[Actividad3]])),"Económico",IF(ISNUMBER(SEARCH("alim",PAA_4[[#This Row],[Actividad3]])),"Alimentación",IF(ISNUMBER(SEARCH("educ",PAA_4[[#This Row],[Actividad3]])),"Educativo","Técnico"))),0)</f>
        <v>0</v>
      </c>
      <c r="AI1351" s="47" t="e" cm="1">
        <f t="array" aca="1" ref="AI1351" ca="1">_xlfn.XLOOKUP(PAA_4[[#This Row],[RCP-RUBRO]],[2]!COMPROMISOS_2024[[#All],[concatenado]],[2]!COMPROMISOS_2024[[#All],[Total pagado]],"",0)</f>
        <v>#NAME?</v>
      </c>
      <c r="AJ1351" s="56">
        <f>IF(PAA_4[[#This Row],[BOLSA]]=0,0,SUMIFS([2]!COMPROMISOS_2024[[#All],[Total pagado]],[2]!COMPROMISOS_2024[[#All],[Bolsa]],PAA_4[[#This Row],[BOLSA]],[2]!COMPROMISOS_2024[[#All],[rubro]],PAA_4[[#This Row],[RCP-RUBRO]]))</f>
        <v>0</v>
      </c>
      <c r="AK1351" s="47" t="e" cm="1">
        <f t="array" aca="1" ref="AK1351" ca="1">_xlfn.XLOOKUP(PAA_4[[#This Row],[RCP-RUBRO]],[2]!COMPROMISOS_2024[[#All],[concatenado]],[2]!COMPROMISOS_2024[[#All],[Total Comprometido]],"",0)</f>
        <v>#NAME?</v>
      </c>
      <c r="AL1351" s="47">
        <f>IF(PAA_4[[#This Row],[BOLSA]]=0,0,SUMIFS([2]!COMPROMISOS_2024[[#All],[Total Comprometido]],[2]!COMPROMISOS_2024[[#All],[Bolsa]],PAA_4[[#This Row],[BOLSA]],[2]!COMPROMISOS_2024[[#All],[concatenado]],PAA_4[[#This Row],[RCP-RUBRO]]))</f>
        <v>0</v>
      </c>
    </row>
    <row r="1352" spans="1:38" s="19" customFormat="1" ht="31.5" customHeight="1">
      <c r="A1352" s="47" t="s">
        <v>82</v>
      </c>
      <c r="B1352" s="47" t="s">
        <v>42</v>
      </c>
      <c r="C1352" s="47" t="str">
        <f>VLOOKUP(PAA_4[[#This Row],[PROYECTO (formulado)2]],[2]PROYECTOS!$G$1:$L$32,6,0)</f>
        <v>SUBGERENCIA DE FOMENTO Y DESARROLLO</v>
      </c>
      <c r="D1352" s="47" t="str">
        <f>+IF(PAA_4[[#This Row],[UNIDAD DE CONTRATACION (formulado)]]="Subgerencia Administrativa y Financiera","FUNCIONAMIENTO","INVERSIÓN")</f>
        <v>INVERSIÓN</v>
      </c>
      <c r="E1352" s="48" t="str">
        <f>VLOOKUP(Q1352,[2]PROYECTOS!$G$1:$K$32,5,0)</f>
        <v>FORTALECIMIENTO_DE_LOS_JUEGOS_DEL_SECTOR_EDUCATIVO_EN_ANTIOQUIA</v>
      </c>
      <c r="F1352" s="48">
        <f>VLOOKUP(E1352,[2]PROYECTOS!$K$1:$M$32,3,0)</f>
        <v>2020003050034</v>
      </c>
      <c r="G1352" s="49" t="s">
        <v>340</v>
      </c>
      <c r="H1352" s="49" t="str">
        <f>VLOOKUP(Q1352,[2]PROYECTOS!$V$1:$W$32,2,0)</f>
        <v>050053</v>
      </c>
      <c r="I1352" s="50">
        <v>0</v>
      </c>
      <c r="J1352" s="70" t="s">
        <v>1850</v>
      </c>
      <c r="K1352" s="47" t="str">
        <f t="shared" ca="1" si="479"/>
        <v>CONTRATADO</v>
      </c>
      <c r="L1352" s="47" t="s">
        <v>42</v>
      </c>
      <c r="M1352" s="47" t="s">
        <v>42</v>
      </c>
      <c r="N1352" s="52" t="s">
        <v>144</v>
      </c>
      <c r="O1352" s="51" t="e">
        <f>VLOOKUP(N1352,[2]!RUBROS[#All],3,0)</f>
        <v>#REF!</v>
      </c>
      <c r="P1352" s="53" t="e">
        <f>VLOOKUP(N1352,[2]!RUBROS[#All],2,0)</f>
        <v>#REF!</v>
      </c>
      <c r="Q1352" s="47" t="str">
        <f t="shared" si="480"/>
        <v>51</v>
      </c>
      <c r="R1352" s="47" t="str">
        <f t="shared" si="485"/>
        <v>0-205128</v>
      </c>
      <c r="S1352" s="54" t="s">
        <v>42</v>
      </c>
      <c r="T1352" s="59" t="s">
        <v>42</v>
      </c>
      <c r="U1352" s="326" t="e">
        <f ca="1">_xlfn.XLOOKUP(PAA_4[[#This Row],[ITEM]],[2]Contrato!A:A,[2]Contrato!Q:Q,"",0)</f>
        <v>#NAME?</v>
      </c>
      <c r="V1352" s="47" t="s">
        <v>42</v>
      </c>
      <c r="W1352" s="47" t="s">
        <v>42</v>
      </c>
      <c r="X1352" s="47" t="s">
        <v>42</v>
      </c>
      <c r="Y1352" s="55" t="e">
        <f ca="1">_xlfn.XLOOKUP(PAA_4[[#This Row],[ITEM]],[2]Contrato!A:A,[2]Contrato!B:B,"",0)</f>
        <v>#NAME?</v>
      </c>
      <c r="Z1352" s="47" t="e">
        <f ca="1">_xlfn.XLOOKUP(PAA_4[[#This Row],[ITEM]],[2]Contrato!A:A,[2]Contrato!G:G,"",0)</f>
        <v>#NAME?</v>
      </c>
      <c r="AA1352" s="47" t="e">
        <f ca="1">_xlfn.XLOOKUP(PAA_4[[#This Row],[ITEM]],[2]Contrato!A:A,[2]Contrato!T:T,"",0)</f>
        <v>#NAME?</v>
      </c>
      <c r="AB1352" s="55" t="e">
        <f ca="1">+MAX(PAA_4[[#This Row],[Comprometido Contrato]],PAA_4[[#This Row],[Comprometido Bolsa]])</f>
        <v>#NAME?</v>
      </c>
      <c r="AC1352" s="55" t="str">
        <f t="shared" ca="1" si="481"/>
        <v/>
      </c>
      <c r="AD1352" s="55" t="e">
        <f ca="1">IF(PAA_4[[#This Row],[ESTADO (formulado)]]="NO CONTRATADO",0,MAX(PAA_4[[#This Row],[Pago por Contrato]],PAA_4[[#This Row],[Pago por bolsa]]))</f>
        <v>#NAME?</v>
      </c>
      <c r="AE1352" s="55" t="str">
        <f t="shared" ca="1" si="482"/>
        <v/>
      </c>
      <c r="AF1352" s="47" t="e">
        <f t="shared" ca="1" si="483"/>
        <v>#NAME?</v>
      </c>
      <c r="AG1352" s="47">
        <f t="shared" si="484"/>
        <v>44021011</v>
      </c>
      <c r="AH1352" s="54">
        <f>IF(Q1352="22",IF(ISNUMBER(SEARCH("econ",PAA_4[[#This Row],[Actividad3]])),"Económico",IF(ISNUMBER(SEARCH("alim",PAA_4[[#This Row],[Actividad3]])),"Alimentación",IF(ISNUMBER(SEARCH("educ",PAA_4[[#This Row],[Actividad3]])),"Educativo","Técnico"))),0)</f>
        <v>0</v>
      </c>
      <c r="AI1352" s="47" t="e" cm="1">
        <f t="array" aca="1" ref="AI1352" ca="1">_xlfn.XLOOKUP(PAA_4[[#This Row],[RCP-RUBRO]],[2]!COMPROMISOS_2024[[#All],[concatenado]],[2]!COMPROMISOS_2024[[#All],[Total pagado]],"",0)</f>
        <v>#NAME?</v>
      </c>
      <c r="AJ1352" s="56">
        <f>IF(PAA_4[[#This Row],[BOLSA]]=0,0,SUMIFS([2]!COMPROMISOS_2024[[#All],[Total pagado]],[2]!COMPROMISOS_2024[[#All],[Bolsa]],PAA_4[[#This Row],[BOLSA]],[2]!COMPROMISOS_2024[[#All],[rubro]],PAA_4[[#This Row],[RCP-RUBRO]]))</f>
        <v>0</v>
      </c>
      <c r="AK1352" s="47" t="e" cm="1">
        <f t="array" aca="1" ref="AK1352" ca="1">_xlfn.XLOOKUP(PAA_4[[#This Row],[RCP-RUBRO]],[2]!COMPROMISOS_2024[[#All],[concatenado]],[2]!COMPROMISOS_2024[[#All],[Total Comprometido]],"",0)</f>
        <v>#NAME?</v>
      </c>
      <c r="AL1352" s="47">
        <f>IF(PAA_4[[#This Row],[BOLSA]]=0,0,SUMIFS([2]!COMPROMISOS_2024[[#All],[Total Comprometido]],[2]!COMPROMISOS_2024[[#All],[Bolsa]],PAA_4[[#This Row],[BOLSA]],[2]!COMPROMISOS_2024[[#All],[concatenado]],PAA_4[[#This Row],[RCP-RUBRO]]))</f>
        <v>0</v>
      </c>
    </row>
    <row r="1353" spans="1:38" s="19" customFormat="1" ht="31.5" customHeight="1">
      <c r="A1353" s="47">
        <v>694</v>
      </c>
      <c r="B1353" s="47">
        <v>80111600</v>
      </c>
      <c r="C1353" s="47" t="str">
        <f>VLOOKUP(PAA_4[[#This Row],[PROYECTO (formulado)2]],[2]PROYECTOS!$G$1:$L$32,6,0)</f>
        <v>SUBGERENCIA DE FOMENTO Y DESARROLLO</v>
      </c>
      <c r="D1353" s="47" t="str">
        <f>+IF(PAA_4[[#This Row],[UNIDAD DE CONTRATACION (formulado)]]="Subgerencia Administrativa y Financiera","FUNCIONAMIENTO","INVERSIÓN")</f>
        <v>INVERSIÓN</v>
      </c>
      <c r="E1353" s="48" t="str">
        <f>VLOOKUP(Q1353,[2]PROYECTOS!$G$1:$K$32,5,0)</f>
        <v>FORTALECIMIENTO_DE_LOS_JUEGOS_DEL_SECTOR_EDUCATIVO_EN_ANTIOQUIA</v>
      </c>
      <c r="F1353" s="48">
        <f>VLOOKUP(E1353,[2]PROYECTOS!$K$1:$M$32,3,0)</f>
        <v>2020003050034</v>
      </c>
      <c r="G1353" s="49" t="s">
        <v>340</v>
      </c>
      <c r="H1353" s="49" t="str">
        <f>VLOOKUP(Q1353,[2]PROYECTOS!$V$1:$W$32,2,0)</f>
        <v>050053</v>
      </c>
      <c r="I1353" s="50">
        <f>10682639-529787</f>
        <v>10152852</v>
      </c>
      <c r="J1353" s="70" t="s">
        <v>414</v>
      </c>
      <c r="K1353" s="47" t="str">
        <f t="shared" ca="1" si="479"/>
        <v>CONTRATADO</v>
      </c>
      <c r="L1353" s="47" t="s">
        <v>94</v>
      </c>
      <c r="M1353" s="47" t="s">
        <v>1297</v>
      </c>
      <c r="N1353" s="52" t="s">
        <v>144</v>
      </c>
      <c r="O1353" s="51" t="e">
        <f>VLOOKUP(N1353,[2]!RUBROS[#All],3,0)</f>
        <v>#REF!</v>
      </c>
      <c r="P1353" s="53" t="e">
        <f>VLOOKUP(N1353,[2]!RUBROS[#All],2,0)</f>
        <v>#REF!</v>
      </c>
      <c r="Q1353" s="47" t="str">
        <f t="shared" si="480"/>
        <v>51</v>
      </c>
      <c r="R1353" s="47" t="str">
        <f t="shared" si="485"/>
        <v>0-205128</v>
      </c>
      <c r="S1353" s="54">
        <v>7</v>
      </c>
      <c r="T1353" s="59" t="s">
        <v>46</v>
      </c>
      <c r="U1353" s="326" t="e">
        <f ca="1">_xlfn.XLOOKUP(PAA_4[[#This Row],[ITEM]],[2]Contrato!A:A,[2]Contrato!Q:Q,"",0)</f>
        <v>#NAME?</v>
      </c>
      <c r="V1353" s="47" t="s">
        <v>47</v>
      </c>
      <c r="W1353" s="47" t="s">
        <v>119</v>
      </c>
      <c r="X1353" s="47" t="s">
        <v>119</v>
      </c>
      <c r="Y1353" s="55" t="e">
        <f ca="1">_xlfn.XLOOKUP(PAA_4[[#This Row],[ITEM]],[2]Contrato!A:A,[2]Contrato!B:B,"",0)</f>
        <v>#NAME?</v>
      </c>
      <c r="Z1353" s="47" t="e">
        <f ca="1">_xlfn.XLOOKUP(PAA_4[[#This Row],[ITEM]],[2]Contrato!A:A,[2]Contrato!G:G,"",0)</f>
        <v>#NAME?</v>
      </c>
      <c r="AA1353" s="47" t="e">
        <f ca="1">_xlfn.XLOOKUP(PAA_4[[#This Row],[ITEM]],[2]Contrato!A:A,[2]Contrato!T:T,"",0)</f>
        <v>#NAME?</v>
      </c>
      <c r="AB1353" s="55" t="e">
        <f ca="1">+MAX(PAA_4[[#This Row],[Comprometido Contrato]],PAA_4[[#This Row],[Comprometido Bolsa]])</f>
        <v>#NAME?</v>
      </c>
      <c r="AC1353" s="55" t="str">
        <f t="shared" ca="1" si="481"/>
        <v/>
      </c>
      <c r="AD1353" s="55" t="e">
        <f ca="1">IF(PAA_4[[#This Row],[ESTADO (formulado)]]="NO CONTRATADO",0,MAX(PAA_4[[#This Row],[Pago por Contrato]],PAA_4[[#This Row],[Pago por bolsa]]))</f>
        <v>#NAME?</v>
      </c>
      <c r="AE1353" s="55" t="str">
        <f t="shared" ca="1" si="482"/>
        <v/>
      </c>
      <c r="AF1353" s="47" t="e">
        <f t="shared" ca="1" si="483"/>
        <v>#NAME?</v>
      </c>
      <c r="AG1353" s="47">
        <f t="shared" si="484"/>
        <v>44021011</v>
      </c>
      <c r="AH1353" s="54">
        <f>IF(Q1353="22",IF(ISNUMBER(SEARCH("econ",PAA_4[[#This Row],[Actividad3]])),"Económico",IF(ISNUMBER(SEARCH("alim",PAA_4[[#This Row],[Actividad3]])),"Alimentación",IF(ISNUMBER(SEARCH("educ",PAA_4[[#This Row],[Actividad3]])),"Educativo","Técnico"))),0)</f>
        <v>0</v>
      </c>
      <c r="AI1353" s="47" t="e" cm="1">
        <f t="array" aca="1" ref="AI1353" ca="1">_xlfn.XLOOKUP(PAA_4[[#This Row],[RCP-RUBRO]],[2]!COMPROMISOS_2024[[#All],[concatenado]],[2]!COMPROMISOS_2024[[#All],[Total pagado]],"",0)</f>
        <v>#NAME?</v>
      </c>
      <c r="AJ1353" s="56">
        <f>IF(PAA_4[[#This Row],[BOLSA]]=0,0,SUMIFS([2]!COMPROMISOS_2024[[#All],[Total pagado]],[2]!COMPROMISOS_2024[[#All],[Bolsa]],PAA_4[[#This Row],[BOLSA]],[2]!COMPROMISOS_2024[[#All],[rubro]],PAA_4[[#This Row],[RCP-RUBRO]]))</f>
        <v>0</v>
      </c>
      <c r="AK1353" s="47" t="e" cm="1">
        <f t="array" aca="1" ref="AK1353" ca="1">_xlfn.XLOOKUP(PAA_4[[#This Row],[RCP-RUBRO]],[2]!COMPROMISOS_2024[[#All],[concatenado]],[2]!COMPROMISOS_2024[[#All],[Total Comprometido]],"",0)</f>
        <v>#NAME?</v>
      </c>
      <c r="AL1353" s="47">
        <f>IF(PAA_4[[#This Row],[BOLSA]]=0,0,SUMIFS([2]!COMPROMISOS_2024[[#All],[Total Comprometido]],[2]!COMPROMISOS_2024[[#All],[Bolsa]],PAA_4[[#This Row],[BOLSA]],[2]!COMPROMISOS_2024[[#All],[concatenado]],PAA_4[[#This Row],[RCP-RUBRO]]))</f>
        <v>0</v>
      </c>
    </row>
    <row r="1354" spans="1:38" s="19" customFormat="1" ht="31.5" customHeight="1">
      <c r="A1354" s="47" t="s">
        <v>82</v>
      </c>
      <c r="B1354" s="47" t="s">
        <v>42</v>
      </c>
      <c r="C1354" s="47" t="str">
        <f>VLOOKUP(PAA_4[[#This Row],[PROYECTO (formulado)2]],[2]PROYECTOS!$G$1:$L$32,6,0)</f>
        <v>SUBGERENCIA DE FOMENTO Y DESARROLLO</v>
      </c>
      <c r="D1354" s="47" t="str">
        <f>+IF(PAA_4[[#This Row],[UNIDAD DE CONTRATACION (formulado)]]="Subgerencia Administrativa y Financiera","FUNCIONAMIENTO","INVERSIÓN")</f>
        <v>INVERSIÓN</v>
      </c>
      <c r="E1354" s="48" t="str">
        <f>VLOOKUP(Q1354,[2]PROYECTOS!$G$1:$K$32,5,0)</f>
        <v>FORTALECIMIENTO_DE_LOS_JUEGOS_DEL_SECTOR_SOCIAL_COMUNITARIO_EN_LOS_MUNICIPIOS_DEL_DEPARTAMENTO_DE_ANTIOQU</v>
      </c>
      <c r="F1354" s="48">
        <f>VLOOKUP(E1354,[2]PROYECTOS!$K$1:$M$32,3,0)</f>
        <v>2020003050033</v>
      </c>
      <c r="G1354" s="49" t="s">
        <v>342</v>
      </c>
      <c r="H1354" s="49" t="str">
        <f>VLOOKUP(Q1354,[2]PROYECTOS!$V$1:$W$32,2,0)</f>
        <v>050057</v>
      </c>
      <c r="I1354" s="50">
        <v>0</v>
      </c>
      <c r="J1354" s="70" t="s">
        <v>1850</v>
      </c>
      <c r="K1354" s="47" t="str">
        <f t="shared" ca="1" si="479"/>
        <v>CONTRATADO</v>
      </c>
      <c r="L1354" s="47" t="s">
        <v>42</v>
      </c>
      <c r="M1354" s="47" t="s">
        <v>42</v>
      </c>
      <c r="N1354" s="52" t="s">
        <v>396</v>
      </c>
      <c r="O1354" s="51" t="e">
        <f>VLOOKUP(N1354,[2]!RUBROS[#All],3,0)</f>
        <v>#REF!</v>
      </c>
      <c r="P1354" s="53" t="e">
        <f>VLOOKUP(N1354,[2]!RUBROS[#All],2,0)</f>
        <v>#REF!</v>
      </c>
      <c r="Q1354" s="47" t="str">
        <f t="shared" si="480"/>
        <v>50</v>
      </c>
      <c r="R1354" s="47" t="str">
        <f t="shared" si="485"/>
        <v>0-205128</v>
      </c>
      <c r="S1354" s="54" t="s">
        <v>42</v>
      </c>
      <c r="T1354" s="59" t="s">
        <v>42</v>
      </c>
      <c r="U1354" s="326" t="e">
        <f ca="1">_xlfn.XLOOKUP(PAA_4[[#This Row],[ITEM]],[2]Contrato!A:A,[2]Contrato!Q:Q,"",0)</f>
        <v>#NAME?</v>
      </c>
      <c r="V1354" s="47" t="s">
        <v>42</v>
      </c>
      <c r="W1354" s="47" t="s">
        <v>42</v>
      </c>
      <c r="X1354" s="47" t="s">
        <v>42</v>
      </c>
      <c r="Y1354" s="55" t="e">
        <f ca="1">_xlfn.XLOOKUP(PAA_4[[#This Row],[ITEM]],[2]Contrato!A:A,[2]Contrato!B:B,"",0)</f>
        <v>#NAME?</v>
      </c>
      <c r="Z1354" s="47" t="e">
        <f ca="1">_xlfn.XLOOKUP(PAA_4[[#This Row],[ITEM]],[2]Contrato!A:A,[2]Contrato!G:G,"",0)</f>
        <v>#NAME?</v>
      </c>
      <c r="AA1354" s="47" t="e">
        <f ca="1">_xlfn.XLOOKUP(PAA_4[[#This Row],[ITEM]],[2]Contrato!A:A,[2]Contrato!T:T,"",0)</f>
        <v>#NAME?</v>
      </c>
      <c r="AB1354" s="55" t="e">
        <f ca="1">+MAX(PAA_4[[#This Row],[Comprometido Contrato]],PAA_4[[#This Row],[Comprometido Bolsa]])</f>
        <v>#NAME?</v>
      </c>
      <c r="AC1354" s="55" t="str">
        <f t="shared" ca="1" si="481"/>
        <v/>
      </c>
      <c r="AD1354" s="55" t="e">
        <f ca="1">IF(PAA_4[[#This Row],[ESTADO (formulado)]]="NO CONTRATADO",0,MAX(PAA_4[[#This Row],[Pago por Contrato]],PAA_4[[#This Row],[Pago por bolsa]]))</f>
        <v>#NAME?</v>
      </c>
      <c r="AE1354" s="55" t="str">
        <f t="shared" ca="1" si="482"/>
        <v/>
      </c>
      <c r="AF1354" s="47" t="e">
        <f t="shared" ca="1" si="483"/>
        <v>#NAME?</v>
      </c>
      <c r="AG1354" s="47">
        <f t="shared" si="484"/>
        <v>44021010</v>
      </c>
      <c r="AH1354" s="54">
        <f>IF(Q1354="22",IF(ISNUMBER(SEARCH("econ",PAA_4[[#This Row],[Actividad3]])),"Económico",IF(ISNUMBER(SEARCH("alim",PAA_4[[#This Row],[Actividad3]])),"Alimentación",IF(ISNUMBER(SEARCH("educ",PAA_4[[#This Row],[Actividad3]])),"Educativo","Técnico"))),0)</f>
        <v>0</v>
      </c>
      <c r="AI1354" s="47" t="e" cm="1">
        <f t="array" aca="1" ref="AI1354" ca="1">_xlfn.XLOOKUP(PAA_4[[#This Row],[RCP-RUBRO]],[2]!COMPROMISOS_2024[[#All],[concatenado]],[2]!COMPROMISOS_2024[[#All],[Total pagado]],"",0)</f>
        <v>#NAME?</v>
      </c>
      <c r="AJ1354" s="56">
        <f>IF(PAA_4[[#This Row],[BOLSA]]=0,0,SUMIFS([2]!COMPROMISOS_2024[[#All],[Total pagado]],[2]!COMPROMISOS_2024[[#All],[Bolsa]],PAA_4[[#This Row],[BOLSA]],[2]!COMPROMISOS_2024[[#All],[rubro]],PAA_4[[#This Row],[RCP-RUBRO]]))</f>
        <v>0</v>
      </c>
      <c r="AK1354" s="47" t="e" cm="1">
        <f t="array" aca="1" ref="AK1354" ca="1">_xlfn.XLOOKUP(PAA_4[[#This Row],[RCP-RUBRO]],[2]!COMPROMISOS_2024[[#All],[concatenado]],[2]!COMPROMISOS_2024[[#All],[Total Comprometido]],"",0)</f>
        <v>#NAME?</v>
      </c>
      <c r="AL1354" s="47">
        <f>IF(PAA_4[[#This Row],[BOLSA]]=0,0,SUMIFS([2]!COMPROMISOS_2024[[#All],[Total Comprometido]],[2]!COMPROMISOS_2024[[#All],[Bolsa]],PAA_4[[#This Row],[BOLSA]],[2]!COMPROMISOS_2024[[#All],[concatenado]],PAA_4[[#This Row],[RCP-RUBRO]]))</f>
        <v>0</v>
      </c>
    </row>
    <row r="1355" spans="1:38" s="19" customFormat="1" ht="31.5" customHeight="1">
      <c r="A1355" s="47" t="s">
        <v>82</v>
      </c>
      <c r="B1355" s="47" t="s">
        <v>42</v>
      </c>
      <c r="C1355" s="47" t="str">
        <f>VLOOKUP(PAA_4[[#This Row],[PROYECTO (formulado)2]],[2]PROYECTOS!$G$1:$L$32,6,0)</f>
        <v>SUBGERENCIA DE FOMENTO Y DESARROLLO</v>
      </c>
      <c r="D1355" s="47" t="str">
        <f>+IF(PAA_4[[#This Row],[UNIDAD DE CONTRATACION (formulado)]]="Subgerencia Administrativa y Financiera","FUNCIONAMIENTO","INVERSIÓN")</f>
        <v>INVERSIÓN</v>
      </c>
      <c r="E1355" s="48" t="str">
        <f>VLOOKUP(Q1355,[2]PROYECTOS!$G$1:$K$32,5,0)</f>
        <v>FORTALECIMIENTO_DE_LOS_JUEGOS_DEL_SECTOR_SOCIAL_COMUNITARIO_EN_LOS_MUNICIPIOS_DEL_DEPARTAMENTO_DE_ANTIOQU</v>
      </c>
      <c r="F1355" s="48">
        <f>VLOOKUP(E1355,[2]PROYECTOS!$K$1:$M$32,3,0)</f>
        <v>2020003050033</v>
      </c>
      <c r="G1355" s="49" t="s">
        <v>342</v>
      </c>
      <c r="H1355" s="49" t="str">
        <f>VLOOKUP(Q1355,[2]PROYECTOS!$V$1:$W$32,2,0)</f>
        <v>050057</v>
      </c>
      <c r="I1355" s="50">
        <v>2462297</v>
      </c>
      <c r="J1355" s="70" t="s">
        <v>1853</v>
      </c>
      <c r="K1355" s="47" t="str">
        <f ca="1">IF(ISNONTEXT(Y1355)=TRUE,"CONTRATADO","NO CONTRATADO")</f>
        <v>CONTRATADO</v>
      </c>
      <c r="L1355" s="47" t="s">
        <v>42</v>
      </c>
      <c r="M1355" s="47" t="s">
        <v>42</v>
      </c>
      <c r="N1355" s="52" t="s">
        <v>396</v>
      </c>
      <c r="O1355" s="51" t="e">
        <f>VLOOKUP(N1355,[2]!RUBROS[#All],3,0)</f>
        <v>#REF!</v>
      </c>
      <c r="P1355" s="53" t="e">
        <f>VLOOKUP(N1355,[2]!RUBROS[#All],2,0)</f>
        <v>#REF!</v>
      </c>
      <c r="Q1355" s="47" t="str">
        <f>+MID(N1355,11,2)</f>
        <v>50</v>
      </c>
      <c r="R1355" s="47" t="str">
        <f t="shared" si="485"/>
        <v>0-205128</v>
      </c>
      <c r="S1355" s="54" t="s">
        <v>42</v>
      </c>
      <c r="T1355" s="59" t="s">
        <v>42</v>
      </c>
      <c r="U1355" s="326" t="e">
        <f ca="1">_xlfn.XLOOKUP(PAA_4[[#This Row],[ITEM]],[2]Contrato!A:A,[2]Contrato!Q:Q,"",0)</f>
        <v>#NAME?</v>
      </c>
      <c r="V1355" s="47" t="s">
        <v>95</v>
      </c>
      <c r="W1355" s="47" t="s">
        <v>42</v>
      </c>
      <c r="X1355" s="47" t="s">
        <v>42</v>
      </c>
      <c r="Y1355" s="55" t="e">
        <f ca="1">_xlfn.XLOOKUP(PAA_4[[#This Row],[ITEM]],[2]Contrato!A:A,[2]Contrato!B:B,"",0)</f>
        <v>#NAME?</v>
      </c>
      <c r="Z1355" s="47" t="e">
        <f ca="1">_xlfn.XLOOKUP(PAA_4[[#This Row],[ITEM]],[2]Contrato!A:A,[2]Contrato!G:G,"",0)</f>
        <v>#NAME?</v>
      </c>
      <c r="AA1355" s="47" t="e">
        <f ca="1">_xlfn.XLOOKUP(PAA_4[[#This Row],[ITEM]],[2]Contrato!A:A,[2]Contrato!T:T,"",0)</f>
        <v>#NAME?</v>
      </c>
      <c r="AB1355" s="55" t="e">
        <f ca="1">+MAX(PAA_4[[#This Row],[Comprometido Contrato]],PAA_4[[#This Row],[Comprometido Bolsa]])</f>
        <v>#NAME?</v>
      </c>
      <c r="AC1355" s="55" t="str">
        <f ca="1">IFERROR(I1355-AB1355,"")</f>
        <v/>
      </c>
      <c r="AD1355" s="55" t="e">
        <f ca="1">IF(PAA_4[[#This Row],[ESTADO (formulado)]]="NO CONTRATADO",0,MAX(PAA_4[[#This Row],[Pago por Contrato]],PAA_4[[#This Row],[Pago por bolsa]]))</f>
        <v>#NAME?</v>
      </c>
      <c r="AE1355" s="55" t="str">
        <f ca="1">+IFERROR(AB1355-AD1355,"")</f>
        <v/>
      </c>
      <c r="AF1355" s="47" t="e">
        <f ca="1">+CONCATENATE(AA1355,N1355)</f>
        <v>#NAME?</v>
      </c>
      <c r="AG1355" s="47">
        <f>IFERROR(_xlfn.NUMBERVALUE(MID(G1355,1,8)),"")</f>
        <v>44021010</v>
      </c>
      <c r="AH1355" s="54">
        <f>IF(Q1355="22",IF(ISNUMBER(SEARCH("econ",PAA_4[[#This Row],[Actividad3]])),"Económico",IF(ISNUMBER(SEARCH("alim",PAA_4[[#This Row],[Actividad3]])),"Alimentación",IF(ISNUMBER(SEARCH("educ",PAA_4[[#This Row],[Actividad3]])),"Educativo","Técnico"))),0)</f>
        <v>0</v>
      </c>
      <c r="AI1355" s="47" t="e" cm="1">
        <f t="array" aca="1" ref="AI1355" ca="1">_xlfn.XLOOKUP(PAA_4[[#This Row],[RCP-RUBRO]],[2]!COMPROMISOS_2024[[#All],[concatenado]],[2]!COMPROMISOS_2024[[#All],[Total pagado]],"",0)</f>
        <v>#NAME?</v>
      </c>
      <c r="AJ1355" s="56">
        <f>IF(PAA_4[[#This Row],[BOLSA]]=0,0,SUMIFS([2]!COMPROMISOS_2024[[#All],[Total pagado]],[2]!COMPROMISOS_2024[[#All],[Bolsa]],PAA_4[[#This Row],[BOLSA]],[2]!COMPROMISOS_2024[[#All],[rubro]],PAA_4[[#This Row],[RCP-RUBRO]]))</f>
        <v>0</v>
      </c>
      <c r="AK1355" s="47" t="e" cm="1">
        <f t="array" aca="1" ref="AK1355" ca="1">_xlfn.XLOOKUP(PAA_4[[#This Row],[RCP-RUBRO]],[2]!COMPROMISOS_2024[[#All],[concatenado]],[2]!COMPROMISOS_2024[[#All],[Total Comprometido]],"",0)</f>
        <v>#NAME?</v>
      </c>
      <c r="AL1355" s="47">
        <f>IF(PAA_4[[#This Row],[BOLSA]]=0,0,SUMIFS([2]!COMPROMISOS_2024[[#All],[Total Comprometido]],[2]!COMPROMISOS_2024[[#All],[Bolsa]],PAA_4[[#This Row],[BOLSA]],[2]!COMPROMISOS_2024[[#All],[concatenado]],PAA_4[[#This Row],[RCP-RUBRO]]))</f>
        <v>0</v>
      </c>
    </row>
    <row r="1356" spans="1:38" s="19" customFormat="1" ht="31.5" customHeight="1">
      <c r="A1356" s="47">
        <v>694</v>
      </c>
      <c r="B1356" s="47">
        <v>80111600</v>
      </c>
      <c r="C1356" s="47" t="str">
        <f>VLOOKUP(PAA_4[[#This Row],[PROYECTO (formulado)2]],[2]PROYECTOS!$G$1:$L$32,6,0)</f>
        <v>SUBGERENCIA DE FOMENTO Y DESARROLLO</v>
      </c>
      <c r="D1356" s="47" t="str">
        <f>+IF(PAA_4[[#This Row],[UNIDAD DE CONTRATACION (formulado)]]="Subgerencia Administrativa y Financiera","FUNCIONAMIENTO","INVERSIÓN")</f>
        <v>INVERSIÓN</v>
      </c>
      <c r="E1356" s="48" t="str">
        <f>VLOOKUP(Q1356,[2]PROYECTOS!$G$1:$K$32,5,0)</f>
        <v>FORTALECIMIENTO_DE_LOS_JUEGOS_DEL_SECTOR_SOCIAL_COMUNITARIO_EN_LOS_MUNICIPIOS_DEL_DEPARTAMENTO_DE_ANTIOQU</v>
      </c>
      <c r="F1356" s="48">
        <f>VLOOKUP(E1356,[2]PROYECTOS!$K$1:$M$32,3,0)</f>
        <v>2020003050033</v>
      </c>
      <c r="G1356" s="49" t="s">
        <v>342</v>
      </c>
      <c r="H1356" s="49" t="str">
        <f>VLOOKUP(Q1356,[2]PROYECTOS!$V$1:$W$32,2,0)</f>
        <v>050057</v>
      </c>
      <c r="I1356" s="50">
        <f>18849714-934816-2462297</f>
        <v>15452601</v>
      </c>
      <c r="J1356" s="70" t="s">
        <v>414</v>
      </c>
      <c r="K1356" s="47" t="str">
        <f t="shared" ref="K1356" ca="1" si="486">IF(ISNONTEXT(Y1356)=TRUE,"CONTRATADO","NO CONTRATADO")</f>
        <v>CONTRATADO</v>
      </c>
      <c r="L1356" s="47" t="s">
        <v>94</v>
      </c>
      <c r="M1356" s="47" t="s">
        <v>1297</v>
      </c>
      <c r="N1356" s="52" t="s">
        <v>396</v>
      </c>
      <c r="O1356" s="51" t="e">
        <f>VLOOKUP(N1356,[2]!RUBROS[#All],3,0)</f>
        <v>#REF!</v>
      </c>
      <c r="P1356" s="53" t="e">
        <f>VLOOKUP(N1356,[2]!RUBROS[#All],2,0)</f>
        <v>#REF!</v>
      </c>
      <c r="Q1356" s="47" t="str">
        <f t="shared" ref="Q1356" si="487">+MID(N1356,11,2)</f>
        <v>50</v>
      </c>
      <c r="R1356" s="47" t="str">
        <f t="shared" si="485"/>
        <v>0-205128</v>
      </c>
      <c r="S1356" s="54">
        <v>7</v>
      </c>
      <c r="T1356" s="59" t="s">
        <v>46</v>
      </c>
      <c r="U1356" s="326" t="e">
        <f ca="1">_xlfn.XLOOKUP(PAA_4[[#This Row],[ITEM]],[2]Contrato!A:A,[2]Contrato!Q:Q,"",0)</f>
        <v>#NAME?</v>
      </c>
      <c r="V1356" s="47" t="s">
        <v>47</v>
      </c>
      <c r="W1356" s="47" t="s">
        <v>119</v>
      </c>
      <c r="X1356" s="47" t="s">
        <v>119</v>
      </c>
      <c r="Y1356" s="55" t="e">
        <f ca="1">_xlfn.XLOOKUP(PAA_4[[#This Row],[ITEM]],[2]Contrato!A:A,[2]Contrato!B:B,"",0)</f>
        <v>#NAME?</v>
      </c>
      <c r="Z1356" s="47" t="e">
        <f ca="1">_xlfn.XLOOKUP(PAA_4[[#This Row],[ITEM]],[2]Contrato!A:A,[2]Contrato!G:G,"",0)</f>
        <v>#NAME?</v>
      </c>
      <c r="AA1356" s="47" t="e">
        <f ca="1">_xlfn.XLOOKUP(PAA_4[[#This Row],[ITEM]],[2]Contrato!A:A,[2]Contrato!T:T,"",0)</f>
        <v>#NAME?</v>
      </c>
      <c r="AB1356" s="55" t="e">
        <f ca="1">+MAX(PAA_4[[#This Row],[Comprometido Contrato]],PAA_4[[#This Row],[Comprometido Bolsa]])</f>
        <v>#NAME?</v>
      </c>
      <c r="AC1356" s="55" t="str">
        <f t="shared" ref="AC1356" ca="1" si="488">IFERROR(I1356-AB1356,"")</f>
        <v/>
      </c>
      <c r="AD1356" s="55" t="e">
        <f ca="1">IF(PAA_4[[#This Row],[ESTADO (formulado)]]="NO CONTRATADO",0,MAX(PAA_4[[#This Row],[Pago por Contrato]],PAA_4[[#This Row],[Pago por bolsa]]))</f>
        <v>#NAME?</v>
      </c>
      <c r="AE1356" s="55" t="str">
        <f t="shared" ref="AE1356" ca="1" si="489">+IFERROR(AB1356-AD1356,"")</f>
        <v/>
      </c>
      <c r="AF1356" s="47" t="e">
        <f t="shared" ref="AF1356" ca="1" si="490">+CONCATENATE(AA1356,N1356)</f>
        <v>#NAME?</v>
      </c>
      <c r="AG1356" s="47">
        <f t="shared" ref="AG1356" si="491">IFERROR(_xlfn.NUMBERVALUE(MID(G1356,1,8)),"")</f>
        <v>44021010</v>
      </c>
      <c r="AH1356" s="54">
        <f>IF(Q1356="22",IF(ISNUMBER(SEARCH("econ",PAA_4[[#This Row],[Actividad3]])),"Económico",IF(ISNUMBER(SEARCH("alim",PAA_4[[#This Row],[Actividad3]])),"Alimentación",IF(ISNUMBER(SEARCH("educ",PAA_4[[#This Row],[Actividad3]])),"Educativo","Técnico"))),0)</f>
        <v>0</v>
      </c>
      <c r="AI1356" s="47" t="e" cm="1">
        <f t="array" aca="1" ref="AI1356" ca="1">_xlfn.XLOOKUP(PAA_4[[#This Row],[RCP-RUBRO]],[2]!COMPROMISOS_2024[[#All],[concatenado]],[2]!COMPROMISOS_2024[[#All],[Total pagado]],"",0)</f>
        <v>#NAME?</v>
      </c>
      <c r="AJ1356" s="56">
        <f>IF(PAA_4[[#This Row],[BOLSA]]=0,0,SUMIFS([2]!COMPROMISOS_2024[[#All],[Total pagado]],[2]!COMPROMISOS_2024[[#All],[Bolsa]],PAA_4[[#This Row],[BOLSA]],[2]!COMPROMISOS_2024[[#All],[rubro]],PAA_4[[#This Row],[RCP-RUBRO]]))</f>
        <v>0</v>
      </c>
      <c r="AK1356" s="47" t="e" cm="1">
        <f t="array" aca="1" ref="AK1356" ca="1">_xlfn.XLOOKUP(PAA_4[[#This Row],[RCP-RUBRO]],[2]!COMPROMISOS_2024[[#All],[concatenado]],[2]!COMPROMISOS_2024[[#All],[Total Comprometido]],"",0)</f>
        <v>#NAME?</v>
      </c>
      <c r="AL1356" s="47">
        <f>IF(PAA_4[[#This Row],[BOLSA]]=0,0,SUMIFS([2]!COMPROMISOS_2024[[#All],[Total Comprometido]],[2]!COMPROMISOS_2024[[#All],[Bolsa]],PAA_4[[#This Row],[BOLSA]],[2]!COMPROMISOS_2024[[#All],[concatenado]],PAA_4[[#This Row],[RCP-RUBRO]]))</f>
        <v>0</v>
      </c>
    </row>
    <row r="1357" spans="1:38" s="19" customFormat="1" ht="31.5" customHeight="1">
      <c r="A1357" s="47" t="s">
        <v>82</v>
      </c>
      <c r="B1357" s="47" t="s">
        <v>42</v>
      </c>
      <c r="C1357" s="47" t="str">
        <f>VLOOKUP(PAA_4[[#This Row],[PROYECTO (formulado)2]],[2]PROYECTOS!$G$1:$L$32,6,0)</f>
        <v>SUBGERENCIA DE FOMENTO Y DESARROLLO</v>
      </c>
      <c r="D1357" s="47" t="str">
        <f>+IF(PAA_4[[#This Row],[UNIDAD DE CONTRATACION (formulado)]]="Subgerencia Administrativa y Financiera","FUNCIONAMIENTO","INVERSIÓN")</f>
        <v>INVERSIÓN</v>
      </c>
      <c r="E1357" s="48" t="str">
        <f>VLOOKUP(Q1357,[2]PROYECTOS!$G$1:$K$32,5,0)</f>
        <v>FORTALECIMIENTO_DE_LOS_JUEGOS_DEL_SECTOR_EDUCATIVO_EN_ANTIOQUIA</v>
      </c>
      <c r="F1357" s="48">
        <f>VLOOKUP(E1357,[2]PROYECTOS!$K$1:$M$32,3,0)</f>
        <v>2020003050034</v>
      </c>
      <c r="G1357" s="49" t="s">
        <v>340</v>
      </c>
      <c r="H1357" s="49" t="str">
        <f>VLOOKUP(Q1357,[2]PROYECTOS!$V$1:$W$32,2,0)</f>
        <v>050053</v>
      </c>
      <c r="I1357" s="50">
        <v>2818697</v>
      </c>
      <c r="J1357" s="51" t="s">
        <v>1368</v>
      </c>
      <c r="K1357" s="47" t="str">
        <f ca="1">IF(ISNONTEXT(Y1357)=TRUE,"CONTRATADO","NO CONTRATADO")</f>
        <v>CONTRATADO</v>
      </c>
      <c r="L1357" s="47" t="s">
        <v>42</v>
      </c>
      <c r="M1357" s="47" t="s">
        <v>42</v>
      </c>
      <c r="N1357" s="52" t="s">
        <v>144</v>
      </c>
      <c r="O1357" s="51" t="e">
        <f>VLOOKUP(N1357,[2]!RUBROS[#All],3,0)</f>
        <v>#REF!</v>
      </c>
      <c r="P1357" s="53" t="e">
        <f>VLOOKUP(N1357,[2]!RUBROS[#All],2,0)</f>
        <v>#REF!</v>
      </c>
      <c r="Q1357" s="47" t="str">
        <f>+MID(N1357,11,2)</f>
        <v>51</v>
      </c>
      <c r="R1357" s="47" t="str">
        <f t="shared" si="485"/>
        <v>0-205128</v>
      </c>
      <c r="S1357" s="47" t="s">
        <v>42</v>
      </c>
      <c r="T1357" s="59" t="s">
        <v>42</v>
      </c>
      <c r="U1357" s="326" t="e">
        <f ca="1">_xlfn.XLOOKUP(PAA_4[[#This Row],[ITEM]],[2]Contrato!A:A,[2]Contrato!Q:Q,"",0)</f>
        <v>#NAME?</v>
      </c>
      <c r="V1357" s="47" t="s">
        <v>95</v>
      </c>
      <c r="W1357" s="47" t="s">
        <v>42</v>
      </c>
      <c r="X1357" s="47" t="s">
        <v>42</v>
      </c>
      <c r="Y1357" s="55" t="e">
        <f ca="1">_xlfn.XLOOKUP(PAA_4[[#This Row],[ITEM]],[2]Contrato!A:A,[2]Contrato!B:B,"",0)</f>
        <v>#NAME?</v>
      </c>
      <c r="Z1357" s="47" t="e">
        <f ca="1">_xlfn.XLOOKUP(PAA_4[[#This Row],[ITEM]],[2]Contrato!A:A,[2]Contrato!G:G,"",0)</f>
        <v>#NAME?</v>
      </c>
      <c r="AA1357" s="47" t="e">
        <f ca="1">_xlfn.XLOOKUP(PAA_4[[#This Row],[ITEM]],[2]Contrato!A:A,[2]Contrato!T:T,"",0)</f>
        <v>#NAME?</v>
      </c>
      <c r="AB1357" s="55" t="e">
        <f ca="1">+MAX(PAA_4[[#This Row],[Comprometido Contrato]],PAA_4[[#This Row],[Comprometido Bolsa]])</f>
        <v>#NAME?</v>
      </c>
      <c r="AC1357" s="55" t="str">
        <f ca="1">IFERROR(I1357-AB1357,"")</f>
        <v/>
      </c>
      <c r="AD1357" s="55" t="e">
        <f ca="1">IF(PAA_4[[#This Row],[ESTADO (formulado)]]="NO CONTRATADO",0,MAX(PAA_4[[#This Row],[Pago por Contrato]],PAA_4[[#This Row],[Pago por bolsa]]))</f>
        <v>#NAME?</v>
      </c>
      <c r="AE1357" s="55" t="str">
        <f ca="1">+IFERROR(AB1357-AD1357,"")</f>
        <v/>
      </c>
      <c r="AF1357" s="47" t="e">
        <f ca="1">+CONCATENATE(AA1357,N1357)</f>
        <v>#NAME?</v>
      </c>
      <c r="AG1357" s="47">
        <f>IFERROR(_xlfn.NUMBERVALUE(MID(G1357,1,8)),"")</f>
        <v>44021011</v>
      </c>
      <c r="AH1357" s="54">
        <f>IF(Q1357="22",IF(ISNUMBER(SEARCH("econ",PAA_4[[#This Row],[Actividad3]])),"Económico",IF(ISNUMBER(SEARCH("alim",PAA_4[[#This Row],[Actividad3]])),"Alimentación",IF(ISNUMBER(SEARCH("educ",PAA_4[[#This Row],[Actividad3]])),"Educativo","Técnico"))),0)</f>
        <v>0</v>
      </c>
      <c r="AI1357" s="47" t="e" cm="1">
        <f t="array" aca="1" ref="AI1357" ca="1">_xlfn.XLOOKUP(PAA_4[[#This Row],[RCP-RUBRO]],[2]!COMPROMISOS_2024[[#All],[concatenado]],[2]!COMPROMISOS_2024[[#All],[Total pagado]],"",0)</f>
        <v>#NAME?</v>
      </c>
      <c r="AJ1357" s="56">
        <f>IF(PAA_4[[#This Row],[BOLSA]]=0,0,SUMIFS([2]!COMPROMISOS_2024[[#All],[Total pagado]],[2]!COMPROMISOS_2024[[#All],[Bolsa]],PAA_4[[#This Row],[BOLSA]],[2]!COMPROMISOS_2024[[#All],[rubro]],PAA_4[[#This Row],[RCP-RUBRO]]))</f>
        <v>0</v>
      </c>
      <c r="AK1357" s="47" t="e" cm="1">
        <f t="array" aca="1" ref="AK1357" ca="1">_xlfn.XLOOKUP(PAA_4[[#This Row],[RCP-RUBRO]],[2]!COMPROMISOS_2024[[#All],[concatenado]],[2]!COMPROMISOS_2024[[#All],[Total Comprometido]],"",0)</f>
        <v>#NAME?</v>
      </c>
      <c r="AL1357" s="47">
        <f>IF(PAA_4[[#This Row],[BOLSA]]=0,0,SUMIFS([2]!COMPROMISOS_2024[[#All],[Total Comprometido]],[2]!COMPROMISOS_2024[[#All],[Bolsa]],PAA_4[[#This Row],[BOLSA]],[2]!COMPROMISOS_2024[[#All],[concatenado]],PAA_4[[#This Row],[RCP-RUBRO]]))</f>
        <v>0</v>
      </c>
    </row>
    <row r="1358" spans="1:38" s="19" customFormat="1" ht="31.5" customHeight="1">
      <c r="A1358" s="47">
        <v>695</v>
      </c>
      <c r="B1358" s="47">
        <v>80111600</v>
      </c>
      <c r="C1358" s="47" t="str">
        <f>VLOOKUP(PAA_4[[#This Row],[PROYECTO (formulado)2]],[2]PROYECTOS!$G$1:$L$32,6,0)</f>
        <v>SUBGERENCIA DE FOMENTO Y DESARROLLO</v>
      </c>
      <c r="D1358" s="47" t="str">
        <f>+IF(PAA_4[[#This Row],[UNIDAD DE CONTRATACION (formulado)]]="Subgerencia Administrativa y Financiera","FUNCIONAMIENTO","INVERSIÓN")</f>
        <v>INVERSIÓN</v>
      </c>
      <c r="E1358" s="48" t="str">
        <f>VLOOKUP(Q1358,[2]PROYECTOS!$G$1:$K$32,5,0)</f>
        <v>FORTALECIMIENTO_DE_LOS_JUEGOS_DEL_SECTOR_EDUCATIVO_EN_ANTIOQUIA</v>
      </c>
      <c r="F1358" s="48">
        <f>VLOOKUP(E1358,[2]PROYECTOS!$K$1:$M$32,3,0)</f>
        <v>2020003050034</v>
      </c>
      <c r="G1358" s="49" t="s">
        <v>340</v>
      </c>
      <c r="H1358" s="49" t="str">
        <f>VLOOKUP(Q1358,[2]PROYECTOS!$V$1:$W$32,2,0)</f>
        <v>050053</v>
      </c>
      <c r="I1358" s="50">
        <f>10682638-529786-2818697</f>
        <v>7334155</v>
      </c>
      <c r="J1358" s="70" t="s">
        <v>415</v>
      </c>
      <c r="K1358" s="47" t="str">
        <f t="shared" ref="K1358:K1389" ca="1" si="492">IF(ISNONTEXT(Y1358)=TRUE,"CONTRATADO","NO CONTRATADO")</f>
        <v>CONTRATADO</v>
      </c>
      <c r="L1358" s="47" t="s">
        <v>94</v>
      </c>
      <c r="M1358" s="47" t="s">
        <v>1297</v>
      </c>
      <c r="N1358" s="52" t="s">
        <v>144</v>
      </c>
      <c r="O1358" s="51" t="e">
        <f>VLOOKUP(N1358,[2]!RUBROS[#All],3,0)</f>
        <v>#REF!</v>
      </c>
      <c r="P1358" s="53" t="e">
        <f>VLOOKUP(N1358,[2]!RUBROS[#All],2,0)</f>
        <v>#REF!</v>
      </c>
      <c r="Q1358" s="47" t="str">
        <f t="shared" ref="Q1358:Q1389" si="493">+MID(N1358,11,2)</f>
        <v>51</v>
      </c>
      <c r="R1358" s="47" t="str">
        <f t="shared" si="485"/>
        <v>0-205128</v>
      </c>
      <c r="S1358" s="54">
        <v>7</v>
      </c>
      <c r="T1358" s="59" t="s">
        <v>46</v>
      </c>
      <c r="U1358" s="326" t="e">
        <f ca="1">_xlfn.XLOOKUP(PAA_4[[#This Row],[ITEM]],[2]Contrato!A:A,[2]Contrato!Q:Q,"",0)</f>
        <v>#NAME?</v>
      </c>
      <c r="V1358" s="47" t="s">
        <v>47</v>
      </c>
      <c r="W1358" s="47" t="s">
        <v>119</v>
      </c>
      <c r="X1358" s="47" t="s">
        <v>119</v>
      </c>
      <c r="Y1358" s="55" t="e">
        <f ca="1">_xlfn.XLOOKUP(PAA_4[[#This Row],[ITEM]],[2]Contrato!A:A,[2]Contrato!B:B,"",0)</f>
        <v>#NAME?</v>
      </c>
      <c r="Z1358" s="47" t="e">
        <f ca="1">_xlfn.XLOOKUP(PAA_4[[#This Row],[ITEM]],[2]Contrato!A:A,[2]Contrato!G:G,"",0)</f>
        <v>#NAME?</v>
      </c>
      <c r="AA1358" s="47" t="e">
        <f ca="1">_xlfn.XLOOKUP(PAA_4[[#This Row],[ITEM]],[2]Contrato!A:A,[2]Contrato!T:T,"",0)</f>
        <v>#NAME?</v>
      </c>
      <c r="AB1358" s="55" t="e">
        <f ca="1">+MAX(PAA_4[[#This Row],[Comprometido Contrato]],PAA_4[[#This Row],[Comprometido Bolsa]])</f>
        <v>#NAME?</v>
      </c>
      <c r="AC1358" s="55" t="str">
        <f t="shared" ref="AC1358:AC1389" ca="1" si="494">IFERROR(I1358-AB1358,"")</f>
        <v/>
      </c>
      <c r="AD1358" s="55" t="e">
        <f ca="1">IF(PAA_4[[#This Row],[ESTADO (formulado)]]="NO CONTRATADO",0,MAX(PAA_4[[#This Row],[Pago por Contrato]],PAA_4[[#This Row],[Pago por bolsa]]))</f>
        <v>#NAME?</v>
      </c>
      <c r="AE1358" s="55" t="str">
        <f t="shared" ref="AE1358:AE1389" ca="1" si="495">+IFERROR(AB1358-AD1358,"")</f>
        <v/>
      </c>
      <c r="AF1358" s="47" t="e">
        <f t="shared" ref="AF1358:AF1389" ca="1" si="496">+CONCATENATE(AA1358,N1358)</f>
        <v>#NAME?</v>
      </c>
      <c r="AG1358" s="47">
        <f t="shared" ref="AG1358:AG1389" si="497">IFERROR(_xlfn.NUMBERVALUE(MID(G1358,1,8)),"")</f>
        <v>44021011</v>
      </c>
      <c r="AH1358" s="54">
        <f>IF(Q1358="22",IF(ISNUMBER(SEARCH("econ",PAA_4[[#This Row],[Actividad3]])),"Económico",IF(ISNUMBER(SEARCH("alim",PAA_4[[#This Row],[Actividad3]])),"Alimentación",IF(ISNUMBER(SEARCH("educ",PAA_4[[#This Row],[Actividad3]])),"Educativo","Técnico"))),0)</f>
        <v>0</v>
      </c>
      <c r="AI1358" s="47" t="e" cm="1">
        <f t="array" aca="1" ref="AI1358" ca="1">_xlfn.XLOOKUP(PAA_4[[#This Row],[RCP-RUBRO]],[2]!COMPROMISOS_2024[[#All],[concatenado]],[2]!COMPROMISOS_2024[[#All],[Total pagado]],"",0)</f>
        <v>#NAME?</v>
      </c>
      <c r="AJ1358" s="56">
        <f>IF(PAA_4[[#This Row],[BOLSA]]=0,0,SUMIFS([2]!COMPROMISOS_2024[[#All],[Total pagado]],[2]!COMPROMISOS_2024[[#All],[Bolsa]],PAA_4[[#This Row],[BOLSA]],[2]!COMPROMISOS_2024[[#All],[rubro]],PAA_4[[#This Row],[RCP-RUBRO]]))</f>
        <v>0</v>
      </c>
      <c r="AK1358" s="47" t="e" cm="1">
        <f t="array" aca="1" ref="AK1358" ca="1">_xlfn.XLOOKUP(PAA_4[[#This Row],[RCP-RUBRO]],[2]!COMPROMISOS_2024[[#All],[concatenado]],[2]!COMPROMISOS_2024[[#All],[Total Comprometido]],"",0)</f>
        <v>#NAME?</v>
      </c>
      <c r="AL1358" s="47">
        <f>IF(PAA_4[[#This Row],[BOLSA]]=0,0,SUMIFS([2]!COMPROMISOS_2024[[#All],[Total Comprometido]],[2]!COMPROMISOS_2024[[#All],[Bolsa]],PAA_4[[#This Row],[BOLSA]],[2]!COMPROMISOS_2024[[#All],[concatenado]],PAA_4[[#This Row],[RCP-RUBRO]]))</f>
        <v>0</v>
      </c>
    </row>
    <row r="1359" spans="1:38" s="19" customFormat="1" ht="31.5" customHeight="1">
      <c r="A1359" s="47">
        <v>695</v>
      </c>
      <c r="B1359" s="47">
        <v>80111600</v>
      </c>
      <c r="C1359" s="47" t="str">
        <f>VLOOKUP(PAA_4[[#This Row],[PROYECTO (formulado)2]],[2]PROYECTOS!$G$1:$L$32,6,0)</f>
        <v>SUBGERENCIA DE FOMENTO Y DESARROLLO</v>
      </c>
      <c r="D1359" s="47" t="str">
        <f>+IF(PAA_4[[#This Row],[UNIDAD DE CONTRATACION (formulado)]]="Subgerencia Administrativa y Financiera","FUNCIONAMIENTO","INVERSIÓN")</f>
        <v>INVERSIÓN</v>
      </c>
      <c r="E1359" s="48" t="str">
        <f>VLOOKUP(Q1359,[2]PROYECTOS!$G$1:$K$32,5,0)</f>
        <v>FORTALECIMIENTO_DE_LOS_JUEGOS_DEL_SECTOR_SOCIAL_COMUNITARIO_EN_LOS_MUNICIPIOS_DEL_DEPARTAMENTO_DE_ANTIOQU</v>
      </c>
      <c r="F1359" s="48">
        <f>VLOOKUP(E1359,[2]PROYECTOS!$K$1:$M$32,3,0)</f>
        <v>2020003050033</v>
      </c>
      <c r="G1359" s="49" t="s">
        <v>342</v>
      </c>
      <c r="H1359" s="49" t="str">
        <f>VLOOKUP(Q1359,[2]PROYECTOS!$V$1:$W$32,2,0)</f>
        <v>050057</v>
      </c>
      <c r="I1359" s="50">
        <f>18849715-934817</f>
        <v>17914898</v>
      </c>
      <c r="J1359" s="70" t="s">
        <v>415</v>
      </c>
      <c r="K1359" s="47" t="str">
        <f t="shared" ca="1" si="492"/>
        <v>CONTRATADO</v>
      </c>
      <c r="L1359" s="47" t="s">
        <v>94</v>
      </c>
      <c r="M1359" s="47" t="s">
        <v>1297</v>
      </c>
      <c r="N1359" s="52" t="s">
        <v>396</v>
      </c>
      <c r="O1359" s="51" t="e">
        <f>VLOOKUP(N1359,[2]!RUBROS[#All],3,0)</f>
        <v>#REF!</v>
      </c>
      <c r="P1359" s="53" t="e">
        <f>VLOOKUP(N1359,[2]!RUBROS[#All],2,0)</f>
        <v>#REF!</v>
      </c>
      <c r="Q1359" s="47" t="str">
        <f t="shared" si="493"/>
        <v>50</v>
      </c>
      <c r="R1359" s="47" t="str">
        <f t="shared" si="485"/>
        <v>0-205128</v>
      </c>
      <c r="S1359" s="54">
        <v>7</v>
      </c>
      <c r="T1359" s="59" t="s">
        <v>46</v>
      </c>
      <c r="U1359" s="326" t="e">
        <f ca="1">_xlfn.XLOOKUP(PAA_4[[#This Row],[ITEM]],[2]Contrato!A:A,[2]Contrato!Q:Q,"",0)</f>
        <v>#NAME?</v>
      </c>
      <c r="V1359" s="47" t="s">
        <v>47</v>
      </c>
      <c r="W1359" s="47" t="s">
        <v>119</v>
      </c>
      <c r="X1359" s="47" t="s">
        <v>119</v>
      </c>
      <c r="Y1359" s="55" t="e">
        <f ca="1">_xlfn.XLOOKUP(PAA_4[[#This Row],[ITEM]],[2]Contrato!A:A,[2]Contrato!B:B,"",0)</f>
        <v>#NAME?</v>
      </c>
      <c r="Z1359" s="47" t="e">
        <f ca="1">_xlfn.XLOOKUP(PAA_4[[#This Row],[ITEM]],[2]Contrato!A:A,[2]Contrato!G:G,"",0)</f>
        <v>#NAME?</v>
      </c>
      <c r="AA1359" s="47" t="e">
        <f ca="1">_xlfn.XLOOKUP(PAA_4[[#This Row],[ITEM]],[2]Contrato!A:A,[2]Contrato!T:T,"",0)</f>
        <v>#NAME?</v>
      </c>
      <c r="AB1359" s="55" t="e">
        <f ca="1">+MAX(PAA_4[[#This Row],[Comprometido Contrato]],PAA_4[[#This Row],[Comprometido Bolsa]])</f>
        <v>#NAME?</v>
      </c>
      <c r="AC1359" s="55" t="str">
        <f t="shared" ca="1" si="494"/>
        <v/>
      </c>
      <c r="AD1359" s="55" t="e">
        <f ca="1">IF(PAA_4[[#This Row],[ESTADO (formulado)]]="NO CONTRATADO",0,MAX(PAA_4[[#This Row],[Pago por Contrato]],PAA_4[[#This Row],[Pago por bolsa]]))</f>
        <v>#NAME?</v>
      </c>
      <c r="AE1359" s="55" t="str">
        <f t="shared" ca="1" si="495"/>
        <v/>
      </c>
      <c r="AF1359" s="47" t="e">
        <f t="shared" ca="1" si="496"/>
        <v>#NAME?</v>
      </c>
      <c r="AG1359" s="47">
        <f t="shared" si="497"/>
        <v>44021010</v>
      </c>
      <c r="AH1359" s="54">
        <f>IF(Q1359="22",IF(ISNUMBER(SEARCH("econ",PAA_4[[#This Row],[Actividad3]])),"Económico",IF(ISNUMBER(SEARCH("alim",PAA_4[[#This Row],[Actividad3]])),"Alimentación",IF(ISNUMBER(SEARCH("educ",PAA_4[[#This Row],[Actividad3]])),"Educativo","Técnico"))),0)</f>
        <v>0</v>
      </c>
      <c r="AI1359" s="47" t="e" cm="1">
        <f t="array" aca="1" ref="AI1359" ca="1">_xlfn.XLOOKUP(PAA_4[[#This Row],[RCP-RUBRO]],[2]!COMPROMISOS_2024[[#All],[concatenado]],[2]!COMPROMISOS_2024[[#All],[Total pagado]],"",0)</f>
        <v>#NAME?</v>
      </c>
      <c r="AJ1359" s="56">
        <f>IF(PAA_4[[#This Row],[BOLSA]]=0,0,SUMIFS([2]!COMPROMISOS_2024[[#All],[Total pagado]],[2]!COMPROMISOS_2024[[#All],[Bolsa]],PAA_4[[#This Row],[BOLSA]],[2]!COMPROMISOS_2024[[#All],[rubro]],PAA_4[[#This Row],[RCP-RUBRO]]))</f>
        <v>0</v>
      </c>
      <c r="AK1359" s="47" t="e" cm="1">
        <f t="array" aca="1" ref="AK1359" ca="1">_xlfn.XLOOKUP(PAA_4[[#This Row],[RCP-RUBRO]],[2]!COMPROMISOS_2024[[#All],[concatenado]],[2]!COMPROMISOS_2024[[#All],[Total Comprometido]],"",0)</f>
        <v>#NAME?</v>
      </c>
      <c r="AL1359" s="47">
        <f>IF(PAA_4[[#This Row],[BOLSA]]=0,0,SUMIFS([2]!COMPROMISOS_2024[[#All],[Total Comprometido]],[2]!COMPROMISOS_2024[[#All],[Bolsa]],PAA_4[[#This Row],[BOLSA]],[2]!COMPROMISOS_2024[[#All],[concatenado]],PAA_4[[#This Row],[RCP-RUBRO]]))</f>
        <v>0</v>
      </c>
    </row>
    <row r="1360" spans="1:38" s="19" customFormat="1" ht="31.5" customHeight="1">
      <c r="A1360" s="47">
        <v>476</v>
      </c>
      <c r="B1360" s="47">
        <v>80111600</v>
      </c>
      <c r="C1360" s="47" t="str">
        <f>VLOOKUP(PAA_4[[#This Row],[PROYECTO (formulado)2]],[2]PROYECTOS!$G$1:$L$32,6,0)</f>
        <v>SUBGERENCIA DE FOMENTO Y DESARROLLO</v>
      </c>
      <c r="D1360" s="47" t="str">
        <f>+IF(PAA_4[[#This Row],[UNIDAD DE CONTRATACION (formulado)]]="Subgerencia Administrativa y Financiera","FUNCIONAMIENTO","INVERSIÓN")</f>
        <v>INVERSIÓN</v>
      </c>
      <c r="E1360" s="48" t="str">
        <f>VLOOKUP(Q1360,[2]PROYECTOS!$G$1:$K$32,5,0)</f>
        <v>FORTALECIMIENTO_DE_LOS_JUEGOS_DEL_SECTOR_SOCIAL_COMUNITARIO_EN_LOS_MUNICIPIOS_DEL_DEPARTAMENTO_DE_ANTIOQU</v>
      </c>
      <c r="F1360" s="48">
        <f>VLOOKUP(E1360,[2]PROYECTOS!$K$1:$M$32,3,0)</f>
        <v>2020003050033</v>
      </c>
      <c r="G1360" s="49" t="s">
        <v>342</v>
      </c>
      <c r="H1360" s="49" t="str">
        <f>VLOOKUP(Q1360,[2]PROYECTOS!$V$1:$W$32,2,0)</f>
        <v>050057</v>
      </c>
      <c r="I1360" s="50">
        <v>0</v>
      </c>
      <c r="J1360" s="51" t="s">
        <v>409</v>
      </c>
      <c r="K1360" s="47" t="str">
        <f t="shared" ca="1" si="492"/>
        <v>CONTRATADO</v>
      </c>
      <c r="L1360" s="47" t="s">
        <v>94</v>
      </c>
      <c r="M1360" s="47" t="s">
        <v>1297</v>
      </c>
      <c r="N1360" s="52" t="s">
        <v>396</v>
      </c>
      <c r="O1360" s="51" t="e">
        <f>VLOOKUP(N1360,[2]!RUBROS[#All],3,0)</f>
        <v>#REF!</v>
      </c>
      <c r="P1360" s="53" t="e">
        <f>VLOOKUP(N1360,[2]!RUBROS[#All],2,0)</f>
        <v>#REF!</v>
      </c>
      <c r="Q1360" s="47" t="str">
        <f t="shared" si="493"/>
        <v>50</v>
      </c>
      <c r="R1360" s="47" t="str">
        <f t="shared" si="485"/>
        <v>0-205128</v>
      </c>
      <c r="S1360" s="54">
        <v>7.5</v>
      </c>
      <c r="T1360" s="59" t="s">
        <v>46</v>
      </c>
      <c r="U1360" s="326" t="e">
        <f ca="1">_xlfn.XLOOKUP(PAA_4[[#This Row],[ITEM]],[2]Contrato!A:A,[2]Contrato!Q:Q,"",0)</f>
        <v>#NAME?</v>
      </c>
      <c r="V1360" s="47" t="s">
        <v>47</v>
      </c>
      <c r="W1360" s="47" t="s">
        <v>119</v>
      </c>
      <c r="X1360" s="47" t="s">
        <v>119</v>
      </c>
      <c r="Y1360" s="55" t="e">
        <f ca="1">_xlfn.XLOOKUP(PAA_4[[#This Row],[ITEM]],[2]Contrato!A:A,[2]Contrato!B:B,"",0)</f>
        <v>#NAME?</v>
      </c>
      <c r="Z1360" s="47" t="e">
        <f ca="1">_xlfn.XLOOKUP(PAA_4[[#This Row],[ITEM]],[2]Contrato!A:A,[2]Contrato!G:G,"",0)</f>
        <v>#NAME?</v>
      </c>
      <c r="AA1360" s="47" t="e">
        <f ca="1">_xlfn.XLOOKUP(PAA_4[[#This Row],[ITEM]],[2]Contrato!A:A,[2]Contrato!T:T,"",0)</f>
        <v>#NAME?</v>
      </c>
      <c r="AB1360" s="55" t="e">
        <f ca="1">+MAX(PAA_4[[#This Row],[Comprometido Contrato]],PAA_4[[#This Row],[Comprometido Bolsa]])</f>
        <v>#NAME?</v>
      </c>
      <c r="AC1360" s="55" t="str">
        <f t="shared" ca="1" si="494"/>
        <v/>
      </c>
      <c r="AD1360" s="55" t="e">
        <f ca="1">IF(PAA_4[[#This Row],[ESTADO (formulado)]]="NO CONTRATADO",0,MAX(PAA_4[[#This Row],[Pago por Contrato]],PAA_4[[#This Row],[Pago por bolsa]]))</f>
        <v>#NAME?</v>
      </c>
      <c r="AE1360" s="55" t="str">
        <f t="shared" ca="1" si="495"/>
        <v/>
      </c>
      <c r="AF1360" s="47" t="e">
        <f t="shared" ca="1" si="496"/>
        <v>#NAME?</v>
      </c>
      <c r="AG1360" s="47">
        <f t="shared" si="497"/>
        <v>44021010</v>
      </c>
      <c r="AH1360" s="54">
        <f>IF(Q1360="22",IF(ISNUMBER(SEARCH("econ",PAA_4[[#This Row],[Actividad3]])),"Económico",IF(ISNUMBER(SEARCH("alim",PAA_4[[#This Row],[Actividad3]])),"Alimentación",IF(ISNUMBER(SEARCH("educ",PAA_4[[#This Row],[Actividad3]])),"Educativo","Técnico"))),0)</f>
        <v>0</v>
      </c>
      <c r="AI1360" s="47" t="e" cm="1">
        <f t="array" aca="1" ref="AI1360" ca="1">_xlfn.XLOOKUP(PAA_4[[#This Row],[RCP-RUBRO]],[2]!COMPROMISOS_2024[[#All],[concatenado]],[2]!COMPROMISOS_2024[[#All],[Total pagado]],"",0)</f>
        <v>#NAME?</v>
      </c>
      <c r="AJ1360" s="56">
        <f>IF(PAA_4[[#This Row],[BOLSA]]=0,0,SUMIFS([2]!COMPROMISOS_2024[[#All],[Total pagado]],[2]!COMPROMISOS_2024[[#All],[Bolsa]],PAA_4[[#This Row],[BOLSA]],[2]!COMPROMISOS_2024[[#All],[rubro]],PAA_4[[#This Row],[RCP-RUBRO]]))</f>
        <v>0</v>
      </c>
      <c r="AK1360" s="47" t="e" cm="1">
        <f t="array" aca="1" ref="AK1360" ca="1">_xlfn.XLOOKUP(PAA_4[[#This Row],[RCP-RUBRO]],[2]!COMPROMISOS_2024[[#All],[concatenado]],[2]!COMPROMISOS_2024[[#All],[Total Comprometido]],"",0)</f>
        <v>#NAME?</v>
      </c>
      <c r="AL1360" s="47">
        <f>IF(PAA_4[[#This Row],[BOLSA]]=0,0,SUMIFS([2]!COMPROMISOS_2024[[#All],[Total Comprometido]],[2]!COMPROMISOS_2024[[#All],[Bolsa]],PAA_4[[#This Row],[BOLSA]],[2]!COMPROMISOS_2024[[#All],[concatenado]],PAA_4[[#This Row],[RCP-RUBRO]]))</f>
        <v>0</v>
      </c>
    </row>
    <row r="1361" spans="1:38" s="19" customFormat="1" ht="31.5" customHeight="1">
      <c r="A1361" s="47">
        <v>477</v>
      </c>
      <c r="B1361" s="47">
        <v>80111600</v>
      </c>
      <c r="C1361" s="47" t="str">
        <f>VLOOKUP(PAA_4[[#This Row],[PROYECTO (formulado)2]],[2]PROYECTOS!$G$1:$L$32,6,0)</f>
        <v>SUBGERENCIA DE FOMENTO Y DESARROLLO</v>
      </c>
      <c r="D1361" s="47" t="str">
        <f>+IF(PAA_4[[#This Row],[UNIDAD DE CONTRATACION (formulado)]]="Subgerencia Administrativa y Financiera","FUNCIONAMIENTO","INVERSIÓN")</f>
        <v>INVERSIÓN</v>
      </c>
      <c r="E1361" s="48" t="str">
        <f>VLOOKUP(Q1361,[2]PROYECTOS!$G$1:$K$32,5,0)</f>
        <v>FORTALECIMIENTO_DE_LOS_JUEGOS_DEL_SECTOR_SOCIAL_COMUNITARIO_EN_LOS_MUNICIPIOS_DEL_DEPARTAMENTO_DE_ANTIOQU</v>
      </c>
      <c r="F1361" s="48">
        <f>VLOOKUP(E1361,[2]PROYECTOS!$K$1:$M$32,3,0)</f>
        <v>2020003050033</v>
      </c>
      <c r="G1361" s="49" t="s">
        <v>342</v>
      </c>
      <c r="H1361" s="49" t="str">
        <f>VLOOKUP(Q1361,[2]PROYECTOS!$V$1:$W$32,2,0)</f>
        <v>050057</v>
      </c>
      <c r="I1361" s="50">
        <v>0</v>
      </c>
      <c r="J1361" s="51" t="s">
        <v>1876</v>
      </c>
      <c r="K1361" s="47" t="str">
        <f t="shared" ca="1" si="492"/>
        <v>CONTRATADO</v>
      </c>
      <c r="L1361" s="47" t="s">
        <v>94</v>
      </c>
      <c r="M1361" s="47" t="s">
        <v>1297</v>
      </c>
      <c r="N1361" s="52" t="s">
        <v>396</v>
      </c>
      <c r="O1361" s="51" t="e">
        <f>VLOOKUP(N1361,[2]!RUBROS[#All],3,0)</f>
        <v>#REF!</v>
      </c>
      <c r="P1361" s="53" t="e">
        <f>VLOOKUP(N1361,[2]!RUBROS[#All],2,0)</f>
        <v>#REF!</v>
      </c>
      <c r="Q1361" s="47" t="str">
        <f t="shared" si="493"/>
        <v>50</v>
      </c>
      <c r="R1361" s="47" t="str">
        <f t="shared" si="485"/>
        <v>0-205128</v>
      </c>
      <c r="S1361" s="54">
        <v>12</v>
      </c>
      <c r="T1361" s="59" t="s">
        <v>46</v>
      </c>
      <c r="U1361" s="326" t="e">
        <f ca="1">_xlfn.XLOOKUP(PAA_4[[#This Row],[ITEM]],[2]Contrato!A:A,[2]Contrato!Q:Q,"",0)</f>
        <v>#NAME?</v>
      </c>
      <c r="V1361" s="47" t="s">
        <v>47</v>
      </c>
      <c r="W1361" s="47" t="s">
        <v>83</v>
      </c>
      <c r="X1361" s="47" t="s">
        <v>83</v>
      </c>
      <c r="Y1361" s="55" t="e">
        <f ca="1">_xlfn.XLOOKUP(PAA_4[[#This Row],[ITEM]],[2]Contrato!A:A,[2]Contrato!B:B,"",0)</f>
        <v>#NAME?</v>
      </c>
      <c r="Z1361" s="47" t="e">
        <f ca="1">_xlfn.XLOOKUP(PAA_4[[#This Row],[ITEM]],[2]Contrato!A:A,[2]Contrato!G:G,"",0)</f>
        <v>#NAME?</v>
      </c>
      <c r="AA1361" s="47" t="e">
        <f ca="1">_xlfn.XLOOKUP(PAA_4[[#This Row],[ITEM]],[2]Contrato!A:A,[2]Contrato!T:T,"",0)</f>
        <v>#NAME?</v>
      </c>
      <c r="AB1361" s="55" t="e">
        <f ca="1">+MAX(PAA_4[[#This Row],[Comprometido Contrato]],PAA_4[[#This Row],[Comprometido Bolsa]])</f>
        <v>#NAME?</v>
      </c>
      <c r="AC1361" s="55" t="str">
        <f t="shared" ca="1" si="494"/>
        <v/>
      </c>
      <c r="AD1361" s="55" t="e">
        <f ca="1">IF(PAA_4[[#This Row],[ESTADO (formulado)]]="NO CONTRATADO",0,MAX(PAA_4[[#This Row],[Pago por Contrato]],PAA_4[[#This Row],[Pago por bolsa]]))</f>
        <v>#NAME?</v>
      </c>
      <c r="AE1361" s="55" t="str">
        <f t="shared" ca="1" si="495"/>
        <v/>
      </c>
      <c r="AF1361" s="47" t="e">
        <f t="shared" ca="1" si="496"/>
        <v>#NAME?</v>
      </c>
      <c r="AG1361" s="47">
        <f t="shared" si="497"/>
        <v>44021010</v>
      </c>
      <c r="AH1361" s="54">
        <f>IF(Q1361="22",IF(ISNUMBER(SEARCH("econ",PAA_4[[#This Row],[Actividad3]])),"Económico",IF(ISNUMBER(SEARCH("alim",PAA_4[[#This Row],[Actividad3]])),"Alimentación",IF(ISNUMBER(SEARCH("educ",PAA_4[[#This Row],[Actividad3]])),"Educativo","Técnico"))),0)</f>
        <v>0</v>
      </c>
      <c r="AI1361" s="47" t="e" cm="1">
        <f t="array" aca="1" ref="AI1361" ca="1">_xlfn.XLOOKUP(PAA_4[[#This Row],[RCP-RUBRO]],[2]!COMPROMISOS_2024[[#All],[concatenado]],[2]!COMPROMISOS_2024[[#All],[Total pagado]],"",0)</f>
        <v>#NAME?</v>
      </c>
      <c r="AJ1361" s="56">
        <f>IF(PAA_4[[#This Row],[BOLSA]]=0,0,SUMIFS([2]!COMPROMISOS_2024[[#All],[Total pagado]],[2]!COMPROMISOS_2024[[#All],[Bolsa]],PAA_4[[#This Row],[BOLSA]],[2]!COMPROMISOS_2024[[#All],[rubro]],PAA_4[[#This Row],[RCP-RUBRO]]))</f>
        <v>0</v>
      </c>
      <c r="AK1361" s="47" t="e" cm="1">
        <f t="array" aca="1" ref="AK1361" ca="1">_xlfn.XLOOKUP(PAA_4[[#This Row],[RCP-RUBRO]],[2]!COMPROMISOS_2024[[#All],[concatenado]],[2]!COMPROMISOS_2024[[#All],[Total Comprometido]],"",0)</f>
        <v>#NAME?</v>
      </c>
      <c r="AL1361" s="47">
        <f>IF(PAA_4[[#This Row],[BOLSA]]=0,0,SUMIFS([2]!COMPROMISOS_2024[[#All],[Total Comprometido]],[2]!COMPROMISOS_2024[[#All],[Bolsa]],PAA_4[[#This Row],[BOLSA]],[2]!COMPROMISOS_2024[[#All],[concatenado]],PAA_4[[#This Row],[RCP-RUBRO]]))</f>
        <v>0</v>
      </c>
    </row>
    <row r="1362" spans="1:38" s="19" customFormat="1" ht="31.5" customHeight="1">
      <c r="A1362" s="47">
        <v>478</v>
      </c>
      <c r="B1362" s="47">
        <v>80111600</v>
      </c>
      <c r="C1362" s="47" t="str">
        <f>VLOOKUP(PAA_4[[#This Row],[PROYECTO (formulado)2]],[2]PROYECTOS!$G$1:$L$32,6,0)</f>
        <v>SUBGERENCIA DE FOMENTO Y DESARROLLO</v>
      </c>
      <c r="D1362" s="47" t="str">
        <f>+IF(PAA_4[[#This Row],[UNIDAD DE CONTRATACION (formulado)]]="Subgerencia Administrativa y Financiera","FUNCIONAMIENTO","INVERSIÓN")</f>
        <v>INVERSIÓN</v>
      </c>
      <c r="E1362" s="48" t="str">
        <f>VLOOKUP(Q1362,[2]PROYECTOS!$G$1:$K$32,5,0)</f>
        <v>FORTALECIMIENTO_DE_LOS_JUEGOS_DEL_SECTOR_SOCIAL_COMUNITARIO_EN_LOS_MUNICIPIOS_DEL_DEPARTAMENTO_DE_ANTIOQU</v>
      </c>
      <c r="F1362" s="48">
        <f>VLOOKUP(E1362,[2]PROYECTOS!$K$1:$M$32,3,0)</f>
        <v>2020003050033</v>
      </c>
      <c r="G1362" s="49" t="s">
        <v>342</v>
      </c>
      <c r="H1362" s="49" t="str">
        <f>VLOOKUP(Q1362,[2]PROYECTOS!$V$1:$W$32,2,0)</f>
        <v>050057</v>
      </c>
      <c r="I1362" s="50">
        <v>0</v>
      </c>
      <c r="J1362" s="51" t="s">
        <v>1876</v>
      </c>
      <c r="K1362" s="47" t="str">
        <f t="shared" ca="1" si="492"/>
        <v>CONTRATADO</v>
      </c>
      <c r="L1362" s="47" t="s">
        <v>94</v>
      </c>
      <c r="M1362" s="47" t="s">
        <v>1297</v>
      </c>
      <c r="N1362" s="52" t="s">
        <v>396</v>
      </c>
      <c r="O1362" s="51" t="e">
        <f>VLOOKUP(N1362,[2]!RUBROS[#All],3,0)</f>
        <v>#REF!</v>
      </c>
      <c r="P1362" s="53" t="e">
        <f>VLOOKUP(N1362,[2]!RUBROS[#All],2,0)</f>
        <v>#REF!</v>
      </c>
      <c r="Q1362" s="47" t="str">
        <f t="shared" si="493"/>
        <v>50</v>
      </c>
      <c r="R1362" s="47" t="str">
        <f t="shared" si="485"/>
        <v>0-205128</v>
      </c>
      <c r="S1362" s="54">
        <v>12</v>
      </c>
      <c r="T1362" s="59" t="s">
        <v>46</v>
      </c>
      <c r="U1362" s="326" t="e">
        <f ca="1">_xlfn.XLOOKUP(PAA_4[[#This Row],[ITEM]],[2]Contrato!A:A,[2]Contrato!Q:Q,"",0)</f>
        <v>#NAME?</v>
      </c>
      <c r="V1362" s="47" t="s">
        <v>47</v>
      </c>
      <c r="W1362" s="47" t="s">
        <v>83</v>
      </c>
      <c r="X1362" s="47" t="s">
        <v>83</v>
      </c>
      <c r="Y1362" s="55" t="e">
        <f ca="1">_xlfn.XLOOKUP(PAA_4[[#This Row],[ITEM]],[2]Contrato!A:A,[2]Contrato!B:B,"",0)</f>
        <v>#NAME?</v>
      </c>
      <c r="Z1362" s="47" t="e">
        <f ca="1">_xlfn.XLOOKUP(PAA_4[[#This Row],[ITEM]],[2]Contrato!A:A,[2]Contrato!G:G,"",0)</f>
        <v>#NAME?</v>
      </c>
      <c r="AA1362" s="47" t="e">
        <f ca="1">_xlfn.XLOOKUP(PAA_4[[#This Row],[ITEM]],[2]Contrato!A:A,[2]Contrato!T:T,"",0)</f>
        <v>#NAME?</v>
      </c>
      <c r="AB1362" s="55" t="e">
        <f ca="1">+MAX(PAA_4[[#This Row],[Comprometido Contrato]],PAA_4[[#This Row],[Comprometido Bolsa]])</f>
        <v>#NAME?</v>
      </c>
      <c r="AC1362" s="55" t="str">
        <f t="shared" ca="1" si="494"/>
        <v/>
      </c>
      <c r="AD1362" s="55" t="e">
        <f ca="1">IF(PAA_4[[#This Row],[ESTADO (formulado)]]="NO CONTRATADO",0,MAX(PAA_4[[#This Row],[Pago por Contrato]],PAA_4[[#This Row],[Pago por bolsa]]))</f>
        <v>#NAME?</v>
      </c>
      <c r="AE1362" s="55" t="str">
        <f t="shared" ca="1" si="495"/>
        <v/>
      </c>
      <c r="AF1362" s="47" t="e">
        <f t="shared" ca="1" si="496"/>
        <v>#NAME?</v>
      </c>
      <c r="AG1362" s="47">
        <f t="shared" si="497"/>
        <v>44021010</v>
      </c>
      <c r="AH1362" s="54">
        <f>IF(Q1362="22",IF(ISNUMBER(SEARCH("econ",PAA_4[[#This Row],[Actividad3]])),"Económico",IF(ISNUMBER(SEARCH("alim",PAA_4[[#This Row],[Actividad3]])),"Alimentación",IF(ISNUMBER(SEARCH("educ",PAA_4[[#This Row],[Actividad3]])),"Educativo","Técnico"))),0)</f>
        <v>0</v>
      </c>
      <c r="AI1362" s="47" t="e" cm="1">
        <f t="array" aca="1" ref="AI1362" ca="1">_xlfn.XLOOKUP(PAA_4[[#This Row],[RCP-RUBRO]],[2]!COMPROMISOS_2024[[#All],[concatenado]],[2]!COMPROMISOS_2024[[#All],[Total pagado]],"",0)</f>
        <v>#NAME?</v>
      </c>
      <c r="AJ1362" s="56">
        <f>IF(PAA_4[[#This Row],[BOLSA]]=0,0,SUMIFS([2]!COMPROMISOS_2024[[#All],[Total pagado]],[2]!COMPROMISOS_2024[[#All],[Bolsa]],PAA_4[[#This Row],[BOLSA]],[2]!COMPROMISOS_2024[[#All],[rubro]],PAA_4[[#This Row],[RCP-RUBRO]]))</f>
        <v>0</v>
      </c>
      <c r="AK1362" s="47" t="e" cm="1">
        <f t="array" aca="1" ref="AK1362" ca="1">_xlfn.XLOOKUP(PAA_4[[#This Row],[RCP-RUBRO]],[2]!COMPROMISOS_2024[[#All],[concatenado]],[2]!COMPROMISOS_2024[[#All],[Total Comprometido]],"",0)</f>
        <v>#NAME?</v>
      </c>
      <c r="AL1362" s="47">
        <f>IF(PAA_4[[#This Row],[BOLSA]]=0,0,SUMIFS([2]!COMPROMISOS_2024[[#All],[Total Comprometido]],[2]!COMPROMISOS_2024[[#All],[Bolsa]],PAA_4[[#This Row],[BOLSA]],[2]!COMPROMISOS_2024[[#All],[concatenado]],PAA_4[[#This Row],[RCP-RUBRO]]))</f>
        <v>0</v>
      </c>
    </row>
    <row r="1363" spans="1:38" s="19" customFormat="1" ht="31.5" customHeight="1">
      <c r="A1363" s="47">
        <v>479</v>
      </c>
      <c r="B1363" s="47">
        <v>80111600</v>
      </c>
      <c r="C1363" s="47" t="str">
        <f>VLOOKUP(PAA_4[[#This Row],[PROYECTO (formulado)2]],[2]PROYECTOS!$G$1:$L$32,6,0)</f>
        <v>SUBGERENCIA DE FOMENTO Y DESARROLLO</v>
      </c>
      <c r="D1363" s="47" t="str">
        <f>+IF(PAA_4[[#This Row],[UNIDAD DE CONTRATACION (formulado)]]="Subgerencia Administrativa y Financiera","FUNCIONAMIENTO","INVERSIÓN")</f>
        <v>INVERSIÓN</v>
      </c>
      <c r="E1363" s="48" t="str">
        <f>VLOOKUP(Q1363,[2]PROYECTOS!$G$1:$K$32,5,0)</f>
        <v>FORTALECIMIENTO_DE_LOS_JUEGOS_DEL_SECTOR_SOCIAL_COMUNITARIO_EN_LOS_MUNICIPIOS_DEL_DEPARTAMENTO_DE_ANTIOQU</v>
      </c>
      <c r="F1363" s="48">
        <f>VLOOKUP(E1363,[2]PROYECTOS!$K$1:$M$32,3,0)</f>
        <v>2020003050033</v>
      </c>
      <c r="G1363" s="49" t="s">
        <v>342</v>
      </c>
      <c r="H1363" s="49" t="str">
        <f>VLOOKUP(Q1363,[2]PROYECTOS!$V$1:$W$32,2,0)</f>
        <v>050057</v>
      </c>
      <c r="I1363" s="50">
        <v>0</v>
      </c>
      <c r="J1363" s="51" t="s">
        <v>1877</v>
      </c>
      <c r="K1363" s="47" t="str">
        <f t="shared" ca="1" si="492"/>
        <v>CONTRATADO</v>
      </c>
      <c r="L1363" s="47" t="s">
        <v>94</v>
      </c>
      <c r="M1363" s="47" t="s">
        <v>1297</v>
      </c>
      <c r="N1363" s="52" t="s">
        <v>396</v>
      </c>
      <c r="O1363" s="51" t="e">
        <f>VLOOKUP(N1363,[2]!RUBROS[#All],3,0)</f>
        <v>#REF!</v>
      </c>
      <c r="P1363" s="53" t="e">
        <f>VLOOKUP(N1363,[2]!RUBROS[#All],2,0)</f>
        <v>#REF!</v>
      </c>
      <c r="Q1363" s="47" t="str">
        <f t="shared" si="493"/>
        <v>50</v>
      </c>
      <c r="R1363" s="47" t="str">
        <f t="shared" si="485"/>
        <v>0-205128</v>
      </c>
      <c r="S1363" s="54">
        <v>12</v>
      </c>
      <c r="T1363" s="59" t="s">
        <v>46</v>
      </c>
      <c r="U1363" s="326" t="e">
        <f ca="1">_xlfn.XLOOKUP(PAA_4[[#This Row],[ITEM]],[2]Contrato!A:A,[2]Contrato!Q:Q,"",0)</f>
        <v>#NAME?</v>
      </c>
      <c r="V1363" s="47" t="s">
        <v>47</v>
      </c>
      <c r="W1363" s="47" t="s">
        <v>83</v>
      </c>
      <c r="X1363" s="47" t="s">
        <v>83</v>
      </c>
      <c r="Y1363" s="55" t="e">
        <f ca="1">_xlfn.XLOOKUP(PAA_4[[#This Row],[ITEM]],[2]Contrato!A:A,[2]Contrato!B:B,"",0)</f>
        <v>#NAME?</v>
      </c>
      <c r="Z1363" s="47" t="e">
        <f ca="1">_xlfn.XLOOKUP(PAA_4[[#This Row],[ITEM]],[2]Contrato!A:A,[2]Contrato!G:G,"",0)</f>
        <v>#NAME?</v>
      </c>
      <c r="AA1363" s="47" t="e">
        <f ca="1">_xlfn.XLOOKUP(PAA_4[[#This Row],[ITEM]],[2]Contrato!A:A,[2]Contrato!T:T,"",0)</f>
        <v>#NAME?</v>
      </c>
      <c r="AB1363" s="55" t="e">
        <f ca="1">+MAX(PAA_4[[#This Row],[Comprometido Contrato]],PAA_4[[#This Row],[Comprometido Bolsa]])</f>
        <v>#NAME?</v>
      </c>
      <c r="AC1363" s="55" t="str">
        <f t="shared" ca="1" si="494"/>
        <v/>
      </c>
      <c r="AD1363" s="55" t="e">
        <f ca="1">IF(PAA_4[[#This Row],[ESTADO (formulado)]]="NO CONTRATADO",0,MAX(PAA_4[[#This Row],[Pago por Contrato]],PAA_4[[#This Row],[Pago por bolsa]]))</f>
        <v>#NAME?</v>
      </c>
      <c r="AE1363" s="55" t="str">
        <f t="shared" ca="1" si="495"/>
        <v/>
      </c>
      <c r="AF1363" s="47" t="e">
        <f t="shared" ca="1" si="496"/>
        <v>#NAME?</v>
      </c>
      <c r="AG1363" s="47">
        <f t="shared" si="497"/>
        <v>44021010</v>
      </c>
      <c r="AH1363" s="54">
        <f>IF(Q1363="22",IF(ISNUMBER(SEARCH("econ",PAA_4[[#This Row],[Actividad3]])),"Económico",IF(ISNUMBER(SEARCH("alim",PAA_4[[#This Row],[Actividad3]])),"Alimentación",IF(ISNUMBER(SEARCH("educ",PAA_4[[#This Row],[Actividad3]])),"Educativo","Técnico"))),0)</f>
        <v>0</v>
      </c>
      <c r="AI1363" s="47" t="e" cm="1">
        <f t="array" aca="1" ref="AI1363" ca="1">_xlfn.XLOOKUP(PAA_4[[#This Row],[RCP-RUBRO]],[2]!COMPROMISOS_2024[[#All],[concatenado]],[2]!COMPROMISOS_2024[[#All],[Total pagado]],"",0)</f>
        <v>#NAME?</v>
      </c>
      <c r="AJ1363" s="56">
        <f>IF(PAA_4[[#This Row],[BOLSA]]=0,0,SUMIFS([2]!COMPROMISOS_2024[[#All],[Total pagado]],[2]!COMPROMISOS_2024[[#All],[Bolsa]],PAA_4[[#This Row],[BOLSA]],[2]!COMPROMISOS_2024[[#All],[rubro]],PAA_4[[#This Row],[RCP-RUBRO]]))</f>
        <v>0</v>
      </c>
      <c r="AK1363" s="47" t="e" cm="1">
        <f t="array" aca="1" ref="AK1363" ca="1">_xlfn.XLOOKUP(PAA_4[[#This Row],[RCP-RUBRO]],[2]!COMPROMISOS_2024[[#All],[concatenado]],[2]!COMPROMISOS_2024[[#All],[Total Comprometido]],"",0)</f>
        <v>#NAME?</v>
      </c>
      <c r="AL1363" s="47">
        <f>IF(PAA_4[[#This Row],[BOLSA]]=0,0,SUMIFS([2]!COMPROMISOS_2024[[#All],[Total Comprometido]],[2]!COMPROMISOS_2024[[#All],[Bolsa]],PAA_4[[#This Row],[BOLSA]],[2]!COMPROMISOS_2024[[#All],[concatenado]],PAA_4[[#This Row],[RCP-RUBRO]]))</f>
        <v>0</v>
      </c>
    </row>
    <row r="1364" spans="1:38" s="19" customFormat="1" ht="31.5" customHeight="1">
      <c r="A1364" s="47">
        <v>521</v>
      </c>
      <c r="B1364" s="47">
        <v>78111800</v>
      </c>
      <c r="C1364" s="47" t="str">
        <f>VLOOKUP(PAA_4[[#This Row],[PROYECTO (formulado)2]],[2]PROYECTOS!$G$1:$L$32,6,0)</f>
        <v>SUBGERENCIA DE FOMENTO Y DESARROLLO</v>
      </c>
      <c r="D1364" s="47" t="str">
        <f>+IF(PAA_4[[#This Row],[UNIDAD DE CONTRATACION (formulado)]]="Subgerencia Administrativa y Financiera","FUNCIONAMIENTO","INVERSIÓN")</f>
        <v>INVERSIÓN</v>
      </c>
      <c r="E1364" s="48" t="str">
        <f>VLOOKUP(Q1364,[2]PROYECTOS!$G$1:$K$32,5,0)</f>
        <v>FORTALECIMIENTO_DE_LOS_JUEGOS_DEL_SECTOR_SOCIAL_COMUNITARIO_EN_LOS_MUNICIPIOS_DEL_DEPARTAMENTO_DE_ANTIOQU</v>
      </c>
      <c r="F1364" s="48">
        <f>VLOOKUP(E1364,[2]PROYECTOS!$K$1:$M$32,3,0)</f>
        <v>2020003050033</v>
      </c>
      <c r="G1364" s="49" t="s">
        <v>342</v>
      </c>
      <c r="H1364" s="49" t="str">
        <f>VLOOKUP(Q1364,[2]PROYECTOS!$V$1:$W$32,2,0)</f>
        <v>050057</v>
      </c>
      <c r="I1364" s="50">
        <v>0</v>
      </c>
      <c r="J1364" s="51" t="s">
        <v>344</v>
      </c>
      <c r="K1364" s="47" t="str">
        <f t="shared" ca="1" si="492"/>
        <v>CONTRATADO</v>
      </c>
      <c r="L1364" s="47" t="s">
        <v>344</v>
      </c>
      <c r="M1364" s="47"/>
      <c r="N1364" s="52" t="s">
        <v>392</v>
      </c>
      <c r="O1364" s="51" t="e">
        <f>VLOOKUP(N1364,[2]!RUBROS[#All],3,0)</f>
        <v>#REF!</v>
      </c>
      <c r="P1364" s="53" t="e">
        <f>VLOOKUP(N1364,[2]!RUBROS[#All],2,0)</f>
        <v>#REF!</v>
      </c>
      <c r="Q1364" s="47" t="str">
        <f t="shared" si="493"/>
        <v>50</v>
      </c>
      <c r="R1364" s="47" t="str">
        <f t="shared" si="485"/>
        <v>0-205128</v>
      </c>
      <c r="S1364" s="54">
        <v>10</v>
      </c>
      <c r="T1364" s="59" t="s">
        <v>46</v>
      </c>
      <c r="U1364" s="326" t="e">
        <f ca="1">_xlfn.XLOOKUP(PAA_4[[#This Row],[ITEM]],[2]Contrato!A:A,[2]Contrato!Q:Q,"",0)</f>
        <v>#NAME?</v>
      </c>
      <c r="V1364" s="47" t="s">
        <v>47</v>
      </c>
      <c r="W1364" s="47" t="s">
        <v>91</v>
      </c>
      <c r="X1364" s="47" t="s">
        <v>91</v>
      </c>
      <c r="Y1364" s="55" t="e">
        <f ca="1">_xlfn.XLOOKUP(PAA_4[[#This Row],[ITEM]],[2]Contrato!A:A,[2]Contrato!B:B,"",0)</f>
        <v>#NAME?</v>
      </c>
      <c r="Z1364" s="47" t="e">
        <f ca="1">_xlfn.XLOOKUP(PAA_4[[#This Row],[ITEM]],[2]Contrato!A:A,[2]Contrato!G:G,"",0)</f>
        <v>#NAME?</v>
      </c>
      <c r="AA1364" s="47" t="e">
        <f ca="1">_xlfn.XLOOKUP(PAA_4[[#This Row],[ITEM]],[2]Contrato!A:A,[2]Contrato!T:T,"",0)</f>
        <v>#NAME?</v>
      </c>
      <c r="AB1364" s="55" t="e">
        <f ca="1">+MAX(PAA_4[[#This Row],[Comprometido Contrato]],PAA_4[[#This Row],[Comprometido Bolsa]])</f>
        <v>#NAME?</v>
      </c>
      <c r="AC1364" s="55" t="str">
        <f t="shared" ca="1" si="494"/>
        <v/>
      </c>
      <c r="AD1364" s="55" t="e">
        <f ca="1">IF(PAA_4[[#This Row],[ESTADO (formulado)]]="NO CONTRATADO",0,MAX(PAA_4[[#This Row],[Pago por Contrato]],PAA_4[[#This Row],[Pago por bolsa]]))</f>
        <v>#NAME?</v>
      </c>
      <c r="AE1364" s="55" t="str">
        <f t="shared" ca="1" si="495"/>
        <v/>
      </c>
      <c r="AF1364" s="47" t="e">
        <f t="shared" ca="1" si="496"/>
        <v>#NAME?</v>
      </c>
      <c r="AG1364" s="47">
        <f t="shared" si="497"/>
        <v>44021010</v>
      </c>
      <c r="AH1364" s="54">
        <f>IF(Q1364="22",IF(ISNUMBER(SEARCH("econ",PAA_4[[#This Row],[Actividad3]])),"Económico",IF(ISNUMBER(SEARCH("alim",PAA_4[[#This Row],[Actividad3]])),"Alimentación",IF(ISNUMBER(SEARCH("educ",PAA_4[[#This Row],[Actividad3]])),"Educativo","Técnico"))),0)</f>
        <v>0</v>
      </c>
      <c r="AI1364" s="47" t="e" cm="1">
        <f t="array" aca="1" ref="AI1364" ca="1">_xlfn.XLOOKUP(PAA_4[[#This Row],[RCP-RUBRO]],[2]!COMPROMISOS_2024[[#All],[concatenado]],[2]!COMPROMISOS_2024[[#All],[Total pagado]],"",0)</f>
        <v>#NAME?</v>
      </c>
      <c r="AJ1364" s="56">
        <f>IF(PAA_4[[#This Row],[BOLSA]]=0,0,SUMIFS([2]!COMPROMISOS_2024[[#All],[Total pagado]],[2]!COMPROMISOS_2024[[#All],[Bolsa]],PAA_4[[#This Row],[BOLSA]],[2]!COMPROMISOS_2024[[#All],[rubro]],PAA_4[[#This Row],[RCP-RUBRO]]))</f>
        <v>0</v>
      </c>
      <c r="AK1364" s="47" t="e" cm="1">
        <f t="array" aca="1" ref="AK1364" ca="1">_xlfn.XLOOKUP(PAA_4[[#This Row],[RCP-RUBRO]],[2]!COMPROMISOS_2024[[#All],[concatenado]],[2]!COMPROMISOS_2024[[#All],[Total Comprometido]],"",0)</f>
        <v>#NAME?</v>
      </c>
      <c r="AL1364" s="47">
        <f>IF(PAA_4[[#This Row],[BOLSA]]=0,0,SUMIFS([2]!COMPROMISOS_2024[[#All],[Total Comprometido]],[2]!COMPROMISOS_2024[[#All],[Bolsa]],PAA_4[[#This Row],[BOLSA]],[2]!COMPROMISOS_2024[[#All],[concatenado]],PAA_4[[#This Row],[RCP-RUBRO]]))</f>
        <v>0</v>
      </c>
    </row>
    <row r="1365" spans="1:38" s="19" customFormat="1" ht="31.5" customHeight="1">
      <c r="A1365" s="47">
        <v>366</v>
      </c>
      <c r="B1365" s="47">
        <v>78111800</v>
      </c>
      <c r="C1365" s="47" t="str">
        <f>VLOOKUP(PAA_4[[#This Row],[PROYECTO (formulado)2]],[2]PROYECTOS!$G$1:$L$32,6,0)</f>
        <v>SUBGERENCIA DE FOMENTO Y DESARROLLO</v>
      </c>
      <c r="D1365" s="47" t="str">
        <f>+IF(PAA_4[[#This Row],[UNIDAD DE CONTRATACION (formulado)]]="Subgerencia Administrativa y Financiera","FUNCIONAMIENTO","INVERSIÓN")</f>
        <v>INVERSIÓN</v>
      </c>
      <c r="E1365" s="48" t="str">
        <f>VLOOKUP(Q1365,[2]PROYECTOS!$G$1:$K$32,5,0)</f>
        <v>FORTALECIMIENTO_DE_LOS_JUEGOS_DEL_SECTOR_EDUCATIVO_EN_ANTIOQUIA</v>
      </c>
      <c r="F1365" s="48">
        <f>VLOOKUP(E1365,[2]PROYECTOS!$K$1:$M$32,3,0)</f>
        <v>2020003050034</v>
      </c>
      <c r="G1365" s="49" t="s">
        <v>340</v>
      </c>
      <c r="H1365" s="49" t="str">
        <f>VLOOKUP(Q1365,[2]PROYECTOS!$V$1:$W$32,2,0)</f>
        <v>050053</v>
      </c>
      <c r="I1365" s="50">
        <v>0</v>
      </c>
      <c r="J1365" s="51" t="s">
        <v>304</v>
      </c>
      <c r="K1365" s="47" t="str">
        <f t="shared" ca="1" si="492"/>
        <v>CONTRATADO</v>
      </c>
      <c r="L1365" s="47" t="s">
        <v>94</v>
      </c>
      <c r="M1365" s="47" t="s">
        <v>161</v>
      </c>
      <c r="N1365" s="52" t="s">
        <v>416</v>
      </c>
      <c r="O1365" s="51" t="e">
        <f>VLOOKUP(N1365,[2]!RUBROS[#All],3,0)</f>
        <v>#REF!</v>
      </c>
      <c r="P1365" s="53" t="e">
        <f>VLOOKUP(N1365,[2]!RUBROS[#All],2,0)</f>
        <v>#REF!</v>
      </c>
      <c r="Q1365" s="47" t="str">
        <f t="shared" si="493"/>
        <v>51</v>
      </c>
      <c r="R1365" s="47" t="str">
        <f t="shared" si="485"/>
        <v>0-205128</v>
      </c>
      <c r="S1365" s="342">
        <v>175</v>
      </c>
      <c r="T1365" s="59" t="s">
        <v>120</v>
      </c>
      <c r="U1365" s="326" t="e">
        <f ca="1">_xlfn.XLOOKUP(PAA_4[[#This Row],[ITEM]],[2]Contrato!A:A,[2]Contrato!Q:Q,"",0)</f>
        <v>#NAME?</v>
      </c>
      <c r="V1365" s="47" t="s">
        <v>47</v>
      </c>
      <c r="W1365" s="343" t="s">
        <v>154</v>
      </c>
      <c r="X1365" s="343" t="s">
        <v>154</v>
      </c>
      <c r="Y1365" s="55" t="e">
        <f ca="1">_xlfn.XLOOKUP(PAA_4[[#This Row],[ITEM]],[2]Contrato!A:A,[2]Contrato!B:B,"",0)</f>
        <v>#NAME?</v>
      </c>
      <c r="Z1365" s="47" t="e">
        <f ca="1">_xlfn.XLOOKUP(PAA_4[[#This Row],[ITEM]],[2]Contrato!A:A,[2]Contrato!G:G,"",0)</f>
        <v>#NAME?</v>
      </c>
      <c r="AA1365" s="47" t="e">
        <f ca="1">_xlfn.XLOOKUP(PAA_4[[#This Row],[ITEM]],[2]Contrato!A:A,[2]Contrato!T:T,"",0)</f>
        <v>#NAME?</v>
      </c>
      <c r="AB1365" s="55" t="e">
        <f ca="1">+MAX(PAA_4[[#This Row],[Comprometido Contrato]],PAA_4[[#This Row],[Comprometido Bolsa]])</f>
        <v>#NAME?</v>
      </c>
      <c r="AC1365" s="55" t="str">
        <f t="shared" ca="1" si="494"/>
        <v/>
      </c>
      <c r="AD1365" s="55" t="e">
        <f ca="1">IF(PAA_4[[#This Row],[ESTADO (formulado)]]="NO CONTRATADO",0,MAX(PAA_4[[#This Row],[Pago por Contrato]],PAA_4[[#This Row],[Pago por bolsa]]))</f>
        <v>#NAME?</v>
      </c>
      <c r="AE1365" s="55" t="str">
        <f t="shared" ca="1" si="495"/>
        <v/>
      </c>
      <c r="AF1365" s="47" t="e">
        <f t="shared" ca="1" si="496"/>
        <v>#NAME?</v>
      </c>
      <c r="AG1365" s="47">
        <f t="shared" si="497"/>
        <v>44021011</v>
      </c>
      <c r="AH1365" s="54">
        <f>IF(Q1365="22",IF(ISNUMBER(SEARCH("econ",PAA_4[[#This Row],[Actividad3]])),"Económico",IF(ISNUMBER(SEARCH("alim",PAA_4[[#This Row],[Actividad3]])),"Alimentación",IF(ISNUMBER(SEARCH("educ",PAA_4[[#This Row],[Actividad3]])),"Educativo","Técnico"))),0)</f>
        <v>0</v>
      </c>
      <c r="AI1365" s="47" t="e" cm="1">
        <f t="array" aca="1" ref="AI1365" ca="1">_xlfn.XLOOKUP(PAA_4[[#This Row],[RCP-RUBRO]],[2]!COMPROMISOS_2024[[#All],[concatenado]],[2]!COMPROMISOS_2024[[#All],[Total pagado]],"",0)</f>
        <v>#NAME?</v>
      </c>
      <c r="AJ1365" s="56">
        <f>IF(PAA_4[[#This Row],[BOLSA]]=0,0,SUMIFS([2]!COMPROMISOS_2024[[#All],[Total pagado]],[2]!COMPROMISOS_2024[[#All],[Bolsa]],PAA_4[[#This Row],[BOLSA]],[2]!COMPROMISOS_2024[[#All],[rubro]],PAA_4[[#This Row],[RCP-RUBRO]]))</f>
        <v>0</v>
      </c>
      <c r="AK1365" s="47" t="e" cm="1">
        <f t="array" aca="1" ref="AK1365" ca="1">_xlfn.XLOOKUP(PAA_4[[#This Row],[RCP-RUBRO]],[2]!COMPROMISOS_2024[[#All],[concatenado]],[2]!COMPROMISOS_2024[[#All],[Total Comprometido]],"",0)</f>
        <v>#NAME?</v>
      </c>
      <c r="AL1365" s="47">
        <f>IF(PAA_4[[#This Row],[BOLSA]]=0,0,SUMIFS([2]!COMPROMISOS_2024[[#All],[Total Comprometido]],[2]!COMPROMISOS_2024[[#All],[Bolsa]],PAA_4[[#This Row],[BOLSA]],[2]!COMPROMISOS_2024[[#All],[concatenado]],PAA_4[[#This Row],[RCP-RUBRO]]))</f>
        <v>0</v>
      </c>
    </row>
    <row r="1366" spans="1:38" s="19" customFormat="1" ht="31.5" customHeight="1">
      <c r="A1366" s="47">
        <v>384</v>
      </c>
      <c r="B1366" s="47">
        <v>80111600</v>
      </c>
      <c r="C1366" s="47" t="str">
        <f>VLOOKUP(PAA_4[[#This Row],[PROYECTO (formulado)2]],[2]PROYECTOS!$G$1:$L$32,6,0)</f>
        <v>SUBGERENCIA DE FOMENTO Y DESARROLLO</v>
      </c>
      <c r="D1366" s="47" t="str">
        <f>+IF(PAA_4[[#This Row],[UNIDAD DE CONTRATACION (formulado)]]="Subgerencia Administrativa y Financiera","FUNCIONAMIENTO","INVERSIÓN")</f>
        <v>INVERSIÓN</v>
      </c>
      <c r="E1366" s="48" t="str">
        <f>VLOOKUP(Q1366,[2]PROYECTOS!$G$1:$K$32,5,0)</f>
        <v>FORTALECIMIENTO_DE_LOS_JUEGOS_DEL_SECTOR_EDUCATIVO_EN_ANTIOQUIA</v>
      </c>
      <c r="F1366" s="48">
        <f>VLOOKUP(E1366,[2]PROYECTOS!$K$1:$M$32,3,0)</f>
        <v>2020003050034</v>
      </c>
      <c r="G1366" s="49" t="s">
        <v>340</v>
      </c>
      <c r="H1366" s="49" t="str">
        <f>VLOOKUP(Q1366,[2]PROYECTOS!$V$1:$W$32,2,0)</f>
        <v>050053</v>
      </c>
      <c r="I1366" s="50">
        <v>0</v>
      </c>
      <c r="J1366" s="51" t="s">
        <v>42</v>
      </c>
      <c r="K1366" s="47" t="str">
        <f t="shared" ca="1" si="492"/>
        <v>CONTRATADO</v>
      </c>
      <c r="L1366" s="47" t="s">
        <v>94</v>
      </c>
      <c r="M1366" s="47" t="s">
        <v>1297</v>
      </c>
      <c r="N1366" s="52" t="s">
        <v>341</v>
      </c>
      <c r="O1366" s="51" t="e">
        <f>VLOOKUP(N1366,[2]!RUBROS[#All],3,0)</f>
        <v>#REF!</v>
      </c>
      <c r="P1366" s="53" t="e">
        <f>VLOOKUP(N1366,[2]!RUBROS[#All],2,0)</f>
        <v>#REF!</v>
      </c>
      <c r="Q1366" s="47" t="str">
        <f t="shared" si="493"/>
        <v>51</v>
      </c>
      <c r="R1366" s="47" t="str">
        <f t="shared" si="485"/>
        <v>0-205128</v>
      </c>
      <c r="S1366" s="54">
        <v>9</v>
      </c>
      <c r="T1366" s="59" t="s">
        <v>46</v>
      </c>
      <c r="U1366" s="326" t="e">
        <f ca="1">_xlfn.XLOOKUP(PAA_4[[#This Row],[ITEM]],[2]Contrato!A:A,[2]Contrato!Q:Q,"",0)</f>
        <v>#NAME?</v>
      </c>
      <c r="V1366" s="47" t="s">
        <v>47</v>
      </c>
      <c r="W1366" s="47" t="s">
        <v>122</v>
      </c>
      <c r="X1366" s="47" t="s">
        <v>122</v>
      </c>
      <c r="Y1366" s="55" t="e">
        <f ca="1">_xlfn.XLOOKUP(PAA_4[[#This Row],[ITEM]],[2]Contrato!A:A,[2]Contrato!B:B,"",0)</f>
        <v>#NAME?</v>
      </c>
      <c r="Z1366" s="47" t="e">
        <f ca="1">_xlfn.XLOOKUP(PAA_4[[#This Row],[ITEM]],[2]Contrato!A:A,[2]Contrato!G:G,"",0)</f>
        <v>#NAME?</v>
      </c>
      <c r="AA1366" s="47" t="e">
        <f ca="1">_xlfn.XLOOKUP(PAA_4[[#This Row],[ITEM]],[2]Contrato!A:A,[2]Contrato!T:T,"",0)</f>
        <v>#NAME?</v>
      </c>
      <c r="AB1366" s="55" t="e">
        <f ca="1">+MAX(PAA_4[[#This Row],[Comprometido Contrato]],PAA_4[[#This Row],[Comprometido Bolsa]])</f>
        <v>#NAME?</v>
      </c>
      <c r="AC1366" s="55" t="str">
        <f t="shared" ca="1" si="494"/>
        <v/>
      </c>
      <c r="AD1366" s="55" t="e">
        <f ca="1">IF(PAA_4[[#This Row],[ESTADO (formulado)]]="NO CONTRATADO",0,MAX(PAA_4[[#This Row],[Pago por Contrato]],PAA_4[[#This Row],[Pago por bolsa]]))</f>
        <v>#NAME?</v>
      </c>
      <c r="AE1366" s="55" t="str">
        <f t="shared" ca="1" si="495"/>
        <v/>
      </c>
      <c r="AF1366" s="47" t="e">
        <f t="shared" ca="1" si="496"/>
        <v>#NAME?</v>
      </c>
      <c r="AG1366" s="47">
        <f t="shared" si="497"/>
        <v>44021011</v>
      </c>
      <c r="AH1366" s="54">
        <f>IF(Q1366="22",IF(ISNUMBER(SEARCH("econ",PAA_4[[#This Row],[Actividad3]])),"Económico",IF(ISNUMBER(SEARCH("alim",PAA_4[[#This Row],[Actividad3]])),"Alimentación",IF(ISNUMBER(SEARCH("educ",PAA_4[[#This Row],[Actividad3]])),"Educativo","Técnico"))),0)</f>
        <v>0</v>
      </c>
      <c r="AI1366" s="47" t="e" cm="1">
        <f t="array" aca="1" ref="AI1366" ca="1">_xlfn.XLOOKUP(PAA_4[[#This Row],[RCP-RUBRO]],[2]!COMPROMISOS_2024[[#All],[concatenado]],[2]!COMPROMISOS_2024[[#All],[Total pagado]],"",0)</f>
        <v>#NAME?</v>
      </c>
      <c r="AJ1366" s="56">
        <f>IF(PAA_4[[#This Row],[BOLSA]]=0,0,SUMIFS([2]!COMPROMISOS_2024[[#All],[Total pagado]],[2]!COMPROMISOS_2024[[#All],[Bolsa]],PAA_4[[#This Row],[BOLSA]],[2]!COMPROMISOS_2024[[#All],[rubro]],PAA_4[[#This Row],[RCP-RUBRO]]))</f>
        <v>0</v>
      </c>
      <c r="AK1366" s="47" t="e" cm="1">
        <f t="array" aca="1" ref="AK1366" ca="1">_xlfn.XLOOKUP(PAA_4[[#This Row],[RCP-RUBRO]],[2]!COMPROMISOS_2024[[#All],[concatenado]],[2]!COMPROMISOS_2024[[#All],[Total Comprometido]],"",0)</f>
        <v>#NAME?</v>
      </c>
      <c r="AL1366" s="47">
        <f>IF(PAA_4[[#This Row],[BOLSA]]=0,0,SUMIFS([2]!COMPROMISOS_2024[[#All],[Total Comprometido]],[2]!COMPROMISOS_2024[[#All],[Bolsa]],PAA_4[[#This Row],[BOLSA]],[2]!COMPROMISOS_2024[[#All],[concatenado]],PAA_4[[#This Row],[RCP-RUBRO]]))</f>
        <v>0</v>
      </c>
    </row>
    <row r="1367" spans="1:38" s="19" customFormat="1" ht="31.5" customHeight="1">
      <c r="A1367" s="47">
        <v>378</v>
      </c>
      <c r="B1367" s="47">
        <v>80111600</v>
      </c>
      <c r="C1367" s="47" t="str">
        <f>VLOOKUP(PAA_4[[#This Row],[PROYECTO (formulado)2]],[2]PROYECTOS!$G$1:$L$32,6,0)</f>
        <v>SUBGERENCIA DE FOMENTO Y DESARROLLO</v>
      </c>
      <c r="D1367" s="47" t="str">
        <f>+IF(PAA_4[[#This Row],[UNIDAD DE CONTRATACION (formulado)]]="Subgerencia Administrativa y Financiera","FUNCIONAMIENTO","INVERSIÓN")</f>
        <v>INVERSIÓN</v>
      </c>
      <c r="E1367" s="48" t="str">
        <f>VLOOKUP(Q1367,[2]PROYECTOS!$G$1:$K$32,5,0)</f>
        <v>FORTALECIMIENTO_DE_LOS_JUEGOS_DEL_SECTOR_EDUCATIVO_EN_ANTIOQUIA</v>
      </c>
      <c r="F1367" s="48">
        <f>VLOOKUP(E1367,[2]PROYECTOS!$K$1:$M$32,3,0)</f>
        <v>2020003050034</v>
      </c>
      <c r="G1367" s="49" t="s">
        <v>340</v>
      </c>
      <c r="H1367" s="49" t="str">
        <f>VLOOKUP(Q1367,[2]PROYECTOS!$V$1:$W$32,2,0)</f>
        <v>050053</v>
      </c>
      <c r="I1367" s="50">
        <v>5159312</v>
      </c>
      <c r="J1367" s="51" t="s">
        <v>328</v>
      </c>
      <c r="K1367" s="47" t="str">
        <f t="shared" ca="1" si="492"/>
        <v>CONTRATADO</v>
      </c>
      <c r="L1367" s="47" t="s">
        <v>94</v>
      </c>
      <c r="M1367" s="47" t="s">
        <v>1297</v>
      </c>
      <c r="N1367" s="52" t="s">
        <v>341</v>
      </c>
      <c r="O1367" s="51" t="e">
        <f>VLOOKUP(N1367,[2]!RUBROS[#All],3,0)</f>
        <v>#REF!</v>
      </c>
      <c r="P1367" s="53" t="e">
        <f>VLOOKUP(N1367,[2]!RUBROS[#All],2,0)</f>
        <v>#REF!</v>
      </c>
      <c r="Q1367" s="47" t="str">
        <f t="shared" si="493"/>
        <v>51</v>
      </c>
      <c r="R1367" s="47" t="str">
        <f t="shared" si="485"/>
        <v>0-205128</v>
      </c>
      <c r="S1367" s="54">
        <v>12</v>
      </c>
      <c r="T1367" s="59" t="s">
        <v>46</v>
      </c>
      <c r="U1367" s="326" t="e">
        <f ca="1">_xlfn.XLOOKUP(PAA_4[[#This Row],[ITEM]],[2]Contrato!A:A,[2]Contrato!Q:Q,"",0)</f>
        <v>#NAME?</v>
      </c>
      <c r="V1367" s="47" t="s">
        <v>47</v>
      </c>
      <c r="W1367" s="47" t="s">
        <v>83</v>
      </c>
      <c r="X1367" s="47" t="s">
        <v>83</v>
      </c>
      <c r="Y1367" s="55" t="e">
        <f ca="1">_xlfn.XLOOKUP(PAA_4[[#This Row],[ITEM]],[2]Contrato!A:A,[2]Contrato!B:B,"",0)</f>
        <v>#NAME?</v>
      </c>
      <c r="Z1367" s="47" t="e">
        <f ca="1">_xlfn.XLOOKUP(PAA_4[[#This Row],[ITEM]],[2]Contrato!A:A,[2]Contrato!G:G,"",0)</f>
        <v>#NAME?</v>
      </c>
      <c r="AA1367" s="47" t="e">
        <f ca="1">_xlfn.XLOOKUP(PAA_4[[#This Row],[ITEM]],[2]Contrato!A:A,[2]Contrato!T:T,"",0)</f>
        <v>#NAME?</v>
      </c>
      <c r="AB1367" s="55" t="e">
        <f ca="1">+MAX(PAA_4[[#This Row],[Comprometido Contrato]],PAA_4[[#This Row],[Comprometido Bolsa]])</f>
        <v>#NAME?</v>
      </c>
      <c r="AC1367" s="55" t="str">
        <f t="shared" ca="1" si="494"/>
        <v/>
      </c>
      <c r="AD1367" s="55" t="e">
        <f ca="1">IF(PAA_4[[#This Row],[ESTADO (formulado)]]="NO CONTRATADO",0,MAX(PAA_4[[#This Row],[Pago por Contrato]],PAA_4[[#This Row],[Pago por bolsa]]))</f>
        <v>#NAME?</v>
      </c>
      <c r="AE1367" s="55" t="str">
        <f t="shared" ca="1" si="495"/>
        <v/>
      </c>
      <c r="AF1367" s="47" t="e">
        <f t="shared" ca="1" si="496"/>
        <v>#NAME?</v>
      </c>
      <c r="AG1367" s="47">
        <f t="shared" si="497"/>
        <v>44021011</v>
      </c>
      <c r="AH1367" s="54">
        <f>IF(Q1367="22",IF(ISNUMBER(SEARCH("econ",PAA_4[[#This Row],[Actividad3]])),"Económico",IF(ISNUMBER(SEARCH("alim",PAA_4[[#This Row],[Actividad3]])),"Alimentación",IF(ISNUMBER(SEARCH("educ",PAA_4[[#This Row],[Actividad3]])),"Educativo","Técnico"))),0)</f>
        <v>0</v>
      </c>
      <c r="AI1367" s="47" t="e" cm="1">
        <f t="array" aca="1" ref="AI1367" ca="1">_xlfn.XLOOKUP(PAA_4[[#This Row],[RCP-RUBRO]],[2]!COMPROMISOS_2024[[#All],[concatenado]],[2]!COMPROMISOS_2024[[#All],[Total pagado]],"",0)</f>
        <v>#NAME?</v>
      </c>
      <c r="AJ1367" s="56">
        <f>IF(PAA_4[[#This Row],[BOLSA]]=0,0,SUMIFS([2]!COMPROMISOS_2024[[#All],[Total pagado]],[2]!COMPROMISOS_2024[[#All],[Bolsa]],PAA_4[[#This Row],[BOLSA]],[2]!COMPROMISOS_2024[[#All],[rubro]],PAA_4[[#This Row],[RCP-RUBRO]]))</f>
        <v>0</v>
      </c>
      <c r="AK1367" s="47" t="e" cm="1">
        <f t="array" aca="1" ref="AK1367" ca="1">_xlfn.XLOOKUP(PAA_4[[#This Row],[RCP-RUBRO]],[2]!COMPROMISOS_2024[[#All],[concatenado]],[2]!COMPROMISOS_2024[[#All],[Total Comprometido]],"",0)</f>
        <v>#NAME?</v>
      </c>
      <c r="AL1367" s="47">
        <f>IF(PAA_4[[#This Row],[BOLSA]]=0,0,SUMIFS([2]!COMPROMISOS_2024[[#All],[Total Comprometido]],[2]!COMPROMISOS_2024[[#All],[Bolsa]],PAA_4[[#This Row],[BOLSA]],[2]!COMPROMISOS_2024[[#All],[concatenado]],PAA_4[[#This Row],[RCP-RUBRO]]))</f>
        <v>0</v>
      </c>
    </row>
    <row r="1368" spans="1:38" s="19" customFormat="1" ht="31.5" customHeight="1">
      <c r="A1368" s="47" t="s">
        <v>82</v>
      </c>
      <c r="B1368" s="47">
        <v>80111600</v>
      </c>
      <c r="C1368" s="47" t="str">
        <f>VLOOKUP(PAA_4[[#This Row],[PROYECTO (formulado)2]],[2]PROYECTOS!$G$1:$L$32,6,0)</f>
        <v>SUBGERENCIA DE FOMENTO Y DESARROLLO</v>
      </c>
      <c r="D1368" s="47" t="str">
        <f>+IF(PAA_4[[#This Row],[UNIDAD DE CONTRATACION (formulado)]]="Subgerencia Administrativa y Financiera","FUNCIONAMIENTO","INVERSIÓN")</f>
        <v>INVERSIÓN</v>
      </c>
      <c r="E1368" s="48" t="str">
        <f>VLOOKUP(Q1368,[2]PROYECTOS!$G$1:$K$32,5,0)</f>
        <v>FORTALECIMIENTO_DE_LOS_JUEGOS_DEL_SECTOR_SOCIAL_COMUNITARIO_EN_LOS_MUNICIPIOS_DEL_DEPARTAMENTO_DE_ANTIOQU</v>
      </c>
      <c r="F1368" s="48">
        <f>VLOOKUP(E1368,[2]PROYECTOS!$K$1:$M$32,3,0)</f>
        <v>2020003050033</v>
      </c>
      <c r="G1368" s="49" t="s">
        <v>342</v>
      </c>
      <c r="H1368" s="49" t="str">
        <f>VLOOKUP(Q1368,[2]PROYECTOS!$V$1:$W$32,2,0)</f>
        <v>050057</v>
      </c>
      <c r="I1368" s="50">
        <v>0</v>
      </c>
      <c r="J1368" s="74" t="s">
        <v>374</v>
      </c>
      <c r="K1368" s="47" t="str">
        <f t="shared" ca="1" si="492"/>
        <v>CONTRATADO</v>
      </c>
      <c r="L1368" s="47" t="s">
        <v>94</v>
      </c>
      <c r="M1368" s="47" t="s">
        <v>1297</v>
      </c>
      <c r="N1368" s="52" t="s">
        <v>343</v>
      </c>
      <c r="O1368" s="51" t="e">
        <f>VLOOKUP(N1368,[2]!RUBROS[#All],3,0)</f>
        <v>#REF!</v>
      </c>
      <c r="P1368" s="53" t="e">
        <f>VLOOKUP(N1368,[2]!RUBROS[#All],2,0)</f>
        <v>#REF!</v>
      </c>
      <c r="Q1368" s="47" t="str">
        <f t="shared" si="493"/>
        <v>50</v>
      </c>
      <c r="R1368" s="47" t="str">
        <f t="shared" si="485"/>
        <v>0-205128</v>
      </c>
      <c r="S1368" s="54">
        <v>9</v>
      </c>
      <c r="T1368" s="59" t="s">
        <v>46</v>
      </c>
      <c r="U1368" s="326" t="e">
        <f ca="1">_xlfn.XLOOKUP(PAA_4[[#This Row],[ITEM]],[2]Contrato!A:A,[2]Contrato!Q:Q,"",0)</f>
        <v>#NAME?</v>
      </c>
      <c r="V1368" s="47" t="s">
        <v>47</v>
      </c>
      <c r="W1368" s="47" t="s">
        <v>122</v>
      </c>
      <c r="X1368" s="47" t="s">
        <v>122</v>
      </c>
      <c r="Y1368" s="55" t="e">
        <f ca="1">_xlfn.XLOOKUP(PAA_4[[#This Row],[ITEM]],[2]Contrato!A:A,[2]Contrato!B:B,"",0)</f>
        <v>#NAME?</v>
      </c>
      <c r="Z1368" s="47" t="e">
        <f ca="1">_xlfn.XLOOKUP(PAA_4[[#This Row],[ITEM]],[2]Contrato!A:A,[2]Contrato!G:G,"",0)</f>
        <v>#NAME?</v>
      </c>
      <c r="AA1368" s="47" t="e">
        <f ca="1">_xlfn.XLOOKUP(PAA_4[[#This Row],[ITEM]],[2]Contrato!A:A,[2]Contrato!T:T,"",0)</f>
        <v>#NAME?</v>
      </c>
      <c r="AB1368" s="55" t="e">
        <f ca="1">+MAX(PAA_4[[#This Row],[Comprometido Contrato]],PAA_4[[#This Row],[Comprometido Bolsa]])</f>
        <v>#NAME?</v>
      </c>
      <c r="AC1368" s="55" t="str">
        <f t="shared" ca="1" si="494"/>
        <v/>
      </c>
      <c r="AD1368" s="55" t="e">
        <f ca="1">IF(PAA_4[[#This Row],[ESTADO (formulado)]]="NO CONTRATADO",0,MAX(PAA_4[[#This Row],[Pago por Contrato]],PAA_4[[#This Row],[Pago por bolsa]]))</f>
        <v>#NAME?</v>
      </c>
      <c r="AE1368" s="55" t="str">
        <f t="shared" ca="1" si="495"/>
        <v/>
      </c>
      <c r="AF1368" s="47" t="e">
        <f t="shared" ca="1" si="496"/>
        <v>#NAME?</v>
      </c>
      <c r="AG1368" s="47">
        <f t="shared" si="497"/>
        <v>44021010</v>
      </c>
      <c r="AH1368" s="54">
        <f>IF(Q1368="22",IF(ISNUMBER(SEARCH("econ",PAA_4[[#This Row],[Actividad3]])),"Económico",IF(ISNUMBER(SEARCH("alim",PAA_4[[#This Row],[Actividad3]])),"Alimentación",IF(ISNUMBER(SEARCH("educ",PAA_4[[#This Row],[Actividad3]])),"Educativo","Técnico"))),0)</f>
        <v>0</v>
      </c>
      <c r="AI1368" s="47" t="e" cm="1">
        <f t="array" aca="1" ref="AI1368" ca="1">_xlfn.XLOOKUP(PAA_4[[#This Row],[RCP-RUBRO]],[2]!COMPROMISOS_2024[[#All],[concatenado]],[2]!COMPROMISOS_2024[[#All],[Total pagado]],"",0)</f>
        <v>#NAME?</v>
      </c>
      <c r="AJ1368" s="56">
        <f>IF(PAA_4[[#This Row],[BOLSA]]=0,0,SUMIFS([2]!COMPROMISOS_2024[[#All],[Total pagado]],[2]!COMPROMISOS_2024[[#All],[Bolsa]],PAA_4[[#This Row],[BOLSA]],[2]!COMPROMISOS_2024[[#All],[rubro]],PAA_4[[#This Row],[RCP-RUBRO]]))</f>
        <v>0</v>
      </c>
      <c r="AK1368" s="47" t="e" cm="1">
        <f t="array" aca="1" ref="AK1368" ca="1">_xlfn.XLOOKUP(PAA_4[[#This Row],[RCP-RUBRO]],[2]!COMPROMISOS_2024[[#All],[concatenado]],[2]!COMPROMISOS_2024[[#All],[Total Comprometido]],"",0)</f>
        <v>#NAME?</v>
      </c>
      <c r="AL1368" s="47">
        <f>IF(PAA_4[[#This Row],[BOLSA]]=0,0,SUMIFS([2]!COMPROMISOS_2024[[#All],[Total Comprometido]],[2]!COMPROMISOS_2024[[#All],[Bolsa]],PAA_4[[#This Row],[BOLSA]],[2]!COMPROMISOS_2024[[#All],[concatenado]],PAA_4[[#This Row],[RCP-RUBRO]]))</f>
        <v>0</v>
      </c>
    </row>
    <row r="1369" spans="1:38" s="19" customFormat="1" ht="31.5" customHeight="1">
      <c r="A1369" s="47">
        <v>379</v>
      </c>
      <c r="B1369" s="47">
        <v>80111600</v>
      </c>
      <c r="C1369" s="47" t="str">
        <f>VLOOKUP(PAA_4[[#This Row],[PROYECTO (formulado)2]],[2]PROYECTOS!$G$1:$L$32,6,0)</f>
        <v>SUBGERENCIA DE FOMENTO Y DESARROLLO</v>
      </c>
      <c r="D1369" s="47" t="str">
        <f>+IF(PAA_4[[#This Row],[UNIDAD DE CONTRATACION (formulado)]]="Subgerencia Administrativa y Financiera","FUNCIONAMIENTO","INVERSIÓN")</f>
        <v>INVERSIÓN</v>
      </c>
      <c r="E1369" s="48" t="str">
        <f>VLOOKUP(Q1369,[2]PROYECTOS!$G$1:$K$32,5,0)</f>
        <v>FORTALECIMIENTO_DE_LOS_JUEGOS_DEL_SECTOR_EDUCATIVO_EN_ANTIOQUIA</v>
      </c>
      <c r="F1369" s="48">
        <f>VLOOKUP(E1369,[2]PROYECTOS!$K$1:$M$32,3,0)</f>
        <v>2020003050034</v>
      </c>
      <c r="G1369" s="49" t="s">
        <v>340</v>
      </c>
      <c r="H1369" s="49" t="str">
        <f>VLOOKUP(Q1369,[2]PROYECTOS!$V$1:$W$32,2,0)</f>
        <v>050053</v>
      </c>
      <c r="I1369" s="50">
        <v>5920244</v>
      </c>
      <c r="J1369" s="51" t="s">
        <v>330</v>
      </c>
      <c r="K1369" s="47" t="str">
        <f t="shared" ca="1" si="492"/>
        <v>CONTRATADO</v>
      </c>
      <c r="L1369" s="47" t="s">
        <v>94</v>
      </c>
      <c r="M1369" s="47" t="s">
        <v>1297</v>
      </c>
      <c r="N1369" s="52" t="s">
        <v>341</v>
      </c>
      <c r="O1369" s="51" t="e">
        <f>VLOOKUP(N1369,[2]!RUBROS[#All],3,0)</f>
        <v>#REF!</v>
      </c>
      <c r="P1369" s="53" t="e">
        <f>VLOOKUP(N1369,[2]!RUBROS[#All],2,0)</f>
        <v>#REF!</v>
      </c>
      <c r="Q1369" s="47" t="str">
        <f t="shared" si="493"/>
        <v>51</v>
      </c>
      <c r="R1369" s="47" t="str">
        <f t="shared" si="485"/>
        <v>0-205128</v>
      </c>
      <c r="S1369" s="54">
        <v>3</v>
      </c>
      <c r="T1369" s="59" t="s">
        <v>46</v>
      </c>
      <c r="U1369" s="326" t="e">
        <f ca="1">_xlfn.XLOOKUP(PAA_4[[#This Row],[ITEM]],[2]Contrato!A:A,[2]Contrato!Q:Q,"",0)</f>
        <v>#NAME?</v>
      </c>
      <c r="V1369" s="47" t="s">
        <v>47</v>
      </c>
      <c r="W1369" s="47" t="s">
        <v>83</v>
      </c>
      <c r="X1369" s="47" t="s">
        <v>83</v>
      </c>
      <c r="Y1369" s="55" t="e">
        <f ca="1">_xlfn.XLOOKUP(PAA_4[[#This Row],[ITEM]],[2]Contrato!A:A,[2]Contrato!B:B,"",0)</f>
        <v>#NAME?</v>
      </c>
      <c r="Z1369" s="47" t="e">
        <f ca="1">_xlfn.XLOOKUP(PAA_4[[#This Row],[ITEM]],[2]Contrato!A:A,[2]Contrato!G:G,"",0)</f>
        <v>#NAME?</v>
      </c>
      <c r="AA1369" s="47" t="e">
        <f ca="1">_xlfn.XLOOKUP(PAA_4[[#This Row],[ITEM]],[2]Contrato!A:A,[2]Contrato!T:T,"",0)</f>
        <v>#NAME?</v>
      </c>
      <c r="AB1369" s="55" t="e">
        <f ca="1">+MAX(PAA_4[[#This Row],[Comprometido Contrato]],PAA_4[[#This Row],[Comprometido Bolsa]])</f>
        <v>#NAME?</v>
      </c>
      <c r="AC1369" s="55" t="str">
        <f t="shared" ca="1" si="494"/>
        <v/>
      </c>
      <c r="AD1369" s="55" t="e">
        <f ca="1">IF(PAA_4[[#This Row],[ESTADO (formulado)]]="NO CONTRATADO",0,MAX(PAA_4[[#This Row],[Pago por Contrato]],PAA_4[[#This Row],[Pago por bolsa]]))</f>
        <v>#NAME?</v>
      </c>
      <c r="AE1369" s="55" t="str">
        <f t="shared" ca="1" si="495"/>
        <v/>
      </c>
      <c r="AF1369" s="47" t="e">
        <f t="shared" ca="1" si="496"/>
        <v>#NAME?</v>
      </c>
      <c r="AG1369" s="47">
        <f t="shared" si="497"/>
        <v>44021011</v>
      </c>
      <c r="AH1369" s="54">
        <f>IF(Q1369="22",IF(ISNUMBER(SEARCH("econ",PAA_4[[#This Row],[Actividad3]])),"Económico",IF(ISNUMBER(SEARCH("alim",PAA_4[[#This Row],[Actividad3]])),"Alimentación",IF(ISNUMBER(SEARCH("educ",PAA_4[[#This Row],[Actividad3]])),"Educativo","Técnico"))),0)</f>
        <v>0</v>
      </c>
      <c r="AI1369" s="47" t="e" cm="1">
        <f t="array" aca="1" ref="AI1369" ca="1">_xlfn.XLOOKUP(PAA_4[[#This Row],[RCP-RUBRO]],[2]!COMPROMISOS_2024[[#All],[concatenado]],[2]!COMPROMISOS_2024[[#All],[Total pagado]],"",0)</f>
        <v>#NAME?</v>
      </c>
      <c r="AJ1369" s="56">
        <f>IF(PAA_4[[#This Row],[BOLSA]]=0,0,SUMIFS([2]!COMPROMISOS_2024[[#All],[Total pagado]],[2]!COMPROMISOS_2024[[#All],[Bolsa]],PAA_4[[#This Row],[BOLSA]],[2]!COMPROMISOS_2024[[#All],[rubro]],PAA_4[[#This Row],[RCP-RUBRO]]))</f>
        <v>0</v>
      </c>
      <c r="AK1369" s="47" t="e" cm="1">
        <f t="array" aca="1" ref="AK1369" ca="1">_xlfn.XLOOKUP(PAA_4[[#This Row],[RCP-RUBRO]],[2]!COMPROMISOS_2024[[#All],[concatenado]],[2]!COMPROMISOS_2024[[#All],[Total Comprometido]],"",0)</f>
        <v>#NAME?</v>
      </c>
      <c r="AL1369" s="47">
        <f>IF(PAA_4[[#This Row],[BOLSA]]=0,0,SUMIFS([2]!COMPROMISOS_2024[[#All],[Total Comprometido]],[2]!COMPROMISOS_2024[[#All],[Bolsa]],PAA_4[[#This Row],[BOLSA]],[2]!COMPROMISOS_2024[[#All],[concatenado]],PAA_4[[#This Row],[RCP-RUBRO]]))</f>
        <v>0</v>
      </c>
    </row>
    <row r="1370" spans="1:38" s="19" customFormat="1" ht="31.5" customHeight="1">
      <c r="A1370" s="47">
        <v>380</v>
      </c>
      <c r="B1370" s="47">
        <v>80111600</v>
      </c>
      <c r="C1370" s="47" t="str">
        <f>VLOOKUP(PAA_4[[#This Row],[PROYECTO (formulado)2]],[2]PROYECTOS!$G$1:$L$32,6,0)</f>
        <v>SUBGERENCIA DE FOMENTO Y DESARROLLO</v>
      </c>
      <c r="D1370" s="47" t="str">
        <f>+IF(PAA_4[[#This Row],[UNIDAD DE CONTRATACION (formulado)]]="Subgerencia Administrativa y Financiera","FUNCIONAMIENTO","INVERSIÓN")</f>
        <v>INVERSIÓN</v>
      </c>
      <c r="E1370" s="48" t="str">
        <f>VLOOKUP(Q1370,[2]PROYECTOS!$G$1:$K$32,5,0)</f>
        <v>FORTALECIMIENTO_DE_LOS_JUEGOS_DEL_SECTOR_EDUCATIVO_EN_ANTIOQUIA</v>
      </c>
      <c r="F1370" s="48">
        <f>VLOOKUP(E1370,[2]PROYECTOS!$K$1:$M$32,3,0)</f>
        <v>2020003050034</v>
      </c>
      <c r="G1370" s="49" t="s">
        <v>340</v>
      </c>
      <c r="H1370" s="49" t="str">
        <f>VLOOKUP(Q1370,[2]PROYECTOS!$V$1:$W$32,2,0)</f>
        <v>050053</v>
      </c>
      <c r="I1370" s="50">
        <v>5920244</v>
      </c>
      <c r="J1370" s="70" t="s">
        <v>331</v>
      </c>
      <c r="K1370" s="47" t="str">
        <f t="shared" ca="1" si="492"/>
        <v>CONTRATADO</v>
      </c>
      <c r="L1370" s="47" t="s">
        <v>94</v>
      </c>
      <c r="M1370" s="47" t="s">
        <v>1297</v>
      </c>
      <c r="N1370" s="52" t="s">
        <v>341</v>
      </c>
      <c r="O1370" s="51" t="e">
        <f>VLOOKUP(N1370,[2]!RUBROS[#All],3,0)</f>
        <v>#REF!</v>
      </c>
      <c r="P1370" s="53" t="e">
        <f>VLOOKUP(N1370,[2]!RUBROS[#All],2,0)</f>
        <v>#REF!</v>
      </c>
      <c r="Q1370" s="47" t="str">
        <f t="shared" si="493"/>
        <v>51</v>
      </c>
      <c r="R1370" s="47" t="str">
        <f t="shared" si="485"/>
        <v>0-205128</v>
      </c>
      <c r="S1370" s="54">
        <v>3</v>
      </c>
      <c r="T1370" s="59" t="s">
        <v>46</v>
      </c>
      <c r="U1370" s="326" t="e">
        <f ca="1">_xlfn.XLOOKUP(PAA_4[[#This Row],[ITEM]],[2]Contrato!A:A,[2]Contrato!Q:Q,"",0)</f>
        <v>#NAME?</v>
      </c>
      <c r="V1370" s="47" t="s">
        <v>47</v>
      </c>
      <c r="W1370" s="47" t="s">
        <v>83</v>
      </c>
      <c r="X1370" s="47" t="s">
        <v>83</v>
      </c>
      <c r="Y1370" s="55" t="e">
        <f ca="1">_xlfn.XLOOKUP(PAA_4[[#This Row],[ITEM]],[2]Contrato!A:A,[2]Contrato!B:B,"",0)</f>
        <v>#NAME?</v>
      </c>
      <c r="Z1370" s="47" t="e">
        <f ca="1">_xlfn.XLOOKUP(PAA_4[[#This Row],[ITEM]],[2]Contrato!A:A,[2]Contrato!G:G,"",0)</f>
        <v>#NAME?</v>
      </c>
      <c r="AA1370" s="47" t="e">
        <f ca="1">_xlfn.XLOOKUP(PAA_4[[#This Row],[ITEM]],[2]Contrato!A:A,[2]Contrato!T:T,"",0)</f>
        <v>#NAME?</v>
      </c>
      <c r="AB1370" s="55" t="e">
        <f ca="1">+MAX(PAA_4[[#This Row],[Comprometido Contrato]],PAA_4[[#This Row],[Comprometido Bolsa]])</f>
        <v>#NAME?</v>
      </c>
      <c r="AC1370" s="55" t="str">
        <f t="shared" ca="1" si="494"/>
        <v/>
      </c>
      <c r="AD1370" s="55" t="e">
        <f ca="1">IF(PAA_4[[#This Row],[ESTADO (formulado)]]="NO CONTRATADO",0,MAX(PAA_4[[#This Row],[Pago por Contrato]],PAA_4[[#This Row],[Pago por bolsa]]))</f>
        <v>#NAME?</v>
      </c>
      <c r="AE1370" s="55" t="str">
        <f t="shared" ca="1" si="495"/>
        <v/>
      </c>
      <c r="AF1370" s="47" t="e">
        <f t="shared" ca="1" si="496"/>
        <v>#NAME?</v>
      </c>
      <c r="AG1370" s="47">
        <f t="shared" si="497"/>
        <v>44021011</v>
      </c>
      <c r="AH1370" s="54">
        <f>IF(Q1370="22",IF(ISNUMBER(SEARCH("econ",PAA_4[[#This Row],[Actividad3]])),"Económico",IF(ISNUMBER(SEARCH("alim",PAA_4[[#This Row],[Actividad3]])),"Alimentación",IF(ISNUMBER(SEARCH("educ",PAA_4[[#This Row],[Actividad3]])),"Educativo","Técnico"))),0)</f>
        <v>0</v>
      </c>
      <c r="AI1370" s="47" t="e" cm="1">
        <f t="array" aca="1" ref="AI1370" ca="1">_xlfn.XLOOKUP(PAA_4[[#This Row],[RCP-RUBRO]],[2]!COMPROMISOS_2024[[#All],[concatenado]],[2]!COMPROMISOS_2024[[#All],[Total pagado]],"",0)</f>
        <v>#NAME?</v>
      </c>
      <c r="AJ1370" s="56">
        <f>IF(PAA_4[[#This Row],[BOLSA]]=0,0,SUMIFS([2]!COMPROMISOS_2024[[#All],[Total pagado]],[2]!COMPROMISOS_2024[[#All],[Bolsa]],PAA_4[[#This Row],[BOLSA]],[2]!COMPROMISOS_2024[[#All],[rubro]],PAA_4[[#This Row],[RCP-RUBRO]]))</f>
        <v>0</v>
      </c>
      <c r="AK1370" s="47" t="e" cm="1">
        <f t="array" aca="1" ref="AK1370" ca="1">_xlfn.XLOOKUP(PAA_4[[#This Row],[RCP-RUBRO]],[2]!COMPROMISOS_2024[[#All],[concatenado]],[2]!COMPROMISOS_2024[[#All],[Total Comprometido]],"",0)</f>
        <v>#NAME?</v>
      </c>
      <c r="AL1370" s="47">
        <f>IF(PAA_4[[#This Row],[BOLSA]]=0,0,SUMIFS([2]!COMPROMISOS_2024[[#All],[Total Comprometido]],[2]!COMPROMISOS_2024[[#All],[Bolsa]],PAA_4[[#This Row],[BOLSA]],[2]!COMPROMISOS_2024[[#All],[concatenado]],PAA_4[[#This Row],[RCP-RUBRO]]))</f>
        <v>0</v>
      </c>
    </row>
    <row r="1371" spans="1:38" s="19" customFormat="1" ht="31.5" customHeight="1">
      <c r="A1371" s="47">
        <v>381</v>
      </c>
      <c r="B1371" s="47">
        <v>80111600</v>
      </c>
      <c r="C1371" s="47" t="str">
        <f>VLOOKUP(PAA_4[[#This Row],[PROYECTO (formulado)2]],[2]PROYECTOS!$G$1:$L$32,6,0)</f>
        <v>SUBGERENCIA DE FOMENTO Y DESARROLLO</v>
      </c>
      <c r="D1371" s="47" t="str">
        <f>+IF(PAA_4[[#This Row],[UNIDAD DE CONTRATACION (formulado)]]="Subgerencia Administrativa y Financiera","FUNCIONAMIENTO","INVERSIÓN")</f>
        <v>INVERSIÓN</v>
      </c>
      <c r="E1371" s="48" t="str">
        <f>VLOOKUP(Q1371,[2]PROYECTOS!$G$1:$K$32,5,0)</f>
        <v>FORTALECIMIENTO_DE_LOS_JUEGOS_DEL_SECTOR_EDUCATIVO_EN_ANTIOQUIA</v>
      </c>
      <c r="F1371" s="48">
        <f>VLOOKUP(E1371,[2]PROYECTOS!$K$1:$M$32,3,0)</f>
        <v>2020003050034</v>
      </c>
      <c r="G1371" s="49" t="s">
        <v>340</v>
      </c>
      <c r="H1371" s="49" t="str">
        <f>VLOOKUP(Q1371,[2]PROYECTOS!$V$1:$W$32,2,0)</f>
        <v>050053</v>
      </c>
      <c r="I1371" s="50">
        <v>5159312</v>
      </c>
      <c r="J1371" s="51" t="s">
        <v>328</v>
      </c>
      <c r="K1371" s="47" t="str">
        <f t="shared" ca="1" si="492"/>
        <v>CONTRATADO</v>
      </c>
      <c r="L1371" s="47" t="s">
        <v>94</v>
      </c>
      <c r="M1371" s="47" t="s">
        <v>1297</v>
      </c>
      <c r="N1371" s="52" t="s">
        <v>341</v>
      </c>
      <c r="O1371" s="51" t="e">
        <f>VLOOKUP(N1371,[2]!RUBROS[#All],3,0)</f>
        <v>#REF!</v>
      </c>
      <c r="P1371" s="53" t="e">
        <f>VLOOKUP(N1371,[2]!RUBROS[#All],2,0)</f>
        <v>#REF!</v>
      </c>
      <c r="Q1371" s="47" t="str">
        <f t="shared" si="493"/>
        <v>51</v>
      </c>
      <c r="R1371" s="47" t="str">
        <f t="shared" si="485"/>
        <v>0-205128</v>
      </c>
      <c r="S1371" s="54">
        <v>12</v>
      </c>
      <c r="T1371" s="59" t="s">
        <v>46</v>
      </c>
      <c r="U1371" s="326" t="e">
        <f ca="1">_xlfn.XLOOKUP(PAA_4[[#This Row],[ITEM]],[2]Contrato!A:A,[2]Contrato!Q:Q,"",0)</f>
        <v>#NAME?</v>
      </c>
      <c r="V1371" s="47" t="s">
        <v>47</v>
      </c>
      <c r="W1371" s="47" t="s">
        <v>83</v>
      </c>
      <c r="X1371" s="47" t="s">
        <v>83</v>
      </c>
      <c r="Y1371" s="55" t="e">
        <f ca="1">_xlfn.XLOOKUP(PAA_4[[#This Row],[ITEM]],[2]Contrato!A:A,[2]Contrato!B:B,"",0)</f>
        <v>#NAME?</v>
      </c>
      <c r="Z1371" s="47" t="e">
        <f ca="1">_xlfn.XLOOKUP(PAA_4[[#This Row],[ITEM]],[2]Contrato!A:A,[2]Contrato!G:G,"",0)</f>
        <v>#NAME?</v>
      </c>
      <c r="AA1371" s="47" t="e">
        <f ca="1">_xlfn.XLOOKUP(PAA_4[[#This Row],[ITEM]],[2]Contrato!A:A,[2]Contrato!T:T,"",0)</f>
        <v>#NAME?</v>
      </c>
      <c r="AB1371" s="55" t="e">
        <f ca="1">+MAX(PAA_4[[#This Row],[Comprometido Contrato]],PAA_4[[#This Row],[Comprometido Bolsa]])</f>
        <v>#NAME?</v>
      </c>
      <c r="AC1371" s="55" t="str">
        <f t="shared" ca="1" si="494"/>
        <v/>
      </c>
      <c r="AD1371" s="55" t="e">
        <f ca="1">IF(PAA_4[[#This Row],[ESTADO (formulado)]]="NO CONTRATADO",0,MAX(PAA_4[[#This Row],[Pago por Contrato]],PAA_4[[#This Row],[Pago por bolsa]]))</f>
        <v>#NAME?</v>
      </c>
      <c r="AE1371" s="55" t="str">
        <f t="shared" ca="1" si="495"/>
        <v/>
      </c>
      <c r="AF1371" s="47" t="e">
        <f t="shared" ca="1" si="496"/>
        <v>#NAME?</v>
      </c>
      <c r="AG1371" s="47">
        <f t="shared" si="497"/>
        <v>44021011</v>
      </c>
      <c r="AH1371" s="54">
        <f>IF(Q1371="22",IF(ISNUMBER(SEARCH("econ",PAA_4[[#This Row],[Actividad3]])),"Económico",IF(ISNUMBER(SEARCH("alim",PAA_4[[#This Row],[Actividad3]])),"Alimentación",IF(ISNUMBER(SEARCH("educ",PAA_4[[#This Row],[Actividad3]])),"Educativo","Técnico"))),0)</f>
        <v>0</v>
      </c>
      <c r="AI1371" s="47" t="e" cm="1">
        <f t="array" aca="1" ref="AI1371" ca="1">_xlfn.XLOOKUP(PAA_4[[#This Row],[RCP-RUBRO]],[2]!COMPROMISOS_2024[[#All],[concatenado]],[2]!COMPROMISOS_2024[[#All],[Total pagado]],"",0)</f>
        <v>#NAME?</v>
      </c>
      <c r="AJ1371" s="56">
        <f>IF(PAA_4[[#This Row],[BOLSA]]=0,0,SUMIFS([2]!COMPROMISOS_2024[[#All],[Total pagado]],[2]!COMPROMISOS_2024[[#All],[Bolsa]],PAA_4[[#This Row],[BOLSA]],[2]!COMPROMISOS_2024[[#All],[rubro]],PAA_4[[#This Row],[RCP-RUBRO]]))</f>
        <v>0</v>
      </c>
      <c r="AK1371" s="47" t="e" cm="1">
        <f t="array" aca="1" ref="AK1371" ca="1">_xlfn.XLOOKUP(PAA_4[[#This Row],[RCP-RUBRO]],[2]!COMPROMISOS_2024[[#All],[concatenado]],[2]!COMPROMISOS_2024[[#All],[Total Comprometido]],"",0)</f>
        <v>#NAME?</v>
      </c>
      <c r="AL1371" s="47">
        <f>IF(PAA_4[[#This Row],[BOLSA]]=0,0,SUMIFS([2]!COMPROMISOS_2024[[#All],[Total Comprometido]],[2]!COMPROMISOS_2024[[#All],[Bolsa]],PAA_4[[#This Row],[BOLSA]],[2]!COMPROMISOS_2024[[#All],[concatenado]],PAA_4[[#This Row],[RCP-RUBRO]]))</f>
        <v>0</v>
      </c>
    </row>
    <row r="1372" spans="1:38" s="19" customFormat="1" ht="31.5" customHeight="1">
      <c r="A1372" s="47">
        <v>382</v>
      </c>
      <c r="B1372" s="47">
        <v>80111600</v>
      </c>
      <c r="C1372" s="47" t="str">
        <f>VLOOKUP(PAA_4[[#This Row],[PROYECTO (formulado)2]],[2]PROYECTOS!$G$1:$L$32,6,0)</f>
        <v>SUBGERENCIA DE FOMENTO Y DESARROLLO</v>
      </c>
      <c r="D1372" s="47" t="str">
        <f>+IF(PAA_4[[#This Row],[UNIDAD DE CONTRATACION (formulado)]]="Subgerencia Administrativa y Financiera","FUNCIONAMIENTO","INVERSIÓN")</f>
        <v>INVERSIÓN</v>
      </c>
      <c r="E1372" s="48" t="str">
        <f>VLOOKUP(Q1372,[2]PROYECTOS!$G$1:$K$32,5,0)</f>
        <v>FORTALECIMIENTO_DE_LOS_JUEGOS_DEL_SECTOR_EDUCATIVO_EN_ANTIOQUIA</v>
      </c>
      <c r="F1372" s="48">
        <f>VLOOKUP(E1372,[2]PROYECTOS!$K$1:$M$32,3,0)</f>
        <v>2020003050034</v>
      </c>
      <c r="G1372" s="49" t="s">
        <v>340</v>
      </c>
      <c r="H1372" s="49" t="str">
        <f>VLOOKUP(Q1372,[2]PROYECTOS!$V$1:$W$32,2,0)</f>
        <v>050053</v>
      </c>
      <c r="I1372" s="50">
        <v>0</v>
      </c>
      <c r="J1372" s="51" t="s">
        <v>357</v>
      </c>
      <c r="K1372" s="47" t="str">
        <f t="shared" ca="1" si="492"/>
        <v>CONTRATADO</v>
      </c>
      <c r="L1372" s="47" t="s">
        <v>94</v>
      </c>
      <c r="M1372" s="47" t="s">
        <v>1297</v>
      </c>
      <c r="N1372" s="52" t="s">
        <v>341</v>
      </c>
      <c r="O1372" s="51" t="e">
        <f>VLOOKUP(N1372,[2]!RUBROS[#All],3,0)</f>
        <v>#REF!</v>
      </c>
      <c r="P1372" s="53" t="e">
        <f>VLOOKUP(N1372,[2]!RUBROS[#All],2,0)</f>
        <v>#REF!</v>
      </c>
      <c r="Q1372" s="47" t="str">
        <f t="shared" si="493"/>
        <v>51</v>
      </c>
      <c r="R1372" s="47" t="str">
        <f t="shared" si="485"/>
        <v>0-205128</v>
      </c>
      <c r="S1372" s="54">
        <v>5</v>
      </c>
      <c r="T1372" s="59" t="s">
        <v>46</v>
      </c>
      <c r="U1372" s="326" t="e">
        <f ca="1">_xlfn.XLOOKUP(PAA_4[[#This Row],[ITEM]],[2]Contrato!A:A,[2]Contrato!Q:Q,"",0)</f>
        <v>#NAME?</v>
      </c>
      <c r="V1372" s="47" t="s">
        <v>47</v>
      </c>
      <c r="W1372" s="47" t="s">
        <v>193</v>
      </c>
      <c r="X1372" s="47" t="s">
        <v>193</v>
      </c>
      <c r="Y1372" s="55" t="e">
        <f ca="1">_xlfn.XLOOKUP(PAA_4[[#This Row],[ITEM]],[2]Contrato!A:A,[2]Contrato!B:B,"",0)</f>
        <v>#NAME?</v>
      </c>
      <c r="Z1372" s="47" t="e">
        <f ca="1">_xlfn.XLOOKUP(PAA_4[[#This Row],[ITEM]],[2]Contrato!A:A,[2]Contrato!G:G,"",0)</f>
        <v>#NAME?</v>
      </c>
      <c r="AA1372" s="47" t="e">
        <f ca="1">_xlfn.XLOOKUP(PAA_4[[#This Row],[ITEM]],[2]Contrato!A:A,[2]Contrato!T:T,"",0)</f>
        <v>#NAME?</v>
      </c>
      <c r="AB1372" s="55" t="e">
        <f ca="1">+MAX(PAA_4[[#This Row],[Comprometido Contrato]],PAA_4[[#This Row],[Comprometido Bolsa]])</f>
        <v>#NAME?</v>
      </c>
      <c r="AC1372" s="55" t="str">
        <f t="shared" ca="1" si="494"/>
        <v/>
      </c>
      <c r="AD1372" s="55" t="e">
        <f ca="1">IF(PAA_4[[#This Row],[ESTADO (formulado)]]="NO CONTRATADO",0,MAX(PAA_4[[#This Row],[Pago por Contrato]],PAA_4[[#This Row],[Pago por bolsa]]))</f>
        <v>#NAME?</v>
      </c>
      <c r="AE1372" s="55" t="str">
        <f t="shared" ca="1" si="495"/>
        <v/>
      </c>
      <c r="AF1372" s="47" t="e">
        <f t="shared" ca="1" si="496"/>
        <v>#NAME?</v>
      </c>
      <c r="AG1372" s="47">
        <f t="shared" si="497"/>
        <v>44021011</v>
      </c>
      <c r="AH1372" s="54">
        <f>IF(Q1372="22",IF(ISNUMBER(SEARCH("econ",PAA_4[[#This Row],[Actividad3]])),"Económico",IF(ISNUMBER(SEARCH("alim",PAA_4[[#This Row],[Actividad3]])),"Alimentación",IF(ISNUMBER(SEARCH("educ",PAA_4[[#This Row],[Actividad3]])),"Educativo","Técnico"))),0)</f>
        <v>0</v>
      </c>
      <c r="AI1372" s="47" t="e" cm="1">
        <f t="array" aca="1" ref="AI1372" ca="1">_xlfn.XLOOKUP(PAA_4[[#This Row],[RCP-RUBRO]],[2]!COMPROMISOS_2024[[#All],[concatenado]],[2]!COMPROMISOS_2024[[#All],[Total pagado]],"",0)</f>
        <v>#NAME?</v>
      </c>
      <c r="AJ1372" s="56">
        <f>IF(PAA_4[[#This Row],[BOLSA]]=0,0,SUMIFS([2]!COMPROMISOS_2024[[#All],[Total pagado]],[2]!COMPROMISOS_2024[[#All],[Bolsa]],PAA_4[[#This Row],[BOLSA]],[2]!COMPROMISOS_2024[[#All],[rubro]],PAA_4[[#This Row],[RCP-RUBRO]]))</f>
        <v>0</v>
      </c>
      <c r="AK1372" s="47" t="e" cm="1">
        <f t="array" aca="1" ref="AK1372" ca="1">_xlfn.XLOOKUP(PAA_4[[#This Row],[RCP-RUBRO]],[2]!COMPROMISOS_2024[[#All],[concatenado]],[2]!COMPROMISOS_2024[[#All],[Total Comprometido]],"",0)</f>
        <v>#NAME?</v>
      </c>
      <c r="AL1372" s="47">
        <f>IF(PAA_4[[#This Row],[BOLSA]]=0,0,SUMIFS([2]!COMPROMISOS_2024[[#All],[Total Comprometido]],[2]!COMPROMISOS_2024[[#All],[Bolsa]],PAA_4[[#This Row],[BOLSA]],[2]!COMPROMISOS_2024[[#All],[concatenado]],PAA_4[[#This Row],[RCP-RUBRO]]))</f>
        <v>0</v>
      </c>
    </row>
    <row r="1373" spans="1:38" s="19" customFormat="1" ht="31.5" customHeight="1">
      <c r="A1373" s="47">
        <v>383</v>
      </c>
      <c r="B1373" s="47">
        <v>80111600</v>
      </c>
      <c r="C1373" s="47" t="str">
        <f>VLOOKUP(PAA_4[[#This Row],[PROYECTO (formulado)2]],[2]PROYECTOS!$G$1:$L$32,6,0)</f>
        <v>SUBGERENCIA DE FOMENTO Y DESARROLLO</v>
      </c>
      <c r="D1373" s="47" t="str">
        <f>+IF(PAA_4[[#This Row],[UNIDAD DE CONTRATACION (formulado)]]="Subgerencia Administrativa y Financiera","FUNCIONAMIENTO","INVERSIÓN")</f>
        <v>INVERSIÓN</v>
      </c>
      <c r="E1373" s="48" t="str">
        <f>VLOOKUP(Q1373,[2]PROYECTOS!$G$1:$K$32,5,0)</f>
        <v>FORTALECIMIENTO_DE_LOS_JUEGOS_DEL_SECTOR_EDUCATIVO_EN_ANTIOQUIA</v>
      </c>
      <c r="F1373" s="48">
        <f>VLOOKUP(E1373,[2]PROYECTOS!$K$1:$M$32,3,0)</f>
        <v>2020003050034</v>
      </c>
      <c r="G1373" s="49" t="s">
        <v>340</v>
      </c>
      <c r="H1373" s="49" t="str">
        <f>VLOOKUP(Q1373,[2]PROYECTOS!$V$1:$W$32,2,0)</f>
        <v>050053</v>
      </c>
      <c r="I1373" s="50">
        <v>0</v>
      </c>
      <c r="J1373" s="344" t="s">
        <v>42</v>
      </c>
      <c r="K1373" s="47" t="str">
        <f t="shared" ca="1" si="492"/>
        <v>CONTRATADO</v>
      </c>
      <c r="L1373" s="47" t="s">
        <v>94</v>
      </c>
      <c r="M1373" s="47" t="s">
        <v>1297</v>
      </c>
      <c r="N1373" s="52" t="s">
        <v>341</v>
      </c>
      <c r="O1373" s="51" t="e">
        <f>VLOOKUP(N1373,[2]!RUBROS[#All],3,0)</f>
        <v>#REF!</v>
      </c>
      <c r="P1373" s="53" t="e">
        <f>VLOOKUP(N1373,[2]!RUBROS[#All],2,0)</f>
        <v>#REF!</v>
      </c>
      <c r="Q1373" s="47" t="str">
        <f t="shared" si="493"/>
        <v>51</v>
      </c>
      <c r="R1373" s="47" t="str">
        <f t="shared" si="485"/>
        <v>0-205128</v>
      </c>
      <c r="S1373" s="54">
        <v>5</v>
      </c>
      <c r="T1373" s="59" t="s">
        <v>46</v>
      </c>
      <c r="U1373" s="326" t="e">
        <f ca="1">_xlfn.XLOOKUP(PAA_4[[#This Row],[ITEM]],[2]Contrato!A:A,[2]Contrato!Q:Q,"",0)</f>
        <v>#NAME?</v>
      </c>
      <c r="V1373" s="47" t="s">
        <v>47</v>
      </c>
      <c r="W1373" s="47" t="s">
        <v>193</v>
      </c>
      <c r="X1373" s="47" t="s">
        <v>193</v>
      </c>
      <c r="Y1373" s="55" t="e">
        <f ca="1">_xlfn.XLOOKUP(PAA_4[[#This Row],[ITEM]],[2]Contrato!A:A,[2]Contrato!B:B,"",0)</f>
        <v>#NAME?</v>
      </c>
      <c r="Z1373" s="47" t="e">
        <f ca="1">_xlfn.XLOOKUP(PAA_4[[#This Row],[ITEM]],[2]Contrato!A:A,[2]Contrato!G:G,"",0)</f>
        <v>#NAME?</v>
      </c>
      <c r="AA1373" s="47" t="e">
        <f ca="1">_xlfn.XLOOKUP(PAA_4[[#This Row],[ITEM]],[2]Contrato!A:A,[2]Contrato!T:T,"",0)</f>
        <v>#NAME?</v>
      </c>
      <c r="AB1373" s="55" t="e">
        <f ca="1">+MAX(PAA_4[[#This Row],[Comprometido Contrato]],PAA_4[[#This Row],[Comprometido Bolsa]])</f>
        <v>#NAME?</v>
      </c>
      <c r="AC1373" s="55" t="str">
        <f t="shared" ca="1" si="494"/>
        <v/>
      </c>
      <c r="AD1373" s="55" t="e">
        <f ca="1">IF(PAA_4[[#This Row],[ESTADO (formulado)]]="NO CONTRATADO",0,MAX(PAA_4[[#This Row],[Pago por Contrato]],PAA_4[[#This Row],[Pago por bolsa]]))</f>
        <v>#NAME?</v>
      </c>
      <c r="AE1373" s="55" t="str">
        <f t="shared" ca="1" si="495"/>
        <v/>
      </c>
      <c r="AF1373" s="47" t="e">
        <f t="shared" ca="1" si="496"/>
        <v>#NAME?</v>
      </c>
      <c r="AG1373" s="47">
        <f t="shared" si="497"/>
        <v>44021011</v>
      </c>
      <c r="AH1373" s="54">
        <f>IF(Q1373="22",IF(ISNUMBER(SEARCH("econ",PAA_4[[#This Row],[Actividad3]])),"Económico",IF(ISNUMBER(SEARCH("alim",PAA_4[[#This Row],[Actividad3]])),"Alimentación",IF(ISNUMBER(SEARCH("educ",PAA_4[[#This Row],[Actividad3]])),"Educativo","Técnico"))),0)</f>
        <v>0</v>
      </c>
      <c r="AI1373" s="47" t="e" cm="1">
        <f t="array" aca="1" ref="AI1373" ca="1">_xlfn.XLOOKUP(PAA_4[[#This Row],[RCP-RUBRO]],[2]!COMPROMISOS_2024[[#All],[concatenado]],[2]!COMPROMISOS_2024[[#All],[Total pagado]],"",0)</f>
        <v>#NAME?</v>
      </c>
      <c r="AJ1373" s="56">
        <f>IF(PAA_4[[#This Row],[BOLSA]]=0,0,SUMIFS([2]!COMPROMISOS_2024[[#All],[Total pagado]],[2]!COMPROMISOS_2024[[#All],[Bolsa]],PAA_4[[#This Row],[BOLSA]],[2]!COMPROMISOS_2024[[#All],[rubro]],PAA_4[[#This Row],[RCP-RUBRO]]))</f>
        <v>0</v>
      </c>
      <c r="AK1373" s="47" t="e" cm="1">
        <f t="array" aca="1" ref="AK1373" ca="1">_xlfn.XLOOKUP(PAA_4[[#This Row],[RCP-RUBRO]],[2]!COMPROMISOS_2024[[#All],[concatenado]],[2]!COMPROMISOS_2024[[#All],[Total Comprometido]],"",0)</f>
        <v>#NAME?</v>
      </c>
      <c r="AL1373" s="47">
        <f>IF(PAA_4[[#This Row],[BOLSA]]=0,0,SUMIFS([2]!COMPROMISOS_2024[[#All],[Total Comprometido]],[2]!COMPROMISOS_2024[[#All],[Bolsa]],PAA_4[[#This Row],[BOLSA]],[2]!COMPROMISOS_2024[[#All],[concatenado]],PAA_4[[#This Row],[RCP-RUBRO]]))</f>
        <v>0</v>
      </c>
    </row>
    <row r="1374" spans="1:38" s="19" customFormat="1" ht="31.5" customHeight="1">
      <c r="A1374" s="47">
        <v>374</v>
      </c>
      <c r="B1374" s="47" t="s">
        <v>42</v>
      </c>
      <c r="C1374" s="47" t="str">
        <f>VLOOKUP(PAA_4[[#This Row],[PROYECTO (formulado)2]],[2]PROYECTOS!$G$1:$L$32,6,0)</f>
        <v>SUBGERENCIA DE FOMENTO Y DESARROLLO</v>
      </c>
      <c r="D1374" s="47" t="str">
        <f>+IF(PAA_4[[#This Row],[UNIDAD DE CONTRATACION (formulado)]]="Subgerencia Administrativa y Financiera","FUNCIONAMIENTO","INVERSIÓN")</f>
        <v>INVERSIÓN</v>
      </c>
      <c r="E1374" s="48" t="str">
        <f>VLOOKUP(Q1374,[2]PROYECTOS!$G$1:$K$32,5,0)</f>
        <v>FORTALECIMIENTO_DE_LOS_JUEGOS_DEL_SECTOR_EDUCATIVO_EN_ANTIOQUIA</v>
      </c>
      <c r="F1374" s="48">
        <f>VLOOKUP(E1374,[2]PROYECTOS!$K$1:$M$32,3,0)</f>
        <v>2020003050034</v>
      </c>
      <c r="G1374" s="49" t="s">
        <v>413</v>
      </c>
      <c r="H1374" s="49" t="str">
        <f>VLOOKUP(Q1374,[2]PROYECTOS!$V$1:$W$32,2,0)</f>
        <v>050053</v>
      </c>
      <c r="I1374" s="50">
        <v>0</v>
      </c>
      <c r="J1374" s="51" t="s">
        <v>344</v>
      </c>
      <c r="K1374" s="47" t="str">
        <f t="shared" ca="1" si="492"/>
        <v>CONTRATADO</v>
      </c>
      <c r="L1374" s="47"/>
      <c r="M1374" s="47"/>
      <c r="N1374" s="52" t="s">
        <v>144</v>
      </c>
      <c r="O1374" s="51" t="e">
        <f>VLOOKUP(N1374,[2]!RUBROS[#All],3,0)</f>
        <v>#REF!</v>
      </c>
      <c r="P1374" s="53" t="e">
        <f>VLOOKUP(N1374,[2]!RUBROS[#All],2,0)</f>
        <v>#REF!</v>
      </c>
      <c r="Q1374" s="47" t="str">
        <f t="shared" si="493"/>
        <v>51</v>
      </c>
      <c r="R1374" s="47" t="str">
        <f t="shared" si="485"/>
        <v>0-205128</v>
      </c>
      <c r="S1374" s="54">
        <v>10</v>
      </c>
      <c r="T1374" s="59" t="s">
        <v>46</v>
      </c>
      <c r="U1374" s="326" t="e">
        <f ca="1">_xlfn.XLOOKUP(PAA_4[[#This Row],[ITEM]],[2]Contrato!A:A,[2]Contrato!Q:Q,"",0)</f>
        <v>#NAME?</v>
      </c>
      <c r="V1374" s="47" t="s">
        <v>47</v>
      </c>
      <c r="W1374" s="71" t="s">
        <v>91</v>
      </c>
      <c r="X1374" s="47" t="s">
        <v>91</v>
      </c>
      <c r="Y1374" s="55" t="e">
        <f ca="1">_xlfn.XLOOKUP(PAA_4[[#This Row],[ITEM]],[2]Contrato!A:A,[2]Contrato!B:B,"",0)</f>
        <v>#NAME?</v>
      </c>
      <c r="Z1374" s="47" t="e">
        <f ca="1">_xlfn.XLOOKUP(PAA_4[[#This Row],[ITEM]],[2]Contrato!A:A,[2]Contrato!G:G,"",0)</f>
        <v>#NAME?</v>
      </c>
      <c r="AA1374" s="47" t="e">
        <f ca="1">_xlfn.XLOOKUP(PAA_4[[#This Row],[ITEM]],[2]Contrato!A:A,[2]Contrato!T:T,"",0)</f>
        <v>#NAME?</v>
      </c>
      <c r="AB1374" s="55" t="e">
        <f ca="1">+MAX(PAA_4[[#This Row],[Comprometido Contrato]],PAA_4[[#This Row],[Comprometido Bolsa]])</f>
        <v>#NAME?</v>
      </c>
      <c r="AC1374" s="55" t="str">
        <f t="shared" ca="1" si="494"/>
        <v/>
      </c>
      <c r="AD1374" s="55" t="e">
        <f ca="1">IF(PAA_4[[#This Row],[ESTADO (formulado)]]="NO CONTRATADO",0,MAX(PAA_4[[#This Row],[Pago por Contrato]],PAA_4[[#This Row],[Pago por bolsa]]))</f>
        <v>#NAME?</v>
      </c>
      <c r="AE1374" s="55" t="str">
        <f t="shared" ca="1" si="495"/>
        <v/>
      </c>
      <c r="AF1374" s="47" t="e">
        <f t="shared" ca="1" si="496"/>
        <v>#NAME?</v>
      </c>
      <c r="AG1374" s="47">
        <f t="shared" si="497"/>
        <v>44021011</v>
      </c>
      <c r="AH1374" s="54">
        <f>IF(Q1374="22",IF(ISNUMBER(SEARCH("econ",PAA_4[[#This Row],[Actividad3]])),"Económico",IF(ISNUMBER(SEARCH("alim",PAA_4[[#This Row],[Actividad3]])),"Alimentación",IF(ISNUMBER(SEARCH("educ",PAA_4[[#This Row],[Actividad3]])),"Educativo","Técnico"))),0)</f>
        <v>0</v>
      </c>
      <c r="AI1374" s="47" t="e" cm="1">
        <f t="array" aca="1" ref="AI1374" ca="1">_xlfn.XLOOKUP(PAA_4[[#This Row],[RCP-RUBRO]],[2]!COMPROMISOS_2024[[#All],[concatenado]],[2]!COMPROMISOS_2024[[#All],[Total pagado]],"",0)</f>
        <v>#NAME?</v>
      </c>
      <c r="AJ1374" s="56">
        <f>IF(PAA_4[[#This Row],[BOLSA]]=0,0,SUMIFS([2]!COMPROMISOS_2024[[#All],[Total pagado]],[2]!COMPROMISOS_2024[[#All],[Bolsa]],PAA_4[[#This Row],[BOLSA]],[2]!COMPROMISOS_2024[[#All],[rubro]],PAA_4[[#This Row],[RCP-RUBRO]]))</f>
        <v>0</v>
      </c>
      <c r="AK1374" s="47" t="e" cm="1">
        <f t="array" aca="1" ref="AK1374" ca="1">_xlfn.XLOOKUP(PAA_4[[#This Row],[RCP-RUBRO]],[2]!COMPROMISOS_2024[[#All],[concatenado]],[2]!COMPROMISOS_2024[[#All],[Total Comprometido]],"",0)</f>
        <v>#NAME?</v>
      </c>
      <c r="AL1374" s="47">
        <f>IF(PAA_4[[#This Row],[BOLSA]]=0,0,SUMIFS([2]!COMPROMISOS_2024[[#All],[Total Comprometido]],[2]!COMPROMISOS_2024[[#All],[Bolsa]],PAA_4[[#This Row],[BOLSA]],[2]!COMPROMISOS_2024[[#All],[concatenado]],PAA_4[[#This Row],[RCP-RUBRO]]))</f>
        <v>0</v>
      </c>
    </row>
    <row r="1375" spans="1:38" s="19" customFormat="1" ht="31.5" customHeight="1">
      <c r="A1375" s="47">
        <v>480</v>
      </c>
      <c r="B1375" s="47" t="s">
        <v>42</v>
      </c>
      <c r="C1375" s="47" t="str">
        <f>VLOOKUP(PAA_4[[#This Row],[PROYECTO (formulado)2]],[2]PROYECTOS!$G$1:$L$32,6,0)</f>
        <v>SUBGERENCIA DE FOMENTO Y DESARROLLO</v>
      </c>
      <c r="D1375" s="47" t="str">
        <f>+IF(PAA_4[[#This Row],[UNIDAD DE CONTRATACION (formulado)]]="Subgerencia Administrativa y Financiera","FUNCIONAMIENTO","INVERSIÓN")</f>
        <v>INVERSIÓN</v>
      </c>
      <c r="E1375" s="48" t="str">
        <f>VLOOKUP(Q1375,[2]PROYECTOS!$G$1:$K$32,5,0)</f>
        <v>FORTALECIMIENTO_DE_LOS_JUEGOS_DEL_SECTOR_EDUCATIVO_EN_ANTIOQUIA</v>
      </c>
      <c r="F1375" s="48">
        <f>VLOOKUP(E1375,[2]PROYECTOS!$K$1:$M$32,3,0)</f>
        <v>2020003050034</v>
      </c>
      <c r="G1375" s="49" t="s">
        <v>340</v>
      </c>
      <c r="H1375" s="49" t="str">
        <f>VLOOKUP(Q1375,[2]PROYECTOS!$V$1:$W$32,2,0)</f>
        <v>050053</v>
      </c>
      <c r="I1375" s="50">
        <v>0</v>
      </c>
      <c r="J1375" s="51" t="s">
        <v>344</v>
      </c>
      <c r="K1375" s="47" t="str">
        <f t="shared" ca="1" si="492"/>
        <v>CONTRATADO</v>
      </c>
      <c r="L1375" s="47"/>
      <c r="M1375" s="47"/>
      <c r="N1375" s="52" t="s">
        <v>144</v>
      </c>
      <c r="O1375" s="51" t="e">
        <f>VLOOKUP(N1375,[2]!RUBROS[#All],3,0)</f>
        <v>#REF!</v>
      </c>
      <c r="P1375" s="53" t="e">
        <f>VLOOKUP(N1375,[2]!RUBROS[#All],2,0)</f>
        <v>#REF!</v>
      </c>
      <c r="Q1375" s="47" t="str">
        <f t="shared" si="493"/>
        <v>51</v>
      </c>
      <c r="R1375" s="47" t="str">
        <f t="shared" si="485"/>
        <v>0-205128</v>
      </c>
      <c r="S1375" s="54">
        <v>10</v>
      </c>
      <c r="T1375" s="59" t="s">
        <v>46</v>
      </c>
      <c r="U1375" s="326" t="e">
        <f ca="1">_xlfn.XLOOKUP(PAA_4[[#This Row],[ITEM]],[2]Contrato!A:A,[2]Contrato!Q:Q,"",0)</f>
        <v>#NAME?</v>
      </c>
      <c r="V1375" s="47" t="s">
        <v>47</v>
      </c>
      <c r="W1375" s="47" t="s">
        <v>91</v>
      </c>
      <c r="X1375" s="47" t="s">
        <v>91</v>
      </c>
      <c r="Y1375" s="55" t="e">
        <f ca="1">_xlfn.XLOOKUP(PAA_4[[#This Row],[ITEM]],[2]Contrato!A:A,[2]Contrato!B:B,"",0)</f>
        <v>#NAME?</v>
      </c>
      <c r="Z1375" s="47" t="e">
        <f ca="1">_xlfn.XLOOKUP(PAA_4[[#This Row],[ITEM]],[2]Contrato!A:A,[2]Contrato!G:G,"",0)</f>
        <v>#NAME?</v>
      </c>
      <c r="AA1375" s="47" t="e">
        <f ca="1">_xlfn.XLOOKUP(PAA_4[[#This Row],[ITEM]],[2]Contrato!A:A,[2]Contrato!T:T,"",0)</f>
        <v>#NAME?</v>
      </c>
      <c r="AB1375" s="55" t="e">
        <f ca="1">+MAX(PAA_4[[#This Row],[Comprometido Contrato]],PAA_4[[#This Row],[Comprometido Bolsa]])</f>
        <v>#NAME?</v>
      </c>
      <c r="AC1375" s="55" t="str">
        <f t="shared" ca="1" si="494"/>
        <v/>
      </c>
      <c r="AD1375" s="55" t="e">
        <f ca="1">IF(PAA_4[[#This Row],[ESTADO (formulado)]]="NO CONTRATADO",0,MAX(PAA_4[[#This Row],[Pago por Contrato]],PAA_4[[#This Row],[Pago por bolsa]]))</f>
        <v>#NAME?</v>
      </c>
      <c r="AE1375" s="55" t="str">
        <f t="shared" ca="1" si="495"/>
        <v/>
      </c>
      <c r="AF1375" s="47" t="e">
        <f t="shared" ca="1" si="496"/>
        <v>#NAME?</v>
      </c>
      <c r="AG1375" s="47">
        <f t="shared" si="497"/>
        <v>44021011</v>
      </c>
      <c r="AH1375" s="54">
        <f>IF(Q1375="22",IF(ISNUMBER(SEARCH("econ",PAA_4[[#This Row],[Actividad3]])),"Económico",IF(ISNUMBER(SEARCH("alim",PAA_4[[#This Row],[Actividad3]])),"Alimentación",IF(ISNUMBER(SEARCH("educ",PAA_4[[#This Row],[Actividad3]])),"Educativo","Técnico"))),0)</f>
        <v>0</v>
      </c>
      <c r="AI1375" s="47" t="e" cm="1">
        <f t="array" aca="1" ref="AI1375" ca="1">_xlfn.XLOOKUP(PAA_4[[#This Row],[RCP-RUBRO]],[2]!COMPROMISOS_2024[[#All],[concatenado]],[2]!COMPROMISOS_2024[[#All],[Total pagado]],"",0)</f>
        <v>#NAME?</v>
      </c>
      <c r="AJ1375" s="56">
        <f>IF(PAA_4[[#This Row],[BOLSA]]=0,0,SUMIFS([2]!COMPROMISOS_2024[[#All],[Total pagado]],[2]!COMPROMISOS_2024[[#All],[Bolsa]],PAA_4[[#This Row],[BOLSA]],[2]!COMPROMISOS_2024[[#All],[rubro]],PAA_4[[#This Row],[RCP-RUBRO]]))</f>
        <v>0</v>
      </c>
      <c r="AK1375" s="47" t="e" cm="1">
        <f t="array" aca="1" ref="AK1375" ca="1">_xlfn.XLOOKUP(PAA_4[[#This Row],[RCP-RUBRO]],[2]!COMPROMISOS_2024[[#All],[concatenado]],[2]!COMPROMISOS_2024[[#All],[Total Comprometido]],"",0)</f>
        <v>#NAME?</v>
      </c>
      <c r="AL1375" s="47">
        <f>IF(PAA_4[[#This Row],[BOLSA]]=0,0,SUMIFS([2]!COMPROMISOS_2024[[#All],[Total Comprometido]],[2]!COMPROMISOS_2024[[#All],[Bolsa]],PAA_4[[#This Row],[BOLSA]],[2]!COMPROMISOS_2024[[#All],[concatenado]],PAA_4[[#This Row],[RCP-RUBRO]]))</f>
        <v>0</v>
      </c>
    </row>
    <row r="1376" spans="1:38" s="19" customFormat="1" ht="31.5" customHeight="1">
      <c r="A1376" s="47">
        <v>481</v>
      </c>
      <c r="B1376" s="47" t="s">
        <v>42</v>
      </c>
      <c r="C1376" s="47" t="str">
        <f>VLOOKUP(PAA_4[[#This Row],[PROYECTO (formulado)2]],[2]PROYECTOS!$G$1:$L$32,6,0)</f>
        <v>SUBGERENCIA DE FOMENTO Y DESARROLLO</v>
      </c>
      <c r="D1376" s="47" t="str">
        <f>+IF(PAA_4[[#This Row],[UNIDAD DE CONTRATACION (formulado)]]="Subgerencia Administrativa y Financiera","FUNCIONAMIENTO","INVERSIÓN")</f>
        <v>INVERSIÓN</v>
      </c>
      <c r="E1376" s="48" t="str">
        <f>VLOOKUP(Q1376,[2]PROYECTOS!$G$1:$K$32,5,0)</f>
        <v>FORTALECIMIENTO_DE_LOS_JUEGOS_DEL_SECTOR_EDUCATIVO_EN_ANTIOQUIA</v>
      </c>
      <c r="F1376" s="48">
        <f>VLOOKUP(E1376,[2]PROYECTOS!$K$1:$M$32,3,0)</f>
        <v>2020003050034</v>
      </c>
      <c r="G1376" s="49" t="s">
        <v>340</v>
      </c>
      <c r="H1376" s="49" t="str">
        <f>VLOOKUP(Q1376,[2]PROYECTOS!$V$1:$W$32,2,0)</f>
        <v>050053</v>
      </c>
      <c r="I1376" s="50">
        <v>0</v>
      </c>
      <c r="J1376" s="51" t="s">
        <v>344</v>
      </c>
      <c r="K1376" s="47" t="str">
        <f t="shared" ca="1" si="492"/>
        <v>CONTRATADO</v>
      </c>
      <c r="L1376" s="47"/>
      <c r="M1376" s="47"/>
      <c r="N1376" s="52" t="s">
        <v>144</v>
      </c>
      <c r="O1376" s="51" t="e">
        <f>VLOOKUP(N1376,[2]!RUBROS[#All],3,0)</f>
        <v>#REF!</v>
      </c>
      <c r="P1376" s="53" t="e">
        <f>VLOOKUP(N1376,[2]!RUBROS[#All],2,0)</f>
        <v>#REF!</v>
      </c>
      <c r="Q1376" s="47" t="str">
        <f t="shared" si="493"/>
        <v>51</v>
      </c>
      <c r="R1376" s="47" t="str">
        <f t="shared" si="485"/>
        <v>0-205128</v>
      </c>
      <c r="S1376" s="54">
        <v>10</v>
      </c>
      <c r="T1376" s="59" t="s">
        <v>46</v>
      </c>
      <c r="U1376" s="326" t="e">
        <f ca="1">_xlfn.XLOOKUP(PAA_4[[#This Row],[ITEM]],[2]Contrato!A:A,[2]Contrato!Q:Q,"",0)</f>
        <v>#NAME?</v>
      </c>
      <c r="V1376" s="47" t="s">
        <v>47</v>
      </c>
      <c r="W1376" s="47" t="s">
        <v>91</v>
      </c>
      <c r="X1376" s="47" t="s">
        <v>91</v>
      </c>
      <c r="Y1376" s="55" t="e">
        <f ca="1">_xlfn.XLOOKUP(PAA_4[[#This Row],[ITEM]],[2]Contrato!A:A,[2]Contrato!B:B,"",0)</f>
        <v>#NAME?</v>
      </c>
      <c r="Z1376" s="47" t="e">
        <f ca="1">_xlfn.XLOOKUP(PAA_4[[#This Row],[ITEM]],[2]Contrato!A:A,[2]Contrato!G:G,"",0)</f>
        <v>#NAME?</v>
      </c>
      <c r="AA1376" s="47" t="e">
        <f ca="1">_xlfn.XLOOKUP(PAA_4[[#This Row],[ITEM]],[2]Contrato!A:A,[2]Contrato!T:T,"",0)</f>
        <v>#NAME?</v>
      </c>
      <c r="AB1376" s="55" t="e">
        <f ca="1">+MAX(PAA_4[[#This Row],[Comprometido Contrato]],PAA_4[[#This Row],[Comprometido Bolsa]])</f>
        <v>#NAME?</v>
      </c>
      <c r="AC1376" s="55" t="str">
        <f t="shared" ca="1" si="494"/>
        <v/>
      </c>
      <c r="AD1376" s="55" t="e">
        <f ca="1">IF(PAA_4[[#This Row],[ESTADO (formulado)]]="NO CONTRATADO",0,MAX(PAA_4[[#This Row],[Pago por Contrato]],PAA_4[[#This Row],[Pago por bolsa]]))</f>
        <v>#NAME?</v>
      </c>
      <c r="AE1376" s="55" t="str">
        <f t="shared" ca="1" si="495"/>
        <v/>
      </c>
      <c r="AF1376" s="47" t="e">
        <f t="shared" ca="1" si="496"/>
        <v>#NAME?</v>
      </c>
      <c r="AG1376" s="47">
        <f t="shared" si="497"/>
        <v>44021011</v>
      </c>
      <c r="AH1376" s="54">
        <f>IF(Q1376="22",IF(ISNUMBER(SEARCH("econ",PAA_4[[#This Row],[Actividad3]])),"Económico",IF(ISNUMBER(SEARCH("alim",PAA_4[[#This Row],[Actividad3]])),"Alimentación",IF(ISNUMBER(SEARCH("educ",PAA_4[[#This Row],[Actividad3]])),"Educativo","Técnico"))),0)</f>
        <v>0</v>
      </c>
      <c r="AI1376" s="47" t="e" cm="1">
        <f t="array" aca="1" ref="AI1376" ca="1">_xlfn.XLOOKUP(PAA_4[[#This Row],[RCP-RUBRO]],[2]!COMPROMISOS_2024[[#All],[concatenado]],[2]!COMPROMISOS_2024[[#All],[Total pagado]],"",0)</f>
        <v>#NAME?</v>
      </c>
      <c r="AJ1376" s="56">
        <f>IF(PAA_4[[#This Row],[BOLSA]]=0,0,SUMIFS([2]!COMPROMISOS_2024[[#All],[Total pagado]],[2]!COMPROMISOS_2024[[#All],[Bolsa]],PAA_4[[#This Row],[BOLSA]],[2]!COMPROMISOS_2024[[#All],[rubro]],PAA_4[[#This Row],[RCP-RUBRO]]))</f>
        <v>0</v>
      </c>
      <c r="AK1376" s="47" t="e" cm="1">
        <f t="array" aca="1" ref="AK1376" ca="1">_xlfn.XLOOKUP(PAA_4[[#This Row],[RCP-RUBRO]],[2]!COMPROMISOS_2024[[#All],[concatenado]],[2]!COMPROMISOS_2024[[#All],[Total Comprometido]],"",0)</f>
        <v>#NAME?</v>
      </c>
      <c r="AL1376" s="47">
        <f>IF(PAA_4[[#This Row],[BOLSA]]=0,0,SUMIFS([2]!COMPROMISOS_2024[[#All],[Total Comprometido]],[2]!COMPROMISOS_2024[[#All],[Bolsa]],PAA_4[[#This Row],[BOLSA]],[2]!COMPROMISOS_2024[[#All],[concatenado]],PAA_4[[#This Row],[RCP-RUBRO]]))</f>
        <v>0</v>
      </c>
    </row>
    <row r="1377" spans="1:38" s="19" customFormat="1" ht="31.5" customHeight="1">
      <c r="A1377" s="47">
        <v>482</v>
      </c>
      <c r="B1377" s="47" t="s">
        <v>42</v>
      </c>
      <c r="C1377" s="47" t="str">
        <f>VLOOKUP(PAA_4[[#This Row],[PROYECTO (formulado)2]],[2]PROYECTOS!$G$1:$L$32,6,0)</f>
        <v>SUBGERENCIA DE FOMENTO Y DESARROLLO</v>
      </c>
      <c r="D1377" s="47" t="str">
        <f>+IF(PAA_4[[#This Row],[UNIDAD DE CONTRATACION (formulado)]]="Subgerencia Administrativa y Financiera","FUNCIONAMIENTO","INVERSIÓN")</f>
        <v>INVERSIÓN</v>
      </c>
      <c r="E1377" s="48" t="str">
        <f>VLOOKUP(Q1377,[2]PROYECTOS!$G$1:$K$32,5,0)</f>
        <v>FORTALECIMIENTO_DE_LOS_JUEGOS_DEL_SECTOR_EDUCATIVO_EN_ANTIOQUIA</v>
      </c>
      <c r="F1377" s="48">
        <f>VLOOKUP(E1377,[2]PROYECTOS!$K$1:$M$32,3,0)</f>
        <v>2020003050034</v>
      </c>
      <c r="G1377" s="49" t="s">
        <v>340</v>
      </c>
      <c r="H1377" s="49" t="str">
        <f>VLOOKUP(Q1377,[2]PROYECTOS!$V$1:$W$32,2,0)</f>
        <v>050053</v>
      </c>
      <c r="I1377" s="50">
        <v>0</v>
      </c>
      <c r="J1377" s="51" t="s">
        <v>344</v>
      </c>
      <c r="K1377" s="47" t="str">
        <f t="shared" ca="1" si="492"/>
        <v>CONTRATADO</v>
      </c>
      <c r="L1377" s="47"/>
      <c r="M1377" s="47"/>
      <c r="N1377" s="52" t="s">
        <v>144</v>
      </c>
      <c r="O1377" s="51" t="e">
        <f>VLOOKUP(N1377,[2]!RUBROS[#All],3,0)</f>
        <v>#REF!</v>
      </c>
      <c r="P1377" s="53" t="e">
        <f>VLOOKUP(N1377,[2]!RUBROS[#All],2,0)</f>
        <v>#REF!</v>
      </c>
      <c r="Q1377" s="47" t="str">
        <f t="shared" si="493"/>
        <v>51</v>
      </c>
      <c r="R1377" s="47" t="str">
        <f t="shared" si="485"/>
        <v>0-205128</v>
      </c>
      <c r="S1377" s="54">
        <v>10</v>
      </c>
      <c r="T1377" s="59" t="s">
        <v>46</v>
      </c>
      <c r="U1377" s="326" t="e">
        <f ca="1">_xlfn.XLOOKUP(PAA_4[[#This Row],[ITEM]],[2]Contrato!A:A,[2]Contrato!Q:Q,"",0)</f>
        <v>#NAME?</v>
      </c>
      <c r="V1377" s="47" t="s">
        <v>47</v>
      </c>
      <c r="W1377" s="47" t="s">
        <v>91</v>
      </c>
      <c r="X1377" s="47" t="s">
        <v>91</v>
      </c>
      <c r="Y1377" s="55" t="e">
        <f ca="1">_xlfn.XLOOKUP(PAA_4[[#This Row],[ITEM]],[2]Contrato!A:A,[2]Contrato!B:B,"",0)</f>
        <v>#NAME?</v>
      </c>
      <c r="Z1377" s="47" t="e">
        <f ca="1">_xlfn.XLOOKUP(PAA_4[[#This Row],[ITEM]],[2]Contrato!A:A,[2]Contrato!G:G,"",0)</f>
        <v>#NAME?</v>
      </c>
      <c r="AA1377" s="47" t="e">
        <f ca="1">_xlfn.XLOOKUP(PAA_4[[#This Row],[ITEM]],[2]Contrato!A:A,[2]Contrato!T:T,"",0)</f>
        <v>#NAME?</v>
      </c>
      <c r="AB1377" s="55" t="e">
        <f ca="1">+MAX(PAA_4[[#This Row],[Comprometido Contrato]],PAA_4[[#This Row],[Comprometido Bolsa]])</f>
        <v>#NAME?</v>
      </c>
      <c r="AC1377" s="55" t="str">
        <f t="shared" ca="1" si="494"/>
        <v/>
      </c>
      <c r="AD1377" s="55" t="e">
        <f ca="1">IF(PAA_4[[#This Row],[ESTADO (formulado)]]="NO CONTRATADO",0,MAX(PAA_4[[#This Row],[Pago por Contrato]],PAA_4[[#This Row],[Pago por bolsa]]))</f>
        <v>#NAME?</v>
      </c>
      <c r="AE1377" s="55" t="str">
        <f t="shared" ca="1" si="495"/>
        <v/>
      </c>
      <c r="AF1377" s="47" t="e">
        <f t="shared" ca="1" si="496"/>
        <v>#NAME?</v>
      </c>
      <c r="AG1377" s="47">
        <f t="shared" si="497"/>
        <v>44021011</v>
      </c>
      <c r="AH1377" s="54">
        <f>IF(Q1377="22",IF(ISNUMBER(SEARCH("econ",PAA_4[[#This Row],[Actividad3]])),"Económico",IF(ISNUMBER(SEARCH("alim",PAA_4[[#This Row],[Actividad3]])),"Alimentación",IF(ISNUMBER(SEARCH("educ",PAA_4[[#This Row],[Actividad3]])),"Educativo","Técnico"))),0)</f>
        <v>0</v>
      </c>
      <c r="AI1377" s="47" t="e" cm="1">
        <f t="array" aca="1" ref="AI1377" ca="1">_xlfn.XLOOKUP(PAA_4[[#This Row],[RCP-RUBRO]],[2]!COMPROMISOS_2024[[#All],[concatenado]],[2]!COMPROMISOS_2024[[#All],[Total pagado]],"",0)</f>
        <v>#NAME?</v>
      </c>
      <c r="AJ1377" s="56">
        <f>IF(PAA_4[[#This Row],[BOLSA]]=0,0,SUMIFS([2]!COMPROMISOS_2024[[#All],[Total pagado]],[2]!COMPROMISOS_2024[[#All],[Bolsa]],PAA_4[[#This Row],[BOLSA]],[2]!COMPROMISOS_2024[[#All],[rubro]],PAA_4[[#This Row],[RCP-RUBRO]]))</f>
        <v>0</v>
      </c>
      <c r="AK1377" s="47" t="e" cm="1">
        <f t="array" aca="1" ref="AK1377" ca="1">_xlfn.XLOOKUP(PAA_4[[#This Row],[RCP-RUBRO]],[2]!COMPROMISOS_2024[[#All],[concatenado]],[2]!COMPROMISOS_2024[[#All],[Total Comprometido]],"",0)</f>
        <v>#NAME?</v>
      </c>
      <c r="AL1377" s="47">
        <f>IF(PAA_4[[#This Row],[BOLSA]]=0,0,SUMIFS([2]!COMPROMISOS_2024[[#All],[Total Comprometido]],[2]!COMPROMISOS_2024[[#All],[Bolsa]],PAA_4[[#This Row],[BOLSA]],[2]!COMPROMISOS_2024[[#All],[concatenado]],PAA_4[[#This Row],[RCP-RUBRO]]))</f>
        <v>0</v>
      </c>
    </row>
    <row r="1378" spans="1:38" s="19" customFormat="1" ht="31.5" customHeight="1">
      <c r="A1378" s="47">
        <v>483</v>
      </c>
      <c r="B1378" s="47" t="s">
        <v>42</v>
      </c>
      <c r="C1378" s="47" t="str">
        <f>VLOOKUP(PAA_4[[#This Row],[PROYECTO (formulado)2]],[2]PROYECTOS!$G$1:$L$32,6,0)</f>
        <v>SUBGERENCIA DE FOMENTO Y DESARROLLO</v>
      </c>
      <c r="D1378" s="47" t="str">
        <f>+IF(PAA_4[[#This Row],[UNIDAD DE CONTRATACION (formulado)]]="Subgerencia Administrativa y Financiera","FUNCIONAMIENTO","INVERSIÓN")</f>
        <v>INVERSIÓN</v>
      </c>
      <c r="E1378" s="48" t="str">
        <f>VLOOKUP(Q1378,[2]PROYECTOS!$G$1:$K$32,5,0)</f>
        <v>FORTALECIMIENTO_DE_LOS_JUEGOS_DEL_SECTOR_EDUCATIVO_EN_ANTIOQUIA</v>
      </c>
      <c r="F1378" s="48">
        <f>VLOOKUP(E1378,[2]PROYECTOS!$K$1:$M$32,3,0)</f>
        <v>2020003050034</v>
      </c>
      <c r="G1378" s="49" t="s">
        <v>340</v>
      </c>
      <c r="H1378" s="49" t="str">
        <f>VLOOKUP(Q1378,[2]PROYECTOS!$V$1:$W$32,2,0)</f>
        <v>050053</v>
      </c>
      <c r="I1378" s="50">
        <v>0</v>
      </c>
      <c r="J1378" s="51" t="s">
        <v>344</v>
      </c>
      <c r="K1378" s="47" t="str">
        <f t="shared" ca="1" si="492"/>
        <v>CONTRATADO</v>
      </c>
      <c r="L1378" s="47"/>
      <c r="M1378" s="47"/>
      <c r="N1378" s="52" t="s">
        <v>144</v>
      </c>
      <c r="O1378" s="51" t="e">
        <f>VLOOKUP(N1378,[2]!RUBROS[#All],3,0)</f>
        <v>#REF!</v>
      </c>
      <c r="P1378" s="53" t="e">
        <f>VLOOKUP(N1378,[2]!RUBROS[#All],2,0)</f>
        <v>#REF!</v>
      </c>
      <c r="Q1378" s="47" t="str">
        <f t="shared" si="493"/>
        <v>51</v>
      </c>
      <c r="R1378" s="47" t="str">
        <f t="shared" si="485"/>
        <v>0-205128</v>
      </c>
      <c r="S1378" s="54">
        <v>10</v>
      </c>
      <c r="T1378" s="59" t="s">
        <v>46</v>
      </c>
      <c r="U1378" s="326" t="e">
        <f ca="1">_xlfn.XLOOKUP(PAA_4[[#This Row],[ITEM]],[2]Contrato!A:A,[2]Contrato!Q:Q,"",0)</f>
        <v>#NAME?</v>
      </c>
      <c r="V1378" s="47" t="s">
        <v>47</v>
      </c>
      <c r="W1378" s="47" t="s">
        <v>91</v>
      </c>
      <c r="X1378" s="47" t="s">
        <v>91</v>
      </c>
      <c r="Y1378" s="55" t="e">
        <f ca="1">_xlfn.XLOOKUP(PAA_4[[#This Row],[ITEM]],[2]Contrato!A:A,[2]Contrato!B:B,"",0)</f>
        <v>#NAME?</v>
      </c>
      <c r="Z1378" s="47" t="e">
        <f ca="1">_xlfn.XLOOKUP(PAA_4[[#This Row],[ITEM]],[2]Contrato!A:A,[2]Contrato!G:G,"",0)</f>
        <v>#NAME?</v>
      </c>
      <c r="AA1378" s="47" t="e">
        <f ca="1">_xlfn.XLOOKUP(PAA_4[[#This Row],[ITEM]],[2]Contrato!A:A,[2]Contrato!T:T,"",0)</f>
        <v>#NAME?</v>
      </c>
      <c r="AB1378" s="55" t="e">
        <f ca="1">+MAX(PAA_4[[#This Row],[Comprometido Contrato]],PAA_4[[#This Row],[Comprometido Bolsa]])</f>
        <v>#NAME?</v>
      </c>
      <c r="AC1378" s="55" t="str">
        <f t="shared" ca="1" si="494"/>
        <v/>
      </c>
      <c r="AD1378" s="55" t="e">
        <f ca="1">IF(PAA_4[[#This Row],[ESTADO (formulado)]]="NO CONTRATADO",0,MAX(PAA_4[[#This Row],[Pago por Contrato]],PAA_4[[#This Row],[Pago por bolsa]]))</f>
        <v>#NAME?</v>
      </c>
      <c r="AE1378" s="55" t="str">
        <f t="shared" ca="1" si="495"/>
        <v/>
      </c>
      <c r="AF1378" s="47" t="e">
        <f t="shared" ca="1" si="496"/>
        <v>#NAME?</v>
      </c>
      <c r="AG1378" s="47">
        <f t="shared" si="497"/>
        <v>44021011</v>
      </c>
      <c r="AH1378" s="54">
        <f>IF(Q1378="22",IF(ISNUMBER(SEARCH("econ",PAA_4[[#This Row],[Actividad3]])),"Económico",IF(ISNUMBER(SEARCH("alim",PAA_4[[#This Row],[Actividad3]])),"Alimentación",IF(ISNUMBER(SEARCH("educ",PAA_4[[#This Row],[Actividad3]])),"Educativo","Técnico"))),0)</f>
        <v>0</v>
      </c>
      <c r="AI1378" s="47" t="e" cm="1">
        <f t="array" aca="1" ref="AI1378" ca="1">_xlfn.XLOOKUP(PAA_4[[#This Row],[RCP-RUBRO]],[2]!COMPROMISOS_2024[[#All],[concatenado]],[2]!COMPROMISOS_2024[[#All],[Total pagado]],"",0)</f>
        <v>#NAME?</v>
      </c>
      <c r="AJ1378" s="56">
        <f>IF(PAA_4[[#This Row],[BOLSA]]=0,0,SUMIFS([2]!COMPROMISOS_2024[[#All],[Total pagado]],[2]!COMPROMISOS_2024[[#All],[Bolsa]],PAA_4[[#This Row],[BOLSA]],[2]!COMPROMISOS_2024[[#All],[rubro]],PAA_4[[#This Row],[RCP-RUBRO]]))</f>
        <v>0</v>
      </c>
      <c r="AK1378" s="47" t="e" cm="1">
        <f t="array" aca="1" ref="AK1378" ca="1">_xlfn.XLOOKUP(PAA_4[[#This Row],[RCP-RUBRO]],[2]!COMPROMISOS_2024[[#All],[concatenado]],[2]!COMPROMISOS_2024[[#All],[Total Comprometido]],"",0)</f>
        <v>#NAME?</v>
      </c>
      <c r="AL1378" s="47">
        <f>IF(PAA_4[[#This Row],[BOLSA]]=0,0,SUMIFS([2]!COMPROMISOS_2024[[#All],[Total Comprometido]],[2]!COMPROMISOS_2024[[#All],[Bolsa]],PAA_4[[#This Row],[BOLSA]],[2]!COMPROMISOS_2024[[#All],[concatenado]],PAA_4[[#This Row],[RCP-RUBRO]]))</f>
        <v>0</v>
      </c>
    </row>
    <row r="1379" spans="1:38" s="19" customFormat="1" ht="31.5" customHeight="1">
      <c r="A1379" s="47">
        <v>484</v>
      </c>
      <c r="B1379" s="47" t="s">
        <v>42</v>
      </c>
      <c r="C1379" s="47" t="str">
        <f>VLOOKUP(PAA_4[[#This Row],[PROYECTO (formulado)2]],[2]PROYECTOS!$G$1:$L$32,6,0)</f>
        <v>SUBGERENCIA DE FOMENTO Y DESARROLLO</v>
      </c>
      <c r="D1379" s="47" t="str">
        <f>+IF(PAA_4[[#This Row],[UNIDAD DE CONTRATACION (formulado)]]="Subgerencia Administrativa y Financiera","FUNCIONAMIENTO","INVERSIÓN")</f>
        <v>INVERSIÓN</v>
      </c>
      <c r="E1379" s="48" t="str">
        <f>VLOOKUP(Q1379,[2]PROYECTOS!$G$1:$K$32,5,0)</f>
        <v>FORTALECIMIENTO_DE_LOS_JUEGOS_DEL_SECTOR_EDUCATIVO_EN_ANTIOQUIA</v>
      </c>
      <c r="F1379" s="48">
        <f>VLOOKUP(E1379,[2]PROYECTOS!$K$1:$M$32,3,0)</f>
        <v>2020003050034</v>
      </c>
      <c r="G1379" s="49" t="s">
        <v>340</v>
      </c>
      <c r="H1379" s="49" t="str">
        <f>VLOOKUP(Q1379,[2]PROYECTOS!$V$1:$W$32,2,0)</f>
        <v>050053</v>
      </c>
      <c r="I1379" s="50">
        <v>0</v>
      </c>
      <c r="J1379" s="51" t="s">
        <v>344</v>
      </c>
      <c r="K1379" s="47" t="str">
        <f t="shared" ca="1" si="492"/>
        <v>CONTRATADO</v>
      </c>
      <c r="L1379" s="47"/>
      <c r="M1379" s="47"/>
      <c r="N1379" s="52" t="s">
        <v>144</v>
      </c>
      <c r="O1379" s="51" t="e">
        <f>VLOOKUP(N1379,[2]!RUBROS[#All],3,0)</f>
        <v>#REF!</v>
      </c>
      <c r="P1379" s="53" t="e">
        <f>VLOOKUP(N1379,[2]!RUBROS[#All],2,0)</f>
        <v>#REF!</v>
      </c>
      <c r="Q1379" s="47" t="str">
        <f t="shared" si="493"/>
        <v>51</v>
      </c>
      <c r="R1379" s="47" t="str">
        <f t="shared" si="485"/>
        <v>0-205128</v>
      </c>
      <c r="S1379" s="54">
        <v>10</v>
      </c>
      <c r="T1379" s="59" t="s">
        <v>46</v>
      </c>
      <c r="U1379" s="326" t="e">
        <f ca="1">_xlfn.XLOOKUP(PAA_4[[#This Row],[ITEM]],[2]Contrato!A:A,[2]Contrato!Q:Q,"",0)</f>
        <v>#NAME?</v>
      </c>
      <c r="V1379" s="47" t="s">
        <v>47</v>
      </c>
      <c r="W1379" s="47" t="s">
        <v>91</v>
      </c>
      <c r="X1379" s="47" t="s">
        <v>91</v>
      </c>
      <c r="Y1379" s="55" t="e">
        <f ca="1">_xlfn.XLOOKUP(PAA_4[[#This Row],[ITEM]],[2]Contrato!A:A,[2]Contrato!B:B,"",0)</f>
        <v>#NAME?</v>
      </c>
      <c r="Z1379" s="47" t="e">
        <f ca="1">_xlfn.XLOOKUP(PAA_4[[#This Row],[ITEM]],[2]Contrato!A:A,[2]Contrato!G:G,"",0)</f>
        <v>#NAME?</v>
      </c>
      <c r="AA1379" s="47" t="e">
        <f ca="1">_xlfn.XLOOKUP(PAA_4[[#This Row],[ITEM]],[2]Contrato!A:A,[2]Contrato!T:T,"",0)</f>
        <v>#NAME?</v>
      </c>
      <c r="AB1379" s="55" t="e">
        <f ca="1">+MAX(PAA_4[[#This Row],[Comprometido Contrato]],PAA_4[[#This Row],[Comprometido Bolsa]])</f>
        <v>#NAME?</v>
      </c>
      <c r="AC1379" s="55" t="str">
        <f t="shared" ca="1" si="494"/>
        <v/>
      </c>
      <c r="AD1379" s="55" t="e">
        <f ca="1">IF(PAA_4[[#This Row],[ESTADO (formulado)]]="NO CONTRATADO",0,MAX(PAA_4[[#This Row],[Pago por Contrato]],PAA_4[[#This Row],[Pago por bolsa]]))</f>
        <v>#NAME?</v>
      </c>
      <c r="AE1379" s="55" t="str">
        <f t="shared" ca="1" si="495"/>
        <v/>
      </c>
      <c r="AF1379" s="47" t="e">
        <f t="shared" ca="1" si="496"/>
        <v>#NAME?</v>
      </c>
      <c r="AG1379" s="47">
        <f t="shared" si="497"/>
        <v>44021011</v>
      </c>
      <c r="AH1379" s="54">
        <f>IF(Q1379="22",IF(ISNUMBER(SEARCH("econ",PAA_4[[#This Row],[Actividad3]])),"Económico",IF(ISNUMBER(SEARCH("alim",PAA_4[[#This Row],[Actividad3]])),"Alimentación",IF(ISNUMBER(SEARCH("educ",PAA_4[[#This Row],[Actividad3]])),"Educativo","Técnico"))),0)</f>
        <v>0</v>
      </c>
      <c r="AI1379" s="47" t="e" cm="1">
        <f t="array" aca="1" ref="AI1379" ca="1">_xlfn.XLOOKUP(PAA_4[[#This Row],[RCP-RUBRO]],[2]!COMPROMISOS_2024[[#All],[concatenado]],[2]!COMPROMISOS_2024[[#All],[Total pagado]],"",0)</f>
        <v>#NAME?</v>
      </c>
      <c r="AJ1379" s="56">
        <f>IF(PAA_4[[#This Row],[BOLSA]]=0,0,SUMIFS([2]!COMPROMISOS_2024[[#All],[Total pagado]],[2]!COMPROMISOS_2024[[#All],[Bolsa]],PAA_4[[#This Row],[BOLSA]],[2]!COMPROMISOS_2024[[#All],[rubro]],PAA_4[[#This Row],[RCP-RUBRO]]))</f>
        <v>0</v>
      </c>
      <c r="AK1379" s="47" t="e" cm="1">
        <f t="array" aca="1" ref="AK1379" ca="1">_xlfn.XLOOKUP(PAA_4[[#This Row],[RCP-RUBRO]],[2]!COMPROMISOS_2024[[#All],[concatenado]],[2]!COMPROMISOS_2024[[#All],[Total Comprometido]],"",0)</f>
        <v>#NAME?</v>
      </c>
      <c r="AL1379" s="47">
        <f>IF(PAA_4[[#This Row],[BOLSA]]=0,0,SUMIFS([2]!COMPROMISOS_2024[[#All],[Total Comprometido]],[2]!COMPROMISOS_2024[[#All],[Bolsa]],PAA_4[[#This Row],[BOLSA]],[2]!COMPROMISOS_2024[[#All],[concatenado]],PAA_4[[#This Row],[RCP-RUBRO]]))</f>
        <v>0</v>
      </c>
    </row>
    <row r="1380" spans="1:38" s="19" customFormat="1" ht="31.5" customHeight="1">
      <c r="A1380" s="47">
        <v>485</v>
      </c>
      <c r="B1380" s="47" t="s">
        <v>42</v>
      </c>
      <c r="C1380" s="47" t="str">
        <f>VLOOKUP(PAA_4[[#This Row],[PROYECTO (formulado)2]],[2]PROYECTOS!$G$1:$L$32,6,0)</f>
        <v>SUBGERENCIA DE FOMENTO Y DESARROLLO</v>
      </c>
      <c r="D1380" s="47" t="str">
        <f>+IF(PAA_4[[#This Row],[UNIDAD DE CONTRATACION (formulado)]]="Subgerencia Administrativa y Financiera","FUNCIONAMIENTO","INVERSIÓN")</f>
        <v>INVERSIÓN</v>
      </c>
      <c r="E1380" s="48" t="str">
        <f>VLOOKUP(Q1380,[2]PROYECTOS!$G$1:$K$32,5,0)</f>
        <v>FORTALECIMIENTO_DE_LOS_JUEGOS_DEL_SECTOR_EDUCATIVO_EN_ANTIOQUIA</v>
      </c>
      <c r="F1380" s="48">
        <f>VLOOKUP(E1380,[2]PROYECTOS!$K$1:$M$32,3,0)</f>
        <v>2020003050034</v>
      </c>
      <c r="G1380" s="49" t="s">
        <v>340</v>
      </c>
      <c r="H1380" s="49" t="str">
        <f>VLOOKUP(Q1380,[2]PROYECTOS!$V$1:$W$32,2,0)</f>
        <v>050053</v>
      </c>
      <c r="I1380" s="50">
        <v>0</v>
      </c>
      <c r="J1380" s="51" t="s">
        <v>344</v>
      </c>
      <c r="K1380" s="47" t="str">
        <f t="shared" ca="1" si="492"/>
        <v>CONTRATADO</v>
      </c>
      <c r="L1380" s="47"/>
      <c r="M1380" s="47"/>
      <c r="N1380" s="52" t="s">
        <v>144</v>
      </c>
      <c r="O1380" s="51" t="e">
        <f>VLOOKUP(N1380,[2]!RUBROS[#All],3,0)</f>
        <v>#REF!</v>
      </c>
      <c r="P1380" s="53" t="e">
        <f>VLOOKUP(N1380,[2]!RUBROS[#All],2,0)</f>
        <v>#REF!</v>
      </c>
      <c r="Q1380" s="47" t="str">
        <f t="shared" si="493"/>
        <v>51</v>
      </c>
      <c r="R1380" s="47" t="str">
        <f t="shared" si="485"/>
        <v>0-205128</v>
      </c>
      <c r="S1380" s="54">
        <v>10</v>
      </c>
      <c r="T1380" s="59" t="s">
        <v>46</v>
      </c>
      <c r="U1380" s="326" t="e">
        <f ca="1">_xlfn.XLOOKUP(PAA_4[[#This Row],[ITEM]],[2]Contrato!A:A,[2]Contrato!Q:Q,"",0)</f>
        <v>#NAME?</v>
      </c>
      <c r="V1380" s="47" t="s">
        <v>47</v>
      </c>
      <c r="W1380" s="47" t="s">
        <v>91</v>
      </c>
      <c r="X1380" s="47" t="s">
        <v>91</v>
      </c>
      <c r="Y1380" s="55" t="e">
        <f ca="1">_xlfn.XLOOKUP(PAA_4[[#This Row],[ITEM]],[2]Contrato!A:A,[2]Contrato!B:B,"",0)</f>
        <v>#NAME?</v>
      </c>
      <c r="Z1380" s="47" t="e">
        <f ca="1">_xlfn.XLOOKUP(PAA_4[[#This Row],[ITEM]],[2]Contrato!A:A,[2]Contrato!G:G,"",0)</f>
        <v>#NAME?</v>
      </c>
      <c r="AA1380" s="47" t="e">
        <f ca="1">_xlfn.XLOOKUP(PAA_4[[#This Row],[ITEM]],[2]Contrato!A:A,[2]Contrato!T:T,"",0)</f>
        <v>#NAME?</v>
      </c>
      <c r="AB1380" s="55" t="e">
        <f ca="1">+MAX(PAA_4[[#This Row],[Comprometido Contrato]],PAA_4[[#This Row],[Comprometido Bolsa]])</f>
        <v>#NAME?</v>
      </c>
      <c r="AC1380" s="55" t="str">
        <f t="shared" ca="1" si="494"/>
        <v/>
      </c>
      <c r="AD1380" s="55" t="e">
        <f ca="1">IF(PAA_4[[#This Row],[ESTADO (formulado)]]="NO CONTRATADO",0,MAX(PAA_4[[#This Row],[Pago por Contrato]],PAA_4[[#This Row],[Pago por bolsa]]))</f>
        <v>#NAME?</v>
      </c>
      <c r="AE1380" s="55" t="str">
        <f t="shared" ca="1" si="495"/>
        <v/>
      </c>
      <c r="AF1380" s="47" t="e">
        <f t="shared" ca="1" si="496"/>
        <v>#NAME?</v>
      </c>
      <c r="AG1380" s="47">
        <f t="shared" si="497"/>
        <v>44021011</v>
      </c>
      <c r="AH1380" s="54">
        <f>IF(Q1380="22",IF(ISNUMBER(SEARCH("econ",PAA_4[[#This Row],[Actividad3]])),"Económico",IF(ISNUMBER(SEARCH("alim",PAA_4[[#This Row],[Actividad3]])),"Alimentación",IF(ISNUMBER(SEARCH("educ",PAA_4[[#This Row],[Actividad3]])),"Educativo","Técnico"))),0)</f>
        <v>0</v>
      </c>
      <c r="AI1380" s="47" t="e" cm="1">
        <f t="array" aca="1" ref="AI1380" ca="1">_xlfn.XLOOKUP(PAA_4[[#This Row],[RCP-RUBRO]],[2]!COMPROMISOS_2024[[#All],[concatenado]],[2]!COMPROMISOS_2024[[#All],[Total pagado]],"",0)</f>
        <v>#NAME?</v>
      </c>
      <c r="AJ1380" s="56">
        <f>IF(PAA_4[[#This Row],[BOLSA]]=0,0,SUMIFS([2]!COMPROMISOS_2024[[#All],[Total pagado]],[2]!COMPROMISOS_2024[[#All],[Bolsa]],PAA_4[[#This Row],[BOLSA]],[2]!COMPROMISOS_2024[[#All],[rubro]],PAA_4[[#This Row],[RCP-RUBRO]]))</f>
        <v>0</v>
      </c>
      <c r="AK1380" s="47" t="e" cm="1">
        <f t="array" aca="1" ref="AK1380" ca="1">_xlfn.XLOOKUP(PAA_4[[#This Row],[RCP-RUBRO]],[2]!COMPROMISOS_2024[[#All],[concatenado]],[2]!COMPROMISOS_2024[[#All],[Total Comprometido]],"",0)</f>
        <v>#NAME?</v>
      </c>
      <c r="AL1380" s="47">
        <f>IF(PAA_4[[#This Row],[BOLSA]]=0,0,SUMIFS([2]!COMPROMISOS_2024[[#All],[Total Comprometido]],[2]!COMPROMISOS_2024[[#All],[Bolsa]],PAA_4[[#This Row],[BOLSA]],[2]!COMPROMISOS_2024[[#All],[concatenado]],PAA_4[[#This Row],[RCP-RUBRO]]))</f>
        <v>0</v>
      </c>
    </row>
    <row r="1381" spans="1:38" s="19" customFormat="1" ht="31.5" customHeight="1">
      <c r="A1381" s="47">
        <v>486</v>
      </c>
      <c r="B1381" s="47">
        <v>80111600</v>
      </c>
      <c r="C1381" s="47" t="str">
        <f>VLOOKUP(PAA_4[[#This Row],[PROYECTO (formulado)2]],[2]PROYECTOS!$G$1:$L$32,6,0)</f>
        <v>SUBGERENCIA DE FOMENTO Y DESARROLLO</v>
      </c>
      <c r="D1381" s="47" t="str">
        <f>+IF(PAA_4[[#This Row],[UNIDAD DE CONTRATACION (formulado)]]="Subgerencia Administrativa y Financiera","FUNCIONAMIENTO","INVERSIÓN")</f>
        <v>INVERSIÓN</v>
      </c>
      <c r="E1381" s="48" t="str">
        <f>VLOOKUP(Q1381,[2]PROYECTOS!$G$1:$K$32,5,0)</f>
        <v>FORTALECIMIENTO_DE_LOS_JUEGOS_DEL_SECTOR_EDUCATIVO_EN_ANTIOQUIA</v>
      </c>
      <c r="F1381" s="48">
        <f>VLOOKUP(E1381,[2]PROYECTOS!$K$1:$M$32,3,0)</f>
        <v>2020003050034</v>
      </c>
      <c r="G1381" s="49" t="s">
        <v>340</v>
      </c>
      <c r="H1381" s="49" t="str">
        <f>VLOOKUP(Q1381,[2]PROYECTOS!$V$1:$W$32,2,0)</f>
        <v>050053</v>
      </c>
      <c r="I1381" s="50">
        <v>0</v>
      </c>
      <c r="J1381" s="51" t="s">
        <v>42</v>
      </c>
      <c r="K1381" s="47" t="str">
        <f t="shared" ca="1" si="492"/>
        <v>CONTRATADO</v>
      </c>
      <c r="L1381" s="47" t="s">
        <v>344</v>
      </c>
      <c r="M1381" s="47" t="s">
        <v>344</v>
      </c>
      <c r="N1381" s="52" t="s">
        <v>144</v>
      </c>
      <c r="O1381" s="51" t="e">
        <f>VLOOKUP(N1381,[2]!RUBROS[#All],3,0)</f>
        <v>#REF!</v>
      </c>
      <c r="P1381" s="53" t="e">
        <f>VLOOKUP(N1381,[2]!RUBROS[#All],2,0)</f>
        <v>#REF!</v>
      </c>
      <c r="Q1381" s="47" t="str">
        <f t="shared" si="493"/>
        <v>51</v>
      </c>
      <c r="R1381" s="47" t="str">
        <f t="shared" si="485"/>
        <v>0-205128</v>
      </c>
      <c r="S1381" s="54">
        <v>10.5</v>
      </c>
      <c r="T1381" s="59" t="s">
        <v>46</v>
      </c>
      <c r="U1381" s="326" t="e">
        <f ca="1">_xlfn.XLOOKUP(PAA_4[[#This Row],[ITEM]],[2]Contrato!A:A,[2]Contrato!Q:Q,"",0)</f>
        <v>#NAME?</v>
      </c>
      <c r="V1381" s="47" t="s">
        <v>47</v>
      </c>
      <c r="W1381" s="47" t="s">
        <v>91</v>
      </c>
      <c r="X1381" s="47" t="s">
        <v>91</v>
      </c>
      <c r="Y1381" s="55" t="e">
        <f ca="1">_xlfn.XLOOKUP(PAA_4[[#This Row],[ITEM]],[2]Contrato!A:A,[2]Contrato!B:B,"",0)</f>
        <v>#NAME?</v>
      </c>
      <c r="Z1381" s="47" t="e">
        <f ca="1">_xlfn.XLOOKUP(PAA_4[[#This Row],[ITEM]],[2]Contrato!A:A,[2]Contrato!G:G,"",0)</f>
        <v>#NAME?</v>
      </c>
      <c r="AA1381" s="47" t="e">
        <f ca="1">_xlfn.XLOOKUP(PAA_4[[#This Row],[ITEM]],[2]Contrato!A:A,[2]Contrato!T:T,"",0)</f>
        <v>#NAME?</v>
      </c>
      <c r="AB1381" s="55" t="e">
        <f ca="1">+MAX(PAA_4[[#This Row],[Comprometido Contrato]],PAA_4[[#This Row],[Comprometido Bolsa]])</f>
        <v>#NAME?</v>
      </c>
      <c r="AC1381" s="55" t="str">
        <f t="shared" ca="1" si="494"/>
        <v/>
      </c>
      <c r="AD1381" s="55" t="e">
        <f ca="1">IF(PAA_4[[#This Row],[ESTADO (formulado)]]="NO CONTRATADO",0,MAX(PAA_4[[#This Row],[Pago por Contrato]],PAA_4[[#This Row],[Pago por bolsa]]))</f>
        <v>#NAME?</v>
      </c>
      <c r="AE1381" s="55" t="str">
        <f t="shared" ca="1" si="495"/>
        <v/>
      </c>
      <c r="AF1381" s="47" t="e">
        <f t="shared" ca="1" si="496"/>
        <v>#NAME?</v>
      </c>
      <c r="AG1381" s="47">
        <f t="shared" si="497"/>
        <v>44021011</v>
      </c>
      <c r="AH1381" s="54">
        <f>IF(Q1381="22",IF(ISNUMBER(SEARCH("econ",PAA_4[[#This Row],[Actividad3]])),"Económico",IF(ISNUMBER(SEARCH("alim",PAA_4[[#This Row],[Actividad3]])),"Alimentación",IF(ISNUMBER(SEARCH("educ",PAA_4[[#This Row],[Actividad3]])),"Educativo","Técnico"))),0)</f>
        <v>0</v>
      </c>
      <c r="AI1381" s="47" t="e" cm="1">
        <f t="array" aca="1" ref="AI1381" ca="1">_xlfn.XLOOKUP(PAA_4[[#This Row],[RCP-RUBRO]],[2]!COMPROMISOS_2024[[#All],[concatenado]],[2]!COMPROMISOS_2024[[#All],[Total pagado]],"",0)</f>
        <v>#NAME?</v>
      </c>
      <c r="AJ1381" s="56">
        <f>IF(PAA_4[[#This Row],[BOLSA]]=0,0,SUMIFS([2]!COMPROMISOS_2024[[#All],[Total pagado]],[2]!COMPROMISOS_2024[[#All],[Bolsa]],PAA_4[[#This Row],[BOLSA]],[2]!COMPROMISOS_2024[[#All],[rubro]],PAA_4[[#This Row],[RCP-RUBRO]]))</f>
        <v>0</v>
      </c>
      <c r="AK1381" s="47" t="e" cm="1">
        <f t="array" aca="1" ref="AK1381" ca="1">_xlfn.XLOOKUP(PAA_4[[#This Row],[RCP-RUBRO]],[2]!COMPROMISOS_2024[[#All],[concatenado]],[2]!COMPROMISOS_2024[[#All],[Total Comprometido]],"",0)</f>
        <v>#NAME?</v>
      </c>
      <c r="AL1381" s="47">
        <f>IF(PAA_4[[#This Row],[BOLSA]]=0,0,SUMIFS([2]!COMPROMISOS_2024[[#All],[Total Comprometido]],[2]!COMPROMISOS_2024[[#All],[Bolsa]],PAA_4[[#This Row],[BOLSA]],[2]!COMPROMISOS_2024[[#All],[concatenado]],PAA_4[[#This Row],[RCP-RUBRO]]))</f>
        <v>0</v>
      </c>
    </row>
    <row r="1382" spans="1:38" s="19" customFormat="1" ht="31.5" customHeight="1">
      <c r="A1382" s="47">
        <v>487</v>
      </c>
      <c r="B1382" s="47" t="s">
        <v>42</v>
      </c>
      <c r="C1382" s="47" t="str">
        <f>VLOOKUP(PAA_4[[#This Row],[PROYECTO (formulado)2]],[2]PROYECTOS!$G$1:$L$32,6,0)</f>
        <v>SUBGERENCIA DE FOMENTO Y DESARROLLO</v>
      </c>
      <c r="D1382" s="47" t="str">
        <f>+IF(PAA_4[[#This Row],[UNIDAD DE CONTRATACION (formulado)]]="Subgerencia Administrativa y Financiera","FUNCIONAMIENTO","INVERSIÓN")</f>
        <v>INVERSIÓN</v>
      </c>
      <c r="E1382" s="48" t="str">
        <f>VLOOKUP(Q1382,[2]PROYECTOS!$G$1:$K$32,5,0)</f>
        <v>FORTALECIMIENTO_DE_LOS_JUEGOS_DEL_SECTOR_EDUCATIVO_EN_ANTIOQUIA</v>
      </c>
      <c r="F1382" s="48">
        <f>VLOOKUP(E1382,[2]PROYECTOS!$K$1:$M$32,3,0)</f>
        <v>2020003050034</v>
      </c>
      <c r="G1382" s="49" t="s">
        <v>340</v>
      </c>
      <c r="H1382" s="49" t="str">
        <f>VLOOKUP(Q1382,[2]PROYECTOS!$V$1:$W$32,2,0)</f>
        <v>050053</v>
      </c>
      <c r="I1382" s="50">
        <v>0</v>
      </c>
      <c r="J1382" s="51" t="s">
        <v>42</v>
      </c>
      <c r="K1382" s="47" t="str">
        <f t="shared" ca="1" si="492"/>
        <v>CONTRATADO</v>
      </c>
      <c r="L1382" s="47" t="s">
        <v>94</v>
      </c>
      <c r="M1382" s="47" t="s">
        <v>1297</v>
      </c>
      <c r="N1382" s="52" t="s">
        <v>144</v>
      </c>
      <c r="O1382" s="51" t="e">
        <f>VLOOKUP(N1382,[2]!RUBROS[#All],3,0)</f>
        <v>#REF!</v>
      </c>
      <c r="P1382" s="53" t="e">
        <f>VLOOKUP(N1382,[2]!RUBROS[#All],2,0)</f>
        <v>#REF!</v>
      </c>
      <c r="Q1382" s="47" t="str">
        <f t="shared" si="493"/>
        <v>51</v>
      </c>
      <c r="R1382" s="47" t="str">
        <f t="shared" si="485"/>
        <v>0-205128</v>
      </c>
      <c r="S1382" s="54">
        <v>10</v>
      </c>
      <c r="T1382" s="59" t="s">
        <v>46</v>
      </c>
      <c r="U1382" s="326" t="e">
        <f ca="1">_xlfn.XLOOKUP(PAA_4[[#This Row],[ITEM]],[2]Contrato!A:A,[2]Contrato!Q:Q,"",0)</f>
        <v>#NAME?</v>
      </c>
      <c r="V1382" s="47" t="s">
        <v>47</v>
      </c>
      <c r="W1382" s="47" t="s">
        <v>91</v>
      </c>
      <c r="X1382" s="47" t="s">
        <v>91</v>
      </c>
      <c r="Y1382" s="55" t="e">
        <f ca="1">_xlfn.XLOOKUP(PAA_4[[#This Row],[ITEM]],[2]Contrato!A:A,[2]Contrato!B:B,"",0)</f>
        <v>#NAME?</v>
      </c>
      <c r="Z1382" s="47" t="e">
        <f ca="1">_xlfn.XLOOKUP(PAA_4[[#This Row],[ITEM]],[2]Contrato!A:A,[2]Contrato!G:G,"",0)</f>
        <v>#NAME?</v>
      </c>
      <c r="AA1382" s="47" t="e">
        <f ca="1">_xlfn.XLOOKUP(PAA_4[[#This Row],[ITEM]],[2]Contrato!A:A,[2]Contrato!T:T,"",0)</f>
        <v>#NAME?</v>
      </c>
      <c r="AB1382" s="55" t="e">
        <f ca="1">+MAX(PAA_4[[#This Row],[Comprometido Contrato]],PAA_4[[#This Row],[Comprometido Bolsa]])</f>
        <v>#NAME?</v>
      </c>
      <c r="AC1382" s="55" t="str">
        <f t="shared" ca="1" si="494"/>
        <v/>
      </c>
      <c r="AD1382" s="55" t="e">
        <f ca="1">IF(PAA_4[[#This Row],[ESTADO (formulado)]]="NO CONTRATADO",0,MAX(PAA_4[[#This Row],[Pago por Contrato]],PAA_4[[#This Row],[Pago por bolsa]]))</f>
        <v>#NAME?</v>
      </c>
      <c r="AE1382" s="55" t="str">
        <f t="shared" ca="1" si="495"/>
        <v/>
      </c>
      <c r="AF1382" s="47" t="e">
        <f t="shared" ca="1" si="496"/>
        <v>#NAME?</v>
      </c>
      <c r="AG1382" s="47">
        <f t="shared" si="497"/>
        <v>44021011</v>
      </c>
      <c r="AH1382" s="54">
        <f>IF(Q1382="22",IF(ISNUMBER(SEARCH("econ",PAA_4[[#This Row],[Actividad3]])),"Económico",IF(ISNUMBER(SEARCH("alim",PAA_4[[#This Row],[Actividad3]])),"Alimentación",IF(ISNUMBER(SEARCH("educ",PAA_4[[#This Row],[Actividad3]])),"Educativo","Técnico"))),0)</f>
        <v>0</v>
      </c>
      <c r="AI1382" s="47" t="e" cm="1">
        <f t="array" aca="1" ref="AI1382" ca="1">_xlfn.XLOOKUP(PAA_4[[#This Row],[RCP-RUBRO]],[2]!COMPROMISOS_2024[[#All],[concatenado]],[2]!COMPROMISOS_2024[[#All],[Total pagado]],"",0)</f>
        <v>#NAME?</v>
      </c>
      <c r="AJ1382" s="56">
        <f>IF(PAA_4[[#This Row],[BOLSA]]=0,0,SUMIFS([2]!COMPROMISOS_2024[[#All],[Total pagado]],[2]!COMPROMISOS_2024[[#All],[Bolsa]],PAA_4[[#This Row],[BOLSA]],[2]!COMPROMISOS_2024[[#All],[rubro]],PAA_4[[#This Row],[RCP-RUBRO]]))</f>
        <v>0</v>
      </c>
      <c r="AK1382" s="47" t="e" cm="1">
        <f t="array" aca="1" ref="AK1382" ca="1">_xlfn.XLOOKUP(PAA_4[[#This Row],[RCP-RUBRO]],[2]!COMPROMISOS_2024[[#All],[concatenado]],[2]!COMPROMISOS_2024[[#All],[Total Comprometido]],"",0)</f>
        <v>#NAME?</v>
      </c>
      <c r="AL1382" s="47">
        <f>IF(PAA_4[[#This Row],[BOLSA]]=0,0,SUMIFS([2]!COMPROMISOS_2024[[#All],[Total Comprometido]],[2]!COMPROMISOS_2024[[#All],[Bolsa]],PAA_4[[#This Row],[BOLSA]],[2]!COMPROMISOS_2024[[#All],[concatenado]],PAA_4[[#This Row],[RCP-RUBRO]]))</f>
        <v>0</v>
      </c>
    </row>
    <row r="1383" spans="1:38" s="19" customFormat="1" ht="31.5" customHeight="1">
      <c r="A1383" s="47">
        <v>488</v>
      </c>
      <c r="B1383" s="47" t="s">
        <v>42</v>
      </c>
      <c r="C1383" s="47" t="str">
        <f>VLOOKUP(PAA_4[[#This Row],[PROYECTO (formulado)2]],[2]PROYECTOS!$G$1:$L$32,6,0)</f>
        <v>SUBGERENCIA DE FOMENTO Y DESARROLLO</v>
      </c>
      <c r="D1383" s="47" t="str">
        <f>+IF(PAA_4[[#This Row],[UNIDAD DE CONTRATACION (formulado)]]="Subgerencia Administrativa y Financiera","FUNCIONAMIENTO","INVERSIÓN")</f>
        <v>INVERSIÓN</v>
      </c>
      <c r="E1383" s="48" t="str">
        <f>VLOOKUP(Q1383,[2]PROYECTOS!$G$1:$K$32,5,0)</f>
        <v>FORTALECIMIENTO_DE_LOS_JUEGOS_DEL_SECTOR_EDUCATIVO_EN_ANTIOQUIA</v>
      </c>
      <c r="F1383" s="48">
        <f>VLOOKUP(E1383,[2]PROYECTOS!$K$1:$M$32,3,0)</f>
        <v>2020003050034</v>
      </c>
      <c r="G1383" s="49" t="s">
        <v>340</v>
      </c>
      <c r="H1383" s="49" t="str">
        <f>VLOOKUP(Q1383,[2]PROYECTOS!$V$1:$W$32,2,0)</f>
        <v>050053</v>
      </c>
      <c r="I1383" s="50">
        <v>0</v>
      </c>
      <c r="J1383" s="51" t="s">
        <v>42</v>
      </c>
      <c r="K1383" s="47" t="str">
        <f t="shared" ca="1" si="492"/>
        <v>CONTRATADO</v>
      </c>
      <c r="L1383" s="47" t="s">
        <v>94</v>
      </c>
      <c r="M1383" s="47" t="s">
        <v>1297</v>
      </c>
      <c r="N1383" s="52" t="s">
        <v>144</v>
      </c>
      <c r="O1383" s="51" t="e">
        <f>VLOOKUP(N1383,[2]!RUBROS[#All],3,0)</f>
        <v>#REF!</v>
      </c>
      <c r="P1383" s="53" t="e">
        <f>VLOOKUP(N1383,[2]!RUBROS[#All],2,0)</f>
        <v>#REF!</v>
      </c>
      <c r="Q1383" s="47" t="str">
        <f t="shared" si="493"/>
        <v>51</v>
      </c>
      <c r="R1383" s="47" t="str">
        <f t="shared" si="485"/>
        <v>0-205128</v>
      </c>
      <c r="S1383" s="54">
        <v>10</v>
      </c>
      <c r="T1383" s="59" t="s">
        <v>46</v>
      </c>
      <c r="U1383" s="326" t="e">
        <f ca="1">_xlfn.XLOOKUP(PAA_4[[#This Row],[ITEM]],[2]Contrato!A:A,[2]Contrato!Q:Q,"",0)</f>
        <v>#NAME?</v>
      </c>
      <c r="V1383" s="47" t="s">
        <v>47</v>
      </c>
      <c r="W1383" s="47" t="s">
        <v>91</v>
      </c>
      <c r="X1383" s="47" t="s">
        <v>91</v>
      </c>
      <c r="Y1383" s="55" t="e">
        <f ca="1">_xlfn.XLOOKUP(PAA_4[[#This Row],[ITEM]],[2]Contrato!A:A,[2]Contrato!B:B,"",0)</f>
        <v>#NAME?</v>
      </c>
      <c r="Z1383" s="47" t="e">
        <f ca="1">_xlfn.XLOOKUP(PAA_4[[#This Row],[ITEM]],[2]Contrato!A:A,[2]Contrato!G:G,"",0)</f>
        <v>#NAME?</v>
      </c>
      <c r="AA1383" s="47" t="e">
        <f ca="1">_xlfn.XLOOKUP(PAA_4[[#This Row],[ITEM]],[2]Contrato!A:A,[2]Contrato!T:T,"",0)</f>
        <v>#NAME?</v>
      </c>
      <c r="AB1383" s="55" t="e">
        <f ca="1">+MAX(PAA_4[[#This Row],[Comprometido Contrato]],PAA_4[[#This Row],[Comprometido Bolsa]])</f>
        <v>#NAME?</v>
      </c>
      <c r="AC1383" s="55" t="str">
        <f t="shared" ca="1" si="494"/>
        <v/>
      </c>
      <c r="AD1383" s="55" t="e">
        <f ca="1">IF(PAA_4[[#This Row],[ESTADO (formulado)]]="NO CONTRATADO",0,MAX(PAA_4[[#This Row],[Pago por Contrato]],PAA_4[[#This Row],[Pago por bolsa]]))</f>
        <v>#NAME?</v>
      </c>
      <c r="AE1383" s="55" t="str">
        <f t="shared" ca="1" si="495"/>
        <v/>
      </c>
      <c r="AF1383" s="47" t="e">
        <f t="shared" ca="1" si="496"/>
        <v>#NAME?</v>
      </c>
      <c r="AG1383" s="47">
        <f t="shared" si="497"/>
        <v>44021011</v>
      </c>
      <c r="AH1383" s="54">
        <f>IF(Q1383="22",IF(ISNUMBER(SEARCH("econ",PAA_4[[#This Row],[Actividad3]])),"Económico",IF(ISNUMBER(SEARCH("alim",PAA_4[[#This Row],[Actividad3]])),"Alimentación",IF(ISNUMBER(SEARCH("educ",PAA_4[[#This Row],[Actividad3]])),"Educativo","Técnico"))),0)</f>
        <v>0</v>
      </c>
      <c r="AI1383" s="47" t="e" cm="1">
        <f t="array" aca="1" ref="AI1383" ca="1">_xlfn.XLOOKUP(PAA_4[[#This Row],[RCP-RUBRO]],[2]!COMPROMISOS_2024[[#All],[concatenado]],[2]!COMPROMISOS_2024[[#All],[Total pagado]],"",0)</f>
        <v>#NAME?</v>
      </c>
      <c r="AJ1383" s="56">
        <f>IF(PAA_4[[#This Row],[BOLSA]]=0,0,SUMIFS([2]!COMPROMISOS_2024[[#All],[Total pagado]],[2]!COMPROMISOS_2024[[#All],[Bolsa]],PAA_4[[#This Row],[BOLSA]],[2]!COMPROMISOS_2024[[#All],[rubro]],PAA_4[[#This Row],[RCP-RUBRO]]))</f>
        <v>0</v>
      </c>
      <c r="AK1383" s="47" t="e" cm="1">
        <f t="array" aca="1" ref="AK1383" ca="1">_xlfn.XLOOKUP(PAA_4[[#This Row],[RCP-RUBRO]],[2]!COMPROMISOS_2024[[#All],[concatenado]],[2]!COMPROMISOS_2024[[#All],[Total Comprometido]],"",0)</f>
        <v>#NAME?</v>
      </c>
      <c r="AL1383" s="47">
        <f>IF(PAA_4[[#This Row],[BOLSA]]=0,0,SUMIFS([2]!COMPROMISOS_2024[[#All],[Total Comprometido]],[2]!COMPROMISOS_2024[[#All],[Bolsa]],PAA_4[[#This Row],[BOLSA]],[2]!COMPROMISOS_2024[[#All],[concatenado]],PAA_4[[#This Row],[RCP-RUBRO]]))</f>
        <v>0</v>
      </c>
    </row>
    <row r="1384" spans="1:38" s="19" customFormat="1" ht="31.5" customHeight="1">
      <c r="A1384" s="47">
        <v>489</v>
      </c>
      <c r="B1384" s="47" t="s">
        <v>42</v>
      </c>
      <c r="C1384" s="47" t="str">
        <f>VLOOKUP(PAA_4[[#This Row],[PROYECTO (formulado)2]],[2]PROYECTOS!$G$1:$L$32,6,0)</f>
        <v>SUBGERENCIA DE FOMENTO Y DESARROLLO</v>
      </c>
      <c r="D1384" s="47" t="str">
        <f>+IF(PAA_4[[#This Row],[UNIDAD DE CONTRATACION (formulado)]]="Subgerencia Administrativa y Financiera","FUNCIONAMIENTO","INVERSIÓN")</f>
        <v>INVERSIÓN</v>
      </c>
      <c r="E1384" s="48" t="str">
        <f>VLOOKUP(Q1384,[2]PROYECTOS!$G$1:$K$32,5,0)</f>
        <v>FORTALECIMIENTO_DE_LOS_JUEGOS_DEL_SECTOR_EDUCATIVO_EN_ANTIOQUIA</v>
      </c>
      <c r="F1384" s="48">
        <f>VLOOKUP(E1384,[2]PROYECTOS!$K$1:$M$32,3,0)</f>
        <v>2020003050034</v>
      </c>
      <c r="G1384" s="49" t="s">
        <v>340</v>
      </c>
      <c r="H1384" s="49" t="str">
        <f>VLOOKUP(Q1384,[2]PROYECTOS!$V$1:$W$32,2,0)</f>
        <v>050053</v>
      </c>
      <c r="I1384" s="50">
        <v>0</v>
      </c>
      <c r="J1384" s="51" t="s">
        <v>344</v>
      </c>
      <c r="K1384" s="47" t="str">
        <f t="shared" ca="1" si="492"/>
        <v>CONTRATADO</v>
      </c>
      <c r="L1384" s="47"/>
      <c r="M1384" s="47"/>
      <c r="N1384" s="52" t="s">
        <v>144</v>
      </c>
      <c r="O1384" s="51" t="e">
        <f>VLOOKUP(N1384,[2]!RUBROS[#All],3,0)</f>
        <v>#REF!</v>
      </c>
      <c r="P1384" s="53" t="e">
        <f>VLOOKUP(N1384,[2]!RUBROS[#All],2,0)</f>
        <v>#REF!</v>
      </c>
      <c r="Q1384" s="47" t="str">
        <f t="shared" si="493"/>
        <v>51</v>
      </c>
      <c r="R1384" s="47" t="str">
        <f t="shared" si="485"/>
        <v>0-205128</v>
      </c>
      <c r="S1384" s="54">
        <v>10</v>
      </c>
      <c r="T1384" s="59" t="s">
        <v>46</v>
      </c>
      <c r="U1384" s="326" t="e">
        <f ca="1">_xlfn.XLOOKUP(PAA_4[[#This Row],[ITEM]],[2]Contrato!A:A,[2]Contrato!Q:Q,"",0)</f>
        <v>#NAME?</v>
      </c>
      <c r="V1384" s="47" t="s">
        <v>47</v>
      </c>
      <c r="W1384" s="47" t="s">
        <v>91</v>
      </c>
      <c r="X1384" s="47" t="s">
        <v>91</v>
      </c>
      <c r="Y1384" s="55" t="e">
        <f ca="1">_xlfn.XLOOKUP(PAA_4[[#This Row],[ITEM]],[2]Contrato!A:A,[2]Contrato!B:B,"",0)</f>
        <v>#NAME?</v>
      </c>
      <c r="Z1384" s="47" t="e">
        <f ca="1">_xlfn.XLOOKUP(PAA_4[[#This Row],[ITEM]],[2]Contrato!A:A,[2]Contrato!G:G,"",0)</f>
        <v>#NAME?</v>
      </c>
      <c r="AA1384" s="47" t="e">
        <f ca="1">_xlfn.XLOOKUP(PAA_4[[#This Row],[ITEM]],[2]Contrato!A:A,[2]Contrato!T:T,"",0)</f>
        <v>#NAME?</v>
      </c>
      <c r="AB1384" s="55" t="e">
        <f ca="1">+MAX(PAA_4[[#This Row],[Comprometido Contrato]],PAA_4[[#This Row],[Comprometido Bolsa]])</f>
        <v>#NAME?</v>
      </c>
      <c r="AC1384" s="55" t="str">
        <f t="shared" ca="1" si="494"/>
        <v/>
      </c>
      <c r="AD1384" s="55" t="e">
        <f ca="1">IF(PAA_4[[#This Row],[ESTADO (formulado)]]="NO CONTRATADO",0,MAX(PAA_4[[#This Row],[Pago por Contrato]],PAA_4[[#This Row],[Pago por bolsa]]))</f>
        <v>#NAME?</v>
      </c>
      <c r="AE1384" s="55" t="str">
        <f t="shared" ca="1" si="495"/>
        <v/>
      </c>
      <c r="AF1384" s="47" t="e">
        <f t="shared" ca="1" si="496"/>
        <v>#NAME?</v>
      </c>
      <c r="AG1384" s="47">
        <f t="shared" si="497"/>
        <v>44021011</v>
      </c>
      <c r="AH1384" s="54">
        <f>IF(Q1384="22",IF(ISNUMBER(SEARCH("econ",PAA_4[[#This Row],[Actividad3]])),"Económico",IF(ISNUMBER(SEARCH("alim",PAA_4[[#This Row],[Actividad3]])),"Alimentación",IF(ISNUMBER(SEARCH("educ",PAA_4[[#This Row],[Actividad3]])),"Educativo","Técnico"))),0)</f>
        <v>0</v>
      </c>
      <c r="AI1384" s="47" t="e" cm="1">
        <f t="array" aca="1" ref="AI1384" ca="1">_xlfn.XLOOKUP(PAA_4[[#This Row],[RCP-RUBRO]],[2]!COMPROMISOS_2024[[#All],[concatenado]],[2]!COMPROMISOS_2024[[#All],[Total pagado]],"",0)</f>
        <v>#NAME?</v>
      </c>
      <c r="AJ1384" s="56">
        <f>IF(PAA_4[[#This Row],[BOLSA]]=0,0,SUMIFS([2]!COMPROMISOS_2024[[#All],[Total pagado]],[2]!COMPROMISOS_2024[[#All],[Bolsa]],PAA_4[[#This Row],[BOLSA]],[2]!COMPROMISOS_2024[[#All],[rubro]],PAA_4[[#This Row],[RCP-RUBRO]]))</f>
        <v>0</v>
      </c>
      <c r="AK1384" s="47" t="e" cm="1">
        <f t="array" aca="1" ref="AK1384" ca="1">_xlfn.XLOOKUP(PAA_4[[#This Row],[RCP-RUBRO]],[2]!COMPROMISOS_2024[[#All],[concatenado]],[2]!COMPROMISOS_2024[[#All],[Total Comprometido]],"",0)</f>
        <v>#NAME?</v>
      </c>
      <c r="AL1384" s="47">
        <f>IF(PAA_4[[#This Row],[BOLSA]]=0,0,SUMIFS([2]!COMPROMISOS_2024[[#All],[Total Comprometido]],[2]!COMPROMISOS_2024[[#All],[Bolsa]],PAA_4[[#This Row],[BOLSA]],[2]!COMPROMISOS_2024[[#All],[concatenado]],PAA_4[[#This Row],[RCP-RUBRO]]))</f>
        <v>0</v>
      </c>
    </row>
    <row r="1385" spans="1:38" s="19" customFormat="1" ht="31.5" customHeight="1">
      <c r="A1385" s="47">
        <v>490</v>
      </c>
      <c r="B1385" s="47" t="s">
        <v>42</v>
      </c>
      <c r="C1385" s="47" t="str">
        <f>VLOOKUP(PAA_4[[#This Row],[PROYECTO (formulado)2]],[2]PROYECTOS!$G$1:$L$32,6,0)</f>
        <v>SUBGERENCIA DE FOMENTO Y DESARROLLO</v>
      </c>
      <c r="D1385" s="47" t="str">
        <f>+IF(PAA_4[[#This Row],[UNIDAD DE CONTRATACION (formulado)]]="Subgerencia Administrativa y Financiera","FUNCIONAMIENTO","INVERSIÓN")</f>
        <v>INVERSIÓN</v>
      </c>
      <c r="E1385" s="48" t="str">
        <f>VLOOKUP(Q1385,[2]PROYECTOS!$G$1:$K$32,5,0)</f>
        <v>FORTALECIMIENTO_DE_LOS_JUEGOS_DEL_SECTOR_EDUCATIVO_EN_ANTIOQUIA</v>
      </c>
      <c r="F1385" s="48">
        <f>VLOOKUP(E1385,[2]PROYECTOS!$K$1:$M$32,3,0)</f>
        <v>2020003050034</v>
      </c>
      <c r="G1385" s="49" t="s">
        <v>340</v>
      </c>
      <c r="H1385" s="49" t="str">
        <f>VLOOKUP(Q1385,[2]PROYECTOS!$V$1:$W$32,2,0)</f>
        <v>050053</v>
      </c>
      <c r="I1385" s="50">
        <v>0</v>
      </c>
      <c r="J1385" s="51" t="s">
        <v>344</v>
      </c>
      <c r="K1385" s="47" t="str">
        <f t="shared" ca="1" si="492"/>
        <v>CONTRATADO</v>
      </c>
      <c r="L1385" s="47"/>
      <c r="M1385" s="47"/>
      <c r="N1385" s="52" t="s">
        <v>144</v>
      </c>
      <c r="O1385" s="51" t="e">
        <f>VLOOKUP(N1385,[2]!RUBROS[#All],3,0)</f>
        <v>#REF!</v>
      </c>
      <c r="P1385" s="53" t="e">
        <f>VLOOKUP(N1385,[2]!RUBROS[#All],2,0)</f>
        <v>#REF!</v>
      </c>
      <c r="Q1385" s="47" t="str">
        <f t="shared" si="493"/>
        <v>51</v>
      </c>
      <c r="R1385" s="47" t="str">
        <f t="shared" si="485"/>
        <v>0-205128</v>
      </c>
      <c r="S1385" s="54">
        <v>10</v>
      </c>
      <c r="T1385" s="59" t="s">
        <v>46</v>
      </c>
      <c r="U1385" s="326" t="e">
        <f ca="1">_xlfn.XLOOKUP(PAA_4[[#This Row],[ITEM]],[2]Contrato!A:A,[2]Contrato!Q:Q,"",0)</f>
        <v>#NAME?</v>
      </c>
      <c r="V1385" s="47" t="s">
        <v>47</v>
      </c>
      <c r="W1385" s="47" t="s">
        <v>91</v>
      </c>
      <c r="X1385" s="47" t="s">
        <v>91</v>
      </c>
      <c r="Y1385" s="55" t="e">
        <f ca="1">_xlfn.XLOOKUP(PAA_4[[#This Row],[ITEM]],[2]Contrato!A:A,[2]Contrato!B:B,"",0)</f>
        <v>#NAME?</v>
      </c>
      <c r="Z1385" s="47" t="e">
        <f ca="1">_xlfn.XLOOKUP(PAA_4[[#This Row],[ITEM]],[2]Contrato!A:A,[2]Contrato!G:G,"",0)</f>
        <v>#NAME?</v>
      </c>
      <c r="AA1385" s="47" t="e">
        <f ca="1">_xlfn.XLOOKUP(PAA_4[[#This Row],[ITEM]],[2]Contrato!A:A,[2]Contrato!T:T,"",0)</f>
        <v>#NAME?</v>
      </c>
      <c r="AB1385" s="55" t="e">
        <f ca="1">+MAX(PAA_4[[#This Row],[Comprometido Contrato]],PAA_4[[#This Row],[Comprometido Bolsa]])</f>
        <v>#NAME?</v>
      </c>
      <c r="AC1385" s="55" t="str">
        <f t="shared" ca="1" si="494"/>
        <v/>
      </c>
      <c r="AD1385" s="55" t="e">
        <f ca="1">IF(PAA_4[[#This Row],[ESTADO (formulado)]]="NO CONTRATADO",0,MAX(PAA_4[[#This Row],[Pago por Contrato]],PAA_4[[#This Row],[Pago por bolsa]]))</f>
        <v>#NAME?</v>
      </c>
      <c r="AE1385" s="55" t="str">
        <f t="shared" ca="1" si="495"/>
        <v/>
      </c>
      <c r="AF1385" s="47" t="e">
        <f t="shared" ca="1" si="496"/>
        <v>#NAME?</v>
      </c>
      <c r="AG1385" s="47">
        <f t="shared" si="497"/>
        <v>44021011</v>
      </c>
      <c r="AH1385" s="54">
        <f>IF(Q1385="22",IF(ISNUMBER(SEARCH("econ",PAA_4[[#This Row],[Actividad3]])),"Económico",IF(ISNUMBER(SEARCH("alim",PAA_4[[#This Row],[Actividad3]])),"Alimentación",IF(ISNUMBER(SEARCH("educ",PAA_4[[#This Row],[Actividad3]])),"Educativo","Técnico"))),0)</f>
        <v>0</v>
      </c>
      <c r="AI1385" s="47" t="e" cm="1">
        <f t="array" aca="1" ref="AI1385" ca="1">_xlfn.XLOOKUP(PAA_4[[#This Row],[RCP-RUBRO]],[2]!COMPROMISOS_2024[[#All],[concatenado]],[2]!COMPROMISOS_2024[[#All],[Total pagado]],"",0)</f>
        <v>#NAME?</v>
      </c>
      <c r="AJ1385" s="56">
        <f>IF(PAA_4[[#This Row],[BOLSA]]=0,0,SUMIFS([2]!COMPROMISOS_2024[[#All],[Total pagado]],[2]!COMPROMISOS_2024[[#All],[Bolsa]],PAA_4[[#This Row],[BOLSA]],[2]!COMPROMISOS_2024[[#All],[rubro]],PAA_4[[#This Row],[RCP-RUBRO]]))</f>
        <v>0</v>
      </c>
      <c r="AK1385" s="47" t="e" cm="1">
        <f t="array" aca="1" ref="AK1385" ca="1">_xlfn.XLOOKUP(PAA_4[[#This Row],[RCP-RUBRO]],[2]!COMPROMISOS_2024[[#All],[concatenado]],[2]!COMPROMISOS_2024[[#All],[Total Comprometido]],"",0)</f>
        <v>#NAME?</v>
      </c>
      <c r="AL1385" s="47">
        <f>IF(PAA_4[[#This Row],[BOLSA]]=0,0,SUMIFS([2]!COMPROMISOS_2024[[#All],[Total Comprometido]],[2]!COMPROMISOS_2024[[#All],[Bolsa]],PAA_4[[#This Row],[BOLSA]],[2]!COMPROMISOS_2024[[#All],[concatenado]],PAA_4[[#This Row],[RCP-RUBRO]]))</f>
        <v>0</v>
      </c>
    </row>
    <row r="1386" spans="1:38" s="19" customFormat="1" ht="31.5" customHeight="1">
      <c r="A1386" s="47">
        <v>491</v>
      </c>
      <c r="B1386" s="47" t="s">
        <v>42</v>
      </c>
      <c r="C1386" s="47" t="str">
        <f>VLOOKUP(PAA_4[[#This Row],[PROYECTO (formulado)2]],[2]PROYECTOS!$G$1:$L$32,6,0)</f>
        <v>SUBGERENCIA DE FOMENTO Y DESARROLLO</v>
      </c>
      <c r="D1386" s="47" t="str">
        <f>+IF(PAA_4[[#This Row],[UNIDAD DE CONTRATACION (formulado)]]="Subgerencia Administrativa y Financiera","FUNCIONAMIENTO","INVERSIÓN")</f>
        <v>INVERSIÓN</v>
      </c>
      <c r="E1386" s="48" t="str">
        <f>VLOOKUP(Q1386,[2]PROYECTOS!$G$1:$K$32,5,0)</f>
        <v>FORTALECIMIENTO_DE_LOS_JUEGOS_DEL_SECTOR_EDUCATIVO_EN_ANTIOQUIA</v>
      </c>
      <c r="F1386" s="48">
        <f>VLOOKUP(E1386,[2]PROYECTOS!$K$1:$M$32,3,0)</f>
        <v>2020003050034</v>
      </c>
      <c r="G1386" s="49" t="s">
        <v>340</v>
      </c>
      <c r="H1386" s="49" t="str">
        <f>VLOOKUP(Q1386,[2]PROYECTOS!$V$1:$W$32,2,0)</f>
        <v>050053</v>
      </c>
      <c r="I1386" s="50">
        <v>0</v>
      </c>
      <c r="J1386" s="51" t="s">
        <v>344</v>
      </c>
      <c r="K1386" s="47" t="str">
        <f t="shared" ca="1" si="492"/>
        <v>CONTRATADO</v>
      </c>
      <c r="L1386" s="47"/>
      <c r="M1386" s="47"/>
      <c r="N1386" s="52" t="s">
        <v>144</v>
      </c>
      <c r="O1386" s="51" t="e">
        <f>VLOOKUP(N1386,[2]!RUBROS[#All],3,0)</f>
        <v>#REF!</v>
      </c>
      <c r="P1386" s="53" t="e">
        <f>VLOOKUP(N1386,[2]!RUBROS[#All],2,0)</f>
        <v>#REF!</v>
      </c>
      <c r="Q1386" s="47" t="str">
        <f t="shared" si="493"/>
        <v>51</v>
      </c>
      <c r="R1386" s="47" t="str">
        <f t="shared" si="485"/>
        <v>0-205128</v>
      </c>
      <c r="S1386" s="54">
        <v>10</v>
      </c>
      <c r="T1386" s="59" t="s">
        <v>46</v>
      </c>
      <c r="U1386" s="326" t="e">
        <f ca="1">_xlfn.XLOOKUP(PAA_4[[#This Row],[ITEM]],[2]Contrato!A:A,[2]Contrato!Q:Q,"",0)</f>
        <v>#NAME?</v>
      </c>
      <c r="V1386" s="47" t="s">
        <v>47</v>
      </c>
      <c r="W1386" s="47" t="s">
        <v>91</v>
      </c>
      <c r="X1386" s="47" t="s">
        <v>91</v>
      </c>
      <c r="Y1386" s="55" t="e">
        <f ca="1">_xlfn.XLOOKUP(PAA_4[[#This Row],[ITEM]],[2]Contrato!A:A,[2]Contrato!B:B,"",0)</f>
        <v>#NAME?</v>
      </c>
      <c r="Z1386" s="47" t="e">
        <f ca="1">_xlfn.XLOOKUP(PAA_4[[#This Row],[ITEM]],[2]Contrato!A:A,[2]Contrato!G:G,"",0)</f>
        <v>#NAME?</v>
      </c>
      <c r="AA1386" s="47" t="e">
        <f ca="1">_xlfn.XLOOKUP(PAA_4[[#This Row],[ITEM]],[2]Contrato!A:A,[2]Contrato!T:T,"",0)</f>
        <v>#NAME?</v>
      </c>
      <c r="AB1386" s="55" t="e">
        <f ca="1">+MAX(PAA_4[[#This Row],[Comprometido Contrato]],PAA_4[[#This Row],[Comprometido Bolsa]])</f>
        <v>#NAME?</v>
      </c>
      <c r="AC1386" s="55" t="str">
        <f t="shared" ca="1" si="494"/>
        <v/>
      </c>
      <c r="AD1386" s="55" t="e">
        <f ca="1">IF(PAA_4[[#This Row],[ESTADO (formulado)]]="NO CONTRATADO",0,MAX(PAA_4[[#This Row],[Pago por Contrato]],PAA_4[[#This Row],[Pago por bolsa]]))</f>
        <v>#NAME?</v>
      </c>
      <c r="AE1386" s="55" t="str">
        <f t="shared" ca="1" si="495"/>
        <v/>
      </c>
      <c r="AF1386" s="47" t="e">
        <f t="shared" ca="1" si="496"/>
        <v>#NAME?</v>
      </c>
      <c r="AG1386" s="47">
        <f t="shared" si="497"/>
        <v>44021011</v>
      </c>
      <c r="AH1386" s="54">
        <f>IF(Q1386="22",IF(ISNUMBER(SEARCH("econ",PAA_4[[#This Row],[Actividad3]])),"Económico",IF(ISNUMBER(SEARCH("alim",PAA_4[[#This Row],[Actividad3]])),"Alimentación",IF(ISNUMBER(SEARCH("educ",PAA_4[[#This Row],[Actividad3]])),"Educativo","Técnico"))),0)</f>
        <v>0</v>
      </c>
      <c r="AI1386" s="47" t="e" cm="1">
        <f t="array" aca="1" ref="AI1386" ca="1">_xlfn.XLOOKUP(PAA_4[[#This Row],[RCP-RUBRO]],[2]!COMPROMISOS_2024[[#All],[concatenado]],[2]!COMPROMISOS_2024[[#All],[Total pagado]],"",0)</f>
        <v>#NAME?</v>
      </c>
      <c r="AJ1386" s="56">
        <f>IF(PAA_4[[#This Row],[BOLSA]]=0,0,SUMIFS([2]!COMPROMISOS_2024[[#All],[Total pagado]],[2]!COMPROMISOS_2024[[#All],[Bolsa]],PAA_4[[#This Row],[BOLSA]],[2]!COMPROMISOS_2024[[#All],[rubro]],PAA_4[[#This Row],[RCP-RUBRO]]))</f>
        <v>0</v>
      </c>
      <c r="AK1386" s="47" t="e" cm="1">
        <f t="array" aca="1" ref="AK1386" ca="1">_xlfn.XLOOKUP(PAA_4[[#This Row],[RCP-RUBRO]],[2]!COMPROMISOS_2024[[#All],[concatenado]],[2]!COMPROMISOS_2024[[#All],[Total Comprometido]],"",0)</f>
        <v>#NAME?</v>
      </c>
      <c r="AL1386" s="47">
        <f>IF(PAA_4[[#This Row],[BOLSA]]=0,0,SUMIFS([2]!COMPROMISOS_2024[[#All],[Total Comprometido]],[2]!COMPROMISOS_2024[[#All],[Bolsa]],PAA_4[[#This Row],[BOLSA]],[2]!COMPROMISOS_2024[[#All],[concatenado]],PAA_4[[#This Row],[RCP-RUBRO]]))</f>
        <v>0</v>
      </c>
    </row>
    <row r="1387" spans="1:38" s="19" customFormat="1" ht="31.5" customHeight="1">
      <c r="A1387" s="47">
        <v>492</v>
      </c>
      <c r="B1387" s="47">
        <v>80111600</v>
      </c>
      <c r="C1387" s="47" t="str">
        <f>VLOOKUP(PAA_4[[#This Row],[PROYECTO (formulado)2]],[2]PROYECTOS!$G$1:$L$32,6,0)</f>
        <v>SUBGERENCIA DE FOMENTO Y DESARROLLO</v>
      </c>
      <c r="D1387" s="47" t="str">
        <f>+IF(PAA_4[[#This Row],[UNIDAD DE CONTRATACION (formulado)]]="Subgerencia Administrativa y Financiera","FUNCIONAMIENTO","INVERSIÓN")</f>
        <v>INVERSIÓN</v>
      </c>
      <c r="E1387" s="48" t="str">
        <f>VLOOKUP(Q1387,[2]PROYECTOS!$G$1:$K$32,5,0)</f>
        <v>FORTALECIMIENTO_DE_LOS_JUEGOS_DEL_SECTOR_EDUCATIVO_EN_ANTIOQUIA</v>
      </c>
      <c r="F1387" s="48">
        <f>VLOOKUP(E1387,[2]PROYECTOS!$K$1:$M$32,3,0)</f>
        <v>2020003050034</v>
      </c>
      <c r="G1387" s="49" t="s">
        <v>340</v>
      </c>
      <c r="H1387" s="49" t="str">
        <f>VLOOKUP(Q1387,[2]PROYECTOS!$V$1:$W$32,2,0)</f>
        <v>050053</v>
      </c>
      <c r="I1387" s="50">
        <v>0</v>
      </c>
      <c r="J1387" s="51" t="s">
        <v>42</v>
      </c>
      <c r="K1387" s="47" t="str">
        <f t="shared" ca="1" si="492"/>
        <v>CONTRATADO</v>
      </c>
      <c r="L1387" s="47" t="s">
        <v>94</v>
      </c>
      <c r="M1387" s="47" t="s">
        <v>1297</v>
      </c>
      <c r="N1387" s="52" t="s">
        <v>144</v>
      </c>
      <c r="O1387" s="51" t="e">
        <f>VLOOKUP(N1387,[2]!RUBROS[#All],3,0)</f>
        <v>#REF!</v>
      </c>
      <c r="P1387" s="53" t="e">
        <f>VLOOKUP(N1387,[2]!RUBROS[#All],2,0)</f>
        <v>#REF!</v>
      </c>
      <c r="Q1387" s="47" t="str">
        <f t="shared" si="493"/>
        <v>51</v>
      </c>
      <c r="R1387" s="47" t="str">
        <f t="shared" si="485"/>
        <v>0-205128</v>
      </c>
      <c r="S1387" s="54">
        <v>10</v>
      </c>
      <c r="T1387" s="59" t="s">
        <v>46</v>
      </c>
      <c r="U1387" s="326" t="e">
        <f ca="1">_xlfn.XLOOKUP(PAA_4[[#This Row],[ITEM]],[2]Contrato!A:A,[2]Contrato!Q:Q,"",0)</f>
        <v>#NAME?</v>
      </c>
      <c r="V1387" s="47" t="s">
        <v>47</v>
      </c>
      <c r="W1387" s="47" t="s">
        <v>96</v>
      </c>
      <c r="X1387" s="47" t="s">
        <v>96</v>
      </c>
      <c r="Y1387" s="55" t="e">
        <f ca="1">_xlfn.XLOOKUP(PAA_4[[#This Row],[ITEM]],[2]Contrato!A:A,[2]Contrato!B:B,"",0)</f>
        <v>#NAME?</v>
      </c>
      <c r="Z1387" s="47" t="e">
        <f ca="1">_xlfn.XLOOKUP(PAA_4[[#This Row],[ITEM]],[2]Contrato!A:A,[2]Contrato!G:G,"",0)</f>
        <v>#NAME?</v>
      </c>
      <c r="AA1387" s="47" t="e">
        <f ca="1">_xlfn.XLOOKUP(PAA_4[[#This Row],[ITEM]],[2]Contrato!A:A,[2]Contrato!T:T,"",0)</f>
        <v>#NAME?</v>
      </c>
      <c r="AB1387" s="55" t="e">
        <f ca="1">+MAX(PAA_4[[#This Row],[Comprometido Contrato]],PAA_4[[#This Row],[Comprometido Bolsa]])</f>
        <v>#NAME?</v>
      </c>
      <c r="AC1387" s="55" t="str">
        <f t="shared" ca="1" si="494"/>
        <v/>
      </c>
      <c r="AD1387" s="55" t="e">
        <f ca="1">IF(PAA_4[[#This Row],[ESTADO (formulado)]]="NO CONTRATADO",0,MAX(PAA_4[[#This Row],[Pago por Contrato]],PAA_4[[#This Row],[Pago por bolsa]]))</f>
        <v>#NAME?</v>
      </c>
      <c r="AE1387" s="55" t="str">
        <f t="shared" ca="1" si="495"/>
        <v/>
      </c>
      <c r="AF1387" s="47" t="e">
        <f t="shared" ca="1" si="496"/>
        <v>#NAME?</v>
      </c>
      <c r="AG1387" s="47">
        <f t="shared" si="497"/>
        <v>44021011</v>
      </c>
      <c r="AH1387" s="54">
        <f>IF(Q1387="22",IF(ISNUMBER(SEARCH("econ",PAA_4[[#This Row],[Actividad3]])),"Económico",IF(ISNUMBER(SEARCH("alim",PAA_4[[#This Row],[Actividad3]])),"Alimentación",IF(ISNUMBER(SEARCH("educ",PAA_4[[#This Row],[Actividad3]])),"Educativo","Técnico"))),0)</f>
        <v>0</v>
      </c>
      <c r="AI1387" s="47" t="e" cm="1">
        <f t="array" aca="1" ref="AI1387" ca="1">_xlfn.XLOOKUP(PAA_4[[#This Row],[RCP-RUBRO]],[2]!COMPROMISOS_2024[[#All],[concatenado]],[2]!COMPROMISOS_2024[[#All],[Total pagado]],"",0)</f>
        <v>#NAME?</v>
      </c>
      <c r="AJ1387" s="56">
        <f>IF(PAA_4[[#This Row],[BOLSA]]=0,0,SUMIFS([2]!COMPROMISOS_2024[[#All],[Total pagado]],[2]!COMPROMISOS_2024[[#All],[Bolsa]],PAA_4[[#This Row],[BOLSA]],[2]!COMPROMISOS_2024[[#All],[rubro]],PAA_4[[#This Row],[RCP-RUBRO]]))</f>
        <v>0</v>
      </c>
      <c r="AK1387" s="47" t="e" cm="1">
        <f t="array" aca="1" ref="AK1387" ca="1">_xlfn.XLOOKUP(PAA_4[[#This Row],[RCP-RUBRO]],[2]!COMPROMISOS_2024[[#All],[concatenado]],[2]!COMPROMISOS_2024[[#All],[Total Comprometido]],"",0)</f>
        <v>#NAME?</v>
      </c>
      <c r="AL1387" s="47">
        <f>IF(PAA_4[[#This Row],[BOLSA]]=0,0,SUMIFS([2]!COMPROMISOS_2024[[#All],[Total Comprometido]],[2]!COMPROMISOS_2024[[#All],[Bolsa]],PAA_4[[#This Row],[BOLSA]],[2]!COMPROMISOS_2024[[#All],[concatenado]],PAA_4[[#This Row],[RCP-RUBRO]]))</f>
        <v>0</v>
      </c>
    </row>
    <row r="1388" spans="1:38" s="19" customFormat="1" ht="31.5" customHeight="1">
      <c r="A1388" s="47">
        <v>493</v>
      </c>
      <c r="B1388" s="47" t="s">
        <v>42</v>
      </c>
      <c r="C1388" s="47" t="str">
        <f>VLOOKUP(PAA_4[[#This Row],[PROYECTO (formulado)2]],[2]PROYECTOS!$G$1:$L$32,6,0)</f>
        <v>SUBGERENCIA DE FOMENTO Y DESARROLLO</v>
      </c>
      <c r="D1388" s="47" t="str">
        <f>+IF(PAA_4[[#This Row],[UNIDAD DE CONTRATACION (formulado)]]="Subgerencia Administrativa y Financiera","FUNCIONAMIENTO","INVERSIÓN")</f>
        <v>INVERSIÓN</v>
      </c>
      <c r="E1388" s="48" t="str">
        <f>VLOOKUP(Q1388,[2]PROYECTOS!$G$1:$K$32,5,0)</f>
        <v>FORTALECIMIENTO_DE_LOS_JUEGOS_DEL_SECTOR_EDUCATIVO_EN_ANTIOQUIA</v>
      </c>
      <c r="F1388" s="48">
        <f>VLOOKUP(E1388,[2]PROYECTOS!$K$1:$M$32,3,0)</f>
        <v>2020003050034</v>
      </c>
      <c r="G1388" s="49" t="s">
        <v>340</v>
      </c>
      <c r="H1388" s="49" t="str">
        <f>VLOOKUP(Q1388,[2]PROYECTOS!$V$1:$W$32,2,0)</f>
        <v>050053</v>
      </c>
      <c r="I1388" s="50">
        <v>0</v>
      </c>
      <c r="J1388" s="51" t="s">
        <v>42</v>
      </c>
      <c r="K1388" s="47" t="str">
        <f t="shared" ca="1" si="492"/>
        <v>CONTRATADO</v>
      </c>
      <c r="L1388" s="47" t="s">
        <v>94</v>
      </c>
      <c r="M1388" s="47" t="s">
        <v>1297</v>
      </c>
      <c r="N1388" s="52" t="s">
        <v>144</v>
      </c>
      <c r="O1388" s="51" t="e">
        <f>VLOOKUP(N1388,[2]!RUBROS[#All],3,0)</f>
        <v>#REF!</v>
      </c>
      <c r="P1388" s="53" t="e">
        <f>VLOOKUP(N1388,[2]!RUBROS[#All],2,0)</f>
        <v>#REF!</v>
      </c>
      <c r="Q1388" s="47" t="str">
        <f t="shared" si="493"/>
        <v>51</v>
      </c>
      <c r="R1388" s="47" t="str">
        <f t="shared" si="485"/>
        <v>0-205128</v>
      </c>
      <c r="S1388" s="54">
        <v>10</v>
      </c>
      <c r="T1388" s="59" t="s">
        <v>46</v>
      </c>
      <c r="U1388" s="326" t="e">
        <f ca="1">_xlfn.XLOOKUP(PAA_4[[#This Row],[ITEM]],[2]Contrato!A:A,[2]Contrato!Q:Q,"",0)</f>
        <v>#NAME?</v>
      </c>
      <c r="V1388" s="47" t="s">
        <v>47</v>
      </c>
      <c r="W1388" s="47" t="s">
        <v>96</v>
      </c>
      <c r="X1388" s="47" t="s">
        <v>96</v>
      </c>
      <c r="Y1388" s="55" t="e">
        <f ca="1">_xlfn.XLOOKUP(PAA_4[[#This Row],[ITEM]],[2]Contrato!A:A,[2]Contrato!B:B,"",0)</f>
        <v>#NAME?</v>
      </c>
      <c r="Z1388" s="47" t="e">
        <f ca="1">_xlfn.XLOOKUP(PAA_4[[#This Row],[ITEM]],[2]Contrato!A:A,[2]Contrato!G:G,"",0)</f>
        <v>#NAME?</v>
      </c>
      <c r="AA1388" s="47" t="e">
        <f ca="1">_xlfn.XLOOKUP(PAA_4[[#This Row],[ITEM]],[2]Contrato!A:A,[2]Contrato!T:T,"",0)</f>
        <v>#NAME?</v>
      </c>
      <c r="AB1388" s="55" t="e">
        <f ca="1">+MAX(PAA_4[[#This Row],[Comprometido Contrato]],PAA_4[[#This Row],[Comprometido Bolsa]])</f>
        <v>#NAME?</v>
      </c>
      <c r="AC1388" s="55" t="str">
        <f t="shared" ca="1" si="494"/>
        <v/>
      </c>
      <c r="AD1388" s="55" t="e">
        <f ca="1">IF(PAA_4[[#This Row],[ESTADO (formulado)]]="NO CONTRATADO",0,MAX(PAA_4[[#This Row],[Pago por Contrato]],PAA_4[[#This Row],[Pago por bolsa]]))</f>
        <v>#NAME?</v>
      </c>
      <c r="AE1388" s="55" t="str">
        <f t="shared" ca="1" si="495"/>
        <v/>
      </c>
      <c r="AF1388" s="47" t="e">
        <f t="shared" ca="1" si="496"/>
        <v>#NAME?</v>
      </c>
      <c r="AG1388" s="47">
        <f t="shared" si="497"/>
        <v>44021011</v>
      </c>
      <c r="AH1388" s="54">
        <f>IF(Q1388="22",IF(ISNUMBER(SEARCH("econ",PAA_4[[#This Row],[Actividad3]])),"Económico",IF(ISNUMBER(SEARCH("alim",PAA_4[[#This Row],[Actividad3]])),"Alimentación",IF(ISNUMBER(SEARCH("educ",PAA_4[[#This Row],[Actividad3]])),"Educativo","Técnico"))),0)</f>
        <v>0</v>
      </c>
      <c r="AI1388" s="47" t="e" cm="1">
        <f t="array" aca="1" ref="AI1388" ca="1">_xlfn.XLOOKUP(PAA_4[[#This Row],[RCP-RUBRO]],[2]!COMPROMISOS_2024[[#All],[concatenado]],[2]!COMPROMISOS_2024[[#All],[Total pagado]],"",0)</f>
        <v>#NAME?</v>
      </c>
      <c r="AJ1388" s="56">
        <f>IF(PAA_4[[#This Row],[BOLSA]]=0,0,SUMIFS([2]!COMPROMISOS_2024[[#All],[Total pagado]],[2]!COMPROMISOS_2024[[#All],[Bolsa]],PAA_4[[#This Row],[BOLSA]],[2]!COMPROMISOS_2024[[#All],[rubro]],PAA_4[[#This Row],[RCP-RUBRO]]))</f>
        <v>0</v>
      </c>
      <c r="AK1388" s="47" t="e" cm="1">
        <f t="array" aca="1" ref="AK1388" ca="1">_xlfn.XLOOKUP(PAA_4[[#This Row],[RCP-RUBRO]],[2]!COMPROMISOS_2024[[#All],[concatenado]],[2]!COMPROMISOS_2024[[#All],[Total Comprometido]],"",0)</f>
        <v>#NAME?</v>
      </c>
      <c r="AL1388" s="47">
        <f>IF(PAA_4[[#This Row],[BOLSA]]=0,0,SUMIFS([2]!COMPROMISOS_2024[[#All],[Total Comprometido]],[2]!COMPROMISOS_2024[[#All],[Bolsa]],PAA_4[[#This Row],[BOLSA]],[2]!COMPROMISOS_2024[[#All],[concatenado]],PAA_4[[#This Row],[RCP-RUBRO]]))</f>
        <v>0</v>
      </c>
    </row>
    <row r="1389" spans="1:38" s="19" customFormat="1" ht="31.5" customHeight="1">
      <c r="A1389" s="47">
        <v>494</v>
      </c>
      <c r="B1389" s="47">
        <v>80111600</v>
      </c>
      <c r="C1389" s="47" t="str">
        <f>VLOOKUP(PAA_4[[#This Row],[PROYECTO (formulado)2]],[2]PROYECTOS!$G$1:$L$32,6,0)</f>
        <v>SUBGERENCIA DE FOMENTO Y DESARROLLO</v>
      </c>
      <c r="D1389" s="47" t="str">
        <f>+IF(PAA_4[[#This Row],[UNIDAD DE CONTRATACION (formulado)]]="Subgerencia Administrativa y Financiera","FUNCIONAMIENTO","INVERSIÓN")</f>
        <v>INVERSIÓN</v>
      </c>
      <c r="E1389" s="48" t="str">
        <f>VLOOKUP(Q1389,[2]PROYECTOS!$G$1:$K$32,5,0)</f>
        <v>FORTALECIMIENTO_DE_LOS_JUEGOS_DEL_SECTOR_EDUCATIVO_EN_ANTIOQUIA</v>
      </c>
      <c r="F1389" s="48">
        <f>VLOOKUP(E1389,[2]PROYECTOS!$K$1:$M$32,3,0)</f>
        <v>2020003050034</v>
      </c>
      <c r="G1389" s="49" t="s">
        <v>340</v>
      </c>
      <c r="H1389" s="49" t="str">
        <f>VLOOKUP(Q1389,[2]PROYECTOS!$V$1:$W$32,2,0)</f>
        <v>050053</v>
      </c>
      <c r="I1389" s="50">
        <v>0</v>
      </c>
      <c r="J1389" s="51" t="s">
        <v>42</v>
      </c>
      <c r="K1389" s="47" t="str">
        <f t="shared" ca="1" si="492"/>
        <v>CONTRATADO</v>
      </c>
      <c r="L1389" s="47" t="s">
        <v>94</v>
      </c>
      <c r="M1389" s="47" t="s">
        <v>1297</v>
      </c>
      <c r="N1389" s="52" t="s">
        <v>144</v>
      </c>
      <c r="O1389" s="51" t="e">
        <f>VLOOKUP(N1389,[2]!RUBROS[#All],3,0)</f>
        <v>#REF!</v>
      </c>
      <c r="P1389" s="53" t="e">
        <f>VLOOKUP(N1389,[2]!RUBROS[#All],2,0)</f>
        <v>#REF!</v>
      </c>
      <c r="Q1389" s="47" t="str">
        <f t="shared" si="493"/>
        <v>51</v>
      </c>
      <c r="R1389" s="47" t="str">
        <f t="shared" si="485"/>
        <v>0-205128</v>
      </c>
      <c r="S1389" s="54">
        <v>7.5</v>
      </c>
      <c r="T1389" s="59" t="s">
        <v>46</v>
      </c>
      <c r="U1389" s="326" t="e">
        <f ca="1">_xlfn.XLOOKUP(PAA_4[[#This Row],[ITEM]],[2]Contrato!A:A,[2]Contrato!Q:Q,"",0)</f>
        <v>#NAME?</v>
      </c>
      <c r="V1389" s="47" t="s">
        <v>47</v>
      </c>
      <c r="W1389" s="47" t="s">
        <v>119</v>
      </c>
      <c r="X1389" s="47" t="s">
        <v>119</v>
      </c>
      <c r="Y1389" s="55" t="e">
        <f ca="1">_xlfn.XLOOKUP(PAA_4[[#This Row],[ITEM]],[2]Contrato!A:A,[2]Contrato!B:B,"",0)</f>
        <v>#NAME?</v>
      </c>
      <c r="Z1389" s="47" t="e">
        <f ca="1">_xlfn.XLOOKUP(PAA_4[[#This Row],[ITEM]],[2]Contrato!A:A,[2]Contrato!G:G,"",0)</f>
        <v>#NAME?</v>
      </c>
      <c r="AA1389" s="47" t="e">
        <f ca="1">_xlfn.XLOOKUP(PAA_4[[#This Row],[ITEM]],[2]Contrato!A:A,[2]Contrato!T:T,"",0)</f>
        <v>#NAME?</v>
      </c>
      <c r="AB1389" s="55" t="e">
        <f ca="1">+MAX(PAA_4[[#This Row],[Comprometido Contrato]],PAA_4[[#This Row],[Comprometido Bolsa]])</f>
        <v>#NAME?</v>
      </c>
      <c r="AC1389" s="55" t="str">
        <f t="shared" ca="1" si="494"/>
        <v/>
      </c>
      <c r="AD1389" s="55" t="e">
        <f ca="1">IF(PAA_4[[#This Row],[ESTADO (formulado)]]="NO CONTRATADO",0,MAX(PAA_4[[#This Row],[Pago por Contrato]],PAA_4[[#This Row],[Pago por bolsa]]))</f>
        <v>#NAME?</v>
      </c>
      <c r="AE1389" s="55" t="str">
        <f t="shared" ca="1" si="495"/>
        <v/>
      </c>
      <c r="AF1389" s="47" t="e">
        <f t="shared" ca="1" si="496"/>
        <v>#NAME?</v>
      </c>
      <c r="AG1389" s="47">
        <f t="shared" si="497"/>
        <v>44021011</v>
      </c>
      <c r="AH1389" s="54">
        <f>IF(Q1389="22",IF(ISNUMBER(SEARCH("econ",PAA_4[[#This Row],[Actividad3]])),"Económico",IF(ISNUMBER(SEARCH("alim",PAA_4[[#This Row],[Actividad3]])),"Alimentación",IF(ISNUMBER(SEARCH("educ",PAA_4[[#This Row],[Actividad3]])),"Educativo","Técnico"))),0)</f>
        <v>0</v>
      </c>
      <c r="AI1389" s="47" t="e" cm="1">
        <f t="array" aca="1" ref="AI1389" ca="1">_xlfn.XLOOKUP(PAA_4[[#This Row],[RCP-RUBRO]],[2]!COMPROMISOS_2024[[#All],[concatenado]],[2]!COMPROMISOS_2024[[#All],[Total pagado]],"",0)</f>
        <v>#NAME?</v>
      </c>
      <c r="AJ1389" s="56">
        <f>IF(PAA_4[[#This Row],[BOLSA]]=0,0,SUMIFS([2]!COMPROMISOS_2024[[#All],[Total pagado]],[2]!COMPROMISOS_2024[[#All],[Bolsa]],PAA_4[[#This Row],[BOLSA]],[2]!COMPROMISOS_2024[[#All],[rubro]],PAA_4[[#This Row],[RCP-RUBRO]]))</f>
        <v>0</v>
      </c>
      <c r="AK1389" s="47" t="e" cm="1">
        <f t="array" aca="1" ref="AK1389" ca="1">_xlfn.XLOOKUP(PAA_4[[#This Row],[RCP-RUBRO]],[2]!COMPROMISOS_2024[[#All],[concatenado]],[2]!COMPROMISOS_2024[[#All],[Total Comprometido]],"",0)</f>
        <v>#NAME?</v>
      </c>
      <c r="AL1389" s="47">
        <f>IF(PAA_4[[#This Row],[BOLSA]]=0,0,SUMIFS([2]!COMPROMISOS_2024[[#All],[Total Comprometido]],[2]!COMPROMISOS_2024[[#All],[Bolsa]],PAA_4[[#This Row],[BOLSA]],[2]!COMPROMISOS_2024[[#All],[concatenado]],PAA_4[[#This Row],[RCP-RUBRO]]))</f>
        <v>0</v>
      </c>
    </row>
    <row r="1390" spans="1:38" s="19" customFormat="1" ht="31.5" customHeight="1">
      <c r="A1390" s="47" t="s">
        <v>82</v>
      </c>
      <c r="B1390" s="47" t="s">
        <v>42</v>
      </c>
      <c r="C1390" s="47" t="str">
        <f>VLOOKUP(PAA_4[[#This Row],[PROYECTO (formulado)2]],[2]PROYECTOS!$G$1:$L$32,6,0)</f>
        <v>SUBGERENCIA DE FOMENTO Y DESARROLLO</v>
      </c>
      <c r="D1390" s="47" t="str">
        <f>+IF(PAA_4[[#This Row],[UNIDAD DE CONTRATACION (formulado)]]="Subgerencia Administrativa y Financiera","FUNCIONAMIENTO","INVERSIÓN")</f>
        <v>INVERSIÓN</v>
      </c>
      <c r="E1390" s="48" t="str">
        <f>VLOOKUP(Q1390,[2]PROYECTOS!$G$1:$K$32,5,0)</f>
        <v>FORTALECIMIENTO_DE_LOS_JUEGOS_DEL_SECTOR_EDUCATIVO_EN_ANTIOQUIA</v>
      </c>
      <c r="F1390" s="48">
        <f>VLOOKUP(E1390,[2]PROYECTOS!$K$1:$M$32,3,0)</f>
        <v>2020003050034</v>
      </c>
      <c r="G1390" s="49" t="s">
        <v>1878</v>
      </c>
      <c r="H1390" s="49" t="str">
        <f>VLOOKUP(Q1390,[2]PROYECTOS!$V$1:$W$32,2,0)</f>
        <v>050053</v>
      </c>
      <c r="I1390" s="50">
        <v>2335732</v>
      </c>
      <c r="J1390" s="51" t="s">
        <v>1851</v>
      </c>
      <c r="K1390" s="47" t="str">
        <f ca="1">IF(ISNONTEXT(Y1390)=TRUE,"CONTRATADO","NO CONTRATADO")</f>
        <v>CONTRATADO</v>
      </c>
      <c r="L1390" s="47" t="s">
        <v>42</v>
      </c>
      <c r="M1390" s="47" t="s">
        <v>42</v>
      </c>
      <c r="N1390" s="52" t="s">
        <v>145</v>
      </c>
      <c r="O1390" s="51" t="e">
        <f>VLOOKUP(N1390,[2]!RUBROS[#All],3,0)</f>
        <v>#REF!</v>
      </c>
      <c r="P1390" s="53" t="e">
        <f>VLOOKUP(N1390,[2]!RUBROS[#All],2,0)</f>
        <v>#REF!</v>
      </c>
      <c r="Q1390" s="47" t="str">
        <f>+MID(N1390,11,2)</f>
        <v>51</v>
      </c>
      <c r="R1390" s="47" t="str">
        <f>+MID(N1390,14,8)</f>
        <v>0-205400</v>
      </c>
      <c r="S1390" s="54" t="s">
        <v>42</v>
      </c>
      <c r="T1390" s="59" t="s">
        <v>42</v>
      </c>
      <c r="U1390" s="326" t="e">
        <f ca="1">_xlfn.XLOOKUP(PAA_4[[#This Row],[ITEM]],[2]Contrato!A:A,[2]Contrato!Q:Q,"",0)</f>
        <v>#NAME?</v>
      </c>
      <c r="V1390" s="47" t="s">
        <v>95</v>
      </c>
      <c r="W1390" s="47" t="s">
        <v>42</v>
      </c>
      <c r="X1390" s="47" t="s">
        <v>42</v>
      </c>
      <c r="Y1390" s="55" t="e">
        <f ca="1">_xlfn.XLOOKUP(PAA_4[[#This Row],[ITEM]],[2]Contrato!A:A,[2]Contrato!B:B,"",0)</f>
        <v>#NAME?</v>
      </c>
      <c r="Z1390" s="47" t="e">
        <f ca="1">_xlfn.XLOOKUP(PAA_4[[#This Row],[ITEM]],[2]Contrato!A:A,[2]Contrato!G:G,"",0)</f>
        <v>#NAME?</v>
      </c>
      <c r="AA1390" s="47" t="e">
        <f ca="1">_xlfn.XLOOKUP(PAA_4[[#This Row],[ITEM]],[2]Contrato!A:A,[2]Contrato!T:T,"",0)</f>
        <v>#NAME?</v>
      </c>
      <c r="AB1390" s="55" t="e">
        <f ca="1">+MAX(PAA_4[[#This Row],[Comprometido Contrato]],PAA_4[[#This Row],[Comprometido Bolsa]])</f>
        <v>#NAME?</v>
      </c>
      <c r="AC1390" s="55" t="str">
        <f ca="1">IFERROR(I1390-AB1390,"")</f>
        <v/>
      </c>
      <c r="AD1390" s="55" t="e">
        <f ca="1">IF(PAA_4[[#This Row],[ESTADO (formulado)]]="NO CONTRATADO",0,MAX(PAA_4[[#This Row],[Pago por Contrato]],PAA_4[[#This Row],[Pago por bolsa]]))</f>
        <v>#NAME?</v>
      </c>
      <c r="AE1390" s="55" t="str">
        <f ca="1">+IFERROR(AB1390-AD1390,"")</f>
        <v/>
      </c>
      <c r="AF1390" s="47" t="e">
        <f ca="1">+CONCATENATE(AA1390,N1390)</f>
        <v>#NAME?</v>
      </c>
      <c r="AG1390" s="47">
        <f>IFERROR(_xlfn.NUMBERVALUE(MID(G1390,1,8)),"")</f>
        <v>44021011</v>
      </c>
      <c r="AH1390" s="54">
        <f>IF(Q1390="22",IF(ISNUMBER(SEARCH("econ",PAA_4[[#This Row],[Actividad3]])),"Económico",IF(ISNUMBER(SEARCH("alim",PAA_4[[#This Row],[Actividad3]])),"Alimentación",IF(ISNUMBER(SEARCH("educ",PAA_4[[#This Row],[Actividad3]])),"Educativo","Técnico"))),0)</f>
        <v>0</v>
      </c>
      <c r="AI1390" s="47" t="e" cm="1">
        <f t="array" aca="1" ref="AI1390" ca="1">_xlfn.XLOOKUP(PAA_4[[#This Row],[RCP-RUBRO]],[2]!COMPROMISOS_2024[[#All],[concatenado]],[2]!COMPROMISOS_2024[[#All],[Total pagado]],"",0)</f>
        <v>#NAME?</v>
      </c>
      <c r="AJ1390" s="56">
        <f>IF(PAA_4[[#This Row],[BOLSA]]=0,0,SUMIFS([2]!COMPROMISOS_2024[[#All],[Total pagado]],[2]!COMPROMISOS_2024[[#All],[Bolsa]],PAA_4[[#This Row],[BOLSA]],[2]!COMPROMISOS_2024[[#All],[rubro]],PAA_4[[#This Row],[RCP-RUBRO]]))</f>
        <v>0</v>
      </c>
      <c r="AK1390" s="47" t="e" cm="1">
        <f t="array" aca="1" ref="AK1390" ca="1">_xlfn.XLOOKUP(PAA_4[[#This Row],[RCP-RUBRO]],[2]!COMPROMISOS_2024[[#All],[concatenado]],[2]!COMPROMISOS_2024[[#All],[Total Comprometido]],"",0)</f>
        <v>#NAME?</v>
      </c>
      <c r="AL1390" s="47">
        <f>IF(PAA_4[[#This Row],[BOLSA]]=0,0,SUMIFS([2]!COMPROMISOS_2024[[#All],[Total Comprometido]],[2]!COMPROMISOS_2024[[#All],[Bolsa]],PAA_4[[#This Row],[BOLSA]],[2]!COMPROMISOS_2024[[#All],[concatenado]],PAA_4[[#This Row],[RCP-RUBRO]]))</f>
        <v>0</v>
      </c>
    </row>
    <row r="1391" spans="1:38" s="19" customFormat="1" ht="31.5" customHeight="1">
      <c r="A1391" s="47">
        <v>498</v>
      </c>
      <c r="B1391" s="47" t="s">
        <v>42</v>
      </c>
      <c r="C1391" s="47" t="str">
        <f>VLOOKUP(PAA_4[[#This Row],[PROYECTO (formulado)2]],[2]PROYECTOS!$G$1:$L$32,6,0)</f>
        <v>SUBGERENCIA DE FOMENTO Y DESARROLLO</v>
      </c>
      <c r="D1391" s="47" t="str">
        <f>+IF(PAA_4[[#This Row],[UNIDAD DE CONTRATACION (formulado)]]="Subgerencia Administrativa y Financiera","FUNCIONAMIENTO","INVERSIÓN")</f>
        <v>INVERSIÓN</v>
      </c>
      <c r="E1391" s="48" t="str">
        <f>VLOOKUP(Q1391,[2]PROYECTOS!$G$1:$K$32,5,0)</f>
        <v>FORTALECIMIENTO_DE_LOS_JUEGOS_DEL_SECTOR_EDUCATIVO_EN_ANTIOQUIA</v>
      </c>
      <c r="F1391" s="48">
        <f>VLOOKUP(E1391,[2]PROYECTOS!$K$1:$M$32,3,0)</f>
        <v>2020003050034</v>
      </c>
      <c r="G1391" s="49" t="s">
        <v>1878</v>
      </c>
      <c r="H1391" s="49" t="str">
        <f>VLOOKUP(Q1391,[2]PROYECTOS!$V$1:$W$32,2,0)</f>
        <v>050053</v>
      </c>
      <c r="I1391" s="50">
        <f>148646441-2335732</f>
        <v>146310709</v>
      </c>
      <c r="J1391" s="51" t="s">
        <v>417</v>
      </c>
      <c r="K1391" s="47" t="str">
        <f t="shared" ref="K1391:K1392" ca="1" si="498">IF(ISNONTEXT(Y1391)=TRUE,"CONTRATADO","NO CONTRATADO")</f>
        <v>CONTRATADO</v>
      </c>
      <c r="L1391" s="47" t="s">
        <v>94</v>
      </c>
      <c r="M1391" s="47" t="s">
        <v>161</v>
      </c>
      <c r="N1391" s="52" t="s">
        <v>145</v>
      </c>
      <c r="O1391" s="51" t="e">
        <f>VLOOKUP(N1391,[2]!RUBROS[#All],3,0)</f>
        <v>#REF!</v>
      </c>
      <c r="P1391" s="53" t="e">
        <f>VLOOKUP(N1391,[2]!RUBROS[#All],2,0)</f>
        <v>#REF!</v>
      </c>
      <c r="Q1391" s="47" t="str">
        <f t="shared" ref="Q1391:Q1392" si="499">+MID(N1391,11,2)</f>
        <v>51</v>
      </c>
      <c r="R1391" s="47" t="str">
        <f t="shared" ref="R1391:R1455" si="500">+MID(N1391,14,8)</f>
        <v>0-205400</v>
      </c>
      <c r="S1391" s="54">
        <v>2</v>
      </c>
      <c r="T1391" s="59" t="s">
        <v>46</v>
      </c>
      <c r="U1391" s="326" t="e">
        <f ca="1">_xlfn.XLOOKUP(PAA_4[[#This Row],[ITEM]],[2]Contrato!A:A,[2]Contrato!Q:Q,"",0)</f>
        <v>#NAME?</v>
      </c>
      <c r="V1391" s="47" t="s">
        <v>47</v>
      </c>
      <c r="W1391" s="47" t="s">
        <v>48</v>
      </c>
      <c r="X1391" s="47" t="s">
        <v>48</v>
      </c>
      <c r="Y1391" s="55" t="e">
        <f ca="1">_xlfn.XLOOKUP(PAA_4[[#This Row],[ITEM]],[2]Contrato!A:A,[2]Contrato!B:B,"",0)</f>
        <v>#NAME?</v>
      </c>
      <c r="Z1391" s="47" t="e">
        <f ca="1">_xlfn.XLOOKUP(PAA_4[[#This Row],[ITEM]],[2]Contrato!A:A,[2]Contrato!G:G,"",0)</f>
        <v>#NAME?</v>
      </c>
      <c r="AA1391" s="47" t="e">
        <f ca="1">_xlfn.XLOOKUP(PAA_4[[#This Row],[ITEM]],[2]Contrato!A:A,[2]Contrato!T:T,"",0)</f>
        <v>#NAME?</v>
      </c>
      <c r="AB1391" s="55" t="e">
        <f ca="1">+MAX(PAA_4[[#This Row],[Comprometido Contrato]],PAA_4[[#This Row],[Comprometido Bolsa]])</f>
        <v>#NAME?</v>
      </c>
      <c r="AC1391" s="55" t="str">
        <f t="shared" ref="AC1391:AC1392" ca="1" si="501">IFERROR(I1391-AB1391,"")</f>
        <v/>
      </c>
      <c r="AD1391" s="55" t="e">
        <f ca="1">IF(PAA_4[[#This Row],[ESTADO (formulado)]]="NO CONTRATADO",0,MAX(PAA_4[[#This Row],[Pago por Contrato]],PAA_4[[#This Row],[Pago por bolsa]]))</f>
        <v>#NAME?</v>
      </c>
      <c r="AE1391" s="55" t="str">
        <f t="shared" ref="AE1391:AE1392" ca="1" si="502">+IFERROR(AB1391-AD1391,"")</f>
        <v/>
      </c>
      <c r="AF1391" s="47" t="e">
        <f t="shared" ref="AF1391:AF1392" ca="1" si="503">+CONCATENATE(AA1391,N1391)</f>
        <v>#NAME?</v>
      </c>
      <c r="AG1391" s="47">
        <f t="shared" ref="AG1391:AG1392" si="504">IFERROR(_xlfn.NUMBERVALUE(MID(G1391,1,8)),"")</f>
        <v>44021011</v>
      </c>
      <c r="AH1391" s="54">
        <f>IF(Q1391="22",IF(ISNUMBER(SEARCH("econ",PAA_4[[#This Row],[Actividad3]])),"Económico",IF(ISNUMBER(SEARCH("alim",PAA_4[[#This Row],[Actividad3]])),"Alimentación",IF(ISNUMBER(SEARCH("educ",PAA_4[[#This Row],[Actividad3]])),"Educativo","Técnico"))),0)</f>
        <v>0</v>
      </c>
      <c r="AI1391" s="47" t="e" cm="1">
        <f t="array" aca="1" ref="AI1391" ca="1">_xlfn.XLOOKUP(PAA_4[[#This Row],[RCP-RUBRO]],[2]!COMPROMISOS_2024[[#All],[concatenado]],[2]!COMPROMISOS_2024[[#All],[Total pagado]],"",0)</f>
        <v>#NAME?</v>
      </c>
      <c r="AJ1391" s="56">
        <f>IF(PAA_4[[#This Row],[BOLSA]]=0,0,SUMIFS([2]!COMPROMISOS_2024[[#All],[Total pagado]],[2]!COMPROMISOS_2024[[#All],[Bolsa]],PAA_4[[#This Row],[BOLSA]],[2]!COMPROMISOS_2024[[#All],[rubro]],PAA_4[[#This Row],[RCP-RUBRO]]))</f>
        <v>0</v>
      </c>
      <c r="AK1391" s="47" t="e" cm="1">
        <f t="array" aca="1" ref="AK1391" ca="1">_xlfn.XLOOKUP(PAA_4[[#This Row],[RCP-RUBRO]],[2]!COMPROMISOS_2024[[#All],[concatenado]],[2]!COMPROMISOS_2024[[#All],[Total Comprometido]],"",0)</f>
        <v>#NAME?</v>
      </c>
      <c r="AL1391" s="47">
        <f>IF(PAA_4[[#This Row],[BOLSA]]=0,0,SUMIFS([2]!COMPROMISOS_2024[[#All],[Total Comprometido]],[2]!COMPROMISOS_2024[[#All],[Bolsa]],PAA_4[[#This Row],[BOLSA]],[2]!COMPROMISOS_2024[[#All],[concatenado]],PAA_4[[#This Row],[RCP-RUBRO]]))</f>
        <v>0</v>
      </c>
    </row>
    <row r="1392" spans="1:38" s="19" customFormat="1" ht="31.5" customHeight="1">
      <c r="A1392" s="47">
        <v>784</v>
      </c>
      <c r="B1392" s="364" t="s">
        <v>393</v>
      </c>
      <c r="C1392" s="47" t="str">
        <f>VLOOKUP(PAA_4[[#This Row],[PROYECTO (formulado)2]],[2]PROYECTOS!$G$1:$L$32,6,0)</f>
        <v>SUBGERENCIA DE FOMENTO Y DESARROLLO</v>
      </c>
      <c r="D1392" s="47" t="str">
        <f>+IF(PAA_4[[#This Row],[UNIDAD DE CONTRATACION (formulado)]]="Subgerencia Administrativa y Financiera","FUNCIONAMIENTO","INVERSIÓN")</f>
        <v>INVERSIÓN</v>
      </c>
      <c r="E1392" s="48" t="str">
        <f>VLOOKUP(Q1392,[2]PROYECTOS!$G$1:$K$32,5,0)</f>
        <v>FORTALECIMIENTO_DE_LOS_JUEGOS_DEL_SECTOR_EDUCATIVO_EN_ANTIOQUIA</v>
      </c>
      <c r="F1392" s="48">
        <f>VLOOKUP(E1392,[2]PROYECTOS!$K$1:$M$32,3,0)</f>
        <v>2020003050034</v>
      </c>
      <c r="G1392" s="49" t="s">
        <v>412</v>
      </c>
      <c r="H1392" s="49" t="str">
        <f>VLOOKUP(Q1392,[2]PROYECTOS!$V$1:$W$32,2,0)</f>
        <v>050053</v>
      </c>
      <c r="I1392" s="50">
        <v>291706224</v>
      </c>
      <c r="J1392" s="51" t="s">
        <v>1879</v>
      </c>
      <c r="K1392" s="47" t="str">
        <f t="shared" ca="1" si="498"/>
        <v>CONTRATADO</v>
      </c>
      <c r="L1392" s="47" t="s">
        <v>94</v>
      </c>
      <c r="M1392" s="47" t="s">
        <v>255</v>
      </c>
      <c r="N1392" s="52" t="s">
        <v>449</v>
      </c>
      <c r="O1392" s="51" t="e">
        <f>VLOOKUP(N1392,[2]!RUBROS[#All],3,0)</f>
        <v>#REF!</v>
      </c>
      <c r="P1392" s="53" t="e">
        <f>VLOOKUP(N1392,[2]!RUBROS[#All],2,0)</f>
        <v>#REF!</v>
      </c>
      <c r="Q1392" s="47" t="str">
        <f t="shared" si="499"/>
        <v>51</v>
      </c>
      <c r="R1392" s="47" t="str">
        <f t="shared" si="500"/>
        <v>4-271130</v>
      </c>
      <c r="S1392" s="54">
        <v>6.5</v>
      </c>
      <c r="T1392" s="59" t="s">
        <v>46</v>
      </c>
      <c r="U1392" s="326" t="e">
        <f ca="1">_xlfn.XLOOKUP(PAA_4[[#This Row],[ITEM]],[2]Contrato!A:A,[2]Contrato!Q:Q,"",0)</f>
        <v>#NAME?</v>
      </c>
      <c r="V1392" s="47" t="s">
        <v>95</v>
      </c>
      <c r="W1392" s="47" t="s">
        <v>154</v>
      </c>
      <c r="X1392" s="47" t="s">
        <v>154</v>
      </c>
      <c r="Y1392" s="55" t="e">
        <f ca="1">_xlfn.XLOOKUP(PAA_4[[#This Row],[ITEM]],[2]Contrato!A:A,[2]Contrato!B:B,"",0)</f>
        <v>#NAME?</v>
      </c>
      <c r="Z1392" s="47" t="e">
        <f ca="1">_xlfn.XLOOKUP(PAA_4[[#This Row],[ITEM]],[2]Contrato!A:A,[2]Contrato!G:G,"",0)</f>
        <v>#NAME?</v>
      </c>
      <c r="AA1392" s="47" t="e">
        <f ca="1">_xlfn.XLOOKUP(PAA_4[[#This Row],[ITEM]],[2]Contrato!A:A,[2]Contrato!T:T,"",0)</f>
        <v>#NAME?</v>
      </c>
      <c r="AB1392" s="55" t="e">
        <f ca="1">+MAX(PAA_4[[#This Row],[Comprometido Contrato]],PAA_4[[#This Row],[Comprometido Bolsa]])</f>
        <v>#NAME?</v>
      </c>
      <c r="AC1392" s="55" t="str">
        <f t="shared" ca="1" si="501"/>
        <v/>
      </c>
      <c r="AD1392" s="55" t="e">
        <f ca="1">IF(PAA_4[[#This Row],[ESTADO (formulado)]]="NO CONTRATADO",0,MAX(PAA_4[[#This Row],[Pago por Contrato]],PAA_4[[#This Row],[Pago por bolsa]]))</f>
        <v>#NAME?</v>
      </c>
      <c r="AE1392" s="55" t="str">
        <f t="shared" ca="1" si="502"/>
        <v/>
      </c>
      <c r="AF1392" s="47" t="e">
        <f t="shared" ca="1" si="503"/>
        <v>#NAME?</v>
      </c>
      <c r="AG1392" s="47">
        <f t="shared" si="504"/>
        <v>44021011</v>
      </c>
      <c r="AH1392" s="54">
        <f>IF(Q1392="22",IF(ISNUMBER(SEARCH("econ",PAA_4[[#This Row],[Actividad3]])),"Económico",IF(ISNUMBER(SEARCH("alim",PAA_4[[#This Row],[Actividad3]])),"Alimentación",IF(ISNUMBER(SEARCH("educ",PAA_4[[#This Row],[Actividad3]])),"Educativo","Técnico"))),0)</f>
        <v>0</v>
      </c>
      <c r="AI1392" s="47" t="e" cm="1">
        <f t="array" aca="1" ref="AI1392" ca="1">_xlfn.XLOOKUP(PAA_4[[#This Row],[RCP-RUBRO]],[2]!COMPROMISOS_2024[[#All],[concatenado]],[2]!COMPROMISOS_2024[[#All],[Total pagado]],"",0)</f>
        <v>#NAME?</v>
      </c>
      <c r="AJ1392" s="56">
        <f>IF(PAA_4[[#This Row],[BOLSA]]=0,0,SUMIFS([2]!COMPROMISOS_2024[[#All],[Total pagado]],[2]!COMPROMISOS_2024[[#All],[Bolsa]],PAA_4[[#This Row],[BOLSA]],[2]!COMPROMISOS_2024[[#All],[rubro]],PAA_4[[#This Row],[RCP-RUBRO]]))</f>
        <v>0</v>
      </c>
      <c r="AK1392" s="47" t="e" cm="1">
        <f t="array" aca="1" ref="AK1392" ca="1">_xlfn.XLOOKUP(PAA_4[[#This Row],[RCP-RUBRO]],[2]!COMPROMISOS_2024[[#All],[concatenado]],[2]!COMPROMISOS_2024[[#All],[Total Comprometido]],"",0)</f>
        <v>#NAME?</v>
      </c>
      <c r="AL1392" s="47">
        <f>IF(PAA_4[[#This Row],[BOLSA]]=0,0,SUMIFS([2]!COMPROMISOS_2024[[#All],[Total Comprometido]],[2]!COMPROMISOS_2024[[#All],[Bolsa]],PAA_4[[#This Row],[BOLSA]],[2]!COMPROMISOS_2024[[#All],[concatenado]],PAA_4[[#This Row],[RCP-RUBRO]]))</f>
        <v>0</v>
      </c>
    </row>
    <row r="1393" spans="1:38" s="19" customFormat="1" ht="31.5" customHeight="1">
      <c r="A1393" s="47" t="s">
        <v>82</v>
      </c>
      <c r="B1393" s="47" t="s">
        <v>42</v>
      </c>
      <c r="C1393" s="47" t="str">
        <f>VLOOKUP(PAA_4[[#This Row],[PROYECTO (formulado)2]],[2]PROYECTOS!$G$1:$L$32,6,0)</f>
        <v>SUBGERENCIA DE FOMENTO Y DESARROLLO</v>
      </c>
      <c r="D1393" s="47" t="str">
        <f>+IF(PAA_4[[#This Row],[UNIDAD DE CONTRATACION (formulado)]]="Subgerencia Administrativa y Financiera","FUNCIONAMIENTO","INVERSIÓN")</f>
        <v>INVERSIÓN</v>
      </c>
      <c r="E1393" s="48" t="str">
        <f>VLOOKUP(Q1393,[2]PROYECTOS!$G$1:$K$32,5,0)</f>
        <v>FORTALECIMIENTO_DE_LOS_JUEGOS_DEL_SECTOR_EDUCATIVO_EN_ANTIOQUIA</v>
      </c>
      <c r="F1393" s="48">
        <f>VLOOKUP(E1393,[2]PROYECTOS!$K$1:$M$32,3,0)</f>
        <v>2020003050034</v>
      </c>
      <c r="G1393" s="49" t="s">
        <v>412</v>
      </c>
      <c r="H1393" s="49" t="str">
        <f>VLOOKUP(Q1393,[2]PROYECTOS!$V$1:$W$32,2,0)</f>
        <v>050053</v>
      </c>
      <c r="I1393" s="50">
        <v>24743194</v>
      </c>
      <c r="J1393" s="51" t="s">
        <v>1368</v>
      </c>
      <c r="K1393" s="47" t="str">
        <f ca="1">IF(ISNONTEXT(Y1393)=TRUE,"CONTRATADO","NO CONTRATADO")</f>
        <v>CONTRATADO</v>
      </c>
      <c r="L1393" s="47" t="s">
        <v>42</v>
      </c>
      <c r="M1393" s="47" t="s">
        <v>42</v>
      </c>
      <c r="N1393" s="52" t="s">
        <v>145</v>
      </c>
      <c r="O1393" s="51" t="e">
        <f>VLOOKUP(N1393,[2]!RUBROS[#All],3,0)</f>
        <v>#REF!</v>
      </c>
      <c r="P1393" s="53" t="e">
        <f>VLOOKUP(N1393,[2]!RUBROS[#All],2,0)</f>
        <v>#REF!</v>
      </c>
      <c r="Q1393" s="47" t="str">
        <f>+MID(N1393,11,2)</f>
        <v>51</v>
      </c>
      <c r="R1393" s="47" t="str">
        <f t="shared" si="500"/>
        <v>0-205400</v>
      </c>
      <c r="S1393" s="47" t="s">
        <v>42</v>
      </c>
      <c r="T1393" s="59" t="s">
        <v>42</v>
      </c>
      <c r="U1393" s="326" t="e">
        <f ca="1">_xlfn.XLOOKUP(PAA_4[[#This Row],[ITEM]],[2]Contrato!A:A,[2]Contrato!Q:Q,"",0)</f>
        <v>#NAME?</v>
      </c>
      <c r="V1393" s="47" t="s">
        <v>95</v>
      </c>
      <c r="W1393" s="47" t="s">
        <v>42</v>
      </c>
      <c r="X1393" s="47" t="s">
        <v>42</v>
      </c>
      <c r="Y1393" s="55" t="e">
        <f ca="1">_xlfn.XLOOKUP(PAA_4[[#This Row],[ITEM]],[2]Contrato!A:A,[2]Contrato!B:B,"",0)</f>
        <v>#NAME?</v>
      </c>
      <c r="Z1393" s="47" t="e">
        <f ca="1">_xlfn.XLOOKUP(PAA_4[[#This Row],[ITEM]],[2]Contrato!A:A,[2]Contrato!G:G,"",0)</f>
        <v>#NAME?</v>
      </c>
      <c r="AA1393" s="47" t="e">
        <f ca="1">_xlfn.XLOOKUP(PAA_4[[#This Row],[ITEM]],[2]Contrato!A:A,[2]Contrato!T:T,"",0)</f>
        <v>#NAME?</v>
      </c>
      <c r="AB1393" s="55" t="e">
        <f ca="1">+MAX(PAA_4[[#This Row],[Comprometido Contrato]],PAA_4[[#This Row],[Comprometido Bolsa]])</f>
        <v>#NAME?</v>
      </c>
      <c r="AC1393" s="55" t="str">
        <f ca="1">IFERROR(I1393-AB1393,"")</f>
        <v/>
      </c>
      <c r="AD1393" s="55" t="e">
        <f ca="1">IF(PAA_4[[#This Row],[ESTADO (formulado)]]="NO CONTRATADO",0,MAX(PAA_4[[#This Row],[Pago por Contrato]],PAA_4[[#This Row],[Pago por bolsa]]))</f>
        <v>#NAME?</v>
      </c>
      <c r="AE1393" s="55" t="str">
        <f ca="1">+IFERROR(AB1393-AD1393,"")</f>
        <v/>
      </c>
      <c r="AF1393" s="47" t="e">
        <f ca="1">+CONCATENATE(AA1393,N1393)</f>
        <v>#NAME?</v>
      </c>
      <c r="AG1393" s="47">
        <f>IFERROR(_xlfn.NUMBERVALUE(MID(G1393,1,8)),"")</f>
        <v>44021011</v>
      </c>
      <c r="AH1393" s="54">
        <f>IF(Q1393="22",IF(ISNUMBER(SEARCH("econ",PAA_4[[#This Row],[Actividad3]])),"Económico",IF(ISNUMBER(SEARCH("alim",PAA_4[[#This Row],[Actividad3]])),"Alimentación",IF(ISNUMBER(SEARCH("educ",PAA_4[[#This Row],[Actividad3]])),"Educativo","Técnico"))),0)</f>
        <v>0</v>
      </c>
      <c r="AI1393" s="47" t="e" cm="1">
        <f t="array" aca="1" ref="AI1393" ca="1">_xlfn.XLOOKUP(PAA_4[[#This Row],[RCP-RUBRO]],[2]!COMPROMISOS_2024[[#All],[concatenado]],[2]!COMPROMISOS_2024[[#All],[Total pagado]],"",0)</f>
        <v>#NAME?</v>
      </c>
      <c r="AJ1393" s="56">
        <f>IF(PAA_4[[#This Row],[BOLSA]]=0,0,SUMIFS([2]!COMPROMISOS_2024[[#All],[Total pagado]],[2]!COMPROMISOS_2024[[#All],[Bolsa]],PAA_4[[#This Row],[BOLSA]],[2]!COMPROMISOS_2024[[#All],[rubro]],PAA_4[[#This Row],[RCP-RUBRO]]))</f>
        <v>0</v>
      </c>
      <c r="AK1393" s="47" t="e" cm="1">
        <f t="array" aca="1" ref="AK1393" ca="1">_xlfn.XLOOKUP(PAA_4[[#This Row],[RCP-RUBRO]],[2]!COMPROMISOS_2024[[#All],[concatenado]],[2]!COMPROMISOS_2024[[#All],[Total Comprometido]],"",0)</f>
        <v>#NAME?</v>
      </c>
      <c r="AL1393" s="47">
        <f>IF(PAA_4[[#This Row],[BOLSA]]=0,0,SUMIFS([2]!COMPROMISOS_2024[[#All],[Total Comprometido]],[2]!COMPROMISOS_2024[[#All],[Bolsa]],PAA_4[[#This Row],[BOLSA]],[2]!COMPROMISOS_2024[[#All],[concatenado]],PAA_4[[#This Row],[RCP-RUBRO]]))</f>
        <v>0</v>
      </c>
    </row>
    <row r="1394" spans="1:38" s="19" customFormat="1" ht="31.5" customHeight="1">
      <c r="A1394" s="47">
        <v>784</v>
      </c>
      <c r="B1394" s="364" t="s">
        <v>393</v>
      </c>
      <c r="C1394" s="47" t="str">
        <f>VLOOKUP(PAA_4[[#This Row],[PROYECTO (formulado)2]],[2]PROYECTOS!$G$1:$L$32,6,0)</f>
        <v>SUBGERENCIA DE FOMENTO Y DESARROLLO</v>
      </c>
      <c r="D1394" s="47" t="str">
        <f>+IF(PAA_4[[#This Row],[UNIDAD DE CONTRATACION (formulado)]]="Subgerencia Administrativa y Financiera","FUNCIONAMIENTO","INVERSIÓN")</f>
        <v>INVERSIÓN</v>
      </c>
      <c r="E1394" s="48" t="str">
        <f>VLOOKUP(Q1394,[2]PROYECTOS!$G$1:$K$32,5,0)</f>
        <v>FORTALECIMIENTO_DE_LOS_JUEGOS_DEL_SECTOR_EDUCATIVO_EN_ANTIOQUIA</v>
      </c>
      <c r="F1394" s="48">
        <f>VLOOKUP(E1394,[2]PROYECTOS!$K$1:$M$32,3,0)</f>
        <v>2020003050034</v>
      </c>
      <c r="G1394" s="49" t="s">
        <v>412</v>
      </c>
      <c r="H1394" s="49" t="str">
        <f>VLOOKUP(Q1394,[2]PROYECTOS!$V$1:$W$32,2,0)</f>
        <v>050053</v>
      </c>
      <c r="I1394" s="50">
        <f>430481051-24743194</f>
        <v>405737857</v>
      </c>
      <c r="J1394" s="51" t="s">
        <v>1880</v>
      </c>
      <c r="K1394" s="47" t="str">
        <f t="shared" ref="K1394:K1459" ca="1" si="505">IF(ISNONTEXT(Y1394)=TRUE,"CONTRATADO","NO CONTRATADO")</f>
        <v>CONTRATADO</v>
      </c>
      <c r="L1394" s="47" t="s">
        <v>94</v>
      </c>
      <c r="M1394" s="47" t="s">
        <v>255</v>
      </c>
      <c r="N1394" s="52" t="s">
        <v>145</v>
      </c>
      <c r="O1394" s="51" t="e">
        <f>VLOOKUP(N1394,[2]!RUBROS[#All],3,0)</f>
        <v>#REF!</v>
      </c>
      <c r="P1394" s="53" t="e">
        <f>VLOOKUP(N1394,[2]!RUBROS[#All],2,0)</f>
        <v>#REF!</v>
      </c>
      <c r="Q1394" s="47" t="str">
        <f t="shared" ref="Q1394:Q1459" si="506">+MID(N1394,11,2)</f>
        <v>51</v>
      </c>
      <c r="R1394" s="47" t="str">
        <f t="shared" si="500"/>
        <v>0-205400</v>
      </c>
      <c r="S1394" s="54">
        <v>3</v>
      </c>
      <c r="T1394" s="59" t="s">
        <v>46</v>
      </c>
      <c r="U1394" s="326" t="e">
        <f ca="1">_xlfn.XLOOKUP(PAA_4[[#This Row],[ITEM]],[2]Contrato!A:A,[2]Contrato!Q:Q,"",0)</f>
        <v>#NAME?</v>
      </c>
      <c r="V1394" s="47" t="s">
        <v>95</v>
      </c>
      <c r="W1394" s="47" t="s">
        <v>154</v>
      </c>
      <c r="X1394" s="47" t="s">
        <v>154</v>
      </c>
      <c r="Y1394" s="55" t="e">
        <f ca="1">_xlfn.XLOOKUP(PAA_4[[#This Row],[ITEM]],[2]Contrato!A:A,[2]Contrato!B:B,"",0)</f>
        <v>#NAME?</v>
      </c>
      <c r="Z1394" s="47" t="e">
        <f ca="1">_xlfn.XLOOKUP(PAA_4[[#This Row],[ITEM]],[2]Contrato!A:A,[2]Contrato!G:G,"",0)</f>
        <v>#NAME?</v>
      </c>
      <c r="AA1394" s="47" t="e">
        <f ca="1">_xlfn.XLOOKUP(PAA_4[[#This Row],[ITEM]],[2]Contrato!A:A,[2]Contrato!T:T,"",0)</f>
        <v>#NAME?</v>
      </c>
      <c r="AB1394" s="55" t="e">
        <f ca="1">+MAX(PAA_4[[#This Row],[Comprometido Contrato]],PAA_4[[#This Row],[Comprometido Bolsa]])</f>
        <v>#NAME?</v>
      </c>
      <c r="AC1394" s="55" t="str">
        <f t="shared" ref="AC1394:AC1461" ca="1" si="507">IFERROR(I1394-AB1394,"")</f>
        <v/>
      </c>
      <c r="AD1394" s="55" t="e">
        <f ca="1">IF(PAA_4[[#This Row],[ESTADO (formulado)]]="NO CONTRATADO",0,MAX(PAA_4[[#This Row],[Pago por Contrato]],PAA_4[[#This Row],[Pago por bolsa]]))</f>
        <v>#NAME?</v>
      </c>
      <c r="AE1394" s="55" t="str">
        <f t="shared" ref="AE1394:AE1459" ca="1" si="508">+IFERROR(AB1394-AD1394,"")</f>
        <v/>
      </c>
      <c r="AF1394" s="47" t="e">
        <f t="shared" ref="AF1394:AF1461" ca="1" si="509">+CONCATENATE(AA1394,N1394)</f>
        <v>#NAME?</v>
      </c>
      <c r="AG1394" s="47">
        <f t="shared" ref="AG1394:AG1459" si="510">IFERROR(_xlfn.NUMBERVALUE(MID(G1394,1,8)),"")</f>
        <v>44021011</v>
      </c>
      <c r="AH1394" s="54">
        <f>IF(Q1394="22",IF(ISNUMBER(SEARCH("econ",PAA_4[[#This Row],[Actividad3]])),"Económico",IF(ISNUMBER(SEARCH("alim",PAA_4[[#This Row],[Actividad3]])),"Alimentación",IF(ISNUMBER(SEARCH("educ",PAA_4[[#This Row],[Actividad3]])),"Educativo","Técnico"))),0)</f>
        <v>0</v>
      </c>
      <c r="AI1394" s="47" t="e" cm="1">
        <f t="array" aca="1" ref="AI1394" ca="1">_xlfn.XLOOKUP(PAA_4[[#This Row],[RCP-RUBRO]],[2]!COMPROMISOS_2024[[#All],[concatenado]],[2]!COMPROMISOS_2024[[#All],[Total pagado]],"",0)</f>
        <v>#NAME?</v>
      </c>
      <c r="AJ1394" s="56">
        <f>IF(PAA_4[[#This Row],[BOLSA]]=0,0,SUMIFS([2]!COMPROMISOS_2024[[#All],[Total pagado]],[2]!COMPROMISOS_2024[[#All],[Bolsa]],PAA_4[[#This Row],[BOLSA]],[2]!COMPROMISOS_2024[[#All],[rubro]],PAA_4[[#This Row],[RCP-RUBRO]]))</f>
        <v>0</v>
      </c>
      <c r="AK1394" s="47" t="e" cm="1">
        <f t="array" aca="1" ref="AK1394" ca="1">_xlfn.XLOOKUP(PAA_4[[#This Row],[RCP-RUBRO]],[2]!COMPROMISOS_2024[[#All],[concatenado]],[2]!COMPROMISOS_2024[[#All],[Total Comprometido]],"",0)</f>
        <v>#NAME?</v>
      </c>
      <c r="AL1394" s="47">
        <f>IF(PAA_4[[#This Row],[BOLSA]]=0,0,SUMIFS([2]!COMPROMISOS_2024[[#All],[Total Comprometido]],[2]!COMPROMISOS_2024[[#All],[Bolsa]],PAA_4[[#This Row],[BOLSA]],[2]!COMPROMISOS_2024[[#All],[concatenado]],PAA_4[[#This Row],[RCP-RUBRO]]))</f>
        <v>0</v>
      </c>
    </row>
    <row r="1395" spans="1:38" s="19" customFormat="1" ht="31.5" customHeight="1">
      <c r="A1395" s="47">
        <v>785</v>
      </c>
      <c r="B1395" s="364" t="s">
        <v>393</v>
      </c>
      <c r="C1395" s="47" t="str">
        <f>VLOOKUP(PAA_4[[#This Row],[PROYECTO (formulado)2]],[2]PROYECTOS!$G$1:$L$32,6,0)</f>
        <v>SUBGERENCIA DE FOMENTO Y DESARROLLO</v>
      </c>
      <c r="D1395" s="47" t="str">
        <f>+IF(PAA_4[[#This Row],[UNIDAD DE CONTRATACION (formulado)]]="Subgerencia Administrativa y Financiera","FUNCIONAMIENTO","INVERSIÓN")</f>
        <v>INVERSIÓN</v>
      </c>
      <c r="E1395" s="48" t="str">
        <f>VLOOKUP(Q1395,[2]PROYECTOS!$G$1:$K$32,5,0)</f>
        <v>FORTALECIMIENTO_DE_LOS_JUEGOS_DEL_SECTOR_EDUCATIVO_EN_ANTIOQUIA</v>
      </c>
      <c r="F1395" s="48">
        <f>VLOOKUP(E1395,[2]PROYECTOS!$K$1:$M$32,3,0)</f>
        <v>2020003050034</v>
      </c>
      <c r="G1395" s="49" t="s">
        <v>412</v>
      </c>
      <c r="H1395" s="49" t="str">
        <f>VLOOKUP(Q1395,[2]PROYECTOS!$V$1:$W$32,2,0)</f>
        <v>050053</v>
      </c>
      <c r="I1395" s="50">
        <v>146929631</v>
      </c>
      <c r="J1395" s="51" t="s">
        <v>1881</v>
      </c>
      <c r="K1395" s="47" t="str">
        <f t="shared" ca="1" si="505"/>
        <v>CONTRATADO</v>
      </c>
      <c r="L1395" s="47" t="s">
        <v>94</v>
      </c>
      <c r="M1395" s="47" t="s">
        <v>255</v>
      </c>
      <c r="N1395" s="52" t="s">
        <v>449</v>
      </c>
      <c r="O1395" s="51" t="e">
        <f>VLOOKUP(N1395,[2]!RUBROS[#All],3,0)</f>
        <v>#REF!</v>
      </c>
      <c r="P1395" s="53" t="e">
        <f>VLOOKUP(N1395,[2]!RUBROS[#All],2,0)</f>
        <v>#REF!</v>
      </c>
      <c r="Q1395" s="47" t="str">
        <f t="shared" si="506"/>
        <v>51</v>
      </c>
      <c r="R1395" s="47" t="str">
        <f t="shared" si="500"/>
        <v>4-271130</v>
      </c>
      <c r="S1395" s="54">
        <v>3</v>
      </c>
      <c r="T1395" s="59" t="s">
        <v>46</v>
      </c>
      <c r="U1395" s="326" t="e">
        <f ca="1">_xlfn.XLOOKUP(PAA_4[[#This Row],[ITEM]],[2]Contrato!A:A,[2]Contrato!Q:Q,"",0)</f>
        <v>#NAME?</v>
      </c>
      <c r="V1395" s="47" t="s">
        <v>95</v>
      </c>
      <c r="W1395" s="47" t="s">
        <v>154</v>
      </c>
      <c r="X1395" s="47" t="s">
        <v>154</v>
      </c>
      <c r="Y1395" s="55" t="e">
        <f ca="1">_xlfn.XLOOKUP(PAA_4[[#This Row],[ITEM]],[2]Contrato!A:A,[2]Contrato!B:B,"",0)</f>
        <v>#NAME?</v>
      </c>
      <c r="Z1395" s="47" t="e">
        <f ca="1">_xlfn.XLOOKUP(PAA_4[[#This Row],[ITEM]],[2]Contrato!A:A,[2]Contrato!G:G,"",0)</f>
        <v>#NAME?</v>
      </c>
      <c r="AA1395" s="47" t="e">
        <f ca="1">_xlfn.XLOOKUP(PAA_4[[#This Row],[ITEM]],[2]Contrato!A:A,[2]Contrato!T:T,"",0)</f>
        <v>#NAME?</v>
      </c>
      <c r="AB1395" s="55" t="e">
        <f ca="1">+MAX(PAA_4[[#This Row],[Comprometido Contrato]],PAA_4[[#This Row],[Comprometido Bolsa]])</f>
        <v>#NAME?</v>
      </c>
      <c r="AC1395" s="55" t="str">
        <f t="shared" ca="1" si="507"/>
        <v/>
      </c>
      <c r="AD1395" s="55" t="e">
        <f ca="1">IF(PAA_4[[#This Row],[ESTADO (formulado)]]="NO CONTRATADO",0,MAX(PAA_4[[#This Row],[Pago por Contrato]],PAA_4[[#This Row],[Pago por bolsa]]))</f>
        <v>#NAME?</v>
      </c>
      <c r="AE1395" s="55" t="str">
        <f t="shared" ca="1" si="508"/>
        <v/>
      </c>
      <c r="AF1395" s="47" t="e">
        <f t="shared" ca="1" si="509"/>
        <v>#NAME?</v>
      </c>
      <c r="AG1395" s="47">
        <f t="shared" si="510"/>
        <v>44021011</v>
      </c>
      <c r="AH1395" s="54">
        <f>IF(Q1395="22",IF(ISNUMBER(SEARCH("econ",PAA_4[[#This Row],[Actividad3]])),"Económico",IF(ISNUMBER(SEARCH("alim",PAA_4[[#This Row],[Actividad3]])),"Alimentación",IF(ISNUMBER(SEARCH("educ",PAA_4[[#This Row],[Actividad3]])),"Educativo","Técnico"))),0)</f>
        <v>0</v>
      </c>
      <c r="AI1395" s="47" t="e" cm="1">
        <f t="array" aca="1" ref="AI1395" ca="1">_xlfn.XLOOKUP(PAA_4[[#This Row],[RCP-RUBRO]],[2]!COMPROMISOS_2024[[#All],[concatenado]],[2]!COMPROMISOS_2024[[#All],[Total pagado]],"",0)</f>
        <v>#NAME?</v>
      </c>
      <c r="AJ1395" s="56">
        <f>IF(PAA_4[[#This Row],[BOLSA]]=0,0,SUMIFS([2]!COMPROMISOS_2024[[#All],[Total pagado]],[2]!COMPROMISOS_2024[[#All],[Bolsa]],PAA_4[[#This Row],[BOLSA]],[2]!COMPROMISOS_2024[[#All],[rubro]],PAA_4[[#This Row],[RCP-RUBRO]]))</f>
        <v>0</v>
      </c>
      <c r="AK1395" s="47" t="e" cm="1">
        <f t="array" aca="1" ref="AK1395" ca="1">_xlfn.XLOOKUP(PAA_4[[#This Row],[RCP-RUBRO]],[2]!COMPROMISOS_2024[[#All],[concatenado]],[2]!COMPROMISOS_2024[[#All],[Total Comprometido]],"",0)</f>
        <v>#NAME?</v>
      </c>
      <c r="AL1395" s="47">
        <f>IF(PAA_4[[#This Row],[BOLSA]]=0,0,SUMIFS([2]!COMPROMISOS_2024[[#All],[Total Comprometido]],[2]!COMPROMISOS_2024[[#All],[Bolsa]],PAA_4[[#This Row],[BOLSA]],[2]!COMPROMISOS_2024[[#All],[concatenado]],PAA_4[[#This Row],[RCP-RUBRO]]))</f>
        <v>0</v>
      </c>
    </row>
    <row r="1396" spans="1:38" s="19" customFormat="1" ht="31.5" customHeight="1">
      <c r="A1396" s="47">
        <v>785</v>
      </c>
      <c r="B1396" s="364" t="s">
        <v>393</v>
      </c>
      <c r="C1396" s="47" t="str">
        <f>VLOOKUP(PAA_4[[#This Row],[PROYECTO (formulado)2]],[2]PROYECTOS!$G$1:$L$32,6,0)</f>
        <v>SUBGERENCIA DE FOMENTO Y DESARROLLO</v>
      </c>
      <c r="D1396" s="47" t="str">
        <f>+IF(PAA_4[[#This Row],[UNIDAD DE CONTRATACION (formulado)]]="Subgerencia Administrativa y Financiera","FUNCIONAMIENTO","INVERSIÓN")</f>
        <v>INVERSIÓN</v>
      </c>
      <c r="E1396" s="48" t="str">
        <f>VLOOKUP(Q1396,[2]PROYECTOS!$G$1:$K$32,5,0)</f>
        <v>FORTALECIMIENTO_DE_LOS_JUEGOS_DEL_SECTOR_EDUCATIVO_EN_ANTIOQUIA</v>
      </c>
      <c r="F1396" s="48">
        <f>VLOOKUP(E1396,[2]PROYECTOS!$K$1:$M$32,3,0)</f>
        <v>2020003050034</v>
      </c>
      <c r="G1396" s="49" t="s">
        <v>412</v>
      </c>
      <c r="H1396" s="49" t="str">
        <f>VLOOKUP(Q1396,[2]PROYECTOS!$V$1:$W$32,2,0)</f>
        <v>050053</v>
      </c>
      <c r="I1396" s="50">
        <v>201285414</v>
      </c>
      <c r="J1396" s="51" t="s">
        <v>1882</v>
      </c>
      <c r="K1396" s="47" t="str">
        <f t="shared" ca="1" si="505"/>
        <v>CONTRATADO</v>
      </c>
      <c r="L1396" s="47" t="s">
        <v>94</v>
      </c>
      <c r="M1396" s="47" t="s">
        <v>255</v>
      </c>
      <c r="N1396" s="52" t="s">
        <v>145</v>
      </c>
      <c r="O1396" s="51" t="e">
        <f>VLOOKUP(N1396,[2]!RUBROS[#All],3,0)</f>
        <v>#REF!</v>
      </c>
      <c r="P1396" s="53" t="e">
        <f>VLOOKUP(N1396,[2]!RUBROS[#All],2,0)</f>
        <v>#REF!</v>
      </c>
      <c r="Q1396" s="47" t="str">
        <f t="shared" si="506"/>
        <v>51</v>
      </c>
      <c r="R1396" s="47" t="str">
        <f t="shared" si="500"/>
        <v>0-205400</v>
      </c>
      <c r="S1396" s="54">
        <v>3</v>
      </c>
      <c r="T1396" s="59" t="s">
        <v>46</v>
      </c>
      <c r="U1396" s="326" t="e">
        <f ca="1">_xlfn.XLOOKUP(PAA_4[[#This Row],[ITEM]],[2]Contrato!A:A,[2]Contrato!Q:Q,"",0)</f>
        <v>#NAME?</v>
      </c>
      <c r="V1396" s="47" t="s">
        <v>95</v>
      </c>
      <c r="W1396" s="47" t="s">
        <v>154</v>
      </c>
      <c r="X1396" s="47" t="s">
        <v>154</v>
      </c>
      <c r="Y1396" s="55" t="e">
        <f ca="1">_xlfn.XLOOKUP(PAA_4[[#This Row],[ITEM]],[2]Contrato!A:A,[2]Contrato!B:B,"",0)</f>
        <v>#NAME?</v>
      </c>
      <c r="Z1396" s="47" t="e">
        <f ca="1">_xlfn.XLOOKUP(PAA_4[[#This Row],[ITEM]],[2]Contrato!A:A,[2]Contrato!G:G,"",0)</f>
        <v>#NAME?</v>
      </c>
      <c r="AA1396" s="47" t="e">
        <f ca="1">_xlfn.XLOOKUP(PAA_4[[#This Row],[ITEM]],[2]Contrato!A:A,[2]Contrato!T:T,"",0)</f>
        <v>#NAME?</v>
      </c>
      <c r="AB1396" s="55" t="e">
        <f ca="1">+MAX(PAA_4[[#This Row],[Comprometido Contrato]],PAA_4[[#This Row],[Comprometido Bolsa]])</f>
        <v>#NAME?</v>
      </c>
      <c r="AC1396" s="55" t="str">
        <f t="shared" ca="1" si="507"/>
        <v/>
      </c>
      <c r="AD1396" s="55" t="e">
        <f ca="1">IF(PAA_4[[#This Row],[ESTADO (formulado)]]="NO CONTRATADO",0,MAX(PAA_4[[#This Row],[Pago por Contrato]],PAA_4[[#This Row],[Pago por bolsa]]))</f>
        <v>#NAME?</v>
      </c>
      <c r="AE1396" s="55" t="str">
        <f t="shared" ca="1" si="508"/>
        <v/>
      </c>
      <c r="AF1396" s="47" t="e">
        <f t="shared" ca="1" si="509"/>
        <v>#NAME?</v>
      </c>
      <c r="AG1396" s="47">
        <f t="shared" si="510"/>
        <v>44021011</v>
      </c>
      <c r="AH1396" s="54">
        <f>IF(Q1396="22",IF(ISNUMBER(SEARCH("econ",PAA_4[[#This Row],[Actividad3]])),"Económico",IF(ISNUMBER(SEARCH("alim",PAA_4[[#This Row],[Actividad3]])),"Alimentación",IF(ISNUMBER(SEARCH("educ",PAA_4[[#This Row],[Actividad3]])),"Educativo","Técnico"))),0)</f>
        <v>0</v>
      </c>
      <c r="AI1396" s="47" t="e" cm="1">
        <f t="array" aca="1" ref="AI1396" ca="1">_xlfn.XLOOKUP(PAA_4[[#This Row],[RCP-RUBRO]],[2]!COMPROMISOS_2024[[#All],[concatenado]],[2]!COMPROMISOS_2024[[#All],[Total pagado]],"",0)</f>
        <v>#NAME?</v>
      </c>
      <c r="AJ1396" s="56">
        <f>IF(PAA_4[[#This Row],[BOLSA]]=0,0,SUMIFS([2]!COMPROMISOS_2024[[#All],[Total pagado]],[2]!COMPROMISOS_2024[[#All],[Bolsa]],PAA_4[[#This Row],[BOLSA]],[2]!COMPROMISOS_2024[[#All],[rubro]],PAA_4[[#This Row],[RCP-RUBRO]]))</f>
        <v>0</v>
      </c>
      <c r="AK1396" s="47" t="e" cm="1">
        <f t="array" aca="1" ref="AK1396" ca="1">_xlfn.XLOOKUP(PAA_4[[#This Row],[RCP-RUBRO]],[2]!COMPROMISOS_2024[[#All],[concatenado]],[2]!COMPROMISOS_2024[[#All],[Total Comprometido]],"",0)</f>
        <v>#NAME?</v>
      </c>
      <c r="AL1396" s="47">
        <f>IF(PAA_4[[#This Row],[BOLSA]]=0,0,SUMIFS([2]!COMPROMISOS_2024[[#All],[Total Comprometido]],[2]!COMPROMISOS_2024[[#All],[Bolsa]],PAA_4[[#This Row],[BOLSA]],[2]!COMPROMISOS_2024[[#All],[concatenado]],PAA_4[[#This Row],[RCP-RUBRO]]))</f>
        <v>0</v>
      </c>
    </row>
    <row r="1397" spans="1:38" s="19" customFormat="1" ht="31.5" customHeight="1">
      <c r="A1397" s="47" t="s">
        <v>82</v>
      </c>
      <c r="B1397" s="72" t="s">
        <v>42</v>
      </c>
      <c r="C1397" s="47" t="str">
        <f>VLOOKUP(PAA_4[[#This Row],[PROYECTO (formulado)2]],[2]PROYECTOS!$G$1:$L$32,6,0)</f>
        <v>SUBGERENCIA DE FOMENTO Y DESARROLLO</v>
      </c>
      <c r="D1397" s="47" t="str">
        <f>+IF(PAA_4[[#This Row],[UNIDAD DE CONTRATACION (formulado)]]="Subgerencia Administrativa y Financiera","FUNCIONAMIENTO","INVERSIÓN")</f>
        <v>INVERSIÓN</v>
      </c>
      <c r="E1397" s="48" t="str">
        <f>VLOOKUP(Q1397,[2]PROYECTOS!$G$1:$K$32,5,0)</f>
        <v>FORTALECIMIENTO_DE_LOS_JUEGOS_DEL_SECTOR_EDUCATIVO_EN_ANTIOQUIA</v>
      </c>
      <c r="F1397" s="48">
        <f>VLOOKUP(E1397,[2]PROYECTOS!$K$1:$M$32,3,0)</f>
        <v>2020003050034</v>
      </c>
      <c r="G1397" s="49" t="s">
        <v>412</v>
      </c>
      <c r="H1397" s="49" t="str">
        <f>VLOOKUP(Q1397,[2]PROYECTOS!$V$1:$W$32,2,0)</f>
        <v>050053</v>
      </c>
      <c r="I1397" s="50">
        <v>2587200</v>
      </c>
      <c r="J1397" s="51" t="s">
        <v>1872</v>
      </c>
      <c r="K1397" s="47" t="str">
        <f t="shared" ca="1" si="505"/>
        <v>CONTRATADO</v>
      </c>
      <c r="L1397" s="47" t="s">
        <v>42</v>
      </c>
      <c r="M1397" s="47" t="s">
        <v>42</v>
      </c>
      <c r="N1397" s="52" t="s">
        <v>449</v>
      </c>
      <c r="O1397" s="51" t="e">
        <f>VLOOKUP(N1397,[2]!RUBROS[#All],3,0)</f>
        <v>#REF!</v>
      </c>
      <c r="P1397" s="53" t="e">
        <f>VLOOKUP(N1397,[2]!RUBROS[#All],2,0)</f>
        <v>#REF!</v>
      </c>
      <c r="Q1397" s="47" t="str">
        <f t="shared" si="506"/>
        <v>51</v>
      </c>
      <c r="R1397" s="47" t="str">
        <f t="shared" si="500"/>
        <v>4-271130</v>
      </c>
      <c r="S1397" s="54" t="s">
        <v>42</v>
      </c>
      <c r="T1397" s="59" t="s">
        <v>42</v>
      </c>
      <c r="U1397" s="326" t="e">
        <f ca="1">_xlfn.XLOOKUP(PAA_4[[#This Row],[ITEM]],[2]Contrato!A:A,[2]Contrato!Q:Q,"",0)</f>
        <v>#NAME?</v>
      </c>
      <c r="V1397" s="47" t="s">
        <v>42</v>
      </c>
      <c r="W1397" s="64" t="s">
        <v>42</v>
      </c>
      <c r="X1397" s="64" t="s">
        <v>42</v>
      </c>
      <c r="Y1397" s="55" t="e">
        <f ca="1">_xlfn.XLOOKUP(PAA_4[[#This Row],[ITEM]],[2]Contrato!A:A,[2]Contrato!B:B,"",0)</f>
        <v>#NAME?</v>
      </c>
      <c r="Z1397" s="47" t="e">
        <f ca="1">_xlfn.XLOOKUP(PAA_4[[#This Row],[ITEM]],[2]Contrato!A:A,[2]Contrato!G:G,"",0)</f>
        <v>#NAME?</v>
      </c>
      <c r="AA1397" s="47" t="e">
        <f ca="1">_xlfn.XLOOKUP(PAA_4[[#This Row],[ITEM]],[2]Contrato!A:A,[2]Contrato!T:T,"",0)</f>
        <v>#NAME?</v>
      </c>
      <c r="AB1397" s="55" t="e">
        <f ca="1">+MAX(PAA_4[[#This Row],[Comprometido Contrato]],PAA_4[[#This Row],[Comprometido Bolsa]])</f>
        <v>#NAME?</v>
      </c>
      <c r="AC1397" s="55" t="str">
        <f t="shared" ca="1" si="507"/>
        <v/>
      </c>
      <c r="AD1397" s="55" t="e">
        <f ca="1">IF(PAA_4[[#This Row],[ESTADO (formulado)]]="NO CONTRATADO",0,MAX(PAA_4[[#This Row],[Pago por Contrato]],PAA_4[[#This Row],[Pago por bolsa]]))</f>
        <v>#NAME?</v>
      </c>
      <c r="AE1397" s="55" t="str">
        <f t="shared" ca="1" si="508"/>
        <v/>
      </c>
      <c r="AF1397" s="47" t="e">
        <f t="shared" ca="1" si="509"/>
        <v>#NAME?</v>
      </c>
      <c r="AG1397" s="47">
        <f t="shared" si="510"/>
        <v>44021011</v>
      </c>
      <c r="AH1397" s="54">
        <f>IF(Q1397="22",IF(ISNUMBER(SEARCH("econ",PAA_4[[#This Row],[Actividad3]])),"Económico",IF(ISNUMBER(SEARCH("alim",PAA_4[[#This Row],[Actividad3]])),"Alimentación",IF(ISNUMBER(SEARCH("educ",PAA_4[[#This Row],[Actividad3]])),"Educativo","Técnico"))),0)</f>
        <v>0</v>
      </c>
      <c r="AI1397" s="47" t="e" cm="1">
        <f t="array" aca="1" ref="AI1397" ca="1">_xlfn.XLOOKUP(PAA_4[[#This Row],[RCP-RUBRO]],[2]!COMPROMISOS_2024[[#All],[concatenado]],[2]!COMPROMISOS_2024[[#All],[Total pagado]],"",0)</f>
        <v>#NAME?</v>
      </c>
      <c r="AJ1397" s="56">
        <f>IF(PAA_4[[#This Row],[BOLSA]]=0,0,SUMIFS([2]!COMPROMISOS_2024[[#All],[Total pagado]],[2]!COMPROMISOS_2024[[#All],[Bolsa]],PAA_4[[#This Row],[BOLSA]],[2]!COMPROMISOS_2024[[#All],[rubro]],PAA_4[[#This Row],[RCP-RUBRO]]))</f>
        <v>0</v>
      </c>
      <c r="AK1397" s="47" t="e" cm="1">
        <f t="array" aca="1" ref="AK1397" ca="1">_xlfn.XLOOKUP(PAA_4[[#This Row],[RCP-RUBRO]],[2]!COMPROMISOS_2024[[#All],[concatenado]],[2]!COMPROMISOS_2024[[#All],[Total Comprometido]],"",0)</f>
        <v>#NAME?</v>
      </c>
      <c r="AL1397" s="47">
        <f>IF(PAA_4[[#This Row],[BOLSA]]=0,0,SUMIFS([2]!COMPROMISOS_2024[[#All],[Total Comprometido]],[2]!COMPROMISOS_2024[[#All],[Bolsa]],PAA_4[[#This Row],[BOLSA]],[2]!COMPROMISOS_2024[[#All],[concatenado]],PAA_4[[#This Row],[RCP-RUBRO]]))</f>
        <v>0</v>
      </c>
    </row>
    <row r="1398" spans="1:38" s="19" customFormat="1" ht="31.5" customHeight="1">
      <c r="A1398" s="47">
        <v>786</v>
      </c>
      <c r="B1398" s="365" t="s">
        <v>393</v>
      </c>
      <c r="C1398" s="47" t="str">
        <f>VLOOKUP(PAA_4[[#This Row],[PROYECTO (formulado)2]],[2]PROYECTOS!$G$1:$L$32,6,0)</f>
        <v>SUBGERENCIA DE FOMENTO Y DESARROLLO</v>
      </c>
      <c r="D1398" s="47" t="str">
        <f>+IF(PAA_4[[#This Row],[UNIDAD DE CONTRATACION (formulado)]]="Subgerencia Administrativa y Financiera","FUNCIONAMIENTO","INVERSIÓN")</f>
        <v>INVERSIÓN</v>
      </c>
      <c r="E1398" s="48" t="str">
        <f>VLOOKUP(Q1398,[2]PROYECTOS!$G$1:$K$32,5,0)</f>
        <v>FORTALECIMIENTO_DE_LOS_JUEGOS_DEL_SECTOR_EDUCATIVO_EN_ANTIOQUIA</v>
      </c>
      <c r="F1398" s="48">
        <f>VLOOKUP(E1398,[2]PROYECTOS!$K$1:$M$32,3,0)</f>
        <v>2020003050034</v>
      </c>
      <c r="G1398" s="49" t="s">
        <v>412</v>
      </c>
      <c r="H1398" s="49" t="str">
        <f>VLOOKUP(Q1398,[2]PROYECTOS!$V$1:$W$32,2,0)</f>
        <v>050053</v>
      </c>
      <c r="I1398" s="50">
        <f>151869933-2587200</f>
        <v>149282733</v>
      </c>
      <c r="J1398" s="51" t="s">
        <v>1883</v>
      </c>
      <c r="K1398" s="47" t="str">
        <f t="shared" ca="1" si="505"/>
        <v>CONTRATADO</v>
      </c>
      <c r="L1398" s="47" t="s">
        <v>94</v>
      </c>
      <c r="M1398" s="47" t="s">
        <v>255</v>
      </c>
      <c r="N1398" s="52" t="s">
        <v>449</v>
      </c>
      <c r="O1398" s="51" t="e">
        <f>VLOOKUP(N1398,[2]!RUBROS[#All],3,0)</f>
        <v>#REF!</v>
      </c>
      <c r="P1398" s="53" t="e">
        <f>VLOOKUP(N1398,[2]!RUBROS[#All],2,0)</f>
        <v>#REF!</v>
      </c>
      <c r="Q1398" s="47" t="str">
        <f t="shared" si="506"/>
        <v>51</v>
      </c>
      <c r="R1398" s="47" t="str">
        <f t="shared" si="500"/>
        <v>4-271130</v>
      </c>
      <c r="S1398" s="54">
        <v>3</v>
      </c>
      <c r="T1398" s="59" t="s">
        <v>46</v>
      </c>
      <c r="U1398" s="326" t="e">
        <f ca="1">_xlfn.XLOOKUP(PAA_4[[#This Row],[ITEM]],[2]Contrato!A:A,[2]Contrato!Q:Q,"",0)</f>
        <v>#NAME?</v>
      </c>
      <c r="V1398" s="47" t="s">
        <v>95</v>
      </c>
      <c r="W1398" s="47" t="s">
        <v>154</v>
      </c>
      <c r="X1398" s="47" t="s">
        <v>154</v>
      </c>
      <c r="Y1398" s="55" t="e">
        <f ca="1">_xlfn.XLOOKUP(PAA_4[[#This Row],[ITEM]],[2]Contrato!A:A,[2]Contrato!B:B,"",0)</f>
        <v>#NAME?</v>
      </c>
      <c r="Z1398" s="47" t="e">
        <f ca="1">_xlfn.XLOOKUP(PAA_4[[#This Row],[ITEM]],[2]Contrato!A:A,[2]Contrato!G:G,"",0)</f>
        <v>#NAME?</v>
      </c>
      <c r="AA1398" s="47" t="e">
        <f ca="1">_xlfn.XLOOKUP(PAA_4[[#This Row],[ITEM]],[2]Contrato!A:A,[2]Contrato!T:T,"",0)</f>
        <v>#NAME?</v>
      </c>
      <c r="AB1398" s="55" t="e">
        <f ca="1">+MAX(PAA_4[[#This Row],[Comprometido Contrato]],PAA_4[[#This Row],[Comprometido Bolsa]])</f>
        <v>#NAME?</v>
      </c>
      <c r="AC1398" s="55" t="str">
        <f t="shared" ca="1" si="507"/>
        <v/>
      </c>
      <c r="AD1398" s="55" t="e">
        <f ca="1">IF(PAA_4[[#This Row],[ESTADO (formulado)]]="NO CONTRATADO",0,MAX(PAA_4[[#This Row],[Pago por Contrato]],PAA_4[[#This Row],[Pago por bolsa]]))</f>
        <v>#NAME?</v>
      </c>
      <c r="AE1398" s="55" t="str">
        <f t="shared" ca="1" si="508"/>
        <v/>
      </c>
      <c r="AF1398" s="47" t="e">
        <f t="shared" ca="1" si="509"/>
        <v>#NAME?</v>
      </c>
      <c r="AG1398" s="47">
        <f t="shared" si="510"/>
        <v>44021011</v>
      </c>
      <c r="AH1398" s="54">
        <f>IF(Q1398="22",IF(ISNUMBER(SEARCH("econ",PAA_4[[#This Row],[Actividad3]])),"Económico",IF(ISNUMBER(SEARCH("alim",PAA_4[[#This Row],[Actividad3]])),"Alimentación",IF(ISNUMBER(SEARCH("educ",PAA_4[[#This Row],[Actividad3]])),"Educativo","Técnico"))),0)</f>
        <v>0</v>
      </c>
      <c r="AI1398" s="47" t="e" cm="1">
        <f t="array" aca="1" ref="AI1398" ca="1">_xlfn.XLOOKUP(PAA_4[[#This Row],[RCP-RUBRO]],[2]!COMPROMISOS_2024[[#All],[concatenado]],[2]!COMPROMISOS_2024[[#All],[Total pagado]],"",0)</f>
        <v>#NAME?</v>
      </c>
      <c r="AJ1398" s="56">
        <f>IF(PAA_4[[#This Row],[BOLSA]]=0,0,SUMIFS([2]!COMPROMISOS_2024[[#All],[Total pagado]],[2]!COMPROMISOS_2024[[#All],[Bolsa]],PAA_4[[#This Row],[BOLSA]],[2]!COMPROMISOS_2024[[#All],[rubro]],PAA_4[[#This Row],[RCP-RUBRO]]))</f>
        <v>0</v>
      </c>
      <c r="AK1398" s="47" t="e" cm="1">
        <f t="array" aca="1" ref="AK1398" ca="1">_xlfn.XLOOKUP(PAA_4[[#This Row],[RCP-RUBRO]],[2]!COMPROMISOS_2024[[#All],[concatenado]],[2]!COMPROMISOS_2024[[#All],[Total Comprometido]],"",0)</f>
        <v>#NAME?</v>
      </c>
      <c r="AL1398" s="47">
        <f>IF(PAA_4[[#This Row],[BOLSA]]=0,0,SUMIFS([2]!COMPROMISOS_2024[[#All],[Total Comprometido]],[2]!COMPROMISOS_2024[[#All],[Bolsa]],PAA_4[[#This Row],[BOLSA]],[2]!COMPROMISOS_2024[[#All],[concatenado]],PAA_4[[#This Row],[RCP-RUBRO]]))</f>
        <v>0</v>
      </c>
    </row>
    <row r="1399" spans="1:38" s="19" customFormat="1" ht="31.5" customHeight="1">
      <c r="A1399" s="47" t="s">
        <v>82</v>
      </c>
      <c r="B1399" s="72" t="s">
        <v>42</v>
      </c>
      <c r="C1399" s="47" t="str">
        <f>VLOOKUP(PAA_4[[#This Row],[PROYECTO (formulado)2]],[2]PROYECTOS!$G$1:$L$32,6,0)</f>
        <v>SUBGERENCIA DE FOMENTO Y DESARROLLO</v>
      </c>
      <c r="D1399" s="47" t="str">
        <f>+IF(PAA_4[[#This Row],[UNIDAD DE CONTRATACION (formulado)]]="Subgerencia Administrativa y Financiera","FUNCIONAMIENTO","INVERSIÓN")</f>
        <v>INVERSIÓN</v>
      </c>
      <c r="E1399" s="48" t="str">
        <f>VLOOKUP(Q1399,[2]PROYECTOS!$G$1:$K$32,5,0)</f>
        <v>FORTALECIMIENTO_DE_LOS_JUEGOS_DEL_SECTOR_EDUCATIVO_EN_ANTIOQUIA</v>
      </c>
      <c r="F1399" s="48">
        <f>VLOOKUP(E1399,[2]PROYECTOS!$K$1:$M$32,3,0)</f>
        <v>2020003050034</v>
      </c>
      <c r="G1399" s="49" t="s">
        <v>412</v>
      </c>
      <c r="H1399" s="49" t="str">
        <f>VLOOKUP(Q1399,[2]PROYECTOS!$V$1:$W$32,2,0)</f>
        <v>050053</v>
      </c>
      <c r="I1399" s="50">
        <v>52665249</v>
      </c>
      <c r="J1399" s="51" t="s">
        <v>1872</v>
      </c>
      <c r="K1399" s="47" t="str">
        <f t="shared" ca="1" si="505"/>
        <v>CONTRATADO</v>
      </c>
      <c r="L1399" s="47" t="s">
        <v>42</v>
      </c>
      <c r="M1399" s="47" t="s">
        <v>42</v>
      </c>
      <c r="N1399" s="52" t="s">
        <v>145</v>
      </c>
      <c r="O1399" s="51" t="e">
        <f>VLOOKUP(N1399,[2]!RUBROS[#All],3,0)</f>
        <v>#REF!</v>
      </c>
      <c r="P1399" s="53" t="e">
        <f>VLOOKUP(N1399,[2]!RUBROS[#All],2,0)</f>
        <v>#REF!</v>
      </c>
      <c r="Q1399" s="47" t="str">
        <f t="shared" si="506"/>
        <v>51</v>
      </c>
      <c r="R1399" s="47" t="str">
        <f t="shared" si="500"/>
        <v>0-205400</v>
      </c>
      <c r="S1399" s="54" t="s">
        <v>42</v>
      </c>
      <c r="T1399" s="59" t="s">
        <v>42</v>
      </c>
      <c r="U1399" s="326" t="e">
        <f ca="1">_xlfn.XLOOKUP(PAA_4[[#This Row],[ITEM]],[2]Contrato!A:A,[2]Contrato!Q:Q,"",0)</f>
        <v>#NAME?</v>
      </c>
      <c r="V1399" s="47" t="s">
        <v>42</v>
      </c>
      <c r="W1399" s="64" t="s">
        <v>42</v>
      </c>
      <c r="X1399" s="64" t="s">
        <v>42</v>
      </c>
      <c r="Y1399" s="55" t="e">
        <f ca="1">_xlfn.XLOOKUP(PAA_4[[#This Row],[ITEM]],[2]Contrato!A:A,[2]Contrato!B:B,"",0)</f>
        <v>#NAME?</v>
      </c>
      <c r="Z1399" s="47" t="e">
        <f ca="1">_xlfn.XLOOKUP(PAA_4[[#This Row],[ITEM]],[2]Contrato!A:A,[2]Contrato!G:G,"",0)</f>
        <v>#NAME?</v>
      </c>
      <c r="AA1399" s="47" t="e">
        <f ca="1">_xlfn.XLOOKUP(PAA_4[[#This Row],[ITEM]],[2]Contrato!A:A,[2]Contrato!T:T,"",0)</f>
        <v>#NAME?</v>
      </c>
      <c r="AB1399" s="55" t="e">
        <f ca="1">+MAX(PAA_4[[#This Row],[Comprometido Contrato]],PAA_4[[#This Row],[Comprometido Bolsa]])</f>
        <v>#NAME?</v>
      </c>
      <c r="AC1399" s="55" t="str">
        <f t="shared" ca="1" si="507"/>
        <v/>
      </c>
      <c r="AD1399" s="55" t="e">
        <f ca="1">IF(PAA_4[[#This Row],[ESTADO (formulado)]]="NO CONTRATADO",0,MAX(PAA_4[[#This Row],[Pago por Contrato]],PAA_4[[#This Row],[Pago por bolsa]]))</f>
        <v>#NAME?</v>
      </c>
      <c r="AE1399" s="55" t="str">
        <f t="shared" ca="1" si="508"/>
        <v/>
      </c>
      <c r="AF1399" s="47" t="e">
        <f t="shared" ca="1" si="509"/>
        <v>#NAME?</v>
      </c>
      <c r="AG1399" s="47">
        <f t="shared" si="510"/>
        <v>44021011</v>
      </c>
      <c r="AH1399" s="54">
        <f>IF(Q1399="22",IF(ISNUMBER(SEARCH("econ",PAA_4[[#This Row],[Actividad3]])),"Económico",IF(ISNUMBER(SEARCH("alim",PAA_4[[#This Row],[Actividad3]])),"Alimentación",IF(ISNUMBER(SEARCH("educ",PAA_4[[#This Row],[Actividad3]])),"Educativo","Técnico"))),0)</f>
        <v>0</v>
      </c>
      <c r="AI1399" s="47" t="e" cm="1">
        <f t="array" aca="1" ref="AI1399" ca="1">_xlfn.XLOOKUP(PAA_4[[#This Row],[RCP-RUBRO]],[2]!COMPROMISOS_2024[[#All],[concatenado]],[2]!COMPROMISOS_2024[[#All],[Total pagado]],"",0)</f>
        <v>#NAME?</v>
      </c>
      <c r="AJ1399" s="56">
        <f>IF(PAA_4[[#This Row],[BOLSA]]=0,0,SUMIFS([2]!COMPROMISOS_2024[[#All],[Total pagado]],[2]!COMPROMISOS_2024[[#All],[Bolsa]],PAA_4[[#This Row],[BOLSA]],[2]!COMPROMISOS_2024[[#All],[rubro]],PAA_4[[#This Row],[RCP-RUBRO]]))</f>
        <v>0</v>
      </c>
      <c r="AK1399" s="47" t="e" cm="1">
        <f t="array" aca="1" ref="AK1399" ca="1">_xlfn.XLOOKUP(PAA_4[[#This Row],[RCP-RUBRO]],[2]!COMPROMISOS_2024[[#All],[concatenado]],[2]!COMPROMISOS_2024[[#All],[Total Comprometido]],"",0)</f>
        <v>#NAME?</v>
      </c>
      <c r="AL1399" s="47">
        <f>IF(PAA_4[[#This Row],[BOLSA]]=0,0,SUMIFS([2]!COMPROMISOS_2024[[#All],[Total Comprometido]],[2]!COMPROMISOS_2024[[#All],[Bolsa]],PAA_4[[#This Row],[BOLSA]],[2]!COMPROMISOS_2024[[#All],[concatenado]],PAA_4[[#This Row],[RCP-RUBRO]]))</f>
        <v>0</v>
      </c>
    </row>
    <row r="1400" spans="1:38" s="19" customFormat="1" ht="31.5" customHeight="1">
      <c r="A1400" s="47">
        <v>786</v>
      </c>
      <c r="B1400" s="364" t="s">
        <v>393</v>
      </c>
      <c r="C1400" s="47" t="str">
        <f>VLOOKUP(PAA_4[[#This Row],[PROYECTO (formulado)2]],[2]PROYECTOS!$G$1:$L$32,6,0)</f>
        <v>SUBGERENCIA DE FOMENTO Y DESARROLLO</v>
      </c>
      <c r="D1400" s="47" t="str">
        <f>+IF(PAA_4[[#This Row],[UNIDAD DE CONTRATACION (formulado)]]="Subgerencia Administrativa y Financiera","FUNCIONAMIENTO","INVERSIÓN")</f>
        <v>INVERSIÓN</v>
      </c>
      <c r="E1400" s="48" t="str">
        <f>VLOOKUP(Q1400,[2]PROYECTOS!$G$1:$K$32,5,0)</f>
        <v>FORTALECIMIENTO_DE_LOS_JUEGOS_DEL_SECTOR_EDUCATIVO_EN_ANTIOQUIA</v>
      </c>
      <c r="F1400" s="48">
        <f>VLOOKUP(E1400,[2]PROYECTOS!$K$1:$M$32,3,0)</f>
        <v>2020003050034</v>
      </c>
      <c r="G1400" s="49" t="s">
        <v>412</v>
      </c>
      <c r="H1400" s="49" t="str">
        <f>VLOOKUP(Q1400,[2]PROYECTOS!$V$1:$W$32,2,0)</f>
        <v>050053</v>
      </c>
      <c r="I1400" s="50">
        <f>243136837-52665249</f>
        <v>190471588</v>
      </c>
      <c r="J1400" s="51" t="s">
        <v>1884</v>
      </c>
      <c r="K1400" s="47" t="str">
        <f t="shared" ca="1" si="505"/>
        <v>CONTRATADO</v>
      </c>
      <c r="L1400" s="47" t="s">
        <v>94</v>
      </c>
      <c r="M1400" s="47" t="s">
        <v>161</v>
      </c>
      <c r="N1400" s="52" t="s">
        <v>145</v>
      </c>
      <c r="O1400" s="51" t="e">
        <f>VLOOKUP(N1400,[2]!RUBROS[#All],3,0)</f>
        <v>#REF!</v>
      </c>
      <c r="P1400" s="53" t="e">
        <f>VLOOKUP(N1400,[2]!RUBROS[#All],2,0)</f>
        <v>#REF!</v>
      </c>
      <c r="Q1400" s="47" t="str">
        <f t="shared" si="506"/>
        <v>51</v>
      </c>
      <c r="R1400" s="47" t="str">
        <f t="shared" si="500"/>
        <v>0-205400</v>
      </c>
      <c r="S1400" s="54">
        <v>3</v>
      </c>
      <c r="T1400" s="59" t="s">
        <v>46</v>
      </c>
      <c r="U1400" s="326" t="e">
        <f ca="1">_xlfn.XLOOKUP(PAA_4[[#This Row],[ITEM]],[2]Contrato!A:A,[2]Contrato!Q:Q,"",0)</f>
        <v>#NAME?</v>
      </c>
      <c r="V1400" s="47" t="s">
        <v>95</v>
      </c>
      <c r="W1400" s="47" t="s">
        <v>154</v>
      </c>
      <c r="X1400" s="47" t="s">
        <v>154</v>
      </c>
      <c r="Y1400" s="55" t="e">
        <f ca="1">_xlfn.XLOOKUP(PAA_4[[#This Row],[ITEM]],[2]Contrato!A:A,[2]Contrato!B:B,"",0)</f>
        <v>#NAME?</v>
      </c>
      <c r="Z1400" s="47" t="e">
        <f ca="1">_xlfn.XLOOKUP(PAA_4[[#This Row],[ITEM]],[2]Contrato!A:A,[2]Contrato!G:G,"",0)</f>
        <v>#NAME?</v>
      </c>
      <c r="AA1400" s="47" t="e">
        <f ca="1">_xlfn.XLOOKUP(PAA_4[[#This Row],[ITEM]],[2]Contrato!A:A,[2]Contrato!T:T,"",0)</f>
        <v>#NAME?</v>
      </c>
      <c r="AB1400" s="55" t="e">
        <f ca="1">+MAX(PAA_4[[#This Row],[Comprometido Contrato]],PAA_4[[#This Row],[Comprometido Bolsa]])</f>
        <v>#NAME?</v>
      </c>
      <c r="AC1400" s="55" t="str">
        <f t="shared" ca="1" si="507"/>
        <v/>
      </c>
      <c r="AD1400" s="55" t="e">
        <f ca="1">IF(PAA_4[[#This Row],[ESTADO (formulado)]]="NO CONTRATADO",0,MAX(PAA_4[[#This Row],[Pago por Contrato]],PAA_4[[#This Row],[Pago por bolsa]]))</f>
        <v>#NAME?</v>
      </c>
      <c r="AE1400" s="55" t="str">
        <f t="shared" ca="1" si="508"/>
        <v/>
      </c>
      <c r="AF1400" s="47" t="e">
        <f t="shared" ca="1" si="509"/>
        <v>#NAME?</v>
      </c>
      <c r="AG1400" s="47">
        <f t="shared" si="510"/>
        <v>44021011</v>
      </c>
      <c r="AH1400" s="54">
        <f>IF(Q1400="22",IF(ISNUMBER(SEARCH("econ",PAA_4[[#This Row],[Actividad3]])),"Económico",IF(ISNUMBER(SEARCH("alim",PAA_4[[#This Row],[Actividad3]])),"Alimentación",IF(ISNUMBER(SEARCH("educ",PAA_4[[#This Row],[Actividad3]])),"Educativo","Técnico"))),0)</f>
        <v>0</v>
      </c>
      <c r="AI1400" s="47" t="e" cm="1">
        <f t="array" aca="1" ref="AI1400" ca="1">_xlfn.XLOOKUP(PAA_4[[#This Row],[RCP-RUBRO]],[2]!COMPROMISOS_2024[[#All],[concatenado]],[2]!COMPROMISOS_2024[[#All],[Total pagado]],"",0)</f>
        <v>#NAME?</v>
      </c>
      <c r="AJ1400" s="56">
        <f>IF(PAA_4[[#This Row],[BOLSA]]=0,0,SUMIFS([2]!COMPROMISOS_2024[[#All],[Total pagado]],[2]!COMPROMISOS_2024[[#All],[Bolsa]],PAA_4[[#This Row],[BOLSA]],[2]!COMPROMISOS_2024[[#All],[rubro]],PAA_4[[#This Row],[RCP-RUBRO]]))</f>
        <v>0</v>
      </c>
      <c r="AK1400" s="47" t="e" cm="1">
        <f t="array" aca="1" ref="AK1400" ca="1">_xlfn.XLOOKUP(PAA_4[[#This Row],[RCP-RUBRO]],[2]!COMPROMISOS_2024[[#All],[concatenado]],[2]!COMPROMISOS_2024[[#All],[Total Comprometido]],"",0)</f>
        <v>#NAME?</v>
      </c>
      <c r="AL1400" s="47">
        <f>IF(PAA_4[[#This Row],[BOLSA]]=0,0,SUMIFS([2]!COMPROMISOS_2024[[#All],[Total Comprometido]],[2]!COMPROMISOS_2024[[#All],[Bolsa]],PAA_4[[#This Row],[BOLSA]],[2]!COMPROMISOS_2024[[#All],[concatenado]],PAA_4[[#This Row],[RCP-RUBRO]]))</f>
        <v>0</v>
      </c>
    </row>
    <row r="1401" spans="1:38" s="19" customFormat="1" ht="31.5" customHeight="1">
      <c r="A1401" s="47">
        <v>787</v>
      </c>
      <c r="B1401" s="364" t="s">
        <v>393</v>
      </c>
      <c r="C1401" s="47" t="str">
        <f>VLOOKUP(PAA_4[[#This Row],[PROYECTO (formulado)2]],[2]PROYECTOS!$G$1:$L$32,6,0)</f>
        <v>SUBGERENCIA DE FOMENTO Y DESARROLLO</v>
      </c>
      <c r="D1401" s="47" t="str">
        <f>+IF(PAA_4[[#This Row],[UNIDAD DE CONTRATACION (formulado)]]="Subgerencia Administrativa y Financiera","FUNCIONAMIENTO","INVERSIÓN")</f>
        <v>INVERSIÓN</v>
      </c>
      <c r="E1401" s="48" t="str">
        <f>VLOOKUP(Q1401,[2]PROYECTOS!$G$1:$K$32,5,0)</f>
        <v>FORTALECIMIENTO_DE_LOS_JUEGOS_DEL_SECTOR_EDUCATIVO_EN_ANTIOQUIA</v>
      </c>
      <c r="F1401" s="48">
        <f>VLOOKUP(E1401,[2]PROYECTOS!$K$1:$M$32,3,0)</f>
        <v>2020003050034</v>
      </c>
      <c r="G1401" s="49" t="s">
        <v>412</v>
      </c>
      <c r="H1401" s="49" t="str">
        <f>VLOOKUP(Q1401,[2]PROYECTOS!$V$1:$W$32,2,0)</f>
        <v>050053</v>
      </c>
      <c r="I1401" s="50">
        <v>270208683</v>
      </c>
      <c r="J1401" s="51" t="s">
        <v>1885</v>
      </c>
      <c r="K1401" s="47" t="str">
        <f t="shared" ca="1" si="505"/>
        <v>CONTRATADO</v>
      </c>
      <c r="L1401" s="47" t="s">
        <v>94</v>
      </c>
      <c r="M1401" s="47" t="s">
        <v>161</v>
      </c>
      <c r="N1401" s="52" t="s">
        <v>449</v>
      </c>
      <c r="O1401" s="51" t="e">
        <f>VLOOKUP(N1401,[2]!RUBROS[#All],3,0)</f>
        <v>#REF!</v>
      </c>
      <c r="P1401" s="53" t="e">
        <f>VLOOKUP(N1401,[2]!RUBROS[#All],2,0)</f>
        <v>#REF!</v>
      </c>
      <c r="Q1401" s="47" t="str">
        <f t="shared" si="506"/>
        <v>51</v>
      </c>
      <c r="R1401" s="47" t="str">
        <f t="shared" si="500"/>
        <v>4-271130</v>
      </c>
      <c r="S1401" s="54">
        <v>3</v>
      </c>
      <c r="T1401" s="59" t="s">
        <v>46</v>
      </c>
      <c r="U1401" s="326" t="e">
        <f ca="1">_xlfn.XLOOKUP(PAA_4[[#This Row],[ITEM]],[2]Contrato!A:A,[2]Contrato!Q:Q,"",0)</f>
        <v>#NAME?</v>
      </c>
      <c r="V1401" s="47" t="s">
        <v>95</v>
      </c>
      <c r="W1401" s="47" t="s">
        <v>154</v>
      </c>
      <c r="X1401" s="47" t="s">
        <v>154</v>
      </c>
      <c r="Y1401" s="55" t="e">
        <f ca="1">_xlfn.XLOOKUP(PAA_4[[#This Row],[ITEM]],[2]Contrato!A:A,[2]Contrato!B:B,"",0)</f>
        <v>#NAME?</v>
      </c>
      <c r="Z1401" s="47" t="e">
        <f ca="1">_xlfn.XLOOKUP(PAA_4[[#This Row],[ITEM]],[2]Contrato!A:A,[2]Contrato!G:G,"",0)</f>
        <v>#NAME?</v>
      </c>
      <c r="AA1401" s="47" t="e">
        <f ca="1">_xlfn.XLOOKUP(PAA_4[[#This Row],[ITEM]],[2]Contrato!A:A,[2]Contrato!T:T,"",0)</f>
        <v>#NAME?</v>
      </c>
      <c r="AB1401" s="55" t="e">
        <f ca="1">+MAX(PAA_4[[#This Row],[Comprometido Contrato]],PAA_4[[#This Row],[Comprometido Bolsa]])</f>
        <v>#NAME?</v>
      </c>
      <c r="AC1401" s="55" t="str">
        <f t="shared" ca="1" si="507"/>
        <v/>
      </c>
      <c r="AD1401" s="55" t="e">
        <f ca="1">IF(PAA_4[[#This Row],[ESTADO (formulado)]]="NO CONTRATADO",0,MAX(PAA_4[[#This Row],[Pago por Contrato]],PAA_4[[#This Row],[Pago por bolsa]]))</f>
        <v>#NAME?</v>
      </c>
      <c r="AE1401" s="55" t="str">
        <f t="shared" ca="1" si="508"/>
        <v/>
      </c>
      <c r="AF1401" s="47" t="e">
        <f t="shared" ca="1" si="509"/>
        <v>#NAME?</v>
      </c>
      <c r="AG1401" s="47">
        <f t="shared" si="510"/>
        <v>44021011</v>
      </c>
      <c r="AH1401" s="54">
        <f>IF(Q1401="22",IF(ISNUMBER(SEARCH("econ",PAA_4[[#This Row],[Actividad3]])),"Económico",IF(ISNUMBER(SEARCH("alim",PAA_4[[#This Row],[Actividad3]])),"Alimentación",IF(ISNUMBER(SEARCH("educ",PAA_4[[#This Row],[Actividad3]])),"Educativo","Técnico"))),0)</f>
        <v>0</v>
      </c>
      <c r="AI1401" s="47" t="e" cm="1">
        <f t="array" aca="1" ref="AI1401" ca="1">_xlfn.XLOOKUP(PAA_4[[#This Row],[RCP-RUBRO]],[2]!COMPROMISOS_2024[[#All],[concatenado]],[2]!COMPROMISOS_2024[[#All],[Total pagado]],"",0)</f>
        <v>#NAME?</v>
      </c>
      <c r="AJ1401" s="56">
        <f>IF(PAA_4[[#This Row],[BOLSA]]=0,0,SUMIFS([2]!COMPROMISOS_2024[[#All],[Total pagado]],[2]!COMPROMISOS_2024[[#All],[Bolsa]],PAA_4[[#This Row],[BOLSA]],[2]!COMPROMISOS_2024[[#All],[rubro]],PAA_4[[#This Row],[RCP-RUBRO]]))</f>
        <v>0</v>
      </c>
      <c r="AK1401" s="47" t="e" cm="1">
        <f t="array" aca="1" ref="AK1401" ca="1">_xlfn.XLOOKUP(PAA_4[[#This Row],[RCP-RUBRO]],[2]!COMPROMISOS_2024[[#All],[concatenado]],[2]!COMPROMISOS_2024[[#All],[Total Comprometido]],"",0)</f>
        <v>#NAME?</v>
      </c>
      <c r="AL1401" s="47">
        <f>IF(PAA_4[[#This Row],[BOLSA]]=0,0,SUMIFS([2]!COMPROMISOS_2024[[#All],[Total Comprometido]],[2]!COMPROMISOS_2024[[#All],[Bolsa]],PAA_4[[#This Row],[BOLSA]],[2]!COMPROMISOS_2024[[#All],[concatenado]],PAA_4[[#This Row],[RCP-RUBRO]]))</f>
        <v>0</v>
      </c>
    </row>
    <row r="1402" spans="1:38" s="19" customFormat="1" ht="31.5" customHeight="1">
      <c r="A1402" s="47">
        <v>787</v>
      </c>
      <c r="B1402" s="364" t="s">
        <v>393</v>
      </c>
      <c r="C1402" s="47" t="str">
        <f>VLOOKUP(PAA_4[[#This Row],[PROYECTO (formulado)2]],[2]PROYECTOS!$G$1:$L$32,6,0)</f>
        <v>SUBGERENCIA DE FOMENTO Y DESARROLLO</v>
      </c>
      <c r="D1402" s="47" t="str">
        <f>+IF(PAA_4[[#This Row],[UNIDAD DE CONTRATACION (formulado)]]="Subgerencia Administrativa y Financiera","FUNCIONAMIENTO","INVERSIÓN")</f>
        <v>INVERSIÓN</v>
      </c>
      <c r="E1402" s="48" t="str">
        <f>VLOOKUP(Q1402,[2]PROYECTOS!$G$1:$K$32,5,0)</f>
        <v>FORTALECIMIENTO_DE_LOS_JUEGOS_DEL_SECTOR_EDUCATIVO_EN_ANTIOQUIA</v>
      </c>
      <c r="F1402" s="48">
        <f>VLOOKUP(E1402,[2]PROYECTOS!$K$1:$M$32,3,0)</f>
        <v>2020003050034</v>
      </c>
      <c r="G1402" s="49" t="s">
        <v>412</v>
      </c>
      <c r="H1402" s="49" t="str">
        <f>VLOOKUP(Q1402,[2]PROYECTOS!$V$1:$W$32,2,0)</f>
        <v>050053</v>
      </c>
      <c r="I1402" s="50">
        <v>398584978</v>
      </c>
      <c r="J1402" s="51" t="s">
        <v>1886</v>
      </c>
      <c r="K1402" s="47" t="str">
        <f t="shared" ca="1" si="505"/>
        <v>CONTRATADO</v>
      </c>
      <c r="L1402" s="47" t="s">
        <v>94</v>
      </c>
      <c r="M1402" s="47" t="s">
        <v>161</v>
      </c>
      <c r="N1402" s="52" t="s">
        <v>145</v>
      </c>
      <c r="O1402" s="51" t="e">
        <f>VLOOKUP(N1402,[2]!RUBROS[#All],3,0)</f>
        <v>#REF!</v>
      </c>
      <c r="P1402" s="53" t="e">
        <f>VLOOKUP(N1402,[2]!RUBROS[#All],2,0)</f>
        <v>#REF!</v>
      </c>
      <c r="Q1402" s="47" t="str">
        <f t="shared" si="506"/>
        <v>51</v>
      </c>
      <c r="R1402" s="47" t="str">
        <f t="shared" si="500"/>
        <v>0-205400</v>
      </c>
      <c r="S1402" s="54">
        <v>3</v>
      </c>
      <c r="T1402" s="59" t="s">
        <v>46</v>
      </c>
      <c r="U1402" s="326" t="e">
        <f ca="1">_xlfn.XLOOKUP(PAA_4[[#This Row],[ITEM]],[2]Contrato!A:A,[2]Contrato!Q:Q,"",0)</f>
        <v>#NAME?</v>
      </c>
      <c r="V1402" s="47" t="s">
        <v>95</v>
      </c>
      <c r="W1402" s="47" t="s">
        <v>154</v>
      </c>
      <c r="X1402" s="47" t="s">
        <v>154</v>
      </c>
      <c r="Y1402" s="55" t="e">
        <f ca="1">_xlfn.XLOOKUP(PAA_4[[#This Row],[ITEM]],[2]Contrato!A:A,[2]Contrato!B:B,"",0)</f>
        <v>#NAME?</v>
      </c>
      <c r="Z1402" s="47" t="e">
        <f ca="1">_xlfn.XLOOKUP(PAA_4[[#This Row],[ITEM]],[2]Contrato!A:A,[2]Contrato!G:G,"",0)</f>
        <v>#NAME?</v>
      </c>
      <c r="AA1402" s="47" t="e">
        <f ca="1">_xlfn.XLOOKUP(PAA_4[[#This Row],[ITEM]],[2]Contrato!A:A,[2]Contrato!T:T,"",0)</f>
        <v>#NAME?</v>
      </c>
      <c r="AB1402" s="55" t="e">
        <f ca="1">+MAX(PAA_4[[#This Row],[Comprometido Contrato]],PAA_4[[#This Row],[Comprometido Bolsa]])</f>
        <v>#NAME?</v>
      </c>
      <c r="AC1402" s="55" t="str">
        <f t="shared" ca="1" si="507"/>
        <v/>
      </c>
      <c r="AD1402" s="55" t="e">
        <f ca="1">IF(PAA_4[[#This Row],[ESTADO (formulado)]]="NO CONTRATADO",0,MAX(PAA_4[[#This Row],[Pago por Contrato]],PAA_4[[#This Row],[Pago por bolsa]]))</f>
        <v>#NAME?</v>
      </c>
      <c r="AE1402" s="55" t="str">
        <f t="shared" ca="1" si="508"/>
        <v/>
      </c>
      <c r="AF1402" s="47" t="e">
        <f t="shared" ca="1" si="509"/>
        <v>#NAME?</v>
      </c>
      <c r="AG1402" s="47">
        <f t="shared" si="510"/>
        <v>44021011</v>
      </c>
      <c r="AH1402" s="54">
        <f>IF(Q1402="22",IF(ISNUMBER(SEARCH("econ",PAA_4[[#This Row],[Actividad3]])),"Económico",IF(ISNUMBER(SEARCH("alim",PAA_4[[#This Row],[Actividad3]])),"Alimentación",IF(ISNUMBER(SEARCH("educ",PAA_4[[#This Row],[Actividad3]])),"Educativo","Técnico"))),0)</f>
        <v>0</v>
      </c>
      <c r="AI1402" s="47" t="e" cm="1">
        <f t="array" aca="1" ref="AI1402" ca="1">_xlfn.XLOOKUP(PAA_4[[#This Row],[RCP-RUBRO]],[2]!COMPROMISOS_2024[[#All],[concatenado]],[2]!COMPROMISOS_2024[[#All],[Total pagado]],"",0)</f>
        <v>#NAME?</v>
      </c>
      <c r="AJ1402" s="56">
        <f>IF(PAA_4[[#This Row],[BOLSA]]=0,0,SUMIFS([2]!COMPROMISOS_2024[[#All],[Total pagado]],[2]!COMPROMISOS_2024[[#All],[Bolsa]],PAA_4[[#This Row],[BOLSA]],[2]!COMPROMISOS_2024[[#All],[rubro]],PAA_4[[#This Row],[RCP-RUBRO]]))</f>
        <v>0</v>
      </c>
      <c r="AK1402" s="47" t="e" cm="1">
        <f t="array" aca="1" ref="AK1402" ca="1">_xlfn.XLOOKUP(PAA_4[[#This Row],[RCP-RUBRO]],[2]!COMPROMISOS_2024[[#All],[concatenado]],[2]!COMPROMISOS_2024[[#All],[Total Comprometido]],"",0)</f>
        <v>#NAME?</v>
      </c>
      <c r="AL1402" s="47">
        <f>IF(PAA_4[[#This Row],[BOLSA]]=0,0,SUMIFS([2]!COMPROMISOS_2024[[#All],[Total Comprometido]],[2]!COMPROMISOS_2024[[#All],[Bolsa]],PAA_4[[#This Row],[BOLSA]],[2]!COMPROMISOS_2024[[#All],[concatenado]],PAA_4[[#This Row],[RCP-RUBRO]]))</f>
        <v>0</v>
      </c>
    </row>
    <row r="1403" spans="1:38" s="19" customFormat="1" ht="31.5" customHeight="1">
      <c r="A1403" s="47">
        <v>788</v>
      </c>
      <c r="B1403" s="364" t="s">
        <v>393</v>
      </c>
      <c r="C1403" s="47" t="str">
        <f>VLOOKUP(PAA_4[[#This Row],[PROYECTO (formulado)2]],[2]PROYECTOS!$G$1:$L$32,6,0)</f>
        <v>SUBGERENCIA DE FOMENTO Y DESARROLLO</v>
      </c>
      <c r="D1403" s="47" t="str">
        <f>+IF(PAA_4[[#This Row],[UNIDAD DE CONTRATACION (formulado)]]="Subgerencia Administrativa y Financiera","FUNCIONAMIENTO","INVERSIÓN")</f>
        <v>INVERSIÓN</v>
      </c>
      <c r="E1403" s="48" t="str">
        <f>VLOOKUP(Q1403,[2]PROYECTOS!$G$1:$K$32,5,0)</f>
        <v>FORTALECIMIENTO_DE_LOS_JUEGOS_DEL_SECTOR_EDUCATIVO_EN_ANTIOQUIA</v>
      </c>
      <c r="F1403" s="48">
        <f>VLOOKUP(E1403,[2]PROYECTOS!$K$1:$M$32,3,0)</f>
        <v>2020003050034</v>
      </c>
      <c r="G1403" s="49" t="s">
        <v>412</v>
      </c>
      <c r="H1403" s="49" t="str">
        <f>VLOOKUP(Q1403,[2]PROYECTOS!$V$1:$W$32,2,0)</f>
        <v>050053</v>
      </c>
      <c r="I1403" s="50">
        <v>152396165</v>
      </c>
      <c r="J1403" s="51" t="s">
        <v>1887</v>
      </c>
      <c r="K1403" s="47" t="str">
        <f t="shared" ca="1" si="505"/>
        <v>CONTRATADO</v>
      </c>
      <c r="L1403" s="47" t="s">
        <v>94</v>
      </c>
      <c r="M1403" s="47" t="s">
        <v>161</v>
      </c>
      <c r="N1403" s="52" t="s">
        <v>449</v>
      </c>
      <c r="O1403" s="51" t="e">
        <f>VLOOKUP(N1403,[2]!RUBROS[#All],3,0)</f>
        <v>#REF!</v>
      </c>
      <c r="P1403" s="53" t="e">
        <f>VLOOKUP(N1403,[2]!RUBROS[#All],2,0)</f>
        <v>#REF!</v>
      </c>
      <c r="Q1403" s="47" t="str">
        <f t="shared" si="506"/>
        <v>51</v>
      </c>
      <c r="R1403" s="47" t="str">
        <f t="shared" si="500"/>
        <v>4-271130</v>
      </c>
      <c r="S1403" s="54">
        <v>3</v>
      </c>
      <c r="T1403" s="59" t="s">
        <v>46</v>
      </c>
      <c r="U1403" s="326" t="e">
        <f ca="1">_xlfn.XLOOKUP(PAA_4[[#This Row],[ITEM]],[2]Contrato!A:A,[2]Contrato!Q:Q,"",0)</f>
        <v>#NAME?</v>
      </c>
      <c r="V1403" s="47" t="s">
        <v>95</v>
      </c>
      <c r="W1403" s="47" t="s">
        <v>154</v>
      </c>
      <c r="X1403" s="47" t="s">
        <v>154</v>
      </c>
      <c r="Y1403" s="55" t="e">
        <f ca="1">_xlfn.XLOOKUP(PAA_4[[#This Row],[ITEM]],[2]Contrato!A:A,[2]Contrato!B:B,"",0)</f>
        <v>#NAME?</v>
      </c>
      <c r="Z1403" s="47" t="e">
        <f ca="1">_xlfn.XLOOKUP(PAA_4[[#This Row],[ITEM]],[2]Contrato!A:A,[2]Contrato!G:G,"",0)</f>
        <v>#NAME?</v>
      </c>
      <c r="AA1403" s="47" t="e">
        <f ca="1">_xlfn.XLOOKUP(PAA_4[[#This Row],[ITEM]],[2]Contrato!A:A,[2]Contrato!T:T,"",0)</f>
        <v>#NAME?</v>
      </c>
      <c r="AB1403" s="55" t="e">
        <f ca="1">+MAX(PAA_4[[#This Row],[Comprometido Contrato]],PAA_4[[#This Row],[Comprometido Bolsa]])</f>
        <v>#NAME?</v>
      </c>
      <c r="AC1403" s="55" t="str">
        <f t="shared" ca="1" si="507"/>
        <v/>
      </c>
      <c r="AD1403" s="55" t="e">
        <f ca="1">IF(PAA_4[[#This Row],[ESTADO (formulado)]]="NO CONTRATADO",0,MAX(PAA_4[[#This Row],[Pago por Contrato]],PAA_4[[#This Row],[Pago por bolsa]]))</f>
        <v>#NAME?</v>
      </c>
      <c r="AE1403" s="55" t="str">
        <f t="shared" ca="1" si="508"/>
        <v/>
      </c>
      <c r="AF1403" s="47" t="e">
        <f t="shared" ca="1" si="509"/>
        <v>#NAME?</v>
      </c>
      <c r="AG1403" s="47">
        <f t="shared" si="510"/>
        <v>44021011</v>
      </c>
      <c r="AH1403" s="54">
        <f>IF(Q1403="22",IF(ISNUMBER(SEARCH("econ",PAA_4[[#This Row],[Actividad3]])),"Económico",IF(ISNUMBER(SEARCH("alim",PAA_4[[#This Row],[Actividad3]])),"Alimentación",IF(ISNUMBER(SEARCH("educ",PAA_4[[#This Row],[Actividad3]])),"Educativo","Técnico"))),0)</f>
        <v>0</v>
      </c>
      <c r="AI1403" s="47" t="e" cm="1">
        <f t="array" aca="1" ref="AI1403" ca="1">_xlfn.XLOOKUP(PAA_4[[#This Row],[RCP-RUBRO]],[2]!COMPROMISOS_2024[[#All],[concatenado]],[2]!COMPROMISOS_2024[[#All],[Total pagado]],"",0)</f>
        <v>#NAME?</v>
      </c>
      <c r="AJ1403" s="56">
        <f>IF(PAA_4[[#This Row],[BOLSA]]=0,0,SUMIFS([2]!COMPROMISOS_2024[[#All],[Total pagado]],[2]!COMPROMISOS_2024[[#All],[Bolsa]],PAA_4[[#This Row],[BOLSA]],[2]!COMPROMISOS_2024[[#All],[rubro]],PAA_4[[#This Row],[RCP-RUBRO]]))</f>
        <v>0</v>
      </c>
      <c r="AK1403" s="47" t="e" cm="1">
        <f t="array" aca="1" ref="AK1403" ca="1">_xlfn.XLOOKUP(PAA_4[[#This Row],[RCP-RUBRO]],[2]!COMPROMISOS_2024[[#All],[concatenado]],[2]!COMPROMISOS_2024[[#All],[Total Comprometido]],"",0)</f>
        <v>#NAME?</v>
      </c>
      <c r="AL1403" s="47">
        <f>IF(PAA_4[[#This Row],[BOLSA]]=0,0,SUMIFS([2]!COMPROMISOS_2024[[#All],[Total Comprometido]],[2]!COMPROMISOS_2024[[#All],[Bolsa]],PAA_4[[#This Row],[BOLSA]],[2]!COMPROMISOS_2024[[#All],[concatenado]],PAA_4[[#This Row],[RCP-RUBRO]]))</f>
        <v>0</v>
      </c>
    </row>
    <row r="1404" spans="1:38" s="19" customFormat="1" ht="31.5" customHeight="1">
      <c r="A1404" s="47">
        <v>788</v>
      </c>
      <c r="B1404" s="364" t="s">
        <v>393</v>
      </c>
      <c r="C1404" s="47" t="str">
        <f>VLOOKUP(PAA_4[[#This Row],[PROYECTO (formulado)2]],[2]PROYECTOS!$G$1:$L$32,6,0)</f>
        <v>SUBGERENCIA DE FOMENTO Y DESARROLLO</v>
      </c>
      <c r="D1404" s="47" t="str">
        <f>+IF(PAA_4[[#This Row],[UNIDAD DE CONTRATACION (formulado)]]="Subgerencia Administrativa y Financiera","FUNCIONAMIENTO","INVERSIÓN")</f>
        <v>INVERSIÓN</v>
      </c>
      <c r="E1404" s="48" t="str">
        <f>VLOOKUP(Q1404,[2]PROYECTOS!$G$1:$K$32,5,0)</f>
        <v>FORTALECIMIENTO_DE_LOS_JUEGOS_DEL_SECTOR_EDUCATIVO_EN_ANTIOQUIA</v>
      </c>
      <c r="F1404" s="48">
        <f>VLOOKUP(E1404,[2]PROYECTOS!$K$1:$M$32,3,0)</f>
        <v>2020003050034</v>
      </c>
      <c r="G1404" s="49" t="s">
        <v>412</v>
      </c>
      <c r="H1404" s="49" t="str">
        <f>VLOOKUP(Q1404,[2]PROYECTOS!$V$1:$W$32,2,0)</f>
        <v>050053</v>
      </c>
      <c r="I1404" s="50">
        <v>249115611</v>
      </c>
      <c r="J1404" s="51" t="s">
        <v>1888</v>
      </c>
      <c r="K1404" s="47" t="str">
        <f t="shared" ca="1" si="505"/>
        <v>CONTRATADO</v>
      </c>
      <c r="L1404" s="47" t="s">
        <v>94</v>
      </c>
      <c r="M1404" s="47" t="s">
        <v>161</v>
      </c>
      <c r="N1404" s="52" t="s">
        <v>145</v>
      </c>
      <c r="O1404" s="51" t="e">
        <f>VLOOKUP(N1404,[2]!RUBROS[#All],3,0)</f>
        <v>#REF!</v>
      </c>
      <c r="P1404" s="53" t="e">
        <f>VLOOKUP(N1404,[2]!RUBROS[#All],2,0)</f>
        <v>#REF!</v>
      </c>
      <c r="Q1404" s="47" t="str">
        <f t="shared" si="506"/>
        <v>51</v>
      </c>
      <c r="R1404" s="47" t="str">
        <f t="shared" si="500"/>
        <v>0-205400</v>
      </c>
      <c r="S1404" s="54">
        <v>3</v>
      </c>
      <c r="T1404" s="59" t="s">
        <v>46</v>
      </c>
      <c r="U1404" s="326" t="e">
        <f ca="1">_xlfn.XLOOKUP(PAA_4[[#This Row],[ITEM]],[2]Contrato!A:A,[2]Contrato!Q:Q,"",0)</f>
        <v>#NAME?</v>
      </c>
      <c r="V1404" s="47" t="s">
        <v>95</v>
      </c>
      <c r="W1404" s="47" t="s">
        <v>154</v>
      </c>
      <c r="X1404" s="47" t="s">
        <v>154</v>
      </c>
      <c r="Y1404" s="55" t="e">
        <f ca="1">_xlfn.XLOOKUP(PAA_4[[#This Row],[ITEM]],[2]Contrato!A:A,[2]Contrato!B:B,"",0)</f>
        <v>#NAME?</v>
      </c>
      <c r="Z1404" s="47" t="e">
        <f ca="1">_xlfn.XLOOKUP(PAA_4[[#This Row],[ITEM]],[2]Contrato!A:A,[2]Contrato!G:G,"",0)</f>
        <v>#NAME?</v>
      </c>
      <c r="AA1404" s="47" t="e">
        <f ca="1">_xlfn.XLOOKUP(PAA_4[[#This Row],[ITEM]],[2]Contrato!A:A,[2]Contrato!T:T,"",0)</f>
        <v>#NAME?</v>
      </c>
      <c r="AB1404" s="55" t="e">
        <f ca="1">+MAX(PAA_4[[#This Row],[Comprometido Contrato]],PAA_4[[#This Row],[Comprometido Bolsa]])</f>
        <v>#NAME?</v>
      </c>
      <c r="AC1404" s="55" t="str">
        <f t="shared" ca="1" si="507"/>
        <v/>
      </c>
      <c r="AD1404" s="55" t="e">
        <f ca="1">IF(PAA_4[[#This Row],[ESTADO (formulado)]]="NO CONTRATADO",0,MAX(PAA_4[[#This Row],[Pago por Contrato]],PAA_4[[#This Row],[Pago por bolsa]]))</f>
        <v>#NAME?</v>
      </c>
      <c r="AE1404" s="55" t="str">
        <f t="shared" ca="1" si="508"/>
        <v/>
      </c>
      <c r="AF1404" s="47" t="e">
        <f t="shared" ca="1" si="509"/>
        <v>#NAME?</v>
      </c>
      <c r="AG1404" s="47">
        <f t="shared" si="510"/>
        <v>44021011</v>
      </c>
      <c r="AH1404" s="54">
        <f>IF(Q1404="22",IF(ISNUMBER(SEARCH("econ",PAA_4[[#This Row],[Actividad3]])),"Económico",IF(ISNUMBER(SEARCH("alim",PAA_4[[#This Row],[Actividad3]])),"Alimentación",IF(ISNUMBER(SEARCH("educ",PAA_4[[#This Row],[Actividad3]])),"Educativo","Técnico"))),0)</f>
        <v>0</v>
      </c>
      <c r="AI1404" s="47" t="e" cm="1">
        <f t="array" aca="1" ref="AI1404" ca="1">_xlfn.XLOOKUP(PAA_4[[#This Row],[RCP-RUBRO]],[2]!COMPROMISOS_2024[[#All],[concatenado]],[2]!COMPROMISOS_2024[[#All],[Total pagado]],"",0)</f>
        <v>#NAME?</v>
      </c>
      <c r="AJ1404" s="56">
        <f>IF(PAA_4[[#This Row],[BOLSA]]=0,0,SUMIFS([2]!COMPROMISOS_2024[[#All],[Total pagado]],[2]!COMPROMISOS_2024[[#All],[Bolsa]],PAA_4[[#This Row],[BOLSA]],[2]!COMPROMISOS_2024[[#All],[rubro]],PAA_4[[#This Row],[RCP-RUBRO]]))</f>
        <v>0</v>
      </c>
      <c r="AK1404" s="47" t="e" cm="1">
        <f t="array" aca="1" ref="AK1404" ca="1">_xlfn.XLOOKUP(PAA_4[[#This Row],[RCP-RUBRO]],[2]!COMPROMISOS_2024[[#All],[concatenado]],[2]!COMPROMISOS_2024[[#All],[Total Comprometido]],"",0)</f>
        <v>#NAME?</v>
      </c>
      <c r="AL1404" s="47">
        <f>IF(PAA_4[[#This Row],[BOLSA]]=0,0,SUMIFS([2]!COMPROMISOS_2024[[#All],[Total Comprometido]],[2]!COMPROMISOS_2024[[#All],[Bolsa]],PAA_4[[#This Row],[BOLSA]],[2]!COMPROMISOS_2024[[#All],[concatenado]],PAA_4[[#This Row],[RCP-RUBRO]]))</f>
        <v>0</v>
      </c>
    </row>
    <row r="1405" spans="1:38" s="19" customFormat="1" ht="31.5" customHeight="1">
      <c r="A1405" s="47" t="s">
        <v>82</v>
      </c>
      <c r="B1405" s="366" t="s">
        <v>42</v>
      </c>
      <c r="C1405" s="47" t="str">
        <f>VLOOKUP(PAA_4[[#This Row],[PROYECTO (formulado)2]],[2]PROYECTOS!$G$1:$L$32,6,0)</f>
        <v>SUBGERENCIA DE FOMENTO Y DESARROLLO</v>
      </c>
      <c r="D1405" s="47" t="str">
        <f>+IF(PAA_4[[#This Row],[UNIDAD DE CONTRATACION (formulado)]]="Subgerencia Administrativa y Financiera","FUNCIONAMIENTO","INVERSIÓN")</f>
        <v>INVERSIÓN</v>
      </c>
      <c r="E1405" s="48" t="str">
        <f>VLOOKUP(Q1405,[2]PROYECTOS!$G$1:$K$32,5,0)</f>
        <v>FORTALECIMIENTO_DE_LOS_JUEGOS_DEL_SECTOR_EDUCATIVO_EN_ANTIOQUIA</v>
      </c>
      <c r="F1405" s="48">
        <f>VLOOKUP(E1405,[2]PROYECTOS!$K$1:$M$32,3,0)</f>
        <v>2020003050034</v>
      </c>
      <c r="G1405" s="49" t="s">
        <v>412</v>
      </c>
      <c r="H1405" s="49" t="str">
        <f>VLOOKUP(Q1405,[2]PROYECTOS!$V$1:$W$32,2,0)</f>
        <v>050053</v>
      </c>
      <c r="I1405" s="50">
        <v>34553049</v>
      </c>
      <c r="J1405" s="51" t="s">
        <v>1874</v>
      </c>
      <c r="K1405" s="47" t="str">
        <f t="shared" ca="1" si="505"/>
        <v>CONTRATADO</v>
      </c>
      <c r="L1405" s="47" t="s">
        <v>42</v>
      </c>
      <c r="M1405" s="47" t="s">
        <v>42</v>
      </c>
      <c r="N1405" s="52" t="s">
        <v>449</v>
      </c>
      <c r="O1405" s="51" t="e">
        <f>VLOOKUP(N1405,[2]!RUBROS[#All],3,0)</f>
        <v>#REF!</v>
      </c>
      <c r="P1405" s="53" t="e">
        <f>VLOOKUP(N1405,[2]!RUBROS[#All],2,0)</f>
        <v>#REF!</v>
      </c>
      <c r="Q1405" s="47" t="str">
        <f t="shared" si="506"/>
        <v>51</v>
      </c>
      <c r="R1405" s="47" t="str">
        <f t="shared" si="500"/>
        <v>4-271130</v>
      </c>
      <c r="S1405" s="54" t="s">
        <v>42</v>
      </c>
      <c r="T1405" s="59" t="s">
        <v>42</v>
      </c>
      <c r="U1405" s="326" t="e">
        <f ca="1">_xlfn.XLOOKUP(PAA_4[[#This Row],[ITEM]],[2]Contrato!A:A,[2]Contrato!Q:Q,"",0)</f>
        <v>#NAME?</v>
      </c>
      <c r="V1405" s="47" t="s">
        <v>95</v>
      </c>
      <c r="W1405" s="64" t="s">
        <v>42</v>
      </c>
      <c r="X1405" s="64" t="s">
        <v>42</v>
      </c>
      <c r="Y1405" s="55" t="e">
        <f ca="1">_xlfn.XLOOKUP(PAA_4[[#This Row],[ITEM]],[2]Contrato!A:A,[2]Contrato!B:B,"",0)</f>
        <v>#NAME?</v>
      </c>
      <c r="Z1405" s="47" t="e">
        <f ca="1">_xlfn.XLOOKUP(PAA_4[[#This Row],[ITEM]],[2]Contrato!A:A,[2]Contrato!G:G,"",0)</f>
        <v>#NAME?</v>
      </c>
      <c r="AA1405" s="47" t="e">
        <f ca="1">_xlfn.XLOOKUP(PAA_4[[#This Row],[ITEM]],[2]Contrato!A:A,[2]Contrato!T:T,"",0)</f>
        <v>#NAME?</v>
      </c>
      <c r="AB1405" s="55" t="e">
        <f ca="1">+MAX(PAA_4[[#This Row],[Comprometido Contrato]],PAA_4[[#This Row],[Comprometido Bolsa]])</f>
        <v>#NAME?</v>
      </c>
      <c r="AC1405" s="55" t="str">
        <f t="shared" ca="1" si="507"/>
        <v/>
      </c>
      <c r="AD1405" s="55" t="e">
        <f ca="1">IF(PAA_4[[#This Row],[ESTADO (formulado)]]="NO CONTRATADO",0,MAX(PAA_4[[#This Row],[Pago por Contrato]],PAA_4[[#This Row],[Pago por bolsa]]))</f>
        <v>#NAME?</v>
      </c>
      <c r="AE1405" s="55" t="str">
        <f t="shared" ca="1" si="508"/>
        <v/>
      </c>
      <c r="AF1405" s="47" t="e">
        <f t="shared" ca="1" si="509"/>
        <v>#NAME?</v>
      </c>
      <c r="AG1405" s="47">
        <f t="shared" si="510"/>
        <v>44021011</v>
      </c>
      <c r="AH1405" s="54">
        <f>IF(Q1405="22",IF(ISNUMBER(SEARCH("econ",PAA_4[[#This Row],[Actividad3]])),"Económico",IF(ISNUMBER(SEARCH("alim",PAA_4[[#This Row],[Actividad3]])),"Alimentación",IF(ISNUMBER(SEARCH("educ",PAA_4[[#This Row],[Actividad3]])),"Educativo","Técnico"))),0)</f>
        <v>0</v>
      </c>
      <c r="AI1405" s="47" t="e" cm="1">
        <f t="array" aca="1" ref="AI1405" ca="1">_xlfn.XLOOKUP(PAA_4[[#This Row],[RCP-RUBRO]],[2]!COMPROMISOS_2024[[#All],[concatenado]],[2]!COMPROMISOS_2024[[#All],[Total pagado]],"",0)</f>
        <v>#NAME?</v>
      </c>
      <c r="AJ1405" s="56">
        <f>IF(PAA_4[[#This Row],[BOLSA]]=0,0,SUMIFS([2]!COMPROMISOS_2024[[#All],[Total pagado]],[2]!COMPROMISOS_2024[[#All],[Bolsa]],PAA_4[[#This Row],[BOLSA]],[2]!COMPROMISOS_2024[[#All],[rubro]],PAA_4[[#This Row],[RCP-RUBRO]]))</f>
        <v>0</v>
      </c>
      <c r="AK1405" s="47" t="e" cm="1">
        <f t="array" aca="1" ref="AK1405" ca="1">_xlfn.XLOOKUP(PAA_4[[#This Row],[RCP-RUBRO]],[2]!COMPROMISOS_2024[[#All],[concatenado]],[2]!COMPROMISOS_2024[[#All],[Total Comprometido]],"",0)</f>
        <v>#NAME?</v>
      </c>
      <c r="AL1405" s="47">
        <f>IF(PAA_4[[#This Row],[BOLSA]]=0,0,SUMIFS([2]!COMPROMISOS_2024[[#All],[Total Comprometido]],[2]!COMPROMISOS_2024[[#All],[Bolsa]],PAA_4[[#This Row],[BOLSA]],[2]!COMPROMISOS_2024[[#All],[concatenado]],PAA_4[[#This Row],[RCP-RUBRO]]))</f>
        <v>0</v>
      </c>
    </row>
    <row r="1406" spans="1:38" s="19" customFormat="1" ht="31.5" customHeight="1">
      <c r="A1406" s="47" t="s">
        <v>82</v>
      </c>
      <c r="B1406" s="366" t="s">
        <v>42</v>
      </c>
      <c r="C1406" s="47" t="str">
        <f>VLOOKUP(PAA_4[[#This Row],[PROYECTO (formulado)2]],[2]PROYECTOS!$G$1:$L$32,6,0)</f>
        <v>SUBGERENCIA DE FOMENTO Y DESARROLLO</v>
      </c>
      <c r="D1406" s="47" t="str">
        <f>+IF(PAA_4[[#This Row],[UNIDAD DE CONTRATACION (formulado)]]="Subgerencia Administrativa y Financiera","FUNCIONAMIENTO","INVERSIÓN")</f>
        <v>INVERSIÓN</v>
      </c>
      <c r="E1406" s="48" t="str">
        <f>VLOOKUP(Q1406,[2]PROYECTOS!$G$1:$K$32,5,0)</f>
        <v>FORTALECIMIENTO_DE_LOS_JUEGOS_DEL_SECTOR_EDUCATIVO_EN_ANTIOQUIA</v>
      </c>
      <c r="F1406" s="48">
        <f>VLOOKUP(E1406,[2]PROYECTOS!$K$1:$M$32,3,0)</f>
        <v>2020003050034</v>
      </c>
      <c r="G1406" s="49" t="s">
        <v>412</v>
      </c>
      <c r="H1406" s="49" t="str">
        <f>VLOOKUP(Q1406,[2]PROYECTOS!$V$1:$W$32,2,0)</f>
        <v>050053</v>
      </c>
      <c r="I1406" s="50">
        <v>83728979</v>
      </c>
      <c r="J1406" s="51" t="s">
        <v>1874</v>
      </c>
      <c r="K1406" s="47" t="str">
        <f t="shared" ca="1" si="505"/>
        <v>CONTRATADO</v>
      </c>
      <c r="L1406" s="47" t="s">
        <v>42</v>
      </c>
      <c r="M1406" s="47" t="s">
        <v>42</v>
      </c>
      <c r="N1406" s="52" t="s">
        <v>145</v>
      </c>
      <c r="O1406" s="51" t="e">
        <f>VLOOKUP(N1406,[2]!RUBROS[#All],3,0)</f>
        <v>#REF!</v>
      </c>
      <c r="P1406" s="53" t="e">
        <f>VLOOKUP(N1406,[2]!RUBROS[#All],2,0)</f>
        <v>#REF!</v>
      </c>
      <c r="Q1406" s="47" t="str">
        <f t="shared" si="506"/>
        <v>51</v>
      </c>
      <c r="R1406" s="47" t="str">
        <f t="shared" si="500"/>
        <v>0-205400</v>
      </c>
      <c r="S1406" s="54" t="s">
        <v>42</v>
      </c>
      <c r="T1406" s="59" t="s">
        <v>42</v>
      </c>
      <c r="U1406" s="326" t="e">
        <f ca="1">_xlfn.XLOOKUP(PAA_4[[#This Row],[ITEM]],[2]Contrato!A:A,[2]Contrato!Q:Q,"",0)</f>
        <v>#NAME?</v>
      </c>
      <c r="V1406" s="47" t="s">
        <v>95</v>
      </c>
      <c r="W1406" s="64" t="s">
        <v>42</v>
      </c>
      <c r="X1406" s="64" t="s">
        <v>42</v>
      </c>
      <c r="Y1406" s="55" t="e">
        <f ca="1">_xlfn.XLOOKUP(PAA_4[[#This Row],[ITEM]],[2]Contrato!A:A,[2]Contrato!B:B,"",0)</f>
        <v>#NAME?</v>
      </c>
      <c r="Z1406" s="47" t="e">
        <f ca="1">_xlfn.XLOOKUP(PAA_4[[#This Row],[ITEM]],[2]Contrato!A:A,[2]Contrato!G:G,"",0)</f>
        <v>#NAME?</v>
      </c>
      <c r="AA1406" s="47" t="e">
        <f ca="1">_xlfn.XLOOKUP(PAA_4[[#This Row],[ITEM]],[2]Contrato!A:A,[2]Contrato!T:T,"",0)</f>
        <v>#NAME?</v>
      </c>
      <c r="AB1406" s="55" t="e">
        <f ca="1">+MAX(PAA_4[[#This Row],[Comprometido Contrato]],PAA_4[[#This Row],[Comprometido Bolsa]])</f>
        <v>#NAME?</v>
      </c>
      <c r="AC1406" s="55" t="str">
        <f t="shared" ca="1" si="507"/>
        <v/>
      </c>
      <c r="AD1406" s="55" t="e">
        <f ca="1">IF(PAA_4[[#This Row],[ESTADO (formulado)]]="NO CONTRATADO",0,MAX(PAA_4[[#This Row],[Pago por Contrato]],PAA_4[[#This Row],[Pago por bolsa]]))</f>
        <v>#NAME?</v>
      </c>
      <c r="AE1406" s="55" t="str">
        <f t="shared" ca="1" si="508"/>
        <v/>
      </c>
      <c r="AF1406" s="47" t="e">
        <f t="shared" ca="1" si="509"/>
        <v>#NAME?</v>
      </c>
      <c r="AG1406" s="47">
        <f t="shared" si="510"/>
        <v>44021011</v>
      </c>
      <c r="AH1406" s="54">
        <f>IF(Q1406="22",IF(ISNUMBER(SEARCH("econ",PAA_4[[#This Row],[Actividad3]])),"Económico",IF(ISNUMBER(SEARCH("alim",PAA_4[[#This Row],[Actividad3]])),"Alimentación",IF(ISNUMBER(SEARCH("educ",PAA_4[[#This Row],[Actividad3]])),"Educativo","Técnico"))),0)</f>
        <v>0</v>
      </c>
      <c r="AI1406" s="47" t="e" cm="1">
        <f t="array" aca="1" ref="AI1406" ca="1">_xlfn.XLOOKUP(PAA_4[[#This Row],[RCP-RUBRO]],[2]!COMPROMISOS_2024[[#All],[concatenado]],[2]!COMPROMISOS_2024[[#All],[Total pagado]],"",0)</f>
        <v>#NAME?</v>
      </c>
      <c r="AJ1406" s="56">
        <f>IF(PAA_4[[#This Row],[BOLSA]]=0,0,SUMIFS([2]!COMPROMISOS_2024[[#All],[Total pagado]],[2]!COMPROMISOS_2024[[#All],[Bolsa]],PAA_4[[#This Row],[BOLSA]],[2]!COMPROMISOS_2024[[#All],[rubro]],PAA_4[[#This Row],[RCP-RUBRO]]))</f>
        <v>0</v>
      </c>
      <c r="AK1406" s="47" t="e" cm="1">
        <f t="array" aca="1" ref="AK1406" ca="1">_xlfn.XLOOKUP(PAA_4[[#This Row],[RCP-RUBRO]],[2]!COMPROMISOS_2024[[#All],[concatenado]],[2]!COMPROMISOS_2024[[#All],[Total Comprometido]],"",0)</f>
        <v>#NAME?</v>
      </c>
      <c r="AL1406" s="47">
        <f>IF(PAA_4[[#This Row],[BOLSA]]=0,0,SUMIFS([2]!COMPROMISOS_2024[[#All],[Total Comprometido]],[2]!COMPROMISOS_2024[[#All],[Bolsa]],PAA_4[[#This Row],[BOLSA]],[2]!COMPROMISOS_2024[[#All],[concatenado]],PAA_4[[#This Row],[RCP-RUBRO]]))</f>
        <v>0</v>
      </c>
    </row>
    <row r="1407" spans="1:38" s="19" customFormat="1" ht="31.5" customHeight="1">
      <c r="A1407" s="47">
        <v>789</v>
      </c>
      <c r="B1407" s="364" t="s">
        <v>393</v>
      </c>
      <c r="C1407" s="47" t="str">
        <f>VLOOKUP(PAA_4[[#This Row],[PROYECTO (formulado)2]],[2]PROYECTOS!$G$1:$L$32,6,0)</f>
        <v>SUBGERENCIA DE FOMENTO Y DESARROLLO</v>
      </c>
      <c r="D1407" s="47" t="str">
        <f>+IF(PAA_4[[#This Row],[UNIDAD DE CONTRATACION (formulado)]]="Subgerencia Administrativa y Financiera","FUNCIONAMIENTO","INVERSIÓN")</f>
        <v>INVERSIÓN</v>
      </c>
      <c r="E1407" s="48" t="str">
        <f>VLOOKUP(Q1407,[2]PROYECTOS!$G$1:$K$32,5,0)</f>
        <v>FORTALECIMIENTO_DE_LOS_JUEGOS_DEL_SECTOR_EDUCATIVO_EN_ANTIOQUIA</v>
      </c>
      <c r="F1407" s="48">
        <f>VLOOKUP(E1407,[2]PROYECTOS!$K$1:$M$32,3,0)</f>
        <v>2020003050034</v>
      </c>
      <c r="G1407" s="49" t="s">
        <v>412</v>
      </c>
      <c r="H1407" s="49" t="str">
        <f>VLOOKUP(Q1407,[2]PROYECTOS!$V$1:$W$32,2,0)</f>
        <v>050053</v>
      </c>
      <c r="I1407" s="50">
        <f>204695705-34553049</f>
        <v>170142656</v>
      </c>
      <c r="J1407" s="51" t="s">
        <v>1889</v>
      </c>
      <c r="K1407" s="47" t="str">
        <f t="shared" ca="1" si="505"/>
        <v>CONTRATADO</v>
      </c>
      <c r="L1407" s="47" t="s">
        <v>94</v>
      </c>
      <c r="M1407" s="47" t="s">
        <v>161</v>
      </c>
      <c r="N1407" s="52" t="s">
        <v>449</v>
      </c>
      <c r="O1407" s="51" t="e">
        <f>VLOOKUP(N1407,[2]!RUBROS[#All],3,0)</f>
        <v>#REF!</v>
      </c>
      <c r="P1407" s="53" t="e">
        <f>VLOOKUP(N1407,[2]!RUBROS[#All],2,0)</f>
        <v>#REF!</v>
      </c>
      <c r="Q1407" s="47" t="str">
        <f t="shared" si="506"/>
        <v>51</v>
      </c>
      <c r="R1407" s="47" t="str">
        <f t="shared" si="500"/>
        <v>4-271130</v>
      </c>
      <c r="S1407" s="54">
        <v>3</v>
      </c>
      <c r="T1407" s="59" t="s">
        <v>46</v>
      </c>
      <c r="U1407" s="326" t="e">
        <f ca="1">_xlfn.XLOOKUP(PAA_4[[#This Row],[ITEM]],[2]Contrato!A:A,[2]Contrato!Q:Q,"",0)</f>
        <v>#NAME?</v>
      </c>
      <c r="V1407" s="47" t="s">
        <v>95</v>
      </c>
      <c r="W1407" s="47" t="s">
        <v>154</v>
      </c>
      <c r="X1407" s="47" t="s">
        <v>154</v>
      </c>
      <c r="Y1407" s="55" t="e">
        <f ca="1">_xlfn.XLOOKUP(PAA_4[[#This Row],[ITEM]],[2]Contrato!A:A,[2]Contrato!B:B,"",0)</f>
        <v>#NAME?</v>
      </c>
      <c r="Z1407" s="47" t="e">
        <f ca="1">_xlfn.XLOOKUP(PAA_4[[#This Row],[ITEM]],[2]Contrato!A:A,[2]Contrato!G:G,"",0)</f>
        <v>#NAME?</v>
      </c>
      <c r="AA1407" s="47" t="e">
        <f ca="1">_xlfn.XLOOKUP(PAA_4[[#This Row],[ITEM]],[2]Contrato!A:A,[2]Contrato!T:T,"",0)</f>
        <v>#NAME?</v>
      </c>
      <c r="AB1407" s="55" t="e">
        <f ca="1">+MAX(PAA_4[[#This Row],[Comprometido Contrato]],PAA_4[[#This Row],[Comprometido Bolsa]])</f>
        <v>#NAME?</v>
      </c>
      <c r="AC1407" s="55" t="str">
        <f t="shared" ca="1" si="507"/>
        <v/>
      </c>
      <c r="AD1407" s="55" t="e">
        <f ca="1">IF(PAA_4[[#This Row],[ESTADO (formulado)]]="NO CONTRATADO",0,MAX(PAA_4[[#This Row],[Pago por Contrato]],PAA_4[[#This Row],[Pago por bolsa]]))</f>
        <v>#NAME?</v>
      </c>
      <c r="AE1407" s="55" t="str">
        <f t="shared" ca="1" si="508"/>
        <v/>
      </c>
      <c r="AF1407" s="47" t="e">
        <f t="shared" ca="1" si="509"/>
        <v>#NAME?</v>
      </c>
      <c r="AG1407" s="47">
        <f t="shared" si="510"/>
        <v>44021011</v>
      </c>
      <c r="AH1407" s="54">
        <f>IF(Q1407="22",IF(ISNUMBER(SEARCH("econ",PAA_4[[#This Row],[Actividad3]])),"Económico",IF(ISNUMBER(SEARCH("alim",PAA_4[[#This Row],[Actividad3]])),"Alimentación",IF(ISNUMBER(SEARCH("educ",PAA_4[[#This Row],[Actividad3]])),"Educativo","Técnico"))),0)</f>
        <v>0</v>
      </c>
      <c r="AI1407" s="47" t="e" cm="1">
        <f t="array" aca="1" ref="AI1407" ca="1">_xlfn.XLOOKUP(PAA_4[[#This Row],[RCP-RUBRO]],[2]!COMPROMISOS_2024[[#All],[concatenado]],[2]!COMPROMISOS_2024[[#All],[Total pagado]],"",0)</f>
        <v>#NAME?</v>
      </c>
      <c r="AJ1407" s="56">
        <f>IF(PAA_4[[#This Row],[BOLSA]]=0,0,SUMIFS([2]!COMPROMISOS_2024[[#All],[Total pagado]],[2]!COMPROMISOS_2024[[#All],[Bolsa]],PAA_4[[#This Row],[BOLSA]],[2]!COMPROMISOS_2024[[#All],[rubro]],PAA_4[[#This Row],[RCP-RUBRO]]))</f>
        <v>0</v>
      </c>
      <c r="AK1407" s="47" t="e" cm="1">
        <f t="array" aca="1" ref="AK1407" ca="1">_xlfn.XLOOKUP(PAA_4[[#This Row],[RCP-RUBRO]],[2]!COMPROMISOS_2024[[#All],[concatenado]],[2]!COMPROMISOS_2024[[#All],[Total Comprometido]],"",0)</f>
        <v>#NAME?</v>
      </c>
      <c r="AL1407" s="47">
        <f>IF(PAA_4[[#This Row],[BOLSA]]=0,0,SUMIFS([2]!COMPROMISOS_2024[[#All],[Total Comprometido]],[2]!COMPROMISOS_2024[[#All],[Bolsa]],PAA_4[[#This Row],[BOLSA]],[2]!COMPROMISOS_2024[[#All],[concatenado]],PAA_4[[#This Row],[RCP-RUBRO]]))</f>
        <v>0</v>
      </c>
    </row>
    <row r="1408" spans="1:38" s="19" customFormat="1" ht="31.5" customHeight="1">
      <c r="A1408" s="47">
        <v>789</v>
      </c>
      <c r="B1408" s="364" t="s">
        <v>393</v>
      </c>
      <c r="C1408" s="47" t="str">
        <f>VLOOKUP(PAA_4[[#This Row],[PROYECTO (formulado)2]],[2]PROYECTOS!$G$1:$L$32,6,0)</f>
        <v>SUBGERENCIA DE FOMENTO Y DESARROLLO</v>
      </c>
      <c r="D1408" s="47" t="str">
        <f>+IF(PAA_4[[#This Row],[UNIDAD DE CONTRATACION (formulado)]]="Subgerencia Administrativa y Financiera","FUNCIONAMIENTO","INVERSIÓN")</f>
        <v>INVERSIÓN</v>
      </c>
      <c r="E1408" s="48" t="str">
        <f>VLOOKUP(Q1408,[2]PROYECTOS!$G$1:$K$32,5,0)</f>
        <v>FORTALECIMIENTO_DE_LOS_JUEGOS_DEL_SECTOR_EDUCATIVO_EN_ANTIOQUIA</v>
      </c>
      <c r="F1408" s="48">
        <f>VLOOKUP(E1408,[2]PROYECTOS!$K$1:$M$32,3,0)</f>
        <v>2020003050034</v>
      </c>
      <c r="G1408" s="49" t="s">
        <v>412</v>
      </c>
      <c r="H1408" s="49" t="str">
        <f>VLOOKUP(Q1408,[2]PROYECTOS!$V$1:$W$32,2,0)</f>
        <v>050053</v>
      </c>
      <c r="I1408" s="50">
        <f>186714438-83728979</f>
        <v>102985459</v>
      </c>
      <c r="J1408" s="51" t="s">
        <v>1890</v>
      </c>
      <c r="K1408" s="47" t="str">
        <f t="shared" ca="1" si="505"/>
        <v>CONTRATADO</v>
      </c>
      <c r="L1408" s="47" t="s">
        <v>94</v>
      </c>
      <c r="M1408" s="47" t="s">
        <v>161</v>
      </c>
      <c r="N1408" s="52" t="s">
        <v>145</v>
      </c>
      <c r="O1408" s="51" t="e">
        <f>VLOOKUP(N1408,[2]!RUBROS[#All],3,0)</f>
        <v>#REF!</v>
      </c>
      <c r="P1408" s="53" t="e">
        <f>VLOOKUP(N1408,[2]!RUBROS[#All],2,0)</f>
        <v>#REF!</v>
      </c>
      <c r="Q1408" s="47" t="str">
        <f t="shared" si="506"/>
        <v>51</v>
      </c>
      <c r="R1408" s="47" t="str">
        <f t="shared" si="500"/>
        <v>0-205400</v>
      </c>
      <c r="S1408" s="54">
        <v>3</v>
      </c>
      <c r="T1408" s="59" t="s">
        <v>46</v>
      </c>
      <c r="U1408" s="326" t="e">
        <f ca="1">_xlfn.XLOOKUP(PAA_4[[#This Row],[ITEM]],[2]Contrato!A:A,[2]Contrato!Q:Q,"",0)</f>
        <v>#NAME?</v>
      </c>
      <c r="V1408" s="47" t="s">
        <v>95</v>
      </c>
      <c r="W1408" s="47" t="s">
        <v>154</v>
      </c>
      <c r="X1408" s="47" t="s">
        <v>154</v>
      </c>
      <c r="Y1408" s="55" t="e">
        <f ca="1">_xlfn.XLOOKUP(PAA_4[[#This Row],[ITEM]],[2]Contrato!A:A,[2]Contrato!B:B,"",0)</f>
        <v>#NAME?</v>
      </c>
      <c r="Z1408" s="47" t="e">
        <f ca="1">_xlfn.XLOOKUP(PAA_4[[#This Row],[ITEM]],[2]Contrato!A:A,[2]Contrato!G:G,"",0)</f>
        <v>#NAME?</v>
      </c>
      <c r="AA1408" s="47" t="e">
        <f ca="1">_xlfn.XLOOKUP(PAA_4[[#This Row],[ITEM]],[2]Contrato!A:A,[2]Contrato!T:T,"",0)</f>
        <v>#NAME?</v>
      </c>
      <c r="AB1408" s="55" t="e">
        <f ca="1">+MAX(PAA_4[[#This Row],[Comprometido Contrato]],PAA_4[[#This Row],[Comprometido Bolsa]])</f>
        <v>#NAME?</v>
      </c>
      <c r="AC1408" s="55" t="str">
        <f t="shared" ca="1" si="507"/>
        <v/>
      </c>
      <c r="AD1408" s="55" t="e">
        <f ca="1">IF(PAA_4[[#This Row],[ESTADO (formulado)]]="NO CONTRATADO",0,MAX(PAA_4[[#This Row],[Pago por Contrato]],PAA_4[[#This Row],[Pago por bolsa]]))</f>
        <v>#NAME?</v>
      </c>
      <c r="AE1408" s="55" t="str">
        <f t="shared" ca="1" si="508"/>
        <v/>
      </c>
      <c r="AF1408" s="47" t="e">
        <f t="shared" ca="1" si="509"/>
        <v>#NAME?</v>
      </c>
      <c r="AG1408" s="47">
        <f t="shared" si="510"/>
        <v>44021011</v>
      </c>
      <c r="AH1408" s="54">
        <f>IF(Q1408="22",IF(ISNUMBER(SEARCH("econ",PAA_4[[#This Row],[Actividad3]])),"Económico",IF(ISNUMBER(SEARCH("alim",PAA_4[[#This Row],[Actividad3]])),"Alimentación",IF(ISNUMBER(SEARCH("educ",PAA_4[[#This Row],[Actividad3]])),"Educativo","Técnico"))),0)</f>
        <v>0</v>
      </c>
      <c r="AI1408" s="47" t="e" cm="1">
        <f t="array" aca="1" ref="AI1408" ca="1">_xlfn.XLOOKUP(PAA_4[[#This Row],[RCP-RUBRO]],[2]!COMPROMISOS_2024[[#All],[concatenado]],[2]!COMPROMISOS_2024[[#All],[Total pagado]],"",0)</f>
        <v>#NAME?</v>
      </c>
      <c r="AJ1408" s="56">
        <f>IF(PAA_4[[#This Row],[BOLSA]]=0,0,SUMIFS([2]!COMPROMISOS_2024[[#All],[Total pagado]],[2]!COMPROMISOS_2024[[#All],[Bolsa]],PAA_4[[#This Row],[BOLSA]],[2]!COMPROMISOS_2024[[#All],[rubro]],PAA_4[[#This Row],[RCP-RUBRO]]))</f>
        <v>0</v>
      </c>
      <c r="AK1408" s="47" t="e" cm="1">
        <f t="array" aca="1" ref="AK1408" ca="1">_xlfn.XLOOKUP(PAA_4[[#This Row],[RCP-RUBRO]],[2]!COMPROMISOS_2024[[#All],[concatenado]],[2]!COMPROMISOS_2024[[#All],[Total Comprometido]],"",0)</f>
        <v>#NAME?</v>
      </c>
      <c r="AL1408" s="47">
        <f>IF(PAA_4[[#This Row],[BOLSA]]=0,0,SUMIFS([2]!COMPROMISOS_2024[[#All],[Total Comprometido]],[2]!COMPROMISOS_2024[[#All],[Bolsa]],PAA_4[[#This Row],[BOLSA]],[2]!COMPROMISOS_2024[[#All],[concatenado]],PAA_4[[#This Row],[RCP-RUBRO]]))</f>
        <v>0</v>
      </c>
    </row>
    <row r="1409" spans="1:38" s="19" customFormat="1" ht="31.5" customHeight="1">
      <c r="A1409" s="47">
        <v>789</v>
      </c>
      <c r="B1409" s="364" t="s">
        <v>393</v>
      </c>
      <c r="C1409" s="47" t="str">
        <f>VLOOKUP(PAA_4[[#This Row],[PROYECTO (formulado)2]],[2]PROYECTOS!$G$1:$L$32,6,0)</f>
        <v>SUBGERENCIA DE FOMENTO Y DESARROLLO</v>
      </c>
      <c r="D1409" s="47" t="str">
        <f>+IF(PAA_4[[#This Row],[UNIDAD DE CONTRATACION (formulado)]]="Subgerencia Administrativa y Financiera","FUNCIONAMIENTO","INVERSIÓN")</f>
        <v>INVERSIÓN</v>
      </c>
      <c r="E1409" s="48" t="str">
        <f>VLOOKUP(Q1409,[2]PROYECTOS!$G$1:$K$32,5,0)</f>
        <v>FORTALECIMIENTO_DE_LOS_JUEGOS_DEL_SECTOR_EDUCATIVO_EN_ANTIOQUIA</v>
      </c>
      <c r="F1409" s="48">
        <f>VLOOKUP(E1409,[2]PROYECTOS!$K$1:$M$32,3,0)</f>
        <v>2020003050034</v>
      </c>
      <c r="G1409" s="49" t="s">
        <v>412</v>
      </c>
      <c r="H1409" s="49" t="str">
        <f>VLOOKUP(Q1409,[2]PROYECTOS!$V$1:$W$32,2,0)</f>
        <v>050053</v>
      </c>
      <c r="I1409" s="50">
        <v>200000000</v>
      </c>
      <c r="J1409" s="51" t="s">
        <v>1890</v>
      </c>
      <c r="K1409" s="47" t="str">
        <f t="shared" ca="1" si="505"/>
        <v>CONTRATADO</v>
      </c>
      <c r="L1409" s="47" t="s">
        <v>94</v>
      </c>
      <c r="M1409" s="47" t="s">
        <v>161</v>
      </c>
      <c r="N1409" s="52" t="s">
        <v>445</v>
      </c>
      <c r="O1409" s="51" t="e">
        <f>VLOOKUP(N1409,[2]!RUBROS[#All],3,0)</f>
        <v>#REF!</v>
      </c>
      <c r="P1409" s="53" t="e">
        <f>VLOOKUP(N1409,[2]!RUBROS[#All],2,0)</f>
        <v>#REF!</v>
      </c>
      <c r="Q1409" s="47" t="str">
        <f t="shared" si="506"/>
        <v>51</v>
      </c>
      <c r="R1409" s="47" t="str">
        <f t="shared" si="500"/>
        <v>4-205400</v>
      </c>
      <c r="S1409" s="54">
        <v>3</v>
      </c>
      <c r="T1409" s="59" t="s">
        <v>46</v>
      </c>
      <c r="U1409" s="326" t="e">
        <f ca="1">_xlfn.XLOOKUP(PAA_4[[#This Row],[ITEM]],[2]Contrato!A:A,[2]Contrato!Q:Q,"",0)</f>
        <v>#NAME?</v>
      </c>
      <c r="V1409" s="47" t="s">
        <v>95</v>
      </c>
      <c r="W1409" s="47" t="s">
        <v>154</v>
      </c>
      <c r="X1409" s="47" t="s">
        <v>154</v>
      </c>
      <c r="Y1409" s="55" t="e">
        <f ca="1">_xlfn.XLOOKUP(PAA_4[[#This Row],[ITEM]],[2]Contrato!A:A,[2]Contrato!B:B,"",0)</f>
        <v>#NAME?</v>
      </c>
      <c r="Z1409" s="47" t="e">
        <f ca="1">_xlfn.XLOOKUP(PAA_4[[#This Row],[ITEM]],[2]Contrato!A:A,[2]Contrato!G:G,"",0)</f>
        <v>#NAME?</v>
      </c>
      <c r="AA1409" s="47" t="e">
        <f ca="1">_xlfn.XLOOKUP(PAA_4[[#This Row],[ITEM]],[2]Contrato!A:A,[2]Contrato!T:T,"",0)</f>
        <v>#NAME?</v>
      </c>
      <c r="AB1409" s="55" t="e">
        <f ca="1">+MAX(PAA_4[[#This Row],[Comprometido Contrato]],PAA_4[[#This Row],[Comprometido Bolsa]])</f>
        <v>#NAME?</v>
      </c>
      <c r="AC1409" s="55" t="str">
        <f t="shared" ca="1" si="507"/>
        <v/>
      </c>
      <c r="AD1409" s="55" t="e">
        <f ca="1">IF(PAA_4[[#This Row],[ESTADO (formulado)]]="NO CONTRATADO",0,MAX(PAA_4[[#This Row],[Pago por Contrato]],PAA_4[[#This Row],[Pago por bolsa]]))</f>
        <v>#NAME?</v>
      </c>
      <c r="AE1409" s="55" t="str">
        <f t="shared" ca="1" si="508"/>
        <v/>
      </c>
      <c r="AF1409" s="47" t="e">
        <f t="shared" ca="1" si="509"/>
        <v>#NAME?</v>
      </c>
      <c r="AG1409" s="47">
        <f t="shared" si="510"/>
        <v>44021011</v>
      </c>
      <c r="AH1409" s="54">
        <f>IF(Q1409="22",IF(ISNUMBER(SEARCH("econ",PAA_4[[#This Row],[Actividad3]])),"Económico",IF(ISNUMBER(SEARCH("alim",PAA_4[[#This Row],[Actividad3]])),"Alimentación",IF(ISNUMBER(SEARCH("educ",PAA_4[[#This Row],[Actividad3]])),"Educativo","Técnico"))),0)</f>
        <v>0</v>
      </c>
      <c r="AI1409" s="47" t="e" cm="1">
        <f t="array" aca="1" ref="AI1409" ca="1">_xlfn.XLOOKUP(PAA_4[[#This Row],[RCP-RUBRO]],[2]!COMPROMISOS_2024[[#All],[concatenado]],[2]!COMPROMISOS_2024[[#All],[Total pagado]],"",0)</f>
        <v>#NAME?</v>
      </c>
      <c r="AJ1409" s="56">
        <f>IF(PAA_4[[#This Row],[BOLSA]]=0,0,SUMIFS([2]!COMPROMISOS_2024[[#All],[Total pagado]],[2]!COMPROMISOS_2024[[#All],[Bolsa]],PAA_4[[#This Row],[BOLSA]],[2]!COMPROMISOS_2024[[#All],[rubro]],PAA_4[[#This Row],[RCP-RUBRO]]))</f>
        <v>0</v>
      </c>
      <c r="AK1409" s="47" t="e" cm="1">
        <f t="array" aca="1" ref="AK1409" ca="1">_xlfn.XLOOKUP(PAA_4[[#This Row],[RCP-RUBRO]],[2]!COMPROMISOS_2024[[#All],[concatenado]],[2]!COMPROMISOS_2024[[#All],[Total Comprometido]],"",0)</f>
        <v>#NAME?</v>
      </c>
      <c r="AL1409" s="47">
        <f>IF(PAA_4[[#This Row],[BOLSA]]=0,0,SUMIFS([2]!COMPROMISOS_2024[[#All],[Total Comprometido]],[2]!COMPROMISOS_2024[[#All],[Bolsa]],PAA_4[[#This Row],[BOLSA]],[2]!COMPROMISOS_2024[[#All],[concatenado]],PAA_4[[#This Row],[RCP-RUBRO]]))</f>
        <v>0</v>
      </c>
    </row>
    <row r="1410" spans="1:38" s="19" customFormat="1" ht="31.5" customHeight="1">
      <c r="A1410" s="47">
        <v>375</v>
      </c>
      <c r="B1410" s="47">
        <v>80141607</v>
      </c>
      <c r="C1410" s="47" t="str">
        <f>VLOOKUP(PAA_4[[#This Row],[PROYECTO (formulado)2]],[2]PROYECTOS!$G$1:$L$32,6,0)</f>
        <v>SUBGERENCIA DE FOMENTO Y DESARROLLO</v>
      </c>
      <c r="D1410" s="47" t="str">
        <f>+IF(PAA_4[[#This Row],[UNIDAD DE CONTRATACION (formulado)]]="Subgerencia Administrativa y Financiera","FUNCIONAMIENTO","INVERSIÓN")</f>
        <v>INVERSIÓN</v>
      </c>
      <c r="E1410" s="48" t="str">
        <f>VLOOKUP(Q1410,[2]PROYECTOS!$G$1:$K$32,5,0)</f>
        <v>FORTALECIMIENTO_DE_LOS_JUEGOS_DEL_SECTOR_EDUCATIVO_EN_ANTIOQUIA</v>
      </c>
      <c r="F1410" s="48">
        <f>VLOOKUP(E1410,[2]PROYECTOS!$K$1:$M$32,3,0)</f>
        <v>2020003050034</v>
      </c>
      <c r="G1410" s="49" t="s">
        <v>412</v>
      </c>
      <c r="H1410" s="49" t="str">
        <f>VLOOKUP(Q1410,[2]PROYECTOS!$V$1:$W$32,2,0)</f>
        <v>050053</v>
      </c>
      <c r="I1410" s="50">
        <v>0</v>
      </c>
      <c r="J1410" s="74" t="s">
        <v>42</v>
      </c>
      <c r="K1410" s="47" t="str">
        <f t="shared" ca="1" si="505"/>
        <v>CONTRATADO</v>
      </c>
      <c r="L1410" s="47" t="s">
        <v>94</v>
      </c>
      <c r="M1410" s="47" t="s">
        <v>161</v>
      </c>
      <c r="N1410" s="52" t="s">
        <v>145</v>
      </c>
      <c r="O1410" s="51" t="e">
        <f>VLOOKUP(N1410,[2]!RUBROS[#All],3,0)</f>
        <v>#REF!</v>
      </c>
      <c r="P1410" s="53" t="e">
        <f>VLOOKUP(N1410,[2]!RUBROS[#All],2,0)</f>
        <v>#REF!</v>
      </c>
      <c r="Q1410" s="47" t="str">
        <f t="shared" si="506"/>
        <v>51</v>
      </c>
      <c r="R1410" s="47" t="str">
        <f t="shared" si="500"/>
        <v>0-205400</v>
      </c>
      <c r="S1410" s="54">
        <v>6.5</v>
      </c>
      <c r="T1410" s="59" t="s">
        <v>46</v>
      </c>
      <c r="U1410" s="326" t="e">
        <f ca="1">_xlfn.XLOOKUP(PAA_4[[#This Row],[ITEM]],[2]Contrato!A:A,[2]Contrato!Q:Q,"",0)</f>
        <v>#NAME?</v>
      </c>
      <c r="V1410" s="47" t="s">
        <v>95</v>
      </c>
      <c r="W1410" s="47" t="s">
        <v>226</v>
      </c>
      <c r="X1410" s="47" t="s">
        <v>226</v>
      </c>
      <c r="Y1410" s="55" t="e">
        <f ca="1">_xlfn.XLOOKUP(PAA_4[[#This Row],[ITEM]],[2]Contrato!A:A,[2]Contrato!B:B,"",0)</f>
        <v>#NAME?</v>
      </c>
      <c r="Z1410" s="47" t="e">
        <f ca="1">_xlfn.XLOOKUP(PAA_4[[#This Row],[ITEM]],[2]Contrato!A:A,[2]Contrato!G:G,"",0)</f>
        <v>#NAME?</v>
      </c>
      <c r="AA1410" s="47" t="e">
        <f ca="1">_xlfn.XLOOKUP(PAA_4[[#This Row],[ITEM]],[2]Contrato!A:A,[2]Contrato!T:T,"",0)</f>
        <v>#NAME?</v>
      </c>
      <c r="AB1410" s="55" t="e">
        <f ca="1">+MAX(PAA_4[[#This Row],[Comprometido Contrato]],PAA_4[[#This Row],[Comprometido Bolsa]])</f>
        <v>#NAME?</v>
      </c>
      <c r="AC1410" s="55" t="str">
        <f t="shared" ca="1" si="507"/>
        <v/>
      </c>
      <c r="AD1410" s="55" t="e">
        <f ca="1">IF(PAA_4[[#This Row],[ESTADO (formulado)]]="NO CONTRATADO",0,MAX(PAA_4[[#This Row],[Pago por Contrato]],PAA_4[[#This Row],[Pago por bolsa]]))</f>
        <v>#NAME?</v>
      </c>
      <c r="AE1410" s="55" t="str">
        <f t="shared" ca="1" si="508"/>
        <v/>
      </c>
      <c r="AF1410" s="47" t="e">
        <f t="shared" ca="1" si="509"/>
        <v>#NAME?</v>
      </c>
      <c r="AG1410" s="47">
        <f t="shared" si="510"/>
        <v>44021011</v>
      </c>
      <c r="AH1410" s="54">
        <f>IF(Q1410="22",IF(ISNUMBER(SEARCH("econ",PAA_4[[#This Row],[Actividad3]])),"Económico",IF(ISNUMBER(SEARCH("alim",PAA_4[[#This Row],[Actividad3]])),"Alimentación",IF(ISNUMBER(SEARCH("educ",PAA_4[[#This Row],[Actividad3]])),"Educativo","Técnico"))),0)</f>
        <v>0</v>
      </c>
      <c r="AI1410" s="47" t="e" cm="1">
        <f t="array" aca="1" ref="AI1410" ca="1">_xlfn.XLOOKUP(PAA_4[[#This Row],[RCP-RUBRO]],[2]!COMPROMISOS_2024[[#All],[concatenado]],[2]!COMPROMISOS_2024[[#All],[Total pagado]],"",0)</f>
        <v>#NAME?</v>
      </c>
      <c r="AJ1410" s="56">
        <f>IF(PAA_4[[#This Row],[BOLSA]]=0,0,SUMIFS([2]!COMPROMISOS_2024[[#All],[Total pagado]],[2]!COMPROMISOS_2024[[#All],[Bolsa]],PAA_4[[#This Row],[BOLSA]],[2]!COMPROMISOS_2024[[#All],[rubro]],PAA_4[[#This Row],[RCP-RUBRO]]))</f>
        <v>0</v>
      </c>
      <c r="AK1410" s="47" t="e" cm="1">
        <f t="array" aca="1" ref="AK1410" ca="1">_xlfn.XLOOKUP(PAA_4[[#This Row],[RCP-RUBRO]],[2]!COMPROMISOS_2024[[#All],[concatenado]],[2]!COMPROMISOS_2024[[#All],[Total Comprometido]],"",0)</f>
        <v>#NAME?</v>
      </c>
      <c r="AL1410" s="47">
        <f>IF(PAA_4[[#This Row],[BOLSA]]=0,0,SUMIFS([2]!COMPROMISOS_2024[[#All],[Total Comprometido]],[2]!COMPROMISOS_2024[[#All],[Bolsa]],PAA_4[[#This Row],[BOLSA]],[2]!COMPROMISOS_2024[[#All],[concatenado]],PAA_4[[#This Row],[RCP-RUBRO]]))</f>
        <v>0</v>
      </c>
    </row>
    <row r="1411" spans="1:38" s="19" customFormat="1" ht="31.5" customHeight="1">
      <c r="A1411" s="47">
        <v>846</v>
      </c>
      <c r="B1411" s="51" t="s">
        <v>42</v>
      </c>
      <c r="C1411" s="47" t="str">
        <f>VLOOKUP(PAA_4[[#This Row],[PROYECTO (formulado)2]],[2]PROYECTOS!$G$1:$L$32,6,0)</f>
        <v>SUBGERENCIA DE FOMENTO Y DESARROLLO</v>
      </c>
      <c r="D1411" s="47" t="str">
        <f>+IF(PAA_4[[#This Row],[UNIDAD DE CONTRATACION (formulado)]]="Subgerencia Administrativa y Financiera","FUNCIONAMIENTO","INVERSIÓN")</f>
        <v>INVERSIÓN</v>
      </c>
      <c r="E1411" s="48" t="str">
        <f>VLOOKUP(Q1411,[2]PROYECTOS!$G$1:$K$32,5,0)</f>
        <v>FORTALECIMIENTO_DE_LOS_JUEGOS_DEL_SECTOR_EDUCATIVO_EN_ANTIOQUIA</v>
      </c>
      <c r="F1411" s="48">
        <f>VLOOKUP(E1411,[2]PROYECTOS!$K$1:$M$32,3,0)</f>
        <v>2020003050034</v>
      </c>
      <c r="G1411" s="49" t="s">
        <v>413</v>
      </c>
      <c r="H1411" s="49" t="str">
        <f>VLOOKUP(Q1411,[2]PROYECTOS!$V$1:$W$32,2,0)</f>
        <v>050053</v>
      </c>
      <c r="I1411" s="50">
        <v>0</v>
      </c>
      <c r="J1411" s="51" t="s">
        <v>42</v>
      </c>
      <c r="K1411" s="47" t="str">
        <f t="shared" ca="1" si="505"/>
        <v>CONTRATADO</v>
      </c>
      <c r="L1411" s="47" t="s">
        <v>94</v>
      </c>
      <c r="M1411" s="47" t="s">
        <v>255</v>
      </c>
      <c r="N1411" s="52" t="s">
        <v>145</v>
      </c>
      <c r="O1411" s="51" t="e">
        <f>VLOOKUP(N1411,[2]!RUBROS[#All],3,0)</f>
        <v>#REF!</v>
      </c>
      <c r="P1411" s="53" t="e">
        <f>VLOOKUP(N1411,[2]!RUBROS[#All],2,0)</f>
        <v>#REF!</v>
      </c>
      <c r="Q1411" s="47" t="str">
        <f t="shared" si="506"/>
        <v>51</v>
      </c>
      <c r="R1411" s="47" t="str">
        <f t="shared" si="500"/>
        <v>0-205400</v>
      </c>
      <c r="S1411" s="339">
        <v>5.5</v>
      </c>
      <c r="T1411" s="59" t="s">
        <v>46</v>
      </c>
      <c r="U1411" s="326" t="e">
        <f ca="1">_xlfn.XLOOKUP(PAA_4[[#This Row],[ITEM]],[2]Contrato!A:A,[2]Contrato!Q:Q,"",0)</f>
        <v>#NAME?</v>
      </c>
      <c r="V1411" s="47" t="s">
        <v>47</v>
      </c>
      <c r="W1411" s="47" t="s">
        <v>193</v>
      </c>
      <c r="X1411" s="47" t="s">
        <v>193</v>
      </c>
      <c r="Y1411" s="55" t="e">
        <f ca="1">_xlfn.XLOOKUP(PAA_4[[#This Row],[ITEM]],[2]Contrato!A:A,[2]Contrato!B:B,"",0)</f>
        <v>#NAME?</v>
      </c>
      <c r="Z1411" s="47" t="e">
        <f ca="1">_xlfn.XLOOKUP(PAA_4[[#This Row],[ITEM]],[2]Contrato!A:A,[2]Contrato!G:G,"",0)</f>
        <v>#NAME?</v>
      </c>
      <c r="AA1411" s="47" t="e">
        <f ca="1">_xlfn.XLOOKUP(PAA_4[[#This Row],[ITEM]],[2]Contrato!A:A,[2]Contrato!T:T,"",0)</f>
        <v>#NAME?</v>
      </c>
      <c r="AB1411" s="55" t="e">
        <f ca="1">+MAX(PAA_4[[#This Row],[Comprometido Contrato]],PAA_4[[#This Row],[Comprometido Bolsa]])</f>
        <v>#NAME?</v>
      </c>
      <c r="AC1411" s="55" t="str">
        <f t="shared" ca="1" si="507"/>
        <v/>
      </c>
      <c r="AD1411" s="55" t="e">
        <f ca="1">IF(PAA_4[[#This Row],[ESTADO (formulado)]]="NO CONTRATADO",0,MAX(PAA_4[[#This Row],[Pago por Contrato]],PAA_4[[#This Row],[Pago por bolsa]]))</f>
        <v>#NAME?</v>
      </c>
      <c r="AE1411" s="55" t="str">
        <f t="shared" ca="1" si="508"/>
        <v/>
      </c>
      <c r="AF1411" s="47" t="e">
        <f t="shared" ca="1" si="509"/>
        <v>#NAME?</v>
      </c>
      <c r="AG1411" s="47">
        <f t="shared" si="510"/>
        <v>44021011</v>
      </c>
      <c r="AH1411" s="54">
        <f>IF(Q1411="22",IF(ISNUMBER(SEARCH("econ",PAA_4[[#This Row],[Actividad3]])),"Económico",IF(ISNUMBER(SEARCH("alim",PAA_4[[#This Row],[Actividad3]])),"Alimentación",IF(ISNUMBER(SEARCH("educ",PAA_4[[#This Row],[Actividad3]])),"Educativo","Técnico"))),0)</f>
        <v>0</v>
      </c>
      <c r="AI1411" s="47" t="e" cm="1">
        <f t="array" aca="1" ref="AI1411" ca="1">_xlfn.XLOOKUP(PAA_4[[#This Row],[RCP-RUBRO]],[2]!COMPROMISOS_2024[[#All],[concatenado]],[2]!COMPROMISOS_2024[[#All],[Total pagado]],"",0)</f>
        <v>#NAME?</v>
      </c>
      <c r="AJ1411" s="56">
        <f>IF(PAA_4[[#This Row],[BOLSA]]=0,0,SUMIFS([2]!COMPROMISOS_2024[[#All],[Total pagado]],[2]!COMPROMISOS_2024[[#All],[Bolsa]],PAA_4[[#This Row],[BOLSA]],[2]!COMPROMISOS_2024[[#All],[rubro]],PAA_4[[#This Row],[RCP-RUBRO]]))</f>
        <v>0</v>
      </c>
      <c r="AK1411" s="47" t="e" cm="1">
        <f t="array" aca="1" ref="AK1411" ca="1">_xlfn.XLOOKUP(PAA_4[[#This Row],[RCP-RUBRO]],[2]!COMPROMISOS_2024[[#All],[concatenado]],[2]!COMPROMISOS_2024[[#All],[Total Comprometido]],"",0)</f>
        <v>#NAME?</v>
      </c>
      <c r="AL1411" s="47">
        <f>IF(PAA_4[[#This Row],[BOLSA]]=0,0,SUMIFS([2]!COMPROMISOS_2024[[#All],[Total Comprometido]],[2]!COMPROMISOS_2024[[#All],[Bolsa]],PAA_4[[#This Row],[BOLSA]],[2]!COMPROMISOS_2024[[#All],[concatenado]],PAA_4[[#This Row],[RCP-RUBRO]]))</f>
        <v>0</v>
      </c>
    </row>
    <row r="1412" spans="1:38" s="19" customFormat="1" ht="31.5" customHeight="1">
      <c r="A1412" s="47" t="s">
        <v>82</v>
      </c>
      <c r="B1412" s="60" t="s">
        <v>42</v>
      </c>
      <c r="C1412" s="47" t="str">
        <f>VLOOKUP(PAA_4[[#This Row],[PROYECTO (formulado)2]],[2]PROYECTOS!$G$1:$L$32,6,0)</f>
        <v>SUBGERENCIA DE FOMENTO Y DESARROLLO</v>
      </c>
      <c r="D1412" s="47" t="str">
        <f>+IF(PAA_4[[#This Row],[UNIDAD DE CONTRATACION (formulado)]]="Subgerencia Administrativa y Financiera","FUNCIONAMIENTO","INVERSIÓN")</f>
        <v>INVERSIÓN</v>
      </c>
      <c r="E1412" s="48" t="str">
        <f>VLOOKUP(Q1412,[2]PROYECTOS!$G$1:$K$32,5,0)</f>
        <v>FORTALECIMIENTO_DE_LOS_JUEGOS_DEL_SECTOR_EDUCATIVO_EN_ANTIOQUIA</v>
      </c>
      <c r="F1412" s="48">
        <f>VLOOKUP(E1412,[2]PROYECTOS!$K$1:$M$32,3,0)</f>
        <v>2020003050034</v>
      </c>
      <c r="G1412" s="49" t="s">
        <v>413</v>
      </c>
      <c r="H1412" s="49" t="str">
        <f>VLOOKUP(Q1412,[2]PROYECTOS!$V$1:$W$32,2,0)</f>
        <v>050053</v>
      </c>
      <c r="I1412" s="50">
        <v>47054779</v>
      </c>
      <c r="J1412" s="51" t="s">
        <v>1874</v>
      </c>
      <c r="K1412" s="47" t="str">
        <f t="shared" ca="1" si="505"/>
        <v>CONTRATADO</v>
      </c>
      <c r="L1412" s="47" t="s">
        <v>42</v>
      </c>
      <c r="M1412" s="47" t="s">
        <v>42</v>
      </c>
      <c r="N1412" s="52" t="s">
        <v>145</v>
      </c>
      <c r="O1412" s="51" t="e">
        <f>VLOOKUP(N1412,[2]!RUBROS[#All],3,0)</f>
        <v>#REF!</v>
      </c>
      <c r="P1412" s="53" t="e">
        <f>VLOOKUP(N1412,[2]!RUBROS[#All],2,0)</f>
        <v>#REF!</v>
      </c>
      <c r="Q1412" s="47" t="str">
        <f t="shared" si="506"/>
        <v>51</v>
      </c>
      <c r="R1412" s="47" t="str">
        <f t="shared" si="500"/>
        <v>0-205400</v>
      </c>
      <c r="S1412" s="54" t="s">
        <v>42</v>
      </c>
      <c r="T1412" s="59" t="s">
        <v>42</v>
      </c>
      <c r="U1412" s="326" t="e">
        <f ca="1">_xlfn.XLOOKUP(PAA_4[[#This Row],[ITEM]],[2]Contrato!A:A,[2]Contrato!Q:Q,"",0)</f>
        <v>#NAME?</v>
      </c>
      <c r="V1412" s="47" t="s">
        <v>95</v>
      </c>
      <c r="W1412" s="64" t="s">
        <v>42</v>
      </c>
      <c r="X1412" s="64" t="s">
        <v>42</v>
      </c>
      <c r="Y1412" s="55" t="e">
        <f ca="1">_xlfn.XLOOKUP(PAA_4[[#This Row],[ITEM]],[2]Contrato!A:A,[2]Contrato!B:B,"",0)</f>
        <v>#NAME?</v>
      </c>
      <c r="Z1412" s="47" t="e">
        <f ca="1">_xlfn.XLOOKUP(PAA_4[[#This Row],[ITEM]],[2]Contrato!A:A,[2]Contrato!G:G,"",0)</f>
        <v>#NAME?</v>
      </c>
      <c r="AA1412" s="47" t="e">
        <f ca="1">_xlfn.XLOOKUP(PAA_4[[#This Row],[ITEM]],[2]Contrato!A:A,[2]Contrato!T:T,"",0)</f>
        <v>#NAME?</v>
      </c>
      <c r="AB1412" s="55" t="e">
        <f ca="1">+MAX(PAA_4[[#This Row],[Comprometido Contrato]],PAA_4[[#This Row],[Comprometido Bolsa]])</f>
        <v>#NAME?</v>
      </c>
      <c r="AC1412" s="55" t="str">
        <f t="shared" ca="1" si="507"/>
        <v/>
      </c>
      <c r="AD1412" s="55" t="e">
        <f ca="1">IF(PAA_4[[#This Row],[ESTADO (formulado)]]="NO CONTRATADO",0,MAX(PAA_4[[#This Row],[Pago por Contrato]],PAA_4[[#This Row],[Pago por bolsa]]))</f>
        <v>#NAME?</v>
      </c>
      <c r="AE1412" s="55" t="str">
        <f t="shared" ca="1" si="508"/>
        <v/>
      </c>
      <c r="AF1412" s="47" t="e">
        <f t="shared" ca="1" si="509"/>
        <v>#NAME?</v>
      </c>
      <c r="AG1412" s="47">
        <f t="shared" si="510"/>
        <v>44021011</v>
      </c>
      <c r="AH1412" s="54">
        <f>IF(Q1412="22",IF(ISNUMBER(SEARCH("econ",PAA_4[[#This Row],[Actividad3]])),"Económico",IF(ISNUMBER(SEARCH("alim",PAA_4[[#This Row],[Actividad3]])),"Alimentación",IF(ISNUMBER(SEARCH("educ",PAA_4[[#This Row],[Actividad3]])),"Educativo","Técnico"))),0)</f>
        <v>0</v>
      </c>
      <c r="AI1412" s="47" t="e" cm="1">
        <f t="array" aca="1" ref="AI1412" ca="1">_xlfn.XLOOKUP(PAA_4[[#This Row],[RCP-RUBRO]],[2]!COMPROMISOS_2024[[#All],[concatenado]],[2]!COMPROMISOS_2024[[#All],[Total pagado]],"",0)</f>
        <v>#NAME?</v>
      </c>
      <c r="AJ1412" s="56">
        <f>IF(PAA_4[[#This Row],[BOLSA]]=0,0,SUMIFS([2]!COMPROMISOS_2024[[#All],[Total pagado]],[2]!COMPROMISOS_2024[[#All],[Bolsa]],PAA_4[[#This Row],[BOLSA]],[2]!COMPROMISOS_2024[[#All],[rubro]],PAA_4[[#This Row],[RCP-RUBRO]]))</f>
        <v>0</v>
      </c>
      <c r="AK1412" s="47" t="e" cm="1">
        <f t="array" aca="1" ref="AK1412" ca="1">_xlfn.XLOOKUP(PAA_4[[#This Row],[RCP-RUBRO]],[2]!COMPROMISOS_2024[[#All],[concatenado]],[2]!COMPROMISOS_2024[[#All],[Total Comprometido]],"",0)</f>
        <v>#NAME?</v>
      </c>
      <c r="AL1412" s="47">
        <f>IF(PAA_4[[#This Row],[BOLSA]]=0,0,SUMIFS([2]!COMPROMISOS_2024[[#All],[Total Comprometido]],[2]!COMPROMISOS_2024[[#All],[Bolsa]],PAA_4[[#This Row],[BOLSA]],[2]!COMPROMISOS_2024[[#All],[concatenado]],PAA_4[[#This Row],[RCP-RUBRO]]))</f>
        <v>0</v>
      </c>
    </row>
    <row r="1413" spans="1:38" s="19" customFormat="1" ht="31.5" customHeight="1">
      <c r="A1413" s="47">
        <v>847</v>
      </c>
      <c r="B1413" s="51" t="s">
        <v>393</v>
      </c>
      <c r="C1413" s="47" t="str">
        <f>VLOOKUP(PAA_4[[#This Row],[PROYECTO (formulado)2]],[2]PROYECTOS!$G$1:$L$32,6,0)</f>
        <v>SUBGERENCIA DE FOMENTO Y DESARROLLO</v>
      </c>
      <c r="D1413" s="47" t="str">
        <f>+IF(PAA_4[[#This Row],[UNIDAD DE CONTRATACION (formulado)]]="Subgerencia Administrativa y Financiera","FUNCIONAMIENTO","INVERSIÓN")</f>
        <v>INVERSIÓN</v>
      </c>
      <c r="E1413" s="48" t="str">
        <f>VLOOKUP(Q1413,[2]PROYECTOS!$G$1:$K$32,5,0)</f>
        <v>FORTALECIMIENTO_DE_LOS_JUEGOS_DEL_SECTOR_EDUCATIVO_EN_ANTIOQUIA</v>
      </c>
      <c r="F1413" s="48">
        <f>VLOOKUP(E1413,[2]PROYECTOS!$K$1:$M$32,3,0)</f>
        <v>2020003050034</v>
      </c>
      <c r="G1413" s="49" t="s">
        <v>413</v>
      </c>
      <c r="H1413" s="49" t="str">
        <f>VLOOKUP(Q1413,[2]PROYECTOS!$V$1:$W$32,2,0)</f>
        <v>050053</v>
      </c>
      <c r="I1413" s="78">
        <f>489996623-47054779</f>
        <v>442941844</v>
      </c>
      <c r="J1413" s="51" t="s">
        <v>1891</v>
      </c>
      <c r="K1413" s="47" t="str">
        <f t="shared" ca="1" si="505"/>
        <v>CONTRATADO</v>
      </c>
      <c r="L1413" s="47" t="s">
        <v>94</v>
      </c>
      <c r="M1413" s="47" t="s">
        <v>255</v>
      </c>
      <c r="N1413" s="52" t="s">
        <v>145</v>
      </c>
      <c r="O1413" s="51" t="e">
        <f>VLOOKUP(N1413,[2]!RUBROS[#All],3,0)</f>
        <v>#REF!</v>
      </c>
      <c r="P1413" s="53" t="e">
        <f>VLOOKUP(N1413,[2]!RUBROS[#All],2,0)</f>
        <v>#REF!</v>
      </c>
      <c r="Q1413" s="47" t="str">
        <f t="shared" si="506"/>
        <v>51</v>
      </c>
      <c r="R1413" s="47" t="str">
        <f t="shared" si="500"/>
        <v>0-205400</v>
      </c>
      <c r="S1413" s="339">
        <v>5.5</v>
      </c>
      <c r="T1413" s="59" t="s">
        <v>46</v>
      </c>
      <c r="U1413" s="326" t="e">
        <f ca="1">_xlfn.XLOOKUP(PAA_4[[#This Row],[ITEM]],[2]Contrato!A:A,[2]Contrato!Q:Q,"",0)</f>
        <v>#NAME?</v>
      </c>
      <c r="V1413" s="47" t="s">
        <v>47</v>
      </c>
      <c r="W1413" s="47" t="s">
        <v>193</v>
      </c>
      <c r="X1413" s="47" t="s">
        <v>193</v>
      </c>
      <c r="Y1413" s="55" t="e">
        <f ca="1">_xlfn.XLOOKUP(PAA_4[[#This Row],[ITEM]],[2]Contrato!A:A,[2]Contrato!B:B,"",0)</f>
        <v>#NAME?</v>
      </c>
      <c r="Z1413" s="47" t="e">
        <f ca="1">_xlfn.XLOOKUP(PAA_4[[#This Row],[ITEM]],[2]Contrato!A:A,[2]Contrato!G:G,"",0)</f>
        <v>#NAME?</v>
      </c>
      <c r="AA1413" s="47" t="e">
        <f ca="1">_xlfn.XLOOKUP(PAA_4[[#This Row],[ITEM]],[2]Contrato!A:A,[2]Contrato!T:T,"",0)</f>
        <v>#NAME?</v>
      </c>
      <c r="AB1413" s="55" t="e">
        <f ca="1">+MAX(PAA_4[[#This Row],[Comprometido Contrato]],PAA_4[[#This Row],[Comprometido Bolsa]])</f>
        <v>#NAME?</v>
      </c>
      <c r="AC1413" s="55" t="str">
        <f t="shared" ca="1" si="507"/>
        <v/>
      </c>
      <c r="AD1413" s="55" t="e">
        <f ca="1">IF(PAA_4[[#This Row],[ESTADO (formulado)]]="NO CONTRATADO",0,MAX(PAA_4[[#This Row],[Pago por Contrato]],PAA_4[[#This Row],[Pago por bolsa]]))</f>
        <v>#NAME?</v>
      </c>
      <c r="AE1413" s="55" t="str">
        <f t="shared" ca="1" si="508"/>
        <v/>
      </c>
      <c r="AF1413" s="47" t="e">
        <f t="shared" ca="1" si="509"/>
        <v>#NAME?</v>
      </c>
      <c r="AG1413" s="47">
        <f t="shared" si="510"/>
        <v>44021011</v>
      </c>
      <c r="AH1413" s="54">
        <f>IF(Q1413="22",IF(ISNUMBER(SEARCH("econ",PAA_4[[#This Row],[Actividad3]])),"Económico",IF(ISNUMBER(SEARCH("alim",PAA_4[[#This Row],[Actividad3]])),"Alimentación",IF(ISNUMBER(SEARCH("educ",PAA_4[[#This Row],[Actividad3]])),"Educativo","Técnico"))),0)</f>
        <v>0</v>
      </c>
      <c r="AI1413" s="47" t="e" cm="1">
        <f t="array" aca="1" ref="AI1413" ca="1">_xlfn.XLOOKUP(PAA_4[[#This Row],[RCP-RUBRO]],[2]!COMPROMISOS_2024[[#All],[concatenado]],[2]!COMPROMISOS_2024[[#All],[Total pagado]],"",0)</f>
        <v>#NAME?</v>
      </c>
      <c r="AJ1413" s="56">
        <f>IF(PAA_4[[#This Row],[BOLSA]]=0,0,SUMIFS([2]!COMPROMISOS_2024[[#All],[Total pagado]],[2]!COMPROMISOS_2024[[#All],[Bolsa]],PAA_4[[#This Row],[BOLSA]],[2]!COMPROMISOS_2024[[#All],[rubro]],PAA_4[[#This Row],[RCP-RUBRO]]))</f>
        <v>0</v>
      </c>
      <c r="AK1413" s="47" t="e" cm="1">
        <f t="array" aca="1" ref="AK1413" ca="1">_xlfn.XLOOKUP(PAA_4[[#This Row],[RCP-RUBRO]],[2]!COMPROMISOS_2024[[#All],[concatenado]],[2]!COMPROMISOS_2024[[#All],[Total Comprometido]],"",0)</f>
        <v>#NAME?</v>
      </c>
      <c r="AL1413" s="47">
        <f>IF(PAA_4[[#This Row],[BOLSA]]=0,0,SUMIFS([2]!COMPROMISOS_2024[[#All],[Total Comprometido]],[2]!COMPROMISOS_2024[[#All],[Bolsa]],PAA_4[[#This Row],[BOLSA]],[2]!COMPROMISOS_2024[[#All],[concatenado]],PAA_4[[#This Row],[RCP-RUBRO]]))</f>
        <v>0</v>
      </c>
    </row>
    <row r="1414" spans="1:38" s="19" customFormat="1" ht="31.5" customHeight="1">
      <c r="A1414" s="47" t="s">
        <v>82</v>
      </c>
      <c r="B1414" s="47" t="s">
        <v>42</v>
      </c>
      <c r="C1414" s="47" t="str">
        <f>VLOOKUP(PAA_4[[#This Row],[PROYECTO (formulado)2]],[2]PROYECTOS!$G$1:$L$32,6,0)</f>
        <v>SUBGERENCIA DE FOMENTO Y DESARROLLO</v>
      </c>
      <c r="D1414" s="47" t="str">
        <f>+IF(PAA_4[[#This Row],[UNIDAD DE CONTRATACION (formulado)]]="Subgerencia Administrativa y Financiera","FUNCIONAMIENTO","INVERSIÓN")</f>
        <v>INVERSIÓN</v>
      </c>
      <c r="E1414" s="48" t="str">
        <f>VLOOKUP(Q1414,[2]PROYECTOS!$G$1:$K$32,5,0)</f>
        <v>FORTALECIMIENTO_DE_LOS_JUEGOS_DEL_SECTOR_EDUCATIVO_EN_ANTIOQUIA</v>
      </c>
      <c r="F1414" s="48">
        <f>VLOOKUP(E1414,[2]PROYECTOS!$K$1:$M$32,3,0)</f>
        <v>2020003050034</v>
      </c>
      <c r="G1414" s="49" t="s">
        <v>413</v>
      </c>
      <c r="H1414" s="49" t="str">
        <f>VLOOKUP(Q1414,[2]PROYECTOS!$V$1:$W$32,2,0)</f>
        <v>050053</v>
      </c>
      <c r="I1414" s="78">
        <v>0</v>
      </c>
      <c r="J1414" s="51" t="s">
        <v>42</v>
      </c>
      <c r="K1414" s="47" t="str">
        <f t="shared" ca="1" si="505"/>
        <v>CONTRATADO</v>
      </c>
      <c r="L1414" s="47" t="s">
        <v>42</v>
      </c>
      <c r="M1414" s="47" t="s">
        <v>42</v>
      </c>
      <c r="N1414" s="52" t="s">
        <v>145</v>
      </c>
      <c r="O1414" s="51" t="e">
        <f>VLOOKUP(N1414,[2]!RUBROS[#All],3,0)</f>
        <v>#REF!</v>
      </c>
      <c r="P1414" s="53" t="e">
        <f>VLOOKUP(N1414,[2]!RUBROS[#All],2,0)</f>
        <v>#REF!</v>
      </c>
      <c r="Q1414" s="47" t="str">
        <f t="shared" si="506"/>
        <v>51</v>
      </c>
      <c r="R1414" s="47" t="str">
        <f t="shared" si="500"/>
        <v>0-205400</v>
      </c>
      <c r="S1414" s="54" t="s">
        <v>42</v>
      </c>
      <c r="T1414" s="59" t="s">
        <v>42</v>
      </c>
      <c r="U1414" s="326" t="e">
        <f ca="1">_xlfn.XLOOKUP(PAA_4[[#This Row],[ITEM]],[2]Contrato!A:A,[2]Contrato!Q:Q,"",0)</f>
        <v>#NAME?</v>
      </c>
      <c r="V1414" s="47" t="s">
        <v>95</v>
      </c>
      <c r="W1414" s="47" t="s">
        <v>42</v>
      </c>
      <c r="X1414" s="47" t="s">
        <v>42</v>
      </c>
      <c r="Y1414" s="55" t="e">
        <f ca="1">_xlfn.XLOOKUP(PAA_4[[#This Row],[ITEM]],[2]Contrato!A:A,[2]Contrato!B:B,"",0)</f>
        <v>#NAME?</v>
      </c>
      <c r="Z1414" s="47" t="e">
        <f ca="1">_xlfn.XLOOKUP(PAA_4[[#This Row],[ITEM]],[2]Contrato!A:A,[2]Contrato!G:G,"",0)</f>
        <v>#NAME?</v>
      </c>
      <c r="AA1414" s="47" t="e">
        <f ca="1">_xlfn.XLOOKUP(PAA_4[[#This Row],[ITEM]],[2]Contrato!A:A,[2]Contrato!T:T,"",0)</f>
        <v>#NAME?</v>
      </c>
      <c r="AB1414" s="55" t="e">
        <f ca="1">+MAX(PAA_4[[#This Row],[Comprometido Contrato]],PAA_4[[#This Row],[Comprometido Bolsa]])</f>
        <v>#NAME?</v>
      </c>
      <c r="AC1414" s="55" t="str">
        <f t="shared" ca="1" si="507"/>
        <v/>
      </c>
      <c r="AD1414" s="55" t="e">
        <f ca="1">IF(PAA_4[[#This Row],[ESTADO (formulado)]]="NO CONTRATADO",0,MAX(PAA_4[[#This Row],[Pago por Contrato]],PAA_4[[#This Row],[Pago por bolsa]]))</f>
        <v>#NAME?</v>
      </c>
      <c r="AE1414" s="55" t="str">
        <f t="shared" ca="1" si="508"/>
        <v/>
      </c>
      <c r="AF1414" s="47" t="e">
        <f t="shared" ca="1" si="509"/>
        <v>#NAME?</v>
      </c>
      <c r="AG1414" s="47">
        <f t="shared" si="510"/>
        <v>44021011</v>
      </c>
      <c r="AH1414" s="54">
        <f>IF(Q1414="22",IF(ISNUMBER(SEARCH("econ",PAA_4[[#This Row],[Actividad3]])),"Económico",IF(ISNUMBER(SEARCH("alim",PAA_4[[#This Row],[Actividad3]])),"Alimentación",IF(ISNUMBER(SEARCH("educ",PAA_4[[#This Row],[Actividad3]])),"Educativo","Técnico"))),0)</f>
        <v>0</v>
      </c>
      <c r="AI1414" s="47" t="e" cm="1">
        <f t="array" aca="1" ref="AI1414" ca="1">_xlfn.XLOOKUP(PAA_4[[#This Row],[RCP-RUBRO]],[2]!COMPROMISOS_2024[[#All],[concatenado]],[2]!COMPROMISOS_2024[[#All],[Total pagado]],"",0)</f>
        <v>#NAME?</v>
      </c>
      <c r="AJ1414" s="56">
        <f>IF(PAA_4[[#This Row],[BOLSA]]=0,0,SUMIFS([2]!COMPROMISOS_2024[[#All],[Total pagado]],[2]!COMPROMISOS_2024[[#All],[Bolsa]],PAA_4[[#This Row],[BOLSA]],[2]!COMPROMISOS_2024[[#All],[rubro]],PAA_4[[#This Row],[RCP-RUBRO]]))</f>
        <v>0</v>
      </c>
      <c r="AK1414" s="47" t="e" cm="1">
        <f t="array" aca="1" ref="AK1414" ca="1">_xlfn.XLOOKUP(PAA_4[[#This Row],[RCP-RUBRO]],[2]!COMPROMISOS_2024[[#All],[concatenado]],[2]!COMPROMISOS_2024[[#All],[Total Comprometido]],"",0)</f>
        <v>#NAME?</v>
      </c>
      <c r="AL1414" s="47">
        <f>IF(PAA_4[[#This Row],[BOLSA]]=0,0,SUMIFS([2]!COMPROMISOS_2024[[#All],[Total Comprometido]],[2]!COMPROMISOS_2024[[#All],[Bolsa]],PAA_4[[#This Row],[BOLSA]],[2]!COMPROMISOS_2024[[#All],[concatenado]],PAA_4[[#This Row],[RCP-RUBRO]]))</f>
        <v>0</v>
      </c>
    </row>
    <row r="1415" spans="1:38" s="19" customFormat="1" ht="31.5" customHeight="1">
      <c r="A1415" s="47">
        <v>848</v>
      </c>
      <c r="B1415" s="51" t="s">
        <v>393</v>
      </c>
      <c r="C1415" s="47" t="str">
        <f>VLOOKUP(PAA_4[[#This Row],[PROYECTO (formulado)2]],[2]PROYECTOS!$G$1:$L$32,6,0)</f>
        <v>SUBGERENCIA DE FOMENTO Y DESARROLLO</v>
      </c>
      <c r="D1415" s="47" t="str">
        <f>+IF(PAA_4[[#This Row],[UNIDAD DE CONTRATACION (formulado)]]="Subgerencia Administrativa y Financiera","FUNCIONAMIENTO","INVERSIÓN")</f>
        <v>INVERSIÓN</v>
      </c>
      <c r="E1415" s="48" t="str">
        <f>VLOOKUP(Q1415,[2]PROYECTOS!$G$1:$K$32,5,0)</f>
        <v>FORTALECIMIENTO_DE_LOS_JUEGOS_DEL_SECTOR_EDUCATIVO_EN_ANTIOQUIA</v>
      </c>
      <c r="F1415" s="48">
        <f>VLOOKUP(E1415,[2]PROYECTOS!$K$1:$M$32,3,0)</f>
        <v>2020003050034</v>
      </c>
      <c r="G1415" s="49" t="s">
        <v>413</v>
      </c>
      <c r="H1415" s="49" t="str">
        <f>VLOOKUP(Q1415,[2]PROYECTOS!$V$1:$W$32,2,0)</f>
        <v>050053</v>
      </c>
      <c r="I1415" s="50">
        <f>159433991-698658</f>
        <v>158735333</v>
      </c>
      <c r="J1415" s="51" t="s">
        <v>1892</v>
      </c>
      <c r="K1415" s="47" t="str">
        <f t="shared" ca="1" si="505"/>
        <v>CONTRATADO</v>
      </c>
      <c r="L1415" s="47" t="s">
        <v>94</v>
      </c>
      <c r="M1415" s="47" t="s">
        <v>255</v>
      </c>
      <c r="N1415" s="52" t="s">
        <v>145</v>
      </c>
      <c r="O1415" s="51" t="e">
        <f>VLOOKUP(N1415,[2]!RUBROS[#All],3,0)</f>
        <v>#REF!</v>
      </c>
      <c r="P1415" s="53" t="e">
        <f>VLOOKUP(N1415,[2]!RUBROS[#All],2,0)</f>
        <v>#REF!</v>
      </c>
      <c r="Q1415" s="47" t="str">
        <f t="shared" si="506"/>
        <v>51</v>
      </c>
      <c r="R1415" s="47" t="str">
        <f t="shared" si="500"/>
        <v>0-205400</v>
      </c>
      <c r="S1415" s="54">
        <v>5.5</v>
      </c>
      <c r="T1415" s="59" t="s">
        <v>46</v>
      </c>
      <c r="U1415" s="326" t="e">
        <f ca="1">_xlfn.XLOOKUP(PAA_4[[#This Row],[ITEM]],[2]Contrato!A:A,[2]Contrato!Q:Q,"",0)</f>
        <v>#NAME?</v>
      </c>
      <c r="V1415" s="47" t="s">
        <v>47</v>
      </c>
      <c r="W1415" s="47" t="s">
        <v>193</v>
      </c>
      <c r="X1415" s="47" t="s">
        <v>193</v>
      </c>
      <c r="Y1415" s="55" t="e">
        <f ca="1">_xlfn.XLOOKUP(PAA_4[[#This Row],[ITEM]],[2]Contrato!A:A,[2]Contrato!B:B,"",0)</f>
        <v>#NAME?</v>
      </c>
      <c r="Z1415" s="47" t="e">
        <f ca="1">_xlfn.XLOOKUP(PAA_4[[#This Row],[ITEM]],[2]Contrato!A:A,[2]Contrato!G:G,"",0)</f>
        <v>#NAME?</v>
      </c>
      <c r="AA1415" s="47" t="e">
        <f ca="1">_xlfn.XLOOKUP(PAA_4[[#This Row],[ITEM]],[2]Contrato!A:A,[2]Contrato!T:T,"",0)</f>
        <v>#NAME?</v>
      </c>
      <c r="AB1415" s="55" t="e">
        <f ca="1">+MAX(PAA_4[[#This Row],[Comprometido Contrato]],PAA_4[[#This Row],[Comprometido Bolsa]])</f>
        <v>#NAME?</v>
      </c>
      <c r="AC1415" s="55" t="str">
        <f t="shared" ca="1" si="507"/>
        <v/>
      </c>
      <c r="AD1415" s="55" t="e">
        <f ca="1">IF(PAA_4[[#This Row],[ESTADO (formulado)]]="NO CONTRATADO",0,MAX(PAA_4[[#This Row],[Pago por Contrato]],PAA_4[[#This Row],[Pago por bolsa]]))</f>
        <v>#NAME?</v>
      </c>
      <c r="AE1415" s="55" t="str">
        <f t="shared" ca="1" si="508"/>
        <v/>
      </c>
      <c r="AF1415" s="47" t="e">
        <f t="shared" ca="1" si="509"/>
        <v>#NAME?</v>
      </c>
      <c r="AG1415" s="47">
        <f t="shared" si="510"/>
        <v>44021011</v>
      </c>
      <c r="AH1415" s="54">
        <f>IF(Q1415="22",IF(ISNUMBER(SEARCH("econ",PAA_4[[#This Row],[Actividad3]])),"Económico",IF(ISNUMBER(SEARCH("alim",PAA_4[[#This Row],[Actividad3]])),"Alimentación",IF(ISNUMBER(SEARCH("educ",PAA_4[[#This Row],[Actividad3]])),"Educativo","Técnico"))),0)</f>
        <v>0</v>
      </c>
      <c r="AI1415" s="47" t="e" cm="1">
        <f t="array" aca="1" ref="AI1415" ca="1">_xlfn.XLOOKUP(PAA_4[[#This Row],[RCP-RUBRO]],[2]!COMPROMISOS_2024[[#All],[concatenado]],[2]!COMPROMISOS_2024[[#All],[Total pagado]],"",0)</f>
        <v>#NAME?</v>
      </c>
      <c r="AJ1415" s="56">
        <f>IF(PAA_4[[#This Row],[BOLSA]]=0,0,SUMIFS([2]!COMPROMISOS_2024[[#All],[Total pagado]],[2]!COMPROMISOS_2024[[#All],[Bolsa]],PAA_4[[#This Row],[BOLSA]],[2]!COMPROMISOS_2024[[#All],[rubro]],PAA_4[[#This Row],[RCP-RUBRO]]))</f>
        <v>0</v>
      </c>
      <c r="AK1415" s="47" t="e" cm="1">
        <f t="array" aca="1" ref="AK1415" ca="1">_xlfn.XLOOKUP(PAA_4[[#This Row],[RCP-RUBRO]],[2]!COMPROMISOS_2024[[#All],[concatenado]],[2]!COMPROMISOS_2024[[#All],[Total Comprometido]],"",0)</f>
        <v>#NAME?</v>
      </c>
      <c r="AL1415" s="47">
        <f>IF(PAA_4[[#This Row],[BOLSA]]=0,0,SUMIFS([2]!COMPROMISOS_2024[[#All],[Total Comprometido]],[2]!COMPROMISOS_2024[[#All],[Bolsa]],PAA_4[[#This Row],[BOLSA]],[2]!COMPROMISOS_2024[[#All],[concatenado]],PAA_4[[#This Row],[RCP-RUBRO]]))</f>
        <v>0</v>
      </c>
    </row>
    <row r="1416" spans="1:38" s="19" customFormat="1" ht="31.5" customHeight="1">
      <c r="A1416" s="47" t="s">
        <v>82</v>
      </c>
      <c r="B1416" s="47" t="s">
        <v>42</v>
      </c>
      <c r="C1416" s="47" t="str">
        <f>VLOOKUP(PAA_4[[#This Row],[PROYECTO (formulado)2]],[2]PROYECTOS!$G$1:$L$32,6,0)</f>
        <v>SUBGERENCIA DE FOMENTO Y DESARROLLO</v>
      </c>
      <c r="D1416" s="47" t="str">
        <f>+IF(PAA_4[[#This Row],[UNIDAD DE CONTRATACION (formulado)]]="Subgerencia Administrativa y Financiera","FUNCIONAMIENTO","INVERSIÓN")</f>
        <v>INVERSIÓN</v>
      </c>
      <c r="E1416" s="48" t="str">
        <f>VLOOKUP(Q1416,[2]PROYECTOS!$G$1:$K$32,5,0)</f>
        <v>FORTALECIMIENTO_DE_LOS_JUEGOS_DEL_SECTOR_EDUCATIVO_EN_ANTIOQUIA</v>
      </c>
      <c r="F1416" s="48">
        <f>VLOOKUP(E1416,[2]PROYECTOS!$K$1:$M$32,3,0)</f>
        <v>2020003050034</v>
      </c>
      <c r="G1416" s="49" t="s">
        <v>413</v>
      </c>
      <c r="H1416" s="49" t="str">
        <f>VLOOKUP(Q1416,[2]PROYECTOS!$V$1:$W$32,2,0)</f>
        <v>050053</v>
      </c>
      <c r="I1416" s="50">
        <v>0</v>
      </c>
      <c r="J1416" s="51" t="s">
        <v>42</v>
      </c>
      <c r="K1416" s="47" t="str">
        <f t="shared" ca="1" si="505"/>
        <v>CONTRATADO</v>
      </c>
      <c r="L1416" s="47" t="s">
        <v>42</v>
      </c>
      <c r="M1416" s="47" t="s">
        <v>42</v>
      </c>
      <c r="N1416" s="52" t="s">
        <v>145</v>
      </c>
      <c r="O1416" s="51" t="e">
        <f>VLOOKUP(N1416,[2]!RUBROS[#All],3,0)</f>
        <v>#REF!</v>
      </c>
      <c r="P1416" s="53" t="e">
        <f>VLOOKUP(N1416,[2]!RUBROS[#All],2,0)</f>
        <v>#REF!</v>
      </c>
      <c r="Q1416" s="47" t="str">
        <f t="shared" si="506"/>
        <v>51</v>
      </c>
      <c r="R1416" s="47" t="str">
        <f t="shared" si="500"/>
        <v>0-205400</v>
      </c>
      <c r="S1416" s="54" t="s">
        <v>42</v>
      </c>
      <c r="T1416" s="59" t="s">
        <v>42</v>
      </c>
      <c r="U1416" s="326" t="e">
        <f ca="1">_xlfn.XLOOKUP(PAA_4[[#This Row],[ITEM]],[2]Contrato!A:A,[2]Contrato!Q:Q,"",0)</f>
        <v>#NAME?</v>
      </c>
      <c r="V1416" s="47" t="s">
        <v>95</v>
      </c>
      <c r="W1416" s="47" t="s">
        <v>42</v>
      </c>
      <c r="X1416" s="47" t="s">
        <v>42</v>
      </c>
      <c r="Y1416" s="55" t="e">
        <f ca="1">_xlfn.XLOOKUP(PAA_4[[#This Row],[ITEM]],[2]Contrato!A:A,[2]Contrato!B:B,"",0)</f>
        <v>#NAME?</v>
      </c>
      <c r="Z1416" s="47" t="e">
        <f ca="1">_xlfn.XLOOKUP(PAA_4[[#This Row],[ITEM]],[2]Contrato!A:A,[2]Contrato!G:G,"",0)</f>
        <v>#NAME?</v>
      </c>
      <c r="AA1416" s="47" t="e">
        <f ca="1">_xlfn.XLOOKUP(PAA_4[[#This Row],[ITEM]],[2]Contrato!A:A,[2]Contrato!T:T,"",0)</f>
        <v>#NAME?</v>
      </c>
      <c r="AB1416" s="55" t="e">
        <f ca="1">+MAX(PAA_4[[#This Row],[Comprometido Contrato]],PAA_4[[#This Row],[Comprometido Bolsa]])</f>
        <v>#NAME?</v>
      </c>
      <c r="AC1416" s="55" t="str">
        <f t="shared" ca="1" si="507"/>
        <v/>
      </c>
      <c r="AD1416" s="55" t="e">
        <f ca="1">IF(PAA_4[[#This Row],[ESTADO (formulado)]]="NO CONTRATADO",0,MAX(PAA_4[[#This Row],[Pago por Contrato]],PAA_4[[#This Row],[Pago por bolsa]]))</f>
        <v>#NAME?</v>
      </c>
      <c r="AE1416" s="55" t="str">
        <f t="shared" ca="1" si="508"/>
        <v/>
      </c>
      <c r="AF1416" s="47" t="e">
        <f t="shared" ca="1" si="509"/>
        <v>#NAME?</v>
      </c>
      <c r="AG1416" s="47">
        <f t="shared" si="510"/>
        <v>44021011</v>
      </c>
      <c r="AH1416" s="54">
        <f>IF(Q1416="22",IF(ISNUMBER(SEARCH("econ",PAA_4[[#This Row],[Actividad3]])),"Económico",IF(ISNUMBER(SEARCH("alim",PAA_4[[#This Row],[Actividad3]])),"Alimentación",IF(ISNUMBER(SEARCH("educ",PAA_4[[#This Row],[Actividad3]])),"Educativo","Técnico"))),0)</f>
        <v>0</v>
      </c>
      <c r="AI1416" s="47" t="e" cm="1">
        <f t="array" aca="1" ref="AI1416" ca="1">_xlfn.XLOOKUP(PAA_4[[#This Row],[RCP-RUBRO]],[2]!COMPROMISOS_2024[[#All],[concatenado]],[2]!COMPROMISOS_2024[[#All],[Total pagado]],"",0)</f>
        <v>#NAME?</v>
      </c>
      <c r="AJ1416" s="56">
        <f>IF(PAA_4[[#This Row],[BOLSA]]=0,0,SUMIFS([2]!COMPROMISOS_2024[[#All],[Total pagado]],[2]!COMPROMISOS_2024[[#All],[Bolsa]],PAA_4[[#This Row],[BOLSA]],[2]!COMPROMISOS_2024[[#All],[rubro]],PAA_4[[#This Row],[RCP-RUBRO]]))</f>
        <v>0</v>
      </c>
      <c r="AK1416" s="47" t="e" cm="1">
        <f t="array" aca="1" ref="AK1416" ca="1">_xlfn.XLOOKUP(PAA_4[[#This Row],[RCP-RUBRO]],[2]!COMPROMISOS_2024[[#All],[concatenado]],[2]!COMPROMISOS_2024[[#All],[Total Comprometido]],"",0)</f>
        <v>#NAME?</v>
      </c>
      <c r="AL1416" s="47">
        <f>IF(PAA_4[[#This Row],[BOLSA]]=0,0,SUMIFS([2]!COMPROMISOS_2024[[#All],[Total Comprometido]],[2]!COMPROMISOS_2024[[#All],[Bolsa]],PAA_4[[#This Row],[BOLSA]],[2]!COMPROMISOS_2024[[#All],[concatenado]],PAA_4[[#This Row],[RCP-RUBRO]]))</f>
        <v>0</v>
      </c>
    </row>
    <row r="1417" spans="1:38" s="19" customFormat="1" ht="31.5" customHeight="1">
      <c r="A1417" s="47">
        <v>849</v>
      </c>
      <c r="B1417" s="51" t="s">
        <v>393</v>
      </c>
      <c r="C1417" s="47" t="str">
        <f>VLOOKUP(PAA_4[[#This Row],[PROYECTO (formulado)2]],[2]PROYECTOS!$G$1:$L$32,6,0)</f>
        <v>SUBGERENCIA DE FOMENTO Y DESARROLLO</v>
      </c>
      <c r="D1417" s="47" t="str">
        <f>+IF(PAA_4[[#This Row],[UNIDAD DE CONTRATACION (formulado)]]="Subgerencia Administrativa y Financiera","FUNCIONAMIENTO","INVERSIÓN")</f>
        <v>INVERSIÓN</v>
      </c>
      <c r="E1417" s="48" t="str">
        <f>VLOOKUP(Q1417,[2]PROYECTOS!$G$1:$K$32,5,0)</f>
        <v>FORTALECIMIENTO_DE_LOS_JUEGOS_DEL_SECTOR_EDUCATIVO_EN_ANTIOQUIA</v>
      </c>
      <c r="F1417" s="48">
        <f>VLOOKUP(E1417,[2]PROYECTOS!$K$1:$M$32,3,0)</f>
        <v>2020003050034</v>
      </c>
      <c r="G1417" s="49" t="s">
        <v>413</v>
      </c>
      <c r="H1417" s="49" t="str">
        <f>VLOOKUP(Q1417,[2]PROYECTOS!$V$1:$W$32,2,0)</f>
        <v>050053</v>
      </c>
      <c r="I1417" s="50">
        <f>137511817-1146174</f>
        <v>136365643</v>
      </c>
      <c r="J1417" s="51" t="s">
        <v>1893</v>
      </c>
      <c r="K1417" s="47" t="str">
        <f t="shared" ca="1" si="505"/>
        <v>CONTRATADO</v>
      </c>
      <c r="L1417" s="47" t="s">
        <v>94</v>
      </c>
      <c r="M1417" s="47" t="s">
        <v>1894</v>
      </c>
      <c r="N1417" s="52" t="s">
        <v>145</v>
      </c>
      <c r="O1417" s="51" t="e">
        <f>VLOOKUP(N1417,[2]!RUBROS[#All],3,0)</f>
        <v>#REF!</v>
      </c>
      <c r="P1417" s="53" t="e">
        <f>VLOOKUP(N1417,[2]!RUBROS[#All],2,0)</f>
        <v>#REF!</v>
      </c>
      <c r="Q1417" s="47" t="str">
        <f t="shared" si="506"/>
        <v>51</v>
      </c>
      <c r="R1417" s="47" t="str">
        <f t="shared" si="500"/>
        <v>0-205400</v>
      </c>
      <c r="S1417" s="339">
        <v>5.5</v>
      </c>
      <c r="T1417" s="59" t="s">
        <v>46</v>
      </c>
      <c r="U1417" s="326" t="e">
        <f ca="1">_xlfn.XLOOKUP(PAA_4[[#This Row],[ITEM]],[2]Contrato!A:A,[2]Contrato!Q:Q,"",0)</f>
        <v>#NAME?</v>
      </c>
      <c r="V1417" s="47" t="s">
        <v>47</v>
      </c>
      <c r="W1417" s="47" t="s">
        <v>193</v>
      </c>
      <c r="X1417" s="47" t="s">
        <v>193</v>
      </c>
      <c r="Y1417" s="55" t="e">
        <f ca="1">_xlfn.XLOOKUP(PAA_4[[#This Row],[ITEM]],[2]Contrato!A:A,[2]Contrato!B:B,"",0)</f>
        <v>#NAME?</v>
      </c>
      <c r="Z1417" s="47" t="e">
        <f ca="1">_xlfn.XLOOKUP(PAA_4[[#This Row],[ITEM]],[2]Contrato!A:A,[2]Contrato!G:G,"",0)</f>
        <v>#NAME?</v>
      </c>
      <c r="AA1417" s="47" t="e">
        <f ca="1">_xlfn.XLOOKUP(PAA_4[[#This Row],[ITEM]],[2]Contrato!A:A,[2]Contrato!T:T,"",0)</f>
        <v>#NAME?</v>
      </c>
      <c r="AB1417" s="55" t="e">
        <f ca="1">+MAX(PAA_4[[#This Row],[Comprometido Contrato]],PAA_4[[#This Row],[Comprometido Bolsa]])</f>
        <v>#NAME?</v>
      </c>
      <c r="AC1417" s="55" t="str">
        <f t="shared" ca="1" si="507"/>
        <v/>
      </c>
      <c r="AD1417" s="55" t="e">
        <f ca="1">IF(PAA_4[[#This Row],[ESTADO (formulado)]]="NO CONTRATADO",0,MAX(PAA_4[[#This Row],[Pago por Contrato]],PAA_4[[#This Row],[Pago por bolsa]]))</f>
        <v>#NAME?</v>
      </c>
      <c r="AE1417" s="55" t="str">
        <f t="shared" ca="1" si="508"/>
        <v/>
      </c>
      <c r="AF1417" s="47" t="e">
        <f t="shared" ca="1" si="509"/>
        <v>#NAME?</v>
      </c>
      <c r="AG1417" s="47">
        <f t="shared" si="510"/>
        <v>44021011</v>
      </c>
      <c r="AH1417" s="54">
        <f>IF(Q1417="22",IF(ISNUMBER(SEARCH("econ",PAA_4[[#This Row],[Actividad3]])),"Económico",IF(ISNUMBER(SEARCH("alim",PAA_4[[#This Row],[Actividad3]])),"Alimentación",IF(ISNUMBER(SEARCH("educ",PAA_4[[#This Row],[Actividad3]])),"Educativo","Técnico"))),0)</f>
        <v>0</v>
      </c>
      <c r="AI1417" s="47" t="e" cm="1">
        <f t="array" aca="1" ref="AI1417" ca="1">_xlfn.XLOOKUP(PAA_4[[#This Row],[RCP-RUBRO]],[2]!COMPROMISOS_2024[[#All],[concatenado]],[2]!COMPROMISOS_2024[[#All],[Total pagado]],"",0)</f>
        <v>#NAME?</v>
      </c>
      <c r="AJ1417" s="56">
        <f>IF(PAA_4[[#This Row],[BOLSA]]=0,0,SUMIFS([2]!COMPROMISOS_2024[[#All],[Total pagado]],[2]!COMPROMISOS_2024[[#All],[Bolsa]],PAA_4[[#This Row],[BOLSA]],[2]!COMPROMISOS_2024[[#All],[rubro]],PAA_4[[#This Row],[RCP-RUBRO]]))</f>
        <v>0</v>
      </c>
      <c r="AK1417" s="47" t="e" cm="1">
        <f t="array" aca="1" ref="AK1417" ca="1">_xlfn.XLOOKUP(PAA_4[[#This Row],[RCP-RUBRO]],[2]!COMPROMISOS_2024[[#All],[concatenado]],[2]!COMPROMISOS_2024[[#All],[Total Comprometido]],"",0)</f>
        <v>#NAME?</v>
      </c>
      <c r="AL1417" s="47">
        <f>IF(PAA_4[[#This Row],[BOLSA]]=0,0,SUMIFS([2]!COMPROMISOS_2024[[#All],[Total Comprometido]],[2]!COMPROMISOS_2024[[#All],[Bolsa]],PAA_4[[#This Row],[BOLSA]],[2]!COMPROMISOS_2024[[#All],[concatenado]],PAA_4[[#This Row],[RCP-RUBRO]]))</f>
        <v>0</v>
      </c>
    </row>
    <row r="1418" spans="1:38" s="19" customFormat="1" ht="31.5" customHeight="1">
      <c r="A1418" s="47">
        <v>376</v>
      </c>
      <c r="B1418" s="47" t="s">
        <v>42</v>
      </c>
      <c r="C1418" s="47" t="str">
        <f>VLOOKUP(PAA_4[[#This Row],[PROYECTO (formulado)2]],[2]PROYECTOS!$G$1:$L$32,6,0)</f>
        <v>SUBGERENCIA DE FOMENTO Y DESARROLLO</v>
      </c>
      <c r="D1418" s="47" t="str">
        <f>+IF(PAA_4[[#This Row],[UNIDAD DE CONTRATACION (formulado)]]="Subgerencia Administrativa y Financiera","FUNCIONAMIENTO","INVERSIÓN")</f>
        <v>INVERSIÓN</v>
      </c>
      <c r="E1418" s="48" t="str">
        <f>VLOOKUP(Q1418,[2]PROYECTOS!$G$1:$K$32,5,0)</f>
        <v>FORTALECIMIENTO_DE_LOS_JUEGOS_DEL_SECTOR_EDUCATIVO_EN_ANTIOQUIA</v>
      </c>
      <c r="F1418" s="48">
        <f>VLOOKUP(E1418,[2]PROYECTOS!$K$1:$M$32,3,0)</f>
        <v>2020003050034</v>
      </c>
      <c r="G1418" s="49" t="s">
        <v>413</v>
      </c>
      <c r="H1418" s="49" t="str">
        <f>VLOOKUP(Q1418,[2]PROYECTOS!$V$1:$W$32,2,0)</f>
        <v>050053</v>
      </c>
      <c r="I1418" s="50">
        <v>0</v>
      </c>
      <c r="J1418" s="51" t="s">
        <v>42</v>
      </c>
      <c r="K1418" s="47" t="str">
        <f t="shared" ca="1" si="505"/>
        <v>CONTRATADO</v>
      </c>
      <c r="L1418" s="47" t="s">
        <v>94</v>
      </c>
      <c r="M1418" s="47" t="s">
        <v>161</v>
      </c>
      <c r="N1418" s="52" t="s">
        <v>145</v>
      </c>
      <c r="O1418" s="51" t="e">
        <f>VLOOKUP(N1418,[2]!RUBROS[#All],3,0)</f>
        <v>#REF!</v>
      </c>
      <c r="P1418" s="53" t="e">
        <f>VLOOKUP(N1418,[2]!RUBROS[#All],2,0)</f>
        <v>#REF!</v>
      </c>
      <c r="Q1418" s="47" t="str">
        <f t="shared" si="506"/>
        <v>51</v>
      </c>
      <c r="R1418" s="47" t="str">
        <f t="shared" si="500"/>
        <v>0-205400</v>
      </c>
      <c r="S1418" s="339">
        <v>6</v>
      </c>
      <c r="T1418" s="59" t="s">
        <v>46</v>
      </c>
      <c r="U1418" s="326" t="e">
        <f ca="1">_xlfn.XLOOKUP(PAA_4[[#This Row],[ITEM]],[2]Contrato!A:A,[2]Contrato!Q:Q,"",0)</f>
        <v>#NAME?</v>
      </c>
      <c r="V1418" s="47" t="s">
        <v>47</v>
      </c>
      <c r="W1418" s="47" t="s">
        <v>193</v>
      </c>
      <c r="X1418" s="47" t="s">
        <v>193</v>
      </c>
      <c r="Y1418" s="55" t="e">
        <f ca="1">_xlfn.XLOOKUP(PAA_4[[#This Row],[ITEM]],[2]Contrato!A:A,[2]Contrato!B:B,"",0)</f>
        <v>#NAME?</v>
      </c>
      <c r="Z1418" s="47" t="e">
        <f ca="1">_xlfn.XLOOKUP(PAA_4[[#This Row],[ITEM]],[2]Contrato!A:A,[2]Contrato!G:G,"",0)</f>
        <v>#NAME?</v>
      </c>
      <c r="AA1418" s="47" t="e">
        <f ca="1">_xlfn.XLOOKUP(PAA_4[[#This Row],[ITEM]],[2]Contrato!A:A,[2]Contrato!T:T,"",0)</f>
        <v>#NAME?</v>
      </c>
      <c r="AB1418" s="55" t="e">
        <f ca="1">+MAX(PAA_4[[#This Row],[Comprometido Contrato]],PAA_4[[#This Row],[Comprometido Bolsa]])</f>
        <v>#NAME?</v>
      </c>
      <c r="AC1418" s="55" t="str">
        <f t="shared" ca="1" si="507"/>
        <v/>
      </c>
      <c r="AD1418" s="55" t="e">
        <f ca="1">IF(PAA_4[[#This Row],[ESTADO (formulado)]]="NO CONTRATADO",0,MAX(PAA_4[[#This Row],[Pago por Contrato]],PAA_4[[#This Row],[Pago por bolsa]]))</f>
        <v>#NAME?</v>
      </c>
      <c r="AE1418" s="55" t="str">
        <f t="shared" ca="1" si="508"/>
        <v/>
      </c>
      <c r="AF1418" s="47" t="e">
        <f t="shared" ca="1" si="509"/>
        <v>#NAME?</v>
      </c>
      <c r="AG1418" s="47">
        <f t="shared" si="510"/>
        <v>44021011</v>
      </c>
      <c r="AH1418" s="54">
        <f>IF(Q1418="22",IF(ISNUMBER(SEARCH("econ",PAA_4[[#This Row],[Actividad3]])),"Económico",IF(ISNUMBER(SEARCH("alim",PAA_4[[#This Row],[Actividad3]])),"Alimentación",IF(ISNUMBER(SEARCH("educ",PAA_4[[#This Row],[Actividad3]])),"Educativo","Técnico"))),0)</f>
        <v>0</v>
      </c>
      <c r="AI1418" s="47" t="e" cm="1">
        <f t="array" aca="1" ref="AI1418" ca="1">_xlfn.XLOOKUP(PAA_4[[#This Row],[RCP-RUBRO]],[2]!COMPROMISOS_2024[[#All],[concatenado]],[2]!COMPROMISOS_2024[[#All],[Total pagado]],"",0)</f>
        <v>#NAME?</v>
      </c>
      <c r="AJ1418" s="56">
        <f>IF(PAA_4[[#This Row],[BOLSA]]=0,0,SUMIFS([2]!COMPROMISOS_2024[[#All],[Total pagado]],[2]!COMPROMISOS_2024[[#All],[Bolsa]],PAA_4[[#This Row],[BOLSA]],[2]!COMPROMISOS_2024[[#All],[rubro]],PAA_4[[#This Row],[RCP-RUBRO]]))</f>
        <v>0</v>
      </c>
      <c r="AK1418" s="47" t="e" cm="1">
        <f t="array" aca="1" ref="AK1418" ca="1">_xlfn.XLOOKUP(PAA_4[[#This Row],[RCP-RUBRO]],[2]!COMPROMISOS_2024[[#All],[concatenado]],[2]!COMPROMISOS_2024[[#All],[Total Comprometido]],"",0)</f>
        <v>#NAME?</v>
      </c>
      <c r="AL1418" s="47">
        <f>IF(PAA_4[[#This Row],[BOLSA]]=0,0,SUMIFS([2]!COMPROMISOS_2024[[#All],[Total Comprometido]],[2]!COMPROMISOS_2024[[#All],[Bolsa]],PAA_4[[#This Row],[BOLSA]],[2]!COMPROMISOS_2024[[#All],[concatenado]],PAA_4[[#This Row],[RCP-RUBRO]]))</f>
        <v>0</v>
      </c>
    </row>
    <row r="1419" spans="1:38" s="19" customFormat="1" ht="31.5" customHeight="1">
      <c r="A1419" s="47" t="s">
        <v>82</v>
      </c>
      <c r="B1419" s="47" t="s">
        <v>42</v>
      </c>
      <c r="C1419" s="47" t="str">
        <f>VLOOKUP(PAA_4[[#This Row],[PROYECTO (formulado)2]],[2]PROYECTOS!$G$1:$L$32,6,0)</f>
        <v>SUBGERENCIA DE FOMENTO Y DESARROLLO</v>
      </c>
      <c r="D1419" s="47" t="str">
        <f>+IF(PAA_4[[#This Row],[UNIDAD DE CONTRATACION (formulado)]]="Subgerencia Administrativa y Financiera","FUNCIONAMIENTO","INVERSIÓN")</f>
        <v>INVERSIÓN</v>
      </c>
      <c r="E1419" s="48" t="str">
        <f>VLOOKUP(Q1419,[2]PROYECTOS!$G$1:$K$32,5,0)</f>
        <v>FORTALECIMIENTO_DEL_DEPORTE_FORMATIVO_EN_LOS_MUNICIPIOS_DEL_DEPARTAMENTO_DE_ANTIOQUIA</v>
      </c>
      <c r="F1419" s="48">
        <f>VLOOKUP(E1419,[2]PROYECTOS!$K$1:$M$32,3,0)</f>
        <v>2020003050035</v>
      </c>
      <c r="G1419" s="49" t="s">
        <v>450</v>
      </c>
      <c r="H1419" s="49" t="str">
        <f>VLOOKUP(Q1419,[2]PROYECTOS!$V$1:$W$32,2,0)</f>
        <v>050056</v>
      </c>
      <c r="I1419" s="50">
        <v>0</v>
      </c>
      <c r="J1419" s="51" t="s">
        <v>1850</v>
      </c>
      <c r="K1419" s="47" t="str">
        <f t="shared" ca="1" si="505"/>
        <v>CONTRATADO</v>
      </c>
      <c r="L1419" s="47" t="s">
        <v>42</v>
      </c>
      <c r="M1419" s="47" t="s">
        <v>42</v>
      </c>
      <c r="N1419" s="52" t="s">
        <v>419</v>
      </c>
      <c r="O1419" s="51" t="e">
        <f>VLOOKUP(N1419,[2]!RUBROS[#All],3,0)</f>
        <v>#REF!</v>
      </c>
      <c r="P1419" s="53" t="e">
        <f>VLOOKUP(N1419,[2]!RUBROS[#All],2,0)</f>
        <v>#REF!</v>
      </c>
      <c r="Q1419" s="47" t="str">
        <f t="shared" si="506"/>
        <v>53</v>
      </c>
      <c r="R1419" s="47" t="str">
        <f t="shared" si="500"/>
        <v>0-205617</v>
      </c>
      <c r="S1419" s="339" t="s">
        <v>42</v>
      </c>
      <c r="T1419" s="59" t="s">
        <v>42</v>
      </c>
      <c r="U1419" s="326" t="e">
        <f ca="1">_xlfn.XLOOKUP(PAA_4[[#This Row],[ITEM]],[2]Contrato!A:A,[2]Contrato!Q:Q,"",0)</f>
        <v>#NAME?</v>
      </c>
      <c r="V1419" s="47" t="s">
        <v>42</v>
      </c>
      <c r="W1419" s="47" t="s">
        <v>42</v>
      </c>
      <c r="X1419" s="47" t="s">
        <v>42</v>
      </c>
      <c r="Y1419" s="55" t="e">
        <f ca="1">_xlfn.XLOOKUP(PAA_4[[#This Row],[ITEM]],[2]Contrato!A:A,[2]Contrato!B:B,"",0)</f>
        <v>#NAME?</v>
      </c>
      <c r="Z1419" s="47" t="e">
        <f ca="1">_xlfn.XLOOKUP(PAA_4[[#This Row],[ITEM]],[2]Contrato!A:A,[2]Contrato!G:G,"",0)</f>
        <v>#NAME?</v>
      </c>
      <c r="AA1419" s="47" t="e">
        <f ca="1">_xlfn.XLOOKUP(PAA_4[[#This Row],[ITEM]],[2]Contrato!A:A,[2]Contrato!T:T,"",0)</f>
        <v>#NAME?</v>
      </c>
      <c r="AB1419" s="55" t="e">
        <f ca="1">+MAX(PAA_4[[#This Row],[Comprometido Contrato]],PAA_4[[#This Row],[Comprometido Bolsa]])</f>
        <v>#NAME?</v>
      </c>
      <c r="AC1419" s="55" t="str">
        <f t="shared" ca="1" si="507"/>
        <v/>
      </c>
      <c r="AD1419" s="55" t="e">
        <f ca="1">IF(PAA_4[[#This Row],[ESTADO (formulado)]]="NO CONTRATADO",0,MAX(PAA_4[[#This Row],[Pago por Contrato]],PAA_4[[#This Row],[Pago por bolsa]]))</f>
        <v>#NAME?</v>
      </c>
      <c r="AE1419" s="55" t="str">
        <f t="shared" ca="1" si="508"/>
        <v/>
      </c>
      <c r="AF1419" s="47" t="e">
        <f t="shared" ca="1" si="509"/>
        <v>#NAME?</v>
      </c>
      <c r="AG1419" s="47">
        <f t="shared" si="510"/>
        <v>44021007</v>
      </c>
      <c r="AH1419" s="54">
        <f>IF(Q1419="22",IF(ISNUMBER(SEARCH("econ",PAA_4[[#This Row],[Actividad3]])),"Económico",IF(ISNUMBER(SEARCH("alim",PAA_4[[#This Row],[Actividad3]])),"Alimentación",IF(ISNUMBER(SEARCH("educ",PAA_4[[#This Row],[Actividad3]])),"Educativo","Técnico"))),0)</f>
        <v>0</v>
      </c>
      <c r="AI1419" s="47" t="e" cm="1">
        <f t="array" aca="1" ref="AI1419" ca="1">_xlfn.XLOOKUP(PAA_4[[#This Row],[RCP-RUBRO]],[2]!COMPROMISOS_2024[[#All],[concatenado]],[2]!COMPROMISOS_2024[[#All],[Total pagado]],"",0)</f>
        <v>#NAME?</v>
      </c>
      <c r="AJ1419" s="56">
        <f>IF(PAA_4[[#This Row],[BOLSA]]=0,0,SUMIFS([2]!COMPROMISOS_2024[[#All],[Total pagado]],[2]!COMPROMISOS_2024[[#All],[Bolsa]],PAA_4[[#This Row],[BOLSA]],[2]!COMPROMISOS_2024[[#All],[rubro]],PAA_4[[#This Row],[RCP-RUBRO]]))</f>
        <v>0</v>
      </c>
      <c r="AK1419" s="47" t="e" cm="1">
        <f t="array" aca="1" ref="AK1419" ca="1">_xlfn.XLOOKUP(PAA_4[[#This Row],[RCP-RUBRO]],[2]!COMPROMISOS_2024[[#All],[concatenado]],[2]!COMPROMISOS_2024[[#All],[Total Comprometido]],"",0)</f>
        <v>#NAME?</v>
      </c>
      <c r="AL1419" s="47">
        <f>IF(PAA_4[[#This Row],[BOLSA]]=0,0,SUMIFS([2]!COMPROMISOS_2024[[#All],[Total Comprometido]],[2]!COMPROMISOS_2024[[#All],[Bolsa]],PAA_4[[#This Row],[BOLSA]],[2]!COMPROMISOS_2024[[#All],[concatenado]],PAA_4[[#This Row],[RCP-RUBRO]]))</f>
        <v>0</v>
      </c>
    </row>
    <row r="1420" spans="1:38" s="19" customFormat="1" ht="31.5" customHeight="1">
      <c r="A1420" s="47">
        <v>778</v>
      </c>
      <c r="B1420" s="47">
        <v>93141506</v>
      </c>
      <c r="C1420" s="47" t="str">
        <f>VLOOKUP(PAA_4[[#This Row],[PROYECTO (formulado)2]],[2]PROYECTOS!$G$1:$L$32,6,0)</f>
        <v>SUBGERENCIA DE FOMENTO Y DESARROLLO</v>
      </c>
      <c r="D1420" s="47" t="str">
        <f>+IF(PAA_4[[#This Row],[UNIDAD DE CONTRATACION (formulado)]]="Subgerencia Administrativa y Financiera","FUNCIONAMIENTO","INVERSIÓN")</f>
        <v>INVERSIÓN</v>
      </c>
      <c r="E1420" s="48" t="str">
        <f>VLOOKUP(Q1420,[2]PROYECTOS!$G$1:$K$32,5,0)</f>
        <v>FORTALECIMIENTO_DEL_DEPORTE_FORMATIVO_EN_LOS_MUNICIPIOS_DEL_DEPARTAMENTO_DE_ANTIOQUIA</v>
      </c>
      <c r="F1420" s="48">
        <f>VLOOKUP(E1420,[2]PROYECTOS!$K$1:$M$32,3,0)</f>
        <v>2020003050035</v>
      </c>
      <c r="G1420" s="49" t="s">
        <v>450</v>
      </c>
      <c r="H1420" s="49" t="str">
        <f>VLOOKUP(Q1420,[2]PROYECTOS!$V$1:$W$32,2,0)</f>
        <v>050056</v>
      </c>
      <c r="I1420" s="50">
        <f>3349717447-1110900799</f>
        <v>2238816648</v>
      </c>
      <c r="J1420" s="51" t="s">
        <v>418</v>
      </c>
      <c r="K1420" s="47" t="str">
        <f t="shared" ca="1" si="505"/>
        <v>CONTRATADO</v>
      </c>
      <c r="L1420" s="47" t="s">
        <v>44</v>
      </c>
      <c r="M1420" s="47" t="s">
        <v>1236</v>
      </c>
      <c r="N1420" s="52" t="s">
        <v>419</v>
      </c>
      <c r="O1420" s="51" t="e">
        <f>VLOOKUP(N1420,[2]!RUBROS[#All],3,0)</f>
        <v>#REF!</v>
      </c>
      <c r="P1420" s="53" t="e">
        <f>VLOOKUP(N1420,[2]!RUBROS[#All],2,0)</f>
        <v>#REF!</v>
      </c>
      <c r="Q1420" s="47" t="str">
        <f t="shared" si="506"/>
        <v>53</v>
      </c>
      <c r="R1420" s="47" t="str">
        <f t="shared" si="500"/>
        <v>0-205617</v>
      </c>
      <c r="S1420" s="54">
        <v>2</v>
      </c>
      <c r="T1420" s="59" t="s">
        <v>46</v>
      </c>
      <c r="U1420" s="326" t="e">
        <f ca="1">_xlfn.XLOOKUP(PAA_4[[#This Row],[ITEM]],[2]Contrato!A:A,[2]Contrato!Q:Q,"",0)</f>
        <v>#NAME?</v>
      </c>
      <c r="V1420" s="47" t="s">
        <v>47</v>
      </c>
      <c r="W1420" s="47" t="s">
        <v>154</v>
      </c>
      <c r="X1420" s="47" t="s">
        <v>154</v>
      </c>
      <c r="Y1420" s="55" t="e">
        <f ca="1">_xlfn.XLOOKUP(PAA_4[[#This Row],[ITEM]],[2]Contrato!A:A,[2]Contrato!B:B,"",0)</f>
        <v>#NAME?</v>
      </c>
      <c r="Z1420" s="47" t="e">
        <f ca="1">_xlfn.XLOOKUP(PAA_4[[#This Row],[ITEM]],[2]Contrato!A:A,[2]Contrato!G:G,"",0)</f>
        <v>#NAME?</v>
      </c>
      <c r="AA1420" s="47" t="e">
        <f ca="1">_xlfn.XLOOKUP(PAA_4[[#This Row],[ITEM]],[2]Contrato!A:A,[2]Contrato!T:T,"",0)</f>
        <v>#NAME?</v>
      </c>
      <c r="AB1420" s="55" t="e">
        <f ca="1">+MAX(PAA_4[[#This Row],[Comprometido Contrato]],PAA_4[[#This Row],[Comprometido Bolsa]])</f>
        <v>#NAME?</v>
      </c>
      <c r="AC1420" s="55" t="str">
        <f t="shared" ca="1" si="507"/>
        <v/>
      </c>
      <c r="AD1420" s="55" t="e">
        <f ca="1">IF(PAA_4[[#This Row],[ESTADO (formulado)]]="NO CONTRATADO",0,MAX(PAA_4[[#This Row],[Pago por Contrato]],PAA_4[[#This Row],[Pago por bolsa]]))</f>
        <v>#NAME?</v>
      </c>
      <c r="AE1420" s="55" t="str">
        <f t="shared" ca="1" si="508"/>
        <v/>
      </c>
      <c r="AF1420" s="47" t="e">
        <f t="shared" ca="1" si="509"/>
        <v>#NAME?</v>
      </c>
      <c r="AG1420" s="47">
        <f t="shared" si="510"/>
        <v>44021007</v>
      </c>
      <c r="AH1420" s="54">
        <f>IF(Q1420="22",IF(ISNUMBER(SEARCH("econ",PAA_4[[#This Row],[Actividad3]])),"Económico",IF(ISNUMBER(SEARCH("alim",PAA_4[[#This Row],[Actividad3]])),"Alimentación",IF(ISNUMBER(SEARCH("educ",PAA_4[[#This Row],[Actividad3]])),"Educativo","Técnico"))),0)</f>
        <v>0</v>
      </c>
      <c r="AI1420" s="47" t="e" cm="1">
        <f t="array" aca="1" ref="AI1420" ca="1">_xlfn.XLOOKUP(PAA_4[[#This Row],[RCP-RUBRO]],[2]!COMPROMISOS_2024[[#All],[concatenado]],[2]!COMPROMISOS_2024[[#All],[Total pagado]],"",0)</f>
        <v>#NAME?</v>
      </c>
      <c r="AJ1420" s="56">
        <f>IF(PAA_4[[#This Row],[BOLSA]]=0,0,SUMIFS([2]!COMPROMISOS_2024[[#All],[Total pagado]],[2]!COMPROMISOS_2024[[#All],[Bolsa]],PAA_4[[#This Row],[BOLSA]],[2]!COMPROMISOS_2024[[#All],[rubro]],PAA_4[[#This Row],[RCP-RUBRO]]))</f>
        <v>0</v>
      </c>
      <c r="AK1420" s="47" t="e" cm="1">
        <f t="array" aca="1" ref="AK1420" ca="1">_xlfn.XLOOKUP(PAA_4[[#This Row],[RCP-RUBRO]],[2]!COMPROMISOS_2024[[#All],[concatenado]],[2]!COMPROMISOS_2024[[#All],[Total Comprometido]],"",0)</f>
        <v>#NAME?</v>
      </c>
      <c r="AL1420" s="47">
        <f>IF(PAA_4[[#This Row],[BOLSA]]=0,0,SUMIFS([2]!COMPROMISOS_2024[[#All],[Total Comprometido]],[2]!COMPROMISOS_2024[[#All],[Bolsa]],PAA_4[[#This Row],[BOLSA]],[2]!COMPROMISOS_2024[[#All],[concatenado]],PAA_4[[#This Row],[RCP-RUBRO]]))</f>
        <v>0</v>
      </c>
    </row>
    <row r="1421" spans="1:38" s="19" customFormat="1" ht="31.5" customHeight="1">
      <c r="A1421" s="47">
        <v>367</v>
      </c>
      <c r="B1421" s="47">
        <v>93141506</v>
      </c>
      <c r="C1421" s="47" t="str">
        <f>VLOOKUP(PAA_4[[#This Row],[PROYECTO (formulado)2]],[2]PROYECTOS!$G$1:$L$32,6,0)</f>
        <v>SUBGERENCIA DE FOMENTO Y DESARROLLO</v>
      </c>
      <c r="D1421" s="47" t="str">
        <f>+IF(PAA_4[[#This Row],[UNIDAD DE CONTRATACION (formulado)]]="Subgerencia Administrativa y Financiera","FUNCIONAMIENTO","INVERSIÓN")</f>
        <v>INVERSIÓN</v>
      </c>
      <c r="E1421" s="48" t="str">
        <f>VLOOKUP(Q1421,[2]PROYECTOS!$G$1:$K$32,5,0)</f>
        <v>FORTALECIMIENTO_DEL_DEPORTE_FORMATIVO_EN_LOS_MUNICIPIOS_DEL_DEPARTAMENTO_DE_ANTIOQUIA</v>
      </c>
      <c r="F1421" s="48">
        <f>VLOOKUP(E1421,[2]PROYECTOS!$K$1:$M$32,3,0)</f>
        <v>2020003050035</v>
      </c>
      <c r="G1421" s="49" t="s">
        <v>450</v>
      </c>
      <c r="H1421" s="49" t="str">
        <f>VLOOKUP(Q1421,[2]PROYECTOS!$V$1:$W$32,2,0)</f>
        <v>050056</v>
      </c>
      <c r="I1421" s="50">
        <v>0</v>
      </c>
      <c r="J1421" s="51" t="s">
        <v>420</v>
      </c>
      <c r="K1421" s="47" t="str">
        <f t="shared" ca="1" si="505"/>
        <v>CONTRATADO</v>
      </c>
      <c r="L1421" s="47" t="s">
        <v>44</v>
      </c>
      <c r="M1421" s="47" t="s">
        <v>1236</v>
      </c>
      <c r="N1421" s="52" t="s">
        <v>419</v>
      </c>
      <c r="O1421" s="51" t="e">
        <f>VLOOKUP(N1421,[2]!RUBROS[#All],3,0)</f>
        <v>#REF!</v>
      </c>
      <c r="P1421" s="53" t="e">
        <f>VLOOKUP(N1421,[2]!RUBROS[#All],2,0)</f>
        <v>#REF!</v>
      </c>
      <c r="Q1421" s="47" t="str">
        <f t="shared" si="506"/>
        <v>53</v>
      </c>
      <c r="R1421" s="47" t="str">
        <f t="shared" si="500"/>
        <v>0-205617</v>
      </c>
      <c r="S1421" s="54">
        <v>7</v>
      </c>
      <c r="T1421" s="59" t="s">
        <v>46</v>
      </c>
      <c r="U1421" s="326" t="e">
        <f ca="1">_xlfn.XLOOKUP(PAA_4[[#This Row],[ITEM]],[2]Contrato!A:A,[2]Contrato!Q:Q,"",0)</f>
        <v>#NAME?</v>
      </c>
      <c r="V1421" s="47" t="s">
        <v>47</v>
      </c>
      <c r="W1421" s="47" t="s">
        <v>154</v>
      </c>
      <c r="X1421" s="47" t="s">
        <v>154</v>
      </c>
      <c r="Y1421" s="55" t="e">
        <f ca="1">_xlfn.XLOOKUP(PAA_4[[#This Row],[ITEM]],[2]Contrato!A:A,[2]Contrato!B:B,"",0)</f>
        <v>#NAME?</v>
      </c>
      <c r="Z1421" s="47" t="e">
        <f ca="1">_xlfn.XLOOKUP(PAA_4[[#This Row],[ITEM]],[2]Contrato!A:A,[2]Contrato!G:G,"",0)</f>
        <v>#NAME?</v>
      </c>
      <c r="AA1421" s="47" t="e">
        <f ca="1">_xlfn.XLOOKUP(PAA_4[[#This Row],[ITEM]],[2]Contrato!A:A,[2]Contrato!T:T,"",0)</f>
        <v>#NAME?</v>
      </c>
      <c r="AB1421" s="55" t="e">
        <f ca="1">+MAX(PAA_4[[#This Row],[Comprometido Contrato]],PAA_4[[#This Row],[Comprometido Bolsa]])</f>
        <v>#NAME?</v>
      </c>
      <c r="AC1421" s="55" t="str">
        <f t="shared" ca="1" si="507"/>
        <v/>
      </c>
      <c r="AD1421" s="55" t="e">
        <f ca="1">IF(PAA_4[[#This Row],[ESTADO (formulado)]]="NO CONTRATADO",0,MAX(PAA_4[[#This Row],[Pago por Contrato]],PAA_4[[#This Row],[Pago por bolsa]]))</f>
        <v>#NAME?</v>
      </c>
      <c r="AE1421" s="55" t="str">
        <f t="shared" ca="1" si="508"/>
        <v/>
      </c>
      <c r="AF1421" s="47" t="e">
        <f t="shared" ca="1" si="509"/>
        <v>#NAME?</v>
      </c>
      <c r="AG1421" s="47">
        <f t="shared" si="510"/>
        <v>44021007</v>
      </c>
      <c r="AH1421" s="54">
        <f>IF(Q1421="22",IF(ISNUMBER(SEARCH("econ",PAA_4[[#This Row],[Actividad3]])),"Económico",IF(ISNUMBER(SEARCH("alim",PAA_4[[#This Row],[Actividad3]])),"Alimentación",IF(ISNUMBER(SEARCH("educ",PAA_4[[#This Row],[Actividad3]])),"Educativo","Técnico"))),0)</f>
        <v>0</v>
      </c>
      <c r="AI1421" s="47" t="e" cm="1">
        <f t="array" aca="1" ref="AI1421" ca="1">_xlfn.XLOOKUP(PAA_4[[#This Row],[RCP-RUBRO]],[2]!COMPROMISOS_2024[[#All],[concatenado]],[2]!COMPROMISOS_2024[[#All],[Total pagado]],"",0)</f>
        <v>#NAME?</v>
      </c>
      <c r="AJ1421" s="56">
        <f>IF(PAA_4[[#This Row],[BOLSA]]=0,0,SUMIFS([2]!COMPROMISOS_2024[[#All],[Total pagado]],[2]!COMPROMISOS_2024[[#All],[Bolsa]],PAA_4[[#This Row],[BOLSA]],[2]!COMPROMISOS_2024[[#All],[rubro]],PAA_4[[#This Row],[RCP-RUBRO]]))</f>
        <v>0</v>
      </c>
      <c r="AK1421" s="47" t="e" cm="1">
        <f t="array" aca="1" ref="AK1421" ca="1">_xlfn.XLOOKUP(PAA_4[[#This Row],[RCP-RUBRO]],[2]!COMPROMISOS_2024[[#All],[concatenado]],[2]!COMPROMISOS_2024[[#All],[Total Comprometido]],"",0)</f>
        <v>#NAME?</v>
      </c>
      <c r="AL1421" s="47">
        <f>IF(PAA_4[[#This Row],[BOLSA]]=0,0,SUMIFS([2]!COMPROMISOS_2024[[#All],[Total Comprometido]],[2]!COMPROMISOS_2024[[#All],[Bolsa]],PAA_4[[#This Row],[BOLSA]],[2]!COMPROMISOS_2024[[#All],[concatenado]],PAA_4[[#This Row],[RCP-RUBRO]]))</f>
        <v>0</v>
      </c>
    </row>
    <row r="1422" spans="1:38" s="19" customFormat="1" ht="31.5" customHeight="1">
      <c r="A1422" s="47">
        <v>521</v>
      </c>
      <c r="B1422" s="47">
        <v>78111800</v>
      </c>
      <c r="C1422" s="47" t="str">
        <f>VLOOKUP(PAA_4[[#This Row],[PROYECTO (formulado)2]],[2]PROYECTOS!$G$1:$L$32,6,0)</f>
        <v>SUBGERENCIA DE FOMENTO Y DESARROLLO</v>
      </c>
      <c r="D1422" s="47" t="str">
        <f>+IF(PAA_4[[#This Row],[UNIDAD DE CONTRATACION (formulado)]]="Subgerencia Administrativa y Financiera","FUNCIONAMIENTO","INVERSIÓN")</f>
        <v>INVERSIÓN</v>
      </c>
      <c r="E1422" s="48" t="str">
        <f>VLOOKUP(Q1422,[2]PROYECTOS!$G$1:$K$32,5,0)</f>
        <v>FORTALECIMIENTO_DE_LOS_JUEGOS_DEL_SECTOR_EDUCATIVO_EN_ANTIOQUIA</v>
      </c>
      <c r="F1422" s="48">
        <f>VLOOKUP(E1422,[2]PROYECTOS!$K$1:$M$32,3,0)</f>
        <v>2020003050034</v>
      </c>
      <c r="G1422" s="49" t="s">
        <v>340</v>
      </c>
      <c r="H1422" s="49" t="str">
        <f>VLOOKUP(Q1422,[2]PROYECTOS!$V$1:$W$32,2,0)</f>
        <v>050053</v>
      </c>
      <c r="I1422" s="78">
        <v>0</v>
      </c>
      <c r="J1422" s="51" t="s">
        <v>344</v>
      </c>
      <c r="K1422" s="47" t="str">
        <f t="shared" ca="1" si="505"/>
        <v>CONTRATADO</v>
      </c>
      <c r="L1422" s="47" t="s">
        <v>344</v>
      </c>
      <c r="M1422" s="47"/>
      <c r="N1422" s="52" t="s">
        <v>416</v>
      </c>
      <c r="O1422" s="51" t="e">
        <f>VLOOKUP(N1422,[2]!RUBROS[#All],3,0)</f>
        <v>#REF!</v>
      </c>
      <c r="P1422" s="53" t="e">
        <f>VLOOKUP(N1422,[2]!RUBROS[#All],2,0)</f>
        <v>#REF!</v>
      </c>
      <c r="Q1422" s="47" t="str">
        <f t="shared" si="506"/>
        <v>51</v>
      </c>
      <c r="R1422" s="47" t="str">
        <f t="shared" si="500"/>
        <v>0-205128</v>
      </c>
      <c r="S1422" s="54">
        <v>10</v>
      </c>
      <c r="T1422" s="59" t="s">
        <v>46</v>
      </c>
      <c r="U1422" s="326" t="e">
        <f ca="1">_xlfn.XLOOKUP(PAA_4[[#This Row],[ITEM]],[2]Contrato!A:A,[2]Contrato!Q:Q,"",0)</f>
        <v>#NAME?</v>
      </c>
      <c r="V1422" s="47" t="s">
        <v>47</v>
      </c>
      <c r="W1422" s="47" t="s">
        <v>91</v>
      </c>
      <c r="X1422" s="47" t="s">
        <v>91</v>
      </c>
      <c r="Y1422" s="55" t="e">
        <f ca="1">_xlfn.XLOOKUP(PAA_4[[#This Row],[ITEM]],[2]Contrato!A:A,[2]Contrato!B:B,"",0)</f>
        <v>#NAME?</v>
      </c>
      <c r="Z1422" s="47" t="e">
        <f ca="1">_xlfn.XLOOKUP(PAA_4[[#This Row],[ITEM]],[2]Contrato!A:A,[2]Contrato!G:G,"",0)</f>
        <v>#NAME?</v>
      </c>
      <c r="AA1422" s="47" t="e">
        <f ca="1">_xlfn.XLOOKUP(PAA_4[[#This Row],[ITEM]],[2]Contrato!A:A,[2]Contrato!T:T,"",0)</f>
        <v>#NAME?</v>
      </c>
      <c r="AB1422" s="55" t="e">
        <f ca="1">+MAX(PAA_4[[#This Row],[Comprometido Contrato]],PAA_4[[#This Row],[Comprometido Bolsa]])</f>
        <v>#NAME?</v>
      </c>
      <c r="AC1422" s="55" t="str">
        <f t="shared" ca="1" si="507"/>
        <v/>
      </c>
      <c r="AD1422" s="55" t="e">
        <f ca="1">IF(PAA_4[[#This Row],[ESTADO (formulado)]]="NO CONTRATADO",0,MAX(PAA_4[[#This Row],[Pago por Contrato]],PAA_4[[#This Row],[Pago por bolsa]]))</f>
        <v>#NAME?</v>
      </c>
      <c r="AE1422" s="55" t="str">
        <f t="shared" ca="1" si="508"/>
        <v/>
      </c>
      <c r="AF1422" s="47" t="e">
        <f t="shared" ca="1" si="509"/>
        <v>#NAME?</v>
      </c>
      <c r="AG1422" s="47">
        <f t="shared" si="510"/>
        <v>44021011</v>
      </c>
      <c r="AH1422" s="54">
        <f>IF(Q1422="22",IF(ISNUMBER(SEARCH("econ",PAA_4[[#This Row],[Actividad3]])),"Económico",IF(ISNUMBER(SEARCH("alim",PAA_4[[#This Row],[Actividad3]])),"Alimentación",IF(ISNUMBER(SEARCH("educ",PAA_4[[#This Row],[Actividad3]])),"Educativo","Técnico"))),0)</f>
        <v>0</v>
      </c>
      <c r="AI1422" s="47" t="e" cm="1">
        <f t="array" aca="1" ref="AI1422" ca="1">_xlfn.XLOOKUP(PAA_4[[#This Row],[RCP-RUBRO]],[2]!COMPROMISOS_2024[[#All],[concatenado]],[2]!COMPROMISOS_2024[[#All],[Total pagado]],"",0)</f>
        <v>#NAME?</v>
      </c>
      <c r="AJ1422" s="56">
        <f>IF(PAA_4[[#This Row],[BOLSA]]=0,0,SUMIFS([2]!COMPROMISOS_2024[[#All],[Total pagado]],[2]!COMPROMISOS_2024[[#All],[Bolsa]],PAA_4[[#This Row],[BOLSA]],[2]!COMPROMISOS_2024[[#All],[rubro]],PAA_4[[#This Row],[RCP-RUBRO]]))</f>
        <v>0</v>
      </c>
      <c r="AK1422" s="47" t="e" cm="1">
        <f t="array" aca="1" ref="AK1422" ca="1">_xlfn.XLOOKUP(PAA_4[[#This Row],[RCP-RUBRO]],[2]!COMPROMISOS_2024[[#All],[concatenado]],[2]!COMPROMISOS_2024[[#All],[Total Comprometido]],"",0)</f>
        <v>#NAME?</v>
      </c>
      <c r="AL1422" s="47">
        <f>IF(PAA_4[[#This Row],[BOLSA]]=0,0,SUMIFS([2]!COMPROMISOS_2024[[#All],[Total Comprometido]],[2]!COMPROMISOS_2024[[#All],[Bolsa]],PAA_4[[#This Row],[BOLSA]],[2]!COMPROMISOS_2024[[#All],[concatenado]],PAA_4[[#This Row],[RCP-RUBRO]]))</f>
        <v>0</v>
      </c>
    </row>
    <row r="1423" spans="1:38" s="19" customFormat="1" ht="31.5" customHeight="1">
      <c r="A1423" s="47">
        <v>521</v>
      </c>
      <c r="B1423" s="47">
        <v>78111800</v>
      </c>
      <c r="C1423" s="47" t="str">
        <f>VLOOKUP(PAA_4[[#This Row],[PROYECTO (formulado)2]],[2]PROYECTOS!$G$1:$L$32,6,0)</f>
        <v>SUBGERENCIA DE FOMENTO Y DESARROLLO</v>
      </c>
      <c r="D1423" s="47" t="str">
        <f>+IF(PAA_4[[#This Row],[UNIDAD DE CONTRATACION (formulado)]]="Subgerencia Administrativa y Financiera","FUNCIONAMIENTO","INVERSIÓN")</f>
        <v>INVERSIÓN</v>
      </c>
      <c r="E1423" s="48" t="str">
        <f>VLOOKUP(Q1423,[2]PROYECTOS!$G$1:$K$32,5,0)</f>
        <v>CAPACITACION_PARA_EL_SECTOR_DEL_DEPORTE_LA_ACTIVIDAD_FISICA_LA_RECREACION_Y_LA_EDUCACION_FISICA_DE_ANTI</v>
      </c>
      <c r="F1423" s="48">
        <f>VLOOKUP(E1423,[2]PROYECTOS!$K$1:$M$32,3,0)</f>
        <v>2020003050024</v>
      </c>
      <c r="G1423" s="49" t="s">
        <v>337</v>
      </c>
      <c r="H1423" s="49" t="str">
        <f>VLOOKUP(Q1423,[2]PROYECTOS!$V$1:$W$32,2,0)</f>
        <v>050063</v>
      </c>
      <c r="I1423" s="50">
        <v>0</v>
      </c>
      <c r="J1423" s="51" t="s">
        <v>344</v>
      </c>
      <c r="K1423" s="47" t="str">
        <f t="shared" ca="1" si="505"/>
        <v>CONTRATADO</v>
      </c>
      <c r="L1423" s="47" t="s">
        <v>344</v>
      </c>
      <c r="M1423" s="47"/>
      <c r="N1423" s="52" t="s">
        <v>421</v>
      </c>
      <c r="O1423" s="51" t="e">
        <f>VLOOKUP(N1423,[2]!RUBROS[#All],3,0)</f>
        <v>#REF!</v>
      </c>
      <c r="P1423" s="53" t="e">
        <f>VLOOKUP(N1423,[2]!RUBROS[#All],2,0)</f>
        <v>#REF!</v>
      </c>
      <c r="Q1423" s="47" t="str">
        <f t="shared" si="506"/>
        <v>48</v>
      </c>
      <c r="R1423" s="47" t="str">
        <f t="shared" si="500"/>
        <v>0-205128</v>
      </c>
      <c r="S1423" s="54">
        <v>10</v>
      </c>
      <c r="T1423" s="59" t="s">
        <v>46</v>
      </c>
      <c r="U1423" s="326" t="e">
        <f ca="1">_xlfn.XLOOKUP(PAA_4[[#This Row],[ITEM]],[2]Contrato!A:A,[2]Contrato!Q:Q,"",0)</f>
        <v>#NAME?</v>
      </c>
      <c r="V1423" s="47" t="s">
        <v>47</v>
      </c>
      <c r="W1423" s="47" t="s">
        <v>91</v>
      </c>
      <c r="X1423" s="47" t="s">
        <v>91</v>
      </c>
      <c r="Y1423" s="55" t="e">
        <f ca="1">_xlfn.XLOOKUP(PAA_4[[#This Row],[ITEM]],[2]Contrato!A:A,[2]Contrato!B:B,"",0)</f>
        <v>#NAME?</v>
      </c>
      <c r="Z1423" s="47" t="e">
        <f ca="1">_xlfn.XLOOKUP(PAA_4[[#This Row],[ITEM]],[2]Contrato!A:A,[2]Contrato!G:G,"",0)</f>
        <v>#NAME?</v>
      </c>
      <c r="AA1423" s="47" t="e">
        <f ca="1">_xlfn.XLOOKUP(PAA_4[[#This Row],[ITEM]],[2]Contrato!A:A,[2]Contrato!T:T,"",0)</f>
        <v>#NAME?</v>
      </c>
      <c r="AB1423" s="55" t="e">
        <f ca="1">+MAX(PAA_4[[#This Row],[Comprometido Contrato]],PAA_4[[#This Row],[Comprometido Bolsa]])</f>
        <v>#NAME?</v>
      </c>
      <c r="AC1423" s="55" t="str">
        <f t="shared" ca="1" si="507"/>
        <v/>
      </c>
      <c r="AD1423" s="55" t="e">
        <f ca="1">IF(PAA_4[[#This Row],[ESTADO (formulado)]]="NO CONTRATADO",0,MAX(PAA_4[[#This Row],[Pago por Contrato]],PAA_4[[#This Row],[Pago por bolsa]]))</f>
        <v>#NAME?</v>
      </c>
      <c r="AE1423" s="55" t="str">
        <f t="shared" ca="1" si="508"/>
        <v/>
      </c>
      <c r="AF1423" s="47" t="e">
        <f t="shared" ca="1" si="509"/>
        <v>#NAME?</v>
      </c>
      <c r="AG1423" s="47">
        <f t="shared" si="510"/>
        <v>41080201</v>
      </c>
      <c r="AH1423" s="54">
        <f>IF(Q1423="22",IF(ISNUMBER(SEARCH("econ",PAA_4[[#This Row],[Actividad3]])),"Económico",IF(ISNUMBER(SEARCH("alim",PAA_4[[#This Row],[Actividad3]])),"Alimentación",IF(ISNUMBER(SEARCH("educ",PAA_4[[#This Row],[Actividad3]])),"Educativo","Técnico"))),0)</f>
        <v>0</v>
      </c>
      <c r="AI1423" s="47" t="e" cm="1">
        <f t="array" aca="1" ref="AI1423" ca="1">_xlfn.XLOOKUP(PAA_4[[#This Row],[RCP-RUBRO]],[2]!COMPROMISOS_2024[[#All],[concatenado]],[2]!COMPROMISOS_2024[[#All],[Total pagado]],"",0)</f>
        <v>#NAME?</v>
      </c>
      <c r="AJ1423" s="56">
        <f>IF(PAA_4[[#This Row],[BOLSA]]=0,0,SUMIFS([2]!COMPROMISOS_2024[[#All],[Total pagado]],[2]!COMPROMISOS_2024[[#All],[Bolsa]],PAA_4[[#This Row],[BOLSA]],[2]!COMPROMISOS_2024[[#All],[rubro]],PAA_4[[#This Row],[RCP-RUBRO]]))</f>
        <v>0</v>
      </c>
      <c r="AK1423" s="47" t="e" cm="1">
        <f t="array" aca="1" ref="AK1423" ca="1">_xlfn.XLOOKUP(PAA_4[[#This Row],[RCP-RUBRO]],[2]!COMPROMISOS_2024[[#All],[concatenado]],[2]!COMPROMISOS_2024[[#All],[Total Comprometido]],"",0)</f>
        <v>#NAME?</v>
      </c>
      <c r="AL1423" s="47">
        <f>IF(PAA_4[[#This Row],[BOLSA]]=0,0,SUMIFS([2]!COMPROMISOS_2024[[#All],[Total Comprometido]],[2]!COMPROMISOS_2024[[#All],[Bolsa]],PAA_4[[#This Row],[BOLSA]],[2]!COMPROMISOS_2024[[#All],[concatenado]],PAA_4[[#This Row],[RCP-RUBRO]]))</f>
        <v>0</v>
      </c>
    </row>
    <row r="1424" spans="1:38" s="19" customFormat="1" ht="31.5" customHeight="1">
      <c r="A1424" s="47">
        <v>366</v>
      </c>
      <c r="B1424" s="47">
        <v>78111800</v>
      </c>
      <c r="C1424" s="47" t="str">
        <f>VLOOKUP(PAA_4[[#This Row],[PROYECTO (formulado)2]],[2]PROYECTOS!$G$1:$L$32,6,0)</f>
        <v>SUBGERENCIA DE FOMENTO Y DESARROLLO</v>
      </c>
      <c r="D1424" s="47" t="str">
        <f>+IF(PAA_4[[#This Row],[UNIDAD DE CONTRATACION (formulado)]]="Subgerencia Administrativa y Financiera","FUNCIONAMIENTO","INVERSIÓN")</f>
        <v>INVERSIÓN</v>
      </c>
      <c r="E1424" s="48" t="str">
        <f>VLOOKUP(Q1424,[2]PROYECTOS!$G$1:$K$32,5,0)</f>
        <v>CAPACITACION_PARA_EL_SECTOR_DEL_DEPORTE_LA_ACTIVIDAD_FISICA_LA_RECREACION_Y_LA_EDUCACION_FISICA_DE_ANTI</v>
      </c>
      <c r="F1424" s="48">
        <f>VLOOKUP(E1424,[2]PROYECTOS!$K$1:$M$32,3,0)</f>
        <v>2020003050024</v>
      </c>
      <c r="G1424" s="49" t="s">
        <v>337</v>
      </c>
      <c r="H1424" s="49" t="str">
        <f>VLOOKUP(Q1424,[2]PROYECTOS!$V$1:$W$32,2,0)</f>
        <v>050063</v>
      </c>
      <c r="I1424" s="50">
        <v>0</v>
      </c>
      <c r="J1424" s="51" t="s">
        <v>42</v>
      </c>
      <c r="K1424" s="47" t="str">
        <f t="shared" ca="1" si="505"/>
        <v>CONTRATADO</v>
      </c>
      <c r="L1424" s="47" t="s">
        <v>94</v>
      </c>
      <c r="M1424" s="47" t="s">
        <v>161</v>
      </c>
      <c r="N1424" s="52" t="s">
        <v>421</v>
      </c>
      <c r="O1424" s="51" t="e">
        <f>VLOOKUP(N1424,[2]!RUBROS[#All],3,0)</f>
        <v>#REF!</v>
      </c>
      <c r="P1424" s="53" t="e">
        <f>VLOOKUP(N1424,[2]!RUBROS[#All],2,0)</f>
        <v>#REF!</v>
      </c>
      <c r="Q1424" s="47" t="str">
        <f t="shared" si="506"/>
        <v>48</v>
      </c>
      <c r="R1424" s="47" t="str">
        <f t="shared" si="500"/>
        <v>0-205128</v>
      </c>
      <c r="S1424" s="342">
        <v>175</v>
      </c>
      <c r="T1424" s="59" t="s">
        <v>120</v>
      </c>
      <c r="U1424" s="326" t="e">
        <f ca="1">_xlfn.XLOOKUP(PAA_4[[#This Row],[ITEM]],[2]Contrato!A:A,[2]Contrato!Q:Q,"",0)</f>
        <v>#NAME?</v>
      </c>
      <c r="V1424" s="47" t="s">
        <v>47</v>
      </c>
      <c r="W1424" s="343" t="s">
        <v>154</v>
      </c>
      <c r="X1424" s="343" t="s">
        <v>154</v>
      </c>
      <c r="Y1424" s="55" t="e">
        <f ca="1">_xlfn.XLOOKUP(PAA_4[[#This Row],[ITEM]],[2]Contrato!A:A,[2]Contrato!B:B,"",0)</f>
        <v>#NAME?</v>
      </c>
      <c r="Z1424" s="47" t="e">
        <f ca="1">_xlfn.XLOOKUP(PAA_4[[#This Row],[ITEM]],[2]Contrato!A:A,[2]Contrato!G:G,"",0)</f>
        <v>#NAME?</v>
      </c>
      <c r="AA1424" s="47" t="e">
        <f ca="1">_xlfn.XLOOKUP(PAA_4[[#This Row],[ITEM]],[2]Contrato!A:A,[2]Contrato!T:T,"",0)</f>
        <v>#NAME?</v>
      </c>
      <c r="AB1424" s="55" t="e">
        <f ca="1">+MAX(PAA_4[[#This Row],[Comprometido Contrato]],PAA_4[[#This Row],[Comprometido Bolsa]])</f>
        <v>#NAME?</v>
      </c>
      <c r="AC1424" s="55" t="str">
        <f t="shared" ca="1" si="507"/>
        <v/>
      </c>
      <c r="AD1424" s="55" t="e">
        <f ca="1">IF(PAA_4[[#This Row],[ESTADO (formulado)]]="NO CONTRATADO",0,MAX(PAA_4[[#This Row],[Pago por Contrato]],PAA_4[[#This Row],[Pago por bolsa]]))</f>
        <v>#NAME?</v>
      </c>
      <c r="AE1424" s="55" t="str">
        <f t="shared" ca="1" si="508"/>
        <v/>
      </c>
      <c r="AF1424" s="47" t="e">
        <f t="shared" ca="1" si="509"/>
        <v>#NAME?</v>
      </c>
      <c r="AG1424" s="47">
        <f t="shared" si="510"/>
        <v>41080201</v>
      </c>
      <c r="AH1424" s="54">
        <f>IF(Q1424="22",IF(ISNUMBER(SEARCH("econ",PAA_4[[#This Row],[Actividad3]])),"Económico",IF(ISNUMBER(SEARCH("alim",PAA_4[[#This Row],[Actividad3]])),"Alimentación",IF(ISNUMBER(SEARCH("educ",PAA_4[[#This Row],[Actividad3]])),"Educativo","Técnico"))),0)</f>
        <v>0</v>
      </c>
      <c r="AI1424" s="47" t="e" cm="1">
        <f t="array" aca="1" ref="AI1424" ca="1">_xlfn.XLOOKUP(PAA_4[[#This Row],[RCP-RUBRO]],[2]!COMPROMISOS_2024[[#All],[concatenado]],[2]!COMPROMISOS_2024[[#All],[Total pagado]],"",0)</f>
        <v>#NAME?</v>
      </c>
      <c r="AJ1424" s="56">
        <f>IF(PAA_4[[#This Row],[BOLSA]]=0,0,SUMIFS([2]!COMPROMISOS_2024[[#All],[Total pagado]],[2]!COMPROMISOS_2024[[#All],[Bolsa]],PAA_4[[#This Row],[BOLSA]],[2]!COMPROMISOS_2024[[#All],[rubro]],PAA_4[[#This Row],[RCP-RUBRO]]))</f>
        <v>0</v>
      </c>
      <c r="AK1424" s="47" t="e" cm="1">
        <f t="array" aca="1" ref="AK1424" ca="1">_xlfn.XLOOKUP(PAA_4[[#This Row],[RCP-RUBRO]],[2]!COMPROMISOS_2024[[#All],[concatenado]],[2]!COMPROMISOS_2024[[#All],[Total Comprometido]],"",0)</f>
        <v>#NAME?</v>
      </c>
      <c r="AL1424" s="47">
        <f>IF(PAA_4[[#This Row],[BOLSA]]=0,0,SUMIFS([2]!COMPROMISOS_2024[[#All],[Total Comprometido]],[2]!COMPROMISOS_2024[[#All],[Bolsa]],PAA_4[[#This Row],[BOLSA]],[2]!COMPROMISOS_2024[[#All],[concatenado]],PAA_4[[#This Row],[RCP-RUBRO]]))</f>
        <v>0</v>
      </c>
    </row>
    <row r="1425" spans="1:38" s="19" customFormat="1" ht="31.5" customHeight="1">
      <c r="A1425" s="47">
        <v>378</v>
      </c>
      <c r="B1425" s="47">
        <v>80111600</v>
      </c>
      <c r="C1425" s="47" t="str">
        <f>VLOOKUP(PAA_4[[#This Row],[PROYECTO (formulado)2]],[2]PROYECTOS!$G$1:$L$32,6,0)</f>
        <v>SUBGERENCIA DE FOMENTO Y DESARROLLO</v>
      </c>
      <c r="D1425" s="47" t="str">
        <f>+IF(PAA_4[[#This Row],[UNIDAD DE CONTRATACION (formulado)]]="Subgerencia Administrativa y Financiera","FUNCIONAMIENTO","INVERSIÓN")</f>
        <v>INVERSIÓN</v>
      </c>
      <c r="E1425" s="48" t="str">
        <f>VLOOKUP(Q1425,[2]PROYECTOS!$G$1:$K$32,5,0)</f>
        <v>CAPACITACION_PARA_EL_SECTOR_DEL_DEPORTE_LA_ACTIVIDAD_FISICA_LA_RECREACION_Y_LA_EDUCACION_FISICA_DE_ANTI</v>
      </c>
      <c r="F1425" s="48">
        <f>VLOOKUP(E1425,[2]PROYECTOS!$K$1:$M$32,3,0)</f>
        <v>2020003050024</v>
      </c>
      <c r="G1425" s="49" t="s">
        <v>337</v>
      </c>
      <c r="H1425" s="49" t="str">
        <f>VLOOKUP(Q1425,[2]PROYECTOS!$V$1:$W$32,2,0)</f>
        <v>050063</v>
      </c>
      <c r="I1425" s="50">
        <v>1031852</v>
      </c>
      <c r="J1425" s="51" t="s">
        <v>328</v>
      </c>
      <c r="K1425" s="47" t="str">
        <f t="shared" ca="1" si="505"/>
        <v>CONTRATADO</v>
      </c>
      <c r="L1425" s="47" t="s">
        <v>94</v>
      </c>
      <c r="M1425" s="47" t="s">
        <v>1297</v>
      </c>
      <c r="N1425" s="52" t="s">
        <v>339</v>
      </c>
      <c r="O1425" s="51" t="e">
        <f>VLOOKUP(N1425,[2]!RUBROS[#All],3,0)</f>
        <v>#REF!</v>
      </c>
      <c r="P1425" s="53" t="e">
        <f>VLOOKUP(N1425,[2]!RUBROS[#All],2,0)</f>
        <v>#REF!</v>
      </c>
      <c r="Q1425" s="47" t="str">
        <f t="shared" si="506"/>
        <v>48</v>
      </c>
      <c r="R1425" s="47" t="str">
        <f t="shared" si="500"/>
        <v>0-205128</v>
      </c>
      <c r="S1425" s="54">
        <v>12</v>
      </c>
      <c r="T1425" s="59" t="s">
        <v>46</v>
      </c>
      <c r="U1425" s="326" t="e">
        <f ca="1">_xlfn.XLOOKUP(PAA_4[[#This Row],[ITEM]],[2]Contrato!A:A,[2]Contrato!Q:Q,"",0)</f>
        <v>#NAME?</v>
      </c>
      <c r="V1425" s="47" t="s">
        <v>47</v>
      </c>
      <c r="W1425" s="47" t="s">
        <v>83</v>
      </c>
      <c r="X1425" s="47" t="s">
        <v>83</v>
      </c>
      <c r="Y1425" s="55" t="e">
        <f ca="1">_xlfn.XLOOKUP(PAA_4[[#This Row],[ITEM]],[2]Contrato!A:A,[2]Contrato!B:B,"",0)</f>
        <v>#NAME?</v>
      </c>
      <c r="Z1425" s="47" t="e">
        <f ca="1">_xlfn.XLOOKUP(PAA_4[[#This Row],[ITEM]],[2]Contrato!A:A,[2]Contrato!G:G,"",0)</f>
        <v>#NAME?</v>
      </c>
      <c r="AA1425" s="47" t="e">
        <f ca="1">_xlfn.XLOOKUP(PAA_4[[#This Row],[ITEM]],[2]Contrato!A:A,[2]Contrato!T:T,"",0)</f>
        <v>#NAME?</v>
      </c>
      <c r="AB1425" s="55" t="e">
        <f ca="1">+MAX(PAA_4[[#This Row],[Comprometido Contrato]],PAA_4[[#This Row],[Comprometido Bolsa]])</f>
        <v>#NAME?</v>
      </c>
      <c r="AC1425" s="55" t="str">
        <f t="shared" ca="1" si="507"/>
        <v/>
      </c>
      <c r="AD1425" s="55" t="e">
        <f ca="1">IF(PAA_4[[#This Row],[ESTADO (formulado)]]="NO CONTRATADO",0,MAX(PAA_4[[#This Row],[Pago por Contrato]],PAA_4[[#This Row],[Pago por bolsa]]))</f>
        <v>#NAME?</v>
      </c>
      <c r="AE1425" s="55" t="str">
        <f t="shared" ca="1" si="508"/>
        <v/>
      </c>
      <c r="AF1425" s="47" t="e">
        <f t="shared" ca="1" si="509"/>
        <v>#NAME?</v>
      </c>
      <c r="AG1425" s="47">
        <f t="shared" si="510"/>
        <v>41080201</v>
      </c>
      <c r="AH1425" s="54">
        <f>IF(Q1425="22",IF(ISNUMBER(SEARCH("econ",PAA_4[[#This Row],[Actividad3]])),"Económico",IF(ISNUMBER(SEARCH("alim",PAA_4[[#This Row],[Actividad3]])),"Alimentación",IF(ISNUMBER(SEARCH("educ",PAA_4[[#This Row],[Actividad3]])),"Educativo","Técnico"))),0)</f>
        <v>0</v>
      </c>
      <c r="AI1425" s="47" t="e" cm="1">
        <f t="array" aca="1" ref="AI1425" ca="1">_xlfn.XLOOKUP(PAA_4[[#This Row],[RCP-RUBRO]],[2]!COMPROMISOS_2024[[#All],[concatenado]],[2]!COMPROMISOS_2024[[#All],[Total pagado]],"",0)</f>
        <v>#NAME?</v>
      </c>
      <c r="AJ1425" s="56">
        <f>IF(PAA_4[[#This Row],[BOLSA]]=0,0,SUMIFS([2]!COMPROMISOS_2024[[#All],[Total pagado]],[2]!COMPROMISOS_2024[[#All],[Bolsa]],PAA_4[[#This Row],[BOLSA]],[2]!COMPROMISOS_2024[[#All],[rubro]],PAA_4[[#This Row],[RCP-RUBRO]]))</f>
        <v>0</v>
      </c>
      <c r="AK1425" s="47" t="e" cm="1">
        <f t="array" aca="1" ref="AK1425" ca="1">_xlfn.XLOOKUP(PAA_4[[#This Row],[RCP-RUBRO]],[2]!COMPROMISOS_2024[[#All],[concatenado]],[2]!COMPROMISOS_2024[[#All],[Total Comprometido]],"",0)</f>
        <v>#NAME?</v>
      </c>
      <c r="AL1425" s="47">
        <f>IF(PAA_4[[#This Row],[BOLSA]]=0,0,SUMIFS([2]!COMPROMISOS_2024[[#All],[Total Comprometido]],[2]!COMPROMISOS_2024[[#All],[Bolsa]],PAA_4[[#This Row],[BOLSA]],[2]!COMPROMISOS_2024[[#All],[concatenado]],PAA_4[[#This Row],[RCP-RUBRO]]))</f>
        <v>0</v>
      </c>
    </row>
    <row r="1426" spans="1:38" s="19" customFormat="1" ht="31.5" customHeight="1">
      <c r="A1426" s="47" t="s">
        <v>82</v>
      </c>
      <c r="B1426" s="47">
        <v>80111600</v>
      </c>
      <c r="C1426" s="47" t="str">
        <f>VLOOKUP(PAA_4[[#This Row],[PROYECTO (formulado)2]],[2]PROYECTOS!$G$1:$L$32,6,0)</f>
        <v>SUBGERENCIA DE FOMENTO Y DESARROLLO</v>
      </c>
      <c r="D1426" s="47" t="str">
        <f>+IF(PAA_4[[#This Row],[UNIDAD DE CONTRATACION (formulado)]]="Subgerencia Administrativa y Financiera","FUNCIONAMIENTO","INVERSIÓN")</f>
        <v>INVERSIÓN</v>
      </c>
      <c r="E1426" s="48" t="str">
        <f>VLOOKUP(Q1426,[2]PROYECTOS!$G$1:$K$32,5,0)</f>
        <v>FORTALECIMIENTO_DE_LOS_JUEGOS_DEL_SECTOR_EDUCATIVO_EN_ANTIOQUIA</v>
      </c>
      <c r="F1426" s="48">
        <f>VLOOKUP(E1426,[2]PROYECTOS!$K$1:$M$32,3,0)</f>
        <v>2020003050034</v>
      </c>
      <c r="G1426" s="49" t="s">
        <v>340</v>
      </c>
      <c r="H1426" s="49" t="str">
        <f>VLOOKUP(Q1426,[2]PROYECTOS!$V$1:$W$32,2,0)</f>
        <v>050053</v>
      </c>
      <c r="I1426" s="50">
        <v>0</v>
      </c>
      <c r="J1426" s="74" t="s">
        <v>374</v>
      </c>
      <c r="K1426" s="47" t="str">
        <f t="shared" ca="1" si="505"/>
        <v>CONTRATADO</v>
      </c>
      <c r="L1426" s="47" t="s">
        <v>94</v>
      </c>
      <c r="M1426" s="47" t="s">
        <v>1297</v>
      </c>
      <c r="N1426" s="52" t="s">
        <v>341</v>
      </c>
      <c r="O1426" s="51" t="e">
        <f>VLOOKUP(N1426,[2]!RUBROS[#All],3,0)</f>
        <v>#REF!</v>
      </c>
      <c r="P1426" s="53" t="e">
        <f>VLOOKUP(N1426,[2]!RUBROS[#All],2,0)</f>
        <v>#REF!</v>
      </c>
      <c r="Q1426" s="47" t="str">
        <f t="shared" si="506"/>
        <v>51</v>
      </c>
      <c r="R1426" s="47" t="str">
        <f t="shared" si="500"/>
        <v>0-205128</v>
      </c>
      <c r="S1426" s="54">
        <v>9</v>
      </c>
      <c r="T1426" s="59" t="s">
        <v>46</v>
      </c>
      <c r="U1426" s="326" t="e">
        <f ca="1">_xlfn.XLOOKUP(PAA_4[[#This Row],[ITEM]],[2]Contrato!A:A,[2]Contrato!Q:Q,"",0)</f>
        <v>#NAME?</v>
      </c>
      <c r="V1426" s="47" t="s">
        <v>47</v>
      </c>
      <c r="W1426" s="47" t="s">
        <v>122</v>
      </c>
      <c r="X1426" s="47" t="s">
        <v>122</v>
      </c>
      <c r="Y1426" s="55" t="e">
        <f ca="1">_xlfn.XLOOKUP(PAA_4[[#This Row],[ITEM]],[2]Contrato!A:A,[2]Contrato!B:B,"",0)</f>
        <v>#NAME?</v>
      </c>
      <c r="Z1426" s="47" t="e">
        <f ca="1">_xlfn.XLOOKUP(PAA_4[[#This Row],[ITEM]],[2]Contrato!A:A,[2]Contrato!G:G,"",0)</f>
        <v>#NAME?</v>
      </c>
      <c r="AA1426" s="47" t="e">
        <f ca="1">_xlfn.XLOOKUP(PAA_4[[#This Row],[ITEM]],[2]Contrato!A:A,[2]Contrato!T:T,"",0)</f>
        <v>#NAME?</v>
      </c>
      <c r="AB1426" s="55" t="e">
        <f ca="1">+MAX(PAA_4[[#This Row],[Comprometido Contrato]],PAA_4[[#This Row],[Comprometido Bolsa]])</f>
        <v>#NAME?</v>
      </c>
      <c r="AC1426" s="55" t="str">
        <f t="shared" ca="1" si="507"/>
        <v/>
      </c>
      <c r="AD1426" s="55" t="e">
        <f ca="1">IF(PAA_4[[#This Row],[ESTADO (formulado)]]="NO CONTRATADO",0,MAX(PAA_4[[#This Row],[Pago por Contrato]],PAA_4[[#This Row],[Pago por bolsa]]))</f>
        <v>#NAME?</v>
      </c>
      <c r="AE1426" s="55" t="str">
        <f t="shared" ca="1" si="508"/>
        <v/>
      </c>
      <c r="AF1426" s="47" t="e">
        <f t="shared" ca="1" si="509"/>
        <v>#NAME?</v>
      </c>
      <c r="AG1426" s="47">
        <f t="shared" si="510"/>
        <v>44021011</v>
      </c>
      <c r="AH1426" s="54">
        <f>IF(Q1426="22",IF(ISNUMBER(SEARCH("econ",PAA_4[[#This Row],[Actividad3]])),"Económico",IF(ISNUMBER(SEARCH("alim",PAA_4[[#This Row],[Actividad3]])),"Alimentación",IF(ISNUMBER(SEARCH("educ",PAA_4[[#This Row],[Actividad3]])),"Educativo","Técnico"))),0)</f>
        <v>0</v>
      </c>
      <c r="AI1426" s="47" t="e" cm="1">
        <f t="array" aca="1" ref="AI1426" ca="1">_xlfn.XLOOKUP(PAA_4[[#This Row],[RCP-RUBRO]],[2]!COMPROMISOS_2024[[#All],[concatenado]],[2]!COMPROMISOS_2024[[#All],[Total pagado]],"",0)</f>
        <v>#NAME?</v>
      </c>
      <c r="AJ1426" s="56">
        <f>IF(PAA_4[[#This Row],[BOLSA]]=0,0,SUMIFS([2]!COMPROMISOS_2024[[#All],[Total pagado]],[2]!COMPROMISOS_2024[[#All],[Bolsa]],PAA_4[[#This Row],[BOLSA]],[2]!COMPROMISOS_2024[[#All],[rubro]],PAA_4[[#This Row],[RCP-RUBRO]]))</f>
        <v>0</v>
      </c>
      <c r="AK1426" s="47" t="e" cm="1">
        <f t="array" aca="1" ref="AK1426" ca="1">_xlfn.XLOOKUP(PAA_4[[#This Row],[RCP-RUBRO]],[2]!COMPROMISOS_2024[[#All],[concatenado]],[2]!COMPROMISOS_2024[[#All],[Total Comprometido]],"",0)</f>
        <v>#NAME?</v>
      </c>
      <c r="AL1426" s="47">
        <f>IF(PAA_4[[#This Row],[BOLSA]]=0,0,SUMIFS([2]!COMPROMISOS_2024[[#All],[Total Comprometido]],[2]!COMPROMISOS_2024[[#All],[Bolsa]],PAA_4[[#This Row],[BOLSA]],[2]!COMPROMISOS_2024[[#All],[concatenado]],PAA_4[[#This Row],[RCP-RUBRO]]))</f>
        <v>0</v>
      </c>
    </row>
    <row r="1427" spans="1:38" s="19" customFormat="1" ht="31.5" customHeight="1">
      <c r="A1427" s="47" t="s">
        <v>82</v>
      </c>
      <c r="B1427" s="47">
        <v>80111600</v>
      </c>
      <c r="C1427" s="47" t="str">
        <f>VLOOKUP(PAA_4[[#This Row],[PROYECTO (formulado)2]],[2]PROYECTOS!$G$1:$L$32,6,0)</f>
        <v>SUBGERENCIA DE FOMENTO Y DESARROLLO</v>
      </c>
      <c r="D1427" s="47" t="str">
        <f>+IF(PAA_4[[#This Row],[UNIDAD DE CONTRATACION (formulado)]]="Subgerencia Administrativa y Financiera","FUNCIONAMIENTO","INVERSIÓN")</f>
        <v>INVERSIÓN</v>
      </c>
      <c r="E1427" s="48" t="str">
        <f>VLOOKUP(Q1427,[2]PROYECTOS!$G$1:$K$32,5,0)</f>
        <v>CAPACITACION_PARA_EL_SECTOR_DEL_DEPORTE_LA_ACTIVIDAD_FISICA_LA_RECREACION_Y_LA_EDUCACION_FISICA_DE_ANTI</v>
      </c>
      <c r="F1427" s="48">
        <f>VLOOKUP(E1427,[2]PROYECTOS!$K$1:$M$32,3,0)</f>
        <v>2020003050024</v>
      </c>
      <c r="G1427" s="49" t="s">
        <v>337</v>
      </c>
      <c r="H1427" s="49" t="str">
        <f>VLOOKUP(Q1427,[2]PROYECTOS!$V$1:$W$32,2,0)</f>
        <v>050063</v>
      </c>
      <c r="I1427" s="50">
        <v>0</v>
      </c>
      <c r="J1427" s="74" t="s">
        <v>374</v>
      </c>
      <c r="K1427" s="47" t="str">
        <f t="shared" ca="1" si="505"/>
        <v>CONTRATADO</v>
      </c>
      <c r="L1427" s="47" t="s">
        <v>94</v>
      </c>
      <c r="M1427" s="47" t="s">
        <v>1297</v>
      </c>
      <c r="N1427" s="52" t="s">
        <v>339</v>
      </c>
      <c r="O1427" s="51" t="e">
        <f>VLOOKUP(N1427,[2]!RUBROS[#All],3,0)</f>
        <v>#REF!</v>
      </c>
      <c r="P1427" s="53" t="e">
        <f>VLOOKUP(N1427,[2]!RUBROS[#All],2,0)</f>
        <v>#REF!</v>
      </c>
      <c r="Q1427" s="47" t="str">
        <f t="shared" si="506"/>
        <v>48</v>
      </c>
      <c r="R1427" s="47" t="str">
        <f t="shared" si="500"/>
        <v>0-205128</v>
      </c>
      <c r="S1427" s="54">
        <v>9</v>
      </c>
      <c r="T1427" s="59" t="s">
        <v>46</v>
      </c>
      <c r="U1427" s="326" t="e">
        <f ca="1">_xlfn.XLOOKUP(PAA_4[[#This Row],[ITEM]],[2]Contrato!A:A,[2]Contrato!Q:Q,"",0)</f>
        <v>#NAME?</v>
      </c>
      <c r="V1427" s="47" t="s">
        <v>47</v>
      </c>
      <c r="W1427" s="47" t="s">
        <v>122</v>
      </c>
      <c r="X1427" s="47" t="s">
        <v>122</v>
      </c>
      <c r="Y1427" s="55" t="e">
        <f ca="1">_xlfn.XLOOKUP(PAA_4[[#This Row],[ITEM]],[2]Contrato!A:A,[2]Contrato!B:B,"",0)</f>
        <v>#NAME?</v>
      </c>
      <c r="Z1427" s="47" t="e">
        <f ca="1">_xlfn.XLOOKUP(PAA_4[[#This Row],[ITEM]],[2]Contrato!A:A,[2]Contrato!G:G,"",0)</f>
        <v>#NAME?</v>
      </c>
      <c r="AA1427" s="47" t="e">
        <f ca="1">_xlfn.XLOOKUP(PAA_4[[#This Row],[ITEM]],[2]Contrato!A:A,[2]Contrato!T:T,"",0)</f>
        <v>#NAME?</v>
      </c>
      <c r="AB1427" s="55" t="e">
        <f ca="1">+MAX(PAA_4[[#This Row],[Comprometido Contrato]],PAA_4[[#This Row],[Comprometido Bolsa]])</f>
        <v>#NAME?</v>
      </c>
      <c r="AC1427" s="55" t="str">
        <f t="shared" ca="1" si="507"/>
        <v/>
      </c>
      <c r="AD1427" s="55" t="e">
        <f ca="1">IF(PAA_4[[#This Row],[ESTADO (formulado)]]="NO CONTRATADO",0,MAX(PAA_4[[#This Row],[Pago por Contrato]],PAA_4[[#This Row],[Pago por bolsa]]))</f>
        <v>#NAME?</v>
      </c>
      <c r="AE1427" s="55" t="str">
        <f t="shared" ca="1" si="508"/>
        <v/>
      </c>
      <c r="AF1427" s="47" t="e">
        <f t="shared" ca="1" si="509"/>
        <v>#NAME?</v>
      </c>
      <c r="AG1427" s="47">
        <f t="shared" si="510"/>
        <v>41080201</v>
      </c>
      <c r="AH1427" s="54">
        <f>IF(Q1427="22",IF(ISNUMBER(SEARCH("econ",PAA_4[[#This Row],[Actividad3]])),"Económico",IF(ISNUMBER(SEARCH("alim",PAA_4[[#This Row],[Actividad3]])),"Alimentación",IF(ISNUMBER(SEARCH("educ",PAA_4[[#This Row],[Actividad3]])),"Educativo","Técnico"))),0)</f>
        <v>0</v>
      </c>
      <c r="AI1427" s="47" t="e" cm="1">
        <f t="array" aca="1" ref="AI1427" ca="1">_xlfn.XLOOKUP(PAA_4[[#This Row],[RCP-RUBRO]],[2]!COMPROMISOS_2024[[#All],[concatenado]],[2]!COMPROMISOS_2024[[#All],[Total pagado]],"",0)</f>
        <v>#NAME?</v>
      </c>
      <c r="AJ1427" s="56">
        <f>IF(PAA_4[[#This Row],[BOLSA]]=0,0,SUMIFS([2]!COMPROMISOS_2024[[#All],[Total pagado]],[2]!COMPROMISOS_2024[[#All],[Bolsa]],PAA_4[[#This Row],[BOLSA]],[2]!COMPROMISOS_2024[[#All],[rubro]],PAA_4[[#This Row],[RCP-RUBRO]]))</f>
        <v>0</v>
      </c>
      <c r="AK1427" s="47" t="e" cm="1">
        <f t="array" aca="1" ref="AK1427" ca="1">_xlfn.XLOOKUP(PAA_4[[#This Row],[RCP-RUBRO]],[2]!COMPROMISOS_2024[[#All],[concatenado]],[2]!COMPROMISOS_2024[[#All],[Total Comprometido]],"",0)</f>
        <v>#NAME?</v>
      </c>
      <c r="AL1427" s="47">
        <f>IF(PAA_4[[#This Row],[BOLSA]]=0,0,SUMIFS([2]!COMPROMISOS_2024[[#All],[Total Comprometido]],[2]!COMPROMISOS_2024[[#All],[Bolsa]],PAA_4[[#This Row],[BOLSA]],[2]!COMPROMISOS_2024[[#All],[concatenado]],PAA_4[[#This Row],[RCP-RUBRO]]))</f>
        <v>0</v>
      </c>
    </row>
    <row r="1428" spans="1:38" s="19" customFormat="1" ht="31.5" customHeight="1">
      <c r="A1428" s="47">
        <v>379</v>
      </c>
      <c r="B1428" s="47">
        <v>80111600</v>
      </c>
      <c r="C1428" s="47" t="str">
        <f>VLOOKUP(PAA_4[[#This Row],[PROYECTO (formulado)2]],[2]PROYECTOS!$G$1:$L$32,6,0)</f>
        <v>SUBGERENCIA DE FOMENTO Y DESARROLLO</v>
      </c>
      <c r="D1428" s="47" t="str">
        <f>+IF(PAA_4[[#This Row],[UNIDAD DE CONTRATACION (formulado)]]="Subgerencia Administrativa y Financiera","FUNCIONAMIENTO","INVERSIÓN")</f>
        <v>INVERSIÓN</v>
      </c>
      <c r="E1428" s="48" t="str">
        <f>VLOOKUP(Q1428,[2]PROYECTOS!$G$1:$K$32,5,0)</f>
        <v>CAPACITACION_PARA_EL_SECTOR_DEL_DEPORTE_LA_ACTIVIDAD_FISICA_LA_RECREACION_Y_LA_EDUCACION_FISICA_DE_ANTI</v>
      </c>
      <c r="F1428" s="48">
        <f>VLOOKUP(E1428,[2]PROYECTOS!$K$1:$M$32,3,0)</f>
        <v>2020003050024</v>
      </c>
      <c r="G1428" s="49" t="s">
        <v>337</v>
      </c>
      <c r="H1428" s="49" t="str">
        <f>VLOOKUP(Q1428,[2]PROYECTOS!$V$1:$W$32,2,0)</f>
        <v>050063</v>
      </c>
      <c r="I1428" s="50">
        <v>1132762</v>
      </c>
      <c r="J1428" s="51" t="s">
        <v>330</v>
      </c>
      <c r="K1428" s="47" t="str">
        <f t="shared" ca="1" si="505"/>
        <v>CONTRATADO</v>
      </c>
      <c r="L1428" s="47" t="s">
        <v>94</v>
      </c>
      <c r="M1428" s="47" t="s">
        <v>1297</v>
      </c>
      <c r="N1428" s="52" t="s">
        <v>339</v>
      </c>
      <c r="O1428" s="51" t="e">
        <f>VLOOKUP(N1428,[2]!RUBROS[#All],3,0)</f>
        <v>#REF!</v>
      </c>
      <c r="P1428" s="53" t="e">
        <f>VLOOKUP(N1428,[2]!RUBROS[#All],2,0)</f>
        <v>#REF!</v>
      </c>
      <c r="Q1428" s="47" t="str">
        <f t="shared" si="506"/>
        <v>48</v>
      </c>
      <c r="R1428" s="47" t="str">
        <f t="shared" si="500"/>
        <v>0-205128</v>
      </c>
      <c r="S1428" s="54">
        <v>3</v>
      </c>
      <c r="T1428" s="59" t="s">
        <v>46</v>
      </c>
      <c r="U1428" s="326" t="e">
        <f ca="1">_xlfn.XLOOKUP(PAA_4[[#This Row],[ITEM]],[2]Contrato!A:A,[2]Contrato!Q:Q,"",0)</f>
        <v>#NAME?</v>
      </c>
      <c r="V1428" s="47" t="s">
        <v>47</v>
      </c>
      <c r="W1428" s="47" t="s">
        <v>83</v>
      </c>
      <c r="X1428" s="47" t="s">
        <v>83</v>
      </c>
      <c r="Y1428" s="55" t="e">
        <f ca="1">_xlfn.XLOOKUP(PAA_4[[#This Row],[ITEM]],[2]Contrato!A:A,[2]Contrato!B:B,"",0)</f>
        <v>#NAME?</v>
      </c>
      <c r="Z1428" s="47" t="e">
        <f ca="1">_xlfn.XLOOKUP(PAA_4[[#This Row],[ITEM]],[2]Contrato!A:A,[2]Contrato!G:G,"",0)</f>
        <v>#NAME?</v>
      </c>
      <c r="AA1428" s="47" t="e">
        <f ca="1">_xlfn.XLOOKUP(PAA_4[[#This Row],[ITEM]],[2]Contrato!A:A,[2]Contrato!T:T,"",0)</f>
        <v>#NAME?</v>
      </c>
      <c r="AB1428" s="55" t="e">
        <f ca="1">+MAX(PAA_4[[#This Row],[Comprometido Contrato]],PAA_4[[#This Row],[Comprometido Bolsa]])</f>
        <v>#NAME?</v>
      </c>
      <c r="AC1428" s="55" t="str">
        <f t="shared" ca="1" si="507"/>
        <v/>
      </c>
      <c r="AD1428" s="55" t="e">
        <f ca="1">IF(PAA_4[[#This Row],[ESTADO (formulado)]]="NO CONTRATADO",0,MAX(PAA_4[[#This Row],[Pago por Contrato]],PAA_4[[#This Row],[Pago por bolsa]]))</f>
        <v>#NAME?</v>
      </c>
      <c r="AE1428" s="55" t="str">
        <f t="shared" ca="1" si="508"/>
        <v/>
      </c>
      <c r="AF1428" s="47" t="e">
        <f t="shared" ca="1" si="509"/>
        <v>#NAME?</v>
      </c>
      <c r="AG1428" s="47">
        <f t="shared" si="510"/>
        <v>41080201</v>
      </c>
      <c r="AH1428" s="54">
        <f>IF(Q1428="22",IF(ISNUMBER(SEARCH("econ",PAA_4[[#This Row],[Actividad3]])),"Económico",IF(ISNUMBER(SEARCH("alim",PAA_4[[#This Row],[Actividad3]])),"Alimentación",IF(ISNUMBER(SEARCH("educ",PAA_4[[#This Row],[Actividad3]])),"Educativo","Técnico"))),0)</f>
        <v>0</v>
      </c>
      <c r="AI1428" s="47" t="e" cm="1">
        <f t="array" aca="1" ref="AI1428" ca="1">_xlfn.XLOOKUP(PAA_4[[#This Row],[RCP-RUBRO]],[2]!COMPROMISOS_2024[[#All],[concatenado]],[2]!COMPROMISOS_2024[[#All],[Total pagado]],"",0)</f>
        <v>#NAME?</v>
      </c>
      <c r="AJ1428" s="56">
        <f>IF(PAA_4[[#This Row],[BOLSA]]=0,0,SUMIFS([2]!COMPROMISOS_2024[[#All],[Total pagado]],[2]!COMPROMISOS_2024[[#All],[Bolsa]],PAA_4[[#This Row],[BOLSA]],[2]!COMPROMISOS_2024[[#All],[rubro]],PAA_4[[#This Row],[RCP-RUBRO]]))</f>
        <v>0</v>
      </c>
      <c r="AK1428" s="47" t="e" cm="1">
        <f t="array" aca="1" ref="AK1428" ca="1">_xlfn.XLOOKUP(PAA_4[[#This Row],[RCP-RUBRO]],[2]!COMPROMISOS_2024[[#All],[concatenado]],[2]!COMPROMISOS_2024[[#All],[Total Comprometido]],"",0)</f>
        <v>#NAME?</v>
      </c>
      <c r="AL1428" s="47">
        <f>IF(PAA_4[[#This Row],[BOLSA]]=0,0,SUMIFS([2]!COMPROMISOS_2024[[#All],[Total Comprometido]],[2]!COMPROMISOS_2024[[#All],[Bolsa]],PAA_4[[#This Row],[BOLSA]],[2]!COMPROMISOS_2024[[#All],[concatenado]],PAA_4[[#This Row],[RCP-RUBRO]]))</f>
        <v>0</v>
      </c>
    </row>
    <row r="1429" spans="1:38" s="19" customFormat="1" ht="31.5" customHeight="1">
      <c r="A1429" s="47">
        <v>380</v>
      </c>
      <c r="B1429" s="47">
        <v>80111600</v>
      </c>
      <c r="C1429" s="47" t="str">
        <f>VLOOKUP(PAA_4[[#This Row],[PROYECTO (formulado)2]],[2]PROYECTOS!$G$1:$L$32,6,0)</f>
        <v>SUBGERENCIA DE FOMENTO Y DESARROLLO</v>
      </c>
      <c r="D1429" s="47" t="str">
        <f>+IF(PAA_4[[#This Row],[UNIDAD DE CONTRATACION (formulado)]]="Subgerencia Administrativa y Financiera","FUNCIONAMIENTO","INVERSIÓN")</f>
        <v>INVERSIÓN</v>
      </c>
      <c r="E1429" s="48" t="str">
        <f>VLOOKUP(Q1429,[2]PROYECTOS!$G$1:$K$32,5,0)</f>
        <v>CAPACITACION_PARA_EL_SECTOR_DEL_DEPORTE_LA_ACTIVIDAD_FISICA_LA_RECREACION_Y_LA_EDUCACION_FISICA_DE_ANTI</v>
      </c>
      <c r="F1429" s="48">
        <f>VLOOKUP(E1429,[2]PROYECTOS!$K$1:$M$32,3,0)</f>
        <v>2020003050024</v>
      </c>
      <c r="G1429" s="49" t="s">
        <v>337</v>
      </c>
      <c r="H1429" s="49" t="str">
        <f>VLOOKUP(Q1429,[2]PROYECTOS!$V$1:$W$32,2,0)</f>
        <v>050063</v>
      </c>
      <c r="I1429" s="50">
        <v>1132762</v>
      </c>
      <c r="J1429" s="70" t="s">
        <v>331</v>
      </c>
      <c r="K1429" s="47" t="str">
        <f t="shared" ca="1" si="505"/>
        <v>CONTRATADO</v>
      </c>
      <c r="L1429" s="47" t="s">
        <v>94</v>
      </c>
      <c r="M1429" s="47" t="s">
        <v>1297</v>
      </c>
      <c r="N1429" s="52" t="s">
        <v>339</v>
      </c>
      <c r="O1429" s="51" t="e">
        <f>VLOOKUP(N1429,[2]!RUBROS[#All],3,0)</f>
        <v>#REF!</v>
      </c>
      <c r="P1429" s="53" t="e">
        <f>VLOOKUP(N1429,[2]!RUBROS[#All],2,0)</f>
        <v>#REF!</v>
      </c>
      <c r="Q1429" s="47" t="str">
        <f t="shared" si="506"/>
        <v>48</v>
      </c>
      <c r="R1429" s="47" t="str">
        <f t="shared" si="500"/>
        <v>0-205128</v>
      </c>
      <c r="S1429" s="54">
        <v>3</v>
      </c>
      <c r="T1429" s="59" t="s">
        <v>46</v>
      </c>
      <c r="U1429" s="326" t="e">
        <f ca="1">_xlfn.XLOOKUP(PAA_4[[#This Row],[ITEM]],[2]Contrato!A:A,[2]Contrato!Q:Q,"",0)</f>
        <v>#NAME?</v>
      </c>
      <c r="V1429" s="47" t="s">
        <v>47</v>
      </c>
      <c r="W1429" s="47" t="s">
        <v>83</v>
      </c>
      <c r="X1429" s="47" t="s">
        <v>83</v>
      </c>
      <c r="Y1429" s="55" t="e">
        <f ca="1">_xlfn.XLOOKUP(PAA_4[[#This Row],[ITEM]],[2]Contrato!A:A,[2]Contrato!B:B,"",0)</f>
        <v>#NAME?</v>
      </c>
      <c r="Z1429" s="47" t="e">
        <f ca="1">_xlfn.XLOOKUP(PAA_4[[#This Row],[ITEM]],[2]Contrato!A:A,[2]Contrato!G:G,"",0)</f>
        <v>#NAME?</v>
      </c>
      <c r="AA1429" s="47" t="e">
        <f ca="1">_xlfn.XLOOKUP(PAA_4[[#This Row],[ITEM]],[2]Contrato!A:A,[2]Contrato!T:T,"",0)</f>
        <v>#NAME?</v>
      </c>
      <c r="AB1429" s="55" t="e">
        <f ca="1">+MAX(PAA_4[[#This Row],[Comprometido Contrato]],PAA_4[[#This Row],[Comprometido Bolsa]])</f>
        <v>#NAME?</v>
      </c>
      <c r="AC1429" s="55" t="str">
        <f t="shared" ca="1" si="507"/>
        <v/>
      </c>
      <c r="AD1429" s="55" t="e">
        <f ca="1">IF(PAA_4[[#This Row],[ESTADO (formulado)]]="NO CONTRATADO",0,MAX(PAA_4[[#This Row],[Pago por Contrato]],PAA_4[[#This Row],[Pago por bolsa]]))</f>
        <v>#NAME?</v>
      </c>
      <c r="AE1429" s="55" t="str">
        <f t="shared" ca="1" si="508"/>
        <v/>
      </c>
      <c r="AF1429" s="47" t="e">
        <f t="shared" ca="1" si="509"/>
        <v>#NAME?</v>
      </c>
      <c r="AG1429" s="47">
        <f t="shared" si="510"/>
        <v>41080201</v>
      </c>
      <c r="AH1429" s="54">
        <f>IF(Q1429="22",IF(ISNUMBER(SEARCH("econ",PAA_4[[#This Row],[Actividad3]])),"Económico",IF(ISNUMBER(SEARCH("alim",PAA_4[[#This Row],[Actividad3]])),"Alimentación",IF(ISNUMBER(SEARCH("educ",PAA_4[[#This Row],[Actividad3]])),"Educativo","Técnico"))),0)</f>
        <v>0</v>
      </c>
      <c r="AI1429" s="47" t="e" cm="1">
        <f t="array" aca="1" ref="AI1429" ca="1">_xlfn.XLOOKUP(PAA_4[[#This Row],[RCP-RUBRO]],[2]!COMPROMISOS_2024[[#All],[concatenado]],[2]!COMPROMISOS_2024[[#All],[Total pagado]],"",0)</f>
        <v>#NAME?</v>
      </c>
      <c r="AJ1429" s="56">
        <f>IF(PAA_4[[#This Row],[BOLSA]]=0,0,SUMIFS([2]!COMPROMISOS_2024[[#All],[Total pagado]],[2]!COMPROMISOS_2024[[#All],[Bolsa]],PAA_4[[#This Row],[BOLSA]],[2]!COMPROMISOS_2024[[#All],[rubro]],PAA_4[[#This Row],[RCP-RUBRO]]))</f>
        <v>0</v>
      </c>
      <c r="AK1429" s="47" t="e" cm="1">
        <f t="array" aca="1" ref="AK1429" ca="1">_xlfn.XLOOKUP(PAA_4[[#This Row],[RCP-RUBRO]],[2]!COMPROMISOS_2024[[#All],[concatenado]],[2]!COMPROMISOS_2024[[#All],[Total Comprometido]],"",0)</f>
        <v>#NAME?</v>
      </c>
      <c r="AL1429" s="47">
        <f>IF(PAA_4[[#This Row],[BOLSA]]=0,0,SUMIFS([2]!COMPROMISOS_2024[[#All],[Total Comprometido]],[2]!COMPROMISOS_2024[[#All],[Bolsa]],PAA_4[[#This Row],[BOLSA]],[2]!COMPROMISOS_2024[[#All],[concatenado]],PAA_4[[#This Row],[RCP-RUBRO]]))</f>
        <v>0</v>
      </c>
    </row>
    <row r="1430" spans="1:38" s="19" customFormat="1" ht="31.5" customHeight="1">
      <c r="A1430" s="47">
        <v>381</v>
      </c>
      <c r="B1430" s="47">
        <v>80111600</v>
      </c>
      <c r="C1430" s="47" t="str">
        <f>VLOOKUP(PAA_4[[#This Row],[PROYECTO (formulado)2]],[2]PROYECTOS!$G$1:$L$32,6,0)</f>
        <v>SUBGERENCIA DE FOMENTO Y DESARROLLO</v>
      </c>
      <c r="D1430" s="47" t="str">
        <f>+IF(PAA_4[[#This Row],[UNIDAD DE CONTRATACION (formulado)]]="Subgerencia Administrativa y Financiera","FUNCIONAMIENTO","INVERSIÓN")</f>
        <v>INVERSIÓN</v>
      </c>
      <c r="E1430" s="48" t="str">
        <f>VLOOKUP(Q1430,[2]PROYECTOS!$G$1:$K$32,5,0)</f>
        <v>CAPACITACION_PARA_EL_SECTOR_DEL_DEPORTE_LA_ACTIVIDAD_FISICA_LA_RECREACION_Y_LA_EDUCACION_FISICA_DE_ANTI</v>
      </c>
      <c r="F1430" s="48">
        <f>VLOOKUP(E1430,[2]PROYECTOS!$K$1:$M$32,3,0)</f>
        <v>2020003050024</v>
      </c>
      <c r="G1430" s="49" t="s">
        <v>337</v>
      </c>
      <c r="H1430" s="49" t="str">
        <f>VLOOKUP(Q1430,[2]PROYECTOS!$V$1:$W$32,2,0)</f>
        <v>050063</v>
      </c>
      <c r="I1430" s="50">
        <v>1031852</v>
      </c>
      <c r="J1430" s="51" t="s">
        <v>328</v>
      </c>
      <c r="K1430" s="47" t="str">
        <f t="shared" ca="1" si="505"/>
        <v>CONTRATADO</v>
      </c>
      <c r="L1430" s="47" t="s">
        <v>94</v>
      </c>
      <c r="M1430" s="47" t="s">
        <v>1297</v>
      </c>
      <c r="N1430" s="52" t="s">
        <v>339</v>
      </c>
      <c r="O1430" s="51" t="e">
        <f>VLOOKUP(N1430,[2]!RUBROS[#All],3,0)</f>
        <v>#REF!</v>
      </c>
      <c r="P1430" s="53" t="e">
        <f>VLOOKUP(N1430,[2]!RUBROS[#All],2,0)</f>
        <v>#REF!</v>
      </c>
      <c r="Q1430" s="47" t="str">
        <f t="shared" si="506"/>
        <v>48</v>
      </c>
      <c r="R1430" s="47" t="str">
        <f t="shared" si="500"/>
        <v>0-205128</v>
      </c>
      <c r="S1430" s="54">
        <v>12</v>
      </c>
      <c r="T1430" s="59" t="s">
        <v>46</v>
      </c>
      <c r="U1430" s="326" t="e">
        <f ca="1">_xlfn.XLOOKUP(PAA_4[[#This Row],[ITEM]],[2]Contrato!A:A,[2]Contrato!Q:Q,"",0)</f>
        <v>#NAME?</v>
      </c>
      <c r="V1430" s="47" t="s">
        <v>47</v>
      </c>
      <c r="W1430" s="47" t="s">
        <v>83</v>
      </c>
      <c r="X1430" s="47" t="s">
        <v>83</v>
      </c>
      <c r="Y1430" s="55" t="e">
        <f ca="1">_xlfn.XLOOKUP(PAA_4[[#This Row],[ITEM]],[2]Contrato!A:A,[2]Contrato!B:B,"",0)</f>
        <v>#NAME?</v>
      </c>
      <c r="Z1430" s="47" t="e">
        <f ca="1">_xlfn.XLOOKUP(PAA_4[[#This Row],[ITEM]],[2]Contrato!A:A,[2]Contrato!G:G,"",0)</f>
        <v>#NAME?</v>
      </c>
      <c r="AA1430" s="47" t="e">
        <f ca="1">_xlfn.XLOOKUP(PAA_4[[#This Row],[ITEM]],[2]Contrato!A:A,[2]Contrato!T:T,"",0)</f>
        <v>#NAME?</v>
      </c>
      <c r="AB1430" s="55" t="e">
        <f ca="1">+MAX(PAA_4[[#This Row],[Comprometido Contrato]],PAA_4[[#This Row],[Comprometido Bolsa]])</f>
        <v>#NAME?</v>
      </c>
      <c r="AC1430" s="55" t="str">
        <f t="shared" ca="1" si="507"/>
        <v/>
      </c>
      <c r="AD1430" s="55" t="e">
        <f ca="1">IF(PAA_4[[#This Row],[ESTADO (formulado)]]="NO CONTRATADO",0,MAX(PAA_4[[#This Row],[Pago por Contrato]],PAA_4[[#This Row],[Pago por bolsa]]))</f>
        <v>#NAME?</v>
      </c>
      <c r="AE1430" s="55" t="str">
        <f t="shared" ca="1" si="508"/>
        <v/>
      </c>
      <c r="AF1430" s="47" t="e">
        <f t="shared" ca="1" si="509"/>
        <v>#NAME?</v>
      </c>
      <c r="AG1430" s="47">
        <f t="shared" si="510"/>
        <v>41080201</v>
      </c>
      <c r="AH1430" s="54">
        <f>IF(Q1430="22",IF(ISNUMBER(SEARCH("econ",PAA_4[[#This Row],[Actividad3]])),"Económico",IF(ISNUMBER(SEARCH("alim",PAA_4[[#This Row],[Actividad3]])),"Alimentación",IF(ISNUMBER(SEARCH("educ",PAA_4[[#This Row],[Actividad3]])),"Educativo","Técnico"))),0)</f>
        <v>0</v>
      </c>
      <c r="AI1430" s="47" t="e" cm="1">
        <f t="array" aca="1" ref="AI1430" ca="1">_xlfn.XLOOKUP(PAA_4[[#This Row],[RCP-RUBRO]],[2]!COMPROMISOS_2024[[#All],[concatenado]],[2]!COMPROMISOS_2024[[#All],[Total pagado]],"",0)</f>
        <v>#NAME?</v>
      </c>
      <c r="AJ1430" s="56">
        <f>IF(PAA_4[[#This Row],[BOLSA]]=0,0,SUMIFS([2]!COMPROMISOS_2024[[#All],[Total pagado]],[2]!COMPROMISOS_2024[[#All],[Bolsa]],PAA_4[[#This Row],[BOLSA]],[2]!COMPROMISOS_2024[[#All],[rubro]],PAA_4[[#This Row],[RCP-RUBRO]]))</f>
        <v>0</v>
      </c>
      <c r="AK1430" s="47" t="e" cm="1">
        <f t="array" aca="1" ref="AK1430" ca="1">_xlfn.XLOOKUP(PAA_4[[#This Row],[RCP-RUBRO]],[2]!COMPROMISOS_2024[[#All],[concatenado]],[2]!COMPROMISOS_2024[[#All],[Total Comprometido]],"",0)</f>
        <v>#NAME?</v>
      </c>
      <c r="AL1430" s="47">
        <f>IF(PAA_4[[#This Row],[BOLSA]]=0,0,SUMIFS([2]!COMPROMISOS_2024[[#All],[Total Comprometido]],[2]!COMPROMISOS_2024[[#All],[Bolsa]],PAA_4[[#This Row],[BOLSA]],[2]!COMPROMISOS_2024[[#All],[concatenado]],PAA_4[[#This Row],[RCP-RUBRO]]))</f>
        <v>0</v>
      </c>
    </row>
    <row r="1431" spans="1:38" s="19" customFormat="1" ht="31.5" customHeight="1">
      <c r="A1431" s="47">
        <v>382</v>
      </c>
      <c r="B1431" s="47">
        <v>80111600</v>
      </c>
      <c r="C1431" s="47" t="str">
        <f>VLOOKUP(PAA_4[[#This Row],[PROYECTO (formulado)2]],[2]PROYECTOS!$G$1:$L$32,6,0)</f>
        <v>SUBGERENCIA DE FOMENTO Y DESARROLLO</v>
      </c>
      <c r="D1431" s="47" t="str">
        <f>+IF(PAA_4[[#This Row],[UNIDAD DE CONTRATACION (formulado)]]="Subgerencia Administrativa y Financiera","FUNCIONAMIENTO","INVERSIÓN")</f>
        <v>INVERSIÓN</v>
      </c>
      <c r="E1431" s="48" t="str">
        <f>VLOOKUP(Q1431,[2]PROYECTOS!$G$1:$K$32,5,0)</f>
        <v>CAPACITACION_PARA_EL_SECTOR_DEL_DEPORTE_LA_ACTIVIDAD_FISICA_LA_RECREACION_Y_LA_EDUCACION_FISICA_DE_ANTI</v>
      </c>
      <c r="F1431" s="48">
        <f>VLOOKUP(E1431,[2]PROYECTOS!$K$1:$M$32,3,0)</f>
        <v>2020003050024</v>
      </c>
      <c r="G1431" s="49" t="s">
        <v>337</v>
      </c>
      <c r="H1431" s="49" t="str">
        <f>VLOOKUP(Q1431,[2]PROYECTOS!$V$1:$W$32,2,0)</f>
        <v>050063</v>
      </c>
      <c r="I1431" s="50">
        <v>0</v>
      </c>
      <c r="J1431" s="51" t="s">
        <v>357</v>
      </c>
      <c r="K1431" s="47" t="str">
        <f t="shared" ca="1" si="505"/>
        <v>CONTRATADO</v>
      </c>
      <c r="L1431" s="47" t="s">
        <v>94</v>
      </c>
      <c r="M1431" s="47" t="s">
        <v>1297</v>
      </c>
      <c r="N1431" s="52" t="s">
        <v>339</v>
      </c>
      <c r="O1431" s="51" t="e">
        <f>VLOOKUP(N1431,[2]!RUBROS[#All],3,0)</f>
        <v>#REF!</v>
      </c>
      <c r="P1431" s="53" t="e">
        <f>VLOOKUP(N1431,[2]!RUBROS[#All],2,0)</f>
        <v>#REF!</v>
      </c>
      <c r="Q1431" s="47" t="str">
        <f t="shared" si="506"/>
        <v>48</v>
      </c>
      <c r="R1431" s="47" t="str">
        <f t="shared" si="500"/>
        <v>0-205128</v>
      </c>
      <c r="S1431" s="54">
        <v>5</v>
      </c>
      <c r="T1431" s="59" t="s">
        <v>46</v>
      </c>
      <c r="U1431" s="326" t="e">
        <f ca="1">_xlfn.XLOOKUP(PAA_4[[#This Row],[ITEM]],[2]Contrato!A:A,[2]Contrato!Q:Q,"",0)</f>
        <v>#NAME?</v>
      </c>
      <c r="V1431" s="47" t="s">
        <v>47</v>
      </c>
      <c r="W1431" s="47" t="s">
        <v>193</v>
      </c>
      <c r="X1431" s="47" t="s">
        <v>193</v>
      </c>
      <c r="Y1431" s="55" t="e">
        <f ca="1">_xlfn.XLOOKUP(PAA_4[[#This Row],[ITEM]],[2]Contrato!A:A,[2]Contrato!B:B,"",0)</f>
        <v>#NAME?</v>
      </c>
      <c r="Z1431" s="47" t="e">
        <f ca="1">_xlfn.XLOOKUP(PAA_4[[#This Row],[ITEM]],[2]Contrato!A:A,[2]Contrato!G:G,"",0)</f>
        <v>#NAME?</v>
      </c>
      <c r="AA1431" s="47" t="e">
        <f ca="1">_xlfn.XLOOKUP(PAA_4[[#This Row],[ITEM]],[2]Contrato!A:A,[2]Contrato!T:T,"",0)</f>
        <v>#NAME?</v>
      </c>
      <c r="AB1431" s="55" t="e">
        <f ca="1">+MAX(PAA_4[[#This Row],[Comprometido Contrato]],PAA_4[[#This Row],[Comprometido Bolsa]])</f>
        <v>#NAME?</v>
      </c>
      <c r="AC1431" s="55" t="str">
        <f t="shared" ca="1" si="507"/>
        <v/>
      </c>
      <c r="AD1431" s="55" t="e">
        <f ca="1">IF(PAA_4[[#This Row],[ESTADO (formulado)]]="NO CONTRATADO",0,MAX(PAA_4[[#This Row],[Pago por Contrato]],PAA_4[[#This Row],[Pago por bolsa]]))</f>
        <v>#NAME?</v>
      </c>
      <c r="AE1431" s="55" t="str">
        <f t="shared" ca="1" si="508"/>
        <v/>
      </c>
      <c r="AF1431" s="47" t="e">
        <f t="shared" ca="1" si="509"/>
        <v>#NAME?</v>
      </c>
      <c r="AG1431" s="47">
        <f t="shared" si="510"/>
        <v>41080201</v>
      </c>
      <c r="AH1431" s="54">
        <f>IF(Q1431="22",IF(ISNUMBER(SEARCH("econ",PAA_4[[#This Row],[Actividad3]])),"Económico",IF(ISNUMBER(SEARCH("alim",PAA_4[[#This Row],[Actividad3]])),"Alimentación",IF(ISNUMBER(SEARCH("educ",PAA_4[[#This Row],[Actividad3]])),"Educativo","Técnico"))),0)</f>
        <v>0</v>
      </c>
      <c r="AI1431" s="47" t="e" cm="1">
        <f t="array" aca="1" ref="AI1431" ca="1">_xlfn.XLOOKUP(PAA_4[[#This Row],[RCP-RUBRO]],[2]!COMPROMISOS_2024[[#All],[concatenado]],[2]!COMPROMISOS_2024[[#All],[Total pagado]],"",0)</f>
        <v>#NAME?</v>
      </c>
      <c r="AJ1431" s="56">
        <f>IF(PAA_4[[#This Row],[BOLSA]]=0,0,SUMIFS([2]!COMPROMISOS_2024[[#All],[Total pagado]],[2]!COMPROMISOS_2024[[#All],[Bolsa]],PAA_4[[#This Row],[BOLSA]],[2]!COMPROMISOS_2024[[#All],[rubro]],PAA_4[[#This Row],[RCP-RUBRO]]))</f>
        <v>0</v>
      </c>
      <c r="AK1431" s="47" t="e" cm="1">
        <f t="array" aca="1" ref="AK1431" ca="1">_xlfn.XLOOKUP(PAA_4[[#This Row],[RCP-RUBRO]],[2]!COMPROMISOS_2024[[#All],[concatenado]],[2]!COMPROMISOS_2024[[#All],[Total Comprometido]],"",0)</f>
        <v>#NAME?</v>
      </c>
      <c r="AL1431" s="47">
        <f>IF(PAA_4[[#This Row],[BOLSA]]=0,0,SUMIFS([2]!COMPROMISOS_2024[[#All],[Total Comprometido]],[2]!COMPROMISOS_2024[[#All],[Bolsa]],PAA_4[[#This Row],[BOLSA]],[2]!COMPROMISOS_2024[[#All],[concatenado]],PAA_4[[#This Row],[RCP-RUBRO]]))</f>
        <v>0</v>
      </c>
    </row>
    <row r="1432" spans="1:38" s="19" customFormat="1" ht="31.5" customHeight="1">
      <c r="A1432" s="47">
        <v>383</v>
      </c>
      <c r="B1432" s="47">
        <v>80111600</v>
      </c>
      <c r="C1432" s="47" t="str">
        <f>VLOOKUP(PAA_4[[#This Row],[PROYECTO (formulado)2]],[2]PROYECTOS!$G$1:$L$32,6,0)</f>
        <v>SUBGERENCIA DE FOMENTO Y DESARROLLO</v>
      </c>
      <c r="D1432" s="47" t="str">
        <f>+IF(PAA_4[[#This Row],[UNIDAD DE CONTRATACION (formulado)]]="Subgerencia Administrativa y Financiera","FUNCIONAMIENTO","INVERSIÓN")</f>
        <v>INVERSIÓN</v>
      </c>
      <c r="E1432" s="48" t="str">
        <f>VLOOKUP(Q1432,[2]PROYECTOS!$G$1:$K$32,5,0)</f>
        <v>CAPACITACION_PARA_EL_SECTOR_DEL_DEPORTE_LA_ACTIVIDAD_FISICA_LA_RECREACION_Y_LA_EDUCACION_FISICA_DE_ANTI</v>
      </c>
      <c r="F1432" s="48">
        <f>VLOOKUP(E1432,[2]PROYECTOS!$K$1:$M$32,3,0)</f>
        <v>2020003050024</v>
      </c>
      <c r="G1432" s="49" t="s">
        <v>337</v>
      </c>
      <c r="H1432" s="49" t="str">
        <f>VLOOKUP(Q1432,[2]PROYECTOS!$V$1:$W$32,2,0)</f>
        <v>050063</v>
      </c>
      <c r="I1432" s="50">
        <v>0</v>
      </c>
      <c r="J1432" s="344" t="s">
        <v>42</v>
      </c>
      <c r="K1432" s="47" t="str">
        <f t="shared" ca="1" si="505"/>
        <v>CONTRATADO</v>
      </c>
      <c r="L1432" s="47" t="s">
        <v>94</v>
      </c>
      <c r="M1432" s="47" t="s">
        <v>1297</v>
      </c>
      <c r="N1432" s="52" t="s">
        <v>339</v>
      </c>
      <c r="O1432" s="51" t="e">
        <f>VLOOKUP(N1432,[2]!RUBROS[#All],3,0)</f>
        <v>#REF!</v>
      </c>
      <c r="P1432" s="53" t="e">
        <f>VLOOKUP(N1432,[2]!RUBROS[#All],2,0)</f>
        <v>#REF!</v>
      </c>
      <c r="Q1432" s="47" t="str">
        <f t="shared" si="506"/>
        <v>48</v>
      </c>
      <c r="R1432" s="47" t="str">
        <f t="shared" si="500"/>
        <v>0-205128</v>
      </c>
      <c r="S1432" s="54">
        <v>5</v>
      </c>
      <c r="T1432" s="59" t="s">
        <v>46</v>
      </c>
      <c r="U1432" s="326" t="e">
        <f ca="1">_xlfn.XLOOKUP(PAA_4[[#This Row],[ITEM]],[2]Contrato!A:A,[2]Contrato!Q:Q,"",0)</f>
        <v>#NAME?</v>
      </c>
      <c r="V1432" s="47" t="s">
        <v>47</v>
      </c>
      <c r="W1432" s="47" t="s">
        <v>193</v>
      </c>
      <c r="X1432" s="47" t="s">
        <v>193</v>
      </c>
      <c r="Y1432" s="55" t="e">
        <f ca="1">_xlfn.XLOOKUP(PAA_4[[#This Row],[ITEM]],[2]Contrato!A:A,[2]Contrato!B:B,"",0)</f>
        <v>#NAME?</v>
      </c>
      <c r="Z1432" s="47" t="e">
        <f ca="1">_xlfn.XLOOKUP(PAA_4[[#This Row],[ITEM]],[2]Contrato!A:A,[2]Contrato!G:G,"",0)</f>
        <v>#NAME?</v>
      </c>
      <c r="AA1432" s="47" t="e">
        <f ca="1">_xlfn.XLOOKUP(PAA_4[[#This Row],[ITEM]],[2]Contrato!A:A,[2]Contrato!T:T,"",0)</f>
        <v>#NAME?</v>
      </c>
      <c r="AB1432" s="55" t="e">
        <f ca="1">+MAX(PAA_4[[#This Row],[Comprometido Contrato]],PAA_4[[#This Row],[Comprometido Bolsa]])</f>
        <v>#NAME?</v>
      </c>
      <c r="AC1432" s="55" t="str">
        <f t="shared" ca="1" si="507"/>
        <v/>
      </c>
      <c r="AD1432" s="55" t="e">
        <f ca="1">IF(PAA_4[[#This Row],[ESTADO (formulado)]]="NO CONTRATADO",0,MAX(PAA_4[[#This Row],[Pago por Contrato]],PAA_4[[#This Row],[Pago por bolsa]]))</f>
        <v>#NAME?</v>
      </c>
      <c r="AE1432" s="55" t="str">
        <f t="shared" ca="1" si="508"/>
        <v/>
      </c>
      <c r="AF1432" s="47" t="e">
        <f t="shared" ca="1" si="509"/>
        <v>#NAME?</v>
      </c>
      <c r="AG1432" s="47">
        <f t="shared" si="510"/>
        <v>41080201</v>
      </c>
      <c r="AH1432" s="54">
        <f>IF(Q1432="22",IF(ISNUMBER(SEARCH("econ",PAA_4[[#This Row],[Actividad3]])),"Económico",IF(ISNUMBER(SEARCH("alim",PAA_4[[#This Row],[Actividad3]])),"Alimentación",IF(ISNUMBER(SEARCH("educ",PAA_4[[#This Row],[Actividad3]])),"Educativo","Técnico"))),0)</f>
        <v>0</v>
      </c>
      <c r="AI1432" s="47" t="e" cm="1">
        <f t="array" aca="1" ref="AI1432" ca="1">_xlfn.XLOOKUP(PAA_4[[#This Row],[RCP-RUBRO]],[2]!COMPROMISOS_2024[[#All],[concatenado]],[2]!COMPROMISOS_2024[[#All],[Total pagado]],"",0)</f>
        <v>#NAME?</v>
      </c>
      <c r="AJ1432" s="56">
        <f>IF(PAA_4[[#This Row],[BOLSA]]=0,0,SUMIFS([2]!COMPROMISOS_2024[[#All],[Total pagado]],[2]!COMPROMISOS_2024[[#All],[Bolsa]],PAA_4[[#This Row],[BOLSA]],[2]!COMPROMISOS_2024[[#All],[rubro]],PAA_4[[#This Row],[RCP-RUBRO]]))</f>
        <v>0</v>
      </c>
      <c r="AK1432" s="47" t="e" cm="1">
        <f t="array" aca="1" ref="AK1432" ca="1">_xlfn.XLOOKUP(PAA_4[[#This Row],[RCP-RUBRO]],[2]!COMPROMISOS_2024[[#All],[concatenado]],[2]!COMPROMISOS_2024[[#All],[Total Comprometido]],"",0)</f>
        <v>#NAME?</v>
      </c>
      <c r="AL1432" s="47">
        <f>IF(PAA_4[[#This Row],[BOLSA]]=0,0,SUMIFS([2]!COMPROMISOS_2024[[#All],[Total Comprometido]],[2]!COMPROMISOS_2024[[#All],[Bolsa]],PAA_4[[#This Row],[BOLSA]],[2]!COMPROMISOS_2024[[#All],[concatenado]],PAA_4[[#This Row],[RCP-RUBRO]]))</f>
        <v>0</v>
      </c>
    </row>
    <row r="1433" spans="1:38" s="19" customFormat="1" ht="31.5" customHeight="1">
      <c r="A1433" s="47">
        <v>384</v>
      </c>
      <c r="B1433" s="47">
        <v>80111600</v>
      </c>
      <c r="C1433" s="47" t="str">
        <f>VLOOKUP(PAA_4[[#This Row],[PROYECTO (formulado)2]],[2]PROYECTOS!$G$1:$L$32,6,0)</f>
        <v>SUBGERENCIA DE FOMENTO Y DESARROLLO</v>
      </c>
      <c r="D1433" s="47" t="str">
        <f>+IF(PAA_4[[#This Row],[UNIDAD DE CONTRATACION (formulado)]]="Subgerencia Administrativa y Financiera","FUNCIONAMIENTO","INVERSIÓN")</f>
        <v>INVERSIÓN</v>
      </c>
      <c r="E1433" s="48" t="str">
        <f>VLOOKUP(Q1433,[2]PROYECTOS!$G$1:$K$32,5,0)</f>
        <v>CAPACITACION_PARA_EL_SECTOR_DEL_DEPORTE_LA_ACTIVIDAD_FISICA_LA_RECREACION_Y_LA_EDUCACION_FISICA_DE_ANTI</v>
      </c>
      <c r="F1433" s="48">
        <f>VLOOKUP(E1433,[2]PROYECTOS!$K$1:$M$32,3,0)</f>
        <v>2020003050024</v>
      </c>
      <c r="G1433" s="49" t="s">
        <v>337</v>
      </c>
      <c r="H1433" s="49" t="str">
        <f>VLOOKUP(Q1433,[2]PROYECTOS!$V$1:$W$32,2,0)</f>
        <v>050063</v>
      </c>
      <c r="I1433" s="50">
        <v>0</v>
      </c>
      <c r="J1433" s="51" t="s">
        <v>42</v>
      </c>
      <c r="K1433" s="47" t="str">
        <f t="shared" ca="1" si="505"/>
        <v>CONTRATADO</v>
      </c>
      <c r="L1433" s="47" t="s">
        <v>94</v>
      </c>
      <c r="M1433" s="47" t="s">
        <v>1297</v>
      </c>
      <c r="N1433" s="52" t="s">
        <v>339</v>
      </c>
      <c r="O1433" s="51" t="e">
        <f>VLOOKUP(N1433,[2]!RUBROS[#All],3,0)</f>
        <v>#REF!</v>
      </c>
      <c r="P1433" s="53" t="e">
        <f>VLOOKUP(N1433,[2]!RUBROS[#All],2,0)</f>
        <v>#REF!</v>
      </c>
      <c r="Q1433" s="47" t="str">
        <f t="shared" si="506"/>
        <v>48</v>
      </c>
      <c r="R1433" s="47" t="str">
        <f t="shared" si="500"/>
        <v>0-205128</v>
      </c>
      <c r="S1433" s="54">
        <v>9</v>
      </c>
      <c r="T1433" s="59" t="s">
        <v>46</v>
      </c>
      <c r="U1433" s="326" t="e">
        <f ca="1">_xlfn.XLOOKUP(PAA_4[[#This Row],[ITEM]],[2]Contrato!A:A,[2]Contrato!Q:Q,"",0)</f>
        <v>#NAME?</v>
      </c>
      <c r="V1433" s="47" t="s">
        <v>47</v>
      </c>
      <c r="W1433" s="47" t="s">
        <v>122</v>
      </c>
      <c r="X1433" s="47" t="s">
        <v>122</v>
      </c>
      <c r="Y1433" s="55" t="e">
        <f ca="1">_xlfn.XLOOKUP(PAA_4[[#This Row],[ITEM]],[2]Contrato!A:A,[2]Contrato!B:B,"",0)</f>
        <v>#NAME?</v>
      </c>
      <c r="Z1433" s="47" t="e">
        <f ca="1">_xlfn.XLOOKUP(PAA_4[[#This Row],[ITEM]],[2]Contrato!A:A,[2]Contrato!G:G,"",0)</f>
        <v>#NAME?</v>
      </c>
      <c r="AA1433" s="47" t="e">
        <f ca="1">_xlfn.XLOOKUP(PAA_4[[#This Row],[ITEM]],[2]Contrato!A:A,[2]Contrato!T:T,"",0)</f>
        <v>#NAME?</v>
      </c>
      <c r="AB1433" s="55" t="e">
        <f ca="1">+MAX(PAA_4[[#This Row],[Comprometido Contrato]],PAA_4[[#This Row],[Comprometido Bolsa]])</f>
        <v>#NAME?</v>
      </c>
      <c r="AC1433" s="55" t="str">
        <f t="shared" ca="1" si="507"/>
        <v/>
      </c>
      <c r="AD1433" s="55" t="e">
        <f ca="1">IF(PAA_4[[#This Row],[ESTADO (formulado)]]="NO CONTRATADO",0,MAX(PAA_4[[#This Row],[Pago por Contrato]],PAA_4[[#This Row],[Pago por bolsa]]))</f>
        <v>#NAME?</v>
      </c>
      <c r="AE1433" s="55" t="str">
        <f t="shared" ca="1" si="508"/>
        <v/>
      </c>
      <c r="AF1433" s="47" t="e">
        <f t="shared" ca="1" si="509"/>
        <v>#NAME?</v>
      </c>
      <c r="AG1433" s="47">
        <f t="shared" si="510"/>
        <v>41080201</v>
      </c>
      <c r="AH1433" s="54">
        <f>IF(Q1433="22",IF(ISNUMBER(SEARCH("econ",PAA_4[[#This Row],[Actividad3]])),"Económico",IF(ISNUMBER(SEARCH("alim",PAA_4[[#This Row],[Actividad3]])),"Alimentación",IF(ISNUMBER(SEARCH("educ",PAA_4[[#This Row],[Actividad3]])),"Educativo","Técnico"))),0)</f>
        <v>0</v>
      </c>
      <c r="AI1433" s="47" t="e" cm="1">
        <f t="array" aca="1" ref="AI1433" ca="1">_xlfn.XLOOKUP(PAA_4[[#This Row],[RCP-RUBRO]],[2]!COMPROMISOS_2024[[#All],[concatenado]],[2]!COMPROMISOS_2024[[#All],[Total pagado]],"",0)</f>
        <v>#NAME?</v>
      </c>
      <c r="AJ1433" s="56">
        <f>IF(PAA_4[[#This Row],[BOLSA]]=0,0,SUMIFS([2]!COMPROMISOS_2024[[#All],[Total pagado]],[2]!COMPROMISOS_2024[[#All],[Bolsa]],PAA_4[[#This Row],[BOLSA]],[2]!COMPROMISOS_2024[[#All],[rubro]],PAA_4[[#This Row],[RCP-RUBRO]]))</f>
        <v>0</v>
      </c>
      <c r="AK1433" s="47" t="e" cm="1">
        <f t="array" aca="1" ref="AK1433" ca="1">_xlfn.XLOOKUP(PAA_4[[#This Row],[RCP-RUBRO]],[2]!COMPROMISOS_2024[[#All],[concatenado]],[2]!COMPROMISOS_2024[[#All],[Total Comprometido]],"",0)</f>
        <v>#NAME?</v>
      </c>
      <c r="AL1433" s="47">
        <f>IF(PAA_4[[#This Row],[BOLSA]]=0,0,SUMIFS([2]!COMPROMISOS_2024[[#All],[Total Comprometido]],[2]!COMPROMISOS_2024[[#All],[Bolsa]],PAA_4[[#This Row],[BOLSA]],[2]!COMPROMISOS_2024[[#All],[concatenado]],PAA_4[[#This Row],[RCP-RUBRO]]))</f>
        <v>0</v>
      </c>
    </row>
    <row r="1434" spans="1:38" s="19" customFormat="1" ht="31.5" customHeight="1">
      <c r="A1434" s="47">
        <v>575</v>
      </c>
      <c r="B1434" s="47">
        <v>86111602</v>
      </c>
      <c r="C1434" s="47" t="str">
        <f>VLOOKUP(PAA_4[[#This Row],[PROYECTO (formulado)2]],[2]PROYECTOS!$G$1:$L$32,6,0)</f>
        <v>SUBGERENCIA DE FOMENTO Y DESARROLLO</v>
      </c>
      <c r="D1434" s="47" t="str">
        <f>+IF(PAA_4[[#This Row],[UNIDAD DE CONTRATACION (formulado)]]="Subgerencia Administrativa y Financiera","FUNCIONAMIENTO","INVERSIÓN")</f>
        <v>INVERSIÓN</v>
      </c>
      <c r="E1434" s="48" t="str">
        <f>VLOOKUP(Q1434,[2]PROYECTOS!$G$1:$K$32,5,0)</f>
        <v>CAPACITACION_PARA_EL_SECTOR_DEL_DEPORTE_LA_ACTIVIDAD_FISICA_LA_RECREACION_Y_LA_EDUCACION_FISICA_DE_ANTI</v>
      </c>
      <c r="F1434" s="48">
        <f>VLOOKUP(E1434,[2]PROYECTOS!$K$1:$M$32,3,0)</f>
        <v>2020003050024</v>
      </c>
      <c r="G1434" s="49" t="s">
        <v>422</v>
      </c>
      <c r="H1434" s="49" t="str">
        <f>VLOOKUP(Q1434,[2]PROYECTOS!$V$1:$W$32,2,0)</f>
        <v>050063</v>
      </c>
      <c r="I1434" s="50">
        <v>40000000</v>
      </c>
      <c r="J1434" s="51" t="s">
        <v>423</v>
      </c>
      <c r="K1434" s="47" t="str">
        <f t="shared" ca="1" si="505"/>
        <v>CONTRATADO</v>
      </c>
      <c r="L1434" s="47" t="s">
        <v>94</v>
      </c>
      <c r="M1434" s="47" t="s">
        <v>1297</v>
      </c>
      <c r="N1434" s="52" t="s">
        <v>349</v>
      </c>
      <c r="O1434" s="51" t="e">
        <f>VLOOKUP(N1434,[2]!RUBROS[#All],3,0)</f>
        <v>#REF!</v>
      </c>
      <c r="P1434" s="53" t="e">
        <f>VLOOKUP(N1434,[2]!RUBROS[#All],2,0)</f>
        <v>#REF!</v>
      </c>
      <c r="Q1434" s="47" t="str">
        <f t="shared" si="506"/>
        <v>48</v>
      </c>
      <c r="R1434" s="47" t="str">
        <f t="shared" si="500"/>
        <v>0-205128</v>
      </c>
      <c r="S1434" s="54">
        <v>1</v>
      </c>
      <c r="T1434" s="59" t="s">
        <v>46</v>
      </c>
      <c r="U1434" s="326" t="e">
        <f ca="1">_xlfn.XLOOKUP(PAA_4[[#This Row],[ITEM]],[2]Contrato!A:A,[2]Contrato!Q:Q,"",0)</f>
        <v>#NAME?</v>
      </c>
      <c r="V1434" s="47"/>
      <c r="W1434" s="47" t="s">
        <v>91</v>
      </c>
      <c r="X1434" s="47" t="s">
        <v>91</v>
      </c>
      <c r="Y1434" s="55" t="e">
        <f ca="1">_xlfn.XLOOKUP(PAA_4[[#This Row],[ITEM]],[2]Contrato!A:A,[2]Contrato!B:B,"",0)</f>
        <v>#NAME?</v>
      </c>
      <c r="Z1434" s="47" t="e">
        <f ca="1">_xlfn.XLOOKUP(PAA_4[[#This Row],[ITEM]],[2]Contrato!A:A,[2]Contrato!G:G,"",0)</f>
        <v>#NAME?</v>
      </c>
      <c r="AA1434" s="47" t="e">
        <f ca="1">_xlfn.XLOOKUP(PAA_4[[#This Row],[ITEM]],[2]Contrato!A:A,[2]Contrato!T:T,"",0)</f>
        <v>#NAME?</v>
      </c>
      <c r="AB1434" s="55" t="e">
        <f ca="1">+MAX(PAA_4[[#This Row],[Comprometido Contrato]],PAA_4[[#This Row],[Comprometido Bolsa]])</f>
        <v>#NAME?</v>
      </c>
      <c r="AC1434" s="55" t="str">
        <f t="shared" ca="1" si="507"/>
        <v/>
      </c>
      <c r="AD1434" s="55" t="e">
        <f ca="1">IF(PAA_4[[#This Row],[ESTADO (formulado)]]="NO CONTRATADO",0,MAX(PAA_4[[#This Row],[Pago por Contrato]],PAA_4[[#This Row],[Pago por bolsa]]))</f>
        <v>#NAME?</v>
      </c>
      <c r="AE1434" s="55" t="str">
        <f t="shared" ca="1" si="508"/>
        <v/>
      </c>
      <c r="AF1434" s="47" t="e">
        <f t="shared" ca="1" si="509"/>
        <v>#NAME?</v>
      </c>
      <c r="AG1434" s="47">
        <f t="shared" si="510"/>
        <v>41080201</v>
      </c>
      <c r="AH1434" s="54">
        <f>IF(Q1434="22",IF(ISNUMBER(SEARCH("econ",PAA_4[[#This Row],[Actividad3]])),"Económico",IF(ISNUMBER(SEARCH("alim",PAA_4[[#This Row],[Actividad3]])),"Alimentación",IF(ISNUMBER(SEARCH("educ",PAA_4[[#This Row],[Actividad3]])),"Educativo","Técnico"))),0)</f>
        <v>0</v>
      </c>
      <c r="AI1434" s="47" t="e" cm="1">
        <f t="array" aca="1" ref="AI1434" ca="1">_xlfn.XLOOKUP(PAA_4[[#This Row],[RCP-RUBRO]],[2]!COMPROMISOS_2024[[#All],[concatenado]],[2]!COMPROMISOS_2024[[#All],[Total pagado]],"",0)</f>
        <v>#NAME?</v>
      </c>
      <c r="AJ1434" s="56">
        <f>IF(PAA_4[[#This Row],[BOLSA]]=0,0,SUMIFS([2]!COMPROMISOS_2024[[#All],[Total pagado]],[2]!COMPROMISOS_2024[[#All],[Bolsa]],PAA_4[[#This Row],[BOLSA]],[2]!COMPROMISOS_2024[[#All],[rubro]],PAA_4[[#This Row],[RCP-RUBRO]]))</f>
        <v>0</v>
      </c>
      <c r="AK1434" s="47" t="e" cm="1">
        <f t="array" aca="1" ref="AK1434" ca="1">_xlfn.XLOOKUP(PAA_4[[#This Row],[RCP-RUBRO]],[2]!COMPROMISOS_2024[[#All],[concatenado]],[2]!COMPROMISOS_2024[[#All],[Total Comprometido]],"",0)</f>
        <v>#NAME?</v>
      </c>
      <c r="AL1434" s="47">
        <f>IF(PAA_4[[#This Row],[BOLSA]]=0,0,SUMIFS([2]!COMPROMISOS_2024[[#All],[Total Comprometido]],[2]!COMPROMISOS_2024[[#All],[Bolsa]],PAA_4[[#This Row],[BOLSA]],[2]!COMPROMISOS_2024[[#All],[concatenado]],PAA_4[[#This Row],[RCP-RUBRO]]))</f>
        <v>0</v>
      </c>
    </row>
    <row r="1435" spans="1:38" s="19" customFormat="1" ht="31.5" customHeight="1">
      <c r="A1435" s="47" t="s">
        <v>82</v>
      </c>
      <c r="B1435" s="47" t="s">
        <v>42</v>
      </c>
      <c r="C1435" s="47" t="str">
        <f>VLOOKUP(PAA_4[[#This Row],[PROYECTO (formulado)2]],[2]PROYECTOS!$G$1:$L$32,6,0)</f>
        <v>SUBGERENCIA DE FOMENTO Y DESARROLLO</v>
      </c>
      <c r="D1435" s="47" t="str">
        <f>+IF(PAA_4[[#This Row],[UNIDAD DE CONTRATACION (formulado)]]="Subgerencia Administrativa y Financiera","FUNCIONAMIENTO","INVERSIÓN")</f>
        <v>INVERSIÓN</v>
      </c>
      <c r="E1435" s="48" t="str">
        <f>VLOOKUP(Q1435,[2]PROYECTOS!$G$1:$K$32,5,0)</f>
        <v>CAPACITACION_PARA_EL_SECTOR_DEL_DEPORTE_LA_ACTIVIDAD_FISICA_LA_RECREACION_Y_LA_EDUCACION_FISICA_DE_ANTI</v>
      </c>
      <c r="F1435" s="48">
        <f>VLOOKUP(E1435,[2]PROYECTOS!$K$1:$M$32,3,0)</f>
        <v>2020003050024</v>
      </c>
      <c r="G1435" s="49" t="s">
        <v>422</v>
      </c>
      <c r="H1435" s="49" t="str">
        <f>VLOOKUP(Q1435,[2]PROYECTOS!$V$1:$W$32,2,0)</f>
        <v>050063</v>
      </c>
      <c r="I1435" s="50">
        <v>2500200</v>
      </c>
      <c r="J1435" s="51" t="s">
        <v>1852</v>
      </c>
      <c r="K1435" s="47" t="str">
        <f t="shared" ca="1" si="505"/>
        <v>CONTRATADO</v>
      </c>
      <c r="L1435" s="47" t="s">
        <v>42</v>
      </c>
      <c r="M1435" s="47" t="s">
        <v>42</v>
      </c>
      <c r="N1435" s="52" t="s">
        <v>349</v>
      </c>
      <c r="O1435" s="51" t="e">
        <f>VLOOKUP(N1435,[2]!RUBROS[#All],3,0)</f>
        <v>#REF!</v>
      </c>
      <c r="P1435" s="53" t="e">
        <f>VLOOKUP(N1435,[2]!RUBROS[#All],2,0)</f>
        <v>#REF!</v>
      </c>
      <c r="Q1435" s="47" t="str">
        <f t="shared" si="506"/>
        <v>48</v>
      </c>
      <c r="R1435" s="47" t="str">
        <f t="shared" si="500"/>
        <v>0-205128</v>
      </c>
      <c r="S1435" s="54" t="s">
        <v>42</v>
      </c>
      <c r="T1435" s="59" t="s">
        <v>42</v>
      </c>
      <c r="U1435" s="326" t="e">
        <f ca="1">_xlfn.XLOOKUP(PAA_4[[#This Row],[ITEM]],[2]Contrato!A:A,[2]Contrato!Q:Q,"",0)</f>
        <v>#NAME?</v>
      </c>
      <c r="V1435" s="54" t="s">
        <v>42</v>
      </c>
      <c r="W1435" s="54" t="s">
        <v>42</v>
      </c>
      <c r="X1435" s="54" t="s">
        <v>42</v>
      </c>
      <c r="Y1435" s="55" t="e">
        <f ca="1">_xlfn.XLOOKUP(PAA_4[[#This Row],[ITEM]],[2]Contrato!A:A,[2]Contrato!B:B,"",0)</f>
        <v>#NAME?</v>
      </c>
      <c r="Z1435" s="47" t="e">
        <f ca="1">_xlfn.XLOOKUP(PAA_4[[#This Row],[ITEM]],[2]Contrato!A:A,[2]Contrato!G:G,"",0)</f>
        <v>#NAME?</v>
      </c>
      <c r="AA1435" s="47" t="e">
        <f ca="1">_xlfn.XLOOKUP(PAA_4[[#This Row],[ITEM]],[2]Contrato!A:A,[2]Contrato!T:T,"",0)</f>
        <v>#NAME?</v>
      </c>
      <c r="AB1435" s="55" t="e">
        <f ca="1">+MAX(PAA_4[[#This Row],[Comprometido Contrato]],PAA_4[[#This Row],[Comprometido Bolsa]])</f>
        <v>#NAME?</v>
      </c>
      <c r="AC1435" s="55" t="str">
        <f t="shared" ca="1" si="507"/>
        <v/>
      </c>
      <c r="AD1435" s="55" t="e">
        <f ca="1">IF(PAA_4[[#This Row],[ESTADO (formulado)]]="NO CONTRATADO",0,MAX(PAA_4[[#This Row],[Pago por Contrato]],PAA_4[[#This Row],[Pago por bolsa]]))</f>
        <v>#NAME?</v>
      </c>
      <c r="AE1435" s="55" t="str">
        <f t="shared" ca="1" si="508"/>
        <v/>
      </c>
      <c r="AF1435" s="47" t="e">
        <f t="shared" ca="1" si="509"/>
        <v>#NAME?</v>
      </c>
      <c r="AG1435" s="47">
        <f t="shared" si="510"/>
        <v>41080201</v>
      </c>
      <c r="AH1435" s="54">
        <f>IF(Q1435="22",IF(ISNUMBER(SEARCH("econ",PAA_4[[#This Row],[Actividad3]])),"Económico",IF(ISNUMBER(SEARCH("alim",PAA_4[[#This Row],[Actividad3]])),"Alimentación",IF(ISNUMBER(SEARCH("educ",PAA_4[[#This Row],[Actividad3]])),"Educativo","Técnico"))),0)</f>
        <v>0</v>
      </c>
      <c r="AI1435" s="47" t="e" cm="1">
        <f t="array" aca="1" ref="AI1435" ca="1">_xlfn.XLOOKUP(PAA_4[[#This Row],[RCP-RUBRO]],[2]!COMPROMISOS_2024[[#All],[concatenado]],[2]!COMPROMISOS_2024[[#All],[Total pagado]],"",0)</f>
        <v>#NAME?</v>
      </c>
      <c r="AJ1435" s="56">
        <f>IF(PAA_4[[#This Row],[BOLSA]]=0,0,SUMIFS([2]!COMPROMISOS_2024[[#All],[Total pagado]],[2]!COMPROMISOS_2024[[#All],[Bolsa]],PAA_4[[#This Row],[BOLSA]],[2]!COMPROMISOS_2024[[#All],[rubro]],PAA_4[[#This Row],[RCP-RUBRO]]))</f>
        <v>0</v>
      </c>
      <c r="AK1435" s="47" t="e" cm="1">
        <f t="array" aca="1" ref="AK1435" ca="1">_xlfn.XLOOKUP(PAA_4[[#This Row],[RCP-RUBRO]],[2]!COMPROMISOS_2024[[#All],[concatenado]],[2]!COMPROMISOS_2024[[#All],[Total Comprometido]],"",0)</f>
        <v>#NAME?</v>
      </c>
      <c r="AL1435" s="47">
        <f>IF(PAA_4[[#This Row],[BOLSA]]=0,0,SUMIFS([2]!COMPROMISOS_2024[[#All],[Total Comprometido]],[2]!COMPROMISOS_2024[[#All],[Bolsa]],PAA_4[[#This Row],[BOLSA]],[2]!COMPROMISOS_2024[[#All],[concatenado]],PAA_4[[#This Row],[RCP-RUBRO]]))</f>
        <v>0</v>
      </c>
    </row>
    <row r="1436" spans="1:38" s="19" customFormat="1" ht="31.5" customHeight="1">
      <c r="A1436" s="47">
        <v>794</v>
      </c>
      <c r="B1436" s="47">
        <v>86111602</v>
      </c>
      <c r="C1436" s="47" t="str">
        <f>VLOOKUP(PAA_4[[#This Row],[PROYECTO (formulado)2]],[2]PROYECTOS!$G$1:$L$32,6,0)</f>
        <v>SUBGERENCIA DE FOMENTO Y DESARROLLO</v>
      </c>
      <c r="D1436" s="47" t="str">
        <f>+IF(PAA_4[[#This Row],[UNIDAD DE CONTRATACION (formulado)]]="Subgerencia Administrativa y Financiera","FUNCIONAMIENTO","INVERSIÓN")</f>
        <v>INVERSIÓN</v>
      </c>
      <c r="E1436" s="48" t="str">
        <f>VLOOKUP(Q1436,[2]PROYECTOS!$G$1:$K$32,5,0)</f>
        <v>CAPACITACION_PARA_EL_SECTOR_DEL_DEPORTE_LA_ACTIVIDAD_FISICA_LA_RECREACION_Y_LA_EDUCACION_FISICA_DE_ANTI</v>
      </c>
      <c r="F1436" s="48">
        <f>VLOOKUP(E1436,[2]PROYECTOS!$K$1:$M$32,3,0)</f>
        <v>2020003050024</v>
      </c>
      <c r="G1436" s="49" t="s">
        <v>422</v>
      </c>
      <c r="H1436" s="49" t="str">
        <f>VLOOKUP(Q1436,[2]PROYECTOS!$V$1:$W$32,2,0)</f>
        <v>050063</v>
      </c>
      <c r="I1436" s="50">
        <f>106131000-2500200</f>
        <v>103630800</v>
      </c>
      <c r="J1436" s="51" t="s">
        <v>1895</v>
      </c>
      <c r="K1436" s="47" t="str">
        <f t="shared" ca="1" si="505"/>
        <v>CONTRATADO</v>
      </c>
      <c r="L1436" s="47" t="s">
        <v>94</v>
      </c>
      <c r="M1436" s="47" t="s">
        <v>89</v>
      </c>
      <c r="N1436" s="52" t="s">
        <v>349</v>
      </c>
      <c r="O1436" s="51" t="e">
        <f>VLOOKUP(N1436,[2]!RUBROS[#All],3,0)</f>
        <v>#REF!</v>
      </c>
      <c r="P1436" s="53" t="e">
        <f>VLOOKUP(N1436,[2]!RUBROS[#All],2,0)</f>
        <v>#REF!</v>
      </c>
      <c r="Q1436" s="47" t="str">
        <f t="shared" si="506"/>
        <v>48</v>
      </c>
      <c r="R1436" s="47" t="str">
        <f t="shared" si="500"/>
        <v>0-205128</v>
      </c>
      <c r="S1436" s="54">
        <v>6.5</v>
      </c>
      <c r="T1436" s="59" t="s">
        <v>46</v>
      </c>
      <c r="U1436" s="326" t="e">
        <f ca="1">_xlfn.XLOOKUP(PAA_4[[#This Row],[ITEM]],[2]Contrato!A:A,[2]Contrato!Q:Q,"",0)</f>
        <v>#NAME?</v>
      </c>
      <c r="V1436" s="47" t="s">
        <v>47</v>
      </c>
      <c r="W1436" s="47" t="s">
        <v>154</v>
      </c>
      <c r="X1436" s="47" t="s">
        <v>154</v>
      </c>
      <c r="Y1436" s="55" t="e">
        <f ca="1">_xlfn.XLOOKUP(PAA_4[[#This Row],[ITEM]],[2]Contrato!A:A,[2]Contrato!B:B,"",0)</f>
        <v>#NAME?</v>
      </c>
      <c r="Z1436" s="47" t="e">
        <f ca="1">_xlfn.XLOOKUP(PAA_4[[#This Row],[ITEM]],[2]Contrato!A:A,[2]Contrato!G:G,"",0)</f>
        <v>#NAME?</v>
      </c>
      <c r="AA1436" s="47" t="e">
        <f ca="1">_xlfn.XLOOKUP(PAA_4[[#This Row],[ITEM]],[2]Contrato!A:A,[2]Contrato!T:T,"",0)</f>
        <v>#NAME?</v>
      </c>
      <c r="AB1436" s="55" t="e">
        <f ca="1">+MAX(PAA_4[[#This Row],[Comprometido Contrato]],PAA_4[[#This Row],[Comprometido Bolsa]])</f>
        <v>#NAME?</v>
      </c>
      <c r="AC1436" s="55" t="str">
        <f t="shared" ca="1" si="507"/>
        <v/>
      </c>
      <c r="AD1436" s="55" t="e">
        <f ca="1">IF(PAA_4[[#This Row],[ESTADO (formulado)]]="NO CONTRATADO",0,MAX(PAA_4[[#This Row],[Pago por Contrato]],PAA_4[[#This Row],[Pago por bolsa]]))</f>
        <v>#NAME?</v>
      </c>
      <c r="AE1436" s="55" t="str">
        <f t="shared" ca="1" si="508"/>
        <v/>
      </c>
      <c r="AF1436" s="47" t="e">
        <f t="shared" ca="1" si="509"/>
        <v>#NAME?</v>
      </c>
      <c r="AG1436" s="47">
        <f t="shared" si="510"/>
        <v>41080201</v>
      </c>
      <c r="AH1436" s="54">
        <f>IF(Q1436="22",IF(ISNUMBER(SEARCH("econ",PAA_4[[#This Row],[Actividad3]])),"Económico",IF(ISNUMBER(SEARCH("alim",PAA_4[[#This Row],[Actividad3]])),"Alimentación",IF(ISNUMBER(SEARCH("educ",PAA_4[[#This Row],[Actividad3]])),"Educativo","Técnico"))),0)</f>
        <v>0</v>
      </c>
      <c r="AI1436" s="47" t="e" cm="1">
        <f t="array" aca="1" ref="AI1436" ca="1">_xlfn.XLOOKUP(PAA_4[[#This Row],[RCP-RUBRO]],[2]!COMPROMISOS_2024[[#All],[concatenado]],[2]!COMPROMISOS_2024[[#All],[Total pagado]],"",0)</f>
        <v>#NAME?</v>
      </c>
      <c r="AJ1436" s="56">
        <f>IF(PAA_4[[#This Row],[BOLSA]]=0,0,SUMIFS([2]!COMPROMISOS_2024[[#All],[Total pagado]],[2]!COMPROMISOS_2024[[#All],[Bolsa]],PAA_4[[#This Row],[BOLSA]],[2]!COMPROMISOS_2024[[#All],[rubro]],PAA_4[[#This Row],[RCP-RUBRO]]))</f>
        <v>0</v>
      </c>
      <c r="AK1436" s="47" t="e" cm="1">
        <f t="array" aca="1" ref="AK1436" ca="1">_xlfn.XLOOKUP(PAA_4[[#This Row],[RCP-RUBRO]],[2]!COMPROMISOS_2024[[#All],[concatenado]],[2]!COMPROMISOS_2024[[#All],[Total Comprometido]],"",0)</f>
        <v>#NAME?</v>
      </c>
      <c r="AL1436" s="47">
        <f>IF(PAA_4[[#This Row],[BOLSA]]=0,0,SUMIFS([2]!COMPROMISOS_2024[[#All],[Total Comprometido]],[2]!COMPROMISOS_2024[[#All],[Bolsa]],PAA_4[[#This Row],[BOLSA]],[2]!COMPROMISOS_2024[[#All],[concatenado]],PAA_4[[#This Row],[RCP-RUBRO]]))</f>
        <v>0</v>
      </c>
    </row>
    <row r="1437" spans="1:38" s="19" customFormat="1" ht="31.5" customHeight="1">
      <c r="A1437" s="47">
        <v>795</v>
      </c>
      <c r="B1437" s="47">
        <v>86111602</v>
      </c>
      <c r="C1437" s="47" t="str">
        <f>VLOOKUP(PAA_4[[#This Row],[PROYECTO (formulado)2]],[2]PROYECTOS!$G$1:$L$32,6,0)</f>
        <v>SUBGERENCIA DE FOMENTO Y DESARROLLO</v>
      </c>
      <c r="D1437" s="47" t="str">
        <f>+IF(PAA_4[[#This Row],[UNIDAD DE CONTRATACION (formulado)]]="Subgerencia Administrativa y Financiera","FUNCIONAMIENTO","INVERSIÓN")</f>
        <v>INVERSIÓN</v>
      </c>
      <c r="E1437" s="48" t="str">
        <f>VLOOKUP(Q1437,[2]PROYECTOS!$G$1:$K$32,5,0)</f>
        <v>CAPACITACION_PARA_EL_SECTOR_DEL_DEPORTE_LA_ACTIVIDAD_FISICA_LA_RECREACION_Y_LA_EDUCACION_FISICA_DE_ANTI</v>
      </c>
      <c r="F1437" s="48">
        <f>VLOOKUP(E1437,[2]PROYECTOS!$K$1:$M$32,3,0)</f>
        <v>2020003050024</v>
      </c>
      <c r="G1437" s="49" t="s">
        <v>422</v>
      </c>
      <c r="H1437" s="49" t="str">
        <f>VLOOKUP(Q1437,[2]PROYECTOS!$V$1:$W$32,2,0)</f>
        <v>050063</v>
      </c>
      <c r="I1437" s="50">
        <v>160025000</v>
      </c>
      <c r="J1437" s="51" t="s">
        <v>1896</v>
      </c>
      <c r="K1437" s="47" t="str">
        <f t="shared" ca="1" si="505"/>
        <v>CONTRATADO</v>
      </c>
      <c r="L1437" s="47" t="s">
        <v>94</v>
      </c>
      <c r="M1437" s="47" t="s">
        <v>89</v>
      </c>
      <c r="N1437" s="52" t="s">
        <v>349</v>
      </c>
      <c r="O1437" s="51" t="e">
        <f>VLOOKUP(N1437,[2]!RUBROS[#All],3,0)</f>
        <v>#REF!</v>
      </c>
      <c r="P1437" s="53" t="e">
        <f>VLOOKUP(N1437,[2]!RUBROS[#All],2,0)</f>
        <v>#REF!</v>
      </c>
      <c r="Q1437" s="47" t="str">
        <f t="shared" si="506"/>
        <v>48</v>
      </c>
      <c r="R1437" s="47" t="str">
        <f t="shared" si="500"/>
        <v>0-205128</v>
      </c>
      <c r="S1437" s="54">
        <v>6.5</v>
      </c>
      <c r="T1437" s="59" t="s">
        <v>46</v>
      </c>
      <c r="U1437" s="326" t="e">
        <f ca="1">_xlfn.XLOOKUP(PAA_4[[#This Row],[ITEM]],[2]Contrato!A:A,[2]Contrato!Q:Q,"",0)</f>
        <v>#NAME?</v>
      </c>
      <c r="V1437" s="47" t="s">
        <v>47</v>
      </c>
      <c r="W1437" s="47" t="s">
        <v>154</v>
      </c>
      <c r="X1437" s="47" t="s">
        <v>154</v>
      </c>
      <c r="Y1437" s="55" t="e">
        <f ca="1">_xlfn.XLOOKUP(PAA_4[[#This Row],[ITEM]],[2]Contrato!A:A,[2]Contrato!B:B,"",0)</f>
        <v>#NAME?</v>
      </c>
      <c r="Z1437" s="47" t="e">
        <f ca="1">_xlfn.XLOOKUP(PAA_4[[#This Row],[ITEM]],[2]Contrato!A:A,[2]Contrato!G:G,"",0)</f>
        <v>#NAME?</v>
      </c>
      <c r="AA1437" s="47" t="e">
        <f ca="1">_xlfn.XLOOKUP(PAA_4[[#This Row],[ITEM]],[2]Contrato!A:A,[2]Contrato!T:T,"",0)</f>
        <v>#NAME?</v>
      </c>
      <c r="AB1437" s="55" t="e">
        <f ca="1">+MAX(PAA_4[[#This Row],[Comprometido Contrato]],PAA_4[[#This Row],[Comprometido Bolsa]])</f>
        <v>#NAME?</v>
      </c>
      <c r="AC1437" s="55" t="str">
        <f t="shared" ca="1" si="507"/>
        <v/>
      </c>
      <c r="AD1437" s="55" t="e">
        <f ca="1">IF(PAA_4[[#This Row],[ESTADO (formulado)]]="NO CONTRATADO",0,MAX(PAA_4[[#This Row],[Pago por Contrato]],PAA_4[[#This Row],[Pago por bolsa]]))</f>
        <v>#NAME?</v>
      </c>
      <c r="AE1437" s="55" t="str">
        <f t="shared" ca="1" si="508"/>
        <v/>
      </c>
      <c r="AF1437" s="47" t="e">
        <f t="shared" ca="1" si="509"/>
        <v>#NAME?</v>
      </c>
      <c r="AG1437" s="47">
        <f t="shared" si="510"/>
        <v>41080201</v>
      </c>
      <c r="AH1437" s="54">
        <f>IF(Q1437="22",IF(ISNUMBER(SEARCH("econ",PAA_4[[#This Row],[Actividad3]])),"Económico",IF(ISNUMBER(SEARCH("alim",PAA_4[[#This Row],[Actividad3]])),"Alimentación",IF(ISNUMBER(SEARCH("educ",PAA_4[[#This Row],[Actividad3]])),"Educativo","Técnico"))),0)</f>
        <v>0</v>
      </c>
      <c r="AI1437" s="47" t="e" cm="1">
        <f t="array" aca="1" ref="AI1437" ca="1">_xlfn.XLOOKUP(PAA_4[[#This Row],[RCP-RUBRO]],[2]!COMPROMISOS_2024[[#All],[concatenado]],[2]!COMPROMISOS_2024[[#All],[Total pagado]],"",0)</f>
        <v>#NAME?</v>
      </c>
      <c r="AJ1437" s="56">
        <f>IF(PAA_4[[#This Row],[BOLSA]]=0,0,SUMIFS([2]!COMPROMISOS_2024[[#All],[Total pagado]],[2]!COMPROMISOS_2024[[#All],[Bolsa]],PAA_4[[#This Row],[BOLSA]],[2]!COMPROMISOS_2024[[#All],[rubro]],PAA_4[[#This Row],[RCP-RUBRO]]))</f>
        <v>0</v>
      </c>
      <c r="AK1437" s="47" t="e" cm="1">
        <f t="array" aca="1" ref="AK1437" ca="1">_xlfn.XLOOKUP(PAA_4[[#This Row],[RCP-RUBRO]],[2]!COMPROMISOS_2024[[#All],[concatenado]],[2]!COMPROMISOS_2024[[#All],[Total Comprometido]],"",0)</f>
        <v>#NAME?</v>
      </c>
      <c r="AL1437" s="47">
        <f>IF(PAA_4[[#This Row],[BOLSA]]=0,0,SUMIFS([2]!COMPROMISOS_2024[[#All],[Total Comprometido]],[2]!COMPROMISOS_2024[[#All],[Bolsa]],PAA_4[[#This Row],[BOLSA]],[2]!COMPROMISOS_2024[[#All],[concatenado]],PAA_4[[#This Row],[RCP-RUBRO]]))</f>
        <v>0</v>
      </c>
    </row>
    <row r="1438" spans="1:38" s="19" customFormat="1" ht="31.5" customHeight="1">
      <c r="A1438" s="47">
        <v>796</v>
      </c>
      <c r="B1438" s="47">
        <v>86111602</v>
      </c>
      <c r="C1438" s="47" t="str">
        <f>VLOOKUP(PAA_4[[#This Row],[PROYECTO (formulado)2]],[2]PROYECTOS!$G$1:$L$32,6,0)</f>
        <v>SUBGERENCIA DE FOMENTO Y DESARROLLO</v>
      </c>
      <c r="D1438" s="47" t="str">
        <f>+IF(PAA_4[[#This Row],[UNIDAD DE CONTRATACION (formulado)]]="Subgerencia Administrativa y Financiera","FUNCIONAMIENTO","INVERSIÓN")</f>
        <v>INVERSIÓN</v>
      </c>
      <c r="E1438" s="48" t="str">
        <f>VLOOKUP(Q1438,[2]PROYECTOS!$G$1:$K$32,5,0)</f>
        <v>CAPACITACION_PARA_EL_SECTOR_DEL_DEPORTE_LA_ACTIVIDAD_FISICA_LA_RECREACION_Y_LA_EDUCACION_FISICA_DE_ANTI</v>
      </c>
      <c r="F1438" s="48">
        <f>VLOOKUP(E1438,[2]PROYECTOS!$K$1:$M$32,3,0)</f>
        <v>2020003050024</v>
      </c>
      <c r="G1438" s="49" t="s">
        <v>422</v>
      </c>
      <c r="H1438" s="49" t="str">
        <f>VLOOKUP(Q1438,[2]PROYECTOS!$V$1:$W$32,2,0)</f>
        <v>050063</v>
      </c>
      <c r="I1438" s="50">
        <v>18830000</v>
      </c>
      <c r="J1438" s="51" t="s">
        <v>1897</v>
      </c>
      <c r="K1438" s="47" t="str">
        <f t="shared" ca="1" si="505"/>
        <v>CONTRATADO</v>
      </c>
      <c r="L1438" s="47" t="s">
        <v>94</v>
      </c>
      <c r="M1438" s="47" t="s">
        <v>89</v>
      </c>
      <c r="N1438" s="52" t="s">
        <v>349</v>
      </c>
      <c r="O1438" s="51" t="e">
        <f>VLOOKUP(N1438,[2]!RUBROS[#All],3,0)</f>
        <v>#REF!</v>
      </c>
      <c r="P1438" s="53" t="e">
        <f>VLOOKUP(N1438,[2]!RUBROS[#All],2,0)</f>
        <v>#REF!</v>
      </c>
      <c r="Q1438" s="47" t="str">
        <f t="shared" si="506"/>
        <v>48</v>
      </c>
      <c r="R1438" s="47" t="str">
        <f t="shared" si="500"/>
        <v>0-205128</v>
      </c>
      <c r="S1438" s="54">
        <v>6.5</v>
      </c>
      <c r="T1438" s="59" t="s">
        <v>46</v>
      </c>
      <c r="U1438" s="326" t="e">
        <f ca="1">_xlfn.XLOOKUP(PAA_4[[#This Row],[ITEM]],[2]Contrato!A:A,[2]Contrato!Q:Q,"",0)</f>
        <v>#NAME?</v>
      </c>
      <c r="V1438" s="47" t="s">
        <v>47</v>
      </c>
      <c r="W1438" s="47" t="s">
        <v>154</v>
      </c>
      <c r="X1438" s="47" t="s">
        <v>154</v>
      </c>
      <c r="Y1438" s="55" t="e">
        <f ca="1">_xlfn.XLOOKUP(PAA_4[[#This Row],[ITEM]],[2]Contrato!A:A,[2]Contrato!B:B,"",0)</f>
        <v>#NAME?</v>
      </c>
      <c r="Z1438" s="47" t="e">
        <f ca="1">_xlfn.XLOOKUP(PAA_4[[#This Row],[ITEM]],[2]Contrato!A:A,[2]Contrato!G:G,"",0)</f>
        <v>#NAME?</v>
      </c>
      <c r="AA1438" s="47" t="e">
        <f ca="1">_xlfn.XLOOKUP(PAA_4[[#This Row],[ITEM]],[2]Contrato!A:A,[2]Contrato!T:T,"",0)</f>
        <v>#NAME?</v>
      </c>
      <c r="AB1438" s="55" t="e">
        <f ca="1">+MAX(PAA_4[[#This Row],[Comprometido Contrato]],PAA_4[[#This Row],[Comprometido Bolsa]])</f>
        <v>#NAME?</v>
      </c>
      <c r="AC1438" s="55" t="str">
        <f t="shared" ca="1" si="507"/>
        <v/>
      </c>
      <c r="AD1438" s="55" t="e">
        <f ca="1">IF(PAA_4[[#This Row],[ESTADO (formulado)]]="NO CONTRATADO",0,MAX(PAA_4[[#This Row],[Pago por Contrato]],PAA_4[[#This Row],[Pago por bolsa]]))</f>
        <v>#NAME?</v>
      </c>
      <c r="AE1438" s="55" t="str">
        <f t="shared" ca="1" si="508"/>
        <v/>
      </c>
      <c r="AF1438" s="47" t="e">
        <f t="shared" ca="1" si="509"/>
        <v>#NAME?</v>
      </c>
      <c r="AG1438" s="47">
        <f t="shared" si="510"/>
        <v>41080201</v>
      </c>
      <c r="AH1438" s="54">
        <f>IF(Q1438="22",IF(ISNUMBER(SEARCH("econ",PAA_4[[#This Row],[Actividad3]])),"Económico",IF(ISNUMBER(SEARCH("alim",PAA_4[[#This Row],[Actividad3]])),"Alimentación",IF(ISNUMBER(SEARCH("educ",PAA_4[[#This Row],[Actividad3]])),"Educativo","Técnico"))),0)</f>
        <v>0</v>
      </c>
      <c r="AI1438" s="47" t="e" cm="1">
        <f t="array" aca="1" ref="AI1438" ca="1">_xlfn.XLOOKUP(PAA_4[[#This Row],[RCP-RUBRO]],[2]!COMPROMISOS_2024[[#All],[concatenado]],[2]!COMPROMISOS_2024[[#All],[Total pagado]],"",0)</f>
        <v>#NAME?</v>
      </c>
      <c r="AJ1438" s="56">
        <f>IF(PAA_4[[#This Row],[BOLSA]]=0,0,SUMIFS([2]!COMPROMISOS_2024[[#All],[Total pagado]],[2]!COMPROMISOS_2024[[#All],[Bolsa]],PAA_4[[#This Row],[BOLSA]],[2]!COMPROMISOS_2024[[#All],[rubro]],PAA_4[[#This Row],[RCP-RUBRO]]))</f>
        <v>0</v>
      </c>
      <c r="AK1438" s="47" t="e" cm="1">
        <f t="array" aca="1" ref="AK1438" ca="1">_xlfn.XLOOKUP(PAA_4[[#This Row],[RCP-RUBRO]],[2]!COMPROMISOS_2024[[#All],[concatenado]],[2]!COMPROMISOS_2024[[#All],[Total Comprometido]],"",0)</f>
        <v>#NAME?</v>
      </c>
      <c r="AL1438" s="47">
        <f>IF(PAA_4[[#This Row],[BOLSA]]=0,0,SUMIFS([2]!COMPROMISOS_2024[[#All],[Total Comprometido]],[2]!COMPROMISOS_2024[[#All],[Bolsa]],PAA_4[[#This Row],[BOLSA]],[2]!COMPROMISOS_2024[[#All],[concatenado]],PAA_4[[#This Row],[RCP-RUBRO]]))</f>
        <v>0</v>
      </c>
    </row>
    <row r="1439" spans="1:38" s="19" customFormat="1" ht="31.5" customHeight="1">
      <c r="A1439" s="47">
        <v>842</v>
      </c>
      <c r="B1439" s="47">
        <v>86111602</v>
      </c>
      <c r="C1439" s="47" t="str">
        <f>VLOOKUP(PAA_4[[#This Row],[PROYECTO (formulado)2]],[2]PROYECTOS!$G$1:$L$32,6,0)</f>
        <v>SUBGERENCIA DE FOMENTO Y DESARROLLO</v>
      </c>
      <c r="D1439" s="47" t="str">
        <f>+IF(PAA_4[[#This Row],[UNIDAD DE CONTRATACION (formulado)]]="Subgerencia Administrativa y Financiera","FUNCIONAMIENTO","INVERSIÓN")</f>
        <v>INVERSIÓN</v>
      </c>
      <c r="E1439" s="48" t="str">
        <f>VLOOKUP(Q1439,[2]PROYECTOS!$G$1:$K$32,5,0)</f>
        <v>CAPACITACION_PARA_EL_SECTOR_DEL_DEPORTE_LA_ACTIVIDAD_FISICA_LA_RECREACION_Y_LA_EDUCACION_FISICA_DE_ANTI</v>
      </c>
      <c r="F1439" s="48">
        <f>VLOOKUP(E1439,[2]PROYECTOS!$K$1:$M$32,3,0)</f>
        <v>2020003050024</v>
      </c>
      <c r="G1439" s="49" t="s">
        <v>422</v>
      </c>
      <c r="H1439" s="49" t="str">
        <f>VLOOKUP(Q1439,[2]PROYECTOS!$V$1:$W$32,2,0)</f>
        <v>050063</v>
      </c>
      <c r="I1439" s="50">
        <v>85482483</v>
      </c>
      <c r="J1439" s="51" t="s">
        <v>1898</v>
      </c>
      <c r="K1439" s="47" t="str">
        <f t="shared" ca="1" si="505"/>
        <v>CONTRATADO</v>
      </c>
      <c r="L1439" s="47" t="s">
        <v>94</v>
      </c>
      <c r="M1439" s="47" t="s">
        <v>161</v>
      </c>
      <c r="N1439" s="52" t="s">
        <v>349</v>
      </c>
      <c r="O1439" s="51" t="e">
        <f>VLOOKUP(N1439,[2]!RUBROS[#All],3,0)</f>
        <v>#REF!</v>
      </c>
      <c r="P1439" s="53" t="e">
        <f>VLOOKUP(N1439,[2]!RUBROS[#All],2,0)</f>
        <v>#REF!</v>
      </c>
      <c r="Q1439" s="47" t="str">
        <f t="shared" si="506"/>
        <v>48</v>
      </c>
      <c r="R1439" s="47" t="str">
        <f t="shared" si="500"/>
        <v>0-205128</v>
      </c>
      <c r="S1439" s="54">
        <v>6</v>
      </c>
      <c r="T1439" s="59" t="s">
        <v>46</v>
      </c>
      <c r="U1439" s="326" t="e">
        <f ca="1">_xlfn.XLOOKUP(PAA_4[[#This Row],[ITEM]],[2]Contrato!A:A,[2]Contrato!Q:Q,"",0)</f>
        <v>#NAME?</v>
      </c>
      <c r="V1439" s="47" t="s">
        <v>47</v>
      </c>
      <c r="W1439" s="47" t="s">
        <v>193</v>
      </c>
      <c r="X1439" s="47" t="s">
        <v>193</v>
      </c>
      <c r="Y1439" s="55" t="e">
        <f ca="1">_xlfn.XLOOKUP(PAA_4[[#This Row],[ITEM]],[2]Contrato!A:A,[2]Contrato!B:B,"",0)</f>
        <v>#NAME?</v>
      </c>
      <c r="Z1439" s="47" t="e">
        <f ca="1">_xlfn.XLOOKUP(PAA_4[[#This Row],[ITEM]],[2]Contrato!A:A,[2]Contrato!G:G,"",0)</f>
        <v>#NAME?</v>
      </c>
      <c r="AA1439" s="47" t="e">
        <f ca="1">_xlfn.XLOOKUP(PAA_4[[#This Row],[ITEM]],[2]Contrato!A:A,[2]Contrato!T:T,"",0)</f>
        <v>#NAME?</v>
      </c>
      <c r="AB1439" s="55" t="e">
        <f ca="1">+MAX(PAA_4[[#This Row],[Comprometido Contrato]],PAA_4[[#This Row],[Comprometido Bolsa]])</f>
        <v>#NAME?</v>
      </c>
      <c r="AC1439" s="55" t="str">
        <f t="shared" ca="1" si="507"/>
        <v/>
      </c>
      <c r="AD1439" s="55" t="e">
        <f ca="1">IF(PAA_4[[#This Row],[ESTADO (formulado)]]="NO CONTRATADO",0,MAX(PAA_4[[#This Row],[Pago por Contrato]],PAA_4[[#This Row],[Pago por bolsa]]))</f>
        <v>#NAME?</v>
      </c>
      <c r="AE1439" s="55" t="str">
        <f t="shared" ca="1" si="508"/>
        <v/>
      </c>
      <c r="AF1439" s="47" t="e">
        <f t="shared" ca="1" si="509"/>
        <v>#NAME?</v>
      </c>
      <c r="AG1439" s="47">
        <f t="shared" si="510"/>
        <v>41080201</v>
      </c>
      <c r="AH1439" s="54">
        <f>IF(Q1439="22",IF(ISNUMBER(SEARCH("econ",PAA_4[[#This Row],[Actividad3]])),"Económico",IF(ISNUMBER(SEARCH("alim",PAA_4[[#This Row],[Actividad3]])),"Alimentación",IF(ISNUMBER(SEARCH("educ",PAA_4[[#This Row],[Actividad3]])),"Educativo","Técnico"))),0)</f>
        <v>0</v>
      </c>
      <c r="AI1439" s="47" t="e" cm="1">
        <f t="array" aca="1" ref="AI1439" ca="1">_xlfn.XLOOKUP(PAA_4[[#This Row],[RCP-RUBRO]],[2]!COMPROMISOS_2024[[#All],[concatenado]],[2]!COMPROMISOS_2024[[#All],[Total pagado]],"",0)</f>
        <v>#NAME?</v>
      </c>
      <c r="AJ1439" s="56">
        <f>IF(PAA_4[[#This Row],[BOLSA]]=0,0,SUMIFS([2]!COMPROMISOS_2024[[#All],[Total pagado]],[2]!COMPROMISOS_2024[[#All],[Bolsa]],PAA_4[[#This Row],[BOLSA]],[2]!COMPROMISOS_2024[[#All],[rubro]],PAA_4[[#This Row],[RCP-RUBRO]]))</f>
        <v>0</v>
      </c>
      <c r="AK1439" s="47" t="e" cm="1">
        <f t="array" aca="1" ref="AK1439" ca="1">_xlfn.XLOOKUP(PAA_4[[#This Row],[RCP-RUBRO]],[2]!COMPROMISOS_2024[[#All],[concatenado]],[2]!COMPROMISOS_2024[[#All],[Total Comprometido]],"",0)</f>
        <v>#NAME?</v>
      </c>
      <c r="AL1439" s="47">
        <f>IF(PAA_4[[#This Row],[BOLSA]]=0,0,SUMIFS([2]!COMPROMISOS_2024[[#All],[Total Comprometido]],[2]!COMPROMISOS_2024[[#All],[Bolsa]],PAA_4[[#This Row],[BOLSA]],[2]!COMPROMISOS_2024[[#All],[concatenado]],PAA_4[[#This Row],[RCP-RUBRO]]))</f>
        <v>0</v>
      </c>
    </row>
    <row r="1440" spans="1:38" s="19" customFormat="1" ht="31.5" customHeight="1">
      <c r="A1440" s="47">
        <v>843</v>
      </c>
      <c r="B1440" s="47">
        <v>86111602</v>
      </c>
      <c r="C1440" s="47" t="str">
        <f>VLOOKUP(PAA_4[[#This Row],[PROYECTO (formulado)2]],[2]PROYECTOS!$G$1:$L$32,6,0)</f>
        <v>SUBGERENCIA DE FOMENTO Y DESARROLLO</v>
      </c>
      <c r="D1440" s="47" t="str">
        <f>+IF(PAA_4[[#This Row],[UNIDAD DE CONTRATACION (formulado)]]="Subgerencia Administrativa y Financiera","FUNCIONAMIENTO","INVERSIÓN")</f>
        <v>INVERSIÓN</v>
      </c>
      <c r="E1440" s="48" t="str">
        <f>VLOOKUP(Q1440,[2]PROYECTOS!$G$1:$K$32,5,0)</f>
        <v>CAPACITACION_PARA_EL_SECTOR_DEL_DEPORTE_LA_ACTIVIDAD_FISICA_LA_RECREACION_Y_LA_EDUCACION_FISICA_DE_ANTI</v>
      </c>
      <c r="F1440" s="48">
        <f>VLOOKUP(E1440,[2]PROYECTOS!$K$1:$M$32,3,0)</f>
        <v>2020003050024</v>
      </c>
      <c r="G1440" s="49" t="s">
        <v>422</v>
      </c>
      <c r="H1440" s="49" t="str">
        <f>VLOOKUP(Q1440,[2]PROYECTOS!$V$1:$W$32,2,0)</f>
        <v>050063</v>
      </c>
      <c r="I1440" s="50">
        <v>15860000</v>
      </c>
      <c r="J1440" s="51" t="s">
        <v>1899</v>
      </c>
      <c r="K1440" s="47" t="str">
        <f t="shared" ca="1" si="505"/>
        <v>CONTRATADO</v>
      </c>
      <c r="L1440" s="47" t="s">
        <v>94</v>
      </c>
      <c r="M1440" s="47" t="s">
        <v>89</v>
      </c>
      <c r="N1440" s="52" t="s">
        <v>349</v>
      </c>
      <c r="O1440" s="51" t="e">
        <f>VLOOKUP(N1440,[2]!RUBROS[#All],3,0)</f>
        <v>#REF!</v>
      </c>
      <c r="P1440" s="53" t="e">
        <f>VLOOKUP(N1440,[2]!RUBROS[#All],2,0)</f>
        <v>#REF!</v>
      </c>
      <c r="Q1440" s="47" t="str">
        <f t="shared" si="506"/>
        <v>48</v>
      </c>
      <c r="R1440" s="47" t="str">
        <f t="shared" si="500"/>
        <v>0-205128</v>
      </c>
      <c r="S1440" s="54">
        <v>6</v>
      </c>
      <c r="T1440" s="59" t="s">
        <v>46</v>
      </c>
      <c r="U1440" s="326" t="e">
        <f ca="1">_xlfn.XLOOKUP(PAA_4[[#This Row],[ITEM]],[2]Contrato!A:A,[2]Contrato!Q:Q,"",0)</f>
        <v>#NAME?</v>
      </c>
      <c r="V1440" s="47" t="s">
        <v>47</v>
      </c>
      <c r="W1440" s="47" t="s">
        <v>193</v>
      </c>
      <c r="X1440" s="47" t="s">
        <v>193</v>
      </c>
      <c r="Y1440" s="55" t="e">
        <f ca="1">_xlfn.XLOOKUP(PAA_4[[#This Row],[ITEM]],[2]Contrato!A:A,[2]Contrato!B:B,"",0)</f>
        <v>#NAME?</v>
      </c>
      <c r="Z1440" s="47" t="e">
        <f ca="1">_xlfn.XLOOKUP(PAA_4[[#This Row],[ITEM]],[2]Contrato!A:A,[2]Contrato!G:G,"",0)</f>
        <v>#NAME?</v>
      </c>
      <c r="AA1440" s="47" t="e">
        <f ca="1">_xlfn.XLOOKUP(PAA_4[[#This Row],[ITEM]],[2]Contrato!A:A,[2]Contrato!T:T,"",0)</f>
        <v>#NAME?</v>
      </c>
      <c r="AB1440" s="55" t="e">
        <f ca="1">+MAX(PAA_4[[#This Row],[Comprometido Contrato]],PAA_4[[#This Row],[Comprometido Bolsa]])</f>
        <v>#NAME?</v>
      </c>
      <c r="AC1440" s="55" t="str">
        <f t="shared" ca="1" si="507"/>
        <v/>
      </c>
      <c r="AD1440" s="55" t="e">
        <f ca="1">IF(PAA_4[[#This Row],[ESTADO (formulado)]]="NO CONTRATADO",0,MAX(PAA_4[[#This Row],[Pago por Contrato]],PAA_4[[#This Row],[Pago por bolsa]]))</f>
        <v>#NAME?</v>
      </c>
      <c r="AE1440" s="55" t="str">
        <f t="shared" ca="1" si="508"/>
        <v/>
      </c>
      <c r="AF1440" s="47" t="e">
        <f t="shared" ca="1" si="509"/>
        <v>#NAME?</v>
      </c>
      <c r="AG1440" s="47">
        <f t="shared" si="510"/>
        <v>41080201</v>
      </c>
      <c r="AH1440" s="54">
        <f>IF(Q1440="22",IF(ISNUMBER(SEARCH("econ",PAA_4[[#This Row],[Actividad3]])),"Económico",IF(ISNUMBER(SEARCH("alim",PAA_4[[#This Row],[Actividad3]])),"Alimentación",IF(ISNUMBER(SEARCH("educ",PAA_4[[#This Row],[Actividad3]])),"Educativo","Técnico"))),0)</f>
        <v>0</v>
      </c>
      <c r="AI1440" s="47" t="e" cm="1">
        <f t="array" aca="1" ref="AI1440" ca="1">_xlfn.XLOOKUP(PAA_4[[#This Row],[RCP-RUBRO]],[2]!COMPROMISOS_2024[[#All],[concatenado]],[2]!COMPROMISOS_2024[[#All],[Total pagado]],"",0)</f>
        <v>#NAME?</v>
      </c>
      <c r="AJ1440" s="56">
        <f>IF(PAA_4[[#This Row],[BOLSA]]=0,0,SUMIFS([2]!COMPROMISOS_2024[[#All],[Total pagado]],[2]!COMPROMISOS_2024[[#All],[Bolsa]],PAA_4[[#This Row],[BOLSA]],[2]!COMPROMISOS_2024[[#All],[rubro]],PAA_4[[#This Row],[RCP-RUBRO]]))</f>
        <v>0</v>
      </c>
      <c r="AK1440" s="47" t="e" cm="1">
        <f t="array" aca="1" ref="AK1440" ca="1">_xlfn.XLOOKUP(PAA_4[[#This Row],[RCP-RUBRO]],[2]!COMPROMISOS_2024[[#All],[concatenado]],[2]!COMPROMISOS_2024[[#All],[Total Comprometido]],"",0)</f>
        <v>#NAME?</v>
      </c>
      <c r="AL1440" s="47">
        <f>IF(PAA_4[[#This Row],[BOLSA]]=0,0,SUMIFS([2]!COMPROMISOS_2024[[#All],[Total Comprometido]],[2]!COMPROMISOS_2024[[#All],[Bolsa]],PAA_4[[#This Row],[BOLSA]],[2]!COMPROMISOS_2024[[#All],[concatenado]],PAA_4[[#This Row],[RCP-RUBRO]]))</f>
        <v>0</v>
      </c>
    </row>
    <row r="1441" spans="1:38" s="19" customFormat="1" ht="31.5" customHeight="1">
      <c r="A1441" s="47">
        <v>844</v>
      </c>
      <c r="B1441" s="47">
        <v>86111602</v>
      </c>
      <c r="C1441" s="47" t="str">
        <f>VLOOKUP(PAA_4[[#This Row],[PROYECTO (formulado)2]],[2]PROYECTOS!$G$1:$L$32,6,0)</f>
        <v>SUBGERENCIA DE FOMENTO Y DESARROLLO</v>
      </c>
      <c r="D1441" s="47" t="str">
        <f>+IF(PAA_4[[#This Row],[UNIDAD DE CONTRATACION (formulado)]]="Subgerencia Administrativa y Financiera","FUNCIONAMIENTO","INVERSIÓN")</f>
        <v>INVERSIÓN</v>
      </c>
      <c r="E1441" s="48" t="str">
        <f>VLOOKUP(Q1441,[2]PROYECTOS!$G$1:$K$32,5,0)</f>
        <v>CAPACITACION_PARA_EL_SECTOR_DEL_DEPORTE_LA_ACTIVIDAD_FISICA_LA_RECREACION_Y_LA_EDUCACION_FISICA_DE_ANTI</v>
      </c>
      <c r="F1441" s="48">
        <f>VLOOKUP(E1441,[2]PROYECTOS!$K$1:$M$32,3,0)</f>
        <v>2020003050024</v>
      </c>
      <c r="G1441" s="49" t="s">
        <v>422</v>
      </c>
      <c r="H1441" s="49" t="str">
        <f>VLOOKUP(Q1441,[2]PROYECTOS!$V$1:$W$32,2,0)</f>
        <v>050063</v>
      </c>
      <c r="I1441" s="50">
        <v>24000000</v>
      </c>
      <c r="J1441" s="51" t="s">
        <v>1900</v>
      </c>
      <c r="K1441" s="47" t="str">
        <f t="shared" ca="1" si="505"/>
        <v>CONTRATADO</v>
      </c>
      <c r="L1441" s="47" t="s">
        <v>94</v>
      </c>
      <c r="M1441" s="47" t="s">
        <v>89</v>
      </c>
      <c r="N1441" s="52" t="s">
        <v>349</v>
      </c>
      <c r="O1441" s="51" t="e">
        <f>VLOOKUP(N1441,[2]!RUBROS[#All],3,0)</f>
        <v>#REF!</v>
      </c>
      <c r="P1441" s="53" t="e">
        <f>VLOOKUP(N1441,[2]!RUBROS[#All],2,0)</f>
        <v>#REF!</v>
      </c>
      <c r="Q1441" s="47" t="str">
        <f t="shared" si="506"/>
        <v>48</v>
      </c>
      <c r="R1441" s="47" t="str">
        <f t="shared" si="500"/>
        <v>0-205128</v>
      </c>
      <c r="S1441" s="54">
        <v>6</v>
      </c>
      <c r="T1441" s="59" t="s">
        <v>46</v>
      </c>
      <c r="U1441" s="326" t="e">
        <f ca="1">_xlfn.XLOOKUP(PAA_4[[#This Row],[ITEM]],[2]Contrato!A:A,[2]Contrato!Q:Q,"",0)</f>
        <v>#NAME?</v>
      </c>
      <c r="V1441" s="47" t="s">
        <v>47</v>
      </c>
      <c r="W1441" s="47" t="s">
        <v>193</v>
      </c>
      <c r="X1441" s="47" t="s">
        <v>193</v>
      </c>
      <c r="Y1441" s="55" t="e">
        <f ca="1">_xlfn.XLOOKUP(PAA_4[[#This Row],[ITEM]],[2]Contrato!A:A,[2]Contrato!B:B,"",0)</f>
        <v>#NAME?</v>
      </c>
      <c r="Z1441" s="47" t="e">
        <f ca="1">_xlfn.XLOOKUP(PAA_4[[#This Row],[ITEM]],[2]Contrato!A:A,[2]Contrato!G:G,"",0)</f>
        <v>#NAME?</v>
      </c>
      <c r="AA1441" s="47" t="e">
        <f ca="1">_xlfn.XLOOKUP(PAA_4[[#This Row],[ITEM]],[2]Contrato!A:A,[2]Contrato!T:T,"",0)</f>
        <v>#NAME?</v>
      </c>
      <c r="AB1441" s="55" t="e">
        <f ca="1">+MAX(PAA_4[[#This Row],[Comprometido Contrato]],PAA_4[[#This Row],[Comprometido Bolsa]])</f>
        <v>#NAME?</v>
      </c>
      <c r="AC1441" s="55" t="str">
        <f t="shared" ca="1" si="507"/>
        <v/>
      </c>
      <c r="AD1441" s="55" t="e">
        <f ca="1">IF(PAA_4[[#This Row],[ESTADO (formulado)]]="NO CONTRATADO",0,MAX(PAA_4[[#This Row],[Pago por Contrato]],PAA_4[[#This Row],[Pago por bolsa]]))</f>
        <v>#NAME?</v>
      </c>
      <c r="AE1441" s="55" t="str">
        <f t="shared" ca="1" si="508"/>
        <v/>
      </c>
      <c r="AF1441" s="47" t="e">
        <f t="shared" ca="1" si="509"/>
        <v>#NAME?</v>
      </c>
      <c r="AG1441" s="47">
        <f t="shared" si="510"/>
        <v>41080201</v>
      </c>
      <c r="AH1441" s="54">
        <f>IF(Q1441="22",IF(ISNUMBER(SEARCH("econ",PAA_4[[#This Row],[Actividad3]])),"Económico",IF(ISNUMBER(SEARCH("alim",PAA_4[[#This Row],[Actividad3]])),"Alimentación",IF(ISNUMBER(SEARCH("educ",PAA_4[[#This Row],[Actividad3]])),"Educativo","Técnico"))),0)</f>
        <v>0</v>
      </c>
      <c r="AI1441" s="47" t="e" cm="1">
        <f t="array" aca="1" ref="AI1441" ca="1">_xlfn.XLOOKUP(PAA_4[[#This Row],[RCP-RUBRO]],[2]!COMPROMISOS_2024[[#All],[concatenado]],[2]!COMPROMISOS_2024[[#All],[Total pagado]],"",0)</f>
        <v>#NAME?</v>
      </c>
      <c r="AJ1441" s="56">
        <f>IF(PAA_4[[#This Row],[BOLSA]]=0,0,SUMIFS([2]!COMPROMISOS_2024[[#All],[Total pagado]],[2]!COMPROMISOS_2024[[#All],[Bolsa]],PAA_4[[#This Row],[BOLSA]],[2]!COMPROMISOS_2024[[#All],[rubro]],PAA_4[[#This Row],[RCP-RUBRO]]))</f>
        <v>0</v>
      </c>
      <c r="AK1441" s="47" t="e" cm="1">
        <f t="array" aca="1" ref="AK1441" ca="1">_xlfn.XLOOKUP(PAA_4[[#This Row],[RCP-RUBRO]],[2]!COMPROMISOS_2024[[#All],[concatenado]],[2]!COMPROMISOS_2024[[#All],[Total Comprometido]],"",0)</f>
        <v>#NAME?</v>
      </c>
      <c r="AL1441" s="47">
        <f>IF(PAA_4[[#This Row],[BOLSA]]=0,0,SUMIFS([2]!COMPROMISOS_2024[[#All],[Total Comprometido]],[2]!COMPROMISOS_2024[[#All],[Bolsa]],PAA_4[[#This Row],[BOLSA]],[2]!COMPROMISOS_2024[[#All],[concatenado]],PAA_4[[#This Row],[RCP-RUBRO]]))</f>
        <v>0</v>
      </c>
    </row>
    <row r="1442" spans="1:38" s="19" customFormat="1" ht="31.5" customHeight="1">
      <c r="A1442" s="47">
        <v>377</v>
      </c>
      <c r="B1442" s="47">
        <v>86111602</v>
      </c>
      <c r="C1442" s="47" t="str">
        <f>VLOOKUP(PAA_4[[#This Row],[PROYECTO (formulado)2]],[2]PROYECTOS!$G$1:$L$32,6,0)</f>
        <v>SUBGERENCIA DE FOMENTO Y DESARROLLO</v>
      </c>
      <c r="D1442" s="47" t="str">
        <f>+IF(PAA_4[[#This Row],[UNIDAD DE CONTRATACION (formulado)]]="Subgerencia Administrativa y Financiera","FUNCIONAMIENTO","INVERSIÓN")</f>
        <v>INVERSIÓN</v>
      </c>
      <c r="E1442" s="48" t="str">
        <f>VLOOKUP(Q1442,[2]PROYECTOS!$G$1:$K$32,5,0)</f>
        <v>CAPACITACION_PARA_EL_SECTOR_DEL_DEPORTE_LA_ACTIVIDAD_FISICA_LA_RECREACION_Y_LA_EDUCACION_FISICA_DE_ANTI</v>
      </c>
      <c r="F1442" s="48">
        <f>VLOOKUP(E1442,[2]PROYECTOS!$K$1:$M$32,3,0)</f>
        <v>2020003050024</v>
      </c>
      <c r="G1442" s="49" t="s">
        <v>422</v>
      </c>
      <c r="H1442" s="49" t="str">
        <f>VLOOKUP(Q1442,[2]PROYECTOS!$V$1:$W$32,2,0)</f>
        <v>050063</v>
      </c>
      <c r="I1442" s="50">
        <v>0</v>
      </c>
      <c r="J1442" s="51" t="s">
        <v>424</v>
      </c>
      <c r="K1442" s="47" t="str">
        <f t="shared" ca="1" si="505"/>
        <v>CONTRATADO</v>
      </c>
      <c r="L1442" s="47" t="s">
        <v>94</v>
      </c>
      <c r="M1442" s="47" t="s">
        <v>161</v>
      </c>
      <c r="N1442" s="52" t="s">
        <v>349</v>
      </c>
      <c r="O1442" s="51" t="e">
        <f>VLOOKUP(N1442,[2]!RUBROS[#All],3,0)</f>
        <v>#REF!</v>
      </c>
      <c r="P1442" s="53" t="e">
        <f>VLOOKUP(N1442,[2]!RUBROS[#All],2,0)</f>
        <v>#REF!</v>
      </c>
      <c r="Q1442" s="47" t="str">
        <f t="shared" si="506"/>
        <v>48</v>
      </c>
      <c r="R1442" s="47" t="str">
        <f t="shared" si="500"/>
        <v>0-205128</v>
      </c>
      <c r="S1442" s="54">
        <v>6</v>
      </c>
      <c r="T1442" s="59" t="s">
        <v>46</v>
      </c>
      <c r="U1442" s="326" t="e">
        <f ca="1">_xlfn.XLOOKUP(PAA_4[[#This Row],[ITEM]],[2]Contrato!A:A,[2]Contrato!Q:Q,"",0)</f>
        <v>#NAME?</v>
      </c>
      <c r="V1442" s="47" t="s">
        <v>47</v>
      </c>
      <c r="W1442" s="47" t="s">
        <v>193</v>
      </c>
      <c r="X1442" s="47" t="s">
        <v>193</v>
      </c>
      <c r="Y1442" s="55" t="e">
        <f ca="1">_xlfn.XLOOKUP(PAA_4[[#This Row],[ITEM]],[2]Contrato!A:A,[2]Contrato!B:B,"",0)</f>
        <v>#NAME?</v>
      </c>
      <c r="Z1442" s="47" t="e">
        <f ca="1">_xlfn.XLOOKUP(PAA_4[[#This Row],[ITEM]],[2]Contrato!A:A,[2]Contrato!G:G,"",0)</f>
        <v>#NAME?</v>
      </c>
      <c r="AA1442" s="47" t="e">
        <f ca="1">_xlfn.XLOOKUP(PAA_4[[#This Row],[ITEM]],[2]Contrato!A:A,[2]Contrato!T:T,"",0)</f>
        <v>#NAME?</v>
      </c>
      <c r="AB1442" s="55" t="e">
        <f ca="1">+MAX(PAA_4[[#This Row],[Comprometido Contrato]],PAA_4[[#This Row],[Comprometido Bolsa]])</f>
        <v>#NAME?</v>
      </c>
      <c r="AC1442" s="55" t="str">
        <f t="shared" ca="1" si="507"/>
        <v/>
      </c>
      <c r="AD1442" s="55" t="e">
        <f ca="1">IF(PAA_4[[#This Row],[ESTADO (formulado)]]="NO CONTRATADO",0,MAX(PAA_4[[#This Row],[Pago por Contrato]],PAA_4[[#This Row],[Pago por bolsa]]))</f>
        <v>#NAME?</v>
      </c>
      <c r="AE1442" s="55" t="str">
        <f t="shared" ca="1" si="508"/>
        <v/>
      </c>
      <c r="AF1442" s="47" t="e">
        <f t="shared" ca="1" si="509"/>
        <v>#NAME?</v>
      </c>
      <c r="AG1442" s="47">
        <f t="shared" si="510"/>
        <v>41080201</v>
      </c>
      <c r="AH1442" s="54">
        <f>IF(Q1442="22",IF(ISNUMBER(SEARCH("econ",PAA_4[[#This Row],[Actividad3]])),"Económico",IF(ISNUMBER(SEARCH("alim",PAA_4[[#This Row],[Actividad3]])),"Alimentación",IF(ISNUMBER(SEARCH("educ",PAA_4[[#This Row],[Actividad3]])),"Educativo","Técnico"))),0)</f>
        <v>0</v>
      </c>
      <c r="AI1442" s="47" t="e" cm="1">
        <f t="array" aca="1" ref="AI1442" ca="1">_xlfn.XLOOKUP(PAA_4[[#This Row],[RCP-RUBRO]],[2]!COMPROMISOS_2024[[#All],[concatenado]],[2]!COMPROMISOS_2024[[#All],[Total pagado]],"",0)</f>
        <v>#NAME?</v>
      </c>
      <c r="AJ1442" s="56">
        <f>IF(PAA_4[[#This Row],[BOLSA]]=0,0,SUMIFS([2]!COMPROMISOS_2024[[#All],[Total pagado]],[2]!COMPROMISOS_2024[[#All],[Bolsa]],PAA_4[[#This Row],[BOLSA]],[2]!COMPROMISOS_2024[[#All],[rubro]],PAA_4[[#This Row],[RCP-RUBRO]]))</f>
        <v>0</v>
      </c>
      <c r="AK1442" s="47" t="e" cm="1">
        <f t="array" aca="1" ref="AK1442" ca="1">_xlfn.XLOOKUP(PAA_4[[#This Row],[RCP-RUBRO]],[2]!COMPROMISOS_2024[[#All],[concatenado]],[2]!COMPROMISOS_2024[[#All],[Total Comprometido]],"",0)</f>
        <v>#NAME?</v>
      </c>
      <c r="AL1442" s="47">
        <f>IF(PAA_4[[#This Row],[BOLSA]]=0,0,SUMIFS([2]!COMPROMISOS_2024[[#All],[Total Comprometido]],[2]!COMPROMISOS_2024[[#All],[Bolsa]],PAA_4[[#This Row],[BOLSA]],[2]!COMPROMISOS_2024[[#All],[concatenado]],PAA_4[[#This Row],[RCP-RUBRO]]))</f>
        <v>0</v>
      </c>
    </row>
    <row r="1443" spans="1:38" s="19" customFormat="1" ht="31.5" customHeight="1">
      <c r="A1443" s="47">
        <v>495</v>
      </c>
      <c r="B1443" s="47" t="s">
        <v>42</v>
      </c>
      <c r="C1443" s="47" t="str">
        <f>VLOOKUP(PAA_4[[#This Row],[PROYECTO (formulado)2]],[2]PROYECTOS!$G$1:$L$32,6,0)</f>
        <v>SUBGERENCIA DE FOMENTO Y DESARROLLO</v>
      </c>
      <c r="D1443" s="47" t="str">
        <f>+IF(PAA_4[[#This Row],[UNIDAD DE CONTRATACION (formulado)]]="Subgerencia Administrativa y Financiera","FUNCIONAMIENTO","INVERSIÓN")</f>
        <v>INVERSIÓN</v>
      </c>
      <c r="E1443" s="48" t="str">
        <f>VLOOKUP(Q1443,[2]PROYECTOS!$G$1:$K$32,5,0)</f>
        <v>CAPACITACION_PARA_EL_SECTOR_DEL_DEPORTE_LA_ACTIVIDAD_FISICA_LA_RECREACION_Y_LA_EDUCACION_FISICA_DE_ANTI</v>
      </c>
      <c r="F1443" s="48">
        <f>VLOOKUP(E1443,[2]PROYECTOS!$K$1:$M$32,3,0)</f>
        <v>2020003050024</v>
      </c>
      <c r="G1443" s="49" t="s">
        <v>337</v>
      </c>
      <c r="H1443" s="49" t="str">
        <f>VLOOKUP(Q1443,[2]PROYECTOS!$V$1:$W$32,2,0)</f>
        <v>050063</v>
      </c>
      <c r="I1443" s="50">
        <v>0</v>
      </c>
      <c r="J1443" s="51" t="s">
        <v>42</v>
      </c>
      <c r="K1443" s="47" t="str">
        <f t="shared" ca="1" si="505"/>
        <v>CONTRATADO</v>
      </c>
      <c r="L1443" s="47" t="s">
        <v>344</v>
      </c>
      <c r="M1443" s="47" t="s">
        <v>344</v>
      </c>
      <c r="N1443" s="52" t="s">
        <v>349</v>
      </c>
      <c r="O1443" s="51" t="e">
        <f>VLOOKUP(N1443,[2]!RUBROS[#All],3,0)</f>
        <v>#REF!</v>
      </c>
      <c r="P1443" s="53" t="e">
        <f>VLOOKUP(N1443,[2]!RUBROS[#All],2,0)</f>
        <v>#REF!</v>
      </c>
      <c r="Q1443" s="47" t="str">
        <f t="shared" si="506"/>
        <v>48</v>
      </c>
      <c r="R1443" s="47" t="str">
        <f t="shared" si="500"/>
        <v>0-205128</v>
      </c>
      <c r="S1443" s="54">
        <v>10</v>
      </c>
      <c r="T1443" s="59" t="s">
        <v>46</v>
      </c>
      <c r="U1443" s="326" t="e">
        <f ca="1">_xlfn.XLOOKUP(PAA_4[[#This Row],[ITEM]],[2]Contrato!A:A,[2]Contrato!Q:Q,"",0)</f>
        <v>#NAME?</v>
      </c>
      <c r="V1443" s="47" t="s">
        <v>47</v>
      </c>
      <c r="W1443" s="47" t="s">
        <v>96</v>
      </c>
      <c r="X1443" s="47" t="s">
        <v>96</v>
      </c>
      <c r="Y1443" s="55" t="e">
        <f ca="1">_xlfn.XLOOKUP(PAA_4[[#This Row],[ITEM]],[2]Contrato!A:A,[2]Contrato!B:B,"",0)</f>
        <v>#NAME?</v>
      </c>
      <c r="Z1443" s="47" t="e">
        <f ca="1">_xlfn.XLOOKUP(PAA_4[[#This Row],[ITEM]],[2]Contrato!A:A,[2]Contrato!G:G,"",0)</f>
        <v>#NAME?</v>
      </c>
      <c r="AA1443" s="47" t="e">
        <f ca="1">_xlfn.XLOOKUP(PAA_4[[#This Row],[ITEM]],[2]Contrato!A:A,[2]Contrato!T:T,"",0)</f>
        <v>#NAME?</v>
      </c>
      <c r="AB1443" s="55" t="e">
        <f ca="1">+MAX(PAA_4[[#This Row],[Comprometido Contrato]],PAA_4[[#This Row],[Comprometido Bolsa]])</f>
        <v>#NAME?</v>
      </c>
      <c r="AC1443" s="55" t="str">
        <f t="shared" ca="1" si="507"/>
        <v/>
      </c>
      <c r="AD1443" s="55" t="e">
        <f ca="1">IF(PAA_4[[#This Row],[ESTADO (formulado)]]="NO CONTRATADO",0,MAX(PAA_4[[#This Row],[Pago por Contrato]],PAA_4[[#This Row],[Pago por bolsa]]))</f>
        <v>#NAME?</v>
      </c>
      <c r="AE1443" s="55" t="str">
        <f t="shared" ca="1" si="508"/>
        <v/>
      </c>
      <c r="AF1443" s="47" t="e">
        <f t="shared" ca="1" si="509"/>
        <v>#NAME?</v>
      </c>
      <c r="AG1443" s="47">
        <f t="shared" si="510"/>
        <v>41080201</v>
      </c>
      <c r="AH1443" s="54">
        <f>IF(Q1443="22",IF(ISNUMBER(SEARCH("econ",PAA_4[[#This Row],[Actividad3]])),"Económico",IF(ISNUMBER(SEARCH("alim",PAA_4[[#This Row],[Actividad3]])),"Alimentación",IF(ISNUMBER(SEARCH("educ",PAA_4[[#This Row],[Actividad3]])),"Educativo","Técnico"))),0)</f>
        <v>0</v>
      </c>
      <c r="AI1443" s="47" t="e" cm="1">
        <f t="array" aca="1" ref="AI1443" ca="1">_xlfn.XLOOKUP(PAA_4[[#This Row],[RCP-RUBRO]],[2]!COMPROMISOS_2024[[#All],[concatenado]],[2]!COMPROMISOS_2024[[#All],[Total pagado]],"",0)</f>
        <v>#NAME?</v>
      </c>
      <c r="AJ1443" s="56">
        <f>IF(PAA_4[[#This Row],[BOLSA]]=0,0,SUMIFS([2]!COMPROMISOS_2024[[#All],[Total pagado]],[2]!COMPROMISOS_2024[[#All],[Bolsa]],PAA_4[[#This Row],[BOLSA]],[2]!COMPROMISOS_2024[[#All],[rubro]],PAA_4[[#This Row],[RCP-RUBRO]]))</f>
        <v>0</v>
      </c>
      <c r="AK1443" s="47" t="e" cm="1">
        <f t="array" aca="1" ref="AK1443" ca="1">_xlfn.XLOOKUP(PAA_4[[#This Row],[RCP-RUBRO]],[2]!COMPROMISOS_2024[[#All],[concatenado]],[2]!COMPROMISOS_2024[[#All],[Total Comprometido]],"",0)</f>
        <v>#NAME?</v>
      </c>
      <c r="AL1443" s="47">
        <f>IF(PAA_4[[#This Row],[BOLSA]]=0,0,SUMIFS([2]!COMPROMISOS_2024[[#All],[Total Comprometido]],[2]!COMPROMISOS_2024[[#All],[Bolsa]],PAA_4[[#This Row],[BOLSA]],[2]!COMPROMISOS_2024[[#All],[concatenado]],PAA_4[[#This Row],[RCP-RUBRO]]))</f>
        <v>0</v>
      </c>
    </row>
    <row r="1444" spans="1:38" s="19" customFormat="1" ht="31.5" customHeight="1">
      <c r="A1444" s="47">
        <v>496</v>
      </c>
      <c r="B1444" s="47">
        <v>80111600</v>
      </c>
      <c r="C1444" s="47" t="str">
        <f>VLOOKUP(PAA_4[[#This Row],[PROYECTO (formulado)2]],[2]PROYECTOS!$G$1:$L$32,6,0)</f>
        <v>SUBGERENCIA DE FOMENTO Y DESARROLLO</v>
      </c>
      <c r="D1444" s="47" t="str">
        <f>+IF(PAA_4[[#This Row],[UNIDAD DE CONTRATACION (formulado)]]="Subgerencia Administrativa y Financiera","FUNCIONAMIENTO","INVERSIÓN")</f>
        <v>INVERSIÓN</v>
      </c>
      <c r="E1444" s="48" t="str">
        <f>VLOOKUP(Q1444,[2]PROYECTOS!$G$1:$K$32,5,0)</f>
        <v>CAPACITACION_PARA_EL_SECTOR_DEL_DEPORTE_LA_ACTIVIDAD_FISICA_LA_RECREACION_Y_LA_EDUCACION_FISICA_DE_ANTI</v>
      </c>
      <c r="F1444" s="48">
        <f>VLOOKUP(E1444,[2]PROYECTOS!$K$1:$M$32,3,0)</f>
        <v>2020003050024</v>
      </c>
      <c r="G1444" s="49" t="s">
        <v>337</v>
      </c>
      <c r="H1444" s="49" t="str">
        <f>VLOOKUP(Q1444,[2]PROYECTOS!$V$1:$W$32,2,0)</f>
        <v>050063</v>
      </c>
      <c r="I1444" s="50">
        <v>0</v>
      </c>
      <c r="J1444" s="51" t="s">
        <v>425</v>
      </c>
      <c r="K1444" s="47" t="str">
        <f t="shared" ca="1" si="505"/>
        <v>CONTRATADO</v>
      </c>
      <c r="L1444" s="47" t="s">
        <v>94</v>
      </c>
      <c r="M1444" s="47" t="s">
        <v>1297</v>
      </c>
      <c r="N1444" s="52" t="s">
        <v>349</v>
      </c>
      <c r="O1444" s="51" t="e">
        <f>VLOOKUP(N1444,[2]!RUBROS[#All],3,0)</f>
        <v>#REF!</v>
      </c>
      <c r="P1444" s="53" t="e">
        <f>VLOOKUP(N1444,[2]!RUBROS[#All],2,0)</f>
        <v>#REF!</v>
      </c>
      <c r="Q1444" s="47" t="str">
        <f t="shared" si="506"/>
        <v>48</v>
      </c>
      <c r="R1444" s="47" t="str">
        <f t="shared" si="500"/>
        <v>0-205128</v>
      </c>
      <c r="S1444" s="54">
        <v>9</v>
      </c>
      <c r="T1444" s="59" t="s">
        <v>46</v>
      </c>
      <c r="U1444" s="326" t="e">
        <f ca="1">_xlfn.XLOOKUP(PAA_4[[#This Row],[ITEM]],[2]Contrato!A:A,[2]Contrato!Q:Q,"",0)</f>
        <v>#NAME?</v>
      </c>
      <c r="V1444" s="47" t="s">
        <v>47</v>
      </c>
      <c r="W1444" s="47" t="s">
        <v>122</v>
      </c>
      <c r="X1444" s="47" t="s">
        <v>122</v>
      </c>
      <c r="Y1444" s="55" t="e">
        <f ca="1">_xlfn.XLOOKUP(PAA_4[[#This Row],[ITEM]],[2]Contrato!A:A,[2]Contrato!B:B,"",0)</f>
        <v>#NAME?</v>
      </c>
      <c r="Z1444" s="47" t="e">
        <f ca="1">_xlfn.XLOOKUP(PAA_4[[#This Row],[ITEM]],[2]Contrato!A:A,[2]Contrato!G:G,"",0)</f>
        <v>#NAME?</v>
      </c>
      <c r="AA1444" s="47" t="e">
        <f ca="1">_xlfn.XLOOKUP(PAA_4[[#This Row],[ITEM]],[2]Contrato!A:A,[2]Contrato!T:T,"",0)</f>
        <v>#NAME?</v>
      </c>
      <c r="AB1444" s="55" t="e">
        <f ca="1">+MAX(PAA_4[[#This Row],[Comprometido Contrato]],PAA_4[[#This Row],[Comprometido Bolsa]])</f>
        <v>#NAME?</v>
      </c>
      <c r="AC1444" s="55" t="str">
        <f t="shared" ca="1" si="507"/>
        <v/>
      </c>
      <c r="AD1444" s="55" t="e">
        <f ca="1">IF(PAA_4[[#This Row],[ESTADO (formulado)]]="NO CONTRATADO",0,MAX(PAA_4[[#This Row],[Pago por Contrato]],PAA_4[[#This Row],[Pago por bolsa]]))</f>
        <v>#NAME?</v>
      </c>
      <c r="AE1444" s="55" t="str">
        <f t="shared" ca="1" si="508"/>
        <v/>
      </c>
      <c r="AF1444" s="47" t="e">
        <f t="shared" ca="1" si="509"/>
        <v>#NAME?</v>
      </c>
      <c r="AG1444" s="47">
        <f t="shared" si="510"/>
        <v>41080201</v>
      </c>
      <c r="AH1444" s="54">
        <f>IF(Q1444="22",IF(ISNUMBER(SEARCH("econ",PAA_4[[#This Row],[Actividad3]])),"Económico",IF(ISNUMBER(SEARCH("alim",PAA_4[[#This Row],[Actividad3]])),"Alimentación",IF(ISNUMBER(SEARCH("educ",PAA_4[[#This Row],[Actividad3]])),"Educativo","Técnico"))),0)</f>
        <v>0</v>
      </c>
      <c r="AI1444" s="47" t="e" cm="1">
        <f t="array" aca="1" ref="AI1444" ca="1">_xlfn.XLOOKUP(PAA_4[[#This Row],[RCP-RUBRO]],[2]!COMPROMISOS_2024[[#All],[concatenado]],[2]!COMPROMISOS_2024[[#All],[Total pagado]],"",0)</f>
        <v>#NAME?</v>
      </c>
      <c r="AJ1444" s="56">
        <f>IF(PAA_4[[#This Row],[BOLSA]]=0,0,SUMIFS([2]!COMPROMISOS_2024[[#All],[Total pagado]],[2]!COMPROMISOS_2024[[#All],[Bolsa]],PAA_4[[#This Row],[BOLSA]],[2]!COMPROMISOS_2024[[#All],[rubro]],PAA_4[[#This Row],[RCP-RUBRO]]))</f>
        <v>0</v>
      </c>
      <c r="AK1444" s="47" t="e" cm="1">
        <f t="array" aca="1" ref="AK1444" ca="1">_xlfn.XLOOKUP(PAA_4[[#This Row],[RCP-RUBRO]],[2]!COMPROMISOS_2024[[#All],[concatenado]],[2]!COMPROMISOS_2024[[#All],[Total Comprometido]],"",0)</f>
        <v>#NAME?</v>
      </c>
      <c r="AL1444" s="47">
        <f>IF(PAA_4[[#This Row],[BOLSA]]=0,0,SUMIFS([2]!COMPROMISOS_2024[[#All],[Total Comprometido]],[2]!COMPROMISOS_2024[[#All],[Bolsa]],PAA_4[[#This Row],[BOLSA]],[2]!COMPROMISOS_2024[[#All],[concatenado]],PAA_4[[#This Row],[RCP-RUBRO]]))</f>
        <v>0</v>
      </c>
    </row>
    <row r="1445" spans="1:38" s="19" customFormat="1" ht="31.5" customHeight="1">
      <c r="A1445" s="47" t="s">
        <v>82</v>
      </c>
      <c r="B1445" s="61" t="s">
        <v>42</v>
      </c>
      <c r="C1445" s="47" t="str">
        <f>VLOOKUP(PAA_4[[#This Row],[PROYECTO (formulado)2]],[2]PROYECTOS!$G$1:$L$32,6,0)</f>
        <v>SUBGERENCIA DE FOMENTO Y DESARROLLO</v>
      </c>
      <c r="D1445" s="47" t="str">
        <f>+IF(PAA_4[[#This Row],[UNIDAD DE CONTRATACION (formulado)]]="Subgerencia Administrativa y Financiera","FUNCIONAMIENTO","INVERSIÓN")</f>
        <v>INVERSIÓN</v>
      </c>
      <c r="E1445" s="48" t="str">
        <f>VLOOKUP(Q1445,[2]PROYECTOS!$G$1:$K$32,5,0)</f>
        <v>CAPACITACION_PARA_EL_SECTOR_DEL_DEPORTE_LA_ACTIVIDAD_FISICA_LA_RECREACION_Y_LA_EDUCACION_FISICA_DE_ANTI</v>
      </c>
      <c r="F1445" s="48">
        <f>VLOOKUP(E1445,[2]PROYECTOS!$K$1:$M$32,3,0)</f>
        <v>2020003050024</v>
      </c>
      <c r="G1445" s="49" t="s">
        <v>337</v>
      </c>
      <c r="H1445" s="49" t="str">
        <f>VLOOKUP(Q1445,[2]PROYECTOS!$V$1:$W$32,2,0)</f>
        <v>050063</v>
      </c>
      <c r="I1445" s="50">
        <v>3303000</v>
      </c>
      <c r="J1445" s="51" t="s">
        <v>1874</v>
      </c>
      <c r="K1445" s="47" t="str">
        <f t="shared" ca="1" si="505"/>
        <v>CONTRATADO</v>
      </c>
      <c r="L1445" s="47" t="s">
        <v>42</v>
      </c>
      <c r="M1445" s="47" t="s">
        <v>42</v>
      </c>
      <c r="N1445" s="52" t="s">
        <v>349</v>
      </c>
      <c r="O1445" s="51" t="e">
        <f>VLOOKUP(N1445,[2]!RUBROS[#All],3,0)</f>
        <v>#REF!</v>
      </c>
      <c r="P1445" s="53" t="e">
        <f>VLOOKUP(N1445,[2]!RUBROS[#All],2,0)</f>
        <v>#REF!</v>
      </c>
      <c r="Q1445" s="47" t="str">
        <f t="shared" si="506"/>
        <v>48</v>
      </c>
      <c r="R1445" s="47" t="str">
        <f t="shared" si="500"/>
        <v>0-205128</v>
      </c>
      <c r="S1445" s="54" t="s">
        <v>42</v>
      </c>
      <c r="T1445" s="59" t="s">
        <v>42</v>
      </c>
      <c r="U1445" s="326" t="e">
        <f ca="1">_xlfn.XLOOKUP(PAA_4[[#This Row],[ITEM]],[2]Contrato!A:A,[2]Contrato!Q:Q,"",0)</f>
        <v>#NAME?</v>
      </c>
      <c r="V1445" s="47" t="s">
        <v>95</v>
      </c>
      <c r="W1445" s="64" t="s">
        <v>42</v>
      </c>
      <c r="X1445" s="64" t="s">
        <v>42</v>
      </c>
      <c r="Y1445" s="55" t="e">
        <f ca="1">_xlfn.XLOOKUP(PAA_4[[#This Row],[ITEM]],[2]Contrato!A:A,[2]Contrato!B:B,"",0)</f>
        <v>#NAME?</v>
      </c>
      <c r="Z1445" s="47" t="e">
        <f ca="1">_xlfn.XLOOKUP(PAA_4[[#This Row],[ITEM]],[2]Contrato!A:A,[2]Contrato!G:G,"",0)</f>
        <v>#NAME?</v>
      </c>
      <c r="AA1445" s="47" t="e">
        <f ca="1">_xlfn.XLOOKUP(PAA_4[[#This Row],[ITEM]],[2]Contrato!A:A,[2]Contrato!T:T,"",0)</f>
        <v>#NAME?</v>
      </c>
      <c r="AB1445" s="55" t="e">
        <f ca="1">+MAX(PAA_4[[#This Row],[Comprometido Contrato]],PAA_4[[#This Row],[Comprometido Bolsa]])</f>
        <v>#NAME?</v>
      </c>
      <c r="AC1445" s="55" t="str">
        <f t="shared" ca="1" si="507"/>
        <v/>
      </c>
      <c r="AD1445" s="55" t="e">
        <f ca="1">IF(PAA_4[[#This Row],[ESTADO (formulado)]]="NO CONTRATADO",0,MAX(PAA_4[[#This Row],[Pago por Contrato]],PAA_4[[#This Row],[Pago por bolsa]]))</f>
        <v>#NAME?</v>
      </c>
      <c r="AE1445" s="55" t="str">
        <f t="shared" ca="1" si="508"/>
        <v/>
      </c>
      <c r="AF1445" s="47" t="e">
        <f t="shared" ca="1" si="509"/>
        <v>#NAME?</v>
      </c>
      <c r="AG1445" s="47">
        <f t="shared" si="510"/>
        <v>41080201</v>
      </c>
      <c r="AH1445" s="54">
        <f>IF(Q1445="22",IF(ISNUMBER(SEARCH("econ",PAA_4[[#This Row],[Actividad3]])),"Económico",IF(ISNUMBER(SEARCH("alim",PAA_4[[#This Row],[Actividad3]])),"Alimentación",IF(ISNUMBER(SEARCH("educ",PAA_4[[#This Row],[Actividad3]])),"Educativo","Técnico"))),0)</f>
        <v>0</v>
      </c>
      <c r="AI1445" s="47" t="e" cm="1">
        <f t="array" aca="1" ref="AI1445" ca="1">_xlfn.XLOOKUP(PAA_4[[#This Row],[RCP-RUBRO]],[2]!COMPROMISOS_2024[[#All],[concatenado]],[2]!COMPROMISOS_2024[[#All],[Total pagado]],"",0)</f>
        <v>#NAME?</v>
      </c>
      <c r="AJ1445" s="56">
        <f>IF(PAA_4[[#This Row],[BOLSA]]=0,0,SUMIFS([2]!COMPROMISOS_2024[[#All],[Total pagado]],[2]!COMPROMISOS_2024[[#All],[Bolsa]],PAA_4[[#This Row],[BOLSA]],[2]!COMPROMISOS_2024[[#All],[rubro]],PAA_4[[#This Row],[RCP-RUBRO]]))</f>
        <v>0</v>
      </c>
      <c r="AK1445" s="47" t="e" cm="1">
        <f t="array" aca="1" ref="AK1445" ca="1">_xlfn.XLOOKUP(PAA_4[[#This Row],[RCP-RUBRO]],[2]!COMPROMISOS_2024[[#All],[concatenado]],[2]!COMPROMISOS_2024[[#All],[Total Comprometido]],"",0)</f>
        <v>#NAME?</v>
      </c>
      <c r="AL1445" s="47">
        <f>IF(PAA_4[[#This Row],[BOLSA]]=0,0,SUMIFS([2]!COMPROMISOS_2024[[#All],[Total Comprometido]],[2]!COMPROMISOS_2024[[#All],[Bolsa]],PAA_4[[#This Row],[BOLSA]],[2]!COMPROMISOS_2024[[#All],[concatenado]],PAA_4[[#This Row],[RCP-RUBRO]]))</f>
        <v>0</v>
      </c>
    </row>
    <row r="1446" spans="1:38" s="19" customFormat="1" ht="31.5" customHeight="1">
      <c r="A1446" s="47">
        <v>525</v>
      </c>
      <c r="B1446" s="47">
        <v>80111600</v>
      </c>
      <c r="C1446" s="47" t="str">
        <f>VLOOKUP(PAA_4[[#This Row],[PROYECTO (formulado)2]],[2]PROYECTOS!$G$1:$L$32,6,0)</f>
        <v>SUBGERENCIA DE FOMENTO Y DESARROLLO</v>
      </c>
      <c r="D1446" s="47" t="str">
        <f>+IF(PAA_4[[#This Row],[UNIDAD DE CONTRATACION (formulado)]]="Subgerencia Administrativa y Financiera","FUNCIONAMIENTO","INVERSIÓN")</f>
        <v>INVERSIÓN</v>
      </c>
      <c r="E1446" s="48" t="str">
        <f>VLOOKUP(Q1446,[2]PROYECTOS!$G$1:$K$32,5,0)</f>
        <v>CAPACITACION_PARA_EL_SECTOR_DEL_DEPORTE_LA_ACTIVIDAD_FISICA_LA_RECREACION_Y_LA_EDUCACION_FISICA_DE_ANTI</v>
      </c>
      <c r="F1446" s="48">
        <f>VLOOKUP(E1446,[2]PROYECTOS!$K$1:$M$32,3,0)</f>
        <v>2020003050024</v>
      </c>
      <c r="G1446" s="49" t="s">
        <v>337</v>
      </c>
      <c r="H1446" s="49" t="str">
        <f>VLOOKUP(Q1446,[2]PROYECTOS!$V$1:$W$32,2,0)</f>
        <v>050063</v>
      </c>
      <c r="I1446" s="50">
        <f>45774486-3303000</f>
        <v>42471486</v>
      </c>
      <c r="J1446" s="51" t="s">
        <v>426</v>
      </c>
      <c r="K1446" s="47" t="str">
        <f t="shared" ca="1" si="505"/>
        <v>CONTRATADO</v>
      </c>
      <c r="L1446" s="47" t="s">
        <v>94</v>
      </c>
      <c r="M1446" s="47" t="s">
        <v>1297</v>
      </c>
      <c r="N1446" s="52" t="s">
        <v>349</v>
      </c>
      <c r="O1446" s="51" t="e">
        <f>VLOOKUP(N1446,[2]!RUBROS[#All],3,0)</f>
        <v>#REF!</v>
      </c>
      <c r="P1446" s="53" t="e">
        <f>VLOOKUP(N1446,[2]!RUBROS[#All],2,0)</f>
        <v>#REF!</v>
      </c>
      <c r="Q1446" s="47" t="str">
        <f t="shared" si="506"/>
        <v>48</v>
      </c>
      <c r="R1446" s="47" t="str">
        <f t="shared" si="500"/>
        <v>0-205128</v>
      </c>
      <c r="S1446" s="54">
        <v>6</v>
      </c>
      <c r="T1446" s="59" t="s">
        <v>187</v>
      </c>
      <c r="U1446" s="326" t="e">
        <f ca="1">_xlfn.XLOOKUP(PAA_4[[#This Row],[ITEM]],[2]Contrato!A:A,[2]Contrato!Q:Q,"",0)</f>
        <v>#NAME?</v>
      </c>
      <c r="V1446" s="47" t="s">
        <v>47</v>
      </c>
      <c r="W1446" s="47" t="s">
        <v>91</v>
      </c>
      <c r="X1446" s="47" t="s">
        <v>91</v>
      </c>
      <c r="Y1446" s="55" t="e">
        <f ca="1">_xlfn.XLOOKUP(PAA_4[[#This Row],[ITEM]],[2]Contrato!A:A,[2]Contrato!B:B,"",0)</f>
        <v>#NAME?</v>
      </c>
      <c r="Z1446" s="47" t="e">
        <f ca="1">_xlfn.XLOOKUP(PAA_4[[#This Row],[ITEM]],[2]Contrato!A:A,[2]Contrato!G:G,"",0)</f>
        <v>#NAME?</v>
      </c>
      <c r="AA1446" s="47" t="e">
        <f ca="1">_xlfn.XLOOKUP(PAA_4[[#This Row],[ITEM]],[2]Contrato!A:A,[2]Contrato!T:T,"",0)</f>
        <v>#NAME?</v>
      </c>
      <c r="AB1446" s="55" t="e">
        <f ca="1">+MAX(PAA_4[[#This Row],[Comprometido Contrato]],PAA_4[[#This Row],[Comprometido Bolsa]])</f>
        <v>#NAME?</v>
      </c>
      <c r="AC1446" s="55" t="str">
        <f t="shared" ca="1" si="507"/>
        <v/>
      </c>
      <c r="AD1446" s="55" t="e">
        <f ca="1">IF(PAA_4[[#This Row],[ESTADO (formulado)]]="NO CONTRATADO",0,MAX(PAA_4[[#This Row],[Pago por Contrato]],PAA_4[[#This Row],[Pago por bolsa]]))</f>
        <v>#NAME?</v>
      </c>
      <c r="AE1446" s="55" t="str">
        <f t="shared" ca="1" si="508"/>
        <v/>
      </c>
      <c r="AF1446" s="47" t="e">
        <f t="shared" ca="1" si="509"/>
        <v>#NAME?</v>
      </c>
      <c r="AG1446" s="47">
        <f t="shared" si="510"/>
        <v>41080201</v>
      </c>
      <c r="AH1446" s="54">
        <f>IF(Q1446="22",IF(ISNUMBER(SEARCH("econ",PAA_4[[#This Row],[Actividad3]])),"Económico",IF(ISNUMBER(SEARCH("alim",PAA_4[[#This Row],[Actividad3]])),"Alimentación",IF(ISNUMBER(SEARCH("educ",PAA_4[[#This Row],[Actividad3]])),"Educativo","Técnico"))),0)</f>
        <v>0</v>
      </c>
      <c r="AI1446" s="47" t="e" cm="1">
        <f t="array" aca="1" ref="AI1446" ca="1">_xlfn.XLOOKUP(PAA_4[[#This Row],[RCP-RUBRO]],[2]!COMPROMISOS_2024[[#All],[concatenado]],[2]!COMPROMISOS_2024[[#All],[Total pagado]],"",0)</f>
        <v>#NAME?</v>
      </c>
      <c r="AJ1446" s="56">
        <f>IF(PAA_4[[#This Row],[BOLSA]]=0,0,SUMIFS([2]!COMPROMISOS_2024[[#All],[Total pagado]],[2]!COMPROMISOS_2024[[#All],[Bolsa]],PAA_4[[#This Row],[BOLSA]],[2]!COMPROMISOS_2024[[#All],[rubro]],PAA_4[[#This Row],[RCP-RUBRO]]))</f>
        <v>0</v>
      </c>
      <c r="AK1446" s="47" t="e" cm="1">
        <f t="array" aca="1" ref="AK1446" ca="1">_xlfn.XLOOKUP(PAA_4[[#This Row],[RCP-RUBRO]],[2]!COMPROMISOS_2024[[#All],[concatenado]],[2]!COMPROMISOS_2024[[#All],[Total Comprometido]],"",0)</f>
        <v>#NAME?</v>
      </c>
      <c r="AL1446" s="47">
        <f>IF(PAA_4[[#This Row],[BOLSA]]=0,0,SUMIFS([2]!COMPROMISOS_2024[[#All],[Total Comprometido]],[2]!COMPROMISOS_2024[[#All],[Bolsa]],PAA_4[[#This Row],[BOLSA]],[2]!COMPROMISOS_2024[[#All],[concatenado]],PAA_4[[#This Row],[RCP-RUBRO]]))</f>
        <v>0</v>
      </c>
    </row>
    <row r="1447" spans="1:38" s="19" customFormat="1" ht="31.5" customHeight="1">
      <c r="A1447" s="47" t="s">
        <v>82</v>
      </c>
      <c r="B1447" s="61" t="s">
        <v>42</v>
      </c>
      <c r="C1447" s="47" t="str">
        <f>VLOOKUP(PAA_4[[#This Row],[PROYECTO (formulado)2]],[2]PROYECTOS!$G$1:$L$32,6,0)</f>
        <v>SUBGERENCIA DE FOMENTO Y DESARROLLO</v>
      </c>
      <c r="D1447" s="47" t="str">
        <f>+IF(PAA_4[[#This Row],[UNIDAD DE CONTRATACION (formulado)]]="Subgerencia Administrativa y Financiera","FUNCIONAMIENTO","INVERSIÓN")</f>
        <v>INVERSIÓN</v>
      </c>
      <c r="E1447" s="48" t="str">
        <f>VLOOKUP(Q1447,[2]PROYECTOS!$G$1:$K$32,5,0)</f>
        <v>FORTALECIMIENTO_DE_LOS_JUEGOS_DEL_SECTOR_SOCIAL_COMUNITARIO_EN_LOS_MUNICIPIOS_DEL_DEPARTAMENTO_DE_ANTIOQU</v>
      </c>
      <c r="F1447" s="48">
        <f>VLOOKUP(E1447,[2]PROYECTOS!$K$1:$M$32,3,0)</f>
        <v>2020003050033</v>
      </c>
      <c r="G1447" s="49" t="s">
        <v>342</v>
      </c>
      <c r="H1447" s="49" t="str">
        <f>VLOOKUP(Q1447,[2]PROYECTOS!$V$1:$W$32,2,0)</f>
        <v>050057</v>
      </c>
      <c r="I1447" s="50">
        <v>4271996</v>
      </c>
      <c r="J1447" s="51" t="s">
        <v>1874</v>
      </c>
      <c r="K1447" s="47" t="str">
        <f t="shared" ca="1" si="505"/>
        <v>CONTRATADO</v>
      </c>
      <c r="L1447" s="47" t="s">
        <v>42</v>
      </c>
      <c r="M1447" s="47" t="s">
        <v>42</v>
      </c>
      <c r="N1447" s="52" t="s">
        <v>396</v>
      </c>
      <c r="O1447" s="51" t="e">
        <f>VLOOKUP(N1447,[2]!RUBROS[#All],3,0)</f>
        <v>#REF!</v>
      </c>
      <c r="P1447" s="53" t="e">
        <f>VLOOKUP(N1447,[2]!RUBROS[#All],2,0)</f>
        <v>#REF!</v>
      </c>
      <c r="Q1447" s="47" t="str">
        <f t="shared" si="506"/>
        <v>50</v>
      </c>
      <c r="R1447" s="47" t="str">
        <f t="shared" si="500"/>
        <v>0-205128</v>
      </c>
      <c r="S1447" s="54" t="s">
        <v>42</v>
      </c>
      <c r="T1447" s="59" t="s">
        <v>42</v>
      </c>
      <c r="U1447" s="326" t="e">
        <f ca="1">_xlfn.XLOOKUP(PAA_4[[#This Row],[ITEM]],[2]Contrato!A:A,[2]Contrato!Q:Q,"",0)</f>
        <v>#NAME?</v>
      </c>
      <c r="V1447" s="47" t="s">
        <v>95</v>
      </c>
      <c r="W1447" s="64" t="s">
        <v>42</v>
      </c>
      <c r="X1447" s="64" t="s">
        <v>42</v>
      </c>
      <c r="Y1447" s="55" t="e">
        <f ca="1">_xlfn.XLOOKUP(PAA_4[[#This Row],[ITEM]],[2]Contrato!A:A,[2]Contrato!B:B,"",0)</f>
        <v>#NAME?</v>
      </c>
      <c r="Z1447" s="47" t="e">
        <f ca="1">_xlfn.XLOOKUP(PAA_4[[#This Row],[ITEM]],[2]Contrato!A:A,[2]Contrato!G:G,"",0)</f>
        <v>#NAME?</v>
      </c>
      <c r="AA1447" s="47" t="e">
        <f ca="1">_xlfn.XLOOKUP(PAA_4[[#This Row],[ITEM]],[2]Contrato!A:A,[2]Contrato!T:T,"",0)</f>
        <v>#NAME?</v>
      </c>
      <c r="AB1447" s="55" t="e">
        <f ca="1">+MAX(PAA_4[[#This Row],[Comprometido Contrato]],PAA_4[[#This Row],[Comprometido Bolsa]])</f>
        <v>#NAME?</v>
      </c>
      <c r="AC1447" s="55" t="str">
        <f t="shared" ca="1" si="507"/>
        <v/>
      </c>
      <c r="AD1447" s="55" t="e">
        <f ca="1">IF(PAA_4[[#This Row],[ESTADO (formulado)]]="NO CONTRATADO",0,MAX(PAA_4[[#This Row],[Pago por Contrato]],PAA_4[[#This Row],[Pago por bolsa]]))</f>
        <v>#NAME?</v>
      </c>
      <c r="AE1447" s="55" t="str">
        <f t="shared" ca="1" si="508"/>
        <v/>
      </c>
      <c r="AF1447" s="47" t="e">
        <f t="shared" ca="1" si="509"/>
        <v>#NAME?</v>
      </c>
      <c r="AG1447" s="47">
        <f t="shared" si="510"/>
        <v>44021010</v>
      </c>
      <c r="AH1447" s="54">
        <f>IF(Q1447="22",IF(ISNUMBER(SEARCH("econ",PAA_4[[#This Row],[Actividad3]])),"Económico",IF(ISNUMBER(SEARCH("alim",PAA_4[[#This Row],[Actividad3]])),"Alimentación",IF(ISNUMBER(SEARCH("educ",PAA_4[[#This Row],[Actividad3]])),"Educativo","Técnico"))),0)</f>
        <v>0</v>
      </c>
      <c r="AI1447" s="47" t="e" cm="1">
        <f t="array" aca="1" ref="AI1447" ca="1">_xlfn.XLOOKUP(PAA_4[[#This Row],[RCP-RUBRO]],[2]!COMPROMISOS_2024[[#All],[concatenado]],[2]!COMPROMISOS_2024[[#All],[Total pagado]],"",0)</f>
        <v>#NAME?</v>
      </c>
      <c r="AJ1447" s="56">
        <f>IF(PAA_4[[#This Row],[BOLSA]]=0,0,SUMIFS([2]!COMPROMISOS_2024[[#All],[Total pagado]],[2]!COMPROMISOS_2024[[#All],[Bolsa]],PAA_4[[#This Row],[BOLSA]],[2]!COMPROMISOS_2024[[#All],[rubro]],PAA_4[[#This Row],[RCP-RUBRO]]))</f>
        <v>0</v>
      </c>
      <c r="AK1447" s="47" t="e" cm="1">
        <f t="array" aca="1" ref="AK1447" ca="1">_xlfn.XLOOKUP(PAA_4[[#This Row],[RCP-RUBRO]],[2]!COMPROMISOS_2024[[#All],[concatenado]],[2]!COMPROMISOS_2024[[#All],[Total Comprometido]],"",0)</f>
        <v>#NAME?</v>
      </c>
      <c r="AL1447" s="47">
        <f>IF(PAA_4[[#This Row],[BOLSA]]=0,0,SUMIFS([2]!COMPROMISOS_2024[[#All],[Total Comprometido]],[2]!COMPROMISOS_2024[[#All],[Bolsa]],PAA_4[[#This Row],[BOLSA]],[2]!COMPROMISOS_2024[[#All],[concatenado]],PAA_4[[#This Row],[RCP-RUBRO]]))</f>
        <v>0</v>
      </c>
    </row>
    <row r="1448" spans="1:38" s="19" customFormat="1" ht="31.5" customHeight="1">
      <c r="A1448" s="47" t="s">
        <v>82</v>
      </c>
      <c r="B1448" s="61" t="s">
        <v>42</v>
      </c>
      <c r="C1448" s="47" t="str">
        <f>VLOOKUP(PAA_4[[#This Row],[PROYECTO (formulado)2]],[2]PROYECTOS!$G$1:$L$32,6,0)</f>
        <v>SUBGERENCIA DE FOMENTO Y DESARROLLO</v>
      </c>
      <c r="D1448" s="47" t="str">
        <f>+IF(PAA_4[[#This Row],[UNIDAD DE CONTRATACION (formulado)]]="Subgerencia Administrativa y Financiera","FUNCIONAMIENTO","INVERSIÓN")</f>
        <v>INVERSIÓN</v>
      </c>
      <c r="E1448" s="48" t="str">
        <f>VLOOKUP(Q1448,[2]PROYECTOS!$G$1:$K$32,5,0)</f>
        <v>FORTALECIMIENTO_DE_LOS_JUEGOS_DEL_SECTOR_EDUCATIVO_EN_ANTIOQUIA</v>
      </c>
      <c r="F1448" s="48">
        <f>VLOOKUP(E1448,[2]PROYECTOS!$K$1:$M$32,3,0)</f>
        <v>2020003050034</v>
      </c>
      <c r="G1448" s="49" t="s">
        <v>340</v>
      </c>
      <c r="H1448" s="49" t="str">
        <f>VLOOKUP(Q1448,[2]PROYECTOS!$V$1:$W$32,2,0)</f>
        <v>050053</v>
      </c>
      <c r="I1448" s="50">
        <v>11954</v>
      </c>
      <c r="J1448" s="51" t="s">
        <v>1874</v>
      </c>
      <c r="K1448" s="47" t="str">
        <f t="shared" ca="1" si="505"/>
        <v>CONTRATADO</v>
      </c>
      <c r="L1448" s="47" t="s">
        <v>42</v>
      </c>
      <c r="M1448" s="47" t="s">
        <v>42</v>
      </c>
      <c r="N1448" s="52" t="s">
        <v>144</v>
      </c>
      <c r="O1448" s="51" t="e">
        <f>VLOOKUP(N1448,[2]!RUBROS[#All],3,0)</f>
        <v>#REF!</v>
      </c>
      <c r="P1448" s="53" t="e">
        <f>VLOOKUP(N1448,[2]!RUBROS[#All],2,0)</f>
        <v>#REF!</v>
      </c>
      <c r="Q1448" s="47" t="str">
        <f t="shared" si="506"/>
        <v>51</v>
      </c>
      <c r="R1448" s="47" t="str">
        <f t="shared" si="500"/>
        <v>0-205128</v>
      </c>
      <c r="S1448" s="54" t="s">
        <v>42</v>
      </c>
      <c r="T1448" s="59" t="s">
        <v>42</v>
      </c>
      <c r="U1448" s="326" t="e">
        <f ca="1">_xlfn.XLOOKUP(PAA_4[[#This Row],[ITEM]],[2]Contrato!A:A,[2]Contrato!Q:Q,"",0)</f>
        <v>#NAME?</v>
      </c>
      <c r="V1448" s="47" t="s">
        <v>95</v>
      </c>
      <c r="W1448" s="64" t="s">
        <v>42</v>
      </c>
      <c r="X1448" s="64" t="s">
        <v>42</v>
      </c>
      <c r="Y1448" s="55" t="e">
        <f ca="1">_xlfn.XLOOKUP(PAA_4[[#This Row],[ITEM]],[2]Contrato!A:A,[2]Contrato!B:B,"",0)</f>
        <v>#NAME?</v>
      </c>
      <c r="Z1448" s="47" t="e">
        <f ca="1">_xlfn.XLOOKUP(PAA_4[[#This Row],[ITEM]],[2]Contrato!A:A,[2]Contrato!G:G,"",0)</f>
        <v>#NAME?</v>
      </c>
      <c r="AA1448" s="47" t="e">
        <f ca="1">_xlfn.XLOOKUP(PAA_4[[#This Row],[ITEM]],[2]Contrato!A:A,[2]Contrato!T:T,"",0)</f>
        <v>#NAME?</v>
      </c>
      <c r="AB1448" s="55" t="e">
        <f ca="1">+MAX(PAA_4[[#This Row],[Comprometido Contrato]],PAA_4[[#This Row],[Comprometido Bolsa]])</f>
        <v>#NAME?</v>
      </c>
      <c r="AC1448" s="55" t="str">
        <f t="shared" ca="1" si="507"/>
        <v/>
      </c>
      <c r="AD1448" s="55" t="e">
        <f ca="1">IF(PAA_4[[#This Row],[ESTADO (formulado)]]="NO CONTRATADO",0,MAX(PAA_4[[#This Row],[Pago por Contrato]],PAA_4[[#This Row],[Pago por bolsa]]))</f>
        <v>#NAME?</v>
      </c>
      <c r="AE1448" s="55" t="str">
        <f t="shared" ca="1" si="508"/>
        <v/>
      </c>
      <c r="AF1448" s="47" t="e">
        <f t="shared" ca="1" si="509"/>
        <v>#NAME?</v>
      </c>
      <c r="AG1448" s="47">
        <f t="shared" si="510"/>
        <v>44021011</v>
      </c>
      <c r="AH1448" s="54">
        <f>IF(Q1448="22",IF(ISNUMBER(SEARCH("econ",PAA_4[[#This Row],[Actividad3]])),"Económico",IF(ISNUMBER(SEARCH("alim",PAA_4[[#This Row],[Actividad3]])),"Alimentación",IF(ISNUMBER(SEARCH("educ",PAA_4[[#This Row],[Actividad3]])),"Educativo","Técnico"))),0)</f>
        <v>0</v>
      </c>
      <c r="AI1448" s="47" t="e" cm="1">
        <f t="array" aca="1" ref="AI1448" ca="1">_xlfn.XLOOKUP(PAA_4[[#This Row],[RCP-RUBRO]],[2]!COMPROMISOS_2024[[#All],[concatenado]],[2]!COMPROMISOS_2024[[#All],[Total pagado]],"",0)</f>
        <v>#NAME?</v>
      </c>
      <c r="AJ1448" s="56">
        <f>IF(PAA_4[[#This Row],[BOLSA]]=0,0,SUMIFS([2]!COMPROMISOS_2024[[#All],[Total pagado]],[2]!COMPROMISOS_2024[[#All],[Bolsa]],PAA_4[[#This Row],[BOLSA]],[2]!COMPROMISOS_2024[[#All],[rubro]],PAA_4[[#This Row],[RCP-RUBRO]]))</f>
        <v>0</v>
      </c>
      <c r="AK1448" s="47" t="e" cm="1">
        <f t="array" aca="1" ref="AK1448" ca="1">_xlfn.XLOOKUP(PAA_4[[#This Row],[RCP-RUBRO]],[2]!COMPROMISOS_2024[[#All],[concatenado]],[2]!COMPROMISOS_2024[[#All],[Total Comprometido]],"",0)</f>
        <v>#NAME?</v>
      </c>
      <c r="AL1448" s="47">
        <f>IF(PAA_4[[#This Row],[BOLSA]]=0,0,SUMIFS([2]!COMPROMISOS_2024[[#All],[Total Comprometido]],[2]!COMPROMISOS_2024[[#All],[Bolsa]],PAA_4[[#This Row],[BOLSA]],[2]!COMPROMISOS_2024[[#All],[concatenado]],PAA_4[[#This Row],[RCP-RUBRO]]))</f>
        <v>0</v>
      </c>
    </row>
    <row r="1449" spans="1:38" s="19" customFormat="1" ht="31.5" customHeight="1">
      <c r="A1449" s="47">
        <v>526</v>
      </c>
      <c r="B1449" s="47">
        <v>80111600</v>
      </c>
      <c r="C1449" s="47" t="str">
        <f>VLOOKUP(PAA_4[[#This Row],[PROYECTO (formulado)2]],[2]PROYECTOS!$G$1:$L$32,6,0)</f>
        <v>SUBGERENCIA DE FOMENTO Y DESARROLLO</v>
      </c>
      <c r="D1449" s="47" t="str">
        <f>+IF(PAA_4[[#This Row],[UNIDAD DE CONTRATACION (formulado)]]="Subgerencia Administrativa y Financiera","FUNCIONAMIENTO","INVERSIÓN")</f>
        <v>INVERSIÓN</v>
      </c>
      <c r="E1449" s="48" t="str">
        <f>VLOOKUP(Q1449,[2]PROYECTOS!$G$1:$K$32,5,0)</f>
        <v>FORTALECIMIENTO_DE_LOS_JUEGOS_DEL_SECTOR_SOCIAL_COMUNITARIO_EN_LOS_MUNICIPIOS_DEL_DEPARTAMENTO_DE_ANTIOQU</v>
      </c>
      <c r="F1449" s="48">
        <f>VLOOKUP(E1449,[2]PROYECTOS!$K$1:$M$32,3,0)</f>
        <v>2020003050033</v>
      </c>
      <c r="G1449" s="49" t="s">
        <v>342</v>
      </c>
      <c r="H1449" s="49" t="str">
        <f>VLOOKUP(Q1449,[2]PROYECTOS!$V$1:$W$32,2,0)</f>
        <v>050057</v>
      </c>
      <c r="I1449" s="50">
        <f>33040468-4271996</f>
        <v>28768472</v>
      </c>
      <c r="J1449" s="51" t="s">
        <v>427</v>
      </c>
      <c r="K1449" s="47" t="str">
        <f t="shared" ca="1" si="505"/>
        <v>CONTRATADO</v>
      </c>
      <c r="L1449" s="47" t="s">
        <v>94</v>
      </c>
      <c r="M1449" s="47" t="s">
        <v>1297</v>
      </c>
      <c r="N1449" s="52" t="s">
        <v>396</v>
      </c>
      <c r="O1449" s="51" t="e">
        <f>VLOOKUP(N1449,[2]!RUBROS[#All],3,0)</f>
        <v>#REF!</v>
      </c>
      <c r="P1449" s="53" t="e">
        <f>VLOOKUP(N1449,[2]!RUBROS[#All],2,0)</f>
        <v>#REF!</v>
      </c>
      <c r="Q1449" s="47" t="str">
        <f t="shared" si="506"/>
        <v>50</v>
      </c>
      <c r="R1449" s="47" t="str">
        <f t="shared" si="500"/>
        <v>0-205128</v>
      </c>
      <c r="S1449" s="54">
        <v>6</v>
      </c>
      <c r="T1449" s="59" t="s">
        <v>46</v>
      </c>
      <c r="U1449" s="326" t="e">
        <f ca="1">_xlfn.XLOOKUP(PAA_4[[#This Row],[ITEM]],[2]Contrato!A:A,[2]Contrato!Q:Q,"",0)</f>
        <v>#NAME?</v>
      </c>
      <c r="V1449" s="47" t="s">
        <v>47</v>
      </c>
      <c r="W1449" s="47" t="s">
        <v>91</v>
      </c>
      <c r="X1449" s="47" t="s">
        <v>91</v>
      </c>
      <c r="Y1449" s="55" t="e">
        <f ca="1">_xlfn.XLOOKUP(PAA_4[[#This Row],[ITEM]],[2]Contrato!A:A,[2]Contrato!B:B,"",0)</f>
        <v>#NAME?</v>
      </c>
      <c r="Z1449" s="47" t="e">
        <f ca="1">_xlfn.XLOOKUP(PAA_4[[#This Row],[ITEM]],[2]Contrato!A:A,[2]Contrato!G:G,"",0)</f>
        <v>#NAME?</v>
      </c>
      <c r="AA1449" s="47" t="e">
        <f ca="1">_xlfn.XLOOKUP(PAA_4[[#This Row],[ITEM]],[2]Contrato!A:A,[2]Contrato!T:T,"",0)</f>
        <v>#NAME?</v>
      </c>
      <c r="AB1449" s="55" t="e">
        <f ca="1">+MAX(PAA_4[[#This Row],[Comprometido Contrato]],PAA_4[[#This Row],[Comprometido Bolsa]])</f>
        <v>#NAME?</v>
      </c>
      <c r="AC1449" s="55" t="str">
        <f t="shared" ca="1" si="507"/>
        <v/>
      </c>
      <c r="AD1449" s="55" t="e">
        <f ca="1">IF(PAA_4[[#This Row],[ESTADO (formulado)]]="NO CONTRATADO",0,MAX(PAA_4[[#This Row],[Pago por Contrato]],PAA_4[[#This Row],[Pago por bolsa]]))</f>
        <v>#NAME?</v>
      </c>
      <c r="AE1449" s="55" t="str">
        <f t="shared" ca="1" si="508"/>
        <v/>
      </c>
      <c r="AF1449" s="47" t="e">
        <f t="shared" ca="1" si="509"/>
        <v>#NAME?</v>
      </c>
      <c r="AG1449" s="47">
        <f t="shared" si="510"/>
        <v>44021010</v>
      </c>
      <c r="AH1449" s="54">
        <f>IF(Q1449="22",IF(ISNUMBER(SEARCH("econ",PAA_4[[#This Row],[Actividad3]])),"Económico",IF(ISNUMBER(SEARCH("alim",PAA_4[[#This Row],[Actividad3]])),"Alimentación",IF(ISNUMBER(SEARCH("educ",PAA_4[[#This Row],[Actividad3]])),"Educativo","Técnico"))),0)</f>
        <v>0</v>
      </c>
      <c r="AI1449" s="47" t="e" cm="1">
        <f t="array" aca="1" ref="AI1449" ca="1">_xlfn.XLOOKUP(PAA_4[[#This Row],[RCP-RUBRO]],[2]!COMPROMISOS_2024[[#All],[concatenado]],[2]!COMPROMISOS_2024[[#All],[Total pagado]],"",0)</f>
        <v>#NAME?</v>
      </c>
      <c r="AJ1449" s="56">
        <f>IF(PAA_4[[#This Row],[BOLSA]]=0,0,SUMIFS([2]!COMPROMISOS_2024[[#All],[Total pagado]],[2]!COMPROMISOS_2024[[#All],[Bolsa]],PAA_4[[#This Row],[BOLSA]],[2]!COMPROMISOS_2024[[#All],[rubro]],PAA_4[[#This Row],[RCP-RUBRO]]))</f>
        <v>0</v>
      </c>
      <c r="AK1449" s="47" t="e" cm="1">
        <f t="array" aca="1" ref="AK1449" ca="1">_xlfn.XLOOKUP(PAA_4[[#This Row],[RCP-RUBRO]],[2]!COMPROMISOS_2024[[#All],[concatenado]],[2]!COMPROMISOS_2024[[#All],[Total Comprometido]],"",0)</f>
        <v>#NAME?</v>
      </c>
      <c r="AL1449" s="47">
        <f>IF(PAA_4[[#This Row],[BOLSA]]=0,0,SUMIFS([2]!COMPROMISOS_2024[[#All],[Total Comprometido]],[2]!COMPROMISOS_2024[[#All],[Bolsa]],PAA_4[[#This Row],[BOLSA]],[2]!COMPROMISOS_2024[[#All],[concatenado]],PAA_4[[#This Row],[RCP-RUBRO]]))</f>
        <v>0</v>
      </c>
    </row>
    <row r="1450" spans="1:38" s="19" customFormat="1" ht="31.5" customHeight="1">
      <c r="A1450" s="47">
        <v>526</v>
      </c>
      <c r="B1450" s="47">
        <v>80111600</v>
      </c>
      <c r="C1450" s="47" t="str">
        <f>VLOOKUP(PAA_4[[#This Row],[PROYECTO (formulado)2]],[2]PROYECTOS!$G$1:$L$32,6,0)</f>
        <v>SUBGERENCIA DE FOMENTO Y DESARROLLO</v>
      </c>
      <c r="D1450" s="47" t="str">
        <f>+IF(PAA_4[[#This Row],[UNIDAD DE CONTRATACION (formulado)]]="Subgerencia Administrativa y Financiera","FUNCIONAMIENTO","INVERSIÓN")</f>
        <v>INVERSIÓN</v>
      </c>
      <c r="E1450" s="48" t="str">
        <f>VLOOKUP(Q1450,[2]PROYECTOS!$G$1:$K$32,5,0)</f>
        <v>FORTALECIMIENTO_DE_LOS_JUEGOS_DEL_SECTOR_EDUCATIVO_EN_ANTIOQUIA</v>
      </c>
      <c r="F1450" s="48">
        <f>VLOOKUP(E1450,[2]PROYECTOS!$K$1:$M$32,3,0)</f>
        <v>2020003050034</v>
      </c>
      <c r="G1450" s="49" t="s">
        <v>340</v>
      </c>
      <c r="H1450" s="49" t="str">
        <f>VLOOKUP(Q1450,[2]PROYECTOS!$V$1:$W$32,2,0)</f>
        <v>050053</v>
      </c>
      <c r="I1450" s="50">
        <f>33040476-11954</f>
        <v>33028522</v>
      </c>
      <c r="J1450" s="51" t="s">
        <v>427</v>
      </c>
      <c r="K1450" s="47" t="str">
        <f t="shared" ca="1" si="505"/>
        <v>CONTRATADO</v>
      </c>
      <c r="L1450" s="47" t="s">
        <v>94</v>
      </c>
      <c r="M1450" s="47" t="s">
        <v>1297</v>
      </c>
      <c r="N1450" s="52" t="s">
        <v>144</v>
      </c>
      <c r="O1450" s="51" t="e">
        <f>VLOOKUP(N1450,[2]!RUBROS[#All],3,0)</f>
        <v>#REF!</v>
      </c>
      <c r="P1450" s="53" t="e">
        <f>VLOOKUP(N1450,[2]!RUBROS[#All],2,0)</f>
        <v>#REF!</v>
      </c>
      <c r="Q1450" s="47" t="str">
        <f t="shared" si="506"/>
        <v>51</v>
      </c>
      <c r="R1450" s="47" t="str">
        <f t="shared" si="500"/>
        <v>0-205128</v>
      </c>
      <c r="S1450" s="54">
        <v>6</v>
      </c>
      <c r="T1450" s="59" t="s">
        <v>46</v>
      </c>
      <c r="U1450" s="326" t="e">
        <f ca="1">_xlfn.XLOOKUP(PAA_4[[#This Row],[ITEM]],[2]Contrato!A:A,[2]Contrato!Q:Q,"",0)</f>
        <v>#NAME?</v>
      </c>
      <c r="V1450" s="47" t="s">
        <v>47</v>
      </c>
      <c r="W1450" s="47" t="s">
        <v>91</v>
      </c>
      <c r="X1450" s="47" t="s">
        <v>91</v>
      </c>
      <c r="Y1450" s="55" t="e">
        <f ca="1">_xlfn.XLOOKUP(PAA_4[[#This Row],[ITEM]],[2]Contrato!A:A,[2]Contrato!B:B,"",0)</f>
        <v>#NAME?</v>
      </c>
      <c r="Z1450" s="47" t="e">
        <f ca="1">_xlfn.XLOOKUP(PAA_4[[#This Row],[ITEM]],[2]Contrato!A:A,[2]Contrato!G:G,"",0)</f>
        <v>#NAME?</v>
      </c>
      <c r="AA1450" s="47" t="e">
        <f ca="1">_xlfn.XLOOKUP(PAA_4[[#This Row],[ITEM]],[2]Contrato!A:A,[2]Contrato!T:T,"",0)</f>
        <v>#NAME?</v>
      </c>
      <c r="AB1450" s="55" t="e">
        <f ca="1">+MAX(PAA_4[[#This Row],[Comprometido Contrato]],PAA_4[[#This Row],[Comprometido Bolsa]])</f>
        <v>#NAME?</v>
      </c>
      <c r="AC1450" s="55" t="str">
        <f t="shared" ca="1" si="507"/>
        <v/>
      </c>
      <c r="AD1450" s="55" t="e">
        <f ca="1">IF(PAA_4[[#This Row],[ESTADO (formulado)]]="NO CONTRATADO",0,MAX(PAA_4[[#This Row],[Pago por Contrato]],PAA_4[[#This Row],[Pago por bolsa]]))</f>
        <v>#NAME?</v>
      </c>
      <c r="AE1450" s="55" t="str">
        <f t="shared" ca="1" si="508"/>
        <v/>
      </c>
      <c r="AF1450" s="47" t="e">
        <f t="shared" ca="1" si="509"/>
        <v>#NAME?</v>
      </c>
      <c r="AG1450" s="47">
        <f t="shared" si="510"/>
        <v>44021011</v>
      </c>
      <c r="AH1450" s="54">
        <f>IF(Q1450="22",IF(ISNUMBER(SEARCH("econ",PAA_4[[#This Row],[Actividad3]])),"Económico",IF(ISNUMBER(SEARCH("alim",PAA_4[[#This Row],[Actividad3]])),"Alimentación",IF(ISNUMBER(SEARCH("educ",PAA_4[[#This Row],[Actividad3]])),"Educativo","Técnico"))),0)</f>
        <v>0</v>
      </c>
      <c r="AI1450" s="47" t="e" cm="1">
        <f t="array" aca="1" ref="AI1450" ca="1">_xlfn.XLOOKUP(PAA_4[[#This Row],[RCP-RUBRO]],[2]!COMPROMISOS_2024[[#All],[concatenado]],[2]!COMPROMISOS_2024[[#All],[Total pagado]],"",0)</f>
        <v>#NAME?</v>
      </c>
      <c r="AJ1450" s="56">
        <f>IF(PAA_4[[#This Row],[BOLSA]]=0,0,SUMIFS([2]!COMPROMISOS_2024[[#All],[Total pagado]],[2]!COMPROMISOS_2024[[#All],[Bolsa]],PAA_4[[#This Row],[BOLSA]],[2]!COMPROMISOS_2024[[#All],[rubro]],PAA_4[[#This Row],[RCP-RUBRO]]))</f>
        <v>0</v>
      </c>
      <c r="AK1450" s="47" t="e" cm="1">
        <f t="array" aca="1" ref="AK1450" ca="1">_xlfn.XLOOKUP(PAA_4[[#This Row],[RCP-RUBRO]],[2]!COMPROMISOS_2024[[#All],[concatenado]],[2]!COMPROMISOS_2024[[#All],[Total Comprometido]],"",0)</f>
        <v>#NAME?</v>
      </c>
      <c r="AL1450" s="47">
        <f>IF(PAA_4[[#This Row],[BOLSA]]=0,0,SUMIFS([2]!COMPROMISOS_2024[[#All],[Total Comprometido]],[2]!COMPROMISOS_2024[[#All],[Bolsa]],PAA_4[[#This Row],[BOLSA]],[2]!COMPROMISOS_2024[[#All],[concatenado]],PAA_4[[#This Row],[RCP-RUBRO]]))</f>
        <v>0</v>
      </c>
    </row>
    <row r="1451" spans="1:38" s="19" customFormat="1" ht="31.5" customHeight="1">
      <c r="A1451" s="47">
        <v>537</v>
      </c>
      <c r="B1451" s="47">
        <v>78111800</v>
      </c>
      <c r="C1451" s="47" t="str">
        <f>VLOOKUP(PAA_4[[#This Row],[PROYECTO (formulado)2]],[2]PROYECTOS!$G$1:$L$32,6,0)</f>
        <v>SUBGERENCIA DE FOMENTO Y DESARROLLO</v>
      </c>
      <c r="D1451" s="47" t="str">
        <f>+IF(PAA_4[[#This Row],[UNIDAD DE CONTRATACION (formulado)]]="Subgerencia Administrativa y Financiera","FUNCIONAMIENTO","INVERSIÓN")</f>
        <v>INVERSIÓN</v>
      </c>
      <c r="E1451" s="48" t="str">
        <f>VLOOKUP(Q1451,[2]PROYECTOS!$G$1:$K$32,5,0)</f>
        <v>FORTALECIMIENTO_DEL_PROGRAMA_POR_SU_SALUD_MUÉVASE_PUES_EN_LOS_MUNICIPIO_DEL_DEPARTAMENTO_DE_ANTIOQUIA</v>
      </c>
      <c r="F1451" s="48">
        <f>VLOOKUP(E1451,[2]PROYECTOS!$K$1:$M$32,3,0)</f>
        <v>2020003050030</v>
      </c>
      <c r="G1451" s="49" t="s">
        <v>326</v>
      </c>
      <c r="H1451" s="49" t="str">
        <f>VLOOKUP(Q1451,[2]PROYECTOS!$V$1:$W$32,2,0)</f>
        <v>050055</v>
      </c>
      <c r="I1451" s="50">
        <v>10873232</v>
      </c>
      <c r="J1451" s="51" t="s">
        <v>306</v>
      </c>
      <c r="K1451" s="47" t="str">
        <f t="shared" ca="1" si="505"/>
        <v>CONTRATADO</v>
      </c>
      <c r="L1451" s="47" t="s">
        <v>94</v>
      </c>
      <c r="M1451" s="47" t="s">
        <v>161</v>
      </c>
      <c r="N1451" s="52" t="s">
        <v>327</v>
      </c>
      <c r="O1451" s="51" t="e">
        <f>VLOOKUP(N1451,[2]!RUBROS[#All],3,0)</f>
        <v>#REF!</v>
      </c>
      <c r="P1451" s="53" t="e">
        <f>VLOOKUP(N1451,[2]!RUBROS[#All],2,0)</f>
        <v>#REF!</v>
      </c>
      <c r="Q1451" s="47" t="str">
        <f t="shared" si="506"/>
        <v>45</v>
      </c>
      <c r="R1451" s="47" t="str">
        <f t="shared" si="500"/>
        <v>0-205128</v>
      </c>
      <c r="S1451" s="54">
        <v>10</v>
      </c>
      <c r="T1451" s="59" t="s">
        <v>46</v>
      </c>
      <c r="U1451" s="326" t="e">
        <f ca="1">_xlfn.XLOOKUP(PAA_4[[#This Row],[ITEM]],[2]Contrato!A:A,[2]Contrato!Q:Q,"",0)</f>
        <v>#NAME?</v>
      </c>
      <c r="V1451" s="47" t="s">
        <v>47</v>
      </c>
      <c r="W1451" s="47" t="s">
        <v>91</v>
      </c>
      <c r="X1451" s="47" t="s">
        <v>91</v>
      </c>
      <c r="Y1451" s="55" t="e">
        <f ca="1">_xlfn.XLOOKUP(PAA_4[[#This Row],[ITEM]],[2]Contrato!A:A,[2]Contrato!B:B,"",0)</f>
        <v>#NAME?</v>
      </c>
      <c r="Z1451" s="47" t="e">
        <f ca="1">_xlfn.XLOOKUP(PAA_4[[#This Row],[ITEM]],[2]Contrato!A:A,[2]Contrato!G:G,"",0)</f>
        <v>#NAME?</v>
      </c>
      <c r="AA1451" s="47" t="e">
        <f ca="1">_xlfn.XLOOKUP(PAA_4[[#This Row],[ITEM]],[2]Contrato!A:A,[2]Contrato!T:T,"",0)</f>
        <v>#NAME?</v>
      </c>
      <c r="AB1451" s="55" t="e">
        <f ca="1">+MAX(PAA_4[[#This Row],[Comprometido Contrato]],PAA_4[[#This Row],[Comprometido Bolsa]])</f>
        <v>#NAME?</v>
      </c>
      <c r="AC1451" s="55" t="str">
        <f t="shared" ca="1" si="507"/>
        <v/>
      </c>
      <c r="AD1451" s="55" t="e">
        <f ca="1">IF(PAA_4[[#This Row],[ESTADO (formulado)]]="NO CONTRATADO",0,MAX(PAA_4[[#This Row],[Pago por Contrato]],PAA_4[[#This Row],[Pago por bolsa]]))</f>
        <v>#NAME?</v>
      </c>
      <c r="AE1451" s="55" t="str">
        <f t="shared" ca="1" si="508"/>
        <v/>
      </c>
      <c r="AF1451" s="47" t="e">
        <f t="shared" ca="1" si="509"/>
        <v>#NAME?</v>
      </c>
      <c r="AG1451" s="47">
        <f t="shared" si="510"/>
        <v>44021001</v>
      </c>
      <c r="AH1451" s="54">
        <f>IF(Q1451="22",IF(ISNUMBER(SEARCH("econ",PAA_4[[#This Row],[Actividad3]])),"Económico",IF(ISNUMBER(SEARCH("alim",PAA_4[[#This Row],[Actividad3]])),"Alimentación",IF(ISNUMBER(SEARCH("educ",PAA_4[[#This Row],[Actividad3]])),"Educativo","Técnico"))),0)</f>
        <v>0</v>
      </c>
      <c r="AI1451" s="47" t="e" cm="1">
        <f t="array" aca="1" ref="AI1451" ca="1">_xlfn.XLOOKUP(PAA_4[[#This Row],[RCP-RUBRO]],[2]!COMPROMISOS_2024[[#All],[concatenado]],[2]!COMPROMISOS_2024[[#All],[Total pagado]],"",0)</f>
        <v>#NAME?</v>
      </c>
      <c r="AJ1451" s="56">
        <f>IF(PAA_4[[#This Row],[BOLSA]]=0,0,SUMIFS([2]!COMPROMISOS_2024[[#All],[Total pagado]],[2]!COMPROMISOS_2024[[#All],[Bolsa]],PAA_4[[#This Row],[BOLSA]],[2]!COMPROMISOS_2024[[#All],[rubro]],PAA_4[[#This Row],[RCP-RUBRO]]))</f>
        <v>0</v>
      </c>
      <c r="AK1451" s="47" t="e" cm="1">
        <f t="array" aca="1" ref="AK1451" ca="1">_xlfn.XLOOKUP(PAA_4[[#This Row],[RCP-RUBRO]],[2]!COMPROMISOS_2024[[#All],[concatenado]],[2]!COMPROMISOS_2024[[#All],[Total Comprometido]],"",0)</f>
        <v>#NAME?</v>
      </c>
      <c r="AL1451" s="47">
        <f>IF(PAA_4[[#This Row],[BOLSA]]=0,0,SUMIFS([2]!COMPROMISOS_2024[[#All],[Total Comprometido]],[2]!COMPROMISOS_2024[[#All],[Bolsa]],PAA_4[[#This Row],[BOLSA]],[2]!COMPROMISOS_2024[[#All],[concatenado]],PAA_4[[#This Row],[RCP-RUBRO]]))</f>
        <v>0</v>
      </c>
    </row>
    <row r="1452" spans="1:38" s="19" customFormat="1" ht="31.5" customHeight="1">
      <c r="A1452" s="47">
        <v>537</v>
      </c>
      <c r="B1452" s="47">
        <v>78111800</v>
      </c>
      <c r="C1452" s="47" t="str">
        <f>VLOOKUP(PAA_4[[#This Row],[PROYECTO (formulado)2]],[2]PROYECTOS!$G$1:$L$32,6,0)</f>
        <v>SUBGERENCIA DE FOMENTO Y DESARROLLO</v>
      </c>
      <c r="D1452" s="47" t="str">
        <f>+IF(PAA_4[[#This Row],[UNIDAD DE CONTRATACION (formulado)]]="Subgerencia Administrativa y Financiera","FUNCIONAMIENTO","INVERSIÓN")</f>
        <v>INVERSIÓN</v>
      </c>
      <c r="E1452" s="48" t="str">
        <f>VLOOKUP(Q1452,[2]PROYECTOS!$G$1:$K$32,5,0)</f>
        <v>FORTALECIMIENTO_DE_LAS_ESCUELAS_DEPORTIVAS_EN_LOS_MUNICIPIOS_DEL_DEPARTAMENTO_DE_ANTIOQUIA</v>
      </c>
      <c r="F1452" s="48">
        <f>VLOOKUP(E1452,[2]PROYECTOS!$K$1:$M$32,3,0)</f>
        <v>2020003050032</v>
      </c>
      <c r="G1452" s="49" t="s">
        <v>333</v>
      </c>
      <c r="H1452" s="49" t="str">
        <f>VLOOKUP(Q1452,[2]PROYECTOS!$V$1:$W$32,2,0)</f>
        <v>050059</v>
      </c>
      <c r="I1452" s="50">
        <v>10873232</v>
      </c>
      <c r="J1452" s="51" t="s">
        <v>306</v>
      </c>
      <c r="K1452" s="47" t="str">
        <f t="shared" ca="1" si="505"/>
        <v>CONTRATADO</v>
      </c>
      <c r="L1452" s="47" t="s">
        <v>94</v>
      </c>
      <c r="M1452" s="47" t="s">
        <v>161</v>
      </c>
      <c r="N1452" s="52" t="s">
        <v>373</v>
      </c>
      <c r="O1452" s="51" t="e">
        <f>VLOOKUP(N1452,[2]!RUBROS[#All],3,0)</f>
        <v>#REF!</v>
      </c>
      <c r="P1452" s="53" t="e">
        <f>VLOOKUP(N1452,[2]!RUBROS[#All],2,0)</f>
        <v>#REF!</v>
      </c>
      <c r="Q1452" s="47" t="str">
        <f t="shared" si="506"/>
        <v>46</v>
      </c>
      <c r="R1452" s="47" t="str">
        <f t="shared" si="500"/>
        <v>0-205128</v>
      </c>
      <c r="S1452" s="54">
        <v>10</v>
      </c>
      <c r="T1452" s="59" t="s">
        <v>46</v>
      </c>
      <c r="U1452" s="326" t="e">
        <f ca="1">_xlfn.XLOOKUP(PAA_4[[#This Row],[ITEM]],[2]Contrato!A:A,[2]Contrato!Q:Q,"",0)</f>
        <v>#NAME?</v>
      </c>
      <c r="V1452" s="47" t="s">
        <v>47</v>
      </c>
      <c r="W1452" s="47" t="s">
        <v>91</v>
      </c>
      <c r="X1452" s="47" t="s">
        <v>91</v>
      </c>
      <c r="Y1452" s="55" t="e">
        <f ca="1">_xlfn.XLOOKUP(PAA_4[[#This Row],[ITEM]],[2]Contrato!A:A,[2]Contrato!B:B,"",0)</f>
        <v>#NAME?</v>
      </c>
      <c r="Z1452" s="47" t="e">
        <f ca="1">_xlfn.XLOOKUP(PAA_4[[#This Row],[ITEM]],[2]Contrato!A:A,[2]Contrato!G:G,"",0)</f>
        <v>#NAME?</v>
      </c>
      <c r="AA1452" s="47" t="e">
        <f ca="1">_xlfn.XLOOKUP(PAA_4[[#This Row],[ITEM]],[2]Contrato!A:A,[2]Contrato!T:T,"",0)</f>
        <v>#NAME?</v>
      </c>
      <c r="AB1452" s="55" t="e">
        <f ca="1">+MAX(PAA_4[[#This Row],[Comprometido Contrato]],PAA_4[[#This Row],[Comprometido Bolsa]])</f>
        <v>#NAME?</v>
      </c>
      <c r="AC1452" s="55" t="str">
        <f t="shared" ca="1" si="507"/>
        <v/>
      </c>
      <c r="AD1452" s="55" t="e">
        <f ca="1">IF(PAA_4[[#This Row],[ESTADO (formulado)]]="NO CONTRATADO",0,MAX(PAA_4[[#This Row],[Pago por Contrato]],PAA_4[[#This Row],[Pago por bolsa]]))</f>
        <v>#NAME?</v>
      </c>
      <c r="AE1452" s="55" t="str">
        <f t="shared" ca="1" si="508"/>
        <v/>
      </c>
      <c r="AF1452" s="47" t="e">
        <f t="shared" ca="1" si="509"/>
        <v>#NAME?</v>
      </c>
      <c r="AG1452" s="47">
        <f t="shared" si="510"/>
        <v>44021007</v>
      </c>
      <c r="AH1452" s="54">
        <f>IF(Q1452="22",IF(ISNUMBER(SEARCH("econ",PAA_4[[#This Row],[Actividad3]])),"Económico",IF(ISNUMBER(SEARCH("alim",PAA_4[[#This Row],[Actividad3]])),"Alimentación",IF(ISNUMBER(SEARCH("educ",PAA_4[[#This Row],[Actividad3]])),"Educativo","Técnico"))),0)</f>
        <v>0</v>
      </c>
      <c r="AI1452" s="47" t="e" cm="1">
        <f t="array" aca="1" ref="AI1452" ca="1">_xlfn.XLOOKUP(PAA_4[[#This Row],[RCP-RUBRO]],[2]!COMPROMISOS_2024[[#All],[concatenado]],[2]!COMPROMISOS_2024[[#All],[Total pagado]],"",0)</f>
        <v>#NAME?</v>
      </c>
      <c r="AJ1452" s="56">
        <f>IF(PAA_4[[#This Row],[BOLSA]]=0,0,SUMIFS([2]!COMPROMISOS_2024[[#All],[Total pagado]],[2]!COMPROMISOS_2024[[#All],[Bolsa]],PAA_4[[#This Row],[BOLSA]],[2]!COMPROMISOS_2024[[#All],[rubro]],PAA_4[[#This Row],[RCP-RUBRO]]))</f>
        <v>0</v>
      </c>
      <c r="AK1452" s="47" t="e" cm="1">
        <f t="array" aca="1" ref="AK1452" ca="1">_xlfn.XLOOKUP(PAA_4[[#This Row],[RCP-RUBRO]],[2]!COMPROMISOS_2024[[#All],[concatenado]],[2]!COMPROMISOS_2024[[#All],[Total Comprometido]],"",0)</f>
        <v>#NAME?</v>
      </c>
      <c r="AL1452" s="47">
        <f>IF(PAA_4[[#This Row],[BOLSA]]=0,0,SUMIFS([2]!COMPROMISOS_2024[[#All],[Total Comprometido]],[2]!COMPROMISOS_2024[[#All],[Bolsa]],PAA_4[[#This Row],[BOLSA]],[2]!COMPROMISOS_2024[[#All],[concatenado]],PAA_4[[#This Row],[RCP-RUBRO]]))</f>
        <v>0</v>
      </c>
    </row>
    <row r="1453" spans="1:38" s="19" customFormat="1" ht="31.5" customHeight="1">
      <c r="A1453" s="47">
        <v>537</v>
      </c>
      <c r="B1453" s="47">
        <v>78111800</v>
      </c>
      <c r="C1453" s="47" t="str">
        <f>VLOOKUP(PAA_4[[#This Row],[PROYECTO (formulado)2]],[2]PROYECTOS!$G$1:$L$32,6,0)</f>
        <v>SUBGERENCIA DE FOMENTO Y DESARROLLO</v>
      </c>
      <c r="D1453" s="47" t="str">
        <f>+IF(PAA_4[[#This Row],[UNIDAD DE CONTRATACION (formulado)]]="Subgerencia Administrativa y Financiera","FUNCIONAMIENTO","INVERSIÓN")</f>
        <v>INVERSIÓN</v>
      </c>
      <c r="E1453" s="48" t="str">
        <f>VLOOKUP(Q1453,[2]PROYECTOS!$G$1:$K$32,5,0)</f>
        <v>FORTALECIMIENTO_DE_LOS_PROGRAMAS_RECREATIVOS_EN_LOS_MUNICIPIOS_DEL_DEPARTAMENTO_DE_ANTIOQUIA</v>
      </c>
      <c r="F1453" s="48">
        <f>VLOOKUP(E1453,[2]PROYECTOS!$K$1:$M$32,3,0)</f>
        <v>2020003050031</v>
      </c>
      <c r="G1453" s="49" t="s">
        <v>335</v>
      </c>
      <c r="H1453" s="49" t="str">
        <f>VLOOKUP(Q1453,[2]PROYECTOS!$V$1:$W$32,2,0)</f>
        <v>050064</v>
      </c>
      <c r="I1453" s="50">
        <v>10873232</v>
      </c>
      <c r="J1453" s="51" t="s">
        <v>306</v>
      </c>
      <c r="K1453" s="47" t="str">
        <f t="shared" ca="1" si="505"/>
        <v>CONTRATADO</v>
      </c>
      <c r="L1453" s="47" t="s">
        <v>94</v>
      </c>
      <c r="M1453" s="47" t="s">
        <v>161</v>
      </c>
      <c r="N1453" s="52" t="s">
        <v>379</v>
      </c>
      <c r="O1453" s="51" t="e">
        <f>VLOOKUP(N1453,[2]!RUBROS[#All],3,0)</f>
        <v>#REF!</v>
      </c>
      <c r="P1453" s="53" t="e">
        <f>VLOOKUP(N1453,[2]!RUBROS[#All],2,0)</f>
        <v>#REF!</v>
      </c>
      <c r="Q1453" s="47" t="str">
        <f t="shared" si="506"/>
        <v>47</v>
      </c>
      <c r="R1453" s="47" t="str">
        <f t="shared" si="500"/>
        <v>0-205128</v>
      </c>
      <c r="S1453" s="54">
        <v>10</v>
      </c>
      <c r="T1453" s="59" t="s">
        <v>46</v>
      </c>
      <c r="U1453" s="326" t="e">
        <f ca="1">_xlfn.XLOOKUP(PAA_4[[#This Row],[ITEM]],[2]Contrato!A:A,[2]Contrato!Q:Q,"",0)</f>
        <v>#NAME?</v>
      </c>
      <c r="V1453" s="47" t="s">
        <v>47</v>
      </c>
      <c r="W1453" s="47" t="s">
        <v>91</v>
      </c>
      <c r="X1453" s="47" t="s">
        <v>91</v>
      </c>
      <c r="Y1453" s="55" t="e">
        <f ca="1">_xlfn.XLOOKUP(PAA_4[[#This Row],[ITEM]],[2]Contrato!A:A,[2]Contrato!B:B,"",0)</f>
        <v>#NAME?</v>
      </c>
      <c r="Z1453" s="47" t="e">
        <f ca="1">_xlfn.XLOOKUP(PAA_4[[#This Row],[ITEM]],[2]Contrato!A:A,[2]Contrato!G:G,"",0)</f>
        <v>#NAME?</v>
      </c>
      <c r="AA1453" s="47" t="e">
        <f ca="1">_xlfn.XLOOKUP(PAA_4[[#This Row],[ITEM]],[2]Contrato!A:A,[2]Contrato!T:T,"",0)</f>
        <v>#NAME?</v>
      </c>
      <c r="AB1453" s="55" t="e">
        <f ca="1">+MAX(PAA_4[[#This Row],[Comprometido Contrato]],PAA_4[[#This Row],[Comprometido Bolsa]])</f>
        <v>#NAME?</v>
      </c>
      <c r="AC1453" s="55" t="str">
        <f t="shared" ca="1" si="507"/>
        <v/>
      </c>
      <c r="AD1453" s="55" t="e">
        <f ca="1">IF(PAA_4[[#This Row],[ESTADO (formulado)]]="NO CONTRATADO",0,MAX(PAA_4[[#This Row],[Pago por Contrato]],PAA_4[[#This Row],[Pago por bolsa]]))</f>
        <v>#NAME?</v>
      </c>
      <c r="AE1453" s="55" t="str">
        <f t="shared" ca="1" si="508"/>
        <v/>
      </c>
      <c r="AF1453" s="47" t="e">
        <f t="shared" ca="1" si="509"/>
        <v>#NAME?</v>
      </c>
      <c r="AG1453" s="47">
        <f t="shared" si="510"/>
        <v>44021004</v>
      </c>
      <c r="AH1453" s="54">
        <f>IF(Q1453="22",IF(ISNUMBER(SEARCH("econ",PAA_4[[#This Row],[Actividad3]])),"Económico",IF(ISNUMBER(SEARCH("alim",PAA_4[[#This Row],[Actividad3]])),"Alimentación",IF(ISNUMBER(SEARCH("educ",PAA_4[[#This Row],[Actividad3]])),"Educativo","Técnico"))),0)</f>
        <v>0</v>
      </c>
      <c r="AI1453" s="47" t="e" cm="1">
        <f t="array" aca="1" ref="AI1453" ca="1">_xlfn.XLOOKUP(PAA_4[[#This Row],[RCP-RUBRO]],[2]!COMPROMISOS_2024[[#All],[concatenado]],[2]!COMPROMISOS_2024[[#All],[Total pagado]],"",0)</f>
        <v>#NAME?</v>
      </c>
      <c r="AJ1453" s="56">
        <f>IF(PAA_4[[#This Row],[BOLSA]]=0,0,SUMIFS([2]!COMPROMISOS_2024[[#All],[Total pagado]],[2]!COMPROMISOS_2024[[#All],[Bolsa]],PAA_4[[#This Row],[BOLSA]],[2]!COMPROMISOS_2024[[#All],[rubro]],PAA_4[[#This Row],[RCP-RUBRO]]))</f>
        <v>0</v>
      </c>
      <c r="AK1453" s="47" t="e" cm="1">
        <f t="array" aca="1" ref="AK1453" ca="1">_xlfn.XLOOKUP(PAA_4[[#This Row],[RCP-RUBRO]],[2]!COMPROMISOS_2024[[#All],[concatenado]],[2]!COMPROMISOS_2024[[#All],[Total Comprometido]],"",0)</f>
        <v>#NAME?</v>
      </c>
      <c r="AL1453" s="47">
        <f>IF(PAA_4[[#This Row],[BOLSA]]=0,0,SUMIFS([2]!COMPROMISOS_2024[[#All],[Total Comprometido]],[2]!COMPROMISOS_2024[[#All],[Bolsa]],PAA_4[[#This Row],[BOLSA]],[2]!COMPROMISOS_2024[[#All],[concatenado]],PAA_4[[#This Row],[RCP-RUBRO]]))</f>
        <v>0</v>
      </c>
    </row>
    <row r="1454" spans="1:38" s="19" customFormat="1" ht="31.5" customHeight="1">
      <c r="A1454" s="47">
        <v>537</v>
      </c>
      <c r="B1454" s="47">
        <v>78111800</v>
      </c>
      <c r="C1454" s="47" t="str">
        <f>VLOOKUP(PAA_4[[#This Row],[PROYECTO (formulado)2]],[2]PROYECTOS!$G$1:$L$32,6,0)</f>
        <v>SUBGERENCIA DE FOMENTO Y DESARROLLO</v>
      </c>
      <c r="D1454" s="47" t="str">
        <f>+IF(PAA_4[[#This Row],[UNIDAD DE CONTRATACION (formulado)]]="Subgerencia Administrativa y Financiera","FUNCIONAMIENTO","INVERSIÓN")</f>
        <v>INVERSIÓN</v>
      </c>
      <c r="E1454" s="48" t="str">
        <f>VLOOKUP(Q1454,[2]PROYECTOS!$G$1:$K$32,5,0)</f>
        <v>FORTALECIMIENTO_DE_LOS_JUEGOS_DEL_SECTOR_SOCIAL_COMUNITARIO_EN_LOS_MUNICIPIOS_DEL_DEPARTAMENTO_DE_ANTIOQU</v>
      </c>
      <c r="F1454" s="48">
        <f>VLOOKUP(E1454,[2]PROYECTOS!$K$1:$M$32,3,0)</f>
        <v>2020003050033</v>
      </c>
      <c r="G1454" s="49" t="s">
        <v>342</v>
      </c>
      <c r="H1454" s="49" t="str">
        <f>VLOOKUP(Q1454,[2]PROYECTOS!$V$1:$W$32,2,0)</f>
        <v>050057</v>
      </c>
      <c r="I1454" s="50">
        <v>21746463</v>
      </c>
      <c r="J1454" s="51" t="s">
        <v>306</v>
      </c>
      <c r="K1454" s="47" t="str">
        <f t="shared" ca="1" si="505"/>
        <v>CONTRATADO</v>
      </c>
      <c r="L1454" s="47" t="s">
        <v>94</v>
      </c>
      <c r="M1454" s="47" t="s">
        <v>161</v>
      </c>
      <c r="N1454" s="52" t="s">
        <v>392</v>
      </c>
      <c r="O1454" s="51" t="e">
        <f>VLOOKUP(N1454,[2]!RUBROS[#All],3,0)</f>
        <v>#REF!</v>
      </c>
      <c r="P1454" s="53" t="e">
        <f>VLOOKUP(N1454,[2]!RUBROS[#All],2,0)</f>
        <v>#REF!</v>
      </c>
      <c r="Q1454" s="47" t="str">
        <f t="shared" si="506"/>
        <v>50</v>
      </c>
      <c r="R1454" s="47" t="str">
        <f t="shared" si="500"/>
        <v>0-205128</v>
      </c>
      <c r="S1454" s="54">
        <v>10</v>
      </c>
      <c r="T1454" s="59" t="s">
        <v>46</v>
      </c>
      <c r="U1454" s="326" t="e">
        <f ca="1">_xlfn.XLOOKUP(PAA_4[[#This Row],[ITEM]],[2]Contrato!A:A,[2]Contrato!Q:Q,"",0)</f>
        <v>#NAME?</v>
      </c>
      <c r="V1454" s="47" t="s">
        <v>47</v>
      </c>
      <c r="W1454" s="47" t="s">
        <v>91</v>
      </c>
      <c r="X1454" s="47" t="s">
        <v>91</v>
      </c>
      <c r="Y1454" s="55" t="e">
        <f ca="1">_xlfn.XLOOKUP(PAA_4[[#This Row],[ITEM]],[2]Contrato!A:A,[2]Contrato!B:B,"",0)</f>
        <v>#NAME?</v>
      </c>
      <c r="Z1454" s="47" t="e">
        <f ca="1">_xlfn.XLOOKUP(PAA_4[[#This Row],[ITEM]],[2]Contrato!A:A,[2]Contrato!G:G,"",0)</f>
        <v>#NAME?</v>
      </c>
      <c r="AA1454" s="47" t="e">
        <f ca="1">_xlfn.XLOOKUP(PAA_4[[#This Row],[ITEM]],[2]Contrato!A:A,[2]Contrato!T:T,"",0)</f>
        <v>#NAME?</v>
      </c>
      <c r="AB1454" s="55" t="e">
        <f ca="1">+MAX(PAA_4[[#This Row],[Comprometido Contrato]],PAA_4[[#This Row],[Comprometido Bolsa]])</f>
        <v>#NAME?</v>
      </c>
      <c r="AC1454" s="55" t="str">
        <f t="shared" ca="1" si="507"/>
        <v/>
      </c>
      <c r="AD1454" s="55" t="e">
        <f ca="1">IF(PAA_4[[#This Row],[ESTADO (formulado)]]="NO CONTRATADO",0,MAX(PAA_4[[#This Row],[Pago por Contrato]],PAA_4[[#This Row],[Pago por bolsa]]))</f>
        <v>#NAME?</v>
      </c>
      <c r="AE1454" s="55" t="str">
        <f t="shared" ca="1" si="508"/>
        <v/>
      </c>
      <c r="AF1454" s="47" t="e">
        <f t="shared" ca="1" si="509"/>
        <v>#NAME?</v>
      </c>
      <c r="AG1454" s="47">
        <f t="shared" si="510"/>
        <v>44021010</v>
      </c>
      <c r="AH1454" s="54">
        <f>IF(Q1454="22",IF(ISNUMBER(SEARCH("econ",PAA_4[[#This Row],[Actividad3]])),"Económico",IF(ISNUMBER(SEARCH("alim",PAA_4[[#This Row],[Actividad3]])),"Alimentación",IF(ISNUMBER(SEARCH("educ",PAA_4[[#This Row],[Actividad3]])),"Educativo","Técnico"))),0)</f>
        <v>0</v>
      </c>
      <c r="AI1454" s="47" t="e" cm="1">
        <f t="array" aca="1" ref="AI1454" ca="1">_xlfn.XLOOKUP(PAA_4[[#This Row],[RCP-RUBRO]],[2]!COMPROMISOS_2024[[#All],[concatenado]],[2]!COMPROMISOS_2024[[#All],[Total pagado]],"",0)</f>
        <v>#NAME?</v>
      </c>
      <c r="AJ1454" s="56">
        <f>IF(PAA_4[[#This Row],[BOLSA]]=0,0,SUMIFS([2]!COMPROMISOS_2024[[#All],[Total pagado]],[2]!COMPROMISOS_2024[[#All],[Bolsa]],PAA_4[[#This Row],[BOLSA]],[2]!COMPROMISOS_2024[[#All],[rubro]],PAA_4[[#This Row],[RCP-RUBRO]]))</f>
        <v>0</v>
      </c>
      <c r="AK1454" s="47" t="e" cm="1">
        <f t="array" aca="1" ref="AK1454" ca="1">_xlfn.XLOOKUP(PAA_4[[#This Row],[RCP-RUBRO]],[2]!COMPROMISOS_2024[[#All],[concatenado]],[2]!COMPROMISOS_2024[[#All],[Total Comprometido]],"",0)</f>
        <v>#NAME?</v>
      </c>
      <c r="AL1454" s="47">
        <f>IF(PAA_4[[#This Row],[BOLSA]]=0,0,SUMIFS([2]!COMPROMISOS_2024[[#All],[Total Comprometido]],[2]!COMPROMISOS_2024[[#All],[Bolsa]],PAA_4[[#This Row],[BOLSA]],[2]!COMPROMISOS_2024[[#All],[concatenado]],PAA_4[[#This Row],[RCP-RUBRO]]))</f>
        <v>0</v>
      </c>
    </row>
    <row r="1455" spans="1:38" s="19" customFormat="1" ht="31.5" customHeight="1">
      <c r="A1455" s="47">
        <v>537</v>
      </c>
      <c r="B1455" s="47">
        <v>78111800</v>
      </c>
      <c r="C1455" s="47" t="str">
        <f>VLOOKUP(PAA_4[[#This Row],[PROYECTO (formulado)2]],[2]PROYECTOS!$G$1:$L$32,6,0)</f>
        <v>SUBGERENCIA DE FOMENTO Y DESARROLLO</v>
      </c>
      <c r="D1455" s="47" t="str">
        <f>+IF(PAA_4[[#This Row],[UNIDAD DE CONTRATACION (formulado)]]="Subgerencia Administrativa y Financiera","FUNCIONAMIENTO","INVERSIÓN")</f>
        <v>INVERSIÓN</v>
      </c>
      <c r="E1455" s="48" t="str">
        <f>VLOOKUP(Q1455,[2]PROYECTOS!$G$1:$K$32,5,0)</f>
        <v>FORTALECIMIENTO_DE_LOS_JUEGOS_DEL_SECTOR_EDUCATIVO_EN_ANTIOQUIA</v>
      </c>
      <c r="F1455" s="48">
        <f>VLOOKUP(E1455,[2]PROYECTOS!$K$1:$M$32,3,0)</f>
        <v>2020003050034</v>
      </c>
      <c r="G1455" s="49" t="s">
        <v>340</v>
      </c>
      <c r="H1455" s="49" t="str">
        <f>VLOOKUP(Q1455,[2]PROYECTOS!$V$1:$W$32,2,0)</f>
        <v>050053</v>
      </c>
      <c r="I1455" s="50">
        <v>21746459</v>
      </c>
      <c r="J1455" s="51" t="s">
        <v>306</v>
      </c>
      <c r="K1455" s="47" t="str">
        <f t="shared" ca="1" si="505"/>
        <v>CONTRATADO</v>
      </c>
      <c r="L1455" s="47" t="s">
        <v>94</v>
      </c>
      <c r="M1455" s="47" t="s">
        <v>161</v>
      </c>
      <c r="N1455" s="52" t="s">
        <v>416</v>
      </c>
      <c r="O1455" s="51" t="e">
        <f>VLOOKUP(N1455,[2]!RUBROS[#All],3,0)</f>
        <v>#REF!</v>
      </c>
      <c r="P1455" s="53" t="e">
        <f>VLOOKUP(N1455,[2]!RUBROS[#All],2,0)</f>
        <v>#REF!</v>
      </c>
      <c r="Q1455" s="47" t="str">
        <f t="shared" si="506"/>
        <v>51</v>
      </c>
      <c r="R1455" s="47" t="str">
        <f t="shared" si="500"/>
        <v>0-205128</v>
      </c>
      <c r="S1455" s="54">
        <v>10</v>
      </c>
      <c r="T1455" s="59" t="s">
        <v>46</v>
      </c>
      <c r="U1455" s="326" t="e">
        <f ca="1">_xlfn.XLOOKUP(PAA_4[[#This Row],[ITEM]],[2]Contrato!A:A,[2]Contrato!Q:Q,"",0)</f>
        <v>#NAME?</v>
      </c>
      <c r="V1455" s="47" t="s">
        <v>47</v>
      </c>
      <c r="W1455" s="47" t="s">
        <v>91</v>
      </c>
      <c r="X1455" s="47" t="s">
        <v>91</v>
      </c>
      <c r="Y1455" s="55" t="e">
        <f ca="1">_xlfn.XLOOKUP(PAA_4[[#This Row],[ITEM]],[2]Contrato!A:A,[2]Contrato!B:B,"",0)</f>
        <v>#NAME?</v>
      </c>
      <c r="Z1455" s="47" t="e">
        <f ca="1">_xlfn.XLOOKUP(PAA_4[[#This Row],[ITEM]],[2]Contrato!A:A,[2]Contrato!G:G,"",0)</f>
        <v>#NAME?</v>
      </c>
      <c r="AA1455" s="47" t="e">
        <f ca="1">_xlfn.XLOOKUP(PAA_4[[#This Row],[ITEM]],[2]Contrato!A:A,[2]Contrato!T:T,"",0)</f>
        <v>#NAME?</v>
      </c>
      <c r="AB1455" s="55" t="e">
        <f ca="1">+MAX(PAA_4[[#This Row],[Comprometido Contrato]],PAA_4[[#This Row],[Comprometido Bolsa]])</f>
        <v>#NAME?</v>
      </c>
      <c r="AC1455" s="55" t="str">
        <f t="shared" ca="1" si="507"/>
        <v/>
      </c>
      <c r="AD1455" s="55" t="e">
        <f ca="1">IF(PAA_4[[#This Row],[ESTADO (formulado)]]="NO CONTRATADO",0,MAX(PAA_4[[#This Row],[Pago por Contrato]],PAA_4[[#This Row],[Pago por bolsa]]))</f>
        <v>#NAME?</v>
      </c>
      <c r="AE1455" s="55" t="str">
        <f t="shared" ca="1" si="508"/>
        <v/>
      </c>
      <c r="AF1455" s="47" t="e">
        <f t="shared" ca="1" si="509"/>
        <v>#NAME?</v>
      </c>
      <c r="AG1455" s="47">
        <f t="shared" si="510"/>
        <v>44021011</v>
      </c>
      <c r="AH1455" s="54">
        <f>IF(Q1455="22",IF(ISNUMBER(SEARCH("econ",PAA_4[[#This Row],[Actividad3]])),"Económico",IF(ISNUMBER(SEARCH("alim",PAA_4[[#This Row],[Actividad3]])),"Alimentación",IF(ISNUMBER(SEARCH("educ",PAA_4[[#This Row],[Actividad3]])),"Educativo","Técnico"))),0)</f>
        <v>0</v>
      </c>
      <c r="AI1455" s="47" t="e" cm="1">
        <f t="array" aca="1" ref="AI1455" ca="1">_xlfn.XLOOKUP(PAA_4[[#This Row],[RCP-RUBRO]],[2]!COMPROMISOS_2024[[#All],[concatenado]],[2]!COMPROMISOS_2024[[#All],[Total pagado]],"",0)</f>
        <v>#NAME?</v>
      </c>
      <c r="AJ1455" s="56">
        <f>IF(PAA_4[[#This Row],[BOLSA]]=0,0,SUMIFS([2]!COMPROMISOS_2024[[#All],[Total pagado]],[2]!COMPROMISOS_2024[[#All],[Bolsa]],PAA_4[[#This Row],[BOLSA]],[2]!COMPROMISOS_2024[[#All],[rubro]],PAA_4[[#This Row],[RCP-RUBRO]]))</f>
        <v>0</v>
      </c>
      <c r="AK1455" s="47" t="e" cm="1">
        <f t="array" aca="1" ref="AK1455" ca="1">_xlfn.XLOOKUP(PAA_4[[#This Row],[RCP-RUBRO]],[2]!COMPROMISOS_2024[[#All],[concatenado]],[2]!COMPROMISOS_2024[[#All],[Total Comprometido]],"",0)</f>
        <v>#NAME?</v>
      </c>
      <c r="AL1455" s="47">
        <f>IF(PAA_4[[#This Row],[BOLSA]]=0,0,SUMIFS([2]!COMPROMISOS_2024[[#All],[Total Comprometido]],[2]!COMPROMISOS_2024[[#All],[Bolsa]],PAA_4[[#This Row],[BOLSA]],[2]!COMPROMISOS_2024[[#All],[concatenado]],PAA_4[[#This Row],[RCP-RUBRO]]))</f>
        <v>0</v>
      </c>
    </row>
    <row r="1456" spans="1:38" s="19" customFormat="1" ht="31.5" customHeight="1">
      <c r="A1456" s="47">
        <v>537</v>
      </c>
      <c r="B1456" s="47">
        <v>78111800</v>
      </c>
      <c r="C1456" s="47" t="str">
        <f>VLOOKUP(PAA_4[[#This Row],[PROYECTO (formulado)2]],[2]PROYECTOS!$G$1:$L$32,6,0)</f>
        <v>SUBGERENCIA DE FOMENTO Y DESARROLLO</v>
      </c>
      <c r="D1456" s="47" t="str">
        <f>+IF(PAA_4[[#This Row],[UNIDAD DE CONTRATACION (formulado)]]="Subgerencia Administrativa y Financiera","FUNCIONAMIENTO","INVERSIÓN")</f>
        <v>INVERSIÓN</v>
      </c>
      <c r="E1456" s="48" t="str">
        <f>VLOOKUP(Q1456,[2]PROYECTOS!$G$1:$K$32,5,0)</f>
        <v>CAPACITACION_PARA_EL_SECTOR_DEL_DEPORTE_LA_ACTIVIDAD_FISICA_LA_RECREACION_Y_LA_EDUCACION_FISICA_DE_ANTI</v>
      </c>
      <c r="F1456" s="48">
        <f>VLOOKUP(E1456,[2]PROYECTOS!$K$1:$M$32,3,0)</f>
        <v>2020003050024</v>
      </c>
      <c r="G1456" s="49" t="s">
        <v>337</v>
      </c>
      <c r="H1456" s="49" t="str">
        <f>VLOOKUP(Q1456,[2]PROYECTOS!$V$1:$W$32,2,0)</f>
        <v>050063</v>
      </c>
      <c r="I1456" s="50">
        <v>4077462</v>
      </c>
      <c r="J1456" s="51" t="s">
        <v>306</v>
      </c>
      <c r="K1456" s="47" t="str">
        <f t="shared" ca="1" si="505"/>
        <v>CONTRATADO</v>
      </c>
      <c r="L1456" s="47" t="s">
        <v>94</v>
      </c>
      <c r="M1456" s="47" t="s">
        <v>161</v>
      </c>
      <c r="N1456" s="52" t="s">
        <v>421</v>
      </c>
      <c r="O1456" s="51" t="e">
        <f>VLOOKUP(N1456,[2]!RUBROS[#All],3,0)</f>
        <v>#REF!</v>
      </c>
      <c r="P1456" s="53" t="e">
        <f>VLOOKUP(N1456,[2]!RUBROS[#All],2,0)</f>
        <v>#REF!</v>
      </c>
      <c r="Q1456" s="47" t="str">
        <f t="shared" si="506"/>
        <v>48</v>
      </c>
      <c r="R1456" s="47" t="str">
        <f t="shared" ref="R1456:R1519" si="511">+MID(N1456,14,8)</f>
        <v>0-205128</v>
      </c>
      <c r="S1456" s="54">
        <v>10</v>
      </c>
      <c r="T1456" s="59" t="s">
        <v>46</v>
      </c>
      <c r="U1456" s="326" t="e">
        <f ca="1">_xlfn.XLOOKUP(PAA_4[[#This Row],[ITEM]],[2]Contrato!A:A,[2]Contrato!Q:Q,"",0)</f>
        <v>#NAME?</v>
      </c>
      <c r="V1456" s="47" t="s">
        <v>47</v>
      </c>
      <c r="W1456" s="47" t="s">
        <v>91</v>
      </c>
      <c r="X1456" s="47" t="s">
        <v>91</v>
      </c>
      <c r="Y1456" s="55" t="e">
        <f ca="1">_xlfn.XLOOKUP(PAA_4[[#This Row],[ITEM]],[2]Contrato!A:A,[2]Contrato!B:B,"",0)</f>
        <v>#NAME?</v>
      </c>
      <c r="Z1456" s="47" t="e">
        <f ca="1">_xlfn.XLOOKUP(PAA_4[[#This Row],[ITEM]],[2]Contrato!A:A,[2]Contrato!G:G,"",0)</f>
        <v>#NAME?</v>
      </c>
      <c r="AA1456" s="47" t="e">
        <f ca="1">_xlfn.XLOOKUP(PAA_4[[#This Row],[ITEM]],[2]Contrato!A:A,[2]Contrato!T:T,"",0)</f>
        <v>#NAME?</v>
      </c>
      <c r="AB1456" s="55" t="e">
        <f ca="1">+MAX(PAA_4[[#This Row],[Comprometido Contrato]],PAA_4[[#This Row],[Comprometido Bolsa]])</f>
        <v>#NAME?</v>
      </c>
      <c r="AC1456" s="55" t="str">
        <f t="shared" ca="1" si="507"/>
        <v/>
      </c>
      <c r="AD1456" s="55" t="e">
        <f ca="1">IF(PAA_4[[#This Row],[ESTADO (formulado)]]="NO CONTRATADO",0,MAX(PAA_4[[#This Row],[Pago por Contrato]],PAA_4[[#This Row],[Pago por bolsa]]))</f>
        <v>#NAME?</v>
      </c>
      <c r="AE1456" s="55" t="str">
        <f t="shared" ca="1" si="508"/>
        <v/>
      </c>
      <c r="AF1456" s="47" t="e">
        <f t="shared" ca="1" si="509"/>
        <v>#NAME?</v>
      </c>
      <c r="AG1456" s="47">
        <f t="shared" si="510"/>
        <v>41080201</v>
      </c>
      <c r="AH1456" s="54">
        <f>IF(Q1456="22",IF(ISNUMBER(SEARCH("econ",PAA_4[[#This Row],[Actividad3]])),"Económico",IF(ISNUMBER(SEARCH("alim",PAA_4[[#This Row],[Actividad3]])),"Alimentación",IF(ISNUMBER(SEARCH("educ",PAA_4[[#This Row],[Actividad3]])),"Educativo","Técnico"))),0)</f>
        <v>0</v>
      </c>
      <c r="AI1456" s="47" t="e" cm="1">
        <f t="array" aca="1" ref="AI1456" ca="1">_xlfn.XLOOKUP(PAA_4[[#This Row],[RCP-RUBRO]],[2]!COMPROMISOS_2024[[#All],[concatenado]],[2]!COMPROMISOS_2024[[#All],[Total pagado]],"",0)</f>
        <v>#NAME?</v>
      </c>
      <c r="AJ1456" s="56">
        <f>IF(PAA_4[[#This Row],[BOLSA]]=0,0,SUMIFS([2]!COMPROMISOS_2024[[#All],[Total pagado]],[2]!COMPROMISOS_2024[[#All],[Bolsa]],PAA_4[[#This Row],[BOLSA]],[2]!COMPROMISOS_2024[[#All],[rubro]],PAA_4[[#This Row],[RCP-RUBRO]]))</f>
        <v>0</v>
      </c>
      <c r="AK1456" s="47" t="e" cm="1">
        <f t="array" aca="1" ref="AK1456" ca="1">_xlfn.XLOOKUP(PAA_4[[#This Row],[RCP-RUBRO]],[2]!COMPROMISOS_2024[[#All],[concatenado]],[2]!COMPROMISOS_2024[[#All],[Total Comprometido]],"",0)</f>
        <v>#NAME?</v>
      </c>
      <c r="AL1456" s="47">
        <f>IF(PAA_4[[#This Row],[BOLSA]]=0,0,SUMIFS([2]!COMPROMISOS_2024[[#All],[Total Comprometido]],[2]!COMPROMISOS_2024[[#All],[Bolsa]],PAA_4[[#This Row],[BOLSA]],[2]!COMPROMISOS_2024[[#All],[concatenado]],PAA_4[[#This Row],[RCP-RUBRO]]))</f>
        <v>0</v>
      </c>
    </row>
    <row r="1457" spans="1:38" s="19" customFormat="1" ht="31.5" customHeight="1">
      <c r="A1457" s="47">
        <v>538</v>
      </c>
      <c r="B1457" s="47">
        <v>800111600</v>
      </c>
      <c r="C1457" s="47" t="str">
        <f>VLOOKUP(PAA_4[[#This Row],[PROYECTO (formulado)2]],[2]PROYECTOS!$G$1:$L$32,6,0)</f>
        <v>SUBGERENCIA DE FOMENTO Y DESARROLLO</v>
      </c>
      <c r="D1457" s="47" t="str">
        <f>+IF(PAA_4[[#This Row],[UNIDAD DE CONTRATACION (formulado)]]="Subgerencia Administrativa y Financiera","FUNCIONAMIENTO","INVERSIÓN")</f>
        <v>INVERSIÓN</v>
      </c>
      <c r="E1457" s="48" t="str">
        <f>VLOOKUP(Q1457,[2]PROYECTOS!$G$1:$K$32,5,0)</f>
        <v>FORTALECIMIENTO_DE_LAS_ESCUELAS_DEPORTIVAS_EN_LOS_MUNICIPIOS_DEL_DEPARTAMENTO_DE_ANTIOQUIA</v>
      </c>
      <c r="F1457" s="48">
        <f>VLOOKUP(E1457,[2]PROYECTOS!$K$1:$M$32,3,0)</f>
        <v>2020003050032</v>
      </c>
      <c r="G1457" s="49" t="s">
        <v>376</v>
      </c>
      <c r="H1457" s="49" t="str">
        <f>VLOOKUP(Q1457,[2]PROYECTOS!$V$1:$W$32,2,0)</f>
        <v>050059</v>
      </c>
      <c r="I1457" s="50">
        <v>57953567</v>
      </c>
      <c r="J1457" s="51" t="s">
        <v>428</v>
      </c>
      <c r="K1457" s="47" t="str">
        <f t="shared" ca="1" si="505"/>
        <v>CONTRATADO</v>
      </c>
      <c r="L1457" s="47" t="s">
        <v>94</v>
      </c>
      <c r="M1457" s="47" t="s">
        <v>1297</v>
      </c>
      <c r="N1457" s="52" t="s">
        <v>366</v>
      </c>
      <c r="O1457" s="51" t="e">
        <f>VLOOKUP(N1457,[2]!RUBROS[#All],3,0)</f>
        <v>#REF!</v>
      </c>
      <c r="P1457" s="53" t="e">
        <f>VLOOKUP(N1457,[2]!RUBROS[#All],2,0)</f>
        <v>#REF!</v>
      </c>
      <c r="Q1457" s="47" t="str">
        <f t="shared" si="506"/>
        <v>46</v>
      </c>
      <c r="R1457" s="47" t="str">
        <f t="shared" si="511"/>
        <v>0-205128</v>
      </c>
      <c r="S1457" s="54">
        <v>7</v>
      </c>
      <c r="T1457" s="59" t="s">
        <v>46</v>
      </c>
      <c r="U1457" s="326" t="e">
        <f ca="1">_xlfn.XLOOKUP(PAA_4[[#This Row],[ITEM]],[2]Contrato!A:A,[2]Contrato!Q:Q,"",0)</f>
        <v>#NAME?</v>
      </c>
      <c r="V1457" s="47" t="s">
        <v>47</v>
      </c>
      <c r="W1457" s="47" t="s">
        <v>91</v>
      </c>
      <c r="X1457" s="47" t="s">
        <v>91</v>
      </c>
      <c r="Y1457" s="55" t="e">
        <f ca="1">_xlfn.XLOOKUP(PAA_4[[#This Row],[ITEM]],[2]Contrato!A:A,[2]Contrato!B:B,"",0)</f>
        <v>#NAME?</v>
      </c>
      <c r="Z1457" s="47" t="e">
        <f ca="1">_xlfn.XLOOKUP(PAA_4[[#This Row],[ITEM]],[2]Contrato!A:A,[2]Contrato!G:G,"",0)</f>
        <v>#NAME?</v>
      </c>
      <c r="AA1457" s="47" t="e">
        <f ca="1">_xlfn.XLOOKUP(PAA_4[[#This Row],[ITEM]],[2]Contrato!A:A,[2]Contrato!T:T,"",0)</f>
        <v>#NAME?</v>
      </c>
      <c r="AB1457" s="55" t="e">
        <f ca="1">+MAX(PAA_4[[#This Row],[Comprometido Contrato]],PAA_4[[#This Row],[Comprometido Bolsa]])</f>
        <v>#NAME?</v>
      </c>
      <c r="AC1457" s="55" t="str">
        <f t="shared" ca="1" si="507"/>
        <v/>
      </c>
      <c r="AD1457" s="55" t="e">
        <f ca="1">IF(PAA_4[[#This Row],[ESTADO (formulado)]]="NO CONTRATADO",0,MAX(PAA_4[[#This Row],[Pago por Contrato]],PAA_4[[#This Row],[Pago por bolsa]]))</f>
        <v>#NAME?</v>
      </c>
      <c r="AE1457" s="55" t="str">
        <f t="shared" ca="1" si="508"/>
        <v/>
      </c>
      <c r="AF1457" s="47" t="e">
        <f t="shared" ca="1" si="509"/>
        <v>#NAME?</v>
      </c>
      <c r="AG1457" s="47">
        <f t="shared" si="510"/>
        <v>44021007</v>
      </c>
      <c r="AH1457" s="54">
        <f>IF(Q1457="22",IF(ISNUMBER(SEARCH("econ",PAA_4[[#This Row],[Actividad3]])),"Económico",IF(ISNUMBER(SEARCH("alim",PAA_4[[#This Row],[Actividad3]])),"Alimentación",IF(ISNUMBER(SEARCH("educ",PAA_4[[#This Row],[Actividad3]])),"Educativo","Técnico"))),0)</f>
        <v>0</v>
      </c>
      <c r="AI1457" s="47" t="e" cm="1">
        <f t="array" aca="1" ref="AI1457" ca="1">_xlfn.XLOOKUP(PAA_4[[#This Row],[RCP-RUBRO]],[2]!COMPROMISOS_2024[[#All],[concatenado]],[2]!COMPROMISOS_2024[[#All],[Total pagado]],"",0)</f>
        <v>#NAME?</v>
      </c>
      <c r="AJ1457" s="56">
        <f>IF(PAA_4[[#This Row],[BOLSA]]=0,0,SUMIFS([2]!COMPROMISOS_2024[[#All],[Total pagado]],[2]!COMPROMISOS_2024[[#All],[Bolsa]],PAA_4[[#This Row],[BOLSA]],[2]!COMPROMISOS_2024[[#All],[rubro]],PAA_4[[#This Row],[RCP-RUBRO]]))</f>
        <v>0</v>
      </c>
      <c r="AK1457" s="47" t="e" cm="1">
        <f t="array" aca="1" ref="AK1457" ca="1">_xlfn.XLOOKUP(PAA_4[[#This Row],[RCP-RUBRO]],[2]!COMPROMISOS_2024[[#All],[concatenado]],[2]!COMPROMISOS_2024[[#All],[Total Comprometido]],"",0)</f>
        <v>#NAME?</v>
      </c>
      <c r="AL1457" s="47">
        <f>IF(PAA_4[[#This Row],[BOLSA]]=0,0,SUMIFS([2]!COMPROMISOS_2024[[#All],[Total Comprometido]],[2]!COMPROMISOS_2024[[#All],[Bolsa]],PAA_4[[#This Row],[BOLSA]],[2]!COMPROMISOS_2024[[#All],[concatenado]],PAA_4[[#This Row],[RCP-RUBRO]]))</f>
        <v>0</v>
      </c>
    </row>
    <row r="1458" spans="1:38" s="19" customFormat="1" ht="31.5" customHeight="1">
      <c r="A1458" s="47">
        <v>539</v>
      </c>
      <c r="B1458" s="47">
        <v>800111600</v>
      </c>
      <c r="C1458" s="47" t="str">
        <f>VLOOKUP(PAA_4[[#This Row],[PROYECTO (formulado)2]],[2]PROYECTOS!$G$1:$L$32,6,0)</f>
        <v>SUBGERENCIA DE FOMENTO Y DESARROLLO</v>
      </c>
      <c r="D1458" s="47" t="str">
        <f>+IF(PAA_4[[#This Row],[UNIDAD DE CONTRATACION (formulado)]]="Subgerencia Administrativa y Financiera","FUNCIONAMIENTO","INVERSIÓN")</f>
        <v>INVERSIÓN</v>
      </c>
      <c r="E1458" s="48" t="str">
        <f>VLOOKUP(Q1458,[2]PROYECTOS!$G$1:$K$32,5,0)</f>
        <v>FORTALECIMIENTO_DE_LAS_ESCUELAS_DEPORTIVAS_EN_LOS_MUNICIPIOS_DEL_DEPARTAMENTO_DE_ANTIOQUIA</v>
      </c>
      <c r="F1458" s="48">
        <f>VLOOKUP(E1458,[2]PROYECTOS!$K$1:$M$32,3,0)</f>
        <v>2020003050032</v>
      </c>
      <c r="G1458" s="49" t="s">
        <v>376</v>
      </c>
      <c r="H1458" s="49" t="str">
        <f>VLOOKUP(Q1458,[2]PROYECTOS!$V$1:$W$32,2,0)</f>
        <v>050059</v>
      </c>
      <c r="I1458" s="78">
        <v>57953567</v>
      </c>
      <c r="J1458" s="51" t="s">
        <v>429</v>
      </c>
      <c r="K1458" s="47" t="str">
        <f t="shared" ca="1" si="505"/>
        <v>CONTRATADO</v>
      </c>
      <c r="L1458" s="47" t="s">
        <v>94</v>
      </c>
      <c r="M1458" s="47" t="s">
        <v>1297</v>
      </c>
      <c r="N1458" s="52" t="s">
        <v>366</v>
      </c>
      <c r="O1458" s="51" t="e">
        <f>VLOOKUP(N1458,[2]!RUBROS[#All],3,0)</f>
        <v>#REF!</v>
      </c>
      <c r="P1458" s="53" t="e">
        <f>VLOOKUP(N1458,[2]!RUBROS[#All],2,0)</f>
        <v>#REF!</v>
      </c>
      <c r="Q1458" s="47" t="str">
        <f t="shared" si="506"/>
        <v>46</v>
      </c>
      <c r="R1458" s="47" t="str">
        <f t="shared" si="511"/>
        <v>0-205128</v>
      </c>
      <c r="S1458" s="54">
        <v>7</v>
      </c>
      <c r="T1458" s="59" t="s">
        <v>46</v>
      </c>
      <c r="U1458" s="326" t="e">
        <f ca="1">_xlfn.XLOOKUP(PAA_4[[#This Row],[ITEM]],[2]Contrato!A:A,[2]Contrato!Q:Q,"",0)</f>
        <v>#NAME?</v>
      </c>
      <c r="V1458" s="47" t="s">
        <v>47</v>
      </c>
      <c r="W1458" s="47" t="s">
        <v>91</v>
      </c>
      <c r="X1458" s="47" t="s">
        <v>91</v>
      </c>
      <c r="Y1458" s="55" t="e">
        <f ca="1">_xlfn.XLOOKUP(PAA_4[[#This Row],[ITEM]],[2]Contrato!A:A,[2]Contrato!B:B,"",0)</f>
        <v>#NAME?</v>
      </c>
      <c r="Z1458" s="47" t="e">
        <f ca="1">_xlfn.XLOOKUP(PAA_4[[#This Row],[ITEM]],[2]Contrato!A:A,[2]Contrato!G:G,"",0)</f>
        <v>#NAME?</v>
      </c>
      <c r="AA1458" s="47" t="e">
        <f ca="1">_xlfn.XLOOKUP(PAA_4[[#This Row],[ITEM]],[2]Contrato!A:A,[2]Contrato!T:T,"",0)</f>
        <v>#NAME?</v>
      </c>
      <c r="AB1458" s="55" t="e">
        <f ca="1">+MAX(PAA_4[[#This Row],[Comprometido Contrato]],PAA_4[[#This Row],[Comprometido Bolsa]])</f>
        <v>#NAME?</v>
      </c>
      <c r="AC1458" s="55" t="str">
        <f t="shared" ca="1" si="507"/>
        <v/>
      </c>
      <c r="AD1458" s="55" t="e">
        <f ca="1">IF(PAA_4[[#This Row],[ESTADO (formulado)]]="NO CONTRATADO",0,MAX(PAA_4[[#This Row],[Pago por Contrato]],PAA_4[[#This Row],[Pago por bolsa]]))</f>
        <v>#NAME?</v>
      </c>
      <c r="AE1458" s="55" t="str">
        <f t="shared" ca="1" si="508"/>
        <v/>
      </c>
      <c r="AF1458" s="47" t="e">
        <f t="shared" ca="1" si="509"/>
        <v>#NAME?</v>
      </c>
      <c r="AG1458" s="47">
        <f t="shared" si="510"/>
        <v>44021007</v>
      </c>
      <c r="AH1458" s="54">
        <f>IF(Q1458="22",IF(ISNUMBER(SEARCH("econ",PAA_4[[#This Row],[Actividad3]])),"Económico",IF(ISNUMBER(SEARCH("alim",PAA_4[[#This Row],[Actividad3]])),"Alimentación",IF(ISNUMBER(SEARCH("educ",PAA_4[[#This Row],[Actividad3]])),"Educativo","Técnico"))),0)</f>
        <v>0</v>
      </c>
      <c r="AI1458" s="47" t="e" cm="1">
        <f t="array" aca="1" ref="AI1458" ca="1">_xlfn.XLOOKUP(PAA_4[[#This Row],[RCP-RUBRO]],[2]!COMPROMISOS_2024[[#All],[concatenado]],[2]!COMPROMISOS_2024[[#All],[Total pagado]],"",0)</f>
        <v>#NAME?</v>
      </c>
      <c r="AJ1458" s="56">
        <f>IF(PAA_4[[#This Row],[BOLSA]]=0,0,SUMIFS([2]!COMPROMISOS_2024[[#All],[Total pagado]],[2]!COMPROMISOS_2024[[#All],[Bolsa]],PAA_4[[#This Row],[BOLSA]],[2]!COMPROMISOS_2024[[#All],[rubro]],PAA_4[[#This Row],[RCP-RUBRO]]))</f>
        <v>0</v>
      </c>
      <c r="AK1458" s="47" t="e" cm="1">
        <f t="array" aca="1" ref="AK1458" ca="1">_xlfn.XLOOKUP(PAA_4[[#This Row],[RCP-RUBRO]],[2]!COMPROMISOS_2024[[#All],[concatenado]],[2]!COMPROMISOS_2024[[#All],[Total Comprometido]],"",0)</f>
        <v>#NAME?</v>
      </c>
      <c r="AL1458" s="47">
        <f>IF(PAA_4[[#This Row],[BOLSA]]=0,0,SUMIFS([2]!COMPROMISOS_2024[[#All],[Total Comprometido]],[2]!COMPROMISOS_2024[[#All],[Bolsa]],PAA_4[[#This Row],[BOLSA]],[2]!COMPROMISOS_2024[[#All],[concatenado]],PAA_4[[#This Row],[RCP-RUBRO]]))</f>
        <v>0</v>
      </c>
    </row>
    <row r="1459" spans="1:38" s="19" customFormat="1" ht="31.5" customHeight="1">
      <c r="A1459" s="47" t="s">
        <v>82</v>
      </c>
      <c r="B1459" s="47" t="s">
        <v>42</v>
      </c>
      <c r="C1459" s="47" t="str">
        <f>VLOOKUP(PAA_4[[#This Row],[PROYECTO (formulado)2]],[2]PROYECTOS!$G$1:$L$32,6,0)</f>
        <v>SUBGERENCIA DE FOMENTO Y DESARROLLO</v>
      </c>
      <c r="D1459" s="47" t="str">
        <f>+IF(PAA_4[[#This Row],[UNIDAD DE CONTRATACION (formulado)]]="Subgerencia Administrativa y Financiera","FUNCIONAMIENTO","INVERSIÓN")</f>
        <v>INVERSIÓN</v>
      </c>
      <c r="E1459" s="48" t="str">
        <f>VLOOKUP(Q1459,[2]PROYECTOS!$G$1:$K$32,5,0)</f>
        <v>FORTALECIMIENTO_DE_LOS_PROGRAMAS_RECREATIVOS_EN_LOS_MUNICIPIOS_DEL_DEPARTAMENTO_DE_ANTIOQUIA</v>
      </c>
      <c r="F1459" s="48">
        <f>VLOOKUP(E1459,[2]PROYECTOS!$K$1:$M$32,3,0)</f>
        <v>2020003050031</v>
      </c>
      <c r="G1459" s="49" t="s">
        <v>353</v>
      </c>
      <c r="H1459" s="49" t="str">
        <f>VLOOKUP(Q1459,[2]PROYECTOS!$V$1:$W$32,2,0)</f>
        <v>050064</v>
      </c>
      <c r="I1459" s="78">
        <v>825327</v>
      </c>
      <c r="J1459" s="51" t="s">
        <v>1852</v>
      </c>
      <c r="K1459" s="47" t="str">
        <f t="shared" ca="1" si="505"/>
        <v>CONTRATADO</v>
      </c>
      <c r="L1459" s="47" t="s">
        <v>42</v>
      </c>
      <c r="M1459" s="47" t="s">
        <v>42</v>
      </c>
      <c r="N1459" s="52" t="s">
        <v>355</v>
      </c>
      <c r="O1459" s="51" t="e">
        <f>VLOOKUP(N1459,[2]!RUBROS[#All],3,0)</f>
        <v>#REF!</v>
      </c>
      <c r="P1459" s="53" t="e">
        <f>VLOOKUP(N1459,[2]!RUBROS[#All],2,0)</f>
        <v>#REF!</v>
      </c>
      <c r="Q1459" s="47" t="str">
        <f t="shared" si="506"/>
        <v>47</v>
      </c>
      <c r="R1459" s="47" t="str">
        <f t="shared" si="511"/>
        <v>0-205128</v>
      </c>
      <c r="S1459" s="54" t="s">
        <v>42</v>
      </c>
      <c r="T1459" s="59" t="s">
        <v>42</v>
      </c>
      <c r="U1459" s="326" t="e">
        <f ca="1">_xlfn.XLOOKUP(PAA_4[[#This Row],[ITEM]],[2]Contrato!A:A,[2]Contrato!Q:Q,"",0)</f>
        <v>#NAME?</v>
      </c>
      <c r="V1459" s="54" t="s">
        <v>42</v>
      </c>
      <c r="W1459" s="54" t="s">
        <v>42</v>
      </c>
      <c r="X1459" s="54" t="s">
        <v>42</v>
      </c>
      <c r="Y1459" s="55" t="e">
        <f ca="1">_xlfn.XLOOKUP(PAA_4[[#This Row],[ITEM]],[2]Contrato!A:A,[2]Contrato!B:B,"",0)</f>
        <v>#NAME?</v>
      </c>
      <c r="Z1459" s="47" t="e">
        <f ca="1">_xlfn.XLOOKUP(PAA_4[[#This Row],[ITEM]],[2]Contrato!A:A,[2]Contrato!G:G,"",0)</f>
        <v>#NAME?</v>
      </c>
      <c r="AA1459" s="47" t="e">
        <f ca="1">_xlfn.XLOOKUP(PAA_4[[#This Row],[ITEM]],[2]Contrato!A:A,[2]Contrato!T:T,"",0)</f>
        <v>#NAME?</v>
      </c>
      <c r="AB1459" s="55" t="e">
        <f ca="1">+MAX(PAA_4[[#This Row],[Comprometido Contrato]],PAA_4[[#This Row],[Comprometido Bolsa]])</f>
        <v>#NAME?</v>
      </c>
      <c r="AC1459" s="55" t="str">
        <f t="shared" ca="1" si="507"/>
        <v/>
      </c>
      <c r="AD1459" s="55" t="e">
        <f ca="1">IF(PAA_4[[#This Row],[ESTADO (formulado)]]="NO CONTRATADO",0,MAX(PAA_4[[#This Row],[Pago por Contrato]],PAA_4[[#This Row],[Pago por bolsa]]))</f>
        <v>#NAME?</v>
      </c>
      <c r="AE1459" s="55" t="str">
        <f t="shared" ca="1" si="508"/>
        <v/>
      </c>
      <c r="AF1459" s="47" t="e">
        <f t="shared" ca="1" si="509"/>
        <v>#NAME?</v>
      </c>
      <c r="AG1459" s="47">
        <f t="shared" si="510"/>
        <v>44021004</v>
      </c>
      <c r="AH1459" s="54">
        <f>IF(Q1459="22",IF(ISNUMBER(SEARCH("econ",PAA_4[[#This Row],[Actividad3]])),"Económico",IF(ISNUMBER(SEARCH("alim",PAA_4[[#This Row],[Actividad3]])),"Alimentación",IF(ISNUMBER(SEARCH("educ",PAA_4[[#This Row],[Actividad3]])),"Educativo","Técnico"))),0)</f>
        <v>0</v>
      </c>
      <c r="AI1459" s="47" t="e" cm="1">
        <f t="array" aca="1" ref="AI1459" ca="1">_xlfn.XLOOKUP(PAA_4[[#This Row],[RCP-RUBRO]],[2]!COMPROMISOS_2024[[#All],[concatenado]],[2]!COMPROMISOS_2024[[#All],[Total pagado]],"",0)</f>
        <v>#NAME?</v>
      </c>
      <c r="AJ1459" s="56">
        <f>IF(PAA_4[[#This Row],[BOLSA]]=0,0,SUMIFS([2]!COMPROMISOS_2024[[#All],[Total pagado]],[2]!COMPROMISOS_2024[[#All],[Bolsa]],PAA_4[[#This Row],[BOLSA]],[2]!COMPROMISOS_2024[[#All],[rubro]],PAA_4[[#This Row],[RCP-RUBRO]]))</f>
        <v>0</v>
      </c>
      <c r="AK1459" s="47" t="e" cm="1">
        <f t="array" aca="1" ref="AK1459" ca="1">_xlfn.XLOOKUP(PAA_4[[#This Row],[RCP-RUBRO]],[2]!COMPROMISOS_2024[[#All],[concatenado]],[2]!COMPROMISOS_2024[[#All],[Total Comprometido]],"",0)</f>
        <v>#NAME?</v>
      </c>
      <c r="AL1459" s="47">
        <f>IF(PAA_4[[#This Row],[BOLSA]]=0,0,SUMIFS([2]!COMPROMISOS_2024[[#All],[Total Comprometido]],[2]!COMPROMISOS_2024[[#All],[Bolsa]],PAA_4[[#This Row],[BOLSA]],[2]!COMPROMISOS_2024[[#All],[concatenado]],PAA_4[[#This Row],[RCP-RUBRO]]))</f>
        <v>0</v>
      </c>
    </row>
    <row r="1460" spans="1:38" s="19" customFormat="1" ht="31.5" customHeight="1">
      <c r="A1460" s="47">
        <v>540</v>
      </c>
      <c r="B1460" s="47">
        <v>800111600</v>
      </c>
      <c r="C1460" s="47" t="str">
        <f>VLOOKUP(PAA_4[[#This Row],[PROYECTO (formulado)2]],[2]PROYECTOS!$G$1:$L$32,6,0)</f>
        <v>SUBGERENCIA DE FOMENTO Y DESARROLLO</v>
      </c>
      <c r="D1460" s="47" t="str">
        <f>+IF(PAA_4[[#This Row],[UNIDAD DE CONTRATACION (formulado)]]="Subgerencia Administrativa y Financiera","FUNCIONAMIENTO","INVERSIÓN")</f>
        <v>INVERSIÓN</v>
      </c>
      <c r="E1460" s="48" t="str">
        <f>VLOOKUP(Q1460,[2]PROYECTOS!$G$1:$K$32,5,0)</f>
        <v>FORTALECIMIENTO_DE_LOS_PROGRAMAS_RECREATIVOS_EN_LOS_MUNICIPIOS_DEL_DEPARTAMENTO_DE_ANTIOQUIA</v>
      </c>
      <c r="F1460" s="48">
        <f>VLOOKUP(E1460,[2]PROYECTOS!$K$1:$M$32,3,0)</f>
        <v>2020003050031</v>
      </c>
      <c r="G1460" s="49" t="s">
        <v>353</v>
      </c>
      <c r="H1460" s="49" t="str">
        <f>VLOOKUP(Q1460,[2]PROYECTOS!$V$1:$W$32,2,0)</f>
        <v>050064</v>
      </c>
      <c r="I1460" s="50">
        <f>34658971-825327</f>
        <v>33833644</v>
      </c>
      <c r="J1460" s="51" t="s">
        <v>430</v>
      </c>
      <c r="K1460" s="47" t="str">
        <f t="shared" ref="K1460:K1480" ca="1" si="512">IF(ISNONTEXT(Y1460)=TRUE,"CONTRATADO","NO CONTRATADO")</f>
        <v>CONTRATADO</v>
      </c>
      <c r="L1460" s="47" t="s">
        <v>94</v>
      </c>
      <c r="M1460" s="47" t="s">
        <v>1297</v>
      </c>
      <c r="N1460" s="52" t="s">
        <v>355</v>
      </c>
      <c r="O1460" s="51" t="e">
        <f>VLOOKUP(N1460,[2]!RUBROS[#All],3,0)</f>
        <v>#REF!</v>
      </c>
      <c r="P1460" s="53" t="e">
        <f>VLOOKUP(N1460,[2]!RUBROS[#All],2,0)</f>
        <v>#REF!</v>
      </c>
      <c r="Q1460" s="47" t="str">
        <f t="shared" ref="Q1460:Q1480" si="513">+MID(N1460,11,2)</f>
        <v>47</v>
      </c>
      <c r="R1460" s="47" t="str">
        <f t="shared" si="511"/>
        <v>0-205128</v>
      </c>
      <c r="S1460" s="54">
        <v>7</v>
      </c>
      <c r="T1460" s="59" t="s">
        <v>46</v>
      </c>
      <c r="U1460" s="326" t="e">
        <f ca="1">_xlfn.XLOOKUP(PAA_4[[#This Row],[ITEM]],[2]Contrato!A:A,[2]Contrato!Q:Q,"",0)</f>
        <v>#NAME?</v>
      </c>
      <c r="V1460" s="47" t="s">
        <v>47</v>
      </c>
      <c r="W1460" s="47" t="s">
        <v>91</v>
      </c>
      <c r="X1460" s="47" t="s">
        <v>91</v>
      </c>
      <c r="Y1460" s="55" t="e">
        <f ca="1">_xlfn.XLOOKUP(PAA_4[[#This Row],[ITEM]],[2]Contrato!A:A,[2]Contrato!B:B,"",0)</f>
        <v>#NAME?</v>
      </c>
      <c r="Z1460" s="47" t="e">
        <f ca="1">_xlfn.XLOOKUP(PAA_4[[#This Row],[ITEM]],[2]Contrato!A:A,[2]Contrato!G:G,"",0)</f>
        <v>#NAME?</v>
      </c>
      <c r="AA1460" s="47" t="e">
        <f ca="1">_xlfn.XLOOKUP(PAA_4[[#This Row],[ITEM]],[2]Contrato!A:A,[2]Contrato!T:T,"",0)</f>
        <v>#NAME?</v>
      </c>
      <c r="AB1460" s="55" t="e">
        <f ca="1">+MAX(PAA_4[[#This Row],[Comprometido Contrato]],PAA_4[[#This Row],[Comprometido Bolsa]])</f>
        <v>#NAME?</v>
      </c>
      <c r="AC1460" s="55" t="str">
        <f t="shared" ca="1" si="507"/>
        <v/>
      </c>
      <c r="AD1460" s="55" t="e">
        <f ca="1">IF(PAA_4[[#This Row],[ESTADO (formulado)]]="NO CONTRATADO",0,MAX(PAA_4[[#This Row],[Pago por Contrato]],PAA_4[[#This Row],[Pago por bolsa]]))</f>
        <v>#NAME?</v>
      </c>
      <c r="AE1460" s="55" t="str">
        <f t="shared" ref="AE1460:AE1480" ca="1" si="514">+IFERROR(AB1460-AD1460,"")</f>
        <v/>
      </c>
      <c r="AF1460" s="47" t="e">
        <f t="shared" ca="1" si="509"/>
        <v>#NAME?</v>
      </c>
      <c r="AG1460" s="47">
        <f t="shared" ref="AG1460:AG1480" si="515">IFERROR(_xlfn.NUMBERVALUE(MID(G1460,1,8)),"")</f>
        <v>44021004</v>
      </c>
      <c r="AH1460" s="54">
        <f>IF(Q1460="22",IF(ISNUMBER(SEARCH("econ",PAA_4[[#This Row],[Actividad3]])),"Económico",IF(ISNUMBER(SEARCH("alim",PAA_4[[#This Row],[Actividad3]])),"Alimentación",IF(ISNUMBER(SEARCH("educ",PAA_4[[#This Row],[Actividad3]])),"Educativo","Técnico"))),0)</f>
        <v>0</v>
      </c>
      <c r="AI1460" s="47" t="e" cm="1">
        <f t="array" aca="1" ref="AI1460" ca="1">_xlfn.XLOOKUP(PAA_4[[#This Row],[RCP-RUBRO]],[2]!COMPROMISOS_2024[[#All],[concatenado]],[2]!COMPROMISOS_2024[[#All],[Total pagado]],"",0)</f>
        <v>#NAME?</v>
      </c>
      <c r="AJ1460" s="56">
        <f>IF(PAA_4[[#This Row],[BOLSA]]=0,0,SUMIFS([2]!COMPROMISOS_2024[[#All],[Total pagado]],[2]!COMPROMISOS_2024[[#All],[Bolsa]],PAA_4[[#This Row],[BOLSA]],[2]!COMPROMISOS_2024[[#All],[rubro]],PAA_4[[#This Row],[RCP-RUBRO]]))</f>
        <v>0</v>
      </c>
      <c r="AK1460" s="47" t="e" cm="1">
        <f t="array" aca="1" ref="AK1460" ca="1">_xlfn.XLOOKUP(PAA_4[[#This Row],[RCP-RUBRO]],[2]!COMPROMISOS_2024[[#All],[concatenado]],[2]!COMPROMISOS_2024[[#All],[Total Comprometido]],"",0)</f>
        <v>#NAME?</v>
      </c>
      <c r="AL1460" s="47">
        <f>IF(PAA_4[[#This Row],[BOLSA]]=0,0,SUMIFS([2]!COMPROMISOS_2024[[#All],[Total Comprometido]],[2]!COMPROMISOS_2024[[#All],[Bolsa]],PAA_4[[#This Row],[BOLSA]],[2]!COMPROMISOS_2024[[#All],[concatenado]],PAA_4[[#This Row],[RCP-RUBRO]]))</f>
        <v>0</v>
      </c>
    </row>
    <row r="1461" spans="1:38" s="19" customFormat="1" ht="31.5" customHeight="1">
      <c r="A1461" s="47">
        <v>541</v>
      </c>
      <c r="B1461" s="47">
        <v>800111600</v>
      </c>
      <c r="C1461" s="47" t="str">
        <f>VLOOKUP(PAA_4[[#This Row],[PROYECTO (formulado)2]],[2]PROYECTOS!$G$1:$L$32,6,0)</f>
        <v>SUBGERENCIA DE FOMENTO Y DESARROLLO</v>
      </c>
      <c r="D1461" s="47" t="str">
        <f>+IF(PAA_4[[#This Row],[UNIDAD DE CONTRATACION (formulado)]]="Subgerencia Administrativa y Financiera","FUNCIONAMIENTO","INVERSIÓN")</f>
        <v>INVERSIÓN</v>
      </c>
      <c r="E1461" s="48" t="str">
        <f>VLOOKUP(Q1461,[2]PROYECTOS!$G$1:$K$32,5,0)</f>
        <v>FORTALECIMIENTO_DEL_PROGRAMA_POR_SU_SALUD_MUÉVASE_PUES_EN_LOS_MUNICIPIO_DEL_DEPARTAMENTO_DE_ANTIOQUIA</v>
      </c>
      <c r="F1461" s="48">
        <f>VLOOKUP(E1461,[2]PROYECTOS!$K$1:$M$32,3,0)</f>
        <v>2020003050030</v>
      </c>
      <c r="G1461" s="49" t="s">
        <v>369</v>
      </c>
      <c r="H1461" s="49" t="str">
        <f>VLOOKUP(Q1461,[2]PROYECTOS!$V$1:$W$32,2,0)</f>
        <v>050055</v>
      </c>
      <c r="I1461" s="78">
        <v>60153567</v>
      </c>
      <c r="J1461" s="51" t="s">
        <v>431</v>
      </c>
      <c r="K1461" s="47" t="str">
        <f t="shared" ca="1" si="512"/>
        <v>CONTRATADO</v>
      </c>
      <c r="L1461" s="47" t="s">
        <v>94</v>
      </c>
      <c r="M1461" s="47" t="s">
        <v>1297</v>
      </c>
      <c r="N1461" s="52" t="s">
        <v>360</v>
      </c>
      <c r="O1461" s="51" t="e">
        <f>VLOOKUP(N1461,[2]!RUBROS[#All],3,0)</f>
        <v>#REF!</v>
      </c>
      <c r="P1461" s="53" t="e">
        <f>VLOOKUP(N1461,[2]!RUBROS[#All],2,0)</f>
        <v>#REF!</v>
      </c>
      <c r="Q1461" s="47" t="str">
        <f t="shared" si="513"/>
        <v>45</v>
      </c>
      <c r="R1461" s="47" t="str">
        <f t="shared" si="511"/>
        <v>0-205128</v>
      </c>
      <c r="S1461" s="54">
        <v>7</v>
      </c>
      <c r="T1461" s="59" t="s">
        <v>46</v>
      </c>
      <c r="U1461" s="326" t="e">
        <f ca="1">_xlfn.XLOOKUP(PAA_4[[#This Row],[ITEM]],[2]Contrato!A:A,[2]Contrato!Q:Q,"",0)</f>
        <v>#NAME?</v>
      </c>
      <c r="V1461" s="47" t="s">
        <v>47</v>
      </c>
      <c r="W1461" s="47" t="s">
        <v>91</v>
      </c>
      <c r="X1461" s="47" t="s">
        <v>91</v>
      </c>
      <c r="Y1461" s="55" t="e">
        <f ca="1">_xlfn.XLOOKUP(PAA_4[[#This Row],[ITEM]],[2]Contrato!A:A,[2]Contrato!B:B,"",0)</f>
        <v>#NAME?</v>
      </c>
      <c r="Z1461" s="47" t="e">
        <f ca="1">_xlfn.XLOOKUP(PAA_4[[#This Row],[ITEM]],[2]Contrato!A:A,[2]Contrato!G:G,"",0)</f>
        <v>#NAME?</v>
      </c>
      <c r="AA1461" s="47" t="e">
        <f ca="1">_xlfn.XLOOKUP(PAA_4[[#This Row],[ITEM]],[2]Contrato!A:A,[2]Contrato!T:T,"",0)</f>
        <v>#NAME?</v>
      </c>
      <c r="AB1461" s="55" t="e">
        <f ca="1">+MAX(PAA_4[[#This Row],[Comprometido Contrato]],PAA_4[[#This Row],[Comprometido Bolsa]])</f>
        <v>#NAME?</v>
      </c>
      <c r="AC1461" s="55" t="str">
        <f t="shared" ca="1" si="507"/>
        <v/>
      </c>
      <c r="AD1461" s="55" t="e">
        <f ca="1">IF(PAA_4[[#This Row],[ESTADO (formulado)]]="NO CONTRATADO",0,MAX(PAA_4[[#This Row],[Pago por Contrato]],PAA_4[[#This Row],[Pago por bolsa]]))</f>
        <v>#NAME?</v>
      </c>
      <c r="AE1461" s="55" t="str">
        <f t="shared" ca="1" si="514"/>
        <v/>
      </c>
      <c r="AF1461" s="47" t="e">
        <f t="shared" ca="1" si="509"/>
        <v>#NAME?</v>
      </c>
      <c r="AG1461" s="47">
        <f t="shared" si="515"/>
        <v>44021001</v>
      </c>
      <c r="AH1461" s="54">
        <f>IF(Q1461="22",IF(ISNUMBER(SEARCH("econ",PAA_4[[#This Row],[Actividad3]])),"Económico",IF(ISNUMBER(SEARCH("alim",PAA_4[[#This Row],[Actividad3]])),"Alimentación",IF(ISNUMBER(SEARCH("educ",PAA_4[[#This Row],[Actividad3]])),"Educativo","Técnico"))),0)</f>
        <v>0</v>
      </c>
      <c r="AI1461" s="47" t="e" cm="1">
        <f t="array" aca="1" ref="AI1461" ca="1">_xlfn.XLOOKUP(PAA_4[[#This Row],[RCP-RUBRO]],[2]!COMPROMISOS_2024[[#All],[concatenado]],[2]!COMPROMISOS_2024[[#All],[Total pagado]],"",0)</f>
        <v>#NAME?</v>
      </c>
      <c r="AJ1461" s="56">
        <f>IF(PAA_4[[#This Row],[BOLSA]]=0,0,SUMIFS([2]!COMPROMISOS_2024[[#All],[Total pagado]],[2]!COMPROMISOS_2024[[#All],[Bolsa]],PAA_4[[#This Row],[BOLSA]],[2]!COMPROMISOS_2024[[#All],[rubro]],PAA_4[[#This Row],[RCP-RUBRO]]))</f>
        <v>0</v>
      </c>
      <c r="AK1461" s="47" t="e" cm="1">
        <f t="array" aca="1" ref="AK1461" ca="1">_xlfn.XLOOKUP(PAA_4[[#This Row],[RCP-RUBRO]],[2]!COMPROMISOS_2024[[#All],[concatenado]],[2]!COMPROMISOS_2024[[#All],[Total Comprometido]],"",0)</f>
        <v>#NAME?</v>
      </c>
      <c r="AL1461" s="47">
        <f>IF(PAA_4[[#This Row],[BOLSA]]=0,0,SUMIFS([2]!COMPROMISOS_2024[[#All],[Total Comprometido]],[2]!COMPROMISOS_2024[[#All],[Bolsa]],PAA_4[[#This Row],[BOLSA]],[2]!COMPROMISOS_2024[[#All],[concatenado]],PAA_4[[#This Row],[RCP-RUBRO]]))</f>
        <v>0</v>
      </c>
    </row>
    <row r="1462" spans="1:38" s="19" customFormat="1" ht="31.5" customHeight="1">
      <c r="A1462" s="47">
        <v>542</v>
      </c>
      <c r="B1462" s="47">
        <v>800111600</v>
      </c>
      <c r="C1462" s="47" t="str">
        <f>VLOOKUP(PAA_4[[#This Row],[PROYECTO (formulado)2]],[2]PROYECTOS!$G$1:$L$32,6,0)</f>
        <v>SUBGERENCIA DE FOMENTO Y DESARROLLO</v>
      </c>
      <c r="D1462" s="47" t="str">
        <f>+IF(PAA_4[[#This Row],[UNIDAD DE CONTRATACION (formulado)]]="Subgerencia Administrativa y Financiera","FUNCIONAMIENTO","INVERSIÓN")</f>
        <v>INVERSIÓN</v>
      </c>
      <c r="E1462" s="48" t="str">
        <f>VLOOKUP(Q1462,[2]PROYECTOS!$G$1:$K$32,5,0)</f>
        <v>FORTALECIMIENTO_DE_LOS_JUEGOS_DEL_SECTOR_SOCIAL_COMUNITARIO_EN_LOS_MUNICIPIOS_DEL_DEPARTAMENTO_DE_ANTIOQU</v>
      </c>
      <c r="F1462" s="48">
        <f>VLOOKUP(E1462,[2]PROYECTOS!$K$1:$M$32,3,0)</f>
        <v>2020003050033</v>
      </c>
      <c r="G1462" s="49" t="s">
        <v>342</v>
      </c>
      <c r="H1462" s="49" t="str">
        <f>VLOOKUP(Q1462,[2]PROYECTOS!$V$1:$W$32,2,0)</f>
        <v>050057</v>
      </c>
      <c r="I1462" s="78">
        <v>30076781</v>
      </c>
      <c r="J1462" s="51" t="s">
        <v>432</v>
      </c>
      <c r="K1462" s="47" t="str">
        <f t="shared" ca="1" si="512"/>
        <v>CONTRATADO</v>
      </c>
      <c r="L1462" s="47" t="s">
        <v>94</v>
      </c>
      <c r="M1462" s="47" t="s">
        <v>1297</v>
      </c>
      <c r="N1462" s="52" t="s">
        <v>396</v>
      </c>
      <c r="O1462" s="51" t="e">
        <f>VLOOKUP(N1462,[2]!RUBROS[#All],3,0)</f>
        <v>#REF!</v>
      </c>
      <c r="P1462" s="53" t="e">
        <f>VLOOKUP(N1462,[2]!RUBROS[#All],2,0)</f>
        <v>#REF!</v>
      </c>
      <c r="Q1462" s="47" t="str">
        <f t="shared" si="513"/>
        <v>50</v>
      </c>
      <c r="R1462" s="47" t="str">
        <f t="shared" si="511"/>
        <v>0-205128</v>
      </c>
      <c r="S1462" s="54">
        <v>7</v>
      </c>
      <c r="T1462" s="59" t="s">
        <v>46</v>
      </c>
      <c r="U1462" s="326" t="e">
        <f ca="1">_xlfn.XLOOKUP(PAA_4[[#This Row],[ITEM]],[2]Contrato!A:A,[2]Contrato!Q:Q,"",0)</f>
        <v>#NAME?</v>
      </c>
      <c r="V1462" s="47" t="s">
        <v>47</v>
      </c>
      <c r="W1462" s="47" t="s">
        <v>91</v>
      </c>
      <c r="X1462" s="47" t="s">
        <v>91</v>
      </c>
      <c r="Y1462" s="55" t="e">
        <f ca="1">_xlfn.XLOOKUP(PAA_4[[#This Row],[ITEM]],[2]Contrato!A:A,[2]Contrato!B:B,"",0)</f>
        <v>#NAME?</v>
      </c>
      <c r="Z1462" s="47" t="e">
        <f ca="1">_xlfn.XLOOKUP(PAA_4[[#This Row],[ITEM]],[2]Contrato!A:A,[2]Contrato!G:G,"",0)</f>
        <v>#NAME?</v>
      </c>
      <c r="AA1462" s="47" t="e">
        <f ca="1">_xlfn.XLOOKUP(PAA_4[[#This Row],[ITEM]],[2]Contrato!A:A,[2]Contrato!T:T,"",0)</f>
        <v>#NAME?</v>
      </c>
      <c r="AB1462" s="55" t="e">
        <f ca="1">+MAX(PAA_4[[#This Row],[Comprometido Contrato]],PAA_4[[#This Row],[Comprometido Bolsa]])</f>
        <v>#NAME?</v>
      </c>
      <c r="AC1462" s="55" t="str">
        <f t="shared" ref="AC1462:AC1480" ca="1" si="516">IFERROR(I1462-AB1462,"")</f>
        <v/>
      </c>
      <c r="AD1462" s="55" t="e">
        <f ca="1">IF(PAA_4[[#This Row],[ESTADO (formulado)]]="NO CONTRATADO",0,MAX(PAA_4[[#This Row],[Pago por Contrato]],PAA_4[[#This Row],[Pago por bolsa]]))</f>
        <v>#NAME?</v>
      </c>
      <c r="AE1462" s="55" t="str">
        <f t="shared" ca="1" si="514"/>
        <v/>
      </c>
      <c r="AF1462" s="47" t="e">
        <f t="shared" ref="AF1462:AF1480" ca="1" si="517">+CONCATENATE(AA1462,N1462)</f>
        <v>#NAME?</v>
      </c>
      <c r="AG1462" s="47">
        <f t="shared" si="515"/>
        <v>44021010</v>
      </c>
      <c r="AH1462" s="54">
        <f>IF(Q1462="22",IF(ISNUMBER(SEARCH("econ",PAA_4[[#This Row],[Actividad3]])),"Económico",IF(ISNUMBER(SEARCH("alim",PAA_4[[#This Row],[Actividad3]])),"Alimentación",IF(ISNUMBER(SEARCH("educ",PAA_4[[#This Row],[Actividad3]])),"Educativo","Técnico"))),0)</f>
        <v>0</v>
      </c>
      <c r="AI1462" s="47" t="e" cm="1">
        <f t="array" aca="1" ref="AI1462" ca="1">_xlfn.XLOOKUP(PAA_4[[#This Row],[RCP-RUBRO]],[2]!COMPROMISOS_2024[[#All],[concatenado]],[2]!COMPROMISOS_2024[[#All],[Total pagado]],"",0)</f>
        <v>#NAME?</v>
      </c>
      <c r="AJ1462" s="56">
        <f>IF(PAA_4[[#This Row],[BOLSA]]=0,0,SUMIFS([2]!COMPROMISOS_2024[[#All],[Total pagado]],[2]!COMPROMISOS_2024[[#All],[Bolsa]],PAA_4[[#This Row],[BOLSA]],[2]!COMPROMISOS_2024[[#All],[rubro]],PAA_4[[#This Row],[RCP-RUBRO]]))</f>
        <v>0</v>
      </c>
      <c r="AK1462" s="47" t="e" cm="1">
        <f t="array" aca="1" ref="AK1462" ca="1">_xlfn.XLOOKUP(PAA_4[[#This Row],[RCP-RUBRO]],[2]!COMPROMISOS_2024[[#All],[concatenado]],[2]!COMPROMISOS_2024[[#All],[Total Comprometido]],"",0)</f>
        <v>#NAME?</v>
      </c>
      <c r="AL1462" s="47">
        <f>IF(PAA_4[[#This Row],[BOLSA]]=0,0,SUMIFS([2]!COMPROMISOS_2024[[#All],[Total Comprometido]],[2]!COMPROMISOS_2024[[#All],[Bolsa]],PAA_4[[#This Row],[BOLSA]],[2]!COMPROMISOS_2024[[#All],[concatenado]],PAA_4[[#This Row],[RCP-RUBRO]]))</f>
        <v>0</v>
      </c>
    </row>
    <row r="1463" spans="1:38" s="19" customFormat="1" ht="31.5" customHeight="1">
      <c r="A1463" s="47" t="s">
        <v>82</v>
      </c>
      <c r="B1463" s="47" t="s">
        <v>42</v>
      </c>
      <c r="C1463" s="47" t="str">
        <f>VLOOKUP(PAA_4[[#This Row],[PROYECTO (formulado)2]],[2]PROYECTOS!$G$1:$L$32,6,0)</f>
        <v>SUBGERENCIA DE FOMENTO Y DESARROLLO</v>
      </c>
      <c r="D1463" s="47" t="str">
        <f>+IF(PAA_4[[#This Row],[UNIDAD DE CONTRATACION (formulado)]]="Subgerencia Administrativa y Financiera","FUNCIONAMIENTO","INVERSIÓN")</f>
        <v>INVERSIÓN</v>
      </c>
      <c r="E1463" s="48" t="str">
        <f>VLOOKUP(Q1463,[2]PROYECTOS!$G$1:$K$32,5,0)</f>
        <v>FORTALECIMIENTO_DE_LOS_JUEGOS_DEL_SECTOR_EDUCATIVO_EN_ANTIOQUIA</v>
      </c>
      <c r="F1463" s="48">
        <f>VLOOKUP(E1463,[2]PROYECTOS!$K$1:$M$32,3,0)</f>
        <v>2020003050034</v>
      </c>
      <c r="G1463" s="49" t="s">
        <v>340</v>
      </c>
      <c r="H1463" s="49" t="str">
        <f>VLOOKUP(Q1463,[2]PROYECTOS!$V$1:$W$32,2,0)</f>
        <v>050053</v>
      </c>
      <c r="I1463" s="78">
        <v>1226251</v>
      </c>
      <c r="J1463" s="51" t="s">
        <v>1852</v>
      </c>
      <c r="K1463" s="47" t="str">
        <f t="shared" ca="1" si="512"/>
        <v>CONTRATADO</v>
      </c>
      <c r="L1463" s="47" t="s">
        <v>42</v>
      </c>
      <c r="M1463" s="47" t="s">
        <v>42</v>
      </c>
      <c r="N1463" s="52" t="s">
        <v>144</v>
      </c>
      <c r="O1463" s="51" t="e">
        <f>VLOOKUP(N1463,[2]!RUBROS[#All],3,0)</f>
        <v>#REF!</v>
      </c>
      <c r="P1463" s="53" t="e">
        <f>VLOOKUP(N1463,[2]!RUBROS[#All],2,0)</f>
        <v>#REF!</v>
      </c>
      <c r="Q1463" s="47" t="str">
        <f t="shared" si="513"/>
        <v>51</v>
      </c>
      <c r="R1463" s="47" t="str">
        <f t="shared" si="511"/>
        <v>0-205128</v>
      </c>
      <c r="S1463" s="54" t="s">
        <v>42</v>
      </c>
      <c r="T1463" s="59" t="s">
        <v>42</v>
      </c>
      <c r="U1463" s="326" t="e">
        <f ca="1">_xlfn.XLOOKUP(PAA_4[[#This Row],[ITEM]],[2]Contrato!A:A,[2]Contrato!Q:Q,"",0)</f>
        <v>#NAME?</v>
      </c>
      <c r="V1463" s="54" t="s">
        <v>42</v>
      </c>
      <c r="W1463" s="54" t="s">
        <v>42</v>
      </c>
      <c r="X1463" s="54" t="s">
        <v>42</v>
      </c>
      <c r="Y1463" s="55" t="e">
        <f ca="1">_xlfn.XLOOKUP(PAA_4[[#This Row],[ITEM]],[2]Contrato!A:A,[2]Contrato!B:B,"",0)</f>
        <v>#NAME?</v>
      </c>
      <c r="Z1463" s="47" t="e">
        <f ca="1">_xlfn.XLOOKUP(PAA_4[[#This Row],[ITEM]],[2]Contrato!A:A,[2]Contrato!G:G,"",0)</f>
        <v>#NAME?</v>
      </c>
      <c r="AA1463" s="47" t="e">
        <f ca="1">_xlfn.XLOOKUP(PAA_4[[#This Row],[ITEM]],[2]Contrato!A:A,[2]Contrato!T:T,"",0)</f>
        <v>#NAME?</v>
      </c>
      <c r="AB1463" s="55" t="e">
        <f ca="1">+MAX(PAA_4[[#This Row],[Comprometido Contrato]],PAA_4[[#This Row],[Comprometido Bolsa]])</f>
        <v>#NAME?</v>
      </c>
      <c r="AC1463" s="55" t="str">
        <f t="shared" ca="1" si="516"/>
        <v/>
      </c>
      <c r="AD1463" s="55" t="e">
        <f ca="1">IF(PAA_4[[#This Row],[ESTADO (formulado)]]="NO CONTRATADO",0,MAX(PAA_4[[#This Row],[Pago por Contrato]],PAA_4[[#This Row],[Pago por bolsa]]))</f>
        <v>#NAME?</v>
      </c>
      <c r="AE1463" s="55" t="str">
        <f t="shared" ca="1" si="514"/>
        <v/>
      </c>
      <c r="AF1463" s="47" t="e">
        <f t="shared" ca="1" si="517"/>
        <v>#NAME?</v>
      </c>
      <c r="AG1463" s="47">
        <f t="shared" si="515"/>
        <v>44021011</v>
      </c>
      <c r="AH1463" s="54">
        <f>IF(Q1463="22",IF(ISNUMBER(SEARCH("econ",PAA_4[[#This Row],[Actividad3]])),"Económico",IF(ISNUMBER(SEARCH("alim",PAA_4[[#This Row],[Actividad3]])),"Alimentación",IF(ISNUMBER(SEARCH("educ",PAA_4[[#This Row],[Actividad3]])),"Educativo","Técnico"))),0)</f>
        <v>0</v>
      </c>
      <c r="AI1463" s="47" t="e" cm="1">
        <f t="array" aca="1" ref="AI1463" ca="1">_xlfn.XLOOKUP(PAA_4[[#This Row],[RCP-RUBRO]],[2]!COMPROMISOS_2024[[#All],[concatenado]],[2]!COMPROMISOS_2024[[#All],[Total pagado]],"",0)</f>
        <v>#NAME?</v>
      </c>
      <c r="AJ1463" s="56">
        <f>IF(PAA_4[[#This Row],[BOLSA]]=0,0,SUMIFS([2]!COMPROMISOS_2024[[#All],[Total pagado]],[2]!COMPROMISOS_2024[[#All],[Bolsa]],PAA_4[[#This Row],[BOLSA]],[2]!COMPROMISOS_2024[[#All],[rubro]],PAA_4[[#This Row],[RCP-RUBRO]]))</f>
        <v>0</v>
      </c>
      <c r="AK1463" s="47" t="e" cm="1">
        <f t="array" aca="1" ref="AK1463" ca="1">_xlfn.XLOOKUP(PAA_4[[#This Row],[RCP-RUBRO]],[2]!COMPROMISOS_2024[[#All],[concatenado]],[2]!COMPROMISOS_2024[[#All],[Total Comprometido]],"",0)</f>
        <v>#NAME?</v>
      </c>
      <c r="AL1463" s="47">
        <f>IF(PAA_4[[#This Row],[BOLSA]]=0,0,SUMIFS([2]!COMPROMISOS_2024[[#All],[Total Comprometido]],[2]!COMPROMISOS_2024[[#All],[Bolsa]],PAA_4[[#This Row],[BOLSA]],[2]!COMPROMISOS_2024[[#All],[concatenado]],PAA_4[[#This Row],[RCP-RUBRO]]))</f>
        <v>0</v>
      </c>
    </row>
    <row r="1464" spans="1:38" s="19" customFormat="1" ht="31.5" customHeight="1">
      <c r="A1464" s="47">
        <v>542</v>
      </c>
      <c r="B1464" s="47">
        <v>800111600</v>
      </c>
      <c r="C1464" s="47" t="str">
        <f>VLOOKUP(PAA_4[[#This Row],[PROYECTO (formulado)2]],[2]PROYECTOS!$G$1:$L$32,6,0)</f>
        <v>SUBGERENCIA DE FOMENTO Y DESARROLLO</v>
      </c>
      <c r="D1464" s="47" t="str">
        <f>+IF(PAA_4[[#This Row],[UNIDAD DE CONTRATACION (formulado)]]="Subgerencia Administrativa y Financiera","FUNCIONAMIENTO","INVERSIÓN")</f>
        <v>INVERSIÓN</v>
      </c>
      <c r="E1464" s="48" t="str">
        <f>VLOOKUP(Q1464,[2]PROYECTOS!$G$1:$K$32,5,0)</f>
        <v>FORTALECIMIENTO_DE_LOS_JUEGOS_DEL_SECTOR_EDUCATIVO_EN_ANTIOQUIA</v>
      </c>
      <c r="F1464" s="48">
        <f>VLOOKUP(E1464,[2]PROYECTOS!$K$1:$M$32,3,0)</f>
        <v>2020003050034</v>
      </c>
      <c r="G1464" s="49" t="s">
        <v>340</v>
      </c>
      <c r="H1464" s="49" t="str">
        <f>VLOOKUP(Q1464,[2]PROYECTOS!$V$1:$W$32,2,0)</f>
        <v>050053</v>
      </c>
      <c r="I1464" s="78">
        <f>30076786-1226251</f>
        <v>28850535</v>
      </c>
      <c r="J1464" s="51" t="s">
        <v>432</v>
      </c>
      <c r="K1464" s="47" t="str">
        <f t="shared" ca="1" si="512"/>
        <v>CONTRATADO</v>
      </c>
      <c r="L1464" s="47" t="s">
        <v>94</v>
      </c>
      <c r="M1464" s="47" t="s">
        <v>1297</v>
      </c>
      <c r="N1464" s="52" t="s">
        <v>144</v>
      </c>
      <c r="O1464" s="51" t="e">
        <f>VLOOKUP(N1464,[2]!RUBROS[#All],3,0)</f>
        <v>#REF!</v>
      </c>
      <c r="P1464" s="53" t="e">
        <f>VLOOKUP(N1464,[2]!RUBROS[#All],2,0)</f>
        <v>#REF!</v>
      </c>
      <c r="Q1464" s="47" t="str">
        <f t="shared" si="513"/>
        <v>51</v>
      </c>
      <c r="R1464" s="47" t="str">
        <f t="shared" si="511"/>
        <v>0-205128</v>
      </c>
      <c r="S1464" s="54">
        <v>7</v>
      </c>
      <c r="T1464" s="59" t="s">
        <v>46</v>
      </c>
      <c r="U1464" s="326" t="e">
        <f ca="1">_xlfn.XLOOKUP(PAA_4[[#This Row],[ITEM]],[2]Contrato!A:A,[2]Contrato!Q:Q,"",0)</f>
        <v>#NAME?</v>
      </c>
      <c r="V1464" s="47" t="s">
        <v>47</v>
      </c>
      <c r="W1464" s="47" t="s">
        <v>91</v>
      </c>
      <c r="X1464" s="47" t="s">
        <v>91</v>
      </c>
      <c r="Y1464" s="55" t="e">
        <f ca="1">_xlfn.XLOOKUP(PAA_4[[#This Row],[ITEM]],[2]Contrato!A:A,[2]Contrato!B:B,"",0)</f>
        <v>#NAME?</v>
      </c>
      <c r="Z1464" s="47" t="e">
        <f ca="1">_xlfn.XLOOKUP(PAA_4[[#This Row],[ITEM]],[2]Contrato!A:A,[2]Contrato!G:G,"",0)</f>
        <v>#NAME?</v>
      </c>
      <c r="AA1464" s="47" t="e">
        <f ca="1">_xlfn.XLOOKUP(PAA_4[[#This Row],[ITEM]],[2]Contrato!A:A,[2]Contrato!T:T,"",0)</f>
        <v>#NAME?</v>
      </c>
      <c r="AB1464" s="55" t="e">
        <f ca="1">+MAX(PAA_4[[#This Row],[Comprometido Contrato]],PAA_4[[#This Row],[Comprometido Bolsa]])</f>
        <v>#NAME?</v>
      </c>
      <c r="AC1464" s="55" t="str">
        <f t="shared" ca="1" si="516"/>
        <v/>
      </c>
      <c r="AD1464" s="55" t="e">
        <f ca="1">IF(PAA_4[[#This Row],[ESTADO (formulado)]]="NO CONTRATADO",0,MAX(PAA_4[[#This Row],[Pago por Contrato]],PAA_4[[#This Row],[Pago por bolsa]]))</f>
        <v>#NAME?</v>
      </c>
      <c r="AE1464" s="55" t="str">
        <f t="shared" ca="1" si="514"/>
        <v/>
      </c>
      <c r="AF1464" s="47" t="e">
        <f t="shared" ca="1" si="517"/>
        <v>#NAME?</v>
      </c>
      <c r="AG1464" s="47">
        <f t="shared" si="515"/>
        <v>44021011</v>
      </c>
      <c r="AH1464" s="54">
        <f>IF(Q1464="22",IF(ISNUMBER(SEARCH("econ",PAA_4[[#This Row],[Actividad3]])),"Económico",IF(ISNUMBER(SEARCH("alim",PAA_4[[#This Row],[Actividad3]])),"Alimentación",IF(ISNUMBER(SEARCH("educ",PAA_4[[#This Row],[Actividad3]])),"Educativo","Técnico"))),0)</f>
        <v>0</v>
      </c>
      <c r="AI1464" s="47" t="e" cm="1">
        <f t="array" aca="1" ref="AI1464" ca="1">_xlfn.XLOOKUP(PAA_4[[#This Row],[RCP-RUBRO]],[2]!COMPROMISOS_2024[[#All],[concatenado]],[2]!COMPROMISOS_2024[[#All],[Total pagado]],"",0)</f>
        <v>#NAME?</v>
      </c>
      <c r="AJ1464" s="56">
        <f>IF(PAA_4[[#This Row],[BOLSA]]=0,0,SUMIFS([2]!COMPROMISOS_2024[[#All],[Total pagado]],[2]!COMPROMISOS_2024[[#All],[Bolsa]],PAA_4[[#This Row],[BOLSA]],[2]!COMPROMISOS_2024[[#All],[rubro]],PAA_4[[#This Row],[RCP-RUBRO]]))</f>
        <v>0</v>
      </c>
      <c r="AK1464" s="47" t="e" cm="1">
        <f t="array" aca="1" ref="AK1464" ca="1">_xlfn.XLOOKUP(PAA_4[[#This Row],[RCP-RUBRO]],[2]!COMPROMISOS_2024[[#All],[concatenado]],[2]!COMPROMISOS_2024[[#All],[Total Comprometido]],"",0)</f>
        <v>#NAME?</v>
      </c>
      <c r="AL1464" s="47">
        <f>IF(PAA_4[[#This Row],[BOLSA]]=0,0,SUMIFS([2]!COMPROMISOS_2024[[#All],[Total Comprometido]],[2]!COMPROMISOS_2024[[#All],[Bolsa]],PAA_4[[#This Row],[BOLSA]],[2]!COMPROMISOS_2024[[#All],[concatenado]],PAA_4[[#This Row],[RCP-RUBRO]]))</f>
        <v>0</v>
      </c>
    </row>
    <row r="1465" spans="1:38" s="19" customFormat="1" ht="31.5" customHeight="1">
      <c r="A1465" s="47">
        <v>543</v>
      </c>
      <c r="B1465" s="47">
        <v>800111600</v>
      </c>
      <c r="C1465" s="47" t="str">
        <f>VLOOKUP(PAA_4[[#This Row],[PROYECTO (formulado)2]],[2]PROYECTOS!$G$1:$L$32,6,0)</f>
        <v>SUBGERENCIA DE FOMENTO Y DESARROLLO</v>
      </c>
      <c r="D1465" s="47" t="str">
        <f>+IF(PAA_4[[#This Row],[UNIDAD DE CONTRATACION (formulado)]]="Subgerencia Administrativa y Financiera","FUNCIONAMIENTO","INVERSIÓN")</f>
        <v>INVERSIÓN</v>
      </c>
      <c r="E1465" s="48" t="str">
        <f>VLOOKUP(Q1465,[2]PROYECTOS!$G$1:$K$32,5,0)</f>
        <v>FORTALECIMIENTO_DE_LOS_JUEGOS_DEL_SECTOR_SOCIAL_COMUNITARIO_EN_LOS_MUNICIPIOS_DEL_DEPARTAMENTO_DE_ANTIOQU</v>
      </c>
      <c r="F1465" s="48">
        <f>VLOOKUP(E1465,[2]PROYECTOS!$K$1:$M$32,3,0)</f>
        <v>2020003050033</v>
      </c>
      <c r="G1465" s="49" t="s">
        <v>342</v>
      </c>
      <c r="H1465" s="49" t="str">
        <f>VLOOKUP(Q1465,[2]PROYECTOS!$V$1:$W$32,2,0)</f>
        <v>050057</v>
      </c>
      <c r="I1465" s="78">
        <v>30076781</v>
      </c>
      <c r="J1465" s="51" t="s">
        <v>433</v>
      </c>
      <c r="K1465" s="47" t="str">
        <f t="shared" ca="1" si="512"/>
        <v>CONTRATADO</v>
      </c>
      <c r="L1465" s="47" t="s">
        <v>94</v>
      </c>
      <c r="M1465" s="47" t="s">
        <v>1297</v>
      </c>
      <c r="N1465" s="52" t="s">
        <v>396</v>
      </c>
      <c r="O1465" s="51" t="e">
        <f>VLOOKUP(N1465,[2]!RUBROS[#All],3,0)</f>
        <v>#REF!</v>
      </c>
      <c r="P1465" s="53" t="e">
        <f>VLOOKUP(N1465,[2]!RUBROS[#All],2,0)</f>
        <v>#REF!</v>
      </c>
      <c r="Q1465" s="47" t="str">
        <f t="shared" si="513"/>
        <v>50</v>
      </c>
      <c r="R1465" s="47" t="str">
        <f t="shared" si="511"/>
        <v>0-205128</v>
      </c>
      <c r="S1465" s="54">
        <v>7</v>
      </c>
      <c r="T1465" s="59" t="s">
        <v>46</v>
      </c>
      <c r="U1465" s="326" t="e">
        <f ca="1">_xlfn.XLOOKUP(PAA_4[[#This Row],[ITEM]],[2]Contrato!A:A,[2]Contrato!Q:Q,"",0)</f>
        <v>#NAME?</v>
      </c>
      <c r="V1465" s="47" t="s">
        <v>47</v>
      </c>
      <c r="W1465" s="47" t="s">
        <v>91</v>
      </c>
      <c r="X1465" s="47" t="s">
        <v>91</v>
      </c>
      <c r="Y1465" s="55" t="e">
        <f ca="1">_xlfn.XLOOKUP(PAA_4[[#This Row],[ITEM]],[2]Contrato!A:A,[2]Contrato!B:B,"",0)</f>
        <v>#NAME?</v>
      </c>
      <c r="Z1465" s="47" t="e">
        <f ca="1">_xlfn.XLOOKUP(PAA_4[[#This Row],[ITEM]],[2]Contrato!A:A,[2]Contrato!G:G,"",0)</f>
        <v>#NAME?</v>
      </c>
      <c r="AA1465" s="47" t="e">
        <f ca="1">_xlfn.XLOOKUP(PAA_4[[#This Row],[ITEM]],[2]Contrato!A:A,[2]Contrato!T:T,"",0)</f>
        <v>#NAME?</v>
      </c>
      <c r="AB1465" s="55" t="e">
        <f ca="1">+MAX(PAA_4[[#This Row],[Comprometido Contrato]],PAA_4[[#This Row],[Comprometido Bolsa]])</f>
        <v>#NAME?</v>
      </c>
      <c r="AC1465" s="55" t="str">
        <f t="shared" ca="1" si="516"/>
        <v/>
      </c>
      <c r="AD1465" s="55" t="e">
        <f ca="1">IF(PAA_4[[#This Row],[ESTADO (formulado)]]="NO CONTRATADO",0,MAX(PAA_4[[#This Row],[Pago por Contrato]],PAA_4[[#This Row],[Pago por bolsa]]))</f>
        <v>#NAME?</v>
      </c>
      <c r="AE1465" s="55" t="str">
        <f t="shared" ca="1" si="514"/>
        <v/>
      </c>
      <c r="AF1465" s="47" t="e">
        <f t="shared" ca="1" si="517"/>
        <v>#NAME?</v>
      </c>
      <c r="AG1465" s="47">
        <f t="shared" si="515"/>
        <v>44021010</v>
      </c>
      <c r="AH1465" s="54">
        <f>IF(Q1465="22",IF(ISNUMBER(SEARCH("econ",PAA_4[[#This Row],[Actividad3]])),"Económico",IF(ISNUMBER(SEARCH("alim",PAA_4[[#This Row],[Actividad3]])),"Alimentación",IF(ISNUMBER(SEARCH("educ",PAA_4[[#This Row],[Actividad3]])),"Educativo","Técnico"))),0)</f>
        <v>0</v>
      </c>
      <c r="AI1465" s="47" t="e" cm="1">
        <f t="array" aca="1" ref="AI1465" ca="1">_xlfn.XLOOKUP(PAA_4[[#This Row],[RCP-RUBRO]],[2]!COMPROMISOS_2024[[#All],[concatenado]],[2]!COMPROMISOS_2024[[#All],[Total pagado]],"",0)</f>
        <v>#NAME?</v>
      </c>
      <c r="AJ1465" s="56">
        <f>IF(PAA_4[[#This Row],[BOLSA]]=0,0,SUMIFS([2]!COMPROMISOS_2024[[#All],[Total pagado]],[2]!COMPROMISOS_2024[[#All],[Bolsa]],PAA_4[[#This Row],[BOLSA]],[2]!COMPROMISOS_2024[[#All],[rubro]],PAA_4[[#This Row],[RCP-RUBRO]]))</f>
        <v>0</v>
      </c>
      <c r="AK1465" s="47" t="e" cm="1">
        <f t="array" aca="1" ref="AK1465" ca="1">_xlfn.XLOOKUP(PAA_4[[#This Row],[RCP-RUBRO]],[2]!COMPROMISOS_2024[[#All],[concatenado]],[2]!COMPROMISOS_2024[[#All],[Total Comprometido]],"",0)</f>
        <v>#NAME?</v>
      </c>
      <c r="AL1465" s="47">
        <f>IF(PAA_4[[#This Row],[BOLSA]]=0,0,SUMIFS([2]!COMPROMISOS_2024[[#All],[Total Comprometido]],[2]!COMPROMISOS_2024[[#All],[Bolsa]],PAA_4[[#This Row],[BOLSA]],[2]!COMPROMISOS_2024[[#All],[concatenado]],PAA_4[[#This Row],[RCP-RUBRO]]))</f>
        <v>0</v>
      </c>
    </row>
    <row r="1466" spans="1:38" s="19" customFormat="1" ht="31.5" customHeight="1">
      <c r="A1466" s="47">
        <v>543</v>
      </c>
      <c r="B1466" s="47">
        <v>800111600</v>
      </c>
      <c r="C1466" s="47" t="str">
        <f>VLOOKUP(PAA_4[[#This Row],[PROYECTO (formulado)2]],[2]PROYECTOS!$G$1:$L$32,6,0)</f>
        <v>SUBGERENCIA DE FOMENTO Y DESARROLLO</v>
      </c>
      <c r="D1466" s="47" t="str">
        <f>+IF(PAA_4[[#This Row],[UNIDAD DE CONTRATACION (formulado)]]="Subgerencia Administrativa y Financiera","FUNCIONAMIENTO","INVERSIÓN")</f>
        <v>INVERSIÓN</v>
      </c>
      <c r="E1466" s="48" t="str">
        <f>VLOOKUP(Q1466,[2]PROYECTOS!$G$1:$K$32,5,0)</f>
        <v>FORTALECIMIENTO_DE_LOS_JUEGOS_DEL_SECTOR_EDUCATIVO_EN_ANTIOQUIA</v>
      </c>
      <c r="F1466" s="48">
        <f>VLOOKUP(E1466,[2]PROYECTOS!$K$1:$M$32,3,0)</f>
        <v>2020003050034</v>
      </c>
      <c r="G1466" s="49" t="s">
        <v>340</v>
      </c>
      <c r="H1466" s="49" t="str">
        <f>VLOOKUP(Q1466,[2]PROYECTOS!$V$1:$W$32,2,0)</f>
        <v>050053</v>
      </c>
      <c r="I1466" s="78">
        <v>30076786</v>
      </c>
      <c r="J1466" s="51" t="s">
        <v>433</v>
      </c>
      <c r="K1466" s="47" t="str">
        <f t="shared" ca="1" si="512"/>
        <v>CONTRATADO</v>
      </c>
      <c r="L1466" s="47" t="s">
        <v>94</v>
      </c>
      <c r="M1466" s="47" t="s">
        <v>1297</v>
      </c>
      <c r="N1466" s="52" t="s">
        <v>144</v>
      </c>
      <c r="O1466" s="51" t="e">
        <f>VLOOKUP(N1466,[2]!RUBROS[#All],3,0)</f>
        <v>#REF!</v>
      </c>
      <c r="P1466" s="53" t="e">
        <f>VLOOKUP(N1466,[2]!RUBROS[#All],2,0)</f>
        <v>#REF!</v>
      </c>
      <c r="Q1466" s="47" t="str">
        <f t="shared" si="513"/>
        <v>51</v>
      </c>
      <c r="R1466" s="47" t="str">
        <f t="shared" si="511"/>
        <v>0-205128</v>
      </c>
      <c r="S1466" s="54">
        <v>7</v>
      </c>
      <c r="T1466" s="59" t="s">
        <v>46</v>
      </c>
      <c r="U1466" s="326" t="e">
        <f ca="1">_xlfn.XLOOKUP(PAA_4[[#This Row],[ITEM]],[2]Contrato!A:A,[2]Contrato!Q:Q,"",0)</f>
        <v>#NAME?</v>
      </c>
      <c r="V1466" s="47" t="s">
        <v>47</v>
      </c>
      <c r="W1466" s="47" t="s">
        <v>91</v>
      </c>
      <c r="X1466" s="47" t="s">
        <v>91</v>
      </c>
      <c r="Y1466" s="55" t="e">
        <f ca="1">_xlfn.XLOOKUP(PAA_4[[#This Row],[ITEM]],[2]Contrato!A:A,[2]Contrato!B:B,"",0)</f>
        <v>#NAME?</v>
      </c>
      <c r="Z1466" s="47" t="e">
        <f ca="1">_xlfn.XLOOKUP(PAA_4[[#This Row],[ITEM]],[2]Contrato!A:A,[2]Contrato!G:G,"",0)</f>
        <v>#NAME?</v>
      </c>
      <c r="AA1466" s="47" t="e">
        <f ca="1">_xlfn.XLOOKUP(PAA_4[[#This Row],[ITEM]],[2]Contrato!A:A,[2]Contrato!T:T,"",0)</f>
        <v>#NAME?</v>
      </c>
      <c r="AB1466" s="55" t="e">
        <f ca="1">+MAX(PAA_4[[#This Row],[Comprometido Contrato]],PAA_4[[#This Row],[Comprometido Bolsa]])</f>
        <v>#NAME?</v>
      </c>
      <c r="AC1466" s="55" t="str">
        <f t="shared" ca="1" si="516"/>
        <v/>
      </c>
      <c r="AD1466" s="55" t="e">
        <f ca="1">IF(PAA_4[[#This Row],[ESTADO (formulado)]]="NO CONTRATADO",0,MAX(PAA_4[[#This Row],[Pago por Contrato]],PAA_4[[#This Row],[Pago por bolsa]]))</f>
        <v>#NAME?</v>
      </c>
      <c r="AE1466" s="55" t="str">
        <f t="shared" ca="1" si="514"/>
        <v/>
      </c>
      <c r="AF1466" s="47" t="e">
        <f t="shared" ca="1" si="517"/>
        <v>#NAME?</v>
      </c>
      <c r="AG1466" s="47">
        <f t="shared" si="515"/>
        <v>44021011</v>
      </c>
      <c r="AH1466" s="54">
        <f>IF(Q1466="22",IF(ISNUMBER(SEARCH("econ",PAA_4[[#This Row],[Actividad3]])),"Económico",IF(ISNUMBER(SEARCH("alim",PAA_4[[#This Row],[Actividad3]])),"Alimentación",IF(ISNUMBER(SEARCH("educ",PAA_4[[#This Row],[Actividad3]])),"Educativo","Técnico"))),0)</f>
        <v>0</v>
      </c>
      <c r="AI1466" s="47" t="e" cm="1">
        <f t="array" aca="1" ref="AI1466" ca="1">_xlfn.XLOOKUP(PAA_4[[#This Row],[RCP-RUBRO]],[2]!COMPROMISOS_2024[[#All],[concatenado]],[2]!COMPROMISOS_2024[[#All],[Total pagado]],"",0)</f>
        <v>#NAME?</v>
      </c>
      <c r="AJ1466" s="56">
        <f>IF(PAA_4[[#This Row],[BOLSA]]=0,0,SUMIFS([2]!COMPROMISOS_2024[[#All],[Total pagado]],[2]!COMPROMISOS_2024[[#All],[Bolsa]],PAA_4[[#This Row],[BOLSA]],[2]!COMPROMISOS_2024[[#All],[rubro]],PAA_4[[#This Row],[RCP-RUBRO]]))</f>
        <v>0</v>
      </c>
      <c r="AK1466" s="47" t="e" cm="1">
        <f t="array" aca="1" ref="AK1466" ca="1">_xlfn.XLOOKUP(PAA_4[[#This Row],[RCP-RUBRO]],[2]!COMPROMISOS_2024[[#All],[concatenado]],[2]!COMPROMISOS_2024[[#All],[Total Comprometido]],"",0)</f>
        <v>#NAME?</v>
      </c>
      <c r="AL1466" s="47">
        <f>IF(PAA_4[[#This Row],[BOLSA]]=0,0,SUMIFS([2]!COMPROMISOS_2024[[#All],[Total Comprometido]],[2]!COMPROMISOS_2024[[#All],[Bolsa]],PAA_4[[#This Row],[BOLSA]],[2]!COMPROMISOS_2024[[#All],[concatenado]],PAA_4[[#This Row],[RCP-RUBRO]]))</f>
        <v>0</v>
      </c>
    </row>
    <row r="1467" spans="1:38" s="19" customFormat="1" ht="31.5" customHeight="1">
      <c r="A1467" s="47">
        <v>544</v>
      </c>
      <c r="B1467" s="47">
        <v>800111600</v>
      </c>
      <c r="C1467" s="47" t="str">
        <f>VLOOKUP(PAA_4[[#This Row],[PROYECTO (formulado)2]],[2]PROYECTOS!$G$1:$L$32,6,0)</f>
        <v>SUBGERENCIA DE FOMENTO Y DESARROLLO</v>
      </c>
      <c r="D1467" s="47" t="str">
        <f>+IF(PAA_4[[#This Row],[UNIDAD DE CONTRATACION (formulado)]]="Subgerencia Administrativa y Financiera","FUNCIONAMIENTO","INVERSIÓN")</f>
        <v>INVERSIÓN</v>
      </c>
      <c r="E1467" s="48" t="str">
        <f>VLOOKUP(Q1467,[2]PROYECTOS!$G$1:$K$32,5,0)</f>
        <v>FORTALECIMIENTO_DEL_PROGRAMA_POR_SU_SALUD_MUÉVASE_PUES_EN_LOS_MUNICIPIO_DEL_DEPARTAMENTO_DE_ANTIOQUIA</v>
      </c>
      <c r="F1467" s="48">
        <f>VLOOKUP(E1467,[2]PROYECTOS!$K$1:$M$32,3,0)</f>
        <v>2020003050030</v>
      </c>
      <c r="G1467" s="49" t="s">
        <v>326</v>
      </c>
      <c r="H1467" s="49" t="str">
        <f>VLOOKUP(Q1467,[2]PROYECTOS!$V$1:$W$32,2,0)</f>
        <v>050055</v>
      </c>
      <c r="I1467" s="78">
        <v>21572968</v>
      </c>
      <c r="J1467" s="51" t="s">
        <v>434</v>
      </c>
      <c r="K1467" s="47" t="str">
        <f t="shared" ca="1" si="512"/>
        <v>CONTRATADO</v>
      </c>
      <c r="L1467" s="47" t="s">
        <v>94</v>
      </c>
      <c r="M1467" s="47" t="s">
        <v>1297</v>
      </c>
      <c r="N1467" s="52" t="s">
        <v>329</v>
      </c>
      <c r="O1467" s="51" t="e">
        <f>VLOOKUP(N1467,[2]!RUBROS[#All],3,0)</f>
        <v>#REF!</v>
      </c>
      <c r="P1467" s="53" t="e">
        <f>VLOOKUP(N1467,[2]!RUBROS[#All],2,0)</f>
        <v>#REF!</v>
      </c>
      <c r="Q1467" s="47" t="str">
        <f t="shared" si="513"/>
        <v>45</v>
      </c>
      <c r="R1467" s="47" t="str">
        <f t="shared" si="511"/>
        <v>0-205128</v>
      </c>
      <c r="S1467" s="54">
        <v>7</v>
      </c>
      <c r="T1467" s="59" t="s">
        <v>46</v>
      </c>
      <c r="U1467" s="326" t="e">
        <f ca="1">_xlfn.XLOOKUP(PAA_4[[#This Row],[ITEM]],[2]Contrato!A:A,[2]Contrato!Q:Q,"",0)</f>
        <v>#NAME?</v>
      </c>
      <c r="V1467" s="47" t="s">
        <v>47</v>
      </c>
      <c r="W1467" s="47" t="s">
        <v>91</v>
      </c>
      <c r="X1467" s="47" t="s">
        <v>91</v>
      </c>
      <c r="Y1467" s="55" t="e">
        <f ca="1">_xlfn.XLOOKUP(PAA_4[[#This Row],[ITEM]],[2]Contrato!A:A,[2]Contrato!B:B,"",0)</f>
        <v>#NAME?</v>
      </c>
      <c r="Z1467" s="47" t="e">
        <f ca="1">_xlfn.XLOOKUP(PAA_4[[#This Row],[ITEM]],[2]Contrato!A:A,[2]Contrato!G:G,"",0)</f>
        <v>#NAME?</v>
      </c>
      <c r="AA1467" s="47" t="e">
        <f ca="1">_xlfn.XLOOKUP(PAA_4[[#This Row],[ITEM]],[2]Contrato!A:A,[2]Contrato!T:T,"",0)</f>
        <v>#NAME?</v>
      </c>
      <c r="AB1467" s="55" t="e">
        <f ca="1">+MAX(PAA_4[[#This Row],[Comprometido Contrato]],PAA_4[[#This Row],[Comprometido Bolsa]])</f>
        <v>#NAME?</v>
      </c>
      <c r="AC1467" s="55" t="str">
        <f t="shared" ca="1" si="516"/>
        <v/>
      </c>
      <c r="AD1467" s="55" t="e">
        <f ca="1">IF(PAA_4[[#This Row],[ESTADO (formulado)]]="NO CONTRATADO",0,MAX(PAA_4[[#This Row],[Pago por Contrato]],PAA_4[[#This Row],[Pago por bolsa]]))</f>
        <v>#NAME?</v>
      </c>
      <c r="AE1467" s="55" t="str">
        <f t="shared" ca="1" si="514"/>
        <v/>
      </c>
      <c r="AF1467" s="47" t="e">
        <f t="shared" ca="1" si="517"/>
        <v>#NAME?</v>
      </c>
      <c r="AG1467" s="47">
        <f t="shared" si="515"/>
        <v>44021001</v>
      </c>
      <c r="AH1467" s="54">
        <f>IF(Q1467="22",IF(ISNUMBER(SEARCH("econ",PAA_4[[#This Row],[Actividad3]])),"Económico",IF(ISNUMBER(SEARCH("alim",PAA_4[[#This Row],[Actividad3]])),"Alimentación",IF(ISNUMBER(SEARCH("educ",PAA_4[[#This Row],[Actividad3]])),"Educativo","Técnico"))),0)</f>
        <v>0</v>
      </c>
      <c r="AI1467" s="47" t="e" cm="1">
        <f t="array" aca="1" ref="AI1467" ca="1">_xlfn.XLOOKUP(PAA_4[[#This Row],[RCP-RUBRO]],[2]!COMPROMISOS_2024[[#All],[concatenado]],[2]!COMPROMISOS_2024[[#All],[Total pagado]],"",0)</f>
        <v>#NAME?</v>
      </c>
      <c r="AJ1467" s="56">
        <f>IF(PAA_4[[#This Row],[BOLSA]]=0,0,SUMIFS([2]!COMPROMISOS_2024[[#All],[Total pagado]],[2]!COMPROMISOS_2024[[#All],[Bolsa]],PAA_4[[#This Row],[BOLSA]],[2]!COMPROMISOS_2024[[#All],[rubro]],PAA_4[[#This Row],[RCP-RUBRO]]))</f>
        <v>0</v>
      </c>
      <c r="AK1467" s="47" t="e" cm="1">
        <f t="array" aca="1" ref="AK1467" ca="1">_xlfn.XLOOKUP(PAA_4[[#This Row],[RCP-RUBRO]],[2]!COMPROMISOS_2024[[#All],[concatenado]],[2]!COMPROMISOS_2024[[#All],[Total Comprometido]],"",0)</f>
        <v>#NAME?</v>
      </c>
      <c r="AL1467" s="47">
        <f>IF(PAA_4[[#This Row],[BOLSA]]=0,0,SUMIFS([2]!COMPROMISOS_2024[[#All],[Total Comprometido]],[2]!COMPROMISOS_2024[[#All],[Bolsa]],PAA_4[[#This Row],[BOLSA]],[2]!COMPROMISOS_2024[[#All],[concatenado]],PAA_4[[#This Row],[RCP-RUBRO]]))</f>
        <v>0</v>
      </c>
    </row>
    <row r="1468" spans="1:38" s="19" customFormat="1" ht="31.5" customHeight="1">
      <c r="A1468" s="47">
        <v>544</v>
      </c>
      <c r="B1468" s="47">
        <v>800111600</v>
      </c>
      <c r="C1468" s="47" t="str">
        <f>VLOOKUP(PAA_4[[#This Row],[PROYECTO (formulado)2]],[2]PROYECTOS!$G$1:$L$32,6,0)</f>
        <v>SUBGERENCIA DE FOMENTO Y DESARROLLO</v>
      </c>
      <c r="D1468" s="47" t="str">
        <f>+IF(PAA_4[[#This Row],[UNIDAD DE CONTRATACION (formulado)]]="Subgerencia Administrativa y Financiera","FUNCIONAMIENTO","INVERSIÓN")</f>
        <v>INVERSIÓN</v>
      </c>
      <c r="E1468" s="48" t="str">
        <f>VLOOKUP(Q1468,[2]PROYECTOS!$G$1:$K$32,5,0)</f>
        <v>FORTALECIMIENTO_DE_LAS_ESCUELAS_DEPORTIVAS_EN_LOS_MUNICIPIOS_DEL_DEPARTAMENTO_DE_ANTIOQUIA</v>
      </c>
      <c r="F1468" s="48">
        <f>VLOOKUP(E1468,[2]PROYECTOS!$K$1:$M$32,3,0)</f>
        <v>2020003050032</v>
      </c>
      <c r="G1468" s="49" t="s">
        <v>333</v>
      </c>
      <c r="H1468" s="49" t="str">
        <f>VLOOKUP(Q1468,[2]PROYECTOS!$V$1:$W$32,2,0)</f>
        <v>050059</v>
      </c>
      <c r="I1468" s="78">
        <v>20409506</v>
      </c>
      <c r="J1468" s="51" t="s">
        <v>434</v>
      </c>
      <c r="K1468" s="47" t="str">
        <f t="shared" ca="1" si="512"/>
        <v>CONTRATADO</v>
      </c>
      <c r="L1468" s="47" t="s">
        <v>94</v>
      </c>
      <c r="M1468" s="47" t="s">
        <v>1297</v>
      </c>
      <c r="N1468" s="52" t="s">
        <v>334</v>
      </c>
      <c r="O1468" s="51" t="e">
        <f>VLOOKUP(N1468,[2]!RUBROS[#All],3,0)</f>
        <v>#REF!</v>
      </c>
      <c r="P1468" s="53" t="e">
        <f>VLOOKUP(N1468,[2]!RUBROS[#All],2,0)</f>
        <v>#REF!</v>
      </c>
      <c r="Q1468" s="47" t="str">
        <f t="shared" si="513"/>
        <v>46</v>
      </c>
      <c r="R1468" s="47" t="str">
        <f t="shared" si="511"/>
        <v>0-205128</v>
      </c>
      <c r="S1468" s="54">
        <v>7</v>
      </c>
      <c r="T1468" s="59" t="s">
        <v>46</v>
      </c>
      <c r="U1468" s="326" t="e">
        <f ca="1">_xlfn.XLOOKUP(PAA_4[[#This Row],[ITEM]],[2]Contrato!A:A,[2]Contrato!Q:Q,"",0)</f>
        <v>#NAME?</v>
      </c>
      <c r="V1468" s="47" t="s">
        <v>47</v>
      </c>
      <c r="W1468" s="47" t="s">
        <v>91</v>
      </c>
      <c r="X1468" s="47" t="s">
        <v>91</v>
      </c>
      <c r="Y1468" s="55" t="e">
        <f ca="1">_xlfn.XLOOKUP(PAA_4[[#This Row],[ITEM]],[2]Contrato!A:A,[2]Contrato!B:B,"",0)</f>
        <v>#NAME?</v>
      </c>
      <c r="Z1468" s="47" t="e">
        <f ca="1">_xlfn.XLOOKUP(PAA_4[[#This Row],[ITEM]],[2]Contrato!A:A,[2]Contrato!G:G,"",0)</f>
        <v>#NAME?</v>
      </c>
      <c r="AA1468" s="47" t="e">
        <f ca="1">_xlfn.XLOOKUP(PAA_4[[#This Row],[ITEM]],[2]Contrato!A:A,[2]Contrato!T:T,"",0)</f>
        <v>#NAME?</v>
      </c>
      <c r="AB1468" s="55" t="e">
        <f ca="1">+MAX(PAA_4[[#This Row],[Comprometido Contrato]],PAA_4[[#This Row],[Comprometido Bolsa]])</f>
        <v>#NAME?</v>
      </c>
      <c r="AC1468" s="55" t="str">
        <f t="shared" ca="1" si="516"/>
        <v/>
      </c>
      <c r="AD1468" s="55" t="e">
        <f ca="1">IF(PAA_4[[#This Row],[ESTADO (formulado)]]="NO CONTRATADO",0,MAX(PAA_4[[#This Row],[Pago por Contrato]],PAA_4[[#This Row],[Pago por bolsa]]))</f>
        <v>#NAME?</v>
      </c>
      <c r="AE1468" s="55" t="str">
        <f t="shared" ca="1" si="514"/>
        <v/>
      </c>
      <c r="AF1468" s="47" t="e">
        <f t="shared" ca="1" si="517"/>
        <v>#NAME?</v>
      </c>
      <c r="AG1468" s="47">
        <f t="shared" si="515"/>
        <v>44021007</v>
      </c>
      <c r="AH1468" s="54">
        <f>IF(Q1468="22",IF(ISNUMBER(SEARCH("econ",PAA_4[[#This Row],[Actividad3]])),"Económico",IF(ISNUMBER(SEARCH("alim",PAA_4[[#This Row],[Actividad3]])),"Alimentación",IF(ISNUMBER(SEARCH("educ",PAA_4[[#This Row],[Actividad3]])),"Educativo","Técnico"))),0)</f>
        <v>0</v>
      </c>
      <c r="AI1468" s="47" t="e" cm="1">
        <f t="array" aca="1" ref="AI1468" ca="1">_xlfn.XLOOKUP(PAA_4[[#This Row],[RCP-RUBRO]],[2]!COMPROMISOS_2024[[#All],[concatenado]],[2]!COMPROMISOS_2024[[#All],[Total pagado]],"",0)</f>
        <v>#NAME?</v>
      </c>
      <c r="AJ1468" s="56">
        <f>IF(PAA_4[[#This Row],[BOLSA]]=0,0,SUMIFS([2]!COMPROMISOS_2024[[#All],[Total pagado]],[2]!COMPROMISOS_2024[[#All],[Bolsa]],PAA_4[[#This Row],[BOLSA]],[2]!COMPROMISOS_2024[[#All],[rubro]],PAA_4[[#This Row],[RCP-RUBRO]]))</f>
        <v>0</v>
      </c>
      <c r="AK1468" s="47" t="e" cm="1">
        <f t="array" aca="1" ref="AK1468" ca="1">_xlfn.XLOOKUP(PAA_4[[#This Row],[RCP-RUBRO]],[2]!COMPROMISOS_2024[[#All],[concatenado]],[2]!COMPROMISOS_2024[[#All],[Total Comprometido]],"",0)</f>
        <v>#NAME?</v>
      </c>
      <c r="AL1468" s="47">
        <f>IF(PAA_4[[#This Row],[BOLSA]]=0,0,SUMIFS([2]!COMPROMISOS_2024[[#All],[Total Comprometido]],[2]!COMPROMISOS_2024[[#All],[Bolsa]],PAA_4[[#This Row],[BOLSA]],[2]!COMPROMISOS_2024[[#All],[concatenado]],PAA_4[[#This Row],[RCP-RUBRO]]))</f>
        <v>0</v>
      </c>
    </row>
    <row r="1469" spans="1:38" s="19" customFormat="1" ht="31.5" customHeight="1">
      <c r="A1469" s="47">
        <v>544</v>
      </c>
      <c r="B1469" s="47">
        <v>800111600</v>
      </c>
      <c r="C1469" s="47" t="str">
        <f>VLOOKUP(PAA_4[[#This Row],[PROYECTO (formulado)2]],[2]PROYECTOS!$G$1:$L$32,6,0)</f>
        <v>SUBGERENCIA DE FOMENTO Y DESARROLLO</v>
      </c>
      <c r="D1469" s="47" t="str">
        <f>+IF(PAA_4[[#This Row],[UNIDAD DE CONTRATACION (formulado)]]="Subgerencia Administrativa y Financiera","FUNCIONAMIENTO","INVERSIÓN")</f>
        <v>INVERSIÓN</v>
      </c>
      <c r="E1469" s="48" t="str">
        <f>VLOOKUP(Q1469,[2]PROYECTOS!$G$1:$K$32,5,0)</f>
        <v>FORTALECIMIENTO_DE_LOS_PROGRAMAS_RECREATIVOS_EN_LOS_MUNICIPIOS_DEL_DEPARTAMENTO_DE_ANTIOQUIA</v>
      </c>
      <c r="F1469" s="48">
        <f>VLOOKUP(E1469,[2]PROYECTOS!$K$1:$M$32,3,0)</f>
        <v>2020003050031</v>
      </c>
      <c r="G1469" s="49" t="s">
        <v>335</v>
      </c>
      <c r="H1469" s="49" t="str">
        <f>VLOOKUP(Q1469,[2]PROYECTOS!$V$1:$W$32,2,0)</f>
        <v>050064</v>
      </c>
      <c r="I1469" s="78">
        <v>20171093</v>
      </c>
      <c r="J1469" s="51" t="s">
        <v>434</v>
      </c>
      <c r="K1469" s="47" t="str">
        <f t="shared" ca="1" si="512"/>
        <v>CONTRATADO</v>
      </c>
      <c r="L1469" s="47" t="s">
        <v>94</v>
      </c>
      <c r="M1469" s="47" t="s">
        <v>1297</v>
      </c>
      <c r="N1469" s="52" t="s">
        <v>336</v>
      </c>
      <c r="O1469" s="51" t="e">
        <f>VLOOKUP(N1469,[2]!RUBROS[#All],3,0)</f>
        <v>#REF!</v>
      </c>
      <c r="P1469" s="53" t="e">
        <f>VLOOKUP(N1469,[2]!RUBROS[#All],2,0)</f>
        <v>#REF!</v>
      </c>
      <c r="Q1469" s="47" t="str">
        <f t="shared" si="513"/>
        <v>47</v>
      </c>
      <c r="R1469" s="47" t="str">
        <f t="shared" si="511"/>
        <v>0-205128</v>
      </c>
      <c r="S1469" s="54">
        <v>7</v>
      </c>
      <c r="T1469" s="59" t="s">
        <v>46</v>
      </c>
      <c r="U1469" s="326" t="e">
        <f ca="1">_xlfn.XLOOKUP(PAA_4[[#This Row],[ITEM]],[2]Contrato!A:A,[2]Contrato!Q:Q,"",0)</f>
        <v>#NAME?</v>
      </c>
      <c r="V1469" s="47" t="s">
        <v>47</v>
      </c>
      <c r="W1469" s="47" t="s">
        <v>91</v>
      </c>
      <c r="X1469" s="47" t="s">
        <v>91</v>
      </c>
      <c r="Y1469" s="55" t="e">
        <f ca="1">_xlfn.XLOOKUP(PAA_4[[#This Row],[ITEM]],[2]Contrato!A:A,[2]Contrato!B:B,"",0)</f>
        <v>#NAME?</v>
      </c>
      <c r="Z1469" s="47" t="e">
        <f ca="1">_xlfn.XLOOKUP(PAA_4[[#This Row],[ITEM]],[2]Contrato!A:A,[2]Contrato!G:G,"",0)</f>
        <v>#NAME?</v>
      </c>
      <c r="AA1469" s="47" t="e">
        <f ca="1">_xlfn.XLOOKUP(PAA_4[[#This Row],[ITEM]],[2]Contrato!A:A,[2]Contrato!T:T,"",0)</f>
        <v>#NAME?</v>
      </c>
      <c r="AB1469" s="55" t="e">
        <f ca="1">+MAX(PAA_4[[#This Row],[Comprometido Contrato]],PAA_4[[#This Row],[Comprometido Bolsa]])</f>
        <v>#NAME?</v>
      </c>
      <c r="AC1469" s="55" t="str">
        <f t="shared" ca="1" si="516"/>
        <v/>
      </c>
      <c r="AD1469" s="55" t="e">
        <f ca="1">IF(PAA_4[[#This Row],[ESTADO (formulado)]]="NO CONTRATADO",0,MAX(PAA_4[[#This Row],[Pago por Contrato]],PAA_4[[#This Row],[Pago por bolsa]]))</f>
        <v>#NAME?</v>
      </c>
      <c r="AE1469" s="55" t="str">
        <f t="shared" ca="1" si="514"/>
        <v/>
      </c>
      <c r="AF1469" s="47" t="e">
        <f t="shared" ca="1" si="517"/>
        <v>#NAME?</v>
      </c>
      <c r="AG1469" s="47">
        <f t="shared" si="515"/>
        <v>44021004</v>
      </c>
      <c r="AH1469" s="54">
        <f>IF(Q1469="22",IF(ISNUMBER(SEARCH("econ",PAA_4[[#This Row],[Actividad3]])),"Económico",IF(ISNUMBER(SEARCH("alim",PAA_4[[#This Row],[Actividad3]])),"Alimentación",IF(ISNUMBER(SEARCH("educ",PAA_4[[#This Row],[Actividad3]])),"Educativo","Técnico"))),0)</f>
        <v>0</v>
      </c>
      <c r="AI1469" s="47" t="e" cm="1">
        <f t="array" aca="1" ref="AI1469" ca="1">_xlfn.XLOOKUP(PAA_4[[#This Row],[RCP-RUBRO]],[2]!COMPROMISOS_2024[[#All],[concatenado]],[2]!COMPROMISOS_2024[[#All],[Total pagado]],"",0)</f>
        <v>#NAME?</v>
      </c>
      <c r="AJ1469" s="56">
        <f>IF(PAA_4[[#This Row],[BOLSA]]=0,0,SUMIFS([2]!COMPROMISOS_2024[[#All],[Total pagado]],[2]!COMPROMISOS_2024[[#All],[Bolsa]],PAA_4[[#This Row],[BOLSA]],[2]!COMPROMISOS_2024[[#All],[rubro]],PAA_4[[#This Row],[RCP-RUBRO]]))</f>
        <v>0</v>
      </c>
      <c r="AK1469" s="47" t="e" cm="1">
        <f t="array" aca="1" ref="AK1469" ca="1">_xlfn.XLOOKUP(PAA_4[[#This Row],[RCP-RUBRO]],[2]!COMPROMISOS_2024[[#All],[concatenado]],[2]!COMPROMISOS_2024[[#All],[Total Comprometido]],"",0)</f>
        <v>#NAME?</v>
      </c>
      <c r="AL1469" s="47">
        <f>IF(PAA_4[[#This Row],[BOLSA]]=0,0,SUMIFS([2]!COMPROMISOS_2024[[#All],[Total Comprometido]],[2]!COMPROMISOS_2024[[#All],[Bolsa]],PAA_4[[#This Row],[BOLSA]],[2]!COMPROMISOS_2024[[#All],[concatenado]],PAA_4[[#This Row],[RCP-RUBRO]]))</f>
        <v>0</v>
      </c>
    </row>
    <row r="1470" spans="1:38" s="19" customFormat="1" ht="31.5" customHeight="1">
      <c r="A1470" s="47">
        <v>545</v>
      </c>
      <c r="B1470" s="47">
        <v>80111600</v>
      </c>
      <c r="C1470" s="47" t="str">
        <f>VLOOKUP(PAA_4[[#This Row],[PROYECTO (formulado)2]],[2]PROYECTOS!$G$1:$L$32,6,0)</f>
        <v>SUBGERENCIA DE FOMENTO Y DESARROLLO</v>
      </c>
      <c r="D1470" s="47" t="str">
        <f>+IF(PAA_4[[#This Row],[UNIDAD DE CONTRATACION (formulado)]]="Subgerencia Administrativa y Financiera","FUNCIONAMIENTO","INVERSIÓN")</f>
        <v>INVERSIÓN</v>
      </c>
      <c r="E1470" s="48" t="str">
        <f>VLOOKUP(Q1470,[2]PROYECTOS!$G$1:$K$32,5,0)</f>
        <v>FORTALECIMIENTO_DE_LOS_PROGRAMAS_RECREATIVOS_EN_LOS_MUNICIPIOS_DEL_DEPARTAMENTO_DE_ANTIOQUIA</v>
      </c>
      <c r="F1470" s="48">
        <f>VLOOKUP(E1470,[2]PROYECTOS!$K$1:$M$32,3,0)</f>
        <v>2020003050031</v>
      </c>
      <c r="G1470" s="49" t="s">
        <v>353</v>
      </c>
      <c r="H1470" s="49" t="str">
        <f>VLOOKUP(Q1470,[2]PROYECTOS!$V$1:$W$32,2,0)</f>
        <v>050064</v>
      </c>
      <c r="I1470" s="78">
        <v>38902427</v>
      </c>
      <c r="J1470" s="74" t="s">
        <v>435</v>
      </c>
      <c r="K1470" s="47" t="str">
        <f t="shared" ca="1" si="512"/>
        <v>CONTRATADO</v>
      </c>
      <c r="L1470" s="47" t="s">
        <v>94</v>
      </c>
      <c r="M1470" s="47" t="s">
        <v>1297</v>
      </c>
      <c r="N1470" s="52" t="s">
        <v>355</v>
      </c>
      <c r="O1470" s="51" t="e">
        <f>VLOOKUP(N1470,[2]!RUBROS[#All],3,0)</f>
        <v>#REF!</v>
      </c>
      <c r="P1470" s="53" t="e">
        <f>VLOOKUP(N1470,[2]!RUBROS[#All],2,0)</f>
        <v>#REF!</v>
      </c>
      <c r="Q1470" s="47" t="str">
        <f t="shared" si="513"/>
        <v>47</v>
      </c>
      <c r="R1470" s="47" t="str">
        <f t="shared" si="511"/>
        <v>0-205128</v>
      </c>
      <c r="S1470" s="54">
        <v>7</v>
      </c>
      <c r="T1470" s="59" t="s">
        <v>46</v>
      </c>
      <c r="U1470" s="326" t="e">
        <f ca="1">_xlfn.XLOOKUP(PAA_4[[#This Row],[ITEM]],[2]Contrato!A:A,[2]Contrato!Q:Q,"",0)</f>
        <v>#NAME?</v>
      </c>
      <c r="V1470" s="47" t="s">
        <v>47</v>
      </c>
      <c r="W1470" s="47" t="s">
        <v>91</v>
      </c>
      <c r="X1470" s="47" t="s">
        <v>91</v>
      </c>
      <c r="Y1470" s="55" t="e">
        <f ca="1">_xlfn.XLOOKUP(PAA_4[[#This Row],[ITEM]],[2]Contrato!A:A,[2]Contrato!B:B,"",0)</f>
        <v>#NAME?</v>
      </c>
      <c r="Z1470" s="47" t="e">
        <f ca="1">_xlfn.XLOOKUP(PAA_4[[#This Row],[ITEM]],[2]Contrato!A:A,[2]Contrato!G:G,"",0)</f>
        <v>#NAME?</v>
      </c>
      <c r="AA1470" s="47" t="e">
        <f ca="1">_xlfn.XLOOKUP(PAA_4[[#This Row],[ITEM]],[2]Contrato!A:A,[2]Contrato!T:T,"",0)</f>
        <v>#NAME?</v>
      </c>
      <c r="AB1470" s="55" t="e">
        <f ca="1">+MAX(PAA_4[[#This Row],[Comprometido Contrato]],PAA_4[[#This Row],[Comprometido Bolsa]])</f>
        <v>#NAME?</v>
      </c>
      <c r="AC1470" s="55" t="str">
        <f t="shared" ca="1" si="516"/>
        <v/>
      </c>
      <c r="AD1470" s="55" t="e">
        <f ca="1">IF(PAA_4[[#This Row],[ESTADO (formulado)]]="NO CONTRATADO",0,MAX(PAA_4[[#This Row],[Pago por Contrato]],PAA_4[[#This Row],[Pago por bolsa]]))</f>
        <v>#NAME?</v>
      </c>
      <c r="AE1470" s="55" t="str">
        <f t="shared" ca="1" si="514"/>
        <v/>
      </c>
      <c r="AF1470" s="47" t="e">
        <f t="shared" ca="1" si="517"/>
        <v>#NAME?</v>
      </c>
      <c r="AG1470" s="47">
        <f t="shared" si="515"/>
        <v>44021004</v>
      </c>
      <c r="AH1470" s="54">
        <f>IF(Q1470="22",IF(ISNUMBER(SEARCH("econ",PAA_4[[#This Row],[Actividad3]])),"Económico",IF(ISNUMBER(SEARCH("alim",PAA_4[[#This Row],[Actividad3]])),"Alimentación",IF(ISNUMBER(SEARCH("educ",PAA_4[[#This Row],[Actividad3]])),"Educativo","Técnico"))),0)</f>
        <v>0</v>
      </c>
      <c r="AI1470" s="47" t="e" cm="1">
        <f t="array" aca="1" ref="AI1470" ca="1">_xlfn.XLOOKUP(PAA_4[[#This Row],[RCP-RUBRO]],[2]!COMPROMISOS_2024[[#All],[concatenado]],[2]!COMPROMISOS_2024[[#All],[Total pagado]],"",0)</f>
        <v>#NAME?</v>
      </c>
      <c r="AJ1470" s="56">
        <f>IF(PAA_4[[#This Row],[BOLSA]]=0,0,SUMIFS([2]!COMPROMISOS_2024[[#All],[Total pagado]],[2]!COMPROMISOS_2024[[#All],[Bolsa]],PAA_4[[#This Row],[BOLSA]],[2]!COMPROMISOS_2024[[#All],[rubro]],PAA_4[[#This Row],[RCP-RUBRO]]))</f>
        <v>0</v>
      </c>
      <c r="AK1470" s="47" t="e" cm="1">
        <f t="array" aca="1" ref="AK1470" ca="1">_xlfn.XLOOKUP(PAA_4[[#This Row],[RCP-RUBRO]],[2]!COMPROMISOS_2024[[#All],[concatenado]],[2]!COMPROMISOS_2024[[#All],[Total Comprometido]],"",0)</f>
        <v>#NAME?</v>
      </c>
      <c r="AL1470" s="47">
        <f>IF(PAA_4[[#This Row],[BOLSA]]=0,0,SUMIFS([2]!COMPROMISOS_2024[[#All],[Total Comprometido]],[2]!COMPROMISOS_2024[[#All],[Bolsa]],PAA_4[[#This Row],[BOLSA]],[2]!COMPROMISOS_2024[[#All],[concatenado]],PAA_4[[#This Row],[RCP-RUBRO]]))</f>
        <v>0</v>
      </c>
    </row>
    <row r="1471" spans="1:38" s="19" customFormat="1" ht="31.5" customHeight="1">
      <c r="A1471" s="47" t="s">
        <v>82</v>
      </c>
      <c r="B1471" s="47" t="s">
        <v>42</v>
      </c>
      <c r="C1471" s="47" t="str">
        <f>VLOOKUP(PAA_4[[#This Row],[PROYECTO (formulado)2]],[2]PROYECTOS!$G$1:$L$32,6,0)</f>
        <v>SUBGERENCIA DE FOMENTO Y DESARROLLO</v>
      </c>
      <c r="D1471" s="47" t="str">
        <f>+IF(PAA_4[[#This Row],[UNIDAD DE CONTRATACION (formulado)]]="Subgerencia Administrativa y Financiera","FUNCIONAMIENTO","INVERSIÓN")</f>
        <v>INVERSIÓN</v>
      </c>
      <c r="E1471" s="48" t="str">
        <f>VLOOKUP(Q1471,[2]PROYECTOS!$G$1:$K$32,5,0)</f>
        <v>FORTALECIMIENTO_DE_LOS_PROGRAMAS_RECREATIVOS_EN_LOS_MUNICIPIOS_DEL_DEPARTAMENTO_DE_ANTIOQUIA</v>
      </c>
      <c r="F1471" s="48">
        <f>VLOOKUP(E1471,[2]PROYECTOS!$K$1:$M$32,3,0)</f>
        <v>2020003050031</v>
      </c>
      <c r="G1471" s="49" t="s">
        <v>353</v>
      </c>
      <c r="H1471" s="49" t="str">
        <f>VLOOKUP(Q1471,[2]PROYECTOS!$V$1:$W$32,2,0)</f>
        <v>050064</v>
      </c>
      <c r="I1471" s="78">
        <v>609618</v>
      </c>
      <c r="J1471" s="51" t="s">
        <v>1852</v>
      </c>
      <c r="K1471" s="47" t="str">
        <f t="shared" ca="1" si="512"/>
        <v>CONTRATADO</v>
      </c>
      <c r="L1471" s="47" t="s">
        <v>42</v>
      </c>
      <c r="M1471" s="47" t="s">
        <v>42</v>
      </c>
      <c r="N1471" s="52" t="s">
        <v>355</v>
      </c>
      <c r="O1471" s="51" t="e">
        <f>VLOOKUP(N1471,[2]!RUBROS[#All],3,0)</f>
        <v>#REF!</v>
      </c>
      <c r="P1471" s="53" t="e">
        <f>VLOOKUP(N1471,[2]!RUBROS[#All],2,0)</f>
        <v>#REF!</v>
      </c>
      <c r="Q1471" s="47" t="str">
        <f t="shared" si="513"/>
        <v>47</v>
      </c>
      <c r="R1471" s="47" t="str">
        <f t="shared" si="511"/>
        <v>0-205128</v>
      </c>
      <c r="S1471" s="54" t="s">
        <v>42</v>
      </c>
      <c r="T1471" s="59" t="s">
        <v>42</v>
      </c>
      <c r="U1471" s="326" t="e">
        <f ca="1">_xlfn.XLOOKUP(PAA_4[[#This Row],[ITEM]],[2]Contrato!A:A,[2]Contrato!Q:Q,"",0)</f>
        <v>#NAME?</v>
      </c>
      <c r="V1471" s="54" t="s">
        <v>42</v>
      </c>
      <c r="W1471" s="54" t="s">
        <v>42</v>
      </c>
      <c r="X1471" s="54" t="s">
        <v>42</v>
      </c>
      <c r="Y1471" s="55" t="e">
        <f ca="1">_xlfn.XLOOKUP(PAA_4[[#This Row],[ITEM]],[2]Contrato!A:A,[2]Contrato!B:B,"",0)</f>
        <v>#NAME?</v>
      </c>
      <c r="Z1471" s="47" t="e">
        <f ca="1">_xlfn.XLOOKUP(PAA_4[[#This Row],[ITEM]],[2]Contrato!A:A,[2]Contrato!G:G,"",0)</f>
        <v>#NAME?</v>
      </c>
      <c r="AA1471" s="47" t="e">
        <f ca="1">_xlfn.XLOOKUP(PAA_4[[#This Row],[ITEM]],[2]Contrato!A:A,[2]Contrato!T:T,"",0)</f>
        <v>#NAME?</v>
      </c>
      <c r="AB1471" s="55" t="e">
        <f ca="1">+MAX(PAA_4[[#This Row],[Comprometido Contrato]],PAA_4[[#This Row],[Comprometido Bolsa]])</f>
        <v>#NAME?</v>
      </c>
      <c r="AC1471" s="55" t="str">
        <f t="shared" ca="1" si="516"/>
        <v/>
      </c>
      <c r="AD1471" s="55" t="e">
        <f ca="1">IF(PAA_4[[#This Row],[ESTADO (formulado)]]="NO CONTRATADO",0,MAX(PAA_4[[#This Row],[Pago por Contrato]],PAA_4[[#This Row],[Pago por bolsa]]))</f>
        <v>#NAME?</v>
      </c>
      <c r="AE1471" s="55" t="str">
        <f t="shared" ca="1" si="514"/>
        <v/>
      </c>
      <c r="AF1471" s="47" t="e">
        <f t="shared" ca="1" si="517"/>
        <v>#NAME?</v>
      </c>
      <c r="AG1471" s="47">
        <f t="shared" si="515"/>
        <v>44021004</v>
      </c>
      <c r="AH1471" s="54">
        <f>IF(Q1471="22",IF(ISNUMBER(SEARCH("econ",PAA_4[[#This Row],[Actividad3]])),"Económico",IF(ISNUMBER(SEARCH("alim",PAA_4[[#This Row],[Actividad3]])),"Alimentación",IF(ISNUMBER(SEARCH("educ",PAA_4[[#This Row],[Actividad3]])),"Educativo","Técnico"))),0)</f>
        <v>0</v>
      </c>
      <c r="AI1471" s="47" t="e" cm="1">
        <f t="array" aca="1" ref="AI1471" ca="1">_xlfn.XLOOKUP(PAA_4[[#This Row],[RCP-RUBRO]],[2]!COMPROMISOS_2024[[#All],[concatenado]],[2]!COMPROMISOS_2024[[#All],[Total pagado]],"",0)</f>
        <v>#NAME?</v>
      </c>
      <c r="AJ1471" s="56">
        <f>IF(PAA_4[[#This Row],[BOLSA]]=0,0,SUMIFS([2]!COMPROMISOS_2024[[#All],[Total pagado]],[2]!COMPROMISOS_2024[[#All],[Bolsa]],PAA_4[[#This Row],[BOLSA]],[2]!COMPROMISOS_2024[[#All],[rubro]],PAA_4[[#This Row],[RCP-RUBRO]]))</f>
        <v>0</v>
      </c>
      <c r="AK1471" s="47" t="e" cm="1">
        <f t="array" aca="1" ref="AK1471" ca="1">_xlfn.XLOOKUP(PAA_4[[#This Row],[RCP-RUBRO]],[2]!COMPROMISOS_2024[[#All],[concatenado]],[2]!COMPROMISOS_2024[[#All],[Total Comprometido]],"",0)</f>
        <v>#NAME?</v>
      </c>
      <c r="AL1471" s="47">
        <f>IF(PAA_4[[#This Row],[BOLSA]]=0,0,SUMIFS([2]!COMPROMISOS_2024[[#All],[Total Comprometido]],[2]!COMPROMISOS_2024[[#All],[Bolsa]],PAA_4[[#This Row],[BOLSA]],[2]!COMPROMISOS_2024[[#All],[concatenado]],PAA_4[[#This Row],[RCP-RUBRO]]))</f>
        <v>0</v>
      </c>
    </row>
    <row r="1472" spans="1:38" s="19" customFormat="1" ht="31.5" customHeight="1">
      <c r="A1472" s="47">
        <v>546</v>
      </c>
      <c r="B1472" s="47">
        <v>80111600</v>
      </c>
      <c r="C1472" s="47" t="str">
        <f>VLOOKUP(PAA_4[[#This Row],[PROYECTO (formulado)2]],[2]PROYECTOS!$G$1:$L$32,6,0)</f>
        <v>SUBGERENCIA DE FOMENTO Y DESARROLLO</v>
      </c>
      <c r="D1472" s="47" t="str">
        <f>+IF(PAA_4[[#This Row],[UNIDAD DE CONTRATACION (formulado)]]="Subgerencia Administrativa y Financiera","FUNCIONAMIENTO","INVERSIÓN")</f>
        <v>INVERSIÓN</v>
      </c>
      <c r="E1472" s="48" t="str">
        <f>VLOOKUP(Q1472,[2]PROYECTOS!$G$1:$K$32,5,0)</f>
        <v>FORTALECIMIENTO_DE_LOS_PROGRAMAS_RECREATIVOS_EN_LOS_MUNICIPIOS_DEL_DEPARTAMENTO_DE_ANTIOQUIA</v>
      </c>
      <c r="F1472" s="48">
        <f>VLOOKUP(E1472,[2]PROYECTOS!$K$1:$M$32,3,0)</f>
        <v>2020003050031</v>
      </c>
      <c r="G1472" s="49" t="s">
        <v>353</v>
      </c>
      <c r="H1472" s="49" t="str">
        <f>VLOOKUP(Q1472,[2]PROYECTOS!$V$1:$W$32,2,0)</f>
        <v>050064</v>
      </c>
      <c r="I1472" s="78">
        <f>34658971-609618</f>
        <v>34049353</v>
      </c>
      <c r="J1472" s="74" t="s">
        <v>436</v>
      </c>
      <c r="K1472" s="47" t="str">
        <f t="shared" ca="1" si="512"/>
        <v>CONTRATADO</v>
      </c>
      <c r="L1472" s="47" t="s">
        <v>94</v>
      </c>
      <c r="M1472" s="47" t="s">
        <v>1297</v>
      </c>
      <c r="N1472" s="52" t="s">
        <v>355</v>
      </c>
      <c r="O1472" s="51" t="e">
        <f>VLOOKUP(N1472,[2]!RUBROS[#All],3,0)</f>
        <v>#REF!</v>
      </c>
      <c r="P1472" s="53" t="e">
        <f>VLOOKUP(N1472,[2]!RUBROS[#All],2,0)</f>
        <v>#REF!</v>
      </c>
      <c r="Q1472" s="47" t="str">
        <f t="shared" si="513"/>
        <v>47</v>
      </c>
      <c r="R1472" s="47" t="str">
        <f t="shared" si="511"/>
        <v>0-205128</v>
      </c>
      <c r="S1472" s="54">
        <v>7</v>
      </c>
      <c r="T1472" s="59" t="s">
        <v>46</v>
      </c>
      <c r="U1472" s="326" t="e">
        <f ca="1">_xlfn.XLOOKUP(PAA_4[[#This Row],[ITEM]],[2]Contrato!A:A,[2]Contrato!Q:Q,"",0)</f>
        <v>#NAME?</v>
      </c>
      <c r="V1472" s="47" t="s">
        <v>47</v>
      </c>
      <c r="W1472" s="47" t="s">
        <v>91</v>
      </c>
      <c r="X1472" s="47" t="s">
        <v>91</v>
      </c>
      <c r="Y1472" s="55" t="e">
        <f ca="1">_xlfn.XLOOKUP(PAA_4[[#This Row],[ITEM]],[2]Contrato!A:A,[2]Contrato!B:B,"",0)</f>
        <v>#NAME?</v>
      </c>
      <c r="Z1472" s="47" t="e">
        <f ca="1">_xlfn.XLOOKUP(PAA_4[[#This Row],[ITEM]],[2]Contrato!A:A,[2]Contrato!G:G,"",0)</f>
        <v>#NAME?</v>
      </c>
      <c r="AA1472" s="47" t="e">
        <f ca="1">_xlfn.XLOOKUP(PAA_4[[#This Row],[ITEM]],[2]Contrato!A:A,[2]Contrato!T:T,"",0)</f>
        <v>#NAME?</v>
      </c>
      <c r="AB1472" s="55" t="e">
        <f ca="1">+MAX(PAA_4[[#This Row],[Comprometido Contrato]],PAA_4[[#This Row],[Comprometido Bolsa]])</f>
        <v>#NAME?</v>
      </c>
      <c r="AC1472" s="55" t="str">
        <f t="shared" ca="1" si="516"/>
        <v/>
      </c>
      <c r="AD1472" s="55" t="e">
        <f ca="1">IF(PAA_4[[#This Row],[ESTADO (formulado)]]="NO CONTRATADO",0,MAX(PAA_4[[#This Row],[Pago por Contrato]],PAA_4[[#This Row],[Pago por bolsa]]))</f>
        <v>#NAME?</v>
      </c>
      <c r="AE1472" s="55" t="str">
        <f t="shared" ca="1" si="514"/>
        <v/>
      </c>
      <c r="AF1472" s="47" t="e">
        <f t="shared" ca="1" si="517"/>
        <v>#NAME?</v>
      </c>
      <c r="AG1472" s="47">
        <f t="shared" si="515"/>
        <v>44021004</v>
      </c>
      <c r="AH1472" s="54">
        <f>IF(Q1472="22",IF(ISNUMBER(SEARCH("econ",PAA_4[[#This Row],[Actividad3]])),"Económico",IF(ISNUMBER(SEARCH("alim",PAA_4[[#This Row],[Actividad3]])),"Alimentación",IF(ISNUMBER(SEARCH("educ",PAA_4[[#This Row],[Actividad3]])),"Educativo","Técnico"))),0)</f>
        <v>0</v>
      </c>
      <c r="AI1472" s="47" t="e" cm="1">
        <f t="array" aca="1" ref="AI1472" ca="1">_xlfn.XLOOKUP(PAA_4[[#This Row],[RCP-RUBRO]],[2]!COMPROMISOS_2024[[#All],[concatenado]],[2]!COMPROMISOS_2024[[#All],[Total pagado]],"",0)</f>
        <v>#NAME?</v>
      </c>
      <c r="AJ1472" s="56">
        <f>IF(PAA_4[[#This Row],[BOLSA]]=0,0,SUMIFS([2]!COMPROMISOS_2024[[#All],[Total pagado]],[2]!COMPROMISOS_2024[[#All],[Bolsa]],PAA_4[[#This Row],[BOLSA]],[2]!COMPROMISOS_2024[[#All],[rubro]],PAA_4[[#This Row],[RCP-RUBRO]]))</f>
        <v>0</v>
      </c>
      <c r="AK1472" s="47" t="e" cm="1">
        <f t="array" aca="1" ref="AK1472" ca="1">_xlfn.XLOOKUP(PAA_4[[#This Row],[RCP-RUBRO]],[2]!COMPROMISOS_2024[[#All],[concatenado]],[2]!COMPROMISOS_2024[[#All],[Total Comprometido]],"",0)</f>
        <v>#NAME?</v>
      </c>
      <c r="AL1472" s="47">
        <f>IF(PAA_4[[#This Row],[BOLSA]]=0,0,SUMIFS([2]!COMPROMISOS_2024[[#All],[Total Comprometido]],[2]!COMPROMISOS_2024[[#All],[Bolsa]],PAA_4[[#This Row],[BOLSA]],[2]!COMPROMISOS_2024[[#All],[concatenado]],PAA_4[[#This Row],[RCP-RUBRO]]))</f>
        <v>0</v>
      </c>
    </row>
    <row r="1473" spans="1:38" s="19" customFormat="1" ht="31.5" customHeight="1">
      <c r="A1473" s="47">
        <v>547</v>
      </c>
      <c r="B1473" s="47">
        <v>80111600</v>
      </c>
      <c r="C1473" s="47" t="str">
        <f>VLOOKUP(PAA_4[[#This Row],[PROYECTO (formulado)2]],[2]PROYECTOS!$G$1:$L$32,6,0)</f>
        <v>SUBGERENCIA DE FOMENTO Y DESARROLLO</v>
      </c>
      <c r="D1473" s="47" t="str">
        <f>+IF(PAA_4[[#This Row],[UNIDAD DE CONTRATACION (formulado)]]="Subgerencia Administrativa y Financiera","FUNCIONAMIENTO","INVERSIÓN")</f>
        <v>INVERSIÓN</v>
      </c>
      <c r="E1473" s="48" t="str">
        <f>VLOOKUP(Q1473,[2]PROYECTOS!$G$1:$K$32,5,0)</f>
        <v>FORTALECIMIENTO_DEL_PROGRAMA_POR_SU_SALUD_MUÉVASE_PUES_EN_LOS_MUNICIPIO_DEL_DEPARTAMENTO_DE_ANTIOQUIA</v>
      </c>
      <c r="F1473" s="48">
        <f>VLOOKUP(E1473,[2]PROYECTOS!$K$1:$M$32,3,0)</f>
        <v>2020003050030</v>
      </c>
      <c r="G1473" s="49" t="s">
        <v>369</v>
      </c>
      <c r="H1473" s="49" t="str">
        <f>VLOOKUP(Q1473,[2]PROYECTOS!$V$1:$W$32,2,0)</f>
        <v>050055</v>
      </c>
      <c r="I1473" s="78">
        <v>60153567</v>
      </c>
      <c r="J1473" s="74" t="s">
        <v>437</v>
      </c>
      <c r="K1473" s="47" t="str">
        <f t="shared" ca="1" si="512"/>
        <v>CONTRATADO</v>
      </c>
      <c r="L1473" s="47" t="s">
        <v>94</v>
      </c>
      <c r="M1473" s="47" t="s">
        <v>1297</v>
      </c>
      <c r="N1473" s="79" t="s">
        <v>360</v>
      </c>
      <c r="O1473" s="51" t="e">
        <f>VLOOKUP(N1473,[2]!RUBROS[#All],3,0)</f>
        <v>#REF!</v>
      </c>
      <c r="P1473" s="53" t="e">
        <f>VLOOKUP(N1473,[2]!RUBROS[#All],2,0)</f>
        <v>#REF!</v>
      </c>
      <c r="Q1473" s="47" t="str">
        <f t="shared" si="513"/>
        <v>45</v>
      </c>
      <c r="R1473" s="47" t="str">
        <f t="shared" si="511"/>
        <v>0-205128</v>
      </c>
      <c r="S1473" s="54">
        <v>7</v>
      </c>
      <c r="T1473" s="59" t="s">
        <v>46</v>
      </c>
      <c r="U1473" s="326" t="e">
        <f ca="1">_xlfn.XLOOKUP(PAA_4[[#This Row],[ITEM]],[2]Contrato!A:A,[2]Contrato!Q:Q,"",0)</f>
        <v>#NAME?</v>
      </c>
      <c r="V1473" s="47" t="s">
        <v>47</v>
      </c>
      <c r="W1473" s="47" t="s">
        <v>91</v>
      </c>
      <c r="X1473" s="47" t="s">
        <v>91</v>
      </c>
      <c r="Y1473" s="55" t="e">
        <f ca="1">_xlfn.XLOOKUP(PAA_4[[#This Row],[ITEM]],[2]Contrato!A:A,[2]Contrato!B:B,"",0)</f>
        <v>#NAME?</v>
      </c>
      <c r="Z1473" s="47" t="e">
        <f ca="1">_xlfn.XLOOKUP(PAA_4[[#This Row],[ITEM]],[2]Contrato!A:A,[2]Contrato!G:G,"",0)</f>
        <v>#NAME?</v>
      </c>
      <c r="AA1473" s="47" t="e">
        <f ca="1">_xlfn.XLOOKUP(PAA_4[[#This Row],[ITEM]],[2]Contrato!A:A,[2]Contrato!T:T,"",0)</f>
        <v>#NAME?</v>
      </c>
      <c r="AB1473" s="55" t="e">
        <f ca="1">+MAX(PAA_4[[#This Row],[Comprometido Contrato]],PAA_4[[#This Row],[Comprometido Bolsa]])</f>
        <v>#NAME?</v>
      </c>
      <c r="AC1473" s="55" t="str">
        <f t="shared" ca="1" si="516"/>
        <v/>
      </c>
      <c r="AD1473" s="55" t="e">
        <f ca="1">IF(PAA_4[[#This Row],[ESTADO (formulado)]]="NO CONTRATADO",0,MAX(PAA_4[[#This Row],[Pago por Contrato]],PAA_4[[#This Row],[Pago por bolsa]]))</f>
        <v>#NAME?</v>
      </c>
      <c r="AE1473" s="55" t="str">
        <f t="shared" ca="1" si="514"/>
        <v/>
      </c>
      <c r="AF1473" s="47" t="e">
        <f t="shared" ca="1" si="517"/>
        <v>#NAME?</v>
      </c>
      <c r="AG1473" s="47">
        <f t="shared" si="515"/>
        <v>44021001</v>
      </c>
      <c r="AH1473" s="54">
        <f>IF(Q1473="22",IF(ISNUMBER(SEARCH("econ",PAA_4[[#This Row],[Actividad3]])),"Económico",IF(ISNUMBER(SEARCH("alim",PAA_4[[#This Row],[Actividad3]])),"Alimentación",IF(ISNUMBER(SEARCH("educ",PAA_4[[#This Row],[Actividad3]])),"Educativo","Técnico"))),0)</f>
        <v>0</v>
      </c>
      <c r="AI1473" s="47" t="e" cm="1">
        <f t="array" aca="1" ref="AI1473" ca="1">_xlfn.XLOOKUP(PAA_4[[#This Row],[RCP-RUBRO]],[2]!COMPROMISOS_2024[[#All],[concatenado]],[2]!COMPROMISOS_2024[[#All],[Total pagado]],"",0)</f>
        <v>#NAME?</v>
      </c>
      <c r="AJ1473" s="56">
        <f>IF(PAA_4[[#This Row],[BOLSA]]=0,0,SUMIFS([2]!COMPROMISOS_2024[[#All],[Total pagado]],[2]!COMPROMISOS_2024[[#All],[Bolsa]],PAA_4[[#This Row],[BOLSA]],[2]!COMPROMISOS_2024[[#All],[rubro]],PAA_4[[#This Row],[RCP-RUBRO]]))</f>
        <v>0</v>
      </c>
      <c r="AK1473" s="47" t="e" cm="1">
        <f t="array" aca="1" ref="AK1473" ca="1">_xlfn.XLOOKUP(PAA_4[[#This Row],[RCP-RUBRO]],[2]!COMPROMISOS_2024[[#All],[concatenado]],[2]!COMPROMISOS_2024[[#All],[Total Comprometido]],"",0)</f>
        <v>#NAME?</v>
      </c>
      <c r="AL1473" s="47">
        <f>IF(PAA_4[[#This Row],[BOLSA]]=0,0,SUMIFS([2]!COMPROMISOS_2024[[#All],[Total Comprometido]],[2]!COMPROMISOS_2024[[#All],[Bolsa]],PAA_4[[#This Row],[BOLSA]],[2]!COMPROMISOS_2024[[#All],[concatenado]],PAA_4[[#This Row],[RCP-RUBRO]]))</f>
        <v>0</v>
      </c>
    </row>
    <row r="1474" spans="1:38" s="19" customFormat="1" ht="31.5" customHeight="1">
      <c r="A1474" s="47">
        <v>548</v>
      </c>
      <c r="B1474" s="47">
        <v>80111600</v>
      </c>
      <c r="C1474" s="47" t="str">
        <f>VLOOKUP(PAA_4[[#This Row],[PROYECTO (formulado)2]],[2]PROYECTOS!$G$1:$L$32,6,0)</f>
        <v>SUBGERENCIA DE FOMENTO Y DESARROLLO</v>
      </c>
      <c r="D1474" s="47" t="str">
        <f>+IF(PAA_4[[#This Row],[UNIDAD DE CONTRATACION (formulado)]]="Subgerencia Administrativa y Financiera","FUNCIONAMIENTO","INVERSIÓN")</f>
        <v>INVERSIÓN</v>
      </c>
      <c r="E1474" s="48" t="str">
        <f>VLOOKUP(Q1474,[2]PROYECTOS!$G$1:$K$32,5,0)</f>
        <v>FORTALECIMIENTO_DE_LOS_JUEGOS_DEL_SECTOR_SOCIAL_COMUNITARIO_EN_LOS_MUNICIPIOS_DEL_DEPARTAMENTO_DE_ANTIOQU</v>
      </c>
      <c r="F1474" s="48">
        <f>VLOOKUP(E1474,[2]PROYECTOS!$K$1:$M$32,3,0)</f>
        <v>2020003050033</v>
      </c>
      <c r="G1474" s="49" t="s">
        <v>342</v>
      </c>
      <c r="H1474" s="49" t="str">
        <f>VLOOKUP(Q1474,[2]PROYECTOS!$V$1:$W$32,2,0)</f>
        <v>050057</v>
      </c>
      <c r="I1474" s="78">
        <v>29076780</v>
      </c>
      <c r="J1474" s="74" t="s">
        <v>438</v>
      </c>
      <c r="K1474" s="47" t="str">
        <f t="shared" ca="1" si="512"/>
        <v>CONTRATADO</v>
      </c>
      <c r="L1474" s="47" t="s">
        <v>94</v>
      </c>
      <c r="M1474" s="47" t="s">
        <v>1297</v>
      </c>
      <c r="N1474" s="79" t="s">
        <v>396</v>
      </c>
      <c r="O1474" s="51" t="e">
        <f>VLOOKUP(N1474,[2]!RUBROS[#All],3,0)</f>
        <v>#REF!</v>
      </c>
      <c r="P1474" s="53" t="e">
        <f>VLOOKUP(N1474,[2]!RUBROS[#All],2,0)</f>
        <v>#REF!</v>
      </c>
      <c r="Q1474" s="47" t="str">
        <f t="shared" si="513"/>
        <v>50</v>
      </c>
      <c r="R1474" s="47" t="str">
        <f t="shared" si="511"/>
        <v>0-205128</v>
      </c>
      <c r="S1474" s="54">
        <v>7</v>
      </c>
      <c r="T1474" s="59" t="s">
        <v>46</v>
      </c>
      <c r="U1474" s="326" t="e">
        <f ca="1">_xlfn.XLOOKUP(PAA_4[[#This Row],[ITEM]],[2]Contrato!A:A,[2]Contrato!Q:Q,"",0)</f>
        <v>#NAME?</v>
      </c>
      <c r="V1474" s="47" t="s">
        <v>47</v>
      </c>
      <c r="W1474" s="47" t="s">
        <v>91</v>
      </c>
      <c r="X1474" s="47" t="s">
        <v>91</v>
      </c>
      <c r="Y1474" s="55" t="e">
        <f ca="1">_xlfn.XLOOKUP(PAA_4[[#This Row],[ITEM]],[2]Contrato!A:A,[2]Contrato!B:B,"",0)</f>
        <v>#NAME?</v>
      </c>
      <c r="Z1474" s="47" t="e">
        <f ca="1">_xlfn.XLOOKUP(PAA_4[[#This Row],[ITEM]],[2]Contrato!A:A,[2]Contrato!G:G,"",0)</f>
        <v>#NAME?</v>
      </c>
      <c r="AA1474" s="47" t="e">
        <f ca="1">_xlfn.XLOOKUP(PAA_4[[#This Row],[ITEM]],[2]Contrato!A:A,[2]Contrato!T:T,"",0)</f>
        <v>#NAME?</v>
      </c>
      <c r="AB1474" s="55" t="e">
        <f ca="1">+MAX(PAA_4[[#This Row],[Comprometido Contrato]],PAA_4[[#This Row],[Comprometido Bolsa]])</f>
        <v>#NAME?</v>
      </c>
      <c r="AC1474" s="55" t="str">
        <f t="shared" ca="1" si="516"/>
        <v/>
      </c>
      <c r="AD1474" s="55" t="e">
        <f ca="1">IF(PAA_4[[#This Row],[ESTADO (formulado)]]="NO CONTRATADO",0,MAX(PAA_4[[#This Row],[Pago por Contrato]],PAA_4[[#This Row],[Pago por bolsa]]))</f>
        <v>#NAME?</v>
      </c>
      <c r="AE1474" s="55" t="str">
        <f t="shared" ca="1" si="514"/>
        <v/>
      </c>
      <c r="AF1474" s="47" t="e">
        <f t="shared" ca="1" si="517"/>
        <v>#NAME?</v>
      </c>
      <c r="AG1474" s="47">
        <f t="shared" si="515"/>
        <v>44021010</v>
      </c>
      <c r="AH1474" s="54">
        <f>IF(Q1474="22",IF(ISNUMBER(SEARCH("econ",PAA_4[[#This Row],[Actividad3]])),"Económico",IF(ISNUMBER(SEARCH("alim",PAA_4[[#This Row],[Actividad3]])),"Alimentación",IF(ISNUMBER(SEARCH("educ",PAA_4[[#This Row],[Actividad3]])),"Educativo","Técnico"))),0)</f>
        <v>0</v>
      </c>
      <c r="AI1474" s="47" t="e" cm="1">
        <f t="array" aca="1" ref="AI1474" ca="1">_xlfn.XLOOKUP(PAA_4[[#This Row],[RCP-RUBRO]],[2]!COMPROMISOS_2024[[#All],[concatenado]],[2]!COMPROMISOS_2024[[#All],[Total pagado]],"",0)</f>
        <v>#NAME?</v>
      </c>
      <c r="AJ1474" s="56">
        <f>IF(PAA_4[[#This Row],[BOLSA]]=0,0,SUMIFS([2]!COMPROMISOS_2024[[#All],[Total pagado]],[2]!COMPROMISOS_2024[[#All],[Bolsa]],PAA_4[[#This Row],[BOLSA]],[2]!COMPROMISOS_2024[[#All],[rubro]],PAA_4[[#This Row],[RCP-RUBRO]]))</f>
        <v>0</v>
      </c>
      <c r="AK1474" s="47" t="e" cm="1">
        <f t="array" aca="1" ref="AK1474" ca="1">_xlfn.XLOOKUP(PAA_4[[#This Row],[RCP-RUBRO]],[2]!COMPROMISOS_2024[[#All],[concatenado]],[2]!COMPROMISOS_2024[[#All],[Total Comprometido]],"",0)</f>
        <v>#NAME?</v>
      </c>
      <c r="AL1474" s="47">
        <f>IF(PAA_4[[#This Row],[BOLSA]]=0,0,SUMIFS([2]!COMPROMISOS_2024[[#All],[Total Comprometido]],[2]!COMPROMISOS_2024[[#All],[Bolsa]],PAA_4[[#This Row],[BOLSA]],[2]!COMPROMISOS_2024[[#All],[concatenado]],PAA_4[[#This Row],[RCP-RUBRO]]))</f>
        <v>0</v>
      </c>
    </row>
    <row r="1475" spans="1:38" s="19" customFormat="1" ht="31.5" customHeight="1">
      <c r="A1475" s="47">
        <v>548</v>
      </c>
      <c r="B1475" s="47">
        <v>80111600</v>
      </c>
      <c r="C1475" s="47" t="str">
        <f>VLOOKUP(PAA_4[[#This Row],[PROYECTO (formulado)2]],[2]PROYECTOS!$G$1:$L$32,6,0)</f>
        <v>SUBGERENCIA DE FOMENTO Y DESARROLLO</v>
      </c>
      <c r="D1475" s="47" t="str">
        <f>+IF(PAA_4[[#This Row],[UNIDAD DE CONTRATACION (formulado)]]="Subgerencia Administrativa y Financiera","FUNCIONAMIENTO","INVERSIÓN")</f>
        <v>INVERSIÓN</v>
      </c>
      <c r="E1475" s="48" t="str">
        <f>VLOOKUP(Q1475,[2]PROYECTOS!$G$1:$K$32,5,0)</f>
        <v>FORTALECIMIENTO_DE_LOS_JUEGOS_DEL_SECTOR_EDUCATIVO_EN_ANTIOQUIA</v>
      </c>
      <c r="F1475" s="48">
        <f>VLOOKUP(E1475,[2]PROYECTOS!$K$1:$M$32,3,0)</f>
        <v>2020003050034</v>
      </c>
      <c r="G1475" s="49" t="s">
        <v>340</v>
      </c>
      <c r="H1475" s="49" t="str">
        <f>VLOOKUP(Q1475,[2]PROYECTOS!$V$1:$W$32,2,0)</f>
        <v>050053</v>
      </c>
      <c r="I1475" s="78">
        <v>29076787</v>
      </c>
      <c r="J1475" s="74" t="s">
        <v>438</v>
      </c>
      <c r="K1475" s="47" t="str">
        <f t="shared" ca="1" si="512"/>
        <v>CONTRATADO</v>
      </c>
      <c r="L1475" s="47" t="s">
        <v>94</v>
      </c>
      <c r="M1475" s="47" t="s">
        <v>1297</v>
      </c>
      <c r="N1475" s="79" t="s">
        <v>144</v>
      </c>
      <c r="O1475" s="51" t="e">
        <f>VLOOKUP(N1475,[2]!RUBROS[#All],3,0)</f>
        <v>#REF!</v>
      </c>
      <c r="P1475" s="53" t="e">
        <f>VLOOKUP(N1475,[2]!RUBROS[#All],2,0)</f>
        <v>#REF!</v>
      </c>
      <c r="Q1475" s="47" t="str">
        <f t="shared" si="513"/>
        <v>51</v>
      </c>
      <c r="R1475" s="47" t="str">
        <f t="shared" si="511"/>
        <v>0-205128</v>
      </c>
      <c r="S1475" s="54">
        <v>7</v>
      </c>
      <c r="T1475" s="59" t="s">
        <v>46</v>
      </c>
      <c r="U1475" s="326" t="e">
        <f ca="1">_xlfn.XLOOKUP(PAA_4[[#This Row],[ITEM]],[2]Contrato!A:A,[2]Contrato!Q:Q,"",0)</f>
        <v>#NAME?</v>
      </c>
      <c r="V1475" s="47" t="s">
        <v>47</v>
      </c>
      <c r="W1475" s="47" t="s">
        <v>91</v>
      </c>
      <c r="X1475" s="47" t="s">
        <v>91</v>
      </c>
      <c r="Y1475" s="55" t="e">
        <f ca="1">_xlfn.XLOOKUP(PAA_4[[#This Row],[ITEM]],[2]Contrato!A:A,[2]Contrato!B:B,"",0)</f>
        <v>#NAME?</v>
      </c>
      <c r="Z1475" s="47" t="e">
        <f ca="1">_xlfn.XLOOKUP(PAA_4[[#This Row],[ITEM]],[2]Contrato!A:A,[2]Contrato!G:G,"",0)</f>
        <v>#NAME?</v>
      </c>
      <c r="AA1475" s="47" t="e">
        <f ca="1">_xlfn.XLOOKUP(PAA_4[[#This Row],[ITEM]],[2]Contrato!A:A,[2]Contrato!T:T,"",0)</f>
        <v>#NAME?</v>
      </c>
      <c r="AB1475" s="55" t="e">
        <f ca="1">+MAX(PAA_4[[#This Row],[Comprometido Contrato]],PAA_4[[#This Row],[Comprometido Bolsa]])</f>
        <v>#NAME?</v>
      </c>
      <c r="AC1475" s="55" t="str">
        <f t="shared" ca="1" si="516"/>
        <v/>
      </c>
      <c r="AD1475" s="55" t="e">
        <f ca="1">IF(PAA_4[[#This Row],[ESTADO (formulado)]]="NO CONTRATADO",0,MAX(PAA_4[[#This Row],[Pago por Contrato]],PAA_4[[#This Row],[Pago por bolsa]]))</f>
        <v>#NAME?</v>
      </c>
      <c r="AE1475" s="55" t="str">
        <f t="shared" ca="1" si="514"/>
        <v/>
      </c>
      <c r="AF1475" s="47" t="e">
        <f t="shared" ca="1" si="517"/>
        <v>#NAME?</v>
      </c>
      <c r="AG1475" s="47">
        <f t="shared" si="515"/>
        <v>44021011</v>
      </c>
      <c r="AH1475" s="54">
        <f>IF(Q1475="22",IF(ISNUMBER(SEARCH("econ",PAA_4[[#This Row],[Actividad3]])),"Económico",IF(ISNUMBER(SEARCH("alim",PAA_4[[#This Row],[Actividad3]])),"Alimentación",IF(ISNUMBER(SEARCH("educ",PAA_4[[#This Row],[Actividad3]])),"Educativo","Técnico"))),0)</f>
        <v>0</v>
      </c>
      <c r="AI1475" s="47" t="e" cm="1">
        <f t="array" aca="1" ref="AI1475" ca="1">_xlfn.XLOOKUP(PAA_4[[#This Row],[RCP-RUBRO]],[2]!COMPROMISOS_2024[[#All],[concatenado]],[2]!COMPROMISOS_2024[[#All],[Total pagado]],"",0)</f>
        <v>#NAME?</v>
      </c>
      <c r="AJ1475" s="56">
        <f>IF(PAA_4[[#This Row],[BOLSA]]=0,0,SUMIFS([2]!COMPROMISOS_2024[[#All],[Total pagado]],[2]!COMPROMISOS_2024[[#All],[Bolsa]],PAA_4[[#This Row],[BOLSA]],[2]!COMPROMISOS_2024[[#All],[rubro]],PAA_4[[#This Row],[RCP-RUBRO]]))</f>
        <v>0</v>
      </c>
      <c r="AK1475" s="47" t="e" cm="1">
        <f t="array" aca="1" ref="AK1475" ca="1">_xlfn.XLOOKUP(PAA_4[[#This Row],[RCP-RUBRO]],[2]!COMPROMISOS_2024[[#All],[concatenado]],[2]!COMPROMISOS_2024[[#All],[Total Comprometido]],"",0)</f>
        <v>#NAME?</v>
      </c>
      <c r="AL1475" s="47">
        <f>IF(PAA_4[[#This Row],[BOLSA]]=0,0,SUMIFS([2]!COMPROMISOS_2024[[#All],[Total Comprometido]],[2]!COMPROMISOS_2024[[#All],[Bolsa]],PAA_4[[#This Row],[BOLSA]],[2]!COMPROMISOS_2024[[#All],[concatenado]],PAA_4[[#This Row],[RCP-RUBRO]]))</f>
        <v>0</v>
      </c>
    </row>
    <row r="1476" spans="1:38" s="19" customFormat="1" ht="31.5" customHeight="1">
      <c r="A1476" s="47">
        <v>549</v>
      </c>
      <c r="B1476" s="47">
        <v>80111600</v>
      </c>
      <c r="C1476" s="47" t="str">
        <f>VLOOKUP(PAA_4[[#This Row],[PROYECTO (formulado)2]],[2]PROYECTOS!$G$1:$L$32,6,0)</f>
        <v>SUBGERENCIA DE FOMENTO Y DESARROLLO</v>
      </c>
      <c r="D1476" s="47" t="str">
        <f>+IF(PAA_4[[#This Row],[UNIDAD DE CONTRATACION (formulado)]]="Subgerencia Administrativa y Financiera","FUNCIONAMIENTO","INVERSIÓN")</f>
        <v>INVERSIÓN</v>
      </c>
      <c r="E1476" s="48" t="str">
        <f>VLOOKUP(Q1476,[2]PROYECTOS!$G$1:$K$32,5,0)</f>
        <v>FORTALECIMIENTO_DE_LOS_JUEGOS_DEL_SECTOR_SOCIAL_COMUNITARIO_EN_LOS_MUNICIPIOS_DEL_DEPARTAMENTO_DE_ANTIOQU</v>
      </c>
      <c r="F1476" s="48">
        <f>VLOOKUP(E1476,[2]PROYECTOS!$K$1:$M$32,3,0)</f>
        <v>2020003050033</v>
      </c>
      <c r="G1476" s="49" t="s">
        <v>342</v>
      </c>
      <c r="H1476" s="49" t="str">
        <f>VLOOKUP(Q1476,[2]PROYECTOS!$V$1:$W$32,2,0)</f>
        <v>050057</v>
      </c>
      <c r="I1476" s="78">
        <v>30076780</v>
      </c>
      <c r="J1476" s="74" t="s">
        <v>439</v>
      </c>
      <c r="K1476" s="47" t="str">
        <f t="shared" ca="1" si="512"/>
        <v>CONTRATADO</v>
      </c>
      <c r="L1476" s="47" t="s">
        <v>94</v>
      </c>
      <c r="M1476" s="47" t="s">
        <v>1297</v>
      </c>
      <c r="N1476" s="79" t="s">
        <v>396</v>
      </c>
      <c r="O1476" s="51" t="e">
        <f>VLOOKUP(N1476,[2]!RUBROS[#All],3,0)</f>
        <v>#REF!</v>
      </c>
      <c r="P1476" s="53" t="e">
        <f>VLOOKUP(N1476,[2]!RUBROS[#All],2,0)</f>
        <v>#REF!</v>
      </c>
      <c r="Q1476" s="47" t="str">
        <f t="shared" si="513"/>
        <v>50</v>
      </c>
      <c r="R1476" s="47" t="str">
        <f t="shared" si="511"/>
        <v>0-205128</v>
      </c>
      <c r="S1476" s="54">
        <v>7</v>
      </c>
      <c r="T1476" s="59" t="s">
        <v>46</v>
      </c>
      <c r="U1476" s="326" t="e">
        <f ca="1">_xlfn.XLOOKUP(PAA_4[[#This Row],[ITEM]],[2]Contrato!A:A,[2]Contrato!Q:Q,"",0)</f>
        <v>#NAME?</v>
      </c>
      <c r="V1476" s="47" t="s">
        <v>47</v>
      </c>
      <c r="W1476" s="47" t="s">
        <v>91</v>
      </c>
      <c r="X1476" s="47" t="s">
        <v>91</v>
      </c>
      <c r="Y1476" s="55" t="e">
        <f ca="1">_xlfn.XLOOKUP(PAA_4[[#This Row],[ITEM]],[2]Contrato!A:A,[2]Contrato!B:B,"",0)</f>
        <v>#NAME?</v>
      </c>
      <c r="Z1476" s="47" t="e">
        <f ca="1">_xlfn.XLOOKUP(PAA_4[[#This Row],[ITEM]],[2]Contrato!A:A,[2]Contrato!G:G,"",0)</f>
        <v>#NAME?</v>
      </c>
      <c r="AA1476" s="47" t="e">
        <f ca="1">_xlfn.XLOOKUP(PAA_4[[#This Row],[ITEM]],[2]Contrato!A:A,[2]Contrato!T:T,"",0)</f>
        <v>#NAME?</v>
      </c>
      <c r="AB1476" s="55" t="e">
        <f ca="1">+MAX(PAA_4[[#This Row],[Comprometido Contrato]],PAA_4[[#This Row],[Comprometido Bolsa]])</f>
        <v>#NAME?</v>
      </c>
      <c r="AC1476" s="55" t="str">
        <f t="shared" ca="1" si="516"/>
        <v/>
      </c>
      <c r="AD1476" s="55" t="e">
        <f ca="1">IF(PAA_4[[#This Row],[ESTADO (formulado)]]="NO CONTRATADO",0,MAX(PAA_4[[#This Row],[Pago por Contrato]],PAA_4[[#This Row],[Pago por bolsa]]))</f>
        <v>#NAME?</v>
      </c>
      <c r="AE1476" s="55" t="str">
        <f t="shared" ca="1" si="514"/>
        <v/>
      </c>
      <c r="AF1476" s="47" t="e">
        <f t="shared" ca="1" si="517"/>
        <v>#NAME?</v>
      </c>
      <c r="AG1476" s="47">
        <f t="shared" si="515"/>
        <v>44021010</v>
      </c>
      <c r="AH1476" s="54">
        <f>IF(Q1476="22",IF(ISNUMBER(SEARCH("econ",PAA_4[[#This Row],[Actividad3]])),"Económico",IF(ISNUMBER(SEARCH("alim",PAA_4[[#This Row],[Actividad3]])),"Alimentación",IF(ISNUMBER(SEARCH("educ",PAA_4[[#This Row],[Actividad3]])),"Educativo","Técnico"))),0)</f>
        <v>0</v>
      </c>
      <c r="AI1476" s="47" t="e" cm="1">
        <f t="array" aca="1" ref="AI1476" ca="1">_xlfn.XLOOKUP(PAA_4[[#This Row],[RCP-RUBRO]],[2]!COMPROMISOS_2024[[#All],[concatenado]],[2]!COMPROMISOS_2024[[#All],[Total pagado]],"",0)</f>
        <v>#NAME?</v>
      </c>
      <c r="AJ1476" s="56">
        <f>IF(PAA_4[[#This Row],[BOLSA]]=0,0,SUMIFS([2]!COMPROMISOS_2024[[#All],[Total pagado]],[2]!COMPROMISOS_2024[[#All],[Bolsa]],PAA_4[[#This Row],[BOLSA]],[2]!COMPROMISOS_2024[[#All],[rubro]],PAA_4[[#This Row],[RCP-RUBRO]]))</f>
        <v>0</v>
      </c>
      <c r="AK1476" s="47" t="e" cm="1">
        <f t="array" aca="1" ref="AK1476" ca="1">_xlfn.XLOOKUP(PAA_4[[#This Row],[RCP-RUBRO]],[2]!COMPROMISOS_2024[[#All],[concatenado]],[2]!COMPROMISOS_2024[[#All],[Total Comprometido]],"",0)</f>
        <v>#NAME?</v>
      </c>
      <c r="AL1476" s="47">
        <f>IF(PAA_4[[#This Row],[BOLSA]]=0,0,SUMIFS([2]!COMPROMISOS_2024[[#All],[Total Comprometido]],[2]!COMPROMISOS_2024[[#All],[Bolsa]],PAA_4[[#This Row],[BOLSA]],[2]!COMPROMISOS_2024[[#All],[concatenado]],PAA_4[[#This Row],[RCP-RUBRO]]))</f>
        <v>0</v>
      </c>
    </row>
    <row r="1477" spans="1:38" s="19" customFormat="1" ht="31.5" customHeight="1">
      <c r="A1477" s="47">
        <v>549</v>
      </c>
      <c r="B1477" s="47">
        <v>80111600</v>
      </c>
      <c r="C1477" s="47" t="str">
        <f>VLOOKUP(PAA_4[[#This Row],[PROYECTO (formulado)2]],[2]PROYECTOS!$G$1:$L$32,6,0)</f>
        <v>SUBGERENCIA DE FOMENTO Y DESARROLLO</v>
      </c>
      <c r="D1477" s="47" t="str">
        <f>+IF(PAA_4[[#This Row],[UNIDAD DE CONTRATACION (formulado)]]="Subgerencia Administrativa y Financiera","FUNCIONAMIENTO","INVERSIÓN")</f>
        <v>INVERSIÓN</v>
      </c>
      <c r="E1477" s="48" t="str">
        <f>VLOOKUP(Q1477,[2]PROYECTOS!$G$1:$K$32,5,0)</f>
        <v>FORTALECIMIENTO_DE_LOS_JUEGOS_DEL_SECTOR_EDUCATIVO_EN_ANTIOQUIA</v>
      </c>
      <c r="F1477" s="48">
        <f>VLOOKUP(E1477,[2]PROYECTOS!$K$1:$M$32,3,0)</f>
        <v>2020003050034</v>
      </c>
      <c r="G1477" s="49" t="s">
        <v>340</v>
      </c>
      <c r="H1477" s="49" t="str">
        <f>VLOOKUP(Q1477,[2]PROYECTOS!$V$1:$W$32,2,0)</f>
        <v>050053</v>
      </c>
      <c r="I1477" s="78">
        <v>30076787</v>
      </c>
      <c r="J1477" s="74" t="s">
        <v>439</v>
      </c>
      <c r="K1477" s="47" t="str">
        <f t="shared" ca="1" si="512"/>
        <v>CONTRATADO</v>
      </c>
      <c r="L1477" s="47" t="s">
        <v>94</v>
      </c>
      <c r="M1477" s="47" t="s">
        <v>1297</v>
      </c>
      <c r="N1477" s="52" t="s">
        <v>144</v>
      </c>
      <c r="O1477" s="51" t="e">
        <f>VLOOKUP(N1477,[2]!RUBROS[#All],3,0)</f>
        <v>#REF!</v>
      </c>
      <c r="P1477" s="53" t="e">
        <f>VLOOKUP(N1477,[2]!RUBROS[#All],2,0)</f>
        <v>#REF!</v>
      </c>
      <c r="Q1477" s="47" t="str">
        <f t="shared" si="513"/>
        <v>51</v>
      </c>
      <c r="R1477" s="47" t="str">
        <f t="shared" si="511"/>
        <v>0-205128</v>
      </c>
      <c r="S1477" s="54">
        <v>7</v>
      </c>
      <c r="T1477" s="59" t="s">
        <v>46</v>
      </c>
      <c r="U1477" s="326" t="e">
        <f ca="1">_xlfn.XLOOKUP(PAA_4[[#This Row],[ITEM]],[2]Contrato!A:A,[2]Contrato!Q:Q,"",0)</f>
        <v>#NAME?</v>
      </c>
      <c r="V1477" s="47" t="s">
        <v>47</v>
      </c>
      <c r="W1477" s="47" t="s">
        <v>91</v>
      </c>
      <c r="X1477" s="47" t="s">
        <v>91</v>
      </c>
      <c r="Y1477" s="55" t="e">
        <f ca="1">_xlfn.XLOOKUP(PAA_4[[#This Row],[ITEM]],[2]Contrato!A:A,[2]Contrato!B:B,"",0)</f>
        <v>#NAME?</v>
      </c>
      <c r="Z1477" s="47" t="e">
        <f ca="1">_xlfn.XLOOKUP(PAA_4[[#This Row],[ITEM]],[2]Contrato!A:A,[2]Contrato!G:G,"",0)</f>
        <v>#NAME?</v>
      </c>
      <c r="AA1477" s="47" t="e">
        <f ca="1">_xlfn.XLOOKUP(PAA_4[[#This Row],[ITEM]],[2]Contrato!A:A,[2]Contrato!T:T,"",0)</f>
        <v>#NAME?</v>
      </c>
      <c r="AB1477" s="55" t="e">
        <f ca="1">+MAX(PAA_4[[#This Row],[Comprometido Contrato]],PAA_4[[#This Row],[Comprometido Bolsa]])</f>
        <v>#NAME?</v>
      </c>
      <c r="AC1477" s="55" t="str">
        <f t="shared" ca="1" si="516"/>
        <v/>
      </c>
      <c r="AD1477" s="55" t="e">
        <f ca="1">IF(PAA_4[[#This Row],[ESTADO (formulado)]]="NO CONTRATADO",0,MAX(PAA_4[[#This Row],[Pago por Contrato]],PAA_4[[#This Row],[Pago por bolsa]]))</f>
        <v>#NAME?</v>
      </c>
      <c r="AE1477" s="55" t="str">
        <f t="shared" ca="1" si="514"/>
        <v/>
      </c>
      <c r="AF1477" s="47" t="e">
        <f t="shared" ca="1" si="517"/>
        <v>#NAME?</v>
      </c>
      <c r="AG1477" s="47">
        <f t="shared" si="515"/>
        <v>44021011</v>
      </c>
      <c r="AH1477" s="54">
        <f>IF(Q1477="22",IF(ISNUMBER(SEARCH("econ",PAA_4[[#This Row],[Actividad3]])),"Económico",IF(ISNUMBER(SEARCH("alim",PAA_4[[#This Row],[Actividad3]])),"Alimentación",IF(ISNUMBER(SEARCH("educ",PAA_4[[#This Row],[Actividad3]])),"Educativo","Técnico"))),0)</f>
        <v>0</v>
      </c>
      <c r="AI1477" s="47" t="e" cm="1">
        <f t="array" aca="1" ref="AI1477" ca="1">_xlfn.XLOOKUP(PAA_4[[#This Row],[RCP-RUBRO]],[2]!COMPROMISOS_2024[[#All],[concatenado]],[2]!COMPROMISOS_2024[[#All],[Total pagado]],"",0)</f>
        <v>#NAME?</v>
      </c>
      <c r="AJ1477" s="56">
        <f>IF(PAA_4[[#This Row],[BOLSA]]=0,0,SUMIFS([2]!COMPROMISOS_2024[[#All],[Total pagado]],[2]!COMPROMISOS_2024[[#All],[Bolsa]],PAA_4[[#This Row],[BOLSA]],[2]!COMPROMISOS_2024[[#All],[rubro]],PAA_4[[#This Row],[RCP-RUBRO]]))</f>
        <v>0</v>
      </c>
      <c r="AK1477" s="47" t="e" cm="1">
        <f t="array" aca="1" ref="AK1477" ca="1">_xlfn.XLOOKUP(PAA_4[[#This Row],[RCP-RUBRO]],[2]!COMPROMISOS_2024[[#All],[concatenado]],[2]!COMPROMISOS_2024[[#All],[Total Comprometido]],"",0)</f>
        <v>#NAME?</v>
      </c>
      <c r="AL1477" s="47">
        <f>IF(PAA_4[[#This Row],[BOLSA]]=0,0,SUMIFS([2]!COMPROMISOS_2024[[#All],[Total Comprometido]],[2]!COMPROMISOS_2024[[#All],[Bolsa]],PAA_4[[#This Row],[BOLSA]],[2]!COMPROMISOS_2024[[#All],[concatenado]],PAA_4[[#This Row],[RCP-RUBRO]]))</f>
        <v>0</v>
      </c>
    </row>
    <row r="1478" spans="1:38" s="19" customFormat="1" ht="31.5" customHeight="1">
      <c r="A1478" s="47">
        <v>550</v>
      </c>
      <c r="B1478" s="47">
        <v>80111600</v>
      </c>
      <c r="C1478" s="47" t="str">
        <f>VLOOKUP(PAA_4[[#This Row],[PROYECTO (formulado)2]],[2]PROYECTOS!$G$1:$L$32,6,0)</f>
        <v>SUBGERENCIA DE FOMENTO Y DESARROLLO</v>
      </c>
      <c r="D1478" s="47" t="str">
        <f>+IF(PAA_4[[#This Row],[UNIDAD DE CONTRATACION (formulado)]]="Subgerencia Administrativa y Financiera","FUNCIONAMIENTO","INVERSIÓN")</f>
        <v>INVERSIÓN</v>
      </c>
      <c r="E1478" s="48" t="str">
        <f>VLOOKUP(Q1478,[2]PROYECTOS!$G$1:$K$32,5,0)</f>
        <v>FORTALECIMIENTO_DE_LOS_JUEGOS_DEL_SECTOR_SOCIAL_COMUNITARIO_EN_LOS_MUNICIPIOS_DEL_DEPARTAMENTO_DE_ANTIOQU</v>
      </c>
      <c r="F1478" s="48">
        <f>VLOOKUP(E1478,[2]PROYECTOS!$K$1:$M$32,3,0)</f>
        <v>2020003050033</v>
      </c>
      <c r="G1478" s="49" t="s">
        <v>342</v>
      </c>
      <c r="H1478" s="49" t="str">
        <f>VLOOKUP(Q1478,[2]PROYECTOS!$V$1:$W$32,2,0)</f>
        <v>050057</v>
      </c>
      <c r="I1478" s="78">
        <v>29076784</v>
      </c>
      <c r="J1478" s="74" t="s">
        <v>440</v>
      </c>
      <c r="K1478" s="47" t="str">
        <f t="shared" ca="1" si="512"/>
        <v>CONTRATADO</v>
      </c>
      <c r="L1478" s="47" t="s">
        <v>94</v>
      </c>
      <c r="M1478" s="47" t="s">
        <v>1297</v>
      </c>
      <c r="N1478" s="52" t="s">
        <v>396</v>
      </c>
      <c r="O1478" s="51" t="e">
        <f>VLOOKUP(N1478,[2]!RUBROS[#All],3,0)</f>
        <v>#REF!</v>
      </c>
      <c r="P1478" s="53" t="e">
        <f>VLOOKUP(N1478,[2]!RUBROS[#All],2,0)</f>
        <v>#REF!</v>
      </c>
      <c r="Q1478" s="47" t="str">
        <f t="shared" si="513"/>
        <v>50</v>
      </c>
      <c r="R1478" s="47" t="str">
        <f t="shared" si="511"/>
        <v>0-205128</v>
      </c>
      <c r="S1478" s="54">
        <v>7</v>
      </c>
      <c r="T1478" s="59" t="s">
        <v>46</v>
      </c>
      <c r="U1478" s="326" t="e">
        <f ca="1">_xlfn.XLOOKUP(PAA_4[[#This Row],[ITEM]],[2]Contrato!A:A,[2]Contrato!Q:Q,"",0)</f>
        <v>#NAME?</v>
      </c>
      <c r="V1478" s="47" t="s">
        <v>47</v>
      </c>
      <c r="W1478" s="47" t="s">
        <v>96</v>
      </c>
      <c r="X1478" s="47" t="s">
        <v>96</v>
      </c>
      <c r="Y1478" s="55" t="e">
        <f ca="1">_xlfn.XLOOKUP(PAA_4[[#This Row],[ITEM]],[2]Contrato!A:A,[2]Contrato!B:B,"",0)</f>
        <v>#NAME?</v>
      </c>
      <c r="Z1478" s="47" t="e">
        <f ca="1">_xlfn.XLOOKUP(PAA_4[[#This Row],[ITEM]],[2]Contrato!A:A,[2]Contrato!G:G,"",0)</f>
        <v>#NAME?</v>
      </c>
      <c r="AA1478" s="47" t="e">
        <f ca="1">_xlfn.XLOOKUP(PAA_4[[#This Row],[ITEM]],[2]Contrato!A:A,[2]Contrato!T:T,"",0)</f>
        <v>#NAME?</v>
      </c>
      <c r="AB1478" s="55" t="e">
        <f ca="1">+MAX(PAA_4[[#This Row],[Comprometido Contrato]],PAA_4[[#This Row],[Comprometido Bolsa]])</f>
        <v>#NAME?</v>
      </c>
      <c r="AC1478" s="55" t="str">
        <f t="shared" ca="1" si="516"/>
        <v/>
      </c>
      <c r="AD1478" s="55" t="e">
        <f ca="1">IF(PAA_4[[#This Row],[ESTADO (formulado)]]="NO CONTRATADO",0,MAX(PAA_4[[#This Row],[Pago por Contrato]],PAA_4[[#This Row],[Pago por bolsa]]))</f>
        <v>#NAME?</v>
      </c>
      <c r="AE1478" s="55" t="str">
        <f t="shared" ca="1" si="514"/>
        <v/>
      </c>
      <c r="AF1478" s="47" t="e">
        <f t="shared" ca="1" si="517"/>
        <v>#NAME?</v>
      </c>
      <c r="AG1478" s="47">
        <f t="shared" si="515"/>
        <v>44021010</v>
      </c>
      <c r="AH1478" s="54">
        <f>IF(Q1478="22",IF(ISNUMBER(SEARCH("econ",PAA_4[[#This Row],[Actividad3]])),"Económico",IF(ISNUMBER(SEARCH("alim",PAA_4[[#This Row],[Actividad3]])),"Alimentación",IF(ISNUMBER(SEARCH("educ",PAA_4[[#This Row],[Actividad3]])),"Educativo","Técnico"))),0)</f>
        <v>0</v>
      </c>
      <c r="AI1478" s="47" t="e" cm="1">
        <f t="array" aca="1" ref="AI1478" ca="1">_xlfn.XLOOKUP(PAA_4[[#This Row],[RCP-RUBRO]],[2]!COMPROMISOS_2024[[#All],[concatenado]],[2]!COMPROMISOS_2024[[#All],[Total pagado]],"",0)</f>
        <v>#NAME?</v>
      </c>
      <c r="AJ1478" s="56">
        <f>IF(PAA_4[[#This Row],[BOLSA]]=0,0,SUMIFS([2]!COMPROMISOS_2024[[#All],[Total pagado]],[2]!COMPROMISOS_2024[[#All],[Bolsa]],PAA_4[[#This Row],[BOLSA]],[2]!COMPROMISOS_2024[[#All],[rubro]],PAA_4[[#This Row],[RCP-RUBRO]]))</f>
        <v>0</v>
      </c>
      <c r="AK1478" s="47" t="e" cm="1">
        <f t="array" aca="1" ref="AK1478" ca="1">_xlfn.XLOOKUP(PAA_4[[#This Row],[RCP-RUBRO]],[2]!COMPROMISOS_2024[[#All],[concatenado]],[2]!COMPROMISOS_2024[[#All],[Total Comprometido]],"",0)</f>
        <v>#NAME?</v>
      </c>
      <c r="AL1478" s="47">
        <f>IF(PAA_4[[#This Row],[BOLSA]]=0,0,SUMIFS([2]!COMPROMISOS_2024[[#All],[Total Comprometido]],[2]!COMPROMISOS_2024[[#All],[Bolsa]],PAA_4[[#This Row],[BOLSA]],[2]!COMPROMISOS_2024[[#All],[concatenado]],PAA_4[[#This Row],[RCP-RUBRO]]))</f>
        <v>0</v>
      </c>
    </row>
    <row r="1479" spans="1:38" s="19" customFormat="1" ht="31.5" customHeight="1">
      <c r="A1479" s="47">
        <v>550</v>
      </c>
      <c r="B1479" s="47">
        <v>80111600</v>
      </c>
      <c r="C1479" s="47" t="str">
        <f>VLOOKUP(PAA_4[[#This Row],[PROYECTO (formulado)2]],[2]PROYECTOS!$G$1:$L$32,6,0)</f>
        <v>SUBGERENCIA DE FOMENTO Y DESARROLLO</v>
      </c>
      <c r="D1479" s="47" t="str">
        <f>+IF(PAA_4[[#This Row],[UNIDAD DE CONTRATACION (formulado)]]="Subgerencia Administrativa y Financiera","FUNCIONAMIENTO","INVERSIÓN")</f>
        <v>INVERSIÓN</v>
      </c>
      <c r="E1479" s="48" t="str">
        <f>VLOOKUP(Q1479,[2]PROYECTOS!$G$1:$K$32,5,0)</f>
        <v>FORTALECIMIENTO_DE_LOS_JUEGOS_DEL_SECTOR_EDUCATIVO_EN_ANTIOQUIA</v>
      </c>
      <c r="F1479" s="48">
        <f>VLOOKUP(E1479,[2]PROYECTOS!$K$1:$M$32,3,0)</f>
        <v>2020003050034</v>
      </c>
      <c r="G1479" s="49" t="s">
        <v>340</v>
      </c>
      <c r="H1479" s="49" t="str">
        <f>VLOOKUP(Q1479,[2]PROYECTOS!$V$1:$W$32,2,0)</f>
        <v>050053</v>
      </c>
      <c r="I1479" s="78">
        <v>29076783</v>
      </c>
      <c r="J1479" s="74" t="s">
        <v>440</v>
      </c>
      <c r="K1479" s="47" t="str">
        <f t="shared" ca="1" si="512"/>
        <v>CONTRATADO</v>
      </c>
      <c r="L1479" s="47" t="s">
        <v>94</v>
      </c>
      <c r="M1479" s="47" t="s">
        <v>1297</v>
      </c>
      <c r="N1479" s="52" t="s">
        <v>144</v>
      </c>
      <c r="O1479" s="51" t="e">
        <f>VLOOKUP(N1479,[2]!RUBROS[#All],3,0)</f>
        <v>#REF!</v>
      </c>
      <c r="P1479" s="53" t="e">
        <f>VLOOKUP(N1479,[2]!RUBROS[#All],2,0)</f>
        <v>#REF!</v>
      </c>
      <c r="Q1479" s="47" t="str">
        <f t="shared" si="513"/>
        <v>51</v>
      </c>
      <c r="R1479" s="47" t="str">
        <f t="shared" si="511"/>
        <v>0-205128</v>
      </c>
      <c r="S1479" s="54">
        <v>7</v>
      </c>
      <c r="T1479" s="59" t="s">
        <v>46</v>
      </c>
      <c r="U1479" s="326" t="e">
        <f ca="1">_xlfn.XLOOKUP(PAA_4[[#This Row],[ITEM]],[2]Contrato!A:A,[2]Contrato!Q:Q,"",0)</f>
        <v>#NAME?</v>
      </c>
      <c r="V1479" s="47" t="s">
        <v>47</v>
      </c>
      <c r="W1479" s="47" t="s">
        <v>96</v>
      </c>
      <c r="X1479" s="47" t="s">
        <v>96</v>
      </c>
      <c r="Y1479" s="55" t="e">
        <f ca="1">_xlfn.XLOOKUP(PAA_4[[#This Row],[ITEM]],[2]Contrato!A:A,[2]Contrato!B:B,"",0)</f>
        <v>#NAME?</v>
      </c>
      <c r="Z1479" s="47" t="e">
        <f ca="1">_xlfn.XLOOKUP(PAA_4[[#This Row],[ITEM]],[2]Contrato!A:A,[2]Contrato!G:G,"",0)</f>
        <v>#NAME?</v>
      </c>
      <c r="AA1479" s="47" t="e">
        <f ca="1">_xlfn.XLOOKUP(PAA_4[[#This Row],[ITEM]],[2]Contrato!A:A,[2]Contrato!T:T,"",0)</f>
        <v>#NAME?</v>
      </c>
      <c r="AB1479" s="55" t="e">
        <f ca="1">+MAX(PAA_4[[#This Row],[Comprometido Contrato]],PAA_4[[#This Row],[Comprometido Bolsa]])</f>
        <v>#NAME?</v>
      </c>
      <c r="AC1479" s="55" t="str">
        <f t="shared" ca="1" si="516"/>
        <v/>
      </c>
      <c r="AD1479" s="55" t="e">
        <f ca="1">IF(PAA_4[[#This Row],[ESTADO (formulado)]]="NO CONTRATADO",0,MAX(PAA_4[[#This Row],[Pago por Contrato]],PAA_4[[#This Row],[Pago por bolsa]]))</f>
        <v>#NAME?</v>
      </c>
      <c r="AE1479" s="55" t="str">
        <f t="shared" ca="1" si="514"/>
        <v/>
      </c>
      <c r="AF1479" s="47" t="e">
        <f t="shared" ca="1" si="517"/>
        <v>#NAME?</v>
      </c>
      <c r="AG1479" s="47">
        <f t="shared" si="515"/>
        <v>44021011</v>
      </c>
      <c r="AH1479" s="54">
        <f>IF(Q1479="22",IF(ISNUMBER(SEARCH("econ",PAA_4[[#This Row],[Actividad3]])),"Económico",IF(ISNUMBER(SEARCH("alim",PAA_4[[#This Row],[Actividad3]])),"Alimentación",IF(ISNUMBER(SEARCH("educ",PAA_4[[#This Row],[Actividad3]])),"Educativo","Técnico"))),0)</f>
        <v>0</v>
      </c>
      <c r="AI1479" s="47" t="e" cm="1">
        <f t="array" aca="1" ref="AI1479" ca="1">_xlfn.XLOOKUP(PAA_4[[#This Row],[RCP-RUBRO]],[2]!COMPROMISOS_2024[[#All],[concatenado]],[2]!COMPROMISOS_2024[[#All],[Total pagado]],"",0)</f>
        <v>#NAME?</v>
      </c>
      <c r="AJ1479" s="56">
        <f>IF(PAA_4[[#This Row],[BOLSA]]=0,0,SUMIFS([2]!COMPROMISOS_2024[[#All],[Total pagado]],[2]!COMPROMISOS_2024[[#All],[Bolsa]],PAA_4[[#This Row],[BOLSA]],[2]!COMPROMISOS_2024[[#All],[rubro]],PAA_4[[#This Row],[RCP-RUBRO]]))</f>
        <v>0</v>
      </c>
      <c r="AK1479" s="47" t="e" cm="1">
        <f t="array" aca="1" ref="AK1479" ca="1">_xlfn.XLOOKUP(PAA_4[[#This Row],[RCP-RUBRO]],[2]!COMPROMISOS_2024[[#All],[concatenado]],[2]!COMPROMISOS_2024[[#All],[Total Comprometido]],"",0)</f>
        <v>#NAME?</v>
      </c>
      <c r="AL1479" s="47">
        <f>IF(PAA_4[[#This Row],[BOLSA]]=0,0,SUMIFS([2]!COMPROMISOS_2024[[#All],[Total Comprometido]],[2]!COMPROMISOS_2024[[#All],[Bolsa]],PAA_4[[#This Row],[BOLSA]],[2]!COMPROMISOS_2024[[#All],[concatenado]],PAA_4[[#This Row],[RCP-RUBRO]]))</f>
        <v>0</v>
      </c>
    </row>
    <row r="1480" spans="1:38" s="19" customFormat="1" ht="31.5" customHeight="1">
      <c r="A1480" s="47">
        <v>551</v>
      </c>
      <c r="B1480" s="47">
        <v>80111600</v>
      </c>
      <c r="C1480" s="47" t="str">
        <f>VLOOKUP(PAA_4[[#This Row],[PROYECTO (formulado)2]],[2]PROYECTOS!$G$1:$L$32,6,0)</f>
        <v>SUBGERENCIA DE FOMENTO Y DESARROLLO</v>
      </c>
      <c r="D1480" s="47" t="str">
        <f>+IF(PAA_4[[#This Row],[UNIDAD DE CONTRATACION (formulado)]]="Subgerencia Administrativa y Financiera","FUNCIONAMIENTO","INVERSIÓN")</f>
        <v>INVERSIÓN</v>
      </c>
      <c r="E1480" s="48" t="str">
        <f>VLOOKUP(Q1480,[2]PROYECTOS!$G$1:$K$32,5,0)</f>
        <v>FORTALECIMIENTO_DE_LOS_JUEGOS_DEL_SECTOR_SOCIAL_COMUNITARIO_EN_LOS_MUNICIPIOS_DEL_DEPARTAMENTO_DE_ANTIOQU</v>
      </c>
      <c r="F1480" s="48">
        <f>VLOOKUP(E1480,[2]PROYECTOS!$K$1:$M$32,3,0)</f>
        <v>2020003050033</v>
      </c>
      <c r="G1480" s="49" t="s">
        <v>342</v>
      </c>
      <c r="H1480" s="49" t="str">
        <f>VLOOKUP(Q1480,[2]PROYECTOS!$V$1:$W$32,2,0)</f>
        <v>050057</v>
      </c>
      <c r="I1480" s="78">
        <v>6819779</v>
      </c>
      <c r="J1480" s="74" t="s">
        <v>441</v>
      </c>
      <c r="K1480" s="47" t="str">
        <f t="shared" ca="1" si="512"/>
        <v>CONTRATADO</v>
      </c>
      <c r="L1480" s="47" t="s">
        <v>94</v>
      </c>
      <c r="M1480" s="47" t="s">
        <v>1297</v>
      </c>
      <c r="N1480" s="52" t="s">
        <v>396</v>
      </c>
      <c r="O1480" s="51" t="e">
        <f>VLOOKUP(N1480,[2]!RUBROS[#All],3,0)</f>
        <v>#REF!</v>
      </c>
      <c r="P1480" s="53" t="e">
        <f>VLOOKUP(N1480,[2]!RUBROS[#All],2,0)</f>
        <v>#REF!</v>
      </c>
      <c r="Q1480" s="47" t="str">
        <f t="shared" si="513"/>
        <v>50</v>
      </c>
      <c r="R1480" s="47" t="str">
        <f t="shared" si="511"/>
        <v>0-205128</v>
      </c>
      <c r="S1480" s="54">
        <v>3</v>
      </c>
      <c r="T1480" s="59" t="s">
        <v>46</v>
      </c>
      <c r="U1480" s="326" t="e">
        <f ca="1">_xlfn.XLOOKUP(PAA_4[[#This Row],[ITEM]],[2]Contrato!A:A,[2]Contrato!Q:Q,"",0)</f>
        <v>#NAME?</v>
      </c>
      <c r="V1480" s="47" t="s">
        <v>47</v>
      </c>
      <c r="W1480" s="47" t="s">
        <v>91</v>
      </c>
      <c r="X1480" s="47" t="s">
        <v>91</v>
      </c>
      <c r="Y1480" s="55" t="e">
        <f ca="1">_xlfn.XLOOKUP(PAA_4[[#This Row],[ITEM]],[2]Contrato!A:A,[2]Contrato!B:B,"",0)</f>
        <v>#NAME?</v>
      </c>
      <c r="Z1480" s="47" t="e">
        <f ca="1">_xlfn.XLOOKUP(PAA_4[[#This Row],[ITEM]],[2]Contrato!A:A,[2]Contrato!G:G,"",0)</f>
        <v>#NAME?</v>
      </c>
      <c r="AA1480" s="47" t="e">
        <f ca="1">_xlfn.XLOOKUP(PAA_4[[#This Row],[ITEM]],[2]Contrato!A:A,[2]Contrato!T:T,"",0)</f>
        <v>#NAME?</v>
      </c>
      <c r="AB1480" s="55" t="e">
        <f ca="1">+MAX(PAA_4[[#This Row],[Comprometido Contrato]],PAA_4[[#This Row],[Comprometido Bolsa]])</f>
        <v>#NAME?</v>
      </c>
      <c r="AC1480" s="55" t="str">
        <f t="shared" ca="1" si="516"/>
        <v/>
      </c>
      <c r="AD1480" s="55" t="e">
        <f ca="1">IF(PAA_4[[#This Row],[ESTADO (formulado)]]="NO CONTRATADO",0,MAX(PAA_4[[#This Row],[Pago por Contrato]],PAA_4[[#This Row],[Pago por bolsa]]))</f>
        <v>#NAME?</v>
      </c>
      <c r="AE1480" s="55" t="str">
        <f t="shared" ca="1" si="514"/>
        <v/>
      </c>
      <c r="AF1480" s="47" t="e">
        <f t="shared" ca="1" si="517"/>
        <v>#NAME?</v>
      </c>
      <c r="AG1480" s="47">
        <f t="shared" si="515"/>
        <v>44021010</v>
      </c>
      <c r="AH1480" s="54">
        <f>IF(Q1480="22",IF(ISNUMBER(SEARCH("econ",PAA_4[[#This Row],[Actividad3]])),"Económico",IF(ISNUMBER(SEARCH("alim",PAA_4[[#This Row],[Actividad3]])),"Alimentación",IF(ISNUMBER(SEARCH("educ",PAA_4[[#This Row],[Actividad3]])),"Educativo","Técnico"))),0)</f>
        <v>0</v>
      </c>
      <c r="AI1480" s="47" t="e" cm="1">
        <f t="array" aca="1" ref="AI1480" ca="1">_xlfn.XLOOKUP(PAA_4[[#This Row],[RCP-RUBRO]],[2]!COMPROMISOS_2024[[#All],[concatenado]],[2]!COMPROMISOS_2024[[#All],[Total pagado]],"",0)</f>
        <v>#NAME?</v>
      </c>
      <c r="AJ1480" s="56">
        <f>IF(PAA_4[[#This Row],[BOLSA]]=0,0,SUMIFS([2]!COMPROMISOS_2024[[#All],[Total pagado]],[2]!COMPROMISOS_2024[[#All],[Bolsa]],PAA_4[[#This Row],[BOLSA]],[2]!COMPROMISOS_2024[[#All],[rubro]],PAA_4[[#This Row],[RCP-RUBRO]]))</f>
        <v>0</v>
      </c>
      <c r="AK1480" s="47" t="e" cm="1">
        <f t="array" aca="1" ref="AK1480" ca="1">_xlfn.XLOOKUP(PAA_4[[#This Row],[RCP-RUBRO]],[2]!COMPROMISOS_2024[[#All],[concatenado]],[2]!COMPROMISOS_2024[[#All],[Total Comprometido]],"",0)</f>
        <v>#NAME?</v>
      </c>
      <c r="AL1480" s="47">
        <f>IF(PAA_4[[#This Row],[BOLSA]]=0,0,SUMIFS([2]!COMPROMISOS_2024[[#All],[Total Comprometido]],[2]!COMPROMISOS_2024[[#All],[Bolsa]],PAA_4[[#This Row],[BOLSA]],[2]!COMPROMISOS_2024[[#All],[concatenado]],PAA_4[[#This Row],[RCP-RUBRO]]))</f>
        <v>0</v>
      </c>
    </row>
    <row r="1481" spans="1:38" s="19" customFormat="1" ht="31.5" customHeight="1">
      <c r="A1481" s="47" t="s">
        <v>82</v>
      </c>
      <c r="B1481" s="47" t="s">
        <v>42</v>
      </c>
      <c r="C1481" s="47" t="str">
        <f>VLOOKUP(PAA_4[[#This Row],[PROYECTO (formulado)2]],[2]PROYECTOS!$G$1:$L$32,6,0)</f>
        <v>SUBGERENCIA DE FOMENTO Y DESARROLLO</v>
      </c>
      <c r="D1481" s="47" t="str">
        <f>+IF(PAA_4[[#This Row],[UNIDAD DE CONTRATACION (formulado)]]="Subgerencia Administrativa y Financiera","FUNCIONAMIENTO","INVERSIÓN")</f>
        <v>INVERSIÓN</v>
      </c>
      <c r="E1481" s="48" t="str">
        <f>VLOOKUP(Q1481,[2]PROYECTOS!$G$1:$K$32,5,0)</f>
        <v>FORTALECIMIENTO_DE_LOS_JUEGOS_DEL_SECTOR_EDUCATIVO_EN_ANTIOQUIA</v>
      </c>
      <c r="F1481" s="48">
        <f>VLOOKUP(E1481,[2]PROYECTOS!$K$1:$M$32,3,0)</f>
        <v>2020003050034</v>
      </c>
      <c r="G1481" s="49" t="s">
        <v>340</v>
      </c>
      <c r="H1481" s="49" t="str">
        <f>VLOOKUP(Q1481,[2]PROYECTOS!$V$1:$W$32,2,0)</f>
        <v>050053</v>
      </c>
      <c r="I1481" s="78">
        <v>3500000</v>
      </c>
      <c r="J1481" s="51" t="s">
        <v>1368</v>
      </c>
      <c r="K1481" s="47" t="str">
        <f ca="1">IF(ISNONTEXT(Y1481)=TRUE,"CONTRATADO","NO CONTRATADO")</f>
        <v>CONTRATADO</v>
      </c>
      <c r="L1481" s="47" t="s">
        <v>42</v>
      </c>
      <c r="M1481" s="47" t="s">
        <v>42</v>
      </c>
      <c r="N1481" s="52" t="s">
        <v>144</v>
      </c>
      <c r="O1481" s="51" t="e">
        <f>VLOOKUP(N1481,[2]!RUBROS[#All],3,0)</f>
        <v>#REF!</v>
      </c>
      <c r="P1481" s="53" t="e">
        <f>VLOOKUP(N1481,[2]!RUBROS[#All],2,0)</f>
        <v>#REF!</v>
      </c>
      <c r="Q1481" s="47" t="str">
        <f>+MID(N1481,11,2)</f>
        <v>51</v>
      </c>
      <c r="R1481" s="47" t="str">
        <f t="shared" si="511"/>
        <v>0-205128</v>
      </c>
      <c r="S1481" s="47" t="s">
        <v>42</v>
      </c>
      <c r="T1481" s="59" t="s">
        <v>42</v>
      </c>
      <c r="U1481" s="326" t="e">
        <f ca="1">_xlfn.XLOOKUP(PAA_4[[#This Row],[ITEM]],[2]Contrato!A:A,[2]Contrato!Q:Q,"",0)</f>
        <v>#NAME?</v>
      </c>
      <c r="V1481" s="47" t="s">
        <v>95</v>
      </c>
      <c r="W1481" s="47" t="s">
        <v>42</v>
      </c>
      <c r="X1481" s="47" t="s">
        <v>42</v>
      </c>
      <c r="Y1481" s="55" t="e">
        <f ca="1">_xlfn.XLOOKUP(PAA_4[[#This Row],[ITEM]],[2]Contrato!A:A,[2]Contrato!B:B,"",0)</f>
        <v>#NAME?</v>
      </c>
      <c r="Z1481" s="47" t="e">
        <f ca="1">_xlfn.XLOOKUP(PAA_4[[#This Row],[ITEM]],[2]Contrato!A:A,[2]Contrato!G:G,"",0)</f>
        <v>#NAME?</v>
      </c>
      <c r="AA1481" s="47" t="e">
        <f ca="1">_xlfn.XLOOKUP(PAA_4[[#This Row],[ITEM]],[2]Contrato!A:A,[2]Contrato!T:T,"",0)</f>
        <v>#NAME?</v>
      </c>
      <c r="AB1481" s="55" t="e">
        <f ca="1">+MAX(PAA_4[[#This Row],[Comprometido Contrato]],PAA_4[[#This Row],[Comprometido Bolsa]])</f>
        <v>#NAME?</v>
      </c>
      <c r="AC1481" s="55" t="str">
        <f ca="1">IFERROR(I1481-AB1481,"")</f>
        <v/>
      </c>
      <c r="AD1481" s="55" t="e">
        <f ca="1">IF(PAA_4[[#This Row],[ESTADO (formulado)]]="NO CONTRATADO",0,MAX(PAA_4[[#This Row],[Pago por Contrato]],PAA_4[[#This Row],[Pago por bolsa]]))</f>
        <v>#NAME?</v>
      </c>
      <c r="AE1481" s="55" t="str">
        <f ca="1">+IFERROR(AB1481-AD1481,"")</f>
        <v/>
      </c>
      <c r="AF1481" s="47" t="e">
        <f ca="1">+CONCATENATE(AA1481,N1481)</f>
        <v>#NAME?</v>
      </c>
      <c r="AG1481" s="47">
        <f>IFERROR(_xlfn.NUMBERVALUE(MID(G1481,1,8)),"")</f>
        <v>44021011</v>
      </c>
      <c r="AH1481" s="54">
        <f>IF(Q1481="22",IF(ISNUMBER(SEARCH("econ",PAA_4[[#This Row],[Actividad3]])),"Económico",IF(ISNUMBER(SEARCH("alim",PAA_4[[#This Row],[Actividad3]])),"Alimentación",IF(ISNUMBER(SEARCH("educ",PAA_4[[#This Row],[Actividad3]])),"Educativo","Técnico"))),0)</f>
        <v>0</v>
      </c>
      <c r="AI1481" s="47" t="e" cm="1">
        <f t="array" aca="1" ref="AI1481" ca="1">_xlfn.XLOOKUP(PAA_4[[#This Row],[RCP-RUBRO]],[2]!COMPROMISOS_2024[[#All],[concatenado]],[2]!COMPROMISOS_2024[[#All],[Total pagado]],"",0)</f>
        <v>#NAME?</v>
      </c>
      <c r="AJ1481" s="56">
        <f>IF(PAA_4[[#This Row],[BOLSA]]=0,0,SUMIFS([2]!COMPROMISOS_2024[[#All],[Total pagado]],[2]!COMPROMISOS_2024[[#All],[Bolsa]],PAA_4[[#This Row],[BOLSA]],[2]!COMPROMISOS_2024[[#All],[rubro]],PAA_4[[#This Row],[RCP-RUBRO]]))</f>
        <v>0</v>
      </c>
      <c r="AK1481" s="47" t="e" cm="1">
        <f t="array" aca="1" ref="AK1481" ca="1">_xlfn.XLOOKUP(PAA_4[[#This Row],[RCP-RUBRO]],[2]!COMPROMISOS_2024[[#All],[concatenado]],[2]!COMPROMISOS_2024[[#All],[Total Comprometido]],"",0)</f>
        <v>#NAME?</v>
      </c>
      <c r="AL1481" s="47">
        <f>IF(PAA_4[[#This Row],[BOLSA]]=0,0,SUMIFS([2]!COMPROMISOS_2024[[#All],[Total Comprometido]],[2]!COMPROMISOS_2024[[#All],[Bolsa]],PAA_4[[#This Row],[BOLSA]],[2]!COMPROMISOS_2024[[#All],[concatenado]],PAA_4[[#This Row],[RCP-RUBRO]]))</f>
        <v>0</v>
      </c>
    </row>
    <row r="1482" spans="1:38" s="19" customFormat="1" ht="31.5" customHeight="1">
      <c r="A1482" s="47">
        <v>551</v>
      </c>
      <c r="B1482" s="47">
        <v>80111600</v>
      </c>
      <c r="C1482" s="47" t="str">
        <f>VLOOKUP(PAA_4[[#This Row],[PROYECTO (formulado)2]],[2]PROYECTOS!$G$1:$L$32,6,0)</f>
        <v>SUBGERENCIA DE FOMENTO Y DESARROLLO</v>
      </c>
      <c r="D1482" s="47" t="str">
        <f>+IF(PAA_4[[#This Row],[UNIDAD DE CONTRATACION (formulado)]]="Subgerencia Administrativa y Financiera","FUNCIONAMIENTO","INVERSIÓN")</f>
        <v>INVERSIÓN</v>
      </c>
      <c r="E1482" s="48" t="str">
        <f>VLOOKUP(Q1482,[2]PROYECTOS!$G$1:$K$32,5,0)</f>
        <v>FORTALECIMIENTO_DE_LOS_JUEGOS_DEL_SECTOR_EDUCATIVO_EN_ANTIOQUIA</v>
      </c>
      <c r="F1482" s="48">
        <f>VLOOKUP(E1482,[2]PROYECTOS!$K$1:$M$32,3,0)</f>
        <v>2020003050034</v>
      </c>
      <c r="G1482" s="49" t="s">
        <v>340</v>
      </c>
      <c r="H1482" s="49" t="str">
        <f>VLOOKUP(Q1482,[2]PROYECTOS!$V$1:$W$32,2,0)</f>
        <v>050053</v>
      </c>
      <c r="I1482" s="78">
        <f>6819780-3500000</f>
        <v>3319780</v>
      </c>
      <c r="J1482" s="74" t="s">
        <v>441</v>
      </c>
      <c r="K1482" s="47" t="str">
        <f t="shared" ref="K1482:K1483" ca="1" si="518">IF(ISNONTEXT(Y1482)=TRUE,"CONTRATADO","NO CONTRATADO")</f>
        <v>CONTRATADO</v>
      </c>
      <c r="L1482" s="47" t="s">
        <v>94</v>
      </c>
      <c r="M1482" s="47" t="s">
        <v>1297</v>
      </c>
      <c r="N1482" s="52" t="s">
        <v>144</v>
      </c>
      <c r="O1482" s="51" t="e">
        <f>VLOOKUP(N1482,[2]!RUBROS[#All],3,0)</f>
        <v>#REF!</v>
      </c>
      <c r="P1482" s="53" t="e">
        <f>VLOOKUP(N1482,[2]!RUBROS[#All],2,0)</f>
        <v>#REF!</v>
      </c>
      <c r="Q1482" s="47" t="str">
        <f t="shared" ref="Q1482:Q1483" si="519">+MID(N1482,11,2)</f>
        <v>51</v>
      </c>
      <c r="R1482" s="47" t="str">
        <f t="shared" si="511"/>
        <v>0-205128</v>
      </c>
      <c r="S1482" s="54">
        <v>3</v>
      </c>
      <c r="T1482" s="59" t="s">
        <v>46</v>
      </c>
      <c r="U1482" s="326" t="e">
        <f ca="1">_xlfn.XLOOKUP(PAA_4[[#This Row],[ITEM]],[2]Contrato!A:A,[2]Contrato!Q:Q,"",0)</f>
        <v>#NAME?</v>
      </c>
      <c r="V1482" s="47" t="s">
        <v>47</v>
      </c>
      <c r="W1482" s="47" t="s">
        <v>91</v>
      </c>
      <c r="X1482" s="47" t="s">
        <v>91</v>
      </c>
      <c r="Y1482" s="55" t="e">
        <f ca="1">_xlfn.XLOOKUP(PAA_4[[#This Row],[ITEM]],[2]Contrato!A:A,[2]Contrato!B:B,"",0)</f>
        <v>#NAME?</v>
      </c>
      <c r="Z1482" s="47" t="e">
        <f ca="1">_xlfn.XLOOKUP(PAA_4[[#This Row],[ITEM]],[2]Contrato!A:A,[2]Contrato!G:G,"",0)</f>
        <v>#NAME?</v>
      </c>
      <c r="AA1482" s="47" t="e">
        <f ca="1">_xlfn.XLOOKUP(PAA_4[[#This Row],[ITEM]],[2]Contrato!A:A,[2]Contrato!T:T,"",0)</f>
        <v>#NAME?</v>
      </c>
      <c r="AB1482" s="55" t="e">
        <f ca="1">+MAX(PAA_4[[#This Row],[Comprometido Contrato]],PAA_4[[#This Row],[Comprometido Bolsa]])</f>
        <v>#NAME?</v>
      </c>
      <c r="AC1482" s="55" t="str">
        <f t="shared" ref="AC1482:AC1483" ca="1" si="520">IFERROR(I1482-AB1482,"")</f>
        <v/>
      </c>
      <c r="AD1482" s="55" t="e">
        <f ca="1">IF(PAA_4[[#This Row],[ESTADO (formulado)]]="NO CONTRATADO",0,MAX(PAA_4[[#This Row],[Pago por Contrato]],PAA_4[[#This Row],[Pago por bolsa]]))</f>
        <v>#NAME?</v>
      </c>
      <c r="AE1482" s="55" t="str">
        <f t="shared" ref="AE1482:AE1483" ca="1" si="521">+IFERROR(AB1482-AD1482,"")</f>
        <v/>
      </c>
      <c r="AF1482" s="47" t="e">
        <f t="shared" ref="AF1482:AF1483" ca="1" si="522">+CONCATENATE(AA1482,N1482)</f>
        <v>#NAME?</v>
      </c>
      <c r="AG1482" s="47">
        <f t="shared" ref="AG1482:AG1483" si="523">IFERROR(_xlfn.NUMBERVALUE(MID(G1482,1,8)),"")</f>
        <v>44021011</v>
      </c>
      <c r="AH1482" s="54">
        <f>IF(Q1482="22",IF(ISNUMBER(SEARCH("econ",PAA_4[[#This Row],[Actividad3]])),"Económico",IF(ISNUMBER(SEARCH("alim",PAA_4[[#This Row],[Actividad3]])),"Alimentación",IF(ISNUMBER(SEARCH("educ",PAA_4[[#This Row],[Actividad3]])),"Educativo","Técnico"))),0)</f>
        <v>0</v>
      </c>
      <c r="AI1482" s="47" t="e" cm="1">
        <f t="array" aca="1" ref="AI1482" ca="1">_xlfn.XLOOKUP(PAA_4[[#This Row],[RCP-RUBRO]],[2]!COMPROMISOS_2024[[#All],[concatenado]],[2]!COMPROMISOS_2024[[#All],[Total pagado]],"",0)</f>
        <v>#NAME?</v>
      </c>
      <c r="AJ1482" s="56">
        <f>IF(PAA_4[[#This Row],[BOLSA]]=0,0,SUMIFS([2]!COMPROMISOS_2024[[#All],[Total pagado]],[2]!COMPROMISOS_2024[[#All],[Bolsa]],PAA_4[[#This Row],[BOLSA]],[2]!COMPROMISOS_2024[[#All],[rubro]],PAA_4[[#This Row],[RCP-RUBRO]]))</f>
        <v>0</v>
      </c>
      <c r="AK1482" s="47" t="e" cm="1">
        <f t="array" aca="1" ref="AK1482" ca="1">_xlfn.XLOOKUP(PAA_4[[#This Row],[RCP-RUBRO]],[2]!COMPROMISOS_2024[[#All],[concatenado]],[2]!COMPROMISOS_2024[[#All],[Total Comprometido]],"",0)</f>
        <v>#NAME?</v>
      </c>
      <c r="AL1482" s="47">
        <f>IF(PAA_4[[#This Row],[BOLSA]]=0,0,SUMIFS([2]!COMPROMISOS_2024[[#All],[Total Comprometido]],[2]!COMPROMISOS_2024[[#All],[Bolsa]],PAA_4[[#This Row],[BOLSA]],[2]!COMPROMISOS_2024[[#All],[concatenado]],PAA_4[[#This Row],[RCP-RUBRO]]))</f>
        <v>0</v>
      </c>
    </row>
    <row r="1483" spans="1:38" s="19" customFormat="1" ht="31.5" customHeight="1">
      <c r="A1483" s="47">
        <v>552</v>
      </c>
      <c r="B1483" s="47">
        <v>80111600</v>
      </c>
      <c r="C1483" s="47" t="str">
        <f>VLOOKUP(PAA_4[[#This Row],[PROYECTO (formulado)2]],[2]PROYECTOS!$G$1:$L$32,6,0)</f>
        <v>SUBGERENCIA DE FOMENTO Y DESARROLLO</v>
      </c>
      <c r="D1483" s="47" t="str">
        <f>+IF(PAA_4[[#This Row],[UNIDAD DE CONTRATACION (formulado)]]="Subgerencia Administrativa y Financiera","FUNCIONAMIENTO","INVERSIÓN")</f>
        <v>INVERSIÓN</v>
      </c>
      <c r="E1483" s="48" t="str">
        <f>VLOOKUP(Q1483,[2]PROYECTOS!$G$1:$K$32,5,0)</f>
        <v>FORTALECIMIENTO_DE_LOS_JUEGOS_DEL_SECTOR_SOCIAL_COMUNITARIO_EN_LOS_MUNICIPIOS_DEL_DEPARTAMENTO_DE_ANTIOQU</v>
      </c>
      <c r="F1483" s="48">
        <f>VLOOKUP(E1483,[2]PROYECTOS!$K$1:$M$32,3,0)</f>
        <v>2020003050033</v>
      </c>
      <c r="G1483" s="49" t="s">
        <v>342</v>
      </c>
      <c r="H1483" s="49" t="str">
        <f>VLOOKUP(Q1483,[2]PROYECTOS!$V$1:$W$32,2,0)</f>
        <v>050057</v>
      </c>
      <c r="I1483" s="78">
        <v>6819779</v>
      </c>
      <c r="J1483" s="74" t="s">
        <v>442</v>
      </c>
      <c r="K1483" s="47" t="str">
        <f t="shared" ca="1" si="518"/>
        <v>CONTRATADO</v>
      </c>
      <c r="L1483" s="47" t="s">
        <v>94</v>
      </c>
      <c r="M1483" s="47" t="s">
        <v>1297</v>
      </c>
      <c r="N1483" s="52" t="s">
        <v>396</v>
      </c>
      <c r="O1483" s="51" t="e">
        <f>VLOOKUP(N1483,[2]!RUBROS[#All],3,0)</f>
        <v>#REF!</v>
      </c>
      <c r="P1483" s="53" t="e">
        <f>VLOOKUP(N1483,[2]!RUBROS[#All],2,0)</f>
        <v>#REF!</v>
      </c>
      <c r="Q1483" s="47" t="str">
        <f t="shared" si="519"/>
        <v>50</v>
      </c>
      <c r="R1483" s="47" t="str">
        <f t="shared" si="511"/>
        <v>0-205128</v>
      </c>
      <c r="S1483" s="54">
        <v>3</v>
      </c>
      <c r="T1483" s="59" t="s">
        <v>46</v>
      </c>
      <c r="U1483" s="326" t="e">
        <f ca="1">_xlfn.XLOOKUP(PAA_4[[#This Row],[ITEM]],[2]Contrato!A:A,[2]Contrato!Q:Q,"",0)</f>
        <v>#NAME?</v>
      </c>
      <c r="V1483" s="47" t="s">
        <v>47</v>
      </c>
      <c r="W1483" s="47" t="s">
        <v>91</v>
      </c>
      <c r="X1483" s="47" t="s">
        <v>91</v>
      </c>
      <c r="Y1483" s="55" t="e">
        <f ca="1">_xlfn.XLOOKUP(PAA_4[[#This Row],[ITEM]],[2]Contrato!A:A,[2]Contrato!B:B,"",0)</f>
        <v>#NAME?</v>
      </c>
      <c r="Z1483" s="47" t="e">
        <f ca="1">_xlfn.XLOOKUP(PAA_4[[#This Row],[ITEM]],[2]Contrato!A:A,[2]Contrato!G:G,"",0)</f>
        <v>#NAME?</v>
      </c>
      <c r="AA1483" s="47" t="e">
        <f ca="1">_xlfn.XLOOKUP(PAA_4[[#This Row],[ITEM]],[2]Contrato!A:A,[2]Contrato!T:T,"",0)</f>
        <v>#NAME?</v>
      </c>
      <c r="AB1483" s="55" t="e">
        <f ca="1">+MAX(PAA_4[[#This Row],[Comprometido Contrato]],PAA_4[[#This Row],[Comprometido Bolsa]])</f>
        <v>#NAME?</v>
      </c>
      <c r="AC1483" s="55" t="str">
        <f t="shared" ca="1" si="520"/>
        <v/>
      </c>
      <c r="AD1483" s="55" t="e">
        <f ca="1">IF(PAA_4[[#This Row],[ESTADO (formulado)]]="NO CONTRATADO",0,MAX(PAA_4[[#This Row],[Pago por Contrato]],PAA_4[[#This Row],[Pago por bolsa]]))</f>
        <v>#NAME?</v>
      </c>
      <c r="AE1483" s="55" t="str">
        <f t="shared" ca="1" si="521"/>
        <v/>
      </c>
      <c r="AF1483" s="47" t="e">
        <f t="shared" ca="1" si="522"/>
        <v>#NAME?</v>
      </c>
      <c r="AG1483" s="47">
        <f t="shared" si="523"/>
        <v>44021010</v>
      </c>
      <c r="AH1483" s="54">
        <f>IF(Q1483="22",IF(ISNUMBER(SEARCH("econ",PAA_4[[#This Row],[Actividad3]])),"Económico",IF(ISNUMBER(SEARCH("alim",PAA_4[[#This Row],[Actividad3]])),"Alimentación",IF(ISNUMBER(SEARCH("educ",PAA_4[[#This Row],[Actividad3]])),"Educativo","Técnico"))),0)</f>
        <v>0</v>
      </c>
      <c r="AI1483" s="47" t="e" cm="1">
        <f t="array" aca="1" ref="AI1483" ca="1">_xlfn.XLOOKUP(PAA_4[[#This Row],[RCP-RUBRO]],[2]!COMPROMISOS_2024[[#All],[concatenado]],[2]!COMPROMISOS_2024[[#All],[Total pagado]],"",0)</f>
        <v>#NAME?</v>
      </c>
      <c r="AJ1483" s="56">
        <f>IF(PAA_4[[#This Row],[BOLSA]]=0,0,SUMIFS([2]!COMPROMISOS_2024[[#All],[Total pagado]],[2]!COMPROMISOS_2024[[#All],[Bolsa]],PAA_4[[#This Row],[BOLSA]],[2]!COMPROMISOS_2024[[#All],[rubro]],PAA_4[[#This Row],[RCP-RUBRO]]))</f>
        <v>0</v>
      </c>
      <c r="AK1483" s="47" t="e" cm="1">
        <f t="array" aca="1" ref="AK1483" ca="1">_xlfn.XLOOKUP(PAA_4[[#This Row],[RCP-RUBRO]],[2]!COMPROMISOS_2024[[#All],[concatenado]],[2]!COMPROMISOS_2024[[#All],[Total Comprometido]],"",0)</f>
        <v>#NAME?</v>
      </c>
      <c r="AL1483" s="47">
        <f>IF(PAA_4[[#This Row],[BOLSA]]=0,0,SUMIFS([2]!COMPROMISOS_2024[[#All],[Total Comprometido]],[2]!COMPROMISOS_2024[[#All],[Bolsa]],PAA_4[[#This Row],[BOLSA]],[2]!COMPROMISOS_2024[[#All],[concatenado]],PAA_4[[#This Row],[RCP-RUBRO]]))</f>
        <v>0</v>
      </c>
    </row>
    <row r="1484" spans="1:38" s="19" customFormat="1" ht="31.5" customHeight="1">
      <c r="A1484" s="47" t="s">
        <v>82</v>
      </c>
      <c r="B1484" s="47" t="s">
        <v>42</v>
      </c>
      <c r="C1484" s="47" t="str">
        <f>VLOOKUP(PAA_4[[#This Row],[PROYECTO (formulado)2]],[2]PROYECTOS!$G$1:$L$32,6,0)</f>
        <v>SUBGERENCIA DE FOMENTO Y DESARROLLO</v>
      </c>
      <c r="D1484" s="47" t="str">
        <f>+IF(PAA_4[[#This Row],[UNIDAD DE CONTRATACION (formulado)]]="Subgerencia Administrativa y Financiera","FUNCIONAMIENTO","INVERSIÓN")</f>
        <v>INVERSIÓN</v>
      </c>
      <c r="E1484" s="48" t="str">
        <f>VLOOKUP(Q1484,[2]PROYECTOS!$G$1:$K$32,5,0)</f>
        <v>FORTALECIMIENTO_DE_LOS_JUEGOS_DEL_SECTOR_EDUCATIVO_EN_ANTIOQUIA</v>
      </c>
      <c r="F1484" s="48">
        <f>VLOOKUP(E1484,[2]PROYECTOS!$K$1:$M$32,3,0)</f>
        <v>2020003050034</v>
      </c>
      <c r="G1484" s="49" t="s">
        <v>340</v>
      </c>
      <c r="H1484" s="49" t="str">
        <f>VLOOKUP(Q1484,[2]PROYECTOS!$V$1:$W$32,2,0)</f>
        <v>050053</v>
      </c>
      <c r="I1484" s="78">
        <v>3500000</v>
      </c>
      <c r="J1484" s="51" t="s">
        <v>1368</v>
      </c>
      <c r="K1484" s="47" t="str">
        <f ca="1">IF(ISNONTEXT(Y1484)=TRUE,"CONTRATADO","NO CONTRATADO")</f>
        <v>CONTRATADO</v>
      </c>
      <c r="L1484" s="47" t="s">
        <v>42</v>
      </c>
      <c r="M1484" s="47" t="s">
        <v>42</v>
      </c>
      <c r="N1484" s="52" t="s">
        <v>144</v>
      </c>
      <c r="O1484" s="51" t="e">
        <f>VLOOKUP(N1484,[2]!RUBROS[#All],3,0)</f>
        <v>#REF!</v>
      </c>
      <c r="P1484" s="53" t="e">
        <f>VLOOKUP(N1484,[2]!RUBROS[#All],2,0)</f>
        <v>#REF!</v>
      </c>
      <c r="Q1484" s="47" t="str">
        <f>+MID(N1484,11,2)</f>
        <v>51</v>
      </c>
      <c r="R1484" s="47" t="str">
        <f t="shared" si="511"/>
        <v>0-205128</v>
      </c>
      <c r="S1484" s="47" t="s">
        <v>42</v>
      </c>
      <c r="T1484" s="59" t="s">
        <v>42</v>
      </c>
      <c r="U1484" s="326" t="e">
        <f ca="1">_xlfn.XLOOKUP(PAA_4[[#This Row],[ITEM]],[2]Contrato!A:A,[2]Contrato!Q:Q,"",0)</f>
        <v>#NAME?</v>
      </c>
      <c r="V1484" s="47" t="s">
        <v>95</v>
      </c>
      <c r="W1484" s="47" t="s">
        <v>42</v>
      </c>
      <c r="X1484" s="47" t="s">
        <v>42</v>
      </c>
      <c r="Y1484" s="55" t="e">
        <f ca="1">_xlfn.XLOOKUP(PAA_4[[#This Row],[ITEM]],[2]Contrato!A:A,[2]Contrato!B:B,"",0)</f>
        <v>#NAME?</v>
      </c>
      <c r="Z1484" s="47" t="e">
        <f ca="1">_xlfn.XLOOKUP(PAA_4[[#This Row],[ITEM]],[2]Contrato!A:A,[2]Contrato!G:G,"",0)</f>
        <v>#NAME?</v>
      </c>
      <c r="AA1484" s="47" t="e">
        <f ca="1">_xlfn.XLOOKUP(PAA_4[[#This Row],[ITEM]],[2]Contrato!A:A,[2]Contrato!T:T,"",0)</f>
        <v>#NAME?</v>
      </c>
      <c r="AB1484" s="55" t="e">
        <f ca="1">+MAX(PAA_4[[#This Row],[Comprometido Contrato]],PAA_4[[#This Row],[Comprometido Bolsa]])</f>
        <v>#NAME?</v>
      </c>
      <c r="AC1484" s="55" t="str">
        <f ca="1">IFERROR(I1484-AB1484,"")</f>
        <v/>
      </c>
      <c r="AD1484" s="55" t="e">
        <f ca="1">IF(PAA_4[[#This Row],[ESTADO (formulado)]]="NO CONTRATADO",0,MAX(PAA_4[[#This Row],[Pago por Contrato]],PAA_4[[#This Row],[Pago por bolsa]]))</f>
        <v>#NAME?</v>
      </c>
      <c r="AE1484" s="55" t="str">
        <f ca="1">+IFERROR(AB1484-AD1484,"")</f>
        <v/>
      </c>
      <c r="AF1484" s="47" t="e">
        <f ca="1">+CONCATENATE(AA1484,N1484)</f>
        <v>#NAME?</v>
      </c>
      <c r="AG1484" s="47">
        <f>IFERROR(_xlfn.NUMBERVALUE(MID(G1484,1,8)),"")</f>
        <v>44021011</v>
      </c>
      <c r="AH1484" s="54">
        <f>IF(Q1484="22",IF(ISNUMBER(SEARCH("econ",PAA_4[[#This Row],[Actividad3]])),"Económico",IF(ISNUMBER(SEARCH("alim",PAA_4[[#This Row],[Actividad3]])),"Alimentación",IF(ISNUMBER(SEARCH("educ",PAA_4[[#This Row],[Actividad3]])),"Educativo","Técnico"))),0)</f>
        <v>0</v>
      </c>
      <c r="AI1484" s="47" t="e" cm="1">
        <f t="array" aca="1" ref="AI1484" ca="1">_xlfn.XLOOKUP(PAA_4[[#This Row],[RCP-RUBRO]],[2]!COMPROMISOS_2024[[#All],[concatenado]],[2]!COMPROMISOS_2024[[#All],[Total pagado]],"",0)</f>
        <v>#NAME?</v>
      </c>
      <c r="AJ1484" s="56">
        <f>IF(PAA_4[[#This Row],[BOLSA]]=0,0,SUMIFS([2]!COMPROMISOS_2024[[#All],[Total pagado]],[2]!COMPROMISOS_2024[[#All],[Bolsa]],PAA_4[[#This Row],[BOLSA]],[2]!COMPROMISOS_2024[[#All],[rubro]],PAA_4[[#This Row],[RCP-RUBRO]]))</f>
        <v>0</v>
      </c>
      <c r="AK1484" s="47" t="e" cm="1">
        <f t="array" aca="1" ref="AK1484" ca="1">_xlfn.XLOOKUP(PAA_4[[#This Row],[RCP-RUBRO]],[2]!COMPROMISOS_2024[[#All],[concatenado]],[2]!COMPROMISOS_2024[[#All],[Total Comprometido]],"",0)</f>
        <v>#NAME?</v>
      </c>
      <c r="AL1484" s="47">
        <f>IF(PAA_4[[#This Row],[BOLSA]]=0,0,SUMIFS([2]!COMPROMISOS_2024[[#All],[Total Comprometido]],[2]!COMPROMISOS_2024[[#All],[Bolsa]],PAA_4[[#This Row],[BOLSA]],[2]!COMPROMISOS_2024[[#All],[concatenado]],PAA_4[[#This Row],[RCP-RUBRO]]))</f>
        <v>0</v>
      </c>
    </row>
    <row r="1485" spans="1:38" s="19" customFormat="1" ht="31.5" customHeight="1">
      <c r="A1485" s="47">
        <v>552</v>
      </c>
      <c r="B1485" s="47">
        <v>80111600</v>
      </c>
      <c r="C1485" s="47" t="str">
        <f>VLOOKUP(PAA_4[[#This Row],[PROYECTO (formulado)2]],[2]PROYECTOS!$G$1:$L$32,6,0)</f>
        <v>SUBGERENCIA DE FOMENTO Y DESARROLLO</v>
      </c>
      <c r="D1485" s="47" t="str">
        <f>+IF(PAA_4[[#This Row],[UNIDAD DE CONTRATACION (formulado)]]="Subgerencia Administrativa y Financiera","FUNCIONAMIENTO","INVERSIÓN")</f>
        <v>INVERSIÓN</v>
      </c>
      <c r="E1485" s="48" t="str">
        <f>VLOOKUP(Q1485,[2]PROYECTOS!$G$1:$K$32,5,0)</f>
        <v>FORTALECIMIENTO_DE_LOS_JUEGOS_DEL_SECTOR_EDUCATIVO_EN_ANTIOQUIA</v>
      </c>
      <c r="F1485" s="48">
        <f>VLOOKUP(E1485,[2]PROYECTOS!$K$1:$M$32,3,0)</f>
        <v>2020003050034</v>
      </c>
      <c r="G1485" s="49" t="s">
        <v>340</v>
      </c>
      <c r="H1485" s="49" t="str">
        <f>VLOOKUP(Q1485,[2]PROYECTOS!$V$1:$W$32,2,0)</f>
        <v>050053</v>
      </c>
      <c r="I1485" s="78">
        <f>6819780-3500000</f>
        <v>3319780</v>
      </c>
      <c r="J1485" s="51" t="s">
        <v>442</v>
      </c>
      <c r="K1485" s="47" t="str">
        <f t="shared" ref="K1485:K1532" ca="1" si="524">IF(ISNONTEXT(Y1485)=TRUE,"CONTRATADO","NO CONTRATADO")</f>
        <v>CONTRATADO</v>
      </c>
      <c r="L1485" s="47" t="s">
        <v>94</v>
      </c>
      <c r="M1485" s="47" t="s">
        <v>1297</v>
      </c>
      <c r="N1485" s="52" t="s">
        <v>144</v>
      </c>
      <c r="O1485" s="51" t="e">
        <f>VLOOKUP(N1485,[2]!RUBROS[#All],3,0)</f>
        <v>#REF!</v>
      </c>
      <c r="P1485" s="53" t="e">
        <f>VLOOKUP(N1485,[2]!RUBROS[#All],2,0)</f>
        <v>#REF!</v>
      </c>
      <c r="Q1485" s="47" t="str">
        <f t="shared" ref="Q1485:Q1532" si="525">+MID(N1485,11,2)</f>
        <v>51</v>
      </c>
      <c r="R1485" s="47" t="str">
        <f t="shared" si="511"/>
        <v>0-205128</v>
      </c>
      <c r="S1485" s="54">
        <v>3</v>
      </c>
      <c r="T1485" s="59" t="s">
        <v>46</v>
      </c>
      <c r="U1485" s="326" t="e">
        <f ca="1">_xlfn.XLOOKUP(PAA_4[[#This Row],[ITEM]],[2]Contrato!A:A,[2]Contrato!Q:Q,"",0)</f>
        <v>#NAME?</v>
      </c>
      <c r="V1485" s="47" t="s">
        <v>47</v>
      </c>
      <c r="W1485" s="47" t="s">
        <v>91</v>
      </c>
      <c r="X1485" s="47" t="s">
        <v>91</v>
      </c>
      <c r="Y1485" s="55" t="e">
        <f ca="1">_xlfn.XLOOKUP(PAA_4[[#This Row],[ITEM]],[2]Contrato!A:A,[2]Contrato!B:B,"",0)</f>
        <v>#NAME?</v>
      </c>
      <c r="Z1485" s="47" t="e">
        <f ca="1">_xlfn.XLOOKUP(PAA_4[[#This Row],[ITEM]],[2]Contrato!A:A,[2]Contrato!G:G,"",0)</f>
        <v>#NAME?</v>
      </c>
      <c r="AA1485" s="47" t="e">
        <f ca="1">_xlfn.XLOOKUP(PAA_4[[#This Row],[ITEM]],[2]Contrato!A:A,[2]Contrato!T:T,"",0)</f>
        <v>#NAME?</v>
      </c>
      <c r="AB1485" s="55" t="e">
        <f ca="1">+MAX(PAA_4[[#This Row],[Comprometido Contrato]],PAA_4[[#This Row],[Comprometido Bolsa]])</f>
        <v>#NAME?</v>
      </c>
      <c r="AC1485" s="55" t="str">
        <f t="shared" ref="AC1485:AC1532" ca="1" si="526">IFERROR(I1485-AB1485,"")</f>
        <v/>
      </c>
      <c r="AD1485" s="55" t="e">
        <f ca="1">IF(PAA_4[[#This Row],[ESTADO (formulado)]]="NO CONTRATADO",0,MAX(PAA_4[[#This Row],[Pago por Contrato]],PAA_4[[#This Row],[Pago por bolsa]]))</f>
        <v>#NAME?</v>
      </c>
      <c r="AE1485" s="55" t="str">
        <f t="shared" ref="AE1485:AE1532" ca="1" si="527">+IFERROR(AB1485-AD1485,"")</f>
        <v/>
      </c>
      <c r="AF1485" s="47" t="e">
        <f t="shared" ref="AF1485:AF1532" ca="1" si="528">+CONCATENATE(AA1485,N1485)</f>
        <v>#NAME?</v>
      </c>
      <c r="AG1485" s="47">
        <f t="shared" ref="AG1485:AG1532" si="529">IFERROR(_xlfn.NUMBERVALUE(MID(G1485,1,8)),"")</f>
        <v>44021011</v>
      </c>
      <c r="AH1485" s="54">
        <f>IF(Q1485="22",IF(ISNUMBER(SEARCH("econ",PAA_4[[#This Row],[Actividad3]])),"Económico",IF(ISNUMBER(SEARCH("alim",PAA_4[[#This Row],[Actividad3]])),"Alimentación",IF(ISNUMBER(SEARCH("educ",PAA_4[[#This Row],[Actividad3]])),"Educativo","Técnico"))),0)</f>
        <v>0</v>
      </c>
      <c r="AI1485" s="47" t="e" cm="1">
        <f t="array" aca="1" ref="AI1485" ca="1">_xlfn.XLOOKUP(PAA_4[[#This Row],[RCP-RUBRO]],[2]!COMPROMISOS_2024[[#All],[concatenado]],[2]!COMPROMISOS_2024[[#All],[Total pagado]],"",0)</f>
        <v>#NAME?</v>
      </c>
      <c r="AJ1485" s="56">
        <f>IF(PAA_4[[#This Row],[BOLSA]]=0,0,SUMIFS([2]!COMPROMISOS_2024[[#All],[Total pagado]],[2]!COMPROMISOS_2024[[#All],[Bolsa]],PAA_4[[#This Row],[BOLSA]],[2]!COMPROMISOS_2024[[#All],[rubro]],PAA_4[[#This Row],[RCP-RUBRO]]))</f>
        <v>0</v>
      </c>
      <c r="AK1485" s="47" t="e" cm="1">
        <f t="array" aca="1" ref="AK1485" ca="1">_xlfn.XLOOKUP(PAA_4[[#This Row],[RCP-RUBRO]],[2]!COMPROMISOS_2024[[#All],[concatenado]],[2]!COMPROMISOS_2024[[#All],[Total Comprometido]],"",0)</f>
        <v>#NAME?</v>
      </c>
      <c r="AL1485" s="47">
        <f>IF(PAA_4[[#This Row],[BOLSA]]=0,0,SUMIFS([2]!COMPROMISOS_2024[[#All],[Total Comprometido]],[2]!COMPROMISOS_2024[[#All],[Bolsa]],PAA_4[[#This Row],[BOLSA]],[2]!COMPROMISOS_2024[[#All],[concatenado]],PAA_4[[#This Row],[RCP-RUBRO]]))</f>
        <v>0</v>
      </c>
    </row>
    <row r="1486" spans="1:38" s="19" customFormat="1" ht="31.5" customHeight="1">
      <c r="A1486" s="47" t="s">
        <v>82</v>
      </c>
      <c r="B1486" s="47">
        <v>80141607</v>
      </c>
      <c r="C1486" s="47" t="str">
        <f>VLOOKUP(PAA_4[[#This Row],[PROYECTO (formulado)2]],[2]PROYECTOS!$G$1:$L$32,6,0)</f>
        <v>SUBGERENCIA DE FOMENTO Y DESARROLLO</v>
      </c>
      <c r="D1486" s="47" t="str">
        <f>+IF(PAA_4[[#This Row],[UNIDAD DE CONTRATACION (formulado)]]="Subgerencia Administrativa y Financiera","FUNCIONAMIENTO","INVERSIÓN")</f>
        <v>INVERSIÓN</v>
      </c>
      <c r="E1486" s="48" t="str">
        <f>VLOOKUP(Q1486,[2]PROYECTOS!$G$1:$K$32,5,0)</f>
        <v>FORTALECIMIENTO_DEL_PROGRAMA_POR_SU_SALUD_MUÉVASE_PUES_EN_LOS_MUNICIPIO_DEL_DEPARTAMENTO_DE_ANTIOQUIA</v>
      </c>
      <c r="F1486" s="48">
        <f>VLOOKUP(E1486,[2]PROYECTOS!$K$1:$M$32,3,0)</f>
        <v>2020003050030</v>
      </c>
      <c r="G1486" s="49" t="s">
        <v>350</v>
      </c>
      <c r="H1486" s="49" t="str">
        <f>VLOOKUP(Q1486,[2]PROYECTOS!$V$1:$W$32,2,0)</f>
        <v>050055</v>
      </c>
      <c r="I1486" s="78">
        <v>0</v>
      </c>
      <c r="J1486" s="51" t="s">
        <v>443</v>
      </c>
      <c r="K1486" s="47" t="str">
        <f t="shared" ca="1" si="524"/>
        <v>CONTRATADO</v>
      </c>
      <c r="L1486" s="47" t="s">
        <v>94</v>
      </c>
      <c r="M1486" s="47" t="s">
        <v>89</v>
      </c>
      <c r="N1486" s="52" t="s">
        <v>444</v>
      </c>
      <c r="O1486" s="51" t="e">
        <f>VLOOKUP(N1486,[2]!RUBROS[#All],3,0)</f>
        <v>#REF!</v>
      </c>
      <c r="P1486" s="53" t="e">
        <f>VLOOKUP(N1486,[2]!RUBROS[#All],2,0)</f>
        <v>#REF!</v>
      </c>
      <c r="Q1486" s="47" t="str">
        <f t="shared" si="525"/>
        <v>45</v>
      </c>
      <c r="R1486" s="47" t="str">
        <f t="shared" si="511"/>
        <v>4-205128</v>
      </c>
      <c r="S1486" s="339">
        <v>7</v>
      </c>
      <c r="T1486" s="59" t="s">
        <v>46</v>
      </c>
      <c r="U1486" s="326" t="e">
        <f ca="1">_xlfn.XLOOKUP(PAA_4[[#This Row],[ITEM]],[2]Contrato!A:A,[2]Contrato!Q:Q,"",0)</f>
        <v>#NAME?</v>
      </c>
      <c r="V1486" s="47" t="s">
        <v>47</v>
      </c>
      <c r="W1486" s="47" t="s">
        <v>154</v>
      </c>
      <c r="X1486" s="47" t="s">
        <v>154</v>
      </c>
      <c r="Y1486" s="55" t="e">
        <f ca="1">_xlfn.XLOOKUP(PAA_4[[#This Row],[ITEM]],[2]Contrato!A:A,[2]Contrato!B:B,"",0)</f>
        <v>#NAME?</v>
      </c>
      <c r="Z1486" s="47" t="e">
        <f ca="1">_xlfn.XLOOKUP(PAA_4[[#This Row],[ITEM]],[2]Contrato!A:A,[2]Contrato!G:G,"",0)</f>
        <v>#NAME?</v>
      </c>
      <c r="AA1486" s="47" t="e">
        <f ca="1">_xlfn.XLOOKUP(PAA_4[[#This Row],[ITEM]],[2]Contrato!A:A,[2]Contrato!T:T,"",0)</f>
        <v>#NAME?</v>
      </c>
      <c r="AB1486" s="55" t="e">
        <f ca="1">+MAX(PAA_4[[#This Row],[Comprometido Contrato]],PAA_4[[#This Row],[Comprometido Bolsa]])</f>
        <v>#NAME?</v>
      </c>
      <c r="AC1486" s="55" t="str">
        <f t="shared" ca="1" si="526"/>
        <v/>
      </c>
      <c r="AD1486" s="55" t="e">
        <f ca="1">IF(PAA_4[[#This Row],[ESTADO (formulado)]]="NO CONTRATADO",0,MAX(PAA_4[[#This Row],[Pago por Contrato]],PAA_4[[#This Row],[Pago por bolsa]]))</f>
        <v>#NAME?</v>
      </c>
      <c r="AE1486" s="55" t="str">
        <f t="shared" ca="1" si="527"/>
        <v/>
      </c>
      <c r="AF1486" s="47" t="e">
        <f t="shared" ca="1" si="528"/>
        <v>#NAME?</v>
      </c>
      <c r="AG1486" s="47">
        <f t="shared" si="529"/>
        <v>44021001</v>
      </c>
      <c r="AH1486" s="54">
        <f>IF(Q1486="22",IF(ISNUMBER(SEARCH("econ",PAA_4[[#This Row],[Actividad3]])),"Económico",IF(ISNUMBER(SEARCH("alim",PAA_4[[#This Row],[Actividad3]])),"Alimentación",IF(ISNUMBER(SEARCH("educ",PAA_4[[#This Row],[Actividad3]])),"Educativo","Técnico"))),0)</f>
        <v>0</v>
      </c>
      <c r="AI1486" s="47" t="e" cm="1">
        <f t="array" aca="1" ref="AI1486" ca="1">_xlfn.XLOOKUP(PAA_4[[#This Row],[RCP-RUBRO]],[2]!COMPROMISOS_2024[[#All],[concatenado]],[2]!COMPROMISOS_2024[[#All],[Total pagado]],"",0)</f>
        <v>#NAME?</v>
      </c>
      <c r="AJ1486" s="56">
        <f>IF(PAA_4[[#This Row],[BOLSA]]=0,0,SUMIFS([2]!COMPROMISOS_2024[[#All],[Total pagado]],[2]!COMPROMISOS_2024[[#All],[Bolsa]],PAA_4[[#This Row],[BOLSA]],[2]!COMPROMISOS_2024[[#All],[rubro]],PAA_4[[#This Row],[RCP-RUBRO]]))</f>
        <v>0</v>
      </c>
      <c r="AK1486" s="47" t="e" cm="1">
        <f t="array" aca="1" ref="AK1486" ca="1">_xlfn.XLOOKUP(PAA_4[[#This Row],[RCP-RUBRO]],[2]!COMPROMISOS_2024[[#All],[concatenado]],[2]!COMPROMISOS_2024[[#All],[Total Comprometido]],"",0)</f>
        <v>#NAME?</v>
      </c>
      <c r="AL1486" s="47">
        <f>IF(PAA_4[[#This Row],[BOLSA]]=0,0,SUMIFS([2]!COMPROMISOS_2024[[#All],[Total Comprometido]],[2]!COMPROMISOS_2024[[#All],[Bolsa]],PAA_4[[#This Row],[BOLSA]],[2]!COMPROMISOS_2024[[#All],[concatenado]],PAA_4[[#This Row],[RCP-RUBRO]]))</f>
        <v>0</v>
      </c>
    </row>
    <row r="1487" spans="1:38" s="19" customFormat="1" ht="31.5" customHeight="1">
      <c r="A1487" s="47">
        <v>497</v>
      </c>
      <c r="B1487" s="47">
        <v>80111600</v>
      </c>
      <c r="C1487" s="47" t="str">
        <f>VLOOKUP(PAA_4[[#This Row],[PROYECTO (formulado)2]],[2]PROYECTOS!$G$1:$L$32,6,0)</f>
        <v>SUBGERENCIA DE FOMENTO Y DESARROLLO</v>
      </c>
      <c r="D1487" s="47" t="str">
        <f>+IF(PAA_4[[#This Row],[UNIDAD DE CONTRATACION (formulado)]]="Subgerencia Administrativa y Financiera","FUNCIONAMIENTO","INVERSIÓN")</f>
        <v>INVERSIÓN</v>
      </c>
      <c r="E1487" s="48" t="str">
        <f>VLOOKUP(Q1487,[2]PROYECTOS!$G$1:$K$32,5,0)</f>
        <v>CAPACITACION_PARA_EL_SECTOR_DEL_DEPORTE_LA_ACTIVIDAD_FISICA_LA_RECREACION_Y_LA_EDUCACION_FISICA_DE_ANTI</v>
      </c>
      <c r="F1487" s="48">
        <f>VLOOKUP(E1487,[2]PROYECTOS!$K$1:$M$32,3,0)</f>
        <v>2020003050024</v>
      </c>
      <c r="G1487" s="49" t="s">
        <v>337</v>
      </c>
      <c r="H1487" s="49" t="str">
        <f>VLOOKUP(Q1487,[2]PROYECTOS!$V$1:$W$32,2,0)</f>
        <v>050063</v>
      </c>
      <c r="I1487" s="50">
        <v>0</v>
      </c>
      <c r="J1487" s="51" t="s">
        <v>1901</v>
      </c>
      <c r="K1487" s="47" t="str">
        <f t="shared" ca="1" si="524"/>
        <v>CONTRATADO</v>
      </c>
      <c r="L1487" s="47" t="s">
        <v>94</v>
      </c>
      <c r="M1487" s="47" t="s">
        <v>1297</v>
      </c>
      <c r="N1487" s="52" t="s">
        <v>349</v>
      </c>
      <c r="O1487" s="51" t="e">
        <f>VLOOKUP(N1487,[2]!RUBROS[#All],3,0)</f>
        <v>#REF!</v>
      </c>
      <c r="P1487" s="53" t="e">
        <f>VLOOKUP(N1487,[2]!RUBROS[#All],2,0)</f>
        <v>#REF!</v>
      </c>
      <c r="Q1487" s="47" t="str">
        <f t="shared" si="525"/>
        <v>48</v>
      </c>
      <c r="R1487" s="47" t="str">
        <f t="shared" si="511"/>
        <v>0-205128</v>
      </c>
      <c r="S1487" s="54">
        <v>12</v>
      </c>
      <c r="T1487" s="59" t="s">
        <v>46</v>
      </c>
      <c r="U1487" s="326" t="e">
        <f ca="1">_xlfn.XLOOKUP(PAA_4[[#This Row],[ITEM]],[2]Contrato!A:A,[2]Contrato!Q:Q,"",0)</f>
        <v>#NAME?</v>
      </c>
      <c r="V1487" s="47" t="s">
        <v>47</v>
      </c>
      <c r="W1487" s="47" t="s">
        <v>83</v>
      </c>
      <c r="X1487" s="47" t="s">
        <v>83</v>
      </c>
      <c r="Y1487" s="55" t="e">
        <f ca="1">_xlfn.XLOOKUP(PAA_4[[#This Row],[ITEM]],[2]Contrato!A:A,[2]Contrato!B:B,"",0)</f>
        <v>#NAME?</v>
      </c>
      <c r="Z1487" s="47" t="e">
        <f ca="1">_xlfn.XLOOKUP(PAA_4[[#This Row],[ITEM]],[2]Contrato!A:A,[2]Contrato!G:G,"",0)</f>
        <v>#NAME?</v>
      </c>
      <c r="AA1487" s="47" t="e">
        <f ca="1">_xlfn.XLOOKUP(PAA_4[[#This Row],[ITEM]],[2]Contrato!A:A,[2]Contrato!T:T,"",0)</f>
        <v>#NAME?</v>
      </c>
      <c r="AB1487" s="55" t="e">
        <f ca="1">+MAX(PAA_4[[#This Row],[Comprometido Contrato]],PAA_4[[#This Row],[Comprometido Bolsa]])</f>
        <v>#NAME?</v>
      </c>
      <c r="AC1487" s="55" t="str">
        <f t="shared" ca="1" si="526"/>
        <v/>
      </c>
      <c r="AD1487" s="55" t="e">
        <f ca="1">IF(PAA_4[[#This Row],[ESTADO (formulado)]]="NO CONTRATADO",0,MAX(PAA_4[[#This Row],[Pago por Contrato]],PAA_4[[#This Row],[Pago por bolsa]]))</f>
        <v>#NAME?</v>
      </c>
      <c r="AE1487" s="55" t="str">
        <f t="shared" ca="1" si="527"/>
        <v/>
      </c>
      <c r="AF1487" s="47" t="e">
        <f t="shared" ca="1" si="528"/>
        <v>#NAME?</v>
      </c>
      <c r="AG1487" s="47">
        <f t="shared" si="529"/>
        <v>41080201</v>
      </c>
      <c r="AH1487" s="54">
        <f>IF(Q1487="22",IF(ISNUMBER(SEARCH("econ",PAA_4[[#This Row],[Actividad3]])),"Económico",IF(ISNUMBER(SEARCH("alim",PAA_4[[#This Row],[Actividad3]])),"Alimentación",IF(ISNUMBER(SEARCH("educ",PAA_4[[#This Row],[Actividad3]])),"Educativo","Técnico"))),0)</f>
        <v>0</v>
      </c>
      <c r="AI1487" s="47" t="e" cm="1">
        <f t="array" aca="1" ref="AI1487" ca="1">_xlfn.XLOOKUP(PAA_4[[#This Row],[RCP-RUBRO]],[2]!COMPROMISOS_2024[[#All],[concatenado]],[2]!COMPROMISOS_2024[[#All],[Total pagado]],"",0)</f>
        <v>#NAME?</v>
      </c>
      <c r="AJ1487" s="56">
        <f>IF(PAA_4[[#This Row],[BOLSA]]=0,0,SUMIFS([2]!COMPROMISOS_2024[[#All],[Total pagado]],[2]!COMPROMISOS_2024[[#All],[Bolsa]],PAA_4[[#This Row],[BOLSA]],[2]!COMPROMISOS_2024[[#All],[rubro]],PAA_4[[#This Row],[RCP-RUBRO]]))</f>
        <v>0</v>
      </c>
      <c r="AK1487" s="47" t="e" cm="1">
        <f t="array" aca="1" ref="AK1487" ca="1">_xlfn.XLOOKUP(PAA_4[[#This Row],[RCP-RUBRO]],[2]!COMPROMISOS_2024[[#All],[concatenado]],[2]!COMPROMISOS_2024[[#All],[Total Comprometido]],"",0)</f>
        <v>#NAME?</v>
      </c>
      <c r="AL1487" s="47">
        <f>IF(PAA_4[[#This Row],[BOLSA]]=0,0,SUMIFS([2]!COMPROMISOS_2024[[#All],[Total Comprometido]],[2]!COMPROMISOS_2024[[#All],[Bolsa]],PAA_4[[#This Row],[BOLSA]],[2]!COMPROMISOS_2024[[#All],[concatenado]],PAA_4[[#This Row],[RCP-RUBRO]]))</f>
        <v>0</v>
      </c>
    </row>
    <row r="1488" spans="1:38" s="19" customFormat="1" ht="31.5" customHeight="1">
      <c r="A1488" s="47" t="s">
        <v>82</v>
      </c>
      <c r="B1488" s="47">
        <v>80141607</v>
      </c>
      <c r="C1488" s="47" t="str">
        <f>VLOOKUP(PAA_4[[#This Row],[PROYECTO (formulado)2]],[2]PROYECTOS!$G$1:$L$32,6,0)</f>
        <v>SUBGERENCIA DE FOMENTO Y DESARROLLO</v>
      </c>
      <c r="D1488" s="47" t="str">
        <f>+IF(PAA_4[[#This Row],[UNIDAD DE CONTRATACION (formulado)]]="Subgerencia Administrativa y Financiera","FUNCIONAMIENTO","INVERSIÓN")</f>
        <v>INVERSIÓN</v>
      </c>
      <c r="E1488" s="48" t="str">
        <f>VLOOKUP(Q1488,[2]PROYECTOS!$G$1:$K$32,5,0)</f>
        <v>FORTALECIMIENTO_DE_LOS_JUEGOS_DEL_SECTOR_EDUCATIVO_EN_ANTIOQUIA</v>
      </c>
      <c r="F1488" s="48">
        <f>VLOOKUP(E1488,[2]PROYECTOS!$K$1:$M$32,3,0)</f>
        <v>2020003050034</v>
      </c>
      <c r="G1488" s="49" t="s">
        <v>412</v>
      </c>
      <c r="H1488" s="49" t="str">
        <f>VLOOKUP(Q1488,[2]PROYECTOS!$V$1:$W$32,2,0)</f>
        <v>050053</v>
      </c>
      <c r="I1488" s="78">
        <v>0</v>
      </c>
      <c r="J1488" s="74" t="s">
        <v>42</v>
      </c>
      <c r="K1488" s="47" t="str">
        <f t="shared" ca="1" si="524"/>
        <v>CONTRATADO</v>
      </c>
      <c r="L1488" s="47" t="s">
        <v>94</v>
      </c>
      <c r="M1488" s="47" t="s">
        <v>89</v>
      </c>
      <c r="N1488" s="52" t="s">
        <v>445</v>
      </c>
      <c r="O1488" s="51" t="e">
        <f>VLOOKUP(N1488,[2]!RUBROS[#All],3,0)</f>
        <v>#REF!</v>
      </c>
      <c r="P1488" s="53" t="e">
        <f>VLOOKUP(N1488,[2]!RUBROS[#All],2,0)</f>
        <v>#REF!</v>
      </c>
      <c r="Q1488" s="47" t="str">
        <f t="shared" si="525"/>
        <v>51</v>
      </c>
      <c r="R1488" s="47" t="str">
        <f t="shared" si="511"/>
        <v>4-205400</v>
      </c>
      <c r="S1488" s="54">
        <v>6.5</v>
      </c>
      <c r="T1488" s="59" t="s">
        <v>46</v>
      </c>
      <c r="U1488" s="326" t="e">
        <f ca="1">_xlfn.XLOOKUP(PAA_4[[#This Row],[ITEM]],[2]Contrato!A:A,[2]Contrato!Q:Q,"",0)</f>
        <v>#NAME?</v>
      </c>
      <c r="V1488" s="47" t="s">
        <v>47</v>
      </c>
      <c r="W1488" s="47" t="s">
        <v>154</v>
      </c>
      <c r="X1488" s="47" t="s">
        <v>154</v>
      </c>
      <c r="Y1488" s="55" t="e">
        <f ca="1">_xlfn.XLOOKUP(PAA_4[[#This Row],[ITEM]],[2]Contrato!A:A,[2]Contrato!B:B,"",0)</f>
        <v>#NAME?</v>
      </c>
      <c r="Z1488" s="47" t="e">
        <f ca="1">_xlfn.XLOOKUP(PAA_4[[#This Row],[ITEM]],[2]Contrato!A:A,[2]Contrato!G:G,"",0)</f>
        <v>#NAME?</v>
      </c>
      <c r="AA1488" s="47" t="e">
        <f ca="1">_xlfn.XLOOKUP(PAA_4[[#This Row],[ITEM]],[2]Contrato!A:A,[2]Contrato!T:T,"",0)</f>
        <v>#NAME?</v>
      </c>
      <c r="AB1488" s="55" t="e">
        <f ca="1">+MAX(PAA_4[[#This Row],[Comprometido Contrato]],PAA_4[[#This Row],[Comprometido Bolsa]])</f>
        <v>#NAME?</v>
      </c>
      <c r="AC1488" s="55" t="str">
        <f t="shared" ca="1" si="526"/>
        <v/>
      </c>
      <c r="AD1488" s="55" t="e">
        <f ca="1">IF(PAA_4[[#This Row],[ESTADO (formulado)]]="NO CONTRATADO",0,MAX(PAA_4[[#This Row],[Pago por Contrato]],PAA_4[[#This Row],[Pago por bolsa]]))</f>
        <v>#NAME?</v>
      </c>
      <c r="AE1488" s="55" t="str">
        <f t="shared" ca="1" si="527"/>
        <v/>
      </c>
      <c r="AF1488" s="47" t="e">
        <f t="shared" ca="1" si="528"/>
        <v>#NAME?</v>
      </c>
      <c r="AG1488" s="47">
        <f t="shared" si="529"/>
        <v>44021011</v>
      </c>
      <c r="AH1488" s="54">
        <f>IF(Q1488="22",IF(ISNUMBER(SEARCH("econ",PAA_4[[#This Row],[Actividad3]])),"Económico",IF(ISNUMBER(SEARCH("alim",PAA_4[[#This Row],[Actividad3]])),"Alimentación",IF(ISNUMBER(SEARCH("educ",PAA_4[[#This Row],[Actividad3]])),"Educativo","Técnico"))),0)</f>
        <v>0</v>
      </c>
      <c r="AI1488" s="47" t="e" cm="1">
        <f t="array" aca="1" ref="AI1488" ca="1">_xlfn.XLOOKUP(PAA_4[[#This Row],[RCP-RUBRO]],[2]!COMPROMISOS_2024[[#All],[concatenado]],[2]!COMPROMISOS_2024[[#All],[Total pagado]],"",0)</f>
        <v>#NAME?</v>
      </c>
      <c r="AJ1488" s="56">
        <f>IF(PAA_4[[#This Row],[BOLSA]]=0,0,SUMIFS([2]!COMPROMISOS_2024[[#All],[Total pagado]],[2]!COMPROMISOS_2024[[#All],[Bolsa]],PAA_4[[#This Row],[BOLSA]],[2]!COMPROMISOS_2024[[#All],[rubro]],PAA_4[[#This Row],[RCP-RUBRO]]))</f>
        <v>0</v>
      </c>
      <c r="AK1488" s="47" t="e" cm="1">
        <f t="array" aca="1" ref="AK1488" ca="1">_xlfn.XLOOKUP(PAA_4[[#This Row],[RCP-RUBRO]],[2]!COMPROMISOS_2024[[#All],[concatenado]],[2]!COMPROMISOS_2024[[#All],[Total Comprometido]],"",0)</f>
        <v>#NAME?</v>
      </c>
      <c r="AL1488" s="47">
        <f>IF(PAA_4[[#This Row],[BOLSA]]=0,0,SUMIFS([2]!COMPROMISOS_2024[[#All],[Total Comprometido]],[2]!COMPROMISOS_2024[[#All],[Bolsa]],PAA_4[[#This Row],[BOLSA]],[2]!COMPROMISOS_2024[[#All],[concatenado]],PAA_4[[#This Row],[RCP-RUBRO]]))</f>
        <v>0</v>
      </c>
    </row>
    <row r="1489" spans="1:38" s="19" customFormat="1" ht="31.5" customHeight="1">
      <c r="A1489" s="47">
        <v>846</v>
      </c>
      <c r="B1489" s="47" t="s">
        <v>42</v>
      </c>
      <c r="C1489" s="47" t="str">
        <f>VLOOKUP(PAA_4[[#This Row],[PROYECTO (formulado)2]],[2]PROYECTOS!$G$1:$L$32,6,0)</f>
        <v>SUBGERENCIA DE FOMENTO Y DESARROLLO</v>
      </c>
      <c r="D1489" s="47" t="str">
        <f>+IF(PAA_4[[#This Row],[UNIDAD DE CONTRATACION (formulado)]]="Subgerencia Administrativa y Financiera","FUNCIONAMIENTO","INVERSIÓN")</f>
        <v>INVERSIÓN</v>
      </c>
      <c r="E1489" s="48" t="str">
        <f>VLOOKUP(Q1489,[2]PROYECTOS!$G$1:$K$32,5,0)</f>
        <v>FORTALECIMIENTO_DE_LOS_JUEGOS_DEL_SECTOR_EDUCATIVO_EN_ANTIOQUIA</v>
      </c>
      <c r="F1489" s="48">
        <f>VLOOKUP(E1489,[2]PROYECTOS!$K$1:$M$32,3,0)</f>
        <v>2020003050034</v>
      </c>
      <c r="G1489" s="49" t="s">
        <v>413</v>
      </c>
      <c r="H1489" s="49" t="str">
        <f>VLOOKUP(Q1489,[2]PROYECTOS!$V$1:$W$32,2,0)</f>
        <v>050053</v>
      </c>
      <c r="I1489" s="78">
        <v>0</v>
      </c>
      <c r="J1489" s="51" t="s">
        <v>42</v>
      </c>
      <c r="K1489" s="47" t="str">
        <f t="shared" ca="1" si="524"/>
        <v>CONTRATADO</v>
      </c>
      <c r="L1489" s="47" t="s">
        <v>94</v>
      </c>
      <c r="M1489" s="47" t="s">
        <v>255</v>
      </c>
      <c r="N1489" s="52" t="s">
        <v>445</v>
      </c>
      <c r="O1489" s="51" t="e">
        <f>VLOOKUP(N1489,[2]!RUBROS[#All],3,0)</f>
        <v>#REF!</v>
      </c>
      <c r="P1489" s="53" t="e">
        <f>VLOOKUP(N1489,[2]!RUBROS[#All],2,0)</f>
        <v>#REF!</v>
      </c>
      <c r="Q1489" s="47" t="str">
        <f t="shared" si="525"/>
        <v>51</v>
      </c>
      <c r="R1489" s="47" t="str">
        <f t="shared" si="511"/>
        <v>4-205400</v>
      </c>
      <c r="S1489" s="339">
        <v>5.5</v>
      </c>
      <c r="T1489" s="59" t="s">
        <v>46</v>
      </c>
      <c r="U1489" s="326" t="e">
        <f ca="1">_xlfn.XLOOKUP(PAA_4[[#This Row],[ITEM]],[2]Contrato!A:A,[2]Contrato!Q:Q,"",0)</f>
        <v>#NAME?</v>
      </c>
      <c r="V1489" s="47" t="s">
        <v>47</v>
      </c>
      <c r="W1489" s="47" t="s">
        <v>193</v>
      </c>
      <c r="X1489" s="47" t="s">
        <v>193</v>
      </c>
      <c r="Y1489" s="55" t="e">
        <f ca="1">_xlfn.XLOOKUP(PAA_4[[#This Row],[ITEM]],[2]Contrato!A:A,[2]Contrato!B:B,"",0)</f>
        <v>#NAME?</v>
      </c>
      <c r="Z1489" s="47" t="e">
        <f ca="1">_xlfn.XLOOKUP(PAA_4[[#This Row],[ITEM]],[2]Contrato!A:A,[2]Contrato!G:G,"",0)</f>
        <v>#NAME?</v>
      </c>
      <c r="AA1489" s="47" t="e">
        <f ca="1">_xlfn.XLOOKUP(PAA_4[[#This Row],[ITEM]],[2]Contrato!A:A,[2]Contrato!T:T,"",0)</f>
        <v>#NAME?</v>
      </c>
      <c r="AB1489" s="55" t="e">
        <f ca="1">+MAX(PAA_4[[#This Row],[Comprometido Contrato]],PAA_4[[#This Row],[Comprometido Bolsa]])</f>
        <v>#NAME?</v>
      </c>
      <c r="AC1489" s="55" t="str">
        <f t="shared" ca="1" si="526"/>
        <v/>
      </c>
      <c r="AD1489" s="55" t="e">
        <f ca="1">IF(PAA_4[[#This Row],[ESTADO (formulado)]]="NO CONTRATADO",0,MAX(PAA_4[[#This Row],[Pago por Contrato]],PAA_4[[#This Row],[Pago por bolsa]]))</f>
        <v>#NAME?</v>
      </c>
      <c r="AE1489" s="55" t="str">
        <f t="shared" ca="1" si="527"/>
        <v/>
      </c>
      <c r="AF1489" s="47" t="e">
        <f t="shared" ca="1" si="528"/>
        <v>#NAME?</v>
      </c>
      <c r="AG1489" s="47">
        <f t="shared" si="529"/>
        <v>44021011</v>
      </c>
      <c r="AH1489" s="54">
        <f>IF(Q1489="22",IF(ISNUMBER(SEARCH("econ",PAA_4[[#This Row],[Actividad3]])),"Económico",IF(ISNUMBER(SEARCH("alim",PAA_4[[#This Row],[Actividad3]])),"Alimentación",IF(ISNUMBER(SEARCH("educ",PAA_4[[#This Row],[Actividad3]])),"Educativo","Técnico"))),0)</f>
        <v>0</v>
      </c>
      <c r="AI1489" s="47" t="e" cm="1">
        <f t="array" aca="1" ref="AI1489" ca="1">_xlfn.XLOOKUP(PAA_4[[#This Row],[RCP-RUBRO]],[2]!COMPROMISOS_2024[[#All],[concatenado]],[2]!COMPROMISOS_2024[[#All],[Total pagado]],"",0)</f>
        <v>#NAME?</v>
      </c>
      <c r="AJ1489" s="56">
        <f>IF(PAA_4[[#This Row],[BOLSA]]=0,0,SUMIFS([2]!COMPROMISOS_2024[[#All],[Total pagado]],[2]!COMPROMISOS_2024[[#All],[Bolsa]],PAA_4[[#This Row],[BOLSA]],[2]!COMPROMISOS_2024[[#All],[rubro]],PAA_4[[#This Row],[RCP-RUBRO]]))</f>
        <v>0</v>
      </c>
      <c r="AK1489" s="47" t="e" cm="1">
        <f t="array" aca="1" ref="AK1489" ca="1">_xlfn.XLOOKUP(PAA_4[[#This Row],[RCP-RUBRO]],[2]!COMPROMISOS_2024[[#All],[concatenado]],[2]!COMPROMISOS_2024[[#All],[Total Comprometido]],"",0)</f>
        <v>#NAME?</v>
      </c>
      <c r="AL1489" s="47">
        <f>IF(PAA_4[[#This Row],[BOLSA]]=0,0,SUMIFS([2]!COMPROMISOS_2024[[#All],[Total Comprometido]],[2]!COMPROMISOS_2024[[#All],[Bolsa]],PAA_4[[#This Row],[BOLSA]],[2]!COMPROMISOS_2024[[#All],[concatenado]],PAA_4[[#This Row],[RCP-RUBRO]]))</f>
        <v>0</v>
      </c>
    </row>
    <row r="1490" spans="1:38" s="19" customFormat="1" ht="31.5" customHeight="1">
      <c r="A1490" s="47" t="s">
        <v>82</v>
      </c>
      <c r="B1490" s="47" t="s">
        <v>42</v>
      </c>
      <c r="C1490" s="47" t="str">
        <f>VLOOKUP(PAA_4[[#This Row],[PROYECTO (formulado)2]],[2]PROYECTOS!$G$1:$L$32,6,0)</f>
        <v>SUBGERENCIA DE FOMENTO Y DESARROLLO</v>
      </c>
      <c r="D1490" s="47" t="str">
        <f>+IF(PAA_4[[#This Row],[UNIDAD DE CONTRATACION (formulado)]]="Subgerencia Administrativa y Financiera","FUNCIONAMIENTO","INVERSIÓN")</f>
        <v>INVERSIÓN</v>
      </c>
      <c r="E1490" s="48" t="str">
        <f>VLOOKUP(Q1490,[2]PROYECTOS!$G$1:$K$32,5,0)</f>
        <v>FORTALECIMIENTO_DE_LOS_JUEGOS_DEL_SECTOR_EDUCATIVO_EN_ANTIOQUIA</v>
      </c>
      <c r="F1490" s="48">
        <f>VLOOKUP(E1490,[2]PROYECTOS!$K$1:$M$32,3,0)</f>
        <v>2020003050034</v>
      </c>
      <c r="G1490" s="49" t="s">
        <v>413</v>
      </c>
      <c r="H1490" s="49" t="str">
        <f>VLOOKUP(Q1490,[2]PROYECTOS!$V$1:$W$32,2,0)</f>
        <v>050053</v>
      </c>
      <c r="I1490" s="78">
        <v>0</v>
      </c>
      <c r="J1490" s="51" t="s">
        <v>42</v>
      </c>
      <c r="K1490" s="47" t="str">
        <f t="shared" ca="1" si="524"/>
        <v>CONTRATADO</v>
      </c>
      <c r="L1490" s="47" t="s">
        <v>42</v>
      </c>
      <c r="M1490" s="47" t="s">
        <v>42</v>
      </c>
      <c r="N1490" s="52" t="s">
        <v>445</v>
      </c>
      <c r="O1490" s="51" t="e">
        <f>VLOOKUP(N1490,[2]!RUBROS[#All],3,0)</f>
        <v>#REF!</v>
      </c>
      <c r="P1490" s="53" t="e">
        <f>VLOOKUP(N1490,[2]!RUBROS[#All],2,0)</f>
        <v>#REF!</v>
      </c>
      <c r="Q1490" s="47" t="str">
        <f t="shared" si="525"/>
        <v>51</v>
      </c>
      <c r="R1490" s="47" t="str">
        <f t="shared" si="511"/>
        <v>4-205400</v>
      </c>
      <c r="S1490" s="54" t="s">
        <v>42</v>
      </c>
      <c r="T1490" s="59" t="s">
        <v>42</v>
      </c>
      <c r="U1490" s="326" t="e">
        <f ca="1">_xlfn.XLOOKUP(PAA_4[[#This Row],[ITEM]],[2]Contrato!A:A,[2]Contrato!Q:Q,"",0)</f>
        <v>#NAME?</v>
      </c>
      <c r="V1490" s="47" t="s">
        <v>95</v>
      </c>
      <c r="W1490" s="47" t="s">
        <v>42</v>
      </c>
      <c r="X1490" s="47" t="s">
        <v>42</v>
      </c>
      <c r="Y1490" s="55" t="e">
        <f ca="1">_xlfn.XLOOKUP(PAA_4[[#This Row],[ITEM]],[2]Contrato!A:A,[2]Contrato!B:B,"",0)</f>
        <v>#NAME?</v>
      </c>
      <c r="Z1490" s="47" t="e">
        <f ca="1">_xlfn.XLOOKUP(PAA_4[[#This Row],[ITEM]],[2]Contrato!A:A,[2]Contrato!G:G,"",0)</f>
        <v>#NAME?</v>
      </c>
      <c r="AA1490" s="47" t="e">
        <f ca="1">_xlfn.XLOOKUP(PAA_4[[#This Row],[ITEM]],[2]Contrato!A:A,[2]Contrato!T:T,"",0)</f>
        <v>#NAME?</v>
      </c>
      <c r="AB1490" s="55" t="e">
        <f ca="1">+MAX(PAA_4[[#This Row],[Comprometido Contrato]],PAA_4[[#This Row],[Comprometido Bolsa]])</f>
        <v>#NAME?</v>
      </c>
      <c r="AC1490" s="55" t="str">
        <f t="shared" ca="1" si="526"/>
        <v/>
      </c>
      <c r="AD1490" s="55" t="e">
        <f ca="1">IF(PAA_4[[#This Row],[ESTADO (formulado)]]="NO CONTRATADO",0,MAX(PAA_4[[#This Row],[Pago por Contrato]],PAA_4[[#This Row],[Pago por bolsa]]))</f>
        <v>#NAME?</v>
      </c>
      <c r="AE1490" s="55" t="str">
        <f t="shared" ca="1" si="527"/>
        <v/>
      </c>
      <c r="AF1490" s="47" t="e">
        <f t="shared" ca="1" si="528"/>
        <v>#NAME?</v>
      </c>
      <c r="AG1490" s="47">
        <f t="shared" si="529"/>
        <v>44021011</v>
      </c>
      <c r="AH1490" s="54">
        <f>IF(Q1490="22",IF(ISNUMBER(SEARCH("econ",PAA_4[[#This Row],[Actividad3]])),"Económico",IF(ISNUMBER(SEARCH("alim",PAA_4[[#This Row],[Actividad3]])),"Alimentación",IF(ISNUMBER(SEARCH("educ",PAA_4[[#This Row],[Actividad3]])),"Educativo","Técnico"))),0)</f>
        <v>0</v>
      </c>
      <c r="AI1490" s="47" t="e" cm="1">
        <f t="array" aca="1" ref="AI1490" ca="1">_xlfn.XLOOKUP(PAA_4[[#This Row],[RCP-RUBRO]],[2]!COMPROMISOS_2024[[#All],[concatenado]],[2]!COMPROMISOS_2024[[#All],[Total pagado]],"",0)</f>
        <v>#NAME?</v>
      </c>
      <c r="AJ1490" s="56">
        <f>IF(PAA_4[[#This Row],[BOLSA]]=0,0,SUMIFS([2]!COMPROMISOS_2024[[#All],[Total pagado]],[2]!COMPROMISOS_2024[[#All],[Bolsa]],PAA_4[[#This Row],[BOLSA]],[2]!COMPROMISOS_2024[[#All],[rubro]],PAA_4[[#This Row],[RCP-RUBRO]]))</f>
        <v>0</v>
      </c>
      <c r="AK1490" s="47" t="e" cm="1">
        <f t="array" aca="1" ref="AK1490" ca="1">_xlfn.XLOOKUP(PAA_4[[#This Row],[RCP-RUBRO]],[2]!COMPROMISOS_2024[[#All],[concatenado]],[2]!COMPROMISOS_2024[[#All],[Total Comprometido]],"",0)</f>
        <v>#NAME?</v>
      </c>
      <c r="AL1490" s="47">
        <f>IF(PAA_4[[#This Row],[BOLSA]]=0,0,SUMIFS([2]!COMPROMISOS_2024[[#All],[Total Comprometido]],[2]!COMPROMISOS_2024[[#All],[Bolsa]],PAA_4[[#This Row],[BOLSA]],[2]!COMPROMISOS_2024[[#All],[concatenado]],PAA_4[[#This Row],[RCP-RUBRO]]))</f>
        <v>0</v>
      </c>
    </row>
    <row r="1491" spans="1:38" s="19" customFormat="1" ht="31.5" customHeight="1">
      <c r="A1491" s="47">
        <v>847</v>
      </c>
      <c r="B1491" s="47" t="s">
        <v>393</v>
      </c>
      <c r="C1491" s="47" t="str">
        <f>VLOOKUP(PAA_4[[#This Row],[PROYECTO (formulado)2]],[2]PROYECTOS!$G$1:$L$32,6,0)</f>
        <v>SUBGERENCIA DE FOMENTO Y DESARROLLO</v>
      </c>
      <c r="D1491" s="47" t="str">
        <f>+IF(PAA_4[[#This Row],[UNIDAD DE CONTRATACION (formulado)]]="Subgerencia Administrativa y Financiera","FUNCIONAMIENTO","INVERSIÓN")</f>
        <v>INVERSIÓN</v>
      </c>
      <c r="E1491" s="48" t="str">
        <f>VLOOKUP(Q1491,[2]PROYECTOS!$G$1:$K$32,5,0)</f>
        <v>FORTALECIMIENTO_DE_LOS_JUEGOS_DEL_SECTOR_EDUCATIVO_EN_ANTIOQUIA</v>
      </c>
      <c r="F1491" s="48">
        <f>VLOOKUP(E1491,[2]PROYECTOS!$K$1:$M$32,3,0)</f>
        <v>2020003050034</v>
      </c>
      <c r="G1491" s="49" t="s">
        <v>413</v>
      </c>
      <c r="H1491" s="49" t="str">
        <f>VLOOKUP(Q1491,[2]PROYECTOS!$V$1:$W$32,2,0)</f>
        <v>050053</v>
      </c>
      <c r="I1491" s="78">
        <f>208233461-3611190</f>
        <v>204622271</v>
      </c>
      <c r="J1491" s="51" t="s">
        <v>1902</v>
      </c>
      <c r="K1491" s="47" t="str">
        <f t="shared" ca="1" si="524"/>
        <v>CONTRATADO</v>
      </c>
      <c r="L1491" s="47" t="s">
        <v>94</v>
      </c>
      <c r="M1491" s="47" t="s">
        <v>255</v>
      </c>
      <c r="N1491" s="52" t="s">
        <v>445</v>
      </c>
      <c r="O1491" s="51" t="e">
        <f>VLOOKUP(N1491,[2]!RUBROS[#All],3,0)</f>
        <v>#REF!</v>
      </c>
      <c r="P1491" s="53" t="e">
        <f>VLOOKUP(N1491,[2]!RUBROS[#All],2,0)</f>
        <v>#REF!</v>
      </c>
      <c r="Q1491" s="47" t="str">
        <f t="shared" si="525"/>
        <v>51</v>
      </c>
      <c r="R1491" s="47" t="str">
        <f t="shared" si="511"/>
        <v>4-205400</v>
      </c>
      <c r="S1491" s="339">
        <v>5.5</v>
      </c>
      <c r="T1491" s="59" t="s">
        <v>46</v>
      </c>
      <c r="U1491" s="326" t="e">
        <f ca="1">_xlfn.XLOOKUP(PAA_4[[#This Row],[ITEM]],[2]Contrato!A:A,[2]Contrato!Q:Q,"",0)</f>
        <v>#NAME?</v>
      </c>
      <c r="V1491" s="47" t="s">
        <v>47</v>
      </c>
      <c r="W1491" s="47" t="s">
        <v>193</v>
      </c>
      <c r="X1491" s="47" t="s">
        <v>193</v>
      </c>
      <c r="Y1491" s="55" t="e">
        <f ca="1">_xlfn.XLOOKUP(PAA_4[[#This Row],[ITEM]],[2]Contrato!A:A,[2]Contrato!B:B,"",0)</f>
        <v>#NAME?</v>
      </c>
      <c r="Z1491" s="47" t="e">
        <f ca="1">_xlfn.XLOOKUP(PAA_4[[#This Row],[ITEM]],[2]Contrato!A:A,[2]Contrato!G:G,"",0)</f>
        <v>#NAME?</v>
      </c>
      <c r="AA1491" s="47" t="e">
        <f ca="1">_xlfn.XLOOKUP(PAA_4[[#This Row],[ITEM]],[2]Contrato!A:A,[2]Contrato!T:T,"",0)</f>
        <v>#NAME?</v>
      </c>
      <c r="AB1491" s="55" t="e">
        <f ca="1">+MAX(PAA_4[[#This Row],[Comprometido Contrato]],PAA_4[[#This Row],[Comprometido Bolsa]])</f>
        <v>#NAME?</v>
      </c>
      <c r="AC1491" s="55" t="str">
        <f t="shared" ca="1" si="526"/>
        <v/>
      </c>
      <c r="AD1491" s="55" t="e">
        <f ca="1">IF(PAA_4[[#This Row],[ESTADO (formulado)]]="NO CONTRATADO",0,MAX(PAA_4[[#This Row],[Pago por Contrato]],PAA_4[[#This Row],[Pago por bolsa]]))</f>
        <v>#NAME?</v>
      </c>
      <c r="AE1491" s="55" t="str">
        <f t="shared" ca="1" si="527"/>
        <v/>
      </c>
      <c r="AF1491" s="47" t="e">
        <f t="shared" ca="1" si="528"/>
        <v>#NAME?</v>
      </c>
      <c r="AG1491" s="47">
        <f t="shared" si="529"/>
        <v>44021011</v>
      </c>
      <c r="AH1491" s="54">
        <f>IF(Q1491="22",IF(ISNUMBER(SEARCH("econ",PAA_4[[#This Row],[Actividad3]])),"Económico",IF(ISNUMBER(SEARCH("alim",PAA_4[[#This Row],[Actividad3]])),"Alimentación",IF(ISNUMBER(SEARCH("educ",PAA_4[[#This Row],[Actividad3]])),"Educativo","Técnico"))),0)</f>
        <v>0</v>
      </c>
      <c r="AI1491" s="47" t="e" cm="1">
        <f t="array" aca="1" ref="AI1491" ca="1">_xlfn.XLOOKUP(PAA_4[[#This Row],[RCP-RUBRO]],[2]!COMPROMISOS_2024[[#All],[concatenado]],[2]!COMPROMISOS_2024[[#All],[Total pagado]],"",0)</f>
        <v>#NAME?</v>
      </c>
      <c r="AJ1491" s="56">
        <f>IF(PAA_4[[#This Row],[BOLSA]]=0,0,SUMIFS([2]!COMPROMISOS_2024[[#All],[Total pagado]],[2]!COMPROMISOS_2024[[#All],[Bolsa]],PAA_4[[#This Row],[BOLSA]],[2]!COMPROMISOS_2024[[#All],[rubro]],PAA_4[[#This Row],[RCP-RUBRO]]))</f>
        <v>0</v>
      </c>
      <c r="AK1491" s="47" t="e" cm="1">
        <f t="array" aca="1" ref="AK1491" ca="1">_xlfn.XLOOKUP(PAA_4[[#This Row],[RCP-RUBRO]],[2]!COMPROMISOS_2024[[#All],[concatenado]],[2]!COMPROMISOS_2024[[#All],[Total Comprometido]],"",0)</f>
        <v>#NAME?</v>
      </c>
      <c r="AL1491" s="47">
        <f>IF(PAA_4[[#This Row],[BOLSA]]=0,0,SUMIFS([2]!COMPROMISOS_2024[[#All],[Total Comprometido]],[2]!COMPROMISOS_2024[[#All],[Bolsa]],PAA_4[[#This Row],[BOLSA]],[2]!COMPROMISOS_2024[[#All],[concatenado]],PAA_4[[#This Row],[RCP-RUBRO]]))</f>
        <v>0</v>
      </c>
    </row>
    <row r="1492" spans="1:38" s="19" customFormat="1" ht="31.5" customHeight="1">
      <c r="A1492" s="47" t="s">
        <v>82</v>
      </c>
      <c r="B1492" s="47" t="s">
        <v>42</v>
      </c>
      <c r="C1492" s="47" t="str">
        <f>VLOOKUP(PAA_4[[#This Row],[PROYECTO (formulado)2]],[2]PROYECTOS!$G$1:$L$32,6,0)</f>
        <v>SUBGERENCIA DE FOMENTO Y DESARROLLO</v>
      </c>
      <c r="D1492" s="47" t="str">
        <f>+IF(PAA_4[[#This Row],[UNIDAD DE CONTRATACION (formulado)]]="Subgerencia Administrativa y Financiera","FUNCIONAMIENTO","INVERSIÓN")</f>
        <v>INVERSIÓN</v>
      </c>
      <c r="E1492" s="48" t="str">
        <f>VLOOKUP(Q1492,[2]PROYECTOS!$G$1:$K$32,5,0)</f>
        <v>FORTALECIMIENTO_DE_LOS_JUEGOS_DEL_SECTOR_EDUCATIVO_EN_ANTIOQUIA</v>
      </c>
      <c r="F1492" s="48">
        <f>VLOOKUP(E1492,[2]PROYECTOS!$K$1:$M$32,3,0)</f>
        <v>2020003050034</v>
      </c>
      <c r="G1492" s="49" t="s">
        <v>413</v>
      </c>
      <c r="H1492" s="49" t="str">
        <f>VLOOKUP(Q1492,[2]PROYECTOS!$V$1:$W$32,2,0)</f>
        <v>050053</v>
      </c>
      <c r="I1492" s="78">
        <v>0</v>
      </c>
      <c r="J1492" s="51" t="s">
        <v>42</v>
      </c>
      <c r="K1492" s="47" t="str">
        <f t="shared" ca="1" si="524"/>
        <v>CONTRATADO</v>
      </c>
      <c r="L1492" s="47" t="s">
        <v>42</v>
      </c>
      <c r="M1492" s="47" t="s">
        <v>42</v>
      </c>
      <c r="N1492" s="52" t="s">
        <v>445</v>
      </c>
      <c r="O1492" s="51" t="e">
        <f>VLOOKUP(N1492,[2]!RUBROS[#All],3,0)</f>
        <v>#REF!</v>
      </c>
      <c r="P1492" s="53" t="e">
        <f>VLOOKUP(N1492,[2]!RUBROS[#All],2,0)</f>
        <v>#REF!</v>
      </c>
      <c r="Q1492" s="47" t="str">
        <f t="shared" si="525"/>
        <v>51</v>
      </c>
      <c r="R1492" s="47" t="str">
        <f t="shared" si="511"/>
        <v>4-205400</v>
      </c>
      <c r="S1492" s="54" t="s">
        <v>42</v>
      </c>
      <c r="T1492" s="59" t="s">
        <v>42</v>
      </c>
      <c r="U1492" s="326" t="e">
        <f ca="1">_xlfn.XLOOKUP(PAA_4[[#This Row],[ITEM]],[2]Contrato!A:A,[2]Contrato!Q:Q,"",0)</f>
        <v>#NAME?</v>
      </c>
      <c r="V1492" s="47" t="s">
        <v>95</v>
      </c>
      <c r="W1492" s="47" t="s">
        <v>42</v>
      </c>
      <c r="X1492" s="47" t="s">
        <v>42</v>
      </c>
      <c r="Y1492" s="55" t="e">
        <f ca="1">_xlfn.XLOOKUP(PAA_4[[#This Row],[ITEM]],[2]Contrato!A:A,[2]Contrato!B:B,"",0)</f>
        <v>#NAME?</v>
      </c>
      <c r="Z1492" s="47" t="e">
        <f ca="1">_xlfn.XLOOKUP(PAA_4[[#This Row],[ITEM]],[2]Contrato!A:A,[2]Contrato!G:G,"",0)</f>
        <v>#NAME?</v>
      </c>
      <c r="AA1492" s="47" t="e">
        <f ca="1">_xlfn.XLOOKUP(PAA_4[[#This Row],[ITEM]],[2]Contrato!A:A,[2]Contrato!T:T,"",0)</f>
        <v>#NAME?</v>
      </c>
      <c r="AB1492" s="55" t="e">
        <f ca="1">+MAX(PAA_4[[#This Row],[Comprometido Contrato]],PAA_4[[#This Row],[Comprometido Bolsa]])</f>
        <v>#NAME?</v>
      </c>
      <c r="AC1492" s="55" t="str">
        <f t="shared" ca="1" si="526"/>
        <v/>
      </c>
      <c r="AD1492" s="55" t="e">
        <f ca="1">IF(PAA_4[[#This Row],[ESTADO (formulado)]]="NO CONTRATADO",0,MAX(PAA_4[[#This Row],[Pago por Contrato]],PAA_4[[#This Row],[Pago por bolsa]]))</f>
        <v>#NAME?</v>
      </c>
      <c r="AE1492" s="55" t="str">
        <f t="shared" ca="1" si="527"/>
        <v/>
      </c>
      <c r="AF1492" s="47" t="e">
        <f t="shared" ca="1" si="528"/>
        <v>#NAME?</v>
      </c>
      <c r="AG1492" s="47">
        <f t="shared" si="529"/>
        <v>44021011</v>
      </c>
      <c r="AH1492" s="54">
        <f>IF(Q1492="22",IF(ISNUMBER(SEARCH("econ",PAA_4[[#This Row],[Actividad3]])),"Económico",IF(ISNUMBER(SEARCH("alim",PAA_4[[#This Row],[Actividad3]])),"Alimentación",IF(ISNUMBER(SEARCH("educ",PAA_4[[#This Row],[Actividad3]])),"Educativo","Técnico"))),0)</f>
        <v>0</v>
      </c>
      <c r="AI1492" s="47" t="e" cm="1">
        <f t="array" aca="1" ref="AI1492" ca="1">_xlfn.XLOOKUP(PAA_4[[#This Row],[RCP-RUBRO]],[2]!COMPROMISOS_2024[[#All],[concatenado]],[2]!COMPROMISOS_2024[[#All],[Total pagado]],"",0)</f>
        <v>#NAME?</v>
      </c>
      <c r="AJ1492" s="56">
        <f>IF(PAA_4[[#This Row],[BOLSA]]=0,0,SUMIFS([2]!COMPROMISOS_2024[[#All],[Total pagado]],[2]!COMPROMISOS_2024[[#All],[Bolsa]],PAA_4[[#This Row],[BOLSA]],[2]!COMPROMISOS_2024[[#All],[rubro]],PAA_4[[#This Row],[RCP-RUBRO]]))</f>
        <v>0</v>
      </c>
      <c r="AK1492" s="47" t="e" cm="1">
        <f t="array" aca="1" ref="AK1492" ca="1">_xlfn.XLOOKUP(PAA_4[[#This Row],[RCP-RUBRO]],[2]!COMPROMISOS_2024[[#All],[concatenado]],[2]!COMPROMISOS_2024[[#All],[Total Comprometido]],"",0)</f>
        <v>#NAME?</v>
      </c>
      <c r="AL1492" s="47">
        <f>IF(PAA_4[[#This Row],[BOLSA]]=0,0,SUMIFS([2]!COMPROMISOS_2024[[#All],[Total Comprometido]],[2]!COMPROMISOS_2024[[#All],[Bolsa]],PAA_4[[#This Row],[BOLSA]],[2]!COMPROMISOS_2024[[#All],[concatenado]],PAA_4[[#This Row],[RCP-RUBRO]]))</f>
        <v>0</v>
      </c>
    </row>
    <row r="1493" spans="1:38" s="19" customFormat="1" ht="31.5" customHeight="1">
      <c r="A1493" s="47" t="s">
        <v>82</v>
      </c>
      <c r="B1493" s="47" t="s">
        <v>42</v>
      </c>
      <c r="C1493" s="47" t="str">
        <f>VLOOKUP(PAA_4[[#This Row],[PROYECTO (formulado)2]],[2]PROYECTOS!$G$1:$L$32,6,0)</f>
        <v>SUBGERENCIA DE FOMENTO Y DESARROLLO</v>
      </c>
      <c r="D1493" s="47" t="str">
        <f>+IF(PAA_4[[#This Row],[UNIDAD DE CONTRATACION (formulado)]]="Subgerencia Administrativa y Financiera","FUNCIONAMIENTO","INVERSIÓN")</f>
        <v>INVERSIÓN</v>
      </c>
      <c r="E1493" s="48" t="str">
        <f>VLOOKUP(Q1493,[2]PROYECTOS!$G$1:$K$32,5,0)</f>
        <v>FORTALECIMIENTO_DE_LOS_JUEGOS_DEL_SECTOR_EDUCATIVO_EN_ANTIOQUIA</v>
      </c>
      <c r="F1493" s="48">
        <f>VLOOKUP(E1493,[2]PROYECTOS!$K$1:$M$32,3,0)</f>
        <v>2020003050034</v>
      </c>
      <c r="G1493" s="49" t="s">
        <v>413</v>
      </c>
      <c r="H1493" s="49" t="str">
        <f>VLOOKUP(Q1493,[2]PROYECTOS!$V$1:$W$32,2,0)</f>
        <v>050053</v>
      </c>
      <c r="I1493" s="78">
        <v>3933000</v>
      </c>
      <c r="J1493" s="51" t="s">
        <v>1872</v>
      </c>
      <c r="K1493" s="47" t="str">
        <f t="shared" ca="1" si="524"/>
        <v>CONTRATADO</v>
      </c>
      <c r="L1493" s="47" t="s">
        <v>42</v>
      </c>
      <c r="M1493" s="47" t="s">
        <v>42</v>
      </c>
      <c r="N1493" s="52" t="s">
        <v>445</v>
      </c>
      <c r="O1493" s="51" t="e">
        <f>VLOOKUP(N1493,[2]!RUBROS[#All],3,0)</f>
        <v>#REF!</v>
      </c>
      <c r="P1493" s="53" t="e">
        <f>VLOOKUP(N1493,[2]!RUBROS[#All],2,0)</f>
        <v>#REF!</v>
      </c>
      <c r="Q1493" s="47" t="str">
        <f t="shared" si="525"/>
        <v>51</v>
      </c>
      <c r="R1493" s="47" t="str">
        <f t="shared" si="511"/>
        <v>4-205400</v>
      </c>
      <c r="S1493" s="54" t="s">
        <v>42</v>
      </c>
      <c r="T1493" s="59" t="s">
        <v>42</v>
      </c>
      <c r="U1493" s="326" t="e">
        <f ca="1">_xlfn.XLOOKUP(PAA_4[[#This Row],[ITEM]],[2]Contrato!A:A,[2]Contrato!Q:Q,"",0)</f>
        <v>#NAME?</v>
      </c>
      <c r="V1493" s="47" t="s">
        <v>42</v>
      </c>
      <c r="W1493" s="64" t="s">
        <v>42</v>
      </c>
      <c r="X1493" s="64" t="s">
        <v>42</v>
      </c>
      <c r="Y1493" s="55" t="e">
        <f ca="1">_xlfn.XLOOKUP(PAA_4[[#This Row],[ITEM]],[2]Contrato!A:A,[2]Contrato!B:B,"",0)</f>
        <v>#NAME?</v>
      </c>
      <c r="Z1493" s="47" t="e">
        <f ca="1">_xlfn.XLOOKUP(PAA_4[[#This Row],[ITEM]],[2]Contrato!A:A,[2]Contrato!G:G,"",0)</f>
        <v>#NAME?</v>
      </c>
      <c r="AA1493" s="47" t="e">
        <f ca="1">_xlfn.XLOOKUP(PAA_4[[#This Row],[ITEM]],[2]Contrato!A:A,[2]Contrato!T:T,"",0)</f>
        <v>#NAME?</v>
      </c>
      <c r="AB1493" s="55" t="e">
        <f ca="1">+MAX(PAA_4[[#This Row],[Comprometido Contrato]],PAA_4[[#This Row],[Comprometido Bolsa]])</f>
        <v>#NAME?</v>
      </c>
      <c r="AC1493" s="55" t="str">
        <f t="shared" ca="1" si="526"/>
        <v/>
      </c>
      <c r="AD1493" s="55" t="e">
        <f ca="1">IF(PAA_4[[#This Row],[ESTADO (formulado)]]="NO CONTRATADO",0,MAX(PAA_4[[#This Row],[Pago por Contrato]],PAA_4[[#This Row],[Pago por bolsa]]))</f>
        <v>#NAME?</v>
      </c>
      <c r="AE1493" s="55" t="str">
        <f t="shared" ca="1" si="527"/>
        <v/>
      </c>
      <c r="AF1493" s="47" t="e">
        <f t="shared" ca="1" si="528"/>
        <v>#NAME?</v>
      </c>
      <c r="AG1493" s="47">
        <f t="shared" si="529"/>
        <v>44021011</v>
      </c>
      <c r="AH1493" s="54">
        <f>IF(Q1493="22",IF(ISNUMBER(SEARCH("econ",PAA_4[[#This Row],[Actividad3]])),"Económico",IF(ISNUMBER(SEARCH("alim",PAA_4[[#This Row],[Actividad3]])),"Alimentación",IF(ISNUMBER(SEARCH("educ",PAA_4[[#This Row],[Actividad3]])),"Educativo","Técnico"))),0)</f>
        <v>0</v>
      </c>
      <c r="AI1493" s="47" t="e" cm="1">
        <f t="array" aca="1" ref="AI1493" ca="1">_xlfn.XLOOKUP(PAA_4[[#This Row],[RCP-RUBRO]],[2]!COMPROMISOS_2024[[#All],[concatenado]],[2]!COMPROMISOS_2024[[#All],[Total pagado]],"",0)</f>
        <v>#NAME?</v>
      </c>
      <c r="AJ1493" s="56">
        <f>IF(PAA_4[[#This Row],[BOLSA]]=0,0,SUMIFS([2]!COMPROMISOS_2024[[#All],[Total pagado]],[2]!COMPROMISOS_2024[[#All],[Bolsa]],PAA_4[[#This Row],[BOLSA]],[2]!COMPROMISOS_2024[[#All],[rubro]],PAA_4[[#This Row],[RCP-RUBRO]]))</f>
        <v>0</v>
      </c>
      <c r="AK1493" s="47" t="e" cm="1">
        <f t="array" aca="1" ref="AK1493" ca="1">_xlfn.XLOOKUP(PAA_4[[#This Row],[RCP-RUBRO]],[2]!COMPROMISOS_2024[[#All],[concatenado]],[2]!COMPROMISOS_2024[[#All],[Total Comprometido]],"",0)</f>
        <v>#NAME?</v>
      </c>
      <c r="AL1493" s="47">
        <f>IF(PAA_4[[#This Row],[BOLSA]]=0,0,SUMIFS([2]!COMPROMISOS_2024[[#All],[Total Comprometido]],[2]!COMPROMISOS_2024[[#All],[Bolsa]],PAA_4[[#This Row],[BOLSA]],[2]!COMPROMISOS_2024[[#All],[concatenado]],PAA_4[[#This Row],[RCP-RUBRO]]))</f>
        <v>0</v>
      </c>
    </row>
    <row r="1494" spans="1:38" s="19" customFormat="1" ht="31.5" customHeight="1">
      <c r="A1494" s="47">
        <v>848</v>
      </c>
      <c r="B1494" s="47" t="s">
        <v>393</v>
      </c>
      <c r="C1494" s="47" t="str">
        <f>VLOOKUP(PAA_4[[#This Row],[PROYECTO (formulado)2]],[2]PROYECTOS!$G$1:$L$32,6,0)</f>
        <v>SUBGERENCIA DE FOMENTO Y DESARROLLO</v>
      </c>
      <c r="D1494" s="47" t="str">
        <f>+IF(PAA_4[[#This Row],[UNIDAD DE CONTRATACION (formulado)]]="Subgerencia Administrativa y Financiera","FUNCIONAMIENTO","INVERSIÓN")</f>
        <v>INVERSIÓN</v>
      </c>
      <c r="E1494" s="48" t="str">
        <f>VLOOKUP(Q1494,[2]PROYECTOS!$G$1:$K$32,5,0)</f>
        <v>FORTALECIMIENTO_DE_LOS_JUEGOS_DEL_SECTOR_EDUCATIVO_EN_ANTIOQUIA</v>
      </c>
      <c r="F1494" s="48">
        <f>VLOOKUP(E1494,[2]PROYECTOS!$K$1:$M$32,3,0)</f>
        <v>2020003050034</v>
      </c>
      <c r="G1494" s="49" t="s">
        <v>413</v>
      </c>
      <c r="H1494" s="49" t="str">
        <f>VLOOKUP(Q1494,[2]PROYECTOS!$V$1:$W$32,2,0)</f>
        <v>050053</v>
      </c>
      <c r="I1494" s="78">
        <f>67525090-295902-3933000</f>
        <v>63296188</v>
      </c>
      <c r="J1494" s="51" t="s">
        <v>1903</v>
      </c>
      <c r="K1494" s="47" t="str">
        <f t="shared" ca="1" si="524"/>
        <v>CONTRATADO</v>
      </c>
      <c r="L1494" s="47" t="s">
        <v>94</v>
      </c>
      <c r="M1494" s="47" t="s">
        <v>255</v>
      </c>
      <c r="N1494" s="52" t="s">
        <v>445</v>
      </c>
      <c r="O1494" s="51" t="e">
        <f>VLOOKUP(N1494,[2]!RUBROS[#All],3,0)</f>
        <v>#REF!</v>
      </c>
      <c r="P1494" s="53" t="e">
        <f>VLOOKUP(N1494,[2]!RUBROS[#All],2,0)</f>
        <v>#REF!</v>
      </c>
      <c r="Q1494" s="47" t="str">
        <f t="shared" si="525"/>
        <v>51</v>
      </c>
      <c r="R1494" s="47" t="str">
        <f t="shared" si="511"/>
        <v>4-205400</v>
      </c>
      <c r="S1494" s="54">
        <v>5.5</v>
      </c>
      <c r="T1494" s="59" t="s">
        <v>46</v>
      </c>
      <c r="U1494" s="326" t="e">
        <f ca="1">_xlfn.XLOOKUP(PAA_4[[#This Row],[ITEM]],[2]Contrato!A:A,[2]Contrato!Q:Q,"",0)</f>
        <v>#NAME?</v>
      </c>
      <c r="V1494" s="47" t="s">
        <v>47</v>
      </c>
      <c r="W1494" s="47" t="s">
        <v>193</v>
      </c>
      <c r="X1494" s="47" t="s">
        <v>193</v>
      </c>
      <c r="Y1494" s="55" t="e">
        <f ca="1">_xlfn.XLOOKUP(PAA_4[[#This Row],[ITEM]],[2]Contrato!A:A,[2]Contrato!B:B,"",0)</f>
        <v>#NAME?</v>
      </c>
      <c r="Z1494" s="47" t="e">
        <f ca="1">_xlfn.XLOOKUP(PAA_4[[#This Row],[ITEM]],[2]Contrato!A:A,[2]Contrato!G:G,"",0)</f>
        <v>#NAME?</v>
      </c>
      <c r="AA1494" s="47" t="e">
        <f ca="1">_xlfn.XLOOKUP(PAA_4[[#This Row],[ITEM]],[2]Contrato!A:A,[2]Contrato!T:T,"",0)</f>
        <v>#NAME?</v>
      </c>
      <c r="AB1494" s="55" t="e">
        <f ca="1">+MAX(PAA_4[[#This Row],[Comprometido Contrato]],PAA_4[[#This Row],[Comprometido Bolsa]])</f>
        <v>#NAME?</v>
      </c>
      <c r="AC1494" s="55" t="str">
        <f t="shared" ca="1" si="526"/>
        <v/>
      </c>
      <c r="AD1494" s="55" t="e">
        <f ca="1">IF(PAA_4[[#This Row],[ESTADO (formulado)]]="NO CONTRATADO",0,MAX(PAA_4[[#This Row],[Pago por Contrato]],PAA_4[[#This Row],[Pago por bolsa]]))</f>
        <v>#NAME?</v>
      </c>
      <c r="AE1494" s="55" t="str">
        <f t="shared" ca="1" si="527"/>
        <v/>
      </c>
      <c r="AF1494" s="47" t="e">
        <f t="shared" ca="1" si="528"/>
        <v>#NAME?</v>
      </c>
      <c r="AG1494" s="47">
        <f t="shared" si="529"/>
        <v>44021011</v>
      </c>
      <c r="AH1494" s="54">
        <f>IF(Q1494="22",IF(ISNUMBER(SEARCH("econ",PAA_4[[#This Row],[Actividad3]])),"Económico",IF(ISNUMBER(SEARCH("alim",PAA_4[[#This Row],[Actividad3]])),"Alimentación",IF(ISNUMBER(SEARCH("educ",PAA_4[[#This Row],[Actividad3]])),"Educativo","Técnico"))),0)</f>
        <v>0</v>
      </c>
      <c r="AI1494" s="47" t="e" cm="1">
        <f t="array" aca="1" ref="AI1494" ca="1">_xlfn.XLOOKUP(PAA_4[[#This Row],[RCP-RUBRO]],[2]!COMPROMISOS_2024[[#All],[concatenado]],[2]!COMPROMISOS_2024[[#All],[Total pagado]],"",0)</f>
        <v>#NAME?</v>
      </c>
      <c r="AJ1494" s="56">
        <f>IF(PAA_4[[#This Row],[BOLSA]]=0,0,SUMIFS([2]!COMPROMISOS_2024[[#All],[Total pagado]],[2]!COMPROMISOS_2024[[#All],[Bolsa]],PAA_4[[#This Row],[BOLSA]],[2]!COMPROMISOS_2024[[#All],[rubro]],PAA_4[[#This Row],[RCP-RUBRO]]))</f>
        <v>0</v>
      </c>
      <c r="AK1494" s="47" t="e" cm="1">
        <f t="array" aca="1" ref="AK1494" ca="1">_xlfn.XLOOKUP(PAA_4[[#This Row],[RCP-RUBRO]],[2]!COMPROMISOS_2024[[#All],[concatenado]],[2]!COMPROMISOS_2024[[#All],[Total Comprometido]],"",0)</f>
        <v>#NAME?</v>
      </c>
      <c r="AL1494" s="47">
        <f>IF(PAA_4[[#This Row],[BOLSA]]=0,0,SUMIFS([2]!COMPROMISOS_2024[[#All],[Total Comprometido]],[2]!COMPROMISOS_2024[[#All],[Bolsa]],PAA_4[[#This Row],[BOLSA]],[2]!COMPROMISOS_2024[[#All],[concatenado]],PAA_4[[#This Row],[RCP-RUBRO]]))</f>
        <v>0</v>
      </c>
    </row>
    <row r="1495" spans="1:38" s="19" customFormat="1" ht="31.5" customHeight="1">
      <c r="A1495" s="47" t="s">
        <v>82</v>
      </c>
      <c r="B1495" s="47" t="s">
        <v>42</v>
      </c>
      <c r="C1495" s="47" t="str">
        <f>VLOOKUP(PAA_4[[#This Row],[PROYECTO (formulado)2]],[2]PROYECTOS!$G$1:$L$32,6,0)</f>
        <v>SUBGERENCIA DE FOMENTO Y DESARROLLO</v>
      </c>
      <c r="D1495" s="47" t="str">
        <f>+IF(PAA_4[[#This Row],[UNIDAD DE CONTRATACION (formulado)]]="Subgerencia Administrativa y Financiera","FUNCIONAMIENTO","INVERSIÓN")</f>
        <v>INVERSIÓN</v>
      </c>
      <c r="E1495" s="48" t="str">
        <f>VLOOKUP(Q1495,[2]PROYECTOS!$G$1:$K$32,5,0)</f>
        <v>FORTALECIMIENTO_DE_LOS_JUEGOS_DEL_SECTOR_EDUCATIVO_EN_ANTIOQUIA</v>
      </c>
      <c r="F1495" s="48">
        <f>VLOOKUP(E1495,[2]PROYECTOS!$K$1:$M$32,3,0)</f>
        <v>2020003050034</v>
      </c>
      <c r="G1495" s="49" t="s">
        <v>413</v>
      </c>
      <c r="H1495" s="49" t="str">
        <f>VLOOKUP(Q1495,[2]PROYECTOS!$V$1:$W$32,2,0)</f>
        <v>050053</v>
      </c>
      <c r="I1495" s="78">
        <v>0</v>
      </c>
      <c r="J1495" s="51" t="s">
        <v>42</v>
      </c>
      <c r="K1495" s="47" t="str">
        <f t="shared" ca="1" si="524"/>
        <v>CONTRATADO</v>
      </c>
      <c r="L1495" s="47" t="s">
        <v>42</v>
      </c>
      <c r="M1495" s="47" t="s">
        <v>42</v>
      </c>
      <c r="N1495" s="52" t="s">
        <v>445</v>
      </c>
      <c r="O1495" s="51" t="e">
        <f>VLOOKUP(N1495,[2]!RUBROS[#All],3,0)</f>
        <v>#REF!</v>
      </c>
      <c r="P1495" s="53" t="e">
        <f>VLOOKUP(N1495,[2]!RUBROS[#All],2,0)</f>
        <v>#REF!</v>
      </c>
      <c r="Q1495" s="47" t="str">
        <f t="shared" si="525"/>
        <v>51</v>
      </c>
      <c r="R1495" s="47" t="str">
        <f t="shared" si="511"/>
        <v>4-205400</v>
      </c>
      <c r="S1495" s="54" t="s">
        <v>42</v>
      </c>
      <c r="T1495" s="59" t="s">
        <v>42</v>
      </c>
      <c r="U1495" s="326" t="e">
        <f ca="1">_xlfn.XLOOKUP(PAA_4[[#This Row],[ITEM]],[2]Contrato!A:A,[2]Contrato!Q:Q,"",0)</f>
        <v>#NAME?</v>
      </c>
      <c r="V1495" s="47" t="s">
        <v>95</v>
      </c>
      <c r="W1495" s="47" t="s">
        <v>42</v>
      </c>
      <c r="X1495" s="47" t="s">
        <v>42</v>
      </c>
      <c r="Y1495" s="55" t="e">
        <f ca="1">_xlfn.XLOOKUP(PAA_4[[#This Row],[ITEM]],[2]Contrato!A:A,[2]Contrato!B:B,"",0)</f>
        <v>#NAME?</v>
      </c>
      <c r="Z1495" s="47" t="e">
        <f ca="1">_xlfn.XLOOKUP(PAA_4[[#This Row],[ITEM]],[2]Contrato!A:A,[2]Contrato!G:G,"",0)</f>
        <v>#NAME?</v>
      </c>
      <c r="AA1495" s="47" t="e">
        <f ca="1">_xlfn.XLOOKUP(PAA_4[[#This Row],[ITEM]],[2]Contrato!A:A,[2]Contrato!T:T,"",0)</f>
        <v>#NAME?</v>
      </c>
      <c r="AB1495" s="55" t="e">
        <f ca="1">+MAX(PAA_4[[#This Row],[Comprometido Contrato]],PAA_4[[#This Row],[Comprometido Bolsa]])</f>
        <v>#NAME?</v>
      </c>
      <c r="AC1495" s="55" t="str">
        <f t="shared" ca="1" si="526"/>
        <v/>
      </c>
      <c r="AD1495" s="55" t="e">
        <f ca="1">IF(PAA_4[[#This Row],[ESTADO (formulado)]]="NO CONTRATADO",0,MAX(PAA_4[[#This Row],[Pago por Contrato]],PAA_4[[#This Row],[Pago por bolsa]]))</f>
        <v>#NAME?</v>
      </c>
      <c r="AE1495" s="55" t="str">
        <f t="shared" ca="1" si="527"/>
        <v/>
      </c>
      <c r="AF1495" s="47" t="e">
        <f t="shared" ca="1" si="528"/>
        <v>#NAME?</v>
      </c>
      <c r="AG1495" s="47">
        <f t="shared" si="529"/>
        <v>44021011</v>
      </c>
      <c r="AH1495" s="54">
        <f>IF(Q1495="22",IF(ISNUMBER(SEARCH("econ",PAA_4[[#This Row],[Actividad3]])),"Económico",IF(ISNUMBER(SEARCH("alim",PAA_4[[#This Row],[Actividad3]])),"Alimentación",IF(ISNUMBER(SEARCH("educ",PAA_4[[#This Row],[Actividad3]])),"Educativo","Técnico"))),0)</f>
        <v>0</v>
      </c>
      <c r="AI1495" s="47" t="e" cm="1">
        <f t="array" aca="1" ref="AI1495" ca="1">_xlfn.XLOOKUP(PAA_4[[#This Row],[RCP-RUBRO]],[2]!COMPROMISOS_2024[[#All],[concatenado]],[2]!COMPROMISOS_2024[[#All],[Total pagado]],"",0)</f>
        <v>#NAME?</v>
      </c>
      <c r="AJ1495" s="56">
        <f>IF(PAA_4[[#This Row],[BOLSA]]=0,0,SUMIFS([2]!COMPROMISOS_2024[[#All],[Total pagado]],[2]!COMPROMISOS_2024[[#All],[Bolsa]],PAA_4[[#This Row],[BOLSA]],[2]!COMPROMISOS_2024[[#All],[rubro]],PAA_4[[#This Row],[RCP-RUBRO]]))</f>
        <v>0</v>
      </c>
      <c r="AK1495" s="47" t="e" cm="1">
        <f t="array" aca="1" ref="AK1495" ca="1">_xlfn.XLOOKUP(PAA_4[[#This Row],[RCP-RUBRO]],[2]!COMPROMISOS_2024[[#All],[concatenado]],[2]!COMPROMISOS_2024[[#All],[Total Comprometido]],"",0)</f>
        <v>#NAME?</v>
      </c>
      <c r="AL1495" s="47">
        <f>IF(PAA_4[[#This Row],[BOLSA]]=0,0,SUMIFS([2]!COMPROMISOS_2024[[#All],[Total Comprometido]],[2]!COMPROMISOS_2024[[#All],[Bolsa]],PAA_4[[#This Row],[BOLSA]],[2]!COMPROMISOS_2024[[#All],[concatenado]],PAA_4[[#This Row],[RCP-RUBRO]]))</f>
        <v>0</v>
      </c>
    </row>
    <row r="1496" spans="1:38" s="19" customFormat="1" ht="31.5" customHeight="1">
      <c r="A1496" s="47">
        <v>849</v>
      </c>
      <c r="B1496" s="47" t="s">
        <v>393</v>
      </c>
      <c r="C1496" s="47" t="str">
        <f>VLOOKUP(PAA_4[[#This Row],[PROYECTO (formulado)2]],[2]PROYECTOS!$G$1:$L$32,6,0)</f>
        <v>SUBGERENCIA DE FOMENTO Y DESARROLLO</v>
      </c>
      <c r="D1496" s="47" t="str">
        <f>+IF(PAA_4[[#This Row],[UNIDAD DE CONTRATACION (formulado)]]="Subgerencia Administrativa y Financiera","FUNCIONAMIENTO","INVERSIÓN")</f>
        <v>INVERSIÓN</v>
      </c>
      <c r="E1496" s="48" t="str">
        <f>VLOOKUP(Q1496,[2]PROYECTOS!$G$1:$K$32,5,0)</f>
        <v>FORTALECIMIENTO_DE_LOS_JUEGOS_DEL_SECTOR_EDUCATIVO_EN_ANTIOQUIA</v>
      </c>
      <c r="F1496" s="48">
        <f>VLOOKUP(E1496,[2]PROYECTOS!$K$1:$M$32,3,0)</f>
        <v>2020003050034</v>
      </c>
      <c r="G1496" s="49" t="s">
        <v>413</v>
      </c>
      <c r="H1496" s="49" t="str">
        <f>VLOOKUP(Q1496,[2]PROYECTOS!$V$1:$W$32,2,0)</f>
        <v>050053</v>
      </c>
      <c r="I1496" s="78">
        <f>70380174-586626</f>
        <v>69793548</v>
      </c>
      <c r="J1496" s="51" t="s">
        <v>1904</v>
      </c>
      <c r="K1496" s="47" t="str">
        <f t="shared" ca="1" si="524"/>
        <v>CONTRATADO</v>
      </c>
      <c r="L1496" s="47" t="s">
        <v>94</v>
      </c>
      <c r="M1496" s="47" t="s">
        <v>1894</v>
      </c>
      <c r="N1496" s="52" t="s">
        <v>445</v>
      </c>
      <c r="O1496" s="51" t="e">
        <f>VLOOKUP(N1496,[2]!RUBROS[#All],3,0)</f>
        <v>#REF!</v>
      </c>
      <c r="P1496" s="53" t="e">
        <f>VLOOKUP(N1496,[2]!RUBROS[#All],2,0)</f>
        <v>#REF!</v>
      </c>
      <c r="Q1496" s="47" t="str">
        <f t="shared" si="525"/>
        <v>51</v>
      </c>
      <c r="R1496" s="47" t="str">
        <f t="shared" si="511"/>
        <v>4-205400</v>
      </c>
      <c r="S1496" s="339">
        <v>5.5</v>
      </c>
      <c r="T1496" s="59" t="s">
        <v>46</v>
      </c>
      <c r="U1496" s="326" t="e">
        <f ca="1">_xlfn.XLOOKUP(PAA_4[[#This Row],[ITEM]],[2]Contrato!A:A,[2]Contrato!Q:Q,"",0)</f>
        <v>#NAME?</v>
      </c>
      <c r="V1496" s="47" t="s">
        <v>47</v>
      </c>
      <c r="W1496" s="47" t="s">
        <v>193</v>
      </c>
      <c r="X1496" s="47" t="s">
        <v>193</v>
      </c>
      <c r="Y1496" s="55" t="e">
        <f ca="1">_xlfn.XLOOKUP(PAA_4[[#This Row],[ITEM]],[2]Contrato!A:A,[2]Contrato!B:B,"",0)</f>
        <v>#NAME?</v>
      </c>
      <c r="Z1496" s="47" t="e">
        <f ca="1">_xlfn.XLOOKUP(PAA_4[[#This Row],[ITEM]],[2]Contrato!A:A,[2]Contrato!G:G,"",0)</f>
        <v>#NAME?</v>
      </c>
      <c r="AA1496" s="47" t="e">
        <f ca="1">_xlfn.XLOOKUP(PAA_4[[#This Row],[ITEM]],[2]Contrato!A:A,[2]Contrato!T:T,"",0)</f>
        <v>#NAME?</v>
      </c>
      <c r="AB1496" s="55" t="e">
        <f ca="1">+MAX(PAA_4[[#This Row],[Comprometido Contrato]],PAA_4[[#This Row],[Comprometido Bolsa]])</f>
        <v>#NAME?</v>
      </c>
      <c r="AC1496" s="55" t="str">
        <f t="shared" ca="1" si="526"/>
        <v/>
      </c>
      <c r="AD1496" s="55" t="e">
        <f ca="1">IF(PAA_4[[#This Row],[ESTADO (formulado)]]="NO CONTRATADO",0,MAX(PAA_4[[#This Row],[Pago por Contrato]],PAA_4[[#This Row],[Pago por bolsa]]))</f>
        <v>#NAME?</v>
      </c>
      <c r="AE1496" s="55" t="str">
        <f t="shared" ca="1" si="527"/>
        <v/>
      </c>
      <c r="AF1496" s="47" t="e">
        <f t="shared" ca="1" si="528"/>
        <v>#NAME?</v>
      </c>
      <c r="AG1496" s="47">
        <f t="shared" si="529"/>
        <v>44021011</v>
      </c>
      <c r="AH1496" s="54">
        <f>IF(Q1496="22",IF(ISNUMBER(SEARCH("econ",PAA_4[[#This Row],[Actividad3]])),"Económico",IF(ISNUMBER(SEARCH("alim",PAA_4[[#This Row],[Actividad3]])),"Alimentación",IF(ISNUMBER(SEARCH("educ",PAA_4[[#This Row],[Actividad3]])),"Educativo","Técnico"))),0)</f>
        <v>0</v>
      </c>
      <c r="AI1496" s="47" t="e" cm="1">
        <f t="array" aca="1" ref="AI1496" ca="1">_xlfn.XLOOKUP(PAA_4[[#This Row],[RCP-RUBRO]],[2]!COMPROMISOS_2024[[#All],[concatenado]],[2]!COMPROMISOS_2024[[#All],[Total pagado]],"",0)</f>
        <v>#NAME?</v>
      </c>
      <c r="AJ1496" s="56">
        <f>IF(PAA_4[[#This Row],[BOLSA]]=0,0,SUMIFS([2]!COMPROMISOS_2024[[#All],[Total pagado]],[2]!COMPROMISOS_2024[[#All],[Bolsa]],PAA_4[[#This Row],[BOLSA]],[2]!COMPROMISOS_2024[[#All],[rubro]],PAA_4[[#This Row],[RCP-RUBRO]]))</f>
        <v>0</v>
      </c>
      <c r="AK1496" s="47" t="e" cm="1">
        <f t="array" aca="1" ref="AK1496" ca="1">_xlfn.XLOOKUP(PAA_4[[#This Row],[RCP-RUBRO]],[2]!COMPROMISOS_2024[[#All],[concatenado]],[2]!COMPROMISOS_2024[[#All],[Total Comprometido]],"",0)</f>
        <v>#NAME?</v>
      </c>
      <c r="AL1496" s="47">
        <f>IF(PAA_4[[#This Row],[BOLSA]]=0,0,SUMIFS([2]!COMPROMISOS_2024[[#All],[Total Comprometido]],[2]!COMPROMISOS_2024[[#All],[Bolsa]],PAA_4[[#This Row],[BOLSA]],[2]!COMPROMISOS_2024[[#All],[concatenado]],PAA_4[[#This Row],[RCP-RUBRO]]))</f>
        <v>0</v>
      </c>
    </row>
    <row r="1497" spans="1:38" s="19" customFormat="1" ht="31.5" customHeight="1">
      <c r="A1497" s="47" t="s">
        <v>82</v>
      </c>
      <c r="B1497" s="47">
        <v>80141607</v>
      </c>
      <c r="C1497" s="47" t="str">
        <f>VLOOKUP(PAA_4[[#This Row],[PROYECTO (formulado)2]],[2]PROYECTOS!$G$1:$L$32,6,0)</f>
        <v>SUBGERENCIA DE FOMENTO Y DESARROLLO</v>
      </c>
      <c r="D1497" s="47" t="str">
        <f>+IF(PAA_4[[#This Row],[UNIDAD DE CONTRATACION (formulado)]]="Subgerencia Administrativa y Financiera","FUNCIONAMIENTO","INVERSIÓN")</f>
        <v>INVERSIÓN</v>
      </c>
      <c r="E1497" s="48" t="str">
        <f>VLOOKUP(Q1497,[2]PROYECTOS!$G$1:$K$32,5,0)</f>
        <v>FORTALECIMIENTO_DE_LOS_JUEGOS_DEL_SECTOR_EDUCATIVO_EN_ANTIOQUIA</v>
      </c>
      <c r="F1497" s="48">
        <f>VLOOKUP(E1497,[2]PROYECTOS!$K$1:$M$32,3,0)</f>
        <v>2020003050034</v>
      </c>
      <c r="G1497" s="49" t="s">
        <v>413</v>
      </c>
      <c r="H1497" s="49" t="str">
        <f>VLOOKUP(Q1497,[2]PROYECTOS!$V$1:$W$32,2,0)</f>
        <v>050053</v>
      </c>
      <c r="I1497" s="78">
        <v>0</v>
      </c>
      <c r="J1497" s="51" t="s">
        <v>446</v>
      </c>
      <c r="K1497" s="47" t="str">
        <f t="shared" ca="1" si="524"/>
        <v>CONTRATADO</v>
      </c>
      <c r="L1497" s="47" t="s">
        <v>94</v>
      </c>
      <c r="M1497" s="47" t="s">
        <v>89</v>
      </c>
      <c r="N1497" s="52" t="s">
        <v>445</v>
      </c>
      <c r="O1497" s="51" t="e">
        <f>VLOOKUP(N1497,[2]!RUBROS[#All],3,0)</f>
        <v>#REF!</v>
      </c>
      <c r="P1497" s="53" t="e">
        <f>VLOOKUP(N1497,[2]!RUBROS[#All],2,0)</f>
        <v>#REF!</v>
      </c>
      <c r="Q1497" s="47" t="str">
        <f t="shared" si="525"/>
        <v>51</v>
      </c>
      <c r="R1497" s="47" t="str">
        <f t="shared" si="511"/>
        <v>4-205400</v>
      </c>
      <c r="S1497" s="339">
        <v>6</v>
      </c>
      <c r="T1497" s="59" t="s">
        <v>46</v>
      </c>
      <c r="U1497" s="326" t="e">
        <f ca="1">_xlfn.XLOOKUP(PAA_4[[#This Row],[ITEM]],[2]Contrato!A:A,[2]Contrato!Q:Q,"",0)</f>
        <v>#NAME?</v>
      </c>
      <c r="V1497" s="47" t="s">
        <v>47</v>
      </c>
      <c r="W1497" s="47" t="s">
        <v>193</v>
      </c>
      <c r="X1497" s="47" t="s">
        <v>193</v>
      </c>
      <c r="Y1497" s="55" t="e">
        <f ca="1">_xlfn.XLOOKUP(PAA_4[[#This Row],[ITEM]],[2]Contrato!A:A,[2]Contrato!B:B,"",0)</f>
        <v>#NAME?</v>
      </c>
      <c r="Z1497" s="47" t="e">
        <f ca="1">_xlfn.XLOOKUP(PAA_4[[#This Row],[ITEM]],[2]Contrato!A:A,[2]Contrato!G:G,"",0)</f>
        <v>#NAME?</v>
      </c>
      <c r="AA1497" s="47" t="e">
        <f ca="1">_xlfn.XLOOKUP(PAA_4[[#This Row],[ITEM]],[2]Contrato!A:A,[2]Contrato!T:T,"",0)</f>
        <v>#NAME?</v>
      </c>
      <c r="AB1497" s="55" t="e">
        <f ca="1">+MAX(PAA_4[[#This Row],[Comprometido Contrato]],PAA_4[[#This Row],[Comprometido Bolsa]])</f>
        <v>#NAME?</v>
      </c>
      <c r="AC1497" s="55" t="str">
        <f t="shared" ca="1" si="526"/>
        <v/>
      </c>
      <c r="AD1497" s="55" t="e">
        <f ca="1">IF(PAA_4[[#This Row],[ESTADO (formulado)]]="NO CONTRATADO",0,MAX(PAA_4[[#This Row],[Pago por Contrato]],PAA_4[[#This Row],[Pago por bolsa]]))</f>
        <v>#NAME?</v>
      </c>
      <c r="AE1497" s="55" t="str">
        <f t="shared" ca="1" si="527"/>
        <v/>
      </c>
      <c r="AF1497" s="47" t="e">
        <f t="shared" ca="1" si="528"/>
        <v>#NAME?</v>
      </c>
      <c r="AG1497" s="47">
        <f t="shared" si="529"/>
        <v>44021011</v>
      </c>
      <c r="AH1497" s="54">
        <f>IF(Q1497="22",IF(ISNUMBER(SEARCH("econ",PAA_4[[#This Row],[Actividad3]])),"Económico",IF(ISNUMBER(SEARCH("alim",PAA_4[[#This Row],[Actividad3]])),"Alimentación",IF(ISNUMBER(SEARCH("educ",PAA_4[[#This Row],[Actividad3]])),"Educativo","Técnico"))),0)</f>
        <v>0</v>
      </c>
      <c r="AI1497" s="47" t="e" cm="1">
        <f t="array" aca="1" ref="AI1497" ca="1">_xlfn.XLOOKUP(PAA_4[[#This Row],[RCP-RUBRO]],[2]!COMPROMISOS_2024[[#All],[concatenado]],[2]!COMPROMISOS_2024[[#All],[Total pagado]],"",0)</f>
        <v>#NAME?</v>
      </c>
      <c r="AJ1497" s="56">
        <f>IF(PAA_4[[#This Row],[BOLSA]]=0,0,SUMIFS([2]!COMPROMISOS_2024[[#All],[Total pagado]],[2]!COMPROMISOS_2024[[#All],[Bolsa]],PAA_4[[#This Row],[BOLSA]],[2]!COMPROMISOS_2024[[#All],[rubro]],PAA_4[[#This Row],[RCP-RUBRO]]))</f>
        <v>0</v>
      </c>
      <c r="AK1497" s="47" t="e" cm="1">
        <f t="array" aca="1" ref="AK1497" ca="1">_xlfn.XLOOKUP(PAA_4[[#This Row],[RCP-RUBRO]],[2]!COMPROMISOS_2024[[#All],[concatenado]],[2]!COMPROMISOS_2024[[#All],[Total Comprometido]],"",0)</f>
        <v>#NAME?</v>
      </c>
      <c r="AL1497" s="47">
        <f>IF(PAA_4[[#This Row],[BOLSA]]=0,0,SUMIFS([2]!COMPROMISOS_2024[[#All],[Total Comprometido]],[2]!COMPROMISOS_2024[[#All],[Bolsa]],PAA_4[[#This Row],[BOLSA]],[2]!COMPROMISOS_2024[[#All],[concatenado]],PAA_4[[#This Row],[RCP-RUBRO]]))</f>
        <v>0</v>
      </c>
    </row>
    <row r="1498" spans="1:38" s="19" customFormat="1" ht="31.5" customHeight="1">
      <c r="A1498" s="47" t="s">
        <v>82</v>
      </c>
      <c r="B1498" s="47" t="s">
        <v>42</v>
      </c>
      <c r="C1498" s="47" t="str">
        <f>VLOOKUP(PAA_4[[#This Row],[PROYECTO (formulado)2]],[2]PROYECTOS!$G$1:$L$32,6,0)</f>
        <v>SUBGERENCIA DE FOMENTO Y DESARROLLO</v>
      </c>
      <c r="D1498" s="47" t="str">
        <f>+IF(PAA_4[[#This Row],[UNIDAD DE CONTRATACION (formulado)]]="Subgerencia Administrativa y Financiera","FUNCIONAMIENTO","INVERSIÓN")</f>
        <v>INVERSIÓN</v>
      </c>
      <c r="E1498" s="48" t="str">
        <f>VLOOKUP(Q1498,[2]PROYECTOS!$G$1:$K$32,5,0)</f>
        <v>FORTALECIMIENTO_DE_LOS_JUEGOS_DEL_SECTOR_EDUCATIVO_EN_ANTIOQUIA</v>
      </c>
      <c r="F1498" s="48">
        <f>VLOOKUP(E1498,[2]PROYECTOS!$K$1:$M$32,3,0)</f>
        <v>2020003050034</v>
      </c>
      <c r="G1498" s="367" t="s">
        <v>412</v>
      </c>
      <c r="H1498" s="49" t="str">
        <f>VLOOKUP(Q1498,[2]PROYECTOS!$V$1:$W$32,2,0)</f>
        <v>050053</v>
      </c>
      <c r="I1498" s="78">
        <v>16444504</v>
      </c>
      <c r="J1498" s="51" t="s">
        <v>1851</v>
      </c>
      <c r="K1498" s="47" t="str">
        <f t="shared" ca="1" si="524"/>
        <v>CONTRATADO</v>
      </c>
      <c r="L1498" s="47" t="s">
        <v>42</v>
      </c>
      <c r="M1498" s="47" t="s">
        <v>42</v>
      </c>
      <c r="N1498" s="52" t="s">
        <v>145</v>
      </c>
      <c r="O1498" s="51" t="e">
        <f>VLOOKUP(N1498,[2]!RUBROS[#All],3,0)</f>
        <v>#REF!</v>
      </c>
      <c r="P1498" s="53" t="e">
        <f>VLOOKUP(N1498,[2]!RUBROS[#All],2,0)</f>
        <v>#REF!</v>
      </c>
      <c r="Q1498" s="47" t="str">
        <f t="shared" si="525"/>
        <v>51</v>
      </c>
      <c r="R1498" s="47" t="str">
        <f t="shared" si="511"/>
        <v>0-205400</v>
      </c>
      <c r="S1498" s="54" t="s">
        <v>42</v>
      </c>
      <c r="T1498" s="59" t="s">
        <v>42</v>
      </c>
      <c r="U1498" s="326" t="e">
        <f ca="1">_xlfn.XLOOKUP(PAA_4[[#This Row],[ITEM]],[2]Contrato!A:A,[2]Contrato!Q:Q,"",0)</f>
        <v>#NAME?</v>
      </c>
      <c r="V1498" s="47" t="s">
        <v>95</v>
      </c>
      <c r="W1498" s="47" t="s">
        <v>42</v>
      </c>
      <c r="X1498" s="47" t="s">
        <v>42</v>
      </c>
      <c r="Y1498" s="55" t="e">
        <f ca="1">_xlfn.XLOOKUP(PAA_4[[#This Row],[ITEM]],[2]Contrato!A:A,[2]Contrato!B:B,"",0)</f>
        <v>#NAME?</v>
      </c>
      <c r="Z1498" s="47" t="e">
        <f ca="1">_xlfn.XLOOKUP(PAA_4[[#This Row],[ITEM]],[2]Contrato!A:A,[2]Contrato!G:G,"",0)</f>
        <v>#NAME?</v>
      </c>
      <c r="AA1498" s="47" t="e">
        <f ca="1">_xlfn.XLOOKUP(PAA_4[[#This Row],[ITEM]],[2]Contrato!A:A,[2]Contrato!T:T,"",0)</f>
        <v>#NAME?</v>
      </c>
      <c r="AB1498" s="55" t="e">
        <f ca="1">+MAX(PAA_4[[#This Row],[Comprometido Contrato]],PAA_4[[#This Row],[Comprometido Bolsa]])</f>
        <v>#NAME?</v>
      </c>
      <c r="AC1498" s="55" t="str">
        <f t="shared" ca="1" si="526"/>
        <v/>
      </c>
      <c r="AD1498" s="55" t="e">
        <f ca="1">IF(PAA_4[[#This Row],[ESTADO (formulado)]]="NO CONTRATADO",0,MAX(PAA_4[[#This Row],[Pago por Contrato]],PAA_4[[#This Row],[Pago por bolsa]]))</f>
        <v>#NAME?</v>
      </c>
      <c r="AE1498" s="55" t="str">
        <f t="shared" ca="1" si="527"/>
        <v/>
      </c>
      <c r="AF1498" s="47" t="e">
        <f t="shared" ca="1" si="528"/>
        <v>#NAME?</v>
      </c>
      <c r="AG1498" s="47">
        <f t="shared" si="529"/>
        <v>44021011</v>
      </c>
      <c r="AH1498" s="54">
        <f>IF(Q1498="22",IF(ISNUMBER(SEARCH("econ",PAA_4[[#This Row],[Actividad3]])),"Económico",IF(ISNUMBER(SEARCH("alim",PAA_4[[#This Row],[Actividad3]])),"Alimentación",IF(ISNUMBER(SEARCH("educ",PAA_4[[#This Row],[Actividad3]])),"Educativo","Técnico"))),0)</f>
        <v>0</v>
      </c>
      <c r="AI1498" s="47" t="e" cm="1">
        <f t="array" aca="1" ref="AI1498" ca="1">_xlfn.XLOOKUP(PAA_4[[#This Row],[RCP-RUBRO]],[2]!COMPROMISOS_2024[[#All],[concatenado]],[2]!COMPROMISOS_2024[[#All],[Total pagado]],"",0)</f>
        <v>#NAME?</v>
      </c>
      <c r="AJ1498" s="56">
        <f>IF(PAA_4[[#This Row],[BOLSA]]=0,0,SUMIFS([2]!COMPROMISOS_2024[[#All],[Total pagado]],[2]!COMPROMISOS_2024[[#All],[Bolsa]],PAA_4[[#This Row],[BOLSA]],[2]!COMPROMISOS_2024[[#All],[rubro]],PAA_4[[#This Row],[RCP-RUBRO]]))</f>
        <v>0</v>
      </c>
      <c r="AK1498" s="47" t="e" cm="1">
        <f t="array" aca="1" ref="AK1498" ca="1">_xlfn.XLOOKUP(PAA_4[[#This Row],[RCP-RUBRO]],[2]!COMPROMISOS_2024[[#All],[concatenado]],[2]!COMPROMISOS_2024[[#All],[Total Comprometido]],"",0)</f>
        <v>#NAME?</v>
      </c>
      <c r="AL1498" s="47">
        <f>IF(PAA_4[[#This Row],[BOLSA]]=0,0,SUMIFS([2]!COMPROMISOS_2024[[#All],[Total Comprometido]],[2]!COMPROMISOS_2024[[#All],[Bolsa]],PAA_4[[#This Row],[BOLSA]],[2]!COMPROMISOS_2024[[#All],[concatenado]],PAA_4[[#This Row],[RCP-RUBRO]]))</f>
        <v>0</v>
      </c>
    </row>
    <row r="1499" spans="1:38" s="19" customFormat="1" ht="31.5" customHeight="1">
      <c r="A1499" s="47" t="s">
        <v>82</v>
      </c>
      <c r="B1499" s="47" t="s">
        <v>42</v>
      </c>
      <c r="C1499" s="47" t="str">
        <f>VLOOKUP(PAA_4[[#This Row],[PROYECTO (formulado)2]],[2]PROYECTOS!$G$1:$L$32,6,0)</f>
        <v>SUBGERENCIA DE FOMENTO Y DESARROLLO</v>
      </c>
      <c r="D1499" s="47" t="str">
        <f>+IF(PAA_4[[#This Row],[UNIDAD DE CONTRATACION (formulado)]]="Subgerencia Administrativa y Financiera","FUNCIONAMIENTO","INVERSIÓN")</f>
        <v>INVERSIÓN</v>
      </c>
      <c r="E1499" s="48" t="str">
        <f>VLOOKUP(Q1499,[2]PROYECTOS!$G$1:$K$32,5,0)</f>
        <v>FORTALECIMIENTO_DE_LOS_JUEGOS_DEL_SECTOR_EDUCATIVO_EN_ANTIOQUIA</v>
      </c>
      <c r="F1499" s="48">
        <f>VLOOKUP(E1499,[2]PROYECTOS!$K$1:$M$32,3,0)</f>
        <v>2020003050034</v>
      </c>
      <c r="G1499" s="367" t="s">
        <v>412</v>
      </c>
      <c r="H1499" s="49" t="str">
        <f>VLOOKUP(Q1499,[2]PROYECTOS!$V$1:$W$32,2,0)</f>
        <v>050053</v>
      </c>
      <c r="I1499" s="78">
        <v>79256415</v>
      </c>
      <c r="J1499" s="51" t="s">
        <v>1851</v>
      </c>
      <c r="K1499" s="47" t="str">
        <f t="shared" ca="1" si="524"/>
        <v>CONTRATADO</v>
      </c>
      <c r="L1499" s="47" t="s">
        <v>42</v>
      </c>
      <c r="M1499" s="47" t="s">
        <v>42</v>
      </c>
      <c r="N1499" s="52" t="s">
        <v>449</v>
      </c>
      <c r="O1499" s="51" t="e">
        <f>VLOOKUP(N1499,[2]!RUBROS[#All],3,0)</f>
        <v>#REF!</v>
      </c>
      <c r="P1499" s="53" t="e">
        <f>VLOOKUP(N1499,[2]!RUBROS[#All],2,0)</f>
        <v>#REF!</v>
      </c>
      <c r="Q1499" s="47" t="str">
        <f t="shared" si="525"/>
        <v>51</v>
      </c>
      <c r="R1499" s="47" t="str">
        <f t="shared" si="511"/>
        <v>4-271130</v>
      </c>
      <c r="S1499" s="54" t="s">
        <v>42</v>
      </c>
      <c r="T1499" s="59" t="s">
        <v>42</v>
      </c>
      <c r="U1499" s="326" t="e">
        <f ca="1">_xlfn.XLOOKUP(PAA_4[[#This Row],[ITEM]],[2]Contrato!A:A,[2]Contrato!Q:Q,"",0)</f>
        <v>#NAME?</v>
      </c>
      <c r="V1499" s="47" t="s">
        <v>95</v>
      </c>
      <c r="W1499" s="47" t="s">
        <v>42</v>
      </c>
      <c r="X1499" s="47" t="s">
        <v>42</v>
      </c>
      <c r="Y1499" s="55" t="e">
        <f ca="1">_xlfn.XLOOKUP(PAA_4[[#This Row],[ITEM]],[2]Contrato!A:A,[2]Contrato!B:B,"",0)</f>
        <v>#NAME?</v>
      </c>
      <c r="Z1499" s="47" t="e">
        <f ca="1">_xlfn.XLOOKUP(PAA_4[[#This Row],[ITEM]],[2]Contrato!A:A,[2]Contrato!G:G,"",0)</f>
        <v>#NAME?</v>
      </c>
      <c r="AA1499" s="47" t="e">
        <f ca="1">_xlfn.XLOOKUP(PAA_4[[#This Row],[ITEM]],[2]Contrato!A:A,[2]Contrato!T:T,"",0)</f>
        <v>#NAME?</v>
      </c>
      <c r="AB1499" s="55" t="e">
        <f ca="1">+MAX(PAA_4[[#This Row],[Comprometido Contrato]],PAA_4[[#This Row],[Comprometido Bolsa]])</f>
        <v>#NAME?</v>
      </c>
      <c r="AC1499" s="55" t="str">
        <f t="shared" ca="1" si="526"/>
        <v/>
      </c>
      <c r="AD1499" s="55" t="e">
        <f ca="1">IF(PAA_4[[#This Row],[ESTADO (formulado)]]="NO CONTRATADO",0,MAX(PAA_4[[#This Row],[Pago por Contrato]],PAA_4[[#This Row],[Pago por bolsa]]))</f>
        <v>#NAME?</v>
      </c>
      <c r="AE1499" s="55" t="str">
        <f t="shared" ca="1" si="527"/>
        <v/>
      </c>
      <c r="AF1499" s="47" t="e">
        <f t="shared" ca="1" si="528"/>
        <v>#NAME?</v>
      </c>
      <c r="AG1499" s="47">
        <f t="shared" si="529"/>
        <v>44021011</v>
      </c>
      <c r="AH1499" s="54">
        <f>IF(Q1499="22",IF(ISNUMBER(SEARCH("econ",PAA_4[[#This Row],[Actividad3]])),"Económico",IF(ISNUMBER(SEARCH("alim",PAA_4[[#This Row],[Actividad3]])),"Alimentación",IF(ISNUMBER(SEARCH("educ",PAA_4[[#This Row],[Actividad3]])),"Educativo","Técnico"))),0)</f>
        <v>0</v>
      </c>
      <c r="AI1499" s="47" t="e" cm="1">
        <f t="array" aca="1" ref="AI1499" ca="1">_xlfn.XLOOKUP(PAA_4[[#This Row],[RCP-RUBRO]],[2]!COMPROMISOS_2024[[#All],[concatenado]],[2]!COMPROMISOS_2024[[#All],[Total pagado]],"",0)</f>
        <v>#NAME?</v>
      </c>
      <c r="AJ1499" s="56">
        <f>IF(PAA_4[[#This Row],[BOLSA]]=0,0,SUMIFS([2]!COMPROMISOS_2024[[#All],[Total pagado]],[2]!COMPROMISOS_2024[[#All],[Bolsa]],PAA_4[[#This Row],[BOLSA]],[2]!COMPROMISOS_2024[[#All],[rubro]],PAA_4[[#This Row],[RCP-RUBRO]]))</f>
        <v>0</v>
      </c>
      <c r="AK1499" s="47" t="e" cm="1">
        <f t="array" aca="1" ref="AK1499" ca="1">_xlfn.XLOOKUP(PAA_4[[#This Row],[RCP-RUBRO]],[2]!COMPROMISOS_2024[[#All],[concatenado]],[2]!COMPROMISOS_2024[[#All],[Total Comprometido]],"",0)</f>
        <v>#NAME?</v>
      </c>
      <c r="AL1499" s="47">
        <f>IF(PAA_4[[#This Row],[BOLSA]]=0,0,SUMIFS([2]!COMPROMISOS_2024[[#All],[Total Comprometido]],[2]!COMPROMISOS_2024[[#All],[Bolsa]],PAA_4[[#This Row],[BOLSA]],[2]!COMPROMISOS_2024[[#All],[concatenado]],PAA_4[[#This Row],[RCP-RUBRO]]))</f>
        <v>0</v>
      </c>
    </row>
    <row r="1500" spans="1:38" s="19" customFormat="1" ht="31.5" customHeight="1">
      <c r="A1500" s="47" t="s">
        <v>82</v>
      </c>
      <c r="B1500" s="47" t="s">
        <v>42</v>
      </c>
      <c r="C1500" s="47" t="str">
        <f>VLOOKUP(PAA_4[[#This Row],[PROYECTO (formulado)2]],[2]PROYECTOS!$G$1:$L$32,6,0)</f>
        <v>SUBGERENCIA DE FOMENTO Y DESARROLLO</v>
      </c>
      <c r="D1500" s="47" t="str">
        <f>+IF(PAA_4[[#This Row],[UNIDAD DE CONTRATACION (formulado)]]="Subgerencia Administrativa y Financiera","FUNCIONAMIENTO","INVERSIÓN")</f>
        <v>INVERSIÓN</v>
      </c>
      <c r="E1500" s="48" t="str">
        <f>VLOOKUP(Q1500,[2]PROYECTOS!$G$1:$K$32,5,0)</f>
        <v>FORTALECIMIENTO_DE_LOS_JUEGOS_DEL_SECTOR_SOCIAL_COMUNITARIO_EN_LOS_MUNICIPIOS_DEL_DEPARTAMENTO_DE_ANTIOQU</v>
      </c>
      <c r="F1500" s="48">
        <f>VLOOKUP(E1500,[2]PROYECTOS!$K$1:$M$32,3,0)</f>
        <v>2020003050033</v>
      </c>
      <c r="G1500" s="367" t="s">
        <v>394</v>
      </c>
      <c r="H1500" s="49" t="str">
        <f>VLOOKUP(Q1500,[2]PROYECTOS!$V$1:$W$32,2,0)</f>
        <v>050057</v>
      </c>
      <c r="I1500" s="78">
        <v>9019622</v>
      </c>
      <c r="J1500" s="51" t="s">
        <v>1851</v>
      </c>
      <c r="K1500" s="47" t="str">
        <f t="shared" ca="1" si="524"/>
        <v>CONTRATADO</v>
      </c>
      <c r="L1500" s="47" t="s">
        <v>42</v>
      </c>
      <c r="M1500" s="47" t="s">
        <v>42</v>
      </c>
      <c r="N1500" s="52" t="s">
        <v>396</v>
      </c>
      <c r="O1500" s="51" t="e">
        <f>VLOOKUP(N1500,[2]!RUBROS[#All],3,0)</f>
        <v>#REF!</v>
      </c>
      <c r="P1500" s="53" t="e">
        <f>VLOOKUP(N1500,[2]!RUBROS[#All],2,0)</f>
        <v>#REF!</v>
      </c>
      <c r="Q1500" s="47" t="str">
        <f t="shared" si="525"/>
        <v>50</v>
      </c>
      <c r="R1500" s="47" t="str">
        <f t="shared" si="511"/>
        <v>0-205128</v>
      </c>
      <c r="S1500" s="54" t="s">
        <v>42</v>
      </c>
      <c r="T1500" s="59" t="s">
        <v>42</v>
      </c>
      <c r="U1500" s="326" t="e">
        <f ca="1">_xlfn.XLOOKUP(PAA_4[[#This Row],[ITEM]],[2]Contrato!A:A,[2]Contrato!Q:Q,"",0)</f>
        <v>#NAME?</v>
      </c>
      <c r="V1500" s="47" t="s">
        <v>95</v>
      </c>
      <c r="W1500" s="47" t="s">
        <v>42</v>
      </c>
      <c r="X1500" s="47" t="s">
        <v>42</v>
      </c>
      <c r="Y1500" s="55" t="e">
        <f ca="1">_xlfn.XLOOKUP(PAA_4[[#This Row],[ITEM]],[2]Contrato!A:A,[2]Contrato!B:B,"",0)</f>
        <v>#NAME?</v>
      </c>
      <c r="Z1500" s="47" t="e">
        <f ca="1">_xlfn.XLOOKUP(PAA_4[[#This Row],[ITEM]],[2]Contrato!A:A,[2]Contrato!G:G,"",0)</f>
        <v>#NAME?</v>
      </c>
      <c r="AA1500" s="47" t="e">
        <f ca="1">_xlfn.XLOOKUP(PAA_4[[#This Row],[ITEM]],[2]Contrato!A:A,[2]Contrato!T:T,"",0)</f>
        <v>#NAME?</v>
      </c>
      <c r="AB1500" s="55" t="e">
        <f ca="1">+MAX(PAA_4[[#This Row],[Comprometido Contrato]],PAA_4[[#This Row],[Comprometido Bolsa]])</f>
        <v>#NAME?</v>
      </c>
      <c r="AC1500" s="55" t="str">
        <f t="shared" ca="1" si="526"/>
        <v/>
      </c>
      <c r="AD1500" s="55" t="e">
        <f ca="1">IF(PAA_4[[#This Row],[ESTADO (formulado)]]="NO CONTRATADO",0,MAX(PAA_4[[#This Row],[Pago por Contrato]],PAA_4[[#This Row],[Pago por bolsa]]))</f>
        <v>#NAME?</v>
      </c>
      <c r="AE1500" s="55" t="str">
        <f t="shared" ca="1" si="527"/>
        <v/>
      </c>
      <c r="AF1500" s="47" t="e">
        <f t="shared" ca="1" si="528"/>
        <v>#NAME?</v>
      </c>
      <c r="AG1500" s="47">
        <f t="shared" si="529"/>
        <v>44021010</v>
      </c>
      <c r="AH1500" s="54">
        <f>IF(Q1500="22",IF(ISNUMBER(SEARCH("econ",PAA_4[[#This Row],[Actividad3]])),"Económico",IF(ISNUMBER(SEARCH("alim",PAA_4[[#This Row],[Actividad3]])),"Alimentación",IF(ISNUMBER(SEARCH("educ",PAA_4[[#This Row],[Actividad3]])),"Educativo","Técnico"))),0)</f>
        <v>0</v>
      </c>
      <c r="AI1500" s="47" t="e" cm="1">
        <f t="array" aca="1" ref="AI1500" ca="1">_xlfn.XLOOKUP(PAA_4[[#This Row],[RCP-RUBRO]],[2]!COMPROMISOS_2024[[#All],[concatenado]],[2]!COMPROMISOS_2024[[#All],[Total pagado]],"",0)</f>
        <v>#NAME?</v>
      </c>
      <c r="AJ1500" s="56">
        <f>IF(PAA_4[[#This Row],[BOLSA]]=0,0,SUMIFS([2]!COMPROMISOS_2024[[#All],[Total pagado]],[2]!COMPROMISOS_2024[[#All],[Bolsa]],PAA_4[[#This Row],[BOLSA]],[2]!COMPROMISOS_2024[[#All],[rubro]],PAA_4[[#This Row],[RCP-RUBRO]]))</f>
        <v>0</v>
      </c>
      <c r="AK1500" s="47" t="e" cm="1">
        <f t="array" aca="1" ref="AK1500" ca="1">_xlfn.XLOOKUP(PAA_4[[#This Row],[RCP-RUBRO]],[2]!COMPROMISOS_2024[[#All],[concatenado]],[2]!COMPROMISOS_2024[[#All],[Total Comprometido]],"",0)</f>
        <v>#NAME?</v>
      </c>
      <c r="AL1500" s="47">
        <f>IF(PAA_4[[#This Row],[BOLSA]]=0,0,SUMIFS([2]!COMPROMISOS_2024[[#All],[Total Comprometido]],[2]!COMPROMISOS_2024[[#All],[Bolsa]],PAA_4[[#This Row],[BOLSA]],[2]!COMPROMISOS_2024[[#All],[concatenado]],PAA_4[[#This Row],[RCP-RUBRO]]))</f>
        <v>0</v>
      </c>
    </row>
    <row r="1501" spans="1:38" s="19" customFormat="1" ht="31.5" customHeight="1">
      <c r="A1501" s="47">
        <v>782</v>
      </c>
      <c r="B1501" s="74" t="s">
        <v>393</v>
      </c>
      <c r="C1501" s="47" t="str">
        <f>VLOOKUP(PAA_4[[#This Row],[PROYECTO (formulado)2]],[2]PROYECTOS!$G$1:$L$32,6,0)</f>
        <v>SUBGERENCIA DE FOMENTO Y DESARROLLO</v>
      </c>
      <c r="D1501" s="47" t="str">
        <f>+IF(PAA_4[[#This Row],[UNIDAD DE CONTRATACION (formulado)]]="Subgerencia Administrativa y Financiera","FUNCIONAMIENTO","INVERSIÓN")</f>
        <v>INVERSIÓN</v>
      </c>
      <c r="E1501" s="48" t="str">
        <f>VLOOKUP(Q1501,[2]PROYECTOS!$G$1:$K$32,5,0)</f>
        <v>FORTALECIMIENTO_DE_LOS_JUEGOS_DEL_SECTOR_EDUCATIVO_EN_ANTIOQUIA</v>
      </c>
      <c r="F1501" s="48">
        <f>VLOOKUP(E1501,[2]PROYECTOS!$K$1:$M$32,3,0)</f>
        <v>2020003050034</v>
      </c>
      <c r="G1501" s="367" t="s">
        <v>412</v>
      </c>
      <c r="H1501" s="49" t="str">
        <f>VLOOKUP(Q1501,[2]PROYECTOS!$V$1:$W$32,2,0)</f>
        <v>050053</v>
      </c>
      <c r="I1501" s="78">
        <f>380703881-16444504</f>
        <v>364259377</v>
      </c>
      <c r="J1501" s="74" t="s">
        <v>447</v>
      </c>
      <c r="K1501" s="47" t="str">
        <f t="shared" ca="1" si="524"/>
        <v>CONTRATADO</v>
      </c>
      <c r="L1501" s="47" t="s">
        <v>94</v>
      </c>
      <c r="M1501" s="47" t="s">
        <v>161</v>
      </c>
      <c r="N1501" s="368" t="s">
        <v>145</v>
      </c>
      <c r="O1501" s="51" t="e">
        <f>VLOOKUP(N1501,[2]!RUBROS[#All],3,0)</f>
        <v>#REF!</v>
      </c>
      <c r="P1501" s="53" t="e">
        <f>VLOOKUP(N1501,[2]!RUBROS[#All],2,0)</f>
        <v>#REF!</v>
      </c>
      <c r="Q1501" s="47" t="str">
        <f t="shared" si="525"/>
        <v>51</v>
      </c>
      <c r="R1501" s="47" t="str">
        <f t="shared" si="511"/>
        <v>0-205400</v>
      </c>
      <c r="S1501" s="54">
        <v>7</v>
      </c>
      <c r="T1501" s="59" t="s">
        <v>46</v>
      </c>
      <c r="U1501" s="326" t="e">
        <f ca="1">_xlfn.XLOOKUP(PAA_4[[#This Row],[ITEM]],[2]Contrato!A:A,[2]Contrato!Q:Q,"",0)</f>
        <v>#NAME?</v>
      </c>
      <c r="V1501" s="47" t="s">
        <v>95</v>
      </c>
      <c r="W1501" s="47" t="s">
        <v>226</v>
      </c>
      <c r="X1501" s="47" t="s">
        <v>226</v>
      </c>
      <c r="Y1501" s="55" t="e">
        <f ca="1">_xlfn.XLOOKUP(PAA_4[[#This Row],[ITEM]],[2]Contrato!A:A,[2]Contrato!B:B,"",0)</f>
        <v>#NAME?</v>
      </c>
      <c r="Z1501" s="47" t="e">
        <f ca="1">_xlfn.XLOOKUP(PAA_4[[#This Row],[ITEM]],[2]Contrato!A:A,[2]Contrato!G:G,"",0)</f>
        <v>#NAME?</v>
      </c>
      <c r="AA1501" s="47" t="e">
        <f ca="1">_xlfn.XLOOKUP(PAA_4[[#This Row],[ITEM]],[2]Contrato!A:A,[2]Contrato!T:T,"",0)</f>
        <v>#NAME?</v>
      </c>
      <c r="AB1501" s="55" t="e">
        <f ca="1">+MAX(PAA_4[[#This Row],[Comprometido Contrato]],PAA_4[[#This Row],[Comprometido Bolsa]])</f>
        <v>#NAME?</v>
      </c>
      <c r="AC1501" s="55" t="str">
        <f t="shared" ca="1" si="526"/>
        <v/>
      </c>
      <c r="AD1501" s="55" t="e">
        <f ca="1">IF(PAA_4[[#This Row],[ESTADO (formulado)]]="NO CONTRATADO",0,MAX(PAA_4[[#This Row],[Pago por Contrato]],PAA_4[[#This Row],[Pago por bolsa]]))</f>
        <v>#NAME?</v>
      </c>
      <c r="AE1501" s="55" t="str">
        <f t="shared" ca="1" si="527"/>
        <v/>
      </c>
      <c r="AF1501" s="47" t="e">
        <f t="shared" ca="1" si="528"/>
        <v>#NAME?</v>
      </c>
      <c r="AG1501" s="47">
        <f t="shared" si="529"/>
        <v>44021011</v>
      </c>
      <c r="AH1501" s="54">
        <f>IF(Q1501="22",IF(ISNUMBER(SEARCH("econ",PAA_4[[#This Row],[Actividad3]])),"Económico",IF(ISNUMBER(SEARCH("alim",PAA_4[[#This Row],[Actividad3]])),"Alimentación",IF(ISNUMBER(SEARCH("educ",PAA_4[[#This Row],[Actividad3]])),"Educativo","Técnico"))),0)</f>
        <v>0</v>
      </c>
      <c r="AI1501" s="47" t="e" cm="1">
        <f t="array" aca="1" ref="AI1501" ca="1">_xlfn.XLOOKUP(PAA_4[[#This Row],[RCP-RUBRO]],[2]!COMPROMISOS_2024[[#All],[concatenado]],[2]!COMPROMISOS_2024[[#All],[Total pagado]],"",0)</f>
        <v>#NAME?</v>
      </c>
      <c r="AJ1501" s="56">
        <f>IF(PAA_4[[#This Row],[BOLSA]]=0,0,SUMIFS([2]!COMPROMISOS_2024[[#All],[Total pagado]],[2]!COMPROMISOS_2024[[#All],[Bolsa]],PAA_4[[#This Row],[BOLSA]],[2]!COMPROMISOS_2024[[#All],[rubro]],PAA_4[[#This Row],[RCP-RUBRO]]))</f>
        <v>0</v>
      </c>
      <c r="AK1501" s="47" t="e" cm="1">
        <f t="array" aca="1" ref="AK1501" ca="1">_xlfn.XLOOKUP(PAA_4[[#This Row],[RCP-RUBRO]],[2]!COMPROMISOS_2024[[#All],[concatenado]],[2]!COMPROMISOS_2024[[#All],[Total Comprometido]],"",0)</f>
        <v>#NAME?</v>
      </c>
      <c r="AL1501" s="47">
        <f>IF(PAA_4[[#This Row],[BOLSA]]=0,0,SUMIFS([2]!COMPROMISOS_2024[[#All],[Total Comprometido]],[2]!COMPROMISOS_2024[[#All],[Bolsa]],PAA_4[[#This Row],[BOLSA]],[2]!COMPROMISOS_2024[[#All],[concatenado]],PAA_4[[#This Row],[RCP-RUBRO]]))</f>
        <v>0</v>
      </c>
    </row>
    <row r="1502" spans="1:38" s="19" customFormat="1" ht="31.5" customHeight="1">
      <c r="A1502" s="47">
        <v>782</v>
      </c>
      <c r="B1502" s="74" t="s">
        <v>393</v>
      </c>
      <c r="C1502" s="47" t="str">
        <f>VLOOKUP(PAA_4[[#This Row],[PROYECTO (formulado)2]],[2]PROYECTOS!$G$1:$L$32,6,0)</f>
        <v>SUBGERENCIA DE FOMENTO Y DESARROLLO</v>
      </c>
      <c r="D1502" s="47" t="str">
        <f>+IF(PAA_4[[#This Row],[UNIDAD DE CONTRATACION (formulado)]]="Subgerencia Administrativa y Financiera","FUNCIONAMIENTO","INVERSIÓN")</f>
        <v>INVERSIÓN</v>
      </c>
      <c r="E1502" s="48" t="str">
        <f>VLOOKUP(Q1502,[2]PROYECTOS!$G$1:$K$32,5,0)</f>
        <v>FORTALECIMIENTO_DE_LOS_JUEGOS_DEL_SECTOR_EDUCATIVO_EN_ANTIOQUIA</v>
      </c>
      <c r="F1502" s="48">
        <f>VLOOKUP(E1502,[2]PROYECTOS!$K$1:$M$32,3,0)</f>
        <v>2020003050034</v>
      </c>
      <c r="G1502" s="367" t="s">
        <v>412</v>
      </c>
      <c r="H1502" s="49" t="str">
        <f>VLOOKUP(Q1502,[2]PROYECTOS!$V$1:$W$32,2,0)</f>
        <v>050053</v>
      </c>
      <c r="I1502" s="78">
        <f>1588645767-79256415</f>
        <v>1509389352</v>
      </c>
      <c r="J1502" s="74" t="s">
        <v>448</v>
      </c>
      <c r="K1502" s="47" t="str">
        <f t="shared" ca="1" si="524"/>
        <v>CONTRATADO</v>
      </c>
      <c r="L1502" s="47" t="s">
        <v>94</v>
      </c>
      <c r="M1502" s="47" t="s">
        <v>161</v>
      </c>
      <c r="N1502" s="368" t="s">
        <v>449</v>
      </c>
      <c r="O1502" s="51" t="e">
        <f>VLOOKUP(N1502,[2]!RUBROS[#All],3,0)</f>
        <v>#REF!</v>
      </c>
      <c r="P1502" s="53" t="e">
        <f>VLOOKUP(N1502,[2]!RUBROS[#All],2,0)</f>
        <v>#REF!</v>
      </c>
      <c r="Q1502" s="47" t="str">
        <f t="shared" si="525"/>
        <v>51</v>
      </c>
      <c r="R1502" s="47" t="str">
        <f t="shared" si="511"/>
        <v>4-271130</v>
      </c>
      <c r="S1502" s="54">
        <v>7</v>
      </c>
      <c r="T1502" s="59" t="s">
        <v>46</v>
      </c>
      <c r="U1502" s="326" t="e">
        <f ca="1">_xlfn.XLOOKUP(PAA_4[[#This Row],[ITEM]],[2]Contrato!A:A,[2]Contrato!Q:Q,"",0)</f>
        <v>#NAME?</v>
      </c>
      <c r="V1502" s="47" t="s">
        <v>95</v>
      </c>
      <c r="W1502" s="47" t="s">
        <v>226</v>
      </c>
      <c r="X1502" s="47" t="s">
        <v>226</v>
      </c>
      <c r="Y1502" s="55" t="e">
        <f ca="1">_xlfn.XLOOKUP(PAA_4[[#This Row],[ITEM]],[2]Contrato!A:A,[2]Contrato!B:B,"",0)</f>
        <v>#NAME?</v>
      </c>
      <c r="Z1502" s="47" t="e">
        <f ca="1">_xlfn.XLOOKUP(PAA_4[[#This Row],[ITEM]],[2]Contrato!A:A,[2]Contrato!G:G,"",0)</f>
        <v>#NAME?</v>
      </c>
      <c r="AA1502" s="47" t="e">
        <f ca="1">_xlfn.XLOOKUP(PAA_4[[#This Row],[ITEM]],[2]Contrato!A:A,[2]Contrato!T:T,"",0)</f>
        <v>#NAME?</v>
      </c>
      <c r="AB1502" s="55" t="e">
        <f ca="1">+MAX(PAA_4[[#This Row],[Comprometido Contrato]],PAA_4[[#This Row],[Comprometido Bolsa]])</f>
        <v>#NAME?</v>
      </c>
      <c r="AC1502" s="55" t="str">
        <f t="shared" ca="1" si="526"/>
        <v/>
      </c>
      <c r="AD1502" s="55" t="e">
        <f ca="1">IF(PAA_4[[#This Row],[ESTADO (formulado)]]="NO CONTRATADO",0,MAX(PAA_4[[#This Row],[Pago por Contrato]],PAA_4[[#This Row],[Pago por bolsa]]))</f>
        <v>#NAME?</v>
      </c>
      <c r="AE1502" s="55" t="str">
        <f t="shared" ca="1" si="527"/>
        <v/>
      </c>
      <c r="AF1502" s="47" t="e">
        <f t="shared" ca="1" si="528"/>
        <v>#NAME?</v>
      </c>
      <c r="AG1502" s="47">
        <f t="shared" si="529"/>
        <v>44021011</v>
      </c>
      <c r="AH1502" s="54">
        <f>IF(Q1502="22",IF(ISNUMBER(SEARCH("econ",PAA_4[[#This Row],[Actividad3]])),"Económico",IF(ISNUMBER(SEARCH("alim",PAA_4[[#This Row],[Actividad3]])),"Alimentación",IF(ISNUMBER(SEARCH("educ",PAA_4[[#This Row],[Actividad3]])),"Educativo","Técnico"))),0)</f>
        <v>0</v>
      </c>
      <c r="AI1502" s="47" t="e" cm="1">
        <f t="array" aca="1" ref="AI1502" ca="1">_xlfn.XLOOKUP(PAA_4[[#This Row],[RCP-RUBRO]],[2]!COMPROMISOS_2024[[#All],[concatenado]],[2]!COMPROMISOS_2024[[#All],[Total pagado]],"",0)</f>
        <v>#NAME?</v>
      </c>
      <c r="AJ1502" s="56">
        <f>IF(PAA_4[[#This Row],[BOLSA]]=0,0,SUMIFS([2]!COMPROMISOS_2024[[#All],[Total pagado]],[2]!COMPROMISOS_2024[[#All],[Bolsa]],PAA_4[[#This Row],[BOLSA]],[2]!COMPROMISOS_2024[[#All],[rubro]],PAA_4[[#This Row],[RCP-RUBRO]]))</f>
        <v>0</v>
      </c>
      <c r="AK1502" s="47" t="e" cm="1">
        <f t="array" aca="1" ref="AK1502" ca="1">_xlfn.XLOOKUP(PAA_4[[#This Row],[RCP-RUBRO]],[2]!COMPROMISOS_2024[[#All],[concatenado]],[2]!COMPROMISOS_2024[[#All],[Total Comprometido]],"",0)</f>
        <v>#NAME?</v>
      </c>
      <c r="AL1502" s="47">
        <f>IF(PAA_4[[#This Row],[BOLSA]]=0,0,SUMIFS([2]!COMPROMISOS_2024[[#All],[Total Comprometido]],[2]!COMPROMISOS_2024[[#All],[Bolsa]],PAA_4[[#This Row],[BOLSA]],[2]!COMPROMISOS_2024[[#All],[concatenado]],PAA_4[[#This Row],[RCP-RUBRO]]))</f>
        <v>0</v>
      </c>
    </row>
    <row r="1503" spans="1:38" s="19" customFormat="1" ht="31.5" customHeight="1">
      <c r="A1503" s="47">
        <v>782</v>
      </c>
      <c r="B1503" s="74" t="s">
        <v>393</v>
      </c>
      <c r="C1503" s="47" t="str">
        <f>VLOOKUP(PAA_4[[#This Row],[PROYECTO (formulado)2]],[2]PROYECTOS!$G$1:$L$32,6,0)</f>
        <v>SUBGERENCIA DE FOMENTO Y DESARROLLO</v>
      </c>
      <c r="D1503" s="47" t="str">
        <f>+IF(PAA_4[[#This Row],[UNIDAD DE CONTRATACION (formulado)]]="Subgerencia Administrativa y Financiera","FUNCIONAMIENTO","INVERSIÓN")</f>
        <v>INVERSIÓN</v>
      </c>
      <c r="E1503" s="48" t="str">
        <f>VLOOKUP(Q1503,[2]PROYECTOS!$G$1:$K$32,5,0)</f>
        <v>FORTALECIMIENTO_DE_LOS_JUEGOS_DEL_SECTOR_SOCIAL_COMUNITARIO_EN_LOS_MUNICIPIOS_DEL_DEPARTAMENTO_DE_ANTIOQU</v>
      </c>
      <c r="F1503" s="48">
        <f>VLOOKUP(E1503,[2]PROYECTOS!$K$1:$M$32,3,0)</f>
        <v>2020003050033</v>
      </c>
      <c r="G1503" s="367" t="s">
        <v>394</v>
      </c>
      <c r="H1503" s="49" t="str">
        <f>VLOOKUP(Q1503,[2]PROYECTOS!$V$1:$W$32,2,0)</f>
        <v>050057</v>
      </c>
      <c r="I1503" s="78">
        <f>180000000-9019622</f>
        <v>170980378</v>
      </c>
      <c r="J1503" s="74" t="s">
        <v>448</v>
      </c>
      <c r="K1503" s="47" t="str">
        <f t="shared" ca="1" si="524"/>
        <v>CONTRATADO</v>
      </c>
      <c r="L1503" s="47" t="s">
        <v>94</v>
      </c>
      <c r="M1503" s="47" t="s">
        <v>161</v>
      </c>
      <c r="N1503" s="368" t="s">
        <v>396</v>
      </c>
      <c r="O1503" s="51" t="e">
        <f>VLOOKUP(N1503,[2]!RUBROS[#All],3,0)</f>
        <v>#REF!</v>
      </c>
      <c r="P1503" s="53" t="e">
        <f>VLOOKUP(N1503,[2]!RUBROS[#All],2,0)</f>
        <v>#REF!</v>
      </c>
      <c r="Q1503" s="47" t="str">
        <f t="shared" si="525"/>
        <v>50</v>
      </c>
      <c r="R1503" s="47" t="str">
        <f t="shared" si="511"/>
        <v>0-205128</v>
      </c>
      <c r="S1503" s="54">
        <v>7</v>
      </c>
      <c r="T1503" s="59" t="s">
        <v>46</v>
      </c>
      <c r="U1503" s="326" t="e">
        <f ca="1">_xlfn.XLOOKUP(PAA_4[[#This Row],[ITEM]],[2]Contrato!A:A,[2]Contrato!Q:Q,"",0)</f>
        <v>#NAME?</v>
      </c>
      <c r="V1503" s="47" t="s">
        <v>95</v>
      </c>
      <c r="W1503" s="47" t="s">
        <v>226</v>
      </c>
      <c r="X1503" s="47" t="s">
        <v>226</v>
      </c>
      <c r="Y1503" s="55" t="e">
        <f ca="1">_xlfn.XLOOKUP(PAA_4[[#This Row],[ITEM]],[2]Contrato!A:A,[2]Contrato!B:B,"",0)</f>
        <v>#NAME?</v>
      </c>
      <c r="Z1503" s="47" t="e">
        <f ca="1">_xlfn.XLOOKUP(PAA_4[[#This Row],[ITEM]],[2]Contrato!A:A,[2]Contrato!G:G,"",0)</f>
        <v>#NAME?</v>
      </c>
      <c r="AA1503" s="47" t="e">
        <f ca="1">_xlfn.XLOOKUP(PAA_4[[#This Row],[ITEM]],[2]Contrato!A:A,[2]Contrato!T:T,"",0)</f>
        <v>#NAME?</v>
      </c>
      <c r="AB1503" s="55" t="e">
        <f ca="1">+MAX(PAA_4[[#This Row],[Comprometido Contrato]],PAA_4[[#This Row],[Comprometido Bolsa]])</f>
        <v>#NAME?</v>
      </c>
      <c r="AC1503" s="55" t="str">
        <f t="shared" ca="1" si="526"/>
        <v/>
      </c>
      <c r="AD1503" s="55" t="e">
        <f ca="1">IF(PAA_4[[#This Row],[ESTADO (formulado)]]="NO CONTRATADO",0,MAX(PAA_4[[#This Row],[Pago por Contrato]],PAA_4[[#This Row],[Pago por bolsa]]))</f>
        <v>#NAME?</v>
      </c>
      <c r="AE1503" s="55" t="str">
        <f t="shared" ca="1" si="527"/>
        <v/>
      </c>
      <c r="AF1503" s="47" t="e">
        <f t="shared" ca="1" si="528"/>
        <v>#NAME?</v>
      </c>
      <c r="AG1503" s="47">
        <f t="shared" si="529"/>
        <v>44021010</v>
      </c>
      <c r="AH1503" s="54">
        <f>IF(Q1503="22",IF(ISNUMBER(SEARCH("econ",PAA_4[[#This Row],[Actividad3]])),"Económico",IF(ISNUMBER(SEARCH("alim",PAA_4[[#This Row],[Actividad3]])),"Alimentación",IF(ISNUMBER(SEARCH("educ",PAA_4[[#This Row],[Actividad3]])),"Educativo","Técnico"))),0)</f>
        <v>0</v>
      </c>
      <c r="AI1503" s="47" t="e" cm="1">
        <f t="array" aca="1" ref="AI1503" ca="1">_xlfn.XLOOKUP(PAA_4[[#This Row],[RCP-RUBRO]],[2]!COMPROMISOS_2024[[#All],[concatenado]],[2]!COMPROMISOS_2024[[#All],[Total pagado]],"",0)</f>
        <v>#NAME?</v>
      </c>
      <c r="AJ1503" s="56">
        <f>IF(PAA_4[[#This Row],[BOLSA]]=0,0,SUMIFS([2]!COMPROMISOS_2024[[#All],[Total pagado]],[2]!COMPROMISOS_2024[[#All],[Bolsa]],PAA_4[[#This Row],[BOLSA]],[2]!COMPROMISOS_2024[[#All],[rubro]],PAA_4[[#This Row],[RCP-RUBRO]]))</f>
        <v>0</v>
      </c>
      <c r="AK1503" s="47" t="e" cm="1">
        <f t="array" aca="1" ref="AK1503" ca="1">_xlfn.XLOOKUP(PAA_4[[#This Row],[RCP-RUBRO]],[2]!COMPROMISOS_2024[[#All],[concatenado]],[2]!COMPROMISOS_2024[[#All],[Total Comprometido]],"",0)</f>
        <v>#NAME?</v>
      </c>
      <c r="AL1503" s="47">
        <f>IF(PAA_4[[#This Row],[BOLSA]]=0,0,SUMIFS([2]!COMPROMISOS_2024[[#All],[Total Comprometido]],[2]!COMPROMISOS_2024[[#All],[Bolsa]],PAA_4[[#This Row],[BOLSA]],[2]!COMPROMISOS_2024[[#All],[concatenado]],PAA_4[[#This Row],[RCP-RUBRO]]))</f>
        <v>0</v>
      </c>
    </row>
    <row r="1504" spans="1:38" s="19" customFormat="1" ht="31.5" customHeight="1">
      <c r="A1504" s="47" t="s">
        <v>82</v>
      </c>
      <c r="B1504" s="47" t="s">
        <v>42</v>
      </c>
      <c r="C1504" s="47" t="str">
        <f>VLOOKUP(PAA_4[[#This Row],[PROYECTO (formulado)2]],[2]PROYECTOS!$G$1:$L$32,6,0)</f>
        <v>SUBGERENCIA DE FOMENTO Y DESARROLLO</v>
      </c>
      <c r="D1504" s="47" t="str">
        <f>+IF(PAA_4[[#This Row],[UNIDAD DE CONTRATACION (formulado)]]="Subgerencia Administrativa y Financiera","FUNCIONAMIENTO","INVERSIÓN")</f>
        <v>INVERSIÓN</v>
      </c>
      <c r="E1504" s="48" t="str">
        <f>VLOOKUP(Q1504,[2]PROYECTOS!$G$1:$K$32,5,0)</f>
        <v>FORTALECIMIENTO_DE_LOS_JUEGOS_DEL_SECTOR_EDUCATIVO_EN_ANTIOQUIA</v>
      </c>
      <c r="F1504" s="48">
        <f>VLOOKUP(E1504,[2]PROYECTOS!$K$1:$M$32,3,0)</f>
        <v>2020003050034</v>
      </c>
      <c r="G1504" s="49" t="s">
        <v>413</v>
      </c>
      <c r="H1504" s="49" t="str">
        <f>VLOOKUP(Q1504,[2]PROYECTOS!$V$1:$W$32,2,0)</f>
        <v>050053</v>
      </c>
      <c r="I1504" s="78">
        <v>0</v>
      </c>
      <c r="J1504" s="51" t="s">
        <v>42</v>
      </c>
      <c r="K1504" s="47" t="str">
        <f t="shared" ca="1" si="524"/>
        <v>CONTRATADO</v>
      </c>
      <c r="L1504" s="47" t="s">
        <v>42</v>
      </c>
      <c r="M1504" s="47" t="s">
        <v>42</v>
      </c>
      <c r="N1504" s="52" t="s">
        <v>449</v>
      </c>
      <c r="O1504" s="51" t="e">
        <f>VLOOKUP(N1504,[2]!RUBROS[#All],3,0)</f>
        <v>#REF!</v>
      </c>
      <c r="P1504" s="53" t="e">
        <f>VLOOKUP(N1504,[2]!RUBROS[#All],2,0)</f>
        <v>#REF!</v>
      </c>
      <c r="Q1504" s="47" t="str">
        <f t="shared" si="525"/>
        <v>51</v>
      </c>
      <c r="R1504" s="47" t="str">
        <f t="shared" si="511"/>
        <v>4-271130</v>
      </c>
      <c r="S1504" s="54" t="s">
        <v>42</v>
      </c>
      <c r="T1504" s="59" t="s">
        <v>42</v>
      </c>
      <c r="U1504" s="326" t="e">
        <f ca="1">_xlfn.XLOOKUP(PAA_4[[#This Row],[ITEM]],[2]Contrato!A:A,[2]Contrato!Q:Q,"",0)</f>
        <v>#NAME?</v>
      </c>
      <c r="V1504" s="47" t="s">
        <v>95</v>
      </c>
      <c r="W1504" s="47" t="s">
        <v>42</v>
      </c>
      <c r="X1504" s="47" t="s">
        <v>42</v>
      </c>
      <c r="Y1504" s="55" t="e">
        <f ca="1">_xlfn.XLOOKUP(PAA_4[[#This Row],[ITEM]],[2]Contrato!A:A,[2]Contrato!B:B,"",0)</f>
        <v>#NAME?</v>
      </c>
      <c r="Z1504" s="47" t="e">
        <f ca="1">_xlfn.XLOOKUP(PAA_4[[#This Row],[ITEM]],[2]Contrato!A:A,[2]Contrato!G:G,"",0)</f>
        <v>#NAME?</v>
      </c>
      <c r="AA1504" s="47" t="e">
        <f ca="1">_xlfn.XLOOKUP(PAA_4[[#This Row],[ITEM]],[2]Contrato!A:A,[2]Contrato!T:T,"",0)</f>
        <v>#NAME?</v>
      </c>
      <c r="AB1504" s="55" t="e">
        <f ca="1">+MAX(PAA_4[[#This Row],[Comprometido Contrato]],PAA_4[[#This Row],[Comprometido Bolsa]])</f>
        <v>#NAME?</v>
      </c>
      <c r="AC1504" s="55" t="str">
        <f t="shared" ca="1" si="526"/>
        <v/>
      </c>
      <c r="AD1504" s="55" t="e">
        <f ca="1">IF(PAA_4[[#This Row],[ESTADO (formulado)]]="NO CONTRATADO",0,MAX(PAA_4[[#This Row],[Pago por Contrato]],PAA_4[[#This Row],[Pago por bolsa]]))</f>
        <v>#NAME?</v>
      </c>
      <c r="AE1504" s="55" t="str">
        <f t="shared" ca="1" si="527"/>
        <v/>
      </c>
      <c r="AF1504" s="47" t="e">
        <f t="shared" ca="1" si="528"/>
        <v>#NAME?</v>
      </c>
      <c r="AG1504" s="47">
        <f t="shared" si="529"/>
        <v>44021011</v>
      </c>
      <c r="AH1504" s="54">
        <f>IF(Q1504="22",IF(ISNUMBER(SEARCH("econ",PAA_4[[#This Row],[Actividad3]])),"Económico",IF(ISNUMBER(SEARCH("alim",PAA_4[[#This Row],[Actividad3]])),"Alimentación",IF(ISNUMBER(SEARCH("educ",PAA_4[[#This Row],[Actividad3]])),"Educativo","Técnico"))),0)</f>
        <v>0</v>
      </c>
      <c r="AI1504" s="47" t="e" cm="1">
        <f t="array" aca="1" ref="AI1504" ca="1">_xlfn.XLOOKUP(PAA_4[[#This Row],[RCP-RUBRO]],[2]!COMPROMISOS_2024[[#All],[concatenado]],[2]!COMPROMISOS_2024[[#All],[Total pagado]],"",0)</f>
        <v>#NAME?</v>
      </c>
      <c r="AJ1504" s="56">
        <f>IF(PAA_4[[#This Row],[BOLSA]]=0,0,SUMIFS([2]!COMPROMISOS_2024[[#All],[Total pagado]],[2]!COMPROMISOS_2024[[#All],[Bolsa]],PAA_4[[#This Row],[BOLSA]],[2]!COMPROMISOS_2024[[#All],[rubro]],PAA_4[[#This Row],[RCP-RUBRO]]))</f>
        <v>0</v>
      </c>
      <c r="AK1504" s="47" t="e" cm="1">
        <f t="array" aca="1" ref="AK1504" ca="1">_xlfn.XLOOKUP(PAA_4[[#This Row],[RCP-RUBRO]],[2]!COMPROMISOS_2024[[#All],[concatenado]],[2]!COMPROMISOS_2024[[#All],[Total Comprometido]],"",0)</f>
        <v>#NAME?</v>
      </c>
      <c r="AL1504" s="47">
        <f>IF(PAA_4[[#This Row],[BOLSA]]=0,0,SUMIFS([2]!COMPROMISOS_2024[[#All],[Total Comprometido]],[2]!COMPROMISOS_2024[[#All],[Bolsa]],PAA_4[[#This Row],[BOLSA]],[2]!COMPROMISOS_2024[[#All],[concatenado]],PAA_4[[#This Row],[RCP-RUBRO]]))</f>
        <v>0</v>
      </c>
    </row>
    <row r="1505" spans="1:38" s="19" customFormat="1" ht="31.5" customHeight="1">
      <c r="A1505" s="47">
        <v>851</v>
      </c>
      <c r="B1505" s="47" t="s">
        <v>393</v>
      </c>
      <c r="C1505" s="47" t="str">
        <f>VLOOKUP(PAA_4[[#This Row],[PROYECTO (formulado)2]],[2]PROYECTOS!$G$1:$L$32,6,0)</f>
        <v>SUBGERENCIA DE FOMENTO Y DESARROLLO</v>
      </c>
      <c r="D1505" s="47" t="str">
        <f>+IF(PAA_4[[#This Row],[UNIDAD DE CONTRATACION (formulado)]]="Subgerencia Administrativa y Financiera","FUNCIONAMIENTO","INVERSIÓN")</f>
        <v>INVERSIÓN</v>
      </c>
      <c r="E1505" s="48" t="str">
        <f>VLOOKUP(Q1505,[2]PROYECTOS!$G$1:$K$32,5,0)</f>
        <v>FORTALECIMIENTO_DE_LOS_JUEGOS_DEL_SECTOR_EDUCATIVO_EN_ANTIOQUIA</v>
      </c>
      <c r="F1505" s="48">
        <f>VLOOKUP(E1505,[2]PROYECTOS!$K$1:$M$32,3,0)</f>
        <v>2020003050034</v>
      </c>
      <c r="G1505" s="49" t="s">
        <v>413</v>
      </c>
      <c r="H1505" s="49" t="str">
        <f>VLOOKUP(Q1505,[2]PROYECTOS!$V$1:$W$32,2,0)</f>
        <v>050053</v>
      </c>
      <c r="I1505" s="78">
        <f>154520525-1204803</f>
        <v>153315722</v>
      </c>
      <c r="J1505" s="51" t="s">
        <v>1905</v>
      </c>
      <c r="K1505" s="47" t="str">
        <f t="shared" ca="1" si="524"/>
        <v>CONTRATADO</v>
      </c>
      <c r="L1505" s="47" t="s">
        <v>94</v>
      </c>
      <c r="M1505" s="47" t="s">
        <v>255</v>
      </c>
      <c r="N1505" s="52" t="s">
        <v>449</v>
      </c>
      <c r="O1505" s="51" t="e">
        <f>VLOOKUP(N1505,[2]!RUBROS[#All],3,0)</f>
        <v>#REF!</v>
      </c>
      <c r="P1505" s="53" t="e">
        <f>VLOOKUP(N1505,[2]!RUBROS[#All],2,0)</f>
        <v>#REF!</v>
      </c>
      <c r="Q1505" s="47" t="str">
        <f t="shared" si="525"/>
        <v>51</v>
      </c>
      <c r="R1505" s="47" t="str">
        <f t="shared" si="511"/>
        <v>4-271130</v>
      </c>
      <c r="S1505" s="339">
        <v>5.5</v>
      </c>
      <c r="T1505" s="59" t="s">
        <v>46</v>
      </c>
      <c r="U1505" s="326" t="e">
        <f ca="1">_xlfn.XLOOKUP(PAA_4[[#This Row],[ITEM]],[2]Contrato!A:A,[2]Contrato!Q:Q,"",0)</f>
        <v>#NAME?</v>
      </c>
      <c r="V1505" s="47" t="s">
        <v>47</v>
      </c>
      <c r="W1505" s="47" t="s">
        <v>193</v>
      </c>
      <c r="X1505" s="47" t="s">
        <v>193</v>
      </c>
      <c r="Y1505" s="55" t="e">
        <f ca="1">_xlfn.XLOOKUP(PAA_4[[#This Row],[ITEM]],[2]Contrato!A:A,[2]Contrato!B:B,"",0)</f>
        <v>#NAME?</v>
      </c>
      <c r="Z1505" s="47" t="e">
        <f ca="1">_xlfn.XLOOKUP(PAA_4[[#This Row],[ITEM]],[2]Contrato!A:A,[2]Contrato!G:G,"",0)</f>
        <v>#NAME?</v>
      </c>
      <c r="AA1505" s="47" t="e">
        <f ca="1">_xlfn.XLOOKUP(PAA_4[[#This Row],[ITEM]],[2]Contrato!A:A,[2]Contrato!T:T,"",0)</f>
        <v>#NAME?</v>
      </c>
      <c r="AB1505" s="55" t="e">
        <f ca="1">+MAX(PAA_4[[#This Row],[Comprometido Contrato]],PAA_4[[#This Row],[Comprometido Bolsa]])</f>
        <v>#NAME?</v>
      </c>
      <c r="AC1505" s="55" t="str">
        <f t="shared" ca="1" si="526"/>
        <v/>
      </c>
      <c r="AD1505" s="55" t="e">
        <f ca="1">IF(PAA_4[[#This Row],[ESTADO (formulado)]]="NO CONTRATADO",0,MAX(PAA_4[[#This Row],[Pago por Contrato]],PAA_4[[#This Row],[Pago por bolsa]]))</f>
        <v>#NAME?</v>
      </c>
      <c r="AE1505" s="55" t="str">
        <f t="shared" ca="1" si="527"/>
        <v/>
      </c>
      <c r="AF1505" s="47" t="e">
        <f t="shared" ca="1" si="528"/>
        <v>#NAME?</v>
      </c>
      <c r="AG1505" s="47">
        <f t="shared" si="529"/>
        <v>44021011</v>
      </c>
      <c r="AH1505" s="54">
        <f>IF(Q1505="22",IF(ISNUMBER(SEARCH("econ",PAA_4[[#This Row],[Actividad3]])),"Económico",IF(ISNUMBER(SEARCH("alim",PAA_4[[#This Row],[Actividad3]])),"Alimentación",IF(ISNUMBER(SEARCH("educ",PAA_4[[#This Row],[Actividad3]])),"Educativo","Técnico"))),0)</f>
        <v>0</v>
      </c>
      <c r="AI1505" s="47" t="e" cm="1">
        <f t="array" aca="1" ref="AI1505" ca="1">_xlfn.XLOOKUP(PAA_4[[#This Row],[RCP-RUBRO]],[2]!COMPROMISOS_2024[[#All],[concatenado]],[2]!COMPROMISOS_2024[[#All],[Total pagado]],"",0)</f>
        <v>#NAME?</v>
      </c>
      <c r="AJ1505" s="56">
        <f>IF(PAA_4[[#This Row],[BOLSA]]=0,0,SUMIFS([2]!COMPROMISOS_2024[[#All],[Total pagado]],[2]!COMPROMISOS_2024[[#All],[Bolsa]],PAA_4[[#This Row],[BOLSA]],[2]!COMPROMISOS_2024[[#All],[rubro]],PAA_4[[#This Row],[RCP-RUBRO]]))</f>
        <v>0</v>
      </c>
      <c r="AK1505" s="47" t="e" cm="1">
        <f t="array" aca="1" ref="AK1505" ca="1">_xlfn.XLOOKUP(PAA_4[[#This Row],[RCP-RUBRO]],[2]!COMPROMISOS_2024[[#All],[concatenado]],[2]!COMPROMISOS_2024[[#All],[Total Comprometido]],"",0)</f>
        <v>#NAME?</v>
      </c>
      <c r="AL1505" s="47">
        <f>IF(PAA_4[[#This Row],[BOLSA]]=0,0,SUMIFS([2]!COMPROMISOS_2024[[#All],[Total Comprometido]],[2]!COMPROMISOS_2024[[#All],[Bolsa]],PAA_4[[#This Row],[BOLSA]],[2]!COMPROMISOS_2024[[#All],[concatenado]],PAA_4[[#This Row],[RCP-RUBRO]]))</f>
        <v>0</v>
      </c>
    </row>
    <row r="1506" spans="1:38" s="19" customFormat="1" ht="31.5" customHeight="1">
      <c r="A1506" s="47" t="s">
        <v>82</v>
      </c>
      <c r="B1506" s="47" t="s">
        <v>42</v>
      </c>
      <c r="C1506" s="47" t="str">
        <f>VLOOKUP(PAA_4[[#This Row],[PROYECTO (formulado)2]],[2]PROYECTOS!$G$1:$L$32,6,0)</f>
        <v>SUBGERENCIA DE FOMENTO Y DESARROLLO</v>
      </c>
      <c r="D1506" s="47" t="str">
        <f>+IF(PAA_4[[#This Row],[UNIDAD DE CONTRATACION (formulado)]]="Subgerencia Administrativa y Financiera","FUNCIONAMIENTO","INVERSIÓN")</f>
        <v>INVERSIÓN</v>
      </c>
      <c r="E1506" s="48" t="str">
        <f>VLOOKUP(Q1506,[2]PROYECTOS!$G$1:$K$32,5,0)</f>
        <v>FORTALECIMIENTO_DE_LOS_JUEGOS_DEL_SECTOR_EDUCATIVO_EN_ANTIOQUIA</v>
      </c>
      <c r="F1506" s="48">
        <f>VLOOKUP(E1506,[2]PROYECTOS!$K$1:$M$32,3,0)</f>
        <v>2020003050034</v>
      </c>
      <c r="G1506" s="49" t="s">
        <v>413</v>
      </c>
      <c r="H1506" s="49" t="str">
        <f>VLOOKUP(Q1506,[2]PROYECTOS!$V$1:$W$32,2,0)</f>
        <v>050053</v>
      </c>
      <c r="I1506" s="78">
        <v>0</v>
      </c>
      <c r="J1506" s="51" t="s">
        <v>42</v>
      </c>
      <c r="K1506" s="47" t="str">
        <f t="shared" ca="1" si="524"/>
        <v>CONTRATADO</v>
      </c>
      <c r="L1506" s="47" t="s">
        <v>42</v>
      </c>
      <c r="M1506" s="47" t="s">
        <v>42</v>
      </c>
      <c r="N1506" s="52" t="s">
        <v>145</v>
      </c>
      <c r="O1506" s="51" t="e">
        <f>VLOOKUP(N1506,[2]!RUBROS[#All],3,0)</f>
        <v>#REF!</v>
      </c>
      <c r="P1506" s="53" t="e">
        <f>VLOOKUP(N1506,[2]!RUBROS[#All],2,0)</f>
        <v>#REF!</v>
      </c>
      <c r="Q1506" s="47" t="str">
        <f t="shared" si="525"/>
        <v>51</v>
      </c>
      <c r="R1506" s="47" t="str">
        <f t="shared" si="511"/>
        <v>0-205400</v>
      </c>
      <c r="S1506" s="54" t="s">
        <v>42</v>
      </c>
      <c r="T1506" s="59" t="s">
        <v>42</v>
      </c>
      <c r="U1506" s="326" t="e">
        <f ca="1">_xlfn.XLOOKUP(PAA_4[[#This Row],[ITEM]],[2]Contrato!A:A,[2]Contrato!Q:Q,"",0)</f>
        <v>#NAME?</v>
      </c>
      <c r="V1506" s="47" t="s">
        <v>95</v>
      </c>
      <c r="W1506" s="47" t="s">
        <v>42</v>
      </c>
      <c r="X1506" s="47" t="s">
        <v>42</v>
      </c>
      <c r="Y1506" s="55" t="e">
        <f ca="1">_xlfn.XLOOKUP(PAA_4[[#This Row],[ITEM]],[2]Contrato!A:A,[2]Contrato!B:B,"",0)</f>
        <v>#NAME?</v>
      </c>
      <c r="Z1506" s="47" t="e">
        <f ca="1">_xlfn.XLOOKUP(PAA_4[[#This Row],[ITEM]],[2]Contrato!A:A,[2]Contrato!G:G,"",0)</f>
        <v>#NAME?</v>
      </c>
      <c r="AA1506" s="47" t="e">
        <f ca="1">_xlfn.XLOOKUP(PAA_4[[#This Row],[ITEM]],[2]Contrato!A:A,[2]Contrato!T:T,"",0)</f>
        <v>#NAME?</v>
      </c>
      <c r="AB1506" s="55" t="e">
        <f ca="1">+MAX(PAA_4[[#This Row],[Comprometido Contrato]],PAA_4[[#This Row],[Comprometido Bolsa]])</f>
        <v>#NAME?</v>
      </c>
      <c r="AC1506" s="55" t="str">
        <f t="shared" ca="1" si="526"/>
        <v/>
      </c>
      <c r="AD1506" s="55" t="e">
        <f ca="1">IF(PAA_4[[#This Row],[ESTADO (formulado)]]="NO CONTRATADO",0,MAX(PAA_4[[#This Row],[Pago por Contrato]],PAA_4[[#This Row],[Pago por bolsa]]))</f>
        <v>#NAME?</v>
      </c>
      <c r="AE1506" s="55" t="str">
        <f t="shared" ca="1" si="527"/>
        <v/>
      </c>
      <c r="AF1506" s="47" t="e">
        <f t="shared" ca="1" si="528"/>
        <v>#NAME?</v>
      </c>
      <c r="AG1506" s="47">
        <f t="shared" si="529"/>
        <v>44021011</v>
      </c>
      <c r="AH1506" s="54">
        <f>IF(Q1506="22",IF(ISNUMBER(SEARCH("econ",PAA_4[[#This Row],[Actividad3]])),"Económico",IF(ISNUMBER(SEARCH("alim",PAA_4[[#This Row],[Actividad3]])),"Alimentación",IF(ISNUMBER(SEARCH("educ",PAA_4[[#This Row],[Actividad3]])),"Educativo","Técnico"))),0)</f>
        <v>0</v>
      </c>
      <c r="AI1506" s="47" t="e" cm="1">
        <f t="array" aca="1" ref="AI1506" ca="1">_xlfn.XLOOKUP(PAA_4[[#This Row],[RCP-RUBRO]],[2]!COMPROMISOS_2024[[#All],[concatenado]],[2]!COMPROMISOS_2024[[#All],[Total pagado]],"",0)</f>
        <v>#NAME?</v>
      </c>
      <c r="AJ1506" s="56">
        <f>IF(PAA_4[[#This Row],[BOLSA]]=0,0,SUMIFS([2]!COMPROMISOS_2024[[#All],[Total pagado]],[2]!COMPROMISOS_2024[[#All],[Bolsa]],PAA_4[[#This Row],[BOLSA]],[2]!COMPROMISOS_2024[[#All],[rubro]],PAA_4[[#This Row],[RCP-RUBRO]]))</f>
        <v>0</v>
      </c>
      <c r="AK1506" s="47" t="e" cm="1">
        <f t="array" aca="1" ref="AK1506" ca="1">_xlfn.XLOOKUP(PAA_4[[#This Row],[RCP-RUBRO]],[2]!COMPROMISOS_2024[[#All],[concatenado]],[2]!COMPROMISOS_2024[[#All],[Total Comprometido]],"",0)</f>
        <v>#NAME?</v>
      </c>
      <c r="AL1506" s="47">
        <f>IF(PAA_4[[#This Row],[BOLSA]]=0,0,SUMIFS([2]!COMPROMISOS_2024[[#All],[Total Comprometido]],[2]!COMPROMISOS_2024[[#All],[Bolsa]],PAA_4[[#This Row],[BOLSA]],[2]!COMPROMISOS_2024[[#All],[concatenado]],PAA_4[[#This Row],[RCP-RUBRO]]))</f>
        <v>0</v>
      </c>
    </row>
    <row r="1507" spans="1:38" s="19" customFormat="1" ht="31.5" customHeight="1">
      <c r="A1507" s="47">
        <v>851</v>
      </c>
      <c r="B1507" s="47" t="s">
        <v>393</v>
      </c>
      <c r="C1507" s="47" t="str">
        <f>VLOOKUP(PAA_4[[#This Row],[PROYECTO (formulado)2]],[2]PROYECTOS!$G$1:$L$32,6,0)</f>
        <v>SUBGERENCIA DE FOMENTO Y DESARROLLO</v>
      </c>
      <c r="D1507" s="47" t="str">
        <f>+IF(PAA_4[[#This Row],[UNIDAD DE CONTRATACION (formulado)]]="Subgerencia Administrativa y Financiera","FUNCIONAMIENTO","INVERSIÓN")</f>
        <v>INVERSIÓN</v>
      </c>
      <c r="E1507" s="48" t="str">
        <f>VLOOKUP(Q1507,[2]PROYECTOS!$G$1:$K$32,5,0)</f>
        <v>FORTALECIMIENTO_DE_LOS_JUEGOS_DEL_SECTOR_EDUCATIVO_EN_ANTIOQUIA</v>
      </c>
      <c r="F1507" s="48">
        <f>VLOOKUP(E1507,[2]PROYECTOS!$K$1:$M$32,3,0)</f>
        <v>2020003050034</v>
      </c>
      <c r="G1507" s="49" t="s">
        <v>413</v>
      </c>
      <c r="H1507" s="49" t="str">
        <f>VLOOKUP(Q1507,[2]PROYECTOS!$V$1:$W$32,2,0)</f>
        <v>050053</v>
      </c>
      <c r="I1507" s="78">
        <f>454194809-3541376</f>
        <v>450653433</v>
      </c>
      <c r="J1507" s="51" t="s">
        <v>1906</v>
      </c>
      <c r="K1507" s="47" t="str">
        <f t="shared" ca="1" si="524"/>
        <v>CONTRATADO</v>
      </c>
      <c r="L1507" s="47" t="s">
        <v>94</v>
      </c>
      <c r="M1507" s="47" t="s">
        <v>255</v>
      </c>
      <c r="N1507" s="52" t="s">
        <v>145</v>
      </c>
      <c r="O1507" s="51" t="e">
        <f>VLOOKUP(N1507,[2]!RUBROS[#All],3,0)</f>
        <v>#REF!</v>
      </c>
      <c r="P1507" s="53" t="e">
        <f>VLOOKUP(N1507,[2]!RUBROS[#All],2,0)</f>
        <v>#REF!</v>
      </c>
      <c r="Q1507" s="47" t="str">
        <f t="shared" si="525"/>
        <v>51</v>
      </c>
      <c r="R1507" s="47" t="str">
        <f t="shared" si="511"/>
        <v>0-205400</v>
      </c>
      <c r="S1507" s="339">
        <v>5.5</v>
      </c>
      <c r="T1507" s="59" t="s">
        <v>46</v>
      </c>
      <c r="U1507" s="326" t="e">
        <f ca="1">_xlfn.XLOOKUP(PAA_4[[#This Row],[ITEM]],[2]Contrato!A:A,[2]Contrato!Q:Q,"",0)</f>
        <v>#NAME?</v>
      </c>
      <c r="V1507" s="47" t="s">
        <v>47</v>
      </c>
      <c r="W1507" s="47" t="s">
        <v>193</v>
      </c>
      <c r="X1507" s="47" t="s">
        <v>193</v>
      </c>
      <c r="Y1507" s="55" t="e">
        <f ca="1">_xlfn.XLOOKUP(PAA_4[[#This Row],[ITEM]],[2]Contrato!A:A,[2]Contrato!B:B,"",0)</f>
        <v>#NAME?</v>
      </c>
      <c r="Z1507" s="47" t="e">
        <f ca="1">_xlfn.XLOOKUP(PAA_4[[#This Row],[ITEM]],[2]Contrato!A:A,[2]Contrato!G:G,"",0)</f>
        <v>#NAME?</v>
      </c>
      <c r="AA1507" s="47" t="e">
        <f ca="1">_xlfn.XLOOKUP(PAA_4[[#This Row],[ITEM]],[2]Contrato!A:A,[2]Contrato!T:T,"",0)</f>
        <v>#NAME?</v>
      </c>
      <c r="AB1507" s="55" t="e">
        <f ca="1">+MAX(PAA_4[[#This Row],[Comprometido Contrato]],PAA_4[[#This Row],[Comprometido Bolsa]])</f>
        <v>#NAME?</v>
      </c>
      <c r="AC1507" s="55" t="str">
        <f t="shared" ca="1" si="526"/>
        <v/>
      </c>
      <c r="AD1507" s="55" t="e">
        <f ca="1">IF(PAA_4[[#This Row],[ESTADO (formulado)]]="NO CONTRATADO",0,MAX(PAA_4[[#This Row],[Pago por Contrato]],PAA_4[[#This Row],[Pago por bolsa]]))</f>
        <v>#NAME?</v>
      </c>
      <c r="AE1507" s="55" t="str">
        <f t="shared" ca="1" si="527"/>
        <v/>
      </c>
      <c r="AF1507" s="47" t="e">
        <f t="shared" ca="1" si="528"/>
        <v>#NAME?</v>
      </c>
      <c r="AG1507" s="47">
        <f t="shared" si="529"/>
        <v>44021011</v>
      </c>
      <c r="AH1507" s="54">
        <f>IF(Q1507="22",IF(ISNUMBER(SEARCH("econ",PAA_4[[#This Row],[Actividad3]])),"Económico",IF(ISNUMBER(SEARCH("alim",PAA_4[[#This Row],[Actividad3]])),"Alimentación",IF(ISNUMBER(SEARCH("educ",PAA_4[[#This Row],[Actividad3]])),"Educativo","Técnico"))),0)</f>
        <v>0</v>
      </c>
      <c r="AI1507" s="47" t="e" cm="1">
        <f t="array" aca="1" ref="AI1507" ca="1">_xlfn.XLOOKUP(PAA_4[[#This Row],[RCP-RUBRO]],[2]!COMPROMISOS_2024[[#All],[concatenado]],[2]!COMPROMISOS_2024[[#All],[Total pagado]],"",0)</f>
        <v>#NAME?</v>
      </c>
      <c r="AJ1507" s="56">
        <f>IF(PAA_4[[#This Row],[BOLSA]]=0,0,SUMIFS([2]!COMPROMISOS_2024[[#All],[Total pagado]],[2]!COMPROMISOS_2024[[#All],[Bolsa]],PAA_4[[#This Row],[BOLSA]],[2]!COMPROMISOS_2024[[#All],[rubro]],PAA_4[[#This Row],[RCP-RUBRO]]))</f>
        <v>0</v>
      </c>
      <c r="AK1507" s="47" t="e" cm="1">
        <f t="array" aca="1" ref="AK1507" ca="1">_xlfn.XLOOKUP(PAA_4[[#This Row],[RCP-RUBRO]],[2]!COMPROMISOS_2024[[#All],[concatenado]],[2]!COMPROMISOS_2024[[#All],[Total Comprometido]],"",0)</f>
        <v>#NAME?</v>
      </c>
      <c r="AL1507" s="47">
        <f>IF(PAA_4[[#This Row],[BOLSA]]=0,0,SUMIFS([2]!COMPROMISOS_2024[[#All],[Total Comprometido]],[2]!COMPROMISOS_2024[[#All],[Bolsa]],PAA_4[[#This Row],[BOLSA]],[2]!COMPROMISOS_2024[[#All],[concatenado]],PAA_4[[#This Row],[RCP-RUBRO]]))</f>
        <v>0</v>
      </c>
    </row>
    <row r="1508" spans="1:38" s="19" customFormat="1" ht="31.5" customHeight="1">
      <c r="A1508" s="47" t="s">
        <v>82</v>
      </c>
      <c r="B1508" s="47" t="s">
        <v>42</v>
      </c>
      <c r="C1508" s="47" t="str">
        <f>VLOOKUP(PAA_4[[#This Row],[PROYECTO (formulado)2]],[2]PROYECTOS!$G$1:$L$32,6,0)</f>
        <v>SUBGERENCIA DE FOMENTO Y DESARROLLO</v>
      </c>
      <c r="D1508" s="47" t="str">
        <f>+IF(PAA_4[[#This Row],[UNIDAD DE CONTRATACION (formulado)]]="Subgerencia Administrativa y Financiera","FUNCIONAMIENTO","INVERSIÓN")</f>
        <v>INVERSIÓN</v>
      </c>
      <c r="E1508" s="48" t="str">
        <f>VLOOKUP(Q1508,[2]PROYECTOS!$G$1:$K$32,5,0)</f>
        <v>FORTALECIMIENTO_DE_LOS_JUEGOS_DEL_SECTOR_EDUCATIVO_EN_ANTIOQUIA</v>
      </c>
      <c r="F1508" s="48">
        <f>VLOOKUP(E1508,[2]PROYECTOS!$K$1:$M$32,3,0)</f>
        <v>2020003050034</v>
      </c>
      <c r="G1508" s="49" t="s">
        <v>413</v>
      </c>
      <c r="H1508" s="49" t="str">
        <f>VLOOKUP(Q1508,[2]PROYECTOS!$V$1:$W$32,2,0)</f>
        <v>050053</v>
      </c>
      <c r="I1508" s="78">
        <v>0</v>
      </c>
      <c r="J1508" s="51" t="s">
        <v>42</v>
      </c>
      <c r="K1508" s="47" t="str">
        <f t="shared" ca="1" si="524"/>
        <v>CONTRATADO</v>
      </c>
      <c r="L1508" s="47" t="s">
        <v>42</v>
      </c>
      <c r="M1508" s="47" t="s">
        <v>42</v>
      </c>
      <c r="N1508" s="52" t="s">
        <v>449</v>
      </c>
      <c r="O1508" s="51" t="e">
        <f>VLOOKUP(N1508,[2]!RUBROS[#All],3,0)</f>
        <v>#REF!</v>
      </c>
      <c r="P1508" s="53" t="e">
        <f>VLOOKUP(N1508,[2]!RUBROS[#All],2,0)</f>
        <v>#REF!</v>
      </c>
      <c r="Q1508" s="47" t="str">
        <f t="shared" si="525"/>
        <v>51</v>
      </c>
      <c r="R1508" s="47" t="str">
        <f t="shared" si="511"/>
        <v>4-271130</v>
      </c>
      <c r="S1508" s="54" t="s">
        <v>42</v>
      </c>
      <c r="T1508" s="59" t="s">
        <v>42</v>
      </c>
      <c r="U1508" s="326" t="e">
        <f ca="1">_xlfn.XLOOKUP(PAA_4[[#This Row],[ITEM]],[2]Contrato!A:A,[2]Contrato!Q:Q,"",0)</f>
        <v>#NAME?</v>
      </c>
      <c r="V1508" s="47" t="s">
        <v>95</v>
      </c>
      <c r="W1508" s="47" t="s">
        <v>42</v>
      </c>
      <c r="X1508" s="47" t="s">
        <v>42</v>
      </c>
      <c r="Y1508" s="55" t="e">
        <f ca="1">_xlfn.XLOOKUP(PAA_4[[#This Row],[ITEM]],[2]Contrato!A:A,[2]Contrato!B:B,"",0)</f>
        <v>#NAME?</v>
      </c>
      <c r="Z1508" s="47" t="e">
        <f ca="1">_xlfn.XLOOKUP(PAA_4[[#This Row],[ITEM]],[2]Contrato!A:A,[2]Contrato!G:G,"",0)</f>
        <v>#NAME?</v>
      </c>
      <c r="AA1508" s="47" t="e">
        <f ca="1">_xlfn.XLOOKUP(PAA_4[[#This Row],[ITEM]],[2]Contrato!A:A,[2]Contrato!T:T,"",0)</f>
        <v>#NAME?</v>
      </c>
      <c r="AB1508" s="55" t="e">
        <f ca="1">+MAX(PAA_4[[#This Row],[Comprometido Contrato]],PAA_4[[#This Row],[Comprometido Bolsa]])</f>
        <v>#NAME?</v>
      </c>
      <c r="AC1508" s="55" t="str">
        <f t="shared" ca="1" si="526"/>
        <v/>
      </c>
      <c r="AD1508" s="55" t="e">
        <f ca="1">IF(PAA_4[[#This Row],[ESTADO (formulado)]]="NO CONTRATADO",0,MAX(PAA_4[[#This Row],[Pago por Contrato]],PAA_4[[#This Row],[Pago por bolsa]]))</f>
        <v>#NAME?</v>
      </c>
      <c r="AE1508" s="55" t="str">
        <f t="shared" ca="1" si="527"/>
        <v/>
      </c>
      <c r="AF1508" s="47" t="e">
        <f t="shared" ca="1" si="528"/>
        <v>#NAME?</v>
      </c>
      <c r="AG1508" s="47">
        <f t="shared" si="529"/>
        <v>44021011</v>
      </c>
      <c r="AH1508" s="54">
        <f>IF(Q1508="22",IF(ISNUMBER(SEARCH("econ",PAA_4[[#This Row],[Actividad3]])),"Económico",IF(ISNUMBER(SEARCH("alim",PAA_4[[#This Row],[Actividad3]])),"Alimentación",IF(ISNUMBER(SEARCH("educ",PAA_4[[#This Row],[Actividad3]])),"Educativo","Técnico"))),0)</f>
        <v>0</v>
      </c>
      <c r="AI1508" s="47" t="e" cm="1">
        <f t="array" aca="1" ref="AI1508" ca="1">_xlfn.XLOOKUP(PAA_4[[#This Row],[RCP-RUBRO]],[2]!COMPROMISOS_2024[[#All],[concatenado]],[2]!COMPROMISOS_2024[[#All],[Total pagado]],"",0)</f>
        <v>#NAME?</v>
      </c>
      <c r="AJ1508" s="56">
        <f>IF(PAA_4[[#This Row],[BOLSA]]=0,0,SUMIFS([2]!COMPROMISOS_2024[[#All],[Total pagado]],[2]!COMPROMISOS_2024[[#All],[Bolsa]],PAA_4[[#This Row],[BOLSA]],[2]!COMPROMISOS_2024[[#All],[rubro]],PAA_4[[#This Row],[RCP-RUBRO]]))</f>
        <v>0</v>
      </c>
      <c r="AK1508" s="47" t="e" cm="1">
        <f t="array" aca="1" ref="AK1508" ca="1">_xlfn.XLOOKUP(PAA_4[[#This Row],[RCP-RUBRO]],[2]!COMPROMISOS_2024[[#All],[concatenado]],[2]!COMPROMISOS_2024[[#All],[Total Comprometido]],"",0)</f>
        <v>#NAME?</v>
      </c>
      <c r="AL1508" s="47">
        <f>IF(PAA_4[[#This Row],[BOLSA]]=0,0,SUMIFS([2]!COMPROMISOS_2024[[#All],[Total Comprometido]],[2]!COMPROMISOS_2024[[#All],[Bolsa]],PAA_4[[#This Row],[BOLSA]],[2]!COMPROMISOS_2024[[#All],[concatenado]],PAA_4[[#This Row],[RCP-RUBRO]]))</f>
        <v>0</v>
      </c>
    </row>
    <row r="1509" spans="1:38" s="19" customFormat="1" ht="31.5" customHeight="1">
      <c r="A1509" s="47">
        <v>852</v>
      </c>
      <c r="B1509" s="47" t="s">
        <v>393</v>
      </c>
      <c r="C1509" s="47" t="str">
        <f>VLOOKUP(PAA_4[[#This Row],[PROYECTO (formulado)2]],[2]PROYECTOS!$G$1:$L$32,6,0)</f>
        <v>SUBGERENCIA DE FOMENTO Y DESARROLLO</v>
      </c>
      <c r="D1509" s="47" t="str">
        <f>+IF(PAA_4[[#This Row],[UNIDAD DE CONTRATACION (formulado)]]="Subgerencia Administrativa y Financiera","FUNCIONAMIENTO","INVERSIÓN")</f>
        <v>INVERSIÓN</v>
      </c>
      <c r="E1509" s="48" t="str">
        <f>VLOOKUP(Q1509,[2]PROYECTOS!$G$1:$K$32,5,0)</f>
        <v>FORTALECIMIENTO_DE_LOS_JUEGOS_DEL_SECTOR_EDUCATIVO_EN_ANTIOQUIA</v>
      </c>
      <c r="F1509" s="48">
        <f>VLOOKUP(E1509,[2]PROYECTOS!$K$1:$M$32,3,0)</f>
        <v>2020003050034</v>
      </c>
      <c r="G1509" s="49" t="s">
        <v>413</v>
      </c>
      <c r="H1509" s="49" t="str">
        <f>VLOOKUP(Q1509,[2]PROYECTOS!$V$1:$W$32,2,0)</f>
        <v>050053</v>
      </c>
      <c r="I1509" s="78">
        <f>186610836-635005</f>
        <v>185975831</v>
      </c>
      <c r="J1509" s="51" t="s">
        <v>1907</v>
      </c>
      <c r="K1509" s="47" t="str">
        <f t="shared" ca="1" si="524"/>
        <v>CONTRATADO</v>
      </c>
      <c r="L1509" s="47" t="s">
        <v>94</v>
      </c>
      <c r="M1509" s="47" t="s">
        <v>255</v>
      </c>
      <c r="N1509" s="52" t="s">
        <v>449</v>
      </c>
      <c r="O1509" s="51" t="e">
        <f>VLOOKUP(N1509,[2]!RUBROS[#All],3,0)</f>
        <v>#REF!</v>
      </c>
      <c r="P1509" s="53" t="e">
        <f>VLOOKUP(N1509,[2]!RUBROS[#All],2,0)</f>
        <v>#REF!</v>
      </c>
      <c r="Q1509" s="47" t="str">
        <f t="shared" si="525"/>
        <v>51</v>
      </c>
      <c r="R1509" s="47" t="str">
        <f t="shared" si="511"/>
        <v>4-271130</v>
      </c>
      <c r="S1509" s="339">
        <v>5.5</v>
      </c>
      <c r="T1509" s="59" t="s">
        <v>46</v>
      </c>
      <c r="U1509" s="326" t="e">
        <f ca="1">_xlfn.XLOOKUP(PAA_4[[#This Row],[ITEM]],[2]Contrato!A:A,[2]Contrato!Q:Q,"",0)</f>
        <v>#NAME?</v>
      </c>
      <c r="V1509" s="47" t="s">
        <v>47</v>
      </c>
      <c r="W1509" s="47" t="s">
        <v>193</v>
      </c>
      <c r="X1509" s="47" t="s">
        <v>193</v>
      </c>
      <c r="Y1509" s="55" t="e">
        <f ca="1">_xlfn.XLOOKUP(PAA_4[[#This Row],[ITEM]],[2]Contrato!A:A,[2]Contrato!B:B,"",0)</f>
        <v>#NAME?</v>
      </c>
      <c r="Z1509" s="47" t="e">
        <f ca="1">_xlfn.XLOOKUP(PAA_4[[#This Row],[ITEM]],[2]Contrato!A:A,[2]Contrato!G:G,"",0)</f>
        <v>#NAME?</v>
      </c>
      <c r="AA1509" s="47" t="e">
        <f ca="1">_xlfn.XLOOKUP(PAA_4[[#This Row],[ITEM]],[2]Contrato!A:A,[2]Contrato!T:T,"",0)</f>
        <v>#NAME?</v>
      </c>
      <c r="AB1509" s="55" t="e">
        <f ca="1">+MAX(PAA_4[[#This Row],[Comprometido Contrato]],PAA_4[[#This Row],[Comprometido Bolsa]])</f>
        <v>#NAME?</v>
      </c>
      <c r="AC1509" s="55" t="str">
        <f t="shared" ca="1" si="526"/>
        <v/>
      </c>
      <c r="AD1509" s="55" t="e">
        <f ca="1">IF(PAA_4[[#This Row],[ESTADO (formulado)]]="NO CONTRATADO",0,MAX(PAA_4[[#This Row],[Pago por Contrato]],PAA_4[[#This Row],[Pago por bolsa]]))</f>
        <v>#NAME?</v>
      </c>
      <c r="AE1509" s="55" t="str">
        <f t="shared" ca="1" si="527"/>
        <v/>
      </c>
      <c r="AF1509" s="47" t="e">
        <f t="shared" ca="1" si="528"/>
        <v>#NAME?</v>
      </c>
      <c r="AG1509" s="47">
        <f t="shared" si="529"/>
        <v>44021011</v>
      </c>
      <c r="AH1509" s="54">
        <f>IF(Q1509="22",IF(ISNUMBER(SEARCH("econ",PAA_4[[#This Row],[Actividad3]])),"Económico",IF(ISNUMBER(SEARCH("alim",PAA_4[[#This Row],[Actividad3]])),"Alimentación",IF(ISNUMBER(SEARCH("educ",PAA_4[[#This Row],[Actividad3]])),"Educativo","Técnico"))),0)</f>
        <v>0</v>
      </c>
      <c r="AI1509" s="47" t="e" cm="1">
        <f t="array" aca="1" ref="AI1509" ca="1">_xlfn.XLOOKUP(PAA_4[[#This Row],[RCP-RUBRO]],[2]!COMPROMISOS_2024[[#All],[concatenado]],[2]!COMPROMISOS_2024[[#All],[Total pagado]],"",0)</f>
        <v>#NAME?</v>
      </c>
      <c r="AJ1509" s="56">
        <f>IF(PAA_4[[#This Row],[BOLSA]]=0,0,SUMIFS([2]!COMPROMISOS_2024[[#All],[Total pagado]],[2]!COMPROMISOS_2024[[#All],[Bolsa]],PAA_4[[#This Row],[BOLSA]],[2]!COMPROMISOS_2024[[#All],[rubro]],PAA_4[[#This Row],[RCP-RUBRO]]))</f>
        <v>0</v>
      </c>
      <c r="AK1509" s="47" t="e" cm="1">
        <f t="array" aca="1" ref="AK1509" ca="1">_xlfn.XLOOKUP(PAA_4[[#This Row],[RCP-RUBRO]],[2]!COMPROMISOS_2024[[#All],[concatenado]],[2]!COMPROMISOS_2024[[#All],[Total Comprometido]],"",0)</f>
        <v>#NAME?</v>
      </c>
      <c r="AL1509" s="47">
        <f>IF(PAA_4[[#This Row],[BOLSA]]=0,0,SUMIFS([2]!COMPROMISOS_2024[[#All],[Total Comprometido]],[2]!COMPROMISOS_2024[[#All],[Bolsa]],PAA_4[[#This Row],[BOLSA]],[2]!COMPROMISOS_2024[[#All],[concatenado]],PAA_4[[#This Row],[RCP-RUBRO]]))</f>
        <v>0</v>
      </c>
    </row>
    <row r="1510" spans="1:38" s="19" customFormat="1" ht="31.5" customHeight="1">
      <c r="A1510" s="47" t="s">
        <v>82</v>
      </c>
      <c r="B1510" s="47" t="s">
        <v>42</v>
      </c>
      <c r="C1510" s="47" t="str">
        <f>VLOOKUP(PAA_4[[#This Row],[PROYECTO (formulado)2]],[2]PROYECTOS!$G$1:$L$32,6,0)</f>
        <v>SUBGERENCIA DE FOMENTO Y DESARROLLO</v>
      </c>
      <c r="D1510" s="47" t="str">
        <f>+IF(PAA_4[[#This Row],[UNIDAD DE CONTRATACION (formulado)]]="Subgerencia Administrativa y Financiera","FUNCIONAMIENTO","INVERSIÓN")</f>
        <v>INVERSIÓN</v>
      </c>
      <c r="E1510" s="48" t="str">
        <f>VLOOKUP(Q1510,[2]PROYECTOS!$G$1:$K$32,5,0)</f>
        <v>FORTALECIMIENTO_DE_LOS_JUEGOS_DEL_SECTOR_EDUCATIVO_EN_ANTIOQUIA</v>
      </c>
      <c r="F1510" s="48">
        <f>VLOOKUP(E1510,[2]PROYECTOS!$K$1:$M$32,3,0)</f>
        <v>2020003050034</v>
      </c>
      <c r="G1510" s="49" t="s">
        <v>413</v>
      </c>
      <c r="H1510" s="49" t="str">
        <f>VLOOKUP(Q1510,[2]PROYECTOS!$V$1:$W$32,2,0)</f>
        <v>050053</v>
      </c>
      <c r="I1510" s="78">
        <v>0</v>
      </c>
      <c r="J1510" s="51" t="s">
        <v>42</v>
      </c>
      <c r="K1510" s="47" t="str">
        <f t="shared" ca="1" si="524"/>
        <v>CONTRATADO</v>
      </c>
      <c r="L1510" s="47" t="s">
        <v>42</v>
      </c>
      <c r="M1510" s="47" t="s">
        <v>42</v>
      </c>
      <c r="N1510" s="52" t="s">
        <v>145</v>
      </c>
      <c r="O1510" s="51" t="e">
        <f>VLOOKUP(N1510,[2]!RUBROS[#All],3,0)</f>
        <v>#REF!</v>
      </c>
      <c r="P1510" s="53" t="e">
        <f>VLOOKUP(N1510,[2]!RUBROS[#All],2,0)</f>
        <v>#REF!</v>
      </c>
      <c r="Q1510" s="47" t="str">
        <f t="shared" si="525"/>
        <v>51</v>
      </c>
      <c r="R1510" s="47" t="str">
        <f t="shared" si="511"/>
        <v>0-205400</v>
      </c>
      <c r="S1510" s="54" t="s">
        <v>42</v>
      </c>
      <c r="T1510" s="59" t="s">
        <v>42</v>
      </c>
      <c r="U1510" s="326" t="e">
        <f ca="1">_xlfn.XLOOKUP(PAA_4[[#This Row],[ITEM]],[2]Contrato!A:A,[2]Contrato!Q:Q,"",0)</f>
        <v>#NAME?</v>
      </c>
      <c r="V1510" s="47" t="s">
        <v>95</v>
      </c>
      <c r="W1510" s="47" t="s">
        <v>42</v>
      </c>
      <c r="X1510" s="47" t="s">
        <v>42</v>
      </c>
      <c r="Y1510" s="55" t="e">
        <f ca="1">_xlfn.XLOOKUP(PAA_4[[#This Row],[ITEM]],[2]Contrato!A:A,[2]Contrato!B:B,"",0)</f>
        <v>#NAME?</v>
      </c>
      <c r="Z1510" s="47" t="e">
        <f ca="1">_xlfn.XLOOKUP(PAA_4[[#This Row],[ITEM]],[2]Contrato!A:A,[2]Contrato!G:G,"",0)</f>
        <v>#NAME?</v>
      </c>
      <c r="AA1510" s="47" t="e">
        <f ca="1">_xlfn.XLOOKUP(PAA_4[[#This Row],[ITEM]],[2]Contrato!A:A,[2]Contrato!T:T,"",0)</f>
        <v>#NAME?</v>
      </c>
      <c r="AB1510" s="55" t="e">
        <f ca="1">+MAX(PAA_4[[#This Row],[Comprometido Contrato]],PAA_4[[#This Row],[Comprometido Bolsa]])</f>
        <v>#NAME?</v>
      </c>
      <c r="AC1510" s="55" t="str">
        <f t="shared" ca="1" si="526"/>
        <v/>
      </c>
      <c r="AD1510" s="55" t="e">
        <f ca="1">IF(PAA_4[[#This Row],[ESTADO (formulado)]]="NO CONTRATADO",0,MAX(PAA_4[[#This Row],[Pago por Contrato]],PAA_4[[#This Row],[Pago por bolsa]]))</f>
        <v>#NAME?</v>
      </c>
      <c r="AE1510" s="55" t="str">
        <f t="shared" ca="1" si="527"/>
        <v/>
      </c>
      <c r="AF1510" s="47" t="e">
        <f t="shared" ca="1" si="528"/>
        <v>#NAME?</v>
      </c>
      <c r="AG1510" s="47">
        <f t="shared" si="529"/>
        <v>44021011</v>
      </c>
      <c r="AH1510" s="54">
        <f>IF(Q1510="22",IF(ISNUMBER(SEARCH("econ",PAA_4[[#This Row],[Actividad3]])),"Económico",IF(ISNUMBER(SEARCH("alim",PAA_4[[#This Row],[Actividad3]])),"Alimentación",IF(ISNUMBER(SEARCH("educ",PAA_4[[#This Row],[Actividad3]])),"Educativo","Técnico"))),0)</f>
        <v>0</v>
      </c>
      <c r="AI1510" s="47" t="e" cm="1">
        <f t="array" aca="1" ref="AI1510" ca="1">_xlfn.XLOOKUP(PAA_4[[#This Row],[RCP-RUBRO]],[2]!COMPROMISOS_2024[[#All],[concatenado]],[2]!COMPROMISOS_2024[[#All],[Total pagado]],"",0)</f>
        <v>#NAME?</v>
      </c>
      <c r="AJ1510" s="56">
        <f>IF(PAA_4[[#This Row],[BOLSA]]=0,0,SUMIFS([2]!COMPROMISOS_2024[[#All],[Total pagado]],[2]!COMPROMISOS_2024[[#All],[Bolsa]],PAA_4[[#This Row],[BOLSA]],[2]!COMPROMISOS_2024[[#All],[rubro]],PAA_4[[#This Row],[RCP-RUBRO]]))</f>
        <v>0</v>
      </c>
      <c r="AK1510" s="47" t="e" cm="1">
        <f t="array" aca="1" ref="AK1510" ca="1">_xlfn.XLOOKUP(PAA_4[[#This Row],[RCP-RUBRO]],[2]!COMPROMISOS_2024[[#All],[concatenado]],[2]!COMPROMISOS_2024[[#All],[Total Comprometido]],"",0)</f>
        <v>#NAME?</v>
      </c>
      <c r="AL1510" s="47">
        <f>IF(PAA_4[[#This Row],[BOLSA]]=0,0,SUMIFS([2]!COMPROMISOS_2024[[#All],[Total Comprometido]],[2]!COMPROMISOS_2024[[#All],[Bolsa]],PAA_4[[#This Row],[BOLSA]],[2]!COMPROMISOS_2024[[#All],[concatenado]],PAA_4[[#This Row],[RCP-RUBRO]]))</f>
        <v>0</v>
      </c>
    </row>
    <row r="1511" spans="1:38" s="19" customFormat="1" ht="31.5" customHeight="1">
      <c r="A1511" s="47">
        <v>852</v>
      </c>
      <c r="B1511" s="47" t="s">
        <v>393</v>
      </c>
      <c r="C1511" s="47" t="str">
        <f>VLOOKUP(PAA_4[[#This Row],[PROYECTO (formulado)2]],[2]PROYECTOS!$G$1:$L$32,6,0)</f>
        <v>SUBGERENCIA DE FOMENTO Y DESARROLLO</v>
      </c>
      <c r="D1511" s="47" t="str">
        <f>+IF(PAA_4[[#This Row],[UNIDAD DE CONTRATACION (formulado)]]="Subgerencia Administrativa y Financiera","FUNCIONAMIENTO","INVERSIÓN")</f>
        <v>INVERSIÓN</v>
      </c>
      <c r="E1511" s="48" t="str">
        <f>VLOOKUP(Q1511,[2]PROYECTOS!$G$1:$K$32,5,0)</f>
        <v>FORTALECIMIENTO_DE_LOS_JUEGOS_DEL_SECTOR_EDUCATIVO_EN_ANTIOQUIA</v>
      </c>
      <c r="F1511" s="48">
        <f>VLOOKUP(E1511,[2]PROYECTOS!$K$1:$M$32,3,0)</f>
        <v>2020003050034</v>
      </c>
      <c r="G1511" s="49" t="s">
        <v>413</v>
      </c>
      <c r="H1511" s="49" t="str">
        <f>VLOOKUP(Q1511,[2]PROYECTOS!$V$1:$W$32,2,0)</f>
        <v>050053</v>
      </c>
      <c r="I1511" s="78">
        <f>201565681-685893</f>
        <v>200879788</v>
      </c>
      <c r="J1511" s="51" t="s">
        <v>1908</v>
      </c>
      <c r="K1511" s="47" t="str">
        <f t="shared" ca="1" si="524"/>
        <v>CONTRATADO</v>
      </c>
      <c r="L1511" s="47" t="s">
        <v>94</v>
      </c>
      <c r="M1511" s="47" t="s">
        <v>255</v>
      </c>
      <c r="N1511" s="52" t="s">
        <v>145</v>
      </c>
      <c r="O1511" s="51" t="e">
        <f>VLOOKUP(N1511,[2]!RUBROS[#All],3,0)</f>
        <v>#REF!</v>
      </c>
      <c r="P1511" s="53" t="e">
        <f>VLOOKUP(N1511,[2]!RUBROS[#All],2,0)</f>
        <v>#REF!</v>
      </c>
      <c r="Q1511" s="47" t="str">
        <f t="shared" si="525"/>
        <v>51</v>
      </c>
      <c r="R1511" s="47" t="str">
        <f t="shared" si="511"/>
        <v>0-205400</v>
      </c>
      <c r="S1511" s="339">
        <v>5.5</v>
      </c>
      <c r="T1511" s="59" t="s">
        <v>46</v>
      </c>
      <c r="U1511" s="326" t="e">
        <f ca="1">_xlfn.XLOOKUP(PAA_4[[#This Row],[ITEM]],[2]Contrato!A:A,[2]Contrato!Q:Q,"",0)</f>
        <v>#NAME?</v>
      </c>
      <c r="V1511" s="47" t="s">
        <v>47</v>
      </c>
      <c r="W1511" s="47" t="s">
        <v>193</v>
      </c>
      <c r="X1511" s="47" t="s">
        <v>193</v>
      </c>
      <c r="Y1511" s="55" t="e">
        <f ca="1">_xlfn.XLOOKUP(PAA_4[[#This Row],[ITEM]],[2]Contrato!A:A,[2]Contrato!B:B,"",0)</f>
        <v>#NAME?</v>
      </c>
      <c r="Z1511" s="47" t="e">
        <f ca="1">_xlfn.XLOOKUP(PAA_4[[#This Row],[ITEM]],[2]Contrato!A:A,[2]Contrato!G:G,"",0)</f>
        <v>#NAME?</v>
      </c>
      <c r="AA1511" s="47" t="e">
        <f ca="1">_xlfn.XLOOKUP(PAA_4[[#This Row],[ITEM]],[2]Contrato!A:A,[2]Contrato!T:T,"",0)</f>
        <v>#NAME?</v>
      </c>
      <c r="AB1511" s="55" t="e">
        <f ca="1">+MAX(PAA_4[[#This Row],[Comprometido Contrato]],PAA_4[[#This Row],[Comprometido Bolsa]])</f>
        <v>#NAME?</v>
      </c>
      <c r="AC1511" s="55" t="str">
        <f t="shared" ca="1" si="526"/>
        <v/>
      </c>
      <c r="AD1511" s="55" t="e">
        <f ca="1">IF(PAA_4[[#This Row],[ESTADO (formulado)]]="NO CONTRATADO",0,MAX(PAA_4[[#This Row],[Pago por Contrato]],PAA_4[[#This Row],[Pago por bolsa]]))</f>
        <v>#NAME?</v>
      </c>
      <c r="AE1511" s="55" t="str">
        <f t="shared" ca="1" si="527"/>
        <v/>
      </c>
      <c r="AF1511" s="47" t="e">
        <f t="shared" ca="1" si="528"/>
        <v>#NAME?</v>
      </c>
      <c r="AG1511" s="47">
        <f t="shared" si="529"/>
        <v>44021011</v>
      </c>
      <c r="AH1511" s="54">
        <f>IF(Q1511="22",IF(ISNUMBER(SEARCH("econ",PAA_4[[#This Row],[Actividad3]])),"Económico",IF(ISNUMBER(SEARCH("alim",PAA_4[[#This Row],[Actividad3]])),"Alimentación",IF(ISNUMBER(SEARCH("educ",PAA_4[[#This Row],[Actividad3]])),"Educativo","Técnico"))),0)</f>
        <v>0</v>
      </c>
      <c r="AI1511" s="47" t="e" cm="1">
        <f t="array" aca="1" ref="AI1511" ca="1">_xlfn.XLOOKUP(PAA_4[[#This Row],[RCP-RUBRO]],[2]!COMPROMISOS_2024[[#All],[concatenado]],[2]!COMPROMISOS_2024[[#All],[Total pagado]],"",0)</f>
        <v>#NAME?</v>
      </c>
      <c r="AJ1511" s="56">
        <f>IF(PAA_4[[#This Row],[BOLSA]]=0,0,SUMIFS([2]!COMPROMISOS_2024[[#All],[Total pagado]],[2]!COMPROMISOS_2024[[#All],[Bolsa]],PAA_4[[#This Row],[BOLSA]],[2]!COMPROMISOS_2024[[#All],[rubro]],PAA_4[[#This Row],[RCP-RUBRO]]))</f>
        <v>0</v>
      </c>
      <c r="AK1511" s="47" t="e" cm="1">
        <f t="array" aca="1" ref="AK1511" ca="1">_xlfn.XLOOKUP(PAA_4[[#This Row],[RCP-RUBRO]],[2]!COMPROMISOS_2024[[#All],[concatenado]],[2]!COMPROMISOS_2024[[#All],[Total Comprometido]],"",0)</f>
        <v>#NAME?</v>
      </c>
      <c r="AL1511" s="47">
        <f>IF(PAA_4[[#This Row],[BOLSA]]=0,0,SUMIFS([2]!COMPROMISOS_2024[[#All],[Total Comprometido]],[2]!COMPROMISOS_2024[[#All],[Bolsa]],PAA_4[[#This Row],[BOLSA]],[2]!COMPROMISOS_2024[[#All],[concatenado]],PAA_4[[#This Row],[RCP-RUBRO]]))</f>
        <v>0</v>
      </c>
    </row>
    <row r="1512" spans="1:38" s="19" customFormat="1" ht="31.5" customHeight="1">
      <c r="A1512" s="47">
        <v>853</v>
      </c>
      <c r="B1512" s="47" t="s">
        <v>393</v>
      </c>
      <c r="C1512" s="47" t="str">
        <f>VLOOKUP(PAA_4[[#This Row],[PROYECTO (formulado)2]],[2]PROYECTOS!$G$1:$L$32,6,0)</f>
        <v>SUBGERENCIA DE FOMENTO Y DESARROLLO</v>
      </c>
      <c r="D1512" s="47" t="str">
        <f>+IF(PAA_4[[#This Row],[UNIDAD DE CONTRATACION (formulado)]]="Subgerencia Administrativa y Financiera","FUNCIONAMIENTO","INVERSIÓN")</f>
        <v>INVERSIÓN</v>
      </c>
      <c r="E1512" s="48" t="str">
        <f>VLOOKUP(Q1512,[2]PROYECTOS!$G$1:$K$32,5,0)</f>
        <v>FORTALECIMIENTO_DE_LOS_JUEGOS_DEL_SECTOR_EDUCATIVO_EN_ANTIOQUIA</v>
      </c>
      <c r="F1512" s="48">
        <f>VLOOKUP(E1512,[2]PROYECTOS!$K$1:$M$32,3,0)</f>
        <v>2020003050034</v>
      </c>
      <c r="G1512" s="49" t="s">
        <v>413</v>
      </c>
      <c r="H1512" s="49" t="str">
        <f>VLOOKUP(Q1512,[2]PROYECTOS!$V$1:$W$32,2,0)</f>
        <v>050053</v>
      </c>
      <c r="I1512" s="78">
        <v>132029037</v>
      </c>
      <c r="J1512" s="51" t="s">
        <v>1909</v>
      </c>
      <c r="K1512" s="47" t="str">
        <f t="shared" ca="1" si="524"/>
        <v>CONTRATADO</v>
      </c>
      <c r="L1512" s="47" t="s">
        <v>94</v>
      </c>
      <c r="M1512" s="47" t="s">
        <v>255</v>
      </c>
      <c r="N1512" s="52" t="s">
        <v>449</v>
      </c>
      <c r="O1512" s="51" t="e">
        <f>VLOOKUP(N1512,[2]!RUBROS[#All],3,0)</f>
        <v>#REF!</v>
      </c>
      <c r="P1512" s="53" t="e">
        <f>VLOOKUP(N1512,[2]!RUBROS[#All],2,0)</f>
        <v>#REF!</v>
      </c>
      <c r="Q1512" s="47" t="str">
        <f t="shared" si="525"/>
        <v>51</v>
      </c>
      <c r="R1512" s="47" t="str">
        <f t="shared" si="511"/>
        <v>4-271130</v>
      </c>
      <c r="S1512" s="339">
        <v>5.5</v>
      </c>
      <c r="T1512" s="59" t="s">
        <v>46</v>
      </c>
      <c r="U1512" s="326" t="e">
        <f ca="1">_xlfn.XLOOKUP(PAA_4[[#This Row],[ITEM]],[2]Contrato!A:A,[2]Contrato!Q:Q,"",0)</f>
        <v>#NAME?</v>
      </c>
      <c r="V1512" s="47" t="s">
        <v>47</v>
      </c>
      <c r="W1512" s="47" t="s">
        <v>193</v>
      </c>
      <c r="X1512" s="47" t="s">
        <v>193</v>
      </c>
      <c r="Y1512" s="55" t="e">
        <f ca="1">_xlfn.XLOOKUP(PAA_4[[#This Row],[ITEM]],[2]Contrato!A:A,[2]Contrato!B:B,"",0)</f>
        <v>#NAME?</v>
      </c>
      <c r="Z1512" s="47" t="e">
        <f ca="1">_xlfn.XLOOKUP(PAA_4[[#This Row],[ITEM]],[2]Contrato!A:A,[2]Contrato!G:G,"",0)</f>
        <v>#NAME?</v>
      </c>
      <c r="AA1512" s="47" t="e">
        <f ca="1">_xlfn.XLOOKUP(PAA_4[[#This Row],[ITEM]],[2]Contrato!A:A,[2]Contrato!T:T,"",0)</f>
        <v>#NAME?</v>
      </c>
      <c r="AB1512" s="55" t="e">
        <f ca="1">+MAX(PAA_4[[#This Row],[Comprometido Contrato]],PAA_4[[#This Row],[Comprometido Bolsa]])</f>
        <v>#NAME?</v>
      </c>
      <c r="AC1512" s="55" t="str">
        <f t="shared" ca="1" si="526"/>
        <v/>
      </c>
      <c r="AD1512" s="55" t="e">
        <f ca="1">IF(PAA_4[[#This Row],[ESTADO (formulado)]]="NO CONTRATADO",0,MAX(PAA_4[[#This Row],[Pago por Contrato]],PAA_4[[#This Row],[Pago por bolsa]]))</f>
        <v>#NAME?</v>
      </c>
      <c r="AE1512" s="55" t="str">
        <f t="shared" ca="1" si="527"/>
        <v/>
      </c>
      <c r="AF1512" s="47" t="e">
        <f t="shared" ca="1" si="528"/>
        <v>#NAME?</v>
      </c>
      <c r="AG1512" s="47">
        <f t="shared" si="529"/>
        <v>44021011</v>
      </c>
      <c r="AH1512" s="54">
        <f>IF(Q1512="22",IF(ISNUMBER(SEARCH("econ",PAA_4[[#This Row],[Actividad3]])),"Económico",IF(ISNUMBER(SEARCH("alim",PAA_4[[#This Row],[Actividad3]])),"Alimentación",IF(ISNUMBER(SEARCH("educ",PAA_4[[#This Row],[Actividad3]])),"Educativo","Técnico"))),0)</f>
        <v>0</v>
      </c>
      <c r="AI1512" s="47" t="e" cm="1">
        <f t="array" aca="1" ref="AI1512" ca="1">_xlfn.XLOOKUP(PAA_4[[#This Row],[RCP-RUBRO]],[2]!COMPROMISOS_2024[[#All],[concatenado]],[2]!COMPROMISOS_2024[[#All],[Total pagado]],"",0)</f>
        <v>#NAME?</v>
      </c>
      <c r="AJ1512" s="56">
        <f>IF(PAA_4[[#This Row],[BOLSA]]=0,0,SUMIFS([2]!COMPROMISOS_2024[[#All],[Total pagado]],[2]!COMPROMISOS_2024[[#All],[Bolsa]],PAA_4[[#This Row],[BOLSA]],[2]!COMPROMISOS_2024[[#All],[rubro]],PAA_4[[#This Row],[RCP-RUBRO]]))</f>
        <v>0</v>
      </c>
      <c r="AK1512" s="47" t="e" cm="1">
        <f t="array" aca="1" ref="AK1512" ca="1">_xlfn.XLOOKUP(PAA_4[[#This Row],[RCP-RUBRO]],[2]!COMPROMISOS_2024[[#All],[concatenado]],[2]!COMPROMISOS_2024[[#All],[Total Comprometido]],"",0)</f>
        <v>#NAME?</v>
      </c>
      <c r="AL1512" s="47">
        <f>IF(PAA_4[[#This Row],[BOLSA]]=0,0,SUMIFS([2]!COMPROMISOS_2024[[#All],[Total Comprometido]],[2]!COMPROMISOS_2024[[#All],[Bolsa]],PAA_4[[#This Row],[BOLSA]],[2]!COMPROMISOS_2024[[#All],[concatenado]],PAA_4[[#This Row],[RCP-RUBRO]]))</f>
        <v>0</v>
      </c>
    </row>
    <row r="1513" spans="1:38" s="19" customFormat="1" ht="31.5" customHeight="1">
      <c r="A1513" s="47">
        <v>853</v>
      </c>
      <c r="B1513" s="47" t="s">
        <v>393</v>
      </c>
      <c r="C1513" s="47" t="str">
        <f>VLOOKUP(PAA_4[[#This Row],[PROYECTO (formulado)2]],[2]PROYECTOS!$G$1:$L$32,6,0)</f>
        <v>SUBGERENCIA DE FOMENTO Y DESARROLLO</v>
      </c>
      <c r="D1513" s="47" t="str">
        <f>+IF(PAA_4[[#This Row],[UNIDAD DE CONTRATACION (formulado)]]="Subgerencia Administrativa y Financiera","FUNCIONAMIENTO","INVERSIÓN")</f>
        <v>INVERSIÓN</v>
      </c>
      <c r="E1513" s="48" t="str">
        <f>VLOOKUP(Q1513,[2]PROYECTOS!$G$1:$K$32,5,0)</f>
        <v>FORTALECIMIENTO_DE_LOS_JUEGOS_DEL_SECTOR_EDUCATIVO_EN_ANTIOQUIA</v>
      </c>
      <c r="F1513" s="48">
        <f>VLOOKUP(E1513,[2]PROYECTOS!$K$1:$M$32,3,0)</f>
        <v>2020003050034</v>
      </c>
      <c r="G1513" s="49" t="s">
        <v>413</v>
      </c>
      <c r="H1513" s="49" t="str">
        <f>VLOOKUP(Q1513,[2]PROYECTOS!$V$1:$W$32,2,0)</f>
        <v>050053</v>
      </c>
      <c r="I1513" s="78">
        <v>298938734</v>
      </c>
      <c r="J1513" s="51" t="s">
        <v>1910</v>
      </c>
      <c r="K1513" s="47" t="str">
        <f t="shared" ca="1" si="524"/>
        <v>CONTRATADO</v>
      </c>
      <c r="L1513" s="47" t="s">
        <v>94</v>
      </c>
      <c r="M1513" s="47" t="s">
        <v>255</v>
      </c>
      <c r="N1513" s="52" t="s">
        <v>145</v>
      </c>
      <c r="O1513" s="51" t="e">
        <f>VLOOKUP(N1513,[2]!RUBROS[#All],3,0)</f>
        <v>#REF!</v>
      </c>
      <c r="P1513" s="53" t="e">
        <f>VLOOKUP(N1513,[2]!RUBROS[#All],2,0)</f>
        <v>#REF!</v>
      </c>
      <c r="Q1513" s="47" t="str">
        <f t="shared" si="525"/>
        <v>51</v>
      </c>
      <c r="R1513" s="47" t="str">
        <f t="shared" si="511"/>
        <v>0-205400</v>
      </c>
      <c r="S1513" s="339">
        <v>5.5</v>
      </c>
      <c r="T1513" s="59" t="s">
        <v>46</v>
      </c>
      <c r="U1513" s="326" t="e">
        <f ca="1">_xlfn.XLOOKUP(PAA_4[[#This Row],[ITEM]],[2]Contrato!A:A,[2]Contrato!Q:Q,"",0)</f>
        <v>#NAME?</v>
      </c>
      <c r="V1513" s="47" t="s">
        <v>47</v>
      </c>
      <c r="W1513" s="47" t="s">
        <v>193</v>
      </c>
      <c r="X1513" s="47" t="s">
        <v>193</v>
      </c>
      <c r="Y1513" s="55" t="e">
        <f ca="1">_xlfn.XLOOKUP(PAA_4[[#This Row],[ITEM]],[2]Contrato!A:A,[2]Contrato!B:B,"",0)</f>
        <v>#NAME?</v>
      </c>
      <c r="Z1513" s="47" t="e">
        <f ca="1">_xlfn.XLOOKUP(PAA_4[[#This Row],[ITEM]],[2]Contrato!A:A,[2]Contrato!G:G,"",0)</f>
        <v>#NAME?</v>
      </c>
      <c r="AA1513" s="47" t="e">
        <f ca="1">_xlfn.XLOOKUP(PAA_4[[#This Row],[ITEM]],[2]Contrato!A:A,[2]Contrato!T:T,"",0)</f>
        <v>#NAME?</v>
      </c>
      <c r="AB1513" s="55" t="e">
        <f ca="1">+MAX(PAA_4[[#This Row],[Comprometido Contrato]],PAA_4[[#This Row],[Comprometido Bolsa]])</f>
        <v>#NAME?</v>
      </c>
      <c r="AC1513" s="55" t="str">
        <f t="shared" ca="1" si="526"/>
        <v/>
      </c>
      <c r="AD1513" s="55" t="e">
        <f ca="1">IF(PAA_4[[#This Row],[ESTADO (formulado)]]="NO CONTRATADO",0,MAX(PAA_4[[#This Row],[Pago por Contrato]],PAA_4[[#This Row],[Pago por bolsa]]))</f>
        <v>#NAME?</v>
      </c>
      <c r="AE1513" s="55" t="str">
        <f t="shared" ca="1" si="527"/>
        <v/>
      </c>
      <c r="AF1513" s="47" t="e">
        <f t="shared" ca="1" si="528"/>
        <v>#NAME?</v>
      </c>
      <c r="AG1513" s="47">
        <f t="shared" si="529"/>
        <v>44021011</v>
      </c>
      <c r="AH1513" s="54">
        <f>IF(Q1513="22",IF(ISNUMBER(SEARCH("econ",PAA_4[[#This Row],[Actividad3]])),"Económico",IF(ISNUMBER(SEARCH("alim",PAA_4[[#This Row],[Actividad3]])),"Alimentación",IF(ISNUMBER(SEARCH("educ",PAA_4[[#This Row],[Actividad3]])),"Educativo","Técnico"))),0)</f>
        <v>0</v>
      </c>
      <c r="AI1513" s="47" t="e" cm="1">
        <f t="array" aca="1" ref="AI1513" ca="1">_xlfn.XLOOKUP(PAA_4[[#This Row],[RCP-RUBRO]],[2]!COMPROMISOS_2024[[#All],[concatenado]],[2]!COMPROMISOS_2024[[#All],[Total pagado]],"",0)</f>
        <v>#NAME?</v>
      </c>
      <c r="AJ1513" s="56">
        <f>IF(PAA_4[[#This Row],[BOLSA]]=0,0,SUMIFS([2]!COMPROMISOS_2024[[#All],[Total pagado]],[2]!COMPROMISOS_2024[[#All],[Bolsa]],PAA_4[[#This Row],[BOLSA]],[2]!COMPROMISOS_2024[[#All],[rubro]],PAA_4[[#This Row],[RCP-RUBRO]]))</f>
        <v>0</v>
      </c>
      <c r="AK1513" s="47" t="e" cm="1">
        <f t="array" aca="1" ref="AK1513" ca="1">_xlfn.XLOOKUP(PAA_4[[#This Row],[RCP-RUBRO]],[2]!COMPROMISOS_2024[[#All],[concatenado]],[2]!COMPROMISOS_2024[[#All],[Total Comprometido]],"",0)</f>
        <v>#NAME?</v>
      </c>
      <c r="AL1513" s="47">
        <f>IF(PAA_4[[#This Row],[BOLSA]]=0,0,SUMIFS([2]!COMPROMISOS_2024[[#All],[Total Comprometido]],[2]!COMPROMISOS_2024[[#All],[Bolsa]],PAA_4[[#This Row],[BOLSA]],[2]!COMPROMISOS_2024[[#All],[concatenado]],PAA_4[[#This Row],[RCP-RUBRO]]))</f>
        <v>0</v>
      </c>
    </row>
    <row r="1514" spans="1:38" s="19" customFormat="1" ht="31.5" customHeight="1">
      <c r="A1514" s="47" t="s">
        <v>82</v>
      </c>
      <c r="B1514" s="61" t="s">
        <v>42</v>
      </c>
      <c r="C1514" s="47" t="str">
        <f>VLOOKUP(PAA_4[[#This Row],[PROYECTO (formulado)2]],[2]PROYECTOS!$G$1:$L$32,6,0)</f>
        <v>SUBGERENCIA DE FOMENTO Y DESARROLLO</v>
      </c>
      <c r="D1514" s="47" t="str">
        <f>+IF(PAA_4[[#This Row],[UNIDAD DE CONTRATACION (formulado)]]="Subgerencia Administrativa y Financiera","FUNCIONAMIENTO","INVERSIÓN")</f>
        <v>INVERSIÓN</v>
      </c>
      <c r="E1514" s="48" t="str">
        <f>VLOOKUP(Q1514,[2]PROYECTOS!$G$1:$K$32,5,0)</f>
        <v>FORTALECIMIENTO_DE_LOS_JUEGOS_DEL_SECTOR_EDUCATIVO_EN_ANTIOQUIA</v>
      </c>
      <c r="F1514" s="48">
        <f>VLOOKUP(E1514,[2]PROYECTOS!$K$1:$M$32,3,0)</f>
        <v>2020003050034</v>
      </c>
      <c r="G1514" s="49"/>
      <c r="H1514" s="49" t="str">
        <f>VLOOKUP(Q1514,[2]PROYECTOS!$V$1:$W$32,2,0)</f>
        <v>050053</v>
      </c>
      <c r="I1514" s="78">
        <v>1</v>
      </c>
      <c r="J1514" s="51" t="s">
        <v>1874</v>
      </c>
      <c r="K1514" s="47" t="str">
        <f t="shared" ca="1" si="524"/>
        <v>CONTRATADO</v>
      </c>
      <c r="L1514" s="47" t="s">
        <v>42</v>
      </c>
      <c r="M1514" s="47" t="s">
        <v>42</v>
      </c>
      <c r="N1514" s="52" t="s">
        <v>449</v>
      </c>
      <c r="O1514" s="51" t="e">
        <f>VLOOKUP(N1514,[2]!RUBROS[#All],3,0)</f>
        <v>#REF!</v>
      </c>
      <c r="P1514" s="53" t="e">
        <f>VLOOKUP(N1514,[2]!RUBROS[#All],2,0)</f>
        <v>#REF!</v>
      </c>
      <c r="Q1514" s="47" t="str">
        <f t="shared" si="525"/>
        <v>51</v>
      </c>
      <c r="R1514" s="47" t="str">
        <f t="shared" si="511"/>
        <v>4-271130</v>
      </c>
      <c r="S1514" s="54" t="s">
        <v>42</v>
      </c>
      <c r="T1514" s="59" t="s">
        <v>42</v>
      </c>
      <c r="U1514" s="326" t="e">
        <f ca="1">_xlfn.XLOOKUP(PAA_4[[#This Row],[ITEM]],[2]Contrato!A:A,[2]Contrato!Q:Q,"",0)</f>
        <v>#NAME?</v>
      </c>
      <c r="V1514" s="47" t="s">
        <v>95</v>
      </c>
      <c r="W1514" s="64" t="s">
        <v>42</v>
      </c>
      <c r="X1514" s="64" t="s">
        <v>42</v>
      </c>
      <c r="Y1514" s="55" t="e">
        <f ca="1">_xlfn.XLOOKUP(PAA_4[[#This Row],[ITEM]],[2]Contrato!A:A,[2]Contrato!B:B,"",0)</f>
        <v>#NAME?</v>
      </c>
      <c r="Z1514" s="47" t="e">
        <f ca="1">_xlfn.XLOOKUP(PAA_4[[#This Row],[ITEM]],[2]Contrato!A:A,[2]Contrato!G:G,"",0)</f>
        <v>#NAME?</v>
      </c>
      <c r="AA1514" s="47" t="e">
        <f ca="1">_xlfn.XLOOKUP(PAA_4[[#This Row],[ITEM]],[2]Contrato!A:A,[2]Contrato!T:T,"",0)</f>
        <v>#NAME?</v>
      </c>
      <c r="AB1514" s="55" t="e">
        <f ca="1">+MAX(PAA_4[[#This Row],[Comprometido Contrato]],PAA_4[[#This Row],[Comprometido Bolsa]])</f>
        <v>#NAME?</v>
      </c>
      <c r="AC1514" s="55" t="str">
        <f t="shared" ca="1" si="526"/>
        <v/>
      </c>
      <c r="AD1514" s="55" t="e">
        <f ca="1">IF(PAA_4[[#This Row],[ESTADO (formulado)]]="NO CONTRATADO",0,MAX(PAA_4[[#This Row],[Pago por Contrato]],PAA_4[[#This Row],[Pago por bolsa]]))</f>
        <v>#NAME?</v>
      </c>
      <c r="AE1514" s="55" t="str">
        <f t="shared" ca="1" si="527"/>
        <v/>
      </c>
      <c r="AF1514" s="47" t="e">
        <f t="shared" ca="1" si="528"/>
        <v>#NAME?</v>
      </c>
      <c r="AG1514" s="47">
        <f t="shared" si="529"/>
        <v>0</v>
      </c>
      <c r="AH1514" s="54">
        <f>IF(Q1514="22",IF(ISNUMBER(SEARCH("econ",PAA_4[[#This Row],[Actividad3]])),"Económico",IF(ISNUMBER(SEARCH("alim",PAA_4[[#This Row],[Actividad3]])),"Alimentación",IF(ISNUMBER(SEARCH("educ",PAA_4[[#This Row],[Actividad3]])),"Educativo","Técnico"))),0)</f>
        <v>0</v>
      </c>
      <c r="AI1514" s="47" t="e" cm="1">
        <f t="array" aca="1" ref="AI1514" ca="1">_xlfn.XLOOKUP(PAA_4[[#This Row],[RCP-RUBRO]],[2]!COMPROMISOS_2024[[#All],[concatenado]],[2]!COMPROMISOS_2024[[#All],[Total pagado]],"",0)</f>
        <v>#NAME?</v>
      </c>
      <c r="AJ1514" s="56">
        <f>IF(PAA_4[[#This Row],[BOLSA]]=0,0,SUMIFS([2]!COMPROMISOS_2024[[#All],[Total pagado]],[2]!COMPROMISOS_2024[[#All],[Bolsa]],PAA_4[[#This Row],[BOLSA]],[2]!COMPROMISOS_2024[[#All],[rubro]],PAA_4[[#This Row],[RCP-RUBRO]]))</f>
        <v>0</v>
      </c>
      <c r="AK1514" s="47" t="e" cm="1">
        <f t="array" aca="1" ref="AK1514" ca="1">_xlfn.XLOOKUP(PAA_4[[#This Row],[RCP-RUBRO]],[2]!COMPROMISOS_2024[[#All],[concatenado]],[2]!COMPROMISOS_2024[[#All],[Total Comprometido]],"",0)</f>
        <v>#NAME?</v>
      </c>
      <c r="AL1514" s="47">
        <f>IF(PAA_4[[#This Row],[BOLSA]]=0,0,SUMIFS([2]!COMPROMISOS_2024[[#All],[Total Comprometido]],[2]!COMPROMISOS_2024[[#All],[Bolsa]],PAA_4[[#This Row],[BOLSA]],[2]!COMPROMISOS_2024[[#All],[concatenado]],PAA_4[[#This Row],[RCP-RUBRO]]))</f>
        <v>0</v>
      </c>
    </row>
    <row r="1515" spans="1:38" s="19" customFormat="1" ht="31.5" customHeight="1">
      <c r="A1515" s="47">
        <v>854</v>
      </c>
      <c r="B1515" s="47" t="s">
        <v>393</v>
      </c>
      <c r="C1515" s="47" t="str">
        <f>VLOOKUP(PAA_4[[#This Row],[PROYECTO (formulado)2]],[2]PROYECTOS!$G$1:$L$32,6,0)</f>
        <v>SUBGERENCIA DE FOMENTO Y DESARROLLO</v>
      </c>
      <c r="D1515" s="47" t="str">
        <f>+IF(PAA_4[[#This Row],[UNIDAD DE CONTRATACION (formulado)]]="Subgerencia Administrativa y Financiera","FUNCIONAMIENTO","INVERSIÓN")</f>
        <v>INVERSIÓN</v>
      </c>
      <c r="E1515" s="48" t="str">
        <f>VLOOKUP(Q1515,[2]PROYECTOS!$G$1:$K$32,5,0)</f>
        <v>FORTALECIMIENTO_DE_LOS_JUEGOS_DEL_SECTOR_EDUCATIVO_EN_ANTIOQUIA</v>
      </c>
      <c r="F1515" s="48">
        <f>VLOOKUP(E1515,[2]PROYECTOS!$K$1:$M$32,3,0)</f>
        <v>2020003050034</v>
      </c>
      <c r="G1515" s="49" t="s">
        <v>413</v>
      </c>
      <c r="H1515" s="49" t="str">
        <f>VLOOKUP(Q1515,[2]PROYECTOS!$V$1:$W$32,2,0)</f>
        <v>050053</v>
      </c>
      <c r="I1515" s="78">
        <f>150552599-1</f>
        <v>150552598</v>
      </c>
      <c r="J1515" s="51" t="s">
        <v>1911</v>
      </c>
      <c r="K1515" s="47" t="str">
        <f t="shared" ca="1" si="524"/>
        <v>CONTRATADO</v>
      </c>
      <c r="L1515" s="47" t="s">
        <v>94</v>
      </c>
      <c r="M1515" s="47" t="s">
        <v>255</v>
      </c>
      <c r="N1515" s="52" t="s">
        <v>449</v>
      </c>
      <c r="O1515" s="51" t="e">
        <f>VLOOKUP(N1515,[2]!RUBROS[#All],3,0)</f>
        <v>#REF!</v>
      </c>
      <c r="P1515" s="53" t="e">
        <f>VLOOKUP(N1515,[2]!RUBROS[#All],2,0)</f>
        <v>#REF!</v>
      </c>
      <c r="Q1515" s="47" t="str">
        <f t="shared" si="525"/>
        <v>51</v>
      </c>
      <c r="R1515" s="47" t="str">
        <f t="shared" si="511"/>
        <v>4-271130</v>
      </c>
      <c r="S1515" s="339">
        <v>5.5</v>
      </c>
      <c r="T1515" s="59" t="s">
        <v>46</v>
      </c>
      <c r="U1515" s="326" t="e">
        <f ca="1">_xlfn.XLOOKUP(PAA_4[[#This Row],[ITEM]],[2]Contrato!A:A,[2]Contrato!Q:Q,"",0)</f>
        <v>#NAME?</v>
      </c>
      <c r="V1515" s="47" t="s">
        <v>47</v>
      </c>
      <c r="W1515" s="47" t="s">
        <v>193</v>
      </c>
      <c r="X1515" s="47" t="s">
        <v>193</v>
      </c>
      <c r="Y1515" s="55" t="e">
        <f ca="1">_xlfn.XLOOKUP(PAA_4[[#This Row],[ITEM]],[2]Contrato!A:A,[2]Contrato!B:B,"",0)</f>
        <v>#NAME?</v>
      </c>
      <c r="Z1515" s="47" t="e">
        <f ca="1">_xlfn.XLOOKUP(PAA_4[[#This Row],[ITEM]],[2]Contrato!A:A,[2]Contrato!G:G,"",0)</f>
        <v>#NAME?</v>
      </c>
      <c r="AA1515" s="47" t="e">
        <f ca="1">_xlfn.XLOOKUP(PAA_4[[#This Row],[ITEM]],[2]Contrato!A:A,[2]Contrato!T:T,"",0)</f>
        <v>#NAME?</v>
      </c>
      <c r="AB1515" s="55" t="e">
        <f ca="1">+MAX(PAA_4[[#This Row],[Comprometido Contrato]],PAA_4[[#This Row],[Comprometido Bolsa]])</f>
        <v>#NAME?</v>
      </c>
      <c r="AC1515" s="55" t="str">
        <f t="shared" ca="1" si="526"/>
        <v/>
      </c>
      <c r="AD1515" s="55" t="e">
        <f ca="1">IF(PAA_4[[#This Row],[ESTADO (formulado)]]="NO CONTRATADO",0,MAX(PAA_4[[#This Row],[Pago por Contrato]],PAA_4[[#This Row],[Pago por bolsa]]))</f>
        <v>#NAME?</v>
      </c>
      <c r="AE1515" s="55" t="str">
        <f t="shared" ca="1" si="527"/>
        <v/>
      </c>
      <c r="AF1515" s="47" t="e">
        <f t="shared" ca="1" si="528"/>
        <v>#NAME?</v>
      </c>
      <c r="AG1515" s="47">
        <f t="shared" si="529"/>
        <v>44021011</v>
      </c>
      <c r="AH1515" s="54">
        <f>IF(Q1515="22",IF(ISNUMBER(SEARCH("econ",PAA_4[[#This Row],[Actividad3]])),"Económico",IF(ISNUMBER(SEARCH("alim",PAA_4[[#This Row],[Actividad3]])),"Alimentación",IF(ISNUMBER(SEARCH("educ",PAA_4[[#This Row],[Actividad3]])),"Educativo","Técnico"))),0)</f>
        <v>0</v>
      </c>
      <c r="AI1515" s="47" t="e" cm="1">
        <f t="array" aca="1" ref="AI1515" ca="1">_xlfn.XLOOKUP(PAA_4[[#This Row],[RCP-RUBRO]],[2]!COMPROMISOS_2024[[#All],[concatenado]],[2]!COMPROMISOS_2024[[#All],[Total pagado]],"",0)</f>
        <v>#NAME?</v>
      </c>
      <c r="AJ1515" s="56">
        <f>IF(PAA_4[[#This Row],[BOLSA]]=0,0,SUMIFS([2]!COMPROMISOS_2024[[#All],[Total pagado]],[2]!COMPROMISOS_2024[[#All],[Bolsa]],PAA_4[[#This Row],[BOLSA]],[2]!COMPROMISOS_2024[[#All],[rubro]],PAA_4[[#This Row],[RCP-RUBRO]]))</f>
        <v>0</v>
      </c>
      <c r="AK1515" s="47" t="e" cm="1">
        <f t="array" aca="1" ref="AK1515" ca="1">_xlfn.XLOOKUP(PAA_4[[#This Row],[RCP-RUBRO]],[2]!COMPROMISOS_2024[[#All],[concatenado]],[2]!COMPROMISOS_2024[[#All],[Total Comprometido]],"",0)</f>
        <v>#NAME?</v>
      </c>
      <c r="AL1515" s="47">
        <f>IF(PAA_4[[#This Row],[BOLSA]]=0,0,SUMIFS([2]!COMPROMISOS_2024[[#All],[Total Comprometido]],[2]!COMPROMISOS_2024[[#All],[Bolsa]],PAA_4[[#This Row],[BOLSA]],[2]!COMPROMISOS_2024[[#All],[concatenado]],PAA_4[[#This Row],[RCP-RUBRO]]))</f>
        <v>0</v>
      </c>
    </row>
    <row r="1516" spans="1:38" s="19" customFormat="1" ht="31.5" customHeight="1">
      <c r="A1516" s="47">
        <v>854</v>
      </c>
      <c r="B1516" s="47" t="s">
        <v>393</v>
      </c>
      <c r="C1516" s="47" t="str">
        <f>VLOOKUP(PAA_4[[#This Row],[PROYECTO (formulado)2]],[2]PROYECTOS!$G$1:$L$32,6,0)</f>
        <v>SUBGERENCIA DE FOMENTO Y DESARROLLO</v>
      </c>
      <c r="D1516" s="47" t="str">
        <f>+IF(PAA_4[[#This Row],[UNIDAD DE CONTRATACION (formulado)]]="Subgerencia Administrativa y Financiera","FUNCIONAMIENTO","INVERSIÓN")</f>
        <v>INVERSIÓN</v>
      </c>
      <c r="E1516" s="48" t="str">
        <f>VLOOKUP(Q1516,[2]PROYECTOS!$G$1:$K$32,5,0)</f>
        <v>FORTALECIMIENTO_DE_LOS_JUEGOS_DEL_SECTOR_EDUCATIVO_EN_ANTIOQUIA</v>
      </c>
      <c r="F1516" s="48">
        <f>VLOOKUP(E1516,[2]PROYECTOS!$K$1:$M$32,3,0)</f>
        <v>2020003050034</v>
      </c>
      <c r="G1516" s="49" t="s">
        <v>413</v>
      </c>
      <c r="H1516" s="49" t="str">
        <f>VLOOKUP(Q1516,[2]PROYECTOS!$V$1:$W$32,2,0)</f>
        <v>050053</v>
      </c>
      <c r="I1516" s="78">
        <v>282995334</v>
      </c>
      <c r="J1516" s="51" t="s">
        <v>1912</v>
      </c>
      <c r="K1516" s="47" t="str">
        <f t="shared" ca="1" si="524"/>
        <v>CONTRATADO</v>
      </c>
      <c r="L1516" s="47" t="s">
        <v>94</v>
      </c>
      <c r="M1516" s="47" t="s">
        <v>255</v>
      </c>
      <c r="N1516" s="52" t="s">
        <v>145</v>
      </c>
      <c r="O1516" s="51" t="e">
        <f>VLOOKUP(N1516,[2]!RUBROS[#All],3,0)</f>
        <v>#REF!</v>
      </c>
      <c r="P1516" s="53" t="e">
        <f>VLOOKUP(N1516,[2]!RUBROS[#All],2,0)</f>
        <v>#REF!</v>
      </c>
      <c r="Q1516" s="47" t="str">
        <f t="shared" si="525"/>
        <v>51</v>
      </c>
      <c r="R1516" s="47" t="str">
        <f t="shared" si="511"/>
        <v>0-205400</v>
      </c>
      <c r="S1516" s="339">
        <v>5.5</v>
      </c>
      <c r="T1516" s="59" t="s">
        <v>46</v>
      </c>
      <c r="U1516" s="326" t="e">
        <f ca="1">_xlfn.XLOOKUP(PAA_4[[#This Row],[ITEM]],[2]Contrato!A:A,[2]Contrato!Q:Q,"",0)</f>
        <v>#NAME?</v>
      </c>
      <c r="V1516" s="47" t="s">
        <v>47</v>
      </c>
      <c r="W1516" s="47" t="s">
        <v>193</v>
      </c>
      <c r="X1516" s="47" t="s">
        <v>193</v>
      </c>
      <c r="Y1516" s="55" t="e">
        <f ca="1">_xlfn.XLOOKUP(PAA_4[[#This Row],[ITEM]],[2]Contrato!A:A,[2]Contrato!B:B,"",0)</f>
        <v>#NAME?</v>
      </c>
      <c r="Z1516" s="47" t="e">
        <f ca="1">_xlfn.XLOOKUP(PAA_4[[#This Row],[ITEM]],[2]Contrato!A:A,[2]Contrato!G:G,"",0)</f>
        <v>#NAME?</v>
      </c>
      <c r="AA1516" s="47" t="e">
        <f ca="1">_xlfn.XLOOKUP(PAA_4[[#This Row],[ITEM]],[2]Contrato!A:A,[2]Contrato!T:T,"",0)</f>
        <v>#NAME?</v>
      </c>
      <c r="AB1516" s="55" t="e">
        <f ca="1">+MAX(PAA_4[[#This Row],[Comprometido Contrato]],PAA_4[[#This Row],[Comprometido Bolsa]])</f>
        <v>#NAME?</v>
      </c>
      <c r="AC1516" s="55" t="str">
        <f t="shared" ca="1" si="526"/>
        <v/>
      </c>
      <c r="AD1516" s="55" t="e">
        <f ca="1">IF(PAA_4[[#This Row],[ESTADO (formulado)]]="NO CONTRATADO",0,MAX(PAA_4[[#This Row],[Pago por Contrato]],PAA_4[[#This Row],[Pago por bolsa]]))</f>
        <v>#NAME?</v>
      </c>
      <c r="AE1516" s="55" t="str">
        <f t="shared" ca="1" si="527"/>
        <v/>
      </c>
      <c r="AF1516" s="47" t="e">
        <f t="shared" ca="1" si="528"/>
        <v>#NAME?</v>
      </c>
      <c r="AG1516" s="47">
        <f t="shared" si="529"/>
        <v>44021011</v>
      </c>
      <c r="AH1516" s="54">
        <f>IF(Q1516="22",IF(ISNUMBER(SEARCH("econ",PAA_4[[#This Row],[Actividad3]])),"Económico",IF(ISNUMBER(SEARCH("alim",PAA_4[[#This Row],[Actividad3]])),"Alimentación",IF(ISNUMBER(SEARCH("educ",PAA_4[[#This Row],[Actividad3]])),"Educativo","Técnico"))),0)</f>
        <v>0</v>
      </c>
      <c r="AI1516" s="47" t="e" cm="1">
        <f t="array" aca="1" ref="AI1516" ca="1">_xlfn.XLOOKUP(PAA_4[[#This Row],[RCP-RUBRO]],[2]!COMPROMISOS_2024[[#All],[concatenado]],[2]!COMPROMISOS_2024[[#All],[Total pagado]],"",0)</f>
        <v>#NAME?</v>
      </c>
      <c r="AJ1516" s="56">
        <f>IF(PAA_4[[#This Row],[BOLSA]]=0,0,SUMIFS([2]!COMPROMISOS_2024[[#All],[Total pagado]],[2]!COMPROMISOS_2024[[#All],[Bolsa]],PAA_4[[#This Row],[BOLSA]],[2]!COMPROMISOS_2024[[#All],[rubro]],PAA_4[[#This Row],[RCP-RUBRO]]))</f>
        <v>0</v>
      </c>
      <c r="AK1516" s="47" t="e" cm="1">
        <f t="array" aca="1" ref="AK1516" ca="1">_xlfn.XLOOKUP(PAA_4[[#This Row],[RCP-RUBRO]],[2]!COMPROMISOS_2024[[#All],[concatenado]],[2]!COMPROMISOS_2024[[#All],[Total Comprometido]],"",0)</f>
        <v>#NAME?</v>
      </c>
      <c r="AL1516" s="47">
        <f>IF(PAA_4[[#This Row],[BOLSA]]=0,0,SUMIFS([2]!COMPROMISOS_2024[[#All],[Total Comprometido]],[2]!COMPROMISOS_2024[[#All],[Bolsa]],PAA_4[[#This Row],[BOLSA]],[2]!COMPROMISOS_2024[[#All],[concatenado]],PAA_4[[#This Row],[RCP-RUBRO]]))</f>
        <v>0</v>
      </c>
    </row>
    <row r="1517" spans="1:38" s="19" customFormat="1" ht="31.5" customHeight="1">
      <c r="A1517" s="47" t="s">
        <v>82</v>
      </c>
      <c r="B1517" s="47" t="s">
        <v>42</v>
      </c>
      <c r="C1517" s="47" t="str">
        <f>VLOOKUP(PAA_4[[#This Row],[PROYECTO (formulado)2]],[2]PROYECTOS!$G$1:$L$32,6,0)</f>
        <v>SUBGERENCIA DE FOMENTO Y DESARROLLO</v>
      </c>
      <c r="D1517" s="47" t="str">
        <f>+IF(PAA_4[[#This Row],[UNIDAD DE CONTRATACION (formulado)]]="Subgerencia Administrativa y Financiera","FUNCIONAMIENTO","INVERSIÓN")</f>
        <v>INVERSIÓN</v>
      </c>
      <c r="E1517" s="48" t="str">
        <f>VLOOKUP(Q1517,[2]PROYECTOS!$G$1:$K$32,5,0)</f>
        <v>FORTALECIMIENTO_DE_LOS_JUEGOS_DEL_SECTOR_EDUCATIVO_EN_ANTIOQUIA</v>
      </c>
      <c r="F1517" s="48">
        <f>VLOOKUP(E1517,[2]PROYECTOS!$K$1:$M$32,3,0)</f>
        <v>2020003050034</v>
      </c>
      <c r="G1517" s="49" t="s">
        <v>413</v>
      </c>
      <c r="H1517" s="49" t="str">
        <f>VLOOKUP(Q1517,[2]PROYECTOS!$V$1:$W$32,2,0)</f>
        <v>050053</v>
      </c>
      <c r="I1517" s="78">
        <v>0</v>
      </c>
      <c r="J1517" s="51" t="s">
        <v>42</v>
      </c>
      <c r="K1517" s="47" t="str">
        <f t="shared" ca="1" si="524"/>
        <v>CONTRATADO</v>
      </c>
      <c r="L1517" s="47" t="s">
        <v>42</v>
      </c>
      <c r="M1517" s="47" t="s">
        <v>42</v>
      </c>
      <c r="N1517" s="52" t="s">
        <v>449</v>
      </c>
      <c r="O1517" s="51" t="e">
        <f>VLOOKUP(N1517,[2]!RUBROS[#All],3,0)</f>
        <v>#REF!</v>
      </c>
      <c r="P1517" s="53" t="e">
        <f>VLOOKUP(N1517,[2]!RUBROS[#All],2,0)</f>
        <v>#REF!</v>
      </c>
      <c r="Q1517" s="47" t="str">
        <f t="shared" si="525"/>
        <v>51</v>
      </c>
      <c r="R1517" s="47" t="str">
        <f t="shared" si="511"/>
        <v>4-271130</v>
      </c>
      <c r="S1517" s="54" t="s">
        <v>42</v>
      </c>
      <c r="T1517" s="59" t="s">
        <v>42</v>
      </c>
      <c r="U1517" s="326" t="e">
        <f ca="1">_xlfn.XLOOKUP(PAA_4[[#This Row],[ITEM]],[2]Contrato!A:A,[2]Contrato!Q:Q,"",0)</f>
        <v>#NAME?</v>
      </c>
      <c r="V1517" s="47" t="s">
        <v>95</v>
      </c>
      <c r="W1517" s="47" t="s">
        <v>42</v>
      </c>
      <c r="X1517" s="47" t="s">
        <v>42</v>
      </c>
      <c r="Y1517" s="55" t="e">
        <f ca="1">_xlfn.XLOOKUP(PAA_4[[#This Row],[ITEM]],[2]Contrato!A:A,[2]Contrato!B:B,"",0)</f>
        <v>#NAME?</v>
      </c>
      <c r="Z1517" s="47" t="e">
        <f ca="1">_xlfn.XLOOKUP(PAA_4[[#This Row],[ITEM]],[2]Contrato!A:A,[2]Contrato!G:G,"",0)</f>
        <v>#NAME?</v>
      </c>
      <c r="AA1517" s="47" t="e">
        <f ca="1">_xlfn.XLOOKUP(PAA_4[[#This Row],[ITEM]],[2]Contrato!A:A,[2]Contrato!T:T,"",0)</f>
        <v>#NAME?</v>
      </c>
      <c r="AB1517" s="55" t="e">
        <f ca="1">+MAX(PAA_4[[#This Row],[Comprometido Contrato]],PAA_4[[#This Row],[Comprometido Bolsa]])</f>
        <v>#NAME?</v>
      </c>
      <c r="AC1517" s="55" t="str">
        <f t="shared" ca="1" si="526"/>
        <v/>
      </c>
      <c r="AD1517" s="55" t="e">
        <f ca="1">IF(PAA_4[[#This Row],[ESTADO (formulado)]]="NO CONTRATADO",0,MAX(PAA_4[[#This Row],[Pago por Contrato]],PAA_4[[#This Row],[Pago por bolsa]]))</f>
        <v>#NAME?</v>
      </c>
      <c r="AE1517" s="55" t="str">
        <f t="shared" ca="1" si="527"/>
        <v/>
      </c>
      <c r="AF1517" s="47" t="e">
        <f t="shared" ca="1" si="528"/>
        <v>#NAME?</v>
      </c>
      <c r="AG1517" s="47">
        <f t="shared" si="529"/>
        <v>44021011</v>
      </c>
      <c r="AH1517" s="54">
        <f>IF(Q1517="22",IF(ISNUMBER(SEARCH("econ",PAA_4[[#This Row],[Actividad3]])),"Económico",IF(ISNUMBER(SEARCH("alim",PAA_4[[#This Row],[Actividad3]])),"Alimentación",IF(ISNUMBER(SEARCH("educ",PAA_4[[#This Row],[Actividad3]])),"Educativo","Técnico"))),0)</f>
        <v>0</v>
      </c>
      <c r="AI1517" s="47" t="e" cm="1">
        <f t="array" aca="1" ref="AI1517" ca="1">_xlfn.XLOOKUP(PAA_4[[#This Row],[RCP-RUBRO]],[2]!COMPROMISOS_2024[[#All],[concatenado]],[2]!COMPROMISOS_2024[[#All],[Total pagado]],"",0)</f>
        <v>#NAME?</v>
      </c>
      <c r="AJ1517" s="56">
        <f>IF(PAA_4[[#This Row],[BOLSA]]=0,0,SUMIFS([2]!COMPROMISOS_2024[[#All],[Total pagado]],[2]!COMPROMISOS_2024[[#All],[Bolsa]],PAA_4[[#This Row],[BOLSA]],[2]!COMPROMISOS_2024[[#All],[rubro]],PAA_4[[#This Row],[RCP-RUBRO]]))</f>
        <v>0</v>
      </c>
      <c r="AK1517" s="47" t="e" cm="1">
        <f t="array" aca="1" ref="AK1517" ca="1">_xlfn.XLOOKUP(PAA_4[[#This Row],[RCP-RUBRO]],[2]!COMPROMISOS_2024[[#All],[concatenado]],[2]!COMPROMISOS_2024[[#All],[Total Comprometido]],"",0)</f>
        <v>#NAME?</v>
      </c>
      <c r="AL1517" s="47">
        <f>IF(PAA_4[[#This Row],[BOLSA]]=0,0,SUMIFS([2]!COMPROMISOS_2024[[#All],[Total Comprometido]],[2]!COMPROMISOS_2024[[#All],[Bolsa]],PAA_4[[#This Row],[BOLSA]],[2]!COMPROMISOS_2024[[#All],[concatenado]],PAA_4[[#This Row],[RCP-RUBRO]]))</f>
        <v>0</v>
      </c>
    </row>
    <row r="1518" spans="1:38" s="19" customFormat="1" ht="31.5" customHeight="1">
      <c r="A1518" s="47" t="s">
        <v>82</v>
      </c>
      <c r="B1518" s="47" t="s">
        <v>42</v>
      </c>
      <c r="C1518" s="47" t="str">
        <f>VLOOKUP(PAA_4[[#This Row],[PROYECTO (formulado)2]],[2]PROYECTOS!$G$1:$L$32,6,0)</f>
        <v>SUBGERENCIA DE FOMENTO Y DESARROLLO</v>
      </c>
      <c r="D1518" s="47" t="str">
        <f>+IF(PAA_4[[#This Row],[UNIDAD DE CONTRATACION (formulado)]]="Subgerencia Administrativa y Financiera","FUNCIONAMIENTO","INVERSIÓN")</f>
        <v>INVERSIÓN</v>
      </c>
      <c r="E1518" s="48" t="str">
        <f>VLOOKUP(Q1518,[2]PROYECTOS!$G$1:$K$32,5,0)</f>
        <v>FORTALECIMIENTO_DE_LOS_JUEGOS_DEL_SECTOR_EDUCATIVO_EN_ANTIOQUIA</v>
      </c>
      <c r="F1518" s="48">
        <f>VLOOKUP(E1518,[2]PROYECTOS!$K$1:$M$32,3,0)</f>
        <v>2020003050034</v>
      </c>
      <c r="G1518" s="49" t="s">
        <v>413</v>
      </c>
      <c r="H1518" s="49" t="str">
        <f>VLOOKUP(Q1518,[2]PROYECTOS!$V$1:$W$32,2,0)</f>
        <v>050053</v>
      </c>
      <c r="I1518" s="78">
        <v>33838052</v>
      </c>
      <c r="J1518" s="51" t="s">
        <v>1913</v>
      </c>
      <c r="K1518" s="47" t="str">
        <f t="shared" ca="1" si="524"/>
        <v>CONTRATADO</v>
      </c>
      <c r="L1518" s="47" t="s">
        <v>42</v>
      </c>
      <c r="M1518" s="47" t="s">
        <v>42</v>
      </c>
      <c r="N1518" s="52" t="s">
        <v>449</v>
      </c>
      <c r="O1518" s="51" t="e">
        <f>VLOOKUP(N1518,[2]!RUBROS[#All],3,0)</f>
        <v>#REF!</v>
      </c>
      <c r="P1518" s="53" t="e">
        <f>VLOOKUP(N1518,[2]!RUBROS[#All],2,0)</f>
        <v>#REF!</v>
      </c>
      <c r="Q1518" s="47" t="str">
        <f t="shared" si="525"/>
        <v>51</v>
      </c>
      <c r="R1518" s="47" t="str">
        <f t="shared" si="511"/>
        <v>4-271130</v>
      </c>
      <c r="S1518" s="54" t="s">
        <v>42</v>
      </c>
      <c r="T1518" s="59" t="s">
        <v>42</v>
      </c>
      <c r="U1518" s="326" t="e">
        <f ca="1">_xlfn.XLOOKUP(PAA_4[[#This Row],[ITEM]],[2]Contrato!A:A,[2]Contrato!Q:Q,"",0)</f>
        <v>#NAME?</v>
      </c>
      <c r="V1518" s="47" t="s">
        <v>42</v>
      </c>
      <c r="W1518" s="47" t="s">
        <v>42</v>
      </c>
      <c r="X1518" s="47" t="s">
        <v>42</v>
      </c>
      <c r="Y1518" s="55" t="e">
        <f ca="1">_xlfn.XLOOKUP(PAA_4[[#This Row],[ITEM]],[2]Contrato!A:A,[2]Contrato!B:B,"",0)</f>
        <v>#NAME?</v>
      </c>
      <c r="Z1518" s="47" t="e">
        <f ca="1">_xlfn.XLOOKUP(PAA_4[[#This Row],[ITEM]],[2]Contrato!A:A,[2]Contrato!G:G,"",0)</f>
        <v>#NAME?</v>
      </c>
      <c r="AA1518" s="47" t="e">
        <f ca="1">_xlfn.XLOOKUP(PAA_4[[#This Row],[ITEM]],[2]Contrato!A:A,[2]Contrato!T:T,"",0)</f>
        <v>#NAME?</v>
      </c>
      <c r="AB1518" s="55" t="e">
        <f ca="1">+MAX(PAA_4[[#This Row],[Comprometido Contrato]],PAA_4[[#This Row],[Comprometido Bolsa]])</f>
        <v>#NAME?</v>
      </c>
      <c r="AC1518" s="55" t="str">
        <f t="shared" ca="1" si="526"/>
        <v/>
      </c>
      <c r="AD1518" s="55" t="e">
        <f ca="1">IF(PAA_4[[#This Row],[ESTADO (formulado)]]="NO CONTRATADO",0,MAX(PAA_4[[#This Row],[Pago por Contrato]],PAA_4[[#This Row],[Pago por bolsa]]))</f>
        <v>#NAME?</v>
      </c>
      <c r="AE1518" s="55" t="str">
        <f t="shared" ca="1" si="527"/>
        <v/>
      </c>
      <c r="AF1518" s="47" t="e">
        <f t="shared" ca="1" si="528"/>
        <v>#NAME?</v>
      </c>
      <c r="AG1518" s="47">
        <f t="shared" si="529"/>
        <v>44021011</v>
      </c>
      <c r="AH1518" s="54">
        <f>IF(Q1518="22",IF(ISNUMBER(SEARCH("econ",PAA_4[[#This Row],[Actividad3]])),"Económico",IF(ISNUMBER(SEARCH("alim",PAA_4[[#This Row],[Actividad3]])),"Alimentación",IF(ISNUMBER(SEARCH("educ",PAA_4[[#This Row],[Actividad3]])),"Educativo","Técnico"))),0)</f>
        <v>0</v>
      </c>
      <c r="AI1518" s="47" t="e" cm="1">
        <f t="array" aca="1" ref="AI1518" ca="1">_xlfn.XLOOKUP(PAA_4[[#This Row],[RCP-RUBRO]],[2]!COMPROMISOS_2024[[#All],[concatenado]],[2]!COMPROMISOS_2024[[#All],[Total pagado]],"",0)</f>
        <v>#NAME?</v>
      </c>
      <c r="AJ1518" s="56">
        <f>IF(PAA_4[[#This Row],[BOLSA]]=0,0,SUMIFS([2]!COMPROMISOS_2024[[#All],[Total pagado]],[2]!COMPROMISOS_2024[[#All],[Bolsa]],PAA_4[[#This Row],[BOLSA]],[2]!COMPROMISOS_2024[[#All],[rubro]],PAA_4[[#This Row],[RCP-RUBRO]]))</f>
        <v>0</v>
      </c>
      <c r="AK1518" s="47" t="e" cm="1">
        <f t="array" aca="1" ref="AK1518" ca="1">_xlfn.XLOOKUP(PAA_4[[#This Row],[RCP-RUBRO]],[2]!COMPROMISOS_2024[[#All],[concatenado]],[2]!COMPROMISOS_2024[[#All],[Total Comprometido]],"",0)</f>
        <v>#NAME?</v>
      </c>
      <c r="AL1518" s="47">
        <f>IF(PAA_4[[#This Row],[BOLSA]]=0,0,SUMIFS([2]!COMPROMISOS_2024[[#All],[Total Comprometido]],[2]!COMPROMISOS_2024[[#All],[Bolsa]],PAA_4[[#This Row],[BOLSA]],[2]!COMPROMISOS_2024[[#All],[concatenado]],PAA_4[[#This Row],[RCP-RUBRO]]))</f>
        <v>0</v>
      </c>
    </row>
    <row r="1519" spans="1:38" s="19" customFormat="1" ht="31.5" customHeight="1">
      <c r="A1519" s="47">
        <v>855</v>
      </c>
      <c r="B1519" s="47" t="s">
        <v>393</v>
      </c>
      <c r="C1519" s="47" t="str">
        <f>VLOOKUP(PAA_4[[#This Row],[PROYECTO (formulado)2]],[2]PROYECTOS!$G$1:$L$32,6,0)</f>
        <v>SUBGERENCIA DE FOMENTO Y DESARROLLO</v>
      </c>
      <c r="D1519" s="47" t="str">
        <f>+IF(PAA_4[[#This Row],[UNIDAD DE CONTRATACION (formulado)]]="Subgerencia Administrativa y Financiera","FUNCIONAMIENTO","INVERSIÓN")</f>
        <v>INVERSIÓN</v>
      </c>
      <c r="E1519" s="48" t="str">
        <f>VLOOKUP(Q1519,[2]PROYECTOS!$G$1:$K$32,5,0)</f>
        <v>FORTALECIMIENTO_DE_LOS_JUEGOS_DEL_SECTOR_EDUCATIVO_EN_ANTIOQUIA</v>
      </c>
      <c r="F1519" s="48">
        <f>VLOOKUP(E1519,[2]PROYECTOS!$K$1:$M$32,3,0)</f>
        <v>2020003050034</v>
      </c>
      <c r="G1519" s="49" t="s">
        <v>413</v>
      </c>
      <c r="H1519" s="49" t="str">
        <f>VLOOKUP(Q1519,[2]PROYECTOS!$V$1:$W$32,2,0)</f>
        <v>050053</v>
      </c>
      <c r="I1519" s="78">
        <f>170853350-4638990-33838052</f>
        <v>132376308</v>
      </c>
      <c r="J1519" s="51" t="s">
        <v>1914</v>
      </c>
      <c r="K1519" s="47" t="str">
        <f t="shared" ca="1" si="524"/>
        <v>CONTRATADO</v>
      </c>
      <c r="L1519" s="47" t="s">
        <v>94</v>
      </c>
      <c r="M1519" s="47" t="s">
        <v>255</v>
      </c>
      <c r="N1519" s="52" t="s">
        <v>449</v>
      </c>
      <c r="O1519" s="51" t="e">
        <f>VLOOKUP(N1519,[2]!RUBROS[#All],3,0)</f>
        <v>#REF!</v>
      </c>
      <c r="P1519" s="53" t="e">
        <f>VLOOKUP(N1519,[2]!RUBROS[#All],2,0)</f>
        <v>#REF!</v>
      </c>
      <c r="Q1519" s="47" t="str">
        <f t="shared" si="525"/>
        <v>51</v>
      </c>
      <c r="R1519" s="47" t="str">
        <f t="shared" si="511"/>
        <v>4-271130</v>
      </c>
      <c r="S1519" s="339">
        <v>5.5</v>
      </c>
      <c r="T1519" s="59" t="s">
        <v>46</v>
      </c>
      <c r="U1519" s="326" t="e">
        <f ca="1">_xlfn.XLOOKUP(PAA_4[[#This Row],[ITEM]],[2]Contrato!A:A,[2]Contrato!Q:Q,"",0)</f>
        <v>#NAME?</v>
      </c>
      <c r="V1519" s="47" t="s">
        <v>47</v>
      </c>
      <c r="W1519" s="47" t="s">
        <v>193</v>
      </c>
      <c r="X1519" s="47" t="s">
        <v>193</v>
      </c>
      <c r="Y1519" s="55" t="e">
        <f ca="1">_xlfn.XLOOKUP(PAA_4[[#This Row],[ITEM]],[2]Contrato!A:A,[2]Contrato!B:B,"",0)</f>
        <v>#NAME?</v>
      </c>
      <c r="Z1519" s="47" t="e">
        <f ca="1">_xlfn.XLOOKUP(PAA_4[[#This Row],[ITEM]],[2]Contrato!A:A,[2]Contrato!G:G,"",0)</f>
        <v>#NAME?</v>
      </c>
      <c r="AA1519" s="47" t="e">
        <f ca="1">_xlfn.XLOOKUP(PAA_4[[#This Row],[ITEM]],[2]Contrato!A:A,[2]Contrato!T:T,"",0)</f>
        <v>#NAME?</v>
      </c>
      <c r="AB1519" s="55" t="e">
        <f ca="1">+MAX(PAA_4[[#This Row],[Comprometido Contrato]],PAA_4[[#This Row],[Comprometido Bolsa]])</f>
        <v>#NAME?</v>
      </c>
      <c r="AC1519" s="55" t="str">
        <f t="shared" ca="1" si="526"/>
        <v/>
      </c>
      <c r="AD1519" s="55" t="e">
        <f ca="1">IF(PAA_4[[#This Row],[ESTADO (formulado)]]="NO CONTRATADO",0,MAX(PAA_4[[#This Row],[Pago por Contrato]],PAA_4[[#This Row],[Pago por bolsa]]))</f>
        <v>#NAME?</v>
      </c>
      <c r="AE1519" s="55" t="str">
        <f t="shared" ca="1" si="527"/>
        <v/>
      </c>
      <c r="AF1519" s="47" t="e">
        <f t="shared" ca="1" si="528"/>
        <v>#NAME?</v>
      </c>
      <c r="AG1519" s="47">
        <f t="shared" si="529"/>
        <v>44021011</v>
      </c>
      <c r="AH1519" s="54">
        <f>IF(Q1519="22",IF(ISNUMBER(SEARCH("econ",PAA_4[[#This Row],[Actividad3]])),"Económico",IF(ISNUMBER(SEARCH("alim",PAA_4[[#This Row],[Actividad3]])),"Alimentación",IF(ISNUMBER(SEARCH("educ",PAA_4[[#This Row],[Actividad3]])),"Educativo","Técnico"))),0)</f>
        <v>0</v>
      </c>
      <c r="AI1519" s="47" t="e" cm="1">
        <f t="array" aca="1" ref="AI1519" ca="1">_xlfn.XLOOKUP(PAA_4[[#This Row],[RCP-RUBRO]],[2]!COMPROMISOS_2024[[#All],[concatenado]],[2]!COMPROMISOS_2024[[#All],[Total pagado]],"",0)</f>
        <v>#NAME?</v>
      </c>
      <c r="AJ1519" s="56">
        <f>IF(PAA_4[[#This Row],[BOLSA]]=0,0,SUMIFS([2]!COMPROMISOS_2024[[#All],[Total pagado]],[2]!COMPROMISOS_2024[[#All],[Bolsa]],PAA_4[[#This Row],[BOLSA]],[2]!COMPROMISOS_2024[[#All],[rubro]],PAA_4[[#This Row],[RCP-RUBRO]]))</f>
        <v>0</v>
      </c>
      <c r="AK1519" s="47" t="e" cm="1">
        <f t="array" aca="1" ref="AK1519" ca="1">_xlfn.XLOOKUP(PAA_4[[#This Row],[RCP-RUBRO]],[2]!COMPROMISOS_2024[[#All],[concatenado]],[2]!COMPROMISOS_2024[[#All],[Total Comprometido]],"",0)</f>
        <v>#NAME?</v>
      </c>
      <c r="AL1519" s="47">
        <f>IF(PAA_4[[#This Row],[BOLSA]]=0,0,SUMIFS([2]!COMPROMISOS_2024[[#All],[Total Comprometido]],[2]!COMPROMISOS_2024[[#All],[Bolsa]],PAA_4[[#This Row],[BOLSA]],[2]!COMPROMISOS_2024[[#All],[concatenado]],PAA_4[[#This Row],[RCP-RUBRO]]))</f>
        <v>0</v>
      </c>
    </row>
    <row r="1520" spans="1:38" s="19" customFormat="1" ht="31.5" customHeight="1">
      <c r="A1520" s="47" t="s">
        <v>82</v>
      </c>
      <c r="B1520" s="47" t="s">
        <v>42</v>
      </c>
      <c r="C1520" s="47" t="str">
        <f>VLOOKUP(PAA_4[[#This Row],[PROYECTO (formulado)2]],[2]PROYECTOS!$G$1:$L$32,6,0)</f>
        <v>SUBGERENCIA DE FOMENTO Y DESARROLLO</v>
      </c>
      <c r="D1520" s="47" t="str">
        <f>+IF(PAA_4[[#This Row],[UNIDAD DE CONTRATACION (formulado)]]="Subgerencia Administrativa y Financiera","FUNCIONAMIENTO","INVERSIÓN")</f>
        <v>INVERSIÓN</v>
      </c>
      <c r="E1520" s="48" t="str">
        <f>VLOOKUP(Q1520,[2]PROYECTOS!$G$1:$K$32,5,0)</f>
        <v>FORTALECIMIENTO_DE_LOS_JUEGOS_DEL_SECTOR_EDUCATIVO_EN_ANTIOQUIA</v>
      </c>
      <c r="F1520" s="48">
        <f>VLOOKUP(E1520,[2]PROYECTOS!$K$1:$M$32,3,0)</f>
        <v>2020003050034</v>
      </c>
      <c r="G1520" s="49" t="s">
        <v>413</v>
      </c>
      <c r="H1520" s="49" t="str">
        <f>VLOOKUP(Q1520,[2]PROYECTOS!$V$1:$W$32,2,0)</f>
        <v>050053</v>
      </c>
      <c r="I1520" s="78">
        <v>0</v>
      </c>
      <c r="J1520" s="51" t="s">
        <v>42</v>
      </c>
      <c r="K1520" s="47" t="str">
        <f t="shared" ca="1" si="524"/>
        <v>CONTRATADO</v>
      </c>
      <c r="L1520" s="47" t="s">
        <v>42</v>
      </c>
      <c r="M1520" s="47" t="s">
        <v>42</v>
      </c>
      <c r="N1520" s="52" t="s">
        <v>1915</v>
      </c>
      <c r="O1520" s="51" t="e">
        <f>VLOOKUP(N1520,[2]!RUBROS[#All],3,0)</f>
        <v>#REF!</v>
      </c>
      <c r="P1520" s="53" t="e">
        <f>VLOOKUP(N1520,[2]!RUBROS[#All],2,0)</f>
        <v>#REF!</v>
      </c>
      <c r="Q1520" s="47" t="str">
        <f t="shared" si="525"/>
        <v>51</v>
      </c>
      <c r="R1520" s="47" t="str">
        <f t="shared" ref="R1520:R1532" si="530">+MID(N1520,14,8)</f>
        <v>0-101024</v>
      </c>
      <c r="S1520" s="54" t="s">
        <v>42</v>
      </c>
      <c r="T1520" s="59" t="s">
        <v>42</v>
      </c>
      <c r="U1520" s="326" t="e">
        <f ca="1">_xlfn.XLOOKUP(PAA_4[[#This Row],[ITEM]],[2]Contrato!A:A,[2]Contrato!Q:Q,"",0)</f>
        <v>#NAME?</v>
      </c>
      <c r="V1520" s="47" t="s">
        <v>95</v>
      </c>
      <c r="W1520" s="47" t="s">
        <v>42</v>
      </c>
      <c r="X1520" s="47" t="s">
        <v>42</v>
      </c>
      <c r="Y1520" s="55" t="e">
        <f ca="1">_xlfn.XLOOKUP(PAA_4[[#This Row],[ITEM]],[2]Contrato!A:A,[2]Contrato!B:B,"",0)</f>
        <v>#NAME?</v>
      </c>
      <c r="Z1520" s="47" t="e">
        <f ca="1">_xlfn.XLOOKUP(PAA_4[[#This Row],[ITEM]],[2]Contrato!A:A,[2]Contrato!G:G,"",0)</f>
        <v>#NAME?</v>
      </c>
      <c r="AA1520" s="47" t="e">
        <f ca="1">_xlfn.XLOOKUP(PAA_4[[#This Row],[ITEM]],[2]Contrato!A:A,[2]Contrato!T:T,"",0)</f>
        <v>#NAME?</v>
      </c>
      <c r="AB1520" s="55" t="e">
        <f ca="1">+MAX(PAA_4[[#This Row],[Comprometido Contrato]],PAA_4[[#This Row],[Comprometido Bolsa]])</f>
        <v>#NAME?</v>
      </c>
      <c r="AC1520" s="55" t="str">
        <f t="shared" ca="1" si="526"/>
        <v/>
      </c>
      <c r="AD1520" s="55" t="e">
        <f ca="1">IF(PAA_4[[#This Row],[ESTADO (formulado)]]="NO CONTRATADO",0,MAX(PAA_4[[#This Row],[Pago por Contrato]],PAA_4[[#This Row],[Pago por bolsa]]))</f>
        <v>#NAME?</v>
      </c>
      <c r="AE1520" s="55" t="str">
        <f t="shared" ca="1" si="527"/>
        <v/>
      </c>
      <c r="AF1520" s="47" t="e">
        <f t="shared" ca="1" si="528"/>
        <v>#NAME?</v>
      </c>
      <c r="AG1520" s="47">
        <f t="shared" si="529"/>
        <v>44021011</v>
      </c>
      <c r="AH1520" s="54">
        <f>IF(Q1520="22",IF(ISNUMBER(SEARCH("econ",PAA_4[[#This Row],[Actividad3]])),"Económico",IF(ISNUMBER(SEARCH("alim",PAA_4[[#This Row],[Actividad3]])),"Alimentación",IF(ISNUMBER(SEARCH("educ",PAA_4[[#This Row],[Actividad3]])),"Educativo","Técnico"))),0)</f>
        <v>0</v>
      </c>
      <c r="AI1520" s="47" t="e" cm="1">
        <f t="array" aca="1" ref="AI1520" ca="1">_xlfn.XLOOKUP(PAA_4[[#This Row],[RCP-RUBRO]],[2]!COMPROMISOS_2024[[#All],[concatenado]],[2]!COMPROMISOS_2024[[#All],[Total pagado]],"",0)</f>
        <v>#NAME?</v>
      </c>
      <c r="AJ1520" s="56">
        <f>IF(PAA_4[[#This Row],[BOLSA]]=0,0,SUMIFS([2]!COMPROMISOS_2024[[#All],[Total pagado]],[2]!COMPROMISOS_2024[[#All],[Bolsa]],PAA_4[[#This Row],[BOLSA]],[2]!COMPROMISOS_2024[[#All],[rubro]],PAA_4[[#This Row],[RCP-RUBRO]]))</f>
        <v>0</v>
      </c>
      <c r="AK1520" s="47" t="e" cm="1">
        <f t="array" aca="1" ref="AK1520" ca="1">_xlfn.XLOOKUP(PAA_4[[#This Row],[RCP-RUBRO]],[2]!COMPROMISOS_2024[[#All],[concatenado]],[2]!COMPROMISOS_2024[[#All],[Total Comprometido]],"",0)</f>
        <v>#NAME?</v>
      </c>
      <c r="AL1520" s="47">
        <f>IF(PAA_4[[#This Row],[BOLSA]]=0,0,SUMIFS([2]!COMPROMISOS_2024[[#All],[Total Comprometido]],[2]!COMPROMISOS_2024[[#All],[Bolsa]],PAA_4[[#This Row],[BOLSA]],[2]!COMPROMISOS_2024[[#All],[concatenado]],PAA_4[[#This Row],[RCP-RUBRO]]))</f>
        <v>0</v>
      </c>
    </row>
    <row r="1521" spans="1:38" s="19" customFormat="1" ht="31.5" customHeight="1">
      <c r="A1521" s="47">
        <v>855</v>
      </c>
      <c r="B1521" s="47" t="s">
        <v>393</v>
      </c>
      <c r="C1521" s="47" t="str">
        <f>VLOOKUP(PAA_4[[#This Row],[PROYECTO (formulado)2]],[2]PROYECTOS!$G$1:$L$32,6,0)</f>
        <v>SUBGERENCIA DE FOMENTO Y DESARROLLO</v>
      </c>
      <c r="D1521" s="47" t="str">
        <f>+IF(PAA_4[[#This Row],[UNIDAD DE CONTRATACION (formulado)]]="Subgerencia Administrativa y Financiera","FUNCIONAMIENTO","INVERSIÓN")</f>
        <v>INVERSIÓN</v>
      </c>
      <c r="E1521" s="48" t="str">
        <f>VLOOKUP(Q1521,[2]PROYECTOS!$G$1:$K$32,5,0)</f>
        <v>FORTALECIMIENTO_DE_LOS_JUEGOS_DEL_SECTOR_EDUCATIVO_EN_ANTIOQUIA</v>
      </c>
      <c r="F1521" s="48">
        <f>VLOOKUP(E1521,[2]PROYECTOS!$K$1:$M$32,3,0)</f>
        <v>2020003050034</v>
      </c>
      <c r="G1521" s="49" t="s">
        <v>413</v>
      </c>
      <c r="H1521" s="49" t="str">
        <f>VLOOKUP(Q1521,[2]PROYECTOS!$V$1:$W$32,2,0)</f>
        <v>050053</v>
      </c>
      <c r="I1521" s="78">
        <f>50335878-1366714</f>
        <v>48969164</v>
      </c>
      <c r="J1521" s="51" t="s">
        <v>1914</v>
      </c>
      <c r="K1521" s="47" t="str">
        <f t="shared" ca="1" si="524"/>
        <v>CONTRATADO</v>
      </c>
      <c r="L1521" s="47" t="s">
        <v>94</v>
      </c>
      <c r="M1521" s="47" t="s">
        <v>255</v>
      </c>
      <c r="N1521" s="52" t="s">
        <v>1915</v>
      </c>
      <c r="O1521" s="51" t="e">
        <f>VLOOKUP(N1521,[2]!RUBROS[#All],3,0)</f>
        <v>#REF!</v>
      </c>
      <c r="P1521" s="53" t="e">
        <f>VLOOKUP(N1521,[2]!RUBROS[#All],2,0)</f>
        <v>#REF!</v>
      </c>
      <c r="Q1521" s="47" t="str">
        <f t="shared" si="525"/>
        <v>51</v>
      </c>
      <c r="R1521" s="47" t="str">
        <f t="shared" si="530"/>
        <v>0-101024</v>
      </c>
      <c r="S1521" s="339">
        <v>5.5</v>
      </c>
      <c r="T1521" s="59" t="s">
        <v>46</v>
      </c>
      <c r="U1521" s="326" t="e">
        <f ca="1">_xlfn.XLOOKUP(PAA_4[[#This Row],[ITEM]],[2]Contrato!A:A,[2]Contrato!Q:Q,"",0)</f>
        <v>#NAME?</v>
      </c>
      <c r="V1521" s="47" t="s">
        <v>47</v>
      </c>
      <c r="W1521" s="47" t="s">
        <v>193</v>
      </c>
      <c r="X1521" s="47" t="s">
        <v>193</v>
      </c>
      <c r="Y1521" s="55" t="e">
        <f ca="1">_xlfn.XLOOKUP(PAA_4[[#This Row],[ITEM]],[2]Contrato!A:A,[2]Contrato!B:B,"",0)</f>
        <v>#NAME?</v>
      </c>
      <c r="Z1521" s="47" t="e">
        <f ca="1">_xlfn.XLOOKUP(PAA_4[[#This Row],[ITEM]],[2]Contrato!A:A,[2]Contrato!G:G,"",0)</f>
        <v>#NAME?</v>
      </c>
      <c r="AA1521" s="47" t="e">
        <f ca="1">_xlfn.XLOOKUP(PAA_4[[#This Row],[ITEM]],[2]Contrato!A:A,[2]Contrato!T:T,"",0)</f>
        <v>#NAME?</v>
      </c>
      <c r="AB1521" s="55" t="e">
        <f ca="1">+MAX(PAA_4[[#This Row],[Comprometido Contrato]],PAA_4[[#This Row],[Comprometido Bolsa]])</f>
        <v>#NAME?</v>
      </c>
      <c r="AC1521" s="55" t="str">
        <f t="shared" ca="1" si="526"/>
        <v/>
      </c>
      <c r="AD1521" s="55" t="e">
        <f ca="1">IF(PAA_4[[#This Row],[ESTADO (formulado)]]="NO CONTRATADO",0,MAX(PAA_4[[#This Row],[Pago por Contrato]],PAA_4[[#This Row],[Pago por bolsa]]))</f>
        <v>#NAME?</v>
      </c>
      <c r="AE1521" s="55" t="str">
        <f t="shared" ca="1" si="527"/>
        <v/>
      </c>
      <c r="AF1521" s="47" t="e">
        <f t="shared" ca="1" si="528"/>
        <v>#NAME?</v>
      </c>
      <c r="AG1521" s="47">
        <f t="shared" si="529"/>
        <v>44021011</v>
      </c>
      <c r="AH1521" s="54">
        <f>IF(Q1521="22",IF(ISNUMBER(SEARCH("econ",PAA_4[[#This Row],[Actividad3]])),"Económico",IF(ISNUMBER(SEARCH("alim",PAA_4[[#This Row],[Actividad3]])),"Alimentación",IF(ISNUMBER(SEARCH("educ",PAA_4[[#This Row],[Actividad3]])),"Educativo","Técnico"))),0)</f>
        <v>0</v>
      </c>
      <c r="AI1521" s="47" t="e" cm="1">
        <f t="array" aca="1" ref="AI1521" ca="1">_xlfn.XLOOKUP(PAA_4[[#This Row],[RCP-RUBRO]],[2]!COMPROMISOS_2024[[#All],[concatenado]],[2]!COMPROMISOS_2024[[#All],[Total pagado]],"",0)</f>
        <v>#NAME?</v>
      </c>
      <c r="AJ1521" s="56">
        <f>IF(PAA_4[[#This Row],[BOLSA]]=0,0,SUMIFS([2]!COMPROMISOS_2024[[#All],[Total pagado]],[2]!COMPROMISOS_2024[[#All],[Bolsa]],PAA_4[[#This Row],[BOLSA]],[2]!COMPROMISOS_2024[[#All],[rubro]],PAA_4[[#This Row],[RCP-RUBRO]]))</f>
        <v>0</v>
      </c>
      <c r="AK1521" s="47" t="e" cm="1">
        <f t="array" aca="1" ref="AK1521" ca="1">_xlfn.XLOOKUP(PAA_4[[#This Row],[RCP-RUBRO]],[2]!COMPROMISOS_2024[[#All],[concatenado]],[2]!COMPROMISOS_2024[[#All],[Total Comprometido]],"",0)</f>
        <v>#NAME?</v>
      </c>
      <c r="AL1521" s="47">
        <f>IF(PAA_4[[#This Row],[BOLSA]]=0,0,SUMIFS([2]!COMPROMISOS_2024[[#All],[Total Comprometido]],[2]!COMPROMISOS_2024[[#All],[Bolsa]],PAA_4[[#This Row],[BOLSA]],[2]!COMPROMISOS_2024[[#All],[concatenado]],PAA_4[[#This Row],[RCP-RUBRO]]))</f>
        <v>0</v>
      </c>
    </row>
    <row r="1522" spans="1:38" s="19" customFormat="1" ht="31.5" customHeight="1">
      <c r="A1522" s="47" t="s">
        <v>82</v>
      </c>
      <c r="B1522" s="47" t="s">
        <v>42</v>
      </c>
      <c r="C1522" s="47" t="str">
        <f>VLOOKUP(PAA_4[[#This Row],[PROYECTO (formulado)2]],[2]PROYECTOS!$G$1:$L$32,6,0)</f>
        <v>SUBGERENCIA DE FOMENTO Y DESARROLLO</v>
      </c>
      <c r="D1522" s="47" t="str">
        <f>+IF(PAA_4[[#This Row],[UNIDAD DE CONTRATACION (formulado)]]="Subgerencia Administrativa y Financiera","FUNCIONAMIENTO","INVERSIÓN")</f>
        <v>INVERSIÓN</v>
      </c>
      <c r="E1522" s="48" t="str">
        <f>VLOOKUP(Q1522,[2]PROYECTOS!$G$1:$K$32,5,0)</f>
        <v>FORTALECIMIENTO_DE_LOS_JUEGOS_DEL_SECTOR_EDUCATIVO_EN_ANTIOQUIA</v>
      </c>
      <c r="F1522" s="48">
        <f>VLOOKUP(E1522,[2]PROYECTOS!$K$1:$M$32,3,0)</f>
        <v>2020003050034</v>
      </c>
      <c r="G1522" s="49" t="s">
        <v>413</v>
      </c>
      <c r="H1522" s="49" t="str">
        <f>VLOOKUP(Q1522,[2]PROYECTOS!$V$1:$W$32,2,0)</f>
        <v>050053</v>
      </c>
      <c r="I1522" s="78">
        <v>0</v>
      </c>
      <c r="J1522" s="51" t="s">
        <v>42</v>
      </c>
      <c r="K1522" s="47" t="str">
        <f t="shared" ca="1" si="524"/>
        <v>CONTRATADO</v>
      </c>
      <c r="L1522" s="47" t="s">
        <v>42</v>
      </c>
      <c r="M1522" s="47" t="s">
        <v>42</v>
      </c>
      <c r="N1522" s="52" t="s">
        <v>145</v>
      </c>
      <c r="O1522" s="51" t="e">
        <f>VLOOKUP(N1522,[2]!RUBROS[#All],3,0)</f>
        <v>#REF!</v>
      </c>
      <c r="P1522" s="53" t="e">
        <f>VLOOKUP(N1522,[2]!RUBROS[#All],2,0)</f>
        <v>#REF!</v>
      </c>
      <c r="Q1522" s="47" t="str">
        <f t="shared" si="525"/>
        <v>51</v>
      </c>
      <c r="R1522" s="47" t="str">
        <f t="shared" si="530"/>
        <v>0-205400</v>
      </c>
      <c r="S1522" s="54" t="s">
        <v>42</v>
      </c>
      <c r="T1522" s="59" t="s">
        <v>42</v>
      </c>
      <c r="U1522" s="326" t="e">
        <f ca="1">_xlfn.XLOOKUP(PAA_4[[#This Row],[ITEM]],[2]Contrato!A:A,[2]Contrato!Q:Q,"",0)</f>
        <v>#NAME?</v>
      </c>
      <c r="V1522" s="47" t="s">
        <v>95</v>
      </c>
      <c r="W1522" s="47" t="s">
        <v>42</v>
      </c>
      <c r="X1522" s="47" t="s">
        <v>42</v>
      </c>
      <c r="Y1522" s="55" t="e">
        <f ca="1">_xlfn.XLOOKUP(PAA_4[[#This Row],[ITEM]],[2]Contrato!A:A,[2]Contrato!B:B,"",0)</f>
        <v>#NAME?</v>
      </c>
      <c r="Z1522" s="47" t="e">
        <f ca="1">_xlfn.XLOOKUP(PAA_4[[#This Row],[ITEM]],[2]Contrato!A:A,[2]Contrato!G:G,"",0)</f>
        <v>#NAME?</v>
      </c>
      <c r="AA1522" s="47" t="e">
        <f ca="1">_xlfn.XLOOKUP(PAA_4[[#This Row],[ITEM]],[2]Contrato!A:A,[2]Contrato!T:T,"",0)</f>
        <v>#NAME?</v>
      </c>
      <c r="AB1522" s="55" t="e">
        <f ca="1">+MAX(PAA_4[[#This Row],[Comprometido Contrato]],PAA_4[[#This Row],[Comprometido Bolsa]])</f>
        <v>#NAME?</v>
      </c>
      <c r="AC1522" s="55" t="str">
        <f t="shared" ca="1" si="526"/>
        <v/>
      </c>
      <c r="AD1522" s="55" t="e">
        <f ca="1">IF(PAA_4[[#This Row],[ESTADO (formulado)]]="NO CONTRATADO",0,MAX(PAA_4[[#This Row],[Pago por Contrato]],PAA_4[[#This Row],[Pago por bolsa]]))</f>
        <v>#NAME?</v>
      </c>
      <c r="AE1522" s="55" t="str">
        <f t="shared" ca="1" si="527"/>
        <v/>
      </c>
      <c r="AF1522" s="47" t="e">
        <f t="shared" ca="1" si="528"/>
        <v>#NAME?</v>
      </c>
      <c r="AG1522" s="47">
        <f t="shared" si="529"/>
        <v>44021011</v>
      </c>
      <c r="AH1522" s="54">
        <f>IF(Q1522="22",IF(ISNUMBER(SEARCH("econ",PAA_4[[#This Row],[Actividad3]])),"Económico",IF(ISNUMBER(SEARCH("alim",PAA_4[[#This Row],[Actividad3]])),"Alimentación",IF(ISNUMBER(SEARCH("educ",PAA_4[[#This Row],[Actividad3]])),"Educativo","Técnico"))),0)</f>
        <v>0</v>
      </c>
      <c r="AI1522" s="47" t="e" cm="1">
        <f t="array" aca="1" ref="AI1522" ca="1">_xlfn.XLOOKUP(PAA_4[[#This Row],[RCP-RUBRO]],[2]!COMPROMISOS_2024[[#All],[concatenado]],[2]!COMPROMISOS_2024[[#All],[Total pagado]],"",0)</f>
        <v>#NAME?</v>
      </c>
      <c r="AJ1522" s="56">
        <f>IF(PAA_4[[#This Row],[BOLSA]]=0,0,SUMIFS([2]!COMPROMISOS_2024[[#All],[Total pagado]],[2]!COMPROMISOS_2024[[#All],[Bolsa]],PAA_4[[#This Row],[BOLSA]],[2]!COMPROMISOS_2024[[#All],[rubro]],PAA_4[[#This Row],[RCP-RUBRO]]))</f>
        <v>0</v>
      </c>
      <c r="AK1522" s="47" t="e" cm="1">
        <f t="array" aca="1" ref="AK1522" ca="1">_xlfn.XLOOKUP(PAA_4[[#This Row],[RCP-RUBRO]],[2]!COMPROMISOS_2024[[#All],[concatenado]],[2]!COMPROMISOS_2024[[#All],[Total Comprometido]],"",0)</f>
        <v>#NAME?</v>
      </c>
      <c r="AL1522" s="47">
        <f>IF(PAA_4[[#This Row],[BOLSA]]=0,0,SUMIFS([2]!COMPROMISOS_2024[[#All],[Total Comprometido]],[2]!COMPROMISOS_2024[[#All],[Bolsa]],PAA_4[[#This Row],[BOLSA]],[2]!COMPROMISOS_2024[[#All],[concatenado]],PAA_4[[#This Row],[RCP-RUBRO]]))</f>
        <v>0</v>
      </c>
    </row>
    <row r="1523" spans="1:38" s="19" customFormat="1" ht="31.5" customHeight="1">
      <c r="A1523" s="47">
        <v>855</v>
      </c>
      <c r="B1523" s="47" t="s">
        <v>393</v>
      </c>
      <c r="C1523" s="47" t="str">
        <f>VLOOKUP(PAA_4[[#This Row],[PROYECTO (formulado)2]],[2]PROYECTOS!$G$1:$L$32,6,0)</f>
        <v>SUBGERENCIA DE FOMENTO Y DESARROLLO</v>
      </c>
      <c r="D1523" s="47" t="str">
        <f>+IF(PAA_4[[#This Row],[UNIDAD DE CONTRATACION (formulado)]]="Subgerencia Administrativa y Financiera","FUNCIONAMIENTO","INVERSIÓN")</f>
        <v>INVERSIÓN</v>
      </c>
      <c r="E1523" s="48" t="str">
        <f>VLOOKUP(Q1523,[2]PROYECTOS!$G$1:$K$32,5,0)</f>
        <v>FORTALECIMIENTO_DE_LOS_JUEGOS_DEL_SECTOR_EDUCATIVO_EN_ANTIOQUIA</v>
      </c>
      <c r="F1523" s="48">
        <f>VLOOKUP(E1523,[2]PROYECTOS!$K$1:$M$32,3,0)</f>
        <v>2020003050034</v>
      </c>
      <c r="G1523" s="49" t="s">
        <v>413</v>
      </c>
      <c r="H1523" s="49" t="str">
        <f>VLOOKUP(Q1523,[2]PROYECTOS!$V$1:$W$32,2,0)</f>
        <v>050053</v>
      </c>
      <c r="I1523" s="78">
        <f>417418375-11333696</f>
        <v>406084679</v>
      </c>
      <c r="J1523" s="51" t="s">
        <v>1916</v>
      </c>
      <c r="K1523" s="47" t="str">
        <f t="shared" ca="1" si="524"/>
        <v>CONTRATADO</v>
      </c>
      <c r="L1523" s="47" t="s">
        <v>94</v>
      </c>
      <c r="M1523" s="47" t="s">
        <v>255</v>
      </c>
      <c r="N1523" s="52" t="s">
        <v>145</v>
      </c>
      <c r="O1523" s="51" t="e">
        <f>VLOOKUP(N1523,[2]!RUBROS[#All],3,0)</f>
        <v>#REF!</v>
      </c>
      <c r="P1523" s="53" t="e">
        <f>VLOOKUP(N1523,[2]!RUBROS[#All],2,0)</f>
        <v>#REF!</v>
      </c>
      <c r="Q1523" s="47" t="str">
        <f t="shared" si="525"/>
        <v>51</v>
      </c>
      <c r="R1523" s="47" t="str">
        <f t="shared" si="530"/>
        <v>0-205400</v>
      </c>
      <c r="S1523" s="339">
        <v>5.5</v>
      </c>
      <c r="T1523" s="59" t="s">
        <v>46</v>
      </c>
      <c r="U1523" s="326" t="e">
        <f ca="1">_xlfn.XLOOKUP(PAA_4[[#This Row],[ITEM]],[2]Contrato!A:A,[2]Contrato!Q:Q,"",0)</f>
        <v>#NAME?</v>
      </c>
      <c r="V1523" s="47" t="s">
        <v>47</v>
      </c>
      <c r="W1523" s="47" t="s">
        <v>193</v>
      </c>
      <c r="X1523" s="47" t="s">
        <v>193</v>
      </c>
      <c r="Y1523" s="55" t="e">
        <f ca="1">_xlfn.XLOOKUP(PAA_4[[#This Row],[ITEM]],[2]Contrato!A:A,[2]Contrato!B:B,"",0)</f>
        <v>#NAME?</v>
      </c>
      <c r="Z1523" s="47" t="e">
        <f ca="1">_xlfn.XLOOKUP(PAA_4[[#This Row],[ITEM]],[2]Contrato!A:A,[2]Contrato!G:G,"",0)</f>
        <v>#NAME?</v>
      </c>
      <c r="AA1523" s="47" t="e">
        <f ca="1">_xlfn.XLOOKUP(PAA_4[[#This Row],[ITEM]],[2]Contrato!A:A,[2]Contrato!T:T,"",0)</f>
        <v>#NAME?</v>
      </c>
      <c r="AB1523" s="55" t="e">
        <f ca="1">+MAX(PAA_4[[#This Row],[Comprometido Contrato]],PAA_4[[#This Row],[Comprometido Bolsa]])</f>
        <v>#NAME?</v>
      </c>
      <c r="AC1523" s="55" t="str">
        <f t="shared" ca="1" si="526"/>
        <v/>
      </c>
      <c r="AD1523" s="55" t="e">
        <f ca="1">IF(PAA_4[[#This Row],[ESTADO (formulado)]]="NO CONTRATADO",0,MAX(PAA_4[[#This Row],[Pago por Contrato]],PAA_4[[#This Row],[Pago por bolsa]]))</f>
        <v>#NAME?</v>
      </c>
      <c r="AE1523" s="55" t="str">
        <f t="shared" ca="1" si="527"/>
        <v/>
      </c>
      <c r="AF1523" s="47" t="e">
        <f t="shared" ca="1" si="528"/>
        <v>#NAME?</v>
      </c>
      <c r="AG1523" s="47">
        <f t="shared" si="529"/>
        <v>44021011</v>
      </c>
      <c r="AH1523" s="54">
        <f>IF(Q1523="22",IF(ISNUMBER(SEARCH("econ",PAA_4[[#This Row],[Actividad3]])),"Económico",IF(ISNUMBER(SEARCH("alim",PAA_4[[#This Row],[Actividad3]])),"Alimentación",IF(ISNUMBER(SEARCH("educ",PAA_4[[#This Row],[Actividad3]])),"Educativo","Técnico"))),0)</f>
        <v>0</v>
      </c>
      <c r="AI1523" s="47" t="e" cm="1">
        <f t="array" aca="1" ref="AI1523" ca="1">_xlfn.XLOOKUP(PAA_4[[#This Row],[RCP-RUBRO]],[2]!COMPROMISOS_2024[[#All],[concatenado]],[2]!COMPROMISOS_2024[[#All],[Total pagado]],"",0)</f>
        <v>#NAME?</v>
      </c>
      <c r="AJ1523" s="56">
        <f>IF(PAA_4[[#This Row],[BOLSA]]=0,0,SUMIFS([2]!COMPROMISOS_2024[[#All],[Total pagado]],[2]!COMPROMISOS_2024[[#All],[Bolsa]],PAA_4[[#This Row],[BOLSA]],[2]!COMPROMISOS_2024[[#All],[rubro]],PAA_4[[#This Row],[RCP-RUBRO]]))</f>
        <v>0</v>
      </c>
      <c r="AK1523" s="47" t="e" cm="1">
        <f t="array" aca="1" ref="AK1523" ca="1">_xlfn.XLOOKUP(PAA_4[[#This Row],[RCP-RUBRO]],[2]!COMPROMISOS_2024[[#All],[concatenado]],[2]!COMPROMISOS_2024[[#All],[Total Comprometido]],"",0)</f>
        <v>#NAME?</v>
      </c>
      <c r="AL1523" s="47">
        <f>IF(PAA_4[[#This Row],[BOLSA]]=0,0,SUMIFS([2]!COMPROMISOS_2024[[#All],[Total Comprometido]],[2]!COMPROMISOS_2024[[#All],[Bolsa]],PAA_4[[#This Row],[BOLSA]],[2]!COMPROMISOS_2024[[#All],[concatenado]],PAA_4[[#This Row],[RCP-RUBRO]]))</f>
        <v>0</v>
      </c>
    </row>
    <row r="1524" spans="1:38" s="19" customFormat="1" ht="31.5" customHeight="1">
      <c r="A1524" s="47" t="s">
        <v>82</v>
      </c>
      <c r="B1524" s="47" t="s">
        <v>42</v>
      </c>
      <c r="C1524" s="47" t="str">
        <f>VLOOKUP(PAA_4[[#This Row],[PROYECTO (formulado)2]],[2]PROYECTOS!$G$1:$L$32,6,0)</f>
        <v>SUBGERENCIA DE FOMENTO Y DESARROLLO</v>
      </c>
      <c r="D1524" s="47" t="str">
        <f>+IF(PAA_4[[#This Row],[UNIDAD DE CONTRATACION (formulado)]]="Subgerencia Administrativa y Financiera","FUNCIONAMIENTO","INVERSIÓN")</f>
        <v>INVERSIÓN</v>
      </c>
      <c r="E1524" s="48" t="str">
        <f>VLOOKUP(Q1524,[2]PROYECTOS!$G$1:$K$32,5,0)</f>
        <v>FORTALECIMIENTO_DE_LOS_JUEGOS_DEL_SECTOR_EDUCATIVO_EN_ANTIOQUIA</v>
      </c>
      <c r="F1524" s="48">
        <f>VLOOKUP(E1524,[2]PROYECTOS!$K$1:$M$32,3,0)</f>
        <v>2020003050034</v>
      </c>
      <c r="G1524" s="49" t="s">
        <v>413</v>
      </c>
      <c r="H1524" s="49" t="str">
        <f>VLOOKUP(Q1524,[2]PROYECTOS!$V$1:$W$32,2,0)</f>
        <v>050053</v>
      </c>
      <c r="I1524" s="78">
        <v>0</v>
      </c>
      <c r="J1524" s="51" t="s">
        <v>42</v>
      </c>
      <c r="K1524" s="47" t="str">
        <f t="shared" ca="1" si="524"/>
        <v>CONTRATADO</v>
      </c>
      <c r="L1524" s="47" t="s">
        <v>94</v>
      </c>
      <c r="M1524" s="47" t="s">
        <v>89</v>
      </c>
      <c r="N1524" s="52" t="s">
        <v>449</v>
      </c>
      <c r="O1524" s="51" t="e">
        <f>VLOOKUP(N1524,[2]!RUBROS[#All],3,0)</f>
        <v>#REF!</v>
      </c>
      <c r="P1524" s="53" t="e">
        <f>VLOOKUP(N1524,[2]!RUBROS[#All],2,0)</f>
        <v>#REF!</v>
      </c>
      <c r="Q1524" s="47" t="str">
        <f t="shared" si="525"/>
        <v>51</v>
      </c>
      <c r="R1524" s="47" t="str">
        <f t="shared" si="530"/>
        <v>4-271130</v>
      </c>
      <c r="S1524" s="339">
        <v>6.5</v>
      </c>
      <c r="T1524" s="59" t="s">
        <v>46</v>
      </c>
      <c r="U1524" s="326" t="e">
        <f ca="1">_xlfn.XLOOKUP(PAA_4[[#This Row],[ITEM]],[2]Contrato!A:A,[2]Contrato!Q:Q,"",0)</f>
        <v>#NAME?</v>
      </c>
      <c r="V1524" s="47" t="s">
        <v>47</v>
      </c>
      <c r="W1524" s="47" t="s">
        <v>154</v>
      </c>
      <c r="X1524" s="47" t="s">
        <v>154</v>
      </c>
      <c r="Y1524" s="55" t="e">
        <f ca="1">_xlfn.XLOOKUP(PAA_4[[#This Row],[ITEM]],[2]Contrato!A:A,[2]Contrato!B:B,"",0)</f>
        <v>#NAME?</v>
      </c>
      <c r="Z1524" s="47" t="e">
        <f ca="1">_xlfn.XLOOKUP(PAA_4[[#This Row],[ITEM]],[2]Contrato!A:A,[2]Contrato!G:G,"",0)</f>
        <v>#NAME?</v>
      </c>
      <c r="AA1524" s="47" t="e">
        <f ca="1">_xlfn.XLOOKUP(PAA_4[[#This Row],[ITEM]],[2]Contrato!A:A,[2]Contrato!T:T,"",0)</f>
        <v>#NAME?</v>
      </c>
      <c r="AB1524" s="55" t="e">
        <f ca="1">+MAX(PAA_4[[#This Row],[Comprometido Contrato]],PAA_4[[#This Row],[Comprometido Bolsa]])</f>
        <v>#NAME?</v>
      </c>
      <c r="AC1524" s="55" t="str">
        <f t="shared" ca="1" si="526"/>
        <v/>
      </c>
      <c r="AD1524" s="55" t="e">
        <f ca="1">IF(PAA_4[[#This Row],[ESTADO (formulado)]]="NO CONTRATADO",0,MAX(PAA_4[[#This Row],[Pago por Contrato]],PAA_4[[#This Row],[Pago por bolsa]]))</f>
        <v>#NAME?</v>
      </c>
      <c r="AE1524" s="55" t="str">
        <f t="shared" ca="1" si="527"/>
        <v/>
      </c>
      <c r="AF1524" s="47" t="e">
        <f t="shared" ca="1" si="528"/>
        <v>#NAME?</v>
      </c>
      <c r="AG1524" s="47">
        <f t="shared" si="529"/>
        <v>44021011</v>
      </c>
      <c r="AH1524" s="54">
        <f>IF(Q1524="22",IF(ISNUMBER(SEARCH("econ",PAA_4[[#This Row],[Actividad3]])),"Económico",IF(ISNUMBER(SEARCH("alim",PAA_4[[#This Row],[Actividad3]])),"Alimentación",IF(ISNUMBER(SEARCH("educ",PAA_4[[#This Row],[Actividad3]])),"Educativo","Técnico"))),0)</f>
        <v>0</v>
      </c>
      <c r="AI1524" s="47" t="e" cm="1">
        <f t="array" aca="1" ref="AI1524" ca="1">_xlfn.XLOOKUP(PAA_4[[#This Row],[RCP-RUBRO]],[2]!COMPROMISOS_2024[[#All],[concatenado]],[2]!COMPROMISOS_2024[[#All],[Total pagado]],"",0)</f>
        <v>#NAME?</v>
      </c>
      <c r="AJ1524" s="56">
        <f>IF(PAA_4[[#This Row],[BOLSA]]=0,0,SUMIFS([2]!COMPROMISOS_2024[[#All],[Total pagado]],[2]!COMPROMISOS_2024[[#All],[Bolsa]],PAA_4[[#This Row],[BOLSA]],[2]!COMPROMISOS_2024[[#All],[rubro]],PAA_4[[#This Row],[RCP-RUBRO]]))</f>
        <v>0</v>
      </c>
      <c r="AK1524" s="47" t="e" cm="1">
        <f t="array" aca="1" ref="AK1524" ca="1">_xlfn.XLOOKUP(PAA_4[[#This Row],[RCP-RUBRO]],[2]!COMPROMISOS_2024[[#All],[concatenado]],[2]!COMPROMISOS_2024[[#All],[Total Comprometido]],"",0)</f>
        <v>#NAME?</v>
      </c>
      <c r="AL1524" s="47">
        <f>IF(PAA_4[[#This Row],[BOLSA]]=0,0,SUMIFS([2]!COMPROMISOS_2024[[#All],[Total Comprometido]],[2]!COMPROMISOS_2024[[#All],[Bolsa]],PAA_4[[#This Row],[BOLSA]],[2]!COMPROMISOS_2024[[#All],[concatenado]],PAA_4[[#This Row],[RCP-RUBRO]]))</f>
        <v>0</v>
      </c>
    </row>
    <row r="1525" spans="1:38" s="19" customFormat="1" ht="31.5" customHeight="1">
      <c r="A1525" s="47" t="s">
        <v>82</v>
      </c>
      <c r="B1525" s="47">
        <v>93141506</v>
      </c>
      <c r="C1525" s="47" t="str">
        <f>VLOOKUP(PAA_4[[#This Row],[PROYECTO (formulado)2]],[2]PROYECTOS!$G$1:$L$32,6,0)</f>
        <v>SUBGERENCIA DE FOMENTO Y DESARROLLO</v>
      </c>
      <c r="D1525" s="47" t="str">
        <f>+IF(PAA_4[[#This Row],[UNIDAD DE CONTRATACION (formulado)]]="Subgerencia Administrativa y Financiera","FUNCIONAMIENTO","INVERSIÓN")</f>
        <v>INVERSIÓN</v>
      </c>
      <c r="E1525" s="48" t="str">
        <f>VLOOKUP(Q1525,[2]PROYECTOS!$G$1:$K$32,5,0)</f>
        <v>FORTALECIMIENTO_DEL_DEPORTE_FORMATIVO_EN_LOS_MUNICIPIOS_DEL_DEPARTAMENTO_DE_ANTIOQUIA</v>
      </c>
      <c r="F1525" s="48">
        <f>VLOOKUP(E1525,[2]PROYECTOS!$K$1:$M$32,3,0)</f>
        <v>2020003050035</v>
      </c>
      <c r="G1525" s="49" t="s">
        <v>450</v>
      </c>
      <c r="H1525" s="49" t="str">
        <f>VLOOKUP(Q1525,[2]PROYECTOS!$V$1:$W$32,2,0)</f>
        <v>050056</v>
      </c>
      <c r="I1525" s="78">
        <v>0</v>
      </c>
      <c r="J1525" s="51" t="s">
        <v>420</v>
      </c>
      <c r="K1525" s="47" t="str">
        <f t="shared" ca="1" si="524"/>
        <v>CONTRATADO</v>
      </c>
      <c r="L1525" s="47" t="s">
        <v>94</v>
      </c>
      <c r="M1525" s="47" t="s">
        <v>89</v>
      </c>
      <c r="N1525" s="52" t="s">
        <v>451</v>
      </c>
      <c r="O1525" s="51" t="e">
        <f>VLOOKUP(N1525,[2]!RUBROS[#All],3,0)</f>
        <v>#REF!</v>
      </c>
      <c r="P1525" s="53" t="e">
        <f>VLOOKUP(N1525,[2]!RUBROS[#All],2,0)</f>
        <v>#REF!</v>
      </c>
      <c r="Q1525" s="47" t="str">
        <f t="shared" si="525"/>
        <v>53</v>
      </c>
      <c r="R1525" s="47" t="str">
        <f t="shared" si="530"/>
        <v>4-205617</v>
      </c>
      <c r="S1525" s="339">
        <v>7</v>
      </c>
      <c r="T1525" s="59" t="s">
        <v>46</v>
      </c>
      <c r="U1525" s="326" t="e">
        <f ca="1">_xlfn.XLOOKUP(PAA_4[[#This Row],[ITEM]],[2]Contrato!A:A,[2]Contrato!Q:Q,"",0)</f>
        <v>#NAME?</v>
      </c>
      <c r="V1525" s="47" t="s">
        <v>47</v>
      </c>
      <c r="W1525" s="47" t="s">
        <v>154</v>
      </c>
      <c r="X1525" s="47" t="s">
        <v>154</v>
      </c>
      <c r="Y1525" s="55" t="e">
        <f ca="1">_xlfn.XLOOKUP(PAA_4[[#This Row],[ITEM]],[2]Contrato!A:A,[2]Contrato!B:B,"",0)</f>
        <v>#NAME?</v>
      </c>
      <c r="Z1525" s="47" t="e">
        <f ca="1">_xlfn.XLOOKUP(PAA_4[[#This Row],[ITEM]],[2]Contrato!A:A,[2]Contrato!G:G,"",0)</f>
        <v>#NAME?</v>
      </c>
      <c r="AA1525" s="47" t="e">
        <f ca="1">_xlfn.XLOOKUP(PAA_4[[#This Row],[ITEM]],[2]Contrato!A:A,[2]Contrato!T:T,"",0)</f>
        <v>#NAME?</v>
      </c>
      <c r="AB1525" s="55" t="e">
        <f ca="1">+MAX(PAA_4[[#This Row],[Comprometido Contrato]],PAA_4[[#This Row],[Comprometido Bolsa]])</f>
        <v>#NAME?</v>
      </c>
      <c r="AC1525" s="55" t="str">
        <f t="shared" ca="1" si="526"/>
        <v/>
      </c>
      <c r="AD1525" s="55" t="e">
        <f ca="1">IF(PAA_4[[#This Row],[ESTADO (formulado)]]="NO CONTRATADO",0,MAX(PAA_4[[#This Row],[Pago por Contrato]],PAA_4[[#This Row],[Pago por bolsa]]))</f>
        <v>#NAME?</v>
      </c>
      <c r="AE1525" s="55" t="str">
        <f t="shared" ca="1" si="527"/>
        <v/>
      </c>
      <c r="AF1525" s="47" t="e">
        <f t="shared" ca="1" si="528"/>
        <v>#NAME?</v>
      </c>
      <c r="AG1525" s="47">
        <f t="shared" si="529"/>
        <v>44021007</v>
      </c>
      <c r="AH1525" s="54">
        <f>IF(Q1525="22",IF(ISNUMBER(SEARCH("econ",PAA_4[[#This Row],[Actividad3]])),"Económico",IF(ISNUMBER(SEARCH("alim",PAA_4[[#This Row],[Actividad3]])),"Alimentación",IF(ISNUMBER(SEARCH("educ",PAA_4[[#This Row],[Actividad3]])),"Educativo","Técnico"))),0)</f>
        <v>0</v>
      </c>
      <c r="AI1525" s="47" t="e" cm="1">
        <f t="array" aca="1" ref="AI1525" ca="1">_xlfn.XLOOKUP(PAA_4[[#This Row],[RCP-RUBRO]],[2]!COMPROMISOS_2024[[#All],[concatenado]],[2]!COMPROMISOS_2024[[#All],[Total pagado]],"",0)</f>
        <v>#NAME?</v>
      </c>
      <c r="AJ1525" s="56">
        <f>IF(PAA_4[[#This Row],[BOLSA]]=0,0,SUMIFS([2]!COMPROMISOS_2024[[#All],[Total pagado]],[2]!COMPROMISOS_2024[[#All],[Bolsa]],PAA_4[[#This Row],[BOLSA]],[2]!COMPROMISOS_2024[[#All],[rubro]],PAA_4[[#This Row],[RCP-RUBRO]]))</f>
        <v>0</v>
      </c>
      <c r="AK1525" s="47" t="e" cm="1">
        <f t="array" aca="1" ref="AK1525" ca="1">_xlfn.XLOOKUP(PAA_4[[#This Row],[RCP-RUBRO]],[2]!COMPROMISOS_2024[[#All],[concatenado]],[2]!COMPROMISOS_2024[[#All],[Total Comprometido]],"",0)</f>
        <v>#NAME?</v>
      </c>
      <c r="AL1525" s="47">
        <f>IF(PAA_4[[#This Row],[BOLSA]]=0,0,SUMIFS([2]!COMPROMISOS_2024[[#All],[Total Comprometido]],[2]!COMPROMISOS_2024[[#All],[Bolsa]],PAA_4[[#This Row],[BOLSA]],[2]!COMPROMISOS_2024[[#All],[concatenado]],PAA_4[[#This Row],[RCP-RUBRO]]))</f>
        <v>0</v>
      </c>
    </row>
    <row r="1526" spans="1:38" s="19" customFormat="1" ht="31.5" customHeight="1">
      <c r="A1526" s="47" t="s">
        <v>82</v>
      </c>
      <c r="B1526" s="47">
        <v>80141607</v>
      </c>
      <c r="C1526" s="47" t="str">
        <f>VLOOKUP(PAA_4[[#This Row],[PROYECTO (formulado)2]],[2]PROYECTOS!$G$1:$L$32,6,0)</f>
        <v>SUBGERENCIA DE FOMENTO Y DESARROLLO</v>
      </c>
      <c r="D1526" s="47" t="str">
        <f>+IF(PAA_4[[#This Row],[UNIDAD DE CONTRATACION (formulado)]]="Subgerencia Administrativa y Financiera","FUNCIONAMIENTO","INVERSIÓN")</f>
        <v>INVERSIÓN</v>
      </c>
      <c r="E1526" s="48" t="str">
        <f>VLOOKUP(Q1526,[2]PROYECTOS!$G$1:$K$32,5,0)</f>
        <v>FORTALECIMIENTO_DE_LOS_JUEGOS_DEL_SECTOR_SOCIAL_COMUNITARIO_EN_LOS_MUNICIPIOS_DEL_DEPARTAMENTO_DE_ANTIOQU</v>
      </c>
      <c r="F1526" s="48">
        <f>VLOOKUP(E1526,[2]PROYECTOS!$K$1:$M$32,3,0)</f>
        <v>2020003050033</v>
      </c>
      <c r="G1526" s="49" t="s">
        <v>411</v>
      </c>
      <c r="H1526" s="49" t="str">
        <f>VLOOKUP(Q1526,[2]PROYECTOS!$V$1:$W$32,2,0)</f>
        <v>050057</v>
      </c>
      <c r="I1526" s="78">
        <v>0</v>
      </c>
      <c r="J1526" s="51" t="s">
        <v>452</v>
      </c>
      <c r="K1526" s="47" t="str">
        <f t="shared" ca="1" si="524"/>
        <v>CONTRATADO</v>
      </c>
      <c r="L1526" s="47" t="s">
        <v>94</v>
      </c>
      <c r="M1526" s="47" t="s">
        <v>89</v>
      </c>
      <c r="N1526" s="52" t="s">
        <v>453</v>
      </c>
      <c r="O1526" s="51" t="e">
        <f>VLOOKUP(N1526,[2]!RUBROS[#All],3,0)</f>
        <v>#REF!</v>
      </c>
      <c r="P1526" s="53" t="e">
        <f>VLOOKUP(N1526,[2]!RUBROS[#All],2,0)</f>
        <v>#REF!</v>
      </c>
      <c r="Q1526" s="47" t="str">
        <f t="shared" si="525"/>
        <v>50</v>
      </c>
      <c r="R1526" s="47" t="str">
        <f t="shared" si="530"/>
        <v>4-271130</v>
      </c>
      <c r="S1526" s="339">
        <v>7</v>
      </c>
      <c r="T1526" s="59" t="s">
        <v>46</v>
      </c>
      <c r="U1526" s="326" t="e">
        <f ca="1">_xlfn.XLOOKUP(PAA_4[[#This Row],[ITEM]],[2]Contrato!A:A,[2]Contrato!Q:Q,"",0)</f>
        <v>#NAME?</v>
      </c>
      <c r="V1526" s="47" t="s">
        <v>47</v>
      </c>
      <c r="W1526" s="47" t="s">
        <v>154</v>
      </c>
      <c r="X1526" s="47" t="s">
        <v>154</v>
      </c>
      <c r="Y1526" s="55" t="e">
        <f ca="1">_xlfn.XLOOKUP(PAA_4[[#This Row],[ITEM]],[2]Contrato!A:A,[2]Contrato!B:B,"",0)</f>
        <v>#NAME?</v>
      </c>
      <c r="Z1526" s="47" t="e">
        <f ca="1">_xlfn.XLOOKUP(PAA_4[[#This Row],[ITEM]],[2]Contrato!A:A,[2]Contrato!G:G,"",0)</f>
        <v>#NAME?</v>
      </c>
      <c r="AA1526" s="47" t="e">
        <f ca="1">_xlfn.XLOOKUP(PAA_4[[#This Row],[ITEM]],[2]Contrato!A:A,[2]Contrato!T:T,"",0)</f>
        <v>#NAME?</v>
      </c>
      <c r="AB1526" s="55" t="e">
        <f ca="1">+MAX(PAA_4[[#This Row],[Comprometido Contrato]],PAA_4[[#This Row],[Comprometido Bolsa]])</f>
        <v>#NAME?</v>
      </c>
      <c r="AC1526" s="55" t="str">
        <f t="shared" ca="1" si="526"/>
        <v/>
      </c>
      <c r="AD1526" s="55" t="e">
        <f ca="1">IF(PAA_4[[#This Row],[ESTADO (formulado)]]="NO CONTRATADO",0,MAX(PAA_4[[#This Row],[Pago por Contrato]],PAA_4[[#This Row],[Pago por bolsa]]))</f>
        <v>#NAME?</v>
      </c>
      <c r="AE1526" s="55" t="str">
        <f t="shared" ca="1" si="527"/>
        <v/>
      </c>
      <c r="AF1526" s="47" t="e">
        <f t="shared" ca="1" si="528"/>
        <v>#NAME?</v>
      </c>
      <c r="AG1526" s="47">
        <f t="shared" si="529"/>
        <v>44021010</v>
      </c>
      <c r="AH1526" s="54">
        <f>IF(Q1526="22",IF(ISNUMBER(SEARCH("econ",PAA_4[[#This Row],[Actividad3]])),"Económico",IF(ISNUMBER(SEARCH("alim",PAA_4[[#This Row],[Actividad3]])),"Alimentación",IF(ISNUMBER(SEARCH("educ",PAA_4[[#This Row],[Actividad3]])),"Educativo","Técnico"))),0)</f>
        <v>0</v>
      </c>
      <c r="AI1526" s="47" t="e" cm="1">
        <f t="array" aca="1" ref="AI1526" ca="1">_xlfn.XLOOKUP(PAA_4[[#This Row],[RCP-RUBRO]],[2]!COMPROMISOS_2024[[#All],[concatenado]],[2]!COMPROMISOS_2024[[#All],[Total pagado]],"",0)</f>
        <v>#NAME?</v>
      </c>
      <c r="AJ1526" s="56">
        <f>IF(PAA_4[[#This Row],[BOLSA]]=0,0,SUMIFS([2]!COMPROMISOS_2024[[#All],[Total pagado]],[2]!COMPROMISOS_2024[[#All],[Bolsa]],PAA_4[[#This Row],[BOLSA]],[2]!COMPROMISOS_2024[[#All],[rubro]],PAA_4[[#This Row],[RCP-RUBRO]]))</f>
        <v>0</v>
      </c>
      <c r="AK1526" s="47" t="e" cm="1">
        <f t="array" aca="1" ref="AK1526" ca="1">_xlfn.XLOOKUP(PAA_4[[#This Row],[RCP-RUBRO]],[2]!COMPROMISOS_2024[[#All],[concatenado]],[2]!COMPROMISOS_2024[[#All],[Total Comprometido]],"",0)</f>
        <v>#NAME?</v>
      </c>
      <c r="AL1526" s="47">
        <f>IF(PAA_4[[#This Row],[BOLSA]]=0,0,SUMIFS([2]!COMPROMISOS_2024[[#All],[Total Comprometido]],[2]!COMPROMISOS_2024[[#All],[Bolsa]],PAA_4[[#This Row],[BOLSA]],[2]!COMPROMISOS_2024[[#All],[concatenado]],PAA_4[[#This Row],[RCP-RUBRO]]))</f>
        <v>0</v>
      </c>
    </row>
    <row r="1527" spans="1:38" s="19" customFormat="1" ht="31.5" customHeight="1">
      <c r="A1527" s="47">
        <v>1236</v>
      </c>
      <c r="B1527" s="51" t="s">
        <v>1917</v>
      </c>
      <c r="C1527" s="47" t="str">
        <f>VLOOKUP(PAA_4[[#This Row],[PROYECTO (formulado)2]],[2]PROYECTOS!$G$1:$L$32,6,0)</f>
        <v>SUBGERENCIA ADMINISTRATIVA Y FINANCIERA</v>
      </c>
      <c r="D1527" s="47" t="str">
        <f>+IF(PAA_4[[#This Row],[UNIDAD DE CONTRATACION (formulado)]]="Subgerencia Administrativa y Financiera","FUNCIONAMIENTO","INVERSIÓN")</f>
        <v>FUNCIONAMIENTO</v>
      </c>
      <c r="E1527" s="48" t="str">
        <f>VLOOKUP(Q1527,[2]PROYECTOS!$G$1:$K$32,5,0)</f>
        <v>Fortalecimiento de los sistemas de información y la gestión estratégica para el deporte, la recreación y la actividad física de Antioquia</v>
      </c>
      <c r="F1527" s="48">
        <f>VLOOKUP(E1527,[2]PROYECTOS!$K$1:$M$32,3,0)</f>
        <v>2024003050077</v>
      </c>
      <c r="G1527" s="49" t="s">
        <v>1918</v>
      </c>
      <c r="H1527" s="49" t="str">
        <f>VLOOKUP(Q1527,[2]PROYECTOS!$V$1:$W$32,2,0)</f>
        <v>220387</v>
      </c>
      <c r="I1527" s="78">
        <v>84000000</v>
      </c>
      <c r="J1527" s="51" t="s">
        <v>1919</v>
      </c>
      <c r="K1527" s="47" t="str">
        <f t="shared" ca="1" si="524"/>
        <v>CONTRATADO</v>
      </c>
      <c r="L1527" s="47" t="s">
        <v>94</v>
      </c>
      <c r="M1527" s="47" t="s">
        <v>161</v>
      </c>
      <c r="N1527" s="52" t="s">
        <v>1920</v>
      </c>
      <c r="O1527" s="51" t="e">
        <f>VLOOKUP(N1527,[2]!RUBROS[#All],3,0)</f>
        <v>#REF!</v>
      </c>
      <c r="P1527" s="53" t="e">
        <f>VLOOKUP(N1527,[2]!RUBROS[#All],2,0)</f>
        <v>#REF!</v>
      </c>
      <c r="Q1527" s="47" t="str">
        <f t="shared" si="525"/>
        <v>77</v>
      </c>
      <c r="R1527" s="47" t="str">
        <f t="shared" si="530"/>
        <v>0-101024</v>
      </c>
      <c r="S1527" s="339">
        <v>7</v>
      </c>
      <c r="T1527" s="59" t="s">
        <v>46</v>
      </c>
      <c r="U1527" s="326" t="e">
        <f ca="1">_xlfn.XLOOKUP(PAA_4[[#This Row],[ITEM]],[2]Contrato!A:A,[2]Contrato!Q:Q,"",0)</f>
        <v>#NAME?</v>
      </c>
      <c r="V1527" s="47" t="s">
        <v>95</v>
      </c>
      <c r="W1527" s="47" t="s">
        <v>200</v>
      </c>
      <c r="X1527" s="47" t="s">
        <v>200</v>
      </c>
      <c r="Y1527" s="55" t="e">
        <f ca="1">_xlfn.XLOOKUP(PAA_4[[#This Row],[ITEM]],[2]Contrato!A:A,[2]Contrato!B:B,"",0)</f>
        <v>#NAME?</v>
      </c>
      <c r="Z1527" s="47" t="e">
        <f ca="1">_xlfn.XLOOKUP(PAA_4[[#This Row],[ITEM]],[2]Contrato!A:A,[2]Contrato!G:G,"",0)</f>
        <v>#NAME?</v>
      </c>
      <c r="AA1527" s="47" t="e">
        <f ca="1">_xlfn.XLOOKUP(PAA_4[[#This Row],[ITEM]],[2]Contrato!A:A,[2]Contrato!T:T,"",0)</f>
        <v>#NAME?</v>
      </c>
      <c r="AB1527" s="55" t="e">
        <f ca="1">+MAX(PAA_4[[#This Row],[Comprometido Contrato]],PAA_4[[#This Row],[Comprometido Bolsa]])</f>
        <v>#NAME?</v>
      </c>
      <c r="AC1527" s="55" t="str">
        <f t="shared" ca="1" si="526"/>
        <v/>
      </c>
      <c r="AD1527" s="55" t="e">
        <f ca="1">IF(PAA_4[[#This Row],[ESTADO (formulado)]]="NO CONTRATADO",0,MAX(PAA_4[[#This Row],[Pago por Contrato]],PAA_4[[#This Row],[Pago por bolsa]]))</f>
        <v>#NAME?</v>
      </c>
      <c r="AE1527" s="55" t="str">
        <f t="shared" ca="1" si="527"/>
        <v/>
      </c>
      <c r="AF1527" s="47" t="e">
        <f t="shared" ca="1" si="528"/>
        <v>#NAME?</v>
      </c>
      <c r="AG1527" s="47">
        <f t="shared" si="529"/>
        <v>52011001</v>
      </c>
      <c r="AH1527" s="54">
        <f>IF(Q1527="22",IF(ISNUMBER(SEARCH("econ",PAA_4[[#This Row],[Actividad3]])),"Económico",IF(ISNUMBER(SEARCH("alim",PAA_4[[#This Row],[Actividad3]])),"Alimentación",IF(ISNUMBER(SEARCH("educ",PAA_4[[#This Row],[Actividad3]])),"Educativo","Técnico"))),0)</f>
        <v>0</v>
      </c>
      <c r="AI1527" s="47" t="e" cm="1">
        <f t="array" aca="1" ref="AI1527" ca="1">_xlfn.XLOOKUP(PAA_4[[#This Row],[RCP-RUBRO]],[2]!COMPROMISOS_2024[[#All],[concatenado]],[2]!COMPROMISOS_2024[[#All],[Total pagado]],"",0)</f>
        <v>#NAME?</v>
      </c>
      <c r="AJ1527" s="56">
        <f>IF(PAA_4[[#This Row],[BOLSA]]=0,0,SUMIFS([2]!COMPROMISOS_2024[[#All],[Total pagado]],[2]!COMPROMISOS_2024[[#All],[Bolsa]],PAA_4[[#This Row],[BOLSA]],[2]!COMPROMISOS_2024[[#All],[rubro]],PAA_4[[#This Row],[RCP-RUBRO]]))</f>
        <v>0</v>
      </c>
      <c r="AK1527" s="47" t="e" cm="1">
        <f t="array" aca="1" ref="AK1527" ca="1">_xlfn.XLOOKUP(PAA_4[[#This Row],[RCP-RUBRO]],[2]!COMPROMISOS_2024[[#All],[concatenado]],[2]!COMPROMISOS_2024[[#All],[Total Comprometido]],"",0)</f>
        <v>#NAME?</v>
      </c>
      <c r="AL1527" s="47">
        <f>IF(PAA_4[[#This Row],[BOLSA]]=0,0,SUMIFS([2]!COMPROMISOS_2024[[#All],[Total Comprometido]],[2]!COMPROMISOS_2024[[#All],[Bolsa]],PAA_4[[#This Row],[BOLSA]],[2]!COMPROMISOS_2024[[#All],[concatenado]],PAA_4[[#This Row],[RCP-RUBRO]]))</f>
        <v>0</v>
      </c>
    </row>
    <row r="1528" spans="1:38" s="19" customFormat="1" ht="31.5" customHeight="1">
      <c r="A1528" s="47" t="s">
        <v>82</v>
      </c>
      <c r="B1528" s="47" t="s">
        <v>42</v>
      </c>
      <c r="C1528" s="47" t="str">
        <f>VLOOKUP(PAA_4[[#This Row],[PROYECTO (formulado)2]],[2]PROYECTOS!$G$1:$L$32,6,0)</f>
        <v>SUBGERENCIA ADMINISTRATIVA Y FINANCIERA</v>
      </c>
      <c r="D1528" s="47" t="str">
        <f>+IF(PAA_4[[#This Row],[UNIDAD DE CONTRATACION (formulado)]]="Subgerencia Administrativa y Financiera","FUNCIONAMIENTO","INVERSIÓN")</f>
        <v>FUNCIONAMIENTO</v>
      </c>
      <c r="E1528" s="48" t="str">
        <f>VLOOKUP(Q1528,[2]PROYECTOS!$G$1:$K$32,5,0)</f>
        <v>Fortalecimiento de los sistemas de información y la gestión estratégica para el deporte, la recreación y la actividad física de Antioquia</v>
      </c>
      <c r="F1528" s="48">
        <f>VLOOKUP(E1528,[2]PROYECTOS!$K$1:$M$32,3,0)</f>
        <v>2024003050077</v>
      </c>
      <c r="G1528" s="49" t="s">
        <v>1921</v>
      </c>
      <c r="H1528" s="49" t="str">
        <f>VLOOKUP(Q1528,[2]PROYECTOS!$V$1:$W$32,2,0)</f>
        <v>220387</v>
      </c>
      <c r="I1528" s="78">
        <v>0</v>
      </c>
      <c r="J1528" s="51" t="s">
        <v>1922</v>
      </c>
      <c r="K1528" s="47" t="str">
        <f t="shared" ca="1" si="524"/>
        <v>CONTRATADO</v>
      </c>
      <c r="L1528" s="47" t="s">
        <v>42</v>
      </c>
      <c r="M1528" s="47" t="s">
        <v>42</v>
      </c>
      <c r="N1528" s="52" t="s">
        <v>1923</v>
      </c>
      <c r="O1528" s="51" t="e">
        <f>VLOOKUP(N1528,[2]!RUBROS[#All],3,0)</f>
        <v>#REF!</v>
      </c>
      <c r="P1528" s="53" t="e">
        <f>VLOOKUP(N1528,[2]!RUBROS[#All],2,0)</f>
        <v>#REF!</v>
      </c>
      <c r="Q1528" s="47" t="str">
        <f t="shared" si="525"/>
        <v>77</v>
      </c>
      <c r="R1528" s="47" t="str">
        <f t="shared" si="530"/>
        <v>0-101024</v>
      </c>
      <c r="S1528" s="339" t="s">
        <v>42</v>
      </c>
      <c r="T1528" s="59" t="s">
        <v>42</v>
      </c>
      <c r="U1528" s="326" t="e">
        <f ca="1">_xlfn.XLOOKUP(PAA_4[[#This Row],[ITEM]],[2]Contrato!A:A,[2]Contrato!Q:Q,"",0)</f>
        <v>#NAME?</v>
      </c>
      <c r="V1528" s="47" t="s">
        <v>95</v>
      </c>
      <c r="W1528" s="47" t="s">
        <v>42</v>
      </c>
      <c r="X1528" s="47" t="s">
        <v>42</v>
      </c>
      <c r="Y1528" s="55" t="e">
        <f ca="1">_xlfn.XLOOKUP(PAA_4[[#This Row],[ITEM]],[2]Contrato!A:A,[2]Contrato!B:B,"",0)</f>
        <v>#NAME?</v>
      </c>
      <c r="Z1528" s="47" t="e">
        <f ca="1">_xlfn.XLOOKUP(PAA_4[[#This Row],[ITEM]],[2]Contrato!A:A,[2]Contrato!G:G,"",0)</f>
        <v>#NAME?</v>
      </c>
      <c r="AA1528" s="47" t="e">
        <f ca="1">_xlfn.XLOOKUP(PAA_4[[#This Row],[ITEM]],[2]Contrato!A:A,[2]Contrato!T:T,"",0)</f>
        <v>#NAME?</v>
      </c>
      <c r="AB1528" s="55" t="e">
        <f ca="1">+MAX(PAA_4[[#This Row],[Comprometido Contrato]],PAA_4[[#This Row],[Comprometido Bolsa]])</f>
        <v>#NAME?</v>
      </c>
      <c r="AC1528" s="55" t="str">
        <f t="shared" ca="1" si="526"/>
        <v/>
      </c>
      <c r="AD1528" s="55" t="e">
        <f ca="1">IF(PAA_4[[#This Row],[ESTADO (formulado)]]="NO CONTRATADO",0,MAX(PAA_4[[#This Row],[Pago por Contrato]],PAA_4[[#This Row],[Pago por bolsa]]))</f>
        <v>#NAME?</v>
      </c>
      <c r="AE1528" s="55" t="str">
        <f t="shared" ca="1" si="527"/>
        <v/>
      </c>
      <c r="AF1528" s="47" t="e">
        <f t="shared" ca="1" si="528"/>
        <v>#NAME?</v>
      </c>
      <c r="AG1528" s="47">
        <f t="shared" si="529"/>
        <v>52011001</v>
      </c>
      <c r="AH1528" s="54">
        <f>IF(Q1528="22",IF(ISNUMBER(SEARCH("econ",PAA_4[[#This Row],[Actividad3]])),"Económico",IF(ISNUMBER(SEARCH("alim",PAA_4[[#This Row],[Actividad3]])),"Alimentación",IF(ISNUMBER(SEARCH("educ",PAA_4[[#This Row],[Actividad3]])),"Educativo","Técnico"))),0)</f>
        <v>0</v>
      </c>
      <c r="AI1528" s="47" t="e" cm="1">
        <f t="array" aca="1" ref="AI1528" ca="1">_xlfn.XLOOKUP(PAA_4[[#This Row],[RCP-RUBRO]],[2]!COMPROMISOS_2024[[#All],[concatenado]],[2]!COMPROMISOS_2024[[#All],[Total pagado]],"",0)</f>
        <v>#NAME?</v>
      </c>
      <c r="AJ1528" s="56">
        <f>IF(PAA_4[[#This Row],[BOLSA]]=0,0,SUMIFS([2]!COMPROMISOS_2024[[#All],[Total pagado]],[2]!COMPROMISOS_2024[[#All],[Bolsa]],PAA_4[[#This Row],[BOLSA]],[2]!COMPROMISOS_2024[[#All],[rubro]],PAA_4[[#This Row],[RCP-RUBRO]]))</f>
        <v>0</v>
      </c>
      <c r="AK1528" s="47" t="e" cm="1">
        <f t="array" aca="1" ref="AK1528" ca="1">_xlfn.XLOOKUP(PAA_4[[#This Row],[RCP-RUBRO]],[2]!COMPROMISOS_2024[[#All],[concatenado]],[2]!COMPROMISOS_2024[[#All],[Total Comprometido]],"",0)</f>
        <v>#NAME?</v>
      </c>
      <c r="AL1528" s="47">
        <f>IF(PAA_4[[#This Row],[BOLSA]]=0,0,SUMIFS([2]!COMPROMISOS_2024[[#All],[Total Comprometido]],[2]!COMPROMISOS_2024[[#All],[Bolsa]],PAA_4[[#This Row],[BOLSA]],[2]!COMPROMISOS_2024[[#All],[concatenado]],PAA_4[[#This Row],[RCP-RUBRO]]))</f>
        <v>0</v>
      </c>
    </row>
    <row r="1529" spans="1:38" s="19" customFormat="1" ht="31.5" customHeight="1">
      <c r="A1529" s="47" t="s">
        <v>82</v>
      </c>
      <c r="B1529" s="47" t="s">
        <v>42</v>
      </c>
      <c r="C1529" s="47" t="str">
        <f>VLOOKUP(PAA_4[[#This Row],[PROYECTO (formulado)2]],[2]PROYECTOS!$G$1:$L$32,6,0)</f>
        <v>SUBGERENCIA ADMINISTRATIVA Y FINANCIERA</v>
      </c>
      <c r="D1529" s="47" t="str">
        <f>+IF(PAA_4[[#This Row],[UNIDAD DE CONTRATACION (formulado)]]="Subgerencia Administrativa y Financiera","FUNCIONAMIENTO","INVERSIÓN")</f>
        <v>FUNCIONAMIENTO</v>
      </c>
      <c r="E1529" s="48" t="str">
        <f>VLOOKUP(Q1529,[2]PROYECTOS!$G$1:$K$32,5,0)</f>
        <v>Fortalecimiento de los sistemas de información y la gestión estratégica para el deporte, la recreación y la actividad física de Antioquia</v>
      </c>
      <c r="F1529" s="48">
        <f>VLOOKUP(E1529,[2]PROYECTOS!$K$1:$M$32,3,0)</f>
        <v>2024003050077</v>
      </c>
      <c r="G1529" s="49" t="s">
        <v>1918</v>
      </c>
      <c r="H1529" s="49" t="str">
        <f>VLOOKUP(Q1529,[2]PROYECTOS!$V$1:$W$32,2,0)</f>
        <v>220387</v>
      </c>
      <c r="I1529" s="78">
        <v>0</v>
      </c>
      <c r="J1529" s="51" t="s">
        <v>1922</v>
      </c>
      <c r="K1529" s="47" t="str">
        <f t="shared" ca="1" si="524"/>
        <v>CONTRATADO</v>
      </c>
      <c r="L1529" s="47" t="s">
        <v>42</v>
      </c>
      <c r="M1529" s="47" t="s">
        <v>42</v>
      </c>
      <c r="N1529" s="52" t="s">
        <v>1923</v>
      </c>
      <c r="O1529" s="51" t="e">
        <f>VLOOKUP(N1529,[2]!RUBROS[#All],3,0)</f>
        <v>#REF!</v>
      </c>
      <c r="P1529" s="53" t="e">
        <f>VLOOKUP(N1529,[2]!RUBROS[#All],2,0)</f>
        <v>#REF!</v>
      </c>
      <c r="Q1529" s="47" t="str">
        <f t="shared" si="525"/>
        <v>77</v>
      </c>
      <c r="R1529" s="47" t="str">
        <f t="shared" si="530"/>
        <v>0-101024</v>
      </c>
      <c r="S1529" s="339" t="s">
        <v>42</v>
      </c>
      <c r="T1529" s="59" t="s">
        <v>42</v>
      </c>
      <c r="U1529" s="326" t="e">
        <f ca="1">_xlfn.XLOOKUP(PAA_4[[#This Row],[ITEM]],[2]Contrato!A:A,[2]Contrato!Q:Q,"",0)</f>
        <v>#NAME?</v>
      </c>
      <c r="V1529" s="47" t="s">
        <v>95</v>
      </c>
      <c r="W1529" s="47" t="s">
        <v>42</v>
      </c>
      <c r="X1529" s="47" t="s">
        <v>42</v>
      </c>
      <c r="Y1529" s="55" t="e">
        <f ca="1">_xlfn.XLOOKUP(PAA_4[[#This Row],[ITEM]],[2]Contrato!A:A,[2]Contrato!B:B,"",0)</f>
        <v>#NAME?</v>
      </c>
      <c r="Z1529" s="47" t="e">
        <f ca="1">_xlfn.XLOOKUP(PAA_4[[#This Row],[ITEM]],[2]Contrato!A:A,[2]Contrato!G:G,"",0)</f>
        <v>#NAME?</v>
      </c>
      <c r="AA1529" s="47" t="e">
        <f ca="1">_xlfn.XLOOKUP(PAA_4[[#This Row],[ITEM]],[2]Contrato!A:A,[2]Contrato!T:T,"",0)</f>
        <v>#NAME?</v>
      </c>
      <c r="AB1529" s="55" t="e">
        <f ca="1">+MAX(PAA_4[[#This Row],[Comprometido Contrato]],PAA_4[[#This Row],[Comprometido Bolsa]])</f>
        <v>#NAME?</v>
      </c>
      <c r="AC1529" s="55" t="str">
        <f t="shared" ca="1" si="526"/>
        <v/>
      </c>
      <c r="AD1529" s="55" t="e">
        <f ca="1">IF(PAA_4[[#This Row],[ESTADO (formulado)]]="NO CONTRATADO",0,MAX(PAA_4[[#This Row],[Pago por Contrato]],PAA_4[[#This Row],[Pago por bolsa]]))</f>
        <v>#NAME?</v>
      </c>
      <c r="AE1529" s="55" t="str">
        <f t="shared" ca="1" si="527"/>
        <v/>
      </c>
      <c r="AF1529" s="47" t="e">
        <f t="shared" ca="1" si="528"/>
        <v>#NAME?</v>
      </c>
      <c r="AG1529" s="47">
        <f t="shared" si="529"/>
        <v>52011001</v>
      </c>
      <c r="AH1529" s="54">
        <f>IF(Q1529="22",IF(ISNUMBER(SEARCH("econ",PAA_4[[#This Row],[Actividad3]])),"Económico",IF(ISNUMBER(SEARCH("alim",PAA_4[[#This Row],[Actividad3]])),"Alimentación",IF(ISNUMBER(SEARCH("educ",PAA_4[[#This Row],[Actividad3]])),"Educativo","Técnico"))),0)</f>
        <v>0</v>
      </c>
      <c r="AI1529" s="47" t="e" cm="1">
        <f t="array" aca="1" ref="AI1529" ca="1">_xlfn.XLOOKUP(PAA_4[[#This Row],[RCP-RUBRO]],[2]!COMPROMISOS_2024[[#All],[concatenado]],[2]!COMPROMISOS_2024[[#All],[Total pagado]],"",0)</f>
        <v>#NAME?</v>
      </c>
      <c r="AJ1529" s="56">
        <f>IF(PAA_4[[#This Row],[BOLSA]]=0,0,SUMIFS([2]!COMPROMISOS_2024[[#All],[Total pagado]],[2]!COMPROMISOS_2024[[#All],[Bolsa]],PAA_4[[#This Row],[BOLSA]],[2]!COMPROMISOS_2024[[#All],[rubro]],PAA_4[[#This Row],[RCP-RUBRO]]))</f>
        <v>0</v>
      </c>
      <c r="AK1529" s="47" t="e" cm="1">
        <f t="array" aca="1" ref="AK1529" ca="1">_xlfn.XLOOKUP(PAA_4[[#This Row],[RCP-RUBRO]],[2]!COMPROMISOS_2024[[#All],[concatenado]],[2]!COMPROMISOS_2024[[#All],[Total Comprometido]],"",0)</f>
        <v>#NAME?</v>
      </c>
      <c r="AL1529" s="47">
        <f>IF(PAA_4[[#This Row],[BOLSA]]=0,0,SUMIFS([2]!COMPROMISOS_2024[[#All],[Total Comprometido]],[2]!COMPROMISOS_2024[[#All],[Bolsa]],PAA_4[[#This Row],[BOLSA]],[2]!COMPROMISOS_2024[[#All],[concatenado]],PAA_4[[#This Row],[RCP-RUBRO]]))</f>
        <v>0</v>
      </c>
    </row>
    <row r="1530" spans="1:38" s="19" customFormat="1" ht="31.5" customHeight="1">
      <c r="A1530" s="47" t="s">
        <v>82</v>
      </c>
      <c r="B1530" s="47" t="s">
        <v>42</v>
      </c>
      <c r="C1530" s="47" t="str">
        <f>VLOOKUP(PAA_4[[#This Row],[PROYECTO (formulado)2]],[2]PROYECTOS!$G$1:$L$32,6,0)</f>
        <v>SUBGERENCIA ADMINISTRATIVA Y FINANCIERA</v>
      </c>
      <c r="D1530" s="47" t="str">
        <f>+IF(PAA_4[[#This Row],[UNIDAD DE CONTRATACION (formulado)]]="Subgerencia Administrativa y Financiera","FUNCIONAMIENTO","INVERSIÓN")</f>
        <v>FUNCIONAMIENTO</v>
      </c>
      <c r="E1530" s="48" t="str">
        <f>VLOOKUP(Q1530,[2]PROYECTOS!$G$1:$K$32,5,0)</f>
        <v>Fortalecimiento de los sistemas de información y la gestión estratégica para el deporte, la recreación y la actividad física de Antioquia</v>
      </c>
      <c r="F1530" s="48">
        <f>VLOOKUP(E1530,[2]PROYECTOS!$K$1:$M$32,3,0)</f>
        <v>2024003050077</v>
      </c>
      <c r="G1530" s="49" t="s">
        <v>1924</v>
      </c>
      <c r="H1530" s="49" t="str">
        <f>VLOOKUP(Q1530,[2]PROYECTOS!$V$1:$W$32,2,0)</f>
        <v>220387</v>
      </c>
      <c r="I1530" s="78">
        <v>0</v>
      </c>
      <c r="J1530" s="51" t="s">
        <v>1922</v>
      </c>
      <c r="K1530" s="47" t="str">
        <f t="shared" ca="1" si="524"/>
        <v>CONTRATADO</v>
      </c>
      <c r="L1530" s="47" t="s">
        <v>42</v>
      </c>
      <c r="M1530" s="47" t="s">
        <v>42</v>
      </c>
      <c r="N1530" s="52" t="s">
        <v>1923</v>
      </c>
      <c r="O1530" s="51" t="e">
        <f>VLOOKUP(N1530,[2]!RUBROS[#All],3,0)</f>
        <v>#REF!</v>
      </c>
      <c r="P1530" s="53" t="e">
        <f>VLOOKUP(N1530,[2]!RUBROS[#All],2,0)</f>
        <v>#REF!</v>
      </c>
      <c r="Q1530" s="47" t="str">
        <f t="shared" si="525"/>
        <v>77</v>
      </c>
      <c r="R1530" s="47" t="str">
        <f t="shared" si="530"/>
        <v>0-101024</v>
      </c>
      <c r="S1530" s="339" t="s">
        <v>42</v>
      </c>
      <c r="T1530" s="59" t="s">
        <v>42</v>
      </c>
      <c r="U1530" s="326" t="e">
        <f ca="1">_xlfn.XLOOKUP(PAA_4[[#This Row],[ITEM]],[2]Contrato!A:A,[2]Contrato!Q:Q,"",0)</f>
        <v>#NAME?</v>
      </c>
      <c r="V1530" s="47" t="s">
        <v>95</v>
      </c>
      <c r="W1530" s="47" t="s">
        <v>42</v>
      </c>
      <c r="X1530" s="47" t="s">
        <v>42</v>
      </c>
      <c r="Y1530" s="55" t="e">
        <f ca="1">_xlfn.XLOOKUP(PAA_4[[#This Row],[ITEM]],[2]Contrato!A:A,[2]Contrato!B:B,"",0)</f>
        <v>#NAME?</v>
      </c>
      <c r="Z1530" s="47" t="e">
        <f ca="1">_xlfn.XLOOKUP(PAA_4[[#This Row],[ITEM]],[2]Contrato!A:A,[2]Contrato!G:G,"",0)</f>
        <v>#NAME?</v>
      </c>
      <c r="AA1530" s="47" t="e">
        <f ca="1">_xlfn.XLOOKUP(PAA_4[[#This Row],[ITEM]],[2]Contrato!A:A,[2]Contrato!T:T,"",0)</f>
        <v>#NAME?</v>
      </c>
      <c r="AB1530" s="55" t="e">
        <f ca="1">+MAX(PAA_4[[#This Row],[Comprometido Contrato]],PAA_4[[#This Row],[Comprometido Bolsa]])</f>
        <v>#NAME?</v>
      </c>
      <c r="AC1530" s="55" t="str">
        <f t="shared" ca="1" si="526"/>
        <v/>
      </c>
      <c r="AD1530" s="55" t="e">
        <f ca="1">IF(PAA_4[[#This Row],[ESTADO (formulado)]]="NO CONTRATADO",0,MAX(PAA_4[[#This Row],[Pago por Contrato]],PAA_4[[#This Row],[Pago por bolsa]]))</f>
        <v>#NAME?</v>
      </c>
      <c r="AE1530" s="55" t="str">
        <f t="shared" ca="1" si="527"/>
        <v/>
      </c>
      <c r="AF1530" s="47" t="e">
        <f t="shared" ca="1" si="528"/>
        <v>#NAME?</v>
      </c>
      <c r="AG1530" s="47">
        <f t="shared" si="529"/>
        <v>52011001</v>
      </c>
      <c r="AH1530" s="54">
        <f>IF(Q1530="22",IF(ISNUMBER(SEARCH("econ",PAA_4[[#This Row],[Actividad3]])),"Económico",IF(ISNUMBER(SEARCH("alim",PAA_4[[#This Row],[Actividad3]])),"Alimentación",IF(ISNUMBER(SEARCH("educ",PAA_4[[#This Row],[Actividad3]])),"Educativo","Técnico"))),0)</f>
        <v>0</v>
      </c>
      <c r="AI1530" s="47" t="e" cm="1">
        <f t="array" aca="1" ref="AI1530" ca="1">_xlfn.XLOOKUP(PAA_4[[#This Row],[RCP-RUBRO]],[2]!COMPROMISOS_2024[[#All],[concatenado]],[2]!COMPROMISOS_2024[[#All],[Total pagado]],"",0)</f>
        <v>#NAME?</v>
      </c>
      <c r="AJ1530" s="56">
        <f>IF(PAA_4[[#This Row],[BOLSA]]=0,0,SUMIFS([2]!COMPROMISOS_2024[[#All],[Total pagado]],[2]!COMPROMISOS_2024[[#All],[Bolsa]],PAA_4[[#This Row],[BOLSA]],[2]!COMPROMISOS_2024[[#All],[rubro]],PAA_4[[#This Row],[RCP-RUBRO]]))</f>
        <v>0</v>
      </c>
      <c r="AK1530" s="47" t="e" cm="1">
        <f t="array" aca="1" ref="AK1530" ca="1">_xlfn.XLOOKUP(PAA_4[[#This Row],[RCP-RUBRO]],[2]!COMPROMISOS_2024[[#All],[concatenado]],[2]!COMPROMISOS_2024[[#All],[Total Comprometido]],"",0)</f>
        <v>#NAME?</v>
      </c>
      <c r="AL1530" s="47">
        <f>IF(PAA_4[[#This Row],[BOLSA]]=0,0,SUMIFS([2]!COMPROMISOS_2024[[#All],[Total Comprometido]],[2]!COMPROMISOS_2024[[#All],[Bolsa]],PAA_4[[#This Row],[BOLSA]],[2]!COMPROMISOS_2024[[#All],[concatenado]],PAA_4[[#This Row],[RCP-RUBRO]]))</f>
        <v>0</v>
      </c>
    </row>
    <row r="1531" spans="1:38" s="19" customFormat="1" ht="31.5" customHeight="1">
      <c r="A1531" s="47" t="s">
        <v>82</v>
      </c>
      <c r="B1531" s="47" t="s">
        <v>42</v>
      </c>
      <c r="C1531" s="47" t="str">
        <f>VLOOKUP(PAA_4[[#This Row],[PROYECTO (formulado)2]],[2]PROYECTOS!$G$1:$L$32,6,0)</f>
        <v>SUBGERENCIA ADMINISTRATIVA Y FINANCIERA</v>
      </c>
      <c r="D1531" s="47" t="str">
        <f>+IF(PAA_4[[#This Row],[UNIDAD DE CONTRATACION (formulado)]]="Subgerencia Administrativa y Financiera","FUNCIONAMIENTO","INVERSIÓN")</f>
        <v>FUNCIONAMIENTO</v>
      </c>
      <c r="E1531" s="48" t="str">
        <f>VLOOKUP(Q1531,[2]PROYECTOS!$G$1:$K$32,5,0)</f>
        <v>Fortalecimiento de los sistemas de información y la gestión estratégica para el deporte, la recreación y la actividad física de Antioquia</v>
      </c>
      <c r="F1531" s="48">
        <f>VLOOKUP(E1531,[2]PROYECTOS!$K$1:$M$32,3,0)</f>
        <v>2024003050077</v>
      </c>
      <c r="G1531" s="49" t="s">
        <v>1925</v>
      </c>
      <c r="H1531" s="49" t="str">
        <f>VLOOKUP(Q1531,[2]PROYECTOS!$V$1:$W$32,2,0)</f>
        <v>220387</v>
      </c>
      <c r="I1531" s="78">
        <v>0</v>
      </c>
      <c r="J1531" s="51" t="s">
        <v>1486</v>
      </c>
      <c r="K1531" s="47" t="str">
        <f t="shared" ca="1" si="524"/>
        <v>CONTRATADO</v>
      </c>
      <c r="L1531" s="47" t="s">
        <v>42</v>
      </c>
      <c r="M1531" s="47" t="s">
        <v>42</v>
      </c>
      <c r="N1531" s="52" t="s">
        <v>1926</v>
      </c>
      <c r="O1531" s="51" t="e">
        <f>VLOOKUP(N1531,[2]!RUBROS[#All],3,0)</f>
        <v>#REF!</v>
      </c>
      <c r="P1531" s="53" t="e">
        <f>VLOOKUP(N1531,[2]!RUBROS[#All],2,0)</f>
        <v>#REF!</v>
      </c>
      <c r="Q1531" s="47" t="str">
        <f t="shared" si="525"/>
        <v>77</v>
      </c>
      <c r="R1531" s="47" t="str">
        <f t="shared" si="530"/>
        <v>0-101024</v>
      </c>
      <c r="S1531" s="339" t="s">
        <v>42</v>
      </c>
      <c r="T1531" s="59" t="s">
        <v>42</v>
      </c>
      <c r="U1531" s="326" t="e">
        <f ca="1">_xlfn.XLOOKUP(PAA_4[[#This Row],[ITEM]],[2]Contrato!A:A,[2]Contrato!Q:Q,"",0)</f>
        <v>#NAME?</v>
      </c>
      <c r="V1531" s="47" t="s">
        <v>95</v>
      </c>
      <c r="W1531" s="47" t="s">
        <v>42</v>
      </c>
      <c r="X1531" s="47" t="s">
        <v>42</v>
      </c>
      <c r="Y1531" s="55" t="e">
        <f ca="1">_xlfn.XLOOKUP(PAA_4[[#This Row],[ITEM]],[2]Contrato!A:A,[2]Contrato!B:B,"",0)</f>
        <v>#NAME?</v>
      </c>
      <c r="Z1531" s="47" t="e">
        <f ca="1">_xlfn.XLOOKUP(PAA_4[[#This Row],[ITEM]],[2]Contrato!A:A,[2]Contrato!G:G,"",0)</f>
        <v>#NAME?</v>
      </c>
      <c r="AA1531" s="47" t="e">
        <f ca="1">_xlfn.XLOOKUP(PAA_4[[#This Row],[ITEM]],[2]Contrato!A:A,[2]Contrato!T:T,"",0)</f>
        <v>#NAME?</v>
      </c>
      <c r="AB1531" s="55" t="e">
        <f ca="1">+MAX(PAA_4[[#This Row],[Comprometido Contrato]],PAA_4[[#This Row],[Comprometido Bolsa]])</f>
        <v>#NAME?</v>
      </c>
      <c r="AC1531" s="55" t="str">
        <f t="shared" ca="1" si="526"/>
        <v/>
      </c>
      <c r="AD1531" s="55" t="e">
        <f ca="1">IF(PAA_4[[#This Row],[ESTADO (formulado)]]="NO CONTRATADO",0,MAX(PAA_4[[#This Row],[Pago por Contrato]],PAA_4[[#This Row],[Pago por bolsa]]))</f>
        <v>#NAME?</v>
      </c>
      <c r="AE1531" s="55" t="str">
        <f t="shared" ca="1" si="527"/>
        <v/>
      </c>
      <c r="AF1531" s="47" t="e">
        <f t="shared" ca="1" si="528"/>
        <v>#NAME?</v>
      </c>
      <c r="AG1531" s="47">
        <f t="shared" si="529"/>
        <v>52011001</v>
      </c>
      <c r="AH1531" s="54">
        <f>IF(Q1531="22",IF(ISNUMBER(SEARCH("econ",PAA_4[[#This Row],[Actividad3]])),"Económico",IF(ISNUMBER(SEARCH("alim",PAA_4[[#This Row],[Actividad3]])),"Alimentación",IF(ISNUMBER(SEARCH("educ",PAA_4[[#This Row],[Actividad3]])),"Educativo","Técnico"))),0)</f>
        <v>0</v>
      </c>
      <c r="AI1531" s="47" t="e" cm="1">
        <f t="array" aca="1" ref="AI1531" ca="1">_xlfn.XLOOKUP(PAA_4[[#This Row],[RCP-RUBRO]],[2]!COMPROMISOS_2024[[#All],[concatenado]],[2]!COMPROMISOS_2024[[#All],[Total pagado]],"",0)</f>
        <v>#NAME?</v>
      </c>
      <c r="AJ1531" s="56">
        <f>IF(PAA_4[[#This Row],[BOLSA]]=0,0,SUMIFS([2]!COMPROMISOS_2024[[#All],[Total pagado]],[2]!COMPROMISOS_2024[[#All],[Bolsa]],PAA_4[[#This Row],[BOLSA]],[2]!COMPROMISOS_2024[[#All],[rubro]],PAA_4[[#This Row],[RCP-RUBRO]]))</f>
        <v>0</v>
      </c>
      <c r="AK1531" s="47" t="e" cm="1">
        <f t="array" aca="1" ref="AK1531" ca="1">_xlfn.XLOOKUP(PAA_4[[#This Row],[RCP-RUBRO]],[2]!COMPROMISOS_2024[[#All],[concatenado]],[2]!COMPROMISOS_2024[[#All],[Total Comprometido]],"",0)</f>
        <v>#NAME?</v>
      </c>
      <c r="AL1531" s="47">
        <f>IF(PAA_4[[#This Row],[BOLSA]]=0,0,SUMIFS([2]!COMPROMISOS_2024[[#All],[Total Comprometido]],[2]!COMPROMISOS_2024[[#All],[Bolsa]],PAA_4[[#This Row],[BOLSA]],[2]!COMPROMISOS_2024[[#All],[concatenado]],PAA_4[[#This Row],[RCP-RUBRO]]))</f>
        <v>0</v>
      </c>
    </row>
    <row r="1532" spans="1:38" s="19" customFormat="1" ht="31.5" customHeight="1">
      <c r="A1532" s="47" t="s">
        <v>82</v>
      </c>
      <c r="B1532" s="47" t="s">
        <v>42</v>
      </c>
      <c r="C1532" s="47" t="str">
        <f>VLOOKUP(PAA_4[[#This Row],[PROYECTO (formulado)2]],[2]PROYECTOS!$G$1:$L$32,6,0)</f>
        <v>SUBGERENCIA ADMINISTRATIVA Y FINANCIERA</v>
      </c>
      <c r="D1532" s="47" t="str">
        <f>+IF(PAA_4[[#This Row],[UNIDAD DE CONTRATACION (formulado)]]="Subgerencia Administrativa y Financiera","FUNCIONAMIENTO","INVERSIÓN")</f>
        <v>FUNCIONAMIENTO</v>
      </c>
      <c r="E1532" s="48" t="str">
        <f>VLOOKUP(Q1532,[2]PROYECTOS!$G$1:$K$32,5,0)</f>
        <v>Fortalecimiento de los sistemas de información y la gestión estratégica para el deporte, la recreación y la actividad física de Antioquia</v>
      </c>
      <c r="F1532" s="48">
        <f>VLOOKUP(E1532,[2]PROYECTOS!$K$1:$M$32,3,0)</f>
        <v>2024003050077</v>
      </c>
      <c r="G1532" s="49" t="s">
        <v>1925</v>
      </c>
      <c r="H1532" s="49" t="str">
        <f>VLOOKUP(Q1532,[2]PROYECTOS!$V$1:$W$32,2,0)</f>
        <v>220387</v>
      </c>
      <c r="I1532" s="78">
        <v>0</v>
      </c>
      <c r="J1532" s="51" t="s">
        <v>1486</v>
      </c>
      <c r="K1532" s="47" t="str">
        <f t="shared" ca="1" si="524"/>
        <v>CONTRATADO</v>
      </c>
      <c r="L1532" s="47" t="s">
        <v>42</v>
      </c>
      <c r="M1532" s="47" t="s">
        <v>42</v>
      </c>
      <c r="N1532" s="52" t="s">
        <v>1926</v>
      </c>
      <c r="O1532" s="51" t="e">
        <f>VLOOKUP(N1532,[2]!RUBROS[#All],3,0)</f>
        <v>#REF!</v>
      </c>
      <c r="P1532" s="53" t="e">
        <f>VLOOKUP(N1532,[2]!RUBROS[#All],2,0)</f>
        <v>#REF!</v>
      </c>
      <c r="Q1532" s="47" t="str">
        <f t="shared" si="525"/>
        <v>77</v>
      </c>
      <c r="R1532" s="47" t="str">
        <f t="shared" si="530"/>
        <v>0-101024</v>
      </c>
      <c r="S1532" s="339" t="s">
        <v>42</v>
      </c>
      <c r="T1532" s="59" t="s">
        <v>42</v>
      </c>
      <c r="U1532" s="326" t="e">
        <f ca="1">_xlfn.XLOOKUP(PAA_4[[#This Row],[ITEM]],[2]Contrato!A:A,[2]Contrato!Q:Q,"",0)</f>
        <v>#NAME?</v>
      </c>
      <c r="V1532" s="47" t="s">
        <v>95</v>
      </c>
      <c r="W1532" s="47" t="s">
        <v>42</v>
      </c>
      <c r="X1532" s="47" t="s">
        <v>42</v>
      </c>
      <c r="Y1532" s="55" t="e">
        <f ca="1">_xlfn.XLOOKUP(PAA_4[[#This Row],[ITEM]],[2]Contrato!A:A,[2]Contrato!B:B,"",0)</f>
        <v>#NAME?</v>
      </c>
      <c r="Z1532" s="47" t="e">
        <f ca="1">_xlfn.XLOOKUP(PAA_4[[#This Row],[ITEM]],[2]Contrato!A:A,[2]Contrato!G:G,"",0)</f>
        <v>#NAME?</v>
      </c>
      <c r="AA1532" s="47" t="e">
        <f ca="1">_xlfn.XLOOKUP(PAA_4[[#This Row],[ITEM]],[2]Contrato!A:A,[2]Contrato!T:T,"",0)</f>
        <v>#NAME?</v>
      </c>
      <c r="AB1532" s="55" t="e">
        <f ca="1">+MAX(PAA_4[[#This Row],[Comprometido Contrato]],PAA_4[[#This Row],[Comprometido Bolsa]])</f>
        <v>#NAME?</v>
      </c>
      <c r="AC1532" s="55" t="str">
        <f t="shared" ca="1" si="526"/>
        <v/>
      </c>
      <c r="AD1532" s="55" t="e">
        <f ca="1">IF(PAA_4[[#This Row],[ESTADO (formulado)]]="NO CONTRATADO",0,MAX(PAA_4[[#This Row],[Pago por Contrato]],PAA_4[[#This Row],[Pago por bolsa]]))</f>
        <v>#NAME?</v>
      </c>
      <c r="AE1532" s="55" t="str">
        <f t="shared" ca="1" si="527"/>
        <v/>
      </c>
      <c r="AF1532" s="47" t="e">
        <f t="shared" ca="1" si="528"/>
        <v>#NAME?</v>
      </c>
      <c r="AG1532" s="47">
        <f t="shared" si="529"/>
        <v>52011001</v>
      </c>
      <c r="AH1532" s="54">
        <f>IF(Q1532="22",IF(ISNUMBER(SEARCH("econ",PAA_4[[#This Row],[Actividad3]])),"Económico",IF(ISNUMBER(SEARCH("alim",PAA_4[[#This Row],[Actividad3]])),"Alimentación",IF(ISNUMBER(SEARCH("educ",PAA_4[[#This Row],[Actividad3]])),"Educativo","Técnico"))),0)</f>
        <v>0</v>
      </c>
      <c r="AI1532" s="47" t="e" cm="1">
        <f t="array" aca="1" ref="AI1532" ca="1">_xlfn.XLOOKUP(PAA_4[[#This Row],[RCP-RUBRO]],[2]!COMPROMISOS_2024[[#All],[concatenado]],[2]!COMPROMISOS_2024[[#All],[Total pagado]],"",0)</f>
        <v>#NAME?</v>
      </c>
      <c r="AJ1532" s="56">
        <f>IF(PAA_4[[#This Row],[BOLSA]]=0,0,SUMIFS([2]!COMPROMISOS_2024[[#All],[Total pagado]],[2]!COMPROMISOS_2024[[#All],[Bolsa]],PAA_4[[#This Row],[BOLSA]],[2]!COMPROMISOS_2024[[#All],[rubro]],PAA_4[[#This Row],[RCP-RUBRO]]))</f>
        <v>0</v>
      </c>
      <c r="AK1532" s="47" t="e" cm="1">
        <f t="array" aca="1" ref="AK1532" ca="1">_xlfn.XLOOKUP(PAA_4[[#This Row],[RCP-RUBRO]],[2]!COMPROMISOS_2024[[#All],[concatenado]],[2]!COMPROMISOS_2024[[#All],[Total Comprometido]],"",0)</f>
        <v>#NAME?</v>
      </c>
      <c r="AL1532" s="47">
        <f>IF(PAA_4[[#This Row],[BOLSA]]=0,0,SUMIFS([2]!COMPROMISOS_2024[[#All],[Total Comprometido]],[2]!COMPROMISOS_2024[[#All],[Bolsa]],PAA_4[[#This Row],[BOLSA]],[2]!COMPROMISOS_2024[[#All],[concatenado]],PAA_4[[#This Row],[RCP-RUBRO]]))</f>
        <v>0</v>
      </c>
    </row>
    <row r="1533" spans="1:38" s="19" customFormat="1" ht="31.5" customHeight="1">
      <c r="A1533" s="47" t="s">
        <v>82</v>
      </c>
      <c r="B1533" s="47" t="s">
        <v>42</v>
      </c>
      <c r="C1533" s="47" t="str">
        <f>VLOOKUP(PAA_4[[#This Row],[PROYECTO (formulado)2]],[2]PROYECTOS!$G$1:$L$32,6,0)</f>
        <v>SUBGERENCIA ADMINISTRATIVA Y FINANCIERA</v>
      </c>
      <c r="D1533" s="47" t="str">
        <f>+IF(PAA_4[[#This Row],[UNIDAD DE CONTRATACION (formulado)]]="Subgerencia Administrativa y Financiera","FUNCIONAMIENTO","INVERSIÓN")</f>
        <v>FUNCIONAMIENTO</v>
      </c>
      <c r="E1533" s="48" t="str">
        <f>VLOOKUP(Q1533,[2]PROYECTOS!$G$1:$K$32,5,0)</f>
        <v>Fortalecimiento de los sistemas de información y la gestión estratégica para el deporte, la recreación y la actividad física de Antioquia</v>
      </c>
      <c r="F1533" s="48">
        <f>VLOOKUP(E1533,[2]PROYECTOS!$K$1:$M$32,3,0)</f>
        <v>2024003050077</v>
      </c>
      <c r="G1533" s="49" t="s">
        <v>1925</v>
      </c>
      <c r="H1533" s="49" t="str">
        <f>VLOOKUP(Q1533,[2]PROYECTOS!$V$1:$W$32,2,0)</f>
        <v>220387</v>
      </c>
      <c r="I1533" s="78">
        <v>256349</v>
      </c>
      <c r="J1533" s="51" t="s">
        <v>1467</v>
      </c>
      <c r="K1533" s="47" t="str">
        <f ca="1">IF(ISNONTEXT(Y1533)=TRUE,"CONTRATADO","NO CONTRATADO")</f>
        <v>CONTRATADO</v>
      </c>
      <c r="L1533" s="47" t="s">
        <v>42</v>
      </c>
      <c r="M1533" s="47" t="s">
        <v>42</v>
      </c>
      <c r="N1533" s="52" t="s">
        <v>1926</v>
      </c>
      <c r="O1533" s="51" t="e">
        <f>VLOOKUP(N1533,[2]!RUBROS[#All],3,0)</f>
        <v>#REF!</v>
      </c>
      <c r="P1533" s="53" t="e">
        <f>VLOOKUP(N1533,[2]!RUBROS[#All],2,0)</f>
        <v>#REF!</v>
      </c>
      <c r="Q1533" s="47" t="str">
        <f>+MID(N1533,11,2)</f>
        <v>77</v>
      </c>
      <c r="R1533" s="47" t="str">
        <f>+MID(N1533,14,8)</f>
        <v>0-101024</v>
      </c>
      <c r="S1533" s="339" t="s">
        <v>42</v>
      </c>
      <c r="T1533" s="59" t="s">
        <v>42</v>
      </c>
      <c r="U1533" s="326" t="e">
        <f ca="1">_xlfn.XLOOKUP(PAA_4[[#This Row],[ITEM]],[2]Contrato!A:A,[2]Contrato!Q:Q,"",0)</f>
        <v>#NAME?</v>
      </c>
      <c r="V1533" s="47" t="s">
        <v>95</v>
      </c>
      <c r="W1533" s="47" t="s">
        <v>42</v>
      </c>
      <c r="X1533" s="47" t="s">
        <v>42</v>
      </c>
      <c r="Y1533" s="55" t="e">
        <f ca="1">_xlfn.XLOOKUP(PAA_4[[#This Row],[ITEM]],[2]Contrato!A:A,[2]Contrato!B:B,"",0)</f>
        <v>#NAME?</v>
      </c>
      <c r="Z1533" s="47" t="e">
        <f ca="1">_xlfn.XLOOKUP(PAA_4[[#This Row],[ITEM]],[2]Contrato!A:A,[2]Contrato!G:G,"",0)</f>
        <v>#NAME?</v>
      </c>
      <c r="AA1533" s="47" t="e">
        <f ca="1">_xlfn.XLOOKUP(PAA_4[[#This Row],[ITEM]],[2]Contrato!A:A,[2]Contrato!T:T,"",0)</f>
        <v>#NAME?</v>
      </c>
      <c r="AB1533" s="55" t="e">
        <f ca="1">+MAX(PAA_4[[#This Row],[Comprometido Contrato]],PAA_4[[#This Row],[Comprometido Bolsa]])</f>
        <v>#NAME?</v>
      </c>
      <c r="AC1533" s="55" t="str">
        <f ca="1">IFERROR(I1533-AB1533,"")</f>
        <v/>
      </c>
      <c r="AD1533" s="55" t="e">
        <f ca="1">IF(PAA_4[[#This Row],[ESTADO (formulado)]]="NO CONTRATADO",0,MAX(PAA_4[[#This Row],[Pago por Contrato]],PAA_4[[#This Row],[Pago por bolsa]]))</f>
        <v>#NAME?</v>
      </c>
      <c r="AE1533" s="55" t="str">
        <f ca="1">+IFERROR(AB1533-AD1533,"")</f>
        <v/>
      </c>
      <c r="AF1533" s="47" t="e">
        <f ca="1">+CONCATENATE(AA1533,N1533)</f>
        <v>#NAME?</v>
      </c>
      <c r="AG1533" s="47">
        <f>IFERROR(_xlfn.NUMBERVALUE(MID(G1533,1,8)),"")</f>
        <v>52011001</v>
      </c>
      <c r="AH1533" s="54">
        <f>IF(Q1533="22",IF(ISNUMBER(SEARCH("econ",PAA_4[[#This Row],[Actividad3]])),"Económico",IF(ISNUMBER(SEARCH("alim",PAA_4[[#This Row],[Actividad3]])),"Alimentación",IF(ISNUMBER(SEARCH("educ",PAA_4[[#This Row],[Actividad3]])),"Educativo","Técnico"))),0)</f>
        <v>0</v>
      </c>
      <c r="AI1533" s="47" t="e" cm="1">
        <f t="array" aca="1" ref="AI1533" ca="1">_xlfn.XLOOKUP(PAA_4[[#This Row],[RCP-RUBRO]],[2]!COMPROMISOS_2024[[#All],[concatenado]],[2]!COMPROMISOS_2024[[#All],[Total pagado]],"",0)</f>
        <v>#NAME?</v>
      </c>
      <c r="AJ1533" s="56">
        <f>IF(PAA_4[[#This Row],[BOLSA]]=0,0,SUMIFS([2]!COMPROMISOS_2024[[#All],[Total pagado]],[2]!COMPROMISOS_2024[[#All],[Bolsa]],PAA_4[[#This Row],[BOLSA]],[2]!COMPROMISOS_2024[[#All],[rubro]],PAA_4[[#This Row],[RCP-RUBRO]]))</f>
        <v>0</v>
      </c>
      <c r="AK1533" s="47" t="e" cm="1">
        <f t="array" aca="1" ref="AK1533" ca="1">_xlfn.XLOOKUP(PAA_4[[#This Row],[RCP-RUBRO]],[2]!COMPROMISOS_2024[[#All],[concatenado]],[2]!COMPROMISOS_2024[[#All],[Total Comprometido]],"",0)</f>
        <v>#NAME?</v>
      </c>
      <c r="AL1533" s="47">
        <f>IF(PAA_4[[#This Row],[BOLSA]]=0,0,SUMIFS([2]!COMPROMISOS_2024[[#All],[Total Comprometido]],[2]!COMPROMISOS_2024[[#All],[Bolsa]],PAA_4[[#This Row],[BOLSA]],[2]!COMPROMISOS_2024[[#All],[concatenado]],PAA_4[[#This Row],[RCP-RUBRO]]))</f>
        <v>0</v>
      </c>
    </row>
    <row r="1534" spans="1:38" s="19" customFormat="1" ht="31.5" customHeight="1">
      <c r="A1534" s="47">
        <v>1206</v>
      </c>
      <c r="B1534" s="47">
        <v>80111600</v>
      </c>
      <c r="C1534" s="47" t="str">
        <f>VLOOKUP(PAA_4[[#This Row],[PROYECTO (formulado)2]],[2]PROYECTOS!$G$1:$L$32,6,0)</f>
        <v>SUBGERENCIA ADMINISTRATIVA Y FINANCIERA</v>
      </c>
      <c r="D1534" s="47" t="str">
        <f>+IF(PAA_4[[#This Row],[UNIDAD DE CONTRATACION (formulado)]]="Subgerencia Administrativa y Financiera","FUNCIONAMIENTO","INVERSIÓN")</f>
        <v>FUNCIONAMIENTO</v>
      </c>
      <c r="E1534" s="48" t="str">
        <f>VLOOKUP(Q1534,[2]PROYECTOS!$G$1:$K$32,5,0)</f>
        <v>Fortalecimiento de los sistemas de información y la gestión estratégica para el deporte, la recreación y la actividad física de Antioquia</v>
      </c>
      <c r="F1534" s="48">
        <f>VLOOKUP(E1534,[2]PROYECTOS!$K$1:$M$32,3,0)</f>
        <v>2024003050077</v>
      </c>
      <c r="G1534" s="49" t="s">
        <v>1925</v>
      </c>
      <c r="H1534" s="49" t="str">
        <f>VLOOKUP(Q1534,[2]PROYECTOS!$V$1:$W$32,2,0)</f>
        <v>220387</v>
      </c>
      <c r="I1534" s="78">
        <f>21533313-256349</f>
        <v>21276964</v>
      </c>
      <c r="J1534" s="51" t="s">
        <v>1927</v>
      </c>
      <c r="K1534" s="47" t="str">
        <f t="shared" ref="K1534:K1540" ca="1" si="531">IF(ISNONTEXT(Y1534)=TRUE,"CONTRATADO","NO CONTRATADO")</f>
        <v>CONTRATADO</v>
      </c>
      <c r="L1534" s="47" t="s">
        <v>94</v>
      </c>
      <c r="M1534" s="47" t="s">
        <v>1297</v>
      </c>
      <c r="N1534" s="52" t="s">
        <v>1926</v>
      </c>
      <c r="O1534" s="51" t="e">
        <f>VLOOKUP(N1534,[2]!RUBROS[#All],3,0)</f>
        <v>#REF!</v>
      </c>
      <c r="P1534" s="53" t="e">
        <f>VLOOKUP(N1534,[2]!RUBROS[#All],2,0)</f>
        <v>#REF!</v>
      </c>
      <c r="Q1534" s="47" t="str">
        <f t="shared" ref="Q1534:Q1540" si="532">+MID(N1534,11,2)</f>
        <v>77</v>
      </c>
      <c r="R1534" s="47" t="str">
        <f t="shared" ref="R1534:R1540" si="533">+MID(N1534,14,8)</f>
        <v>0-101024</v>
      </c>
      <c r="S1534" s="339">
        <v>2</v>
      </c>
      <c r="T1534" s="59" t="s">
        <v>46</v>
      </c>
      <c r="U1534" s="326" t="e">
        <f ca="1">_xlfn.XLOOKUP(PAA_4[[#This Row],[ITEM]],[2]Contrato!A:A,[2]Contrato!Q:Q,"",0)</f>
        <v>#NAME?</v>
      </c>
      <c r="V1534" s="47" t="s">
        <v>95</v>
      </c>
      <c r="W1534" s="47" t="s">
        <v>203</v>
      </c>
      <c r="X1534" s="47" t="s">
        <v>203</v>
      </c>
      <c r="Y1534" s="55" t="e">
        <f ca="1">_xlfn.XLOOKUP(PAA_4[[#This Row],[ITEM]],[2]Contrato!A:A,[2]Contrato!B:B,"",0)</f>
        <v>#NAME?</v>
      </c>
      <c r="Z1534" s="47" t="e">
        <f ca="1">_xlfn.XLOOKUP(PAA_4[[#This Row],[ITEM]],[2]Contrato!A:A,[2]Contrato!G:G,"",0)</f>
        <v>#NAME?</v>
      </c>
      <c r="AA1534" s="47" t="e">
        <f ca="1">_xlfn.XLOOKUP(PAA_4[[#This Row],[ITEM]],[2]Contrato!A:A,[2]Contrato!T:T,"",0)</f>
        <v>#NAME?</v>
      </c>
      <c r="AB1534" s="55" t="e">
        <f ca="1">+MAX(PAA_4[[#This Row],[Comprometido Contrato]],PAA_4[[#This Row],[Comprometido Bolsa]])</f>
        <v>#NAME?</v>
      </c>
      <c r="AC1534" s="55" t="str">
        <f t="shared" ref="AC1534:AC1540" ca="1" si="534">IFERROR(I1534-AB1534,"")</f>
        <v/>
      </c>
      <c r="AD1534" s="55" t="e">
        <f ca="1">IF(PAA_4[[#This Row],[ESTADO (formulado)]]="NO CONTRATADO",0,MAX(PAA_4[[#This Row],[Pago por Contrato]],PAA_4[[#This Row],[Pago por bolsa]]))</f>
        <v>#NAME?</v>
      </c>
      <c r="AE1534" s="55" t="str">
        <f t="shared" ref="AE1534:AE1540" ca="1" si="535">+IFERROR(AB1534-AD1534,"")</f>
        <v/>
      </c>
      <c r="AF1534" s="47" t="e">
        <f t="shared" ref="AF1534:AF1540" ca="1" si="536">+CONCATENATE(AA1534,N1534)</f>
        <v>#NAME?</v>
      </c>
      <c r="AG1534" s="47">
        <f t="shared" ref="AG1534:AG1540" si="537">IFERROR(_xlfn.NUMBERVALUE(MID(G1534,1,8)),"")</f>
        <v>52011001</v>
      </c>
      <c r="AH1534" s="54">
        <f>IF(Q1534="22",IF(ISNUMBER(SEARCH("econ",PAA_4[[#This Row],[Actividad3]])),"Económico",IF(ISNUMBER(SEARCH("alim",PAA_4[[#This Row],[Actividad3]])),"Alimentación",IF(ISNUMBER(SEARCH("educ",PAA_4[[#This Row],[Actividad3]])),"Educativo","Técnico"))),0)</f>
        <v>0</v>
      </c>
      <c r="AI1534" s="47" t="e" cm="1">
        <f t="array" aca="1" ref="AI1534" ca="1">_xlfn.XLOOKUP(PAA_4[[#This Row],[RCP-RUBRO]],[2]!COMPROMISOS_2024[[#All],[concatenado]],[2]!COMPROMISOS_2024[[#All],[Total pagado]],"",0)</f>
        <v>#NAME?</v>
      </c>
      <c r="AJ1534" s="56">
        <f>IF(PAA_4[[#This Row],[BOLSA]]=0,0,SUMIFS([2]!COMPROMISOS_2024[[#All],[Total pagado]],[2]!COMPROMISOS_2024[[#All],[Bolsa]],PAA_4[[#This Row],[BOLSA]],[2]!COMPROMISOS_2024[[#All],[rubro]],PAA_4[[#This Row],[RCP-RUBRO]]))</f>
        <v>0</v>
      </c>
      <c r="AK1534" s="47" t="e" cm="1">
        <f t="array" aca="1" ref="AK1534" ca="1">_xlfn.XLOOKUP(PAA_4[[#This Row],[RCP-RUBRO]],[2]!COMPROMISOS_2024[[#All],[concatenado]],[2]!COMPROMISOS_2024[[#All],[Total Comprometido]],"",0)</f>
        <v>#NAME?</v>
      </c>
      <c r="AL1534" s="47">
        <f>IF(PAA_4[[#This Row],[BOLSA]]=0,0,SUMIFS([2]!COMPROMISOS_2024[[#All],[Total Comprometido]],[2]!COMPROMISOS_2024[[#All],[Bolsa]],PAA_4[[#This Row],[BOLSA]],[2]!COMPROMISOS_2024[[#All],[concatenado]],PAA_4[[#This Row],[RCP-RUBRO]]))</f>
        <v>0</v>
      </c>
    </row>
    <row r="1535" spans="1:38" s="19" customFormat="1" ht="31.5" customHeight="1">
      <c r="A1535" s="54">
        <v>1207</v>
      </c>
      <c r="B1535" s="54">
        <v>43231513</v>
      </c>
      <c r="C1535" s="47" t="str">
        <f>VLOOKUP(PAA_4[[#This Row],[PROYECTO (formulado)2]],[2]PROYECTOS!$G$1:$L$32,6,0)</f>
        <v>SUBGERENCIA ADMINISTRATIVA Y FINANCIERA</v>
      </c>
      <c r="D1535" s="54" t="str">
        <f>+IF(PAA_4[[#This Row],[UNIDAD DE CONTRATACION (formulado)]]="Subgerencia Administrativa y Financiera","FUNCIONAMIENTO","INVERSIÓN")</f>
        <v>FUNCIONAMIENTO</v>
      </c>
      <c r="E1535" s="331" t="str">
        <f>VLOOKUP(Q1535,[2]PROYECTOS!$G$1:$K$32,5,0)</f>
        <v>Fortalecimiento de los sistemas de información y la gestión estratégica para el deporte, la recreación y la actividad física de Antioquia</v>
      </c>
      <c r="F1535" s="331">
        <f>VLOOKUP(E1535,[2]PROYECTOS!$K$1:$M$32,3,0)</f>
        <v>2024003050077</v>
      </c>
      <c r="G1535" s="332" t="s">
        <v>1925</v>
      </c>
      <c r="H1535" s="332" t="str">
        <f>VLOOKUP(Q1535,[2]PROYECTOS!$V$1:$W$32,2,0)</f>
        <v>220387</v>
      </c>
      <c r="I1535" s="78">
        <v>109573822</v>
      </c>
      <c r="J1535" s="330" t="s">
        <v>1486</v>
      </c>
      <c r="K1535" s="54" t="str">
        <f t="shared" ca="1" si="531"/>
        <v>CONTRATADO</v>
      </c>
      <c r="L1535" s="54" t="s">
        <v>94</v>
      </c>
      <c r="M1535" s="54" t="s">
        <v>89</v>
      </c>
      <c r="N1535" s="79" t="s">
        <v>1928</v>
      </c>
      <c r="O1535" s="330" t="e">
        <f>VLOOKUP(N1535,[2]!RUBROS[#All],3,0)</f>
        <v>#REF!</v>
      </c>
      <c r="P1535" s="330" t="e">
        <f>VLOOKUP(N1535,[2]!RUBROS[#All],2,0)</f>
        <v>#REF!</v>
      </c>
      <c r="Q1535" s="54" t="str">
        <f t="shared" si="532"/>
        <v>77</v>
      </c>
      <c r="R1535" s="47" t="str">
        <f t="shared" si="533"/>
        <v>4-101124</v>
      </c>
      <c r="S1535" s="339">
        <v>1</v>
      </c>
      <c r="T1535" s="59" t="s">
        <v>46</v>
      </c>
      <c r="U1535" s="335" t="e">
        <f ca="1">_xlfn.XLOOKUP(PAA_4[[#This Row],[ITEM]],[2]Contrato!A:A,[2]Contrato!Q:Q,"",0)</f>
        <v>#NAME?</v>
      </c>
      <c r="V1535" s="54" t="s">
        <v>95</v>
      </c>
      <c r="W1535" s="54" t="s">
        <v>201</v>
      </c>
      <c r="X1535" s="54" t="s">
        <v>201</v>
      </c>
      <c r="Y1535" s="336" t="e">
        <f ca="1">_xlfn.XLOOKUP(PAA_4[[#This Row],[ITEM]],[2]Contrato!A:A,[2]Contrato!B:B,"",0)</f>
        <v>#NAME?</v>
      </c>
      <c r="Z1535" s="54" t="e">
        <f ca="1">_xlfn.XLOOKUP(PAA_4[[#This Row],[ITEM]],[2]Contrato!A:A,[2]Contrato!G:G,"",0)</f>
        <v>#NAME?</v>
      </c>
      <c r="AA1535" s="54" t="e">
        <f ca="1">_xlfn.XLOOKUP(PAA_4[[#This Row],[ITEM]],[2]Contrato!A:A,[2]Contrato!T:T,"",0)</f>
        <v>#NAME?</v>
      </c>
      <c r="AB1535" s="336" t="e">
        <f ca="1">+MAX(PAA_4[[#This Row],[Comprometido Contrato]],PAA_4[[#This Row],[Comprometido Bolsa]])</f>
        <v>#NAME?</v>
      </c>
      <c r="AC1535" s="336" t="str">
        <f t="shared" ca="1" si="534"/>
        <v/>
      </c>
      <c r="AD1535" s="336" t="e">
        <f ca="1">IF(PAA_4[[#This Row],[ESTADO (formulado)]]="NO CONTRATADO",0,MAX(PAA_4[[#This Row],[Pago por Contrato]],PAA_4[[#This Row],[Pago por bolsa]]))</f>
        <v>#NAME?</v>
      </c>
      <c r="AE1535" s="336" t="str">
        <f t="shared" ca="1" si="535"/>
        <v/>
      </c>
      <c r="AF1535" s="54" t="e">
        <f t="shared" ca="1" si="536"/>
        <v>#NAME?</v>
      </c>
      <c r="AG1535" s="54">
        <f t="shared" si="537"/>
        <v>52011001</v>
      </c>
      <c r="AH1535" s="54">
        <f>IF(Q1535="22",IF(ISNUMBER(SEARCH("econ",PAA_4[[#This Row],[Actividad3]])),"Económico",IF(ISNUMBER(SEARCH("alim",PAA_4[[#This Row],[Actividad3]])),"Alimentación",IF(ISNUMBER(SEARCH("educ",PAA_4[[#This Row],[Actividad3]])),"Educativo","Técnico"))),0)</f>
        <v>0</v>
      </c>
      <c r="AI1535" s="54" t="e" cm="1">
        <f t="array" aca="1" ref="AI1535" ca="1">_xlfn.XLOOKUP(PAA_4[[#This Row],[RCP-RUBRO]],[2]!COMPROMISOS_2024[[#All],[concatenado]],[2]!COMPROMISOS_2024[[#All],[Total pagado]],"",0)</f>
        <v>#NAME?</v>
      </c>
      <c r="AJ1535" s="337">
        <f>IF(PAA_4[[#This Row],[BOLSA]]=0,0,SUMIFS([2]!COMPROMISOS_2024[[#All],[Total pagado]],[2]!COMPROMISOS_2024[[#All],[Bolsa]],PAA_4[[#This Row],[BOLSA]],[2]!COMPROMISOS_2024[[#All],[rubro]],PAA_4[[#This Row],[RCP-RUBRO]]))</f>
        <v>0</v>
      </c>
      <c r="AK1535" s="54" t="e" cm="1">
        <f t="array" aca="1" ref="AK1535" ca="1">_xlfn.XLOOKUP(PAA_4[[#This Row],[RCP-RUBRO]],[2]!COMPROMISOS_2024[[#All],[concatenado]],[2]!COMPROMISOS_2024[[#All],[Total Comprometido]],"",0)</f>
        <v>#NAME?</v>
      </c>
      <c r="AL1535" s="54">
        <f>IF(PAA_4[[#This Row],[BOLSA]]=0,0,SUMIFS([2]!COMPROMISOS_2024[[#All],[Total Comprometido]],[2]!COMPROMISOS_2024[[#All],[Bolsa]],PAA_4[[#This Row],[BOLSA]],[2]!COMPROMISOS_2024[[#All],[concatenado]],PAA_4[[#This Row],[RCP-RUBRO]]))</f>
        <v>0</v>
      </c>
    </row>
    <row r="1536" spans="1:38" s="19" customFormat="1" ht="31.5" customHeight="1">
      <c r="A1536" s="54">
        <v>1207</v>
      </c>
      <c r="B1536" s="54">
        <v>43231514</v>
      </c>
      <c r="C1536" s="47" t="str">
        <f>VLOOKUP(PAA_4[[#This Row],[PROYECTO (formulado)2]],[2]PROYECTOS!$G$1:$L$32,6,0)</f>
        <v>SUBGERENCIA ADMINISTRATIVA Y FINANCIERA</v>
      </c>
      <c r="D1536" s="54" t="str">
        <f>+IF(PAA_4[[#This Row],[UNIDAD DE CONTRATACION (formulado)]]="Subgerencia Administrativa y Financiera","FUNCIONAMIENTO","INVERSIÓN")</f>
        <v>FUNCIONAMIENTO</v>
      </c>
      <c r="E1536" s="331" t="str">
        <f>VLOOKUP(Q1536,[2]PROYECTOS!$G$1:$K$32,5,0)</f>
        <v>Fortalecimiento de los sistemas de información y la gestión estratégica para el deporte, la recreación y la actividad física de Antioquia</v>
      </c>
      <c r="F1536" s="331">
        <f>VLOOKUP(E1536,[2]PROYECTOS!$K$1:$M$32,3,0)</f>
        <v>2024003050077</v>
      </c>
      <c r="G1536" s="332" t="s">
        <v>1925</v>
      </c>
      <c r="H1536" s="332" t="str">
        <f>VLOOKUP(Q1536,[2]PROYECTOS!$V$1:$W$32,2,0)</f>
        <v>220387</v>
      </c>
      <c r="I1536" s="78">
        <v>85629774</v>
      </c>
      <c r="J1536" s="330" t="s">
        <v>1486</v>
      </c>
      <c r="K1536" s="54" t="str">
        <f t="shared" ca="1" si="531"/>
        <v>CONTRATADO</v>
      </c>
      <c r="L1536" s="54" t="s">
        <v>94</v>
      </c>
      <c r="M1536" s="54" t="s">
        <v>89</v>
      </c>
      <c r="N1536" s="79" t="s">
        <v>1926</v>
      </c>
      <c r="O1536" s="330" t="e">
        <f>VLOOKUP(N1536,[2]!RUBROS[#All],3,0)</f>
        <v>#REF!</v>
      </c>
      <c r="P1536" s="330" t="e">
        <f>VLOOKUP(N1536,[2]!RUBROS[#All],2,0)</f>
        <v>#REF!</v>
      </c>
      <c r="Q1536" s="54" t="str">
        <f t="shared" si="532"/>
        <v>77</v>
      </c>
      <c r="R1536" s="47" t="str">
        <f t="shared" si="533"/>
        <v>0-101024</v>
      </c>
      <c r="S1536" s="339">
        <v>1</v>
      </c>
      <c r="T1536" s="59" t="s">
        <v>46</v>
      </c>
      <c r="U1536" s="335" t="e">
        <f ca="1">_xlfn.XLOOKUP(PAA_4[[#This Row],[ITEM]],[2]Contrato!A:A,[2]Contrato!Q:Q,"",0)</f>
        <v>#NAME?</v>
      </c>
      <c r="V1536" s="54" t="s">
        <v>95</v>
      </c>
      <c r="W1536" s="54" t="s">
        <v>201</v>
      </c>
      <c r="X1536" s="54" t="s">
        <v>201</v>
      </c>
      <c r="Y1536" s="336" t="e">
        <f ca="1">_xlfn.XLOOKUP(PAA_4[[#This Row],[ITEM]],[2]Contrato!A:A,[2]Contrato!B:B,"",0)</f>
        <v>#NAME?</v>
      </c>
      <c r="Z1536" s="54" t="e">
        <f ca="1">_xlfn.XLOOKUP(PAA_4[[#This Row],[ITEM]],[2]Contrato!A:A,[2]Contrato!G:G,"",0)</f>
        <v>#NAME?</v>
      </c>
      <c r="AA1536" s="54" t="e">
        <f ca="1">_xlfn.XLOOKUP(PAA_4[[#This Row],[ITEM]],[2]Contrato!A:A,[2]Contrato!T:T,"",0)</f>
        <v>#NAME?</v>
      </c>
      <c r="AB1536" s="336" t="e">
        <f ca="1">+MAX(PAA_4[[#This Row],[Comprometido Contrato]],PAA_4[[#This Row],[Comprometido Bolsa]])</f>
        <v>#NAME?</v>
      </c>
      <c r="AC1536" s="336" t="str">
        <f t="shared" ca="1" si="534"/>
        <v/>
      </c>
      <c r="AD1536" s="336" t="e">
        <f ca="1">IF(PAA_4[[#This Row],[ESTADO (formulado)]]="NO CONTRATADO",0,MAX(PAA_4[[#This Row],[Pago por Contrato]],PAA_4[[#This Row],[Pago por bolsa]]))</f>
        <v>#NAME?</v>
      </c>
      <c r="AE1536" s="336" t="str">
        <f t="shared" ca="1" si="535"/>
        <v/>
      </c>
      <c r="AF1536" s="54" t="e">
        <f t="shared" ca="1" si="536"/>
        <v>#NAME?</v>
      </c>
      <c r="AG1536" s="54">
        <f t="shared" si="537"/>
        <v>52011001</v>
      </c>
      <c r="AH1536" s="54">
        <f>IF(Q1536="22",IF(ISNUMBER(SEARCH("econ",PAA_4[[#This Row],[Actividad3]])),"Económico",IF(ISNUMBER(SEARCH("alim",PAA_4[[#This Row],[Actividad3]])),"Alimentación",IF(ISNUMBER(SEARCH("educ",PAA_4[[#This Row],[Actividad3]])),"Educativo","Técnico"))),0)</f>
        <v>0</v>
      </c>
      <c r="AI1536" s="54" t="e" cm="1">
        <f t="array" aca="1" ref="AI1536" ca="1">_xlfn.XLOOKUP(PAA_4[[#This Row],[RCP-RUBRO]],[2]!COMPROMISOS_2024[[#All],[concatenado]],[2]!COMPROMISOS_2024[[#All],[Total pagado]],"",0)</f>
        <v>#NAME?</v>
      </c>
      <c r="AJ1536" s="337">
        <f>IF(PAA_4[[#This Row],[BOLSA]]=0,0,SUMIFS([2]!COMPROMISOS_2024[[#All],[Total pagado]],[2]!COMPROMISOS_2024[[#All],[Bolsa]],PAA_4[[#This Row],[BOLSA]],[2]!COMPROMISOS_2024[[#All],[rubro]],PAA_4[[#This Row],[RCP-RUBRO]]))</f>
        <v>0</v>
      </c>
      <c r="AK1536" s="54" t="e" cm="1">
        <f t="array" aca="1" ref="AK1536" ca="1">_xlfn.XLOOKUP(PAA_4[[#This Row],[RCP-RUBRO]],[2]!COMPROMISOS_2024[[#All],[concatenado]],[2]!COMPROMISOS_2024[[#All],[Total Comprometido]],"",0)</f>
        <v>#NAME?</v>
      </c>
      <c r="AL1536" s="54">
        <f>IF(PAA_4[[#This Row],[BOLSA]]=0,0,SUMIFS([2]!COMPROMISOS_2024[[#All],[Total Comprometido]],[2]!COMPROMISOS_2024[[#All],[Bolsa]],PAA_4[[#This Row],[BOLSA]],[2]!COMPROMISOS_2024[[#All],[concatenado]],PAA_4[[#This Row],[RCP-RUBRO]]))</f>
        <v>0</v>
      </c>
    </row>
    <row r="1537" spans="1:38" s="19" customFormat="1" ht="31.5" customHeight="1">
      <c r="A1537" s="54">
        <v>1207</v>
      </c>
      <c r="B1537" s="54">
        <v>43231514</v>
      </c>
      <c r="C1537" s="47" t="str">
        <f>VLOOKUP(PAA_4[[#This Row],[PROYECTO (formulado)2]],[2]PROYECTOS!$G$1:$L$32,6,0)</f>
        <v>SUBGERENCIA ADMINISTRATIVA Y FINANCIERA</v>
      </c>
      <c r="D1537" s="54" t="str">
        <f>+IF(PAA_4[[#This Row],[UNIDAD DE CONTRATACION (formulado)]]="Subgerencia Administrativa y Financiera","FUNCIONAMIENTO","INVERSIÓN")</f>
        <v>FUNCIONAMIENTO</v>
      </c>
      <c r="E1537" s="331" t="str">
        <f>VLOOKUP(Q1537,[2]PROYECTOS!$G$1:$K$32,5,0)</f>
        <v>Fortalecimiento de los sistemas de información y la gestión estratégica para el deporte, la recreación y la actividad física de Antioquia</v>
      </c>
      <c r="F1537" s="331">
        <f>VLOOKUP(E1537,[2]PROYECTOS!$K$1:$M$32,3,0)</f>
        <v>2024003050077</v>
      </c>
      <c r="G1537" s="332" t="s">
        <v>1929</v>
      </c>
      <c r="H1537" s="332" t="str">
        <f>VLOOKUP(Q1537,[2]PROYECTOS!$V$1:$W$32,2,0)</f>
        <v>220387</v>
      </c>
      <c r="I1537" s="78">
        <v>77938590</v>
      </c>
      <c r="J1537" s="330" t="s">
        <v>1486</v>
      </c>
      <c r="K1537" s="54" t="str">
        <f t="shared" ca="1" si="531"/>
        <v>CONTRATADO</v>
      </c>
      <c r="L1537" s="54" t="s">
        <v>94</v>
      </c>
      <c r="M1537" s="54" t="s">
        <v>89</v>
      </c>
      <c r="N1537" s="79" t="s">
        <v>1930</v>
      </c>
      <c r="O1537" s="330" t="e">
        <f>VLOOKUP(N1537,[2]!RUBROS[#All],3,0)</f>
        <v>#REF!</v>
      </c>
      <c r="P1537" s="330" t="e">
        <f>VLOOKUP(N1537,[2]!RUBROS[#All],2,0)</f>
        <v>#REF!</v>
      </c>
      <c r="Q1537" s="54" t="str">
        <f t="shared" si="532"/>
        <v>77</v>
      </c>
      <c r="R1537" s="47" t="str">
        <f t="shared" si="533"/>
        <v>0-205128</v>
      </c>
      <c r="S1537" s="339">
        <v>1</v>
      </c>
      <c r="T1537" s="59" t="s">
        <v>46</v>
      </c>
      <c r="U1537" s="335" t="e">
        <f ca="1">_xlfn.XLOOKUP(PAA_4[[#This Row],[ITEM]],[2]Contrato!A:A,[2]Contrato!Q:Q,"",0)</f>
        <v>#NAME?</v>
      </c>
      <c r="V1537" s="54" t="s">
        <v>95</v>
      </c>
      <c r="W1537" s="54" t="s">
        <v>201</v>
      </c>
      <c r="X1537" s="54" t="s">
        <v>201</v>
      </c>
      <c r="Y1537" s="336" t="e">
        <f ca="1">_xlfn.XLOOKUP(PAA_4[[#This Row],[ITEM]],[2]Contrato!A:A,[2]Contrato!B:B,"",0)</f>
        <v>#NAME?</v>
      </c>
      <c r="Z1537" s="54" t="e">
        <f ca="1">_xlfn.XLOOKUP(PAA_4[[#This Row],[ITEM]],[2]Contrato!A:A,[2]Contrato!G:G,"",0)</f>
        <v>#NAME?</v>
      </c>
      <c r="AA1537" s="54" t="e">
        <f ca="1">_xlfn.XLOOKUP(PAA_4[[#This Row],[ITEM]],[2]Contrato!A:A,[2]Contrato!T:T,"",0)</f>
        <v>#NAME?</v>
      </c>
      <c r="AB1537" s="336" t="e">
        <f ca="1">+MAX(PAA_4[[#This Row],[Comprometido Contrato]],PAA_4[[#This Row],[Comprometido Bolsa]])</f>
        <v>#NAME?</v>
      </c>
      <c r="AC1537" s="336" t="str">
        <f t="shared" ca="1" si="534"/>
        <v/>
      </c>
      <c r="AD1537" s="336" t="e">
        <f ca="1">IF(PAA_4[[#This Row],[ESTADO (formulado)]]="NO CONTRATADO",0,MAX(PAA_4[[#This Row],[Pago por Contrato]],PAA_4[[#This Row],[Pago por bolsa]]))</f>
        <v>#NAME?</v>
      </c>
      <c r="AE1537" s="336" t="str">
        <f t="shared" ca="1" si="535"/>
        <v/>
      </c>
      <c r="AF1537" s="54" t="e">
        <f t="shared" ca="1" si="536"/>
        <v>#NAME?</v>
      </c>
      <c r="AG1537" s="54">
        <f t="shared" si="537"/>
        <v>52011001</v>
      </c>
      <c r="AH1537" s="54">
        <f>IF(Q1537="22",IF(ISNUMBER(SEARCH("econ",PAA_4[[#This Row],[Actividad3]])),"Económico",IF(ISNUMBER(SEARCH("alim",PAA_4[[#This Row],[Actividad3]])),"Alimentación",IF(ISNUMBER(SEARCH("educ",PAA_4[[#This Row],[Actividad3]])),"Educativo","Técnico"))),0)</f>
        <v>0</v>
      </c>
      <c r="AI1537" s="54" t="e" cm="1">
        <f t="array" aca="1" ref="AI1537" ca="1">_xlfn.XLOOKUP(PAA_4[[#This Row],[RCP-RUBRO]],[2]!COMPROMISOS_2024[[#All],[concatenado]],[2]!COMPROMISOS_2024[[#All],[Total pagado]],"",0)</f>
        <v>#NAME?</v>
      </c>
      <c r="AJ1537" s="337">
        <f>IF(PAA_4[[#This Row],[BOLSA]]=0,0,SUMIFS([2]!COMPROMISOS_2024[[#All],[Total pagado]],[2]!COMPROMISOS_2024[[#All],[Bolsa]],PAA_4[[#This Row],[BOLSA]],[2]!COMPROMISOS_2024[[#All],[rubro]],PAA_4[[#This Row],[RCP-RUBRO]]))</f>
        <v>0</v>
      </c>
      <c r="AK1537" s="54" t="e" cm="1">
        <f t="array" aca="1" ref="AK1537" ca="1">_xlfn.XLOOKUP(PAA_4[[#This Row],[RCP-RUBRO]],[2]!COMPROMISOS_2024[[#All],[concatenado]],[2]!COMPROMISOS_2024[[#All],[Total Comprometido]],"",0)</f>
        <v>#NAME?</v>
      </c>
      <c r="AL1537" s="54">
        <f>IF(PAA_4[[#This Row],[BOLSA]]=0,0,SUMIFS([2]!COMPROMISOS_2024[[#All],[Total Comprometido]],[2]!COMPROMISOS_2024[[#All],[Bolsa]],PAA_4[[#This Row],[BOLSA]],[2]!COMPROMISOS_2024[[#All],[concatenado]],PAA_4[[#This Row],[RCP-RUBRO]]))</f>
        <v>0</v>
      </c>
    </row>
    <row r="1538" spans="1:38" s="19" customFormat="1" ht="42.75">
      <c r="A1538" s="54" t="s">
        <v>82</v>
      </c>
      <c r="B1538" s="54" t="s">
        <v>42</v>
      </c>
      <c r="C1538" s="47" t="str">
        <f>VLOOKUP(PAA_4[[#This Row],[PROYECTO (formulado)2]],[2]PROYECTOS!$G$1:$L$32,6,0)</f>
        <v>SUBGERENCIA ADMINISTRATIVA Y FINANCIERA</v>
      </c>
      <c r="D1538" s="54" t="str">
        <f>+IF(PAA_4[[#This Row],[UNIDAD DE CONTRATACION (formulado)]]="Subgerencia Administrativa y Financiera","FUNCIONAMIENTO","INVERSIÓN")</f>
        <v>FUNCIONAMIENTO</v>
      </c>
      <c r="E1538" s="331" t="str">
        <f>VLOOKUP(Q1538,[2]PROYECTOS!$G$1:$K$32,5,0)</f>
        <v>Fortalecimiento de los sistemas de información y la gestión estratégica para el deporte, la recreación y la actividad física de Antioquia</v>
      </c>
      <c r="F1538" s="331">
        <f>VLOOKUP(E1538,[2]PROYECTOS!$K$1:$M$32,3,0)</f>
        <v>2024003050077</v>
      </c>
      <c r="G1538" s="332" t="s">
        <v>1929</v>
      </c>
      <c r="H1538" s="332" t="str">
        <f>VLOOKUP(Q1538,[2]PROYECTOS!$V$1:$W$32,2,0)</f>
        <v>220387</v>
      </c>
      <c r="I1538" s="78">
        <v>69247838</v>
      </c>
      <c r="J1538" s="330" t="s">
        <v>1931</v>
      </c>
      <c r="K1538" s="54" t="str">
        <f t="shared" ca="1" si="531"/>
        <v>CONTRATADO</v>
      </c>
      <c r="L1538" s="54" t="s">
        <v>42</v>
      </c>
      <c r="M1538" s="54" t="s">
        <v>42</v>
      </c>
      <c r="N1538" s="79" t="s">
        <v>1926</v>
      </c>
      <c r="O1538" s="330" t="e">
        <f>VLOOKUP(N1538,[2]!RUBROS[#All],3,0)</f>
        <v>#REF!</v>
      </c>
      <c r="P1538" s="330" t="e">
        <f>VLOOKUP(N1538,[2]!RUBROS[#All],2,0)</f>
        <v>#REF!</v>
      </c>
      <c r="Q1538" s="54" t="str">
        <f t="shared" si="532"/>
        <v>77</v>
      </c>
      <c r="R1538" s="47" t="str">
        <f t="shared" si="533"/>
        <v>0-101024</v>
      </c>
      <c r="S1538" s="339" t="s">
        <v>42</v>
      </c>
      <c r="T1538" s="59" t="s">
        <v>42</v>
      </c>
      <c r="U1538" s="335" t="e">
        <f ca="1">_xlfn.XLOOKUP(PAA_4[[#This Row],[ITEM]],[2]Contrato!A:A,[2]Contrato!Q:Q,"",0)</f>
        <v>#NAME?</v>
      </c>
      <c r="V1538" s="54" t="s">
        <v>42</v>
      </c>
      <c r="W1538" s="54" t="s">
        <v>42</v>
      </c>
      <c r="X1538" s="54" t="s">
        <v>42</v>
      </c>
      <c r="Y1538" s="336" t="e">
        <f ca="1">_xlfn.XLOOKUP(PAA_4[[#This Row],[ITEM]],[2]Contrato!A:A,[2]Contrato!B:B,"",0)</f>
        <v>#NAME?</v>
      </c>
      <c r="Z1538" s="54" t="e">
        <f ca="1">_xlfn.XLOOKUP(PAA_4[[#This Row],[ITEM]],[2]Contrato!A:A,[2]Contrato!G:G,"",0)</f>
        <v>#NAME?</v>
      </c>
      <c r="AA1538" s="54" t="e">
        <f ca="1">_xlfn.XLOOKUP(PAA_4[[#This Row],[ITEM]],[2]Contrato!A:A,[2]Contrato!T:T,"",0)</f>
        <v>#NAME?</v>
      </c>
      <c r="AB1538" s="336" t="e">
        <f ca="1">+MAX(PAA_4[[#This Row],[Comprometido Contrato]],PAA_4[[#This Row],[Comprometido Bolsa]])</f>
        <v>#NAME?</v>
      </c>
      <c r="AC1538" s="336" t="str">
        <f t="shared" ca="1" si="534"/>
        <v/>
      </c>
      <c r="AD1538" s="336" t="e">
        <f ca="1">IF(PAA_4[[#This Row],[ESTADO (formulado)]]="NO CONTRATADO",0,MAX(PAA_4[[#This Row],[Pago por Contrato]],PAA_4[[#This Row],[Pago por bolsa]]))</f>
        <v>#NAME?</v>
      </c>
      <c r="AE1538" s="336" t="str">
        <f t="shared" ca="1" si="535"/>
        <v/>
      </c>
      <c r="AF1538" s="54" t="e">
        <f t="shared" ca="1" si="536"/>
        <v>#NAME?</v>
      </c>
      <c r="AG1538" s="54">
        <f t="shared" si="537"/>
        <v>52011001</v>
      </c>
      <c r="AH1538" s="54">
        <f>IF(Q1538="22",IF(ISNUMBER(SEARCH("econ",PAA_4[[#This Row],[Actividad3]])),"Económico",IF(ISNUMBER(SEARCH("alim",PAA_4[[#This Row],[Actividad3]])),"Alimentación",IF(ISNUMBER(SEARCH("educ",PAA_4[[#This Row],[Actividad3]])),"Educativo","Técnico"))),0)</f>
        <v>0</v>
      </c>
      <c r="AI1538" s="54" t="e" cm="1">
        <f t="array" aca="1" ref="AI1538" ca="1">_xlfn.XLOOKUP(PAA_4[[#This Row],[RCP-RUBRO]],[2]!COMPROMISOS_2024[[#All],[concatenado]],[2]!COMPROMISOS_2024[[#All],[Total pagado]],"",0)</f>
        <v>#NAME?</v>
      </c>
      <c r="AJ1538" s="337">
        <f>IF(PAA_4[[#This Row],[BOLSA]]=0,0,SUMIFS([2]!COMPROMISOS_2024[[#All],[Total pagado]],[2]!COMPROMISOS_2024[[#All],[Bolsa]],PAA_4[[#This Row],[BOLSA]],[2]!COMPROMISOS_2024[[#All],[rubro]],PAA_4[[#This Row],[RCP-RUBRO]]))</f>
        <v>0</v>
      </c>
      <c r="AK1538" s="54" t="e" cm="1">
        <f t="array" aca="1" ref="AK1538" ca="1">_xlfn.XLOOKUP(PAA_4[[#This Row],[RCP-RUBRO]],[2]!COMPROMISOS_2024[[#All],[concatenado]],[2]!COMPROMISOS_2024[[#All],[Total Comprometido]],"",0)</f>
        <v>#NAME?</v>
      </c>
      <c r="AL1538" s="54">
        <f>IF(PAA_4[[#This Row],[BOLSA]]=0,0,SUMIFS([2]!COMPROMISOS_2024[[#All],[Total Comprometido]],[2]!COMPROMISOS_2024[[#All],[Bolsa]],PAA_4[[#This Row],[BOLSA]],[2]!COMPROMISOS_2024[[#All],[concatenado]],PAA_4[[#This Row],[RCP-RUBRO]]))</f>
        <v>0</v>
      </c>
    </row>
    <row r="1539" spans="1:38" s="19" customFormat="1" ht="31.5" customHeight="1">
      <c r="A1539" s="54">
        <v>1263</v>
      </c>
      <c r="B1539" s="330" t="s">
        <v>1932</v>
      </c>
      <c r="C1539" s="47" t="str">
        <f>VLOOKUP(PAA_4[[#This Row],[PROYECTO (formulado)2]],[2]PROYECTOS!$G$1:$L$32,6,0)</f>
        <v>SUBGERENCIA ADMINISTRATIVA Y FINANCIERA</v>
      </c>
      <c r="D1539" s="54" t="str">
        <f>+IF(PAA_4[[#This Row],[UNIDAD DE CONTRATACION (formulado)]]="Subgerencia Administrativa y Financiera","FUNCIONAMIENTO","INVERSIÓN")</f>
        <v>FUNCIONAMIENTO</v>
      </c>
      <c r="E1539" s="331" t="str">
        <f>VLOOKUP(Q1539,[2]PROYECTOS!$G$1:$K$32,5,0)</f>
        <v>Fortalecimiento de los sistemas de información y la gestión estratégica para el deporte, la recreación y la actividad física de Antioquia</v>
      </c>
      <c r="F1539" s="331">
        <f>VLOOKUP(E1539,[2]PROYECTOS!$K$1:$M$32,3,0)</f>
        <v>2024003050077</v>
      </c>
      <c r="G1539" s="332" t="s">
        <v>1929</v>
      </c>
      <c r="H1539" s="332" t="str">
        <f>VLOOKUP(Q1539,[2]PROYECTOS!$V$1:$W$32,2,0)</f>
        <v>220387</v>
      </c>
      <c r="I1539" s="78">
        <f>285318280-69247838</f>
        <v>216070442</v>
      </c>
      <c r="J1539" s="330" t="s">
        <v>1494</v>
      </c>
      <c r="K1539" s="54" t="str">
        <f t="shared" ca="1" si="531"/>
        <v>CONTRATADO</v>
      </c>
      <c r="L1539" s="54" t="s">
        <v>1933</v>
      </c>
      <c r="M1539" s="54" t="s">
        <v>191</v>
      </c>
      <c r="N1539" s="79" t="s">
        <v>1926</v>
      </c>
      <c r="O1539" s="330" t="e">
        <f>VLOOKUP(N1539,[2]!RUBROS[#All],3,0)</f>
        <v>#REF!</v>
      </c>
      <c r="P1539" s="330" t="e">
        <f>VLOOKUP(N1539,[2]!RUBROS[#All],2,0)</f>
        <v>#REF!</v>
      </c>
      <c r="Q1539" s="54" t="str">
        <f t="shared" si="532"/>
        <v>77</v>
      </c>
      <c r="R1539" s="47" t="str">
        <f t="shared" si="533"/>
        <v>0-101024</v>
      </c>
      <c r="S1539" s="339">
        <v>1</v>
      </c>
      <c r="T1539" s="59" t="s">
        <v>46</v>
      </c>
      <c r="U1539" s="335" t="e">
        <f ca="1">_xlfn.XLOOKUP(PAA_4[[#This Row],[ITEM]],[2]Contrato!A:A,[2]Contrato!Q:Q,"",0)</f>
        <v>#NAME?</v>
      </c>
      <c r="V1539" s="54" t="s">
        <v>95</v>
      </c>
      <c r="W1539" s="54" t="s">
        <v>200</v>
      </c>
      <c r="X1539" s="54" t="s">
        <v>200</v>
      </c>
      <c r="Y1539" s="336" t="e">
        <f ca="1">_xlfn.XLOOKUP(PAA_4[[#This Row],[ITEM]],[2]Contrato!A:A,[2]Contrato!B:B,"",0)</f>
        <v>#NAME?</v>
      </c>
      <c r="Z1539" s="54" t="e">
        <f ca="1">_xlfn.XLOOKUP(PAA_4[[#This Row],[ITEM]],[2]Contrato!A:A,[2]Contrato!G:G,"",0)</f>
        <v>#NAME?</v>
      </c>
      <c r="AA1539" s="54" t="e">
        <f ca="1">_xlfn.XLOOKUP(PAA_4[[#This Row],[ITEM]],[2]Contrato!A:A,[2]Contrato!T:T,"",0)</f>
        <v>#NAME?</v>
      </c>
      <c r="AB1539" s="336" t="e">
        <f ca="1">+MAX(PAA_4[[#This Row],[Comprometido Contrato]],PAA_4[[#This Row],[Comprometido Bolsa]])</f>
        <v>#NAME?</v>
      </c>
      <c r="AC1539" s="336" t="str">
        <f t="shared" ca="1" si="534"/>
        <v/>
      </c>
      <c r="AD1539" s="336" t="e">
        <f ca="1">IF(PAA_4[[#This Row],[ESTADO (formulado)]]="NO CONTRATADO",0,MAX(PAA_4[[#This Row],[Pago por Contrato]],PAA_4[[#This Row],[Pago por bolsa]]))</f>
        <v>#NAME?</v>
      </c>
      <c r="AE1539" s="336" t="str">
        <f t="shared" ca="1" si="535"/>
        <v/>
      </c>
      <c r="AF1539" s="54" t="e">
        <f t="shared" ca="1" si="536"/>
        <v>#NAME?</v>
      </c>
      <c r="AG1539" s="54">
        <f t="shared" si="537"/>
        <v>52011001</v>
      </c>
      <c r="AH1539" s="54">
        <f>IF(Q1539="22",IF(ISNUMBER(SEARCH("econ",PAA_4[[#This Row],[Actividad3]])),"Económico",IF(ISNUMBER(SEARCH("alim",PAA_4[[#This Row],[Actividad3]])),"Alimentación",IF(ISNUMBER(SEARCH("educ",PAA_4[[#This Row],[Actividad3]])),"Educativo","Técnico"))),0)</f>
        <v>0</v>
      </c>
      <c r="AI1539" s="54" t="e" cm="1">
        <f t="array" aca="1" ref="AI1539" ca="1">_xlfn.XLOOKUP(PAA_4[[#This Row],[RCP-RUBRO]],[2]!COMPROMISOS_2024[[#All],[concatenado]],[2]!COMPROMISOS_2024[[#All],[Total pagado]],"",0)</f>
        <v>#NAME?</v>
      </c>
      <c r="AJ1539" s="337">
        <f>IF(PAA_4[[#This Row],[BOLSA]]=0,0,SUMIFS([2]!COMPROMISOS_2024[[#All],[Total pagado]],[2]!COMPROMISOS_2024[[#All],[Bolsa]],PAA_4[[#This Row],[BOLSA]],[2]!COMPROMISOS_2024[[#All],[rubro]],PAA_4[[#This Row],[RCP-RUBRO]]))</f>
        <v>0</v>
      </c>
      <c r="AK1539" s="54" t="e" cm="1">
        <f t="array" aca="1" ref="AK1539" ca="1">_xlfn.XLOOKUP(PAA_4[[#This Row],[RCP-RUBRO]],[2]!COMPROMISOS_2024[[#All],[concatenado]],[2]!COMPROMISOS_2024[[#All],[Total Comprometido]],"",0)</f>
        <v>#NAME?</v>
      </c>
      <c r="AL1539" s="54">
        <f>IF(PAA_4[[#This Row],[BOLSA]]=0,0,SUMIFS([2]!COMPROMISOS_2024[[#All],[Total Comprometido]],[2]!COMPROMISOS_2024[[#All],[Bolsa]],PAA_4[[#This Row],[BOLSA]],[2]!COMPROMISOS_2024[[#All],[concatenado]],PAA_4[[#This Row],[RCP-RUBRO]]))</f>
        <v>0</v>
      </c>
    </row>
    <row r="1540" spans="1:38" s="19" customFormat="1" ht="31.5" customHeight="1">
      <c r="A1540" s="54" t="s">
        <v>82</v>
      </c>
      <c r="B1540" s="330" t="s">
        <v>42</v>
      </c>
      <c r="C1540" s="47" t="str">
        <f>VLOOKUP(PAA_4[[#This Row],[PROYECTO (formulado)2]],[2]PROYECTOS!$G$1:$L$32,6,0)</f>
        <v>SUBGERENCIA ADMINISTRATIVA Y FINANCIERA</v>
      </c>
      <c r="D1540" s="54" t="str">
        <f>+IF(PAA_4[[#This Row],[UNIDAD DE CONTRATACION (formulado)]]="Subgerencia Administrativa y Financiera","FUNCIONAMIENTO","INVERSIÓN")</f>
        <v>FUNCIONAMIENTO</v>
      </c>
      <c r="E1540" s="331" t="str">
        <f>VLOOKUP(Q1540,[2]PROYECTOS!$G$1:$K$32,5,0)</f>
        <v>Fortalecimiento de los sistemas de información y la gestión estratégica para el deporte, la recreación y la actividad física de Antioquia</v>
      </c>
      <c r="F1540" s="331">
        <f>VLOOKUP(E1540,[2]PROYECTOS!$K$1:$M$32,3,0)</f>
        <v>2024003050077</v>
      </c>
      <c r="G1540" s="332" t="s">
        <v>1929</v>
      </c>
      <c r="H1540" s="332" t="str">
        <f>VLOOKUP(Q1540,[2]PROYECTOS!$V$1:$W$32,2,0)</f>
        <v>220387</v>
      </c>
      <c r="I1540" s="78">
        <v>0</v>
      </c>
      <c r="J1540" s="330" t="s">
        <v>42</v>
      </c>
      <c r="K1540" s="54" t="str">
        <f t="shared" ca="1" si="531"/>
        <v>CONTRATADO</v>
      </c>
      <c r="L1540" s="54" t="s">
        <v>1934</v>
      </c>
      <c r="M1540" s="54" t="s">
        <v>191</v>
      </c>
      <c r="N1540" s="79" t="s">
        <v>1926</v>
      </c>
      <c r="O1540" s="330" t="e">
        <f>VLOOKUP(N1540,[2]!RUBROS[#All],3,0)</f>
        <v>#REF!</v>
      </c>
      <c r="P1540" s="330" t="e">
        <f>VLOOKUP(N1540,[2]!RUBROS[#All],2,0)</f>
        <v>#REF!</v>
      </c>
      <c r="Q1540" s="54" t="str">
        <f t="shared" si="532"/>
        <v>77</v>
      </c>
      <c r="R1540" s="47" t="str">
        <f t="shared" si="533"/>
        <v>0-101024</v>
      </c>
      <c r="S1540" s="339" t="s">
        <v>42</v>
      </c>
      <c r="T1540" s="59" t="s">
        <v>42</v>
      </c>
      <c r="U1540" s="335" t="e">
        <f ca="1">_xlfn.XLOOKUP(PAA_4[[#This Row],[ITEM]],[2]Contrato!A:A,[2]Contrato!Q:Q,"",0)</f>
        <v>#NAME?</v>
      </c>
      <c r="V1540" s="54" t="s">
        <v>95</v>
      </c>
      <c r="W1540" s="54" t="s">
        <v>42</v>
      </c>
      <c r="X1540" s="54" t="s">
        <v>42</v>
      </c>
      <c r="Y1540" s="336" t="e">
        <f ca="1">_xlfn.XLOOKUP(PAA_4[[#This Row],[ITEM]],[2]Contrato!A:A,[2]Contrato!B:B,"",0)</f>
        <v>#NAME?</v>
      </c>
      <c r="Z1540" s="54" t="e">
        <f ca="1">_xlfn.XLOOKUP(PAA_4[[#This Row],[ITEM]],[2]Contrato!A:A,[2]Contrato!G:G,"",0)</f>
        <v>#NAME?</v>
      </c>
      <c r="AA1540" s="54" t="e">
        <f ca="1">_xlfn.XLOOKUP(PAA_4[[#This Row],[ITEM]],[2]Contrato!A:A,[2]Contrato!T:T,"",0)</f>
        <v>#NAME?</v>
      </c>
      <c r="AB1540" s="336" t="e">
        <f ca="1">+MAX(PAA_4[[#This Row],[Comprometido Contrato]],PAA_4[[#This Row],[Comprometido Bolsa]])</f>
        <v>#NAME?</v>
      </c>
      <c r="AC1540" s="336" t="str">
        <f t="shared" ca="1" si="534"/>
        <v/>
      </c>
      <c r="AD1540" s="336" t="e">
        <f ca="1">IF(PAA_4[[#This Row],[ESTADO (formulado)]]="NO CONTRATADO",0,MAX(PAA_4[[#This Row],[Pago por Contrato]],PAA_4[[#This Row],[Pago por bolsa]]))</f>
        <v>#NAME?</v>
      </c>
      <c r="AE1540" s="336" t="str">
        <f t="shared" ca="1" si="535"/>
        <v/>
      </c>
      <c r="AF1540" s="54" t="e">
        <f t="shared" ca="1" si="536"/>
        <v>#NAME?</v>
      </c>
      <c r="AG1540" s="54">
        <f t="shared" si="537"/>
        <v>52011001</v>
      </c>
      <c r="AH1540" s="54">
        <f>IF(Q1540="22",IF(ISNUMBER(SEARCH("econ",PAA_4[[#This Row],[Actividad3]])),"Económico",IF(ISNUMBER(SEARCH("alim",PAA_4[[#This Row],[Actividad3]])),"Alimentación",IF(ISNUMBER(SEARCH("educ",PAA_4[[#This Row],[Actividad3]])),"Educativo","Técnico"))),0)</f>
        <v>0</v>
      </c>
      <c r="AI1540" s="54" t="e" cm="1">
        <f t="array" aca="1" ref="AI1540" ca="1">_xlfn.XLOOKUP(PAA_4[[#This Row],[RCP-RUBRO]],[2]!COMPROMISOS_2024[[#All],[concatenado]],[2]!COMPROMISOS_2024[[#All],[Total pagado]],"",0)</f>
        <v>#NAME?</v>
      </c>
      <c r="AJ1540" s="337">
        <f>IF(PAA_4[[#This Row],[BOLSA]]=0,0,SUMIFS([2]!COMPROMISOS_2024[[#All],[Total pagado]],[2]!COMPROMISOS_2024[[#All],[Bolsa]],PAA_4[[#This Row],[BOLSA]],[2]!COMPROMISOS_2024[[#All],[rubro]],PAA_4[[#This Row],[RCP-RUBRO]]))</f>
        <v>0</v>
      </c>
      <c r="AK1540" s="54" t="e" cm="1">
        <f t="array" aca="1" ref="AK1540" ca="1">_xlfn.XLOOKUP(PAA_4[[#This Row],[RCP-RUBRO]],[2]!COMPROMISOS_2024[[#All],[concatenado]],[2]!COMPROMISOS_2024[[#All],[Total Comprometido]],"",0)</f>
        <v>#NAME?</v>
      </c>
      <c r="AL1540" s="54">
        <f>IF(PAA_4[[#This Row],[BOLSA]]=0,0,SUMIFS([2]!COMPROMISOS_2024[[#All],[Total Comprometido]],[2]!COMPROMISOS_2024[[#All],[Bolsa]],PAA_4[[#This Row],[BOLSA]],[2]!COMPROMISOS_2024[[#All],[concatenado]],PAA_4[[#This Row],[RCP-RUBRO]]))</f>
        <v>0</v>
      </c>
    </row>
    <row r="1541" spans="1:38" s="19" customFormat="1" ht="31.5" customHeight="1">
      <c r="A1541" s="47" t="s">
        <v>82</v>
      </c>
      <c r="B1541" s="51" t="s">
        <v>42</v>
      </c>
      <c r="C1541" s="47" t="str">
        <f>VLOOKUP(PAA_4[[#This Row],[PROYECTO (formulado)2]],[2]PROYECTOS!$G$1:$L$32,6,0)</f>
        <v>SUBGERENCIA ADMINISTRATIVA Y FINANCIERA</v>
      </c>
      <c r="D1541" s="54" t="str">
        <f>+IF(PAA_4[[#This Row],[UNIDAD DE CONTRATACION (formulado)]]="Subgerencia Administrativa y Financiera","FUNCIONAMIENTO","INVERSIÓN")</f>
        <v>FUNCIONAMIENTO</v>
      </c>
      <c r="E1541" s="331" t="str">
        <f>VLOOKUP(Q1541,[2]PROYECTOS!$G$1:$K$32,5,0)</f>
        <v>Fortalecimiento de los sistemas de información y la gestión estratégica para el deporte, la recreación y la actividad física de Antioquia</v>
      </c>
      <c r="F1541" s="331">
        <f>VLOOKUP(E1541,[2]PROYECTOS!$K$1:$M$32,3,0)</f>
        <v>2024003050077</v>
      </c>
      <c r="G1541" s="49" t="s">
        <v>1925</v>
      </c>
      <c r="H1541" s="332" t="str">
        <f>VLOOKUP(Q1541,[2]PROYECTOS!$V$1:$W$32,2,0)</f>
        <v>220387</v>
      </c>
      <c r="I1541" s="78">
        <v>2916</v>
      </c>
      <c r="J1541" s="51" t="s">
        <v>1467</v>
      </c>
      <c r="K1541" s="54" t="str">
        <f ca="1">IF(ISNONTEXT(Y1541)=TRUE,"CONTRATADO","NO CONTRATADO")</f>
        <v>CONTRATADO</v>
      </c>
      <c r="L1541" s="47" t="s">
        <v>42</v>
      </c>
      <c r="M1541" s="47" t="s">
        <v>42</v>
      </c>
      <c r="N1541" s="52" t="s">
        <v>1926</v>
      </c>
      <c r="O1541" s="330" t="e">
        <f>VLOOKUP(N1541,[2]!RUBROS[#All],3,0)</f>
        <v>#REF!</v>
      </c>
      <c r="P1541" s="330" t="e">
        <f>VLOOKUP(N1541,[2]!RUBROS[#All],2,0)</f>
        <v>#REF!</v>
      </c>
      <c r="Q1541" s="54" t="str">
        <f>+MID(N1541,11,2)</f>
        <v>77</v>
      </c>
      <c r="R1541" s="47" t="str">
        <f>+MID(N1541,14,8)</f>
        <v>0-101024</v>
      </c>
      <c r="S1541" s="339" t="s">
        <v>42</v>
      </c>
      <c r="T1541" s="59" t="s">
        <v>42</v>
      </c>
      <c r="U1541" s="335" t="e">
        <f ca="1">_xlfn.XLOOKUP(PAA_4[[#This Row],[ITEM]],[2]Contrato!A:A,[2]Contrato!Q:Q,"",0)</f>
        <v>#NAME?</v>
      </c>
      <c r="V1541" s="47" t="s">
        <v>95</v>
      </c>
      <c r="W1541" s="47" t="s">
        <v>42</v>
      </c>
      <c r="X1541" s="47" t="s">
        <v>42</v>
      </c>
      <c r="Y1541" s="336" t="e">
        <f ca="1">_xlfn.XLOOKUP(PAA_4[[#This Row],[ITEM]],[2]Contrato!A:A,[2]Contrato!B:B,"",0)</f>
        <v>#NAME?</v>
      </c>
      <c r="Z1541" s="54" t="e">
        <f ca="1">_xlfn.XLOOKUP(PAA_4[[#This Row],[ITEM]],[2]Contrato!A:A,[2]Contrato!G:G,"",0)</f>
        <v>#NAME?</v>
      </c>
      <c r="AA1541" s="54" t="e">
        <f ca="1">_xlfn.XLOOKUP(PAA_4[[#This Row],[ITEM]],[2]Contrato!A:A,[2]Contrato!T:T,"",0)</f>
        <v>#NAME?</v>
      </c>
      <c r="AB1541" s="336" t="e">
        <f ca="1">+MAX(PAA_4[[#This Row],[Comprometido Contrato]],PAA_4[[#This Row],[Comprometido Bolsa]])</f>
        <v>#NAME?</v>
      </c>
      <c r="AC1541" s="336" t="str">
        <f ca="1">IFERROR(I1541-AB1541,"")</f>
        <v/>
      </c>
      <c r="AD1541" s="336" t="e">
        <f ca="1">IF(PAA_4[[#This Row],[ESTADO (formulado)]]="NO CONTRATADO",0,MAX(PAA_4[[#This Row],[Pago por Contrato]],PAA_4[[#This Row],[Pago por bolsa]]))</f>
        <v>#NAME?</v>
      </c>
      <c r="AE1541" s="336" t="str">
        <f ca="1">+IFERROR(AB1541-AD1541,"")</f>
        <v/>
      </c>
      <c r="AF1541" s="54" t="e">
        <f ca="1">+CONCATENATE(AA1541,N1541)</f>
        <v>#NAME?</v>
      </c>
      <c r="AG1541" s="54">
        <f>IFERROR(_xlfn.NUMBERVALUE(MID(G1541,1,8)),"")</f>
        <v>52011001</v>
      </c>
      <c r="AH1541" s="54">
        <f>IF(Q1541="22",IF(ISNUMBER(SEARCH("econ",PAA_4[[#This Row],[Actividad3]])),"Económico",IF(ISNUMBER(SEARCH("alim",PAA_4[[#This Row],[Actividad3]])),"Alimentación",IF(ISNUMBER(SEARCH("educ",PAA_4[[#This Row],[Actividad3]])),"Educativo","Técnico"))),0)</f>
        <v>0</v>
      </c>
      <c r="AI1541" s="54" t="e" cm="1">
        <f t="array" aca="1" ref="AI1541" ca="1">_xlfn.XLOOKUP(PAA_4[[#This Row],[RCP-RUBRO]],[2]!COMPROMISOS_2024[[#All],[concatenado]],[2]!COMPROMISOS_2024[[#All],[Total pagado]],"",0)</f>
        <v>#NAME?</v>
      </c>
      <c r="AJ1541" s="337">
        <f>IF(PAA_4[[#This Row],[BOLSA]]=0,0,SUMIFS([2]!COMPROMISOS_2024[[#All],[Total pagado]],[2]!COMPROMISOS_2024[[#All],[Bolsa]],PAA_4[[#This Row],[BOLSA]],[2]!COMPROMISOS_2024[[#All],[rubro]],PAA_4[[#This Row],[RCP-RUBRO]]))</f>
        <v>0</v>
      </c>
      <c r="AK1541" s="54" t="e" cm="1">
        <f t="array" aca="1" ref="AK1541" ca="1">_xlfn.XLOOKUP(PAA_4[[#This Row],[RCP-RUBRO]],[2]!COMPROMISOS_2024[[#All],[concatenado]],[2]!COMPROMISOS_2024[[#All],[Total Comprometido]],"",0)</f>
        <v>#NAME?</v>
      </c>
      <c r="AL1541" s="54">
        <f>IF(PAA_4[[#This Row],[BOLSA]]=0,0,SUMIFS([2]!COMPROMISOS_2024[[#All],[Total Comprometido]],[2]!COMPROMISOS_2024[[#All],[Bolsa]],PAA_4[[#This Row],[BOLSA]],[2]!COMPROMISOS_2024[[#All],[concatenado]],PAA_4[[#This Row],[RCP-RUBRO]]))</f>
        <v>0</v>
      </c>
    </row>
    <row r="1542" spans="1:38" s="19" customFormat="1" ht="31.5" customHeight="1">
      <c r="A1542" s="47">
        <v>1241</v>
      </c>
      <c r="B1542" s="47">
        <v>80111600</v>
      </c>
      <c r="C1542" s="47" t="str">
        <f>VLOOKUP(PAA_4[[#This Row],[PROYECTO (formulado)2]],[2]PROYECTOS!$G$1:$L$32,6,0)</f>
        <v>SUBGERENCIA ADMINISTRATIVA Y FINANCIERA</v>
      </c>
      <c r="D1542" s="47" t="str">
        <f>+IF(PAA_4[[#This Row],[UNIDAD DE CONTRATACION (formulado)]]="Subgerencia Administrativa y Financiera","FUNCIONAMIENTO","INVERSIÓN")</f>
        <v>FUNCIONAMIENTO</v>
      </c>
      <c r="E1542" s="48" t="str">
        <f>VLOOKUP(Q1542,[2]PROYECTOS!$G$1:$K$32,5,0)</f>
        <v>Fortalecimiento de los sistemas de información y la gestión estratégica para el deporte, la recreación y la actividad física de Antioquia</v>
      </c>
      <c r="F1542" s="48">
        <f>VLOOKUP(E1542,[2]PROYECTOS!$K$1:$M$32,3,0)</f>
        <v>2024003050077</v>
      </c>
      <c r="G1542" s="49" t="s">
        <v>1925</v>
      </c>
      <c r="H1542" s="49" t="str">
        <f>VLOOKUP(Q1542,[2]PROYECTOS!$V$1:$W$32,2,0)</f>
        <v>220387</v>
      </c>
      <c r="I1542" s="78">
        <f>7647768-2916</f>
        <v>7644852</v>
      </c>
      <c r="J1542" s="51" t="s">
        <v>1935</v>
      </c>
      <c r="K1542" s="47" t="str">
        <f t="shared" ref="K1542:K1545" ca="1" si="538">IF(ISNONTEXT(Y1542)=TRUE,"CONTRATADO","NO CONTRATADO")</f>
        <v>CONTRATADO</v>
      </c>
      <c r="L1542" s="47" t="s">
        <v>94</v>
      </c>
      <c r="M1542" s="47" t="s">
        <v>1297</v>
      </c>
      <c r="N1542" s="52" t="s">
        <v>1926</v>
      </c>
      <c r="O1542" s="51" t="e">
        <f>VLOOKUP(N1542,[2]!RUBROS[#All],3,0)</f>
        <v>#REF!</v>
      </c>
      <c r="P1542" s="53" t="e">
        <f>VLOOKUP(N1542,[2]!RUBROS[#All],2,0)</f>
        <v>#REF!</v>
      </c>
      <c r="Q1542" s="47" t="str">
        <f t="shared" ref="Q1542:Q1545" si="539">+MID(N1542,11,2)</f>
        <v>77</v>
      </c>
      <c r="R1542" s="47" t="str">
        <f t="shared" ref="R1542:R1545" si="540">+MID(N1542,14,8)</f>
        <v>0-101024</v>
      </c>
      <c r="S1542" s="339">
        <v>1</v>
      </c>
      <c r="T1542" s="59" t="s">
        <v>46</v>
      </c>
      <c r="U1542" s="326" t="e">
        <f ca="1">_xlfn.XLOOKUP(PAA_4[[#This Row],[ITEM]],[2]Contrato!A:A,[2]Contrato!Q:Q,"",0)</f>
        <v>#NAME?</v>
      </c>
      <c r="V1542" s="47" t="s">
        <v>95</v>
      </c>
      <c r="W1542" s="47" t="s">
        <v>204</v>
      </c>
      <c r="X1542" s="47" t="s">
        <v>204</v>
      </c>
      <c r="Y1542" s="55" t="e">
        <f ca="1">_xlfn.XLOOKUP(PAA_4[[#This Row],[ITEM]],[2]Contrato!A:A,[2]Contrato!B:B,"",0)</f>
        <v>#NAME?</v>
      </c>
      <c r="Z1542" s="47" t="e">
        <f ca="1">_xlfn.XLOOKUP(PAA_4[[#This Row],[ITEM]],[2]Contrato!A:A,[2]Contrato!G:G,"",0)</f>
        <v>#NAME?</v>
      </c>
      <c r="AA1542" s="47" t="e">
        <f ca="1">_xlfn.XLOOKUP(PAA_4[[#This Row],[ITEM]],[2]Contrato!A:A,[2]Contrato!T:T,"",0)</f>
        <v>#NAME?</v>
      </c>
      <c r="AB1542" s="55" t="e">
        <f ca="1">+MAX(PAA_4[[#This Row],[Comprometido Contrato]],PAA_4[[#This Row],[Comprometido Bolsa]])</f>
        <v>#NAME?</v>
      </c>
      <c r="AC1542" s="55" t="str">
        <f t="shared" ref="AC1542:AC1545" ca="1" si="541">IFERROR(I1542-AB1542,"")</f>
        <v/>
      </c>
      <c r="AD1542" s="55" t="e">
        <f ca="1">IF(PAA_4[[#This Row],[ESTADO (formulado)]]="NO CONTRATADO",0,MAX(PAA_4[[#This Row],[Pago por Contrato]],PAA_4[[#This Row],[Pago por bolsa]]))</f>
        <v>#NAME?</v>
      </c>
      <c r="AE1542" s="55" t="str">
        <f t="shared" ref="AE1542:AE1545" ca="1" si="542">+IFERROR(AB1542-AD1542,"")</f>
        <v/>
      </c>
      <c r="AF1542" s="47" t="e">
        <f t="shared" ref="AF1542:AF1545" ca="1" si="543">+CONCATENATE(AA1542,N1542)</f>
        <v>#NAME?</v>
      </c>
      <c r="AG1542" s="47">
        <f t="shared" ref="AG1542:AG1545" si="544">IFERROR(_xlfn.NUMBERVALUE(MID(G1542,1,8)),"")</f>
        <v>52011001</v>
      </c>
      <c r="AH1542" s="54">
        <f>IF(Q1542="22",IF(ISNUMBER(SEARCH("econ",PAA_4[[#This Row],[Actividad3]])),"Económico",IF(ISNUMBER(SEARCH("alim",PAA_4[[#This Row],[Actividad3]])),"Alimentación",IF(ISNUMBER(SEARCH("educ",PAA_4[[#This Row],[Actividad3]])),"Educativo","Técnico"))),0)</f>
        <v>0</v>
      </c>
      <c r="AI1542" s="47" t="e" cm="1">
        <f t="array" aca="1" ref="AI1542" ca="1">_xlfn.XLOOKUP(PAA_4[[#This Row],[RCP-RUBRO]],[2]!COMPROMISOS_2024[[#All],[concatenado]],[2]!COMPROMISOS_2024[[#All],[Total pagado]],"",0)</f>
        <v>#NAME?</v>
      </c>
      <c r="AJ1542" s="56">
        <f>IF(PAA_4[[#This Row],[BOLSA]]=0,0,SUMIFS([2]!COMPROMISOS_2024[[#All],[Total pagado]],[2]!COMPROMISOS_2024[[#All],[Bolsa]],PAA_4[[#This Row],[BOLSA]],[2]!COMPROMISOS_2024[[#All],[rubro]],PAA_4[[#This Row],[RCP-RUBRO]]))</f>
        <v>0</v>
      </c>
      <c r="AK1542" s="47" t="e" cm="1">
        <f t="array" aca="1" ref="AK1542" ca="1">_xlfn.XLOOKUP(PAA_4[[#This Row],[RCP-RUBRO]],[2]!COMPROMISOS_2024[[#All],[concatenado]],[2]!COMPROMISOS_2024[[#All],[Total Comprometido]],"",0)</f>
        <v>#NAME?</v>
      </c>
      <c r="AL1542" s="47">
        <f>IF(PAA_4[[#This Row],[BOLSA]]=0,0,SUMIFS([2]!COMPROMISOS_2024[[#All],[Total Comprometido]],[2]!COMPROMISOS_2024[[#All],[Bolsa]],PAA_4[[#This Row],[BOLSA]],[2]!COMPROMISOS_2024[[#All],[concatenado]],PAA_4[[#This Row],[RCP-RUBRO]]))</f>
        <v>0</v>
      </c>
    </row>
    <row r="1543" spans="1:38" s="19" customFormat="1" ht="31.5" customHeight="1">
      <c r="A1543" s="54">
        <v>1295</v>
      </c>
      <c r="B1543" s="54">
        <v>43231513</v>
      </c>
      <c r="C1543" s="47" t="str">
        <f>VLOOKUP(PAA_4[[#This Row],[PROYECTO (formulado)2]],[2]PROYECTOS!$G$1:$L$32,6,0)</f>
        <v>SUBGERENCIA ADMINISTRATIVA Y FINANCIERA</v>
      </c>
      <c r="D1543" s="54" t="str">
        <f>+IF(PAA_4[[#This Row],[UNIDAD DE CONTRATACION (formulado)]]="Subgerencia Administrativa y Financiera","FUNCIONAMIENTO","INVERSIÓN")</f>
        <v>FUNCIONAMIENTO</v>
      </c>
      <c r="E1543" s="331" t="str">
        <f>VLOOKUP(Q1543,[2]PROYECTOS!$G$1:$K$32,5,0)</f>
        <v>Fortalecimiento de los sistemas de información y la gestión estratégica para el deporte, la recreación y la actividad física de Antioquia</v>
      </c>
      <c r="F1543" s="331">
        <f>VLOOKUP(E1543,[2]PROYECTOS!$K$1:$M$32,3,0)</f>
        <v>2024003050077</v>
      </c>
      <c r="G1543" s="332" t="s">
        <v>1925</v>
      </c>
      <c r="H1543" s="332" t="str">
        <f>VLOOKUP(Q1543,[2]PROYECTOS!$V$1:$W$32,2,0)</f>
        <v>220387</v>
      </c>
      <c r="I1543" s="78">
        <f>6610292+1000</f>
        <v>6611292</v>
      </c>
      <c r="J1543" s="330" t="s">
        <v>1936</v>
      </c>
      <c r="K1543" s="54" t="str">
        <f t="shared" ca="1" si="538"/>
        <v>CONTRATADO</v>
      </c>
      <c r="L1543" s="54" t="s">
        <v>151</v>
      </c>
      <c r="M1543" s="54" t="s">
        <v>494</v>
      </c>
      <c r="N1543" s="79" t="s">
        <v>1926</v>
      </c>
      <c r="O1543" s="330" t="e">
        <f>VLOOKUP(N1543,[2]!RUBROS[#All],3,0)</f>
        <v>#REF!</v>
      </c>
      <c r="P1543" s="330" t="e">
        <f>VLOOKUP(N1543,[2]!RUBROS[#All],2,0)</f>
        <v>#REF!</v>
      </c>
      <c r="Q1543" s="54" t="str">
        <f t="shared" si="539"/>
        <v>77</v>
      </c>
      <c r="R1543" s="47" t="str">
        <f t="shared" si="540"/>
        <v>0-101024</v>
      </c>
      <c r="S1543" s="339">
        <v>1</v>
      </c>
      <c r="T1543" s="59" t="s">
        <v>46</v>
      </c>
      <c r="U1543" s="335" t="e">
        <f ca="1">_xlfn.XLOOKUP(PAA_4[[#This Row],[ITEM]],[2]Contrato!A:A,[2]Contrato!Q:Q,"",0)</f>
        <v>#NAME?</v>
      </c>
      <c r="V1543" s="54" t="s">
        <v>95</v>
      </c>
      <c r="W1543" s="54" t="s">
        <v>200</v>
      </c>
      <c r="X1543" s="54" t="s">
        <v>200</v>
      </c>
      <c r="Y1543" s="336" t="e">
        <f ca="1">_xlfn.XLOOKUP(PAA_4[[#This Row],[ITEM]],[2]Contrato!A:A,[2]Contrato!B:B,"",0)</f>
        <v>#NAME?</v>
      </c>
      <c r="Z1543" s="54" t="e">
        <f ca="1">_xlfn.XLOOKUP(PAA_4[[#This Row],[ITEM]],[2]Contrato!A:A,[2]Contrato!G:G,"",0)</f>
        <v>#NAME?</v>
      </c>
      <c r="AA1543" s="54" t="e">
        <f ca="1">_xlfn.XLOOKUP(PAA_4[[#This Row],[ITEM]],[2]Contrato!A:A,[2]Contrato!T:T,"",0)</f>
        <v>#NAME?</v>
      </c>
      <c r="AB1543" s="336" t="e">
        <f ca="1">+MAX(PAA_4[[#This Row],[Comprometido Contrato]],PAA_4[[#This Row],[Comprometido Bolsa]])</f>
        <v>#NAME?</v>
      </c>
      <c r="AC1543" s="336" t="str">
        <f t="shared" ca="1" si="541"/>
        <v/>
      </c>
      <c r="AD1543" s="336" t="e">
        <f ca="1">IF(PAA_4[[#This Row],[ESTADO (formulado)]]="NO CONTRATADO",0,MAX(PAA_4[[#This Row],[Pago por Contrato]],PAA_4[[#This Row],[Pago por bolsa]]))</f>
        <v>#NAME?</v>
      </c>
      <c r="AE1543" s="336" t="str">
        <f t="shared" ca="1" si="542"/>
        <v/>
      </c>
      <c r="AF1543" s="54" t="e">
        <f t="shared" ca="1" si="543"/>
        <v>#NAME?</v>
      </c>
      <c r="AG1543" s="54">
        <f t="shared" si="544"/>
        <v>52011001</v>
      </c>
      <c r="AH1543" s="54">
        <f>IF(Q1543="22",IF(ISNUMBER(SEARCH("econ",PAA_4[[#This Row],[Actividad3]])),"Económico",IF(ISNUMBER(SEARCH("alim",PAA_4[[#This Row],[Actividad3]])),"Alimentación",IF(ISNUMBER(SEARCH("educ",PAA_4[[#This Row],[Actividad3]])),"Educativo","Técnico"))),0)</f>
        <v>0</v>
      </c>
      <c r="AI1543" s="54" t="e" cm="1">
        <f t="array" aca="1" ref="AI1543" ca="1">_xlfn.XLOOKUP(PAA_4[[#This Row],[RCP-RUBRO]],[2]!COMPROMISOS_2024[[#All],[concatenado]],[2]!COMPROMISOS_2024[[#All],[Total pagado]],"",0)</f>
        <v>#NAME?</v>
      </c>
      <c r="AJ1543" s="337">
        <f>IF(PAA_4[[#This Row],[BOLSA]]=0,0,SUMIFS([2]!COMPROMISOS_2024[[#All],[Total pagado]],[2]!COMPROMISOS_2024[[#All],[Bolsa]],PAA_4[[#This Row],[BOLSA]],[2]!COMPROMISOS_2024[[#All],[rubro]],PAA_4[[#This Row],[RCP-RUBRO]]))</f>
        <v>0</v>
      </c>
      <c r="AK1543" s="54" t="e" cm="1">
        <f t="array" aca="1" ref="AK1543" ca="1">_xlfn.XLOOKUP(PAA_4[[#This Row],[RCP-RUBRO]],[2]!COMPROMISOS_2024[[#All],[concatenado]],[2]!COMPROMISOS_2024[[#All],[Total Comprometido]],"",0)</f>
        <v>#NAME?</v>
      </c>
      <c r="AL1543" s="54">
        <f>IF(PAA_4[[#This Row],[BOLSA]]=0,0,SUMIFS([2]!COMPROMISOS_2024[[#All],[Total Comprometido]],[2]!COMPROMISOS_2024[[#All],[Bolsa]],PAA_4[[#This Row],[BOLSA]],[2]!COMPROMISOS_2024[[#All],[concatenado]],PAA_4[[#This Row],[RCP-RUBRO]]))</f>
        <v>0</v>
      </c>
    </row>
    <row r="1544" spans="1:38" s="19" customFormat="1" ht="31.5" customHeight="1">
      <c r="A1544" s="54">
        <v>1263</v>
      </c>
      <c r="B1544" s="330" t="s">
        <v>1937</v>
      </c>
      <c r="C1544" s="47" t="str">
        <f>VLOOKUP(PAA_4[[#This Row],[PROYECTO (formulado)2]],[2]PROYECTOS!$G$1:$L$32,6,0)</f>
        <v>SUBGERENCIA ADMINISTRATIVA Y FINANCIERA</v>
      </c>
      <c r="D1544" s="54" t="str">
        <f>+IF(PAA_4[[#This Row],[UNIDAD DE CONTRATACION (formulado)]]="Subgerencia Administrativa y Financiera","FUNCIONAMIENTO","INVERSIÓN")</f>
        <v>FUNCIONAMIENTO</v>
      </c>
      <c r="E1544" s="331" t="str">
        <f>VLOOKUP(Q1544,[2]PROYECTOS!$G$1:$K$32,5,0)</f>
        <v>Fortalecimiento de los sistemas de información y la gestión estratégica para el deporte, la recreación y la actividad física de Antioquia</v>
      </c>
      <c r="F1544" s="331">
        <f>VLOOKUP(E1544,[2]PROYECTOS!$K$1:$M$32,3,0)</f>
        <v>2024003050077</v>
      </c>
      <c r="G1544" s="332" t="s">
        <v>1929</v>
      </c>
      <c r="H1544" s="332" t="str">
        <f>VLOOKUP(Q1544,[2]PROYECTOS!$V$1:$W$32,2,0)</f>
        <v>220387</v>
      </c>
      <c r="I1544" s="78">
        <v>303929558</v>
      </c>
      <c r="J1544" s="330" t="s">
        <v>1494</v>
      </c>
      <c r="K1544" s="54" t="str">
        <f t="shared" ca="1" si="538"/>
        <v>CONTRATADO</v>
      </c>
      <c r="L1544" s="54" t="s">
        <v>1934</v>
      </c>
      <c r="M1544" s="54" t="s">
        <v>191</v>
      </c>
      <c r="N1544" s="79" t="s">
        <v>1928</v>
      </c>
      <c r="O1544" s="330" t="e">
        <f>VLOOKUP(N1544,[2]!RUBROS[#All],3,0)</f>
        <v>#REF!</v>
      </c>
      <c r="P1544" s="330" t="e">
        <f>VLOOKUP(N1544,[2]!RUBROS[#All],2,0)</f>
        <v>#REF!</v>
      </c>
      <c r="Q1544" s="54" t="str">
        <f t="shared" si="539"/>
        <v>77</v>
      </c>
      <c r="R1544" s="47" t="str">
        <f t="shared" si="540"/>
        <v>4-101124</v>
      </c>
      <c r="S1544" s="339">
        <v>1</v>
      </c>
      <c r="T1544" s="59" t="s">
        <v>46</v>
      </c>
      <c r="U1544" s="335" t="e">
        <f ca="1">_xlfn.XLOOKUP(PAA_4[[#This Row],[ITEM]],[2]Contrato!A:A,[2]Contrato!Q:Q,"",0)</f>
        <v>#NAME?</v>
      </c>
      <c r="V1544" s="54" t="s">
        <v>95</v>
      </c>
      <c r="W1544" s="54" t="s">
        <v>200</v>
      </c>
      <c r="X1544" s="54" t="s">
        <v>200</v>
      </c>
      <c r="Y1544" s="336" t="e">
        <f ca="1">_xlfn.XLOOKUP(PAA_4[[#This Row],[ITEM]],[2]Contrato!A:A,[2]Contrato!B:B,"",0)</f>
        <v>#NAME?</v>
      </c>
      <c r="Z1544" s="54" t="e">
        <f ca="1">_xlfn.XLOOKUP(PAA_4[[#This Row],[ITEM]],[2]Contrato!A:A,[2]Contrato!G:G,"",0)</f>
        <v>#NAME?</v>
      </c>
      <c r="AA1544" s="54" t="e">
        <f ca="1">_xlfn.XLOOKUP(PAA_4[[#This Row],[ITEM]],[2]Contrato!A:A,[2]Contrato!T:T,"",0)</f>
        <v>#NAME?</v>
      </c>
      <c r="AB1544" s="336" t="e">
        <f ca="1">+MAX(PAA_4[[#This Row],[Comprometido Contrato]],PAA_4[[#This Row],[Comprometido Bolsa]])</f>
        <v>#NAME?</v>
      </c>
      <c r="AC1544" s="336" t="str">
        <f t="shared" ca="1" si="541"/>
        <v/>
      </c>
      <c r="AD1544" s="336" t="e">
        <f ca="1">IF(PAA_4[[#This Row],[ESTADO (formulado)]]="NO CONTRATADO",0,MAX(PAA_4[[#This Row],[Pago por Contrato]],PAA_4[[#This Row],[Pago por bolsa]]))</f>
        <v>#NAME?</v>
      </c>
      <c r="AE1544" s="336" t="str">
        <f t="shared" ca="1" si="542"/>
        <v/>
      </c>
      <c r="AF1544" s="54" t="e">
        <f t="shared" ca="1" si="543"/>
        <v>#NAME?</v>
      </c>
      <c r="AG1544" s="54">
        <f t="shared" si="544"/>
        <v>52011001</v>
      </c>
      <c r="AH1544" s="54">
        <f>IF(Q1544="22",IF(ISNUMBER(SEARCH("econ",PAA_4[[#This Row],[Actividad3]])),"Económico",IF(ISNUMBER(SEARCH("alim",PAA_4[[#This Row],[Actividad3]])),"Alimentación",IF(ISNUMBER(SEARCH("educ",PAA_4[[#This Row],[Actividad3]])),"Educativo","Técnico"))),0)</f>
        <v>0</v>
      </c>
      <c r="AI1544" s="54" t="e" cm="1">
        <f t="array" aca="1" ref="AI1544" ca="1">_xlfn.XLOOKUP(PAA_4[[#This Row],[RCP-RUBRO]],[2]!COMPROMISOS_2024[[#All],[concatenado]],[2]!COMPROMISOS_2024[[#All],[Total pagado]],"",0)</f>
        <v>#NAME?</v>
      </c>
      <c r="AJ1544" s="337">
        <f>IF(PAA_4[[#This Row],[BOLSA]]=0,0,SUMIFS([2]!COMPROMISOS_2024[[#All],[Total pagado]],[2]!COMPROMISOS_2024[[#All],[Bolsa]],PAA_4[[#This Row],[BOLSA]],[2]!COMPROMISOS_2024[[#All],[rubro]],PAA_4[[#This Row],[RCP-RUBRO]]))</f>
        <v>0</v>
      </c>
      <c r="AK1544" s="54" t="e" cm="1">
        <f t="array" aca="1" ref="AK1544" ca="1">_xlfn.XLOOKUP(PAA_4[[#This Row],[RCP-RUBRO]],[2]!COMPROMISOS_2024[[#All],[concatenado]],[2]!COMPROMISOS_2024[[#All],[Total Comprometido]],"",0)</f>
        <v>#NAME?</v>
      </c>
      <c r="AL1544" s="54">
        <f>IF(PAA_4[[#This Row],[BOLSA]]=0,0,SUMIFS([2]!COMPROMISOS_2024[[#All],[Total Comprometido]],[2]!COMPROMISOS_2024[[#All],[Bolsa]],PAA_4[[#This Row],[BOLSA]],[2]!COMPROMISOS_2024[[#All],[concatenado]],PAA_4[[#This Row],[RCP-RUBRO]]))</f>
        <v>0</v>
      </c>
    </row>
    <row r="1545" spans="1:38" s="19" customFormat="1" ht="31.5" customHeight="1">
      <c r="A1545" s="47" t="s">
        <v>82</v>
      </c>
      <c r="B1545" s="47" t="s">
        <v>42</v>
      </c>
      <c r="C1545" s="47" t="str">
        <f>VLOOKUP(PAA_4[[#This Row],[PROYECTO (formulado)2]],[2]PROYECTOS!$G$1:$L$32,6,0)</f>
        <v>SUBGERENCIA ADMINISTRATIVA Y FINANCIERA</v>
      </c>
      <c r="D1545" s="47" t="str">
        <f>+IF(PAA_4[[#This Row],[UNIDAD DE CONTRATACION (formulado)]]="Subgerencia Administrativa y Financiera","FUNCIONAMIENTO","INVERSIÓN")</f>
        <v>FUNCIONAMIENTO</v>
      </c>
      <c r="E1545" s="48" t="str">
        <f>VLOOKUP(Q1545,[2]PROYECTOS!$G$1:$K$32,5,0)</f>
        <v>Fortalecimiento de los sistemas de información y la gestión estratégica para el deporte, la recreación y la actividad física de Antioquia</v>
      </c>
      <c r="F1545" s="48">
        <f>VLOOKUP(E1545,[2]PROYECTOS!$K$1:$M$32,3,0)</f>
        <v>2024003050077</v>
      </c>
      <c r="G1545" s="49" t="s">
        <v>1938</v>
      </c>
      <c r="H1545" s="49" t="str">
        <f>VLOOKUP(Q1545,[2]PROYECTOS!$V$1:$W$32,2,0)</f>
        <v>220387</v>
      </c>
      <c r="I1545" s="78">
        <v>0</v>
      </c>
      <c r="J1545" s="51" t="s">
        <v>1487</v>
      </c>
      <c r="K1545" s="47" t="str">
        <f t="shared" ca="1" si="538"/>
        <v>CONTRATADO</v>
      </c>
      <c r="L1545" s="47" t="s">
        <v>1939</v>
      </c>
      <c r="M1545" s="47" t="s">
        <v>89</v>
      </c>
      <c r="N1545" s="52" t="s">
        <v>1928</v>
      </c>
      <c r="O1545" s="51" t="e">
        <f>VLOOKUP(N1545,[2]!RUBROS[#All],3,0)</f>
        <v>#REF!</v>
      </c>
      <c r="P1545" s="53" t="e">
        <f>VLOOKUP(N1545,[2]!RUBROS[#All],2,0)</f>
        <v>#REF!</v>
      </c>
      <c r="Q1545" s="47" t="str">
        <f t="shared" si="539"/>
        <v>77</v>
      </c>
      <c r="R1545" s="47" t="str">
        <f t="shared" si="540"/>
        <v>4-101124</v>
      </c>
      <c r="S1545" s="339" t="s">
        <v>42</v>
      </c>
      <c r="T1545" s="59" t="s">
        <v>42</v>
      </c>
      <c r="U1545" s="326" t="e">
        <f ca="1">_xlfn.XLOOKUP(PAA_4[[#This Row],[ITEM]],[2]Contrato!A:A,[2]Contrato!Q:Q,"",0)</f>
        <v>#NAME?</v>
      </c>
      <c r="V1545" s="47" t="s">
        <v>95</v>
      </c>
      <c r="W1545" s="47" t="s">
        <v>42</v>
      </c>
      <c r="X1545" s="47" t="s">
        <v>42</v>
      </c>
      <c r="Y1545" s="55" t="e">
        <f ca="1">_xlfn.XLOOKUP(PAA_4[[#This Row],[ITEM]],[2]Contrato!A:A,[2]Contrato!B:B,"",0)</f>
        <v>#NAME?</v>
      </c>
      <c r="Z1545" s="47" t="e">
        <f ca="1">_xlfn.XLOOKUP(PAA_4[[#This Row],[ITEM]],[2]Contrato!A:A,[2]Contrato!G:G,"",0)</f>
        <v>#NAME?</v>
      </c>
      <c r="AA1545" s="47" t="e">
        <f ca="1">_xlfn.XLOOKUP(PAA_4[[#This Row],[ITEM]],[2]Contrato!A:A,[2]Contrato!T:T,"",0)</f>
        <v>#NAME?</v>
      </c>
      <c r="AB1545" s="55" t="e">
        <f ca="1">+MAX(PAA_4[[#This Row],[Comprometido Contrato]],PAA_4[[#This Row],[Comprometido Bolsa]])</f>
        <v>#NAME?</v>
      </c>
      <c r="AC1545" s="55" t="str">
        <f t="shared" ca="1" si="541"/>
        <v/>
      </c>
      <c r="AD1545" s="55" t="e">
        <f ca="1">IF(PAA_4[[#This Row],[ESTADO (formulado)]]="NO CONTRATADO",0,MAX(PAA_4[[#This Row],[Pago por Contrato]],PAA_4[[#This Row],[Pago por bolsa]]))</f>
        <v>#NAME?</v>
      </c>
      <c r="AE1545" s="55" t="str">
        <f t="shared" ca="1" si="542"/>
        <v/>
      </c>
      <c r="AF1545" s="47" t="e">
        <f t="shared" ca="1" si="543"/>
        <v>#NAME?</v>
      </c>
      <c r="AG1545" s="47">
        <f t="shared" si="544"/>
        <v>52011001</v>
      </c>
      <c r="AH1545" s="54">
        <f>IF(Q1545="22",IF(ISNUMBER(SEARCH("econ",PAA_4[[#This Row],[Actividad3]])),"Económico",IF(ISNUMBER(SEARCH("alim",PAA_4[[#This Row],[Actividad3]])),"Alimentación",IF(ISNUMBER(SEARCH("educ",PAA_4[[#This Row],[Actividad3]])),"Educativo","Técnico"))),0)</f>
        <v>0</v>
      </c>
      <c r="AI1545" s="47" t="e" cm="1">
        <f t="array" aca="1" ref="AI1545" ca="1">_xlfn.XLOOKUP(PAA_4[[#This Row],[RCP-RUBRO]],[2]!COMPROMISOS_2024[[#All],[concatenado]],[2]!COMPROMISOS_2024[[#All],[Total pagado]],"",0)</f>
        <v>#NAME?</v>
      </c>
      <c r="AJ1545" s="56">
        <f>IF(PAA_4[[#This Row],[BOLSA]]=0,0,SUMIFS([2]!COMPROMISOS_2024[[#All],[Total pagado]],[2]!COMPROMISOS_2024[[#All],[Bolsa]],PAA_4[[#This Row],[BOLSA]],[2]!COMPROMISOS_2024[[#All],[rubro]],PAA_4[[#This Row],[RCP-RUBRO]]))</f>
        <v>0</v>
      </c>
      <c r="AK1545" s="47" t="e" cm="1">
        <f t="array" aca="1" ref="AK1545" ca="1">_xlfn.XLOOKUP(PAA_4[[#This Row],[RCP-RUBRO]],[2]!COMPROMISOS_2024[[#All],[concatenado]],[2]!COMPROMISOS_2024[[#All],[Total Comprometido]],"",0)</f>
        <v>#NAME?</v>
      </c>
      <c r="AL1545" s="47">
        <f>IF(PAA_4[[#This Row],[BOLSA]]=0,0,SUMIFS([2]!COMPROMISOS_2024[[#All],[Total Comprometido]],[2]!COMPROMISOS_2024[[#All],[Bolsa]],PAA_4[[#This Row],[BOLSA]],[2]!COMPROMISOS_2024[[#All],[concatenado]],PAA_4[[#This Row],[RCP-RUBRO]]))</f>
        <v>0</v>
      </c>
    </row>
    <row r="1546" spans="1:38" s="19" customFormat="1" ht="31.5" customHeight="1">
      <c r="A1546" s="47" t="s">
        <v>82</v>
      </c>
      <c r="B1546" s="47" t="s">
        <v>42</v>
      </c>
      <c r="C1546" s="47" t="str">
        <f>VLOOKUP(PAA_4[[#This Row],[PROYECTO (formulado)2]],[2]PROYECTOS!$G$1:$L$32,6,0)</f>
        <v>SUBGERENCIA ADMINISTRATIVA Y FINANCIERA</v>
      </c>
      <c r="D1546" s="47" t="str">
        <f>+IF(PAA_4[[#This Row],[UNIDAD DE CONTRATACION (formulado)]]="Subgerencia Administrativa y Financiera","FUNCIONAMIENTO","INVERSIÓN")</f>
        <v>FUNCIONAMIENTO</v>
      </c>
      <c r="E1546" s="48" t="str">
        <f>VLOOKUP(Q1546,[2]PROYECTOS!$G$1:$K$32,5,0)</f>
        <v>Fortalecimiento de los sistemas de información y la gestión estratégica para el deporte, la recreación y la actividad física de Antioquia</v>
      </c>
      <c r="F1546" s="48">
        <f>VLOOKUP(E1546,[2]PROYECTOS!$K$1:$M$32,3,0)</f>
        <v>2024003050077</v>
      </c>
      <c r="G1546" s="49" t="s">
        <v>1925</v>
      </c>
      <c r="H1546" s="49" t="str">
        <f>VLOOKUP(Q1546,[2]PROYECTOS!$V$1:$W$32,2,0)</f>
        <v>220387</v>
      </c>
      <c r="I1546" s="50">
        <v>3588886</v>
      </c>
      <c r="J1546" s="51" t="s">
        <v>1467</v>
      </c>
      <c r="K1546" s="47" t="str">
        <f ca="1">IF(ISNONTEXT(Y1546)=TRUE,"CONTRATADO","NO CONTRATADO")</f>
        <v>CONTRATADO</v>
      </c>
      <c r="L1546" s="47" t="s">
        <v>42</v>
      </c>
      <c r="M1546" s="47" t="s">
        <v>42</v>
      </c>
      <c r="N1546" s="52" t="s">
        <v>1928</v>
      </c>
      <c r="O1546" s="51" t="e">
        <f>VLOOKUP(N1546,[2]!RUBROS[#All],3,0)</f>
        <v>#REF!</v>
      </c>
      <c r="P1546" s="53" t="e">
        <f>VLOOKUP(N1546,[2]!RUBROS[#All],2,0)</f>
        <v>#REF!</v>
      </c>
      <c r="Q1546" s="47" t="str">
        <f>+MID(N1546,11,2)</f>
        <v>77</v>
      </c>
      <c r="R1546" s="47" t="str">
        <f>+MID(N1546,14,8)</f>
        <v>4-101124</v>
      </c>
      <c r="S1546" s="339" t="s">
        <v>42</v>
      </c>
      <c r="T1546" s="59" t="s">
        <v>42</v>
      </c>
      <c r="U1546" s="326" t="e">
        <f ca="1">_xlfn.XLOOKUP(PAA_4[[#This Row],[ITEM]],[2]Contrato!A:A,[2]Contrato!Q:Q,"",0)</f>
        <v>#NAME?</v>
      </c>
      <c r="V1546" s="47" t="s">
        <v>95</v>
      </c>
      <c r="W1546" s="47" t="s">
        <v>42</v>
      </c>
      <c r="X1546" s="47" t="s">
        <v>42</v>
      </c>
      <c r="Y1546" s="55" t="e">
        <f ca="1">_xlfn.XLOOKUP(PAA_4[[#This Row],[ITEM]],[2]Contrato!A:A,[2]Contrato!B:B,"",0)</f>
        <v>#NAME?</v>
      </c>
      <c r="Z1546" s="47" t="e">
        <f ca="1">_xlfn.XLOOKUP(PAA_4[[#This Row],[ITEM]],[2]Contrato!A:A,[2]Contrato!G:G,"",0)</f>
        <v>#NAME?</v>
      </c>
      <c r="AA1546" s="47" t="e">
        <f ca="1">_xlfn.XLOOKUP(PAA_4[[#This Row],[ITEM]],[2]Contrato!A:A,[2]Contrato!T:T,"",0)</f>
        <v>#NAME?</v>
      </c>
      <c r="AB1546" s="55" t="e">
        <f ca="1">+MAX(PAA_4[[#This Row],[Comprometido Contrato]],PAA_4[[#This Row],[Comprometido Bolsa]])</f>
        <v>#NAME?</v>
      </c>
      <c r="AC1546" s="55" t="str">
        <f ca="1">IFERROR(I1546-AB1546,"")</f>
        <v/>
      </c>
      <c r="AD1546" s="55" t="e">
        <f ca="1">IF(PAA_4[[#This Row],[ESTADO (formulado)]]="NO CONTRATADO",0,MAX(PAA_4[[#This Row],[Pago por Contrato]],PAA_4[[#This Row],[Pago por bolsa]]))</f>
        <v>#NAME?</v>
      </c>
      <c r="AE1546" s="55" t="str">
        <f ca="1">+IFERROR(AB1546-AD1546,"")</f>
        <v/>
      </c>
      <c r="AF1546" s="47" t="e">
        <f ca="1">+CONCATENATE(AA1546,N1546)</f>
        <v>#NAME?</v>
      </c>
      <c r="AG1546" s="47">
        <f>IFERROR(_xlfn.NUMBERVALUE(MID(G1546,1,8)),"")</f>
        <v>52011001</v>
      </c>
      <c r="AH1546" s="54">
        <f>IF(Q1546="22",IF(ISNUMBER(SEARCH("econ",PAA_4[[#This Row],[Actividad3]])),"Económico",IF(ISNUMBER(SEARCH("alim",PAA_4[[#This Row],[Actividad3]])),"Alimentación",IF(ISNUMBER(SEARCH("educ",PAA_4[[#This Row],[Actividad3]])),"Educativo","Técnico"))),0)</f>
        <v>0</v>
      </c>
      <c r="AI1546" s="47" t="e" cm="1">
        <f t="array" aca="1" ref="AI1546" ca="1">_xlfn.XLOOKUP(PAA_4[[#This Row],[RCP-RUBRO]],[2]!COMPROMISOS_2024[[#All],[concatenado]],[2]!COMPROMISOS_2024[[#All],[Total pagado]],"",0)</f>
        <v>#NAME?</v>
      </c>
      <c r="AJ1546" s="56">
        <f>IF(PAA_4[[#This Row],[BOLSA]]=0,0,SUMIFS([2]!COMPROMISOS_2024[[#All],[Total pagado]],[2]!COMPROMISOS_2024[[#All],[Bolsa]],PAA_4[[#This Row],[BOLSA]],[2]!COMPROMISOS_2024[[#All],[rubro]],PAA_4[[#This Row],[RCP-RUBRO]]))</f>
        <v>0</v>
      </c>
      <c r="AK1546" s="47" t="e" cm="1">
        <f t="array" aca="1" ref="AK1546" ca="1">_xlfn.XLOOKUP(PAA_4[[#This Row],[RCP-RUBRO]],[2]!COMPROMISOS_2024[[#All],[concatenado]],[2]!COMPROMISOS_2024[[#All],[Total Comprometido]],"",0)</f>
        <v>#NAME?</v>
      </c>
      <c r="AL1546" s="47">
        <f>IF(PAA_4[[#This Row],[BOLSA]]=0,0,SUMIFS([2]!COMPROMISOS_2024[[#All],[Total Comprometido]],[2]!COMPROMISOS_2024[[#All],[Bolsa]],PAA_4[[#This Row],[BOLSA]],[2]!COMPROMISOS_2024[[#All],[concatenado]],PAA_4[[#This Row],[RCP-RUBRO]]))</f>
        <v>0</v>
      </c>
    </row>
    <row r="1547" spans="1:38" s="19" customFormat="1" ht="31.5" customHeight="1">
      <c r="A1547" s="47">
        <v>1129</v>
      </c>
      <c r="B1547" s="47">
        <v>80111600</v>
      </c>
      <c r="C1547" s="47" t="str">
        <f>VLOOKUP(PAA_4[[#This Row],[PROYECTO (formulado)2]],[2]PROYECTOS!$G$1:$L$32,6,0)</f>
        <v>SUBGERENCIA ADMINISTRATIVA Y FINANCIERA</v>
      </c>
      <c r="D1547" s="47" t="str">
        <f>+IF(PAA_4[[#This Row],[UNIDAD DE CONTRATACION (formulado)]]="Subgerencia Administrativa y Financiera","FUNCIONAMIENTO","INVERSIÓN")</f>
        <v>FUNCIONAMIENTO</v>
      </c>
      <c r="E1547" s="48" t="str">
        <f>VLOOKUP(Q1547,[2]PROYECTOS!$G$1:$K$32,5,0)</f>
        <v>Fortalecimiento de los sistemas de información y la gestión estratégica para el deporte, la recreación y la actividad física de Antioquia</v>
      </c>
      <c r="F1547" s="48">
        <f>VLOOKUP(E1547,[2]PROYECTOS!$K$1:$M$32,3,0)</f>
        <v>2024003050077</v>
      </c>
      <c r="G1547" s="49" t="s">
        <v>1925</v>
      </c>
      <c r="H1547" s="49" t="str">
        <f>VLOOKUP(Q1547,[2]PROYECTOS!$V$1:$W$32,2,0)</f>
        <v>220387</v>
      </c>
      <c r="I1547" s="78">
        <f>28711085-1794443-1794443</f>
        <v>25122199</v>
      </c>
      <c r="J1547" s="51" t="s">
        <v>1940</v>
      </c>
      <c r="K1547" s="47" t="str">
        <f t="shared" ref="K1547" ca="1" si="545">IF(ISNONTEXT(Y1547)=TRUE,"CONTRATADO","NO CONTRATADO")</f>
        <v>CONTRATADO</v>
      </c>
      <c r="L1547" s="47" t="s">
        <v>94</v>
      </c>
      <c r="M1547" s="51" t="s">
        <v>1297</v>
      </c>
      <c r="N1547" s="52" t="s">
        <v>1928</v>
      </c>
      <c r="O1547" s="51" t="e">
        <f>VLOOKUP(N1547,[2]!RUBROS[#All],3,0)</f>
        <v>#REF!</v>
      </c>
      <c r="P1547" s="53" t="e">
        <f>VLOOKUP(N1547,[2]!RUBROS[#All],2,0)</f>
        <v>#REF!</v>
      </c>
      <c r="Q1547" s="47" t="str">
        <f t="shared" ref="Q1547" si="546">+MID(N1547,11,2)</f>
        <v>77</v>
      </c>
      <c r="R1547" s="47" t="str">
        <f t="shared" ref="R1547" si="547">+MID(N1547,14,8)</f>
        <v>4-101124</v>
      </c>
      <c r="S1547" s="339">
        <v>3</v>
      </c>
      <c r="T1547" s="59" t="s">
        <v>46</v>
      </c>
      <c r="U1547" s="326" t="e">
        <f ca="1">_xlfn.XLOOKUP(PAA_4[[#This Row],[ITEM]],[2]Contrato!A:A,[2]Contrato!Q:Q,"",0)</f>
        <v>#NAME?</v>
      </c>
      <c r="V1547" s="47" t="s">
        <v>95</v>
      </c>
      <c r="W1547" s="47" t="s">
        <v>203</v>
      </c>
      <c r="X1547" s="47" t="s">
        <v>203</v>
      </c>
      <c r="Y1547" s="55" t="e">
        <f ca="1">_xlfn.XLOOKUP(PAA_4[[#This Row],[ITEM]],[2]Contrato!A:A,[2]Contrato!B:B,"",0)</f>
        <v>#NAME?</v>
      </c>
      <c r="Z1547" s="47" t="e">
        <f ca="1">_xlfn.XLOOKUP(PAA_4[[#This Row],[ITEM]],[2]Contrato!A:A,[2]Contrato!G:G,"",0)</f>
        <v>#NAME?</v>
      </c>
      <c r="AA1547" s="47" t="e">
        <f ca="1">_xlfn.XLOOKUP(PAA_4[[#This Row],[ITEM]],[2]Contrato!A:A,[2]Contrato!T:T,"",0)</f>
        <v>#NAME?</v>
      </c>
      <c r="AB1547" s="55" t="e">
        <f ca="1">+MAX(PAA_4[[#This Row],[Comprometido Contrato]],PAA_4[[#This Row],[Comprometido Bolsa]])</f>
        <v>#NAME?</v>
      </c>
      <c r="AC1547" s="55" t="str">
        <f t="shared" ref="AC1547" ca="1" si="548">IFERROR(I1547-AB1547,"")</f>
        <v/>
      </c>
      <c r="AD1547" s="55" t="e">
        <f ca="1">IF(PAA_4[[#This Row],[ESTADO (formulado)]]="NO CONTRATADO",0,MAX(PAA_4[[#This Row],[Pago por Contrato]],PAA_4[[#This Row],[Pago por bolsa]]))</f>
        <v>#NAME?</v>
      </c>
      <c r="AE1547" s="55" t="str">
        <f t="shared" ref="AE1547" ca="1" si="549">+IFERROR(AB1547-AD1547,"")</f>
        <v/>
      </c>
      <c r="AF1547" s="47" t="e">
        <f t="shared" ref="AF1547" ca="1" si="550">+CONCATENATE(AA1547,N1547)</f>
        <v>#NAME?</v>
      </c>
      <c r="AG1547" s="47">
        <f t="shared" ref="AG1547" si="551">IFERROR(_xlfn.NUMBERVALUE(MID(G1547,1,8)),"")</f>
        <v>52011001</v>
      </c>
      <c r="AH1547" s="54">
        <f>IF(Q1547="22",IF(ISNUMBER(SEARCH("econ",PAA_4[[#This Row],[Actividad3]])),"Económico",IF(ISNUMBER(SEARCH("alim",PAA_4[[#This Row],[Actividad3]])),"Alimentación",IF(ISNUMBER(SEARCH("educ",PAA_4[[#This Row],[Actividad3]])),"Educativo","Técnico"))),0)</f>
        <v>0</v>
      </c>
      <c r="AI1547" s="47" t="e" cm="1">
        <f t="array" aca="1" ref="AI1547" ca="1">_xlfn.XLOOKUP(PAA_4[[#This Row],[RCP-RUBRO]],[2]!COMPROMISOS_2024[[#All],[concatenado]],[2]!COMPROMISOS_2024[[#All],[Total pagado]],"",0)</f>
        <v>#NAME?</v>
      </c>
      <c r="AJ1547" s="56">
        <f>IF(PAA_4[[#This Row],[BOLSA]]=0,0,SUMIFS([2]!COMPROMISOS_2024[[#All],[Total pagado]],[2]!COMPROMISOS_2024[[#All],[Bolsa]],PAA_4[[#This Row],[BOLSA]],[2]!COMPROMISOS_2024[[#All],[rubro]],PAA_4[[#This Row],[RCP-RUBRO]]))</f>
        <v>0</v>
      </c>
      <c r="AK1547" s="47" t="e" cm="1">
        <f t="array" aca="1" ref="AK1547" ca="1">_xlfn.XLOOKUP(PAA_4[[#This Row],[RCP-RUBRO]],[2]!COMPROMISOS_2024[[#All],[concatenado]],[2]!COMPROMISOS_2024[[#All],[Total Comprometido]],"",0)</f>
        <v>#NAME?</v>
      </c>
      <c r="AL1547" s="47">
        <f>IF(PAA_4[[#This Row],[BOLSA]]=0,0,SUMIFS([2]!COMPROMISOS_2024[[#All],[Total Comprometido]],[2]!COMPROMISOS_2024[[#All],[Bolsa]],PAA_4[[#This Row],[BOLSA]],[2]!COMPROMISOS_2024[[#All],[concatenado]],PAA_4[[#This Row],[RCP-RUBRO]]))</f>
        <v>0</v>
      </c>
    </row>
    <row r="1548" spans="1:38" s="19" customFormat="1" ht="31.5" customHeight="1">
      <c r="A1548" s="47" t="s">
        <v>82</v>
      </c>
      <c r="B1548" s="47" t="s">
        <v>42</v>
      </c>
      <c r="C1548" s="47" t="str">
        <f>VLOOKUP(PAA_4[[#This Row],[PROYECTO (formulado)2]],[2]PROYECTOS!$G$1:$L$32,6,0)</f>
        <v>SUBGERENCIA ADMINISTRATIVA Y FINANCIERA</v>
      </c>
      <c r="D1548" s="47" t="str">
        <f>+IF(PAA_4[[#This Row],[UNIDAD DE CONTRATACION (formulado)]]="Subgerencia Administrativa y Financiera","FUNCIONAMIENTO","INVERSIÓN")</f>
        <v>FUNCIONAMIENTO</v>
      </c>
      <c r="E1548" s="48" t="str">
        <f>VLOOKUP(Q1548,[2]PROYECTOS!$G$1:$K$32,5,0)</f>
        <v>Fortalecimiento de los sistemas de información y la gestión estratégica para el deporte, la recreación y la actividad física de Antioquia</v>
      </c>
      <c r="F1548" s="48">
        <f>VLOOKUP(E1548,[2]PROYECTOS!$K$1:$M$32,3,0)</f>
        <v>2024003050077</v>
      </c>
      <c r="G1548" s="49" t="s">
        <v>1925</v>
      </c>
      <c r="H1548" s="49" t="str">
        <f>VLOOKUP(Q1548,[2]PROYECTOS!$V$1:$W$32,2,0)</f>
        <v>220387</v>
      </c>
      <c r="I1548" s="78">
        <v>2099849</v>
      </c>
      <c r="J1548" s="51" t="s">
        <v>1467</v>
      </c>
      <c r="K1548" s="47" t="str">
        <f ca="1">IF(ISNONTEXT(Y1548)=TRUE,"CONTRATADO","NO CONTRATADO")</f>
        <v>CONTRATADO</v>
      </c>
      <c r="L1548" s="47" t="s">
        <v>42</v>
      </c>
      <c r="M1548" s="51" t="s">
        <v>42</v>
      </c>
      <c r="N1548" s="52" t="s">
        <v>1928</v>
      </c>
      <c r="O1548" s="51" t="e">
        <f>VLOOKUP(N1548,[2]!RUBROS[#All],3,0)</f>
        <v>#REF!</v>
      </c>
      <c r="P1548" s="53" t="e">
        <f>VLOOKUP(N1548,[2]!RUBROS[#All],2,0)</f>
        <v>#REF!</v>
      </c>
      <c r="Q1548" s="47" t="str">
        <f>+MID(N1548,11,2)</f>
        <v>77</v>
      </c>
      <c r="R1548" s="47" t="str">
        <f>+MID(N1548,14,8)</f>
        <v>4-101124</v>
      </c>
      <c r="S1548" s="339" t="s">
        <v>42</v>
      </c>
      <c r="T1548" s="59" t="s">
        <v>42</v>
      </c>
      <c r="U1548" s="326" t="e">
        <f ca="1">_xlfn.XLOOKUP(PAA_4[[#This Row],[ITEM]],[2]Contrato!A:A,[2]Contrato!Q:Q,"",0)</f>
        <v>#NAME?</v>
      </c>
      <c r="V1548" s="47" t="s">
        <v>95</v>
      </c>
      <c r="W1548" s="47" t="s">
        <v>42</v>
      </c>
      <c r="X1548" s="47" t="s">
        <v>42</v>
      </c>
      <c r="Y1548" s="55" t="e">
        <f ca="1">_xlfn.XLOOKUP(PAA_4[[#This Row],[ITEM]],[2]Contrato!A:A,[2]Contrato!B:B,"",0)</f>
        <v>#NAME?</v>
      </c>
      <c r="Z1548" s="47" t="e">
        <f ca="1">_xlfn.XLOOKUP(PAA_4[[#This Row],[ITEM]],[2]Contrato!A:A,[2]Contrato!G:G,"",0)</f>
        <v>#NAME?</v>
      </c>
      <c r="AA1548" s="47" t="e">
        <f ca="1">_xlfn.XLOOKUP(PAA_4[[#This Row],[ITEM]],[2]Contrato!A:A,[2]Contrato!T:T,"",0)</f>
        <v>#NAME?</v>
      </c>
      <c r="AB1548" s="55" t="e">
        <f ca="1">+MAX(PAA_4[[#This Row],[Comprometido Contrato]],PAA_4[[#This Row],[Comprometido Bolsa]])</f>
        <v>#NAME?</v>
      </c>
      <c r="AC1548" s="55" t="str">
        <f ca="1">IFERROR(I1548-AB1548,"")</f>
        <v/>
      </c>
      <c r="AD1548" s="55" t="e">
        <f ca="1">IF(PAA_4[[#This Row],[ESTADO (formulado)]]="NO CONTRATADO",0,MAX(PAA_4[[#This Row],[Pago por Contrato]],PAA_4[[#This Row],[Pago por bolsa]]))</f>
        <v>#NAME?</v>
      </c>
      <c r="AE1548" s="55" t="str">
        <f ca="1">+IFERROR(AB1548-AD1548,"")</f>
        <v/>
      </c>
      <c r="AF1548" s="47" t="e">
        <f ca="1">+CONCATENATE(AA1548,N1548)</f>
        <v>#NAME?</v>
      </c>
      <c r="AG1548" s="47">
        <f>IFERROR(_xlfn.NUMBERVALUE(MID(G1548,1,8)),"")</f>
        <v>52011001</v>
      </c>
      <c r="AH1548" s="54">
        <f>IF(Q1548="22",IF(ISNUMBER(SEARCH("econ",PAA_4[[#This Row],[Actividad3]])),"Económico",IF(ISNUMBER(SEARCH("alim",PAA_4[[#This Row],[Actividad3]])),"Alimentación",IF(ISNUMBER(SEARCH("educ",PAA_4[[#This Row],[Actividad3]])),"Educativo","Técnico"))),0)</f>
        <v>0</v>
      </c>
      <c r="AI1548" s="47" t="e" cm="1">
        <f t="array" aca="1" ref="AI1548" ca="1">_xlfn.XLOOKUP(PAA_4[[#This Row],[RCP-RUBRO]],[2]!COMPROMISOS_2024[[#All],[concatenado]],[2]!COMPROMISOS_2024[[#All],[Total pagado]],"",0)</f>
        <v>#NAME?</v>
      </c>
      <c r="AJ1548" s="56">
        <f>IF(PAA_4[[#This Row],[BOLSA]]=0,0,SUMIFS([2]!COMPROMISOS_2024[[#All],[Total pagado]],[2]!COMPROMISOS_2024[[#All],[Bolsa]],PAA_4[[#This Row],[BOLSA]],[2]!COMPROMISOS_2024[[#All],[rubro]],PAA_4[[#This Row],[RCP-RUBRO]]))</f>
        <v>0</v>
      </c>
      <c r="AK1548" s="47" t="e" cm="1">
        <f t="array" aca="1" ref="AK1548" ca="1">_xlfn.XLOOKUP(PAA_4[[#This Row],[RCP-RUBRO]],[2]!COMPROMISOS_2024[[#All],[concatenado]],[2]!COMPROMISOS_2024[[#All],[Total Comprometido]],"",0)</f>
        <v>#NAME?</v>
      </c>
      <c r="AL1548" s="47">
        <f>IF(PAA_4[[#This Row],[BOLSA]]=0,0,SUMIFS([2]!COMPROMISOS_2024[[#All],[Total Comprometido]],[2]!COMPROMISOS_2024[[#All],[Bolsa]],PAA_4[[#This Row],[BOLSA]],[2]!COMPROMISOS_2024[[#All],[concatenado]],PAA_4[[#This Row],[RCP-RUBRO]]))</f>
        <v>0</v>
      </c>
    </row>
    <row r="1549" spans="1:38" s="19" customFormat="1" ht="31.5" customHeight="1">
      <c r="A1549" s="47">
        <v>1130</v>
      </c>
      <c r="B1549" s="47">
        <v>80111600</v>
      </c>
      <c r="C1549" s="47" t="str">
        <f>VLOOKUP(PAA_4[[#This Row],[PROYECTO (formulado)2]],[2]PROYECTOS!$G$1:$L$32,6,0)</f>
        <v>SUBGERENCIA ADMINISTRATIVA Y FINANCIERA</v>
      </c>
      <c r="D1549" s="47" t="str">
        <f>+IF(PAA_4[[#This Row],[UNIDAD DE CONTRATACION (formulado)]]="Subgerencia Administrativa y Financiera","FUNCIONAMIENTO","INVERSIÓN")</f>
        <v>FUNCIONAMIENTO</v>
      </c>
      <c r="E1549" s="48" t="str">
        <f>VLOOKUP(Q1549,[2]PROYECTOS!$G$1:$K$32,5,0)</f>
        <v>Fortalecimiento de los sistemas de información y la gestión estratégica para el deporte, la recreación y la actividad física de Antioquia</v>
      </c>
      <c r="F1549" s="48">
        <f>VLOOKUP(E1549,[2]PROYECTOS!$K$1:$M$32,3,0)</f>
        <v>2024003050077</v>
      </c>
      <c r="G1549" s="49" t="s">
        <v>1925</v>
      </c>
      <c r="H1549" s="49" t="str">
        <f>VLOOKUP(Q1549,[2]PROYECTOS!$V$1:$W$32,2,0)</f>
        <v>220387</v>
      </c>
      <c r="I1549" s="78">
        <f>26648182-1623187-476662</f>
        <v>24548333</v>
      </c>
      <c r="J1549" s="51" t="s">
        <v>1941</v>
      </c>
      <c r="K1549" s="47" t="str">
        <f t="shared" ref="K1549:K1616" ca="1" si="552">IF(ISNONTEXT(Y1549)=TRUE,"CONTRATADO","NO CONTRATADO")</f>
        <v>CONTRATADO</v>
      </c>
      <c r="L1549" s="47" t="s">
        <v>94</v>
      </c>
      <c r="M1549" s="51" t="s">
        <v>1297</v>
      </c>
      <c r="N1549" s="52" t="s">
        <v>1928</v>
      </c>
      <c r="O1549" s="51" t="e">
        <f>VLOOKUP(N1549,[2]!RUBROS[#All],3,0)</f>
        <v>#REF!</v>
      </c>
      <c r="P1549" s="53" t="e">
        <f>VLOOKUP(N1549,[2]!RUBROS[#All],2,0)</f>
        <v>#REF!</v>
      </c>
      <c r="Q1549" s="47" t="str">
        <f t="shared" ref="Q1549:Q1619" si="553">+MID(N1549,11,2)</f>
        <v>77</v>
      </c>
      <c r="R1549" s="47" t="str">
        <f t="shared" ref="R1549:R1619" si="554">+MID(N1549,14,8)</f>
        <v>4-101124</v>
      </c>
      <c r="S1549" s="339">
        <v>4</v>
      </c>
      <c r="T1549" s="59" t="s">
        <v>46</v>
      </c>
      <c r="U1549" s="326" t="e">
        <f ca="1">_xlfn.XLOOKUP(PAA_4[[#This Row],[ITEM]],[2]Contrato!A:A,[2]Contrato!Q:Q,"",0)</f>
        <v>#NAME?</v>
      </c>
      <c r="V1549" s="47" t="s">
        <v>95</v>
      </c>
      <c r="W1549" s="47" t="s">
        <v>203</v>
      </c>
      <c r="X1549" s="47" t="s">
        <v>203</v>
      </c>
      <c r="Y1549" s="55" t="e">
        <f ca="1">_xlfn.XLOOKUP(PAA_4[[#This Row],[ITEM]],[2]Contrato!A:A,[2]Contrato!B:B,"",0)</f>
        <v>#NAME?</v>
      </c>
      <c r="Z1549" s="47" t="e">
        <f ca="1">_xlfn.XLOOKUP(PAA_4[[#This Row],[ITEM]],[2]Contrato!A:A,[2]Contrato!G:G,"",0)</f>
        <v>#NAME?</v>
      </c>
      <c r="AA1549" s="47" t="e">
        <f ca="1">_xlfn.XLOOKUP(PAA_4[[#This Row],[ITEM]],[2]Contrato!A:A,[2]Contrato!T:T,"",0)</f>
        <v>#NAME?</v>
      </c>
      <c r="AB1549" s="55" t="e">
        <f ca="1">+MAX(PAA_4[[#This Row],[Comprometido Contrato]],PAA_4[[#This Row],[Comprometido Bolsa]])</f>
        <v>#NAME?</v>
      </c>
      <c r="AC1549" s="55" t="str">
        <f t="shared" ref="AC1549:AC1613" ca="1" si="555">IFERROR(I1549-AB1549,"")</f>
        <v/>
      </c>
      <c r="AD1549" s="55" t="e">
        <f ca="1">IF(PAA_4[[#This Row],[ESTADO (formulado)]]="NO CONTRATADO",0,MAX(PAA_4[[#This Row],[Pago por Contrato]],PAA_4[[#This Row],[Pago por bolsa]]))</f>
        <v>#NAME?</v>
      </c>
      <c r="AE1549" s="55" t="str">
        <f t="shared" ref="AE1549:AE1616" ca="1" si="556">+IFERROR(AB1549-AD1549,"")</f>
        <v/>
      </c>
      <c r="AF1549" s="47" t="e">
        <f t="shared" ref="AF1549:AF1620" ca="1" si="557">+CONCATENATE(AA1549,N1549)</f>
        <v>#NAME?</v>
      </c>
      <c r="AG1549" s="47">
        <f t="shared" ref="AG1549:AG1616" si="558">IFERROR(_xlfn.NUMBERVALUE(MID(G1549,1,8)),"")</f>
        <v>52011001</v>
      </c>
      <c r="AH1549" s="54">
        <f>IF(Q1549="22",IF(ISNUMBER(SEARCH("econ",PAA_4[[#This Row],[Actividad3]])),"Económico",IF(ISNUMBER(SEARCH("alim",PAA_4[[#This Row],[Actividad3]])),"Alimentación",IF(ISNUMBER(SEARCH("educ",PAA_4[[#This Row],[Actividad3]])),"Educativo","Técnico"))),0)</f>
        <v>0</v>
      </c>
      <c r="AI1549" s="47" t="e" cm="1">
        <f t="array" aca="1" ref="AI1549" ca="1">_xlfn.XLOOKUP(PAA_4[[#This Row],[RCP-RUBRO]],[2]!COMPROMISOS_2024[[#All],[concatenado]],[2]!COMPROMISOS_2024[[#All],[Total pagado]],"",0)</f>
        <v>#NAME?</v>
      </c>
      <c r="AJ1549" s="56">
        <f>IF(PAA_4[[#This Row],[BOLSA]]=0,0,SUMIFS([2]!COMPROMISOS_2024[[#All],[Total pagado]],[2]!COMPROMISOS_2024[[#All],[Bolsa]],PAA_4[[#This Row],[BOLSA]],[2]!COMPROMISOS_2024[[#All],[rubro]],PAA_4[[#This Row],[RCP-RUBRO]]))</f>
        <v>0</v>
      </c>
      <c r="AK1549" s="47" t="e" cm="1">
        <f t="array" aca="1" ref="AK1549" ca="1">_xlfn.XLOOKUP(PAA_4[[#This Row],[RCP-RUBRO]],[2]!COMPROMISOS_2024[[#All],[concatenado]],[2]!COMPROMISOS_2024[[#All],[Total Comprometido]],"",0)</f>
        <v>#NAME?</v>
      </c>
      <c r="AL1549" s="47">
        <f>IF(PAA_4[[#This Row],[BOLSA]]=0,0,SUMIFS([2]!COMPROMISOS_2024[[#All],[Total Comprometido]],[2]!COMPROMISOS_2024[[#All],[Bolsa]],PAA_4[[#This Row],[BOLSA]],[2]!COMPROMISOS_2024[[#All],[concatenado]],PAA_4[[#This Row],[RCP-RUBRO]]))</f>
        <v>0</v>
      </c>
    </row>
    <row r="1550" spans="1:38" s="19" customFormat="1" ht="31.5" customHeight="1">
      <c r="A1550" s="47" t="s">
        <v>82</v>
      </c>
      <c r="B1550" s="47" t="s">
        <v>42</v>
      </c>
      <c r="C1550" s="47" t="str">
        <f>VLOOKUP(PAA_4[[#This Row],[PROYECTO (formulado)2]],[2]PROYECTOS!$G$1:$L$32,6,0)</f>
        <v>SUBGERENCIA ADMINISTRATIVA Y FINANCIERA</v>
      </c>
      <c r="D1550" s="47" t="str">
        <f>+IF(PAA_4[[#This Row],[UNIDAD DE CONTRATACION (formulado)]]="Subgerencia Administrativa y Financiera","FUNCIONAMIENTO","INVERSIÓN")</f>
        <v>FUNCIONAMIENTO</v>
      </c>
      <c r="E1550" s="48" t="str">
        <f>VLOOKUP(Q1550,[2]PROYECTOS!$G$1:$K$32,5,0)</f>
        <v>Fortalecimiento de los sistemas de información y la gestión estratégica para el deporte, la recreación y la actividad física de Antioquia</v>
      </c>
      <c r="F1550" s="48">
        <f>VLOOKUP(E1550,[2]PROYECTOS!$K$1:$M$32,3,0)</f>
        <v>2024003050077</v>
      </c>
      <c r="G1550" s="49" t="s">
        <v>1925</v>
      </c>
      <c r="H1550" s="49" t="str">
        <f>VLOOKUP(Q1550,[2]PROYECTOS!$V$1:$W$32,2,0)</f>
        <v>220387</v>
      </c>
      <c r="I1550" s="78">
        <v>0</v>
      </c>
      <c r="J1550" s="51" t="s">
        <v>1942</v>
      </c>
      <c r="K1550" s="47" t="str">
        <f t="shared" ca="1" si="552"/>
        <v>CONTRATADO</v>
      </c>
      <c r="L1550" s="47" t="s">
        <v>42</v>
      </c>
      <c r="M1550" s="47" t="s">
        <v>42</v>
      </c>
      <c r="N1550" s="52" t="s">
        <v>1928</v>
      </c>
      <c r="O1550" s="51" t="e">
        <f>VLOOKUP(N1550,[2]!RUBROS[#All],3,0)</f>
        <v>#REF!</v>
      </c>
      <c r="P1550" s="53" t="e">
        <f>VLOOKUP(N1550,[2]!RUBROS[#All],2,0)</f>
        <v>#REF!</v>
      </c>
      <c r="Q1550" s="47" t="str">
        <f t="shared" si="553"/>
        <v>77</v>
      </c>
      <c r="R1550" s="47" t="str">
        <f t="shared" si="554"/>
        <v>4-101124</v>
      </c>
      <c r="S1550" s="339" t="s">
        <v>42</v>
      </c>
      <c r="T1550" s="59" t="s">
        <v>42</v>
      </c>
      <c r="U1550" s="326" t="e">
        <f ca="1">_xlfn.XLOOKUP(PAA_4[[#This Row],[ITEM]],[2]Contrato!A:A,[2]Contrato!Q:Q,"",0)</f>
        <v>#NAME?</v>
      </c>
      <c r="V1550" s="47" t="s">
        <v>95</v>
      </c>
      <c r="W1550" s="47" t="s">
        <v>42</v>
      </c>
      <c r="X1550" s="47" t="s">
        <v>42</v>
      </c>
      <c r="Y1550" s="55" t="e">
        <f ca="1">_xlfn.XLOOKUP(PAA_4[[#This Row],[ITEM]],[2]Contrato!A:A,[2]Contrato!B:B,"",0)</f>
        <v>#NAME?</v>
      </c>
      <c r="Z1550" s="47" t="e">
        <f ca="1">_xlfn.XLOOKUP(PAA_4[[#This Row],[ITEM]],[2]Contrato!A:A,[2]Contrato!G:G,"",0)</f>
        <v>#NAME?</v>
      </c>
      <c r="AA1550" s="47" t="e">
        <f ca="1">_xlfn.XLOOKUP(PAA_4[[#This Row],[ITEM]],[2]Contrato!A:A,[2]Contrato!T:T,"",0)</f>
        <v>#NAME?</v>
      </c>
      <c r="AB1550" s="55" t="e">
        <f ca="1">+MAX(PAA_4[[#This Row],[Comprometido Contrato]],PAA_4[[#This Row],[Comprometido Bolsa]])</f>
        <v>#NAME?</v>
      </c>
      <c r="AC1550" s="55" t="str">
        <f t="shared" ca="1" si="555"/>
        <v/>
      </c>
      <c r="AD1550" s="55" t="e">
        <f ca="1">IF(PAA_4[[#This Row],[ESTADO (formulado)]]="NO CONTRATADO",0,MAX(PAA_4[[#This Row],[Pago por Contrato]],PAA_4[[#This Row],[Pago por bolsa]]))</f>
        <v>#NAME?</v>
      </c>
      <c r="AE1550" s="55" t="str">
        <f t="shared" ca="1" si="556"/>
        <v/>
      </c>
      <c r="AF1550" s="47" t="e">
        <f t="shared" ca="1" si="557"/>
        <v>#NAME?</v>
      </c>
      <c r="AG1550" s="47">
        <f t="shared" si="558"/>
        <v>52011001</v>
      </c>
      <c r="AH1550" s="54">
        <f>IF(Q1550="22",IF(ISNUMBER(SEARCH("econ",PAA_4[[#This Row],[Actividad3]])),"Económico",IF(ISNUMBER(SEARCH("alim",PAA_4[[#This Row],[Actividad3]])),"Alimentación",IF(ISNUMBER(SEARCH("educ",PAA_4[[#This Row],[Actividad3]])),"Educativo","Técnico"))),0)</f>
        <v>0</v>
      </c>
      <c r="AI1550" s="47" t="e" cm="1">
        <f t="array" aca="1" ref="AI1550" ca="1">_xlfn.XLOOKUP(PAA_4[[#This Row],[RCP-RUBRO]],[2]!COMPROMISOS_2024[[#All],[concatenado]],[2]!COMPROMISOS_2024[[#All],[Total pagado]],"",0)</f>
        <v>#NAME?</v>
      </c>
      <c r="AJ1550" s="56">
        <f>IF(PAA_4[[#This Row],[BOLSA]]=0,0,SUMIFS([2]!COMPROMISOS_2024[[#All],[Total pagado]],[2]!COMPROMISOS_2024[[#All],[Bolsa]],PAA_4[[#This Row],[BOLSA]],[2]!COMPROMISOS_2024[[#All],[rubro]],PAA_4[[#This Row],[RCP-RUBRO]]))</f>
        <v>0</v>
      </c>
      <c r="AK1550" s="47" t="e" cm="1">
        <f t="array" aca="1" ref="AK1550" ca="1">_xlfn.XLOOKUP(PAA_4[[#This Row],[RCP-RUBRO]],[2]!COMPROMISOS_2024[[#All],[concatenado]],[2]!COMPROMISOS_2024[[#All],[Total Comprometido]],"",0)</f>
        <v>#NAME?</v>
      </c>
      <c r="AL1550" s="47">
        <f>IF(PAA_4[[#This Row],[BOLSA]]=0,0,SUMIFS([2]!COMPROMISOS_2024[[#All],[Total Comprometido]],[2]!COMPROMISOS_2024[[#All],[Bolsa]],PAA_4[[#This Row],[BOLSA]],[2]!COMPROMISOS_2024[[#All],[concatenado]],PAA_4[[#This Row],[RCP-RUBRO]]))</f>
        <v>0</v>
      </c>
    </row>
    <row r="1551" spans="1:38" s="19" customFormat="1" ht="31.5" customHeight="1">
      <c r="A1551" s="47" t="s">
        <v>82</v>
      </c>
      <c r="B1551" s="47" t="s">
        <v>42</v>
      </c>
      <c r="C1551" s="47" t="str">
        <f>VLOOKUP(PAA_4[[#This Row],[PROYECTO (formulado)2]],[2]PROYECTOS!$G$1:$L$32,6,0)</f>
        <v>OFICINA DE PLANEACION</v>
      </c>
      <c r="D1551" s="47" t="str">
        <f>+IF(PAA_4[[#This Row],[UNIDAD DE CONTRATACION (formulado)]]="Subgerencia Administrativa y Financiera","FUNCIONAMIENTO","INVERSIÓN")</f>
        <v>INVERSIÓN</v>
      </c>
      <c r="E1551" s="48" t="str">
        <f>VLOOKUP(Q1551,[2]PROYECTOS!$G$1:$K$32,5,0)</f>
        <v>FORTALECIMIENTO_DEL_OBSERVATORIO_DEL_DEPORTE_DE_ANTIOQUIA</v>
      </c>
      <c r="F1551" s="48">
        <f>VLOOKUP(E1551,[2]PROYECTOS!$K$1:$M$32,3,0)</f>
        <v>2020003050273</v>
      </c>
      <c r="G1551" s="49" t="s">
        <v>173</v>
      </c>
      <c r="H1551" s="49">
        <f>VLOOKUP(Q1551,[2]PROYECTOS!$V$1:$W$32,2,0)</f>
        <v>220321</v>
      </c>
      <c r="I1551" s="78">
        <v>0</v>
      </c>
      <c r="J1551" s="51" t="s">
        <v>1943</v>
      </c>
      <c r="K1551" s="47" t="str">
        <f t="shared" ca="1" si="552"/>
        <v>CONTRATADO</v>
      </c>
      <c r="L1551" s="47" t="s">
        <v>42</v>
      </c>
      <c r="M1551" s="47" t="s">
        <v>42</v>
      </c>
      <c r="N1551" s="52" t="s">
        <v>172</v>
      </c>
      <c r="O1551" s="51" t="e">
        <f>VLOOKUP(N1551,[2]!RUBROS[#All],3,0)</f>
        <v>#REF!</v>
      </c>
      <c r="P1551" s="53" t="e">
        <f>VLOOKUP(N1551,[2]!RUBROS[#All],2,0)</f>
        <v>#REF!</v>
      </c>
      <c r="Q1551" s="47" t="str">
        <f t="shared" si="553"/>
        <v>54</v>
      </c>
      <c r="R1551" s="47" t="str">
        <f t="shared" si="554"/>
        <v>0-101024</v>
      </c>
      <c r="S1551" s="339" t="s">
        <v>42</v>
      </c>
      <c r="T1551" s="59" t="s">
        <v>42</v>
      </c>
      <c r="U1551" s="326" t="e">
        <f ca="1">_xlfn.XLOOKUP(PAA_4[[#This Row],[ITEM]],[2]Contrato!A:A,[2]Contrato!Q:Q,"",0)</f>
        <v>#NAME?</v>
      </c>
      <c r="V1551" s="47" t="s">
        <v>95</v>
      </c>
      <c r="W1551" s="47" t="s">
        <v>154</v>
      </c>
      <c r="X1551" s="47" t="s">
        <v>154</v>
      </c>
      <c r="Y1551" s="55" t="e">
        <f ca="1">_xlfn.XLOOKUP(PAA_4[[#This Row],[ITEM]],[2]Contrato!A:A,[2]Contrato!B:B,"",0)</f>
        <v>#NAME?</v>
      </c>
      <c r="Z1551" s="47" t="e">
        <f ca="1">_xlfn.XLOOKUP(PAA_4[[#This Row],[ITEM]],[2]Contrato!A:A,[2]Contrato!G:G,"",0)</f>
        <v>#NAME?</v>
      </c>
      <c r="AA1551" s="47" t="e">
        <f ca="1">_xlfn.XLOOKUP(PAA_4[[#This Row],[ITEM]],[2]Contrato!A:A,[2]Contrato!T:T,"",0)</f>
        <v>#NAME?</v>
      </c>
      <c r="AB1551" s="55" t="e">
        <f ca="1">+MAX(PAA_4[[#This Row],[Comprometido Contrato]],PAA_4[[#This Row],[Comprometido Bolsa]])</f>
        <v>#NAME?</v>
      </c>
      <c r="AC1551" s="55" t="str">
        <f t="shared" ca="1" si="555"/>
        <v/>
      </c>
      <c r="AD1551" s="55" t="e">
        <f ca="1">IF(PAA_4[[#This Row],[ESTADO (formulado)]]="NO CONTRATADO",0,MAX(PAA_4[[#This Row],[Pago por Contrato]],PAA_4[[#This Row],[Pago por bolsa]]))</f>
        <v>#NAME?</v>
      </c>
      <c r="AE1551" s="55" t="str">
        <f t="shared" ca="1" si="556"/>
        <v/>
      </c>
      <c r="AF1551" s="47" t="e">
        <f t="shared" ca="1" si="557"/>
        <v>#NAME?</v>
      </c>
      <c r="AG1551" s="47">
        <f t="shared" si="558"/>
        <v>41080302</v>
      </c>
      <c r="AH1551" s="54">
        <f>IF(Q1551="22",IF(ISNUMBER(SEARCH("econ",PAA_4[[#This Row],[Actividad3]])),"Económico",IF(ISNUMBER(SEARCH("alim",PAA_4[[#This Row],[Actividad3]])),"Alimentación",IF(ISNUMBER(SEARCH("educ",PAA_4[[#This Row],[Actividad3]])),"Educativo","Técnico"))),0)</f>
        <v>0</v>
      </c>
      <c r="AI1551" s="47" t="e" cm="1">
        <f t="array" aca="1" ref="AI1551" ca="1">_xlfn.XLOOKUP(PAA_4[[#This Row],[RCP-RUBRO]],[2]!COMPROMISOS_2024[[#All],[concatenado]],[2]!COMPROMISOS_2024[[#All],[Total pagado]],"",0)</f>
        <v>#NAME?</v>
      </c>
      <c r="AJ1551" s="56">
        <f>IF(PAA_4[[#This Row],[BOLSA]]=0,0,SUMIFS([2]!COMPROMISOS_2024[[#All],[Total pagado]],[2]!COMPROMISOS_2024[[#All],[Bolsa]],PAA_4[[#This Row],[BOLSA]],[2]!COMPROMISOS_2024[[#All],[rubro]],PAA_4[[#This Row],[RCP-RUBRO]]))</f>
        <v>0</v>
      </c>
      <c r="AK1551" s="47" t="e" cm="1">
        <f t="array" aca="1" ref="AK1551" ca="1">_xlfn.XLOOKUP(PAA_4[[#This Row],[RCP-RUBRO]],[2]!COMPROMISOS_2024[[#All],[concatenado]],[2]!COMPROMISOS_2024[[#All],[Total Comprometido]],"",0)</f>
        <v>#NAME?</v>
      </c>
      <c r="AL1551" s="47">
        <f>IF(PAA_4[[#This Row],[BOLSA]]=0,0,SUMIFS([2]!COMPROMISOS_2024[[#All],[Total Comprometido]],[2]!COMPROMISOS_2024[[#All],[Bolsa]],PAA_4[[#This Row],[BOLSA]],[2]!COMPROMISOS_2024[[#All],[concatenado]],PAA_4[[#This Row],[RCP-RUBRO]]))</f>
        <v>0</v>
      </c>
    </row>
    <row r="1552" spans="1:38" s="19" customFormat="1" ht="31.5" customHeight="1">
      <c r="A1552" s="47" t="s">
        <v>82</v>
      </c>
      <c r="B1552" s="47" t="s">
        <v>42</v>
      </c>
      <c r="C1552" s="47" t="str">
        <f>VLOOKUP(PAA_4[[#This Row],[PROYECTO (formulado)2]],[2]PROYECTOS!$G$1:$L$32,6,0)</f>
        <v>OFICINA DE PLANEACION</v>
      </c>
      <c r="D1552" s="47" t="str">
        <f>+IF(PAA_4[[#This Row],[UNIDAD DE CONTRATACION (formulado)]]="Subgerencia Administrativa y Financiera","FUNCIONAMIENTO","INVERSIÓN")</f>
        <v>INVERSIÓN</v>
      </c>
      <c r="E1552" s="48" t="str">
        <f>VLOOKUP(Q1552,[2]PROYECTOS!$G$1:$K$32,5,0)</f>
        <v>FORTALECIMIENTO_DEL_OBSERVATORIO_DEL_DEPORTE_DE_ANTIOQUIA</v>
      </c>
      <c r="F1552" s="48">
        <f>VLOOKUP(E1552,[2]PROYECTOS!$K$1:$M$32,3,0)</f>
        <v>2020003050273</v>
      </c>
      <c r="G1552" s="49" t="s">
        <v>171</v>
      </c>
      <c r="H1552" s="49">
        <f>VLOOKUP(Q1552,[2]PROYECTOS!$V$1:$W$32,2,0)</f>
        <v>220321</v>
      </c>
      <c r="I1552" s="78">
        <v>0</v>
      </c>
      <c r="J1552" s="51" t="s">
        <v>1943</v>
      </c>
      <c r="K1552" s="47" t="str">
        <f t="shared" ca="1" si="552"/>
        <v>CONTRATADO</v>
      </c>
      <c r="L1552" s="47" t="s">
        <v>42</v>
      </c>
      <c r="M1552" s="47" t="s">
        <v>42</v>
      </c>
      <c r="N1552" s="52" t="s">
        <v>172</v>
      </c>
      <c r="O1552" s="51" t="e">
        <f>VLOOKUP(N1552,[2]!RUBROS[#All],3,0)</f>
        <v>#REF!</v>
      </c>
      <c r="P1552" s="53" t="e">
        <f>VLOOKUP(N1552,[2]!RUBROS[#All],2,0)</f>
        <v>#REF!</v>
      </c>
      <c r="Q1552" s="47" t="str">
        <f t="shared" si="553"/>
        <v>54</v>
      </c>
      <c r="R1552" s="47" t="str">
        <f t="shared" si="554"/>
        <v>0-101024</v>
      </c>
      <c r="S1552" s="339" t="s">
        <v>42</v>
      </c>
      <c r="T1552" s="59" t="s">
        <v>42</v>
      </c>
      <c r="U1552" s="326" t="e">
        <f ca="1">_xlfn.XLOOKUP(PAA_4[[#This Row],[ITEM]],[2]Contrato!A:A,[2]Contrato!Q:Q,"",0)</f>
        <v>#NAME?</v>
      </c>
      <c r="V1552" s="47" t="s">
        <v>95</v>
      </c>
      <c r="W1552" s="47" t="s">
        <v>154</v>
      </c>
      <c r="X1552" s="47" t="s">
        <v>154</v>
      </c>
      <c r="Y1552" s="55" t="e">
        <f ca="1">_xlfn.XLOOKUP(PAA_4[[#This Row],[ITEM]],[2]Contrato!A:A,[2]Contrato!B:B,"",0)</f>
        <v>#NAME?</v>
      </c>
      <c r="Z1552" s="47" t="e">
        <f ca="1">_xlfn.XLOOKUP(PAA_4[[#This Row],[ITEM]],[2]Contrato!A:A,[2]Contrato!G:G,"",0)</f>
        <v>#NAME?</v>
      </c>
      <c r="AA1552" s="47" t="e">
        <f ca="1">_xlfn.XLOOKUP(PAA_4[[#This Row],[ITEM]],[2]Contrato!A:A,[2]Contrato!T:T,"",0)</f>
        <v>#NAME?</v>
      </c>
      <c r="AB1552" s="55" t="e">
        <f ca="1">+MAX(PAA_4[[#This Row],[Comprometido Contrato]],PAA_4[[#This Row],[Comprometido Bolsa]])</f>
        <v>#NAME?</v>
      </c>
      <c r="AC1552" s="55" t="str">
        <f t="shared" ca="1" si="555"/>
        <v/>
      </c>
      <c r="AD1552" s="55" t="e">
        <f ca="1">IF(PAA_4[[#This Row],[ESTADO (formulado)]]="NO CONTRATADO",0,MAX(PAA_4[[#This Row],[Pago por Contrato]],PAA_4[[#This Row],[Pago por bolsa]]))</f>
        <v>#NAME?</v>
      </c>
      <c r="AE1552" s="55" t="str">
        <f t="shared" ca="1" si="556"/>
        <v/>
      </c>
      <c r="AF1552" s="47" t="e">
        <f t="shared" ca="1" si="557"/>
        <v>#NAME?</v>
      </c>
      <c r="AG1552" s="47">
        <f t="shared" si="558"/>
        <v>41080302</v>
      </c>
      <c r="AH1552" s="54">
        <f>IF(Q1552="22",IF(ISNUMBER(SEARCH("econ",PAA_4[[#This Row],[Actividad3]])),"Económico",IF(ISNUMBER(SEARCH("alim",PAA_4[[#This Row],[Actividad3]])),"Alimentación",IF(ISNUMBER(SEARCH("educ",PAA_4[[#This Row],[Actividad3]])),"Educativo","Técnico"))),0)</f>
        <v>0</v>
      </c>
      <c r="AI1552" s="47" t="e" cm="1">
        <f t="array" aca="1" ref="AI1552" ca="1">_xlfn.XLOOKUP(PAA_4[[#This Row],[RCP-RUBRO]],[2]!COMPROMISOS_2024[[#All],[concatenado]],[2]!COMPROMISOS_2024[[#All],[Total pagado]],"",0)</f>
        <v>#NAME?</v>
      </c>
      <c r="AJ1552" s="56">
        <f>IF(PAA_4[[#This Row],[BOLSA]]=0,0,SUMIFS([2]!COMPROMISOS_2024[[#All],[Total pagado]],[2]!COMPROMISOS_2024[[#All],[Bolsa]],PAA_4[[#This Row],[BOLSA]],[2]!COMPROMISOS_2024[[#All],[rubro]],PAA_4[[#This Row],[RCP-RUBRO]]))</f>
        <v>0</v>
      </c>
      <c r="AK1552" s="47" t="e" cm="1">
        <f t="array" aca="1" ref="AK1552" ca="1">_xlfn.XLOOKUP(PAA_4[[#This Row],[RCP-RUBRO]],[2]!COMPROMISOS_2024[[#All],[concatenado]],[2]!COMPROMISOS_2024[[#All],[Total Comprometido]],"",0)</f>
        <v>#NAME?</v>
      </c>
      <c r="AL1552" s="47">
        <f>IF(PAA_4[[#This Row],[BOLSA]]=0,0,SUMIFS([2]!COMPROMISOS_2024[[#All],[Total Comprometido]],[2]!COMPROMISOS_2024[[#All],[Bolsa]],PAA_4[[#This Row],[BOLSA]],[2]!COMPROMISOS_2024[[#All],[concatenado]],PAA_4[[#This Row],[RCP-RUBRO]]))</f>
        <v>0</v>
      </c>
    </row>
    <row r="1553" spans="1:38" s="19" customFormat="1" ht="31.5" customHeight="1">
      <c r="A1553" s="47" t="s">
        <v>82</v>
      </c>
      <c r="B1553" s="47" t="s">
        <v>42</v>
      </c>
      <c r="C1553" s="47" t="str">
        <f>VLOOKUP(PAA_4[[#This Row],[PROYECTO (formulado)2]],[2]PROYECTOS!$G$1:$L$32,6,0)</f>
        <v>OFICINA DE PLANEACION</v>
      </c>
      <c r="D1553" s="47" t="str">
        <f>+IF(PAA_4[[#This Row],[UNIDAD DE CONTRATACION (formulado)]]="Subgerencia Administrativa y Financiera","FUNCIONAMIENTO","INVERSIÓN")</f>
        <v>INVERSIÓN</v>
      </c>
      <c r="E1553" s="48" t="str">
        <f>VLOOKUP(Q1553,[2]PROYECTOS!$G$1:$K$32,5,0)</f>
        <v>FORTALECIMIENTO_DEL_OBSERVATORIO_DEL_DEPORTE_DE_ANTIOQUIA</v>
      </c>
      <c r="F1553" s="48">
        <f>VLOOKUP(E1553,[2]PROYECTOS!$K$1:$M$32,3,0)</f>
        <v>2020003050273</v>
      </c>
      <c r="G1553" s="49" t="s">
        <v>173</v>
      </c>
      <c r="H1553" s="49">
        <f>VLOOKUP(Q1553,[2]PROYECTOS!$V$1:$W$32,2,0)</f>
        <v>220321</v>
      </c>
      <c r="I1553" s="78">
        <v>0</v>
      </c>
      <c r="J1553" s="51" t="s">
        <v>1464</v>
      </c>
      <c r="K1553" s="47" t="str">
        <f t="shared" ca="1" si="552"/>
        <v>CONTRATADO</v>
      </c>
      <c r="L1553" s="47" t="s">
        <v>42</v>
      </c>
      <c r="M1553" s="47" t="s">
        <v>42</v>
      </c>
      <c r="N1553" s="52" t="s">
        <v>1944</v>
      </c>
      <c r="O1553" s="51" t="e">
        <f>VLOOKUP(N1553,[2]!RUBROS[#All],3,0)</f>
        <v>#REF!</v>
      </c>
      <c r="P1553" s="53" t="e">
        <f>VLOOKUP(N1553,[2]!RUBROS[#All],2,0)</f>
        <v>#REF!</v>
      </c>
      <c r="Q1553" s="47" t="str">
        <f t="shared" si="553"/>
        <v>54</v>
      </c>
      <c r="R1553" s="47" t="str">
        <f t="shared" si="554"/>
        <v>0-205128</v>
      </c>
      <c r="S1553" s="339" t="s">
        <v>42</v>
      </c>
      <c r="T1553" s="59" t="s">
        <v>42</v>
      </c>
      <c r="U1553" s="326" t="e">
        <f ca="1">_xlfn.XLOOKUP(PAA_4[[#This Row],[ITEM]],[2]Contrato!A:A,[2]Contrato!Q:Q,"",0)</f>
        <v>#NAME?</v>
      </c>
      <c r="V1553" s="47" t="s">
        <v>95</v>
      </c>
      <c r="W1553" s="47" t="s">
        <v>154</v>
      </c>
      <c r="X1553" s="47" t="s">
        <v>154</v>
      </c>
      <c r="Y1553" s="55" t="e">
        <f ca="1">_xlfn.XLOOKUP(PAA_4[[#This Row],[ITEM]],[2]Contrato!A:A,[2]Contrato!B:B,"",0)</f>
        <v>#NAME?</v>
      </c>
      <c r="Z1553" s="47" t="e">
        <f ca="1">_xlfn.XLOOKUP(PAA_4[[#This Row],[ITEM]],[2]Contrato!A:A,[2]Contrato!G:G,"",0)</f>
        <v>#NAME?</v>
      </c>
      <c r="AA1553" s="47" t="e">
        <f ca="1">_xlfn.XLOOKUP(PAA_4[[#This Row],[ITEM]],[2]Contrato!A:A,[2]Contrato!T:T,"",0)</f>
        <v>#NAME?</v>
      </c>
      <c r="AB1553" s="55" t="e">
        <f ca="1">+MAX(PAA_4[[#This Row],[Comprometido Contrato]],PAA_4[[#This Row],[Comprometido Bolsa]])</f>
        <v>#NAME?</v>
      </c>
      <c r="AC1553" s="55" t="str">
        <f t="shared" ca="1" si="555"/>
        <v/>
      </c>
      <c r="AD1553" s="55" t="e">
        <f ca="1">IF(PAA_4[[#This Row],[ESTADO (formulado)]]="NO CONTRATADO",0,MAX(PAA_4[[#This Row],[Pago por Contrato]],PAA_4[[#This Row],[Pago por bolsa]]))</f>
        <v>#NAME?</v>
      </c>
      <c r="AE1553" s="55" t="str">
        <f t="shared" ca="1" si="556"/>
        <v/>
      </c>
      <c r="AF1553" s="47" t="e">
        <f t="shared" ca="1" si="557"/>
        <v>#NAME?</v>
      </c>
      <c r="AG1553" s="47">
        <f t="shared" si="558"/>
        <v>41080302</v>
      </c>
      <c r="AH1553" s="54">
        <f>IF(Q1553="22",IF(ISNUMBER(SEARCH("econ",PAA_4[[#This Row],[Actividad3]])),"Económico",IF(ISNUMBER(SEARCH("alim",PAA_4[[#This Row],[Actividad3]])),"Alimentación",IF(ISNUMBER(SEARCH("educ",PAA_4[[#This Row],[Actividad3]])),"Educativo","Técnico"))),0)</f>
        <v>0</v>
      </c>
      <c r="AI1553" s="47" t="e" cm="1">
        <f t="array" aca="1" ref="AI1553" ca="1">_xlfn.XLOOKUP(PAA_4[[#This Row],[RCP-RUBRO]],[2]!COMPROMISOS_2024[[#All],[concatenado]],[2]!COMPROMISOS_2024[[#All],[Total pagado]],"",0)</f>
        <v>#NAME?</v>
      </c>
      <c r="AJ1553" s="56">
        <f>IF(PAA_4[[#This Row],[BOLSA]]=0,0,SUMIFS([2]!COMPROMISOS_2024[[#All],[Total pagado]],[2]!COMPROMISOS_2024[[#All],[Bolsa]],PAA_4[[#This Row],[BOLSA]],[2]!COMPROMISOS_2024[[#All],[rubro]],PAA_4[[#This Row],[RCP-RUBRO]]))</f>
        <v>0</v>
      </c>
      <c r="AK1553" s="47" t="e" cm="1">
        <f t="array" aca="1" ref="AK1553" ca="1">_xlfn.XLOOKUP(PAA_4[[#This Row],[RCP-RUBRO]],[2]!COMPROMISOS_2024[[#All],[concatenado]],[2]!COMPROMISOS_2024[[#All],[Total Comprometido]],"",0)</f>
        <v>#NAME?</v>
      </c>
      <c r="AL1553" s="47">
        <f>IF(PAA_4[[#This Row],[BOLSA]]=0,0,SUMIFS([2]!COMPROMISOS_2024[[#All],[Total Comprometido]],[2]!COMPROMISOS_2024[[#All],[Bolsa]],PAA_4[[#This Row],[BOLSA]],[2]!COMPROMISOS_2024[[#All],[concatenado]],PAA_4[[#This Row],[RCP-RUBRO]]))</f>
        <v>0</v>
      </c>
    </row>
    <row r="1554" spans="1:38" s="19" customFormat="1" ht="31.5" customHeight="1">
      <c r="A1554" s="47" t="s">
        <v>82</v>
      </c>
      <c r="B1554" s="47" t="s">
        <v>42</v>
      </c>
      <c r="C1554" s="47" t="str">
        <f>VLOOKUP(PAA_4[[#This Row],[PROYECTO (formulado)2]],[2]PROYECTOS!$G$1:$L$32,6,0)</f>
        <v>OFICINADECOMUNICACIONES</v>
      </c>
      <c r="D1554" s="47" t="str">
        <f>+IF(PAA_4[[#This Row],[UNIDAD DE CONTRATACION (formulado)]]="Subgerencia Administrativa y Financiera","FUNCIONAMIENTO","INVERSIÓN")</f>
        <v>INVERSIÓN</v>
      </c>
      <c r="E1554" s="48" t="str">
        <f>VLOOKUP(Q1554,[2]PROYECTOS!$G$1:$K$32,5,0)</f>
        <v>FORTALECIMIENTO_DE_LA_IMAGEN_INSTITUCIONAL_COMO_REFERENTE_SOCIAL_PARA_EL_DEPARTAMENTO_DE_ANTIOQUIA</v>
      </c>
      <c r="F1554" s="48">
        <f>VLOOKUP(E1554,[2]PROYECTOS!$K$1:$M$32,3,0)</f>
        <v>2021003050071</v>
      </c>
      <c r="G1554" s="49" t="s">
        <v>160</v>
      </c>
      <c r="H1554" s="49" t="str">
        <f>VLOOKUP(Q1554,[2]PROYECTOS!$V$1:$W$32,2,0)</f>
        <v>050067</v>
      </c>
      <c r="I1554" s="78">
        <v>0</v>
      </c>
      <c r="J1554" s="51" t="s">
        <v>1945</v>
      </c>
      <c r="K1554" s="47" t="str">
        <f t="shared" ca="1" si="552"/>
        <v>CONTRATADO</v>
      </c>
      <c r="L1554" s="47" t="s">
        <v>42</v>
      </c>
      <c r="M1554" s="47" t="s">
        <v>42</v>
      </c>
      <c r="N1554" s="52" t="s">
        <v>163</v>
      </c>
      <c r="O1554" s="51" t="e">
        <f>VLOOKUP(N1554,[2]!RUBROS[#All],3,0)</f>
        <v>#REF!</v>
      </c>
      <c r="P1554" s="53" t="e">
        <f>VLOOKUP(N1554,[2]!RUBROS[#All],2,0)</f>
        <v>#REF!</v>
      </c>
      <c r="Q1554" s="47" t="str">
        <f t="shared" si="553"/>
        <v>92</v>
      </c>
      <c r="R1554" s="47" t="str">
        <f t="shared" si="554"/>
        <v>0-101024</v>
      </c>
      <c r="S1554" s="339" t="s">
        <v>42</v>
      </c>
      <c r="T1554" s="59" t="s">
        <v>42</v>
      </c>
      <c r="U1554" s="326" t="e">
        <f ca="1">_xlfn.XLOOKUP(PAA_4[[#This Row],[ITEM]],[2]Contrato!A:A,[2]Contrato!Q:Q,"",0)</f>
        <v>#NAME?</v>
      </c>
      <c r="V1554" s="47" t="s">
        <v>95</v>
      </c>
      <c r="W1554" s="47" t="s">
        <v>154</v>
      </c>
      <c r="X1554" s="47" t="s">
        <v>154</v>
      </c>
      <c r="Y1554" s="55" t="e">
        <f ca="1">_xlfn.XLOOKUP(PAA_4[[#This Row],[ITEM]],[2]Contrato!A:A,[2]Contrato!B:B,"",0)</f>
        <v>#NAME?</v>
      </c>
      <c r="Z1554" s="47" t="e">
        <f ca="1">_xlfn.XLOOKUP(PAA_4[[#This Row],[ITEM]],[2]Contrato!A:A,[2]Contrato!G:G,"",0)</f>
        <v>#NAME?</v>
      </c>
      <c r="AA1554" s="47" t="e">
        <f ca="1">_xlfn.XLOOKUP(PAA_4[[#This Row],[ITEM]],[2]Contrato!A:A,[2]Contrato!T:T,"",0)</f>
        <v>#NAME?</v>
      </c>
      <c r="AB1554" s="55" t="e">
        <f ca="1">+MAX(PAA_4[[#This Row],[Comprometido Contrato]],PAA_4[[#This Row],[Comprometido Bolsa]])</f>
        <v>#NAME?</v>
      </c>
      <c r="AC1554" s="55" t="str">
        <f t="shared" ca="1" si="555"/>
        <v/>
      </c>
      <c r="AD1554" s="55" t="e">
        <f ca="1">IF(PAA_4[[#This Row],[ESTADO (formulado)]]="NO CONTRATADO",0,MAX(PAA_4[[#This Row],[Pago por Contrato]],PAA_4[[#This Row],[Pago por bolsa]]))</f>
        <v>#NAME?</v>
      </c>
      <c r="AE1554" s="55" t="str">
        <f t="shared" ca="1" si="556"/>
        <v/>
      </c>
      <c r="AF1554" s="47" t="e">
        <f t="shared" ca="1" si="557"/>
        <v>#NAME?</v>
      </c>
      <c r="AG1554" s="47">
        <f t="shared" si="558"/>
        <v>41080113</v>
      </c>
      <c r="AH1554" s="54">
        <f>IF(Q1554="22",IF(ISNUMBER(SEARCH("econ",PAA_4[[#This Row],[Actividad3]])),"Económico",IF(ISNUMBER(SEARCH("alim",PAA_4[[#This Row],[Actividad3]])),"Alimentación",IF(ISNUMBER(SEARCH("educ",PAA_4[[#This Row],[Actividad3]])),"Educativo","Técnico"))),0)</f>
        <v>0</v>
      </c>
      <c r="AI1554" s="47" t="e" cm="1">
        <f t="array" aca="1" ref="AI1554" ca="1">_xlfn.XLOOKUP(PAA_4[[#This Row],[RCP-RUBRO]],[2]!COMPROMISOS_2024[[#All],[concatenado]],[2]!COMPROMISOS_2024[[#All],[Total pagado]],"",0)</f>
        <v>#NAME?</v>
      </c>
      <c r="AJ1554" s="56">
        <f>IF(PAA_4[[#This Row],[BOLSA]]=0,0,SUMIFS([2]!COMPROMISOS_2024[[#All],[Total pagado]],[2]!COMPROMISOS_2024[[#All],[Bolsa]],PAA_4[[#This Row],[BOLSA]],[2]!COMPROMISOS_2024[[#All],[rubro]],PAA_4[[#This Row],[RCP-RUBRO]]))</f>
        <v>0</v>
      </c>
      <c r="AK1554" s="47" t="e" cm="1">
        <f t="array" aca="1" ref="AK1554" ca="1">_xlfn.XLOOKUP(PAA_4[[#This Row],[RCP-RUBRO]],[2]!COMPROMISOS_2024[[#All],[concatenado]],[2]!COMPROMISOS_2024[[#All],[Total Comprometido]],"",0)</f>
        <v>#NAME?</v>
      </c>
      <c r="AL1554" s="47">
        <f>IF(PAA_4[[#This Row],[BOLSA]]=0,0,SUMIFS([2]!COMPROMISOS_2024[[#All],[Total Comprometido]],[2]!COMPROMISOS_2024[[#All],[Bolsa]],PAA_4[[#This Row],[BOLSA]],[2]!COMPROMISOS_2024[[#All],[concatenado]],PAA_4[[#This Row],[RCP-RUBRO]]))</f>
        <v>0</v>
      </c>
    </row>
    <row r="1555" spans="1:38" s="19" customFormat="1" ht="31.5" customHeight="1">
      <c r="A1555" s="47" t="s">
        <v>82</v>
      </c>
      <c r="B1555" s="47" t="s">
        <v>42</v>
      </c>
      <c r="C1555" s="47" t="str">
        <f>VLOOKUP(PAA_4[[#This Row],[PROYECTO (formulado)2]],[2]PROYECTOS!$G$1:$L$32,6,0)</f>
        <v>SUBGERENCIA DE ALTOS LOGROS Y DEPORTE ASOCIADO</v>
      </c>
      <c r="D1555" s="47" t="str">
        <f>+IF(PAA_4[[#This Row],[UNIDAD DE CONTRATACION (formulado)]]="Subgerencia Administrativa y Financiera","FUNCIONAMIENTO","INVERSIÓN")</f>
        <v>INVERSIÓN</v>
      </c>
      <c r="E1555" s="48" t="str">
        <f>VLOOKUP(Q1555,[2]PROYECTOS!$G$1:$K$32,5,0)</f>
        <v>FORTALECIMIENTO_DEL_PROGRAMA_DE_ALTOS_LOGROS_Y_LIDERAZGO_DEPORTIVO_EN_EL_DEPARTAMENTO_DE_ANTIOQUIA</v>
      </c>
      <c r="F1555" s="48">
        <f>VLOOKUP(E1555,[2]PROYECTOS!$K$1:$M$32,3,0)</f>
        <v>2020003050021</v>
      </c>
      <c r="G1555" s="49" t="s">
        <v>224</v>
      </c>
      <c r="H1555" s="49" t="str">
        <f>VLOOKUP(Q1555,[2]PROYECTOS!$V$1:$W$32,2,0)</f>
        <v>050061</v>
      </c>
      <c r="I1555" s="78">
        <f>91953200-90000000</f>
        <v>1953200</v>
      </c>
      <c r="J1555" s="51" t="s">
        <v>1773</v>
      </c>
      <c r="K1555" s="47" t="str">
        <f t="shared" ca="1" si="552"/>
        <v>CONTRATADO</v>
      </c>
      <c r="L1555" s="47" t="s">
        <v>1946</v>
      </c>
      <c r="M1555" s="47" t="s">
        <v>1236</v>
      </c>
      <c r="N1555" s="52" t="s">
        <v>223</v>
      </c>
      <c r="O1555" s="51" t="e">
        <f>VLOOKUP(N1555,[2]!RUBROS[#All],3,0)</f>
        <v>#REF!</v>
      </c>
      <c r="P1555" s="53" t="e">
        <f>VLOOKUP(N1555,[2]!RUBROS[#All],2,0)</f>
        <v>#REF!</v>
      </c>
      <c r="Q1555" s="47" t="str">
        <f t="shared" si="553"/>
        <v>20</v>
      </c>
      <c r="R1555" s="47" t="str">
        <f t="shared" si="554"/>
        <v>0-205400</v>
      </c>
      <c r="S1555" s="339" t="s">
        <v>42</v>
      </c>
      <c r="T1555" s="59" t="s">
        <v>42</v>
      </c>
      <c r="U1555" s="326" t="e">
        <f ca="1">_xlfn.XLOOKUP(PAA_4[[#This Row],[ITEM]],[2]Contrato!A:A,[2]Contrato!Q:Q,"",0)</f>
        <v>#NAME?</v>
      </c>
      <c r="V1555" s="47" t="s">
        <v>95</v>
      </c>
      <c r="W1555" s="47" t="s">
        <v>154</v>
      </c>
      <c r="X1555" s="47" t="s">
        <v>154</v>
      </c>
      <c r="Y1555" s="55" t="e">
        <f ca="1">_xlfn.XLOOKUP(PAA_4[[#This Row],[ITEM]],[2]Contrato!A:A,[2]Contrato!B:B,"",0)</f>
        <v>#NAME?</v>
      </c>
      <c r="Z1555" s="47" t="e">
        <f ca="1">_xlfn.XLOOKUP(PAA_4[[#This Row],[ITEM]],[2]Contrato!A:A,[2]Contrato!G:G,"",0)</f>
        <v>#NAME?</v>
      </c>
      <c r="AA1555" s="47" t="e">
        <f ca="1">_xlfn.XLOOKUP(PAA_4[[#This Row],[ITEM]],[2]Contrato!A:A,[2]Contrato!T:T,"",0)</f>
        <v>#NAME?</v>
      </c>
      <c r="AB1555" s="55" t="e">
        <f ca="1">+MAX(PAA_4[[#This Row],[Comprometido Contrato]],PAA_4[[#This Row],[Comprometido Bolsa]])</f>
        <v>#NAME?</v>
      </c>
      <c r="AC1555" s="55" t="str">
        <f t="shared" ca="1" si="555"/>
        <v/>
      </c>
      <c r="AD1555" s="55" t="e">
        <f ca="1">IF(PAA_4[[#This Row],[ESTADO (formulado)]]="NO CONTRATADO",0,MAX(PAA_4[[#This Row],[Pago por Contrato]],PAA_4[[#This Row],[Pago por bolsa]]))</f>
        <v>#NAME?</v>
      </c>
      <c r="AE1555" s="55" t="str">
        <f t="shared" ca="1" si="556"/>
        <v/>
      </c>
      <c r="AF1555" s="47" t="e">
        <f t="shared" ca="1" si="557"/>
        <v>#NAME?</v>
      </c>
      <c r="AG1555" s="47">
        <f t="shared" si="558"/>
        <v>41080111</v>
      </c>
      <c r="AH1555" s="54">
        <f>IF(Q1555="22",IF(ISNUMBER(SEARCH("econ",PAA_4[[#This Row],[Actividad3]])),"Económico",IF(ISNUMBER(SEARCH("alim",PAA_4[[#This Row],[Actividad3]])),"Alimentación",IF(ISNUMBER(SEARCH("educ",PAA_4[[#This Row],[Actividad3]])),"Educativo","Técnico"))),0)</f>
        <v>0</v>
      </c>
      <c r="AI1555" s="47" t="e" cm="1">
        <f t="array" aca="1" ref="AI1555" ca="1">_xlfn.XLOOKUP(PAA_4[[#This Row],[RCP-RUBRO]],[2]!COMPROMISOS_2024[[#All],[concatenado]],[2]!COMPROMISOS_2024[[#All],[Total pagado]],"",0)</f>
        <v>#NAME?</v>
      </c>
      <c r="AJ1555" s="56">
        <f>IF(PAA_4[[#This Row],[BOLSA]]=0,0,SUMIFS([2]!COMPROMISOS_2024[[#All],[Total pagado]],[2]!COMPROMISOS_2024[[#All],[Bolsa]],PAA_4[[#This Row],[BOLSA]],[2]!COMPROMISOS_2024[[#All],[rubro]],PAA_4[[#This Row],[RCP-RUBRO]]))</f>
        <v>0</v>
      </c>
      <c r="AK1555" s="47" t="e" cm="1">
        <f t="array" aca="1" ref="AK1555" ca="1">_xlfn.XLOOKUP(PAA_4[[#This Row],[RCP-RUBRO]],[2]!COMPROMISOS_2024[[#All],[concatenado]],[2]!COMPROMISOS_2024[[#All],[Total Comprometido]],"",0)</f>
        <v>#NAME?</v>
      </c>
      <c r="AL1555" s="47">
        <f>IF(PAA_4[[#This Row],[BOLSA]]=0,0,SUMIFS([2]!COMPROMISOS_2024[[#All],[Total Comprometido]],[2]!COMPROMISOS_2024[[#All],[Bolsa]],PAA_4[[#This Row],[BOLSA]],[2]!COMPROMISOS_2024[[#All],[concatenado]],PAA_4[[#This Row],[RCP-RUBRO]]))</f>
        <v>0</v>
      </c>
    </row>
    <row r="1556" spans="1:38" s="19" customFormat="1" ht="31.5" customHeight="1">
      <c r="A1556" s="47">
        <v>713</v>
      </c>
      <c r="B1556" s="47">
        <v>90141502</v>
      </c>
      <c r="C1556" s="47" t="str">
        <f>VLOOKUP(PAA_4[[#This Row],[PROYECTO (formulado)2]],[2]PROYECTOS!$G$1:$L$32,6,0)</f>
        <v>SUBGERENCIA DE ALTOS LOGROS Y DEPORTE ASOCIADO</v>
      </c>
      <c r="D1556" s="47" t="str">
        <f>+IF(PAA_4[[#This Row],[UNIDAD DE CONTRATACION (formulado)]]="Subgerencia Administrativa y Financiera","FUNCIONAMIENTO","INVERSIÓN")</f>
        <v>INVERSIÓN</v>
      </c>
      <c r="E1556" s="48" t="str">
        <f>VLOOKUP(Q1556,[2]PROYECTOS!$G$1:$K$32,5,0)</f>
        <v>FORTALECIMIENTO_DEL_PROGRAMA_DE_ALTOS_LOGROS_Y_LIDERAZGO_DEPORTIVO_EN_EL_DEPARTAMENTO_DE_ANTIOQUIA</v>
      </c>
      <c r="F1556" s="48">
        <f>VLOOKUP(E1556,[2]PROYECTOS!$K$1:$M$32,3,0)</f>
        <v>2020003050021</v>
      </c>
      <c r="G1556" s="49" t="s">
        <v>224</v>
      </c>
      <c r="H1556" s="49" t="str">
        <f>VLOOKUP(Q1556,[2]PROYECTOS!$V$1:$W$32,2,0)</f>
        <v>050061</v>
      </c>
      <c r="I1556" s="78">
        <f>70000000-33154584</f>
        <v>36845416</v>
      </c>
      <c r="J1556" s="51" t="s">
        <v>1766</v>
      </c>
      <c r="K1556" s="47" t="str">
        <f t="shared" ca="1" si="552"/>
        <v>CONTRATADO</v>
      </c>
      <c r="L1556" s="47" t="s">
        <v>94</v>
      </c>
      <c r="M1556" s="47" t="s">
        <v>1767</v>
      </c>
      <c r="N1556" s="52" t="s">
        <v>223</v>
      </c>
      <c r="O1556" s="51" t="e">
        <f>VLOOKUP(N1556,[2]!RUBROS[#All],3,0)</f>
        <v>#REF!</v>
      </c>
      <c r="P1556" s="53" t="e">
        <f>VLOOKUP(N1556,[2]!RUBROS[#All],2,0)</f>
        <v>#REF!</v>
      </c>
      <c r="Q1556" s="47" t="str">
        <f t="shared" si="553"/>
        <v>20</v>
      </c>
      <c r="R1556" s="47" t="str">
        <f t="shared" si="554"/>
        <v>0-205400</v>
      </c>
      <c r="S1556" s="342">
        <v>200</v>
      </c>
      <c r="T1556" s="59" t="s">
        <v>120</v>
      </c>
      <c r="U1556" s="326" t="e">
        <f ca="1">_xlfn.XLOOKUP(PAA_4[[#This Row],[ITEM]],[2]Contrato!A:A,[2]Contrato!Q:Q,"",0)</f>
        <v>#NAME?</v>
      </c>
      <c r="V1556" s="47" t="s">
        <v>95</v>
      </c>
      <c r="W1556" s="343" t="s">
        <v>193</v>
      </c>
      <c r="X1556" s="343" t="s">
        <v>193</v>
      </c>
      <c r="Y1556" s="55" t="e">
        <f ca="1">_xlfn.XLOOKUP(PAA_4[[#This Row],[ITEM]],[2]Contrato!A:A,[2]Contrato!B:B,"",0)</f>
        <v>#NAME?</v>
      </c>
      <c r="Z1556" s="47" t="e">
        <f ca="1">_xlfn.XLOOKUP(PAA_4[[#This Row],[ITEM]],[2]Contrato!A:A,[2]Contrato!G:G,"",0)</f>
        <v>#NAME?</v>
      </c>
      <c r="AA1556" s="47" t="e">
        <f ca="1">_xlfn.XLOOKUP(PAA_4[[#This Row],[ITEM]],[2]Contrato!A:A,[2]Contrato!T:T,"",0)</f>
        <v>#NAME?</v>
      </c>
      <c r="AB1556" s="55" t="e">
        <f ca="1">+MAX(PAA_4[[#This Row],[Comprometido Contrato]],PAA_4[[#This Row],[Comprometido Bolsa]])</f>
        <v>#NAME?</v>
      </c>
      <c r="AC1556" s="55" t="str">
        <f t="shared" ca="1" si="555"/>
        <v/>
      </c>
      <c r="AD1556" s="55" t="e">
        <f ca="1">IF(PAA_4[[#This Row],[ESTADO (formulado)]]="NO CONTRATADO",0,MAX(PAA_4[[#This Row],[Pago por Contrato]],PAA_4[[#This Row],[Pago por bolsa]]))</f>
        <v>#NAME?</v>
      </c>
      <c r="AE1556" s="55" t="str">
        <f t="shared" ca="1" si="556"/>
        <v/>
      </c>
      <c r="AF1556" s="47" t="e">
        <f t="shared" ca="1" si="557"/>
        <v>#NAME?</v>
      </c>
      <c r="AG1556" s="47">
        <f t="shared" si="558"/>
        <v>41080111</v>
      </c>
      <c r="AH1556" s="54">
        <f>IF(Q1556="22",IF(ISNUMBER(SEARCH("econ",PAA_4[[#This Row],[Actividad3]])),"Económico",IF(ISNUMBER(SEARCH("alim",PAA_4[[#This Row],[Actividad3]])),"Alimentación",IF(ISNUMBER(SEARCH("educ",PAA_4[[#This Row],[Actividad3]])),"Educativo","Técnico"))),0)</f>
        <v>0</v>
      </c>
      <c r="AI1556" s="47" t="e" cm="1">
        <f t="array" aca="1" ref="AI1556" ca="1">_xlfn.XLOOKUP(PAA_4[[#This Row],[RCP-RUBRO]],[2]!COMPROMISOS_2024[[#All],[concatenado]],[2]!COMPROMISOS_2024[[#All],[Total pagado]],"",0)</f>
        <v>#NAME?</v>
      </c>
      <c r="AJ1556" s="56">
        <f>IF(PAA_4[[#This Row],[BOLSA]]=0,0,SUMIFS([2]!COMPROMISOS_2024[[#All],[Total pagado]],[2]!COMPROMISOS_2024[[#All],[Bolsa]],PAA_4[[#This Row],[BOLSA]],[2]!COMPROMISOS_2024[[#All],[rubro]],PAA_4[[#This Row],[RCP-RUBRO]]))</f>
        <v>0</v>
      </c>
      <c r="AK1556" s="47" t="e" cm="1">
        <f t="array" aca="1" ref="AK1556" ca="1">_xlfn.XLOOKUP(PAA_4[[#This Row],[RCP-RUBRO]],[2]!COMPROMISOS_2024[[#All],[concatenado]],[2]!COMPROMISOS_2024[[#All],[Total Comprometido]],"",0)</f>
        <v>#NAME?</v>
      </c>
      <c r="AL1556" s="47">
        <f>IF(PAA_4[[#This Row],[BOLSA]]=0,0,SUMIFS([2]!COMPROMISOS_2024[[#All],[Total Comprometido]],[2]!COMPROMISOS_2024[[#All],[Bolsa]],PAA_4[[#This Row],[BOLSA]],[2]!COMPROMISOS_2024[[#All],[concatenado]],PAA_4[[#This Row],[RCP-RUBRO]]))</f>
        <v>0</v>
      </c>
    </row>
    <row r="1557" spans="1:38" s="19" customFormat="1" ht="31.5" customHeight="1">
      <c r="A1557" s="47">
        <v>719</v>
      </c>
      <c r="B1557" s="47">
        <v>90141502</v>
      </c>
      <c r="C1557" s="47" t="str">
        <f>VLOOKUP(PAA_4[[#This Row],[PROYECTO (formulado)2]],[2]PROYECTOS!$G$1:$L$32,6,0)</f>
        <v>SUBGERENCIA DE ALTOS LOGROS Y DEPORTE ASOCIADO</v>
      </c>
      <c r="D1557" s="47" t="str">
        <f>+IF(PAA_4[[#This Row],[UNIDAD DE CONTRATACION (formulado)]]="Subgerencia Administrativa y Financiera","FUNCIONAMIENTO","INVERSIÓN")</f>
        <v>INVERSIÓN</v>
      </c>
      <c r="E1557" s="48" t="str">
        <f>VLOOKUP(Q1557,[2]PROYECTOS!$G$1:$K$32,5,0)</f>
        <v>FORTALECIMIENTO_DEL_PROGRAMA_DE_ALTOS_LOGROS_Y_LIDERAZGO_DEPORTIVO_EN_EL_DEPARTAMENTO_DE_ANTIOQUIA</v>
      </c>
      <c r="F1557" s="48">
        <f>VLOOKUP(E1557,[2]PROYECTOS!$K$1:$M$32,3,0)</f>
        <v>2020003050021</v>
      </c>
      <c r="G1557" s="49" t="s">
        <v>224</v>
      </c>
      <c r="H1557" s="49" t="str">
        <f>VLOOKUP(Q1557,[2]PROYECTOS!$V$1:$W$32,2,0)</f>
        <v>050061</v>
      </c>
      <c r="I1557" s="78">
        <v>60000000</v>
      </c>
      <c r="J1557" s="51" t="s">
        <v>1772</v>
      </c>
      <c r="K1557" s="47" t="str">
        <f t="shared" ca="1" si="552"/>
        <v>CONTRATADO</v>
      </c>
      <c r="L1557" s="47" t="s">
        <v>94</v>
      </c>
      <c r="M1557" s="47" t="s">
        <v>1767</v>
      </c>
      <c r="N1557" s="52" t="s">
        <v>223</v>
      </c>
      <c r="O1557" s="51" t="e">
        <f>VLOOKUP(N1557,[2]!RUBROS[#All],3,0)</f>
        <v>#REF!</v>
      </c>
      <c r="P1557" s="53" t="e">
        <f>VLOOKUP(N1557,[2]!RUBROS[#All],2,0)</f>
        <v>#REF!</v>
      </c>
      <c r="Q1557" s="47" t="str">
        <f t="shared" si="553"/>
        <v>20</v>
      </c>
      <c r="R1557" s="47" t="str">
        <f t="shared" si="554"/>
        <v>0-205400</v>
      </c>
      <c r="S1557" s="342">
        <v>160</v>
      </c>
      <c r="T1557" s="59" t="s">
        <v>120</v>
      </c>
      <c r="U1557" s="326" t="e">
        <f ca="1">_xlfn.XLOOKUP(PAA_4[[#This Row],[ITEM]],[2]Contrato!A:A,[2]Contrato!Q:Q,"",0)</f>
        <v>#NAME?</v>
      </c>
      <c r="V1557" s="47" t="s">
        <v>95</v>
      </c>
      <c r="W1557" s="343" t="s">
        <v>193</v>
      </c>
      <c r="X1557" s="343" t="s">
        <v>193</v>
      </c>
      <c r="Y1557" s="55" t="e">
        <f ca="1">_xlfn.XLOOKUP(PAA_4[[#This Row],[ITEM]],[2]Contrato!A:A,[2]Contrato!B:B,"",0)</f>
        <v>#NAME?</v>
      </c>
      <c r="Z1557" s="47" t="e">
        <f ca="1">_xlfn.XLOOKUP(PAA_4[[#This Row],[ITEM]],[2]Contrato!A:A,[2]Contrato!G:G,"",0)</f>
        <v>#NAME?</v>
      </c>
      <c r="AA1557" s="47" t="e">
        <f ca="1">_xlfn.XLOOKUP(PAA_4[[#This Row],[ITEM]],[2]Contrato!A:A,[2]Contrato!T:T,"",0)</f>
        <v>#NAME?</v>
      </c>
      <c r="AB1557" s="55" t="e">
        <f ca="1">+MAX(PAA_4[[#This Row],[Comprometido Contrato]],PAA_4[[#This Row],[Comprometido Bolsa]])</f>
        <v>#NAME?</v>
      </c>
      <c r="AC1557" s="55" t="str">
        <f t="shared" ca="1" si="555"/>
        <v/>
      </c>
      <c r="AD1557" s="55" t="e">
        <f ca="1">IF(PAA_4[[#This Row],[ESTADO (formulado)]]="NO CONTRATADO",0,MAX(PAA_4[[#This Row],[Pago por Contrato]],PAA_4[[#This Row],[Pago por bolsa]]))</f>
        <v>#NAME?</v>
      </c>
      <c r="AE1557" s="55" t="str">
        <f t="shared" ca="1" si="556"/>
        <v/>
      </c>
      <c r="AF1557" s="47" t="e">
        <f t="shared" ca="1" si="557"/>
        <v>#NAME?</v>
      </c>
      <c r="AG1557" s="47">
        <f t="shared" si="558"/>
        <v>41080111</v>
      </c>
      <c r="AH1557" s="54">
        <f>IF(Q1557="22",IF(ISNUMBER(SEARCH("econ",PAA_4[[#This Row],[Actividad3]])),"Económico",IF(ISNUMBER(SEARCH("alim",PAA_4[[#This Row],[Actividad3]])),"Alimentación",IF(ISNUMBER(SEARCH("educ",PAA_4[[#This Row],[Actividad3]])),"Educativo","Técnico"))),0)</f>
        <v>0</v>
      </c>
      <c r="AI1557" s="47" t="e" cm="1">
        <f t="array" aca="1" ref="AI1557" ca="1">_xlfn.XLOOKUP(PAA_4[[#This Row],[RCP-RUBRO]],[2]!COMPROMISOS_2024[[#All],[concatenado]],[2]!COMPROMISOS_2024[[#All],[Total pagado]],"",0)</f>
        <v>#NAME?</v>
      </c>
      <c r="AJ1557" s="56">
        <f>IF(PAA_4[[#This Row],[BOLSA]]=0,0,SUMIFS([2]!COMPROMISOS_2024[[#All],[Total pagado]],[2]!COMPROMISOS_2024[[#All],[Bolsa]],PAA_4[[#This Row],[BOLSA]],[2]!COMPROMISOS_2024[[#All],[rubro]],PAA_4[[#This Row],[RCP-RUBRO]]))</f>
        <v>0</v>
      </c>
      <c r="AK1557" s="47" t="e" cm="1">
        <f t="array" aca="1" ref="AK1557" ca="1">_xlfn.XLOOKUP(PAA_4[[#This Row],[RCP-RUBRO]],[2]!COMPROMISOS_2024[[#All],[concatenado]],[2]!COMPROMISOS_2024[[#All],[Total Comprometido]],"",0)</f>
        <v>#NAME?</v>
      </c>
      <c r="AL1557" s="47">
        <f>IF(PAA_4[[#This Row],[BOLSA]]=0,0,SUMIFS([2]!COMPROMISOS_2024[[#All],[Total Comprometido]],[2]!COMPROMISOS_2024[[#All],[Bolsa]],PAA_4[[#This Row],[BOLSA]],[2]!COMPROMISOS_2024[[#All],[concatenado]],PAA_4[[#This Row],[RCP-RUBRO]]))</f>
        <v>0</v>
      </c>
    </row>
    <row r="1558" spans="1:38" s="19" customFormat="1" ht="31.5" customHeight="1">
      <c r="A1558" s="47">
        <v>850</v>
      </c>
      <c r="B1558" s="47">
        <v>90141502</v>
      </c>
      <c r="C1558" s="47" t="str">
        <f>VLOOKUP(PAA_4[[#This Row],[PROYECTO (formulado)2]],[2]PROYECTOS!$G$1:$L$32,6,0)</f>
        <v>SUBGERENCIA DE ALTOS LOGROS Y DEPORTE ASOCIADO</v>
      </c>
      <c r="D1558" s="47" t="str">
        <f>+IF(PAA_4[[#This Row],[UNIDAD DE CONTRATACION (formulado)]]="Subgerencia Administrativa y Financiera","FUNCIONAMIENTO","INVERSIÓN")</f>
        <v>INVERSIÓN</v>
      </c>
      <c r="E1558" s="48" t="str">
        <f>VLOOKUP(Q1558,[2]PROYECTOS!$G$1:$K$32,5,0)</f>
        <v>FORTALECIMIENTO_DEL_PROGRAMA_DE_ALTOS_LOGROS_Y_LIDERAZGO_DEPORTIVO_EN_EL_DEPARTAMENTO_DE_ANTIOQUIA</v>
      </c>
      <c r="F1558" s="48">
        <f>VLOOKUP(E1558,[2]PROYECTOS!$K$1:$M$32,3,0)</f>
        <v>2020003050021</v>
      </c>
      <c r="G1558" s="49" t="s">
        <v>224</v>
      </c>
      <c r="H1558" s="49" t="str">
        <f>VLOOKUP(Q1558,[2]PROYECTOS!$V$1:$W$32,2,0)</f>
        <v>050061</v>
      </c>
      <c r="I1558" s="78">
        <v>80000000</v>
      </c>
      <c r="J1558" s="51" t="s">
        <v>1947</v>
      </c>
      <c r="K1558" s="47" t="str">
        <f t="shared" ca="1" si="552"/>
        <v>CONTRATADO</v>
      </c>
      <c r="L1558" s="47" t="s">
        <v>94</v>
      </c>
      <c r="M1558" s="47" t="s">
        <v>1767</v>
      </c>
      <c r="N1558" s="52" t="s">
        <v>223</v>
      </c>
      <c r="O1558" s="51" t="e">
        <f>VLOOKUP(N1558,[2]!RUBROS[#All],3,0)</f>
        <v>#REF!</v>
      </c>
      <c r="P1558" s="53" t="e">
        <f>VLOOKUP(N1558,[2]!RUBROS[#All],2,0)</f>
        <v>#REF!</v>
      </c>
      <c r="Q1558" s="47" t="str">
        <f t="shared" si="553"/>
        <v>20</v>
      </c>
      <c r="R1558" s="47" t="str">
        <f t="shared" si="554"/>
        <v>0-205400</v>
      </c>
      <c r="S1558" s="342">
        <v>160</v>
      </c>
      <c r="T1558" s="59" t="s">
        <v>120</v>
      </c>
      <c r="U1558" s="326" t="e">
        <f ca="1">_xlfn.XLOOKUP(PAA_4[[#This Row],[ITEM]],[2]Contrato!A:A,[2]Contrato!Q:Q,"",0)</f>
        <v>#NAME?</v>
      </c>
      <c r="V1558" s="47" t="s">
        <v>95</v>
      </c>
      <c r="W1558" s="343" t="s">
        <v>193</v>
      </c>
      <c r="X1558" s="343" t="s">
        <v>193</v>
      </c>
      <c r="Y1558" s="55" t="e">
        <f ca="1">_xlfn.XLOOKUP(PAA_4[[#This Row],[ITEM]],[2]Contrato!A:A,[2]Contrato!B:B,"",0)</f>
        <v>#NAME?</v>
      </c>
      <c r="Z1558" s="47" t="e">
        <f ca="1">_xlfn.XLOOKUP(PAA_4[[#This Row],[ITEM]],[2]Contrato!A:A,[2]Contrato!G:G,"",0)</f>
        <v>#NAME?</v>
      </c>
      <c r="AA1558" s="47" t="e">
        <f ca="1">_xlfn.XLOOKUP(PAA_4[[#This Row],[ITEM]],[2]Contrato!A:A,[2]Contrato!T:T,"",0)</f>
        <v>#NAME?</v>
      </c>
      <c r="AB1558" s="55" t="e">
        <f ca="1">+MAX(PAA_4[[#This Row],[Comprometido Contrato]],PAA_4[[#This Row],[Comprometido Bolsa]])</f>
        <v>#NAME?</v>
      </c>
      <c r="AC1558" s="55" t="str">
        <f t="shared" ca="1" si="555"/>
        <v/>
      </c>
      <c r="AD1558" s="55" t="e">
        <f ca="1">IF(PAA_4[[#This Row],[ESTADO (formulado)]]="NO CONTRATADO",0,MAX(PAA_4[[#This Row],[Pago por Contrato]],PAA_4[[#This Row],[Pago por bolsa]]))</f>
        <v>#NAME?</v>
      </c>
      <c r="AE1558" s="55" t="str">
        <f t="shared" ca="1" si="556"/>
        <v/>
      </c>
      <c r="AF1558" s="47" t="e">
        <f t="shared" ca="1" si="557"/>
        <v>#NAME?</v>
      </c>
      <c r="AG1558" s="47">
        <f t="shared" si="558"/>
        <v>41080111</v>
      </c>
      <c r="AH1558" s="54">
        <f>IF(Q1558="22",IF(ISNUMBER(SEARCH("econ",PAA_4[[#This Row],[Actividad3]])),"Económico",IF(ISNUMBER(SEARCH("alim",PAA_4[[#This Row],[Actividad3]])),"Alimentación",IF(ISNUMBER(SEARCH("educ",PAA_4[[#This Row],[Actividad3]])),"Educativo","Técnico"))),0)</f>
        <v>0</v>
      </c>
      <c r="AI1558" s="47" t="e" cm="1">
        <f t="array" aca="1" ref="AI1558" ca="1">_xlfn.XLOOKUP(PAA_4[[#This Row],[RCP-RUBRO]],[2]!COMPROMISOS_2024[[#All],[concatenado]],[2]!COMPROMISOS_2024[[#All],[Total pagado]],"",0)</f>
        <v>#NAME?</v>
      </c>
      <c r="AJ1558" s="56">
        <f>IF(PAA_4[[#This Row],[BOLSA]]=0,0,SUMIFS([2]!COMPROMISOS_2024[[#All],[Total pagado]],[2]!COMPROMISOS_2024[[#All],[Bolsa]],PAA_4[[#This Row],[BOLSA]],[2]!COMPROMISOS_2024[[#All],[rubro]],PAA_4[[#This Row],[RCP-RUBRO]]))</f>
        <v>0</v>
      </c>
      <c r="AK1558" s="47" t="e" cm="1">
        <f t="array" aca="1" ref="AK1558" ca="1">_xlfn.XLOOKUP(PAA_4[[#This Row],[RCP-RUBRO]],[2]!COMPROMISOS_2024[[#All],[concatenado]],[2]!COMPROMISOS_2024[[#All],[Total Comprometido]],"",0)</f>
        <v>#NAME?</v>
      </c>
      <c r="AL1558" s="47">
        <f>IF(PAA_4[[#This Row],[BOLSA]]=0,0,SUMIFS([2]!COMPROMISOS_2024[[#All],[Total Comprometido]],[2]!COMPROMISOS_2024[[#All],[Bolsa]],PAA_4[[#This Row],[BOLSA]],[2]!COMPROMISOS_2024[[#All],[concatenado]],PAA_4[[#This Row],[RCP-RUBRO]]))</f>
        <v>0</v>
      </c>
    </row>
    <row r="1559" spans="1:38" s="19" customFormat="1" ht="31.5" customHeight="1">
      <c r="A1559" s="47">
        <v>981</v>
      </c>
      <c r="B1559" s="47">
        <v>90141502</v>
      </c>
      <c r="C1559" s="47" t="str">
        <f>VLOOKUP(PAA_4[[#This Row],[PROYECTO (formulado)2]],[2]PROYECTOS!$G$1:$L$32,6,0)</f>
        <v>SUBGERENCIA DE ALTOS LOGROS Y DEPORTE ASOCIADO</v>
      </c>
      <c r="D1559" s="47" t="str">
        <f>+IF(PAA_4[[#This Row],[UNIDAD DE CONTRATACION (formulado)]]="Subgerencia Administrativa y Financiera","FUNCIONAMIENTO","INVERSIÓN")</f>
        <v>INVERSIÓN</v>
      </c>
      <c r="E1559" s="48" t="str">
        <f>VLOOKUP(Q1559,[2]PROYECTOS!$G$1:$K$32,5,0)</f>
        <v>FORTALECIMIENTO_DEL_PROGRAMA_DE_ALTOS_LOGROS_Y_LIDERAZGO_DEPORTIVO_EN_EL_DEPARTAMENTO_DE_ANTIOQUIA</v>
      </c>
      <c r="F1559" s="48">
        <f>VLOOKUP(E1559,[2]PROYECTOS!$K$1:$M$32,3,0)</f>
        <v>2020003050021</v>
      </c>
      <c r="G1559" s="67" t="s">
        <v>224</v>
      </c>
      <c r="H1559" s="49" t="str">
        <f>VLOOKUP(Q1559,[2]PROYECTOS!$V$1:$W$32,2,0)</f>
        <v>050061</v>
      </c>
      <c r="I1559" s="78">
        <f>60000000-1420000</f>
        <v>58580000</v>
      </c>
      <c r="J1559" s="340" t="s">
        <v>1948</v>
      </c>
      <c r="K1559" s="47" t="str">
        <f t="shared" ca="1" si="552"/>
        <v>CONTRATADO</v>
      </c>
      <c r="L1559" s="351" t="s">
        <v>94</v>
      </c>
      <c r="M1559" s="47" t="s">
        <v>1767</v>
      </c>
      <c r="N1559" s="52" t="s">
        <v>223</v>
      </c>
      <c r="O1559" s="51" t="e">
        <f>VLOOKUP(N1559,[2]!RUBROS[#All],3,0)</f>
        <v>#REF!</v>
      </c>
      <c r="P1559" s="53" t="e">
        <f>VLOOKUP(N1559,[2]!RUBROS[#All],2,0)</f>
        <v>#REF!</v>
      </c>
      <c r="Q1559" s="47" t="str">
        <f t="shared" si="553"/>
        <v>20</v>
      </c>
      <c r="R1559" s="47" t="str">
        <f t="shared" si="554"/>
        <v>0-205400</v>
      </c>
      <c r="S1559" s="342">
        <v>155</v>
      </c>
      <c r="T1559" s="59" t="s">
        <v>120</v>
      </c>
      <c r="U1559" s="326" t="e">
        <f ca="1">_xlfn.XLOOKUP(PAA_4[[#This Row],[ITEM]],[2]Contrato!A:A,[2]Contrato!Q:Q,"",0)</f>
        <v>#NAME?</v>
      </c>
      <c r="V1559" s="47" t="s">
        <v>47</v>
      </c>
      <c r="W1559" s="343" t="s">
        <v>193</v>
      </c>
      <c r="X1559" s="343" t="s">
        <v>194</v>
      </c>
      <c r="Y1559" s="55" t="e">
        <f ca="1">_xlfn.XLOOKUP(PAA_4[[#This Row],[ITEM]],[2]Contrato!A:A,[2]Contrato!B:B,"",0)</f>
        <v>#NAME?</v>
      </c>
      <c r="Z1559" s="47" t="e">
        <f ca="1">_xlfn.XLOOKUP(PAA_4[[#This Row],[ITEM]],[2]Contrato!A:A,[2]Contrato!G:G,"",0)</f>
        <v>#NAME?</v>
      </c>
      <c r="AA1559" s="47" t="e">
        <f ca="1">_xlfn.XLOOKUP(PAA_4[[#This Row],[ITEM]],[2]Contrato!A:A,[2]Contrato!T:T,"",0)</f>
        <v>#NAME?</v>
      </c>
      <c r="AB1559" s="55" t="e">
        <f ca="1">+MAX(PAA_4[[#This Row],[Comprometido Contrato]],PAA_4[[#This Row],[Comprometido Bolsa]])</f>
        <v>#NAME?</v>
      </c>
      <c r="AC1559" s="55" t="str">
        <f t="shared" ca="1" si="555"/>
        <v/>
      </c>
      <c r="AD1559" s="55" t="e">
        <f ca="1">IF(PAA_4[[#This Row],[ESTADO (formulado)]]="NO CONTRATADO",0,MAX(PAA_4[[#This Row],[Pago por Contrato]],PAA_4[[#This Row],[Pago por bolsa]]))</f>
        <v>#NAME?</v>
      </c>
      <c r="AE1559" s="55" t="str">
        <f t="shared" ca="1" si="556"/>
        <v/>
      </c>
      <c r="AF1559" s="47" t="e">
        <f t="shared" ca="1" si="557"/>
        <v>#NAME?</v>
      </c>
      <c r="AG1559" s="47">
        <f t="shared" si="558"/>
        <v>41080111</v>
      </c>
      <c r="AH1559" s="54">
        <f>IF(Q1559="22",IF(ISNUMBER(SEARCH("econ",PAA_4[[#This Row],[Actividad3]])),"Económico",IF(ISNUMBER(SEARCH("alim",PAA_4[[#This Row],[Actividad3]])),"Alimentación",IF(ISNUMBER(SEARCH("educ",PAA_4[[#This Row],[Actividad3]])),"Educativo","Técnico"))),0)</f>
        <v>0</v>
      </c>
      <c r="AI1559" s="47" t="e" cm="1">
        <f t="array" aca="1" ref="AI1559" ca="1">_xlfn.XLOOKUP(PAA_4[[#This Row],[RCP-RUBRO]],[2]!COMPROMISOS_2024[[#All],[concatenado]],[2]!COMPROMISOS_2024[[#All],[Total pagado]],"",0)</f>
        <v>#NAME?</v>
      </c>
      <c r="AJ1559" s="56">
        <f>IF(PAA_4[[#This Row],[BOLSA]]=0,0,SUMIFS([2]!COMPROMISOS_2024[[#All],[Total pagado]],[2]!COMPROMISOS_2024[[#All],[Bolsa]],PAA_4[[#This Row],[BOLSA]],[2]!COMPROMISOS_2024[[#All],[rubro]],PAA_4[[#This Row],[RCP-RUBRO]]))</f>
        <v>0</v>
      </c>
      <c r="AK1559" s="47" t="e" cm="1">
        <f t="array" aca="1" ref="AK1559" ca="1">_xlfn.XLOOKUP(PAA_4[[#This Row],[RCP-RUBRO]],[2]!COMPROMISOS_2024[[#All],[concatenado]],[2]!COMPROMISOS_2024[[#All],[Total Comprometido]],"",0)</f>
        <v>#NAME?</v>
      </c>
      <c r="AL1559" s="47">
        <f>IF(PAA_4[[#This Row],[BOLSA]]=0,0,SUMIFS([2]!COMPROMISOS_2024[[#All],[Total Comprometido]],[2]!COMPROMISOS_2024[[#All],[Bolsa]],PAA_4[[#This Row],[BOLSA]],[2]!COMPROMISOS_2024[[#All],[concatenado]],PAA_4[[#This Row],[RCP-RUBRO]]))</f>
        <v>0</v>
      </c>
    </row>
    <row r="1560" spans="1:38" s="19" customFormat="1" ht="31.5" customHeight="1">
      <c r="A1560" s="47">
        <v>982</v>
      </c>
      <c r="B1560" s="47">
        <v>90141502</v>
      </c>
      <c r="C1560" s="47" t="str">
        <f>VLOOKUP(PAA_4[[#This Row],[PROYECTO (formulado)2]],[2]PROYECTOS!$G$1:$L$32,6,0)</f>
        <v>SUBGERENCIA DE ALTOS LOGROS Y DEPORTE ASOCIADO</v>
      </c>
      <c r="D1560" s="47" t="str">
        <f>+IF(PAA_4[[#This Row],[UNIDAD DE CONTRATACION (formulado)]]="Subgerencia Administrativa y Financiera","FUNCIONAMIENTO","INVERSIÓN")</f>
        <v>INVERSIÓN</v>
      </c>
      <c r="E1560" s="48" t="str">
        <f>VLOOKUP(Q1560,[2]PROYECTOS!$G$1:$K$32,5,0)</f>
        <v>FORTALECIMIENTO_DEL_PROGRAMA_DE_ALTOS_LOGROS_Y_LIDERAZGO_DEPORTIVO_EN_EL_DEPARTAMENTO_DE_ANTIOQUIA</v>
      </c>
      <c r="F1560" s="48">
        <f>VLOOKUP(E1560,[2]PROYECTOS!$K$1:$M$32,3,0)</f>
        <v>2020003050021</v>
      </c>
      <c r="G1560" s="67" t="s">
        <v>224</v>
      </c>
      <c r="H1560" s="49" t="str">
        <f>VLOOKUP(Q1560,[2]PROYECTOS!$V$1:$W$32,2,0)</f>
        <v>050061</v>
      </c>
      <c r="I1560" s="78">
        <v>120000000</v>
      </c>
      <c r="J1560" s="340" t="s">
        <v>1949</v>
      </c>
      <c r="K1560" s="47" t="str">
        <f t="shared" ca="1" si="552"/>
        <v>CONTRATADO</v>
      </c>
      <c r="L1560" s="351" t="s">
        <v>94</v>
      </c>
      <c r="M1560" s="47" t="s">
        <v>1767</v>
      </c>
      <c r="N1560" s="52" t="s">
        <v>223</v>
      </c>
      <c r="O1560" s="51" t="e">
        <f>VLOOKUP(N1560,[2]!RUBROS[#All],3,0)</f>
        <v>#REF!</v>
      </c>
      <c r="P1560" s="53" t="e">
        <f>VLOOKUP(N1560,[2]!RUBROS[#All],2,0)</f>
        <v>#REF!</v>
      </c>
      <c r="Q1560" s="47" t="str">
        <f t="shared" si="553"/>
        <v>20</v>
      </c>
      <c r="R1560" s="47" t="str">
        <f t="shared" si="554"/>
        <v>0-205400</v>
      </c>
      <c r="S1560" s="342">
        <v>155</v>
      </c>
      <c r="T1560" s="59" t="s">
        <v>120</v>
      </c>
      <c r="U1560" s="326" t="e">
        <f ca="1">_xlfn.XLOOKUP(PAA_4[[#This Row],[ITEM]],[2]Contrato!A:A,[2]Contrato!Q:Q,"",0)</f>
        <v>#NAME?</v>
      </c>
      <c r="V1560" s="47" t="s">
        <v>47</v>
      </c>
      <c r="W1560" s="343" t="s">
        <v>193</v>
      </c>
      <c r="X1560" s="343" t="s">
        <v>194</v>
      </c>
      <c r="Y1560" s="55" t="e">
        <f ca="1">_xlfn.XLOOKUP(PAA_4[[#This Row],[ITEM]],[2]Contrato!A:A,[2]Contrato!B:B,"",0)</f>
        <v>#NAME?</v>
      </c>
      <c r="Z1560" s="47" t="e">
        <f ca="1">_xlfn.XLOOKUP(PAA_4[[#This Row],[ITEM]],[2]Contrato!A:A,[2]Contrato!G:G,"",0)</f>
        <v>#NAME?</v>
      </c>
      <c r="AA1560" s="47" t="e">
        <f ca="1">_xlfn.XLOOKUP(PAA_4[[#This Row],[ITEM]],[2]Contrato!A:A,[2]Contrato!T:T,"",0)</f>
        <v>#NAME?</v>
      </c>
      <c r="AB1560" s="55" t="e">
        <f ca="1">+MAX(PAA_4[[#This Row],[Comprometido Contrato]],PAA_4[[#This Row],[Comprometido Bolsa]])</f>
        <v>#NAME?</v>
      </c>
      <c r="AC1560" s="55" t="str">
        <f t="shared" ca="1" si="555"/>
        <v/>
      </c>
      <c r="AD1560" s="55" t="e">
        <f ca="1">IF(PAA_4[[#This Row],[ESTADO (formulado)]]="NO CONTRATADO",0,MAX(PAA_4[[#This Row],[Pago por Contrato]],PAA_4[[#This Row],[Pago por bolsa]]))</f>
        <v>#NAME?</v>
      </c>
      <c r="AE1560" s="55" t="str">
        <f t="shared" ca="1" si="556"/>
        <v/>
      </c>
      <c r="AF1560" s="47" t="e">
        <f t="shared" ca="1" si="557"/>
        <v>#NAME?</v>
      </c>
      <c r="AG1560" s="47">
        <f t="shared" si="558"/>
        <v>41080111</v>
      </c>
      <c r="AH1560" s="54">
        <f>IF(Q1560="22",IF(ISNUMBER(SEARCH("econ",PAA_4[[#This Row],[Actividad3]])),"Económico",IF(ISNUMBER(SEARCH("alim",PAA_4[[#This Row],[Actividad3]])),"Alimentación",IF(ISNUMBER(SEARCH("educ",PAA_4[[#This Row],[Actividad3]])),"Educativo","Técnico"))),0)</f>
        <v>0</v>
      </c>
      <c r="AI1560" s="47" t="e" cm="1">
        <f t="array" aca="1" ref="AI1560" ca="1">_xlfn.XLOOKUP(PAA_4[[#This Row],[RCP-RUBRO]],[2]!COMPROMISOS_2024[[#All],[concatenado]],[2]!COMPROMISOS_2024[[#All],[Total pagado]],"",0)</f>
        <v>#NAME?</v>
      </c>
      <c r="AJ1560" s="56">
        <f>IF(PAA_4[[#This Row],[BOLSA]]=0,0,SUMIFS([2]!COMPROMISOS_2024[[#All],[Total pagado]],[2]!COMPROMISOS_2024[[#All],[Bolsa]],PAA_4[[#This Row],[BOLSA]],[2]!COMPROMISOS_2024[[#All],[rubro]],PAA_4[[#This Row],[RCP-RUBRO]]))</f>
        <v>0</v>
      </c>
      <c r="AK1560" s="47" t="e" cm="1">
        <f t="array" aca="1" ref="AK1560" ca="1">_xlfn.XLOOKUP(PAA_4[[#This Row],[RCP-RUBRO]],[2]!COMPROMISOS_2024[[#All],[concatenado]],[2]!COMPROMISOS_2024[[#All],[Total Comprometido]],"",0)</f>
        <v>#NAME?</v>
      </c>
      <c r="AL1560" s="47">
        <f>IF(PAA_4[[#This Row],[BOLSA]]=0,0,SUMIFS([2]!COMPROMISOS_2024[[#All],[Total Comprometido]],[2]!COMPROMISOS_2024[[#All],[Bolsa]],PAA_4[[#This Row],[BOLSA]],[2]!COMPROMISOS_2024[[#All],[concatenado]],PAA_4[[#This Row],[RCP-RUBRO]]))</f>
        <v>0</v>
      </c>
    </row>
    <row r="1561" spans="1:38" s="19" customFormat="1" ht="31.5" customHeight="1">
      <c r="A1561" s="47">
        <v>804</v>
      </c>
      <c r="B1561" s="47">
        <v>90141502</v>
      </c>
      <c r="C1561" s="47" t="str">
        <f>VLOOKUP(PAA_4[[#This Row],[PROYECTO (formulado)2]],[2]PROYECTOS!$G$1:$L$32,6,0)</f>
        <v>SUBGERENCIA DE ALTOS LOGROS Y DEPORTE ASOCIADO</v>
      </c>
      <c r="D1561" s="47" t="str">
        <f>+IF(PAA_4[[#This Row],[UNIDAD DE CONTRATACION (formulado)]]="Subgerencia Administrativa y Financiera","FUNCIONAMIENTO","INVERSIÓN")</f>
        <v>INVERSIÓN</v>
      </c>
      <c r="E1561" s="48" t="str">
        <f>VLOOKUP(Q1561,[2]PROYECTOS!$G$1:$K$32,5,0)</f>
        <v>FORTALECIMIENTO_DEL_PROGRAMA_DE_ALTOS_LOGROS_Y_LIDERAZGO_DEPORTIVO_EN_EL_DEPARTAMENTO_DE_ANTIOQUIA</v>
      </c>
      <c r="F1561" s="48">
        <f>VLOOKUP(E1561,[2]PROYECTOS!$K$1:$M$32,3,0)</f>
        <v>2020003050021</v>
      </c>
      <c r="G1561" s="49" t="s">
        <v>224</v>
      </c>
      <c r="H1561" s="49" t="str">
        <f>VLOOKUP(Q1561,[2]PROYECTOS!$V$1:$W$32,2,0)</f>
        <v>050061</v>
      </c>
      <c r="I1561" s="50">
        <v>0</v>
      </c>
      <c r="J1561" s="51" t="s">
        <v>42</v>
      </c>
      <c r="K1561" s="47" t="str">
        <f t="shared" ca="1" si="552"/>
        <v>CONTRATADO</v>
      </c>
      <c r="L1561" s="47" t="s">
        <v>42</v>
      </c>
      <c r="M1561" s="47" t="s">
        <v>42</v>
      </c>
      <c r="N1561" s="52" t="s">
        <v>223</v>
      </c>
      <c r="O1561" s="51" t="e">
        <f>VLOOKUP(N1561,[2]!RUBROS[#All],3,0)</f>
        <v>#REF!</v>
      </c>
      <c r="P1561" s="53" t="e">
        <f>VLOOKUP(N1561,[2]!RUBROS[#All],2,0)</f>
        <v>#REF!</v>
      </c>
      <c r="Q1561" s="47" t="str">
        <f t="shared" si="553"/>
        <v>20</v>
      </c>
      <c r="R1561" s="47" t="str">
        <f t="shared" si="554"/>
        <v>0-205400</v>
      </c>
      <c r="S1561" s="342">
        <v>160</v>
      </c>
      <c r="T1561" s="59" t="s">
        <v>120</v>
      </c>
      <c r="U1561" s="326" t="e">
        <f ca="1">_xlfn.XLOOKUP(PAA_4[[#This Row],[ITEM]],[2]Contrato!A:A,[2]Contrato!Q:Q,"",0)</f>
        <v>#NAME?</v>
      </c>
      <c r="V1561" s="47" t="s">
        <v>95</v>
      </c>
      <c r="W1561" s="343" t="s">
        <v>193</v>
      </c>
      <c r="X1561" s="343" t="s">
        <v>193</v>
      </c>
      <c r="Y1561" s="55" t="e">
        <f ca="1">_xlfn.XLOOKUP(PAA_4[[#This Row],[ITEM]],[2]Contrato!A:A,[2]Contrato!B:B,"",0)</f>
        <v>#NAME?</v>
      </c>
      <c r="Z1561" s="47" t="e">
        <f ca="1">_xlfn.XLOOKUP(PAA_4[[#This Row],[ITEM]],[2]Contrato!A:A,[2]Contrato!G:G,"",0)</f>
        <v>#NAME?</v>
      </c>
      <c r="AA1561" s="47" t="e">
        <f ca="1">_xlfn.XLOOKUP(PAA_4[[#This Row],[ITEM]],[2]Contrato!A:A,[2]Contrato!T:T,"",0)</f>
        <v>#NAME?</v>
      </c>
      <c r="AB1561" s="55" t="e">
        <f ca="1">+MAX(PAA_4[[#This Row],[Comprometido Contrato]],PAA_4[[#This Row],[Comprometido Bolsa]])</f>
        <v>#NAME?</v>
      </c>
      <c r="AC1561" s="55" t="str">
        <f t="shared" ca="1" si="555"/>
        <v/>
      </c>
      <c r="AD1561" s="55" t="e">
        <f ca="1">IF(PAA_4[[#This Row],[ESTADO (formulado)]]="NO CONTRATADO",0,MAX(PAA_4[[#This Row],[Pago por Contrato]],PAA_4[[#This Row],[Pago por bolsa]]))</f>
        <v>#NAME?</v>
      </c>
      <c r="AE1561" s="55" t="str">
        <f t="shared" ca="1" si="556"/>
        <v/>
      </c>
      <c r="AF1561" s="47" t="e">
        <f t="shared" ca="1" si="557"/>
        <v>#NAME?</v>
      </c>
      <c r="AG1561" s="47">
        <f t="shared" si="558"/>
        <v>41080111</v>
      </c>
      <c r="AH1561" s="54">
        <f>IF(Q1561="22",IF(ISNUMBER(SEARCH("econ",PAA_4[[#This Row],[Actividad3]])),"Económico",IF(ISNUMBER(SEARCH("alim",PAA_4[[#This Row],[Actividad3]])),"Alimentación",IF(ISNUMBER(SEARCH("educ",PAA_4[[#This Row],[Actividad3]])),"Educativo","Técnico"))),0)</f>
        <v>0</v>
      </c>
      <c r="AI1561" s="47" t="e" cm="1">
        <f t="array" aca="1" ref="AI1561" ca="1">_xlfn.XLOOKUP(PAA_4[[#This Row],[RCP-RUBRO]],[2]!COMPROMISOS_2024[[#All],[concatenado]],[2]!COMPROMISOS_2024[[#All],[Total pagado]],"",0)</f>
        <v>#NAME?</v>
      </c>
      <c r="AJ1561" s="56">
        <f>IF(PAA_4[[#This Row],[BOLSA]]=0,0,SUMIFS([2]!COMPROMISOS_2024[[#All],[Total pagado]],[2]!COMPROMISOS_2024[[#All],[Bolsa]],PAA_4[[#This Row],[BOLSA]],[2]!COMPROMISOS_2024[[#All],[rubro]],PAA_4[[#This Row],[RCP-RUBRO]]))</f>
        <v>0</v>
      </c>
      <c r="AK1561" s="47" t="e" cm="1">
        <f t="array" aca="1" ref="AK1561" ca="1">_xlfn.XLOOKUP(PAA_4[[#This Row],[RCP-RUBRO]],[2]!COMPROMISOS_2024[[#All],[concatenado]],[2]!COMPROMISOS_2024[[#All],[Total Comprometido]],"",0)</f>
        <v>#NAME?</v>
      </c>
      <c r="AL1561" s="47">
        <f>IF(PAA_4[[#This Row],[BOLSA]]=0,0,SUMIFS([2]!COMPROMISOS_2024[[#All],[Total Comprometido]],[2]!COMPROMISOS_2024[[#All],[Bolsa]],PAA_4[[#This Row],[BOLSA]],[2]!COMPROMISOS_2024[[#All],[concatenado]],PAA_4[[#This Row],[RCP-RUBRO]]))</f>
        <v>0</v>
      </c>
    </row>
    <row r="1562" spans="1:38" s="19" customFormat="1" ht="31.5" customHeight="1">
      <c r="A1562" s="47">
        <v>805</v>
      </c>
      <c r="B1562" s="47">
        <v>90141502</v>
      </c>
      <c r="C1562" s="47" t="str">
        <f>VLOOKUP(PAA_4[[#This Row],[PROYECTO (formulado)2]],[2]PROYECTOS!$G$1:$L$32,6,0)</f>
        <v>SUBGERENCIA DE ALTOS LOGROS Y DEPORTE ASOCIADO</v>
      </c>
      <c r="D1562" s="47" t="str">
        <f>+IF(PAA_4[[#This Row],[UNIDAD DE CONTRATACION (formulado)]]="Subgerencia Administrativa y Financiera","FUNCIONAMIENTO","INVERSIÓN")</f>
        <v>INVERSIÓN</v>
      </c>
      <c r="E1562" s="48" t="str">
        <f>VLOOKUP(Q1562,[2]PROYECTOS!$G$1:$K$32,5,0)</f>
        <v>FORTALECIMIENTO_DEL_PROGRAMA_DE_ALTOS_LOGROS_Y_LIDERAZGO_DEPORTIVO_EN_EL_DEPARTAMENTO_DE_ANTIOQUIA</v>
      </c>
      <c r="F1562" s="48">
        <f>VLOOKUP(E1562,[2]PROYECTOS!$K$1:$M$32,3,0)</f>
        <v>2020003050021</v>
      </c>
      <c r="G1562" s="49" t="s">
        <v>224</v>
      </c>
      <c r="H1562" s="49" t="str">
        <f>VLOOKUP(Q1562,[2]PROYECTOS!$V$1:$W$32,2,0)</f>
        <v>050061</v>
      </c>
      <c r="I1562" s="78">
        <f>120000000-3891</f>
        <v>119996109</v>
      </c>
      <c r="J1562" s="51" t="s">
        <v>1950</v>
      </c>
      <c r="K1562" s="47" t="str">
        <f t="shared" ca="1" si="552"/>
        <v>CONTRATADO</v>
      </c>
      <c r="L1562" s="47" t="s">
        <v>147</v>
      </c>
      <c r="M1562" s="47" t="s">
        <v>255</v>
      </c>
      <c r="N1562" s="52" t="s">
        <v>223</v>
      </c>
      <c r="O1562" s="51" t="e">
        <f>VLOOKUP(N1562,[2]!RUBROS[#All],3,0)</f>
        <v>#REF!</v>
      </c>
      <c r="P1562" s="53" t="e">
        <f>VLOOKUP(N1562,[2]!RUBROS[#All],2,0)</f>
        <v>#REF!</v>
      </c>
      <c r="Q1562" s="47" t="str">
        <f t="shared" si="553"/>
        <v>20</v>
      </c>
      <c r="R1562" s="47" t="str">
        <f t="shared" si="554"/>
        <v>0-205400</v>
      </c>
      <c r="S1562" s="339">
        <v>200</v>
      </c>
      <c r="T1562" s="59" t="s">
        <v>120</v>
      </c>
      <c r="U1562" s="326" t="e">
        <f ca="1">_xlfn.XLOOKUP(PAA_4[[#This Row],[ITEM]],[2]Contrato!A:A,[2]Contrato!Q:Q,"",0)</f>
        <v>#NAME?</v>
      </c>
      <c r="V1562" s="47" t="s">
        <v>95</v>
      </c>
      <c r="W1562" s="47" t="s">
        <v>154</v>
      </c>
      <c r="X1562" s="47" t="s">
        <v>154</v>
      </c>
      <c r="Y1562" s="55" t="e">
        <f ca="1">_xlfn.XLOOKUP(PAA_4[[#This Row],[ITEM]],[2]Contrato!A:A,[2]Contrato!B:B,"",0)</f>
        <v>#NAME?</v>
      </c>
      <c r="Z1562" s="47" t="e">
        <f ca="1">_xlfn.XLOOKUP(PAA_4[[#This Row],[ITEM]],[2]Contrato!A:A,[2]Contrato!G:G,"",0)</f>
        <v>#NAME?</v>
      </c>
      <c r="AA1562" s="47" t="e">
        <f ca="1">_xlfn.XLOOKUP(PAA_4[[#This Row],[ITEM]],[2]Contrato!A:A,[2]Contrato!T:T,"",0)</f>
        <v>#NAME?</v>
      </c>
      <c r="AB1562" s="55" t="e">
        <f ca="1">+MAX(PAA_4[[#This Row],[Comprometido Contrato]],PAA_4[[#This Row],[Comprometido Bolsa]])</f>
        <v>#NAME?</v>
      </c>
      <c r="AC1562" s="55" t="str">
        <f t="shared" ca="1" si="555"/>
        <v/>
      </c>
      <c r="AD1562" s="55" t="e">
        <f ca="1">IF(PAA_4[[#This Row],[ESTADO (formulado)]]="NO CONTRATADO",0,MAX(PAA_4[[#This Row],[Pago por Contrato]],PAA_4[[#This Row],[Pago por bolsa]]))</f>
        <v>#NAME?</v>
      </c>
      <c r="AE1562" s="55" t="str">
        <f t="shared" ca="1" si="556"/>
        <v/>
      </c>
      <c r="AF1562" s="47" t="e">
        <f t="shared" ca="1" si="557"/>
        <v>#NAME?</v>
      </c>
      <c r="AG1562" s="47">
        <f t="shared" si="558"/>
        <v>41080111</v>
      </c>
      <c r="AH1562" s="54">
        <f>IF(Q1562="22",IF(ISNUMBER(SEARCH("econ",PAA_4[[#This Row],[Actividad3]])),"Económico",IF(ISNUMBER(SEARCH("alim",PAA_4[[#This Row],[Actividad3]])),"Alimentación",IF(ISNUMBER(SEARCH("educ",PAA_4[[#This Row],[Actividad3]])),"Educativo","Técnico"))),0)</f>
        <v>0</v>
      </c>
      <c r="AI1562" s="47" t="e" cm="1">
        <f t="array" aca="1" ref="AI1562" ca="1">_xlfn.XLOOKUP(PAA_4[[#This Row],[RCP-RUBRO]],[2]!COMPROMISOS_2024[[#All],[concatenado]],[2]!COMPROMISOS_2024[[#All],[Total pagado]],"",0)</f>
        <v>#NAME?</v>
      </c>
      <c r="AJ1562" s="56">
        <f>IF(PAA_4[[#This Row],[BOLSA]]=0,0,SUMIFS([2]!COMPROMISOS_2024[[#All],[Total pagado]],[2]!COMPROMISOS_2024[[#All],[Bolsa]],PAA_4[[#This Row],[BOLSA]],[2]!COMPROMISOS_2024[[#All],[rubro]],PAA_4[[#This Row],[RCP-RUBRO]]))</f>
        <v>0</v>
      </c>
      <c r="AK1562" s="47" t="e" cm="1">
        <f t="array" aca="1" ref="AK1562" ca="1">_xlfn.XLOOKUP(PAA_4[[#This Row],[RCP-RUBRO]],[2]!COMPROMISOS_2024[[#All],[concatenado]],[2]!COMPROMISOS_2024[[#All],[Total Comprometido]],"",0)</f>
        <v>#NAME?</v>
      </c>
      <c r="AL1562" s="47">
        <f>IF(PAA_4[[#This Row],[BOLSA]]=0,0,SUMIFS([2]!COMPROMISOS_2024[[#All],[Total Comprometido]],[2]!COMPROMISOS_2024[[#All],[Bolsa]],PAA_4[[#This Row],[BOLSA]],[2]!COMPROMISOS_2024[[#All],[concatenado]],PAA_4[[#This Row],[RCP-RUBRO]]))</f>
        <v>0</v>
      </c>
    </row>
    <row r="1563" spans="1:38" s="19" customFormat="1" ht="31.5" customHeight="1">
      <c r="A1563" s="47">
        <v>839</v>
      </c>
      <c r="B1563" s="47">
        <v>90141502</v>
      </c>
      <c r="C1563" s="47" t="str">
        <f>VLOOKUP(PAA_4[[#This Row],[PROYECTO (formulado)2]],[2]PROYECTOS!$G$1:$L$32,6,0)</f>
        <v>SUBGERENCIA DE ALTOS LOGROS Y DEPORTE ASOCIADO</v>
      </c>
      <c r="D1563" s="47" t="str">
        <f>+IF(PAA_4[[#This Row],[UNIDAD DE CONTRATACION (formulado)]]="Subgerencia Administrativa y Financiera","FUNCIONAMIENTO","INVERSIÓN")</f>
        <v>INVERSIÓN</v>
      </c>
      <c r="E1563" s="48" t="str">
        <f>VLOOKUP(Q1563,[2]PROYECTOS!$G$1:$K$32,5,0)</f>
        <v>FORTALECIMIENTO_DEL_PROGRAMA_DE_ALTOS_LOGROS_Y_LIDERAZGO_DEPORTIVO_EN_EL_DEPARTAMENTO_DE_ANTIOQUIA</v>
      </c>
      <c r="F1563" s="48">
        <f>VLOOKUP(E1563,[2]PROYECTOS!$K$1:$M$32,3,0)</f>
        <v>2020003050021</v>
      </c>
      <c r="G1563" s="49" t="s">
        <v>224</v>
      </c>
      <c r="H1563" s="49" t="str">
        <f>VLOOKUP(Q1563,[2]PROYECTOS!$V$1:$W$32,2,0)</f>
        <v>050061</v>
      </c>
      <c r="I1563" s="50">
        <v>80000000</v>
      </c>
      <c r="J1563" s="51" t="s">
        <v>1951</v>
      </c>
      <c r="K1563" s="47" t="str">
        <f t="shared" ca="1" si="552"/>
        <v>CONTRATADO</v>
      </c>
      <c r="L1563" s="47" t="s">
        <v>94</v>
      </c>
      <c r="M1563" s="47" t="s">
        <v>222</v>
      </c>
      <c r="N1563" s="52" t="s">
        <v>223</v>
      </c>
      <c r="O1563" s="51" t="e">
        <f>VLOOKUP(N1563,[2]!RUBROS[#All],3,0)</f>
        <v>#REF!</v>
      </c>
      <c r="P1563" s="53" t="e">
        <f>VLOOKUP(N1563,[2]!RUBROS[#All],2,0)</f>
        <v>#REF!</v>
      </c>
      <c r="Q1563" s="47" t="str">
        <f t="shared" si="553"/>
        <v>20</v>
      </c>
      <c r="R1563" s="47" t="str">
        <f t="shared" si="554"/>
        <v>0-205400</v>
      </c>
      <c r="S1563" s="342">
        <v>170</v>
      </c>
      <c r="T1563" s="59" t="s">
        <v>120</v>
      </c>
      <c r="U1563" s="326" t="e">
        <f ca="1">_xlfn.XLOOKUP(PAA_4[[#This Row],[ITEM]],[2]Contrato!A:A,[2]Contrato!Q:Q,"",0)</f>
        <v>#NAME?</v>
      </c>
      <c r="V1563" s="47" t="s">
        <v>95</v>
      </c>
      <c r="W1563" s="343" t="s">
        <v>193</v>
      </c>
      <c r="X1563" s="343" t="s">
        <v>193</v>
      </c>
      <c r="Y1563" s="55" t="e">
        <f ca="1">_xlfn.XLOOKUP(PAA_4[[#This Row],[ITEM]],[2]Contrato!A:A,[2]Contrato!B:B,"",0)</f>
        <v>#NAME?</v>
      </c>
      <c r="Z1563" s="47" t="e">
        <f ca="1">_xlfn.XLOOKUP(PAA_4[[#This Row],[ITEM]],[2]Contrato!A:A,[2]Contrato!G:G,"",0)</f>
        <v>#NAME?</v>
      </c>
      <c r="AA1563" s="47" t="e">
        <f ca="1">_xlfn.XLOOKUP(PAA_4[[#This Row],[ITEM]],[2]Contrato!A:A,[2]Contrato!T:T,"",0)</f>
        <v>#NAME?</v>
      </c>
      <c r="AB1563" s="55" t="e">
        <f ca="1">+MAX(PAA_4[[#This Row],[Comprometido Contrato]],PAA_4[[#This Row],[Comprometido Bolsa]])</f>
        <v>#NAME?</v>
      </c>
      <c r="AC1563" s="55" t="str">
        <f t="shared" ca="1" si="555"/>
        <v/>
      </c>
      <c r="AD1563" s="55" t="e">
        <f ca="1">IF(PAA_4[[#This Row],[ESTADO (formulado)]]="NO CONTRATADO",0,MAX(PAA_4[[#This Row],[Pago por Contrato]],PAA_4[[#This Row],[Pago por bolsa]]))</f>
        <v>#NAME?</v>
      </c>
      <c r="AE1563" s="55" t="str">
        <f t="shared" ca="1" si="556"/>
        <v/>
      </c>
      <c r="AF1563" s="47" t="e">
        <f t="shared" ca="1" si="557"/>
        <v>#NAME?</v>
      </c>
      <c r="AG1563" s="47">
        <f t="shared" si="558"/>
        <v>41080111</v>
      </c>
      <c r="AH1563" s="54">
        <f>IF(Q1563="22",IF(ISNUMBER(SEARCH("econ",PAA_4[[#This Row],[Actividad3]])),"Económico",IF(ISNUMBER(SEARCH("alim",PAA_4[[#This Row],[Actividad3]])),"Alimentación",IF(ISNUMBER(SEARCH("educ",PAA_4[[#This Row],[Actividad3]])),"Educativo","Técnico"))),0)</f>
        <v>0</v>
      </c>
      <c r="AI1563" s="47" t="e" cm="1">
        <f t="array" aca="1" ref="AI1563" ca="1">_xlfn.XLOOKUP(PAA_4[[#This Row],[RCP-RUBRO]],[2]!COMPROMISOS_2024[[#All],[concatenado]],[2]!COMPROMISOS_2024[[#All],[Total pagado]],"",0)</f>
        <v>#NAME?</v>
      </c>
      <c r="AJ1563" s="56">
        <f>IF(PAA_4[[#This Row],[BOLSA]]=0,0,SUMIFS([2]!COMPROMISOS_2024[[#All],[Total pagado]],[2]!COMPROMISOS_2024[[#All],[Bolsa]],PAA_4[[#This Row],[BOLSA]],[2]!COMPROMISOS_2024[[#All],[rubro]],PAA_4[[#This Row],[RCP-RUBRO]]))</f>
        <v>0</v>
      </c>
      <c r="AK1563" s="47" t="e" cm="1">
        <f t="array" aca="1" ref="AK1563" ca="1">_xlfn.XLOOKUP(PAA_4[[#This Row],[RCP-RUBRO]],[2]!COMPROMISOS_2024[[#All],[concatenado]],[2]!COMPROMISOS_2024[[#All],[Total Comprometido]],"",0)</f>
        <v>#NAME?</v>
      </c>
      <c r="AL1563" s="47">
        <f>IF(PAA_4[[#This Row],[BOLSA]]=0,0,SUMIFS([2]!COMPROMISOS_2024[[#All],[Total Comprometido]],[2]!COMPROMISOS_2024[[#All],[Bolsa]],PAA_4[[#This Row],[BOLSA]],[2]!COMPROMISOS_2024[[#All],[concatenado]],PAA_4[[#This Row],[RCP-RUBRO]]))</f>
        <v>0</v>
      </c>
    </row>
    <row r="1564" spans="1:38" s="19" customFormat="1" ht="31.5" customHeight="1">
      <c r="A1564" s="47">
        <v>806</v>
      </c>
      <c r="B1564" s="47" t="s">
        <v>42</v>
      </c>
      <c r="C1564" s="47" t="str">
        <f>VLOOKUP(PAA_4[[#This Row],[PROYECTO (formulado)2]],[2]PROYECTOS!$G$1:$L$32,6,0)</f>
        <v>SUBGERENCIA DE ALTOS LOGROS Y DEPORTE ASOCIADO</v>
      </c>
      <c r="D1564" s="47" t="str">
        <f>+IF(PAA_4[[#This Row],[UNIDAD DE CONTRATACION (formulado)]]="Subgerencia Administrativa y Financiera","FUNCIONAMIENTO","INVERSIÓN")</f>
        <v>INVERSIÓN</v>
      </c>
      <c r="E1564" s="48" t="str">
        <f>VLOOKUP(Q1564,[2]PROYECTOS!$G$1:$K$32,5,0)</f>
        <v>FORTALECIMIENTO_DEL_PROGRAMA_DE_ALTOS_LOGROS_Y_LIDERAZGO_DEPORTIVO_EN_EL_DEPARTAMENTO_DE_ANTIOQUIA</v>
      </c>
      <c r="F1564" s="48">
        <f>VLOOKUP(E1564,[2]PROYECTOS!$K$1:$M$32,3,0)</f>
        <v>2020003050021</v>
      </c>
      <c r="G1564" s="49" t="s">
        <v>224</v>
      </c>
      <c r="H1564" s="49" t="str">
        <f>VLOOKUP(Q1564,[2]PROYECTOS!$V$1:$W$32,2,0)</f>
        <v>050061</v>
      </c>
      <c r="I1564" s="78">
        <v>0</v>
      </c>
      <c r="J1564" s="51" t="s">
        <v>42</v>
      </c>
      <c r="K1564" s="47" t="str">
        <f t="shared" ca="1" si="552"/>
        <v>CONTRATADO</v>
      </c>
      <c r="L1564" s="47" t="s">
        <v>94</v>
      </c>
      <c r="M1564" s="47" t="s">
        <v>42</v>
      </c>
      <c r="N1564" s="52" t="s">
        <v>223</v>
      </c>
      <c r="O1564" s="51" t="e">
        <f>VLOOKUP(N1564,[2]!RUBROS[#All],3,0)</f>
        <v>#REF!</v>
      </c>
      <c r="P1564" s="53" t="e">
        <f>VLOOKUP(N1564,[2]!RUBROS[#All],2,0)</f>
        <v>#REF!</v>
      </c>
      <c r="Q1564" s="47" t="str">
        <f t="shared" si="553"/>
        <v>20</v>
      </c>
      <c r="R1564" s="47" t="str">
        <f t="shared" si="554"/>
        <v>0-205400</v>
      </c>
      <c r="S1564" s="339">
        <v>170</v>
      </c>
      <c r="T1564" s="59" t="s">
        <v>120</v>
      </c>
      <c r="U1564" s="326" t="e">
        <f ca="1">_xlfn.XLOOKUP(PAA_4[[#This Row],[ITEM]],[2]Contrato!A:A,[2]Contrato!Q:Q,"",0)</f>
        <v>#NAME?</v>
      </c>
      <c r="V1564" s="47" t="s">
        <v>95</v>
      </c>
      <c r="W1564" s="343" t="s">
        <v>193</v>
      </c>
      <c r="X1564" s="343" t="s">
        <v>193</v>
      </c>
      <c r="Y1564" s="55" t="e">
        <f ca="1">_xlfn.XLOOKUP(PAA_4[[#This Row],[ITEM]],[2]Contrato!A:A,[2]Contrato!B:B,"",0)</f>
        <v>#NAME?</v>
      </c>
      <c r="Z1564" s="47" t="e">
        <f ca="1">_xlfn.XLOOKUP(PAA_4[[#This Row],[ITEM]],[2]Contrato!A:A,[2]Contrato!G:G,"",0)</f>
        <v>#NAME?</v>
      </c>
      <c r="AA1564" s="47" t="e">
        <f ca="1">_xlfn.XLOOKUP(PAA_4[[#This Row],[ITEM]],[2]Contrato!A:A,[2]Contrato!T:T,"",0)</f>
        <v>#NAME?</v>
      </c>
      <c r="AB1564" s="55" t="e">
        <f ca="1">+MAX(PAA_4[[#This Row],[Comprometido Contrato]],PAA_4[[#This Row],[Comprometido Bolsa]])</f>
        <v>#NAME?</v>
      </c>
      <c r="AC1564" s="55" t="str">
        <f t="shared" ca="1" si="555"/>
        <v/>
      </c>
      <c r="AD1564" s="55" t="e">
        <f ca="1">IF(PAA_4[[#This Row],[ESTADO (formulado)]]="NO CONTRATADO",0,MAX(PAA_4[[#This Row],[Pago por Contrato]],PAA_4[[#This Row],[Pago por bolsa]]))</f>
        <v>#NAME?</v>
      </c>
      <c r="AE1564" s="55" t="str">
        <f t="shared" ca="1" si="556"/>
        <v/>
      </c>
      <c r="AF1564" s="47" t="e">
        <f t="shared" ca="1" si="557"/>
        <v>#NAME?</v>
      </c>
      <c r="AG1564" s="47">
        <f t="shared" si="558"/>
        <v>41080111</v>
      </c>
      <c r="AH1564" s="54">
        <f>IF(Q1564="22",IF(ISNUMBER(SEARCH("econ",PAA_4[[#This Row],[Actividad3]])),"Económico",IF(ISNUMBER(SEARCH("alim",PAA_4[[#This Row],[Actividad3]])),"Alimentación",IF(ISNUMBER(SEARCH("educ",PAA_4[[#This Row],[Actividad3]])),"Educativo","Técnico"))),0)</f>
        <v>0</v>
      </c>
      <c r="AI1564" s="47" t="e" cm="1">
        <f t="array" aca="1" ref="AI1564" ca="1">_xlfn.XLOOKUP(PAA_4[[#This Row],[RCP-RUBRO]],[2]!COMPROMISOS_2024[[#All],[concatenado]],[2]!COMPROMISOS_2024[[#All],[Total pagado]],"",0)</f>
        <v>#NAME?</v>
      </c>
      <c r="AJ1564" s="56">
        <f>IF(PAA_4[[#This Row],[BOLSA]]=0,0,SUMIFS([2]!COMPROMISOS_2024[[#All],[Total pagado]],[2]!COMPROMISOS_2024[[#All],[Bolsa]],PAA_4[[#This Row],[BOLSA]],[2]!COMPROMISOS_2024[[#All],[rubro]],PAA_4[[#This Row],[RCP-RUBRO]]))</f>
        <v>0</v>
      </c>
      <c r="AK1564" s="47" t="e" cm="1">
        <f t="array" aca="1" ref="AK1564" ca="1">_xlfn.XLOOKUP(PAA_4[[#This Row],[RCP-RUBRO]],[2]!COMPROMISOS_2024[[#All],[concatenado]],[2]!COMPROMISOS_2024[[#All],[Total Comprometido]],"",0)</f>
        <v>#NAME?</v>
      </c>
      <c r="AL1564" s="47">
        <f>IF(PAA_4[[#This Row],[BOLSA]]=0,0,SUMIFS([2]!COMPROMISOS_2024[[#All],[Total Comprometido]],[2]!COMPROMISOS_2024[[#All],[Bolsa]],PAA_4[[#This Row],[BOLSA]],[2]!COMPROMISOS_2024[[#All],[concatenado]],PAA_4[[#This Row],[RCP-RUBRO]]))</f>
        <v>0</v>
      </c>
    </row>
    <row r="1565" spans="1:38" s="19" customFormat="1" ht="31.5" customHeight="1">
      <c r="A1565" s="47" t="s">
        <v>82</v>
      </c>
      <c r="B1565" s="47" t="s">
        <v>42</v>
      </c>
      <c r="C1565" s="47" t="str">
        <f>VLOOKUP(PAA_4[[#This Row],[PROYECTO (formulado)2]],[2]PROYECTOS!$G$1:$L$32,6,0)</f>
        <v>SUBGERENCIA DE ALTOS LOGROS Y DEPORTE ASOCIADO</v>
      </c>
      <c r="D1565" s="47" t="str">
        <f>+IF(PAA_4[[#This Row],[UNIDAD DE CONTRATACION (formulado)]]="Subgerencia Administrativa y Financiera","FUNCIONAMIENTO","INVERSIÓN")</f>
        <v>INVERSIÓN</v>
      </c>
      <c r="E1565" s="48" t="str">
        <f>VLOOKUP(Q1565,[2]PROYECTOS!$G$1:$K$32,5,0)</f>
        <v>APOYO_TÉCNICO_Y_PSICOSOCIAL_A_LOS_DEPORTISTAS_DE_ANTIOQUIA</v>
      </c>
      <c r="F1565" s="48">
        <f>VLOOKUP(E1565,[2]PROYECTOS!$K$1:$M$32,3,0)</f>
        <v>2021003050069</v>
      </c>
      <c r="G1565" s="49" t="s">
        <v>239</v>
      </c>
      <c r="H1565" s="49" t="str">
        <f>VLOOKUP(Q1565,[2]PROYECTOS!$V$1:$W$32,2,0)</f>
        <v>050069</v>
      </c>
      <c r="I1565" s="78">
        <v>0</v>
      </c>
      <c r="J1565" s="51" t="s">
        <v>1952</v>
      </c>
      <c r="K1565" s="47" t="str">
        <f t="shared" ca="1" si="552"/>
        <v>CONTRATADO</v>
      </c>
      <c r="L1565" s="47" t="s">
        <v>42</v>
      </c>
      <c r="M1565" s="47" t="s">
        <v>42</v>
      </c>
      <c r="N1565" s="52" t="s">
        <v>240</v>
      </c>
      <c r="O1565" s="51" t="e">
        <f>VLOOKUP(N1565,[2]!RUBROS[#All],3,0)</f>
        <v>#REF!</v>
      </c>
      <c r="P1565" s="53" t="e">
        <f>VLOOKUP(N1565,[2]!RUBROS[#All],2,0)</f>
        <v>#REF!</v>
      </c>
      <c r="Q1565" s="47" t="str">
        <f t="shared" si="553"/>
        <v>22</v>
      </c>
      <c r="R1565" s="47" t="str">
        <f t="shared" si="554"/>
        <v>0-205400</v>
      </c>
      <c r="S1565" s="339" t="s">
        <v>42</v>
      </c>
      <c r="T1565" s="59" t="s">
        <v>42</v>
      </c>
      <c r="U1565" s="326" t="e">
        <f ca="1">_xlfn.XLOOKUP(PAA_4[[#This Row],[ITEM]],[2]Contrato!A:A,[2]Contrato!Q:Q,"",0)</f>
        <v>#NAME?</v>
      </c>
      <c r="V1565" s="47" t="s">
        <v>42</v>
      </c>
      <c r="W1565" s="47" t="s">
        <v>42</v>
      </c>
      <c r="X1565" s="47" t="s">
        <v>42</v>
      </c>
      <c r="Y1565" s="55" t="e">
        <f ca="1">_xlfn.XLOOKUP(PAA_4[[#This Row],[ITEM]],[2]Contrato!A:A,[2]Contrato!B:B,"",0)</f>
        <v>#NAME?</v>
      </c>
      <c r="Z1565" s="47" t="e">
        <f ca="1">_xlfn.XLOOKUP(PAA_4[[#This Row],[ITEM]],[2]Contrato!A:A,[2]Contrato!G:G,"",0)</f>
        <v>#NAME?</v>
      </c>
      <c r="AA1565" s="47" t="e">
        <f ca="1">_xlfn.XLOOKUP(PAA_4[[#This Row],[ITEM]],[2]Contrato!A:A,[2]Contrato!T:T,"",0)</f>
        <v>#NAME?</v>
      </c>
      <c r="AB1565" s="55" t="e">
        <f ca="1">+MAX(PAA_4[[#This Row],[Comprometido Contrato]],PAA_4[[#This Row],[Comprometido Bolsa]])</f>
        <v>#NAME?</v>
      </c>
      <c r="AC1565" s="55" t="str">
        <f t="shared" ca="1" si="555"/>
        <v/>
      </c>
      <c r="AD1565" s="55" t="e">
        <f ca="1">IF(PAA_4[[#This Row],[ESTADO (formulado)]]="NO CONTRATADO",0,MAX(PAA_4[[#This Row],[Pago por Contrato]],PAA_4[[#This Row],[Pago por bolsa]]))</f>
        <v>#NAME?</v>
      </c>
      <c r="AE1565" s="55" t="str">
        <f t="shared" ca="1" si="556"/>
        <v/>
      </c>
      <c r="AF1565" s="47" t="e">
        <f t="shared" ca="1" si="557"/>
        <v>#NAME?</v>
      </c>
      <c r="AG1565" s="47">
        <f t="shared" si="558"/>
        <v>41080101</v>
      </c>
      <c r="AH1565" s="54" t="str">
        <f>IF(Q1565="22",IF(ISNUMBER(SEARCH("econ",PAA_4[[#This Row],[Actividad3]])),"Económico",IF(ISNUMBER(SEARCH("alim",PAA_4[[#This Row],[Actividad3]])),"Alimentación",IF(ISNUMBER(SEARCH("educ",PAA_4[[#This Row],[Actividad3]])),"Educativo","Técnico"))),0)</f>
        <v>Técnico</v>
      </c>
      <c r="AI1565" s="47" t="e" cm="1">
        <f t="array" aca="1" ref="AI1565" ca="1">_xlfn.XLOOKUP(PAA_4[[#This Row],[RCP-RUBRO]],[2]!COMPROMISOS_2024[[#All],[concatenado]],[2]!COMPROMISOS_2024[[#All],[Total pagado]],"",0)</f>
        <v>#NAME?</v>
      </c>
      <c r="AJ1565" s="56" t="e">
        <f ca="1">IF(PAA_4[[#This Row],[BOLSA]]=0,0,SUMIFS([2]!COMPROMISOS_2024[[#All],[Total pagado]],[2]!COMPROMISOS_2024[[#All],[Bolsa]],PAA_4[[#This Row],[BOLSA]],[2]!COMPROMISOS_2024[[#All],[rubro]],PAA_4[[#This Row],[RCP-RUBRO]]))</f>
        <v>#REF!</v>
      </c>
      <c r="AK1565" s="47" t="e" cm="1">
        <f t="array" aca="1" ref="AK1565" ca="1">_xlfn.XLOOKUP(PAA_4[[#This Row],[RCP-RUBRO]],[2]!COMPROMISOS_2024[[#All],[concatenado]],[2]!COMPROMISOS_2024[[#All],[Total Comprometido]],"",0)</f>
        <v>#NAME?</v>
      </c>
      <c r="AL1565" s="47" t="e">
        <f ca="1">IF(PAA_4[[#This Row],[BOLSA]]=0,0,SUMIFS([2]!COMPROMISOS_2024[[#All],[Total Comprometido]],[2]!COMPROMISOS_2024[[#All],[Bolsa]],PAA_4[[#This Row],[BOLSA]],[2]!COMPROMISOS_2024[[#All],[concatenado]],PAA_4[[#This Row],[RCP-RUBRO]]))</f>
        <v>#REF!</v>
      </c>
    </row>
    <row r="1566" spans="1:38" s="19" customFormat="1" ht="31.5" customHeight="1">
      <c r="A1566" s="47">
        <v>807</v>
      </c>
      <c r="B1566" s="47">
        <v>80111600</v>
      </c>
      <c r="C1566" s="47" t="str">
        <f>VLOOKUP(PAA_4[[#This Row],[PROYECTO (formulado)2]],[2]PROYECTOS!$G$1:$L$32,6,0)</f>
        <v>SUBGERENCIA DE ALTOS LOGROS Y DEPORTE ASOCIADO</v>
      </c>
      <c r="D1566" s="47" t="str">
        <f>+IF(PAA_4[[#This Row],[UNIDAD DE CONTRATACION (formulado)]]="Subgerencia Administrativa y Financiera","FUNCIONAMIENTO","INVERSIÓN")</f>
        <v>INVERSIÓN</v>
      </c>
      <c r="E1566" s="48" t="str">
        <f>VLOOKUP(Q1566,[2]PROYECTOS!$G$1:$K$32,5,0)</f>
        <v>APOYO_TÉCNICO_Y_PSICOSOCIAL_A_LOS_DEPORTISTAS_DE_ANTIOQUIA</v>
      </c>
      <c r="F1566" s="48">
        <f>VLOOKUP(E1566,[2]PROYECTOS!$K$1:$M$32,3,0)</f>
        <v>2021003050069</v>
      </c>
      <c r="G1566" s="49" t="s">
        <v>239</v>
      </c>
      <c r="H1566" s="49" t="str">
        <f>VLOOKUP(Q1566,[2]PROYECTOS!$V$1:$W$32,2,0)</f>
        <v>050069</v>
      </c>
      <c r="I1566" s="78">
        <f>27162779-981787-490894</f>
        <v>25690098</v>
      </c>
      <c r="J1566" s="51" t="s">
        <v>1953</v>
      </c>
      <c r="K1566" s="47" t="str">
        <f t="shared" ca="1" si="552"/>
        <v>CONTRATADO</v>
      </c>
      <c r="L1566" s="47" t="s">
        <v>147</v>
      </c>
      <c r="M1566" s="47" t="s">
        <v>1297</v>
      </c>
      <c r="N1566" s="52" t="s">
        <v>240</v>
      </c>
      <c r="O1566" s="51" t="e">
        <f>VLOOKUP(N1566,[2]!RUBROS[#All],3,0)</f>
        <v>#REF!</v>
      </c>
      <c r="P1566" s="53" t="e">
        <f>VLOOKUP(N1566,[2]!RUBROS[#All],2,0)</f>
        <v>#REF!</v>
      </c>
      <c r="Q1566" s="47" t="str">
        <f t="shared" si="553"/>
        <v>22</v>
      </c>
      <c r="R1566" s="47" t="str">
        <f t="shared" si="554"/>
        <v>0-205400</v>
      </c>
      <c r="S1566" s="339">
        <v>166</v>
      </c>
      <c r="T1566" s="59" t="s">
        <v>120</v>
      </c>
      <c r="U1566" s="326" t="e">
        <f ca="1">_xlfn.XLOOKUP(PAA_4[[#This Row],[ITEM]],[2]Contrato!A:A,[2]Contrato!Q:Q,"",0)</f>
        <v>#NAME?</v>
      </c>
      <c r="V1566" s="47" t="s">
        <v>95</v>
      </c>
      <c r="W1566" s="47" t="s">
        <v>154</v>
      </c>
      <c r="X1566" s="47" t="s">
        <v>154</v>
      </c>
      <c r="Y1566" s="55" t="e">
        <f ca="1">_xlfn.XLOOKUP(PAA_4[[#This Row],[ITEM]],[2]Contrato!A:A,[2]Contrato!B:B,"",0)</f>
        <v>#NAME?</v>
      </c>
      <c r="Z1566" s="47" t="e">
        <f ca="1">_xlfn.XLOOKUP(PAA_4[[#This Row],[ITEM]],[2]Contrato!A:A,[2]Contrato!G:G,"",0)</f>
        <v>#NAME?</v>
      </c>
      <c r="AA1566" s="47" t="e">
        <f ca="1">_xlfn.XLOOKUP(PAA_4[[#This Row],[ITEM]],[2]Contrato!A:A,[2]Contrato!T:T,"",0)</f>
        <v>#NAME?</v>
      </c>
      <c r="AB1566" s="55" t="e">
        <f ca="1">+MAX(PAA_4[[#This Row],[Comprometido Contrato]],PAA_4[[#This Row],[Comprometido Bolsa]])</f>
        <v>#NAME?</v>
      </c>
      <c r="AC1566" s="55" t="str">
        <f t="shared" ca="1" si="555"/>
        <v/>
      </c>
      <c r="AD1566" s="55" t="e">
        <f ca="1">IF(PAA_4[[#This Row],[ESTADO (formulado)]]="NO CONTRATADO",0,MAX(PAA_4[[#This Row],[Pago por Contrato]],PAA_4[[#This Row],[Pago por bolsa]]))</f>
        <v>#NAME?</v>
      </c>
      <c r="AE1566" s="55" t="str">
        <f t="shared" ca="1" si="556"/>
        <v/>
      </c>
      <c r="AF1566" s="47" t="e">
        <f t="shared" ca="1" si="557"/>
        <v>#NAME?</v>
      </c>
      <c r="AG1566" s="47">
        <f t="shared" si="558"/>
        <v>41080101</v>
      </c>
      <c r="AH1566" s="54" t="str">
        <f>IF(Q1566="22",IF(ISNUMBER(SEARCH("econ",PAA_4[[#This Row],[Actividad3]])),"Económico",IF(ISNUMBER(SEARCH("alim",PAA_4[[#This Row],[Actividad3]])),"Alimentación",IF(ISNUMBER(SEARCH("educ",PAA_4[[#This Row],[Actividad3]])),"Educativo","Técnico"))),0)</f>
        <v>Técnico</v>
      </c>
      <c r="AI1566" s="47" t="e" cm="1">
        <f t="array" aca="1" ref="AI1566" ca="1">_xlfn.XLOOKUP(PAA_4[[#This Row],[RCP-RUBRO]],[2]!COMPROMISOS_2024[[#All],[concatenado]],[2]!COMPROMISOS_2024[[#All],[Total pagado]],"",0)</f>
        <v>#NAME?</v>
      </c>
      <c r="AJ1566" s="56" t="e">
        <f ca="1">IF(PAA_4[[#This Row],[BOLSA]]=0,0,SUMIFS([2]!COMPROMISOS_2024[[#All],[Total pagado]],[2]!COMPROMISOS_2024[[#All],[Bolsa]],PAA_4[[#This Row],[BOLSA]],[2]!COMPROMISOS_2024[[#All],[rubro]],PAA_4[[#This Row],[RCP-RUBRO]]))</f>
        <v>#REF!</v>
      </c>
      <c r="AK1566" s="47" t="e" cm="1">
        <f t="array" aca="1" ref="AK1566" ca="1">_xlfn.XLOOKUP(PAA_4[[#This Row],[RCP-RUBRO]],[2]!COMPROMISOS_2024[[#All],[concatenado]],[2]!COMPROMISOS_2024[[#All],[Total Comprometido]],"",0)</f>
        <v>#NAME?</v>
      </c>
      <c r="AL1566" s="47" t="e">
        <f ca="1">IF(PAA_4[[#This Row],[BOLSA]]=0,0,SUMIFS([2]!COMPROMISOS_2024[[#All],[Total Comprometido]],[2]!COMPROMISOS_2024[[#All],[Bolsa]],PAA_4[[#This Row],[BOLSA]],[2]!COMPROMISOS_2024[[#All],[concatenado]],PAA_4[[#This Row],[RCP-RUBRO]]))</f>
        <v>#REF!</v>
      </c>
    </row>
    <row r="1567" spans="1:38" s="19" customFormat="1" ht="31.5" customHeight="1">
      <c r="A1567" s="47" t="s">
        <v>82</v>
      </c>
      <c r="B1567" s="47" t="s">
        <v>42</v>
      </c>
      <c r="C1567" s="47" t="str">
        <f>VLOOKUP(PAA_4[[#This Row],[PROYECTO (formulado)2]],[2]PROYECTOS!$G$1:$L$32,6,0)</f>
        <v>SUBGERENCIA DE ALTOS LOGROS Y DEPORTE ASOCIADO</v>
      </c>
      <c r="D1567" s="47" t="str">
        <f>+IF(PAA_4[[#This Row],[UNIDAD DE CONTRATACION (formulado)]]="Subgerencia Administrativa y Financiera","FUNCIONAMIENTO","INVERSIÓN")</f>
        <v>INVERSIÓN</v>
      </c>
      <c r="E1567" s="48" t="str">
        <f>VLOOKUP(Q1567,[2]PROYECTOS!$G$1:$K$32,5,0)</f>
        <v>APOYO_TÉCNICO_Y_PSICOSOCIAL_A_LOS_DEPORTISTAS_DE_ANTIOQUIA</v>
      </c>
      <c r="F1567" s="48">
        <f>VLOOKUP(E1567,[2]PROYECTOS!$K$1:$M$32,3,0)</f>
        <v>2021003050069</v>
      </c>
      <c r="G1567" s="49" t="s">
        <v>239</v>
      </c>
      <c r="H1567" s="49" t="str">
        <f>VLOOKUP(Q1567,[2]PROYECTOS!$V$1:$W$32,2,0)</f>
        <v>050069</v>
      </c>
      <c r="I1567" s="78">
        <v>490894</v>
      </c>
      <c r="J1567" s="51" t="s">
        <v>1952</v>
      </c>
      <c r="K1567" s="47" t="str">
        <f t="shared" ca="1" si="552"/>
        <v>CONTRATADO</v>
      </c>
      <c r="L1567" s="47" t="s">
        <v>42</v>
      </c>
      <c r="M1567" s="47" t="s">
        <v>42</v>
      </c>
      <c r="N1567" s="52" t="s">
        <v>240</v>
      </c>
      <c r="O1567" s="51" t="e">
        <f>VLOOKUP(N1567,[2]!RUBROS[#All],3,0)</f>
        <v>#REF!</v>
      </c>
      <c r="P1567" s="53" t="e">
        <f>VLOOKUP(N1567,[2]!RUBROS[#All],2,0)</f>
        <v>#REF!</v>
      </c>
      <c r="Q1567" s="47" t="str">
        <f t="shared" si="553"/>
        <v>22</v>
      </c>
      <c r="R1567" s="47" t="str">
        <f t="shared" si="554"/>
        <v>0-205400</v>
      </c>
      <c r="S1567" s="339" t="s">
        <v>42</v>
      </c>
      <c r="T1567" s="59" t="s">
        <v>42</v>
      </c>
      <c r="U1567" s="326" t="e">
        <f ca="1">_xlfn.XLOOKUP(PAA_4[[#This Row],[ITEM]],[2]Contrato!A:A,[2]Contrato!Q:Q,"",0)</f>
        <v>#NAME?</v>
      </c>
      <c r="V1567" s="47" t="s">
        <v>42</v>
      </c>
      <c r="W1567" s="47" t="s">
        <v>42</v>
      </c>
      <c r="X1567" s="47" t="s">
        <v>42</v>
      </c>
      <c r="Y1567" s="55" t="e">
        <f ca="1">_xlfn.XLOOKUP(PAA_4[[#This Row],[ITEM]],[2]Contrato!A:A,[2]Contrato!B:B,"",0)</f>
        <v>#NAME?</v>
      </c>
      <c r="Z1567" s="47" t="e">
        <f ca="1">_xlfn.XLOOKUP(PAA_4[[#This Row],[ITEM]],[2]Contrato!A:A,[2]Contrato!G:G,"",0)</f>
        <v>#NAME?</v>
      </c>
      <c r="AA1567" s="47" t="e">
        <f ca="1">_xlfn.XLOOKUP(PAA_4[[#This Row],[ITEM]],[2]Contrato!A:A,[2]Contrato!T:T,"",0)</f>
        <v>#NAME?</v>
      </c>
      <c r="AB1567" s="55" t="e">
        <f ca="1">+MAX(PAA_4[[#This Row],[Comprometido Contrato]],PAA_4[[#This Row],[Comprometido Bolsa]])</f>
        <v>#NAME?</v>
      </c>
      <c r="AC1567" s="55" t="str">
        <f t="shared" ca="1" si="555"/>
        <v/>
      </c>
      <c r="AD1567" s="55" t="e">
        <f ca="1">IF(PAA_4[[#This Row],[ESTADO (formulado)]]="NO CONTRATADO",0,MAX(PAA_4[[#This Row],[Pago por Contrato]],PAA_4[[#This Row],[Pago por bolsa]]))</f>
        <v>#NAME?</v>
      </c>
      <c r="AE1567" s="55" t="str">
        <f t="shared" ca="1" si="556"/>
        <v/>
      </c>
      <c r="AF1567" s="47" t="e">
        <f t="shared" ca="1" si="557"/>
        <v>#NAME?</v>
      </c>
      <c r="AG1567" s="47">
        <f t="shared" si="558"/>
        <v>41080101</v>
      </c>
      <c r="AH1567" s="54" t="str">
        <f>IF(Q1567="22",IF(ISNUMBER(SEARCH("econ",PAA_4[[#This Row],[Actividad3]])),"Económico",IF(ISNUMBER(SEARCH("alim",PAA_4[[#This Row],[Actividad3]])),"Alimentación",IF(ISNUMBER(SEARCH("educ",PAA_4[[#This Row],[Actividad3]])),"Educativo","Técnico"))),0)</f>
        <v>Técnico</v>
      </c>
      <c r="AI1567" s="47" t="e" cm="1">
        <f t="array" aca="1" ref="AI1567" ca="1">_xlfn.XLOOKUP(PAA_4[[#This Row],[RCP-RUBRO]],[2]!COMPROMISOS_2024[[#All],[concatenado]],[2]!COMPROMISOS_2024[[#All],[Total pagado]],"",0)</f>
        <v>#NAME?</v>
      </c>
      <c r="AJ1567" s="56" t="e">
        <f ca="1">IF(PAA_4[[#This Row],[BOLSA]]=0,0,SUMIFS([2]!COMPROMISOS_2024[[#All],[Total pagado]],[2]!COMPROMISOS_2024[[#All],[Bolsa]],PAA_4[[#This Row],[BOLSA]],[2]!COMPROMISOS_2024[[#All],[rubro]],PAA_4[[#This Row],[RCP-RUBRO]]))</f>
        <v>#REF!</v>
      </c>
      <c r="AK1567" s="47" t="e" cm="1">
        <f t="array" aca="1" ref="AK1567" ca="1">_xlfn.XLOOKUP(PAA_4[[#This Row],[RCP-RUBRO]],[2]!COMPROMISOS_2024[[#All],[concatenado]],[2]!COMPROMISOS_2024[[#All],[Total Comprometido]],"",0)</f>
        <v>#NAME?</v>
      </c>
      <c r="AL1567" s="47" t="e">
        <f ca="1">IF(PAA_4[[#This Row],[BOLSA]]=0,0,SUMIFS([2]!COMPROMISOS_2024[[#All],[Total Comprometido]],[2]!COMPROMISOS_2024[[#All],[Bolsa]],PAA_4[[#This Row],[BOLSA]],[2]!COMPROMISOS_2024[[#All],[concatenado]],PAA_4[[#This Row],[RCP-RUBRO]]))</f>
        <v>#REF!</v>
      </c>
    </row>
    <row r="1568" spans="1:38" s="19" customFormat="1" ht="31.5" customHeight="1">
      <c r="A1568" s="47">
        <v>808</v>
      </c>
      <c r="B1568" s="47">
        <v>80111600</v>
      </c>
      <c r="C1568" s="47" t="str">
        <f>VLOOKUP(PAA_4[[#This Row],[PROYECTO (formulado)2]],[2]PROYECTOS!$G$1:$L$32,6,0)</f>
        <v>SUBGERENCIA DE ALTOS LOGROS Y DEPORTE ASOCIADO</v>
      </c>
      <c r="D1568" s="47" t="str">
        <f>+IF(PAA_4[[#This Row],[UNIDAD DE CONTRATACION (formulado)]]="Subgerencia Administrativa y Financiera","FUNCIONAMIENTO","INVERSIÓN")</f>
        <v>INVERSIÓN</v>
      </c>
      <c r="E1568" s="48" t="str">
        <f>VLOOKUP(Q1568,[2]PROYECTOS!$G$1:$K$32,5,0)</f>
        <v>APOYO_TÉCNICO_Y_PSICOSOCIAL_A_LOS_DEPORTISTAS_DE_ANTIOQUIA</v>
      </c>
      <c r="F1568" s="48">
        <f>VLOOKUP(E1568,[2]PROYECTOS!$K$1:$M$32,3,0)</f>
        <v>2021003050069</v>
      </c>
      <c r="G1568" s="49" t="s">
        <v>239</v>
      </c>
      <c r="H1568" s="49" t="str">
        <f>VLOOKUP(Q1568,[2]PROYECTOS!$V$1:$W$32,2,0)</f>
        <v>050069</v>
      </c>
      <c r="I1568" s="78">
        <f>27162779-981787-490894</f>
        <v>25690098</v>
      </c>
      <c r="J1568" s="51" t="s">
        <v>1953</v>
      </c>
      <c r="K1568" s="47" t="str">
        <f t="shared" ca="1" si="552"/>
        <v>CONTRATADO</v>
      </c>
      <c r="L1568" s="47" t="s">
        <v>147</v>
      </c>
      <c r="M1568" s="47" t="s">
        <v>1297</v>
      </c>
      <c r="N1568" s="52" t="s">
        <v>240</v>
      </c>
      <c r="O1568" s="51" t="e">
        <f>VLOOKUP(N1568,[2]!RUBROS[#All],3,0)</f>
        <v>#REF!</v>
      </c>
      <c r="P1568" s="53" t="e">
        <f>VLOOKUP(N1568,[2]!RUBROS[#All],2,0)</f>
        <v>#REF!</v>
      </c>
      <c r="Q1568" s="47" t="str">
        <f t="shared" si="553"/>
        <v>22</v>
      </c>
      <c r="R1568" s="47" t="str">
        <f t="shared" si="554"/>
        <v>0-205400</v>
      </c>
      <c r="S1568" s="339">
        <v>166</v>
      </c>
      <c r="T1568" s="59" t="s">
        <v>120</v>
      </c>
      <c r="U1568" s="326" t="e">
        <f ca="1">_xlfn.XLOOKUP(PAA_4[[#This Row],[ITEM]],[2]Contrato!A:A,[2]Contrato!Q:Q,"",0)</f>
        <v>#NAME?</v>
      </c>
      <c r="V1568" s="47" t="s">
        <v>95</v>
      </c>
      <c r="W1568" s="47" t="s">
        <v>154</v>
      </c>
      <c r="X1568" s="47" t="s">
        <v>154</v>
      </c>
      <c r="Y1568" s="55" t="e">
        <f ca="1">_xlfn.XLOOKUP(PAA_4[[#This Row],[ITEM]],[2]Contrato!A:A,[2]Contrato!B:B,"",0)</f>
        <v>#NAME?</v>
      </c>
      <c r="Z1568" s="47" t="e">
        <f ca="1">_xlfn.XLOOKUP(PAA_4[[#This Row],[ITEM]],[2]Contrato!A:A,[2]Contrato!G:G,"",0)</f>
        <v>#NAME?</v>
      </c>
      <c r="AA1568" s="47" t="e">
        <f ca="1">_xlfn.XLOOKUP(PAA_4[[#This Row],[ITEM]],[2]Contrato!A:A,[2]Contrato!T:T,"",0)</f>
        <v>#NAME?</v>
      </c>
      <c r="AB1568" s="55" t="e">
        <f ca="1">+MAX(PAA_4[[#This Row],[Comprometido Contrato]],PAA_4[[#This Row],[Comprometido Bolsa]])</f>
        <v>#NAME?</v>
      </c>
      <c r="AC1568" s="55" t="str">
        <f t="shared" ca="1" si="555"/>
        <v/>
      </c>
      <c r="AD1568" s="55" t="e">
        <f ca="1">IF(PAA_4[[#This Row],[ESTADO (formulado)]]="NO CONTRATADO",0,MAX(PAA_4[[#This Row],[Pago por Contrato]],PAA_4[[#This Row],[Pago por bolsa]]))</f>
        <v>#NAME?</v>
      </c>
      <c r="AE1568" s="55" t="str">
        <f t="shared" ca="1" si="556"/>
        <v/>
      </c>
      <c r="AF1568" s="47" t="e">
        <f t="shared" ca="1" si="557"/>
        <v>#NAME?</v>
      </c>
      <c r="AG1568" s="47">
        <f t="shared" si="558"/>
        <v>41080101</v>
      </c>
      <c r="AH1568" s="54" t="str">
        <f>IF(Q1568="22",IF(ISNUMBER(SEARCH("econ",PAA_4[[#This Row],[Actividad3]])),"Económico",IF(ISNUMBER(SEARCH("alim",PAA_4[[#This Row],[Actividad3]])),"Alimentación",IF(ISNUMBER(SEARCH("educ",PAA_4[[#This Row],[Actividad3]])),"Educativo","Técnico"))),0)</f>
        <v>Técnico</v>
      </c>
      <c r="AI1568" s="47" t="e" cm="1">
        <f t="array" aca="1" ref="AI1568" ca="1">_xlfn.XLOOKUP(PAA_4[[#This Row],[RCP-RUBRO]],[2]!COMPROMISOS_2024[[#All],[concatenado]],[2]!COMPROMISOS_2024[[#All],[Total pagado]],"",0)</f>
        <v>#NAME?</v>
      </c>
      <c r="AJ1568" s="56" t="e">
        <f ca="1">IF(PAA_4[[#This Row],[BOLSA]]=0,0,SUMIFS([2]!COMPROMISOS_2024[[#All],[Total pagado]],[2]!COMPROMISOS_2024[[#All],[Bolsa]],PAA_4[[#This Row],[BOLSA]],[2]!COMPROMISOS_2024[[#All],[rubro]],PAA_4[[#This Row],[RCP-RUBRO]]))</f>
        <v>#REF!</v>
      </c>
      <c r="AK1568" s="47" t="e" cm="1">
        <f t="array" aca="1" ref="AK1568" ca="1">_xlfn.XLOOKUP(PAA_4[[#This Row],[RCP-RUBRO]],[2]!COMPROMISOS_2024[[#All],[concatenado]],[2]!COMPROMISOS_2024[[#All],[Total Comprometido]],"",0)</f>
        <v>#NAME?</v>
      </c>
      <c r="AL1568" s="47" t="e">
        <f ca="1">IF(PAA_4[[#This Row],[BOLSA]]=0,0,SUMIFS([2]!COMPROMISOS_2024[[#All],[Total Comprometido]],[2]!COMPROMISOS_2024[[#All],[Bolsa]],PAA_4[[#This Row],[BOLSA]],[2]!COMPROMISOS_2024[[#All],[concatenado]],PAA_4[[#This Row],[RCP-RUBRO]]))</f>
        <v>#REF!</v>
      </c>
    </row>
    <row r="1569" spans="1:38" s="19" customFormat="1" ht="31.5" customHeight="1">
      <c r="A1569" s="47" t="s">
        <v>82</v>
      </c>
      <c r="B1569" s="47" t="s">
        <v>42</v>
      </c>
      <c r="C1569" s="47" t="str">
        <f>VLOOKUP(PAA_4[[#This Row],[PROYECTO (formulado)2]],[2]PROYECTOS!$G$1:$L$32,6,0)</f>
        <v>SUBGERENCIA DE ALTOS LOGROS Y DEPORTE ASOCIADO</v>
      </c>
      <c r="D1569" s="47" t="str">
        <f>+IF(PAA_4[[#This Row],[UNIDAD DE CONTRATACION (formulado)]]="Subgerencia Administrativa y Financiera","FUNCIONAMIENTO","INVERSIÓN")</f>
        <v>INVERSIÓN</v>
      </c>
      <c r="E1569" s="48" t="str">
        <f>VLOOKUP(Q1569,[2]PROYECTOS!$G$1:$K$32,5,0)</f>
        <v>APOYO_TÉCNICO_Y_PSICOSOCIAL_A_LOS_DEPORTISTAS_DE_ANTIOQUIA</v>
      </c>
      <c r="F1569" s="48">
        <f>VLOOKUP(E1569,[2]PROYECTOS!$K$1:$M$32,3,0)</f>
        <v>2021003050069</v>
      </c>
      <c r="G1569" s="49" t="s">
        <v>239</v>
      </c>
      <c r="H1569" s="49" t="str">
        <f>VLOOKUP(Q1569,[2]PROYECTOS!$V$1:$W$32,2,0)</f>
        <v>050069</v>
      </c>
      <c r="I1569" s="78">
        <v>490894</v>
      </c>
      <c r="J1569" s="51" t="s">
        <v>1952</v>
      </c>
      <c r="K1569" s="47" t="str">
        <f t="shared" ca="1" si="552"/>
        <v>CONTRATADO</v>
      </c>
      <c r="L1569" s="47" t="s">
        <v>42</v>
      </c>
      <c r="M1569" s="47" t="s">
        <v>42</v>
      </c>
      <c r="N1569" s="52" t="s">
        <v>240</v>
      </c>
      <c r="O1569" s="51" t="e">
        <f>VLOOKUP(N1569,[2]!RUBROS[#All],3,0)</f>
        <v>#REF!</v>
      </c>
      <c r="P1569" s="53" t="e">
        <f>VLOOKUP(N1569,[2]!RUBROS[#All],2,0)</f>
        <v>#REF!</v>
      </c>
      <c r="Q1569" s="47" t="str">
        <f t="shared" si="553"/>
        <v>22</v>
      </c>
      <c r="R1569" s="47" t="str">
        <f t="shared" si="554"/>
        <v>0-205400</v>
      </c>
      <c r="S1569" s="339" t="s">
        <v>42</v>
      </c>
      <c r="T1569" s="59" t="s">
        <v>42</v>
      </c>
      <c r="U1569" s="326" t="e">
        <f ca="1">_xlfn.XLOOKUP(PAA_4[[#This Row],[ITEM]],[2]Contrato!A:A,[2]Contrato!Q:Q,"",0)</f>
        <v>#NAME?</v>
      </c>
      <c r="V1569" s="47" t="s">
        <v>42</v>
      </c>
      <c r="W1569" s="47" t="s">
        <v>42</v>
      </c>
      <c r="X1569" s="47" t="s">
        <v>42</v>
      </c>
      <c r="Y1569" s="55" t="e">
        <f ca="1">_xlfn.XLOOKUP(PAA_4[[#This Row],[ITEM]],[2]Contrato!A:A,[2]Contrato!B:B,"",0)</f>
        <v>#NAME?</v>
      </c>
      <c r="Z1569" s="47" t="e">
        <f ca="1">_xlfn.XLOOKUP(PAA_4[[#This Row],[ITEM]],[2]Contrato!A:A,[2]Contrato!G:G,"",0)</f>
        <v>#NAME?</v>
      </c>
      <c r="AA1569" s="47" t="e">
        <f ca="1">_xlfn.XLOOKUP(PAA_4[[#This Row],[ITEM]],[2]Contrato!A:A,[2]Contrato!T:T,"",0)</f>
        <v>#NAME?</v>
      </c>
      <c r="AB1569" s="55" t="e">
        <f ca="1">+MAX(PAA_4[[#This Row],[Comprometido Contrato]],PAA_4[[#This Row],[Comprometido Bolsa]])</f>
        <v>#NAME?</v>
      </c>
      <c r="AC1569" s="55" t="str">
        <f t="shared" ca="1" si="555"/>
        <v/>
      </c>
      <c r="AD1569" s="55" t="e">
        <f ca="1">IF(PAA_4[[#This Row],[ESTADO (formulado)]]="NO CONTRATADO",0,MAX(PAA_4[[#This Row],[Pago por Contrato]],PAA_4[[#This Row],[Pago por bolsa]]))</f>
        <v>#NAME?</v>
      </c>
      <c r="AE1569" s="55" t="str">
        <f t="shared" ca="1" si="556"/>
        <v/>
      </c>
      <c r="AF1569" s="47" t="e">
        <f t="shared" ca="1" si="557"/>
        <v>#NAME?</v>
      </c>
      <c r="AG1569" s="47">
        <f t="shared" si="558"/>
        <v>41080101</v>
      </c>
      <c r="AH1569" s="54" t="str">
        <f>IF(Q1569="22",IF(ISNUMBER(SEARCH("econ",PAA_4[[#This Row],[Actividad3]])),"Económico",IF(ISNUMBER(SEARCH("alim",PAA_4[[#This Row],[Actividad3]])),"Alimentación",IF(ISNUMBER(SEARCH("educ",PAA_4[[#This Row],[Actividad3]])),"Educativo","Técnico"))),0)</f>
        <v>Técnico</v>
      </c>
      <c r="AI1569" s="47" t="e" cm="1">
        <f t="array" aca="1" ref="AI1569" ca="1">_xlfn.XLOOKUP(PAA_4[[#This Row],[RCP-RUBRO]],[2]!COMPROMISOS_2024[[#All],[concatenado]],[2]!COMPROMISOS_2024[[#All],[Total pagado]],"",0)</f>
        <v>#NAME?</v>
      </c>
      <c r="AJ1569" s="56" t="e">
        <f ca="1">IF(PAA_4[[#This Row],[BOLSA]]=0,0,SUMIFS([2]!COMPROMISOS_2024[[#All],[Total pagado]],[2]!COMPROMISOS_2024[[#All],[Bolsa]],PAA_4[[#This Row],[BOLSA]],[2]!COMPROMISOS_2024[[#All],[rubro]],PAA_4[[#This Row],[RCP-RUBRO]]))</f>
        <v>#REF!</v>
      </c>
      <c r="AK1569" s="47" t="e" cm="1">
        <f t="array" aca="1" ref="AK1569" ca="1">_xlfn.XLOOKUP(PAA_4[[#This Row],[RCP-RUBRO]],[2]!COMPROMISOS_2024[[#All],[concatenado]],[2]!COMPROMISOS_2024[[#All],[Total Comprometido]],"",0)</f>
        <v>#NAME?</v>
      </c>
      <c r="AL1569" s="47" t="e">
        <f ca="1">IF(PAA_4[[#This Row],[BOLSA]]=0,0,SUMIFS([2]!COMPROMISOS_2024[[#All],[Total Comprometido]],[2]!COMPROMISOS_2024[[#All],[Bolsa]],PAA_4[[#This Row],[BOLSA]],[2]!COMPROMISOS_2024[[#All],[concatenado]],PAA_4[[#This Row],[RCP-RUBRO]]))</f>
        <v>#REF!</v>
      </c>
    </row>
    <row r="1570" spans="1:38" s="19" customFormat="1" ht="31.5" customHeight="1">
      <c r="A1570" s="47">
        <v>809</v>
      </c>
      <c r="B1570" s="47">
        <v>80111600</v>
      </c>
      <c r="C1570" s="47" t="str">
        <f>VLOOKUP(PAA_4[[#This Row],[PROYECTO (formulado)2]],[2]PROYECTOS!$G$1:$L$32,6,0)</f>
        <v>SUBGERENCIA DE ALTOS LOGROS Y DEPORTE ASOCIADO</v>
      </c>
      <c r="D1570" s="47" t="str">
        <f>+IF(PAA_4[[#This Row],[UNIDAD DE CONTRATACION (formulado)]]="Subgerencia Administrativa y Financiera","FUNCIONAMIENTO","INVERSIÓN")</f>
        <v>INVERSIÓN</v>
      </c>
      <c r="E1570" s="48" t="str">
        <f>VLOOKUP(Q1570,[2]PROYECTOS!$G$1:$K$32,5,0)</f>
        <v>APOYO_TÉCNICO_Y_PSICOSOCIAL_A_LOS_DEPORTISTAS_DE_ANTIOQUIA</v>
      </c>
      <c r="F1570" s="48">
        <f>VLOOKUP(E1570,[2]PROYECTOS!$K$1:$M$32,3,0)</f>
        <v>2021003050069</v>
      </c>
      <c r="G1570" s="49" t="s">
        <v>239</v>
      </c>
      <c r="H1570" s="49" t="str">
        <f>VLOOKUP(Q1570,[2]PROYECTOS!$V$1:$W$32,2,0)</f>
        <v>050069</v>
      </c>
      <c r="I1570" s="78">
        <f>27162779-981787-490894</f>
        <v>25690098</v>
      </c>
      <c r="J1570" s="51" t="s">
        <v>1953</v>
      </c>
      <c r="K1570" s="47" t="str">
        <f t="shared" ca="1" si="552"/>
        <v>CONTRATADO</v>
      </c>
      <c r="L1570" s="47" t="s">
        <v>147</v>
      </c>
      <c r="M1570" s="47" t="s">
        <v>1297</v>
      </c>
      <c r="N1570" s="52" t="s">
        <v>240</v>
      </c>
      <c r="O1570" s="51" t="e">
        <f>VLOOKUP(N1570,[2]!RUBROS[#All],3,0)</f>
        <v>#REF!</v>
      </c>
      <c r="P1570" s="53" t="e">
        <f>VLOOKUP(N1570,[2]!RUBROS[#All],2,0)</f>
        <v>#REF!</v>
      </c>
      <c r="Q1570" s="47" t="str">
        <f t="shared" si="553"/>
        <v>22</v>
      </c>
      <c r="R1570" s="47" t="str">
        <f t="shared" si="554"/>
        <v>0-205400</v>
      </c>
      <c r="S1570" s="339">
        <v>166</v>
      </c>
      <c r="T1570" s="59" t="s">
        <v>120</v>
      </c>
      <c r="U1570" s="326" t="e">
        <f ca="1">_xlfn.XLOOKUP(PAA_4[[#This Row],[ITEM]],[2]Contrato!A:A,[2]Contrato!Q:Q,"",0)</f>
        <v>#NAME?</v>
      </c>
      <c r="V1570" s="47" t="s">
        <v>95</v>
      </c>
      <c r="W1570" s="47" t="s">
        <v>154</v>
      </c>
      <c r="X1570" s="47" t="s">
        <v>154</v>
      </c>
      <c r="Y1570" s="55" t="e">
        <f ca="1">_xlfn.XLOOKUP(PAA_4[[#This Row],[ITEM]],[2]Contrato!A:A,[2]Contrato!B:B,"",0)</f>
        <v>#NAME?</v>
      </c>
      <c r="Z1570" s="47" t="e">
        <f ca="1">_xlfn.XLOOKUP(PAA_4[[#This Row],[ITEM]],[2]Contrato!A:A,[2]Contrato!G:G,"",0)</f>
        <v>#NAME?</v>
      </c>
      <c r="AA1570" s="47" t="e">
        <f ca="1">_xlfn.XLOOKUP(PAA_4[[#This Row],[ITEM]],[2]Contrato!A:A,[2]Contrato!T:T,"",0)</f>
        <v>#NAME?</v>
      </c>
      <c r="AB1570" s="55" t="e">
        <f ca="1">+MAX(PAA_4[[#This Row],[Comprometido Contrato]],PAA_4[[#This Row],[Comprometido Bolsa]])</f>
        <v>#NAME?</v>
      </c>
      <c r="AC1570" s="55" t="str">
        <f t="shared" ca="1" si="555"/>
        <v/>
      </c>
      <c r="AD1570" s="55" t="e">
        <f ca="1">IF(PAA_4[[#This Row],[ESTADO (formulado)]]="NO CONTRATADO",0,MAX(PAA_4[[#This Row],[Pago por Contrato]],PAA_4[[#This Row],[Pago por bolsa]]))</f>
        <v>#NAME?</v>
      </c>
      <c r="AE1570" s="55" t="str">
        <f t="shared" ca="1" si="556"/>
        <v/>
      </c>
      <c r="AF1570" s="47" t="e">
        <f t="shared" ca="1" si="557"/>
        <v>#NAME?</v>
      </c>
      <c r="AG1570" s="47">
        <f t="shared" si="558"/>
        <v>41080101</v>
      </c>
      <c r="AH1570" s="54" t="str">
        <f>IF(Q1570="22",IF(ISNUMBER(SEARCH("econ",PAA_4[[#This Row],[Actividad3]])),"Económico",IF(ISNUMBER(SEARCH("alim",PAA_4[[#This Row],[Actividad3]])),"Alimentación",IF(ISNUMBER(SEARCH("educ",PAA_4[[#This Row],[Actividad3]])),"Educativo","Técnico"))),0)</f>
        <v>Técnico</v>
      </c>
      <c r="AI1570" s="47" t="e" cm="1">
        <f t="array" aca="1" ref="AI1570" ca="1">_xlfn.XLOOKUP(PAA_4[[#This Row],[RCP-RUBRO]],[2]!COMPROMISOS_2024[[#All],[concatenado]],[2]!COMPROMISOS_2024[[#All],[Total pagado]],"",0)</f>
        <v>#NAME?</v>
      </c>
      <c r="AJ1570" s="56" t="e">
        <f ca="1">IF(PAA_4[[#This Row],[BOLSA]]=0,0,SUMIFS([2]!COMPROMISOS_2024[[#All],[Total pagado]],[2]!COMPROMISOS_2024[[#All],[Bolsa]],PAA_4[[#This Row],[BOLSA]],[2]!COMPROMISOS_2024[[#All],[rubro]],PAA_4[[#This Row],[RCP-RUBRO]]))</f>
        <v>#REF!</v>
      </c>
      <c r="AK1570" s="47" t="e" cm="1">
        <f t="array" aca="1" ref="AK1570" ca="1">_xlfn.XLOOKUP(PAA_4[[#This Row],[RCP-RUBRO]],[2]!COMPROMISOS_2024[[#All],[concatenado]],[2]!COMPROMISOS_2024[[#All],[Total Comprometido]],"",0)</f>
        <v>#NAME?</v>
      </c>
      <c r="AL1570" s="47" t="e">
        <f ca="1">IF(PAA_4[[#This Row],[BOLSA]]=0,0,SUMIFS([2]!COMPROMISOS_2024[[#All],[Total Comprometido]],[2]!COMPROMISOS_2024[[#All],[Bolsa]],PAA_4[[#This Row],[BOLSA]],[2]!COMPROMISOS_2024[[#All],[concatenado]],PAA_4[[#This Row],[RCP-RUBRO]]))</f>
        <v>#REF!</v>
      </c>
    </row>
    <row r="1571" spans="1:38" s="19" customFormat="1" ht="31.5" customHeight="1">
      <c r="A1571" s="47" t="s">
        <v>82</v>
      </c>
      <c r="B1571" s="47" t="s">
        <v>42</v>
      </c>
      <c r="C1571" s="47" t="str">
        <f>VLOOKUP(PAA_4[[#This Row],[PROYECTO (formulado)2]],[2]PROYECTOS!$G$1:$L$32,6,0)</f>
        <v>SUBGERENCIA DE ALTOS LOGROS Y DEPORTE ASOCIADO</v>
      </c>
      <c r="D1571" s="47" t="str">
        <f>+IF(PAA_4[[#This Row],[UNIDAD DE CONTRATACION (formulado)]]="Subgerencia Administrativa y Financiera","FUNCIONAMIENTO","INVERSIÓN")</f>
        <v>INVERSIÓN</v>
      </c>
      <c r="E1571" s="48" t="str">
        <f>VLOOKUP(Q1571,[2]PROYECTOS!$G$1:$K$32,5,0)</f>
        <v>APOYO_TÉCNICO_Y_PSICOSOCIAL_A_LOS_DEPORTISTAS_DE_ANTIOQUIA</v>
      </c>
      <c r="F1571" s="48">
        <f>VLOOKUP(E1571,[2]PROYECTOS!$K$1:$M$32,3,0)</f>
        <v>2021003050069</v>
      </c>
      <c r="G1571" s="49" t="s">
        <v>239</v>
      </c>
      <c r="H1571" s="49" t="str">
        <f>VLOOKUP(Q1571,[2]PROYECTOS!$V$1:$W$32,2,0)</f>
        <v>050069</v>
      </c>
      <c r="I1571" s="78">
        <v>0</v>
      </c>
      <c r="J1571" s="51" t="s">
        <v>1778</v>
      </c>
      <c r="K1571" s="47" t="str">
        <f t="shared" ca="1" si="552"/>
        <v>CONTRATADO</v>
      </c>
      <c r="L1571" s="47" t="s">
        <v>42</v>
      </c>
      <c r="M1571" s="47" t="s">
        <v>42</v>
      </c>
      <c r="N1571" s="52" t="s">
        <v>240</v>
      </c>
      <c r="O1571" s="51" t="e">
        <f>VLOOKUP(N1571,[2]!RUBROS[#All],3,0)</f>
        <v>#REF!</v>
      </c>
      <c r="P1571" s="53" t="e">
        <f>VLOOKUP(N1571,[2]!RUBROS[#All],2,0)</f>
        <v>#REF!</v>
      </c>
      <c r="Q1571" s="47" t="str">
        <f t="shared" si="553"/>
        <v>22</v>
      </c>
      <c r="R1571" s="47" t="str">
        <f t="shared" si="554"/>
        <v>0-205400</v>
      </c>
      <c r="S1571" s="369" t="s">
        <v>42</v>
      </c>
      <c r="T1571" s="59" t="s">
        <v>42</v>
      </c>
      <c r="U1571" s="326" t="e">
        <f ca="1">_xlfn.XLOOKUP(PAA_4[[#This Row],[ITEM]],[2]Contrato!A:A,[2]Contrato!Q:Q,"",0)</f>
        <v>#NAME?</v>
      </c>
      <c r="V1571" s="47" t="s">
        <v>95</v>
      </c>
      <c r="W1571" s="370" t="s">
        <v>42</v>
      </c>
      <c r="X1571" s="370" t="s">
        <v>42</v>
      </c>
      <c r="Y1571" s="55" t="e">
        <f ca="1">_xlfn.XLOOKUP(PAA_4[[#This Row],[ITEM]],[2]Contrato!A:A,[2]Contrato!B:B,"",0)</f>
        <v>#NAME?</v>
      </c>
      <c r="Z1571" s="47" t="e">
        <f ca="1">_xlfn.XLOOKUP(PAA_4[[#This Row],[ITEM]],[2]Contrato!A:A,[2]Contrato!G:G,"",0)</f>
        <v>#NAME?</v>
      </c>
      <c r="AA1571" s="47" t="e">
        <f ca="1">_xlfn.XLOOKUP(PAA_4[[#This Row],[ITEM]],[2]Contrato!A:A,[2]Contrato!T:T,"",0)</f>
        <v>#NAME?</v>
      </c>
      <c r="AB1571" s="55" t="e">
        <f ca="1">+MAX(PAA_4[[#This Row],[Comprometido Contrato]],PAA_4[[#This Row],[Comprometido Bolsa]])</f>
        <v>#NAME?</v>
      </c>
      <c r="AC1571" s="55" t="str">
        <f t="shared" ca="1" si="555"/>
        <v/>
      </c>
      <c r="AD1571" s="55" t="e">
        <f ca="1">IF(PAA_4[[#This Row],[ESTADO (formulado)]]="NO CONTRATADO",0,MAX(PAA_4[[#This Row],[Pago por Contrato]],PAA_4[[#This Row],[Pago por bolsa]]))</f>
        <v>#NAME?</v>
      </c>
      <c r="AE1571" s="55" t="str">
        <f t="shared" ca="1" si="556"/>
        <v/>
      </c>
      <c r="AF1571" s="47" t="e">
        <f t="shared" ca="1" si="557"/>
        <v>#NAME?</v>
      </c>
      <c r="AG1571" s="47">
        <f t="shared" si="558"/>
        <v>41080101</v>
      </c>
      <c r="AH1571" s="54" t="str">
        <f>IF(Q1571="22",IF(ISNUMBER(SEARCH("econ",PAA_4[[#This Row],[Actividad3]])),"Económico",IF(ISNUMBER(SEARCH("alim",PAA_4[[#This Row],[Actividad3]])),"Alimentación",IF(ISNUMBER(SEARCH("educ",PAA_4[[#This Row],[Actividad3]])),"Educativo","Técnico"))),0)</f>
        <v>Técnico</v>
      </c>
      <c r="AI1571" s="47" t="e" cm="1">
        <f t="array" aca="1" ref="AI1571" ca="1">_xlfn.XLOOKUP(PAA_4[[#This Row],[RCP-RUBRO]],[2]!COMPROMISOS_2024[[#All],[concatenado]],[2]!COMPROMISOS_2024[[#All],[Total pagado]],"",0)</f>
        <v>#NAME?</v>
      </c>
      <c r="AJ1571" s="56" t="e">
        <f ca="1">IF(PAA_4[[#This Row],[BOLSA]]=0,0,SUMIFS([2]!COMPROMISOS_2024[[#All],[Total pagado]],[2]!COMPROMISOS_2024[[#All],[Bolsa]],PAA_4[[#This Row],[BOLSA]],[2]!COMPROMISOS_2024[[#All],[rubro]],PAA_4[[#This Row],[RCP-RUBRO]]))</f>
        <v>#REF!</v>
      </c>
      <c r="AK1571" s="47" t="e" cm="1">
        <f t="array" aca="1" ref="AK1571" ca="1">_xlfn.XLOOKUP(PAA_4[[#This Row],[RCP-RUBRO]],[2]!COMPROMISOS_2024[[#All],[concatenado]],[2]!COMPROMISOS_2024[[#All],[Total Comprometido]],"",0)</f>
        <v>#NAME?</v>
      </c>
      <c r="AL1571" s="47" t="e">
        <f ca="1">IF(PAA_4[[#This Row],[BOLSA]]=0,0,SUMIFS([2]!COMPROMISOS_2024[[#All],[Total Comprometido]],[2]!COMPROMISOS_2024[[#All],[Bolsa]],PAA_4[[#This Row],[BOLSA]],[2]!COMPROMISOS_2024[[#All],[concatenado]],PAA_4[[#This Row],[RCP-RUBRO]]))</f>
        <v>#REF!</v>
      </c>
    </row>
    <row r="1572" spans="1:38" s="19" customFormat="1" ht="31.5" customHeight="1">
      <c r="A1572" s="47">
        <v>810</v>
      </c>
      <c r="B1572" s="47">
        <v>80111600</v>
      </c>
      <c r="C1572" s="47" t="str">
        <f>VLOOKUP(PAA_4[[#This Row],[PROYECTO (formulado)2]],[2]PROYECTOS!$G$1:$L$32,6,0)</f>
        <v>SUBGERENCIA DE ALTOS LOGROS Y DEPORTE ASOCIADO</v>
      </c>
      <c r="D1572" s="47" t="str">
        <f>+IF(PAA_4[[#This Row],[UNIDAD DE CONTRATACION (formulado)]]="Subgerencia Administrativa y Financiera","FUNCIONAMIENTO","INVERSIÓN")</f>
        <v>INVERSIÓN</v>
      </c>
      <c r="E1572" s="48" t="str">
        <f>VLOOKUP(Q1572,[2]PROYECTOS!$G$1:$K$32,5,0)</f>
        <v>APOYO_TÉCNICO_Y_PSICOSOCIAL_A_LOS_DEPORTISTAS_DE_ANTIOQUIA</v>
      </c>
      <c r="F1572" s="48">
        <f>VLOOKUP(E1572,[2]PROYECTOS!$K$1:$M$32,3,0)</f>
        <v>2021003050069</v>
      </c>
      <c r="G1572" s="49" t="s">
        <v>239</v>
      </c>
      <c r="H1572" s="49" t="str">
        <f>VLOOKUP(Q1572,[2]PROYECTOS!$V$1:$W$32,2,0)</f>
        <v>050069</v>
      </c>
      <c r="I1572" s="78">
        <f>32819024-8699018</f>
        <v>24120006</v>
      </c>
      <c r="J1572" s="51" t="s">
        <v>1954</v>
      </c>
      <c r="K1572" s="47" t="str">
        <f t="shared" ca="1" si="552"/>
        <v>CONTRATADO</v>
      </c>
      <c r="L1572" s="47" t="s">
        <v>147</v>
      </c>
      <c r="M1572" s="47" t="s">
        <v>1297</v>
      </c>
      <c r="N1572" s="52" t="s">
        <v>240</v>
      </c>
      <c r="O1572" s="51" t="e">
        <f>VLOOKUP(N1572,[2]!RUBROS[#All],3,0)</f>
        <v>#REF!</v>
      </c>
      <c r="P1572" s="53" t="e">
        <f>VLOOKUP(N1572,[2]!RUBROS[#All],2,0)</f>
        <v>#REF!</v>
      </c>
      <c r="Q1572" s="47" t="str">
        <f t="shared" si="553"/>
        <v>22</v>
      </c>
      <c r="R1572" s="47" t="str">
        <f t="shared" si="554"/>
        <v>0-205400</v>
      </c>
      <c r="S1572" s="54">
        <v>166</v>
      </c>
      <c r="T1572" s="59" t="s">
        <v>120</v>
      </c>
      <c r="U1572" s="326" t="e">
        <f ca="1">_xlfn.XLOOKUP(PAA_4[[#This Row],[ITEM]],[2]Contrato!A:A,[2]Contrato!Q:Q,"",0)</f>
        <v>#NAME?</v>
      </c>
      <c r="V1572" s="47" t="s">
        <v>95</v>
      </c>
      <c r="W1572" s="47" t="s">
        <v>154</v>
      </c>
      <c r="X1572" s="47" t="s">
        <v>154</v>
      </c>
      <c r="Y1572" s="55" t="e">
        <f ca="1">_xlfn.XLOOKUP(PAA_4[[#This Row],[ITEM]],[2]Contrato!A:A,[2]Contrato!B:B,"",0)</f>
        <v>#NAME?</v>
      </c>
      <c r="Z1572" s="47" t="e">
        <f ca="1">_xlfn.XLOOKUP(PAA_4[[#This Row],[ITEM]],[2]Contrato!A:A,[2]Contrato!G:G,"",0)</f>
        <v>#NAME?</v>
      </c>
      <c r="AA1572" s="47" t="e">
        <f ca="1">_xlfn.XLOOKUP(PAA_4[[#This Row],[ITEM]],[2]Contrato!A:A,[2]Contrato!T:T,"",0)</f>
        <v>#NAME?</v>
      </c>
      <c r="AB1572" s="55" t="e">
        <f ca="1">+MAX(PAA_4[[#This Row],[Comprometido Contrato]],PAA_4[[#This Row],[Comprometido Bolsa]])</f>
        <v>#NAME?</v>
      </c>
      <c r="AC1572" s="55" t="str">
        <f t="shared" ca="1" si="555"/>
        <v/>
      </c>
      <c r="AD1572" s="55" t="e">
        <f ca="1">IF(PAA_4[[#This Row],[ESTADO (formulado)]]="NO CONTRATADO",0,MAX(PAA_4[[#This Row],[Pago por Contrato]],PAA_4[[#This Row],[Pago por bolsa]]))</f>
        <v>#NAME?</v>
      </c>
      <c r="AE1572" s="55" t="str">
        <f t="shared" ca="1" si="556"/>
        <v/>
      </c>
      <c r="AF1572" s="47" t="e">
        <f t="shared" ca="1" si="557"/>
        <v>#NAME?</v>
      </c>
      <c r="AG1572" s="47">
        <f t="shared" si="558"/>
        <v>41080101</v>
      </c>
      <c r="AH1572" s="54" t="str">
        <f>IF(Q1572="22",IF(ISNUMBER(SEARCH("econ",PAA_4[[#This Row],[Actividad3]])),"Económico",IF(ISNUMBER(SEARCH("alim",PAA_4[[#This Row],[Actividad3]])),"Alimentación",IF(ISNUMBER(SEARCH("educ",PAA_4[[#This Row],[Actividad3]])),"Educativo","Técnico"))),0)</f>
        <v>Técnico</v>
      </c>
      <c r="AI1572" s="47" t="e" cm="1">
        <f t="array" aca="1" ref="AI1572" ca="1">_xlfn.XLOOKUP(PAA_4[[#This Row],[RCP-RUBRO]],[2]!COMPROMISOS_2024[[#All],[concatenado]],[2]!COMPROMISOS_2024[[#All],[Total pagado]],"",0)</f>
        <v>#NAME?</v>
      </c>
      <c r="AJ1572" s="56" t="e">
        <f ca="1">IF(PAA_4[[#This Row],[BOLSA]]=0,0,SUMIFS([2]!COMPROMISOS_2024[[#All],[Total pagado]],[2]!COMPROMISOS_2024[[#All],[Bolsa]],PAA_4[[#This Row],[BOLSA]],[2]!COMPROMISOS_2024[[#All],[rubro]],PAA_4[[#This Row],[RCP-RUBRO]]))</f>
        <v>#REF!</v>
      </c>
      <c r="AK1572" s="47" t="e" cm="1">
        <f t="array" aca="1" ref="AK1572" ca="1">_xlfn.XLOOKUP(PAA_4[[#This Row],[RCP-RUBRO]],[2]!COMPROMISOS_2024[[#All],[concatenado]],[2]!COMPROMISOS_2024[[#All],[Total Comprometido]],"",0)</f>
        <v>#NAME?</v>
      </c>
      <c r="AL1572" s="47" t="e">
        <f ca="1">IF(PAA_4[[#This Row],[BOLSA]]=0,0,SUMIFS([2]!COMPROMISOS_2024[[#All],[Total Comprometido]],[2]!COMPROMISOS_2024[[#All],[Bolsa]],PAA_4[[#This Row],[BOLSA]],[2]!COMPROMISOS_2024[[#All],[concatenado]],PAA_4[[#This Row],[RCP-RUBRO]]))</f>
        <v>#REF!</v>
      </c>
    </row>
    <row r="1573" spans="1:38" s="19" customFormat="1" ht="31.5" customHeight="1">
      <c r="A1573" s="47" t="s">
        <v>82</v>
      </c>
      <c r="B1573" s="47" t="s">
        <v>42</v>
      </c>
      <c r="C1573" s="47" t="str">
        <f>VLOOKUP(PAA_4[[#This Row],[PROYECTO (formulado)2]],[2]PROYECTOS!$G$1:$L$32,6,0)</f>
        <v>SUBGERENCIA DE ALTOS LOGROS Y DEPORTE ASOCIADO</v>
      </c>
      <c r="D1573" s="47" t="str">
        <f>+IF(PAA_4[[#This Row],[UNIDAD DE CONTRATACION (formulado)]]="Subgerencia Administrativa y Financiera","FUNCIONAMIENTO","INVERSIÓN")</f>
        <v>INVERSIÓN</v>
      </c>
      <c r="E1573" s="48" t="str">
        <f>VLOOKUP(Q1573,[2]PROYECTOS!$G$1:$K$32,5,0)</f>
        <v>APOYO_TÉCNICO_Y_PSICOSOCIAL_A_LOS_DEPORTISTAS_DE_ANTIOQUIA</v>
      </c>
      <c r="F1573" s="48">
        <f>VLOOKUP(E1573,[2]PROYECTOS!$K$1:$M$32,3,0)</f>
        <v>2021003050069</v>
      </c>
      <c r="G1573" s="49" t="s">
        <v>239</v>
      </c>
      <c r="H1573" s="49" t="str">
        <f>VLOOKUP(Q1573,[2]PROYECTOS!$V$1:$W$32,2,0)</f>
        <v>050069</v>
      </c>
      <c r="I1573" s="78">
        <v>0</v>
      </c>
      <c r="J1573" s="51" t="s">
        <v>1952</v>
      </c>
      <c r="K1573" s="47" t="str">
        <f t="shared" ca="1" si="552"/>
        <v>CONTRATADO</v>
      </c>
      <c r="L1573" s="47" t="s">
        <v>42</v>
      </c>
      <c r="M1573" s="47" t="s">
        <v>42</v>
      </c>
      <c r="N1573" s="52" t="s">
        <v>240</v>
      </c>
      <c r="O1573" s="51" t="e">
        <f>VLOOKUP(N1573,[2]!RUBROS[#All],3,0)</f>
        <v>#REF!</v>
      </c>
      <c r="P1573" s="53" t="e">
        <f>VLOOKUP(N1573,[2]!RUBROS[#All],2,0)</f>
        <v>#REF!</v>
      </c>
      <c r="Q1573" s="47" t="str">
        <f t="shared" si="553"/>
        <v>22</v>
      </c>
      <c r="R1573" s="47" t="str">
        <f t="shared" si="554"/>
        <v>0-205400</v>
      </c>
      <c r="S1573" s="339" t="s">
        <v>42</v>
      </c>
      <c r="T1573" s="59" t="s">
        <v>42</v>
      </c>
      <c r="U1573" s="326" t="e">
        <f ca="1">_xlfn.XLOOKUP(PAA_4[[#This Row],[ITEM]],[2]Contrato!A:A,[2]Contrato!Q:Q,"",0)</f>
        <v>#NAME?</v>
      </c>
      <c r="V1573" s="47" t="s">
        <v>42</v>
      </c>
      <c r="W1573" s="47" t="s">
        <v>42</v>
      </c>
      <c r="X1573" s="47" t="s">
        <v>42</v>
      </c>
      <c r="Y1573" s="55" t="e">
        <f ca="1">_xlfn.XLOOKUP(PAA_4[[#This Row],[ITEM]],[2]Contrato!A:A,[2]Contrato!B:B,"",0)</f>
        <v>#NAME?</v>
      </c>
      <c r="Z1573" s="47" t="e">
        <f ca="1">_xlfn.XLOOKUP(PAA_4[[#This Row],[ITEM]],[2]Contrato!A:A,[2]Contrato!G:G,"",0)</f>
        <v>#NAME?</v>
      </c>
      <c r="AA1573" s="47" t="e">
        <f ca="1">_xlfn.XLOOKUP(PAA_4[[#This Row],[ITEM]],[2]Contrato!A:A,[2]Contrato!T:T,"",0)</f>
        <v>#NAME?</v>
      </c>
      <c r="AB1573" s="55" t="e">
        <f ca="1">+MAX(PAA_4[[#This Row],[Comprometido Contrato]],PAA_4[[#This Row],[Comprometido Bolsa]])</f>
        <v>#NAME?</v>
      </c>
      <c r="AC1573" s="55" t="str">
        <f t="shared" ca="1" si="555"/>
        <v/>
      </c>
      <c r="AD1573" s="55" t="e">
        <f ca="1">IF(PAA_4[[#This Row],[ESTADO (formulado)]]="NO CONTRATADO",0,MAX(PAA_4[[#This Row],[Pago por Contrato]],PAA_4[[#This Row],[Pago por bolsa]]))</f>
        <v>#NAME?</v>
      </c>
      <c r="AE1573" s="55" t="str">
        <f t="shared" ca="1" si="556"/>
        <v/>
      </c>
      <c r="AF1573" s="47" t="e">
        <f t="shared" ca="1" si="557"/>
        <v>#NAME?</v>
      </c>
      <c r="AG1573" s="47">
        <f t="shared" si="558"/>
        <v>41080101</v>
      </c>
      <c r="AH1573" s="54" t="str">
        <f>IF(Q1573="22",IF(ISNUMBER(SEARCH("econ",PAA_4[[#This Row],[Actividad3]])),"Económico",IF(ISNUMBER(SEARCH("alim",PAA_4[[#This Row],[Actividad3]])),"Alimentación",IF(ISNUMBER(SEARCH("educ",PAA_4[[#This Row],[Actividad3]])),"Educativo","Técnico"))),0)</f>
        <v>Técnico</v>
      </c>
      <c r="AI1573" s="47" t="e" cm="1">
        <f t="array" aca="1" ref="AI1573" ca="1">_xlfn.XLOOKUP(PAA_4[[#This Row],[RCP-RUBRO]],[2]!COMPROMISOS_2024[[#All],[concatenado]],[2]!COMPROMISOS_2024[[#All],[Total pagado]],"",0)</f>
        <v>#NAME?</v>
      </c>
      <c r="AJ1573" s="56" t="e">
        <f ca="1">IF(PAA_4[[#This Row],[BOLSA]]=0,0,SUMIFS([2]!COMPROMISOS_2024[[#All],[Total pagado]],[2]!COMPROMISOS_2024[[#All],[Bolsa]],PAA_4[[#This Row],[BOLSA]],[2]!COMPROMISOS_2024[[#All],[rubro]],PAA_4[[#This Row],[RCP-RUBRO]]))</f>
        <v>#REF!</v>
      </c>
      <c r="AK1573" s="47" t="e" cm="1">
        <f t="array" aca="1" ref="AK1573" ca="1">_xlfn.XLOOKUP(PAA_4[[#This Row],[RCP-RUBRO]],[2]!COMPROMISOS_2024[[#All],[concatenado]],[2]!COMPROMISOS_2024[[#All],[Total Comprometido]],"",0)</f>
        <v>#NAME?</v>
      </c>
      <c r="AL1573" s="47" t="e">
        <f ca="1">IF(PAA_4[[#This Row],[BOLSA]]=0,0,SUMIFS([2]!COMPROMISOS_2024[[#All],[Total Comprometido]],[2]!COMPROMISOS_2024[[#All],[Bolsa]],PAA_4[[#This Row],[BOLSA]],[2]!COMPROMISOS_2024[[#All],[concatenado]],PAA_4[[#This Row],[RCP-RUBRO]]))</f>
        <v>#REF!</v>
      </c>
    </row>
    <row r="1574" spans="1:38" s="19" customFormat="1" ht="31.5" customHeight="1">
      <c r="A1574" s="47">
        <v>811</v>
      </c>
      <c r="B1574" s="47">
        <v>80111600</v>
      </c>
      <c r="C1574" s="47" t="str">
        <f>VLOOKUP(PAA_4[[#This Row],[PROYECTO (formulado)2]],[2]PROYECTOS!$G$1:$L$32,6,0)</f>
        <v>SUBGERENCIA DE ALTOS LOGROS Y DEPORTE ASOCIADO</v>
      </c>
      <c r="D1574" s="47" t="str">
        <f>+IF(PAA_4[[#This Row],[UNIDAD DE CONTRATACION (formulado)]]="Subgerencia Administrativa y Financiera","FUNCIONAMIENTO","INVERSIÓN")</f>
        <v>INVERSIÓN</v>
      </c>
      <c r="E1574" s="48" t="str">
        <f>VLOOKUP(Q1574,[2]PROYECTOS!$G$1:$K$32,5,0)</f>
        <v>APOYO_TÉCNICO_Y_PSICOSOCIAL_A_LOS_DEPORTISTAS_DE_ANTIOQUIA</v>
      </c>
      <c r="F1574" s="48">
        <f>VLOOKUP(E1574,[2]PROYECTOS!$K$1:$M$32,3,0)</f>
        <v>2021003050069</v>
      </c>
      <c r="G1574" s="49" t="s">
        <v>239</v>
      </c>
      <c r="H1574" s="49" t="str">
        <f>VLOOKUP(Q1574,[2]PROYECTOS!$V$1:$W$32,2,0)</f>
        <v>050069</v>
      </c>
      <c r="I1574" s="78">
        <f>21869847-790476-395238</f>
        <v>20684133</v>
      </c>
      <c r="J1574" s="51" t="s">
        <v>1955</v>
      </c>
      <c r="K1574" s="47" t="str">
        <f t="shared" ca="1" si="552"/>
        <v>CONTRATADO</v>
      </c>
      <c r="L1574" s="47" t="s">
        <v>147</v>
      </c>
      <c r="M1574" s="47" t="s">
        <v>1297</v>
      </c>
      <c r="N1574" s="52" t="s">
        <v>240</v>
      </c>
      <c r="O1574" s="51" t="e">
        <f>VLOOKUP(N1574,[2]!RUBROS[#All],3,0)</f>
        <v>#REF!</v>
      </c>
      <c r="P1574" s="53" t="e">
        <f>VLOOKUP(N1574,[2]!RUBROS[#All],2,0)</f>
        <v>#REF!</v>
      </c>
      <c r="Q1574" s="47" t="str">
        <f t="shared" si="553"/>
        <v>22</v>
      </c>
      <c r="R1574" s="47" t="str">
        <f t="shared" si="554"/>
        <v>0-205400</v>
      </c>
      <c r="S1574" s="339">
        <v>166</v>
      </c>
      <c r="T1574" s="59" t="s">
        <v>120</v>
      </c>
      <c r="U1574" s="326" t="e">
        <f ca="1">_xlfn.XLOOKUP(PAA_4[[#This Row],[ITEM]],[2]Contrato!A:A,[2]Contrato!Q:Q,"",0)</f>
        <v>#NAME?</v>
      </c>
      <c r="V1574" s="47" t="s">
        <v>95</v>
      </c>
      <c r="W1574" s="47" t="s">
        <v>154</v>
      </c>
      <c r="X1574" s="47" t="s">
        <v>154</v>
      </c>
      <c r="Y1574" s="55" t="e">
        <f ca="1">_xlfn.XLOOKUP(PAA_4[[#This Row],[ITEM]],[2]Contrato!A:A,[2]Contrato!B:B,"",0)</f>
        <v>#NAME?</v>
      </c>
      <c r="Z1574" s="47" t="e">
        <f ca="1">_xlfn.XLOOKUP(PAA_4[[#This Row],[ITEM]],[2]Contrato!A:A,[2]Contrato!G:G,"",0)</f>
        <v>#NAME?</v>
      </c>
      <c r="AA1574" s="47" t="e">
        <f ca="1">_xlfn.XLOOKUP(PAA_4[[#This Row],[ITEM]],[2]Contrato!A:A,[2]Contrato!T:T,"",0)</f>
        <v>#NAME?</v>
      </c>
      <c r="AB1574" s="55" t="e">
        <f ca="1">+MAX(PAA_4[[#This Row],[Comprometido Contrato]],PAA_4[[#This Row],[Comprometido Bolsa]])</f>
        <v>#NAME?</v>
      </c>
      <c r="AC1574" s="55" t="str">
        <f t="shared" ca="1" si="555"/>
        <v/>
      </c>
      <c r="AD1574" s="55" t="e">
        <f ca="1">IF(PAA_4[[#This Row],[ESTADO (formulado)]]="NO CONTRATADO",0,MAX(PAA_4[[#This Row],[Pago por Contrato]],PAA_4[[#This Row],[Pago por bolsa]]))</f>
        <v>#NAME?</v>
      </c>
      <c r="AE1574" s="55" t="str">
        <f t="shared" ca="1" si="556"/>
        <v/>
      </c>
      <c r="AF1574" s="47" t="e">
        <f t="shared" ca="1" si="557"/>
        <v>#NAME?</v>
      </c>
      <c r="AG1574" s="47">
        <f t="shared" si="558"/>
        <v>41080101</v>
      </c>
      <c r="AH1574" s="54" t="str">
        <f>IF(Q1574="22",IF(ISNUMBER(SEARCH("econ",PAA_4[[#This Row],[Actividad3]])),"Económico",IF(ISNUMBER(SEARCH("alim",PAA_4[[#This Row],[Actividad3]])),"Alimentación",IF(ISNUMBER(SEARCH("educ",PAA_4[[#This Row],[Actividad3]])),"Educativo","Técnico"))),0)</f>
        <v>Técnico</v>
      </c>
      <c r="AI1574" s="47" t="e" cm="1">
        <f t="array" aca="1" ref="AI1574" ca="1">_xlfn.XLOOKUP(PAA_4[[#This Row],[RCP-RUBRO]],[2]!COMPROMISOS_2024[[#All],[concatenado]],[2]!COMPROMISOS_2024[[#All],[Total pagado]],"",0)</f>
        <v>#NAME?</v>
      </c>
      <c r="AJ1574" s="56" t="e">
        <f ca="1">IF(PAA_4[[#This Row],[BOLSA]]=0,0,SUMIFS([2]!COMPROMISOS_2024[[#All],[Total pagado]],[2]!COMPROMISOS_2024[[#All],[Bolsa]],PAA_4[[#This Row],[BOLSA]],[2]!COMPROMISOS_2024[[#All],[rubro]],PAA_4[[#This Row],[RCP-RUBRO]]))</f>
        <v>#REF!</v>
      </c>
      <c r="AK1574" s="47" t="e" cm="1">
        <f t="array" aca="1" ref="AK1574" ca="1">_xlfn.XLOOKUP(PAA_4[[#This Row],[RCP-RUBRO]],[2]!COMPROMISOS_2024[[#All],[concatenado]],[2]!COMPROMISOS_2024[[#All],[Total Comprometido]],"",0)</f>
        <v>#NAME?</v>
      </c>
      <c r="AL1574" s="47" t="e">
        <f ca="1">IF(PAA_4[[#This Row],[BOLSA]]=0,0,SUMIFS([2]!COMPROMISOS_2024[[#All],[Total Comprometido]],[2]!COMPROMISOS_2024[[#All],[Bolsa]],PAA_4[[#This Row],[BOLSA]],[2]!COMPROMISOS_2024[[#All],[concatenado]],PAA_4[[#This Row],[RCP-RUBRO]]))</f>
        <v>#REF!</v>
      </c>
    </row>
    <row r="1575" spans="1:38" s="19" customFormat="1" ht="31.5" customHeight="1">
      <c r="A1575" s="47">
        <v>812</v>
      </c>
      <c r="B1575" s="47">
        <v>80111600</v>
      </c>
      <c r="C1575" s="47" t="str">
        <f>VLOOKUP(PAA_4[[#This Row],[PROYECTO (formulado)2]],[2]PROYECTOS!$G$1:$L$32,6,0)</f>
        <v>SUBGERENCIA DE ALTOS LOGROS Y DEPORTE ASOCIADO</v>
      </c>
      <c r="D1575" s="47" t="str">
        <f>+IF(PAA_4[[#This Row],[UNIDAD DE CONTRATACION (formulado)]]="Subgerencia Administrativa y Financiera","FUNCIONAMIENTO","INVERSIÓN")</f>
        <v>INVERSIÓN</v>
      </c>
      <c r="E1575" s="48" t="str">
        <f>VLOOKUP(Q1575,[2]PROYECTOS!$G$1:$K$32,5,0)</f>
        <v>APOYO_TÉCNICO_Y_PSICOSOCIAL_A_LOS_DEPORTISTAS_DE_ANTIOQUIA</v>
      </c>
      <c r="F1575" s="48">
        <f>VLOOKUP(E1575,[2]PROYECTOS!$K$1:$M$32,3,0)</f>
        <v>2021003050069</v>
      </c>
      <c r="G1575" s="49" t="s">
        <v>239</v>
      </c>
      <c r="H1575" s="49" t="str">
        <f>VLOOKUP(Q1575,[2]PROYECTOS!$V$1:$W$32,2,0)</f>
        <v>050069</v>
      </c>
      <c r="I1575" s="78">
        <f>14247459-514968-257484</f>
        <v>13475007</v>
      </c>
      <c r="J1575" s="51" t="s">
        <v>1956</v>
      </c>
      <c r="K1575" s="47" t="str">
        <f t="shared" ca="1" si="552"/>
        <v>CONTRATADO</v>
      </c>
      <c r="L1575" s="47" t="s">
        <v>147</v>
      </c>
      <c r="M1575" s="47" t="s">
        <v>1297</v>
      </c>
      <c r="N1575" s="52" t="s">
        <v>240</v>
      </c>
      <c r="O1575" s="51" t="e">
        <f>VLOOKUP(N1575,[2]!RUBROS[#All],3,0)</f>
        <v>#REF!</v>
      </c>
      <c r="P1575" s="53" t="e">
        <f>VLOOKUP(N1575,[2]!RUBROS[#All],2,0)</f>
        <v>#REF!</v>
      </c>
      <c r="Q1575" s="47" t="str">
        <f t="shared" si="553"/>
        <v>22</v>
      </c>
      <c r="R1575" s="47" t="str">
        <f t="shared" si="554"/>
        <v>0-205400</v>
      </c>
      <c r="S1575" s="339">
        <v>166</v>
      </c>
      <c r="T1575" s="59" t="s">
        <v>120</v>
      </c>
      <c r="U1575" s="326" t="e">
        <f ca="1">_xlfn.XLOOKUP(PAA_4[[#This Row],[ITEM]],[2]Contrato!A:A,[2]Contrato!Q:Q,"",0)</f>
        <v>#NAME?</v>
      </c>
      <c r="V1575" s="47" t="s">
        <v>95</v>
      </c>
      <c r="W1575" s="47" t="s">
        <v>154</v>
      </c>
      <c r="X1575" s="47" t="s">
        <v>154</v>
      </c>
      <c r="Y1575" s="55" t="e">
        <f ca="1">_xlfn.XLOOKUP(PAA_4[[#This Row],[ITEM]],[2]Contrato!A:A,[2]Contrato!B:B,"",0)</f>
        <v>#NAME?</v>
      </c>
      <c r="Z1575" s="47" t="e">
        <f ca="1">_xlfn.XLOOKUP(PAA_4[[#This Row],[ITEM]],[2]Contrato!A:A,[2]Contrato!G:G,"",0)</f>
        <v>#NAME?</v>
      </c>
      <c r="AA1575" s="47" t="e">
        <f ca="1">_xlfn.XLOOKUP(PAA_4[[#This Row],[ITEM]],[2]Contrato!A:A,[2]Contrato!T:T,"",0)</f>
        <v>#NAME?</v>
      </c>
      <c r="AB1575" s="55" t="e">
        <f ca="1">+MAX(PAA_4[[#This Row],[Comprometido Contrato]],PAA_4[[#This Row],[Comprometido Bolsa]])</f>
        <v>#NAME?</v>
      </c>
      <c r="AC1575" s="55" t="str">
        <f t="shared" ca="1" si="555"/>
        <v/>
      </c>
      <c r="AD1575" s="55" t="e">
        <f ca="1">IF(PAA_4[[#This Row],[ESTADO (formulado)]]="NO CONTRATADO",0,MAX(PAA_4[[#This Row],[Pago por Contrato]],PAA_4[[#This Row],[Pago por bolsa]]))</f>
        <v>#NAME?</v>
      </c>
      <c r="AE1575" s="55" t="str">
        <f t="shared" ca="1" si="556"/>
        <v/>
      </c>
      <c r="AF1575" s="47" t="e">
        <f t="shared" ca="1" si="557"/>
        <v>#NAME?</v>
      </c>
      <c r="AG1575" s="47">
        <f t="shared" si="558"/>
        <v>41080101</v>
      </c>
      <c r="AH1575" s="54" t="str">
        <f>IF(Q1575="22",IF(ISNUMBER(SEARCH("econ",PAA_4[[#This Row],[Actividad3]])),"Económico",IF(ISNUMBER(SEARCH("alim",PAA_4[[#This Row],[Actividad3]])),"Alimentación",IF(ISNUMBER(SEARCH("educ",PAA_4[[#This Row],[Actividad3]])),"Educativo","Técnico"))),0)</f>
        <v>Técnico</v>
      </c>
      <c r="AI1575" s="47" t="e" cm="1">
        <f t="array" aca="1" ref="AI1575" ca="1">_xlfn.XLOOKUP(PAA_4[[#This Row],[RCP-RUBRO]],[2]!COMPROMISOS_2024[[#All],[concatenado]],[2]!COMPROMISOS_2024[[#All],[Total pagado]],"",0)</f>
        <v>#NAME?</v>
      </c>
      <c r="AJ1575" s="56" t="e">
        <f ca="1">IF(PAA_4[[#This Row],[BOLSA]]=0,0,SUMIFS([2]!COMPROMISOS_2024[[#All],[Total pagado]],[2]!COMPROMISOS_2024[[#All],[Bolsa]],PAA_4[[#This Row],[BOLSA]],[2]!COMPROMISOS_2024[[#All],[rubro]],PAA_4[[#This Row],[RCP-RUBRO]]))</f>
        <v>#REF!</v>
      </c>
      <c r="AK1575" s="47" t="e" cm="1">
        <f t="array" aca="1" ref="AK1575" ca="1">_xlfn.XLOOKUP(PAA_4[[#This Row],[RCP-RUBRO]],[2]!COMPROMISOS_2024[[#All],[concatenado]],[2]!COMPROMISOS_2024[[#All],[Total Comprometido]],"",0)</f>
        <v>#NAME?</v>
      </c>
      <c r="AL1575" s="47" t="e">
        <f ca="1">IF(PAA_4[[#This Row],[BOLSA]]=0,0,SUMIFS([2]!COMPROMISOS_2024[[#All],[Total Comprometido]],[2]!COMPROMISOS_2024[[#All],[Bolsa]],PAA_4[[#This Row],[BOLSA]],[2]!COMPROMISOS_2024[[#All],[concatenado]],PAA_4[[#This Row],[RCP-RUBRO]]))</f>
        <v>#REF!</v>
      </c>
    </row>
    <row r="1576" spans="1:38" s="19" customFormat="1" ht="31.5" customHeight="1">
      <c r="A1576" s="47">
        <v>813</v>
      </c>
      <c r="B1576" s="47">
        <v>80111600</v>
      </c>
      <c r="C1576" s="47" t="str">
        <f>VLOOKUP(PAA_4[[#This Row],[PROYECTO (formulado)2]],[2]PROYECTOS!$G$1:$L$32,6,0)</f>
        <v>SUBGERENCIA DE ALTOS LOGROS Y DEPORTE ASOCIADO</v>
      </c>
      <c r="D1576" s="47" t="str">
        <f>+IF(PAA_4[[#This Row],[UNIDAD DE CONTRATACION (formulado)]]="Subgerencia Administrativa y Financiera","FUNCIONAMIENTO","INVERSIÓN")</f>
        <v>INVERSIÓN</v>
      </c>
      <c r="E1576" s="48" t="str">
        <f>VLOOKUP(Q1576,[2]PROYECTOS!$G$1:$K$32,5,0)</f>
        <v>APOYO_TÉCNICO_Y_PSICOSOCIAL_A_LOS_DEPORTISTAS_DE_ANTIOQUIA</v>
      </c>
      <c r="F1576" s="48">
        <f>VLOOKUP(E1576,[2]PROYECTOS!$K$1:$M$32,3,0)</f>
        <v>2021003050069</v>
      </c>
      <c r="G1576" s="49" t="s">
        <v>239</v>
      </c>
      <c r="H1576" s="49" t="str">
        <f>VLOOKUP(Q1576,[2]PROYECTOS!$V$1:$W$32,2,0)</f>
        <v>050069</v>
      </c>
      <c r="I1576" s="78">
        <f>38291602-1384034-692017</f>
        <v>36215551</v>
      </c>
      <c r="J1576" s="51" t="s">
        <v>1956</v>
      </c>
      <c r="K1576" s="47" t="str">
        <f t="shared" ca="1" si="552"/>
        <v>CONTRATADO</v>
      </c>
      <c r="L1576" s="47" t="s">
        <v>147</v>
      </c>
      <c r="M1576" s="47" t="s">
        <v>1297</v>
      </c>
      <c r="N1576" s="52" t="s">
        <v>240</v>
      </c>
      <c r="O1576" s="51" t="e">
        <f>VLOOKUP(N1576,[2]!RUBROS[#All],3,0)</f>
        <v>#REF!</v>
      </c>
      <c r="P1576" s="53" t="e">
        <f>VLOOKUP(N1576,[2]!RUBROS[#All],2,0)</f>
        <v>#REF!</v>
      </c>
      <c r="Q1576" s="47" t="str">
        <f t="shared" si="553"/>
        <v>22</v>
      </c>
      <c r="R1576" s="47" t="str">
        <f t="shared" si="554"/>
        <v>0-205400</v>
      </c>
      <c r="S1576" s="339">
        <v>166</v>
      </c>
      <c r="T1576" s="59" t="s">
        <v>120</v>
      </c>
      <c r="U1576" s="326" t="e">
        <f ca="1">_xlfn.XLOOKUP(PAA_4[[#This Row],[ITEM]],[2]Contrato!A:A,[2]Contrato!Q:Q,"",0)</f>
        <v>#NAME?</v>
      </c>
      <c r="V1576" s="47" t="s">
        <v>95</v>
      </c>
      <c r="W1576" s="47" t="s">
        <v>154</v>
      </c>
      <c r="X1576" s="47" t="s">
        <v>154</v>
      </c>
      <c r="Y1576" s="55" t="e">
        <f ca="1">_xlfn.XLOOKUP(PAA_4[[#This Row],[ITEM]],[2]Contrato!A:A,[2]Contrato!B:B,"",0)</f>
        <v>#NAME?</v>
      </c>
      <c r="Z1576" s="47" t="e">
        <f ca="1">_xlfn.XLOOKUP(PAA_4[[#This Row],[ITEM]],[2]Contrato!A:A,[2]Contrato!G:G,"",0)</f>
        <v>#NAME?</v>
      </c>
      <c r="AA1576" s="47" t="e">
        <f ca="1">_xlfn.XLOOKUP(PAA_4[[#This Row],[ITEM]],[2]Contrato!A:A,[2]Contrato!T:T,"",0)</f>
        <v>#NAME?</v>
      </c>
      <c r="AB1576" s="55" t="e">
        <f ca="1">+MAX(PAA_4[[#This Row],[Comprometido Contrato]],PAA_4[[#This Row],[Comprometido Bolsa]])</f>
        <v>#NAME?</v>
      </c>
      <c r="AC1576" s="55" t="str">
        <f t="shared" ca="1" si="555"/>
        <v/>
      </c>
      <c r="AD1576" s="55" t="e">
        <f ca="1">IF(PAA_4[[#This Row],[ESTADO (formulado)]]="NO CONTRATADO",0,MAX(PAA_4[[#This Row],[Pago por Contrato]],PAA_4[[#This Row],[Pago por bolsa]]))</f>
        <v>#NAME?</v>
      </c>
      <c r="AE1576" s="55" t="str">
        <f t="shared" ca="1" si="556"/>
        <v/>
      </c>
      <c r="AF1576" s="47" t="e">
        <f t="shared" ca="1" si="557"/>
        <v>#NAME?</v>
      </c>
      <c r="AG1576" s="47">
        <f t="shared" si="558"/>
        <v>41080101</v>
      </c>
      <c r="AH1576" s="54" t="str">
        <f>IF(Q1576="22",IF(ISNUMBER(SEARCH("econ",PAA_4[[#This Row],[Actividad3]])),"Económico",IF(ISNUMBER(SEARCH("alim",PAA_4[[#This Row],[Actividad3]])),"Alimentación",IF(ISNUMBER(SEARCH("educ",PAA_4[[#This Row],[Actividad3]])),"Educativo","Técnico"))),0)</f>
        <v>Técnico</v>
      </c>
      <c r="AI1576" s="47" t="e" cm="1">
        <f t="array" aca="1" ref="AI1576" ca="1">_xlfn.XLOOKUP(PAA_4[[#This Row],[RCP-RUBRO]],[2]!COMPROMISOS_2024[[#All],[concatenado]],[2]!COMPROMISOS_2024[[#All],[Total pagado]],"",0)</f>
        <v>#NAME?</v>
      </c>
      <c r="AJ1576" s="56" t="e">
        <f ca="1">IF(PAA_4[[#This Row],[BOLSA]]=0,0,SUMIFS([2]!COMPROMISOS_2024[[#All],[Total pagado]],[2]!COMPROMISOS_2024[[#All],[Bolsa]],PAA_4[[#This Row],[BOLSA]],[2]!COMPROMISOS_2024[[#All],[rubro]],PAA_4[[#This Row],[RCP-RUBRO]]))</f>
        <v>#REF!</v>
      </c>
      <c r="AK1576" s="47" t="e" cm="1">
        <f t="array" aca="1" ref="AK1576" ca="1">_xlfn.XLOOKUP(PAA_4[[#This Row],[RCP-RUBRO]],[2]!COMPROMISOS_2024[[#All],[concatenado]],[2]!COMPROMISOS_2024[[#All],[Total Comprometido]],"",0)</f>
        <v>#NAME?</v>
      </c>
      <c r="AL1576" s="47" t="e">
        <f ca="1">IF(PAA_4[[#This Row],[BOLSA]]=0,0,SUMIFS([2]!COMPROMISOS_2024[[#All],[Total Comprometido]],[2]!COMPROMISOS_2024[[#All],[Bolsa]],PAA_4[[#This Row],[BOLSA]],[2]!COMPROMISOS_2024[[#All],[concatenado]],PAA_4[[#This Row],[RCP-RUBRO]]))</f>
        <v>#REF!</v>
      </c>
    </row>
    <row r="1577" spans="1:38" s="19" customFormat="1" ht="31.5" customHeight="1">
      <c r="A1577" s="47">
        <v>814</v>
      </c>
      <c r="B1577" s="47">
        <v>80111600</v>
      </c>
      <c r="C1577" s="47" t="str">
        <f>VLOOKUP(PAA_4[[#This Row],[PROYECTO (formulado)2]],[2]PROYECTOS!$G$1:$L$32,6,0)</f>
        <v>SUBGERENCIA DE ALTOS LOGROS Y DEPORTE ASOCIADO</v>
      </c>
      <c r="D1577" s="47" t="str">
        <f>+IF(PAA_4[[#This Row],[UNIDAD DE CONTRATACION (formulado)]]="Subgerencia Administrativa y Financiera","FUNCIONAMIENTO","INVERSIÓN")</f>
        <v>INVERSIÓN</v>
      </c>
      <c r="E1577" s="48" t="str">
        <f>VLOOKUP(Q1577,[2]PROYECTOS!$G$1:$K$32,5,0)</f>
        <v>APOYO_TÉCNICO_Y_PSICOSOCIAL_A_LOS_DEPORTISTAS_DE_ANTIOQUIA</v>
      </c>
      <c r="F1577" s="48">
        <f>VLOOKUP(E1577,[2]PROYECTOS!$K$1:$M$32,3,0)</f>
        <v>2021003050069</v>
      </c>
      <c r="G1577" s="49" t="s">
        <v>239</v>
      </c>
      <c r="H1577" s="49" t="str">
        <f>VLOOKUP(Q1577,[2]PROYECTOS!$V$1:$W$32,2,0)</f>
        <v>050069</v>
      </c>
      <c r="I1577" s="78">
        <f>14247459-1115765-85828</f>
        <v>13045866</v>
      </c>
      <c r="J1577" s="51" t="s">
        <v>1957</v>
      </c>
      <c r="K1577" s="47" t="str">
        <f t="shared" ca="1" si="552"/>
        <v>CONTRATADO</v>
      </c>
      <c r="L1577" s="47" t="s">
        <v>147</v>
      </c>
      <c r="M1577" s="47" t="s">
        <v>1297</v>
      </c>
      <c r="N1577" s="52" t="s">
        <v>240</v>
      </c>
      <c r="O1577" s="51" t="e">
        <f>VLOOKUP(N1577,[2]!RUBROS[#All],3,0)</f>
        <v>#REF!</v>
      </c>
      <c r="P1577" s="53" t="e">
        <f>VLOOKUP(N1577,[2]!RUBROS[#All],2,0)</f>
        <v>#REF!</v>
      </c>
      <c r="Q1577" s="47" t="str">
        <f t="shared" si="553"/>
        <v>22</v>
      </c>
      <c r="R1577" s="47" t="str">
        <f t="shared" si="554"/>
        <v>0-205400</v>
      </c>
      <c r="S1577" s="339">
        <v>166</v>
      </c>
      <c r="T1577" s="59" t="s">
        <v>120</v>
      </c>
      <c r="U1577" s="326" t="e">
        <f ca="1">_xlfn.XLOOKUP(PAA_4[[#This Row],[ITEM]],[2]Contrato!A:A,[2]Contrato!Q:Q,"",0)</f>
        <v>#NAME?</v>
      </c>
      <c r="V1577" s="47" t="s">
        <v>95</v>
      </c>
      <c r="W1577" s="47" t="s">
        <v>154</v>
      </c>
      <c r="X1577" s="47" t="s">
        <v>154</v>
      </c>
      <c r="Y1577" s="55" t="e">
        <f ca="1">_xlfn.XLOOKUP(PAA_4[[#This Row],[ITEM]],[2]Contrato!A:A,[2]Contrato!B:B,"",0)</f>
        <v>#NAME?</v>
      </c>
      <c r="Z1577" s="47" t="e">
        <f ca="1">_xlfn.XLOOKUP(PAA_4[[#This Row],[ITEM]],[2]Contrato!A:A,[2]Contrato!G:G,"",0)</f>
        <v>#NAME?</v>
      </c>
      <c r="AA1577" s="47" t="e">
        <f ca="1">_xlfn.XLOOKUP(PAA_4[[#This Row],[ITEM]],[2]Contrato!A:A,[2]Contrato!T:T,"",0)</f>
        <v>#NAME?</v>
      </c>
      <c r="AB1577" s="55" t="e">
        <f ca="1">+MAX(PAA_4[[#This Row],[Comprometido Contrato]],PAA_4[[#This Row],[Comprometido Bolsa]])</f>
        <v>#NAME?</v>
      </c>
      <c r="AC1577" s="55" t="str">
        <f t="shared" ca="1" si="555"/>
        <v/>
      </c>
      <c r="AD1577" s="55" t="e">
        <f ca="1">IF(PAA_4[[#This Row],[ESTADO (formulado)]]="NO CONTRATADO",0,MAX(PAA_4[[#This Row],[Pago por Contrato]],PAA_4[[#This Row],[Pago por bolsa]]))</f>
        <v>#NAME?</v>
      </c>
      <c r="AE1577" s="55" t="str">
        <f t="shared" ca="1" si="556"/>
        <v/>
      </c>
      <c r="AF1577" s="47" t="e">
        <f t="shared" ca="1" si="557"/>
        <v>#NAME?</v>
      </c>
      <c r="AG1577" s="47">
        <f t="shared" si="558"/>
        <v>41080101</v>
      </c>
      <c r="AH1577" s="54" t="str">
        <f>IF(Q1577="22",IF(ISNUMBER(SEARCH("econ",PAA_4[[#This Row],[Actividad3]])),"Económico",IF(ISNUMBER(SEARCH("alim",PAA_4[[#This Row],[Actividad3]])),"Alimentación",IF(ISNUMBER(SEARCH("educ",PAA_4[[#This Row],[Actividad3]])),"Educativo","Técnico"))),0)</f>
        <v>Técnico</v>
      </c>
      <c r="AI1577" s="47" t="e" cm="1">
        <f t="array" aca="1" ref="AI1577" ca="1">_xlfn.XLOOKUP(PAA_4[[#This Row],[RCP-RUBRO]],[2]!COMPROMISOS_2024[[#All],[concatenado]],[2]!COMPROMISOS_2024[[#All],[Total pagado]],"",0)</f>
        <v>#NAME?</v>
      </c>
      <c r="AJ1577" s="56" t="e">
        <f ca="1">IF(PAA_4[[#This Row],[BOLSA]]=0,0,SUMIFS([2]!COMPROMISOS_2024[[#All],[Total pagado]],[2]!COMPROMISOS_2024[[#All],[Bolsa]],PAA_4[[#This Row],[BOLSA]],[2]!COMPROMISOS_2024[[#All],[rubro]],PAA_4[[#This Row],[RCP-RUBRO]]))</f>
        <v>#REF!</v>
      </c>
      <c r="AK1577" s="47" t="e" cm="1">
        <f t="array" aca="1" ref="AK1577" ca="1">_xlfn.XLOOKUP(PAA_4[[#This Row],[RCP-RUBRO]],[2]!COMPROMISOS_2024[[#All],[concatenado]],[2]!COMPROMISOS_2024[[#All],[Total Comprometido]],"",0)</f>
        <v>#NAME?</v>
      </c>
      <c r="AL1577" s="47" t="e">
        <f ca="1">IF(PAA_4[[#This Row],[BOLSA]]=0,0,SUMIFS([2]!COMPROMISOS_2024[[#All],[Total Comprometido]],[2]!COMPROMISOS_2024[[#All],[Bolsa]],PAA_4[[#This Row],[BOLSA]],[2]!COMPROMISOS_2024[[#All],[concatenado]],PAA_4[[#This Row],[RCP-RUBRO]]))</f>
        <v>#REF!</v>
      </c>
    </row>
    <row r="1578" spans="1:38" s="19" customFormat="1" ht="31.5" customHeight="1">
      <c r="A1578" s="47">
        <v>815</v>
      </c>
      <c r="B1578" s="47">
        <v>80111600</v>
      </c>
      <c r="C1578" s="47" t="str">
        <f>VLOOKUP(PAA_4[[#This Row],[PROYECTO (formulado)2]],[2]PROYECTOS!$G$1:$L$32,6,0)</f>
        <v>SUBGERENCIA DE ALTOS LOGROS Y DEPORTE ASOCIADO</v>
      </c>
      <c r="D1578" s="47" t="str">
        <f>+IF(PAA_4[[#This Row],[UNIDAD DE CONTRATACION (formulado)]]="Subgerencia Administrativa y Financiera","FUNCIONAMIENTO","INVERSIÓN")</f>
        <v>INVERSIÓN</v>
      </c>
      <c r="E1578" s="48" t="str">
        <f>VLOOKUP(Q1578,[2]PROYECTOS!$G$1:$K$32,5,0)</f>
        <v>APOYO_TÉCNICO_Y_PSICOSOCIAL_A_LOS_DEPORTISTAS_DE_ANTIOQUIA</v>
      </c>
      <c r="F1578" s="48">
        <f>VLOOKUP(E1578,[2]PROYECTOS!$K$1:$M$32,3,0)</f>
        <v>2021003050069</v>
      </c>
      <c r="G1578" s="49" t="s">
        <v>239</v>
      </c>
      <c r="H1578" s="49" t="str">
        <f>VLOOKUP(Q1578,[2]PROYECTOS!$V$1:$W$32,2,0)</f>
        <v>050069</v>
      </c>
      <c r="I1578" s="78">
        <f>14247459-514968-257484</f>
        <v>13475007</v>
      </c>
      <c r="J1578" s="51" t="s">
        <v>1957</v>
      </c>
      <c r="K1578" s="47" t="str">
        <f t="shared" ca="1" si="552"/>
        <v>CONTRATADO</v>
      </c>
      <c r="L1578" s="47" t="s">
        <v>147</v>
      </c>
      <c r="M1578" s="47" t="s">
        <v>1297</v>
      </c>
      <c r="N1578" s="52" t="s">
        <v>240</v>
      </c>
      <c r="O1578" s="51" t="e">
        <f>VLOOKUP(N1578,[2]!RUBROS[#All],3,0)</f>
        <v>#REF!</v>
      </c>
      <c r="P1578" s="53" t="e">
        <f>VLOOKUP(N1578,[2]!RUBROS[#All],2,0)</f>
        <v>#REF!</v>
      </c>
      <c r="Q1578" s="47" t="str">
        <f t="shared" si="553"/>
        <v>22</v>
      </c>
      <c r="R1578" s="47" t="str">
        <f t="shared" si="554"/>
        <v>0-205400</v>
      </c>
      <c r="S1578" s="339">
        <v>166</v>
      </c>
      <c r="T1578" s="59" t="s">
        <v>120</v>
      </c>
      <c r="U1578" s="326" t="e">
        <f ca="1">_xlfn.XLOOKUP(PAA_4[[#This Row],[ITEM]],[2]Contrato!A:A,[2]Contrato!Q:Q,"",0)</f>
        <v>#NAME?</v>
      </c>
      <c r="V1578" s="47" t="s">
        <v>95</v>
      </c>
      <c r="W1578" s="47" t="s">
        <v>154</v>
      </c>
      <c r="X1578" s="47" t="s">
        <v>154</v>
      </c>
      <c r="Y1578" s="55" t="e">
        <f ca="1">_xlfn.XLOOKUP(PAA_4[[#This Row],[ITEM]],[2]Contrato!A:A,[2]Contrato!B:B,"",0)</f>
        <v>#NAME?</v>
      </c>
      <c r="Z1578" s="47" t="e">
        <f ca="1">_xlfn.XLOOKUP(PAA_4[[#This Row],[ITEM]],[2]Contrato!A:A,[2]Contrato!G:G,"",0)</f>
        <v>#NAME?</v>
      </c>
      <c r="AA1578" s="47" t="e">
        <f ca="1">_xlfn.XLOOKUP(PAA_4[[#This Row],[ITEM]],[2]Contrato!A:A,[2]Contrato!T:T,"",0)</f>
        <v>#NAME?</v>
      </c>
      <c r="AB1578" s="55" t="e">
        <f ca="1">+MAX(PAA_4[[#This Row],[Comprometido Contrato]],PAA_4[[#This Row],[Comprometido Bolsa]])</f>
        <v>#NAME?</v>
      </c>
      <c r="AC1578" s="55" t="str">
        <f t="shared" ca="1" si="555"/>
        <v/>
      </c>
      <c r="AD1578" s="55" t="e">
        <f ca="1">IF(PAA_4[[#This Row],[ESTADO (formulado)]]="NO CONTRATADO",0,MAX(PAA_4[[#This Row],[Pago por Contrato]],PAA_4[[#This Row],[Pago por bolsa]]))</f>
        <v>#NAME?</v>
      </c>
      <c r="AE1578" s="55" t="str">
        <f t="shared" ca="1" si="556"/>
        <v/>
      </c>
      <c r="AF1578" s="47" t="e">
        <f t="shared" ca="1" si="557"/>
        <v>#NAME?</v>
      </c>
      <c r="AG1578" s="47">
        <f t="shared" si="558"/>
        <v>41080101</v>
      </c>
      <c r="AH1578" s="54" t="str">
        <f>IF(Q1578="22",IF(ISNUMBER(SEARCH("econ",PAA_4[[#This Row],[Actividad3]])),"Económico",IF(ISNUMBER(SEARCH("alim",PAA_4[[#This Row],[Actividad3]])),"Alimentación",IF(ISNUMBER(SEARCH("educ",PAA_4[[#This Row],[Actividad3]])),"Educativo","Técnico"))),0)</f>
        <v>Técnico</v>
      </c>
      <c r="AI1578" s="47" t="e" cm="1">
        <f t="array" aca="1" ref="AI1578" ca="1">_xlfn.XLOOKUP(PAA_4[[#This Row],[RCP-RUBRO]],[2]!COMPROMISOS_2024[[#All],[concatenado]],[2]!COMPROMISOS_2024[[#All],[Total pagado]],"",0)</f>
        <v>#NAME?</v>
      </c>
      <c r="AJ1578" s="56" t="e">
        <f ca="1">IF(PAA_4[[#This Row],[BOLSA]]=0,0,SUMIFS([2]!COMPROMISOS_2024[[#All],[Total pagado]],[2]!COMPROMISOS_2024[[#All],[Bolsa]],PAA_4[[#This Row],[BOLSA]],[2]!COMPROMISOS_2024[[#All],[rubro]],PAA_4[[#This Row],[RCP-RUBRO]]))</f>
        <v>#REF!</v>
      </c>
      <c r="AK1578" s="47" t="e" cm="1">
        <f t="array" aca="1" ref="AK1578" ca="1">_xlfn.XLOOKUP(PAA_4[[#This Row],[RCP-RUBRO]],[2]!COMPROMISOS_2024[[#All],[concatenado]],[2]!COMPROMISOS_2024[[#All],[Total Comprometido]],"",0)</f>
        <v>#NAME?</v>
      </c>
      <c r="AL1578" s="47" t="e">
        <f ca="1">IF(PAA_4[[#This Row],[BOLSA]]=0,0,SUMIFS([2]!COMPROMISOS_2024[[#All],[Total Comprometido]],[2]!COMPROMISOS_2024[[#All],[Bolsa]],PAA_4[[#This Row],[BOLSA]],[2]!COMPROMISOS_2024[[#All],[concatenado]],PAA_4[[#This Row],[RCP-RUBRO]]))</f>
        <v>#REF!</v>
      </c>
    </row>
    <row r="1579" spans="1:38" s="19" customFormat="1" ht="31.5" customHeight="1">
      <c r="A1579" s="47" t="s">
        <v>82</v>
      </c>
      <c r="B1579" s="47" t="s">
        <v>42</v>
      </c>
      <c r="C1579" s="47" t="str">
        <f>VLOOKUP(PAA_4[[#This Row],[PROYECTO (formulado)2]],[2]PROYECTOS!$G$1:$L$32,6,0)</f>
        <v>SUBGERENCIA DE ALTOS LOGROS Y DEPORTE ASOCIADO</v>
      </c>
      <c r="D1579" s="47" t="str">
        <f>+IF(PAA_4[[#This Row],[UNIDAD DE CONTRATACION (formulado)]]="Subgerencia Administrativa y Financiera","FUNCIONAMIENTO","INVERSIÓN")</f>
        <v>INVERSIÓN</v>
      </c>
      <c r="E1579" s="48" t="str">
        <f>VLOOKUP(Q1579,[2]PROYECTOS!$G$1:$K$32,5,0)</f>
        <v>APOYO_TÉCNICO_Y_PSICOSOCIAL_A_LOS_DEPORTISTAS_DE_ANTIOQUIA</v>
      </c>
      <c r="F1579" s="48">
        <f>VLOOKUP(E1579,[2]PROYECTOS!$K$1:$M$32,3,0)</f>
        <v>2021003050069</v>
      </c>
      <c r="G1579" s="49" t="s">
        <v>241</v>
      </c>
      <c r="H1579" s="49" t="str">
        <f>VLOOKUP(Q1579,[2]PROYECTOS!$V$1:$W$32,2,0)</f>
        <v>050069</v>
      </c>
      <c r="I1579" s="78">
        <v>0</v>
      </c>
      <c r="J1579" s="51" t="s">
        <v>42</v>
      </c>
      <c r="K1579" s="47" t="str">
        <f t="shared" ca="1" si="552"/>
        <v>CONTRATADO</v>
      </c>
      <c r="L1579" s="47" t="s">
        <v>42</v>
      </c>
      <c r="M1579" s="47" t="s">
        <v>42</v>
      </c>
      <c r="N1579" s="52" t="s">
        <v>240</v>
      </c>
      <c r="O1579" s="51" t="e">
        <f>VLOOKUP(N1579,[2]!RUBROS[#All],3,0)</f>
        <v>#REF!</v>
      </c>
      <c r="P1579" s="53" t="e">
        <f>VLOOKUP(N1579,[2]!RUBROS[#All],2,0)</f>
        <v>#REF!</v>
      </c>
      <c r="Q1579" s="47" t="str">
        <f t="shared" si="553"/>
        <v>22</v>
      </c>
      <c r="R1579" s="47" t="str">
        <f t="shared" si="554"/>
        <v>0-205400</v>
      </c>
      <c r="S1579" s="54" t="s">
        <v>42</v>
      </c>
      <c r="T1579" s="59" t="s">
        <v>42</v>
      </c>
      <c r="U1579" s="326" t="e">
        <f ca="1">_xlfn.XLOOKUP(PAA_4[[#This Row],[ITEM]],[2]Contrato!A:A,[2]Contrato!Q:Q,"",0)</f>
        <v>#NAME?</v>
      </c>
      <c r="V1579" s="54" t="s">
        <v>42</v>
      </c>
      <c r="W1579" s="54" t="s">
        <v>42</v>
      </c>
      <c r="X1579" s="54" t="s">
        <v>42</v>
      </c>
      <c r="Y1579" s="55" t="e">
        <f ca="1">_xlfn.XLOOKUP(PAA_4[[#This Row],[ITEM]],[2]Contrato!A:A,[2]Contrato!B:B,"",0)</f>
        <v>#NAME?</v>
      </c>
      <c r="Z1579" s="47" t="e">
        <f ca="1">_xlfn.XLOOKUP(PAA_4[[#This Row],[ITEM]],[2]Contrato!A:A,[2]Contrato!G:G,"",0)</f>
        <v>#NAME?</v>
      </c>
      <c r="AA1579" s="47" t="e">
        <f ca="1">_xlfn.XLOOKUP(PAA_4[[#This Row],[ITEM]],[2]Contrato!A:A,[2]Contrato!T:T,"",0)</f>
        <v>#NAME?</v>
      </c>
      <c r="AB1579" s="55" t="e">
        <f ca="1">+MAX(PAA_4[[#This Row],[Comprometido Contrato]],PAA_4[[#This Row],[Comprometido Bolsa]])</f>
        <v>#NAME?</v>
      </c>
      <c r="AC1579" s="55" t="str">
        <f t="shared" ca="1" si="555"/>
        <v/>
      </c>
      <c r="AD1579" s="55" t="e">
        <f ca="1">IF(PAA_4[[#This Row],[ESTADO (formulado)]]="NO CONTRATADO",0,MAX(PAA_4[[#This Row],[Pago por Contrato]],PAA_4[[#This Row],[Pago por bolsa]]))</f>
        <v>#NAME?</v>
      </c>
      <c r="AE1579" s="55" t="str">
        <f t="shared" ca="1" si="556"/>
        <v/>
      </c>
      <c r="AF1579" s="47" t="e">
        <f t="shared" ca="1" si="557"/>
        <v>#NAME?</v>
      </c>
      <c r="AG1579" s="47">
        <f t="shared" si="558"/>
        <v>41080106</v>
      </c>
      <c r="AH1579" s="54" t="str">
        <f>IF(Q1579="22",IF(ISNUMBER(SEARCH("econ",PAA_4[[#This Row],[Actividad3]])),"Económico",IF(ISNUMBER(SEARCH("alim",PAA_4[[#This Row],[Actividad3]])),"Alimentación",IF(ISNUMBER(SEARCH("educ",PAA_4[[#This Row],[Actividad3]])),"Educativo","Técnico"))),0)</f>
        <v>Técnico</v>
      </c>
      <c r="AI1579" s="47" t="e" cm="1">
        <f t="array" aca="1" ref="AI1579" ca="1">_xlfn.XLOOKUP(PAA_4[[#This Row],[RCP-RUBRO]],[2]!COMPROMISOS_2024[[#All],[concatenado]],[2]!COMPROMISOS_2024[[#All],[Total pagado]],"",0)</f>
        <v>#NAME?</v>
      </c>
      <c r="AJ1579" s="56" t="e">
        <f ca="1">IF(PAA_4[[#This Row],[BOLSA]]=0,0,SUMIFS([2]!COMPROMISOS_2024[[#All],[Total pagado]],[2]!COMPROMISOS_2024[[#All],[Bolsa]],PAA_4[[#This Row],[BOLSA]],[2]!COMPROMISOS_2024[[#All],[rubro]],PAA_4[[#This Row],[RCP-RUBRO]]))</f>
        <v>#REF!</v>
      </c>
      <c r="AK1579" s="47" t="e" cm="1">
        <f t="array" aca="1" ref="AK1579" ca="1">_xlfn.XLOOKUP(PAA_4[[#This Row],[RCP-RUBRO]],[2]!COMPROMISOS_2024[[#All],[concatenado]],[2]!COMPROMISOS_2024[[#All],[Total Comprometido]],"",0)</f>
        <v>#NAME?</v>
      </c>
      <c r="AL1579" s="47" t="e">
        <f ca="1">IF(PAA_4[[#This Row],[BOLSA]]=0,0,SUMIFS([2]!COMPROMISOS_2024[[#All],[Total Comprometido]],[2]!COMPROMISOS_2024[[#All],[Bolsa]],PAA_4[[#This Row],[BOLSA]],[2]!COMPROMISOS_2024[[#All],[concatenado]],PAA_4[[#This Row],[RCP-RUBRO]]))</f>
        <v>#REF!</v>
      </c>
    </row>
    <row r="1580" spans="1:38" s="19" customFormat="1" ht="31.5" customHeight="1">
      <c r="A1580" s="47">
        <v>816</v>
      </c>
      <c r="B1580" s="47">
        <v>80111600</v>
      </c>
      <c r="C1580" s="47" t="str">
        <f>VLOOKUP(PAA_4[[#This Row],[PROYECTO (formulado)2]],[2]PROYECTOS!$G$1:$L$32,6,0)</f>
        <v>SUBGERENCIA DE ALTOS LOGROS Y DEPORTE ASOCIADO</v>
      </c>
      <c r="D1580" s="47" t="str">
        <f>+IF(PAA_4[[#This Row],[UNIDAD DE CONTRATACION (formulado)]]="Subgerencia Administrativa y Financiera","FUNCIONAMIENTO","INVERSIÓN")</f>
        <v>INVERSIÓN</v>
      </c>
      <c r="E1580" s="48" t="str">
        <f>VLOOKUP(Q1580,[2]PROYECTOS!$G$1:$K$32,5,0)</f>
        <v>APOYO_TÉCNICO_Y_PSICOSOCIAL_A_LOS_DEPORTISTAS_DE_ANTIOQUIA</v>
      </c>
      <c r="F1580" s="48">
        <f>VLOOKUP(E1580,[2]PROYECTOS!$K$1:$M$32,3,0)</f>
        <v>2021003050069</v>
      </c>
      <c r="G1580" s="49" t="s">
        <v>241</v>
      </c>
      <c r="H1580" s="49" t="str">
        <f>VLOOKUP(Q1580,[2]PROYECTOS!$V$1:$W$32,2,0)</f>
        <v>050069</v>
      </c>
      <c r="I1580" s="78">
        <f>14247459-514968-257484</f>
        <v>13475007</v>
      </c>
      <c r="J1580" s="51" t="s">
        <v>1958</v>
      </c>
      <c r="K1580" s="47" t="str">
        <f t="shared" ca="1" si="552"/>
        <v>CONTRATADO</v>
      </c>
      <c r="L1580" s="47" t="s">
        <v>147</v>
      </c>
      <c r="M1580" s="47" t="s">
        <v>1297</v>
      </c>
      <c r="N1580" s="52" t="s">
        <v>240</v>
      </c>
      <c r="O1580" s="51" t="e">
        <f>VLOOKUP(N1580,[2]!RUBROS[#All],3,0)</f>
        <v>#REF!</v>
      </c>
      <c r="P1580" s="53" t="e">
        <f>VLOOKUP(N1580,[2]!RUBROS[#All],2,0)</f>
        <v>#REF!</v>
      </c>
      <c r="Q1580" s="47" t="str">
        <f t="shared" si="553"/>
        <v>22</v>
      </c>
      <c r="R1580" s="47" t="str">
        <f t="shared" si="554"/>
        <v>0-205400</v>
      </c>
      <c r="S1580" s="339">
        <v>166</v>
      </c>
      <c r="T1580" s="59" t="s">
        <v>120</v>
      </c>
      <c r="U1580" s="326" t="e">
        <f ca="1">_xlfn.XLOOKUP(PAA_4[[#This Row],[ITEM]],[2]Contrato!A:A,[2]Contrato!Q:Q,"",0)</f>
        <v>#NAME?</v>
      </c>
      <c r="V1580" s="47" t="s">
        <v>95</v>
      </c>
      <c r="W1580" s="47" t="s">
        <v>154</v>
      </c>
      <c r="X1580" s="47" t="s">
        <v>154</v>
      </c>
      <c r="Y1580" s="55" t="e">
        <f ca="1">_xlfn.XLOOKUP(PAA_4[[#This Row],[ITEM]],[2]Contrato!A:A,[2]Contrato!B:B,"",0)</f>
        <v>#NAME?</v>
      </c>
      <c r="Z1580" s="47" t="e">
        <f ca="1">_xlfn.XLOOKUP(PAA_4[[#This Row],[ITEM]],[2]Contrato!A:A,[2]Contrato!G:G,"",0)</f>
        <v>#NAME?</v>
      </c>
      <c r="AA1580" s="47" t="e">
        <f ca="1">_xlfn.XLOOKUP(PAA_4[[#This Row],[ITEM]],[2]Contrato!A:A,[2]Contrato!T:T,"",0)</f>
        <v>#NAME?</v>
      </c>
      <c r="AB1580" s="55" t="e">
        <f ca="1">+MAX(PAA_4[[#This Row],[Comprometido Contrato]],PAA_4[[#This Row],[Comprometido Bolsa]])</f>
        <v>#NAME?</v>
      </c>
      <c r="AC1580" s="55" t="str">
        <f t="shared" ca="1" si="555"/>
        <v/>
      </c>
      <c r="AD1580" s="55" t="e">
        <f ca="1">IF(PAA_4[[#This Row],[ESTADO (formulado)]]="NO CONTRATADO",0,MAX(PAA_4[[#This Row],[Pago por Contrato]],PAA_4[[#This Row],[Pago por bolsa]]))</f>
        <v>#NAME?</v>
      </c>
      <c r="AE1580" s="55" t="str">
        <f t="shared" ca="1" si="556"/>
        <v/>
      </c>
      <c r="AF1580" s="47" t="e">
        <f t="shared" ca="1" si="557"/>
        <v>#NAME?</v>
      </c>
      <c r="AG1580" s="47">
        <f t="shared" si="558"/>
        <v>41080106</v>
      </c>
      <c r="AH1580" s="54" t="str">
        <f>IF(Q1580="22",IF(ISNUMBER(SEARCH("econ",PAA_4[[#This Row],[Actividad3]])),"Económico",IF(ISNUMBER(SEARCH("alim",PAA_4[[#This Row],[Actividad3]])),"Alimentación",IF(ISNUMBER(SEARCH("educ",PAA_4[[#This Row],[Actividad3]])),"Educativo","Técnico"))),0)</f>
        <v>Técnico</v>
      </c>
      <c r="AI1580" s="47" t="e" cm="1">
        <f t="array" aca="1" ref="AI1580" ca="1">_xlfn.XLOOKUP(PAA_4[[#This Row],[RCP-RUBRO]],[2]!COMPROMISOS_2024[[#All],[concatenado]],[2]!COMPROMISOS_2024[[#All],[Total pagado]],"",0)</f>
        <v>#NAME?</v>
      </c>
      <c r="AJ1580" s="56" t="e">
        <f ca="1">IF(PAA_4[[#This Row],[BOLSA]]=0,0,SUMIFS([2]!COMPROMISOS_2024[[#All],[Total pagado]],[2]!COMPROMISOS_2024[[#All],[Bolsa]],PAA_4[[#This Row],[BOLSA]],[2]!COMPROMISOS_2024[[#All],[rubro]],PAA_4[[#This Row],[RCP-RUBRO]]))</f>
        <v>#REF!</v>
      </c>
      <c r="AK1580" s="47" t="e" cm="1">
        <f t="array" aca="1" ref="AK1580" ca="1">_xlfn.XLOOKUP(PAA_4[[#This Row],[RCP-RUBRO]],[2]!COMPROMISOS_2024[[#All],[concatenado]],[2]!COMPROMISOS_2024[[#All],[Total Comprometido]],"",0)</f>
        <v>#NAME?</v>
      </c>
      <c r="AL1580" s="47" t="e">
        <f ca="1">IF(PAA_4[[#This Row],[BOLSA]]=0,0,SUMIFS([2]!COMPROMISOS_2024[[#All],[Total Comprometido]],[2]!COMPROMISOS_2024[[#All],[Bolsa]],PAA_4[[#This Row],[BOLSA]],[2]!COMPROMISOS_2024[[#All],[concatenado]],PAA_4[[#This Row],[RCP-RUBRO]]))</f>
        <v>#REF!</v>
      </c>
    </row>
    <row r="1581" spans="1:38" s="19" customFormat="1" ht="31.5" customHeight="1">
      <c r="A1581" s="47">
        <v>817</v>
      </c>
      <c r="B1581" s="47">
        <v>80111600</v>
      </c>
      <c r="C1581" s="47" t="str">
        <f>VLOOKUP(PAA_4[[#This Row],[PROYECTO (formulado)2]],[2]PROYECTOS!$G$1:$L$32,6,0)</f>
        <v>SUBGERENCIA DE ALTOS LOGROS Y DEPORTE ASOCIADO</v>
      </c>
      <c r="D1581" s="47" t="str">
        <f>+IF(PAA_4[[#This Row],[UNIDAD DE CONTRATACION (formulado)]]="Subgerencia Administrativa y Financiera","FUNCIONAMIENTO","INVERSIÓN")</f>
        <v>INVERSIÓN</v>
      </c>
      <c r="E1581" s="48" t="str">
        <f>VLOOKUP(Q1581,[2]PROYECTOS!$G$1:$K$32,5,0)</f>
        <v>APOYO_TÉCNICO_Y_PSICOSOCIAL_A_LOS_DEPORTISTAS_DE_ANTIOQUIA</v>
      </c>
      <c r="F1581" s="48">
        <f>VLOOKUP(E1581,[2]PROYECTOS!$K$1:$M$32,3,0)</f>
        <v>2021003050069</v>
      </c>
      <c r="G1581" s="49" t="s">
        <v>239</v>
      </c>
      <c r="H1581" s="49" t="str">
        <f>VLOOKUP(Q1581,[2]PROYECTOS!$V$1:$W$32,2,0)</f>
        <v>050069</v>
      </c>
      <c r="I1581" s="78">
        <f>13646663-171656</f>
        <v>13475007</v>
      </c>
      <c r="J1581" s="51" t="s">
        <v>1959</v>
      </c>
      <c r="K1581" s="47" t="str">
        <f t="shared" ca="1" si="552"/>
        <v>CONTRATADO</v>
      </c>
      <c r="L1581" s="47" t="s">
        <v>147</v>
      </c>
      <c r="M1581" s="47" t="s">
        <v>1297</v>
      </c>
      <c r="N1581" s="52" t="s">
        <v>240</v>
      </c>
      <c r="O1581" s="51" t="e">
        <f>VLOOKUP(N1581,[2]!RUBROS[#All],3,0)</f>
        <v>#REF!</v>
      </c>
      <c r="P1581" s="53" t="e">
        <f>VLOOKUP(N1581,[2]!RUBROS[#All],2,0)</f>
        <v>#REF!</v>
      </c>
      <c r="Q1581" s="47" t="str">
        <f t="shared" si="553"/>
        <v>22</v>
      </c>
      <c r="R1581" s="47" t="str">
        <f t="shared" si="554"/>
        <v>0-205400</v>
      </c>
      <c r="S1581" s="339">
        <v>166</v>
      </c>
      <c r="T1581" s="59" t="s">
        <v>120</v>
      </c>
      <c r="U1581" s="326" t="e">
        <f ca="1">_xlfn.XLOOKUP(PAA_4[[#This Row],[ITEM]],[2]Contrato!A:A,[2]Contrato!Q:Q,"",0)</f>
        <v>#NAME?</v>
      </c>
      <c r="V1581" s="47" t="s">
        <v>95</v>
      </c>
      <c r="W1581" s="47" t="s">
        <v>154</v>
      </c>
      <c r="X1581" s="47" t="s">
        <v>154</v>
      </c>
      <c r="Y1581" s="55" t="e">
        <f ca="1">_xlfn.XLOOKUP(PAA_4[[#This Row],[ITEM]],[2]Contrato!A:A,[2]Contrato!B:B,"",0)</f>
        <v>#NAME?</v>
      </c>
      <c r="Z1581" s="47" t="e">
        <f ca="1">_xlfn.XLOOKUP(PAA_4[[#This Row],[ITEM]],[2]Contrato!A:A,[2]Contrato!G:G,"",0)</f>
        <v>#NAME?</v>
      </c>
      <c r="AA1581" s="47" t="e">
        <f ca="1">_xlfn.XLOOKUP(PAA_4[[#This Row],[ITEM]],[2]Contrato!A:A,[2]Contrato!T:T,"",0)</f>
        <v>#NAME?</v>
      </c>
      <c r="AB1581" s="55" t="e">
        <f ca="1">+MAX(PAA_4[[#This Row],[Comprometido Contrato]],PAA_4[[#This Row],[Comprometido Bolsa]])</f>
        <v>#NAME?</v>
      </c>
      <c r="AC1581" s="55" t="str">
        <f t="shared" ca="1" si="555"/>
        <v/>
      </c>
      <c r="AD1581" s="55" t="e">
        <f ca="1">IF(PAA_4[[#This Row],[ESTADO (formulado)]]="NO CONTRATADO",0,MAX(PAA_4[[#This Row],[Pago por Contrato]],PAA_4[[#This Row],[Pago por bolsa]]))</f>
        <v>#NAME?</v>
      </c>
      <c r="AE1581" s="55" t="str">
        <f t="shared" ca="1" si="556"/>
        <v/>
      </c>
      <c r="AF1581" s="47" t="e">
        <f t="shared" ca="1" si="557"/>
        <v>#NAME?</v>
      </c>
      <c r="AG1581" s="47">
        <f t="shared" si="558"/>
        <v>41080101</v>
      </c>
      <c r="AH1581" s="54" t="str">
        <f>IF(Q1581="22",IF(ISNUMBER(SEARCH("econ",PAA_4[[#This Row],[Actividad3]])),"Económico",IF(ISNUMBER(SEARCH("alim",PAA_4[[#This Row],[Actividad3]])),"Alimentación",IF(ISNUMBER(SEARCH("educ",PAA_4[[#This Row],[Actividad3]])),"Educativo","Técnico"))),0)</f>
        <v>Técnico</v>
      </c>
      <c r="AI1581" s="47" t="e" cm="1">
        <f t="array" aca="1" ref="AI1581" ca="1">_xlfn.XLOOKUP(PAA_4[[#This Row],[RCP-RUBRO]],[2]!COMPROMISOS_2024[[#All],[concatenado]],[2]!COMPROMISOS_2024[[#All],[Total pagado]],"",0)</f>
        <v>#NAME?</v>
      </c>
      <c r="AJ1581" s="56" t="e">
        <f ca="1">IF(PAA_4[[#This Row],[BOLSA]]=0,0,SUMIFS([2]!COMPROMISOS_2024[[#All],[Total pagado]],[2]!COMPROMISOS_2024[[#All],[Bolsa]],PAA_4[[#This Row],[BOLSA]],[2]!COMPROMISOS_2024[[#All],[rubro]],PAA_4[[#This Row],[RCP-RUBRO]]))</f>
        <v>#REF!</v>
      </c>
      <c r="AK1581" s="47" t="e" cm="1">
        <f t="array" aca="1" ref="AK1581" ca="1">_xlfn.XLOOKUP(PAA_4[[#This Row],[RCP-RUBRO]],[2]!COMPROMISOS_2024[[#All],[concatenado]],[2]!COMPROMISOS_2024[[#All],[Total Comprometido]],"",0)</f>
        <v>#NAME?</v>
      </c>
      <c r="AL1581" s="47" t="e">
        <f ca="1">IF(PAA_4[[#This Row],[BOLSA]]=0,0,SUMIFS([2]!COMPROMISOS_2024[[#All],[Total Comprometido]],[2]!COMPROMISOS_2024[[#All],[Bolsa]],PAA_4[[#This Row],[BOLSA]],[2]!COMPROMISOS_2024[[#All],[concatenado]],PAA_4[[#This Row],[RCP-RUBRO]]))</f>
        <v>#REF!</v>
      </c>
    </row>
    <row r="1582" spans="1:38" s="19" customFormat="1" ht="31.5" customHeight="1">
      <c r="A1582" s="47">
        <v>818</v>
      </c>
      <c r="B1582" s="47">
        <v>80111600</v>
      </c>
      <c r="C1582" s="47" t="str">
        <f>VLOOKUP(PAA_4[[#This Row],[PROYECTO (formulado)2]],[2]PROYECTOS!$G$1:$L$32,6,0)</f>
        <v>SUBGERENCIA DE ALTOS LOGROS Y DEPORTE ASOCIADO</v>
      </c>
      <c r="D1582" s="47" t="str">
        <f>+IF(PAA_4[[#This Row],[UNIDAD DE CONTRATACION (formulado)]]="Subgerencia Administrativa y Financiera","FUNCIONAMIENTO","INVERSIÓN")</f>
        <v>INVERSIÓN</v>
      </c>
      <c r="E1582" s="48" t="str">
        <f>VLOOKUP(Q1582,[2]PROYECTOS!$G$1:$K$32,5,0)</f>
        <v>APOYO_TÉCNICO_Y_PSICOSOCIAL_A_LOS_DEPORTISTAS_DE_ANTIOQUIA</v>
      </c>
      <c r="F1582" s="48">
        <f>VLOOKUP(E1582,[2]PROYECTOS!$K$1:$M$32,3,0)</f>
        <v>2021003050069</v>
      </c>
      <c r="G1582" s="49" t="s">
        <v>239</v>
      </c>
      <c r="H1582" s="49" t="str">
        <f>VLOOKUP(Q1582,[2]PROYECTOS!$V$1:$W$32,2,0)</f>
        <v>050069</v>
      </c>
      <c r="I1582" s="78">
        <f>14247459-514968-257484</f>
        <v>13475007</v>
      </c>
      <c r="J1582" s="51" t="s">
        <v>1960</v>
      </c>
      <c r="K1582" s="47" t="str">
        <f t="shared" ca="1" si="552"/>
        <v>CONTRATADO</v>
      </c>
      <c r="L1582" s="47" t="s">
        <v>147</v>
      </c>
      <c r="M1582" s="47" t="s">
        <v>1297</v>
      </c>
      <c r="N1582" s="52" t="s">
        <v>240</v>
      </c>
      <c r="O1582" s="51" t="e">
        <f>VLOOKUP(N1582,[2]!RUBROS[#All],3,0)</f>
        <v>#REF!</v>
      </c>
      <c r="P1582" s="53" t="e">
        <f>VLOOKUP(N1582,[2]!RUBROS[#All],2,0)</f>
        <v>#REF!</v>
      </c>
      <c r="Q1582" s="47" t="str">
        <f t="shared" si="553"/>
        <v>22</v>
      </c>
      <c r="R1582" s="47" t="str">
        <f t="shared" si="554"/>
        <v>0-205400</v>
      </c>
      <c r="S1582" s="339">
        <v>166</v>
      </c>
      <c r="T1582" s="59" t="s">
        <v>120</v>
      </c>
      <c r="U1582" s="326" t="e">
        <f ca="1">_xlfn.XLOOKUP(PAA_4[[#This Row],[ITEM]],[2]Contrato!A:A,[2]Contrato!Q:Q,"",0)</f>
        <v>#NAME?</v>
      </c>
      <c r="V1582" s="47" t="s">
        <v>95</v>
      </c>
      <c r="W1582" s="47" t="s">
        <v>154</v>
      </c>
      <c r="X1582" s="47" t="s">
        <v>154</v>
      </c>
      <c r="Y1582" s="55" t="e">
        <f ca="1">_xlfn.XLOOKUP(PAA_4[[#This Row],[ITEM]],[2]Contrato!A:A,[2]Contrato!B:B,"",0)</f>
        <v>#NAME?</v>
      </c>
      <c r="Z1582" s="47" t="e">
        <f ca="1">_xlfn.XLOOKUP(PAA_4[[#This Row],[ITEM]],[2]Contrato!A:A,[2]Contrato!G:G,"",0)</f>
        <v>#NAME?</v>
      </c>
      <c r="AA1582" s="47" t="e">
        <f ca="1">_xlfn.XLOOKUP(PAA_4[[#This Row],[ITEM]],[2]Contrato!A:A,[2]Contrato!T:T,"",0)</f>
        <v>#NAME?</v>
      </c>
      <c r="AB1582" s="55" t="e">
        <f ca="1">+MAX(PAA_4[[#This Row],[Comprometido Contrato]],PAA_4[[#This Row],[Comprometido Bolsa]])</f>
        <v>#NAME?</v>
      </c>
      <c r="AC1582" s="55" t="str">
        <f t="shared" ca="1" si="555"/>
        <v/>
      </c>
      <c r="AD1582" s="55" t="e">
        <f ca="1">IF(PAA_4[[#This Row],[ESTADO (formulado)]]="NO CONTRATADO",0,MAX(PAA_4[[#This Row],[Pago por Contrato]],PAA_4[[#This Row],[Pago por bolsa]]))</f>
        <v>#NAME?</v>
      </c>
      <c r="AE1582" s="55" t="str">
        <f t="shared" ca="1" si="556"/>
        <v/>
      </c>
      <c r="AF1582" s="47" t="e">
        <f t="shared" ca="1" si="557"/>
        <v>#NAME?</v>
      </c>
      <c r="AG1582" s="47">
        <f t="shared" si="558"/>
        <v>41080101</v>
      </c>
      <c r="AH1582" s="54" t="str">
        <f>IF(Q1582="22",IF(ISNUMBER(SEARCH("econ",PAA_4[[#This Row],[Actividad3]])),"Económico",IF(ISNUMBER(SEARCH("alim",PAA_4[[#This Row],[Actividad3]])),"Alimentación",IF(ISNUMBER(SEARCH("educ",PAA_4[[#This Row],[Actividad3]])),"Educativo","Técnico"))),0)</f>
        <v>Técnico</v>
      </c>
      <c r="AI1582" s="47" t="e" cm="1">
        <f t="array" aca="1" ref="AI1582" ca="1">_xlfn.XLOOKUP(PAA_4[[#This Row],[RCP-RUBRO]],[2]!COMPROMISOS_2024[[#All],[concatenado]],[2]!COMPROMISOS_2024[[#All],[Total pagado]],"",0)</f>
        <v>#NAME?</v>
      </c>
      <c r="AJ1582" s="56" t="e">
        <f ca="1">IF(PAA_4[[#This Row],[BOLSA]]=0,0,SUMIFS([2]!COMPROMISOS_2024[[#All],[Total pagado]],[2]!COMPROMISOS_2024[[#All],[Bolsa]],PAA_4[[#This Row],[BOLSA]],[2]!COMPROMISOS_2024[[#All],[rubro]],PAA_4[[#This Row],[RCP-RUBRO]]))</f>
        <v>#REF!</v>
      </c>
      <c r="AK1582" s="47" t="e" cm="1">
        <f t="array" aca="1" ref="AK1582" ca="1">_xlfn.XLOOKUP(PAA_4[[#This Row],[RCP-RUBRO]],[2]!COMPROMISOS_2024[[#All],[concatenado]],[2]!COMPROMISOS_2024[[#All],[Total Comprometido]],"",0)</f>
        <v>#NAME?</v>
      </c>
      <c r="AL1582" s="47" t="e">
        <f ca="1">IF(PAA_4[[#This Row],[BOLSA]]=0,0,SUMIFS([2]!COMPROMISOS_2024[[#All],[Total Comprometido]],[2]!COMPROMISOS_2024[[#All],[Bolsa]],PAA_4[[#This Row],[BOLSA]],[2]!COMPROMISOS_2024[[#All],[concatenado]],PAA_4[[#This Row],[RCP-RUBRO]]))</f>
        <v>#REF!</v>
      </c>
    </row>
    <row r="1583" spans="1:38" s="19" customFormat="1" ht="31.5" customHeight="1">
      <c r="A1583" s="47">
        <v>819</v>
      </c>
      <c r="B1583" s="47">
        <v>80111600</v>
      </c>
      <c r="C1583" s="47" t="str">
        <f>VLOOKUP(PAA_4[[#This Row],[PROYECTO (formulado)2]],[2]PROYECTOS!$G$1:$L$32,6,0)</f>
        <v>SUBGERENCIA DE ALTOS LOGROS Y DEPORTE ASOCIADO</v>
      </c>
      <c r="D1583" s="47" t="str">
        <f>+IF(PAA_4[[#This Row],[UNIDAD DE CONTRATACION (formulado)]]="Subgerencia Administrativa y Financiera","FUNCIONAMIENTO","INVERSIÓN")</f>
        <v>INVERSIÓN</v>
      </c>
      <c r="E1583" s="48" t="str">
        <f>VLOOKUP(Q1583,[2]PROYECTOS!$G$1:$K$32,5,0)</f>
        <v>APOYO_TÉCNICO_Y_PSICOSOCIAL_A_LOS_DEPORTISTAS_DE_ANTIOQUIA</v>
      </c>
      <c r="F1583" s="48">
        <f>VLOOKUP(E1583,[2]PROYECTOS!$K$1:$M$32,3,0)</f>
        <v>2021003050069</v>
      </c>
      <c r="G1583" s="49" t="s">
        <v>239</v>
      </c>
      <c r="H1583" s="49" t="str">
        <f>VLOOKUP(Q1583,[2]PROYECTOS!$V$1:$W$32,2,0)</f>
        <v>050069</v>
      </c>
      <c r="I1583" s="78">
        <f>14247459-1115765-85828</f>
        <v>13045866</v>
      </c>
      <c r="J1583" s="51" t="s">
        <v>1961</v>
      </c>
      <c r="K1583" s="47" t="str">
        <f t="shared" ca="1" si="552"/>
        <v>CONTRATADO</v>
      </c>
      <c r="L1583" s="47" t="s">
        <v>147</v>
      </c>
      <c r="M1583" s="47" t="s">
        <v>1297</v>
      </c>
      <c r="N1583" s="52" t="s">
        <v>240</v>
      </c>
      <c r="O1583" s="51" t="e">
        <f>VLOOKUP(N1583,[2]!RUBROS[#All],3,0)</f>
        <v>#REF!</v>
      </c>
      <c r="P1583" s="53" t="e">
        <f>VLOOKUP(N1583,[2]!RUBROS[#All],2,0)</f>
        <v>#REF!</v>
      </c>
      <c r="Q1583" s="47" t="str">
        <f t="shared" si="553"/>
        <v>22</v>
      </c>
      <c r="R1583" s="47" t="str">
        <f t="shared" si="554"/>
        <v>0-205400</v>
      </c>
      <c r="S1583" s="339">
        <v>166</v>
      </c>
      <c r="T1583" s="59" t="s">
        <v>120</v>
      </c>
      <c r="U1583" s="326" t="e">
        <f ca="1">_xlfn.XLOOKUP(PAA_4[[#This Row],[ITEM]],[2]Contrato!A:A,[2]Contrato!Q:Q,"",0)</f>
        <v>#NAME?</v>
      </c>
      <c r="V1583" s="47" t="s">
        <v>95</v>
      </c>
      <c r="W1583" s="47" t="s">
        <v>154</v>
      </c>
      <c r="X1583" s="47" t="s">
        <v>154</v>
      </c>
      <c r="Y1583" s="55" t="e">
        <f ca="1">_xlfn.XLOOKUP(PAA_4[[#This Row],[ITEM]],[2]Contrato!A:A,[2]Contrato!B:B,"",0)</f>
        <v>#NAME?</v>
      </c>
      <c r="Z1583" s="47" t="e">
        <f ca="1">_xlfn.XLOOKUP(PAA_4[[#This Row],[ITEM]],[2]Contrato!A:A,[2]Contrato!G:G,"",0)</f>
        <v>#NAME?</v>
      </c>
      <c r="AA1583" s="47" t="e">
        <f ca="1">_xlfn.XLOOKUP(PAA_4[[#This Row],[ITEM]],[2]Contrato!A:A,[2]Contrato!T:T,"",0)</f>
        <v>#NAME?</v>
      </c>
      <c r="AB1583" s="55" t="e">
        <f ca="1">+MAX(PAA_4[[#This Row],[Comprometido Contrato]],PAA_4[[#This Row],[Comprometido Bolsa]])</f>
        <v>#NAME?</v>
      </c>
      <c r="AC1583" s="55" t="str">
        <f t="shared" ca="1" si="555"/>
        <v/>
      </c>
      <c r="AD1583" s="55" t="e">
        <f ca="1">IF(PAA_4[[#This Row],[ESTADO (formulado)]]="NO CONTRATADO",0,MAX(PAA_4[[#This Row],[Pago por Contrato]],PAA_4[[#This Row],[Pago por bolsa]]))</f>
        <v>#NAME?</v>
      </c>
      <c r="AE1583" s="55" t="str">
        <f t="shared" ca="1" si="556"/>
        <v/>
      </c>
      <c r="AF1583" s="47" t="e">
        <f t="shared" ca="1" si="557"/>
        <v>#NAME?</v>
      </c>
      <c r="AG1583" s="47">
        <f t="shared" si="558"/>
        <v>41080101</v>
      </c>
      <c r="AH1583" s="54" t="str">
        <f>IF(Q1583="22",IF(ISNUMBER(SEARCH("econ",PAA_4[[#This Row],[Actividad3]])),"Económico",IF(ISNUMBER(SEARCH("alim",PAA_4[[#This Row],[Actividad3]])),"Alimentación",IF(ISNUMBER(SEARCH("educ",PAA_4[[#This Row],[Actividad3]])),"Educativo","Técnico"))),0)</f>
        <v>Técnico</v>
      </c>
      <c r="AI1583" s="47" t="e" cm="1">
        <f t="array" aca="1" ref="AI1583" ca="1">_xlfn.XLOOKUP(PAA_4[[#This Row],[RCP-RUBRO]],[2]!COMPROMISOS_2024[[#All],[concatenado]],[2]!COMPROMISOS_2024[[#All],[Total pagado]],"",0)</f>
        <v>#NAME?</v>
      </c>
      <c r="AJ1583" s="56" t="e">
        <f ca="1">IF(PAA_4[[#This Row],[BOLSA]]=0,0,SUMIFS([2]!COMPROMISOS_2024[[#All],[Total pagado]],[2]!COMPROMISOS_2024[[#All],[Bolsa]],PAA_4[[#This Row],[BOLSA]],[2]!COMPROMISOS_2024[[#All],[rubro]],PAA_4[[#This Row],[RCP-RUBRO]]))</f>
        <v>#REF!</v>
      </c>
      <c r="AK1583" s="47" t="e" cm="1">
        <f t="array" aca="1" ref="AK1583" ca="1">_xlfn.XLOOKUP(PAA_4[[#This Row],[RCP-RUBRO]],[2]!COMPROMISOS_2024[[#All],[concatenado]],[2]!COMPROMISOS_2024[[#All],[Total Comprometido]],"",0)</f>
        <v>#NAME?</v>
      </c>
      <c r="AL1583" s="47" t="e">
        <f ca="1">IF(PAA_4[[#This Row],[BOLSA]]=0,0,SUMIFS([2]!COMPROMISOS_2024[[#All],[Total Comprometido]],[2]!COMPROMISOS_2024[[#All],[Bolsa]],PAA_4[[#This Row],[BOLSA]],[2]!COMPROMISOS_2024[[#All],[concatenado]],PAA_4[[#This Row],[RCP-RUBRO]]))</f>
        <v>#REF!</v>
      </c>
    </row>
    <row r="1584" spans="1:38" s="19" customFormat="1" ht="31.5" customHeight="1">
      <c r="A1584" s="47" t="s">
        <v>82</v>
      </c>
      <c r="B1584" s="47" t="s">
        <v>42</v>
      </c>
      <c r="C1584" s="47" t="str">
        <f>VLOOKUP(PAA_4[[#This Row],[PROYECTO (formulado)2]],[2]PROYECTOS!$G$1:$L$32,6,0)</f>
        <v>SUBGERENCIA DE ALTOS LOGROS Y DEPORTE ASOCIADO</v>
      </c>
      <c r="D1584" s="47" t="str">
        <f>+IF(PAA_4[[#This Row],[UNIDAD DE CONTRATACION (formulado)]]="Subgerencia Administrativa y Financiera","FUNCIONAMIENTO","INVERSIÓN")</f>
        <v>INVERSIÓN</v>
      </c>
      <c r="E1584" s="48" t="str">
        <f>VLOOKUP(Q1584,[2]PROYECTOS!$G$1:$K$32,5,0)</f>
        <v>APOYO_TÉCNICO_Y_PSICOSOCIAL_A_LOS_DEPORTISTAS_DE_ANTIOQUIA</v>
      </c>
      <c r="F1584" s="48">
        <f>VLOOKUP(E1584,[2]PROYECTOS!$K$1:$M$32,3,0)</f>
        <v>2021003050069</v>
      </c>
      <c r="G1584" s="49" t="s">
        <v>239</v>
      </c>
      <c r="H1584" s="49" t="str">
        <f>VLOOKUP(Q1584,[2]PROYECTOS!$V$1:$W$32,2,0)</f>
        <v>050069</v>
      </c>
      <c r="I1584" s="78">
        <f>10401550-10401550</f>
        <v>0</v>
      </c>
      <c r="J1584" s="51" t="s">
        <v>1962</v>
      </c>
      <c r="K1584" s="47" t="str">
        <f t="shared" ca="1" si="552"/>
        <v>CONTRATADO</v>
      </c>
      <c r="L1584" s="47" t="s">
        <v>42</v>
      </c>
      <c r="M1584" s="47" t="s">
        <v>42</v>
      </c>
      <c r="N1584" s="52" t="s">
        <v>240</v>
      </c>
      <c r="O1584" s="51" t="e">
        <f>VLOOKUP(N1584,[2]!RUBROS[#All],3,0)</f>
        <v>#REF!</v>
      </c>
      <c r="P1584" s="53" t="e">
        <f>VLOOKUP(N1584,[2]!RUBROS[#All],2,0)</f>
        <v>#REF!</v>
      </c>
      <c r="Q1584" s="47" t="str">
        <f t="shared" si="553"/>
        <v>22</v>
      </c>
      <c r="R1584" s="47" t="str">
        <f t="shared" si="554"/>
        <v>0-205400</v>
      </c>
      <c r="S1584" s="339" t="s">
        <v>42</v>
      </c>
      <c r="T1584" s="59" t="s">
        <v>42</v>
      </c>
      <c r="U1584" s="326" t="e">
        <f ca="1">_xlfn.XLOOKUP(PAA_4[[#This Row],[ITEM]],[2]Contrato!A:A,[2]Contrato!Q:Q,"",0)</f>
        <v>#NAME?</v>
      </c>
      <c r="V1584" s="47" t="s">
        <v>47</v>
      </c>
      <c r="W1584" s="47" t="s">
        <v>42</v>
      </c>
      <c r="X1584" s="47" t="s">
        <v>42</v>
      </c>
      <c r="Y1584" s="55" t="e">
        <f ca="1">_xlfn.XLOOKUP(PAA_4[[#This Row],[ITEM]],[2]Contrato!A:A,[2]Contrato!B:B,"",0)</f>
        <v>#NAME?</v>
      </c>
      <c r="Z1584" s="47" t="e">
        <f ca="1">_xlfn.XLOOKUP(PAA_4[[#This Row],[ITEM]],[2]Contrato!A:A,[2]Contrato!G:G,"",0)</f>
        <v>#NAME?</v>
      </c>
      <c r="AA1584" s="47" t="e">
        <f ca="1">_xlfn.XLOOKUP(PAA_4[[#This Row],[ITEM]],[2]Contrato!A:A,[2]Contrato!T:T,"",0)</f>
        <v>#NAME?</v>
      </c>
      <c r="AB1584" s="55" t="e">
        <f ca="1">+MAX(PAA_4[[#This Row],[Comprometido Contrato]],PAA_4[[#This Row],[Comprometido Bolsa]])</f>
        <v>#NAME?</v>
      </c>
      <c r="AC1584" s="55" t="str">
        <f t="shared" ca="1" si="555"/>
        <v/>
      </c>
      <c r="AD1584" s="55" t="e">
        <f ca="1">IF(PAA_4[[#This Row],[ESTADO (formulado)]]="NO CONTRATADO",0,MAX(PAA_4[[#This Row],[Pago por Contrato]],PAA_4[[#This Row],[Pago por bolsa]]))</f>
        <v>#NAME?</v>
      </c>
      <c r="AE1584" s="55" t="str">
        <f t="shared" ca="1" si="556"/>
        <v/>
      </c>
      <c r="AF1584" s="47" t="e">
        <f t="shared" ca="1" si="557"/>
        <v>#NAME?</v>
      </c>
      <c r="AG1584" s="47">
        <f t="shared" si="558"/>
        <v>41080101</v>
      </c>
      <c r="AH1584" s="54" t="str">
        <f>IF(Q1584="22",IF(ISNUMBER(SEARCH("econ",PAA_4[[#This Row],[Actividad3]])),"Económico",IF(ISNUMBER(SEARCH("alim",PAA_4[[#This Row],[Actividad3]])),"Alimentación",IF(ISNUMBER(SEARCH("educ",PAA_4[[#This Row],[Actividad3]])),"Educativo","Técnico"))),0)</f>
        <v>Técnico</v>
      </c>
      <c r="AI1584" s="47" t="e" cm="1">
        <f t="array" aca="1" ref="AI1584" ca="1">_xlfn.XLOOKUP(PAA_4[[#This Row],[RCP-RUBRO]],[2]!COMPROMISOS_2024[[#All],[concatenado]],[2]!COMPROMISOS_2024[[#All],[Total pagado]],"",0)</f>
        <v>#NAME?</v>
      </c>
      <c r="AJ1584" s="56" t="e">
        <f ca="1">IF(PAA_4[[#This Row],[BOLSA]]=0,0,SUMIFS([2]!COMPROMISOS_2024[[#All],[Total pagado]],[2]!COMPROMISOS_2024[[#All],[Bolsa]],PAA_4[[#This Row],[BOLSA]],[2]!COMPROMISOS_2024[[#All],[rubro]],PAA_4[[#This Row],[RCP-RUBRO]]))</f>
        <v>#REF!</v>
      </c>
      <c r="AK1584" s="47" t="e" cm="1">
        <f t="array" aca="1" ref="AK1584" ca="1">_xlfn.XLOOKUP(PAA_4[[#This Row],[RCP-RUBRO]],[2]!COMPROMISOS_2024[[#All],[concatenado]],[2]!COMPROMISOS_2024[[#All],[Total Comprometido]],"",0)</f>
        <v>#NAME?</v>
      </c>
      <c r="AL1584" s="47" t="e">
        <f ca="1">IF(PAA_4[[#This Row],[BOLSA]]=0,0,SUMIFS([2]!COMPROMISOS_2024[[#All],[Total Comprometido]],[2]!COMPROMISOS_2024[[#All],[Bolsa]],PAA_4[[#This Row],[BOLSA]],[2]!COMPROMISOS_2024[[#All],[concatenado]],PAA_4[[#This Row],[RCP-RUBRO]]))</f>
        <v>#REF!</v>
      </c>
    </row>
    <row r="1585" spans="1:38" s="19" customFormat="1" ht="31.5" customHeight="1">
      <c r="A1585" s="47" t="s">
        <v>82</v>
      </c>
      <c r="B1585" s="47" t="s">
        <v>42</v>
      </c>
      <c r="C1585" s="47" t="str">
        <f>VLOOKUP(PAA_4[[#This Row],[PROYECTO (formulado)2]],[2]PROYECTOS!$G$1:$L$32,6,0)</f>
        <v>SUBGERENCIA DE ALTOS LOGROS Y DEPORTE ASOCIADO</v>
      </c>
      <c r="D1585" s="47" t="str">
        <f>+IF(PAA_4[[#This Row],[UNIDAD DE CONTRATACION (formulado)]]="Subgerencia Administrativa y Financiera","FUNCIONAMIENTO","INVERSIÓN")</f>
        <v>INVERSIÓN</v>
      </c>
      <c r="E1585" s="48" t="str">
        <f>VLOOKUP(Q1585,[2]PROYECTOS!$G$1:$K$32,5,0)</f>
        <v>APOYO_TÉCNICO_Y_PSICOSOCIAL_A_LOS_DEPORTISTAS_DE_ANTIOQUIA</v>
      </c>
      <c r="F1585" s="48">
        <f>VLOOKUP(E1585,[2]PROYECTOS!$K$1:$M$32,3,0)</f>
        <v>2021003050069</v>
      </c>
      <c r="G1585" s="49" t="s">
        <v>239</v>
      </c>
      <c r="H1585" s="49" t="str">
        <f>VLOOKUP(Q1585,[2]PROYECTOS!$V$1:$W$32,2,0)</f>
        <v>050069</v>
      </c>
      <c r="I1585" s="78">
        <v>123335</v>
      </c>
      <c r="J1585" s="51" t="s">
        <v>1952</v>
      </c>
      <c r="K1585" s="47" t="str">
        <f t="shared" ca="1" si="552"/>
        <v>CONTRATADO</v>
      </c>
      <c r="L1585" s="47" t="s">
        <v>42</v>
      </c>
      <c r="M1585" s="47" t="s">
        <v>42</v>
      </c>
      <c r="N1585" s="52" t="s">
        <v>240</v>
      </c>
      <c r="O1585" s="51" t="e">
        <f>VLOOKUP(N1585,[2]!RUBROS[#All],3,0)</f>
        <v>#REF!</v>
      </c>
      <c r="P1585" s="53" t="e">
        <f>VLOOKUP(N1585,[2]!RUBROS[#All],2,0)</f>
        <v>#REF!</v>
      </c>
      <c r="Q1585" s="47" t="str">
        <f t="shared" si="553"/>
        <v>22</v>
      </c>
      <c r="R1585" s="47" t="str">
        <f t="shared" si="554"/>
        <v>0-205400</v>
      </c>
      <c r="S1585" s="339" t="s">
        <v>42</v>
      </c>
      <c r="T1585" s="59" t="s">
        <v>42</v>
      </c>
      <c r="U1585" s="326" t="e">
        <f ca="1">_xlfn.XLOOKUP(PAA_4[[#This Row],[ITEM]],[2]Contrato!A:A,[2]Contrato!Q:Q,"",0)</f>
        <v>#NAME?</v>
      </c>
      <c r="V1585" s="47" t="s">
        <v>42</v>
      </c>
      <c r="W1585" s="47" t="s">
        <v>42</v>
      </c>
      <c r="X1585" s="47" t="s">
        <v>42</v>
      </c>
      <c r="Y1585" s="55" t="e">
        <f ca="1">_xlfn.XLOOKUP(PAA_4[[#This Row],[ITEM]],[2]Contrato!A:A,[2]Contrato!B:B,"",0)</f>
        <v>#NAME?</v>
      </c>
      <c r="Z1585" s="47" t="e">
        <f ca="1">_xlfn.XLOOKUP(PAA_4[[#This Row],[ITEM]],[2]Contrato!A:A,[2]Contrato!G:G,"",0)</f>
        <v>#NAME?</v>
      </c>
      <c r="AA1585" s="47" t="e">
        <f ca="1">_xlfn.XLOOKUP(PAA_4[[#This Row],[ITEM]],[2]Contrato!A:A,[2]Contrato!T:T,"",0)</f>
        <v>#NAME?</v>
      </c>
      <c r="AB1585" s="55" t="e">
        <f ca="1">+MAX(PAA_4[[#This Row],[Comprometido Contrato]],PAA_4[[#This Row],[Comprometido Bolsa]])</f>
        <v>#NAME?</v>
      </c>
      <c r="AC1585" s="55" t="str">
        <f t="shared" ca="1" si="555"/>
        <v/>
      </c>
      <c r="AD1585" s="55" t="e">
        <f ca="1">IF(PAA_4[[#This Row],[ESTADO (formulado)]]="NO CONTRATADO",0,MAX(PAA_4[[#This Row],[Pago por Contrato]],PAA_4[[#This Row],[Pago por bolsa]]))</f>
        <v>#NAME?</v>
      </c>
      <c r="AE1585" s="55" t="str">
        <f t="shared" ca="1" si="556"/>
        <v/>
      </c>
      <c r="AF1585" s="47" t="e">
        <f t="shared" ca="1" si="557"/>
        <v>#NAME?</v>
      </c>
      <c r="AG1585" s="47">
        <f t="shared" si="558"/>
        <v>41080101</v>
      </c>
      <c r="AH1585" s="54" t="str">
        <f>IF(Q1585="22",IF(ISNUMBER(SEARCH("econ",PAA_4[[#This Row],[Actividad3]])),"Económico",IF(ISNUMBER(SEARCH("alim",PAA_4[[#This Row],[Actividad3]])),"Alimentación",IF(ISNUMBER(SEARCH("educ",PAA_4[[#This Row],[Actividad3]])),"Educativo","Técnico"))),0)</f>
        <v>Técnico</v>
      </c>
      <c r="AI1585" s="47" t="e" cm="1">
        <f t="array" aca="1" ref="AI1585" ca="1">_xlfn.XLOOKUP(PAA_4[[#This Row],[RCP-RUBRO]],[2]!COMPROMISOS_2024[[#All],[concatenado]],[2]!COMPROMISOS_2024[[#All],[Total pagado]],"",0)</f>
        <v>#NAME?</v>
      </c>
      <c r="AJ1585" s="56" t="e">
        <f ca="1">IF(PAA_4[[#This Row],[BOLSA]]=0,0,SUMIFS([2]!COMPROMISOS_2024[[#All],[Total pagado]],[2]!COMPROMISOS_2024[[#All],[Bolsa]],PAA_4[[#This Row],[BOLSA]],[2]!COMPROMISOS_2024[[#All],[rubro]],PAA_4[[#This Row],[RCP-RUBRO]]))</f>
        <v>#REF!</v>
      </c>
      <c r="AK1585" s="47" t="e" cm="1">
        <f t="array" aca="1" ref="AK1585" ca="1">_xlfn.XLOOKUP(PAA_4[[#This Row],[RCP-RUBRO]],[2]!COMPROMISOS_2024[[#All],[concatenado]],[2]!COMPROMISOS_2024[[#All],[Total Comprometido]],"",0)</f>
        <v>#NAME?</v>
      </c>
      <c r="AL1585" s="47" t="e">
        <f ca="1">IF(PAA_4[[#This Row],[BOLSA]]=0,0,SUMIFS([2]!COMPROMISOS_2024[[#All],[Total Comprometido]],[2]!COMPROMISOS_2024[[#All],[Bolsa]],PAA_4[[#This Row],[BOLSA]],[2]!COMPROMISOS_2024[[#All],[concatenado]],PAA_4[[#This Row],[RCP-RUBRO]]))</f>
        <v>#REF!</v>
      </c>
    </row>
    <row r="1586" spans="1:38" s="19" customFormat="1" ht="31.5" customHeight="1">
      <c r="A1586" s="47">
        <v>820</v>
      </c>
      <c r="B1586" s="47">
        <v>80111600</v>
      </c>
      <c r="C1586" s="47" t="str">
        <f>VLOOKUP(PAA_4[[#This Row],[PROYECTO (formulado)2]],[2]PROYECTOS!$G$1:$L$32,6,0)</f>
        <v>SUBGERENCIA DE ALTOS LOGROS Y DEPORTE ASOCIADO</v>
      </c>
      <c r="D1586" s="47" t="str">
        <f>+IF(PAA_4[[#This Row],[UNIDAD DE CONTRATACION (formulado)]]="Subgerencia Administrativa y Financiera","FUNCIONAMIENTO","INVERSIÓN")</f>
        <v>INVERSIÓN</v>
      </c>
      <c r="E1586" s="48" t="str">
        <f>VLOOKUP(Q1586,[2]PROYECTOS!$G$1:$K$32,5,0)</f>
        <v>APOYO_TÉCNICO_Y_PSICOSOCIAL_A_LOS_DEPORTISTAS_DE_ANTIOQUIA</v>
      </c>
      <c r="F1586" s="48">
        <f>VLOOKUP(E1586,[2]PROYECTOS!$K$1:$M$32,3,0)</f>
        <v>2021003050069</v>
      </c>
      <c r="G1586" s="49" t="s">
        <v>239</v>
      </c>
      <c r="H1586" s="49" t="str">
        <f>VLOOKUP(Q1586,[2]PROYECTOS!$V$1:$W$32,2,0)</f>
        <v>050069</v>
      </c>
      <c r="I1586" s="78">
        <f>32819024-10401550-818156</f>
        <v>21599318</v>
      </c>
      <c r="J1586" s="51" t="s">
        <v>1963</v>
      </c>
      <c r="K1586" s="47" t="str">
        <f t="shared" ca="1" si="552"/>
        <v>CONTRATADO</v>
      </c>
      <c r="L1586" s="47" t="s">
        <v>147</v>
      </c>
      <c r="M1586" s="47" t="s">
        <v>1297</v>
      </c>
      <c r="N1586" s="52" t="s">
        <v>240</v>
      </c>
      <c r="O1586" s="51" t="e">
        <f>VLOOKUP(N1586,[2]!RUBROS[#All],3,0)</f>
        <v>#REF!</v>
      </c>
      <c r="P1586" s="53" t="e">
        <f>VLOOKUP(N1586,[2]!RUBROS[#All],2,0)</f>
        <v>#REF!</v>
      </c>
      <c r="Q1586" s="47" t="str">
        <f t="shared" si="553"/>
        <v>22</v>
      </c>
      <c r="R1586" s="47" t="str">
        <f t="shared" si="554"/>
        <v>0-205400</v>
      </c>
      <c r="S1586" s="339">
        <v>166</v>
      </c>
      <c r="T1586" s="59" t="s">
        <v>120</v>
      </c>
      <c r="U1586" s="326" t="e">
        <f ca="1">_xlfn.XLOOKUP(PAA_4[[#This Row],[ITEM]],[2]Contrato!A:A,[2]Contrato!Q:Q,"",0)</f>
        <v>#NAME?</v>
      </c>
      <c r="V1586" s="47" t="s">
        <v>95</v>
      </c>
      <c r="W1586" s="47" t="s">
        <v>154</v>
      </c>
      <c r="X1586" s="47" t="s">
        <v>154</v>
      </c>
      <c r="Y1586" s="55" t="e">
        <f ca="1">_xlfn.XLOOKUP(PAA_4[[#This Row],[ITEM]],[2]Contrato!A:A,[2]Contrato!B:B,"",0)</f>
        <v>#NAME?</v>
      </c>
      <c r="Z1586" s="47" t="e">
        <f ca="1">_xlfn.XLOOKUP(PAA_4[[#This Row],[ITEM]],[2]Contrato!A:A,[2]Contrato!G:G,"",0)</f>
        <v>#NAME?</v>
      </c>
      <c r="AA1586" s="47" t="e">
        <f ca="1">_xlfn.XLOOKUP(PAA_4[[#This Row],[ITEM]],[2]Contrato!A:A,[2]Contrato!T:T,"",0)</f>
        <v>#NAME?</v>
      </c>
      <c r="AB1586" s="55" t="e">
        <f ca="1">+MAX(PAA_4[[#This Row],[Comprometido Contrato]],PAA_4[[#This Row],[Comprometido Bolsa]])</f>
        <v>#NAME?</v>
      </c>
      <c r="AC1586" s="55" t="str">
        <f t="shared" ca="1" si="555"/>
        <v/>
      </c>
      <c r="AD1586" s="55" t="e">
        <f ca="1">IF(PAA_4[[#This Row],[ESTADO (formulado)]]="NO CONTRATADO",0,MAX(PAA_4[[#This Row],[Pago por Contrato]],PAA_4[[#This Row],[Pago por bolsa]]))</f>
        <v>#NAME?</v>
      </c>
      <c r="AE1586" s="55" t="str">
        <f t="shared" ca="1" si="556"/>
        <v/>
      </c>
      <c r="AF1586" s="47" t="e">
        <f t="shared" ca="1" si="557"/>
        <v>#NAME?</v>
      </c>
      <c r="AG1586" s="47">
        <f t="shared" si="558"/>
        <v>41080101</v>
      </c>
      <c r="AH1586" s="54" t="str">
        <f>IF(Q1586="22",IF(ISNUMBER(SEARCH("econ",PAA_4[[#This Row],[Actividad3]])),"Económico",IF(ISNUMBER(SEARCH("alim",PAA_4[[#This Row],[Actividad3]])),"Alimentación",IF(ISNUMBER(SEARCH("educ",PAA_4[[#This Row],[Actividad3]])),"Educativo","Técnico"))),0)</f>
        <v>Técnico</v>
      </c>
      <c r="AI1586" s="47" t="e" cm="1">
        <f t="array" aca="1" ref="AI1586" ca="1">_xlfn.XLOOKUP(PAA_4[[#This Row],[RCP-RUBRO]],[2]!COMPROMISOS_2024[[#All],[concatenado]],[2]!COMPROMISOS_2024[[#All],[Total pagado]],"",0)</f>
        <v>#NAME?</v>
      </c>
      <c r="AJ1586" s="56" t="e">
        <f ca="1">IF(PAA_4[[#This Row],[BOLSA]]=0,0,SUMIFS([2]!COMPROMISOS_2024[[#All],[Total pagado]],[2]!COMPROMISOS_2024[[#All],[Bolsa]],PAA_4[[#This Row],[BOLSA]],[2]!COMPROMISOS_2024[[#All],[rubro]],PAA_4[[#This Row],[RCP-RUBRO]]))</f>
        <v>#REF!</v>
      </c>
      <c r="AK1586" s="47" t="e" cm="1">
        <f t="array" aca="1" ref="AK1586" ca="1">_xlfn.XLOOKUP(PAA_4[[#This Row],[RCP-RUBRO]],[2]!COMPROMISOS_2024[[#All],[concatenado]],[2]!COMPROMISOS_2024[[#All],[Total Comprometido]],"",0)</f>
        <v>#NAME?</v>
      </c>
      <c r="AL1586" s="47" t="e">
        <f ca="1">IF(PAA_4[[#This Row],[BOLSA]]=0,0,SUMIFS([2]!COMPROMISOS_2024[[#All],[Total Comprometido]],[2]!COMPROMISOS_2024[[#All],[Bolsa]],PAA_4[[#This Row],[BOLSA]],[2]!COMPROMISOS_2024[[#All],[concatenado]],PAA_4[[#This Row],[RCP-RUBRO]]))</f>
        <v>#REF!</v>
      </c>
    </row>
    <row r="1587" spans="1:38" s="19" customFormat="1" ht="31.5" customHeight="1">
      <c r="A1587" s="47">
        <v>821</v>
      </c>
      <c r="B1587" s="47">
        <v>80111600</v>
      </c>
      <c r="C1587" s="47" t="str">
        <f>VLOOKUP(PAA_4[[#This Row],[PROYECTO (formulado)2]],[2]PROYECTOS!$G$1:$L$32,6,0)</f>
        <v>SUBGERENCIA DE ALTOS LOGROS Y DEPORTE ASOCIADO</v>
      </c>
      <c r="D1587" s="47" t="str">
        <f>+IF(PAA_4[[#This Row],[UNIDAD DE CONTRATACION (formulado)]]="Subgerencia Administrativa y Financiera","FUNCIONAMIENTO","INVERSIÓN")</f>
        <v>INVERSIÓN</v>
      </c>
      <c r="E1587" s="48" t="str">
        <f>VLOOKUP(Q1587,[2]PROYECTOS!$G$1:$K$32,5,0)</f>
        <v>APOYO_TÉCNICO_Y_PSICOSOCIAL_A_LOS_DEPORTISTAS_DE_ANTIOQUIA</v>
      </c>
      <c r="F1587" s="48">
        <f>VLOOKUP(E1587,[2]PROYECTOS!$K$1:$M$32,3,0)</f>
        <v>2021003050069</v>
      </c>
      <c r="G1587" s="49" t="s">
        <v>239</v>
      </c>
      <c r="H1587" s="49" t="str">
        <f>VLOOKUP(Q1587,[2]PROYECTOS!$V$1:$W$32,2,0)</f>
        <v>050069</v>
      </c>
      <c r="I1587" s="78">
        <v>0</v>
      </c>
      <c r="J1587" s="51" t="s">
        <v>42</v>
      </c>
      <c r="K1587" s="47" t="str">
        <f t="shared" ca="1" si="552"/>
        <v>CONTRATADO</v>
      </c>
      <c r="L1587" s="47" t="s">
        <v>147</v>
      </c>
      <c r="M1587" s="47" t="s">
        <v>1297</v>
      </c>
      <c r="N1587" s="52" t="s">
        <v>240</v>
      </c>
      <c r="O1587" s="51" t="e">
        <f>VLOOKUP(N1587,[2]!RUBROS[#All],3,0)</f>
        <v>#REF!</v>
      </c>
      <c r="P1587" s="53" t="e">
        <f>VLOOKUP(N1587,[2]!RUBROS[#All],2,0)</f>
        <v>#REF!</v>
      </c>
      <c r="Q1587" s="47" t="str">
        <f t="shared" si="553"/>
        <v>22</v>
      </c>
      <c r="R1587" s="47" t="str">
        <f t="shared" si="554"/>
        <v>0-205400</v>
      </c>
      <c r="S1587" s="339">
        <v>166</v>
      </c>
      <c r="T1587" s="59" t="s">
        <v>120</v>
      </c>
      <c r="U1587" s="326" t="e">
        <f ca="1">_xlfn.XLOOKUP(PAA_4[[#This Row],[ITEM]],[2]Contrato!A:A,[2]Contrato!Q:Q,"",0)</f>
        <v>#NAME?</v>
      </c>
      <c r="V1587" s="47" t="s">
        <v>95</v>
      </c>
      <c r="W1587" s="47" t="s">
        <v>154</v>
      </c>
      <c r="X1587" s="47" t="s">
        <v>154</v>
      </c>
      <c r="Y1587" s="55" t="e">
        <f ca="1">_xlfn.XLOOKUP(PAA_4[[#This Row],[ITEM]],[2]Contrato!A:A,[2]Contrato!B:B,"",0)</f>
        <v>#NAME?</v>
      </c>
      <c r="Z1587" s="47" t="e">
        <f ca="1">_xlfn.XLOOKUP(PAA_4[[#This Row],[ITEM]],[2]Contrato!A:A,[2]Contrato!G:G,"",0)</f>
        <v>#NAME?</v>
      </c>
      <c r="AA1587" s="47" t="e">
        <f ca="1">_xlfn.XLOOKUP(PAA_4[[#This Row],[ITEM]],[2]Contrato!A:A,[2]Contrato!T:T,"",0)</f>
        <v>#NAME?</v>
      </c>
      <c r="AB1587" s="55" t="e">
        <f ca="1">+MAX(PAA_4[[#This Row],[Comprometido Contrato]],PAA_4[[#This Row],[Comprometido Bolsa]])</f>
        <v>#NAME?</v>
      </c>
      <c r="AC1587" s="55" t="str">
        <f t="shared" ca="1" si="555"/>
        <v/>
      </c>
      <c r="AD1587" s="55" t="e">
        <f ca="1">IF(PAA_4[[#This Row],[ESTADO (formulado)]]="NO CONTRATADO",0,MAX(PAA_4[[#This Row],[Pago por Contrato]],PAA_4[[#This Row],[Pago por bolsa]]))</f>
        <v>#NAME?</v>
      </c>
      <c r="AE1587" s="55" t="str">
        <f t="shared" ca="1" si="556"/>
        <v/>
      </c>
      <c r="AF1587" s="47" t="e">
        <f t="shared" ca="1" si="557"/>
        <v>#NAME?</v>
      </c>
      <c r="AG1587" s="47">
        <f t="shared" si="558"/>
        <v>41080101</v>
      </c>
      <c r="AH1587" s="54" t="str">
        <f>IF(Q1587="22",IF(ISNUMBER(SEARCH("econ",PAA_4[[#This Row],[Actividad3]])),"Económico",IF(ISNUMBER(SEARCH("alim",PAA_4[[#This Row],[Actividad3]])),"Alimentación",IF(ISNUMBER(SEARCH("educ",PAA_4[[#This Row],[Actividad3]])),"Educativo","Técnico"))),0)</f>
        <v>Técnico</v>
      </c>
      <c r="AI1587" s="47" t="e" cm="1">
        <f t="array" aca="1" ref="AI1587" ca="1">_xlfn.XLOOKUP(PAA_4[[#This Row],[RCP-RUBRO]],[2]!COMPROMISOS_2024[[#All],[concatenado]],[2]!COMPROMISOS_2024[[#All],[Total pagado]],"",0)</f>
        <v>#NAME?</v>
      </c>
      <c r="AJ1587" s="56" t="e">
        <f ca="1">IF(PAA_4[[#This Row],[BOLSA]]=0,0,SUMIFS([2]!COMPROMISOS_2024[[#All],[Total pagado]],[2]!COMPROMISOS_2024[[#All],[Bolsa]],PAA_4[[#This Row],[BOLSA]],[2]!COMPROMISOS_2024[[#All],[rubro]],PAA_4[[#This Row],[RCP-RUBRO]]))</f>
        <v>#REF!</v>
      </c>
      <c r="AK1587" s="47" t="e" cm="1">
        <f t="array" aca="1" ref="AK1587" ca="1">_xlfn.XLOOKUP(PAA_4[[#This Row],[RCP-RUBRO]],[2]!COMPROMISOS_2024[[#All],[concatenado]],[2]!COMPROMISOS_2024[[#All],[Total Comprometido]],"",0)</f>
        <v>#NAME?</v>
      </c>
      <c r="AL1587" s="47" t="e">
        <f ca="1">IF(PAA_4[[#This Row],[BOLSA]]=0,0,SUMIFS([2]!COMPROMISOS_2024[[#All],[Total Comprometido]],[2]!COMPROMISOS_2024[[#All],[Bolsa]],PAA_4[[#This Row],[BOLSA]],[2]!COMPROMISOS_2024[[#All],[concatenado]],PAA_4[[#This Row],[RCP-RUBRO]]))</f>
        <v>#REF!</v>
      </c>
    </row>
    <row r="1588" spans="1:38" s="19" customFormat="1" ht="31.5" customHeight="1">
      <c r="A1588" s="47">
        <v>822</v>
      </c>
      <c r="B1588" s="47">
        <v>80111600</v>
      </c>
      <c r="C1588" s="47" t="str">
        <f>VLOOKUP(PAA_4[[#This Row],[PROYECTO (formulado)2]],[2]PROYECTOS!$G$1:$L$32,6,0)</f>
        <v>SUBGERENCIA DE ALTOS LOGROS Y DEPORTE ASOCIADO</v>
      </c>
      <c r="D1588" s="47" t="str">
        <f>+IF(PAA_4[[#This Row],[UNIDAD DE CONTRATACION (formulado)]]="Subgerencia Administrativa y Financiera","FUNCIONAMIENTO","INVERSIÓN")</f>
        <v>INVERSIÓN</v>
      </c>
      <c r="E1588" s="48" t="str">
        <f>VLOOKUP(Q1588,[2]PROYECTOS!$G$1:$K$32,5,0)</f>
        <v>APOYO_TÉCNICO_Y_PSICOSOCIAL_A_LOS_DEPORTISTAS_DE_ANTIOQUIA</v>
      </c>
      <c r="F1588" s="48">
        <f>VLOOKUP(E1588,[2]PROYECTOS!$K$1:$M$32,3,0)</f>
        <v>2021003050069</v>
      </c>
      <c r="G1588" s="49" t="s">
        <v>239</v>
      </c>
      <c r="H1588" s="49" t="str">
        <f>VLOOKUP(Q1588,[2]PROYECTOS!$V$1:$W$32,2,0)</f>
        <v>050069</v>
      </c>
      <c r="I1588" s="78">
        <v>0</v>
      </c>
      <c r="J1588" s="51" t="s">
        <v>42</v>
      </c>
      <c r="K1588" s="47" t="str">
        <f t="shared" ca="1" si="552"/>
        <v>CONTRATADO</v>
      </c>
      <c r="L1588" s="47" t="s">
        <v>147</v>
      </c>
      <c r="M1588" s="47" t="s">
        <v>1297</v>
      </c>
      <c r="N1588" s="52" t="s">
        <v>240</v>
      </c>
      <c r="O1588" s="51" t="e">
        <f>VLOOKUP(N1588,[2]!RUBROS[#All],3,0)</f>
        <v>#REF!</v>
      </c>
      <c r="P1588" s="53" t="e">
        <f>VLOOKUP(N1588,[2]!RUBROS[#All],2,0)</f>
        <v>#REF!</v>
      </c>
      <c r="Q1588" s="47" t="str">
        <f t="shared" si="553"/>
        <v>22</v>
      </c>
      <c r="R1588" s="47" t="str">
        <f t="shared" si="554"/>
        <v>0-205400</v>
      </c>
      <c r="S1588" s="339">
        <v>166</v>
      </c>
      <c r="T1588" s="59" t="s">
        <v>120</v>
      </c>
      <c r="U1588" s="326" t="e">
        <f ca="1">_xlfn.XLOOKUP(PAA_4[[#This Row],[ITEM]],[2]Contrato!A:A,[2]Contrato!Q:Q,"",0)</f>
        <v>#NAME?</v>
      </c>
      <c r="V1588" s="47" t="s">
        <v>95</v>
      </c>
      <c r="W1588" s="47" t="s">
        <v>154</v>
      </c>
      <c r="X1588" s="47" t="s">
        <v>154</v>
      </c>
      <c r="Y1588" s="55" t="e">
        <f ca="1">_xlfn.XLOOKUP(PAA_4[[#This Row],[ITEM]],[2]Contrato!A:A,[2]Contrato!B:B,"",0)</f>
        <v>#NAME?</v>
      </c>
      <c r="Z1588" s="47" t="e">
        <f ca="1">_xlfn.XLOOKUP(PAA_4[[#This Row],[ITEM]],[2]Contrato!A:A,[2]Contrato!G:G,"",0)</f>
        <v>#NAME?</v>
      </c>
      <c r="AA1588" s="47" t="e">
        <f ca="1">_xlfn.XLOOKUP(PAA_4[[#This Row],[ITEM]],[2]Contrato!A:A,[2]Contrato!T:T,"",0)</f>
        <v>#NAME?</v>
      </c>
      <c r="AB1588" s="55" t="e">
        <f ca="1">+MAX(PAA_4[[#This Row],[Comprometido Contrato]],PAA_4[[#This Row],[Comprometido Bolsa]])</f>
        <v>#NAME?</v>
      </c>
      <c r="AC1588" s="55" t="str">
        <f t="shared" ca="1" si="555"/>
        <v/>
      </c>
      <c r="AD1588" s="55" t="e">
        <f ca="1">IF(PAA_4[[#This Row],[ESTADO (formulado)]]="NO CONTRATADO",0,MAX(PAA_4[[#This Row],[Pago por Contrato]],PAA_4[[#This Row],[Pago por bolsa]]))</f>
        <v>#NAME?</v>
      </c>
      <c r="AE1588" s="55" t="str">
        <f t="shared" ca="1" si="556"/>
        <v/>
      </c>
      <c r="AF1588" s="47" t="e">
        <f t="shared" ca="1" si="557"/>
        <v>#NAME?</v>
      </c>
      <c r="AG1588" s="47">
        <f t="shared" si="558"/>
        <v>41080101</v>
      </c>
      <c r="AH1588" s="54" t="str">
        <f>IF(Q1588="22",IF(ISNUMBER(SEARCH("econ",PAA_4[[#This Row],[Actividad3]])),"Económico",IF(ISNUMBER(SEARCH("alim",PAA_4[[#This Row],[Actividad3]])),"Alimentación",IF(ISNUMBER(SEARCH("educ",PAA_4[[#This Row],[Actividad3]])),"Educativo","Técnico"))),0)</f>
        <v>Técnico</v>
      </c>
      <c r="AI1588" s="47" t="e" cm="1">
        <f t="array" aca="1" ref="AI1588" ca="1">_xlfn.XLOOKUP(PAA_4[[#This Row],[RCP-RUBRO]],[2]!COMPROMISOS_2024[[#All],[concatenado]],[2]!COMPROMISOS_2024[[#All],[Total pagado]],"",0)</f>
        <v>#NAME?</v>
      </c>
      <c r="AJ1588" s="56" t="e">
        <f ca="1">IF(PAA_4[[#This Row],[BOLSA]]=0,0,SUMIFS([2]!COMPROMISOS_2024[[#All],[Total pagado]],[2]!COMPROMISOS_2024[[#All],[Bolsa]],PAA_4[[#This Row],[BOLSA]],[2]!COMPROMISOS_2024[[#All],[rubro]],PAA_4[[#This Row],[RCP-RUBRO]]))</f>
        <v>#REF!</v>
      </c>
      <c r="AK1588" s="47" t="e" cm="1">
        <f t="array" aca="1" ref="AK1588" ca="1">_xlfn.XLOOKUP(PAA_4[[#This Row],[RCP-RUBRO]],[2]!COMPROMISOS_2024[[#All],[concatenado]],[2]!COMPROMISOS_2024[[#All],[Total Comprometido]],"",0)</f>
        <v>#NAME?</v>
      </c>
      <c r="AL1588" s="47" t="e">
        <f ca="1">IF(PAA_4[[#This Row],[BOLSA]]=0,0,SUMIFS([2]!COMPROMISOS_2024[[#All],[Total Comprometido]],[2]!COMPROMISOS_2024[[#All],[Bolsa]],PAA_4[[#This Row],[BOLSA]],[2]!COMPROMISOS_2024[[#All],[concatenado]],PAA_4[[#This Row],[RCP-RUBRO]]))</f>
        <v>#REF!</v>
      </c>
    </row>
    <row r="1589" spans="1:38" s="19" customFormat="1" ht="31.5" customHeight="1">
      <c r="A1589" s="47" t="s">
        <v>1964</v>
      </c>
      <c r="B1589" s="47">
        <v>80101600</v>
      </c>
      <c r="C1589" s="47" t="str">
        <f>VLOOKUP(PAA_4[[#This Row],[PROYECTO (formulado)2]],[2]PROYECTOS!$G$1:$L$32,6,0)</f>
        <v>SUBGERENCIA DE ALTOS LOGROS Y DEPORTE ASOCIADO</v>
      </c>
      <c r="D1589" s="47" t="str">
        <f>+IF(PAA_4[[#This Row],[UNIDAD DE CONTRATACION (formulado)]]="Subgerencia Administrativa y Financiera","FUNCIONAMIENTO","INVERSIÓN")</f>
        <v>INVERSIÓN</v>
      </c>
      <c r="E1589" s="48" t="str">
        <f>VLOOKUP(Q1589,[2]PROYECTOS!$G$1:$K$32,5,0)</f>
        <v>FORTALECIMIENTO_DEL_PROGRAMA_DE_ALTOS_LOGROS_Y_LIDERAZGO_DEPORTIVO_EN_EL_DEPARTAMENTO_DE_ANTIOQUIA</v>
      </c>
      <c r="F1589" s="48">
        <f>VLOOKUP(E1589,[2]PROYECTOS!$K$1:$M$32,3,0)</f>
        <v>2020003050021</v>
      </c>
      <c r="G1589" s="49" t="s">
        <v>1965</v>
      </c>
      <c r="H1589" s="49" t="str">
        <f>VLOOKUP(Q1589,[2]PROYECTOS!$V$1:$W$32,2,0)</f>
        <v>050061</v>
      </c>
      <c r="I1589" s="78">
        <v>79950000</v>
      </c>
      <c r="J1589" s="51" t="s">
        <v>1966</v>
      </c>
      <c r="K1589" s="47" t="str">
        <f t="shared" ca="1" si="552"/>
        <v>CONTRATADO</v>
      </c>
      <c r="L1589" s="351" t="s">
        <v>94</v>
      </c>
      <c r="M1589" s="47" t="s">
        <v>161</v>
      </c>
      <c r="N1589" s="52" t="s">
        <v>278</v>
      </c>
      <c r="O1589" s="51" t="e">
        <f>VLOOKUP(N1589,[2]!RUBROS[#All],3,0)</f>
        <v>#REF!</v>
      </c>
      <c r="P1589" s="53" t="e">
        <f>VLOOKUP(N1589,[2]!RUBROS[#All],2,0)</f>
        <v>#REF!</v>
      </c>
      <c r="Q1589" s="47" t="str">
        <f t="shared" si="553"/>
        <v>20</v>
      </c>
      <c r="R1589" s="47" t="str">
        <f t="shared" si="554"/>
        <v>4-101124</v>
      </c>
      <c r="S1589" s="342">
        <v>170</v>
      </c>
      <c r="T1589" s="59" t="s">
        <v>120</v>
      </c>
      <c r="U1589" s="326" t="e">
        <f ca="1">_xlfn.XLOOKUP(PAA_4[[#This Row],[ITEM]],[2]Contrato!A:A,[2]Contrato!Q:Q,"",0)</f>
        <v>#NAME?</v>
      </c>
      <c r="V1589" s="47" t="s">
        <v>47</v>
      </c>
      <c r="W1589" s="343" t="s">
        <v>154</v>
      </c>
      <c r="X1589" s="343" t="s">
        <v>154</v>
      </c>
      <c r="Y1589" s="55" t="e">
        <f ca="1">_xlfn.XLOOKUP(PAA_4[[#This Row],[ITEM]],[2]Contrato!A:A,[2]Contrato!B:B,"",0)</f>
        <v>#NAME?</v>
      </c>
      <c r="Z1589" s="47" t="e">
        <f ca="1">_xlfn.XLOOKUP(PAA_4[[#This Row],[ITEM]],[2]Contrato!A:A,[2]Contrato!G:G,"",0)</f>
        <v>#NAME?</v>
      </c>
      <c r="AA1589" s="47" t="e">
        <f ca="1">_xlfn.XLOOKUP(PAA_4[[#This Row],[ITEM]],[2]Contrato!A:A,[2]Contrato!T:T,"",0)</f>
        <v>#NAME?</v>
      </c>
      <c r="AB1589" s="55" t="e">
        <f ca="1">+MAX(PAA_4[[#This Row],[Comprometido Contrato]],PAA_4[[#This Row],[Comprometido Bolsa]])</f>
        <v>#NAME?</v>
      </c>
      <c r="AC1589" s="55" t="str">
        <f t="shared" ca="1" si="555"/>
        <v/>
      </c>
      <c r="AD1589" s="55" t="e">
        <f ca="1">IF(PAA_4[[#This Row],[ESTADO (formulado)]]="NO CONTRATADO",0,MAX(PAA_4[[#This Row],[Pago por Contrato]],PAA_4[[#This Row],[Pago por bolsa]]))</f>
        <v>#NAME?</v>
      </c>
      <c r="AE1589" s="55" t="str">
        <f t="shared" ca="1" si="556"/>
        <v/>
      </c>
      <c r="AF1589" s="47" t="e">
        <f t="shared" ca="1" si="557"/>
        <v>#NAME?</v>
      </c>
      <c r="AG1589" s="47">
        <f t="shared" si="558"/>
        <v>41080111</v>
      </c>
      <c r="AH1589" s="54">
        <f>IF(Q1589="22",IF(ISNUMBER(SEARCH("econ",PAA_4[[#This Row],[Actividad3]])),"Económico",IF(ISNUMBER(SEARCH("alim",PAA_4[[#This Row],[Actividad3]])),"Alimentación",IF(ISNUMBER(SEARCH("educ",PAA_4[[#This Row],[Actividad3]])),"Educativo","Técnico"))),0)</f>
        <v>0</v>
      </c>
      <c r="AI1589" s="47" t="e" cm="1">
        <f t="array" aca="1" ref="AI1589" ca="1">_xlfn.XLOOKUP(PAA_4[[#This Row],[RCP-RUBRO]],[2]!COMPROMISOS_2024[[#All],[concatenado]],[2]!COMPROMISOS_2024[[#All],[Total pagado]],"",0)</f>
        <v>#NAME?</v>
      </c>
      <c r="AJ1589" s="56">
        <f>IF(PAA_4[[#This Row],[BOLSA]]=0,0,SUMIFS([2]!COMPROMISOS_2024[[#All],[Total pagado]],[2]!COMPROMISOS_2024[[#All],[Bolsa]],PAA_4[[#This Row],[BOLSA]],[2]!COMPROMISOS_2024[[#All],[rubro]],PAA_4[[#This Row],[RCP-RUBRO]]))</f>
        <v>0</v>
      </c>
      <c r="AK1589" s="47" t="e" cm="1">
        <f t="array" aca="1" ref="AK1589" ca="1">_xlfn.XLOOKUP(PAA_4[[#This Row],[RCP-RUBRO]],[2]!COMPROMISOS_2024[[#All],[concatenado]],[2]!COMPROMISOS_2024[[#All],[Total Comprometido]],"",0)</f>
        <v>#NAME?</v>
      </c>
      <c r="AL1589" s="47">
        <f>IF(PAA_4[[#This Row],[BOLSA]]=0,0,SUMIFS([2]!COMPROMISOS_2024[[#All],[Total Comprometido]],[2]!COMPROMISOS_2024[[#All],[Bolsa]],PAA_4[[#This Row],[BOLSA]],[2]!COMPROMISOS_2024[[#All],[concatenado]],PAA_4[[#This Row],[RCP-RUBRO]]))</f>
        <v>0</v>
      </c>
    </row>
    <row r="1590" spans="1:38" s="19" customFormat="1" ht="31.5" customHeight="1">
      <c r="A1590" s="47">
        <v>834</v>
      </c>
      <c r="B1590" s="47">
        <v>80111600</v>
      </c>
      <c r="C1590" s="47" t="str">
        <f>VLOOKUP(PAA_4[[#This Row],[PROYECTO (formulado)2]],[2]PROYECTOS!$G$1:$L$32,6,0)</f>
        <v>SUBGERENCIA DE ALTOS LOGROS Y DEPORTE ASOCIADO</v>
      </c>
      <c r="D1590" s="47" t="str">
        <f>+IF(PAA_4[[#This Row],[UNIDAD DE CONTRATACION (formulado)]]="Subgerencia Administrativa y Financiera","FUNCIONAMIENTO","INVERSIÓN")</f>
        <v>INVERSIÓN</v>
      </c>
      <c r="E1590" s="48" t="str">
        <f>VLOOKUP(Q1590,[2]PROYECTOS!$G$1:$K$32,5,0)</f>
        <v>APOYO_TÉCNICO_Y_PSICOSOCIAL_A_LOS_DEPORTISTAS_DE_ANTIOQUIA</v>
      </c>
      <c r="F1590" s="48">
        <f>VLOOKUP(E1590,[2]PROYECTOS!$K$1:$M$32,3,0)</f>
        <v>2021003050069</v>
      </c>
      <c r="G1590" s="49" t="s">
        <v>239</v>
      </c>
      <c r="H1590" s="49" t="str">
        <f>VLOOKUP(Q1590,[2]PROYECTOS!$V$1:$W$32,2,0)</f>
        <v>050069</v>
      </c>
      <c r="I1590" s="78">
        <f>26180992-490894</f>
        <v>25690098</v>
      </c>
      <c r="J1590" s="51" t="s">
        <v>1967</v>
      </c>
      <c r="K1590" s="47" t="str">
        <f t="shared" ca="1" si="552"/>
        <v>CONTRATADO</v>
      </c>
      <c r="L1590" s="351" t="s">
        <v>94</v>
      </c>
      <c r="M1590" s="47" t="s">
        <v>1297</v>
      </c>
      <c r="N1590" s="52" t="s">
        <v>240</v>
      </c>
      <c r="O1590" s="51" t="e">
        <f>VLOOKUP(N1590,[2]!RUBROS[#All],3,0)</f>
        <v>#REF!</v>
      </c>
      <c r="P1590" s="53" t="e">
        <f>VLOOKUP(N1590,[2]!RUBROS[#All],2,0)</f>
        <v>#REF!</v>
      </c>
      <c r="Q1590" s="47" t="str">
        <f t="shared" si="553"/>
        <v>22</v>
      </c>
      <c r="R1590" s="47" t="str">
        <f t="shared" si="554"/>
        <v>0-205400</v>
      </c>
      <c r="S1590" s="342">
        <v>160</v>
      </c>
      <c r="T1590" s="59" t="s">
        <v>120</v>
      </c>
      <c r="U1590" s="326" t="e">
        <f ca="1">_xlfn.XLOOKUP(PAA_4[[#This Row],[ITEM]],[2]Contrato!A:A,[2]Contrato!Q:Q,"",0)</f>
        <v>#NAME?</v>
      </c>
      <c r="V1590" s="47" t="s">
        <v>47</v>
      </c>
      <c r="W1590" s="343" t="s">
        <v>154</v>
      </c>
      <c r="X1590" s="343" t="s">
        <v>154</v>
      </c>
      <c r="Y1590" s="55" t="e">
        <f ca="1">_xlfn.XLOOKUP(PAA_4[[#This Row],[ITEM]],[2]Contrato!A:A,[2]Contrato!B:B,"",0)</f>
        <v>#NAME?</v>
      </c>
      <c r="Z1590" s="47" t="e">
        <f ca="1">_xlfn.XLOOKUP(PAA_4[[#This Row],[ITEM]],[2]Contrato!A:A,[2]Contrato!G:G,"",0)</f>
        <v>#NAME?</v>
      </c>
      <c r="AA1590" s="47" t="e">
        <f ca="1">_xlfn.XLOOKUP(PAA_4[[#This Row],[ITEM]],[2]Contrato!A:A,[2]Contrato!T:T,"",0)</f>
        <v>#NAME?</v>
      </c>
      <c r="AB1590" s="55" t="e">
        <f ca="1">+MAX(PAA_4[[#This Row],[Comprometido Contrato]],PAA_4[[#This Row],[Comprometido Bolsa]])</f>
        <v>#NAME?</v>
      </c>
      <c r="AC1590" s="55" t="str">
        <f t="shared" ca="1" si="555"/>
        <v/>
      </c>
      <c r="AD1590" s="55" t="e">
        <f ca="1">IF(PAA_4[[#This Row],[ESTADO (formulado)]]="NO CONTRATADO",0,MAX(PAA_4[[#This Row],[Pago por Contrato]],PAA_4[[#This Row],[Pago por bolsa]]))</f>
        <v>#NAME?</v>
      </c>
      <c r="AE1590" s="55" t="str">
        <f t="shared" ca="1" si="556"/>
        <v/>
      </c>
      <c r="AF1590" s="47" t="e">
        <f t="shared" ca="1" si="557"/>
        <v>#NAME?</v>
      </c>
      <c r="AG1590" s="47">
        <f t="shared" si="558"/>
        <v>41080101</v>
      </c>
      <c r="AH1590" s="54" t="str">
        <f>IF(Q1590="22",IF(ISNUMBER(SEARCH("econ",PAA_4[[#This Row],[Actividad3]])),"Económico",IF(ISNUMBER(SEARCH("alim",PAA_4[[#This Row],[Actividad3]])),"Alimentación",IF(ISNUMBER(SEARCH("educ",PAA_4[[#This Row],[Actividad3]])),"Educativo","Técnico"))),0)</f>
        <v>Técnico</v>
      </c>
      <c r="AI1590" s="47" t="e" cm="1">
        <f t="array" aca="1" ref="AI1590" ca="1">_xlfn.XLOOKUP(PAA_4[[#This Row],[RCP-RUBRO]],[2]!COMPROMISOS_2024[[#All],[concatenado]],[2]!COMPROMISOS_2024[[#All],[Total pagado]],"",0)</f>
        <v>#NAME?</v>
      </c>
      <c r="AJ1590" s="56" t="e">
        <f ca="1">IF(PAA_4[[#This Row],[BOLSA]]=0,0,SUMIFS([2]!COMPROMISOS_2024[[#All],[Total pagado]],[2]!COMPROMISOS_2024[[#All],[Bolsa]],PAA_4[[#This Row],[BOLSA]],[2]!COMPROMISOS_2024[[#All],[rubro]],PAA_4[[#This Row],[RCP-RUBRO]]))</f>
        <v>#REF!</v>
      </c>
      <c r="AK1590" s="47" t="e" cm="1">
        <f t="array" aca="1" ref="AK1590" ca="1">_xlfn.XLOOKUP(PAA_4[[#This Row],[RCP-RUBRO]],[2]!COMPROMISOS_2024[[#All],[concatenado]],[2]!COMPROMISOS_2024[[#All],[Total Comprometido]],"",0)</f>
        <v>#NAME?</v>
      </c>
      <c r="AL1590" s="47" t="e">
        <f ca="1">IF(PAA_4[[#This Row],[BOLSA]]=0,0,SUMIFS([2]!COMPROMISOS_2024[[#All],[Total Comprometido]],[2]!COMPROMISOS_2024[[#All],[Bolsa]],PAA_4[[#This Row],[BOLSA]],[2]!COMPROMISOS_2024[[#All],[concatenado]],PAA_4[[#This Row],[RCP-RUBRO]]))</f>
        <v>#REF!</v>
      </c>
    </row>
    <row r="1591" spans="1:38" s="19" customFormat="1" ht="31.5" customHeight="1">
      <c r="A1591" s="47">
        <v>835</v>
      </c>
      <c r="B1591" s="47">
        <v>80111600</v>
      </c>
      <c r="C1591" s="47" t="str">
        <f>VLOOKUP(PAA_4[[#This Row],[PROYECTO (formulado)2]],[2]PROYECTOS!$G$1:$L$32,6,0)</f>
        <v>SUBGERENCIA DE ALTOS LOGROS Y DEPORTE ASOCIADO</v>
      </c>
      <c r="D1591" s="47" t="str">
        <f>+IF(PAA_4[[#This Row],[UNIDAD DE CONTRATACION (formulado)]]="Subgerencia Administrativa y Financiera","FUNCIONAMIENTO","INVERSIÓN")</f>
        <v>INVERSIÓN</v>
      </c>
      <c r="E1591" s="48" t="str">
        <f>VLOOKUP(Q1591,[2]PROYECTOS!$G$1:$K$32,5,0)</f>
        <v>APOYO_TÉCNICO_Y_PSICOSOCIAL_A_LOS_DEPORTISTAS_DE_ANTIOQUIA</v>
      </c>
      <c r="F1591" s="48">
        <f>VLOOKUP(E1591,[2]PROYECTOS!$K$1:$M$32,3,0)</f>
        <v>2021003050069</v>
      </c>
      <c r="G1591" s="49" t="s">
        <v>239</v>
      </c>
      <c r="H1591" s="49" t="str">
        <f>VLOOKUP(Q1591,[2]PROYECTOS!$V$1:$W$32,2,0)</f>
        <v>050069</v>
      </c>
      <c r="I1591" s="78">
        <f>21079373-1976193-1580954</f>
        <v>17522226</v>
      </c>
      <c r="J1591" s="51" t="s">
        <v>1968</v>
      </c>
      <c r="K1591" s="47" t="str">
        <f t="shared" ca="1" si="552"/>
        <v>CONTRATADO</v>
      </c>
      <c r="L1591" s="351" t="s">
        <v>94</v>
      </c>
      <c r="M1591" s="47" t="s">
        <v>1297</v>
      </c>
      <c r="N1591" s="52" t="s">
        <v>240</v>
      </c>
      <c r="O1591" s="51" t="e">
        <f>VLOOKUP(N1591,[2]!RUBROS[#All],3,0)</f>
        <v>#REF!</v>
      </c>
      <c r="P1591" s="53" t="e">
        <f>VLOOKUP(N1591,[2]!RUBROS[#All],2,0)</f>
        <v>#REF!</v>
      </c>
      <c r="Q1591" s="47" t="str">
        <f t="shared" si="553"/>
        <v>22</v>
      </c>
      <c r="R1591" s="47" t="str">
        <f t="shared" si="554"/>
        <v>0-205400</v>
      </c>
      <c r="S1591" s="342">
        <v>160</v>
      </c>
      <c r="T1591" s="59" t="s">
        <v>120</v>
      </c>
      <c r="U1591" s="326" t="e">
        <f ca="1">_xlfn.XLOOKUP(PAA_4[[#This Row],[ITEM]],[2]Contrato!A:A,[2]Contrato!Q:Q,"",0)</f>
        <v>#NAME?</v>
      </c>
      <c r="V1591" s="47" t="s">
        <v>47</v>
      </c>
      <c r="W1591" s="343" t="s">
        <v>154</v>
      </c>
      <c r="X1591" s="343" t="s">
        <v>154</v>
      </c>
      <c r="Y1591" s="55" t="e">
        <f ca="1">_xlfn.XLOOKUP(PAA_4[[#This Row],[ITEM]],[2]Contrato!A:A,[2]Contrato!B:B,"",0)</f>
        <v>#NAME?</v>
      </c>
      <c r="Z1591" s="47" t="e">
        <f ca="1">_xlfn.XLOOKUP(PAA_4[[#This Row],[ITEM]],[2]Contrato!A:A,[2]Contrato!G:G,"",0)</f>
        <v>#NAME?</v>
      </c>
      <c r="AA1591" s="47" t="e">
        <f ca="1">_xlfn.XLOOKUP(PAA_4[[#This Row],[ITEM]],[2]Contrato!A:A,[2]Contrato!T:T,"",0)</f>
        <v>#NAME?</v>
      </c>
      <c r="AB1591" s="55" t="e">
        <f ca="1">+MAX(PAA_4[[#This Row],[Comprometido Contrato]],PAA_4[[#This Row],[Comprometido Bolsa]])</f>
        <v>#NAME?</v>
      </c>
      <c r="AC1591" s="55" t="str">
        <f t="shared" ca="1" si="555"/>
        <v/>
      </c>
      <c r="AD1591" s="55" t="e">
        <f ca="1">IF(PAA_4[[#This Row],[ESTADO (formulado)]]="NO CONTRATADO",0,MAX(PAA_4[[#This Row],[Pago por Contrato]],PAA_4[[#This Row],[Pago por bolsa]]))</f>
        <v>#NAME?</v>
      </c>
      <c r="AE1591" s="55" t="str">
        <f t="shared" ca="1" si="556"/>
        <v/>
      </c>
      <c r="AF1591" s="47" t="e">
        <f t="shared" ca="1" si="557"/>
        <v>#NAME?</v>
      </c>
      <c r="AG1591" s="47">
        <f t="shared" si="558"/>
        <v>41080101</v>
      </c>
      <c r="AH1591" s="54" t="str">
        <f>IF(Q1591="22",IF(ISNUMBER(SEARCH("econ",PAA_4[[#This Row],[Actividad3]])),"Económico",IF(ISNUMBER(SEARCH("alim",PAA_4[[#This Row],[Actividad3]])),"Alimentación",IF(ISNUMBER(SEARCH("educ",PAA_4[[#This Row],[Actividad3]])),"Educativo","Técnico"))),0)</f>
        <v>Técnico</v>
      </c>
      <c r="AI1591" s="47" t="e" cm="1">
        <f t="array" aca="1" ref="AI1591" ca="1">_xlfn.XLOOKUP(PAA_4[[#This Row],[RCP-RUBRO]],[2]!COMPROMISOS_2024[[#All],[concatenado]],[2]!COMPROMISOS_2024[[#All],[Total pagado]],"",0)</f>
        <v>#NAME?</v>
      </c>
      <c r="AJ1591" s="56" t="e">
        <f ca="1">IF(PAA_4[[#This Row],[BOLSA]]=0,0,SUMIFS([2]!COMPROMISOS_2024[[#All],[Total pagado]],[2]!COMPROMISOS_2024[[#All],[Bolsa]],PAA_4[[#This Row],[BOLSA]],[2]!COMPROMISOS_2024[[#All],[rubro]],PAA_4[[#This Row],[RCP-RUBRO]]))</f>
        <v>#REF!</v>
      </c>
      <c r="AK1591" s="47" t="e" cm="1">
        <f t="array" aca="1" ref="AK1591" ca="1">_xlfn.XLOOKUP(PAA_4[[#This Row],[RCP-RUBRO]],[2]!COMPROMISOS_2024[[#All],[concatenado]],[2]!COMPROMISOS_2024[[#All],[Total Comprometido]],"",0)</f>
        <v>#NAME?</v>
      </c>
      <c r="AL1591" s="47" t="e">
        <f ca="1">IF(PAA_4[[#This Row],[BOLSA]]=0,0,SUMIFS([2]!COMPROMISOS_2024[[#All],[Total Comprometido]],[2]!COMPROMISOS_2024[[#All],[Bolsa]],PAA_4[[#This Row],[BOLSA]],[2]!COMPROMISOS_2024[[#All],[concatenado]],PAA_4[[#This Row],[RCP-RUBRO]]))</f>
        <v>#REF!</v>
      </c>
    </row>
    <row r="1592" spans="1:38" s="19" customFormat="1" ht="31.5" customHeight="1">
      <c r="A1592" s="47">
        <v>836</v>
      </c>
      <c r="B1592" s="47">
        <v>80111600</v>
      </c>
      <c r="C1592" s="47" t="str">
        <f>VLOOKUP(PAA_4[[#This Row],[PROYECTO (formulado)2]],[2]PROYECTOS!$G$1:$L$32,6,0)</f>
        <v>SUBGERENCIA DE ALTOS LOGROS Y DEPORTE ASOCIADO</v>
      </c>
      <c r="D1592" s="47" t="str">
        <f>+IF(PAA_4[[#This Row],[UNIDAD DE CONTRATACION (formulado)]]="Subgerencia Administrativa y Financiera","FUNCIONAMIENTO","INVERSIÓN")</f>
        <v>INVERSIÓN</v>
      </c>
      <c r="E1592" s="48" t="str">
        <f>VLOOKUP(Q1592,[2]PROYECTOS!$G$1:$K$32,5,0)</f>
        <v>APOYO_TÉCNICO_Y_PSICOSOCIAL_A_LOS_DEPORTISTAS_DE_ANTIOQUIA</v>
      </c>
      <c r="F1592" s="48">
        <f>VLOOKUP(E1592,[2]PROYECTOS!$K$1:$M$32,3,0)</f>
        <v>2021003050069</v>
      </c>
      <c r="G1592" s="49" t="s">
        <v>239</v>
      </c>
      <c r="H1592" s="49" t="str">
        <f>VLOOKUP(Q1592,[2]PROYECTOS!$V$1:$W$32,2,0)</f>
        <v>050069</v>
      </c>
      <c r="I1592" s="78">
        <f>21079373-2-395238</f>
        <v>20684133</v>
      </c>
      <c r="J1592" s="51" t="s">
        <v>1961</v>
      </c>
      <c r="K1592" s="47" t="str">
        <f t="shared" ca="1" si="552"/>
        <v>CONTRATADO</v>
      </c>
      <c r="L1592" s="351" t="s">
        <v>94</v>
      </c>
      <c r="M1592" s="47" t="s">
        <v>1297</v>
      </c>
      <c r="N1592" s="52" t="s">
        <v>240</v>
      </c>
      <c r="O1592" s="51" t="e">
        <f>VLOOKUP(N1592,[2]!RUBROS[#All],3,0)</f>
        <v>#REF!</v>
      </c>
      <c r="P1592" s="53" t="e">
        <f>VLOOKUP(N1592,[2]!RUBROS[#All],2,0)</f>
        <v>#REF!</v>
      </c>
      <c r="Q1592" s="47" t="str">
        <f t="shared" si="553"/>
        <v>22</v>
      </c>
      <c r="R1592" s="47" t="str">
        <f t="shared" si="554"/>
        <v>0-205400</v>
      </c>
      <c r="S1592" s="342">
        <v>160</v>
      </c>
      <c r="T1592" s="59" t="s">
        <v>120</v>
      </c>
      <c r="U1592" s="326" t="e">
        <f ca="1">_xlfn.XLOOKUP(PAA_4[[#This Row],[ITEM]],[2]Contrato!A:A,[2]Contrato!Q:Q,"",0)</f>
        <v>#NAME?</v>
      </c>
      <c r="V1592" s="47" t="s">
        <v>47</v>
      </c>
      <c r="W1592" s="343" t="s">
        <v>154</v>
      </c>
      <c r="X1592" s="343" t="s">
        <v>154</v>
      </c>
      <c r="Y1592" s="55" t="e">
        <f ca="1">_xlfn.XLOOKUP(PAA_4[[#This Row],[ITEM]],[2]Contrato!A:A,[2]Contrato!B:B,"",0)</f>
        <v>#NAME?</v>
      </c>
      <c r="Z1592" s="47" t="e">
        <f ca="1">_xlfn.XLOOKUP(PAA_4[[#This Row],[ITEM]],[2]Contrato!A:A,[2]Contrato!G:G,"",0)</f>
        <v>#NAME?</v>
      </c>
      <c r="AA1592" s="47" t="e">
        <f ca="1">_xlfn.XLOOKUP(PAA_4[[#This Row],[ITEM]],[2]Contrato!A:A,[2]Contrato!T:T,"",0)</f>
        <v>#NAME?</v>
      </c>
      <c r="AB1592" s="55" t="e">
        <f ca="1">+MAX(PAA_4[[#This Row],[Comprometido Contrato]],PAA_4[[#This Row],[Comprometido Bolsa]])</f>
        <v>#NAME?</v>
      </c>
      <c r="AC1592" s="55" t="str">
        <f t="shared" ca="1" si="555"/>
        <v/>
      </c>
      <c r="AD1592" s="55" t="e">
        <f ca="1">IF(PAA_4[[#This Row],[ESTADO (formulado)]]="NO CONTRATADO",0,MAX(PAA_4[[#This Row],[Pago por Contrato]],PAA_4[[#This Row],[Pago por bolsa]]))</f>
        <v>#NAME?</v>
      </c>
      <c r="AE1592" s="55" t="str">
        <f t="shared" ca="1" si="556"/>
        <v/>
      </c>
      <c r="AF1592" s="47" t="e">
        <f t="shared" ca="1" si="557"/>
        <v>#NAME?</v>
      </c>
      <c r="AG1592" s="47">
        <f t="shared" si="558"/>
        <v>41080101</v>
      </c>
      <c r="AH1592" s="54" t="str">
        <f>IF(Q1592="22",IF(ISNUMBER(SEARCH("econ",PAA_4[[#This Row],[Actividad3]])),"Económico",IF(ISNUMBER(SEARCH("alim",PAA_4[[#This Row],[Actividad3]])),"Alimentación",IF(ISNUMBER(SEARCH("educ",PAA_4[[#This Row],[Actividad3]])),"Educativo","Técnico"))),0)</f>
        <v>Técnico</v>
      </c>
      <c r="AI1592" s="47" t="e" cm="1">
        <f t="array" aca="1" ref="AI1592" ca="1">_xlfn.XLOOKUP(PAA_4[[#This Row],[RCP-RUBRO]],[2]!COMPROMISOS_2024[[#All],[concatenado]],[2]!COMPROMISOS_2024[[#All],[Total pagado]],"",0)</f>
        <v>#NAME?</v>
      </c>
      <c r="AJ1592" s="56" t="e">
        <f ca="1">IF(PAA_4[[#This Row],[BOLSA]]=0,0,SUMIFS([2]!COMPROMISOS_2024[[#All],[Total pagado]],[2]!COMPROMISOS_2024[[#All],[Bolsa]],PAA_4[[#This Row],[BOLSA]],[2]!COMPROMISOS_2024[[#All],[rubro]],PAA_4[[#This Row],[RCP-RUBRO]]))</f>
        <v>#REF!</v>
      </c>
      <c r="AK1592" s="47" t="e" cm="1">
        <f t="array" aca="1" ref="AK1592" ca="1">_xlfn.XLOOKUP(PAA_4[[#This Row],[RCP-RUBRO]],[2]!COMPROMISOS_2024[[#All],[concatenado]],[2]!COMPROMISOS_2024[[#All],[Total Comprometido]],"",0)</f>
        <v>#NAME?</v>
      </c>
      <c r="AL1592" s="47" t="e">
        <f ca="1">IF(PAA_4[[#This Row],[BOLSA]]=0,0,SUMIFS([2]!COMPROMISOS_2024[[#All],[Total Comprometido]],[2]!COMPROMISOS_2024[[#All],[Bolsa]],PAA_4[[#This Row],[BOLSA]],[2]!COMPROMISOS_2024[[#All],[concatenado]],PAA_4[[#This Row],[RCP-RUBRO]]))</f>
        <v>#REF!</v>
      </c>
    </row>
    <row r="1593" spans="1:38" s="19" customFormat="1" ht="31.5" customHeight="1">
      <c r="A1593" s="47">
        <v>856</v>
      </c>
      <c r="B1593" s="344">
        <v>80111600</v>
      </c>
      <c r="C1593" s="47" t="str">
        <f>VLOOKUP(PAA_4[[#This Row],[PROYECTO (formulado)2]],[2]PROYECTOS!$G$1:$L$32,6,0)</f>
        <v>SUBGERENCIA DE ALTOS LOGROS Y DEPORTE ASOCIADO</v>
      </c>
      <c r="D1593" s="47" t="str">
        <f>+IF(PAA_4[[#This Row],[UNIDAD DE CONTRATACION (formulado)]]="Subgerencia Administrativa y Financiera","FUNCIONAMIENTO","INVERSIÓN")</f>
        <v>INVERSIÓN</v>
      </c>
      <c r="E1593" s="48" t="str">
        <f>VLOOKUP(Q1593,[2]PROYECTOS!$G$1:$K$32,5,0)</f>
        <v>APOYO_TÉCNICO_Y_PSICOSOCIAL_A_LOS_DEPORTISTAS_DE_ANTIOQUIA</v>
      </c>
      <c r="F1593" s="48">
        <f>VLOOKUP(E1593,[2]PROYECTOS!$K$1:$M$32,3,0)</f>
        <v>2021003050069</v>
      </c>
      <c r="G1593" s="371" t="s">
        <v>239</v>
      </c>
      <c r="H1593" s="49" t="str">
        <f>VLOOKUP(Q1593,[2]PROYECTOS!$V$1:$W$32,2,0)</f>
        <v>050069</v>
      </c>
      <c r="I1593" s="50">
        <v>28142021</v>
      </c>
      <c r="J1593" s="286" t="s">
        <v>1969</v>
      </c>
      <c r="K1593" s="47" t="str">
        <f t="shared" ca="1" si="552"/>
        <v>CONTRATADO</v>
      </c>
      <c r="L1593" s="372" t="s">
        <v>147</v>
      </c>
      <c r="M1593" s="58" t="s">
        <v>1297</v>
      </c>
      <c r="N1593" s="344" t="s">
        <v>240</v>
      </c>
      <c r="O1593" s="51" t="e">
        <f>VLOOKUP(N1593,[2]!RUBROS[#All],3,0)</f>
        <v>#REF!</v>
      </c>
      <c r="P1593" s="53" t="e">
        <f>VLOOKUP(N1593,[2]!RUBROS[#All],2,0)</f>
        <v>#REF!</v>
      </c>
      <c r="Q1593" s="47" t="str">
        <f t="shared" si="553"/>
        <v>22</v>
      </c>
      <c r="R1593" s="47" t="str">
        <f t="shared" si="554"/>
        <v>0-205400</v>
      </c>
      <c r="S1593" s="342">
        <v>122</v>
      </c>
      <c r="T1593" s="59" t="s">
        <v>1970</v>
      </c>
      <c r="U1593" s="326" t="e">
        <f ca="1">_xlfn.XLOOKUP(PAA_4[[#This Row],[ITEM]],[2]Contrato!A:A,[2]Contrato!Q:Q,"",0)</f>
        <v>#NAME?</v>
      </c>
      <c r="V1593" s="47" t="s">
        <v>95</v>
      </c>
      <c r="W1593" s="373" t="s">
        <v>1971</v>
      </c>
      <c r="X1593" s="373" t="s">
        <v>1972</v>
      </c>
      <c r="Y1593" s="55" t="e">
        <f ca="1">_xlfn.XLOOKUP(PAA_4[[#This Row],[ITEM]],[2]Contrato!A:A,[2]Contrato!B:B,"",0)</f>
        <v>#NAME?</v>
      </c>
      <c r="Z1593" s="47" t="e">
        <f ca="1">_xlfn.XLOOKUP(PAA_4[[#This Row],[ITEM]],[2]Contrato!A:A,[2]Contrato!G:G,"",0)</f>
        <v>#NAME?</v>
      </c>
      <c r="AA1593" s="47" t="e">
        <f ca="1">_xlfn.XLOOKUP(PAA_4[[#This Row],[ITEM]],[2]Contrato!A:A,[2]Contrato!T:T,"",0)</f>
        <v>#NAME?</v>
      </c>
      <c r="AB1593" s="55" t="e">
        <f ca="1">+MAX(PAA_4[[#This Row],[Comprometido Contrato]],PAA_4[[#This Row],[Comprometido Bolsa]])</f>
        <v>#NAME?</v>
      </c>
      <c r="AC1593" s="55" t="str">
        <f t="shared" ca="1" si="555"/>
        <v/>
      </c>
      <c r="AD1593" s="55" t="e">
        <f ca="1">IF(PAA_4[[#This Row],[ESTADO (formulado)]]="NO CONTRATADO",0,MAX(PAA_4[[#This Row],[Pago por Contrato]],PAA_4[[#This Row],[Pago por bolsa]]))</f>
        <v>#NAME?</v>
      </c>
      <c r="AE1593" s="55" t="str">
        <f t="shared" ca="1" si="556"/>
        <v/>
      </c>
      <c r="AF1593" s="47" t="e">
        <f t="shared" ca="1" si="557"/>
        <v>#NAME?</v>
      </c>
      <c r="AG1593" s="47">
        <f t="shared" si="558"/>
        <v>41080101</v>
      </c>
      <c r="AH1593" s="54" t="str">
        <f>IF(Q1593="22",IF(ISNUMBER(SEARCH("econ",PAA_4[[#This Row],[Actividad3]])),"Económico",IF(ISNUMBER(SEARCH("alim",PAA_4[[#This Row],[Actividad3]])),"Alimentación",IF(ISNUMBER(SEARCH("educ",PAA_4[[#This Row],[Actividad3]])),"Educativo","Técnico"))),0)</f>
        <v>Técnico</v>
      </c>
      <c r="AI1593" s="47" t="e" cm="1">
        <f t="array" aca="1" ref="AI1593" ca="1">_xlfn.XLOOKUP(PAA_4[[#This Row],[RCP-RUBRO]],[2]!COMPROMISOS_2024[[#All],[concatenado]],[2]!COMPROMISOS_2024[[#All],[Total pagado]],"",0)</f>
        <v>#NAME?</v>
      </c>
      <c r="AJ1593" s="56" t="e">
        <f ca="1">IF(PAA_4[[#This Row],[BOLSA]]=0,0,SUMIFS([2]!COMPROMISOS_2024[[#All],[Total pagado]],[2]!COMPROMISOS_2024[[#All],[Bolsa]],PAA_4[[#This Row],[BOLSA]],[2]!COMPROMISOS_2024[[#All],[rubro]],PAA_4[[#This Row],[RCP-RUBRO]]))</f>
        <v>#REF!</v>
      </c>
      <c r="AK1593" s="47" t="e" cm="1">
        <f t="array" aca="1" ref="AK1593" ca="1">_xlfn.XLOOKUP(PAA_4[[#This Row],[RCP-RUBRO]],[2]!COMPROMISOS_2024[[#All],[concatenado]],[2]!COMPROMISOS_2024[[#All],[Total Comprometido]],"",0)</f>
        <v>#NAME?</v>
      </c>
      <c r="AL1593" s="47" t="e">
        <f ca="1">IF(PAA_4[[#This Row],[BOLSA]]=0,0,SUMIFS([2]!COMPROMISOS_2024[[#All],[Total Comprometido]],[2]!COMPROMISOS_2024[[#All],[Bolsa]],PAA_4[[#This Row],[BOLSA]],[2]!COMPROMISOS_2024[[#All],[concatenado]],PAA_4[[#This Row],[RCP-RUBRO]]))</f>
        <v>#REF!</v>
      </c>
    </row>
    <row r="1594" spans="1:38" s="19" customFormat="1" ht="31.5" customHeight="1">
      <c r="A1594" s="47">
        <v>857</v>
      </c>
      <c r="B1594" s="344">
        <v>80111600</v>
      </c>
      <c r="C1594" s="47" t="str">
        <f>VLOOKUP(PAA_4[[#This Row],[PROYECTO (formulado)2]],[2]PROYECTOS!$G$1:$L$32,6,0)</f>
        <v>SUBGERENCIA DE ALTOS LOGROS Y DEPORTE ASOCIADO</v>
      </c>
      <c r="D1594" s="47" t="str">
        <f>+IF(PAA_4[[#This Row],[UNIDAD DE CONTRATACION (formulado)]]="Subgerencia Administrativa y Financiera","FUNCIONAMIENTO","INVERSIÓN")</f>
        <v>INVERSIÓN</v>
      </c>
      <c r="E1594" s="48" t="str">
        <f>VLOOKUP(Q1594,[2]PROYECTOS!$G$1:$K$32,5,0)</f>
        <v>APOYO_TÉCNICO_Y_PSICOSOCIAL_A_LOS_DEPORTISTAS_DE_ANTIOQUIA</v>
      </c>
      <c r="F1594" s="48">
        <f>VLOOKUP(E1594,[2]PROYECTOS!$K$1:$M$32,3,0)</f>
        <v>2021003050069</v>
      </c>
      <c r="G1594" s="371" t="s">
        <v>239</v>
      </c>
      <c r="H1594" s="49" t="str">
        <f>VLOOKUP(Q1594,[2]PROYECTOS!$V$1:$W$32,2,0)</f>
        <v>050069</v>
      </c>
      <c r="I1594" s="374">
        <v>24120006</v>
      </c>
      <c r="J1594" s="286" t="s">
        <v>1969</v>
      </c>
      <c r="K1594" s="47" t="str">
        <f t="shared" ca="1" si="552"/>
        <v>CONTRATADO</v>
      </c>
      <c r="L1594" s="372" t="s">
        <v>147</v>
      </c>
      <c r="M1594" s="58" t="s">
        <v>1297</v>
      </c>
      <c r="N1594" s="344" t="s">
        <v>240</v>
      </c>
      <c r="O1594" s="51" t="e">
        <f>VLOOKUP(N1594,[2]!RUBROS[#All],3,0)</f>
        <v>#REF!</v>
      </c>
      <c r="P1594" s="53" t="e">
        <f>VLOOKUP(N1594,[2]!RUBROS[#All],2,0)</f>
        <v>#REF!</v>
      </c>
      <c r="Q1594" s="47" t="str">
        <f t="shared" si="553"/>
        <v>22</v>
      </c>
      <c r="R1594" s="47" t="str">
        <f t="shared" si="554"/>
        <v>0-205400</v>
      </c>
      <c r="S1594" s="342">
        <v>122</v>
      </c>
      <c r="T1594" s="59" t="s">
        <v>1970</v>
      </c>
      <c r="U1594" s="326" t="e">
        <f ca="1">_xlfn.XLOOKUP(PAA_4[[#This Row],[ITEM]],[2]Contrato!A:A,[2]Contrato!Q:Q,"",0)</f>
        <v>#NAME?</v>
      </c>
      <c r="V1594" s="47" t="s">
        <v>95</v>
      </c>
      <c r="W1594" s="373" t="s">
        <v>1971</v>
      </c>
      <c r="X1594" s="373" t="s">
        <v>1972</v>
      </c>
      <c r="Y1594" s="55" t="e">
        <f ca="1">_xlfn.XLOOKUP(PAA_4[[#This Row],[ITEM]],[2]Contrato!A:A,[2]Contrato!B:B,"",0)</f>
        <v>#NAME?</v>
      </c>
      <c r="Z1594" s="47" t="e">
        <f ca="1">_xlfn.XLOOKUP(PAA_4[[#This Row],[ITEM]],[2]Contrato!A:A,[2]Contrato!G:G,"",0)</f>
        <v>#NAME?</v>
      </c>
      <c r="AA1594" s="47" t="e">
        <f ca="1">_xlfn.XLOOKUP(PAA_4[[#This Row],[ITEM]],[2]Contrato!A:A,[2]Contrato!T:T,"",0)</f>
        <v>#NAME?</v>
      </c>
      <c r="AB1594" s="55" t="e">
        <f ca="1">+MAX(PAA_4[[#This Row],[Comprometido Contrato]],PAA_4[[#This Row],[Comprometido Bolsa]])</f>
        <v>#NAME?</v>
      </c>
      <c r="AC1594" s="55" t="str">
        <f t="shared" ca="1" si="555"/>
        <v/>
      </c>
      <c r="AD1594" s="55" t="e">
        <f ca="1">IF(PAA_4[[#This Row],[ESTADO (formulado)]]="NO CONTRATADO",0,MAX(PAA_4[[#This Row],[Pago por Contrato]],PAA_4[[#This Row],[Pago por bolsa]]))</f>
        <v>#NAME?</v>
      </c>
      <c r="AE1594" s="55" t="str">
        <f t="shared" ca="1" si="556"/>
        <v/>
      </c>
      <c r="AF1594" s="47" t="e">
        <f t="shared" ca="1" si="557"/>
        <v>#NAME?</v>
      </c>
      <c r="AG1594" s="47">
        <f t="shared" si="558"/>
        <v>41080101</v>
      </c>
      <c r="AH1594" s="54" t="str">
        <f>IF(Q1594="22",IF(ISNUMBER(SEARCH("econ",PAA_4[[#This Row],[Actividad3]])),"Económico",IF(ISNUMBER(SEARCH("alim",PAA_4[[#This Row],[Actividad3]])),"Alimentación",IF(ISNUMBER(SEARCH("educ",PAA_4[[#This Row],[Actividad3]])),"Educativo","Técnico"))),0)</f>
        <v>Técnico</v>
      </c>
      <c r="AI1594" s="47" t="e" cm="1">
        <f t="array" aca="1" ref="AI1594" ca="1">_xlfn.XLOOKUP(PAA_4[[#This Row],[RCP-RUBRO]],[2]!COMPROMISOS_2024[[#All],[concatenado]],[2]!COMPROMISOS_2024[[#All],[Total pagado]],"",0)</f>
        <v>#NAME?</v>
      </c>
      <c r="AJ1594" s="56" t="e">
        <f ca="1">IF(PAA_4[[#This Row],[BOLSA]]=0,0,SUMIFS([2]!COMPROMISOS_2024[[#All],[Total pagado]],[2]!COMPROMISOS_2024[[#All],[Bolsa]],PAA_4[[#This Row],[BOLSA]],[2]!COMPROMISOS_2024[[#All],[rubro]],PAA_4[[#This Row],[RCP-RUBRO]]))</f>
        <v>#REF!</v>
      </c>
      <c r="AK1594" s="47" t="e" cm="1">
        <f t="array" aca="1" ref="AK1594" ca="1">_xlfn.XLOOKUP(PAA_4[[#This Row],[RCP-RUBRO]],[2]!COMPROMISOS_2024[[#All],[concatenado]],[2]!COMPROMISOS_2024[[#All],[Total Comprometido]],"",0)</f>
        <v>#NAME?</v>
      </c>
      <c r="AL1594" s="47" t="e">
        <f ca="1">IF(PAA_4[[#This Row],[BOLSA]]=0,0,SUMIFS([2]!COMPROMISOS_2024[[#All],[Total Comprometido]],[2]!COMPROMISOS_2024[[#All],[Bolsa]],PAA_4[[#This Row],[BOLSA]],[2]!COMPROMISOS_2024[[#All],[concatenado]],PAA_4[[#This Row],[RCP-RUBRO]]))</f>
        <v>#REF!</v>
      </c>
    </row>
    <row r="1595" spans="1:38" s="19" customFormat="1" ht="31.5" customHeight="1">
      <c r="A1595" s="47">
        <v>858</v>
      </c>
      <c r="B1595" s="344">
        <v>80111600</v>
      </c>
      <c r="C1595" s="47" t="str">
        <f>VLOOKUP(PAA_4[[#This Row],[PROYECTO (formulado)2]],[2]PROYECTOS!$G$1:$L$32,6,0)</f>
        <v>SUBGERENCIA DE ALTOS LOGROS Y DEPORTE ASOCIADO</v>
      </c>
      <c r="D1595" s="47" t="str">
        <f>+IF(PAA_4[[#This Row],[UNIDAD DE CONTRATACION (formulado)]]="Subgerencia Administrativa y Financiera","FUNCIONAMIENTO","INVERSIÓN")</f>
        <v>INVERSIÓN</v>
      </c>
      <c r="E1595" s="48" t="str">
        <f>VLOOKUP(Q1595,[2]PROYECTOS!$G$1:$K$32,5,0)</f>
        <v>APOYO_TÉCNICO_Y_PSICOSOCIAL_A_LOS_DEPORTISTAS_DE_ANTIOQUIA</v>
      </c>
      <c r="F1595" s="48">
        <f>VLOOKUP(E1595,[2]PROYECTOS!$K$1:$M$32,3,0)</f>
        <v>2021003050069</v>
      </c>
      <c r="G1595" s="371" t="s">
        <v>239</v>
      </c>
      <c r="H1595" s="49" t="str">
        <f>VLOOKUP(Q1595,[2]PROYECTOS!$V$1:$W$32,2,0)</f>
        <v>050069</v>
      </c>
      <c r="I1595" s="374">
        <v>19963006</v>
      </c>
      <c r="J1595" s="286" t="s">
        <v>1969</v>
      </c>
      <c r="K1595" s="47" t="str">
        <f t="shared" ca="1" si="552"/>
        <v>CONTRATADO</v>
      </c>
      <c r="L1595" s="372" t="s">
        <v>147</v>
      </c>
      <c r="M1595" s="58" t="s">
        <v>1297</v>
      </c>
      <c r="N1595" s="344" t="s">
        <v>240</v>
      </c>
      <c r="O1595" s="51" t="e">
        <f>VLOOKUP(N1595,[2]!RUBROS[#All],3,0)</f>
        <v>#REF!</v>
      </c>
      <c r="P1595" s="53" t="e">
        <f>VLOOKUP(N1595,[2]!RUBROS[#All],2,0)</f>
        <v>#REF!</v>
      </c>
      <c r="Q1595" s="47" t="str">
        <f t="shared" si="553"/>
        <v>22</v>
      </c>
      <c r="R1595" s="47" t="str">
        <f t="shared" si="554"/>
        <v>0-205400</v>
      </c>
      <c r="S1595" s="342">
        <v>122</v>
      </c>
      <c r="T1595" s="59" t="s">
        <v>1970</v>
      </c>
      <c r="U1595" s="326" t="e">
        <f ca="1">_xlfn.XLOOKUP(PAA_4[[#This Row],[ITEM]],[2]Contrato!A:A,[2]Contrato!Q:Q,"",0)</f>
        <v>#NAME?</v>
      </c>
      <c r="V1595" s="47" t="s">
        <v>95</v>
      </c>
      <c r="W1595" s="373" t="s">
        <v>1971</v>
      </c>
      <c r="X1595" s="373" t="s">
        <v>1972</v>
      </c>
      <c r="Y1595" s="55" t="e">
        <f ca="1">_xlfn.XLOOKUP(PAA_4[[#This Row],[ITEM]],[2]Contrato!A:A,[2]Contrato!B:B,"",0)</f>
        <v>#NAME?</v>
      </c>
      <c r="Z1595" s="47" t="e">
        <f ca="1">_xlfn.XLOOKUP(PAA_4[[#This Row],[ITEM]],[2]Contrato!A:A,[2]Contrato!G:G,"",0)</f>
        <v>#NAME?</v>
      </c>
      <c r="AA1595" s="47" t="e">
        <f ca="1">_xlfn.XLOOKUP(PAA_4[[#This Row],[ITEM]],[2]Contrato!A:A,[2]Contrato!T:T,"",0)</f>
        <v>#NAME?</v>
      </c>
      <c r="AB1595" s="55" t="e">
        <f ca="1">+MAX(PAA_4[[#This Row],[Comprometido Contrato]],PAA_4[[#This Row],[Comprometido Bolsa]])</f>
        <v>#NAME?</v>
      </c>
      <c r="AC1595" s="55" t="str">
        <f t="shared" ca="1" si="555"/>
        <v/>
      </c>
      <c r="AD1595" s="55" t="e">
        <f ca="1">IF(PAA_4[[#This Row],[ESTADO (formulado)]]="NO CONTRATADO",0,MAX(PAA_4[[#This Row],[Pago por Contrato]],PAA_4[[#This Row],[Pago por bolsa]]))</f>
        <v>#NAME?</v>
      </c>
      <c r="AE1595" s="55" t="str">
        <f t="shared" ca="1" si="556"/>
        <v/>
      </c>
      <c r="AF1595" s="47" t="e">
        <f t="shared" ca="1" si="557"/>
        <v>#NAME?</v>
      </c>
      <c r="AG1595" s="47">
        <f t="shared" si="558"/>
        <v>41080101</v>
      </c>
      <c r="AH1595" s="54" t="str">
        <f>IF(Q1595="22",IF(ISNUMBER(SEARCH("econ",PAA_4[[#This Row],[Actividad3]])),"Económico",IF(ISNUMBER(SEARCH("alim",PAA_4[[#This Row],[Actividad3]])),"Alimentación",IF(ISNUMBER(SEARCH("educ",PAA_4[[#This Row],[Actividad3]])),"Educativo","Técnico"))),0)</f>
        <v>Técnico</v>
      </c>
      <c r="AI1595" s="47" t="e" cm="1">
        <f t="array" aca="1" ref="AI1595" ca="1">_xlfn.XLOOKUP(PAA_4[[#This Row],[RCP-RUBRO]],[2]!COMPROMISOS_2024[[#All],[concatenado]],[2]!COMPROMISOS_2024[[#All],[Total pagado]],"",0)</f>
        <v>#NAME?</v>
      </c>
      <c r="AJ1595" s="56" t="e">
        <f ca="1">IF(PAA_4[[#This Row],[BOLSA]]=0,0,SUMIFS([2]!COMPROMISOS_2024[[#All],[Total pagado]],[2]!COMPROMISOS_2024[[#All],[Bolsa]],PAA_4[[#This Row],[BOLSA]],[2]!COMPROMISOS_2024[[#All],[rubro]],PAA_4[[#This Row],[RCP-RUBRO]]))</f>
        <v>#REF!</v>
      </c>
      <c r="AK1595" s="47" t="e" cm="1">
        <f t="array" aca="1" ref="AK1595" ca="1">_xlfn.XLOOKUP(PAA_4[[#This Row],[RCP-RUBRO]],[2]!COMPROMISOS_2024[[#All],[concatenado]],[2]!COMPROMISOS_2024[[#All],[Total Comprometido]],"",0)</f>
        <v>#NAME?</v>
      </c>
      <c r="AL1595" s="47" t="e">
        <f ca="1">IF(PAA_4[[#This Row],[BOLSA]]=0,0,SUMIFS([2]!COMPROMISOS_2024[[#All],[Total Comprometido]],[2]!COMPROMISOS_2024[[#All],[Bolsa]],PAA_4[[#This Row],[BOLSA]],[2]!COMPROMISOS_2024[[#All],[concatenado]],PAA_4[[#This Row],[RCP-RUBRO]]))</f>
        <v>#REF!</v>
      </c>
    </row>
    <row r="1596" spans="1:38" s="19" customFormat="1" ht="31.5" customHeight="1">
      <c r="A1596" s="47">
        <v>859</v>
      </c>
      <c r="B1596" s="344">
        <v>80111600</v>
      </c>
      <c r="C1596" s="47" t="str">
        <f>VLOOKUP(PAA_4[[#This Row],[PROYECTO (formulado)2]],[2]PROYECTOS!$G$1:$L$32,6,0)</f>
        <v>SUBGERENCIA DE ALTOS LOGROS Y DEPORTE ASOCIADO</v>
      </c>
      <c r="D1596" s="47" t="str">
        <f>+IF(PAA_4[[#This Row],[UNIDAD DE CONTRATACION (formulado)]]="Subgerencia Administrativa y Financiera","FUNCIONAMIENTO","INVERSIÓN")</f>
        <v>INVERSIÓN</v>
      </c>
      <c r="E1596" s="48" t="str">
        <f>VLOOKUP(Q1596,[2]PROYECTOS!$G$1:$K$32,5,0)</f>
        <v>APOYO_TÉCNICO_Y_PSICOSOCIAL_A_LOS_DEPORTISTAS_DE_ANTIOQUIA</v>
      </c>
      <c r="F1596" s="48">
        <f>VLOOKUP(E1596,[2]PROYECTOS!$K$1:$M$32,3,0)</f>
        <v>2021003050069</v>
      </c>
      <c r="G1596" s="371" t="s">
        <v>239</v>
      </c>
      <c r="H1596" s="49" t="str">
        <f>VLOOKUP(Q1596,[2]PROYECTOS!$V$1:$W$32,2,0)</f>
        <v>050069</v>
      </c>
      <c r="I1596" s="374">
        <v>10471024</v>
      </c>
      <c r="J1596" s="286" t="s">
        <v>1969</v>
      </c>
      <c r="K1596" s="47" t="str">
        <f t="shared" ca="1" si="552"/>
        <v>CONTRATADO</v>
      </c>
      <c r="L1596" s="372" t="s">
        <v>147</v>
      </c>
      <c r="M1596" s="58" t="s">
        <v>1297</v>
      </c>
      <c r="N1596" s="344" t="s">
        <v>240</v>
      </c>
      <c r="O1596" s="51" t="e">
        <f>VLOOKUP(N1596,[2]!RUBROS[#All],3,0)</f>
        <v>#REF!</v>
      </c>
      <c r="P1596" s="53" t="e">
        <f>VLOOKUP(N1596,[2]!RUBROS[#All],2,0)</f>
        <v>#REF!</v>
      </c>
      <c r="Q1596" s="47" t="str">
        <f t="shared" si="553"/>
        <v>22</v>
      </c>
      <c r="R1596" s="47" t="str">
        <f t="shared" si="554"/>
        <v>0-205400</v>
      </c>
      <c r="S1596" s="342">
        <v>122</v>
      </c>
      <c r="T1596" s="59" t="s">
        <v>1970</v>
      </c>
      <c r="U1596" s="326" t="e">
        <f ca="1">_xlfn.XLOOKUP(PAA_4[[#This Row],[ITEM]],[2]Contrato!A:A,[2]Contrato!Q:Q,"",0)</f>
        <v>#NAME?</v>
      </c>
      <c r="V1596" s="47" t="s">
        <v>95</v>
      </c>
      <c r="W1596" s="373" t="s">
        <v>1971</v>
      </c>
      <c r="X1596" s="373" t="s">
        <v>1972</v>
      </c>
      <c r="Y1596" s="55" t="e">
        <f ca="1">_xlfn.XLOOKUP(PAA_4[[#This Row],[ITEM]],[2]Contrato!A:A,[2]Contrato!B:B,"",0)</f>
        <v>#NAME?</v>
      </c>
      <c r="Z1596" s="47" t="e">
        <f ca="1">_xlfn.XLOOKUP(PAA_4[[#This Row],[ITEM]],[2]Contrato!A:A,[2]Contrato!G:G,"",0)</f>
        <v>#NAME?</v>
      </c>
      <c r="AA1596" s="47" t="e">
        <f ca="1">_xlfn.XLOOKUP(PAA_4[[#This Row],[ITEM]],[2]Contrato!A:A,[2]Contrato!T:T,"",0)</f>
        <v>#NAME?</v>
      </c>
      <c r="AB1596" s="55" t="e">
        <f ca="1">+MAX(PAA_4[[#This Row],[Comprometido Contrato]],PAA_4[[#This Row],[Comprometido Bolsa]])</f>
        <v>#NAME?</v>
      </c>
      <c r="AC1596" s="55" t="str">
        <f t="shared" ca="1" si="555"/>
        <v/>
      </c>
      <c r="AD1596" s="55" t="e">
        <f ca="1">IF(PAA_4[[#This Row],[ESTADO (formulado)]]="NO CONTRATADO",0,MAX(PAA_4[[#This Row],[Pago por Contrato]],PAA_4[[#This Row],[Pago por bolsa]]))</f>
        <v>#NAME?</v>
      </c>
      <c r="AE1596" s="55" t="str">
        <f t="shared" ca="1" si="556"/>
        <v/>
      </c>
      <c r="AF1596" s="47" t="e">
        <f t="shared" ca="1" si="557"/>
        <v>#NAME?</v>
      </c>
      <c r="AG1596" s="47">
        <f t="shared" si="558"/>
        <v>41080101</v>
      </c>
      <c r="AH1596" s="54" t="str">
        <f>IF(Q1596="22",IF(ISNUMBER(SEARCH("econ",PAA_4[[#This Row],[Actividad3]])),"Económico",IF(ISNUMBER(SEARCH("alim",PAA_4[[#This Row],[Actividad3]])),"Alimentación",IF(ISNUMBER(SEARCH("educ",PAA_4[[#This Row],[Actividad3]])),"Educativo","Técnico"))),0)</f>
        <v>Técnico</v>
      </c>
      <c r="AI1596" s="47" t="e" cm="1">
        <f t="array" aca="1" ref="AI1596" ca="1">_xlfn.XLOOKUP(PAA_4[[#This Row],[RCP-RUBRO]],[2]!COMPROMISOS_2024[[#All],[concatenado]],[2]!COMPROMISOS_2024[[#All],[Total pagado]],"",0)</f>
        <v>#NAME?</v>
      </c>
      <c r="AJ1596" s="56" t="e">
        <f ca="1">IF(PAA_4[[#This Row],[BOLSA]]=0,0,SUMIFS([2]!COMPROMISOS_2024[[#All],[Total pagado]],[2]!COMPROMISOS_2024[[#All],[Bolsa]],PAA_4[[#This Row],[BOLSA]],[2]!COMPROMISOS_2024[[#All],[rubro]],PAA_4[[#This Row],[RCP-RUBRO]]))</f>
        <v>#REF!</v>
      </c>
      <c r="AK1596" s="47" t="e" cm="1">
        <f t="array" aca="1" ref="AK1596" ca="1">_xlfn.XLOOKUP(PAA_4[[#This Row],[RCP-RUBRO]],[2]!COMPROMISOS_2024[[#All],[concatenado]],[2]!COMPROMISOS_2024[[#All],[Total Comprometido]],"",0)</f>
        <v>#NAME?</v>
      </c>
      <c r="AL1596" s="47" t="e">
        <f ca="1">IF(PAA_4[[#This Row],[BOLSA]]=0,0,SUMIFS([2]!COMPROMISOS_2024[[#All],[Total Comprometido]],[2]!COMPROMISOS_2024[[#All],[Bolsa]],PAA_4[[#This Row],[BOLSA]],[2]!COMPROMISOS_2024[[#All],[concatenado]],PAA_4[[#This Row],[RCP-RUBRO]]))</f>
        <v>#REF!</v>
      </c>
    </row>
    <row r="1597" spans="1:38" s="19" customFormat="1" ht="31.5" customHeight="1">
      <c r="A1597" s="47">
        <v>860</v>
      </c>
      <c r="B1597" s="344">
        <v>80111600</v>
      </c>
      <c r="C1597" s="47" t="str">
        <f>VLOOKUP(PAA_4[[#This Row],[PROYECTO (formulado)2]],[2]PROYECTOS!$G$1:$L$32,6,0)</f>
        <v>SUBGERENCIA DE ALTOS LOGROS Y DEPORTE ASOCIADO</v>
      </c>
      <c r="D1597" s="47" t="str">
        <f>+IF(PAA_4[[#This Row],[UNIDAD DE CONTRATACION (formulado)]]="Subgerencia Administrativa y Financiera","FUNCIONAMIENTO","INVERSIÓN")</f>
        <v>INVERSIÓN</v>
      </c>
      <c r="E1597" s="48" t="str">
        <f>VLOOKUP(Q1597,[2]PROYECTOS!$G$1:$K$32,5,0)</f>
        <v>APOYO_TÉCNICO_Y_PSICOSOCIAL_A_LOS_DEPORTISTAS_DE_ANTIOQUIA</v>
      </c>
      <c r="F1597" s="48">
        <f>VLOOKUP(E1597,[2]PROYECTOS!$K$1:$M$32,3,0)</f>
        <v>2021003050069</v>
      </c>
      <c r="G1597" s="371" t="s">
        <v>239</v>
      </c>
      <c r="H1597" s="49" t="str">
        <f>VLOOKUP(Q1597,[2]PROYECTOS!$V$1:$W$32,2,0)</f>
        <v>050069</v>
      </c>
      <c r="I1597" s="374">
        <v>24120006</v>
      </c>
      <c r="J1597" s="286" t="s">
        <v>1973</v>
      </c>
      <c r="K1597" s="47" t="str">
        <f t="shared" ca="1" si="552"/>
        <v>CONTRATADO</v>
      </c>
      <c r="L1597" s="372" t="s">
        <v>147</v>
      </c>
      <c r="M1597" s="58" t="s">
        <v>1297</v>
      </c>
      <c r="N1597" s="344" t="s">
        <v>240</v>
      </c>
      <c r="O1597" s="51" t="e">
        <f>VLOOKUP(N1597,[2]!RUBROS[#All],3,0)</f>
        <v>#REF!</v>
      </c>
      <c r="P1597" s="53" t="e">
        <f>VLOOKUP(N1597,[2]!RUBROS[#All],2,0)</f>
        <v>#REF!</v>
      </c>
      <c r="Q1597" s="47" t="str">
        <f t="shared" si="553"/>
        <v>22</v>
      </c>
      <c r="R1597" s="47" t="str">
        <f t="shared" si="554"/>
        <v>0-205400</v>
      </c>
      <c r="S1597" s="342">
        <v>122</v>
      </c>
      <c r="T1597" s="59" t="s">
        <v>1970</v>
      </c>
      <c r="U1597" s="326" t="e">
        <f ca="1">_xlfn.XLOOKUP(PAA_4[[#This Row],[ITEM]],[2]Contrato!A:A,[2]Contrato!Q:Q,"",0)</f>
        <v>#NAME?</v>
      </c>
      <c r="V1597" s="47" t="s">
        <v>95</v>
      </c>
      <c r="W1597" s="373" t="s">
        <v>1971</v>
      </c>
      <c r="X1597" s="373" t="s">
        <v>1972</v>
      </c>
      <c r="Y1597" s="55" t="e">
        <f ca="1">_xlfn.XLOOKUP(PAA_4[[#This Row],[ITEM]],[2]Contrato!A:A,[2]Contrato!B:B,"",0)</f>
        <v>#NAME?</v>
      </c>
      <c r="Z1597" s="47" t="e">
        <f ca="1">_xlfn.XLOOKUP(PAA_4[[#This Row],[ITEM]],[2]Contrato!A:A,[2]Contrato!G:G,"",0)</f>
        <v>#NAME?</v>
      </c>
      <c r="AA1597" s="47" t="e">
        <f ca="1">_xlfn.XLOOKUP(PAA_4[[#This Row],[ITEM]],[2]Contrato!A:A,[2]Contrato!T:T,"",0)</f>
        <v>#NAME?</v>
      </c>
      <c r="AB1597" s="55" t="e">
        <f ca="1">+MAX(PAA_4[[#This Row],[Comprometido Contrato]],PAA_4[[#This Row],[Comprometido Bolsa]])</f>
        <v>#NAME?</v>
      </c>
      <c r="AC1597" s="55" t="str">
        <f t="shared" ca="1" si="555"/>
        <v/>
      </c>
      <c r="AD1597" s="55" t="e">
        <f ca="1">IF(PAA_4[[#This Row],[ESTADO (formulado)]]="NO CONTRATADO",0,MAX(PAA_4[[#This Row],[Pago por Contrato]],PAA_4[[#This Row],[Pago por bolsa]]))</f>
        <v>#NAME?</v>
      </c>
      <c r="AE1597" s="55" t="str">
        <f t="shared" ca="1" si="556"/>
        <v/>
      </c>
      <c r="AF1597" s="47" t="e">
        <f t="shared" ca="1" si="557"/>
        <v>#NAME?</v>
      </c>
      <c r="AG1597" s="47">
        <f t="shared" si="558"/>
        <v>41080101</v>
      </c>
      <c r="AH1597" s="54" t="str">
        <f>IF(Q1597="22",IF(ISNUMBER(SEARCH("econ",PAA_4[[#This Row],[Actividad3]])),"Económico",IF(ISNUMBER(SEARCH("alim",PAA_4[[#This Row],[Actividad3]])),"Alimentación",IF(ISNUMBER(SEARCH("educ",PAA_4[[#This Row],[Actividad3]])),"Educativo","Técnico"))),0)</f>
        <v>Técnico</v>
      </c>
      <c r="AI1597" s="47" t="e" cm="1">
        <f t="array" aca="1" ref="AI1597" ca="1">_xlfn.XLOOKUP(PAA_4[[#This Row],[RCP-RUBRO]],[2]!COMPROMISOS_2024[[#All],[concatenado]],[2]!COMPROMISOS_2024[[#All],[Total pagado]],"",0)</f>
        <v>#NAME?</v>
      </c>
      <c r="AJ1597" s="56" t="e">
        <f ca="1">IF(PAA_4[[#This Row],[BOLSA]]=0,0,SUMIFS([2]!COMPROMISOS_2024[[#All],[Total pagado]],[2]!COMPROMISOS_2024[[#All],[Bolsa]],PAA_4[[#This Row],[BOLSA]],[2]!COMPROMISOS_2024[[#All],[rubro]],PAA_4[[#This Row],[RCP-RUBRO]]))</f>
        <v>#REF!</v>
      </c>
      <c r="AK1597" s="47" t="e" cm="1">
        <f t="array" aca="1" ref="AK1597" ca="1">_xlfn.XLOOKUP(PAA_4[[#This Row],[RCP-RUBRO]],[2]!COMPROMISOS_2024[[#All],[concatenado]],[2]!COMPROMISOS_2024[[#All],[Total Comprometido]],"",0)</f>
        <v>#NAME?</v>
      </c>
      <c r="AL1597" s="47" t="e">
        <f ca="1">IF(PAA_4[[#This Row],[BOLSA]]=0,0,SUMIFS([2]!COMPROMISOS_2024[[#All],[Total Comprometido]],[2]!COMPROMISOS_2024[[#All],[Bolsa]],PAA_4[[#This Row],[BOLSA]],[2]!COMPROMISOS_2024[[#All],[concatenado]],PAA_4[[#This Row],[RCP-RUBRO]]))</f>
        <v>#REF!</v>
      </c>
    </row>
    <row r="1598" spans="1:38" s="19" customFormat="1" ht="31.5" customHeight="1">
      <c r="A1598" s="47">
        <v>861</v>
      </c>
      <c r="B1598" s="344">
        <v>80111600</v>
      </c>
      <c r="C1598" s="47" t="str">
        <f>VLOOKUP(PAA_4[[#This Row],[PROYECTO (formulado)2]],[2]PROYECTOS!$G$1:$L$32,6,0)</f>
        <v>SUBGERENCIA DE ALTOS LOGROS Y DEPORTE ASOCIADO</v>
      </c>
      <c r="D1598" s="47" t="str">
        <f>+IF(PAA_4[[#This Row],[UNIDAD DE CONTRATACION (formulado)]]="Subgerencia Administrativa y Financiera","FUNCIONAMIENTO","INVERSIÓN")</f>
        <v>INVERSIÓN</v>
      </c>
      <c r="E1598" s="48" t="str">
        <f>VLOOKUP(Q1598,[2]PROYECTOS!$G$1:$K$32,5,0)</f>
        <v>APOYO_TÉCNICO_Y_PSICOSOCIAL_A_LOS_DEPORTISTAS_DE_ANTIOQUIA</v>
      </c>
      <c r="F1598" s="48">
        <f>VLOOKUP(E1598,[2]PROYECTOS!$K$1:$M$32,3,0)</f>
        <v>2021003050069</v>
      </c>
      <c r="G1598" s="371" t="s">
        <v>239</v>
      </c>
      <c r="H1598" s="49" t="str">
        <f>VLOOKUP(Q1598,[2]PROYECTOS!$V$1:$W$32,2,0)</f>
        <v>050069</v>
      </c>
      <c r="I1598" s="374">
        <v>16073020</v>
      </c>
      <c r="J1598" s="286" t="s">
        <v>1973</v>
      </c>
      <c r="K1598" s="47" t="str">
        <f t="shared" ca="1" si="552"/>
        <v>CONTRATADO</v>
      </c>
      <c r="L1598" s="372" t="s">
        <v>147</v>
      </c>
      <c r="M1598" s="58" t="s">
        <v>1297</v>
      </c>
      <c r="N1598" s="344" t="s">
        <v>240</v>
      </c>
      <c r="O1598" s="51" t="e">
        <f>VLOOKUP(N1598,[2]!RUBROS[#All],3,0)</f>
        <v>#REF!</v>
      </c>
      <c r="P1598" s="53" t="e">
        <f>VLOOKUP(N1598,[2]!RUBROS[#All],2,0)</f>
        <v>#REF!</v>
      </c>
      <c r="Q1598" s="47" t="str">
        <f t="shared" si="553"/>
        <v>22</v>
      </c>
      <c r="R1598" s="47" t="str">
        <f t="shared" si="554"/>
        <v>0-205400</v>
      </c>
      <c r="S1598" s="342">
        <v>122</v>
      </c>
      <c r="T1598" s="59" t="s">
        <v>1970</v>
      </c>
      <c r="U1598" s="326" t="e">
        <f ca="1">_xlfn.XLOOKUP(PAA_4[[#This Row],[ITEM]],[2]Contrato!A:A,[2]Contrato!Q:Q,"",0)</f>
        <v>#NAME?</v>
      </c>
      <c r="V1598" s="47" t="s">
        <v>95</v>
      </c>
      <c r="W1598" s="373" t="s">
        <v>1971</v>
      </c>
      <c r="X1598" s="373" t="s">
        <v>1972</v>
      </c>
      <c r="Y1598" s="55" t="e">
        <f ca="1">_xlfn.XLOOKUP(PAA_4[[#This Row],[ITEM]],[2]Contrato!A:A,[2]Contrato!B:B,"",0)</f>
        <v>#NAME?</v>
      </c>
      <c r="Z1598" s="47" t="e">
        <f ca="1">_xlfn.XLOOKUP(PAA_4[[#This Row],[ITEM]],[2]Contrato!A:A,[2]Contrato!G:G,"",0)</f>
        <v>#NAME?</v>
      </c>
      <c r="AA1598" s="47" t="e">
        <f ca="1">_xlfn.XLOOKUP(PAA_4[[#This Row],[ITEM]],[2]Contrato!A:A,[2]Contrato!T:T,"",0)</f>
        <v>#NAME?</v>
      </c>
      <c r="AB1598" s="55" t="e">
        <f ca="1">+MAX(PAA_4[[#This Row],[Comprometido Contrato]],PAA_4[[#This Row],[Comprometido Bolsa]])</f>
        <v>#NAME?</v>
      </c>
      <c r="AC1598" s="55" t="str">
        <f t="shared" ca="1" si="555"/>
        <v/>
      </c>
      <c r="AD1598" s="55" t="e">
        <f ca="1">IF(PAA_4[[#This Row],[ESTADO (formulado)]]="NO CONTRATADO",0,MAX(PAA_4[[#This Row],[Pago por Contrato]],PAA_4[[#This Row],[Pago por bolsa]]))</f>
        <v>#NAME?</v>
      </c>
      <c r="AE1598" s="55" t="str">
        <f t="shared" ca="1" si="556"/>
        <v/>
      </c>
      <c r="AF1598" s="47" t="e">
        <f t="shared" ca="1" si="557"/>
        <v>#NAME?</v>
      </c>
      <c r="AG1598" s="47">
        <f t="shared" si="558"/>
        <v>41080101</v>
      </c>
      <c r="AH1598" s="54" t="str">
        <f>IF(Q1598="22",IF(ISNUMBER(SEARCH("econ",PAA_4[[#This Row],[Actividad3]])),"Económico",IF(ISNUMBER(SEARCH("alim",PAA_4[[#This Row],[Actividad3]])),"Alimentación",IF(ISNUMBER(SEARCH("educ",PAA_4[[#This Row],[Actividad3]])),"Educativo","Técnico"))),0)</f>
        <v>Técnico</v>
      </c>
      <c r="AI1598" s="47" t="e" cm="1">
        <f t="array" aca="1" ref="AI1598" ca="1">_xlfn.XLOOKUP(PAA_4[[#This Row],[RCP-RUBRO]],[2]!COMPROMISOS_2024[[#All],[concatenado]],[2]!COMPROMISOS_2024[[#All],[Total pagado]],"",0)</f>
        <v>#NAME?</v>
      </c>
      <c r="AJ1598" s="56" t="e">
        <f ca="1">IF(PAA_4[[#This Row],[BOLSA]]=0,0,SUMIFS([2]!COMPROMISOS_2024[[#All],[Total pagado]],[2]!COMPROMISOS_2024[[#All],[Bolsa]],PAA_4[[#This Row],[BOLSA]],[2]!COMPROMISOS_2024[[#All],[rubro]],PAA_4[[#This Row],[RCP-RUBRO]]))</f>
        <v>#REF!</v>
      </c>
      <c r="AK1598" s="47" t="e" cm="1">
        <f t="array" aca="1" ref="AK1598" ca="1">_xlfn.XLOOKUP(PAA_4[[#This Row],[RCP-RUBRO]],[2]!COMPROMISOS_2024[[#All],[concatenado]],[2]!COMPROMISOS_2024[[#All],[Total Comprometido]],"",0)</f>
        <v>#NAME?</v>
      </c>
      <c r="AL1598" s="47" t="e">
        <f ca="1">IF(PAA_4[[#This Row],[BOLSA]]=0,0,SUMIFS([2]!COMPROMISOS_2024[[#All],[Total Comprometido]],[2]!COMPROMISOS_2024[[#All],[Bolsa]],PAA_4[[#This Row],[BOLSA]],[2]!COMPROMISOS_2024[[#All],[concatenado]],PAA_4[[#This Row],[RCP-RUBRO]]))</f>
        <v>#REF!</v>
      </c>
    </row>
    <row r="1599" spans="1:38" s="19" customFormat="1" ht="31.5" customHeight="1">
      <c r="A1599" s="47">
        <v>862</v>
      </c>
      <c r="B1599" s="344">
        <v>80111600</v>
      </c>
      <c r="C1599" s="47" t="str">
        <f>VLOOKUP(PAA_4[[#This Row],[PROYECTO (formulado)2]],[2]PROYECTOS!$G$1:$L$32,6,0)</f>
        <v>SUBGERENCIA DE ALTOS LOGROS Y DEPORTE ASOCIADO</v>
      </c>
      <c r="D1599" s="47" t="str">
        <f>+IF(PAA_4[[#This Row],[UNIDAD DE CONTRATACION (formulado)]]="Subgerencia Administrativa y Financiera","FUNCIONAMIENTO","INVERSIÓN")</f>
        <v>INVERSIÓN</v>
      </c>
      <c r="E1599" s="48" t="str">
        <f>VLOOKUP(Q1599,[2]PROYECTOS!$G$1:$K$32,5,0)</f>
        <v>APOYO_TÉCNICO_Y_PSICOSOCIAL_A_LOS_DEPORTISTAS_DE_ANTIOQUIA</v>
      </c>
      <c r="F1599" s="48">
        <f>VLOOKUP(E1599,[2]PROYECTOS!$K$1:$M$32,3,0)</f>
        <v>2021003050069</v>
      </c>
      <c r="G1599" s="371" t="s">
        <v>239</v>
      </c>
      <c r="H1599" s="49" t="str">
        <f>VLOOKUP(Q1599,[2]PROYECTOS!$V$1:$W$32,2,0)</f>
        <v>050069</v>
      </c>
      <c r="I1599" s="374">
        <v>24120006</v>
      </c>
      <c r="J1599" s="286" t="s">
        <v>1973</v>
      </c>
      <c r="K1599" s="47" t="str">
        <f t="shared" ca="1" si="552"/>
        <v>CONTRATADO</v>
      </c>
      <c r="L1599" s="372" t="s">
        <v>147</v>
      </c>
      <c r="M1599" s="58" t="s">
        <v>1297</v>
      </c>
      <c r="N1599" s="344" t="s">
        <v>240</v>
      </c>
      <c r="O1599" s="51" t="e">
        <f>VLOOKUP(N1599,[2]!RUBROS[#All],3,0)</f>
        <v>#REF!</v>
      </c>
      <c r="P1599" s="53" t="e">
        <f>VLOOKUP(N1599,[2]!RUBROS[#All],2,0)</f>
        <v>#REF!</v>
      </c>
      <c r="Q1599" s="47" t="str">
        <f t="shared" si="553"/>
        <v>22</v>
      </c>
      <c r="R1599" s="47" t="str">
        <f t="shared" si="554"/>
        <v>0-205400</v>
      </c>
      <c r="S1599" s="342">
        <v>122</v>
      </c>
      <c r="T1599" s="59" t="s">
        <v>1970</v>
      </c>
      <c r="U1599" s="326" t="e">
        <f ca="1">_xlfn.XLOOKUP(PAA_4[[#This Row],[ITEM]],[2]Contrato!A:A,[2]Contrato!Q:Q,"",0)</f>
        <v>#NAME?</v>
      </c>
      <c r="V1599" s="47" t="s">
        <v>95</v>
      </c>
      <c r="W1599" s="373" t="s">
        <v>1971</v>
      </c>
      <c r="X1599" s="373" t="s">
        <v>1972</v>
      </c>
      <c r="Y1599" s="55" t="e">
        <f ca="1">_xlfn.XLOOKUP(PAA_4[[#This Row],[ITEM]],[2]Contrato!A:A,[2]Contrato!B:B,"",0)</f>
        <v>#NAME?</v>
      </c>
      <c r="Z1599" s="47" t="e">
        <f ca="1">_xlfn.XLOOKUP(PAA_4[[#This Row],[ITEM]],[2]Contrato!A:A,[2]Contrato!G:G,"",0)</f>
        <v>#NAME?</v>
      </c>
      <c r="AA1599" s="47" t="e">
        <f ca="1">_xlfn.XLOOKUP(PAA_4[[#This Row],[ITEM]],[2]Contrato!A:A,[2]Contrato!T:T,"",0)</f>
        <v>#NAME?</v>
      </c>
      <c r="AB1599" s="55" t="e">
        <f ca="1">+MAX(PAA_4[[#This Row],[Comprometido Contrato]],PAA_4[[#This Row],[Comprometido Bolsa]])</f>
        <v>#NAME?</v>
      </c>
      <c r="AC1599" s="55" t="str">
        <f t="shared" ca="1" si="555"/>
        <v/>
      </c>
      <c r="AD1599" s="55" t="e">
        <f ca="1">IF(PAA_4[[#This Row],[ESTADO (formulado)]]="NO CONTRATADO",0,MAX(PAA_4[[#This Row],[Pago por Contrato]],PAA_4[[#This Row],[Pago por bolsa]]))</f>
        <v>#NAME?</v>
      </c>
      <c r="AE1599" s="55" t="str">
        <f t="shared" ca="1" si="556"/>
        <v/>
      </c>
      <c r="AF1599" s="47" t="e">
        <f t="shared" ca="1" si="557"/>
        <v>#NAME?</v>
      </c>
      <c r="AG1599" s="47">
        <f t="shared" si="558"/>
        <v>41080101</v>
      </c>
      <c r="AH1599" s="54" t="str">
        <f>IF(Q1599="22",IF(ISNUMBER(SEARCH("econ",PAA_4[[#This Row],[Actividad3]])),"Económico",IF(ISNUMBER(SEARCH("alim",PAA_4[[#This Row],[Actividad3]])),"Alimentación",IF(ISNUMBER(SEARCH("educ",PAA_4[[#This Row],[Actividad3]])),"Educativo","Técnico"))),0)</f>
        <v>Técnico</v>
      </c>
      <c r="AI1599" s="47" t="e" cm="1">
        <f t="array" aca="1" ref="AI1599" ca="1">_xlfn.XLOOKUP(PAA_4[[#This Row],[RCP-RUBRO]],[2]!COMPROMISOS_2024[[#All],[concatenado]],[2]!COMPROMISOS_2024[[#All],[Total pagado]],"",0)</f>
        <v>#NAME?</v>
      </c>
      <c r="AJ1599" s="56" t="e">
        <f ca="1">IF(PAA_4[[#This Row],[BOLSA]]=0,0,SUMIFS([2]!COMPROMISOS_2024[[#All],[Total pagado]],[2]!COMPROMISOS_2024[[#All],[Bolsa]],PAA_4[[#This Row],[BOLSA]],[2]!COMPROMISOS_2024[[#All],[rubro]],PAA_4[[#This Row],[RCP-RUBRO]]))</f>
        <v>#REF!</v>
      </c>
      <c r="AK1599" s="47" t="e" cm="1">
        <f t="array" aca="1" ref="AK1599" ca="1">_xlfn.XLOOKUP(PAA_4[[#This Row],[RCP-RUBRO]],[2]!COMPROMISOS_2024[[#All],[concatenado]],[2]!COMPROMISOS_2024[[#All],[Total Comprometido]],"",0)</f>
        <v>#NAME?</v>
      </c>
      <c r="AL1599" s="47" t="e">
        <f ca="1">IF(PAA_4[[#This Row],[BOLSA]]=0,0,SUMIFS([2]!COMPROMISOS_2024[[#All],[Total Comprometido]],[2]!COMPROMISOS_2024[[#All],[Bolsa]],PAA_4[[#This Row],[BOLSA]],[2]!COMPROMISOS_2024[[#All],[concatenado]],PAA_4[[#This Row],[RCP-RUBRO]]))</f>
        <v>#REF!</v>
      </c>
    </row>
    <row r="1600" spans="1:38" s="19" customFormat="1" ht="31.5" customHeight="1">
      <c r="A1600" s="47">
        <v>863</v>
      </c>
      <c r="B1600" s="344">
        <v>80111600</v>
      </c>
      <c r="C1600" s="47" t="str">
        <f>VLOOKUP(PAA_4[[#This Row],[PROYECTO (formulado)2]],[2]PROYECTOS!$G$1:$L$32,6,0)</f>
        <v>SUBGERENCIA DE ALTOS LOGROS Y DEPORTE ASOCIADO</v>
      </c>
      <c r="D1600" s="47" t="str">
        <f>+IF(PAA_4[[#This Row],[UNIDAD DE CONTRATACION (formulado)]]="Subgerencia Administrativa y Financiera","FUNCIONAMIENTO","INVERSIÓN")</f>
        <v>INVERSIÓN</v>
      </c>
      <c r="E1600" s="48" t="str">
        <f>VLOOKUP(Q1600,[2]PROYECTOS!$G$1:$K$32,5,0)</f>
        <v>APOYO_TÉCNICO_Y_PSICOSOCIAL_A_LOS_DEPORTISTAS_DE_ANTIOQUIA</v>
      </c>
      <c r="F1600" s="48">
        <f>VLOOKUP(E1600,[2]PROYECTOS!$K$1:$M$32,3,0)</f>
        <v>2021003050069</v>
      </c>
      <c r="G1600" s="371" t="s">
        <v>239</v>
      </c>
      <c r="H1600" s="49" t="str">
        <f>VLOOKUP(Q1600,[2]PROYECTOS!$V$1:$W$32,2,0)</f>
        <v>050069</v>
      </c>
      <c r="I1600" s="374">
        <v>10471024</v>
      </c>
      <c r="J1600" s="286" t="s">
        <v>1973</v>
      </c>
      <c r="K1600" s="47" t="str">
        <f t="shared" ca="1" si="552"/>
        <v>CONTRATADO</v>
      </c>
      <c r="L1600" s="372" t="s">
        <v>147</v>
      </c>
      <c r="M1600" s="58" t="s">
        <v>1297</v>
      </c>
      <c r="N1600" s="344" t="s">
        <v>240</v>
      </c>
      <c r="O1600" s="51" t="e">
        <f>VLOOKUP(N1600,[2]!RUBROS[#All],3,0)</f>
        <v>#REF!</v>
      </c>
      <c r="P1600" s="53" t="e">
        <f>VLOOKUP(N1600,[2]!RUBROS[#All],2,0)</f>
        <v>#REF!</v>
      </c>
      <c r="Q1600" s="47" t="str">
        <f t="shared" si="553"/>
        <v>22</v>
      </c>
      <c r="R1600" s="47" t="str">
        <f t="shared" si="554"/>
        <v>0-205400</v>
      </c>
      <c r="S1600" s="342">
        <v>122</v>
      </c>
      <c r="T1600" s="59" t="s">
        <v>1970</v>
      </c>
      <c r="U1600" s="326" t="e">
        <f ca="1">_xlfn.XLOOKUP(PAA_4[[#This Row],[ITEM]],[2]Contrato!A:A,[2]Contrato!Q:Q,"",0)</f>
        <v>#NAME?</v>
      </c>
      <c r="V1600" s="47" t="s">
        <v>95</v>
      </c>
      <c r="W1600" s="373" t="s">
        <v>1971</v>
      </c>
      <c r="X1600" s="373" t="s">
        <v>1972</v>
      </c>
      <c r="Y1600" s="55" t="e">
        <f ca="1">_xlfn.XLOOKUP(PAA_4[[#This Row],[ITEM]],[2]Contrato!A:A,[2]Contrato!B:B,"",0)</f>
        <v>#NAME?</v>
      </c>
      <c r="Z1600" s="47" t="e">
        <f ca="1">_xlfn.XLOOKUP(PAA_4[[#This Row],[ITEM]],[2]Contrato!A:A,[2]Contrato!G:G,"",0)</f>
        <v>#NAME?</v>
      </c>
      <c r="AA1600" s="47" t="e">
        <f ca="1">_xlfn.XLOOKUP(PAA_4[[#This Row],[ITEM]],[2]Contrato!A:A,[2]Contrato!T:T,"",0)</f>
        <v>#NAME?</v>
      </c>
      <c r="AB1600" s="55" t="e">
        <f ca="1">+MAX(PAA_4[[#This Row],[Comprometido Contrato]],PAA_4[[#This Row],[Comprometido Bolsa]])</f>
        <v>#NAME?</v>
      </c>
      <c r="AC1600" s="55" t="str">
        <f t="shared" ca="1" si="555"/>
        <v/>
      </c>
      <c r="AD1600" s="55" t="e">
        <f ca="1">IF(PAA_4[[#This Row],[ESTADO (formulado)]]="NO CONTRATADO",0,MAX(PAA_4[[#This Row],[Pago por Contrato]],PAA_4[[#This Row],[Pago por bolsa]]))</f>
        <v>#NAME?</v>
      </c>
      <c r="AE1600" s="55" t="str">
        <f t="shared" ca="1" si="556"/>
        <v/>
      </c>
      <c r="AF1600" s="47" t="e">
        <f t="shared" ca="1" si="557"/>
        <v>#NAME?</v>
      </c>
      <c r="AG1600" s="47">
        <f t="shared" si="558"/>
        <v>41080101</v>
      </c>
      <c r="AH1600" s="54" t="str">
        <f>IF(Q1600="22",IF(ISNUMBER(SEARCH("econ",PAA_4[[#This Row],[Actividad3]])),"Económico",IF(ISNUMBER(SEARCH("alim",PAA_4[[#This Row],[Actividad3]])),"Alimentación",IF(ISNUMBER(SEARCH("educ",PAA_4[[#This Row],[Actividad3]])),"Educativo","Técnico"))),0)</f>
        <v>Técnico</v>
      </c>
      <c r="AI1600" s="47" t="e" cm="1">
        <f t="array" aca="1" ref="AI1600" ca="1">_xlfn.XLOOKUP(PAA_4[[#This Row],[RCP-RUBRO]],[2]!COMPROMISOS_2024[[#All],[concatenado]],[2]!COMPROMISOS_2024[[#All],[Total pagado]],"",0)</f>
        <v>#NAME?</v>
      </c>
      <c r="AJ1600" s="56" t="e">
        <f ca="1">IF(PAA_4[[#This Row],[BOLSA]]=0,0,SUMIFS([2]!COMPROMISOS_2024[[#All],[Total pagado]],[2]!COMPROMISOS_2024[[#All],[Bolsa]],PAA_4[[#This Row],[BOLSA]],[2]!COMPROMISOS_2024[[#All],[rubro]],PAA_4[[#This Row],[RCP-RUBRO]]))</f>
        <v>#REF!</v>
      </c>
      <c r="AK1600" s="47" t="e" cm="1">
        <f t="array" aca="1" ref="AK1600" ca="1">_xlfn.XLOOKUP(PAA_4[[#This Row],[RCP-RUBRO]],[2]!COMPROMISOS_2024[[#All],[concatenado]],[2]!COMPROMISOS_2024[[#All],[Total Comprometido]],"",0)</f>
        <v>#NAME?</v>
      </c>
      <c r="AL1600" s="47" t="e">
        <f ca="1">IF(PAA_4[[#This Row],[BOLSA]]=0,0,SUMIFS([2]!COMPROMISOS_2024[[#All],[Total Comprometido]],[2]!COMPROMISOS_2024[[#All],[Bolsa]],PAA_4[[#This Row],[BOLSA]],[2]!COMPROMISOS_2024[[#All],[concatenado]],PAA_4[[#This Row],[RCP-RUBRO]]))</f>
        <v>#REF!</v>
      </c>
    </row>
    <row r="1601" spans="1:38" s="19" customFormat="1" ht="31.5" customHeight="1">
      <c r="A1601" s="47">
        <v>864</v>
      </c>
      <c r="B1601" s="344">
        <v>80111600</v>
      </c>
      <c r="C1601" s="47" t="str">
        <f>VLOOKUP(PAA_4[[#This Row],[PROYECTO (formulado)2]],[2]PROYECTOS!$G$1:$L$32,6,0)</f>
        <v>SUBGERENCIA DE ALTOS LOGROS Y DEPORTE ASOCIADO</v>
      </c>
      <c r="D1601" s="47" t="str">
        <f>+IF(PAA_4[[#This Row],[UNIDAD DE CONTRATACION (formulado)]]="Subgerencia Administrativa y Financiera","FUNCIONAMIENTO","INVERSIÓN")</f>
        <v>INVERSIÓN</v>
      </c>
      <c r="E1601" s="48" t="str">
        <f>VLOOKUP(Q1601,[2]PROYECTOS!$G$1:$K$32,5,0)</f>
        <v>APOYO_TÉCNICO_Y_PSICOSOCIAL_A_LOS_DEPORTISTAS_DE_ANTIOQUIA</v>
      </c>
      <c r="F1601" s="48">
        <f>VLOOKUP(E1601,[2]PROYECTOS!$K$1:$M$32,3,0)</f>
        <v>2021003050069</v>
      </c>
      <c r="G1601" s="371" t="s">
        <v>239</v>
      </c>
      <c r="H1601" s="49" t="str">
        <f>VLOOKUP(Q1601,[2]PROYECTOS!$V$1:$W$32,2,0)</f>
        <v>050069</v>
      </c>
      <c r="I1601" s="374">
        <v>19963006</v>
      </c>
      <c r="J1601" s="286" t="s">
        <v>1974</v>
      </c>
      <c r="K1601" s="47" t="str">
        <f t="shared" ca="1" si="552"/>
        <v>CONTRATADO</v>
      </c>
      <c r="L1601" s="372" t="s">
        <v>147</v>
      </c>
      <c r="M1601" s="58" t="s">
        <v>1297</v>
      </c>
      <c r="N1601" s="344" t="s">
        <v>240</v>
      </c>
      <c r="O1601" s="51" t="e">
        <f>VLOOKUP(N1601,[2]!RUBROS[#All],3,0)</f>
        <v>#REF!</v>
      </c>
      <c r="P1601" s="53" t="e">
        <f>VLOOKUP(N1601,[2]!RUBROS[#All],2,0)</f>
        <v>#REF!</v>
      </c>
      <c r="Q1601" s="47" t="str">
        <f t="shared" si="553"/>
        <v>22</v>
      </c>
      <c r="R1601" s="47" t="str">
        <f t="shared" si="554"/>
        <v>0-205400</v>
      </c>
      <c r="S1601" s="342">
        <v>122</v>
      </c>
      <c r="T1601" s="59" t="s">
        <v>1970</v>
      </c>
      <c r="U1601" s="326" t="e">
        <f ca="1">_xlfn.XLOOKUP(PAA_4[[#This Row],[ITEM]],[2]Contrato!A:A,[2]Contrato!Q:Q,"",0)</f>
        <v>#NAME?</v>
      </c>
      <c r="V1601" s="47" t="s">
        <v>95</v>
      </c>
      <c r="W1601" s="373" t="s">
        <v>1971</v>
      </c>
      <c r="X1601" s="373" t="s">
        <v>1972</v>
      </c>
      <c r="Y1601" s="55" t="e">
        <f ca="1">_xlfn.XLOOKUP(PAA_4[[#This Row],[ITEM]],[2]Contrato!A:A,[2]Contrato!B:B,"",0)</f>
        <v>#NAME?</v>
      </c>
      <c r="Z1601" s="47" t="e">
        <f ca="1">_xlfn.XLOOKUP(PAA_4[[#This Row],[ITEM]],[2]Contrato!A:A,[2]Contrato!G:G,"",0)</f>
        <v>#NAME?</v>
      </c>
      <c r="AA1601" s="47" t="e">
        <f ca="1">_xlfn.XLOOKUP(PAA_4[[#This Row],[ITEM]],[2]Contrato!A:A,[2]Contrato!T:T,"",0)</f>
        <v>#NAME?</v>
      </c>
      <c r="AB1601" s="55" t="e">
        <f ca="1">+MAX(PAA_4[[#This Row],[Comprometido Contrato]],PAA_4[[#This Row],[Comprometido Bolsa]])</f>
        <v>#NAME?</v>
      </c>
      <c r="AC1601" s="55" t="str">
        <f t="shared" ca="1" si="555"/>
        <v/>
      </c>
      <c r="AD1601" s="55" t="e">
        <f ca="1">IF(PAA_4[[#This Row],[ESTADO (formulado)]]="NO CONTRATADO",0,MAX(PAA_4[[#This Row],[Pago por Contrato]],PAA_4[[#This Row],[Pago por bolsa]]))</f>
        <v>#NAME?</v>
      </c>
      <c r="AE1601" s="55" t="str">
        <f t="shared" ca="1" si="556"/>
        <v/>
      </c>
      <c r="AF1601" s="47" t="e">
        <f t="shared" ca="1" si="557"/>
        <v>#NAME?</v>
      </c>
      <c r="AG1601" s="47">
        <f t="shared" si="558"/>
        <v>41080101</v>
      </c>
      <c r="AH1601" s="54" t="str">
        <f>IF(Q1601="22",IF(ISNUMBER(SEARCH("econ",PAA_4[[#This Row],[Actividad3]])),"Económico",IF(ISNUMBER(SEARCH("alim",PAA_4[[#This Row],[Actividad3]])),"Alimentación",IF(ISNUMBER(SEARCH("educ",PAA_4[[#This Row],[Actividad3]])),"Educativo","Técnico"))),0)</f>
        <v>Técnico</v>
      </c>
      <c r="AI1601" s="47" t="e" cm="1">
        <f t="array" aca="1" ref="AI1601" ca="1">_xlfn.XLOOKUP(PAA_4[[#This Row],[RCP-RUBRO]],[2]!COMPROMISOS_2024[[#All],[concatenado]],[2]!COMPROMISOS_2024[[#All],[Total pagado]],"",0)</f>
        <v>#NAME?</v>
      </c>
      <c r="AJ1601" s="56" t="e">
        <f ca="1">IF(PAA_4[[#This Row],[BOLSA]]=0,0,SUMIFS([2]!COMPROMISOS_2024[[#All],[Total pagado]],[2]!COMPROMISOS_2024[[#All],[Bolsa]],PAA_4[[#This Row],[BOLSA]],[2]!COMPROMISOS_2024[[#All],[rubro]],PAA_4[[#This Row],[RCP-RUBRO]]))</f>
        <v>#REF!</v>
      </c>
      <c r="AK1601" s="47" t="e" cm="1">
        <f t="array" aca="1" ref="AK1601" ca="1">_xlfn.XLOOKUP(PAA_4[[#This Row],[RCP-RUBRO]],[2]!COMPROMISOS_2024[[#All],[concatenado]],[2]!COMPROMISOS_2024[[#All],[Total Comprometido]],"",0)</f>
        <v>#NAME?</v>
      </c>
      <c r="AL1601" s="47" t="e">
        <f ca="1">IF(PAA_4[[#This Row],[BOLSA]]=0,0,SUMIFS([2]!COMPROMISOS_2024[[#All],[Total Comprometido]],[2]!COMPROMISOS_2024[[#All],[Bolsa]],PAA_4[[#This Row],[BOLSA]],[2]!COMPROMISOS_2024[[#All],[concatenado]],PAA_4[[#This Row],[RCP-RUBRO]]))</f>
        <v>#REF!</v>
      </c>
    </row>
    <row r="1602" spans="1:38" s="19" customFormat="1" ht="31.5" customHeight="1">
      <c r="A1602" s="47">
        <v>865</v>
      </c>
      <c r="B1602" s="344">
        <v>80111600</v>
      </c>
      <c r="C1602" s="47" t="str">
        <f>VLOOKUP(PAA_4[[#This Row],[PROYECTO (formulado)2]],[2]PROYECTOS!$G$1:$L$32,6,0)</f>
        <v>SUBGERENCIA DE ALTOS LOGROS Y DEPORTE ASOCIADO</v>
      </c>
      <c r="D1602" s="47" t="str">
        <f>+IF(PAA_4[[#This Row],[UNIDAD DE CONTRATACION (formulado)]]="Subgerencia Administrativa y Financiera","FUNCIONAMIENTO","INVERSIÓN")</f>
        <v>INVERSIÓN</v>
      </c>
      <c r="E1602" s="48" t="str">
        <f>VLOOKUP(Q1602,[2]PROYECTOS!$G$1:$K$32,5,0)</f>
        <v>APOYO_TÉCNICO_Y_PSICOSOCIAL_A_LOS_DEPORTISTAS_DE_ANTIOQUIA</v>
      </c>
      <c r="F1602" s="48">
        <f>VLOOKUP(E1602,[2]PROYECTOS!$K$1:$M$32,3,0)</f>
        <v>2021003050069</v>
      </c>
      <c r="G1602" s="371" t="s">
        <v>239</v>
      </c>
      <c r="H1602" s="49" t="str">
        <f>VLOOKUP(Q1602,[2]PROYECTOS!$V$1:$W$32,2,0)</f>
        <v>050069</v>
      </c>
      <c r="I1602" s="374">
        <v>19963006</v>
      </c>
      <c r="J1602" s="286" t="s">
        <v>1974</v>
      </c>
      <c r="K1602" s="47" t="str">
        <f t="shared" ca="1" si="552"/>
        <v>CONTRATADO</v>
      </c>
      <c r="L1602" s="372" t="s">
        <v>147</v>
      </c>
      <c r="M1602" s="58" t="s">
        <v>1297</v>
      </c>
      <c r="N1602" s="344" t="s">
        <v>240</v>
      </c>
      <c r="O1602" s="51" t="e">
        <f>VLOOKUP(N1602,[2]!RUBROS[#All],3,0)</f>
        <v>#REF!</v>
      </c>
      <c r="P1602" s="53" t="e">
        <f>VLOOKUP(N1602,[2]!RUBROS[#All],2,0)</f>
        <v>#REF!</v>
      </c>
      <c r="Q1602" s="47" t="str">
        <f t="shared" si="553"/>
        <v>22</v>
      </c>
      <c r="R1602" s="47" t="str">
        <f t="shared" si="554"/>
        <v>0-205400</v>
      </c>
      <c r="S1602" s="342">
        <v>122</v>
      </c>
      <c r="T1602" s="59" t="s">
        <v>1970</v>
      </c>
      <c r="U1602" s="326" t="e">
        <f ca="1">_xlfn.XLOOKUP(PAA_4[[#This Row],[ITEM]],[2]Contrato!A:A,[2]Contrato!Q:Q,"",0)</f>
        <v>#NAME?</v>
      </c>
      <c r="V1602" s="47" t="s">
        <v>95</v>
      </c>
      <c r="W1602" s="373" t="s">
        <v>1971</v>
      </c>
      <c r="X1602" s="373" t="s">
        <v>1972</v>
      </c>
      <c r="Y1602" s="55" t="e">
        <f ca="1">_xlfn.XLOOKUP(PAA_4[[#This Row],[ITEM]],[2]Contrato!A:A,[2]Contrato!B:B,"",0)</f>
        <v>#NAME?</v>
      </c>
      <c r="Z1602" s="47" t="e">
        <f ca="1">_xlfn.XLOOKUP(PAA_4[[#This Row],[ITEM]],[2]Contrato!A:A,[2]Contrato!G:G,"",0)</f>
        <v>#NAME?</v>
      </c>
      <c r="AA1602" s="47" t="e">
        <f ca="1">_xlfn.XLOOKUP(PAA_4[[#This Row],[ITEM]],[2]Contrato!A:A,[2]Contrato!T:T,"",0)</f>
        <v>#NAME?</v>
      </c>
      <c r="AB1602" s="55" t="e">
        <f ca="1">+MAX(PAA_4[[#This Row],[Comprometido Contrato]],PAA_4[[#This Row],[Comprometido Bolsa]])</f>
        <v>#NAME?</v>
      </c>
      <c r="AC1602" s="55" t="str">
        <f t="shared" ca="1" si="555"/>
        <v/>
      </c>
      <c r="AD1602" s="55" t="e">
        <f ca="1">IF(PAA_4[[#This Row],[ESTADO (formulado)]]="NO CONTRATADO",0,MAX(PAA_4[[#This Row],[Pago por Contrato]],PAA_4[[#This Row],[Pago por bolsa]]))</f>
        <v>#NAME?</v>
      </c>
      <c r="AE1602" s="55" t="str">
        <f t="shared" ca="1" si="556"/>
        <v/>
      </c>
      <c r="AF1602" s="47" t="e">
        <f t="shared" ca="1" si="557"/>
        <v>#NAME?</v>
      </c>
      <c r="AG1602" s="47">
        <f t="shared" si="558"/>
        <v>41080101</v>
      </c>
      <c r="AH1602" s="54" t="str">
        <f>IF(Q1602="22",IF(ISNUMBER(SEARCH("econ",PAA_4[[#This Row],[Actividad3]])),"Económico",IF(ISNUMBER(SEARCH("alim",PAA_4[[#This Row],[Actividad3]])),"Alimentación",IF(ISNUMBER(SEARCH("educ",PAA_4[[#This Row],[Actividad3]])),"Educativo","Técnico"))),0)</f>
        <v>Técnico</v>
      </c>
      <c r="AI1602" s="47" t="e" cm="1">
        <f t="array" aca="1" ref="AI1602" ca="1">_xlfn.XLOOKUP(PAA_4[[#This Row],[RCP-RUBRO]],[2]!COMPROMISOS_2024[[#All],[concatenado]],[2]!COMPROMISOS_2024[[#All],[Total pagado]],"",0)</f>
        <v>#NAME?</v>
      </c>
      <c r="AJ1602" s="56" t="e">
        <f ca="1">IF(PAA_4[[#This Row],[BOLSA]]=0,0,SUMIFS([2]!COMPROMISOS_2024[[#All],[Total pagado]],[2]!COMPROMISOS_2024[[#All],[Bolsa]],PAA_4[[#This Row],[BOLSA]],[2]!COMPROMISOS_2024[[#All],[rubro]],PAA_4[[#This Row],[RCP-RUBRO]]))</f>
        <v>#REF!</v>
      </c>
      <c r="AK1602" s="47" t="e" cm="1">
        <f t="array" aca="1" ref="AK1602" ca="1">_xlfn.XLOOKUP(PAA_4[[#This Row],[RCP-RUBRO]],[2]!COMPROMISOS_2024[[#All],[concatenado]],[2]!COMPROMISOS_2024[[#All],[Total Comprometido]],"",0)</f>
        <v>#NAME?</v>
      </c>
      <c r="AL1602" s="47" t="e">
        <f ca="1">IF(PAA_4[[#This Row],[BOLSA]]=0,0,SUMIFS([2]!COMPROMISOS_2024[[#All],[Total Comprometido]],[2]!COMPROMISOS_2024[[#All],[Bolsa]],PAA_4[[#This Row],[BOLSA]],[2]!COMPROMISOS_2024[[#All],[concatenado]],PAA_4[[#This Row],[RCP-RUBRO]]))</f>
        <v>#REF!</v>
      </c>
    </row>
    <row r="1603" spans="1:38" s="19" customFormat="1" ht="31.5" customHeight="1">
      <c r="A1603" s="47">
        <v>866</v>
      </c>
      <c r="B1603" s="344">
        <v>80111600</v>
      </c>
      <c r="C1603" s="47" t="str">
        <f>VLOOKUP(PAA_4[[#This Row],[PROYECTO (formulado)2]],[2]PROYECTOS!$G$1:$L$32,6,0)</f>
        <v>SUBGERENCIA DE ALTOS LOGROS Y DEPORTE ASOCIADO</v>
      </c>
      <c r="D1603" s="47" t="str">
        <f>+IF(PAA_4[[#This Row],[UNIDAD DE CONTRATACION (formulado)]]="Subgerencia Administrativa y Financiera","FUNCIONAMIENTO","INVERSIÓN")</f>
        <v>INVERSIÓN</v>
      </c>
      <c r="E1603" s="48" t="str">
        <f>VLOOKUP(Q1603,[2]PROYECTOS!$G$1:$K$32,5,0)</f>
        <v>APOYO_TÉCNICO_Y_PSICOSOCIAL_A_LOS_DEPORTISTAS_DE_ANTIOQUIA</v>
      </c>
      <c r="F1603" s="48">
        <f>VLOOKUP(E1603,[2]PROYECTOS!$K$1:$M$32,3,0)</f>
        <v>2021003050069</v>
      </c>
      <c r="G1603" s="371" t="s">
        <v>239</v>
      </c>
      <c r="H1603" s="49" t="str">
        <f>VLOOKUP(Q1603,[2]PROYECTOS!$V$1:$W$32,2,0)</f>
        <v>050069</v>
      </c>
      <c r="I1603" s="374">
        <v>19963006</v>
      </c>
      <c r="J1603" s="286" t="s">
        <v>1974</v>
      </c>
      <c r="K1603" s="47" t="str">
        <f t="shared" ca="1" si="552"/>
        <v>CONTRATADO</v>
      </c>
      <c r="L1603" s="372" t="s">
        <v>147</v>
      </c>
      <c r="M1603" s="58" t="s">
        <v>1297</v>
      </c>
      <c r="N1603" s="344" t="s">
        <v>240</v>
      </c>
      <c r="O1603" s="51" t="e">
        <f>VLOOKUP(N1603,[2]!RUBROS[#All],3,0)</f>
        <v>#REF!</v>
      </c>
      <c r="P1603" s="53" t="e">
        <f>VLOOKUP(N1603,[2]!RUBROS[#All],2,0)</f>
        <v>#REF!</v>
      </c>
      <c r="Q1603" s="47" t="str">
        <f t="shared" si="553"/>
        <v>22</v>
      </c>
      <c r="R1603" s="47" t="str">
        <f t="shared" si="554"/>
        <v>0-205400</v>
      </c>
      <c r="S1603" s="342">
        <v>122</v>
      </c>
      <c r="T1603" s="59" t="s">
        <v>1970</v>
      </c>
      <c r="U1603" s="326" t="e">
        <f ca="1">_xlfn.XLOOKUP(PAA_4[[#This Row],[ITEM]],[2]Contrato!A:A,[2]Contrato!Q:Q,"",0)</f>
        <v>#NAME?</v>
      </c>
      <c r="V1603" s="47" t="s">
        <v>95</v>
      </c>
      <c r="W1603" s="373" t="s">
        <v>1971</v>
      </c>
      <c r="X1603" s="373" t="s">
        <v>1972</v>
      </c>
      <c r="Y1603" s="55" t="e">
        <f ca="1">_xlfn.XLOOKUP(PAA_4[[#This Row],[ITEM]],[2]Contrato!A:A,[2]Contrato!B:B,"",0)</f>
        <v>#NAME?</v>
      </c>
      <c r="Z1603" s="47" t="e">
        <f ca="1">_xlfn.XLOOKUP(PAA_4[[#This Row],[ITEM]],[2]Contrato!A:A,[2]Contrato!G:G,"",0)</f>
        <v>#NAME?</v>
      </c>
      <c r="AA1603" s="47" t="e">
        <f ca="1">_xlfn.XLOOKUP(PAA_4[[#This Row],[ITEM]],[2]Contrato!A:A,[2]Contrato!T:T,"",0)</f>
        <v>#NAME?</v>
      </c>
      <c r="AB1603" s="55" t="e">
        <f ca="1">+MAX(PAA_4[[#This Row],[Comprometido Contrato]],PAA_4[[#This Row],[Comprometido Bolsa]])</f>
        <v>#NAME?</v>
      </c>
      <c r="AC1603" s="55" t="str">
        <f t="shared" ca="1" si="555"/>
        <v/>
      </c>
      <c r="AD1603" s="55" t="e">
        <f ca="1">IF(PAA_4[[#This Row],[ESTADO (formulado)]]="NO CONTRATADO",0,MAX(PAA_4[[#This Row],[Pago por Contrato]],PAA_4[[#This Row],[Pago por bolsa]]))</f>
        <v>#NAME?</v>
      </c>
      <c r="AE1603" s="55" t="str">
        <f t="shared" ca="1" si="556"/>
        <v/>
      </c>
      <c r="AF1603" s="47" t="e">
        <f t="shared" ca="1" si="557"/>
        <v>#NAME?</v>
      </c>
      <c r="AG1603" s="47">
        <f t="shared" si="558"/>
        <v>41080101</v>
      </c>
      <c r="AH1603" s="54" t="str">
        <f>IF(Q1603="22",IF(ISNUMBER(SEARCH("econ",PAA_4[[#This Row],[Actividad3]])),"Económico",IF(ISNUMBER(SEARCH("alim",PAA_4[[#This Row],[Actividad3]])),"Alimentación",IF(ISNUMBER(SEARCH("educ",PAA_4[[#This Row],[Actividad3]])),"Educativo","Técnico"))),0)</f>
        <v>Técnico</v>
      </c>
      <c r="AI1603" s="47" t="e" cm="1">
        <f t="array" aca="1" ref="AI1603" ca="1">_xlfn.XLOOKUP(PAA_4[[#This Row],[RCP-RUBRO]],[2]!COMPROMISOS_2024[[#All],[concatenado]],[2]!COMPROMISOS_2024[[#All],[Total pagado]],"",0)</f>
        <v>#NAME?</v>
      </c>
      <c r="AJ1603" s="56" t="e">
        <f ca="1">IF(PAA_4[[#This Row],[BOLSA]]=0,0,SUMIFS([2]!COMPROMISOS_2024[[#All],[Total pagado]],[2]!COMPROMISOS_2024[[#All],[Bolsa]],PAA_4[[#This Row],[BOLSA]],[2]!COMPROMISOS_2024[[#All],[rubro]],PAA_4[[#This Row],[RCP-RUBRO]]))</f>
        <v>#REF!</v>
      </c>
      <c r="AK1603" s="47" t="e" cm="1">
        <f t="array" aca="1" ref="AK1603" ca="1">_xlfn.XLOOKUP(PAA_4[[#This Row],[RCP-RUBRO]],[2]!COMPROMISOS_2024[[#All],[concatenado]],[2]!COMPROMISOS_2024[[#All],[Total Comprometido]],"",0)</f>
        <v>#NAME?</v>
      </c>
      <c r="AL1603" s="47" t="e">
        <f ca="1">IF(PAA_4[[#This Row],[BOLSA]]=0,0,SUMIFS([2]!COMPROMISOS_2024[[#All],[Total Comprometido]],[2]!COMPROMISOS_2024[[#All],[Bolsa]],PAA_4[[#This Row],[BOLSA]],[2]!COMPROMISOS_2024[[#All],[concatenado]],PAA_4[[#This Row],[RCP-RUBRO]]))</f>
        <v>#REF!</v>
      </c>
    </row>
    <row r="1604" spans="1:38" s="19" customFormat="1" ht="31.5" customHeight="1">
      <c r="A1604" s="47" t="s">
        <v>82</v>
      </c>
      <c r="B1604" s="366" t="s">
        <v>42</v>
      </c>
      <c r="C1604" s="47" t="str">
        <f>VLOOKUP(PAA_4[[#This Row],[PROYECTO (formulado)2]],[2]PROYECTOS!$G$1:$L$32,6,0)</f>
        <v>SUBGERENCIA DE ALTOS LOGROS Y DEPORTE ASOCIADO</v>
      </c>
      <c r="D1604" s="47" t="str">
        <f>+IF(PAA_4[[#This Row],[UNIDAD DE CONTRATACION (formulado)]]="Subgerencia Administrativa y Financiera","FUNCIONAMIENTO","INVERSIÓN")</f>
        <v>INVERSIÓN</v>
      </c>
      <c r="E1604" s="48" t="str">
        <f>VLOOKUP(Q1604,[2]PROYECTOS!$G$1:$K$32,5,0)</f>
        <v>APOYO_TÉCNICO_Y_PSICOSOCIAL_A_LOS_DEPORTISTAS_DE_ANTIOQUIA</v>
      </c>
      <c r="F1604" s="48">
        <f>VLOOKUP(E1604,[2]PROYECTOS!$K$1:$M$32,3,0)</f>
        <v>2021003050069</v>
      </c>
      <c r="G1604" s="371" t="s">
        <v>239</v>
      </c>
      <c r="H1604" s="49" t="str">
        <f>VLOOKUP(Q1604,[2]PROYECTOS!$V$1:$W$32,2,0)</f>
        <v>050069</v>
      </c>
      <c r="I1604" s="374">
        <v>0</v>
      </c>
      <c r="J1604" s="366" t="s">
        <v>1778</v>
      </c>
      <c r="K1604" s="47" t="str">
        <f t="shared" ca="1" si="552"/>
        <v>CONTRATADO</v>
      </c>
      <c r="L1604" s="58" t="s">
        <v>42</v>
      </c>
      <c r="M1604" s="58" t="s">
        <v>42</v>
      </c>
      <c r="N1604" s="344" t="s">
        <v>240</v>
      </c>
      <c r="O1604" s="51" t="e">
        <f>VLOOKUP(N1604,[2]!RUBROS[#All],3,0)</f>
        <v>#REF!</v>
      </c>
      <c r="P1604" s="53" t="e">
        <f>VLOOKUP(N1604,[2]!RUBROS[#All],2,0)</f>
        <v>#REF!</v>
      </c>
      <c r="Q1604" s="47" t="str">
        <f t="shared" si="553"/>
        <v>22</v>
      </c>
      <c r="R1604" s="47" t="str">
        <f t="shared" si="554"/>
        <v>0-205400</v>
      </c>
      <c r="S1604" s="357" t="s">
        <v>42</v>
      </c>
      <c r="T1604" s="59" t="s">
        <v>42</v>
      </c>
      <c r="U1604" s="326" t="e">
        <f ca="1">_xlfn.XLOOKUP(PAA_4[[#This Row],[ITEM]],[2]Contrato!A:A,[2]Contrato!Q:Q,"",0)</f>
        <v>#NAME?</v>
      </c>
      <c r="V1604" s="47" t="s">
        <v>95</v>
      </c>
      <c r="W1604" s="375" t="s">
        <v>42</v>
      </c>
      <c r="X1604" s="375" t="s">
        <v>42</v>
      </c>
      <c r="Y1604" s="55" t="e">
        <f ca="1">_xlfn.XLOOKUP(PAA_4[[#This Row],[ITEM]],[2]Contrato!A:A,[2]Contrato!B:B,"",0)</f>
        <v>#NAME?</v>
      </c>
      <c r="Z1604" s="47" t="e">
        <f ca="1">_xlfn.XLOOKUP(PAA_4[[#This Row],[ITEM]],[2]Contrato!A:A,[2]Contrato!G:G,"",0)</f>
        <v>#NAME?</v>
      </c>
      <c r="AA1604" s="47" t="e">
        <f ca="1">_xlfn.XLOOKUP(PAA_4[[#This Row],[ITEM]],[2]Contrato!A:A,[2]Contrato!T:T,"",0)</f>
        <v>#NAME?</v>
      </c>
      <c r="AB1604" s="55" t="e">
        <f ca="1">+MAX(PAA_4[[#This Row],[Comprometido Contrato]],PAA_4[[#This Row],[Comprometido Bolsa]])</f>
        <v>#NAME?</v>
      </c>
      <c r="AC1604" s="55" t="str">
        <f t="shared" ca="1" si="555"/>
        <v/>
      </c>
      <c r="AD1604" s="55" t="e">
        <f ca="1">IF(PAA_4[[#This Row],[ESTADO (formulado)]]="NO CONTRATADO",0,MAX(PAA_4[[#This Row],[Pago por Contrato]],PAA_4[[#This Row],[Pago por bolsa]]))</f>
        <v>#NAME?</v>
      </c>
      <c r="AE1604" s="55" t="str">
        <f t="shared" ca="1" si="556"/>
        <v/>
      </c>
      <c r="AF1604" s="47" t="e">
        <f t="shared" ca="1" si="557"/>
        <v>#NAME?</v>
      </c>
      <c r="AG1604" s="47">
        <f t="shared" si="558"/>
        <v>41080101</v>
      </c>
      <c r="AH1604" s="54" t="str">
        <f>IF(Q1604="22",IF(ISNUMBER(SEARCH("econ",PAA_4[[#This Row],[Actividad3]])),"Económico",IF(ISNUMBER(SEARCH("alim",PAA_4[[#This Row],[Actividad3]])),"Alimentación",IF(ISNUMBER(SEARCH("educ",PAA_4[[#This Row],[Actividad3]])),"Educativo","Técnico"))),0)</f>
        <v>Técnico</v>
      </c>
      <c r="AI1604" s="47" t="e" cm="1">
        <f t="array" aca="1" ref="AI1604" ca="1">_xlfn.XLOOKUP(PAA_4[[#This Row],[RCP-RUBRO]],[2]!COMPROMISOS_2024[[#All],[concatenado]],[2]!COMPROMISOS_2024[[#All],[Total pagado]],"",0)</f>
        <v>#NAME?</v>
      </c>
      <c r="AJ1604" s="56" t="e">
        <f ca="1">IF(PAA_4[[#This Row],[BOLSA]]=0,0,SUMIFS([2]!COMPROMISOS_2024[[#All],[Total pagado]],[2]!COMPROMISOS_2024[[#All],[Bolsa]],PAA_4[[#This Row],[BOLSA]],[2]!COMPROMISOS_2024[[#All],[rubro]],PAA_4[[#This Row],[RCP-RUBRO]]))</f>
        <v>#REF!</v>
      </c>
      <c r="AK1604" s="47" t="e" cm="1">
        <f t="array" aca="1" ref="AK1604" ca="1">_xlfn.XLOOKUP(PAA_4[[#This Row],[RCP-RUBRO]],[2]!COMPROMISOS_2024[[#All],[concatenado]],[2]!COMPROMISOS_2024[[#All],[Total Comprometido]],"",0)</f>
        <v>#NAME?</v>
      </c>
      <c r="AL1604" s="47" t="e">
        <f ca="1">IF(PAA_4[[#This Row],[BOLSA]]=0,0,SUMIFS([2]!COMPROMISOS_2024[[#All],[Total Comprometido]],[2]!COMPROMISOS_2024[[#All],[Bolsa]],PAA_4[[#This Row],[BOLSA]],[2]!COMPROMISOS_2024[[#All],[concatenado]],PAA_4[[#This Row],[RCP-RUBRO]]))</f>
        <v>#REF!</v>
      </c>
    </row>
    <row r="1605" spans="1:38" s="19" customFormat="1" ht="31.5" customHeight="1">
      <c r="A1605" s="47">
        <v>867</v>
      </c>
      <c r="B1605" s="344">
        <v>80111600</v>
      </c>
      <c r="C1605" s="47" t="str">
        <f>VLOOKUP(PAA_4[[#This Row],[PROYECTO (formulado)2]],[2]PROYECTOS!$G$1:$L$32,6,0)</f>
        <v>SUBGERENCIA DE ALTOS LOGROS Y DEPORTE ASOCIADO</v>
      </c>
      <c r="D1605" s="47" t="str">
        <f>+IF(PAA_4[[#This Row],[UNIDAD DE CONTRATACION (formulado)]]="Subgerencia Administrativa y Financiera","FUNCIONAMIENTO","INVERSIÓN")</f>
        <v>INVERSIÓN</v>
      </c>
      <c r="E1605" s="48" t="str">
        <f>VLOOKUP(Q1605,[2]PROYECTOS!$G$1:$K$32,5,0)</f>
        <v>APOYO_TÉCNICO_Y_PSICOSOCIAL_A_LOS_DEPORTISTAS_DE_ANTIOQUIA</v>
      </c>
      <c r="F1605" s="48">
        <f>VLOOKUP(E1605,[2]PROYECTOS!$K$1:$M$32,3,0)</f>
        <v>2021003050069</v>
      </c>
      <c r="G1605" s="371" t="s">
        <v>239</v>
      </c>
      <c r="H1605" s="49" t="str">
        <f>VLOOKUP(Q1605,[2]PROYECTOS!$V$1:$W$32,2,0)</f>
        <v>050069</v>
      </c>
      <c r="I1605" s="374">
        <f>29453616-9490610</f>
        <v>19963006</v>
      </c>
      <c r="J1605" s="286" t="s">
        <v>1974</v>
      </c>
      <c r="K1605" s="47" t="str">
        <f t="shared" ca="1" si="552"/>
        <v>CONTRATADO</v>
      </c>
      <c r="L1605" s="372" t="s">
        <v>147</v>
      </c>
      <c r="M1605" s="58" t="s">
        <v>1297</v>
      </c>
      <c r="N1605" s="344" t="s">
        <v>240</v>
      </c>
      <c r="O1605" s="51" t="e">
        <f>VLOOKUP(N1605,[2]!RUBROS[#All],3,0)</f>
        <v>#REF!</v>
      </c>
      <c r="P1605" s="53" t="e">
        <f>VLOOKUP(N1605,[2]!RUBROS[#All],2,0)</f>
        <v>#REF!</v>
      </c>
      <c r="Q1605" s="47" t="str">
        <f t="shared" si="553"/>
        <v>22</v>
      </c>
      <c r="R1605" s="47" t="str">
        <f t="shared" si="554"/>
        <v>0-205400</v>
      </c>
      <c r="S1605" s="357">
        <v>122</v>
      </c>
      <c r="T1605" s="59" t="s">
        <v>1970</v>
      </c>
      <c r="U1605" s="326" t="e">
        <f ca="1">_xlfn.XLOOKUP(PAA_4[[#This Row],[ITEM]],[2]Contrato!A:A,[2]Contrato!Q:Q,"",0)</f>
        <v>#NAME?</v>
      </c>
      <c r="V1605" s="47" t="s">
        <v>95</v>
      </c>
      <c r="W1605" s="373" t="s">
        <v>1971</v>
      </c>
      <c r="X1605" s="373" t="s">
        <v>1972</v>
      </c>
      <c r="Y1605" s="55" t="e">
        <f ca="1">_xlfn.XLOOKUP(PAA_4[[#This Row],[ITEM]],[2]Contrato!A:A,[2]Contrato!B:B,"",0)</f>
        <v>#NAME?</v>
      </c>
      <c r="Z1605" s="47" t="e">
        <f ca="1">_xlfn.XLOOKUP(PAA_4[[#This Row],[ITEM]],[2]Contrato!A:A,[2]Contrato!G:G,"",0)</f>
        <v>#NAME?</v>
      </c>
      <c r="AA1605" s="47" t="e">
        <f ca="1">_xlfn.XLOOKUP(PAA_4[[#This Row],[ITEM]],[2]Contrato!A:A,[2]Contrato!T:T,"",0)</f>
        <v>#NAME?</v>
      </c>
      <c r="AB1605" s="55" t="e">
        <f ca="1">+MAX(PAA_4[[#This Row],[Comprometido Contrato]],PAA_4[[#This Row],[Comprometido Bolsa]])</f>
        <v>#NAME?</v>
      </c>
      <c r="AC1605" s="55" t="str">
        <f t="shared" ca="1" si="555"/>
        <v/>
      </c>
      <c r="AD1605" s="55" t="e">
        <f ca="1">IF(PAA_4[[#This Row],[ESTADO (formulado)]]="NO CONTRATADO",0,MAX(PAA_4[[#This Row],[Pago por Contrato]],PAA_4[[#This Row],[Pago por bolsa]]))</f>
        <v>#NAME?</v>
      </c>
      <c r="AE1605" s="55" t="str">
        <f t="shared" ca="1" si="556"/>
        <v/>
      </c>
      <c r="AF1605" s="47" t="e">
        <f t="shared" ca="1" si="557"/>
        <v>#NAME?</v>
      </c>
      <c r="AG1605" s="47">
        <f t="shared" si="558"/>
        <v>41080101</v>
      </c>
      <c r="AH1605" s="54" t="str">
        <f>IF(Q1605="22",IF(ISNUMBER(SEARCH("econ",PAA_4[[#This Row],[Actividad3]])),"Económico",IF(ISNUMBER(SEARCH("alim",PAA_4[[#This Row],[Actividad3]])),"Alimentación",IF(ISNUMBER(SEARCH("educ",PAA_4[[#This Row],[Actividad3]])),"Educativo","Técnico"))),0)</f>
        <v>Técnico</v>
      </c>
      <c r="AI1605" s="47" t="e" cm="1">
        <f t="array" aca="1" ref="AI1605" ca="1">_xlfn.XLOOKUP(PAA_4[[#This Row],[RCP-RUBRO]],[2]!COMPROMISOS_2024[[#All],[concatenado]],[2]!COMPROMISOS_2024[[#All],[Total pagado]],"",0)</f>
        <v>#NAME?</v>
      </c>
      <c r="AJ1605" s="56" t="e">
        <f ca="1">IF(PAA_4[[#This Row],[BOLSA]]=0,0,SUMIFS([2]!COMPROMISOS_2024[[#All],[Total pagado]],[2]!COMPROMISOS_2024[[#All],[Bolsa]],PAA_4[[#This Row],[BOLSA]],[2]!COMPROMISOS_2024[[#All],[rubro]],PAA_4[[#This Row],[RCP-RUBRO]]))</f>
        <v>#REF!</v>
      </c>
      <c r="AK1605" s="47" t="e" cm="1">
        <f t="array" aca="1" ref="AK1605" ca="1">_xlfn.XLOOKUP(PAA_4[[#This Row],[RCP-RUBRO]],[2]!COMPROMISOS_2024[[#All],[concatenado]],[2]!COMPROMISOS_2024[[#All],[Total Comprometido]],"",0)</f>
        <v>#NAME?</v>
      </c>
      <c r="AL1605" s="47" t="e">
        <f ca="1">IF(PAA_4[[#This Row],[BOLSA]]=0,0,SUMIFS([2]!COMPROMISOS_2024[[#All],[Total Comprometido]],[2]!COMPROMISOS_2024[[#All],[Bolsa]],PAA_4[[#This Row],[BOLSA]],[2]!COMPROMISOS_2024[[#All],[concatenado]],PAA_4[[#This Row],[RCP-RUBRO]]))</f>
        <v>#REF!</v>
      </c>
    </row>
    <row r="1606" spans="1:38" s="19" customFormat="1" ht="31.5" customHeight="1">
      <c r="A1606" s="47">
        <v>868</v>
      </c>
      <c r="B1606" s="344">
        <v>80111600</v>
      </c>
      <c r="C1606" s="47" t="str">
        <f>VLOOKUP(PAA_4[[#This Row],[PROYECTO (formulado)2]],[2]PROYECTOS!$G$1:$L$32,6,0)</f>
        <v>SUBGERENCIA DE ALTOS LOGROS Y DEPORTE ASOCIADO</v>
      </c>
      <c r="D1606" s="47" t="str">
        <f>+IF(PAA_4[[#This Row],[UNIDAD DE CONTRATACION (formulado)]]="Subgerencia Administrativa y Financiera","FUNCIONAMIENTO","INVERSIÓN")</f>
        <v>INVERSIÓN</v>
      </c>
      <c r="E1606" s="48" t="str">
        <f>VLOOKUP(Q1606,[2]PROYECTOS!$G$1:$K$32,5,0)</f>
        <v>APOYO_TÉCNICO_Y_PSICOSOCIAL_A_LOS_DEPORTISTAS_DE_ANTIOQUIA</v>
      </c>
      <c r="F1606" s="48">
        <f>VLOOKUP(E1606,[2]PROYECTOS!$K$1:$M$32,3,0)</f>
        <v>2021003050069</v>
      </c>
      <c r="G1606" s="371" t="s">
        <v>239</v>
      </c>
      <c r="H1606" s="49" t="str">
        <f>VLOOKUP(Q1606,[2]PROYECTOS!$V$1:$W$32,2,0)</f>
        <v>050069</v>
      </c>
      <c r="I1606" s="374">
        <v>19963006</v>
      </c>
      <c r="J1606" s="286" t="s">
        <v>1975</v>
      </c>
      <c r="K1606" s="47" t="str">
        <f t="shared" ca="1" si="552"/>
        <v>CONTRATADO</v>
      </c>
      <c r="L1606" s="372" t="s">
        <v>147</v>
      </c>
      <c r="M1606" s="58" t="s">
        <v>1297</v>
      </c>
      <c r="N1606" s="344" t="s">
        <v>240</v>
      </c>
      <c r="O1606" s="51" t="e">
        <f>VLOOKUP(N1606,[2]!RUBROS[#All],3,0)</f>
        <v>#REF!</v>
      </c>
      <c r="P1606" s="53" t="e">
        <f>VLOOKUP(N1606,[2]!RUBROS[#All],2,0)</f>
        <v>#REF!</v>
      </c>
      <c r="Q1606" s="47" t="str">
        <f t="shared" si="553"/>
        <v>22</v>
      </c>
      <c r="R1606" s="47" t="str">
        <f t="shared" si="554"/>
        <v>0-205400</v>
      </c>
      <c r="S1606" s="342">
        <v>122</v>
      </c>
      <c r="T1606" s="59" t="s">
        <v>1970</v>
      </c>
      <c r="U1606" s="326" t="e">
        <f ca="1">_xlfn.XLOOKUP(PAA_4[[#This Row],[ITEM]],[2]Contrato!A:A,[2]Contrato!Q:Q,"",0)</f>
        <v>#NAME?</v>
      </c>
      <c r="V1606" s="47" t="s">
        <v>95</v>
      </c>
      <c r="W1606" s="373" t="s">
        <v>1971</v>
      </c>
      <c r="X1606" s="373" t="s">
        <v>1972</v>
      </c>
      <c r="Y1606" s="55" t="e">
        <f ca="1">_xlfn.XLOOKUP(PAA_4[[#This Row],[ITEM]],[2]Contrato!A:A,[2]Contrato!B:B,"",0)</f>
        <v>#NAME?</v>
      </c>
      <c r="Z1606" s="47" t="e">
        <f ca="1">_xlfn.XLOOKUP(PAA_4[[#This Row],[ITEM]],[2]Contrato!A:A,[2]Contrato!G:G,"",0)</f>
        <v>#NAME?</v>
      </c>
      <c r="AA1606" s="47" t="e">
        <f ca="1">_xlfn.XLOOKUP(PAA_4[[#This Row],[ITEM]],[2]Contrato!A:A,[2]Contrato!T:T,"",0)</f>
        <v>#NAME?</v>
      </c>
      <c r="AB1606" s="55" t="e">
        <f ca="1">+MAX(PAA_4[[#This Row],[Comprometido Contrato]],PAA_4[[#This Row],[Comprometido Bolsa]])</f>
        <v>#NAME?</v>
      </c>
      <c r="AC1606" s="55" t="str">
        <f t="shared" ca="1" si="555"/>
        <v/>
      </c>
      <c r="AD1606" s="55" t="e">
        <f ca="1">IF(PAA_4[[#This Row],[ESTADO (formulado)]]="NO CONTRATADO",0,MAX(PAA_4[[#This Row],[Pago por Contrato]],PAA_4[[#This Row],[Pago por bolsa]]))</f>
        <v>#NAME?</v>
      </c>
      <c r="AE1606" s="55" t="str">
        <f t="shared" ca="1" si="556"/>
        <v/>
      </c>
      <c r="AF1606" s="47" t="e">
        <f t="shared" ca="1" si="557"/>
        <v>#NAME?</v>
      </c>
      <c r="AG1606" s="47">
        <f t="shared" si="558"/>
        <v>41080101</v>
      </c>
      <c r="AH1606" s="54" t="str">
        <f>IF(Q1606="22",IF(ISNUMBER(SEARCH("econ",PAA_4[[#This Row],[Actividad3]])),"Económico",IF(ISNUMBER(SEARCH("alim",PAA_4[[#This Row],[Actividad3]])),"Alimentación",IF(ISNUMBER(SEARCH("educ",PAA_4[[#This Row],[Actividad3]])),"Educativo","Técnico"))),0)</f>
        <v>Técnico</v>
      </c>
      <c r="AI1606" s="47" t="e" cm="1">
        <f t="array" aca="1" ref="AI1606" ca="1">_xlfn.XLOOKUP(PAA_4[[#This Row],[RCP-RUBRO]],[2]!COMPROMISOS_2024[[#All],[concatenado]],[2]!COMPROMISOS_2024[[#All],[Total pagado]],"",0)</f>
        <v>#NAME?</v>
      </c>
      <c r="AJ1606" s="56" t="e">
        <f ca="1">IF(PAA_4[[#This Row],[BOLSA]]=0,0,SUMIFS([2]!COMPROMISOS_2024[[#All],[Total pagado]],[2]!COMPROMISOS_2024[[#All],[Bolsa]],PAA_4[[#This Row],[BOLSA]],[2]!COMPROMISOS_2024[[#All],[rubro]],PAA_4[[#This Row],[RCP-RUBRO]]))</f>
        <v>#REF!</v>
      </c>
      <c r="AK1606" s="47" t="e" cm="1">
        <f t="array" aca="1" ref="AK1606" ca="1">_xlfn.XLOOKUP(PAA_4[[#This Row],[RCP-RUBRO]],[2]!COMPROMISOS_2024[[#All],[concatenado]],[2]!COMPROMISOS_2024[[#All],[Total Comprometido]],"",0)</f>
        <v>#NAME?</v>
      </c>
      <c r="AL1606" s="47" t="e">
        <f ca="1">IF(PAA_4[[#This Row],[BOLSA]]=0,0,SUMIFS([2]!COMPROMISOS_2024[[#All],[Total Comprometido]],[2]!COMPROMISOS_2024[[#All],[Bolsa]],PAA_4[[#This Row],[BOLSA]],[2]!COMPROMISOS_2024[[#All],[concatenado]],PAA_4[[#This Row],[RCP-RUBRO]]))</f>
        <v>#REF!</v>
      </c>
    </row>
    <row r="1607" spans="1:38" s="19" customFormat="1" ht="31.5" customHeight="1">
      <c r="A1607" s="47">
        <v>869</v>
      </c>
      <c r="B1607" s="344">
        <v>80111600</v>
      </c>
      <c r="C1607" s="47" t="str">
        <f>VLOOKUP(PAA_4[[#This Row],[PROYECTO (formulado)2]],[2]PROYECTOS!$G$1:$L$32,6,0)</f>
        <v>SUBGERENCIA DE ALTOS LOGROS Y DEPORTE ASOCIADO</v>
      </c>
      <c r="D1607" s="47" t="str">
        <f>+IF(PAA_4[[#This Row],[UNIDAD DE CONTRATACION (formulado)]]="Subgerencia Administrativa y Financiera","FUNCIONAMIENTO","INVERSIÓN")</f>
        <v>INVERSIÓN</v>
      </c>
      <c r="E1607" s="48" t="str">
        <f>VLOOKUP(Q1607,[2]PROYECTOS!$G$1:$K$32,5,0)</f>
        <v>APOYO_TÉCNICO_Y_PSICOSOCIAL_A_LOS_DEPORTISTAS_DE_ANTIOQUIA</v>
      </c>
      <c r="F1607" s="48">
        <f>VLOOKUP(E1607,[2]PROYECTOS!$K$1:$M$32,3,0)</f>
        <v>2021003050069</v>
      </c>
      <c r="G1607" s="371" t="s">
        <v>239</v>
      </c>
      <c r="H1607" s="49" t="str">
        <f>VLOOKUP(Q1607,[2]PROYECTOS!$V$1:$W$32,2,0)</f>
        <v>050069</v>
      </c>
      <c r="I1607" s="374">
        <v>19963006</v>
      </c>
      <c r="J1607" s="286" t="s">
        <v>1975</v>
      </c>
      <c r="K1607" s="47" t="str">
        <f t="shared" ca="1" si="552"/>
        <v>CONTRATADO</v>
      </c>
      <c r="L1607" s="372" t="s">
        <v>147</v>
      </c>
      <c r="M1607" s="58" t="s">
        <v>1297</v>
      </c>
      <c r="N1607" s="344" t="s">
        <v>240</v>
      </c>
      <c r="O1607" s="51" t="e">
        <f>VLOOKUP(N1607,[2]!RUBROS[#All],3,0)</f>
        <v>#REF!</v>
      </c>
      <c r="P1607" s="53" t="e">
        <f>VLOOKUP(N1607,[2]!RUBROS[#All],2,0)</f>
        <v>#REF!</v>
      </c>
      <c r="Q1607" s="47" t="str">
        <f t="shared" si="553"/>
        <v>22</v>
      </c>
      <c r="R1607" s="47" t="str">
        <f t="shared" si="554"/>
        <v>0-205400</v>
      </c>
      <c r="S1607" s="342">
        <v>122</v>
      </c>
      <c r="T1607" s="59" t="s">
        <v>1970</v>
      </c>
      <c r="U1607" s="326" t="e">
        <f ca="1">_xlfn.XLOOKUP(PAA_4[[#This Row],[ITEM]],[2]Contrato!A:A,[2]Contrato!Q:Q,"",0)</f>
        <v>#NAME?</v>
      </c>
      <c r="V1607" s="47" t="s">
        <v>95</v>
      </c>
      <c r="W1607" s="373" t="s">
        <v>1971</v>
      </c>
      <c r="X1607" s="373" t="s">
        <v>1972</v>
      </c>
      <c r="Y1607" s="55" t="e">
        <f ca="1">_xlfn.XLOOKUP(PAA_4[[#This Row],[ITEM]],[2]Contrato!A:A,[2]Contrato!B:B,"",0)</f>
        <v>#NAME?</v>
      </c>
      <c r="Z1607" s="47" t="e">
        <f ca="1">_xlfn.XLOOKUP(PAA_4[[#This Row],[ITEM]],[2]Contrato!A:A,[2]Contrato!G:G,"",0)</f>
        <v>#NAME?</v>
      </c>
      <c r="AA1607" s="47" t="e">
        <f ca="1">_xlfn.XLOOKUP(PAA_4[[#This Row],[ITEM]],[2]Contrato!A:A,[2]Contrato!T:T,"",0)</f>
        <v>#NAME?</v>
      </c>
      <c r="AB1607" s="55" t="e">
        <f ca="1">+MAX(PAA_4[[#This Row],[Comprometido Contrato]],PAA_4[[#This Row],[Comprometido Bolsa]])</f>
        <v>#NAME?</v>
      </c>
      <c r="AC1607" s="55" t="str">
        <f t="shared" ca="1" si="555"/>
        <v/>
      </c>
      <c r="AD1607" s="55" t="e">
        <f ca="1">IF(PAA_4[[#This Row],[ESTADO (formulado)]]="NO CONTRATADO",0,MAX(PAA_4[[#This Row],[Pago por Contrato]],PAA_4[[#This Row],[Pago por bolsa]]))</f>
        <v>#NAME?</v>
      </c>
      <c r="AE1607" s="55" t="str">
        <f t="shared" ca="1" si="556"/>
        <v/>
      </c>
      <c r="AF1607" s="47" t="e">
        <f t="shared" ca="1" si="557"/>
        <v>#NAME?</v>
      </c>
      <c r="AG1607" s="47">
        <f t="shared" si="558"/>
        <v>41080101</v>
      </c>
      <c r="AH1607" s="54" t="str">
        <f>IF(Q1607="22",IF(ISNUMBER(SEARCH("econ",PAA_4[[#This Row],[Actividad3]])),"Económico",IF(ISNUMBER(SEARCH("alim",PAA_4[[#This Row],[Actividad3]])),"Alimentación",IF(ISNUMBER(SEARCH("educ",PAA_4[[#This Row],[Actividad3]])),"Educativo","Técnico"))),0)</f>
        <v>Técnico</v>
      </c>
      <c r="AI1607" s="47" t="e" cm="1">
        <f t="array" aca="1" ref="AI1607" ca="1">_xlfn.XLOOKUP(PAA_4[[#This Row],[RCP-RUBRO]],[2]!COMPROMISOS_2024[[#All],[concatenado]],[2]!COMPROMISOS_2024[[#All],[Total pagado]],"",0)</f>
        <v>#NAME?</v>
      </c>
      <c r="AJ1607" s="56" t="e">
        <f ca="1">IF(PAA_4[[#This Row],[BOLSA]]=0,0,SUMIFS([2]!COMPROMISOS_2024[[#All],[Total pagado]],[2]!COMPROMISOS_2024[[#All],[Bolsa]],PAA_4[[#This Row],[BOLSA]],[2]!COMPROMISOS_2024[[#All],[rubro]],PAA_4[[#This Row],[RCP-RUBRO]]))</f>
        <v>#REF!</v>
      </c>
      <c r="AK1607" s="47" t="e" cm="1">
        <f t="array" aca="1" ref="AK1607" ca="1">_xlfn.XLOOKUP(PAA_4[[#This Row],[RCP-RUBRO]],[2]!COMPROMISOS_2024[[#All],[concatenado]],[2]!COMPROMISOS_2024[[#All],[Total Comprometido]],"",0)</f>
        <v>#NAME?</v>
      </c>
      <c r="AL1607" s="47" t="e">
        <f ca="1">IF(PAA_4[[#This Row],[BOLSA]]=0,0,SUMIFS([2]!COMPROMISOS_2024[[#All],[Total Comprometido]],[2]!COMPROMISOS_2024[[#All],[Bolsa]],PAA_4[[#This Row],[BOLSA]],[2]!COMPROMISOS_2024[[#All],[concatenado]],PAA_4[[#This Row],[RCP-RUBRO]]))</f>
        <v>#REF!</v>
      </c>
    </row>
    <row r="1608" spans="1:38" s="19" customFormat="1" ht="31.5" customHeight="1">
      <c r="A1608" s="47">
        <v>870</v>
      </c>
      <c r="B1608" s="344">
        <v>80111600</v>
      </c>
      <c r="C1608" s="47" t="str">
        <f>VLOOKUP(PAA_4[[#This Row],[PROYECTO (formulado)2]],[2]PROYECTOS!$G$1:$L$32,6,0)</f>
        <v>SUBGERENCIA DE ALTOS LOGROS Y DEPORTE ASOCIADO</v>
      </c>
      <c r="D1608" s="47" t="str">
        <f>+IF(PAA_4[[#This Row],[UNIDAD DE CONTRATACION (formulado)]]="Subgerencia Administrativa y Financiera","FUNCIONAMIENTO","INVERSIÓN")</f>
        <v>INVERSIÓN</v>
      </c>
      <c r="E1608" s="48" t="str">
        <f>VLOOKUP(Q1608,[2]PROYECTOS!$G$1:$K$32,5,0)</f>
        <v>APOYO_TÉCNICO_Y_PSICOSOCIAL_A_LOS_DEPORTISTAS_DE_ANTIOQUIA</v>
      </c>
      <c r="F1608" s="48">
        <f>VLOOKUP(E1608,[2]PROYECTOS!$K$1:$M$32,3,0)</f>
        <v>2021003050069</v>
      </c>
      <c r="G1608" s="371" t="s">
        <v>239</v>
      </c>
      <c r="H1608" s="49" t="str">
        <f>VLOOKUP(Q1608,[2]PROYECTOS!$V$1:$W$32,2,0)</f>
        <v>050069</v>
      </c>
      <c r="I1608" s="374">
        <v>16073020</v>
      </c>
      <c r="J1608" s="286" t="s">
        <v>1975</v>
      </c>
      <c r="K1608" s="47" t="str">
        <f t="shared" ca="1" si="552"/>
        <v>CONTRATADO</v>
      </c>
      <c r="L1608" s="372" t="s">
        <v>147</v>
      </c>
      <c r="M1608" s="58" t="s">
        <v>1297</v>
      </c>
      <c r="N1608" s="344" t="s">
        <v>240</v>
      </c>
      <c r="O1608" s="51" t="e">
        <f>VLOOKUP(N1608,[2]!RUBROS[#All],3,0)</f>
        <v>#REF!</v>
      </c>
      <c r="P1608" s="53" t="e">
        <f>VLOOKUP(N1608,[2]!RUBROS[#All],2,0)</f>
        <v>#REF!</v>
      </c>
      <c r="Q1608" s="47" t="str">
        <f t="shared" si="553"/>
        <v>22</v>
      </c>
      <c r="R1608" s="47" t="str">
        <f t="shared" si="554"/>
        <v>0-205400</v>
      </c>
      <c r="S1608" s="342">
        <v>122</v>
      </c>
      <c r="T1608" s="59" t="s">
        <v>1970</v>
      </c>
      <c r="U1608" s="326" t="e">
        <f ca="1">_xlfn.XLOOKUP(PAA_4[[#This Row],[ITEM]],[2]Contrato!A:A,[2]Contrato!Q:Q,"",0)</f>
        <v>#NAME?</v>
      </c>
      <c r="V1608" s="47" t="s">
        <v>95</v>
      </c>
      <c r="W1608" s="373" t="s">
        <v>1971</v>
      </c>
      <c r="X1608" s="373" t="s">
        <v>1972</v>
      </c>
      <c r="Y1608" s="55" t="e">
        <f ca="1">_xlfn.XLOOKUP(PAA_4[[#This Row],[ITEM]],[2]Contrato!A:A,[2]Contrato!B:B,"",0)</f>
        <v>#NAME?</v>
      </c>
      <c r="Z1608" s="47" t="e">
        <f ca="1">_xlfn.XLOOKUP(PAA_4[[#This Row],[ITEM]],[2]Contrato!A:A,[2]Contrato!G:G,"",0)</f>
        <v>#NAME?</v>
      </c>
      <c r="AA1608" s="47" t="e">
        <f ca="1">_xlfn.XLOOKUP(PAA_4[[#This Row],[ITEM]],[2]Contrato!A:A,[2]Contrato!T:T,"",0)</f>
        <v>#NAME?</v>
      </c>
      <c r="AB1608" s="55" t="e">
        <f ca="1">+MAX(PAA_4[[#This Row],[Comprometido Contrato]],PAA_4[[#This Row],[Comprometido Bolsa]])</f>
        <v>#NAME?</v>
      </c>
      <c r="AC1608" s="55" t="str">
        <f t="shared" ca="1" si="555"/>
        <v/>
      </c>
      <c r="AD1608" s="55" t="e">
        <f ca="1">IF(PAA_4[[#This Row],[ESTADO (formulado)]]="NO CONTRATADO",0,MAX(PAA_4[[#This Row],[Pago por Contrato]],PAA_4[[#This Row],[Pago por bolsa]]))</f>
        <v>#NAME?</v>
      </c>
      <c r="AE1608" s="55" t="str">
        <f t="shared" ca="1" si="556"/>
        <v/>
      </c>
      <c r="AF1608" s="47" t="e">
        <f t="shared" ca="1" si="557"/>
        <v>#NAME?</v>
      </c>
      <c r="AG1608" s="47">
        <f t="shared" si="558"/>
        <v>41080101</v>
      </c>
      <c r="AH1608" s="54" t="str">
        <f>IF(Q1608="22",IF(ISNUMBER(SEARCH("econ",PAA_4[[#This Row],[Actividad3]])),"Económico",IF(ISNUMBER(SEARCH("alim",PAA_4[[#This Row],[Actividad3]])),"Alimentación",IF(ISNUMBER(SEARCH("educ",PAA_4[[#This Row],[Actividad3]])),"Educativo","Técnico"))),0)</f>
        <v>Técnico</v>
      </c>
      <c r="AI1608" s="47" t="e" cm="1">
        <f t="array" aca="1" ref="AI1608" ca="1">_xlfn.XLOOKUP(PAA_4[[#This Row],[RCP-RUBRO]],[2]!COMPROMISOS_2024[[#All],[concatenado]],[2]!COMPROMISOS_2024[[#All],[Total pagado]],"",0)</f>
        <v>#NAME?</v>
      </c>
      <c r="AJ1608" s="56" t="e">
        <f ca="1">IF(PAA_4[[#This Row],[BOLSA]]=0,0,SUMIFS([2]!COMPROMISOS_2024[[#All],[Total pagado]],[2]!COMPROMISOS_2024[[#All],[Bolsa]],PAA_4[[#This Row],[BOLSA]],[2]!COMPROMISOS_2024[[#All],[rubro]],PAA_4[[#This Row],[RCP-RUBRO]]))</f>
        <v>#REF!</v>
      </c>
      <c r="AK1608" s="47" t="e" cm="1">
        <f t="array" aca="1" ref="AK1608" ca="1">_xlfn.XLOOKUP(PAA_4[[#This Row],[RCP-RUBRO]],[2]!COMPROMISOS_2024[[#All],[concatenado]],[2]!COMPROMISOS_2024[[#All],[Total Comprometido]],"",0)</f>
        <v>#NAME?</v>
      </c>
      <c r="AL1608" s="47" t="e">
        <f ca="1">IF(PAA_4[[#This Row],[BOLSA]]=0,0,SUMIFS([2]!COMPROMISOS_2024[[#All],[Total Comprometido]],[2]!COMPROMISOS_2024[[#All],[Bolsa]],PAA_4[[#This Row],[BOLSA]],[2]!COMPROMISOS_2024[[#All],[concatenado]],PAA_4[[#This Row],[RCP-RUBRO]]))</f>
        <v>#REF!</v>
      </c>
    </row>
    <row r="1609" spans="1:38" s="19" customFormat="1" ht="31.5" customHeight="1">
      <c r="A1609" s="47">
        <v>871</v>
      </c>
      <c r="B1609" s="344">
        <v>80111600</v>
      </c>
      <c r="C1609" s="47" t="str">
        <f>VLOOKUP(PAA_4[[#This Row],[PROYECTO (formulado)2]],[2]PROYECTOS!$G$1:$L$32,6,0)</f>
        <v>SUBGERENCIA DE ALTOS LOGROS Y DEPORTE ASOCIADO</v>
      </c>
      <c r="D1609" s="47" t="str">
        <f>+IF(PAA_4[[#This Row],[UNIDAD DE CONTRATACION (formulado)]]="Subgerencia Administrativa y Financiera","FUNCIONAMIENTO","INVERSIÓN")</f>
        <v>INVERSIÓN</v>
      </c>
      <c r="E1609" s="48" t="str">
        <f>VLOOKUP(Q1609,[2]PROYECTOS!$G$1:$K$32,5,0)</f>
        <v>APOYO_TÉCNICO_Y_PSICOSOCIAL_A_LOS_DEPORTISTAS_DE_ANTIOQUIA</v>
      </c>
      <c r="F1609" s="48">
        <f>VLOOKUP(E1609,[2]PROYECTOS!$K$1:$M$32,3,0)</f>
        <v>2021003050069</v>
      </c>
      <c r="G1609" s="371" t="s">
        <v>239</v>
      </c>
      <c r="H1609" s="49" t="str">
        <f>VLOOKUP(Q1609,[2]PROYECTOS!$V$1:$W$32,2,0)</f>
        <v>050069</v>
      </c>
      <c r="I1609" s="374">
        <v>19963006</v>
      </c>
      <c r="J1609" s="286" t="s">
        <v>1975</v>
      </c>
      <c r="K1609" s="47" t="str">
        <f t="shared" ca="1" si="552"/>
        <v>CONTRATADO</v>
      </c>
      <c r="L1609" s="372" t="s">
        <v>147</v>
      </c>
      <c r="M1609" s="58" t="s">
        <v>1297</v>
      </c>
      <c r="N1609" s="344" t="s">
        <v>240</v>
      </c>
      <c r="O1609" s="51" t="e">
        <f>VLOOKUP(N1609,[2]!RUBROS[#All],3,0)</f>
        <v>#REF!</v>
      </c>
      <c r="P1609" s="53" t="e">
        <f>VLOOKUP(N1609,[2]!RUBROS[#All],2,0)</f>
        <v>#REF!</v>
      </c>
      <c r="Q1609" s="47" t="str">
        <f t="shared" si="553"/>
        <v>22</v>
      </c>
      <c r="R1609" s="47" t="str">
        <f t="shared" si="554"/>
        <v>0-205400</v>
      </c>
      <c r="S1609" s="342">
        <v>122</v>
      </c>
      <c r="T1609" s="59" t="s">
        <v>1970</v>
      </c>
      <c r="U1609" s="326" t="e">
        <f ca="1">_xlfn.XLOOKUP(PAA_4[[#This Row],[ITEM]],[2]Contrato!A:A,[2]Contrato!Q:Q,"",0)</f>
        <v>#NAME?</v>
      </c>
      <c r="V1609" s="47" t="s">
        <v>95</v>
      </c>
      <c r="W1609" s="373" t="s">
        <v>1971</v>
      </c>
      <c r="X1609" s="373" t="s">
        <v>1972</v>
      </c>
      <c r="Y1609" s="55" t="e">
        <f ca="1">_xlfn.XLOOKUP(PAA_4[[#This Row],[ITEM]],[2]Contrato!A:A,[2]Contrato!B:B,"",0)</f>
        <v>#NAME?</v>
      </c>
      <c r="Z1609" s="47" t="e">
        <f ca="1">_xlfn.XLOOKUP(PAA_4[[#This Row],[ITEM]],[2]Contrato!A:A,[2]Contrato!G:G,"",0)</f>
        <v>#NAME?</v>
      </c>
      <c r="AA1609" s="47" t="e">
        <f ca="1">_xlfn.XLOOKUP(PAA_4[[#This Row],[ITEM]],[2]Contrato!A:A,[2]Contrato!T:T,"",0)</f>
        <v>#NAME?</v>
      </c>
      <c r="AB1609" s="55" t="e">
        <f ca="1">+MAX(PAA_4[[#This Row],[Comprometido Contrato]],PAA_4[[#This Row],[Comprometido Bolsa]])</f>
        <v>#NAME?</v>
      </c>
      <c r="AC1609" s="55" t="str">
        <f t="shared" ca="1" si="555"/>
        <v/>
      </c>
      <c r="AD1609" s="55" t="e">
        <f ca="1">IF(PAA_4[[#This Row],[ESTADO (formulado)]]="NO CONTRATADO",0,MAX(PAA_4[[#This Row],[Pago por Contrato]],PAA_4[[#This Row],[Pago por bolsa]]))</f>
        <v>#NAME?</v>
      </c>
      <c r="AE1609" s="55" t="str">
        <f t="shared" ca="1" si="556"/>
        <v/>
      </c>
      <c r="AF1609" s="47" t="e">
        <f t="shared" ca="1" si="557"/>
        <v>#NAME?</v>
      </c>
      <c r="AG1609" s="47">
        <f t="shared" si="558"/>
        <v>41080101</v>
      </c>
      <c r="AH1609" s="54" t="str">
        <f>IF(Q1609="22",IF(ISNUMBER(SEARCH("econ",PAA_4[[#This Row],[Actividad3]])),"Económico",IF(ISNUMBER(SEARCH("alim",PAA_4[[#This Row],[Actividad3]])),"Alimentación",IF(ISNUMBER(SEARCH("educ",PAA_4[[#This Row],[Actividad3]])),"Educativo","Técnico"))),0)</f>
        <v>Técnico</v>
      </c>
      <c r="AI1609" s="47" t="e" cm="1">
        <f t="array" aca="1" ref="AI1609" ca="1">_xlfn.XLOOKUP(PAA_4[[#This Row],[RCP-RUBRO]],[2]!COMPROMISOS_2024[[#All],[concatenado]],[2]!COMPROMISOS_2024[[#All],[Total pagado]],"",0)</f>
        <v>#NAME?</v>
      </c>
      <c r="AJ1609" s="56" t="e">
        <f ca="1">IF(PAA_4[[#This Row],[BOLSA]]=0,0,SUMIFS([2]!COMPROMISOS_2024[[#All],[Total pagado]],[2]!COMPROMISOS_2024[[#All],[Bolsa]],PAA_4[[#This Row],[BOLSA]],[2]!COMPROMISOS_2024[[#All],[rubro]],PAA_4[[#This Row],[RCP-RUBRO]]))</f>
        <v>#REF!</v>
      </c>
      <c r="AK1609" s="47" t="e" cm="1">
        <f t="array" aca="1" ref="AK1609" ca="1">_xlfn.XLOOKUP(PAA_4[[#This Row],[RCP-RUBRO]],[2]!COMPROMISOS_2024[[#All],[concatenado]],[2]!COMPROMISOS_2024[[#All],[Total Comprometido]],"",0)</f>
        <v>#NAME?</v>
      </c>
      <c r="AL1609" s="47" t="e">
        <f ca="1">IF(PAA_4[[#This Row],[BOLSA]]=0,0,SUMIFS([2]!COMPROMISOS_2024[[#All],[Total Comprometido]],[2]!COMPROMISOS_2024[[#All],[Bolsa]],PAA_4[[#This Row],[BOLSA]],[2]!COMPROMISOS_2024[[#All],[concatenado]],PAA_4[[#This Row],[RCP-RUBRO]]))</f>
        <v>#REF!</v>
      </c>
    </row>
    <row r="1610" spans="1:38" s="19" customFormat="1" ht="31.5" customHeight="1">
      <c r="A1610" s="47">
        <v>872</v>
      </c>
      <c r="B1610" s="344">
        <v>80111600</v>
      </c>
      <c r="C1610" s="47" t="str">
        <f>VLOOKUP(PAA_4[[#This Row],[PROYECTO (formulado)2]],[2]PROYECTOS!$G$1:$L$32,6,0)</f>
        <v>SUBGERENCIA DE ALTOS LOGROS Y DEPORTE ASOCIADO</v>
      </c>
      <c r="D1610" s="47" t="str">
        <f>+IF(PAA_4[[#This Row],[UNIDAD DE CONTRATACION (formulado)]]="Subgerencia Administrativa y Financiera","FUNCIONAMIENTO","INVERSIÓN")</f>
        <v>INVERSIÓN</v>
      </c>
      <c r="E1610" s="48" t="str">
        <f>VLOOKUP(Q1610,[2]PROYECTOS!$G$1:$K$32,5,0)</f>
        <v>APOYO_TÉCNICO_Y_PSICOSOCIAL_A_LOS_DEPORTISTAS_DE_ANTIOQUIA</v>
      </c>
      <c r="F1610" s="48">
        <f>VLOOKUP(E1610,[2]PROYECTOS!$K$1:$M$32,3,0)</f>
        <v>2021003050069</v>
      </c>
      <c r="G1610" s="371" t="s">
        <v>239</v>
      </c>
      <c r="H1610" s="49" t="str">
        <f>VLOOKUP(Q1610,[2]PROYECTOS!$V$1:$W$32,2,0)</f>
        <v>050069</v>
      </c>
      <c r="I1610" s="374">
        <v>16073020</v>
      </c>
      <c r="J1610" s="286" t="s">
        <v>1976</v>
      </c>
      <c r="K1610" s="47" t="str">
        <f t="shared" ca="1" si="552"/>
        <v>CONTRATADO</v>
      </c>
      <c r="L1610" s="372" t="s">
        <v>147</v>
      </c>
      <c r="M1610" s="58" t="s">
        <v>1297</v>
      </c>
      <c r="N1610" s="344" t="s">
        <v>240</v>
      </c>
      <c r="O1610" s="51" t="e">
        <f>VLOOKUP(N1610,[2]!RUBROS[#All],3,0)</f>
        <v>#REF!</v>
      </c>
      <c r="P1610" s="53" t="e">
        <f>VLOOKUP(N1610,[2]!RUBROS[#All],2,0)</f>
        <v>#REF!</v>
      </c>
      <c r="Q1610" s="47" t="str">
        <f t="shared" si="553"/>
        <v>22</v>
      </c>
      <c r="R1610" s="47" t="str">
        <f t="shared" si="554"/>
        <v>0-205400</v>
      </c>
      <c r="S1610" s="342">
        <v>122</v>
      </c>
      <c r="T1610" s="59" t="s">
        <v>1970</v>
      </c>
      <c r="U1610" s="326" t="e">
        <f ca="1">_xlfn.XLOOKUP(PAA_4[[#This Row],[ITEM]],[2]Contrato!A:A,[2]Contrato!Q:Q,"",0)</f>
        <v>#NAME?</v>
      </c>
      <c r="V1610" s="47" t="s">
        <v>95</v>
      </c>
      <c r="W1610" s="373" t="s">
        <v>1971</v>
      </c>
      <c r="X1610" s="373" t="s">
        <v>1972</v>
      </c>
      <c r="Y1610" s="55" t="e">
        <f ca="1">_xlfn.XLOOKUP(PAA_4[[#This Row],[ITEM]],[2]Contrato!A:A,[2]Contrato!B:B,"",0)</f>
        <v>#NAME?</v>
      </c>
      <c r="Z1610" s="47" t="e">
        <f ca="1">_xlfn.XLOOKUP(PAA_4[[#This Row],[ITEM]],[2]Contrato!A:A,[2]Contrato!G:G,"",0)</f>
        <v>#NAME?</v>
      </c>
      <c r="AA1610" s="47" t="e">
        <f ca="1">_xlfn.XLOOKUP(PAA_4[[#This Row],[ITEM]],[2]Contrato!A:A,[2]Contrato!T:T,"",0)</f>
        <v>#NAME?</v>
      </c>
      <c r="AB1610" s="55" t="e">
        <f ca="1">+MAX(PAA_4[[#This Row],[Comprometido Contrato]],PAA_4[[#This Row],[Comprometido Bolsa]])</f>
        <v>#NAME?</v>
      </c>
      <c r="AC1610" s="55" t="str">
        <f t="shared" ca="1" si="555"/>
        <v/>
      </c>
      <c r="AD1610" s="55" t="e">
        <f ca="1">IF(PAA_4[[#This Row],[ESTADO (formulado)]]="NO CONTRATADO",0,MAX(PAA_4[[#This Row],[Pago por Contrato]],PAA_4[[#This Row],[Pago por bolsa]]))</f>
        <v>#NAME?</v>
      </c>
      <c r="AE1610" s="55" t="str">
        <f t="shared" ca="1" si="556"/>
        <v/>
      </c>
      <c r="AF1610" s="47" t="e">
        <f t="shared" ca="1" si="557"/>
        <v>#NAME?</v>
      </c>
      <c r="AG1610" s="47">
        <f t="shared" si="558"/>
        <v>41080101</v>
      </c>
      <c r="AH1610" s="54" t="str">
        <f>IF(Q1610="22",IF(ISNUMBER(SEARCH("econ",PAA_4[[#This Row],[Actividad3]])),"Económico",IF(ISNUMBER(SEARCH("alim",PAA_4[[#This Row],[Actividad3]])),"Alimentación",IF(ISNUMBER(SEARCH("educ",PAA_4[[#This Row],[Actividad3]])),"Educativo","Técnico"))),0)</f>
        <v>Técnico</v>
      </c>
      <c r="AI1610" s="47" t="e" cm="1">
        <f t="array" aca="1" ref="AI1610" ca="1">_xlfn.XLOOKUP(PAA_4[[#This Row],[RCP-RUBRO]],[2]!COMPROMISOS_2024[[#All],[concatenado]],[2]!COMPROMISOS_2024[[#All],[Total pagado]],"",0)</f>
        <v>#NAME?</v>
      </c>
      <c r="AJ1610" s="56" t="e">
        <f ca="1">IF(PAA_4[[#This Row],[BOLSA]]=0,0,SUMIFS([2]!COMPROMISOS_2024[[#All],[Total pagado]],[2]!COMPROMISOS_2024[[#All],[Bolsa]],PAA_4[[#This Row],[BOLSA]],[2]!COMPROMISOS_2024[[#All],[rubro]],PAA_4[[#This Row],[RCP-RUBRO]]))</f>
        <v>#REF!</v>
      </c>
      <c r="AK1610" s="47" t="e" cm="1">
        <f t="array" aca="1" ref="AK1610" ca="1">_xlfn.XLOOKUP(PAA_4[[#This Row],[RCP-RUBRO]],[2]!COMPROMISOS_2024[[#All],[concatenado]],[2]!COMPROMISOS_2024[[#All],[Total Comprometido]],"",0)</f>
        <v>#NAME?</v>
      </c>
      <c r="AL1610" s="47" t="e">
        <f ca="1">IF(PAA_4[[#This Row],[BOLSA]]=0,0,SUMIFS([2]!COMPROMISOS_2024[[#All],[Total Comprometido]],[2]!COMPROMISOS_2024[[#All],[Bolsa]],PAA_4[[#This Row],[BOLSA]],[2]!COMPROMISOS_2024[[#All],[concatenado]],PAA_4[[#This Row],[RCP-RUBRO]]))</f>
        <v>#REF!</v>
      </c>
    </row>
    <row r="1611" spans="1:38" s="19" customFormat="1" ht="31.5" customHeight="1">
      <c r="A1611" s="47">
        <v>873</v>
      </c>
      <c r="B1611" s="344">
        <v>80111600</v>
      </c>
      <c r="C1611" s="47" t="str">
        <f>VLOOKUP(PAA_4[[#This Row],[PROYECTO (formulado)2]],[2]PROYECTOS!$G$1:$L$32,6,0)</f>
        <v>SUBGERENCIA DE ALTOS LOGROS Y DEPORTE ASOCIADO</v>
      </c>
      <c r="D1611" s="47" t="str">
        <f>+IF(PAA_4[[#This Row],[UNIDAD DE CONTRATACION (formulado)]]="Subgerencia Administrativa y Financiera","FUNCIONAMIENTO","INVERSIÓN")</f>
        <v>INVERSIÓN</v>
      </c>
      <c r="E1611" s="48" t="str">
        <f>VLOOKUP(Q1611,[2]PROYECTOS!$G$1:$K$32,5,0)</f>
        <v>APOYO_TÉCNICO_Y_PSICOSOCIAL_A_LOS_DEPORTISTAS_DE_ANTIOQUIA</v>
      </c>
      <c r="F1611" s="48">
        <f>VLOOKUP(E1611,[2]PROYECTOS!$K$1:$M$32,3,0)</f>
        <v>2021003050069</v>
      </c>
      <c r="G1611" s="371" t="s">
        <v>239</v>
      </c>
      <c r="H1611" s="49" t="str">
        <f>VLOOKUP(Q1611,[2]PROYECTOS!$V$1:$W$32,2,0)</f>
        <v>050069</v>
      </c>
      <c r="I1611" s="374">
        <v>32162311</v>
      </c>
      <c r="J1611" s="286" t="s">
        <v>1976</v>
      </c>
      <c r="K1611" s="47" t="str">
        <f t="shared" ca="1" si="552"/>
        <v>CONTRATADO</v>
      </c>
      <c r="L1611" s="372" t="s">
        <v>147</v>
      </c>
      <c r="M1611" s="58" t="s">
        <v>1297</v>
      </c>
      <c r="N1611" s="344" t="s">
        <v>240</v>
      </c>
      <c r="O1611" s="51" t="e">
        <f>VLOOKUP(N1611,[2]!RUBROS[#All],3,0)</f>
        <v>#REF!</v>
      </c>
      <c r="P1611" s="53" t="e">
        <f>VLOOKUP(N1611,[2]!RUBROS[#All],2,0)</f>
        <v>#REF!</v>
      </c>
      <c r="Q1611" s="47" t="str">
        <f t="shared" si="553"/>
        <v>22</v>
      </c>
      <c r="R1611" s="47" t="str">
        <f t="shared" si="554"/>
        <v>0-205400</v>
      </c>
      <c r="S1611" s="342">
        <v>122</v>
      </c>
      <c r="T1611" s="59" t="s">
        <v>1970</v>
      </c>
      <c r="U1611" s="326" t="e">
        <f ca="1">_xlfn.XLOOKUP(PAA_4[[#This Row],[ITEM]],[2]Contrato!A:A,[2]Contrato!Q:Q,"",0)</f>
        <v>#NAME?</v>
      </c>
      <c r="V1611" s="47" t="s">
        <v>95</v>
      </c>
      <c r="W1611" s="373" t="s">
        <v>1971</v>
      </c>
      <c r="X1611" s="373" t="s">
        <v>1972</v>
      </c>
      <c r="Y1611" s="55" t="e">
        <f ca="1">_xlfn.XLOOKUP(PAA_4[[#This Row],[ITEM]],[2]Contrato!A:A,[2]Contrato!B:B,"",0)</f>
        <v>#NAME?</v>
      </c>
      <c r="Z1611" s="47" t="e">
        <f ca="1">_xlfn.XLOOKUP(PAA_4[[#This Row],[ITEM]],[2]Contrato!A:A,[2]Contrato!G:G,"",0)</f>
        <v>#NAME?</v>
      </c>
      <c r="AA1611" s="47" t="e">
        <f ca="1">_xlfn.XLOOKUP(PAA_4[[#This Row],[ITEM]],[2]Contrato!A:A,[2]Contrato!T:T,"",0)</f>
        <v>#NAME?</v>
      </c>
      <c r="AB1611" s="55" t="e">
        <f ca="1">+MAX(PAA_4[[#This Row],[Comprometido Contrato]],PAA_4[[#This Row],[Comprometido Bolsa]])</f>
        <v>#NAME?</v>
      </c>
      <c r="AC1611" s="55" t="str">
        <f t="shared" ca="1" si="555"/>
        <v/>
      </c>
      <c r="AD1611" s="55" t="e">
        <f ca="1">IF(PAA_4[[#This Row],[ESTADO (formulado)]]="NO CONTRATADO",0,MAX(PAA_4[[#This Row],[Pago por Contrato]],PAA_4[[#This Row],[Pago por bolsa]]))</f>
        <v>#NAME?</v>
      </c>
      <c r="AE1611" s="55" t="str">
        <f t="shared" ca="1" si="556"/>
        <v/>
      </c>
      <c r="AF1611" s="47" t="e">
        <f t="shared" ca="1" si="557"/>
        <v>#NAME?</v>
      </c>
      <c r="AG1611" s="47">
        <f t="shared" si="558"/>
        <v>41080101</v>
      </c>
      <c r="AH1611" s="54" t="str">
        <f>IF(Q1611="22",IF(ISNUMBER(SEARCH("econ",PAA_4[[#This Row],[Actividad3]])),"Económico",IF(ISNUMBER(SEARCH("alim",PAA_4[[#This Row],[Actividad3]])),"Alimentación",IF(ISNUMBER(SEARCH("educ",PAA_4[[#This Row],[Actividad3]])),"Educativo","Técnico"))),0)</f>
        <v>Técnico</v>
      </c>
      <c r="AI1611" s="47" t="e" cm="1">
        <f t="array" aca="1" ref="AI1611" ca="1">_xlfn.XLOOKUP(PAA_4[[#This Row],[RCP-RUBRO]],[2]!COMPROMISOS_2024[[#All],[concatenado]],[2]!COMPROMISOS_2024[[#All],[Total pagado]],"",0)</f>
        <v>#NAME?</v>
      </c>
      <c r="AJ1611" s="56" t="e">
        <f ca="1">IF(PAA_4[[#This Row],[BOLSA]]=0,0,SUMIFS([2]!COMPROMISOS_2024[[#All],[Total pagado]],[2]!COMPROMISOS_2024[[#All],[Bolsa]],PAA_4[[#This Row],[BOLSA]],[2]!COMPROMISOS_2024[[#All],[rubro]],PAA_4[[#This Row],[RCP-RUBRO]]))</f>
        <v>#REF!</v>
      </c>
      <c r="AK1611" s="47" t="e" cm="1">
        <f t="array" aca="1" ref="AK1611" ca="1">_xlfn.XLOOKUP(PAA_4[[#This Row],[RCP-RUBRO]],[2]!COMPROMISOS_2024[[#All],[concatenado]],[2]!COMPROMISOS_2024[[#All],[Total Comprometido]],"",0)</f>
        <v>#NAME?</v>
      </c>
      <c r="AL1611" s="47" t="e">
        <f ca="1">IF(PAA_4[[#This Row],[BOLSA]]=0,0,SUMIFS([2]!COMPROMISOS_2024[[#All],[Total Comprometido]],[2]!COMPROMISOS_2024[[#All],[Bolsa]],PAA_4[[#This Row],[BOLSA]],[2]!COMPROMISOS_2024[[#All],[concatenado]],PAA_4[[#This Row],[RCP-RUBRO]]))</f>
        <v>#REF!</v>
      </c>
    </row>
    <row r="1612" spans="1:38" s="19" customFormat="1" ht="31.5" customHeight="1">
      <c r="A1612" s="47">
        <v>874</v>
      </c>
      <c r="B1612" s="344">
        <v>80111600</v>
      </c>
      <c r="C1612" s="47" t="str">
        <f>VLOOKUP(PAA_4[[#This Row],[PROYECTO (formulado)2]],[2]PROYECTOS!$G$1:$L$32,6,0)</f>
        <v>SUBGERENCIA DE ALTOS LOGROS Y DEPORTE ASOCIADO</v>
      </c>
      <c r="D1612" s="47" t="str">
        <f>+IF(PAA_4[[#This Row],[UNIDAD DE CONTRATACION (formulado)]]="Subgerencia Administrativa y Financiera","FUNCIONAMIENTO","INVERSIÓN")</f>
        <v>INVERSIÓN</v>
      </c>
      <c r="E1612" s="48" t="str">
        <f>VLOOKUP(Q1612,[2]PROYECTOS!$G$1:$K$32,5,0)</f>
        <v>APOYO_TÉCNICO_Y_PSICOSOCIAL_A_LOS_DEPORTISTAS_DE_ANTIOQUIA</v>
      </c>
      <c r="F1612" s="48">
        <f>VLOOKUP(E1612,[2]PROYECTOS!$K$1:$M$32,3,0)</f>
        <v>2021003050069</v>
      </c>
      <c r="G1612" s="371" t="s">
        <v>239</v>
      </c>
      <c r="H1612" s="49" t="str">
        <f>VLOOKUP(Q1612,[2]PROYECTOS!$V$1:$W$32,2,0)</f>
        <v>050069</v>
      </c>
      <c r="I1612" s="374">
        <v>16073020</v>
      </c>
      <c r="J1612" s="286" t="s">
        <v>1977</v>
      </c>
      <c r="K1612" s="47" t="str">
        <f t="shared" ca="1" si="552"/>
        <v>CONTRATADO</v>
      </c>
      <c r="L1612" s="372" t="s">
        <v>147</v>
      </c>
      <c r="M1612" s="58" t="s">
        <v>1297</v>
      </c>
      <c r="N1612" s="344" t="s">
        <v>240</v>
      </c>
      <c r="O1612" s="51" t="e">
        <f>VLOOKUP(N1612,[2]!RUBROS[#All],3,0)</f>
        <v>#REF!</v>
      </c>
      <c r="P1612" s="53" t="e">
        <f>VLOOKUP(N1612,[2]!RUBROS[#All],2,0)</f>
        <v>#REF!</v>
      </c>
      <c r="Q1612" s="47" t="str">
        <f t="shared" si="553"/>
        <v>22</v>
      </c>
      <c r="R1612" s="47" t="str">
        <f t="shared" si="554"/>
        <v>0-205400</v>
      </c>
      <c r="S1612" s="342">
        <v>122</v>
      </c>
      <c r="T1612" s="59" t="s">
        <v>1970</v>
      </c>
      <c r="U1612" s="326" t="e">
        <f ca="1">_xlfn.XLOOKUP(PAA_4[[#This Row],[ITEM]],[2]Contrato!A:A,[2]Contrato!Q:Q,"",0)</f>
        <v>#NAME?</v>
      </c>
      <c r="V1612" s="47" t="s">
        <v>95</v>
      </c>
      <c r="W1612" s="373" t="s">
        <v>1971</v>
      </c>
      <c r="X1612" s="373" t="s">
        <v>1972</v>
      </c>
      <c r="Y1612" s="55" t="e">
        <f ca="1">_xlfn.XLOOKUP(PAA_4[[#This Row],[ITEM]],[2]Contrato!A:A,[2]Contrato!B:B,"",0)</f>
        <v>#NAME?</v>
      </c>
      <c r="Z1612" s="47" t="e">
        <f ca="1">_xlfn.XLOOKUP(PAA_4[[#This Row],[ITEM]],[2]Contrato!A:A,[2]Contrato!G:G,"",0)</f>
        <v>#NAME?</v>
      </c>
      <c r="AA1612" s="47" t="e">
        <f ca="1">_xlfn.XLOOKUP(PAA_4[[#This Row],[ITEM]],[2]Contrato!A:A,[2]Contrato!T:T,"",0)</f>
        <v>#NAME?</v>
      </c>
      <c r="AB1612" s="55" t="e">
        <f ca="1">+MAX(PAA_4[[#This Row],[Comprometido Contrato]],PAA_4[[#This Row],[Comprometido Bolsa]])</f>
        <v>#NAME?</v>
      </c>
      <c r="AC1612" s="55" t="str">
        <f t="shared" ca="1" si="555"/>
        <v/>
      </c>
      <c r="AD1612" s="55" t="e">
        <f ca="1">IF(PAA_4[[#This Row],[ESTADO (formulado)]]="NO CONTRATADO",0,MAX(PAA_4[[#This Row],[Pago por Contrato]],PAA_4[[#This Row],[Pago por bolsa]]))</f>
        <v>#NAME?</v>
      </c>
      <c r="AE1612" s="55" t="str">
        <f t="shared" ca="1" si="556"/>
        <v/>
      </c>
      <c r="AF1612" s="47" t="e">
        <f t="shared" ca="1" si="557"/>
        <v>#NAME?</v>
      </c>
      <c r="AG1612" s="47">
        <f t="shared" si="558"/>
        <v>41080101</v>
      </c>
      <c r="AH1612" s="54" t="str">
        <f>IF(Q1612="22",IF(ISNUMBER(SEARCH("econ",PAA_4[[#This Row],[Actividad3]])),"Económico",IF(ISNUMBER(SEARCH("alim",PAA_4[[#This Row],[Actividad3]])),"Alimentación",IF(ISNUMBER(SEARCH("educ",PAA_4[[#This Row],[Actividad3]])),"Educativo","Técnico"))),0)</f>
        <v>Técnico</v>
      </c>
      <c r="AI1612" s="47" t="e" cm="1">
        <f t="array" aca="1" ref="AI1612" ca="1">_xlfn.XLOOKUP(PAA_4[[#This Row],[RCP-RUBRO]],[2]!COMPROMISOS_2024[[#All],[concatenado]],[2]!COMPROMISOS_2024[[#All],[Total pagado]],"",0)</f>
        <v>#NAME?</v>
      </c>
      <c r="AJ1612" s="56" t="e">
        <f ca="1">IF(PAA_4[[#This Row],[BOLSA]]=0,0,SUMIFS([2]!COMPROMISOS_2024[[#All],[Total pagado]],[2]!COMPROMISOS_2024[[#All],[Bolsa]],PAA_4[[#This Row],[BOLSA]],[2]!COMPROMISOS_2024[[#All],[rubro]],PAA_4[[#This Row],[RCP-RUBRO]]))</f>
        <v>#REF!</v>
      </c>
      <c r="AK1612" s="47" t="e" cm="1">
        <f t="array" aca="1" ref="AK1612" ca="1">_xlfn.XLOOKUP(PAA_4[[#This Row],[RCP-RUBRO]],[2]!COMPROMISOS_2024[[#All],[concatenado]],[2]!COMPROMISOS_2024[[#All],[Total Comprometido]],"",0)</f>
        <v>#NAME?</v>
      </c>
      <c r="AL1612" s="47" t="e">
        <f ca="1">IF(PAA_4[[#This Row],[BOLSA]]=0,0,SUMIFS([2]!COMPROMISOS_2024[[#All],[Total Comprometido]],[2]!COMPROMISOS_2024[[#All],[Bolsa]],PAA_4[[#This Row],[BOLSA]],[2]!COMPROMISOS_2024[[#All],[concatenado]],PAA_4[[#This Row],[RCP-RUBRO]]))</f>
        <v>#REF!</v>
      </c>
    </row>
    <row r="1613" spans="1:38" s="19" customFormat="1" ht="31.5" customHeight="1">
      <c r="A1613" s="47">
        <v>875</v>
      </c>
      <c r="B1613" s="344">
        <v>80111600</v>
      </c>
      <c r="C1613" s="47" t="str">
        <f>VLOOKUP(PAA_4[[#This Row],[PROYECTO (formulado)2]],[2]PROYECTOS!$G$1:$L$32,6,0)</f>
        <v>SUBGERENCIA DE ALTOS LOGROS Y DEPORTE ASOCIADO</v>
      </c>
      <c r="D1613" s="47" t="str">
        <f>+IF(PAA_4[[#This Row],[UNIDAD DE CONTRATACION (formulado)]]="Subgerencia Administrativa y Financiera","FUNCIONAMIENTO","INVERSIÓN")</f>
        <v>INVERSIÓN</v>
      </c>
      <c r="E1613" s="48" t="str">
        <f>VLOOKUP(Q1613,[2]PROYECTOS!$G$1:$K$32,5,0)</f>
        <v>APOYO_TÉCNICO_Y_PSICOSOCIAL_A_LOS_DEPORTISTAS_DE_ANTIOQUIA</v>
      </c>
      <c r="F1613" s="48">
        <f>VLOOKUP(E1613,[2]PROYECTOS!$K$1:$M$32,3,0)</f>
        <v>2021003050069</v>
      </c>
      <c r="G1613" s="371" t="s">
        <v>239</v>
      </c>
      <c r="H1613" s="49" t="str">
        <f>VLOOKUP(Q1613,[2]PROYECTOS!$V$1:$W$32,2,0)</f>
        <v>050069</v>
      </c>
      <c r="I1613" s="374">
        <v>24120006</v>
      </c>
      <c r="J1613" s="286" t="s">
        <v>1977</v>
      </c>
      <c r="K1613" s="47" t="str">
        <f t="shared" ca="1" si="552"/>
        <v>CONTRATADO</v>
      </c>
      <c r="L1613" s="372" t="s">
        <v>147</v>
      </c>
      <c r="M1613" s="58" t="s">
        <v>1297</v>
      </c>
      <c r="N1613" s="344" t="s">
        <v>240</v>
      </c>
      <c r="O1613" s="51" t="e">
        <f>VLOOKUP(N1613,[2]!RUBROS[#All],3,0)</f>
        <v>#REF!</v>
      </c>
      <c r="P1613" s="53" t="e">
        <f>VLOOKUP(N1613,[2]!RUBROS[#All],2,0)</f>
        <v>#REF!</v>
      </c>
      <c r="Q1613" s="47" t="str">
        <f t="shared" si="553"/>
        <v>22</v>
      </c>
      <c r="R1613" s="47" t="str">
        <f t="shared" si="554"/>
        <v>0-205400</v>
      </c>
      <c r="S1613" s="342">
        <v>122</v>
      </c>
      <c r="T1613" s="59" t="s">
        <v>1970</v>
      </c>
      <c r="U1613" s="326" t="e">
        <f ca="1">_xlfn.XLOOKUP(PAA_4[[#This Row],[ITEM]],[2]Contrato!A:A,[2]Contrato!Q:Q,"",0)</f>
        <v>#NAME?</v>
      </c>
      <c r="V1613" s="47" t="s">
        <v>95</v>
      </c>
      <c r="W1613" s="373" t="s">
        <v>1971</v>
      </c>
      <c r="X1613" s="373" t="s">
        <v>1972</v>
      </c>
      <c r="Y1613" s="55" t="e">
        <f ca="1">_xlfn.XLOOKUP(PAA_4[[#This Row],[ITEM]],[2]Contrato!A:A,[2]Contrato!B:B,"",0)</f>
        <v>#NAME?</v>
      </c>
      <c r="Z1613" s="47" t="e">
        <f ca="1">_xlfn.XLOOKUP(PAA_4[[#This Row],[ITEM]],[2]Contrato!A:A,[2]Contrato!G:G,"",0)</f>
        <v>#NAME?</v>
      </c>
      <c r="AA1613" s="47" t="e">
        <f ca="1">_xlfn.XLOOKUP(PAA_4[[#This Row],[ITEM]],[2]Contrato!A:A,[2]Contrato!T:T,"",0)</f>
        <v>#NAME?</v>
      </c>
      <c r="AB1613" s="55" t="e">
        <f ca="1">+MAX(PAA_4[[#This Row],[Comprometido Contrato]],PAA_4[[#This Row],[Comprometido Bolsa]])</f>
        <v>#NAME?</v>
      </c>
      <c r="AC1613" s="55" t="str">
        <f t="shared" ca="1" si="555"/>
        <v/>
      </c>
      <c r="AD1613" s="55" t="e">
        <f ca="1">IF(PAA_4[[#This Row],[ESTADO (formulado)]]="NO CONTRATADO",0,MAX(PAA_4[[#This Row],[Pago por Contrato]],PAA_4[[#This Row],[Pago por bolsa]]))</f>
        <v>#NAME?</v>
      </c>
      <c r="AE1613" s="55" t="str">
        <f t="shared" ca="1" si="556"/>
        <v/>
      </c>
      <c r="AF1613" s="47" t="e">
        <f t="shared" ca="1" si="557"/>
        <v>#NAME?</v>
      </c>
      <c r="AG1613" s="47">
        <f t="shared" si="558"/>
        <v>41080101</v>
      </c>
      <c r="AH1613" s="54" t="str">
        <f>IF(Q1613="22",IF(ISNUMBER(SEARCH("econ",PAA_4[[#This Row],[Actividad3]])),"Económico",IF(ISNUMBER(SEARCH("alim",PAA_4[[#This Row],[Actividad3]])),"Alimentación",IF(ISNUMBER(SEARCH("educ",PAA_4[[#This Row],[Actividad3]])),"Educativo","Técnico"))),0)</f>
        <v>Técnico</v>
      </c>
      <c r="AI1613" s="47" t="e" cm="1">
        <f t="array" aca="1" ref="AI1613" ca="1">_xlfn.XLOOKUP(PAA_4[[#This Row],[RCP-RUBRO]],[2]!COMPROMISOS_2024[[#All],[concatenado]],[2]!COMPROMISOS_2024[[#All],[Total pagado]],"",0)</f>
        <v>#NAME?</v>
      </c>
      <c r="AJ1613" s="56" t="e">
        <f ca="1">IF(PAA_4[[#This Row],[BOLSA]]=0,0,SUMIFS([2]!COMPROMISOS_2024[[#All],[Total pagado]],[2]!COMPROMISOS_2024[[#All],[Bolsa]],PAA_4[[#This Row],[BOLSA]],[2]!COMPROMISOS_2024[[#All],[rubro]],PAA_4[[#This Row],[RCP-RUBRO]]))</f>
        <v>#REF!</v>
      </c>
      <c r="AK1613" s="47" t="e" cm="1">
        <f t="array" aca="1" ref="AK1613" ca="1">_xlfn.XLOOKUP(PAA_4[[#This Row],[RCP-RUBRO]],[2]!COMPROMISOS_2024[[#All],[concatenado]],[2]!COMPROMISOS_2024[[#All],[Total Comprometido]],"",0)</f>
        <v>#NAME?</v>
      </c>
      <c r="AL1613" s="47" t="e">
        <f ca="1">IF(PAA_4[[#This Row],[BOLSA]]=0,0,SUMIFS([2]!COMPROMISOS_2024[[#All],[Total Comprometido]],[2]!COMPROMISOS_2024[[#All],[Bolsa]],PAA_4[[#This Row],[BOLSA]],[2]!COMPROMISOS_2024[[#All],[concatenado]],PAA_4[[#This Row],[RCP-RUBRO]]))</f>
        <v>#REF!</v>
      </c>
    </row>
    <row r="1614" spans="1:38" s="19" customFormat="1" ht="31.5" customHeight="1">
      <c r="A1614" s="47">
        <v>876</v>
      </c>
      <c r="B1614" s="344">
        <v>80111600</v>
      </c>
      <c r="C1614" s="47" t="str">
        <f>VLOOKUP(PAA_4[[#This Row],[PROYECTO (formulado)2]],[2]PROYECTOS!$G$1:$L$32,6,0)</f>
        <v>SUBGERENCIA DE ALTOS LOGROS Y DEPORTE ASOCIADO</v>
      </c>
      <c r="D1614" s="47" t="str">
        <f>+IF(PAA_4[[#This Row],[UNIDAD DE CONTRATACION (formulado)]]="Subgerencia Administrativa y Financiera","FUNCIONAMIENTO","INVERSIÓN")</f>
        <v>INVERSIÓN</v>
      </c>
      <c r="E1614" s="48" t="str">
        <f>VLOOKUP(Q1614,[2]PROYECTOS!$G$1:$K$32,5,0)</f>
        <v>APOYO_TÉCNICO_Y_PSICOSOCIAL_A_LOS_DEPORTISTAS_DE_ANTIOQUIA</v>
      </c>
      <c r="F1614" s="48">
        <f>VLOOKUP(E1614,[2]PROYECTOS!$K$1:$M$32,3,0)</f>
        <v>2021003050069</v>
      </c>
      <c r="G1614" s="371" t="s">
        <v>239</v>
      </c>
      <c r="H1614" s="49" t="str">
        <f>VLOOKUP(Q1614,[2]PROYECTOS!$V$1:$W$32,2,0)</f>
        <v>050069</v>
      </c>
      <c r="I1614" s="374">
        <v>10471024</v>
      </c>
      <c r="J1614" s="286" t="s">
        <v>1977</v>
      </c>
      <c r="K1614" s="47" t="str">
        <f t="shared" ca="1" si="552"/>
        <v>CONTRATADO</v>
      </c>
      <c r="L1614" s="372" t="s">
        <v>147</v>
      </c>
      <c r="M1614" s="58" t="s">
        <v>1297</v>
      </c>
      <c r="N1614" s="344" t="s">
        <v>240</v>
      </c>
      <c r="O1614" s="51" t="e">
        <f>VLOOKUP(N1614,[2]!RUBROS[#All],3,0)</f>
        <v>#REF!</v>
      </c>
      <c r="P1614" s="53" t="e">
        <f>VLOOKUP(N1614,[2]!RUBROS[#All],2,0)</f>
        <v>#REF!</v>
      </c>
      <c r="Q1614" s="47" t="str">
        <f t="shared" si="553"/>
        <v>22</v>
      </c>
      <c r="R1614" s="47" t="str">
        <f t="shared" si="554"/>
        <v>0-205400</v>
      </c>
      <c r="S1614" s="342">
        <v>122</v>
      </c>
      <c r="T1614" s="59" t="s">
        <v>1970</v>
      </c>
      <c r="U1614" s="326" t="e">
        <f ca="1">_xlfn.XLOOKUP(PAA_4[[#This Row],[ITEM]],[2]Contrato!A:A,[2]Contrato!Q:Q,"",0)</f>
        <v>#NAME?</v>
      </c>
      <c r="V1614" s="47" t="s">
        <v>95</v>
      </c>
      <c r="W1614" s="373" t="s">
        <v>1971</v>
      </c>
      <c r="X1614" s="373" t="s">
        <v>1972</v>
      </c>
      <c r="Y1614" s="55" t="e">
        <f ca="1">_xlfn.XLOOKUP(PAA_4[[#This Row],[ITEM]],[2]Contrato!A:A,[2]Contrato!B:B,"",0)</f>
        <v>#NAME?</v>
      </c>
      <c r="Z1614" s="47" t="e">
        <f ca="1">_xlfn.XLOOKUP(PAA_4[[#This Row],[ITEM]],[2]Contrato!A:A,[2]Contrato!G:G,"",0)</f>
        <v>#NAME?</v>
      </c>
      <c r="AA1614" s="47" t="e">
        <f ca="1">_xlfn.XLOOKUP(PAA_4[[#This Row],[ITEM]],[2]Contrato!A:A,[2]Contrato!T:T,"",0)</f>
        <v>#NAME?</v>
      </c>
      <c r="AB1614" s="55" t="e">
        <f ca="1">+MAX(PAA_4[[#This Row],[Comprometido Contrato]],PAA_4[[#This Row],[Comprometido Bolsa]])</f>
        <v>#NAME?</v>
      </c>
      <c r="AC1614" s="55" t="str">
        <f t="shared" ref="AC1614:AC1677" ca="1" si="559">IFERROR(I1614-AB1614,"")</f>
        <v/>
      </c>
      <c r="AD1614" s="55" t="e">
        <f ca="1">IF(PAA_4[[#This Row],[ESTADO (formulado)]]="NO CONTRATADO",0,MAX(PAA_4[[#This Row],[Pago por Contrato]],PAA_4[[#This Row],[Pago por bolsa]]))</f>
        <v>#NAME?</v>
      </c>
      <c r="AE1614" s="55" t="str">
        <f t="shared" ca="1" si="556"/>
        <v/>
      </c>
      <c r="AF1614" s="47" t="e">
        <f t="shared" ca="1" si="557"/>
        <v>#NAME?</v>
      </c>
      <c r="AG1614" s="47">
        <f t="shared" si="558"/>
        <v>41080101</v>
      </c>
      <c r="AH1614" s="54" t="str">
        <f>IF(Q1614="22",IF(ISNUMBER(SEARCH("econ",PAA_4[[#This Row],[Actividad3]])),"Económico",IF(ISNUMBER(SEARCH("alim",PAA_4[[#This Row],[Actividad3]])),"Alimentación",IF(ISNUMBER(SEARCH("educ",PAA_4[[#This Row],[Actividad3]])),"Educativo","Técnico"))),0)</f>
        <v>Técnico</v>
      </c>
      <c r="AI1614" s="47" t="e" cm="1">
        <f t="array" aca="1" ref="AI1614" ca="1">_xlfn.XLOOKUP(PAA_4[[#This Row],[RCP-RUBRO]],[2]!COMPROMISOS_2024[[#All],[concatenado]],[2]!COMPROMISOS_2024[[#All],[Total pagado]],"",0)</f>
        <v>#NAME?</v>
      </c>
      <c r="AJ1614" s="56" t="e">
        <f ca="1">IF(PAA_4[[#This Row],[BOLSA]]=0,0,SUMIFS([2]!COMPROMISOS_2024[[#All],[Total pagado]],[2]!COMPROMISOS_2024[[#All],[Bolsa]],PAA_4[[#This Row],[BOLSA]],[2]!COMPROMISOS_2024[[#All],[rubro]],PAA_4[[#This Row],[RCP-RUBRO]]))</f>
        <v>#REF!</v>
      </c>
      <c r="AK1614" s="47" t="e" cm="1">
        <f t="array" aca="1" ref="AK1614" ca="1">_xlfn.XLOOKUP(PAA_4[[#This Row],[RCP-RUBRO]],[2]!COMPROMISOS_2024[[#All],[concatenado]],[2]!COMPROMISOS_2024[[#All],[Total Comprometido]],"",0)</f>
        <v>#NAME?</v>
      </c>
      <c r="AL1614" s="47" t="e">
        <f ca="1">IF(PAA_4[[#This Row],[BOLSA]]=0,0,SUMIFS([2]!COMPROMISOS_2024[[#All],[Total Comprometido]],[2]!COMPROMISOS_2024[[#All],[Bolsa]],PAA_4[[#This Row],[BOLSA]],[2]!COMPROMISOS_2024[[#All],[concatenado]],PAA_4[[#This Row],[RCP-RUBRO]]))</f>
        <v>#REF!</v>
      </c>
    </row>
    <row r="1615" spans="1:38" s="19" customFormat="1" ht="31.5" customHeight="1">
      <c r="A1615" s="47" t="s">
        <v>82</v>
      </c>
      <c r="B1615" s="366" t="s">
        <v>42</v>
      </c>
      <c r="C1615" s="47" t="str">
        <f>VLOOKUP(PAA_4[[#This Row],[PROYECTO (formulado)2]],[2]PROYECTOS!$G$1:$L$32,6,0)</f>
        <v>SUBGERENCIA DE ALTOS LOGROS Y DEPORTE ASOCIADO</v>
      </c>
      <c r="D1615" s="47" t="str">
        <f>+IF(PAA_4[[#This Row],[UNIDAD DE CONTRATACION (formulado)]]="Subgerencia Administrativa y Financiera","FUNCIONAMIENTO","INVERSIÓN")</f>
        <v>INVERSIÓN</v>
      </c>
      <c r="E1615" s="48" t="str">
        <f>VLOOKUP(Q1615,[2]PROYECTOS!$G$1:$K$32,5,0)</f>
        <v>APOYO_TÉCNICO_Y_PSICOSOCIAL_A_LOS_DEPORTISTAS_DE_ANTIOQUIA</v>
      </c>
      <c r="F1615" s="48">
        <f>VLOOKUP(E1615,[2]PROYECTOS!$K$1:$M$32,3,0)</f>
        <v>2021003050069</v>
      </c>
      <c r="G1615" s="371" t="s">
        <v>241</v>
      </c>
      <c r="H1615" s="49" t="str">
        <f>VLOOKUP(Q1615,[2]PROYECTOS!$V$1:$W$32,2,0)</f>
        <v>050069</v>
      </c>
      <c r="I1615" s="374">
        <v>0</v>
      </c>
      <c r="J1615" s="366" t="s">
        <v>1778</v>
      </c>
      <c r="K1615" s="47" t="str">
        <f t="shared" ca="1" si="552"/>
        <v>CONTRATADO</v>
      </c>
      <c r="L1615" s="58" t="s">
        <v>42</v>
      </c>
      <c r="M1615" s="58" t="s">
        <v>42</v>
      </c>
      <c r="N1615" s="344" t="s">
        <v>240</v>
      </c>
      <c r="O1615" s="51" t="e">
        <f>VLOOKUP(N1615,[2]!RUBROS[#All],3,0)</f>
        <v>#REF!</v>
      </c>
      <c r="P1615" s="53" t="e">
        <f>VLOOKUP(N1615,[2]!RUBROS[#All],2,0)</f>
        <v>#REF!</v>
      </c>
      <c r="Q1615" s="47" t="str">
        <f t="shared" si="553"/>
        <v>22</v>
      </c>
      <c r="R1615" s="47" t="str">
        <f t="shared" si="554"/>
        <v>0-205400</v>
      </c>
      <c r="S1615" s="357" t="s">
        <v>42</v>
      </c>
      <c r="T1615" s="59" t="s">
        <v>42</v>
      </c>
      <c r="U1615" s="326" t="e">
        <f ca="1">_xlfn.XLOOKUP(PAA_4[[#This Row],[ITEM]],[2]Contrato!A:A,[2]Contrato!Q:Q,"",0)</f>
        <v>#NAME?</v>
      </c>
      <c r="V1615" s="47" t="s">
        <v>95</v>
      </c>
      <c r="W1615" s="375" t="s">
        <v>42</v>
      </c>
      <c r="X1615" s="375" t="s">
        <v>42</v>
      </c>
      <c r="Y1615" s="55" t="e">
        <f ca="1">_xlfn.XLOOKUP(PAA_4[[#This Row],[ITEM]],[2]Contrato!A:A,[2]Contrato!B:B,"",0)</f>
        <v>#NAME?</v>
      </c>
      <c r="Z1615" s="47" t="e">
        <f ca="1">_xlfn.XLOOKUP(PAA_4[[#This Row],[ITEM]],[2]Contrato!A:A,[2]Contrato!G:G,"",0)</f>
        <v>#NAME?</v>
      </c>
      <c r="AA1615" s="47" t="e">
        <f ca="1">_xlfn.XLOOKUP(PAA_4[[#This Row],[ITEM]],[2]Contrato!A:A,[2]Contrato!T:T,"",0)</f>
        <v>#NAME?</v>
      </c>
      <c r="AB1615" s="55" t="e">
        <f ca="1">+MAX(PAA_4[[#This Row],[Comprometido Contrato]],PAA_4[[#This Row],[Comprometido Bolsa]])</f>
        <v>#NAME?</v>
      </c>
      <c r="AC1615" s="55" t="str">
        <f t="shared" ca="1" si="559"/>
        <v/>
      </c>
      <c r="AD1615" s="55" t="e">
        <f ca="1">IF(PAA_4[[#This Row],[ESTADO (formulado)]]="NO CONTRATADO",0,MAX(PAA_4[[#This Row],[Pago por Contrato]],PAA_4[[#This Row],[Pago por bolsa]]))</f>
        <v>#NAME?</v>
      </c>
      <c r="AE1615" s="55" t="str">
        <f t="shared" ca="1" si="556"/>
        <v/>
      </c>
      <c r="AF1615" s="47" t="e">
        <f t="shared" ca="1" si="557"/>
        <v>#NAME?</v>
      </c>
      <c r="AG1615" s="47">
        <f t="shared" si="558"/>
        <v>41080106</v>
      </c>
      <c r="AH1615" s="54" t="str">
        <f>IF(Q1615="22",IF(ISNUMBER(SEARCH("econ",PAA_4[[#This Row],[Actividad3]])),"Económico",IF(ISNUMBER(SEARCH("alim",PAA_4[[#This Row],[Actividad3]])),"Alimentación",IF(ISNUMBER(SEARCH("educ",PAA_4[[#This Row],[Actividad3]])),"Educativo","Técnico"))),0)</f>
        <v>Técnico</v>
      </c>
      <c r="AI1615" s="47" t="e" cm="1">
        <f t="array" aca="1" ref="AI1615" ca="1">_xlfn.XLOOKUP(PAA_4[[#This Row],[RCP-RUBRO]],[2]!COMPROMISOS_2024[[#All],[concatenado]],[2]!COMPROMISOS_2024[[#All],[Total pagado]],"",0)</f>
        <v>#NAME?</v>
      </c>
      <c r="AJ1615" s="56" t="e">
        <f ca="1">IF(PAA_4[[#This Row],[BOLSA]]=0,0,SUMIFS([2]!COMPROMISOS_2024[[#All],[Total pagado]],[2]!COMPROMISOS_2024[[#All],[Bolsa]],PAA_4[[#This Row],[BOLSA]],[2]!COMPROMISOS_2024[[#All],[rubro]],PAA_4[[#This Row],[RCP-RUBRO]]))</f>
        <v>#REF!</v>
      </c>
      <c r="AK1615" s="47" t="e" cm="1">
        <f t="array" aca="1" ref="AK1615" ca="1">_xlfn.XLOOKUP(PAA_4[[#This Row],[RCP-RUBRO]],[2]!COMPROMISOS_2024[[#All],[concatenado]],[2]!COMPROMISOS_2024[[#All],[Total Comprometido]],"",0)</f>
        <v>#NAME?</v>
      </c>
      <c r="AL1615" s="47" t="e">
        <f ca="1">IF(PAA_4[[#This Row],[BOLSA]]=0,0,SUMIFS([2]!COMPROMISOS_2024[[#All],[Total Comprometido]],[2]!COMPROMISOS_2024[[#All],[Bolsa]],PAA_4[[#This Row],[BOLSA]],[2]!COMPROMISOS_2024[[#All],[concatenado]],PAA_4[[#This Row],[RCP-RUBRO]]))</f>
        <v>#REF!</v>
      </c>
    </row>
    <row r="1616" spans="1:38" s="19" customFormat="1" ht="31.5" customHeight="1">
      <c r="A1616" s="47">
        <v>877</v>
      </c>
      <c r="B1616" s="344">
        <v>80111600</v>
      </c>
      <c r="C1616" s="47" t="str">
        <f>VLOOKUP(PAA_4[[#This Row],[PROYECTO (formulado)2]],[2]PROYECTOS!$G$1:$L$32,6,0)</f>
        <v>SUBGERENCIA DE ALTOS LOGROS Y DEPORTE ASOCIADO</v>
      </c>
      <c r="D1616" s="47" t="str">
        <f>+IF(PAA_4[[#This Row],[UNIDAD DE CONTRATACION (formulado)]]="Subgerencia Administrativa y Financiera","FUNCIONAMIENTO","INVERSIÓN")</f>
        <v>INVERSIÓN</v>
      </c>
      <c r="E1616" s="48" t="str">
        <f>VLOOKUP(Q1616,[2]PROYECTOS!$G$1:$K$32,5,0)</f>
        <v>APOYO_TÉCNICO_Y_PSICOSOCIAL_A_LOS_DEPORTISTAS_DE_ANTIOQUIA</v>
      </c>
      <c r="F1616" s="48">
        <f>VLOOKUP(E1616,[2]PROYECTOS!$K$1:$M$32,3,0)</f>
        <v>2021003050069</v>
      </c>
      <c r="G1616" s="371" t="s">
        <v>241</v>
      </c>
      <c r="H1616" s="49" t="str">
        <f>VLOOKUP(Q1616,[2]PROYECTOS!$V$1:$W$32,2,0)</f>
        <v>050069</v>
      </c>
      <c r="I1616" s="374">
        <f>29453616-9490610</f>
        <v>19963006</v>
      </c>
      <c r="J1616" s="286" t="s">
        <v>1978</v>
      </c>
      <c r="K1616" s="47" t="str">
        <f t="shared" ca="1" si="552"/>
        <v>CONTRATADO</v>
      </c>
      <c r="L1616" s="372" t="s">
        <v>147</v>
      </c>
      <c r="M1616" s="58" t="s">
        <v>1297</v>
      </c>
      <c r="N1616" s="344" t="s">
        <v>240</v>
      </c>
      <c r="O1616" s="51" t="e">
        <f>VLOOKUP(N1616,[2]!RUBROS[#All],3,0)</f>
        <v>#REF!</v>
      </c>
      <c r="P1616" s="53" t="e">
        <f>VLOOKUP(N1616,[2]!RUBROS[#All],2,0)</f>
        <v>#REF!</v>
      </c>
      <c r="Q1616" s="47" t="str">
        <f t="shared" si="553"/>
        <v>22</v>
      </c>
      <c r="R1616" s="47" t="str">
        <f t="shared" si="554"/>
        <v>0-205400</v>
      </c>
      <c r="S1616" s="357">
        <v>122</v>
      </c>
      <c r="T1616" s="59" t="s">
        <v>1970</v>
      </c>
      <c r="U1616" s="326" t="e">
        <f ca="1">_xlfn.XLOOKUP(PAA_4[[#This Row],[ITEM]],[2]Contrato!A:A,[2]Contrato!Q:Q,"",0)</f>
        <v>#NAME?</v>
      </c>
      <c r="V1616" s="47" t="s">
        <v>95</v>
      </c>
      <c r="W1616" s="373" t="s">
        <v>1971</v>
      </c>
      <c r="X1616" s="373" t="s">
        <v>1972</v>
      </c>
      <c r="Y1616" s="55" t="e">
        <f ca="1">_xlfn.XLOOKUP(PAA_4[[#This Row],[ITEM]],[2]Contrato!A:A,[2]Contrato!B:B,"",0)</f>
        <v>#NAME?</v>
      </c>
      <c r="Z1616" s="47" t="e">
        <f ca="1">_xlfn.XLOOKUP(PAA_4[[#This Row],[ITEM]],[2]Contrato!A:A,[2]Contrato!G:G,"",0)</f>
        <v>#NAME?</v>
      </c>
      <c r="AA1616" s="47" t="e">
        <f ca="1">_xlfn.XLOOKUP(PAA_4[[#This Row],[ITEM]],[2]Contrato!A:A,[2]Contrato!T:T,"",0)</f>
        <v>#NAME?</v>
      </c>
      <c r="AB1616" s="55" t="e">
        <f ca="1">+MAX(PAA_4[[#This Row],[Comprometido Contrato]],PAA_4[[#This Row],[Comprometido Bolsa]])</f>
        <v>#NAME?</v>
      </c>
      <c r="AC1616" s="55" t="str">
        <f t="shared" ca="1" si="559"/>
        <v/>
      </c>
      <c r="AD1616" s="55" t="e">
        <f ca="1">IF(PAA_4[[#This Row],[ESTADO (formulado)]]="NO CONTRATADO",0,MAX(PAA_4[[#This Row],[Pago por Contrato]],PAA_4[[#This Row],[Pago por bolsa]]))</f>
        <v>#NAME?</v>
      </c>
      <c r="AE1616" s="55" t="str">
        <f t="shared" ca="1" si="556"/>
        <v/>
      </c>
      <c r="AF1616" s="47" t="e">
        <f t="shared" ca="1" si="557"/>
        <v>#NAME?</v>
      </c>
      <c r="AG1616" s="47">
        <f t="shared" si="558"/>
        <v>41080106</v>
      </c>
      <c r="AH1616" s="54" t="str">
        <f>IF(Q1616="22",IF(ISNUMBER(SEARCH("econ",PAA_4[[#This Row],[Actividad3]])),"Económico",IF(ISNUMBER(SEARCH("alim",PAA_4[[#This Row],[Actividad3]])),"Alimentación",IF(ISNUMBER(SEARCH("educ",PAA_4[[#This Row],[Actividad3]])),"Educativo","Técnico"))),0)</f>
        <v>Técnico</v>
      </c>
      <c r="AI1616" s="47" t="e" cm="1">
        <f t="array" aca="1" ref="AI1616" ca="1">_xlfn.XLOOKUP(PAA_4[[#This Row],[RCP-RUBRO]],[2]!COMPROMISOS_2024[[#All],[concatenado]],[2]!COMPROMISOS_2024[[#All],[Total pagado]],"",0)</f>
        <v>#NAME?</v>
      </c>
      <c r="AJ1616" s="56" t="e">
        <f ca="1">IF(PAA_4[[#This Row],[BOLSA]]=0,0,SUMIFS([2]!COMPROMISOS_2024[[#All],[Total pagado]],[2]!COMPROMISOS_2024[[#All],[Bolsa]],PAA_4[[#This Row],[BOLSA]],[2]!COMPROMISOS_2024[[#All],[rubro]],PAA_4[[#This Row],[RCP-RUBRO]]))</f>
        <v>#REF!</v>
      </c>
      <c r="AK1616" s="47" t="e" cm="1">
        <f t="array" aca="1" ref="AK1616" ca="1">_xlfn.XLOOKUP(PAA_4[[#This Row],[RCP-RUBRO]],[2]!COMPROMISOS_2024[[#All],[concatenado]],[2]!COMPROMISOS_2024[[#All],[Total Comprometido]],"",0)</f>
        <v>#NAME?</v>
      </c>
      <c r="AL1616" s="47" t="e">
        <f ca="1">IF(PAA_4[[#This Row],[BOLSA]]=0,0,SUMIFS([2]!COMPROMISOS_2024[[#All],[Total Comprometido]],[2]!COMPROMISOS_2024[[#All],[Bolsa]],PAA_4[[#This Row],[BOLSA]],[2]!COMPROMISOS_2024[[#All],[concatenado]],PAA_4[[#This Row],[RCP-RUBRO]]))</f>
        <v>#REF!</v>
      </c>
    </row>
    <row r="1617" spans="1:38" s="19" customFormat="1" ht="31.5" customHeight="1">
      <c r="A1617" s="47" t="s">
        <v>82</v>
      </c>
      <c r="B1617" s="366" t="s">
        <v>42</v>
      </c>
      <c r="C1617" s="47" t="str">
        <f>VLOOKUP(PAA_4[[#This Row],[PROYECTO (formulado)2]],[2]PROYECTOS!$G$1:$L$32,6,0)</f>
        <v>SUBGERENCIA DE ALTOS LOGROS Y DEPORTE ASOCIADO</v>
      </c>
      <c r="D1617" s="47" t="str">
        <f>+IF(PAA_4[[#This Row],[UNIDAD DE CONTRATACION (formulado)]]="Subgerencia Administrativa y Financiera","FUNCIONAMIENTO","INVERSIÓN")</f>
        <v>INVERSIÓN</v>
      </c>
      <c r="E1617" s="48" t="str">
        <f>VLOOKUP(Q1617,[2]PROYECTOS!$G$1:$K$32,5,0)</f>
        <v>APOYO_TÉCNICO_Y_PSICOSOCIAL_A_LOS_DEPORTISTAS_DE_ANTIOQUIA</v>
      </c>
      <c r="F1617" s="48">
        <f>VLOOKUP(E1617,[2]PROYECTOS!$K$1:$M$32,3,0)</f>
        <v>2021003050069</v>
      </c>
      <c r="G1617" s="371" t="s">
        <v>241</v>
      </c>
      <c r="H1617" s="49" t="str">
        <f>VLOOKUP(Q1617,[2]PROYECTOS!$V$1:$W$32,2,0)</f>
        <v>050069</v>
      </c>
      <c r="I1617" s="374">
        <v>0</v>
      </c>
      <c r="J1617" s="366" t="s">
        <v>1778</v>
      </c>
      <c r="K1617" s="47" t="str">
        <f t="shared" ref="K1617:K1680" ca="1" si="560">IF(ISNONTEXT(Y1617)=TRUE,"CONTRATADO","NO CONTRATADO")</f>
        <v>CONTRATADO</v>
      </c>
      <c r="L1617" s="58" t="s">
        <v>42</v>
      </c>
      <c r="M1617" s="58" t="s">
        <v>42</v>
      </c>
      <c r="N1617" s="344" t="s">
        <v>240</v>
      </c>
      <c r="O1617" s="51" t="e">
        <f>VLOOKUP(N1617,[2]!RUBROS[#All],3,0)</f>
        <v>#REF!</v>
      </c>
      <c r="P1617" s="53" t="e">
        <f>VLOOKUP(N1617,[2]!RUBROS[#All],2,0)</f>
        <v>#REF!</v>
      </c>
      <c r="Q1617" s="47" t="str">
        <f t="shared" si="553"/>
        <v>22</v>
      </c>
      <c r="R1617" s="47" t="str">
        <f t="shared" si="554"/>
        <v>0-205400</v>
      </c>
      <c r="S1617" s="357" t="s">
        <v>42</v>
      </c>
      <c r="T1617" s="59" t="s">
        <v>42</v>
      </c>
      <c r="U1617" s="326" t="e">
        <f ca="1">_xlfn.XLOOKUP(PAA_4[[#This Row],[ITEM]],[2]Contrato!A:A,[2]Contrato!Q:Q,"",0)</f>
        <v>#NAME?</v>
      </c>
      <c r="V1617" s="47" t="s">
        <v>95</v>
      </c>
      <c r="W1617" s="375" t="s">
        <v>42</v>
      </c>
      <c r="X1617" s="375" t="s">
        <v>42</v>
      </c>
      <c r="Y1617" s="55" t="e">
        <f ca="1">_xlfn.XLOOKUP(PAA_4[[#This Row],[ITEM]],[2]Contrato!A:A,[2]Contrato!B:B,"",0)</f>
        <v>#NAME?</v>
      </c>
      <c r="Z1617" s="47" t="e">
        <f ca="1">_xlfn.XLOOKUP(PAA_4[[#This Row],[ITEM]],[2]Contrato!A:A,[2]Contrato!G:G,"",0)</f>
        <v>#NAME?</v>
      </c>
      <c r="AA1617" s="47" t="e">
        <f ca="1">_xlfn.XLOOKUP(PAA_4[[#This Row],[ITEM]],[2]Contrato!A:A,[2]Contrato!T:T,"",0)</f>
        <v>#NAME?</v>
      </c>
      <c r="AB1617" s="55" t="e">
        <f ca="1">+MAX(PAA_4[[#This Row],[Comprometido Contrato]],PAA_4[[#This Row],[Comprometido Bolsa]])</f>
        <v>#NAME?</v>
      </c>
      <c r="AC1617" s="55" t="str">
        <f t="shared" ca="1" si="559"/>
        <v/>
      </c>
      <c r="AD1617" s="55" t="e">
        <f ca="1">IF(PAA_4[[#This Row],[ESTADO (formulado)]]="NO CONTRATADO",0,MAX(PAA_4[[#This Row],[Pago por Contrato]],PAA_4[[#This Row],[Pago por bolsa]]))</f>
        <v>#NAME?</v>
      </c>
      <c r="AE1617" s="55" t="str">
        <f t="shared" ref="AE1617:AE1680" ca="1" si="561">+IFERROR(AB1617-AD1617,"")</f>
        <v/>
      </c>
      <c r="AF1617" s="47" t="e">
        <f t="shared" ca="1" si="557"/>
        <v>#NAME?</v>
      </c>
      <c r="AG1617" s="47">
        <f t="shared" ref="AG1617:AG1680" si="562">IFERROR(_xlfn.NUMBERVALUE(MID(G1617,1,8)),"")</f>
        <v>41080106</v>
      </c>
      <c r="AH1617" s="54" t="str">
        <f>IF(Q1617="22",IF(ISNUMBER(SEARCH("econ",PAA_4[[#This Row],[Actividad3]])),"Económico",IF(ISNUMBER(SEARCH("alim",PAA_4[[#This Row],[Actividad3]])),"Alimentación",IF(ISNUMBER(SEARCH("educ",PAA_4[[#This Row],[Actividad3]])),"Educativo","Técnico"))),0)</f>
        <v>Técnico</v>
      </c>
      <c r="AI1617" s="47" t="e" cm="1">
        <f t="array" aca="1" ref="AI1617" ca="1">_xlfn.XLOOKUP(PAA_4[[#This Row],[RCP-RUBRO]],[2]!COMPROMISOS_2024[[#All],[concatenado]],[2]!COMPROMISOS_2024[[#All],[Total pagado]],"",0)</f>
        <v>#NAME?</v>
      </c>
      <c r="AJ1617" s="56" t="e">
        <f ca="1">IF(PAA_4[[#This Row],[BOLSA]]=0,0,SUMIFS([2]!COMPROMISOS_2024[[#All],[Total pagado]],[2]!COMPROMISOS_2024[[#All],[Bolsa]],PAA_4[[#This Row],[BOLSA]],[2]!COMPROMISOS_2024[[#All],[rubro]],PAA_4[[#This Row],[RCP-RUBRO]]))</f>
        <v>#REF!</v>
      </c>
      <c r="AK1617" s="47" t="e" cm="1">
        <f t="array" aca="1" ref="AK1617" ca="1">_xlfn.XLOOKUP(PAA_4[[#This Row],[RCP-RUBRO]],[2]!COMPROMISOS_2024[[#All],[concatenado]],[2]!COMPROMISOS_2024[[#All],[Total Comprometido]],"",0)</f>
        <v>#NAME?</v>
      </c>
      <c r="AL1617" s="47" t="e">
        <f ca="1">IF(PAA_4[[#This Row],[BOLSA]]=0,0,SUMIFS([2]!COMPROMISOS_2024[[#All],[Total Comprometido]],[2]!COMPROMISOS_2024[[#All],[Bolsa]],PAA_4[[#This Row],[BOLSA]],[2]!COMPROMISOS_2024[[#All],[concatenado]],PAA_4[[#This Row],[RCP-RUBRO]]))</f>
        <v>#REF!</v>
      </c>
    </row>
    <row r="1618" spans="1:38" s="19" customFormat="1" ht="31.5" customHeight="1">
      <c r="A1618" s="47">
        <v>878</v>
      </c>
      <c r="B1618" s="344">
        <v>80111600</v>
      </c>
      <c r="C1618" s="47" t="str">
        <f>VLOOKUP(PAA_4[[#This Row],[PROYECTO (formulado)2]],[2]PROYECTOS!$G$1:$L$32,6,0)</f>
        <v>SUBGERENCIA DE ALTOS LOGROS Y DEPORTE ASOCIADO</v>
      </c>
      <c r="D1618" s="47" t="str">
        <f>+IF(PAA_4[[#This Row],[UNIDAD DE CONTRATACION (formulado)]]="Subgerencia Administrativa y Financiera","FUNCIONAMIENTO","INVERSIÓN")</f>
        <v>INVERSIÓN</v>
      </c>
      <c r="E1618" s="48" t="str">
        <f>VLOOKUP(Q1618,[2]PROYECTOS!$G$1:$K$32,5,0)</f>
        <v>APOYO_TÉCNICO_Y_PSICOSOCIAL_A_LOS_DEPORTISTAS_DE_ANTIOQUIA</v>
      </c>
      <c r="F1618" s="48">
        <f>VLOOKUP(E1618,[2]PROYECTOS!$K$1:$M$32,3,0)</f>
        <v>2021003050069</v>
      </c>
      <c r="G1618" s="371" t="s">
        <v>241</v>
      </c>
      <c r="H1618" s="49" t="str">
        <f>VLOOKUP(Q1618,[2]PROYECTOS!$V$1:$W$32,2,0)</f>
        <v>050069</v>
      </c>
      <c r="I1618" s="374">
        <f>35586894-11466888</f>
        <v>24120006</v>
      </c>
      <c r="J1618" s="286" t="s">
        <v>1979</v>
      </c>
      <c r="K1618" s="47" t="str">
        <f t="shared" ca="1" si="560"/>
        <v>CONTRATADO</v>
      </c>
      <c r="L1618" s="372" t="s">
        <v>147</v>
      </c>
      <c r="M1618" s="58" t="s">
        <v>1297</v>
      </c>
      <c r="N1618" s="344" t="s">
        <v>240</v>
      </c>
      <c r="O1618" s="51" t="e">
        <f>VLOOKUP(N1618,[2]!RUBROS[#All],3,0)</f>
        <v>#REF!</v>
      </c>
      <c r="P1618" s="53" t="e">
        <f>VLOOKUP(N1618,[2]!RUBROS[#All],2,0)</f>
        <v>#REF!</v>
      </c>
      <c r="Q1618" s="47" t="str">
        <f t="shared" si="553"/>
        <v>22</v>
      </c>
      <c r="R1618" s="47" t="str">
        <f t="shared" si="554"/>
        <v>0-205400</v>
      </c>
      <c r="S1618" s="357">
        <v>122</v>
      </c>
      <c r="T1618" s="59" t="s">
        <v>1970</v>
      </c>
      <c r="U1618" s="326" t="e">
        <f ca="1">_xlfn.XLOOKUP(PAA_4[[#This Row],[ITEM]],[2]Contrato!A:A,[2]Contrato!Q:Q,"",0)</f>
        <v>#NAME?</v>
      </c>
      <c r="V1618" s="47" t="s">
        <v>95</v>
      </c>
      <c r="W1618" s="373" t="s">
        <v>1971</v>
      </c>
      <c r="X1618" s="373" t="s">
        <v>1972</v>
      </c>
      <c r="Y1618" s="55" t="e">
        <f ca="1">_xlfn.XLOOKUP(PAA_4[[#This Row],[ITEM]],[2]Contrato!A:A,[2]Contrato!B:B,"",0)</f>
        <v>#NAME?</v>
      </c>
      <c r="Z1618" s="47" t="e">
        <f ca="1">_xlfn.XLOOKUP(PAA_4[[#This Row],[ITEM]],[2]Contrato!A:A,[2]Contrato!G:G,"",0)</f>
        <v>#NAME?</v>
      </c>
      <c r="AA1618" s="47" t="e">
        <f ca="1">_xlfn.XLOOKUP(PAA_4[[#This Row],[ITEM]],[2]Contrato!A:A,[2]Contrato!T:T,"",0)</f>
        <v>#NAME?</v>
      </c>
      <c r="AB1618" s="55" t="e">
        <f ca="1">+MAX(PAA_4[[#This Row],[Comprometido Contrato]],PAA_4[[#This Row],[Comprometido Bolsa]])</f>
        <v>#NAME?</v>
      </c>
      <c r="AC1618" s="55" t="str">
        <f t="shared" ca="1" si="559"/>
        <v/>
      </c>
      <c r="AD1618" s="55" t="e">
        <f ca="1">IF(PAA_4[[#This Row],[ESTADO (formulado)]]="NO CONTRATADO",0,MAX(PAA_4[[#This Row],[Pago por Contrato]],PAA_4[[#This Row],[Pago por bolsa]]))</f>
        <v>#NAME?</v>
      </c>
      <c r="AE1618" s="55" t="str">
        <f t="shared" ca="1" si="561"/>
        <v/>
      </c>
      <c r="AF1618" s="47" t="e">
        <f t="shared" ca="1" si="557"/>
        <v>#NAME?</v>
      </c>
      <c r="AG1618" s="47">
        <f t="shared" si="562"/>
        <v>41080106</v>
      </c>
      <c r="AH1618" s="54" t="str">
        <f>IF(Q1618="22",IF(ISNUMBER(SEARCH("econ",PAA_4[[#This Row],[Actividad3]])),"Económico",IF(ISNUMBER(SEARCH("alim",PAA_4[[#This Row],[Actividad3]])),"Alimentación",IF(ISNUMBER(SEARCH("educ",PAA_4[[#This Row],[Actividad3]])),"Educativo","Técnico"))),0)</f>
        <v>Técnico</v>
      </c>
      <c r="AI1618" s="47" t="e" cm="1">
        <f t="array" aca="1" ref="AI1618" ca="1">_xlfn.XLOOKUP(PAA_4[[#This Row],[RCP-RUBRO]],[2]!COMPROMISOS_2024[[#All],[concatenado]],[2]!COMPROMISOS_2024[[#All],[Total pagado]],"",0)</f>
        <v>#NAME?</v>
      </c>
      <c r="AJ1618" s="56" t="e">
        <f ca="1">IF(PAA_4[[#This Row],[BOLSA]]=0,0,SUMIFS([2]!COMPROMISOS_2024[[#All],[Total pagado]],[2]!COMPROMISOS_2024[[#All],[Bolsa]],PAA_4[[#This Row],[BOLSA]],[2]!COMPROMISOS_2024[[#All],[rubro]],PAA_4[[#This Row],[RCP-RUBRO]]))</f>
        <v>#REF!</v>
      </c>
      <c r="AK1618" s="47" t="e" cm="1">
        <f t="array" aca="1" ref="AK1618" ca="1">_xlfn.XLOOKUP(PAA_4[[#This Row],[RCP-RUBRO]],[2]!COMPROMISOS_2024[[#All],[concatenado]],[2]!COMPROMISOS_2024[[#All],[Total Comprometido]],"",0)</f>
        <v>#NAME?</v>
      </c>
      <c r="AL1618" s="47" t="e">
        <f ca="1">IF(PAA_4[[#This Row],[BOLSA]]=0,0,SUMIFS([2]!COMPROMISOS_2024[[#All],[Total Comprometido]],[2]!COMPROMISOS_2024[[#All],[Bolsa]],PAA_4[[#This Row],[BOLSA]],[2]!COMPROMISOS_2024[[#All],[concatenado]],PAA_4[[#This Row],[RCP-RUBRO]]))</f>
        <v>#REF!</v>
      </c>
    </row>
    <row r="1619" spans="1:38" s="19" customFormat="1" ht="31.5" customHeight="1">
      <c r="A1619" s="47" t="s">
        <v>82</v>
      </c>
      <c r="B1619" s="366" t="s">
        <v>42</v>
      </c>
      <c r="C1619" s="47" t="str">
        <f>VLOOKUP(PAA_4[[#This Row],[PROYECTO (formulado)2]],[2]PROYECTOS!$G$1:$L$32,6,0)</f>
        <v>SUBGERENCIA DE ALTOS LOGROS Y DEPORTE ASOCIADO</v>
      </c>
      <c r="D1619" s="47" t="str">
        <f>+IF(PAA_4[[#This Row],[UNIDAD DE CONTRATACION (formulado)]]="Subgerencia Administrativa y Financiera","FUNCIONAMIENTO","INVERSIÓN")</f>
        <v>INVERSIÓN</v>
      </c>
      <c r="E1619" s="48" t="str">
        <f>VLOOKUP(Q1619,[2]PROYECTOS!$G$1:$K$32,5,0)</f>
        <v>APOYO_TÉCNICO_Y_PSICOSOCIAL_A_LOS_DEPORTISTAS_DE_ANTIOQUIA</v>
      </c>
      <c r="F1619" s="48">
        <f>VLOOKUP(E1619,[2]PROYECTOS!$K$1:$M$32,3,0)</f>
        <v>2021003050069</v>
      </c>
      <c r="G1619" s="371" t="s">
        <v>241</v>
      </c>
      <c r="H1619" s="49" t="str">
        <f>VLOOKUP(Q1619,[2]PROYECTOS!$V$1:$W$32,2,0)</f>
        <v>050069</v>
      </c>
      <c r="I1619" s="374">
        <v>0</v>
      </c>
      <c r="J1619" s="366" t="s">
        <v>1778</v>
      </c>
      <c r="K1619" s="47" t="str">
        <f t="shared" ca="1" si="560"/>
        <v>CONTRATADO</v>
      </c>
      <c r="L1619" s="58" t="s">
        <v>42</v>
      </c>
      <c r="M1619" s="58" t="s">
        <v>42</v>
      </c>
      <c r="N1619" s="344" t="s">
        <v>240</v>
      </c>
      <c r="O1619" s="51" t="e">
        <f>VLOOKUP(N1619,[2]!RUBROS[#All],3,0)</f>
        <v>#REF!</v>
      </c>
      <c r="P1619" s="53" t="e">
        <f>VLOOKUP(N1619,[2]!RUBROS[#All],2,0)</f>
        <v>#REF!</v>
      </c>
      <c r="Q1619" s="47" t="str">
        <f t="shared" si="553"/>
        <v>22</v>
      </c>
      <c r="R1619" s="47" t="str">
        <f t="shared" si="554"/>
        <v>0-205400</v>
      </c>
      <c r="S1619" s="357" t="s">
        <v>42</v>
      </c>
      <c r="T1619" s="59" t="s">
        <v>42</v>
      </c>
      <c r="U1619" s="326" t="e">
        <f ca="1">_xlfn.XLOOKUP(PAA_4[[#This Row],[ITEM]],[2]Contrato!A:A,[2]Contrato!Q:Q,"",0)</f>
        <v>#NAME?</v>
      </c>
      <c r="V1619" s="47" t="s">
        <v>95</v>
      </c>
      <c r="W1619" s="375" t="s">
        <v>42</v>
      </c>
      <c r="X1619" s="375" t="s">
        <v>42</v>
      </c>
      <c r="Y1619" s="55" t="e">
        <f ca="1">_xlfn.XLOOKUP(PAA_4[[#This Row],[ITEM]],[2]Contrato!A:A,[2]Contrato!B:B,"",0)</f>
        <v>#NAME?</v>
      </c>
      <c r="Z1619" s="47" t="e">
        <f ca="1">_xlfn.XLOOKUP(PAA_4[[#This Row],[ITEM]],[2]Contrato!A:A,[2]Contrato!G:G,"",0)</f>
        <v>#NAME?</v>
      </c>
      <c r="AA1619" s="47" t="e">
        <f ca="1">_xlfn.XLOOKUP(PAA_4[[#This Row],[ITEM]],[2]Contrato!A:A,[2]Contrato!T:T,"",0)</f>
        <v>#NAME?</v>
      </c>
      <c r="AB1619" s="55" t="e">
        <f ca="1">+MAX(PAA_4[[#This Row],[Comprometido Contrato]],PAA_4[[#This Row],[Comprometido Bolsa]])</f>
        <v>#NAME?</v>
      </c>
      <c r="AC1619" s="55" t="str">
        <f t="shared" ca="1" si="559"/>
        <v/>
      </c>
      <c r="AD1619" s="55" t="e">
        <f ca="1">IF(PAA_4[[#This Row],[ESTADO (formulado)]]="NO CONTRATADO",0,MAX(PAA_4[[#This Row],[Pago por Contrato]],PAA_4[[#This Row],[Pago por bolsa]]))</f>
        <v>#NAME?</v>
      </c>
      <c r="AE1619" s="55" t="str">
        <f t="shared" ca="1" si="561"/>
        <v/>
      </c>
      <c r="AF1619" s="47" t="e">
        <f t="shared" ca="1" si="557"/>
        <v>#NAME?</v>
      </c>
      <c r="AG1619" s="47">
        <f t="shared" si="562"/>
        <v>41080106</v>
      </c>
      <c r="AH1619" s="54" t="str">
        <f>IF(Q1619="22",IF(ISNUMBER(SEARCH("econ",PAA_4[[#This Row],[Actividad3]])),"Económico",IF(ISNUMBER(SEARCH("alim",PAA_4[[#This Row],[Actividad3]])),"Alimentación",IF(ISNUMBER(SEARCH("educ",PAA_4[[#This Row],[Actividad3]])),"Educativo","Técnico"))),0)</f>
        <v>Técnico</v>
      </c>
      <c r="AI1619" s="47" t="e" cm="1">
        <f t="array" aca="1" ref="AI1619" ca="1">_xlfn.XLOOKUP(PAA_4[[#This Row],[RCP-RUBRO]],[2]!COMPROMISOS_2024[[#All],[concatenado]],[2]!COMPROMISOS_2024[[#All],[Total pagado]],"",0)</f>
        <v>#NAME?</v>
      </c>
      <c r="AJ1619" s="56" t="e">
        <f ca="1">IF(PAA_4[[#This Row],[BOLSA]]=0,0,SUMIFS([2]!COMPROMISOS_2024[[#All],[Total pagado]],[2]!COMPROMISOS_2024[[#All],[Bolsa]],PAA_4[[#This Row],[BOLSA]],[2]!COMPROMISOS_2024[[#All],[rubro]],PAA_4[[#This Row],[RCP-RUBRO]]))</f>
        <v>#REF!</v>
      </c>
      <c r="AK1619" s="47" t="e" cm="1">
        <f t="array" aca="1" ref="AK1619" ca="1">_xlfn.XLOOKUP(PAA_4[[#This Row],[RCP-RUBRO]],[2]!COMPROMISOS_2024[[#All],[concatenado]],[2]!COMPROMISOS_2024[[#All],[Total Comprometido]],"",0)</f>
        <v>#NAME?</v>
      </c>
      <c r="AL1619" s="47" t="e">
        <f ca="1">IF(PAA_4[[#This Row],[BOLSA]]=0,0,SUMIFS([2]!COMPROMISOS_2024[[#All],[Total Comprometido]],[2]!COMPROMISOS_2024[[#All],[Bolsa]],PAA_4[[#This Row],[BOLSA]],[2]!COMPROMISOS_2024[[#All],[concatenado]],PAA_4[[#This Row],[RCP-RUBRO]]))</f>
        <v>#REF!</v>
      </c>
    </row>
    <row r="1620" spans="1:38" s="19" customFormat="1" ht="31.5" customHeight="1">
      <c r="A1620" s="47">
        <v>879</v>
      </c>
      <c r="B1620" s="344">
        <v>80111600</v>
      </c>
      <c r="C1620" s="47" t="str">
        <f>VLOOKUP(PAA_4[[#This Row],[PROYECTO (formulado)2]],[2]PROYECTOS!$G$1:$L$32,6,0)</f>
        <v>SUBGERENCIA DE ALTOS LOGROS Y DEPORTE ASOCIADO</v>
      </c>
      <c r="D1620" s="47" t="str">
        <f>+IF(PAA_4[[#This Row],[UNIDAD DE CONTRATACION (formulado)]]="Subgerencia Administrativa y Financiera","FUNCIONAMIENTO","INVERSIÓN")</f>
        <v>INVERSIÓN</v>
      </c>
      <c r="E1620" s="48" t="str">
        <f>VLOOKUP(Q1620,[2]PROYECTOS!$G$1:$K$32,5,0)</f>
        <v>APOYO_TÉCNICO_Y_PSICOSOCIAL_A_LOS_DEPORTISTAS_DE_ANTIOQUIA</v>
      </c>
      <c r="F1620" s="48">
        <f>VLOOKUP(E1620,[2]PROYECTOS!$K$1:$M$32,3,0)</f>
        <v>2021003050069</v>
      </c>
      <c r="G1620" s="371" t="s">
        <v>241</v>
      </c>
      <c r="H1620" s="49" t="str">
        <f>VLOOKUP(Q1620,[2]PROYECTOS!$V$1:$W$32,2,0)</f>
        <v>050069</v>
      </c>
      <c r="I1620" s="374">
        <f>23714292-7641272</f>
        <v>16073020</v>
      </c>
      <c r="J1620" s="286" t="s">
        <v>1980</v>
      </c>
      <c r="K1620" s="47" t="str">
        <f t="shared" ca="1" si="560"/>
        <v>CONTRATADO</v>
      </c>
      <c r="L1620" s="372" t="s">
        <v>147</v>
      </c>
      <c r="M1620" s="58" t="s">
        <v>1297</v>
      </c>
      <c r="N1620" s="344" t="s">
        <v>240</v>
      </c>
      <c r="O1620" s="51" t="e">
        <f>VLOOKUP(N1620,[2]!RUBROS[#All],3,0)</f>
        <v>#REF!</v>
      </c>
      <c r="P1620" s="53" t="e">
        <f>VLOOKUP(N1620,[2]!RUBROS[#All],2,0)</f>
        <v>#REF!</v>
      </c>
      <c r="Q1620" s="47" t="str">
        <f t="shared" ref="Q1620:Q1683" si="563">+MID(N1620,11,2)</f>
        <v>22</v>
      </c>
      <c r="R1620" s="47" t="str">
        <f t="shared" ref="R1620:R1683" si="564">+MID(N1620,14,8)</f>
        <v>0-205400</v>
      </c>
      <c r="S1620" s="357">
        <v>122</v>
      </c>
      <c r="T1620" s="59" t="s">
        <v>1970</v>
      </c>
      <c r="U1620" s="326" t="e">
        <f ca="1">_xlfn.XLOOKUP(PAA_4[[#This Row],[ITEM]],[2]Contrato!A:A,[2]Contrato!Q:Q,"",0)</f>
        <v>#NAME?</v>
      </c>
      <c r="V1620" s="47" t="s">
        <v>95</v>
      </c>
      <c r="W1620" s="373" t="s">
        <v>1971</v>
      </c>
      <c r="X1620" s="373" t="s">
        <v>1972</v>
      </c>
      <c r="Y1620" s="55" t="e">
        <f ca="1">_xlfn.XLOOKUP(PAA_4[[#This Row],[ITEM]],[2]Contrato!A:A,[2]Contrato!B:B,"",0)</f>
        <v>#NAME?</v>
      </c>
      <c r="Z1620" s="47" t="e">
        <f ca="1">_xlfn.XLOOKUP(PAA_4[[#This Row],[ITEM]],[2]Contrato!A:A,[2]Contrato!G:G,"",0)</f>
        <v>#NAME?</v>
      </c>
      <c r="AA1620" s="47" t="e">
        <f ca="1">_xlfn.XLOOKUP(PAA_4[[#This Row],[ITEM]],[2]Contrato!A:A,[2]Contrato!T:T,"",0)</f>
        <v>#NAME?</v>
      </c>
      <c r="AB1620" s="55" t="e">
        <f ca="1">+MAX(PAA_4[[#This Row],[Comprometido Contrato]],PAA_4[[#This Row],[Comprometido Bolsa]])</f>
        <v>#NAME?</v>
      </c>
      <c r="AC1620" s="55" t="str">
        <f t="shared" ca="1" si="559"/>
        <v/>
      </c>
      <c r="AD1620" s="55" t="e">
        <f ca="1">IF(PAA_4[[#This Row],[ESTADO (formulado)]]="NO CONTRATADO",0,MAX(PAA_4[[#This Row],[Pago por Contrato]],PAA_4[[#This Row],[Pago por bolsa]]))</f>
        <v>#NAME?</v>
      </c>
      <c r="AE1620" s="55" t="str">
        <f t="shared" ca="1" si="561"/>
        <v/>
      </c>
      <c r="AF1620" s="47" t="e">
        <f t="shared" ca="1" si="557"/>
        <v>#NAME?</v>
      </c>
      <c r="AG1620" s="47">
        <f t="shared" si="562"/>
        <v>41080106</v>
      </c>
      <c r="AH1620" s="54" t="str">
        <f>IF(Q1620="22",IF(ISNUMBER(SEARCH("econ",PAA_4[[#This Row],[Actividad3]])),"Económico",IF(ISNUMBER(SEARCH("alim",PAA_4[[#This Row],[Actividad3]])),"Alimentación",IF(ISNUMBER(SEARCH("educ",PAA_4[[#This Row],[Actividad3]])),"Educativo","Técnico"))),0)</f>
        <v>Técnico</v>
      </c>
      <c r="AI1620" s="47" t="e" cm="1">
        <f t="array" aca="1" ref="AI1620" ca="1">_xlfn.XLOOKUP(PAA_4[[#This Row],[RCP-RUBRO]],[2]!COMPROMISOS_2024[[#All],[concatenado]],[2]!COMPROMISOS_2024[[#All],[Total pagado]],"",0)</f>
        <v>#NAME?</v>
      </c>
      <c r="AJ1620" s="56" t="e">
        <f ca="1">IF(PAA_4[[#This Row],[BOLSA]]=0,0,SUMIFS([2]!COMPROMISOS_2024[[#All],[Total pagado]],[2]!COMPROMISOS_2024[[#All],[Bolsa]],PAA_4[[#This Row],[BOLSA]],[2]!COMPROMISOS_2024[[#All],[rubro]],PAA_4[[#This Row],[RCP-RUBRO]]))</f>
        <v>#REF!</v>
      </c>
      <c r="AK1620" s="47" t="e" cm="1">
        <f t="array" aca="1" ref="AK1620" ca="1">_xlfn.XLOOKUP(PAA_4[[#This Row],[RCP-RUBRO]],[2]!COMPROMISOS_2024[[#All],[concatenado]],[2]!COMPROMISOS_2024[[#All],[Total Comprometido]],"",0)</f>
        <v>#NAME?</v>
      </c>
      <c r="AL1620" s="47" t="e">
        <f ca="1">IF(PAA_4[[#This Row],[BOLSA]]=0,0,SUMIFS([2]!COMPROMISOS_2024[[#All],[Total Comprometido]],[2]!COMPROMISOS_2024[[#All],[Bolsa]],PAA_4[[#This Row],[BOLSA]],[2]!COMPROMISOS_2024[[#All],[concatenado]],PAA_4[[#This Row],[RCP-RUBRO]]))</f>
        <v>#REF!</v>
      </c>
    </row>
    <row r="1621" spans="1:38" s="19" customFormat="1" ht="31.5" customHeight="1">
      <c r="A1621" s="47" t="s">
        <v>82</v>
      </c>
      <c r="B1621" s="366" t="s">
        <v>42</v>
      </c>
      <c r="C1621" s="47" t="str">
        <f>VLOOKUP(PAA_4[[#This Row],[PROYECTO (formulado)2]],[2]PROYECTOS!$G$1:$L$32,6,0)</f>
        <v>SUBGERENCIA DE ALTOS LOGROS Y DEPORTE ASOCIADO</v>
      </c>
      <c r="D1621" s="47" t="str">
        <f>+IF(PAA_4[[#This Row],[UNIDAD DE CONTRATACION (formulado)]]="Subgerencia Administrativa y Financiera","FUNCIONAMIENTO","INVERSIÓN")</f>
        <v>INVERSIÓN</v>
      </c>
      <c r="E1621" s="48" t="str">
        <f>VLOOKUP(Q1621,[2]PROYECTOS!$G$1:$K$32,5,0)</f>
        <v>APOYO_TÉCNICO_Y_PSICOSOCIAL_A_LOS_DEPORTISTAS_DE_ANTIOQUIA</v>
      </c>
      <c r="F1621" s="48">
        <f>VLOOKUP(E1621,[2]PROYECTOS!$K$1:$M$32,3,0)</f>
        <v>2021003050069</v>
      </c>
      <c r="G1621" s="371" t="s">
        <v>241</v>
      </c>
      <c r="H1621" s="49" t="str">
        <f>VLOOKUP(Q1621,[2]PROYECTOS!$V$1:$W$32,2,0)</f>
        <v>050069</v>
      </c>
      <c r="I1621" s="374">
        <v>0</v>
      </c>
      <c r="J1621" s="366" t="s">
        <v>1778</v>
      </c>
      <c r="K1621" s="47" t="str">
        <f t="shared" ca="1" si="560"/>
        <v>CONTRATADO</v>
      </c>
      <c r="L1621" s="58" t="s">
        <v>42</v>
      </c>
      <c r="M1621" s="58" t="s">
        <v>42</v>
      </c>
      <c r="N1621" s="344" t="s">
        <v>240</v>
      </c>
      <c r="O1621" s="51" t="e">
        <f>VLOOKUP(N1621,[2]!RUBROS[#All],3,0)</f>
        <v>#REF!</v>
      </c>
      <c r="P1621" s="53" t="e">
        <f>VLOOKUP(N1621,[2]!RUBROS[#All],2,0)</f>
        <v>#REF!</v>
      </c>
      <c r="Q1621" s="47" t="str">
        <f t="shared" si="563"/>
        <v>22</v>
      </c>
      <c r="R1621" s="47" t="str">
        <f t="shared" si="564"/>
        <v>0-205400</v>
      </c>
      <c r="S1621" s="357" t="s">
        <v>42</v>
      </c>
      <c r="T1621" s="59" t="s">
        <v>42</v>
      </c>
      <c r="U1621" s="326" t="e">
        <f ca="1">_xlfn.XLOOKUP(PAA_4[[#This Row],[ITEM]],[2]Contrato!A:A,[2]Contrato!Q:Q,"",0)</f>
        <v>#NAME?</v>
      </c>
      <c r="V1621" s="47" t="s">
        <v>95</v>
      </c>
      <c r="W1621" s="375" t="s">
        <v>42</v>
      </c>
      <c r="X1621" s="375" t="s">
        <v>42</v>
      </c>
      <c r="Y1621" s="55" t="e">
        <f ca="1">_xlfn.XLOOKUP(PAA_4[[#This Row],[ITEM]],[2]Contrato!A:A,[2]Contrato!B:B,"",0)</f>
        <v>#NAME?</v>
      </c>
      <c r="Z1621" s="47" t="e">
        <f ca="1">_xlfn.XLOOKUP(PAA_4[[#This Row],[ITEM]],[2]Contrato!A:A,[2]Contrato!G:G,"",0)</f>
        <v>#NAME?</v>
      </c>
      <c r="AA1621" s="47" t="e">
        <f ca="1">_xlfn.XLOOKUP(PAA_4[[#This Row],[ITEM]],[2]Contrato!A:A,[2]Contrato!T:T,"",0)</f>
        <v>#NAME?</v>
      </c>
      <c r="AB1621" s="55" t="e">
        <f ca="1">+MAX(PAA_4[[#This Row],[Comprometido Contrato]],PAA_4[[#This Row],[Comprometido Bolsa]])</f>
        <v>#NAME?</v>
      </c>
      <c r="AC1621" s="55" t="str">
        <f t="shared" ca="1" si="559"/>
        <v/>
      </c>
      <c r="AD1621" s="55" t="e">
        <f ca="1">IF(PAA_4[[#This Row],[ESTADO (formulado)]]="NO CONTRATADO",0,MAX(PAA_4[[#This Row],[Pago por Contrato]],PAA_4[[#This Row],[Pago por bolsa]]))</f>
        <v>#NAME?</v>
      </c>
      <c r="AE1621" s="55" t="str">
        <f t="shared" ca="1" si="561"/>
        <v/>
      </c>
      <c r="AF1621" s="47" t="e">
        <f t="shared" ref="AF1621:AF1684" ca="1" si="565">+CONCATENATE(AA1621,N1621)</f>
        <v>#NAME?</v>
      </c>
      <c r="AG1621" s="47">
        <f t="shared" si="562"/>
        <v>41080106</v>
      </c>
      <c r="AH1621" s="54" t="str">
        <f>IF(Q1621="22",IF(ISNUMBER(SEARCH("econ",PAA_4[[#This Row],[Actividad3]])),"Económico",IF(ISNUMBER(SEARCH("alim",PAA_4[[#This Row],[Actividad3]])),"Alimentación",IF(ISNUMBER(SEARCH("educ",PAA_4[[#This Row],[Actividad3]])),"Educativo","Técnico"))),0)</f>
        <v>Técnico</v>
      </c>
      <c r="AI1621" s="47" t="e" cm="1">
        <f t="array" aca="1" ref="AI1621" ca="1">_xlfn.XLOOKUP(PAA_4[[#This Row],[RCP-RUBRO]],[2]!COMPROMISOS_2024[[#All],[concatenado]],[2]!COMPROMISOS_2024[[#All],[Total pagado]],"",0)</f>
        <v>#NAME?</v>
      </c>
      <c r="AJ1621" s="56" t="e">
        <f ca="1">IF(PAA_4[[#This Row],[BOLSA]]=0,0,SUMIFS([2]!COMPROMISOS_2024[[#All],[Total pagado]],[2]!COMPROMISOS_2024[[#All],[Bolsa]],PAA_4[[#This Row],[BOLSA]],[2]!COMPROMISOS_2024[[#All],[rubro]],PAA_4[[#This Row],[RCP-RUBRO]]))</f>
        <v>#REF!</v>
      </c>
      <c r="AK1621" s="47" t="e" cm="1">
        <f t="array" aca="1" ref="AK1621" ca="1">_xlfn.XLOOKUP(PAA_4[[#This Row],[RCP-RUBRO]],[2]!COMPROMISOS_2024[[#All],[concatenado]],[2]!COMPROMISOS_2024[[#All],[Total Comprometido]],"",0)</f>
        <v>#NAME?</v>
      </c>
      <c r="AL1621" s="47" t="e">
        <f ca="1">IF(PAA_4[[#This Row],[BOLSA]]=0,0,SUMIFS([2]!COMPROMISOS_2024[[#All],[Total Comprometido]],[2]!COMPROMISOS_2024[[#All],[Bolsa]],PAA_4[[#This Row],[BOLSA]],[2]!COMPROMISOS_2024[[#All],[concatenado]],PAA_4[[#This Row],[RCP-RUBRO]]))</f>
        <v>#REF!</v>
      </c>
    </row>
    <row r="1622" spans="1:38" s="19" customFormat="1" ht="31.5" customHeight="1">
      <c r="A1622" s="47">
        <v>880</v>
      </c>
      <c r="B1622" s="344">
        <v>80111600</v>
      </c>
      <c r="C1622" s="47" t="str">
        <f>VLOOKUP(PAA_4[[#This Row],[PROYECTO (formulado)2]],[2]PROYECTOS!$G$1:$L$32,6,0)</f>
        <v>SUBGERENCIA DE ALTOS LOGROS Y DEPORTE ASOCIADO</v>
      </c>
      <c r="D1622" s="47" t="str">
        <f>+IF(PAA_4[[#This Row],[UNIDAD DE CONTRATACION (formulado)]]="Subgerencia Administrativa y Financiera","FUNCIONAMIENTO","INVERSIÓN")</f>
        <v>INVERSIÓN</v>
      </c>
      <c r="E1622" s="48" t="str">
        <f>VLOOKUP(Q1622,[2]PROYECTOS!$G$1:$K$32,5,0)</f>
        <v>APOYO_TÉCNICO_Y_PSICOSOCIAL_A_LOS_DEPORTISTAS_DE_ANTIOQUIA</v>
      </c>
      <c r="F1622" s="48">
        <f>VLOOKUP(E1622,[2]PROYECTOS!$K$1:$M$32,3,0)</f>
        <v>2021003050069</v>
      </c>
      <c r="G1622" s="371" t="s">
        <v>241</v>
      </c>
      <c r="H1622" s="49" t="str">
        <f>VLOOKUP(Q1622,[2]PROYECTOS!$V$1:$W$32,2,0)</f>
        <v>050069</v>
      </c>
      <c r="I1622" s="374">
        <f>23714292-7641272</f>
        <v>16073020</v>
      </c>
      <c r="J1622" s="286" t="s">
        <v>1980</v>
      </c>
      <c r="K1622" s="47" t="str">
        <f t="shared" ca="1" si="560"/>
        <v>CONTRATADO</v>
      </c>
      <c r="L1622" s="372" t="s">
        <v>147</v>
      </c>
      <c r="M1622" s="58" t="s">
        <v>1297</v>
      </c>
      <c r="N1622" s="344" t="s">
        <v>240</v>
      </c>
      <c r="O1622" s="51" t="e">
        <f>VLOOKUP(N1622,[2]!RUBROS[#All],3,0)</f>
        <v>#REF!</v>
      </c>
      <c r="P1622" s="53" t="e">
        <f>VLOOKUP(N1622,[2]!RUBROS[#All],2,0)</f>
        <v>#REF!</v>
      </c>
      <c r="Q1622" s="47" t="str">
        <f t="shared" si="563"/>
        <v>22</v>
      </c>
      <c r="R1622" s="47" t="str">
        <f t="shared" si="564"/>
        <v>0-205400</v>
      </c>
      <c r="S1622" s="357">
        <v>122</v>
      </c>
      <c r="T1622" s="59" t="s">
        <v>1970</v>
      </c>
      <c r="U1622" s="326" t="e">
        <f ca="1">_xlfn.XLOOKUP(PAA_4[[#This Row],[ITEM]],[2]Contrato!A:A,[2]Contrato!Q:Q,"",0)</f>
        <v>#NAME?</v>
      </c>
      <c r="V1622" s="47" t="s">
        <v>95</v>
      </c>
      <c r="W1622" s="373" t="s">
        <v>1971</v>
      </c>
      <c r="X1622" s="373" t="s">
        <v>1972</v>
      </c>
      <c r="Y1622" s="55" t="e">
        <f ca="1">_xlfn.XLOOKUP(PAA_4[[#This Row],[ITEM]],[2]Contrato!A:A,[2]Contrato!B:B,"",0)</f>
        <v>#NAME?</v>
      </c>
      <c r="Z1622" s="47" t="e">
        <f ca="1">_xlfn.XLOOKUP(PAA_4[[#This Row],[ITEM]],[2]Contrato!A:A,[2]Contrato!G:G,"",0)</f>
        <v>#NAME?</v>
      </c>
      <c r="AA1622" s="47" t="e">
        <f ca="1">_xlfn.XLOOKUP(PAA_4[[#This Row],[ITEM]],[2]Contrato!A:A,[2]Contrato!T:T,"",0)</f>
        <v>#NAME?</v>
      </c>
      <c r="AB1622" s="55" t="e">
        <f ca="1">+MAX(PAA_4[[#This Row],[Comprometido Contrato]],PAA_4[[#This Row],[Comprometido Bolsa]])</f>
        <v>#NAME?</v>
      </c>
      <c r="AC1622" s="55" t="str">
        <f t="shared" ca="1" si="559"/>
        <v/>
      </c>
      <c r="AD1622" s="55" t="e">
        <f ca="1">IF(PAA_4[[#This Row],[ESTADO (formulado)]]="NO CONTRATADO",0,MAX(PAA_4[[#This Row],[Pago por Contrato]],PAA_4[[#This Row],[Pago por bolsa]]))</f>
        <v>#NAME?</v>
      </c>
      <c r="AE1622" s="55" t="str">
        <f t="shared" ca="1" si="561"/>
        <v/>
      </c>
      <c r="AF1622" s="47" t="e">
        <f t="shared" ca="1" si="565"/>
        <v>#NAME?</v>
      </c>
      <c r="AG1622" s="47">
        <f t="shared" si="562"/>
        <v>41080106</v>
      </c>
      <c r="AH1622" s="54" t="str">
        <f>IF(Q1622="22",IF(ISNUMBER(SEARCH("econ",PAA_4[[#This Row],[Actividad3]])),"Económico",IF(ISNUMBER(SEARCH("alim",PAA_4[[#This Row],[Actividad3]])),"Alimentación",IF(ISNUMBER(SEARCH("educ",PAA_4[[#This Row],[Actividad3]])),"Educativo","Técnico"))),0)</f>
        <v>Técnico</v>
      </c>
      <c r="AI1622" s="47" t="e" cm="1">
        <f t="array" aca="1" ref="AI1622" ca="1">_xlfn.XLOOKUP(PAA_4[[#This Row],[RCP-RUBRO]],[2]!COMPROMISOS_2024[[#All],[concatenado]],[2]!COMPROMISOS_2024[[#All],[Total pagado]],"",0)</f>
        <v>#NAME?</v>
      </c>
      <c r="AJ1622" s="56" t="e">
        <f ca="1">IF(PAA_4[[#This Row],[BOLSA]]=0,0,SUMIFS([2]!COMPROMISOS_2024[[#All],[Total pagado]],[2]!COMPROMISOS_2024[[#All],[Bolsa]],PAA_4[[#This Row],[BOLSA]],[2]!COMPROMISOS_2024[[#All],[rubro]],PAA_4[[#This Row],[RCP-RUBRO]]))</f>
        <v>#REF!</v>
      </c>
      <c r="AK1622" s="47" t="e" cm="1">
        <f t="array" aca="1" ref="AK1622" ca="1">_xlfn.XLOOKUP(PAA_4[[#This Row],[RCP-RUBRO]],[2]!COMPROMISOS_2024[[#All],[concatenado]],[2]!COMPROMISOS_2024[[#All],[Total Comprometido]],"",0)</f>
        <v>#NAME?</v>
      </c>
      <c r="AL1622" s="47" t="e">
        <f ca="1">IF(PAA_4[[#This Row],[BOLSA]]=0,0,SUMIFS([2]!COMPROMISOS_2024[[#All],[Total Comprometido]],[2]!COMPROMISOS_2024[[#All],[Bolsa]],PAA_4[[#This Row],[BOLSA]],[2]!COMPROMISOS_2024[[#All],[concatenado]],PAA_4[[#This Row],[RCP-RUBRO]]))</f>
        <v>#REF!</v>
      </c>
    </row>
    <row r="1623" spans="1:38" s="19" customFormat="1" ht="31.5" customHeight="1">
      <c r="A1623" s="47" t="s">
        <v>82</v>
      </c>
      <c r="B1623" s="366" t="s">
        <v>42</v>
      </c>
      <c r="C1623" s="47" t="str">
        <f>VLOOKUP(PAA_4[[#This Row],[PROYECTO (formulado)2]],[2]PROYECTOS!$G$1:$L$32,6,0)</f>
        <v>SUBGERENCIA DE ALTOS LOGROS Y DEPORTE ASOCIADO</v>
      </c>
      <c r="D1623" s="47" t="str">
        <f>+IF(PAA_4[[#This Row],[UNIDAD DE CONTRATACION (formulado)]]="Subgerencia Administrativa y Financiera","FUNCIONAMIENTO","INVERSIÓN")</f>
        <v>INVERSIÓN</v>
      </c>
      <c r="E1623" s="48" t="str">
        <f>VLOOKUP(Q1623,[2]PROYECTOS!$G$1:$K$32,5,0)</f>
        <v>APOYO_TÉCNICO_Y_PSICOSOCIAL_A_LOS_DEPORTISTAS_DE_ANTIOQUIA</v>
      </c>
      <c r="F1623" s="48">
        <f>VLOOKUP(E1623,[2]PROYECTOS!$K$1:$M$32,3,0)</f>
        <v>2021003050069</v>
      </c>
      <c r="G1623" s="371" t="s">
        <v>241</v>
      </c>
      <c r="H1623" s="49" t="str">
        <f>VLOOKUP(Q1623,[2]PROYECTOS!$V$1:$W$32,2,0)</f>
        <v>050069</v>
      </c>
      <c r="I1623" s="374">
        <v>0</v>
      </c>
      <c r="J1623" s="366" t="s">
        <v>1778</v>
      </c>
      <c r="K1623" s="47" t="str">
        <f t="shared" ca="1" si="560"/>
        <v>CONTRATADO</v>
      </c>
      <c r="L1623" s="58" t="s">
        <v>42</v>
      </c>
      <c r="M1623" s="58" t="s">
        <v>42</v>
      </c>
      <c r="N1623" s="344" t="s">
        <v>240</v>
      </c>
      <c r="O1623" s="51" t="e">
        <f>VLOOKUP(N1623,[2]!RUBROS[#All],3,0)</f>
        <v>#REF!</v>
      </c>
      <c r="P1623" s="53" t="e">
        <f>VLOOKUP(N1623,[2]!RUBROS[#All],2,0)</f>
        <v>#REF!</v>
      </c>
      <c r="Q1623" s="47" t="str">
        <f t="shared" si="563"/>
        <v>22</v>
      </c>
      <c r="R1623" s="47" t="str">
        <f t="shared" si="564"/>
        <v>0-205400</v>
      </c>
      <c r="S1623" s="357" t="s">
        <v>42</v>
      </c>
      <c r="T1623" s="59" t="s">
        <v>42</v>
      </c>
      <c r="U1623" s="326" t="e">
        <f ca="1">_xlfn.XLOOKUP(PAA_4[[#This Row],[ITEM]],[2]Contrato!A:A,[2]Contrato!Q:Q,"",0)</f>
        <v>#NAME?</v>
      </c>
      <c r="V1623" s="47" t="s">
        <v>95</v>
      </c>
      <c r="W1623" s="375" t="s">
        <v>42</v>
      </c>
      <c r="X1623" s="375" t="s">
        <v>42</v>
      </c>
      <c r="Y1623" s="55" t="e">
        <f ca="1">_xlfn.XLOOKUP(PAA_4[[#This Row],[ITEM]],[2]Contrato!A:A,[2]Contrato!B:B,"",0)</f>
        <v>#NAME?</v>
      </c>
      <c r="Z1623" s="47" t="e">
        <f ca="1">_xlfn.XLOOKUP(PAA_4[[#This Row],[ITEM]],[2]Contrato!A:A,[2]Contrato!G:G,"",0)</f>
        <v>#NAME?</v>
      </c>
      <c r="AA1623" s="47" t="e">
        <f ca="1">_xlfn.XLOOKUP(PAA_4[[#This Row],[ITEM]],[2]Contrato!A:A,[2]Contrato!T:T,"",0)</f>
        <v>#NAME?</v>
      </c>
      <c r="AB1623" s="55" t="e">
        <f ca="1">+MAX(PAA_4[[#This Row],[Comprometido Contrato]],PAA_4[[#This Row],[Comprometido Bolsa]])</f>
        <v>#NAME?</v>
      </c>
      <c r="AC1623" s="55" t="str">
        <f t="shared" ca="1" si="559"/>
        <v/>
      </c>
      <c r="AD1623" s="55" t="e">
        <f ca="1">IF(PAA_4[[#This Row],[ESTADO (formulado)]]="NO CONTRATADO",0,MAX(PAA_4[[#This Row],[Pago por Contrato]],PAA_4[[#This Row],[Pago por bolsa]]))</f>
        <v>#NAME?</v>
      </c>
      <c r="AE1623" s="55" t="str">
        <f t="shared" ca="1" si="561"/>
        <v/>
      </c>
      <c r="AF1623" s="47" t="e">
        <f t="shared" ca="1" si="565"/>
        <v>#NAME?</v>
      </c>
      <c r="AG1623" s="47">
        <f t="shared" si="562"/>
        <v>41080106</v>
      </c>
      <c r="AH1623" s="54" t="str">
        <f>IF(Q1623="22",IF(ISNUMBER(SEARCH("econ",PAA_4[[#This Row],[Actividad3]])),"Económico",IF(ISNUMBER(SEARCH("alim",PAA_4[[#This Row],[Actividad3]])),"Alimentación",IF(ISNUMBER(SEARCH("educ",PAA_4[[#This Row],[Actividad3]])),"Educativo","Técnico"))),0)</f>
        <v>Técnico</v>
      </c>
      <c r="AI1623" s="47" t="e" cm="1">
        <f t="array" aca="1" ref="AI1623" ca="1">_xlfn.XLOOKUP(PAA_4[[#This Row],[RCP-RUBRO]],[2]!COMPROMISOS_2024[[#All],[concatenado]],[2]!COMPROMISOS_2024[[#All],[Total pagado]],"",0)</f>
        <v>#NAME?</v>
      </c>
      <c r="AJ1623" s="56" t="e">
        <f ca="1">IF(PAA_4[[#This Row],[BOLSA]]=0,0,SUMIFS([2]!COMPROMISOS_2024[[#All],[Total pagado]],[2]!COMPROMISOS_2024[[#All],[Bolsa]],PAA_4[[#This Row],[BOLSA]],[2]!COMPROMISOS_2024[[#All],[rubro]],PAA_4[[#This Row],[RCP-RUBRO]]))</f>
        <v>#REF!</v>
      </c>
      <c r="AK1623" s="47" t="e" cm="1">
        <f t="array" aca="1" ref="AK1623" ca="1">_xlfn.XLOOKUP(PAA_4[[#This Row],[RCP-RUBRO]],[2]!COMPROMISOS_2024[[#All],[concatenado]],[2]!COMPROMISOS_2024[[#All],[Total Comprometido]],"",0)</f>
        <v>#NAME?</v>
      </c>
      <c r="AL1623" s="47" t="e">
        <f ca="1">IF(PAA_4[[#This Row],[BOLSA]]=0,0,SUMIFS([2]!COMPROMISOS_2024[[#All],[Total Comprometido]],[2]!COMPROMISOS_2024[[#All],[Bolsa]],PAA_4[[#This Row],[BOLSA]],[2]!COMPROMISOS_2024[[#All],[concatenado]],PAA_4[[#This Row],[RCP-RUBRO]]))</f>
        <v>#REF!</v>
      </c>
    </row>
    <row r="1624" spans="1:38" s="19" customFormat="1" ht="31.5" customHeight="1">
      <c r="A1624" s="47">
        <v>881</v>
      </c>
      <c r="B1624" s="344">
        <v>80111600</v>
      </c>
      <c r="C1624" s="47" t="str">
        <f>VLOOKUP(PAA_4[[#This Row],[PROYECTO (formulado)2]],[2]PROYECTOS!$G$1:$L$32,6,0)</f>
        <v>SUBGERENCIA DE ALTOS LOGROS Y DEPORTE ASOCIADO</v>
      </c>
      <c r="D1624" s="47" t="str">
        <f>+IF(PAA_4[[#This Row],[UNIDAD DE CONTRATACION (formulado)]]="Subgerencia Administrativa y Financiera","FUNCIONAMIENTO","INVERSIÓN")</f>
        <v>INVERSIÓN</v>
      </c>
      <c r="E1624" s="48" t="str">
        <f>VLOOKUP(Q1624,[2]PROYECTOS!$G$1:$K$32,5,0)</f>
        <v>APOYO_TÉCNICO_Y_PSICOSOCIAL_A_LOS_DEPORTISTAS_DE_ANTIOQUIA</v>
      </c>
      <c r="F1624" s="48">
        <f>VLOOKUP(E1624,[2]PROYECTOS!$K$1:$M$32,3,0)</f>
        <v>2021003050069</v>
      </c>
      <c r="G1624" s="371" t="s">
        <v>241</v>
      </c>
      <c r="H1624" s="49" t="str">
        <f>VLOOKUP(Q1624,[2]PROYECTOS!$V$1:$W$32,2,0)</f>
        <v>050069</v>
      </c>
      <c r="I1624" s="374">
        <f>23714292-7641272</f>
        <v>16073020</v>
      </c>
      <c r="J1624" s="286" t="s">
        <v>1981</v>
      </c>
      <c r="K1624" s="47" t="str">
        <f t="shared" ca="1" si="560"/>
        <v>CONTRATADO</v>
      </c>
      <c r="L1624" s="372" t="s">
        <v>147</v>
      </c>
      <c r="M1624" s="58" t="s">
        <v>1297</v>
      </c>
      <c r="N1624" s="344" t="s">
        <v>240</v>
      </c>
      <c r="O1624" s="51" t="e">
        <f>VLOOKUP(N1624,[2]!RUBROS[#All],3,0)</f>
        <v>#REF!</v>
      </c>
      <c r="P1624" s="53" t="e">
        <f>VLOOKUP(N1624,[2]!RUBROS[#All],2,0)</f>
        <v>#REF!</v>
      </c>
      <c r="Q1624" s="47" t="str">
        <f t="shared" si="563"/>
        <v>22</v>
      </c>
      <c r="R1624" s="47" t="str">
        <f t="shared" si="564"/>
        <v>0-205400</v>
      </c>
      <c r="S1624" s="357">
        <v>122</v>
      </c>
      <c r="T1624" s="59" t="s">
        <v>1970</v>
      </c>
      <c r="U1624" s="326" t="e">
        <f ca="1">_xlfn.XLOOKUP(PAA_4[[#This Row],[ITEM]],[2]Contrato!A:A,[2]Contrato!Q:Q,"",0)</f>
        <v>#NAME?</v>
      </c>
      <c r="V1624" s="47" t="s">
        <v>95</v>
      </c>
      <c r="W1624" s="373" t="s">
        <v>1971</v>
      </c>
      <c r="X1624" s="373" t="s">
        <v>1972</v>
      </c>
      <c r="Y1624" s="55" t="e">
        <f ca="1">_xlfn.XLOOKUP(PAA_4[[#This Row],[ITEM]],[2]Contrato!A:A,[2]Contrato!B:B,"",0)</f>
        <v>#NAME?</v>
      </c>
      <c r="Z1624" s="47" t="e">
        <f ca="1">_xlfn.XLOOKUP(PAA_4[[#This Row],[ITEM]],[2]Contrato!A:A,[2]Contrato!G:G,"",0)</f>
        <v>#NAME?</v>
      </c>
      <c r="AA1624" s="47" t="e">
        <f ca="1">_xlfn.XLOOKUP(PAA_4[[#This Row],[ITEM]],[2]Contrato!A:A,[2]Contrato!T:T,"",0)</f>
        <v>#NAME?</v>
      </c>
      <c r="AB1624" s="55" t="e">
        <f ca="1">+MAX(PAA_4[[#This Row],[Comprometido Contrato]],PAA_4[[#This Row],[Comprometido Bolsa]])</f>
        <v>#NAME?</v>
      </c>
      <c r="AC1624" s="55" t="str">
        <f t="shared" ca="1" si="559"/>
        <v/>
      </c>
      <c r="AD1624" s="55" t="e">
        <f ca="1">IF(PAA_4[[#This Row],[ESTADO (formulado)]]="NO CONTRATADO",0,MAX(PAA_4[[#This Row],[Pago por Contrato]],PAA_4[[#This Row],[Pago por bolsa]]))</f>
        <v>#NAME?</v>
      </c>
      <c r="AE1624" s="55" t="str">
        <f t="shared" ca="1" si="561"/>
        <v/>
      </c>
      <c r="AF1624" s="47" t="e">
        <f t="shared" ca="1" si="565"/>
        <v>#NAME?</v>
      </c>
      <c r="AG1624" s="47">
        <f t="shared" si="562"/>
        <v>41080106</v>
      </c>
      <c r="AH1624" s="54" t="str">
        <f>IF(Q1624="22",IF(ISNUMBER(SEARCH("econ",PAA_4[[#This Row],[Actividad3]])),"Económico",IF(ISNUMBER(SEARCH("alim",PAA_4[[#This Row],[Actividad3]])),"Alimentación",IF(ISNUMBER(SEARCH("educ",PAA_4[[#This Row],[Actividad3]])),"Educativo","Técnico"))),0)</f>
        <v>Técnico</v>
      </c>
      <c r="AI1624" s="47" t="e" cm="1">
        <f t="array" aca="1" ref="AI1624" ca="1">_xlfn.XLOOKUP(PAA_4[[#This Row],[RCP-RUBRO]],[2]!COMPROMISOS_2024[[#All],[concatenado]],[2]!COMPROMISOS_2024[[#All],[Total pagado]],"",0)</f>
        <v>#NAME?</v>
      </c>
      <c r="AJ1624" s="56" t="e">
        <f ca="1">IF(PAA_4[[#This Row],[BOLSA]]=0,0,SUMIFS([2]!COMPROMISOS_2024[[#All],[Total pagado]],[2]!COMPROMISOS_2024[[#All],[Bolsa]],PAA_4[[#This Row],[BOLSA]],[2]!COMPROMISOS_2024[[#All],[rubro]],PAA_4[[#This Row],[RCP-RUBRO]]))</f>
        <v>#REF!</v>
      </c>
      <c r="AK1624" s="47" t="e" cm="1">
        <f t="array" aca="1" ref="AK1624" ca="1">_xlfn.XLOOKUP(PAA_4[[#This Row],[RCP-RUBRO]],[2]!COMPROMISOS_2024[[#All],[concatenado]],[2]!COMPROMISOS_2024[[#All],[Total Comprometido]],"",0)</f>
        <v>#NAME?</v>
      </c>
      <c r="AL1624" s="47" t="e">
        <f ca="1">IF(PAA_4[[#This Row],[BOLSA]]=0,0,SUMIFS([2]!COMPROMISOS_2024[[#All],[Total Comprometido]],[2]!COMPROMISOS_2024[[#All],[Bolsa]],PAA_4[[#This Row],[BOLSA]],[2]!COMPROMISOS_2024[[#All],[concatenado]],PAA_4[[#This Row],[RCP-RUBRO]]))</f>
        <v>#REF!</v>
      </c>
    </row>
    <row r="1625" spans="1:38" s="19" customFormat="1" ht="31.5" customHeight="1">
      <c r="A1625" s="47" t="s">
        <v>82</v>
      </c>
      <c r="B1625" s="366" t="s">
        <v>42</v>
      </c>
      <c r="C1625" s="47" t="str">
        <f>VLOOKUP(PAA_4[[#This Row],[PROYECTO (formulado)2]],[2]PROYECTOS!$G$1:$L$32,6,0)</f>
        <v>SUBGERENCIA DE ALTOS LOGROS Y DEPORTE ASOCIADO</v>
      </c>
      <c r="D1625" s="47" t="str">
        <f>+IF(PAA_4[[#This Row],[UNIDAD DE CONTRATACION (formulado)]]="Subgerencia Administrativa y Financiera","FUNCIONAMIENTO","INVERSIÓN")</f>
        <v>INVERSIÓN</v>
      </c>
      <c r="E1625" s="48" t="str">
        <f>VLOOKUP(Q1625,[2]PROYECTOS!$G$1:$K$32,5,0)</f>
        <v>APOYO_TÉCNICO_Y_PSICOSOCIAL_A_LOS_DEPORTISTAS_DE_ANTIOQUIA</v>
      </c>
      <c r="F1625" s="48">
        <f>VLOOKUP(E1625,[2]PROYECTOS!$K$1:$M$32,3,0)</f>
        <v>2021003050069</v>
      </c>
      <c r="G1625" s="371" t="s">
        <v>241</v>
      </c>
      <c r="H1625" s="49" t="str">
        <f>VLOOKUP(Q1625,[2]PROYECTOS!$V$1:$W$32,2,0)</f>
        <v>050069</v>
      </c>
      <c r="I1625" s="374">
        <v>0</v>
      </c>
      <c r="J1625" s="366" t="s">
        <v>1778</v>
      </c>
      <c r="K1625" s="47" t="str">
        <f t="shared" ca="1" si="560"/>
        <v>CONTRATADO</v>
      </c>
      <c r="L1625" s="58" t="s">
        <v>42</v>
      </c>
      <c r="M1625" s="58" t="s">
        <v>42</v>
      </c>
      <c r="N1625" s="344" t="s">
        <v>240</v>
      </c>
      <c r="O1625" s="51" t="e">
        <f>VLOOKUP(N1625,[2]!RUBROS[#All],3,0)</f>
        <v>#REF!</v>
      </c>
      <c r="P1625" s="53" t="e">
        <f>VLOOKUP(N1625,[2]!RUBROS[#All],2,0)</f>
        <v>#REF!</v>
      </c>
      <c r="Q1625" s="47" t="str">
        <f t="shared" si="563"/>
        <v>22</v>
      </c>
      <c r="R1625" s="47" t="str">
        <f t="shared" si="564"/>
        <v>0-205400</v>
      </c>
      <c r="S1625" s="357" t="s">
        <v>42</v>
      </c>
      <c r="T1625" s="59" t="s">
        <v>42</v>
      </c>
      <c r="U1625" s="326" t="e">
        <f ca="1">_xlfn.XLOOKUP(PAA_4[[#This Row],[ITEM]],[2]Contrato!A:A,[2]Contrato!Q:Q,"",0)</f>
        <v>#NAME?</v>
      </c>
      <c r="V1625" s="47" t="s">
        <v>95</v>
      </c>
      <c r="W1625" s="375" t="s">
        <v>42</v>
      </c>
      <c r="X1625" s="375" t="s">
        <v>42</v>
      </c>
      <c r="Y1625" s="55" t="e">
        <f ca="1">_xlfn.XLOOKUP(PAA_4[[#This Row],[ITEM]],[2]Contrato!A:A,[2]Contrato!B:B,"",0)</f>
        <v>#NAME?</v>
      </c>
      <c r="Z1625" s="47" t="e">
        <f ca="1">_xlfn.XLOOKUP(PAA_4[[#This Row],[ITEM]],[2]Contrato!A:A,[2]Contrato!G:G,"",0)</f>
        <v>#NAME?</v>
      </c>
      <c r="AA1625" s="47" t="e">
        <f ca="1">_xlfn.XLOOKUP(PAA_4[[#This Row],[ITEM]],[2]Contrato!A:A,[2]Contrato!T:T,"",0)</f>
        <v>#NAME?</v>
      </c>
      <c r="AB1625" s="55" t="e">
        <f ca="1">+MAX(PAA_4[[#This Row],[Comprometido Contrato]],PAA_4[[#This Row],[Comprometido Bolsa]])</f>
        <v>#NAME?</v>
      </c>
      <c r="AC1625" s="55" t="str">
        <f t="shared" ca="1" si="559"/>
        <v/>
      </c>
      <c r="AD1625" s="55" t="e">
        <f ca="1">IF(PAA_4[[#This Row],[ESTADO (formulado)]]="NO CONTRATADO",0,MAX(PAA_4[[#This Row],[Pago por Contrato]],PAA_4[[#This Row],[Pago por bolsa]]))</f>
        <v>#NAME?</v>
      </c>
      <c r="AE1625" s="55" t="str">
        <f t="shared" ca="1" si="561"/>
        <v/>
      </c>
      <c r="AF1625" s="47" t="e">
        <f t="shared" ca="1" si="565"/>
        <v>#NAME?</v>
      </c>
      <c r="AG1625" s="47">
        <f t="shared" si="562"/>
        <v>41080106</v>
      </c>
      <c r="AH1625" s="54" t="str">
        <f>IF(Q1625="22",IF(ISNUMBER(SEARCH("econ",PAA_4[[#This Row],[Actividad3]])),"Económico",IF(ISNUMBER(SEARCH("alim",PAA_4[[#This Row],[Actividad3]])),"Alimentación",IF(ISNUMBER(SEARCH("educ",PAA_4[[#This Row],[Actividad3]])),"Educativo","Técnico"))),0)</f>
        <v>Técnico</v>
      </c>
      <c r="AI1625" s="47" t="e" cm="1">
        <f t="array" aca="1" ref="AI1625" ca="1">_xlfn.XLOOKUP(PAA_4[[#This Row],[RCP-RUBRO]],[2]!COMPROMISOS_2024[[#All],[concatenado]],[2]!COMPROMISOS_2024[[#All],[Total pagado]],"",0)</f>
        <v>#NAME?</v>
      </c>
      <c r="AJ1625" s="56" t="e">
        <f ca="1">IF(PAA_4[[#This Row],[BOLSA]]=0,0,SUMIFS([2]!COMPROMISOS_2024[[#All],[Total pagado]],[2]!COMPROMISOS_2024[[#All],[Bolsa]],PAA_4[[#This Row],[BOLSA]],[2]!COMPROMISOS_2024[[#All],[rubro]],PAA_4[[#This Row],[RCP-RUBRO]]))</f>
        <v>#REF!</v>
      </c>
      <c r="AK1625" s="47" t="e" cm="1">
        <f t="array" aca="1" ref="AK1625" ca="1">_xlfn.XLOOKUP(PAA_4[[#This Row],[RCP-RUBRO]],[2]!COMPROMISOS_2024[[#All],[concatenado]],[2]!COMPROMISOS_2024[[#All],[Total Comprometido]],"",0)</f>
        <v>#NAME?</v>
      </c>
      <c r="AL1625" s="47" t="e">
        <f ca="1">IF(PAA_4[[#This Row],[BOLSA]]=0,0,SUMIFS([2]!COMPROMISOS_2024[[#All],[Total Comprometido]],[2]!COMPROMISOS_2024[[#All],[Bolsa]],PAA_4[[#This Row],[BOLSA]],[2]!COMPROMISOS_2024[[#All],[concatenado]],PAA_4[[#This Row],[RCP-RUBRO]]))</f>
        <v>#REF!</v>
      </c>
    </row>
    <row r="1626" spans="1:38" s="19" customFormat="1" ht="31.5" customHeight="1">
      <c r="A1626" s="47" t="s">
        <v>1982</v>
      </c>
      <c r="B1626" s="344">
        <v>80111600</v>
      </c>
      <c r="C1626" s="47" t="str">
        <f>VLOOKUP(PAA_4[[#This Row],[PROYECTO (formulado)2]],[2]PROYECTOS!$G$1:$L$32,6,0)</f>
        <v>SUBGERENCIA DE ALTOS LOGROS Y DEPORTE ASOCIADO</v>
      </c>
      <c r="D1626" s="47" t="str">
        <f>+IF(PAA_4[[#This Row],[UNIDAD DE CONTRATACION (formulado)]]="Subgerencia Administrativa y Financiera","FUNCIONAMIENTO","INVERSIÓN")</f>
        <v>INVERSIÓN</v>
      </c>
      <c r="E1626" s="48" t="str">
        <f>VLOOKUP(Q1626,[2]PROYECTOS!$G$1:$K$32,5,0)</f>
        <v>APOYO_TÉCNICO_Y_PSICOSOCIAL_A_LOS_DEPORTISTAS_DE_ANTIOQUIA</v>
      </c>
      <c r="F1626" s="48">
        <f>VLOOKUP(E1626,[2]PROYECTOS!$K$1:$M$32,3,0)</f>
        <v>2021003050069</v>
      </c>
      <c r="G1626" s="371" t="s">
        <v>241</v>
      </c>
      <c r="H1626" s="49" t="str">
        <f>VLOOKUP(Q1626,[2]PROYECTOS!$V$1:$W$32,2,0)</f>
        <v>050069</v>
      </c>
      <c r="I1626" s="374">
        <v>1580953</v>
      </c>
      <c r="J1626" s="286" t="s">
        <v>1983</v>
      </c>
      <c r="K1626" s="47" t="str">
        <f t="shared" ca="1" si="560"/>
        <v>CONTRATADO</v>
      </c>
      <c r="L1626" s="372" t="s">
        <v>147</v>
      </c>
      <c r="M1626" s="58" t="s">
        <v>1297</v>
      </c>
      <c r="N1626" s="344" t="s">
        <v>240</v>
      </c>
      <c r="O1626" s="51" t="e">
        <f>VLOOKUP(N1626,[2]!RUBROS[#All],3,0)</f>
        <v>#REF!</v>
      </c>
      <c r="P1626" s="53" t="e">
        <f>VLOOKUP(N1626,[2]!RUBROS[#All],2,0)</f>
        <v>#REF!</v>
      </c>
      <c r="Q1626" s="47" t="str">
        <f t="shared" si="563"/>
        <v>22</v>
      </c>
      <c r="R1626" s="47" t="str">
        <f t="shared" si="564"/>
        <v>0-205400</v>
      </c>
      <c r="S1626" s="357">
        <v>122</v>
      </c>
      <c r="T1626" s="59" t="s">
        <v>1970</v>
      </c>
      <c r="U1626" s="326" t="e">
        <f ca="1">_xlfn.XLOOKUP(PAA_4[[#This Row],[ITEM]],[2]Contrato!A:A,[2]Contrato!Q:Q,"",0)</f>
        <v>#NAME?</v>
      </c>
      <c r="V1626" s="47" t="s">
        <v>95</v>
      </c>
      <c r="W1626" s="373" t="s">
        <v>1971</v>
      </c>
      <c r="X1626" s="373" t="s">
        <v>1972</v>
      </c>
      <c r="Y1626" s="55" t="e">
        <f ca="1">_xlfn.XLOOKUP(PAA_4[[#This Row],[ITEM]],[2]Contrato!A:A,[2]Contrato!B:B,"",0)</f>
        <v>#NAME?</v>
      </c>
      <c r="Z1626" s="47" t="e">
        <f ca="1">_xlfn.XLOOKUP(PAA_4[[#This Row],[ITEM]],[2]Contrato!A:A,[2]Contrato!G:G,"",0)</f>
        <v>#NAME?</v>
      </c>
      <c r="AA1626" s="47" t="e">
        <f ca="1">_xlfn.XLOOKUP(PAA_4[[#This Row],[ITEM]],[2]Contrato!A:A,[2]Contrato!T:T,"",0)</f>
        <v>#NAME?</v>
      </c>
      <c r="AB1626" s="55" t="e">
        <f ca="1">+MAX(PAA_4[[#This Row],[Comprometido Contrato]],PAA_4[[#This Row],[Comprometido Bolsa]])</f>
        <v>#NAME?</v>
      </c>
      <c r="AC1626" s="55" t="str">
        <f t="shared" ca="1" si="559"/>
        <v/>
      </c>
      <c r="AD1626" s="55" t="e">
        <f ca="1">IF(PAA_4[[#This Row],[ESTADO (formulado)]]="NO CONTRATADO",0,MAX(PAA_4[[#This Row],[Pago por Contrato]],PAA_4[[#This Row],[Pago por bolsa]]))</f>
        <v>#NAME?</v>
      </c>
      <c r="AE1626" s="55" t="str">
        <f t="shared" ca="1" si="561"/>
        <v/>
      </c>
      <c r="AF1626" s="47" t="e">
        <f t="shared" ca="1" si="565"/>
        <v>#NAME?</v>
      </c>
      <c r="AG1626" s="47">
        <f t="shared" si="562"/>
        <v>41080106</v>
      </c>
      <c r="AH1626" s="54" t="str">
        <f>IF(Q1626="22",IF(ISNUMBER(SEARCH("econ",PAA_4[[#This Row],[Actividad3]])),"Económico",IF(ISNUMBER(SEARCH("alim",PAA_4[[#This Row],[Actividad3]])),"Alimentación",IF(ISNUMBER(SEARCH("educ",PAA_4[[#This Row],[Actividad3]])),"Educativo","Técnico"))),0)</f>
        <v>Técnico</v>
      </c>
      <c r="AI1626" s="47" t="e" cm="1">
        <f t="array" aca="1" ref="AI1626" ca="1">_xlfn.XLOOKUP(PAA_4[[#This Row],[RCP-RUBRO]],[2]!COMPROMISOS_2024[[#All],[concatenado]],[2]!COMPROMISOS_2024[[#All],[Total pagado]],"",0)</f>
        <v>#NAME?</v>
      </c>
      <c r="AJ1626" s="56" t="e">
        <f ca="1">IF(PAA_4[[#This Row],[BOLSA]]=0,0,SUMIFS([2]!COMPROMISOS_2024[[#All],[Total pagado]],[2]!COMPROMISOS_2024[[#All],[Bolsa]],PAA_4[[#This Row],[BOLSA]],[2]!COMPROMISOS_2024[[#All],[rubro]],PAA_4[[#This Row],[RCP-RUBRO]]))</f>
        <v>#REF!</v>
      </c>
      <c r="AK1626" s="47" t="e" cm="1">
        <f t="array" aca="1" ref="AK1626" ca="1">_xlfn.XLOOKUP(PAA_4[[#This Row],[RCP-RUBRO]],[2]!COMPROMISOS_2024[[#All],[concatenado]],[2]!COMPROMISOS_2024[[#All],[Total Comprometido]],"",0)</f>
        <v>#NAME?</v>
      </c>
      <c r="AL1626" s="47" t="e">
        <f ca="1">IF(PAA_4[[#This Row],[BOLSA]]=0,0,SUMIFS([2]!COMPROMISOS_2024[[#All],[Total Comprometido]],[2]!COMPROMISOS_2024[[#All],[Bolsa]],PAA_4[[#This Row],[BOLSA]],[2]!COMPROMISOS_2024[[#All],[concatenado]],PAA_4[[#This Row],[RCP-RUBRO]]))</f>
        <v>#REF!</v>
      </c>
    </row>
    <row r="1627" spans="1:38" s="19" customFormat="1" ht="31.5" customHeight="1">
      <c r="A1627" s="47">
        <v>882</v>
      </c>
      <c r="B1627" s="344">
        <v>80111600</v>
      </c>
      <c r="C1627" s="47" t="str">
        <f>VLOOKUP(PAA_4[[#This Row],[PROYECTO (formulado)2]],[2]PROYECTOS!$G$1:$L$32,6,0)</f>
        <v>SUBGERENCIA DE ALTOS LOGROS Y DEPORTE ASOCIADO</v>
      </c>
      <c r="D1627" s="47" t="str">
        <f>+IF(PAA_4[[#This Row],[UNIDAD DE CONTRATACION (formulado)]]="Subgerencia Administrativa y Financiera","FUNCIONAMIENTO","INVERSIÓN")</f>
        <v>INVERSIÓN</v>
      </c>
      <c r="E1627" s="48" t="str">
        <f>VLOOKUP(Q1627,[2]PROYECTOS!$G$1:$K$32,5,0)</f>
        <v>APOYO_TÉCNICO_Y_PSICOSOCIAL_A_LOS_DEPORTISTAS_DE_ANTIOQUIA</v>
      </c>
      <c r="F1627" s="48">
        <f>VLOOKUP(E1627,[2]PROYECTOS!$K$1:$M$32,3,0)</f>
        <v>2021003050069</v>
      </c>
      <c r="G1627" s="371" t="s">
        <v>241</v>
      </c>
      <c r="H1627" s="49" t="str">
        <f>VLOOKUP(Q1627,[2]PROYECTOS!$V$1:$W$32,2,0)</f>
        <v>050069</v>
      </c>
      <c r="I1627" s="374">
        <f>23714292-9617463</f>
        <v>14096829</v>
      </c>
      <c r="J1627" s="286" t="s">
        <v>1983</v>
      </c>
      <c r="K1627" s="47" t="str">
        <f t="shared" ca="1" si="560"/>
        <v>CONTRATADO</v>
      </c>
      <c r="L1627" s="372" t="s">
        <v>147</v>
      </c>
      <c r="M1627" s="58" t="s">
        <v>1297</v>
      </c>
      <c r="N1627" s="344" t="s">
        <v>240</v>
      </c>
      <c r="O1627" s="51" t="e">
        <f>VLOOKUP(N1627,[2]!RUBROS[#All],3,0)</f>
        <v>#REF!</v>
      </c>
      <c r="P1627" s="53" t="e">
        <f>VLOOKUP(N1627,[2]!RUBROS[#All],2,0)</f>
        <v>#REF!</v>
      </c>
      <c r="Q1627" s="47" t="str">
        <f t="shared" si="563"/>
        <v>22</v>
      </c>
      <c r="R1627" s="47" t="str">
        <f t="shared" si="564"/>
        <v>0-205400</v>
      </c>
      <c r="S1627" s="357">
        <v>122</v>
      </c>
      <c r="T1627" s="59" t="s">
        <v>1970</v>
      </c>
      <c r="U1627" s="326" t="e">
        <f ca="1">_xlfn.XLOOKUP(PAA_4[[#This Row],[ITEM]],[2]Contrato!A:A,[2]Contrato!Q:Q,"",0)</f>
        <v>#NAME?</v>
      </c>
      <c r="V1627" s="47" t="s">
        <v>95</v>
      </c>
      <c r="W1627" s="373" t="s">
        <v>1971</v>
      </c>
      <c r="X1627" s="373" t="s">
        <v>1972</v>
      </c>
      <c r="Y1627" s="55" t="e">
        <f ca="1">_xlfn.XLOOKUP(PAA_4[[#This Row],[ITEM]],[2]Contrato!A:A,[2]Contrato!B:B,"",0)</f>
        <v>#NAME?</v>
      </c>
      <c r="Z1627" s="47" t="e">
        <f ca="1">_xlfn.XLOOKUP(PAA_4[[#This Row],[ITEM]],[2]Contrato!A:A,[2]Contrato!G:G,"",0)</f>
        <v>#NAME?</v>
      </c>
      <c r="AA1627" s="47" t="e">
        <f ca="1">_xlfn.XLOOKUP(PAA_4[[#This Row],[ITEM]],[2]Contrato!A:A,[2]Contrato!T:T,"",0)</f>
        <v>#NAME?</v>
      </c>
      <c r="AB1627" s="55" t="e">
        <f ca="1">+MAX(PAA_4[[#This Row],[Comprometido Contrato]],PAA_4[[#This Row],[Comprometido Bolsa]])</f>
        <v>#NAME?</v>
      </c>
      <c r="AC1627" s="55" t="str">
        <f t="shared" ca="1" si="559"/>
        <v/>
      </c>
      <c r="AD1627" s="55" t="e">
        <f ca="1">IF(PAA_4[[#This Row],[ESTADO (formulado)]]="NO CONTRATADO",0,MAX(PAA_4[[#This Row],[Pago por Contrato]],PAA_4[[#This Row],[Pago por bolsa]]))</f>
        <v>#NAME?</v>
      </c>
      <c r="AE1627" s="55" t="str">
        <f t="shared" ca="1" si="561"/>
        <v/>
      </c>
      <c r="AF1627" s="47" t="e">
        <f t="shared" ca="1" si="565"/>
        <v>#NAME?</v>
      </c>
      <c r="AG1627" s="47">
        <f t="shared" si="562"/>
        <v>41080106</v>
      </c>
      <c r="AH1627" s="54" t="str">
        <f>IF(Q1627="22",IF(ISNUMBER(SEARCH("econ",PAA_4[[#This Row],[Actividad3]])),"Económico",IF(ISNUMBER(SEARCH("alim",PAA_4[[#This Row],[Actividad3]])),"Alimentación",IF(ISNUMBER(SEARCH("educ",PAA_4[[#This Row],[Actividad3]])),"Educativo","Técnico"))),0)</f>
        <v>Técnico</v>
      </c>
      <c r="AI1627" s="47" t="e" cm="1">
        <f t="array" aca="1" ref="AI1627" ca="1">_xlfn.XLOOKUP(PAA_4[[#This Row],[RCP-RUBRO]],[2]!COMPROMISOS_2024[[#All],[concatenado]],[2]!COMPROMISOS_2024[[#All],[Total pagado]],"",0)</f>
        <v>#NAME?</v>
      </c>
      <c r="AJ1627" s="56" t="e">
        <f ca="1">IF(PAA_4[[#This Row],[BOLSA]]=0,0,SUMIFS([2]!COMPROMISOS_2024[[#All],[Total pagado]],[2]!COMPROMISOS_2024[[#All],[Bolsa]],PAA_4[[#This Row],[BOLSA]],[2]!COMPROMISOS_2024[[#All],[rubro]],PAA_4[[#This Row],[RCP-RUBRO]]))</f>
        <v>#REF!</v>
      </c>
      <c r="AK1627" s="47" t="e" cm="1">
        <f t="array" aca="1" ref="AK1627" ca="1">_xlfn.XLOOKUP(PAA_4[[#This Row],[RCP-RUBRO]],[2]!COMPROMISOS_2024[[#All],[concatenado]],[2]!COMPROMISOS_2024[[#All],[Total Comprometido]],"",0)</f>
        <v>#NAME?</v>
      </c>
      <c r="AL1627" s="47" t="e">
        <f ca="1">IF(PAA_4[[#This Row],[BOLSA]]=0,0,SUMIFS([2]!COMPROMISOS_2024[[#All],[Total Comprometido]],[2]!COMPROMISOS_2024[[#All],[Bolsa]],PAA_4[[#This Row],[BOLSA]],[2]!COMPROMISOS_2024[[#All],[concatenado]],PAA_4[[#This Row],[RCP-RUBRO]]))</f>
        <v>#REF!</v>
      </c>
    </row>
    <row r="1628" spans="1:38" s="19" customFormat="1" ht="31.5" customHeight="1">
      <c r="A1628" s="47" t="s">
        <v>82</v>
      </c>
      <c r="B1628" s="366" t="s">
        <v>42</v>
      </c>
      <c r="C1628" s="47" t="str">
        <f>VLOOKUP(PAA_4[[#This Row],[PROYECTO (formulado)2]],[2]PROYECTOS!$G$1:$L$32,6,0)</f>
        <v>SUBGERENCIA DE ALTOS LOGROS Y DEPORTE ASOCIADO</v>
      </c>
      <c r="D1628" s="47" t="str">
        <f>+IF(PAA_4[[#This Row],[UNIDAD DE CONTRATACION (formulado)]]="Subgerencia Administrativa y Financiera","FUNCIONAMIENTO","INVERSIÓN")</f>
        <v>INVERSIÓN</v>
      </c>
      <c r="E1628" s="48" t="str">
        <f>VLOOKUP(Q1628,[2]PROYECTOS!$G$1:$K$32,5,0)</f>
        <v>APOYO_TÉCNICO_Y_PSICOSOCIAL_A_LOS_DEPORTISTAS_DE_ANTIOQUIA</v>
      </c>
      <c r="F1628" s="48">
        <f>VLOOKUP(E1628,[2]PROYECTOS!$K$1:$M$32,3,0)</f>
        <v>2021003050069</v>
      </c>
      <c r="G1628" s="371" t="s">
        <v>241</v>
      </c>
      <c r="H1628" s="49" t="str">
        <f>VLOOKUP(Q1628,[2]PROYECTOS!$V$1:$W$32,2,0)</f>
        <v>050069</v>
      </c>
      <c r="I1628" s="374">
        <v>0</v>
      </c>
      <c r="J1628" s="366" t="s">
        <v>1778</v>
      </c>
      <c r="K1628" s="47" t="str">
        <f t="shared" ca="1" si="560"/>
        <v>CONTRATADO</v>
      </c>
      <c r="L1628" s="58" t="s">
        <v>42</v>
      </c>
      <c r="M1628" s="58" t="s">
        <v>42</v>
      </c>
      <c r="N1628" s="344" t="s">
        <v>240</v>
      </c>
      <c r="O1628" s="51" t="e">
        <f>VLOOKUP(N1628,[2]!RUBROS[#All],3,0)</f>
        <v>#REF!</v>
      </c>
      <c r="P1628" s="53" t="e">
        <f>VLOOKUP(N1628,[2]!RUBROS[#All],2,0)</f>
        <v>#REF!</v>
      </c>
      <c r="Q1628" s="47" t="str">
        <f t="shared" si="563"/>
        <v>22</v>
      </c>
      <c r="R1628" s="47" t="str">
        <f t="shared" si="564"/>
        <v>0-205400</v>
      </c>
      <c r="S1628" s="357" t="s">
        <v>42</v>
      </c>
      <c r="T1628" s="59" t="s">
        <v>42</v>
      </c>
      <c r="U1628" s="326" t="e">
        <f ca="1">_xlfn.XLOOKUP(PAA_4[[#This Row],[ITEM]],[2]Contrato!A:A,[2]Contrato!Q:Q,"",0)</f>
        <v>#NAME?</v>
      </c>
      <c r="V1628" s="47" t="s">
        <v>95</v>
      </c>
      <c r="W1628" s="375" t="s">
        <v>42</v>
      </c>
      <c r="X1628" s="375" t="s">
        <v>42</v>
      </c>
      <c r="Y1628" s="55" t="e">
        <f ca="1">_xlfn.XLOOKUP(PAA_4[[#This Row],[ITEM]],[2]Contrato!A:A,[2]Contrato!B:B,"",0)</f>
        <v>#NAME?</v>
      </c>
      <c r="Z1628" s="47" t="e">
        <f ca="1">_xlfn.XLOOKUP(PAA_4[[#This Row],[ITEM]],[2]Contrato!A:A,[2]Contrato!G:G,"",0)</f>
        <v>#NAME?</v>
      </c>
      <c r="AA1628" s="47" t="e">
        <f ca="1">_xlfn.XLOOKUP(PAA_4[[#This Row],[ITEM]],[2]Contrato!A:A,[2]Contrato!T:T,"",0)</f>
        <v>#NAME?</v>
      </c>
      <c r="AB1628" s="55" t="e">
        <f ca="1">+MAX(PAA_4[[#This Row],[Comprometido Contrato]],PAA_4[[#This Row],[Comprometido Bolsa]])</f>
        <v>#NAME?</v>
      </c>
      <c r="AC1628" s="55" t="str">
        <f t="shared" ca="1" si="559"/>
        <v/>
      </c>
      <c r="AD1628" s="55" t="e">
        <f ca="1">IF(PAA_4[[#This Row],[ESTADO (formulado)]]="NO CONTRATADO",0,MAX(PAA_4[[#This Row],[Pago por Contrato]],PAA_4[[#This Row],[Pago por bolsa]]))</f>
        <v>#NAME?</v>
      </c>
      <c r="AE1628" s="55" t="str">
        <f t="shared" ca="1" si="561"/>
        <v/>
      </c>
      <c r="AF1628" s="47" t="e">
        <f t="shared" ca="1" si="565"/>
        <v>#NAME?</v>
      </c>
      <c r="AG1628" s="47">
        <f t="shared" si="562"/>
        <v>41080106</v>
      </c>
      <c r="AH1628" s="54" t="str">
        <f>IF(Q1628="22",IF(ISNUMBER(SEARCH("econ",PAA_4[[#This Row],[Actividad3]])),"Económico",IF(ISNUMBER(SEARCH("alim",PAA_4[[#This Row],[Actividad3]])),"Alimentación",IF(ISNUMBER(SEARCH("educ",PAA_4[[#This Row],[Actividad3]])),"Educativo","Técnico"))),0)</f>
        <v>Técnico</v>
      </c>
      <c r="AI1628" s="47" t="e" cm="1">
        <f t="array" aca="1" ref="AI1628" ca="1">_xlfn.XLOOKUP(PAA_4[[#This Row],[RCP-RUBRO]],[2]!COMPROMISOS_2024[[#All],[concatenado]],[2]!COMPROMISOS_2024[[#All],[Total pagado]],"",0)</f>
        <v>#NAME?</v>
      </c>
      <c r="AJ1628" s="56" t="e">
        <f ca="1">IF(PAA_4[[#This Row],[BOLSA]]=0,0,SUMIFS([2]!COMPROMISOS_2024[[#All],[Total pagado]],[2]!COMPROMISOS_2024[[#All],[Bolsa]],PAA_4[[#This Row],[BOLSA]],[2]!COMPROMISOS_2024[[#All],[rubro]],PAA_4[[#This Row],[RCP-RUBRO]]))</f>
        <v>#REF!</v>
      </c>
      <c r="AK1628" s="47" t="e" cm="1">
        <f t="array" aca="1" ref="AK1628" ca="1">_xlfn.XLOOKUP(PAA_4[[#This Row],[RCP-RUBRO]],[2]!COMPROMISOS_2024[[#All],[concatenado]],[2]!COMPROMISOS_2024[[#All],[Total Comprometido]],"",0)</f>
        <v>#NAME?</v>
      </c>
      <c r="AL1628" s="47" t="e">
        <f ca="1">IF(PAA_4[[#This Row],[BOLSA]]=0,0,SUMIFS([2]!COMPROMISOS_2024[[#All],[Total Comprometido]],[2]!COMPROMISOS_2024[[#All],[Bolsa]],PAA_4[[#This Row],[BOLSA]],[2]!COMPROMISOS_2024[[#All],[concatenado]],PAA_4[[#This Row],[RCP-RUBRO]]))</f>
        <v>#REF!</v>
      </c>
    </row>
    <row r="1629" spans="1:38" s="19" customFormat="1" ht="31.5" customHeight="1">
      <c r="A1629" s="47">
        <v>883</v>
      </c>
      <c r="B1629" s="344">
        <v>80111600</v>
      </c>
      <c r="C1629" s="47" t="str">
        <f>VLOOKUP(PAA_4[[#This Row],[PROYECTO (formulado)2]],[2]PROYECTOS!$G$1:$L$32,6,0)</f>
        <v>SUBGERENCIA DE ALTOS LOGROS Y DEPORTE ASOCIADO</v>
      </c>
      <c r="D1629" s="47" t="str">
        <f>+IF(PAA_4[[#This Row],[UNIDAD DE CONTRATACION (formulado)]]="Subgerencia Administrativa y Financiera","FUNCIONAMIENTO","INVERSIÓN")</f>
        <v>INVERSIÓN</v>
      </c>
      <c r="E1629" s="48" t="str">
        <f>VLOOKUP(Q1629,[2]PROYECTOS!$G$1:$K$32,5,0)</f>
        <v>APOYO_TÉCNICO_Y_PSICOSOCIAL_A_LOS_DEPORTISTAS_DE_ANTIOQUIA</v>
      </c>
      <c r="F1629" s="48">
        <f>VLOOKUP(E1629,[2]PROYECTOS!$K$1:$M$32,3,0)</f>
        <v>2021003050069</v>
      </c>
      <c r="G1629" s="371" t="s">
        <v>241</v>
      </c>
      <c r="H1629" s="49" t="str">
        <f>VLOOKUP(Q1629,[2]PROYECTOS!$V$1:$W$32,2,0)</f>
        <v>050069</v>
      </c>
      <c r="I1629" s="374">
        <f>29453616-9490610</f>
        <v>19963006</v>
      </c>
      <c r="J1629" s="286" t="s">
        <v>1979</v>
      </c>
      <c r="K1629" s="47" t="str">
        <f t="shared" ca="1" si="560"/>
        <v>CONTRATADO</v>
      </c>
      <c r="L1629" s="372" t="s">
        <v>147</v>
      </c>
      <c r="M1629" s="58" t="s">
        <v>1297</v>
      </c>
      <c r="N1629" s="344" t="s">
        <v>240</v>
      </c>
      <c r="O1629" s="51" t="e">
        <f>VLOOKUP(N1629,[2]!RUBROS[#All],3,0)</f>
        <v>#REF!</v>
      </c>
      <c r="P1629" s="53" t="e">
        <f>VLOOKUP(N1629,[2]!RUBROS[#All],2,0)</f>
        <v>#REF!</v>
      </c>
      <c r="Q1629" s="47" t="str">
        <f t="shared" si="563"/>
        <v>22</v>
      </c>
      <c r="R1629" s="47" t="str">
        <f t="shared" si="564"/>
        <v>0-205400</v>
      </c>
      <c r="S1629" s="357">
        <v>122</v>
      </c>
      <c r="T1629" s="59" t="s">
        <v>1970</v>
      </c>
      <c r="U1629" s="326" t="e">
        <f ca="1">_xlfn.XLOOKUP(PAA_4[[#This Row],[ITEM]],[2]Contrato!A:A,[2]Contrato!Q:Q,"",0)</f>
        <v>#NAME?</v>
      </c>
      <c r="V1629" s="47" t="s">
        <v>95</v>
      </c>
      <c r="W1629" s="373" t="s">
        <v>1971</v>
      </c>
      <c r="X1629" s="373" t="s">
        <v>1972</v>
      </c>
      <c r="Y1629" s="55" t="e">
        <f ca="1">_xlfn.XLOOKUP(PAA_4[[#This Row],[ITEM]],[2]Contrato!A:A,[2]Contrato!B:B,"",0)</f>
        <v>#NAME?</v>
      </c>
      <c r="Z1629" s="47" t="e">
        <f ca="1">_xlfn.XLOOKUP(PAA_4[[#This Row],[ITEM]],[2]Contrato!A:A,[2]Contrato!G:G,"",0)</f>
        <v>#NAME?</v>
      </c>
      <c r="AA1629" s="47" t="e">
        <f ca="1">_xlfn.XLOOKUP(PAA_4[[#This Row],[ITEM]],[2]Contrato!A:A,[2]Contrato!T:T,"",0)</f>
        <v>#NAME?</v>
      </c>
      <c r="AB1629" s="55" t="e">
        <f ca="1">+MAX(PAA_4[[#This Row],[Comprometido Contrato]],PAA_4[[#This Row],[Comprometido Bolsa]])</f>
        <v>#NAME?</v>
      </c>
      <c r="AC1629" s="55" t="str">
        <f t="shared" ca="1" si="559"/>
        <v/>
      </c>
      <c r="AD1629" s="55" t="e">
        <f ca="1">IF(PAA_4[[#This Row],[ESTADO (formulado)]]="NO CONTRATADO",0,MAX(PAA_4[[#This Row],[Pago por Contrato]],PAA_4[[#This Row],[Pago por bolsa]]))</f>
        <v>#NAME?</v>
      </c>
      <c r="AE1629" s="55" t="str">
        <f t="shared" ca="1" si="561"/>
        <v/>
      </c>
      <c r="AF1629" s="47" t="e">
        <f t="shared" ca="1" si="565"/>
        <v>#NAME?</v>
      </c>
      <c r="AG1629" s="47">
        <f t="shared" si="562"/>
        <v>41080106</v>
      </c>
      <c r="AH1629" s="54" t="str">
        <f>IF(Q1629="22",IF(ISNUMBER(SEARCH("econ",PAA_4[[#This Row],[Actividad3]])),"Económico",IF(ISNUMBER(SEARCH("alim",PAA_4[[#This Row],[Actividad3]])),"Alimentación",IF(ISNUMBER(SEARCH("educ",PAA_4[[#This Row],[Actividad3]])),"Educativo","Técnico"))),0)</f>
        <v>Técnico</v>
      </c>
      <c r="AI1629" s="47" t="e" cm="1">
        <f t="array" aca="1" ref="AI1629" ca="1">_xlfn.XLOOKUP(PAA_4[[#This Row],[RCP-RUBRO]],[2]!COMPROMISOS_2024[[#All],[concatenado]],[2]!COMPROMISOS_2024[[#All],[Total pagado]],"",0)</f>
        <v>#NAME?</v>
      </c>
      <c r="AJ1629" s="56" t="e">
        <f ca="1">IF(PAA_4[[#This Row],[BOLSA]]=0,0,SUMIFS([2]!COMPROMISOS_2024[[#All],[Total pagado]],[2]!COMPROMISOS_2024[[#All],[Bolsa]],PAA_4[[#This Row],[BOLSA]],[2]!COMPROMISOS_2024[[#All],[rubro]],PAA_4[[#This Row],[RCP-RUBRO]]))</f>
        <v>#REF!</v>
      </c>
      <c r="AK1629" s="47" t="e" cm="1">
        <f t="array" aca="1" ref="AK1629" ca="1">_xlfn.XLOOKUP(PAA_4[[#This Row],[RCP-RUBRO]],[2]!COMPROMISOS_2024[[#All],[concatenado]],[2]!COMPROMISOS_2024[[#All],[Total Comprometido]],"",0)</f>
        <v>#NAME?</v>
      </c>
      <c r="AL1629" s="47" t="e">
        <f ca="1">IF(PAA_4[[#This Row],[BOLSA]]=0,0,SUMIFS([2]!COMPROMISOS_2024[[#All],[Total Comprometido]],[2]!COMPROMISOS_2024[[#All],[Bolsa]],PAA_4[[#This Row],[BOLSA]],[2]!COMPROMISOS_2024[[#All],[concatenado]],PAA_4[[#This Row],[RCP-RUBRO]]))</f>
        <v>#REF!</v>
      </c>
    </row>
    <row r="1630" spans="1:38" s="19" customFormat="1" ht="31.5" customHeight="1">
      <c r="A1630" s="47" t="s">
        <v>82</v>
      </c>
      <c r="B1630" s="366" t="s">
        <v>42</v>
      </c>
      <c r="C1630" s="47" t="str">
        <f>VLOOKUP(PAA_4[[#This Row],[PROYECTO (formulado)2]],[2]PROYECTOS!$G$1:$L$32,6,0)</f>
        <v>SUBGERENCIA DE ALTOS LOGROS Y DEPORTE ASOCIADO</v>
      </c>
      <c r="D1630" s="47" t="str">
        <f>+IF(PAA_4[[#This Row],[UNIDAD DE CONTRATACION (formulado)]]="Subgerencia Administrativa y Financiera","FUNCIONAMIENTO","INVERSIÓN")</f>
        <v>INVERSIÓN</v>
      </c>
      <c r="E1630" s="48" t="str">
        <f>VLOOKUP(Q1630,[2]PROYECTOS!$G$1:$K$32,5,0)</f>
        <v>APOYO_TÉCNICO_Y_PSICOSOCIAL_A_LOS_DEPORTISTAS_DE_ANTIOQUIA</v>
      </c>
      <c r="F1630" s="48">
        <f>VLOOKUP(E1630,[2]PROYECTOS!$K$1:$M$32,3,0)</f>
        <v>2021003050069</v>
      </c>
      <c r="G1630" s="371" t="s">
        <v>241</v>
      </c>
      <c r="H1630" s="49" t="str">
        <f>VLOOKUP(Q1630,[2]PROYECTOS!$V$1:$W$32,2,0)</f>
        <v>050069</v>
      </c>
      <c r="I1630" s="374">
        <v>0</v>
      </c>
      <c r="J1630" s="366" t="s">
        <v>1778</v>
      </c>
      <c r="K1630" s="47" t="str">
        <f t="shared" ca="1" si="560"/>
        <v>CONTRATADO</v>
      </c>
      <c r="L1630" s="58" t="s">
        <v>42</v>
      </c>
      <c r="M1630" s="58" t="s">
        <v>42</v>
      </c>
      <c r="N1630" s="344" t="s">
        <v>240</v>
      </c>
      <c r="O1630" s="51" t="e">
        <f>VLOOKUP(N1630,[2]!RUBROS[#All],3,0)</f>
        <v>#REF!</v>
      </c>
      <c r="P1630" s="53" t="e">
        <f>VLOOKUP(N1630,[2]!RUBROS[#All],2,0)</f>
        <v>#REF!</v>
      </c>
      <c r="Q1630" s="47" t="str">
        <f t="shared" si="563"/>
        <v>22</v>
      </c>
      <c r="R1630" s="47" t="str">
        <f t="shared" si="564"/>
        <v>0-205400</v>
      </c>
      <c r="S1630" s="357" t="s">
        <v>42</v>
      </c>
      <c r="T1630" s="59" t="s">
        <v>42</v>
      </c>
      <c r="U1630" s="326" t="e">
        <f ca="1">_xlfn.XLOOKUP(PAA_4[[#This Row],[ITEM]],[2]Contrato!A:A,[2]Contrato!Q:Q,"",0)</f>
        <v>#NAME?</v>
      </c>
      <c r="V1630" s="47" t="s">
        <v>95</v>
      </c>
      <c r="W1630" s="375" t="s">
        <v>42</v>
      </c>
      <c r="X1630" s="375" t="s">
        <v>42</v>
      </c>
      <c r="Y1630" s="55" t="e">
        <f ca="1">_xlfn.XLOOKUP(PAA_4[[#This Row],[ITEM]],[2]Contrato!A:A,[2]Contrato!B:B,"",0)</f>
        <v>#NAME?</v>
      </c>
      <c r="Z1630" s="47" t="e">
        <f ca="1">_xlfn.XLOOKUP(PAA_4[[#This Row],[ITEM]],[2]Contrato!A:A,[2]Contrato!G:G,"",0)</f>
        <v>#NAME?</v>
      </c>
      <c r="AA1630" s="47" t="e">
        <f ca="1">_xlfn.XLOOKUP(PAA_4[[#This Row],[ITEM]],[2]Contrato!A:A,[2]Contrato!T:T,"",0)</f>
        <v>#NAME?</v>
      </c>
      <c r="AB1630" s="55" t="e">
        <f ca="1">+MAX(PAA_4[[#This Row],[Comprometido Contrato]],PAA_4[[#This Row],[Comprometido Bolsa]])</f>
        <v>#NAME?</v>
      </c>
      <c r="AC1630" s="55" t="str">
        <f t="shared" ca="1" si="559"/>
        <v/>
      </c>
      <c r="AD1630" s="55" t="e">
        <f ca="1">IF(PAA_4[[#This Row],[ESTADO (formulado)]]="NO CONTRATADO",0,MAX(PAA_4[[#This Row],[Pago por Contrato]],PAA_4[[#This Row],[Pago por bolsa]]))</f>
        <v>#NAME?</v>
      </c>
      <c r="AE1630" s="55" t="str">
        <f t="shared" ca="1" si="561"/>
        <v/>
      </c>
      <c r="AF1630" s="47" t="e">
        <f t="shared" ca="1" si="565"/>
        <v>#NAME?</v>
      </c>
      <c r="AG1630" s="47">
        <f t="shared" si="562"/>
        <v>41080106</v>
      </c>
      <c r="AH1630" s="54" t="str">
        <f>IF(Q1630="22",IF(ISNUMBER(SEARCH("econ",PAA_4[[#This Row],[Actividad3]])),"Económico",IF(ISNUMBER(SEARCH("alim",PAA_4[[#This Row],[Actividad3]])),"Alimentación",IF(ISNUMBER(SEARCH("educ",PAA_4[[#This Row],[Actividad3]])),"Educativo","Técnico"))),0)</f>
        <v>Técnico</v>
      </c>
      <c r="AI1630" s="47" t="e" cm="1">
        <f t="array" aca="1" ref="AI1630" ca="1">_xlfn.XLOOKUP(PAA_4[[#This Row],[RCP-RUBRO]],[2]!COMPROMISOS_2024[[#All],[concatenado]],[2]!COMPROMISOS_2024[[#All],[Total pagado]],"",0)</f>
        <v>#NAME?</v>
      </c>
      <c r="AJ1630" s="56" t="e">
        <f ca="1">IF(PAA_4[[#This Row],[BOLSA]]=0,0,SUMIFS([2]!COMPROMISOS_2024[[#All],[Total pagado]],[2]!COMPROMISOS_2024[[#All],[Bolsa]],PAA_4[[#This Row],[BOLSA]],[2]!COMPROMISOS_2024[[#All],[rubro]],PAA_4[[#This Row],[RCP-RUBRO]]))</f>
        <v>#REF!</v>
      </c>
      <c r="AK1630" s="47" t="e" cm="1">
        <f t="array" aca="1" ref="AK1630" ca="1">_xlfn.XLOOKUP(PAA_4[[#This Row],[RCP-RUBRO]],[2]!COMPROMISOS_2024[[#All],[concatenado]],[2]!COMPROMISOS_2024[[#All],[Total Comprometido]],"",0)</f>
        <v>#NAME?</v>
      </c>
      <c r="AL1630" s="47" t="e">
        <f ca="1">IF(PAA_4[[#This Row],[BOLSA]]=0,0,SUMIFS([2]!COMPROMISOS_2024[[#All],[Total Comprometido]],[2]!COMPROMISOS_2024[[#All],[Bolsa]],PAA_4[[#This Row],[BOLSA]],[2]!COMPROMISOS_2024[[#All],[concatenado]],PAA_4[[#This Row],[RCP-RUBRO]]))</f>
        <v>#REF!</v>
      </c>
    </row>
    <row r="1631" spans="1:38" s="19" customFormat="1" ht="31.5" customHeight="1">
      <c r="A1631" s="47">
        <v>884</v>
      </c>
      <c r="B1631" s="344">
        <v>80111600</v>
      </c>
      <c r="C1631" s="47" t="str">
        <f>VLOOKUP(PAA_4[[#This Row],[PROYECTO (formulado)2]],[2]PROYECTOS!$G$1:$L$32,6,0)</f>
        <v>SUBGERENCIA DE ALTOS LOGROS Y DEPORTE ASOCIADO</v>
      </c>
      <c r="D1631" s="47" t="str">
        <f>+IF(PAA_4[[#This Row],[UNIDAD DE CONTRATACION (formulado)]]="Subgerencia Administrativa y Financiera","FUNCIONAMIENTO","INVERSIÓN")</f>
        <v>INVERSIÓN</v>
      </c>
      <c r="E1631" s="48" t="str">
        <f>VLOOKUP(Q1631,[2]PROYECTOS!$G$1:$K$32,5,0)</f>
        <v>APOYO_TÉCNICO_Y_PSICOSOCIAL_A_LOS_DEPORTISTAS_DE_ANTIOQUIA</v>
      </c>
      <c r="F1631" s="48">
        <f>VLOOKUP(E1631,[2]PROYECTOS!$K$1:$M$32,3,0)</f>
        <v>2021003050069</v>
      </c>
      <c r="G1631" s="371" t="s">
        <v>241</v>
      </c>
      <c r="H1631" s="49" t="str">
        <f>VLOOKUP(Q1631,[2]PROYECTOS!$V$1:$W$32,2,0)</f>
        <v>050069</v>
      </c>
      <c r="I1631" s="374">
        <f>23714292-7641272</f>
        <v>16073020</v>
      </c>
      <c r="J1631" s="286" t="s">
        <v>1984</v>
      </c>
      <c r="K1631" s="47" t="str">
        <f t="shared" ca="1" si="560"/>
        <v>CONTRATADO</v>
      </c>
      <c r="L1631" s="372" t="s">
        <v>147</v>
      </c>
      <c r="M1631" s="58" t="s">
        <v>1297</v>
      </c>
      <c r="N1631" s="344" t="s">
        <v>240</v>
      </c>
      <c r="O1631" s="51" t="e">
        <f>VLOOKUP(N1631,[2]!RUBROS[#All],3,0)</f>
        <v>#REF!</v>
      </c>
      <c r="P1631" s="53" t="e">
        <f>VLOOKUP(N1631,[2]!RUBROS[#All],2,0)</f>
        <v>#REF!</v>
      </c>
      <c r="Q1631" s="47" t="str">
        <f t="shared" si="563"/>
        <v>22</v>
      </c>
      <c r="R1631" s="47" t="str">
        <f t="shared" si="564"/>
        <v>0-205400</v>
      </c>
      <c r="S1631" s="357">
        <v>122</v>
      </c>
      <c r="T1631" s="59" t="s">
        <v>1970</v>
      </c>
      <c r="U1631" s="326" t="e">
        <f ca="1">_xlfn.XLOOKUP(PAA_4[[#This Row],[ITEM]],[2]Contrato!A:A,[2]Contrato!Q:Q,"",0)</f>
        <v>#NAME?</v>
      </c>
      <c r="V1631" s="47" t="s">
        <v>95</v>
      </c>
      <c r="W1631" s="373" t="s">
        <v>1971</v>
      </c>
      <c r="X1631" s="373" t="s">
        <v>1972</v>
      </c>
      <c r="Y1631" s="55" t="e">
        <f ca="1">_xlfn.XLOOKUP(PAA_4[[#This Row],[ITEM]],[2]Contrato!A:A,[2]Contrato!B:B,"",0)</f>
        <v>#NAME?</v>
      </c>
      <c r="Z1631" s="47" t="e">
        <f ca="1">_xlfn.XLOOKUP(PAA_4[[#This Row],[ITEM]],[2]Contrato!A:A,[2]Contrato!G:G,"",0)</f>
        <v>#NAME?</v>
      </c>
      <c r="AA1631" s="47" t="e">
        <f ca="1">_xlfn.XLOOKUP(PAA_4[[#This Row],[ITEM]],[2]Contrato!A:A,[2]Contrato!T:T,"",0)</f>
        <v>#NAME?</v>
      </c>
      <c r="AB1631" s="55" t="e">
        <f ca="1">+MAX(PAA_4[[#This Row],[Comprometido Contrato]],PAA_4[[#This Row],[Comprometido Bolsa]])</f>
        <v>#NAME?</v>
      </c>
      <c r="AC1631" s="55" t="str">
        <f t="shared" ca="1" si="559"/>
        <v/>
      </c>
      <c r="AD1631" s="55" t="e">
        <f ca="1">IF(PAA_4[[#This Row],[ESTADO (formulado)]]="NO CONTRATADO",0,MAX(PAA_4[[#This Row],[Pago por Contrato]],PAA_4[[#This Row],[Pago por bolsa]]))</f>
        <v>#NAME?</v>
      </c>
      <c r="AE1631" s="55" t="str">
        <f t="shared" ca="1" si="561"/>
        <v/>
      </c>
      <c r="AF1631" s="47" t="e">
        <f t="shared" ca="1" si="565"/>
        <v>#NAME?</v>
      </c>
      <c r="AG1631" s="47">
        <f t="shared" si="562"/>
        <v>41080106</v>
      </c>
      <c r="AH1631" s="54" t="str">
        <f>IF(Q1631="22",IF(ISNUMBER(SEARCH("econ",PAA_4[[#This Row],[Actividad3]])),"Económico",IF(ISNUMBER(SEARCH("alim",PAA_4[[#This Row],[Actividad3]])),"Alimentación",IF(ISNUMBER(SEARCH("educ",PAA_4[[#This Row],[Actividad3]])),"Educativo","Técnico"))),0)</f>
        <v>Técnico</v>
      </c>
      <c r="AI1631" s="47" t="e" cm="1">
        <f t="array" aca="1" ref="AI1631" ca="1">_xlfn.XLOOKUP(PAA_4[[#This Row],[RCP-RUBRO]],[2]!COMPROMISOS_2024[[#All],[concatenado]],[2]!COMPROMISOS_2024[[#All],[Total pagado]],"",0)</f>
        <v>#NAME?</v>
      </c>
      <c r="AJ1631" s="56" t="e">
        <f ca="1">IF(PAA_4[[#This Row],[BOLSA]]=0,0,SUMIFS([2]!COMPROMISOS_2024[[#All],[Total pagado]],[2]!COMPROMISOS_2024[[#All],[Bolsa]],PAA_4[[#This Row],[BOLSA]],[2]!COMPROMISOS_2024[[#All],[rubro]],PAA_4[[#This Row],[RCP-RUBRO]]))</f>
        <v>#REF!</v>
      </c>
      <c r="AK1631" s="47" t="e" cm="1">
        <f t="array" aca="1" ref="AK1631" ca="1">_xlfn.XLOOKUP(PAA_4[[#This Row],[RCP-RUBRO]],[2]!COMPROMISOS_2024[[#All],[concatenado]],[2]!COMPROMISOS_2024[[#All],[Total Comprometido]],"",0)</f>
        <v>#NAME?</v>
      </c>
      <c r="AL1631" s="47" t="e">
        <f ca="1">IF(PAA_4[[#This Row],[BOLSA]]=0,0,SUMIFS([2]!COMPROMISOS_2024[[#All],[Total Comprometido]],[2]!COMPROMISOS_2024[[#All],[Bolsa]],PAA_4[[#This Row],[BOLSA]],[2]!COMPROMISOS_2024[[#All],[concatenado]],PAA_4[[#This Row],[RCP-RUBRO]]))</f>
        <v>#REF!</v>
      </c>
    </row>
    <row r="1632" spans="1:38" s="19" customFormat="1" ht="31.5" customHeight="1">
      <c r="A1632" s="47" t="s">
        <v>82</v>
      </c>
      <c r="B1632" s="366" t="s">
        <v>42</v>
      </c>
      <c r="C1632" s="47" t="str">
        <f>VLOOKUP(PAA_4[[#This Row],[PROYECTO (formulado)2]],[2]PROYECTOS!$G$1:$L$32,6,0)</f>
        <v>SUBGERENCIA DE ALTOS LOGROS Y DEPORTE ASOCIADO</v>
      </c>
      <c r="D1632" s="47" t="str">
        <f>+IF(PAA_4[[#This Row],[UNIDAD DE CONTRATACION (formulado)]]="Subgerencia Administrativa y Financiera","FUNCIONAMIENTO","INVERSIÓN")</f>
        <v>INVERSIÓN</v>
      </c>
      <c r="E1632" s="48" t="str">
        <f>VLOOKUP(Q1632,[2]PROYECTOS!$G$1:$K$32,5,0)</f>
        <v>APOYO_TÉCNICO_Y_PSICOSOCIAL_A_LOS_DEPORTISTAS_DE_ANTIOQUIA</v>
      </c>
      <c r="F1632" s="48">
        <f>VLOOKUP(E1632,[2]PROYECTOS!$K$1:$M$32,3,0)</f>
        <v>2021003050069</v>
      </c>
      <c r="G1632" s="371" t="s">
        <v>241</v>
      </c>
      <c r="H1632" s="49" t="str">
        <f>VLOOKUP(Q1632,[2]PROYECTOS!$V$1:$W$32,2,0)</f>
        <v>050069</v>
      </c>
      <c r="I1632" s="374">
        <v>0</v>
      </c>
      <c r="J1632" s="366" t="s">
        <v>1778</v>
      </c>
      <c r="K1632" s="47" t="str">
        <f t="shared" ca="1" si="560"/>
        <v>CONTRATADO</v>
      </c>
      <c r="L1632" s="58" t="s">
        <v>42</v>
      </c>
      <c r="M1632" s="58" t="s">
        <v>42</v>
      </c>
      <c r="N1632" s="344" t="s">
        <v>240</v>
      </c>
      <c r="O1632" s="51" t="e">
        <f>VLOOKUP(N1632,[2]!RUBROS[#All],3,0)</f>
        <v>#REF!</v>
      </c>
      <c r="P1632" s="53" t="e">
        <f>VLOOKUP(N1632,[2]!RUBROS[#All],2,0)</f>
        <v>#REF!</v>
      </c>
      <c r="Q1632" s="47" t="str">
        <f t="shared" si="563"/>
        <v>22</v>
      </c>
      <c r="R1632" s="47" t="str">
        <f t="shared" si="564"/>
        <v>0-205400</v>
      </c>
      <c r="S1632" s="357" t="s">
        <v>42</v>
      </c>
      <c r="T1632" s="59" t="s">
        <v>42</v>
      </c>
      <c r="U1632" s="326" t="e">
        <f ca="1">_xlfn.XLOOKUP(PAA_4[[#This Row],[ITEM]],[2]Contrato!A:A,[2]Contrato!Q:Q,"",0)</f>
        <v>#NAME?</v>
      </c>
      <c r="V1632" s="47" t="s">
        <v>95</v>
      </c>
      <c r="W1632" s="375" t="s">
        <v>42</v>
      </c>
      <c r="X1632" s="375" t="s">
        <v>42</v>
      </c>
      <c r="Y1632" s="55" t="e">
        <f ca="1">_xlfn.XLOOKUP(PAA_4[[#This Row],[ITEM]],[2]Contrato!A:A,[2]Contrato!B:B,"",0)</f>
        <v>#NAME?</v>
      </c>
      <c r="Z1632" s="47" t="e">
        <f ca="1">_xlfn.XLOOKUP(PAA_4[[#This Row],[ITEM]],[2]Contrato!A:A,[2]Contrato!G:G,"",0)</f>
        <v>#NAME?</v>
      </c>
      <c r="AA1632" s="47" t="e">
        <f ca="1">_xlfn.XLOOKUP(PAA_4[[#This Row],[ITEM]],[2]Contrato!A:A,[2]Contrato!T:T,"",0)</f>
        <v>#NAME?</v>
      </c>
      <c r="AB1632" s="55" t="e">
        <f ca="1">+MAX(PAA_4[[#This Row],[Comprometido Contrato]],PAA_4[[#This Row],[Comprometido Bolsa]])</f>
        <v>#NAME?</v>
      </c>
      <c r="AC1632" s="55" t="str">
        <f t="shared" ca="1" si="559"/>
        <v/>
      </c>
      <c r="AD1632" s="55" t="e">
        <f ca="1">IF(PAA_4[[#This Row],[ESTADO (formulado)]]="NO CONTRATADO",0,MAX(PAA_4[[#This Row],[Pago por Contrato]],PAA_4[[#This Row],[Pago por bolsa]]))</f>
        <v>#NAME?</v>
      </c>
      <c r="AE1632" s="55" t="str">
        <f t="shared" ca="1" si="561"/>
        <v/>
      </c>
      <c r="AF1632" s="47" t="e">
        <f t="shared" ca="1" si="565"/>
        <v>#NAME?</v>
      </c>
      <c r="AG1632" s="47">
        <f t="shared" si="562"/>
        <v>41080106</v>
      </c>
      <c r="AH1632" s="54" t="str">
        <f>IF(Q1632="22",IF(ISNUMBER(SEARCH("econ",PAA_4[[#This Row],[Actividad3]])),"Económico",IF(ISNUMBER(SEARCH("alim",PAA_4[[#This Row],[Actividad3]])),"Alimentación",IF(ISNUMBER(SEARCH("educ",PAA_4[[#This Row],[Actividad3]])),"Educativo","Técnico"))),0)</f>
        <v>Técnico</v>
      </c>
      <c r="AI1632" s="47" t="e" cm="1">
        <f t="array" aca="1" ref="AI1632" ca="1">_xlfn.XLOOKUP(PAA_4[[#This Row],[RCP-RUBRO]],[2]!COMPROMISOS_2024[[#All],[concatenado]],[2]!COMPROMISOS_2024[[#All],[Total pagado]],"",0)</f>
        <v>#NAME?</v>
      </c>
      <c r="AJ1632" s="56" t="e">
        <f ca="1">IF(PAA_4[[#This Row],[BOLSA]]=0,0,SUMIFS([2]!COMPROMISOS_2024[[#All],[Total pagado]],[2]!COMPROMISOS_2024[[#All],[Bolsa]],PAA_4[[#This Row],[BOLSA]],[2]!COMPROMISOS_2024[[#All],[rubro]],PAA_4[[#This Row],[RCP-RUBRO]]))</f>
        <v>#REF!</v>
      </c>
      <c r="AK1632" s="47" t="e" cm="1">
        <f t="array" aca="1" ref="AK1632" ca="1">_xlfn.XLOOKUP(PAA_4[[#This Row],[RCP-RUBRO]],[2]!COMPROMISOS_2024[[#All],[concatenado]],[2]!COMPROMISOS_2024[[#All],[Total Comprometido]],"",0)</f>
        <v>#NAME?</v>
      </c>
      <c r="AL1632" s="47" t="e">
        <f ca="1">IF(PAA_4[[#This Row],[BOLSA]]=0,0,SUMIFS([2]!COMPROMISOS_2024[[#All],[Total Comprometido]],[2]!COMPROMISOS_2024[[#All],[Bolsa]],PAA_4[[#This Row],[BOLSA]],[2]!COMPROMISOS_2024[[#All],[concatenado]],PAA_4[[#This Row],[RCP-RUBRO]]))</f>
        <v>#REF!</v>
      </c>
    </row>
    <row r="1633" spans="1:38" s="19" customFormat="1" ht="31.5" customHeight="1">
      <c r="A1633" s="47">
        <v>885</v>
      </c>
      <c r="B1633" s="344">
        <v>80111600</v>
      </c>
      <c r="C1633" s="47" t="str">
        <f>VLOOKUP(PAA_4[[#This Row],[PROYECTO (formulado)2]],[2]PROYECTOS!$G$1:$L$32,6,0)</f>
        <v>SUBGERENCIA DE ALTOS LOGROS Y DEPORTE ASOCIADO</v>
      </c>
      <c r="D1633" s="47" t="str">
        <f>+IF(PAA_4[[#This Row],[UNIDAD DE CONTRATACION (formulado)]]="Subgerencia Administrativa y Financiera","FUNCIONAMIENTO","INVERSIÓN")</f>
        <v>INVERSIÓN</v>
      </c>
      <c r="E1633" s="48" t="str">
        <f>VLOOKUP(Q1633,[2]PROYECTOS!$G$1:$K$32,5,0)</f>
        <v>APOYO_TÉCNICO_Y_PSICOSOCIAL_A_LOS_DEPORTISTAS_DE_ANTIOQUIA</v>
      </c>
      <c r="F1633" s="48">
        <f>VLOOKUP(E1633,[2]PROYECTOS!$K$1:$M$32,3,0)</f>
        <v>2021003050069</v>
      </c>
      <c r="G1633" s="371" t="s">
        <v>241</v>
      </c>
      <c r="H1633" s="49" t="str">
        <f>VLOOKUP(Q1633,[2]PROYECTOS!$V$1:$W$32,2,0)</f>
        <v>050069</v>
      </c>
      <c r="I1633" s="374">
        <f>23714292-8036510</f>
        <v>15677782</v>
      </c>
      <c r="J1633" s="286" t="s">
        <v>1985</v>
      </c>
      <c r="K1633" s="47" t="str">
        <f t="shared" ca="1" si="560"/>
        <v>CONTRATADO</v>
      </c>
      <c r="L1633" s="372" t="s">
        <v>147</v>
      </c>
      <c r="M1633" s="58" t="s">
        <v>1297</v>
      </c>
      <c r="N1633" s="344" t="s">
        <v>240</v>
      </c>
      <c r="O1633" s="51" t="e">
        <f>VLOOKUP(N1633,[2]!RUBROS[#All],3,0)</f>
        <v>#REF!</v>
      </c>
      <c r="P1633" s="53" t="e">
        <f>VLOOKUP(N1633,[2]!RUBROS[#All],2,0)</f>
        <v>#REF!</v>
      </c>
      <c r="Q1633" s="47" t="str">
        <f t="shared" si="563"/>
        <v>22</v>
      </c>
      <c r="R1633" s="47" t="str">
        <f t="shared" si="564"/>
        <v>0-205400</v>
      </c>
      <c r="S1633" s="357">
        <v>122</v>
      </c>
      <c r="T1633" s="59" t="s">
        <v>1970</v>
      </c>
      <c r="U1633" s="326" t="e">
        <f ca="1">_xlfn.XLOOKUP(PAA_4[[#This Row],[ITEM]],[2]Contrato!A:A,[2]Contrato!Q:Q,"",0)</f>
        <v>#NAME?</v>
      </c>
      <c r="V1633" s="47" t="s">
        <v>95</v>
      </c>
      <c r="W1633" s="373" t="s">
        <v>1971</v>
      </c>
      <c r="X1633" s="373" t="s">
        <v>1972</v>
      </c>
      <c r="Y1633" s="55" t="e">
        <f ca="1">_xlfn.XLOOKUP(PAA_4[[#This Row],[ITEM]],[2]Contrato!A:A,[2]Contrato!B:B,"",0)</f>
        <v>#NAME?</v>
      </c>
      <c r="Z1633" s="47" t="e">
        <f ca="1">_xlfn.XLOOKUP(PAA_4[[#This Row],[ITEM]],[2]Contrato!A:A,[2]Contrato!G:G,"",0)</f>
        <v>#NAME?</v>
      </c>
      <c r="AA1633" s="47" t="e">
        <f ca="1">_xlfn.XLOOKUP(PAA_4[[#This Row],[ITEM]],[2]Contrato!A:A,[2]Contrato!T:T,"",0)</f>
        <v>#NAME?</v>
      </c>
      <c r="AB1633" s="55" t="e">
        <f ca="1">+MAX(PAA_4[[#This Row],[Comprometido Contrato]],PAA_4[[#This Row],[Comprometido Bolsa]])</f>
        <v>#NAME?</v>
      </c>
      <c r="AC1633" s="55" t="str">
        <f t="shared" ca="1" si="559"/>
        <v/>
      </c>
      <c r="AD1633" s="55" t="e">
        <f ca="1">IF(PAA_4[[#This Row],[ESTADO (formulado)]]="NO CONTRATADO",0,MAX(PAA_4[[#This Row],[Pago por Contrato]],PAA_4[[#This Row],[Pago por bolsa]]))</f>
        <v>#NAME?</v>
      </c>
      <c r="AE1633" s="55" t="str">
        <f t="shared" ca="1" si="561"/>
        <v/>
      </c>
      <c r="AF1633" s="47" t="e">
        <f t="shared" ca="1" si="565"/>
        <v>#NAME?</v>
      </c>
      <c r="AG1633" s="47">
        <f t="shared" si="562"/>
        <v>41080106</v>
      </c>
      <c r="AH1633" s="54" t="str">
        <f>IF(Q1633="22",IF(ISNUMBER(SEARCH("econ",PAA_4[[#This Row],[Actividad3]])),"Económico",IF(ISNUMBER(SEARCH("alim",PAA_4[[#This Row],[Actividad3]])),"Alimentación",IF(ISNUMBER(SEARCH("educ",PAA_4[[#This Row],[Actividad3]])),"Educativo","Técnico"))),0)</f>
        <v>Técnico</v>
      </c>
      <c r="AI1633" s="47" t="e" cm="1">
        <f t="array" aca="1" ref="AI1633" ca="1">_xlfn.XLOOKUP(PAA_4[[#This Row],[RCP-RUBRO]],[2]!COMPROMISOS_2024[[#All],[concatenado]],[2]!COMPROMISOS_2024[[#All],[Total pagado]],"",0)</f>
        <v>#NAME?</v>
      </c>
      <c r="AJ1633" s="56" t="e">
        <f ca="1">IF(PAA_4[[#This Row],[BOLSA]]=0,0,SUMIFS([2]!COMPROMISOS_2024[[#All],[Total pagado]],[2]!COMPROMISOS_2024[[#All],[Bolsa]],PAA_4[[#This Row],[BOLSA]],[2]!COMPROMISOS_2024[[#All],[rubro]],PAA_4[[#This Row],[RCP-RUBRO]]))</f>
        <v>#REF!</v>
      </c>
      <c r="AK1633" s="47" t="e" cm="1">
        <f t="array" aca="1" ref="AK1633" ca="1">_xlfn.XLOOKUP(PAA_4[[#This Row],[RCP-RUBRO]],[2]!COMPROMISOS_2024[[#All],[concatenado]],[2]!COMPROMISOS_2024[[#All],[Total Comprometido]],"",0)</f>
        <v>#NAME?</v>
      </c>
      <c r="AL1633" s="47" t="e">
        <f ca="1">IF(PAA_4[[#This Row],[BOLSA]]=0,0,SUMIFS([2]!COMPROMISOS_2024[[#All],[Total Comprometido]],[2]!COMPROMISOS_2024[[#All],[Bolsa]],PAA_4[[#This Row],[BOLSA]],[2]!COMPROMISOS_2024[[#All],[concatenado]],PAA_4[[#This Row],[RCP-RUBRO]]))</f>
        <v>#REF!</v>
      </c>
    </row>
    <row r="1634" spans="1:38" s="19" customFormat="1" ht="31.5" customHeight="1">
      <c r="A1634" s="47">
        <v>886</v>
      </c>
      <c r="B1634" s="344">
        <v>80111600</v>
      </c>
      <c r="C1634" s="47" t="str">
        <f>VLOOKUP(PAA_4[[#This Row],[PROYECTO (formulado)2]],[2]PROYECTOS!$G$1:$L$32,6,0)</f>
        <v>SUBGERENCIA DE ALTOS LOGROS Y DEPORTE ASOCIADO</v>
      </c>
      <c r="D1634" s="47" t="str">
        <f>+IF(PAA_4[[#This Row],[UNIDAD DE CONTRATACION (formulado)]]="Subgerencia Administrativa y Financiera","FUNCIONAMIENTO","INVERSIÓN")</f>
        <v>INVERSIÓN</v>
      </c>
      <c r="E1634" s="48" t="str">
        <f>VLOOKUP(Q1634,[2]PROYECTOS!$G$1:$K$32,5,0)</f>
        <v>APOYO_TÉCNICO_Y_PSICOSOCIAL_A_LOS_DEPORTISTAS_DE_ANTIOQUIA</v>
      </c>
      <c r="F1634" s="48">
        <f>VLOOKUP(E1634,[2]PROYECTOS!$K$1:$M$32,3,0)</f>
        <v>2021003050069</v>
      </c>
      <c r="G1634" s="371" t="s">
        <v>239</v>
      </c>
      <c r="H1634" s="49" t="str">
        <f>VLOOKUP(Q1634,[2]PROYECTOS!$V$1:$W$32,2,0)</f>
        <v>050069</v>
      </c>
      <c r="I1634" s="374">
        <v>24120006</v>
      </c>
      <c r="J1634" s="286" t="s">
        <v>1955</v>
      </c>
      <c r="K1634" s="47" t="str">
        <f t="shared" ca="1" si="560"/>
        <v>CONTRATADO</v>
      </c>
      <c r="L1634" s="372" t="s">
        <v>147</v>
      </c>
      <c r="M1634" s="58" t="s">
        <v>1297</v>
      </c>
      <c r="N1634" s="344" t="s">
        <v>240</v>
      </c>
      <c r="O1634" s="51" t="e">
        <f>VLOOKUP(N1634,[2]!RUBROS[#All],3,0)</f>
        <v>#REF!</v>
      </c>
      <c r="P1634" s="53" t="e">
        <f>VLOOKUP(N1634,[2]!RUBROS[#All],2,0)</f>
        <v>#REF!</v>
      </c>
      <c r="Q1634" s="47" t="str">
        <f t="shared" si="563"/>
        <v>22</v>
      </c>
      <c r="R1634" s="47" t="str">
        <f t="shared" si="564"/>
        <v>0-205400</v>
      </c>
      <c r="S1634" s="342">
        <v>122</v>
      </c>
      <c r="T1634" s="59" t="s">
        <v>1970</v>
      </c>
      <c r="U1634" s="326" t="e">
        <f ca="1">_xlfn.XLOOKUP(PAA_4[[#This Row],[ITEM]],[2]Contrato!A:A,[2]Contrato!Q:Q,"",0)</f>
        <v>#NAME?</v>
      </c>
      <c r="V1634" s="47" t="s">
        <v>95</v>
      </c>
      <c r="W1634" s="373" t="s">
        <v>1971</v>
      </c>
      <c r="X1634" s="373" t="s">
        <v>1972</v>
      </c>
      <c r="Y1634" s="55" t="e">
        <f ca="1">_xlfn.XLOOKUP(PAA_4[[#This Row],[ITEM]],[2]Contrato!A:A,[2]Contrato!B:B,"",0)</f>
        <v>#NAME?</v>
      </c>
      <c r="Z1634" s="47" t="e">
        <f ca="1">_xlfn.XLOOKUP(PAA_4[[#This Row],[ITEM]],[2]Contrato!A:A,[2]Contrato!G:G,"",0)</f>
        <v>#NAME?</v>
      </c>
      <c r="AA1634" s="47" t="e">
        <f ca="1">_xlfn.XLOOKUP(PAA_4[[#This Row],[ITEM]],[2]Contrato!A:A,[2]Contrato!T:T,"",0)</f>
        <v>#NAME?</v>
      </c>
      <c r="AB1634" s="55" t="e">
        <f ca="1">+MAX(PAA_4[[#This Row],[Comprometido Contrato]],PAA_4[[#This Row],[Comprometido Bolsa]])</f>
        <v>#NAME?</v>
      </c>
      <c r="AC1634" s="55" t="str">
        <f t="shared" ca="1" si="559"/>
        <v/>
      </c>
      <c r="AD1634" s="55" t="e">
        <f ca="1">IF(PAA_4[[#This Row],[ESTADO (formulado)]]="NO CONTRATADO",0,MAX(PAA_4[[#This Row],[Pago por Contrato]],PAA_4[[#This Row],[Pago por bolsa]]))</f>
        <v>#NAME?</v>
      </c>
      <c r="AE1634" s="55" t="str">
        <f t="shared" ca="1" si="561"/>
        <v/>
      </c>
      <c r="AF1634" s="47" t="e">
        <f t="shared" ca="1" si="565"/>
        <v>#NAME?</v>
      </c>
      <c r="AG1634" s="47">
        <f t="shared" si="562"/>
        <v>41080101</v>
      </c>
      <c r="AH1634" s="54" t="str">
        <f>IF(Q1634="22",IF(ISNUMBER(SEARCH("econ",PAA_4[[#This Row],[Actividad3]])),"Económico",IF(ISNUMBER(SEARCH("alim",PAA_4[[#This Row],[Actividad3]])),"Alimentación",IF(ISNUMBER(SEARCH("educ",PAA_4[[#This Row],[Actividad3]])),"Educativo","Técnico"))),0)</f>
        <v>Técnico</v>
      </c>
      <c r="AI1634" s="47" t="e" cm="1">
        <f t="array" aca="1" ref="AI1634" ca="1">_xlfn.XLOOKUP(PAA_4[[#This Row],[RCP-RUBRO]],[2]!COMPROMISOS_2024[[#All],[concatenado]],[2]!COMPROMISOS_2024[[#All],[Total pagado]],"",0)</f>
        <v>#NAME?</v>
      </c>
      <c r="AJ1634" s="56" t="e">
        <f ca="1">IF(PAA_4[[#This Row],[BOLSA]]=0,0,SUMIFS([2]!COMPROMISOS_2024[[#All],[Total pagado]],[2]!COMPROMISOS_2024[[#All],[Bolsa]],PAA_4[[#This Row],[BOLSA]],[2]!COMPROMISOS_2024[[#All],[rubro]],PAA_4[[#This Row],[RCP-RUBRO]]))</f>
        <v>#REF!</v>
      </c>
      <c r="AK1634" s="47" t="e" cm="1">
        <f t="array" aca="1" ref="AK1634" ca="1">_xlfn.XLOOKUP(PAA_4[[#This Row],[RCP-RUBRO]],[2]!COMPROMISOS_2024[[#All],[concatenado]],[2]!COMPROMISOS_2024[[#All],[Total Comprometido]],"",0)</f>
        <v>#NAME?</v>
      </c>
      <c r="AL1634" s="47" t="e">
        <f ca="1">IF(PAA_4[[#This Row],[BOLSA]]=0,0,SUMIFS([2]!COMPROMISOS_2024[[#All],[Total Comprometido]],[2]!COMPROMISOS_2024[[#All],[Bolsa]],PAA_4[[#This Row],[BOLSA]],[2]!COMPROMISOS_2024[[#All],[concatenado]],PAA_4[[#This Row],[RCP-RUBRO]]))</f>
        <v>#REF!</v>
      </c>
    </row>
    <row r="1635" spans="1:38" s="19" customFormat="1" ht="31.5" customHeight="1">
      <c r="A1635" s="47">
        <v>887</v>
      </c>
      <c r="B1635" s="344">
        <v>80111600</v>
      </c>
      <c r="C1635" s="47" t="str">
        <f>VLOOKUP(PAA_4[[#This Row],[PROYECTO (formulado)2]],[2]PROYECTOS!$G$1:$L$32,6,0)</f>
        <v>SUBGERENCIA DE ALTOS LOGROS Y DEPORTE ASOCIADO</v>
      </c>
      <c r="D1635" s="47" t="str">
        <f>+IF(PAA_4[[#This Row],[UNIDAD DE CONTRATACION (formulado)]]="Subgerencia Administrativa y Financiera","FUNCIONAMIENTO","INVERSIÓN")</f>
        <v>INVERSIÓN</v>
      </c>
      <c r="E1635" s="48" t="str">
        <f>VLOOKUP(Q1635,[2]PROYECTOS!$G$1:$K$32,5,0)</f>
        <v>APOYO_TÉCNICO_Y_PSICOSOCIAL_A_LOS_DEPORTISTAS_DE_ANTIOQUIA</v>
      </c>
      <c r="F1635" s="48">
        <f>VLOOKUP(E1635,[2]PROYECTOS!$K$1:$M$32,3,0)</f>
        <v>2021003050069</v>
      </c>
      <c r="G1635" s="371" t="s">
        <v>239</v>
      </c>
      <c r="H1635" s="49" t="str">
        <f>VLOOKUP(Q1635,[2]PROYECTOS!$V$1:$W$32,2,0)</f>
        <v>050069</v>
      </c>
      <c r="I1635" s="374">
        <v>10471024</v>
      </c>
      <c r="J1635" s="286" t="s">
        <v>1955</v>
      </c>
      <c r="K1635" s="47" t="str">
        <f t="shared" ca="1" si="560"/>
        <v>CONTRATADO</v>
      </c>
      <c r="L1635" s="372" t="s">
        <v>147</v>
      </c>
      <c r="M1635" s="58" t="s">
        <v>1297</v>
      </c>
      <c r="N1635" s="344" t="s">
        <v>240</v>
      </c>
      <c r="O1635" s="51" t="e">
        <f>VLOOKUP(N1635,[2]!RUBROS[#All],3,0)</f>
        <v>#REF!</v>
      </c>
      <c r="P1635" s="53" t="e">
        <f>VLOOKUP(N1635,[2]!RUBROS[#All],2,0)</f>
        <v>#REF!</v>
      </c>
      <c r="Q1635" s="47" t="str">
        <f t="shared" si="563"/>
        <v>22</v>
      </c>
      <c r="R1635" s="47" t="str">
        <f t="shared" si="564"/>
        <v>0-205400</v>
      </c>
      <c r="S1635" s="342">
        <v>122</v>
      </c>
      <c r="T1635" s="59" t="s">
        <v>1970</v>
      </c>
      <c r="U1635" s="326" t="e">
        <f ca="1">_xlfn.XLOOKUP(PAA_4[[#This Row],[ITEM]],[2]Contrato!A:A,[2]Contrato!Q:Q,"",0)</f>
        <v>#NAME?</v>
      </c>
      <c r="V1635" s="47" t="s">
        <v>95</v>
      </c>
      <c r="W1635" s="373" t="s">
        <v>1971</v>
      </c>
      <c r="X1635" s="373" t="s">
        <v>1972</v>
      </c>
      <c r="Y1635" s="55" t="e">
        <f ca="1">_xlfn.XLOOKUP(PAA_4[[#This Row],[ITEM]],[2]Contrato!A:A,[2]Contrato!B:B,"",0)</f>
        <v>#NAME?</v>
      </c>
      <c r="Z1635" s="47" t="e">
        <f ca="1">_xlfn.XLOOKUP(PAA_4[[#This Row],[ITEM]],[2]Contrato!A:A,[2]Contrato!G:G,"",0)</f>
        <v>#NAME?</v>
      </c>
      <c r="AA1635" s="47" t="e">
        <f ca="1">_xlfn.XLOOKUP(PAA_4[[#This Row],[ITEM]],[2]Contrato!A:A,[2]Contrato!T:T,"",0)</f>
        <v>#NAME?</v>
      </c>
      <c r="AB1635" s="55" t="e">
        <f ca="1">+MAX(PAA_4[[#This Row],[Comprometido Contrato]],PAA_4[[#This Row],[Comprometido Bolsa]])</f>
        <v>#NAME?</v>
      </c>
      <c r="AC1635" s="55" t="str">
        <f t="shared" ca="1" si="559"/>
        <v/>
      </c>
      <c r="AD1635" s="55" t="e">
        <f ca="1">IF(PAA_4[[#This Row],[ESTADO (formulado)]]="NO CONTRATADO",0,MAX(PAA_4[[#This Row],[Pago por Contrato]],PAA_4[[#This Row],[Pago por bolsa]]))</f>
        <v>#NAME?</v>
      </c>
      <c r="AE1635" s="55" t="str">
        <f t="shared" ca="1" si="561"/>
        <v/>
      </c>
      <c r="AF1635" s="47" t="e">
        <f t="shared" ca="1" si="565"/>
        <v>#NAME?</v>
      </c>
      <c r="AG1635" s="47">
        <f t="shared" si="562"/>
        <v>41080101</v>
      </c>
      <c r="AH1635" s="54" t="str">
        <f>IF(Q1635="22",IF(ISNUMBER(SEARCH("econ",PAA_4[[#This Row],[Actividad3]])),"Económico",IF(ISNUMBER(SEARCH("alim",PAA_4[[#This Row],[Actividad3]])),"Alimentación",IF(ISNUMBER(SEARCH("educ",PAA_4[[#This Row],[Actividad3]])),"Educativo","Técnico"))),0)</f>
        <v>Técnico</v>
      </c>
      <c r="AI1635" s="47" t="e" cm="1">
        <f t="array" aca="1" ref="AI1635" ca="1">_xlfn.XLOOKUP(PAA_4[[#This Row],[RCP-RUBRO]],[2]!COMPROMISOS_2024[[#All],[concatenado]],[2]!COMPROMISOS_2024[[#All],[Total pagado]],"",0)</f>
        <v>#NAME?</v>
      </c>
      <c r="AJ1635" s="56" t="e">
        <f ca="1">IF(PAA_4[[#This Row],[BOLSA]]=0,0,SUMIFS([2]!COMPROMISOS_2024[[#All],[Total pagado]],[2]!COMPROMISOS_2024[[#All],[Bolsa]],PAA_4[[#This Row],[BOLSA]],[2]!COMPROMISOS_2024[[#All],[rubro]],PAA_4[[#This Row],[RCP-RUBRO]]))</f>
        <v>#REF!</v>
      </c>
      <c r="AK1635" s="47" t="e" cm="1">
        <f t="array" aca="1" ref="AK1635" ca="1">_xlfn.XLOOKUP(PAA_4[[#This Row],[RCP-RUBRO]],[2]!COMPROMISOS_2024[[#All],[concatenado]],[2]!COMPROMISOS_2024[[#All],[Total Comprometido]],"",0)</f>
        <v>#NAME?</v>
      </c>
      <c r="AL1635" s="47" t="e">
        <f ca="1">IF(PAA_4[[#This Row],[BOLSA]]=0,0,SUMIFS([2]!COMPROMISOS_2024[[#All],[Total Comprometido]],[2]!COMPROMISOS_2024[[#All],[Bolsa]],PAA_4[[#This Row],[BOLSA]],[2]!COMPROMISOS_2024[[#All],[concatenado]],PAA_4[[#This Row],[RCP-RUBRO]]))</f>
        <v>#REF!</v>
      </c>
    </row>
    <row r="1636" spans="1:38" s="19" customFormat="1" ht="31.5" customHeight="1">
      <c r="A1636" s="47">
        <v>888</v>
      </c>
      <c r="B1636" s="344">
        <v>80111600</v>
      </c>
      <c r="C1636" s="47" t="str">
        <f>VLOOKUP(PAA_4[[#This Row],[PROYECTO (formulado)2]],[2]PROYECTOS!$G$1:$L$32,6,0)</f>
        <v>SUBGERENCIA DE ALTOS LOGROS Y DEPORTE ASOCIADO</v>
      </c>
      <c r="D1636" s="47" t="str">
        <f>+IF(PAA_4[[#This Row],[UNIDAD DE CONTRATACION (formulado)]]="Subgerencia Administrativa y Financiera","FUNCIONAMIENTO","INVERSIÓN")</f>
        <v>INVERSIÓN</v>
      </c>
      <c r="E1636" s="48" t="str">
        <f>VLOOKUP(Q1636,[2]PROYECTOS!$G$1:$K$32,5,0)</f>
        <v>APOYO_TÉCNICO_Y_PSICOSOCIAL_A_LOS_DEPORTISTAS_DE_ANTIOQUIA</v>
      </c>
      <c r="F1636" s="48">
        <f>VLOOKUP(E1636,[2]PROYECTOS!$K$1:$M$32,3,0)</f>
        <v>2021003050069</v>
      </c>
      <c r="G1636" s="371" t="s">
        <v>239</v>
      </c>
      <c r="H1636" s="49" t="str">
        <f>VLOOKUP(Q1636,[2]PROYECTOS!$V$1:$W$32,2,0)</f>
        <v>050069</v>
      </c>
      <c r="I1636" s="374">
        <v>10471024</v>
      </c>
      <c r="J1636" s="286" t="s">
        <v>1986</v>
      </c>
      <c r="K1636" s="47" t="str">
        <f t="shared" ca="1" si="560"/>
        <v>CONTRATADO</v>
      </c>
      <c r="L1636" s="372" t="s">
        <v>147</v>
      </c>
      <c r="M1636" s="58" t="s">
        <v>1297</v>
      </c>
      <c r="N1636" s="344" t="s">
        <v>240</v>
      </c>
      <c r="O1636" s="51" t="e">
        <f>VLOOKUP(N1636,[2]!RUBROS[#All],3,0)</f>
        <v>#REF!</v>
      </c>
      <c r="P1636" s="53" t="e">
        <f>VLOOKUP(N1636,[2]!RUBROS[#All],2,0)</f>
        <v>#REF!</v>
      </c>
      <c r="Q1636" s="47" t="str">
        <f t="shared" si="563"/>
        <v>22</v>
      </c>
      <c r="R1636" s="47" t="str">
        <f t="shared" si="564"/>
        <v>0-205400</v>
      </c>
      <c r="S1636" s="342">
        <v>122</v>
      </c>
      <c r="T1636" s="59" t="s">
        <v>1970</v>
      </c>
      <c r="U1636" s="326" t="e">
        <f ca="1">_xlfn.XLOOKUP(PAA_4[[#This Row],[ITEM]],[2]Contrato!A:A,[2]Contrato!Q:Q,"",0)</f>
        <v>#NAME?</v>
      </c>
      <c r="V1636" s="47" t="s">
        <v>95</v>
      </c>
      <c r="W1636" s="373" t="s">
        <v>1971</v>
      </c>
      <c r="X1636" s="373" t="s">
        <v>1972</v>
      </c>
      <c r="Y1636" s="55" t="e">
        <f ca="1">_xlfn.XLOOKUP(PAA_4[[#This Row],[ITEM]],[2]Contrato!A:A,[2]Contrato!B:B,"",0)</f>
        <v>#NAME?</v>
      </c>
      <c r="Z1636" s="47" t="e">
        <f ca="1">_xlfn.XLOOKUP(PAA_4[[#This Row],[ITEM]],[2]Contrato!A:A,[2]Contrato!G:G,"",0)</f>
        <v>#NAME?</v>
      </c>
      <c r="AA1636" s="47" t="e">
        <f ca="1">_xlfn.XLOOKUP(PAA_4[[#This Row],[ITEM]],[2]Contrato!A:A,[2]Contrato!T:T,"",0)</f>
        <v>#NAME?</v>
      </c>
      <c r="AB1636" s="55" t="e">
        <f ca="1">+MAX(PAA_4[[#This Row],[Comprometido Contrato]],PAA_4[[#This Row],[Comprometido Bolsa]])</f>
        <v>#NAME?</v>
      </c>
      <c r="AC1636" s="55" t="str">
        <f t="shared" ca="1" si="559"/>
        <v/>
      </c>
      <c r="AD1636" s="55" t="e">
        <f ca="1">IF(PAA_4[[#This Row],[ESTADO (formulado)]]="NO CONTRATADO",0,MAX(PAA_4[[#This Row],[Pago por Contrato]],PAA_4[[#This Row],[Pago por bolsa]]))</f>
        <v>#NAME?</v>
      </c>
      <c r="AE1636" s="55" t="str">
        <f t="shared" ca="1" si="561"/>
        <v/>
      </c>
      <c r="AF1636" s="47" t="e">
        <f t="shared" ca="1" si="565"/>
        <v>#NAME?</v>
      </c>
      <c r="AG1636" s="47">
        <f t="shared" si="562"/>
        <v>41080101</v>
      </c>
      <c r="AH1636" s="54" t="str">
        <f>IF(Q1636="22",IF(ISNUMBER(SEARCH("econ",PAA_4[[#This Row],[Actividad3]])),"Económico",IF(ISNUMBER(SEARCH("alim",PAA_4[[#This Row],[Actividad3]])),"Alimentación",IF(ISNUMBER(SEARCH("educ",PAA_4[[#This Row],[Actividad3]])),"Educativo","Técnico"))),0)</f>
        <v>Técnico</v>
      </c>
      <c r="AI1636" s="47" t="e" cm="1">
        <f t="array" aca="1" ref="AI1636" ca="1">_xlfn.XLOOKUP(PAA_4[[#This Row],[RCP-RUBRO]],[2]!COMPROMISOS_2024[[#All],[concatenado]],[2]!COMPROMISOS_2024[[#All],[Total pagado]],"",0)</f>
        <v>#NAME?</v>
      </c>
      <c r="AJ1636" s="56" t="e">
        <f ca="1">IF(PAA_4[[#This Row],[BOLSA]]=0,0,SUMIFS([2]!COMPROMISOS_2024[[#All],[Total pagado]],[2]!COMPROMISOS_2024[[#All],[Bolsa]],PAA_4[[#This Row],[BOLSA]],[2]!COMPROMISOS_2024[[#All],[rubro]],PAA_4[[#This Row],[RCP-RUBRO]]))</f>
        <v>#REF!</v>
      </c>
      <c r="AK1636" s="47" t="e" cm="1">
        <f t="array" aca="1" ref="AK1636" ca="1">_xlfn.XLOOKUP(PAA_4[[#This Row],[RCP-RUBRO]],[2]!COMPROMISOS_2024[[#All],[concatenado]],[2]!COMPROMISOS_2024[[#All],[Total Comprometido]],"",0)</f>
        <v>#NAME?</v>
      </c>
      <c r="AL1636" s="47" t="e">
        <f ca="1">IF(PAA_4[[#This Row],[BOLSA]]=0,0,SUMIFS([2]!COMPROMISOS_2024[[#All],[Total Comprometido]],[2]!COMPROMISOS_2024[[#All],[Bolsa]],PAA_4[[#This Row],[BOLSA]],[2]!COMPROMISOS_2024[[#All],[concatenado]],PAA_4[[#This Row],[RCP-RUBRO]]))</f>
        <v>#REF!</v>
      </c>
    </row>
    <row r="1637" spans="1:38" s="19" customFormat="1" ht="31.5" customHeight="1">
      <c r="A1637" s="47">
        <v>889</v>
      </c>
      <c r="B1637" s="344">
        <v>80111600</v>
      </c>
      <c r="C1637" s="47" t="str">
        <f>VLOOKUP(PAA_4[[#This Row],[PROYECTO (formulado)2]],[2]PROYECTOS!$G$1:$L$32,6,0)</f>
        <v>SUBGERENCIA DE ALTOS LOGROS Y DEPORTE ASOCIADO</v>
      </c>
      <c r="D1637" s="47" t="str">
        <f>+IF(PAA_4[[#This Row],[UNIDAD DE CONTRATACION (formulado)]]="Subgerencia Administrativa y Financiera","FUNCIONAMIENTO","INVERSIÓN")</f>
        <v>INVERSIÓN</v>
      </c>
      <c r="E1637" s="48" t="str">
        <f>VLOOKUP(Q1637,[2]PROYECTOS!$G$1:$K$32,5,0)</f>
        <v>APOYO_TÉCNICO_Y_PSICOSOCIAL_A_LOS_DEPORTISTAS_DE_ANTIOQUIA</v>
      </c>
      <c r="F1637" s="48">
        <f>VLOOKUP(E1637,[2]PROYECTOS!$K$1:$M$32,3,0)</f>
        <v>2021003050069</v>
      </c>
      <c r="G1637" s="371" t="s">
        <v>239</v>
      </c>
      <c r="H1637" s="49" t="str">
        <f>VLOOKUP(Q1637,[2]PROYECTOS!$V$1:$W$32,2,0)</f>
        <v>050069</v>
      </c>
      <c r="I1637" s="374">
        <v>19963006</v>
      </c>
      <c r="J1637" s="286" t="s">
        <v>1986</v>
      </c>
      <c r="K1637" s="47" t="str">
        <f t="shared" ca="1" si="560"/>
        <v>CONTRATADO</v>
      </c>
      <c r="L1637" s="372" t="s">
        <v>147</v>
      </c>
      <c r="M1637" s="58" t="s">
        <v>1297</v>
      </c>
      <c r="N1637" s="344" t="s">
        <v>240</v>
      </c>
      <c r="O1637" s="51" t="e">
        <f>VLOOKUP(N1637,[2]!RUBROS[#All],3,0)</f>
        <v>#REF!</v>
      </c>
      <c r="P1637" s="53" t="e">
        <f>VLOOKUP(N1637,[2]!RUBROS[#All],2,0)</f>
        <v>#REF!</v>
      </c>
      <c r="Q1637" s="47" t="str">
        <f t="shared" si="563"/>
        <v>22</v>
      </c>
      <c r="R1637" s="47" t="str">
        <f t="shared" si="564"/>
        <v>0-205400</v>
      </c>
      <c r="S1637" s="342">
        <v>122</v>
      </c>
      <c r="T1637" s="59" t="s">
        <v>1970</v>
      </c>
      <c r="U1637" s="326" t="e">
        <f ca="1">_xlfn.XLOOKUP(PAA_4[[#This Row],[ITEM]],[2]Contrato!A:A,[2]Contrato!Q:Q,"",0)</f>
        <v>#NAME?</v>
      </c>
      <c r="V1637" s="47" t="s">
        <v>95</v>
      </c>
      <c r="W1637" s="373" t="s">
        <v>1971</v>
      </c>
      <c r="X1637" s="373" t="s">
        <v>1972</v>
      </c>
      <c r="Y1637" s="55" t="e">
        <f ca="1">_xlfn.XLOOKUP(PAA_4[[#This Row],[ITEM]],[2]Contrato!A:A,[2]Contrato!B:B,"",0)</f>
        <v>#NAME?</v>
      </c>
      <c r="Z1637" s="47" t="e">
        <f ca="1">_xlfn.XLOOKUP(PAA_4[[#This Row],[ITEM]],[2]Contrato!A:A,[2]Contrato!G:G,"",0)</f>
        <v>#NAME?</v>
      </c>
      <c r="AA1637" s="47" t="e">
        <f ca="1">_xlfn.XLOOKUP(PAA_4[[#This Row],[ITEM]],[2]Contrato!A:A,[2]Contrato!T:T,"",0)</f>
        <v>#NAME?</v>
      </c>
      <c r="AB1637" s="55" t="e">
        <f ca="1">+MAX(PAA_4[[#This Row],[Comprometido Contrato]],PAA_4[[#This Row],[Comprometido Bolsa]])</f>
        <v>#NAME?</v>
      </c>
      <c r="AC1637" s="55" t="str">
        <f t="shared" ca="1" si="559"/>
        <v/>
      </c>
      <c r="AD1637" s="55" t="e">
        <f ca="1">IF(PAA_4[[#This Row],[ESTADO (formulado)]]="NO CONTRATADO",0,MAX(PAA_4[[#This Row],[Pago por Contrato]],PAA_4[[#This Row],[Pago por bolsa]]))</f>
        <v>#NAME?</v>
      </c>
      <c r="AE1637" s="55" t="str">
        <f t="shared" ca="1" si="561"/>
        <v/>
      </c>
      <c r="AF1637" s="47" t="e">
        <f t="shared" ca="1" si="565"/>
        <v>#NAME?</v>
      </c>
      <c r="AG1637" s="47">
        <f t="shared" si="562"/>
        <v>41080101</v>
      </c>
      <c r="AH1637" s="54" t="str">
        <f>IF(Q1637="22",IF(ISNUMBER(SEARCH("econ",PAA_4[[#This Row],[Actividad3]])),"Económico",IF(ISNUMBER(SEARCH("alim",PAA_4[[#This Row],[Actividad3]])),"Alimentación",IF(ISNUMBER(SEARCH("educ",PAA_4[[#This Row],[Actividad3]])),"Educativo","Técnico"))),0)</f>
        <v>Técnico</v>
      </c>
      <c r="AI1637" s="47" t="e" cm="1">
        <f t="array" aca="1" ref="AI1637" ca="1">_xlfn.XLOOKUP(PAA_4[[#This Row],[RCP-RUBRO]],[2]!COMPROMISOS_2024[[#All],[concatenado]],[2]!COMPROMISOS_2024[[#All],[Total pagado]],"",0)</f>
        <v>#NAME?</v>
      </c>
      <c r="AJ1637" s="56" t="e">
        <f ca="1">IF(PAA_4[[#This Row],[BOLSA]]=0,0,SUMIFS([2]!COMPROMISOS_2024[[#All],[Total pagado]],[2]!COMPROMISOS_2024[[#All],[Bolsa]],PAA_4[[#This Row],[BOLSA]],[2]!COMPROMISOS_2024[[#All],[rubro]],PAA_4[[#This Row],[RCP-RUBRO]]))</f>
        <v>#REF!</v>
      </c>
      <c r="AK1637" s="47" t="e" cm="1">
        <f t="array" aca="1" ref="AK1637" ca="1">_xlfn.XLOOKUP(PAA_4[[#This Row],[RCP-RUBRO]],[2]!COMPROMISOS_2024[[#All],[concatenado]],[2]!COMPROMISOS_2024[[#All],[Total Comprometido]],"",0)</f>
        <v>#NAME?</v>
      </c>
      <c r="AL1637" s="47" t="e">
        <f ca="1">IF(PAA_4[[#This Row],[BOLSA]]=0,0,SUMIFS([2]!COMPROMISOS_2024[[#All],[Total Comprometido]],[2]!COMPROMISOS_2024[[#All],[Bolsa]],PAA_4[[#This Row],[BOLSA]],[2]!COMPROMISOS_2024[[#All],[concatenado]],PAA_4[[#This Row],[RCP-RUBRO]]))</f>
        <v>#REF!</v>
      </c>
    </row>
    <row r="1638" spans="1:38" s="19" customFormat="1" ht="31.5" customHeight="1">
      <c r="A1638" s="47">
        <v>890</v>
      </c>
      <c r="B1638" s="344">
        <v>80111600</v>
      </c>
      <c r="C1638" s="47" t="str">
        <f>VLOOKUP(PAA_4[[#This Row],[PROYECTO (formulado)2]],[2]PROYECTOS!$G$1:$L$32,6,0)</f>
        <v>SUBGERENCIA DE ALTOS LOGROS Y DEPORTE ASOCIADO</v>
      </c>
      <c r="D1638" s="47" t="str">
        <f>+IF(PAA_4[[#This Row],[UNIDAD DE CONTRATACION (formulado)]]="Subgerencia Administrativa y Financiera","FUNCIONAMIENTO","INVERSIÓN")</f>
        <v>INVERSIÓN</v>
      </c>
      <c r="E1638" s="48" t="str">
        <f>VLOOKUP(Q1638,[2]PROYECTOS!$G$1:$K$32,5,0)</f>
        <v>APOYO_TÉCNICO_Y_PSICOSOCIAL_A_LOS_DEPORTISTAS_DE_ANTIOQUIA</v>
      </c>
      <c r="F1638" s="48">
        <f>VLOOKUP(E1638,[2]PROYECTOS!$K$1:$M$32,3,0)</f>
        <v>2021003050069</v>
      </c>
      <c r="G1638" s="371" t="s">
        <v>239</v>
      </c>
      <c r="H1638" s="49" t="str">
        <f>VLOOKUP(Q1638,[2]PROYECTOS!$V$1:$W$32,2,0)</f>
        <v>050069</v>
      </c>
      <c r="I1638" s="374">
        <v>24120006</v>
      </c>
      <c r="J1638" s="286" t="s">
        <v>1987</v>
      </c>
      <c r="K1638" s="47" t="str">
        <f t="shared" ca="1" si="560"/>
        <v>CONTRATADO</v>
      </c>
      <c r="L1638" s="372" t="s">
        <v>147</v>
      </c>
      <c r="M1638" s="58" t="s">
        <v>1297</v>
      </c>
      <c r="N1638" s="344" t="s">
        <v>240</v>
      </c>
      <c r="O1638" s="51" t="e">
        <f>VLOOKUP(N1638,[2]!RUBROS[#All],3,0)</f>
        <v>#REF!</v>
      </c>
      <c r="P1638" s="53" t="e">
        <f>VLOOKUP(N1638,[2]!RUBROS[#All],2,0)</f>
        <v>#REF!</v>
      </c>
      <c r="Q1638" s="47" t="str">
        <f t="shared" si="563"/>
        <v>22</v>
      </c>
      <c r="R1638" s="47" t="str">
        <f t="shared" si="564"/>
        <v>0-205400</v>
      </c>
      <c r="S1638" s="342">
        <v>122</v>
      </c>
      <c r="T1638" s="59" t="s">
        <v>1970</v>
      </c>
      <c r="U1638" s="326" t="e">
        <f ca="1">_xlfn.XLOOKUP(PAA_4[[#This Row],[ITEM]],[2]Contrato!A:A,[2]Contrato!Q:Q,"",0)</f>
        <v>#NAME?</v>
      </c>
      <c r="V1638" s="47" t="s">
        <v>95</v>
      </c>
      <c r="W1638" s="373" t="s">
        <v>1971</v>
      </c>
      <c r="X1638" s="373" t="s">
        <v>1972</v>
      </c>
      <c r="Y1638" s="55" t="e">
        <f ca="1">_xlfn.XLOOKUP(PAA_4[[#This Row],[ITEM]],[2]Contrato!A:A,[2]Contrato!B:B,"",0)</f>
        <v>#NAME?</v>
      </c>
      <c r="Z1638" s="47" t="e">
        <f ca="1">_xlfn.XLOOKUP(PAA_4[[#This Row],[ITEM]],[2]Contrato!A:A,[2]Contrato!G:G,"",0)</f>
        <v>#NAME?</v>
      </c>
      <c r="AA1638" s="47" t="e">
        <f ca="1">_xlfn.XLOOKUP(PAA_4[[#This Row],[ITEM]],[2]Contrato!A:A,[2]Contrato!T:T,"",0)</f>
        <v>#NAME?</v>
      </c>
      <c r="AB1638" s="55" t="e">
        <f ca="1">+MAX(PAA_4[[#This Row],[Comprometido Contrato]],PAA_4[[#This Row],[Comprometido Bolsa]])</f>
        <v>#NAME?</v>
      </c>
      <c r="AC1638" s="55" t="str">
        <f t="shared" ca="1" si="559"/>
        <v/>
      </c>
      <c r="AD1638" s="55" t="e">
        <f ca="1">IF(PAA_4[[#This Row],[ESTADO (formulado)]]="NO CONTRATADO",0,MAX(PAA_4[[#This Row],[Pago por Contrato]],PAA_4[[#This Row],[Pago por bolsa]]))</f>
        <v>#NAME?</v>
      </c>
      <c r="AE1638" s="55" t="str">
        <f t="shared" ca="1" si="561"/>
        <v/>
      </c>
      <c r="AF1638" s="47" t="e">
        <f t="shared" ca="1" si="565"/>
        <v>#NAME?</v>
      </c>
      <c r="AG1638" s="47">
        <f t="shared" si="562"/>
        <v>41080101</v>
      </c>
      <c r="AH1638" s="54" t="str">
        <f>IF(Q1638="22",IF(ISNUMBER(SEARCH("econ",PAA_4[[#This Row],[Actividad3]])),"Económico",IF(ISNUMBER(SEARCH("alim",PAA_4[[#This Row],[Actividad3]])),"Alimentación",IF(ISNUMBER(SEARCH("educ",PAA_4[[#This Row],[Actividad3]])),"Educativo","Técnico"))),0)</f>
        <v>Técnico</v>
      </c>
      <c r="AI1638" s="47" t="e" cm="1">
        <f t="array" aca="1" ref="AI1638" ca="1">_xlfn.XLOOKUP(PAA_4[[#This Row],[RCP-RUBRO]],[2]!COMPROMISOS_2024[[#All],[concatenado]],[2]!COMPROMISOS_2024[[#All],[Total pagado]],"",0)</f>
        <v>#NAME?</v>
      </c>
      <c r="AJ1638" s="56" t="e">
        <f ca="1">IF(PAA_4[[#This Row],[BOLSA]]=0,0,SUMIFS([2]!COMPROMISOS_2024[[#All],[Total pagado]],[2]!COMPROMISOS_2024[[#All],[Bolsa]],PAA_4[[#This Row],[BOLSA]],[2]!COMPROMISOS_2024[[#All],[rubro]],PAA_4[[#This Row],[RCP-RUBRO]]))</f>
        <v>#REF!</v>
      </c>
      <c r="AK1638" s="47" t="e" cm="1">
        <f t="array" aca="1" ref="AK1638" ca="1">_xlfn.XLOOKUP(PAA_4[[#This Row],[RCP-RUBRO]],[2]!COMPROMISOS_2024[[#All],[concatenado]],[2]!COMPROMISOS_2024[[#All],[Total Comprometido]],"",0)</f>
        <v>#NAME?</v>
      </c>
      <c r="AL1638" s="47" t="e">
        <f ca="1">IF(PAA_4[[#This Row],[BOLSA]]=0,0,SUMIFS([2]!COMPROMISOS_2024[[#All],[Total Comprometido]],[2]!COMPROMISOS_2024[[#All],[Bolsa]],PAA_4[[#This Row],[BOLSA]],[2]!COMPROMISOS_2024[[#All],[concatenado]],PAA_4[[#This Row],[RCP-RUBRO]]))</f>
        <v>#REF!</v>
      </c>
    </row>
    <row r="1639" spans="1:38" s="19" customFormat="1" ht="31.5" customHeight="1">
      <c r="A1639" s="47">
        <v>891</v>
      </c>
      <c r="B1639" s="344">
        <v>80111600</v>
      </c>
      <c r="C1639" s="47" t="str">
        <f>VLOOKUP(PAA_4[[#This Row],[PROYECTO (formulado)2]],[2]PROYECTOS!$G$1:$L$32,6,0)</f>
        <v>SUBGERENCIA DE ALTOS LOGROS Y DEPORTE ASOCIADO</v>
      </c>
      <c r="D1639" s="47" t="str">
        <f>+IF(PAA_4[[#This Row],[UNIDAD DE CONTRATACION (formulado)]]="Subgerencia Administrativa y Financiera","FUNCIONAMIENTO","INVERSIÓN")</f>
        <v>INVERSIÓN</v>
      </c>
      <c r="E1639" s="48" t="str">
        <f>VLOOKUP(Q1639,[2]PROYECTOS!$G$1:$K$32,5,0)</f>
        <v>APOYO_TÉCNICO_Y_PSICOSOCIAL_A_LOS_DEPORTISTAS_DE_ANTIOQUIA</v>
      </c>
      <c r="F1639" s="48">
        <f>VLOOKUP(E1639,[2]PROYECTOS!$K$1:$M$32,3,0)</f>
        <v>2021003050069</v>
      </c>
      <c r="G1639" s="371" t="s">
        <v>239</v>
      </c>
      <c r="H1639" s="49" t="str">
        <f>VLOOKUP(Q1639,[2]PROYECTOS!$V$1:$W$32,2,0)</f>
        <v>050069</v>
      </c>
      <c r="I1639" s="374">
        <v>16073020</v>
      </c>
      <c r="J1639" s="286" t="s">
        <v>1987</v>
      </c>
      <c r="K1639" s="47" t="str">
        <f t="shared" ca="1" si="560"/>
        <v>CONTRATADO</v>
      </c>
      <c r="L1639" s="372" t="s">
        <v>147</v>
      </c>
      <c r="M1639" s="58" t="s">
        <v>1297</v>
      </c>
      <c r="N1639" s="344" t="s">
        <v>240</v>
      </c>
      <c r="O1639" s="51" t="e">
        <f>VLOOKUP(N1639,[2]!RUBROS[#All],3,0)</f>
        <v>#REF!</v>
      </c>
      <c r="P1639" s="53" t="e">
        <f>VLOOKUP(N1639,[2]!RUBROS[#All],2,0)</f>
        <v>#REF!</v>
      </c>
      <c r="Q1639" s="47" t="str">
        <f t="shared" si="563"/>
        <v>22</v>
      </c>
      <c r="R1639" s="47" t="str">
        <f t="shared" si="564"/>
        <v>0-205400</v>
      </c>
      <c r="S1639" s="342">
        <v>122</v>
      </c>
      <c r="T1639" s="59" t="s">
        <v>1970</v>
      </c>
      <c r="U1639" s="326" t="e">
        <f ca="1">_xlfn.XLOOKUP(PAA_4[[#This Row],[ITEM]],[2]Contrato!A:A,[2]Contrato!Q:Q,"",0)</f>
        <v>#NAME?</v>
      </c>
      <c r="V1639" s="47" t="s">
        <v>95</v>
      </c>
      <c r="W1639" s="373" t="s">
        <v>1971</v>
      </c>
      <c r="X1639" s="373" t="s">
        <v>1972</v>
      </c>
      <c r="Y1639" s="55" t="e">
        <f ca="1">_xlfn.XLOOKUP(PAA_4[[#This Row],[ITEM]],[2]Contrato!A:A,[2]Contrato!B:B,"",0)</f>
        <v>#NAME?</v>
      </c>
      <c r="Z1639" s="47" t="e">
        <f ca="1">_xlfn.XLOOKUP(PAA_4[[#This Row],[ITEM]],[2]Contrato!A:A,[2]Contrato!G:G,"",0)</f>
        <v>#NAME?</v>
      </c>
      <c r="AA1639" s="47" t="e">
        <f ca="1">_xlfn.XLOOKUP(PAA_4[[#This Row],[ITEM]],[2]Contrato!A:A,[2]Contrato!T:T,"",0)</f>
        <v>#NAME?</v>
      </c>
      <c r="AB1639" s="55" t="e">
        <f ca="1">+MAX(PAA_4[[#This Row],[Comprometido Contrato]],PAA_4[[#This Row],[Comprometido Bolsa]])</f>
        <v>#NAME?</v>
      </c>
      <c r="AC1639" s="55" t="str">
        <f t="shared" ca="1" si="559"/>
        <v/>
      </c>
      <c r="AD1639" s="55" t="e">
        <f ca="1">IF(PAA_4[[#This Row],[ESTADO (formulado)]]="NO CONTRATADO",0,MAX(PAA_4[[#This Row],[Pago por Contrato]],PAA_4[[#This Row],[Pago por bolsa]]))</f>
        <v>#NAME?</v>
      </c>
      <c r="AE1639" s="55" t="str">
        <f t="shared" ca="1" si="561"/>
        <v/>
      </c>
      <c r="AF1639" s="47" t="e">
        <f t="shared" ca="1" si="565"/>
        <v>#NAME?</v>
      </c>
      <c r="AG1639" s="47">
        <f t="shared" si="562"/>
        <v>41080101</v>
      </c>
      <c r="AH1639" s="54" t="str">
        <f>IF(Q1639="22",IF(ISNUMBER(SEARCH("econ",PAA_4[[#This Row],[Actividad3]])),"Económico",IF(ISNUMBER(SEARCH("alim",PAA_4[[#This Row],[Actividad3]])),"Alimentación",IF(ISNUMBER(SEARCH("educ",PAA_4[[#This Row],[Actividad3]])),"Educativo","Técnico"))),0)</f>
        <v>Técnico</v>
      </c>
      <c r="AI1639" s="47" t="e" cm="1">
        <f t="array" aca="1" ref="AI1639" ca="1">_xlfn.XLOOKUP(PAA_4[[#This Row],[RCP-RUBRO]],[2]!COMPROMISOS_2024[[#All],[concatenado]],[2]!COMPROMISOS_2024[[#All],[Total pagado]],"",0)</f>
        <v>#NAME?</v>
      </c>
      <c r="AJ1639" s="56" t="e">
        <f ca="1">IF(PAA_4[[#This Row],[BOLSA]]=0,0,SUMIFS([2]!COMPROMISOS_2024[[#All],[Total pagado]],[2]!COMPROMISOS_2024[[#All],[Bolsa]],PAA_4[[#This Row],[BOLSA]],[2]!COMPROMISOS_2024[[#All],[rubro]],PAA_4[[#This Row],[RCP-RUBRO]]))</f>
        <v>#REF!</v>
      </c>
      <c r="AK1639" s="47" t="e" cm="1">
        <f t="array" aca="1" ref="AK1639" ca="1">_xlfn.XLOOKUP(PAA_4[[#This Row],[RCP-RUBRO]],[2]!COMPROMISOS_2024[[#All],[concatenado]],[2]!COMPROMISOS_2024[[#All],[Total Comprometido]],"",0)</f>
        <v>#NAME?</v>
      </c>
      <c r="AL1639" s="47" t="e">
        <f ca="1">IF(PAA_4[[#This Row],[BOLSA]]=0,0,SUMIFS([2]!COMPROMISOS_2024[[#All],[Total Comprometido]],[2]!COMPROMISOS_2024[[#All],[Bolsa]],PAA_4[[#This Row],[BOLSA]],[2]!COMPROMISOS_2024[[#All],[concatenado]],PAA_4[[#This Row],[RCP-RUBRO]]))</f>
        <v>#REF!</v>
      </c>
    </row>
    <row r="1640" spans="1:38" s="19" customFormat="1" ht="31.5" customHeight="1">
      <c r="A1640" s="47">
        <v>892</v>
      </c>
      <c r="B1640" s="344">
        <v>80111600</v>
      </c>
      <c r="C1640" s="47" t="str">
        <f>VLOOKUP(PAA_4[[#This Row],[PROYECTO (formulado)2]],[2]PROYECTOS!$G$1:$L$32,6,0)</f>
        <v>SUBGERENCIA DE ALTOS LOGROS Y DEPORTE ASOCIADO</v>
      </c>
      <c r="D1640" s="47" t="str">
        <f>+IF(PAA_4[[#This Row],[UNIDAD DE CONTRATACION (formulado)]]="Subgerencia Administrativa y Financiera","FUNCIONAMIENTO","INVERSIÓN")</f>
        <v>INVERSIÓN</v>
      </c>
      <c r="E1640" s="48" t="str">
        <f>VLOOKUP(Q1640,[2]PROYECTOS!$G$1:$K$32,5,0)</f>
        <v>APOYO_TÉCNICO_Y_PSICOSOCIAL_A_LOS_DEPORTISTAS_DE_ANTIOQUIA</v>
      </c>
      <c r="F1640" s="48">
        <f>VLOOKUP(E1640,[2]PROYECTOS!$K$1:$M$32,3,0)</f>
        <v>2021003050069</v>
      </c>
      <c r="G1640" s="371" t="s">
        <v>239</v>
      </c>
      <c r="H1640" s="49" t="str">
        <f>VLOOKUP(Q1640,[2]PROYECTOS!$V$1:$W$32,2,0)</f>
        <v>050069</v>
      </c>
      <c r="I1640" s="374">
        <v>24120006</v>
      </c>
      <c r="J1640" s="286" t="s">
        <v>1987</v>
      </c>
      <c r="K1640" s="47" t="str">
        <f t="shared" ca="1" si="560"/>
        <v>CONTRATADO</v>
      </c>
      <c r="L1640" s="372" t="s">
        <v>147</v>
      </c>
      <c r="M1640" s="58" t="s">
        <v>1297</v>
      </c>
      <c r="N1640" s="344" t="s">
        <v>240</v>
      </c>
      <c r="O1640" s="51" t="e">
        <f>VLOOKUP(N1640,[2]!RUBROS[#All],3,0)</f>
        <v>#REF!</v>
      </c>
      <c r="P1640" s="53" t="e">
        <f>VLOOKUP(N1640,[2]!RUBROS[#All],2,0)</f>
        <v>#REF!</v>
      </c>
      <c r="Q1640" s="47" t="str">
        <f t="shared" si="563"/>
        <v>22</v>
      </c>
      <c r="R1640" s="47" t="str">
        <f t="shared" si="564"/>
        <v>0-205400</v>
      </c>
      <c r="S1640" s="342">
        <v>122</v>
      </c>
      <c r="T1640" s="59" t="s">
        <v>1970</v>
      </c>
      <c r="U1640" s="326" t="e">
        <f ca="1">_xlfn.XLOOKUP(PAA_4[[#This Row],[ITEM]],[2]Contrato!A:A,[2]Contrato!Q:Q,"",0)</f>
        <v>#NAME?</v>
      </c>
      <c r="V1640" s="47" t="s">
        <v>95</v>
      </c>
      <c r="W1640" s="373" t="s">
        <v>1971</v>
      </c>
      <c r="X1640" s="373" t="s">
        <v>1972</v>
      </c>
      <c r="Y1640" s="55" t="e">
        <f ca="1">_xlfn.XLOOKUP(PAA_4[[#This Row],[ITEM]],[2]Contrato!A:A,[2]Contrato!B:B,"",0)</f>
        <v>#NAME?</v>
      </c>
      <c r="Z1640" s="47" t="e">
        <f ca="1">_xlfn.XLOOKUP(PAA_4[[#This Row],[ITEM]],[2]Contrato!A:A,[2]Contrato!G:G,"",0)</f>
        <v>#NAME?</v>
      </c>
      <c r="AA1640" s="47" t="e">
        <f ca="1">_xlfn.XLOOKUP(PAA_4[[#This Row],[ITEM]],[2]Contrato!A:A,[2]Contrato!T:T,"",0)</f>
        <v>#NAME?</v>
      </c>
      <c r="AB1640" s="55" t="e">
        <f ca="1">+MAX(PAA_4[[#This Row],[Comprometido Contrato]],PAA_4[[#This Row],[Comprometido Bolsa]])</f>
        <v>#NAME?</v>
      </c>
      <c r="AC1640" s="55" t="str">
        <f t="shared" ca="1" si="559"/>
        <v/>
      </c>
      <c r="AD1640" s="55" t="e">
        <f ca="1">IF(PAA_4[[#This Row],[ESTADO (formulado)]]="NO CONTRATADO",0,MAX(PAA_4[[#This Row],[Pago por Contrato]],PAA_4[[#This Row],[Pago por bolsa]]))</f>
        <v>#NAME?</v>
      </c>
      <c r="AE1640" s="55" t="str">
        <f t="shared" ca="1" si="561"/>
        <v/>
      </c>
      <c r="AF1640" s="47" t="e">
        <f t="shared" ca="1" si="565"/>
        <v>#NAME?</v>
      </c>
      <c r="AG1640" s="47">
        <f t="shared" si="562"/>
        <v>41080101</v>
      </c>
      <c r="AH1640" s="54" t="str">
        <f>IF(Q1640="22",IF(ISNUMBER(SEARCH("econ",PAA_4[[#This Row],[Actividad3]])),"Económico",IF(ISNUMBER(SEARCH("alim",PAA_4[[#This Row],[Actividad3]])),"Alimentación",IF(ISNUMBER(SEARCH("educ",PAA_4[[#This Row],[Actividad3]])),"Educativo","Técnico"))),0)</f>
        <v>Técnico</v>
      </c>
      <c r="AI1640" s="47" t="e" cm="1">
        <f t="array" aca="1" ref="AI1640" ca="1">_xlfn.XLOOKUP(PAA_4[[#This Row],[RCP-RUBRO]],[2]!COMPROMISOS_2024[[#All],[concatenado]],[2]!COMPROMISOS_2024[[#All],[Total pagado]],"",0)</f>
        <v>#NAME?</v>
      </c>
      <c r="AJ1640" s="56" t="e">
        <f ca="1">IF(PAA_4[[#This Row],[BOLSA]]=0,0,SUMIFS([2]!COMPROMISOS_2024[[#All],[Total pagado]],[2]!COMPROMISOS_2024[[#All],[Bolsa]],PAA_4[[#This Row],[BOLSA]],[2]!COMPROMISOS_2024[[#All],[rubro]],PAA_4[[#This Row],[RCP-RUBRO]]))</f>
        <v>#REF!</v>
      </c>
      <c r="AK1640" s="47" t="e" cm="1">
        <f t="array" aca="1" ref="AK1640" ca="1">_xlfn.XLOOKUP(PAA_4[[#This Row],[RCP-RUBRO]],[2]!COMPROMISOS_2024[[#All],[concatenado]],[2]!COMPROMISOS_2024[[#All],[Total Comprometido]],"",0)</f>
        <v>#NAME?</v>
      </c>
      <c r="AL1640" s="47" t="e">
        <f ca="1">IF(PAA_4[[#This Row],[BOLSA]]=0,0,SUMIFS([2]!COMPROMISOS_2024[[#All],[Total Comprometido]],[2]!COMPROMISOS_2024[[#All],[Bolsa]],PAA_4[[#This Row],[BOLSA]],[2]!COMPROMISOS_2024[[#All],[concatenado]],PAA_4[[#This Row],[RCP-RUBRO]]))</f>
        <v>#REF!</v>
      </c>
    </row>
    <row r="1641" spans="1:38" s="19" customFormat="1" ht="31.5" customHeight="1">
      <c r="A1641" s="47">
        <v>893</v>
      </c>
      <c r="B1641" s="344">
        <v>80111600</v>
      </c>
      <c r="C1641" s="47" t="str">
        <f>VLOOKUP(PAA_4[[#This Row],[PROYECTO (formulado)2]],[2]PROYECTOS!$G$1:$L$32,6,0)</f>
        <v>SUBGERENCIA DE ALTOS LOGROS Y DEPORTE ASOCIADO</v>
      </c>
      <c r="D1641" s="47" t="str">
        <f>+IF(PAA_4[[#This Row],[UNIDAD DE CONTRATACION (formulado)]]="Subgerencia Administrativa y Financiera","FUNCIONAMIENTO","INVERSIÓN")</f>
        <v>INVERSIÓN</v>
      </c>
      <c r="E1641" s="48" t="str">
        <f>VLOOKUP(Q1641,[2]PROYECTOS!$G$1:$K$32,5,0)</f>
        <v>APOYO_TÉCNICO_Y_PSICOSOCIAL_A_LOS_DEPORTISTAS_DE_ANTIOQUIA</v>
      </c>
      <c r="F1641" s="48">
        <f>VLOOKUP(E1641,[2]PROYECTOS!$K$1:$M$32,3,0)</f>
        <v>2021003050069</v>
      </c>
      <c r="G1641" s="371" t="s">
        <v>239</v>
      </c>
      <c r="H1641" s="49" t="str">
        <f>VLOOKUP(Q1641,[2]PROYECTOS!$V$1:$W$32,2,0)</f>
        <v>050069</v>
      </c>
      <c r="I1641" s="374">
        <v>32162311</v>
      </c>
      <c r="J1641" s="286" t="s">
        <v>1987</v>
      </c>
      <c r="K1641" s="47" t="str">
        <f t="shared" ca="1" si="560"/>
        <v>CONTRATADO</v>
      </c>
      <c r="L1641" s="372" t="s">
        <v>147</v>
      </c>
      <c r="M1641" s="58" t="s">
        <v>1297</v>
      </c>
      <c r="N1641" s="344" t="s">
        <v>240</v>
      </c>
      <c r="O1641" s="51" t="e">
        <f>VLOOKUP(N1641,[2]!RUBROS[#All],3,0)</f>
        <v>#REF!</v>
      </c>
      <c r="P1641" s="53" t="e">
        <f>VLOOKUP(N1641,[2]!RUBROS[#All],2,0)</f>
        <v>#REF!</v>
      </c>
      <c r="Q1641" s="47" t="str">
        <f t="shared" si="563"/>
        <v>22</v>
      </c>
      <c r="R1641" s="47" t="str">
        <f t="shared" si="564"/>
        <v>0-205400</v>
      </c>
      <c r="S1641" s="342">
        <v>122</v>
      </c>
      <c r="T1641" s="59" t="s">
        <v>1970</v>
      </c>
      <c r="U1641" s="326" t="e">
        <f ca="1">_xlfn.XLOOKUP(PAA_4[[#This Row],[ITEM]],[2]Contrato!A:A,[2]Contrato!Q:Q,"",0)</f>
        <v>#NAME?</v>
      </c>
      <c r="V1641" s="47" t="s">
        <v>95</v>
      </c>
      <c r="W1641" s="373" t="s">
        <v>1971</v>
      </c>
      <c r="X1641" s="373" t="s">
        <v>1972</v>
      </c>
      <c r="Y1641" s="55" t="e">
        <f ca="1">_xlfn.XLOOKUP(PAA_4[[#This Row],[ITEM]],[2]Contrato!A:A,[2]Contrato!B:B,"",0)</f>
        <v>#NAME?</v>
      </c>
      <c r="Z1641" s="47" t="e">
        <f ca="1">_xlfn.XLOOKUP(PAA_4[[#This Row],[ITEM]],[2]Contrato!A:A,[2]Contrato!G:G,"",0)</f>
        <v>#NAME?</v>
      </c>
      <c r="AA1641" s="47" t="e">
        <f ca="1">_xlfn.XLOOKUP(PAA_4[[#This Row],[ITEM]],[2]Contrato!A:A,[2]Contrato!T:T,"",0)</f>
        <v>#NAME?</v>
      </c>
      <c r="AB1641" s="55" t="e">
        <f ca="1">+MAX(PAA_4[[#This Row],[Comprometido Contrato]],PAA_4[[#This Row],[Comprometido Bolsa]])</f>
        <v>#NAME?</v>
      </c>
      <c r="AC1641" s="55" t="str">
        <f t="shared" ca="1" si="559"/>
        <v/>
      </c>
      <c r="AD1641" s="55" t="e">
        <f ca="1">IF(PAA_4[[#This Row],[ESTADO (formulado)]]="NO CONTRATADO",0,MAX(PAA_4[[#This Row],[Pago por Contrato]],PAA_4[[#This Row],[Pago por bolsa]]))</f>
        <v>#NAME?</v>
      </c>
      <c r="AE1641" s="55" t="str">
        <f t="shared" ca="1" si="561"/>
        <v/>
      </c>
      <c r="AF1641" s="47" t="e">
        <f t="shared" ca="1" si="565"/>
        <v>#NAME?</v>
      </c>
      <c r="AG1641" s="47">
        <f t="shared" si="562"/>
        <v>41080101</v>
      </c>
      <c r="AH1641" s="54" t="str">
        <f>IF(Q1641="22",IF(ISNUMBER(SEARCH("econ",PAA_4[[#This Row],[Actividad3]])),"Económico",IF(ISNUMBER(SEARCH("alim",PAA_4[[#This Row],[Actividad3]])),"Alimentación",IF(ISNUMBER(SEARCH("educ",PAA_4[[#This Row],[Actividad3]])),"Educativo","Técnico"))),0)</f>
        <v>Técnico</v>
      </c>
      <c r="AI1641" s="47" t="e" cm="1">
        <f t="array" aca="1" ref="AI1641" ca="1">_xlfn.XLOOKUP(PAA_4[[#This Row],[RCP-RUBRO]],[2]!COMPROMISOS_2024[[#All],[concatenado]],[2]!COMPROMISOS_2024[[#All],[Total pagado]],"",0)</f>
        <v>#NAME?</v>
      </c>
      <c r="AJ1641" s="56" t="e">
        <f ca="1">IF(PAA_4[[#This Row],[BOLSA]]=0,0,SUMIFS([2]!COMPROMISOS_2024[[#All],[Total pagado]],[2]!COMPROMISOS_2024[[#All],[Bolsa]],PAA_4[[#This Row],[BOLSA]],[2]!COMPROMISOS_2024[[#All],[rubro]],PAA_4[[#This Row],[RCP-RUBRO]]))</f>
        <v>#REF!</v>
      </c>
      <c r="AK1641" s="47" t="e" cm="1">
        <f t="array" aca="1" ref="AK1641" ca="1">_xlfn.XLOOKUP(PAA_4[[#This Row],[RCP-RUBRO]],[2]!COMPROMISOS_2024[[#All],[concatenado]],[2]!COMPROMISOS_2024[[#All],[Total Comprometido]],"",0)</f>
        <v>#NAME?</v>
      </c>
      <c r="AL1641" s="47" t="e">
        <f ca="1">IF(PAA_4[[#This Row],[BOLSA]]=0,0,SUMIFS([2]!COMPROMISOS_2024[[#All],[Total Comprometido]],[2]!COMPROMISOS_2024[[#All],[Bolsa]],PAA_4[[#This Row],[BOLSA]],[2]!COMPROMISOS_2024[[#All],[concatenado]],PAA_4[[#This Row],[RCP-RUBRO]]))</f>
        <v>#REF!</v>
      </c>
    </row>
    <row r="1642" spans="1:38" s="19" customFormat="1" ht="31.5" customHeight="1">
      <c r="A1642" s="47" t="s">
        <v>82</v>
      </c>
      <c r="B1642" s="366" t="s">
        <v>42</v>
      </c>
      <c r="C1642" s="47" t="str">
        <f>VLOOKUP(PAA_4[[#This Row],[PROYECTO (formulado)2]],[2]PROYECTOS!$G$1:$L$32,6,0)</f>
        <v>SUBGERENCIA DE ALTOS LOGROS Y DEPORTE ASOCIADO</v>
      </c>
      <c r="D1642" s="47" t="str">
        <f>+IF(PAA_4[[#This Row],[UNIDAD DE CONTRATACION (formulado)]]="Subgerencia Administrativa y Financiera","FUNCIONAMIENTO","INVERSIÓN")</f>
        <v>INVERSIÓN</v>
      </c>
      <c r="E1642" s="48" t="str">
        <f>VLOOKUP(Q1642,[2]PROYECTOS!$G$1:$K$32,5,0)</f>
        <v>APOYO_TÉCNICO_Y_PSICOSOCIAL_A_LOS_DEPORTISTAS_DE_ANTIOQUIA</v>
      </c>
      <c r="F1642" s="48">
        <f>VLOOKUP(E1642,[2]PROYECTOS!$K$1:$M$32,3,0)</f>
        <v>2021003050069</v>
      </c>
      <c r="G1642" s="371" t="s">
        <v>239</v>
      </c>
      <c r="H1642" s="49" t="str">
        <f>VLOOKUP(Q1642,[2]PROYECTOS!$V$1:$W$32,2,0)</f>
        <v>050069</v>
      </c>
      <c r="I1642" s="374">
        <f>4157000-4157000</f>
        <v>0</v>
      </c>
      <c r="J1642" s="366" t="s">
        <v>1778</v>
      </c>
      <c r="K1642" s="47" t="str">
        <f t="shared" ca="1" si="560"/>
        <v>CONTRATADO</v>
      </c>
      <c r="L1642" s="58" t="s">
        <v>42</v>
      </c>
      <c r="M1642" s="58" t="s">
        <v>42</v>
      </c>
      <c r="N1642" s="344" t="s">
        <v>240</v>
      </c>
      <c r="O1642" s="51" t="e">
        <f>VLOOKUP(N1642,[2]!RUBROS[#All],3,0)</f>
        <v>#REF!</v>
      </c>
      <c r="P1642" s="53" t="e">
        <f>VLOOKUP(N1642,[2]!RUBROS[#All],2,0)</f>
        <v>#REF!</v>
      </c>
      <c r="Q1642" s="47" t="str">
        <f t="shared" si="563"/>
        <v>22</v>
      </c>
      <c r="R1642" s="47" t="str">
        <f t="shared" si="564"/>
        <v>0-205400</v>
      </c>
      <c r="S1642" s="357" t="s">
        <v>42</v>
      </c>
      <c r="T1642" s="59" t="s">
        <v>42</v>
      </c>
      <c r="U1642" s="326" t="e">
        <f ca="1">_xlfn.XLOOKUP(PAA_4[[#This Row],[ITEM]],[2]Contrato!A:A,[2]Contrato!Q:Q,"",0)</f>
        <v>#NAME?</v>
      </c>
      <c r="V1642" s="47" t="s">
        <v>95</v>
      </c>
      <c r="W1642" s="375" t="s">
        <v>42</v>
      </c>
      <c r="X1642" s="375" t="s">
        <v>42</v>
      </c>
      <c r="Y1642" s="55" t="e">
        <f ca="1">_xlfn.XLOOKUP(PAA_4[[#This Row],[ITEM]],[2]Contrato!A:A,[2]Contrato!B:B,"",0)</f>
        <v>#NAME?</v>
      </c>
      <c r="Z1642" s="47" t="e">
        <f ca="1">_xlfn.XLOOKUP(PAA_4[[#This Row],[ITEM]],[2]Contrato!A:A,[2]Contrato!G:G,"",0)</f>
        <v>#NAME?</v>
      </c>
      <c r="AA1642" s="47" t="e">
        <f ca="1">_xlfn.XLOOKUP(PAA_4[[#This Row],[ITEM]],[2]Contrato!A:A,[2]Contrato!T:T,"",0)</f>
        <v>#NAME?</v>
      </c>
      <c r="AB1642" s="55" t="e">
        <f ca="1">+MAX(PAA_4[[#This Row],[Comprometido Contrato]],PAA_4[[#This Row],[Comprometido Bolsa]])</f>
        <v>#NAME?</v>
      </c>
      <c r="AC1642" s="55" t="str">
        <f t="shared" ca="1" si="559"/>
        <v/>
      </c>
      <c r="AD1642" s="55" t="e">
        <f ca="1">IF(PAA_4[[#This Row],[ESTADO (formulado)]]="NO CONTRATADO",0,MAX(PAA_4[[#This Row],[Pago por Contrato]],PAA_4[[#This Row],[Pago por bolsa]]))</f>
        <v>#NAME?</v>
      </c>
      <c r="AE1642" s="55" t="str">
        <f t="shared" ca="1" si="561"/>
        <v/>
      </c>
      <c r="AF1642" s="47" t="e">
        <f t="shared" ca="1" si="565"/>
        <v>#NAME?</v>
      </c>
      <c r="AG1642" s="47">
        <f t="shared" si="562"/>
        <v>41080101</v>
      </c>
      <c r="AH1642" s="54" t="str">
        <f>IF(Q1642="22",IF(ISNUMBER(SEARCH("econ",PAA_4[[#This Row],[Actividad3]])),"Económico",IF(ISNUMBER(SEARCH("alim",PAA_4[[#This Row],[Actividad3]])),"Alimentación",IF(ISNUMBER(SEARCH("educ",PAA_4[[#This Row],[Actividad3]])),"Educativo","Técnico"))),0)</f>
        <v>Técnico</v>
      </c>
      <c r="AI1642" s="47" t="e" cm="1">
        <f t="array" aca="1" ref="AI1642" ca="1">_xlfn.XLOOKUP(PAA_4[[#This Row],[RCP-RUBRO]],[2]!COMPROMISOS_2024[[#All],[concatenado]],[2]!COMPROMISOS_2024[[#All],[Total pagado]],"",0)</f>
        <v>#NAME?</v>
      </c>
      <c r="AJ1642" s="56" t="e">
        <f ca="1">IF(PAA_4[[#This Row],[BOLSA]]=0,0,SUMIFS([2]!COMPROMISOS_2024[[#All],[Total pagado]],[2]!COMPROMISOS_2024[[#All],[Bolsa]],PAA_4[[#This Row],[BOLSA]],[2]!COMPROMISOS_2024[[#All],[rubro]],PAA_4[[#This Row],[RCP-RUBRO]]))</f>
        <v>#REF!</v>
      </c>
      <c r="AK1642" s="47" t="e" cm="1">
        <f t="array" aca="1" ref="AK1642" ca="1">_xlfn.XLOOKUP(PAA_4[[#This Row],[RCP-RUBRO]],[2]!COMPROMISOS_2024[[#All],[concatenado]],[2]!COMPROMISOS_2024[[#All],[Total Comprometido]],"",0)</f>
        <v>#NAME?</v>
      </c>
      <c r="AL1642" s="47" t="e">
        <f ca="1">IF(PAA_4[[#This Row],[BOLSA]]=0,0,SUMIFS([2]!COMPROMISOS_2024[[#All],[Total Comprometido]],[2]!COMPROMISOS_2024[[#All],[Bolsa]],PAA_4[[#This Row],[BOLSA]],[2]!COMPROMISOS_2024[[#All],[concatenado]],PAA_4[[#This Row],[RCP-RUBRO]]))</f>
        <v>#REF!</v>
      </c>
    </row>
    <row r="1643" spans="1:38" s="19" customFormat="1" ht="31.5" customHeight="1">
      <c r="A1643" s="47">
        <v>894</v>
      </c>
      <c r="B1643" s="344">
        <v>80111600</v>
      </c>
      <c r="C1643" s="47" t="str">
        <f>VLOOKUP(PAA_4[[#This Row],[PROYECTO (formulado)2]],[2]PROYECTOS!$G$1:$L$32,6,0)</f>
        <v>SUBGERENCIA DE ALTOS LOGROS Y DEPORTE ASOCIADO</v>
      </c>
      <c r="D1643" s="47" t="str">
        <f>+IF(PAA_4[[#This Row],[UNIDAD DE CONTRATACION (formulado)]]="Subgerencia Administrativa y Financiera","FUNCIONAMIENTO","INVERSIÓN")</f>
        <v>INVERSIÓN</v>
      </c>
      <c r="E1643" s="48" t="str">
        <f>VLOOKUP(Q1643,[2]PROYECTOS!$G$1:$K$32,5,0)</f>
        <v>APOYO_TÉCNICO_Y_PSICOSOCIAL_A_LOS_DEPORTISTAS_DE_ANTIOQUIA</v>
      </c>
      <c r="F1643" s="48">
        <f>VLOOKUP(E1643,[2]PROYECTOS!$K$1:$M$32,3,0)</f>
        <v>2021003050069</v>
      </c>
      <c r="G1643" s="371" t="s">
        <v>239</v>
      </c>
      <c r="H1643" s="49" t="str">
        <f>VLOOKUP(Q1643,[2]PROYECTOS!$V$1:$W$32,2,0)</f>
        <v>050069</v>
      </c>
      <c r="I1643" s="374">
        <f>24120006-4157000</f>
        <v>19963006</v>
      </c>
      <c r="J1643" s="286" t="s">
        <v>1987</v>
      </c>
      <c r="K1643" s="47" t="str">
        <f t="shared" ca="1" si="560"/>
        <v>CONTRATADO</v>
      </c>
      <c r="L1643" s="372" t="s">
        <v>147</v>
      </c>
      <c r="M1643" s="58" t="s">
        <v>1297</v>
      </c>
      <c r="N1643" s="344" t="s">
        <v>240</v>
      </c>
      <c r="O1643" s="51" t="e">
        <f>VLOOKUP(N1643,[2]!RUBROS[#All],3,0)</f>
        <v>#REF!</v>
      </c>
      <c r="P1643" s="53" t="e">
        <f>VLOOKUP(N1643,[2]!RUBROS[#All],2,0)</f>
        <v>#REF!</v>
      </c>
      <c r="Q1643" s="47" t="str">
        <f t="shared" si="563"/>
        <v>22</v>
      </c>
      <c r="R1643" s="47" t="str">
        <f t="shared" si="564"/>
        <v>0-205400</v>
      </c>
      <c r="S1643" s="357">
        <v>122</v>
      </c>
      <c r="T1643" s="59" t="s">
        <v>1970</v>
      </c>
      <c r="U1643" s="326" t="e">
        <f ca="1">_xlfn.XLOOKUP(PAA_4[[#This Row],[ITEM]],[2]Contrato!A:A,[2]Contrato!Q:Q,"",0)</f>
        <v>#NAME?</v>
      </c>
      <c r="V1643" s="47" t="s">
        <v>95</v>
      </c>
      <c r="W1643" s="373" t="s">
        <v>1971</v>
      </c>
      <c r="X1643" s="373" t="s">
        <v>1972</v>
      </c>
      <c r="Y1643" s="55" t="e">
        <f ca="1">_xlfn.XLOOKUP(PAA_4[[#This Row],[ITEM]],[2]Contrato!A:A,[2]Contrato!B:B,"",0)</f>
        <v>#NAME?</v>
      </c>
      <c r="Z1643" s="47" t="e">
        <f ca="1">_xlfn.XLOOKUP(PAA_4[[#This Row],[ITEM]],[2]Contrato!A:A,[2]Contrato!G:G,"",0)</f>
        <v>#NAME?</v>
      </c>
      <c r="AA1643" s="47" t="e">
        <f ca="1">_xlfn.XLOOKUP(PAA_4[[#This Row],[ITEM]],[2]Contrato!A:A,[2]Contrato!T:T,"",0)</f>
        <v>#NAME?</v>
      </c>
      <c r="AB1643" s="55" t="e">
        <f ca="1">+MAX(PAA_4[[#This Row],[Comprometido Contrato]],PAA_4[[#This Row],[Comprometido Bolsa]])</f>
        <v>#NAME?</v>
      </c>
      <c r="AC1643" s="55" t="str">
        <f t="shared" ca="1" si="559"/>
        <v/>
      </c>
      <c r="AD1643" s="55" t="e">
        <f ca="1">IF(PAA_4[[#This Row],[ESTADO (formulado)]]="NO CONTRATADO",0,MAX(PAA_4[[#This Row],[Pago por Contrato]],PAA_4[[#This Row],[Pago por bolsa]]))</f>
        <v>#NAME?</v>
      </c>
      <c r="AE1643" s="55" t="str">
        <f t="shared" ca="1" si="561"/>
        <v/>
      </c>
      <c r="AF1643" s="47" t="e">
        <f t="shared" ca="1" si="565"/>
        <v>#NAME?</v>
      </c>
      <c r="AG1643" s="47">
        <f t="shared" si="562"/>
        <v>41080101</v>
      </c>
      <c r="AH1643" s="54" t="str">
        <f>IF(Q1643="22",IF(ISNUMBER(SEARCH("econ",PAA_4[[#This Row],[Actividad3]])),"Económico",IF(ISNUMBER(SEARCH("alim",PAA_4[[#This Row],[Actividad3]])),"Alimentación",IF(ISNUMBER(SEARCH("educ",PAA_4[[#This Row],[Actividad3]])),"Educativo","Técnico"))),0)</f>
        <v>Técnico</v>
      </c>
      <c r="AI1643" s="47" t="e" cm="1">
        <f t="array" aca="1" ref="AI1643" ca="1">_xlfn.XLOOKUP(PAA_4[[#This Row],[RCP-RUBRO]],[2]!COMPROMISOS_2024[[#All],[concatenado]],[2]!COMPROMISOS_2024[[#All],[Total pagado]],"",0)</f>
        <v>#NAME?</v>
      </c>
      <c r="AJ1643" s="56" t="e">
        <f ca="1">IF(PAA_4[[#This Row],[BOLSA]]=0,0,SUMIFS([2]!COMPROMISOS_2024[[#All],[Total pagado]],[2]!COMPROMISOS_2024[[#All],[Bolsa]],PAA_4[[#This Row],[BOLSA]],[2]!COMPROMISOS_2024[[#All],[rubro]],PAA_4[[#This Row],[RCP-RUBRO]]))</f>
        <v>#REF!</v>
      </c>
      <c r="AK1643" s="47" t="e" cm="1">
        <f t="array" aca="1" ref="AK1643" ca="1">_xlfn.XLOOKUP(PAA_4[[#This Row],[RCP-RUBRO]],[2]!COMPROMISOS_2024[[#All],[concatenado]],[2]!COMPROMISOS_2024[[#All],[Total Comprometido]],"",0)</f>
        <v>#NAME?</v>
      </c>
      <c r="AL1643" s="47" t="e">
        <f ca="1">IF(PAA_4[[#This Row],[BOLSA]]=0,0,SUMIFS([2]!COMPROMISOS_2024[[#All],[Total Comprometido]],[2]!COMPROMISOS_2024[[#All],[Bolsa]],PAA_4[[#This Row],[BOLSA]],[2]!COMPROMISOS_2024[[#All],[concatenado]],PAA_4[[#This Row],[RCP-RUBRO]]))</f>
        <v>#REF!</v>
      </c>
    </row>
    <row r="1644" spans="1:38" s="19" customFormat="1" ht="31.5" customHeight="1">
      <c r="A1644" s="47">
        <v>895</v>
      </c>
      <c r="B1644" s="344">
        <v>80111600</v>
      </c>
      <c r="C1644" s="47" t="str">
        <f>VLOOKUP(PAA_4[[#This Row],[PROYECTO (formulado)2]],[2]PROYECTOS!$G$1:$L$32,6,0)</f>
        <v>SUBGERENCIA DE ALTOS LOGROS Y DEPORTE ASOCIADO</v>
      </c>
      <c r="D1644" s="47" t="str">
        <f>+IF(PAA_4[[#This Row],[UNIDAD DE CONTRATACION (formulado)]]="Subgerencia Administrativa y Financiera","FUNCIONAMIENTO","INVERSIÓN")</f>
        <v>INVERSIÓN</v>
      </c>
      <c r="E1644" s="48" t="str">
        <f>VLOOKUP(Q1644,[2]PROYECTOS!$G$1:$K$32,5,0)</f>
        <v>APOYO_TÉCNICO_Y_PSICOSOCIAL_A_LOS_DEPORTISTAS_DE_ANTIOQUIA</v>
      </c>
      <c r="F1644" s="48">
        <f>VLOOKUP(E1644,[2]PROYECTOS!$K$1:$M$32,3,0)</f>
        <v>2021003050069</v>
      </c>
      <c r="G1644" s="371" t="s">
        <v>239</v>
      </c>
      <c r="H1644" s="49" t="str">
        <f>VLOOKUP(Q1644,[2]PROYECTOS!$V$1:$W$32,2,0)</f>
        <v>050069</v>
      </c>
      <c r="I1644" s="374">
        <v>37466155</v>
      </c>
      <c r="J1644" s="286" t="s">
        <v>1987</v>
      </c>
      <c r="K1644" s="47" t="str">
        <f t="shared" ca="1" si="560"/>
        <v>CONTRATADO</v>
      </c>
      <c r="L1644" s="372" t="s">
        <v>147</v>
      </c>
      <c r="M1644" s="58" t="s">
        <v>1297</v>
      </c>
      <c r="N1644" s="344" t="s">
        <v>240</v>
      </c>
      <c r="O1644" s="51" t="e">
        <f>VLOOKUP(N1644,[2]!RUBROS[#All],3,0)</f>
        <v>#REF!</v>
      </c>
      <c r="P1644" s="53" t="e">
        <f>VLOOKUP(N1644,[2]!RUBROS[#All],2,0)</f>
        <v>#REF!</v>
      </c>
      <c r="Q1644" s="47" t="str">
        <f t="shared" si="563"/>
        <v>22</v>
      </c>
      <c r="R1644" s="47" t="str">
        <f t="shared" si="564"/>
        <v>0-205400</v>
      </c>
      <c r="S1644" s="342">
        <v>122</v>
      </c>
      <c r="T1644" s="59" t="s">
        <v>1970</v>
      </c>
      <c r="U1644" s="326" t="e">
        <f ca="1">_xlfn.XLOOKUP(PAA_4[[#This Row],[ITEM]],[2]Contrato!A:A,[2]Contrato!Q:Q,"",0)</f>
        <v>#NAME?</v>
      </c>
      <c r="V1644" s="47" t="s">
        <v>95</v>
      </c>
      <c r="W1644" s="373" t="s">
        <v>1971</v>
      </c>
      <c r="X1644" s="373" t="s">
        <v>1972</v>
      </c>
      <c r="Y1644" s="55" t="e">
        <f ca="1">_xlfn.XLOOKUP(PAA_4[[#This Row],[ITEM]],[2]Contrato!A:A,[2]Contrato!B:B,"",0)</f>
        <v>#NAME?</v>
      </c>
      <c r="Z1644" s="47" t="e">
        <f ca="1">_xlfn.XLOOKUP(PAA_4[[#This Row],[ITEM]],[2]Contrato!A:A,[2]Contrato!G:G,"",0)</f>
        <v>#NAME?</v>
      </c>
      <c r="AA1644" s="47" t="e">
        <f ca="1">_xlfn.XLOOKUP(PAA_4[[#This Row],[ITEM]],[2]Contrato!A:A,[2]Contrato!T:T,"",0)</f>
        <v>#NAME?</v>
      </c>
      <c r="AB1644" s="55" t="e">
        <f ca="1">+MAX(PAA_4[[#This Row],[Comprometido Contrato]],PAA_4[[#This Row],[Comprometido Bolsa]])</f>
        <v>#NAME?</v>
      </c>
      <c r="AC1644" s="55" t="str">
        <f t="shared" ca="1" si="559"/>
        <v/>
      </c>
      <c r="AD1644" s="55" t="e">
        <f ca="1">IF(PAA_4[[#This Row],[ESTADO (formulado)]]="NO CONTRATADO",0,MAX(PAA_4[[#This Row],[Pago por Contrato]],PAA_4[[#This Row],[Pago por bolsa]]))</f>
        <v>#NAME?</v>
      </c>
      <c r="AE1644" s="55" t="str">
        <f t="shared" ca="1" si="561"/>
        <v/>
      </c>
      <c r="AF1644" s="47" t="e">
        <f t="shared" ca="1" si="565"/>
        <v>#NAME?</v>
      </c>
      <c r="AG1644" s="47">
        <f t="shared" si="562"/>
        <v>41080101</v>
      </c>
      <c r="AH1644" s="54" t="str">
        <f>IF(Q1644="22",IF(ISNUMBER(SEARCH("econ",PAA_4[[#This Row],[Actividad3]])),"Económico",IF(ISNUMBER(SEARCH("alim",PAA_4[[#This Row],[Actividad3]])),"Alimentación",IF(ISNUMBER(SEARCH("educ",PAA_4[[#This Row],[Actividad3]])),"Educativo","Técnico"))),0)</f>
        <v>Técnico</v>
      </c>
      <c r="AI1644" s="47" t="e" cm="1">
        <f t="array" aca="1" ref="AI1644" ca="1">_xlfn.XLOOKUP(PAA_4[[#This Row],[RCP-RUBRO]],[2]!COMPROMISOS_2024[[#All],[concatenado]],[2]!COMPROMISOS_2024[[#All],[Total pagado]],"",0)</f>
        <v>#NAME?</v>
      </c>
      <c r="AJ1644" s="56" t="e">
        <f ca="1">IF(PAA_4[[#This Row],[BOLSA]]=0,0,SUMIFS([2]!COMPROMISOS_2024[[#All],[Total pagado]],[2]!COMPROMISOS_2024[[#All],[Bolsa]],PAA_4[[#This Row],[BOLSA]],[2]!COMPROMISOS_2024[[#All],[rubro]],PAA_4[[#This Row],[RCP-RUBRO]]))</f>
        <v>#REF!</v>
      </c>
      <c r="AK1644" s="47" t="e" cm="1">
        <f t="array" aca="1" ref="AK1644" ca="1">_xlfn.XLOOKUP(PAA_4[[#This Row],[RCP-RUBRO]],[2]!COMPROMISOS_2024[[#All],[concatenado]],[2]!COMPROMISOS_2024[[#All],[Total Comprometido]],"",0)</f>
        <v>#NAME?</v>
      </c>
      <c r="AL1644" s="47" t="e">
        <f ca="1">IF(PAA_4[[#This Row],[BOLSA]]=0,0,SUMIFS([2]!COMPROMISOS_2024[[#All],[Total Comprometido]],[2]!COMPROMISOS_2024[[#All],[Bolsa]],PAA_4[[#This Row],[BOLSA]],[2]!COMPROMISOS_2024[[#All],[concatenado]],PAA_4[[#This Row],[RCP-RUBRO]]))</f>
        <v>#REF!</v>
      </c>
    </row>
    <row r="1645" spans="1:38" s="19" customFormat="1" ht="31.5" customHeight="1">
      <c r="A1645" s="47">
        <v>896</v>
      </c>
      <c r="B1645" s="344">
        <v>80111600</v>
      </c>
      <c r="C1645" s="47" t="str">
        <f>VLOOKUP(PAA_4[[#This Row],[PROYECTO (formulado)2]],[2]PROYECTOS!$G$1:$L$32,6,0)</f>
        <v>SUBGERENCIA DE ALTOS LOGROS Y DEPORTE ASOCIADO</v>
      </c>
      <c r="D1645" s="47" t="str">
        <f>+IF(PAA_4[[#This Row],[UNIDAD DE CONTRATACION (formulado)]]="Subgerencia Administrativa y Financiera","FUNCIONAMIENTO","INVERSIÓN")</f>
        <v>INVERSIÓN</v>
      </c>
      <c r="E1645" s="48" t="str">
        <f>VLOOKUP(Q1645,[2]PROYECTOS!$G$1:$K$32,5,0)</f>
        <v>APOYO_TÉCNICO_Y_PSICOSOCIAL_A_LOS_DEPORTISTAS_DE_ANTIOQUIA</v>
      </c>
      <c r="F1645" s="48">
        <f>VLOOKUP(E1645,[2]PROYECTOS!$K$1:$M$32,3,0)</f>
        <v>2021003050069</v>
      </c>
      <c r="G1645" s="371" t="s">
        <v>239</v>
      </c>
      <c r="H1645" s="49" t="str">
        <f>VLOOKUP(Q1645,[2]PROYECTOS!$V$1:$W$32,2,0)</f>
        <v>050069</v>
      </c>
      <c r="I1645" s="374">
        <v>32162311</v>
      </c>
      <c r="J1645" s="286" t="s">
        <v>1987</v>
      </c>
      <c r="K1645" s="47" t="str">
        <f t="shared" ca="1" si="560"/>
        <v>CONTRATADO</v>
      </c>
      <c r="L1645" s="372" t="s">
        <v>147</v>
      </c>
      <c r="M1645" s="58" t="s">
        <v>1297</v>
      </c>
      <c r="N1645" s="344" t="s">
        <v>240</v>
      </c>
      <c r="O1645" s="51" t="e">
        <f>VLOOKUP(N1645,[2]!RUBROS[#All],3,0)</f>
        <v>#REF!</v>
      </c>
      <c r="P1645" s="53" t="e">
        <f>VLOOKUP(N1645,[2]!RUBROS[#All],2,0)</f>
        <v>#REF!</v>
      </c>
      <c r="Q1645" s="47" t="str">
        <f t="shared" si="563"/>
        <v>22</v>
      </c>
      <c r="R1645" s="47" t="str">
        <f t="shared" si="564"/>
        <v>0-205400</v>
      </c>
      <c r="S1645" s="342">
        <v>122</v>
      </c>
      <c r="T1645" s="59" t="s">
        <v>1970</v>
      </c>
      <c r="U1645" s="326" t="e">
        <f ca="1">_xlfn.XLOOKUP(PAA_4[[#This Row],[ITEM]],[2]Contrato!A:A,[2]Contrato!Q:Q,"",0)</f>
        <v>#NAME?</v>
      </c>
      <c r="V1645" s="47" t="s">
        <v>95</v>
      </c>
      <c r="W1645" s="373" t="s">
        <v>1971</v>
      </c>
      <c r="X1645" s="373" t="s">
        <v>1972</v>
      </c>
      <c r="Y1645" s="55" t="e">
        <f ca="1">_xlfn.XLOOKUP(PAA_4[[#This Row],[ITEM]],[2]Contrato!A:A,[2]Contrato!B:B,"",0)</f>
        <v>#NAME?</v>
      </c>
      <c r="Z1645" s="47" t="e">
        <f ca="1">_xlfn.XLOOKUP(PAA_4[[#This Row],[ITEM]],[2]Contrato!A:A,[2]Contrato!G:G,"",0)</f>
        <v>#NAME?</v>
      </c>
      <c r="AA1645" s="47" t="e">
        <f ca="1">_xlfn.XLOOKUP(PAA_4[[#This Row],[ITEM]],[2]Contrato!A:A,[2]Contrato!T:T,"",0)</f>
        <v>#NAME?</v>
      </c>
      <c r="AB1645" s="55" t="e">
        <f ca="1">+MAX(PAA_4[[#This Row],[Comprometido Contrato]],PAA_4[[#This Row],[Comprometido Bolsa]])</f>
        <v>#NAME?</v>
      </c>
      <c r="AC1645" s="55" t="str">
        <f t="shared" ca="1" si="559"/>
        <v/>
      </c>
      <c r="AD1645" s="55" t="e">
        <f ca="1">IF(PAA_4[[#This Row],[ESTADO (formulado)]]="NO CONTRATADO",0,MAX(PAA_4[[#This Row],[Pago por Contrato]],PAA_4[[#This Row],[Pago por bolsa]]))</f>
        <v>#NAME?</v>
      </c>
      <c r="AE1645" s="55" t="str">
        <f t="shared" ca="1" si="561"/>
        <v/>
      </c>
      <c r="AF1645" s="47" t="e">
        <f t="shared" ca="1" si="565"/>
        <v>#NAME?</v>
      </c>
      <c r="AG1645" s="47">
        <f t="shared" si="562"/>
        <v>41080101</v>
      </c>
      <c r="AH1645" s="54" t="str">
        <f>IF(Q1645="22",IF(ISNUMBER(SEARCH("econ",PAA_4[[#This Row],[Actividad3]])),"Económico",IF(ISNUMBER(SEARCH("alim",PAA_4[[#This Row],[Actividad3]])),"Alimentación",IF(ISNUMBER(SEARCH("educ",PAA_4[[#This Row],[Actividad3]])),"Educativo","Técnico"))),0)</f>
        <v>Técnico</v>
      </c>
      <c r="AI1645" s="47" t="e" cm="1">
        <f t="array" aca="1" ref="AI1645" ca="1">_xlfn.XLOOKUP(PAA_4[[#This Row],[RCP-RUBRO]],[2]!COMPROMISOS_2024[[#All],[concatenado]],[2]!COMPROMISOS_2024[[#All],[Total pagado]],"",0)</f>
        <v>#NAME?</v>
      </c>
      <c r="AJ1645" s="56" t="e">
        <f ca="1">IF(PAA_4[[#This Row],[BOLSA]]=0,0,SUMIFS([2]!COMPROMISOS_2024[[#All],[Total pagado]],[2]!COMPROMISOS_2024[[#All],[Bolsa]],PAA_4[[#This Row],[BOLSA]],[2]!COMPROMISOS_2024[[#All],[rubro]],PAA_4[[#This Row],[RCP-RUBRO]]))</f>
        <v>#REF!</v>
      </c>
      <c r="AK1645" s="47" t="e" cm="1">
        <f t="array" aca="1" ref="AK1645" ca="1">_xlfn.XLOOKUP(PAA_4[[#This Row],[RCP-RUBRO]],[2]!COMPROMISOS_2024[[#All],[concatenado]],[2]!COMPROMISOS_2024[[#All],[Total Comprometido]],"",0)</f>
        <v>#NAME?</v>
      </c>
      <c r="AL1645" s="47" t="e">
        <f ca="1">IF(PAA_4[[#This Row],[BOLSA]]=0,0,SUMIFS([2]!COMPROMISOS_2024[[#All],[Total Comprometido]],[2]!COMPROMISOS_2024[[#All],[Bolsa]],PAA_4[[#This Row],[BOLSA]],[2]!COMPROMISOS_2024[[#All],[concatenado]],PAA_4[[#This Row],[RCP-RUBRO]]))</f>
        <v>#REF!</v>
      </c>
    </row>
    <row r="1646" spans="1:38" s="19" customFormat="1" ht="31.5" customHeight="1">
      <c r="A1646" s="47">
        <v>897</v>
      </c>
      <c r="B1646" s="344">
        <v>80111600</v>
      </c>
      <c r="C1646" s="47" t="str">
        <f>VLOOKUP(PAA_4[[#This Row],[PROYECTO (formulado)2]],[2]PROYECTOS!$G$1:$L$32,6,0)</f>
        <v>SUBGERENCIA DE ALTOS LOGROS Y DEPORTE ASOCIADO</v>
      </c>
      <c r="D1646" s="47" t="str">
        <f>+IF(PAA_4[[#This Row],[UNIDAD DE CONTRATACION (formulado)]]="Subgerencia Administrativa y Financiera","FUNCIONAMIENTO","INVERSIÓN")</f>
        <v>INVERSIÓN</v>
      </c>
      <c r="E1646" s="48" t="str">
        <f>VLOOKUP(Q1646,[2]PROYECTOS!$G$1:$K$32,5,0)</f>
        <v>APOYO_TÉCNICO_Y_PSICOSOCIAL_A_LOS_DEPORTISTAS_DE_ANTIOQUIA</v>
      </c>
      <c r="F1646" s="48">
        <f>VLOOKUP(E1646,[2]PROYECTOS!$K$1:$M$32,3,0)</f>
        <v>2021003050069</v>
      </c>
      <c r="G1646" s="371" t="s">
        <v>239</v>
      </c>
      <c r="H1646" s="49" t="str">
        <f>VLOOKUP(Q1646,[2]PROYECTOS!$V$1:$W$32,2,0)</f>
        <v>050069</v>
      </c>
      <c r="I1646" s="374">
        <v>19963006</v>
      </c>
      <c r="J1646" s="286" t="s">
        <v>1988</v>
      </c>
      <c r="K1646" s="47" t="str">
        <f t="shared" ca="1" si="560"/>
        <v>CONTRATADO</v>
      </c>
      <c r="L1646" s="372" t="s">
        <v>147</v>
      </c>
      <c r="M1646" s="58" t="s">
        <v>1297</v>
      </c>
      <c r="N1646" s="344" t="s">
        <v>240</v>
      </c>
      <c r="O1646" s="51" t="e">
        <f>VLOOKUP(N1646,[2]!RUBROS[#All],3,0)</f>
        <v>#REF!</v>
      </c>
      <c r="P1646" s="53" t="e">
        <f>VLOOKUP(N1646,[2]!RUBROS[#All],2,0)</f>
        <v>#REF!</v>
      </c>
      <c r="Q1646" s="47" t="str">
        <f t="shared" si="563"/>
        <v>22</v>
      </c>
      <c r="R1646" s="47" t="str">
        <f t="shared" si="564"/>
        <v>0-205400</v>
      </c>
      <c r="S1646" s="342">
        <v>122</v>
      </c>
      <c r="T1646" s="59" t="s">
        <v>1970</v>
      </c>
      <c r="U1646" s="326" t="e">
        <f ca="1">_xlfn.XLOOKUP(PAA_4[[#This Row],[ITEM]],[2]Contrato!A:A,[2]Contrato!Q:Q,"",0)</f>
        <v>#NAME?</v>
      </c>
      <c r="V1646" s="47" t="s">
        <v>95</v>
      </c>
      <c r="W1646" s="373" t="s">
        <v>1971</v>
      </c>
      <c r="X1646" s="373" t="s">
        <v>1972</v>
      </c>
      <c r="Y1646" s="55" t="e">
        <f ca="1">_xlfn.XLOOKUP(PAA_4[[#This Row],[ITEM]],[2]Contrato!A:A,[2]Contrato!B:B,"",0)</f>
        <v>#NAME?</v>
      </c>
      <c r="Z1646" s="47" t="e">
        <f ca="1">_xlfn.XLOOKUP(PAA_4[[#This Row],[ITEM]],[2]Contrato!A:A,[2]Contrato!G:G,"",0)</f>
        <v>#NAME?</v>
      </c>
      <c r="AA1646" s="47" t="e">
        <f ca="1">_xlfn.XLOOKUP(PAA_4[[#This Row],[ITEM]],[2]Contrato!A:A,[2]Contrato!T:T,"",0)</f>
        <v>#NAME?</v>
      </c>
      <c r="AB1646" s="55" t="e">
        <f ca="1">+MAX(PAA_4[[#This Row],[Comprometido Contrato]],PAA_4[[#This Row],[Comprometido Bolsa]])</f>
        <v>#NAME?</v>
      </c>
      <c r="AC1646" s="55" t="str">
        <f t="shared" ca="1" si="559"/>
        <v/>
      </c>
      <c r="AD1646" s="55" t="e">
        <f ca="1">IF(PAA_4[[#This Row],[ESTADO (formulado)]]="NO CONTRATADO",0,MAX(PAA_4[[#This Row],[Pago por Contrato]],PAA_4[[#This Row],[Pago por bolsa]]))</f>
        <v>#NAME?</v>
      </c>
      <c r="AE1646" s="55" t="str">
        <f t="shared" ca="1" si="561"/>
        <v/>
      </c>
      <c r="AF1646" s="47" t="e">
        <f t="shared" ca="1" si="565"/>
        <v>#NAME?</v>
      </c>
      <c r="AG1646" s="47">
        <f t="shared" si="562"/>
        <v>41080101</v>
      </c>
      <c r="AH1646" s="54" t="str">
        <f>IF(Q1646="22",IF(ISNUMBER(SEARCH("econ",PAA_4[[#This Row],[Actividad3]])),"Económico",IF(ISNUMBER(SEARCH("alim",PAA_4[[#This Row],[Actividad3]])),"Alimentación",IF(ISNUMBER(SEARCH("educ",PAA_4[[#This Row],[Actividad3]])),"Educativo","Técnico"))),0)</f>
        <v>Técnico</v>
      </c>
      <c r="AI1646" s="47" t="e" cm="1">
        <f t="array" aca="1" ref="AI1646" ca="1">_xlfn.XLOOKUP(PAA_4[[#This Row],[RCP-RUBRO]],[2]!COMPROMISOS_2024[[#All],[concatenado]],[2]!COMPROMISOS_2024[[#All],[Total pagado]],"",0)</f>
        <v>#NAME?</v>
      </c>
      <c r="AJ1646" s="56" t="e">
        <f ca="1">IF(PAA_4[[#This Row],[BOLSA]]=0,0,SUMIFS([2]!COMPROMISOS_2024[[#All],[Total pagado]],[2]!COMPROMISOS_2024[[#All],[Bolsa]],PAA_4[[#This Row],[BOLSA]],[2]!COMPROMISOS_2024[[#All],[rubro]],PAA_4[[#This Row],[RCP-RUBRO]]))</f>
        <v>#REF!</v>
      </c>
      <c r="AK1646" s="47" t="e" cm="1">
        <f t="array" aca="1" ref="AK1646" ca="1">_xlfn.XLOOKUP(PAA_4[[#This Row],[RCP-RUBRO]],[2]!COMPROMISOS_2024[[#All],[concatenado]],[2]!COMPROMISOS_2024[[#All],[Total Comprometido]],"",0)</f>
        <v>#NAME?</v>
      </c>
      <c r="AL1646" s="47" t="e">
        <f ca="1">IF(PAA_4[[#This Row],[BOLSA]]=0,0,SUMIFS([2]!COMPROMISOS_2024[[#All],[Total Comprometido]],[2]!COMPROMISOS_2024[[#All],[Bolsa]],PAA_4[[#This Row],[BOLSA]],[2]!COMPROMISOS_2024[[#All],[concatenado]],PAA_4[[#This Row],[RCP-RUBRO]]))</f>
        <v>#REF!</v>
      </c>
    </row>
    <row r="1647" spans="1:38" s="19" customFormat="1" ht="31.5" customHeight="1">
      <c r="A1647" s="47">
        <v>898</v>
      </c>
      <c r="B1647" s="344">
        <v>80111600</v>
      </c>
      <c r="C1647" s="47" t="str">
        <f>VLOOKUP(PAA_4[[#This Row],[PROYECTO (formulado)2]],[2]PROYECTOS!$G$1:$L$32,6,0)</f>
        <v>SUBGERENCIA DE ALTOS LOGROS Y DEPORTE ASOCIADO</v>
      </c>
      <c r="D1647" s="47" t="str">
        <f>+IF(PAA_4[[#This Row],[UNIDAD DE CONTRATACION (formulado)]]="Subgerencia Administrativa y Financiera","FUNCIONAMIENTO","INVERSIÓN")</f>
        <v>INVERSIÓN</v>
      </c>
      <c r="E1647" s="48" t="str">
        <f>VLOOKUP(Q1647,[2]PROYECTOS!$G$1:$K$32,5,0)</f>
        <v>APOYO_TÉCNICO_Y_PSICOSOCIAL_A_LOS_DEPORTISTAS_DE_ANTIOQUIA</v>
      </c>
      <c r="F1647" s="48">
        <f>VLOOKUP(E1647,[2]PROYECTOS!$K$1:$M$32,3,0)</f>
        <v>2021003050069</v>
      </c>
      <c r="G1647" s="371" t="s">
        <v>239</v>
      </c>
      <c r="H1647" s="49" t="str">
        <f>VLOOKUP(Q1647,[2]PROYECTOS!$V$1:$W$32,2,0)</f>
        <v>050069</v>
      </c>
      <c r="I1647" s="374">
        <v>19963006</v>
      </c>
      <c r="J1647" s="286" t="s">
        <v>1988</v>
      </c>
      <c r="K1647" s="47" t="str">
        <f t="shared" ca="1" si="560"/>
        <v>CONTRATADO</v>
      </c>
      <c r="L1647" s="372" t="s">
        <v>147</v>
      </c>
      <c r="M1647" s="58" t="s">
        <v>1297</v>
      </c>
      <c r="N1647" s="344" t="s">
        <v>240</v>
      </c>
      <c r="O1647" s="51" t="e">
        <f>VLOOKUP(N1647,[2]!RUBROS[#All],3,0)</f>
        <v>#REF!</v>
      </c>
      <c r="P1647" s="53" t="e">
        <f>VLOOKUP(N1647,[2]!RUBROS[#All],2,0)</f>
        <v>#REF!</v>
      </c>
      <c r="Q1647" s="47" t="str">
        <f t="shared" si="563"/>
        <v>22</v>
      </c>
      <c r="R1647" s="47" t="str">
        <f t="shared" si="564"/>
        <v>0-205400</v>
      </c>
      <c r="S1647" s="342">
        <v>122</v>
      </c>
      <c r="T1647" s="59" t="s">
        <v>1970</v>
      </c>
      <c r="U1647" s="326" t="e">
        <f ca="1">_xlfn.XLOOKUP(PAA_4[[#This Row],[ITEM]],[2]Contrato!A:A,[2]Contrato!Q:Q,"",0)</f>
        <v>#NAME?</v>
      </c>
      <c r="V1647" s="47" t="s">
        <v>95</v>
      </c>
      <c r="W1647" s="373" t="s">
        <v>1971</v>
      </c>
      <c r="X1647" s="373" t="s">
        <v>1972</v>
      </c>
      <c r="Y1647" s="55" t="e">
        <f ca="1">_xlfn.XLOOKUP(PAA_4[[#This Row],[ITEM]],[2]Contrato!A:A,[2]Contrato!B:B,"",0)</f>
        <v>#NAME?</v>
      </c>
      <c r="Z1647" s="47" t="e">
        <f ca="1">_xlfn.XLOOKUP(PAA_4[[#This Row],[ITEM]],[2]Contrato!A:A,[2]Contrato!G:G,"",0)</f>
        <v>#NAME?</v>
      </c>
      <c r="AA1647" s="47" t="e">
        <f ca="1">_xlfn.XLOOKUP(PAA_4[[#This Row],[ITEM]],[2]Contrato!A:A,[2]Contrato!T:T,"",0)</f>
        <v>#NAME?</v>
      </c>
      <c r="AB1647" s="55" t="e">
        <f ca="1">+MAX(PAA_4[[#This Row],[Comprometido Contrato]],PAA_4[[#This Row],[Comprometido Bolsa]])</f>
        <v>#NAME?</v>
      </c>
      <c r="AC1647" s="55" t="str">
        <f t="shared" ca="1" si="559"/>
        <v/>
      </c>
      <c r="AD1647" s="55" t="e">
        <f ca="1">IF(PAA_4[[#This Row],[ESTADO (formulado)]]="NO CONTRATADO",0,MAX(PAA_4[[#This Row],[Pago por Contrato]],PAA_4[[#This Row],[Pago por bolsa]]))</f>
        <v>#NAME?</v>
      </c>
      <c r="AE1647" s="55" t="str">
        <f t="shared" ca="1" si="561"/>
        <v/>
      </c>
      <c r="AF1647" s="47" t="e">
        <f t="shared" ca="1" si="565"/>
        <v>#NAME?</v>
      </c>
      <c r="AG1647" s="47">
        <f t="shared" si="562"/>
        <v>41080101</v>
      </c>
      <c r="AH1647" s="54" t="str">
        <f>IF(Q1647="22",IF(ISNUMBER(SEARCH("econ",PAA_4[[#This Row],[Actividad3]])),"Económico",IF(ISNUMBER(SEARCH("alim",PAA_4[[#This Row],[Actividad3]])),"Alimentación",IF(ISNUMBER(SEARCH("educ",PAA_4[[#This Row],[Actividad3]])),"Educativo","Técnico"))),0)</f>
        <v>Técnico</v>
      </c>
      <c r="AI1647" s="47" t="e" cm="1">
        <f t="array" aca="1" ref="AI1647" ca="1">_xlfn.XLOOKUP(PAA_4[[#This Row],[RCP-RUBRO]],[2]!COMPROMISOS_2024[[#All],[concatenado]],[2]!COMPROMISOS_2024[[#All],[Total pagado]],"",0)</f>
        <v>#NAME?</v>
      </c>
      <c r="AJ1647" s="56" t="e">
        <f ca="1">IF(PAA_4[[#This Row],[BOLSA]]=0,0,SUMIFS([2]!COMPROMISOS_2024[[#All],[Total pagado]],[2]!COMPROMISOS_2024[[#All],[Bolsa]],PAA_4[[#This Row],[BOLSA]],[2]!COMPROMISOS_2024[[#All],[rubro]],PAA_4[[#This Row],[RCP-RUBRO]]))</f>
        <v>#REF!</v>
      </c>
      <c r="AK1647" s="47" t="e" cm="1">
        <f t="array" aca="1" ref="AK1647" ca="1">_xlfn.XLOOKUP(PAA_4[[#This Row],[RCP-RUBRO]],[2]!COMPROMISOS_2024[[#All],[concatenado]],[2]!COMPROMISOS_2024[[#All],[Total Comprometido]],"",0)</f>
        <v>#NAME?</v>
      </c>
      <c r="AL1647" s="47" t="e">
        <f ca="1">IF(PAA_4[[#This Row],[BOLSA]]=0,0,SUMIFS([2]!COMPROMISOS_2024[[#All],[Total Comprometido]],[2]!COMPROMISOS_2024[[#All],[Bolsa]],PAA_4[[#This Row],[BOLSA]],[2]!COMPROMISOS_2024[[#All],[concatenado]],PAA_4[[#This Row],[RCP-RUBRO]]))</f>
        <v>#REF!</v>
      </c>
    </row>
    <row r="1648" spans="1:38" s="19" customFormat="1" ht="31.5" customHeight="1">
      <c r="A1648" s="47">
        <v>899</v>
      </c>
      <c r="B1648" s="344">
        <v>80111600</v>
      </c>
      <c r="C1648" s="47" t="str">
        <f>VLOOKUP(PAA_4[[#This Row],[PROYECTO (formulado)2]],[2]PROYECTOS!$G$1:$L$32,6,0)</f>
        <v>SUBGERENCIA DE ALTOS LOGROS Y DEPORTE ASOCIADO</v>
      </c>
      <c r="D1648" s="47" t="str">
        <f>+IF(PAA_4[[#This Row],[UNIDAD DE CONTRATACION (formulado)]]="Subgerencia Administrativa y Financiera","FUNCIONAMIENTO","INVERSIÓN")</f>
        <v>INVERSIÓN</v>
      </c>
      <c r="E1648" s="48" t="str">
        <f>VLOOKUP(Q1648,[2]PROYECTOS!$G$1:$K$32,5,0)</f>
        <v>APOYO_TÉCNICO_Y_PSICOSOCIAL_A_LOS_DEPORTISTAS_DE_ANTIOQUIA</v>
      </c>
      <c r="F1648" s="48">
        <f>VLOOKUP(E1648,[2]PROYECTOS!$K$1:$M$32,3,0)</f>
        <v>2021003050069</v>
      </c>
      <c r="G1648" s="371" t="s">
        <v>239</v>
      </c>
      <c r="H1648" s="49" t="str">
        <f>VLOOKUP(Q1648,[2]PROYECTOS!$V$1:$W$32,2,0)</f>
        <v>050069</v>
      </c>
      <c r="I1648" s="374">
        <v>10471024</v>
      </c>
      <c r="J1648" s="286" t="s">
        <v>1988</v>
      </c>
      <c r="K1648" s="47" t="str">
        <f t="shared" ca="1" si="560"/>
        <v>CONTRATADO</v>
      </c>
      <c r="L1648" s="372" t="s">
        <v>147</v>
      </c>
      <c r="M1648" s="58" t="s">
        <v>1297</v>
      </c>
      <c r="N1648" s="344" t="s">
        <v>240</v>
      </c>
      <c r="O1648" s="51" t="e">
        <f>VLOOKUP(N1648,[2]!RUBROS[#All],3,0)</f>
        <v>#REF!</v>
      </c>
      <c r="P1648" s="53" t="e">
        <f>VLOOKUP(N1648,[2]!RUBROS[#All],2,0)</f>
        <v>#REF!</v>
      </c>
      <c r="Q1648" s="47" t="str">
        <f t="shared" si="563"/>
        <v>22</v>
      </c>
      <c r="R1648" s="47" t="str">
        <f t="shared" si="564"/>
        <v>0-205400</v>
      </c>
      <c r="S1648" s="342">
        <v>122</v>
      </c>
      <c r="T1648" s="59" t="s">
        <v>1970</v>
      </c>
      <c r="U1648" s="326" t="e">
        <f ca="1">_xlfn.XLOOKUP(PAA_4[[#This Row],[ITEM]],[2]Contrato!A:A,[2]Contrato!Q:Q,"",0)</f>
        <v>#NAME?</v>
      </c>
      <c r="V1648" s="47" t="s">
        <v>95</v>
      </c>
      <c r="W1648" s="373" t="s">
        <v>1971</v>
      </c>
      <c r="X1648" s="373" t="s">
        <v>1972</v>
      </c>
      <c r="Y1648" s="55" t="e">
        <f ca="1">_xlfn.XLOOKUP(PAA_4[[#This Row],[ITEM]],[2]Contrato!A:A,[2]Contrato!B:B,"",0)</f>
        <v>#NAME?</v>
      </c>
      <c r="Z1648" s="47" t="e">
        <f ca="1">_xlfn.XLOOKUP(PAA_4[[#This Row],[ITEM]],[2]Contrato!A:A,[2]Contrato!G:G,"",0)</f>
        <v>#NAME?</v>
      </c>
      <c r="AA1648" s="47" t="e">
        <f ca="1">_xlfn.XLOOKUP(PAA_4[[#This Row],[ITEM]],[2]Contrato!A:A,[2]Contrato!T:T,"",0)</f>
        <v>#NAME?</v>
      </c>
      <c r="AB1648" s="55" t="e">
        <f ca="1">+MAX(PAA_4[[#This Row],[Comprometido Contrato]],PAA_4[[#This Row],[Comprometido Bolsa]])</f>
        <v>#NAME?</v>
      </c>
      <c r="AC1648" s="55" t="str">
        <f t="shared" ca="1" si="559"/>
        <v/>
      </c>
      <c r="AD1648" s="55" t="e">
        <f ca="1">IF(PAA_4[[#This Row],[ESTADO (formulado)]]="NO CONTRATADO",0,MAX(PAA_4[[#This Row],[Pago por Contrato]],PAA_4[[#This Row],[Pago por bolsa]]))</f>
        <v>#NAME?</v>
      </c>
      <c r="AE1648" s="55" t="str">
        <f t="shared" ca="1" si="561"/>
        <v/>
      </c>
      <c r="AF1648" s="47" t="e">
        <f t="shared" ca="1" si="565"/>
        <v>#NAME?</v>
      </c>
      <c r="AG1648" s="47">
        <f t="shared" si="562"/>
        <v>41080101</v>
      </c>
      <c r="AH1648" s="54" t="str">
        <f>IF(Q1648="22",IF(ISNUMBER(SEARCH("econ",PAA_4[[#This Row],[Actividad3]])),"Económico",IF(ISNUMBER(SEARCH("alim",PAA_4[[#This Row],[Actividad3]])),"Alimentación",IF(ISNUMBER(SEARCH("educ",PAA_4[[#This Row],[Actividad3]])),"Educativo","Técnico"))),0)</f>
        <v>Técnico</v>
      </c>
      <c r="AI1648" s="47" t="e" cm="1">
        <f t="array" aca="1" ref="AI1648" ca="1">_xlfn.XLOOKUP(PAA_4[[#This Row],[RCP-RUBRO]],[2]!COMPROMISOS_2024[[#All],[concatenado]],[2]!COMPROMISOS_2024[[#All],[Total pagado]],"",0)</f>
        <v>#NAME?</v>
      </c>
      <c r="AJ1648" s="56" t="e">
        <f ca="1">IF(PAA_4[[#This Row],[BOLSA]]=0,0,SUMIFS([2]!COMPROMISOS_2024[[#All],[Total pagado]],[2]!COMPROMISOS_2024[[#All],[Bolsa]],PAA_4[[#This Row],[BOLSA]],[2]!COMPROMISOS_2024[[#All],[rubro]],PAA_4[[#This Row],[RCP-RUBRO]]))</f>
        <v>#REF!</v>
      </c>
      <c r="AK1648" s="47" t="e" cm="1">
        <f t="array" aca="1" ref="AK1648" ca="1">_xlfn.XLOOKUP(PAA_4[[#This Row],[RCP-RUBRO]],[2]!COMPROMISOS_2024[[#All],[concatenado]],[2]!COMPROMISOS_2024[[#All],[Total Comprometido]],"",0)</f>
        <v>#NAME?</v>
      </c>
      <c r="AL1648" s="47" t="e">
        <f ca="1">IF(PAA_4[[#This Row],[BOLSA]]=0,0,SUMIFS([2]!COMPROMISOS_2024[[#All],[Total Comprometido]],[2]!COMPROMISOS_2024[[#All],[Bolsa]],PAA_4[[#This Row],[BOLSA]],[2]!COMPROMISOS_2024[[#All],[concatenado]],PAA_4[[#This Row],[RCP-RUBRO]]))</f>
        <v>#REF!</v>
      </c>
    </row>
    <row r="1649" spans="1:38" s="19" customFormat="1" ht="31.5" customHeight="1">
      <c r="A1649" s="47">
        <v>900</v>
      </c>
      <c r="B1649" s="344">
        <v>80111600</v>
      </c>
      <c r="C1649" s="47" t="str">
        <f>VLOOKUP(PAA_4[[#This Row],[PROYECTO (formulado)2]],[2]PROYECTOS!$G$1:$L$32,6,0)</f>
        <v>SUBGERENCIA DE ALTOS LOGROS Y DEPORTE ASOCIADO</v>
      </c>
      <c r="D1649" s="47" t="str">
        <f>+IF(PAA_4[[#This Row],[UNIDAD DE CONTRATACION (formulado)]]="Subgerencia Administrativa y Financiera","FUNCIONAMIENTO","INVERSIÓN")</f>
        <v>INVERSIÓN</v>
      </c>
      <c r="E1649" s="48" t="str">
        <f>VLOOKUP(Q1649,[2]PROYECTOS!$G$1:$K$32,5,0)</f>
        <v>APOYO_TÉCNICO_Y_PSICOSOCIAL_A_LOS_DEPORTISTAS_DE_ANTIOQUIA</v>
      </c>
      <c r="F1649" s="48">
        <f>VLOOKUP(E1649,[2]PROYECTOS!$K$1:$M$32,3,0)</f>
        <v>2021003050069</v>
      </c>
      <c r="G1649" s="371" t="s">
        <v>239</v>
      </c>
      <c r="H1649" s="49" t="str">
        <f>VLOOKUP(Q1649,[2]PROYECTOS!$V$1:$W$32,2,0)</f>
        <v>050069</v>
      </c>
      <c r="I1649" s="374">
        <v>16073020</v>
      </c>
      <c r="J1649" s="286" t="s">
        <v>1988</v>
      </c>
      <c r="K1649" s="47" t="str">
        <f t="shared" ca="1" si="560"/>
        <v>CONTRATADO</v>
      </c>
      <c r="L1649" s="372" t="s">
        <v>147</v>
      </c>
      <c r="M1649" s="58" t="s">
        <v>1297</v>
      </c>
      <c r="N1649" s="344" t="s">
        <v>240</v>
      </c>
      <c r="O1649" s="51" t="e">
        <f>VLOOKUP(N1649,[2]!RUBROS[#All],3,0)</f>
        <v>#REF!</v>
      </c>
      <c r="P1649" s="53" t="e">
        <f>VLOOKUP(N1649,[2]!RUBROS[#All],2,0)</f>
        <v>#REF!</v>
      </c>
      <c r="Q1649" s="47" t="str">
        <f t="shared" si="563"/>
        <v>22</v>
      </c>
      <c r="R1649" s="47" t="str">
        <f t="shared" si="564"/>
        <v>0-205400</v>
      </c>
      <c r="S1649" s="342">
        <v>122</v>
      </c>
      <c r="T1649" s="59" t="s">
        <v>1970</v>
      </c>
      <c r="U1649" s="326" t="e">
        <f ca="1">_xlfn.XLOOKUP(PAA_4[[#This Row],[ITEM]],[2]Contrato!A:A,[2]Contrato!Q:Q,"",0)</f>
        <v>#NAME?</v>
      </c>
      <c r="V1649" s="47" t="s">
        <v>95</v>
      </c>
      <c r="W1649" s="373" t="s">
        <v>1971</v>
      </c>
      <c r="X1649" s="373" t="s">
        <v>1972</v>
      </c>
      <c r="Y1649" s="55" t="e">
        <f ca="1">_xlfn.XLOOKUP(PAA_4[[#This Row],[ITEM]],[2]Contrato!A:A,[2]Contrato!B:B,"",0)</f>
        <v>#NAME?</v>
      </c>
      <c r="Z1649" s="47" t="e">
        <f ca="1">_xlfn.XLOOKUP(PAA_4[[#This Row],[ITEM]],[2]Contrato!A:A,[2]Contrato!G:G,"",0)</f>
        <v>#NAME?</v>
      </c>
      <c r="AA1649" s="47" t="e">
        <f ca="1">_xlfn.XLOOKUP(PAA_4[[#This Row],[ITEM]],[2]Contrato!A:A,[2]Contrato!T:T,"",0)</f>
        <v>#NAME?</v>
      </c>
      <c r="AB1649" s="55" t="e">
        <f ca="1">+MAX(PAA_4[[#This Row],[Comprometido Contrato]],PAA_4[[#This Row],[Comprometido Bolsa]])</f>
        <v>#NAME?</v>
      </c>
      <c r="AC1649" s="55" t="str">
        <f t="shared" ca="1" si="559"/>
        <v/>
      </c>
      <c r="AD1649" s="55" t="e">
        <f ca="1">IF(PAA_4[[#This Row],[ESTADO (formulado)]]="NO CONTRATADO",0,MAX(PAA_4[[#This Row],[Pago por Contrato]],PAA_4[[#This Row],[Pago por bolsa]]))</f>
        <v>#NAME?</v>
      </c>
      <c r="AE1649" s="55" t="str">
        <f t="shared" ca="1" si="561"/>
        <v/>
      </c>
      <c r="AF1649" s="47" t="e">
        <f t="shared" ca="1" si="565"/>
        <v>#NAME?</v>
      </c>
      <c r="AG1649" s="47">
        <f t="shared" si="562"/>
        <v>41080101</v>
      </c>
      <c r="AH1649" s="54" t="str">
        <f>IF(Q1649="22",IF(ISNUMBER(SEARCH("econ",PAA_4[[#This Row],[Actividad3]])),"Económico",IF(ISNUMBER(SEARCH("alim",PAA_4[[#This Row],[Actividad3]])),"Alimentación",IF(ISNUMBER(SEARCH("educ",PAA_4[[#This Row],[Actividad3]])),"Educativo","Técnico"))),0)</f>
        <v>Técnico</v>
      </c>
      <c r="AI1649" s="47" t="e" cm="1">
        <f t="array" aca="1" ref="AI1649" ca="1">_xlfn.XLOOKUP(PAA_4[[#This Row],[RCP-RUBRO]],[2]!COMPROMISOS_2024[[#All],[concatenado]],[2]!COMPROMISOS_2024[[#All],[Total pagado]],"",0)</f>
        <v>#NAME?</v>
      </c>
      <c r="AJ1649" s="56" t="e">
        <f ca="1">IF(PAA_4[[#This Row],[BOLSA]]=0,0,SUMIFS([2]!COMPROMISOS_2024[[#All],[Total pagado]],[2]!COMPROMISOS_2024[[#All],[Bolsa]],PAA_4[[#This Row],[BOLSA]],[2]!COMPROMISOS_2024[[#All],[rubro]],PAA_4[[#This Row],[RCP-RUBRO]]))</f>
        <v>#REF!</v>
      </c>
      <c r="AK1649" s="47" t="e" cm="1">
        <f t="array" aca="1" ref="AK1649" ca="1">_xlfn.XLOOKUP(PAA_4[[#This Row],[RCP-RUBRO]],[2]!COMPROMISOS_2024[[#All],[concatenado]],[2]!COMPROMISOS_2024[[#All],[Total Comprometido]],"",0)</f>
        <v>#NAME?</v>
      </c>
      <c r="AL1649" s="47" t="e">
        <f ca="1">IF(PAA_4[[#This Row],[BOLSA]]=0,0,SUMIFS([2]!COMPROMISOS_2024[[#All],[Total Comprometido]],[2]!COMPROMISOS_2024[[#All],[Bolsa]],PAA_4[[#This Row],[BOLSA]],[2]!COMPROMISOS_2024[[#All],[concatenado]],PAA_4[[#This Row],[RCP-RUBRO]]))</f>
        <v>#REF!</v>
      </c>
    </row>
    <row r="1650" spans="1:38" s="19" customFormat="1" ht="31.5" customHeight="1">
      <c r="A1650" s="47">
        <v>901</v>
      </c>
      <c r="B1650" s="344">
        <v>80111600</v>
      </c>
      <c r="C1650" s="47" t="str">
        <f>VLOOKUP(PAA_4[[#This Row],[PROYECTO (formulado)2]],[2]PROYECTOS!$G$1:$L$32,6,0)</f>
        <v>SUBGERENCIA DE ALTOS LOGROS Y DEPORTE ASOCIADO</v>
      </c>
      <c r="D1650" s="47" t="str">
        <f>+IF(PAA_4[[#This Row],[UNIDAD DE CONTRATACION (formulado)]]="Subgerencia Administrativa y Financiera","FUNCIONAMIENTO","INVERSIÓN")</f>
        <v>INVERSIÓN</v>
      </c>
      <c r="E1650" s="48" t="str">
        <f>VLOOKUP(Q1650,[2]PROYECTOS!$G$1:$K$32,5,0)</f>
        <v>APOYO_TÉCNICO_Y_PSICOSOCIAL_A_LOS_DEPORTISTAS_DE_ANTIOQUIA</v>
      </c>
      <c r="F1650" s="48">
        <f>VLOOKUP(E1650,[2]PROYECTOS!$K$1:$M$32,3,0)</f>
        <v>2021003050069</v>
      </c>
      <c r="G1650" s="371" t="s">
        <v>239</v>
      </c>
      <c r="H1650" s="49" t="str">
        <f>VLOOKUP(Q1650,[2]PROYECTOS!$V$1:$W$32,2,0)</f>
        <v>050069</v>
      </c>
      <c r="I1650" s="374">
        <v>19963006</v>
      </c>
      <c r="J1650" s="286" t="s">
        <v>1989</v>
      </c>
      <c r="K1650" s="47" t="str">
        <f t="shared" ca="1" si="560"/>
        <v>CONTRATADO</v>
      </c>
      <c r="L1650" s="372" t="s">
        <v>147</v>
      </c>
      <c r="M1650" s="58" t="s">
        <v>1297</v>
      </c>
      <c r="N1650" s="344" t="s">
        <v>240</v>
      </c>
      <c r="O1650" s="51" t="e">
        <f>VLOOKUP(N1650,[2]!RUBROS[#All],3,0)</f>
        <v>#REF!</v>
      </c>
      <c r="P1650" s="53" t="e">
        <f>VLOOKUP(N1650,[2]!RUBROS[#All],2,0)</f>
        <v>#REF!</v>
      </c>
      <c r="Q1650" s="47" t="str">
        <f t="shared" si="563"/>
        <v>22</v>
      </c>
      <c r="R1650" s="47" t="str">
        <f t="shared" si="564"/>
        <v>0-205400</v>
      </c>
      <c r="S1650" s="342">
        <v>122</v>
      </c>
      <c r="T1650" s="59" t="s">
        <v>1970</v>
      </c>
      <c r="U1650" s="326" t="e">
        <f ca="1">_xlfn.XLOOKUP(PAA_4[[#This Row],[ITEM]],[2]Contrato!A:A,[2]Contrato!Q:Q,"",0)</f>
        <v>#NAME?</v>
      </c>
      <c r="V1650" s="47" t="s">
        <v>95</v>
      </c>
      <c r="W1650" s="373" t="s">
        <v>1971</v>
      </c>
      <c r="X1650" s="373" t="s">
        <v>1972</v>
      </c>
      <c r="Y1650" s="55" t="e">
        <f ca="1">_xlfn.XLOOKUP(PAA_4[[#This Row],[ITEM]],[2]Contrato!A:A,[2]Contrato!B:B,"",0)</f>
        <v>#NAME?</v>
      </c>
      <c r="Z1650" s="47" t="e">
        <f ca="1">_xlfn.XLOOKUP(PAA_4[[#This Row],[ITEM]],[2]Contrato!A:A,[2]Contrato!G:G,"",0)</f>
        <v>#NAME?</v>
      </c>
      <c r="AA1650" s="47" t="e">
        <f ca="1">_xlfn.XLOOKUP(PAA_4[[#This Row],[ITEM]],[2]Contrato!A:A,[2]Contrato!T:T,"",0)</f>
        <v>#NAME?</v>
      </c>
      <c r="AB1650" s="55" t="e">
        <f ca="1">+MAX(PAA_4[[#This Row],[Comprometido Contrato]],PAA_4[[#This Row],[Comprometido Bolsa]])</f>
        <v>#NAME?</v>
      </c>
      <c r="AC1650" s="55" t="str">
        <f t="shared" ca="1" si="559"/>
        <v/>
      </c>
      <c r="AD1650" s="55" t="e">
        <f ca="1">IF(PAA_4[[#This Row],[ESTADO (formulado)]]="NO CONTRATADO",0,MAX(PAA_4[[#This Row],[Pago por Contrato]],PAA_4[[#This Row],[Pago por bolsa]]))</f>
        <v>#NAME?</v>
      </c>
      <c r="AE1650" s="55" t="str">
        <f t="shared" ca="1" si="561"/>
        <v/>
      </c>
      <c r="AF1650" s="47" t="e">
        <f t="shared" ca="1" si="565"/>
        <v>#NAME?</v>
      </c>
      <c r="AG1650" s="47">
        <f t="shared" si="562"/>
        <v>41080101</v>
      </c>
      <c r="AH1650" s="54" t="str">
        <f>IF(Q1650="22",IF(ISNUMBER(SEARCH("econ",PAA_4[[#This Row],[Actividad3]])),"Económico",IF(ISNUMBER(SEARCH("alim",PAA_4[[#This Row],[Actividad3]])),"Alimentación",IF(ISNUMBER(SEARCH("educ",PAA_4[[#This Row],[Actividad3]])),"Educativo","Técnico"))),0)</f>
        <v>Técnico</v>
      </c>
      <c r="AI1650" s="47" t="e" cm="1">
        <f t="array" aca="1" ref="AI1650" ca="1">_xlfn.XLOOKUP(PAA_4[[#This Row],[RCP-RUBRO]],[2]!COMPROMISOS_2024[[#All],[concatenado]],[2]!COMPROMISOS_2024[[#All],[Total pagado]],"",0)</f>
        <v>#NAME?</v>
      </c>
      <c r="AJ1650" s="56" t="e">
        <f ca="1">IF(PAA_4[[#This Row],[BOLSA]]=0,0,SUMIFS([2]!COMPROMISOS_2024[[#All],[Total pagado]],[2]!COMPROMISOS_2024[[#All],[Bolsa]],PAA_4[[#This Row],[BOLSA]],[2]!COMPROMISOS_2024[[#All],[rubro]],PAA_4[[#This Row],[RCP-RUBRO]]))</f>
        <v>#REF!</v>
      </c>
      <c r="AK1650" s="47" t="e" cm="1">
        <f t="array" aca="1" ref="AK1650" ca="1">_xlfn.XLOOKUP(PAA_4[[#This Row],[RCP-RUBRO]],[2]!COMPROMISOS_2024[[#All],[concatenado]],[2]!COMPROMISOS_2024[[#All],[Total Comprometido]],"",0)</f>
        <v>#NAME?</v>
      </c>
      <c r="AL1650" s="47" t="e">
        <f ca="1">IF(PAA_4[[#This Row],[BOLSA]]=0,0,SUMIFS([2]!COMPROMISOS_2024[[#All],[Total Comprometido]],[2]!COMPROMISOS_2024[[#All],[Bolsa]],PAA_4[[#This Row],[BOLSA]],[2]!COMPROMISOS_2024[[#All],[concatenado]],PAA_4[[#This Row],[RCP-RUBRO]]))</f>
        <v>#REF!</v>
      </c>
    </row>
    <row r="1651" spans="1:38" s="19" customFormat="1" ht="31.5" customHeight="1">
      <c r="A1651" s="47">
        <v>902</v>
      </c>
      <c r="B1651" s="344">
        <v>80111600</v>
      </c>
      <c r="C1651" s="47" t="str">
        <f>VLOOKUP(PAA_4[[#This Row],[PROYECTO (formulado)2]],[2]PROYECTOS!$G$1:$L$32,6,0)</f>
        <v>SUBGERENCIA DE ALTOS LOGROS Y DEPORTE ASOCIADO</v>
      </c>
      <c r="D1651" s="47" t="str">
        <f>+IF(PAA_4[[#This Row],[UNIDAD DE CONTRATACION (formulado)]]="Subgerencia Administrativa y Financiera","FUNCIONAMIENTO","INVERSIÓN")</f>
        <v>INVERSIÓN</v>
      </c>
      <c r="E1651" s="48" t="str">
        <f>VLOOKUP(Q1651,[2]PROYECTOS!$G$1:$K$32,5,0)</f>
        <v>APOYO_TÉCNICO_Y_PSICOSOCIAL_A_LOS_DEPORTISTAS_DE_ANTIOQUIA</v>
      </c>
      <c r="F1651" s="48">
        <f>VLOOKUP(E1651,[2]PROYECTOS!$K$1:$M$32,3,0)</f>
        <v>2021003050069</v>
      </c>
      <c r="G1651" s="371" t="s">
        <v>239</v>
      </c>
      <c r="H1651" s="49" t="str">
        <f>VLOOKUP(Q1651,[2]PROYECTOS!$V$1:$W$32,2,0)</f>
        <v>050069</v>
      </c>
      <c r="I1651" s="374">
        <v>19963006</v>
      </c>
      <c r="J1651" s="286" t="s">
        <v>1989</v>
      </c>
      <c r="K1651" s="47" t="str">
        <f t="shared" ca="1" si="560"/>
        <v>CONTRATADO</v>
      </c>
      <c r="L1651" s="372" t="s">
        <v>147</v>
      </c>
      <c r="M1651" s="58" t="s">
        <v>1297</v>
      </c>
      <c r="N1651" s="344" t="s">
        <v>240</v>
      </c>
      <c r="O1651" s="51" t="e">
        <f>VLOOKUP(N1651,[2]!RUBROS[#All],3,0)</f>
        <v>#REF!</v>
      </c>
      <c r="P1651" s="53" t="e">
        <f>VLOOKUP(N1651,[2]!RUBROS[#All],2,0)</f>
        <v>#REF!</v>
      </c>
      <c r="Q1651" s="47" t="str">
        <f t="shared" si="563"/>
        <v>22</v>
      </c>
      <c r="R1651" s="47" t="str">
        <f t="shared" si="564"/>
        <v>0-205400</v>
      </c>
      <c r="S1651" s="342">
        <v>122</v>
      </c>
      <c r="T1651" s="59" t="s">
        <v>1970</v>
      </c>
      <c r="U1651" s="326" t="e">
        <f ca="1">_xlfn.XLOOKUP(PAA_4[[#This Row],[ITEM]],[2]Contrato!A:A,[2]Contrato!Q:Q,"",0)</f>
        <v>#NAME?</v>
      </c>
      <c r="V1651" s="47" t="s">
        <v>95</v>
      </c>
      <c r="W1651" s="373" t="s">
        <v>1971</v>
      </c>
      <c r="X1651" s="373" t="s">
        <v>1972</v>
      </c>
      <c r="Y1651" s="55" t="e">
        <f ca="1">_xlfn.XLOOKUP(PAA_4[[#This Row],[ITEM]],[2]Contrato!A:A,[2]Contrato!B:B,"",0)</f>
        <v>#NAME?</v>
      </c>
      <c r="Z1651" s="47" t="e">
        <f ca="1">_xlfn.XLOOKUP(PAA_4[[#This Row],[ITEM]],[2]Contrato!A:A,[2]Contrato!G:G,"",0)</f>
        <v>#NAME?</v>
      </c>
      <c r="AA1651" s="47" t="e">
        <f ca="1">_xlfn.XLOOKUP(PAA_4[[#This Row],[ITEM]],[2]Contrato!A:A,[2]Contrato!T:T,"",0)</f>
        <v>#NAME?</v>
      </c>
      <c r="AB1651" s="55" t="e">
        <f ca="1">+MAX(PAA_4[[#This Row],[Comprometido Contrato]],PAA_4[[#This Row],[Comprometido Bolsa]])</f>
        <v>#NAME?</v>
      </c>
      <c r="AC1651" s="55" t="str">
        <f t="shared" ca="1" si="559"/>
        <v/>
      </c>
      <c r="AD1651" s="55" t="e">
        <f ca="1">IF(PAA_4[[#This Row],[ESTADO (formulado)]]="NO CONTRATADO",0,MAX(PAA_4[[#This Row],[Pago por Contrato]],PAA_4[[#This Row],[Pago por bolsa]]))</f>
        <v>#NAME?</v>
      </c>
      <c r="AE1651" s="55" t="str">
        <f t="shared" ca="1" si="561"/>
        <v/>
      </c>
      <c r="AF1651" s="47" t="e">
        <f t="shared" ca="1" si="565"/>
        <v>#NAME?</v>
      </c>
      <c r="AG1651" s="47">
        <f t="shared" si="562"/>
        <v>41080101</v>
      </c>
      <c r="AH1651" s="54" t="str">
        <f>IF(Q1651="22",IF(ISNUMBER(SEARCH("econ",PAA_4[[#This Row],[Actividad3]])),"Económico",IF(ISNUMBER(SEARCH("alim",PAA_4[[#This Row],[Actividad3]])),"Alimentación",IF(ISNUMBER(SEARCH("educ",PAA_4[[#This Row],[Actividad3]])),"Educativo","Técnico"))),0)</f>
        <v>Técnico</v>
      </c>
      <c r="AI1651" s="47" t="e" cm="1">
        <f t="array" aca="1" ref="AI1651" ca="1">_xlfn.XLOOKUP(PAA_4[[#This Row],[RCP-RUBRO]],[2]!COMPROMISOS_2024[[#All],[concatenado]],[2]!COMPROMISOS_2024[[#All],[Total pagado]],"",0)</f>
        <v>#NAME?</v>
      </c>
      <c r="AJ1651" s="56" t="e">
        <f ca="1">IF(PAA_4[[#This Row],[BOLSA]]=0,0,SUMIFS([2]!COMPROMISOS_2024[[#All],[Total pagado]],[2]!COMPROMISOS_2024[[#All],[Bolsa]],PAA_4[[#This Row],[BOLSA]],[2]!COMPROMISOS_2024[[#All],[rubro]],PAA_4[[#This Row],[RCP-RUBRO]]))</f>
        <v>#REF!</v>
      </c>
      <c r="AK1651" s="47" t="e" cm="1">
        <f t="array" aca="1" ref="AK1651" ca="1">_xlfn.XLOOKUP(PAA_4[[#This Row],[RCP-RUBRO]],[2]!COMPROMISOS_2024[[#All],[concatenado]],[2]!COMPROMISOS_2024[[#All],[Total Comprometido]],"",0)</f>
        <v>#NAME?</v>
      </c>
      <c r="AL1651" s="47" t="e">
        <f ca="1">IF(PAA_4[[#This Row],[BOLSA]]=0,0,SUMIFS([2]!COMPROMISOS_2024[[#All],[Total Comprometido]],[2]!COMPROMISOS_2024[[#All],[Bolsa]],PAA_4[[#This Row],[BOLSA]],[2]!COMPROMISOS_2024[[#All],[concatenado]],PAA_4[[#This Row],[RCP-RUBRO]]))</f>
        <v>#REF!</v>
      </c>
    </row>
    <row r="1652" spans="1:38" s="19" customFormat="1" ht="31.5" customHeight="1">
      <c r="A1652" s="47">
        <v>903</v>
      </c>
      <c r="B1652" s="344">
        <v>80111600</v>
      </c>
      <c r="C1652" s="47" t="str">
        <f>VLOOKUP(PAA_4[[#This Row],[PROYECTO (formulado)2]],[2]PROYECTOS!$G$1:$L$32,6,0)</f>
        <v>SUBGERENCIA DE ALTOS LOGROS Y DEPORTE ASOCIADO</v>
      </c>
      <c r="D1652" s="47" t="str">
        <f>+IF(PAA_4[[#This Row],[UNIDAD DE CONTRATACION (formulado)]]="Subgerencia Administrativa y Financiera","FUNCIONAMIENTO","INVERSIÓN")</f>
        <v>INVERSIÓN</v>
      </c>
      <c r="E1652" s="48" t="str">
        <f>VLOOKUP(Q1652,[2]PROYECTOS!$G$1:$K$32,5,0)</f>
        <v>APOYO_TÉCNICO_Y_PSICOSOCIAL_A_LOS_DEPORTISTAS_DE_ANTIOQUIA</v>
      </c>
      <c r="F1652" s="48">
        <f>VLOOKUP(E1652,[2]PROYECTOS!$K$1:$M$32,3,0)</f>
        <v>2021003050069</v>
      </c>
      <c r="G1652" s="371" t="s">
        <v>239</v>
      </c>
      <c r="H1652" s="49" t="str">
        <f>VLOOKUP(Q1652,[2]PROYECTOS!$V$1:$W$32,2,0)</f>
        <v>050069</v>
      </c>
      <c r="I1652" s="374">
        <v>19963006</v>
      </c>
      <c r="J1652" s="286" t="s">
        <v>1990</v>
      </c>
      <c r="K1652" s="47" t="str">
        <f t="shared" ca="1" si="560"/>
        <v>CONTRATADO</v>
      </c>
      <c r="L1652" s="372" t="s">
        <v>147</v>
      </c>
      <c r="M1652" s="58" t="s">
        <v>1297</v>
      </c>
      <c r="N1652" s="344" t="s">
        <v>240</v>
      </c>
      <c r="O1652" s="51" t="e">
        <f>VLOOKUP(N1652,[2]!RUBROS[#All],3,0)</f>
        <v>#REF!</v>
      </c>
      <c r="P1652" s="53" t="e">
        <f>VLOOKUP(N1652,[2]!RUBROS[#All],2,0)</f>
        <v>#REF!</v>
      </c>
      <c r="Q1652" s="47" t="str">
        <f t="shared" si="563"/>
        <v>22</v>
      </c>
      <c r="R1652" s="47" t="str">
        <f t="shared" si="564"/>
        <v>0-205400</v>
      </c>
      <c r="S1652" s="342">
        <v>122</v>
      </c>
      <c r="T1652" s="59" t="s">
        <v>1970</v>
      </c>
      <c r="U1652" s="326" t="e">
        <f ca="1">_xlfn.XLOOKUP(PAA_4[[#This Row],[ITEM]],[2]Contrato!A:A,[2]Contrato!Q:Q,"",0)</f>
        <v>#NAME?</v>
      </c>
      <c r="V1652" s="47" t="s">
        <v>95</v>
      </c>
      <c r="W1652" s="373" t="s">
        <v>1971</v>
      </c>
      <c r="X1652" s="373" t="s">
        <v>1972</v>
      </c>
      <c r="Y1652" s="55" t="e">
        <f ca="1">_xlfn.XLOOKUP(PAA_4[[#This Row],[ITEM]],[2]Contrato!A:A,[2]Contrato!B:B,"",0)</f>
        <v>#NAME?</v>
      </c>
      <c r="Z1652" s="47" t="e">
        <f ca="1">_xlfn.XLOOKUP(PAA_4[[#This Row],[ITEM]],[2]Contrato!A:A,[2]Contrato!G:G,"",0)</f>
        <v>#NAME?</v>
      </c>
      <c r="AA1652" s="47" t="e">
        <f ca="1">_xlfn.XLOOKUP(PAA_4[[#This Row],[ITEM]],[2]Contrato!A:A,[2]Contrato!T:T,"",0)</f>
        <v>#NAME?</v>
      </c>
      <c r="AB1652" s="55" t="e">
        <f ca="1">+MAX(PAA_4[[#This Row],[Comprometido Contrato]],PAA_4[[#This Row],[Comprometido Bolsa]])</f>
        <v>#NAME?</v>
      </c>
      <c r="AC1652" s="55" t="str">
        <f t="shared" ca="1" si="559"/>
        <v/>
      </c>
      <c r="AD1652" s="55" t="e">
        <f ca="1">IF(PAA_4[[#This Row],[ESTADO (formulado)]]="NO CONTRATADO",0,MAX(PAA_4[[#This Row],[Pago por Contrato]],PAA_4[[#This Row],[Pago por bolsa]]))</f>
        <v>#NAME?</v>
      </c>
      <c r="AE1652" s="55" t="str">
        <f t="shared" ca="1" si="561"/>
        <v/>
      </c>
      <c r="AF1652" s="47" t="e">
        <f t="shared" ca="1" si="565"/>
        <v>#NAME?</v>
      </c>
      <c r="AG1652" s="47">
        <f t="shared" si="562"/>
        <v>41080101</v>
      </c>
      <c r="AH1652" s="54" t="str">
        <f>IF(Q1652="22",IF(ISNUMBER(SEARCH("econ",PAA_4[[#This Row],[Actividad3]])),"Económico",IF(ISNUMBER(SEARCH("alim",PAA_4[[#This Row],[Actividad3]])),"Alimentación",IF(ISNUMBER(SEARCH("educ",PAA_4[[#This Row],[Actividad3]])),"Educativo","Técnico"))),0)</f>
        <v>Técnico</v>
      </c>
      <c r="AI1652" s="47" t="e" cm="1">
        <f t="array" aca="1" ref="AI1652" ca="1">_xlfn.XLOOKUP(PAA_4[[#This Row],[RCP-RUBRO]],[2]!COMPROMISOS_2024[[#All],[concatenado]],[2]!COMPROMISOS_2024[[#All],[Total pagado]],"",0)</f>
        <v>#NAME?</v>
      </c>
      <c r="AJ1652" s="56" t="e">
        <f ca="1">IF(PAA_4[[#This Row],[BOLSA]]=0,0,SUMIFS([2]!COMPROMISOS_2024[[#All],[Total pagado]],[2]!COMPROMISOS_2024[[#All],[Bolsa]],PAA_4[[#This Row],[BOLSA]],[2]!COMPROMISOS_2024[[#All],[rubro]],PAA_4[[#This Row],[RCP-RUBRO]]))</f>
        <v>#REF!</v>
      </c>
      <c r="AK1652" s="47" t="e" cm="1">
        <f t="array" aca="1" ref="AK1652" ca="1">_xlfn.XLOOKUP(PAA_4[[#This Row],[RCP-RUBRO]],[2]!COMPROMISOS_2024[[#All],[concatenado]],[2]!COMPROMISOS_2024[[#All],[Total Comprometido]],"",0)</f>
        <v>#NAME?</v>
      </c>
      <c r="AL1652" s="47" t="e">
        <f ca="1">IF(PAA_4[[#This Row],[BOLSA]]=0,0,SUMIFS([2]!COMPROMISOS_2024[[#All],[Total Comprometido]],[2]!COMPROMISOS_2024[[#All],[Bolsa]],PAA_4[[#This Row],[BOLSA]],[2]!COMPROMISOS_2024[[#All],[concatenado]],PAA_4[[#This Row],[RCP-RUBRO]]))</f>
        <v>#REF!</v>
      </c>
    </row>
    <row r="1653" spans="1:38" s="19" customFormat="1" ht="31.5" customHeight="1">
      <c r="A1653" s="47">
        <v>904</v>
      </c>
      <c r="B1653" s="344">
        <v>80111600</v>
      </c>
      <c r="C1653" s="47" t="str">
        <f>VLOOKUP(PAA_4[[#This Row],[PROYECTO (formulado)2]],[2]PROYECTOS!$G$1:$L$32,6,0)</f>
        <v>SUBGERENCIA DE ALTOS LOGROS Y DEPORTE ASOCIADO</v>
      </c>
      <c r="D1653" s="47" t="str">
        <f>+IF(PAA_4[[#This Row],[UNIDAD DE CONTRATACION (formulado)]]="Subgerencia Administrativa y Financiera","FUNCIONAMIENTO","INVERSIÓN")</f>
        <v>INVERSIÓN</v>
      </c>
      <c r="E1653" s="48" t="str">
        <f>VLOOKUP(Q1653,[2]PROYECTOS!$G$1:$K$32,5,0)</f>
        <v>APOYO_TÉCNICO_Y_PSICOSOCIAL_A_LOS_DEPORTISTAS_DE_ANTIOQUIA</v>
      </c>
      <c r="F1653" s="48">
        <f>VLOOKUP(E1653,[2]PROYECTOS!$K$1:$M$32,3,0)</f>
        <v>2021003050069</v>
      </c>
      <c r="G1653" s="371" t="s">
        <v>239</v>
      </c>
      <c r="H1653" s="49" t="str">
        <f>VLOOKUP(Q1653,[2]PROYECTOS!$V$1:$W$32,2,0)</f>
        <v>050069</v>
      </c>
      <c r="I1653" s="374">
        <v>16073020</v>
      </c>
      <c r="J1653" s="286" t="s">
        <v>1990</v>
      </c>
      <c r="K1653" s="47" t="str">
        <f t="shared" ca="1" si="560"/>
        <v>CONTRATADO</v>
      </c>
      <c r="L1653" s="372" t="s">
        <v>147</v>
      </c>
      <c r="M1653" s="58" t="s">
        <v>1297</v>
      </c>
      <c r="N1653" s="344" t="s">
        <v>240</v>
      </c>
      <c r="O1653" s="51" t="e">
        <f>VLOOKUP(N1653,[2]!RUBROS[#All],3,0)</f>
        <v>#REF!</v>
      </c>
      <c r="P1653" s="53" t="e">
        <f>VLOOKUP(N1653,[2]!RUBROS[#All],2,0)</f>
        <v>#REF!</v>
      </c>
      <c r="Q1653" s="47" t="str">
        <f t="shared" si="563"/>
        <v>22</v>
      </c>
      <c r="R1653" s="47" t="str">
        <f t="shared" si="564"/>
        <v>0-205400</v>
      </c>
      <c r="S1653" s="342">
        <v>122</v>
      </c>
      <c r="T1653" s="59" t="s">
        <v>1970</v>
      </c>
      <c r="U1653" s="326" t="e">
        <f ca="1">_xlfn.XLOOKUP(PAA_4[[#This Row],[ITEM]],[2]Contrato!A:A,[2]Contrato!Q:Q,"",0)</f>
        <v>#NAME?</v>
      </c>
      <c r="V1653" s="47" t="s">
        <v>95</v>
      </c>
      <c r="W1653" s="373" t="s">
        <v>1971</v>
      </c>
      <c r="X1653" s="373" t="s">
        <v>1972</v>
      </c>
      <c r="Y1653" s="55" t="e">
        <f ca="1">_xlfn.XLOOKUP(PAA_4[[#This Row],[ITEM]],[2]Contrato!A:A,[2]Contrato!B:B,"",0)</f>
        <v>#NAME?</v>
      </c>
      <c r="Z1653" s="47" t="e">
        <f ca="1">_xlfn.XLOOKUP(PAA_4[[#This Row],[ITEM]],[2]Contrato!A:A,[2]Contrato!G:G,"",0)</f>
        <v>#NAME?</v>
      </c>
      <c r="AA1653" s="47" t="e">
        <f ca="1">_xlfn.XLOOKUP(PAA_4[[#This Row],[ITEM]],[2]Contrato!A:A,[2]Contrato!T:T,"",0)</f>
        <v>#NAME?</v>
      </c>
      <c r="AB1653" s="55" t="e">
        <f ca="1">+MAX(PAA_4[[#This Row],[Comprometido Contrato]],PAA_4[[#This Row],[Comprometido Bolsa]])</f>
        <v>#NAME?</v>
      </c>
      <c r="AC1653" s="55" t="str">
        <f t="shared" ca="1" si="559"/>
        <v/>
      </c>
      <c r="AD1653" s="55" t="e">
        <f ca="1">IF(PAA_4[[#This Row],[ESTADO (formulado)]]="NO CONTRATADO",0,MAX(PAA_4[[#This Row],[Pago por Contrato]],PAA_4[[#This Row],[Pago por bolsa]]))</f>
        <v>#NAME?</v>
      </c>
      <c r="AE1653" s="55" t="str">
        <f t="shared" ca="1" si="561"/>
        <v/>
      </c>
      <c r="AF1653" s="47" t="e">
        <f t="shared" ca="1" si="565"/>
        <v>#NAME?</v>
      </c>
      <c r="AG1653" s="47">
        <f t="shared" si="562"/>
        <v>41080101</v>
      </c>
      <c r="AH1653" s="54" t="str">
        <f>IF(Q1653="22",IF(ISNUMBER(SEARCH("econ",PAA_4[[#This Row],[Actividad3]])),"Económico",IF(ISNUMBER(SEARCH("alim",PAA_4[[#This Row],[Actividad3]])),"Alimentación",IF(ISNUMBER(SEARCH("educ",PAA_4[[#This Row],[Actividad3]])),"Educativo","Técnico"))),0)</f>
        <v>Técnico</v>
      </c>
      <c r="AI1653" s="47" t="e" cm="1">
        <f t="array" aca="1" ref="AI1653" ca="1">_xlfn.XLOOKUP(PAA_4[[#This Row],[RCP-RUBRO]],[2]!COMPROMISOS_2024[[#All],[concatenado]],[2]!COMPROMISOS_2024[[#All],[Total pagado]],"",0)</f>
        <v>#NAME?</v>
      </c>
      <c r="AJ1653" s="56" t="e">
        <f ca="1">IF(PAA_4[[#This Row],[BOLSA]]=0,0,SUMIFS([2]!COMPROMISOS_2024[[#All],[Total pagado]],[2]!COMPROMISOS_2024[[#All],[Bolsa]],PAA_4[[#This Row],[BOLSA]],[2]!COMPROMISOS_2024[[#All],[rubro]],PAA_4[[#This Row],[RCP-RUBRO]]))</f>
        <v>#REF!</v>
      </c>
      <c r="AK1653" s="47" t="e" cm="1">
        <f t="array" aca="1" ref="AK1653" ca="1">_xlfn.XLOOKUP(PAA_4[[#This Row],[RCP-RUBRO]],[2]!COMPROMISOS_2024[[#All],[concatenado]],[2]!COMPROMISOS_2024[[#All],[Total Comprometido]],"",0)</f>
        <v>#NAME?</v>
      </c>
      <c r="AL1653" s="47" t="e">
        <f ca="1">IF(PAA_4[[#This Row],[BOLSA]]=0,0,SUMIFS([2]!COMPROMISOS_2024[[#All],[Total Comprometido]],[2]!COMPROMISOS_2024[[#All],[Bolsa]],PAA_4[[#This Row],[BOLSA]],[2]!COMPROMISOS_2024[[#All],[concatenado]],PAA_4[[#This Row],[RCP-RUBRO]]))</f>
        <v>#REF!</v>
      </c>
    </row>
    <row r="1654" spans="1:38" s="19" customFormat="1" ht="31.5" customHeight="1">
      <c r="A1654" s="47">
        <v>905</v>
      </c>
      <c r="B1654" s="344">
        <v>80111600</v>
      </c>
      <c r="C1654" s="47" t="str">
        <f>VLOOKUP(PAA_4[[#This Row],[PROYECTO (formulado)2]],[2]PROYECTOS!$G$1:$L$32,6,0)</f>
        <v>SUBGERENCIA DE ALTOS LOGROS Y DEPORTE ASOCIADO</v>
      </c>
      <c r="D1654" s="47" t="str">
        <f>+IF(PAA_4[[#This Row],[UNIDAD DE CONTRATACION (formulado)]]="Subgerencia Administrativa y Financiera","FUNCIONAMIENTO","INVERSIÓN")</f>
        <v>INVERSIÓN</v>
      </c>
      <c r="E1654" s="48" t="str">
        <f>VLOOKUP(Q1654,[2]PROYECTOS!$G$1:$K$32,5,0)</f>
        <v>APOYO_TÉCNICO_Y_PSICOSOCIAL_A_LOS_DEPORTISTAS_DE_ANTIOQUIA</v>
      </c>
      <c r="F1654" s="48">
        <f>VLOOKUP(E1654,[2]PROYECTOS!$K$1:$M$32,3,0)</f>
        <v>2021003050069</v>
      </c>
      <c r="G1654" s="371" t="s">
        <v>239</v>
      </c>
      <c r="H1654" s="49" t="str">
        <f>VLOOKUP(Q1654,[2]PROYECTOS!$V$1:$W$32,2,0)</f>
        <v>050069</v>
      </c>
      <c r="I1654" s="374">
        <v>16073020</v>
      </c>
      <c r="J1654" s="286" t="s">
        <v>1990</v>
      </c>
      <c r="K1654" s="47" t="str">
        <f t="shared" ca="1" si="560"/>
        <v>CONTRATADO</v>
      </c>
      <c r="L1654" s="372" t="s">
        <v>147</v>
      </c>
      <c r="M1654" s="58" t="s">
        <v>1297</v>
      </c>
      <c r="N1654" s="344" t="s">
        <v>240</v>
      </c>
      <c r="O1654" s="51" t="e">
        <f>VLOOKUP(N1654,[2]!RUBROS[#All],3,0)</f>
        <v>#REF!</v>
      </c>
      <c r="P1654" s="53" t="e">
        <f>VLOOKUP(N1654,[2]!RUBROS[#All],2,0)</f>
        <v>#REF!</v>
      </c>
      <c r="Q1654" s="47" t="str">
        <f t="shared" si="563"/>
        <v>22</v>
      </c>
      <c r="R1654" s="47" t="str">
        <f t="shared" si="564"/>
        <v>0-205400</v>
      </c>
      <c r="S1654" s="342">
        <v>122</v>
      </c>
      <c r="T1654" s="59" t="s">
        <v>1970</v>
      </c>
      <c r="U1654" s="326" t="e">
        <f ca="1">_xlfn.XLOOKUP(PAA_4[[#This Row],[ITEM]],[2]Contrato!A:A,[2]Contrato!Q:Q,"",0)</f>
        <v>#NAME?</v>
      </c>
      <c r="V1654" s="47" t="s">
        <v>95</v>
      </c>
      <c r="W1654" s="373" t="s">
        <v>1971</v>
      </c>
      <c r="X1654" s="373" t="s">
        <v>1972</v>
      </c>
      <c r="Y1654" s="55" t="e">
        <f ca="1">_xlfn.XLOOKUP(PAA_4[[#This Row],[ITEM]],[2]Contrato!A:A,[2]Contrato!B:B,"",0)</f>
        <v>#NAME?</v>
      </c>
      <c r="Z1654" s="47" t="e">
        <f ca="1">_xlfn.XLOOKUP(PAA_4[[#This Row],[ITEM]],[2]Contrato!A:A,[2]Contrato!G:G,"",0)</f>
        <v>#NAME?</v>
      </c>
      <c r="AA1654" s="47" t="e">
        <f ca="1">_xlfn.XLOOKUP(PAA_4[[#This Row],[ITEM]],[2]Contrato!A:A,[2]Contrato!T:T,"",0)</f>
        <v>#NAME?</v>
      </c>
      <c r="AB1654" s="55" t="e">
        <f ca="1">+MAX(PAA_4[[#This Row],[Comprometido Contrato]],PAA_4[[#This Row],[Comprometido Bolsa]])</f>
        <v>#NAME?</v>
      </c>
      <c r="AC1654" s="55" t="str">
        <f t="shared" ca="1" si="559"/>
        <v/>
      </c>
      <c r="AD1654" s="55" t="e">
        <f ca="1">IF(PAA_4[[#This Row],[ESTADO (formulado)]]="NO CONTRATADO",0,MAX(PAA_4[[#This Row],[Pago por Contrato]],PAA_4[[#This Row],[Pago por bolsa]]))</f>
        <v>#NAME?</v>
      </c>
      <c r="AE1654" s="55" t="str">
        <f t="shared" ca="1" si="561"/>
        <v/>
      </c>
      <c r="AF1654" s="47" t="e">
        <f t="shared" ca="1" si="565"/>
        <v>#NAME?</v>
      </c>
      <c r="AG1654" s="47">
        <f t="shared" si="562"/>
        <v>41080101</v>
      </c>
      <c r="AH1654" s="54" t="str">
        <f>IF(Q1654="22",IF(ISNUMBER(SEARCH("econ",PAA_4[[#This Row],[Actividad3]])),"Económico",IF(ISNUMBER(SEARCH("alim",PAA_4[[#This Row],[Actividad3]])),"Alimentación",IF(ISNUMBER(SEARCH("educ",PAA_4[[#This Row],[Actividad3]])),"Educativo","Técnico"))),0)</f>
        <v>Técnico</v>
      </c>
      <c r="AI1654" s="47" t="e" cm="1">
        <f t="array" aca="1" ref="AI1654" ca="1">_xlfn.XLOOKUP(PAA_4[[#This Row],[RCP-RUBRO]],[2]!COMPROMISOS_2024[[#All],[concatenado]],[2]!COMPROMISOS_2024[[#All],[Total pagado]],"",0)</f>
        <v>#NAME?</v>
      </c>
      <c r="AJ1654" s="56" t="e">
        <f ca="1">IF(PAA_4[[#This Row],[BOLSA]]=0,0,SUMIFS([2]!COMPROMISOS_2024[[#All],[Total pagado]],[2]!COMPROMISOS_2024[[#All],[Bolsa]],PAA_4[[#This Row],[BOLSA]],[2]!COMPROMISOS_2024[[#All],[rubro]],PAA_4[[#This Row],[RCP-RUBRO]]))</f>
        <v>#REF!</v>
      </c>
      <c r="AK1654" s="47" t="e" cm="1">
        <f t="array" aca="1" ref="AK1654" ca="1">_xlfn.XLOOKUP(PAA_4[[#This Row],[RCP-RUBRO]],[2]!COMPROMISOS_2024[[#All],[concatenado]],[2]!COMPROMISOS_2024[[#All],[Total Comprometido]],"",0)</f>
        <v>#NAME?</v>
      </c>
      <c r="AL1654" s="47" t="e">
        <f ca="1">IF(PAA_4[[#This Row],[BOLSA]]=0,0,SUMIFS([2]!COMPROMISOS_2024[[#All],[Total Comprometido]],[2]!COMPROMISOS_2024[[#All],[Bolsa]],PAA_4[[#This Row],[BOLSA]],[2]!COMPROMISOS_2024[[#All],[concatenado]],PAA_4[[#This Row],[RCP-RUBRO]]))</f>
        <v>#REF!</v>
      </c>
    </row>
    <row r="1655" spans="1:38" s="19" customFormat="1" ht="31.5" customHeight="1">
      <c r="A1655" s="47" t="s">
        <v>82</v>
      </c>
      <c r="B1655" s="366" t="s">
        <v>42</v>
      </c>
      <c r="C1655" s="47" t="str">
        <f>VLOOKUP(PAA_4[[#This Row],[PROYECTO (formulado)2]],[2]PROYECTOS!$G$1:$L$32,6,0)</f>
        <v>SUBGERENCIA DE ALTOS LOGROS Y DEPORTE ASOCIADO</v>
      </c>
      <c r="D1655" s="47" t="str">
        <f>+IF(PAA_4[[#This Row],[UNIDAD DE CONTRATACION (formulado)]]="Subgerencia Administrativa y Financiera","FUNCIONAMIENTO","INVERSIÓN")</f>
        <v>INVERSIÓN</v>
      </c>
      <c r="E1655" s="48" t="str">
        <f>VLOOKUP(Q1655,[2]PROYECTOS!$G$1:$K$32,5,0)</f>
        <v>APOYO_TÉCNICO_Y_PSICOSOCIAL_A_LOS_DEPORTISTAS_DE_ANTIOQUIA</v>
      </c>
      <c r="F1655" s="48">
        <f>VLOOKUP(E1655,[2]PROYECTOS!$K$1:$M$32,3,0)</f>
        <v>2021003050069</v>
      </c>
      <c r="G1655" s="371" t="s">
        <v>241</v>
      </c>
      <c r="H1655" s="49" t="str">
        <f>VLOOKUP(Q1655,[2]PROYECTOS!$V$1:$W$32,2,0)</f>
        <v>050069</v>
      </c>
      <c r="I1655" s="374">
        <v>0</v>
      </c>
      <c r="J1655" s="366" t="s">
        <v>1778</v>
      </c>
      <c r="K1655" s="47" t="str">
        <f t="shared" ca="1" si="560"/>
        <v>CONTRATADO</v>
      </c>
      <c r="L1655" s="58" t="s">
        <v>42</v>
      </c>
      <c r="M1655" s="58" t="s">
        <v>42</v>
      </c>
      <c r="N1655" s="344" t="s">
        <v>240</v>
      </c>
      <c r="O1655" s="51" t="e">
        <f>VLOOKUP(N1655,[2]!RUBROS[#All],3,0)</f>
        <v>#REF!</v>
      </c>
      <c r="P1655" s="53" t="e">
        <f>VLOOKUP(N1655,[2]!RUBROS[#All],2,0)</f>
        <v>#REF!</v>
      </c>
      <c r="Q1655" s="47" t="str">
        <f t="shared" si="563"/>
        <v>22</v>
      </c>
      <c r="R1655" s="47" t="str">
        <f t="shared" si="564"/>
        <v>0-205400</v>
      </c>
      <c r="S1655" s="357" t="s">
        <v>42</v>
      </c>
      <c r="T1655" s="59" t="s">
        <v>42</v>
      </c>
      <c r="U1655" s="326" t="e">
        <f ca="1">_xlfn.XLOOKUP(PAA_4[[#This Row],[ITEM]],[2]Contrato!A:A,[2]Contrato!Q:Q,"",0)</f>
        <v>#NAME?</v>
      </c>
      <c r="V1655" s="47" t="s">
        <v>95</v>
      </c>
      <c r="W1655" s="375" t="s">
        <v>42</v>
      </c>
      <c r="X1655" s="375" t="s">
        <v>42</v>
      </c>
      <c r="Y1655" s="55" t="e">
        <f ca="1">_xlfn.XLOOKUP(PAA_4[[#This Row],[ITEM]],[2]Contrato!A:A,[2]Contrato!B:B,"",0)</f>
        <v>#NAME?</v>
      </c>
      <c r="Z1655" s="47" t="e">
        <f ca="1">_xlfn.XLOOKUP(PAA_4[[#This Row],[ITEM]],[2]Contrato!A:A,[2]Contrato!G:G,"",0)</f>
        <v>#NAME?</v>
      </c>
      <c r="AA1655" s="47" t="e">
        <f ca="1">_xlfn.XLOOKUP(PAA_4[[#This Row],[ITEM]],[2]Contrato!A:A,[2]Contrato!T:T,"",0)</f>
        <v>#NAME?</v>
      </c>
      <c r="AB1655" s="55" t="e">
        <f ca="1">+MAX(PAA_4[[#This Row],[Comprometido Contrato]],PAA_4[[#This Row],[Comprometido Bolsa]])</f>
        <v>#NAME?</v>
      </c>
      <c r="AC1655" s="55" t="str">
        <f t="shared" ca="1" si="559"/>
        <v/>
      </c>
      <c r="AD1655" s="55" t="e">
        <f ca="1">IF(PAA_4[[#This Row],[ESTADO (formulado)]]="NO CONTRATADO",0,MAX(PAA_4[[#This Row],[Pago por Contrato]],PAA_4[[#This Row],[Pago por bolsa]]))</f>
        <v>#NAME?</v>
      </c>
      <c r="AE1655" s="55" t="str">
        <f t="shared" ca="1" si="561"/>
        <v/>
      </c>
      <c r="AF1655" s="47" t="e">
        <f t="shared" ca="1" si="565"/>
        <v>#NAME?</v>
      </c>
      <c r="AG1655" s="47">
        <f t="shared" si="562"/>
        <v>41080106</v>
      </c>
      <c r="AH1655" s="54" t="str">
        <f>IF(Q1655="22",IF(ISNUMBER(SEARCH("econ",PAA_4[[#This Row],[Actividad3]])),"Económico",IF(ISNUMBER(SEARCH("alim",PAA_4[[#This Row],[Actividad3]])),"Alimentación",IF(ISNUMBER(SEARCH("educ",PAA_4[[#This Row],[Actividad3]])),"Educativo","Técnico"))),0)</f>
        <v>Técnico</v>
      </c>
      <c r="AI1655" s="47" t="e" cm="1">
        <f t="array" aca="1" ref="AI1655" ca="1">_xlfn.XLOOKUP(PAA_4[[#This Row],[RCP-RUBRO]],[2]!COMPROMISOS_2024[[#All],[concatenado]],[2]!COMPROMISOS_2024[[#All],[Total pagado]],"",0)</f>
        <v>#NAME?</v>
      </c>
      <c r="AJ1655" s="56" t="e">
        <f ca="1">IF(PAA_4[[#This Row],[BOLSA]]=0,0,SUMIFS([2]!COMPROMISOS_2024[[#All],[Total pagado]],[2]!COMPROMISOS_2024[[#All],[Bolsa]],PAA_4[[#This Row],[BOLSA]],[2]!COMPROMISOS_2024[[#All],[rubro]],PAA_4[[#This Row],[RCP-RUBRO]]))</f>
        <v>#REF!</v>
      </c>
      <c r="AK1655" s="47" t="e" cm="1">
        <f t="array" aca="1" ref="AK1655" ca="1">_xlfn.XLOOKUP(PAA_4[[#This Row],[RCP-RUBRO]],[2]!COMPROMISOS_2024[[#All],[concatenado]],[2]!COMPROMISOS_2024[[#All],[Total Comprometido]],"",0)</f>
        <v>#NAME?</v>
      </c>
      <c r="AL1655" s="47" t="e">
        <f ca="1">IF(PAA_4[[#This Row],[BOLSA]]=0,0,SUMIFS([2]!COMPROMISOS_2024[[#All],[Total Comprometido]],[2]!COMPROMISOS_2024[[#All],[Bolsa]],PAA_4[[#This Row],[BOLSA]],[2]!COMPROMISOS_2024[[#All],[concatenado]],PAA_4[[#This Row],[RCP-RUBRO]]))</f>
        <v>#REF!</v>
      </c>
    </row>
    <row r="1656" spans="1:38" s="19" customFormat="1" ht="31.5" customHeight="1">
      <c r="A1656" s="47">
        <v>906</v>
      </c>
      <c r="B1656" s="344">
        <v>80111600</v>
      </c>
      <c r="C1656" s="47" t="str">
        <f>VLOOKUP(PAA_4[[#This Row],[PROYECTO (formulado)2]],[2]PROYECTOS!$G$1:$L$32,6,0)</f>
        <v>SUBGERENCIA DE ALTOS LOGROS Y DEPORTE ASOCIADO</v>
      </c>
      <c r="D1656" s="47" t="str">
        <f>+IF(PAA_4[[#This Row],[UNIDAD DE CONTRATACION (formulado)]]="Subgerencia Administrativa y Financiera","FUNCIONAMIENTO","INVERSIÓN")</f>
        <v>INVERSIÓN</v>
      </c>
      <c r="E1656" s="48" t="str">
        <f>VLOOKUP(Q1656,[2]PROYECTOS!$G$1:$K$32,5,0)</f>
        <v>APOYO_TÉCNICO_Y_PSICOSOCIAL_A_LOS_DEPORTISTAS_DE_ANTIOQUIA</v>
      </c>
      <c r="F1656" s="48">
        <f>VLOOKUP(E1656,[2]PROYECTOS!$K$1:$M$32,3,0)</f>
        <v>2021003050069</v>
      </c>
      <c r="G1656" s="371" t="s">
        <v>241</v>
      </c>
      <c r="H1656" s="49" t="str">
        <f>VLOOKUP(Q1656,[2]PROYECTOS!$V$1:$W$32,2,0)</f>
        <v>050069</v>
      </c>
      <c r="I1656" s="374">
        <f>23714292-7641272</f>
        <v>16073020</v>
      </c>
      <c r="J1656" s="286" t="s">
        <v>1979</v>
      </c>
      <c r="K1656" s="47" t="str">
        <f t="shared" ca="1" si="560"/>
        <v>CONTRATADO</v>
      </c>
      <c r="L1656" s="372" t="s">
        <v>147</v>
      </c>
      <c r="M1656" s="58" t="s">
        <v>1297</v>
      </c>
      <c r="N1656" s="344" t="s">
        <v>240</v>
      </c>
      <c r="O1656" s="51" t="e">
        <f>VLOOKUP(N1656,[2]!RUBROS[#All],3,0)</f>
        <v>#REF!</v>
      </c>
      <c r="P1656" s="53" t="e">
        <f>VLOOKUP(N1656,[2]!RUBROS[#All],2,0)</f>
        <v>#REF!</v>
      </c>
      <c r="Q1656" s="47" t="str">
        <f t="shared" si="563"/>
        <v>22</v>
      </c>
      <c r="R1656" s="47" t="str">
        <f t="shared" si="564"/>
        <v>0-205400</v>
      </c>
      <c r="S1656" s="357">
        <v>122</v>
      </c>
      <c r="T1656" s="59" t="s">
        <v>1970</v>
      </c>
      <c r="U1656" s="326" t="e">
        <f ca="1">_xlfn.XLOOKUP(PAA_4[[#This Row],[ITEM]],[2]Contrato!A:A,[2]Contrato!Q:Q,"",0)</f>
        <v>#NAME?</v>
      </c>
      <c r="V1656" s="47" t="s">
        <v>95</v>
      </c>
      <c r="W1656" s="373" t="s">
        <v>1971</v>
      </c>
      <c r="X1656" s="373" t="s">
        <v>1972</v>
      </c>
      <c r="Y1656" s="55" t="e">
        <f ca="1">_xlfn.XLOOKUP(PAA_4[[#This Row],[ITEM]],[2]Contrato!A:A,[2]Contrato!B:B,"",0)</f>
        <v>#NAME?</v>
      </c>
      <c r="Z1656" s="47" t="e">
        <f ca="1">_xlfn.XLOOKUP(PAA_4[[#This Row],[ITEM]],[2]Contrato!A:A,[2]Contrato!G:G,"",0)</f>
        <v>#NAME?</v>
      </c>
      <c r="AA1656" s="47" t="e">
        <f ca="1">_xlfn.XLOOKUP(PAA_4[[#This Row],[ITEM]],[2]Contrato!A:A,[2]Contrato!T:T,"",0)</f>
        <v>#NAME?</v>
      </c>
      <c r="AB1656" s="55" t="e">
        <f ca="1">+MAX(PAA_4[[#This Row],[Comprometido Contrato]],PAA_4[[#This Row],[Comprometido Bolsa]])</f>
        <v>#NAME?</v>
      </c>
      <c r="AC1656" s="55" t="str">
        <f t="shared" ca="1" si="559"/>
        <v/>
      </c>
      <c r="AD1656" s="55" t="e">
        <f ca="1">IF(PAA_4[[#This Row],[ESTADO (formulado)]]="NO CONTRATADO",0,MAX(PAA_4[[#This Row],[Pago por Contrato]],PAA_4[[#This Row],[Pago por bolsa]]))</f>
        <v>#NAME?</v>
      </c>
      <c r="AE1656" s="55" t="str">
        <f t="shared" ca="1" si="561"/>
        <v/>
      </c>
      <c r="AF1656" s="47" t="e">
        <f t="shared" ca="1" si="565"/>
        <v>#NAME?</v>
      </c>
      <c r="AG1656" s="47">
        <f t="shared" si="562"/>
        <v>41080106</v>
      </c>
      <c r="AH1656" s="54" t="str">
        <f>IF(Q1656="22",IF(ISNUMBER(SEARCH("econ",PAA_4[[#This Row],[Actividad3]])),"Económico",IF(ISNUMBER(SEARCH("alim",PAA_4[[#This Row],[Actividad3]])),"Alimentación",IF(ISNUMBER(SEARCH("educ",PAA_4[[#This Row],[Actividad3]])),"Educativo","Técnico"))),0)</f>
        <v>Técnico</v>
      </c>
      <c r="AI1656" s="47" t="e" cm="1">
        <f t="array" aca="1" ref="AI1656" ca="1">_xlfn.XLOOKUP(PAA_4[[#This Row],[RCP-RUBRO]],[2]!COMPROMISOS_2024[[#All],[concatenado]],[2]!COMPROMISOS_2024[[#All],[Total pagado]],"",0)</f>
        <v>#NAME?</v>
      </c>
      <c r="AJ1656" s="56" t="e">
        <f ca="1">IF(PAA_4[[#This Row],[BOLSA]]=0,0,SUMIFS([2]!COMPROMISOS_2024[[#All],[Total pagado]],[2]!COMPROMISOS_2024[[#All],[Bolsa]],PAA_4[[#This Row],[BOLSA]],[2]!COMPROMISOS_2024[[#All],[rubro]],PAA_4[[#This Row],[RCP-RUBRO]]))</f>
        <v>#REF!</v>
      </c>
      <c r="AK1656" s="47" t="e" cm="1">
        <f t="array" aca="1" ref="AK1656" ca="1">_xlfn.XLOOKUP(PAA_4[[#This Row],[RCP-RUBRO]],[2]!COMPROMISOS_2024[[#All],[concatenado]],[2]!COMPROMISOS_2024[[#All],[Total Comprometido]],"",0)</f>
        <v>#NAME?</v>
      </c>
      <c r="AL1656" s="47" t="e">
        <f ca="1">IF(PAA_4[[#This Row],[BOLSA]]=0,0,SUMIFS([2]!COMPROMISOS_2024[[#All],[Total Comprometido]],[2]!COMPROMISOS_2024[[#All],[Bolsa]],PAA_4[[#This Row],[BOLSA]],[2]!COMPROMISOS_2024[[#All],[concatenado]],PAA_4[[#This Row],[RCP-RUBRO]]))</f>
        <v>#REF!</v>
      </c>
    </row>
    <row r="1657" spans="1:38" s="19" customFormat="1" ht="31.5" customHeight="1">
      <c r="A1657" s="47">
        <v>907</v>
      </c>
      <c r="B1657" s="344">
        <v>80111600</v>
      </c>
      <c r="C1657" s="47" t="str">
        <f>VLOOKUP(PAA_4[[#This Row],[PROYECTO (formulado)2]],[2]PROYECTOS!$G$1:$L$32,6,0)</f>
        <v>SUBGERENCIA DE ALTOS LOGROS Y DEPORTE ASOCIADO</v>
      </c>
      <c r="D1657" s="47" t="str">
        <f>+IF(PAA_4[[#This Row],[UNIDAD DE CONTRATACION (formulado)]]="Subgerencia Administrativa y Financiera","FUNCIONAMIENTO","INVERSIÓN")</f>
        <v>INVERSIÓN</v>
      </c>
      <c r="E1657" s="48" t="str">
        <f>VLOOKUP(Q1657,[2]PROYECTOS!$G$1:$K$32,5,0)</f>
        <v>APOYO_TÉCNICO_Y_PSICOSOCIAL_A_LOS_DEPORTISTAS_DE_ANTIOQUIA</v>
      </c>
      <c r="F1657" s="48">
        <f>VLOOKUP(E1657,[2]PROYECTOS!$K$1:$M$32,3,0)</f>
        <v>2021003050069</v>
      </c>
      <c r="G1657" s="371" t="s">
        <v>239</v>
      </c>
      <c r="H1657" s="49" t="str">
        <f>VLOOKUP(Q1657,[2]PROYECTOS!$V$1:$W$32,2,0)</f>
        <v>050069</v>
      </c>
      <c r="I1657" s="374">
        <v>24120006</v>
      </c>
      <c r="J1657" s="286" t="s">
        <v>1991</v>
      </c>
      <c r="K1657" s="47" t="str">
        <f t="shared" ca="1" si="560"/>
        <v>CONTRATADO</v>
      </c>
      <c r="L1657" s="372" t="s">
        <v>147</v>
      </c>
      <c r="M1657" s="58" t="s">
        <v>1297</v>
      </c>
      <c r="N1657" s="344" t="s">
        <v>240</v>
      </c>
      <c r="O1657" s="51" t="e">
        <f>VLOOKUP(N1657,[2]!RUBROS[#All],3,0)</f>
        <v>#REF!</v>
      </c>
      <c r="P1657" s="53" t="e">
        <f>VLOOKUP(N1657,[2]!RUBROS[#All],2,0)</f>
        <v>#REF!</v>
      </c>
      <c r="Q1657" s="47" t="str">
        <f t="shared" si="563"/>
        <v>22</v>
      </c>
      <c r="R1657" s="47" t="str">
        <f t="shared" si="564"/>
        <v>0-205400</v>
      </c>
      <c r="S1657" s="342">
        <v>122</v>
      </c>
      <c r="T1657" s="59" t="s">
        <v>1970</v>
      </c>
      <c r="U1657" s="326" t="e">
        <f ca="1">_xlfn.XLOOKUP(PAA_4[[#This Row],[ITEM]],[2]Contrato!A:A,[2]Contrato!Q:Q,"",0)</f>
        <v>#NAME?</v>
      </c>
      <c r="V1657" s="47" t="s">
        <v>95</v>
      </c>
      <c r="W1657" s="373" t="s">
        <v>1971</v>
      </c>
      <c r="X1657" s="373" t="s">
        <v>1972</v>
      </c>
      <c r="Y1657" s="55" t="e">
        <f ca="1">_xlfn.XLOOKUP(PAA_4[[#This Row],[ITEM]],[2]Contrato!A:A,[2]Contrato!B:B,"",0)</f>
        <v>#NAME?</v>
      </c>
      <c r="Z1657" s="47" t="e">
        <f ca="1">_xlfn.XLOOKUP(PAA_4[[#This Row],[ITEM]],[2]Contrato!A:A,[2]Contrato!G:G,"",0)</f>
        <v>#NAME?</v>
      </c>
      <c r="AA1657" s="47" t="e">
        <f ca="1">_xlfn.XLOOKUP(PAA_4[[#This Row],[ITEM]],[2]Contrato!A:A,[2]Contrato!T:T,"",0)</f>
        <v>#NAME?</v>
      </c>
      <c r="AB1657" s="55" t="e">
        <f ca="1">+MAX(PAA_4[[#This Row],[Comprometido Contrato]],PAA_4[[#This Row],[Comprometido Bolsa]])</f>
        <v>#NAME?</v>
      </c>
      <c r="AC1657" s="55" t="str">
        <f t="shared" ca="1" si="559"/>
        <v/>
      </c>
      <c r="AD1657" s="55" t="e">
        <f ca="1">IF(PAA_4[[#This Row],[ESTADO (formulado)]]="NO CONTRATADO",0,MAX(PAA_4[[#This Row],[Pago por Contrato]],PAA_4[[#This Row],[Pago por bolsa]]))</f>
        <v>#NAME?</v>
      </c>
      <c r="AE1657" s="55" t="str">
        <f t="shared" ca="1" si="561"/>
        <v/>
      </c>
      <c r="AF1657" s="47" t="e">
        <f t="shared" ca="1" si="565"/>
        <v>#NAME?</v>
      </c>
      <c r="AG1657" s="47">
        <f t="shared" si="562"/>
        <v>41080101</v>
      </c>
      <c r="AH1657" s="54" t="str">
        <f>IF(Q1657="22",IF(ISNUMBER(SEARCH("econ",PAA_4[[#This Row],[Actividad3]])),"Económico",IF(ISNUMBER(SEARCH("alim",PAA_4[[#This Row],[Actividad3]])),"Alimentación",IF(ISNUMBER(SEARCH("educ",PAA_4[[#This Row],[Actividad3]])),"Educativo","Técnico"))),0)</f>
        <v>Técnico</v>
      </c>
      <c r="AI1657" s="47" t="e" cm="1">
        <f t="array" aca="1" ref="AI1657" ca="1">_xlfn.XLOOKUP(PAA_4[[#This Row],[RCP-RUBRO]],[2]!COMPROMISOS_2024[[#All],[concatenado]],[2]!COMPROMISOS_2024[[#All],[Total pagado]],"",0)</f>
        <v>#NAME?</v>
      </c>
      <c r="AJ1657" s="56" t="e">
        <f ca="1">IF(PAA_4[[#This Row],[BOLSA]]=0,0,SUMIFS([2]!COMPROMISOS_2024[[#All],[Total pagado]],[2]!COMPROMISOS_2024[[#All],[Bolsa]],PAA_4[[#This Row],[BOLSA]],[2]!COMPROMISOS_2024[[#All],[rubro]],PAA_4[[#This Row],[RCP-RUBRO]]))</f>
        <v>#REF!</v>
      </c>
      <c r="AK1657" s="47" t="e" cm="1">
        <f t="array" aca="1" ref="AK1657" ca="1">_xlfn.XLOOKUP(PAA_4[[#This Row],[RCP-RUBRO]],[2]!COMPROMISOS_2024[[#All],[concatenado]],[2]!COMPROMISOS_2024[[#All],[Total Comprometido]],"",0)</f>
        <v>#NAME?</v>
      </c>
      <c r="AL1657" s="47" t="e">
        <f ca="1">IF(PAA_4[[#This Row],[BOLSA]]=0,0,SUMIFS([2]!COMPROMISOS_2024[[#All],[Total Comprometido]],[2]!COMPROMISOS_2024[[#All],[Bolsa]],PAA_4[[#This Row],[BOLSA]],[2]!COMPROMISOS_2024[[#All],[concatenado]],PAA_4[[#This Row],[RCP-RUBRO]]))</f>
        <v>#REF!</v>
      </c>
    </row>
    <row r="1658" spans="1:38" s="19" customFormat="1" ht="31.5" customHeight="1">
      <c r="A1658" s="47">
        <v>908</v>
      </c>
      <c r="B1658" s="344">
        <v>80111600</v>
      </c>
      <c r="C1658" s="47" t="str">
        <f>VLOOKUP(PAA_4[[#This Row],[PROYECTO (formulado)2]],[2]PROYECTOS!$G$1:$L$32,6,0)</f>
        <v>SUBGERENCIA DE ALTOS LOGROS Y DEPORTE ASOCIADO</v>
      </c>
      <c r="D1658" s="47" t="str">
        <f>+IF(PAA_4[[#This Row],[UNIDAD DE CONTRATACION (formulado)]]="Subgerencia Administrativa y Financiera","FUNCIONAMIENTO","INVERSIÓN")</f>
        <v>INVERSIÓN</v>
      </c>
      <c r="E1658" s="48" t="str">
        <f>VLOOKUP(Q1658,[2]PROYECTOS!$G$1:$K$32,5,0)</f>
        <v>APOYO_TÉCNICO_Y_PSICOSOCIAL_A_LOS_DEPORTISTAS_DE_ANTIOQUIA</v>
      </c>
      <c r="F1658" s="48">
        <f>VLOOKUP(E1658,[2]PROYECTOS!$K$1:$M$32,3,0)</f>
        <v>2021003050069</v>
      </c>
      <c r="G1658" s="371" t="s">
        <v>239</v>
      </c>
      <c r="H1658" s="49" t="str">
        <f>VLOOKUP(Q1658,[2]PROYECTOS!$V$1:$W$32,2,0)</f>
        <v>050069</v>
      </c>
      <c r="I1658" s="374">
        <v>32162311</v>
      </c>
      <c r="J1658" s="286" t="s">
        <v>1992</v>
      </c>
      <c r="K1658" s="47" t="str">
        <f t="shared" ca="1" si="560"/>
        <v>CONTRATADO</v>
      </c>
      <c r="L1658" s="372" t="s">
        <v>147</v>
      </c>
      <c r="M1658" s="58" t="s">
        <v>1297</v>
      </c>
      <c r="N1658" s="344" t="s">
        <v>240</v>
      </c>
      <c r="O1658" s="51" t="e">
        <f>VLOOKUP(N1658,[2]!RUBROS[#All],3,0)</f>
        <v>#REF!</v>
      </c>
      <c r="P1658" s="53" t="e">
        <f>VLOOKUP(N1658,[2]!RUBROS[#All],2,0)</f>
        <v>#REF!</v>
      </c>
      <c r="Q1658" s="47" t="str">
        <f t="shared" si="563"/>
        <v>22</v>
      </c>
      <c r="R1658" s="47" t="str">
        <f t="shared" si="564"/>
        <v>0-205400</v>
      </c>
      <c r="S1658" s="342">
        <v>122</v>
      </c>
      <c r="T1658" s="59" t="s">
        <v>1970</v>
      </c>
      <c r="U1658" s="326" t="e">
        <f ca="1">_xlfn.XLOOKUP(PAA_4[[#This Row],[ITEM]],[2]Contrato!A:A,[2]Contrato!Q:Q,"",0)</f>
        <v>#NAME?</v>
      </c>
      <c r="V1658" s="47" t="s">
        <v>95</v>
      </c>
      <c r="W1658" s="373" t="s">
        <v>1971</v>
      </c>
      <c r="X1658" s="373" t="s">
        <v>1972</v>
      </c>
      <c r="Y1658" s="55" t="e">
        <f ca="1">_xlfn.XLOOKUP(PAA_4[[#This Row],[ITEM]],[2]Contrato!A:A,[2]Contrato!B:B,"",0)</f>
        <v>#NAME?</v>
      </c>
      <c r="Z1658" s="47" t="e">
        <f ca="1">_xlfn.XLOOKUP(PAA_4[[#This Row],[ITEM]],[2]Contrato!A:A,[2]Contrato!G:G,"",0)</f>
        <v>#NAME?</v>
      </c>
      <c r="AA1658" s="47" t="e">
        <f ca="1">_xlfn.XLOOKUP(PAA_4[[#This Row],[ITEM]],[2]Contrato!A:A,[2]Contrato!T:T,"",0)</f>
        <v>#NAME?</v>
      </c>
      <c r="AB1658" s="55" t="e">
        <f ca="1">+MAX(PAA_4[[#This Row],[Comprometido Contrato]],PAA_4[[#This Row],[Comprometido Bolsa]])</f>
        <v>#NAME?</v>
      </c>
      <c r="AC1658" s="55" t="str">
        <f t="shared" ca="1" si="559"/>
        <v/>
      </c>
      <c r="AD1658" s="55" t="e">
        <f ca="1">IF(PAA_4[[#This Row],[ESTADO (formulado)]]="NO CONTRATADO",0,MAX(PAA_4[[#This Row],[Pago por Contrato]],PAA_4[[#This Row],[Pago por bolsa]]))</f>
        <v>#NAME?</v>
      </c>
      <c r="AE1658" s="55" t="str">
        <f t="shared" ca="1" si="561"/>
        <v/>
      </c>
      <c r="AF1658" s="47" t="e">
        <f t="shared" ca="1" si="565"/>
        <v>#NAME?</v>
      </c>
      <c r="AG1658" s="47">
        <f t="shared" si="562"/>
        <v>41080101</v>
      </c>
      <c r="AH1658" s="54" t="str">
        <f>IF(Q1658="22",IF(ISNUMBER(SEARCH("econ",PAA_4[[#This Row],[Actividad3]])),"Económico",IF(ISNUMBER(SEARCH("alim",PAA_4[[#This Row],[Actividad3]])),"Alimentación",IF(ISNUMBER(SEARCH("educ",PAA_4[[#This Row],[Actividad3]])),"Educativo","Técnico"))),0)</f>
        <v>Técnico</v>
      </c>
      <c r="AI1658" s="47" t="e" cm="1">
        <f t="array" aca="1" ref="AI1658" ca="1">_xlfn.XLOOKUP(PAA_4[[#This Row],[RCP-RUBRO]],[2]!COMPROMISOS_2024[[#All],[concatenado]],[2]!COMPROMISOS_2024[[#All],[Total pagado]],"",0)</f>
        <v>#NAME?</v>
      </c>
      <c r="AJ1658" s="56" t="e">
        <f ca="1">IF(PAA_4[[#This Row],[BOLSA]]=0,0,SUMIFS([2]!COMPROMISOS_2024[[#All],[Total pagado]],[2]!COMPROMISOS_2024[[#All],[Bolsa]],PAA_4[[#This Row],[BOLSA]],[2]!COMPROMISOS_2024[[#All],[rubro]],PAA_4[[#This Row],[RCP-RUBRO]]))</f>
        <v>#REF!</v>
      </c>
      <c r="AK1658" s="47" t="e" cm="1">
        <f t="array" aca="1" ref="AK1658" ca="1">_xlfn.XLOOKUP(PAA_4[[#This Row],[RCP-RUBRO]],[2]!COMPROMISOS_2024[[#All],[concatenado]],[2]!COMPROMISOS_2024[[#All],[Total Comprometido]],"",0)</f>
        <v>#NAME?</v>
      </c>
      <c r="AL1658" s="47" t="e">
        <f ca="1">IF(PAA_4[[#This Row],[BOLSA]]=0,0,SUMIFS([2]!COMPROMISOS_2024[[#All],[Total Comprometido]],[2]!COMPROMISOS_2024[[#All],[Bolsa]],PAA_4[[#This Row],[BOLSA]],[2]!COMPROMISOS_2024[[#All],[concatenado]],PAA_4[[#This Row],[RCP-RUBRO]]))</f>
        <v>#REF!</v>
      </c>
    </row>
    <row r="1659" spans="1:38" s="19" customFormat="1" ht="31.5" customHeight="1">
      <c r="A1659" s="47">
        <v>909</v>
      </c>
      <c r="B1659" s="344">
        <v>80111600</v>
      </c>
      <c r="C1659" s="47" t="str">
        <f>VLOOKUP(PAA_4[[#This Row],[PROYECTO (formulado)2]],[2]PROYECTOS!$G$1:$L$32,6,0)</f>
        <v>SUBGERENCIA DE ALTOS LOGROS Y DEPORTE ASOCIADO</v>
      </c>
      <c r="D1659" s="47" t="str">
        <f>+IF(PAA_4[[#This Row],[UNIDAD DE CONTRATACION (formulado)]]="Subgerencia Administrativa y Financiera","FUNCIONAMIENTO","INVERSIÓN")</f>
        <v>INVERSIÓN</v>
      </c>
      <c r="E1659" s="48" t="str">
        <f>VLOOKUP(Q1659,[2]PROYECTOS!$G$1:$K$32,5,0)</f>
        <v>APOYO_TÉCNICO_Y_PSICOSOCIAL_A_LOS_DEPORTISTAS_DE_ANTIOQUIA</v>
      </c>
      <c r="F1659" s="48">
        <f>VLOOKUP(E1659,[2]PROYECTOS!$K$1:$M$32,3,0)</f>
        <v>2021003050069</v>
      </c>
      <c r="G1659" s="371" t="s">
        <v>239</v>
      </c>
      <c r="H1659" s="49" t="str">
        <f>VLOOKUP(Q1659,[2]PROYECTOS!$V$1:$W$32,2,0)</f>
        <v>050069</v>
      </c>
      <c r="I1659" s="374">
        <v>19963006</v>
      </c>
      <c r="J1659" s="286" t="s">
        <v>1992</v>
      </c>
      <c r="K1659" s="47" t="str">
        <f t="shared" ca="1" si="560"/>
        <v>CONTRATADO</v>
      </c>
      <c r="L1659" s="372" t="s">
        <v>147</v>
      </c>
      <c r="M1659" s="58" t="s">
        <v>1297</v>
      </c>
      <c r="N1659" s="344" t="s">
        <v>240</v>
      </c>
      <c r="O1659" s="51" t="e">
        <f>VLOOKUP(N1659,[2]!RUBROS[#All],3,0)</f>
        <v>#REF!</v>
      </c>
      <c r="P1659" s="53" t="e">
        <f>VLOOKUP(N1659,[2]!RUBROS[#All],2,0)</f>
        <v>#REF!</v>
      </c>
      <c r="Q1659" s="47" t="str">
        <f t="shared" si="563"/>
        <v>22</v>
      </c>
      <c r="R1659" s="47" t="str">
        <f t="shared" si="564"/>
        <v>0-205400</v>
      </c>
      <c r="S1659" s="342">
        <v>122</v>
      </c>
      <c r="T1659" s="59" t="s">
        <v>1970</v>
      </c>
      <c r="U1659" s="326" t="e">
        <f ca="1">_xlfn.XLOOKUP(PAA_4[[#This Row],[ITEM]],[2]Contrato!A:A,[2]Contrato!Q:Q,"",0)</f>
        <v>#NAME?</v>
      </c>
      <c r="V1659" s="47" t="s">
        <v>95</v>
      </c>
      <c r="W1659" s="373" t="s">
        <v>1971</v>
      </c>
      <c r="X1659" s="373" t="s">
        <v>1972</v>
      </c>
      <c r="Y1659" s="55" t="e">
        <f ca="1">_xlfn.XLOOKUP(PAA_4[[#This Row],[ITEM]],[2]Contrato!A:A,[2]Contrato!B:B,"",0)</f>
        <v>#NAME?</v>
      </c>
      <c r="Z1659" s="47" t="e">
        <f ca="1">_xlfn.XLOOKUP(PAA_4[[#This Row],[ITEM]],[2]Contrato!A:A,[2]Contrato!G:G,"",0)</f>
        <v>#NAME?</v>
      </c>
      <c r="AA1659" s="47" t="e">
        <f ca="1">_xlfn.XLOOKUP(PAA_4[[#This Row],[ITEM]],[2]Contrato!A:A,[2]Contrato!T:T,"",0)</f>
        <v>#NAME?</v>
      </c>
      <c r="AB1659" s="55" t="e">
        <f ca="1">+MAX(PAA_4[[#This Row],[Comprometido Contrato]],PAA_4[[#This Row],[Comprometido Bolsa]])</f>
        <v>#NAME?</v>
      </c>
      <c r="AC1659" s="55" t="str">
        <f t="shared" ca="1" si="559"/>
        <v/>
      </c>
      <c r="AD1659" s="55" t="e">
        <f ca="1">IF(PAA_4[[#This Row],[ESTADO (formulado)]]="NO CONTRATADO",0,MAX(PAA_4[[#This Row],[Pago por Contrato]],PAA_4[[#This Row],[Pago por bolsa]]))</f>
        <v>#NAME?</v>
      </c>
      <c r="AE1659" s="55" t="str">
        <f t="shared" ca="1" si="561"/>
        <v/>
      </c>
      <c r="AF1659" s="47" t="e">
        <f t="shared" ca="1" si="565"/>
        <v>#NAME?</v>
      </c>
      <c r="AG1659" s="47">
        <f t="shared" si="562"/>
        <v>41080101</v>
      </c>
      <c r="AH1659" s="54" t="str">
        <f>IF(Q1659="22",IF(ISNUMBER(SEARCH("econ",PAA_4[[#This Row],[Actividad3]])),"Económico",IF(ISNUMBER(SEARCH("alim",PAA_4[[#This Row],[Actividad3]])),"Alimentación",IF(ISNUMBER(SEARCH("educ",PAA_4[[#This Row],[Actividad3]])),"Educativo","Técnico"))),0)</f>
        <v>Técnico</v>
      </c>
      <c r="AI1659" s="47" t="e" cm="1">
        <f t="array" aca="1" ref="AI1659" ca="1">_xlfn.XLOOKUP(PAA_4[[#This Row],[RCP-RUBRO]],[2]!COMPROMISOS_2024[[#All],[concatenado]],[2]!COMPROMISOS_2024[[#All],[Total pagado]],"",0)</f>
        <v>#NAME?</v>
      </c>
      <c r="AJ1659" s="56" t="e">
        <f ca="1">IF(PAA_4[[#This Row],[BOLSA]]=0,0,SUMIFS([2]!COMPROMISOS_2024[[#All],[Total pagado]],[2]!COMPROMISOS_2024[[#All],[Bolsa]],PAA_4[[#This Row],[BOLSA]],[2]!COMPROMISOS_2024[[#All],[rubro]],PAA_4[[#This Row],[RCP-RUBRO]]))</f>
        <v>#REF!</v>
      </c>
      <c r="AK1659" s="47" t="e" cm="1">
        <f t="array" aca="1" ref="AK1659" ca="1">_xlfn.XLOOKUP(PAA_4[[#This Row],[RCP-RUBRO]],[2]!COMPROMISOS_2024[[#All],[concatenado]],[2]!COMPROMISOS_2024[[#All],[Total Comprometido]],"",0)</f>
        <v>#NAME?</v>
      </c>
      <c r="AL1659" s="47" t="e">
        <f ca="1">IF(PAA_4[[#This Row],[BOLSA]]=0,0,SUMIFS([2]!COMPROMISOS_2024[[#All],[Total Comprometido]],[2]!COMPROMISOS_2024[[#All],[Bolsa]],PAA_4[[#This Row],[BOLSA]],[2]!COMPROMISOS_2024[[#All],[concatenado]],PAA_4[[#This Row],[RCP-RUBRO]]))</f>
        <v>#REF!</v>
      </c>
    </row>
    <row r="1660" spans="1:38" s="19" customFormat="1" ht="31.5" customHeight="1">
      <c r="A1660" s="47">
        <v>910</v>
      </c>
      <c r="B1660" s="344">
        <v>80111600</v>
      </c>
      <c r="C1660" s="47" t="str">
        <f>VLOOKUP(PAA_4[[#This Row],[PROYECTO (formulado)2]],[2]PROYECTOS!$G$1:$L$32,6,0)</f>
        <v>SUBGERENCIA DE ALTOS LOGROS Y DEPORTE ASOCIADO</v>
      </c>
      <c r="D1660" s="47" t="str">
        <f>+IF(PAA_4[[#This Row],[UNIDAD DE CONTRATACION (formulado)]]="Subgerencia Administrativa y Financiera","FUNCIONAMIENTO","INVERSIÓN")</f>
        <v>INVERSIÓN</v>
      </c>
      <c r="E1660" s="48" t="str">
        <f>VLOOKUP(Q1660,[2]PROYECTOS!$G$1:$K$32,5,0)</f>
        <v>APOYO_TÉCNICO_Y_PSICOSOCIAL_A_LOS_DEPORTISTAS_DE_ANTIOQUIA</v>
      </c>
      <c r="F1660" s="48">
        <f>VLOOKUP(E1660,[2]PROYECTOS!$K$1:$M$32,3,0)</f>
        <v>2021003050069</v>
      </c>
      <c r="G1660" s="371" t="s">
        <v>239</v>
      </c>
      <c r="H1660" s="49" t="str">
        <f>VLOOKUP(Q1660,[2]PROYECTOS!$V$1:$W$32,2,0)</f>
        <v>050069</v>
      </c>
      <c r="I1660" s="374">
        <v>0</v>
      </c>
      <c r="J1660" s="286" t="s">
        <v>42</v>
      </c>
      <c r="K1660" s="47" t="str">
        <f t="shared" ca="1" si="560"/>
        <v>CONTRATADO</v>
      </c>
      <c r="L1660" s="372" t="s">
        <v>147</v>
      </c>
      <c r="M1660" s="58" t="s">
        <v>1297</v>
      </c>
      <c r="N1660" s="344" t="s">
        <v>240</v>
      </c>
      <c r="O1660" s="51" t="e">
        <f>VLOOKUP(N1660,[2]!RUBROS[#All],3,0)</f>
        <v>#REF!</v>
      </c>
      <c r="P1660" s="53" t="e">
        <f>VLOOKUP(N1660,[2]!RUBROS[#All],2,0)</f>
        <v>#REF!</v>
      </c>
      <c r="Q1660" s="47" t="str">
        <f t="shared" si="563"/>
        <v>22</v>
      </c>
      <c r="R1660" s="47" t="str">
        <f t="shared" si="564"/>
        <v>0-205400</v>
      </c>
      <c r="S1660" s="342">
        <v>122</v>
      </c>
      <c r="T1660" s="59" t="s">
        <v>1970</v>
      </c>
      <c r="U1660" s="326" t="e">
        <f ca="1">_xlfn.XLOOKUP(PAA_4[[#This Row],[ITEM]],[2]Contrato!A:A,[2]Contrato!Q:Q,"",0)</f>
        <v>#NAME?</v>
      </c>
      <c r="V1660" s="47" t="s">
        <v>95</v>
      </c>
      <c r="W1660" s="373" t="s">
        <v>1971</v>
      </c>
      <c r="X1660" s="373" t="s">
        <v>1972</v>
      </c>
      <c r="Y1660" s="55" t="e">
        <f ca="1">_xlfn.XLOOKUP(PAA_4[[#This Row],[ITEM]],[2]Contrato!A:A,[2]Contrato!B:B,"",0)</f>
        <v>#NAME?</v>
      </c>
      <c r="Z1660" s="47" t="e">
        <f ca="1">_xlfn.XLOOKUP(PAA_4[[#This Row],[ITEM]],[2]Contrato!A:A,[2]Contrato!G:G,"",0)</f>
        <v>#NAME?</v>
      </c>
      <c r="AA1660" s="47" t="e">
        <f ca="1">_xlfn.XLOOKUP(PAA_4[[#This Row],[ITEM]],[2]Contrato!A:A,[2]Contrato!T:T,"",0)</f>
        <v>#NAME?</v>
      </c>
      <c r="AB1660" s="55" t="e">
        <f ca="1">+MAX(PAA_4[[#This Row],[Comprometido Contrato]],PAA_4[[#This Row],[Comprometido Bolsa]])</f>
        <v>#NAME?</v>
      </c>
      <c r="AC1660" s="55" t="str">
        <f t="shared" ca="1" si="559"/>
        <v/>
      </c>
      <c r="AD1660" s="55" t="e">
        <f ca="1">IF(PAA_4[[#This Row],[ESTADO (formulado)]]="NO CONTRATADO",0,MAX(PAA_4[[#This Row],[Pago por Contrato]],PAA_4[[#This Row],[Pago por bolsa]]))</f>
        <v>#NAME?</v>
      </c>
      <c r="AE1660" s="55" t="str">
        <f t="shared" ca="1" si="561"/>
        <v/>
      </c>
      <c r="AF1660" s="47" t="e">
        <f t="shared" ca="1" si="565"/>
        <v>#NAME?</v>
      </c>
      <c r="AG1660" s="47">
        <f t="shared" si="562"/>
        <v>41080101</v>
      </c>
      <c r="AH1660" s="54" t="str">
        <f>IF(Q1660="22",IF(ISNUMBER(SEARCH("econ",PAA_4[[#This Row],[Actividad3]])),"Económico",IF(ISNUMBER(SEARCH("alim",PAA_4[[#This Row],[Actividad3]])),"Alimentación",IF(ISNUMBER(SEARCH("educ",PAA_4[[#This Row],[Actividad3]])),"Educativo","Técnico"))),0)</f>
        <v>Técnico</v>
      </c>
      <c r="AI1660" s="47" t="e" cm="1">
        <f t="array" aca="1" ref="AI1660" ca="1">_xlfn.XLOOKUP(PAA_4[[#This Row],[RCP-RUBRO]],[2]!COMPROMISOS_2024[[#All],[concatenado]],[2]!COMPROMISOS_2024[[#All],[Total pagado]],"",0)</f>
        <v>#NAME?</v>
      </c>
      <c r="AJ1660" s="56" t="e">
        <f ca="1">IF(PAA_4[[#This Row],[BOLSA]]=0,0,SUMIFS([2]!COMPROMISOS_2024[[#All],[Total pagado]],[2]!COMPROMISOS_2024[[#All],[Bolsa]],PAA_4[[#This Row],[BOLSA]],[2]!COMPROMISOS_2024[[#All],[rubro]],PAA_4[[#This Row],[RCP-RUBRO]]))</f>
        <v>#REF!</v>
      </c>
      <c r="AK1660" s="47" t="e" cm="1">
        <f t="array" aca="1" ref="AK1660" ca="1">_xlfn.XLOOKUP(PAA_4[[#This Row],[RCP-RUBRO]],[2]!COMPROMISOS_2024[[#All],[concatenado]],[2]!COMPROMISOS_2024[[#All],[Total Comprometido]],"",0)</f>
        <v>#NAME?</v>
      </c>
      <c r="AL1660" s="47" t="e">
        <f ca="1">IF(PAA_4[[#This Row],[BOLSA]]=0,0,SUMIFS([2]!COMPROMISOS_2024[[#All],[Total Comprometido]],[2]!COMPROMISOS_2024[[#All],[Bolsa]],PAA_4[[#This Row],[BOLSA]],[2]!COMPROMISOS_2024[[#All],[concatenado]],PAA_4[[#This Row],[RCP-RUBRO]]))</f>
        <v>#REF!</v>
      </c>
    </row>
    <row r="1661" spans="1:38" s="19" customFormat="1" ht="31.5" customHeight="1">
      <c r="A1661" s="47">
        <v>911</v>
      </c>
      <c r="B1661" s="344">
        <v>80111600</v>
      </c>
      <c r="C1661" s="47" t="str">
        <f>VLOOKUP(PAA_4[[#This Row],[PROYECTO (formulado)2]],[2]PROYECTOS!$G$1:$L$32,6,0)</f>
        <v>SUBGERENCIA DE ALTOS LOGROS Y DEPORTE ASOCIADO</v>
      </c>
      <c r="D1661" s="47" t="str">
        <f>+IF(PAA_4[[#This Row],[UNIDAD DE CONTRATACION (formulado)]]="Subgerencia Administrativa y Financiera","FUNCIONAMIENTO","INVERSIÓN")</f>
        <v>INVERSIÓN</v>
      </c>
      <c r="E1661" s="48" t="str">
        <f>VLOOKUP(Q1661,[2]PROYECTOS!$G$1:$K$32,5,0)</f>
        <v>APOYO_TÉCNICO_Y_PSICOSOCIAL_A_LOS_DEPORTISTAS_DE_ANTIOQUIA</v>
      </c>
      <c r="F1661" s="48">
        <f>VLOOKUP(E1661,[2]PROYECTOS!$K$1:$M$32,3,0)</f>
        <v>2021003050069</v>
      </c>
      <c r="G1661" s="371" t="s">
        <v>239</v>
      </c>
      <c r="H1661" s="49" t="str">
        <f>VLOOKUP(Q1661,[2]PROYECTOS!$V$1:$W$32,2,0)</f>
        <v>050069</v>
      </c>
      <c r="I1661" s="374">
        <v>19963006</v>
      </c>
      <c r="J1661" s="286" t="s">
        <v>1993</v>
      </c>
      <c r="K1661" s="47" t="str">
        <f t="shared" ca="1" si="560"/>
        <v>CONTRATADO</v>
      </c>
      <c r="L1661" s="372" t="s">
        <v>147</v>
      </c>
      <c r="M1661" s="58" t="s">
        <v>1297</v>
      </c>
      <c r="N1661" s="344" t="s">
        <v>240</v>
      </c>
      <c r="O1661" s="51" t="e">
        <f>VLOOKUP(N1661,[2]!RUBROS[#All],3,0)</f>
        <v>#REF!</v>
      </c>
      <c r="P1661" s="53" t="e">
        <f>VLOOKUP(N1661,[2]!RUBROS[#All],2,0)</f>
        <v>#REF!</v>
      </c>
      <c r="Q1661" s="47" t="str">
        <f t="shared" si="563"/>
        <v>22</v>
      </c>
      <c r="R1661" s="47" t="str">
        <f t="shared" si="564"/>
        <v>0-205400</v>
      </c>
      <c r="S1661" s="342">
        <v>122</v>
      </c>
      <c r="T1661" s="59" t="s">
        <v>1970</v>
      </c>
      <c r="U1661" s="326" t="e">
        <f ca="1">_xlfn.XLOOKUP(PAA_4[[#This Row],[ITEM]],[2]Contrato!A:A,[2]Contrato!Q:Q,"",0)</f>
        <v>#NAME?</v>
      </c>
      <c r="V1661" s="47" t="s">
        <v>95</v>
      </c>
      <c r="W1661" s="373" t="s">
        <v>1971</v>
      </c>
      <c r="X1661" s="373" t="s">
        <v>1972</v>
      </c>
      <c r="Y1661" s="55" t="e">
        <f ca="1">_xlfn.XLOOKUP(PAA_4[[#This Row],[ITEM]],[2]Contrato!A:A,[2]Contrato!B:B,"",0)</f>
        <v>#NAME?</v>
      </c>
      <c r="Z1661" s="47" t="e">
        <f ca="1">_xlfn.XLOOKUP(PAA_4[[#This Row],[ITEM]],[2]Contrato!A:A,[2]Contrato!G:G,"",0)</f>
        <v>#NAME?</v>
      </c>
      <c r="AA1661" s="47" t="e">
        <f ca="1">_xlfn.XLOOKUP(PAA_4[[#This Row],[ITEM]],[2]Contrato!A:A,[2]Contrato!T:T,"",0)</f>
        <v>#NAME?</v>
      </c>
      <c r="AB1661" s="55" t="e">
        <f ca="1">+MAX(PAA_4[[#This Row],[Comprometido Contrato]],PAA_4[[#This Row],[Comprometido Bolsa]])</f>
        <v>#NAME?</v>
      </c>
      <c r="AC1661" s="55" t="str">
        <f t="shared" ca="1" si="559"/>
        <v/>
      </c>
      <c r="AD1661" s="55" t="e">
        <f ca="1">IF(PAA_4[[#This Row],[ESTADO (formulado)]]="NO CONTRATADO",0,MAX(PAA_4[[#This Row],[Pago por Contrato]],PAA_4[[#This Row],[Pago por bolsa]]))</f>
        <v>#NAME?</v>
      </c>
      <c r="AE1661" s="55" t="str">
        <f t="shared" ca="1" si="561"/>
        <v/>
      </c>
      <c r="AF1661" s="47" t="e">
        <f t="shared" ca="1" si="565"/>
        <v>#NAME?</v>
      </c>
      <c r="AG1661" s="47">
        <f t="shared" si="562"/>
        <v>41080101</v>
      </c>
      <c r="AH1661" s="54" t="str">
        <f>IF(Q1661="22",IF(ISNUMBER(SEARCH("econ",PAA_4[[#This Row],[Actividad3]])),"Económico",IF(ISNUMBER(SEARCH("alim",PAA_4[[#This Row],[Actividad3]])),"Alimentación",IF(ISNUMBER(SEARCH("educ",PAA_4[[#This Row],[Actividad3]])),"Educativo","Técnico"))),0)</f>
        <v>Técnico</v>
      </c>
      <c r="AI1661" s="47" t="e" cm="1">
        <f t="array" aca="1" ref="AI1661" ca="1">_xlfn.XLOOKUP(PAA_4[[#This Row],[RCP-RUBRO]],[2]!COMPROMISOS_2024[[#All],[concatenado]],[2]!COMPROMISOS_2024[[#All],[Total pagado]],"",0)</f>
        <v>#NAME?</v>
      </c>
      <c r="AJ1661" s="56" t="e">
        <f ca="1">IF(PAA_4[[#This Row],[BOLSA]]=0,0,SUMIFS([2]!COMPROMISOS_2024[[#All],[Total pagado]],[2]!COMPROMISOS_2024[[#All],[Bolsa]],PAA_4[[#This Row],[BOLSA]],[2]!COMPROMISOS_2024[[#All],[rubro]],PAA_4[[#This Row],[RCP-RUBRO]]))</f>
        <v>#REF!</v>
      </c>
      <c r="AK1661" s="47" t="e" cm="1">
        <f t="array" aca="1" ref="AK1661" ca="1">_xlfn.XLOOKUP(PAA_4[[#This Row],[RCP-RUBRO]],[2]!COMPROMISOS_2024[[#All],[concatenado]],[2]!COMPROMISOS_2024[[#All],[Total Comprometido]],"",0)</f>
        <v>#NAME?</v>
      </c>
      <c r="AL1661" s="47" t="e">
        <f ca="1">IF(PAA_4[[#This Row],[BOLSA]]=0,0,SUMIFS([2]!COMPROMISOS_2024[[#All],[Total Comprometido]],[2]!COMPROMISOS_2024[[#All],[Bolsa]],PAA_4[[#This Row],[BOLSA]],[2]!COMPROMISOS_2024[[#All],[concatenado]],PAA_4[[#This Row],[RCP-RUBRO]]))</f>
        <v>#REF!</v>
      </c>
    </row>
    <row r="1662" spans="1:38" s="19" customFormat="1" ht="31.5" customHeight="1">
      <c r="A1662" s="47">
        <v>912</v>
      </c>
      <c r="B1662" s="344">
        <v>80111600</v>
      </c>
      <c r="C1662" s="47" t="str">
        <f>VLOOKUP(PAA_4[[#This Row],[PROYECTO (formulado)2]],[2]PROYECTOS!$G$1:$L$32,6,0)</f>
        <v>SUBGERENCIA DE ALTOS LOGROS Y DEPORTE ASOCIADO</v>
      </c>
      <c r="D1662" s="47" t="str">
        <f>+IF(PAA_4[[#This Row],[UNIDAD DE CONTRATACION (formulado)]]="Subgerencia Administrativa y Financiera","FUNCIONAMIENTO","INVERSIÓN")</f>
        <v>INVERSIÓN</v>
      </c>
      <c r="E1662" s="48" t="str">
        <f>VLOOKUP(Q1662,[2]PROYECTOS!$G$1:$K$32,5,0)</f>
        <v>APOYO_TÉCNICO_Y_PSICOSOCIAL_A_LOS_DEPORTISTAS_DE_ANTIOQUIA</v>
      </c>
      <c r="F1662" s="48">
        <f>VLOOKUP(E1662,[2]PROYECTOS!$K$1:$M$32,3,0)</f>
        <v>2021003050069</v>
      </c>
      <c r="G1662" s="371" t="s">
        <v>239</v>
      </c>
      <c r="H1662" s="49" t="str">
        <f>VLOOKUP(Q1662,[2]PROYECTOS!$V$1:$W$32,2,0)</f>
        <v>050069</v>
      </c>
      <c r="I1662" s="374">
        <v>24120006</v>
      </c>
      <c r="J1662" s="286" t="s">
        <v>1993</v>
      </c>
      <c r="K1662" s="47" t="str">
        <f t="shared" ca="1" si="560"/>
        <v>CONTRATADO</v>
      </c>
      <c r="L1662" s="372" t="s">
        <v>147</v>
      </c>
      <c r="M1662" s="58" t="s">
        <v>1297</v>
      </c>
      <c r="N1662" s="344" t="s">
        <v>240</v>
      </c>
      <c r="O1662" s="51" t="e">
        <f>VLOOKUP(N1662,[2]!RUBROS[#All],3,0)</f>
        <v>#REF!</v>
      </c>
      <c r="P1662" s="53" t="e">
        <f>VLOOKUP(N1662,[2]!RUBROS[#All],2,0)</f>
        <v>#REF!</v>
      </c>
      <c r="Q1662" s="47" t="str">
        <f t="shared" si="563"/>
        <v>22</v>
      </c>
      <c r="R1662" s="47" t="str">
        <f t="shared" si="564"/>
        <v>0-205400</v>
      </c>
      <c r="S1662" s="342">
        <v>122</v>
      </c>
      <c r="T1662" s="59" t="s">
        <v>1970</v>
      </c>
      <c r="U1662" s="326" t="e">
        <f ca="1">_xlfn.XLOOKUP(PAA_4[[#This Row],[ITEM]],[2]Contrato!A:A,[2]Contrato!Q:Q,"",0)</f>
        <v>#NAME?</v>
      </c>
      <c r="V1662" s="47" t="s">
        <v>95</v>
      </c>
      <c r="W1662" s="373" t="s">
        <v>1971</v>
      </c>
      <c r="X1662" s="373" t="s">
        <v>1972</v>
      </c>
      <c r="Y1662" s="55" t="e">
        <f ca="1">_xlfn.XLOOKUP(PAA_4[[#This Row],[ITEM]],[2]Contrato!A:A,[2]Contrato!B:B,"",0)</f>
        <v>#NAME?</v>
      </c>
      <c r="Z1662" s="47" t="e">
        <f ca="1">_xlfn.XLOOKUP(PAA_4[[#This Row],[ITEM]],[2]Contrato!A:A,[2]Contrato!G:G,"",0)</f>
        <v>#NAME?</v>
      </c>
      <c r="AA1662" s="47" t="e">
        <f ca="1">_xlfn.XLOOKUP(PAA_4[[#This Row],[ITEM]],[2]Contrato!A:A,[2]Contrato!T:T,"",0)</f>
        <v>#NAME?</v>
      </c>
      <c r="AB1662" s="55" t="e">
        <f ca="1">+MAX(PAA_4[[#This Row],[Comprometido Contrato]],PAA_4[[#This Row],[Comprometido Bolsa]])</f>
        <v>#NAME?</v>
      </c>
      <c r="AC1662" s="55" t="str">
        <f t="shared" ca="1" si="559"/>
        <v/>
      </c>
      <c r="AD1662" s="55" t="e">
        <f ca="1">IF(PAA_4[[#This Row],[ESTADO (formulado)]]="NO CONTRATADO",0,MAX(PAA_4[[#This Row],[Pago por Contrato]],PAA_4[[#This Row],[Pago por bolsa]]))</f>
        <v>#NAME?</v>
      </c>
      <c r="AE1662" s="55" t="str">
        <f t="shared" ca="1" si="561"/>
        <v/>
      </c>
      <c r="AF1662" s="47" t="e">
        <f t="shared" ca="1" si="565"/>
        <v>#NAME?</v>
      </c>
      <c r="AG1662" s="47">
        <f t="shared" si="562"/>
        <v>41080101</v>
      </c>
      <c r="AH1662" s="54" t="str">
        <f>IF(Q1662="22",IF(ISNUMBER(SEARCH("econ",PAA_4[[#This Row],[Actividad3]])),"Económico",IF(ISNUMBER(SEARCH("alim",PAA_4[[#This Row],[Actividad3]])),"Alimentación",IF(ISNUMBER(SEARCH("educ",PAA_4[[#This Row],[Actividad3]])),"Educativo","Técnico"))),0)</f>
        <v>Técnico</v>
      </c>
      <c r="AI1662" s="47" t="e" cm="1">
        <f t="array" aca="1" ref="AI1662" ca="1">_xlfn.XLOOKUP(PAA_4[[#This Row],[RCP-RUBRO]],[2]!COMPROMISOS_2024[[#All],[concatenado]],[2]!COMPROMISOS_2024[[#All],[Total pagado]],"",0)</f>
        <v>#NAME?</v>
      </c>
      <c r="AJ1662" s="56" t="e">
        <f ca="1">IF(PAA_4[[#This Row],[BOLSA]]=0,0,SUMIFS([2]!COMPROMISOS_2024[[#All],[Total pagado]],[2]!COMPROMISOS_2024[[#All],[Bolsa]],PAA_4[[#This Row],[BOLSA]],[2]!COMPROMISOS_2024[[#All],[rubro]],PAA_4[[#This Row],[RCP-RUBRO]]))</f>
        <v>#REF!</v>
      </c>
      <c r="AK1662" s="47" t="e" cm="1">
        <f t="array" aca="1" ref="AK1662" ca="1">_xlfn.XLOOKUP(PAA_4[[#This Row],[RCP-RUBRO]],[2]!COMPROMISOS_2024[[#All],[concatenado]],[2]!COMPROMISOS_2024[[#All],[Total Comprometido]],"",0)</f>
        <v>#NAME?</v>
      </c>
      <c r="AL1662" s="47" t="e">
        <f ca="1">IF(PAA_4[[#This Row],[BOLSA]]=0,0,SUMIFS([2]!COMPROMISOS_2024[[#All],[Total Comprometido]],[2]!COMPROMISOS_2024[[#All],[Bolsa]],PAA_4[[#This Row],[BOLSA]],[2]!COMPROMISOS_2024[[#All],[concatenado]],PAA_4[[#This Row],[RCP-RUBRO]]))</f>
        <v>#REF!</v>
      </c>
    </row>
    <row r="1663" spans="1:38" s="19" customFormat="1" ht="31.5" customHeight="1">
      <c r="A1663" s="47">
        <v>913</v>
      </c>
      <c r="B1663" s="344">
        <v>80111600</v>
      </c>
      <c r="C1663" s="47" t="str">
        <f>VLOOKUP(PAA_4[[#This Row],[PROYECTO (formulado)2]],[2]PROYECTOS!$G$1:$L$32,6,0)</f>
        <v>SUBGERENCIA DE ALTOS LOGROS Y DEPORTE ASOCIADO</v>
      </c>
      <c r="D1663" s="47" t="str">
        <f>+IF(PAA_4[[#This Row],[UNIDAD DE CONTRATACION (formulado)]]="Subgerencia Administrativa y Financiera","FUNCIONAMIENTO","INVERSIÓN")</f>
        <v>INVERSIÓN</v>
      </c>
      <c r="E1663" s="48" t="str">
        <f>VLOOKUP(Q1663,[2]PROYECTOS!$G$1:$K$32,5,0)</f>
        <v>APOYO_TÉCNICO_Y_PSICOSOCIAL_A_LOS_DEPORTISTAS_DE_ANTIOQUIA</v>
      </c>
      <c r="F1663" s="48">
        <f>VLOOKUP(E1663,[2]PROYECTOS!$K$1:$M$32,3,0)</f>
        <v>2021003050069</v>
      </c>
      <c r="G1663" s="371" t="s">
        <v>239</v>
      </c>
      <c r="H1663" s="49" t="str">
        <f>VLOOKUP(Q1663,[2]PROYECTOS!$V$1:$W$32,2,0)</f>
        <v>050069</v>
      </c>
      <c r="I1663" s="374">
        <v>24120006</v>
      </c>
      <c r="J1663" s="286" t="s">
        <v>1993</v>
      </c>
      <c r="K1663" s="47" t="str">
        <f t="shared" ca="1" si="560"/>
        <v>CONTRATADO</v>
      </c>
      <c r="L1663" s="372" t="s">
        <v>147</v>
      </c>
      <c r="M1663" s="58" t="s">
        <v>1297</v>
      </c>
      <c r="N1663" s="344" t="s">
        <v>240</v>
      </c>
      <c r="O1663" s="51" t="e">
        <f>VLOOKUP(N1663,[2]!RUBROS[#All],3,0)</f>
        <v>#REF!</v>
      </c>
      <c r="P1663" s="53" t="e">
        <f>VLOOKUP(N1663,[2]!RUBROS[#All],2,0)</f>
        <v>#REF!</v>
      </c>
      <c r="Q1663" s="47" t="str">
        <f t="shared" si="563"/>
        <v>22</v>
      </c>
      <c r="R1663" s="47" t="str">
        <f t="shared" si="564"/>
        <v>0-205400</v>
      </c>
      <c r="S1663" s="342">
        <v>122</v>
      </c>
      <c r="T1663" s="59" t="s">
        <v>1970</v>
      </c>
      <c r="U1663" s="326" t="e">
        <f ca="1">_xlfn.XLOOKUP(PAA_4[[#This Row],[ITEM]],[2]Contrato!A:A,[2]Contrato!Q:Q,"",0)</f>
        <v>#NAME?</v>
      </c>
      <c r="V1663" s="47" t="s">
        <v>95</v>
      </c>
      <c r="W1663" s="373" t="s">
        <v>1971</v>
      </c>
      <c r="X1663" s="373" t="s">
        <v>1972</v>
      </c>
      <c r="Y1663" s="55" t="e">
        <f ca="1">_xlfn.XLOOKUP(PAA_4[[#This Row],[ITEM]],[2]Contrato!A:A,[2]Contrato!B:B,"",0)</f>
        <v>#NAME?</v>
      </c>
      <c r="Z1663" s="47" t="e">
        <f ca="1">_xlfn.XLOOKUP(PAA_4[[#This Row],[ITEM]],[2]Contrato!A:A,[2]Contrato!G:G,"",0)</f>
        <v>#NAME?</v>
      </c>
      <c r="AA1663" s="47" t="e">
        <f ca="1">_xlfn.XLOOKUP(PAA_4[[#This Row],[ITEM]],[2]Contrato!A:A,[2]Contrato!T:T,"",0)</f>
        <v>#NAME?</v>
      </c>
      <c r="AB1663" s="55" t="e">
        <f ca="1">+MAX(PAA_4[[#This Row],[Comprometido Contrato]],PAA_4[[#This Row],[Comprometido Bolsa]])</f>
        <v>#NAME?</v>
      </c>
      <c r="AC1663" s="55" t="str">
        <f t="shared" ca="1" si="559"/>
        <v/>
      </c>
      <c r="AD1663" s="55" t="e">
        <f ca="1">IF(PAA_4[[#This Row],[ESTADO (formulado)]]="NO CONTRATADO",0,MAX(PAA_4[[#This Row],[Pago por Contrato]],PAA_4[[#This Row],[Pago por bolsa]]))</f>
        <v>#NAME?</v>
      </c>
      <c r="AE1663" s="55" t="str">
        <f t="shared" ca="1" si="561"/>
        <v/>
      </c>
      <c r="AF1663" s="47" t="e">
        <f t="shared" ca="1" si="565"/>
        <v>#NAME?</v>
      </c>
      <c r="AG1663" s="47">
        <f t="shared" si="562"/>
        <v>41080101</v>
      </c>
      <c r="AH1663" s="54" t="str">
        <f>IF(Q1663="22",IF(ISNUMBER(SEARCH("econ",PAA_4[[#This Row],[Actividad3]])),"Económico",IF(ISNUMBER(SEARCH("alim",PAA_4[[#This Row],[Actividad3]])),"Alimentación",IF(ISNUMBER(SEARCH("educ",PAA_4[[#This Row],[Actividad3]])),"Educativo","Técnico"))),0)</f>
        <v>Técnico</v>
      </c>
      <c r="AI1663" s="47" t="e" cm="1">
        <f t="array" aca="1" ref="AI1663" ca="1">_xlfn.XLOOKUP(PAA_4[[#This Row],[RCP-RUBRO]],[2]!COMPROMISOS_2024[[#All],[concatenado]],[2]!COMPROMISOS_2024[[#All],[Total pagado]],"",0)</f>
        <v>#NAME?</v>
      </c>
      <c r="AJ1663" s="56" t="e">
        <f ca="1">IF(PAA_4[[#This Row],[BOLSA]]=0,0,SUMIFS([2]!COMPROMISOS_2024[[#All],[Total pagado]],[2]!COMPROMISOS_2024[[#All],[Bolsa]],PAA_4[[#This Row],[BOLSA]],[2]!COMPROMISOS_2024[[#All],[rubro]],PAA_4[[#This Row],[RCP-RUBRO]]))</f>
        <v>#REF!</v>
      </c>
      <c r="AK1663" s="47" t="e" cm="1">
        <f t="array" aca="1" ref="AK1663" ca="1">_xlfn.XLOOKUP(PAA_4[[#This Row],[RCP-RUBRO]],[2]!COMPROMISOS_2024[[#All],[concatenado]],[2]!COMPROMISOS_2024[[#All],[Total Comprometido]],"",0)</f>
        <v>#NAME?</v>
      </c>
      <c r="AL1663" s="47" t="e">
        <f ca="1">IF(PAA_4[[#This Row],[BOLSA]]=0,0,SUMIFS([2]!COMPROMISOS_2024[[#All],[Total Comprometido]],[2]!COMPROMISOS_2024[[#All],[Bolsa]],PAA_4[[#This Row],[BOLSA]],[2]!COMPROMISOS_2024[[#All],[concatenado]],PAA_4[[#This Row],[RCP-RUBRO]]))</f>
        <v>#REF!</v>
      </c>
    </row>
    <row r="1664" spans="1:38" s="19" customFormat="1" ht="31.5" customHeight="1">
      <c r="A1664" s="47">
        <v>914</v>
      </c>
      <c r="B1664" s="344">
        <v>80111600</v>
      </c>
      <c r="C1664" s="47" t="str">
        <f>VLOOKUP(PAA_4[[#This Row],[PROYECTO (formulado)2]],[2]PROYECTOS!$G$1:$L$32,6,0)</f>
        <v>SUBGERENCIA DE ALTOS LOGROS Y DEPORTE ASOCIADO</v>
      </c>
      <c r="D1664" s="47" t="str">
        <f>+IF(PAA_4[[#This Row],[UNIDAD DE CONTRATACION (formulado)]]="Subgerencia Administrativa y Financiera","FUNCIONAMIENTO","INVERSIÓN")</f>
        <v>INVERSIÓN</v>
      </c>
      <c r="E1664" s="48" t="str">
        <f>VLOOKUP(Q1664,[2]PROYECTOS!$G$1:$K$32,5,0)</f>
        <v>APOYO_TÉCNICO_Y_PSICOSOCIAL_A_LOS_DEPORTISTAS_DE_ANTIOQUIA</v>
      </c>
      <c r="F1664" s="48">
        <f>VLOOKUP(E1664,[2]PROYECTOS!$K$1:$M$32,3,0)</f>
        <v>2021003050069</v>
      </c>
      <c r="G1664" s="371" t="s">
        <v>239</v>
      </c>
      <c r="H1664" s="49" t="str">
        <f>VLOOKUP(Q1664,[2]PROYECTOS!$V$1:$W$32,2,0)</f>
        <v>050069</v>
      </c>
      <c r="I1664" s="374">
        <v>10471024</v>
      </c>
      <c r="J1664" s="286" t="s">
        <v>1993</v>
      </c>
      <c r="K1664" s="47" t="str">
        <f t="shared" ca="1" si="560"/>
        <v>CONTRATADO</v>
      </c>
      <c r="L1664" s="372" t="s">
        <v>147</v>
      </c>
      <c r="M1664" s="58" t="s">
        <v>1297</v>
      </c>
      <c r="N1664" s="344" t="s">
        <v>240</v>
      </c>
      <c r="O1664" s="51" t="e">
        <f>VLOOKUP(N1664,[2]!RUBROS[#All],3,0)</f>
        <v>#REF!</v>
      </c>
      <c r="P1664" s="53" t="e">
        <f>VLOOKUP(N1664,[2]!RUBROS[#All],2,0)</f>
        <v>#REF!</v>
      </c>
      <c r="Q1664" s="47" t="str">
        <f t="shared" si="563"/>
        <v>22</v>
      </c>
      <c r="R1664" s="47" t="str">
        <f t="shared" si="564"/>
        <v>0-205400</v>
      </c>
      <c r="S1664" s="342">
        <v>122</v>
      </c>
      <c r="T1664" s="59" t="s">
        <v>1970</v>
      </c>
      <c r="U1664" s="326" t="e">
        <f ca="1">_xlfn.XLOOKUP(PAA_4[[#This Row],[ITEM]],[2]Contrato!A:A,[2]Contrato!Q:Q,"",0)</f>
        <v>#NAME?</v>
      </c>
      <c r="V1664" s="47" t="s">
        <v>95</v>
      </c>
      <c r="W1664" s="373" t="s">
        <v>1971</v>
      </c>
      <c r="X1664" s="373" t="s">
        <v>1972</v>
      </c>
      <c r="Y1664" s="55" t="e">
        <f ca="1">_xlfn.XLOOKUP(PAA_4[[#This Row],[ITEM]],[2]Contrato!A:A,[2]Contrato!B:B,"",0)</f>
        <v>#NAME?</v>
      </c>
      <c r="Z1664" s="47" t="e">
        <f ca="1">_xlfn.XLOOKUP(PAA_4[[#This Row],[ITEM]],[2]Contrato!A:A,[2]Contrato!G:G,"",0)</f>
        <v>#NAME?</v>
      </c>
      <c r="AA1664" s="47" t="e">
        <f ca="1">_xlfn.XLOOKUP(PAA_4[[#This Row],[ITEM]],[2]Contrato!A:A,[2]Contrato!T:T,"",0)</f>
        <v>#NAME?</v>
      </c>
      <c r="AB1664" s="55" t="e">
        <f ca="1">+MAX(PAA_4[[#This Row],[Comprometido Contrato]],PAA_4[[#This Row],[Comprometido Bolsa]])</f>
        <v>#NAME?</v>
      </c>
      <c r="AC1664" s="55" t="str">
        <f t="shared" ca="1" si="559"/>
        <v/>
      </c>
      <c r="AD1664" s="55" t="e">
        <f ca="1">IF(PAA_4[[#This Row],[ESTADO (formulado)]]="NO CONTRATADO",0,MAX(PAA_4[[#This Row],[Pago por Contrato]],PAA_4[[#This Row],[Pago por bolsa]]))</f>
        <v>#NAME?</v>
      </c>
      <c r="AE1664" s="55" t="str">
        <f t="shared" ca="1" si="561"/>
        <v/>
      </c>
      <c r="AF1664" s="47" t="e">
        <f t="shared" ca="1" si="565"/>
        <v>#NAME?</v>
      </c>
      <c r="AG1664" s="47">
        <f t="shared" si="562"/>
        <v>41080101</v>
      </c>
      <c r="AH1664" s="54" t="str">
        <f>IF(Q1664="22",IF(ISNUMBER(SEARCH("econ",PAA_4[[#This Row],[Actividad3]])),"Económico",IF(ISNUMBER(SEARCH("alim",PAA_4[[#This Row],[Actividad3]])),"Alimentación",IF(ISNUMBER(SEARCH("educ",PAA_4[[#This Row],[Actividad3]])),"Educativo","Técnico"))),0)</f>
        <v>Técnico</v>
      </c>
      <c r="AI1664" s="47" t="e" cm="1">
        <f t="array" aca="1" ref="AI1664" ca="1">_xlfn.XLOOKUP(PAA_4[[#This Row],[RCP-RUBRO]],[2]!COMPROMISOS_2024[[#All],[concatenado]],[2]!COMPROMISOS_2024[[#All],[Total pagado]],"",0)</f>
        <v>#NAME?</v>
      </c>
      <c r="AJ1664" s="56" t="e">
        <f ca="1">IF(PAA_4[[#This Row],[BOLSA]]=0,0,SUMIFS([2]!COMPROMISOS_2024[[#All],[Total pagado]],[2]!COMPROMISOS_2024[[#All],[Bolsa]],PAA_4[[#This Row],[BOLSA]],[2]!COMPROMISOS_2024[[#All],[rubro]],PAA_4[[#This Row],[RCP-RUBRO]]))</f>
        <v>#REF!</v>
      </c>
      <c r="AK1664" s="47" t="e" cm="1">
        <f t="array" aca="1" ref="AK1664" ca="1">_xlfn.XLOOKUP(PAA_4[[#This Row],[RCP-RUBRO]],[2]!COMPROMISOS_2024[[#All],[concatenado]],[2]!COMPROMISOS_2024[[#All],[Total Comprometido]],"",0)</f>
        <v>#NAME?</v>
      </c>
      <c r="AL1664" s="47" t="e">
        <f ca="1">IF(PAA_4[[#This Row],[BOLSA]]=0,0,SUMIFS([2]!COMPROMISOS_2024[[#All],[Total Comprometido]],[2]!COMPROMISOS_2024[[#All],[Bolsa]],PAA_4[[#This Row],[BOLSA]],[2]!COMPROMISOS_2024[[#All],[concatenado]],PAA_4[[#This Row],[RCP-RUBRO]]))</f>
        <v>#REF!</v>
      </c>
    </row>
    <row r="1665" spans="1:38" s="19" customFormat="1" ht="31.5" customHeight="1">
      <c r="A1665" s="47">
        <v>915</v>
      </c>
      <c r="B1665" s="344">
        <v>80111600</v>
      </c>
      <c r="C1665" s="47" t="str">
        <f>VLOOKUP(PAA_4[[#This Row],[PROYECTO (formulado)2]],[2]PROYECTOS!$G$1:$L$32,6,0)</f>
        <v>SUBGERENCIA DE ALTOS LOGROS Y DEPORTE ASOCIADO</v>
      </c>
      <c r="D1665" s="47" t="str">
        <f>+IF(PAA_4[[#This Row],[UNIDAD DE CONTRATACION (formulado)]]="Subgerencia Administrativa y Financiera","FUNCIONAMIENTO","INVERSIÓN")</f>
        <v>INVERSIÓN</v>
      </c>
      <c r="E1665" s="48" t="str">
        <f>VLOOKUP(Q1665,[2]PROYECTOS!$G$1:$K$32,5,0)</f>
        <v>APOYO_TÉCNICO_Y_PSICOSOCIAL_A_LOS_DEPORTISTAS_DE_ANTIOQUIA</v>
      </c>
      <c r="F1665" s="48">
        <f>VLOOKUP(E1665,[2]PROYECTOS!$K$1:$M$32,3,0)</f>
        <v>2021003050069</v>
      </c>
      <c r="G1665" s="371" t="s">
        <v>239</v>
      </c>
      <c r="H1665" s="49" t="str">
        <f>VLOOKUP(Q1665,[2]PROYECTOS!$V$1:$W$32,2,0)</f>
        <v>050069</v>
      </c>
      <c r="I1665" s="374">
        <v>16073020</v>
      </c>
      <c r="J1665" s="286" t="s">
        <v>1993</v>
      </c>
      <c r="K1665" s="47" t="str">
        <f t="shared" ca="1" si="560"/>
        <v>CONTRATADO</v>
      </c>
      <c r="L1665" s="372" t="s">
        <v>147</v>
      </c>
      <c r="M1665" s="58" t="s">
        <v>1297</v>
      </c>
      <c r="N1665" s="344" t="s">
        <v>240</v>
      </c>
      <c r="O1665" s="51" t="e">
        <f>VLOOKUP(N1665,[2]!RUBROS[#All],3,0)</f>
        <v>#REF!</v>
      </c>
      <c r="P1665" s="53" t="e">
        <f>VLOOKUP(N1665,[2]!RUBROS[#All],2,0)</f>
        <v>#REF!</v>
      </c>
      <c r="Q1665" s="47" t="str">
        <f t="shared" si="563"/>
        <v>22</v>
      </c>
      <c r="R1665" s="47" t="str">
        <f t="shared" si="564"/>
        <v>0-205400</v>
      </c>
      <c r="S1665" s="342">
        <v>122</v>
      </c>
      <c r="T1665" s="59" t="s">
        <v>1970</v>
      </c>
      <c r="U1665" s="326" t="e">
        <f ca="1">_xlfn.XLOOKUP(PAA_4[[#This Row],[ITEM]],[2]Contrato!A:A,[2]Contrato!Q:Q,"",0)</f>
        <v>#NAME?</v>
      </c>
      <c r="V1665" s="47" t="s">
        <v>95</v>
      </c>
      <c r="W1665" s="373" t="s">
        <v>1971</v>
      </c>
      <c r="X1665" s="373" t="s">
        <v>1972</v>
      </c>
      <c r="Y1665" s="55" t="e">
        <f ca="1">_xlfn.XLOOKUP(PAA_4[[#This Row],[ITEM]],[2]Contrato!A:A,[2]Contrato!B:B,"",0)</f>
        <v>#NAME?</v>
      </c>
      <c r="Z1665" s="47" t="e">
        <f ca="1">_xlfn.XLOOKUP(PAA_4[[#This Row],[ITEM]],[2]Contrato!A:A,[2]Contrato!G:G,"",0)</f>
        <v>#NAME?</v>
      </c>
      <c r="AA1665" s="47" t="e">
        <f ca="1">_xlfn.XLOOKUP(PAA_4[[#This Row],[ITEM]],[2]Contrato!A:A,[2]Contrato!T:T,"",0)</f>
        <v>#NAME?</v>
      </c>
      <c r="AB1665" s="55" t="e">
        <f ca="1">+MAX(PAA_4[[#This Row],[Comprometido Contrato]],PAA_4[[#This Row],[Comprometido Bolsa]])</f>
        <v>#NAME?</v>
      </c>
      <c r="AC1665" s="55" t="str">
        <f t="shared" ca="1" si="559"/>
        <v/>
      </c>
      <c r="AD1665" s="55" t="e">
        <f ca="1">IF(PAA_4[[#This Row],[ESTADO (formulado)]]="NO CONTRATADO",0,MAX(PAA_4[[#This Row],[Pago por Contrato]],PAA_4[[#This Row],[Pago por bolsa]]))</f>
        <v>#NAME?</v>
      </c>
      <c r="AE1665" s="55" t="str">
        <f t="shared" ca="1" si="561"/>
        <v/>
      </c>
      <c r="AF1665" s="47" t="e">
        <f t="shared" ca="1" si="565"/>
        <v>#NAME?</v>
      </c>
      <c r="AG1665" s="47">
        <f t="shared" si="562"/>
        <v>41080101</v>
      </c>
      <c r="AH1665" s="54" t="str">
        <f>IF(Q1665="22",IF(ISNUMBER(SEARCH("econ",PAA_4[[#This Row],[Actividad3]])),"Económico",IF(ISNUMBER(SEARCH("alim",PAA_4[[#This Row],[Actividad3]])),"Alimentación",IF(ISNUMBER(SEARCH("educ",PAA_4[[#This Row],[Actividad3]])),"Educativo","Técnico"))),0)</f>
        <v>Técnico</v>
      </c>
      <c r="AI1665" s="47" t="e" cm="1">
        <f t="array" aca="1" ref="AI1665" ca="1">_xlfn.XLOOKUP(PAA_4[[#This Row],[RCP-RUBRO]],[2]!COMPROMISOS_2024[[#All],[concatenado]],[2]!COMPROMISOS_2024[[#All],[Total pagado]],"",0)</f>
        <v>#NAME?</v>
      </c>
      <c r="AJ1665" s="56" t="e">
        <f ca="1">IF(PAA_4[[#This Row],[BOLSA]]=0,0,SUMIFS([2]!COMPROMISOS_2024[[#All],[Total pagado]],[2]!COMPROMISOS_2024[[#All],[Bolsa]],PAA_4[[#This Row],[BOLSA]],[2]!COMPROMISOS_2024[[#All],[rubro]],PAA_4[[#This Row],[RCP-RUBRO]]))</f>
        <v>#REF!</v>
      </c>
      <c r="AK1665" s="47" t="e" cm="1">
        <f t="array" aca="1" ref="AK1665" ca="1">_xlfn.XLOOKUP(PAA_4[[#This Row],[RCP-RUBRO]],[2]!COMPROMISOS_2024[[#All],[concatenado]],[2]!COMPROMISOS_2024[[#All],[Total Comprometido]],"",0)</f>
        <v>#NAME?</v>
      </c>
      <c r="AL1665" s="47" t="e">
        <f ca="1">IF(PAA_4[[#This Row],[BOLSA]]=0,0,SUMIFS([2]!COMPROMISOS_2024[[#All],[Total Comprometido]],[2]!COMPROMISOS_2024[[#All],[Bolsa]],PAA_4[[#This Row],[BOLSA]],[2]!COMPROMISOS_2024[[#All],[concatenado]],PAA_4[[#This Row],[RCP-RUBRO]]))</f>
        <v>#REF!</v>
      </c>
    </row>
    <row r="1666" spans="1:38" s="19" customFormat="1" ht="31.5" customHeight="1">
      <c r="A1666" s="47">
        <v>916</v>
      </c>
      <c r="B1666" s="344">
        <v>80111600</v>
      </c>
      <c r="C1666" s="47" t="str">
        <f>VLOOKUP(PAA_4[[#This Row],[PROYECTO (formulado)2]],[2]PROYECTOS!$G$1:$L$32,6,0)</f>
        <v>SUBGERENCIA DE ALTOS LOGROS Y DEPORTE ASOCIADO</v>
      </c>
      <c r="D1666" s="47" t="str">
        <f>+IF(PAA_4[[#This Row],[UNIDAD DE CONTRATACION (formulado)]]="Subgerencia Administrativa y Financiera","FUNCIONAMIENTO","INVERSIÓN")</f>
        <v>INVERSIÓN</v>
      </c>
      <c r="E1666" s="48" t="str">
        <f>VLOOKUP(Q1666,[2]PROYECTOS!$G$1:$K$32,5,0)</f>
        <v>APOYO_TÉCNICO_Y_PSICOSOCIAL_A_LOS_DEPORTISTAS_DE_ANTIOQUIA</v>
      </c>
      <c r="F1666" s="48">
        <f>VLOOKUP(E1666,[2]PROYECTOS!$K$1:$M$32,3,0)</f>
        <v>2021003050069</v>
      </c>
      <c r="G1666" s="371" t="s">
        <v>239</v>
      </c>
      <c r="H1666" s="49" t="str">
        <f>VLOOKUP(Q1666,[2]PROYECTOS!$V$1:$W$32,2,0)</f>
        <v>050069</v>
      </c>
      <c r="I1666" s="374">
        <v>10471024</v>
      </c>
      <c r="J1666" s="286" t="s">
        <v>1993</v>
      </c>
      <c r="K1666" s="47" t="str">
        <f t="shared" ca="1" si="560"/>
        <v>CONTRATADO</v>
      </c>
      <c r="L1666" s="372" t="s">
        <v>147</v>
      </c>
      <c r="M1666" s="58" t="s">
        <v>1297</v>
      </c>
      <c r="N1666" s="344" t="s">
        <v>240</v>
      </c>
      <c r="O1666" s="51" t="e">
        <f>VLOOKUP(N1666,[2]!RUBROS[#All],3,0)</f>
        <v>#REF!</v>
      </c>
      <c r="P1666" s="53" t="e">
        <f>VLOOKUP(N1666,[2]!RUBROS[#All],2,0)</f>
        <v>#REF!</v>
      </c>
      <c r="Q1666" s="47" t="str">
        <f t="shared" si="563"/>
        <v>22</v>
      </c>
      <c r="R1666" s="47" t="str">
        <f t="shared" si="564"/>
        <v>0-205400</v>
      </c>
      <c r="S1666" s="342">
        <v>122</v>
      </c>
      <c r="T1666" s="59" t="s">
        <v>1970</v>
      </c>
      <c r="U1666" s="326" t="e">
        <f ca="1">_xlfn.XLOOKUP(PAA_4[[#This Row],[ITEM]],[2]Contrato!A:A,[2]Contrato!Q:Q,"",0)</f>
        <v>#NAME?</v>
      </c>
      <c r="V1666" s="47" t="s">
        <v>95</v>
      </c>
      <c r="W1666" s="373" t="s">
        <v>1971</v>
      </c>
      <c r="X1666" s="373" t="s">
        <v>1972</v>
      </c>
      <c r="Y1666" s="55" t="e">
        <f ca="1">_xlfn.XLOOKUP(PAA_4[[#This Row],[ITEM]],[2]Contrato!A:A,[2]Contrato!B:B,"",0)</f>
        <v>#NAME?</v>
      </c>
      <c r="Z1666" s="47" t="e">
        <f ca="1">_xlfn.XLOOKUP(PAA_4[[#This Row],[ITEM]],[2]Contrato!A:A,[2]Contrato!G:G,"",0)</f>
        <v>#NAME?</v>
      </c>
      <c r="AA1666" s="47" t="e">
        <f ca="1">_xlfn.XLOOKUP(PAA_4[[#This Row],[ITEM]],[2]Contrato!A:A,[2]Contrato!T:T,"",0)</f>
        <v>#NAME?</v>
      </c>
      <c r="AB1666" s="55" t="e">
        <f ca="1">+MAX(PAA_4[[#This Row],[Comprometido Contrato]],PAA_4[[#This Row],[Comprometido Bolsa]])</f>
        <v>#NAME?</v>
      </c>
      <c r="AC1666" s="55" t="str">
        <f t="shared" ca="1" si="559"/>
        <v/>
      </c>
      <c r="AD1666" s="55" t="e">
        <f ca="1">IF(PAA_4[[#This Row],[ESTADO (formulado)]]="NO CONTRATADO",0,MAX(PAA_4[[#This Row],[Pago por Contrato]],PAA_4[[#This Row],[Pago por bolsa]]))</f>
        <v>#NAME?</v>
      </c>
      <c r="AE1666" s="55" t="str">
        <f t="shared" ca="1" si="561"/>
        <v/>
      </c>
      <c r="AF1666" s="47" t="e">
        <f t="shared" ca="1" si="565"/>
        <v>#NAME?</v>
      </c>
      <c r="AG1666" s="47">
        <f t="shared" si="562"/>
        <v>41080101</v>
      </c>
      <c r="AH1666" s="54" t="str">
        <f>IF(Q1666="22",IF(ISNUMBER(SEARCH("econ",PAA_4[[#This Row],[Actividad3]])),"Económico",IF(ISNUMBER(SEARCH("alim",PAA_4[[#This Row],[Actividad3]])),"Alimentación",IF(ISNUMBER(SEARCH("educ",PAA_4[[#This Row],[Actividad3]])),"Educativo","Técnico"))),0)</f>
        <v>Técnico</v>
      </c>
      <c r="AI1666" s="47" t="e" cm="1">
        <f t="array" aca="1" ref="AI1666" ca="1">_xlfn.XLOOKUP(PAA_4[[#This Row],[RCP-RUBRO]],[2]!COMPROMISOS_2024[[#All],[concatenado]],[2]!COMPROMISOS_2024[[#All],[Total pagado]],"",0)</f>
        <v>#NAME?</v>
      </c>
      <c r="AJ1666" s="56" t="e">
        <f ca="1">IF(PAA_4[[#This Row],[BOLSA]]=0,0,SUMIFS([2]!COMPROMISOS_2024[[#All],[Total pagado]],[2]!COMPROMISOS_2024[[#All],[Bolsa]],PAA_4[[#This Row],[BOLSA]],[2]!COMPROMISOS_2024[[#All],[rubro]],PAA_4[[#This Row],[RCP-RUBRO]]))</f>
        <v>#REF!</v>
      </c>
      <c r="AK1666" s="47" t="e" cm="1">
        <f t="array" aca="1" ref="AK1666" ca="1">_xlfn.XLOOKUP(PAA_4[[#This Row],[RCP-RUBRO]],[2]!COMPROMISOS_2024[[#All],[concatenado]],[2]!COMPROMISOS_2024[[#All],[Total Comprometido]],"",0)</f>
        <v>#NAME?</v>
      </c>
      <c r="AL1666" s="47" t="e">
        <f ca="1">IF(PAA_4[[#This Row],[BOLSA]]=0,0,SUMIFS([2]!COMPROMISOS_2024[[#All],[Total Comprometido]],[2]!COMPROMISOS_2024[[#All],[Bolsa]],PAA_4[[#This Row],[BOLSA]],[2]!COMPROMISOS_2024[[#All],[concatenado]],PAA_4[[#This Row],[RCP-RUBRO]]))</f>
        <v>#REF!</v>
      </c>
    </row>
    <row r="1667" spans="1:38" s="19" customFormat="1" ht="31.5" customHeight="1">
      <c r="A1667" s="47">
        <v>917</v>
      </c>
      <c r="B1667" s="344">
        <v>80111600</v>
      </c>
      <c r="C1667" s="47" t="str">
        <f>VLOOKUP(PAA_4[[#This Row],[PROYECTO (formulado)2]],[2]PROYECTOS!$G$1:$L$32,6,0)</f>
        <v>SUBGERENCIA DE ALTOS LOGROS Y DEPORTE ASOCIADO</v>
      </c>
      <c r="D1667" s="47" t="str">
        <f>+IF(PAA_4[[#This Row],[UNIDAD DE CONTRATACION (formulado)]]="Subgerencia Administrativa y Financiera","FUNCIONAMIENTO","INVERSIÓN")</f>
        <v>INVERSIÓN</v>
      </c>
      <c r="E1667" s="48" t="str">
        <f>VLOOKUP(Q1667,[2]PROYECTOS!$G$1:$K$32,5,0)</f>
        <v>APOYO_TÉCNICO_Y_PSICOSOCIAL_A_LOS_DEPORTISTAS_DE_ANTIOQUIA</v>
      </c>
      <c r="F1667" s="48">
        <f>VLOOKUP(E1667,[2]PROYECTOS!$K$1:$M$32,3,0)</f>
        <v>2021003050069</v>
      </c>
      <c r="G1667" s="371" t="s">
        <v>239</v>
      </c>
      <c r="H1667" s="49" t="str">
        <f>VLOOKUP(Q1667,[2]PROYECTOS!$V$1:$W$32,2,0)</f>
        <v>050069</v>
      </c>
      <c r="I1667" s="374">
        <v>32162311</v>
      </c>
      <c r="J1667" s="286" t="s">
        <v>1993</v>
      </c>
      <c r="K1667" s="47" t="str">
        <f t="shared" ca="1" si="560"/>
        <v>CONTRATADO</v>
      </c>
      <c r="L1667" s="372" t="s">
        <v>147</v>
      </c>
      <c r="M1667" s="58" t="s">
        <v>1297</v>
      </c>
      <c r="N1667" s="344" t="s">
        <v>240</v>
      </c>
      <c r="O1667" s="51" t="e">
        <f>VLOOKUP(N1667,[2]!RUBROS[#All],3,0)</f>
        <v>#REF!</v>
      </c>
      <c r="P1667" s="53" t="e">
        <f>VLOOKUP(N1667,[2]!RUBROS[#All],2,0)</f>
        <v>#REF!</v>
      </c>
      <c r="Q1667" s="47" t="str">
        <f t="shared" si="563"/>
        <v>22</v>
      </c>
      <c r="R1667" s="47" t="str">
        <f t="shared" si="564"/>
        <v>0-205400</v>
      </c>
      <c r="S1667" s="342">
        <v>122</v>
      </c>
      <c r="T1667" s="59" t="s">
        <v>1970</v>
      </c>
      <c r="U1667" s="326" t="e">
        <f ca="1">_xlfn.XLOOKUP(PAA_4[[#This Row],[ITEM]],[2]Contrato!A:A,[2]Contrato!Q:Q,"",0)</f>
        <v>#NAME?</v>
      </c>
      <c r="V1667" s="47" t="s">
        <v>95</v>
      </c>
      <c r="W1667" s="373" t="s">
        <v>1971</v>
      </c>
      <c r="X1667" s="373" t="s">
        <v>1972</v>
      </c>
      <c r="Y1667" s="55" t="e">
        <f ca="1">_xlfn.XLOOKUP(PAA_4[[#This Row],[ITEM]],[2]Contrato!A:A,[2]Contrato!B:B,"",0)</f>
        <v>#NAME?</v>
      </c>
      <c r="Z1667" s="47" t="e">
        <f ca="1">_xlfn.XLOOKUP(PAA_4[[#This Row],[ITEM]],[2]Contrato!A:A,[2]Contrato!G:G,"",0)</f>
        <v>#NAME?</v>
      </c>
      <c r="AA1667" s="47" t="e">
        <f ca="1">_xlfn.XLOOKUP(PAA_4[[#This Row],[ITEM]],[2]Contrato!A:A,[2]Contrato!T:T,"",0)</f>
        <v>#NAME?</v>
      </c>
      <c r="AB1667" s="55" t="e">
        <f ca="1">+MAX(PAA_4[[#This Row],[Comprometido Contrato]],PAA_4[[#This Row],[Comprometido Bolsa]])</f>
        <v>#NAME?</v>
      </c>
      <c r="AC1667" s="55" t="str">
        <f t="shared" ca="1" si="559"/>
        <v/>
      </c>
      <c r="AD1667" s="55" t="e">
        <f ca="1">IF(PAA_4[[#This Row],[ESTADO (formulado)]]="NO CONTRATADO",0,MAX(PAA_4[[#This Row],[Pago por Contrato]],PAA_4[[#This Row],[Pago por bolsa]]))</f>
        <v>#NAME?</v>
      </c>
      <c r="AE1667" s="55" t="str">
        <f t="shared" ca="1" si="561"/>
        <v/>
      </c>
      <c r="AF1667" s="47" t="e">
        <f t="shared" ca="1" si="565"/>
        <v>#NAME?</v>
      </c>
      <c r="AG1667" s="47">
        <f t="shared" si="562"/>
        <v>41080101</v>
      </c>
      <c r="AH1667" s="54" t="str">
        <f>IF(Q1667="22",IF(ISNUMBER(SEARCH("econ",PAA_4[[#This Row],[Actividad3]])),"Económico",IF(ISNUMBER(SEARCH("alim",PAA_4[[#This Row],[Actividad3]])),"Alimentación",IF(ISNUMBER(SEARCH("educ",PAA_4[[#This Row],[Actividad3]])),"Educativo","Técnico"))),0)</f>
        <v>Técnico</v>
      </c>
      <c r="AI1667" s="47" t="e" cm="1">
        <f t="array" aca="1" ref="AI1667" ca="1">_xlfn.XLOOKUP(PAA_4[[#This Row],[RCP-RUBRO]],[2]!COMPROMISOS_2024[[#All],[concatenado]],[2]!COMPROMISOS_2024[[#All],[Total pagado]],"",0)</f>
        <v>#NAME?</v>
      </c>
      <c r="AJ1667" s="56" t="e">
        <f ca="1">IF(PAA_4[[#This Row],[BOLSA]]=0,0,SUMIFS([2]!COMPROMISOS_2024[[#All],[Total pagado]],[2]!COMPROMISOS_2024[[#All],[Bolsa]],PAA_4[[#This Row],[BOLSA]],[2]!COMPROMISOS_2024[[#All],[rubro]],PAA_4[[#This Row],[RCP-RUBRO]]))</f>
        <v>#REF!</v>
      </c>
      <c r="AK1667" s="47" t="e" cm="1">
        <f t="array" aca="1" ref="AK1667" ca="1">_xlfn.XLOOKUP(PAA_4[[#This Row],[RCP-RUBRO]],[2]!COMPROMISOS_2024[[#All],[concatenado]],[2]!COMPROMISOS_2024[[#All],[Total Comprometido]],"",0)</f>
        <v>#NAME?</v>
      </c>
      <c r="AL1667" s="47" t="e">
        <f ca="1">IF(PAA_4[[#This Row],[BOLSA]]=0,0,SUMIFS([2]!COMPROMISOS_2024[[#All],[Total Comprometido]],[2]!COMPROMISOS_2024[[#All],[Bolsa]],PAA_4[[#This Row],[BOLSA]],[2]!COMPROMISOS_2024[[#All],[concatenado]],PAA_4[[#This Row],[RCP-RUBRO]]))</f>
        <v>#REF!</v>
      </c>
    </row>
    <row r="1668" spans="1:38" s="19" customFormat="1" ht="31.5" customHeight="1">
      <c r="A1668" s="47">
        <v>918</v>
      </c>
      <c r="B1668" s="344">
        <v>80111600</v>
      </c>
      <c r="C1668" s="47" t="str">
        <f>VLOOKUP(PAA_4[[#This Row],[PROYECTO (formulado)2]],[2]PROYECTOS!$G$1:$L$32,6,0)</f>
        <v>SUBGERENCIA DE ALTOS LOGROS Y DEPORTE ASOCIADO</v>
      </c>
      <c r="D1668" s="47" t="str">
        <f>+IF(PAA_4[[#This Row],[UNIDAD DE CONTRATACION (formulado)]]="Subgerencia Administrativa y Financiera","FUNCIONAMIENTO","INVERSIÓN")</f>
        <v>INVERSIÓN</v>
      </c>
      <c r="E1668" s="48" t="str">
        <f>VLOOKUP(Q1668,[2]PROYECTOS!$G$1:$K$32,5,0)</f>
        <v>APOYO_TÉCNICO_Y_PSICOSOCIAL_A_LOS_DEPORTISTAS_DE_ANTIOQUIA</v>
      </c>
      <c r="F1668" s="48">
        <f>VLOOKUP(E1668,[2]PROYECTOS!$K$1:$M$32,3,0)</f>
        <v>2021003050069</v>
      </c>
      <c r="G1668" s="371" t="s">
        <v>239</v>
      </c>
      <c r="H1668" s="49" t="str">
        <f>VLOOKUP(Q1668,[2]PROYECTOS!$V$1:$W$32,2,0)</f>
        <v>050069</v>
      </c>
      <c r="I1668" s="374">
        <v>28142021</v>
      </c>
      <c r="J1668" s="286" t="s">
        <v>1993</v>
      </c>
      <c r="K1668" s="47" t="str">
        <f t="shared" ca="1" si="560"/>
        <v>CONTRATADO</v>
      </c>
      <c r="L1668" s="372" t="s">
        <v>147</v>
      </c>
      <c r="M1668" s="58" t="s">
        <v>1297</v>
      </c>
      <c r="N1668" s="344" t="s">
        <v>240</v>
      </c>
      <c r="O1668" s="51" t="e">
        <f>VLOOKUP(N1668,[2]!RUBROS[#All],3,0)</f>
        <v>#REF!</v>
      </c>
      <c r="P1668" s="53" t="e">
        <f>VLOOKUP(N1668,[2]!RUBROS[#All],2,0)</f>
        <v>#REF!</v>
      </c>
      <c r="Q1668" s="47" t="str">
        <f t="shared" si="563"/>
        <v>22</v>
      </c>
      <c r="R1668" s="47" t="str">
        <f t="shared" si="564"/>
        <v>0-205400</v>
      </c>
      <c r="S1668" s="342">
        <v>122</v>
      </c>
      <c r="T1668" s="59" t="s">
        <v>1970</v>
      </c>
      <c r="U1668" s="326" t="e">
        <f ca="1">_xlfn.XLOOKUP(PAA_4[[#This Row],[ITEM]],[2]Contrato!A:A,[2]Contrato!Q:Q,"",0)</f>
        <v>#NAME?</v>
      </c>
      <c r="V1668" s="47" t="s">
        <v>95</v>
      </c>
      <c r="W1668" s="373" t="s">
        <v>1971</v>
      </c>
      <c r="X1668" s="373" t="s">
        <v>1972</v>
      </c>
      <c r="Y1668" s="55" t="e">
        <f ca="1">_xlfn.XLOOKUP(PAA_4[[#This Row],[ITEM]],[2]Contrato!A:A,[2]Contrato!B:B,"",0)</f>
        <v>#NAME?</v>
      </c>
      <c r="Z1668" s="47" t="e">
        <f ca="1">_xlfn.XLOOKUP(PAA_4[[#This Row],[ITEM]],[2]Contrato!A:A,[2]Contrato!G:G,"",0)</f>
        <v>#NAME?</v>
      </c>
      <c r="AA1668" s="47" t="e">
        <f ca="1">_xlfn.XLOOKUP(PAA_4[[#This Row],[ITEM]],[2]Contrato!A:A,[2]Contrato!T:T,"",0)</f>
        <v>#NAME?</v>
      </c>
      <c r="AB1668" s="55" t="e">
        <f ca="1">+MAX(PAA_4[[#This Row],[Comprometido Contrato]],PAA_4[[#This Row],[Comprometido Bolsa]])</f>
        <v>#NAME?</v>
      </c>
      <c r="AC1668" s="55" t="str">
        <f t="shared" ca="1" si="559"/>
        <v/>
      </c>
      <c r="AD1668" s="55" t="e">
        <f ca="1">IF(PAA_4[[#This Row],[ESTADO (formulado)]]="NO CONTRATADO",0,MAX(PAA_4[[#This Row],[Pago por Contrato]],PAA_4[[#This Row],[Pago por bolsa]]))</f>
        <v>#NAME?</v>
      </c>
      <c r="AE1668" s="55" t="str">
        <f t="shared" ca="1" si="561"/>
        <v/>
      </c>
      <c r="AF1668" s="47" t="e">
        <f t="shared" ca="1" si="565"/>
        <v>#NAME?</v>
      </c>
      <c r="AG1668" s="47">
        <f t="shared" si="562"/>
        <v>41080101</v>
      </c>
      <c r="AH1668" s="54" t="str">
        <f>IF(Q1668="22",IF(ISNUMBER(SEARCH("econ",PAA_4[[#This Row],[Actividad3]])),"Económico",IF(ISNUMBER(SEARCH("alim",PAA_4[[#This Row],[Actividad3]])),"Alimentación",IF(ISNUMBER(SEARCH("educ",PAA_4[[#This Row],[Actividad3]])),"Educativo","Técnico"))),0)</f>
        <v>Técnico</v>
      </c>
      <c r="AI1668" s="47" t="e" cm="1">
        <f t="array" aca="1" ref="AI1668" ca="1">_xlfn.XLOOKUP(PAA_4[[#This Row],[RCP-RUBRO]],[2]!COMPROMISOS_2024[[#All],[concatenado]],[2]!COMPROMISOS_2024[[#All],[Total pagado]],"",0)</f>
        <v>#NAME?</v>
      </c>
      <c r="AJ1668" s="56" t="e">
        <f ca="1">IF(PAA_4[[#This Row],[BOLSA]]=0,0,SUMIFS([2]!COMPROMISOS_2024[[#All],[Total pagado]],[2]!COMPROMISOS_2024[[#All],[Bolsa]],PAA_4[[#This Row],[BOLSA]],[2]!COMPROMISOS_2024[[#All],[rubro]],PAA_4[[#This Row],[RCP-RUBRO]]))</f>
        <v>#REF!</v>
      </c>
      <c r="AK1668" s="47" t="e" cm="1">
        <f t="array" aca="1" ref="AK1668" ca="1">_xlfn.XLOOKUP(PAA_4[[#This Row],[RCP-RUBRO]],[2]!COMPROMISOS_2024[[#All],[concatenado]],[2]!COMPROMISOS_2024[[#All],[Total Comprometido]],"",0)</f>
        <v>#NAME?</v>
      </c>
      <c r="AL1668" s="47" t="e">
        <f ca="1">IF(PAA_4[[#This Row],[BOLSA]]=0,0,SUMIFS([2]!COMPROMISOS_2024[[#All],[Total Comprometido]],[2]!COMPROMISOS_2024[[#All],[Bolsa]],PAA_4[[#This Row],[BOLSA]],[2]!COMPROMISOS_2024[[#All],[concatenado]],PAA_4[[#This Row],[RCP-RUBRO]]))</f>
        <v>#REF!</v>
      </c>
    </row>
    <row r="1669" spans="1:38" s="19" customFormat="1" ht="31.5" customHeight="1">
      <c r="A1669" s="47">
        <v>919</v>
      </c>
      <c r="B1669" s="344">
        <v>80111600</v>
      </c>
      <c r="C1669" s="47" t="str">
        <f>VLOOKUP(PAA_4[[#This Row],[PROYECTO (formulado)2]],[2]PROYECTOS!$G$1:$L$32,6,0)</f>
        <v>SUBGERENCIA DE ALTOS LOGROS Y DEPORTE ASOCIADO</v>
      </c>
      <c r="D1669" s="47" t="str">
        <f>+IF(PAA_4[[#This Row],[UNIDAD DE CONTRATACION (formulado)]]="Subgerencia Administrativa y Financiera","FUNCIONAMIENTO","INVERSIÓN")</f>
        <v>INVERSIÓN</v>
      </c>
      <c r="E1669" s="48" t="str">
        <f>VLOOKUP(Q1669,[2]PROYECTOS!$G$1:$K$32,5,0)</f>
        <v>APOYO_TÉCNICO_Y_PSICOSOCIAL_A_LOS_DEPORTISTAS_DE_ANTIOQUIA</v>
      </c>
      <c r="F1669" s="48">
        <f>VLOOKUP(E1669,[2]PROYECTOS!$K$1:$M$32,3,0)</f>
        <v>2021003050069</v>
      </c>
      <c r="G1669" s="371" t="s">
        <v>239</v>
      </c>
      <c r="H1669" s="49" t="str">
        <f>VLOOKUP(Q1669,[2]PROYECTOS!$V$1:$W$32,2,0)</f>
        <v>050069</v>
      </c>
      <c r="I1669" s="374">
        <v>19963006</v>
      </c>
      <c r="J1669" s="286" t="s">
        <v>1993</v>
      </c>
      <c r="K1669" s="47" t="str">
        <f t="shared" ca="1" si="560"/>
        <v>CONTRATADO</v>
      </c>
      <c r="L1669" s="372" t="s">
        <v>147</v>
      </c>
      <c r="M1669" s="58" t="s">
        <v>1297</v>
      </c>
      <c r="N1669" s="344" t="s">
        <v>240</v>
      </c>
      <c r="O1669" s="51" t="e">
        <f>VLOOKUP(N1669,[2]!RUBROS[#All],3,0)</f>
        <v>#REF!</v>
      </c>
      <c r="P1669" s="53" t="e">
        <f>VLOOKUP(N1669,[2]!RUBROS[#All],2,0)</f>
        <v>#REF!</v>
      </c>
      <c r="Q1669" s="47" t="str">
        <f t="shared" si="563"/>
        <v>22</v>
      </c>
      <c r="R1669" s="47" t="str">
        <f t="shared" si="564"/>
        <v>0-205400</v>
      </c>
      <c r="S1669" s="342">
        <v>122</v>
      </c>
      <c r="T1669" s="59" t="s">
        <v>1970</v>
      </c>
      <c r="U1669" s="326" t="e">
        <f ca="1">_xlfn.XLOOKUP(PAA_4[[#This Row],[ITEM]],[2]Contrato!A:A,[2]Contrato!Q:Q,"",0)</f>
        <v>#NAME?</v>
      </c>
      <c r="V1669" s="47" t="s">
        <v>95</v>
      </c>
      <c r="W1669" s="373" t="s">
        <v>1971</v>
      </c>
      <c r="X1669" s="373" t="s">
        <v>1972</v>
      </c>
      <c r="Y1669" s="55" t="e">
        <f ca="1">_xlfn.XLOOKUP(PAA_4[[#This Row],[ITEM]],[2]Contrato!A:A,[2]Contrato!B:B,"",0)</f>
        <v>#NAME?</v>
      </c>
      <c r="Z1669" s="47" t="e">
        <f ca="1">_xlfn.XLOOKUP(PAA_4[[#This Row],[ITEM]],[2]Contrato!A:A,[2]Contrato!G:G,"",0)</f>
        <v>#NAME?</v>
      </c>
      <c r="AA1669" s="47" t="e">
        <f ca="1">_xlfn.XLOOKUP(PAA_4[[#This Row],[ITEM]],[2]Contrato!A:A,[2]Contrato!T:T,"",0)</f>
        <v>#NAME?</v>
      </c>
      <c r="AB1669" s="55" t="e">
        <f ca="1">+MAX(PAA_4[[#This Row],[Comprometido Contrato]],PAA_4[[#This Row],[Comprometido Bolsa]])</f>
        <v>#NAME?</v>
      </c>
      <c r="AC1669" s="55" t="str">
        <f t="shared" ca="1" si="559"/>
        <v/>
      </c>
      <c r="AD1669" s="55" t="e">
        <f ca="1">IF(PAA_4[[#This Row],[ESTADO (formulado)]]="NO CONTRATADO",0,MAX(PAA_4[[#This Row],[Pago por Contrato]],PAA_4[[#This Row],[Pago por bolsa]]))</f>
        <v>#NAME?</v>
      </c>
      <c r="AE1669" s="55" t="str">
        <f t="shared" ca="1" si="561"/>
        <v/>
      </c>
      <c r="AF1669" s="47" t="e">
        <f t="shared" ca="1" si="565"/>
        <v>#NAME?</v>
      </c>
      <c r="AG1669" s="47">
        <f t="shared" si="562"/>
        <v>41080101</v>
      </c>
      <c r="AH1669" s="54" t="str">
        <f>IF(Q1669="22",IF(ISNUMBER(SEARCH("econ",PAA_4[[#This Row],[Actividad3]])),"Económico",IF(ISNUMBER(SEARCH("alim",PAA_4[[#This Row],[Actividad3]])),"Alimentación",IF(ISNUMBER(SEARCH("educ",PAA_4[[#This Row],[Actividad3]])),"Educativo","Técnico"))),0)</f>
        <v>Técnico</v>
      </c>
      <c r="AI1669" s="47" t="e" cm="1">
        <f t="array" aca="1" ref="AI1669" ca="1">_xlfn.XLOOKUP(PAA_4[[#This Row],[RCP-RUBRO]],[2]!COMPROMISOS_2024[[#All],[concatenado]],[2]!COMPROMISOS_2024[[#All],[Total pagado]],"",0)</f>
        <v>#NAME?</v>
      </c>
      <c r="AJ1669" s="56" t="e">
        <f ca="1">IF(PAA_4[[#This Row],[BOLSA]]=0,0,SUMIFS([2]!COMPROMISOS_2024[[#All],[Total pagado]],[2]!COMPROMISOS_2024[[#All],[Bolsa]],PAA_4[[#This Row],[BOLSA]],[2]!COMPROMISOS_2024[[#All],[rubro]],PAA_4[[#This Row],[RCP-RUBRO]]))</f>
        <v>#REF!</v>
      </c>
      <c r="AK1669" s="47" t="e" cm="1">
        <f t="array" aca="1" ref="AK1669" ca="1">_xlfn.XLOOKUP(PAA_4[[#This Row],[RCP-RUBRO]],[2]!COMPROMISOS_2024[[#All],[concatenado]],[2]!COMPROMISOS_2024[[#All],[Total Comprometido]],"",0)</f>
        <v>#NAME?</v>
      </c>
      <c r="AL1669" s="47" t="e">
        <f ca="1">IF(PAA_4[[#This Row],[BOLSA]]=0,0,SUMIFS([2]!COMPROMISOS_2024[[#All],[Total Comprometido]],[2]!COMPROMISOS_2024[[#All],[Bolsa]],PAA_4[[#This Row],[BOLSA]],[2]!COMPROMISOS_2024[[#All],[concatenado]],PAA_4[[#This Row],[RCP-RUBRO]]))</f>
        <v>#REF!</v>
      </c>
    </row>
    <row r="1670" spans="1:38" s="19" customFormat="1" ht="31.5" customHeight="1">
      <c r="A1670" s="47" t="s">
        <v>82</v>
      </c>
      <c r="B1670" s="366" t="s">
        <v>42</v>
      </c>
      <c r="C1670" s="47" t="str">
        <f>VLOOKUP(PAA_4[[#This Row],[PROYECTO (formulado)2]],[2]PROYECTOS!$G$1:$L$32,6,0)</f>
        <v>SUBGERENCIA DE ALTOS LOGROS Y DEPORTE ASOCIADO</v>
      </c>
      <c r="D1670" s="47" t="str">
        <f>+IF(PAA_4[[#This Row],[UNIDAD DE CONTRATACION (formulado)]]="Subgerencia Administrativa y Financiera","FUNCIONAMIENTO","INVERSIÓN")</f>
        <v>INVERSIÓN</v>
      </c>
      <c r="E1670" s="48" t="str">
        <f>VLOOKUP(Q1670,[2]PROYECTOS!$G$1:$K$32,5,0)</f>
        <v>APOYO_TÉCNICO_Y_PSICOSOCIAL_A_LOS_DEPORTISTAS_DE_ANTIOQUIA</v>
      </c>
      <c r="F1670" s="48">
        <f>VLOOKUP(E1670,[2]PROYECTOS!$K$1:$M$32,3,0)</f>
        <v>2021003050069</v>
      </c>
      <c r="G1670" s="371" t="s">
        <v>241</v>
      </c>
      <c r="H1670" s="49" t="str">
        <f>VLOOKUP(Q1670,[2]PROYECTOS!$V$1:$W$32,2,0)</f>
        <v>050069</v>
      </c>
      <c r="I1670" s="374">
        <v>0</v>
      </c>
      <c r="J1670" s="366" t="s">
        <v>1778</v>
      </c>
      <c r="K1670" s="47" t="str">
        <f t="shared" ca="1" si="560"/>
        <v>CONTRATADO</v>
      </c>
      <c r="L1670" s="58" t="s">
        <v>42</v>
      </c>
      <c r="M1670" s="58" t="s">
        <v>42</v>
      </c>
      <c r="N1670" s="344" t="s">
        <v>240</v>
      </c>
      <c r="O1670" s="51" t="e">
        <f>VLOOKUP(N1670,[2]!RUBROS[#All],3,0)</f>
        <v>#REF!</v>
      </c>
      <c r="P1670" s="53" t="e">
        <f>VLOOKUP(N1670,[2]!RUBROS[#All],2,0)</f>
        <v>#REF!</v>
      </c>
      <c r="Q1670" s="47" t="str">
        <f t="shared" si="563"/>
        <v>22</v>
      </c>
      <c r="R1670" s="47" t="str">
        <f t="shared" si="564"/>
        <v>0-205400</v>
      </c>
      <c r="S1670" s="357" t="s">
        <v>42</v>
      </c>
      <c r="T1670" s="59" t="s">
        <v>42</v>
      </c>
      <c r="U1670" s="326" t="e">
        <f ca="1">_xlfn.XLOOKUP(PAA_4[[#This Row],[ITEM]],[2]Contrato!A:A,[2]Contrato!Q:Q,"",0)</f>
        <v>#NAME?</v>
      </c>
      <c r="V1670" s="47" t="s">
        <v>95</v>
      </c>
      <c r="W1670" s="375" t="s">
        <v>42</v>
      </c>
      <c r="X1670" s="375" t="s">
        <v>42</v>
      </c>
      <c r="Y1670" s="55" t="e">
        <f ca="1">_xlfn.XLOOKUP(PAA_4[[#This Row],[ITEM]],[2]Contrato!A:A,[2]Contrato!B:B,"",0)</f>
        <v>#NAME?</v>
      </c>
      <c r="Z1670" s="47" t="e">
        <f ca="1">_xlfn.XLOOKUP(PAA_4[[#This Row],[ITEM]],[2]Contrato!A:A,[2]Contrato!G:G,"",0)</f>
        <v>#NAME?</v>
      </c>
      <c r="AA1670" s="47" t="e">
        <f ca="1">_xlfn.XLOOKUP(PAA_4[[#This Row],[ITEM]],[2]Contrato!A:A,[2]Contrato!T:T,"",0)</f>
        <v>#NAME?</v>
      </c>
      <c r="AB1670" s="55" t="e">
        <f ca="1">+MAX(PAA_4[[#This Row],[Comprometido Contrato]],PAA_4[[#This Row],[Comprometido Bolsa]])</f>
        <v>#NAME?</v>
      </c>
      <c r="AC1670" s="55" t="str">
        <f t="shared" ca="1" si="559"/>
        <v/>
      </c>
      <c r="AD1670" s="55" t="e">
        <f ca="1">IF(PAA_4[[#This Row],[ESTADO (formulado)]]="NO CONTRATADO",0,MAX(PAA_4[[#This Row],[Pago por Contrato]],PAA_4[[#This Row],[Pago por bolsa]]))</f>
        <v>#NAME?</v>
      </c>
      <c r="AE1670" s="55" t="str">
        <f t="shared" ca="1" si="561"/>
        <v/>
      </c>
      <c r="AF1670" s="47" t="e">
        <f t="shared" ca="1" si="565"/>
        <v>#NAME?</v>
      </c>
      <c r="AG1670" s="47">
        <f t="shared" si="562"/>
        <v>41080106</v>
      </c>
      <c r="AH1670" s="54" t="str">
        <f>IF(Q1670="22",IF(ISNUMBER(SEARCH("econ",PAA_4[[#This Row],[Actividad3]])),"Económico",IF(ISNUMBER(SEARCH("alim",PAA_4[[#This Row],[Actividad3]])),"Alimentación",IF(ISNUMBER(SEARCH("educ",PAA_4[[#This Row],[Actividad3]])),"Educativo","Técnico"))),0)</f>
        <v>Técnico</v>
      </c>
      <c r="AI1670" s="47" t="e" cm="1">
        <f t="array" aca="1" ref="AI1670" ca="1">_xlfn.XLOOKUP(PAA_4[[#This Row],[RCP-RUBRO]],[2]!COMPROMISOS_2024[[#All],[concatenado]],[2]!COMPROMISOS_2024[[#All],[Total pagado]],"",0)</f>
        <v>#NAME?</v>
      </c>
      <c r="AJ1670" s="56" t="e">
        <f ca="1">IF(PAA_4[[#This Row],[BOLSA]]=0,0,SUMIFS([2]!COMPROMISOS_2024[[#All],[Total pagado]],[2]!COMPROMISOS_2024[[#All],[Bolsa]],PAA_4[[#This Row],[BOLSA]],[2]!COMPROMISOS_2024[[#All],[rubro]],PAA_4[[#This Row],[RCP-RUBRO]]))</f>
        <v>#REF!</v>
      </c>
      <c r="AK1670" s="47" t="e" cm="1">
        <f t="array" aca="1" ref="AK1670" ca="1">_xlfn.XLOOKUP(PAA_4[[#This Row],[RCP-RUBRO]],[2]!COMPROMISOS_2024[[#All],[concatenado]],[2]!COMPROMISOS_2024[[#All],[Total Comprometido]],"",0)</f>
        <v>#NAME?</v>
      </c>
      <c r="AL1670" s="47" t="e">
        <f ca="1">IF(PAA_4[[#This Row],[BOLSA]]=0,0,SUMIFS([2]!COMPROMISOS_2024[[#All],[Total Comprometido]],[2]!COMPROMISOS_2024[[#All],[Bolsa]],PAA_4[[#This Row],[BOLSA]],[2]!COMPROMISOS_2024[[#All],[concatenado]],PAA_4[[#This Row],[RCP-RUBRO]]))</f>
        <v>#REF!</v>
      </c>
    </row>
    <row r="1671" spans="1:38" s="19" customFormat="1" ht="31.5" customHeight="1">
      <c r="A1671" s="47">
        <v>920</v>
      </c>
      <c r="B1671" s="344">
        <v>80111600</v>
      </c>
      <c r="C1671" s="47" t="str">
        <f>VLOOKUP(PAA_4[[#This Row],[PROYECTO (formulado)2]],[2]PROYECTOS!$G$1:$L$32,6,0)</f>
        <v>SUBGERENCIA DE ALTOS LOGROS Y DEPORTE ASOCIADO</v>
      </c>
      <c r="D1671" s="47" t="str">
        <f>+IF(PAA_4[[#This Row],[UNIDAD DE CONTRATACION (formulado)]]="Subgerencia Administrativa y Financiera","FUNCIONAMIENTO","INVERSIÓN")</f>
        <v>INVERSIÓN</v>
      </c>
      <c r="E1671" s="48" t="str">
        <f>VLOOKUP(Q1671,[2]PROYECTOS!$G$1:$K$32,5,0)</f>
        <v>APOYO_TÉCNICO_Y_PSICOSOCIAL_A_LOS_DEPORTISTAS_DE_ANTIOQUIA</v>
      </c>
      <c r="F1671" s="48">
        <f>VLOOKUP(E1671,[2]PROYECTOS!$K$1:$M$32,3,0)</f>
        <v>2021003050069</v>
      </c>
      <c r="G1671" s="371" t="s">
        <v>241</v>
      </c>
      <c r="H1671" s="49" t="str">
        <f>VLOOKUP(Q1671,[2]PROYECTOS!$V$1:$W$32,2,0)</f>
        <v>050069</v>
      </c>
      <c r="I1671" s="374">
        <f>23714292-7641272</f>
        <v>16073020</v>
      </c>
      <c r="J1671" s="286" t="s">
        <v>1994</v>
      </c>
      <c r="K1671" s="47" t="str">
        <f t="shared" ca="1" si="560"/>
        <v>CONTRATADO</v>
      </c>
      <c r="L1671" s="372" t="s">
        <v>147</v>
      </c>
      <c r="M1671" s="58" t="s">
        <v>1297</v>
      </c>
      <c r="N1671" s="344" t="s">
        <v>240</v>
      </c>
      <c r="O1671" s="51" t="e">
        <f>VLOOKUP(N1671,[2]!RUBROS[#All],3,0)</f>
        <v>#REF!</v>
      </c>
      <c r="P1671" s="53" t="e">
        <f>VLOOKUP(N1671,[2]!RUBROS[#All],2,0)</f>
        <v>#REF!</v>
      </c>
      <c r="Q1671" s="47" t="str">
        <f t="shared" si="563"/>
        <v>22</v>
      </c>
      <c r="R1671" s="47" t="str">
        <f t="shared" si="564"/>
        <v>0-205400</v>
      </c>
      <c r="S1671" s="357">
        <v>122</v>
      </c>
      <c r="T1671" s="59" t="s">
        <v>1970</v>
      </c>
      <c r="U1671" s="326" t="e">
        <f ca="1">_xlfn.XLOOKUP(PAA_4[[#This Row],[ITEM]],[2]Contrato!A:A,[2]Contrato!Q:Q,"",0)</f>
        <v>#NAME?</v>
      </c>
      <c r="V1671" s="47" t="s">
        <v>95</v>
      </c>
      <c r="W1671" s="373" t="s">
        <v>1971</v>
      </c>
      <c r="X1671" s="373" t="s">
        <v>1972</v>
      </c>
      <c r="Y1671" s="55" t="e">
        <f ca="1">_xlfn.XLOOKUP(PAA_4[[#This Row],[ITEM]],[2]Contrato!A:A,[2]Contrato!B:B,"",0)</f>
        <v>#NAME?</v>
      </c>
      <c r="Z1671" s="47" t="e">
        <f ca="1">_xlfn.XLOOKUP(PAA_4[[#This Row],[ITEM]],[2]Contrato!A:A,[2]Contrato!G:G,"",0)</f>
        <v>#NAME?</v>
      </c>
      <c r="AA1671" s="47" t="e">
        <f ca="1">_xlfn.XLOOKUP(PAA_4[[#This Row],[ITEM]],[2]Contrato!A:A,[2]Contrato!T:T,"",0)</f>
        <v>#NAME?</v>
      </c>
      <c r="AB1671" s="55" t="e">
        <f ca="1">+MAX(PAA_4[[#This Row],[Comprometido Contrato]],PAA_4[[#This Row],[Comprometido Bolsa]])</f>
        <v>#NAME?</v>
      </c>
      <c r="AC1671" s="55" t="str">
        <f t="shared" ca="1" si="559"/>
        <v/>
      </c>
      <c r="AD1671" s="55" t="e">
        <f ca="1">IF(PAA_4[[#This Row],[ESTADO (formulado)]]="NO CONTRATADO",0,MAX(PAA_4[[#This Row],[Pago por Contrato]],PAA_4[[#This Row],[Pago por bolsa]]))</f>
        <v>#NAME?</v>
      </c>
      <c r="AE1671" s="55" t="str">
        <f t="shared" ca="1" si="561"/>
        <v/>
      </c>
      <c r="AF1671" s="47" t="e">
        <f t="shared" ca="1" si="565"/>
        <v>#NAME?</v>
      </c>
      <c r="AG1671" s="47">
        <f t="shared" si="562"/>
        <v>41080106</v>
      </c>
      <c r="AH1671" s="54" t="str">
        <f>IF(Q1671="22",IF(ISNUMBER(SEARCH("econ",PAA_4[[#This Row],[Actividad3]])),"Económico",IF(ISNUMBER(SEARCH("alim",PAA_4[[#This Row],[Actividad3]])),"Alimentación",IF(ISNUMBER(SEARCH("educ",PAA_4[[#This Row],[Actividad3]])),"Educativo","Técnico"))),0)</f>
        <v>Técnico</v>
      </c>
      <c r="AI1671" s="47" t="e" cm="1">
        <f t="array" aca="1" ref="AI1671" ca="1">_xlfn.XLOOKUP(PAA_4[[#This Row],[RCP-RUBRO]],[2]!COMPROMISOS_2024[[#All],[concatenado]],[2]!COMPROMISOS_2024[[#All],[Total pagado]],"",0)</f>
        <v>#NAME?</v>
      </c>
      <c r="AJ1671" s="56" t="e">
        <f ca="1">IF(PAA_4[[#This Row],[BOLSA]]=0,0,SUMIFS([2]!COMPROMISOS_2024[[#All],[Total pagado]],[2]!COMPROMISOS_2024[[#All],[Bolsa]],PAA_4[[#This Row],[BOLSA]],[2]!COMPROMISOS_2024[[#All],[rubro]],PAA_4[[#This Row],[RCP-RUBRO]]))</f>
        <v>#REF!</v>
      </c>
      <c r="AK1671" s="47" t="e" cm="1">
        <f t="array" aca="1" ref="AK1671" ca="1">_xlfn.XLOOKUP(PAA_4[[#This Row],[RCP-RUBRO]],[2]!COMPROMISOS_2024[[#All],[concatenado]],[2]!COMPROMISOS_2024[[#All],[Total Comprometido]],"",0)</f>
        <v>#NAME?</v>
      </c>
      <c r="AL1671" s="47" t="e">
        <f ca="1">IF(PAA_4[[#This Row],[BOLSA]]=0,0,SUMIFS([2]!COMPROMISOS_2024[[#All],[Total Comprometido]],[2]!COMPROMISOS_2024[[#All],[Bolsa]],PAA_4[[#This Row],[BOLSA]],[2]!COMPROMISOS_2024[[#All],[concatenado]],PAA_4[[#This Row],[RCP-RUBRO]]))</f>
        <v>#REF!</v>
      </c>
    </row>
    <row r="1672" spans="1:38" s="19" customFormat="1" ht="31.5" customHeight="1">
      <c r="A1672" s="47">
        <v>921</v>
      </c>
      <c r="B1672" s="344">
        <v>80111600</v>
      </c>
      <c r="C1672" s="47" t="str">
        <f>VLOOKUP(PAA_4[[#This Row],[PROYECTO (formulado)2]],[2]PROYECTOS!$G$1:$L$32,6,0)</f>
        <v>SUBGERENCIA DE ALTOS LOGROS Y DEPORTE ASOCIADO</v>
      </c>
      <c r="D1672" s="47" t="str">
        <f>+IF(PAA_4[[#This Row],[UNIDAD DE CONTRATACION (formulado)]]="Subgerencia Administrativa y Financiera","FUNCIONAMIENTO","INVERSIÓN")</f>
        <v>INVERSIÓN</v>
      </c>
      <c r="E1672" s="48" t="str">
        <f>VLOOKUP(Q1672,[2]PROYECTOS!$G$1:$K$32,5,0)</f>
        <v>APOYO_TÉCNICO_Y_PSICOSOCIAL_A_LOS_DEPORTISTAS_DE_ANTIOQUIA</v>
      </c>
      <c r="F1672" s="48">
        <f>VLOOKUP(E1672,[2]PROYECTOS!$K$1:$M$32,3,0)</f>
        <v>2021003050069</v>
      </c>
      <c r="G1672" s="371" t="s">
        <v>239</v>
      </c>
      <c r="H1672" s="49" t="str">
        <f>VLOOKUP(Q1672,[2]PROYECTOS!$V$1:$W$32,2,0)</f>
        <v>050069</v>
      </c>
      <c r="I1672" s="374">
        <v>10471024</v>
      </c>
      <c r="J1672" s="286" t="s">
        <v>1991</v>
      </c>
      <c r="K1672" s="47" t="str">
        <f t="shared" ca="1" si="560"/>
        <v>CONTRATADO</v>
      </c>
      <c r="L1672" s="372" t="s">
        <v>147</v>
      </c>
      <c r="M1672" s="58" t="s">
        <v>1297</v>
      </c>
      <c r="N1672" s="344" t="s">
        <v>240</v>
      </c>
      <c r="O1672" s="51" t="e">
        <f>VLOOKUP(N1672,[2]!RUBROS[#All],3,0)</f>
        <v>#REF!</v>
      </c>
      <c r="P1672" s="53" t="e">
        <f>VLOOKUP(N1672,[2]!RUBROS[#All],2,0)</f>
        <v>#REF!</v>
      </c>
      <c r="Q1672" s="47" t="str">
        <f t="shared" si="563"/>
        <v>22</v>
      </c>
      <c r="R1672" s="47" t="str">
        <f t="shared" si="564"/>
        <v>0-205400</v>
      </c>
      <c r="S1672" s="342">
        <v>122</v>
      </c>
      <c r="T1672" s="59" t="s">
        <v>1970</v>
      </c>
      <c r="U1672" s="326" t="e">
        <f ca="1">_xlfn.XLOOKUP(PAA_4[[#This Row],[ITEM]],[2]Contrato!A:A,[2]Contrato!Q:Q,"",0)</f>
        <v>#NAME?</v>
      </c>
      <c r="V1672" s="47" t="s">
        <v>95</v>
      </c>
      <c r="W1672" s="373" t="s">
        <v>1971</v>
      </c>
      <c r="X1672" s="373" t="s">
        <v>1972</v>
      </c>
      <c r="Y1672" s="55" t="e">
        <f ca="1">_xlfn.XLOOKUP(PAA_4[[#This Row],[ITEM]],[2]Contrato!A:A,[2]Contrato!B:B,"",0)</f>
        <v>#NAME?</v>
      </c>
      <c r="Z1672" s="47" t="e">
        <f ca="1">_xlfn.XLOOKUP(PAA_4[[#This Row],[ITEM]],[2]Contrato!A:A,[2]Contrato!G:G,"",0)</f>
        <v>#NAME?</v>
      </c>
      <c r="AA1672" s="47" t="e">
        <f ca="1">_xlfn.XLOOKUP(PAA_4[[#This Row],[ITEM]],[2]Contrato!A:A,[2]Contrato!T:T,"",0)</f>
        <v>#NAME?</v>
      </c>
      <c r="AB1672" s="55" t="e">
        <f ca="1">+MAX(PAA_4[[#This Row],[Comprometido Contrato]],PAA_4[[#This Row],[Comprometido Bolsa]])</f>
        <v>#NAME?</v>
      </c>
      <c r="AC1672" s="55" t="str">
        <f t="shared" ca="1" si="559"/>
        <v/>
      </c>
      <c r="AD1672" s="55" t="e">
        <f ca="1">IF(PAA_4[[#This Row],[ESTADO (formulado)]]="NO CONTRATADO",0,MAX(PAA_4[[#This Row],[Pago por Contrato]],PAA_4[[#This Row],[Pago por bolsa]]))</f>
        <v>#NAME?</v>
      </c>
      <c r="AE1672" s="55" t="str">
        <f t="shared" ca="1" si="561"/>
        <v/>
      </c>
      <c r="AF1672" s="47" t="e">
        <f t="shared" ca="1" si="565"/>
        <v>#NAME?</v>
      </c>
      <c r="AG1672" s="47">
        <f t="shared" si="562"/>
        <v>41080101</v>
      </c>
      <c r="AH1672" s="54" t="str">
        <f>IF(Q1672="22",IF(ISNUMBER(SEARCH("econ",PAA_4[[#This Row],[Actividad3]])),"Económico",IF(ISNUMBER(SEARCH("alim",PAA_4[[#This Row],[Actividad3]])),"Alimentación",IF(ISNUMBER(SEARCH("educ",PAA_4[[#This Row],[Actividad3]])),"Educativo","Técnico"))),0)</f>
        <v>Técnico</v>
      </c>
      <c r="AI1672" s="47" t="e" cm="1">
        <f t="array" aca="1" ref="AI1672" ca="1">_xlfn.XLOOKUP(PAA_4[[#This Row],[RCP-RUBRO]],[2]!COMPROMISOS_2024[[#All],[concatenado]],[2]!COMPROMISOS_2024[[#All],[Total pagado]],"",0)</f>
        <v>#NAME?</v>
      </c>
      <c r="AJ1672" s="56" t="e">
        <f ca="1">IF(PAA_4[[#This Row],[BOLSA]]=0,0,SUMIFS([2]!COMPROMISOS_2024[[#All],[Total pagado]],[2]!COMPROMISOS_2024[[#All],[Bolsa]],PAA_4[[#This Row],[BOLSA]],[2]!COMPROMISOS_2024[[#All],[rubro]],PAA_4[[#This Row],[RCP-RUBRO]]))</f>
        <v>#REF!</v>
      </c>
      <c r="AK1672" s="47" t="e" cm="1">
        <f t="array" aca="1" ref="AK1672" ca="1">_xlfn.XLOOKUP(PAA_4[[#This Row],[RCP-RUBRO]],[2]!COMPROMISOS_2024[[#All],[concatenado]],[2]!COMPROMISOS_2024[[#All],[Total Comprometido]],"",0)</f>
        <v>#NAME?</v>
      </c>
      <c r="AL1672" s="47" t="e">
        <f ca="1">IF(PAA_4[[#This Row],[BOLSA]]=0,0,SUMIFS([2]!COMPROMISOS_2024[[#All],[Total Comprometido]],[2]!COMPROMISOS_2024[[#All],[Bolsa]],PAA_4[[#This Row],[BOLSA]],[2]!COMPROMISOS_2024[[#All],[concatenado]],PAA_4[[#This Row],[RCP-RUBRO]]))</f>
        <v>#REF!</v>
      </c>
    </row>
    <row r="1673" spans="1:38" s="19" customFormat="1" ht="31.5" customHeight="1">
      <c r="A1673" s="47">
        <v>922</v>
      </c>
      <c r="B1673" s="344">
        <v>80111600</v>
      </c>
      <c r="C1673" s="47" t="str">
        <f>VLOOKUP(PAA_4[[#This Row],[PROYECTO (formulado)2]],[2]PROYECTOS!$G$1:$L$32,6,0)</f>
        <v>SUBGERENCIA DE ALTOS LOGROS Y DEPORTE ASOCIADO</v>
      </c>
      <c r="D1673" s="47" t="str">
        <f>+IF(PAA_4[[#This Row],[UNIDAD DE CONTRATACION (formulado)]]="Subgerencia Administrativa y Financiera","FUNCIONAMIENTO","INVERSIÓN")</f>
        <v>INVERSIÓN</v>
      </c>
      <c r="E1673" s="48" t="str">
        <f>VLOOKUP(Q1673,[2]PROYECTOS!$G$1:$K$32,5,0)</f>
        <v>APOYO_TÉCNICO_Y_PSICOSOCIAL_A_LOS_DEPORTISTAS_DE_ANTIOQUIA</v>
      </c>
      <c r="F1673" s="48">
        <f>VLOOKUP(E1673,[2]PROYECTOS!$K$1:$M$32,3,0)</f>
        <v>2021003050069</v>
      </c>
      <c r="G1673" s="371" t="s">
        <v>239</v>
      </c>
      <c r="H1673" s="49" t="str">
        <f>VLOOKUP(Q1673,[2]PROYECTOS!$V$1:$W$32,2,0)</f>
        <v>050069</v>
      </c>
      <c r="I1673" s="374">
        <v>10471024</v>
      </c>
      <c r="J1673" s="286" t="s">
        <v>1991</v>
      </c>
      <c r="K1673" s="47" t="str">
        <f t="shared" ca="1" si="560"/>
        <v>CONTRATADO</v>
      </c>
      <c r="L1673" s="372" t="s">
        <v>147</v>
      </c>
      <c r="M1673" s="58" t="s">
        <v>1297</v>
      </c>
      <c r="N1673" s="344" t="s">
        <v>240</v>
      </c>
      <c r="O1673" s="51" t="e">
        <f>VLOOKUP(N1673,[2]!RUBROS[#All],3,0)</f>
        <v>#REF!</v>
      </c>
      <c r="P1673" s="53" t="e">
        <f>VLOOKUP(N1673,[2]!RUBROS[#All],2,0)</f>
        <v>#REF!</v>
      </c>
      <c r="Q1673" s="47" t="str">
        <f t="shared" si="563"/>
        <v>22</v>
      </c>
      <c r="R1673" s="47" t="str">
        <f t="shared" si="564"/>
        <v>0-205400</v>
      </c>
      <c r="S1673" s="342">
        <v>122</v>
      </c>
      <c r="T1673" s="59" t="s">
        <v>1970</v>
      </c>
      <c r="U1673" s="326" t="e">
        <f ca="1">_xlfn.XLOOKUP(PAA_4[[#This Row],[ITEM]],[2]Contrato!A:A,[2]Contrato!Q:Q,"",0)</f>
        <v>#NAME?</v>
      </c>
      <c r="V1673" s="47" t="s">
        <v>95</v>
      </c>
      <c r="W1673" s="373" t="s">
        <v>1971</v>
      </c>
      <c r="X1673" s="373" t="s">
        <v>1972</v>
      </c>
      <c r="Y1673" s="55" t="e">
        <f ca="1">_xlfn.XLOOKUP(PAA_4[[#This Row],[ITEM]],[2]Contrato!A:A,[2]Contrato!B:B,"",0)</f>
        <v>#NAME?</v>
      </c>
      <c r="Z1673" s="47" t="e">
        <f ca="1">_xlfn.XLOOKUP(PAA_4[[#This Row],[ITEM]],[2]Contrato!A:A,[2]Contrato!G:G,"",0)</f>
        <v>#NAME?</v>
      </c>
      <c r="AA1673" s="47" t="e">
        <f ca="1">_xlfn.XLOOKUP(PAA_4[[#This Row],[ITEM]],[2]Contrato!A:A,[2]Contrato!T:T,"",0)</f>
        <v>#NAME?</v>
      </c>
      <c r="AB1673" s="55" t="e">
        <f ca="1">+MAX(PAA_4[[#This Row],[Comprometido Contrato]],PAA_4[[#This Row],[Comprometido Bolsa]])</f>
        <v>#NAME?</v>
      </c>
      <c r="AC1673" s="55" t="str">
        <f t="shared" ca="1" si="559"/>
        <v/>
      </c>
      <c r="AD1673" s="55" t="e">
        <f ca="1">IF(PAA_4[[#This Row],[ESTADO (formulado)]]="NO CONTRATADO",0,MAX(PAA_4[[#This Row],[Pago por Contrato]],PAA_4[[#This Row],[Pago por bolsa]]))</f>
        <v>#NAME?</v>
      </c>
      <c r="AE1673" s="55" t="str">
        <f t="shared" ca="1" si="561"/>
        <v/>
      </c>
      <c r="AF1673" s="47" t="e">
        <f t="shared" ca="1" si="565"/>
        <v>#NAME?</v>
      </c>
      <c r="AG1673" s="47">
        <f t="shared" si="562"/>
        <v>41080101</v>
      </c>
      <c r="AH1673" s="54" t="str">
        <f>IF(Q1673="22",IF(ISNUMBER(SEARCH("econ",PAA_4[[#This Row],[Actividad3]])),"Económico",IF(ISNUMBER(SEARCH("alim",PAA_4[[#This Row],[Actividad3]])),"Alimentación",IF(ISNUMBER(SEARCH("educ",PAA_4[[#This Row],[Actividad3]])),"Educativo","Técnico"))),0)</f>
        <v>Técnico</v>
      </c>
      <c r="AI1673" s="47" t="e" cm="1">
        <f t="array" aca="1" ref="AI1673" ca="1">_xlfn.XLOOKUP(PAA_4[[#This Row],[RCP-RUBRO]],[2]!COMPROMISOS_2024[[#All],[concatenado]],[2]!COMPROMISOS_2024[[#All],[Total pagado]],"",0)</f>
        <v>#NAME?</v>
      </c>
      <c r="AJ1673" s="56" t="e">
        <f ca="1">IF(PAA_4[[#This Row],[BOLSA]]=0,0,SUMIFS([2]!COMPROMISOS_2024[[#All],[Total pagado]],[2]!COMPROMISOS_2024[[#All],[Bolsa]],PAA_4[[#This Row],[BOLSA]],[2]!COMPROMISOS_2024[[#All],[rubro]],PAA_4[[#This Row],[RCP-RUBRO]]))</f>
        <v>#REF!</v>
      </c>
      <c r="AK1673" s="47" t="e" cm="1">
        <f t="array" aca="1" ref="AK1673" ca="1">_xlfn.XLOOKUP(PAA_4[[#This Row],[RCP-RUBRO]],[2]!COMPROMISOS_2024[[#All],[concatenado]],[2]!COMPROMISOS_2024[[#All],[Total Comprometido]],"",0)</f>
        <v>#NAME?</v>
      </c>
      <c r="AL1673" s="47" t="e">
        <f ca="1">IF(PAA_4[[#This Row],[BOLSA]]=0,0,SUMIFS([2]!COMPROMISOS_2024[[#All],[Total Comprometido]],[2]!COMPROMISOS_2024[[#All],[Bolsa]],PAA_4[[#This Row],[BOLSA]],[2]!COMPROMISOS_2024[[#All],[concatenado]],PAA_4[[#This Row],[RCP-RUBRO]]))</f>
        <v>#REF!</v>
      </c>
    </row>
    <row r="1674" spans="1:38" s="19" customFormat="1" ht="31.5" customHeight="1">
      <c r="A1674" s="47">
        <v>923</v>
      </c>
      <c r="B1674" s="344">
        <v>80111600</v>
      </c>
      <c r="C1674" s="47" t="str">
        <f>VLOOKUP(PAA_4[[#This Row],[PROYECTO (formulado)2]],[2]PROYECTOS!$G$1:$L$32,6,0)</f>
        <v>SUBGERENCIA DE ALTOS LOGROS Y DEPORTE ASOCIADO</v>
      </c>
      <c r="D1674" s="47" t="str">
        <f>+IF(PAA_4[[#This Row],[UNIDAD DE CONTRATACION (formulado)]]="Subgerencia Administrativa y Financiera","FUNCIONAMIENTO","INVERSIÓN")</f>
        <v>INVERSIÓN</v>
      </c>
      <c r="E1674" s="48" t="str">
        <f>VLOOKUP(Q1674,[2]PROYECTOS!$G$1:$K$32,5,0)</f>
        <v>APOYO_TÉCNICO_Y_PSICOSOCIAL_A_LOS_DEPORTISTAS_DE_ANTIOQUIA</v>
      </c>
      <c r="F1674" s="48">
        <f>VLOOKUP(E1674,[2]PROYECTOS!$K$1:$M$32,3,0)</f>
        <v>2021003050069</v>
      </c>
      <c r="G1674" s="371" t="s">
        <v>239</v>
      </c>
      <c r="H1674" s="49" t="str">
        <f>VLOOKUP(Q1674,[2]PROYECTOS!$V$1:$W$32,2,0)</f>
        <v>050069</v>
      </c>
      <c r="I1674" s="374">
        <v>10471024</v>
      </c>
      <c r="J1674" s="286" t="s">
        <v>1995</v>
      </c>
      <c r="K1674" s="47" t="str">
        <f t="shared" ca="1" si="560"/>
        <v>CONTRATADO</v>
      </c>
      <c r="L1674" s="372" t="s">
        <v>147</v>
      </c>
      <c r="M1674" s="58" t="s">
        <v>1297</v>
      </c>
      <c r="N1674" s="344" t="s">
        <v>240</v>
      </c>
      <c r="O1674" s="51" t="e">
        <f>VLOOKUP(N1674,[2]!RUBROS[#All],3,0)</f>
        <v>#REF!</v>
      </c>
      <c r="P1674" s="53" t="e">
        <f>VLOOKUP(N1674,[2]!RUBROS[#All],2,0)</f>
        <v>#REF!</v>
      </c>
      <c r="Q1674" s="47" t="str">
        <f t="shared" si="563"/>
        <v>22</v>
      </c>
      <c r="R1674" s="47" t="str">
        <f t="shared" si="564"/>
        <v>0-205400</v>
      </c>
      <c r="S1674" s="342">
        <v>122</v>
      </c>
      <c r="T1674" s="59" t="s">
        <v>1970</v>
      </c>
      <c r="U1674" s="326" t="e">
        <f ca="1">_xlfn.XLOOKUP(PAA_4[[#This Row],[ITEM]],[2]Contrato!A:A,[2]Contrato!Q:Q,"",0)</f>
        <v>#NAME?</v>
      </c>
      <c r="V1674" s="47" t="s">
        <v>95</v>
      </c>
      <c r="W1674" s="373" t="s">
        <v>1971</v>
      </c>
      <c r="X1674" s="373" t="s">
        <v>1972</v>
      </c>
      <c r="Y1674" s="55" t="e">
        <f ca="1">_xlfn.XLOOKUP(PAA_4[[#This Row],[ITEM]],[2]Contrato!A:A,[2]Contrato!B:B,"",0)</f>
        <v>#NAME?</v>
      </c>
      <c r="Z1674" s="47" t="e">
        <f ca="1">_xlfn.XLOOKUP(PAA_4[[#This Row],[ITEM]],[2]Contrato!A:A,[2]Contrato!G:G,"",0)</f>
        <v>#NAME?</v>
      </c>
      <c r="AA1674" s="47" t="e">
        <f ca="1">_xlfn.XLOOKUP(PAA_4[[#This Row],[ITEM]],[2]Contrato!A:A,[2]Contrato!T:T,"",0)</f>
        <v>#NAME?</v>
      </c>
      <c r="AB1674" s="55" t="e">
        <f ca="1">+MAX(PAA_4[[#This Row],[Comprometido Contrato]],PAA_4[[#This Row],[Comprometido Bolsa]])</f>
        <v>#NAME?</v>
      </c>
      <c r="AC1674" s="55" t="str">
        <f t="shared" ca="1" si="559"/>
        <v/>
      </c>
      <c r="AD1674" s="55" t="e">
        <f ca="1">IF(PAA_4[[#This Row],[ESTADO (formulado)]]="NO CONTRATADO",0,MAX(PAA_4[[#This Row],[Pago por Contrato]],PAA_4[[#This Row],[Pago por bolsa]]))</f>
        <v>#NAME?</v>
      </c>
      <c r="AE1674" s="55" t="str">
        <f t="shared" ca="1" si="561"/>
        <v/>
      </c>
      <c r="AF1674" s="47" t="e">
        <f t="shared" ca="1" si="565"/>
        <v>#NAME?</v>
      </c>
      <c r="AG1674" s="47">
        <f t="shared" si="562"/>
        <v>41080101</v>
      </c>
      <c r="AH1674" s="54" t="str">
        <f>IF(Q1674="22",IF(ISNUMBER(SEARCH("econ",PAA_4[[#This Row],[Actividad3]])),"Económico",IF(ISNUMBER(SEARCH("alim",PAA_4[[#This Row],[Actividad3]])),"Alimentación",IF(ISNUMBER(SEARCH("educ",PAA_4[[#This Row],[Actividad3]])),"Educativo","Técnico"))),0)</f>
        <v>Técnico</v>
      </c>
      <c r="AI1674" s="47" t="e" cm="1">
        <f t="array" aca="1" ref="AI1674" ca="1">_xlfn.XLOOKUP(PAA_4[[#This Row],[RCP-RUBRO]],[2]!COMPROMISOS_2024[[#All],[concatenado]],[2]!COMPROMISOS_2024[[#All],[Total pagado]],"",0)</f>
        <v>#NAME?</v>
      </c>
      <c r="AJ1674" s="56" t="e">
        <f ca="1">IF(PAA_4[[#This Row],[BOLSA]]=0,0,SUMIFS([2]!COMPROMISOS_2024[[#All],[Total pagado]],[2]!COMPROMISOS_2024[[#All],[Bolsa]],PAA_4[[#This Row],[BOLSA]],[2]!COMPROMISOS_2024[[#All],[rubro]],PAA_4[[#This Row],[RCP-RUBRO]]))</f>
        <v>#REF!</v>
      </c>
      <c r="AK1674" s="47" t="e" cm="1">
        <f t="array" aca="1" ref="AK1674" ca="1">_xlfn.XLOOKUP(PAA_4[[#This Row],[RCP-RUBRO]],[2]!COMPROMISOS_2024[[#All],[concatenado]],[2]!COMPROMISOS_2024[[#All],[Total Comprometido]],"",0)</f>
        <v>#NAME?</v>
      </c>
      <c r="AL1674" s="47" t="e">
        <f ca="1">IF(PAA_4[[#This Row],[BOLSA]]=0,0,SUMIFS([2]!COMPROMISOS_2024[[#All],[Total Comprometido]],[2]!COMPROMISOS_2024[[#All],[Bolsa]],PAA_4[[#This Row],[BOLSA]],[2]!COMPROMISOS_2024[[#All],[concatenado]],PAA_4[[#This Row],[RCP-RUBRO]]))</f>
        <v>#REF!</v>
      </c>
    </row>
    <row r="1675" spans="1:38" s="19" customFormat="1" ht="31.5" customHeight="1">
      <c r="A1675" s="47">
        <v>924</v>
      </c>
      <c r="B1675" s="344">
        <v>80111600</v>
      </c>
      <c r="C1675" s="47" t="str">
        <f>VLOOKUP(PAA_4[[#This Row],[PROYECTO (formulado)2]],[2]PROYECTOS!$G$1:$L$32,6,0)</f>
        <v>SUBGERENCIA DE ALTOS LOGROS Y DEPORTE ASOCIADO</v>
      </c>
      <c r="D1675" s="47" t="str">
        <f>+IF(PAA_4[[#This Row],[UNIDAD DE CONTRATACION (formulado)]]="Subgerencia Administrativa y Financiera","FUNCIONAMIENTO","INVERSIÓN")</f>
        <v>INVERSIÓN</v>
      </c>
      <c r="E1675" s="48" t="str">
        <f>VLOOKUP(Q1675,[2]PROYECTOS!$G$1:$K$32,5,0)</f>
        <v>APOYO_TÉCNICO_Y_PSICOSOCIAL_A_LOS_DEPORTISTAS_DE_ANTIOQUIA</v>
      </c>
      <c r="F1675" s="48">
        <f>VLOOKUP(E1675,[2]PROYECTOS!$K$1:$M$32,3,0)</f>
        <v>2021003050069</v>
      </c>
      <c r="G1675" s="371" t="s">
        <v>239</v>
      </c>
      <c r="H1675" s="49" t="str">
        <f>VLOOKUP(Q1675,[2]PROYECTOS!$V$1:$W$32,2,0)</f>
        <v>050069</v>
      </c>
      <c r="I1675" s="374">
        <v>16073020</v>
      </c>
      <c r="J1675" s="286" t="s">
        <v>1995</v>
      </c>
      <c r="K1675" s="47" t="str">
        <f t="shared" ca="1" si="560"/>
        <v>CONTRATADO</v>
      </c>
      <c r="L1675" s="372" t="s">
        <v>147</v>
      </c>
      <c r="M1675" s="58" t="s">
        <v>1297</v>
      </c>
      <c r="N1675" s="344" t="s">
        <v>240</v>
      </c>
      <c r="O1675" s="51" t="e">
        <f>VLOOKUP(N1675,[2]!RUBROS[#All],3,0)</f>
        <v>#REF!</v>
      </c>
      <c r="P1675" s="53" t="e">
        <f>VLOOKUP(N1675,[2]!RUBROS[#All],2,0)</f>
        <v>#REF!</v>
      </c>
      <c r="Q1675" s="47" t="str">
        <f t="shared" si="563"/>
        <v>22</v>
      </c>
      <c r="R1675" s="47" t="str">
        <f t="shared" si="564"/>
        <v>0-205400</v>
      </c>
      <c r="S1675" s="342">
        <v>122</v>
      </c>
      <c r="T1675" s="59" t="s">
        <v>1970</v>
      </c>
      <c r="U1675" s="326" t="e">
        <f ca="1">_xlfn.XLOOKUP(PAA_4[[#This Row],[ITEM]],[2]Contrato!A:A,[2]Contrato!Q:Q,"",0)</f>
        <v>#NAME?</v>
      </c>
      <c r="V1675" s="47" t="s">
        <v>95</v>
      </c>
      <c r="W1675" s="373" t="s">
        <v>1971</v>
      </c>
      <c r="X1675" s="373" t="s">
        <v>1972</v>
      </c>
      <c r="Y1675" s="55" t="e">
        <f ca="1">_xlfn.XLOOKUP(PAA_4[[#This Row],[ITEM]],[2]Contrato!A:A,[2]Contrato!B:B,"",0)</f>
        <v>#NAME?</v>
      </c>
      <c r="Z1675" s="47" t="e">
        <f ca="1">_xlfn.XLOOKUP(PAA_4[[#This Row],[ITEM]],[2]Contrato!A:A,[2]Contrato!G:G,"",0)</f>
        <v>#NAME?</v>
      </c>
      <c r="AA1675" s="47" t="e">
        <f ca="1">_xlfn.XLOOKUP(PAA_4[[#This Row],[ITEM]],[2]Contrato!A:A,[2]Contrato!T:T,"",0)</f>
        <v>#NAME?</v>
      </c>
      <c r="AB1675" s="55" t="e">
        <f ca="1">+MAX(PAA_4[[#This Row],[Comprometido Contrato]],PAA_4[[#This Row],[Comprometido Bolsa]])</f>
        <v>#NAME?</v>
      </c>
      <c r="AC1675" s="55" t="str">
        <f t="shared" ca="1" si="559"/>
        <v/>
      </c>
      <c r="AD1675" s="55" t="e">
        <f ca="1">IF(PAA_4[[#This Row],[ESTADO (formulado)]]="NO CONTRATADO",0,MAX(PAA_4[[#This Row],[Pago por Contrato]],PAA_4[[#This Row],[Pago por bolsa]]))</f>
        <v>#NAME?</v>
      </c>
      <c r="AE1675" s="55" t="str">
        <f t="shared" ca="1" si="561"/>
        <v/>
      </c>
      <c r="AF1675" s="47" t="e">
        <f t="shared" ca="1" si="565"/>
        <v>#NAME?</v>
      </c>
      <c r="AG1675" s="47">
        <f t="shared" si="562"/>
        <v>41080101</v>
      </c>
      <c r="AH1675" s="54" t="str">
        <f>IF(Q1675="22",IF(ISNUMBER(SEARCH("econ",PAA_4[[#This Row],[Actividad3]])),"Económico",IF(ISNUMBER(SEARCH("alim",PAA_4[[#This Row],[Actividad3]])),"Alimentación",IF(ISNUMBER(SEARCH("educ",PAA_4[[#This Row],[Actividad3]])),"Educativo","Técnico"))),0)</f>
        <v>Técnico</v>
      </c>
      <c r="AI1675" s="47" t="e" cm="1">
        <f t="array" aca="1" ref="AI1675" ca="1">_xlfn.XLOOKUP(PAA_4[[#This Row],[RCP-RUBRO]],[2]!COMPROMISOS_2024[[#All],[concatenado]],[2]!COMPROMISOS_2024[[#All],[Total pagado]],"",0)</f>
        <v>#NAME?</v>
      </c>
      <c r="AJ1675" s="56" t="e">
        <f ca="1">IF(PAA_4[[#This Row],[BOLSA]]=0,0,SUMIFS([2]!COMPROMISOS_2024[[#All],[Total pagado]],[2]!COMPROMISOS_2024[[#All],[Bolsa]],PAA_4[[#This Row],[BOLSA]],[2]!COMPROMISOS_2024[[#All],[rubro]],PAA_4[[#This Row],[RCP-RUBRO]]))</f>
        <v>#REF!</v>
      </c>
      <c r="AK1675" s="47" t="e" cm="1">
        <f t="array" aca="1" ref="AK1675" ca="1">_xlfn.XLOOKUP(PAA_4[[#This Row],[RCP-RUBRO]],[2]!COMPROMISOS_2024[[#All],[concatenado]],[2]!COMPROMISOS_2024[[#All],[Total Comprometido]],"",0)</f>
        <v>#NAME?</v>
      </c>
      <c r="AL1675" s="47" t="e">
        <f ca="1">IF(PAA_4[[#This Row],[BOLSA]]=0,0,SUMIFS([2]!COMPROMISOS_2024[[#All],[Total Comprometido]],[2]!COMPROMISOS_2024[[#All],[Bolsa]],PAA_4[[#This Row],[BOLSA]],[2]!COMPROMISOS_2024[[#All],[concatenado]],PAA_4[[#This Row],[RCP-RUBRO]]))</f>
        <v>#REF!</v>
      </c>
    </row>
    <row r="1676" spans="1:38" s="19" customFormat="1" ht="31.5" customHeight="1">
      <c r="A1676" s="47">
        <v>925</v>
      </c>
      <c r="B1676" s="344">
        <v>80111600</v>
      </c>
      <c r="C1676" s="47" t="str">
        <f>VLOOKUP(PAA_4[[#This Row],[PROYECTO (formulado)2]],[2]PROYECTOS!$G$1:$L$32,6,0)</f>
        <v>SUBGERENCIA DE ALTOS LOGROS Y DEPORTE ASOCIADO</v>
      </c>
      <c r="D1676" s="47" t="str">
        <f>+IF(PAA_4[[#This Row],[UNIDAD DE CONTRATACION (formulado)]]="Subgerencia Administrativa y Financiera","FUNCIONAMIENTO","INVERSIÓN")</f>
        <v>INVERSIÓN</v>
      </c>
      <c r="E1676" s="48" t="str">
        <f>VLOOKUP(Q1676,[2]PROYECTOS!$G$1:$K$32,5,0)</f>
        <v>APOYO_TÉCNICO_Y_PSICOSOCIAL_A_LOS_DEPORTISTAS_DE_ANTIOQUIA</v>
      </c>
      <c r="F1676" s="48">
        <f>VLOOKUP(E1676,[2]PROYECTOS!$K$1:$M$32,3,0)</f>
        <v>2021003050069</v>
      </c>
      <c r="G1676" s="371" t="s">
        <v>239</v>
      </c>
      <c r="H1676" s="49" t="str">
        <f>VLOOKUP(Q1676,[2]PROYECTOS!$V$1:$W$32,2,0)</f>
        <v>050069</v>
      </c>
      <c r="I1676" s="374">
        <v>19963006</v>
      </c>
      <c r="J1676" s="286" t="s">
        <v>1995</v>
      </c>
      <c r="K1676" s="47" t="str">
        <f t="shared" ca="1" si="560"/>
        <v>CONTRATADO</v>
      </c>
      <c r="L1676" s="372" t="s">
        <v>147</v>
      </c>
      <c r="M1676" s="58" t="s">
        <v>1297</v>
      </c>
      <c r="N1676" s="344" t="s">
        <v>240</v>
      </c>
      <c r="O1676" s="51" t="e">
        <f>VLOOKUP(N1676,[2]!RUBROS[#All],3,0)</f>
        <v>#REF!</v>
      </c>
      <c r="P1676" s="53" t="e">
        <f>VLOOKUP(N1676,[2]!RUBROS[#All],2,0)</f>
        <v>#REF!</v>
      </c>
      <c r="Q1676" s="47" t="str">
        <f t="shared" si="563"/>
        <v>22</v>
      </c>
      <c r="R1676" s="47" t="str">
        <f t="shared" si="564"/>
        <v>0-205400</v>
      </c>
      <c r="S1676" s="342">
        <v>122</v>
      </c>
      <c r="T1676" s="59" t="s">
        <v>1970</v>
      </c>
      <c r="U1676" s="326" t="e">
        <f ca="1">_xlfn.XLOOKUP(PAA_4[[#This Row],[ITEM]],[2]Contrato!A:A,[2]Contrato!Q:Q,"",0)</f>
        <v>#NAME?</v>
      </c>
      <c r="V1676" s="47" t="s">
        <v>95</v>
      </c>
      <c r="W1676" s="373" t="s">
        <v>1971</v>
      </c>
      <c r="X1676" s="373" t="s">
        <v>1972</v>
      </c>
      <c r="Y1676" s="55" t="e">
        <f ca="1">_xlfn.XLOOKUP(PAA_4[[#This Row],[ITEM]],[2]Contrato!A:A,[2]Contrato!B:B,"",0)</f>
        <v>#NAME?</v>
      </c>
      <c r="Z1676" s="47" t="e">
        <f ca="1">_xlfn.XLOOKUP(PAA_4[[#This Row],[ITEM]],[2]Contrato!A:A,[2]Contrato!G:G,"",0)</f>
        <v>#NAME?</v>
      </c>
      <c r="AA1676" s="47" t="e">
        <f ca="1">_xlfn.XLOOKUP(PAA_4[[#This Row],[ITEM]],[2]Contrato!A:A,[2]Contrato!T:T,"",0)</f>
        <v>#NAME?</v>
      </c>
      <c r="AB1676" s="55" t="e">
        <f ca="1">+MAX(PAA_4[[#This Row],[Comprometido Contrato]],PAA_4[[#This Row],[Comprometido Bolsa]])</f>
        <v>#NAME?</v>
      </c>
      <c r="AC1676" s="55" t="str">
        <f t="shared" ca="1" si="559"/>
        <v/>
      </c>
      <c r="AD1676" s="55" t="e">
        <f ca="1">IF(PAA_4[[#This Row],[ESTADO (formulado)]]="NO CONTRATADO",0,MAX(PAA_4[[#This Row],[Pago por Contrato]],PAA_4[[#This Row],[Pago por bolsa]]))</f>
        <v>#NAME?</v>
      </c>
      <c r="AE1676" s="55" t="str">
        <f t="shared" ca="1" si="561"/>
        <v/>
      </c>
      <c r="AF1676" s="47" t="e">
        <f t="shared" ca="1" si="565"/>
        <v>#NAME?</v>
      </c>
      <c r="AG1676" s="47">
        <f t="shared" si="562"/>
        <v>41080101</v>
      </c>
      <c r="AH1676" s="54" t="str">
        <f>IF(Q1676="22",IF(ISNUMBER(SEARCH("econ",PAA_4[[#This Row],[Actividad3]])),"Económico",IF(ISNUMBER(SEARCH("alim",PAA_4[[#This Row],[Actividad3]])),"Alimentación",IF(ISNUMBER(SEARCH("educ",PAA_4[[#This Row],[Actividad3]])),"Educativo","Técnico"))),0)</f>
        <v>Técnico</v>
      </c>
      <c r="AI1676" s="47" t="e" cm="1">
        <f t="array" aca="1" ref="AI1676" ca="1">_xlfn.XLOOKUP(PAA_4[[#This Row],[RCP-RUBRO]],[2]!COMPROMISOS_2024[[#All],[concatenado]],[2]!COMPROMISOS_2024[[#All],[Total pagado]],"",0)</f>
        <v>#NAME?</v>
      </c>
      <c r="AJ1676" s="56" t="e">
        <f ca="1">IF(PAA_4[[#This Row],[BOLSA]]=0,0,SUMIFS([2]!COMPROMISOS_2024[[#All],[Total pagado]],[2]!COMPROMISOS_2024[[#All],[Bolsa]],PAA_4[[#This Row],[BOLSA]],[2]!COMPROMISOS_2024[[#All],[rubro]],PAA_4[[#This Row],[RCP-RUBRO]]))</f>
        <v>#REF!</v>
      </c>
      <c r="AK1676" s="47" t="e" cm="1">
        <f t="array" aca="1" ref="AK1676" ca="1">_xlfn.XLOOKUP(PAA_4[[#This Row],[RCP-RUBRO]],[2]!COMPROMISOS_2024[[#All],[concatenado]],[2]!COMPROMISOS_2024[[#All],[Total Comprometido]],"",0)</f>
        <v>#NAME?</v>
      </c>
      <c r="AL1676" s="47" t="e">
        <f ca="1">IF(PAA_4[[#This Row],[BOLSA]]=0,0,SUMIFS([2]!COMPROMISOS_2024[[#All],[Total Comprometido]],[2]!COMPROMISOS_2024[[#All],[Bolsa]],PAA_4[[#This Row],[BOLSA]],[2]!COMPROMISOS_2024[[#All],[concatenado]],PAA_4[[#This Row],[RCP-RUBRO]]))</f>
        <v>#REF!</v>
      </c>
    </row>
    <row r="1677" spans="1:38" s="19" customFormat="1" ht="31.5" customHeight="1">
      <c r="A1677" s="47" t="s">
        <v>82</v>
      </c>
      <c r="B1677" s="366" t="s">
        <v>42</v>
      </c>
      <c r="C1677" s="47" t="str">
        <f>VLOOKUP(PAA_4[[#This Row],[PROYECTO (formulado)2]],[2]PROYECTOS!$G$1:$L$32,6,0)</f>
        <v>SUBGERENCIA DE ALTOS LOGROS Y DEPORTE ASOCIADO</v>
      </c>
      <c r="D1677" s="47" t="str">
        <f>+IF(PAA_4[[#This Row],[UNIDAD DE CONTRATACION (formulado)]]="Subgerencia Administrativa y Financiera","FUNCIONAMIENTO","INVERSIÓN")</f>
        <v>INVERSIÓN</v>
      </c>
      <c r="E1677" s="48" t="str">
        <f>VLOOKUP(Q1677,[2]PROYECTOS!$G$1:$K$32,5,0)</f>
        <v>APOYO_TÉCNICO_Y_PSICOSOCIAL_A_LOS_DEPORTISTAS_DE_ANTIOQUIA</v>
      </c>
      <c r="F1677" s="48">
        <f>VLOOKUP(E1677,[2]PROYECTOS!$K$1:$M$32,3,0)</f>
        <v>2021003050069</v>
      </c>
      <c r="G1677" s="371" t="s">
        <v>241</v>
      </c>
      <c r="H1677" s="49" t="str">
        <f>VLOOKUP(Q1677,[2]PROYECTOS!$V$1:$W$32,2,0)</f>
        <v>050069</v>
      </c>
      <c r="I1677" s="374">
        <v>0</v>
      </c>
      <c r="J1677" s="366" t="s">
        <v>1778</v>
      </c>
      <c r="K1677" s="47" t="str">
        <f t="shared" ca="1" si="560"/>
        <v>CONTRATADO</v>
      </c>
      <c r="L1677" s="58" t="s">
        <v>42</v>
      </c>
      <c r="M1677" s="58" t="s">
        <v>42</v>
      </c>
      <c r="N1677" s="344" t="s">
        <v>240</v>
      </c>
      <c r="O1677" s="51" t="e">
        <f>VLOOKUP(N1677,[2]!RUBROS[#All],3,0)</f>
        <v>#REF!</v>
      </c>
      <c r="P1677" s="53" t="e">
        <f>VLOOKUP(N1677,[2]!RUBROS[#All],2,0)</f>
        <v>#REF!</v>
      </c>
      <c r="Q1677" s="47" t="str">
        <f t="shared" si="563"/>
        <v>22</v>
      </c>
      <c r="R1677" s="47" t="str">
        <f t="shared" si="564"/>
        <v>0-205400</v>
      </c>
      <c r="S1677" s="357" t="s">
        <v>42</v>
      </c>
      <c r="T1677" s="59" t="s">
        <v>42</v>
      </c>
      <c r="U1677" s="326" t="e">
        <f ca="1">_xlfn.XLOOKUP(PAA_4[[#This Row],[ITEM]],[2]Contrato!A:A,[2]Contrato!Q:Q,"",0)</f>
        <v>#NAME?</v>
      </c>
      <c r="V1677" s="47" t="s">
        <v>95</v>
      </c>
      <c r="W1677" s="375" t="s">
        <v>42</v>
      </c>
      <c r="X1677" s="375" t="s">
        <v>42</v>
      </c>
      <c r="Y1677" s="55" t="e">
        <f ca="1">_xlfn.XLOOKUP(PAA_4[[#This Row],[ITEM]],[2]Contrato!A:A,[2]Contrato!B:B,"",0)</f>
        <v>#NAME?</v>
      </c>
      <c r="Z1677" s="47" t="e">
        <f ca="1">_xlfn.XLOOKUP(PAA_4[[#This Row],[ITEM]],[2]Contrato!A:A,[2]Contrato!G:G,"",0)</f>
        <v>#NAME?</v>
      </c>
      <c r="AA1677" s="47" t="e">
        <f ca="1">_xlfn.XLOOKUP(PAA_4[[#This Row],[ITEM]],[2]Contrato!A:A,[2]Contrato!T:T,"",0)</f>
        <v>#NAME?</v>
      </c>
      <c r="AB1677" s="55" t="e">
        <f ca="1">+MAX(PAA_4[[#This Row],[Comprometido Contrato]],PAA_4[[#This Row],[Comprometido Bolsa]])</f>
        <v>#NAME?</v>
      </c>
      <c r="AC1677" s="55" t="str">
        <f t="shared" ca="1" si="559"/>
        <v/>
      </c>
      <c r="AD1677" s="55" t="e">
        <f ca="1">IF(PAA_4[[#This Row],[ESTADO (formulado)]]="NO CONTRATADO",0,MAX(PAA_4[[#This Row],[Pago por Contrato]],PAA_4[[#This Row],[Pago por bolsa]]))</f>
        <v>#NAME?</v>
      </c>
      <c r="AE1677" s="55" t="str">
        <f t="shared" ca="1" si="561"/>
        <v/>
      </c>
      <c r="AF1677" s="47" t="e">
        <f t="shared" ca="1" si="565"/>
        <v>#NAME?</v>
      </c>
      <c r="AG1677" s="47">
        <f t="shared" si="562"/>
        <v>41080106</v>
      </c>
      <c r="AH1677" s="54" t="str">
        <f>IF(Q1677="22",IF(ISNUMBER(SEARCH("econ",PAA_4[[#This Row],[Actividad3]])),"Económico",IF(ISNUMBER(SEARCH("alim",PAA_4[[#This Row],[Actividad3]])),"Alimentación",IF(ISNUMBER(SEARCH("educ",PAA_4[[#This Row],[Actividad3]])),"Educativo","Técnico"))),0)</f>
        <v>Técnico</v>
      </c>
      <c r="AI1677" s="47" t="e" cm="1">
        <f t="array" aca="1" ref="AI1677" ca="1">_xlfn.XLOOKUP(PAA_4[[#This Row],[RCP-RUBRO]],[2]!COMPROMISOS_2024[[#All],[concatenado]],[2]!COMPROMISOS_2024[[#All],[Total pagado]],"",0)</f>
        <v>#NAME?</v>
      </c>
      <c r="AJ1677" s="56" t="e">
        <f ca="1">IF(PAA_4[[#This Row],[BOLSA]]=0,0,SUMIFS([2]!COMPROMISOS_2024[[#All],[Total pagado]],[2]!COMPROMISOS_2024[[#All],[Bolsa]],PAA_4[[#This Row],[BOLSA]],[2]!COMPROMISOS_2024[[#All],[rubro]],PAA_4[[#This Row],[RCP-RUBRO]]))</f>
        <v>#REF!</v>
      </c>
      <c r="AK1677" s="47" t="e" cm="1">
        <f t="array" aca="1" ref="AK1677" ca="1">_xlfn.XLOOKUP(PAA_4[[#This Row],[RCP-RUBRO]],[2]!COMPROMISOS_2024[[#All],[concatenado]],[2]!COMPROMISOS_2024[[#All],[Total Comprometido]],"",0)</f>
        <v>#NAME?</v>
      </c>
      <c r="AL1677" s="47" t="e">
        <f ca="1">IF(PAA_4[[#This Row],[BOLSA]]=0,0,SUMIFS([2]!COMPROMISOS_2024[[#All],[Total Comprometido]],[2]!COMPROMISOS_2024[[#All],[Bolsa]],PAA_4[[#This Row],[BOLSA]],[2]!COMPROMISOS_2024[[#All],[concatenado]],PAA_4[[#This Row],[RCP-RUBRO]]))</f>
        <v>#REF!</v>
      </c>
    </row>
    <row r="1678" spans="1:38" s="19" customFormat="1" ht="31.5" customHeight="1">
      <c r="A1678" s="47">
        <v>926</v>
      </c>
      <c r="B1678" s="344">
        <v>80111600</v>
      </c>
      <c r="C1678" s="47" t="str">
        <f>VLOOKUP(PAA_4[[#This Row],[PROYECTO (formulado)2]],[2]PROYECTOS!$G$1:$L$32,6,0)</f>
        <v>SUBGERENCIA DE ALTOS LOGROS Y DEPORTE ASOCIADO</v>
      </c>
      <c r="D1678" s="47" t="str">
        <f>+IF(PAA_4[[#This Row],[UNIDAD DE CONTRATACION (formulado)]]="Subgerencia Administrativa y Financiera","FUNCIONAMIENTO","INVERSIÓN")</f>
        <v>INVERSIÓN</v>
      </c>
      <c r="E1678" s="48" t="str">
        <f>VLOOKUP(Q1678,[2]PROYECTOS!$G$1:$K$32,5,0)</f>
        <v>APOYO_TÉCNICO_Y_PSICOSOCIAL_A_LOS_DEPORTISTAS_DE_ANTIOQUIA</v>
      </c>
      <c r="F1678" s="48">
        <f>VLOOKUP(E1678,[2]PROYECTOS!$K$1:$M$32,3,0)</f>
        <v>2021003050069</v>
      </c>
      <c r="G1678" s="371" t="s">
        <v>241</v>
      </c>
      <c r="H1678" s="49" t="str">
        <f>VLOOKUP(Q1678,[2]PROYECTOS!$V$1:$W$32,2,0)</f>
        <v>050069</v>
      </c>
      <c r="I1678" s="374">
        <f>15449052-4978028</f>
        <v>10471024</v>
      </c>
      <c r="J1678" s="286" t="s">
        <v>1996</v>
      </c>
      <c r="K1678" s="47" t="str">
        <f t="shared" ca="1" si="560"/>
        <v>CONTRATADO</v>
      </c>
      <c r="L1678" s="372" t="s">
        <v>147</v>
      </c>
      <c r="M1678" s="58" t="s">
        <v>1297</v>
      </c>
      <c r="N1678" s="344" t="s">
        <v>240</v>
      </c>
      <c r="O1678" s="51" t="e">
        <f>VLOOKUP(N1678,[2]!RUBROS[#All],3,0)</f>
        <v>#REF!</v>
      </c>
      <c r="P1678" s="53" t="e">
        <f>VLOOKUP(N1678,[2]!RUBROS[#All],2,0)</f>
        <v>#REF!</v>
      </c>
      <c r="Q1678" s="47" t="str">
        <f t="shared" si="563"/>
        <v>22</v>
      </c>
      <c r="R1678" s="47" t="str">
        <f t="shared" si="564"/>
        <v>0-205400</v>
      </c>
      <c r="S1678" s="357">
        <v>122</v>
      </c>
      <c r="T1678" s="59" t="s">
        <v>1970</v>
      </c>
      <c r="U1678" s="326" t="e">
        <f ca="1">_xlfn.XLOOKUP(PAA_4[[#This Row],[ITEM]],[2]Contrato!A:A,[2]Contrato!Q:Q,"",0)</f>
        <v>#NAME?</v>
      </c>
      <c r="V1678" s="47" t="s">
        <v>95</v>
      </c>
      <c r="W1678" s="373" t="s">
        <v>1971</v>
      </c>
      <c r="X1678" s="373" t="s">
        <v>1972</v>
      </c>
      <c r="Y1678" s="55" t="e">
        <f ca="1">_xlfn.XLOOKUP(PAA_4[[#This Row],[ITEM]],[2]Contrato!A:A,[2]Contrato!B:B,"",0)</f>
        <v>#NAME?</v>
      </c>
      <c r="Z1678" s="47" t="e">
        <f ca="1">_xlfn.XLOOKUP(PAA_4[[#This Row],[ITEM]],[2]Contrato!A:A,[2]Contrato!G:G,"",0)</f>
        <v>#NAME?</v>
      </c>
      <c r="AA1678" s="47" t="e">
        <f ca="1">_xlfn.XLOOKUP(PAA_4[[#This Row],[ITEM]],[2]Contrato!A:A,[2]Contrato!T:T,"",0)</f>
        <v>#NAME?</v>
      </c>
      <c r="AB1678" s="55" t="e">
        <f ca="1">+MAX(PAA_4[[#This Row],[Comprometido Contrato]],PAA_4[[#This Row],[Comprometido Bolsa]])</f>
        <v>#NAME?</v>
      </c>
      <c r="AC1678" s="55" t="str">
        <f t="shared" ref="AC1678:AC1741" ca="1" si="566">IFERROR(I1678-AB1678,"")</f>
        <v/>
      </c>
      <c r="AD1678" s="55" t="e">
        <f ca="1">IF(PAA_4[[#This Row],[ESTADO (formulado)]]="NO CONTRATADO",0,MAX(PAA_4[[#This Row],[Pago por Contrato]],PAA_4[[#This Row],[Pago por bolsa]]))</f>
        <v>#NAME?</v>
      </c>
      <c r="AE1678" s="55" t="str">
        <f t="shared" ca="1" si="561"/>
        <v/>
      </c>
      <c r="AF1678" s="47" t="e">
        <f t="shared" ca="1" si="565"/>
        <v>#NAME?</v>
      </c>
      <c r="AG1678" s="47">
        <f t="shared" si="562"/>
        <v>41080106</v>
      </c>
      <c r="AH1678" s="54" t="str">
        <f>IF(Q1678="22",IF(ISNUMBER(SEARCH("econ",PAA_4[[#This Row],[Actividad3]])),"Económico",IF(ISNUMBER(SEARCH("alim",PAA_4[[#This Row],[Actividad3]])),"Alimentación",IF(ISNUMBER(SEARCH("educ",PAA_4[[#This Row],[Actividad3]])),"Educativo","Técnico"))),0)</f>
        <v>Técnico</v>
      </c>
      <c r="AI1678" s="47" t="e" cm="1">
        <f t="array" aca="1" ref="AI1678" ca="1">_xlfn.XLOOKUP(PAA_4[[#This Row],[RCP-RUBRO]],[2]!COMPROMISOS_2024[[#All],[concatenado]],[2]!COMPROMISOS_2024[[#All],[Total pagado]],"",0)</f>
        <v>#NAME?</v>
      </c>
      <c r="AJ1678" s="56" t="e">
        <f ca="1">IF(PAA_4[[#This Row],[BOLSA]]=0,0,SUMIFS([2]!COMPROMISOS_2024[[#All],[Total pagado]],[2]!COMPROMISOS_2024[[#All],[Bolsa]],PAA_4[[#This Row],[BOLSA]],[2]!COMPROMISOS_2024[[#All],[rubro]],PAA_4[[#This Row],[RCP-RUBRO]]))</f>
        <v>#REF!</v>
      </c>
      <c r="AK1678" s="47" t="e" cm="1">
        <f t="array" aca="1" ref="AK1678" ca="1">_xlfn.XLOOKUP(PAA_4[[#This Row],[RCP-RUBRO]],[2]!COMPROMISOS_2024[[#All],[concatenado]],[2]!COMPROMISOS_2024[[#All],[Total Comprometido]],"",0)</f>
        <v>#NAME?</v>
      </c>
      <c r="AL1678" s="47" t="e">
        <f ca="1">IF(PAA_4[[#This Row],[BOLSA]]=0,0,SUMIFS([2]!COMPROMISOS_2024[[#All],[Total Comprometido]],[2]!COMPROMISOS_2024[[#All],[Bolsa]],PAA_4[[#This Row],[BOLSA]],[2]!COMPROMISOS_2024[[#All],[concatenado]],PAA_4[[#This Row],[RCP-RUBRO]]))</f>
        <v>#REF!</v>
      </c>
    </row>
    <row r="1679" spans="1:38" s="19" customFormat="1" ht="31.5" customHeight="1">
      <c r="A1679" s="47">
        <v>927</v>
      </c>
      <c r="B1679" s="344">
        <v>80111600</v>
      </c>
      <c r="C1679" s="47" t="str">
        <f>VLOOKUP(PAA_4[[#This Row],[PROYECTO (formulado)2]],[2]PROYECTOS!$G$1:$L$32,6,0)</f>
        <v>SUBGERENCIA DE ALTOS LOGROS Y DEPORTE ASOCIADO</v>
      </c>
      <c r="D1679" s="47" t="str">
        <f>+IF(PAA_4[[#This Row],[UNIDAD DE CONTRATACION (formulado)]]="Subgerencia Administrativa y Financiera","FUNCIONAMIENTO","INVERSIÓN")</f>
        <v>INVERSIÓN</v>
      </c>
      <c r="E1679" s="48" t="str">
        <f>VLOOKUP(Q1679,[2]PROYECTOS!$G$1:$K$32,5,0)</f>
        <v>APOYO_TÉCNICO_Y_PSICOSOCIAL_A_LOS_DEPORTISTAS_DE_ANTIOQUIA</v>
      </c>
      <c r="F1679" s="48">
        <f>VLOOKUP(E1679,[2]PROYECTOS!$K$1:$M$32,3,0)</f>
        <v>2021003050069</v>
      </c>
      <c r="G1679" s="371" t="s">
        <v>239</v>
      </c>
      <c r="H1679" s="49" t="str">
        <f>VLOOKUP(Q1679,[2]PROYECTOS!$V$1:$W$32,2,0)</f>
        <v>050069</v>
      </c>
      <c r="I1679" s="374">
        <v>16073020</v>
      </c>
      <c r="J1679" s="286" t="s">
        <v>1997</v>
      </c>
      <c r="K1679" s="47" t="str">
        <f t="shared" ca="1" si="560"/>
        <v>CONTRATADO</v>
      </c>
      <c r="L1679" s="372" t="s">
        <v>147</v>
      </c>
      <c r="M1679" s="58" t="s">
        <v>1297</v>
      </c>
      <c r="N1679" s="344" t="s">
        <v>240</v>
      </c>
      <c r="O1679" s="51" t="e">
        <f>VLOOKUP(N1679,[2]!RUBROS[#All],3,0)</f>
        <v>#REF!</v>
      </c>
      <c r="P1679" s="53" t="e">
        <f>VLOOKUP(N1679,[2]!RUBROS[#All],2,0)</f>
        <v>#REF!</v>
      </c>
      <c r="Q1679" s="47" t="str">
        <f t="shared" si="563"/>
        <v>22</v>
      </c>
      <c r="R1679" s="47" t="str">
        <f t="shared" si="564"/>
        <v>0-205400</v>
      </c>
      <c r="S1679" s="342">
        <v>122</v>
      </c>
      <c r="T1679" s="59" t="s">
        <v>1970</v>
      </c>
      <c r="U1679" s="326" t="e">
        <f ca="1">_xlfn.XLOOKUP(PAA_4[[#This Row],[ITEM]],[2]Contrato!A:A,[2]Contrato!Q:Q,"",0)</f>
        <v>#NAME?</v>
      </c>
      <c r="V1679" s="47" t="s">
        <v>95</v>
      </c>
      <c r="W1679" s="373" t="s">
        <v>1971</v>
      </c>
      <c r="X1679" s="373" t="s">
        <v>1972</v>
      </c>
      <c r="Y1679" s="55" t="e">
        <f ca="1">_xlfn.XLOOKUP(PAA_4[[#This Row],[ITEM]],[2]Contrato!A:A,[2]Contrato!B:B,"",0)</f>
        <v>#NAME?</v>
      </c>
      <c r="Z1679" s="47" t="e">
        <f ca="1">_xlfn.XLOOKUP(PAA_4[[#This Row],[ITEM]],[2]Contrato!A:A,[2]Contrato!G:G,"",0)</f>
        <v>#NAME?</v>
      </c>
      <c r="AA1679" s="47" t="e">
        <f ca="1">_xlfn.XLOOKUP(PAA_4[[#This Row],[ITEM]],[2]Contrato!A:A,[2]Contrato!T:T,"",0)</f>
        <v>#NAME?</v>
      </c>
      <c r="AB1679" s="55" t="e">
        <f ca="1">+MAX(PAA_4[[#This Row],[Comprometido Contrato]],PAA_4[[#This Row],[Comprometido Bolsa]])</f>
        <v>#NAME?</v>
      </c>
      <c r="AC1679" s="55" t="str">
        <f t="shared" ca="1" si="566"/>
        <v/>
      </c>
      <c r="AD1679" s="55" t="e">
        <f ca="1">IF(PAA_4[[#This Row],[ESTADO (formulado)]]="NO CONTRATADO",0,MAX(PAA_4[[#This Row],[Pago por Contrato]],PAA_4[[#This Row],[Pago por bolsa]]))</f>
        <v>#NAME?</v>
      </c>
      <c r="AE1679" s="55" t="str">
        <f t="shared" ca="1" si="561"/>
        <v/>
      </c>
      <c r="AF1679" s="47" t="e">
        <f t="shared" ca="1" si="565"/>
        <v>#NAME?</v>
      </c>
      <c r="AG1679" s="47">
        <f t="shared" si="562"/>
        <v>41080101</v>
      </c>
      <c r="AH1679" s="54" t="str">
        <f>IF(Q1679="22",IF(ISNUMBER(SEARCH("econ",PAA_4[[#This Row],[Actividad3]])),"Económico",IF(ISNUMBER(SEARCH("alim",PAA_4[[#This Row],[Actividad3]])),"Alimentación",IF(ISNUMBER(SEARCH("educ",PAA_4[[#This Row],[Actividad3]])),"Educativo","Técnico"))),0)</f>
        <v>Técnico</v>
      </c>
      <c r="AI1679" s="47" t="e" cm="1">
        <f t="array" aca="1" ref="AI1679" ca="1">_xlfn.XLOOKUP(PAA_4[[#This Row],[RCP-RUBRO]],[2]!COMPROMISOS_2024[[#All],[concatenado]],[2]!COMPROMISOS_2024[[#All],[Total pagado]],"",0)</f>
        <v>#NAME?</v>
      </c>
      <c r="AJ1679" s="56" t="e">
        <f ca="1">IF(PAA_4[[#This Row],[BOLSA]]=0,0,SUMIFS([2]!COMPROMISOS_2024[[#All],[Total pagado]],[2]!COMPROMISOS_2024[[#All],[Bolsa]],PAA_4[[#This Row],[BOLSA]],[2]!COMPROMISOS_2024[[#All],[rubro]],PAA_4[[#This Row],[RCP-RUBRO]]))</f>
        <v>#REF!</v>
      </c>
      <c r="AK1679" s="47" t="e" cm="1">
        <f t="array" aca="1" ref="AK1679" ca="1">_xlfn.XLOOKUP(PAA_4[[#This Row],[RCP-RUBRO]],[2]!COMPROMISOS_2024[[#All],[concatenado]],[2]!COMPROMISOS_2024[[#All],[Total Comprometido]],"",0)</f>
        <v>#NAME?</v>
      </c>
      <c r="AL1679" s="47" t="e">
        <f ca="1">IF(PAA_4[[#This Row],[BOLSA]]=0,0,SUMIFS([2]!COMPROMISOS_2024[[#All],[Total Comprometido]],[2]!COMPROMISOS_2024[[#All],[Bolsa]],PAA_4[[#This Row],[BOLSA]],[2]!COMPROMISOS_2024[[#All],[concatenado]],PAA_4[[#This Row],[RCP-RUBRO]]))</f>
        <v>#REF!</v>
      </c>
    </row>
    <row r="1680" spans="1:38" s="19" customFormat="1" ht="31.5" customHeight="1">
      <c r="A1680" s="47">
        <v>928</v>
      </c>
      <c r="B1680" s="344">
        <v>80111600</v>
      </c>
      <c r="C1680" s="47" t="str">
        <f>VLOOKUP(PAA_4[[#This Row],[PROYECTO (formulado)2]],[2]PROYECTOS!$G$1:$L$32,6,0)</f>
        <v>SUBGERENCIA DE ALTOS LOGROS Y DEPORTE ASOCIADO</v>
      </c>
      <c r="D1680" s="47" t="str">
        <f>+IF(PAA_4[[#This Row],[UNIDAD DE CONTRATACION (formulado)]]="Subgerencia Administrativa y Financiera","FUNCIONAMIENTO","INVERSIÓN")</f>
        <v>INVERSIÓN</v>
      </c>
      <c r="E1680" s="48" t="str">
        <f>VLOOKUP(Q1680,[2]PROYECTOS!$G$1:$K$32,5,0)</f>
        <v>APOYO_TÉCNICO_Y_PSICOSOCIAL_A_LOS_DEPORTISTAS_DE_ANTIOQUIA</v>
      </c>
      <c r="F1680" s="48">
        <f>VLOOKUP(E1680,[2]PROYECTOS!$K$1:$M$32,3,0)</f>
        <v>2021003050069</v>
      </c>
      <c r="G1680" s="371" t="s">
        <v>239</v>
      </c>
      <c r="H1680" s="49" t="str">
        <f>VLOOKUP(Q1680,[2]PROYECTOS!$V$1:$W$32,2,0)</f>
        <v>050069</v>
      </c>
      <c r="I1680" s="374">
        <v>24120006</v>
      </c>
      <c r="J1680" s="286" t="s">
        <v>1998</v>
      </c>
      <c r="K1680" s="47" t="str">
        <f t="shared" ca="1" si="560"/>
        <v>CONTRATADO</v>
      </c>
      <c r="L1680" s="372" t="s">
        <v>147</v>
      </c>
      <c r="M1680" s="58" t="s">
        <v>1297</v>
      </c>
      <c r="N1680" s="344" t="s">
        <v>240</v>
      </c>
      <c r="O1680" s="51" t="e">
        <f>VLOOKUP(N1680,[2]!RUBROS[#All],3,0)</f>
        <v>#REF!</v>
      </c>
      <c r="P1680" s="53" t="e">
        <f>VLOOKUP(N1680,[2]!RUBROS[#All],2,0)</f>
        <v>#REF!</v>
      </c>
      <c r="Q1680" s="47" t="str">
        <f t="shared" si="563"/>
        <v>22</v>
      </c>
      <c r="R1680" s="47" t="str">
        <f t="shared" si="564"/>
        <v>0-205400</v>
      </c>
      <c r="S1680" s="342">
        <v>122</v>
      </c>
      <c r="T1680" s="59" t="s">
        <v>1970</v>
      </c>
      <c r="U1680" s="326" t="e">
        <f ca="1">_xlfn.XLOOKUP(PAA_4[[#This Row],[ITEM]],[2]Contrato!A:A,[2]Contrato!Q:Q,"",0)</f>
        <v>#NAME?</v>
      </c>
      <c r="V1680" s="47" t="s">
        <v>95</v>
      </c>
      <c r="W1680" s="373" t="s">
        <v>1971</v>
      </c>
      <c r="X1680" s="373" t="s">
        <v>1972</v>
      </c>
      <c r="Y1680" s="55" t="e">
        <f ca="1">_xlfn.XLOOKUP(PAA_4[[#This Row],[ITEM]],[2]Contrato!A:A,[2]Contrato!B:B,"",0)</f>
        <v>#NAME?</v>
      </c>
      <c r="Z1680" s="47" t="e">
        <f ca="1">_xlfn.XLOOKUP(PAA_4[[#This Row],[ITEM]],[2]Contrato!A:A,[2]Contrato!G:G,"",0)</f>
        <v>#NAME?</v>
      </c>
      <c r="AA1680" s="47" t="e">
        <f ca="1">_xlfn.XLOOKUP(PAA_4[[#This Row],[ITEM]],[2]Contrato!A:A,[2]Contrato!T:T,"",0)</f>
        <v>#NAME?</v>
      </c>
      <c r="AB1680" s="55" t="e">
        <f ca="1">+MAX(PAA_4[[#This Row],[Comprometido Contrato]],PAA_4[[#This Row],[Comprometido Bolsa]])</f>
        <v>#NAME?</v>
      </c>
      <c r="AC1680" s="55" t="str">
        <f t="shared" ca="1" si="566"/>
        <v/>
      </c>
      <c r="AD1680" s="55" t="e">
        <f ca="1">IF(PAA_4[[#This Row],[ESTADO (formulado)]]="NO CONTRATADO",0,MAX(PAA_4[[#This Row],[Pago por Contrato]],PAA_4[[#This Row],[Pago por bolsa]]))</f>
        <v>#NAME?</v>
      </c>
      <c r="AE1680" s="55" t="str">
        <f t="shared" ca="1" si="561"/>
        <v/>
      </c>
      <c r="AF1680" s="47" t="e">
        <f t="shared" ca="1" si="565"/>
        <v>#NAME?</v>
      </c>
      <c r="AG1680" s="47">
        <f t="shared" si="562"/>
        <v>41080101</v>
      </c>
      <c r="AH1680" s="54" t="str">
        <f>IF(Q1680="22",IF(ISNUMBER(SEARCH("econ",PAA_4[[#This Row],[Actividad3]])),"Económico",IF(ISNUMBER(SEARCH("alim",PAA_4[[#This Row],[Actividad3]])),"Alimentación",IF(ISNUMBER(SEARCH("educ",PAA_4[[#This Row],[Actividad3]])),"Educativo","Técnico"))),0)</f>
        <v>Técnico</v>
      </c>
      <c r="AI1680" s="47" t="e" cm="1">
        <f t="array" aca="1" ref="AI1680" ca="1">_xlfn.XLOOKUP(PAA_4[[#This Row],[RCP-RUBRO]],[2]!COMPROMISOS_2024[[#All],[concatenado]],[2]!COMPROMISOS_2024[[#All],[Total pagado]],"",0)</f>
        <v>#NAME?</v>
      </c>
      <c r="AJ1680" s="56" t="e">
        <f ca="1">IF(PAA_4[[#This Row],[BOLSA]]=0,0,SUMIFS([2]!COMPROMISOS_2024[[#All],[Total pagado]],[2]!COMPROMISOS_2024[[#All],[Bolsa]],PAA_4[[#This Row],[BOLSA]],[2]!COMPROMISOS_2024[[#All],[rubro]],PAA_4[[#This Row],[RCP-RUBRO]]))</f>
        <v>#REF!</v>
      </c>
      <c r="AK1680" s="47" t="e" cm="1">
        <f t="array" aca="1" ref="AK1680" ca="1">_xlfn.XLOOKUP(PAA_4[[#This Row],[RCP-RUBRO]],[2]!COMPROMISOS_2024[[#All],[concatenado]],[2]!COMPROMISOS_2024[[#All],[Total Comprometido]],"",0)</f>
        <v>#NAME?</v>
      </c>
      <c r="AL1680" s="47" t="e">
        <f ca="1">IF(PAA_4[[#This Row],[BOLSA]]=0,0,SUMIFS([2]!COMPROMISOS_2024[[#All],[Total Comprometido]],[2]!COMPROMISOS_2024[[#All],[Bolsa]],PAA_4[[#This Row],[BOLSA]],[2]!COMPROMISOS_2024[[#All],[concatenado]],PAA_4[[#This Row],[RCP-RUBRO]]))</f>
        <v>#REF!</v>
      </c>
    </row>
    <row r="1681" spans="1:38" s="19" customFormat="1" ht="31.5" customHeight="1">
      <c r="A1681" s="47">
        <v>929</v>
      </c>
      <c r="B1681" s="344">
        <v>80111600</v>
      </c>
      <c r="C1681" s="47" t="str">
        <f>VLOOKUP(PAA_4[[#This Row],[PROYECTO (formulado)2]],[2]PROYECTOS!$G$1:$L$32,6,0)</f>
        <v>SUBGERENCIA DE ALTOS LOGROS Y DEPORTE ASOCIADO</v>
      </c>
      <c r="D1681" s="47" t="str">
        <f>+IF(PAA_4[[#This Row],[UNIDAD DE CONTRATACION (formulado)]]="Subgerencia Administrativa y Financiera","FUNCIONAMIENTO","INVERSIÓN")</f>
        <v>INVERSIÓN</v>
      </c>
      <c r="E1681" s="48" t="str">
        <f>VLOOKUP(Q1681,[2]PROYECTOS!$G$1:$K$32,5,0)</f>
        <v>APOYO_TÉCNICO_Y_PSICOSOCIAL_A_LOS_DEPORTISTAS_DE_ANTIOQUIA</v>
      </c>
      <c r="F1681" s="48">
        <f>VLOOKUP(E1681,[2]PROYECTOS!$K$1:$M$32,3,0)</f>
        <v>2021003050069</v>
      </c>
      <c r="G1681" s="371" t="s">
        <v>239</v>
      </c>
      <c r="H1681" s="49" t="str">
        <f>VLOOKUP(Q1681,[2]PROYECTOS!$V$1:$W$32,2,0)</f>
        <v>050069</v>
      </c>
      <c r="I1681" s="374">
        <v>28142021</v>
      </c>
      <c r="J1681" s="286" t="s">
        <v>1998</v>
      </c>
      <c r="K1681" s="47" t="str">
        <f t="shared" ref="K1681:K1744" ca="1" si="567">IF(ISNONTEXT(Y1681)=TRUE,"CONTRATADO","NO CONTRATADO")</f>
        <v>CONTRATADO</v>
      </c>
      <c r="L1681" s="372" t="s">
        <v>147</v>
      </c>
      <c r="M1681" s="58" t="s">
        <v>1297</v>
      </c>
      <c r="N1681" s="344" t="s">
        <v>240</v>
      </c>
      <c r="O1681" s="51" t="e">
        <f>VLOOKUP(N1681,[2]!RUBROS[#All],3,0)</f>
        <v>#REF!</v>
      </c>
      <c r="P1681" s="53" t="e">
        <f>VLOOKUP(N1681,[2]!RUBROS[#All],2,0)</f>
        <v>#REF!</v>
      </c>
      <c r="Q1681" s="47" t="str">
        <f t="shared" si="563"/>
        <v>22</v>
      </c>
      <c r="R1681" s="47" t="str">
        <f t="shared" si="564"/>
        <v>0-205400</v>
      </c>
      <c r="S1681" s="342">
        <v>122</v>
      </c>
      <c r="T1681" s="59" t="s">
        <v>1970</v>
      </c>
      <c r="U1681" s="326" t="e">
        <f ca="1">_xlfn.XLOOKUP(PAA_4[[#This Row],[ITEM]],[2]Contrato!A:A,[2]Contrato!Q:Q,"",0)</f>
        <v>#NAME?</v>
      </c>
      <c r="V1681" s="47" t="s">
        <v>95</v>
      </c>
      <c r="W1681" s="373" t="s">
        <v>1971</v>
      </c>
      <c r="X1681" s="373" t="s">
        <v>1972</v>
      </c>
      <c r="Y1681" s="55" t="e">
        <f ca="1">_xlfn.XLOOKUP(PAA_4[[#This Row],[ITEM]],[2]Contrato!A:A,[2]Contrato!B:B,"",0)</f>
        <v>#NAME?</v>
      </c>
      <c r="Z1681" s="47" t="e">
        <f ca="1">_xlfn.XLOOKUP(PAA_4[[#This Row],[ITEM]],[2]Contrato!A:A,[2]Contrato!G:G,"",0)</f>
        <v>#NAME?</v>
      </c>
      <c r="AA1681" s="47" t="e">
        <f ca="1">_xlfn.XLOOKUP(PAA_4[[#This Row],[ITEM]],[2]Contrato!A:A,[2]Contrato!T:T,"",0)</f>
        <v>#NAME?</v>
      </c>
      <c r="AB1681" s="55" t="e">
        <f ca="1">+MAX(PAA_4[[#This Row],[Comprometido Contrato]],PAA_4[[#This Row],[Comprometido Bolsa]])</f>
        <v>#NAME?</v>
      </c>
      <c r="AC1681" s="55" t="str">
        <f t="shared" ca="1" si="566"/>
        <v/>
      </c>
      <c r="AD1681" s="55" t="e">
        <f ca="1">IF(PAA_4[[#This Row],[ESTADO (formulado)]]="NO CONTRATADO",0,MAX(PAA_4[[#This Row],[Pago por Contrato]],PAA_4[[#This Row],[Pago por bolsa]]))</f>
        <v>#NAME?</v>
      </c>
      <c r="AE1681" s="55" t="str">
        <f t="shared" ref="AE1681:AE1744" ca="1" si="568">+IFERROR(AB1681-AD1681,"")</f>
        <v/>
      </c>
      <c r="AF1681" s="47" t="e">
        <f t="shared" ca="1" si="565"/>
        <v>#NAME?</v>
      </c>
      <c r="AG1681" s="47">
        <f t="shared" ref="AG1681:AG1744" si="569">IFERROR(_xlfn.NUMBERVALUE(MID(G1681,1,8)),"")</f>
        <v>41080101</v>
      </c>
      <c r="AH1681" s="54" t="str">
        <f>IF(Q1681="22",IF(ISNUMBER(SEARCH("econ",PAA_4[[#This Row],[Actividad3]])),"Económico",IF(ISNUMBER(SEARCH("alim",PAA_4[[#This Row],[Actividad3]])),"Alimentación",IF(ISNUMBER(SEARCH("educ",PAA_4[[#This Row],[Actividad3]])),"Educativo","Técnico"))),0)</f>
        <v>Técnico</v>
      </c>
      <c r="AI1681" s="47" t="e" cm="1">
        <f t="array" aca="1" ref="AI1681" ca="1">_xlfn.XLOOKUP(PAA_4[[#This Row],[RCP-RUBRO]],[2]!COMPROMISOS_2024[[#All],[concatenado]],[2]!COMPROMISOS_2024[[#All],[Total pagado]],"",0)</f>
        <v>#NAME?</v>
      </c>
      <c r="AJ1681" s="56" t="e">
        <f ca="1">IF(PAA_4[[#This Row],[BOLSA]]=0,0,SUMIFS([2]!COMPROMISOS_2024[[#All],[Total pagado]],[2]!COMPROMISOS_2024[[#All],[Bolsa]],PAA_4[[#This Row],[BOLSA]],[2]!COMPROMISOS_2024[[#All],[rubro]],PAA_4[[#This Row],[RCP-RUBRO]]))</f>
        <v>#REF!</v>
      </c>
      <c r="AK1681" s="47" t="e" cm="1">
        <f t="array" aca="1" ref="AK1681" ca="1">_xlfn.XLOOKUP(PAA_4[[#This Row],[RCP-RUBRO]],[2]!COMPROMISOS_2024[[#All],[concatenado]],[2]!COMPROMISOS_2024[[#All],[Total Comprometido]],"",0)</f>
        <v>#NAME?</v>
      </c>
      <c r="AL1681" s="47" t="e">
        <f ca="1">IF(PAA_4[[#This Row],[BOLSA]]=0,0,SUMIFS([2]!COMPROMISOS_2024[[#All],[Total Comprometido]],[2]!COMPROMISOS_2024[[#All],[Bolsa]],PAA_4[[#This Row],[BOLSA]],[2]!COMPROMISOS_2024[[#All],[concatenado]],PAA_4[[#This Row],[RCP-RUBRO]]))</f>
        <v>#REF!</v>
      </c>
    </row>
    <row r="1682" spans="1:38" s="19" customFormat="1" ht="31.5" customHeight="1">
      <c r="A1682" s="47">
        <v>930</v>
      </c>
      <c r="B1682" s="344">
        <v>80111600</v>
      </c>
      <c r="C1682" s="47" t="str">
        <f>VLOOKUP(PAA_4[[#This Row],[PROYECTO (formulado)2]],[2]PROYECTOS!$G$1:$L$32,6,0)</f>
        <v>SUBGERENCIA DE ALTOS LOGROS Y DEPORTE ASOCIADO</v>
      </c>
      <c r="D1682" s="47" t="str">
        <f>+IF(PAA_4[[#This Row],[UNIDAD DE CONTRATACION (formulado)]]="Subgerencia Administrativa y Financiera","FUNCIONAMIENTO","INVERSIÓN")</f>
        <v>INVERSIÓN</v>
      </c>
      <c r="E1682" s="48" t="str">
        <f>VLOOKUP(Q1682,[2]PROYECTOS!$G$1:$K$32,5,0)</f>
        <v>APOYO_TÉCNICO_Y_PSICOSOCIAL_A_LOS_DEPORTISTAS_DE_ANTIOQUIA</v>
      </c>
      <c r="F1682" s="48">
        <f>VLOOKUP(E1682,[2]PROYECTOS!$K$1:$M$32,3,0)</f>
        <v>2021003050069</v>
      </c>
      <c r="G1682" s="371" t="s">
        <v>239</v>
      </c>
      <c r="H1682" s="49" t="str">
        <f>VLOOKUP(Q1682,[2]PROYECTOS!$V$1:$W$32,2,0)</f>
        <v>050069</v>
      </c>
      <c r="I1682" s="374">
        <v>19963006</v>
      </c>
      <c r="J1682" s="286" t="s">
        <v>1998</v>
      </c>
      <c r="K1682" s="47" t="str">
        <f t="shared" ca="1" si="567"/>
        <v>CONTRATADO</v>
      </c>
      <c r="L1682" s="372" t="s">
        <v>147</v>
      </c>
      <c r="M1682" s="58" t="s">
        <v>1297</v>
      </c>
      <c r="N1682" s="344" t="s">
        <v>240</v>
      </c>
      <c r="O1682" s="51" t="e">
        <f>VLOOKUP(N1682,[2]!RUBROS[#All],3,0)</f>
        <v>#REF!</v>
      </c>
      <c r="P1682" s="53" t="e">
        <f>VLOOKUP(N1682,[2]!RUBROS[#All],2,0)</f>
        <v>#REF!</v>
      </c>
      <c r="Q1682" s="47" t="str">
        <f t="shared" si="563"/>
        <v>22</v>
      </c>
      <c r="R1682" s="47" t="str">
        <f t="shared" si="564"/>
        <v>0-205400</v>
      </c>
      <c r="S1682" s="342">
        <v>122</v>
      </c>
      <c r="T1682" s="59" t="s">
        <v>1970</v>
      </c>
      <c r="U1682" s="326" t="e">
        <f ca="1">_xlfn.XLOOKUP(PAA_4[[#This Row],[ITEM]],[2]Contrato!A:A,[2]Contrato!Q:Q,"",0)</f>
        <v>#NAME?</v>
      </c>
      <c r="V1682" s="47" t="s">
        <v>95</v>
      </c>
      <c r="W1682" s="373" t="s">
        <v>1971</v>
      </c>
      <c r="X1682" s="373" t="s">
        <v>1972</v>
      </c>
      <c r="Y1682" s="55" t="e">
        <f ca="1">_xlfn.XLOOKUP(PAA_4[[#This Row],[ITEM]],[2]Contrato!A:A,[2]Contrato!B:B,"",0)</f>
        <v>#NAME?</v>
      </c>
      <c r="Z1682" s="47" t="e">
        <f ca="1">_xlfn.XLOOKUP(PAA_4[[#This Row],[ITEM]],[2]Contrato!A:A,[2]Contrato!G:G,"",0)</f>
        <v>#NAME?</v>
      </c>
      <c r="AA1682" s="47" t="e">
        <f ca="1">_xlfn.XLOOKUP(PAA_4[[#This Row],[ITEM]],[2]Contrato!A:A,[2]Contrato!T:T,"",0)</f>
        <v>#NAME?</v>
      </c>
      <c r="AB1682" s="55" t="e">
        <f ca="1">+MAX(PAA_4[[#This Row],[Comprometido Contrato]],PAA_4[[#This Row],[Comprometido Bolsa]])</f>
        <v>#NAME?</v>
      </c>
      <c r="AC1682" s="55" t="str">
        <f t="shared" ca="1" si="566"/>
        <v/>
      </c>
      <c r="AD1682" s="55" t="e">
        <f ca="1">IF(PAA_4[[#This Row],[ESTADO (formulado)]]="NO CONTRATADO",0,MAX(PAA_4[[#This Row],[Pago por Contrato]],PAA_4[[#This Row],[Pago por bolsa]]))</f>
        <v>#NAME?</v>
      </c>
      <c r="AE1682" s="55" t="str">
        <f t="shared" ca="1" si="568"/>
        <v/>
      </c>
      <c r="AF1682" s="47" t="e">
        <f t="shared" ca="1" si="565"/>
        <v>#NAME?</v>
      </c>
      <c r="AG1682" s="47">
        <f t="shared" si="569"/>
        <v>41080101</v>
      </c>
      <c r="AH1682" s="54" t="str">
        <f>IF(Q1682="22",IF(ISNUMBER(SEARCH("econ",PAA_4[[#This Row],[Actividad3]])),"Económico",IF(ISNUMBER(SEARCH("alim",PAA_4[[#This Row],[Actividad3]])),"Alimentación",IF(ISNUMBER(SEARCH("educ",PAA_4[[#This Row],[Actividad3]])),"Educativo","Técnico"))),0)</f>
        <v>Técnico</v>
      </c>
      <c r="AI1682" s="47" t="e" cm="1">
        <f t="array" aca="1" ref="AI1682" ca="1">_xlfn.XLOOKUP(PAA_4[[#This Row],[RCP-RUBRO]],[2]!COMPROMISOS_2024[[#All],[concatenado]],[2]!COMPROMISOS_2024[[#All],[Total pagado]],"",0)</f>
        <v>#NAME?</v>
      </c>
      <c r="AJ1682" s="56" t="e">
        <f ca="1">IF(PAA_4[[#This Row],[BOLSA]]=0,0,SUMIFS([2]!COMPROMISOS_2024[[#All],[Total pagado]],[2]!COMPROMISOS_2024[[#All],[Bolsa]],PAA_4[[#This Row],[BOLSA]],[2]!COMPROMISOS_2024[[#All],[rubro]],PAA_4[[#This Row],[RCP-RUBRO]]))</f>
        <v>#REF!</v>
      </c>
      <c r="AK1682" s="47" t="e" cm="1">
        <f t="array" aca="1" ref="AK1682" ca="1">_xlfn.XLOOKUP(PAA_4[[#This Row],[RCP-RUBRO]],[2]!COMPROMISOS_2024[[#All],[concatenado]],[2]!COMPROMISOS_2024[[#All],[Total Comprometido]],"",0)</f>
        <v>#NAME?</v>
      </c>
      <c r="AL1682" s="47" t="e">
        <f ca="1">IF(PAA_4[[#This Row],[BOLSA]]=0,0,SUMIFS([2]!COMPROMISOS_2024[[#All],[Total Comprometido]],[2]!COMPROMISOS_2024[[#All],[Bolsa]],PAA_4[[#This Row],[BOLSA]],[2]!COMPROMISOS_2024[[#All],[concatenado]],PAA_4[[#This Row],[RCP-RUBRO]]))</f>
        <v>#REF!</v>
      </c>
    </row>
    <row r="1683" spans="1:38" s="19" customFormat="1" ht="31.5" customHeight="1">
      <c r="A1683" s="47">
        <v>931</v>
      </c>
      <c r="B1683" s="344">
        <v>80111600</v>
      </c>
      <c r="C1683" s="47" t="str">
        <f>VLOOKUP(PAA_4[[#This Row],[PROYECTO (formulado)2]],[2]PROYECTOS!$G$1:$L$32,6,0)</f>
        <v>SUBGERENCIA DE ALTOS LOGROS Y DEPORTE ASOCIADO</v>
      </c>
      <c r="D1683" s="47" t="str">
        <f>+IF(PAA_4[[#This Row],[UNIDAD DE CONTRATACION (formulado)]]="Subgerencia Administrativa y Financiera","FUNCIONAMIENTO","INVERSIÓN")</f>
        <v>INVERSIÓN</v>
      </c>
      <c r="E1683" s="48" t="str">
        <f>VLOOKUP(Q1683,[2]PROYECTOS!$G$1:$K$32,5,0)</f>
        <v>APOYO_TÉCNICO_Y_PSICOSOCIAL_A_LOS_DEPORTISTAS_DE_ANTIOQUIA</v>
      </c>
      <c r="F1683" s="48">
        <f>VLOOKUP(E1683,[2]PROYECTOS!$K$1:$M$32,3,0)</f>
        <v>2021003050069</v>
      </c>
      <c r="G1683" s="371" t="s">
        <v>239</v>
      </c>
      <c r="H1683" s="49" t="str">
        <f>VLOOKUP(Q1683,[2]PROYECTOS!$V$1:$W$32,2,0)</f>
        <v>050069</v>
      </c>
      <c r="I1683" s="374">
        <v>24120006</v>
      </c>
      <c r="J1683" s="286" t="s">
        <v>1999</v>
      </c>
      <c r="K1683" s="47" t="str">
        <f t="shared" ca="1" si="567"/>
        <v>CONTRATADO</v>
      </c>
      <c r="L1683" s="372" t="s">
        <v>147</v>
      </c>
      <c r="M1683" s="58" t="s">
        <v>1297</v>
      </c>
      <c r="N1683" s="344" t="s">
        <v>240</v>
      </c>
      <c r="O1683" s="51" t="e">
        <f>VLOOKUP(N1683,[2]!RUBROS[#All],3,0)</f>
        <v>#REF!</v>
      </c>
      <c r="P1683" s="53" t="e">
        <f>VLOOKUP(N1683,[2]!RUBROS[#All],2,0)</f>
        <v>#REF!</v>
      </c>
      <c r="Q1683" s="47" t="str">
        <f t="shared" si="563"/>
        <v>22</v>
      </c>
      <c r="R1683" s="47" t="str">
        <f t="shared" si="564"/>
        <v>0-205400</v>
      </c>
      <c r="S1683" s="342">
        <v>122</v>
      </c>
      <c r="T1683" s="59" t="s">
        <v>1970</v>
      </c>
      <c r="U1683" s="326" t="e">
        <f ca="1">_xlfn.XLOOKUP(PAA_4[[#This Row],[ITEM]],[2]Contrato!A:A,[2]Contrato!Q:Q,"",0)</f>
        <v>#NAME?</v>
      </c>
      <c r="V1683" s="47" t="s">
        <v>95</v>
      </c>
      <c r="W1683" s="373" t="s">
        <v>1971</v>
      </c>
      <c r="X1683" s="373" t="s">
        <v>1972</v>
      </c>
      <c r="Y1683" s="55" t="e">
        <f ca="1">_xlfn.XLOOKUP(PAA_4[[#This Row],[ITEM]],[2]Contrato!A:A,[2]Contrato!B:B,"",0)</f>
        <v>#NAME?</v>
      </c>
      <c r="Z1683" s="47" t="e">
        <f ca="1">_xlfn.XLOOKUP(PAA_4[[#This Row],[ITEM]],[2]Contrato!A:A,[2]Contrato!G:G,"",0)</f>
        <v>#NAME?</v>
      </c>
      <c r="AA1683" s="47" t="e">
        <f ca="1">_xlfn.XLOOKUP(PAA_4[[#This Row],[ITEM]],[2]Contrato!A:A,[2]Contrato!T:T,"",0)</f>
        <v>#NAME?</v>
      </c>
      <c r="AB1683" s="55" t="e">
        <f ca="1">+MAX(PAA_4[[#This Row],[Comprometido Contrato]],PAA_4[[#This Row],[Comprometido Bolsa]])</f>
        <v>#NAME?</v>
      </c>
      <c r="AC1683" s="55" t="str">
        <f t="shared" ca="1" si="566"/>
        <v/>
      </c>
      <c r="AD1683" s="55" t="e">
        <f ca="1">IF(PAA_4[[#This Row],[ESTADO (formulado)]]="NO CONTRATADO",0,MAX(PAA_4[[#This Row],[Pago por Contrato]],PAA_4[[#This Row],[Pago por bolsa]]))</f>
        <v>#NAME?</v>
      </c>
      <c r="AE1683" s="55" t="str">
        <f t="shared" ca="1" si="568"/>
        <v/>
      </c>
      <c r="AF1683" s="47" t="e">
        <f t="shared" ca="1" si="565"/>
        <v>#NAME?</v>
      </c>
      <c r="AG1683" s="47">
        <f t="shared" si="569"/>
        <v>41080101</v>
      </c>
      <c r="AH1683" s="54" t="str">
        <f>IF(Q1683="22",IF(ISNUMBER(SEARCH("econ",PAA_4[[#This Row],[Actividad3]])),"Económico",IF(ISNUMBER(SEARCH("alim",PAA_4[[#This Row],[Actividad3]])),"Alimentación",IF(ISNUMBER(SEARCH("educ",PAA_4[[#This Row],[Actividad3]])),"Educativo","Técnico"))),0)</f>
        <v>Técnico</v>
      </c>
      <c r="AI1683" s="47" t="e" cm="1">
        <f t="array" aca="1" ref="AI1683" ca="1">_xlfn.XLOOKUP(PAA_4[[#This Row],[RCP-RUBRO]],[2]!COMPROMISOS_2024[[#All],[concatenado]],[2]!COMPROMISOS_2024[[#All],[Total pagado]],"",0)</f>
        <v>#NAME?</v>
      </c>
      <c r="AJ1683" s="56" t="e">
        <f ca="1">IF(PAA_4[[#This Row],[BOLSA]]=0,0,SUMIFS([2]!COMPROMISOS_2024[[#All],[Total pagado]],[2]!COMPROMISOS_2024[[#All],[Bolsa]],PAA_4[[#This Row],[BOLSA]],[2]!COMPROMISOS_2024[[#All],[rubro]],PAA_4[[#This Row],[RCP-RUBRO]]))</f>
        <v>#REF!</v>
      </c>
      <c r="AK1683" s="47" t="e" cm="1">
        <f t="array" aca="1" ref="AK1683" ca="1">_xlfn.XLOOKUP(PAA_4[[#This Row],[RCP-RUBRO]],[2]!COMPROMISOS_2024[[#All],[concatenado]],[2]!COMPROMISOS_2024[[#All],[Total Comprometido]],"",0)</f>
        <v>#NAME?</v>
      </c>
      <c r="AL1683" s="47" t="e">
        <f ca="1">IF(PAA_4[[#This Row],[BOLSA]]=0,0,SUMIFS([2]!COMPROMISOS_2024[[#All],[Total Comprometido]],[2]!COMPROMISOS_2024[[#All],[Bolsa]],PAA_4[[#This Row],[BOLSA]],[2]!COMPROMISOS_2024[[#All],[concatenado]],PAA_4[[#This Row],[RCP-RUBRO]]))</f>
        <v>#REF!</v>
      </c>
    </row>
    <row r="1684" spans="1:38" s="19" customFormat="1" ht="31.5" customHeight="1">
      <c r="A1684" s="47">
        <v>932</v>
      </c>
      <c r="B1684" s="344">
        <v>80111600</v>
      </c>
      <c r="C1684" s="47" t="str">
        <f>VLOOKUP(PAA_4[[#This Row],[PROYECTO (formulado)2]],[2]PROYECTOS!$G$1:$L$32,6,0)</f>
        <v>SUBGERENCIA DE ALTOS LOGROS Y DEPORTE ASOCIADO</v>
      </c>
      <c r="D1684" s="47" t="str">
        <f>+IF(PAA_4[[#This Row],[UNIDAD DE CONTRATACION (formulado)]]="Subgerencia Administrativa y Financiera","FUNCIONAMIENTO","INVERSIÓN")</f>
        <v>INVERSIÓN</v>
      </c>
      <c r="E1684" s="48" t="str">
        <f>VLOOKUP(Q1684,[2]PROYECTOS!$G$1:$K$32,5,0)</f>
        <v>APOYO_TÉCNICO_Y_PSICOSOCIAL_A_LOS_DEPORTISTAS_DE_ANTIOQUIA</v>
      </c>
      <c r="F1684" s="48">
        <f>VLOOKUP(E1684,[2]PROYECTOS!$K$1:$M$32,3,0)</f>
        <v>2021003050069</v>
      </c>
      <c r="G1684" s="371" t="s">
        <v>239</v>
      </c>
      <c r="H1684" s="49" t="str">
        <f>VLOOKUP(Q1684,[2]PROYECTOS!$V$1:$W$32,2,0)</f>
        <v>050069</v>
      </c>
      <c r="I1684" s="374">
        <v>16073020</v>
      </c>
      <c r="J1684" s="286" t="s">
        <v>2000</v>
      </c>
      <c r="K1684" s="47" t="str">
        <f t="shared" ca="1" si="567"/>
        <v>CONTRATADO</v>
      </c>
      <c r="L1684" s="372" t="s">
        <v>147</v>
      </c>
      <c r="M1684" s="58" t="s">
        <v>1297</v>
      </c>
      <c r="N1684" s="344" t="s">
        <v>240</v>
      </c>
      <c r="O1684" s="51" t="e">
        <f>VLOOKUP(N1684,[2]!RUBROS[#All],3,0)</f>
        <v>#REF!</v>
      </c>
      <c r="P1684" s="53" t="e">
        <f>VLOOKUP(N1684,[2]!RUBROS[#All],2,0)</f>
        <v>#REF!</v>
      </c>
      <c r="Q1684" s="47" t="str">
        <f t="shared" ref="Q1684:Q1747" si="570">+MID(N1684,11,2)</f>
        <v>22</v>
      </c>
      <c r="R1684" s="47" t="str">
        <f t="shared" ref="R1684:R1747" si="571">+MID(N1684,14,8)</f>
        <v>0-205400</v>
      </c>
      <c r="S1684" s="342">
        <v>122</v>
      </c>
      <c r="T1684" s="59" t="s">
        <v>1970</v>
      </c>
      <c r="U1684" s="326" t="e">
        <f ca="1">_xlfn.XLOOKUP(PAA_4[[#This Row],[ITEM]],[2]Contrato!A:A,[2]Contrato!Q:Q,"",0)</f>
        <v>#NAME?</v>
      </c>
      <c r="V1684" s="47" t="s">
        <v>95</v>
      </c>
      <c r="W1684" s="373" t="s">
        <v>1971</v>
      </c>
      <c r="X1684" s="373" t="s">
        <v>1972</v>
      </c>
      <c r="Y1684" s="55" t="e">
        <f ca="1">_xlfn.XLOOKUP(PAA_4[[#This Row],[ITEM]],[2]Contrato!A:A,[2]Contrato!B:B,"",0)</f>
        <v>#NAME?</v>
      </c>
      <c r="Z1684" s="47" t="e">
        <f ca="1">_xlfn.XLOOKUP(PAA_4[[#This Row],[ITEM]],[2]Contrato!A:A,[2]Contrato!G:G,"",0)</f>
        <v>#NAME?</v>
      </c>
      <c r="AA1684" s="47" t="e">
        <f ca="1">_xlfn.XLOOKUP(PAA_4[[#This Row],[ITEM]],[2]Contrato!A:A,[2]Contrato!T:T,"",0)</f>
        <v>#NAME?</v>
      </c>
      <c r="AB1684" s="55" t="e">
        <f ca="1">+MAX(PAA_4[[#This Row],[Comprometido Contrato]],PAA_4[[#This Row],[Comprometido Bolsa]])</f>
        <v>#NAME?</v>
      </c>
      <c r="AC1684" s="55" t="str">
        <f t="shared" ca="1" si="566"/>
        <v/>
      </c>
      <c r="AD1684" s="55" t="e">
        <f ca="1">IF(PAA_4[[#This Row],[ESTADO (formulado)]]="NO CONTRATADO",0,MAX(PAA_4[[#This Row],[Pago por Contrato]],PAA_4[[#This Row],[Pago por bolsa]]))</f>
        <v>#NAME?</v>
      </c>
      <c r="AE1684" s="55" t="str">
        <f t="shared" ca="1" si="568"/>
        <v/>
      </c>
      <c r="AF1684" s="47" t="e">
        <f t="shared" ca="1" si="565"/>
        <v>#NAME?</v>
      </c>
      <c r="AG1684" s="47">
        <f t="shared" si="569"/>
        <v>41080101</v>
      </c>
      <c r="AH1684" s="54" t="str">
        <f>IF(Q1684="22",IF(ISNUMBER(SEARCH("econ",PAA_4[[#This Row],[Actividad3]])),"Económico",IF(ISNUMBER(SEARCH("alim",PAA_4[[#This Row],[Actividad3]])),"Alimentación",IF(ISNUMBER(SEARCH("educ",PAA_4[[#This Row],[Actividad3]])),"Educativo","Técnico"))),0)</f>
        <v>Técnico</v>
      </c>
      <c r="AI1684" s="47" t="e" cm="1">
        <f t="array" aca="1" ref="AI1684" ca="1">_xlfn.XLOOKUP(PAA_4[[#This Row],[RCP-RUBRO]],[2]!COMPROMISOS_2024[[#All],[concatenado]],[2]!COMPROMISOS_2024[[#All],[Total pagado]],"",0)</f>
        <v>#NAME?</v>
      </c>
      <c r="AJ1684" s="56" t="e">
        <f ca="1">IF(PAA_4[[#This Row],[BOLSA]]=0,0,SUMIFS([2]!COMPROMISOS_2024[[#All],[Total pagado]],[2]!COMPROMISOS_2024[[#All],[Bolsa]],PAA_4[[#This Row],[BOLSA]],[2]!COMPROMISOS_2024[[#All],[rubro]],PAA_4[[#This Row],[RCP-RUBRO]]))</f>
        <v>#REF!</v>
      </c>
      <c r="AK1684" s="47" t="e" cm="1">
        <f t="array" aca="1" ref="AK1684" ca="1">_xlfn.XLOOKUP(PAA_4[[#This Row],[RCP-RUBRO]],[2]!COMPROMISOS_2024[[#All],[concatenado]],[2]!COMPROMISOS_2024[[#All],[Total Comprometido]],"",0)</f>
        <v>#NAME?</v>
      </c>
      <c r="AL1684" s="47" t="e">
        <f ca="1">IF(PAA_4[[#This Row],[BOLSA]]=0,0,SUMIFS([2]!COMPROMISOS_2024[[#All],[Total Comprometido]],[2]!COMPROMISOS_2024[[#All],[Bolsa]],PAA_4[[#This Row],[BOLSA]],[2]!COMPROMISOS_2024[[#All],[concatenado]],PAA_4[[#This Row],[RCP-RUBRO]]))</f>
        <v>#REF!</v>
      </c>
    </row>
    <row r="1685" spans="1:38" s="19" customFormat="1" ht="31.5" customHeight="1">
      <c r="A1685" s="47">
        <v>933</v>
      </c>
      <c r="B1685" s="344">
        <v>80111600</v>
      </c>
      <c r="C1685" s="47" t="str">
        <f>VLOOKUP(PAA_4[[#This Row],[PROYECTO (formulado)2]],[2]PROYECTOS!$G$1:$L$32,6,0)</f>
        <v>SUBGERENCIA DE ALTOS LOGROS Y DEPORTE ASOCIADO</v>
      </c>
      <c r="D1685" s="47" t="str">
        <f>+IF(PAA_4[[#This Row],[UNIDAD DE CONTRATACION (formulado)]]="Subgerencia Administrativa y Financiera","FUNCIONAMIENTO","INVERSIÓN")</f>
        <v>INVERSIÓN</v>
      </c>
      <c r="E1685" s="48" t="str">
        <f>VLOOKUP(Q1685,[2]PROYECTOS!$G$1:$K$32,5,0)</f>
        <v>APOYO_TÉCNICO_Y_PSICOSOCIAL_A_LOS_DEPORTISTAS_DE_ANTIOQUIA</v>
      </c>
      <c r="F1685" s="48">
        <f>VLOOKUP(E1685,[2]PROYECTOS!$K$1:$M$32,3,0)</f>
        <v>2021003050069</v>
      </c>
      <c r="G1685" s="371" t="s">
        <v>239</v>
      </c>
      <c r="H1685" s="49" t="str">
        <f>VLOOKUP(Q1685,[2]PROYECTOS!$V$1:$W$32,2,0)</f>
        <v>050069</v>
      </c>
      <c r="I1685" s="374">
        <v>24120006</v>
      </c>
      <c r="J1685" s="286" t="s">
        <v>1634</v>
      </c>
      <c r="K1685" s="47" t="str">
        <f t="shared" ca="1" si="567"/>
        <v>CONTRATADO</v>
      </c>
      <c r="L1685" s="372" t="s">
        <v>147</v>
      </c>
      <c r="M1685" s="58" t="s">
        <v>1297</v>
      </c>
      <c r="N1685" s="344" t="s">
        <v>240</v>
      </c>
      <c r="O1685" s="51" t="e">
        <f>VLOOKUP(N1685,[2]!RUBROS[#All],3,0)</f>
        <v>#REF!</v>
      </c>
      <c r="P1685" s="53" t="e">
        <f>VLOOKUP(N1685,[2]!RUBROS[#All],2,0)</f>
        <v>#REF!</v>
      </c>
      <c r="Q1685" s="47" t="str">
        <f t="shared" si="570"/>
        <v>22</v>
      </c>
      <c r="R1685" s="47" t="str">
        <f t="shared" si="571"/>
        <v>0-205400</v>
      </c>
      <c r="S1685" s="342">
        <v>122</v>
      </c>
      <c r="T1685" s="59" t="s">
        <v>1970</v>
      </c>
      <c r="U1685" s="326" t="e">
        <f ca="1">_xlfn.XLOOKUP(PAA_4[[#This Row],[ITEM]],[2]Contrato!A:A,[2]Contrato!Q:Q,"",0)</f>
        <v>#NAME?</v>
      </c>
      <c r="V1685" s="47" t="s">
        <v>95</v>
      </c>
      <c r="W1685" s="373" t="s">
        <v>1971</v>
      </c>
      <c r="X1685" s="373" t="s">
        <v>1972</v>
      </c>
      <c r="Y1685" s="55" t="e">
        <f ca="1">_xlfn.XLOOKUP(PAA_4[[#This Row],[ITEM]],[2]Contrato!A:A,[2]Contrato!B:B,"",0)</f>
        <v>#NAME?</v>
      </c>
      <c r="Z1685" s="47" t="e">
        <f ca="1">_xlfn.XLOOKUP(PAA_4[[#This Row],[ITEM]],[2]Contrato!A:A,[2]Contrato!G:G,"",0)</f>
        <v>#NAME?</v>
      </c>
      <c r="AA1685" s="47" t="e">
        <f ca="1">_xlfn.XLOOKUP(PAA_4[[#This Row],[ITEM]],[2]Contrato!A:A,[2]Contrato!T:T,"",0)</f>
        <v>#NAME?</v>
      </c>
      <c r="AB1685" s="55" t="e">
        <f ca="1">+MAX(PAA_4[[#This Row],[Comprometido Contrato]],PAA_4[[#This Row],[Comprometido Bolsa]])</f>
        <v>#NAME?</v>
      </c>
      <c r="AC1685" s="55" t="str">
        <f t="shared" ca="1" si="566"/>
        <v/>
      </c>
      <c r="AD1685" s="55" t="e">
        <f ca="1">IF(PAA_4[[#This Row],[ESTADO (formulado)]]="NO CONTRATADO",0,MAX(PAA_4[[#This Row],[Pago por Contrato]],PAA_4[[#This Row],[Pago por bolsa]]))</f>
        <v>#NAME?</v>
      </c>
      <c r="AE1685" s="55" t="str">
        <f t="shared" ca="1" si="568"/>
        <v/>
      </c>
      <c r="AF1685" s="47" t="e">
        <f t="shared" ref="AF1685:AF1748" ca="1" si="572">+CONCATENATE(AA1685,N1685)</f>
        <v>#NAME?</v>
      </c>
      <c r="AG1685" s="47">
        <f t="shared" si="569"/>
        <v>41080101</v>
      </c>
      <c r="AH1685" s="54" t="str">
        <f>IF(Q1685="22",IF(ISNUMBER(SEARCH("econ",PAA_4[[#This Row],[Actividad3]])),"Económico",IF(ISNUMBER(SEARCH("alim",PAA_4[[#This Row],[Actividad3]])),"Alimentación",IF(ISNUMBER(SEARCH("educ",PAA_4[[#This Row],[Actividad3]])),"Educativo","Técnico"))),0)</f>
        <v>Técnico</v>
      </c>
      <c r="AI1685" s="47" t="e" cm="1">
        <f t="array" aca="1" ref="AI1685" ca="1">_xlfn.XLOOKUP(PAA_4[[#This Row],[RCP-RUBRO]],[2]!COMPROMISOS_2024[[#All],[concatenado]],[2]!COMPROMISOS_2024[[#All],[Total pagado]],"",0)</f>
        <v>#NAME?</v>
      </c>
      <c r="AJ1685" s="56" t="e">
        <f ca="1">IF(PAA_4[[#This Row],[BOLSA]]=0,0,SUMIFS([2]!COMPROMISOS_2024[[#All],[Total pagado]],[2]!COMPROMISOS_2024[[#All],[Bolsa]],PAA_4[[#This Row],[BOLSA]],[2]!COMPROMISOS_2024[[#All],[rubro]],PAA_4[[#This Row],[RCP-RUBRO]]))</f>
        <v>#REF!</v>
      </c>
      <c r="AK1685" s="47" t="e" cm="1">
        <f t="array" aca="1" ref="AK1685" ca="1">_xlfn.XLOOKUP(PAA_4[[#This Row],[RCP-RUBRO]],[2]!COMPROMISOS_2024[[#All],[concatenado]],[2]!COMPROMISOS_2024[[#All],[Total Comprometido]],"",0)</f>
        <v>#NAME?</v>
      </c>
      <c r="AL1685" s="47" t="e">
        <f ca="1">IF(PAA_4[[#This Row],[BOLSA]]=0,0,SUMIFS([2]!COMPROMISOS_2024[[#All],[Total Comprometido]],[2]!COMPROMISOS_2024[[#All],[Bolsa]],PAA_4[[#This Row],[BOLSA]],[2]!COMPROMISOS_2024[[#All],[concatenado]],PAA_4[[#This Row],[RCP-RUBRO]]))</f>
        <v>#REF!</v>
      </c>
    </row>
    <row r="1686" spans="1:38" s="19" customFormat="1" ht="31.5" customHeight="1">
      <c r="A1686" s="47">
        <v>934</v>
      </c>
      <c r="B1686" s="344">
        <v>80111600</v>
      </c>
      <c r="C1686" s="47" t="str">
        <f>VLOOKUP(PAA_4[[#This Row],[PROYECTO (formulado)2]],[2]PROYECTOS!$G$1:$L$32,6,0)</f>
        <v>SUBGERENCIA DE ALTOS LOGROS Y DEPORTE ASOCIADO</v>
      </c>
      <c r="D1686" s="47" t="str">
        <f>+IF(PAA_4[[#This Row],[UNIDAD DE CONTRATACION (formulado)]]="Subgerencia Administrativa y Financiera","FUNCIONAMIENTO","INVERSIÓN")</f>
        <v>INVERSIÓN</v>
      </c>
      <c r="E1686" s="48" t="str">
        <f>VLOOKUP(Q1686,[2]PROYECTOS!$G$1:$K$32,5,0)</f>
        <v>APOYO_TÉCNICO_Y_PSICOSOCIAL_A_LOS_DEPORTISTAS_DE_ANTIOQUIA</v>
      </c>
      <c r="F1686" s="48">
        <f>VLOOKUP(E1686,[2]PROYECTOS!$K$1:$M$32,3,0)</f>
        <v>2021003050069</v>
      </c>
      <c r="G1686" s="371" t="s">
        <v>239</v>
      </c>
      <c r="H1686" s="49" t="str">
        <f>VLOOKUP(Q1686,[2]PROYECTOS!$V$1:$W$32,2,0)</f>
        <v>050069</v>
      </c>
      <c r="I1686" s="374">
        <v>19963006</v>
      </c>
      <c r="J1686" s="286" t="s">
        <v>1634</v>
      </c>
      <c r="K1686" s="47" t="str">
        <f t="shared" ca="1" si="567"/>
        <v>CONTRATADO</v>
      </c>
      <c r="L1686" s="372" t="s">
        <v>147</v>
      </c>
      <c r="M1686" s="58" t="s">
        <v>1297</v>
      </c>
      <c r="N1686" s="344" t="s">
        <v>240</v>
      </c>
      <c r="O1686" s="51" t="e">
        <f>VLOOKUP(N1686,[2]!RUBROS[#All],3,0)</f>
        <v>#REF!</v>
      </c>
      <c r="P1686" s="53" t="e">
        <f>VLOOKUP(N1686,[2]!RUBROS[#All],2,0)</f>
        <v>#REF!</v>
      </c>
      <c r="Q1686" s="47" t="str">
        <f t="shared" si="570"/>
        <v>22</v>
      </c>
      <c r="R1686" s="47" t="str">
        <f t="shared" si="571"/>
        <v>0-205400</v>
      </c>
      <c r="S1686" s="342">
        <v>122</v>
      </c>
      <c r="T1686" s="59" t="s">
        <v>1970</v>
      </c>
      <c r="U1686" s="326" t="e">
        <f ca="1">_xlfn.XLOOKUP(PAA_4[[#This Row],[ITEM]],[2]Contrato!A:A,[2]Contrato!Q:Q,"",0)</f>
        <v>#NAME?</v>
      </c>
      <c r="V1686" s="47" t="s">
        <v>95</v>
      </c>
      <c r="W1686" s="373" t="s">
        <v>1971</v>
      </c>
      <c r="X1686" s="373" t="s">
        <v>1972</v>
      </c>
      <c r="Y1686" s="55" t="e">
        <f ca="1">_xlfn.XLOOKUP(PAA_4[[#This Row],[ITEM]],[2]Contrato!A:A,[2]Contrato!B:B,"",0)</f>
        <v>#NAME?</v>
      </c>
      <c r="Z1686" s="47" t="e">
        <f ca="1">_xlfn.XLOOKUP(PAA_4[[#This Row],[ITEM]],[2]Contrato!A:A,[2]Contrato!G:G,"",0)</f>
        <v>#NAME?</v>
      </c>
      <c r="AA1686" s="47" t="e">
        <f ca="1">_xlfn.XLOOKUP(PAA_4[[#This Row],[ITEM]],[2]Contrato!A:A,[2]Contrato!T:T,"",0)</f>
        <v>#NAME?</v>
      </c>
      <c r="AB1686" s="55" t="e">
        <f ca="1">+MAX(PAA_4[[#This Row],[Comprometido Contrato]],PAA_4[[#This Row],[Comprometido Bolsa]])</f>
        <v>#NAME?</v>
      </c>
      <c r="AC1686" s="55" t="str">
        <f t="shared" ca="1" si="566"/>
        <v/>
      </c>
      <c r="AD1686" s="55" t="e">
        <f ca="1">IF(PAA_4[[#This Row],[ESTADO (formulado)]]="NO CONTRATADO",0,MAX(PAA_4[[#This Row],[Pago por Contrato]],PAA_4[[#This Row],[Pago por bolsa]]))</f>
        <v>#NAME?</v>
      </c>
      <c r="AE1686" s="55" t="str">
        <f t="shared" ca="1" si="568"/>
        <v/>
      </c>
      <c r="AF1686" s="47" t="e">
        <f t="shared" ca="1" si="572"/>
        <v>#NAME?</v>
      </c>
      <c r="AG1686" s="47">
        <f t="shared" si="569"/>
        <v>41080101</v>
      </c>
      <c r="AH1686" s="54" t="str">
        <f>IF(Q1686="22",IF(ISNUMBER(SEARCH("econ",PAA_4[[#This Row],[Actividad3]])),"Económico",IF(ISNUMBER(SEARCH("alim",PAA_4[[#This Row],[Actividad3]])),"Alimentación",IF(ISNUMBER(SEARCH("educ",PAA_4[[#This Row],[Actividad3]])),"Educativo","Técnico"))),0)</f>
        <v>Técnico</v>
      </c>
      <c r="AI1686" s="47" t="e" cm="1">
        <f t="array" aca="1" ref="AI1686" ca="1">_xlfn.XLOOKUP(PAA_4[[#This Row],[RCP-RUBRO]],[2]!COMPROMISOS_2024[[#All],[concatenado]],[2]!COMPROMISOS_2024[[#All],[Total pagado]],"",0)</f>
        <v>#NAME?</v>
      </c>
      <c r="AJ1686" s="56" t="e">
        <f ca="1">IF(PAA_4[[#This Row],[BOLSA]]=0,0,SUMIFS([2]!COMPROMISOS_2024[[#All],[Total pagado]],[2]!COMPROMISOS_2024[[#All],[Bolsa]],PAA_4[[#This Row],[BOLSA]],[2]!COMPROMISOS_2024[[#All],[rubro]],PAA_4[[#This Row],[RCP-RUBRO]]))</f>
        <v>#REF!</v>
      </c>
      <c r="AK1686" s="47" t="e" cm="1">
        <f t="array" aca="1" ref="AK1686" ca="1">_xlfn.XLOOKUP(PAA_4[[#This Row],[RCP-RUBRO]],[2]!COMPROMISOS_2024[[#All],[concatenado]],[2]!COMPROMISOS_2024[[#All],[Total Comprometido]],"",0)</f>
        <v>#NAME?</v>
      </c>
      <c r="AL1686" s="47" t="e">
        <f ca="1">IF(PAA_4[[#This Row],[BOLSA]]=0,0,SUMIFS([2]!COMPROMISOS_2024[[#All],[Total Comprometido]],[2]!COMPROMISOS_2024[[#All],[Bolsa]],PAA_4[[#This Row],[BOLSA]],[2]!COMPROMISOS_2024[[#All],[concatenado]],PAA_4[[#This Row],[RCP-RUBRO]]))</f>
        <v>#REF!</v>
      </c>
    </row>
    <row r="1687" spans="1:38" s="19" customFormat="1" ht="31.5" customHeight="1">
      <c r="A1687" s="47">
        <v>935</v>
      </c>
      <c r="B1687" s="344">
        <v>80111600</v>
      </c>
      <c r="C1687" s="47" t="str">
        <f>VLOOKUP(PAA_4[[#This Row],[PROYECTO (formulado)2]],[2]PROYECTOS!$G$1:$L$32,6,0)</f>
        <v>SUBGERENCIA DE ALTOS LOGROS Y DEPORTE ASOCIADO</v>
      </c>
      <c r="D1687" s="47" t="str">
        <f>+IF(PAA_4[[#This Row],[UNIDAD DE CONTRATACION (formulado)]]="Subgerencia Administrativa y Financiera","FUNCIONAMIENTO","INVERSIÓN")</f>
        <v>INVERSIÓN</v>
      </c>
      <c r="E1687" s="48" t="str">
        <f>VLOOKUP(Q1687,[2]PROYECTOS!$G$1:$K$32,5,0)</f>
        <v>APOYO_TÉCNICO_Y_PSICOSOCIAL_A_LOS_DEPORTISTAS_DE_ANTIOQUIA</v>
      </c>
      <c r="F1687" s="48">
        <f>VLOOKUP(E1687,[2]PROYECTOS!$K$1:$M$32,3,0)</f>
        <v>2021003050069</v>
      </c>
      <c r="G1687" s="371" t="s">
        <v>239</v>
      </c>
      <c r="H1687" s="49" t="str">
        <f>VLOOKUP(Q1687,[2]PROYECTOS!$V$1:$W$32,2,0)</f>
        <v>050069</v>
      </c>
      <c r="I1687" s="374">
        <v>24120006</v>
      </c>
      <c r="J1687" s="286" t="s">
        <v>1634</v>
      </c>
      <c r="K1687" s="47" t="str">
        <f t="shared" ca="1" si="567"/>
        <v>CONTRATADO</v>
      </c>
      <c r="L1687" s="372" t="s">
        <v>147</v>
      </c>
      <c r="M1687" s="58" t="s">
        <v>1297</v>
      </c>
      <c r="N1687" s="344" t="s">
        <v>240</v>
      </c>
      <c r="O1687" s="51" t="e">
        <f>VLOOKUP(N1687,[2]!RUBROS[#All],3,0)</f>
        <v>#REF!</v>
      </c>
      <c r="P1687" s="53" t="e">
        <f>VLOOKUP(N1687,[2]!RUBROS[#All],2,0)</f>
        <v>#REF!</v>
      </c>
      <c r="Q1687" s="47" t="str">
        <f t="shared" si="570"/>
        <v>22</v>
      </c>
      <c r="R1687" s="47" t="str">
        <f t="shared" si="571"/>
        <v>0-205400</v>
      </c>
      <c r="S1687" s="342">
        <v>122</v>
      </c>
      <c r="T1687" s="59" t="s">
        <v>1970</v>
      </c>
      <c r="U1687" s="326" t="e">
        <f ca="1">_xlfn.XLOOKUP(PAA_4[[#This Row],[ITEM]],[2]Contrato!A:A,[2]Contrato!Q:Q,"",0)</f>
        <v>#NAME?</v>
      </c>
      <c r="V1687" s="47" t="s">
        <v>95</v>
      </c>
      <c r="W1687" s="373" t="s">
        <v>1971</v>
      </c>
      <c r="X1687" s="373" t="s">
        <v>1972</v>
      </c>
      <c r="Y1687" s="55" t="e">
        <f ca="1">_xlfn.XLOOKUP(PAA_4[[#This Row],[ITEM]],[2]Contrato!A:A,[2]Contrato!B:B,"",0)</f>
        <v>#NAME?</v>
      </c>
      <c r="Z1687" s="47" t="e">
        <f ca="1">_xlfn.XLOOKUP(PAA_4[[#This Row],[ITEM]],[2]Contrato!A:A,[2]Contrato!G:G,"",0)</f>
        <v>#NAME?</v>
      </c>
      <c r="AA1687" s="47" t="e">
        <f ca="1">_xlfn.XLOOKUP(PAA_4[[#This Row],[ITEM]],[2]Contrato!A:A,[2]Contrato!T:T,"",0)</f>
        <v>#NAME?</v>
      </c>
      <c r="AB1687" s="55" t="e">
        <f ca="1">+MAX(PAA_4[[#This Row],[Comprometido Contrato]],PAA_4[[#This Row],[Comprometido Bolsa]])</f>
        <v>#NAME?</v>
      </c>
      <c r="AC1687" s="55" t="str">
        <f t="shared" ca="1" si="566"/>
        <v/>
      </c>
      <c r="AD1687" s="55" t="e">
        <f ca="1">IF(PAA_4[[#This Row],[ESTADO (formulado)]]="NO CONTRATADO",0,MAX(PAA_4[[#This Row],[Pago por Contrato]],PAA_4[[#This Row],[Pago por bolsa]]))</f>
        <v>#NAME?</v>
      </c>
      <c r="AE1687" s="55" t="str">
        <f t="shared" ca="1" si="568"/>
        <v/>
      </c>
      <c r="AF1687" s="47" t="e">
        <f t="shared" ca="1" si="572"/>
        <v>#NAME?</v>
      </c>
      <c r="AG1687" s="47">
        <f t="shared" si="569"/>
        <v>41080101</v>
      </c>
      <c r="AH1687" s="54" t="str">
        <f>IF(Q1687="22",IF(ISNUMBER(SEARCH("econ",PAA_4[[#This Row],[Actividad3]])),"Económico",IF(ISNUMBER(SEARCH("alim",PAA_4[[#This Row],[Actividad3]])),"Alimentación",IF(ISNUMBER(SEARCH("educ",PAA_4[[#This Row],[Actividad3]])),"Educativo","Técnico"))),0)</f>
        <v>Técnico</v>
      </c>
      <c r="AI1687" s="47" t="e" cm="1">
        <f t="array" aca="1" ref="AI1687" ca="1">_xlfn.XLOOKUP(PAA_4[[#This Row],[RCP-RUBRO]],[2]!COMPROMISOS_2024[[#All],[concatenado]],[2]!COMPROMISOS_2024[[#All],[Total pagado]],"",0)</f>
        <v>#NAME?</v>
      </c>
      <c r="AJ1687" s="56" t="e">
        <f ca="1">IF(PAA_4[[#This Row],[BOLSA]]=0,0,SUMIFS([2]!COMPROMISOS_2024[[#All],[Total pagado]],[2]!COMPROMISOS_2024[[#All],[Bolsa]],PAA_4[[#This Row],[BOLSA]],[2]!COMPROMISOS_2024[[#All],[rubro]],PAA_4[[#This Row],[RCP-RUBRO]]))</f>
        <v>#REF!</v>
      </c>
      <c r="AK1687" s="47" t="e" cm="1">
        <f t="array" aca="1" ref="AK1687" ca="1">_xlfn.XLOOKUP(PAA_4[[#This Row],[RCP-RUBRO]],[2]!COMPROMISOS_2024[[#All],[concatenado]],[2]!COMPROMISOS_2024[[#All],[Total Comprometido]],"",0)</f>
        <v>#NAME?</v>
      </c>
      <c r="AL1687" s="47" t="e">
        <f ca="1">IF(PAA_4[[#This Row],[BOLSA]]=0,0,SUMIFS([2]!COMPROMISOS_2024[[#All],[Total Comprometido]],[2]!COMPROMISOS_2024[[#All],[Bolsa]],PAA_4[[#This Row],[BOLSA]],[2]!COMPROMISOS_2024[[#All],[concatenado]],PAA_4[[#This Row],[RCP-RUBRO]]))</f>
        <v>#REF!</v>
      </c>
    </row>
    <row r="1688" spans="1:38" s="19" customFormat="1" ht="31.5" customHeight="1">
      <c r="A1688" s="47">
        <v>936</v>
      </c>
      <c r="B1688" s="344">
        <v>80111600</v>
      </c>
      <c r="C1688" s="47" t="str">
        <f>VLOOKUP(PAA_4[[#This Row],[PROYECTO (formulado)2]],[2]PROYECTOS!$G$1:$L$32,6,0)</f>
        <v>SUBGERENCIA DE ALTOS LOGROS Y DEPORTE ASOCIADO</v>
      </c>
      <c r="D1688" s="47" t="str">
        <f>+IF(PAA_4[[#This Row],[UNIDAD DE CONTRATACION (formulado)]]="Subgerencia Administrativa y Financiera","FUNCIONAMIENTO","INVERSIÓN")</f>
        <v>INVERSIÓN</v>
      </c>
      <c r="E1688" s="48" t="str">
        <f>VLOOKUP(Q1688,[2]PROYECTOS!$G$1:$K$32,5,0)</f>
        <v>APOYO_TÉCNICO_Y_PSICOSOCIAL_A_LOS_DEPORTISTAS_DE_ANTIOQUIA</v>
      </c>
      <c r="F1688" s="48">
        <f>VLOOKUP(E1688,[2]PROYECTOS!$K$1:$M$32,3,0)</f>
        <v>2021003050069</v>
      </c>
      <c r="G1688" s="371" t="s">
        <v>239</v>
      </c>
      <c r="H1688" s="49" t="str">
        <f>VLOOKUP(Q1688,[2]PROYECTOS!$V$1:$W$32,2,0)</f>
        <v>050069</v>
      </c>
      <c r="I1688" s="374">
        <v>32162311</v>
      </c>
      <c r="J1688" s="286" t="s">
        <v>1634</v>
      </c>
      <c r="K1688" s="47" t="str">
        <f t="shared" ca="1" si="567"/>
        <v>CONTRATADO</v>
      </c>
      <c r="L1688" s="372" t="s">
        <v>147</v>
      </c>
      <c r="M1688" s="58" t="s">
        <v>1297</v>
      </c>
      <c r="N1688" s="344" t="s">
        <v>240</v>
      </c>
      <c r="O1688" s="51" t="e">
        <f>VLOOKUP(N1688,[2]!RUBROS[#All],3,0)</f>
        <v>#REF!</v>
      </c>
      <c r="P1688" s="53" t="e">
        <f>VLOOKUP(N1688,[2]!RUBROS[#All],2,0)</f>
        <v>#REF!</v>
      </c>
      <c r="Q1688" s="47" t="str">
        <f t="shared" si="570"/>
        <v>22</v>
      </c>
      <c r="R1688" s="47" t="str">
        <f t="shared" si="571"/>
        <v>0-205400</v>
      </c>
      <c r="S1688" s="342">
        <v>122</v>
      </c>
      <c r="T1688" s="59" t="s">
        <v>1970</v>
      </c>
      <c r="U1688" s="326" t="e">
        <f ca="1">_xlfn.XLOOKUP(PAA_4[[#This Row],[ITEM]],[2]Contrato!A:A,[2]Contrato!Q:Q,"",0)</f>
        <v>#NAME?</v>
      </c>
      <c r="V1688" s="47" t="s">
        <v>95</v>
      </c>
      <c r="W1688" s="373" t="s">
        <v>1971</v>
      </c>
      <c r="X1688" s="373" t="s">
        <v>1972</v>
      </c>
      <c r="Y1688" s="55" t="e">
        <f ca="1">_xlfn.XLOOKUP(PAA_4[[#This Row],[ITEM]],[2]Contrato!A:A,[2]Contrato!B:B,"",0)</f>
        <v>#NAME?</v>
      </c>
      <c r="Z1688" s="47" t="e">
        <f ca="1">_xlfn.XLOOKUP(PAA_4[[#This Row],[ITEM]],[2]Contrato!A:A,[2]Contrato!G:G,"",0)</f>
        <v>#NAME?</v>
      </c>
      <c r="AA1688" s="47" t="e">
        <f ca="1">_xlfn.XLOOKUP(PAA_4[[#This Row],[ITEM]],[2]Contrato!A:A,[2]Contrato!T:T,"",0)</f>
        <v>#NAME?</v>
      </c>
      <c r="AB1688" s="55" t="e">
        <f ca="1">+MAX(PAA_4[[#This Row],[Comprometido Contrato]],PAA_4[[#This Row],[Comprometido Bolsa]])</f>
        <v>#NAME?</v>
      </c>
      <c r="AC1688" s="55" t="str">
        <f t="shared" ca="1" si="566"/>
        <v/>
      </c>
      <c r="AD1688" s="55" t="e">
        <f ca="1">IF(PAA_4[[#This Row],[ESTADO (formulado)]]="NO CONTRATADO",0,MAX(PAA_4[[#This Row],[Pago por Contrato]],PAA_4[[#This Row],[Pago por bolsa]]))</f>
        <v>#NAME?</v>
      </c>
      <c r="AE1688" s="55" t="str">
        <f t="shared" ca="1" si="568"/>
        <v/>
      </c>
      <c r="AF1688" s="47" t="e">
        <f t="shared" ca="1" si="572"/>
        <v>#NAME?</v>
      </c>
      <c r="AG1688" s="47">
        <f t="shared" si="569"/>
        <v>41080101</v>
      </c>
      <c r="AH1688" s="54" t="str">
        <f>IF(Q1688="22",IF(ISNUMBER(SEARCH("econ",PAA_4[[#This Row],[Actividad3]])),"Económico",IF(ISNUMBER(SEARCH("alim",PAA_4[[#This Row],[Actividad3]])),"Alimentación",IF(ISNUMBER(SEARCH("educ",PAA_4[[#This Row],[Actividad3]])),"Educativo","Técnico"))),0)</f>
        <v>Técnico</v>
      </c>
      <c r="AI1688" s="47" t="e" cm="1">
        <f t="array" aca="1" ref="AI1688" ca="1">_xlfn.XLOOKUP(PAA_4[[#This Row],[RCP-RUBRO]],[2]!COMPROMISOS_2024[[#All],[concatenado]],[2]!COMPROMISOS_2024[[#All],[Total pagado]],"",0)</f>
        <v>#NAME?</v>
      </c>
      <c r="AJ1688" s="56" t="e">
        <f ca="1">IF(PAA_4[[#This Row],[BOLSA]]=0,0,SUMIFS([2]!COMPROMISOS_2024[[#All],[Total pagado]],[2]!COMPROMISOS_2024[[#All],[Bolsa]],PAA_4[[#This Row],[BOLSA]],[2]!COMPROMISOS_2024[[#All],[rubro]],PAA_4[[#This Row],[RCP-RUBRO]]))</f>
        <v>#REF!</v>
      </c>
      <c r="AK1688" s="47" t="e" cm="1">
        <f t="array" aca="1" ref="AK1688" ca="1">_xlfn.XLOOKUP(PAA_4[[#This Row],[RCP-RUBRO]],[2]!COMPROMISOS_2024[[#All],[concatenado]],[2]!COMPROMISOS_2024[[#All],[Total Comprometido]],"",0)</f>
        <v>#NAME?</v>
      </c>
      <c r="AL1688" s="47" t="e">
        <f ca="1">IF(PAA_4[[#This Row],[BOLSA]]=0,0,SUMIFS([2]!COMPROMISOS_2024[[#All],[Total Comprometido]],[2]!COMPROMISOS_2024[[#All],[Bolsa]],PAA_4[[#This Row],[BOLSA]],[2]!COMPROMISOS_2024[[#All],[concatenado]],PAA_4[[#This Row],[RCP-RUBRO]]))</f>
        <v>#REF!</v>
      </c>
    </row>
    <row r="1689" spans="1:38" s="19" customFormat="1" ht="31.5" customHeight="1">
      <c r="A1689" s="47">
        <v>937</v>
      </c>
      <c r="B1689" s="344">
        <v>80111600</v>
      </c>
      <c r="C1689" s="47" t="str">
        <f>VLOOKUP(PAA_4[[#This Row],[PROYECTO (formulado)2]],[2]PROYECTOS!$G$1:$L$32,6,0)</f>
        <v>SUBGERENCIA DE ALTOS LOGROS Y DEPORTE ASOCIADO</v>
      </c>
      <c r="D1689" s="47" t="str">
        <f>+IF(PAA_4[[#This Row],[UNIDAD DE CONTRATACION (formulado)]]="Subgerencia Administrativa y Financiera","FUNCIONAMIENTO","INVERSIÓN")</f>
        <v>INVERSIÓN</v>
      </c>
      <c r="E1689" s="48" t="str">
        <f>VLOOKUP(Q1689,[2]PROYECTOS!$G$1:$K$32,5,0)</f>
        <v>APOYO_TÉCNICO_Y_PSICOSOCIAL_A_LOS_DEPORTISTAS_DE_ANTIOQUIA</v>
      </c>
      <c r="F1689" s="48">
        <f>VLOOKUP(E1689,[2]PROYECTOS!$K$1:$M$32,3,0)</f>
        <v>2021003050069</v>
      </c>
      <c r="G1689" s="371" t="s">
        <v>239</v>
      </c>
      <c r="H1689" s="49" t="str">
        <f>VLOOKUP(Q1689,[2]PROYECTOS!$V$1:$W$32,2,0)</f>
        <v>050069</v>
      </c>
      <c r="I1689" s="374">
        <v>32162311</v>
      </c>
      <c r="J1689" s="286" t="s">
        <v>1634</v>
      </c>
      <c r="K1689" s="47" t="str">
        <f t="shared" ca="1" si="567"/>
        <v>CONTRATADO</v>
      </c>
      <c r="L1689" s="372" t="s">
        <v>147</v>
      </c>
      <c r="M1689" s="58" t="s">
        <v>1297</v>
      </c>
      <c r="N1689" s="344" t="s">
        <v>240</v>
      </c>
      <c r="O1689" s="51" t="e">
        <f>VLOOKUP(N1689,[2]!RUBROS[#All],3,0)</f>
        <v>#REF!</v>
      </c>
      <c r="P1689" s="53" t="e">
        <f>VLOOKUP(N1689,[2]!RUBROS[#All],2,0)</f>
        <v>#REF!</v>
      </c>
      <c r="Q1689" s="47" t="str">
        <f t="shared" si="570"/>
        <v>22</v>
      </c>
      <c r="R1689" s="47" t="str">
        <f t="shared" si="571"/>
        <v>0-205400</v>
      </c>
      <c r="S1689" s="342">
        <v>122</v>
      </c>
      <c r="T1689" s="59" t="s">
        <v>1970</v>
      </c>
      <c r="U1689" s="326" t="e">
        <f ca="1">_xlfn.XLOOKUP(PAA_4[[#This Row],[ITEM]],[2]Contrato!A:A,[2]Contrato!Q:Q,"",0)</f>
        <v>#NAME?</v>
      </c>
      <c r="V1689" s="47" t="s">
        <v>95</v>
      </c>
      <c r="W1689" s="373" t="s">
        <v>1971</v>
      </c>
      <c r="X1689" s="373" t="s">
        <v>1972</v>
      </c>
      <c r="Y1689" s="55" t="e">
        <f ca="1">_xlfn.XLOOKUP(PAA_4[[#This Row],[ITEM]],[2]Contrato!A:A,[2]Contrato!B:B,"",0)</f>
        <v>#NAME?</v>
      </c>
      <c r="Z1689" s="47" t="e">
        <f ca="1">_xlfn.XLOOKUP(PAA_4[[#This Row],[ITEM]],[2]Contrato!A:A,[2]Contrato!G:G,"",0)</f>
        <v>#NAME?</v>
      </c>
      <c r="AA1689" s="47" t="e">
        <f ca="1">_xlfn.XLOOKUP(PAA_4[[#This Row],[ITEM]],[2]Contrato!A:A,[2]Contrato!T:T,"",0)</f>
        <v>#NAME?</v>
      </c>
      <c r="AB1689" s="55" t="e">
        <f ca="1">+MAX(PAA_4[[#This Row],[Comprometido Contrato]],PAA_4[[#This Row],[Comprometido Bolsa]])</f>
        <v>#NAME?</v>
      </c>
      <c r="AC1689" s="55" t="str">
        <f t="shared" ca="1" si="566"/>
        <v/>
      </c>
      <c r="AD1689" s="55" t="e">
        <f ca="1">IF(PAA_4[[#This Row],[ESTADO (formulado)]]="NO CONTRATADO",0,MAX(PAA_4[[#This Row],[Pago por Contrato]],PAA_4[[#This Row],[Pago por bolsa]]))</f>
        <v>#NAME?</v>
      </c>
      <c r="AE1689" s="55" t="str">
        <f t="shared" ca="1" si="568"/>
        <v/>
      </c>
      <c r="AF1689" s="47" t="e">
        <f t="shared" ca="1" si="572"/>
        <v>#NAME?</v>
      </c>
      <c r="AG1689" s="47">
        <f t="shared" si="569"/>
        <v>41080101</v>
      </c>
      <c r="AH1689" s="54" t="str">
        <f>IF(Q1689="22",IF(ISNUMBER(SEARCH("econ",PAA_4[[#This Row],[Actividad3]])),"Económico",IF(ISNUMBER(SEARCH("alim",PAA_4[[#This Row],[Actividad3]])),"Alimentación",IF(ISNUMBER(SEARCH("educ",PAA_4[[#This Row],[Actividad3]])),"Educativo","Técnico"))),0)</f>
        <v>Técnico</v>
      </c>
      <c r="AI1689" s="47" t="e" cm="1">
        <f t="array" aca="1" ref="AI1689" ca="1">_xlfn.XLOOKUP(PAA_4[[#This Row],[RCP-RUBRO]],[2]!COMPROMISOS_2024[[#All],[concatenado]],[2]!COMPROMISOS_2024[[#All],[Total pagado]],"",0)</f>
        <v>#NAME?</v>
      </c>
      <c r="AJ1689" s="56" t="e">
        <f ca="1">IF(PAA_4[[#This Row],[BOLSA]]=0,0,SUMIFS([2]!COMPROMISOS_2024[[#All],[Total pagado]],[2]!COMPROMISOS_2024[[#All],[Bolsa]],PAA_4[[#This Row],[BOLSA]],[2]!COMPROMISOS_2024[[#All],[rubro]],PAA_4[[#This Row],[RCP-RUBRO]]))</f>
        <v>#REF!</v>
      </c>
      <c r="AK1689" s="47" t="e" cm="1">
        <f t="array" aca="1" ref="AK1689" ca="1">_xlfn.XLOOKUP(PAA_4[[#This Row],[RCP-RUBRO]],[2]!COMPROMISOS_2024[[#All],[concatenado]],[2]!COMPROMISOS_2024[[#All],[Total Comprometido]],"",0)</f>
        <v>#NAME?</v>
      </c>
      <c r="AL1689" s="47" t="e">
        <f ca="1">IF(PAA_4[[#This Row],[BOLSA]]=0,0,SUMIFS([2]!COMPROMISOS_2024[[#All],[Total Comprometido]],[2]!COMPROMISOS_2024[[#All],[Bolsa]],PAA_4[[#This Row],[BOLSA]],[2]!COMPROMISOS_2024[[#All],[concatenado]],PAA_4[[#This Row],[RCP-RUBRO]]))</f>
        <v>#REF!</v>
      </c>
    </row>
    <row r="1690" spans="1:38" s="19" customFormat="1" ht="31.5" customHeight="1">
      <c r="A1690" s="47" t="s">
        <v>82</v>
      </c>
      <c r="B1690" s="366" t="s">
        <v>42</v>
      </c>
      <c r="C1690" s="47" t="str">
        <f>VLOOKUP(PAA_4[[#This Row],[PROYECTO (formulado)2]],[2]PROYECTOS!$G$1:$L$32,6,0)</f>
        <v>SUBGERENCIA DE ALTOS LOGROS Y DEPORTE ASOCIADO</v>
      </c>
      <c r="D1690" s="47" t="str">
        <f>+IF(PAA_4[[#This Row],[UNIDAD DE CONTRATACION (formulado)]]="Subgerencia Administrativa y Financiera","FUNCIONAMIENTO","INVERSIÓN")</f>
        <v>INVERSIÓN</v>
      </c>
      <c r="E1690" s="48" t="str">
        <f>VLOOKUP(Q1690,[2]PROYECTOS!$G$1:$K$32,5,0)</f>
        <v>APOYO_TÉCNICO_Y_PSICOSOCIAL_A_LOS_DEPORTISTAS_DE_ANTIOQUIA</v>
      </c>
      <c r="F1690" s="48">
        <f>VLOOKUP(E1690,[2]PROYECTOS!$K$1:$M$32,3,0)</f>
        <v>2021003050069</v>
      </c>
      <c r="G1690" s="371" t="s">
        <v>241</v>
      </c>
      <c r="H1690" s="49" t="str">
        <f>VLOOKUP(Q1690,[2]PROYECTOS!$V$1:$W$32,2,0)</f>
        <v>050069</v>
      </c>
      <c r="I1690" s="374">
        <v>0</v>
      </c>
      <c r="J1690" s="366" t="s">
        <v>1778</v>
      </c>
      <c r="K1690" s="47" t="str">
        <f t="shared" ca="1" si="567"/>
        <v>CONTRATADO</v>
      </c>
      <c r="L1690" s="58" t="s">
        <v>42</v>
      </c>
      <c r="M1690" s="58" t="s">
        <v>42</v>
      </c>
      <c r="N1690" s="344" t="s">
        <v>240</v>
      </c>
      <c r="O1690" s="51" t="e">
        <f>VLOOKUP(N1690,[2]!RUBROS[#All],3,0)</f>
        <v>#REF!</v>
      </c>
      <c r="P1690" s="53" t="e">
        <f>VLOOKUP(N1690,[2]!RUBROS[#All],2,0)</f>
        <v>#REF!</v>
      </c>
      <c r="Q1690" s="47" t="str">
        <f t="shared" si="570"/>
        <v>22</v>
      </c>
      <c r="R1690" s="47" t="str">
        <f t="shared" si="571"/>
        <v>0-205400</v>
      </c>
      <c r="S1690" s="357" t="s">
        <v>42</v>
      </c>
      <c r="T1690" s="59" t="s">
        <v>42</v>
      </c>
      <c r="U1690" s="326" t="e">
        <f ca="1">_xlfn.XLOOKUP(PAA_4[[#This Row],[ITEM]],[2]Contrato!A:A,[2]Contrato!Q:Q,"",0)</f>
        <v>#NAME?</v>
      </c>
      <c r="V1690" s="47" t="s">
        <v>95</v>
      </c>
      <c r="W1690" s="375" t="s">
        <v>42</v>
      </c>
      <c r="X1690" s="375" t="s">
        <v>42</v>
      </c>
      <c r="Y1690" s="55" t="e">
        <f ca="1">_xlfn.XLOOKUP(PAA_4[[#This Row],[ITEM]],[2]Contrato!A:A,[2]Contrato!B:B,"",0)</f>
        <v>#NAME?</v>
      </c>
      <c r="Z1690" s="47" t="e">
        <f ca="1">_xlfn.XLOOKUP(PAA_4[[#This Row],[ITEM]],[2]Contrato!A:A,[2]Contrato!G:G,"",0)</f>
        <v>#NAME?</v>
      </c>
      <c r="AA1690" s="47" t="e">
        <f ca="1">_xlfn.XLOOKUP(PAA_4[[#This Row],[ITEM]],[2]Contrato!A:A,[2]Contrato!T:T,"",0)</f>
        <v>#NAME?</v>
      </c>
      <c r="AB1690" s="55" t="e">
        <f ca="1">+MAX(PAA_4[[#This Row],[Comprometido Contrato]],PAA_4[[#This Row],[Comprometido Bolsa]])</f>
        <v>#NAME?</v>
      </c>
      <c r="AC1690" s="55" t="str">
        <f t="shared" ca="1" si="566"/>
        <v/>
      </c>
      <c r="AD1690" s="55" t="e">
        <f ca="1">IF(PAA_4[[#This Row],[ESTADO (formulado)]]="NO CONTRATADO",0,MAX(PAA_4[[#This Row],[Pago por Contrato]],PAA_4[[#This Row],[Pago por bolsa]]))</f>
        <v>#NAME?</v>
      </c>
      <c r="AE1690" s="55" t="str">
        <f t="shared" ca="1" si="568"/>
        <v/>
      </c>
      <c r="AF1690" s="47" t="e">
        <f t="shared" ca="1" si="572"/>
        <v>#NAME?</v>
      </c>
      <c r="AG1690" s="47">
        <f t="shared" si="569"/>
        <v>41080106</v>
      </c>
      <c r="AH1690" s="54" t="str">
        <f>IF(Q1690="22",IF(ISNUMBER(SEARCH("econ",PAA_4[[#This Row],[Actividad3]])),"Económico",IF(ISNUMBER(SEARCH("alim",PAA_4[[#This Row],[Actividad3]])),"Alimentación",IF(ISNUMBER(SEARCH("educ",PAA_4[[#This Row],[Actividad3]])),"Educativo","Técnico"))),0)</f>
        <v>Técnico</v>
      </c>
      <c r="AI1690" s="47" t="e" cm="1">
        <f t="array" aca="1" ref="AI1690" ca="1">_xlfn.XLOOKUP(PAA_4[[#This Row],[RCP-RUBRO]],[2]!COMPROMISOS_2024[[#All],[concatenado]],[2]!COMPROMISOS_2024[[#All],[Total pagado]],"",0)</f>
        <v>#NAME?</v>
      </c>
      <c r="AJ1690" s="56" t="e">
        <f ca="1">IF(PAA_4[[#This Row],[BOLSA]]=0,0,SUMIFS([2]!COMPROMISOS_2024[[#All],[Total pagado]],[2]!COMPROMISOS_2024[[#All],[Bolsa]],PAA_4[[#This Row],[BOLSA]],[2]!COMPROMISOS_2024[[#All],[rubro]],PAA_4[[#This Row],[RCP-RUBRO]]))</f>
        <v>#REF!</v>
      </c>
      <c r="AK1690" s="47" t="e" cm="1">
        <f t="array" aca="1" ref="AK1690" ca="1">_xlfn.XLOOKUP(PAA_4[[#This Row],[RCP-RUBRO]],[2]!COMPROMISOS_2024[[#All],[concatenado]],[2]!COMPROMISOS_2024[[#All],[Total Comprometido]],"",0)</f>
        <v>#NAME?</v>
      </c>
      <c r="AL1690" s="47" t="e">
        <f ca="1">IF(PAA_4[[#This Row],[BOLSA]]=0,0,SUMIFS([2]!COMPROMISOS_2024[[#All],[Total Comprometido]],[2]!COMPROMISOS_2024[[#All],[Bolsa]],PAA_4[[#This Row],[BOLSA]],[2]!COMPROMISOS_2024[[#All],[concatenado]],PAA_4[[#This Row],[RCP-RUBRO]]))</f>
        <v>#REF!</v>
      </c>
    </row>
    <row r="1691" spans="1:38" s="19" customFormat="1" ht="31.5" customHeight="1">
      <c r="A1691" s="47">
        <v>938</v>
      </c>
      <c r="B1691" s="344">
        <v>80111600</v>
      </c>
      <c r="C1691" s="47" t="str">
        <f>VLOOKUP(PAA_4[[#This Row],[PROYECTO (formulado)2]],[2]PROYECTOS!$G$1:$L$32,6,0)</f>
        <v>SUBGERENCIA DE ALTOS LOGROS Y DEPORTE ASOCIADO</v>
      </c>
      <c r="D1691" s="47" t="str">
        <f>+IF(PAA_4[[#This Row],[UNIDAD DE CONTRATACION (formulado)]]="Subgerencia Administrativa y Financiera","FUNCIONAMIENTO","INVERSIÓN")</f>
        <v>INVERSIÓN</v>
      </c>
      <c r="E1691" s="48" t="str">
        <f>VLOOKUP(Q1691,[2]PROYECTOS!$G$1:$K$32,5,0)</f>
        <v>APOYO_TÉCNICO_Y_PSICOSOCIAL_A_LOS_DEPORTISTAS_DE_ANTIOQUIA</v>
      </c>
      <c r="F1691" s="48">
        <f>VLOOKUP(E1691,[2]PROYECTOS!$K$1:$M$32,3,0)</f>
        <v>2021003050069</v>
      </c>
      <c r="G1691" s="371" t="s">
        <v>241</v>
      </c>
      <c r="H1691" s="49" t="str">
        <f>VLOOKUP(Q1691,[2]PROYECTOS!$V$1:$W$32,2,0)</f>
        <v>050069</v>
      </c>
      <c r="I1691" s="374">
        <f>23714292-7641272</f>
        <v>16073020</v>
      </c>
      <c r="J1691" s="286" t="s">
        <v>2001</v>
      </c>
      <c r="K1691" s="47" t="str">
        <f t="shared" ca="1" si="567"/>
        <v>CONTRATADO</v>
      </c>
      <c r="L1691" s="372" t="s">
        <v>147</v>
      </c>
      <c r="M1691" s="58" t="s">
        <v>1297</v>
      </c>
      <c r="N1691" s="344" t="s">
        <v>240</v>
      </c>
      <c r="O1691" s="51" t="e">
        <f>VLOOKUP(N1691,[2]!RUBROS[#All],3,0)</f>
        <v>#REF!</v>
      </c>
      <c r="P1691" s="53" t="e">
        <f>VLOOKUP(N1691,[2]!RUBROS[#All],2,0)</f>
        <v>#REF!</v>
      </c>
      <c r="Q1691" s="47" t="str">
        <f t="shared" si="570"/>
        <v>22</v>
      </c>
      <c r="R1691" s="47" t="str">
        <f t="shared" si="571"/>
        <v>0-205400</v>
      </c>
      <c r="S1691" s="357">
        <v>122</v>
      </c>
      <c r="T1691" s="59" t="s">
        <v>1970</v>
      </c>
      <c r="U1691" s="326" t="e">
        <f ca="1">_xlfn.XLOOKUP(PAA_4[[#This Row],[ITEM]],[2]Contrato!A:A,[2]Contrato!Q:Q,"",0)</f>
        <v>#NAME?</v>
      </c>
      <c r="V1691" s="47" t="s">
        <v>95</v>
      </c>
      <c r="W1691" s="373" t="s">
        <v>1971</v>
      </c>
      <c r="X1691" s="373" t="s">
        <v>1972</v>
      </c>
      <c r="Y1691" s="55" t="e">
        <f ca="1">_xlfn.XLOOKUP(PAA_4[[#This Row],[ITEM]],[2]Contrato!A:A,[2]Contrato!B:B,"",0)</f>
        <v>#NAME?</v>
      </c>
      <c r="Z1691" s="47" t="e">
        <f ca="1">_xlfn.XLOOKUP(PAA_4[[#This Row],[ITEM]],[2]Contrato!A:A,[2]Contrato!G:G,"",0)</f>
        <v>#NAME?</v>
      </c>
      <c r="AA1691" s="47" t="e">
        <f ca="1">_xlfn.XLOOKUP(PAA_4[[#This Row],[ITEM]],[2]Contrato!A:A,[2]Contrato!T:T,"",0)</f>
        <v>#NAME?</v>
      </c>
      <c r="AB1691" s="55" t="e">
        <f ca="1">+MAX(PAA_4[[#This Row],[Comprometido Contrato]],PAA_4[[#This Row],[Comprometido Bolsa]])</f>
        <v>#NAME?</v>
      </c>
      <c r="AC1691" s="55" t="str">
        <f t="shared" ca="1" si="566"/>
        <v/>
      </c>
      <c r="AD1691" s="55" t="e">
        <f ca="1">IF(PAA_4[[#This Row],[ESTADO (formulado)]]="NO CONTRATADO",0,MAX(PAA_4[[#This Row],[Pago por Contrato]],PAA_4[[#This Row],[Pago por bolsa]]))</f>
        <v>#NAME?</v>
      </c>
      <c r="AE1691" s="55" t="str">
        <f t="shared" ca="1" si="568"/>
        <v/>
      </c>
      <c r="AF1691" s="47" t="e">
        <f t="shared" ca="1" si="572"/>
        <v>#NAME?</v>
      </c>
      <c r="AG1691" s="47">
        <f t="shared" si="569"/>
        <v>41080106</v>
      </c>
      <c r="AH1691" s="54" t="str">
        <f>IF(Q1691="22",IF(ISNUMBER(SEARCH("econ",PAA_4[[#This Row],[Actividad3]])),"Económico",IF(ISNUMBER(SEARCH("alim",PAA_4[[#This Row],[Actividad3]])),"Alimentación",IF(ISNUMBER(SEARCH("educ",PAA_4[[#This Row],[Actividad3]])),"Educativo","Técnico"))),0)</f>
        <v>Técnico</v>
      </c>
      <c r="AI1691" s="47" t="e" cm="1">
        <f t="array" aca="1" ref="AI1691" ca="1">_xlfn.XLOOKUP(PAA_4[[#This Row],[RCP-RUBRO]],[2]!COMPROMISOS_2024[[#All],[concatenado]],[2]!COMPROMISOS_2024[[#All],[Total pagado]],"",0)</f>
        <v>#NAME?</v>
      </c>
      <c r="AJ1691" s="56" t="e">
        <f ca="1">IF(PAA_4[[#This Row],[BOLSA]]=0,0,SUMIFS([2]!COMPROMISOS_2024[[#All],[Total pagado]],[2]!COMPROMISOS_2024[[#All],[Bolsa]],PAA_4[[#This Row],[BOLSA]],[2]!COMPROMISOS_2024[[#All],[rubro]],PAA_4[[#This Row],[RCP-RUBRO]]))</f>
        <v>#REF!</v>
      </c>
      <c r="AK1691" s="47" t="e" cm="1">
        <f t="array" aca="1" ref="AK1691" ca="1">_xlfn.XLOOKUP(PAA_4[[#This Row],[RCP-RUBRO]],[2]!COMPROMISOS_2024[[#All],[concatenado]],[2]!COMPROMISOS_2024[[#All],[Total Comprometido]],"",0)</f>
        <v>#NAME?</v>
      </c>
      <c r="AL1691" s="47" t="e">
        <f ca="1">IF(PAA_4[[#This Row],[BOLSA]]=0,0,SUMIFS([2]!COMPROMISOS_2024[[#All],[Total Comprometido]],[2]!COMPROMISOS_2024[[#All],[Bolsa]],PAA_4[[#This Row],[BOLSA]],[2]!COMPROMISOS_2024[[#All],[concatenado]],PAA_4[[#This Row],[RCP-RUBRO]]))</f>
        <v>#REF!</v>
      </c>
    </row>
    <row r="1692" spans="1:38" s="19" customFormat="1" ht="31.5" customHeight="1">
      <c r="A1692" s="47" t="s">
        <v>82</v>
      </c>
      <c r="B1692" s="366" t="s">
        <v>42</v>
      </c>
      <c r="C1692" s="47" t="str">
        <f>VLOOKUP(PAA_4[[#This Row],[PROYECTO (formulado)2]],[2]PROYECTOS!$G$1:$L$32,6,0)</f>
        <v>SUBGERENCIA DE ALTOS LOGROS Y DEPORTE ASOCIADO</v>
      </c>
      <c r="D1692" s="47" t="str">
        <f>+IF(PAA_4[[#This Row],[UNIDAD DE CONTRATACION (formulado)]]="Subgerencia Administrativa y Financiera","FUNCIONAMIENTO","INVERSIÓN")</f>
        <v>INVERSIÓN</v>
      </c>
      <c r="E1692" s="48" t="str">
        <f>VLOOKUP(Q1692,[2]PROYECTOS!$G$1:$K$32,5,0)</f>
        <v>APOYO_TÉCNICO_Y_PSICOSOCIAL_A_LOS_DEPORTISTAS_DE_ANTIOQUIA</v>
      </c>
      <c r="F1692" s="48">
        <f>VLOOKUP(E1692,[2]PROYECTOS!$K$1:$M$32,3,0)</f>
        <v>2021003050069</v>
      </c>
      <c r="G1692" s="371" t="s">
        <v>241</v>
      </c>
      <c r="H1692" s="49" t="str">
        <f>VLOOKUP(Q1692,[2]PROYECTOS!$V$1:$W$32,2,0)</f>
        <v>050069</v>
      </c>
      <c r="I1692" s="374">
        <v>0</v>
      </c>
      <c r="J1692" s="366" t="s">
        <v>1778</v>
      </c>
      <c r="K1692" s="47" t="str">
        <f t="shared" ca="1" si="567"/>
        <v>CONTRATADO</v>
      </c>
      <c r="L1692" s="58" t="s">
        <v>42</v>
      </c>
      <c r="M1692" s="58" t="s">
        <v>42</v>
      </c>
      <c r="N1692" s="344" t="s">
        <v>240</v>
      </c>
      <c r="O1692" s="51" t="e">
        <f>VLOOKUP(N1692,[2]!RUBROS[#All],3,0)</f>
        <v>#REF!</v>
      </c>
      <c r="P1692" s="53" t="e">
        <f>VLOOKUP(N1692,[2]!RUBROS[#All],2,0)</f>
        <v>#REF!</v>
      </c>
      <c r="Q1692" s="47" t="str">
        <f t="shared" si="570"/>
        <v>22</v>
      </c>
      <c r="R1692" s="47" t="str">
        <f t="shared" si="571"/>
        <v>0-205400</v>
      </c>
      <c r="S1692" s="357" t="s">
        <v>42</v>
      </c>
      <c r="T1692" s="59" t="s">
        <v>42</v>
      </c>
      <c r="U1692" s="326" t="e">
        <f ca="1">_xlfn.XLOOKUP(PAA_4[[#This Row],[ITEM]],[2]Contrato!A:A,[2]Contrato!Q:Q,"",0)</f>
        <v>#NAME?</v>
      </c>
      <c r="V1692" s="47" t="s">
        <v>95</v>
      </c>
      <c r="W1692" s="375" t="s">
        <v>42</v>
      </c>
      <c r="X1692" s="375" t="s">
        <v>42</v>
      </c>
      <c r="Y1692" s="55" t="e">
        <f ca="1">_xlfn.XLOOKUP(PAA_4[[#This Row],[ITEM]],[2]Contrato!A:A,[2]Contrato!B:B,"",0)</f>
        <v>#NAME?</v>
      </c>
      <c r="Z1692" s="47" t="e">
        <f ca="1">_xlfn.XLOOKUP(PAA_4[[#This Row],[ITEM]],[2]Contrato!A:A,[2]Contrato!G:G,"",0)</f>
        <v>#NAME?</v>
      </c>
      <c r="AA1692" s="47" t="e">
        <f ca="1">_xlfn.XLOOKUP(PAA_4[[#This Row],[ITEM]],[2]Contrato!A:A,[2]Contrato!T:T,"",0)</f>
        <v>#NAME?</v>
      </c>
      <c r="AB1692" s="55" t="e">
        <f ca="1">+MAX(PAA_4[[#This Row],[Comprometido Contrato]],PAA_4[[#This Row],[Comprometido Bolsa]])</f>
        <v>#NAME?</v>
      </c>
      <c r="AC1692" s="55" t="str">
        <f t="shared" ca="1" si="566"/>
        <v/>
      </c>
      <c r="AD1692" s="55" t="e">
        <f ca="1">IF(PAA_4[[#This Row],[ESTADO (formulado)]]="NO CONTRATADO",0,MAX(PAA_4[[#This Row],[Pago por Contrato]],PAA_4[[#This Row],[Pago por bolsa]]))</f>
        <v>#NAME?</v>
      </c>
      <c r="AE1692" s="55" t="str">
        <f t="shared" ca="1" si="568"/>
        <v/>
      </c>
      <c r="AF1692" s="47" t="e">
        <f t="shared" ca="1" si="572"/>
        <v>#NAME?</v>
      </c>
      <c r="AG1692" s="47">
        <f t="shared" si="569"/>
        <v>41080106</v>
      </c>
      <c r="AH1692" s="54" t="str">
        <f>IF(Q1692="22",IF(ISNUMBER(SEARCH("econ",PAA_4[[#This Row],[Actividad3]])),"Económico",IF(ISNUMBER(SEARCH("alim",PAA_4[[#This Row],[Actividad3]])),"Alimentación",IF(ISNUMBER(SEARCH("educ",PAA_4[[#This Row],[Actividad3]])),"Educativo","Técnico"))),0)</f>
        <v>Técnico</v>
      </c>
      <c r="AI1692" s="47" t="e" cm="1">
        <f t="array" aca="1" ref="AI1692" ca="1">_xlfn.XLOOKUP(PAA_4[[#This Row],[RCP-RUBRO]],[2]!COMPROMISOS_2024[[#All],[concatenado]],[2]!COMPROMISOS_2024[[#All],[Total pagado]],"",0)</f>
        <v>#NAME?</v>
      </c>
      <c r="AJ1692" s="56" t="e">
        <f ca="1">IF(PAA_4[[#This Row],[BOLSA]]=0,0,SUMIFS([2]!COMPROMISOS_2024[[#All],[Total pagado]],[2]!COMPROMISOS_2024[[#All],[Bolsa]],PAA_4[[#This Row],[BOLSA]],[2]!COMPROMISOS_2024[[#All],[rubro]],PAA_4[[#This Row],[RCP-RUBRO]]))</f>
        <v>#REF!</v>
      </c>
      <c r="AK1692" s="47" t="e" cm="1">
        <f t="array" aca="1" ref="AK1692" ca="1">_xlfn.XLOOKUP(PAA_4[[#This Row],[RCP-RUBRO]],[2]!COMPROMISOS_2024[[#All],[concatenado]],[2]!COMPROMISOS_2024[[#All],[Total Comprometido]],"",0)</f>
        <v>#NAME?</v>
      </c>
      <c r="AL1692" s="47" t="e">
        <f ca="1">IF(PAA_4[[#This Row],[BOLSA]]=0,0,SUMIFS([2]!COMPROMISOS_2024[[#All],[Total Comprometido]],[2]!COMPROMISOS_2024[[#All],[Bolsa]],PAA_4[[#This Row],[BOLSA]],[2]!COMPROMISOS_2024[[#All],[concatenado]],PAA_4[[#This Row],[RCP-RUBRO]]))</f>
        <v>#REF!</v>
      </c>
    </row>
    <row r="1693" spans="1:38" s="19" customFormat="1" ht="31.5" customHeight="1">
      <c r="A1693" s="47">
        <v>939</v>
      </c>
      <c r="B1693" s="344">
        <v>80111600</v>
      </c>
      <c r="C1693" s="47" t="str">
        <f>VLOOKUP(PAA_4[[#This Row],[PROYECTO (formulado)2]],[2]PROYECTOS!$G$1:$L$32,6,0)</f>
        <v>SUBGERENCIA DE ALTOS LOGROS Y DEPORTE ASOCIADO</v>
      </c>
      <c r="D1693" s="47" t="str">
        <f>+IF(PAA_4[[#This Row],[UNIDAD DE CONTRATACION (formulado)]]="Subgerencia Administrativa y Financiera","FUNCIONAMIENTO","INVERSIÓN")</f>
        <v>INVERSIÓN</v>
      </c>
      <c r="E1693" s="48" t="str">
        <f>VLOOKUP(Q1693,[2]PROYECTOS!$G$1:$K$32,5,0)</f>
        <v>APOYO_TÉCNICO_Y_PSICOSOCIAL_A_LOS_DEPORTISTAS_DE_ANTIOQUIA</v>
      </c>
      <c r="F1693" s="48">
        <f>VLOOKUP(E1693,[2]PROYECTOS!$K$1:$M$32,3,0)</f>
        <v>2021003050069</v>
      </c>
      <c r="G1693" s="371" t="s">
        <v>241</v>
      </c>
      <c r="H1693" s="49" t="str">
        <f>VLOOKUP(Q1693,[2]PROYECTOS!$V$1:$W$32,2,0)</f>
        <v>050069</v>
      </c>
      <c r="I1693" s="374">
        <f>23714292-7641272</f>
        <v>16073020</v>
      </c>
      <c r="J1693" s="286" t="s">
        <v>2002</v>
      </c>
      <c r="K1693" s="47" t="str">
        <f t="shared" ca="1" si="567"/>
        <v>CONTRATADO</v>
      </c>
      <c r="L1693" s="372" t="s">
        <v>147</v>
      </c>
      <c r="M1693" s="58" t="s">
        <v>1297</v>
      </c>
      <c r="N1693" s="344" t="s">
        <v>240</v>
      </c>
      <c r="O1693" s="51" t="e">
        <f>VLOOKUP(N1693,[2]!RUBROS[#All],3,0)</f>
        <v>#REF!</v>
      </c>
      <c r="P1693" s="53" t="e">
        <f>VLOOKUP(N1693,[2]!RUBROS[#All],2,0)</f>
        <v>#REF!</v>
      </c>
      <c r="Q1693" s="47" t="str">
        <f t="shared" si="570"/>
        <v>22</v>
      </c>
      <c r="R1693" s="47" t="str">
        <f t="shared" si="571"/>
        <v>0-205400</v>
      </c>
      <c r="S1693" s="357">
        <v>122</v>
      </c>
      <c r="T1693" s="59" t="s">
        <v>1970</v>
      </c>
      <c r="U1693" s="326" t="e">
        <f ca="1">_xlfn.XLOOKUP(PAA_4[[#This Row],[ITEM]],[2]Contrato!A:A,[2]Contrato!Q:Q,"",0)</f>
        <v>#NAME?</v>
      </c>
      <c r="V1693" s="47" t="s">
        <v>95</v>
      </c>
      <c r="W1693" s="373" t="s">
        <v>1971</v>
      </c>
      <c r="X1693" s="373" t="s">
        <v>1972</v>
      </c>
      <c r="Y1693" s="55" t="e">
        <f ca="1">_xlfn.XLOOKUP(PAA_4[[#This Row],[ITEM]],[2]Contrato!A:A,[2]Contrato!B:B,"",0)</f>
        <v>#NAME?</v>
      </c>
      <c r="Z1693" s="47" t="e">
        <f ca="1">_xlfn.XLOOKUP(PAA_4[[#This Row],[ITEM]],[2]Contrato!A:A,[2]Contrato!G:G,"",0)</f>
        <v>#NAME?</v>
      </c>
      <c r="AA1693" s="47" t="e">
        <f ca="1">_xlfn.XLOOKUP(PAA_4[[#This Row],[ITEM]],[2]Contrato!A:A,[2]Contrato!T:T,"",0)</f>
        <v>#NAME?</v>
      </c>
      <c r="AB1693" s="55" t="e">
        <f ca="1">+MAX(PAA_4[[#This Row],[Comprometido Contrato]],PAA_4[[#This Row],[Comprometido Bolsa]])</f>
        <v>#NAME?</v>
      </c>
      <c r="AC1693" s="55" t="str">
        <f t="shared" ca="1" si="566"/>
        <v/>
      </c>
      <c r="AD1693" s="55" t="e">
        <f ca="1">IF(PAA_4[[#This Row],[ESTADO (formulado)]]="NO CONTRATADO",0,MAX(PAA_4[[#This Row],[Pago por Contrato]],PAA_4[[#This Row],[Pago por bolsa]]))</f>
        <v>#NAME?</v>
      </c>
      <c r="AE1693" s="55" t="str">
        <f t="shared" ca="1" si="568"/>
        <v/>
      </c>
      <c r="AF1693" s="47" t="e">
        <f t="shared" ca="1" si="572"/>
        <v>#NAME?</v>
      </c>
      <c r="AG1693" s="47">
        <f t="shared" si="569"/>
        <v>41080106</v>
      </c>
      <c r="AH1693" s="54" t="str">
        <f>IF(Q1693="22",IF(ISNUMBER(SEARCH("econ",PAA_4[[#This Row],[Actividad3]])),"Económico",IF(ISNUMBER(SEARCH("alim",PAA_4[[#This Row],[Actividad3]])),"Alimentación",IF(ISNUMBER(SEARCH("educ",PAA_4[[#This Row],[Actividad3]])),"Educativo","Técnico"))),0)</f>
        <v>Técnico</v>
      </c>
      <c r="AI1693" s="47" t="e" cm="1">
        <f t="array" aca="1" ref="AI1693" ca="1">_xlfn.XLOOKUP(PAA_4[[#This Row],[RCP-RUBRO]],[2]!COMPROMISOS_2024[[#All],[concatenado]],[2]!COMPROMISOS_2024[[#All],[Total pagado]],"",0)</f>
        <v>#NAME?</v>
      </c>
      <c r="AJ1693" s="56" t="e">
        <f ca="1">IF(PAA_4[[#This Row],[BOLSA]]=0,0,SUMIFS([2]!COMPROMISOS_2024[[#All],[Total pagado]],[2]!COMPROMISOS_2024[[#All],[Bolsa]],PAA_4[[#This Row],[BOLSA]],[2]!COMPROMISOS_2024[[#All],[rubro]],PAA_4[[#This Row],[RCP-RUBRO]]))</f>
        <v>#REF!</v>
      </c>
      <c r="AK1693" s="47" t="e" cm="1">
        <f t="array" aca="1" ref="AK1693" ca="1">_xlfn.XLOOKUP(PAA_4[[#This Row],[RCP-RUBRO]],[2]!COMPROMISOS_2024[[#All],[concatenado]],[2]!COMPROMISOS_2024[[#All],[Total Comprometido]],"",0)</f>
        <v>#NAME?</v>
      </c>
      <c r="AL1693" s="47" t="e">
        <f ca="1">IF(PAA_4[[#This Row],[BOLSA]]=0,0,SUMIFS([2]!COMPROMISOS_2024[[#All],[Total Comprometido]],[2]!COMPROMISOS_2024[[#All],[Bolsa]],PAA_4[[#This Row],[BOLSA]],[2]!COMPROMISOS_2024[[#All],[concatenado]],PAA_4[[#This Row],[RCP-RUBRO]]))</f>
        <v>#REF!</v>
      </c>
    </row>
    <row r="1694" spans="1:38" s="19" customFormat="1" ht="31.5" customHeight="1">
      <c r="A1694" s="47" t="s">
        <v>82</v>
      </c>
      <c r="B1694" s="366" t="s">
        <v>42</v>
      </c>
      <c r="C1694" s="47" t="str">
        <f>VLOOKUP(PAA_4[[#This Row],[PROYECTO (formulado)2]],[2]PROYECTOS!$G$1:$L$32,6,0)</f>
        <v>SUBGERENCIA DE ALTOS LOGROS Y DEPORTE ASOCIADO</v>
      </c>
      <c r="D1694" s="47" t="str">
        <f>+IF(PAA_4[[#This Row],[UNIDAD DE CONTRATACION (formulado)]]="Subgerencia Administrativa y Financiera","FUNCIONAMIENTO","INVERSIÓN")</f>
        <v>INVERSIÓN</v>
      </c>
      <c r="E1694" s="48" t="str">
        <f>VLOOKUP(Q1694,[2]PROYECTOS!$G$1:$K$32,5,0)</f>
        <v>APOYO_TÉCNICO_Y_PSICOSOCIAL_A_LOS_DEPORTISTAS_DE_ANTIOQUIA</v>
      </c>
      <c r="F1694" s="48">
        <f>VLOOKUP(E1694,[2]PROYECTOS!$K$1:$M$32,3,0)</f>
        <v>2021003050069</v>
      </c>
      <c r="G1694" s="371" t="s">
        <v>241</v>
      </c>
      <c r="H1694" s="49" t="str">
        <f>VLOOKUP(Q1694,[2]PROYECTOS!$V$1:$W$32,2,0)</f>
        <v>050069</v>
      </c>
      <c r="I1694" s="374">
        <v>0</v>
      </c>
      <c r="J1694" s="366" t="s">
        <v>1778</v>
      </c>
      <c r="K1694" s="47" t="str">
        <f t="shared" ca="1" si="567"/>
        <v>CONTRATADO</v>
      </c>
      <c r="L1694" s="58" t="s">
        <v>42</v>
      </c>
      <c r="M1694" s="58" t="s">
        <v>42</v>
      </c>
      <c r="N1694" s="344" t="s">
        <v>240</v>
      </c>
      <c r="O1694" s="51" t="e">
        <f>VLOOKUP(N1694,[2]!RUBROS[#All],3,0)</f>
        <v>#REF!</v>
      </c>
      <c r="P1694" s="53" t="e">
        <f>VLOOKUP(N1694,[2]!RUBROS[#All],2,0)</f>
        <v>#REF!</v>
      </c>
      <c r="Q1694" s="47" t="str">
        <f t="shared" si="570"/>
        <v>22</v>
      </c>
      <c r="R1694" s="47" t="str">
        <f t="shared" si="571"/>
        <v>0-205400</v>
      </c>
      <c r="S1694" s="357" t="s">
        <v>42</v>
      </c>
      <c r="T1694" s="59" t="s">
        <v>42</v>
      </c>
      <c r="U1694" s="326" t="e">
        <f ca="1">_xlfn.XLOOKUP(PAA_4[[#This Row],[ITEM]],[2]Contrato!A:A,[2]Contrato!Q:Q,"",0)</f>
        <v>#NAME?</v>
      </c>
      <c r="V1694" s="47" t="s">
        <v>95</v>
      </c>
      <c r="W1694" s="375" t="s">
        <v>42</v>
      </c>
      <c r="X1694" s="375" t="s">
        <v>42</v>
      </c>
      <c r="Y1694" s="55" t="e">
        <f ca="1">_xlfn.XLOOKUP(PAA_4[[#This Row],[ITEM]],[2]Contrato!A:A,[2]Contrato!B:B,"",0)</f>
        <v>#NAME?</v>
      </c>
      <c r="Z1694" s="47" t="e">
        <f ca="1">_xlfn.XLOOKUP(PAA_4[[#This Row],[ITEM]],[2]Contrato!A:A,[2]Contrato!G:G,"",0)</f>
        <v>#NAME?</v>
      </c>
      <c r="AA1694" s="47" t="e">
        <f ca="1">_xlfn.XLOOKUP(PAA_4[[#This Row],[ITEM]],[2]Contrato!A:A,[2]Contrato!T:T,"",0)</f>
        <v>#NAME?</v>
      </c>
      <c r="AB1694" s="55" t="e">
        <f ca="1">+MAX(PAA_4[[#This Row],[Comprometido Contrato]],PAA_4[[#This Row],[Comprometido Bolsa]])</f>
        <v>#NAME?</v>
      </c>
      <c r="AC1694" s="55" t="str">
        <f t="shared" ca="1" si="566"/>
        <v/>
      </c>
      <c r="AD1694" s="55" t="e">
        <f ca="1">IF(PAA_4[[#This Row],[ESTADO (formulado)]]="NO CONTRATADO",0,MAX(PAA_4[[#This Row],[Pago por Contrato]],PAA_4[[#This Row],[Pago por bolsa]]))</f>
        <v>#NAME?</v>
      </c>
      <c r="AE1694" s="55" t="str">
        <f t="shared" ca="1" si="568"/>
        <v/>
      </c>
      <c r="AF1694" s="47" t="e">
        <f t="shared" ca="1" si="572"/>
        <v>#NAME?</v>
      </c>
      <c r="AG1694" s="47">
        <f t="shared" si="569"/>
        <v>41080106</v>
      </c>
      <c r="AH1694" s="54" t="str">
        <f>IF(Q1694="22",IF(ISNUMBER(SEARCH("econ",PAA_4[[#This Row],[Actividad3]])),"Económico",IF(ISNUMBER(SEARCH("alim",PAA_4[[#This Row],[Actividad3]])),"Alimentación",IF(ISNUMBER(SEARCH("educ",PAA_4[[#This Row],[Actividad3]])),"Educativo","Técnico"))),0)</f>
        <v>Técnico</v>
      </c>
      <c r="AI1694" s="47" t="e" cm="1">
        <f t="array" aca="1" ref="AI1694" ca="1">_xlfn.XLOOKUP(PAA_4[[#This Row],[RCP-RUBRO]],[2]!COMPROMISOS_2024[[#All],[concatenado]],[2]!COMPROMISOS_2024[[#All],[Total pagado]],"",0)</f>
        <v>#NAME?</v>
      </c>
      <c r="AJ1694" s="56" t="e">
        <f ca="1">IF(PAA_4[[#This Row],[BOLSA]]=0,0,SUMIFS([2]!COMPROMISOS_2024[[#All],[Total pagado]],[2]!COMPROMISOS_2024[[#All],[Bolsa]],PAA_4[[#This Row],[BOLSA]],[2]!COMPROMISOS_2024[[#All],[rubro]],PAA_4[[#This Row],[RCP-RUBRO]]))</f>
        <v>#REF!</v>
      </c>
      <c r="AK1694" s="47" t="e" cm="1">
        <f t="array" aca="1" ref="AK1694" ca="1">_xlfn.XLOOKUP(PAA_4[[#This Row],[RCP-RUBRO]],[2]!COMPROMISOS_2024[[#All],[concatenado]],[2]!COMPROMISOS_2024[[#All],[Total Comprometido]],"",0)</f>
        <v>#NAME?</v>
      </c>
      <c r="AL1694" s="47" t="e">
        <f ca="1">IF(PAA_4[[#This Row],[BOLSA]]=0,0,SUMIFS([2]!COMPROMISOS_2024[[#All],[Total Comprometido]],[2]!COMPROMISOS_2024[[#All],[Bolsa]],PAA_4[[#This Row],[BOLSA]],[2]!COMPROMISOS_2024[[#All],[concatenado]],PAA_4[[#This Row],[RCP-RUBRO]]))</f>
        <v>#REF!</v>
      </c>
    </row>
    <row r="1695" spans="1:38" s="19" customFormat="1" ht="31.5" customHeight="1">
      <c r="A1695" s="47">
        <v>940</v>
      </c>
      <c r="B1695" s="344">
        <v>80111600</v>
      </c>
      <c r="C1695" s="47" t="str">
        <f>VLOOKUP(PAA_4[[#This Row],[PROYECTO (formulado)2]],[2]PROYECTOS!$G$1:$L$32,6,0)</f>
        <v>SUBGERENCIA DE ALTOS LOGROS Y DEPORTE ASOCIADO</v>
      </c>
      <c r="D1695" s="47" t="str">
        <f>+IF(PAA_4[[#This Row],[UNIDAD DE CONTRATACION (formulado)]]="Subgerencia Administrativa y Financiera","FUNCIONAMIENTO","INVERSIÓN")</f>
        <v>INVERSIÓN</v>
      </c>
      <c r="E1695" s="48" t="str">
        <f>VLOOKUP(Q1695,[2]PROYECTOS!$G$1:$K$32,5,0)</f>
        <v>APOYO_TÉCNICO_Y_PSICOSOCIAL_A_LOS_DEPORTISTAS_DE_ANTIOQUIA</v>
      </c>
      <c r="F1695" s="48">
        <f>VLOOKUP(E1695,[2]PROYECTOS!$K$1:$M$32,3,0)</f>
        <v>2021003050069</v>
      </c>
      <c r="G1695" s="371" t="s">
        <v>241</v>
      </c>
      <c r="H1695" s="49" t="str">
        <f>VLOOKUP(Q1695,[2]PROYECTOS!$V$1:$W$32,2,0)</f>
        <v>050069</v>
      </c>
      <c r="I1695" s="374">
        <f>29453616-9490610</f>
        <v>19963006</v>
      </c>
      <c r="J1695" s="286" t="s">
        <v>1979</v>
      </c>
      <c r="K1695" s="47" t="str">
        <f t="shared" ca="1" si="567"/>
        <v>CONTRATADO</v>
      </c>
      <c r="L1695" s="372" t="s">
        <v>147</v>
      </c>
      <c r="M1695" s="58" t="s">
        <v>1297</v>
      </c>
      <c r="N1695" s="344" t="s">
        <v>240</v>
      </c>
      <c r="O1695" s="51" t="e">
        <f>VLOOKUP(N1695,[2]!RUBROS[#All],3,0)</f>
        <v>#REF!</v>
      </c>
      <c r="P1695" s="53" t="e">
        <f>VLOOKUP(N1695,[2]!RUBROS[#All],2,0)</f>
        <v>#REF!</v>
      </c>
      <c r="Q1695" s="47" t="str">
        <f t="shared" si="570"/>
        <v>22</v>
      </c>
      <c r="R1695" s="47" t="str">
        <f t="shared" si="571"/>
        <v>0-205400</v>
      </c>
      <c r="S1695" s="357">
        <v>122</v>
      </c>
      <c r="T1695" s="59" t="s">
        <v>1970</v>
      </c>
      <c r="U1695" s="326" t="e">
        <f ca="1">_xlfn.XLOOKUP(PAA_4[[#This Row],[ITEM]],[2]Contrato!A:A,[2]Contrato!Q:Q,"",0)</f>
        <v>#NAME?</v>
      </c>
      <c r="V1695" s="47" t="s">
        <v>95</v>
      </c>
      <c r="W1695" s="373" t="s">
        <v>1971</v>
      </c>
      <c r="X1695" s="373" t="s">
        <v>1972</v>
      </c>
      <c r="Y1695" s="55" t="e">
        <f ca="1">_xlfn.XLOOKUP(PAA_4[[#This Row],[ITEM]],[2]Contrato!A:A,[2]Contrato!B:B,"",0)</f>
        <v>#NAME?</v>
      </c>
      <c r="Z1695" s="47" t="e">
        <f ca="1">_xlfn.XLOOKUP(PAA_4[[#This Row],[ITEM]],[2]Contrato!A:A,[2]Contrato!G:G,"",0)</f>
        <v>#NAME?</v>
      </c>
      <c r="AA1695" s="47" t="e">
        <f ca="1">_xlfn.XLOOKUP(PAA_4[[#This Row],[ITEM]],[2]Contrato!A:A,[2]Contrato!T:T,"",0)</f>
        <v>#NAME?</v>
      </c>
      <c r="AB1695" s="55" t="e">
        <f ca="1">+MAX(PAA_4[[#This Row],[Comprometido Contrato]],PAA_4[[#This Row],[Comprometido Bolsa]])</f>
        <v>#NAME?</v>
      </c>
      <c r="AC1695" s="55" t="str">
        <f t="shared" ca="1" si="566"/>
        <v/>
      </c>
      <c r="AD1695" s="55" t="e">
        <f ca="1">IF(PAA_4[[#This Row],[ESTADO (formulado)]]="NO CONTRATADO",0,MAX(PAA_4[[#This Row],[Pago por Contrato]],PAA_4[[#This Row],[Pago por bolsa]]))</f>
        <v>#NAME?</v>
      </c>
      <c r="AE1695" s="55" t="str">
        <f t="shared" ca="1" si="568"/>
        <v/>
      </c>
      <c r="AF1695" s="47" t="e">
        <f t="shared" ca="1" si="572"/>
        <v>#NAME?</v>
      </c>
      <c r="AG1695" s="47">
        <f t="shared" si="569"/>
        <v>41080106</v>
      </c>
      <c r="AH1695" s="54" t="str">
        <f>IF(Q1695="22",IF(ISNUMBER(SEARCH("econ",PAA_4[[#This Row],[Actividad3]])),"Económico",IF(ISNUMBER(SEARCH("alim",PAA_4[[#This Row],[Actividad3]])),"Alimentación",IF(ISNUMBER(SEARCH("educ",PAA_4[[#This Row],[Actividad3]])),"Educativo","Técnico"))),0)</f>
        <v>Técnico</v>
      </c>
      <c r="AI1695" s="47" t="e" cm="1">
        <f t="array" aca="1" ref="AI1695" ca="1">_xlfn.XLOOKUP(PAA_4[[#This Row],[RCP-RUBRO]],[2]!COMPROMISOS_2024[[#All],[concatenado]],[2]!COMPROMISOS_2024[[#All],[Total pagado]],"",0)</f>
        <v>#NAME?</v>
      </c>
      <c r="AJ1695" s="56" t="e">
        <f ca="1">IF(PAA_4[[#This Row],[BOLSA]]=0,0,SUMIFS([2]!COMPROMISOS_2024[[#All],[Total pagado]],[2]!COMPROMISOS_2024[[#All],[Bolsa]],PAA_4[[#This Row],[BOLSA]],[2]!COMPROMISOS_2024[[#All],[rubro]],PAA_4[[#This Row],[RCP-RUBRO]]))</f>
        <v>#REF!</v>
      </c>
      <c r="AK1695" s="47" t="e" cm="1">
        <f t="array" aca="1" ref="AK1695" ca="1">_xlfn.XLOOKUP(PAA_4[[#This Row],[RCP-RUBRO]],[2]!COMPROMISOS_2024[[#All],[concatenado]],[2]!COMPROMISOS_2024[[#All],[Total Comprometido]],"",0)</f>
        <v>#NAME?</v>
      </c>
      <c r="AL1695" s="47" t="e">
        <f ca="1">IF(PAA_4[[#This Row],[BOLSA]]=0,0,SUMIFS([2]!COMPROMISOS_2024[[#All],[Total Comprometido]],[2]!COMPROMISOS_2024[[#All],[Bolsa]],PAA_4[[#This Row],[BOLSA]],[2]!COMPROMISOS_2024[[#All],[concatenado]],PAA_4[[#This Row],[RCP-RUBRO]]))</f>
        <v>#REF!</v>
      </c>
    </row>
    <row r="1696" spans="1:38" s="19" customFormat="1" ht="31.5" customHeight="1">
      <c r="A1696" s="47">
        <v>941</v>
      </c>
      <c r="B1696" s="344">
        <v>80111600</v>
      </c>
      <c r="C1696" s="47" t="str">
        <f>VLOOKUP(PAA_4[[#This Row],[PROYECTO (formulado)2]],[2]PROYECTOS!$G$1:$L$32,6,0)</f>
        <v>SUBGERENCIA DE ALTOS LOGROS Y DEPORTE ASOCIADO</v>
      </c>
      <c r="D1696" s="47" t="str">
        <f>+IF(PAA_4[[#This Row],[UNIDAD DE CONTRATACION (formulado)]]="Subgerencia Administrativa y Financiera","FUNCIONAMIENTO","INVERSIÓN")</f>
        <v>INVERSIÓN</v>
      </c>
      <c r="E1696" s="48" t="str">
        <f>VLOOKUP(Q1696,[2]PROYECTOS!$G$1:$K$32,5,0)</f>
        <v>APOYO_TÉCNICO_Y_PSICOSOCIAL_A_LOS_DEPORTISTAS_DE_ANTIOQUIA</v>
      </c>
      <c r="F1696" s="48">
        <f>VLOOKUP(E1696,[2]PROYECTOS!$K$1:$M$32,3,0)</f>
        <v>2021003050069</v>
      </c>
      <c r="G1696" s="371" t="s">
        <v>239</v>
      </c>
      <c r="H1696" s="49" t="str">
        <f>VLOOKUP(Q1696,[2]PROYECTOS!$V$1:$W$32,2,0)</f>
        <v>050069</v>
      </c>
      <c r="I1696" s="374">
        <v>19963006</v>
      </c>
      <c r="J1696" s="286" t="s">
        <v>1997</v>
      </c>
      <c r="K1696" s="47" t="str">
        <f t="shared" ca="1" si="567"/>
        <v>CONTRATADO</v>
      </c>
      <c r="L1696" s="372" t="s">
        <v>147</v>
      </c>
      <c r="M1696" s="58" t="s">
        <v>1297</v>
      </c>
      <c r="N1696" s="344" t="s">
        <v>240</v>
      </c>
      <c r="O1696" s="51" t="e">
        <f>VLOOKUP(N1696,[2]!RUBROS[#All],3,0)</f>
        <v>#REF!</v>
      </c>
      <c r="P1696" s="53" t="e">
        <f>VLOOKUP(N1696,[2]!RUBROS[#All],2,0)</f>
        <v>#REF!</v>
      </c>
      <c r="Q1696" s="47" t="str">
        <f t="shared" si="570"/>
        <v>22</v>
      </c>
      <c r="R1696" s="47" t="str">
        <f t="shared" si="571"/>
        <v>0-205400</v>
      </c>
      <c r="S1696" s="342">
        <v>122</v>
      </c>
      <c r="T1696" s="59" t="s">
        <v>1970</v>
      </c>
      <c r="U1696" s="326" t="e">
        <f ca="1">_xlfn.XLOOKUP(PAA_4[[#This Row],[ITEM]],[2]Contrato!A:A,[2]Contrato!Q:Q,"",0)</f>
        <v>#NAME?</v>
      </c>
      <c r="V1696" s="47" t="s">
        <v>95</v>
      </c>
      <c r="W1696" s="373" t="s">
        <v>1971</v>
      </c>
      <c r="X1696" s="373" t="s">
        <v>1972</v>
      </c>
      <c r="Y1696" s="55" t="e">
        <f ca="1">_xlfn.XLOOKUP(PAA_4[[#This Row],[ITEM]],[2]Contrato!A:A,[2]Contrato!B:B,"",0)</f>
        <v>#NAME?</v>
      </c>
      <c r="Z1696" s="47" t="e">
        <f ca="1">_xlfn.XLOOKUP(PAA_4[[#This Row],[ITEM]],[2]Contrato!A:A,[2]Contrato!G:G,"",0)</f>
        <v>#NAME?</v>
      </c>
      <c r="AA1696" s="47" t="e">
        <f ca="1">_xlfn.XLOOKUP(PAA_4[[#This Row],[ITEM]],[2]Contrato!A:A,[2]Contrato!T:T,"",0)</f>
        <v>#NAME?</v>
      </c>
      <c r="AB1696" s="55" t="e">
        <f ca="1">+MAX(PAA_4[[#This Row],[Comprometido Contrato]],PAA_4[[#This Row],[Comprometido Bolsa]])</f>
        <v>#NAME?</v>
      </c>
      <c r="AC1696" s="55" t="str">
        <f t="shared" ca="1" si="566"/>
        <v/>
      </c>
      <c r="AD1696" s="55" t="e">
        <f ca="1">IF(PAA_4[[#This Row],[ESTADO (formulado)]]="NO CONTRATADO",0,MAX(PAA_4[[#This Row],[Pago por Contrato]],PAA_4[[#This Row],[Pago por bolsa]]))</f>
        <v>#NAME?</v>
      </c>
      <c r="AE1696" s="55" t="str">
        <f t="shared" ca="1" si="568"/>
        <v/>
      </c>
      <c r="AF1696" s="47" t="e">
        <f t="shared" ca="1" si="572"/>
        <v>#NAME?</v>
      </c>
      <c r="AG1696" s="47">
        <f t="shared" si="569"/>
        <v>41080101</v>
      </c>
      <c r="AH1696" s="54" t="str">
        <f>IF(Q1696="22",IF(ISNUMBER(SEARCH("econ",PAA_4[[#This Row],[Actividad3]])),"Económico",IF(ISNUMBER(SEARCH("alim",PAA_4[[#This Row],[Actividad3]])),"Alimentación",IF(ISNUMBER(SEARCH("educ",PAA_4[[#This Row],[Actividad3]])),"Educativo","Técnico"))),0)</f>
        <v>Técnico</v>
      </c>
      <c r="AI1696" s="47" t="e" cm="1">
        <f t="array" aca="1" ref="AI1696" ca="1">_xlfn.XLOOKUP(PAA_4[[#This Row],[RCP-RUBRO]],[2]!COMPROMISOS_2024[[#All],[concatenado]],[2]!COMPROMISOS_2024[[#All],[Total pagado]],"",0)</f>
        <v>#NAME?</v>
      </c>
      <c r="AJ1696" s="56" t="e">
        <f ca="1">IF(PAA_4[[#This Row],[BOLSA]]=0,0,SUMIFS([2]!COMPROMISOS_2024[[#All],[Total pagado]],[2]!COMPROMISOS_2024[[#All],[Bolsa]],PAA_4[[#This Row],[BOLSA]],[2]!COMPROMISOS_2024[[#All],[rubro]],PAA_4[[#This Row],[RCP-RUBRO]]))</f>
        <v>#REF!</v>
      </c>
      <c r="AK1696" s="47" t="e" cm="1">
        <f t="array" aca="1" ref="AK1696" ca="1">_xlfn.XLOOKUP(PAA_4[[#This Row],[RCP-RUBRO]],[2]!COMPROMISOS_2024[[#All],[concatenado]],[2]!COMPROMISOS_2024[[#All],[Total Comprometido]],"",0)</f>
        <v>#NAME?</v>
      </c>
      <c r="AL1696" s="47" t="e">
        <f ca="1">IF(PAA_4[[#This Row],[BOLSA]]=0,0,SUMIFS([2]!COMPROMISOS_2024[[#All],[Total Comprometido]],[2]!COMPROMISOS_2024[[#All],[Bolsa]],PAA_4[[#This Row],[BOLSA]],[2]!COMPROMISOS_2024[[#All],[concatenado]],PAA_4[[#This Row],[RCP-RUBRO]]))</f>
        <v>#REF!</v>
      </c>
    </row>
    <row r="1697" spans="1:38" s="19" customFormat="1" ht="31.5" customHeight="1">
      <c r="A1697" s="47">
        <v>942</v>
      </c>
      <c r="B1697" s="344">
        <v>80111600</v>
      </c>
      <c r="C1697" s="47" t="str">
        <f>VLOOKUP(PAA_4[[#This Row],[PROYECTO (formulado)2]],[2]PROYECTOS!$G$1:$L$32,6,0)</f>
        <v>SUBGERENCIA DE ALTOS LOGROS Y DEPORTE ASOCIADO</v>
      </c>
      <c r="D1697" s="47" t="str">
        <f>+IF(PAA_4[[#This Row],[UNIDAD DE CONTRATACION (formulado)]]="Subgerencia Administrativa y Financiera","FUNCIONAMIENTO","INVERSIÓN")</f>
        <v>INVERSIÓN</v>
      </c>
      <c r="E1697" s="48" t="str">
        <f>VLOOKUP(Q1697,[2]PROYECTOS!$G$1:$K$32,5,0)</f>
        <v>APOYO_TÉCNICO_Y_PSICOSOCIAL_A_LOS_DEPORTISTAS_DE_ANTIOQUIA</v>
      </c>
      <c r="F1697" s="48">
        <f>VLOOKUP(E1697,[2]PROYECTOS!$K$1:$M$32,3,0)</f>
        <v>2021003050069</v>
      </c>
      <c r="G1697" s="371" t="s">
        <v>239</v>
      </c>
      <c r="H1697" s="49" t="str">
        <f>VLOOKUP(Q1697,[2]PROYECTOS!$V$1:$W$32,2,0)</f>
        <v>050069</v>
      </c>
      <c r="I1697" s="374">
        <v>28142021</v>
      </c>
      <c r="J1697" s="286" t="s">
        <v>1998</v>
      </c>
      <c r="K1697" s="47" t="str">
        <f t="shared" ca="1" si="567"/>
        <v>CONTRATADO</v>
      </c>
      <c r="L1697" s="372" t="s">
        <v>147</v>
      </c>
      <c r="M1697" s="58" t="s">
        <v>1297</v>
      </c>
      <c r="N1697" s="344" t="s">
        <v>240</v>
      </c>
      <c r="O1697" s="51" t="e">
        <f>VLOOKUP(N1697,[2]!RUBROS[#All],3,0)</f>
        <v>#REF!</v>
      </c>
      <c r="P1697" s="53" t="e">
        <f>VLOOKUP(N1697,[2]!RUBROS[#All],2,0)</f>
        <v>#REF!</v>
      </c>
      <c r="Q1697" s="47" t="str">
        <f t="shared" si="570"/>
        <v>22</v>
      </c>
      <c r="R1697" s="47" t="str">
        <f t="shared" si="571"/>
        <v>0-205400</v>
      </c>
      <c r="S1697" s="342">
        <v>122</v>
      </c>
      <c r="T1697" s="59" t="s">
        <v>1970</v>
      </c>
      <c r="U1697" s="326" t="e">
        <f ca="1">_xlfn.XLOOKUP(PAA_4[[#This Row],[ITEM]],[2]Contrato!A:A,[2]Contrato!Q:Q,"",0)</f>
        <v>#NAME?</v>
      </c>
      <c r="V1697" s="47" t="s">
        <v>95</v>
      </c>
      <c r="W1697" s="373" t="s">
        <v>1971</v>
      </c>
      <c r="X1697" s="373" t="s">
        <v>1972</v>
      </c>
      <c r="Y1697" s="55" t="e">
        <f ca="1">_xlfn.XLOOKUP(PAA_4[[#This Row],[ITEM]],[2]Contrato!A:A,[2]Contrato!B:B,"",0)</f>
        <v>#NAME?</v>
      </c>
      <c r="Z1697" s="47" t="e">
        <f ca="1">_xlfn.XLOOKUP(PAA_4[[#This Row],[ITEM]],[2]Contrato!A:A,[2]Contrato!G:G,"",0)</f>
        <v>#NAME?</v>
      </c>
      <c r="AA1697" s="47" t="e">
        <f ca="1">_xlfn.XLOOKUP(PAA_4[[#This Row],[ITEM]],[2]Contrato!A:A,[2]Contrato!T:T,"",0)</f>
        <v>#NAME?</v>
      </c>
      <c r="AB1697" s="55" t="e">
        <f ca="1">+MAX(PAA_4[[#This Row],[Comprometido Contrato]],PAA_4[[#This Row],[Comprometido Bolsa]])</f>
        <v>#NAME?</v>
      </c>
      <c r="AC1697" s="55" t="str">
        <f t="shared" ca="1" si="566"/>
        <v/>
      </c>
      <c r="AD1697" s="55" t="e">
        <f ca="1">IF(PAA_4[[#This Row],[ESTADO (formulado)]]="NO CONTRATADO",0,MAX(PAA_4[[#This Row],[Pago por Contrato]],PAA_4[[#This Row],[Pago por bolsa]]))</f>
        <v>#NAME?</v>
      </c>
      <c r="AE1697" s="55" t="str">
        <f t="shared" ca="1" si="568"/>
        <v/>
      </c>
      <c r="AF1697" s="47" t="e">
        <f t="shared" ca="1" si="572"/>
        <v>#NAME?</v>
      </c>
      <c r="AG1697" s="47">
        <f t="shared" si="569"/>
        <v>41080101</v>
      </c>
      <c r="AH1697" s="54" t="str">
        <f>IF(Q1697="22",IF(ISNUMBER(SEARCH("econ",PAA_4[[#This Row],[Actividad3]])),"Económico",IF(ISNUMBER(SEARCH("alim",PAA_4[[#This Row],[Actividad3]])),"Alimentación",IF(ISNUMBER(SEARCH("educ",PAA_4[[#This Row],[Actividad3]])),"Educativo","Técnico"))),0)</f>
        <v>Técnico</v>
      </c>
      <c r="AI1697" s="47" t="e" cm="1">
        <f t="array" aca="1" ref="AI1697" ca="1">_xlfn.XLOOKUP(PAA_4[[#This Row],[RCP-RUBRO]],[2]!COMPROMISOS_2024[[#All],[concatenado]],[2]!COMPROMISOS_2024[[#All],[Total pagado]],"",0)</f>
        <v>#NAME?</v>
      </c>
      <c r="AJ1697" s="56" t="e">
        <f ca="1">IF(PAA_4[[#This Row],[BOLSA]]=0,0,SUMIFS([2]!COMPROMISOS_2024[[#All],[Total pagado]],[2]!COMPROMISOS_2024[[#All],[Bolsa]],PAA_4[[#This Row],[BOLSA]],[2]!COMPROMISOS_2024[[#All],[rubro]],PAA_4[[#This Row],[RCP-RUBRO]]))</f>
        <v>#REF!</v>
      </c>
      <c r="AK1697" s="47" t="e" cm="1">
        <f t="array" aca="1" ref="AK1697" ca="1">_xlfn.XLOOKUP(PAA_4[[#This Row],[RCP-RUBRO]],[2]!COMPROMISOS_2024[[#All],[concatenado]],[2]!COMPROMISOS_2024[[#All],[Total Comprometido]],"",0)</f>
        <v>#NAME?</v>
      </c>
      <c r="AL1697" s="47" t="e">
        <f ca="1">IF(PAA_4[[#This Row],[BOLSA]]=0,0,SUMIFS([2]!COMPROMISOS_2024[[#All],[Total Comprometido]],[2]!COMPROMISOS_2024[[#All],[Bolsa]],PAA_4[[#This Row],[BOLSA]],[2]!COMPROMISOS_2024[[#All],[concatenado]],PAA_4[[#This Row],[RCP-RUBRO]]))</f>
        <v>#REF!</v>
      </c>
    </row>
    <row r="1698" spans="1:38" s="19" customFormat="1" ht="31.5" customHeight="1">
      <c r="A1698" s="47">
        <v>943</v>
      </c>
      <c r="B1698" s="344">
        <v>80111600</v>
      </c>
      <c r="C1698" s="47" t="str">
        <f>VLOOKUP(PAA_4[[#This Row],[PROYECTO (formulado)2]],[2]PROYECTOS!$G$1:$L$32,6,0)</f>
        <v>SUBGERENCIA DE ALTOS LOGROS Y DEPORTE ASOCIADO</v>
      </c>
      <c r="D1698" s="47" t="str">
        <f>+IF(PAA_4[[#This Row],[UNIDAD DE CONTRATACION (formulado)]]="Subgerencia Administrativa y Financiera","FUNCIONAMIENTO","INVERSIÓN")</f>
        <v>INVERSIÓN</v>
      </c>
      <c r="E1698" s="48" t="str">
        <f>VLOOKUP(Q1698,[2]PROYECTOS!$G$1:$K$32,5,0)</f>
        <v>APOYO_TÉCNICO_Y_PSICOSOCIAL_A_LOS_DEPORTISTAS_DE_ANTIOQUIA</v>
      </c>
      <c r="F1698" s="48">
        <f>VLOOKUP(E1698,[2]PROYECTOS!$K$1:$M$32,3,0)</f>
        <v>2021003050069</v>
      </c>
      <c r="G1698" s="371" t="s">
        <v>239</v>
      </c>
      <c r="H1698" s="49" t="str">
        <f>VLOOKUP(Q1698,[2]PROYECTOS!$V$1:$W$32,2,0)</f>
        <v>050069</v>
      </c>
      <c r="I1698" s="374">
        <v>16073020</v>
      </c>
      <c r="J1698" s="286" t="s">
        <v>2003</v>
      </c>
      <c r="K1698" s="47" t="str">
        <f t="shared" ca="1" si="567"/>
        <v>CONTRATADO</v>
      </c>
      <c r="L1698" s="372" t="s">
        <v>147</v>
      </c>
      <c r="M1698" s="58" t="s">
        <v>1297</v>
      </c>
      <c r="N1698" s="344" t="s">
        <v>240</v>
      </c>
      <c r="O1698" s="51" t="e">
        <f>VLOOKUP(N1698,[2]!RUBROS[#All],3,0)</f>
        <v>#REF!</v>
      </c>
      <c r="P1698" s="53" t="e">
        <f>VLOOKUP(N1698,[2]!RUBROS[#All],2,0)</f>
        <v>#REF!</v>
      </c>
      <c r="Q1698" s="47" t="str">
        <f t="shared" si="570"/>
        <v>22</v>
      </c>
      <c r="R1698" s="47" t="str">
        <f t="shared" si="571"/>
        <v>0-205400</v>
      </c>
      <c r="S1698" s="342">
        <v>122</v>
      </c>
      <c r="T1698" s="59" t="s">
        <v>1970</v>
      </c>
      <c r="U1698" s="326" t="e">
        <f ca="1">_xlfn.XLOOKUP(PAA_4[[#This Row],[ITEM]],[2]Contrato!A:A,[2]Contrato!Q:Q,"",0)</f>
        <v>#NAME?</v>
      </c>
      <c r="V1698" s="47" t="s">
        <v>95</v>
      </c>
      <c r="W1698" s="373" t="s">
        <v>1971</v>
      </c>
      <c r="X1698" s="373" t="s">
        <v>1972</v>
      </c>
      <c r="Y1698" s="55" t="e">
        <f ca="1">_xlfn.XLOOKUP(PAA_4[[#This Row],[ITEM]],[2]Contrato!A:A,[2]Contrato!B:B,"",0)</f>
        <v>#NAME?</v>
      </c>
      <c r="Z1698" s="47" t="e">
        <f ca="1">_xlfn.XLOOKUP(PAA_4[[#This Row],[ITEM]],[2]Contrato!A:A,[2]Contrato!G:G,"",0)</f>
        <v>#NAME?</v>
      </c>
      <c r="AA1698" s="47" t="e">
        <f ca="1">_xlfn.XLOOKUP(PAA_4[[#This Row],[ITEM]],[2]Contrato!A:A,[2]Contrato!T:T,"",0)</f>
        <v>#NAME?</v>
      </c>
      <c r="AB1698" s="55" t="e">
        <f ca="1">+MAX(PAA_4[[#This Row],[Comprometido Contrato]],PAA_4[[#This Row],[Comprometido Bolsa]])</f>
        <v>#NAME?</v>
      </c>
      <c r="AC1698" s="55" t="str">
        <f t="shared" ca="1" si="566"/>
        <v/>
      </c>
      <c r="AD1698" s="55" t="e">
        <f ca="1">IF(PAA_4[[#This Row],[ESTADO (formulado)]]="NO CONTRATADO",0,MAX(PAA_4[[#This Row],[Pago por Contrato]],PAA_4[[#This Row],[Pago por bolsa]]))</f>
        <v>#NAME?</v>
      </c>
      <c r="AE1698" s="55" t="str">
        <f t="shared" ca="1" si="568"/>
        <v/>
      </c>
      <c r="AF1698" s="47" t="e">
        <f t="shared" ca="1" si="572"/>
        <v>#NAME?</v>
      </c>
      <c r="AG1698" s="47">
        <f t="shared" si="569"/>
        <v>41080101</v>
      </c>
      <c r="AH1698" s="54" t="str">
        <f>IF(Q1698="22",IF(ISNUMBER(SEARCH("econ",PAA_4[[#This Row],[Actividad3]])),"Económico",IF(ISNUMBER(SEARCH("alim",PAA_4[[#This Row],[Actividad3]])),"Alimentación",IF(ISNUMBER(SEARCH("educ",PAA_4[[#This Row],[Actividad3]])),"Educativo","Técnico"))),0)</f>
        <v>Técnico</v>
      </c>
      <c r="AI1698" s="47" t="e" cm="1">
        <f t="array" aca="1" ref="AI1698" ca="1">_xlfn.XLOOKUP(PAA_4[[#This Row],[RCP-RUBRO]],[2]!COMPROMISOS_2024[[#All],[concatenado]],[2]!COMPROMISOS_2024[[#All],[Total pagado]],"",0)</f>
        <v>#NAME?</v>
      </c>
      <c r="AJ1698" s="56" t="e">
        <f ca="1">IF(PAA_4[[#This Row],[BOLSA]]=0,0,SUMIFS([2]!COMPROMISOS_2024[[#All],[Total pagado]],[2]!COMPROMISOS_2024[[#All],[Bolsa]],PAA_4[[#This Row],[BOLSA]],[2]!COMPROMISOS_2024[[#All],[rubro]],PAA_4[[#This Row],[RCP-RUBRO]]))</f>
        <v>#REF!</v>
      </c>
      <c r="AK1698" s="47" t="e" cm="1">
        <f t="array" aca="1" ref="AK1698" ca="1">_xlfn.XLOOKUP(PAA_4[[#This Row],[RCP-RUBRO]],[2]!COMPROMISOS_2024[[#All],[concatenado]],[2]!COMPROMISOS_2024[[#All],[Total Comprometido]],"",0)</f>
        <v>#NAME?</v>
      </c>
      <c r="AL1698" s="47" t="e">
        <f ca="1">IF(PAA_4[[#This Row],[BOLSA]]=0,0,SUMIFS([2]!COMPROMISOS_2024[[#All],[Total Comprometido]],[2]!COMPROMISOS_2024[[#All],[Bolsa]],PAA_4[[#This Row],[BOLSA]],[2]!COMPROMISOS_2024[[#All],[concatenado]],PAA_4[[#This Row],[RCP-RUBRO]]))</f>
        <v>#REF!</v>
      </c>
    </row>
    <row r="1699" spans="1:38" s="19" customFormat="1" ht="31.5" customHeight="1">
      <c r="A1699" s="47">
        <v>944</v>
      </c>
      <c r="B1699" s="344">
        <v>80111600</v>
      </c>
      <c r="C1699" s="47" t="str">
        <f>VLOOKUP(PAA_4[[#This Row],[PROYECTO (formulado)2]],[2]PROYECTOS!$G$1:$L$32,6,0)</f>
        <v>SUBGERENCIA DE ALTOS LOGROS Y DEPORTE ASOCIADO</v>
      </c>
      <c r="D1699" s="47" t="str">
        <f>+IF(PAA_4[[#This Row],[UNIDAD DE CONTRATACION (formulado)]]="Subgerencia Administrativa y Financiera","FUNCIONAMIENTO","INVERSIÓN")</f>
        <v>INVERSIÓN</v>
      </c>
      <c r="E1699" s="48" t="str">
        <f>VLOOKUP(Q1699,[2]PROYECTOS!$G$1:$K$32,5,0)</f>
        <v>APOYO_TÉCNICO_Y_PSICOSOCIAL_A_LOS_DEPORTISTAS_DE_ANTIOQUIA</v>
      </c>
      <c r="F1699" s="48">
        <f>VLOOKUP(E1699,[2]PROYECTOS!$K$1:$M$32,3,0)</f>
        <v>2021003050069</v>
      </c>
      <c r="G1699" s="371" t="s">
        <v>239</v>
      </c>
      <c r="H1699" s="49" t="str">
        <f>VLOOKUP(Q1699,[2]PROYECTOS!$V$1:$W$32,2,0)</f>
        <v>050069</v>
      </c>
      <c r="I1699" s="374">
        <v>10471024</v>
      </c>
      <c r="J1699" s="286" t="s">
        <v>2000</v>
      </c>
      <c r="K1699" s="47" t="str">
        <f t="shared" ca="1" si="567"/>
        <v>CONTRATADO</v>
      </c>
      <c r="L1699" s="372" t="s">
        <v>147</v>
      </c>
      <c r="M1699" s="58" t="s">
        <v>1297</v>
      </c>
      <c r="N1699" s="344" t="s">
        <v>240</v>
      </c>
      <c r="O1699" s="51" t="e">
        <f>VLOOKUP(N1699,[2]!RUBROS[#All],3,0)</f>
        <v>#REF!</v>
      </c>
      <c r="P1699" s="53" t="e">
        <f>VLOOKUP(N1699,[2]!RUBROS[#All],2,0)</f>
        <v>#REF!</v>
      </c>
      <c r="Q1699" s="47" t="str">
        <f t="shared" si="570"/>
        <v>22</v>
      </c>
      <c r="R1699" s="47" t="str">
        <f t="shared" si="571"/>
        <v>0-205400</v>
      </c>
      <c r="S1699" s="342">
        <v>122</v>
      </c>
      <c r="T1699" s="59" t="s">
        <v>1970</v>
      </c>
      <c r="U1699" s="326" t="e">
        <f ca="1">_xlfn.XLOOKUP(PAA_4[[#This Row],[ITEM]],[2]Contrato!A:A,[2]Contrato!Q:Q,"",0)</f>
        <v>#NAME?</v>
      </c>
      <c r="V1699" s="47" t="s">
        <v>95</v>
      </c>
      <c r="W1699" s="373" t="s">
        <v>1971</v>
      </c>
      <c r="X1699" s="373" t="s">
        <v>1972</v>
      </c>
      <c r="Y1699" s="55" t="e">
        <f ca="1">_xlfn.XLOOKUP(PAA_4[[#This Row],[ITEM]],[2]Contrato!A:A,[2]Contrato!B:B,"",0)</f>
        <v>#NAME?</v>
      </c>
      <c r="Z1699" s="47" t="e">
        <f ca="1">_xlfn.XLOOKUP(PAA_4[[#This Row],[ITEM]],[2]Contrato!A:A,[2]Contrato!G:G,"",0)</f>
        <v>#NAME?</v>
      </c>
      <c r="AA1699" s="47" t="e">
        <f ca="1">_xlfn.XLOOKUP(PAA_4[[#This Row],[ITEM]],[2]Contrato!A:A,[2]Contrato!T:T,"",0)</f>
        <v>#NAME?</v>
      </c>
      <c r="AB1699" s="55" t="e">
        <f ca="1">+MAX(PAA_4[[#This Row],[Comprometido Contrato]],PAA_4[[#This Row],[Comprometido Bolsa]])</f>
        <v>#NAME?</v>
      </c>
      <c r="AC1699" s="55" t="str">
        <f t="shared" ca="1" si="566"/>
        <v/>
      </c>
      <c r="AD1699" s="55" t="e">
        <f ca="1">IF(PAA_4[[#This Row],[ESTADO (formulado)]]="NO CONTRATADO",0,MAX(PAA_4[[#This Row],[Pago por Contrato]],PAA_4[[#This Row],[Pago por bolsa]]))</f>
        <v>#NAME?</v>
      </c>
      <c r="AE1699" s="55" t="str">
        <f t="shared" ca="1" si="568"/>
        <v/>
      </c>
      <c r="AF1699" s="47" t="e">
        <f t="shared" ca="1" si="572"/>
        <v>#NAME?</v>
      </c>
      <c r="AG1699" s="47">
        <f t="shared" si="569"/>
        <v>41080101</v>
      </c>
      <c r="AH1699" s="54" t="str">
        <f>IF(Q1699="22",IF(ISNUMBER(SEARCH("econ",PAA_4[[#This Row],[Actividad3]])),"Económico",IF(ISNUMBER(SEARCH("alim",PAA_4[[#This Row],[Actividad3]])),"Alimentación",IF(ISNUMBER(SEARCH("educ",PAA_4[[#This Row],[Actividad3]])),"Educativo","Técnico"))),0)</f>
        <v>Técnico</v>
      </c>
      <c r="AI1699" s="47" t="e" cm="1">
        <f t="array" aca="1" ref="AI1699" ca="1">_xlfn.XLOOKUP(PAA_4[[#This Row],[RCP-RUBRO]],[2]!COMPROMISOS_2024[[#All],[concatenado]],[2]!COMPROMISOS_2024[[#All],[Total pagado]],"",0)</f>
        <v>#NAME?</v>
      </c>
      <c r="AJ1699" s="56" t="e">
        <f ca="1">IF(PAA_4[[#This Row],[BOLSA]]=0,0,SUMIFS([2]!COMPROMISOS_2024[[#All],[Total pagado]],[2]!COMPROMISOS_2024[[#All],[Bolsa]],PAA_4[[#This Row],[BOLSA]],[2]!COMPROMISOS_2024[[#All],[rubro]],PAA_4[[#This Row],[RCP-RUBRO]]))</f>
        <v>#REF!</v>
      </c>
      <c r="AK1699" s="47" t="e" cm="1">
        <f t="array" aca="1" ref="AK1699" ca="1">_xlfn.XLOOKUP(PAA_4[[#This Row],[RCP-RUBRO]],[2]!COMPROMISOS_2024[[#All],[concatenado]],[2]!COMPROMISOS_2024[[#All],[Total Comprometido]],"",0)</f>
        <v>#NAME?</v>
      </c>
      <c r="AL1699" s="47" t="e">
        <f ca="1">IF(PAA_4[[#This Row],[BOLSA]]=0,0,SUMIFS([2]!COMPROMISOS_2024[[#All],[Total Comprometido]],[2]!COMPROMISOS_2024[[#All],[Bolsa]],PAA_4[[#This Row],[BOLSA]],[2]!COMPROMISOS_2024[[#All],[concatenado]],PAA_4[[#This Row],[RCP-RUBRO]]))</f>
        <v>#REF!</v>
      </c>
    </row>
    <row r="1700" spans="1:38" s="19" customFormat="1" ht="31.5" customHeight="1">
      <c r="A1700" s="47" t="s">
        <v>82</v>
      </c>
      <c r="B1700" s="366" t="s">
        <v>42</v>
      </c>
      <c r="C1700" s="47" t="str">
        <f>VLOOKUP(PAA_4[[#This Row],[PROYECTO (formulado)2]],[2]PROYECTOS!$G$1:$L$32,6,0)</f>
        <v>SUBGERENCIA DE ALTOS LOGROS Y DEPORTE ASOCIADO</v>
      </c>
      <c r="D1700" s="47" t="str">
        <f>+IF(PAA_4[[#This Row],[UNIDAD DE CONTRATACION (formulado)]]="Subgerencia Administrativa y Financiera","FUNCIONAMIENTO","INVERSIÓN")</f>
        <v>INVERSIÓN</v>
      </c>
      <c r="E1700" s="48" t="str">
        <f>VLOOKUP(Q1700,[2]PROYECTOS!$G$1:$K$32,5,0)</f>
        <v>APOYO_TÉCNICO_Y_PSICOSOCIAL_A_LOS_DEPORTISTAS_DE_ANTIOQUIA</v>
      </c>
      <c r="F1700" s="48">
        <f>VLOOKUP(E1700,[2]PROYECTOS!$K$1:$M$32,3,0)</f>
        <v>2021003050069</v>
      </c>
      <c r="G1700" s="371" t="s">
        <v>241</v>
      </c>
      <c r="H1700" s="49" t="str">
        <f>VLOOKUP(Q1700,[2]PROYECTOS!$V$1:$W$32,2,0)</f>
        <v>050069</v>
      </c>
      <c r="I1700" s="374">
        <v>0</v>
      </c>
      <c r="J1700" s="366" t="s">
        <v>1778</v>
      </c>
      <c r="K1700" s="47" t="str">
        <f t="shared" ca="1" si="567"/>
        <v>CONTRATADO</v>
      </c>
      <c r="L1700" s="58" t="s">
        <v>42</v>
      </c>
      <c r="M1700" s="58" t="s">
        <v>42</v>
      </c>
      <c r="N1700" s="344" t="s">
        <v>240</v>
      </c>
      <c r="O1700" s="51" t="e">
        <f>VLOOKUP(N1700,[2]!RUBROS[#All],3,0)</f>
        <v>#REF!</v>
      </c>
      <c r="P1700" s="53" t="e">
        <f>VLOOKUP(N1700,[2]!RUBROS[#All],2,0)</f>
        <v>#REF!</v>
      </c>
      <c r="Q1700" s="47" t="str">
        <f t="shared" si="570"/>
        <v>22</v>
      </c>
      <c r="R1700" s="47" t="str">
        <f t="shared" si="571"/>
        <v>0-205400</v>
      </c>
      <c r="S1700" s="357" t="s">
        <v>42</v>
      </c>
      <c r="T1700" s="59" t="s">
        <v>42</v>
      </c>
      <c r="U1700" s="326" t="e">
        <f ca="1">_xlfn.XLOOKUP(PAA_4[[#This Row],[ITEM]],[2]Contrato!A:A,[2]Contrato!Q:Q,"",0)</f>
        <v>#NAME?</v>
      </c>
      <c r="V1700" s="47" t="s">
        <v>95</v>
      </c>
      <c r="W1700" s="375" t="s">
        <v>42</v>
      </c>
      <c r="X1700" s="375" t="s">
        <v>42</v>
      </c>
      <c r="Y1700" s="55" t="e">
        <f ca="1">_xlfn.XLOOKUP(PAA_4[[#This Row],[ITEM]],[2]Contrato!A:A,[2]Contrato!B:B,"",0)</f>
        <v>#NAME?</v>
      </c>
      <c r="Z1700" s="47" t="e">
        <f ca="1">_xlfn.XLOOKUP(PAA_4[[#This Row],[ITEM]],[2]Contrato!A:A,[2]Contrato!G:G,"",0)</f>
        <v>#NAME?</v>
      </c>
      <c r="AA1700" s="47" t="e">
        <f ca="1">_xlfn.XLOOKUP(PAA_4[[#This Row],[ITEM]],[2]Contrato!A:A,[2]Contrato!T:T,"",0)</f>
        <v>#NAME?</v>
      </c>
      <c r="AB1700" s="55" t="e">
        <f ca="1">+MAX(PAA_4[[#This Row],[Comprometido Contrato]],PAA_4[[#This Row],[Comprometido Bolsa]])</f>
        <v>#NAME?</v>
      </c>
      <c r="AC1700" s="55" t="str">
        <f t="shared" ca="1" si="566"/>
        <v/>
      </c>
      <c r="AD1700" s="55" t="e">
        <f ca="1">IF(PAA_4[[#This Row],[ESTADO (formulado)]]="NO CONTRATADO",0,MAX(PAA_4[[#This Row],[Pago por Contrato]],PAA_4[[#This Row],[Pago por bolsa]]))</f>
        <v>#NAME?</v>
      </c>
      <c r="AE1700" s="55" t="str">
        <f t="shared" ca="1" si="568"/>
        <v/>
      </c>
      <c r="AF1700" s="47" t="e">
        <f t="shared" ca="1" si="572"/>
        <v>#NAME?</v>
      </c>
      <c r="AG1700" s="47">
        <f t="shared" si="569"/>
        <v>41080106</v>
      </c>
      <c r="AH1700" s="54" t="str">
        <f>IF(Q1700="22",IF(ISNUMBER(SEARCH("econ",PAA_4[[#This Row],[Actividad3]])),"Económico",IF(ISNUMBER(SEARCH("alim",PAA_4[[#This Row],[Actividad3]])),"Alimentación",IF(ISNUMBER(SEARCH("educ",PAA_4[[#This Row],[Actividad3]])),"Educativo","Técnico"))),0)</f>
        <v>Técnico</v>
      </c>
      <c r="AI1700" s="47" t="e" cm="1">
        <f t="array" aca="1" ref="AI1700" ca="1">_xlfn.XLOOKUP(PAA_4[[#This Row],[RCP-RUBRO]],[2]!COMPROMISOS_2024[[#All],[concatenado]],[2]!COMPROMISOS_2024[[#All],[Total pagado]],"",0)</f>
        <v>#NAME?</v>
      </c>
      <c r="AJ1700" s="56" t="e">
        <f ca="1">IF(PAA_4[[#This Row],[BOLSA]]=0,0,SUMIFS([2]!COMPROMISOS_2024[[#All],[Total pagado]],[2]!COMPROMISOS_2024[[#All],[Bolsa]],PAA_4[[#This Row],[BOLSA]],[2]!COMPROMISOS_2024[[#All],[rubro]],PAA_4[[#This Row],[RCP-RUBRO]]))</f>
        <v>#REF!</v>
      </c>
      <c r="AK1700" s="47" t="e" cm="1">
        <f t="array" aca="1" ref="AK1700" ca="1">_xlfn.XLOOKUP(PAA_4[[#This Row],[RCP-RUBRO]],[2]!COMPROMISOS_2024[[#All],[concatenado]],[2]!COMPROMISOS_2024[[#All],[Total Comprometido]],"",0)</f>
        <v>#NAME?</v>
      </c>
      <c r="AL1700" s="47" t="e">
        <f ca="1">IF(PAA_4[[#This Row],[BOLSA]]=0,0,SUMIFS([2]!COMPROMISOS_2024[[#All],[Total Comprometido]],[2]!COMPROMISOS_2024[[#All],[Bolsa]],PAA_4[[#This Row],[BOLSA]],[2]!COMPROMISOS_2024[[#All],[concatenado]],PAA_4[[#This Row],[RCP-RUBRO]]))</f>
        <v>#REF!</v>
      </c>
    </row>
    <row r="1701" spans="1:38" s="19" customFormat="1" ht="31.5" customHeight="1">
      <c r="A1701" s="47">
        <v>945</v>
      </c>
      <c r="B1701" s="344">
        <v>80111600</v>
      </c>
      <c r="C1701" s="47" t="str">
        <f>VLOOKUP(PAA_4[[#This Row],[PROYECTO (formulado)2]],[2]PROYECTOS!$G$1:$L$32,6,0)</f>
        <v>SUBGERENCIA DE ALTOS LOGROS Y DEPORTE ASOCIADO</v>
      </c>
      <c r="D1701" s="47" t="str">
        <f>+IF(PAA_4[[#This Row],[UNIDAD DE CONTRATACION (formulado)]]="Subgerencia Administrativa y Financiera","FUNCIONAMIENTO","INVERSIÓN")</f>
        <v>INVERSIÓN</v>
      </c>
      <c r="E1701" s="48" t="str">
        <f>VLOOKUP(Q1701,[2]PROYECTOS!$G$1:$K$32,5,0)</f>
        <v>APOYO_TÉCNICO_Y_PSICOSOCIAL_A_LOS_DEPORTISTAS_DE_ANTIOQUIA</v>
      </c>
      <c r="F1701" s="48">
        <f>VLOOKUP(E1701,[2]PROYECTOS!$K$1:$M$32,3,0)</f>
        <v>2021003050069</v>
      </c>
      <c r="G1701" s="371" t="s">
        <v>241</v>
      </c>
      <c r="H1701" s="49" t="str">
        <f>VLOOKUP(Q1701,[2]PROYECTOS!$V$1:$W$32,2,0)</f>
        <v>050069</v>
      </c>
      <c r="I1701" s="374">
        <f>23714292-7641272</f>
        <v>16073020</v>
      </c>
      <c r="J1701" s="286" t="s">
        <v>1985</v>
      </c>
      <c r="K1701" s="47" t="str">
        <f t="shared" ca="1" si="567"/>
        <v>CONTRATADO</v>
      </c>
      <c r="L1701" s="372" t="s">
        <v>147</v>
      </c>
      <c r="M1701" s="58" t="s">
        <v>1297</v>
      </c>
      <c r="N1701" s="344" t="s">
        <v>240</v>
      </c>
      <c r="O1701" s="51" t="e">
        <f>VLOOKUP(N1701,[2]!RUBROS[#All],3,0)</f>
        <v>#REF!</v>
      </c>
      <c r="P1701" s="53" t="e">
        <f>VLOOKUP(N1701,[2]!RUBROS[#All],2,0)</f>
        <v>#REF!</v>
      </c>
      <c r="Q1701" s="47" t="str">
        <f t="shared" si="570"/>
        <v>22</v>
      </c>
      <c r="R1701" s="47" t="str">
        <f t="shared" si="571"/>
        <v>0-205400</v>
      </c>
      <c r="S1701" s="357">
        <v>122</v>
      </c>
      <c r="T1701" s="59" t="s">
        <v>1970</v>
      </c>
      <c r="U1701" s="326" t="e">
        <f ca="1">_xlfn.XLOOKUP(PAA_4[[#This Row],[ITEM]],[2]Contrato!A:A,[2]Contrato!Q:Q,"",0)</f>
        <v>#NAME?</v>
      </c>
      <c r="V1701" s="47" t="s">
        <v>95</v>
      </c>
      <c r="W1701" s="373" t="s">
        <v>1971</v>
      </c>
      <c r="X1701" s="373" t="s">
        <v>1972</v>
      </c>
      <c r="Y1701" s="55" t="e">
        <f ca="1">_xlfn.XLOOKUP(PAA_4[[#This Row],[ITEM]],[2]Contrato!A:A,[2]Contrato!B:B,"",0)</f>
        <v>#NAME?</v>
      </c>
      <c r="Z1701" s="47" t="e">
        <f ca="1">_xlfn.XLOOKUP(PAA_4[[#This Row],[ITEM]],[2]Contrato!A:A,[2]Contrato!G:G,"",0)</f>
        <v>#NAME?</v>
      </c>
      <c r="AA1701" s="47" t="e">
        <f ca="1">_xlfn.XLOOKUP(PAA_4[[#This Row],[ITEM]],[2]Contrato!A:A,[2]Contrato!T:T,"",0)</f>
        <v>#NAME?</v>
      </c>
      <c r="AB1701" s="55" t="e">
        <f ca="1">+MAX(PAA_4[[#This Row],[Comprometido Contrato]],PAA_4[[#This Row],[Comprometido Bolsa]])</f>
        <v>#NAME?</v>
      </c>
      <c r="AC1701" s="55" t="str">
        <f t="shared" ca="1" si="566"/>
        <v/>
      </c>
      <c r="AD1701" s="55" t="e">
        <f ca="1">IF(PAA_4[[#This Row],[ESTADO (formulado)]]="NO CONTRATADO",0,MAX(PAA_4[[#This Row],[Pago por Contrato]],PAA_4[[#This Row],[Pago por bolsa]]))</f>
        <v>#NAME?</v>
      </c>
      <c r="AE1701" s="55" t="str">
        <f t="shared" ca="1" si="568"/>
        <v/>
      </c>
      <c r="AF1701" s="47" t="e">
        <f t="shared" ca="1" si="572"/>
        <v>#NAME?</v>
      </c>
      <c r="AG1701" s="47">
        <f t="shared" si="569"/>
        <v>41080106</v>
      </c>
      <c r="AH1701" s="54" t="str">
        <f>IF(Q1701="22",IF(ISNUMBER(SEARCH("econ",PAA_4[[#This Row],[Actividad3]])),"Económico",IF(ISNUMBER(SEARCH("alim",PAA_4[[#This Row],[Actividad3]])),"Alimentación",IF(ISNUMBER(SEARCH("educ",PAA_4[[#This Row],[Actividad3]])),"Educativo","Técnico"))),0)</f>
        <v>Técnico</v>
      </c>
      <c r="AI1701" s="47" t="e" cm="1">
        <f t="array" aca="1" ref="AI1701" ca="1">_xlfn.XLOOKUP(PAA_4[[#This Row],[RCP-RUBRO]],[2]!COMPROMISOS_2024[[#All],[concatenado]],[2]!COMPROMISOS_2024[[#All],[Total pagado]],"",0)</f>
        <v>#NAME?</v>
      </c>
      <c r="AJ1701" s="56" t="e">
        <f ca="1">IF(PAA_4[[#This Row],[BOLSA]]=0,0,SUMIFS([2]!COMPROMISOS_2024[[#All],[Total pagado]],[2]!COMPROMISOS_2024[[#All],[Bolsa]],PAA_4[[#This Row],[BOLSA]],[2]!COMPROMISOS_2024[[#All],[rubro]],PAA_4[[#This Row],[RCP-RUBRO]]))</f>
        <v>#REF!</v>
      </c>
      <c r="AK1701" s="47" t="e" cm="1">
        <f t="array" aca="1" ref="AK1701" ca="1">_xlfn.XLOOKUP(PAA_4[[#This Row],[RCP-RUBRO]],[2]!COMPROMISOS_2024[[#All],[concatenado]],[2]!COMPROMISOS_2024[[#All],[Total Comprometido]],"",0)</f>
        <v>#NAME?</v>
      </c>
      <c r="AL1701" s="47" t="e">
        <f ca="1">IF(PAA_4[[#This Row],[BOLSA]]=0,0,SUMIFS([2]!COMPROMISOS_2024[[#All],[Total Comprometido]],[2]!COMPROMISOS_2024[[#All],[Bolsa]],PAA_4[[#This Row],[BOLSA]],[2]!COMPROMISOS_2024[[#All],[concatenado]],PAA_4[[#This Row],[RCP-RUBRO]]))</f>
        <v>#REF!</v>
      </c>
    </row>
    <row r="1702" spans="1:38" s="19" customFormat="1" ht="31.5" customHeight="1">
      <c r="A1702" s="47">
        <v>946</v>
      </c>
      <c r="B1702" s="344">
        <v>80111600</v>
      </c>
      <c r="C1702" s="47" t="str">
        <f>VLOOKUP(PAA_4[[#This Row],[PROYECTO (formulado)2]],[2]PROYECTOS!$G$1:$L$32,6,0)</f>
        <v>SUBGERENCIA DE ALTOS LOGROS Y DEPORTE ASOCIADO</v>
      </c>
      <c r="D1702" s="47" t="str">
        <f>+IF(PAA_4[[#This Row],[UNIDAD DE CONTRATACION (formulado)]]="Subgerencia Administrativa y Financiera","FUNCIONAMIENTO","INVERSIÓN")</f>
        <v>INVERSIÓN</v>
      </c>
      <c r="E1702" s="48" t="str">
        <f>VLOOKUP(Q1702,[2]PROYECTOS!$G$1:$K$32,5,0)</f>
        <v>APOYO_TÉCNICO_Y_PSICOSOCIAL_A_LOS_DEPORTISTAS_DE_ANTIOQUIA</v>
      </c>
      <c r="F1702" s="48">
        <f>VLOOKUP(E1702,[2]PROYECTOS!$K$1:$M$32,3,0)</f>
        <v>2021003050069</v>
      </c>
      <c r="G1702" s="371" t="s">
        <v>239</v>
      </c>
      <c r="H1702" s="49" t="str">
        <f>VLOOKUP(Q1702,[2]PROYECTOS!$V$1:$W$32,2,0)</f>
        <v>050069</v>
      </c>
      <c r="I1702" s="374">
        <v>10471024</v>
      </c>
      <c r="J1702" s="286" t="s">
        <v>2004</v>
      </c>
      <c r="K1702" s="47" t="str">
        <f t="shared" ca="1" si="567"/>
        <v>CONTRATADO</v>
      </c>
      <c r="L1702" s="372" t="s">
        <v>147</v>
      </c>
      <c r="M1702" s="58" t="s">
        <v>1297</v>
      </c>
      <c r="N1702" s="344" t="s">
        <v>240</v>
      </c>
      <c r="O1702" s="51" t="e">
        <f>VLOOKUP(N1702,[2]!RUBROS[#All],3,0)</f>
        <v>#REF!</v>
      </c>
      <c r="P1702" s="53" t="e">
        <f>VLOOKUP(N1702,[2]!RUBROS[#All],2,0)</f>
        <v>#REF!</v>
      </c>
      <c r="Q1702" s="47" t="str">
        <f t="shared" si="570"/>
        <v>22</v>
      </c>
      <c r="R1702" s="47" t="str">
        <f t="shared" si="571"/>
        <v>0-205400</v>
      </c>
      <c r="S1702" s="342">
        <v>122</v>
      </c>
      <c r="T1702" s="59" t="s">
        <v>1970</v>
      </c>
      <c r="U1702" s="326" t="e">
        <f ca="1">_xlfn.XLOOKUP(PAA_4[[#This Row],[ITEM]],[2]Contrato!A:A,[2]Contrato!Q:Q,"",0)</f>
        <v>#NAME?</v>
      </c>
      <c r="V1702" s="47" t="s">
        <v>95</v>
      </c>
      <c r="W1702" s="373" t="s">
        <v>1971</v>
      </c>
      <c r="X1702" s="373" t="s">
        <v>1972</v>
      </c>
      <c r="Y1702" s="55" t="e">
        <f ca="1">_xlfn.XLOOKUP(PAA_4[[#This Row],[ITEM]],[2]Contrato!A:A,[2]Contrato!B:B,"",0)</f>
        <v>#NAME?</v>
      </c>
      <c r="Z1702" s="47" t="e">
        <f ca="1">_xlfn.XLOOKUP(PAA_4[[#This Row],[ITEM]],[2]Contrato!A:A,[2]Contrato!G:G,"",0)</f>
        <v>#NAME?</v>
      </c>
      <c r="AA1702" s="47" t="e">
        <f ca="1">_xlfn.XLOOKUP(PAA_4[[#This Row],[ITEM]],[2]Contrato!A:A,[2]Contrato!T:T,"",0)</f>
        <v>#NAME?</v>
      </c>
      <c r="AB1702" s="55" t="e">
        <f ca="1">+MAX(PAA_4[[#This Row],[Comprometido Contrato]],PAA_4[[#This Row],[Comprometido Bolsa]])</f>
        <v>#NAME?</v>
      </c>
      <c r="AC1702" s="55" t="str">
        <f t="shared" ca="1" si="566"/>
        <v/>
      </c>
      <c r="AD1702" s="55" t="e">
        <f ca="1">IF(PAA_4[[#This Row],[ESTADO (formulado)]]="NO CONTRATADO",0,MAX(PAA_4[[#This Row],[Pago por Contrato]],PAA_4[[#This Row],[Pago por bolsa]]))</f>
        <v>#NAME?</v>
      </c>
      <c r="AE1702" s="55" t="str">
        <f t="shared" ca="1" si="568"/>
        <v/>
      </c>
      <c r="AF1702" s="47" t="e">
        <f t="shared" ca="1" si="572"/>
        <v>#NAME?</v>
      </c>
      <c r="AG1702" s="47">
        <f t="shared" si="569"/>
        <v>41080101</v>
      </c>
      <c r="AH1702" s="54" t="str">
        <f>IF(Q1702="22",IF(ISNUMBER(SEARCH("econ",PAA_4[[#This Row],[Actividad3]])),"Económico",IF(ISNUMBER(SEARCH("alim",PAA_4[[#This Row],[Actividad3]])),"Alimentación",IF(ISNUMBER(SEARCH("educ",PAA_4[[#This Row],[Actividad3]])),"Educativo","Técnico"))),0)</f>
        <v>Técnico</v>
      </c>
      <c r="AI1702" s="47" t="e" cm="1">
        <f t="array" aca="1" ref="AI1702" ca="1">_xlfn.XLOOKUP(PAA_4[[#This Row],[RCP-RUBRO]],[2]!COMPROMISOS_2024[[#All],[concatenado]],[2]!COMPROMISOS_2024[[#All],[Total pagado]],"",0)</f>
        <v>#NAME?</v>
      </c>
      <c r="AJ1702" s="56" t="e">
        <f ca="1">IF(PAA_4[[#This Row],[BOLSA]]=0,0,SUMIFS([2]!COMPROMISOS_2024[[#All],[Total pagado]],[2]!COMPROMISOS_2024[[#All],[Bolsa]],PAA_4[[#This Row],[BOLSA]],[2]!COMPROMISOS_2024[[#All],[rubro]],PAA_4[[#This Row],[RCP-RUBRO]]))</f>
        <v>#REF!</v>
      </c>
      <c r="AK1702" s="47" t="e" cm="1">
        <f t="array" aca="1" ref="AK1702" ca="1">_xlfn.XLOOKUP(PAA_4[[#This Row],[RCP-RUBRO]],[2]!COMPROMISOS_2024[[#All],[concatenado]],[2]!COMPROMISOS_2024[[#All],[Total Comprometido]],"",0)</f>
        <v>#NAME?</v>
      </c>
      <c r="AL1702" s="47" t="e">
        <f ca="1">IF(PAA_4[[#This Row],[BOLSA]]=0,0,SUMIFS([2]!COMPROMISOS_2024[[#All],[Total Comprometido]],[2]!COMPROMISOS_2024[[#All],[Bolsa]],PAA_4[[#This Row],[BOLSA]],[2]!COMPROMISOS_2024[[#All],[concatenado]],PAA_4[[#This Row],[RCP-RUBRO]]))</f>
        <v>#REF!</v>
      </c>
    </row>
    <row r="1703" spans="1:38" s="19" customFormat="1" ht="31.5" customHeight="1">
      <c r="A1703" s="47">
        <v>947</v>
      </c>
      <c r="B1703" s="344">
        <v>80111600</v>
      </c>
      <c r="C1703" s="47" t="str">
        <f>VLOOKUP(PAA_4[[#This Row],[PROYECTO (formulado)2]],[2]PROYECTOS!$G$1:$L$32,6,0)</f>
        <v>SUBGERENCIA DE ALTOS LOGROS Y DEPORTE ASOCIADO</v>
      </c>
      <c r="D1703" s="47" t="str">
        <f>+IF(PAA_4[[#This Row],[UNIDAD DE CONTRATACION (formulado)]]="Subgerencia Administrativa y Financiera","FUNCIONAMIENTO","INVERSIÓN")</f>
        <v>INVERSIÓN</v>
      </c>
      <c r="E1703" s="48" t="str">
        <f>VLOOKUP(Q1703,[2]PROYECTOS!$G$1:$K$32,5,0)</f>
        <v>APOYO_TÉCNICO_Y_PSICOSOCIAL_A_LOS_DEPORTISTAS_DE_ANTIOQUIA</v>
      </c>
      <c r="F1703" s="48">
        <f>VLOOKUP(E1703,[2]PROYECTOS!$K$1:$M$32,3,0)</f>
        <v>2021003050069</v>
      </c>
      <c r="G1703" s="371" t="s">
        <v>239</v>
      </c>
      <c r="H1703" s="49" t="str">
        <f>VLOOKUP(Q1703,[2]PROYECTOS!$V$1:$W$32,2,0)</f>
        <v>050069</v>
      </c>
      <c r="I1703" s="374">
        <v>10471024</v>
      </c>
      <c r="J1703" s="286" t="s">
        <v>2004</v>
      </c>
      <c r="K1703" s="47" t="str">
        <f t="shared" ca="1" si="567"/>
        <v>CONTRATADO</v>
      </c>
      <c r="L1703" s="372" t="s">
        <v>147</v>
      </c>
      <c r="M1703" s="58" t="s">
        <v>1297</v>
      </c>
      <c r="N1703" s="344" t="s">
        <v>240</v>
      </c>
      <c r="O1703" s="51" t="e">
        <f>VLOOKUP(N1703,[2]!RUBROS[#All],3,0)</f>
        <v>#REF!</v>
      </c>
      <c r="P1703" s="53" t="e">
        <f>VLOOKUP(N1703,[2]!RUBROS[#All],2,0)</f>
        <v>#REF!</v>
      </c>
      <c r="Q1703" s="47" t="str">
        <f t="shared" si="570"/>
        <v>22</v>
      </c>
      <c r="R1703" s="47" t="str">
        <f t="shared" si="571"/>
        <v>0-205400</v>
      </c>
      <c r="S1703" s="342">
        <v>122</v>
      </c>
      <c r="T1703" s="59" t="s">
        <v>1970</v>
      </c>
      <c r="U1703" s="326" t="e">
        <f ca="1">_xlfn.XLOOKUP(PAA_4[[#This Row],[ITEM]],[2]Contrato!A:A,[2]Contrato!Q:Q,"",0)</f>
        <v>#NAME?</v>
      </c>
      <c r="V1703" s="47" t="s">
        <v>95</v>
      </c>
      <c r="W1703" s="373" t="s">
        <v>1971</v>
      </c>
      <c r="X1703" s="373" t="s">
        <v>1972</v>
      </c>
      <c r="Y1703" s="55" t="e">
        <f ca="1">_xlfn.XLOOKUP(PAA_4[[#This Row],[ITEM]],[2]Contrato!A:A,[2]Contrato!B:B,"",0)</f>
        <v>#NAME?</v>
      </c>
      <c r="Z1703" s="47" t="e">
        <f ca="1">_xlfn.XLOOKUP(PAA_4[[#This Row],[ITEM]],[2]Contrato!A:A,[2]Contrato!G:G,"",0)</f>
        <v>#NAME?</v>
      </c>
      <c r="AA1703" s="47" t="e">
        <f ca="1">_xlfn.XLOOKUP(PAA_4[[#This Row],[ITEM]],[2]Contrato!A:A,[2]Contrato!T:T,"",0)</f>
        <v>#NAME?</v>
      </c>
      <c r="AB1703" s="55" t="e">
        <f ca="1">+MAX(PAA_4[[#This Row],[Comprometido Contrato]],PAA_4[[#This Row],[Comprometido Bolsa]])</f>
        <v>#NAME?</v>
      </c>
      <c r="AC1703" s="55" t="str">
        <f t="shared" ca="1" si="566"/>
        <v/>
      </c>
      <c r="AD1703" s="55" t="e">
        <f ca="1">IF(PAA_4[[#This Row],[ESTADO (formulado)]]="NO CONTRATADO",0,MAX(PAA_4[[#This Row],[Pago por Contrato]],PAA_4[[#This Row],[Pago por bolsa]]))</f>
        <v>#NAME?</v>
      </c>
      <c r="AE1703" s="55" t="str">
        <f t="shared" ca="1" si="568"/>
        <v/>
      </c>
      <c r="AF1703" s="47" t="e">
        <f t="shared" ca="1" si="572"/>
        <v>#NAME?</v>
      </c>
      <c r="AG1703" s="47">
        <f t="shared" si="569"/>
        <v>41080101</v>
      </c>
      <c r="AH1703" s="54" t="str">
        <f>IF(Q1703="22",IF(ISNUMBER(SEARCH("econ",PAA_4[[#This Row],[Actividad3]])),"Económico",IF(ISNUMBER(SEARCH("alim",PAA_4[[#This Row],[Actividad3]])),"Alimentación",IF(ISNUMBER(SEARCH("educ",PAA_4[[#This Row],[Actividad3]])),"Educativo","Técnico"))),0)</f>
        <v>Técnico</v>
      </c>
      <c r="AI1703" s="47" t="e" cm="1">
        <f t="array" aca="1" ref="AI1703" ca="1">_xlfn.XLOOKUP(PAA_4[[#This Row],[RCP-RUBRO]],[2]!COMPROMISOS_2024[[#All],[concatenado]],[2]!COMPROMISOS_2024[[#All],[Total pagado]],"",0)</f>
        <v>#NAME?</v>
      </c>
      <c r="AJ1703" s="56" t="e">
        <f ca="1">IF(PAA_4[[#This Row],[BOLSA]]=0,0,SUMIFS([2]!COMPROMISOS_2024[[#All],[Total pagado]],[2]!COMPROMISOS_2024[[#All],[Bolsa]],PAA_4[[#This Row],[BOLSA]],[2]!COMPROMISOS_2024[[#All],[rubro]],PAA_4[[#This Row],[RCP-RUBRO]]))</f>
        <v>#REF!</v>
      </c>
      <c r="AK1703" s="47" t="e" cm="1">
        <f t="array" aca="1" ref="AK1703" ca="1">_xlfn.XLOOKUP(PAA_4[[#This Row],[RCP-RUBRO]],[2]!COMPROMISOS_2024[[#All],[concatenado]],[2]!COMPROMISOS_2024[[#All],[Total Comprometido]],"",0)</f>
        <v>#NAME?</v>
      </c>
      <c r="AL1703" s="47" t="e">
        <f ca="1">IF(PAA_4[[#This Row],[BOLSA]]=0,0,SUMIFS([2]!COMPROMISOS_2024[[#All],[Total Comprometido]],[2]!COMPROMISOS_2024[[#All],[Bolsa]],PAA_4[[#This Row],[BOLSA]],[2]!COMPROMISOS_2024[[#All],[concatenado]],PAA_4[[#This Row],[RCP-RUBRO]]))</f>
        <v>#REF!</v>
      </c>
    </row>
    <row r="1704" spans="1:38" s="19" customFormat="1" ht="31.5" customHeight="1">
      <c r="A1704" s="47">
        <v>948</v>
      </c>
      <c r="B1704" s="344">
        <v>80111600</v>
      </c>
      <c r="C1704" s="47" t="str">
        <f>VLOOKUP(PAA_4[[#This Row],[PROYECTO (formulado)2]],[2]PROYECTOS!$G$1:$L$32,6,0)</f>
        <v>SUBGERENCIA DE ALTOS LOGROS Y DEPORTE ASOCIADO</v>
      </c>
      <c r="D1704" s="47" t="str">
        <f>+IF(PAA_4[[#This Row],[UNIDAD DE CONTRATACION (formulado)]]="Subgerencia Administrativa y Financiera","FUNCIONAMIENTO","INVERSIÓN")</f>
        <v>INVERSIÓN</v>
      </c>
      <c r="E1704" s="48" t="str">
        <f>VLOOKUP(Q1704,[2]PROYECTOS!$G$1:$K$32,5,0)</f>
        <v>APOYO_TÉCNICO_Y_PSICOSOCIAL_A_LOS_DEPORTISTAS_DE_ANTIOQUIA</v>
      </c>
      <c r="F1704" s="48">
        <f>VLOOKUP(E1704,[2]PROYECTOS!$K$1:$M$32,3,0)</f>
        <v>2021003050069</v>
      </c>
      <c r="G1704" s="371" t="s">
        <v>239</v>
      </c>
      <c r="H1704" s="49" t="str">
        <f>VLOOKUP(Q1704,[2]PROYECTOS!$V$1:$W$32,2,0)</f>
        <v>050069</v>
      </c>
      <c r="I1704" s="374">
        <v>24120006</v>
      </c>
      <c r="J1704" s="286" t="s">
        <v>2005</v>
      </c>
      <c r="K1704" s="47" t="str">
        <f t="shared" ca="1" si="567"/>
        <v>CONTRATADO</v>
      </c>
      <c r="L1704" s="372" t="s">
        <v>147</v>
      </c>
      <c r="M1704" s="58" t="s">
        <v>1297</v>
      </c>
      <c r="N1704" s="344" t="s">
        <v>240</v>
      </c>
      <c r="O1704" s="51" t="e">
        <f>VLOOKUP(N1704,[2]!RUBROS[#All],3,0)</f>
        <v>#REF!</v>
      </c>
      <c r="P1704" s="53" t="e">
        <f>VLOOKUP(N1704,[2]!RUBROS[#All],2,0)</f>
        <v>#REF!</v>
      </c>
      <c r="Q1704" s="47" t="str">
        <f t="shared" si="570"/>
        <v>22</v>
      </c>
      <c r="R1704" s="47" t="str">
        <f t="shared" si="571"/>
        <v>0-205400</v>
      </c>
      <c r="S1704" s="342">
        <v>122</v>
      </c>
      <c r="T1704" s="59" t="s">
        <v>1970</v>
      </c>
      <c r="U1704" s="326" t="e">
        <f ca="1">_xlfn.XLOOKUP(PAA_4[[#This Row],[ITEM]],[2]Contrato!A:A,[2]Contrato!Q:Q,"",0)</f>
        <v>#NAME?</v>
      </c>
      <c r="V1704" s="47" t="s">
        <v>95</v>
      </c>
      <c r="W1704" s="373" t="s">
        <v>1971</v>
      </c>
      <c r="X1704" s="373" t="s">
        <v>1972</v>
      </c>
      <c r="Y1704" s="55" t="e">
        <f ca="1">_xlfn.XLOOKUP(PAA_4[[#This Row],[ITEM]],[2]Contrato!A:A,[2]Contrato!B:B,"",0)</f>
        <v>#NAME?</v>
      </c>
      <c r="Z1704" s="47" t="e">
        <f ca="1">_xlfn.XLOOKUP(PAA_4[[#This Row],[ITEM]],[2]Contrato!A:A,[2]Contrato!G:G,"",0)</f>
        <v>#NAME?</v>
      </c>
      <c r="AA1704" s="47" t="e">
        <f ca="1">_xlfn.XLOOKUP(PAA_4[[#This Row],[ITEM]],[2]Contrato!A:A,[2]Contrato!T:T,"",0)</f>
        <v>#NAME?</v>
      </c>
      <c r="AB1704" s="55" t="e">
        <f ca="1">+MAX(PAA_4[[#This Row],[Comprometido Contrato]],PAA_4[[#This Row],[Comprometido Bolsa]])</f>
        <v>#NAME?</v>
      </c>
      <c r="AC1704" s="55" t="str">
        <f t="shared" ca="1" si="566"/>
        <v/>
      </c>
      <c r="AD1704" s="55" t="e">
        <f ca="1">IF(PAA_4[[#This Row],[ESTADO (formulado)]]="NO CONTRATADO",0,MAX(PAA_4[[#This Row],[Pago por Contrato]],PAA_4[[#This Row],[Pago por bolsa]]))</f>
        <v>#NAME?</v>
      </c>
      <c r="AE1704" s="55" t="str">
        <f t="shared" ca="1" si="568"/>
        <v/>
      </c>
      <c r="AF1704" s="47" t="e">
        <f t="shared" ca="1" si="572"/>
        <v>#NAME?</v>
      </c>
      <c r="AG1704" s="47">
        <f t="shared" si="569"/>
        <v>41080101</v>
      </c>
      <c r="AH1704" s="54" t="str">
        <f>IF(Q1704="22",IF(ISNUMBER(SEARCH("econ",PAA_4[[#This Row],[Actividad3]])),"Económico",IF(ISNUMBER(SEARCH("alim",PAA_4[[#This Row],[Actividad3]])),"Alimentación",IF(ISNUMBER(SEARCH("educ",PAA_4[[#This Row],[Actividad3]])),"Educativo","Técnico"))),0)</f>
        <v>Técnico</v>
      </c>
      <c r="AI1704" s="47" t="e" cm="1">
        <f t="array" aca="1" ref="AI1704" ca="1">_xlfn.XLOOKUP(PAA_4[[#This Row],[RCP-RUBRO]],[2]!COMPROMISOS_2024[[#All],[concatenado]],[2]!COMPROMISOS_2024[[#All],[Total pagado]],"",0)</f>
        <v>#NAME?</v>
      </c>
      <c r="AJ1704" s="56" t="e">
        <f ca="1">IF(PAA_4[[#This Row],[BOLSA]]=0,0,SUMIFS([2]!COMPROMISOS_2024[[#All],[Total pagado]],[2]!COMPROMISOS_2024[[#All],[Bolsa]],PAA_4[[#This Row],[BOLSA]],[2]!COMPROMISOS_2024[[#All],[rubro]],PAA_4[[#This Row],[RCP-RUBRO]]))</f>
        <v>#REF!</v>
      </c>
      <c r="AK1704" s="47" t="e" cm="1">
        <f t="array" aca="1" ref="AK1704" ca="1">_xlfn.XLOOKUP(PAA_4[[#This Row],[RCP-RUBRO]],[2]!COMPROMISOS_2024[[#All],[concatenado]],[2]!COMPROMISOS_2024[[#All],[Total Comprometido]],"",0)</f>
        <v>#NAME?</v>
      </c>
      <c r="AL1704" s="47" t="e">
        <f ca="1">IF(PAA_4[[#This Row],[BOLSA]]=0,0,SUMIFS([2]!COMPROMISOS_2024[[#All],[Total Comprometido]],[2]!COMPROMISOS_2024[[#All],[Bolsa]],PAA_4[[#This Row],[BOLSA]],[2]!COMPROMISOS_2024[[#All],[concatenado]],PAA_4[[#This Row],[RCP-RUBRO]]))</f>
        <v>#REF!</v>
      </c>
    </row>
    <row r="1705" spans="1:38" s="19" customFormat="1" ht="31.5" customHeight="1">
      <c r="A1705" s="47">
        <v>949</v>
      </c>
      <c r="B1705" s="344">
        <v>80111600</v>
      </c>
      <c r="C1705" s="47" t="str">
        <f>VLOOKUP(PAA_4[[#This Row],[PROYECTO (formulado)2]],[2]PROYECTOS!$G$1:$L$32,6,0)</f>
        <v>SUBGERENCIA DE ALTOS LOGROS Y DEPORTE ASOCIADO</v>
      </c>
      <c r="D1705" s="47" t="str">
        <f>+IF(PAA_4[[#This Row],[UNIDAD DE CONTRATACION (formulado)]]="Subgerencia Administrativa y Financiera","FUNCIONAMIENTO","INVERSIÓN")</f>
        <v>INVERSIÓN</v>
      </c>
      <c r="E1705" s="48" t="str">
        <f>VLOOKUP(Q1705,[2]PROYECTOS!$G$1:$K$32,5,0)</f>
        <v>APOYO_TÉCNICO_Y_PSICOSOCIAL_A_LOS_DEPORTISTAS_DE_ANTIOQUIA</v>
      </c>
      <c r="F1705" s="48">
        <f>VLOOKUP(E1705,[2]PROYECTOS!$K$1:$M$32,3,0)</f>
        <v>2021003050069</v>
      </c>
      <c r="G1705" s="371" t="s">
        <v>239</v>
      </c>
      <c r="H1705" s="49" t="str">
        <f>VLOOKUP(Q1705,[2]PROYECTOS!$V$1:$W$32,2,0)</f>
        <v>050069</v>
      </c>
      <c r="I1705" s="374">
        <v>10471024</v>
      </c>
      <c r="J1705" s="286" t="s">
        <v>2005</v>
      </c>
      <c r="K1705" s="47" t="str">
        <f t="shared" ca="1" si="567"/>
        <v>CONTRATADO</v>
      </c>
      <c r="L1705" s="372" t="s">
        <v>147</v>
      </c>
      <c r="M1705" s="58" t="s">
        <v>1297</v>
      </c>
      <c r="N1705" s="344" t="s">
        <v>240</v>
      </c>
      <c r="O1705" s="51" t="e">
        <f>VLOOKUP(N1705,[2]!RUBROS[#All],3,0)</f>
        <v>#REF!</v>
      </c>
      <c r="P1705" s="53" t="e">
        <f>VLOOKUP(N1705,[2]!RUBROS[#All],2,0)</f>
        <v>#REF!</v>
      </c>
      <c r="Q1705" s="47" t="str">
        <f t="shared" si="570"/>
        <v>22</v>
      </c>
      <c r="R1705" s="47" t="str">
        <f t="shared" si="571"/>
        <v>0-205400</v>
      </c>
      <c r="S1705" s="342">
        <v>122</v>
      </c>
      <c r="T1705" s="59" t="s">
        <v>1970</v>
      </c>
      <c r="U1705" s="326" t="e">
        <f ca="1">_xlfn.XLOOKUP(PAA_4[[#This Row],[ITEM]],[2]Contrato!A:A,[2]Contrato!Q:Q,"",0)</f>
        <v>#NAME?</v>
      </c>
      <c r="V1705" s="47" t="s">
        <v>95</v>
      </c>
      <c r="W1705" s="373" t="s">
        <v>1971</v>
      </c>
      <c r="X1705" s="373" t="s">
        <v>1972</v>
      </c>
      <c r="Y1705" s="55" t="e">
        <f ca="1">_xlfn.XLOOKUP(PAA_4[[#This Row],[ITEM]],[2]Contrato!A:A,[2]Contrato!B:B,"",0)</f>
        <v>#NAME?</v>
      </c>
      <c r="Z1705" s="47" t="e">
        <f ca="1">_xlfn.XLOOKUP(PAA_4[[#This Row],[ITEM]],[2]Contrato!A:A,[2]Contrato!G:G,"",0)</f>
        <v>#NAME?</v>
      </c>
      <c r="AA1705" s="47" t="e">
        <f ca="1">_xlfn.XLOOKUP(PAA_4[[#This Row],[ITEM]],[2]Contrato!A:A,[2]Contrato!T:T,"",0)</f>
        <v>#NAME?</v>
      </c>
      <c r="AB1705" s="55" t="e">
        <f ca="1">+MAX(PAA_4[[#This Row],[Comprometido Contrato]],PAA_4[[#This Row],[Comprometido Bolsa]])</f>
        <v>#NAME?</v>
      </c>
      <c r="AC1705" s="55" t="str">
        <f t="shared" ca="1" si="566"/>
        <v/>
      </c>
      <c r="AD1705" s="55" t="e">
        <f ca="1">IF(PAA_4[[#This Row],[ESTADO (formulado)]]="NO CONTRATADO",0,MAX(PAA_4[[#This Row],[Pago por Contrato]],PAA_4[[#This Row],[Pago por bolsa]]))</f>
        <v>#NAME?</v>
      </c>
      <c r="AE1705" s="55" t="str">
        <f t="shared" ca="1" si="568"/>
        <v/>
      </c>
      <c r="AF1705" s="47" t="e">
        <f t="shared" ca="1" si="572"/>
        <v>#NAME?</v>
      </c>
      <c r="AG1705" s="47">
        <f t="shared" si="569"/>
        <v>41080101</v>
      </c>
      <c r="AH1705" s="54" t="str">
        <f>IF(Q1705="22",IF(ISNUMBER(SEARCH("econ",PAA_4[[#This Row],[Actividad3]])),"Económico",IF(ISNUMBER(SEARCH("alim",PAA_4[[#This Row],[Actividad3]])),"Alimentación",IF(ISNUMBER(SEARCH("educ",PAA_4[[#This Row],[Actividad3]])),"Educativo","Técnico"))),0)</f>
        <v>Técnico</v>
      </c>
      <c r="AI1705" s="47" t="e" cm="1">
        <f t="array" aca="1" ref="AI1705" ca="1">_xlfn.XLOOKUP(PAA_4[[#This Row],[RCP-RUBRO]],[2]!COMPROMISOS_2024[[#All],[concatenado]],[2]!COMPROMISOS_2024[[#All],[Total pagado]],"",0)</f>
        <v>#NAME?</v>
      </c>
      <c r="AJ1705" s="56" t="e">
        <f ca="1">IF(PAA_4[[#This Row],[BOLSA]]=0,0,SUMIFS([2]!COMPROMISOS_2024[[#All],[Total pagado]],[2]!COMPROMISOS_2024[[#All],[Bolsa]],PAA_4[[#This Row],[BOLSA]],[2]!COMPROMISOS_2024[[#All],[rubro]],PAA_4[[#This Row],[RCP-RUBRO]]))</f>
        <v>#REF!</v>
      </c>
      <c r="AK1705" s="47" t="e" cm="1">
        <f t="array" aca="1" ref="AK1705" ca="1">_xlfn.XLOOKUP(PAA_4[[#This Row],[RCP-RUBRO]],[2]!COMPROMISOS_2024[[#All],[concatenado]],[2]!COMPROMISOS_2024[[#All],[Total Comprometido]],"",0)</f>
        <v>#NAME?</v>
      </c>
      <c r="AL1705" s="47" t="e">
        <f ca="1">IF(PAA_4[[#This Row],[BOLSA]]=0,0,SUMIFS([2]!COMPROMISOS_2024[[#All],[Total Comprometido]],[2]!COMPROMISOS_2024[[#All],[Bolsa]],PAA_4[[#This Row],[BOLSA]],[2]!COMPROMISOS_2024[[#All],[concatenado]],PAA_4[[#This Row],[RCP-RUBRO]]))</f>
        <v>#REF!</v>
      </c>
    </row>
    <row r="1706" spans="1:38" s="19" customFormat="1" ht="31.5" customHeight="1">
      <c r="A1706" s="47" t="s">
        <v>82</v>
      </c>
      <c r="B1706" s="366" t="s">
        <v>42</v>
      </c>
      <c r="C1706" s="47" t="str">
        <f>VLOOKUP(PAA_4[[#This Row],[PROYECTO (formulado)2]],[2]PROYECTOS!$G$1:$L$32,6,0)</f>
        <v>SUBGERENCIA DE ALTOS LOGROS Y DEPORTE ASOCIADO</v>
      </c>
      <c r="D1706" s="47" t="str">
        <f>+IF(PAA_4[[#This Row],[UNIDAD DE CONTRATACION (formulado)]]="Subgerencia Administrativa y Financiera","FUNCIONAMIENTO","INVERSIÓN")</f>
        <v>INVERSIÓN</v>
      </c>
      <c r="E1706" s="48" t="str">
        <f>VLOOKUP(Q1706,[2]PROYECTOS!$G$1:$K$32,5,0)</f>
        <v>APOYO_TÉCNICO_Y_PSICOSOCIAL_A_LOS_DEPORTISTAS_DE_ANTIOQUIA</v>
      </c>
      <c r="F1706" s="48">
        <f>VLOOKUP(E1706,[2]PROYECTOS!$K$1:$M$32,3,0)</f>
        <v>2021003050069</v>
      </c>
      <c r="G1706" s="371" t="s">
        <v>241</v>
      </c>
      <c r="H1706" s="49" t="str">
        <f>VLOOKUP(Q1706,[2]PROYECTOS!$V$1:$W$32,2,0)</f>
        <v>050069</v>
      </c>
      <c r="I1706" s="374">
        <v>0</v>
      </c>
      <c r="J1706" s="366" t="s">
        <v>1778</v>
      </c>
      <c r="K1706" s="47" t="str">
        <f t="shared" ca="1" si="567"/>
        <v>CONTRATADO</v>
      </c>
      <c r="L1706" s="58" t="s">
        <v>42</v>
      </c>
      <c r="M1706" s="58" t="s">
        <v>42</v>
      </c>
      <c r="N1706" s="344" t="s">
        <v>240</v>
      </c>
      <c r="O1706" s="51" t="e">
        <f>VLOOKUP(N1706,[2]!RUBROS[#All],3,0)</f>
        <v>#REF!</v>
      </c>
      <c r="P1706" s="53" t="e">
        <f>VLOOKUP(N1706,[2]!RUBROS[#All],2,0)</f>
        <v>#REF!</v>
      </c>
      <c r="Q1706" s="47" t="str">
        <f t="shared" si="570"/>
        <v>22</v>
      </c>
      <c r="R1706" s="47" t="str">
        <f t="shared" si="571"/>
        <v>0-205400</v>
      </c>
      <c r="S1706" s="357" t="s">
        <v>42</v>
      </c>
      <c r="T1706" s="59" t="s">
        <v>42</v>
      </c>
      <c r="U1706" s="326" t="e">
        <f ca="1">_xlfn.XLOOKUP(PAA_4[[#This Row],[ITEM]],[2]Contrato!A:A,[2]Contrato!Q:Q,"",0)</f>
        <v>#NAME?</v>
      </c>
      <c r="V1706" s="47" t="s">
        <v>95</v>
      </c>
      <c r="W1706" s="375" t="s">
        <v>42</v>
      </c>
      <c r="X1706" s="375" t="s">
        <v>42</v>
      </c>
      <c r="Y1706" s="55" t="e">
        <f ca="1">_xlfn.XLOOKUP(PAA_4[[#This Row],[ITEM]],[2]Contrato!A:A,[2]Contrato!B:B,"",0)</f>
        <v>#NAME?</v>
      </c>
      <c r="Z1706" s="47" t="e">
        <f ca="1">_xlfn.XLOOKUP(PAA_4[[#This Row],[ITEM]],[2]Contrato!A:A,[2]Contrato!G:G,"",0)</f>
        <v>#NAME?</v>
      </c>
      <c r="AA1706" s="47" t="e">
        <f ca="1">_xlfn.XLOOKUP(PAA_4[[#This Row],[ITEM]],[2]Contrato!A:A,[2]Contrato!T:T,"",0)</f>
        <v>#NAME?</v>
      </c>
      <c r="AB1706" s="55" t="e">
        <f ca="1">+MAX(PAA_4[[#This Row],[Comprometido Contrato]],PAA_4[[#This Row],[Comprometido Bolsa]])</f>
        <v>#NAME?</v>
      </c>
      <c r="AC1706" s="55" t="str">
        <f t="shared" ca="1" si="566"/>
        <v/>
      </c>
      <c r="AD1706" s="55" t="e">
        <f ca="1">IF(PAA_4[[#This Row],[ESTADO (formulado)]]="NO CONTRATADO",0,MAX(PAA_4[[#This Row],[Pago por Contrato]],PAA_4[[#This Row],[Pago por bolsa]]))</f>
        <v>#NAME?</v>
      </c>
      <c r="AE1706" s="55" t="str">
        <f t="shared" ca="1" si="568"/>
        <v/>
      </c>
      <c r="AF1706" s="47" t="e">
        <f t="shared" ca="1" si="572"/>
        <v>#NAME?</v>
      </c>
      <c r="AG1706" s="47">
        <f t="shared" si="569"/>
        <v>41080106</v>
      </c>
      <c r="AH1706" s="54" t="str">
        <f>IF(Q1706="22",IF(ISNUMBER(SEARCH("econ",PAA_4[[#This Row],[Actividad3]])),"Económico",IF(ISNUMBER(SEARCH("alim",PAA_4[[#This Row],[Actividad3]])),"Alimentación",IF(ISNUMBER(SEARCH("educ",PAA_4[[#This Row],[Actividad3]])),"Educativo","Técnico"))),0)</f>
        <v>Técnico</v>
      </c>
      <c r="AI1706" s="47" t="e" cm="1">
        <f t="array" aca="1" ref="AI1706" ca="1">_xlfn.XLOOKUP(PAA_4[[#This Row],[RCP-RUBRO]],[2]!COMPROMISOS_2024[[#All],[concatenado]],[2]!COMPROMISOS_2024[[#All],[Total pagado]],"",0)</f>
        <v>#NAME?</v>
      </c>
      <c r="AJ1706" s="56" t="e">
        <f ca="1">IF(PAA_4[[#This Row],[BOLSA]]=0,0,SUMIFS([2]!COMPROMISOS_2024[[#All],[Total pagado]],[2]!COMPROMISOS_2024[[#All],[Bolsa]],PAA_4[[#This Row],[BOLSA]],[2]!COMPROMISOS_2024[[#All],[rubro]],PAA_4[[#This Row],[RCP-RUBRO]]))</f>
        <v>#REF!</v>
      </c>
      <c r="AK1706" s="47" t="e" cm="1">
        <f t="array" aca="1" ref="AK1706" ca="1">_xlfn.XLOOKUP(PAA_4[[#This Row],[RCP-RUBRO]],[2]!COMPROMISOS_2024[[#All],[concatenado]],[2]!COMPROMISOS_2024[[#All],[Total Comprometido]],"",0)</f>
        <v>#NAME?</v>
      </c>
      <c r="AL1706" s="47" t="e">
        <f ca="1">IF(PAA_4[[#This Row],[BOLSA]]=0,0,SUMIFS([2]!COMPROMISOS_2024[[#All],[Total Comprometido]],[2]!COMPROMISOS_2024[[#All],[Bolsa]],PAA_4[[#This Row],[BOLSA]],[2]!COMPROMISOS_2024[[#All],[concatenado]],PAA_4[[#This Row],[RCP-RUBRO]]))</f>
        <v>#REF!</v>
      </c>
    </row>
    <row r="1707" spans="1:38" s="19" customFormat="1" ht="31.5" customHeight="1">
      <c r="A1707" s="47">
        <v>950</v>
      </c>
      <c r="B1707" s="344">
        <v>80111600</v>
      </c>
      <c r="C1707" s="47" t="str">
        <f>VLOOKUP(PAA_4[[#This Row],[PROYECTO (formulado)2]],[2]PROYECTOS!$G$1:$L$32,6,0)</f>
        <v>SUBGERENCIA DE ALTOS LOGROS Y DEPORTE ASOCIADO</v>
      </c>
      <c r="D1707" s="47" t="str">
        <f>+IF(PAA_4[[#This Row],[UNIDAD DE CONTRATACION (formulado)]]="Subgerencia Administrativa y Financiera","FUNCIONAMIENTO","INVERSIÓN")</f>
        <v>INVERSIÓN</v>
      </c>
      <c r="E1707" s="48" t="str">
        <f>VLOOKUP(Q1707,[2]PROYECTOS!$G$1:$K$32,5,0)</f>
        <v>APOYO_TÉCNICO_Y_PSICOSOCIAL_A_LOS_DEPORTISTAS_DE_ANTIOQUIA</v>
      </c>
      <c r="F1707" s="48">
        <f>VLOOKUP(E1707,[2]PROYECTOS!$K$1:$M$32,3,0)</f>
        <v>2021003050069</v>
      </c>
      <c r="G1707" s="371" t="s">
        <v>241</v>
      </c>
      <c r="H1707" s="49" t="str">
        <f>VLOOKUP(Q1707,[2]PROYECTOS!$V$1:$W$32,2,0)</f>
        <v>050069</v>
      </c>
      <c r="I1707" s="374">
        <f>29453616-9490610</f>
        <v>19963006</v>
      </c>
      <c r="J1707" s="286" t="s">
        <v>2006</v>
      </c>
      <c r="K1707" s="47" t="str">
        <f t="shared" ca="1" si="567"/>
        <v>CONTRATADO</v>
      </c>
      <c r="L1707" s="372" t="s">
        <v>147</v>
      </c>
      <c r="M1707" s="58" t="s">
        <v>1297</v>
      </c>
      <c r="N1707" s="344" t="s">
        <v>240</v>
      </c>
      <c r="O1707" s="51" t="e">
        <f>VLOOKUP(N1707,[2]!RUBROS[#All],3,0)</f>
        <v>#REF!</v>
      </c>
      <c r="P1707" s="53" t="e">
        <f>VLOOKUP(N1707,[2]!RUBROS[#All],2,0)</f>
        <v>#REF!</v>
      </c>
      <c r="Q1707" s="47" t="str">
        <f t="shared" si="570"/>
        <v>22</v>
      </c>
      <c r="R1707" s="47" t="str">
        <f t="shared" si="571"/>
        <v>0-205400</v>
      </c>
      <c r="S1707" s="357">
        <v>122</v>
      </c>
      <c r="T1707" s="59" t="s">
        <v>1970</v>
      </c>
      <c r="U1707" s="326" t="e">
        <f ca="1">_xlfn.XLOOKUP(PAA_4[[#This Row],[ITEM]],[2]Contrato!A:A,[2]Contrato!Q:Q,"",0)</f>
        <v>#NAME?</v>
      </c>
      <c r="V1707" s="47" t="s">
        <v>95</v>
      </c>
      <c r="W1707" s="373" t="s">
        <v>1971</v>
      </c>
      <c r="X1707" s="373" t="s">
        <v>1972</v>
      </c>
      <c r="Y1707" s="55" t="e">
        <f ca="1">_xlfn.XLOOKUP(PAA_4[[#This Row],[ITEM]],[2]Contrato!A:A,[2]Contrato!B:B,"",0)</f>
        <v>#NAME?</v>
      </c>
      <c r="Z1707" s="47" t="e">
        <f ca="1">_xlfn.XLOOKUP(PAA_4[[#This Row],[ITEM]],[2]Contrato!A:A,[2]Contrato!G:G,"",0)</f>
        <v>#NAME?</v>
      </c>
      <c r="AA1707" s="47" t="e">
        <f ca="1">_xlfn.XLOOKUP(PAA_4[[#This Row],[ITEM]],[2]Contrato!A:A,[2]Contrato!T:T,"",0)</f>
        <v>#NAME?</v>
      </c>
      <c r="AB1707" s="55" t="e">
        <f ca="1">+MAX(PAA_4[[#This Row],[Comprometido Contrato]],PAA_4[[#This Row],[Comprometido Bolsa]])</f>
        <v>#NAME?</v>
      </c>
      <c r="AC1707" s="55" t="str">
        <f t="shared" ca="1" si="566"/>
        <v/>
      </c>
      <c r="AD1707" s="55" t="e">
        <f ca="1">IF(PAA_4[[#This Row],[ESTADO (formulado)]]="NO CONTRATADO",0,MAX(PAA_4[[#This Row],[Pago por Contrato]],PAA_4[[#This Row],[Pago por bolsa]]))</f>
        <v>#NAME?</v>
      </c>
      <c r="AE1707" s="55" t="str">
        <f t="shared" ca="1" si="568"/>
        <v/>
      </c>
      <c r="AF1707" s="47" t="e">
        <f t="shared" ca="1" si="572"/>
        <v>#NAME?</v>
      </c>
      <c r="AG1707" s="47">
        <f t="shared" si="569"/>
        <v>41080106</v>
      </c>
      <c r="AH1707" s="54" t="str">
        <f>IF(Q1707="22",IF(ISNUMBER(SEARCH("econ",PAA_4[[#This Row],[Actividad3]])),"Económico",IF(ISNUMBER(SEARCH("alim",PAA_4[[#This Row],[Actividad3]])),"Alimentación",IF(ISNUMBER(SEARCH("educ",PAA_4[[#This Row],[Actividad3]])),"Educativo","Técnico"))),0)</f>
        <v>Técnico</v>
      </c>
      <c r="AI1707" s="47" t="e" cm="1">
        <f t="array" aca="1" ref="AI1707" ca="1">_xlfn.XLOOKUP(PAA_4[[#This Row],[RCP-RUBRO]],[2]!COMPROMISOS_2024[[#All],[concatenado]],[2]!COMPROMISOS_2024[[#All],[Total pagado]],"",0)</f>
        <v>#NAME?</v>
      </c>
      <c r="AJ1707" s="56" t="e">
        <f ca="1">IF(PAA_4[[#This Row],[BOLSA]]=0,0,SUMIFS([2]!COMPROMISOS_2024[[#All],[Total pagado]],[2]!COMPROMISOS_2024[[#All],[Bolsa]],PAA_4[[#This Row],[BOLSA]],[2]!COMPROMISOS_2024[[#All],[rubro]],PAA_4[[#This Row],[RCP-RUBRO]]))</f>
        <v>#REF!</v>
      </c>
      <c r="AK1707" s="47" t="e" cm="1">
        <f t="array" aca="1" ref="AK1707" ca="1">_xlfn.XLOOKUP(PAA_4[[#This Row],[RCP-RUBRO]],[2]!COMPROMISOS_2024[[#All],[concatenado]],[2]!COMPROMISOS_2024[[#All],[Total Comprometido]],"",0)</f>
        <v>#NAME?</v>
      </c>
      <c r="AL1707" s="47" t="e">
        <f ca="1">IF(PAA_4[[#This Row],[BOLSA]]=0,0,SUMIFS([2]!COMPROMISOS_2024[[#All],[Total Comprometido]],[2]!COMPROMISOS_2024[[#All],[Bolsa]],PAA_4[[#This Row],[BOLSA]],[2]!COMPROMISOS_2024[[#All],[concatenado]],PAA_4[[#This Row],[RCP-RUBRO]]))</f>
        <v>#REF!</v>
      </c>
    </row>
    <row r="1708" spans="1:38" s="19" customFormat="1" ht="31.5" customHeight="1">
      <c r="A1708" s="47" t="s">
        <v>82</v>
      </c>
      <c r="B1708" s="366" t="s">
        <v>42</v>
      </c>
      <c r="C1708" s="47" t="str">
        <f>VLOOKUP(PAA_4[[#This Row],[PROYECTO (formulado)2]],[2]PROYECTOS!$G$1:$L$32,6,0)</f>
        <v>SUBGERENCIA DE ALTOS LOGROS Y DEPORTE ASOCIADO</v>
      </c>
      <c r="D1708" s="47" t="str">
        <f>+IF(PAA_4[[#This Row],[UNIDAD DE CONTRATACION (formulado)]]="Subgerencia Administrativa y Financiera","FUNCIONAMIENTO","INVERSIÓN")</f>
        <v>INVERSIÓN</v>
      </c>
      <c r="E1708" s="48" t="str">
        <f>VLOOKUP(Q1708,[2]PROYECTOS!$G$1:$K$32,5,0)</f>
        <v>APOYO_TÉCNICO_Y_PSICOSOCIAL_A_LOS_DEPORTISTAS_DE_ANTIOQUIA</v>
      </c>
      <c r="F1708" s="48">
        <f>VLOOKUP(E1708,[2]PROYECTOS!$K$1:$M$32,3,0)</f>
        <v>2021003050069</v>
      </c>
      <c r="G1708" s="371" t="s">
        <v>241</v>
      </c>
      <c r="H1708" s="49" t="str">
        <f>VLOOKUP(Q1708,[2]PROYECTOS!$V$1:$W$32,2,0)</f>
        <v>050069</v>
      </c>
      <c r="I1708" s="374">
        <v>0</v>
      </c>
      <c r="J1708" s="366" t="s">
        <v>1778</v>
      </c>
      <c r="K1708" s="47" t="str">
        <f t="shared" ca="1" si="567"/>
        <v>CONTRATADO</v>
      </c>
      <c r="L1708" s="58" t="s">
        <v>42</v>
      </c>
      <c r="M1708" s="58" t="s">
        <v>42</v>
      </c>
      <c r="N1708" s="344" t="s">
        <v>240</v>
      </c>
      <c r="O1708" s="51" t="e">
        <f>VLOOKUP(N1708,[2]!RUBROS[#All],3,0)</f>
        <v>#REF!</v>
      </c>
      <c r="P1708" s="53" t="e">
        <f>VLOOKUP(N1708,[2]!RUBROS[#All],2,0)</f>
        <v>#REF!</v>
      </c>
      <c r="Q1708" s="47" t="str">
        <f t="shared" si="570"/>
        <v>22</v>
      </c>
      <c r="R1708" s="47" t="str">
        <f t="shared" si="571"/>
        <v>0-205400</v>
      </c>
      <c r="S1708" s="357" t="s">
        <v>42</v>
      </c>
      <c r="T1708" s="59" t="s">
        <v>42</v>
      </c>
      <c r="U1708" s="326" t="e">
        <f ca="1">_xlfn.XLOOKUP(PAA_4[[#This Row],[ITEM]],[2]Contrato!A:A,[2]Contrato!Q:Q,"",0)</f>
        <v>#NAME?</v>
      </c>
      <c r="V1708" s="47" t="s">
        <v>95</v>
      </c>
      <c r="W1708" s="375" t="s">
        <v>42</v>
      </c>
      <c r="X1708" s="375" t="s">
        <v>42</v>
      </c>
      <c r="Y1708" s="55" t="e">
        <f ca="1">_xlfn.XLOOKUP(PAA_4[[#This Row],[ITEM]],[2]Contrato!A:A,[2]Contrato!B:B,"",0)</f>
        <v>#NAME?</v>
      </c>
      <c r="Z1708" s="47" t="e">
        <f ca="1">_xlfn.XLOOKUP(PAA_4[[#This Row],[ITEM]],[2]Contrato!A:A,[2]Contrato!G:G,"",0)</f>
        <v>#NAME?</v>
      </c>
      <c r="AA1708" s="47" t="e">
        <f ca="1">_xlfn.XLOOKUP(PAA_4[[#This Row],[ITEM]],[2]Contrato!A:A,[2]Contrato!T:T,"",0)</f>
        <v>#NAME?</v>
      </c>
      <c r="AB1708" s="55" t="e">
        <f ca="1">+MAX(PAA_4[[#This Row],[Comprometido Contrato]],PAA_4[[#This Row],[Comprometido Bolsa]])</f>
        <v>#NAME?</v>
      </c>
      <c r="AC1708" s="55" t="str">
        <f t="shared" ca="1" si="566"/>
        <v/>
      </c>
      <c r="AD1708" s="55" t="e">
        <f ca="1">IF(PAA_4[[#This Row],[ESTADO (formulado)]]="NO CONTRATADO",0,MAX(PAA_4[[#This Row],[Pago por Contrato]],PAA_4[[#This Row],[Pago por bolsa]]))</f>
        <v>#NAME?</v>
      </c>
      <c r="AE1708" s="55" t="str">
        <f t="shared" ca="1" si="568"/>
        <v/>
      </c>
      <c r="AF1708" s="47" t="e">
        <f t="shared" ca="1" si="572"/>
        <v>#NAME?</v>
      </c>
      <c r="AG1708" s="47">
        <f t="shared" si="569"/>
        <v>41080106</v>
      </c>
      <c r="AH1708" s="54" t="str">
        <f>IF(Q1708="22",IF(ISNUMBER(SEARCH("econ",PAA_4[[#This Row],[Actividad3]])),"Económico",IF(ISNUMBER(SEARCH("alim",PAA_4[[#This Row],[Actividad3]])),"Alimentación",IF(ISNUMBER(SEARCH("educ",PAA_4[[#This Row],[Actividad3]])),"Educativo","Técnico"))),0)</f>
        <v>Técnico</v>
      </c>
      <c r="AI1708" s="47" t="e" cm="1">
        <f t="array" aca="1" ref="AI1708" ca="1">_xlfn.XLOOKUP(PAA_4[[#This Row],[RCP-RUBRO]],[2]!COMPROMISOS_2024[[#All],[concatenado]],[2]!COMPROMISOS_2024[[#All],[Total pagado]],"",0)</f>
        <v>#NAME?</v>
      </c>
      <c r="AJ1708" s="56" t="e">
        <f ca="1">IF(PAA_4[[#This Row],[BOLSA]]=0,0,SUMIFS([2]!COMPROMISOS_2024[[#All],[Total pagado]],[2]!COMPROMISOS_2024[[#All],[Bolsa]],PAA_4[[#This Row],[BOLSA]],[2]!COMPROMISOS_2024[[#All],[rubro]],PAA_4[[#This Row],[RCP-RUBRO]]))</f>
        <v>#REF!</v>
      </c>
      <c r="AK1708" s="47" t="e" cm="1">
        <f t="array" aca="1" ref="AK1708" ca="1">_xlfn.XLOOKUP(PAA_4[[#This Row],[RCP-RUBRO]],[2]!COMPROMISOS_2024[[#All],[concatenado]],[2]!COMPROMISOS_2024[[#All],[Total Comprometido]],"",0)</f>
        <v>#NAME?</v>
      </c>
      <c r="AL1708" s="47" t="e">
        <f ca="1">IF(PAA_4[[#This Row],[BOLSA]]=0,0,SUMIFS([2]!COMPROMISOS_2024[[#All],[Total Comprometido]],[2]!COMPROMISOS_2024[[#All],[Bolsa]],PAA_4[[#This Row],[BOLSA]],[2]!COMPROMISOS_2024[[#All],[concatenado]],PAA_4[[#This Row],[RCP-RUBRO]]))</f>
        <v>#REF!</v>
      </c>
    </row>
    <row r="1709" spans="1:38" s="19" customFormat="1" ht="31.5" customHeight="1">
      <c r="A1709" s="47">
        <v>951</v>
      </c>
      <c r="B1709" s="344">
        <v>80111600</v>
      </c>
      <c r="C1709" s="47" t="str">
        <f>VLOOKUP(PAA_4[[#This Row],[PROYECTO (formulado)2]],[2]PROYECTOS!$G$1:$L$32,6,0)</f>
        <v>SUBGERENCIA DE ALTOS LOGROS Y DEPORTE ASOCIADO</v>
      </c>
      <c r="D1709" s="47" t="str">
        <f>+IF(PAA_4[[#This Row],[UNIDAD DE CONTRATACION (formulado)]]="Subgerencia Administrativa y Financiera","FUNCIONAMIENTO","INVERSIÓN")</f>
        <v>INVERSIÓN</v>
      </c>
      <c r="E1709" s="48" t="str">
        <f>VLOOKUP(Q1709,[2]PROYECTOS!$G$1:$K$32,5,0)</f>
        <v>APOYO_TÉCNICO_Y_PSICOSOCIAL_A_LOS_DEPORTISTAS_DE_ANTIOQUIA</v>
      </c>
      <c r="F1709" s="48">
        <f>VLOOKUP(E1709,[2]PROYECTOS!$K$1:$M$32,3,0)</f>
        <v>2021003050069</v>
      </c>
      <c r="G1709" s="371" t="s">
        <v>241</v>
      </c>
      <c r="H1709" s="49" t="str">
        <f>VLOOKUP(Q1709,[2]PROYECTOS!$V$1:$W$32,2,0)</f>
        <v>050069</v>
      </c>
      <c r="I1709" s="374">
        <f>23714292-7641272</f>
        <v>16073020</v>
      </c>
      <c r="J1709" s="286" t="s">
        <v>1983</v>
      </c>
      <c r="K1709" s="47" t="str">
        <f t="shared" ca="1" si="567"/>
        <v>CONTRATADO</v>
      </c>
      <c r="L1709" s="372" t="s">
        <v>147</v>
      </c>
      <c r="M1709" s="58" t="s">
        <v>1297</v>
      </c>
      <c r="N1709" s="344" t="s">
        <v>240</v>
      </c>
      <c r="O1709" s="51" t="e">
        <f>VLOOKUP(N1709,[2]!RUBROS[#All],3,0)</f>
        <v>#REF!</v>
      </c>
      <c r="P1709" s="53" t="e">
        <f>VLOOKUP(N1709,[2]!RUBROS[#All],2,0)</f>
        <v>#REF!</v>
      </c>
      <c r="Q1709" s="47" t="str">
        <f t="shared" si="570"/>
        <v>22</v>
      </c>
      <c r="R1709" s="47" t="str">
        <f t="shared" si="571"/>
        <v>0-205400</v>
      </c>
      <c r="S1709" s="357">
        <v>122</v>
      </c>
      <c r="T1709" s="59" t="s">
        <v>1970</v>
      </c>
      <c r="U1709" s="326" t="e">
        <f ca="1">_xlfn.XLOOKUP(PAA_4[[#This Row],[ITEM]],[2]Contrato!A:A,[2]Contrato!Q:Q,"",0)</f>
        <v>#NAME?</v>
      </c>
      <c r="V1709" s="47" t="s">
        <v>95</v>
      </c>
      <c r="W1709" s="373" t="s">
        <v>1971</v>
      </c>
      <c r="X1709" s="373" t="s">
        <v>1972</v>
      </c>
      <c r="Y1709" s="55" t="e">
        <f ca="1">_xlfn.XLOOKUP(PAA_4[[#This Row],[ITEM]],[2]Contrato!A:A,[2]Contrato!B:B,"",0)</f>
        <v>#NAME?</v>
      </c>
      <c r="Z1709" s="47" t="e">
        <f ca="1">_xlfn.XLOOKUP(PAA_4[[#This Row],[ITEM]],[2]Contrato!A:A,[2]Contrato!G:G,"",0)</f>
        <v>#NAME?</v>
      </c>
      <c r="AA1709" s="47" t="e">
        <f ca="1">_xlfn.XLOOKUP(PAA_4[[#This Row],[ITEM]],[2]Contrato!A:A,[2]Contrato!T:T,"",0)</f>
        <v>#NAME?</v>
      </c>
      <c r="AB1709" s="55" t="e">
        <f ca="1">+MAX(PAA_4[[#This Row],[Comprometido Contrato]],PAA_4[[#This Row],[Comprometido Bolsa]])</f>
        <v>#NAME?</v>
      </c>
      <c r="AC1709" s="55" t="str">
        <f t="shared" ca="1" si="566"/>
        <v/>
      </c>
      <c r="AD1709" s="55" t="e">
        <f ca="1">IF(PAA_4[[#This Row],[ESTADO (formulado)]]="NO CONTRATADO",0,MAX(PAA_4[[#This Row],[Pago por Contrato]],PAA_4[[#This Row],[Pago por bolsa]]))</f>
        <v>#NAME?</v>
      </c>
      <c r="AE1709" s="55" t="str">
        <f t="shared" ca="1" si="568"/>
        <v/>
      </c>
      <c r="AF1709" s="47" t="e">
        <f t="shared" ca="1" si="572"/>
        <v>#NAME?</v>
      </c>
      <c r="AG1709" s="47">
        <f t="shared" si="569"/>
        <v>41080106</v>
      </c>
      <c r="AH1709" s="54" t="str">
        <f>IF(Q1709="22",IF(ISNUMBER(SEARCH("econ",PAA_4[[#This Row],[Actividad3]])),"Económico",IF(ISNUMBER(SEARCH("alim",PAA_4[[#This Row],[Actividad3]])),"Alimentación",IF(ISNUMBER(SEARCH("educ",PAA_4[[#This Row],[Actividad3]])),"Educativo","Técnico"))),0)</f>
        <v>Técnico</v>
      </c>
      <c r="AI1709" s="47" t="e" cm="1">
        <f t="array" aca="1" ref="AI1709" ca="1">_xlfn.XLOOKUP(PAA_4[[#This Row],[RCP-RUBRO]],[2]!COMPROMISOS_2024[[#All],[concatenado]],[2]!COMPROMISOS_2024[[#All],[Total pagado]],"",0)</f>
        <v>#NAME?</v>
      </c>
      <c r="AJ1709" s="56" t="e">
        <f ca="1">IF(PAA_4[[#This Row],[BOLSA]]=0,0,SUMIFS([2]!COMPROMISOS_2024[[#All],[Total pagado]],[2]!COMPROMISOS_2024[[#All],[Bolsa]],PAA_4[[#This Row],[BOLSA]],[2]!COMPROMISOS_2024[[#All],[rubro]],PAA_4[[#This Row],[RCP-RUBRO]]))</f>
        <v>#REF!</v>
      </c>
      <c r="AK1709" s="47" t="e" cm="1">
        <f t="array" aca="1" ref="AK1709" ca="1">_xlfn.XLOOKUP(PAA_4[[#This Row],[RCP-RUBRO]],[2]!COMPROMISOS_2024[[#All],[concatenado]],[2]!COMPROMISOS_2024[[#All],[Total Comprometido]],"",0)</f>
        <v>#NAME?</v>
      </c>
      <c r="AL1709" s="47" t="e">
        <f ca="1">IF(PAA_4[[#This Row],[BOLSA]]=0,0,SUMIFS([2]!COMPROMISOS_2024[[#All],[Total Comprometido]],[2]!COMPROMISOS_2024[[#All],[Bolsa]],PAA_4[[#This Row],[BOLSA]],[2]!COMPROMISOS_2024[[#All],[concatenado]],PAA_4[[#This Row],[RCP-RUBRO]]))</f>
        <v>#REF!</v>
      </c>
    </row>
    <row r="1710" spans="1:38" s="19" customFormat="1" ht="31.5" customHeight="1">
      <c r="A1710" s="47" t="s">
        <v>82</v>
      </c>
      <c r="B1710" s="366" t="s">
        <v>42</v>
      </c>
      <c r="C1710" s="47" t="str">
        <f>VLOOKUP(PAA_4[[#This Row],[PROYECTO (formulado)2]],[2]PROYECTOS!$G$1:$L$32,6,0)</f>
        <v>SUBGERENCIA DE ALTOS LOGROS Y DEPORTE ASOCIADO</v>
      </c>
      <c r="D1710" s="47" t="str">
        <f>+IF(PAA_4[[#This Row],[UNIDAD DE CONTRATACION (formulado)]]="Subgerencia Administrativa y Financiera","FUNCIONAMIENTO","INVERSIÓN")</f>
        <v>INVERSIÓN</v>
      </c>
      <c r="E1710" s="48" t="str">
        <f>VLOOKUP(Q1710,[2]PROYECTOS!$G$1:$K$32,5,0)</f>
        <v>APOYO_TÉCNICO_Y_PSICOSOCIAL_A_LOS_DEPORTISTAS_DE_ANTIOQUIA</v>
      </c>
      <c r="F1710" s="48">
        <f>VLOOKUP(E1710,[2]PROYECTOS!$K$1:$M$32,3,0)</f>
        <v>2021003050069</v>
      </c>
      <c r="G1710" s="371" t="s">
        <v>241</v>
      </c>
      <c r="H1710" s="49" t="str">
        <f>VLOOKUP(Q1710,[2]PROYECTOS!$V$1:$W$32,2,0)</f>
        <v>050069</v>
      </c>
      <c r="I1710" s="374">
        <v>0</v>
      </c>
      <c r="J1710" s="366" t="s">
        <v>1778</v>
      </c>
      <c r="K1710" s="47" t="str">
        <f t="shared" ca="1" si="567"/>
        <v>CONTRATADO</v>
      </c>
      <c r="L1710" s="58" t="s">
        <v>42</v>
      </c>
      <c r="M1710" s="58" t="s">
        <v>42</v>
      </c>
      <c r="N1710" s="344" t="s">
        <v>240</v>
      </c>
      <c r="O1710" s="51" t="e">
        <f>VLOOKUP(N1710,[2]!RUBROS[#All],3,0)</f>
        <v>#REF!</v>
      </c>
      <c r="P1710" s="53" t="e">
        <f>VLOOKUP(N1710,[2]!RUBROS[#All],2,0)</f>
        <v>#REF!</v>
      </c>
      <c r="Q1710" s="47" t="str">
        <f t="shared" si="570"/>
        <v>22</v>
      </c>
      <c r="R1710" s="47" t="str">
        <f t="shared" si="571"/>
        <v>0-205400</v>
      </c>
      <c r="S1710" s="357" t="s">
        <v>42</v>
      </c>
      <c r="T1710" s="59" t="s">
        <v>42</v>
      </c>
      <c r="U1710" s="326" t="e">
        <f ca="1">_xlfn.XLOOKUP(PAA_4[[#This Row],[ITEM]],[2]Contrato!A:A,[2]Contrato!Q:Q,"",0)</f>
        <v>#NAME?</v>
      </c>
      <c r="V1710" s="47" t="s">
        <v>95</v>
      </c>
      <c r="W1710" s="375" t="s">
        <v>42</v>
      </c>
      <c r="X1710" s="375" t="s">
        <v>42</v>
      </c>
      <c r="Y1710" s="55" t="e">
        <f ca="1">_xlfn.XLOOKUP(PAA_4[[#This Row],[ITEM]],[2]Contrato!A:A,[2]Contrato!B:B,"",0)</f>
        <v>#NAME?</v>
      </c>
      <c r="Z1710" s="47" t="e">
        <f ca="1">_xlfn.XLOOKUP(PAA_4[[#This Row],[ITEM]],[2]Contrato!A:A,[2]Contrato!G:G,"",0)</f>
        <v>#NAME?</v>
      </c>
      <c r="AA1710" s="47" t="e">
        <f ca="1">_xlfn.XLOOKUP(PAA_4[[#This Row],[ITEM]],[2]Contrato!A:A,[2]Contrato!T:T,"",0)</f>
        <v>#NAME?</v>
      </c>
      <c r="AB1710" s="55" t="e">
        <f ca="1">+MAX(PAA_4[[#This Row],[Comprometido Contrato]],PAA_4[[#This Row],[Comprometido Bolsa]])</f>
        <v>#NAME?</v>
      </c>
      <c r="AC1710" s="55" t="str">
        <f t="shared" ca="1" si="566"/>
        <v/>
      </c>
      <c r="AD1710" s="55" t="e">
        <f ca="1">IF(PAA_4[[#This Row],[ESTADO (formulado)]]="NO CONTRATADO",0,MAX(PAA_4[[#This Row],[Pago por Contrato]],PAA_4[[#This Row],[Pago por bolsa]]))</f>
        <v>#NAME?</v>
      </c>
      <c r="AE1710" s="55" t="str">
        <f t="shared" ca="1" si="568"/>
        <v/>
      </c>
      <c r="AF1710" s="47" t="e">
        <f t="shared" ca="1" si="572"/>
        <v>#NAME?</v>
      </c>
      <c r="AG1710" s="47">
        <f t="shared" si="569"/>
        <v>41080106</v>
      </c>
      <c r="AH1710" s="54" t="str">
        <f>IF(Q1710="22",IF(ISNUMBER(SEARCH("econ",PAA_4[[#This Row],[Actividad3]])),"Económico",IF(ISNUMBER(SEARCH("alim",PAA_4[[#This Row],[Actividad3]])),"Alimentación",IF(ISNUMBER(SEARCH("educ",PAA_4[[#This Row],[Actividad3]])),"Educativo","Técnico"))),0)</f>
        <v>Técnico</v>
      </c>
      <c r="AI1710" s="47" t="e" cm="1">
        <f t="array" aca="1" ref="AI1710" ca="1">_xlfn.XLOOKUP(PAA_4[[#This Row],[RCP-RUBRO]],[2]!COMPROMISOS_2024[[#All],[concatenado]],[2]!COMPROMISOS_2024[[#All],[Total pagado]],"",0)</f>
        <v>#NAME?</v>
      </c>
      <c r="AJ1710" s="56" t="e">
        <f ca="1">IF(PAA_4[[#This Row],[BOLSA]]=0,0,SUMIFS([2]!COMPROMISOS_2024[[#All],[Total pagado]],[2]!COMPROMISOS_2024[[#All],[Bolsa]],PAA_4[[#This Row],[BOLSA]],[2]!COMPROMISOS_2024[[#All],[rubro]],PAA_4[[#This Row],[RCP-RUBRO]]))</f>
        <v>#REF!</v>
      </c>
      <c r="AK1710" s="47" t="e" cm="1">
        <f t="array" aca="1" ref="AK1710" ca="1">_xlfn.XLOOKUP(PAA_4[[#This Row],[RCP-RUBRO]],[2]!COMPROMISOS_2024[[#All],[concatenado]],[2]!COMPROMISOS_2024[[#All],[Total Comprometido]],"",0)</f>
        <v>#NAME?</v>
      </c>
      <c r="AL1710" s="47" t="e">
        <f ca="1">IF(PAA_4[[#This Row],[BOLSA]]=0,0,SUMIFS([2]!COMPROMISOS_2024[[#All],[Total Comprometido]],[2]!COMPROMISOS_2024[[#All],[Bolsa]],PAA_4[[#This Row],[BOLSA]],[2]!COMPROMISOS_2024[[#All],[concatenado]],PAA_4[[#This Row],[RCP-RUBRO]]))</f>
        <v>#REF!</v>
      </c>
    </row>
    <row r="1711" spans="1:38" s="19" customFormat="1" ht="31.5" customHeight="1">
      <c r="A1711" s="47">
        <v>952</v>
      </c>
      <c r="B1711" s="344">
        <v>80111600</v>
      </c>
      <c r="C1711" s="47" t="str">
        <f>VLOOKUP(PAA_4[[#This Row],[PROYECTO (formulado)2]],[2]PROYECTOS!$G$1:$L$32,6,0)</f>
        <v>SUBGERENCIA DE ALTOS LOGROS Y DEPORTE ASOCIADO</v>
      </c>
      <c r="D1711" s="47" t="str">
        <f>+IF(PAA_4[[#This Row],[UNIDAD DE CONTRATACION (formulado)]]="Subgerencia Administrativa y Financiera","FUNCIONAMIENTO","INVERSIÓN")</f>
        <v>INVERSIÓN</v>
      </c>
      <c r="E1711" s="48" t="str">
        <f>VLOOKUP(Q1711,[2]PROYECTOS!$G$1:$K$32,5,0)</f>
        <v>APOYO_TÉCNICO_Y_PSICOSOCIAL_A_LOS_DEPORTISTAS_DE_ANTIOQUIA</v>
      </c>
      <c r="F1711" s="48">
        <f>VLOOKUP(E1711,[2]PROYECTOS!$K$1:$M$32,3,0)</f>
        <v>2021003050069</v>
      </c>
      <c r="G1711" s="371" t="s">
        <v>241</v>
      </c>
      <c r="H1711" s="49" t="str">
        <f>VLOOKUP(Q1711,[2]PROYECTOS!$V$1:$W$32,2,0)</f>
        <v>050069</v>
      </c>
      <c r="I1711" s="374">
        <f>23714292-7641272</f>
        <v>16073020</v>
      </c>
      <c r="J1711" s="286" t="s">
        <v>2007</v>
      </c>
      <c r="K1711" s="47" t="str">
        <f t="shared" ca="1" si="567"/>
        <v>CONTRATADO</v>
      </c>
      <c r="L1711" s="372" t="s">
        <v>147</v>
      </c>
      <c r="M1711" s="58" t="s">
        <v>1297</v>
      </c>
      <c r="N1711" s="344" t="s">
        <v>240</v>
      </c>
      <c r="O1711" s="51" t="e">
        <f>VLOOKUP(N1711,[2]!RUBROS[#All],3,0)</f>
        <v>#REF!</v>
      </c>
      <c r="P1711" s="53" t="e">
        <f>VLOOKUP(N1711,[2]!RUBROS[#All],2,0)</f>
        <v>#REF!</v>
      </c>
      <c r="Q1711" s="47" t="str">
        <f t="shared" si="570"/>
        <v>22</v>
      </c>
      <c r="R1711" s="47" t="str">
        <f t="shared" si="571"/>
        <v>0-205400</v>
      </c>
      <c r="S1711" s="357">
        <v>122</v>
      </c>
      <c r="T1711" s="59" t="s">
        <v>1970</v>
      </c>
      <c r="U1711" s="326" t="e">
        <f ca="1">_xlfn.XLOOKUP(PAA_4[[#This Row],[ITEM]],[2]Contrato!A:A,[2]Contrato!Q:Q,"",0)</f>
        <v>#NAME?</v>
      </c>
      <c r="V1711" s="47" t="s">
        <v>95</v>
      </c>
      <c r="W1711" s="373" t="s">
        <v>1971</v>
      </c>
      <c r="X1711" s="373" t="s">
        <v>1972</v>
      </c>
      <c r="Y1711" s="55" t="e">
        <f ca="1">_xlfn.XLOOKUP(PAA_4[[#This Row],[ITEM]],[2]Contrato!A:A,[2]Contrato!B:B,"",0)</f>
        <v>#NAME?</v>
      </c>
      <c r="Z1711" s="47" t="e">
        <f ca="1">_xlfn.XLOOKUP(PAA_4[[#This Row],[ITEM]],[2]Contrato!A:A,[2]Contrato!G:G,"",0)</f>
        <v>#NAME?</v>
      </c>
      <c r="AA1711" s="47" t="e">
        <f ca="1">_xlfn.XLOOKUP(PAA_4[[#This Row],[ITEM]],[2]Contrato!A:A,[2]Contrato!T:T,"",0)</f>
        <v>#NAME?</v>
      </c>
      <c r="AB1711" s="55" t="e">
        <f ca="1">+MAX(PAA_4[[#This Row],[Comprometido Contrato]],PAA_4[[#This Row],[Comprometido Bolsa]])</f>
        <v>#NAME?</v>
      </c>
      <c r="AC1711" s="55" t="str">
        <f t="shared" ca="1" si="566"/>
        <v/>
      </c>
      <c r="AD1711" s="55" t="e">
        <f ca="1">IF(PAA_4[[#This Row],[ESTADO (formulado)]]="NO CONTRATADO",0,MAX(PAA_4[[#This Row],[Pago por Contrato]],PAA_4[[#This Row],[Pago por bolsa]]))</f>
        <v>#NAME?</v>
      </c>
      <c r="AE1711" s="55" t="str">
        <f t="shared" ca="1" si="568"/>
        <v/>
      </c>
      <c r="AF1711" s="47" t="e">
        <f t="shared" ca="1" si="572"/>
        <v>#NAME?</v>
      </c>
      <c r="AG1711" s="47">
        <f t="shared" si="569"/>
        <v>41080106</v>
      </c>
      <c r="AH1711" s="54" t="str">
        <f>IF(Q1711="22",IF(ISNUMBER(SEARCH("econ",PAA_4[[#This Row],[Actividad3]])),"Económico",IF(ISNUMBER(SEARCH("alim",PAA_4[[#This Row],[Actividad3]])),"Alimentación",IF(ISNUMBER(SEARCH("educ",PAA_4[[#This Row],[Actividad3]])),"Educativo","Técnico"))),0)</f>
        <v>Técnico</v>
      </c>
      <c r="AI1711" s="47" t="e" cm="1">
        <f t="array" aca="1" ref="AI1711" ca="1">_xlfn.XLOOKUP(PAA_4[[#This Row],[RCP-RUBRO]],[2]!COMPROMISOS_2024[[#All],[concatenado]],[2]!COMPROMISOS_2024[[#All],[Total pagado]],"",0)</f>
        <v>#NAME?</v>
      </c>
      <c r="AJ1711" s="56" t="e">
        <f ca="1">IF(PAA_4[[#This Row],[BOLSA]]=0,0,SUMIFS([2]!COMPROMISOS_2024[[#All],[Total pagado]],[2]!COMPROMISOS_2024[[#All],[Bolsa]],PAA_4[[#This Row],[BOLSA]],[2]!COMPROMISOS_2024[[#All],[rubro]],PAA_4[[#This Row],[RCP-RUBRO]]))</f>
        <v>#REF!</v>
      </c>
      <c r="AK1711" s="47" t="e" cm="1">
        <f t="array" aca="1" ref="AK1711" ca="1">_xlfn.XLOOKUP(PAA_4[[#This Row],[RCP-RUBRO]],[2]!COMPROMISOS_2024[[#All],[concatenado]],[2]!COMPROMISOS_2024[[#All],[Total Comprometido]],"",0)</f>
        <v>#NAME?</v>
      </c>
      <c r="AL1711" s="47" t="e">
        <f ca="1">IF(PAA_4[[#This Row],[BOLSA]]=0,0,SUMIFS([2]!COMPROMISOS_2024[[#All],[Total Comprometido]],[2]!COMPROMISOS_2024[[#All],[Bolsa]],PAA_4[[#This Row],[BOLSA]],[2]!COMPROMISOS_2024[[#All],[concatenado]],PAA_4[[#This Row],[RCP-RUBRO]]))</f>
        <v>#REF!</v>
      </c>
    </row>
    <row r="1712" spans="1:38" s="19" customFormat="1" ht="31.5" customHeight="1">
      <c r="A1712" s="47">
        <v>953</v>
      </c>
      <c r="B1712" s="344">
        <v>80111600</v>
      </c>
      <c r="C1712" s="47" t="str">
        <f>VLOOKUP(PAA_4[[#This Row],[PROYECTO (formulado)2]],[2]PROYECTOS!$G$1:$L$32,6,0)</f>
        <v>SUBGERENCIA DE ALTOS LOGROS Y DEPORTE ASOCIADO</v>
      </c>
      <c r="D1712" s="47" t="str">
        <f>+IF(PAA_4[[#This Row],[UNIDAD DE CONTRATACION (formulado)]]="Subgerencia Administrativa y Financiera","FUNCIONAMIENTO","INVERSIÓN")</f>
        <v>INVERSIÓN</v>
      </c>
      <c r="E1712" s="48" t="str">
        <f>VLOOKUP(Q1712,[2]PROYECTOS!$G$1:$K$32,5,0)</f>
        <v>APOYO_TÉCNICO_Y_PSICOSOCIAL_A_LOS_DEPORTISTAS_DE_ANTIOQUIA</v>
      </c>
      <c r="F1712" s="48">
        <f>VLOOKUP(E1712,[2]PROYECTOS!$K$1:$M$32,3,0)</f>
        <v>2021003050069</v>
      </c>
      <c r="G1712" s="371" t="s">
        <v>239</v>
      </c>
      <c r="H1712" s="49" t="str">
        <f>VLOOKUP(Q1712,[2]PROYECTOS!$V$1:$W$32,2,0)</f>
        <v>050069</v>
      </c>
      <c r="I1712" s="374">
        <v>16073020</v>
      </c>
      <c r="J1712" s="286" t="s">
        <v>2008</v>
      </c>
      <c r="K1712" s="47" t="str">
        <f t="shared" ca="1" si="567"/>
        <v>CONTRATADO</v>
      </c>
      <c r="L1712" s="372" t="s">
        <v>147</v>
      </c>
      <c r="M1712" s="58" t="s">
        <v>1297</v>
      </c>
      <c r="N1712" s="344" t="s">
        <v>240</v>
      </c>
      <c r="O1712" s="51" t="e">
        <f>VLOOKUP(N1712,[2]!RUBROS[#All],3,0)</f>
        <v>#REF!</v>
      </c>
      <c r="P1712" s="53" t="e">
        <f>VLOOKUP(N1712,[2]!RUBROS[#All],2,0)</f>
        <v>#REF!</v>
      </c>
      <c r="Q1712" s="47" t="str">
        <f t="shared" si="570"/>
        <v>22</v>
      </c>
      <c r="R1712" s="47" t="str">
        <f t="shared" si="571"/>
        <v>0-205400</v>
      </c>
      <c r="S1712" s="342">
        <v>122</v>
      </c>
      <c r="T1712" s="59" t="s">
        <v>1970</v>
      </c>
      <c r="U1712" s="326" t="e">
        <f ca="1">_xlfn.XLOOKUP(PAA_4[[#This Row],[ITEM]],[2]Contrato!A:A,[2]Contrato!Q:Q,"",0)</f>
        <v>#NAME?</v>
      </c>
      <c r="V1712" s="47" t="s">
        <v>95</v>
      </c>
      <c r="W1712" s="373" t="s">
        <v>1971</v>
      </c>
      <c r="X1712" s="373" t="s">
        <v>1972</v>
      </c>
      <c r="Y1712" s="55" t="e">
        <f ca="1">_xlfn.XLOOKUP(PAA_4[[#This Row],[ITEM]],[2]Contrato!A:A,[2]Contrato!B:B,"",0)</f>
        <v>#NAME?</v>
      </c>
      <c r="Z1712" s="47" t="e">
        <f ca="1">_xlfn.XLOOKUP(PAA_4[[#This Row],[ITEM]],[2]Contrato!A:A,[2]Contrato!G:G,"",0)</f>
        <v>#NAME?</v>
      </c>
      <c r="AA1712" s="47" t="e">
        <f ca="1">_xlfn.XLOOKUP(PAA_4[[#This Row],[ITEM]],[2]Contrato!A:A,[2]Contrato!T:T,"",0)</f>
        <v>#NAME?</v>
      </c>
      <c r="AB1712" s="55" t="e">
        <f ca="1">+MAX(PAA_4[[#This Row],[Comprometido Contrato]],PAA_4[[#This Row],[Comprometido Bolsa]])</f>
        <v>#NAME?</v>
      </c>
      <c r="AC1712" s="55" t="str">
        <f t="shared" ca="1" si="566"/>
        <v/>
      </c>
      <c r="AD1712" s="55" t="e">
        <f ca="1">IF(PAA_4[[#This Row],[ESTADO (formulado)]]="NO CONTRATADO",0,MAX(PAA_4[[#This Row],[Pago por Contrato]],PAA_4[[#This Row],[Pago por bolsa]]))</f>
        <v>#NAME?</v>
      </c>
      <c r="AE1712" s="55" t="str">
        <f t="shared" ca="1" si="568"/>
        <v/>
      </c>
      <c r="AF1712" s="47" t="e">
        <f t="shared" ca="1" si="572"/>
        <v>#NAME?</v>
      </c>
      <c r="AG1712" s="47">
        <f t="shared" si="569"/>
        <v>41080101</v>
      </c>
      <c r="AH1712" s="54" t="str">
        <f>IF(Q1712="22",IF(ISNUMBER(SEARCH("econ",PAA_4[[#This Row],[Actividad3]])),"Económico",IF(ISNUMBER(SEARCH("alim",PAA_4[[#This Row],[Actividad3]])),"Alimentación",IF(ISNUMBER(SEARCH("educ",PAA_4[[#This Row],[Actividad3]])),"Educativo","Técnico"))),0)</f>
        <v>Técnico</v>
      </c>
      <c r="AI1712" s="47" t="e" cm="1">
        <f t="array" aca="1" ref="AI1712" ca="1">_xlfn.XLOOKUP(PAA_4[[#This Row],[RCP-RUBRO]],[2]!COMPROMISOS_2024[[#All],[concatenado]],[2]!COMPROMISOS_2024[[#All],[Total pagado]],"",0)</f>
        <v>#NAME?</v>
      </c>
      <c r="AJ1712" s="56" t="e">
        <f ca="1">IF(PAA_4[[#This Row],[BOLSA]]=0,0,SUMIFS([2]!COMPROMISOS_2024[[#All],[Total pagado]],[2]!COMPROMISOS_2024[[#All],[Bolsa]],PAA_4[[#This Row],[BOLSA]],[2]!COMPROMISOS_2024[[#All],[rubro]],PAA_4[[#This Row],[RCP-RUBRO]]))</f>
        <v>#REF!</v>
      </c>
      <c r="AK1712" s="47" t="e" cm="1">
        <f t="array" aca="1" ref="AK1712" ca="1">_xlfn.XLOOKUP(PAA_4[[#This Row],[RCP-RUBRO]],[2]!COMPROMISOS_2024[[#All],[concatenado]],[2]!COMPROMISOS_2024[[#All],[Total Comprometido]],"",0)</f>
        <v>#NAME?</v>
      </c>
      <c r="AL1712" s="47" t="e">
        <f ca="1">IF(PAA_4[[#This Row],[BOLSA]]=0,0,SUMIFS([2]!COMPROMISOS_2024[[#All],[Total Comprometido]],[2]!COMPROMISOS_2024[[#All],[Bolsa]],PAA_4[[#This Row],[BOLSA]],[2]!COMPROMISOS_2024[[#All],[concatenado]],PAA_4[[#This Row],[RCP-RUBRO]]))</f>
        <v>#REF!</v>
      </c>
    </row>
    <row r="1713" spans="1:38" s="19" customFormat="1" ht="31.5" customHeight="1">
      <c r="A1713" s="47">
        <v>954</v>
      </c>
      <c r="B1713" s="344">
        <v>80111600</v>
      </c>
      <c r="C1713" s="47" t="str">
        <f>VLOOKUP(PAA_4[[#This Row],[PROYECTO (formulado)2]],[2]PROYECTOS!$G$1:$L$32,6,0)</f>
        <v>SUBGERENCIA DE ALTOS LOGROS Y DEPORTE ASOCIADO</v>
      </c>
      <c r="D1713" s="47" t="str">
        <f>+IF(PAA_4[[#This Row],[UNIDAD DE CONTRATACION (formulado)]]="Subgerencia Administrativa y Financiera","FUNCIONAMIENTO","INVERSIÓN")</f>
        <v>INVERSIÓN</v>
      </c>
      <c r="E1713" s="48" t="str">
        <f>VLOOKUP(Q1713,[2]PROYECTOS!$G$1:$K$32,5,0)</f>
        <v>APOYO_TÉCNICO_Y_PSICOSOCIAL_A_LOS_DEPORTISTAS_DE_ANTIOQUIA</v>
      </c>
      <c r="F1713" s="48">
        <f>VLOOKUP(E1713,[2]PROYECTOS!$K$1:$M$32,3,0)</f>
        <v>2021003050069</v>
      </c>
      <c r="G1713" s="371" t="s">
        <v>239</v>
      </c>
      <c r="H1713" s="49" t="str">
        <f>VLOOKUP(Q1713,[2]PROYECTOS!$V$1:$W$32,2,0)</f>
        <v>050069</v>
      </c>
      <c r="I1713" s="374">
        <v>32162311</v>
      </c>
      <c r="J1713" s="286" t="s">
        <v>2009</v>
      </c>
      <c r="K1713" s="47" t="str">
        <f t="shared" ca="1" si="567"/>
        <v>CONTRATADO</v>
      </c>
      <c r="L1713" s="372" t="s">
        <v>147</v>
      </c>
      <c r="M1713" s="58" t="s">
        <v>1297</v>
      </c>
      <c r="N1713" s="344" t="s">
        <v>240</v>
      </c>
      <c r="O1713" s="51" t="e">
        <f>VLOOKUP(N1713,[2]!RUBROS[#All],3,0)</f>
        <v>#REF!</v>
      </c>
      <c r="P1713" s="53" t="e">
        <f>VLOOKUP(N1713,[2]!RUBROS[#All],2,0)</f>
        <v>#REF!</v>
      </c>
      <c r="Q1713" s="47" t="str">
        <f t="shared" si="570"/>
        <v>22</v>
      </c>
      <c r="R1713" s="47" t="str">
        <f t="shared" si="571"/>
        <v>0-205400</v>
      </c>
      <c r="S1713" s="342">
        <v>122</v>
      </c>
      <c r="T1713" s="59" t="s">
        <v>1970</v>
      </c>
      <c r="U1713" s="326" t="e">
        <f ca="1">_xlfn.XLOOKUP(PAA_4[[#This Row],[ITEM]],[2]Contrato!A:A,[2]Contrato!Q:Q,"",0)</f>
        <v>#NAME?</v>
      </c>
      <c r="V1713" s="47" t="s">
        <v>95</v>
      </c>
      <c r="W1713" s="373" t="s">
        <v>1971</v>
      </c>
      <c r="X1713" s="373" t="s">
        <v>1972</v>
      </c>
      <c r="Y1713" s="55" t="e">
        <f ca="1">_xlfn.XLOOKUP(PAA_4[[#This Row],[ITEM]],[2]Contrato!A:A,[2]Contrato!B:B,"",0)</f>
        <v>#NAME?</v>
      </c>
      <c r="Z1713" s="47" t="e">
        <f ca="1">_xlfn.XLOOKUP(PAA_4[[#This Row],[ITEM]],[2]Contrato!A:A,[2]Contrato!G:G,"",0)</f>
        <v>#NAME?</v>
      </c>
      <c r="AA1713" s="47" t="e">
        <f ca="1">_xlfn.XLOOKUP(PAA_4[[#This Row],[ITEM]],[2]Contrato!A:A,[2]Contrato!T:T,"",0)</f>
        <v>#NAME?</v>
      </c>
      <c r="AB1713" s="55" t="e">
        <f ca="1">+MAX(PAA_4[[#This Row],[Comprometido Contrato]],PAA_4[[#This Row],[Comprometido Bolsa]])</f>
        <v>#NAME?</v>
      </c>
      <c r="AC1713" s="55" t="str">
        <f t="shared" ca="1" si="566"/>
        <v/>
      </c>
      <c r="AD1713" s="55" t="e">
        <f ca="1">IF(PAA_4[[#This Row],[ESTADO (formulado)]]="NO CONTRATADO",0,MAX(PAA_4[[#This Row],[Pago por Contrato]],PAA_4[[#This Row],[Pago por bolsa]]))</f>
        <v>#NAME?</v>
      </c>
      <c r="AE1713" s="55" t="str">
        <f t="shared" ca="1" si="568"/>
        <v/>
      </c>
      <c r="AF1713" s="47" t="e">
        <f t="shared" ca="1" si="572"/>
        <v>#NAME?</v>
      </c>
      <c r="AG1713" s="47">
        <f t="shared" si="569"/>
        <v>41080101</v>
      </c>
      <c r="AH1713" s="54" t="str">
        <f>IF(Q1713="22",IF(ISNUMBER(SEARCH("econ",PAA_4[[#This Row],[Actividad3]])),"Económico",IF(ISNUMBER(SEARCH("alim",PAA_4[[#This Row],[Actividad3]])),"Alimentación",IF(ISNUMBER(SEARCH("educ",PAA_4[[#This Row],[Actividad3]])),"Educativo","Técnico"))),0)</f>
        <v>Técnico</v>
      </c>
      <c r="AI1713" s="47" t="e" cm="1">
        <f t="array" aca="1" ref="AI1713" ca="1">_xlfn.XLOOKUP(PAA_4[[#This Row],[RCP-RUBRO]],[2]!COMPROMISOS_2024[[#All],[concatenado]],[2]!COMPROMISOS_2024[[#All],[Total pagado]],"",0)</f>
        <v>#NAME?</v>
      </c>
      <c r="AJ1713" s="56" t="e">
        <f ca="1">IF(PAA_4[[#This Row],[BOLSA]]=0,0,SUMIFS([2]!COMPROMISOS_2024[[#All],[Total pagado]],[2]!COMPROMISOS_2024[[#All],[Bolsa]],PAA_4[[#This Row],[BOLSA]],[2]!COMPROMISOS_2024[[#All],[rubro]],PAA_4[[#This Row],[RCP-RUBRO]]))</f>
        <v>#REF!</v>
      </c>
      <c r="AK1713" s="47" t="e" cm="1">
        <f t="array" aca="1" ref="AK1713" ca="1">_xlfn.XLOOKUP(PAA_4[[#This Row],[RCP-RUBRO]],[2]!COMPROMISOS_2024[[#All],[concatenado]],[2]!COMPROMISOS_2024[[#All],[Total Comprometido]],"",0)</f>
        <v>#NAME?</v>
      </c>
      <c r="AL1713" s="47" t="e">
        <f ca="1">IF(PAA_4[[#This Row],[BOLSA]]=0,0,SUMIFS([2]!COMPROMISOS_2024[[#All],[Total Comprometido]],[2]!COMPROMISOS_2024[[#All],[Bolsa]],PAA_4[[#This Row],[BOLSA]],[2]!COMPROMISOS_2024[[#All],[concatenado]],PAA_4[[#This Row],[RCP-RUBRO]]))</f>
        <v>#REF!</v>
      </c>
    </row>
    <row r="1714" spans="1:38" s="19" customFormat="1" ht="31.5" customHeight="1">
      <c r="A1714" s="47">
        <v>955</v>
      </c>
      <c r="B1714" s="344">
        <v>80111600</v>
      </c>
      <c r="C1714" s="47" t="str">
        <f>VLOOKUP(PAA_4[[#This Row],[PROYECTO (formulado)2]],[2]PROYECTOS!$G$1:$L$32,6,0)</f>
        <v>SUBGERENCIA DE ALTOS LOGROS Y DEPORTE ASOCIADO</v>
      </c>
      <c r="D1714" s="47" t="str">
        <f>+IF(PAA_4[[#This Row],[UNIDAD DE CONTRATACION (formulado)]]="Subgerencia Administrativa y Financiera","FUNCIONAMIENTO","INVERSIÓN")</f>
        <v>INVERSIÓN</v>
      </c>
      <c r="E1714" s="48" t="str">
        <f>VLOOKUP(Q1714,[2]PROYECTOS!$G$1:$K$32,5,0)</f>
        <v>APOYO_TÉCNICO_Y_PSICOSOCIAL_A_LOS_DEPORTISTAS_DE_ANTIOQUIA</v>
      </c>
      <c r="F1714" s="48">
        <f>VLOOKUP(E1714,[2]PROYECTOS!$K$1:$M$32,3,0)</f>
        <v>2021003050069</v>
      </c>
      <c r="G1714" s="371" t="s">
        <v>239</v>
      </c>
      <c r="H1714" s="49" t="str">
        <f>VLOOKUP(Q1714,[2]PROYECTOS!$V$1:$W$32,2,0)</f>
        <v>050069</v>
      </c>
      <c r="I1714" s="374">
        <v>24120006</v>
      </c>
      <c r="J1714" s="286" t="s">
        <v>2009</v>
      </c>
      <c r="K1714" s="47" t="str">
        <f t="shared" ca="1" si="567"/>
        <v>CONTRATADO</v>
      </c>
      <c r="L1714" s="372" t="s">
        <v>147</v>
      </c>
      <c r="M1714" s="58" t="s">
        <v>1297</v>
      </c>
      <c r="N1714" s="344" t="s">
        <v>240</v>
      </c>
      <c r="O1714" s="51" t="e">
        <f>VLOOKUP(N1714,[2]!RUBROS[#All],3,0)</f>
        <v>#REF!</v>
      </c>
      <c r="P1714" s="53" t="e">
        <f>VLOOKUP(N1714,[2]!RUBROS[#All],2,0)</f>
        <v>#REF!</v>
      </c>
      <c r="Q1714" s="47" t="str">
        <f t="shared" si="570"/>
        <v>22</v>
      </c>
      <c r="R1714" s="47" t="str">
        <f t="shared" si="571"/>
        <v>0-205400</v>
      </c>
      <c r="S1714" s="342">
        <v>122</v>
      </c>
      <c r="T1714" s="59" t="s">
        <v>1970</v>
      </c>
      <c r="U1714" s="326" t="e">
        <f ca="1">_xlfn.XLOOKUP(PAA_4[[#This Row],[ITEM]],[2]Contrato!A:A,[2]Contrato!Q:Q,"",0)</f>
        <v>#NAME?</v>
      </c>
      <c r="V1714" s="47" t="s">
        <v>95</v>
      </c>
      <c r="W1714" s="373" t="s">
        <v>1971</v>
      </c>
      <c r="X1714" s="373" t="s">
        <v>1972</v>
      </c>
      <c r="Y1714" s="55" t="e">
        <f ca="1">_xlfn.XLOOKUP(PAA_4[[#This Row],[ITEM]],[2]Contrato!A:A,[2]Contrato!B:B,"",0)</f>
        <v>#NAME?</v>
      </c>
      <c r="Z1714" s="47" t="e">
        <f ca="1">_xlfn.XLOOKUP(PAA_4[[#This Row],[ITEM]],[2]Contrato!A:A,[2]Contrato!G:G,"",0)</f>
        <v>#NAME?</v>
      </c>
      <c r="AA1714" s="47" t="e">
        <f ca="1">_xlfn.XLOOKUP(PAA_4[[#This Row],[ITEM]],[2]Contrato!A:A,[2]Contrato!T:T,"",0)</f>
        <v>#NAME?</v>
      </c>
      <c r="AB1714" s="55" t="e">
        <f ca="1">+MAX(PAA_4[[#This Row],[Comprometido Contrato]],PAA_4[[#This Row],[Comprometido Bolsa]])</f>
        <v>#NAME?</v>
      </c>
      <c r="AC1714" s="55" t="str">
        <f t="shared" ca="1" si="566"/>
        <v/>
      </c>
      <c r="AD1714" s="55" t="e">
        <f ca="1">IF(PAA_4[[#This Row],[ESTADO (formulado)]]="NO CONTRATADO",0,MAX(PAA_4[[#This Row],[Pago por Contrato]],PAA_4[[#This Row],[Pago por bolsa]]))</f>
        <v>#NAME?</v>
      </c>
      <c r="AE1714" s="55" t="str">
        <f t="shared" ca="1" si="568"/>
        <v/>
      </c>
      <c r="AF1714" s="47" t="e">
        <f t="shared" ca="1" si="572"/>
        <v>#NAME?</v>
      </c>
      <c r="AG1714" s="47">
        <f t="shared" si="569"/>
        <v>41080101</v>
      </c>
      <c r="AH1714" s="54" t="str">
        <f>IF(Q1714="22",IF(ISNUMBER(SEARCH("econ",PAA_4[[#This Row],[Actividad3]])),"Económico",IF(ISNUMBER(SEARCH("alim",PAA_4[[#This Row],[Actividad3]])),"Alimentación",IF(ISNUMBER(SEARCH("educ",PAA_4[[#This Row],[Actividad3]])),"Educativo","Técnico"))),0)</f>
        <v>Técnico</v>
      </c>
      <c r="AI1714" s="47" t="e" cm="1">
        <f t="array" aca="1" ref="AI1714" ca="1">_xlfn.XLOOKUP(PAA_4[[#This Row],[RCP-RUBRO]],[2]!COMPROMISOS_2024[[#All],[concatenado]],[2]!COMPROMISOS_2024[[#All],[Total pagado]],"",0)</f>
        <v>#NAME?</v>
      </c>
      <c r="AJ1714" s="56" t="e">
        <f ca="1">IF(PAA_4[[#This Row],[BOLSA]]=0,0,SUMIFS([2]!COMPROMISOS_2024[[#All],[Total pagado]],[2]!COMPROMISOS_2024[[#All],[Bolsa]],PAA_4[[#This Row],[BOLSA]],[2]!COMPROMISOS_2024[[#All],[rubro]],PAA_4[[#This Row],[RCP-RUBRO]]))</f>
        <v>#REF!</v>
      </c>
      <c r="AK1714" s="47" t="e" cm="1">
        <f t="array" aca="1" ref="AK1714" ca="1">_xlfn.XLOOKUP(PAA_4[[#This Row],[RCP-RUBRO]],[2]!COMPROMISOS_2024[[#All],[concatenado]],[2]!COMPROMISOS_2024[[#All],[Total Comprometido]],"",0)</f>
        <v>#NAME?</v>
      </c>
      <c r="AL1714" s="47" t="e">
        <f ca="1">IF(PAA_4[[#This Row],[BOLSA]]=0,0,SUMIFS([2]!COMPROMISOS_2024[[#All],[Total Comprometido]],[2]!COMPROMISOS_2024[[#All],[Bolsa]],PAA_4[[#This Row],[BOLSA]],[2]!COMPROMISOS_2024[[#All],[concatenado]],PAA_4[[#This Row],[RCP-RUBRO]]))</f>
        <v>#REF!</v>
      </c>
    </row>
    <row r="1715" spans="1:38" s="19" customFormat="1" ht="31.5" customHeight="1">
      <c r="A1715" s="47">
        <v>956</v>
      </c>
      <c r="B1715" s="344">
        <v>80111600</v>
      </c>
      <c r="C1715" s="47" t="str">
        <f>VLOOKUP(PAA_4[[#This Row],[PROYECTO (formulado)2]],[2]PROYECTOS!$G$1:$L$32,6,0)</f>
        <v>SUBGERENCIA DE ALTOS LOGROS Y DEPORTE ASOCIADO</v>
      </c>
      <c r="D1715" s="47" t="str">
        <f>+IF(PAA_4[[#This Row],[UNIDAD DE CONTRATACION (formulado)]]="Subgerencia Administrativa y Financiera","FUNCIONAMIENTO","INVERSIÓN")</f>
        <v>INVERSIÓN</v>
      </c>
      <c r="E1715" s="48" t="str">
        <f>VLOOKUP(Q1715,[2]PROYECTOS!$G$1:$K$32,5,0)</f>
        <v>APOYO_TÉCNICO_Y_PSICOSOCIAL_A_LOS_DEPORTISTAS_DE_ANTIOQUIA</v>
      </c>
      <c r="F1715" s="48">
        <f>VLOOKUP(E1715,[2]PROYECTOS!$K$1:$M$32,3,0)</f>
        <v>2021003050069</v>
      </c>
      <c r="G1715" s="371" t="s">
        <v>239</v>
      </c>
      <c r="H1715" s="49" t="str">
        <f>VLOOKUP(Q1715,[2]PROYECTOS!$V$1:$W$32,2,0)</f>
        <v>050069</v>
      </c>
      <c r="I1715" s="374">
        <v>24120006</v>
      </c>
      <c r="J1715" s="286" t="s">
        <v>2009</v>
      </c>
      <c r="K1715" s="47" t="str">
        <f t="shared" ca="1" si="567"/>
        <v>CONTRATADO</v>
      </c>
      <c r="L1715" s="372" t="s">
        <v>147</v>
      </c>
      <c r="M1715" s="58" t="s">
        <v>1297</v>
      </c>
      <c r="N1715" s="344" t="s">
        <v>240</v>
      </c>
      <c r="O1715" s="51" t="e">
        <f>VLOOKUP(N1715,[2]!RUBROS[#All],3,0)</f>
        <v>#REF!</v>
      </c>
      <c r="P1715" s="53" t="e">
        <f>VLOOKUP(N1715,[2]!RUBROS[#All],2,0)</f>
        <v>#REF!</v>
      </c>
      <c r="Q1715" s="47" t="str">
        <f t="shared" si="570"/>
        <v>22</v>
      </c>
      <c r="R1715" s="47" t="str">
        <f t="shared" si="571"/>
        <v>0-205400</v>
      </c>
      <c r="S1715" s="342">
        <v>122</v>
      </c>
      <c r="T1715" s="59" t="s">
        <v>1970</v>
      </c>
      <c r="U1715" s="326" t="e">
        <f ca="1">_xlfn.XLOOKUP(PAA_4[[#This Row],[ITEM]],[2]Contrato!A:A,[2]Contrato!Q:Q,"",0)</f>
        <v>#NAME?</v>
      </c>
      <c r="V1715" s="47" t="s">
        <v>95</v>
      </c>
      <c r="W1715" s="373" t="s">
        <v>1971</v>
      </c>
      <c r="X1715" s="373" t="s">
        <v>1972</v>
      </c>
      <c r="Y1715" s="55" t="e">
        <f ca="1">_xlfn.XLOOKUP(PAA_4[[#This Row],[ITEM]],[2]Contrato!A:A,[2]Contrato!B:B,"",0)</f>
        <v>#NAME?</v>
      </c>
      <c r="Z1715" s="47" t="e">
        <f ca="1">_xlfn.XLOOKUP(PAA_4[[#This Row],[ITEM]],[2]Contrato!A:A,[2]Contrato!G:G,"",0)</f>
        <v>#NAME?</v>
      </c>
      <c r="AA1715" s="47" t="e">
        <f ca="1">_xlfn.XLOOKUP(PAA_4[[#This Row],[ITEM]],[2]Contrato!A:A,[2]Contrato!T:T,"",0)</f>
        <v>#NAME?</v>
      </c>
      <c r="AB1715" s="55" t="e">
        <f ca="1">+MAX(PAA_4[[#This Row],[Comprometido Contrato]],PAA_4[[#This Row],[Comprometido Bolsa]])</f>
        <v>#NAME?</v>
      </c>
      <c r="AC1715" s="55" t="str">
        <f t="shared" ca="1" si="566"/>
        <v/>
      </c>
      <c r="AD1715" s="55" t="e">
        <f ca="1">IF(PAA_4[[#This Row],[ESTADO (formulado)]]="NO CONTRATADO",0,MAX(PAA_4[[#This Row],[Pago por Contrato]],PAA_4[[#This Row],[Pago por bolsa]]))</f>
        <v>#NAME?</v>
      </c>
      <c r="AE1715" s="55" t="str">
        <f t="shared" ca="1" si="568"/>
        <v/>
      </c>
      <c r="AF1715" s="47" t="e">
        <f t="shared" ca="1" si="572"/>
        <v>#NAME?</v>
      </c>
      <c r="AG1715" s="47">
        <f t="shared" si="569"/>
        <v>41080101</v>
      </c>
      <c r="AH1715" s="54" t="str">
        <f>IF(Q1715="22",IF(ISNUMBER(SEARCH("econ",PAA_4[[#This Row],[Actividad3]])),"Económico",IF(ISNUMBER(SEARCH("alim",PAA_4[[#This Row],[Actividad3]])),"Alimentación",IF(ISNUMBER(SEARCH("educ",PAA_4[[#This Row],[Actividad3]])),"Educativo","Técnico"))),0)</f>
        <v>Técnico</v>
      </c>
      <c r="AI1715" s="47" t="e" cm="1">
        <f t="array" aca="1" ref="AI1715" ca="1">_xlfn.XLOOKUP(PAA_4[[#This Row],[RCP-RUBRO]],[2]!COMPROMISOS_2024[[#All],[concatenado]],[2]!COMPROMISOS_2024[[#All],[Total pagado]],"",0)</f>
        <v>#NAME?</v>
      </c>
      <c r="AJ1715" s="56" t="e">
        <f ca="1">IF(PAA_4[[#This Row],[BOLSA]]=0,0,SUMIFS([2]!COMPROMISOS_2024[[#All],[Total pagado]],[2]!COMPROMISOS_2024[[#All],[Bolsa]],PAA_4[[#This Row],[BOLSA]],[2]!COMPROMISOS_2024[[#All],[rubro]],PAA_4[[#This Row],[RCP-RUBRO]]))</f>
        <v>#REF!</v>
      </c>
      <c r="AK1715" s="47" t="e" cm="1">
        <f t="array" aca="1" ref="AK1715" ca="1">_xlfn.XLOOKUP(PAA_4[[#This Row],[RCP-RUBRO]],[2]!COMPROMISOS_2024[[#All],[concatenado]],[2]!COMPROMISOS_2024[[#All],[Total Comprometido]],"",0)</f>
        <v>#NAME?</v>
      </c>
      <c r="AL1715" s="47" t="e">
        <f ca="1">IF(PAA_4[[#This Row],[BOLSA]]=0,0,SUMIFS([2]!COMPROMISOS_2024[[#All],[Total Comprometido]],[2]!COMPROMISOS_2024[[#All],[Bolsa]],PAA_4[[#This Row],[BOLSA]],[2]!COMPROMISOS_2024[[#All],[concatenado]],PAA_4[[#This Row],[RCP-RUBRO]]))</f>
        <v>#REF!</v>
      </c>
    </row>
    <row r="1716" spans="1:38" s="19" customFormat="1" ht="31.5" customHeight="1">
      <c r="A1716" s="47">
        <v>957</v>
      </c>
      <c r="B1716" s="344">
        <v>80111600</v>
      </c>
      <c r="C1716" s="47" t="str">
        <f>VLOOKUP(PAA_4[[#This Row],[PROYECTO (formulado)2]],[2]PROYECTOS!$G$1:$L$32,6,0)</f>
        <v>SUBGERENCIA DE ALTOS LOGROS Y DEPORTE ASOCIADO</v>
      </c>
      <c r="D1716" s="47" t="str">
        <f>+IF(PAA_4[[#This Row],[UNIDAD DE CONTRATACION (formulado)]]="Subgerencia Administrativa y Financiera","FUNCIONAMIENTO","INVERSIÓN")</f>
        <v>INVERSIÓN</v>
      </c>
      <c r="E1716" s="48" t="str">
        <f>VLOOKUP(Q1716,[2]PROYECTOS!$G$1:$K$32,5,0)</f>
        <v>APOYO_TÉCNICO_Y_PSICOSOCIAL_A_LOS_DEPORTISTAS_DE_ANTIOQUIA</v>
      </c>
      <c r="F1716" s="48">
        <f>VLOOKUP(E1716,[2]PROYECTOS!$K$1:$M$32,3,0)</f>
        <v>2021003050069</v>
      </c>
      <c r="G1716" s="371" t="s">
        <v>239</v>
      </c>
      <c r="H1716" s="49" t="str">
        <f>VLOOKUP(Q1716,[2]PROYECTOS!$V$1:$W$32,2,0)</f>
        <v>050069</v>
      </c>
      <c r="I1716" s="374">
        <v>28142021</v>
      </c>
      <c r="J1716" s="286" t="s">
        <v>2009</v>
      </c>
      <c r="K1716" s="47" t="str">
        <f t="shared" ca="1" si="567"/>
        <v>CONTRATADO</v>
      </c>
      <c r="L1716" s="372" t="s">
        <v>147</v>
      </c>
      <c r="M1716" s="58" t="s">
        <v>1297</v>
      </c>
      <c r="N1716" s="344" t="s">
        <v>240</v>
      </c>
      <c r="O1716" s="51" t="e">
        <f>VLOOKUP(N1716,[2]!RUBROS[#All],3,0)</f>
        <v>#REF!</v>
      </c>
      <c r="P1716" s="53" t="e">
        <f>VLOOKUP(N1716,[2]!RUBROS[#All],2,0)</f>
        <v>#REF!</v>
      </c>
      <c r="Q1716" s="47" t="str">
        <f t="shared" si="570"/>
        <v>22</v>
      </c>
      <c r="R1716" s="47" t="str">
        <f t="shared" si="571"/>
        <v>0-205400</v>
      </c>
      <c r="S1716" s="342">
        <v>122</v>
      </c>
      <c r="T1716" s="59" t="s">
        <v>1970</v>
      </c>
      <c r="U1716" s="326" t="e">
        <f ca="1">_xlfn.XLOOKUP(PAA_4[[#This Row],[ITEM]],[2]Contrato!A:A,[2]Contrato!Q:Q,"",0)</f>
        <v>#NAME?</v>
      </c>
      <c r="V1716" s="47" t="s">
        <v>95</v>
      </c>
      <c r="W1716" s="373" t="s">
        <v>1971</v>
      </c>
      <c r="X1716" s="373" t="s">
        <v>1972</v>
      </c>
      <c r="Y1716" s="55" t="e">
        <f ca="1">_xlfn.XLOOKUP(PAA_4[[#This Row],[ITEM]],[2]Contrato!A:A,[2]Contrato!B:B,"",0)</f>
        <v>#NAME?</v>
      </c>
      <c r="Z1716" s="47" t="e">
        <f ca="1">_xlfn.XLOOKUP(PAA_4[[#This Row],[ITEM]],[2]Contrato!A:A,[2]Contrato!G:G,"",0)</f>
        <v>#NAME?</v>
      </c>
      <c r="AA1716" s="47" t="e">
        <f ca="1">_xlfn.XLOOKUP(PAA_4[[#This Row],[ITEM]],[2]Contrato!A:A,[2]Contrato!T:T,"",0)</f>
        <v>#NAME?</v>
      </c>
      <c r="AB1716" s="55" t="e">
        <f ca="1">+MAX(PAA_4[[#This Row],[Comprometido Contrato]],PAA_4[[#This Row],[Comprometido Bolsa]])</f>
        <v>#NAME?</v>
      </c>
      <c r="AC1716" s="55" t="str">
        <f t="shared" ca="1" si="566"/>
        <v/>
      </c>
      <c r="AD1716" s="55" t="e">
        <f ca="1">IF(PAA_4[[#This Row],[ESTADO (formulado)]]="NO CONTRATADO",0,MAX(PAA_4[[#This Row],[Pago por Contrato]],PAA_4[[#This Row],[Pago por bolsa]]))</f>
        <v>#NAME?</v>
      </c>
      <c r="AE1716" s="55" t="str">
        <f t="shared" ca="1" si="568"/>
        <v/>
      </c>
      <c r="AF1716" s="47" t="e">
        <f t="shared" ca="1" si="572"/>
        <v>#NAME?</v>
      </c>
      <c r="AG1716" s="47">
        <f t="shared" si="569"/>
        <v>41080101</v>
      </c>
      <c r="AH1716" s="54" t="str">
        <f>IF(Q1716="22",IF(ISNUMBER(SEARCH("econ",PAA_4[[#This Row],[Actividad3]])),"Económico",IF(ISNUMBER(SEARCH("alim",PAA_4[[#This Row],[Actividad3]])),"Alimentación",IF(ISNUMBER(SEARCH("educ",PAA_4[[#This Row],[Actividad3]])),"Educativo","Técnico"))),0)</f>
        <v>Técnico</v>
      </c>
      <c r="AI1716" s="47" t="e" cm="1">
        <f t="array" aca="1" ref="AI1716" ca="1">_xlfn.XLOOKUP(PAA_4[[#This Row],[RCP-RUBRO]],[2]!COMPROMISOS_2024[[#All],[concatenado]],[2]!COMPROMISOS_2024[[#All],[Total pagado]],"",0)</f>
        <v>#NAME?</v>
      </c>
      <c r="AJ1716" s="56" t="e">
        <f ca="1">IF(PAA_4[[#This Row],[BOLSA]]=0,0,SUMIFS([2]!COMPROMISOS_2024[[#All],[Total pagado]],[2]!COMPROMISOS_2024[[#All],[Bolsa]],PAA_4[[#This Row],[BOLSA]],[2]!COMPROMISOS_2024[[#All],[rubro]],PAA_4[[#This Row],[RCP-RUBRO]]))</f>
        <v>#REF!</v>
      </c>
      <c r="AK1716" s="47" t="e" cm="1">
        <f t="array" aca="1" ref="AK1716" ca="1">_xlfn.XLOOKUP(PAA_4[[#This Row],[RCP-RUBRO]],[2]!COMPROMISOS_2024[[#All],[concatenado]],[2]!COMPROMISOS_2024[[#All],[Total Comprometido]],"",0)</f>
        <v>#NAME?</v>
      </c>
      <c r="AL1716" s="47" t="e">
        <f ca="1">IF(PAA_4[[#This Row],[BOLSA]]=0,0,SUMIFS([2]!COMPROMISOS_2024[[#All],[Total Comprometido]],[2]!COMPROMISOS_2024[[#All],[Bolsa]],PAA_4[[#This Row],[BOLSA]],[2]!COMPROMISOS_2024[[#All],[concatenado]],PAA_4[[#This Row],[RCP-RUBRO]]))</f>
        <v>#REF!</v>
      </c>
    </row>
    <row r="1717" spans="1:38" s="19" customFormat="1" ht="31.5" customHeight="1">
      <c r="A1717" s="47">
        <v>958</v>
      </c>
      <c r="B1717" s="344">
        <v>80111600</v>
      </c>
      <c r="C1717" s="47" t="str">
        <f>VLOOKUP(PAA_4[[#This Row],[PROYECTO (formulado)2]],[2]PROYECTOS!$G$1:$L$32,6,0)</f>
        <v>SUBGERENCIA DE ALTOS LOGROS Y DEPORTE ASOCIADO</v>
      </c>
      <c r="D1717" s="47" t="str">
        <f>+IF(PAA_4[[#This Row],[UNIDAD DE CONTRATACION (formulado)]]="Subgerencia Administrativa y Financiera","FUNCIONAMIENTO","INVERSIÓN")</f>
        <v>INVERSIÓN</v>
      </c>
      <c r="E1717" s="48" t="str">
        <f>VLOOKUP(Q1717,[2]PROYECTOS!$G$1:$K$32,5,0)</f>
        <v>APOYO_TÉCNICO_Y_PSICOSOCIAL_A_LOS_DEPORTISTAS_DE_ANTIOQUIA</v>
      </c>
      <c r="F1717" s="48">
        <f>VLOOKUP(E1717,[2]PROYECTOS!$K$1:$M$32,3,0)</f>
        <v>2021003050069</v>
      </c>
      <c r="G1717" s="371" t="s">
        <v>239</v>
      </c>
      <c r="H1717" s="49" t="str">
        <f>VLOOKUP(Q1717,[2]PROYECTOS!$V$1:$W$32,2,0)</f>
        <v>050069</v>
      </c>
      <c r="I1717" s="374">
        <v>10471024</v>
      </c>
      <c r="J1717" s="286" t="s">
        <v>2009</v>
      </c>
      <c r="K1717" s="47" t="str">
        <f t="shared" ca="1" si="567"/>
        <v>CONTRATADO</v>
      </c>
      <c r="L1717" s="372" t="s">
        <v>147</v>
      </c>
      <c r="M1717" s="58" t="s">
        <v>1297</v>
      </c>
      <c r="N1717" s="344" t="s">
        <v>240</v>
      </c>
      <c r="O1717" s="51" t="e">
        <f>VLOOKUP(N1717,[2]!RUBROS[#All],3,0)</f>
        <v>#REF!</v>
      </c>
      <c r="P1717" s="53" t="e">
        <f>VLOOKUP(N1717,[2]!RUBROS[#All],2,0)</f>
        <v>#REF!</v>
      </c>
      <c r="Q1717" s="47" t="str">
        <f t="shared" si="570"/>
        <v>22</v>
      </c>
      <c r="R1717" s="47" t="str">
        <f t="shared" si="571"/>
        <v>0-205400</v>
      </c>
      <c r="S1717" s="342">
        <v>122</v>
      </c>
      <c r="T1717" s="59" t="s">
        <v>1970</v>
      </c>
      <c r="U1717" s="326" t="e">
        <f ca="1">_xlfn.XLOOKUP(PAA_4[[#This Row],[ITEM]],[2]Contrato!A:A,[2]Contrato!Q:Q,"",0)</f>
        <v>#NAME?</v>
      </c>
      <c r="V1717" s="47" t="s">
        <v>95</v>
      </c>
      <c r="W1717" s="373" t="s">
        <v>1971</v>
      </c>
      <c r="X1717" s="373" t="s">
        <v>1972</v>
      </c>
      <c r="Y1717" s="55" t="e">
        <f ca="1">_xlfn.XLOOKUP(PAA_4[[#This Row],[ITEM]],[2]Contrato!A:A,[2]Contrato!B:B,"",0)</f>
        <v>#NAME?</v>
      </c>
      <c r="Z1717" s="47" t="e">
        <f ca="1">_xlfn.XLOOKUP(PAA_4[[#This Row],[ITEM]],[2]Contrato!A:A,[2]Contrato!G:G,"",0)</f>
        <v>#NAME?</v>
      </c>
      <c r="AA1717" s="47" t="e">
        <f ca="1">_xlfn.XLOOKUP(PAA_4[[#This Row],[ITEM]],[2]Contrato!A:A,[2]Contrato!T:T,"",0)</f>
        <v>#NAME?</v>
      </c>
      <c r="AB1717" s="55" t="e">
        <f ca="1">+MAX(PAA_4[[#This Row],[Comprometido Contrato]],PAA_4[[#This Row],[Comprometido Bolsa]])</f>
        <v>#NAME?</v>
      </c>
      <c r="AC1717" s="55" t="str">
        <f t="shared" ca="1" si="566"/>
        <v/>
      </c>
      <c r="AD1717" s="55" t="e">
        <f ca="1">IF(PAA_4[[#This Row],[ESTADO (formulado)]]="NO CONTRATADO",0,MAX(PAA_4[[#This Row],[Pago por Contrato]],PAA_4[[#This Row],[Pago por bolsa]]))</f>
        <v>#NAME?</v>
      </c>
      <c r="AE1717" s="55" t="str">
        <f t="shared" ca="1" si="568"/>
        <v/>
      </c>
      <c r="AF1717" s="47" t="e">
        <f t="shared" ca="1" si="572"/>
        <v>#NAME?</v>
      </c>
      <c r="AG1717" s="47">
        <f t="shared" si="569"/>
        <v>41080101</v>
      </c>
      <c r="AH1717" s="54" t="str">
        <f>IF(Q1717="22",IF(ISNUMBER(SEARCH("econ",PAA_4[[#This Row],[Actividad3]])),"Económico",IF(ISNUMBER(SEARCH("alim",PAA_4[[#This Row],[Actividad3]])),"Alimentación",IF(ISNUMBER(SEARCH("educ",PAA_4[[#This Row],[Actividad3]])),"Educativo","Técnico"))),0)</f>
        <v>Técnico</v>
      </c>
      <c r="AI1717" s="47" t="e" cm="1">
        <f t="array" aca="1" ref="AI1717" ca="1">_xlfn.XLOOKUP(PAA_4[[#This Row],[RCP-RUBRO]],[2]!COMPROMISOS_2024[[#All],[concatenado]],[2]!COMPROMISOS_2024[[#All],[Total pagado]],"",0)</f>
        <v>#NAME?</v>
      </c>
      <c r="AJ1717" s="56" t="e">
        <f ca="1">IF(PAA_4[[#This Row],[BOLSA]]=0,0,SUMIFS([2]!COMPROMISOS_2024[[#All],[Total pagado]],[2]!COMPROMISOS_2024[[#All],[Bolsa]],PAA_4[[#This Row],[BOLSA]],[2]!COMPROMISOS_2024[[#All],[rubro]],PAA_4[[#This Row],[RCP-RUBRO]]))</f>
        <v>#REF!</v>
      </c>
      <c r="AK1717" s="47" t="e" cm="1">
        <f t="array" aca="1" ref="AK1717" ca="1">_xlfn.XLOOKUP(PAA_4[[#This Row],[RCP-RUBRO]],[2]!COMPROMISOS_2024[[#All],[concatenado]],[2]!COMPROMISOS_2024[[#All],[Total Comprometido]],"",0)</f>
        <v>#NAME?</v>
      </c>
      <c r="AL1717" s="47" t="e">
        <f ca="1">IF(PAA_4[[#This Row],[BOLSA]]=0,0,SUMIFS([2]!COMPROMISOS_2024[[#All],[Total Comprometido]],[2]!COMPROMISOS_2024[[#All],[Bolsa]],PAA_4[[#This Row],[BOLSA]],[2]!COMPROMISOS_2024[[#All],[concatenado]],PAA_4[[#This Row],[RCP-RUBRO]]))</f>
        <v>#REF!</v>
      </c>
    </row>
    <row r="1718" spans="1:38" s="19" customFormat="1" ht="31.5" customHeight="1">
      <c r="A1718" s="47">
        <v>959</v>
      </c>
      <c r="B1718" s="344">
        <v>80111600</v>
      </c>
      <c r="C1718" s="47" t="str">
        <f>VLOOKUP(PAA_4[[#This Row],[PROYECTO (formulado)2]],[2]PROYECTOS!$G$1:$L$32,6,0)</f>
        <v>SUBGERENCIA DE ALTOS LOGROS Y DEPORTE ASOCIADO</v>
      </c>
      <c r="D1718" s="47" t="str">
        <f>+IF(PAA_4[[#This Row],[UNIDAD DE CONTRATACION (formulado)]]="Subgerencia Administrativa y Financiera","FUNCIONAMIENTO","INVERSIÓN")</f>
        <v>INVERSIÓN</v>
      </c>
      <c r="E1718" s="48" t="str">
        <f>VLOOKUP(Q1718,[2]PROYECTOS!$G$1:$K$32,5,0)</f>
        <v>APOYO_TÉCNICO_Y_PSICOSOCIAL_A_LOS_DEPORTISTAS_DE_ANTIOQUIA</v>
      </c>
      <c r="F1718" s="48">
        <f>VLOOKUP(E1718,[2]PROYECTOS!$K$1:$M$32,3,0)</f>
        <v>2021003050069</v>
      </c>
      <c r="G1718" s="371" t="s">
        <v>239</v>
      </c>
      <c r="H1718" s="49" t="str">
        <f>VLOOKUP(Q1718,[2]PROYECTOS!$V$1:$W$32,2,0)</f>
        <v>050069</v>
      </c>
      <c r="I1718" s="374">
        <v>24120006</v>
      </c>
      <c r="J1718" s="286" t="s">
        <v>2010</v>
      </c>
      <c r="K1718" s="47" t="str">
        <f t="shared" ca="1" si="567"/>
        <v>CONTRATADO</v>
      </c>
      <c r="L1718" s="372" t="s">
        <v>147</v>
      </c>
      <c r="M1718" s="58" t="s">
        <v>1297</v>
      </c>
      <c r="N1718" s="344" t="s">
        <v>240</v>
      </c>
      <c r="O1718" s="51" t="e">
        <f>VLOOKUP(N1718,[2]!RUBROS[#All],3,0)</f>
        <v>#REF!</v>
      </c>
      <c r="P1718" s="53" t="e">
        <f>VLOOKUP(N1718,[2]!RUBROS[#All],2,0)</f>
        <v>#REF!</v>
      </c>
      <c r="Q1718" s="47" t="str">
        <f t="shared" si="570"/>
        <v>22</v>
      </c>
      <c r="R1718" s="47" t="str">
        <f t="shared" si="571"/>
        <v>0-205400</v>
      </c>
      <c r="S1718" s="342">
        <v>122</v>
      </c>
      <c r="T1718" s="59" t="s">
        <v>1970</v>
      </c>
      <c r="U1718" s="326" t="e">
        <f ca="1">_xlfn.XLOOKUP(PAA_4[[#This Row],[ITEM]],[2]Contrato!A:A,[2]Contrato!Q:Q,"",0)</f>
        <v>#NAME?</v>
      </c>
      <c r="V1718" s="47" t="s">
        <v>95</v>
      </c>
      <c r="W1718" s="373" t="s">
        <v>1971</v>
      </c>
      <c r="X1718" s="373" t="s">
        <v>1972</v>
      </c>
      <c r="Y1718" s="55" t="e">
        <f ca="1">_xlfn.XLOOKUP(PAA_4[[#This Row],[ITEM]],[2]Contrato!A:A,[2]Contrato!B:B,"",0)</f>
        <v>#NAME?</v>
      </c>
      <c r="Z1718" s="47" t="e">
        <f ca="1">_xlfn.XLOOKUP(PAA_4[[#This Row],[ITEM]],[2]Contrato!A:A,[2]Contrato!G:G,"",0)</f>
        <v>#NAME?</v>
      </c>
      <c r="AA1718" s="47" t="e">
        <f ca="1">_xlfn.XLOOKUP(PAA_4[[#This Row],[ITEM]],[2]Contrato!A:A,[2]Contrato!T:T,"",0)</f>
        <v>#NAME?</v>
      </c>
      <c r="AB1718" s="55" t="e">
        <f ca="1">+MAX(PAA_4[[#This Row],[Comprometido Contrato]],PAA_4[[#This Row],[Comprometido Bolsa]])</f>
        <v>#NAME?</v>
      </c>
      <c r="AC1718" s="55" t="str">
        <f t="shared" ca="1" si="566"/>
        <v/>
      </c>
      <c r="AD1718" s="55" t="e">
        <f ca="1">IF(PAA_4[[#This Row],[ESTADO (formulado)]]="NO CONTRATADO",0,MAX(PAA_4[[#This Row],[Pago por Contrato]],PAA_4[[#This Row],[Pago por bolsa]]))</f>
        <v>#NAME?</v>
      </c>
      <c r="AE1718" s="55" t="str">
        <f t="shared" ca="1" si="568"/>
        <v/>
      </c>
      <c r="AF1718" s="47" t="e">
        <f t="shared" ca="1" si="572"/>
        <v>#NAME?</v>
      </c>
      <c r="AG1718" s="47">
        <f t="shared" si="569"/>
        <v>41080101</v>
      </c>
      <c r="AH1718" s="54" t="str">
        <f>IF(Q1718="22",IF(ISNUMBER(SEARCH("econ",PAA_4[[#This Row],[Actividad3]])),"Económico",IF(ISNUMBER(SEARCH("alim",PAA_4[[#This Row],[Actividad3]])),"Alimentación",IF(ISNUMBER(SEARCH("educ",PAA_4[[#This Row],[Actividad3]])),"Educativo","Técnico"))),0)</f>
        <v>Técnico</v>
      </c>
      <c r="AI1718" s="47" t="e" cm="1">
        <f t="array" aca="1" ref="AI1718" ca="1">_xlfn.XLOOKUP(PAA_4[[#This Row],[RCP-RUBRO]],[2]!COMPROMISOS_2024[[#All],[concatenado]],[2]!COMPROMISOS_2024[[#All],[Total pagado]],"",0)</f>
        <v>#NAME?</v>
      </c>
      <c r="AJ1718" s="56" t="e">
        <f ca="1">IF(PAA_4[[#This Row],[BOLSA]]=0,0,SUMIFS([2]!COMPROMISOS_2024[[#All],[Total pagado]],[2]!COMPROMISOS_2024[[#All],[Bolsa]],PAA_4[[#This Row],[BOLSA]],[2]!COMPROMISOS_2024[[#All],[rubro]],PAA_4[[#This Row],[RCP-RUBRO]]))</f>
        <v>#REF!</v>
      </c>
      <c r="AK1718" s="47" t="e" cm="1">
        <f t="array" aca="1" ref="AK1718" ca="1">_xlfn.XLOOKUP(PAA_4[[#This Row],[RCP-RUBRO]],[2]!COMPROMISOS_2024[[#All],[concatenado]],[2]!COMPROMISOS_2024[[#All],[Total Comprometido]],"",0)</f>
        <v>#NAME?</v>
      </c>
      <c r="AL1718" s="47" t="e">
        <f ca="1">IF(PAA_4[[#This Row],[BOLSA]]=0,0,SUMIFS([2]!COMPROMISOS_2024[[#All],[Total Comprometido]],[2]!COMPROMISOS_2024[[#All],[Bolsa]],PAA_4[[#This Row],[BOLSA]],[2]!COMPROMISOS_2024[[#All],[concatenado]],PAA_4[[#This Row],[RCP-RUBRO]]))</f>
        <v>#REF!</v>
      </c>
    </row>
    <row r="1719" spans="1:38" s="19" customFormat="1" ht="31.5" customHeight="1">
      <c r="A1719" s="47">
        <v>960</v>
      </c>
      <c r="B1719" s="344">
        <v>80111600</v>
      </c>
      <c r="C1719" s="47" t="str">
        <f>VLOOKUP(PAA_4[[#This Row],[PROYECTO (formulado)2]],[2]PROYECTOS!$G$1:$L$32,6,0)</f>
        <v>SUBGERENCIA DE ALTOS LOGROS Y DEPORTE ASOCIADO</v>
      </c>
      <c r="D1719" s="47" t="str">
        <f>+IF(PAA_4[[#This Row],[UNIDAD DE CONTRATACION (formulado)]]="Subgerencia Administrativa y Financiera","FUNCIONAMIENTO","INVERSIÓN")</f>
        <v>INVERSIÓN</v>
      </c>
      <c r="E1719" s="48" t="str">
        <f>VLOOKUP(Q1719,[2]PROYECTOS!$G$1:$K$32,5,0)</f>
        <v>APOYO_TÉCNICO_Y_PSICOSOCIAL_A_LOS_DEPORTISTAS_DE_ANTIOQUIA</v>
      </c>
      <c r="F1719" s="48">
        <f>VLOOKUP(E1719,[2]PROYECTOS!$K$1:$M$32,3,0)</f>
        <v>2021003050069</v>
      </c>
      <c r="G1719" s="371" t="s">
        <v>239</v>
      </c>
      <c r="H1719" s="49" t="str">
        <f>VLOOKUP(Q1719,[2]PROYECTOS!$V$1:$W$32,2,0)</f>
        <v>050069</v>
      </c>
      <c r="I1719" s="374">
        <v>24120006</v>
      </c>
      <c r="J1719" s="286" t="s">
        <v>2010</v>
      </c>
      <c r="K1719" s="47" t="str">
        <f t="shared" ca="1" si="567"/>
        <v>CONTRATADO</v>
      </c>
      <c r="L1719" s="372" t="s">
        <v>147</v>
      </c>
      <c r="M1719" s="58" t="s">
        <v>1297</v>
      </c>
      <c r="N1719" s="344" t="s">
        <v>240</v>
      </c>
      <c r="O1719" s="51" t="e">
        <f>VLOOKUP(N1719,[2]!RUBROS[#All],3,0)</f>
        <v>#REF!</v>
      </c>
      <c r="P1719" s="53" t="e">
        <f>VLOOKUP(N1719,[2]!RUBROS[#All],2,0)</f>
        <v>#REF!</v>
      </c>
      <c r="Q1719" s="47" t="str">
        <f t="shared" si="570"/>
        <v>22</v>
      </c>
      <c r="R1719" s="47" t="str">
        <f t="shared" si="571"/>
        <v>0-205400</v>
      </c>
      <c r="S1719" s="342">
        <v>122</v>
      </c>
      <c r="T1719" s="59" t="s">
        <v>1970</v>
      </c>
      <c r="U1719" s="326" t="e">
        <f ca="1">_xlfn.XLOOKUP(PAA_4[[#This Row],[ITEM]],[2]Contrato!A:A,[2]Contrato!Q:Q,"",0)</f>
        <v>#NAME?</v>
      </c>
      <c r="V1719" s="47" t="s">
        <v>95</v>
      </c>
      <c r="W1719" s="373" t="s">
        <v>1971</v>
      </c>
      <c r="X1719" s="373" t="s">
        <v>1972</v>
      </c>
      <c r="Y1719" s="55" t="e">
        <f ca="1">_xlfn.XLOOKUP(PAA_4[[#This Row],[ITEM]],[2]Contrato!A:A,[2]Contrato!B:B,"",0)</f>
        <v>#NAME?</v>
      </c>
      <c r="Z1719" s="47" t="e">
        <f ca="1">_xlfn.XLOOKUP(PAA_4[[#This Row],[ITEM]],[2]Contrato!A:A,[2]Contrato!G:G,"",0)</f>
        <v>#NAME?</v>
      </c>
      <c r="AA1719" s="47" t="e">
        <f ca="1">_xlfn.XLOOKUP(PAA_4[[#This Row],[ITEM]],[2]Contrato!A:A,[2]Contrato!T:T,"",0)</f>
        <v>#NAME?</v>
      </c>
      <c r="AB1719" s="55" t="e">
        <f ca="1">+MAX(PAA_4[[#This Row],[Comprometido Contrato]],PAA_4[[#This Row],[Comprometido Bolsa]])</f>
        <v>#NAME?</v>
      </c>
      <c r="AC1719" s="55" t="str">
        <f t="shared" ca="1" si="566"/>
        <v/>
      </c>
      <c r="AD1719" s="55" t="e">
        <f ca="1">IF(PAA_4[[#This Row],[ESTADO (formulado)]]="NO CONTRATADO",0,MAX(PAA_4[[#This Row],[Pago por Contrato]],PAA_4[[#This Row],[Pago por bolsa]]))</f>
        <v>#NAME?</v>
      </c>
      <c r="AE1719" s="55" t="str">
        <f t="shared" ca="1" si="568"/>
        <v/>
      </c>
      <c r="AF1719" s="47" t="e">
        <f t="shared" ca="1" si="572"/>
        <v>#NAME?</v>
      </c>
      <c r="AG1719" s="47">
        <f t="shared" si="569"/>
        <v>41080101</v>
      </c>
      <c r="AH1719" s="54" t="str">
        <f>IF(Q1719="22",IF(ISNUMBER(SEARCH("econ",PAA_4[[#This Row],[Actividad3]])),"Económico",IF(ISNUMBER(SEARCH("alim",PAA_4[[#This Row],[Actividad3]])),"Alimentación",IF(ISNUMBER(SEARCH("educ",PAA_4[[#This Row],[Actividad3]])),"Educativo","Técnico"))),0)</f>
        <v>Técnico</v>
      </c>
      <c r="AI1719" s="47" t="e" cm="1">
        <f t="array" aca="1" ref="AI1719" ca="1">_xlfn.XLOOKUP(PAA_4[[#This Row],[RCP-RUBRO]],[2]!COMPROMISOS_2024[[#All],[concatenado]],[2]!COMPROMISOS_2024[[#All],[Total pagado]],"",0)</f>
        <v>#NAME?</v>
      </c>
      <c r="AJ1719" s="56" t="e">
        <f ca="1">IF(PAA_4[[#This Row],[BOLSA]]=0,0,SUMIFS([2]!COMPROMISOS_2024[[#All],[Total pagado]],[2]!COMPROMISOS_2024[[#All],[Bolsa]],PAA_4[[#This Row],[BOLSA]],[2]!COMPROMISOS_2024[[#All],[rubro]],PAA_4[[#This Row],[RCP-RUBRO]]))</f>
        <v>#REF!</v>
      </c>
      <c r="AK1719" s="47" t="e" cm="1">
        <f t="array" aca="1" ref="AK1719" ca="1">_xlfn.XLOOKUP(PAA_4[[#This Row],[RCP-RUBRO]],[2]!COMPROMISOS_2024[[#All],[concatenado]],[2]!COMPROMISOS_2024[[#All],[Total Comprometido]],"",0)</f>
        <v>#NAME?</v>
      </c>
      <c r="AL1719" s="47" t="e">
        <f ca="1">IF(PAA_4[[#This Row],[BOLSA]]=0,0,SUMIFS([2]!COMPROMISOS_2024[[#All],[Total Comprometido]],[2]!COMPROMISOS_2024[[#All],[Bolsa]],PAA_4[[#This Row],[BOLSA]],[2]!COMPROMISOS_2024[[#All],[concatenado]],PAA_4[[#This Row],[RCP-RUBRO]]))</f>
        <v>#REF!</v>
      </c>
    </row>
    <row r="1720" spans="1:38" s="19" customFormat="1" ht="31.5" customHeight="1">
      <c r="A1720" s="47" t="s">
        <v>82</v>
      </c>
      <c r="B1720" s="366" t="s">
        <v>42</v>
      </c>
      <c r="C1720" s="47" t="str">
        <f>VLOOKUP(PAA_4[[#This Row],[PROYECTO (formulado)2]],[2]PROYECTOS!$G$1:$L$32,6,0)</f>
        <v>SUBGERENCIA DE ALTOS LOGROS Y DEPORTE ASOCIADO</v>
      </c>
      <c r="D1720" s="47" t="str">
        <f>+IF(PAA_4[[#This Row],[UNIDAD DE CONTRATACION (formulado)]]="Subgerencia Administrativa y Financiera","FUNCIONAMIENTO","INVERSIÓN")</f>
        <v>INVERSIÓN</v>
      </c>
      <c r="E1720" s="48" t="str">
        <f>VLOOKUP(Q1720,[2]PROYECTOS!$G$1:$K$32,5,0)</f>
        <v>APOYO_TÉCNICO_Y_PSICOSOCIAL_A_LOS_DEPORTISTAS_DE_ANTIOQUIA</v>
      </c>
      <c r="F1720" s="48">
        <f>VLOOKUP(E1720,[2]PROYECTOS!$K$1:$M$32,3,0)</f>
        <v>2021003050069</v>
      </c>
      <c r="G1720" s="371" t="s">
        <v>241</v>
      </c>
      <c r="H1720" s="49" t="str">
        <f>VLOOKUP(Q1720,[2]PROYECTOS!$V$1:$W$32,2,0)</f>
        <v>050069</v>
      </c>
      <c r="I1720" s="374">
        <v>0</v>
      </c>
      <c r="J1720" s="366" t="s">
        <v>1778</v>
      </c>
      <c r="K1720" s="47" t="str">
        <f t="shared" ca="1" si="567"/>
        <v>CONTRATADO</v>
      </c>
      <c r="L1720" s="58" t="s">
        <v>42</v>
      </c>
      <c r="M1720" s="58" t="s">
        <v>42</v>
      </c>
      <c r="N1720" s="344" t="s">
        <v>240</v>
      </c>
      <c r="O1720" s="51" t="e">
        <f>VLOOKUP(N1720,[2]!RUBROS[#All],3,0)</f>
        <v>#REF!</v>
      </c>
      <c r="P1720" s="53" t="e">
        <f>VLOOKUP(N1720,[2]!RUBROS[#All],2,0)</f>
        <v>#REF!</v>
      </c>
      <c r="Q1720" s="47" t="str">
        <f t="shared" si="570"/>
        <v>22</v>
      </c>
      <c r="R1720" s="47" t="str">
        <f t="shared" si="571"/>
        <v>0-205400</v>
      </c>
      <c r="S1720" s="357" t="s">
        <v>42</v>
      </c>
      <c r="T1720" s="59" t="s">
        <v>42</v>
      </c>
      <c r="U1720" s="326" t="e">
        <f ca="1">_xlfn.XLOOKUP(PAA_4[[#This Row],[ITEM]],[2]Contrato!A:A,[2]Contrato!Q:Q,"",0)</f>
        <v>#NAME?</v>
      </c>
      <c r="V1720" s="47" t="s">
        <v>95</v>
      </c>
      <c r="W1720" s="375" t="s">
        <v>42</v>
      </c>
      <c r="X1720" s="375" t="s">
        <v>42</v>
      </c>
      <c r="Y1720" s="55" t="e">
        <f ca="1">_xlfn.XLOOKUP(PAA_4[[#This Row],[ITEM]],[2]Contrato!A:A,[2]Contrato!B:B,"",0)</f>
        <v>#NAME?</v>
      </c>
      <c r="Z1720" s="47" t="e">
        <f ca="1">_xlfn.XLOOKUP(PAA_4[[#This Row],[ITEM]],[2]Contrato!A:A,[2]Contrato!G:G,"",0)</f>
        <v>#NAME?</v>
      </c>
      <c r="AA1720" s="47" t="e">
        <f ca="1">_xlfn.XLOOKUP(PAA_4[[#This Row],[ITEM]],[2]Contrato!A:A,[2]Contrato!T:T,"",0)</f>
        <v>#NAME?</v>
      </c>
      <c r="AB1720" s="55" t="e">
        <f ca="1">+MAX(PAA_4[[#This Row],[Comprometido Contrato]],PAA_4[[#This Row],[Comprometido Bolsa]])</f>
        <v>#NAME?</v>
      </c>
      <c r="AC1720" s="55" t="str">
        <f t="shared" ca="1" si="566"/>
        <v/>
      </c>
      <c r="AD1720" s="55" t="e">
        <f ca="1">IF(PAA_4[[#This Row],[ESTADO (formulado)]]="NO CONTRATADO",0,MAX(PAA_4[[#This Row],[Pago por Contrato]],PAA_4[[#This Row],[Pago por bolsa]]))</f>
        <v>#NAME?</v>
      </c>
      <c r="AE1720" s="55" t="str">
        <f t="shared" ca="1" si="568"/>
        <v/>
      </c>
      <c r="AF1720" s="47" t="e">
        <f t="shared" ca="1" si="572"/>
        <v>#NAME?</v>
      </c>
      <c r="AG1720" s="47">
        <f t="shared" si="569"/>
        <v>41080106</v>
      </c>
      <c r="AH1720" s="54" t="str">
        <f>IF(Q1720="22",IF(ISNUMBER(SEARCH("econ",PAA_4[[#This Row],[Actividad3]])),"Económico",IF(ISNUMBER(SEARCH("alim",PAA_4[[#This Row],[Actividad3]])),"Alimentación",IF(ISNUMBER(SEARCH("educ",PAA_4[[#This Row],[Actividad3]])),"Educativo","Técnico"))),0)</f>
        <v>Técnico</v>
      </c>
      <c r="AI1720" s="47" t="e" cm="1">
        <f t="array" aca="1" ref="AI1720" ca="1">_xlfn.XLOOKUP(PAA_4[[#This Row],[RCP-RUBRO]],[2]!COMPROMISOS_2024[[#All],[concatenado]],[2]!COMPROMISOS_2024[[#All],[Total pagado]],"",0)</f>
        <v>#NAME?</v>
      </c>
      <c r="AJ1720" s="56" t="e">
        <f ca="1">IF(PAA_4[[#This Row],[BOLSA]]=0,0,SUMIFS([2]!COMPROMISOS_2024[[#All],[Total pagado]],[2]!COMPROMISOS_2024[[#All],[Bolsa]],PAA_4[[#This Row],[BOLSA]],[2]!COMPROMISOS_2024[[#All],[rubro]],PAA_4[[#This Row],[RCP-RUBRO]]))</f>
        <v>#REF!</v>
      </c>
      <c r="AK1720" s="47" t="e" cm="1">
        <f t="array" aca="1" ref="AK1720" ca="1">_xlfn.XLOOKUP(PAA_4[[#This Row],[RCP-RUBRO]],[2]!COMPROMISOS_2024[[#All],[concatenado]],[2]!COMPROMISOS_2024[[#All],[Total Comprometido]],"",0)</f>
        <v>#NAME?</v>
      </c>
      <c r="AL1720" s="47" t="e">
        <f ca="1">IF(PAA_4[[#This Row],[BOLSA]]=0,0,SUMIFS([2]!COMPROMISOS_2024[[#All],[Total Comprometido]],[2]!COMPROMISOS_2024[[#All],[Bolsa]],PAA_4[[#This Row],[BOLSA]],[2]!COMPROMISOS_2024[[#All],[concatenado]],PAA_4[[#This Row],[RCP-RUBRO]]))</f>
        <v>#REF!</v>
      </c>
    </row>
    <row r="1721" spans="1:38" s="19" customFormat="1" ht="31.5" customHeight="1">
      <c r="A1721" s="47">
        <v>961</v>
      </c>
      <c r="B1721" s="344">
        <v>80111600</v>
      </c>
      <c r="C1721" s="47" t="str">
        <f>VLOOKUP(PAA_4[[#This Row],[PROYECTO (formulado)2]],[2]PROYECTOS!$G$1:$L$32,6,0)</f>
        <v>SUBGERENCIA DE ALTOS LOGROS Y DEPORTE ASOCIADO</v>
      </c>
      <c r="D1721" s="47" t="str">
        <f>+IF(PAA_4[[#This Row],[UNIDAD DE CONTRATACION (formulado)]]="Subgerencia Administrativa y Financiera","FUNCIONAMIENTO","INVERSIÓN")</f>
        <v>INVERSIÓN</v>
      </c>
      <c r="E1721" s="48" t="str">
        <f>VLOOKUP(Q1721,[2]PROYECTOS!$G$1:$K$32,5,0)</f>
        <v>APOYO_TÉCNICO_Y_PSICOSOCIAL_A_LOS_DEPORTISTAS_DE_ANTIOQUIA</v>
      </c>
      <c r="F1721" s="48">
        <f>VLOOKUP(E1721,[2]PROYECTOS!$K$1:$M$32,3,0)</f>
        <v>2021003050069</v>
      </c>
      <c r="G1721" s="371" t="s">
        <v>241</v>
      </c>
      <c r="H1721" s="49" t="str">
        <f>VLOOKUP(Q1721,[2]PROYECTOS!$V$1:$W$32,2,0)</f>
        <v>050069</v>
      </c>
      <c r="I1721" s="374">
        <f>35586894-11466888</f>
        <v>24120006</v>
      </c>
      <c r="J1721" s="286" t="s">
        <v>1979</v>
      </c>
      <c r="K1721" s="47" t="str">
        <f t="shared" ca="1" si="567"/>
        <v>CONTRATADO</v>
      </c>
      <c r="L1721" s="372" t="s">
        <v>147</v>
      </c>
      <c r="M1721" s="58" t="s">
        <v>1297</v>
      </c>
      <c r="N1721" s="344" t="s">
        <v>240</v>
      </c>
      <c r="O1721" s="51" t="e">
        <f>VLOOKUP(N1721,[2]!RUBROS[#All],3,0)</f>
        <v>#REF!</v>
      </c>
      <c r="P1721" s="53" t="e">
        <f>VLOOKUP(N1721,[2]!RUBROS[#All],2,0)</f>
        <v>#REF!</v>
      </c>
      <c r="Q1721" s="47" t="str">
        <f t="shared" si="570"/>
        <v>22</v>
      </c>
      <c r="R1721" s="47" t="str">
        <f t="shared" si="571"/>
        <v>0-205400</v>
      </c>
      <c r="S1721" s="357">
        <v>122</v>
      </c>
      <c r="T1721" s="59" t="s">
        <v>1970</v>
      </c>
      <c r="U1721" s="326" t="e">
        <f ca="1">_xlfn.XLOOKUP(PAA_4[[#This Row],[ITEM]],[2]Contrato!A:A,[2]Contrato!Q:Q,"",0)</f>
        <v>#NAME?</v>
      </c>
      <c r="V1721" s="47" t="s">
        <v>95</v>
      </c>
      <c r="W1721" s="373" t="s">
        <v>1971</v>
      </c>
      <c r="X1721" s="373" t="s">
        <v>1972</v>
      </c>
      <c r="Y1721" s="55" t="e">
        <f ca="1">_xlfn.XLOOKUP(PAA_4[[#This Row],[ITEM]],[2]Contrato!A:A,[2]Contrato!B:B,"",0)</f>
        <v>#NAME?</v>
      </c>
      <c r="Z1721" s="47" t="e">
        <f ca="1">_xlfn.XLOOKUP(PAA_4[[#This Row],[ITEM]],[2]Contrato!A:A,[2]Contrato!G:G,"",0)</f>
        <v>#NAME?</v>
      </c>
      <c r="AA1721" s="47" t="e">
        <f ca="1">_xlfn.XLOOKUP(PAA_4[[#This Row],[ITEM]],[2]Contrato!A:A,[2]Contrato!T:T,"",0)</f>
        <v>#NAME?</v>
      </c>
      <c r="AB1721" s="55" t="e">
        <f ca="1">+MAX(PAA_4[[#This Row],[Comprometido Contrato]],PAA_4[[#This Row],[Comprometido Bolsa]])</f>
        <v>#NAME?</v>
      </c>
      <c r="AC1721" s="55" t="str">
        <f t="shared" ca="1" si="566"/>
        <v/>
      </c>
      <c r="AD1721" s="55" t="e">
        <f ca="1">IF(PAA_4[[#This Row],[ESTADO (formulado)]]="NO CONTRATADO",0,MAX(PAA_4[[#This Row],[Pago por Contrato]],PAA_4[[#This Row],[Pago por bolsa]]))</f>
        <v>#NAME?</v>
      </c>
      <c r="AE1721" s="55" t="str">
        <f t="shared" ca="1" si="568"/>
        <v/>
      </c>
      <c r="AF1721" s="47" t="e">
        <f t="shared" ca="1" si="572"/>
        <v>#NAME?</v>
      </c>
      <c r="AG1721" s="47">
        <f t="shared" si="569"/>
        <v>41080106</v>
      </c>
      <c r="AH1721" s="54" t="str">
        <f>IF(Q1721="22",IF(ISNUMBER(SEARCH("econ",PAA_4[[#This Row],[Actividad3]])),"Económico",IF(ISNUMBER(SEARCH("alim",PAA_4[[#This Row],[Actividad3]])),"Alimentación",IF(ISNUMBER(SEARCH("educ",PAA_4[[#This Row],[Actividad3]])),"Educativo","Técnico"))),0)</f>
        <v>Técnico</v>
      </c>
      <c r="AI1721" s="47" t="e" cm="1">
        <f t="array" aca="1" ref="AI1721" ca="1">_xlfn.XLOOKUP(PAA_4[[#This Row],[RCP-RUBRO]],[2]!COMPROMISOS_2024[[#All],[concatenado]],[2]!COMPROMISOS_2024[[#All],[Total pagado]],"",0)</f>
        <v>#NAME?</v>
      </c>
      <c r="AJ1721" s="56" t="e">
        <f ca="1">IF(PAA_4[[#This Row],[BOLSA]]=0,0,SUMIFS([2]!COMPROMISOS_2024[[#All],[Total pagado]],[2]!COMPROMISOS_2024[[#All],[Bolsa]],PAA_4[[#This Row],[BOLSA]],[2]!COMPROMISOS_2024[[#All],[rubro]],PAA_4[[#This Row],[RCP-RUBRO]]))</f>
        <v>#REF!</v>
      </c>
      <c r="AK1721" s="47" t="e" cm="1">
        <f t="array" aca="1" ref="AK1721" ca="1">_xlfn.XLOOKUP(PAA_4[[#This Row],[RCP-RUBRO]],[2]!COMPROMISOS_2024[[#All],[concatenado]],[2]!COMPROMISOS_2024[[#All],[Total Comprometido]],"",0)</f>
        <v>#NAME?</v>
      </c>
      <c r="AL1721" s="47" t="e">
        <f ca="1">IF(PAA_4[[#This Row],[BOLSA]]=0,0,SUMIFS([2]!COMPROMISOS_2024[[#All],[Total Comprometido]],[2]!COMPROMISOS_2024[[#All],[Bolsa]],PAA_4[[#This Row],[BOLSA]],[2]!COMPROMISOS_2024[[#All],[concatenado]],PAA_4[[#This Row],[RCP-RUBRO]]))</f>
        <v>#REF!</v>
      </c>
    </row>
    <row r="1722" spans="1:38" s="19" customFormat="1" ht="31.5" customHeight="1">
      <c r="A1722" s="47" t="s">
        <v>82</v>
      </c>
      <c r="B1722" s="366" t="s">
        <v>42</v>
      </c>
      <c r="C1722" s="47" t="str">
        <f>VLOOKUP(PAA_4[[#This Row],[PROYECTO (formulado)2]],[2]PROYECTOS!$G$1:$L$32,6,0)</f>
        <v>SUBGERENCIA DE ALTOS LOGROS Y DEPORTE ASOCIADO</v>
      </c>
      <c r="D1722" s="47" t="str">
        <f>+IF(PAA_4[[#This Row],[UNIDAD DE CONTRATACION (formulado)]]="Subgerencia Administrativa y Financiera","FUNCIONAMIENTO","INVERSIÓN")</f>
        <v>INVERSIÓN</v>
      </c>
      <c r="E1722" s="48" t="str">
        <f>VLOOKUP(Q1722,[2]PROYECTOS!$G$1:$K$32,5,0)</f>
        <v>APOYO_TÉCNICO_Y_PSICOSOCIAL_A_LOS_DEPORTISTAS_DE_ANTIOQUIA</v>
      </c>
      <c r="F1722" s="48">
        <f>VLOOKUP(E1722,[2]PROYECTOS!$K$1:$M$32,3,0)</f>
        <v>2021003050069</v>
      </c>
      <c r="G1722" s="371" t="s">
        <v>241</v>
      </c>
      <c r="H1722" s="49" t="str">
        <f>VLOOKUP(Q1722,[2]PROYECTOS!$V$1:$W$32,2,0)</f>
        <v>050069</v>
      </c>
      <c r="I1722" s="374">
        <v>0</v>
      </c>
      <c r="J1722" s="366" t="s">
        <v>1778</v>
      </c>
      <c r="K1722" s="47" t="str">
        <f t="shared" ca="1" si="567"/>
        <v>CONTRATADO</v>
      </c>
      <c r="L1722" s="58" t="s">
        <v>42</v>
      </c>
      <c r="M1722" s="58" t="s">
        <v>42</v>
      </c>
      <c r="N1722" s="344" t="s">
        <v>240</v>
      </c>
      <c r="O1722" s="51" t="e">
        <f>VLOOKUP(N1722,[2]!RUBROS[#All],3,0)</f>
        <v>#REF!</v>
      </c>
      <c r="P1722" s="53" t="e">
        <f>VLOOKUP(N1722,[2]!RUBROS[#All],2,0)</f>
        <v>#REF!</v>
      </c>
      <c r="Q1722" s="47" t="str">
        <f t="shared" si="570"/>
        <v>22</v>
      </c>
      <c r="R1722" s="47" t="str">
        <f t="shared" si="571"/>
        <v>0-205400</v>
      </c>
      <c r="S1722" s="357" t="s">
        <v>42</v>
      </c>
      <c r="T1722" s="59" t="s">
        <v>42</v>
      </c>
      <c r="U1722" s="326" t="e">
        <f ca="1">_xlfn.XLOOKUP(PAA_4[[#This Row],[ITEM]],[2]Contrato!A:A,[2]Contrato!Q:Q,"",0)</f>
        <v>#NAME?</v>
      </c>
      <c r="V1722" s="47" t="s">
        <v>95</v>
      </c>
      <c r="W1722" s="375" t="s">
        <v>42</v>
      </c>
      <c r="X1722" s="375" t="s">
        <v>42</v>
      </c>
      <c r="Y1722" s="55" t="e">
        <f ca="1">_xlfn.XLOOKUP(PAA_4[[#This Row],[ITEM]],[2]Contrato!A:A,[2]Contrato!B:B,"",0)</f>
        <v>#NAME?</v>
      </c>
      <c r="Z1722" s="47" t="e">
        <f ca="1">_xlfn.XLOOKUP(PAA_4[[#This Row],[ITEM]],[2]Contrato!A:A,[2]Contrato!G:G,"",0)</f>
        <v>#NAME?</v>
      </c>
      <c r="AA1722" s="47" t="e">
        <f ca="1">_xlfn.XLOOKUP(PAA_4[[#This Row],[ITEM]],[2]Contrato!A:A,[2]Contrato!T:T,"",0)</f>
        <v>#NAME?</v>
      </c>
      <c r="AB1722" s="55" t="e">
        <f ca="1">+MAX(PAA_4[[#This Row],[Comprometido Contrato]],PAA_4[[#This Row],[Comprometido Bolsa]])</f>
        <v>#NAME?</v>
      </c>
      <c r="AC1722" s="55" t="str">
        <f t="shared" ca="1" si="566"/>
        <v/>
      </c>
      <c r="AD1722" s="55" t="e">
        <f ca="1">IF(PAA_4[[#This Row],[ESTADO (formulado)]]="NO CONTRATADO",0,MAX(PAA_4[[#This Row],[Pago por Contrato]],PAA_4[[#This Row],[Pago por bolsa]]))</f>
        <v>#NAME?</v>
      </c>
      <c r="AE1722" s="55" t="str">
        <f t="shared" ca="1" si="568"/>
        <v/>
      </c>
      <c r="AF1722" s="47" t="e">
        <f t="shared" ca="1" si="572"/>
        <v>#NAME?</v>
      </c>
      <c r="AG1722" s="47">
        <f t="shared" si="569"/>
        <v>41080106</v>
      </c>
      <c r="AH1722" s="54" t="str">
        <f>IF(Q1722="22",IF(ISNUMBER(SEARCH("econ",PAA_4[[#This Row],[Actividad3]])),"Económico",IF(ISNUMBER(SEARCH("alim",PAA_4[[#This Row],[Actividad3]])),"Alimentación",IF(ISNUMBER(SEARCH("educ",PAA_4[[#This Row],[Actividad3]])),"Educativo","Técnico"))),0)</f>
        <v>Técnico</v>
      </c>
      <c r="AI1722" s="47" t="e" cm="1">
        <f t="array" aca="1" ref="AI1722" ca="1">_xlfn.XLOOKUP(PAA_4[[#This Row],[RCP-RUBRO]],[2]!COMPROMISOS_2024[[#All],[concatenado]],[2]!COMPROMISOS_2024[[#All],[Total pagado]],"",0)</f>
        <v>#NAME?</v>
      </c>
      <c r="AJ1722" s="56" t="e">
        <f ca="1">IF(PAA_4[[#This Row],[BOLSA]]=0,0,SUMIFS([2]!COMPROMISOS_2024[[#All],[Total pagado]],[2]!COMPROMISOS_2024[[#All],[Bolsa]],PAA_4[[#This Row],[BOLSA]],[2]!COMPROMISOS_2024[[#All],[rubro]],PAA_4[[#This Row],[RCP-RUBRO]]))</f>
        <v>#REF!</v>
      </c>
      <c r="AK1722" s="47" t="e" cm="1">
        <f t="array" aca="1" ref="AK1722" ca="1">_xlfn.XLOOKUP(PAA_4[[#This Row],[RCP-RUBRO]],[2]!COMPROMISOS_2024[[#All],[concatenado]],[2]!COMPROMISOS_2024[[#All],[Total Comprometido]],"",0)</f>
        <v>#NAME?</v>
      </c>
      <c r="AL1722" s="47" t="e">
        <f ca="1">IF(PAA_4[[#This Row],[BOLSA]]=0,0,SUMIFS([2]!COMPROMISOS_2024[[#All],[Total Comprometido]],[2]!COMPROMISOS_2024[[#All],[Bolsa]],PAA_4[[#This Row],[BOLSA]],[2]!COMPROMISOS_2024[[#All],[concatenado]],PAA_4[[#This Row],[RCP-RUBRO]]))</f>
        <v>#REF!</v>
      </c>
    </row>
    <row r="1723" spans="1:38" s="19" customFormat="1" ht="31.5" customHeight="1">
      <c r="A1723" s="47">
        <v>962</v>
      </c>
      <c r="B1723" s="344">
        <v>80111600</v>
      </c>
      <c r="C1723" s="47" t="str">
        <f>VLOOKUP(PAA_4[[#This Row],[PROYECTO (formulado)2]],[2]PROYECTOS!$G$1:$L$32,6,0)</f>
        <v>SUBGERENCIA DE ALTOS LOGROS Y DEPORTE ASOCIADO</v>
      </c>
      <c r="D1723" s="47" t="str">
        <f>+IF(PAA_4[[#This Row],[UNIDAD DE CONTRATACION (formulado)]]="Subgerencia Administrativa y Financiera","FUNCIONAMIENTO","INVERSIÓN")</f>
        <v>INVERSIÓN</v>
      </c>
      <c r="E1723" s="48" t="str">
        <f>VLOOKUP(Q1723,[2]PROYECTOS!$G$1:$K$32,5,0)</f>
        <v>APOYO_TÉCNICO_Y_PSICOSOCIAL_A_LOS_DEPORTISTAS_DE_ANTIOQUIA</v>
      </c>
      <c r="F1723" s="48">
        <f>VLOOKUP(E1723,[2]PROYECTOS!$K$1:$M$32,3,0)</f>
        <v>2021003050069</v>
      </c>
      <c r="G1723" s="371" t="s">
        <v>241</v>
      </c>
      <c r="H1723" s="49" t="str">
        <f>VLOOKUP(Q1723,[2]PROYECTOS!$V$1:$W$32,2,0)</f>
        <v>050069</v>
      </c>
      <c r="I1723" s="374">
        <f>35586894-11466888</f>
        <v>24120006</v>
      </c>
      <c r="J1723" s="286" t="s">
        <v>1979</v>
      </c>
      <c r="K1723" s="47" t="str">
        <f t="shared" ca="1" si="567"/>
        <v>CONTRATADO</v>
      </c>
      <c r="L1723" s="372" t="s">
        <v>147</v>
      </c>
      <c r="M1723" s="58" t="s">
        <v>1297</v>
      </c>
      <c r="N1723" s="344" t="s">
        <v>240</v>
      </c>
      <c r="O1723" s="51" t="e">
        <f>VLOOKUP(N1723,[2]!RUBROS[#All],3,0)</f>
        <v>#REF!</v>
      </c>
      <c r="P1723" s="53" t="e">
        <f>VLOOKUP(N1723,[2]!RUBROS[#All],2,0)</f>
        <v>#REF!</v>
      </c>
      <c r="Q1723" s="47" t="str">
        <f t="shared" si="570"/>
        <v>22</v>
      </c>
      <c r="R1723" s="47" t="str">
        <f t="shared" si="571"/>
        <v>0-205400</v>
      </c>
      <c r="S1723" s="357">
        <v>122</v>
      </c>
      <c r="T1723" s="59" t="s">
        <v>1970</v>
      </c>
      <c r="U1723" s="326" t="e">
        <f ca="1">_xlfn.XLOOKUP(PAA_4[[#This Row],[ITEM]],[2]Contrato!A:A,[2]Contrato!Q:Q,"",0)</f>
        <v>#NAME?</v>
      </c>
      <c r="V1723" s="47" t="s">
        <v>95</v>
      </c>
      <c r="W1723" s="373" t="s">
        <v>1971</v>
      </c>
      <c r="X1723" s="373" t="s">
        <v>1972</v>
      </c>
      <c r="Y1723" s="55" t="e">
        <f ca="1">_xlfn.XLOOKUP(PAA_4[[#This Row],[ITEM]],[2]Contrato!A:A,[2]Contrato!B:B,"",0)</f>
        <v>#NAME?</v>
      </c>
      <c r="Z1723" s="47" t="e">
        <f ca="1">_xlfn.XLOOKUP(PAA_4[[#This Row],[ITEM]],[2]Contrato!A:A,[2]Contrato!G:G,"",0)</f>
        <v>#NAME?</v>
      </c>
      <c r="AA1723" s="47" t="e">
        <f ca="1">_xlfn.XLOOKUP(PAA_4[[#This Row],[ITEM]],[2]Contrato!A:A,[2]Contrato!T:T,"",0)</f>
        <v>#NAME?</v>
      </c>
      <c r="AB1723" s="55" t="e">
        <f ca="1">+MAX(PAA_4[[#This Row],[Comprometido Contrato]],PAA_4[[#This Row],[Comprometido Bolsa]])</f>
        <v>#NAME?</v>
      </c>
      <c r="AC1723" s="55" t="str">
        <f t="shared" ca="1" si="566"/>
        <v/>
      </c>
      <c r="AD1723" s="55" t="e">
        <f ca="1">IF(PAA_4[[#This Row],[ESTADO (formulado)]]="NO CONTRATADO",0,MAX(PAA_4[[#This Row],[Pago por Contrato]],PAA_4[[#This Row],[Pago por bolsa]]))</f>
        <v>#NAME?</v>
      </c>
      <c r="AE1723" s="55" t="str">
        <f t="shared" ca="1" si="568"/>
        <v/>
      </c>
      <c r="AF1723" s="47" t="e">
        <f t="shared" ca="1" si="572"/>
        <v>#NAME?</v>
      </c>
      <c r="AG1723" s="47">
        <f t="shared" si="569"/>
        <v>41080106</v>
      </c>
      <c r="AH1723" s="54" t="str">
        <f>IF(Q1723="22",IF(ISNUMBER(SEARCH("econ",PAA_4[[#This Row],[Actividad3]])),"Económico",IF(ISNUMBER(SEARCH("alim",PAA_4[[#This Row],[Actividad3]])),"Alimentación",IF(ISNUMBER(SEARCH("educ",PAA_4[[#This Row],[Actividad3]])),"Educativo","Técnico"))),0)</f>
        <v>Técnico</v>
      </c>
      <c r="AI1723" s="47" t="e" cm="1">
        <f t="array" aca="1" ref="AI1723" ca="1">_xlfn.XLOOKUP(PAA_4[[#This Row],[RCP-RUBRO]],[2]!COMPROMISOS_2024[[#All],[concatenado]],[2]!COMPROMISOS_2024[[#All],[Total pagado]],"",0)</f>
        <v>#NAME?</v>
      </c>
      <c r="AJ1723" s="56" t="e">
        <f ca="1">IF(PAA_4[[#This Row],[BOLSA]]=0,0,SUMIFS([2]!COMPROMISOS_2024[[#All],[Total pagado]],[2]!COMPROMISOS_2024[[#All],[Bolsa]],PAA_4[[#This Row],[BOLSA]],[2]!COMPROMISOS_2024[[#All],[rubro]],PAA_4[[#This Row],[RCP-RUBRO]]))</f>
        <v>#REF!</v>
      </c>
      <c r="AK1723" s="47" t="e" cm="1">
        <f t="array" aca="1" ref="AK1723" ca="1">_xlfn.XLOOKUP(PAA_4[[#This Row],[RCP-RUBRO]],[2]!COMPROMISOS_2024[[#All],[concatenado]],[2]!COMPROMISOS_2024[[#All],[Total Comprometido]],"",0)</f>
        <v>#NAME?</v>
      </c>
      <c r="AL1723" s="47" t="e">
        <f ca="1">IF(PAA_4[[#This Row],[BOLSA]]=0,0,SUMIFS([2]!COMPROMISOS_2024[[#All],[Total Comprometido]],[2]!COMPROMISOS_2024[[#All],[Bolsa]],PAA_4[[#This Row],[BOLSA]],[2]!COMPROMISOS_2024[[#All],[concatenado]],PAA_4[[#This Row],[RCP-RUBRO]]))</f>
        <v>#REF!</v>
      </c>
    </row>
    <row r="1724" spans="1:38" s="19" customFormat="1" ht="31.5" customHeight="1">
      <c r="A1724" s="47">
        <v>963</v>
      </c>
      <c r="B1724" s="344">
        <v>80111600</v>
      </c>
      <c r="C1724" s="47" t="str">
        <f>VLOOKUP(PAA_4[[#This Row],[PROYECTO (formulado)2]],[2]PROYECTOS!$G$1:$L$32,6,0)</f>
        <v>SUBGERENCIA DE ALTOS LOGROS Y DEPORTE ASOCIADO</v>
      </c>
      <c r="D1724" s="47" t="str">
        <f>+IF(PAA_4[[#This Row],[UNIDAD DE CONTRATACION (formulado)]]="Subgerencia Administrativa y Financiera","FUNCIONAMIENTO","INVERSIÓN")</f>
        <v>INVERSIÓN</v>
      </c>
      <c r="E1724" s="48" t="str">
        <f>VLOOKUP(Q1724,[2]PROYECTOS!$G$1:$K$32,5,0)</f>
        <v>APOYO_TÉCNICO_Y_PSICOSOCIAL_A_LOS_DEPORTISTAS_DE_ANTIOQUIA</v>
      </c>
      <c r="F1724" s="48">
        <f>VLOOKUP(E1724,[2]PROYECTOS!$K$1:$M$32,3,0)</f>
        <v>2021003050069</v>
      </c>
      <c r="G1724" s="371" t="s">
        <v>239</v>
      </c>
      <c r="H1724" s="49" t="str">
        <f>VLOOKUP(Q1724,[2]PROYECTOS!$V$1:$W$32,2,0)</f>
        <v>050069</v>
      </c>
      <c r="I1724" s="374">
        <v>24120006</v>
      </c>
      <c r="J1724" s="286" t="s">
        <v>2011</v>
      </c>
      <c r="K1724" s="47" t="str">
        <f t="shared" ca="1" si="567"/>
        <v>CONTRATADO</v>
      </c>
      <c r="L1724" s="372" t="s">
        <v>147</v>
      </c>
      <c r="M1724" s="58" t="s">
        <v>1297</v>
      </c>
      <c r="N1724" s="344" t="s">
        <v>240</v>
      </c>
      <c r="O1724" s="51" t="e">
        <f>VLOOKUP(N1724,[2]!RUBROS[#All],3,0)</f>
        <v>#REF!</v>
      </c>
      <c r="P1724" s="53" t="e">
        <f>VLOOKUP(N1724,[2]!RUBROS[#All],2,0)</f>
        <v>#REF!</v>
      </c>
      <c r="Q1724" s="47" t="str">
        <f t="shared" si="570"/>
        <v>22</v>
      </c>
      <c r="R1724" s="47" t="str">
        <f t="shared" si="571"/>
        <v>0-205400</v>
      </c>
      <c r="S1724" s="342">
        <v>122</v>
      </c>
      <c r="T1724" s="59" t="s">
        <v>1970</v>
      </c>
      <c r="U1724" s="326" t="e">
        <f ca="1">_xlfn.XLOOKUP(PAA_4[[#This Row],[ITEM]],[2]Contrato!A:A,[2]Contrato!Q:Q,"",0)</f>
        <v>#NAME?</v>
      </c>
      <c r="V1724" s="47" t="s">
        <v>95</v>
      </c>
      <c r="W1724" s="373" t="s">
        <v>1971</v>
      </c>
      <c r="X1724" s="373" t="s">
        <v>1972</v>
      </c>
      <c r="Y1724" s="55" t="e">
        <f ca="1">_xlfn.XLOOKUP(PAA_4[[#This Row],[ITEM]],[2]Contrato!A:A,[2]Contrato!B:B,"",0)</f>
        <v>#NAME?</v>
      </c>
      <c r="Z1724" s="47" t="e">
        <f ca="1">_xlfn.XLOOKUP(PAA_4[[#This Row],[ITEM]],[2]Contrato!A:A,[2]Contrato!G:G,"",0)</f>
        <v>#NAME?</v>
      </c>
      <c r="AA1724" s="47" t="e">
        <f ca="1">_xlfn.XLOOKUP(PAA_4[[#This Row],[ITEM]],[2]Contrato!A:A,[2]Contrato!T:T,"",0)</f>
        <v>#NAME?</v>
      </c>
      <c r="AB1724" s="55" t="e">
        <f ca="1">+MAX(PAA_4[[#This Row],[Comprometido Contrato]],PAA_4[[#This Row],[Comprometido Bolsa]])</f>
        <v>#NAME?</v>
      </c>
      <c r="AC1724" s="55" t="str">
        <f t="shared" ca="1" si="566"/>
        <v/>
      </c>
      <c r="AD1724" s="55" t="e">
        <f ca="1">IF(PAA_4[[#This Row],[ESTADO (formulado)]]="NO CONTRATADO",0,MAX(PAA_4[[#This Row],[Pago por Contrato]],PAA_4[[#This Row],[Pago por bolsa]]))</f>
        <v>#NAME?</v>
      </c>
      <c r="AE1724" s="55" t="str">
        <f t="shared" ca="1" si="568"/>
        <v/>
      </c>
      <c r="AF1724" s="47" t="e">
        <f t="shared" ca="1" si="572"/>
        <v>#NAME?</v>
      </c>
      <c r="AG1724" s="47">
        <f t="shared" si="569"/>
        <v>41080101</v>
      </c>
      <c r="AH1724" s="54" t="str">
        <f>IF(Q1724="22",IF(ISNUMBER(SEARCH("econ",PAA_4[[#This Row],[Actividad3]])),"Económico",IF(ISNUMBER(SEARCH("alim",PAA_4[[#This Row],[Actividad3]])),"Alimentación",IF(ISNUMBER(SEARCH("educ",PAA_4[[#This Row],[Actividad3]])),"Educativo","Técnico"))),0)</f>
        <v>Técnico</v>
      </c>
      <c r="AI1724" s="47" t="e" cm="1">
        <f t="array" aca="1" ref="AI1724" ca="1">_xlfn.XLOOKUP(PAA_4[[#This Row],[RCP-RUBRO]],[2]!COMPROMISOS_2024[[#All],[concatenado]],[2]!COMPROMISOS_2024[[#All],[Total pagado]],"",0)</f>
        <v>#NAME?</v>
      </c>
      <c r="AJ1724" s="56" t="e">
        <f ca="1">IF(PAA_4[[#This Row],[BOLSA]]=0,0,SUMIFS([2]!COMPROMISOS_2024[[#All],[Total pagado]],[2]!COMPROMISOS_2024[[#All],[Bolsa]],PAA_4[[#This Row],[BOLSA]],[2]!COMPROMISOS_2024[[#All],[rubro]],PAA_4[[#This Row],[RCP-RUBRO]]))</f>
        <v>#REF!</v>
      </c>
      <c r="AK1724" s="47" t="e" cm="1">
        <f t="array" aca="1" ref="AK1724" ca="1">_xlfn.XLOOKUP(PAA_4[[#This Row],[RCP-RUBRO]],[2]!COMPROMISOS_2024[[#All],[concatenado]],[2]!COMPROMISOS_2024[[#All],[Total Comprometido]],"",0)</f>
        <v>#NAME?</v>
      </c>
      <c r="AL1724" s="47" t="e">
        <f ca="1">IF(PAA_4[[#This Row],[BOLSA]]=0,0,SUMIFS([2]!COMPROMISOS_2024[[#All],[Total Comprometido]],[2]!COMPROMISOS_2024[[#All],[Bolsa]],PAA_4[[#This Row],[BOLSA]],[2]!COMPROMISOS_2024[[#All],[concatenado]],PAA_4[[#This Row],[RCP-RUBRO]]))</f>
        <v>#REF!</v>
      </c>
    </row>
    <row r="1725" spans="1:38" s="19" customFormat="1" ht="31.5" customHeight="1">
      <c r="A1725" s="47">
        <v>964</v>
      </c>
      <c r="B1725" s="344">
        <v>80111600</v>
      </c>
      <c r="C1725" s="47" t="str">
        <f>VLOOKUP(PAA_4[[#This Row],[PROYECTO (formulado)2]],[2]PROYECTOS!$G$1:$L$32,6,0)</f>
        <v>SUBGERENCIA DE ALTOS LOGROS Y DEPORTE ASOCIADO</v>
      </c>
      <c r="D1725" s="47" t="str">
        <f>+IF(PAA_4[[#This Row],[UNIDAD DE CONTRATACION (formulado)]]="Subgerencia Administrativa y Financiera","FUNCIONAMIENTO","INVERSIÓN")</f>
        <v>INVERSIÓN</v>
      </c>
      <c r="E1725" s="48" t="str">
        <f>VLOOKUP(Q1725,[2]PROYECTOS!$G$1:$K$32,5,0)</f>
        <v>APOYO_TÉCNICO_Y_PSICOSOCIAL_A_LOS_DEPORTISTAS_DE_ANTIOQUIA</v>
      </c>
      <c r="F1725" s="48">
        <f>VLOOKUP(E1725,[2]PROYECTOS!$K$1:$M$32,3,0)</f>
        <v>2021003050069</v>
      </c>
      <c r="G1725" s="371" t="s">
        <v>239</v>
      </c>
      <c r="H1725" s="49" t="str">
        <f>VLOOKUP(Q1725,[2]PROYECTOS!$V$1:$W$32,2,0)</f>
        <v>050069</v>
      </c>
      <c r="I1725" s="374">
        <v>16073020</v>
      </c>
      <c r="J1725" s="286" t="s">
        <v>2011</v>
      </c>
      <c r="K1725" s="47" t="str">
        <f t="shared" ca="1" si="567"/>
        <v>CONTRATADO</v>
      </c>
      <c r="L1725" s="372" t="s">
        <v>147</v>
      </c>
      <c r="M1725" s="58" t="s">
        <v>1297</v>
      </c>
      <c r="N1725" s="344" t="s">
        <v>240</v>
      </c>
      <c r="O1725" s="51" t="e">
        <f>VLOOKUP(N1725,[2]!RUBROS[#All],3,0)</f>
        <v>#REF!</v>
      </c>
      <c r="P1725" s="53" t="e">
        <f>VLOOKUP(N1725,[2]!RUBROS[#All],2,0)</f>
        <v>#REF!</v>
      </c>
      <c r="Q1725" s="47" t="str">
        <f t="shared" si="570"/>
        <v>22</v>
      </c>
      <c r="R1725" s="47" t="str">
        <f t="shared" si="571"/>
        <v>0-205400</v>
      </c>
      <c r="S1725" s="342">
        <v>122</v>
      </c>
      <c r="T1725" s="59" t="s">
        <v>1970</v>
      </c>
      <c r="U1725" s="326" t="e">
        <f ca="1">_xlfn.XLOOKUP(PAA_4[[#This Row],[ITEM]],[2]Contrato!A:A,[2]Contrato!Q:Q,"",0)</f>
        <v>#NAME?</v>
      </c>
      <c r="V1725" s="47" t="s">
        <v>95</v>
      </c>
      <c r="W1725" s="373" t="s">
        <v>1971</v>
      </c>
      <c r="X1725" s="373" t="s">
        <v>1972</v>
      </c>
      <c r="Y1725" s="55" t="e">
        <f ca="1">_xlfn.XLOOKUP(PAA_4[[#This Row],[ITEM]],[2]Contrato!A:A,[2]Contrato!B:B,"",0)</f>
        <v>#NAME?</v>
      </c>
      <c r="Z1725" s="47" t="e">
        <f ca="1">_xlfn.XLOOKUP(PAA_4[[#This Row],[ITEM]],[2]Contrato!A:A,[2]Contrato!G:G,"",0)</f>
        <v>#NAME?</v>
      </c>
      <c r="AA1725" s="47" t="e">
        <f ca="1">_xlfn.XLOOKUP(PAA_4[[#This Row],[ITEM]],[2]Contrato!A:A,[2]Contrato!T:T,"",0)</f>
        <v>#NAME?</v>
      </c>
      <c r="AB1725" s="55" t="e">
        <f ca="1">+MAX(PAA_4[[#This Row],[Comprometido Contrato]],PAA_4[[#This Row],[Comprometido Bolsa]])</f>
        <v>#NAME?</v>
      </c>
      <c r="AC1725" s="55" t="str">
        <f t="shared" ca="1" si="566"/>
        <v/>
      </c>
      <c r="AD1725" s="55" t="e">
        <f ca="1">IF(PAA_4[[#This Row],[ESTADO (formulado)]]="NO CONTRATADO",0,MAX(PAA_4[[#This Row],[Pago por Contrato]],PAA_4[[#This Row],[Pago por bolsa]]))</f>
        <v>#NAME?</v>
      </c>
      <c r="AE1725" s="55" t="str">
        <f t="shared" ca="1" si="568"/>
        <v/>
      </c>
      <c r="AF1725" s="47" t="e">
        <f t="shared" ca="1" si="572"/>
        <v>#NAME?</v>
      </c>
      <c r="AG1725" s="47">
        <f t="shared" si="569"/>
        <v>41080101</v>
      </c>
      <c r="AH1725" s="54" t="str">
        <f>IF(Q1725="22",IF(ISNUMBER(SEARCH("econ",PAA_4[[#This Row],[Actividad3]])),"Económico",IF(ISNUMBER(SEARCH("alim",PAA_4[[#This Row],[Actividad3]])),"Alimentación",IF(ISNUMBER(SEARCH("educ",PAA_4[[#This Row],[Actividad3]])),"Educativo","Técnico"))),0)</f>
        <v>Técnico</v>
      </c>
      <c r="AI1725" s="47" t="e" cm="1">
        <f t="array" aca="1" ref="AI1725" ca="1">_xlfn.XLOOKUP(PAA_4[[#This Row],[RCP-RUBRO]],[2]!COMPROMISOS_2024[[#All],[concatenado]],[2]!COMPROMISOS_2024[[#All],[Total pagado]],"",0)</f>
        <v>#NAME?</v>
      </c>
      <c r="AJ1725" s="56" t="e">
        <f ca="1">IF(PAA_4[[#This Row],[BOLSA]]=0,0,SUMIFS([2]!COMPROMISOS_2024[[#All],[Total pagado]],[2]!COMPROMISOS_2024[[#All],[Bolsa]],PAA_4[[#This Row],[BOLSA]],[2]!COMPROMISOS_2024[[#All],[rubro]],PAA_4[[#This Row],[RCP-RUBRO]]))</f>
        <v>#REF!</v>
      </c>
      <c r="AK1725" s="47" t="e" cm="1">
        <f t="array" aca="1" ref="AK1725" ca="1">_xlfn.XLOOKUP(PAA_4[[#This Row],[RCP-RUBRO]],[2]!COMPROMISOS_2024[[#All],[concatenado]],[2]!COMPROMISOS_2024[[#All],[Total Comprometido]],"",0)</f>
        <v>#NAME?</v>
      </c>
      <c r="AL1725" s="47" t="e">
        <f ca="1">IF(PAA_4[[#This Row],[BOLSA]]=0,0,SUMIFS([2]!COMPROMISOS_2024[[#All],[Total Comprometido]],[2]!COMPROMISOS_2024[[#All],[Bolsa]],PAA_4[[#This Row],[BOLSA]],[2]!COMPROMISOS_2024[[#All],[concatenado]],PAA_4[[#This Row],[RCP-RUBRO]]))</f>
        <v>#REF!</v>
      </c>
    </row>
    <row r="1726" spans="1:38" s="19" customFormat="1" ht="31.5" customHeight="1">
      <c r="A1726" s="47">
        <v>965</v>
      </c>
      <c r="B1726" s="344">
        <v>80111600</v>
      </c>
      <c r="C1726" s="47" t="str">
        <f>VLOOKUP(PAA_4[[#This Row],[PROYECTO (formulado)2]],[2]PROYECTOS!$G$1:$L$32,6,0)</f>
        <v>SUBGERENCIA DE ALTOS LOGROS Y DEPORTE ASOCIADO</v>
      </c>
      <c r="D1726" s="47" t="str">
        <f>+IF(PAA_4[[#This Row],[UNIDAD DE CONTRATACION (formulado)]]="Subgerencia Administrativa y Financiera","FUNCIONAMIENTO","INVERSIÓN")</f>
        <v>INVERSIÓN</v>
      </c>
      <c r="E1726" s="48" t="str">
        <f>VLOOKUP(Q1726,[2]PROYECTOS!$G$1:$K$32,5,0)</f>
        <v>APOYO_TÉCNICO_Y_PSICOSOCIAL_A_LOS_DEPORTISTAS_DE_ANTIOQUIA</v>
      </c>
      <c r="F1726" s="48">
        <f>VLOOKUP(E1726,[2]PROYECTOS!$K$1:$M$32,3,0)</f>
        <v>2021003050069</v>
      </c>
      <c r="G1726" s="371" t="s">
        <v>239</v>
      </c>
      <c r="H1726" s="49" t="str">
        <f>VLOOKUP(Q1726,[2]PROYECTOS!$V$1:$W$32,2,0)</f>
        <v>050069</v>
      </c>
      <c r="I1726" s="374">
        <f>24120006-1</f>
        <v>24120005</v>
      </c>
      <c r="J1726" s="286" t="s">
        <v>2011</v>
      </c>
      <c r="K1726" s="47" t="str">
        <f t="shared" ca="1" si="567"/>
        <v>CONTRATADO</v>
      </c>
      <c r="L1726" s="372" t="s">
        <v>147</v>
      </c>
      <c r="M1726" s="58" t="s">
        <v>1297</v>
      </c>
      <c r="N1726" s="344" t="s">
        <v>240</v>
      </c>
      <c r="O1726" s="51" t="e">
        <f>VLOOKUP(N1726,[2]!RUBROS[#All],3,0)</f>
        <v>#REF!</v>
      </c>
      <c r="P1726" s="53" t="e">
        <f>VLOOKUP(N1726,[2]!RUBROS[#All],2,0)</f>
        <v>#REF!</v>
      </c>
      <c r="Q1726" s="47" t="str">
        <f t="shared" si="570"/>
        <v>22</v>
      </c>
      <c r="R1726" s="47" t="str">
        <f t="shared" si="571"/>
        <v>0-205400</v>
      </c>
      <c r="S1726" s="342">
        <v>122</v>
      </c>
      <c r="T1726" s="59" t="s">
        <v>1970</v>
      </c>
      <c r="U1726" s="326" t="e">
        <f ca="1">_xlfn.XLOOKUP(PAA_4[[#This Row],[ITEM]],[2]Contrato!A:A,[2]Contrato!Q:Q,"",0)</f>
        <v>#NAME?</v>
      </c>
      <c r="V1726" s="47" t="s">
        <v>95</v>
      </c>
      <c r="W1726" s="373" t="s">
        <v>1971</v>
      </c>
      <c r="X1726" s="373" t="s">
        <v>1972</v>
      </c>
      <c r="Y1726" s="55" t="e">
        <f ca="1">_xlfn.XLOOKUP(PAA_4[[#This Row],[ITEM]],[2]Contrato!A:A,[2]Contrato!B:B,"",0)</f>
        <v>#NAME?</v>
      </c>
      <c r="Z1726" s="47" t="e">
        <f ca="1">_xlfn.XLOOKUP(PAA_4[[#This Row],[ITEM]],[2]Contrato!A:A,[2]Contrato!G:G,"",0)</f>
        <v>#NAME?</v>
      </c>
      <c r="AA1726" s="47" t="e">
        <f ca="1">_xlfn.XLOOKUP(PAA_4[[#This Row],[ITEM]],[2]Contrato!A:A,[2]Contrato!T:T,"",0)</f>
        <v>#NAME?</v>
      </c>
      <c r="AB1726" s="55" t="e">
        <f ca="1">+MAX(PAA_4[[#This Row],[Comprometido Contrato]],PAA_4[[#This Row],[Comprometido Bolsa]])</f>
        <v>#NAME?</v>
      </c>
      <c r="AC1726" s="55" t="str">
        <f t="shared" ca="1" si="566"/>
        <v/>
      </c>
      <c r="AD1726" s="55" t="e">
        <f ca="1">IF(PAA_4[[#This Row],[ESTADO (formulado)]]="NO CONTRATADO",0,MAX(PAA_4[[#This Row],[Pago por Contrato]],PAA_4[[#This Row],[Pago por bolsa]]))</f>
        <v>#NAME?</v>
      </c>
      <c r="AE1726" s="55" t="str">
        <f t="shared" ca="1" si="568"/>
        <v/>
      </c>
      <c r="AF1726" s="47" t="e">
        <f t="shared" ca="1" si="572"/>
        <v>#NAME?</v>
      </c>
      <c r="AG1726" s="47">
        <f t="shared" si="569"/>
        <v>41080101</v>
      </c>
      <c r="AH1726" s="54" t="str">
        <f>IF(Q1726="22",IF(ISNUMBER(SEARCH("econ",PAA_4[[#This Row],[Actividad3]])),"Económico",IF(ISNUMBER(SEARCH("alim",PAA_4[[#This Row],[Actividad3]])),"Alimentación",IF(ISNUMBER(SEARCH("educ",PAA_4[[#This Row],[Actividad3]])),"Educativo","Técnico"))),0)</f>
        <v>Técnico</v>
      </c>
      <c r="AI1726" s="47" t="e" cm="1">
        <f t="array" aca="1" ref="AI1726" ca="1">_xlfn.XLOOKUP(PAA_4[[#This Row],[RCP-RUBRO]],[2]!COMPROMISOS_2024[[#All],[concatenado]],[2]!COMPROMISOS_2024[[#All],[Total pagado]],"",0)</f>
        <v>#NAME?</v>
      </c>
      <c r="AJ1726" s="56" t="e">
        <f ca="1">IF(PAA_4[[#This Row],[BOLSA]]=0,0,SUMIFS([2]!COMPROMISOS_2024[[#All],[Total pagado]],[2]!COMPROMISOS_2024[[#All],[Bolsa]],PAA_4[[#This Row],[BOLSA]],[2]!COMPROMISOS_2024[[#All],[rubro]],PAA_4[[#This Row],[RCP-RUBRO]]))</f>
        <v>#REF!</v>
      </c>
      <c r="AK1726" s="47" t="e" cm="1">
        <f t="array" aca="1" ref="AK1726" ca="1">_xlfn.XLOOKUP(PAA_4[[#This Row],[RCP-RUBRO]],[2]!COMPROMISOS_2024[[#All],[concatenado]],[2]!COMPROMISOS_2024[[#All],[Total Comprometido]],"",0)</f>
        <v>#NAME?</v>
      </c>
      <c r="AL1726" s="47" t="e">
        <f ca="1">IF(PAA_4[[#This Row],[BOLSA]]=0,0,SUMIFS([2]!COMPROMISOS_2024[[#All],[Total Comprometido]],[2]!COMPROMISOS_2024[[#All],[Bolsa]],PAA_4[[#This Row],[BOLSA]],[2]!COMPROMISOS_2024[[#All],[concatenado]],PAA_4[[#This Row],[RCP-RUBRO]]))</f>
        <v>#REF!</v>
      </c>
    </row>
    <row r="1727" spans="1:38" s="19" customFormat="1" ht="31.5" customHeight="1">
      <c r="A1727" s="47" t="s">
        <v>82</v>
      </c>
      <c r="B1727" s="366" t="s">
        <v>42</v>
      </c>
      <c r="C1727" s="47" t="str">
        <f>VLOOKUP(PAA_4[[#This Row],[PROYECTO (formulado)2]],[2]PROYECTOS!$G$1:$L$32,6,0)</f>
        <v>SUBGERENCIA DE ALTOS LOGROS Y DEPORTE ASOCIADO</v>
      </c>
      <c r="D1727" s="47" t="str">
        <f>+IF(PAA_4[[#This Row],[UNIDAD DE CONTRATACION (formulado)]]="Subgerencia Administrativa y Financiera","FUNCIONAMIENTO","INVERSIÓN")</f>
        <v>INVERSIÓN</v>
      </c>
      <c r="E1727" s="48" t="str">
        <f>VLOOKUP(Q1727,[2]PROYECTOS!$G$1:$K$32,5,0)</f>
        <v>APOYO_TÉCNICO_Y_PSICOSOCIAL_A_LOS_DEPORTISTAS_DE_ANTIOQUIA</v>
      </c>
      <c r="F1727" s="48">
        <f>VLOOKUP(E1727,[2]PROYECTOS!$K$1:$M$32,3,0)</f>
        <v>2021003050069</v>
      </c>
      <c r="G1727" s="371" t="s">
        <v>241</v>
      </c>
      <c r="H1727" s="49" t="str">
        <f>VLOOKUP(Q1727,[2]PROYECTOS!$V$1:$W$32,2,0)</f>
        <v>050069</v>
      </c>
      <c r="I1727" s="374">
        <v>0</v>
      </c>
      <c r="J1727" s="366" t="s">
        <v>1778</v>
      </c>
      <c r="K1727" s="47" t="str">
        <f t="shared" ca="1" si="567"/>
        <v>CONTRATADO</v>
      </c>
      <c r="L1727" s="58" t="s">
        <v>42</v>
      </c>
      <c r="M1727" s="58" t="s">
        <v>42</v>
      </c>
      <c r="N1727" s="344" t="s">
        <v>240</v>
      </c>
      <c r="O1727" s="51" t="e">
        <f>VLOOKUP(N1727,[2]!RUBROS[#All],3,0)</f>
        <v>#REF!</v>
      </c>
      <c r="P1727" s="53" t="e">
        <f>VLOOKUP(N1727,[2]!RUBROS[#All],2,0)</f>
        <v>#REF!</v>
      </c>
      <c r="Q1727" s="47" t="str">
        <f t="shared" si="570"/>
        <v>22</v>
      </c>
      <c r="R1727" s="47" t="str">
        <f t="shared" si="571"/>
        <v>0-205400</v>
      </c>
      <c r="S1727" s="357" t="s">
        <v>42</v>
      </c>
      <c r="T1727" s="59" t="s">
        <v>42</v>
      </c>
      <c r="U1727" s="326" t="e">
        <f ca="1">_xlfn.XLOOKUP(PAA_4[[#This Row],[ITEM]],[2]Contrato!A:A,[2]Contrato!Q:Q,"",0)</f>
        <v>#NAME?</v>
      </c>
      <c r="V1727" s="47" t="s">
        <v>95</v>
      </c>
      <c r="W1727" s="375" t="s">
        <v>42</v>
      </c>
      <c r="X1727" s="375" t="s">
        <v>42</v>
      </c>
      <c r="Y1727" s="55" t="e">
        <f ca="1">_xlfn.XLOOKUP(PAA_4[[#This Row],[ITEM]],[2]Contrato!A:A,[2]Contrato!B:B,"",0)</f>
        <v>#NAME?</v>
      </c>
      <c r="Z1727" s="47" t="e">
        <f ca="1">_xlfn.XLOOKUP(PAA_4[[#This Row],[ITEM]],[2]Contrato!A:A,[2]Contrato!G:G,"",0)</f>
        <v>#NAME?</v>
      </c>
      <c r="AA1727" s="47" t="e">
        <f ca="1">_xlfn.XLOOKUP(PAA_4[[#This Row],[ITEM]],[2]Contrato!A:A,[2]Contrato!T:T,"",0)</f>
        <v>#NAME?</v>
      </c>
      <c r="AB1727" s="55" t="e">
        <f ca="1">+MAX(PAA_4[[#This Row],[Comprometido Contrato]],PAA_4[[#This Row],[Comprometido Bolsa]])</f>
        <v>#NAME?</v>
      </c>
      <c r="AC1727" s="55" t="str">
        <f t="shared" ca="1" si="566"/>
        <v/>
      </c>
      <c r="AD1727" s="55" t="e">
        <f ca="1">IF(PAA_4[[#This Row],[ESTADO (formulado)]]="NO CONTRATADO",0,MAX(PAA_4[[#This Row],[Pago por Contrato]],PAA_4[[#This Row],[Pago por bolsa]]))</f>
        <v>#NAME?</v>
      </c>
      <c r="AE1727" s="55" t="str">
        <f t="shared" ca="1" si="568"/>
        <v/>
      </c>
      <c r="AF1727" s="47" t="e">
        <f t="shared" ca="1" si="572"/>
        <v>#NAME?</v>
      </c>
      <c r="AG1727" s="47">
        <f t="shared" si="569"/>
        <v>41080106</v>
      </c>
      <c r="AH1727" s="54" t="str">
        <f>IF(Q1727="22",IF(ISNUMBER(SEARCH("econ",PAA_4[[#This Row],[Actividad3]])),"Económico",IF(ISNUMBER(SEARCH("alim",PAA_4[[#This Row],[Actividad3]])),"Alimentación",IF(ISNUMBER(SEARCH("educ",PAA_4[[#This Row],[Actividad3]])),"Educativo","Técnico"))),0)</f>
        <v>Técnico</v>
      </c>
      <c r="AI1727" s="47" t="e" cm="1">
        <f t="array" aca="1" ref="AI1727" ca="1">_xlfn.XLOOKUP(PAA_4[[#This Row],[RCP-RUBRO]],[2]!COMPROMISOS_2024[[#All],[concatenado]],[2]!COMPROMISOS_2024[[#All],[Total pagado]],"",0)</f>
        <v>#NAME?</v>
      </c>
      <c r="AJ1727" s="56" t="e">
        <f ca="1">IF(PAA_4[[#This Row],[BOLSA]]=0,0,SUMIFS([2]!COMPROMISOS_2024[[#All],[Total pagado]],[2]!COMPROMISOS_2024[[#All],[Bolsa]],PAA_4[[#This Row],[BOLSA]],[2]!COMPROMISOS_2024[[#All],[rubro]],PAA_4[[#This Row],[RCP-RUBRO]]))</f>
        <v>#REF!</v>
      </c>
      <c r="AK1727" s="47" t="e" cm="1">
        <f t="array" aca="1" ref="AK1727" ca="1">_xlfn.XLOOKUP(PAA_4[[#This Row],[RCP-RUBRO]],[2]!COMPROMISOS_2024[[#All],[concatenado]],[2]!COMPROMISOS_2024[[#All],[Total Comprometido]],"",0)</f>
        <v>#NAME?</v>
      </c>
      <c r="AL1727" s="47" t="e">
        <f ca="1">IF(PAA_4[[#This Row],[BOLSA]]=0,0,SUMIFS([2]!COMPROMISOS_2024[[#All],[Total Comprometido]],[2]!COMPROMISOS_2024[[#All],[Bolsa]],PAA_4[[#This Row],[BOLSA]],[2]!COMPROMISOS_2024[[#All],[concatenado]],PAA_4[[#This Row],[RCP-RUBRO]]))</f>
        <v>#REF!</v>
      </c>
    </row>
    <row r="1728" spans="1:38" s="19" customFormat="1" ht="31.5" customHeight="1">
      <c r="A1728" s="47">
        <v>966</v>
      </c>
      <c r="B1728" s="344">
        <v>80111600</v>
      </c>
      <c r="C1728" s="47" t="str">
        <f>VLOOKUP(PAA_4[[#This Row],[PROYECTO (formulado)2]],[2]PROYECTOS!$G$1:$L$32,6,0)</f>
        <v>SUBGERENCIA DE ALTOS LOGROS Y DEPORTE ASOCIADO</v>
      </c>
      <c r="D1728" s="47" t="str">
        <f>+IF(PAA_4[[#This Row],[UNIDAD DE CONTRATACION (formulado)]]="Subgerencia Administrativa y Financiera","FUNCIONAMIENTO","INVERSIÓN")</f>
        <v>INVERSIÓN</v>
      </c>
      <c r="E1728" s="48" t="str">
        <f>VLOOKUP(Q1728,[2]PROYECTOS!$G$1:$K$32,5,0)</f>
        <v>APOYO_TÉCNICO_Y_PSICOSOCIAL_A_LOS_DEPORTISTAS_DE_ANTIOQUIA</v>
      </c>
      <c r="F1728" s="48">
        <f>VLOOKUP(E1728,[2]PROYECTOS!$K$1:$M$32,3,0)</f>
        <v>2021003050069</v>
      </c>
      <c r="G1728" s="371" t="s">
        <v>241</v>
      </c>
      <c r="H1728" s="49" t="str">
        <f>VLOOKUP(Q1728,[2]PROYECTOS!$V$1:$W$32,2,0)</f>
        <v>050069</v>
      </c>
      <c r="I1728" s="374">
        <f>23714292-7641272</f>
        <v>16073020</v>
      </c>
      <c r="J1728" s="286" t="s">
        <v>2012</v>
      </c>
      <c r="K1728" s="47" t="str">
        <f t="shared" ca="1" si="567"/>
        <v>CONTRATADO</v>
      </c>
      <c r="L1728" s="372" t="s">
        <v>147</v>
      </c>
      <c r="M1728" s="58" t="s">
        <v>1297</v>
      </c>
      <c r="N1728" s="344" t="s">
        <v>240</v>
      </c>
      <c r="O1728" s="51" t="e">
        <f>VLOOKUP(N1728,[2]!RUBROS[#All],3,0)</f>
        <v>#REF!</v>
      </c>
      <c r="P1728" s="53" t="e">
        <f>VLOOKUP(N1728,[2]!RUBROS[#All],2,0)</f>
        <v>#REF!</v>
      </c>
      <c r="Q1728" s="47" t="str">
        <f t="shared" si="570"/>
        <v>22</v>
      </c>
      <c r="R1728" s="47" t="str">
        <f t="shared" si="571"/>
        <v>0-205400</v>
      </c>
      <c r="S1728" s="357">
        <v>122</v>
      </c>
      <c r="T1728" s="59" t="s">
        <v>1970</v>
      </c>
      <c r="U1728" s="326" t="e">
        <f ca="1">_xlfn.XLOOKUP(PAA_4[[#This Row],[ITEM]],[2]Contrato!A:A,[2]Contrato!Q:Q,"",0)</f>
        <v>#NAME?</v>
      </c>
      <c r="V1728" s="47" t="s">
        <v>95</v>
      </c>
      <c r="W1728" s="373" t="s">
        <v>1971</v>
      </c>
      <c r="X1728" s="373" t="s">
        <v>1972</v>
      </c>
      <c r="Y1728" s="55" t="e">
        <f ca="1">_xlfn.XLOOKUP(PAA_4[[#This Row],[ITEM]],[2]Contrato!A:A,[2]Contrato!B:B,"",0)</f>
        <v>#NAME?</v>
      </c>
      <c r="Z1728" s="47" t="e">
        <f ca="1">_xlfn.XLOOKUP(PAA_4[[#This Row],[ITEM]],[2]Contrato!A:A,[2]Contrato!G:G,"",0)</f>
        <v>#NAME?</v>
      </c>
      <c r="AA1728" s="47" t="e">
        <f ca="1">_xlfn.XLOOKUP(PAA_4[[#This Row],[ITEM]],[2]Contrato!A:A,[2]Contrato!T:T,"",0)</f>
        <v>#NAME?</v>
      </c>
      <c r="AB1728" s="55" t="e">
        <f ca="1">+MAX(PAA_4[[#This Row],[Comprometido Contrato]],PAA_4[[#This Row],[Comprometido Bolsa]])</f>
        <v>#NAME?</v>
      </c>
      <c r="AC1728" s="55" t="str">
        <f t="shared" ca="1" si="566"/>
        <v/>
      </c>
      <c r="AD1728" s="55" t="e">
        <f ca="1">IF(PAA_4[[#This Row],[ESTADO (formulado)]]="NO CONTRATADO",0,MAX(PAA_4[[#This Row],[Pago por Contrato]],PAA_4[[#This Row],[Pago por bolsa]]))</f>
        <v>#NAME?</v>
      </c>
      <c r="AE1728" s="55" t="str">
        <f t="shared" ca="1" si="568"/>
        <v/>
      </c>
      <c r="AF1728" s="47" t="e">
        <f t="shared" ca="1" si="572"/>
        <v>#NAME?</v>
      </c>
      <c r="AG1728" s="47">
        <f t="shared" si="569"/>
        <v>41080106</v>
      </c>
      <c r="AH1728" s="54" t="str">
        <f>IF(Q1728="22",IF(ISNUMBER(SEARCH("econ",PAA_4[[#This Row],[Actividad3]])),"Económico",IF(ISNUMBER(SEARCH("alim",PAA_4[[#This Row],[Actividad3]])),"Alimentación",IF(ISNUMBER(SEARCH("educ",PAA_4[[#This Row],[Actividad3]])),"Educativo","Técnico"))),0)</f>
        <v>Técnico</v>
      </c>
      <c r="AI1728" s="47" t="e" cm="1">
        <f t="array" aca="1" ref="AI1728" ca="1">_xlfn.XLOOKUP(PAA_4[[#This Row],[RCP-RUBRO]],[2]!COMPROMISOS_2024[[#All],[concatenado]],[2]!COMPROMISOS_2024[[#All],[Total pagado]],"",0)</f>
        <v>#NAME?</v>
      </c>
      <c r="AJ1728" s="56" t="e">
        <f ca="1">IF(PAA_4[[#This Row],[BOLSA]]=0,0,SUMIFS([2]!COMPROMISOS_2024[[#All],[Total pagado]],[2]!COMPROMISOS_2024[[#All],[Bolsa]],PAA_4[[#This Row],[BOLSA]],[2]!COMPROMISOS_2024[[#All],[rubro]],PAA_4[[#This Row],[RCP-RUBRO]]))</f>
        <v>#REF!</v>
      </c>
      <c r="AK1728" s="47" t="e" cm="1">
        <f t="array" aca="1" ref="AK1728" ca="1">_xlfn.XLOOKUP(PAA_4[[#This Row],[RCP-RUBRO]],[2]!COMPROMISOS_2024[[#All],[concatenado]],[2]!COMPROMISOS_2024[[#All],[Total Comprometido]],"",0)</f>
        <v>#NAME?</v>
      </c>
      <c r="AL1728" s="47" t="e">
        <f ca="1">IF(PAA_4[[#This Row],[BOLSA]]=0,0,SUMIFS([2]!COMPROMISOS_2024[[#All],[Total Comprometido]],[2]!COMPROMISOS_2024[[#All],[Bolsa]],PAA_4[[#This Row],[BOLSA]],[2]!COMPROMISOS_2024[[#All],[concatenado]],PAA_4[[#This Row],[RCP-RUBRO]]))</f>
        <v>#REF!</v>
      </c>
    </row>
    <row r="1729" spans="1:38" s="19" customFormat="1" ht="31.5" customHeight="1">
      <c r="A1729" s="47" t="s">
        <v>82</v>
      </c>
      <c r="B1729" s="366" t="s">
        <v>42</v>
      </c>
      <c r="C1729" s="47" t="str">
        <f>VLOOKUP(PAA_4[[#This Row],[PROYECTO (formulado)2]],[2]PROYECTOS!$G$1:$L$32,6,0)</f>
        <v>SUBGERENCIA DE ALTOS LOGROS Y DEPORTE ASOCIADO</v>
      </c>
      <c r="D1729" s="47" t="str">
        <f>+IF(PAA_4[[#This Row],[UNIDAD DE CONTRATACION (formulado)]]="Subgerencia Administrativa y Financiera","FUNCIONAMIENTO","INVERSIÓN")</f>
        <v>INVERSIÓN</v>
      </c>
      <c r="E1729" s="48" t="str">
        <f>VLOOKUP(Q1729,[2]PROYECTOS!$G$1:$K$32,5,0)</f>
        <v>APOYO_TÉCNICO_Y_PSICOSOCIAL_A_LOS_DEPORTISTAS_DE_ANTIOQUIA</v>
      </c>
      <c r="F1729" s="48">
        <f>VLOOKUP(E1729,[2]PROYECTOS!$K$1:$M$32,3,0)</f>
        <v>2021003050069</v>
      </c>
      <c r="G1729" s="371" t="s">
        <v>241</v>
      </c>
      <c r="H1729" s="49" t="str">
        <f>VLOOKUP(Q1729,[2]PROYECTOS!$V$1:$W$32,2,0)</f>
        <v>050069</v>
      </c>
      <c r="I1729" s="374">
        <v>0</v>
      </c>
      <c r="J1729" s="366" t="s">
        <v>1778</v>
      </c>
      <c r="K1729" s="47" t="str">
        <f t="shared" ca="1" si="567"/>
        <v>CONTRATADO</v>
      </c>
      <c r="L1729" s="58" t="s">
        <v>42</v>
      </c>
      <c r="M1729" s="58" t="s">
        <v>42</v>
      </c>
      <c r="N1729" s="344" t="s">
        <v>240</v>
      </c>
      <c r="O1729" s="51" t="e">
        <f>VLOOKUP(N1729,[2]!RUBROS[#All],3,0)</f>
        <v>#REF!</v>
      </c>
      <c r="P1729" s="53" t="e">
        <f>VLOOKUP(N1729,[2]!RUBROS[#All],2,0)</f>
        <v>#REF!</v>
      </c>
      <c r="Q1729" s="47" t="str">
        <f t="shared" si="570"/>
        <v>22</v>
      </c>
      <c r="R1729" s="47" t="str">
        <f t="shared" si="571"/>
        <v>0-205400</v>
      </c>
      <c r="S1729" s="357" t="s">
        <v>42</v>
      </c>
      <c r="T1729" s="59" t="s">
        <v>42</v>
      </c>
      <c r="U1729" s="326" t="e">
        <f ca="1">_xlfn.XLOOKUP(PAA_4[[#This Row],[ITEM]],[2]Contrato!A:A,[2]Contrato!Q:Q,"",0)</f>
        <v>#NAME?</v>
      </c>
      <c r="V1729" s="47" t="s">
        <v>95</v>
      </c>
      <c r="W1729" s="375" t="s">
        <v>42</v>
      </c>
      <c r="X1729" s="375" t="s">
        <v>42</v>
      </c>
      <c r="Y1729" s="55" t="e">
        <f ca="1">_xlfn.XLOOKUP(PAA_4[[#This Row],[ITEM]],[2]Contrato!A:A,[2]Contrato!B:B,"",0)</f>
        <v>#NAME?</v>
      </c>
      <c r="Z1729" s="47" t="e">
        <f ca="1">_xlfn.XLOOKUP(PAA_4[[#This Row],[ITEM]],[2]Contrato!A:A,[2]Contrato!G:G,"",0)</f>
        <v>#NAME?</v>
      </c>
      <c r="AA1729" s="47" t="e">
        <f ca="1">_xlfn.XLOOKUP(PAA_4[[#This Row],[ITEM]],[2]Contrato!A:A,[2]Contrato!T:T,"",0)</f>
        <v>#NAME?</v>
      </c>
      <c r="AB1729" s="55" t="e">
        <f ca="1">+MAX(PAA_4[[#This Row],[Comprometido Contrato]],PAA_4[[#This Row],[Comprometido Bolsa]])</f>
        <v>#NAME?</v>
      </c>
      <c r="AC1729" s="55" t="str">
        <f t="shared" ca="1" si="566"/>
        <v/>
      </c>
      <c r="AD1729" s="55" t="e">
        <f ca="1">IF(PAA_4[[#This Row],[ESTADO (formulado)]]="NO CONTRATADO",0,MAX(PAA_4[[#This Row],[Pago por Contrato]],PAA_4[[#This Row],[Pago por bolsa]]))</f>
        <v>#NAME?</v>
      </c>
      <c r="AE1729" s="55" t="str">
        <f t="shared" ca="1" si="568"/>
        <v/>
      </c>
      <c r="AF1729" s="47" t="e">
        <f t="shared" ca="1" si="572"/>
        <v>#NAME?</v>
      </c>
      <c r="AG1729" s="47">
        <f t="shared" si="569"/>
        <v>41080106</v>
      </c>
      <c r="AH1729" s="54" t="str">
        <f>IF(Q1729="22",IF(ISNUMBER(SEARCH("econ",PAA_4[[#This Row],[Actividad3]])),"Económico",IF(ISNUMBER(SEARCH("alim",PAA_4[[#This Row],[Actividad3]])),"Alimentación",IF(ISNUMBER(SEARCH("educ",PAA_4[[#This Row],[Actividad3]])),"Educativo","Técnico"))),0)</f>
        <v>Técnico</v>
      </c>
      <c r="AI1729" s="47" t="e" cm="1">
        <f t="array" aca="1" ref="AI1729" ca="1">_xlfn.XLOOKUP(PAA_4[[#This Row],[RCP-RUBRO]],[2]!COMPROMISOS_2024[[#All],[concatenado]],[2]!COMPROMISOS_2024[[#All],[Total pagado]],"",0)</f>
        <v>#NAME?</v>
      </c>
      <c r="AJ1729" s="56" t="e">
        <f ca="1">IF(PAA_4[[#This Row],[BOLSA]]=0,0,SUMIFS([2]!COMPROMISOS_2024[[#All],[Total pagado]],[2]!COMPROMISOS_2024[[#All],[Bolsa]],PAA_4[[#This Row],[BOLSA]],[2]!COMPROMISOS_2024[[#All],[rubro]],PAA_4[[#This Row],[RCP-RUBRO]]))</f>
        <v>#REF!</v>
      </c>
      <c r="AK1729" s="47" t="e" cm="1">
        <f t="array" aca="1" ref="AK1729" ca="1">_xlfn.XLOOKUP(PAA_4[[#This Row],[RCP-RUBRO]],[2]!COMPROMISOS_2024[[#All],[concatenado]],[2]!COMPROMISOS_2024[[#All],[Total Comprometido]],"",0)</f>
        <v>#NAME?</v>
      </c>
      <c r="AL1729" s="47" t="e">
        <f ca="1">IF(PAA_4[[#This Row],[BOLSA]]=0,0,SUMIFS([2]!COMPROMISOS_2024[[#All],[Total Comprometido]],[2]!COMPROMISOS_2024[[#All],[Bolsa]],PAA_4[[#This Row],[BOLSA]],[2]!COMPROMISOS_2024[[#All],[concatenado]],PAA_4[[#This Row],[RCP-RUBRO]]))</f>
        <v>#REF!</v>
      </c>
    </row>
    <row r="1730" spans="1:38" s="19" customFormat="1" ht="31.5" customHeight="1">
      <c r="A1730" s="47">
        <v>967</v>
      </c>
      <c r="B1730" s="344">
        <v>80111600</v>
      </c>
      <c r="C1730" s="47" t="str">
        <f>VLOOKUP(PAA_4[[#This Row],[PROYECTO (formulado)2]],[2]PROYECTOS!$G$1:$L$32,6,0)</f>
        <v>SUBGERENCIA DE ALTOS LOGROS Y DEPORTE ASOCIADO</v>
      </c>
      <c r="D1730" s="47" t="str">
        <f>+IF(PAA_4[[#This Row],[UNIDAD DE CONTRATACION (formulado)]]="Subgerencia Administrativa y Financiera","FUNCIONAMIENTO","INVERSIÓN")</f>
        <v>INVERSIÓN</v>
      </c>
      <c r="E1730" s="48" t="str">
        <f>VLOOKUP(Q1730,[2]PROYECTOS!$G$1:$K$32,5,0)</f>
        <v>APOYO_TÉCNICO_Y_PSICOSOCIAL_A_LOS_DEPORTISTAS_DE_ANTIOQUIA</v>
      </c>
      <c r="F1730" s="48">
        <f>VLOOKUP(E1730,[2]PROYECTOS!$K$1:$M$32,3,0)</f>
        <v>2021003050069</v>
      </c>
      <c r="G1730" s="371" t="s">
        <v>241</v>
      </c>
      <c r="H1730" s="49" t="str">
        <f>VLOOKUP(Q1730,[2]PROYECTOS!$V$1:$W$32,2,0)</f>
        <v>050069</v>
      </c>
      <c r="I1730" s="374">
        <f>23714292-7641272</f>
        <v>16073020</v>
      </c>
      <c r="J1730" s="286" t="s">
        <v>2013</v>
      </c>
      <c r="K1730" s="47" t="str">
        <f t="shared" ca="1" si="567"/>
        <v>CONTRATADO</v>
      </c>
      <c r="L1730" s="372" t="s">
        <v>147</v>
      </c>
      <c r="M1730" s="58" t="s">
        <v>1297</v>
      </c>
      <c r="N1730" s="344" t="s">
        <v>240</v>
      </c>
      <c r="O1730" s="51" t="e">
        <f>VLOOKUP(N1730,[2]!RUBROS[#All],3,0)</f>
        <v>#REF!</v>
      </c>
      <c r="P1730" s="53" t="e">
        <f>VLOOKUP(N1730,[2]!RUBROS[#All],2,0)</f>
        <v>#REF!</v>
      </c>
      <c r="Q1730" s="47" t="str">
        <f t="shared" si="570"/>
        <v>22</v>
      </c>
      <c r="R1730" s="47" t="str">
        <f t="shared" si="571"/>
        <v>0-205400</v>
      </c>
      <c r="S1730" s="357">
        <v>122</v>
      </c>
      <c r="T1730" s="59" t="s">
        <v>1970</v>
      </c>
      <c r="U1730" s="326" t="e">
        <f ca="1">_xlfn.XLOOKUP(PAA_4[[#This Row],[ITEM]],[2]Contrato!A:A,[2]Contrato!Q:Q,"",0)</f>
        <v>#NAME?</v>
      </c>
      <c r="V1730" s="47" t="s">
        <v>95</v>
      </c>
      <c r="W1730" s="373" t="s">
        <v>1971</v>
      </c>
      <c r="X1730" s="373" t="s">
        <v>1972</v>
      </c>
      <c r="Y1730" s="55" t="e">
        <f ca="1">_xlfn.XLOOKUP(PAA_4[[#This Row],[ITEM]],[2]Contrato!A:A,[2]Contrato!B:B,"",0)</f>
        <v>#NAME?</v>
      </c>
      <c r="Z1730" s="47" t="e">
        <f ca="1">_xlfn.XLOOKUP(PAA_4[[#This Row],[ITEM]],[2]Contrato!A:A,[2]Contrato!G:G,"",0)</f>
        <v>#NAME?</v>
      </c>
      <c r="AA1730" s="47" t="e">
        <f ca="1">_xlfn.XLOOKUP(PAA_4[[#This Row],[ITEM]],[2]Contrato!A:A,[2]Contrato!T:T,"",0)</f>
        <v>#NAME?</v>
      </c>
      <c r="AB1730" s="55" t="e">
        <f ca="1">+MAX(PAA_4[[#This Row],[Comprometido Contrato]],PAA_4[[#This Row],[Comprometido Bolsa]])</f>
        <v>#NAME?</v>
      </c>
      <c r="AC1730" s="55" t="str">
        <f t="shared" ca="1" si="566"/>
        <v/>
      </c>
      <c r="AD1730" s="55" t="e">
        <f ca="1">IF(PAA_4[[#This Row],[ESTADO (formulado)]]="NO CONTRATADO",0,MAX(PAA_4[[#This Row],[Pago por Contrato]],PAA_4[[#This Row],[Pago por bolsa]]))</f>
        <v>#NAME?</v>
      </c>
      <c r="AE1730" s="55" t="str">
        <f t="shared" ca="1" si="568"/>
        <v/>
      </c>
      <c r="AF1730" s="47" t="e">
        <f t="shared" ca="1" si="572"/>
        <v>#NAME?</v>
      </c>
      <c r="AG1730" s="47">
        <f t="shared" si="569"/>
        <v>41080106</v>
      </c>
      <c r="AH1730" s="54" t="str">
        <f>IF(Q1730="22",IF(ISNUMBER(SEARCH("econ",PAA_4[[#This Row],[Actividad3]])),"Económico",IF(ISNUMBER(SEARCH("alim",PAA_4[[#This Row],[Actividad3]])),"Alimentación",IF(ISNUMBER(SEARCH("educ",PAA_4[[#This Row],[Actividad3]])),"Educativo","Técnico"))),0)</f>
        <v>Técnico</v>
      </c>
      <c r="AI1730" s="47" t="e" cm="1">
        <f t="array" aca="1" ref="AI1730" ca="1">_xlfn.XLOOKUP(PAA_4[[#This Row],[RCP-RUBRO]],[2]!COMPROMISOS_2024[[#All],[concatenado]],[2]!COMPROMISOS_2024[[#All],[Total pagado]],"",0)</f>
        <v>#NAME?</v>
      </c>
      <c r="AJ1730" s="56" t="e">
        <f ca="1">IF(PAA_4[[#This Row],[BOLSA]]=0,0,SUMIFS([2]!COMPROMISOS_2024[[#All],[Total pagado]],[2]!COMPROMISOS_2024[[#All],[Bolsa]],PAA_4[[#This Row],[BOLSA]],[2]!COMPROMISOS_2024[[#All],[rubro]],PAA_4[[#This Row],[RCP-RUBRO]]))</f>
        <v>#REF!</v>
      </c>
      <c r="AK1730" s="47" t="e" cm="1">
        <f t="array" aca="1" ref="AK1730" ca="1">_xlfn.XLOOKUP(PAA_4[[#This Row],[RCP-RUBRO]],[2]!COMPROMISOS_2024[[#All],[concatenado]],[2]!COMPROMISOS_2024[[#All],[Total Comprometido]],"",0)</f>
        <v>#NAME?</v>
      </c>
      <c r="AL1730" s="47" t="e">
        <f ca="1">IF(PAA_4[[#This Row],[BOLSA]]=0,0,SUMIFS([2]!COMPROMISOS_2024[[#All],[Total Comprometido]],[2]!COMPROMISOS_2024[[#All],[Bolsa]],PAA_4[[#This Row],[BOLSA]],[2]!COMPROMISOS_2024[[#All],[concatenado]],PAA_4[[#This Row],[RCP-RUBRO]]))</f>
        <v>#REF!</v>
      </c>
    </row>
    <row r="1731" spans="1:38" s="19" customFormat="1" ht="31.5" customHeight="1">
      <c r="A1731" s="47">
        <v>968</v>
      </c>
      <c r="B1731" s="344">
        <v>80111600</v>
      </c>
      <c r="C1731" s="47" t="str">
        <f>VLOOKUP(PAA_4[[#This Row],[PROYECTO (formulado)2]],[2]PROYECTOS!$G$1:$L$32,6,0)</f>
        <v>SUBGERENCIA DE ALTOS LOGROS Y DEPORTE ASOCIADO</v>
      </c>
      <c r="D1731" s="47" t="str">
        <f>+IF(PAA_4[[#This Row],[UNIDAD DE CONTRATACION (formulado)]]="Subgerencia Administrativa y Financiera","FUNCIONAMIENTO","INVERSIÓN")</f>
        <v>INVERSIÓN</v>
      </c>
      <c r="E1731" s="48" t="str">
        <f>VLOOKUP(Q1731,[2]PROYECTOS!$G$1:$K$32,5,0)</f>
        <v>APOYO_TÉCNICO_Y_PSICOSOCIAL_A_LOS_DEPORTISTAS_DE_ANTIOQUIA</v>
      </c>
      <c r="F1731" s="48">
        <f>VLOOKUP(E1731,[2]PROYECTOS!$K$1:$M$32,3,0)</f>
        <v>2021003050069</v>
      </c>
      <c r="G1731" s="371" t="s">
        <v>239</v>
      </c>
      <c r="H1731" s="49" t="str">
        <f>VLOOKUP(Q1731,[2]PROYECTOS!$V$1:$W$32,2,0)</f>
        <v>050069</v>
      </c>
      <c r="I1731" s="374">
        <f>38273150-1</f>
        <v>38273149</v>
      </c>
      <c r="J1731" s="286" t="s">
        <v>2014</v>
      </c>
      <c r="K1731" s="47" t="str">
        <f t="shared" ca="1" si="567"/>
        <v>CONTRATADO</v>
      </c>
      <c r="L1731" s="372" t="s">
        <v>147</v>
      </c>
      <c r="M1731" s="58" t="s">
        <v>1297</v>
      </c>
      <c r="N1731" s="344" t="s">
        <v>240</v>
      </c>
      <c r="O1731" s="51" t="e">
        <f>VLOOKUP(N1731,[2]!RUBROS[#All],3,0)</f>
        <v>#REF!</v>
      </c>
      <c r="P1731" s="53" t="e">
        <f>VLOOKUP(N1731,[2]!RUBROS[#All],2,0)</f>
        <v>#REF!</v>
      </c>
      <c r="Q1731" s="47" t="str">
        <f t="shared" si="570"/>
        <v>22</v>
      </c>
      <c r="R1731" s="47" t="str">
        <f t="shared" si="571"/>
        <v>0-205400</v>
      </c>
      <c r="S1731" s="342">
        <v>122</v>
      </c>
      <c r="T1731" s="59" t="s">
        <v>1970</v>
      </c>
      <c r="U1731" s="326" t="e">
        <f ca="1">_xlfn.XLOOKUP(PAA_4[[#This Row],[ITEM]],[2]Contrato!A:A,[2]Contrato!Q:Q,"",0)</f>
        <v>#NAME?</v>
      </c>
      <c r="V1731" s="47" t="s">
        <v>95</v>
      </c>
      <c r="W1731" s="373" t="s">
        <v>1971</v>
      </c>
      <c r="X1731" s="373" t="s">
        <v>1972</v>
      </c>
      <c r="Y1731" s="55" t="e">
        <f ca="1">_xlfn.XLOOKUP(PAA_4[[#This Row],[ITEM]],[2]Contrato!A:A,[2]Contrato!B:B,"",0)</f>
        <v>#NAME?</v>
      </c>
      <c r="Z1731" s="47" t="e">
        <f ca="1">_xlfn.XLOOKUP(PAA_4[[#This Row],[ITEM]],[2]Contrato!A:A,[2]Contrato!G:G,"",0)</f>
        <v>#NAME?</v>
      </c>
      <c r="AA1731" s="47" t="e">
        <f ca="1">_xlfn.XLOOKUP(PAA_4[[#This Row],[ITEM]],[2]Contrato!A:A,[2]Contrato!T:T,"",0)</f>
        <v>#NAME?</v>
      </c>
      <c r="AB1731" s="55" t="e">
        <f ca="1">+MAX(PAA_4[[#This Row],[Comprometido Contrato]],PAA_4[[#This Row],[Comprometido Bolsa]])</f>
        <v>#NAME?</v>
      </c>
      <c r="AC1731" s="55" t="str">
        <f t="shared" ca="1" si="566"/>
        <v/>
      </c>
      <c r="AD1731" s="55" t="e">
        <f ca="1">IF(PAA_4[[#This Row],[ESTADO (formulado)]]="NO CONTRATADO",0,MAX(PAA_4[[#This Row],[Pago por Contrato]],PAA_4[[#This Row],[Pago por bolsa]]))</f>
        <v>#NAME?</v>
      </c>
      <c r="AE1731" s="55" t="str">
        <f t="shared" ca="1" si="568"/>
        <v/>
      </c>
      <c r="AF1731" s="47" t="e">
        <f t="shared" ca="1" si="572"/>
        <v>#NAME?</v>
      </c>
      <c r="AG1731" s="47">
        <f t="shared" si="569"/>
        <v>41080101</v>
      </c>
      <c r="AH1731" s="54" t="str">
        <f>IF(Q1731="22",IF(ISNUMBER(SEARCH("econ",PAA_4[[#This Row],[Actividad3]])),"Económico",IF(ISNUMBER(SEARCH("alim",PAA_4[[#This Row],[Actividad3]])),"Alimentación",IF(ISNUMBER(SEARCH("educ",PAA_4[[#This Row],[Actividad3]])),"Educativo","Técnico"))),0)</f>
        <v>Técnico</v>
      </c>
      <c r="AI1731" s="47" t="e" cm="1">
        <f t="array" aca="1" ref="AI1731" ca="1">_xlfn.XLOOKUP(PAA_4[[#This Row],[RCP-RUBRO]],[2]!COMPROMISOS_2024[[#All],[concatenado]],[2]!COMPROMISOS_2024[[#All],[Total pagado]],"",0)</f>
        <v>#NAME?</v>
      </c>
      <c r="AJ1731" s="56" t="e">
        <f ca="1">IF(PAA_4[[#This Row],[BOLSA]]=0,0,SUMIFS([2]!COMPROMISOS_2024[[#All],[Total pagado]],[2]!COMPROMISOS_2024[[#All],[Bolsa]],PAA_4[[#This Row],[BOLSA]],[2]!COMPROMISOS_2024[[#All],[rubro]],PAA_4[[#This Row],[RCP-RUBRO]]))</f>
        <v>#REF!</v>
      </c>
      <c r="AK1731" s="47" t="e" cm="1">
        <f t="array" aca="1" ref="AK1731" ca="1">_xlfn.XLOOKUP(PAA_4[[#This Row],[RCP-RUBRO]],[2]!COMPROMISOS_2024[[#All],[concatenado]],[2]!COMPROMISOS_2024[[#All],[Total Comprometido]],"",0)</f>
        <v>#NAME?</v>
      </c>
      <c r="AL1731" s="47" t="e">
        <f ca="1">IF(PAA_4[[#This Row],[BOLSA]]=0,0,SUMIFS([2]!COMPROMISOS_2024[[#All],[Total Comprometido]],[2]!COMPROMISOS_2024[[#All],[Bolsa]],PAA_4[[#This Row],[BOLSA]],[2]!COMPROMISOS_2024[[#All],[concatenado]],PAA_4[[#This Row],[RCP-RUBRO]]))</f>
        <v>#REF!</v>
      </c>
    </row>
    <row r="1732" spans="1:38" s="19" customFormat="1" ht="31.5" customHeight="1">
      <c r="A1732" s="47">
        <v>969</v>
      </c>
      <c r="B1732" s="344">
        <v>80111600</v>
      </c>
      <c r="C1732" s="47" t="str">
        <f>VLOOKUP(PAA_4[[#This Row],[PROYECTO (formulado)2]],[2]PROYECTOS!$G$1:$L$32,6,0)</f>
        <v>SUBGERENCIA DE ALTOS LOGROS Y DEPORTE ASOCIADO</v>
      </c>
      <c r="D1732" s="47" t="str">
        <f>+IF(PAA_4[[#This Row],[UNIDAD DE CONTRATACION (formulado)]]="Subgerencia Administrativa y Financiera","FUNCIONAMIENTO","INVERSIÓN")</f>
        <v>INVERSIÓN</v>
      </c>
      <c r="E1732" s="48" t="str">
        <f>VLOOKUP(Q1732,[2]PROYECTOS!$G$1:$K$32,5,0)</f>
        <v>APOYO_TÉCNICO_Y_PSICOSOCIAL_A_LOS_DEPORTISTAS_DE_ANTIOQUIA</v>
      </c>
      <c r="F1732" s="48">
        <f>VLOOKUP(E1732,[2]PROYECTOS!$K$1:$M$32,3,0)</f>
        <v>2021003050069</v>
      </c>
      <c r="G1732" s="371" t="s">
        <v>239</v>
      </c>
      <c r="H1732" s="49" t="str">
        <f>VLOOKUP(Q1732,[2]PROYECTOS!$V$1:$W$32,2,0)</f>
        <v>050069</v>
      </c>
      <c r="I1732" s="374">
        <v>28142021</v>
      </c>
      <c r="J1732" s="286" t="s">
        <v>2014</v>
      </c>
      <c r="K1732" s="47" t="str">
        <f t="shared" ca="1" si="567"/>
        <v>CONTRATADO</v>
      </c>
      <c r="L1732" s="372" t="s">
        <v>147</v>
      </c>
      <c r="M1732" s="58" t="s">
        <v>1297</v>
      </c>
      <c r="N1732" s="344" t="s">
        <v>240</v>
      </c>
      <c r="O1732" s="51" t="e">
        <f>VLOOKUP(N1732,[2]!RUBROS[#All],3,0)</f>
        <v>#REF!</v>
      </c>
      <c r="P1732" s="53" t="e">
        <f>VLOOKUP(N1732,[2]!RUBROS[#All],2,0)</f>
        <v>#REF!</v>
      </c>
      <c r="Q1732" s="47" t="str">
        <f t="shared" si="570"/>
        <v>22</v>
      </c>
      <c r="R1732" s="47" t="str">
        <f t="shared" si="571"/>
        <v>0-205400</v>
      </c>
      <c r="S1732" s="342">
        <v>122</v>
      </c>
      <c r="T1732" s="59" t="s">
        <v>1970</v>
      </c>
      <c r="U1732" s="326" t="e">
        <f ca="1">_xlfn.XLOOKUP(PAA_4[[#This Row],[ITEM]],[2]Contrato!A:A,[2]Contrato!Q:Q,"",0)</f>
        <v>#NAME?</v>
      </c>
      <c r="V1732" s="47" t="s">
        <v>95</v>
      </c>
      <c r="W1732" s="373" t="s">
        <v>1971</v>
      </c>
      <c r="X1732" s="373" t="s">
        <v>1972</v>
      </c>
      <c r="Y1732" s="55" t="e">
        <f ca="1">_xlfn.XLOOKUP(PAA_4[[#This Row],[ITEM]],[2]Contrato!A:A,[2]Contrato!B:B,"",0)</f>
        <v>#NAME?</v>
      </c>
      <c r="Z1732" s="47" t="e">
        <f ca="1">_xlfn.XLOOKUP(PAA_4[[#This Row],[ITEM]],[2]Contrato!A:A,[2]Contrato!G:G,"",0)</f>
        <v>#NAME?</v>
      </c>
      <c r="AA1732" s="47" t="e">
        <f ca="1">_xlfn.XLOOKUP(PAA_4[[#This Row],[ITEM]],[2]Contrato!A:A,[2]Contrato!T:T,"",0)</f>
        <v>#NAME?</v>
      </c>
      <c r="AB1732" s="55" t="e">
        <f ca="1">+MAX(PAA_4[[#This Row],[Comprometido Contrato]],PAA_4[[#This Row],[Comprometido Bolsa]])</f>
        <v>#NAME?</v>
      </c>
      <c r="AC1732" s="55" t="str">
        <f t="shared" ca="1" si="566"/>
        <v/>
      </c>
      <c r="AD1732" s="55" t="e">
        <f ca="1">IF(PAA_4[[#This Row],[ESTADO (formulado)]]="NO CONTRATADO",0,MAX(PAA_4[[#This Row],[Pago por Contrato]],PAA_4[[#This Row],[Pago por bolsa]]))</f>
        <v>#NAME?</v>
      </c>
      <c r="AE1732" s="55" t="str">
        <f t="shared" ca="1" si="568"/>
        <v/>
      </c>
      <c r="AF1732" s="47" t="e">
        <f t="shared" ca="1" si="572"/>
        <v>#NAME?</v>
      </c>
      <c r="AG1732" s="47">
        <f t="shared" si="569"/>
        <v>41080101</v>
      </c>
      <c r="AH1732" s="54" t="str">
        <f>IF(Q1732="22",IF(ISNUMBER(SEARCH("econ",PAA_4[[#This Row],[Actividad3]])),"Económico",IF(ISNUMBER(SEARCH("alim",PAA_4[[#This Row],[Actividad3]])),"Alimentación",IF(ISNUMBER(SEARCH("educ",PAA_4[[#This Row],[Actividad3]])),"Educativo","Técnico"))),0)</f>
        <v>Técnico</v>
      </c>
      <c r="AI1732" s="47" t="e" cm="1">
        <f t="array" aca="1" ref="AI1732" ca="1">_xlfn.XLOOKUP(PAA_4[[#This Row],[RCP-RUBRO]],[2]!COMPROMISOS_2024[[#All],[concatenado]],[2]!COMPROMISOS_2024[[#All],[Total pagado]],"",0)</f>
        <v>#NAME?</v>
      </c>
      <c r="AJ1732" s="56" t="e">
        <f ca="1">IF(PAA_4[[#This Row],[BOLSA]]=0,0,SUMIFS([2]!COMPROMISOS_2024[[#All],[Total pagado]],[2]!COMPROMISOS_2024[[#All],[Bolsa]],PAA_4[[#This Row],[BOLSA]],[2]!COMPROMISOS_2024[[#All],[rubro]],PAA_4[[#This Row],[RCP-RUBRO]]))</f>
        <v>#REF!</v>
      </c>
      <c r="AK1732" s="47" t="e" cm="1">
        <f t="array" aca="1" ref="AK1732" ca="1">_xlfn.XLOOKUP(PAA_4[[#This Row],[RCP-RUBRO]],[2]!COMPROMISOS_2024[[#All],[concatenado]],[2]!COMPROMISOS_2024[[#All],[Total Comprometido]],"",0)</f>
        <v>#NAME?</v>
      </c>
      <c r="AL1732" s="47" t="e">
        <f ca="1">IF(PAA_4[[#This Row],[BOLSA]]=0,0,SUMIFS([2]!COMPROMISOS_2024[[#All],[Total Comprometido]],[2]!COMPROMISOS_2024[[#All],[Bolsa]],PAA_4[[#This Row],[BOLSA]],[2]!COMPROMISOS_2024[[#All],[concatenado]],PAA_4[[#This Row],[RCP-RUBRO]]))</f>
        <v>#REF!</v>
      </c>
    </row>
    <row r="1733" spans="1:38" s="19" customFormat="1" ht="31.5" customHeight="1">
      <c r="A1733" s="47">
        <v>970</v>
      </c>
      <c r="B1733" s="344">
        <v>80111600</v>
      </c>
      <c r="C1733" s="47" t="str">
        <f>VLOOKUP(PAA_4[[#This Row],[PROYECTO (formulado)2]],[2]PROYECTOS!$G$1:$L$32,6,0)</f>
        <v>SUBGERENCIA DE ALTOS LOGROS Y DEPORTE ASOCIADO</v>
      </c>
      <c r="D1733" s="47" t="str">
        <f>+IF(PAA_4[[#This Row],[UNIDAD DE CONTRATACION (formulado)]]="Subgerencia Administrativa y Financiera","FUNCIONAMIENTO","INVERSIÓN")</f>
        <v>INVERSIÓN</v>
      </c>
      <c r="E1733" s="48" t="str">
        <f>VLOOKUP(Q1733,[2]PROYECTOS!$G$1:$K$32,5,0)</f>
        <v>APOYO_TÉCNICO_Y_PSICOSOCIAL_A_LOS_DEPORTISTAS_DE_ANTIOQUIA</v>
      </c>
      <c r="F1733" s="48">
        <f>VLOOKUP(E1733,[2]PROYECTOS!$K$1:$M$32,3,0)</f>
        <v>2021003050069</v>
      </c>
      <c r="G1733" s="371" t="s">
        <v>239</v>
      </c>
      <c r="H1733" s="49" t="str">
        <f>VLOOKUP(Q1733,[2]PROYECTOS!$V$1:$W$32,2,0)</f>
        <v>050069</v>
      </c>
      <c r="I1733" s="374">
        <v>16073020</v>
      </c>
      <c r="J1733" s="286" t="s">
        <v>2014</v>
      </c>
      <c r="K1733" s="47" t="str">
        <f t="shared" ca="1" si="567"/>
        <v>CONTRATADO</v>
      </c>
      <c r="L1733" s="372" t="s">
        <v>147</v>
      </c>
      <c r="M1733" s="58" t="s">
        <v>1297</v>
      </c>
      <c r="N1733" s="344" t="s">
        <v>240</v>
      </c>
      <c r="O1733" s="51" t="e">
        <f>VLOOKUP(N1733,[2]!RUBROS[#All],3,0)</f>
        <v>#REF!</v>
      </c>
      <c r="P1733" s="53" t="e">
        <f>VLOOKUP(N1733,[2]!RUBROS[#All],2,0)</f>
        <v>#REF!</v>
      </c>
      <c r="Q1733" s="47" t="str">
        <f t="shared" si="570"/>
        <v>22</v>
      </c>
      <c r="R1733" s="47" t="str">
        <f t="shared" si="571"/>
        <v>0-205400</v>
      </c>
      <c r="S1733" s="342">
        <v>122</v>
      </c>
      <c r="T1733" s="59" t="s">
        <v>1970</v>
      </c>
      <c r="U1733" s="326" t="e">
        <f ca="1">_xlfn.XLOOKUP(PAA_4[[#This Row],[ITEM]],[2]Contrato!A:A,[2]Contrato!Q:Q,"",0)</f>
        <v>#NAME?</v>
      </c>
      <c r="V1733" s="47" t="s">
        <v>95</v>
      </c>
      <c r="W1733" s="373" t="s">
        <v>1971</v>
      </c>
      <c r="X1733" s="373" t="s">
        <v>1972</v>
      </c>
      <c r="Y1733" s="55" t="e">
        <f ca="1">_xlfn.XLOOKUP(PAA_4[[#This Row],[ITEM]],[2]Contrato!A:A,[2]Contrato!B:B,"",0)</f>
        <v>#NAME?</v>
      </c>
      <c r="Z1733" s="47" t="e">
        <f ca="1">_xlfn.XLOOKUP(PAA_4[[#This Row],[ITEM]],[2]Contrato!A:A,[2]Contrato!G:G,"",0)</f>
        <v>#NAME?</v>
      </c>
      <c r="AA1733" s="47" t="e">
        <f ca="1">_xlfn.XLOOKUP(PAA_4[[#This Row],[ITEM]],[2]Contrato!A:A,[2]Contrato!T:T,"",0)</f>
        <v>#NAME?</v>
      </c>
      <c r="AB1733" s="55" t="e">
        <f ca="1">+MAX(PAA_4[[#This Row],[Comprometido Contrato]],PAA_4[[#This Row],[Comprometido Bolsa]])</f>
        <v>#NAME?</v>
      </c>
      <c r="AC1733" s="55" t="str">
        <f t="shared" ca="1" si="566"/>
        <v/>
      </c>
      <c r="AD1733" s="55" t="e">
        <f ca="1">IF(PAA_4[[#This Row],[ESTADO (formulado)]]="NO CONTRATADO",0,MAX(PAA_4[[#This Row],[Pago por Contrato]],PAA_4[[#This Row],[Pago por bolsa]]))</f>
        <v>#NAME?</v>
      </c>
      <c r="AE1733" s="55" t="str">
        <f t="shared" ca="1" si="568"/>
        <v/>
      </c>
      <c r="AF1733" s="47" t="e">
        <f t="shared" ca="1" si="572"/>
        <v>#NAME?</v>
      </c>
      <c r="AG1733" s="47">
        <f t="shared" si="569"/>
        <v>41080101</v>
      </c>
      <c r="AH1733" s="54" t="str">
        <f>IF(Q1733="22",IF(ISNUMBER(SEARCH("econ",PAA_4[[#This Row],[Actividad3]])),"Económico",IF(ISNUMBER(SEARCH("alim",PAA_4[[#This Row],[Actividad3]])),"Alimentación",IF(ISNUMBER(SEARCH("educ",PAA_4[[#This Row],[Actividad3]])),"Educativo","Técnico"))),0)</f>
        <v>Técnico</v>
      </c>
      <c r="AI1733" s="47" t="e" cm="1">
        <f t="array" aca="1" ref="AI1733" ca="1">_xlfn.XLOOKUP(PAA_4[[#This Row],[RCP-RUBRO]],[2]!COMPROMISOS_2024[[#All],[concatenado]],[2]!COMPROMISOS_2024[[#All],[Total pagado]],"",0)</f>
        <v>#NAME?</v>
      </c>
      <c r="AJ1733" s="56" t="e">
        <f ca="1">IF(PAA_4[[#This Row],[BOLSA]]=0,0,SUMIFS([2]!COMPROMISOS_2024[[#All],[Total pagado]],[2]!COMPROMISOS_2024[[#All],[Bolsa]],PAA_4[[#This Row],[BOLSA]],[2]!COMPROMISOS_2024[[#All],[rubro]],PAA_4[[#This Row],[RCP-RUBRO]]))</f>
        <v>#REF!</v>
      </c>
      <c r="AK1733" s="47" t="e" cm="1">
        <f t="array" aca="1" ref="AK1733" ca="1">_xlfn.XLOOKUP(PAA_4[[#This Row],[RCP-RUBRO]],[2]!COMPROMISOS_2024[[#All],[concatenado]],[2]!COMPROMISOS_2024[[#All],[Total Comprometido]],"",0)</f>
        <v>#NAME?</v>
      </c>
      <c r="AL1733" s="47" t="e">
        <f ca="1">IF(PAA_4[[#This Row],[BOLSA]]=0,0,SUMIFS([2]!COMPROMISOS_2024[[#All],[Total Comprometido]],[2]!COMPROMISOS_2024[[#All],[Bolsa]],PAA_4[[#This Row],[BOLSA]],[2]!COMPROMISOS_2024[[#All],[concatenado]],PAA_4[[#This Row],[RCP-RUBRO]]))</f>
        <v>#REF!</v>
      </c>
    </row>
    <row r="1734" spans="1:38" s="19" customFormat="1" ht="31.5" customHeight="1">
      <c r="A1734" s="47">
        <v>971</v>
      </c>
      <c r="B1734" s="344">
        <v>80111600</v>
      </c>
      <c r="C1734" s="47" t="str">
        <f>VLOOKUP(PAA_4[[#This Row],[PROYECTO (formulado)2]],[2]PROYECTOS!$G$1:$L$32,6,0)</f>
        <v>SUBGERENCIA DE ALTOS LOGROS Y DEPORTE ASOCIADO</v>
      </c>
      <c r="D1734" s="47" t="str">
        <f>+IF(PAA_4[[#This Row],[UNIDAD DE CONTRATACION (formulado)]]="Subgerencia Administrativa y Financiera","FUNCIONAMIENTO","INVERSIÓN")</f>
        <v>INVERSIÓN</v>
      </c>
      <c r="E1734" s="48" t="str">
        <f>VLOOKUP(Q1734,[2]PROYECTOS!$G$1:$K$32,5,0)</f>
        <v>APOYO_TÉCNICO_Y_PSICOSOCIAL_A_LOS_DEPORTISTAS_DE_ANTIOQUIA</v>
      </c>
      <c r="F1734" s="48">
        <f>VLOOKUP(E1734,[2]PROYECTOS!$K$1:$M$32,3,0)</f>
        <v>2021003050069</v>
      </c>
      <c r="G1734" s="371" t="s">
        <v>239</v>
      </c>
      <c r="H1734" s="49" t="str">
        <f>VLOOKUP(Q1734,[2]PROYECTOS!$V$1:$W$32,2,0)</f>
        <v>050069</v>
      </c>
      <c r="I1734" s="374">
        <v>10471024</v>
      </c>
      <c r="J1734" s="286" t="s">
        <v>2014</v>
      </c>
      <c r="K1734" s="47" t="str">
        <f t="shared" ca="1" si="567"/>
        <v>CONTRATADO</v>
      </c>
      <c r="L1734" s="372" t="s">
        <v>147</v>
      </c>
      <c r="M1734" s="58" t="s">
        <v>1297</v>
      </c>
      <c r="N1734" s="344" t="s">
        <v>240</v>
      </c>
      <c r="O1734" s="51" t="e">
        <f>VLOOKUP(N1734,[2]!RUBROS[#All],3,0)</f>
        <v>#REF!</v>
      </c>
      <c r="P1734" s="53" t="e">
        <f>VLOOKUP(N1734,[2]!RUBROS[#All],2,0)</f>
        <v>#REF!</v>
      </c>
      <c r="Q1734" s="47" t="str">
        <f t="shared" si="570"/>
        <v>22</v>
      </c>
      <c r="R1734" s="47" t="str">
        <f t="shared" si="571"/>
        <v>0-205400</v>
      </c>
      <c r="S1734" s="342">
        <v>122</v>
      </c>
      <c r="T1734" s="59" t="s">
        <v>1970</v>
      </c>
      <c r="U1734" s="326" t="e">
        <f ca="1">_xlfn.XLOOKUP(PAA_4[[#This Row],[ITEM]],[2]Contrato!A:A,[2]Contrato!Q:Q,"",0)</f>
        <v>#NAME?</v>
      </c>
      <c r="V1734" s="47" t="s">
        <v>95</v>
      </c>
      <c r="W1734" s="373" t="s">
        <v>1971</v>
      </c>
      <c r="X1734" s="373" t="s">
        <v>1972</v>
      </c>
      <c r="Y1734" s="55" t="e">
        <f ca="1">_xlfn.XLOOKUP(PAA_4[[#This Row],[ITEM]],[2]Contrato!A:A,[2]Contrato!B:B,"",0)</f>
        <v>#NAME?</v>
      </c>
      <c r="Z1734" s="47" t="e">
        <f ca="1">_xlfn.XLOOKUP(PAA_4[[#This Row],[ITEM]],[2]Contrato!A:A,[2]Contrato!G:G,"",0)</f>
        <v>#NAME?</v>
      </c>
      <c r="AA1734" s="47" t="e">
        <f ca="1">_xlfn.XLOOKUP(PAA_4[[#This Row],[ITEM]],[2]Contrato!A:A,[2]Contrato!T:T,"",0)</f>
        <v>#NAME?</v>
      </c>
      <c r="AB1734" s="55" t="e">
        <f ca="1">+MAX(PAA_4[[#This Row],[Comprometido Contrato]],PAA_4[[#This Row],[Comprometido Bolsa]])</f>
        <v>#NAME?</v>
      </c>
      <c r="AC1734" s="55" t="str">
        <f t="shared" ca="1" si="566"/>
        <v/>
      </c>
      <c r="AD1734" s="55" t="e">
        <f ca="1">IF(PAA_4[[#This Row],[ESTADO (formulado)]]="NO CONTRATADO",0,MAX(PAA_4[[#This Row],[Pago por Contrato]],PAA_4[[#This Row],[Pago por bolsa]]))</f>
        <v>#NAME?</v>
      </c>
      <c r="AE1734" s="55" t="str">
        <f t="shared" ca="1" si="568"/>
        <v/>
      </c>
      <c r="AF1734" s="47" t="e">
        <f t="shared" ca="1" si="572"/>
        <v>#NAME?</v>
      </c>
      <c r="AG1734" s="47">
        <f t="shared" si="569"/>
        <v>41080101</v>
      </c>
      <c r="AH1734" s="54" t="str">
        <f>IF(Q1734="22",IF(ISNUMBER(SEARCH("econ",PAA_4[[#This Row],[Actividad3]])),"Económico",IF(ISNUMBER(SEARCH("alim",PAA_4[[#This Row],[Actividad3]])),"Alimentación",IF(ISNUMBER(SEARCH("educ",PAA_4[[#This Row],[Actividad3]])),"Educativo","Técnico"))),0)</f>
        <v>Técnico</v>
      </c>
      <c r="AI1734" s="47" t="e" cm="1">
        <f t="array" aca="1" ref="AI1734" ca="1">_xlfn.XLOOKUP(PAA_4[[#This Row],[RCP-RUBRO]],[2]!COMPROMISOS_2024[[#All],[concatenado]],[2]!COMPROMISOS_2024[[#All],[Total pagado]],"",0)</f>
        <v>#NAME?</v>
      </c>
      <c r="AJ1734" s="56" t="e">
        <f ca="1">IF(PAA_4[[#This Row],[BOLSA]]=0,0,SUMIFS([2]!COMPROMISOS_2024[[#All],[Total pagado]],[2]!COMPROMISOS_2024[[#All],[Bolsa]],PAA_4[[#This Row],[BOLSA]],[2]!COMPROMISOS_2024[[#All],[rubro]],PAA_4[[#This Row],[RCP-RUBRO]]))</f>
        <v>#REF!</v>
      </c>
      <c r="AK1734" s="47" t="e" cm="1">
        <f t="array" aca="1" ref="AK1734" ca="1">_xlfn.XLOOKUP(PAA_4[[#This Row],[RCP-RUBRO]],[2]!COMPROMISOS_2024[[#All],[concatenado]],[2]!COMPROMISOS_2024[[#All],[Total Comprometido]],"",0)</f>
        <v>#NAME?</v>
      </c>
      <c r="AL1734" s="47" t="e">
        <f ca="1">IF(PAA_4[[#This Row],[BOLSA]]=0,0,SUMIFS([2]!COMPROMISOS_2024[[#All],[Total Comprometido]],[2]!COMPROMISOS_2024[[#All],[Bolsa]],PAA_4[[#This Row],[BOLSA]],[2]!COMPROMISOS_2024[[#All],[concatenado]],PAA_4[[#This Row],[RCP-RUBRO]]))</f>
        <v>#REF!</v>
      </c>
    </row>
    <row r="1735" spans="1:38" s="19" customFormat="1" ht="31.5" customHeight="1">
      <c r="A1735" s="47" t="s">
        <v>82</v>
      </c>
      <c r="B1735" s="366" t="s">
        <v>42</v>
      </c>
      <c r="C1735" s="47" t="str">
        <f>VLOOKUP(PAA_4[[#This Row],[PROYECTO (formulado)2]],[2]PROYECTOS!$G$1:$L$32,6,0)</f>
        <v>SUBGERENCIA DE ALTOS LOGROS Y DEPORTE ASOCIADO</v>
      </c>
      <c r="D1735" s="47" t="str">
        <f>+IF(PAA_4[[#This Row],[UNIDAD DE CONTRATACION (formulado)]]="Subgerencia Administrativa y Financiera","FUNCIONAMIENTO","INVERSIÓN")</f>
        <v>INVERSIÓN</v>
      </c>
      <c r="E1735" s="48" t="str">
        <f>VLOOKUP(Q1735,[2]PROYECTOS!$G$1:$K$32,5,0)</f>
        <v>APOYO_TÉCNICO_Y_PSICOSOCIAL_A_LOS_DEPORTISTAS_DE_ANTIOQUIA</v>
      </c>
      <c r="F1735" s="48">
        <f>VLOOKUP(E1735,[2]PROYECTOS!$K$1:$M$32,3,0)</f>
        <v>2021003050069</v>
      </c>
      <c r="G1735" s="371" t="s">
        <v>241</v>
      </c>
      <c r="H1735" s="49" t="str">
        <f>VLOOKUP(Q1735,[2]PROYECTOS!$V$1:$W$32,2,0)</f>
        <v>050069</v>
      </c>
      <c r="I1735" s="374">
        <v>0</v>
      </c>
      <c r="J1735" s="366" t="s">
        <v>1778</v>
      </c>
      <c r="K1735" s="47" t="str">
        <f t="shared" ca="1" si="567"/>
        <v>CONTRATADO</v>
      </c>
      <c r="L1735" s="58" t="s">
        <v>42</v>
      </c>
      <c r="M1735" s="58" t="s">
        <v>42</v>
      </c>
      <c r="N1735" s="344" t="s">
        <v>240</v>
      </c>
      <c r="O1735" s="51" t="e">
        <f>VLOOKUP(N1735,[2]!RUBROS[#All],3,0)</f>
        <v>#REF!</v>
      </c>
      <c r="P1735" s="53" t="e">
        <f>VLOOKUP(N1735,[2]!RUBROS[#All],2,0)</f>
        <v>#REF!</v>
      </c>
      <c r="Q1735" s="47" t="str">
        <f t="shared" si="570"/>
        <v>22</v>
      </c>
      <c r="R1735" s="47" t="str">
        <f t="shared" si="571"/>
        <v>0-205400</v>
      </c>
      <c r="S1735" s="357" t="s">
        <v>42</v>
      </c>
      <c r="T1735" s="59" t="s">
        <v>42</v>
      </c>
      <c r="U1735" s="326" t="e">
        <f ca="1">_xlfn.XLOOKUP(PAA_4[[#This Row],[ITEM]],[2]Contrato!A:A,[2]Contrato!Q:Q,"",0)</f>
        <v>#NAME?</v>
      </c>
      <c r="V1735" s="47" t="s">
        <v>95</v>
      </c>
      <c r="W1735" s="375" t="s">
        <v>42</v>
      </c>
      <c r="X1735" s="375" t="s">
        <v>42</v>
      </c>
      <c r="Y1735" s="55" t="e">
        <f ca="1">_xlfn.XLOOKUP(PAA_4[[#This Row],[ITEM]],[2]Contrato!A:A,[2]Contrato!B:B,"",0)</f>
        <v>#NAME?</v>
      </c>
      <c r="Z1735" s="47" t="e">
        <f ca="1">_xlfn.XLOOKUP(PAA_4[[#This Row],[ITEM]],[2]Contrato!A:A,[2]Contrato!G:G,"",0)</f>
        <v>#NAME?</v>
      </c>
      <c r="AA1735" s="47" t="e">
        <f ca="1">_xlfn.XLOOKUP(PAA_4[[#This Row],[ITEM]],[2]Contrato!A:A,[2]Contrato!T:T,"",0)</f>
        <v>#NAME?</v>
      </c>
      <c r="AB1735" s="55" t="e">
        <f ca="1">+MAX(PAA_4[[#This Row],[Comprometido Contrato]],PAA_4[[#This Row],[Comprometido Bolsa]])</f>
        <v>#NAME?</v>
      </c>
      <c r="AC1735" s="55" t="str">
        <f t="shared" ca="1" si="566"/>
        <v/>
      </c>
      <c r="AD1735" s="55" t="e">
        <f ca="1">IF(PAA_4[[#This Row],[ESTADO (formulado)]]="NO CONTRATADO",0,MAX(PAA_4[[#This Row],[Pago por Contrato]],PAA_4[[#This Row],[Pago por bolsa]]))</f>
        <v>#NAME?</v>
      </c>
      <c r="AE1735" s="55" t="str">
        <f t="shared" ca="1" si="568"/>
        <v/>
      </c>
      <c r="AF1735" s="47" t="e">
        <f t="shared" ca="1" si="572"/>
        <v>#NAME?</v>
      </c>
      <c r="AG1735" s="47">
        <f t="shared" si="569"/>
        <v>41080106</v>
      </c>
      <c r="AH1735" s="54" t="str">
        <f>IF(Q1735="22",IF(ISNUMBER(SEARCH("econ",PAA_4[[#This Row],[Actividad3]])),"Económico",IF(ISNUMBER(SEARCH("alim",PAA_4[[#This Row],[Actividad3]])),"Alimentación",IF(ISNUMBER(SEARCH("educ",PAA_4[[#This Row],[Actividad3]])),"Educativo","Técnico"))),0)</f>
        <v>Técnico</v>
      </c>
      <c r="AI1735" s="47" t="e" cm="1">
        <f t="array" aca="1" ref="AI1735" ca="1">_xlfn.XLOOKUP(PAA_4[[#This Row],[RCP-RUBRO]],[2]!COMPROMISOS_2024[[#All],[concatenado]],[2]!COMPROMISOS_2024[[#All],[Total pagado]],"",0)</f>
        <v>#NAME?</v>
      </c>
      <c r="AJ1735" s="56" t="e">
        <f ca="1">IF(PAA_4[[#This Row],[BOLSA]]=0,0,SUMIFS([2]!COMPROMISOS_2024[[#All],[Total pagado]],[2]!COMPROMISOS_2024[[#All],[Bolsa]],PAA_4[[#This Row],[BOLSA]],[2]!COMPROMISOS_2024[[#All],[rubro]],PAA_4[[#This Row],[RCP-RUBRO]]))</f>
        <v>#REF!</v>
      </c>
      <c r="AK1735" s="47" t="e" cm="1">
        <f t="array" aca="1" ref="AK1735" ca="1">_xlfn.XLOOKUP(PAA_4[[#This Row],[RCP-RUBRO]],[2]!COMPROMISOS_2024[[#All],[concatenado]],[2]!COMPROMISOS_2024[[#All],[Total Comprometido]],"",0)</f>
        <v>#NAME?</v>
      </c>
      <c r="AL1735" s="47" t="e">
        <f ca="1">IF(PAA_4[[#This Row],[BOLSA]]=0,0,SUMIFS([2]!COMPROMISOS_2024[[#All],[Total Comprometido]],[2]!COMPROMISOS_2024[[#All],[Bolsa]],PAA_4[[#This Row],[BOLSA]],[2]!COMPROMISOS_2024[[#All],[concatenado]],PAA_4[[#This Row],[RCP-RUBRO]]))</f>
        <v>#REF!</v>
      </c>
    </row>
    <row r="1736" spans="1:38" s="19" customFormat="1" ht="31.5" customHeight="1">
      <c r="A1736" s="47">
        <v>972</v>
      </c>
      <c r="B1736" s="344">
        <v>80111600</v>
      </c>
      <c r="C1736" s="47" t="str">
        <f>VLOOKUP(PAA_4[[#This Row],[PROYECTO (formulado)2]],[2]PROYECTOS!$G$1:$L$32,6,0)</f>
        <v>SUBGERENCIA DE ALTOS LOGROS Y DEPORTE ASOCIADO</v>
      </c>
      <c r="D1736" s="47" t="str">
        <f>+IF(PAA_4[[#This Row],[UNIDAD DE CONTRATACION (formulado)]]="Subgerencia Administrativa y Financiera","FUNCIONAMIENTO","INVERSIÓN")</f>
        <v>INVERSIÓN</v>
      </c>
      <c r="E1736" s="48" t="str">
        <f>VLOOKUP(Q1736,[2]PROYECTOS!$G$1:$K$32,5,0)</f>
        <v>APOYO_TÉCNICO_Y_PSICOSOCIAL_A_LOS_DEPORTISTAS_DE_ANTIOQUIA</v>
      </c>
      <c r="F1736" s="48">
        <f>VLOOKUP(E1736,[2]PROYECTOS!$K$1:$M$32,3,0)</f>
        <v>2021003050069</v>
      </c>
      <c r="G1736" s="371" t="s">
        <v>241</v>
      </c>
      <c r="H1736" s="49" t="str">
        <f>VLOOKUP(Q1736,[2]PROYECTOS!$V$1:$W$32,2,0)</f>
        <v>050069</v>
      </c>
      <c r="I1736" s="374">
        <f>23714292-7641272</f>
        <v>16073020</v>
      </c>
      <c r="J1736" s="286" t="s">
        <v>2015</v>
      </c>
      <c r="K1736" s="47" t="str">
        <f t="shared" ca="1" si="567"/>
        <v>CONTRATADO</v>
      </c>
      <c r="L1736" s="372" t="s">
        <v>147</v>
      </c>
      <c r="M1736" s="58" t="s">
        <v>1297</v>
      </c>
      <c r="N1736" s="344" t="s">
        <v>240</v>
      </c>
      <c r="O1736" s="51" t="e">
        <f>VLOOKUP(N1736,[2]!RUBROS[#All],3,0)</f>
        <v>#REF!</v>
      </c>
      <c r="P1736" s="53" t="e">
        <f>VLOOKUP(N1736,[2]!RUBROS[#All],2,0)</f>
        <v>#REF!</v>
      </c>
      <c r="Q1736" s="47" t="str">
        <f t="shared" si="570"/>
        <v>22</v>
      </c>
      <c r="R1736" s="47" t="str">
        <f t="shared" si="571"/>
        <v>0-205400</v>
      </c>
      <c r="S1736" s="357">
        <v>122</v>
      </c>
      <c r="T1736" s="59" t="s">
        <v>1970</v>
      </c>
      <c r="U1736" s="326" t="e">
        <f ca="1">_xlfn.XLOOKUP(PAA_4[[#This Row],[ITEM]],[2]Contrato!A:A,[2]Contrato!Q:Q,"",0)</f>
        <v>#NAME?</v>
      </c>
      <c r="V1736" s="47" t="s">
        <v>95</v>
      </c>
      <c r="W1736" s="373" t="s">
        <v>1971</v>
      </c>
      <c r="X1736" s="373" t="s">
        <v>1972</v>
      </c>
      <c r="Y1736" s="55" t="e">
        <f ca="1">_xlfn.XLOOKUP(PAA_4[[#This Row],[ITEM]],[2]Contrato!A:A,[2]Contrato!B:B,"",0)</f>
        <v>#NAME?</v>
      </c>
      <c r="Z1736" s="47" t="e">
        <f ca="1">_xlfn.XLOOKUP(PAA_4[[#This Row],[ITEM]],[2]Contrato!A:A,[2]Contrato!G:G,"",0)</f>
        <v>#NAME?</v>
      </c>
      <c r="AA1736" s="47" t="e">
        <f ca="1">_xlfn.XLOOKUP(PAA_4[[#This Row],[ITEM]],[2]Contrato!A:A,[2]Contrato!T:T,"",0)</f>
        <v>#NAME?</v>
      </c>
      <c r="AB1736" s="55" t="e">
        <f ca="1">+MAX(PAA_4[[#This Row],[Comprometido Contrato]],PAA_4[[#This Row],[Comprometido Bolsa]])</f>
        <v>#NAME?</v>
      </c>
      <c r="AC1736" s="55" t="str">
        <f t="shared" ca="1" si="566"/>
        <v/>
      </c>
      <c r="AD1736" s="55" t="e">
        <f ca="1">IF(PAA_4[[#This Row],[ESTADO (formulado)]]="NO CONTRATADO",0,MAX(PAA_4[[#This Row],[Pago por Contrato]],PAA_4[[#This Row],[Pago por bolsa]]))</f>
        <v>#NAME?</v>
      </c>
      <c r="AE1736" s="55" t="str">
        <f t="shared" ca="1" si="568"/>
        <v/>
      </c>
      <c r="AF1736" s="47" t="e">
        <f t="shared" ca="1" si="572"/>
        <v>#NAME?</v>
      </c>
      <c r="AG1736" s="47">
        <f t="shared" si="569"/>
        <v>41080106</v>
      </c>
      <c r="AH1736" s="54" t="str">
        <f>IF(Q1736="22",IF(ISNUMBER(SEARCH("econ",PAA_4[[#This Row],[Actividad3]])),"Económico",IF(ISNUMBER(SEARCH("alim",PAA_4[[#This Row],[Actividad3]])),"Alimentación",IF(ISNUMBER(SEARCH("educ",PAA_4[[#This Row],[Actividad3]])),"Educativo","Técnico"))),0)</f>
        <v>Técnico</v>
      </c>
      <c r="AI1736" s="47" t="e" cm="1">
        <f t="array" aca="1" ref="AI1736" ca="1">_xlfn.XLOOKUP(PAA_4[[#This Row],[RCP-RUBRO]],[2]!COMPROMISOS_2024[[#All],[concatenado]],[2]!COMPROMISOS_2024[[#All],[Total pagado]],"",0)</f>
        <v>#NAME?</v>
      </c>
      <c r="AJ1736" s="56" t="e">
        <f ca="1">IF(PAA_4[[#This Row],[BOLSA]]=0,0,SUMIFS([2]!COMPROMISOS_2024[[#All],[Total pagado]],[2]!COMPROMISOS_2024[[#All],[Bolsa]],PAA_4[[#This Row],[BOLSA]],[2]!COMPROMISOS_2024[[#All],[rubro]],PAA_4[[#This Row],[RCP-RUBRO]]))</f>
        <v>#REF!</v>
      </c>
      <c r="AK1736" s="47" t="e" cm="1">
        <f t="array" aca="1" ref="AK1736" ca="1">_xlfn.XLOOKUP(PAA_4[[#This Row],[RCP-RUBRO]],[2]!COMPROMISOS_2024[[#All],[concatenado]],[2]!COMPROMISOS_2024[[#All],[Total Comprometido]],"",0)</f>
        <v>#NAME?</v>
      </c>
      <c r="AL1736" s="47" t="e">
        <f ca="1">IF(PAA_4[[#This Row],[BOLSA]]=0,0,SUMIFS([2]!COMPROMISOS_2024[[#All],[Total Comprometido]],[2]!COMPROMISOS_2024[[#All],[Bolsa]],PAA_4[[#This Row],[BOLSA]],[2]!COMPROMISOS_2024[[#All],[concatenado]],PAA_4[[#This Row],[RCP-RUBRO]]))</f>
        <v>#REF!</v>
      </c>
    </row>
    <row r="1737" spans="1:38" s="19" customFormat="1" ht="31.5" customHeight="1">
      <c r="A1737" s="47" t="s">
        <v>82</v>
      </c>
      <c r="B1737" s="366" t="s">
        <v>42</v>
      </c>
      <c r="C1737" s="47" t="str">
        <f>VLOOKUP(PAA_4[[#This Row],[PROYECTO (formulado)2]],[2]PROYECTOS!$G$1:$L$32,6,0)</f>
        <v>SUBGERENCIA DE ALTOS LOGROS Y DEPORTE ASOCIADO</v>
      </c>
      <c r="D1737" s="47" t="str">
        <f>+IF(PAA_4[[#This Row],[UNIDAD DE CONTRATACION (formulado)]]="Subgerencia Administrativa y Financiera","FUNCIONAMIENTO","INVERSIÓN")</f>
        <v>INVERSIÓN</v>
      </c>
      <c r="E1737" s="48" t="str">
        <f>VLOOKUP(Q1737,[2]PROYECTOS!$G$1:$K$32,5,0)</f>
        <v>APOYO_TÉCNICO_Y_PSICOSOCIAL_A_LOS_DEPORTISTAS_DE_ANTIOQUIA</v>
      </c>
      <c r="F1737" s="48">
        <f>VLOOKUP(E1737,[2]PROYECTOS!$K$1:$M$32,3,0)</f>
        <v>2021003050069</v>
      </c>
      <c r="G1737" s="371" t="s">
        <v>241</v>
      </c>
      <c r="H1737" s="49" t="str">
        <f>VLOOKUP(Q1737,[2]PROYECTOS!$V$1:$W$32,2,0)</f>
        <v>050069</v>
      </c>
      <c r="I1737" s="374">
        <v>0</v>
      </c>
      <c r="J1737" s="366" t="s">
        <v>1778</v>
      </c>
      <c r="K1737" s="47" t="str">
        <f t="shared" ca="1" si="567"/>
        <v>CONTRATADO</v>
      </c>
      <c r="L1737" s="58" t="s">
        <v>42</v>
      </c>
      <c r="M1737" s="58" t="s">
        <v>42</v>
      </c>
      <c r="N1737" s="344" t="s">
        <v>240</v>
      </c>
      <c r="O1737" s="51" t="e">
        <f>VLOOKUP(N1737,[2]!RUBROS[#All],3,0)</f>
        <v>#REF!</v>
      </c>
      <c r="P1737" s="53" t="e">
        <f>VLOOKUP(N1737,[2]!RUBROS[#All],2,0)</f>
        <v>#REF!</v>
      </c>
      <c r="Q1737" s="47" t="str">
        <f t="shared" si="570"/>
        <v>22</v>
      </c>
      <c r="R1737" s="47" t="str">
        <f t="shared" si="571"/>
        <v>0-205400</v>
      </c>
      <c r="S1737" s="357" t="s">
        <v>42</v>
      </c>
      <c r="T1737" s="59" t="s">
        <v>42</v>
      </c>
      <c r="U1737" s="326" t="e">
        <f ca="1">_xlfn.XLOOKUP(PAA_4[[#This Row],[ITEM]],[2]Contrato!A:A,[2]Contrato!Q:Q,"",0)</f>
        <v>#NAME?</v>
      </c>
      <c r="V1737" s="47" t="s">
        <v>95</v>
      </c>
      <c r="W1737" s="375" t="s">
        <v>42</v>
      </c>
      <c r="X1737" s="375" t="s">
        <v>42</v>
      </c>
      <c r="Y1737" s="55" t="e">
        <f ca="1">_xlfn.XLOOKUP(PAA_4[[#This Row],[ITEM]],[2]Contrato!A:A,[2]Contrato!B:B,"",0)</f>
        <v>#NAME?</v>
      </c>
      <c r="Z1737" s="47" t="e">
        <f ca="1">_xlfn.XLOOKUP(PAA_4[[#This Row],[ITEM]],[2]Contrato!A:A,[2]Contrato!G:G,"",0)</f>
        <v>#NAME?</v>
      </c>
      <c r="AA1737" s="47" t="e">
        <f ca="1">_xlfn.XLOOKUP(PAA_4[[#This Row],[ITEM]],[2]Contrato!A:A,[2]Contrato!T:T,"",0)</f>
        <v>#NAME?</v>
      </c>
      <c r="AB1737" s="55" t="e">
        <f ca="1">+MAX(PAA_4[[#This Row],[Comprometido Contrato]],PAA_4[[#This Row],[Comprometido Bolsa]])</f>
        <v>#NAME?</v>
      </c>
      <c r="AC1737" s="55" t="str">
        <f t="shared" ca="1" si="566"/>
        <v/>
      </c>
      <c r="AD1737" s="55" t="e">
        <f ca="1">IF(PAA_4[[#This Row],[ESTADO (formulado)]]="NO CONTRATADO",0,MAX(PAA_4[[#This Row],[Pago por Contrato]],PAA_4[[#This Row],[Pago por bolsa]]))</f>
        <v>#NAME?</v>
      </c>
      <c r="AE1737" s="55" t="str">
        <f t="shared" ca="1" si="568"/>
        <v/>
      </c>
      <c r="AF1737" s="47" t="e">
        <f t="shared" ca="1" si="572"/>
        <v>#NAME?</v>
      </c>
      <c r="AG1737" s="47">
        <f t="shared" si="569"/>
        <v>41080106</v>
      </c>
      <c r="AH1737" s="54" t="str">
        <f>IF(Q1737="22",IF(ISNUMBER(SEARCH("econ",PAA_4[[#This Row],[Actividad3]])),"Económico",IF(ISNUMBER(SEARCH("alim",PAA_4[[#This Row],[Actividad3]])),"Alimentación",IF(ISNUMBER(SEARCH("educ",PAA_4[[#This Row],[Actividad3]])),"Educativo","Técnico"))),0)</f>
        <v>Técnico</v>
      </c>
      <c r="AI1737" s="47" t="e" cm="1">
        <f t="array" aca="1" ref="AI1737" ca="1">_xlfn.XLOOKUP(PAA_4[[#This Row],[RCP-RUBRO]],[2]!COMPROMISOS_2024[[#All],[concatenado]],[2]!COMPROMISOS_2024[[#All],[Total pagado]],"",0)</f>
        <v>#NAME?</v>
      </c>
      <c r="AJ1737" s="56" t="e">
        <f ca="1">IF(PAA_4[[#This Row],[BOLSA]]=0,0,SUMIFS([2]!COMPROMISOS_2024[[#All],[Total pagado]],[2]!COMPROMISOS_2024[[#All],[Bolsa]],PAA_4[[#This Row],[BOLSA]],[2]!COMPROMISOS_2024[[#All],[rubro]],PAA_4[[#This Row],[RCP-RUBRO]]))</f>
        <v>#REF!</v>
      </c>
      <c r="AK1737" s="47" t="e" cm="1">
        <f t="array" aca="1" ref="AK1737" ca="1">_xlfn.XLOOKUP(PAA_4[[#This Row],[RCP-RUBRO]],[2]!COMPROMISOS_2024[[#All],[concatenado]],[2]!COMPROMISOS_2024[[#All],[Total Comprometido]],"",0)</f>
        <v>#NAME?</v>
      </c>
      <c r="AL1737" s="47" t="e">
        <f ca="1">IF(PAA_4[[#This Row],[BOLSA]]=0,0,SUMIFS([2]!COMPROMISOS_2024[[#All],[Total Comprometido]],[2]!COMPROMISOS_2024[[#All],[Bolsa]],PAA_4[[#This Row],[BOLSA]],[2]!COMPROMISOS_2024[[#All],[concatenado]],PAA_4[[#This Row],[RCP-RUBRO]]))</f>
        <v>#REF!</v>
      </c>
    </row>
    <row r="1738" spans="1:38" s="19" customFormat="1" ht="31.5" customHeight="1">
      <c r="A1738" s="47">
        <v>973</v>
      </c>
      <c r="B1738" s="344">
        <v>80111600</v>
      </c>
      <c r="C1738" s="47" t="str">
        <f>VLOOKUP(PAA_4[[#This Row],[PROYECTO (formulado)2]],[2]PROYECTOS!$G$1:$L$32,6,0)</f>
        <v>SUBGERENCIA DE ALTOS LOGROS Y DEPORTE ASOCIADO</v>
      </c>
      <c r="D1738" s="47" t="str">
        <f>+IF(PAA_4[[#This Row],[UNIDAD DE CONTRATACION (formulado)]]="Subgerencia Administrativa y Financiera","FUNCIONAMIENTO","INVERSIÓN")</f>
        <v>INVERSIÓN</v>
      </c>
      <c r="E1738" s="48" t="str">
        <f>VLOOKUP(Q1738,[2]PROYECTOS!$G$1:$K$32,5,0)</f>
        <v>APOYO_TÉCNICO_Y_PSICOSOCIAL_A_LOS_DEPORTISTAS_DE_ANTIOQUIA</v>
      </c>
      <c r="F1738" s="48">
        <f>VLOOKUP(E1738,[2]PROYECTOS!$K$1:$M$32,3,0)</f>
        <v>2021003050069</v>
      </c>
      <c r="G1738" s="371" t="s">
        <v>241</v>
      </c>
      <c r="H1738" s="49" t="str">
        <f>VLOOKUP(Q1738,[2]PROYECTOS!$V$1:$W$32,2,0)</f>
        <v>050069</v>
      </c>
      <c r="I1738" s="374">
        <f>15449052-4978028</f>
        <v>10471024</v>
      </c>
      <c r="J1738" s="286" t="s">
        <v>2016</v>
      </c>
      <c r="K1738" s="47" t="str">
        <f t="shared" ca="1" si="567"/>
        <v>CONTRATADO</v>
      </c>
      <c r="L1738" s="372" t="s">
        <v>147</v>
      </c>
      <c r="M1738" s="58" t="s">
        <v>1297</v>
      </c>
      <c r="N1738" s="344" t="s">
        <v>240</v>
      </c>
      <c r="O1738" s="51" t="e">
        <f>VLOOKUP(N1738,[2]!RUBROS[#All],3,0)</f>
        <v>#REF!</v>
      </c>
      <c r="P1738" s="53" t="e">
        <f>VLOOKUP(N1738,[2]!RUBROS[#All],2,0)</f>
        <v>#REF!</v>
      </c>
      <c r="Q1738" s="47" t="str">
        <f t="shared" si="570"/>
        <v>22</v>
      </c>
      <c r="R1738" s="47" t="str">
        <f t="shared" si="571"/>
        <v>0-205400</v>
      </c>
      <c r="S1738" s="357">
        <v>122</v>
      </c>
      <c r="T1738" s="59" t="s">
        <v>1970</v>
      </c>
      <c r="U1738" s="326" t="e">
        <f ca="1">_xlfn.XLOOKUP(PAA_4[[#This Row],[ITEM]],[2]Contrato!A:A,[2]Contrato!Q:Q,"",0)</f>
        <v>#NAME?</v>
      </c>
      <c r="V1738" s="47" t="s">
        <v>95</v>
      </c>
      <c r="W1738" s="373" t="s">
        <v>1971</v>
      </c>
      <c r="X1738" s="373" t="s">
        <v>1972</v>
      </c>
      <c r="Y1738" s="55" t="e">
        <f ca="1">_xlfn.XLOOKUP(PAA_4[[#This Row],[ITEM]],[2]Contrato!A:A,[2]Contrato!B:B,"",0)</f>
        <v>#NAME?</v>
      </c>
      <c r="Z1738" s="47" t="e">
        <f ca="1">_xlfn.XLOOKUP(PAA_4[[#This Row],[ITEM]],[2]Contrato!A:A,[2]Contrato!G:G,"",0)</f>
        <v>#NAME?</v>
      </c>
      <c r="AA1738" s="47" t="e">
        <f ca="1">_xlfn.XLOOKUP(PAA_4[[#This Row],[ITEM]],[2]Contrato!A:A,[2]Contrato!T:T,"",0)</f>
        <v>#NAME?</v>
      </c>
      <c r="AB1738" s="55" t="e">
        <f ca="1">+MAX(PAA_4[[#This Row],[Comprometido Contrato]],PAA_4[[#This Row],[Comprometido Bolsa]])</f>
        <v>#NAME?</v>
      </c>
      <c r="AC1738" s="55" t="str">
        <f t="shared" ca="1" si="566"/>
        <v/>
      </c>
      <c r="AD1738" s="55" t="e">
        <f ca="1">IF(PAA_4[[#This Row],[ESTADO (formulado)]]="NO CONTRATADO",0,MAX(PAA_4[[#This Row],[Pago por Contrato]],PAA_4[[#This Row],[Pago por bolsa]]))</f>
        <v>#NAME?</v>
      </c>
      <c r="AE1738" s="55" t="str">
        <f t="shared" ca="1" si="568"/>
        <v/>
      </c>
      <c r="AF1738" s="47" t="e">
        <f t="shared" ca="1" si="572"/>
        <v>#NAME?</v>
      </c>
      <c r="AG1738" s="47">
        <f t="shared" si="569"/>
        <v>41080106</v>
      </c>
      <c r="AH1738" s="54" t="str">
        <f>IF(Q1738="22",IF(ISNUMBER(SEARCH("econ",PAA_4[[#This Row],[Actividad3]])),"Económico",IF(ISNUMBER(SEARCH("alim",PAA_4[[#This Row],[Actividad3]])),"Alimentación",IF(ISNUMBER(SEARCH("educ",PAA_4[[#This Row],[Actividad3]])),"Educativo","Técnico"))),0)</f>
        <v>Técnico</v>
      </c>
      <c r="AI1738" s="47" t="e" cm="1">
        <f t="array" aca="1" ref="AI1738" ca="1">_xlfn.XLOOKUP(PAA_4[[#This Row],[RCP-RUBRO]],[2]!COMPROMISOS_2024[[#All],[concatenado]],[2]!COMPROMISOS_2024[[#All],[Total pagado]],"",0)</f>
        <v>#NAME?</v>
      </c>
      <c r="AJ1738" s="56" t="e">
        <f ca="1">IF(PAA_4[[#This Row],[BOLSA]]=0,0,SUMIFS([2]!COMPROMISOS_2024[[#All],[Total pagado]],[2]!COMPROMISOS_2024[[#All],[Bolsa]],PAA_4[[#This Row],[BOLSA]],[2]!COMPROMISOS_2024[[#All],[rubro]],PAA_4[[#This Row],[RCP-RUBRO]]))</f>
        <v>#REF!</v>
      </c>
      <c r="AK1738" s="47" t="e" cm="1">
        <f t="array" aca="1" ref="AK1738" ca="1">_xlfn.XLOOKUP(PAA_4[[#This Row],[RCP-RUBRO]],[2]!COMPROMISOS_2024[[#All],[concatenado]],[2]!COMPROMISOS_2024[[#All],[Total Comprometido]],"",0)</f>
        <v>#NAME?</v>
      </c>
      <c r="AL1738" s="47" t="e">
        <f ca="1">IF(PAA_4[[#This Row],[BOLSA]]=0,0,SUMIFS([2]!COMPROMISOS_2024[[#All],[Total Comprometido]],[2]!COMPROMISOS_2024[[#All],[Bolsa]],PAA_4[[#This Row],[BOLSA]],[2]!COMPROMISOS_2024[[#All],[concatenado]],PAA_4[[#This Row],[RCP-RUBRO]]))</f>
        <v>#REF!</v>
      </c>
    </row>
    <row r="1739" spans="1:38" s="19" customFormat="1" ht="31.5" customHeight="1">
      <c r="A1739" s="47" t="s">
        <v>82</v>
      </c>
      <c r="B1739" s="366" t="s">
        <v>42</v>
      </c>
      <c r="C1739" s="47" t="str">
        <f>VLOOKUP(PAA_4[[#This Row],[PROYECTO (formulado)2]],[2]PROYECTOS!$G$1:$L$32,6,0)</f>
        <v>SUBGERENCIA DE ALTOS LOGROS Y DEPORTE ASOCIADO</v>
      </c>
      <c r="D1739" s="47" t="str">
        <f>+IF(PAA_4[[#This Row],[UNIDAD DE CONTRATACION (formulado)]]="Subgerencia Administrativa y Financiera","FUNCIONAMIENTO","INVERSIÓN")</f>
        <v>INVERSIÓN</v>
      </c>
      <c r="E1739" s="48" t="str">
        <f>VLOOKUP(Q1739,[2]PROYECTOS!$G$1:$K$32,5,0)</f>
        <v>APOYO_TÉCNICO_Y_PSICOSOCIAL_A_LOS_DEPORTISTAS_DE_ANTIOQUIA</v>
      </c>
      <c r="F1739" s="48">
        <f>VLOOKUP(E1739,[2]PROYECTOS!$K$1:$M$32,3,0)</f>
        <v>2021003050069</v>
      </c>
      <c r="G1739" s="371" t="s">
        <v>241</v>
      </c>
      <c r="H1739" s="49" t="str">
        <f>VLOOKUP(Q1739,[2]PROYECTOS!$V$1:$W$32,2,0)</f>
        <v>050069</v>
      </c>
      <c r="I1739" s="374">
        <v>0</v>
      </c>
      <c r="J1739" s="366" t="s">
        <v>1778</v>
      </c>
      <c r="K1739" s="47" t="str">
        <f t="shared" ca="1" si="567"/>
        <v>CONTRATADO</v>
      </c>
      <c r="L1739" s="58" t="s">
        <v>42</v>
      </c>
      <c r="M1739" s="58" t="s">
        <v>42</v>
      </c>
      <c r="N1739" s="344" t="s">
        <v>240</v>
      </c>
      <c r="O1739" s="51" t="e">
        <f>VLOOKUP(N1739,[2]!RUBROS[#All],3,0)</f>
        <v>#REF!</v>
      </c>
      <c r="P1739" s="53" t="e">
        <f>VLOOKUP(N1739,[2]!RUBROS[#All],2,0)</f>
        <v>#REF!</v>
      </c>
      <c r="Q1739" s="47" t="str">
        <f t="shared" si="570"/>
        <v>22</v>
      </c>
      <c r="R1739" s="47" t="str">
        <f t="shared" si="571"/>
        <v>0-205400</v>
      </c>
      <c r="S1739" s="357" t="s">
        <v>42</v>
      </c>
      <c r="T1739" s="59" t="s">
        <v>42</v>
      </c>
      <c r="U1739" s="326" t="e">
        <f ca="1">_xlfn.XLOOKUP(PAA_4[[#This Row],[ITEM]],[2]Contrato!A:A,[2]Contrato!Q:Q,"",0)</f>
        <v>#NAME?</v>
      </c>
      <c r="V1739" s="47" t="s">
        <v>95</v>
      </c>
      <c r="W1739" s="375" t="s">
        <v>42</v>
      </c>
      <c r="X1739" s="375" t="s">
        <v>42</v>
      </c>
      <c r="Y1739" s="55" t="e">
        <f ca="1">_xlfn.XLOOKUP(PAA_4[[#This Row],[ITEM]],[2]Contrato!A:A,[2]Contrato!B:B,"",0)</f>
        <v>#NAME?</v>
      </c>
      <c r="Z1739" s="47" t="e">
        <f ca="1">_xlfn.XLOOKUP(PAA_4[[#This Row],[ITEM]],[2]Contrato!A:A,[2]Contrato!G:G,"",0)</f>
        <v>#NAME?</v>
      </c>
      <c r="AA1739" s="47" t="e">
        <f ca="1">_xlfn.XLOOKUP(PAA_4[[#This Row],[ITEM]],[2]Contrato!A:A,[2]Contrato!T:T,"",0)</f>
        <v>#NAME?</v>
      </c>
      <c r="AB1739" s="55" t="e">
        <f ca="1">+MAX(PAA_4[[#This Row],[Comprometido Contrato]],PAA_4[[#This Row],[Comprometido Bolsa]])</f>
        <v>#NAME?</v>
      </c>
      <c r="AC1739" s="55" t="str">
        <f t="shared" ca="1" si="566"/>
        <v/>
      </c>
      <c r="AD1739" s="55" t="e">
        <f ca="1">IF(PAA_4[[#This Row],[ESTADO (formulado)]]="NO CONTRATADO",0,MAX(PAA_4[[#This Row],[Pago por Contrato]],PAA_4[[#This Row],[Pago por bolsa]]))</f>
        <v>#NAME?</v>
      </c>
      <c r="AE1739" s="55" t="str">
        <f t="shared" ca="1" si="568"/>
        <v/>
      </c>
      <c r="AF1739" s="47" t="e">
        <f t="shared" ca="1" si="572"/>
        <v>#NAME?</v>
      </c>
      <c r="AG1739" s="47">
        <f t="shared" si="569"/>
        <v>41080106</v>
      </c>
      <c r="AH1739" s="54" t="str">
        <f>IF(Q1739="22",IF(ISNUMBER(SEARCH("econ",PAA_4[[#This Row],[Actividad3]])),"Económico",IF(ISNUMBER(SEARCH("alim",PAA_4[[#This Row],[Actividad3]])),"Alimentación",IF(ISNUMBER(SEARCH("educ",PAA_4[[#This Row],[Actividad3]])),"Educativo","Técnico"))),0)</f>
        <v>Técnico</v>
      </c>
      <c r="AI1739" s="47" t="e" cm="1">
        <f t="array" aca="1" ref="AI1739" ca="1">_xlfn.XLOOKUP(PAA_4[[#This Row],[RCP-RUBRO]],[2]!COMPROMISOS_2024[[#All],[concatenado]],[2]!COMPROMISOS_2024[[#All],[Total pagado]],"",0)</f>
        <v>#NAME?</v>
      </c>
      <c r="AJ1739" s="56" t="e">
        <f ca="1">IF(PAA_4[[#This Row],[BOLSA]]=0,0,SUMIFS([2]!COMPROMISOS_2024[[#All],[Total pagado]],[2]!COMPROMISOS_2024[[#All],[Bolsa]],PAA_4[[#This Row],[BOLSA]],[2]!COMPROMISOS_2024[[#All],[rubro]],PAA_4[[#This Row],[RCP-RUBRO]]))</f>
        <v>#REF!</v>
      </c>
      <c r="AK1739" s="47" t="e" cm="1">
        <f t="array" aca="1" ref="AK1739" ca="1">_xlfn.XLOOKUP(PAA_4[[#This Row],[RCP-RUBRO]],[2]!COMPROMISOS_2024[[#All],[concatenado]],[2]!COMPROMISOS_2024[[#All],[Total Comprometido]],"",0)</f>
        <v>#NAME?</v>
      </c>
      <c r="AL1739" s="47" t="e">
        <f ca="1">IF(PAA_4[[#This Row],[BOLSA]]=0,0,SUMIFS([2]!COMPROMISOS_2024[[#All],[Total Comprometido]],[2]!COMPROMISOS_2024[[#All],[Bolsa]],PAA_4[[#This Row],[BOLSA]],[2]!COMPROMISOS_2024[[#All],[concatenado]],PAA_4[[#This Row],[RCP-RUBRO]]))</f>
        <v>#REF!</v>
      </c>
    </row>
    <row r="1740" spans="1:38" s="19" customFormat="1" ht="31.5" customHeight="1">
      <c r="A1740" s="47">
        <v>974</v>
      </c>
      <c r="B1740" s="344">
        <v>80111600</v>
      </c>
      <c r="C1740" s="47" t="str">
        <f>VLOOKUP(PAA_4[[#This Row],[PROYECTO (formulado)2]],[2]PROYECTOS!$G$1:$L$32,6,0)</f>
        <v>SUBGERENCIA DE ALTOS LOGROS Y DEPORTE ASOCIADO</v>
      </c>
      <c r="D1740" s="47" t="str">
        <f>+IF(PAA_4[[#This Row],[UNIDAD DE CONTRATACION (formulado)]]="Subgerencia Administrativa y Financiera","FUNCIONAMIENTO","INVERSIÓN")</f>
        <v>INVERSIÓN</v>
      </c>
      <c r="E1740" s="48" t="str">
        <f>VLOOKUP(Q1740,[2]PROYECTOS!$G$1:$K$32,5,0)</f>
        <v>APOYO_TÉCNICO_Y_PSICOSOCIAL_A_LOS_DEPORTISTAS_DE_ANTIOQUIA</v>
      </c>
      <c r="F1740" s="48">
        <f>VLOOKUP(E1740,[2]PROYECTOS!$K$1:$M$32,3,0)</f>
        <v>2021003050069</v>
      </c>
      <c r="G1740" s="371" t="s">
        <v>241</v>
      </c>
      <c r="H1740" s="49" t="str">
        <f>VLOOKUP(Q1740,[2]PROYECTOS!$V$1:$W$32,2,0)</f>
        <v>050069</v>
      </c>
      <c r="I1740" s="374">
        <f>23714292-7641272</f>
        <v>16073020</v>
      </c>
      <c r="J1740" s="286" t="s">
        <v>2017</v>
      </c>
      <c r="K1740" s="47" t="str">
        <f t="shared" ca="1" si="567"/>
        <v>CONTRATADO</v>
      </c>
      <c r="L1740" s="372" t="s">
        <v>147</v>
      </c>
      <c r="M1740" s="58" t="s">
        <v>1297</v>
      </c>
      <c r="N1740" s="344" t="s">
        <v>240</v>
      </c>
      <c r="O1740" s="51" t="e">
        <f>VLOOKUP(N1740,[2]!RUBROS[#All],3,0)</f>
        <v>#REF!</v>
      </c>
      <c r="P1740" s="53" t="e">
        <f>VLOOKUP(N1740,[2]!RUBROS[#All],2,0)</f>
        <v>#REF!</v>
      </c>
      <c r="Q1740" s="47" t="str">
        <f t="shared" si="570"/>
        <v>22</v>
      </c>
      <c r="R1740" s="47" t="str">
        <f t="shared" si="571"/>
        <v>0-205400</v>
      </c>
      <c r="S1740" s="357">
        <v>122</v>
      </c>
      <c r="T1740" s="59" t="s">
        <v>1970</v>
      </c>
      <c r="U1740" s="326" t="e">
        <f ca="1">_xlfn.XLOOKUP(PAA_4[[#This Row],[ITEM]],[2]Contrato!A:A,[2]Contrato!Q:Q,"",0)</f>
        <v>#NAME?</v>
      </c>
      <c r="V1740" s="47" t="s">
        <v>95</v>
      </c>
      <c r="W1740" s="373" t="s">
        <v>1971</v>
      </c>
      <c r="X1740" s="373" t="s">
        <v>1972</v>
      </c>
      <c r="Y1740" s="55" t="e">
        <f ca="1">_xlfn.XLOOKUP(PAA_4[[#This Row],[ITEM]],[2]Contrato!A:A,[2]Contrato!B:B,"",0)</f>
        <v>#NAME?</v>
      </c>
      <c r="Z1740" s="47" t="e">
        <f ca="1">_xlfn.XLOOKUP(PAA_4[[#This Row],[ITEM]],[2]Contrato!A:A,[2]Contrato!G:G,"",0)</f>
        <v>#NAME?</v>
      </c>
      <c r="AA1740" s="47" t="e">
        <f ca="1">_xlfn.XLOOKUP(PAA_4[[#This Row],[ITEM]],[2]Contrato!A:A,[2]Contrato!T:T,"",0)</f>
        <v>#NAME?</v>
      </c>
      <c r="AB1740" s="55" t="e">
        <f ca="1">+MAX(PAA_4[[#This Row],[Comprometido Contrato]],PAA_4[[#This Row],[Comprometido Bolsa]])</f>
        <v>#NAME?</v>
      </c>
      <c r="AC1740" s="55" t="str">
        <f t="shared" ca="1" si="566"/>
        <v/>
      </c>
      <c r="AD1740" s="55" t="e">
        <f ca="1">IF(PAA_4[[#This Row],[ESTADO (formulado)]]="NO CONTRATADO",0,MAX(PAA_4[[#This Row],[Pago por Contrato]],PAA_4[[#This Row],[Pago por bolsa]]))</f>
        <v>#NAME?</v>
      </c>
      <c r="AE1740" s="55" t="str">
        <f t="shared" ca="1" si="568"/>
        <v/>
      </c>
      <c r="AF1740" s="47" t="e">
        <f t="shared" ca="1" si="572"/>
        <v>#NAME?</v>
      </c>
      <c r="AG1740" s="47">
        <f t="shared" si="569"/>
        <v>41080106</v>
      </c>
      <c r="AH1740" s="54" t="str">
        <f>IF(Q1740="22",IF(ISNUMBER(SEARCH("econ",PAA_4[[#This Row],[Actividad3]])),"Económico",IF(ISNUMBER(SEARCH("alim",PAA_4[[#This Row],[Actividad3]])),"Alimentación",IF(ISNUMBER(SEARCH("educ",PAA_4[[#This Row],[Actividad3]])),"Educativo","Técnico"))),0)</f>
        <v>Técnico</v>
      </c>
      <c r="AI1740" s="47" t="e" cm="1">
        <f t="array" aca="1" ref="AI1740" ca="1">_xlfn.XLOOKUP(PAA_4[[#This Row],[RCP-RUBRO]],[2]!COMPROMISOS_2024[[#All],[concatenado]],[2]!COMPROMISOS_2024[[#All],[Total pagado]],"",0)</f>
        <v>#NAME?</v>
      </c>
      <c r="AJ1740" s="56" t="e">
        <f ca="1">IF(PAA_4[[#This Row],[BOLSA]]=0,0,SUMIFS([2]!COMPROMISOS_2024[[#All],[Total pagado]],[2]!COMPROMISOS_2024[[#All],[Bolsa]],PAA_4[[#This Row],[BOLSA]],[2]!COMPROMISOS_2024[[#All],[rubro]],PAA_4[[#This Row],[RCP-RUBRO]]))</f>
        <v>#REF!</v>
      </c>
      <c r="AK1740" s="47" t="e" cm="1">
        <f t="array" aca="1" ref="AK1740" ca="1">_xlfn.XLOOKUP(PAA_4[[#This Row],[RCP-RUBRO]],[2]!COMPROMISOS_2024[[#All],[concatenado]],[2]!COMPROMISOS_2024[[#All],[Total Comprometido]],"",0)</f>
        <v>#NAME?</v>
      </c>
      <c r="AL1740" s="47" t="e">
        <f ca="1">IF(PAA_4[[#This Row],[BOLSA]]=0,0,SUMIFS([2]!COMPROMISOS_2024[[#All],[Total Comprometido]],[2]!COMPROMISOS_2024[[#All],[Bolsa]],PAA_4[[#This Row],[BOLSA]],[2]!COMPROMISOS_2024[[#All],[concatenado]],PAA_4[[#This Row],[RCP-RUBRO]]))</f>
        <v>#REF!</v>
      </c>
    </row>
    <row r="1741" spans="1:38" s="19" customFormat="1" ht="31.5" customHeight="1">
      <c r="A1741" s="47">
        <v>975</v>
      </c>
      <c r="B1741" s="344">
        <v>80111600</v>
      </c>
      <c r="C1741" s="47" t="str">
        <f>VLOOKUP(PAA_4[[#This Row],[PROYECTO (formulado)2]],[2]PROYECTOS!$G$1:$L$32,6,0)</f>
        <v>SUBGERENCIA DE ALTOS LOGROS Y DEPORTE ASOCIADO</v>
      </c>
      <c r="D1741" s="47" t="str">
        <f>+IF(PAA_4[[#This Row],[UNIDAD DE CONTRATACION (formulado)]]="Subgerencia Administrativa y Financiera","FUNCIONAMIENTO","INVERSIÓN")</f>
        <v>INVERSIÓN</v>
      </c>
      <c r="E1741" s="48" t="str">
        <f>VLOOKUP(Q1741,[2]PROYECTOS!$G$1:$K$32,5,0)</f>
        <v>APOYO_TÉCNICO_Y_PSICOSOCIAL_A_LOS_DEPORTISTAS_DE_ANTIOQUIA</v>
      </c>
      <c r="F1741" s="48">
        <f>VLOOKUP(E1741,[2]PROYECTOS!$K$1:$M$32,3,0)</f>
        <v>2021003050069</v>
      </c>
      <c r="G1741" s="371" t="s">
        <v>239</v>
      </c>
      <c r="H1741" s="49" t="str">
        <f>VLOOKUP(Q1741,[2]PROYECTOS!$V$1:$W$32,2,0)</f>
        <v>050069</v>
      </c>
      <c r="I1741" s="374">
        <v>10471024</v>
      </c>
      <c r="J1741" s="286" t="s">
        <v>2018</v>
      </c>
      <c r="K1741" s="47" t="str">
        <f t="shared" ca="1" si="567"/>
        <v>CONTRATADO</v>
      </c>
      <c r="L1741" s="372" t="s">
        <v>147</v>
      </c>
      <c r="M1741" s="58" t="s">
        <v>1297</v>
      </c>
      <c r="N1741" s="344" t="s">
        <v>240</v>
      </c>
      <c r="O1741" s="51" t="e">
        <f>VLOOKUP(N1741,[2]!RUBROS[#All],3,0)</f>
        <v>#REF!</v>
      </c>
      <c r="P1741" s="53" t="e">
        <f>VLOOKUP(N1741,[2]!RUBROS[#All],2,0)</f>
        <v>#REF!</v>
      </c>
      <c r="Q1741" s="47" t="str">
        <f t="shared" si="570"/>
        <v>22</v>
      </c>
      <c r="R1741" s="47" t="str">
        <f t="shared" si="571"/>
        <v>0-205400</v>
      </c>
      <c r="S1741" s="342">
        <v>122</v>
      </c>
      <c r="T1741" s="59" t="s">
        <v>1970</v>
      </c>
      <c r="U1741" s="326" t="e">
        <f ca="1">_xlfn.XLOOKUP(PAA_4[[#This Row],[ITEM]],[2]Contrato!A:A,[2]Contrato!Q:Q,"",0)</f>
        <v>#NAME?</v>
      </c>
      <c r="V1741" s="47" t="s">
        <v>95</v>
      </c>
      <c r="W1741" s="373" t="s">
        <v>1971</v>
      </c>
      <c r="X1741" s="373" t="s">
        <v>1972</v>
      </c>
      <c r="Y1741" s="55" t="e">
        <f ca="1">_xlfn.XLOOKUP(PAA_4[[#This Row],[ITEM]],[2]Contrato!A:A,[2]Contrato!B:B,"",0)</f>
        <v>#NAME?</v>
      </c>
      <c r="Z1741" s="47" t="e">
        <f ca="1">_xlfn.XLOOKUP(PAA_4[[#This Row],[ITEM]],[2]Contrato!A:A,[2]Contrato!G:G,"",0)</f>
        <v>#NAME?</v>
      </c>
      <c r="AA1741" s="47" t="e">
        <f ca="1">_xlfn.XLOOKUP(PAA_4[[#This Row],[ITEM]],[2]Contrato!A:A,[2]Contrato!T:T,"",0)</f>
        <v>#NAME?</v>
      </c>
      <c r="AB1741" s="55" t="e">
        <f ca="1">+MAX(PAA_4[[#This Row],[Comprometido Contrato]],PAA_4[[#This Row],[Comprometido Bolsa]])</f>
        <v>#NAME?</v>
      </c>
      <c r="AC1741" s="55" t="str">
        <f t="shared" ca="1" si="566"/>
        <v/>
      </c>
      <c r="AD1741" s="55" t="e">
        <f ca="1">IF(PAA_4[[#This Row],[ESTADO (formulado)]]="NO CONTRATADO",0,MAX(PAA_4[[#This Row],[Pago por Contrato]],PAA_4[[#This Row],[Pago por bolsa]]))</f>
        <v>#NAME?</v>
      </c>
      <c r="AE1741" s="55" t="str">
        <f t="shared" ca="1" si="568"/>
        <v/>
      </c>
      <c r="AF1741" s="47" t="e">
        <f t="shared" ca="1" si="572"/>
        <v>#NAME?</v>
      </c>
      <c r="AG1741" s="47">
        <f t="shared" si="569"/>
        <v>41080101</v>
      </c>
      <c r="AH1741" s="54" t="str">
        <f>IF(Q1741="22",IF(ISNUMBER(SEARCH("econ",PAA_4[[#This Row],[Actividad3]])),"Económico",IF(ISNUMBER(SEARCH("alim",PAA_4[[#This Row],[Actividad3]])),"Alimentación",IF(ISNUMBER(SEARCH("educ",PAA_4[[#This Row],[Actividad3]])),"Educativo","Técnico"))),0)</f>
        <v>Técnico</v>
      </c>
      <c r="AI1741" s="47" t="e" cm="1">
        <f t="array" aca="1" ref="AI1741" ca="1">_xlfn.XLOOKUP(PAA_4[[#This Row],[RCP-RUBRO]],[2]!COMPROMISOS_2024[[#All],[concatenado]],[2]!COMPROMISOS_2024[[#All],[Total pagado]],"",0)</f>
        <v>#NAME?</v>
      </c>
      <c r="AJ1741" s="56" t="e">
        <f ca="1">IF(PAA_4[[#This Row],[BOLSA]]=0,0,SUMIFS([2]!COMPROMISOS_2024[[#All],[Total pagado]],[2]!COMPROMISOS_2024[[#All],[Bolsa]],PAA_4[[#This Row],[BOLSA]],[2]!COMPROMISOS_2024[[#All],[rubro]],PAA_4[[#This Row],[RCP-RUBRO]]))</f>
        <v>#REF!</v>
      </c>
      <c r="AK1741" s="47" t="e" cm="1">
        <f t="array" aca="1" ref="AK1741" ca="1">_xlfn.XLOOKUP(PAA_4[[#This Row],[RCP-RUBRO]],[2]!COMPROMISOS_2024[[#All],[concatenado]],[2]!COMPROMISOS_2024[[#All],[Total Comprometido]],"",0)</f>
        <v>#NAME?</v>
      </c>
      <c r="AL1741" s="47" t="e">
        <f ca="1">IF(PAA_4[[#This Row],[BOLSA]]=0,0,SUMIFS([2]!COMPROMISOS_2024[[#All],[Total Comprometido]],[2]!COMPROMISOS_2024[[#All],[Bolsa]],PAA_4[[#This Row],[BOLSA]],[2]!COMPROMISOS_2024[[#All],[concatenado]],PAA_4[[#This Row],[RCP-RUBRO]]))</f>
        <v>#REF!</v>
      </c>
    </row>
    <row r="1742" spans="1:38" s="19" customFormat="1" ht="31.5" customHeight="1">
      <c r="A1742" s="47">
        <v>823</v>
      </c>
      <c r="B1742" s="47">
        <v>80111600</v>
      </c>
      <c r="C1742" s="47" t="str">
        <f>VLOOKUP(PAA_4[[#This Row],[PROYECTO (formulado)2]],[2]PROYECTOS!$G$1:$L$32,6,0)</f>
        <v>SUBGERENCIA DE ALTOS LOGROS Y DEPORTE ASOCIADO</v>
      </c>
      <c r="D1742" s="47" t="str">
        <f>+IF(PAA_4[[#This Row],[UNIDAD DE CONTRATACION (formulado)]]="Subgerencia Administrativa y Financiera","FUNCIONAMIENTO","INVERSIÓN")</f>
        <v>INVERSIÓN</v>
      </c>
      <c r="E1742" s="48" t="str">
        <f>VLOOKUP(Q1742,[2]PROYECTOS!$G$1:$K$32,5,0)</f>
        <v>APOYO_TÉCNICO_Y_PSICOSOCIAL_A_LOS_DEPORTISTAS_DE_ANTIOQUIA</v>
      </c>
      <c r="F1742" s="48">
        <f>VLOOKUP(E1742,[2]PROYECTOS!$K$1:$M$32,3,0)</f>
        <v>2021003050069</v>
      </c>
      <c r="G1742" s="49" t="s">
        <v>239</v>
      </c>
      <c r="H1742" s="49" t="str">
        <f>VLOOKUP(Q1742,[2]PROYECTOS!$V$1:$W$32,2,0)</f>
        <v>050069</v>
      </c>
      <c r="I1742" s="374">
        <v>0</v>
      </c>
      <c r="J1742" s="51" t="s">
        <v>2019</v>
      </c>
      <c r="K1742" s="47" t="str">
        <f t="shared" ca="1" si="567"/>
        <v>CONTRATADO</v>
      </c>
      <c r="L1742" s="47" t="s">
        <v>42</v>
      </c>
      <c r="M1742" s="47" t="s">
        <v>42</v>
      </c>
      <c r="N1742" s="52" t="s">
        <v>240</v>
      </c>
      <c r="O1742" s="51" t="e">
        <f>VLOOKUP(N1742,[2]!RUBROS[#All],3,0)</f>
        <v>#REF!</v>
      </c>
      <c r="P1742" s="53" t="e">
        <f>VLOOKUP(N1742,[2]!RUBROS[#All],2,0)</f>
        <v>#REF!</v>
      </c>
      <c r="Q1742" s="47" t="str">
        <f t="shared" si="570"/>
        <v>22</v>
      </c>
      <c r="R1742" s="47" t="str">
        <f t="shared" si="571"/>
        <v>0-205400</v>
      </c>
      <c r="S1742" s="339">
        <v>122</v>
      </c>
      <c r="T1742" s="59" t="s">
        <v>120</v>
      </c>
      <c r="U1742" s="326" t="e">
        <f ca="1">_xlfn.XLOOKUP(PAA_4[[#This Row],[ITEM]],[2]Contrato!A:A,[2]Contrato!Q:Q,"",0)</f>
        <v>#NAME?</v>
      </c>
      <c r="V1742" s="47" t="s">
        <v>95</v>
      </c>
      <c r="W1742" s="373" t="s">
        <v>1971</v>
      </c>
      <c r="X1742" s="373" t="s">
        <v>1972</v>
      </c>
      <c r="Y1742" s="55" t="e">
        <f ca="1">_xlfn.XLOOKUP(PAA_4[[#This Row],[ITEM]],[2]Contrato!A:A,[2]Contrato!B:B,"",0)</f>
        <v>#NAME?</v>
      </c>
      <c r="Z1742" s="47" t="e">
        <f ca="1">_xlfn.XLOOKUP(PAA_4[[#This Row],[ITEM]],[2]Contrato!A:A,[2]Contrato!G:G,"",0)</f>
        <v>#NAME?</v>
      </c>
      <c r="AA1742" s="47" t="e">
        <f ca="1">_xlfn.XLOOKUP(PAA_4[[#This Row],[ITEM]],[2]Contrato!A:A,[2]Contrato!T:T,"",0)</f>
        <v>#NAME?</v>
      </c>
      <c r="AB1742" s="55" t="e">
        <f ca="1">+MAX(PAA_4[[#This Row],[Comprometido Contrato]],PAA_4[[#This Row],[Comprometido Bolsa]])</f>
        <v>#NAME?</v>
      </c>
      <c r="AC1742" s="55" t="str">
        <f t="shared" ref="AC1742:AC1777" ca="1" si="573">IFERROR(I1742-AB1742,"")</f>
        <v/>
      </c>
      <c r="AD1742" s="55" t="e">
        <f ca="1">IF(PAA_4[[#This Row],[ESTADO (formulado)]]="NO CONTRATADO",0,MAX(PAA_4[[#This Row],[Pago por Contrato]],PAA_4[[#This Row],[Pago por bolsa]]))</f>
        <v>#NAME?</v>
      </c>
      <c r="AE1742" s="55" t="str">
        <f t="shared" ca="1" si="568"/>
        <v/>
      </c>
      <c r="AF1742" s="47" t="e">
        <f t="shared" ca="1" si="572"/>
        <v>#NAME?</v>
      </c>
      <c r="AG1742" s="47">
        <f t="shared" si="569"/>
        <v>41080101</v>
      </c>
      <c r="AH1742" s="54" t="str">
        <f>IF(Q1742="22",IF(ISNUMBER(SEARCH("econ",PAA_4[[#This Row],[Actividad3]])),"Económico",IF(ISNUMBER(SEARCH("alim",PAA_4[[#This Row],[Actividad3]])),"Alimentación",IF(ISNUMBER(SEARCH("educ",PAA_4[[#This Row],[Actividad3]])),"Educativo","Técnico"))),0)</f>
        <v>Técnico</v>
      </c>
      <c r="AI1742" s="47" t="e" cm="1">
        <f t="array" aca="1" ref="AI1742" ca="1">_xlfn.XLOOKUP(PAA_4[[#This Row],[RCP-RUBRO]],[2]!COMPROMISOS_2024[[#All],[concatenado]],[2]!COMPROMISOS_2024[[#All],[Total pagado]],"",0)</f>
        <v>#NAME?</v>
      </c>
      <c r="AJ1742" s="56" t="e">
        <f ca="1">IF(PAA_4[[#This Row],[BOLSA]]=0,0,SUMIFS([2]!COMPROMISOS_2024[[#All],[Total pagado]],[2]!COMPROMISOS_2024[[#All],[Bolsa]],PAA_4[[#This Row],[BOLSA]],[2]!COMPROMISOS_2024[[#All],[rubro]],PAA_4[[#This Row],[RCP-RUBRO]]))</f>
        <v>#REF!</v>
      </c>
      <c r="AK1742" s="47" t="e" cm="1">
        <f t="array" aca="1" ref="AK1742" ca="1">_xlfn.XLOOKUP(PAA_4[[#This Row],[RCP-RUBRO]],[2]!COMPROMISOS_2024[[#All],[concatenado]],[2]!COMPROMISOS_2024[[#All],[Total Comprometido]],"",0)</f>
        <v>#NAME?</v>
      </c>
      <c r="AL1742" s="47" t="e">
        <f ca="1">IF(PAA_4[[#This Row],[BOLSA]]=0,0,SUMIFS([2]!COMPROMISOS_2024[[#All],[Total Comprometido]],[2]!COMPROMISOS_2024[[#All],[Bolsa]],PAA_4[[#This Row],[BOLSA]],[2]!COMPROMISOS_2024[[#All],[concatenado]],PAA_4[[#This Row],[RCP-RUBRO]]))</f>
        <v>#REF!</v>
      </c>
    </row>
    <row r="1743" spans="1:38" s="19" customFormat="1" ht="31.5" customHeight="1">
      <c r="A1743" s="47">
        <v>824</v>
      </c>
      <c r="B1743" s="47">
        <v>80111600</v>
      </c>
      <c r="C1743" s="47" t="str">
        <f>VLOOKUP(PAA_4[[#This Row],[PROYECTO (formulado)2]],[2]PROYECTOS!$G$1:$L$32,6,0)</f>
        <v>SUBGERENCIA DE ALTOS LOGROS Y DEPORTE ASOCIADO</v>
      </c>
      <c r="D1743" s="47" t="str">
        <f>+IF(PAA_4[[#This Row],[UNIDAD DE CONTRATACION (formulado)]]="Subgerencia Administrativa y Financiera","FUNCIONAMIENTO","INVERSIÓN")</f>
        <v>INVERSIÓN</v>
      </c>
      <c r="E1743" s="48" t="str">
        <f>VLOOKUP(Q1743,[2]PROYECTOS!$G$1:$K$32,5,0)</f>
        <v>APOYO_TÉCNICO_Y_PSICOSOCIAL_A_LOS_DEPORTISTAS_DE_ANTIOQUIA</v>
      </c>
      <c r="F1743" s="48">
        <f>VLOOKUP(E1743,[2]PROYECTOS!$K$1:$M$32,3,0)</f>
        <v>2021003050069</v>
      </c>
      <c r="G1743" s="49" t="s">
        <v>241</v>
      </c>
      <c r="H1743" s="49" t="str">
        <f>VLOOKUP(Q1743,[2]PROYECTOS!$V$1:$W$32,2,0)</f>
        <v>050069</v>
      </c>
      <c r="I1743" s="374">
        <v>0</v>
      </c>
      <c r="J1743" s="51" t="s">
        <v>2019</v>
      </c>
      <c r="K1743" s="47" t="str">
        <f t="shared" ca="1" si="567"/>
        <v>CONTRATADO</v>
      </c>
      <c r="L1743" s="47" t="s">
        <v>42</v>
      </c>
      <c r="M1743" s="47" t="s">
        <v>42</v>
      </c>
      <c r="N1743" s="52" t="s">
        <v>240</v>
      </c>
      <c r="O1743" s="51" t="e">
        <f>VLOOKUP(N1743,[2]!RUBROS[#All],3,0)</f>
        <v>#REF!</v>
      </c>
      <c r="P1743" s="53" t="e">
        <f>VLOOKUP(N1743,[2]!RUBROS[#All],2,0)</f>
        <v>#REF!</v>
      </c>
      <c r="Q1743" s="47" t="str">
        <f t="shared" si="570"/>
        <v>22</v>
      </c>
      <c r="R1743" s="47" t="str">
        <f t="shared" si="571"/>
        <v>0-205400</v>
      </c>
      <c r="S1743" s="339">
        <v>122</v>
      </c>
      <c r="T1743" s="59" t="s">
        <v>120</v>
      </c>
      <c r="U1743" s="326" t="e">
        <f ca="1">_xlfn.XLOOKUP(PAA_4[[#This Row],[ITEM]],[2]Contrato!A:A,[2]Contrato!Q:Q,"",0)</f>
        <v>#NAME?</v>
      </c>
      <c r="V1743" s="47" t="s">
        <v>95</v>
      </c>
      <c r="W1743" s="373" t="s">
        <v>1971</v>
      </c>
      <c r="X1743" s="373" t="s">
        <v>1972</v>
      </c>
      <c r="Y1743" s="55" t="e">
        <f ca="1">_xlfn.XLOOKUP(PAA_4[[#This Row],[ITEM]],[2]Contrato!A:A,[2]Contrato!B:B,"",0)</f>
        <v>#NAME?</v>
      </c>
      <c r="Z1743" s="47" t="e">
        <f ca="1">_xlfn.XLOOKUP(PAA_4[[#This Row],[ITEM]],[2]Contrato!A:A,[2]Contrato!G:G,"",0)</f>
        <v>#NAME?</v>
      </c>
      <c r="AA1743" s="47" t="e">
        <f ca="1">_xlfn.XLOOKUP(PAA_4[[#This Row],[ITEM]],[2]Contrato!A:A,[2]Contrato!T:T,"",0)</f>
        <v>#NAME?</v>
      </c>
      <c r="AB1743" s="55" t="e">
        <f ca="1">+MAX(PAA_4[[#This Row],[Comprometido Contrato]],PAA_4[[#This Row],[Comprometido Bolsa]])</f>
        <v>#NAME?</v>
      </c>
      <c r="AC1743" s="55" t="str">
        <f t="shared" ca="1" si="573"/>
        <v/>
      </c>
      <c r="AD1743" s="55" t="e">
        <f ca="1">IF(PAA_4[[#This Row],[ESTADO (formulado)]]="NO CONTRATADO",0,MAX(PAA_4[[#This Row],[Pago por Contrato]],PAA_4[[#This Row],[Pago por bolsa]]))</f>
        <v>#NAME?</v>
      </c>
      <c r="AE1743" s="55" t="str">
        <f t="shared" ca="1" si="568"/>
        <v/>
      </c>
      <c r="AF1743" s="47" t="e">
        <f t="shared" ca="1" si="572"/>
        <v>#NAME?</v>
      </c>
      <c r="AG1743" s="47">
        <f t="shared" si="569"/>
        <v>41080106</v>
      </c>
      <c r="AH1743" s="54" t="str">
        <f>IF(Q1743="22",IF(ISNUMBER(SEARCH("econ",PAA_4[[#This Row],[Actividad3]])),"Económico",IF(ISNUMBER(SEARCH("alim",PAA_4[[#This Row],[Actividad3]])),"Alimentación",IF(ISNUMBER(SEARCH("educ",PAA_4[[#This Row],[Actividad3]])),"Educativo","Técnico"))),0)</f>
        <v>Técnico</v>
      </c>
      <c r="AI1743" s="47" t="e" cm="1">
        <f t="array" aca="1" ref="AI1743" ca="1">_xlfn.XLOOKUP(PAA_4[[#This Row],[RCP-RUBRO]],[2]!COMPROMISOS_2024[[#All],[concatenado]],[2]!COMPROMISOS_2024[[#All],[Total pagado]],"",0)</f>
        <v>#NAME?</v>
      </c>
      <c r="AJ1743" s="56" t="e">
        <f ca="1">IF(PAA_4[[#This Row],[BOLSA]]=0,0,SUMIFS([2]!COMPROMISOS_2024[[#All],[Total pagado]],[2]!COMPROMISOS_2024[[#All],[Bolsa]],PAA_4[[#This Row],[BOLSA]],[2]!COMPROMISOS_2024[[#All],[rubro]],PAA_4[[#This Row],[RCP-RUBRO]]))</f>
        <v>#REF!</v>
      </c>
      <c r="AK1743" s="47" t="e" cm="1">
        <f t="array" aca="1" ref="AK1743" ca="1">_xlfn.XLOOKUP(PAA_4[[#This Row],[RCP-RUBRO]],[2]!COMPROMISOS_2024[[#All],[concatenado]],[2]!COMPROMISOS_2024[[#All],[Total Comprometido]],"",0)</f>
        <v>#NAME?</v>
      </c>
      <c r="AL1743" s="47" t="e">
        <f ca="1">IF(PAA_4[[#This Row],[BOLSA]]=0,0,SUMIFS([2]!COMPROMISOS_2024[[#All],[Total Comprometido]],[2]!COMPROMISOS_2024[[#All],[Bolsa]],PAA_4[[#This Row],[BOLSA]],[2]!COMPROMISOS_2024[[#All],[concatenado]],PAA_4[[#This Row],[RCP-RUBRO]]))</f>
        <v>#REF!</v>
      </c>
    </row>
    <row r="1744" spans="1:38" s="19" customFormat="1" ht="31.5" customHeight="1">
      <c r="A1744" s="47" t="s">
        <v>82</v>
      </c>
      <c r="B1744" s="47" t="s">
        <v>42</v>
      </c>
      <c r="C1744" s="47" t="str">
        <f>VLOOKUP(PAA_4[[#This Row],[PROYECTO (formulado)2]],[2]PROYECTOS!$G$1:$L$32,6,0)</f>
        <v>SUBGERENCIA DE ALTOS LOGROS Y DEPORTE ASOCIADO</v>
      </c>
      <c r="D1744" s="47" t="str">
        <f>+IF(PAA_4[[#This Row],[UNIDAD DE CONTRATACION (formulado)]]="Subgerencia Administrativa y Financiera","FUNCIONAMIENTO","INVERSIÓN")</f>
        <v>INVERSIÓN</v>
      </c>
      <c r="E1744" s="48" t="str">
        <f>VLOOKUP(Q1744,[2]PROYECTOS!$G$1:$K$32,5,0)</f>
        <v>APOYO_TÉCNICO_Y_PSICOSOCIAL_A_LOS_DEPORTISTAS_DE_ANTIOQUIA</v>
      </c>
      <c r="F1744" s="48">
        <f>VLOOKUP(E1744,[2]PROYECTOS!$K$1:$M$32,3,0)</f>
        <v>2021003050069</v>
      </c>
      <c r="G1744" s="49" t="s">
        <v>220</v>
      </c>
      <c r="H1744" s="49" t="str">
        <f>VLOOKUP(Q1744,[2]PROYECTOS!$V$1:$W$32,2,0)</f>
        <v>050069</v>
      </c>
      <c r="I1744" s="78">
        <v>0</v>
      </c>
      <c r="J1744" s="51" t="s">
        <v>1503</v>
      </c>
      <c r="K1744" s="47" t="str">
        <f t="shared" ca="1" si="567"/>
        <v>CONTRATADO</v>
      </c>
      <c r="L1744" s="47" t="s">
        <v>1946</v>
      </c>
      <c r="M1744" s="47" t="s">
        <v>1236</v>
      </c>
      <c r="N1744" s="52" t="s">
        <v>219</v>
      </c>
      <c r="O1744" s="51" t="e">
        <f>VLOOKUP(N1744,[2]!RUBROS[#All],3,0)</f>
        <v>#REF!</v>
      </c>
      <c r="P1744" s="53" t="e">
        <f>VLOOKUP(N1744,[2]!RUBROS[#All],2,0)</f>
        <v>#REF!</v>
      </c>
      <c r="Q1744" s="47" t="str">
        <f t="shared" si="570"/>
        <v>22</v>
      </c>
      <c r="R1744" s="47" t="str">
        <f t="shared" si="571"/>
        <v>0-205400</v>
      </c>
      <c r="S1744" s="339" t="s">
        <v>42</v>
      </c>
      <c r="T1744" s="59" t="s">
        <v>42</v>
      </c>
      <c r="U1744" s="326" t="e">
        <f ca="1">_xlfn.XLOOKUP(PAA_4[[#This Row],[ITEM]],[2]Contrato!A:A,[2]Contrato!Q:Q,"",0)</f>
        <v>#NAME?</v>
      </c>
      <c r="V1744" s="47" t="s">
        <v>95</v>
      </c>
      <c r="W1744" s="47" t="s">
        <v>154</v>
      </c>
      <c r="X1744" s="47" t="s">
        <v>154</v>
      </c>
      <c r="Y1744" s="55" t="e">
        <f ca="1">_xlfn.XLOOKUP(PAA_4[[#This Row],[ITEM]],[2]Contrato!A:A,[2]Contrato!B:B,"",0)</f>
        <v>#NAME?</v>
      </c>
      <c r="Z1744" s="47" t="e">
        <f ca="1">_xlfn.XLOOKUP(PAA_4[[#This Row],[ITEM]],[2]Contrato!A:A,[2]Contrato!G:G,"",0)</f>
        <v>#NAME?</v>
      </c>
      <c r="AA1744" s="47" t="e">
        <f ca="1">_xlfn.XLOOKUP(PAA_4[[#This Row],[ITEM]],[2]Contrato!A:A,[2]Contrato!T:T,"",0)</f>
        <v>#NAME?</v>
      </c>
      <c r="AB1744" s="55" t="e">
        <f ca="1">+MAX(PAA_4[[#This Row],[Comprometido Contrato]],PAA_4[[#This Row],[Comprometido Bolsa]])</f>
        <v>#NAME?</v>
      </c>
      <c r="AC1744" s="55" t="str">
        <f t="shared" ca="1" si="573"/>
        <v/>
      </c>
      <c r="AD1744" s="55" t="e">
        <f ca="1">IF(PAA_4[[#This Row],[ESTADO (formulado)]]="NO CONTRATADO",0,MAX(PAA_4[[#This Row],[Pago por Contrato]],PAA_4[[#This Row],[Pago por bolsa]]))</f>
        <v>#NAME?</v>
      </c>
      <c r="AE1744" s="55" t="str">
        <f t="shared" ca="1" si="568"/>
        <v/>
      </c>
      <c r="AF1744" s="47" t="e">
        <f t="shared" ca="1" si="572"/>
        <v>#NAME?</v>
      </c>
      <c r="AG1744" s="47">
        <f t="shared" si="569"/>
        <v>41080104</v>
      </c>
      <c r="AH1744" s="54" t="str">
        <f>IF(Q1744="22",IF(ISNUMBER(SEARCH("econ",PAA_4[[#This Row],[Actividad3]])),"Económico",IF(ISNUMBER(SEARCH("alim",PAA_4[[#This Row],[Actividad3]])),"Alimentación",IF(ISNUMBER(SEARCH("educ",PAA_4[[#This Row],[Actividad3]])),"Educativo","Técnico"))),0)</f>
        <v>Educativo</v>
      </c>
      <c r="AI1744" s="47" t="e" cm="1">
        <f t="array" aca="1" ref="AI1744" ca="1">_xlfn.XLOOKUP(PAA_4[[#This Row],[RCP-RUBRO]],[2]!COMPROMISOS_2024[[#All],[concatenado]],[2]!COMPROMISOS_2024[[#All],[Total pagado]],"",0)</f>
        <v>#NAME?</v>
      </c>
      <c r="AJ1744" s="56" t="e">
        <f ca="1">IF(PAA_4[[#This Row],[BOLSA]]=0,0,SUMIFS([2]!COMPROMISOS_2024[[#All],[Total pagado]],[2]!COMPROMISOS_2024[[#All],[Bolsa]],PAA_4[[#This Row],[BOLSA]],[2]!COMPROMISOS_2024[[#All],[rubro]],PAA_4[[#This Row],[RCP-RUBRO]]))</f>
        <v>#REF!</v>
      </c>
      <c r="AK1744" s="47" t="e" cm="1">
        <f t="array" aca="1" ref="AK1744" ca="1">_xlfn.XLOOKUP(PAA_4[[#This Row],[RCP-RUBRO]],[2]!COMPROMISOS_2024[[#All],[concatenado]],[2]!COMPROMISOS_2024[[#All],[Total Comprometido]],"",0)</f>
        <v>#NAME?</v>
      </c>
      <c r="AL1744" s="47" t="e">
        <f ca="1">IF(PAA_4[[#This Row],[BOLSA]]=0,0,SUMIFS([2]!COMPROMISOS_2024[[#All],[Total Comprometido]],[2]!COMPROMISOS_2024[[#All],[Bolsa]],PAA_4[[#This Row],[BOLSA]],[2]!COMPROMISOS_2024[[#All],[concatenado]],PAA_4[[#This Row],[RCP-RUBRO]]))</f>
        <v>#REF!</v>
      </c>
    </row>
    <row r="1745" spans="1:38" s="19" customFormat="1" ht="31.5" customHeight="1">
      <c r="A1745" s="47" t="s">
        <v>82</v>
      </c>
      <c r="B1745" s="47" t="s">
        <v>42</v>
      </c>
      <c r="C1745" s="47" t="str">
        <f>VLOOKUP(PAA_4[[#This Row],[PROYECTO (formulado)2]],[2]PROYECTOS!$G$1:$L$32,6,0)</f>
        <v>SUBGERENCIA DE ALTOS LOGROS Y DEPORTE ASOCIADO</v>
      </c>
      <c r="D1745" s="47" t="str">
        <f>+IF(PAA_4[[#This Row],[UNIDAD DE CONTRATACION (formulado)]]="Subgerencia Administrativa y Financiera","FUNCIONAMIENTO","INVERSIÓN")</f>
        <v>INVERSIÓN</v>
      </c>
      <c r="E1745" s="48" t="str">
        <f>VLOOKUP(Q1745,[2]PROYECTOS!$G$1:$K$32,5,0)</f>
        <v>APOYO_TÉCNICO_Y_PSICOSOCIAL_A_LOS_DEPORTISTAS_DE_ANTIOQUIA</v>
      </c>
      <c r="F1745" s="48">
        <f>VLOOKUP(E1745,[2]PROYECTOS!$K$1:$M$32,3,0)</f>
        <v>2021003050069</v>
      </c>
      <c r="G1745" s="49" t="s">
        <v>262</v>
      </c>
      <c r="H1745" s="49" t="str">
        <f>VLOOKUP(Q1745,[2]PROYECTOS!$V$1:$W$32,2,0)</f>
        <v>050069</v>
      </c>
      <c r="I1745" s="78">
        <v>0</v>
      </c>
      <c r="J1745" s="51" t="s">
        <v>1503</v>
      </c>
      <c r="K1745" s="47" t="str">
        <f t="shared" ref="K1745:K1777" ca="1" si="574">IF(ISNONTEXT(Y1745)=TRUE,"CONTRATADO","NO CONTRATADO")</f>
        <v>CONTRATADO</v>
      </c>
      <c r="L1745" s="47" t="s">
        <v>1946</v>
      </c>
      <c r="M1745" s="47" t="s">
        <v>1236</v>
      </c>
      <c r="N1745" s="52" t="s">
        <v>219</v>
      </c>
      <c r="O1745" s="51" t="e">
        <f>VLOOKUP(N1745,[2]!RUBROS[#All],3,0)</f>
        <v>#REF!</v>
      </c>
      <c r="P1745" s="53" t="e">
        <f>VLOOKUP(N1745,[2]!RUBROS[#All],2,0)</f>
        <v>#REF!</v>
      </c>
      <c r="Q1745" s="47" t="str">
        <f t="shared" si="570"/>
        <v>22</v>
      </c>
      <c r="R1745" s="47" t="str">
        <f t="shared" si="571"/>
        <v>0-205400</v>
      </c>
      <c r="S1745" s="339" t="s">
        <v>42</v>
      </c>
      <c r="T1745" s="59" t="s">
        <v>42</v>
      </c>
      <c r="U1745" s="326" t="e">
        <f ca="1">_xlfn.XLOOKUP(PAA_4[[#This Row],[ITEM]],[2]Contrato!A:A,[2]Contrato!Q:Q,"",0)</f>
        <v>#NAME?</v>
      </c>
      <c r="V1745" s="47" t="s">
        <v>95</v>
      </c>
      <c r="W1745" s="47" t="s">
        <v>154</v>
      </c>
      <c r="X1745" s="47" t="s">
        <v>154</v>
      </c>
      <c r="Y1745" s="55" t="e">
        <f ca="1">_xlfn.XLOOKUP(PAA_4[[#This Row],[ITEM]],[2]Contrato!A:A,[2]Contrato!B:B,"",0)</f>
        <v>#NAME?</v>
      </c>
      <c r="Z1745" s="47" t="e">
        <f ca="1">_xlfn.XLOOKUP(PAA_4[[#This Row],[ITEM]],[2]Contrato!A:A,[2]Contrato!G:G,"",0)</f>
        <v>#NAME?</v>
      </c>
      <c r="AA1745" s="47" t="e">
        <f ca="1">_xlfn.XLOOKUP(PAA_4[[#This Row],[ITEM]],[2]Contrato!A:A,[2]Contrato!T:T,"",0)</f>
        <v>#NAME?</v>
      </c>
      <c r="AB1745" s="55" t="e">
        <f ca="1">+MAX(PAA_4[[#This Row],[Comprometido Contrato]],PAA_4[[#This Row],[Comprometido Bolsa]])</f>
        <v>#NAME?</v>
      </c>
      <c r="AC1745" s="55" t="str">
        <f t="shared" ca="1" si="573"/>
        <v/>
      </c>
      <c r="AD1745" s="55" t="e">
        <f ca="1">IF(PAA_4[[#This Row],[ESTADO (formulado)]]="NO CONTRATADO",0,MAX(PAA_4[[#This Row],[Pago por Contrato]],PAA_4[[#This Row],[Pago por bolsa]]))</f>
        <v>#NAME?</v>
      </c>
      <c r="AE1745" s="55" t="str">
        <f t="shared" ref="AE1745:AE1777" ca="1" si="575">+IFERROR(AB1745-AD1745,"")</f>
        <v/>
      </c>
      <c r="AF1745" s="47" t="e">
        <f t="shared" ca="1" si="572"/>
        <v>#NAME?</v>
      </c>
      <c r="AG1745" s="47">
        <f t="shared" ref="AG1745:AG1777" si="576">IFERROR(_xlfn.NUMBERVALUE(MID(G1745,1,8)),"")</f>
        <v>41080109</v>
      </c>
      <c r="AH1745" s="54" t="str">
        <f>IF(Q1745="22",IF(ISNUMBER(SEARCH("econ",PAA_4[[#This Row],[Actividad3]])),"Económico",IF(ISNUMBER(SEARCH("alim",PAA_4[[#This Row],[Actividad3]])),"Alimentación",IF(ISNUMBER(SEARCH("educ",PAA_4[[#This Row],[Actividad3]])),"Educativo","Técnico"))),0)</f>
        <v>Educativo</v>
      </c>
      <c r="AI1745" s="47" t="e" cm="1">
        <f t="array" aca="1" ref="AI1745" ca="1">_xlfn.XLOOKUP(PAA_4[[#This Row],[RCP-RUBRO]],[2]!COMPROMISOS_2024[[#All],[concatenado]],[2]!COMPROMISOS_2024[[#All],[Total pagado]],"",0)</f>
        <v>#NAME?</v>
      </c>
      <c r="AJ1745" s="56" t="e">
        <f ca="1">IF(PAA_4[[#This Row],[BOLSA]]=0,0,SUMIFS([2]!COMPROMISOS_2024[[#All],[Total pagado]],[2]!COMPROMISOS_2024[[#All],[Bolsa]],PAA_4[[#This Row],[BOLSA]],[2]!COMPROMISOS_2024[[#All],[rubro]],PAA_4[[#This Row],[RCP-RUBRO]]))</f>
        <v>#REF!</v>
      </c>
      <c r="AK1745" s="47" t="e" cm="1">
        <f t="array" aca="1" ref="AK1745" ca="1">_xlfn.XLOOKUP(PAA_4[[#This Row],[RCP-RUBRO]],[2]!COMPROMISOS_2024[[#All],[concatenado]],[2]!COMPROMISOS_2024[[#All],[Total Comprometido]],"",0)</f>
        <v>#NAME?</v>
      </c>
      <c r="AL1745" s="47" t="e">
        <f ca="1">IF(PAA_4[[#This Row],[BOLSA]]=0,0,SUMIFS([2]!COMPROMISOS_2024[[#All],[Total Comprometido]],[2]!COMPROMISOS_2024[[#All],[Bolsa]],PAA_4[[#This Row],[BOLSA]],[2]!COMPROMISOS_2024[[#All],[concatenado]],PAA_4[[#This Row],[RCP-RUBRO]]))</f>
        <v>#REF!</v>
      </c>
    </row>
    <row r="1746" spans="1:38" s="19" customFormat="1" ht="31.5" customHeight="1">
      <c r="A1746" s="47" t="s">
        <v>82</v>
      </c>
      <c r="B1746" s="47" t="s">
        <v>42</v>
      </c>
      <c r="C1746" s="47" t="str">
        <f>VLOOKUP(PAA_4[[#This Row],[PROYECTO (formulado)2]],[2]PROYECTOS!$G$1:$L$32,6,0)</f>
        <v>SUBGERENCIA DE ALTOS LOGROS Y DEPORTE ASOCIADO</v>
      </c>
      <c r="D1746" s="47" t="str">
        <f>+IF(PAA_4[[#This Row],[UNIDAD DE CONTRATACION (formulado)]]="Subgerencia Administrativa y Financiera","FUNCIONAMIENTO","INVERSIÓN")</f>
        <v>INVERSIÓN</v>
      </c>
      <c r="E1746" s="48" t="str">
        <f>VLOOKUP(Q1746,[2]PROYECTOS!$G$1:$K$32,5,0)</f>
        <v>APOYO_TÉCNICO_Y_PSICOSOCIAL_A_LOS_DEPORTISTAS_DE_ANTIOQUIA</v>
      </c>
      <c r="F1746" s="48">
        <f>VLOOKUP(E1746,[2]PROYECTOS!$K$1:$M$32,3,0)</f>
        <v>2021003050069</v>
      </c>
      <c r="G1746" s="49" t="s">
        <v>220</v>
      </c>
      <c r="H1746" s="49" t="str">
        <f>VLOOKUP(Q1746,[2]PROYECTOS!$V$1:$W$32,2,0)</f>
        <v>050069</v>
      </c>
      <c r="I1746" s="78">
        <v>0</v>
      </c>
      <c r="J1746" s="51" t="s">
        <v>1503</v>
      </c>
      <c r="K1746" s="47" t="str">
        <f t="shared" ca="1" si="574"/>
        <v>CONTRATADO</v>
      </c>
      <c r="L1746" s="47" t="s">
        <v>44</v>
      </c>
      <c r="M1746" s="47" t="s">
        <v>1236</v>
      </c>
      <c r="N1746" s="52" t="s">
        <v>219</v>
      </c>
      <c r="O1746" s="51" t="e">
        <f>VLOOKUP(N1746,[2]!RUBROS[#All],3,0)</f>
        <v>#REF!</v>
      </c>
      <c r="P1746" s="53" t="e">
        <f>VLOOKUP(N1746,[2]!RUBROS[#All],2,0)</f>
        <v>#REF!</v>
      </c>
      <c r="Q1746" s="47" t="str">
        <f t="shared" si="570"/>
        <v>22</v>
      </c>
      <c r="R1746" s="47" t="str">
        <f t="shared" si="571"/>
        <v>0-205400</v>
      </c>
      <c r="S1746" s="339" t="s">
        <v>42</v>
      </c>
      <c r="T1746" s="59" t="s">
        <v>42</v>
      </c>
      <c r="U1746" s="326" t="e">
        <f ca="1">_xlfn.XLOOKUP(PAA_4[[#This Row],[ITEM]],[2]Contrato!A:A,[2]Contrato!Q:Q,"",0)</f>
        <v>#NAME?</v>
      </c>
      <c r="V1746" s="47" t="s">
        <v>95</v>
      </c>
      <c r="W1746" s="47" t="s">
        <v>42</v>
      </c>
      <c r="X1746" s="47" t="s">
        <v>42</v>
      </c>
      <c r="Y1746" s="55" t="e">
        <f ca="1">_xlfn.XLOOKUP(PAA_4[[#This Row],[ITEM]],[2]Contrato!A:A,[2]Contrato!B:B,"",0)</f>
        <v>#NAME?</v>
      </c>
      <c r="Z1746" s="47" t="e">
        <f ca="1">_xlfn.XLOOKUP(PAA_4[[#This Row],[ITEM]],[2]Contrato!A:A,[2]Contrato!G:G,"",0)</f>
        <v>#NAME?</v>
      </c>
      <c r="AA1746" s="47" t="e">
        <f ca="1">_xlfn.XLOOKUP(PAA_4[[#This Row],[ITEM]],[2]Contrato!A:A,[2]Contrato!T:T,"",0)</f>
        <v>#NAME?</v>
      </c>
      <c r="AB1746" s="55" t="e">
        <f ca="1">+MAX(PAA_4[[#This Row],[Comprometido Contrato]],PAA_4[[#This Row],[Comprometido Bolsa]])</f>
        <v>#NAME?</v>
      </c>
      <c r="AC1746" s="55" t="str">
        <f t="shared" ca="1" si="573"/>
        <v/>
      </c>
      <c r="AD1746" s="55" t="e">
        <f ca="1">IF(PAA_4[[#This Row],[ESTADO (formulado)]]="NO CONTRATADO",0,MAX(PAA_4[[#This Row],[Pago por Contrato]],PAA_4[[#This Row],[Pago por bolsa]]))</f>
        <v>#NAME?</v>
      </c>
      <c r="AE1746" s="55" t="str">
        <f t="shared" ca="1" si="575"/>
        <v/>
      </c>
      <c r="AF1746" s="47" t="e">
        <f t="shared" ca="1" si="572"/>
        <v>#NAME?</v>
      </c>
      <c r="AG1746" s="47">
        <f t="shared" si="576"/>
        <v>41080104</v>
      </c>
      <c r="AH1746" s="54" t="str">
        <f>IF(Q1746="22",IF(ISNUMBER(SEARCH("econ",PAA_4[[#This Row],[Actividad3]])),"Económico",IF(ISNUMBER(SEARCH("alim",PAA_4[[#This Row],[Actividad3]])),"Alimentación",IF(ISNUMBER(SEARCH("educ",PAA_4[[#This Row],[Actividad3]])),"Educativo","Técnico"))),0)</f>
        <v>Educativo</v>
      </c>
      <c r="AI1746" s="47" t="e" cm="1">
        <f t="array" aca="1" ref="AI1746" ca="1">_xlfn.XLOOKUP(PAA_4[[#This Row],[RCP-RUBRO]],[2]!COMPROMISOS_2024[[#All],[concatenado]],[2]!COMPROMISOS_2024[[#All],[Total pagado]],"",0)</f>
        <v>#NAME?</v>
      </c>
      <c r="AJ1746" s="56" t="e">
        <f ca="1">IF(PAA_4[[#This Row],[BOLSA]]=0,0,SUMIFS([2]!COMPROMISOS_2024[[#All],[Total pagado]],[2]!COMPROMISOS_2024[[#All],[Bolsa]],PAA_4[[#This Row],[BOLSA]],[2]!COMPROMISOS_2024[[#All],[rubro]],PAA_4[[#This Row],[RCP-RUBRO]]))</f>
        <v>#REF!</v>
      </c>
      <c r="AK1746" s="47" t="e" cm="1">
        <f t="array" aca="1" ref="AK1746" ca="1">_xlfn.XLOOKUP(PAA_4[[#This Row],[RCP-RUBRO]],[2]!COMPROMISOS_2024[[#All],[concatenado]],[2]!COMPROMISOS_2024[[#All],[Total Comprometido]],"",0)</f>
        <v>#NAME?</v>
      </c>
      <c r="AL1746" s="47" t="e">
        <f ca="1">IF(PAA_4[[#This Row],[BOLSA]]=0,0,SUMIFS([2]!COMPROMISOS_2024[[#All],[Total Comprometido]],[2]!COMPROMISOS_2024[[#All],[Bolsa]],PAA_4[[#This Row],[BOLSA]],[2]!COMPROMISOS_2024[[#All],[concatenado]],PAA_4[[#This Row],[RCP-RUBRO]]))</f>
        <v>#REF!</v>
      </c>
    </row>
    <row r="1747" spans="1:38" s="19" customFormat="1" ht="31.5" customHeight="1">
      <c r="A1747" s="47" t="s">
        <v>82</v>
      </c>
      <c r="B1747" s="47" t="s">
        <v>42</v>
      </c>
      <c r="C1747" s="47" t="str">
        <f>VLOOKUP(PAA_4[[#This Row],[PROYECTO (formulado)2]],[2]PROYECTOS!$G$1:$L$32,6,0)</f>
        <v>SUBGERENCIA DE ALTOS LOGROS Y DEPORTE ASOCIADO</v>
      </c>
      <c r="D1747" s="47" t="str">
        <f>+IF(PAA_4[[#This Row],[UNIDAD DE CONTRATACION (formulado)]]="Subgerencia Administrativa y Financiera","FUNCIONAMIENTO","INVERSIÓN")</f>
        <v>INVERSIÓN</v>
      </c>
      <c r="E1747" s="48" t="str">
        <f>VLOOKUP(Q1747,[2]PROYECTOS!$G$1:$K$32,5,0)</f>
        <v>APOYO_TÉCNICO_Y_PSICOSOCIAL_A_LOS_DEPORTISTAS_DE_ANTIOQUIA</v>
      </c>
      <c r="F1747" s="48">
        <f>VLOOKUP(E1747,[2]PROYECTOS!$K$1:$M$32,3,0)</f>
        <v>2021003050069</v>
      </c>
      <c r="G1747" s="49" t="s">
        <v>262</v>
      </c>
      <c r="H1747" s="49" t="str">
        <f>VLOOKUP(Q1747,[2]PROYECTOS!$V$1:$W$32,2,0)</f>
        <v>050069</v>
      </c>
      <c r="I1747" s="78">
        <v>0</v>
      </c>
      <c r="J1747" s="51" t="s">
        <v>1503</v>
      </c>
      <c r="K1747" s="47" t="str">
        <f t="shared" ca="1" si="574"/>
        <v>CONTRATADO</v>
      </c>
      <c r="L1747" s="47" t="s">
        <v>44</v>
      </c>
      <c r="M1747" s="47" t="s">
        <v>1236</v>
      </c>
      <c r="N1747" s="52" t="s">
        <v>219</v>
      </c>
      <c r="O1747" s="51" t="e">
        <f>VLOOKUP(N1747,[2]!RUBROS[#All],3,0)</f>
        <v>#REF!</v>
      </c>
      <c r="P1747" s="53" t="e">
        <f>VLOOKUP(N1747,[2]!RUBROS[#All],2,0)</f>
        <v>#REF!</v>
      </c>
      <c r="Q1747" s="47" t="str">
        <f t="shared" si="570"/>
        <v>22</v>
      </c>
      <c r="R1747" s="47" t="str">
        <f t="shared" si="571"/>
        <v>0-205400</v>
      </c>
      <c r="S1747" s="339" t="s">
        <v>42</v>
      </c>
      <c r="T1747" s="59" t="s">
        <v>42</v>
      </c>
      <c r="U1747" s="326" t="e">
        <f ca="1">_xlfn.XLOOKUP(PAA_4[[#This Row],[ITEM]],[2]Contrato!A:A,[2]Contrato!Q:Q,"",0)</f>
        <v>#NAME?</v>
      </c>
      <c r="V1747" s="47" t="s">
        <v>95</v>
      </c>
      <c r="W1747" s="47" t="s">
        <v>42</v>
      </c>
      <c r="X1747" s="47" t="s">
        <v>42</v>
      </c>
      <c r="Y1747" s="55" t="e">
        <f ca="1">_xlfn.XLOOKUP(PAA_4[[#This Row],[ITEM]],[2]Contrato!A:A,[2]Contrato!B:B,"",0)</f>
        <v>#NAME?</v>
      </c>
      <c r="Z1747" s="47" t="e">
        <f ca="1">_xlfn.XLOOKUP(PAA_4[[#This Row],[ITEM]],[2]Contrato!A:A,[2]Contrato!G:G,"",0)</f>
        <v>#NAME?</v>
      </c>
      <c r="AA1747" s="47" t="e">
        <f ca="1">_xlfn.XLOOKUP(PAA_4[[#This Row],[ITEM]],[2]Contrato!A:A,[2]Contrato!T:T,"",0)</f>
        <v>#NAME?</v>
      </c>
      <c r="AB1747" s="55" t="e">
        <f ca="1">+MAX(PAA_4[[#This Row],[Comprometido Contrato]],PAA_4[[#This Row],[Comprometido Bolsa]])</f>
        <v>#NAME?</v>
      </c>
      <c r="AC1747" s="55" t="str">
        <f t="shared" ca="1" si="573"/>
        <v/>
      </c>
      <c r="AD1747" s="55" t="e">
        <f ca="1">IF(PAA_4[[#This Row],[ESTADO (formulado)]]="NO CONTRATADO",0,MAX(PAA_4[[#This Row],[Pago por Contrato]],PAA_4[[#This Row],[Pago por bolsa]]))</f>
        <v>#NAME?</v>
      </c>
      <c r="AE1747" s="55" t="str">
        <f t="shared" ca="1" si="575"/>
        <v/>
      </c>
      <c r="AF1747" s="47" t="e">
        <f t="shared" ca="1" si="572"/>
        <v>#NAME?</v>
      </c>
      <c r="AG1747" s="47">
        <f t="shared" si="576"/>
        <v>41080109</v>
      </c>
      <c r="AH1747" s="54" t="str">
        <f>IF(Q1747="22",IF(ISNUMBER(SEARCH("econ",PAA_4[[#This Row],[Actividad3]])),"Económico",IF(ISNUMBER(SEARCH("alim",PAA_4[[#This Row],[Actividad3]])),"Alimentación",IF(ISNUMBER(SEARCH("educ",PAA_4[[#This Row],[Actividad3]])),"Educativo","Técnico"))),0)</f>
        <v>Educativo</v>
      </c>
      <c r="AI1747" s="47" t="e" cm="1">
        <f t="array" aca="1" ref="AI1747" ca="1">_xlfn.XLOOKUP(PAA_4[[#This Row],[RCP-RUBRO]],[2]!COMPROMISOS_2024[[#All],[concatenado]],[2]!COMPROMISOS_2024[[#All],[Total pagado]],"",0)</f>
        <v>#NAME?</v>
      </c>
      <c r="AJ1747" s="56" t="e">
        <f ca="1">IF(PAA_4[[#This Row],[BOLSA]]=0,0,SUMIFS([2]!COMPROMISOS_2024[[#All],[Total pagado]],[2]!COMPROMISOS_2024[[#All],[Bolsa]],PAA_4[[#This Row],[BOLSA]],[2]!COMPROMISOS_2024[[#All],[rubro]],PAA_4[[#This Row],[RCP-RUBRO]]))</f>
        <v>#REF!</v>
      </c>
      <c r="AK1747" s="47" t="e" cm="1">
        <f t="array" aca="1" ref="AK1747" ca="1">_xlfn.XLOOKUP(PAA_4[[#This Row],[RCP-RUBRO]],[2]!COMPROMISOS_2024[[#All],[concatenado]],[2]!COMPROMISOS_2024[[#All],[Total Comprometido]],"",0)</f>
        <v>#NAME?</v>
      </c>
      <c r="AL1747" s="47" t="e">
        <f ca="1">IF(PAA_4[[#This Row],[BOLSA]]=0,0,SUMIFS([2]!COMPROMISOS_2024[[#All],[Total Comprometido]],[2]!COMPROMISOS_2024[[#All],[Bolsa]],PAA_4[[#This Row],[BOLSA]],[2]!COMPROMISOS_2024[[#All],[concatenado]],PAA_4[[#This Row],[RCP-RUBRO]]))</f>
        <v>#REF!</v>
      </c>
    </row>
    <row r="1748" spans="1:38" s="19" customFormat="1" ht="31.5" customHeight="1">
      <c r="A1748" s="47" t="s">
        <v>82</v>
      </c>
      <c r="B1748" s="47" t="s">
        <v>42</v>
      </c>
      <c r="C1748" s="47" t="str">
        <f>VLOOKUP(PAA_4[[#This Row],[PROYECTO (formulado)2]],[2]PROYECTOS!$G$1:$L$32,6,0)</f>
        <v>SUBGERENCIA DE ALTOS LOGROS Y DEPORTE ASOCIADO</v>
      </c>
      <c r="D1748" s="47" t="str">
        <f>+IF(PAA_4[[#This Row],[UNIDAD DE CONTRATACION (formulado)]]="Subgerencia Administrativa y Financiera","FUNCIONAMIENTO","INVERSIÓN")</f>
        <v>INVERSIÓN</v>
      </c>
      <c r="E1748" s="48" t="str">
        <f>VLOOKUP(Q1748,[2]PROYECTOS!$G$1:$K$32,5,0)</f>
        <v>APOYO_TÉCNICO_Y_PSICOSOCIAL_A_LOS_DEPORTISTAS_DE_ANTIOQUIA</v>
      </c>
      <c r="F1748" s="48">
        <f>VLOOKUP(E1748,[2]PROYECTOS!$K$1:$M$32,3,0)</f>
        <v>2021003050069</v>
      </c>
      <c r="G1748" s="49" t="s">
        <v>218</v>
      </c>
      <c r="H1748" s="49" t="str">
        <f>VLOOKUP(Q1748,[2]PROYECTOS!$V$1:$W$32,2,0)</f>
        <v>050069</v>
      </c>
      <c r="I1748" s="50">
        <v>0</v>
      </c>
      <c r="J1748" s="51" t="s">
        <v>1584</v>
      </c>
      <c r="K1748" s="47" t="str">
        <f t="shared" ca="1" si="574"/>
        <v>CONTRATADO</v>
      </c>
      <c r="L1748" s="47" t="s">
        <v>1946</v>
      </c>
      <c r="M1748" s="47" t="s">
        <v>1236</v>
      </c>
      <c r="N1748" s="52" t="s">
        <v>2020</v>
      </c>
      <c r="O1748" s="51" t="e">
        <f>VLOOKUP(N1748,[2]!RUBROS[#All],3,0)</f>
        <v>#REF!</v>
      </c>
      <c r="P1748" s="53" t="e">
        <f>VLOOKUP(N1748,[2]!RUBROS[#All],2,0)</f>
        <v>#REF!</v>
      </c>
      <c r="Q1748" s="47" t="str">
        <f t="shared" ref="Q1748:Q1777" si="577">+MID(N1748,11,2)</f>
        <v>22</v>
      </c>
      <c r="R1748" s="47" t="str">
        <f t="shared" ref="R1748:R1777" si="578">+MID(N1748,14,8)</f>
        <v>0-101024</v>
      </c>
      <c r="S1748" s="339" t="s">
        <v>42</v>
      </c>
      <c r="T1748" s="59" t="s">
        <v>42</v>
      </c>
      <c r="U1748" s="326" t="e">
        <f ca="1">_xlfn.XLOOKUP(PAA_4[[#This Row],[ITEM]],[2]Contrato!A:A,[2]Contrato!Q:Q,"",0)</f>
        <v>#NAME?</v>
      </c>
      <c r="V1748" s="47" t="s">
        <v>95</v>
      </c>
      <c r="W1748" s="47" t="s">
        <v>42</v>
      </c>
      <c r="X1748" s="47" t="s">
        <v>42</v>
      </c>
      <c r="Y1748" s="55" t="e">
        <f ca="1">_xlfn.XLOOKUP(PAA_4[[#This Row],[ITEM]],[2]Contrato!A:A,[2]Contrato!B:B,"",0)</f>
        <v>#NAME?</v>
      </c>
      <c r="Z1748" s="47" t="e">
        <f ca="1">_xlfn.XLOOKUP(PAA_4[[#This Row],[ITEM]],[2]Contrato!A:A,[2]Contrato!G:G,"",0)</f>
        <v>#NAME?</v>
      </c>
      <c r="AA1748" s="47" t="e">
        <f ca="1">_xlfn.XLOOKUP(PAA_4[[#This Row],[ITEM]],[2]Contrato!A:A,[2]Contrato!T:T,"",0)</f>
        <v>#NAME?</v>
      </c>
      <c r="AB1748" s="55" t="e">
        <f ca="1">+MAX(PAA_4[[#This Row],[Comprometido Contrato]],PAA_4[[#This Row],[Comprometido Bolsa]])</f>
        <v>#NAME?</v>
      </c>
      <c r="AC1748" s="55" t="str">
        <f t="shared" ca="1" si="573"/>
        <v/>
      </c>
      <c r="AD1748" s="55" t="e">
        <f ca="1">IF(PAA_4[[#This Row],[ESTADO (formulado)]]="NO CONTRATADO",0,MAX(PAA_4[[#This Row],[Pago por Contrato]],PAA_4[[#This Row],[Pago por bolsa]]))</f>
        <v>#NAME?</v>
      </c>
      <c r="AE1748" s="55" t="str">
        <f t="shared" ca="1" si="575"/>
        <v/>
      </c>
      <c r="AF1748" s="47" t="e">
        <f t="shared" ca="1" si="572"/>
        <v>#NAME?</v>
      </c>
      <c r="AG1748" s="47">
        <f t="shared" si="576"/>
        <v>41080102</v>
      </c>
      <c r="AH1748" s="54" t="str">
        <f>IF(Q1748="22",IF(ISNUMBER(SEARCH("econ",PAA_4[[#This Row],[Actividad3]])),"Económico",IF(ISNUMBER(SEARCH("alim",PAA_4[[#This Row],[Actividad3]])),"Alimentación",IF(ISNUMBER(SEARCH("educ",PAA_4[[#This Row],[Actividad3]])),"Educativo","Técnico"))),0)</f>
        <v>Económico</v>
      </c>
      <c r="AI1748" s="47" t="e" cm="1">
        <f t="array" aca="1" ref="AI1748" ca="1">_xlfn.XLOOKUP(PAA_4[[#This Row],[RCP-RUBRO]],[2]!COMPROMISOS_2024[[#All],[concatenado]],[2]!COMPROMISOS_2024[[#All],[Total pagado]],"",0)</f>
        <v>#NAME?</v>
      </c>
      <c r="AJ1748" s="56" t="e">
        <f ca="1">IF(PAA_4[[#This Row],[BOLSA]]=0,0,SUMIFS([2]!COMPROMISOS_2024[[#All],[Total pagado]],[2]!COMPROMISOS_2024[[#All],[Bolsa]],PAA_4[[#This Row],[BOLSA]],[2]!COMPROMISOS_2024[[#All],[rubro]],PAA_4[[#This Row],[RCP-RUBRO]]))</f>
        <v>#REF!</v>
      </c>
      <c r="AK1748" s="47" t="e" cm="1">
        <f t="array" aca="1" ref="AK1748" ca="1">_xlfn.XLOOKUP(PAA_4[[#This Row],[RCP-RUBRO]],[2]!COMPROMISOS_2024[[#All],[concatenado]],[2]!COMPROMISOS_2024[[#All],[Total Comprometido]],"",0)</f>
        <v>#NAME?</v>
      </c>
      <c r="AL1748" s="47" t="e">
        <f ca="1">IF(PAA_4[[#This Row],[BOLSA]]=0,0,SUMIFS([2]!COMPROMISOS_2024[[#All],[Total Comprometido]],[2]!COMPROMISOS_2024[[#All],[Bolsa]],PAA_4[[#This Row],[BOLSA]],[2]!COMPROMISOS_2024[[#All],[concatenado]],PAA_4[[#This Row],[RCP-RUBRO]]))</f>
        <v>#REF!</v>
      </c>
    </row>
    <row r="1749" spans="1:38" s="19" customFormat="1" ht="31.5" customHeight="1">
      <c r="A1749" s="47" t="s">
        <v>82</v>
      </c>
      <c r="B1749" s="47" t="s">
        <v>42</v>
      </c>
      <c r="C1749" s="47" t="str">
        <f>VLOOKUP(PAA_4[[#This Row],[PROYECTO (formulado)2]],[2]PROYECTOS!$G$1:$L$32,6,0)</f>
        <v>SUBGERENCIA DE ALTOS LOGROS Y DEPORTE ASOCIADO</v>
      </c>
      <c r="D1749" s="47" t="str">
        <f>+IF(PAA_4[[#This Row],[UNIDAD DE CONTRATACION (formulado)]]="Subgerencia Administrativa y Financiera","FUNCIONAMIENTO","INVERSIÓN")</f>
        <v>INVERSIÓN</v>
      </c>
      <c r="E1749" s="48" t="str">
        <f>VLOOKUP(Q1749,[2]PROYECTOS!$G$1:$K$32,5,0)</f>
        <v>APOYO_TÉCNICO_Y_PSICOSOCIAL_A_LOS_DEPORTISTAS_DE_ANTIOQUIA</v>
      </c>
      <c r="F1749" s="48">
        <f>VLOOKUP(E1749,[2]PROYECTOS!$K$1:$M$32,3,0)</f>
        <v>2021003050069</v>
      </c>
      <c r="G1749" s="49" t="s">
        <v>218</v>
      </c>
      <c r="H1749" s="49" t="str">
        <f>VLOOKUP(Q1749,[2]PROYECTOS!$V$1:$W$32,2,0)</f>
        <v>050069</v>
      </c>
      <c r="I1749" s="50">
        <v>0</v>
      </c>
      <c r="J1749" s="51" t="s">
        <v>1584</v>
      </c>
      <c r="K1749" s="47" t="str">
        <f t="shared" ca="1" si="574"/>
        <v>CONTRATADO</v>
      </c>
      <c r="L1749" s="47" t="s">
        <v>1946</v>
      </c>
      <c r="M1749" s="47" t="s">
        <v>1236</v>
      </c>
      <c r="N1749" s="52" t="s">
        <v>2020</v>
      </c>
      <c r="O1749" s="51" t="e">
        <f>VLOOKUP(N1749,[2]!RUBROS[#All],3,0)</f>
        <v>#REF!</v>
      </c>
      <c r="P1749" s="53" t="e">
        <f>VLOOKUP(N1749,[2]!RUBROS[#All],2,0)</f>
        <v>#REF!</v>
      </c>
      <c r="Q1749" s="47" t="str">
        <f t="shared" si="577"/>
        <v>22</v>
      </c>
      <c r="R1749" s="47" t="str">
        <f t="shared" si="578"/>
        <v>0-101024</v>
      </c>
      <c r="S1749" s="339" t="s">
        <v>42</v>
      </c>
      <c r="T1749" s="59" t="s">
        <v>42</v>
      </c>
      <c r="U1749" s="326" t="e">
        <f ca="1">_xlfn.XLOOKUP(PAA_4[[#This Row],[ITEM]],[2]Contrato!A:A,[2]Contrato!Q:Q,"",0)</f>
        <v>#NAME?</v>
      </c>
      <c r="V1749" s="47" t="s">
        <v>95</v>
      </c>
      <c r="W1749" s="47" t="s">
        <v>154</v>
      </c>
      <c r="X1749" s="47" t="s">
        <v>154</v>
      </c>
      <c r="Y1749" s="55" t="e">
        <f ca="1">_xlfn.XLOOKUP(PAA_4[[#This Row],[ITEM]],[2]Contrato!A:A,[2]Contrato!B:B,"",0)</f>
        <v>#NAME?</v>
      </c>
      <c r="Z1749" s="47" t="e">
        <f ca="1">_xlfn.XLOOKUP(PAA_4[[#This Row],[ITEM]],[2]Contrato!A:A,[2]Contrato!G:G,"",0)</f>
        <v>#NAME?</v>
      </c>
      <c r="AA1749" s="47" t="e">
        <f ca="1">_xlfn.XLOOKUP(PAA_4[[#This Row],[ITEM]],[2]Contrato!A:A,[2]Contrato!T:T,"",0)</f>
        <v>#NAME?</v>
      </c>
      <c r="AB1749" s="55" t="e">
        <f ca="1">+MAX(PAA_4[[#This Row],[Comprometido Contrato]],PAA_4[[#This Row],[Comprometido Bolsa]])</f>
        <v>#NAME?</v>
      </c>
      <c r="AC1749" s="55" t="str">
        <f t="shared" ca="1" si="573"/>
        <v/>
      </c>
      <c r="AD1749" s="55" t="e">
        <f ca="1">IF(PAA_4[[#This Row],[ESTADO (formulado)]]="NO CONTRATADO",0,MAX(PAA_4[[#This Row],[Pago por Contrato]],PAA_4[[#This Row],[Pago por bolsa]]))</f>
        <v>#NAME?</v>
      </c>
      <c r="AE1749" s="55" t="str">
        <f t="shared" ca="1" si="575"/>
        <v/>
      </c>
      <c r="AF1749" s="47" t="e">
        <f t="shared" ref="AF1749:AF1777" ca="1" si="579">+CONCATENATE(AA1749,N1749)</f>
        <v>#NAME?</v>
      </c>
      <c r="AG1749" s="47">
        <f t="shared" si="576"/>
        <v>41080102</v>
      </c>
      <c r="AH1749" s="54" t="str">
        <f>IF(Q1749="22",IF(ISNUMBER(SEARCH("econ",PAA_4[[#This Row],[Actividad3]])),"Económico",IF(ISNUMBER(SEARCH("alim",PAA_4[[#This Row],[Actividad3]])),"Alimentación",IF(ISNUMBER(SEARCH("educ",PAA_4[[#This Row],[Actividad3]])),"Educativo","Técnico"))),0)</f>
        <v>Económico</v>
      </c>
      <c r="AI1749" s="47" t="e" cm="1">
        <f t="array" aca="1" ref="AI1749" ca="1">_xlfn.XLOOKUP(PAA_4[[#This Row],[RCP-RUBRO]],[2]!COMPROMISOS_2024[[#All],[concatenado]],[2]!COMPROMISOS_2024[[#All],[Total pagado]],"",0)</f>
        <v>#NAME?</v>
      </c>
      <c r="AJ1749" s="56" t="e">
        <f ca="1">IF(PAA_4[[#This Row],[BOLSA]]=0,0,SUMIFS([2]!COMPROMISOS_2024[[#All],[Total pagado]],[2]!COMPROMISOS_2024[[#All],[Bolsa]],PAA_4[[#This Row],[BOLSA]],[2]!COMPROMISOS_2024[[#All],[rubro]],PAA_4[[#This Row],[RCP-RUBRO]]))</f>
        <v>#REF!</v>
      </c>
      <c r="AK1749" s="47" t="e" cm="1">
        <f t="array" aca="1" ref="AK1749" ca="1">_xlfn.XLOOKUP(PAA_4[[#This Row],[RCP-RUBRO]],[2]!COMPROMISOS_2024[[#All],[concatenado]],[2]!COMPROMISOS_2024[[#All],[Total Comprometido]],"",0)</f>
        <v>#NAME?</v>
      </c>
      <c r="AL1749" s="47" t="e">
        <f ca="1">IF(PAA_4[[#This Row],[BOLSA]]=0,0,SUMIFS([2]!COMPROMISOS_2024[[#All],[Total Comprometido]],[2]!COMPROMISOS_2024[[#All],[Bolsa]],PAA_4[[#This Row],[BOLSA]],[2]!COMPROMISOS_2024[[#All],[concatenado]],PAA_4[[#This Row],[RCP-RUBRO]]))</f>
        <v>#REF!</v>
      </c>
    </row>
    <row r="1750" spans="1:38" s="19" customFormat="1" ht="31.5" customHeight="1">
      <c r="A1750" s="47" t="s">
        <v>82</v>
      </c>
      <c r="B1750" s="47" t="s">
        <v>42</v>
      </c>
      <c r="C1750" s="47" t="str">
        <f>VLOOKUP(PAA_4[[#This Row],[PROYECTO (formulado)2]],[2]PROYECTOS!$G$1:$L$32,6,0)</f>
        <v>SUBGERENCIA DE ALTOS LOGROS Y DEPORTE ASOCIADO</v>
      </c>
      <c r="D1750" s="47" t="str">
        <f>+IF(PAA_4[[#This Row],[UNIDAD DE CONTRATACION (formulado)]]="Subgerencia Administrativa y Financiera","FUNCIONAMIENTO","INVERSIÓN")</f>
        <v>INVERSIÓN</v>
      </c>
      <c r="E1750" s="48" t="str">
        <f>VLOOKUP(Q1750,[2]PROYECTOS!$G$1:$K$32,5,0)</f>
        <v>APOYO_TÉCNICO_Y_PSICOSOCIAL_A_LOS_DEPORTISTAS_DE_ANTIOQUIA</v>
      </c>
      <c r="F1750" s="48">
        <f>VLOOKUP(E1750,[2]PROYECTOS!$K$1:$M$32,3,0)</f>
        <v>2021003050069</v>
      </c>
      <c r="G1750" s="49" t="s">
        <v>272</v>
      </c>
      <c r="H1750" s="49" t="str">
        <f>VLOOKUP(Q1750,[2]PROYECTOS!$V$1:$W$32,2,0)</f>
        <v>050069</v>
      </c>
      <c r="I1750" s="50">
        <v>0</v>
      </c>
      <c r="J1750" s="51" t="s">
        <v>1584</v>
      </c>
      <c r="K1750" s="47" t="str">
        <f t="shared" ca="1" si="574"/>
        <v>CONTRATADO</v>
      </c>
      <c r="L1750" s="47" t="s">
        <v>1946</v>
      </c>
      <c r="M1750" s="47" t="s">
        <v>1236</v>
      </c>
      <c r="N1750" s="52" t="s">
        <v>2020</v>
      </c>
      <c r="O1750" s="51" t="e">
        <f>VLOOKUP(N1750,[2]!RUBROS[#All],3,0)</f>
        <v>#REF!</v>
      </c>
      <c r="P1750" s="53" t="e">
        <f>VLOOKUP(N1750,[2]!RUBROS[#All],2,0)</f>
        <v>#REF!</v>
      </c>
      <c r="Q1750" s="47" t="str">
        <f t="shared" si="577"/>
        <v>22</v>
      </c>
      <c r="R1750" s="47" t="str">
        <f t="shared" si="578"/>
        <v>0-101024</v>
      </c>
      <c r="S1750" s="339" t="s">
        <v>42</v>
      </c>
      <c r="T1750" s="59" t="s">
        <v>42</v>
      </c>
      <c r="U1750" s="326" t="e">
        <f ca="1">_xlfn.XLOOKUP(PAA_4[[#This Row],[ITEM]],[2]Contrato!A:A,[2]Contrato!Q:Q,"",0)</f>
        <v>#NAME?</v>
      </c>
      <c r="V1750" s="47" t="s">
        <v>95</v>
      </c>
      <c r="W1750" s="47" t="s">
        <v>154</v>
      </c>
      <c r="X1750" s="47" t="s">
        <v>154</v>
      </c>
      <c r="Y1750" s="55" t="e">
        <f ca="1">_xlfn.XLOOKUP(PAA_4[[#This Row],[ITEM]],[2]Contrato!A:A,[2]Contrato!B:B,"",0)</f>
        <v>#NAME?</v>
      </c>
      <c r="Z1750" s="47" t="e">
        <f ca="1">_xlfn.XLOOKUP(PAA_4[[#This Row],[ITEM]],[2]Contrato!A:A,[2]Contrato!G:G,"",0)</f>
        <v>#NAME?</v>
      </c>
      <c r="AA1750" s="47" t="e">
        <f ca="1">_xlfn.XLOOKUP(PAA_4[[#This Row],[ITEM]],[2]Contrato!A:A,[2]Contrato!T:T,"",0)</f>
        <v>#NAME?</v>
      </c>
      <c r="AB1750" s="55" t="e">
        <f ca="1">+MAX(PAA_4[[#This Row],[Comprometido Contrato]],PAA_4[[#This Row],[Comprometido Bolsa]])</f>
        <v>#NAME?</v>
      </c>
      <c r="AC1750" s="55" t="str">
        <f t="shared" ca="1" si="573"/>
        <v/>
      </c>
      <c r="AD1750" s="55" t="e">
        <f ca="1">IF(PAA_4[[#This Row],[ESTADO (formulado)]]="NO CONTRATADO",0,MAX(PAA_4[[#This Row],[Pago por Contrato]],PAA_4[[#This Row],[Pago por bolsa]]))</f>
        <v>#NAME?</v>
      </c>
      <c r="AE1750" s="55" t="str">
        <f t="shared" ca="1" si="575"/>
        <v/>
      </c>
      <c r="AF1750" s="47" t="e">
        <f t="shared" ca="1" si="579"/>
        <v>#NAME?</v>
      </c>
      <c r="AG1750" s="47">
        <f t="shared" si="576"/>
        <v>41080107</v>
      </c>
      <c r="AH1750" s="54" t="str">
        <f>IF(Q1750="22",IF(ISNUMBER(SEARCH("econ",PAA_4[[#This Row],[Actividad3]])),"Económico",IF(ISNUMBER(SEARCH("alim",PAA_4[[#This Row],[Actividad3]])),"Alimentación",IF(ISNUMBER(SEARCH("educ",PAA_4[[#This Row],[Actividad3]])),"Educativo","Técnico"))),0)</f>
        <v>Económico</v>
      </c>
      <c r="AI1750" s="47" t="e" cm="1">
        <f t="array" aca="1" ref="AI1750" ca="1">_xlfn.XLOOKUP(PAA_4[[#This Row],[RCP-RUBRO]],[2]!COMPROMISOS_2024[[#All],[concatenado]],[2]!COMPROMISOS_2024[[#All],[Total pagado]],"",0)</f>
        <v>#NAME?</v>
      </c>
      <c r="AJ1750" s="56" t="e">
        <f ca="1">IF(PAA_4[[#This Row],[BOLSA]]=0,0,SUMIFS([2]!COMPROMISOS_2024[[#All],[Total pagado]],[2]!COMPROMISOS_2024[[#All],[Bolsa]],PAA_4[[#This Row],[BOLSA]],[2]!COMPROMISOS_2024[[#All],[rubro]],PAA_4[[#This Row],[RCP-RUBRO]]))</f>
        <v>#REF!</v>
      </c>
      <c r="AK1750" s="47" t="e" cm="1">
        <f t="array" aca="1" ref="AK1750" ca="1">_xlfn.XLOOKUP(PAA_4[[#This Row],[RCP-RUBRO]],[2]!COMPROMISOS_2024[[#All],[concatenado]],[2]!COMPROMISOS_2024[[#All],[Total Comprometido]],"",0)</f>
        <v>#NAME?</v>
      </c>
      <c r="AL1750" s="47" t="e">
        <f ca="1">IF(PAA_4[[#This Row],[BOLSA]]=0,0,SUMIFS([2]!COMPROMISOS_2024[[#All],[Total Comprometido]],[2]!COMPROMISOS_2024[[#All],[Bolsa]],PAA_4[[#This Row],[BOLSA]],[2]!COMPROMISOS_2024[[#All],[concatenado]],PAA_4[[#This Row],[RCP-RUBRO]]))</f>
        <v>#REF!</v>
      </c>
    </row>
    <row r="1751" spans="1:38" s="19" customFormat="1" ht="31.5" customHeight="1">
      <c r="A1751" s="47" t="s">
        <v>82</v>
      </c>
      <c r="B1751" s="47" t="s">
        <v>42</v>
      </c>
      <c r="C1751" s="47" t="str">
        <f>VLOOKUP(PAA_4[[#This Row],[PROYECTO (formulado)2]],[2]PROYECTOS!$G$1:$L$32,6,0)</f>
        <v>SUBGERENCIA DE ALTOS LOGROS Y DEPORTE ASOCIADO</v>
      </c>
      <c r="D1751" s="47" t="str">
        <f>+IF(PAA_4[[#This Row],[UNIDAD DE CONTRATACION (formulado)]]="Subgerencia Administrativa y Financiera","FUNCIONAMIENTO","INVERSIÓN")</f>
        <v>INVERSIÓN</v>
      </c>
      <c r="E1751" s="48" t="str">
        <f>VLOOKUP(Q1751,[2]PROYECTOS!$G$1:$K$32,5,0)</f>
        <v>APOYO_TÉCNICO_Y_PSICOSOCIAL_A_LOS_DEPORTISTAS_DE_ANTIOQUIA</v>
      </c>
      <c r="F1751" s="48">
        <f>VLOOKUP(E1751,[2]PROYECTOS!$K$1:$M$32,3,0)</f>
        <v>2021003050069</v>
      </c>
      <c r="G1751" s="49" t="s">
        <v>272</v>
      </c>
      <c r="H1751" s="49" t="str">
        <f>VLOOKUP(Q1751,[2]PROYECTOS!$V$1:$W$32,2,0)</f>
        <v>050069</v>
      </c>
      <c r="I1751" s="78">
        <v>0</v>
      </c>
      <c r="J1751" s="51" t="s">
        <v>1584</v>
      </c>
      <c r="K1751" s="47" t="str">
        <f t="shared" ca="1" si="574"/>
        <v>CONTRATADO</v>
      </c>
      <c r="L1751" s="47" t="s">
        <v>1946</v>
      </c>
      <c r="M1751" s="47" t="s">
        <v>1236</v>
      </c>
      <c r="N1751" s="52" t="s">
        <v>2020</v>
      </c>
      <c r="O1751" s="51" t="e">
        <f>VLOOKUP(N1751,[2]!RUBROS[#All],3,0)</f>
        <v>#REF!</v>
      </c>
      <c r="P1751" s="53" t="e">
        <f>VLOOKUP(N1751,[2]!RUBROS[#All],2,0)</f>
        <v>#REF!</v>
      </c>
      <c r="Q1751" s="47" t="str">
        <f t="shared" si="577"/>
        <v>22</v>
      </c>
      <c r="R1751" s="47" t="str">
        <f t="shared" si="578"/>
        <v>0-101024</v>
      </c>
      <c r="S1751" s="339" t="s">
        <v>42</v>
      </c>
      <c r="T1751" s="59" t="s">
        <v>42</v>
      </c>
      <c r="U1751" s="326" t="e">
        <f ca="1">_xlfn.XLOOKUP(PAA_4[[#This Row],[ITEM]],[2]Contrato!A:A,[2]Contrato!Q:Q,"",0)</f>
        <v>#NAME?</v>
      </c>
      <c r="V1751" s="47" t="s">
        <v>95</v>
      </c>
      <c r="W1751" s="47" t="s">
        <v>154</v>
      </c>
      <c r="X1751" s="47" t="s">
        <v>154</v>
      </c>
      <c r="Y1751" s="55" t="e">
        <f ca="1">_xlfn.XLOOKUP(PAA_4[[#This Row],[ITEM]],[2]Contrato!A:A,[2]Contrato!B:B,"",0)</f>
        <v>#NAME?</v>
      </c>
      <c r="Z1751" s="47" t="e">
        <f ca="1">_xlfn.XLOOKUP(PAA_4[[#This Row],[ITEM]],[2]Contrato!A:A,[2]Contrato!G:G,"",0)</f>
        <v>#NAME?</v>
      </c>
      <c r="AA1751" s="47" t="e">
        <f ca="1">_xlfn.XLOOKUP(PAA_4[[#This Row],[ITEM]],[2]Contrato!A:A,[2]Contrato!T:T,"",0)</f>
        <v>#NAME?</v>
      </c>
      <c r="AB1751" s="55" t="e">
        <f ca="1">+MAX(PAA_4[[#This Row],[Comprometido Contrato]],PAA_4[[#This Row],[Comprometido Bolsa]])</f>
        <v>#NAME?</v>
      </c>
      <c r="AC1751" s="55" t="str">
        <f t="shared" ca="1" si="573"/>
        <v/>
      </c>
      <c r="AD1751" s="55" t="e">
        <f ca="1">IF(PAA_4[[#This Row],[ESTADO (formulado)]]="NO CONTRATADO",0,MAX(PAA_4[[#This Row],[Pago por Contrato]],PAA_4[[#This Row],[Pago por bolsa]]))</f>
        <v>#NAME?</v>
      </c>
      <c r="AE1751" s="55" t="str">
        <f t="shared" ca="1" si="575"/>
        <v/>
      </c>
      <c r="AF1751" s="47" t="e">
        <f t="shared" ca="1" si="579"/>
        <v>#NAME?</v>
      </c>
      <c r="AG1751" s="47">
        <f t="shared" si="576"/>
        <v>41080107</v>
      </c>
      <c r="AH1751" s="54" t="str">
        <f>IF(Q1751="22",IF(ISNUMBER(SEARCH("econ",PAA_4[[#This Row],[Actividad3]])),"Económico",IF(ISNUMBER(SEARCH("alim",PAA_4[[#This Row],[Actividad3]])),"Alimentación",IF(ISNUMBER(SEARCH("educ",PAA_4[[#This Row],[Actividad3]])),"Educativo","Técnico"))),0)</f>
        <v>Económico</v>
      </c>
      <c r="AI1751" s="47" t="e" cm="1">
        <f t="array" aca="1" ref="AI1751" ca="1">_xlfn.XLOOKUP(PAA_4[[#This Row],[RCP-RUBRO]],[2]!COMPROMISOS_2024[[#All],[concatenado]],[2]!COMPROMISOS_2024[[#All],[Total pagado]],"",0)</f>
        <v>#NAME?</v>
      </c>
      <c r="AJ1751" s="56" t="e">
        <f ca="1">IF(PAA_4[[#This Row],[BOLSA]]=0,0,SUMIFS([2]!COMPROMISOS_2024[[#All],[Total pagado]],[2]!COMPROMISOS_2024[[#All],[Bolsa]],PAA_4[[#This Row],[BOLSA]],[2]!COMPROMISOS_2024[[#All],[rubro]],PAA_4[[#This Row],[RCP-RUBRO]]))</f>
        <v>#REF!</v>
      </c>
      <c r="AK1751" s="47" t="e" cm="1">
        <f t="array" aca="1" ref="AK1751" ca="1">_xlfn.XLOOKUP(PAA_4[[#This Row],[RCP-RUBRO]],[2]!COMPROMISOS_2024[[#All],[concatenado]],[2]!COMPROMISOS_2024[[#All],[Total Comprometido]],"",0)</f>
        <v>#NAME?</v>
      </c>
      <c r="AL1751" s="47" t="e">
        <f ca="1">IF(PAA_4[[#This Row],[BOLSA]]=0,0,SUMIFS([2]!COMPROMISOS_2024[[#All],[Total Comprometido]],[2]!COMPROMISOS_2024[[#All],[Bolsa]],PAA_4[[#This Row],[BOLSA]],[2]!COMPROMISOS_2024[[#All],[concatenado]],PAA_4[[#This Row],[RCP-RUBRO]]))</f>
        <v>#REF!</v>
      </c>
    </row>
    <row r="1752" spans="1:38" s="19" customFormat="1" ht="31.5" customHeight="1">
      <c r="A1752" s="47">
        <v>1290</v>
      </c>
      <c r="B1752" s="51" t="s">
        <v>2021</v>
      </c>
      <c r="C1752" s="47" t="str">
        <f>VLOOKUP(PAA_4[[#This Row],[PROYECTO (formulado)2]],[2]PROYECTOS!$G$1:$L$32,6,0)</f>
        <v>SUBGERENCIA ADMINISTRATIVA Y FINANCIERA</v>
      </c>
      <c r="D1752" s="47" t="str">
        <f>+IF(PAA_4[[#This Row],[UNIDAD DE CONTRATACION (formulado)]]="Subgerencia Administrativa y Financiera","FUNCIONAMIENTO","INVERSIÓN")</f>
        <v>FUNCIONAMIENTO</v>
      </c>
      <c r="E1752" s="48" t="str">
        <f>VLOOKUP(Q1752,[2]PROYECTOS!$G$1:$K$32,5,0)</f>
        <v>Mantenimiento de la infraestructura de las sedes operativas para la prestación de servicios deportivos, recreativos y de actividad física en las regiones de Antioquia</v>
      </c>
      <c r="F1752" s="48">
        <f>VLOOKUP(E1752,[2]PROYECTOS!$K$1:$M$32,3,0)</f>
        <v>2024003050104</v>
      </c>
      <c r="G1752" s="49" t="s">
        <v>2022</v>
      </c>
      <c r="H1752" s="49" t="str">
        <f>VLOOKUP(Q1752,[2]PROYECTOS!$V$1:$W$32,2,0)</f>
        <v>220381</v>
      </c>
      <c r="I1752" s="78">
        <v>190216954</v>
      </c>
      <c r="J1752" s="51" t="s">
        <v>2023</v>
      </c>
      <c r="K1752" s="47" t="str">
        <f t="shared" ca="1" si="574"/>
        <v>CONTRATADO</v>
      </c>
      <c r="L1752" s="47" t="s">
        <v>94</v>
      </c>
      <c r="M1752" s="47" t="s">
        <v>161</v>
      </c>
      <c r="N1752" s="52" t="s">
        <v>2024</v>
      </c>
      <c r="O1752" s="51" t="e">
        <f>VLOOKUP(N1752,[2]!RUBROS[#All],3,0)</f>
        <v>#REF!</v>
      </c>
      <c r="P1752" s="53" t="e">
        <f>VLOOKUP(N1752,[2]!RUBROS[#All],2,0)</f>
        <v>#REF!</v>
      </c>
      <c r="Q1752" s="47" t="str">
        <f t="shared" si="577"/>
        <v>04</v>
      </c>
      <c r="R1752" s="47" t="str">
        <f t="shared" si="578"/>
        <v>0-205618</v>
      </c>
      <c r="S1752" s="339">
        <v>5</v>
      </c>
      <c r="T1752" s="59" t="s">
        <v>46</v>
      </c>
      <c r="U1752" s="326" t="e">
        <f ca="1">_xlfn.XLOOKUP(PAA_4[[#This Row],[ITEM]],[2]Contrato!A:A,[2]Contrato!Q:Q,"",0)</f>
        <v>#NAME?</v>
      </c>
      <c r="V1752" s="47" t="s">
        <v>95</v>
      </c>
      <c r="W1752" s="47" t="s">
        <v>200</v>
      </c>
      <c r="X1752" s="47" t="s">
        <v>200</v>
      </c>
      <c r="Y1752" s="55" t="e">
        <f ca="1">_xlfn.XLOOKUP(PAA_4[[#This Row],[ITEM]],[2]Contrato!A:A,[2]Contrato!B:B,"",0)</f>
        <v>#NAME?</v>
      </c>
      <c r="Z1752" s="47" t="e">
        <f ca="1">_xlfn.XLOOKUP(PAA_4[[#This Row],[ITEM]],[2]Contrato!A:A,[2]Contrato!G:G,"",0)</f>
        <v>#NAME?</v>
      </c>
      <c r="AA1752" s="47" t="e">
        <f ca="1">_xlfn.XLOOKUP(PAA_4[[#This Row],[ITEM]],[2]Contrato!A:A,[2]Contrato!T:T,"",0)</f>
        <v>#NAME?</v>
      </c>
      <c r="AB1752" s="55" t="e">
        <f ca="1">+MAX(PAA_4[[#This Row],[Comprometido Contrato]],PAA_4[[#This Row],[Comprometido Bolsa]])</f>
        <v>#NAME?</v>
      </c>
      <c r="AC1752" s="55" t="str">
        <f t="shared" ca="1" si="573"/>
        <v/>
      </c>
      <c r="AD1752" s="55" t="e">
        <f ca="1">IF(PAA_4[[#This Row],[ESTADO (formulado)]]="NO CONTRATADO",0,MAX(PAA_4[[#This Row],[Pago por Contrato]],PAA_4[[#This Row],[Pago por bolsa]]))</f>
        <v>#NAME?</v>
      </c>
      <c r="AE1752" s="55" t="str">
        <f t="shared" ca="1" si="575"/>
        <v/>
      </c>
      <c r="AF1752" s="47" t="e">
        <f t="shared" ca="1" si="579"/>
        <v>#NAME?</v>
      </c>
      <c r="AG1752" s="47">
        <f t="shared" si="576"/>
        <v>52011002</v>
      </c>
      <c r="AH1752" s="54">
        <f>IF(Q1752="22",IF(ISNUMBER(SEARCH("econ",PAA_4[[#This Row],[Actividad3]])),"Económico",IF(ISNUMBER(SEARCH("alim",PAA_4[[#This Row],[Actividad3]])),"Alimentación",IF(ISNUMBER(SEARCH("educ",PAA_4[[#This Row],[Actividad3]])),"Educativo","Técnico"))),0)</f>
        <v>0</v>
      </c>
      <c r="AI1752" s="47" t="e" cm="1">
        <f t="array" aca="1" ref="AI1752" ca="1">_xlfn.XLOOKUP(PAA_4[[#This Row],[RCP-RUBRO]],[2]!COMPROMISOS_2024[[#All],[concatenado]],[2]!COMPROMISOS_2024[[#All],[Total pagado]],"",0)</f>
        <v>#NAME?</v>
      </c>
      <c r="AJ1752" s="56">
        <f>IF(PAA_4[[#This Row],[BOLSA]]=0,0,SUMIFS([2]!COMPROMISOS_2024[[#All],[Total pagado]],[2]!COMPROMISOS_2024[[#All],[Bolsa]],PAA_4[[#This Row],[BOLSA]],[2]!COMPROMISOS_2024[[#All],[rubro]],PAA_4[[#This Row],[RCP-RUBRO]]))</f>
        <v>0</v>
      </c>
      <c r="AK1752" s="47" t="e" cm="1">
        <f t="array" aca="1" ref="AK1752" ca="1">_xlfn.XLOOKUP(PAA_4[[#This Row],[RCP-RUBRO]],[2]!COMPROMISOS_2024[[#All],[concatenado]],[2]!COMPROMISOS_2024[[#All],[Total Comprometido]],"",0)</f>
        <v>#NAME?</v>
      </c>
      <c r="AL1752" s="47">
        <f>IF(PAA_4[[#This Row],[BOLSA]]=0,0,SUMIFS([2]!COMPROMISOS_2024[[#All],[Total Comprometido]],[2]!COMPROMISOS_2024[[#All],[Bolsa]],PAA_4[[#This Row],[BOLSA]],[2]!COMPROMISOS_2024[[#All],[concatenado]],PAA_4[[#This Row],[RCP-RUBRO]]))</f>
        <v>0</v>
      </c>
    </row>
    <row r="1753" spans="1:38" s="19" customFormat="1" ht="31.5" customHeight="1">
      <c r="A1753" s="47">
        <v>1303</v>
      </c>
      <c r="B1753" s="51" t="s">
        <v>2025</v>
      </c>
      <c r="C1753" s="47" t="str">
        <f>VLOOKUP(PAA_4[[#This Row],[PROYECTO (formulado)2]],[2]PROYECTOS!$G$1:$L$32,6,0)</f>
        <v>SUBGERENCIA ADMINISTRATIVA Y FINANCIERA</v>
      </c>
      <c r="D1753" s="47" t="str">
        <f>+IF(PAA_4[[#This Row],[UNIDAD DE CONTRATACION (formulado)]]="Subgerencia Administrativa y Financiera","FUNCIONAMIENTO","INVERSIÓN")</f>
        <v>FUNCIONAMIENTO</v>
      </c>
      <c r="E1753" s="48" t="str">
        <f>VLOOKUP(Q1753,[2]PROYECTOS!$G$1:$K$32,5,0)</f>
        <v>Mantenimiento de la infraestructura de las sedes operativas para la prestación de servicios deportivos, recreativos y de actividad física en las regiones de Antioquia</v>
      </c>
      <c r="F1753" s="48">
        <f>VLOOKUP(E1753,[2]PROYECTOS!$K$1:$M$32,3,0)</f>
        <v>2024003050104</v>
      </c>
      <c r="G1753" s="49" t="s">
        <v>2026</v>
      </c>
      <c r="H1753" s="49" t="str">
        <f>VLOOKUP(Q1753,[2]PROYECTOS!$V$1:$W$32,2,0)</f>
        <v>220381</v>
      </c>
      <c r="I1753" s="78">
        <v>1642344247</v>
      </c>
      <c r="J1753" s="51" t="s">
        <v>2027</v>
      </c>
      <c r="K1753" s="47" t="str">
        <f t="shared" ca="1" si="574"/>
        <v>CONTRATADO</v>
      </c>
      <c r="L1753" s="47" t="s">
        <v>94</v>
      </c>
      <c r="M1753" s="47" t="s">
        <v>161</v>
      </c>
      <c r="N1753" s="52" t="s">
        <v>2024</v>
      </c>
      <c r="O1753" s="51" t="e">
        <f>VLOOKUP(N1753,[2]!RUBROS[#All],3,0)</f>
        <v>#REF!</v>
      </c>
      <c r="P1753" s="53" t="e">
        <f>VLOOKUP(N1753,[2]!RUBROS[#All],2,0)</f>
        <v>#REF!</v>
      </c>
      <c r="Q1753" s="47" t="str">
        <f t="shared" si="577"/>
        <v>04</v>
      </c>
      <c r="R1753" s="47" t="str">
        <f t="shared" si="578"/>
        <v>0-205618</v>
      </c>
      <c r="S1753" s="339">
        <v>5</v>
      </c>
      <c r="T1753" s="59" t="s">
        <v>46</v>
      </c>
      <c r="U1753" s="326" t="e">
        <f ca="1">_xlfn.XLOOKUP(PAA_4[[#This Row],[ITEM]],[2]Contrato!A:A,[2]Contrato!Q:Q,"",0)</f>
        <v>#NAME?</v>
      </c>
      <c r="V1753" s="47" t="s">
        <v>95</v>
      </c>
      <c r="W1753" s="47" t="s">
        <v>200</v>
      </c>
      <c r="X1753" s="47" t="s">
        <v>200</v>
      </c>
      <c r="Y1753" s="55" t="e">
        <f ca="1">_xlfn.XLOOKUP(PAA_4[[#This Row],[ITEM]],[2]Contrato!A:A,[2]Contrato!B:B,"",0)</f>
        <v>#NAME?</v>
      </c>
      <c r="Z1753" s="47" t="e">
        <f ca="1">_xlfn.XLOOKUP(PAA_4[[#This Row],[ITEM]],[2]Contrato!A:A,[2]Contrato!G:G,"",0)</f>
        <v>#NAME?</v>
      </c>
      <c r="AA1753" s="47" t="e">
        <f ca="1">_xlfn.XLOOKUP(PAA_4[[#This Row],[ITEM]],[2]Contrato!A:A,[2]Contrato!T:T,"",0)</f>
        <v>#NAME?</v>
      </c>
      <c r="AB1753" s="55" t="e">
        <f ca="1">+MAX(PAA_4[[#This Row],[Comprometido Contrato]],PAA_4[[#This Row],[Comprometido Bolsa]])</f>
        <v>#NAME?</v>
      </c>
      <c r="AC1753" s="55" t="str">
        <f t="shared" ca="1" si="573"/>
        <v/>
      </c>
      <c r="AD1753" s="55" t="e">
        <f ca="1">IF(PAA_4[[#This Row],[ESTADO (formulado)]]="NO CONTRATADO",0,MAX(PAA_4[[#This Row],[Pago por Contrato]],PAA_4[[#This Row],[Pago por bolsa]]))</f>
        <v>#NAME?</v>
      </c>
      <c r="AE1753" s="55" t="str">
        <f t="shared" ca="1" si="575"/>
        <v/>
      </c>
      <c r="AF1753" s="47" t="e">
        <f t="shared" ca="1" si="579"/>
        <v>#NAME?</v>
      </c>
      <c r="AG1753" s="47">
        <f t="shared" si="576"/>
        <v>52011002</v>
      </c>
      <c r="AH1753" s="54">
        <f>IF(Q1753="22",IF(ISNUMBER(SEARCH("econ",PAA_4[[#This Row],[Actividad3]])),"Económico",IF(ISNUMBER(SEARCH("alim",PAA_4[[#This Row],[Actividad3]])),"Alimentación",IF(ISNUMBER(SEARCH("educ",PAA_4[[#This Row],[Actividad3]])),"Educativo","Técnico"))),0)</f>
        <v>0</v>
      </c>
      <c r="AI1753" s="47" t="e" cm="1">
        <f t="array" aca="1" ref="AI1753" ca="1">_xlfn.XLOOKUP(PAA_4[[#This Row],[RCP-RUBRO]],[2]!COMPROMISOS_2024[[#All],[concatenado]],[2]!COMPROMISOS_2024[[#All],[Total pagado]],"",0)</f>
        <v>#NAME?</v>
      </c>
      <c r="AJ1753" s="56">
        <f>IF(PAA_4[[#This Row],[BOLSA]]=0,0,SUMIFS([2]!COMPROMISOS_2024[[#All],[Total pagado]],[2]!COMPROMISOS_2024[[#All],[Bolsa]],PAA_4[[#This Row],[BOLSA]],[2]!COMPROMISOS_2024[[#All],[rubro]],PAA_4[[#This Row],[RCP-RUBRO]]))</f>
        <v>0</v>
      </c>
      <c r="AK1753" s="47" t="e" cm="1">
        <f t="array" aca="1" ref="AK1753" ca="1">_xlfn.XLOOKUP(PAA_4[[#This Row],[RCP-RUBRO]],[2]!COMPROMISOS_2024[[#All],[concatenado]],[2]!COMPROMISOS_2024[[#All],[Total Comprometido]],"",0)</f>
        <v>#NAME?</v>
      </c>
      <c r="AL1753" s="47">
        <f>IF(PAA_4[[#This Row],[BOLSA]]=0,0,SUMIFS([2]!COMPROMISOS_2024[[#All],[Total Comprometido]],[2]!COMPROMISOS_2024[[#All],[Bolsa]],PAA_4[[#This Row],[BOLSA]],[2]!COMPROMISOS_2024[[#All],[concatenado]],PAA_4[[#This Row],[RCP-RUBRO]]))</f>
        <v>0</v>
      </c>
    </row>
    <row r="1754" spans="1:38" s="19" customFormat="1" ht="31.5" customHeight="1">
      <c r="A1754" s="47" t="s">
        <v>82</v>
      </c>
      <c r="B1754" s="47" t="s">
        <v>42</v>
      </c>
      <c r="C1754" s="47" t="str">
        <f>VLOOKUP(PAA_4[[#This Row],[PROYECTO (formulado)2]],[2]PROYECTOS!$G$1:$L$32,6,0)</f>
        <v>SUBGERENCIA ADMINISTRATIVA Y FINANCIERA</v>
      </c>
      <c r="D1754" s="47" t="str">
        <f>+IF(PAA_4[[#This Row],[UNIDAD DE CONTRATACION (formulado)]]="Subgerencia Administrativa y Financiera","FUNCIONAMIENTO","INVERSIÓN")</f>
        <v>FUNCIONAMIENTO</v>
      </c>
      <c r="E1754" s="48" t="str">
        <f>VLOOKUP(Q1754,[2]PROYECTOS!$G$1:$K$32,5,0)</f>
        <v>Mantenimiento de la infraestructura de las sedes operativas para la prestación de servicios deportivos, recreativos y de actividad física en las regiones de Antioquia</v>
      </c>
      <c r="F1754" s="48">
        <f>VLOOKUP(E1754,[2]PROYECTOS!$K$1:$M$32,3,0)</f>
        <v>2024003050104</v>
      </c>
      <c r="G1754" s="49" t="s">
        <v>2026</v>
      </c>
      <c r="H1754" s="49" t="str">
        <f>VLOOKUP(Q1754,[2]PROYECTOS!$V$1:$W$32,2,0)</f>
        <v>220381</v>
      </c>
      <c r="I1754" s="78">
        <v>0</v>
      </c>
      <c r="J1754" s="51" t="s">
        <v>42</v>
      </c>
      <c r="K1754" s="47" t="str">
        <f t="shared" ca="1" si="574"/>
        <v>CONTRATADO</v>
      </c>
      <c r="L1754" s="47" t="s">
        <v>42</v>
      </c>
      <c r="M1754" s="47" t="s">
        <v>42</v>
      </c>
      <c r="N1754" s="52" t="s">
        <v>2024</v>
      </c>
      <c r="O1754" s="51" t="e">
        <f>VLOOKUP(N1754,[2]!RUBROS[#All],3,0)</f>
        <v>#REF!</v>
      </c>
      <c r="P1754" s="53" t="e">
        <f>VLOOKUP(N1754,[2]!RUBROS[#All],2,0)</f>
        <v>#REF!</v>
      </c>
      <c r="Q1754" s="47" t="str">
        <f t="shared" si="577"/>
        <v>04</v>
      </c>
      <c r="R1754" s="47" t="str">
        <f t="shared" si="578"/>
        <v>0-205618</v>
      </c>
      <c r="S1754" s="339" t="s">
        <v>42</v>
      </c>
      <c r="T1754" s="59" t="s">
        <v>42</v>
      </c>
      <c r="U1754" s="326" t="e">
        <f ca="1">_xlfn.XLOOKUP(PAA_4[[#This Row],[ITEM]],[2]Contrato!A:A,[2]Contrato!Q:Q,"",0)</f>
        <v>#NAME?</v>
      </c>
      <c r="V1754" s="47" t="s">
        <v>95</v>
      </c>
      <c r="W1754" s="47" t="s">
        <v>42</v>
      </c>
      <c r="X1754" s="47" t="s">
        <v>42</v>
      </c>
      <c r="Y1754" s="55" t="e">
        <f ca="1">_xlfn.XLOOKUP(PAA_4[[#This Row],[ITEM]],[2]Contrato!A:A,[2]Contrato!B:B,"",0)</f>
        <v>#NAME?</v>
      </c>
      <c r="Z1754" s="47" t="e">
        <f ca="1">_xlfn.XLOOKUP(PAA_4[[#This Row],[ITEM]],[2]Contrato!A:A,[2]Contrato!G:G,"",0)</f>
        <v>#NAME?</v>
      </c>
      <c r="AA1754" s="47" t="e">
        <f ca="1">_xlfn.XLOOKUP(PAA_4[[#This Row],[ITEM]],[2]Contrato!A:A,[2]Contrato!T:T,"",0)</f>
        <v>#NAME?</v>
      </c>
      <c r="AB1754" s="55" t="e">
        <f ca="1">+MAX(PAA_4[[#This Row],[Comprometido Contrato]],PAA_4[[#This Row],[Comprometido Bolsa]])</f>
        <v>#NAME?</v>
      </c>
      <c r="AC1754" s="55" t="str">
        <f t="shared" ca="1" si="573"/>
        <v/>
      </c>
      <c r="AD1754" s="55" t="e">
        <f ca="1">IF(PAA_4[[#This Row],[ESTADO (formulado)]]="NO CONTRATADO",0,MAX(PAA_4[[#This Row],[Pago por Contrato]],PAA_4[[#This Row],[Pago por bolsa]]))</f>
        <v>#NAME?</v>
      </c>
      <c r="AE1754" s="55" t="str">
        <f t="shared" ca="1" si="575"/>
        <v/>
      </c>
      <c r="AF1754" s="47" t="e">
        <f t="shared" ca="1" si="579"/>
        <v>#NAME?</v>
      </c>
      <c r="AG1754" s="47">
        <f t="shared" si="576"/>
        <v>52011002</v>
      </c>
      <c r="AH1754" s="54">
        <f>IF(Q1754="22",IF(ISNUMBER(SEARCH("econ",PAA_4[[#This Row],[Actividad3]])),"Económico",IF(ISNUMBER(SEARCH("alim",PAA_4[[#This Row],[Actividad3]])),"Alimentación",IF(ISNUMBER(SEARCH("educ",PAA_4[[#This Row],[Actividad3]])),"Educativo","Técnico"))),0)</f>
        <v>0</v>
      </c>
      <c r="AI1754" s="47" t="e" cm="1">
        <f t="array" aca="1" ref="AI1754" ca="1">_xlfn.XLOOKUP(PAA_4[[#This Row],[RCP-RUBRO]],[2]!COMPROMISOS_2024[[#All],[concatenado]],[2]!COMPROMISOS_2024[[#All],[Total pagado]],"",0)</f>
        <v>#NAME?</v>
      </c>
      <c r="AJ1754" s="56">
        <f>IF(PAA_4[[#This Row],[BOLSA]]=0,0,SUMIFS([2]!COMPROMISOS_2024[[#All],[Total pagado]],[2]!COMPROMISOS_2024[[#All],[Bolsa]],PAA_4[[#This Row],[BOLSA]],[2]!COMPROMISOS_2024[[#All],[rubro]],PAA_4[[#This Row],[RCP-RUBRO]]))</f>
        <v>0</v>
      </c>
      <c r="AK1754" s="47" t="e" cm="1">
        <f t="array" aca="1" ref="AK1754" ca="1">_xlfn.XLOOKUP(PAA_4[[#This Row],[RCP-RUBRO]],[2]!COMPROMISOS_2024[[#All],[concatenado]],[2]!COMPROMISOS_2024[[#All],[Total Comprometido]],"",0)</f>
        <v>#NAME?</v>
      </c>
      <c r="AL1754" s="47">
        <f>IF(PAA_4[[#This Row],[BOLSA]]=0,0,SUMIFS([2]!COMPROMISOS_2024[[#All],[Total Comprometido]],[2]!COMPROMISOS_2024[[#All],[Bolsa]],PAA_4[[#This Row],[BOLSA]],[2]!COMPROMISOS_2024[[#All],[concatenado]],PAA_4[[#This Row],[RCP-RUBRO]]))</f>
        <v>0</v>
      </c>
    </row>
    <row r="1755" spans="1:38" s="19" customFormat="1" ht="31.5" customHeight="1">
      <c r="A1755" s="47" t="s">
        <v>82</v>
      </c>
      <c r="B1755" s="47" t="s">
        <v>42</v>
      </c>
      <c r="C1755" s="47" t="str">
        <f>VLOOKUP(PAA_4[[#This Row],[PROYECTO (formulado)2]],[2]PROYECTOS!$G$1:$L$32,6,0)</f>
        <v>SUBGERENCIA ADMINISTRATIVA Y FINANCIERA</v>
      </c>
      <c r="D1755" s="47" t="str">
        <f>+IF(PAA_4[[#This Row],[UNIDAD DE CONTRATACION (formulado)]]="Subgerencia Administrativa y Financiera","FUNCIONAMIENTO","INVERSIÓN")</f>
        <v>FUNCIONAMIENTO</v>
      </c>
      <c r="E1755" s="48" t="str">
        <f>VLOOKUP(Q1755,[2]PROYECTOS!$G$1:$K$32,5,0)</f>
        <v>Mantenimiento de la infraestructura de las sedes operativas para la prestación de servicios deportivos, recreativos y de actividad física en las regiones de Antioquia</v>
      </c>
      <c r="F1755" s="48">
        <f>VLOOKUP(E1755,[2]PROYECTOS!$K$1:$M$32,3,0)</f>
        <v>2024003050104</v>
      </c>
      <c r="G1755" s="49" t="s">
        <v>2026</v>
      </c>
      <c r="H1755" s="49" t="str">
        <f>VLOOKUP(Q1755,[2]PROYECTOS!$V$1:$W$32,2,0)</f>
        <v>220381</v>
      </c>
      <c r="I1755" s="78">
        <v>0</v>
      </c>
      <c r="J1755" s="51" t="s">
        <v>42</v>
      </c>
      <c r="K1755" s="47" t="str">
        <f t="shared" ca="1" si="574"/>
        <v>CONTRATADO</v>
      </c>
      <c r="L1755" s="47" t="s">
        <v>42</v>
      </c>
      <c r="M1755" s="47" t="s">
        <v>42</v>
      </c>
      <c r="N1755" s="52" t="s">
        <v>2024</v>
      </c>
      <c r="O1755" s="51" t="e">
        <f>VLOOKUP(N1755,[2]!RUBROS[#All],3,0)</f>
        <v>#REF!</v>
      </c>
      <c r="P1755" s="53" t="e">
        <f>VLOOKUP(N1755,[2]!RUBROS[#All],2,0)</f>
        <v>#REF!</v>
      </c>
      <c r="Q1755" s="47" t="str">
        <f t="shared" si="577"/>
        <v>04</v>
      </c>
      <c r="R1755" s="47" t="str">
        <f t="shared" si="578"/>
        <v>0-205618</v>
      </c>
      <c r="S1755" s="339" t="s">
        <v>42</v>
      </c>
      <c r="T1755" s="59" t="s">
        <v>42</v>
      </c>
      <c r="U1755" s="326" t="e">
        <f ca="1">_xlfn.XLOOKUP(PAA_4[[#This Row],[ITEM]],[2]Contrato!A:A,[2]Contrato!Q:Q,"",0)</f>
        <v>#NAME?</v>
      </c>
      <c r="V1755" s="47" t="s">
        <v>95</v>
      </c>
      <c r="W1755" s="47" t="s">
        <v>42</v>
      </c>
      <c r="X1755" s="47" t="s">
        <v>42</v>
      </c>
      <c r="Y1755" s="55" t="e">
        <f ca="1">_xlfn.XLOOKUP(PAA_4[[#This Row],[ITEM]],[2]Contrato!A:A,[2]Contrato!B:B,"",0)</f>
        <v>#NAME?</v>
      </c>
      <c r="Z1755" s="47" t="e">
        <f ca="1">_xlfn.XLOOKUP(PAA_4[[#This Row],[ITEM]],[2]Contrato!A:A,[2]Contrato!G:G,"",0)</f>
        <v>#NAME?</v>
      </c>
      <c r="AA1755" s="47" t="e">
        <f ca="1">_xlfn.XLOOKUP(PAA_4[[#This Row],[ITEM]],[2]Contrato!A:A,[2]Contrato!T:T,"",0)</f>
        <v>#NAME?</v>
      </c>
      <c r="AB1755" s="55" t="e">
        <f ca="1">+MAX(PAA_4[[#This Row],[Comprometido Contrato]],PAA_4[[#This Row],[Comprometido Bolsa]])</f>
        <v>#NAME?</v>
      </c>
      <c r="AC1755" s="55" t="str">
        <f t="shared" ca="1" si="573"/>
        <v/>
      </c>
      <c r="AD1755" s="55" t="e">
        <f ca="1">IF(PAA_4[[#This Row],[ESTADO (formulado)]]="NO CONTRATADO",0,MAX(PAA_4[[#This Row],[Pago por Contrato]],PAA_4[[#This Row],[Pago por bolsa]]))</f>
        <v>#NAME?</v>
      </c>
      <c r="AE1755" s="55" t="str">
        <f t="shared" ca="1" si="575"/>
        <v/>
      </c>
      <c r="AF1755" s="47" t="e">
        <f t="shared" ca="1" si="579"/>
        <v>#NAME?</v>
      </c>
      <c r="AG1755" s="47">
        <f t="shared" si="576"/>
        <v>52011002</v>
      </c>
      <c r="AH1755" s="54">
        <f>IF(Q1755="22",IF(ISNUMBER(SEARCH("econ",PAA_4[[#This Row],[Actividad3]])),"Económico",IF(ISNUMBER(SEARCH("alim",PAA_4[[#This Row],[Actividad3]])),"Alimentación",IF(ISNUMBER(SEARCH("educ",PAA_4[[#This Row],[Actividad3]])),"Educativo","Técnico"))),0)</f>
        <v>0</v>
      </c>
      <c r="AI1755" s="47" t="e" cm="1">
        <f t="array" aca="1" ref="AI1755" ca="1">_xlfn.XLOOKUP(PAA_4[[#This Row],[RCP-RUBRO]],[2]!COMPROMISOS_2024[[#All],[concatenado]],[2]!COMPROMISOS_2024[[#All],[Total pagado]],"",0)</f>
        <v>#NAME?</v>
      </c>
      <c r="AJ1755" s="56">
        <f>IF(PAA_4[[#This Row],[BOLSA]]=0,0,SUMIFS([2]!COMPROMISOS_2024[[#All],[Total pagado]],[2]!COMPROMISOS_2024[[#All],[Bolsa]],PAA_4[[#This Row],[BOLSA]],[2]!COMPROMISOS_2024[[#All],[rubro]],PAA_4[[#This Row],[RCP-RUBRO]]))</f>
        <v>0</v>
      </c>
      <c r="AK1755" s="47" t="e" cm="1">
        <f t="array" aca="1" ref="AK1755" ca="1">_xlfn.XLOOKUP(PAA_4[[#This Row],[RCP-RUBRO]],[2]!COMPROMISOS_2024[[#All],[concatenado]],[2]!COMPROMISOS_2024[[#All],[Total Comprometido]],"",0)</f>
        <v>#NAME?</v>
      </c>
      <c r="AL1755" s="47">
        <f>IF(PAA_4[[#This Row],[BOLSA]]=0,0,SUMIFS([2]!COMPROMISOS_2024[[#All],[Total Comprometido]],[2]!COMPROMISOS_2024[[#All],[Bolsa]],PAA_4[[#This Row],[BOLSA]],[2]!COMPROMISOS_2024[[#All],[concatenado]],PAA_4[[#This Row],[RCP-RUBRO]]))</f>
        <v>0</v>
      </c>
    </row>
    <row r="1756" spans="1:38" s="19" customFormat="1" ht="31.5" customHeight="1">
      <c r="A1756" s="47" t="s">
        <v>82</v>
      </c>
      <c r="B1756" s="47" t="s">
        <v>42</v>
      </c>
      <c r="C1756" s="47" t="str">
        <f>VLOOKUP(PAA_4[[#This Row],[PROYECTO (formulado)2]],[2]PROYECTOS!$G$1:$L$32,6,0)</f>
        <v>SUBGERENCIA ADMINISTRATIVA Y FINANCIERA</v>
      </c>
      <c r="D1756" s="47" t="str">
        <f>+IF(PAA_4[[#This Row],[UNIDAD DE CONTRATACION (formulado)]]="Subgerencia Administrativa y Financiera","FUNCIONAMIENTO","INVERSIÓN")</f>
        <v>FUNCIONAMIENTO</v>
      </c>
      <c r="E1756" s="48" t="str">
        <f>VLOOKUP(Q1756,[2]PROYECTOS!$G$1:$K$32,5,0)</f>
        <v>Mantenimiento de la infraestructura de las sedes operativas para la prestación de servicios deportivos, recreativos y de actividad física en las regiones de Antioquia</v>
      </c>
      <c r="F1756" s="48">
        <f>VLOOKUP(E1756,[2]PROYECTOS!$K$1:$M$32,3,0)</f>
        <v>2024003050104</v>
      </c>
      <c r="G1756" s="49" t="s">
        <v>2026</v>
      </c>
      <c r="H1756" s="49" t="str">
        <f>VLOOKUP(Q1756,[2]PROYECTOS!$V$1:$W$32,2,0)</f>
        <v>220381</v>
      </c>
      <c r="I1756" s="78">
        <v>0</v>
      </c>
      <c r="J1756" s="51" t="s">
        <v>42</v>
      </c>
      <c r="K1756" s="47" t="str">
        <f t="shared" ca="1" si="574"/>
        <v>CONTRATADO</v>
      </c>
      <c r="L1756" s="47" t="s">
        <v>94</v>
      </c>
      <c r="M1756" s="47" t="s">
        <v>89</v>
      </c>
      <c r="N1756" s="52" t="s">
        <v>2024</v>
      </c>
      <c r="O1756" s="51" t="e">
        <f>VLOOKUP(N1756,[2]!RUBROS[#All],3,0)</f>
        <v>#REF!</v>
      </c>
      <c r="P1756" s="53" t="e">
        <f>VLOOKUP(N1756,[2]!RUBROS[#All],2,0)</f>
        <v>#REF!</v>
      </c>
      <c r="Q1756" s="47" t="str">
        <f t="shared" si="577"/>
        <v>04</v>
      </c>
      <c r="R1756" s="47" t="str">
        <f t="shared" si="578"/>
        <v>0-205618</v>
      </c>
      <c r="S1756" s="339" t="s">
        <v>42</v>
      </c>
      <c r="T1756" s="59" t="s">
        <v>42</v>
      </c>
      <c r="U1756" s="326" t="e">
        <f ca="1">_xlfn.XLOOKUP(PAA_4[[#This Row],[ITEM]],[2]Contrato!A:A,[2]Contrato!Q:Q,"",0)</f>
        <v>#NAME?</v>
      </c>
      <c r="V1756" s="47" t="s">
        <v>95</v>
      </c>
      <c r="W1756" s="47" t="s">
        <v>42</v>
      </c>
      <c r="X1756" s="47" t="s">
        <v>42</v>
      </c>
      <c r="Y1756" s="55" t="e">
        <f ca="1">_xlfn.XLOOKUP(PAA_4[[#This Row],[ITEM]],[2]Contrato!A:A,[2]Contrato!B:B,"",0)</f>
        <v>#NAME?</v>
      </c>
      <c r="Z1756" s="47" t="e">
        <f ca="1">_xlfn.XLOOKUP(PAA_4[[#This Row],[ITEM]],[2]Contrato!A:A,[2]Contrato!G:G,"",0)</f>
        <v>#NAME?</v>
      </c>
      <c r="AA1756" s="47" t="e">
        <f ca="1">_xlfn.XLOOKUP(PAA_4[[#This Row],[ITEM]],[2]Contrato!A:A,[2]Contrato!T:T,"",0)</f>
        <v>#NAME?</v>
      </c>
      <c r="AB1756" s="55" t="e">
        <f ca="1">+MAX(PAA_4[[#This Row],[Comprometido Contrato]],PAA_4[[#This Row],[Comprometido Bolsa]])</f>
        <v>#NAME?</v>
      </c>
      <c r="AC1756" s="55" t="str">
        <f t="shared" ca="1" si="573"/>
        <v/>
      </c>
      <c r="AD1756" s="55" t="e">
        <f ca="1">IF(PAA_4[[#This Row],[ESTADO (formulado)]]="NO CONTRATADO",0,MAX(PAA_4[[#This Row],[Pago por Contrato]],PAA_4[[#This Row],[Pago por bolsa]]))</f>
        <v>#NAME?</v>
      </c>
      <c r="AE1756" s="55" t="str">
        <f t="shared" ca="1" si="575"/>
        <v/>
      </c>
      <c r="AF1756" s="47" t="e">
        <f t="shared" ca="1" si="579"/>
        <v>#NAME?</v>
      </c>
      <c r="AG1756" s="47">
        <f t="shared" si="576"/>
        <v>52011002</v>
      </c>
      <c r="AH1756" s="54">
        <f>IF(Q1756="22",IF(ISNUMBER(SEARCH("econ",PAA_4[[#This Row],[Actividad3]])),"Económico",IF(ISNUMBER(SEARCH("alim",PAA_4[[#This Row],[Actividad3]])),"Alimentación",IF(ISNUMBER(SEARCH("educ",PAA_4[[#This Row],[Actividad3]])),"Educativo","Técnico"))),0)</f>
        <v>0</v>
      </c>
      <c r="AI1756" s="47" t="e" cm="1">
        <f t="array" aca="1" ref="AI1756" ca="1">_xlfn.XLOOKUP(PAA_4[[#This Row],[RCP-RUBRO]],[2]!COMPROMISOS_2024[[#All],[concatenado]],[2]!COMPROMISOS_2024[[#All],[Total pagado]],"",0)</f>
        <v>#NAME?</v>
      </c>
      <c r="AJ1756" s="56">
        <f>IF(PAA_4[[#This Row],[BOLSA]]=0,0,SUMIFS([2]!COMPROMISOS_2024[[#All],[Total pagado]],[2]!COMPROMISOS_2024[[#All],[Bolsa]],PAA_4[[#This Row],[BOLSA]],[2]!COMPROMISOS_2024[[#All],[rubro]],PAA_4[[#This Row],[RCP-RUBRO]]))</f>
        <v>0</v>
      </c>
      <c r="AK1756" s="47" t="e" cm="1">
        <f t="array" aca="1" ref="AK1756" ca="1">_xlfn.XLOOKUP(PAA_4[[#This Row],[RCP-RUBRO]],[2]!COMPROMISOS_2024[[#All],[concatenado]],[2]!COMPROMISOS_2024[[#All],[Total Comprometido]],"",0)</f>
        <v>#NAME?</v>
      </c>
      <c r="AL1756" s="47">
        <f>IF(PAA_4[[#This Row],[BOLSA]]=0,0,SUMIFS([2]!COMPROMISOS_2024[[#All],[Total Comprometido]],[2]!COMPROMISOS_2024[[#All],[Bolsa]],PAA_4[[#This Row],[BOLSA]],[2]!COMPROMISOS_2024[[#All],[concatenado]],PAA_4[[#This Row],[RCP-RUBRO]]))</f>
        <v>0</v>
      </c>
    </row>
    <row r="1757" spans="1:38" s="19" customFormat="1" ht="31.5" customHeight="1">
      <c r="A1757" s="47">
        <v>1304</v>
      </c>
      <c r="B1757" s="47" t="s">
        <v>42</v>
      </c>
      <c r="C1757" s="47" t="str">
        <f>VLOOKUP(PAA_4[[#This Row],[PROYECTO (formulado)2]],[2]PROYECTOS!$G$1:$L$32,6,0)</f>
        <v>SUBGERENCIA ADMINISTRATIVA Y FINANCIERA</v>
      </c>
      <c r="D1757" s="47" t="str">
        <f>+IF(PAA_4[[#This Row],[UNIDAD DE CONTRATACION (formulado)]]="Subgerencia Administrativa y Financiera","FUNCIONAMIENTO","INVERSIÓN")</f>
        <v>FUNCIONAMIENTO</v>
      </c>
      <c r="E1757" s="48" t="str">
        <f>VLOOKUP(Q1757,[2]PROYECTOS!$G$1:$K$32,5,0)</f>
        <v>Mantenimiento de la infraestructura de las sedes operativas para la prestación de servicios deportivos, recreativos y de actividad física en las regiones de Antioquia</v>
      </c>
      <c r="F1757" s="48">
        <f>VLOOKUP(E1757,[2]PROYECTOS!$K$1:$M$32,3,0)</f>
        <v>2024003050104</v>
      </c>
      <c r="G1757" s="49" t="s">
        <v>2026</v>
      </c>
      <c r="H1757" s="49" t="str">
        <f>VLOOKUP(Q1757,[2]PROYECTOS!$V$1:$W$32,2,0)</f>
        <v>220381</v>
      </c>
      <c r="I1757" s="78">
        <v>153230340</v>
      </c>
      <c r="J1757" s="51" t="s">
        <v>2028</v>
      </c>
      <c r="K1757" s="47" t="str">
        <f t="shared" ca="1" si="574"/>
        <v>CONTRATADO</v>
      </c>
      <c r="L1757" s="47" t="s">
        <v>94</v>
      </c>
      <c r="M1757" s="47" t="s">
        <v>89</v>
      </c>
      <c r="N1757" s="52" t="s">
        <v>2024</v>
      </c>
      <c r="O1757" s="51" t="e">
        <f>VLOOKUP(N1757,[2]!RUBROS[#All],3,0)</f>
        <v>#REF!</v>
      </c>
      <c r="P1757" s="53" t="e">
        <f>VLOOKUP(N1757,[2]!RUBROS[#All],2,0)</f>
        <v>#REF!</v>
      </c>
      <c r="Q1757" s="47" t="str">
        <f t="shared" si="577"/>
        <v>04</v>
      </c>
      <c r="R1757" s="47" t="str">
        <f t="shared" si="578"/>
        <v>0-205618</v>
      </c>
      <c r="S1757" s="339">
        <v>5</v>
      </c>
      <c r="T1757" s="59" t="s">
        <v>46</v>
      </c>
      <c r="U1757" s="326" t="e">
        <f ca="1">_xlfn.XLOOKUP(PAA_4[[#This Row],[ITEM]],[2]Contrato!A:A,[2]Contrato!Q:Q,"",0)</f>
        <v>#NAME?</v>
      </c>
      <c r="V1757" s="47" t="s">
        <v>95</v>
      </c>
      <c r="W1757" s="47" t="s">
        <v>200</v>
      </c>
      <c r="X1757" s="47" t="s">
        <v>200</v>
      </c>
      <c r="Y1757" s="55" t="e">
        <f ca="1">_xlfn.XLOOKUP(PAA_4[[#This Row],[ITEM]],[2]Contrato!A:A,[2]Contrato!B:B,"",0)</f>
        <v>#NAME?</v>
      </c>
      <c r="Z1757" s="47" t="e">
        <f ca="1">_xlfn.XLOOKUP(PAA_4[[#This Row],[ITEM]],[2]Contrato!A:A,[2]Contrato!G:G,"",0)</f>
        <v>#NAME?</v>
      </c>
      <c r="AA1757" s="47" t="e">
        <f ca="1">_xlfn.XLOOKUP(PAA_4[[#This Row],[ITEM]],[2]Contrato!A:A,[2]Contrato!T:T,"",0)</f>
        <v>#NAME?</v>
      </c>
      <c r="AB1757" s="55" t="e">
        <f ca="1">+MAX(PAA_4[[#This Row],[Comprometido Contrato]],PAA_4[[#This Row],[Comprometido Bolsa]])</f>
        <v>#NAME?</v>
      </c>
      <c r="AC1757" s="55" t="str">
        <f t="shared" ca="1" si="573"/>
        <v/>
      </c>
      <c r="AD1757" s="55" t="e">
        <f ca="1">IF(PAA_4[[#This Row],[ESTADO (formulado)]]="NO CONTRATADO",0,MAX(PAA_4[[#This Row],[Pago por Contrato]],PAA_4[[#This Row],[Pago por bolsa]]))</f>
        <v>#NAME?</v>
      </c>
      <c r="AE1757" s="55" t="str">
        <f t="shared" ca="1" si="575"/>
        <v/>
      </c>
      <c r="AF1757" s="47" t="e">
        <f t="shared" ca="1" si="579"/>
        <v>#NAME?</v>
      </c>
      <c r="AG1757" s="47">
        <f t="shared" si="576"/>
        <v>52011002</v>
      </c>
      <c r="AH1757" s="54">
        <f>IF(Q1757="22",IF(ISNUMBER(SEARCH("econ",PAA_4[[#This Row],[Actividad3]])),"Económico",IF(ISNUMBER(SEARCH("alim",PAA_4[[#This Row],[Actividad3]])),"Alimentación",IF(ISNUMBER(SEARCH("educ",PAA_4[[#This Row],[Actividad3]])),"Educativo","Técnico"))),0)</f>
        <v>0</v>
      </c>
      <c r="AI1757" s="47" t="e" cm="1">
        <f t="array" aca="1" ref="AI1757" ca="1">_xlfn.XLOOKUP(PAA_4[[#This Row],[RCP-RUBRO]],[2]!COMPROMISOS_2024[[#All],[concatenado]],[2]!COMPROMISOS_2024[[#All],[Total pagado]],"",0)</f>
        <v>#NAME?</v>
      </c>
      <c r="AJ1757" s="56">
        <f>IF(PAA_4[[#This Row],[BOLSA]]=0,0,SUMIFS([2]!COMPROMISOS_2024[[#All],[Total pagado]],[2]!COMPROMISOS_2024[[#All],[Bolsa]],PAA_4[[#This Row],[BOLSA]],[2]!COMPROMISOS_2024[[#All],[rubro]],PAA_4[[#This Row],[RCP-RUBRO]]))</f>
        <v>0</v>
      </c>
      <c r="AK1757" s="47" t="e" cm="1">
        <f t="array" aca="1" ref="AK1757" ca="1">_xlfn.XLOOKUP(PAA_4[[#This Row],[RCP-RUBRO]],[2]!COMPROMISOS_2024[[#All],[concatenado]],[2]!COMPROMISOS_2024[[#All],[Total Comprometido]],"",0)</f>
        <v>#NAME?</v>
      </c>
      <c r="AL1757" s="47">
        <f>IF(PAA_4[[#This Row],[BOLSA]]=0,0,SUMIFS([2]!COMPROMISOS_2024[[#All],[Total Comprometido]],[2]!COMPROMISOS_2024[[#All],[Bolsa]],PAA_4[[#This Row],[BOLSA]],[2]!COMPROMISOS_2024[[#All],[concatenado]],PAA_4[[#This Row],[RCP-RUBRO]]))</f>
        <v>0</v>
      </c>
    </row>
    <row r="1758" spans="1:38" s="19" customFormat="1" ht="31.5" customHeight="1">
      <c r="A1758" s="47">
        <v>1305</v>
      </c>
      <c r="B1758" s="47" t="s">
        <v>42</v>
      </c>
      <c r="C1758" s="47" t="str">
        <f>VLOOKUP(PAA_4[[#This Row],[PROYECTO (formulado)2]],[2]PROYECTOS!$G$1:$L$32,6,0)</f>
        <v>SUBGERENCIA ADMINISTRATIVA Y FINANCIERA</v>
      </c>
      <c r="D1758" s="47" t="str">
        <f>+IF(PAA_4[[#This Row],[UNIDAD DE CONTRATACION (formulado)]]="Subgerencia Administrativa y Financiera","FUNCIONAMIENTO","INVERSIÓN")</f>
        <v>FUNCIONAMIENTO</v>
      </c>
      <c r="E1758" s="48" t="str">
        <f>VLOOKUP(Q1758,[2]PROYECTOS!$G$1:$K$32,5,0)</f>
        <v>Mantenimiento de la infraestructura de las sedes operativas para la prestación de servicios deportivos, recreativos y de actividad física en las regiones de Antioquia</v>
      </c>
      <c r="F1758" s="48">
        <f>VLOOKUP(E1758,[2]PROYECTOS!$K$1:$M$32,3,0)</f>
        <v>2024003050104</v>
      </c>
      <c r="G1758" s="49" t="s">
        <v>2026</v>
      </c>
      <c r="H1758" s="49" t="str">
        <f>VLOOKUP(Q1758,[2]PROYECTOS!$V$1:$W$32,2,0)</f>
        <v>220381</v>
      </c>
      <c r="I1758" s="78">
        <v>0</v>
      </c>
      <c r="J1758" s="51" t="s">
        <v>42</v>
      </c>
      <c r="K1758" s="47" t="str">
        <f t="shared" ca="1" si="574"/>
        <v>CONTRATADO</v>
      </c>
      <c r="L1758" s="47" t="s">
        <v>94</v>
      </c>
      <c r="M1758" s="47" t="s">
        <v>161</v>
      </c>
      <c r="N1758" s="52" t="s">
        <v>2024</v>
      </c>
      <c r="O1758" s="51" t="e">
        <f>VLOOKUP(N1758,[2]!RUBROS[#All],3,0)</f>
        <v>#REF!</v>
      </c>
      <c r="P1758" s="53" t="e">
        <f>VLOOKUP(N1758,[2]!RUBROS[#All],2,0)</f>
        <v>#REF!</v>
      </c>
      <c r="Q1758" s="47" t="str">
        <f t="shared" si="577"/>
        <v>04</v>
      </c>
      <c r="R1758" s="47" t="str">
        <f t="shared" si="578"/>
        <v>0-205618</v>
      </c>
      <c r="S1758" s="339">
        <v>5</v>
      </c>
      <c r="T1758" s="59" t="s">
        <v>46</v>
      </c>
      <c r="U1758" s="326" t="e">
        <f ca="1">_xlfn.XLOOKUP(PAA_4[[#This Row],[ITEM]],[2]Contrato!A:A,[2]Contrato!Q:Q,"",0)</f>
        <v>#NAME?</v>
      </c>
      <c r="V1758" s="47" t="s">
        <v>95</v>
      </c>
      <c r="W1758" s="47" t="s">
        <v>200</v>
      </c>
      <c r="X1758" s="47" t="s">
        <v>200</v>
      </c>
      <c r="Y1758" s="55" t="e">
        <f ca="1">_xlfn.XLOOKUP(PAA_4[[#This Row],[ITEM]],[2]Contrato!A:A,[2]Contrato!B:B,"",0)</f>
        <v>#NAME?</v>
      </c>
      <c r="Z1758" s="47" t="e">
        <f ca="1">_xlfn.XLOOKUP(PAA_4[[#This Row],[ITEM]],[2]Contrato!A:A,[2]Contrato!G:G,"",0)</f>
        <v>#NAME?</v>
      </c>
      <c r="AA1758" s="47" t="e">
        <f ca="1">_xlfn.XLOOKUP(PAA_4[[#This Row],[ITEM]],[2]Contrato!A:A,[2]Contrato!T:T,"",0)</f>
        <v>#NAME?</v>
      </c>
      <c r="AB1758" s="55" t="e">
        <f ca="1">+MAX(PAA_4[[#This Row],[Comprometido Contrato]],PAA_4[[#This Row],[Comprometido Bolsa]])</f>
        <v>#NAME?</v>
      </c>
      <c r="AC1758" s="55" t="str">
        <f t="shared" ca="1" si="573"/>
        <v/>
      </c>
      <c r="AD1758" s="55" t="e">
        <f ca="1">IF(PAA_4[[#This Row],[ESTADO (formulado)]]="NO CONTRATADO",0,MAX(PAA_4[[#This Row],[Pago por Contrato]],PAA_4[[#This Row],[Pago por bolsa]]))</f>
        <v>#NAME?</v>
      </c>
      <c r="AE1758" s="55" t="str">
        <f t="shared" ca="1" si="575"/>
        <v/>
      </c>
      <c r="AF1758" s="47" t="e">
        <f t="shared" ca="1" si="579"/>
        <v>#NAME?</v>
      </c>
      <c r="AG1758" s="47">
        <f t="shared" si="576"/>
        <v>52011002</v>
      </c>
      <c r="AH1758" s="54">
        <f>IF(Q1758="22",IF(ISNUMBER(SEARCH("econ",PAA_4[[#This Row],[Actividad3]])),"Económico",IF(ISNUMBER(SEARCH("alim",PAA_4[[#This Row],[Actividad3]])),"Alimentación",IF(ISNUMBER(SEARCH("educ",PAA_4[[#This Row],[Actividad3]])),"Educativo","Técnico"))),0)</f>
        <v>0</v>
      </c>
      <c r="AI1758" s="47" t="e" cm="1">
        <f t="array" aca="1" ref="AI1758" ca="1">_xlfn.XLOOKUP(PAA_4[[#This Row],[RCP-RUBRO]],[2]!COMPROMISOS_2024[[#All],[concatenado]],[2]!COMPROMISOS_2024[[#All],[Total pagado]],"",0)</f>
        <v>#NAME?</v>
      </c>
      <c r="AJ1758" s="56">
        <f>IF(PAA_4[[#This Row],[BOLSA]]=0,0,SUMIFS([2]!COMPROMISOS_2024[[#All],[Total pagado]],[2]!COMPROMISOS_2024[[#All],[Bolsa]],PAA_4[[#This Row],[BOLSA]],[2]!COMPROMISOS_2024[[#All],[rubro]],PAA_4[[#This Row],[RCP-RUBRO]]))</f>
        <v>0</v>
      </c>
      <c r="AK1758" s="47" t="e" cm="1">
        <f t="array" aca="1" ref="AK1758" ca="1">_xlfn.XLOOKUP(PAA_4[[#This Row],[RCP-RUBRO]],[2]!COMPROMISOS_2024[[#All],[concatenado]],[2]!COMPROMISOS_2024[[#All],[Total Comprometido]],"",0)</f>
        <v>#NAME?</v>
      </c>
      <c r="AL1758" s="47">
        <f>IF(PAA_4[[#This Row],[BOLSA]]=0,0,SUMIFS([2]!COMPROMISOS_2024[[#All],[Total Comprometido]],[2]!COMPROMISOS_2024[[#All],[Bolsa]],PAA_4[[#This Row],[BOLSA]],[2]!COMPROMISOS_2024[[#All],[concatenado]],PAA_4[[#This Row],[RCP-RUBRO]]))</f>
        <v>0</v>
      </c>
    </row>
    <row r="1759" spans="1:38" s="19" customFormat="1" ht="31.5" customHeight="1">
      <c r="A1759" s="47" t="s">
        <v>82</v>
      </c>
      <c r="B1759" s="47" t="s">
        <v>42</v>
      </c>
      <c r="C1759" s="47" t="str">
        <f>VLOOKUP(PAA_4[[#This Row],[PROYECTO (formulado)2]],[2]PROYECTOS!$G$1:$L$32,6,0)</f>
        <v>SUBGERENCIA ADMINISTRATIVA Y FINANCIERA</v>
      </c>
      <c r="D1759" s="47" t="str">
        <f>+IF(PAA_4[[#This Row],[UNIDAD DE CONTRATACION (formulado)]]="Subgerencia Administrativa y Financiera","FUNCIONAMIENTO","INVERSIÓN")</f>
        <v>FUNCIONAMIENTO</v>
      </c>
      <c r="E1759" s="48" t="str">
        <f>VLOOKUP(Q1759,[2]PROYECTOS!$G$1:$K$32,5,0)</f>
        <v>Mantenimiento de la infraestructura de las sedes operativas para la prestación de servicios deportivos, recreativos y de actividad física en las regiones de Antioquia</v>
      </c>
      <c r="F1759" s="48">
        <f>VLOOKUP(E1759,[2]PROYECTOS!$K$1:$M$32,3,0)</f>
        <v>2024003050104</v>
      </c>
      <c r="G1759" s="49" t="s">
        <v>2029</v>
      </c>
      <c r="H1759" s="49" t="str">
        <f>VLOOKUP(Q1759,[2]PROYECTOS!$V$1:$W$32,2,0)</f>
        <v>220381</v>
      </c>
      <c r="I1759" s="78">
        <v>38043368</v>
      </c>
      <c r="J1759" s="51" t="s">
        <v>2028</v>
      </c>
      <c r="K1759" s="47" t="str">
        <f t="shared" ca="1" si="574"/>
        <v>CONTRATADO</v>
      </c>
      <c r="L1759" s="47" t="s">
        <v>42</v>
      </c>
      <c r="M1759" s="47" t="s">
        <v>42</v>
      </c>
      <c r="N1759" s="52" t="s">
        <v>2030</v>
      </c>
      <c r="O1759" s="51" t="e">
        <f>VLOOKUP(N1759,[2]!RUBROS[#All],3,0)</f>
        <v>#REF!</v>
      </c>
      <c r="P1759" s="53" t="e">
        <f>VLOOKUP(N1759,[2]!RUBROS[#All],2,0)</f>
        <v>#REF!</v>
      </c>
      <c r="Q1759" s="47" t="str">
        <f t="shared" si="577"/>
        <v>04</v>
      </c>
      <c r="R1759" s="47" t="str">
        <f t="shared" si="578"/>
        <v>0-202029</v>
      </c>
      <c r="S1759" s="339" t="s">
        <v>42</v>
      </c>
      <c r="T1759" s="59" t="s">
        <v>42</v>
      </c>
      <c r="U1759" s="326" t="e">
        <f ca="1">_xlfn.XLOOKUP(PAA_4[[#This Row],[ITEM]],[2]Contrato!A:A,[2]Contrato!Q:Q,"",0)</f>
        <v>#NAME?</v>
      </c>
      <c r="V1759" s="47" t="s">
        <v>95</v>
      </c>
      <c r="W1759" s="47" t="s">
        <v>42</v>
      </c>
      <c r="X1759" s="47" t="s">
        <v>42</v>
      </c>
      <c r="Y1759" s="55" t="e">
        <f ca="1">_xlfn.XLOOKUP(PAA_4[[#This Row],[ITEM]],[2]Contrato!A:A,[2]Contrato!B:B,"",0)</f>
        <v>#NAME?</v>
      </c>
      <c r="Z1759" s="47" t="e">
        <f ca="1">_xlfn.XLOOKUP(PAA_4[[#This Row],[ITEM]],[2]Contrato!A:A,[2]Contrato!G:G,"",0)</f>
        <v>#NAME?</v>
      </c>
      <c r="AA1759" s="47" t="e">
        <f ca="1">_xlfn.XLOOKUP(PAA_4[[#This Row],[ITEM]],[2]Contrato!A:A,[2]Contrato!T:T,"",0)</f>
        <v>#NAME?</v>
      </c>
      <c r="AB1759" s="55" t="e">
        <f ca="1">+MAX(PAA_4[[#This Row],[Comprometido Contrato]],PAA_4[[#This Row],[Comprometido Bolsa]])</f>
        <v>#NAME?</v>
      </c>
      <c r="AC1759" s="55" t="str">
        <f t="shared" ca="1" si="573"/>
        <v/>
      </c>
      <c r="AD1759" s="55" t="e">
        <f ca="1">IF(PAA_4[[#This Row],[ESTADO (formulado)]]="NO CONTRATADO",0,MAX(PAA_4[[#This Row],[Pago por Contrato]],PAA_4[[#This Row],[Pago por bolsa]]))</f>
        <v>#NAME?</v>
      </c>
      <c r="AE1759" s="55" t="str">
        <f t="shared" ca="1" si="575"/>
        <v/>
      </c>
      <c r="AF1759" s="47" t="e">
        <f t="shared" ca="1" si="579"/>
        <v>#NAME?</v>
      </c>
      <c r="AG1759" s="47">
        <f t="shared" si="576"/>
        <v>52011002</v>
      </c>
      <c r="AH1759" s="54">
        <f>IF(Q1759="22",IF(ISNUMBER(SEARCH("econ",PAA_4[[#This Row],[Actividad3]])),"Económico",IF(ISNUMBER(SEARCH("alim",PAA_4[[#This Row],[Actividad3]])),"Alimentación",IF(ISNUMBER(SEARCH("educ",PAA_4[[#This Row],[Actividad3]])),"Educativo","Técnico"))),0)</f>
        <v>0</v>
      </c>
      <c r="AI1759" s="47" t="e" cm="1">
        <f t="array" aca="1" ref="AI1759" ca="1">_xlfn.XLOOKUP(PAA_4[[#This Row],[RCP-RUBRO]],[2]!COMPROMISOS_2024[[#All],[concatenado]],[2]!COMPROMISOS_2024[[#All],[Total pagado]],"",0)</f>
        <v>#NAME?</v>
      </c>
      <c r="AJ1759" s="56">
        <f>IF(PAA_4[[#This Row],[BOLSA]]=0,0,SUMIFS([2]!COMPROMISOS_2024[[#All],[Total pagado]],[2]!COMPROMISOS_2024[[#All],[Bolsa]],PAA_4[[#This Row],[BOLSA]],[2]!COMPROMISOS_2024[[#All],[rubro]],PAA_4[[#This Row],[RCP-RUBRO]]))</f>
        <v>0</v>
      </c>
      <c r="AK1759" s="47" t="e" cm="1">
        <f t="array" aca="1" ref="AK1759" ca="1">_xlfn.XLOOKUP(PAA_4[[#This Row],[RCP-RUBRO]],[2]!COMPROMISOS_2024[[#All],[concatenado]],[2]!COMPROMISOS_2024[[#All],[Total Comprometido]],"",0)</f>
        <v>#NAME?</v>
      </c>
      <c r="AL1759" s="47">
        <f>IF(PAA_4[[#This Row],[BOLSA]]=0,0,SUMIFS([2]!COMPROMISOS_2024[[#All],[Total Comprometido]],[2]!COMPROMISOS_2024[[#All],[Bolsa]],PAA_4[[#This Row],[BOLSA]],[2]!COMPROMISOS_2024[[#All],[concatenado]],PAA_4[[#This Row],[RCP-RUBRO]]))</f>
        <v>0</v>
      </c>
    </row>
    <row r="1760" spans="1:38" s="19" customFormat="1" ht="31.5" customHeight="1">
      <c r="A1760" s="47" t="s">
        <v>82</v>
      </c>
      <c r="B1760" s="47" t="s">
        <v>42</v>
      </c>
      <c r="C1760" s="47" t="str">
        <f>VLOOKUP(PAA_4[[#This Row],[PROYECTO (formulado)2]],[2]PROYECTOS!$G$1:$L$32,6,0)</f>
        <v>SUBGERENCIA ADMINISTRATIVA Y FINANCIERA</v>
      </c>
      <c r="D1760" s="47" t="str">
        <f>+IF(PAA_4[[#This Row],[UNIDAD DE CONTRATACION (formulado)]]="Subgerencia Administrativa y Financiera","FUNCIONAMIENTO","INVERSIÓN")</f>
        <v>FUNCIONAMIENTO</v>
      </c>
      <c r="E1760" s="48" t="str">
        <f>VLOOKUP(Q1760,[2]PROYECTOS!$G$1:$K$32,5,0)</f>
        <v>Mantenimiento de la infraestructura de las sedes operativas para la prestación de servicios deportivos, recreativos y de actividad física en las regiones de Antioquia</v>
      </c>
      <c r="F1760" s="48">
        <f>VLOOKUP(E1760,[2]PROYECTOS!$K$1:$M$32,3,0)</f>
        <v>2024003050104</v>
      </c>
      <c r="G1760" s="49" t="s">
        <v>2031</v>
      </c>
      <c r="H1760" s="49" t="str">
        <f>VLOOKUP(Q1760,[2]PROYECTOS!$V$1:$W$32,2,0)</f>
        <v>220381</v>
      </c>
      <c r="I1760" s="78">
        <v>190216957</v>
      </c>
      <c r="J1760" s="51" t="s">
        <v>2028</v>
      </c>
      <c r="K1760" s="47" t="str">
        <f t="shared" ca="1" si="574"/>
        <v>CONTRATADO</v>
      </c>
      <c r="L1760" s="47" t="s">
        <v>42</v>
      </c>
      <c r="M1760" s="47" t="s">
        <v>42</v>
      </c>
      <c r="N1760" s="52" t="s">
        <v>2030</v>
      </c>
      <c r="O1760" s="51" t="e">
        <f>VLOOKUP(N1760,[2]!RUBROS[#All],3,0)</f>
        <v>#REF!</v>
      </c>
      <c r="P1760" s="53" t="e">
        <f>VLOOKUP(N1760,[2]!RUBROS[#All],2,0)</f>
        <v>#REF!</v>
      </c>
      <c r="Q1760" s="47" t="str">
        <f t="shared" si="577"/>
        <v>04</v>
      </c>
      <c r="R1760" s="47" t="str">
        <f t="shared" si="578"/>
        <v>0-202029</v>
      </c>
      <c r="S1760" s="339" t="s">
        <v>42</v>
      </c>
      <c r="T1760" s="59" t="s">
        <v>42</v>
      </c>
      <c r="U1760" s="326" t="e">
        <f ca="1">_xlfn.XLOOKUP(PAA_4[[#This Row],[ITEM]],[2]Contrato!A:A,[2]Contrato!Q:Q,"",0)</f>
        <v>#NAME?</v>
      </c>
      <c r="V1760" s="47" t="s">
        <v>95</v>
      </c>
      <c r="W1760" s="47" t="s">
        <v>42</v>
      </c>
      <c r="X1760" s="47" t="s">
        <v>42</v>
      </c>
      <c r="Y1760" s="55" t="e">
        <f ca="1">_xlfn.XLOOKUP(PAA_4[[#This Row],[ITEM]],[2]Contrato!A:A,[2]Contrato!B:B,"",0)</f>
        <v>#NAME?</v>
      </c>
      <c r="Z1760" s="47" t="e">
        <f ca="1">_xlfn.XLOOKUP(PAA_4[[#This Row],[ITEM]],[2]Contrato!A:A,[2]Contrato!G:G,"",0)</f>
        <v>#NAME?</v>
      </c>
      <c r="AA1760" s="47" t="e">
        <f ca="1">_xlfn.XLOOKUP(PAA_4[[#This Row],[ITEM]],[2]Contrato!A:A,[2]Contrato!T:T,"",0)</f>
        <v>#NAME?</v>
      </c>
      <c r="AB1760" s="55" t="e">
        <f ca="1">+MAX(PAA_4[[#This Row],[Comprometido Contrato]],PAA_4[[#This Row],[Comprometido Bolsa]])</f>
        <v>#NAME?</v>
      </c>
      <c r="AC1760" s="55" t="str">
        <f t="shared" ca="1" si="573"/>
        <v/>
      </c>
      <c r="AD1760" s="55" t="e">
        <f ca="1">IF(PAA_4[[#This Row],[ESTADO (formulado)]]="NO CONTRATADO",0,MAX(PAA_4[[#This Row],[Pago por Contrato]],PAA_4[[#This Row],[Pago por bolsa]]))</f>
        <v>#NAME?</v>
      </c>
      <c r="AE1760" s="55" t="str">
        <f t="shared" ca="1" si="575"/>
        <v/>
      </c>
      <c r="AF1760" s="47" t="e">
        <f t="shared" ca="1" si="579"/>
        <v>#NAME?</v>
      </c>
      <c r="AG1760" s="47">
        <f t="shared" si="576"/>
        <v>52011002</v>
      </c>
      <c r="AH1760" s="54">
        <f>IF(Q1760="22",IF(ISNUMBER(SEARCH("econ",PAA_4[[#This Row],[Actividad3]])),"Económico",IF(ISNUMBER(SEARCH("alim",PAA_4[[#This Row],[Actividad3]])),"Alimentación",IF(ISNUMBER(SEARCH("educ",PAA_4[[#This Row],[Actividad3]])),"Educativo","Técnico"))),0)</f>
        <v>0</v>
      </c>
      <c r="AI1760" s="47" t="e" cm="1">
        <f t="array" aca="1" ref="AI1760" ca="1">_xlfn.XLOOKUP(PAA_4[[#This Row],[RCP-RUBRO]],[2]!COMPROMISOS_2024[[#All],[concatenado]],[2]!COMPROMISOS_2024[[#All],[Total pagado]],"",0)</f>
        <v>#NAME?</v>
      </c>
      <c r="AJ1760" s="56">
        <f>IF(PAA_4[[#This Row],[BOLSA]]=0,0,SUMIFS([2]!COMPROMISOS_2024[[#All],[Total pagado]],[2]!COMPROMISOS_2024[[#All],[Bolsa]],PAA_4[[#This Row],[BOLSA]],[2]!COMPROMISOS_2024[[#All],[rubro]],PAA_4[[#This Row],[RCP-RUBRO]]))</f>
        <v>0</v>
      </c>
      <c r="AK1760" s="47" t="e" cm="1">
        <f t="array" aca="1" ref="AK1760" ca="1">_xlfn.XLOOKUP(PAA_4[[#This Row],[RCP-RUBRO]],[2]!COMPROMISOS_2024[[#All],[concatenado]],[2]!COMPROMISOS_2024[[#All],[Total Comprometido]],"",0)</f>
        <v>#NAME?</v>
      </c>
      <c r="AL1760" s="47">
        <f>IF(PAA_4[[#This Row],[BOLSA]]=0,0,SUMIFS([2]!COMPROMISOS_2024[[#All],[Total Comprometido]],[2]!COMPROMISOS_2024[[#All],[Bolsa]],PAA_4[[#This Row],[BOLSA]],[2]!COMPROMISOS_2024[[#All],[concatenado]],PAA_4[[#This Row],[RCP-RUBRO]]))</f>
        <v>0</v>
      </c>
    </row>
    <row r="1761" spans="1:38" s="19" customFormat="1" ht="31.5" customHeight="1">
      <c r="A1761" s="47" t="s">
        <v>82</v>
      </c>
      <c r="B1761" s="47" t="s">
        <v>42</v>
      </c>
      <c r="C1761" s="47" t="str">
        <f>VLOOKUP(PAA_4[[#This Row],[PROYECTO (formulado)2]],[2]PROYECTOS!$G$1:$L$32,6,0)</f>
        <v>SUBGERENCIA ADMINISTRATIVA Y FINANCIERA</v>
      </c>
      <c r="D1761" s="47" t="str">
        <f>+IF(PAA_4[[#This Row],[UNIDAD DE CONTRATACION (formulado)]]="Subgerencia Administrativa y Financiera","FUNCIONAMIENTO","INVERSIÓN")</f>
        <v>FUNCIONAMIENTO</v>
      </c>
      <c r="E1761" s="48" t="str">
        <f>VLOOKUP(Q1761,[2]PROYECTOS!$G$1:$K$32,5,0)</f>
        <v>Mantenimiento de la infraestructura de las sedes operativas para la prestación de servicios deportivos, recreativos y de actividad física en las regiones de Antioquia</v>
      </c>
      <c r="F1761" s="48">
        <f>VLOOKUP(E1761,[2]PROYECTOS!$K$1:$M$32,3,0)</f>
        <v>2024003050104</v>
      </c>
      <c r="G1761" s="49" t="s">
        <v>2032</v>
      </c>
      <c r="H1761" s="49" t="str">
        <f>VLOOKUP(Q1761,[2]PROYECTOS!$V$1:$W$32,2,0)</f>
        <v>220381</v>
      </c>
      <c r="I1761" s="78">
        <v>63405653</v>
      </c>
      <c r="J1761" s="51" t="s">
        <v>2028</v>
      </c>
      <c r="K1761" s="47" t="str">
        <f t="shared" ca="1" si="574"/>
        <v>CONTRATADO</v>
      </c>
      <c r="L1761" s="47" t="s">
        <v>42</v>
      </c>
      <c r="M1761" s="47" t="s">
        <v>42</v>
      </c>
      <c r="N1761" s="52" t="s">
        <v>2030</v>
      </c>
      <c r="O1761" s="51" t="e">
        <f>VLOOKUP(N1761,[2]!RUBROS[#All],3,0)</f>
        <v>#REF!</v>
      </c>
      <c r="P1761" s="53" t="e">
        <f>VLOOKUP(N1761,[2]!RUBROS[#All],2,0)</f>
        <v>#REF!</v>
      </c>
      <c r="Q1761" s="47" t="str">
        <f t="shared" si="577"/>
        <v>04</v>
      </c>
      <c r="R1761" s="47" t="str">
        <f t="shared" si="578"/>
        <v>0-202029</v>
      </c>
      <c r="S1761" s="339" t="s">
        <v>42</v>
      </c>
      <c r="T1761" s="59" t="s">
        <v>42</v>
      </c>
      <c r="U1761" s="326" t="e">
        <f ca="1">_xlfn.XLOOKUP(PAA_4[[#This Row],[ITEM]],[2]Contrato!A:A,[2]Contrato!Q:Q,"",0)</f>
        <v>#NAME?</v>
      </c>
      <c r="V1761" s="47" t="s">
        <v>95</v>
      </c>
      <c r="W1761" s="47" t="s">
        <v>42</v>
      </c>
      <c r="X1761" s="47" t="s">
        <v>42</v>
      </c>
      <c r="Y1761" s="55" t="e">
        <f ca="1">_xlfn.XLOOKUP(PAA_4[[#This Row],[ITEM]],[2]Contrato!A:A,[2]Contrato!B:B,"",0)</f>
        <v>#NAME?</v>
      </c>
      <c r="Z1761" s="47" t="e">
        <f ca="1">_xlfn.XLOOKUP(PAA_4[[#This Row],[ITEM]],[2]Contrato!A:A,[2]Contrato!G:G,"",0)</f>
        <v>#NAME?</v>
      </c>
      <c r="AA1761" s="47" t="e">
        <f ca="1">_xlfn.XLOOKUP(PAA_4[[#This Row],[ITEM]],[2]Contrato!A:A,[2]Contrato!T:T,"",0)</f>
        <v>#NAME?</v>
      </c>
      <c r="AB1761" s="55" t="e">
        <f ca="1">+MAX(PAA_4[[#This Row],[Comprometido Contrato]],PAA_4[[#This Row],[Comprometido Bolsa]])</f>
        <v>#NAME?</v>
      </c>
      <c r="AC1761" s="55" t="str">
        <f t="shared" ca="1" si="573"/>
        <v/>
      </c>
      <c r="AD1761" s="55" t="e">
        <f ca="1">IF(PAA_4[[#This Row],[ESTADO (formulado)]]="NO CONTRATADO",0,MAX(PAA_4[[#This Row],[Pago por Contrato]],PAA_4[[#This Row],[Pago por bolsa]]))</f>
        <v>#NAME?</v>
      </c>
      <c r="AE1761" s="55" t="str">
        <f t="shared" ca="1" si="575"/>
        <v/>
      </c>
      <c r="AF1761" s="47" t="e">
        <f t="shared" ca="1" si="579"/>
        <v>#NAME?</v>
      </c>
      <c r="AG1761" s="47">
        <f t="shared" si="576"/>
        <v>52011002</v>
      </c>
      <c r="AH1761" s="54">
        <f>IF(Q1761="22",IF(ISNUMBER(SEARCH("econ",PAA_4[[#This Row],[Actividad3]])),"Económico",IF(ISNUMBER(SEARCH("alim",PAA_4[[#This Row],[Actividad3]])),"Alimentación",IF(ISNUMBER(SEARCH("educ",PAA_4[[#This Row],[Actividad3]])),"Educativo","Técnico"))),0)</f>
        <v>0</v>
      </c>
      <c r="AI1761" s="47" t="e" cm="1">
        <f t="array" aca="1" ref="AI1761" ca="1">_xlfn.XLOOKUP(PAA_4[[#This Row],[RCP-RUBRO]],[2]!COMPROMISOS_2024[[#All],[concatenado]],[2]!COMPROMISOS_2024[[#All],[Total pagado]],"",0)</f>
        <v>#NAME?</v>
      </c>
      <c r="AJ1761" s="56">
        <f>IF(PAA_4[[#This Row],[BOLSA]]=0,0,SUMIFS([2]!COMPROMISOS_2024[[#All],[Total pagado]],[2]!COMPROMISOS_2024[[#All],[Bolsa]],PAA_4[[#This Row],[BOLSA]],[2]!COMPROMISOS_2024[[#All],[rubro]],PAA_4[[#This Row],[RCP-RUBRO]]))</f>
        <v>0</v>
      </c>
      <c r="AK1761" s="47" t="e" cm="1">
        <f t="array" aca="1" ref="AK1761" ca="1">_xlfn.XLOOKUP(PAA_4[[#This Row],[RCP-RUBRO]],[2]!COMPROMISOS_2024[[#All],[concatenado]],[2]!COMPROMISOS_2024[[#All],[Total Comprometido]],"",0)</f>
        <v>#NAME?</v>
      </c>
      <c r="AL1761" s="47">
        <f>IF(PAA_4[[#This Row],[BOLSA]]=0,0,SUMIFS([2]!COMPROMISOS_2024[[#All],[Total Comprometido]],[2]!COMPROMISOS_2024[[#All],[Bolsa]],PAA_4[[#This Row],[BOLSA]],[2]!COMPROMISOS_2024[[#All],[concatenado]],PAA_4[[#This Row],[RCP-RUBRO]]))</f>
        <v>0</v>
      </c>
    </row>
    <row r="1762" spans="1:38" s="19" customFormat="1" ht="31.5" customHeight="1">
      <c r="A1762" s="47" t="s">
        <v>82</v>
      </c>
      <c r="B1762" s="47" t="s">
        <v>42</v>
      </c>
      <c r="C1762" s="47" t="str">
        <f>VLOOKUP(PAA_4[[#This Row],[PROYECTO (formulado)2]],[2]PROYECTOS!$G$1:$L$32,6,0)</f>
        <v>SUBGERENCIA ADMINISTRATIVA Y FINANCIERA</v>
      </c>
      <c r="D1762" s="47" t="str">
        <f>+IF(PAA_4[[#This Row],[UNIDAD DE CONTRATACION (formulado)]]="Subgerencia Administrativa y Financiera","FUNCIONAMIENTO","INVERSIÓN")</f>
        <v>FUNCIONAMIENTO</v>
      </c>
      <c r="E1762" s="48" t="str">
        <f>VLOOKUP(Q1762,[2]PROYECTOS!$G$1:$K$32,5,0)</f>
        <v>Mantenimiento de la infraestructura de las sedes operativas para la prestación de servicios deportivos, recreativos y de actividad física en las regiones de Antioquia</v>
      </c>
      <c r="F1762" s="48">
        <f>VLOOKUP(E1762,[2]PROYECTOS!$K$1:$M$32,3,0)</f>
        <v>2024003050104</v>
      </c>
      <c r="G1762" s="49" t="s">
        <v>2033</v>
      </c>
      <c r="H1762" s="49" t="str">
        <f>VLOOKUP(Q1762,[2]PROYECTOS!$V$1:$W$32,2,0)</f>
        <v>220381</v>
      </c>
      <c r="I1762" s="78">
        <v>39945561</v>
      </c>
      <c r="J1762" s="51" t="s">
        <v>2028</v>
      </c>
      <c r="K1762" s="47" t="str">
        <f t="shared" ca="1" si="574"/>
        <v>CONTRATADO</v>
      </c>
      <c r="L1762" s="47" t="s">
        <v>42</v>
      </c>
      <c r="M1762" s="47" t="s">
        <v>42</v>
      </c>
      <c r="N1762" s="52" t="s">
        <v>2030</v>
      </c>
      <c r="O1762" s="51" t="e">
        <f>VLOOKUP(N1762,[2]!RUBROS[#All],3,0)</f>
        <v>#REF!</v>
      </c>
      <c r="P1762" s="53" t="e">
        <f>VLOOKUP(N1762,[2]!RUBROS[#All],2,0)</f>
        <v>#REF!</v>
      </c>
      <c r="Q1762" s="47" t="str">
        <f t="shared" si="577"/>
        <v>04</v>
      </c>
      <c r="R1762" s="47" t="str">
        <f t="shared" si="578"/>
        <v>0-202029</v>
      </c>
      <c r="S1762" s="339" t="s">
        <v>42</v>
      </c>
      <c r="T1762" s="59" t="s">
        <v>42</v>
      </c>
      <c r="U1762" s="326" t="e">
        <f ca="1">_xlfn.XLOOKUP(PAA_4[[#This Row],[ITEM]],[2]Contrato!A:A,[2]Contrato!Q:Q,"",0)</f>
        <v>#NAME?</v>
      </c>
      <c r="V1762" s="47" t="s">
        <v>95</v>
      </c>
      <c r="W1762" s="47" t="s">
        <v>42</v>
      </c>
      <c r="X1762" s="47" t="s">
        <v>42</v>
      </c>
      <c r="Y1762" s="55" t="e">
        <f ca="1">_xlfn.XLOOKUP(PAA_4[[#This Row],[ITEM]],[2]Contrato!A:A,[2]Contrato!B:B,"",0)</f>
        <v>#NAME?</v>
      </c>
      <c r="Z1762" s="47" t="e">
        <f ca="1">_xlfn.XLOOKUP(PAA_4[[#This Row],[ITEM]],[2]Contrato!A:A,[2]Contrato!G:G,"",0)</f>
        <v>#NAME?</v>
      </c>
      <c r="AA1762" s="47" t="e">
        <f ca="1">_xlfn.XLOOKUP(PAA_4[[#This Row],[ITEM]],[2]Contrato!A:A,[2]Contrato!T:T,"",0)</f>
        <v>#NAME?</v>
      </c>
      <c r="AB1762" s="55" t="e">
        <f ca="1">+MAX(PAA_4[[#This Row],[Comprometido Contrato]],PAA_4[[#This Row],[Comprometido Bolsa]])</f>
        <v>#NAME?</v>
      </c>
      <c r="AC1762" s="55" t="str">
        <f t="shared" ca="1" si="573"/>
        <v/>
      </c>
      <c r="AD1762" s="55" t="e">
        <f ca="1">IF(PAA_4[[#This Row],[ESTADO (formulado)]]="NO CONTRATADO",0,MAX(PAA_4[[#This Row],[Pago por Contrato]],PAA_4[[#This Row],[Pago por bolsa]]))</f>
        <v>#NAME?</v>
      </c>
      <c r="AE1762" s="55" t="str">
        <f t="shared" ca="1" si="575"/>
        <v/>
      </c>
      <c r="AF1762" s="47" t="e">
        <f t="shared" ca="1" si="579"/>
        <v>#NAME?</v>
      </c>
      <c r="AG1762" s="47">
        <f t="shared" si="576"/>
        <v>52011002</v>
      </c>
      <c r="AH1762" s="54">
        <f>IF(Q1762="22",IF(ISNUMBER(SEARCH("econ",PAA_4[[#This Row],[Actividad3]])),"Económico",IF(ISNUMBER(SEARCH("alim",PAA_4[[#This Row],[Actividad3]])),"Alimentación",IF(ISNUMBER(SEARCH("educ",PAA_4[[#This Row],[Actividad3]])),"Educativo","Técnico"))),0)</f>
        <v>0</v>
      </c>
      <c r="AI1762" s="47" t="e" cm="1">
        <f t="array" aca="1" ref="AI1762" ca="1">_xlfn.XLOOKUP(PAA_4[[#This Row],[RCP-RUBRO]],[2]!COMPROMISOS_2024[[#All],[concatenado]],[2]!COMPROMISOS_2024[[#All],[Total pagado]],"",0)</f>
        <v>#NAME?</v>
      </c>
      <c r="AJ1762" s="56">
        <f>IF(PAA_4[[#This Row],[BOLSA]]=0,0,SUMIFS([2]!COMPROMISOS_2024[[#All],[Total pagado]],[2]!COMPROMISOS_2024[[#All],[Bolsa]],PAA_4[[#This Row],[BOLSA]],[2]!COMPROMISOS_2024[[#All],[rubro]],PAA_4[[#This Row],[RCP-RUBRO]]))</f>
        <v>0</v>
      </c>
      <c r="AK1762" s="47" t="e" cm="1">
        <f t="array" aca="1" ref="AK1762" ca="1">_xlfn.XLOOKUP(PAA_4[[#This Row],[RCP-RUBRO]],[2]!COMPROMISOS_2024[[#All],[concatenado]],[2]!COMPROMISOS_2024[[#All],[Total Comprometido]],"",0)</f>
        <v>#NAME?</v>
      </c>
      <c r="AL1762" s="47">
        <f>IF(PAA_4[[#This Row],[BOLSA]]=0,0,SUMIFS([2]!COMPROMISOS_2024[[#All],[Total Comprometido]],[2]!COMPROMISOS_2024[[#All],[Bolsa]],PAA_4[[#This Row],[BOLSA]],[2]!COMPROMISOS_2024[[#All],[concatenado]],PAA_4[[#This Row],[RCP-RUBRO]]))</f>
        <v>0</v>
      </c>
    </row>
    <row r="1763" spans="1:38" s="19" customFormat="1" ht="31.5" customHeight="1">
      <c r="A1763" s="47" t="s">
        <v>82</v>
      </c>
      <c r="B1763" s="47" t="s">
        <v>42</v>
      </c>
      <c r="C1763" s="47" t="str">
        <f>VLOOKUP(PAA_4[[#This Row],[PROYECTO (formulado)2]],[2]PROYECTOS!$G$1:$L$32,6,0)</f>
        <v>SUBGERENCIA ADMINISTRATIVA Y FINANCIERA</v>
      </c>
      <c r="D1763" s="47" t="str">
        <f>+IF(PAA_4[[#This Row],[UNIDAD DE CONTRATACION (formulado)]]="Subgerencia Administrativa y Financiera","FUNCIONAMIENTO","INVERSIÓN")</f>
        <v>FUNCIONAMIENTO</v>
      </c>
      <c r="E1763" s="48" t="str">
        <f>VLOOKUP(Q1763,[2]PROYECTOS!$G$1:$K$32,5,0)</f>
        <v>Mantenimiento de la infraestructura de las sedes operativas para la prestación de servicios deportivos, recreativos y de actividad física en las regiones de Antioquia</v>
      </c>
      <c r="F1763" s="48">
        <f>VLOOKUP(E1763,[2]PROYECTOS!$K$1:$M$32,3,0)</f>
        <v>2024003050104</v>
      </c>
      <c r="G1763" s="49" t="s">
        <v>2034</v>
      </c>
      <c r="H1763" s="49" t="str">
        <f>VLOOKUP(Q1763,[2]PROYECTOS!$V$1:$W$32,2,0)</f>
        <v>220381</v>
      </c>
      <c r="I1763" s="78">
        <v>12681130</v>
      </c>
      <c r="J1763" s="51" t="s">
        <v>2028</v>
      </c>
      <c r="K1763" s="47" t="str">
        <f t="shared" ca="1" si="574"/>
        <v>CONTRATADO</v>
      </c>
      <c r="L1763" s="47" t="s">
        <v>42</v>
      </c>
      <c r="M1763" s="47" t="s">
        <v>42</v>
      </c>
      <c r="N1763" s="52" t="s">
        <v>2030</v>
      </c>
      <c r="O1763" s="51" t="e">
        <f>VLOOKUP(N1763,[2]!RUBROS[#All],3,0)</f>
        <v>#REF!</v>
      </c>
      <c r="P1763" s="53" t="e">
        <f>VLOOKUP(N1763,[2]!RUBROS[#All],2,0)</f>
        <v>#REF!</v>
      </c>
      <c r="Q1763" s="47" t="str">
        <f t="shared" si="577"/>
        <v>04</v>
      </c>
      <c r="R1763" s="47" t="str">
        <f t="shared" si="578"/>
        <v>0-202029</v>
      </c>
      <c r="S1763" s="339" t="s">
        <v>42</v>
      </c>
      <c r="T1763" s="59" t="s">
        <v>42</v>
      </c>
      <c r="U1763" s="326" t="e">
        <f ca="1">_xlfn.XLOOKUP(PAA_4[[#This Row],[ITEM]],[2]Contrato!A:A,[2]Contrato!Q:Q,"",0)</f>
        <v>#NAME?</v>
      </c>
      <c r="V1763" s="47" t="s">
        <v>95</v>
      </c>
      <c r="W1763" s="47" t="s">
        <v>42</v>
      </c>
      <c r="X1763" s="47" t="s">
        <v>42</v>
      </c>
      <c r="Y1763" s="55" t="e">
        <f ca="1">_xlfn.XLOOKUP(PAA_4[[#This Row],[ITEM]],[2]Contrato!A:A,[2]Contrato!B:B,"",0)</f>
        <v>#NAME?</v>
      </c>
      <c r="Z1763" s="47" t="e">
        <f ca="1">_xlfn.XLOOKUP(PAA_4[[#This Row],[ITEM]],[2]Contrato!A:A,[2]Contrato!G:G,"",0)</f>
        <v>#NAME?</v>
      </c>
      <c r="AA1763" s="47" t="e">
        <f ca="1">_xlfn.XLOOKUP(PAA_4[[#This Row],[ITEM]],[2]Contrato!A:A,[2]Contrato!T:T,"",0)</f>
        <v>#NAME?</v>
      </c>
      <c r="AB1763" s="55" t="e">
        <f ca="1">+MAX(PAA_4[[#This Row],[Comprometido Contrato]],PAA_4[[#This Row],[Comprometido Bolsa]])</f>
        <v>#NAME?</v>
      </c>
      <c r="AC1763" s="55" t="str">
        <f t="shared" ca="1" si="573"/>
        <v/>
      </c>
      <c r="AD1763" s="55" t="e">
        <f ca="1">IF(PAA_4[[#This Row],[ESTADO (formulado)]]="NO CONTRATADO",0,MAX(PAA_4[[#This Row],[Pago por Contrato]],PAA_4[[#This Row],[Pago por bolsa]]))</f>
        <v>#NAME?</v>
      </c>
      <c r="AE1763" s="55" t="str">
        <f t="shared" ca="1" si="575"/>
        <v/>
      </c>
      <c r="AF1763" s="47" t="e">
        <f t="shared" ca="1" si="579"/>
        <v>#NAME?</v>
      </c>
      <c r="AG1763" s="47">
        <f t="shared" si="576"/>
        <v>52011002</v>
      </c>
      <c r="AH1763" s="54">
        <f>IF(Q1763="22",IF(ISNUMBER(SEARCH("econ",PAA_4[[#This Row],[Actividad3]])),"Económico",IF(ISNUMBER(SEARCH("alim",PAA_4[[#This Row],[Actividad3]])),"Alimentación",IF(ISNUMBER(SEARCH("educ",PAA_4[[#This Row],[Actividad3]])),"Educativo","Técnico"))),0)</f>
        <v>0</v>
      </c>
      <c r="AI1763" s="47" t="e" cm="1">
        <f t="array" aca="1" ref="AI1763" ca="1">_xlfn.XLOOKUP(PAA_4[[#This Row],[RCP-RUBRO]],[2]!COMPROMISOS_2024[[#All],[concatenado]],[2]!COMPROMISOS_2024[[#All],[Total pagado]],"",0)</f>
        <v>#NAME?</v>
      </c>
      <c r="AJ1763" s="56">
        <f>IF(PAA_4[[#This Row],[BOLSA]]=0,0,SUMIFS([2]!COMPROMISOS_2024[[#All],[Total pagado]],[2]!COMPROMISOS_2024[[#All],[Bolsa]],PAA_4[[#This Row],[BOLSA]],[2]!COMPROMISOS_2024[[#All],[rubro]],PAA_4[[#This Row],[RCP-RUBRO]]))</f>
        <v>0</v>
      </c>
      <c r="AK1763" s="47" t="e" cm="1">
        <f t="array" aca="1" ref="AK1763" ca="1">_xlfn.XLOOKUP(PAA_4[[#This Row],[RCP-RUBRO]],[2]!COMPROMISOS_2024[[#All],[concatenado]],[2]!COMPROMISOS_2024[[#All],[Total Comprometido]],"",0)</f>
        <v>#NAME?</v>
      </c>
      <c r="AL1763" s="47">
        <f>IF(PAA_4[[#This Row],[BOLSA]]=0,0,SUMIFS([2]!COMPROMISOS_2024[[#All],[Total Comprometido]],[2]!COMPROMISOS_2024[[#All],[Bolsa]],PAA_4[[#This Row],[BOLSA]],[2]!COMPROMISOS_2024[[#All],[concatenado]],PAA_4[[#This Row],[RCP-RUBRO]]))</f>
        <v>0</v>
      </c>
    </row>
    <row r="1764" spans="1:38" s="19" customFormat="1" ht="31.5" customHeight="1">
      <c r="A1764" s="47" t="s">
        <v>82</v>
      </c>
      <c r="B1764" s="47" t="s">
        <v>42</v>
      </c>
      <c r="C1764" s="47" t="str">
        <f>VLOOKUP(PAA_4[[#This Row],[PROYECTO (formulado)2]],[2]PROYECTOS!$G$1:$L$32,6,0)</f>
        <v>SUBGERENCIA ADMINISTRATIVA Y FINANCIERA</v>
      </c>
      <c r="D1764" s="47" t="str">
        <f>+IF(PAA_4[[#This Row],[UNIDAD DE CONTRATACION (formulado)]]="Subgerencia Administrativa y Financiera","FUNCIONAMIENTO","INVERSIÓN")</f>
        <v>FUNCIONAMIENTO</v>
      </c>
      <c r="E1764" s="48" t="str">
        <f>VLOOKUP(Q1764,[2]PROYECTOS!$G$1:$K$32,5,0)</f>
        <v>Mantenimiento de la infraestructura de las sedes operativas para la prestación de servicios deportivos, recreativos y de actividad física en las regiones de Antioquia</v>
      </c>
      <c r="F1764" s="48">
        <f>VLOOKUP(E1764,[2]PROYECTOS!$K$1:$M$32,3,0)</f>
        <v>2024003050104</v>
      </c>
      <c r="G1764" s="49" t="s">
        <v>2035</v>
      </c>
      <c r="H1764" s="49" t="str">
        <f>VLOOKUP(Q1764,[2]PROYECTOS!$V$1:$W$32,2,0)</f>
        <v>220381</v>
      </c>
      <c r="I1764" s="78">
        <v>12681130</v>
      </c>
      <c r="J1764" s="51" t="s">
        <v>2028</v>
      </c>
      <c r="K1764" s="47" t="str">
        <f t="shared" ca="1" si="574"/>
        <v>CONTRATADO</v>
      </c>
      <c r="L1764" s="47" t="s">
        <v>42</v>
      </c>
      <c r="M1764" s="47" t="s">
        <v>42</v>
      </c>
      <c r="N1764" s="52" t="s">
        <v>2030</v>
      </c>
      <c r="O1764" s="51" t="e">
        <f>VLOOKUP(N1764,[2]!RUBROS[#All],3,0)</f>
        <v>#REF!</v>
      </c>
      <c r="P1764" s="53" t="e">
        <f>VLOOKUP(N1764,[2]!RUBROS[#All],2,0)</f>
        <v>#REF!</v>
      </c>
      <c r="Q1764" s="47" t="str">
        <f t="shared" si="577"/>
        <v>04</v>
      </c>
      <c r="R1764" s="47" t="str">
        <f t="shared" si="578"/>
        <v>0-202029</v>
      </c>
      <c r="S1764" s="339" t="s">
        <v>42</v>
      </c>
      <c r="T1764" s="59" t="s">
        <v>42</v>
      </c>
      <c r="U1764" s="326" t="e">
        <f ca="1">_xlfn.XLOOKUP(PAA_4[[#This Row],[ITEM]],[2]Contrato!A:A,[2]Contrato!Q:Q,"",0)</f>
        <v>#NAME?</v>
      </c>
      <c r="V1764" s="47" t="s">
        <v>95</v>
      </c>
      <c r="W1764" s="47" t="s">
        <v>42</v>
      </c>
      <c r="X1764" s="47" t="s">
        <v>42</v>
      </c>
      <c r="Y1764" s="55" t="e">
        <f ca="1">_xlfn.XLOOKUP(PAA_4[[#This Row],[ITEM]],[2]Contrato!A:A,[2]Contrato!B:B,"",0)</f>
        <v>#NAME?</v>
      </c>
      <c r="Z1764" s="47" t="e">
        <f ca="1">_xlfn.XLOOKUP(PAA_4[[#This Row],[ITEM]],[2]Contrato!A:A,[2]Contrato!G:G,"",0)</f>
        <v>#NAME?</v>
      </c>
      <c r="AA1764" s="47" t="e">
        <f ca="1">_xlfn.XLOOKUP(PAA_4[[#This Row],[ITEM]],[2]Contrato!A:A,[2]Contrato!T:T,"",0)</f>
        <v>#NAME?</v>
      </c>
      <c r="AB1764" s="55" t="e">
        <f ca="1">+MAX(PAA_4[[#This Row],[Comprometido Contrato]],PAA_4[[#This Row],[Comprometido Bolsa]])</f>
        <v>#NAME?</v>
      </c>
      <c r="AC1764" s="55" t="str">
        <f t="shared" ca="1" si="573"/>
        <v/>
      </c>
      <c r="AD1764" s="55" t="e">
        <f ca="1">IF(PAA_4[[#This Row],[ESTADO (formulado)]]="NO CONTRATADO",0,MAX(PAA_4[[#This Row],[Pago por Contrato]],PAA_4[[#This Row],[Pago por bolsa]]))</f>
        <v>#NAME?</v>
      </c>
      <c r="AE1764" s="55" t="str">
        <f t="shared" ca="1" si="575"/>
        <v/>
      </c>
      <c r="AF1764" s="47" t="e">
        <f t="shared" ca="1" si="579"/>
        <v>#NAME?</v>
      </c>
      <c r="AG1764" s="47">
        <f t="shared" si="576"/>
        <v>52011002</v>
      </c>
      <c r="AH1764" s="54">
        <f>IF(Q1764="22",IF(ISNUMBER(SEARCH("econ",PAA_4[[#This Row],[Actividad3]])),"Económico",IF(ISNUMBER(SEARCH("alim",PAA_4[[#This Row],[Actividad3]])),"Alimentación",IF(ISNUMBER(SEARCH("educ",PAA_4[[#This Row],[Actividad3]])),"Educativo","Técnico"))),0)</f>
        <v>0</v>
      </c>
      <c r="AI1764" s="47" t="e" cm="1">
        <f t="array" aca="1" ref="AI1764" ca="1">_xlfn.XLOOKUP(PAA_4[[#This Row],[RCP-RUBRO]],[2]!COMPROMISOS_2024[[#All],[concatenado]],[2]!COMPROMISOS_2024[[#All],[Total pagado]],"",0)</f>
        <v>#NAME?</v>
      </c>
      <c r="AJ1764" s="56">
        <f>IF(PAA_4[[#This Row],[BOLSA]]=0,0,SUMIFS([2]!COMPROMISOS_2024[[#All],[Total pagado]],[2]!COMPROMISOS_2024[[#All],[Bolsa]],PAA_4[[#This Row],[BOLSA]],[2]!COMPROMISOS_2024[[#All],[rubro]],PAA_4[[#This Row],[RCP-RUBRO]]))</f>
        <v>0</v>
      </c>
      <c r="AK1764" s="47" t="e" cm="1">
        <f t="array" aca="1" ref="AK1764" ca="1">_xlfn.XLOOKUP(PAA_4[[#This Row],[RCP-RUBRO]],[2]!COMPROMISOS_2024[[#All],[concatenado]],[2]!COMPROMISOS_2024[[#All],[Total Comprometido]],"",0)</f>
        <v>#NAME?</v>
      </c>
      <c r="AL1764" s="47">
        <f>IF(PAA_4[[#This Row],[BOLSA]]=0,0,SUMIFS([2]!COMPROMISOS_2024[[#All],[Total Comprometido]],[2]!COMPROMISOS_2024[[#All],[Bolsa]],PAA_4[[#This Row],[BOLSA]],[2]!COMPROMISOS_2024[[#All],[concatenado]],PAA_4[[#This Row],[RCP-RUBRO]]))</f>
        <v>0</v>
      </c>
    </row>
    <row r="1765" spans="1:38" s="19" customFormat="1" ht="31.5" customHeight="1">
      <c r="A1765" s="47" t="s">
        <v>82</v>
      </c>
      <c r="B1765" s="47" t="s">
        <v>42</v>
      </c>
      <c r="C1765" s="47" t="str">
        <f>VLOOKUP(PAA_4[[#This Row],[PROYECTO (formulado)2]],[2]PROYECTOS!$G$1:$L$32,6,0)</f>
        <v>SUBGERENCIA ADMINISTRATIVA Y FINANCIERA</v>
      </c>
      <c r="D1765" s="47" t="str">
        <f>+IF(PAA_4[[#This Row],[UNIDAD DE CONTRATACION (formulado)]]="Subgerencia Administrativa y Financiera","FUNCIONAMIENTO","INVERSIÓN")</f>
        <v>FUNCIONAMIENTO</v>
      </c>
      <c r="E1765" s="48" t="str">
        <f>VLOOKUP(Q1765,[2]PROYECTOS!$G$1:$K$32,5,0)</f>
        <v>Mantenimiento de la infraestructura de las sedes operativas para la prestación de servicios deportivos, recreativos y de actividad física en las regiones de Antioquia</v>
      </c>
      <c r="F1765" s="48">
        <f>VLOOKUP(E1765,[2]PROYECTOS!$K$1:$M$32,3,0)</f>
        <v>2024003050104</v>
      </c>
      <c r="G1765" s="49" t="s">
        <v>2036</v>
      </c>
      <c r="H1765" s="49" t="str">
        <f>VLOOKUP(Q1765,[2]PROYECTOS!$V$1:$W$32,2,0)</f>
        <v>220381</v>
      </c>
      <c r="I1765" s="78">
        <v>443839564</v>
      </c>
      <c r="J1765" s="51" t="s">
        <v>2028</v>
      </c>
      <c r="K1765" s="47" t="str">
        <f t="shared" ca="1" si="574"/>
        <v>CONTRATADO</v>
      </c>
      <c r="L1765" s="47" t="s">
        <v>42</v>
      </c>
      <c r="M1765" s="47" t="s">
        <v>42</v>
      </c>
      <c r="N1765" s="52" t="s">
        <v>2030</v>
      </c>
      <c r="O1765" s="51" t="e">
        <f>VLOOKUP(N1765,[2]!RUBROS[#All],3,0)</f>
        <v>#REF!</v>
      </c>
      <c r="P1765" s="53" t="e">
        <f>VLOOKUP(N1765,[2]!RUBROS[#All],2,0)</f>
        <v>#REF!</v>
      </c>
      <c r="Q1765" s="47" t="str">
        <f t="shared" si="577"/>
        <v>04</v>
      </c>
      <c r="R1765" s="47" t="str">
        <f t="shared" si="578"/>
        <v>0-202029</v>
      </c>
      <c r="S1765" s="339" t="s">
        <v>42</v>
      </c>
      <c r="T1765" s="59" t="s">
        <v>42</v>
      </c>
      <c r="U1765" s="326" t="e">
        <f ca="1">_xlfn.XLOOKUP(PAA_4[[#This Row],[ITEM]],[2]Contrato!A:A,[2]Contrato!Q:Q,"",0)</f>
        <v>#NAME?</v>
      </c>
      <c r="V1765" s="47" t="s">
        <v>95</v>
      </c>
      <c r="W1765" s="47" t="s">
        <v>42</v>
      </c>
      <c r="X1765" s="47" t="s">
        <v>42</v>
      </c>
      <c r="Y1765" s="55" t="e">
        <f ca="1">_xlfn.XLOOKUP(PAA_4[[#This Row],[ITEM]],[2]Contrato!A:A,[2]Contrato!B:B,"",0)</f>
        <v>#NAME?</v>
      </c>
      <c r="Z1765" s="47" t="e">
        <f ca="1">_xlfn.XLOOKUP(PAA_4[[#This Row],[ITEM]],[2]Contrato!A:A,[2]Contrato!G:G,"",0)</f>
        <v>#NAME?</v>
      </c>
      <c r="AA1765" s="47" t="e">
        <f ca="1">_xlfn.XLOOKUP(PAA_4[[#This Row],[ITEM]],[2]Contrato!A:A,[2]Contrato!T:T,"",0)</f>
        <v>#NAME?</v>
      </c>
      <c r="AB1765" s="55" t="e">
        <f ca="1">+MAX(PAA_4[[#This Row],[Comprometido Contrato]],PAA_4[[#This Row],[Comprometido Bolsa]])</f>
        <v>#NAME?</v>
      </c>
      <c r="AC1765" s="55" t="str">
        <f t="shared" ca="1" si="573"/>
        <v/>
      </c>
      <c r="AD1765" s="55" t="e">
        <f ca="1">IF(PAA_4[[#This Row],[ESTADO (formulado)]]="NO CONTRATADO",0,MAX(PAA_4[[#This Row],[Pago por Contrato]],PAA_4[[#This Row],[Pago por bolsa]]))</f>
        <v>#NAME?</v>
      </c>
      <c r="AE1765" s="55" t="str">
        <f t="shared" ca="1" si="575"/>
        <v/>
      </c>
      <c r="AF1765" s="47" t="e">
        <f t="shared" ca="1" si="579"/>
        <v>#NAME?</v>
      </c>
      <c r="AG1765" s="47">
        <f t="shared" si="576"/>
        <v>52011002</v>
      </c>
      <c r="AH1765" s="54">
        <f>IF(Q1765="22",IF(ISNUMBER(SEARCH("econ",PAA_4[[#This Row],[Actividad3]])),"Económico",IF(ISNUMBER(SEARCH("alim",PAA_4[[#This Row],[Actividad3]])),"Alimentación",IF(ISNUMBER(SEARCH("educ",PAA_4[[#This Row],[Actividad3]])),"Educativo","Técnico"))),0)</f>
        <v>0</v>
      </c>
      <c r="AI1765" s="47" t="e" cm="1">
        <f t="array" aca="1" ref="AI1765" ca="1">_xlfn.XLOOKUP(PAA_4[[#This Row],[RCP-RUBRO]],[2]!COMPROMISOS_2024[[#All],[concatenado]],[2]!COMPROMISOS_2024[[#All],[Total pagado]],"",0)</f>
        <v>#NAME?</v>
      </c>
      <c r="AJ1765" s="56">
        <f>IF(PAA_4[[#This Row],[BOLSA]]=0,0,SUMIFS([2]!COMPROMISOS_2024[[#All],[Total pagado]],[2]!COMPROMISOS_2024[[#All],[Bolsa]],PAA_4[[#This Row],[BOLSA]],[2]!COMPROMISOS_2024[[#All],[rubro]],PAA_4[[#This Row],[RCP-RUBRO]]))</f>
        <v>0</v>
      </c>
      <c r="AK1765" s="47" t="e" cm="1">
        <f t="array" aca="1" ref="AK1765" ca="1">_xlfn.XLOOKUP(PAA_4[[#This Row],[RCP-RUBRO]],[2]!COMPROMISOS_2024[[#All],[concatenado]],[2]!COMPROMISOS_2024[[#All],[Total Comprometido]],"",0)</f>
        <v>#NAME?</v>
      </c>
      <c r="AL1765" s="47">
        <f>IF(PAA_4[[#This Row],[BOLSA]]=0,0,SUMIFS([2]!COMPROMISOS_2024[[#All],[Total Comprometido]],[2]!COMPROMISOS_2024[[#All],[Bolsa]],PAA_4[[#This Row],[BOLSA]],[2]!COMPROMISOS_2024[[#All],[concatenado]],PAA_4[[#This Row],[RCP-RUBRO]]))</f>
        <v>0</v>
      </c>
    </row>
    <row r="1766" spans="1:38" s="19" customFormat="1" ht="31.5" customHeight="1">
      <c r="A1766" s="47" t="s">
        <v>82</v>
      </c>
      <c r="B1766" s="47" t="s">
        <v>42</v>
      </c>
      <c r="C1766" s="47" t="str">
        <f>VLOOKUP(PAA_4[[#This Row],[PROYECTO (formulado)2]],[2]PROYECTOS!$G$1:$L$32,6,0)</f>
        <v>SUBGERENCIA ADMINISTRATIVA Y FINANCIERA</v>
      </c>
      <c r="D1766" s="47" t="str">
        <f>+IF(PAA_4[[#This Row],[UNIDAD DE CONTRATACION (formulado)]]="Subgerencia Administrativa y Financiera","FUNCIONAMIENTO","INVERSIÓN")</f>
        <v>FUNCIONAMIENTO</v>
      </c>
      <c r="E1766" s="48" t="str">
        <f>VLOOKUP(Q1766,[2]PROYECTOS!$G$1:$K$32,5,0)</f>
        <v>Mantenimiento de la infraestructura de las sedes operativas para la prestación de servicios deportivos, recreativos y de actividad física en las regiones de Antioquia</v>
      </c>
      <c r="F1766" s="48">
        <f>VLOOKUP(E1766,[2]PROYECTOS!$K$1:$M$32,3,0)</f>
        <v>2024003050104</v>
      </c>
      <c r="G1766" s="49" t="s">
        <v>2037</v>
      </c>
      <c r="H1766" s="49" t="str">
        <f>VLOOKUP(Q1766,[2]PROYECTOS!$V$1:$W$32,2,0)</f>
        <v>220381</v>
      </c>
      <c r="I1766" s="78">
        <v>10144905</v>
      </c>
      <c r="J1766" s="51" t="s">
        <v>2028</v>
      </c>
      <c r="K1766" s="47" t="str">
        <f t="shared" ca="1" si="574"/>
        <v>CONTRATADO</v>
      </c>
      <c r="L1766" s="47" t="s">
        <v>42</v>
      </c>
      <c r="M1766" s="47" t="s">
        <v>42</v>
      </c>
      <c r="N1766" s="52" t="s">
        <v>2030</v>
      </c>
      <c r="O1766" s="51" t="e">
        <f>VLOOKUP(N1766,[2]!RUBROS[#All],3,0)</f>
        <v>#REF!</v>
      </c>
      <c r="P1766" s="53" t="e">
        <f>VLOOKUP(N1766,[2]!RUBROS[#All],2,0)</f>
        <v>#REF!</v>
      </c>
      <c r="Q1766" s="47" t="str">
        <f t="shared" si="577"/>
        <v>04</v>
      </c>
      <c r="R1766" s="47" t="str">
        <f t="shared" si="578"/>
        <v>0-202029</v>
      </c>
      <c r="S1766" s="339" t="s">
        <v>42</v>
      </c>
      <c r="T1766" s="59" t="s">
        <v>42</v>
      </c>
      <c r="U1766" s="326" t="e">
        <f ca="1">_xlfn.XLOOKUP(PAA_4[[#This Row],[ITEM]],[2]Contrato!A:A,[2]Contrato!Q:Q,"",0)</f>
        <v>#NAME?</v>
      </c>
      <c r="V1766" s="47" t="s">
        <v>95</v>
      </c>
      <c r="W1766" s="47" t="s">
        <v>42</v>
      </c>
      <c r="X1766" s="47" t="s">
        <v>42</v>
      </c>
      <c r="Y1766" s="55" t="e">
        <f ca="1">_xlfn.XLOOKUP(PAA_4[[#This Row],[ITEM]],[2]Contrato!A:A,[2]Contrato!B:B,"",0)</f>
        <v>#NAME?</v>
      </c>
      <c r="Z1766" s="47" t="e">
        <f ca="1">_xlfn.XLOOKUP(PAA_4[[#This Row],[ITEM]],[2]Contrato!A:A,[2]Contrato!G:G,"",0)</f>
        <v>#NAME?</v>
      </c>
      <c r="AA1766" s="47" t="e">
        <f ca="1">_xlfn.XLOOKUP(PAA_4[[#This Row],[ITEM]],[2]Contrato!A:A,[2]Contrato!T:T,"",0)</f>
        <v>#NAME?</v>
      </c>
      <c r="AB1766" s="55" t="e">
        <f ca="1">+MAX(PAA_4[[#This Row],[Comprometido Contrato]],PAA_4[[#This Row],[Comprometido Bolsa]])</f>
        <v>#NAME?</v>
      </c>
      <c r="AC1766" s="55" t="str">
        <f t="shared" ca="1" si="573"/>
        <v/>
      </c>
      <c r="AD1766" s="55" t="e">
        <f ca="1">IF(PAA_4[[#This Row],[ESTADO (formulado)]]="NO CONTRATADO",0,MAX(PAA_4[[#This Row],[Pago por Contrato]],PAA_4[[#This Row],[Pago por bolsa]]))</f>
        <v>#NAME?</v>
      </c>
      <c r="AE1766" s="55" t="str">
        <f t="shared" ca="1" si="575"/>
        <v/>
      </c>
      <c r="AF1766" s="47" t="e">
        <f t="shared" ca="1" si="579"/>
        <v>#NAME?</v>
      </c>
      <c r="AG1766" s="47">
        <f t="shared" si="576"/>
        <v>52011002</v>
      </c>
      <c r="AH1766" s="54">
        <f>IF(Q1766="22",IF(ISNUMBER(SEARCH("econ",PAA_4[[#This Row],[Actividad3]])),"Económico",IF(ISNUMBER(SEARCH("alim",PAA_4[[#This Row],[Actividad3]])),"Alimentación",IF(ISNUMBER(SEARCH("educ",PAA_4[[#This Row],[Actividad3]])),"Educativo","Técnico"))),0)</f>
        <v>0</v>
      </c>
      <c r="AI1766" s="47" t="e" cm="1">
        <f t="array" aca="1" ref="AI1766" ca="1">_xlfn.XLOOKUP(PAA_4[[#This Row],[RCP-RUBRO]],[2]!COMPROMISOS_2024[[#All],[concatenado]],[2]!COMPROMISOS_2024[[#All],[Total pagado]],"",0)</f>
        <v>#NAME?</v>
      </c>
      <c r="AJ1766" s="56">
        <f>IF(PAA_4[[#This Row],[BOLSA]]=0,0,SUMIFS([2]!COMPROMISOS_2024[[#All],[Total pagado]],[2]!COMPROMISOS_2024[[#All],[Bolsa]],PAA_4[[#This Row],[BOLSA]],[2]!COMPROMISOS_2024[[#All],[rubro]],PAA_4[[#This Row],[RCP-RUBRO]]))</f>
        <v>0</v>
      </c>
      <c r="AK1766" s="47" t="e" cm="1">
        <f t="array" aca="1" ref="AK1766" ca="1">_xlfn.XLOOKUP(PAA_4[[#This Row],[RCP-RUBRO]],[2]!COMPROMISOS_2024[[#All],[concatenado]],[2]!COMPROMISOS_2024[[#All],[Total Comprometido]],"",0)</f>
        <v>#NAME?</v>
      </c>
      <c r="AL1766" s="47">
        <f>IF(PAA_4[[#This Row],[BOLSA]]=0,0,SUMIFS([2]!COMPROMISOS_2024[[#All],[Total Comprometido]],[2]!COMPROMISOS_2024[[#All],[Bolsa]],PAA_4[[#This Row],[BOLSA]],[2]!COMPROMISOS_2024[[#All],[concatenado]],PAA_4[[#This Row],[RCP-RUBRO]]))</f>
        <v>0</v>
      </c>
    </row>
    <row r="1767" spans="1:38" s="19" customFormat="1" ht="31.5" customHeight="1">
      <c r="A1767" s="47" t="s">
        <v>82</v>
      </c>
      <c r="B1767" s="47" t="s">
        <v>42</v>
      </c>
      <c r="C1767" s="47" t="str">
        <f>VLOOKUP(PAA_4[[#This Row],[PROYECTO (formulado)2]],[2]PROYECTOS!$G$1:$L$32,6,0)</f>
        <v>SUBGERENCIA ADMINISTRATIVA Y FINANCIERA</v>
      </c>
      <c r="D1767" s="47" t="str">
        <f>+IF(PAA_4[[#This Row],[UNIDAD DE CONTRATACION (formulado)]]="Subgerencia Administrativa y Financiera","FUNCIONAMIENTO","INVERSIÓN")</f>
        <v>FUNCIONAMIENTO</v>
      </c>
      <c r="E1767" s="48" t="str">
        <f>VLOOKUP(Q1767,[2]PROYECTOS!$G$1:$K$32,5,0)</f>
        <v>Mantenimiento de la infraestructura de las sedes operativas para la prestación de servicios deportivos, recreativos y de actividad física en las regiones de Antioquia</v>
      </c>
      <c r="F1767" s="48">
        <f>VLOOKUP(E1767,[2]PROYECTOS!$K$1:$M$32,3,0)</f>
        <v>2024003050104</v>
      </c>
      <c r="G1767" s="49" t="s">
        <v>2038</v>
      </c>
      <c r="H1767" s="49" t="str">
        <f>VLOOKUP(Q1767,[2]PROYECTOS!$V$1:$W$32,2,0)</f>
        <v>220381</v>
      </c>
      <c r="I1767" s="78">
        <v>2734153</v>
      </c>
      <c r="J1767" s="51" t="s">
        <v>2028</v>
      </c>
      <c r="K1767" s="47" t="str">
        <f t="shared" ca="1" si="574"/>
        <v>CONTRATADO</v>
      </c>
      <c r="L1767" s="47" t="s">
        <v>42</v>
      </c>
      <c r="M1767" s="47" t="s">
        <v>42</v>
      </c>
      <c r="N1767" s="52" t="s">
        <v>2030</v>
      </c>
      <c r="O1767" s="51" t="e">
        <f>VLOOKUP(N1767,[2]!RUBROS[#All],3,0)</f>
        <v>#REF!</v>
      </c>
      <c r="P1767" s="53" t="e">
        <f>VLOOKUP(N1767,[2]!RUBROS[#All],2,0)</f>
        <v>#REF!</v>
      </c>
      <c r="Q1767" s="47" t="str">
        <f t="shared" si="577"/>
        <v>04</v>
      </c>
      <c r="R1767" s="47" t="str">
        <f t="shared" si="578"/>
        <v>0-202029</v>
      </c>
      <c r="S1767" s="339" t="s">
        <v>42</v>
      </c>
      <c r="T1767" s="59" t="s">
        <v>42</v>
      </c>
      <c r="U1767" s="326" t="e">
        <f ca="1">_xlfn.XLOOKUP(PAA_4[[#This Row],[ITEM]],[2]Contrato!A:A,[2]Contrato!Q:Q,"",0)</f>
        <v>#NAME?</v>
      </c>
      <c r="V1767" s="47" t="s">
        <v>95</v>
      </c>
      <c r="W1767" s="47" t="s">
        <v>42</v>
      </c>
      <c r="X1767" s="47" t="s">
        <v>42</v>
      </c>
      <c r="Y1767" s="55" t="e">
        <f ca="1">_xlfn.XLOOKUP(PAA_4[[#This Row],[ITEM]],[2]Contrato!A:A,[2]Contrato!B:B,"",0)</f>
        <v>#NAME?</v>
      </c>
      <c r="Z1767" s="47" t="e">
        <f ca="1">_xlfn.XLOOKUP(PAA_4[[#This Row],[ITEM]],[2]Contrato!A:A,[2]Contrato!G:G,"",0)</f>
        <v>#NAME?</v>
      </c>
      <c r="AA1767" s="47" t="e">
        <f ca="1">_xlfn.XLOOKUP(PAA_4[[#This Row],[ITEM]],[2]Contrato!A:A,[2]Contrato!T:T,"",0)</f>
        <v>#NAME?</v>
      </c>
      <c r="AB1767" s="55" t="e">
        <f ca="1">+MAX(PAA_4[[#This Row],[Comprometido Contrato]],PAA_4[[#This Row],[Comprometido Bolsa]])</f>
        <v>#NAME?</v>
      </c>
      <c r="AC1767" s="55" t="str">
        <f t="shared" ca="1" si="573"/>
        <v/>
      </c>
      <c r="AD1767" s="55" t="e">
        <f ca="1">IF(PAA_4[[#This Row],[ESTADO (formulado)]]="NO CONTRATADO",0,MAX(PAA_4[[#This Row],[Pago por Contrato]],PAA_4[[#This Row],[Pago por bolsa]]))</f>
        <v>#NAME?</v>
      </c>
      <c r="AE1767" s="55" t="str">
        <f t="shared" ca="1" si="575"/>
        <v/>
      </c>
      <c r="AF1767" s="47" t="e">
        <f t="shared" ca="1" si="579"/>
        <v>#NAME?</v>
      </c>
      <c r="AG1767" s="47">
        <f t="shared" si="576"/>
        <v>52011002</v>
      </c>
      <c r="AH1767" s="54">
        <f>IF(Q1767="22",IF(ISNUMBER(SEARCH("econ",PAA_4[[#This Row],[Actividad3]])),"Económico",IF(ISNUMBER(SEARCH("alim",PAA_4[[#This Row],[Actividad3]])),"Alimentación",IF(ISNUMBER(SEARCH("educ",PAA_4[[#This Row],[Actividad3]])),"Educativo","Técnico"))),0)</f>
        <v>0</v>
      </c>
      <c r="AI1767" s="47" t="e" cm="1">
        <f t="array" aca="1" ref="AI1767" ca="1">_xlfn.XLOOKUP(PAA_4[[#This Row],[RCP-RUBRO]],[2]!COMPROMISOS_2024[[#All],[concatenado]],[2]!COMPROMISOS_2024[[#All],[Total pagado]],"",0)</f>
        <v>#NAME?</v>
      </c>
      <c r="AJ1767" s="56">
        <f>IF(PAA_4[[#This Row],[BOLSA]]=0,0,SUMIFS([2]!COMPROMISOS_2024[[#All],[Total pagado]],[2]!COMPROMISOS_2024[[#All],[Bolsa]],PAA_4[[#This Row],[BOLSA]],[2]!COMPROMISOS_2024[[#All],[rubro]],PAA_4[[#This Row],[RCP-RUBRO]]))</f>
        <v>0</v>
      </c>
      <c r="AK1767" s="47" t="e" cm="1">
        <f t="array" aca="1" ref="AK1767" ca="1">_xlfn.XLOOKUP(PAA_4[[#This Row],[RCP-RUBRO]],[2]!COMPROMISOS_2024[[#All],[concatenado]],[2]!COMPROMISOS_2024[[#All],[Total Comprometido]],"",0)</f>
        <v>#NAME?</v>
      </c>
      <c r="AL1767" s="47">
        <f>IF(PAA_4[[#This Row],[BOLSA]]=0,0,SUMIFS([2]!COMPROMISOS_2024[[#All],[Total Comprometido]],[2]!COMPROMISOS_2024[[#All],[Bolsa]],PAA_4[[#This Row],[BOLSA]],[2]!COMPROMISOS_2024[[#All],[concatenado]],PAA_4[[#This Row],[RCP-RUBRO]]))</f>
        <v>0</v>
      </c>
    </row>
    <row r="1768" spans="1:38" s="19" customFormat="1" ht="31.5" customHeight="1">
      <c r="A1768" s="47" t="s">
        <v>82</v>
      </c>
      <c r="B1768" s="47" t="s">
        <v>42</v>
      </c>
      <c r="C1768" s="47" t="str">
        <f>VLOOKUP(PAA_4[[#This Row],[PROYECTO (formulado)2]],[2]PROYECTOS!$G$1:$L$32,6,0)</f>
        <v>SUBGERENCIA ADMINISTRATIVA Y FINANCIERA</v>
      </c>
      <c r="D1768" s="47" t="str">
        <f>+IF(PAA_4[[#This Row],[UNIDAD DE CONTRATACION (formulado)]]="Subgerencia Administrativa y Financiera","FUNCIONAMIENTO","INVERSIÓN")</f>
        <v>FUNCIONAMIENTO</v>
      </c>
      <c r="E1768" s="48" t="str">
        <f>VLOOKUP(Q1768,[2]PROYECTOS!$G$1:$K$32,5,0)</f>
        <v>Mantenimiento de la infraestructura de las sedes operativas para la prestación de servicios deportivos, recreativos y de actividad física en las regiones de Antioquia</v>
      </c>
      <c r="F1768" s="48">
        <f>VLOOKUP(E1768,[2]PROYECTOS!$K$1:$M$32,3,0)</f>
        <v>2024003050104</v>
      </c>
      <c r="G1768" s="49" t="s">
        <v>2038</v>
      </c>
      <c r="H1768" s="49" t="str">
        <f>VLOOKUP(Q1768,[2]PROYECTOS!$V$1:$W$32,2,0)</f>
        <v>220381</v>
      </c>
      <c r="I1768" s="78">
        <v>3606415</v>
      </c>
      <c r="J1768" s="51" t="s">
        <v>2028</v>
      </c>
      <c r="K1768" s="47" t="str">
        <f t="shared" ca="1" si="574"/>
        <v>CONTRATADO</v>
      </c>
      <c r="L1768" s="47" t="s">
        <v>42</v>
      </c>
      <c r="M1768" s="47" t="s">
        <v>42</v>
      </c>
      <c r="N1768" s="52" t="s">
        <v>2030</v>
      </c>
      <c r="O1768" s="51" t="e">
        <f>VLOOKUP(N1768,[2]!RUBROS[#All],3,0)</f>
        <v>#REF!</v>
      </c>
      <c r="P1768" s="53" t="e">
        <f>VLOOKUP(N1768,[2]!RUBROS[#All],2,0)</f>
        <v>#REF!</v>
      </c>
      <c r="Q1768" s="47" t="str">
        <f t="shared" si="577"/>
        <v>04</v>
      </c>
      <c r="R1768" s="47" t="str">
        <f t="shared" si="578"/>
        <v>0-202029</v>
      </c>
      <c r="S1768" s="339" t="s">
        <v>42</v>
      </c>
      <c r="T1768" s="59" t="s">
        <v>42</v>
      </c>
      <c r="U1768" s="326" t="e">
        <f ca="1">_xlfn.XLOOKUP(PAA_4[[#This Row],[ITEM]],[2]Contrato!A:A,[2]Contrato!Q:Q,"",0)</f>
        <v>#NAME?</v>
      </c>
      <c r="V1768" s="47" t="s">
        <v>95</v>
      </c>
      <c r="W1768" s="47" t="s">
        <v>42</v>
      </c>
      <c r="X1768" s="47" t="s">
        <v>42</v>
      </c>
      <c r="Y1768" s="55" t="e">
        <f ca="1">_xlfn.XLOOKUP(PAA_4[[#This Row],[ITEM]],[2]Contrato!A:A,[2]Contrato!B:B,"",0)</f>
        <v>#NAME?</v>
      </c>
      <c r="Z1768" s="47" t="e">
        <f ca="1">_xlfn.XLOOKUP(PAA_4[[#This Row],[ITEM]],[2]Contrato!A:A,[2]Contrato!G:G,"",0)</f>
        <v>#NAME?</v>
      </c>
      <c r="AA1768" s="47" t="e">
        <f ca="1">_xlfn.XLOOKUP(PAA_4[[#This Row],[ITEM]],[2]Contrato!A:A,[2]Contrato!T:T,"",0)</f>
        <v>#NAME?</v>
      </c>
      <c r="AB1768" s="55" t="e">
        <f ca="1">+MAX(PAA_4[[#This Row],[Comprometido Contrato]],PAA_4[[#This Row],[Comprometido Bolsa]])</f>
        <v>#NAME?</v>
      </c>
      <c r="AC1768" s="55" t="str">
        <f t="shared" ca="1" si="573"/>
        <v/>
      </c>
      <c r="AD1768" s="55" t="e">
        <f ca="1">IF(PAA_4[[#This Row],[ESTADO (formulado)]]="NO CONTRATADO",0,MAX(PAA_4[[#This Row],[Pago por Contrato]],PAA_4[[#This Row],[Pago por bolsa]]))</f>
        <v>#NAME?</v>
      </c>
      <c r="AE1768" s="55" t="str">
        <f t="shared" ca="1" si="575"/>
        <v/>
      </c>
      <c r="AF1768" s="47" t="e">
        <f t="shared" ca="1" si="579"/>
        <v>#NAME?</v>
      </c>
      <c r="AG1768" s="47">
        <f t="shared" si="576"/>
        <v>52011002</v>
      </c>
      <c r="AH1768" s="54">
        <f>IF(Q1768="22",IF(ISNUMBER(SEARCH("econ",PAA_4[[#This Row],[Actividad3]])),"Económico",IF(ISNUMBER(SEARCH("alim",PAA_4[[#This Row],[Actividad3]])),"Alimentación",IF(ISNUMBER(SEARCH("educ",PAA_4[[#This Row],[Actividad3]])),"Educativo","Técnico"))),0)</f>
        <v>0</v>
      </c>
      <c r="AI1768" s="47" t="e" cm="1">
        <f t="array" aca="1" ref="AI1768" ca="1">_xlfn.XLOOKUP(PAA_4[[#This Row],[RCP-RUBRO]],[2]!COMPROMISOS_2024[[#All],[concatenado]],[2]!COMPROMISOS_2024[[#All],[Total pagado]],"",0)</f>
        <v>#NAME?</v>
      </c>
      <c r="AJ1768" s="56">
        <f>IF(PAA_4[[#This Row],[BOLSA]]=0,0,SUMIFS([2]!COMPROMISOS_2024[[#All],[Total pagado]],[2]!COMPROMISOS_2024[[#All],[Bolsa]],PAA_4[[#This Row],[BOLSA]],[2]!COMPROMISOS_2024[[#All],[rubro]],PAA_4[[#This Row],[RCP-RUBRO]]))</f>
        <v>0</v>
      </c>
      <c r="AK1768" s="47" t="e" cm="1">
        <f t="array" aca="1" ref="AK1768" ca="1">_xlfn.XLOOKUP(PAA_4[[#This Row],[RCP-RUBRO]],[2]!COMPROMISOS_2024[[#All],[concatenado]],[2]!COMPROMISOS_2024[[#All],[Total Comprometido]],"",0)</f>
        <v>#NAME?</v>
      </c>
      <c r="AL1768" s="47">
        <f>IF(PAA_4[[#This Row],[BOLSA]]=0,0,SUMIFS([2]!COMPROMISOS_2024[[#All],[Total Comprometido]],[2]!COMPROMISOS_2024[[#All],[Bolsa]],PAA_4[[#This Row],[BOLSA]],[2]!COMPROMISOS_2024[[#All],[concatenado]],PAA_4[[#This Row],[RCP-RUBRO]]))</f>
        <v>0</v>
      </c>
    </row>
    <row r="1769" spans="1:38" s="19" customFormat="1" ht="31.5" customHeight="1">
      <c r="A1769" s="47" t="s">
        <v>82</v>
      </c>
      <c r="B1769" s="47" t="s">
        <v>42</v>
      </c>
      <c r="C1769" s="47" t="str">
        <f>VLOOKUP(PAA_4[[#This Row],[PROYECTO (formulado)2]],[2]PROYECTOS!$G$1:$L$32,6,0)</f>
        <v>SUBGERENCIA ADMINISTRATIVA Y FINANCIERA</v>
      </c>
      <c r="D1769" s="47" t="str">
        <f>+IF(PAA_4[[#This Row],[UNIDAD DE CONTRATACION (formulado)]]="Subgerencia Administrativa y Financiera","FUNCIONAMIENTO","INVERSIÓN")</f>
        <v>FUNCIONAMIENTO</v>
      </c>
      <c r="E1769" s="48" t="str">
        <f>VLOOKUP(Q1769,[2]PROYECTOS!$G$1:$K$32,5,0)</f>
        <v>Mantenimiento de la infraestructura de las sedes operativas para la prestación de servicios deportivos, recreativos y de actividad física en las regiones de Antioquia</v>
      </c>
      <c r="F1769" s="48">
        <f>VLOOKUP(E1769,[2]PROYECTOS!$K$1:$M$32,3,0)</f>
        <v>2024003050104</v>
      </c>
      <c r="G1769" s="49" t="s">
        <v>2039</v>
      </c>
      <c r="H1769" s="49" t="str">
        <f>VLOOKUP(Q1769,[2]PROYECTOS!$V$1:$W$32,2,0)</f>
        <v>220381</v>
      </c>
      <c r="I1769" s="78">
        <v>101449042</v>
      </c>
      <c r="J1769" s="51" t="s">
        <v>2028</v>
      </c>
      <c r="K1769" s="47" t="str">
        <f t="shared" ca="1" si="574"/>
        <v>CONTRATADO</v>
      </c>
      <c r="L1769" s="47" t="s">
        <v>42</v>
      </c>
      <c r="M1769" s="47" t="s">
        <v>42</v>
      </c>
      <c r="N1769" s="52" t="s">
        <v>2030</v>
      </c>
      <c r="O1769" s="51" t="e">
        <f>VLOOKUP(N1769,[2]!RUBROS[#All],3,0)</f>
        <v>#REF!</v>
      </c>
      <c r="P1769" s="53" t="e">
        <f>VLOOKUP(N1769,[2]!RUBROS[#All],2,0)</f>
        <v>#REF!</v>
      </c>
      <c r="Q1769" s="47" t="str">
        <f t="shared" si="577"/>
        <v>04</v>
      </c>
      <c r="R1769" s="47" t="str">
        <f t="shared" si="578"/>
        <v>0-202029</v>
      </c>
      <c r="S1769" s="339" t="s">
        <v>42</v>
      </c>
      <c r="T1769" s="59" t="s">
        <v>42</v>
      </c>
      <c r="U1769" s="326" t="e">
        <f ca="1">_xlfn.XLOOKUP(PAA_4[[#This Row],[ITEM]],[2]Contrato!A:A,[2]Contrato!Q:Q,"",0)</f>
        <v>#NAME?</v>
      </c>
      <c r="V1769" s="47" t="s">
        <v>95</v>
      </c>
      <c r="W1769" s="47" t="s">
        <v>42</v>
      </c>
      <c r="X1769" s="47" t="s">
        <v>42</v>
      </c>
      <c r="Y1769" s="55" t="e">
        <f ca="1">_xlfn.XLOOKUP(PAA_4[[#This Row],[ITEM]],[2]Contrato!A:A,[2]Contrato!B:B,"",0)</f>
        <v>#NAME?</v>
      </c>
      <c r="Z1769" s="47" t="e">
        <f ca="1">_xlfn.XLOOKUP(PAA_4[[#This Row],[ITEM]],[2]Contrato!A:A,[2]Contrato!G:G,"",0)</f>
        <v>#NAME?</v>
      </c>
      <c r="AA1769" s="47" t="e">
        <f ca="1">_xlfn.XLOOKUP(PAA_4[[#This Row],[ITEM]],[2]Contrato!A:A,[2]Contrato!T:T,"",0)</f>
        <v>#NAME?</v>
      </c>
      <c r="AB1769" s="55" t="e">
        <f ca="1">+MAX(PAA_4[[#This Row],[Comprometido Contrato]],PAA_4[[#This Row],[Comprometido Bolsa]])</f>
        <v>#NAME?</v>
      </c>
      <c r="AC1769" s="55" t="str">
        <f t="shared" ca="1" si="573"/>
        <v/>
      </c>
      <c r="AD1769" s="55" t="e">
        <f ca="1">IF(PAA_4[[#This Row],[ESTADO (formulado)]]="NO CONTRATADO",0,MAX(PAA_4[[#This Row],[Pago por Contrato]],PAA_4[[#This Row],[Pago por bolsa]]))</f>
        <v>#NAME?</v>
      </c>
      <c r="AE1769" s="55" t="str">
        <f t="shared" ca="1" si="575"/>
        <v/>
      </c>
      <c r="AF1769" s="47" t="e">
        <f t="shared" ca="1" si="579"/>
        <v>#NAME?</v>
      </c>
      <c r="AG1769" s="47">
        <f t="shared" si="576"/>
        <v>52011002</v>
      </c>
      <c r="AH1769" s="54">
        <f>IF(Q1769="22",IF(ISNUMBER(SEARCH("econ",PAA_4[[#This Row],[Actividad3]])),"Económico",IF(ISNUMBER(SEARCH("alim",PAA_4[[#This Row],[Actividad3]])),"Alimentación",IF(ISNUMBER(SEARCH("educ",PAA_4[[#This Row],[Actividad3]])),"Educativo","Técnico"))),0)</f>
        <v>0</v>
      </c>
      <c r="AI1769" s="47" t="e" cm="1">
        <f t="array" aca="1" ref="AI1769" ca="1">_xlfn.XLOOKUP(PAA_4[[#This Row],[RCP-RUBRO]],[2]!COMPROMISOS_2024[[#All],[concatenado]],[2]!COMPROMISOS_2024[[#All],[Total pagado]],"",0)</f>
        <v>#NAME?</v>
      </c>
      <c r="AJ1769" s="56">
        <f>IF(PAA_4[[#This Row],[BOLSA]]=0,0,SUMIFS([2]!COMPROMISOS_2024[[#All],[Total pagado]],[2]!COMPROMISOS_2024[[#All],[Bolsa]],PAA_4[[#This Row],[BOLSA]],[2]!COMPROMISOS_2024[[#All],[rubro]],PAA_4[[#This Row],[RCP-RUBRO]]))</f>
        <v>0</v>
      </c>
      <c r="AK1769" s="47" t="e" cm="1">
        <f t="array" aca="1" ref="AK1769" ca="1">_xlfn.XLOOKUP(PAA_4[[#This Row],[RCP-RUBRO]],[2]!COMPROMISOS_2024[[#All],[concatenado]],[2]!COMPROMISOS_2024[[#All],[Total Comprometido]],"",0)</f>
        <v>#NAME?</v>
      </c>
      <c r="AL1769" s="47">
        <f>IF(PAA_4[[#This Row],[BOLSA]]=0,0,SUMIFS([2]!COMPROMISOS_2024[[#All],[Total Comprometido]],[2]!COMPROMISOS_2024[[#All],[Bolsa]],PAA_4[[#This Row],[BOLSA]],[2]!COMPROMISOS_2024[[#All],[concatenado]],PAA_4[[#This Row],[RCP-RUBRO]]))</f>
        <v>0</v>
      </c>
    </row>
    <row r="1770" spans="1:38" s="19" customFormat="1" ht="31.5" customHeight="1">
      <c r="A1770" s="47" t="s">
        <v>82</v>
      </c>
      <c r="B1770" s="47" t="s">
        <v>42</v>
      </c>
      <c r="C1770" s="47" t="str">
        <f>VLOOKUP(PAA_4[[#This Row],[PROYECTO (formulado)2]],[2]PROYECTOS!$G$1:$L$32,6,0)</f>
        <v>SUBGERENCIA ADMINISTRATIVA Y FINANCIERA</v>
      </c>
      <c r="D1770" s="47" t="str">
        <f>+IF(PAA_4[[#This Row],[UNIDAD DE CONTRATACION (formulado)]]="Subgerencia Administrativa y Financiera","FUNCIONAMIENTO","INVERSIÓN")</f>
        <v>FUNCIONAMIENTO</v>
      </c>
      <c r="E1770" s="48" t="str">
        <f>VLOOKUP(Q1770,[2]PROYECTOS!$G$1:$K$32,5,0)</f>
        <v>Mantenimiento de la infraestructura de las sedes operativas para la prestación de servicios deportivos, recreativos y de actividad física en las regiones de Antioquia</v>
      </c>
      <c r="F1770" s="48">
        <f>VLOOKUP(E1770,[2]PROYECTOS!$K$1:$M$32,3,0)</f>
        <v>2024003050104</v>
      </c>
      <c r="G1770" s="49" t="s">
        <v>2040</v>
      </c>
      <c r="H1770" s="49" t="str">
        <f>VLOOKUP(Q1770,[2]PROYECTOS!$V$1:$W$32,2,0)</f>
        <v>220381</v>
      </c>
      <c r="I1770" s="78">
        <v>34239055</v>
      </c>
      <c r="J1770" s="51" t="s">
        <v>2028</v>
      </c>
      <c r="K1770" s="47" t="str">
        <f t="shared" ca="1" si="574"/>
        <v>CONTRATADO</v>
      </c>
      <c r="L1770" s="47" t="s">
        <v>42</v>
      </c>
      <c r="M1770" s="47" t="s">
        <v>42</v>
      </c>
      <c r="N1770" s="52" t="s">
        <v>2030</v>
      </c>
      <c r="O1770" s="51" t="e">
        <f>VLOOKUP(N1770,[2]!RUBROS[#All],3,0)</f>
        <v>#REF!</v>
      </c>
      <c r="P1770" s="53" t="e">
        <f>VLOOKUP(N1770,[2]!RUBROS[#All],2,0)</f>
        <v>#REF!</v>
      </c>
      <c r="Q1770" s="47" t="str">
        <f t="shared" si="577"/>
        <v>04</v>
      </c>
      <c r="R1770" s="47" t="str">
        <f t="shared" si="578"/>
        <v>0-202029</v>
      </c>
      <c r="S1770" s="339" t="s">
        <v>42</v>
      </c>
      <c r="T1770" s="59" t="s">
        <v>42</v>
      </c>
      <c r="U1770" s="326" t="e">
        <f ca="1">_xlfn.XLOOKUP(PAA_4[[#This Row],[ITEM]],[2]Contrato!A:A,[2]Contrato!Q:Q,"",0)</f>
        <v>#NAME?</v>
      </c>
      <c r="V1770" s="47" t="s">
        <v>95</v>
      </c>
      <c r="W1770" s="47" t="s">
        <v>42</v>
      </c>
      <c r="X1770" s="47" t="s">
        <v>42</v>
      </c>
      <c r="Y1770" s="55" t="e">
        <f ca="1">_xlfn.XLOOKUP(PAA_4[[#This Row],[ITEM]],[2]Contrato!A:A,[2]Contrato!B:B,"",0)</f>
        <v>#NAME?</v>
      </c>
      <c r="Z1770" s="47" t="e">
        <f ca="1">_xlfn.XLOOKUP(PAA_4[[#This Row],[ITEM]],[2]Contrato!A:A,[2]Contrato!G:G,"",0)</f>
        <v>#NAME?</v>
      </c>
      <c r="AA1770" s="47" t="e">
        <f ca="1">_xlfn.XLOOKUP(PAA_4[[#This Row],[ITEM]],[2]Contrato!A:A,[2]Contrato!T:T,"",0)</f>
        <v>#NAME?</v>
      </c>
      <c r="AB1770" s="55" t="e">
        <f ca="1">+MAX(PAA_4[[#This Row],[Comprometido Contrato]],PAA_4[[#This Row],[Comprometido Bolsa]])</f>
        <v>#NAME?</v>
      </c>
      <c r="AC1770" s="55" t="str">
        <f t="shared" ca="1" si="573"/>
        <v/>
      </c>
      <c r="AD1770" s="55" t="e">
        <f ca="1">IF(PAA_4[[#This Row],[ESTADO (formulado)]]="NO CONTRATADO",0,MAX(PAA_4[[#This Row],[Pago por Contrato]],PAA_4[[#This Row],[Pago por bolsa]]))</f>
        <v>#NAME?</v>
      </c>
      <c r="AE1770" s="55" t="str">
        <f t="shared" ca="1" si="575"/>
        <v/>
      </c>
      <c r="AF1770" s="47" t="e">
        <f t="shared" ca="1" si="579"/>
        <v>#NAME?</v>
      </c>
      <c r="AG1770" s="47">
        <f t="shared" si="576"/>
        <v>52011002</v>
      </c>
      <c r="AH1770" s="54">
        <f>IF(Q1770="22",IF(ISNUMBER(SEARCH("econ",PAA_4[[#This Row],[Actividad3]])),"Económico",IF(ISNUMBER(SEARCH("alim",PAA_4[[#This Row],[Actividad3]])),"Alimentación",IF(ISNUMBER(SEARCH("educ",PAA_4[[#This Row],[Actividad3]])),"Educativo","Técnico"))),0)</f>
        <v>0</v>
      </c>
      <c r="AI1770" s="47" t="e" cm="1">
        <f t="array" aca="1" ref="AI1770" ca="1">_xlfn.XLOOKUP(PAA_4[[#This Row],[RCP-RUBRO]],[2]!COMPROMISOS_2024[[#All],[concatenado]],[2]!COMPROMISOS_2024[[#All],[Total pagado]],"",0)</f>
        <v>#NAME?</v>
      </c>
      <c r="AJ1770" s="56">
        <f>IF(PAA_4[[#This Row],[BOLSA]]=0,0,SUMIFS([2]!COMPROMISOS_2024[[#All],[Total pagado]],[2]!COMPROMISOS_2024[[#All],[Bolsa]],PAA_4[[#This Row],[BOLSA]],[2]!COMPROMISOS_2024[[#All],[rubro]],PAA_4[[#This Row],[RCP-RUBRO]]))</f>
        <v>0</v>
      </c>
      <c r="AK1770" s="47" t="e" cm="1">
        <f t="array" aca="1" ref="AK1770" ca="1">_xlfn.XLOOKUP(PAA_4[[#This Row],[RCP-RUBRO]],[2]!COMPROMISOS_2024[[#All],[concatenado]],[2]!COMPROMISOS_2024[[#All],[Total Comprometido]],"",0)</f>
        <v>#NAME?</v>
      </c>
      <c r="AL1770" s="47">
        <f>IF(PAA_4[[#This Row],[BOLSA]]=0,0,SUMIFS([2]!COMPROMISOS_2024[[#All],[Total Comprometido]],[2]!COMPROMISOS_2024[[#All],[Bolsa]],PAA_4[[#This Row],[BOLSA]],[2]!COMPROMISOS_2024[[#All],[concatenado]],PAA_4[[#This Row],[RCP-RUBRO]]))</f>
        <v>0</v>
      </c>
    </row>
    <row r="1771" spans="1:38" s="19" customFormat="1" ht="31.5" customHeight="1">
      <c r="A1771" s="47" t="s">
        <v>82</v>
      </c>
      <c r="B1771" s="47" t="s">
        <v>42</v>
      </c>
      <c r="C1771" s="47" t="str">
        <f>VLOOKUP(PAA_4[[#This Row],[PROYECTO (formulado)2]],[2]PROYECTOS!$G$1:$L$32,6,0)</f>
        <v>SUBGERENCIA ADMINISTRATIVA Y FINANCIERA</v>
      </c>
      <c r="D1771" s="47" t="str">
        <f>+IF(PAA_4[[#This Row],[UNIDAD DE CONTRATACION (formulado)]]="Subgerencia Administrativa y Financiera","FUNCIONAMIENTO","INVERSIÓN")</f>
        <v>FUNCIONAMIENTO</v>
      </c>
      <c r="E1771" s="48" t="str">
        <f>VLOOKUP(Q1771,[2]PROYECTOS!$G$1:$K$32,5,0)</f>
        <v>Mantenimiento de la infraestructura de las sedes operativas para la prestación de servicios deportivos, recreativos y de actividad física en las regiones de Antioquia</v>
      </c>
      <c r="F1771" s="48">
        <f>VLOOKUP(E1771,[2]PROYECTOS!$K$1:$M$32,3,0)</f>
        <v>2024003050104</v>
      </c>
      <c r="G1771" s="49" t="s">
        <v>2041</v>
      </c>
      <c r="H1771" s="49" t="str">
        <f>VLOOKUP(Q1771,[2]PROYECTOS!$V$1:$W$32,2,0)</f>
        <v>220381</v>
      </c>
      <c r="I1771" s="78">
        <v>22649547</v>
      </c>
      <c r="J1771" s="51" t="s">
        <v>2028</v>
      </c>
      <c r="K1771" s="47" t="str">
        <f t="shared" ca="1" si="574"/>
        <v>CONTRATADO</v>
      </c>
      <c r="L1771" s="47" t="s">
        <v>42</v>
      </c>
      <c r="M1771" s="47" t="s">
        <v>42</v>
      </c>
      <c r="N1771" s="52" t="s">
        <v>2030</v>
      </c>
      <c r="O1771" s="51" t="e">
        <f>VLOOKUP(N1771,[2]!RUBROS[#All],3,0)</f>
        <v>#REF!</v>
      </c>
      <c r="P1771" s="53" t="e">
        <f>VLOOKUP(N1771,[2]!RUBROS[#All],2,0)</f>
        <v>#REF!</v>
      </c>
      <c r="Q1771" s="47" t="str">
        <f t="shared" si="577"/>
        <v>04</v>
      </c>
      <c r="R1771" s="47" t="str">
        <f t="shared" si="578"/>
        <v>0-202029</v>
      </c>
      <c r="S1771" s="339" t="s">
        <v>42</v>
      </c>
      <c r="T1771" s="59" t="s">
        <v>42</v>
      </c>
      <c r="U1771" s="326" t="e">
        <f ca="1">_xlfn.XLOOKUP(PAA_4[[#This Row],[ITEM]],[2]Contrato!A:A,[2]Contrato!Q:Q,"",0)</f>
        <v>#NAME?</v>
      </c>
      <c r="V1771" s="47" t="s">
        <v>95</v>
      </c>
      <c r="W1771" s="47" t="s">
        <v>42</v>
      </c>
      <c r="X1771" s="47" t="s">
        <v>42</v>
      </c>
      <c r="Y1771" s="55" t="e">
        <f ca="1">_xlfn.XLOOKUP(PAA_4[[#This Row],[ITEM]],[2]Contrato!A:A,[2]Contrato!B:B,"",0)</f>
        <v>#NAME?</v>
      </c>
      <c r="Z1771" s="47" t="e">
        <f ca="1">_xlfn.XLOOKUP(PAA_4[[#This Row],[ITEM]],[2]Contrato!A:A,[2]Contrato!G:G,"",0)</f>
        <v>#NAME?</v>
      </c>
      <c r="AA1771" s="47" t="e">
        <f ca="1">_xlfn.XLOOKUP(PAA_4[[#This Row],[ITEM]],[2]Contrato!A:A,[2]Contrato!T:T,"",0)</f>
        <v>#NAME?</v>
      </c>
      <c r="AB1771" s="55" t="e">
        <f ca="1">+MAX(PAA_4[[#This Row],[Comprometido Contrato]],PAA_4[[#This Row],[Comprometido Bolsa]])</f>
        <v>#NAME?</v>
      </c>
      <c r="AC1771" s="55" t="str">
        <f t="shared" ca="1" si="573"/>
        <v/>
      </c>
      <c r="AD1771" s="55" t="e">
        <f ca="1">IF(PAA_4[[#This Row],[ESTADO (formulado)]]="NO CONTRATADO",0,MAX(PAA_4[[#This Row],[Pago por Contrato]],PAA_4[[#This Row],[Pago por bolsa]]))</f>
        <v>#NAME?</v>
      </c>
      <c r="AE1771" s="55" t="str">
        <f t="shared" ca="1" si="575"/>
        <v/>
      </c>
      <c r="AF1771" s="47" t="e">
        <f t="shared" ca="1" si="579"/>
        <v>#NAME?</v>
      </c>
      <c r="AG1771" s="47">
        <f t="shared" si="576"/>
        <v>52011002</v>
      </c>
      <c r="AH1771" s="54">
        <f>IF(Q1771="22",IF(ISNUMBER(SEARCH("econ",PAA_4[[#This Row],[Actividad3]])),"Económico",IF(ISNUMBER(SEARCH("alim",PAA_4[[#This Row],[Actividad3]])),"Alimentación",IF(ISNUMBER(SEARCH("educ",PAA_4[[#This Row],[Actividad3]])),"Educativo","Técnico"))),0)</f>
        <v>0</v>
      </c>
      <c r="AI1771" s="47" t="e" cm="1">
        <f t="array" aca="1" ref="AI1771" ca="1">_xlfn.XLOOKUP(PAA_4[[#This Row],[RCP-RUBRO]],[2]!COMPROMISOS_2024[[#All],[concatenado]],[2]!COMPROMISOS_2024[[#All],[Total pagado]],"",0)</f>
        <v>#NAME?</v>
      </c>
      <c r="AJ1771" s="56">
        <f>IF(PAA_4[[#This Row],[BOLSA]]=0,0,SUMIFS([2]!COMPROMISOS_2024[[#All],[Total pagado]],[2]!COMPROMISOS_2024[[#All],[Bolsa]],PAA_4[[#This Row],[BOLSA]],[2]!COMPROMISOS_2024[[#All],[rubro]],PAA_4[[#This Row],[RCP-RUBRO]]))</f>
        <v>0</v>
      </c>
      <c r="AK1771" s="47" t="e" cm="1">
        <f t="array" aca="1" ref="AK1771" ca="1">_xlfn.XLOOKUP(PAA_4[[#This Row],[RCP-RUBRO]],[2]!COMPROMISOS_2024[[#All],[concatenado]],[2]!COMPROMISOS_2024[[#All],[Total Comprometido]],"",0)</f>
        <v>#NAME?</v>
      </c>
      <c r="AL1771" s="47">
        <f>IF(PAA_4[[#This Row],[BOLSA]]=0,0,SUMIFS([2]!COMPROMISOS_2024[[#All],[Total Comprometido]],[2]!COMPROMISOS_2024[[#All],[Bolsa]],PAA_4[[#This Row],[BOLSA]],[2]!COMPROMISOS_2024[[#All],[concatenado]],PAA_4[[#This Row],[RCP-RUBRO]]))</f>
        <v>0</v>
      </c>
    </row>
    <row r="1772" spans="1:38" s="19" customFormat="1" ht="31.5" customHeight="1">
      <c r="A1772" s="47">
        <v>1319</v>
      </c>
      <c r="B1772" s="47">
        <v>43231513</v>
      </c>
      <c r="C1772" s="47" t="str">
        <f>VLOOKUP(PAA_4[[#This Row],[PROYECTO (formulado)2]],[2]PROYECTOS!$G$1:$L$32,6,0)</f>
        <v>SUBGERENCIA ADMINISTRATIVA Y FINANCIERA</v>
      </c>
      <c r="D1772" s="47" t="str">
        <f>+IF(PAA_4[[#This Row],[UNIDAD DE CONTRATACION (formulado)]]="Subgerencia Administrativa y Financiera","FUNCIONAMIENTO","INVERSIÓN")</f>
        <v>FUNCIONAMIENTO</v>
      </c>
      <c r="E1772" s="48" t="str">
        <f>VLOOKUP(Q1772,[2]PROYECTOS!$G$1:$K$32,5,0)</f>
        <v>Fortalecimiento de los sistemas de información y la gestión estratégica para el deporte, la recreación y la actividad física de Antioquia</v>
      </c>
      <c r="F1772" s="48">
        <f>VLOOKUP(E1772,[2]PROYECTOS!$K$1:$M$32,3,0)</f>
        <v>2024003050077</v>
      </c>
      <c r="G1772" s="49" t="s">
        <v>2042</v>
      </c>
      <c r="H1772" s="49" t="str">
        <f>VLOOKUP(Q1772,[2]PROYECTOS!$V$1:$W$32,2,0)</f>
        <v>220387</v>
      </c>
      <c r="I1772" s="78">
        <v>164234127</v>
      </c>
      <c r="J1772" s="51" t="s">
        <v>2043</v>
      </c>
      <c r="K1772" s="47" t="str">
        <f t="shared" ca="1" si="574"/>
        <v>CONTRATADO</v>
      </c>
      <c r="L1772" s="47" t="s">
        <v>94</v>
      </c>
      <c r="M1772" s="47" t="s">
        <v>42</v>
      </c>
      <c r="N1772" s="52" t="s">
        <v>2044</v>
      </c>
      <c r="O1772" s="51" t="e">
        <f>VLOOKUP(N1772,[2]!RUBROS[#All],3,0)</f>
        <v>#REF!</v>
      </c>
      <c r="P1772" s="53" t="e">
        <f>VLOOKUP(N1772,[2]!RUBROS[#All],2,0)</f>
        <v>#REF!</v>
      </c>
      <c r="Q1772" s="47" t="str">
        <f t="shared" si="577"/>
        <v>77</v>
      </c>
      <c r="R1772" s="47" t="str">
        <f t="shared" si="578"/>
        <v>0-101024</v>
      </c>
      <c r="S1772" s="339">
        <v>1</v>
      </c>
      <c r="T1772" s="59" t="s">
        <v>46</v>
      </c>
      <c r="U1772" s="326" t="e">
        <f ca="1">_xlfn.XLOOKUP(PAA_4[[#This Row],[ITEM]],[2]Contrato!A:A,[2]Contrato!Q:Q,"",0)</f>
        <v>#NAME?</v>
      </c>
      <c r="V1772" s="47" t="s">
        <v>95</v>
      </c>
      <c r="W1772" s="47" t="s">
        <v>201</v>
      </c>
      <c r="X1772" s="47" t="s">
        <v>201</v>
      </c>
      <c r="Y1772" s="55" t="e">
        <f ca="1">_xlfn.XLOOKUP(PAA_4[[#This Row],[ITEM]],[2]Contrato!A:A,[2]Contrato!B:B,"",0)</f>
        <v>#NAME?</v>
      </c>
      <c r="Z1772" s="47" t="e">
        <f ca="1">_xlfn.XLOOKUP(PAA_4[[#This Row],[ITEM]],[2]Contrato!A:A,[2]Contrato!G:G,"",0)</f>
        <v>#NAME?</v>
      </c>
      <c r="AA1772" s="47" t="e">
        <f ca="1">_xlfn.XLOOKUP(PAA_4[[#This Row],[ITEM]],[2]Contrato!A:A,[2]Contrato!T:T,"",0)</f>
        <v>#NAME?</v>
      </c>
      <c r="AB1772" s="55" t="e">
        <f ca="1">+MAX(PAA_4[[#This Row],[Comprometido Contrato]],PAA_4[[#This Row],[Comprometido Bolsa]])</f>
        <v>#NAME?</v>
      </c>
      <c r="AC1772" s="55" t="str">
        <f t="shared" ca="1" si="573"/>
        <v/>
      </c>
      <c r="AD1772" s="55" t="e">
        <f ca="1">IF(PAA_4[[#This Row],[ESTADO (formulado)]]="NO CONTRATADO",0,MAX(PAA_4[[#This Row],[Pago por Contrato]],PAA_4[[#This Row],[Pago por bolsa]]))</f>
        <v>#NAME?</v>
      </c>
      <c r="AE1772" s="55" t="str">
        <f t="shared" ca="1" si="575"/>
        <v/>
      </c>
      <c r="AF1772" s="47" t="e">
        <f t="shared" ca="1" si="579"/>
        <v>#NAME?</v>
      </c>
      <c r="AG1772" s="47">
        <f t="shared" si="576"/>
        <v>52011001</v>
      </c>
      <c r="AH1772" s="54">
        <f>IF(Q1772="22",IF(ISNUMBER(SEARCH("econ",PAA_4[[#This Row],[Actividad3]])),"Económico",IF(ISNUMBER(SEARCH("alim",PAA_4[[#This Row],[Actividad3]])),"Alimentación",IF(ISNUMBER(SEARCH("educ",PAA_4[[#This Row],[Actividad3]])),"Educativo","Técnico"))),0)</f>
        <v>0</v>
      </c>
      <c r="AI1772" s="47" t="e" cm="1">
        <f t="array" aca="1" ref="AI1772" ca="1">_xlfn.XLOOKUP(PAA_4[[#This Row],[RCP-RUBRO]],[2]!COMPROMISOS_2024[[#All],[concatenado]],[2]!COMPROMISOS_2024[[#All],[Total pagado]],"",0)</f>
        <v>#NAME?</v>
      </c>
      <c r="AJ1772" s="56">
        <f>IF(PAA_4[[#This Row],[BOLSA]]=0,0,SUMIFS([2]!COMPROMISOS_2024[[#All],[Total pagado]],[2]!COMPROMISOS_2024[[#All],[Bolsa]],PAA_4[[#This Row],[BOLSA]],[2]!COMPROMISOS_2024[[#All],[rubro]],PAA_4[[#This Row],[RCP-RUBRO]]))</f>
        <v>0</v>
      </c>
      <c r="AK1772" s="47" t="e" cm="1">
        <f t="array" aca="1" ref="AK1772" ca="1">_xlfn.XLOOKUP(PAA_4[[#This Row],[RCP-RUBRO]],[2]!COMPROMISOS_2024[[#All],[concatenado]],[2]!COMPROMISOS_2024[[#All],[Total Comprometido]],"",0)</f>
        <v>#NAME?</v>
      </c>
      <c r="AL1772" s="47">
        <f>IF(PAA_4[[#This Row],[BOLSA]]=0,0,SUMIFS([2]!COMPROMISOS_2024[[#All],[Total Comprometido]],[2]!COMPROMISOS_2024[[#All],[Bolsa]],PAA_4[[#This Row],[BOLSA]],[2]!COMPROMISOS_2024[[#All],[concatenado]],PAA_4[[#This Row],[RCP-RUBRO]]))</f>
        <v>0</v>
      </c>
    </row>
    <row r="1773" spans="1:38" s="19" customFormat="1" ht="31.5" customHeight="1">
      <c r="A1773" s="47">
        <v>1302</v>
      </c>
      <c r="B1773" s="51" t="s">
        <v>2045</v>
      </c>
      <c r="C1773" s="47" t="str">
        <f>VLOOKUP(PAA_4[[#This Row],[PROYECTO (formulado)2]],[2]PROYECTOS!$G$1:$L$32,6,0)</f>
        <v>SUBGERENCIA ADMINISTRATIVA Y FINANCIERA</v>
      </c>
      <c r="D1773" s="47" t="str">
        <f>+IF(PAA_4[[#This Row],[UNIDAD DE CONTRATACION (formulado)]]="Subgerencia Administrativa y Financiera","FUNCIONAMIENTO","INVERSIÓN")</f>
        <v>FUNCIONAMIENTO</v>
      </c>
      <c r="E1773" s="48" t="str">
        <f>VLOOKUP(Q1773,[2]PROYECTOS!$G$1:$K$32,5,0)</f>
        <v>Fortalecimiento de los sistemas de información y la gestión estratégica para el deporte, la recreación y la actividad física de Antioquia</v>
      </c>
      <c r="F1773" s="48">
        <f>VLOOKUP(E1773,[2]PROYECTOS!$K$1:$M$32,3,0)</f>
        <v>2024003050077</v>
      </c>
      <c r="G1773" s="49" t="s">
        <v>2046</v>
      </c>
      <c r="H1773" s="49" t="str">
        <f>VLOOKUP(Q1773,[2]PROYECTOS!$V$1:$W$32,2,0)</f>
        <v>220387</v>
      </c>
      <c r="I1773" s="78">
        <v>301642450</v>
      </c>
      <c r="J1773" s="51" t="s">
        <v>2047</v>
      </c>
      <c r="K1773" s="47" t="str">
        <f t="shared" ca="1" si="574"/>
        <v>CONTRATADO</v>
      </c>
      <c r="L1773" s="47" t="s">
        <v>94</v>
      </c>
      <c r="M1773" s="47" t="s">
        <v>161</v>
      </c>
      <c r="N1773" s="52" t="s">
        <v>2044</v>
      </c>
      <c r="O1773" s="51" t="e">
        <f>VLOOKUP(N1773,[2]!RUBROS[#All],3,0)</f>
        <v>#REF!</v>
      </c>
      <c r="P1773" s="53" t="e">
        <f>VLOOKUP(N1773,[2]!RUBROS[#All],2,0)</f>
        <v>#REF!</v>
      </c>
      <c r="Q1773" s="47" t="str">
        <f t="shared" si="577"/>
        <v>77</v>
      </c>
      <c r="R1773" s="47" t="str">
        <f t="shared" si="578"/>
        <v>0-101024</v>
      </c>
      <c r="S1773" s="339">
        <v>40</v>
      </c>
      <c r="T1773" s="59" t="s">
        <v>120</v>
      </c>
      <c r="U1773" s="326" t="e">
        <f ca="1">_xlfn.XLOOKUP(PAA_4[[#This Row],[ITEM]],[2]Contrato!A:A,[2]Contrato!Q:Q,"",0)</f>
        <v>#NAME?</v>
      </c>
      <c r="V1773" s="47" t="s">
        <v>95</v>
      </c>
      <c r="W1773" s="47" t="s">
        <v>200</v>
      </c>
      <c r="X1773" s="47" t="s">
        <v>200</v>
      </c>
      <c r="Y1773" s="55" t="e">
        <f ca="1">_xlfn.XLOOKUP(PAA_4[[#This Row],[ITEM]],[2]Contrato!A:A,[2]Contrato!B:B,"",0)</f>
        <v>#NAME?</v>
      </c>
      <c r="Z1773" s="47" t="e">
        <f ca="1">_xlfn.XLOOKUP(PAA_4[[#This Row],[ITEM]],[2]Contrato!A:A,[2]Contrato!G:G,"",0)</f>
        <v>#NAME?</v>
      </c>
      <c r="AA1773" s="47" t="e">
        <f ca="1">_xlfn.XLOOKUP(PAA_4[[#This Row],[ITEM]],[2]Contrato!A:A,[2]Contrato!T:T,"",0)</f>
        <v>#NAME?</v>
      </c>
      <c r="AB1773" s="55" t="e">
        <f ca="1">+MAX(PAA_4[[#This Row],[Comprometido Contrato]],PAA_4[[#This Row],[Comprometido Bolsa]])</f>
        <v>#NAME?</v>
      </c>
      <c r="AC1773" s="55" t="str">
        <f t="shared" ca="1" si="573"/>
        <v/>
      </c>
      <c r="AD1773" s="55" t="e">
        <f ca="1">IF(PAA_4[[#This Row],[ESTADO (formulado)]]="NO CONTRATADO",0,MAX(PAA_4[[#This Row],[Pago por Contrato]],PAA_4[[#This Row],[Pago por bolsa]]))</f>
        <v>#NAME?</v>
      </c>
      <c r="AE1773" s="55" t="str">
        <f t="shared" ca="1" si="575"/>
        <v/>
      </c>
      <c r="AF1773" s="47" t="e">
        <f t="shared" ca="1" si="579"/>
        <v>#NAME?</v>
      </c>
      <c r="AG1773" s="47">
        <f t="shared" si="576"/>
        <v>52011001</v>
      </c>
      <c r="AH1773" s="54">
        <f>IF(Q1773="22",IF(ISNUMBER(SEARCH("econ",PAA_4[[#This Row],[Actividad3]])),"Económico",IF(ISNUMBER(SEARCH("alim",PAA_4[[#This Row],[Actividad3]])),"Alimentación",IF(ISNUMBER(SEARCH("educ",PAA_4[[#This Row],[Actividad3]])),"Educativo","Técnico"))),0)</f>
        <v>0</v>
      </c>
      <c r="AI1773" s="47" t="e" cm="1">
        <f t="array" aca="1" ref="AI1773" ca="1">_xlfn.XLOOKUP(PAA_4[[#This Row],[RCP-RUBRO]],[2]!COMPROMISOS_2024[[#All],[concatenado]],[2]!COMPROMISOS_2024[[#All],[Total pagado]],"",0)</f>
        <v>#NAME?</v>
      </c>
      <c r="AJ1773" s="56">
        <f>IF(PAA_4[[#This Row],[BOLSA]]=0,0,SUMIFS([2]!COMPROMISOS_2024[[#All],[Total pagado]],[2]!COMPROMISOS_2024[[#All],[Bolsa]],PAA_4[[#This Row],[BOLSA]],[2]!COMPROMISOS_2024[[#All],[rubro]],PAA_4[[#This Row],[RCP-RUBRO]]))</f>
        <v>0</v>
      </c>
      <c r="AK1773" s="47" t="e" cm="1">
        <f t="array" aca="1" ref="AK1773" ca="1">_xlfn.XLOOKUP(PAA_4[[#This Row],[RCP-RUBRO]],[2]!COMPROMISOS_2024[[#All],[concatenado]],[2]!COMPROMISOS_2024[[#All],[Total Comprometido]],"",0)</f>
        <v>#NAME?</v>
      </c>
      <c r="AL1773" s="47">
        <f>IF(PAA_4[[#This Row],[BOLSA]]=0,0,SUMIFS([2]!COMPROMISOS_2024[[#All],[Total Comprometido]],[2]!COMPROMISOS_2024[[#All],[Bolsa]],PAA_4[[#This Row],[BOLSA]],[2]!COMPROMISOS_2024[[#All],[concatenado]],PAA_4[[#This Row],[RCP-RUBRO]]))</f>
        <v>0</v>
      </c>
    </row>
    <row r="1774" spans="1:38" s="19" customFormat="1" ht="31.5" customHeight="1">
      <c r="A1774" s="47" t="s">
        <v>82</v>
      </c>
      <c r="B1774" s="47" t="s">
        <v>42</v>
      </c>
      <c r="C1774" s="47" t="str">
        <f>VLOOKUP(PAA_4[[#This Row],[PROYECTO (formulado)2]],[2]PROYECTOS!$G$1:$L$32,6,0)</f>
        <v>SUBGERENCIA ADMINISTRATIVA Y FINANCIERA</v>
      </c>
      <c r="D1774" s="47" t="str">
        <f>+IF(PAA_4[[#This Row],[UNIDAD DE CONTRATACION (formulado)]]="Subgerencia Administrativa y Financiera","FUNCIONAMIENTO","INVERSIÓN")</f>
        <v>FUNCIONAMIENTO</v>
      </c>
      <c r="E1774" s="48" t="str">
        <f>VLOOKUP(Q1774,[2]PROYECTOS!$G$1:$K$32,5,0)</f>
        <v>Fortalecimiento de los sistemas de información y la gestión estratégica para el deporte, la recreación y la actividad física de Antioquia</v>
      </c>
      <c r="F1774" s="48">
        <f>VLOOKUP(E1774,[2]PROYECTOS!$K$1:$M$32,3,0)</f>
        <v>2024003050077</v>
      </c>
      <c r="G1774" s="49" t="s">
        <v>1436</v>
      </c>
      <c r="H1774" s="49" t="str">
        <f>VLOOKUP(Q1774,[2]PROYECTOS!$V$1:$W$32,2,0)</f>
        <v>220387</v>
      </c>
      <c r="I1774" s="78">
        <v>16857887</v>
      </c>
      <c r="J1774" s="51" t="s">
        <v>2048</v>
      </c>
      <c r="K1774" s="47" t="str">
        <f t="shared" ca="1" si="574"/>
        <v>CONTRATADO</v>
      </c>
      <c r="L1774" s="47" t="s">
        <v>42</v>
      </c>
      <c r="M1774" s="47" t="s">
        <v>42</v>
      </c>
      <c r="N1774" s="52" t="s">
        <v>2044</v>
      </c>
      <c r="O1774" s="51" t="e">
        <f>VLOOKUP(N1774,[2]!RUBROS[#All],3,0)</f>
        <v>#REF!</v>
      </c>
      <c r="P1774" s="53" t="e">
        <f>VLOOKUP(N1774,[2]!RUBROS[#All],2,0)</f>
        <v>#REF!</v>
      </c>
      <c r="Q1774" s="47" t="str">
        <f t="shared" si="577"/>
        <v>77</v>
      </c>
      <c r="R1774" s="47" t="str">
        <f t="shared" si="578"/>
        <v>0-101024</v>
      </c>
      <c r="S1774" s="339" t="s">
        <v>42</v>
      </c>
      <c r="T1774" s="59" t="s">
        <v>42</v>
      </c>
      <c r="U1774" s="326" t="e">
        <f ca="1">_xlfn.XLOOKUP(PAA_4[[#This Row],[ITEM]],[2]Contrato!A:A,[2]Contrato!Q:Q,"",0)</f>
        <v>#NAME?</v>
      </c>
      <c r="V1774" s="47" t="s">
        <v>95</v>
      </c>
      <c r="W1774" s="47" t="s">
        <v>42</v>
      </c>
      <c r="X1774" s="47" t="s">
        <v>42</v>
      </c>
      <c r="Y1774" s="55" t="e">
        <f ca="1">_xlfn.XLOOKUP(PAA_4[[#This Row],[ITEM]],[2]Contrato!A:A,[2]Contrato!B:B,"",0)</f>
        <v>#NAME?</v>
      </c>
      <c r="Z1774" s="47" t="e">
        <f ca="1">_xlfn.XLOOKUP(PAA_4[[#This Row],[ITEM]],[2]Contrato!A:A,[2]Contrato!G:G,"",0)</f>
        <v>#NAME?</v>
      </c>
      <c r="AA1774" s="47" t="e">
        <f ca="1">_xlfn.XLOOKUP(PAA_4[[#This Row],[ITEM]],[2]Contrato!A:A,[2]Contrato!T:T,"",0)</f>
        <v>#NAME?</v>
      </c>
      <c r="AB1774" s="55" t="e">
        <f ca="1">+MAX(PAA_4[[#This Row],[Comprometido Contrato]],PAA_4[[#This Row],[Comprometido Bolsa]])</f>
        <v>#NAME?</v>
      </c>
      <c r="AC1774" s="55" t="str">
        <f t="shared" ca="1" si="573"/>
        <v/>
      </c>
      <c r="AD1774" s="55" t="e">
        <f ca="1">IF(PAA_4[[#This Row],[ESTADO (formulado)]]="NO CONTRATADO",0,MAX(PAA_4[[#This Row],[Pago por Contrato]],PAA_4[[#This Row],[Pago por bolsa]]))</f>
        <v>#NAME?</v>
      </c>
      <c r="AE1774" s="55" t="str">
        <f t="shared" ca="1" si="575"/>
        <v/>
      </c>
      <c r="AF1774" s="47" t="e">
        <f t="shared" ca="1" si="579"/>
        <v>#NAME?</v>
      </c>
      <c r="AG1774" s="47">
        <f t="shared" si="576"/>
        <v>52011001</v>
      </c>
      <c r="AH1774" s="54">
        <f>IF(Q1774="22",IF(ISNUMBER(SEARCH("econ",PAA_4[[#This Row],[Actividad3]])),"Económico",IF(ISNUMBER(SEARCH("alim",PAA_4[[#This Row],[Actividad3]])),"Alimentación",IF(ISNUMBER(SEARCH("educ",PAA_4[[#This Row],[Actividad3]])),"Educativo","Técnico"))),0)</f>
        <v>0</v>
      </c>
      <c r="AI1774" s="47" t="e" cm="1">
        <f t="array" aca="1" ref="AI1774" ca="1">_xlfn.XLOOKUP(PAA_4[[#This Row],[RCP-RUBRO]],[2]!COMPROMISOS_2024[[#All],[concatenado]],[2]!COMPROMISOS_2024[[#All],[Total pagado]],"",0)</f>
        <v>#NAME?</v>
      </c>
      <c r="AJ1774" s="56">
        <f>IF(PAA_4[[#This Row],[BOLSA]]=0,0,SUMIFS([2]!COMPROMISOS_2024[[#All],[Total pagado]],[2]!COMPROMISOS_2024[[#All],[Bolsa]],PAA_4[[#This Row],[BOLSA]],[2]!COMPROMISOS_2024[[#All],[rubro]],PAA_4[[#This Row],[RCP-RUBRO]]))</f>
        <v>0</v>
      </c>
      <c r="AK1774" s="47" t="e" cm="1">
        <f t="array" aca="1" ref="AK1774" ca="1">_xlfn.XLOOKUP(PAA_4[[#This Row],[RCP-RUBRO]],[2]!COMPROMISOS_2024[[#All],[concatenado]],[2]!COMPROMISOS_2024[[#All],[Total Comprometido]],"",0)</f>
        <v>#NAME?</v>
      </c>
      <c r="AL1774" s="47">
        <f>IF(PAA_4[[#This Row],[BOLSA]]=0,0,SUMIFS([2]!COMPROMISOS_2024[[#All],[Total Comprometido]],[2]!COMPROMISOS_2024[[#All],[Bolsa]],PAA_4[[#This Row],[BOLSA]],[2]!COMPROMISOS_2024[[#All],[concatenado]],PAA_4[[#This Row],[RCP-RUBRO]]))</f>
        <v>0</v>
      </c>
    </row>
    <row r="1775" spans="1:38" s="376" customFormat="1" ht="31.5" customHeight="1">
      <c r="A1775" s="47" t="s">
        <v>82</v>
      </c>
      <c r="B1775" s="47" t="s">
        <v>42</v>
      </c>
      <c r="C1775" s="47" t="str">
        <f>VLOOKUP(PAA_4[[#This Row],[PROYECTO (formulado)2]],[2]PROYECTOS!$G$1:$L$32,6,0)</f>
        <v>SUBGERENCIA ADMINISTRATIVA Y FINANCIERA</v>
      </c>
      <c r="D1775" s="47" t="str">
        <f>+IF(PAA_4[[#This Row],[UNIDAD DE CONTRATACION (formulado)]]="Subgerencia Administrativa y Financiera","FUNCIONAMIENTO","INVERSIÓN")</f>
        <v>FUNCIONAMIENTO</v>
      </c>
      <c r="E1775" s="48" t="str">
        <f>VLOOKUP(Q1775,[2]PROYECTOS!$G$1:$K$32,5,0)</f>
        <v>Fortalecimiento de los sistemas de información y la gestión estratégica para el deporte, la recreación y la actividad física de Antioquia</v>
      </c>
      <c r="F1775" s="48">
        <f>VLOOKUP(E1775,[2]PROYECTOS!$K$1:$M$32,3,0)</f>
        <v>2024003050077</v>
      </c>
      <c r="G1775" s="49" t="s">
        <v>2046</v>
      </c>
      <c r="H1775" s="49" t="str">
        <f>VLOOKUP(Q1775,[2]PROYECTOS!$V$1:$W$32,2,0)</f>
        <v>220387</v>
      </c>
      <c r="I1775" s="78">
        <v>167857887</v>
      </c>
      <c r="J1775" s="51" t="s">
        <v>2049</v>
      </c>
      <c r="K1775" s="47" t="str">
        <f t="shared" ca="1" si="574"/>
        <v>CONTRATADO</v>
      </c>
      <c r="L1775" s="47" t="s">
        <v>42</v>
      </c>
      <c r="M1775" s="47" t="s">
        <v>42</v>
      </c>
      <c r="N1775" s="52" t="s">
        <v>2050</v>
      </c>
      <c r="O1775" s="51" t="e">
        <f>VLOOKUP(N1775,[2]!RUBROS[#All],3,0)</f>
        <v>#REF!</v>
      </c>
      <c r="P1775" s="53" t="e">
        <f>VLOOKUP(N1775,[2]!RUBROS[#All],2,0)</f>
        <v>#REF!</v>
      </c>
      <c r="Q1775" s="47" t="str">
        <f t="shared" si="577"/>
        <v>77</v>
      </c>
      <c r="R1775" s="47" t="str">
        <f t="shared" si="578"/>
        <v>0-271130</v>
      </c>
      <c r="S1775" s="339" t="s">
        <v>42</v>
      </c>
      <c r="T1775" s="59" t="s">
        <v>42</v>
      </c>
      <c r="U1775" s="326" t="e">
        <f ca="1">_xlfn.XLOOKUP(PAA_4[[#This Row],[ITEM]],[2]Contrato!A:A,[2]Contrato!Q:Q,"",0)</f>
        <v>#NAME?</v>
      </c>
      <c r="V1775" s="47" t="s">
        <v>95</v>
      </c>
      <c r="W1775" s="47" t="s">
        <v>42</v>
      </c>
      <c r="X1775" s="47" t="s">
        <v>42</v>
      </c>
      <c r="Y1775" s="55" t="e">
        <f ca="1">_xlfn.XLOOKUP(PAA_4[[#This Row],[ITEM]],[2]Contrato!A:A,[2]Contrato!B:B,"",0)</f>
        <v>#NAME?</v>
      </c>
      <c r="Z1775" s="47" t="e">
        <f ca="1">_xlfn.XLOOKUP(PAA_4[[#This Row],[ITEM]],[2]Contrato!A:A,[2]Contrato!G:G,"",0)</f>
        <v>#NAME?</v>
      </c>
      <c r="AA1775" s="47" t="e">
        <f ca="1">_xlfn.XLOOKUP(PAA_4[[#This Row],[ITEM]],[2]Contrato!A:A,[2]Contrato!T:T,"",0)</f>
        <v>#NAME?</v>
      </c>
      <c r="AB1775" s="55" t="e">
        <f ca="1">+MAX(PAA_4[[#This Row],[Comprometido Contrato]],PAA_4[[#This Row],[Comprometido Bolsa]])</f>
        <v>#NAME?</v>
      </c>
      <c r="AC1775" s="55" t="str">
        <f t="shared" ca="1" si="573"/>
        <v/>
      </c>
      <c r="AD1775" s="55" t="e">
        <f ca="1">IF(PAA_4[[#This Row],[ESTADO (formulado)]]="NO CONTRATADO",0,MAX(PAA_4[[#This Row],[Pago por Contrato]],PAA_4[[#This Row],[Pago por bolsa]]))</f>
        <v>#NAME?</v>
      </c>
      <c r="AE1775" s="55" t="str">
        <f t="shared" ca="1" si="575"/>
        <v/>
      </c>
      <c r="AF1775" s="47" t="e">
        <f t="shared" ca="1" si="579"/>
        <v>#NAME?</v>
      </c>
      <c r="AG1775" s="47">
        <f t="shared" si="576"/>
        <v>52011001</v>
      </c>
      <c r="AH1775" s="54">
        <f>IF(Q1775="22",IF(ISNUMBER(SEARCH("econ",PAA_4[[#This Row],[Actividad3]])),"Económico",IF(ISNUMBER(SEARCH("alim",PAA_4[[#This Row],[Actividad3]])),"Alimentación",IF(ISNUMBER(SEARCH("educ",PAA_4[[#This Row],[Actividad3]])),"Educativo","Técnico"))),0)</f>
        <v>0</v>
      </c>
      <c r="AI1775" s="47" t="e" cm="1">
        <f t="array" aca="1" ref="AI1775" ca="1">_xlfn.XLOOKUP(PAA_4[[#This Row],[RCP-RUBRO]],[2]!COMPROMISOS_2024[[#All],[concatenado]],[2]!COMPROMISOS_2024[[#All],[Total pagado]],"",0)</f>
        <v>#NAME?</v>
      </c>
      <c r="AJ1775" s="56">
        <f>IF(PAA_4[[#This Row],[BOLSA]]=0,0,SUMIFS([2]!COMPROMISOS_2024[[#All],[Total pagado]],[2]!COMPROMISOS_2024[[#All],[Bolsa]],PAA_4[[#This Row],[BOLSA]],[2]!COMPROMISOS_2024[[#All],[rubro]],PAA_4[[#This Row],[RCP-RUBRO]]))</f>
        <v>0</v>
      </c>
      <c r="AK1775" s="47" t="e" cm="1">
        <f t="array" aca="1" ref="AK1775" ca="1">_xlfn.XLOOKUP(PAA_4[[#This Row],[RCP-RUBRO]],[2]!COMPROMISOS_2024[[#All],[concatenado]],[2]!COMPROMISOS_2024[[#All],[Total Comprometido]],"",0)</f>
        <v>#NAME?</v>
      </c>
      <c r="AL1775" s="47">
        <f>IF(PAA_4[[#This Row],[BOLSA]]=0,0,SUMIFS([2]!COMPROMISOS_2024[[#All],[Total Comprometido]],[2]!COMPROMISOS_2024[[#All],[Bolsa]],PAA_4[[#This Row],[BOLSA]],[2]!COMPROMISOS_2024[[#All],[concatenado]],PAA_4[[#This Row],[RCP-RUBRO]]))</f>
        <v>0</v>
      </c>
    </row>
    <row r="1776" spans="1:38" s="376" customFormat="1" ht="31.5" customHeight="1">
      <c r="A1776" s="47" t="s">
        <v>82</v>
      </c>
      <c r="B1776" s="47" t="s">
        <v>42</v>
      </c>
      <c r="C1776" s="47" t="str">
        <f>VLOOKUP(PAA_4[[#This Row],[PROYECTO (formulado)2]],[2]PROYECTOS!$G$1:$L$32,6,0)</f>
        <v>SUBGERENCIA ADMINISTRATIVA Y FINANCIERA</v>
      </c>
      <c r="D1776" s="47" t="str">
        <f>+IF(PAA_4[[#This Row],[UNIDAD DE CONTRATACION (formulado)]]="Subgerencia Administrativa y Financiera","FUNCIONAMIENTO","INVERSIÓN")</f>
        <v>FUNCIONAMIENTO</v>
      </c>
      <c r="E1776" s="48" t="str">
        <f>VLOOKUP(Q1776,[2]PROYECTOS!$G$1:$K$32,5,0)</f>
        <v>Fortalecimiento de los sistemas de información y la gestión estratégica para el deporte, la recreación y la actividad física de Antioquia</v>
      </c>
      <c r="F1776" s="48">
        <f>VLOOKUP(E1776,[2]PROYECTOS!$K$1:$M$32,3,0)</f>
        <v>2024003050077</v>
      </c>
      <c r="G1776" s="49" t="s">
        <v>1436</v>
      </c>
      <c r="H1776" s="49" t="str">
        <f>VLOOKUP(Q1776,[2]PROYECTOS!$V$1:$W$32,2,0)</f>
        <v>220387</v>
      </c>
      <c r="I1776" s="78">
        <v>38888953</v>
      </c>
      <c r="J1776" s="51" t="s">
        <v>2049</v>
      </c>
      <c r="K1776" s="47" t="str">
        <f t="shared" ca="1" si="574"/>
        <v>CONTRATADO</v>
      </c>
      <c r="L1776" s="47" t="s">
        <v>42</v>
      </c>
      <c r="M1776" s="47" t="s">
        <v>42</v>
      </c>
      <c r="N1776" s="52" t="s">
        <v>2050</v>
      </c>
      <c r="O1776" s="51" t="e">
        <f>VLOOKUP(N1776,[2]!RUBROS[#All],3,0)</f>
        <v>#REF!</v>
      </c>
      <c r="P1776" s="53" t="e">
        <f>VLOOKUP(N1776,[2]!RUBROS[#All],2,0)</f>
        <v>#REF!</v>
      </c>
      <c r="Q1776" s="47" t="str">
        <f t="shared" si="577"/>
        <v>77</v>
      </c>
      <c r="R1776" s="47" t="str">
        <f t="shared" si="578"/>
        <v>0-271130</v>
      </c>
      <c r="S1776" s="339" t="s">
        <v>42</v>
      </c>
      <c r="T1776" s="59" t="s">
        <v>42</v>
      </c>
      <c r="U1776" s="326" t="e">
        <f ca="1">_xlfn.XLOOKUP(PAA_4[[#This Row],[ITEM]],[2]Contrato!A:A,[2]Contrato!Q:Q,"",0)</f>
        <v>#NAME?</v>
      </c>
      <c r="V1776" s="47" t="s">
        <v>95</v>
      </c>
      <c r="W1776" s="47" t="s">
        <v>42</v>
      </c>
      <c r="X1776" s="47" t="s">
        <v>42</v>
      </c>
      <c r="Y1776" s="55" t="e">
        <f ca="1">_xlfn.XLOOKUP(PAA_4[[#This Row],[ITEM]],[2]Contrato!A:A,[2]Contrato!B:B,"",0)</f>
        <v>#NAME?</v>
      </c>
      <c r="Z1776" s="47" t="e">
        <f ca="1">_xlfn.XLOOKUP(PAA_4[[#This Row],[ITEM]],[2]Contrato!A:A,[2]Contrato!G:G,"",0)</f>
        <v>#NAME?</v>
      </c>
      <c r="AA1776" s="47" t="e">
        <f ca="1">_xlfn.XLOOKUP(PAA_4[[#This Row],[ITEM]],[2]Contrato!A:A,[2]Contrato!T:T,"",0)</f>
        <v>#NAME?</v>
      </c>
      <c r="AB1776" s="55" t="e">
        <f ca="1">+MAX(PAA_4[[#This Row],[Comprometido Contrato]],PAA_4[[#This Row],[Comprometido Bolsa]])</f>
        <v>#NAME?</v>
      </c>
      <c r="AC1776" s="55" t="str">
        <f t="shared" ca="1" si="573"/>
        <v/>
      </c>
      <c r="AD1776" s="55" t="e">
        <f ca="1">IF(PAA_4[[#This Row],[ESTADO (formulado)]]="NO CONTRATADO",0,MAX(PAA_4[[#This Row],[Pago por Contrato]],PAA_4[[#This Row],[Pago por bolsa]]))</f>
        <v>#NAME?</v>
      </c>
      <c r="AE1776" s="55" t="str">
        <f t="shared" ca="1" si="575"/>
        <v/>
      </c>
      <c r="AF1776" s="47" t="e">
        <f t="shared" ca="1" si="579"/>
        <v>#NAME?</v>
      </c>
      <c r="AG1776" s="47">
        <f t="shared" si="576"/>
        <v>52011001</v>
      </c>
      <c r="AH1776" s="54">
        <f>IF(Q1776="22",IF(ISNUMBER(SEARCH("econ",PAA_4[[#This Row],[Actividad3]])),"Económico",IF(ISNUMBER(SEARCH("alim",PAA_4[[#This Row],[Actividad3]])),"Alimentación",IF(ISNUMBER(SEARCH("educ",PAA_4[[#This Row],[Actividad3]])),"Educativo","Técnico"))),0)</f>
        <v>0</v>
      </c>
      <c r="AI1776" s="47" t="e" cm="1">
        <f t="array" aca="1" ref="AI1776" ca="1">_xlfn.XLOOKUP(PAA_4[[#This Row],[RCP-RUBRO]],[2]!COMPROMISOS_2024[[#All],[concatenado]],[2]!COMPROMISOS_2024[[#All],[Total pagado]],"",0)</f>
        <v>#NAME?</v>
      </c>
      <c r="AJ1776" s="56">
        <f>IF(PAA_4[[#This Row],[BOLSA]]=0,0,SUMIFS([2]!COMPROMISOS_2024[[#All],[Total pagado]],[2]!COMPROMISOS_2024[[#All],[Bolsa]],PAA_4[[#This Row],[BOLSA]],[2]!COMPROMISOS_2024[[#All],[rubro]],PAA_4[[#This Row],[RCP-RUBRO]]))</f>
        <v>0</v>
      </c>
      <c r="AK1776" s="47" t="e" cm="1">
        <f t="array" aca="1" ref="AK1776" ca="1">_xlfn.XLOOKUP(PAA_4[[#This Row],[RCP-RUBRO]],[2]!COMPROMISOS_2024[[#All],[concatenado]],[2]!COMPROMISOS_2024[[#All],[Total Comprometido]],"",0)</f>
        <v>#NAME?</v>
      </c>
      <c r="AL1776" s="47">
        <f>IF(PAA_4[[#This Row],[BOLSA]]=0,0,SUMIFS([2]!COMPROMISOS_2024[[#All],[Total Comprometido]],[2]!COMPROMISOS_2024[[#All],[Bolsa]],PAA_4[[#This Row],[BOLSA]],[2]!COMPROMISOS_2024[[#All],[concatenado]],PAA_4[[#This Row],[RCP-RUBRO]]))</f>
        <v>0</v>
      </c>
    </row>
    <row r="1777" spans="1:38" s="19" customFormat="1" ht="31.5" customHeight="1">
      <c r="A1777" s="47">
        <v>1156</v>
      </c>
      <c r="B1777" s="47">
        <v>80111600</v>
      </c>
      <c r="C1777" s="47" t="str">
        <f>VLOOKUP(PAA_4[[#This Row],[PROYECTO (formulado)2]],[2]PROYECTOS!$G$1:$L$32,6,0)</f>
        <v>SUBGERENCIA ADMINISTRATIVA Y FINANCIERA</v>
      </c>
      <c r="D1777" s="47" t="str">
        <f>+IF(PAA_4[[#This Row],[UNIDAD DE CONTRATACION (formulado)]]="Subgerencia Administrativa y Financiera","FUNCIONAMIENTO","INVERSIÓN")</f>
        <v>FUNCIONAMIENTO</v>
      </c>
      <c r="E1777" s="48" t="str">
        <f>VLOOKUP(Q1777,[2]PROYECTOS!$G$1:$K$32,5,0)</f>
        <v>Fortalecimiento de los sistemas de información y la gestión estratégica para el deporte, la recreación y la actividad física de Antioquia</v>
      </c>
      <c r="F1777" s="48">
        <f>VLOOKUP(E1777,[2]PROYECTOS!$K$1:$M$32,3,0)</f>
        <v>2024003050077</v>
      </c>
      <c r="G1777" s="49" t="s">
        <v>1436</v>
      </c>
      <c r="H1777" s="49" t="str">
        <f>VLOOKUP(Q1777,[2]PROYECTOS!$V$1:$W$32,2,0)</f>
        <v>220387</v>
      </c>
      <c r="I1777" s="78">
        <f>6500000-735300</f>
        <v>5764700</v>
      </c>
      <c r="J1777" s="51" t="s">
        <v>2051</v>
      </c>
      <c r="K1777" s="47" t="str">
        <f t="shared" ca="1" si="574"/>
        <v>CONTRATADO</v>
      </c>
      <c r="L1777" s="47" t="s">
        <v>78</v>
      </c>
      <c r="M1777" s="47" t="s">
        <v>1297</v>
      </c>
      <c r="N1777" s="52" t="s">
        <v>1437</v>
      </c>
      <c r="O1777" s="51" t="e">
        <f>VLOOKUP(N1777,[2]!RUBROS[#All],3,0)</f>
        <v>#REF!</v>
      </c>
      <c r="P1777" s="53" t="e">
        <f>VLOOKUP(N1777,[2]!RUBROS[#All],2,0)</f>
        <v>#REF!</v>
      </c>
      <c r="Q1777" s="47" t="str">
        <f t="shared" si="577"/>
        <v>77</v>
      </c>
      <c r="R1777" s="47" t="str">
        <f t="shared" si="578"/>
        <v>4-271130</v>
      </c>
      <c r="S1777" s="339">
        <v>3</v>
      </c>
      <c r="T1777" s="59" t="s">
        <v>46</v>
      </c>
      <c r="U1777" s="326" t="e">
        <f ca="1">_xlfn.XLOOKUP(PAA_4[[#This Row],[ITEM]],[2]Contrato!A:A,[2]Contrato!Q:Q,"",0)</f>
        <v>#NAME?</v>
      </c>
      <c r="V1777" s="47" t="s">
        <v>95</v>
      </c>
      <c r="W1777" s="47" t="s">
        <v>203</v>
      </c>
      <c r="X1777" s="47" t="s">
        <v>203</v>
      </c>
      <c r="Y1777" s="55" t="e">
        <f ca="1">_xlfn.XLOOKUP(PAA_4[[#This Row],[ITEM]],[2]Contrato!A:A,[2]Contrato!B:B,"",0)</f>
        <v>#NAME?</v>
      </c>
      <c r="Z1777" s="47" t="e">
        <f ca="1">_xlfn.XLOOKUP(PAA_4[[#This Row],[ITEM]],[2]Contrato!A:A,[2]Contrato!G:G,"",0)</f>
        <v>#NAME?</v>
      </c>
      <c r="AA1777" s="47" t="e">
        <f ca="1">_xlfn.XLOOKUP(PAA_4[[#This Row],[ITEM]],[2]Contrato!A:A,[2]Contrato!T:T,"",0)</f>
        <v>#NAME?</v>
      </c>
      <c r="AB1777" s="55" t="e">
        <f ca="1">+MAX(PAA_4[[#This Row],[Comprometido Contrato]],PAA_4[[#This Row],[Comprometido Bolsa]])</f>
        <v>#NAME?</v>
      </c>
      <c r="AC1777" s="55" t="str">
        <f t="shared" ca="1" si="573"/>
        <v/>
      </c>
      <c r="AD1777" s="55" t="e">
        <f ca="1">IF(PAA_4[[#This Row],[ESTADO (formulado)]]="NO CONTRATADO",0,MAX(PAA_4[[#This Row],[Pago por Contrato]],PAA_4[[#This Row],[Pago por bolsa]]))</f>
        <v>#NAME?</v>
      </c>
      <c r="AE1777" s="55" t="str">
        <f t="shared" ca="1" si="575"/>
        <v/>
      </c>
      <c r="AF1777" s="47" t="e">
        <f t="shared" ca="1" si="579"/>
        <v>#NAME?</v>
      </c>
      <c r="AG1777" s="47">
        <f t="shared" si="576"/>
        <v>52011001</v>
      </c>
      <c r="AH1777" s="54">
        <f>IF(Q1777="22",IF(ISNUMBER(SEARCH("econ",PAA_4[[#This Row],[Actividad3]])),"Económico",IF(ISNUMBER(SEARCH("alim",PAA_4[[#This Row],[Actividad3]])),"Alimentación",IF(ISNUMBER(SEARCH("educ",PAA_4[[#This Row],[Actividad3]])),"Educativo","Técnico"))),0)</f>
        <v>0</v>
      </c>
      <c r="AI1777" s="47" t="e" cm="1">
        <f t="array" aca="1" ref="AI1777" ca="1">_xlfn.XLOOKUP(PAA_4[[#This Row],[RCP-RUBRO]],[2]!COMPROMISOS_2024[[#All],[concatenado]],[2]!COMPROMISOS_2024[[#All],[Total pagado]],"",0)</f>
        <v>#NAME?</v>
      </c>
      <c r="AJ1777" s="56">
        <f>IF(PAA_4[[#This Row],[BOLSA]]=0,0,SUMIFS([2]!COMPROMISOS_2024[[#All],[Total pagado]],[2]!COMPROMISOS_2024[[#All],[Bolsa]],PAA_4[[#This Row],[BOLSA]],[2]!COMPROMISOS_2024[[#All],[rubro]],PAA_4[[#This Row],[RCP-RUBRO]]))</f>
        <v>0</v>
      </c>
      <c r="AK1777" s="47" t="e" cm="1">
        <f t="array" aca="1" ref="AK1777" ca="1">_xlfn.XLOOKUP(PAA_4[[#This Row],[RCP-RUBRO]],[2]!COMPROMISOS_2024[[#All],[concatenado]],[2]!COMPROMISOS_2024[[#All],[Total Comprometido]],"",0)</f>
        <v>#NAME?</v>
      </c>
      <c r="AL1777" s="47">
        <f>IF(PAA_4[[#This Row],[BOLSA]]=0,0,SUMIFS([2]!COMPROMISOS_2024[[#All],[Total Comprometido]],[2]!COMPROMISOS_2024[[#All],[Bolsa]],PAA_4[[#This Row],[BOLSA]],[2]!COMPROMISOS_2024[[#All],[concatenado]],PAA_4[[#This Row],[RCP-RUBRO]]))</f>
        <v>0</v>
      </c>
    </row>
    <row r="1778" spans="1:38" s="19" customFormat="1" ht="31.5" customHeight="1">
      <c r="A1778" s="47" t="s">
        <v>82</v>
      </c>
      <c r="B1778" s="47" t="s">
        <v>42</v>
      </c>
      <c r="C1778" s="47" t="str">
        <f>VLOOKUP(PAA_4[[#This Row],[PROYECTO (formulado)2]],[2]PROYECTOS!$G$1:$L$32,6,0)</f>
        <v>SUBGERENCIA ADMINISTRATIVA Y FINANCIERA</v>
      </c>
      <c r="D1778" s="47" t="str">
        <f>+IF(PAA_4[[#This Row],[UNIDAD DE CONTRATACION (formulado)]]="Subgerencia Administrativa y Financiera","FUNCIONAMIENTO","INVERSIÓN")</f>
        <v>FUNCIONAMIENTO</v>
      </c>
      <c r="E1778" s="48" t="str">
        <f>VLOOKUP(Q1778,[2]PROYECTOS!$G$1:$K$32,5,0)</f>
        <v>Fortalecimiento de los sistemas de información y la gestión estratégica para el deporte, la recreación y la actividad física de Antioquia</v>
      </c>
      <c r="F1778" s="48">
        <f>VLOOKUP(E1778,[2]PROYECTOS!$K$1:$M$32,3,0)</f>
        <v>2024003050077</v>
      </c>
      <c r="G1778" s="49" t="s">
        <v>1436</v>
      </c>
      <c r="H1778" s="49" t="str">
        <f>VLOOKUP(Q1778,[2]PROYECTOS!$V$1:$W$32,2,0)</f>
        <v>220387</v>
      </c>
      <c r="I1778" s="78">
        <v>167765</v>
      </c>
      <c r="J1778" s="51" t="s">
        <v>2052</v>
      </c>
      <c r="K1778" s="47" t="str">
        <f ca="1">IF(ISNONTEXT(Y1778)=TRUE,"CONTRATADO","NO CONTRATADO")</f>
        <v>CONTRATADO</v>
      </c>
      <c r="L1778" s="47" t="s">
        <v>42</v>
      </c>
      <c r="M1778" s="47" t="s">
        <v>42</v>
      </c>
      <c r="N1778" s="366" t="s">
        <v>1437</v>
      </c>
      <c r="O1778" s="51" t="e">
        <f>VLOOKUP(N1778,[2]!RUBROS[#All],3,0)</f>
        <v>#REF!</v>
      </c>
      <c r="P1778" s="53" t="e">
        <f>VLOOKUP(N1778,[2]!RUBROS[#All],2,0)</f>
        <v>#REF!</v>
      </c>
      <c r="Q1778" s="47" t="str">
        <f>+MID(N1778,11,2)</f>
        <v>77</v>
      </c>
      <c r="R1778" s="47" t="str">
        <f>+MID(N1778,14,8)</f>
        <v>4-271130</v>
      </c>
      <c r="S1778" s="339" t="s">
        <v>42</v>
      </c>
      <c r="T1778" s="59" t="s">
        <v>42</v>
      </c>
      <c r="U1778" s="326" t="e">
        <f ca="1">_xlfn.XLOOKUP(PAA_4[[#This Row],[ITEM]],[2]Contrato!A:A,[2]Contrato!Q:Q,"",0)</f>
        <v>#NAME?</v>
      </c>
      <c r="V1778" s="47" t="s">
        <v>95</v>
      </c>
      <c r="W1778" s="47" t="s">
        <v>42</v>
      </c>
      <c r="X1778" s="47" t="s">
        <v>42</v>
      </c>
      <c r="Y1778" s="55" t="e">
        <f ca="1">_xlfn.XLOOKUP(PAA_4[[#This Row],[ITEM]],[2]Contrato!A:A,[2]Contrato!B:B,"",0)</f>
        <v>#NAME?</v>
      </c>
      <c r="Z1778" s="47" t="e">
        <f ca="1">_xlfn.XLOOKUP(PAA_4[[#This Row],[ITEM]],[2]Contrato!A:A,[2]Contrato!G:G,"",0)</f>
        <v>#NAME?</v>
      </c>
      <c r="AA1778" s="47" t="e">
        <f ca="1">_xlfn.XLOOKUP(PAA_4[[#This Row],[ITEM]],[2]Contrato!A:A,[2]Contrato!T:T,"",0)</f>
        <v>#NAME?</v>
      </c>
      <c r="AB1778" s="55" t="e">
        <f ca="1">+MAX(PAA_4[[#This Row],[Comprometido Contrato]],PAA_4[[#This Row],[Comprometido Bolsa]])</f>
        <v>#NAME?</v>
      </c>
      <c r="AC1778" s="55" t="str">
        <f ca="1">IFERROR(I1778-AB1778,"")</f>
        <v/>
      </c>
      <c r="AD1778" s="55" t="e">
        <f ca="1">IF(PAA_4[[#This Row],[ESTADO (formulado)]]="NO CONTRATADO",0,MAX(PAA_4[[#This Row],[Pago por Contrato]],PAA_4[[#This Row],[Pago por bolsa]]))</f>
        <v>#NAME?</v>
      </c>
      <c r="AE1778" s="55" t="str">
        <f ca="1">+IFERROR(AB1778-AD1778,"")</f>
        <v/>
      </c>
      <c r="AF1778" s="47" t="e">
        <f ca="1">+CONCATENATE(AA1778,N1778)</f>
        <v>#NAME?</v>
      </c>
      <c r="AG1778" s="47">
        <f>IFERROR(_xlfn.NUMBERVALUE(MID(G1778,1,8)),"")</f>
        <v>52011001</v>
      </c>
      <c r="AH1778" s="54">
        <f>IF(Q1778="22",IF(ISNUMBER(SEARCH("econ",PAA_4[[#This Row],[Actividad3]])),"Económico",IF(ISNUMBER(SEARCH("alim",PAA_4[[#This Row],[Actividad3]])),"Alimentación",IF(ISNUMBER(SEARCH("educ",PAA_4[[#This Row],[Actividad3]])),"Educativo","Técnico"))),0)</f>
        <v>0</v>
      </c>
      <c r="AI1778" s="47" t="e" cm="1">
        <f t="array" aca="1" ref="AI1778" ca="1">_xlfn.XLOOKUP(PAA_4[[#This Row],[RCP-RUBRO]],[2]!COMPROMISOS_2024[[#All],[concatenado]],[2]!COMPROMISOS_2024[[#All],[Total pagado]],"",0)</f>
        <v>#NAME?</v>
      </c>
      <c r="AJ1778" s="56">
        <f>IF(PAA_4[[#This Row],[BOLSA]]=0,0,SUMIFS([2]!COMPROMISOS_2024[[#All],[Total pagado]],[2]!COMPROMISOS_2024[[#All],[Bolsa]],PAA_4[[#This Row],[BOLSA]],[2]!COMPROMISOS_2024[[#All],[rubro]],PAA_4[[#This Row],[RCP-RUBRO]]))</f>
        <v>0</v>
      </c>
      <c r="AK1778" s="47" t="e" cm="1">
        <f t="array" aca="1" ref="AK1778" ca="1">_xlfn.XLOOKUP(PAA_4[[#This Row],[RCP-RUBRO]],[2]!COMPROMISOS_2024[[#All],[concatenado]],[2]!COMPROMISOS_2024[[#All],[Total Comprometido]],"",0)</f>
        <v>#NAME?</v>
      </c>
      <c r="AL1778" s="47">
        <f>IF(PAA_4[[#This Row],[BOLSA]]=0,0,SUMIFS([2]!COMPROMISOS_2024[[#All],[Total Comprometido]],[2]!COMPROMISOS_2024[[#All],[Bolsa]],PAA_4[[#This Row],[BOLSA]],[2]!COMPROMISOS_2024[[#All],[concatenado]],PAA_4[[#This Row],[RCP-RUBRO]]))</f>
        <v>0</v>
      </c>
    </row>
    <row r="1779" spans="1:38" s="19" customFormat="1" ht="31.5" customHeight="1">
      <c r="A1779" s="47">
        <v>1332</v>
      </c>
      <c r="B1779" s="47">
        <v>80111600</v>
      </c>
      <c r="C1779" s="47" t="str">
        <f>VLOOKUP(PAA_4[[#This Row],[PROYECTO (formulado)2]],[2]PROYECTOS!$G$1:$L$32,6,0)</f>
        <v>SUBGERENCIA ADMINISTRATIVA Y FINANCIERA</v>
      </c>
      <c r="D1779" s="47" t="str">
        <f>+IF(PAA_4[[#This Row],[UNIDAD DE CONTRATACION (formulado)]]="Subgerencia Administrativa y Financiera","FUNCIONAMIENTO","INVERSIÓN")</f>
        <v>FUNCIONAMIENTO</v>
      </c>
      <c r="E1779" s="48" t="str">
        <f>VLOOKUP(Q1779,[2]PROYECTOS!$G$1:$K$32,5,0)</f>
        <v>Fortalecimiento de los sistemas de información y la gestión estratégica para el deporte, la recreación y la actividad física de Antioquia</v>
      </c>
      <c r="F1779" s="48">
        <f>VLOOKUP(E1779,[2]PROYECTOS!$K$1:$M$32,3,0)</f>
        <v>2024003050077</v>
      </c>
      <c r="G1779" s="49" t="s">
        <v>1436</v>
      </c>
      <c r="H1779" s="49" t="str">
        <f>VLOOKUP(Q1779,[2]PROYECTOS!$V$1:$W$32,2,0)</f>
        <v>220387</v>
      </c>
      <c r="I1779" s="78">
        <f>2293027-167765-229303</f>
        <v>1895959</v>
      </c>
      <c r="J1779" s="51" t="s">
        <v>2053</v>
      </c>
      <c r="K1779" s="47" t="str">
        <f t="shared" ref="K1779:K1781" ca="1" si="580">IF(ISNONTEXT(Y1779)=TRUE,"CONTRATADO","NO CONTRATADO")</f>
        <v>CONTRATADO</v>
      </c>
      <c r="L1779" s="47" t="s">
        <v>94</v>
      </c>
      <c r="M1779" s="47" t="s">
        <v>1297</v>
      </c>
      <c r="N1779" s="366" t="s">
        <v>1437</v>
      </c>
      <c r="O1779" s="51" t="e">
        <f>VLOOKUP(N1779,[2]!RUBROS[#All],3,0)</f>
        <v>#REF!</v>
      </c>
      <c r="P1779" s="53" t="e">
        <f>VLOOKUP(N1779,[2]!RUBROS[#All],2,0)</f>
        <v>#REF!</v>
      </c>
      <c r="Q1779" s="47" t="str">
        <f t="shared" ref="Q1779:Q1781" si="581">+MID(N1779,11,2)</f>
        <v>77</v>
      </c>
      <c r="R1779" s="47" t="str">
        <f t="shared" ref="R1779:R1781" si="582">+MID(N1779,14,8)</f>
        <v>4-271130</v>
      </c>
      <c r="S1779" s="339">
        <v>10</v>
      </c>
      <c r="T1779" s="59" t="s">
        <v>120</v>
      </c>
      <c r="U1779" s="326" t="e">
        <f ca="1">_xlfn.XLOOKUP(PAA_4[[#This Row],[ITEM]],[2]Contrato!A:A,[2]Contrato!Q:Q,"",0)</f>
        <v>#NAME?</v>
      </c>
      <c r="V1779" s="47" t="s">
        <v>95</v>
      </c>
      <c r="W1779" s="47" t="s">
        <v>201</v>
      </c>
      <c r="X1779" s="47" t="s">
        <v>201</v>
      </c>
      <c r="Y1779" s="55" t="e">
        <f ca="1">_xlfn.XLOOKUP(PAA_4[[#This Row],[ITEM]],[2]Contrato!A:A,[2]Contrato!B:B,"",0)</f>
        <v>#NAME?</v>
      </c>
      <c r="Z1779" s="47" t="e">
        <f ca="1">_xlfn.XLOOKUP(PAA_4[[#This Row],[ITEM]],[2]Contrato!A:A,[2]Contrato!G:G,"",0)</f>
        <v>#NAME?</v>
      </c>
      <c r="AA1779" s="47" t="e">
        <f ca="1">_xlfn.XLOOKUP(PAA_4[[#This Row],[ITEM]],[2]Contrato!A:A,[2]Contrato!T:T,"",0)</f>
        <v>#NAME?</v>
      </c>
      <c r="AB1779" s="55" t="e">
        <f ca="1">+MAX(PAA_4[[#This Row],[Comprometido Contrato]],PAA_4[[#This Row],[Comprometido Bolsa]])</f>
        <v>#NAME?</v>
      </c>
      <c r="AC1779" s="55" t="str">
        <f t="shared" ref="AC1779:AC1781" ca="1" si="583">IFERROR(I1779-AB1779,"")</f>
        <v/>
      </c>
      <c r="AD1779" s="55" t="e">
        <f ca="1">IF(PAA_4[[#This Row],[ESTADO (formulado)]]="NO CONTRATADO",0,MAX(PAA_4[[#This Row],[Pago por Contrato]],PAA_4[[#This Row],[Pago por bolsa]]))</f>
        <v>#NAME?</v>
      </c>
      <c r="AE1779" s="55" t="str">
        <f t="shared" ref="AE1779:AE1781" ca="1" si="584">+IFERROR(AB1779-AD1779,"")</f>
        <v/>
      </c>
      <c r="AF1779" s="47" t="e">
        <f t="shared" ref="AF1779:AF1781" ca="1" si="585">+CONCATENATE(AA1779,N1779)</f>
        <v>#NAME?</v>
      </c>
      <c r="AG1779" s="47">
        <f t="shared" ref="AG1779:AG1781" si="586">IFERROR(_xlfn.NUMBERVALUE(MID(G1779,1,8)),"")</f>
        <v>52011001</v>
      </c>
      <c r="AH1779" s="54">
        <f>IF(Q1779="22",IF(ISNUMBER(SEARCH("econ",PAA_4[[#This Row],[Actividad3]])),"Económico",IF(ISNUMBER(SEARCH("alim",PAA_4[[#This Row],[Actividad3]])),"Alimentación",IF(ISNUMBER(SEARCH("educ",PAA_4[[#This Row],[Actividad3]])),"Educativo","Técnico"))),0)</f>
        <v>0</v>
      </c>
      <c r="AI1779" s="47" t="e" cm="1">
        <f t="array" aca="1" ref="AI1779" ca="1">_xlfn.XLOOKUP(PAA_4[[#This Row],[RCP-RUBRO]],[2]!COMPROMISOS_2024[[#All],[concatenado]],[2]!COMPROMISOS_2024[[#All],[Total pagado]],"",0)</f>
        <v>#NAME?</v>
      </c>
      <c r="AJ1779" s="56">
        <f>IF(PAA_4[[#This Row],[BOLSA]]=0,0,SUMIFS([2]!COMPROMISOS_2024[[#All],[Total pagado]],[2]!COMPROMISOS_2024[[#All],[Bolsa]],PAA_4[[#This Row],[BOLSA]],[2]!COMPROMISOS_2024[[#All],[rubro]],PAA_4[[#This Row],[RCP-RUBRO]]))</f>
        <v>0</v>
      </c>
      <c r="AK1779" s="47" t="e" cm="1">
        <f t="array" aca="1" ref="AK1779" ca="1">_xlfn.XLOOKUP(PAA_4[[#This Row],[RCP-RUBRO]],[2]!COMPROMISOS_2024[[#All],[concatenado]],[2]!COMPROMISOS_2024[[#All],[Total Comprometido]],"",0)</f>
        <v>#NAME?</v>
      </c>
      <c r="AL1779" s="47">
        <f>IF(PAA_4[[#This Row],[BOLSA]]=0,0,SUMIFS([2]!COMPROMISOS_2024[[#All],[Total Comprometido]],[2]!COMPROMISOS_2024[[#All],[Bolsa]],PAA_4[[#This Row],[BOLSA]],[2]!COMPROMISOS_2024[[#All],[concatenado]],PAA_4[[#This Row],[RCP-RUBRO]]))</f>
        <v>0</v>
      </c>
    </row>
    <row r="1780" spans="1:38" s="19" customFormat="1" ht="31.5" customHeight="1">
      <c r="A1780" s="47">
        <v>1333</v>
      </c>
      <c r="B1780" s="47">
        <v>80111600</v>
      </c>
      <c r="C1780" s="47" t="str">
        <f>VLOOKUP(PAA_4[[#This Row],[PROYECTO (formulado)2]],[2]PROYECTOS!$G$1:$L$32,6,0)</f>
        <v>SUBGERENCIA ADMINISTRATIVA Y FINANCIERA</v>
      </c>
      <c r="D1780" s="47" t="str">
        <f>+IF(PAA_4[[#This Row],[UNIDAD DE CONTRATACION (formulado)]]="Subgerencia Administrativa y Financiera","FUNCIONAMIENTO","INVERSIÓN")</f>
        <v>FUNCIONAMIENTO</v>
      </c>
      <c r="E1780" s="48" t="str">
        <f>VLOOKUP(Q1780,[2]PROYECTOS!$G$1:$K$32,5,0)</f>
        <v>Fortalecimiento de los sistemas de información y la gestión estratégica para el deporte, la recreación y la actividad física de Antioquia</v>
      </c>
      <c r="F1780" s="48">
        <f>VLOOKUP(E1780,[2]PROYECTOS!$K$1:$M$32,3,0)</f>
        <v>2024003050077</v>
      </c>
      <c r="G1780" s="49" t="s">
        <v>1436</v>
      </c>
      <c r="H1780" s="49" t="str">
        <f>VLOOKUP(Q1780,[2]PROYECTOS!$V$1:$W$32,2,0)</f>
        <v>220387</v>
      </c>
      <c r="I1780" s="78">
        <f>2522329-229302</f>
        <v>2293027</v>
      </c>
      <c r="J1780" s="51" t="s">
        <v>2054</v>
      </c>
      <c r="K1780" s="47" t="str">
        <f t="shared" ca="1" si="580"/>
        <v>CONTRATADO</v>
      </c>
      <c r="L1780" s="47" t="s">
        <v>94</v>
      </c>
      <c r="M1780" s="47" t="s">
        <v>1297</v>
      </c>
      <c r="N1780" s="366" t="s">
        <v>1437</v>
      </c>
      <c r="O1780" s="51" t="e">
        <f>VLOOKUP(N1780,[2]!RUBROS[#All],3,0)</f>
        <v>#REF!</v>
      </c>
      <c r="P1780" s="53" t="e">
        <f>VLOOKUP(N1780,[2]!RUBROS[#All],2,0)</f>
        <v>#REF!</v>
      </c>
      <c r="Q1780" s="47" t="str">
        <f t="shared" si="581"/>
        <v>77</v>
      </c>
      <c r="R1780" s="47" t="str">
        <f t="shared" si="582"/>
        <v>4-271130</v>
      </c>
      <c r="S1780" s="339">
        <v>11</v>
      </c>
      <c r="T1780" s="59" t="s">
        <v>120</v>
      </c>
      <c r="U1780" s="326" t="e">
        <f ca="1">_xlfn.XLOOKUP(PAA_4[[#This Row],[ITEM]],[2]Contrato!A:A,[2]Contrato!Q:Q,"",0)</f>
        <v>#NAME?</v>
      </c>
      <c r="V1780" s="47" t="s">
        <v>95</v>
      </c>
      <c r="W1780" s="47" t="s">
        <v>201</v>
      </c>
      <c r="X1780" s="47" t="s">
        <v>201</v>
      </c>
      <c r="Y1780" s="55" t="e">
        <f ca="1">_xlfn.XLOOKUP(PAA_4[[#This Row],[ITEM]],[2]Contrato!A:A,[2]Contrato!B:B,"",0)</f>
        <v>#NAME?</v>
      </c>
      <c r="Z1780" s="47" t="e">
        <f ca="1">_xlfn.XLOOKUP(PAA_4[[#This Row],[ITEM]],[2]Contrato!A:A,[2]Contrato!G:G,"",0)</f>
        <v>#NAME?</v>
      </c>
      <c r="AA1780" s="47" t="e">
        <f ca="1">_xlfn.XLOOKUP(PAA_4[[#This Row],[ITEM]],[2]Contrato!A:A,[2]Contrato!T:T,"",0)</f>
        <v>#NAME?</v>
      </c>
      <c r="AB1780" s="55" t="e">
        <f ca="1">+MAX(PAA_4[[#This Row],[Comprometido Contrato]],PAA_4[[#This Row],[Comprometido Bolsa]])</f>
        <v>#NAME?</v>
      </c>
      <c r="AC1780" s="55" t="str">
        <f t="shared" ca="1" si="583"/>
        <v/>
      </c>
      <c r="AD1780" s="55" t="e">
        <f ca="1">IF(PAA_4[[#This Row],[ESTADO (formulado)]]="NO CONTRATADO",0,MAX(PAA_4[[#This Row],[Pago por Contrato]],PAA_4[[#This Row],[Pago por bolsa]]))</f>
        <v>#NAME?</v>
      </c>
      <c r="AE1780" s="55" t="str">
        <f t="shared" ca="1" si="584"/>
        <v/>
      </c>
      <c r="AF1780" s="47" t="e">
        <f t="shared" ca="1" si="585"/>
        <v>#NAME?</v>
      </c>
      <c r="AG1780" s="47">
        <f t="shared" si="586"/>
        <v>52011001</v>
      </c>
      <c r="AH1780" s="54">
        <f>IF(Q1780="22",IF(ISNUMBER(SEARCH("econ",PAA_4[[#This Row],[Actividad3]])),"Económico",IF(ISNUMBER(SEARCH("alim",PAA_4[[#This Row],[Actividad3]])),"Alimentación",IF(ISNUMBER(SEARCH("educ",PAA_4[[#This Row],[Actividad3]])),"Educativo","Técnico"))),0)</f>
        <v>0</v>
      </c>
      <c r="AI1780" s="47" t="e" cm="1">
        <f t="array" aca="1" ref="AI1780" ca="1">_xlfn.XLOOKUP(PAA_4[[#This Row],[RCP-RUBRO]],[2]!COMPROMISOS_2024[[#All],[concatenado]],[2]!COMPROMISOS_2024[[#All],[Total pagado]],"",0)</f>
        <v>#NAME?</v>
      </c>
      <c r="AJ1780" s="56">
        <f>IF(PAA_4[[#This Row],[BOLSA]]=0,0,SUMIFS([2]!COMPROMISOS_2024[[#All],[Total pagado]],[2]!COMPROMISOS_2024[[#All],[Bolsa]],PAA_4[[#This Row],[BOLSA]],[2]!COMPROMISOS_2024[[#All],[rubro]],PAA_4[[#This Row],[RCP-RUBRO]]))</f>
        <v>0</v>
      </c>
      <c r="AK1780" s="47" t="e" cm="1">
        <f t="array" aca="1" ref="AK1780" ca="1">_xlfn.XLOOKUP(PAA_4[[#This Row],[RCP-RUBRO]],[2]!COMPROMISOS_2024[[#All],[concatenado]],[2]!COMPROMISOS_2024[[#All],[Total Comprometido]],"",0)</f>
        <v>#NAME?</v>
      </c>
      <c r="AL1780" s="47">
        <f>IF(PAA_4[[#This Row],[BOLSA]]=0,0,SUMIFS([2]!COMPROMISOS_2024[[#All],[Total Comprometido]],[2]!COMPROMISOS_2024[[#All],[Bolsa]],PAA_4[[#This Row],[BOLSA]],[2]!COMPROMISOS_2024[[#All],[concatenado]],PAA_4[[#This Row],[RCP-RUBRO]]))</f>
        <v>0</v>
      </c>
    </row>
    <row r="1781" spans="1:38" s="19" customFormat="1" ht="31.5" customHeight="1">
      <c r="A1781" s="47" t="s">
        <v>82</v>
      </c>
      <c r="B1781" s="47" t="s">
        <v>42</v>
      </c>
      <c r="C1781" s="47" t="str">
        <f>VLOOKUP(PAA_4[[#This Row],[PROYECTO (formulado)2]],[2]PROYECTOS!$G$1:$L$32,6,0)</f>
        <v>SUBGERENCIA ADMINISTRATIVA Y FINANCIERA</v>
      </c>
      <c r="D1781" s="47" t="str">
        <f>+IF(PAA_4[[#This Row],[UNIDAD DE CONTRATACION (formulado)]]="Subgerencia Administrativa y Financiera","FUNCIONAMIENTO","INVERSIÓN")</f>
        <v>FUNCIONAMIENTO</v>
      </c>
      <c r="E1781" s="48" t="str">
        <f>VLOOKUP(Q1781,[2]PROYECTOS!$G$1:$K$32,5,0)</f>
        <v>Fortalecimiento de los sistemas de información y la gestión estratégica para el deporte, la recreación y la actividad física de Antioquia</v>
      </c>
      <c r="F1781" s="48">
        <f>VLOOKUP(E1781,[2]PROYECTOS!$K$1:$M$32,3,0)</f>
        <v>2024003050077</v>
      </c>
      <c r="G1781" s="49" t="s">
        <v>2046</v>
      </c>
      <c r="H1781" s="49" t="str">
        <f>VLOOKUP(Q1781,[2]PROYECTOS!$V$1:$W$32,2,0)</f>
        <v>220387</v>
      </c>
      <c r="I1781" s="78">
        <v>79016751</v>
      </c>
      <c r="J1781" s="51" t="s">
        <v>2048</v>
      </c>
      <c r="K1781" s="47" t="str">
        <f t="shared" ca="1" si="580"/>
        <v>CONTRATADO</v>
      </c>
      <c r="L1781" s="47" t="s">
        <v>42</v>
      </c>
      <c r="M1781" s="47" t="s">
        <v>42</v>
      </c>
      <c r="N1781" s="52" t="s">
        <v>1437</v>
      </c>
      <c r="O1781" s="51" t="e">
        <f>VLOOKUP(N1781,[2]!RUBROS[#All],3,0)</f>
        <v>#REF!</v>
      </c>
      <c r="P1781" s="53" t="e">
        <f>VLOOKUP(N1781,[2]!RUBROS[#All],2,0)</f>
        <v>#REF!</v>
      </c>
      <c r="Q1781" s="47" t="str">
        <f t="shared" si="581"/>
        <v>77</v>
      </c>
      <c r="R1781" s="47" t="str">
        <f t="shared" si="582"/>
        <v>4-271130</v>
      </c>
      <c r="S1781" s="339" t="s">
        <v>42</v>
      </c>
      <c r="T1781" s="59" t="s">
        <v>42</v>
      </c>
      <c r="U1781" s="326" t="e">
        <f ca="1">_xlfn.XLOOKUP(PAA_4[[#This Row],[ITEM]],[2]Contrato!A:A,[2]Contrato!Q:Q,"",0)</f>
        <v>#NAME?</v>
      </c>
      <c r="V1781" s="47" t="s">
        <v>95</v>
      </c>
      <c r="W1781" s="47" t="s">
        <v>42</v>
      </c>
      <c r="X1781" s="47" t="s">
        <v>42</v>
      </c>
      <c r="Y1781" s="55" t="e">
        <f ca="1">_xlfn.XLOOKUP(PAA_4[[#This Row],[ITEM]],[2]Contrato!A:A,[2]Contrato!B:B,"",0)</f>
        <v>#NAME?</v>
      </c>
      <c r="Z1781" s="47" t="e">
        <f ca="1">_xlfn.XLOOKUP(PAA_4[[#This Row],[ITEM]],[2]Contrato!A:A,[2]Contrato!G:G,"",0)</f>
        <v>#NAME?</v>
      </c>
      <c r="AA1781" s="47" t="e">
        <f ca="1">_xlfn.XLOOKUP(PAA_4[[#This Row],[ITEM]],[2]Contrato!A:A,[2]Contrato!T:T,"",0)</f>
        <v>#NAME?</v>
      </c>
      <c r="AB1781" s="55" t="e">
        <f ca="1">+MAX(PAA_4[[#This Row],[Comprometido Contrato]],PAA_4[[#This Row],[Comprometido Bolsa]])</f>
        <v>#NAME?</v>
      </c>
      <c r="AC1781" s="55" t="str">
        <f t="shared" ca="1" si="583"/>
        <v/>
      </c>
      <c r="AD1781" s="55" t="e">
        <f ca="1">IF(PAA_4[[#This Row],[ESTADO (formulado)]]="NO CONTRATADO",0,MAX(PAA_4[[#This Row],[Pago por Contrato]],PAA_4[[#This Row],[Pago por bolsa]]))</f>
        <v>#NAME?</v>
      </c>
      <c r="AE1781" s="55" t="str">
        <f t="shared" ca="1" si="584"/>
        <v/>
      </c>
      <c r="AF1781" s="47" t="e">
        <f t="shared" ca="1" si="585"/>
        <v>#NAME?</v>
      </c>
      <c r="AG1781" s="47">
        <f t="shared" si="586"/>
        <v>52011001</v>
      </c>
      <c r="AH1781" s="54">
        <f>IF(Q1781="22",IF(ISNUMBER(SEARCH("econ",PAA_4[[#This Row],[Actividad3]])),"Económico",IF(ISNUMBER(SEARCH("alim",PAA_4[[#This Row],[Actividad3]])),"Alimentación",IF(ISNUMBER(SEARCH("educ",PAA_4[[#This Row],[Actividad3]])),"Educativo","Técnico"))),0)</f>
        <v>0</v>
      </c>
      <c r="AI1781" s="47" t="e" cm="1">
        <f t="array" aca="1" ref="AI1781" ca="1">_xlfn.XLOOKUP(PAA_4[[#This Row],[RCP-RUBRO]],[2]!COMPROMISOS_2024[[#All],[concatenado]],[2]!COMPROMISOS_2024[[#All],[Total pagado]],"",0)</f>
        <v>#NAME?</v>
      </c>
      <c r="AJ1781" s="56">
        <f>IF(PAA_4[[#This Row],[BOLSA]]=0,0,SUMIFS([2]!COMPROMISOS_2024[[#All],[Total pagado]],[2]!COMPROMISOS_2024[[#All],[Bolsa]],PAA_4[[#This Row],[BOLSA]],[2]!COMPROMISOS_2024[[#All],[rubro]],PAA_4[[#This Row],[RCP-RUBRO]]))</f>
        <v>0</v>
      </c>
      <c r="AK1781" s="47" t="e" cm="1">
        <f t="array" aca="1" ref="AK1781" ca="1">_xlfn.XLOOKUP(PAA_4[[#This Row],[RCP-RUBRO]],[2]!COMPROMISOS_2024[[#All],[concatenado]],[2]!COMPROMISOS_2024[[#All],[Total Comprometido]],"",0)</f>
        <v>#NAME?</v>
      </c>
      <c r="AL1781" s="47">
        <f>IF(PAA_4[[#This Row],[BOLSA]]=0,0,SUMIFS([2]!COMPROMISOS_2024[[#All],[Total Comprometido]],[2]!COMPROMISOS_2024[[#All],[Bolsa]],PAA_4[[#This Row],[BOLSA]],[2]!COMPROMISOS_2024[[#All],[concatenado]],PAA_4[[#This Row],[RCP-RUBRO]]))</f>
        <v>0</v>
      </c>
    </row>
    <row r="1782" spans="1:38" s="19" customFormat="1" ht="31.5" customHeight="1">
      <c r="A1782" s="47" t="s">
        <v>82</v>
      </c>
      <c r="B1782" s="47" t="s">
        <v>42</v>
      </c>
      <c r="C1782" s="47" t="str">
        <f>VLOOKUP(PAA_4[[#This Row],[PROYECTO (formulado)2]],[2]PROYECTOS!$G$1:$L$32,6,0)</f>
        <v>SUBGERENCIA ADMINISTRATIVA Y FINANCIERA</v>
      </c>
      <c r="D1782" s="47" t="str">
        <f>+IF(PAA_4[[#This Row],[UNIDAD DE CONTRATACION (formulado)]]="Subgerencia Administrativa y Financiera","FUNCIONAMIENTO","INVERSIÓN")</f>
        <v>FUNCIONAMIENTO</v>
      </c>
      <c r="E1782" s="48" t="str">
        <f>VLOOKUP(Q1782,[2]PROYECTOS!$G$1:$K$32,5,0)</f>
        <v>Fortalecimiento de los sistemas de información y la gestión estratégica para el deporte, la recreación y la actividad física de Antioquia</v>
      </c>
      <c r="F1782" s="48">
        <f>VLOOKUP(E1782,[2]PROYECTOS!$K$1:$M$32,3,0)</f>
        <v>2024003050077</v>
      </c>
      <c r="G1782" s="49" t="s">
        <v>2042</v>
      </c>
      <c r="H1782" s="49" t="str">
        <f>VLOOKUP(Q1782,[2]PROYECTOS!$V$1:$W$32,2,0)</f>
        <v>220387</v>
      </c>
      <c r="I1782" s="78">
        <v>2443726</v>
      </c>
      <c r="J1782" s="51" t="s">
        <v>2055</v>
      </c>
      <c r="K1782" s="47" t="str">
        <f ca="1">IF(ISNONTEXT(Y1782)=TRUE,"CONTRATADO","NO CONTRATADO")</f>
        <v>CONTRATADO</v>
      </c>
      <c r="L1782" s="47" t="s">
        <v>42</v>
      </c>
      <c r="M1782" s="47" t="s">
        <v>42</v>
      </c>
      <c r="N1782" s="52" t="s">
        <v>1437</v>
      </c>
      <c r="O1782" s="51" t="e">
        <f>VLOOKUP(N1782,[2]!RUBROS[#All],3,0)</f>
        <v>#REF!</v>
      </c>
      <c r="P1782" s="53" t="e">
        <f>VLOOKUP(N1782,[2]!RUBROS[#All],2,0)</f>
        <v>#REF!</v>
      </c>
      <c r="Q1782" s="47" t="str">
        <f>+MID(N1782,11,2)</f>
        <v>77</v>
      </c>
      <c r="R1782" s="47" t="str">
        <f>+MID(N1782,14,8)</f>
        <v>4-271130</v>
      </c>
      <c r="S1782" s="339" t="s">
        <v>42</v>
      </c>
      <c r="T1782" s="59" t="s">
        <v>42</v>
      </c>
      <c r="U1782" s="326" t="e">
        <f ca="1">_xlfn.XLOOKUP(PAA_4[[#This Row],[ITEM]],[2]Contrato!A:A,[2]Contrato!Q:Q,"",0)</f>
        <v>#NAME?</v>
      </c>
      <c r="V1782" s="47" t="s">
        <v>95</v>
      </c>
      <c r="W1782" s="47" t="s">
        <v>42</v>
      </c>
      <c r="X1782" s="47" t="s">
        <v>42</v>
      </c>
      <c r="Y1782" s="55" t="e">
        <f ca="1">_xlfn.XLOOKUP(PAA_4[[#This Row],[ITEM]],[2]Contrato!A:A,[2]Contrato!B:B,"",0)</f>
        <v>#NAME?</v>
      </c>
      <c r="Z1782" s="47" t="e">
        <f ca="1">_xlfn.XLOOKUP(PAA_4[[#This Row],[ITEM]],[2]Contrato!A:A,[2]Contrato!G:G,"",0)</f>
        <v>#NAME?</v>
      </c>
      <c r="AA1782" s="47" t="e">
        <f ca="1">_xlfn.XLOOKUP(PAA_4[[#This Row],[ITEM]],[2]Contrato!A:A,[2]Contrato!T:T,"",0)</f>
        <v>#NAME?</v>
      </c>
      <c r="AB1782" s="55" t="e">
        <f ca="1">+MAX(PAA_4[[#This Row],[Comprometido Contrato]],PAA_4[[#This Row],[Comprometido Bolsa]])</f>
        <v>#NAME?</v>
      </c>
      <c r="AC1782" s="55" t="str">
        <f ca="1">IFERROR(I1782-AB1782,"")</f>
        <v/>
      </c>
      <c r="AD1782" s="55" t="e">
        <f ca="1">IF(PAA_4[[#This Row],[ESTADO (formulado)]]="NO CONTRATADO",0,MAX(PAA_4[[#This Row],[Pago por Contrato]],PAA_4[[#This Row],[Pago por bolsa]]))</f>
        <v>#NAME?</v>
      </c>
      <c r="AE1782" s="55" t="str">
        <f ca="1">+IFERROR(AB1782-AD1782,"")</f>
        <v/>
      </c>
      <c r="AF1782" s="47" t="e">
        <f ca="1">+CONCATENATE(AA1782,N1782)</f>
        <v>#NAME?</v>
      </c>
      <c r="AG1782" s="47">
        <f>IFERROR(_xlfn.NUMBERVALUE(MID(G1782,1,8)),"")</f>
        <v>52011001</v>
      </c>
      <c r="AH1782" s="54">
        <f>IF(Q1782="22",IF(ISNUMBER(SEARCH("econ",PAA_4[[#This Row],[Actividad3]])),"Económico",IF(ISNUMBER(SEARCH("alim",PAA_4[[#This Row],[Actividad3]])),"Alimentación",IF(ISNUMBER(SEARCH("educ",PAA_4[[#This Row],[Actividad3]])),"Educativo","Técnico"))),0)</f>
        <v>0</v>
      </c>
      <c r="AI1782" s="47" t="e" cm="1">
        <f t="array" aca="1" ref="AI1782" ca="1">_xlfn.XLOOKUP(PAA_4[[#This Row],[RCP-RUBRO]],[2]!COMPROMISOS_2024[[#All],[concatenado]],[2]!COMPROMISOS_2024[[#All],[Total pagado]],"",0)</f>
        <v>#NAME?</v>
      </c>
      <c r="AJ1782" s="56">
        <f>IF(PAA_4[[#This Row],[BOLSA]]=0,0,SUMIFS([2]!COMPROMISOS_2024[[#All],[Total pagado]],[2]!COMPROMISOS_2024[[#All],[Bolsa]],PAA_4[[#This Row],[BOLSA]],[2]!COMPROMISOS_2024[[#All],[rubro]],PAA_4[[#This Row],[RCP-RUBRO]]))</f>
        <v>0</v>
      </c>
      <c r="AK1782" s="47" t="e" cm="1">
        <f t="array" aca="1" ref="AK1782" ca="1">_xlfn.XLOOKUP(PAA_4[[#This Row],[RCP-RUBRO]],[2]!COMPROMISOS_2024[[#All],[concatenado]],[2]!COMPROMISOS_2024[[#All],[Total Comprometido]],"",0)</f>
        <v>#NAME?</v>
      </c>
      <c r="AL1782" s="47">
        <f>IF(PAA_4[[#This Row],[BOLSA]]=0,0,SUMIFS([2]!COMPROMISOS_2024[[#All],[Total Comprometido]],[2]!COMPROMISOS_2024[[#All],[Bolsa]],PAA_4[[#This Row],[BOLSA]],[2]!COMPROMISOS_2024[[#All],[concatenado]],PAA_4[[#This Row],[RCP-RUBRO]]))</f>
        <v>0</v>
      </c>
    </row>
    <row r="1783" spans="1:38" s="19" customFormat="1" ht="31.5" customHeight="1">
      <c r="A1783" s="47">
        <v>1295</v>
      </c>
      <c r="B1783" s="47">
        <v>43231513</v>
      </c>
      <c r="C1783" s="47" t="str">
        <f>VLOOKUP(PAA_4[[#This Row],[PROYECTO (formulado)2]],[2]PROYECTOS!$G$1:$L$32,6,0)</f>
        <v>SUBGERENCIA ADMINISTRATIVA Y FINANCIERA</v>
      </c>
      <c r="D1783" s="47" t="str">
        <f>+IF(PAA_4[[#This Row],[UNIDAD DE CONTRATACION (formulado)]]="Subgerencia Administrativa y Financiera","FUNCIONAMIENTO","INVERSIÓN")</f>
        <v>FUNCIONAMIENTO</v>
      </c>
      <c r="E1783" s="48" t="str">
        <f>VLOOKUP(Q1783,[2]PROYECTOS!$G$1:$K$32,5,0)</f>
        <v>Fortalecimiento de los sistemas de información y la gestión estratégica para el deporte, la recreación y la actividad física de Antioquia</v>
      </c>
      <c r="F1783" s="48">
        <f>VLOOKUP(E1783,[2]PROYECTOS!$K$1:$M$32,3,0)</f>
        <v>2024003050077</v>
      </c>
      <c r="G1783" s="49" t="s">
        <v>2042</v>
      </c>
      <c r="H1783" s="49" t="str">
        <f>VLOOKUP(Q1783,[2]PROYECTOS!$V$1:$W$32,2,0)</f>
        <v>220387</v>
      </c>
      <c r="I1783" s="78">
        <f>5000000-2443726</f>
        <v>2556274</v>
      </c>
      <c r="J1783" s="51" t="s">
        <v>1936</v>
      </c>
      <c r="K1783" s="47" t="str">
        <f t="shared" ref="K1783:K1841" ca="1" si="587">IF(ISNONTEXT(Y1783)=TRUE,"CONTRATADO","NO CONTRATADO")</f>
        <v>CONTRATADO</v>
      </c>
      <c r="L1783" s="47" t="s">
        <v>151</v>
      </c>
      <c r="M1783" s="47" t="s">
        <v>89</v>
      </c>
      <c r="N1783" s="52" t="s">
        <v>1437</v>
      </c>
      <c r="O1783" s="51" t="e">
        <f>VLOOKUP(N1783,[2]!RUBROS[#All],3,0)</f>
        <v>#REF!</v>
      </c>
      <c r="P1783" s="53" t="e">
        <f>VLOOKUP(N1783,[2]!RUBROS[#All],2,0)</f>
        <v>#REF!</v>
      </c>
      <c r="Q1783" s="47" t="str">
        <f t="shared" ref="Q1783:Q1841" si="588">+MID(N1783,11,2)</f>
        <v>77</v>
      </c>
      <c r="R1783" s="47" t="str">
        <f t="shared" ref="R1783:R1841" si="589">+MID(N1783,14,8)</f>
        <v>4-271130</v>
      </c>
      <c r="S1783" s="339">
        <v>1</v>
      </c>
      <c r="T1783" s="59" t="s">
        <v>46</v>
      </c>
      <c r="U1783" s="326" t="e">
        <f ca="1">_xlfn.XLOOKUP(PAA_4[[#This Row],[ITEM]],[2]Contrato!A:A,[2]Contrato!Q:Q,"",0)</f>
        <v>#NAME?</v>
      </c>
      <c r="V1783" s="47" t="s">
        <v>95</v>
      </c>
      <c r="W1783" s="47" t="s">
        <v>200</v>
      </c>
      <c r="X1783" s="47" t="s">
        <v>200</v>
      </c>
      <c r="Y1783" s="55" t="e">
        <f ca="1">_xlfn.XLOOKUP(PAA_4[[#This Row],[ITEM]],[2]Contrato!A:A,[2]Contrato!B:B,"",0)</f>
        <v>#NAME?</v>
      </c>
      <c r="Z1783" s="47" t="e">
        <f ca="1">_xlfn.XLOOKUP(PAA_4[[#This Row],[ITEM]],[2]Contrato!A:A,[2]Contrato!G:G,"",0)</f>
        <v>#NAME?</v>
      </c>
      <c r="AA1783" s="47" t="e">
        <f ca="1">_xlfn.XLOOKUP(PAA_4[[#This Row],[ITEM]],[2]Contrato!A:A,[2]Contrato!T:T,"",0)</f>
        <v>#NAME?</v>
      </c>
      <c r="AB1783" s="55" t="e">
        <f ca="1">+MAX(PAA_4[[#This Row],[Comprometido Contrato]],PAA_4[[#This Row],[Comprometido Bolsa]])</f>
        <v>#NAME?</v>
      </c>
      <c r="AC1783" s="55" t="str">
        <f t="shared" ref="AC1783:AC1841" ca="1" si="590">IFERROR(I1783-AB1783,"")</f>
        <v/>
      </c>
      <c r="AD1783" s="55" t="e">
        <f ca="1">IF(PAA_4[[#This Row],[ESTADO (formulado)]]="NO CONTRATADO",0,MAX(PAA_4[[#This Row],[Pago por Contrato]],PAA_4[[#This Row],[Pago por bolsa]]))</f>
        <v>#NAME?</v>
      </c>
      <c r="AE1783" s="55" t="str">
        <f t="shared" ref="AE1783:AE1841" ca="1" si="591">+IFERROR(AB1783-AD1783,"")</f>
        <v/>
      </c>
      <c r="AF1783" s="47" t="e">
        <f t="shared" ref="AF1783:AF1841" ca="1" si="592">+CONCATENATE(AA1783,N1783)</f>
        <v>#NAME?</v>
      </c>
      <c r="AG1783" s="47">
        <f t="shared" ref="AG1783:AG1841" si="593">IFERROR(_xlfn.NUMBERVALUE(MID(G1783,1,8)),"")</f>
        <v>52011001</v>
      </c>
      <c r="AH1783" s="54">
        <f>IF(Q1783="22",IF(ISNUMBER(SEARCH("econ",PAA_4[[#This Row],[Actividad3]])),"Económico",IF(ISNUMBER(SEARCH("alim",PAA_4[[#This Row],[Actividad3]])),"Alimentación",IF(ISNUMBER(SEARCH("educ",PAA_4[[#This Row],[Actividad3]])),"Educativo","Técnico"))),0)</f>
        <v>0</v>
      </c>
      <c r="AI1783" s="47" t="e" cm="1">
        <f t="array" aca="1" ref="AI1783" ca="1">_xlfn.XLOOKUP(PAA_4[[#This Row],[RCP-RUBRO]],[2]!COMPROMISOS_2024[[#All],[concatenado]],[2]!COMPROMISOS_2024[[#All],[Total pagado]],"",0)</f>
        <v>#NAME?</v>
      </c>
      <c r="AJ1783" s="56">
        <f>IF(PAA_4[[#This Row],[BOLSA]]=0,0,SUMIFS([2]!COMPROMISOS_2024[[#All],[Total pagado]],[2]!COMPROMISOS_2024[[#All],[Bolsa]],PAA_4[[#This Row],[BOLSA]],[2]!COMPROMISOS_2024[[#All],[rubro]],PAA_4[[#This Row],[RCP-RUBRO]]))</f>
        <v>0</v>
      </c>
      <c r="AK1783" s="47" t="e" cm="1">
        <f t="array" aca="1" ref="AK1783" ca="1">_xlfn.XLOOKUP(PAA_4[[#This Row],[RCP-RUBRO]],[2]!COMPROMISOS_2024[[#All],[concatenado]],[2]!COMPROMISOS_2024[[#All],[Total Comprometido]],"",0)</f>
        <v>#NAME?</v>
      </c>
      <c r="AL1783" s="47">
        <f>IF(PAA_4[[#This Row],[BOLSA]]=0,0,SUMIFS([2]!COMPROMISOS_2024[[#All],[Total Comprometido]],[2]!COMPROMISOS_2024[[#All],[Bolsa]],PAA_4[[#This Row],[BOLSA]],[2]!COMPROMISOS_2024[[#All],[concatenado]],PAA_4[[#This Row],[RCP-RUBRO]]))</f>
        <v>0</v>
      </c>
    </row>
    <row r="1784" spans="1:38" s="19" customFormat="1" ht="31.5" customHeight="1">
      <c r="A1784" s="47" t="s">
        <v>82</v>
      </c>
      <c r="B1784" s="47" t="s">
        <v>42</v>
      </c>
      <c r="C1784" s="47" t="str">
        <f>VLOOKUP(PAA_4[[#This Row],[PROYECTO (formulado)2]],[2]PROYECTOS!$G$1:$L$32,6,0)</f>
        <v>SUBGERENCIA ADMINISTRATIVA Y FINANCIERA</v>
      </c>
      <c r="D1784" s="47" t="str">
        <f>+IF(PAA_4[[#This Row],[UNIDAD DE CONTRATACION (formulado)]]="Subgerencia Administrativa y Financiera","FUNCIONAMIENTO","INVERSIÓN")</f>
        <v>FUNCIONAMIENTO</v>
      </c>
      <c r="E1784" s="48" t="str">
        <f>VLOOKUP(Q1784,[2]PROYECTOS!$G$1:$K$32,5,0)</f>
        <v>Fortalecimiento de los sistemas de información y la gestión estratégica para el deporte, la recreación y la actividad física de Antioquia</v>
      </c>
      <c r="F1784" s="48">
        <f>VLOOKUP(E1784,[2]PROYECTOS!$K$1:$M$32,3,0)</f>
        <v>2024003050077</v>
      </c>
      <c r="G1784" s="49" t="s">
        <v>2056</v>
      </c>
      <c r="H1784" s="49" t="str">
        <f>VLOOKUP(Q1784,[2]PROYECTOS!$V$1:$W$32,2,0)</f>
        <v>220387</v>
      </c>
      <c r="I1784" s="78">
        <v>95952456</v>
      </c>
      <c r="J1784" s="51" t="s">
        <v>2048</v>
      </c>
      <c r="K1784" s="47" t="str">
        <f t="shared" ca="1" si="587"/>
        <v>CONTRATADO</v>
      </c>
      <c r="L1784" s="47" t="s">
        <v>42</v>
      </c>
      <c r="M1784" s="47" t="s">
        <v>42</v>
      </c>
      <c r="N1784" s="52" t="s">
        <v>1437</v>
      </c>
      <c r="O1784" s="51" t="e">
        <f>VLOOKUP(N1784,[2]!RUBROS[#All],3,0)</f>
        <v>#REF!</v>
      </c>
      <c r="P1784" s="53" t="e">
        <f>VLOOKUP(N1784,[2]!RUBROS[#All],2,0)</f>
        <v>#REF!</v>
      </c>
      <c r="Q1784" s="47" t="str">
        <f t="shared" si="588"/>
        <v>77</v>
      </c>
      <c r="R1784" s="47" t="str">
        <f t="shared" si="589"/>
        <v>4-271130</v>
      </c>
      <c r="S1784" s="339" t="s">
        <v>42</v>
      </c>
      <c r="T1784" s="59" t="s">
        <v>42</v>
      </c>
      <c r="U1784" s="326" t="e">
        <f ca="1">_xlfn.XLOOKUP(PAA_4[[#This Row],[ITEM]],[2]Contrato!A:A,[2]Contrato!Q:Q,"",0)</f>
        <v>#NAME?</v>
      </c>
      <c r="V1784" s="47" t="s">
        <v>95</v>
      </c>
      <c r="W1784" s="47" t="s">
        <v>42</v>
      </c>
      <c r="X1784" s="47" t="s">
        <v>42</v>
      </c>
      <c r="Y1784" s="55" t="e">
        <f ca="1">_xlfn.XLOOKUP(PAA_4[[#This Row],[ITEM]],[2]Contrato!A:A,[2]Contrato!B:B,"",0)</f>
        <v>#NAME?</v>
      </c>
      <c r="Z1784" s="47" t="e">
        <f ca="1">_xlfn.XLOOKUP(PAA_4[[#This Row],[ITEM]],[2]Contrato!A:A,[2]Contrato!G:G,"",0)</f>
        <v>#NAME?</v>
      </c>
      <c r="AA1784" s="47" t="e">
        <f ca="1">_xlfn.XLOOKUP(PAA_4[[#This Row],[ITEM]],[2]Contrato!A:A,[2]Contrato!T:T,"",0)</f>
        <v>#NAME?</v>
      </c>
      <c r="AB1784" s="55" t="e">
        <f ca="1">+MAX(PAA_4[[#This Row],[Comprometido Contrato]],PAA_4[[#This Row],[Comprometido Bolsa]])</f>
        <v>#NAME?</v>
      </c>
      <c r="AC1784" s="55" t="str">
        <f t="shared" ca="1" si="590"/>
        <v/>
      </c>
      <c r="AD1784" s="55" t="e">
        <f ca="1">IF(PAA_4[[#This Row],[ESTADO (formulado)]]="NO CONTRATADO",0,MAX(PAA_4[[#This Row],[Pago por Contrato]],PAA_4[[#This Row],[Pago por bolsa]]))</f>
        <v>#NAME?</v>
      </c>
      <c r="AE1784" s="55" t="str">
        <f t="shared" ca="1" si="591"/>
        <v/>
      </c>
      <c r="AF1784" s="47" t="e">
        <f t="shared" ca="1" si="592"/>
        <v>#NAME?</v>
      </c>
      <c r="AG1784" s="47">
        <f t="shared" si="593"/>
        <v>52011001</v>
      </c>
      <c r="AH1784" s="54">
        <f>IF(Q1784="22",IF(ISNUMBER(SEARCH("econ",PAA_4[[#This Row],[Actividad3]])),"Económico",IF(ISNUMBER(SEARCH("alim",PAA_4[[#This Row],[Actividad3]])),"Alimentación",IF(ISNUMBER(SEARCH("educ",PAA_4[[#This Row],[Actividad3]])),"Educativo","Técnico"))),0)</f>
        <v>0</v>
      </c>
      <c r="AI1784" s="47" t="e" cm="1">
        <f t="array" aca="1" ref="AI1784" ca="1">_xlfn.XLOOKUP(PAA_4[[#This Row],[RCP-RUBRO]],[2]!COMPROMISOS_2024[[#All],[concatenado]],[2]!COMPROMISOS_2024[[#All],[Total pagado]],"",0)</f>
        <v>#NAME?</v>
      </c>
      <c r="AJ1784" s="56">
        <f>IF(PAA_4[[#This Row],[BOLSA]]=0,0,SUMIFS([2]!COMPROMISOS_2024[[#All],[Total pagado]],[2]!COMPROMISOS_2024[[#All],[Bolsa]],PAA_4[[#This Row],[BOLSA]],[2]!COMPROMISOS_2024[[#All],[rubro]],PAA_4[[#This Row],[RCP-RUBRO]]))</f>
        <v>0</v>
      </c>
      <c r="AK1784" s="47" t="e" cm="1">
        <f t="array" aca="1" ref="AK1784" ca="1">_xlfn.XLOOKUP(PAA_4[[#This Row],[RCP-RUBRO]],[2]!COMPROMISOS_2024[[#All],[concatenado]],[2]!COMPROMISOS_2024[[#All],[Total Comprometido]],"",0)</f>
        <v>#NAME?</v>
      </c>
      <c r="AL1784" s="47">
        <f>IF(PAA_4[[#This Row],[BOLSA]]=0,0,SUMIFS([2]!COMPROMISOS_2024[[#All],[Total Comprometido]],[2]!COMPROMISOS_2024[[#All],[Bolsa]],PAA_4[[#This Row],[BOLSA]],[2]!COMPROMISOS_2024[[#All],[concatenado]],PAA_4[[#This Row],[RCP-RUBRO]]))</f>
        <v>0</v>
      </c>
    </row>
    <row r="1785" spans="1:38" s="19" customFormat="1" ht="31.5" customHeight="1">
      <c r="A1785" s="47">
        <v>1231</v>
      </c>
      <c r="B1785" s="51" t="s">
        <v>2057</v>
      </c>
      <c r="C1785" s="47" t="str">
        <f>VLOOKUP(PAA_4[[#This Row],[PROYECTO (formulado)2]],[2]PROYECTOS!$G$1:$L$32,6,0)</f>
        <v>SUBGERENCIA ADMINISTRATIVA Y FINANCIERA</v>
      </c>
      <c r="D1785" s="47" t="str">
        <f>+IF(PAA_4[[#This Row],[UNIDAD DE CONTRATACION (formulado)]]="Subgerencia Administrativa y Financiera","FUNCIONAMIENTO","INVERSIÓN")</f>
        <v>FUNCIONAMIENTO</v>
      </c>
      <c r="E1785" s="48" t="str">
        <f>VLOOKUP(Q1785,[2]PROYECTOS!$G$1:$K$32,5,0)</f>
        <v>Fortalecimiento de los sistemas de información y la gestión estratégica para el deporte, la recreación y la actividad física de Antioquia</v>
      </c>
      <c r="F1785" s="48">
        <f>VLOOKUP(E1785,[2]PROYECTOS!$K$1:$M$32,3,0)</f>
        <v>2024003050077</v>
      </c>
      <c r="G1785" s="49" t="s">
        <v>2046</v>
      </c>
      <c r="H1785" s="49" t="str">
        <f>VLOOKUP(Q1785,[2]PROYECTOS!$V$1:$W$32,2,0)</f>
        <v>220387</v>
      </c>
      <c r="I1785" s="78">
        <v>500000000</v>
      </c>
      <c r="J1785" s="51" t="s">
        <v>2058</v>
      </c>
      <c r="K1785" s="47" t="str">
        <f t="shared" ca="1" si="587"/>
        <v>CONTRATADO</v>
      </c>
      <c r="L1785" s="47" t="s">
        <v>78</v>
      </c>
      <c r="M1785" s="47" t="s">
        <v>161</v>
      </c>
      <c r="N1785" s="52" t="s">
        <v>2059</v>
      </c>
      <c r="O1785" s="51" t="e">
        <f>VLOOKUP(N1785,[2]!RUBROS[#All],3,0)</f>
        <v>#REF!</v>
      </c>
      <c r="P1785" s="53" t="e">
        <f>VLOOKUP(N1785,[2]!RUBROS[#All],2,0)</f>
        <v>#REF!</v>
      </c>
      <c r="Q1785" s="47" t="str">
        <f t="shared" si="588"/>
        <v>77</v>
      </c>
      <c r="R1785" s="47" t="str">
        <f t="shared" si="589"/>
        <v>4-271130</v>
      </c>
      <c r="S1785" s="339">
        <v>2.5</v>
      </c>
      <c r="T1785" s="59" t="s">
        <v>46</v>
      </c>
      <c r="U1785" s="326" t="e">
        <f ca="1">_xlfn.XLOOKUP(PAA_4[[#This Row],[ITEM]],[2]Contrato!A:A,[2]Contrato!Q:Q,"",0)</f>
        <v>#NAME?</v>
      </c>
      <c r="V1785" s="47" t="s">
        <v>95</v>
      </c>
      <c r="W1785" s="47" t="s">
        <v>204</v>
      </c>
      <c r="X1785" s="47" t="s">
        <v>204</v>
      </c>
      <c r="Y1785" s="55" t="e">
        <f ca="1">_xlfn.XLOOKUP(PAA_4[[#This Row],[ITEM]],[2]Contrato!A:A,[2]Contrato!B:B,"",0)</f>
        <v>#NAME?</v>
      </c>
      <c r="Z1785" s="47" t="e">
        <f ca="1">_xlfn.XLOOKUP(PAA_4[[#This Row],[ITEM]],[2]Contrato!A:A,[2]Contrato!G:G,"",0)</f>
        <v>#NAME?</v>
      </c>
      <c r="AA1785" s="47" t="e">
        <f ca="1">_xlfn.XLOOKUP(PAA_4[[#This Row],[ITEM]],[2]Contrato!A:A,[2]Contrato!T:T,"",0)</f>
        <v>#NAME?</v>
      </c>
      <c r="AB1785" s="55" t="e">
        <f ca="1">+MAX(PAA_4[[#This Row],[Comprometido Contrato]],PAA_4[[#This Row],[Comprometido Bolsa]])</f>
        <v>#NAME?</v>
      </c>
      <c r="AC1785" s="55" t="str">
        <f t="shared" ca="1" si="590"/>
        <v/>
      </c>
      <c r="AD1785" s="55" t="e">
        <f ca="1">IF(PAA_4[[#This Row],[ESTADO (formulado)]]="NO CONTRATADO",0,MAX(PAA_4[[#This Row],[Pago por Contrato]],PAA_4[[#This Row],[Pago por bolsa]]))</f>
        <v>#NAME?</v>
      </c>
      <c r="AE1785" s="55" t="str">
        <f t="shared" ca="1" si="591"/>
        <v/>
      </c>
      <c r="AF1785" s="47" t="e">
        <f t="shared" ca="1" si="592"/>
        <v>#NAME?</v>
      </c>
      <c r="AG1785" s="47">
        <f t="shared" si="593"/>
        <v>52011001</v>
      </c>
      <c r="AH1785" s="54">
        <f>IF(Q1785="22",IF(ISNUMBER(SEARCH("econ",PAA_4[[#This Row],[Actividad3]])),"Económico",IF(ISNUMBER(SEARCH("alim",PAA_4[[#This Row],[Actividad3]])),"Alimentación",IF(ISNUMBER(SEARCH("educ",PAA_4[[#This Row],[Actividad3]])),"Educativo","Técnico"))),0)</f>
        <v>0</v>
      </c>
      <c r="AI1785" s="47" t="e" cm="1">
        <f t="array" aca="1" ref="AI1785" ca="1">_xlfn.XLOOKUP(PAA_4[[#This Row],[RCP-RUBRO]],[2]!COMPROMISOS_2024[[#All],[concatenado]],[2]!COMPROMISOS_2024[[#All],[Total pagado]],"",0)</f>
        <v>#NAME?</v>
      </c>
      <c r="AJ1785" s="56">
        <f>IF(PAA_4[[#This Row],[BOLSA]]=0,0,SUMIFS([2]!COMPROMISOS_2024[[#All],[Total pagado]],[2]!COMPROMISOS_2024[[#All],[Bolsa]],PAA_4[[#This Row],[BOLSA]],[2]!COMPROMISOS_2024[[#All],[rubro]],PAA_4[[#This Row],[RCP-RUBRO]]))</f>
        <v>0</v>
      </c>
      <c r="AK1785" s="47" t="e" cm="1">
        <f t="array" aca="1" ref="AK1785" ca="1">_xlfn.XLOOKUP(PAA_4[[#This Row],[RCP-RUBRO]],[2]!COMPROMISOS_2024[[#All],[concatenado]],[2]!COMPROMISOS_2024[[#All],[Total Comprometido]],"",0)</f>
        <v>#NAME?</v>
      </c>
      <c r="AL1785" s="47">
        <f>IF(PAA_4[[#This Row],[BOLSA]]=0,0,SUMIFS([2]!COMPROMISOS_2024[[#All],[Total Comprometido]],[2]!COMPROMISOS_2024[[#All],[Bolsa]],PAA_4[[#This Row],[BOLSA]],[2]!COMPROMISOS_2024[[#All],[concatenado]],PAA_4[[#This Row],[RCP-RUBRO]]))</f>
        <v>0</v>
      </c>
    </row>
    <row r="1786" spans="1:38" s="377" customFormat="1" ht="31.5" customHeight="1">
      <c r="A1786" s="47" t="s">
        <v>82</v>
      </c>
      <c r="B1786" s="47" t="s">
        <v>42</v>
      </c>
      <c r="C1786" s="47" t="str">
        <f>VLOOKUP(PAA_4[[#This Row],[PROYECTO (formulado)2]],[2]PROYECTOS!$G$1:$L$32,6,0)</f>
        <v>SUBGERENCIA ADMINISTRATIVA Y FINANCIERA</v>
      </c>
      <c r="D1786" s="47" t="str">
        <f>+IF(PAA_4[[#This Row],[UNIDAD DE CONTRATACION (formulado)]]="Subgerencia Administrativa y Financiera","FUNCIONAMIENTO","INVERSIÓN")</f>
        <v>FUNCIONAMIENTO</v>
      </c>
      <c r="E1786" s="48" t="str">
        <f>VLOOKUP(Q1786,[2]PROYECTOS!$G$1:$K$32,5,0)</f>
        <v>Fortalecimiento de los sistemas de información y la gestión estratégica para el deporte, la recreación y la actividad física de Antioquia</v>
      </c>
      <c r="F1786" s="48">
        <f>VLOOKUP(E1786,[2]PROYECTOS!$K$1:$M$32,3,0)</f>
        <v>2024003050077</v>
      </c>
      <c r="G1786" s="49" t="s">
        <v>2060</v>
      </c>
      <c r="H1786" s="49" t="str">
        <f>VLOOKUP(Q1786,[2]PROYECTOS!$V$1:$W$32,2,0)</f>
        <v>220387</v>
      </c>
      <c r="I1786" s="78">
        <v>0</v>
      </c>
      <c r="J1786" s="51" t="s">
        <v>2061</v>
      </c>
      <c r="K1786" s="47" t="str">
        <f t="shared" ca="1" si="587"/>
        <v>CONTRATADO</v>
      </c>
      <c r="L1786" s="47" t="s">
        <v>42</v>
      </c>
      <c r="M1786" s="47" t="s">
        <v>42</v>
      </c>
      <c r="N1786" s="52" t="s">
        <v>2062</v>
      </c>
      <c r="O1786" s="51" t="e">
        <f>VLOOKUP(N1786,[2]!RUBROS[#All],3,0)</f>
        <v>#REF!</v>
      </c>
      <c r="P1786" s="53" t="e">
        <f>VLOOKUP(N1786,[2]!RUBROS[#All],2,0)</f>
        <v>#REF!</v>
      </c>
      <c r="Q1786" s="47" t="str">
        <f t="shared" si="588"/>
        <v>77</v>
      </c>
      <c r="R1786" s="47" t="str">
        <f t="shared" si="589"/>
        <v>0-101024</v>
      </c>
      <c r="S1786" s="339" t="s">
        <v>42</v>
      </c>
      <c r="T1786" s="59" t="s">
        <v>42</v>
      </c>
      <c r="U1786" s="326" t="e">
        <f ca="1">_xlfn.XLOOKUP(PAA_4[[#This Row],[ITEM]],[2]Contrato!A:A,[2]Contrato!Q:Q,"",0)</f>
        <v>#NAME?</v>
      </c>
      <c r="V1786" s="47" t="s">
        <v>95</v>
      </c>
      <c r="W1786" s="47" t="s">
        <v>42</v>
      </c>
      <c r="X1786" s="47" t="s">
        <v>42</v>
      </c>
      <c r="Y1786" s="55" t="e">
        <f ca="1">_xlfn.XLOOKUP(PAA_4[[#This Row],[ITEM]],[2]Contrato!A:A,[2]Contrato!B:B,"",0)</f>
        <v>#NAME?</v>
      </c>
      <c r="Z1786" s="47" t="e">
        <f ca="1">_xlfn.XLOOKUP(PAA_4[[#This Row],[ITEM]],[2]Contrato!A:A,[2]Contrato!G:G,"",0)</f>
        <v>#NAME?</v>
      </c>
      <c r="AA1786" s="47" t="e">
        <f ca="1">_xlfn.XLOOKUP(PAA_4[[#This Row],[ITEM]],[2]Contrato!A:A,[2]Contrato!T:T,"",0)</f>
        <v>#NAME?</v>
      </c>
      <c r="AB1786" s="55" t="e">
        <f ca="1">+MAX(PAA_4[[#This Row],[Comprometido Contrato]],PAA_4[[#This Row],[Comprometido Bolsa]])</f>
        <v>#NAME?</v>
      </c>
      <c r="AC1786" s="55" t="str">
        <f t="shared" ca="1" si="590"/>
        <v/>
      </c>
      <c r="AD1786" s="55" t="e">
        <f ca="1">IF(PAA_4[[#This Row],[ESTADO (formulado)]]="NO CONTRATADO",0,MAX(PAA_4[[#This Row],[Pago por Contrato]],PAA_4[[#This Row],[Pago por bolsa]]))</f>
        <v>#NAME?</v>
      </c>
      <c r="AE1786" s="55" t="str">
        <f t="shared" ca="1" si="591"/>
        <v/>
      </c>
      <c r="AF1786" s="47" t="e">
        <f t="shared" ca="1" si="592"/>
        <v>#NAME?</v>
      </c>
      <c r="AG1786" s="47">
        <f t="shared" si="593"/>
        <v>52011001</v>
      </c>
      <c r="AH1786" s="54">
        <f>IF(Q1786="22",IF(ISNUMBER(SEARCH("econ",PAA_4[[#This Row],[Actividad3]])),"Económico",IF(ISNUMBER(SEARCH("alim",PAA_4[[#This Row],[Actividad3]])),"Alimentación",IF(ISNUMBER(SEARCH("educ",PAA_4[[#This Row],[Actividad3]])),"Educativo","Técnico"))),0)</f>
        <v>0</v>
      </c>
      <c r="AI1786" s="47" t="e" cm="1">
        <f t="array" aca="1" ref="AI1786" ca="1">_xlfn.XLOOKUP(PAA_4[[#This Row],[RCP-RUBRO]],[2]!COMPROMISOS_2024[[#All],[concatenado]],[2]!COMPROMISOS_2024[[#All],[Total pagado]],"",0)</f>
        <v>#NAME?</v>
      </c>
      <c r="AJ1786" s="56">
        <f>IF(PAA_4[[#This Row],[BOLSA]]=0,0,SUMIFS([2]!COMPROMISOS_2024[[#All],[Total pagado]],[2]!COMPROMISOS_2024[[#All],[Bolsa]],PAA_4[[#This Row],[BOLSA]],[2]!COMPROMISOS_2024[[#All],[rubro]],PAA_4[[#This Row],[RCP-RUBRO]]))</f>
        <v>0</v>
      </c>
      <c r="AK1786" s="47" t="e" cm="1">
        <f t="array" aca="1" ref="AK1786" ca="1">_xlfn.XLOOKUP(PAA_4[[#This Row],[RCP-RUBRO]],[2]!COMPROMISOS_2024[[#All],[concatenado]],[2]!COMPROMISOS_2024[[#All],[Total Comprometido]],"",0)</f>
        <v>#NAME?</v>
      </c>
      <c r="AL1786" s="47">
        <f>IF(PAA_4[[#This Row],[BOLSA]]=0,0,SUMIFS([2]!COMPROMISOS_2024[[#All],[Total Comprometido]],[2]!COMPROMISOS_2024[[#All],[Bolsa]],PAA_4[[#This Row],[BOLSA]],[2]!COMPROMISOS_2024[[#All],[concatenado]],PAA_4[[#This Row],[RCP-RUBRO]]))</f>
        <v>0</v>
      </c>
    </row>
    <row r="1787" spans="1:38" s="377" customFormat="1" ht="31.5" customHeight="1">
      <c r="A1787" s="47">
        <v>1213</v>
      </c>
      <c r="B1787" s="47" t="s">
        <v>42</v>
      </c>
      <c r="C1787" s="47" t="str">
        <f>VLOOKUP(PAA_4[[#This Row],[PROYECTO (formulado)2]],[2]PROYECTOS!$G$1:$L$32,6,0)</f>
        <v>SUBGERENCIA ADMINISTRATIVA Y FINANCIERA</v>
      </c>
      <c r="D1787" s="47" t="str">
        <f>+IF(PAA_4[[#This Row],[UNIDAD DE CONTRATACION (formulado)]]="Subgerencia Administrativa y Financiera","FUNCIONAMIENTO","INVERSIÓN")</f>
        <v>FUNCIONAMIENTO</v>
      </c>
      <c r="E1787" s="48" t="str">
        <f>VLOOKUP(Q1787,[2]PROYECTOS!$G$1:$K$32,5,0)</f>
        <v>Fortalecimiento de los sistemas de información y la gestión estratégica para el deporte, la recreación y la actividad física de Antioquia</v>
      </c>
      <c r="F1787" s="48">
        <f>VLOOKUP(E1787,[2]PROYECTOS!$K$1:$M$32,3,0)</f>
        <v>2024003050077</v>
      </c>
      <c r="G1787" s="49" t="s">
        <v>2063</v>
      </c>
      <c r="H1787" s="49" t="str">
        <f>VLOOKUP(Q1787,[2]PROYECTOS!$V$1:$W$32,2,0)</f>
        <v>220387</v>
      </c>
      <c r="I1787" s="78">
        <v>0</v>
      </c>
      <c r="J1787" s="51" t="s">
        <v>2064</v>
      </c>
      <c r="K1787" s="47" t="str">
        <f t="shared" ca="1" si="587"/>
        <v>CONTRATADO</v>
      </c>
      <c r="L1787" s="47" t="s">
        <v>42</v>
      </c>
      <c r="M1787" s="47" t="s">
        <v>42</v>
      </c>
      <c r="N1787" s="52" t="s">
        <v>2062</v>
      </c>
      <c r="O1787" s="51" t="e">
        <f>VLOOKUP(N1787,[2]!RUBROS[#All],3,0)</f>
        <v>#REF!</v>
      </c>
      <c r="P1787" s="53" t="e">
        <f>VLOOKUP(N1787,[2]!RUBROS[#All],2,0)</f>
        <v>#REF!</v>
      </c>
      <c r="Q1787" s="47" t="str">
        <f t="shared" si="588"/>
        <v>77</v>
      </c>
      <c r="R1787" s="47" t="str">
        <f t="shared" si="589"/>
        <v>0-101024</v>
      </c>
      <c r="S1787" s="339">
        <v>2</v>
      </c>
      <c r="T1787" s="59" t="s">
        <v>46</v>
      </c>
      <c r="U1787" s="326" t="e">
        <f ca="1">_xlfn.XLOOKUP(PAA_4[[#This Row],[ITEM]],[2]Contrato!A:A,[2]Contrato!Q:Q,"",0)</f>
        <v>#NAME?</v>
      </c>
      <c r="V1787" s="47" t="s">
        <v>95</v>
      </c>
      <c r="W1787" s="47" t="s">
        <v>204</v>
      </c>
      <c r="X1787" s="47" t="s">
        <v>204</v>
      </c>
      <c r="Y1787" s="55" t="e">
        <f ca="1">_xlfn.XLOOKUP(PAA_4[[#This Row],[ITEM]],[2]Contrato!A:A,[2]Contrato!B:B,"",0)</f>
        <v>#NAME?</v>
      </c>
      <c r="Z1787" s="47" t="e">
        <f ca="1">_xlfn.XLOOKUP(PAA_4[[#This Row],[ITEM]],[2]Contrato!A:A,[2]Contrato!G:G,"",0)</f>
        <v>#NAME?</v>
      </c>
      <c r="AA1787" s="47" t="e">
        <f ca="1">_xlfn.XLOOKUP(PAA_4[[#This Row],[ITEM]],[2]Contrato!A:A,[2]Contrato!T:T,"",0)</f>
        <v>#NAME?</v>
      </c>
      <c r="AB1787" s="55" t="e">
        <f ca="1">+MAX(PAA_4[[#This Row],[Comprometido Contrato]],PAA_4[[#This Row],[Comprometido Bolsa]])</f>
        <v>#NAME?</v>
      </c>
      <c r="AC1787" s="55" t="str">
        <f t="shared" ca="1" si="590"/>
        <v/>
      </c>
      <c r="AD1787" s="55" t="e">
        <f ca="1">IF(PAA_4[[#This Row],[ESTADO (formulado)]]="NO CONTRATADO",0,MAX(PAA_4[[#This Row],[Pago por Contrato]],PAA_4[[#This Row],[Pago por bolsa]]))</f>
        <v>#NAME?</v>
      </c>
      <c r="AE1787" s="55" t="str">
        <f t="shared" ca="1" si="591"/>
        <v/>
      </c>
      <c r="AF1787" s="47" t="e">
        <f t="shared" ca="1" si="592"/>
        <v>#NAME?</v>
      </c>
      <c r="AG1787" s="47">
        <f t="shared" si="593"/>
        <v>52011001</v>
      </c>
      <c r="AH1787" s="54">
        <f>IF(Q1787="22",IF(ISNUMBER(SEARCH("econ",PAA_4[[#This Row],[Actividad3]])),"Económico",IF(ISNUMBER(SEARCH("alim",PAA_4[[#This Row],[Actividad3]])),"Alimentación",IF(ISNUMBER(SEARCH("educ",PAA_4[[#This Row],[Actividad3]])),"Educativo","Técnico"))),0)</f>
        <v>0</v>
      </c>
      <c r="AI1787" s="47" t="e" cm="1">
        <f t="array" aca="1" ref="AI1787" ca="1">_xlfn.XLOOKUP(PAA_4[[#This Row],[RCP-RUBRO]],[2]!COMPROMISOS_2024[[#All],[concatenado]],[2]!COMPROMISOS_2024[[#All],[Total pagado]],"",0)</f>
        <v>#NAME?</v>
      </c>
      <c r="AJ1787" s="56">
        <f>IF(PAA_4[[#This Row],[BOLSA]]=0,0,SUMIFS([2]!COMPROMISOS_2024[[#All],[Total pagado]],[2]!COMPROMISOS_2024[[#All],[Bolsa]],PAA_4[[#This Row],[BOLSA]],[2]!COMPROMISOS_2024[[#All],[rubro]],PAA_4[[#This Row],[RCP-RUBRO]]))</f>
        <v>0</v>
      </c>
      <c r="AK1787" s="47" t="e" cm="1">
        <f t="array" aca="1" ref="AK1787" ca="1">_xlfn.XLOOKUP(PAA_4[[#This Row],[RCP-RUBRO]],[2]!COMPROMISOS_2024[[#All],[concatenado]],[2]!COMPROMISOS_2024[[#All],[Total Comprometido]],"",0)</f>
        <v>#NAME?</v>
      </c>
      <c r="AL1787" s="47">
        <f>IF(PAA_4[[#This Row],[BOLSA]]=0,0,SUMIFS([2]!COMPROMISOS_2024[[#All],[Total Comprometido]],[2]!COMPROMISOS_2024[[#All],[Bolsa]],PAA_4[[#This Row],[BOLSA]],[2]!COMPROMISOS_2024[[#All],[concatenado]],PAA_4[[#This Row],[RCP-RUBRO]]))</f>
        <v>0</v>
      </c>
    </row>
    <row r="1788" spans="1:38" s="377" customFormat="1" ht="31.5" customHeight="1">
      <c r="A1788" s="47" t="s">
        <v>82</v>
      </c>
      <c r="B1788" s="47" t="s">
        <v>42</v>
      </c>
      <c r="C1788" s="47" t="str">
        <f>VLOOKUP(PAA_4[[#This Row],[PROYECTO (formulado)2]],[2]PROYECTOS!$G$1:$L$32,6,0)</f>
        <v>SUBGERENCIA ADMINISTRATIVA Y FINANCIERA</v>
      </c>
      <c r="D1788" s="47" t="str">
        <f>+IF(PAA_4[[#This Row],[UNIDAD DE CONTRATACION (formulado)]]="Subgerencia Administrativa y Financiera","FUNCIONAMIENTO","INVERSIÓN")</f>
        <v>FUNCIONAMIENTO</v>
      </c>
      <c r="E1788" s="48" t="str">
        <f>VLOOKUP(Q1788,[2]PROYECTOS!$G$1:$K$32,5,0)</f>
        <v>Fortalecimiento de los sistemas de información y la gestión estratégica para el deporte, la recreación y la actividad física de Antioquia</v>
      </c>
      <c r="F1788" s="48">
        <f>VLOOKUP(E1788,[2]PROYECTOS!$K$1:$M$32,3,0)</f>
        <v>2024003050077</v>
      </c>
      <c r="G1788" s="49" t="s">
        <v>2063</v>
      </c>
      <c r="H1788" s="49" t="str">
        <f>VLOOKUP(Q1788,[2]PROYECTOS!$V$1:$W$32,2,0)</f>
        <v>220387</v>
      </c>
      <c r="I1788" s="78">
        <v>0</v>
      </c>
      <c r="J1788" s="51" t="s">
        <v>2061</v>
      </c>
      <c r="K1788" s="47" t="str">
        <f t="shared" ca="1" si="587"/>
        <v>CONTRATADO</v>
      </c>
      <c r="L1788" s="47" t="s">
        <v>42</v>
      </c>
      <c r="M1788" s="47" t="s">
        <v>42</v>
      </c>
      <c r="N1788" s="52" t="s">
        <v>2062</v>
      </c>
      <c r="O1788" s="51" t="e">
        <f>VLOOKUP(N1788,[2]!RUBROS[#All],3,0)</f>
        <v>#REF!</v>
      </c>
      <c r="P1788" s="53" t="e">
        <f>VLOOKUP(N1788,[2]!RUBROS[#All],2,0)</f>
        <v>#REF!</v>
      </c>
      <c r="Q1788" s="47" t="str">
        <f t="shared" si="588"/>
        <v>77</v>
      </c>
      <c r="R1788" s="47" t="str">
        <f t="shared" si="589"/>
        <v>0-101024</v>
      </c>
      <c r="S1788" s="339" t="s">
        <v>42</v>
      </c>
      <c r="T1788" s="59" t="s">
        <v>42</v>
      </c>
      <c r="U1788" s="326" t="e">
        <f ca="1">_xlfn.XLOOKUP(PAA_4[[#This Row],[ITEM]],[2]Contrato!A:A,[2]Contrato!Q:Q,"",0)</f>
        <v>#NAME?</v>
      </c>
      <c r="V1788" s="47" t="s">
        <v>95</v>
      </c>
      <c r="W1788" s="47" t="s">
        <v>42</v>
      </c>
      <c r="X1788" s="47" t="s">
        <v>42</v>
      </c>
      <c r="Y1788" s="55" t="e">
        <f ca="1">_xlfn.XLOOKUP(PAA_4[[#This Row],[ITEM]],[2]Contrato!A:A,[2]Contrato!B:B,"",0)</f>
        <v>#NAME?</v>
      </c>
      <c r="Z1788" s="47" t="e">
        <f ca="1">_xlfn.XLOOKUP(PAA_4[[#This Row],[ITEM]],[2]Contrato!A:A,[2]Contrato!G:G,"",0)</f>
        <v>#NAME?</v>
      </c>
      <c r="AA1788" s="47" t="e">
        <f ca="1">_xlfn.XLOOKUP(PAA_4[[#This Row],[ITEM]],[2]Contrato!A:A,[2]Contrato!T:T,"",0)</f>
        <v>#NAME?</v>
      </c>
      <c r="AB1788" s="55" t="e">
        <f ca="1">+MAX(PAA_4[[#This Row],[Comprometido Contrato]],PAA_4[[#This Row],[Comprometido Bolsa]])</f>
        <v>#NAME?</v>
      </c>
      <c r="AC1788" s="55" t="str">
        <f t="shared" ca="1" si="590"/>
        <v/>
      </c>
      <c r="AD1788" s="55" t="e">
        <f ca="1">IF(PAA_4[[#This Row],[ESTADO (formulado)]]="NO CONTRATADO",0,MAX(PAA_4[[#This Row],[Pago por Contrato]],PAA_4[[#This Row],[Pago por bolsa]]))</f>
        <v>#NAME?</v>
      </c>
      <c r="AE1788" s="55" t="str">
        <f t="shared" ca="1" si="591"/>
        <v/>
      </c>
      <c r="AF1788" s="47" t="e">
        <f t="shared" ca="1" si="592"/>
        <v>#NAME?</v>
      </c>
      <c r="AG1788" s="47">
        <f t="shared" si="593"/>
        <v>52011001</v>
      </c>
      <c r="AH1788" s="54">
        <f>IF(Q1788="22",IF(ISNUMBER(SEARCH("econ",PAA_4[[#This Row],[Actividad3]])),"Económico",IF(ISNUMBER(SEARCH("alim",PAA_4[[#This Row],[Actividad3]])),"Alimentación",IF(ISNUMBER(SEARCH("educ",PAA_4[[#This Row],[Actividad3]])),"Educativo","Técnico"))),0)</f>
        <v>0</v>
      </c>
      <c r="AI1788" s="47" t="e" cm="1">
        <f t="array" aca="1" ref="AI1788" ca="1">_xlfn.XLOOKUP(PAA_4[[#This Row],[RCP-RUBRO]],[2]!COMPROMISOS_2024[[#All],[concatenado]],[2]!COMPROMISOS_2024[[#All],[Total pagado]],"",0)</f>
        <v>#NAME?</v>
      </c>
      <c r="AJ1788" s="56">
        <f>IF(PAA_4[[#This Row],[BOLSA]]=0,0,SUMIFS([2]!COMPROMISOS_2024[[#All],[Total pagado]],[2]!COMPROMISOS_2024[[#All],[Bolsa]],PAA_4[[#This Row],[BOLSA]],[2]!COMPROMISOS_2024[[#All],[rubro]],PAA_4[[#This Row],[RCP-RUBRO]]))</f>
        <v>0</v>
      </c>
      <c r="AK1788" s="47" t="e" cm="1">
        <f t="array" aca="1" ref="AK1788" ca="1">_xlfn.XLOOKUP(PAA_4[[#This Row],[RCP-RUBRO]],[2]!COMPROMISOS_2024[[#All],[concatenado]],[2]!COMPROMISOS_2024[[#All],[Total Comprometido]],"",0)</f>
        <v>#NAME?</v>
      </c>
      <c r="AL1788" s="47">
        <f>IF(PAA_4[[#This Row],[BOLSA]]=0,0,SUMIFS([2]!COMPROMISOS_2024[[#All],[Total Comprometido]],[2]!COMPROMISOS_2024[[#All],[Bolsa]],PAA_4[[#This Row],[BOLSA]],[2]!COMPROMISOS_2024[[#All],[concatenado]],PAA_4[[#This Row],[RCP-RUBRO]]))</f>
        <v>0</v>
      </c>
    </row>
    <row r="1789" spans="1:38" s="19" customFormat="1" ht="31.5" customHeight="1">
      <c r="A1789" s="54" t="s">
        <v>82</v>
      </c>
      <c r="B1789" s="330" t="s">
        <v>42</v>
      </c>
      <c r="C1789" s="47" t="str">
        <f>VLOOKUP(PAA_4[[#This Row],[PROYECTO (formulado)2]],[2]PROYECTOS!$G$1:$L$32,6,0)</f>
        <v>SUBGERENCIA ADMINISTRATIVA Y FINANCIERA</v>
      </c>
      <c r="D1789" s="54" t="str">
        <f>+IF(PAA_4[[#This Row],[UNIDAD DE CONTRATACION (formulado)]]="Subgerencia Administrativa y Financiera","FUNCIONAMIENTO","INVERSIÓN")</f>
        <v>FUNCIONAMIENTO</v>
      </c>
      <c r="E1789" s="331" t="str">
        <f>VLOOKUP(Q1789,[2]PROYECTOS!$G$1:$K$32,5,0)</f>
        <v>Fortalecimiento de los sistemas de información y la gestión estratégica para el deporte, la recreación y la actividad física de Antioquia</v>
      </c>
      <c r="F1789" s="331">
        <f>VLOOKUP(E1789,[2]PROYECTOS!$K$1:$M$32,3,0)</f>
        <v>2024003050077</v>
      </c>
      <c r="G1789" s="332" t="s">
        <v>1929</v>
      </c>
      <c r="H1789" s="332" t="str">
        <f>VLOOKUP(Q1789,[2]PROYECTOS!$V$1:$W$32,2,0)</f>
        <v>220387</v>
      </c>
      <c r="I1789" s="78">
        <v>0</v>
      </c>
      <c r="J1789" s="330" t="s">
        <v>42</v>
      </c>
      <c r="K1789" s="54" t="str">
        <f t="shared" ca="1" si="587"/>
        <v>CONTRATADO</v>
      </c>
      <c r="L1789" s="54" t="s">
        <v>1933</v>
      </c>
      <c r="M1789" s="54" t="s">
        <v>191</v>
      </c>
      <c r="N1789" s="79" t="s">
        <v>1926</v>
      </c>
      <c r="O1789" s="330" t="e">
        <f>VLOOKUP(N1789,[2]!RUBROS[#All],3,0)</f>
        <v>#REF!</v>
      </c>
      <c r="P1789" s="330" t="e">
        <f>VLOOKUP(N1789,[2]!RUBROS[#All],2,0)</f>
        <v>#REF!</v>
      </c>
      <c r="Q1789" s="54" t="str">
        <f t="shared" si="588"/>
        <v>77</v>
      </c>
      <c r="R1789" s="47" t="str">
        <f t="shared" si="589"/>
        <v>0-101024</v>
      </c>
      <c r="S1789" s="339" t="s">
        <v>42</v>
      </c>
      <c r="T1789" s="59" t="s">
        <v>42</v>
      </c>
      <c r="U1789" s="335" t="e">
        <f ca="1">_xlfn.XLOOKUP(PAA_4[[#This Row],[ITEM]],[2]Contrato!A:A,[2]Contrato!Q:Q,"",0)</f>
        <v>#NAME?</v>
      </c>
      <c r="V1789" s="54" t="s">
        <v>95</v>
      </c>
      <c r="W1789" s="54" t="s">
        <v>42</v>
      </c>
      <c r="X1789" s="54" t="s">
        <v>42</v>
      </c>
      <c r="Y1789" s="336" t="e">
        <f ca="1">_xlfn.XLOOKUP(PAA_4[[#This Row],[ITEM]],[2]Contrato!A:A,[2]Contrato!B:B,"",0)</f>
        <v>#NAME?</v>
      </c>
      <c r="Z1789" s="54" t="e">
        <f ca="1">_xlfn.XLOOKUP(PAA_4[[#This Row],[ITEM]],[2]Contrato!A:A,[2]Contrato!G:G,"",0)</f>
        <v>#NAME?</v>
      </c>
      <c r="AA1789" s="54" t="e">
        <f ca="1">_xlfn.XLOOKUP(PAA_4[[#This Row],[ITEM]],[2]Contrato!A:A,[2]Contrato!T:T,"",0)</f>
        <v>#NAME?</v>
      </c>
      <c r="AB1789" s="336" t="e">
        <f ca="1">+MAX(PAA_4[[#This Row],[Comprometido Contrato]],PAA_4[[#This Row],[Comprometido Bolsa]])</f>
        <v>#NAME?</v>
      </c>
      <c r="AC1789" s="336" t="str">
        <f t="shared" ca="1" si="590"/>
        <v/>
      </c>
      <c r="AD1789" s="336" t="e">
        <f ca="1">IF(PAA_4[[#This Row],[ESTADO (formulado)]]="NO CONTRATADO",0,MAX(PAA_4[[#This Row],[Pago por Contrato]],PAA_4[[#This Row],[Pago por bolsa]]))</f>
        <v>#NAME?</v>
      </c>
      <c r="AE1789" s="336" t="str">
        <f t="shared" ca="1" si="591"/>
        <v/>
      </c>
      <c r="AF1789" s="54" t="e">
        <f t="shared" ca="1" si="592"/>
        <v>#NAME?</v>
      </c>
      <c r="AG1789" s="54">
        <f t="shared" si="593"/>
        <v>52011001</v>
      </c>
      <c r="AH1789" s="54">
        <f>IF(Q1789="22",IF(ISNUMBER(SEARCH("econ",PAA_4[[#This Row],[Actividad3]])),"Económico",IF(ISNUMBER(SEARCH("alim",PAA_4[[#This Row],[Actividad3]])),"Alimentación",IF(ISNUMBER(SEARCH("educ",PAA_4[[#This Row],[Actividad3]])),"Educativo","Técnico"))),0)</f>
        <v>0</v>
      </c>
      <c r="AI1789" s="54" t="e" cm="1">
        <f t="array" aca="1" ref="AI1789" ca="1">_xlfn.XLOOKUP(PAA_4[[#This Row],[RCP-RUBRO]],[2]!COMPROMISOS_2024[[#All],[concatenado]],[2]!COMPROMISOS_2024[[#All],[Total pagado]],"",0)</f>
        <v>#NAME?</v>
      </c>
      <c r="AJ1789" s="337">
        <f>IF(PAA_4[[#This Row],[BOLSA]]=0,0,SUMIFS([2]!COMPROMISOS_2024[[#All],[Total pagado]],[2]!COMPROMISOS_2024[[#All],[Bolsa]],PAA_4[[#This Row],[BOLSA]],[2]!COMPROMISOS_2024[[#All],[rubro]],PAA_4[[#This Row],[RCP-RUBRO]]))</f>
        <v>0</v>
      </c>
      <c r="AK1789" s="54" t="e" cm="1">
        <f t="array" aca="1" ref="AK1789" ca="1">_xlfn.XLOOKUP(PAA_4[[#This Row],[RCP-RUBRO]],[2]!COMPROMISOS_2024[[#All],[concatenado]],[2]!COMPROMISOS_2024[[#All],[Total Comprometido]],"",0)</f>
        <v>#NAME?</v>
      </c>
      <c r="AL1789" s="54">
        <f>IF(PAA_4[[#This Row],[BOLSA]]=0,0,SUMIFS([2]!COMPROMISOS_2024[[#All],[Total Comprometido]],[2]!COMPROMISOS_2024[[#All],[Bolsa]],PAA_4[[#This Row],[BOLSA]],[2]!COMPROMISOS_2024[[#All],[concatenado]],PAA_4[[#This Row],[RCP-RUBRO]]))</f>
        <v>0</v>
      </c>
    </row>
    <row r="1790" spans="1:38" s="19" customFormat="1" ht="31.5" customHeight="1">
      <c r="A1790" s="47">
        <v>1123</v>
      </c>
      <c r="B1790" s="47">
        <v>80111600</v>
      </c>
      <c r="C1790" s="47" t="str">
        <f>VLOOKUP(PAA_4[[#This Row],[PROYECTO (formulado)2]],[2]PROYECTOS!$G$1:$L$32,6,0)</f>
        <v>SUBGERENCIA ADMINISTRATIVA Y FINANCIERA</v>
      </c>
      <c r="D1790" s="47" t="str">
        <f>+IF(PAA_4[[#This Row],[UNIDAD DE CONTRATACION (formulado)]]="Subgerencia Administrativa y Financiera","FUNCIONAMIENTO","INVERSIÓN")</f>
        <v>FUNCIONAMIENTO</v>
      </c>
      <c r="E1790" s="48" t="str">
        <f>VLOOKUP(Q1790,[2]PROYECTOS!$G$1:$K$32,5,0)</f>
        <v>FUNCIONAMIENTO</v>
      </c>
      <c r="F1790" s="48">
        <f>VLOOKUP(E1790,[2]PROYECTOS!$K$1:$M$32,3,0)</f>
        <v>999999</v>
      </c>
      <c r="G1790" s="49" t="s">
        <v>43</v>
      </c>
      <c r="H1790" s="49">
        <f>VLOOKUP(Q1790,[2]PROYECTOS!$V$1:$W$32,2,0)</f>
        <v>999999</v>
      </c>
      <c r="I1790" s="78">
        <f>9125603-112662</f>
        <v>9012941</v>
      </c>
      <c r="J1790" s="51" t="s">
        <v>2065</v>
      </c>
      <c r="K1790" s="47" t="str">
        <f t="shared" ca="1" si="587"/>
        <v>CONTRATADO</v>
      </c>
      <c r="L1790" s="47" t="s">
        <v>94</v>
      </c>
      <c r="M1790" s="47" t="s">
        <v>1297</v>
      </c>
      <c r="N1790" s="52" t="s">
        <v>90</v>
      </c>
      <c r="O1790" s="51" t="e">
        <f>VLOOKUP(N1790,[2]!RUBROS[#All],3,0)</f>
        <v>#REF!</v>
      </c>
      <c r="P1790" s="53" t="e">
        <f>VLOOKUP(N1790,[2]!RUBROS[#All],2,0)</f>
        <v>#REF!</v>
      </c>
      <c r="Q1790" s="47" t="str">
        <f t="shared" si="588"/>
        <v>00</v>
      </c>
      <c r="R1790" s="47" t="str">
        <f t="shared" si="589"/>
        <v>0-205616</v>
      </c>
      <c r="S1790" s="54">
        <v>81</v>
      </c>
      <c r="T1790" s="59" t="s">
        <v>120</v>
      </c>
      <c r="U1790" s="326" t="e">
        <f ca="1">_xlfn.XLOOKUP(PAA_4[[#This Row],[ITEM]],[2]Contrato!A:A,[2]Contrato!Q:Q,"",0)</f>
        <v>#NAME?</v>
      </c>
      <c r="V1790" s="47" t="s">
        <v>95</v>
      </c>
      <c r="W1790" s="47" t="s">
        <v>203</v>
      </c>
      <c r="X1790" s="47" t="s">
        <v>203</v>
      </c>
      <c r="Y1790" s="55" t="e">
        <f ca="1">_xlfn.XLOOKUP(PAA_4[[#This Row],[ITEM]],[2]Contrato!A:A,[2]Contrato!B:B,"",0)</f>
        <v>#NAME?</v>
      </c>
      <c r="Z1790" s="47" t="e">
        <f ca="1">_xlfn.XLOOKUP(PAA_4[[#This Row],[ITEM]],[2]Contrato!A:A,[2]Contrato!G:G,"",0)</f>
        <v>#NAME?</v>
      </c>
      <c r="AA1790" s="47" t="e">
        <f ca="1">_xlfn.XLOOKUP(PAA_4[[#This Row],[ITEM]],[2]Contrato!A:A,[2]Contrato!T:T,"",0)</f>
        <v>#NAME?</v>
      </c>
      <c r="AB1790" s="55" t="e">
        <f ca="1">+MAX(PAA_4[[#This Row],[Comprometido Contrato]],PAA_4[[#This Row],[Comprometido Bolsa]])</f>
        <v>#NAME?</v>
      </c>
      <c r="AC1790" s="55" t="str">
        <f t="shared" ca="1" si="590"/>
        <v/>
      </c>
      <c r="AD1790" s="55" t="e">
        <f ca="1">IF(PAA_4[[#This Row],[ESTADO (formulado)]]="NO CONTRATADO",0,MAX(PAA_4[[#This Row],[Pago por Contrato]],PAA_4[[#This Row],[Pago por bolsa]]))</f>
        <v>#NAME?</v>
      </c>
      <c r="AE1790" s="55" t="str">
        <f t="shared" ca="1" si="591"/>
        <v/>
      </c>
      <c r="AF1790" s="47" t="e">
        <f t="shared" ca="1" si="592"/>
        <v>#NAME?</v>
      </c>
      <c r="AG1790" s="47" t="str">
        <f t="shared" si="593"/>
        <v/>
      </c>
      <c r="AH1790" s="54">
        <f>IF(Q1790="22",IF(ISNUMBER(SEARCH("econ",PAA_4[[#This Row],[Actividad3]])),"Económico",IF(ISNUMBER(SEARCH("alim",PAA_4[[#This Row],[Actividad3]])),"Alimentación",IF(ISNUMBER(SEARCH("educ",PAA_4[[#This Row],[Actividad3]])),"Educativo","Técnico"))),0)</f>
        <v>0</v>
      </c>
      <c r="AI1790" s="47" t="e" cm="1">
        <f t="array" aca="1" ref="AI1790" ca="1">_xlfn.XLOOKUP(PAA_4[[#This Row],[RCP-RUBRO]],[2]!COMPROMISOS_2024[[#All],[concatenado]],[2]!COMPROMISOS_2024[[#All],[Total pagado]],"",0)</f>
        <v>#NAME?</v>
      </c>
      <c r="AJ1790" s="56">
        <f>IF(PAA_4[[#This Row],[BOLSA]]=0,0,SUMIFS([2]!COMPROMISOS_2024[[#All],[Total pagado]],[2]!COMPROMISOS_2024[[#All],[Bolsa]],PAA_4[[#This Row],[BOLSA]],[2]!COMPROMISOS_2024[[#All],[rubro]],PAA_4[[#This Row],[RCP-RUBRO]]))</f>
        <v>0</v>
      </c>
      <c r="AK1790" s="47" t="e" cm="1">
        <f t="array" aca="1" ref="AK1790" ca="1">_xlfn.XLOOKUP(PAA_4[[#This Row],[RCP-RUBRO]],[2]!COMPROMISOS_2024[[#All],[concatenado]],[2]!COMPROMISOS_2024[[#All],[Total Comprometido]],"",0)</f>
        <v>#NAME?</v>
      </c>
      <c r="AL1790" s="47">
        <f>IF(PAA_4[[#This Row],[BOLSA]]=0,0,SUMIFS([2]!COMPROMISOS_2024[[#All],[Total Comprometido]],[2]!COMPROMISOS_2024[[#All],[Bolsa]],PAA_4[[#This Row],[BOLSA]],[2]!COMPROMISOS_2024[[#All],[concatenado]],PAA_4[[#This Row],[RCP-RUBRO]]))</f>
        <v>0</v>
      </c>
    </row>
    <row r="1791" spans="1:38" s="19" customFormat="1" ht="31.5" customHeight="1">
      <c r="A1791" s="47">
        <v>1124</v>
      </c>
      <c r="B1791" s="47">
        <v>80111600</v>
      </c>
      <c r="C1791" s="47" t="str">
        <f>VLOOKUP(PAA_4[[#This Row],[PROYECTO (formulado)2]],[2]PROYECTOS!$G$1:$L$32,6,0)</f>
        <v>SUBGERENCIA ADMINISTRATIVA Y FINANCIERA</v>
      </c>
      <c r="D1791" s="47" t="str">
        <f>+IF(PAA_4[[#This Row],[UNIDAD DE CONTRATACION (formulado)]]="Subgerencia Administrativa y Financiera","FUNCIONAMIENTO","INVERSIÓN")</f>
        <v>FUNCIONAMIENTO</v>
      </c>
      <c r="E1791" s="48" t="str">
        <f>VLOOKUP(Q1791,[2]PROYECTOS!$G$1:$K$32,5,0)</f>
        <v>FUNCIONAMIENTO</v>
      </c>
      <c r="F1791" s="48">
        <f>VLOOKUP(E1791,[2]PROYECTOS!$K$1:$M$32,3,0)</f>
        <v>999999</v>
      </c>
      <c r="G1791" s="49" t="s">
        <v>43</v>
      </c>
      <c r="H1791" s="49">
        <f>VLOOKUP(Q1791,[2]PROYECTOS!$V$1:$W$32,2,0)</f>
        <v>999999</v>
      </c>
      <c r="I1791" s="78">
        <f>8562294-225323</f>
        <v>8336971</v>
      </c>
      <c r="J1791" s="51" t="s">
        <v>2066</v>
      </c>
      <c r="K1791" s="47" t="str">
        <f t="shared" ca="1" si="587"/>
        <v>CONTRATADO</v>
      </c>
      <c r="L1791" s="47" t="s">
        <v>94</v>
      </c>
      <c r="M1791" s="47" t="s">
        <v>1297</v>
      </c>
      <c r="N1791" s="52" t="s">
        <v>90</v>
      </c>
      <c r="O1791" s="51" t="e">
        <f>VLOOKUP(N1791,[2]!RUBROS[#All],3,0)</f>
        <v>#REF!</v>
      </c>
      <c r="P1791" s="53" t="e">
        <f>VLOOKUP(N1791,[2]!RUBROS[#All],2,0)</f>
        <v>#REF!</v>
      </c>
      <c r="Q1791" s="47" t="str">
        <f t="shared" si="588"/>
        <v>00</v>
      </c>
      <c r="R1791" s="47" t="str">
        <f t="shared" si="589"/>
        <v>0-205616</v>
      </c>
      <c r="S1791" s="54">
        <v>76</v>
      </c>
      <c r="T1791" s="59" t="s">
        <v>120</v>
      </c>
      <c r="U1791" s="326" t="e">
        <f ca="1">_xlfn.XLOOKUP(PAA_4[[#This Row],[ITEM]],[2]Contrato!A:A,[2]Contrato!Q:Q,"",0)</f>
        <v>#NAME?</v>
      </c>
      <c r="V1791" s="47" t="s">
        <v>95</v>
      </c>
      <c r="W1791" s="47" t="s">
        <v>203</v>
      </c>
      <c r="X1791" s="47" t="s">
        <v>203</v>
      </c>
      <c r="Y1791" s="55" t="e">
        <f ca="1">_xlfn.XLOOKUP(PAA_4[[#This Row],[ITEM]],[2]Contrato!A:A,[2]Contrato!B:B,"",0)</f>
        <v>#NAME?</v>
      </c>
      <c r="Z1791" s="47" t="e">
        <f ca="1">_xlfn.XLOOKUP(PAA_4[[#This Row],[ITEM]],[2]Contrato!A:A,[2]Contrato!G:G,"",0)</f>
        <v>#NAME?</v>
      </c>
      <c r="AA1791" s="47" t="e">
        <f ca="1">_xlfn.XLOOKUP(PAA_4[[#This Row],[ITEM]],[2]Contrato!A:A,[2]Contrato!T:T,"",0)</f>
        <v>#NAME?</v>
      </c>
      <c r="AB1791" s="55" t="e">
        <f ca="1">+MAX(PAA_4[[#This Row],[Comprometido Contrato]],PAA_4[[#This Row],[Comprometido Bolsa]])</f>
        <v>#NAME?</v>
      </c>
      <c r="AC1791" s="55" t="str">
        <f t="shared" ca="1" si="590"/>
        <v/>
      </c>
      <c r="AD1791" s="55" t="e">
        <f ca="1">IF(PAA_4[[#This Row],[ESTADO (formulado)]]="NO CONTRATADO",0,MAX(PAA_4[[#This Row],[Pago por Contrato]],PAA_4[[#This Row],[Pago por bolsa]]))</f>
        <v>#NAME?</v>
      </c>
      <c r="AE1791" s="55" t="str">
        <f t="shared" ca="1" si="591"/>
        <v/>
      </c>
      <c r="AF1791" s="47" t="e">
        <f t="shared" ca="1" si="592"/>
        <v>#NAME?</v>
      </c>
      <c r="AG1791" s="47" t="str">
        <f t="shared" si="593"/>
        <v/>
      </c>
      <c r="AH1791" s="54">
        <f>IF(Q1791="22",IF(ISNUMBER(SEARCH("econ",PAA_4[[#This Row],[Actividad3]])),"Económico",IF(ISNUMBER(SEARCH("alim",PAA_4[[#This Row],[Actividad3]])),"Alimentación",IF(ISNUMBER(SEARCH("educ",PAA_4[[#This Row],[Actividad3]])),"Educativo","Técnico"))),0)</f>
        <v>0</v>
      </c>
      <c r="AI1791" s="47" t="e" cm="1">
        <f t="array" aca="1" ref="AI1791" ca="1">_xlfn.XLOOKUP(PAA_4[[#This Row],[RCP-RUBRO]],[2]!COMPROMISOS_2024[[#All],[concatenado]],[2]!COMPROMISOS_2024[[#All],[Total pagado]],"",0)</f>
        <v>#NAME?</v>
      </c>
      <c r="AJ1791" s="56">
        <f>IF(PAA_4[[#This Row],[BOLSA]]=0,0,SUMIFS([2]!COMPROMISOS_2024[[#All],[Total pagado]],[2]!COMPROMISOS_2024[[#All],[Bolsa]],PAA_4[[#This Row],[BOLSA]],[2]!COMPROMISOS_2024[[#All],[rubro]],PAA_4[[#This Row],[RCP-RUBRO]]))</f>
        <v>0</v>
      </c>
      <c r="AK1791" s="47" t="e" cm="1">
        <f t="array" aca="1" ref="AK1791" ca="1">_xlfn.XLOOKUP(PAA_4[[#This Row],[RCP-RUBRO]],[2]!COMPROMISOS_2024[[#All],[concatenado]],[2]!COMPROMISOS_2024[[#All],[Total Comprometido]],"",0)</f>
        <v>#NAME?</v>
      </c>
      <c r="AL1791" s="47">
        <f>IF(PAA_4[[#This Row],[BOLSA]]=0,0,SUMIFS([2]!COMPROMISOS_2024[[#All],[Total Comprometido]],[2]!COMPROMISOS_2024[[#All],[Bolsa]],PAA_4[[#This Row],[BOLSA]],[2]!COMPROMISOS_2024[[#All],[concatenado]],PAA_4[[#This Row],[RCP-RUBRO]]))</f>
        <v>0</v>
      </c>
    </row>
    <row r="1792" spans="1:38" s="19" customFormat="1" ht="31.5" customHeight="1">
      <c r="A1792" s="47">
        <v>1122</v>
      </c>
      <c r="B1792" s="47">
        <v>80161500</v>
      </c>
      <c r="C1792" s="47" t="str">
        <f>VLOOKUP(PAA_4[[#This Row],[PROYECTO (formulado)2]],[2]PROYECTOS!$G$1:$L$32,6,0)</f>
        <v>SUBGERENCIA ADMINISTRATIVA Y FINANCIERA</v>
      </c>
      <c r="D1792" s="47" t="str">
        <f>+IF(PAA_4[[#This Row],[UNIDAD DE CONTRATACION (formulado)]]="Subgerencia Administrativa y Financiera","FUNCIONAMIENTO","INVERSIÓN")</f>
        <v>FUNCIONAMIENTO</v>
      </c>
      <c r="E1792" s="48" t="str">
        <f>VLOOKUP(Q1792,[2]PROYECTOS!$G$1:$K$32,5,0)</f>
        <v>Fortalecimiento de los sistemas de información y la gestión estratégica para el deporte, la recreación y la actividad física de Antioquia</v>
      </c>
      <c r="F1792" s="48">
        <f>VLOOKUP(E1792,[2]PROYECTOS!$K$1:$M$32,3,0)</f>
        <v>2024003050077</v>
      </c>
      <c r="G1792" s="49" t="s">
        <v>2067</v>
      </c>
      <c r="H1792" s="49" t="str">
        <f>VLOOKUP(Q1792,[2]PROYECTOS!$V$1:$W$32,2,0)</f>
        <v>220387</v>
      </c>
      <c r="I1792" s="78">
        <v>197000000</v>
      </c>
      <c r="J1792" s="51" t="s">
        <v>2068</v>
      </c>
      <c r="K1792" s="47" t="str">
        <f t="shared" ca="1" si="587"/>
        <v>CONTRATADO</v>
      </c>
      <c r="L1792" s="47" t="s">
        <v>94</v>
      </c>
      <c r="M1792" s="47" t="s">
        <v>89</v>
      </c>
      <c r="N1792" s="52" t="s">
        <v>2069</v>
      </c>
      <c r="O1792" s="51" t="e">
        <f>VLOOKUP(N1792,[2]!RUBROS[#All],3,0)</f>
        <v>#REF!</v>
      </c>
      <c r="P1792" s="53" t="e">
        <f>VLOOKUP(N1792,[2]!RUBROS[#All],2,0)</f>
        <v>#REF!</v>
      </c>
      <c r="Q1792" s="47" t="str">
        <f t="shared" si="588"/>
        <v>77</v>
      </c>
      <c r="R1792" s="47" t="str">
        <f t="shared" si="589"/>
        <v>0-101024</v>
      </c>
      <c r="S1792" s="339">
        <v>105</v>
      </c>
      <c r="T1792" s="59" t="s">
        <v>120</v>
      </c>
      <c r="U1792" s="326" t="e">
        <f ca="1">_xlfn.XLOOKUP(PAA_4[[#This Row],[ITEM]],[2]Contrato!A:A,[2]Contrato!Q:Q,"",0)</f>
        <v>#NAME?</v>
      </c>
      <c r="V1792" s="47" t="s">
        <v>95</v>
      </c>
      <c r="W1792" s="47" t="s">
        <v>203</v>
      </c>
      <c r="X1792" s="47" t="s">
        <v>203</v>
      </c>
      <c r="Y1792" s="55" t="e">
        <f ca="1">_xlfn.XLOOKUP(PAA_4[[#This Row],[ITEM]],[2]Contrato!A:A,[2]Contrato!B:B,"",0)</f>
        <v>#NAME?</v>
      </c>
      <c r="Z1792" s="47" t="e">
        <f ca="1">_xlfn.XLOOKUP(PAA_4[[#This Row],[ITEM]],[2]Contrato!A:A,[2]Contrato!G:G,"",0)</f>
        <v>#NAME?</v>
      </c>
      <c r="AA1792" s="47" t="e">
        <f ca="1">_xlfn.XLOOKUP(PAA_4[[#This Row],[ITEM]],[2]Contrato!A:A,[2]Contrato!T:T,"",0)</f>
        <v>#NAME?</v>
      </c>
      <c r="AB1792" s="55" t="e">
        <f ca="1">+MAX(PAA_4[[#This Row],[Comprometido Contrato]],PAA_4[[#This Row],[Comprometido Bolsa]])</f>
        <v>#NAME?</v>
      </c>
      <c r="AC1792" s="55" t="str">
        <f t="shared" ca="1" si="590"/>
        <v/>
      </c>
      <c r="AD1792" s="55" t="e">
        <f ca="1">IF(PAA_4[[#This Row],[ESTADO (formulado)]]="NO CONTRATADO",0,MAX(PAA_4[[#This Row],[Pago por Contrato]],PAA_4[[#This Row],[Pago por bolsa]]))</f>
        <v>#NAME?</v>
      </c>
      <c r="AE1792" s="55" t="str">
        <f t="shared" ca="1" si="591"/>
        <v/>
      </c>
      <c r="AF1792" s="47" t="e">
        <f t="shared" ca="1" si="592"/>
        <v>#NAME?</v>
      </c>
      <c r="AG1792" s="47">
        <f t="shared" si="593"/>
        <v>52011001</v>
      </c>
      <c r="AH1792" s="54">
        <f>IF(Q1792="22",IF(ISNUMBER(SEARCH("econ",PAA_4[[#This Row],[Actividad3]])),"Económico",IF(ISNUMBER(SEARCH("alim",PAA_4[[#This Row],[Actividad3]])),"Alimentación",IF(ISNUMBER(SEARCH("educ",PAA_4[[#This Row],[Actividad3]])),"Educativo","Técnico"))),0)</f>
        <v>0</v>
      </c>
      <c r="AI1792" s="47" t="e" cm="1">
        <f t="array" aca="1" ref="AI1792" ca="1">_xlfn.XLOOKUP(PAA_4[[#This Row],[RCP-RUBRO]],[2]!COMPROMISOS_2024[[#All],[concatenado]],[2]!COMPROMISOS_2024[[#All],[Total pagado]],"",0)</f>
        <v>#NAME?</v>
      </c>
      <c r="AJ1792" s="56">
        <f>IF(PAA_4[[#This Row],[BOLSA]]=0,0,SUMIFS([2]!COMPROMISOS_2024[[#All],[Total pagado]],[2]!COMPROMISOS_2024[[#All],[Bolsa]],PAA_4[[#This Row],[BOLSA]],[2]!COMPROMISOS_2024[[#All],[rubro]],PAA_4[[#This Row],[RCP-RUBRO]]))</f>
        <v>0</v>
      </c>
      <c r="AK1792" s="47" t="e" cm="1">
        <f t="array" aca="1" ref="AK1792" ca="1">_xlfn.XLOOKUP(PAA_4[[#This Row],[RCP-RUBRO]],[2]!COMPROMISOS_2024[[#All],[concatenado]],[2]!COMPROMISOS_2024[[#All],[Total Comprometido]],"",0)</f>
        <v>#NAME?</v>
      </c>
      <c r="AL1792" s="47">
        <f>IF(PAA_4[[#This Row],[BOLSA]]=0,0,SUMIFS([2]!COMPROMISOS_2024[[#All],[Total Comprometido]],[2]!COMPROMISOS_2024[[#All],[Bolsa]],PAA_4[[#This Row],[BOLSA]],[2]!COMPROMISOS_2024[[#All],[concatenado]],PAA_4[[#This Row],[RCP-RUBRO]]))</f>
        <v>0</v>
      </c>
    </row>
    <row r="1793" spans="1:38" s="19" customFormat="1" ht="31.5" customHeight="1">
      <c r="A1793" s="47">
        <v>1122</v>
      </c>
      <c r="B1793" s="47">
        <v>80161500</v>
      </c>
      <c r="C1793" s="47" t="str">
        <f>VLOOKUP(PAA_4[[#This Row],[PROYECTO (formulado)2]],[2]PROYECTOS!$G$1:$L$32,6,0)</f>
        <v>SUBGERENCIA ADMINISTRATIVA Y FINANCIERA</v>
      </c>
      <c r="D1793" s="47" t="str">
        <f>+IF(PAA_4[[#This Row],[UNIDAD DE CONTRATACION (formulado)]]="Subgerencia Administrativa y Financiera","FUNCIONAMIENTO","INVERSIÓN")</f>
        <v>FUNCIONAMIENTO</v>
      </c>
      <c r="E1793" s="48" t="str">
        <f>VLOOKUP(Q1793,[2]PROYECTOS!$G$1:$K$32,5,0)</f>
        <v>Fortalecimiento de los sistemas de información y la gestión estratégica para el deporte, la recreación y la actividad física de Antioquia</v>
      </c>
      <c r="F1793" s="48">
        <f>VLOOKUP(E1793,[2]PROYECTOS!$K$1:$M$32,3,0)</f>
        <v>2024003050077</v>
      </c>
      <c r="G1793" s="49" t="s">
        <v>2070</v>
      </c>
      <c r="H1793" s="49" t="str">
        <f>VLOOKUP(Q1793,[2]PROYECTOS!$V$1:$W$32,2,0)</f>
        <v>220387</v>
      </c>
      <c r="I1793" s="78">
        <v>50000000</v>
      </c>
      <c r="J1793" s="51" t="s">
        <v>2068</v>
      </c>
      <c r="K1793" s="47" t="str">
        <f t="shared" ca="1" si="587"/>
        <v>CONTRATADO</v>
      </c>
      <c r="L1793" s="47" t="s">
        <v>94</v>
      </c>
      <c r="M1793" s="47" t="s">
        <v>89</v>
      </c>
      <c r="N1793" s="52" t="s">
        <v>2069</v>
      </c>
      <c r="O1793" s="51" t="e">
        <f>VLOOKUP(N1793,[2]!RUBROS[#All],3,0)</f>
        <v>#REF!</v>
      </c>
      <c r="P1793" s="53" t="e">
        <f>VLOOKUP(N1793,[2]!RUBROS[#All],2,0)</f>
        <v>#REF!</v>
      </c>
      <c r="Q1793" s="47" t="str">
        <f t="shared" si="588"/>
        <v>77</v>
      </c>
      <c r="R1793" s="47" t="str">
        <f t="shared" si="589"/>
        <v>0-101024</v>
      </c>
      <c r="S1793" s="339">
        <v>105</v>
      </c>
      <c r="T1793" s="59" t="s">
        <v>120</v>
      </c>
      <c r="U1793" s="326" t="e">
        <f ca="1">_xlfn.XLOOKUP(PAA_4[[#This Row],[ITEM]],[2]Contrato!A:A,[2]Contrato!Q:Q,"",0)</f>
        <v>#NAME?</v>
      </c>
      <c r="V1793" s="47" t="s">
        <v>95</v>
      </c>
      <c r="W1793" s="47" t="s">
        <v>203</v>
      </c>
      <c r="X1793" s="47" t="s">
        <v>203</v>
      </c>
      <c r="Y1793" s="55" t="e">
        <f ca="1">_xlfn.XLOOKUP(PAA_4[[#This Row],[ITEM]],[2]Contrato!A:A,[2]Contrato!B:B,"",0)</f>
        <v>#NAME?</v>
      </c>
      <c r="Z1793" s="47" t="e">
        <f ca="1">_xlfn.XLOOKUP(PAA_4[[#This Row],[ITEM]],[2]Contrato!A:A,[2]Contrato!G:G,"",0)</f>
        <v>#NAME?</v>
      </c>
      <c r="AA1793" s="47" t="e">
        <f ca="1">_xlfn.XLOOKUP(PAA_4[[#This Row],[ITEM]],[2]Contrato!A:A,[2]Contrato!T:T,"",0)</f>
        <v>#NAME?</v>
      </c>
      <c r="AB1793" s="55" t="e">
        <f ca="1">+MAX(PAA_4[[#This Row],[Comprometido Contrato]],PAA_4[[#This Row],[Comprometido Bolsa]])</f>
        <v>#NAME?</v>
      </c>
      <c r="AC1793" s="55" t="str">
        <f t="shared" ca="1" si="590"/>
        <v/>
      </c>
      <c r="AD1793" s="55" t="e">
        <f ca="1">IF(PAA_4[[#This Row],[ESTADO (formulado)]]="NO CONTRATADO",0,MAX(PAA_4[[#This Row],[Pago por Contrato]],PAA_4[[#This Row],[Pago por bolsa]]))</f>
        <v>#NAME?</v>
      </c>
      <c r="AE1793" s="55" t="str">
        <f t="shared" ca="1" si="591"/>
        <v/>
      </c>
      <c r="AF1793" s="47" t="e">
        <f t="shared" ca="1" si="592"/>
        <v>#NAME?</v>
      </c>
      <c r="AG1793" s="47">
        <f t="shared" si="593"/>
        <v>52011001</v>
      </c>
      <c r="AH1793" s="54">
        <f>IF(Q1793="22",IF(ISNUMBER(SEARCH("econ",PAA_4[[#This Row],[Actividad3]])),"Económico",IF(ISNUMBER(SEARCH("alim",PAA_4[[#This Row],[Actividad3]])),"Alimentación",IF(ISNUMBER(SEARCH("educ",PAA_4[[#This Row],[Actividad3]])),"Educativo","Técnico"))),0)</f>
        <v>0</v>
      </c>
      <c r="AI1793" s="47" t="e" cm="1">
        <f t="array" aca="1" ref="AI1793" ca="1">_xlfn.XLOOKUP(PAA_4[[#This Row],[RCP-RUBRO]],[2]!COMPROMISOS_2024[[#All],[concatenado]],[2]!COMPROMISOS_2024[[#All],[Total pagado]],"",0)</f>
        <v>#NAME?</v>
      </c>
      <c r="AJ1793" s="56">
        <f>IF(PAA_4[[#This Row],[BOLSA]]=0,0,SUMIFS([2]!COMPROMISOS_2024[[#All],[Total pagado]],[2]!COMPROMISOS_2024[[#All],[Bolsa]],PAA_4[[#This Row],[BOLSA]],[2]!COMPROMISOS_2024[[#All],[rubro]],PAA_4[[#This Row],[RCP-RUBRO]]))</f>
        <v>0</v>
      </c>
      <c r="AK1793" s="47" t="e" cm="1">
        <f t="array" aca="1" ref="AK1793" ca="1">_xlfn.XLOOKUP(PAA_4[[#This Row],[RCP-RUBRO]],[2]!COMPROMISOS_2024[[#All],[concatenado]],[2]!COMPROMISOS_2024[[#All],[Total Comprometido]],"",0)</f>
        <v>#NAME?</v>
      </c>
      <c r="AL1793" s="47">
        <f>IF(PAA_4[[#This Row],[BOLSA]]=0,0,SUMIFS([2]!COMPROMISOS_2024[[#All],[Total Comprometido]],[2]!COMPROMISOS_2024[[#All],[Bolsa]],PAA_4[[#This Row],[BOLSA]],[2]!COMPROMISOS_2024[[#All],[concatenado]],PAA_4[[#This Row],[RCP-RUBRO]]))</f>
        <v>0</v>
      </c>
    </row>
    <row r="1794" spans="1:38" s="19" customFormat="1" ht="31.5" customHeight="1">
      <c r="A1794" s="47">
        <v>1122</v>
      </c>
      <c r="B1794" s="47">
        <v>80161500</v>
      </c>
      <c r="C1794" s="47" t="str">
        <f>VLOOKUP(PAA_4[[#This Row],[PROYECTO (formulado)2]],[2]PROYECTOS!$G$1:$L$32,6,0)</f>
        <v>SUBGERENCIA ADMINISTRATIVA Y FINANCIERA</v>
      </c>
      <c r="D1794" s="47" t="str">
        <f>+IF(PAA_4[[#This Row],[UNIDAD DE CONTRATACION (formulado)]]="Subgerencia Administrativa y Financiera","FUNCIONAMIENTO","INVERSIÓN")</f>
        <v>FUNCIONAMIENTO</v>
      </c>
      <c r="E1794" s="48" t="str">
        <f>VLOOKUP(Q1794,[2]PROYECTOS!$G$1:$K$32,5,0)</f>
        <v>Fortalecimiento de los sistemas de información y la gestión estratégica para el deporte, la recreación y la actividad física de Antioquia</v>
      </c>
      <c r="F1794" s="48">
        <f>VLOOKUP(E1794,[2]PROYECTOS!$K$1:$M$32,3,0)</f>
        <v>2024003050077</v>
      </c>
      <c r="G1794" s="49" t="s">
        <v>2071</v>
      </c>
      <c r="H1794" s="49" t="str">
        <f>VLOOKUP(Q1794,[2]PROYECTOS!$V$1:$W$32,2,0)</f>
        <v>220387</v>
      </c>
      <c r="I1794" s="78">
        <v>600000000</v>
      </c>
      <c r="J1794" s="51" t="s">
        <v>2068</v>
      </c>
      <c r="K1794" s="47" t="str">
        <f t="shared" ca="1" si="587"/>
        <v>CONTRATADO</v>
      </c>
      <c r="L1794" s="47" t="s">
        <v>94</v>
      </c>
      <c r="M1794" s="47" t="s">
        <v>89</v>
      </c>
      <c r="N1794" s="52" t="s">
        <v>2069</v>
      </c>
      <c r="O1794" s="51" t="e">
        <f>VLOOKUP(N1794,[2]!RUBROS[#All],3,0)</f>
        <v>#REF!</v>
      </c>
      <c r="P1794" s="53" t="e">
        <f>VLOOKUP(N1794,[2]!RUBROS[#All],2,0)</f>
        <v>#REF!</v>
      </c>
      <c r="Q1794" s="47" t="str">
        <f t="shared" si="588"/>
        <v>77</v>
      </c>
      <c r="R1794" s="47" t="str">
        <f t="shared" si="589"/>
        <v>0-101024</v>
      </c>
      <c r="S1794" s="339">
        <v>105</v>
      </c>
      <c r="T1794" s="59" t="s">
        <v>120</v>
      </c>
      <c r="U1794" s="326" t="e">
        <f ca="1">_xlfn.XLOOKUP(PAA_4[[#This Row],[ITEM]],[2]Contrato!A:A,[2]Contrato!Q:Q,"",0)</f>
        <v>#NAME?</v>
      </c>
      <c r="V1794" s="47" t="s">
        <v>95</v>
      </c>
      <c r="W1794" s="47" t="s">
        <v>203</v>
      </c>
      <c r="X1794" s="47" t="s">
        <v>203</v>
      </c>
      <c r="Y1794" s="55" t="e">
        <f ca="1">_xlfn.XLOOKUP(PAA_4[[#This Row],[ITEM]],[2]Contrato!A:A,[2]Contrato!B:B,"",0)</f>
        <v>#NAME?</v>
      </c>
      <c r="Z1794" s="47" t="e">
        <f ca="1">_xlfn.XLOOKUP(PAA_4[[#This Row],[ITEM]],[2]Contrato!A:A,[2]Contrato!G:G,"",0)</f>
        <v>#NAME?</v>
      </c>
      <c r="AA1794" s="47" t="e">
        <f ca="1">_xlfn.XLOOKUP(PAA_4[[#This Row],[ITEM]],[2]Contrato!A:A,[2]Contrato!T:T,"",0)</f>
        <v>#NAME?</v>
      </c>
      <c r="AB1794" s="55" t="e">
        <f ca="1">+MAX(PAA_4[[#This Row],[Comprometido Contrato]],PAA_4[[#This Row],[Comprometido Bolsa]])</f>
        <v>#NAME?</v>
      </c>
      <c r="AC1794" s="55" t="str">
        <f t="shared" ca="1" si="590"/>
        <v/>
      </c>
      <c r="AD1794" s="55" t="e">
        <f ca="1">IF(PAA_4[[#This Row],[ESTADO (formulado)]]="NO CONTRATADO",0,MAX(PAA_4[[#This Row],[Pago por Contrato]],PAA_4[[#This Row],[Pago por bolsa]]))</f>
        <v>#NAME?</v>
      </c>
      <c r="AE1794" s="55" t="str">
        <f t="shared" ca="1" si="591"/>
        <v/>
      </c>
      <c r="AF1794" s="47" t="e">
        <f t="shared" ca="1" si="592"/>
        <v>#NAME?</v>
      </c>
      <c r="AG1794" s="47">
        <f t="shared" si="593"/>
        <v>52011001</v>
      </c>
      <c r="AH1794" s="54">
        <f>IF(Q1794="22",IF(ISNUMBER(SEARCH("econ",PAA_4[[#This Row],[Actividad3]])),"Económico",IF(ISNUMBER(SEARCH("alim",PAA_4[[#This Row],[Actividad3]])),"Alimentación",IF(ISNUMBER(SEARCH("educ",PAA_4[[#This Row],[Actividad3]])),"Educativo","Técnico"))),0)</f>
        <v>0</v>
      </c>
      <c r="AI1794" s="47" t="e" cm="1">
        <f t="array" aca="1" ref="AI1794" ca="1">_xlfn.XLOOKUP(PAA_4[[#This Row],[RCP-RUBRO]],[2]!COMPROMISOS_2024[[#All],[concatenado]],[2]!COMPROMISOS_2024[[#All],[Total pagado]],"",0)</f>
        <v>#NAME?</v>
      </c>
      <c r="AJ1794" s="56">
        <f>IF(PAA_4[[#This Row],[BOLSA]]=0,0,SUMIFS([2]!COMPROMISOS_2024[[#All],[Total pagado]],[2]!COMPROMISOS_2024[[#All],[Bolsa]],PAA_4[[#This Row],[BOLSA]],[2]!COMPROMISOS_2024[[#All],[rubro]],PAA_4[[#This Row],[RCP-RUBRO]]))</f>
        <v>0</v>
      </c>
      <c r="AK1794" s="47" t="e" cm="1">
        <f t="array" aca="1" ref="AK1794" ca="1">_xlfn.XLOOKUP(PAA_4[[#This Row],[RCP-RUBRO]],[2]!COMPROMISOS_2024[[#All],[concatenado]],[2]!COMPROMISOS_2024[[#All],[Total Comprometido]],"",0)</f>
        <v>#NAME?</v>
      </c>
      <c r="AL1794" s="47">
        <f>IF(PAA_4[[#This Row],[BOLSA]]=0,0,SUMIFS([2]!COMPROMISOS_2024[[#All],[Total Comprometido]],[2]!COMPROMISOS_2024[[#All],[Bolsa]],PAA_4[[#This Row],[BOLSA]],[2]!COMPROMISOS_2024[[#All],[concatenado]],PAA_4[[#This Row],[RCP-RUBRO]]))</f>
        <v>0</v>
      </c>
    </row>
    <row r="1795" spans="1:38" s="377" customFormat="1" ht="31.5" customHeight="1">
      <c r="A1795" s="47" t="s">
        <v>82</v>
      </c>
      <c r="B1795" s="47" t="s">
        <v>42</v>
      </c>
      <c r="C1795" s="47" t="str">
        <f>VLOOKUP(PAA_4[[#This Row],[PROYECTO (formulado)2]],[2]PROYECTOS!$G$1:$L$32,6,0)</f>
        <v>SUBGERENCIA ADMINISTRATIVA Y FINANCIERA</v>
      </c>
      <c r="D1795" s="47" t="str">
        <f>+IF(PAA_4[[#This Row],[UNIDAD DE CONTRATACION (formulado)]]="Subgerencia Administrativa y Financiera","FUNCIONAMIENTO","INVERSIÓN")</f>
        <v>FUNCIONAMIENTO</v>
      </c>
      <c r="E1795" s="48" t="str">
        <f>VLOOKUP(Q1795,[2]PROYECTOS!$G$1:$K$32,5,0)</f>
        <v>Fortalecimiento de los sistemas de información y la gestión estratégica para el deporte, la recreación y la actividad física de Antioquia</v>
      </c>
      <c r="F1795" s="48">
        <f>VLOOKUP(E1795,[2]PROYECTOS!$K$1:$M$32,3,0)</f>
        <v>2024003050077</v>
      </c>
      <c r="G1795" s="49" t="s">
        <v>1456</v>
      </c>
      <c r="H1795" s="49" t="str">
        <f>VLOOKUP(Q1795,[2]PROYECTOS!$V$1:$W$32,2,0)</f>
        <v>220387</v>
      </c>
      <c r="I1795" s="78">
        <v>0</v>
      </c>
      <c r="J1795" s="51" t="s">
        <v>2061</v>
      </c>
      <c r="K1795" s="47" t="str">
        <f t="shared" ca="1" si="587"/>
        <v>CONTRATADO</v>
      </c>
      <c r="L1795" s="47" t="s">
        <v>42</v>
      </c>
      <c r="M1795" s="47" t="s">
        <v>42</v>
      </c>
      <c r="N1795" s="52" t="s">
        <v>1454</v>
      </c>
      <c r="O1795" s="51" t="e">
        <f>VLOOKUP(N1795,[2]!RUBROS[#All],3,0)</f>
        <v>#REF!</v>
      </c>
      <c r="P1795" s="53" t="e">
        <f>VLOOKUP(N1795,[2]!RUBROS[#All],2,0)</f>
        <v>#REF!</v>
      </c>
      <c r="Q1795" s="47" t="str">
        <f t="shared" si="588"/>
        <v>77</v>
      </c>
      <c r="R1795" s="47" t="str">
        <f t="shared" si="589"/>
        <v>0-205128</v>
      </c>
      <c r="S1795" s="339" t="s">
        <v>42</v>
      </c>
      <c r="T1795" s="59" t="s">
        <v>42</v>
      </c>
      <c r="U1795" s="326" t="e">
        <f ca="1">_xlfn.XLOOKUP(PAA_4[[#This Row],[ITEM]],[2]Contrato!A:A,[2]Contrato!Q:Q,"",0)</f>
        <v>#NAME?</v>
      </c>
      <c r="V1795" s="47" t="s">
        <v>95</v>
      </c>
      <c r="W1795" s="47" t="s">
        <v>42</v>
      </c>
      <c r="X1795" s="47" t="s">
        <v>42</v>
      </c>
      <c r="Y1795" s="55" t="e">
        <f ca="1">_xlfn.XLOOKUP(PAA_4[[#This Row],[ITEM]],[2]Contrato!A:A,[2]Contrato!B:B,"",0)</f>
        <v>#NAME?</v>
      </c>
      <c r="Z1795" s="47" t="e">
        <f ca="1">_xlfn.XLOOKUP(PAA_4[[#This Row],[ITEM]],[2]Contrato!A:A,[2]Contrato!G:G,"",0)</f>
        <v>#NAME?</v>
      </c>
      <c r="AA1795" s="47" t="e">
        <f ca="1">_xlfn.XLOOKUP(PAA_4[[#This Row],[ITEM]],[2]Contrato!A:A,[2]Contrato!T:T,"",0)</f>
        <v>#NAME?</v>
      </c>
      <c r="AB1795" s="55" t="e">
        <f ca="1">+MAX(PAA_4[[#This Row],[Comprometido Contrato]],PAA_4[[#This Row],[Comprometido Bolsa]])</f>
        <v>#NAME?</v>
      </c>
      <c r="AC1795" s="55" t="str">
        <f t="shared" ca="1" si="590"/>
        <v/>
      </c>
      <c r="AD1795" s="55" t="e">
        <f ca="1">IF(PAA_4[[#This Row],[ESTADO (formulado)]]="NO CONTRATADO",0,MAX(PAA_4[[#This Row],[Pago por Contrato]],PAA_4[[#This Row],[Pago por bolsa]]))</f>
        <v>#NAME?</v>
      </c>
      <c r="AE1795" s="55" t="str">
        <f t="shared" ca="1" si="591"/>
        <v/>
      </c>
      <c r="AF1795" s="47" t="e">
        <f t="shared" ca="1" si="592"/>
        <v>#NAME?</v>
      </c>
      <c r="AG1795" s="47">
        <f t="shared" si="593"/>
        <v>52011001</v>
      </c>
      <c r="AH1795" s="54">
        <f>IF(Q1795="22",IF(ISNUMBER(SEARCH("econ",PAA_4[[#This Row],[Actividad3]])),"Económico",IF(ISNUMBER(SEARCH("alim",PAA_4[[#This Row],[Actividad3]])),"Alimentación",IF(ISNUMBER(SEARCH("educ",PAA_4[[#This Row],[Actividad3]])),"Educativo","Técnico"))),0)</f>
        <v>0</v>
      </c>
      <c r="AI1795" s="47" t="e" cm="1">
        <f t="array" aca="1" ref="AI1795" ca="1">_xlfn.XLOOKUP(PAA_4[[#This Row],[RCP-RUBRO]],[2]!COMPROMISOS_2024[[#All],[concatenado]],[2]!COMPROMISOS_2024[[#All],[Total pagado]],"",0)</f>
        <v>#NAME?</v>
      </c>
      <c r="AJ1795" s="56">
        <f>IF(PAA_4[[#This Row],[BOLSA]]=0,0,SUMIFS([2]!COMPROMISOS_2024[[#All],[Total pagado]],[2]!COMPROMISOS_2024[[#All],[Bolsa]],PAA_4[[#This Row],[BOLSA]],[2]!COMPROMISOS_2024[[#All],[rubro]],PAA_4[[#This Row],[RCP-RUBRO]]))</f>
        <v>0</v>
      </c>
      <c r="AK1795" s="47" t="e" cm="1">
        <f t="array" aca="1" ref="AK1795" ca="1">_xlfn.XLOOKUP(PAA_4[[#This Row],[RCP-RUBRO]],[2]!COMPROMISOS_2024[[#All],[concatenado]],[2]!COMPROMISOS_2024[[#All],[Total Comprometido]],"",0)</f>
        <v>#NAME?</v>
      </c>
      <c r="AL1795" s="47">
        <f>IF(PAA_4[[#This Row],[BOLSA]]=0,0,SUMIFS([2]!COMPROMISOS_2024[[#All],[Total Comprometido]],[2]!COMPROMISOS_2024[[#All],[Bolsa]],PAA_4[[#This Row],[BOLSA]],[2]!COMPROMISOS_2024[[#All],[concatenado]],PAA_4[[#This Row],[RCP-RUBRO]]))</f>
        <v>0</v>
      </c>
    </row>
    <row r="1796" spans="1:38" s="377" customFormat="1" ht="31.5" customHeight="1">
      <c r="A1796" s="47" t="s">
        <v>82</v>
      </c>
      <c r="B1796" s="47" t="s">
        <v>42</v>
      </c>
      <c r="C1796" s="47" t="str">
        <f>VLOOKUP(PAA_4[[#This Row],[PROYECTO (formulado)2]],[2]PROYECTOS!$G$1:$L$32,6,0)</f>
        <v>SUBGERENCIA ADMINISTRATIVA Y FINANCIERA</v>
      </c>
      <c r="D1796" s="47" t="str">
        <f>+IF(PAA_4[[#This Row],[UNIDAD DE CONTRATACION (formulado)]]="Subgerencia Administrativa y Financiera","FUNCIONAMIENTO","INVERSIÓN")</f>
        <v>FUNCIONAMIENTO</v>
      </c>
      <c r="E1796" s="48" t="str">
        <f>VLOOKUP(Q1796,[2]PROYECTOS!$G$1:$K$32,5,0)</f>
        <v>Fortalecimiento de los sistemas de información y la gestión estratégica para el deporte, la recreación y la actividad física de Antioquia</v>
      </c>
      <c r="F1796" s="48">
        <f>VLOOKUP(E1796,[2]PROYECTOS!$K$1:$M$32,3,0)</f>
        <v>2024003050077</v>
      </c>
      <c r="G1796" s="49" t="s">
        <v>1455</v>
      </c>
      <c r="H1796" s="49" t="str">
        <f>VLOOKUP(Q1796,[2]PROYECTOS!$V$1:$W$32,2,0)</f>
        <v>220387</v>
      </c>
      <c r="I1796" s="78">
        <v>0</v>
      </c>
      <c r="J1796" s="51" t="s">
        <v>2061</v>
      </c>
      <c r="K1796" s="47" t="str">
        <f t="shared" ca="1" si="587"/>
        <v>CONTRATADO</v>
      </c>
      <c r="L1796" s="47" t="s">
        <v>42</v>
      </c>
      <c r="M1796" s="47" t="s">
        <v>42</v>
      </c>
      <c r="N1796" s="52" t="s">
        <v>1454</v>
      </c>
      <c r="O1796" s="51" t="e">
        <f>VLOOKUP(N1796,[2]!RUBROS[#All],3,0)</f>
        <v>#REF!</v>
      </c>
      <c r="P1796" s="53" t="e">
        <f>VLOOKUP(N1796,[2]!RUBROS[#All],2,0)</f>
        <v>#REF!</v>
      </c>
      <c r="Q1796" s="47" t="str">
        <f t="shared" si="588"/>
        <v>77</v>
      </c>
      <c r="R1796" s="47" t="str">
        <f t="shared" si="589"/>
        <v>0-205128</v>
      </c>
      <c r="S1796" s="339" t="s">
        <v>42</v>
      </c>
      <c r="T1796" s="59" t="s">
        <v>42</v>
      </c>
      <c r="U1796" s="326" t="e">
        <f ca="1">_xlfn.XLOOKUP(PAA_4[[#This Row],[ITEM]],[2]Contrato!A:A,[2]Contrato!Q:Q,"",0)</f>
        <v>#NAME?</v>
      </c>
      <c r="V1796" s="47" t="s">
        <v>95</v>
      </c>
      <c r="W1796" s="47" t="s">
        <v>42</v>
      </c>
      <c r="X1796" s="47" t="s">
        <v>42</v>
      </c>
      <c r="Y1796" s="55" t="e">
        <f ca="1">_xlfn.XLOOKUP(PAA_4[[#This Row],[ITEM]],[2]Contrato!A:A,[2]Contrato!B:B,"",0)</f>
        <v>#NAME?</v>
      </c>
      <c r="Z1796" s="47" t="e">
        <f ca="1">_xlfn.XLOOKUP(PAA_4[[#This Row],[ITEM]],[2]Contrato!A:A,[2]Contrato!G:G,"",0)</f>
        <v>#NAME?</v>
      </c>
      <c r="AA1796" s="47" t="e">
        <f ca="1">_xlfn.XLOOKUP(PAA_4[[#This Row],[ITEM]],[2]Contrato!A:A,[2]Contrato!T:T,"",0)</f>
        <v>#NAME?</v>
      </c>
      <c r="AB1796" s="55" t="e">
        <f ca="1">+MAX(PAA_4[[#This Row],[Comprometido Contrato]],PAA_4[[#This Row],[Comprometido Bolsa]])</f>
        <v>#NAME?</v>
      </c>
      <c r="AC1796" s="55" t="str">
        <f t="shared" ca="1" si="590"/>
        <v/>
      </c>
      <c r="AD1796" s="55" t="e">
        <f ca="1">IF(PAA_4[[#This Row],[ESTADO (formulado)]]="NO CONTRATADO",0,MAX(PAA_4[[#This Row],[Pago por Contrato]],PAA_4[[#This Row],[Pago por bolsa]]))</f>
        <v>#NAME?</v>
      </c>
      <c r="AE1796" s="55" t="str">
        <f t="shared" ca="1" si="591"/>
        <v/>
      </c>
      <c r="AF1796" s="47" t="e">
        <f t="shared" ca="1" si="592"/>
        <v>#NAME?</v>
      </c>
      <c r="AG1796" s="47">
        <f t="shared" si="593"/>
        <v>52011001</v>
      </c>
      <c r="AH1796" s="54">
        <f>IF(Q1796="22",IF(ISNUMBER(SEARCH("econ",PAA_4[[#This Row],[Actividad3]])),"Económico",IF(ISNUMBER(SEARCH("alim",PAA_4[[#This Row],[Actividad3]])),"Alimentación",IF(ISNUMBER(SEARCH("educ",PAA_4[[#This Row],[Actividad3]])),"Educativo","Técnico"))),0)</f>
        <v>0</v>
      </c>
      <c r="AI1796" s="47" t="e" cm="1">
        <f t="array" aca="1" ref="AI1796" ca="1">_xlfn.XLOOKUP(PAA_4[[#This Row],[RCP-RUBRO]],[2]!COMPROMISOS_2024[[#All],[concatenado]],[2]!COMPROMISOS_2024[[#All],[Total pagado]],"",0)</f>
        <v>#NAME?</v>
      </c>
      <c r="AJ1796" s="56">
        <f>IF(PAA_4[[#This Row],[BOLSA]]=0,0,SUMIFS([2]!COMPROMISOS_2024[[#All],[Total pagado]],[2]!COMPROMISOS_2024[[#All],[Bolsa]],PAA_4[[#This Row],[BOLSA]],[2]!COMPROMISOS_2024[[#All],[rubro]],PAA_4[[#This Row],[RCP-RUBRO]]))</f>
        <v>0</v>
      </c>
      <c r="AK1796" s="47" t="e" cm="1">
        <f t="array" aca="1" ref="AK1796" ca="1">_xlfn.XLOOKUP(PAA_4[[#This Row],[RCP-RUBRO]],[2]!COMPROMISOS_2024[[#All],[concatenado]],[2]!COMPROMISOS_2024[[#All],[Total Comprometido]],"",0)</f>
        <v>#NAME?</v>
      </c>
      <c r="AL1796" s="47">
        <f>IF(PAA_4[[#This Row],[BOLSA]]=0,0,SUMIFS([2]!COMPROMISOS_2024[[#All],[Total Comprometido]],[2]!COMPROMISOS_2024[[#All],[Bolsa]],PAA_4[[#This Row],[BOLSA]],[2]!COMPROMISOS_2024[[#All],[concatenado]],PAA_4[[#This Row],[RCP-RUBRO]]))</f>
        <v>0</v>
      </c>
    </row>
    <row r="1797" spans="1:38" s="377" customFormat="1" ht="31.5" customHeight="1">
      <c r="A1797" s="47" t="s">
        <v>82</v>
      </c>
      <c r="B1797" s="47" t="s">
        <v>42</v>
      </c>
      <c r="C1797" s="47" t="str">
        <f>VLOOKUP(PAA_4[[#This Row],[PROYECTO (formulado)2]],[2]PROYECTOS!$G$1:$L$32,6,0)</f>
        <v>SUBGERENCIA ADMINISTRATIVA Y FINANCIERA</v>
      </c>
      <c r="D1797" s="47" t="str">
        <f>+IF(PAA_4[[#This Row],[UNIDAD DE CONTRATACION (formulado)]]="Subgerencia Administrativa y Financiera","FUNCIONAMIENTO","INVERSIÓN")</f>
        <v>FUNCIONAMIENTO</v>
      </c>
      <c r="E1797" s="48" t="str">
        <f>VLOOKUP(Q1797,[2]PROYECTOS!$G$1:$K$32,5,0)</f>
        <v>Fortalecimiento de los sistemas de información y la gestión estratégica para el deporte, la recreación y la actividad física de Antioquia</v>
      </c>
      <c r="F1797" s="48">
        <f>VLOOKUP(E1797,[2]PROYECTOS!$K$1:$M$32,3,0)</f>
        <v>2024003050077</v>
      </c>
      <c r="G1797" s="49" t="s">
        <v>1453</v>
      </c>
      <c r="H1797" s="49" t="str">
        <f>VLOOKUP(Q1797,[2]PROYECTOS!$V$1:$W$32,2,0)</f>
        <v>220387</v>
      </c>
      <c r="I1797" s="78">
        <v>0</v>
      </c>
      <c r="J1797" s="51" t="s">
        <v>2061</v>
      </c>
      <c r="K1797" s="47" t="str">
        <f t="shared" ca="1" si="587"/>
        <v>CONTRATADO</v>
      </c>
      <c r="L1797" s="47" t="s">
        <v>42</v>
      </c>
      <c r="M1797" s="47" t="s">
        <v>42</v>
      </c>
      <c r="N1797" s="52" t="s">
        <v>1454</v>
      </c>
      <c r="O1797" s="51" t="e">
        <f>VLOOKUP(N1797,[2]!RUBROS[#All],3,0)</f>
        <v>#REF!</v>
      </c>
      <c r="P1797" s="53" t="e">
        <f>VLOOKUP(N1797,[2]!RUBROS[#All],2,0)</f>
        <v>#REF!</v>
      </c>
      <c r="Q1797" s="47" t="str">
        <f t="shared" si="588"/>
        <v>77</v>
      </c>
      <c r="R1797" s="47" t="str">
        <f t="shared" si="589"/>
        <v>0-205128</v>
      </c>
      <c r="S1797" s="339" t="s">
        <v>42</v>
      </c>
      <c r="T1797" s="59" t="s">
        <v>42</v>
      </c>
      <c r="U1797" s="326" t="e">
        <f ca="1">_xlfn.XLOOKUP(PAA_4[[#This Row],[ITEM]],[2]Contrato!A:A,[2]Contrato!Q:Q,"",0)</f>
        <v>#NAME?</v>
      </c>
      <c r="V1797" s="47" t="s">
        <v>95</v>
      </c>
      <c r="W1797" s="47" t="s">
        <v>42</v>
      </c>
      <c r="X1797" s="47" t="s">
        <v>42</v>
      </c>
      <c r="Y1797" s="55" t="e">
        <f ca="1">_xlfn.XLOOKUP(PAA_4[[#This Row],[ITEM]],[2]Contrato!A:A,[2]Contrato!B:B,"",0)</f>
        <v>#NAME?</v>
      </c>
      <c r="Z1797" s="47" t="e">
        <f ca="1">_xlfn.XLOOKUP(PAA_4[[#This Row],[ITEM]],[2]Contrato!A:A,[2]Contrato!G:G,"",0)</f>
        <v>#NAME?</v>
      </c>
      <c r="AA1797" s="47" t="e">
        <f ca="1">_xlfn.XLOOKUP(PAA_4[[#This Row],[ITEM]],[2]Contrato!A:A,[2]Contrato!T:T,"",0)</f>
        <v>#NAME?</v>
      </c>
      <c r="AB1797" s="55" t="e">
        <f ca="1">+MAX(PAA_4[[#This Row],[Comprometido Contrato]],PAA_4[[#This Row],[Comprometido Bolsa]])</f>
        <v>#NAME?</v>
      </c>
      <c r="AC1797" s="55" t="str">
        <f t="shared" ca="1" si="590"/>
        <v/>
      </c>
      <c r="AD1797" s="55" t="e">
        <f ca="1">IF(PAA_4[[#This Row],[ESTADO (formulado)]]="NO CONTRATADO",0,MAX(PAA_4[[#This Row],[Pago por Contrato]],PAA_4[[#This Row],[Pago por bolsa]]))</f>
        <v>#NAME?</v>
      </c>
      <c r="AE1797" s="55" t="str">
        <f t="shared" ca="1" si="591"/>
        <v/>
      </c>
      <c r="AF1797" s="47" t="e">
        <f t="shared" ca="1" si="592"/>
        <v>#NAME?</v>
      </c>
      <c r="AG1797" s="47">
        <f t="shared" si="593"/>
        <v>52011001</v>
      </c>
      <c r="AH1797" s="54">
        <f>IF(Q1797="22",IF(ISNUMBER(SEARCH("econ",PAA_4[[#This Row],[Actividad3]])),"Económico",IF(ISNUMBER(SEARCH("alim",PAA_4[[#This Row],[Actividad3]])),"Alimentación",IF(ISNUMBER(SEARCH("educ",PAA_4[[#This Row],[Actividad3]])),"Educativo","Técnico"))),0)</f>
        <v>0</v>
      </c>
      <c r="AI1797" s="47" t="e" cm="1">
        <f t="array" aca="1" ref="AI1797" ca="1">_xlfn.XLOOKUP(PAA_4[[#This Row],[RCP-RUBRO]],[2]!COMPROMISOS_2024[[#All],[concatenado]],[2]!COMPROMISOS_2024[[#All],[Total pagado]],"",0)</f>
        <v>#NAME?</v>
      </c>
      <c r="AJ1797" s="56">
        <f>IF(PAA_4[[#This Row],[BOLSA]]=0,0,SUMIFS([2]!COMPROMISOS_2024[[#All],[Total pagado]],[2]!COMPROMISOS_2024[[#All],[Bolsa]],PAA_4[[#This Row],[BOLSA]],[2]!COMPROMISOS_2024[[#All],[rubro]],PAA_4[[#This Row],[RCP-RUBRO]]))</f>
        <v>0</v>
      </c>
      <c r="AK1797" s="47" t="e" cm="1">
        <f t="array" aca="1" ref="AK1797" ca="1">_xlfn.XLOOKUP(PAA_4[[#This Row],[RCP-RUBRO]],[2]!COMPROMISOS_2024[[#All],[concatenado]],[2]!COMPROMISOS_2024[[#All],[Total Comprometido]],"",0)</f>
        <v>#NAME?</v>
      </c>
      <c r="AL1797" s="47">
        <f>IF(PAA_4[[#This Row],[BOLSA]]=0,0,SUMIFS([2]!COMPROMISOS_2024[[#All],[Total Comprometido]],[2]!COMPROMISOS_2024[[#All],[Bolsa]],PAA_4[[#This Row],[BOLSA]],[2]!COMPROMISOS_2024[[#All],[concatenado]],PAA_4[[#This Row],[RCP-RUBRO]]))</f>
        <v>0</v>
      </c>
    </row>
    <row r="1798" spans="1:38" s="19" customFormat="1" ht="31.5" customHeight="1">
      <c r="A1798" s="47">
        <v>1116</v>
      </c>
      <c r="B1798" s="47">
        <v>80161500</v>
      </c>
      <c r="C1798" s="47" t="str">
        <f>VLOOKUP(PAA_4[[#This Row],[PROYECTO (formulado)2]],[2]PROYECTOS!$G$1:$L$32,6,0)</f>
        <v>SUBGERENCIA ADMINISTRATIVA Y FINANCIERA</v>
      </c>
      <c r="D1798" s="47" t="str">
        <f>+IF(PAA_4[[#This Row],[UNIDAD DE CONTRATACION (formulado)]]="Subgerencia Administrativa y Financiera","FUNCIONAMIENTO","INVERSIÓN")</f>
        <v>FUNCIONAMIENTO</v>
      </c>
      <c r="E1798" s="48" t="str">
        <f>VLOOKUP(Q1798,[2]PROYECTOS!$G$1:$K$32,5,0)</f>
        <v>Fortalecimiento de los sistemas de información y la gestión estratégica para el deporte, la recreación y la actividad física de Antioquia</v>
      </c>
      <c r="F1798" s="48">
        <f>VLOOKUP(E1798,[2]PROYECTOS!$K$1:$M$32,3,0)</f>
        <v>2024003050077</v>
      </c>
      <c r="G1798" s="49" t="s">
        <v>1453</v>
      </c>
      <c r="H1798" s="49" t="str">
        <f>VLOOKUP(Q1798,[2]PROYECTOS!$V$1:$W$32,2,0)</f>
        <v>220387</v>
      </c>
      <c r="I1798" s="78">
        <f>34894810-2180926</f>
        <v>32713884</v>
      </c>
      <c r="J1798" s="51" t="s">
        <v>2072</v>
      </c>
      <c r="K1798" s="47" t="str">
        <f t="shared" ca="1" si="587"/>
        <v>CONTRATADO</v>
      </c>
      <c r="L1798" s="47" t="s">
        <v>94</v>
      </c>
      <c r="M1798" s="47" t="s">
        <v>1297</v>
      </c>
      <c r="N1798" s="52" t="s">
        <v>1454</v>
      </c>
      <c r="O1798" s="51" t="e">
        <f>VLOOKUP(N1798,[2]!RUBROS[#All],3,0)</f>
        <v>#REF!</v>
      </c>
      <c r="P1798" s="53" t="e">
        <f>VLOOKUP(N1798,[2]!RUBROS[#All],2,0)</f>
        <v>#REF!</v>
      </c>
      <c r="Q1798" s="47" t="str">
        <f t="shared" si="588"/>
        <v>77</v>
      </c>
      <c r="R1798" s="47" t="str">
        <f t="shared" si="589"/>
        <v>0-205128</v>
      </c>
      <c r="S1798" s="339">
        <v>112</v>
      </c>
      <c r="T1798" s="59" t="s">
        <v>120</v>
      </c>
      <c r="U1798" s="326" t="e">
        <f ca="1">_xlfn.XLOOKUP(PAA_4[[#This Row],[ITEM]],[2]Contrato!A:A,[2]Contrato!Q:Q,"",0)</f>
        <v>#NAME?</v>
      </c>
      <c r="V1798" s="47" t="s">
        <v>95</v>
      </c>
      <c r="W1798" s="47" t="s">
        <v>203</v>
      </c>
      <c r="X1798" s="47" t="s">
        <v>203</v>
      </c>
      <c r="Y1798" s="55" t="e">
        <f ca="1">_xlfn.XLOOKUP(PAA_4[[#This Row],[ITEM]],[2]Contrato!A:A,[2]Contrato!B:B,"",0)</f>
        <v>#NAME?</v>
      </c>
      <c r="Z1798" s="47" t="e">
        <f ca="1">_xlfn.XLOOKUP(PAA_4[[#This Row],[ITEM]],[2]Contrato!A:A,[2]Contrato!G:G,"",0)</f>
        <v>#NAME?</v>
      </c>
      <c r="AA1798" s="47" t="e">
        <f ca="1">_xlfn.XLOOKUP(PAA_4[[#This Row],[ITEM]],[2]Contrato!A:A,[2]Contrato!T:T,"",0)</f>
        <v>#NAME?</v>
      </c>
      <c r="AB1798" s="55" t="e">
        <f ca="1">+MAX(PAA_4[[#This Row],[Comprometido Contrato]],PAA_4[[#This Row],[Comprometido Bolsa]])</f>
        <v>#NAME?</v>
      </c>
      <c r="AC1798" s="55" t="str">
        <f t="shared" ca="1" si="590"/>
        <v/>
      </c>
      <c r="AD1798" s="55" t="e">
        <f ca="1">IF(PAA_4[[#This Row],[ESTADO (formulado)]]="NO CONTRATADO",0,MAX(PAA_4[[#This Row],[Pago por Contrato]],PAA_4[[#This Row],[Pago por bolsa]]))</f>
        <v>#NAME?</v>
      </c>
      <c r="AE1798" s="55" t="str">
        <f t="shared" ca="1" si="591"/>
        <v/>
      </c>
      <c r="AF1798" s="47" t="e">
        <f t="shared" ca="1" si="592"/>
        <v>#NAME?</v>
      </c>
      <c r="AG1798" s="47">
        <f t="shared" si="593"/>
        <v>52011001</v>
      </c>
      <c r="AH1798" s="54">
        <f>IF(Q1798="22",IF(ISNUMBER(SEARCH("econ",PAA_4[[#This Row],[Actividad3]])),"Económico",IF(ISNUMBER(SEARCH("alim",PAA_4[[#This Row],[Actividad3]])),"Alimentación",IF(ISNUMBER(SEARCH("educ",PAA_4[[#This Row],[Actividad3]])),"Educativo","Técnico"))),0)</f>
        <v>0</v>
      </c>
      <c r="AI1798" s="47" t="e" cm="1">
        <f t="array" aca="1" ref="AI1798" ca="1">_xlfn.XLOOKUP(PAA_4[[#This Row],[RCP-RUBRO]],[2]!COMPROMISOS_2024[[#All],[concatenado]],[2]!COMPROMISOS_2024[[#All],[Total pagado]],"",0)</f>
        <v>#NAME?</v>
      </c>
      <c r="AJ1798" s="56">
        <f>IF(PAA_4[[#This Row],[BOLSA]]=0,0,SUMIFS([2]!COMPROMISOS_2024[[#All],[Total pagado]],[2]!COMPROMISOS_2024[[#All],[Bolsa]],PAA_4[[#This Row],[BOLSA]],[2]!COMPROMISOS_2024[[#All],[rubro]],PAA_4[[#This Row],[RCP-RUBRO]]))</f>
        <v>0</v>
      </c>
      <c r="AK1798" s="47" t="e" cm="1">
        <f t="array" aca="1" ref="AK1798" ca="1">_xlfn.XLOOKUP(PAA_4[[#This Row],[RCP-RUBRO]],[2]!COMPROMISOS_2024[[#All],[concatenado]],[2]!COMPROMISOS_2024[[#All],[Total Comprometido]],"",0)</f>
        <v>#NAME?</v>
      </c>
      <c r="AL1798" s="47">
        <f>IF(PAA_4[[#This Row],[BOLSA]]=0,0,SUMIFS([2]!COMPROMISOS_2024[[#All],[Total Comprometido]],[2]!COMPROMISOS_2024[[#All],[Bolsa]],PAA_4[[#This Row],[BOLSA]],[2]!COMPROMISOS_2024[[#All],[concatenado]],PAA_4[[#This Row],[RCP-RUBRO]]))</f>
        <v>0</v>
      </c>
    </row>
    <row r="1799" spans="1:38" s="19" customFormat="1" ht="31.5" customHeight="1">
      <c r="A1799" s="47">
        <v>1117</v>
      </c>
      <c r="B1799" s="47">
        <v>80111600</v>
      </c>
      <c r="C1799" s="47" t="str">
        <f>VLOOKUP(PAA_4[[#This Row],[PROYECTO (formulado)2]],[2]PROYECTOS!$G$1:$L$32,6,0)</f>
        <v>SUBGERENCIA ADMINISTRATIVA Y FINANCIERA</v>
      </c>
      <c r="D1799" s="47" t="str">
        <f>+IF(PAA_4[[#This Row],[UNIDAD DE CONTRATACION (formulado)]]="Subgerencia Administrativa y Financiera","FUNCIONAMIENTO","INVERSIÓN")</f>
        <v>FUNCIONAMIENTO</v>
      </c>
      <c r="E1799" s="48" t="str">
        <f>VLOOKUP(Q1799,[2]PROYECTOS!$G$1:$K$32,5,0)</f>
        <v>Fortalecimiento de los sistemas de información y la gestión estratégica para el deporte, la recreación y la actividad física de Antioquia</v>
      </c>
      <c r="F1799" s="48">
        <f>VLOOKUP(E1799,[2]PROYECTOS!$K$1:$M$32,3,0)</f>
        <v>2024003050077</v>
      </c>
      <c r="G1799" s="49" t="s">
        <v>1455</v>
      </c>
      <c r="H1799" s="49" t="str">
        <f>VLOOKUP(Q1799,[2]PROYECTOS!$V$1:$W$32,2,0)</f>
        <v>220387</v>
      </c>
      <c r="I1799" s="78">
        <f>25978333-2145000</f>
        <v>23833333</v>
      </c>
      <c r="J1799" s="51" t="s">
        <v>2073</v>
      </c>
      <c r="K1799" s="47" t="str">
        <f t="shared" ca="1" si="587"/>
        <v>CONTRATADO</v>
      </c>
      <c r="L1799" s="47" t="s">
        <v>94</v>
      </c>
      <c r="M1799" s="47" t="s">
        <v>1297</v>
      </c>
      <c r="N1799" s="52" t="s">
        <v>1454</v>
      </c>
      <c r="O1799" s="51" t="e">
        <f>VLOOKUP(N1799,[2]!RUBROS[#All],3,0)</f>
        <v>#REF!</v>
      </c>
      <c r="P1799" s="53" t="e">
        <f>VLOOKUP(N1799,[2]!RUBROS[#All],2,0)</f>
        <v>#REF!</v>
      </c>
      <c r="Q1799" s="47" t="str">
        <f t="shared" si="588"/>
        <v>77</v>
      </c>
      <c r="R1799" s="47" t="str">
        <f t="shared" si="589"/>
        <v>0-205128</v>
      </c>
      <c r="S1799" s="339">
        <v>109</v>
      </c>
      <c r="T1799" s="59" t="s">
        <v>120</v>
      </c>
      <c r="U1799" s="326" t="e">
        <f ca="1">_xlfn.XLOOKUP(PAA_4[[#This Row],[ITEM]],[2]Contrato!A:A,[2]Contrato!Q:Q,"",0)</f>
        <v>#NAME?</v>
      </c>
      <c r="V1799" s="47" t="s">
        <v>95</v>
      </c>
      <c r="W1799" s="47" t="s">
        <v>203</v>
      </c>
      <c r="X1799" s="47" t="s">
        <v>203</v>
      </c>
      <c r="Y1799" s="55" t="e">
        <f ca="1">_xlfn.XLOOKUP(PAA_4[[#This Row],[ITEM]],[2]Contrato!A:A,[2]Contrato!B:B,"",0)</f>
        <v>#NAME?</v>
      </c>
      <c r="Z1799" s="47" t="e">
        <f ca="1">_xlfn.XLOOKUP(PAA_4[[#This Row],[ITEM]],[2]Contrato!A:A,[2]Contrato!G:G,"",0)</f>
        <v>#NAME?</v>
      </c>
      <c r="AA1799" s="47" t="e">
        <f ca="1">_xlfn.XLOOKUP(PAA_4[[#This Row],[ITEM]],[2]Contrato!A:A,[2]Contrato!T:T,"",0)</f>
        <v>#NAME?</v>
      </c>
      <c r="AB1799" s="55" t="e">
        <f ca="1">+MAX(PAA_4[[#This Row],[Comprometido Contrato]],PAA_4[[#This Row],[Comprometido Bolsa]])</f>
        <v>#NAME?</v>
      </c>
      <c r="AC1799" s="55" t="str">
        <f t="shared" ca="1" si="590"/>
        <v/>
      </c>
      <c r="AD1799" s="55" t="e">
        <f ca="1">IF(PAA_4[[#This Row],[ESTADO (formulado)]]="NO CONTRATADO",0,MAX(PAA_4[[#This Row],[Pago por Contrato]],PAA_4[[#This Row],[Pago por bolsa]]))</f>
        <v>#NAME?</v>
      </c>
      <c r="AE1799" s="55" t="str">
        <f t="shared" ca="1" si="591"/>
        <v/>
      </c>
      <c r="AF1799" s="47" t="e">
        <f t="shared" ca="1" si="592"/>
        <v>#NAME?</v>
      </c>
      <c r="AG1799" s="47">
        <f t="shared" si="593"/>
        <v>52011001</v>
      </c>
      <c r="AH1799" s="54">
        <f>IF(Q1799="22",IF(ISNUMBER(SEARCH("econ",PAA_4[[#This Row],[Actividad3]])),"Económico",IF(ISNUMBER(SEARCH("alim",PAA_4[[#This Row],[Actividad3]])),"Alimentación",IF(ISNUMBER(SEARCH("educ",PAA_4[[#This Row],[Actividad3]])),"Educativo","Técnico"))),0)</f>
        <v>0</v>
      </c>
      <c r="AI1799" s="47" t="e" cm="1">
        <f t="array" aca="1" ref="AI1799" ca="1">_xlfn.XLOOKUP(PAA_4[[#This Row],[RCP-RUBRO]],[2]!COMPROMISOS_2024[[#All],[concatenado]],[2]!COMPROMISOS_2024[[#All],[Total pagado]],"",0)</f>
        <v>#NAME?</v>
      </c>
      <c r="AJ1799" s="56">
        <f>IF(PAA_4[[#This Row],[BOLSA]]=0,0,SUMIFS([2]!COMPROMISOS_2024[[#All],[Total pagado]],[2]!COMPROMISOS_2024[[#All],[Bolsa]],PAA_4[[#This Row],[BOLSA]],[2]!COMPROMISOS_2024[[#All],[rubro]],PAA_4[[#This Row],[RCP-RUBRO]]))</f>
        <v>0</v>
      </c>
      <c r="AK1799" s="47" t="e" cm="1">
        <f t="array" aca="1" ref="AK1799" ca="1">_xlfn.XLOOKUP(PAA_4[[#This Row],[RCP-RUBRO]],[2]!COMPROMISOS_2024[[#All],[concatenado]],[2]!COMPROMISOS_2024[[#All],[Total Comprometido]],"",0)</f>
        <v>#NAME?</v>
      </c>
      <c r="AL1799" s="47">
        <f>IF(PAA_4[[#This Row],[BOLSA]]=0,0,SUMIFS([2]!COMPROMISOS_2024[[#All],[Total Comprometido]],[2]!COMPROMISOS_2024[[#All],[Bolsa]],PAA_4[[#This Row],[BOLSA]],[2]!COMPROMISOS_2024[[#All],[concatenado]],PAA_4[[#This Row],[RCP-RUBRO]]))</f>
        <v>0</v>
      </c>
    </row>
    <row r="1800" spans="1:38" s="377" customFormat="1" ht="31.5" customHeight="1">
      <c r="A1800" s="47">
        <v>1118</v>
      </c>
      <c r="B1800" s="47">
        <v>80161500</v>
      </c>
      <c r="C1800" s="47" t="str">
        <f>VLOOKUP(PAA_4[[#This Row],[PROYECTO (formulado)2]],[2]PROYECTOS!$G$1:$L$32,6,0)</f>
        <v>SUBGERENCIA ADMINISTRATIVA Y FINANCIERA</v>
      </c>
      <c r="D1800" s="47" t="str">
        <f>+IF(PAA_4[[#This Row],[UNIDAD DE CONTRATACION (formulado)]]="Subgerencia Administrativa y Financiera","FUNCIONAMIENTO","INVERSIÓN")</f>
        <v>FUNCIONAMIENTO</v>
      </c>
      <c r="E1800" s="48" t="str">
        <f>VLOOKUP(Q1800,[2]PROYECTOS!$G$1:$K$32,5,0)</f>
        <v>Fortalecimiento de los sistemas de información y la gestión estratégica para el deporte, la recreación y la actividad física de Antioquia</v>
      </c>
      <c r="F1800" s="48">
        <f>VLOOKUP(E1800,[2]PROYECTOS!$K$1:$M$32,3,0)</f>
        <v>2024003050077</v>
      </c>
      <c r="G1800" s="49" t="s">
        <v>1456</v>
      </c>
      <c r="H1800" s="49" t="str">
        <f>VLOOKUP(Q1800,[2]PROYECTOS!$V$1:$W$32,2,0)</f>
        <v>220387</v>
      </c>
      <c r="I1800" s="78">
        <v>0</v>
      </c>
      <c r="J1800" s="51" t="s">
        <v>2074</v>
      </c>
      <c r="K1800" s="47" t="str">
        <f t="shared" ca="1" si="587"/>
        <v>CONTRATADO</v>
      </c>
      <c r="L1800" s="47" t="s">
        <v>42</v>
      </c>
      <c r="M1800" s="47" t="s">
        <v>42</v>
      </c>
      <c r="N1800" s="52" t="s">
        <v>1454</v>
      </c>
      <c r="O1800" s="51" t="e">
        <f>VLOOKUP(N1800,[2]!RUBROS[#All],3,0)</f>
        <v>#REF!</v>
      </c>
      <c r="P1800" s="53" t="e">
        <f>VLOOKUP(N1800,[2]!RUBROS[#All],2,0)</f>
        <v>#REF!</v>
      </c>
      <c r="Q1800" s="47" t="str">
        <f t="shared" si="588"/>
        <v>77</v>
      </c>
      <c r="R1800" s="47" t="str">
        <f t="shared" si="589"/>
        <v>0-205128</v>
      </c>
      <c r="S1800" s="339" t="s">
        <v>42</v>
      </c>
      <c r="T1800" s="59" t="s">
        <v>42</v>
      </c>
      <c r="U1800" s="326" t="e">
        <f ca="1">_xlfn.XLOOKUP(PAA_4[[#This Row],[ITEM]],[2]Contrato!A:A,[2]Contrato!Q:Q,"",0)</f>
        <v>#NAME?</v>
      </c>
      <c r="V1800" s="47" t="s">
        <v>95</v>
      </c>
      <c r="W1800" s="47" t="s">
        <v>42</v>
      </c>
      <c r="X1800" s="47" t="s">
        <v>42</v>
      </c>
      <c r="Y1800" s="55" t="e">
        <f ca="1">_xlfn.XLOOKUP(PAA_4[[#This Row],[ITEM]],[2]Contrato!A:A,[2]Contrato!B:B,"",0)</f>
        <v>#NAME?</v>
      </c>
      <c r="Z1800" s="47" t="e">
        <f ca="1">_xlfn.XLOOKUP(PAA_4[[#This Row],[ITEM]],[2]Contrato!A:A,[2]Contrato!G:G,"",0)</f>
        <v>#NAME?</v>
      </c>
      <c r="AA1800" s="47" t="e">
        <f ca="1">_xlfn.XLOOKUP(PAA_4[[#This Row],[ITEM]],[2]Contrato!A:A,[2]Contrato!T:T,"",0)</f>
        <v>#NAME?</v>
      </c>
      <c r="AB1800" s="55" t="e">
        <f ca="1">+MAX(PAA_4[[#This Row],[Comprometido Contrato]],PAA_4[[#This Row],[Comprometido Bolsa]])</f>
        <v>#NAME?</v>
      </c>
      <c r="AC1800" s="55" t="str">
        <f t="shared" ca="1" si="590"/>
        <v/>
      </c>
      <c r="AD1800" s="55" t="e">
        <f ca="1">IF(PAA_4[[#This Row],[ESTADO (formulado)]]="NO CONTRATADO",0,MAX(PAA_4[[#This Row],[Pago por Contrato]],PAA_4[[#This Row],[Pago por bolsa]]))</f>
        <v>#NAME?</v>
      </c>
      <c r="AE1800" s="55" t="str">
        <f t="shared" ca="1" si="591"/>
        <v/>
      </c>
      <c r="AF1800" s="47" t="e">
        <f t="shared" ca="1" si="592"/>
        <v>#NAME?</v>
      </c>
      <c r="AG1800" s="47">
        <f t="shared" si="593"/>
        <v>52011001</v>
      </c>
      <c r="AH1800" s="54">
        <f>IF(Q1800="22",IF(ISNUMBER(SEARCH("econ",PAA_4[[#This Row],[Actividad3]])),"Económico",IF(ISNUMBER(SEARCH("alim",PAA_4[[#This Row],[Actividad3]])),"Alimentación",IF(ISNUMBER(SEARCH("educ",PAA_4[[#This Row],[Actividad3]])),"Educativo","Técnico"))),0)</f>
        <v>0</v>
      </c>
      <c r="AI1800" s="47" t="e" cm="1">
        <f t="array" aca="1" ref="AI1800" ca="1">_xlfn.XLOOKUP(PAA_4[[#This Row],[RCP-RUBRO]],[2]!COMPROMISOS_2024[[#All],[concatenado]],[2]!COMPROMISOS_2024[[#All],[Total pagado]],"",0)</f>
        <v>#NAME?</v>
      </c>
      <c r="AJ1800" s="56">
        <f>IF(PAA_4[[#This Row],[BOLSA]]=0,0,SUMIFS([2]!COMPROMISOS_2024[[#All],[Total pagado]],[2]!COMPROMISOS_2024[[#All],[Bolsa]],PAA_4[[#This Row],[BOLSA]],[2]!COMPROMISOS_2024[[#All],[rubro]],PAA_4[[#This Row],[RCP-RUBRO]]))</f>
        <v>0</v>
      </c>
      <c r="AK1800" s="47" t="e" cm="1">
        <f t="array" aca="1" ref="AK1800" ca="1">_xlfn.XLOOKUP(PAA_4[[#This Row],[RCP-RUBRO]],[2]!COMPROMISOS_2024[[#All],[concatenado]],[2]!COMPROMISOS_2024[[#All],[Total Comprometido]],"",0)</f>
        <v>#NAME?</v>
      </c>
      <c r="AL1800" s="47">
        <f>IF(PAA_4[[#This Row],[BOLSA]]=0,0,SUMIFS([2]!COMPROMISOS_2024[[#All],[Total Comprometido]],[2]!COMPROMISOS_2024[[#All],[Bolsa]],PAA_4[[#This Row],[BOLSA]],[2]!COMPROMISOS_2024[[#All],[concatenado]],PAA_4[[#This Row],[RCP-RUBRO]]))</f>
        <v>0</v>
      </c>
    </row>
    <row r="1801" spans="1:38" s="19" customFormat="1" ht="31.5" customHeight="1">
      <c r="A1801" s="54" t="s">
        <v>82</v>
      </c>
      <c r="B1801" s="330" t="s">
        <v>42</v>
      </c>
      <c r="C1801" s="47" t="str">
        <f>VLOOKUP(PAA_4[[#This Row],[PROYECTO (formulado)2]],[2]PROYECTOS!$G$1:$L$32,6,0)</f>
        <v>SUBGERENCIA ADMINISTRATIVA Y FINANCIERA</v>
      </c>
      <c r="D1801" s="54" t="str">
        <f>+IF(PAA_4[[#This Row],[UNIDAD DE CONTRATACION (formulado)]]="Subgerencia Administrativa y Financiera","FUNCIONAMIENTO","INVERSIÓN")</f>
        <v>FUNCIONAMIENTO</v>
      </c>
      <c r="E1801" s="331" t="str">
        <f>VLOOKUP(Q1801,[2]PROYECTOS!$G$1:$K$32,5,0)</f>
        <v>Fortalecimiento de los sistemas de información y la gestión estratégica para el deporte, la recreación y la actividad física de Antioquia</v>
      </c>
      <c r="F1801" s="331">
        <f>VLOOKUP(E1801,[2]PROYECTOS!$K$1:$M$32,3,0)</f>
        <v>2024003050077</v>
      </c>
      <c r="G1801" s="332" t="s">
        <v>1929</v>
      </c>
      <c r="H1801" s="332" t="str">
        <f>VLOOKUP(Q1801,[2]PROYECTOS!$V$1:$W$32,2,0)</f>
        <v>220387</v>
      </c>
      <c r="I1801" s="78">
        <v>0</v>
      </c>
      <c r="J1801" s="330" t="s">
        <v>42</v>
      </c>
      <c r="K1801" s="54" t="str">
        <f t="shared" ca="1" si="587"/>
        <v>CONTRATADO</v>
      </c>
      <c r="L1801" s="54" t="s">
        <v>1933</v>
      </c>
      <c r="M1801" s="54" t="s">
        <v>191</v>
      </c>
      <c r="N1801" s="79" t="s">
        <v>1930</v>
      </c>
      <c r="O1801" s="330" t="e">
        <f>VLOOKUP(N1801,[2]!RUBROS[#All],3,0)</f>
        <v>#REF!</v>
      </c>
      <c r="P1801" s="330" t="e">
        <f>VLOOKUP(N1801,[2]!RUBROS[#All],2,0)</f>
        <v>#REF!</v>
      </c>
      <c r="Q1801" s="54" t="str">
        <f t="shared" si="588"/>
        <v>77</v>
      </c>
      <c r="R1801" s="47" t="str">
        <f t="shared" si="589"/>
        <v>0-205128</v>
      </c>
      <c r="S1801" s="339" t="s">
        <v>42</v>
      </c>
      <c r="T1801" s="59" t="s">
        <v>42</v>
      </c>
      <c r="U1801" s="335" t="e">
        <f ca="1">_xlfn.XLOOKUP(PAA_4[[#This Row],[ITEM]],[2]Contrato!A:A,[2]Contrato!Q:Q,"",0)</f>
        <v>#NAME?</v>
      </c>
      <c r="V1801" s="54" t="s">
        <v>42</v>
      </c>
      <c r="W1801" s="54" t="s">
        <v>42</v>
      </c>
      <c r="X1801" s="54" t="s">
        <v>42</v>
      </c>
      <c r="Y1801" s="336" t="e">
        <f ca="1">_xlfn.XLOOKUP(PAA_4[[#This Row],[ITEM]],[2]Contrato!A:A,[2]Contrato!B:B,"",0)</f>
        <v>#NAME?</v>
      </c>
      <c r="Z1801" s="54" t="e">
        <f ca="1">_xlfn.XLOOKUP(PAA_4[[#This Row],[ITEM]],[2]Contrato!A:A,[2]Contrato!G:G,"",0)</f>
        <v>#NAME?</v>
      </c>
      <c r="AA1801" s="54" t="e">
        <f ca="1">_xlfn.XLOOKUP(PAA_4[[#This Row],[ITEM]],[2]Contrato!A:A,[2]Contrato!T:T,"",0)</f>
        <v>#NAME?</v>
      </c>
      <c r="AB1801" s="336" t="e">
        <f ca="1">+MAX(PAA_4[[#This Row],[Comprometido Contrato]],PAA_4[[#This Row],[Comprometido Bolsa]])</f>
        <v>#NAME?</v>
      </c>
      <c r="AC1801" s="336" t="str">
        <f t="shared" ca="1" si="590"/>
        <v/>
      </c>
      <c r="AD1801" s="336" t="e">
        <f ca="1">IF(PAA_4[[#This Row],[ESTADO (formulado)]]="NO CONTRATADO",0,MAX(PAA_4[[#This Row],[Pago por Contrato]],PAA_4[[#This Row],[Pago por bolsa]]))</f>
        <v>#NAME?</v>
      </c>
      <c r="AE1801" s="336" t="str">
        <f t="shared" ca="1" si="591"/>
        <v/>
      </c>
      <c r="AF1801" s="54" t="e">
        <f t="shared" ca="1" si="592"/>
        <v>#NAME?</v>
      </c>
      <c r="AG1801" s="54">
        <f t="shared" si="593"/>
        <v>52011001</v>
      </c>
      <c r="AH1801" s="54">
        <f>IF(Q1801="22",IF(ISNUMBER(SEARCH("econ",PAA_4[[#This Row],[Actividad3]])),"Económico",IF(ISNUMBER(SEARCH("alim",PAA_4[[#This Row],[Actividad3]])),"Alimentación",IF(ISNUMBER(SEARCH("educ",PAA_4[[#This Row],[Actividad3]])),"Educativo","Técnico"))),0)</f>
        <v>0</v>
      </c>
      <c r="AI1801" s="54" t="e" cm="1">
        <f t="array" aca="1" ref="AI1801" ca="1">_xlfn.XLOOKUP(PAA_4[[#This Row],[RCP-RUBRO]],[2]!COMPROMISOS_2024[[#All],[concatenado]],[2]!COMPROMISOS_2024[[#All],[Total pagado]],"",0)</f>
        <v>#NAME?</v>
      </c>
      <c r="AJ1801" s="337">
        <f>IF(PAA_4[[#This Row],[BOLSA]]=0,0,SUMIFS([2]!COMPROMISOS_2024[[#All],[Total pagado]],[2]!COMPROMISOS_2024[[#All],[Bolsa]],PAA_4[[#This Row],[BOLSA]],[2]!COMPROMISOS_2024[[#All],[rubro]],PAA_4[[#This Row],[RCP-RUBRO]]))</f>
        <v>0</v>
      </c>
      <c r="AK1801" s="54" t="e" cm="1">
        <f t="array" aca="1" ref="AK1801" ca="1">_xlfn.XLOOKUP(PAA_4[[#This Row],[RCP-RUBRO]],[2]!COMPROMISOS_2024[[#All],[concatenado]],[2]!COMPROMISOS_2024[[#All],[Total Comprometido]],"",0)</f>
        <v>#NAME?</v>
      </c>
      <c r="AL1801" s="54">
        <f>IF(PAA_4[[#This Row],[BOLSA]]=0,0,SUMIFS([2]!COMPROMISOS_2024[[#All],[Total Comprometido]],[2]!COMPROMISOS_2024[[#All],[Bolsa]],PAA_4[[#This Row],[BOLSA]],[2]!COMPROMISOS_2024[[#All],[concatenado]],PAA_4[[#This Row],[RCP-RUBRO]]))</f>
        <v>0</v>
      </c>
    </row>
    <row r="1802" spans="1:38" s="19" customFormat="1" ht="31.5" customHeight="1">
      <c r="A1802" s="47">
        <v>1119</v>
      </c>
      <c r="B1802" s="47">
        <v>80111600</v>
      </c>
      <c r="C1802" s="47" t="str">
        <f>VLOOKUP(PAA_4[[#This Row],[PROYECTO (formulado)2]],[2]PROYECTOS!$G$1:$L$32,6,0)</f>
        <v>SUBGERENCIA ADMINISTRATIVA Y FINANCIERA</v>
      </c>
      <c r="D1802" s="47" t="str">
        <f>+IF(PAA_4[[#This Row],[UNIDAD DE CONTRATACION (formulado)]]="Subgerencia Administrativa y Financiera","FUNCIONAMIENTO","INVERSIÓN")</f>
        <v>FUNCIONAMIENTO</v>
      </c>
      <c r="E1802" s="48" t="str">
        <f>VLOOKUP(Q1802,[2]PROYECTOS!$G$1:$K$32,5,0)</f>
        <v>Fortalecimiento de los sistemas de información y la gestión estratégica para el deporte, la recreación y la actividad física de Antioquia</v>
      </c>
      <c r="F1802" s="48">
        <f>VLOOKUP(E1802,[2]PROYECTOS!$K$1:$M$32,3,0)</f>
        <v>2024003050077</v>
      </c>
      <c r="G1802" s="49" t="s">
        <v>1456</v>
      </c>
      <c r="H1802" s="49" t="str">
        <f>VLOOKUP(Q1802,[2]PROYECTOS!$V$1:$W$32,2,0)</f>
        <v>220387</v>
      </c>
      <c r="I1802" s="78">
        <f>21450000-238334</f>
        <v>21211666</v>
      </c>
      <c r="J1802" s="51" t="s">
        <v>2075</v>
      </c>
      <c r="K1802" s="47" t="str">
        <f t="shared" ca="1" si="587"/>
        <v>CONTRATADO</v>
      </c>
      <c r="L1802" s="47" t="s">
        <v>94</v>
      </c>
      <c r="M1802" s="47" t="s">
        <v>1297</v>
      </c>
      <c r="N1802" s="52" t="s">
        <v>1454</v>
      </c>
      <c r="O1802" s="51" t="e">
        <f>VLOOKUP(N1802,[2]!RUBROS[#All],3,0)</f>
        <v>#REF!</v>
      </c>
      <c r="P1802" s="53" t="e">
        <f>VLOOKUP(N1802,[2]!RUBROS[#All],2,0)</f>
        <v>#REF!</v>
      </c>
      <c r="Q1802" s="47" t="str">
        <f t="shared" si="588"/>
        <v>77</v>
      </c>
      <c r="R1802" s="47" t="str">
        <f t="shared" si="589"/>
        <v>0-205128</v>
      </c>
      <c r="S1802" s="339">
        <v>90</v>
      </c>
      <c r="T1802" s="59" t="s">
        <v>120</v>
      </c>
      <c r="U1802" s="326" t="e">
        <f ca="1">_xlfn.XLOOKUP(PAA_4[[#This Row],[ITEM]],[2]Contrato!A:A,[2]Contrato!Q:Q,"",0)</f>
        <v>#NAME?</v>
      </c>
      <c r="V1802" s="47" t="s">
        <v>95</v>
      </c>
      <c r="W1802" s="47" t="s">
        <v>203</v>
      </c>
      <c r="X1802" s="47" t="s">
        <v>203</v>
      </c>
      <c r="Y1802" s="55" t="e">
        <f ca="1">_xlfn.XLOOKUP(PAA_4[[#This Row],[ITEM]],[2]Contrato!A:A,[2]Contrato!B:B,"",0)</f>
        <v>#NAME?</v>
      </c>
      <c r="Z1802" s="47" t="e">
        <f ca="1">_xlfn.XLOOKUP(PAA_4[[#This Row],[ITEM]],[2]Contrato!A:A,[2]Contrato!G:G,"",0)</f>
        <v>#NAME?</v>
      </c>
      <c r="AA1802" s="47" t="e">
        <f ca="1">_xlfn.XLOOKUP(PAA_4[[#This Row],[ITEM]],[2]Contrato!A:A,[2]Contrato!T:T,"",0)</f>
        <v>#NAME?</v>
      </c>
      <c r="AB1802" s="55" t="e">
        <f ca="1">+MAX(PAA_4[[#This Row],[Comprometido Contrato]],PAA_4[[#This Row],[Comprometido Bolsa]])</f>
        <v>#NAME?</v>
      </c>
      <c r="AC1802" s="55" t="str">
        <f t="shared" ca="1" si="590"/>
        <v/>
      </c>
      <c r="AD1802" s="55" t="e">
        <f ca="1">IF(PAA_4[[#This Row],[ESTADO (formulado)]]="NO CONTRATADO",0,MAX(PAA_4[[#This Row],[Pago por Contrato]],PAA_4[[#This Row],[Pago por bolsa]]))</f>
        <v>#NAME?</v>
      </c>
      <c r="AE1802" s="55" t="str">
        <f t="shared" ca="1" si="591"/>
        <v/>
      </c>
      <c r="AF1802" s="47" t="e">
        <f t="shared" ca="1" si="592"/>
        <v>#NAME?</v>
      </c>
      <c r="AG1802" s="47">
        <f t="shared" si="593"/>
        <v>52011001</v>
      </c>
      <c r="AH1802" s="54">
        <f>IF(Q1802="22",IF(ISNUMBER(SEARCH("econ",PAA_4[[#This Row],[Actividad3]])),"Económico",IF(ISNUMBER(SEARCH("alim",PAA_4[[#This Row],[Actividad3]])),"Alimentación",IF(ISNUMBER(SEARCH("educ",PAA_4[[#This Row],[Actividad3]])),"Educativo","Técnico"))),0)</f>
        <v>0</v>
      </c>
      <c r="AI1802" s="47" t="e" cm="1">
        <f t="array" aca="1" ref="AI1802" ca="1">_xlfn.XLOOKUP(PAA_4[[#This Row],[RCP-RUBRO]],[2]!COMPROMISOS_2024[[#All],[concatenado]],[2]!COMPROMISOS_2024[[#All],[Total pagado]],"",0)</f>
        <v>#NAME?</v>
      </c>
      <c r="AJ1802" s="56">
        <f>IF(PAA_4[[#This Row],[BOLSA]]=0,0,SUMIFS([2]!COMPROMISOS_2024[[#All],[Total pagado]],[2]!COMPROMISOS_2024[[#All],[Bolsa]],PAA_4[[#This Row],[BOLSA]],[2]!COMPROMISOS_2024[[#All],[rubro]],PAA_4[[#This Row],[RCP-RUBRO]]))</f>
        <v>0</v>
      </c>
      <c r="AK1802" s="47" t="e" cm="1">
        <f t="array" aca="1" ref="AK1802" ca="1">_xlfn.XLOOKUP(PAA_4[[#This Row],[RCP-RUBRO]],[2]!COMPROMISOS_2024[[#All],[concatenado]],[2]!COMPROMISOS_2024[[#All],[Total Comprometido]],"",0)</f>
        <v>#NAME?</v>
      </c>
      <c r="AL1802" s="47">
        <f>IF(PAA_4[[#This Row],[BOLSA]]=0,0,SUMIFS([2]!COMPROMISOS_2024[[#All],[Total Comprometido]],[2]!COMPROMISOS_2024[[#All],[Bolsa]],PAA_4[[#This Row],[BOLSA]],[2]!COMPROMISOS_2024[[#All],[concatenado]],PAA_4[[#This Row],[RCP-RUBRO]]))</f>
        <v>0</v>
      </c>
    </row>
    <row r="1803" spans="1:38" s="19" customFormat="1" ht="31.5" customHeight="1">
      <c r="A1803" s="47" t="s">
        <v>82</v>
      </c>
      <c r="B1803" s="47" t="s">
        <v>42</v>
      </c>
      <c r="C1803" s="47" t="str">
        <f>VLOOKUP(PAA_4[[#This Row],[PROYECTO (formulado)2]],[2]PROYECTOS!$G$1:$L$32,6,0)</f>
        <v>SUBGERENCIA DE ALTOS LOGROS Y DEPORTE ASOCIADO</v>
      </c>
      <c r="D1803" s="47" t="str">
        <f>+IF(PAA_4[[#This Row],[UNIDAD DE CONTRATACION (formulado)]]="Subgerencia Administrativa y Financiera","FUNCIONAMIENTO","INVERSIÓN")</f>
        <v>INVERSIÓN</v>
      </c>
      <c r="E1803" s="48" t="str">
        <f>VLOOKUP(Q1803,[2]PROYECTOS!$G$1:$K$32,5,0)</f>
        <v>APOYO_TÉCNICO_Y_PSICOSOCIAL_A_LOS_DEPORTISTAS_DE_ANTIOQUIA</v>
      </c>
      <c r="F1803" s="48">
        <f>VLOOKUP(E1803,[2]PROYECTOS!$K$1:$M$32,3,0)</f>
        <v>2021003050069</v>
      </c>
      <c r="G1803" s="49" t="s">
        <v>2076</v>
      </c>
      <c r="H1803" s="49" t="str">
        <f>VLOOKUP(Q1803,[2]PROYECTOS!$V$1:$W$32,2,0)</f>
        <v>050069</v>
      </c>
      <c r="I1803" s="78">
        <f>306830000-200000</f>
        <v>306630000</v>
      </c>
      <c r="J1803" s="51" t="s">
        <v>1501</v>
      </c>
      <c r="K1803" s="47" t="str">
        <f t="shared" ca="1" si="587"/>
        <v>CONTRATADO</v>
      </c>
      <c r="L1803" s="47" t="s">
        <v>1946</v>
      </c>
      <c r="M1803" s="47" t="s">
        <v>1236</v>
      </c>
      <c r="N1803" s="52" t="s">
        <v>2020</v>
      </c>
      <c r="O1803" s="51" t="e">
        <f>VLOOKUP(N1803,[2]!RUBROS[#All],3,0)</f>
        <v>#REF!</v>
      </c>
      <c r="P1803" s="53" t="e">
        <f>VLOOKUP(N1803,[2]!RUBROS[#All],2,0)</f>
        <v>#REF!</v>
      </c>
      <c r="Q1803" s="47" t="str">
        <f t="shared" si="588"/>
        <v>22</v>
      </c>
      <c r="R1803" s="47" t="str">
        <f t="shared" si="589"/>
        <v>0-101024</v>
      </c>
      <c r="S1803" s="339" t="s">
        <v>42</v>
      </c>
      <c r="T1803" s="59" t="s">
        <v>42</v>
      </c>
      <c r="U1803" s="326" t="e">
        <f ca="1">_xlfn.XLOOKUP(PAA_4[[#This Row],[ITEM]],[2]Contrato!A:A,[2]Contrato!Q:Q,"",0)</f>
        <v>#NAME?</v>
      </c>
      <c r="V1803" s="47" t="s">
        <v>95</v>
      </c>
      <c r="W1803" s="47" t="s">
        <v>154</v>
      </c>
      <c r="X1803" s="47" t="s">
        <v>154</v>
      </c>
      <c r="Y1803" s="55" t="e">
        <f ca="1">_xlfn.XLOOKUP(PAA_4[[#This Row],[ITEM]],[2]Contrato!A:A,[2]Contrato!B:B,"",0)</f>
        <v>#NAME?</v>
      </c>
      <c r="Z1803" s="47" t="e">
        <f ca="1">_xlfn.XLOOKUP(PAA_4[[#This Row],[ITEM]],[2]Contrato!A:A,[2]Contrato!G:G,"",0)</f>
        <v>#NAME?</v>
      </c>
      <c r="AA1803" s="47" t="e">
        <f ca="1">_xlfn.XLOOKUP(PAA_4[[#This Row],[ITEM]],[2]Contrato!A:A,[2]Contrato!T:T,"",0)</f>
        <v>#NAME?</v>
      </c>
      <c r="AB1803" s="55" t="e">
        <f ca="1">+MAX(PAA_4[[#This Row],[Comprometido Contrato]],PAA_4[[#This Row],[Comprometido Bolsa]])</f>
        <v>#NAME?</v>
      </c>
      <c r="AC1803" s="55" t="str">
        <f t="shared" ca="1" si="590"/>
        <v/>
      </c>
      <c r="AD1803" s="55" t="e">
        <f ca="1">IF(PAA_4[[#This Row],[ESTADO (formulado)]]="NO CONTRATADO",0,MAX(PAA_4[[#This Row],[Pago por Contrato]],PAA_4[[#This Row],[Pago por bolsa]]))</f>
        <v>#NAME?</v>
      </c>
      <c r="AE1803" s="55" t="str">
        <f t="shared" ca="1" si="591"/>
        <v/>
      </c>
      <c r="AF1803" s="47" t="e">
        <f t="shared" ca="1" si="592"/>
        <v>#NAME?</v>
      </c>
      <c r="AG1803" s="47">
        <f t="shared" si="593"/>
        <v>41080110</v>
      </c>
      <c r="AH1803" s="54" t="str">
        <f>IF(Q1803="22",IF(ISNUMBER(SEARCH("econ",PAA_4[[#This Row],[Actividad3]])),"Económico",IF(ISNUMBER(SEARCH("alim",PAA_4[[#This Row],[Actividad3]])),"Alimentación",IF(ISNUMBER(SEARCH("educ",PAA_4[[#This Row],[Actividad3]])),"Educativo","Técnico"))),0)</f>
        <v>Alimentación</v>
      </c>
      <c r="AI1803" s="47" t="e" cm="1">
        <f t="array" aca="1" ref="AI1803" ca="1">_xlfn.XLOOKUP(PAA_4[[#This Row],[RCP-RUBRO]],[2]!COMPROMISOS_2024[[#All],[concatenado]],[2]!COMPROMISOS_2024[[#All],[Total pagado]],"",0)</f>
        <v>#NAME?</v>
      </c>
      <c r="AJ1803" s="56" t="e">
        <f ca="1">IF(PAA_4[[#This Row],[BOLSA]]=0,0,SUMIFS([2]!COMPROMISOS_2024[[#All],[Total pagado]],[2]!COMPROMISOS_2024[[#All],[Bolsa]],PAA_4[[#This Row],[BOLSA]],[2]!COMPROMISOS_2024[[#All],[rubro]],PAA_4[[#This Row],[RCP-RUBRO]]))</f>
        <v>#REF!</v>
      </c>
      <c r="AK1803" s="47" t="e" cm="1">
        <f t="array" aca="1" ref="AK1803" ca="1">_xlfn.XLOOKUP(PAA_4[[#This Row],[RCP-RUBRO]],[2]!COMPROMISOS_2024[[#All],[concatenado]],[2]!COMPROMISOS_2024[[#All],[Total Comprometido]],"",0)</f>
        <v>#NAME?</v>
      </c>
      <c r="AL1803" s="47" t="e">
        <f ca="1">IF(PAA_4[[#This Row],[BOLSA]]=0,0,SUMIFS([2]!COMPROMISOS_2024[[#All],[Total Comprometido]],[2]!COMPROMISOS_2024[[#All],[Bolsa]],PAA_4[[#This Row],[BOLSA]],[2]!COMPROMISOS_2024[[#All],[concatenado]],PAA_4[[#This Row],[RCP-RUBRO]]))</f>
        <v>#REF!</v>
      </c>
    </row>
    <row r="1804" spans="1:38" s="19" customFormat="1" ht="31.5" customHeight="1">
      <c r="A1804" s="47" t="s">
        <v>82</v>
      </c>
      <c r="B1804" s="47" t="s">
        <v>42</v>
      </c>
      <c r="C1804" s="47" t="str">
        <f>VLOOKUP(PAA_4[[#This Row],[PROYECTO (formulado)2]],[2]PROYECTOS!$G$1:$L$32,6,0)</f>
        <v>SUBGERENCIA DE ALTOS LOGROS Y DEPORTE ASOCIADO</v>
      </c>
      <c r="D1804" s="47" t="str">
        <f>+IF(PAA_4[[#This Row],[UNIDAD DE CONTRATACION (formulado)]]="Subgerencia Administrativa y Financiera","FUNCIONAMIENTO","INVERSIÓN")</f>
        <v>INVERSIÓN</v>
      </c>
      <c r="E1804" s="48" t="str">
        <f>VLOOKUP(Q1804,[2]PROYECTOS!$G$1:$K$32,5,0)</f>
        <v>APOYO_TÉCNICO_Y_PSICOSOCIAL_A_LOS_DEPORTISTAS_DE_ANTIOQUIA</v>
      </c>
      <c r="F1804" s="48">
        <f>VLOOKUP(E1804,[2]PROYECTOS!$K$1:$M$32,3,0)</f>
        <v>2021003050069</v>
      </c>
      <c r="G1804" s="49" t="s">
        <v>2076</v>
      </c>
      <c r="H1804" s="49" t="str">
        <f>VLOOKUP(Q1804,[2]PROYECTOS!$V$1:$W$32,2,0)</f>
        <v>050069</v>
      </c>
      <c r="I1804" s="78">
        <v>0</v>
      </c>
      <c r="J1804" s="51" t="s">
        <v>1501</v>
      </c>
      <c r="K1804" s="47" t="str">
        <f t="shared" ca="1" si="587"/>
        <v>CONTRATADO</v>
      </c>
      <c r="L1804" s="47" t="s">
        <v>1946</v>
      </c>
      <c r="M1804" s="47" t="s">
        <v>1236</v>
      </c>
      <c r="N1804" s="52" t="s">
        <v>2020</v>
      </c>
      <c r="O1804" s="51" t="e">
        <f>VLOOKUP(N1804,[2]!RUBROS[#All],3,0)</f>
        <v>#REF!</v>
      </c>
      <c r="P1804" s="53" t="e">
        <f>VLOOKUP(N1804,[2]!RUBROS[#All],2,0)</f>
        <v>#REF!</v>
      </c>
      <c r="Q1804" s="47" t="str">
        <f t="shared" si="588"/>
        <v>22</v>
      </c>
      <c r="R1804" s="47" t="str">
        <f t="shared" si="589"/>
        <v>0-101024</v>
      </c>
      <c r="S1804" s="339" t="s">
        <v>42</v>
      </c>
      <c r="T1804" s="59" t="s">
        <v>42</v>
      </c>
      <c r="U1804" s="326" t="e">
        <f ca="1">_xlfn.XLOOKUP(PAA_4[[#This Row],[ITEM]],[2]Contrato!A:A,[2]Contrato!Q:Q,"",0)</f>
        <v>#NAME?</v>
      </c>
      <c r="V1804" s="47" t="s">
        <v>95</v>
      </c>
      <c r="W1804" s="47" t="s">
        <v>154</v>
      </c>
      <c r="X1804" s="47" t="s">
        <v>154</v>
      </c>
      <c r="Y1804" s="55" t="e">
        <f ca="1">_xlfn.XLOOKUP(PAA_4[[#This Row],[ITEM]],[2]Contrato!A:A,[2]Contrato!B:B,"",0)</f>
        <v>#NAME?</v>
      </c>
      <c r="Z1804" s="47" t="e">
        <f ca="1">_xlfn.XLOOKUP(PAA_4[[#This Row],[ITEM]],[2]Contrato!A:A,[2]Contrato!G:G,"",0)</f>
        <v>#NAME?</v>
      </c>
      <c r="AA1804" s="47" t="e">
        <f ca="1">_xlfn.XLOOKUP(PAA_4[[#This Row],[ITEM]],[2]Contrato!A:A,[2]Contrato!T:T,"",0)</f>
        <v>#NAME?</v>
      </c>
      <c r="AB1804" s="55" t="e">
        <f ca="1">+MAX(PAA_4[[#This Row],[Comprometido Contrato]],PAA_4[[#This Row],[Comprometido Bolsa]])</f>
        <v>#NAME?</v>
      </c>
      <c r="AC1804" s="55" t="str">
        <f t="shared" ca="1" si="590"/>
        <v/>
      </c>
      <c r="AD1804" s="55" t="e">
        <f ca="1">IF(PAA_4[[#This Row],[ESTADO (formulado)]]="NO CONTRATADO",0,MAX(PAA_4[[#This Row],[Pago por Contrato]],PAA_4[[#This Row],[Pago por bolsa]]))</f>
        <v>#NAME?</v>
      </c>
      <c r="AE1804" s="55" t="str">
        <f t="shared" ca="1" si="591"/>
        <v/>
      </c>
      <c r="AF1804" s="47" t="e">
        <f t="shared" ca="1" si="592"/>
        <v>#NAME?</v>
      </c>
      <c r="AG1804" s="47">
        <f t="shared" si="593"/>
        <v>41080110</v>
      </c>
      <c r="AH1804" s="54" t="str">
        <f>IF(Q1804="22",IF(ISNUMBER(SEARCH("econ",PAA_4[[#This Row],[Actividad3]])),"Económico",IF(ISNUMBER(SEARCH("alim",PAA_4[[#This Row],[Actividad3]])),"Alimentación",IF(ISNUMBER(SEARCH("educ",PAA_4[[#This Row],[Actividad3]])),"Educativo","Técnico"))),0)</f>
        <v>Alimentación</v>
      </c>
      <c r="AI1804" s="47" t="e" cm="1">
        <f t="array" aca="1" ref="AI1804" ca="1">_xlfn.XLOOKUP(PAA_4[[#This Row],[RCP-RUBRO]],[2]!COMPROMISOS_2024[[#All],[concatenado]],[2]!COMPROMISOS_2024[[#All],[Total pagado]],"",0)</f>
        <v>#NAME?</v>
      </c>
      <c r="AJ1804" s="56" t="e">
        <f ca="1">IF(PAA_4[[#This Row],[BOLSA]]=0,0,SUMIFS([2]!COMPROMISOS_2024[[#All],[Total pagado]],[2]!COMPROMISOS_2024[[#All],[Bolsa]],PAA_4[[#This Row],[BOLSA]],[2]!COMPROMISOS_2024[[#All],[rubro]],PAA_4[[#This Row],[RCP-RUBRO]]))</f>
        <v>#REF!</v>
      </c>
      <c r="AK1804" s="47" t="e" cm="1">
        <f t="array" aca="1" ref="AK1804" ca="1">_xlfn.XLOOKUP(PAA_4[[#This Row],[RCP-RUBRO]],[2]!COMPROMISOS_2024[[#All],[concatenado]],[2]!COMPROMISOS_2024[[#All],[Total Comprometido]],"",0)</f>
        <v>#NAME?</v>
      </c>
      <c r="AL1804" s="47" t="e">
        <f ca="1">IF(PAA_4[[#This Row],[BOLSA]]=0,0,SUMIFS([2]!COMPROMISOS_2024[[#All],[Total Comprometido]],[2]!COMPROMISOS_2024[[#All],[Bolsa]],PAA_4[[#This Row],[BOLSA]],[2]!COMPROMISOS_2024[[#All],[concatenado]],PAA_4[[#This Row],[RCP-RUBRO]]))</f>
        <v>#REF!</v>
      </c>
    </row>
    <row r="1805" spans="1:38" s="19" customFormat="1" ht="31.5" customHeight="1">
      <c r="A1805" s="47">
        <v>825</v>
      </c>
      <c r="B1805" s="47" t="s">
        <v>42</v>
      </c>
      <c r="C1805" s="47" t="str">
        <f>VLOOKUP(PAA_4[[#This Row],[PROYECTO (formulado)2]],[2]PROYECTOS!$G$1:$L$32,6,0)</f>
        <v>SUBGERENCIA DE ALTOS LOGROS Y DEPORTE ASOCIADO</v>
      </c>
      <c r="D1805" s="47" t="str">
        <f>+IF(PAA_4[[#This Row],[UNIDAD DE CONTRATACION (formulado)]]="Subgerencia Administrativa y Financiera","FUNCIONAMIENTO","INVERSIÓN")</f>
        <v>INVERSIÓN</v>
      </c>
      <c r="E1805" s="48" t="str">
        <f>VLOOKUP(Q1805,[2]PROYECTOS!$G$1:$K$32,5,0)</f>
        <v>APOYO_TÉCNICO_Y_PSICOSOCIAL_A_LOS_DEPORTISTAS_DE_ANTIOQUIA</v>
      </c>
      <c r="F1805" s="48">
        <f>VLOOKUP(E1805,[2]PROYECTOS!$K$1:$M$32,3,0)</f>
        <v>2021003050069</v>
      </c>
      <c r="G1805" s="49" t="s">
        <v>216</v>
      </c>
      <c r="H1805" s="49" t="str">
        <f>VLOOKUP(Q1805,[2]PROYECTOS!$V$1:$W$32,2,0)</f>
        <v>050069</v>
      </c>
      <c r="I1805" s="78">
        <v>236470000</v>
      </c>
      <c r="J1805" s="51" t="s">
        <v>1501</v>
      </c>
      <c r="K1805" s="47" t="str">
        <f t="shared" ca="1" si="587"/>
        <v>CONTRATADO</v>
      </c>
      <c r="L1805" s="47" t="s">
        <v>1946</v>
      </c>
      <c r="M1805" s="47" t="s">
        <v>1236</v>
      </c>
      <c r="N1805" s="52" t="s">
        <v>2020</v>
      </c>
      <c r="O1805" s="51" t="e">
        <f>VLOOKUP(N1805,[2]!RUBROS[#All],3,0)</f>
        <v>#REF!</v>
      </c>
      <c r="P1805" s="53" t="e">
        <f>VLOOKUP(N1805,[2]!RUBROS[#All],2,0)</f>
        <v>#REF!</v>
      </c>
      <c r="Q1805" s="47" t="str">
        <f t="shared" si="588"/>
        <v>22</v>
      </c>
      <c r="R1805" s="47" t="str">
        <f t="shared" si="589"/>
        <v>0-101024</v>
      </c>
      <c r="S1805" s="339" t="s">
        <v>42</v>
      </c>
      <c r="T1805" s="59" t="s">
        <v>42</v>
      </c>
      <c r="U1805" s="326" t="e">
        <f ca="1">_xlfn.XLOOKUP(PAA_4[[#This Row],[ITEM]],[2]Contrato!A:A,[2]Contrato!Q:Q,"",0)</f>
        <v>#NAME?</v>
      </c>
      <c r="V1805" s="47" t="s">
        <v>95</v>
      </c>
      <c r="W1805" s="47" t="s">
        <v>154</v>
      </c>
      <c r="X1805" s="47" t="s">
        <v>154</v>
      </c>
      <c r="Y1805" s="55" t="e">
        <f ca="1">_xlfn.XLOOKUP(PAA_4[[#This Row],[ITEM]],[2]Contrato!A:A,[2]Contrato!B:B,"",0)</f>
        <v>#NAME?</v>
      </c>
      <c r="Z1805" s="47" t="e">
        <f ca="1">_xlfn.XLOOKUP(PAA_4[[#This Row],[ITEM]],[2]Contrato!A:A,[2]Contrato!G:G,"",0)</f>
        <v>#NAME?</v>
      </c>
      <c r="AA1805" s="47" t="e">
        <f ca="1">_xlfn.XLOOKUP(PAA_4[[#This Row],[ITEM]],[2]Contrato!A:A,[2]Contrato!T:T,"",0)</f>
        <v>#NAME?</v>
      </c>
      <c r="AB1805" s="55" t="e">
        <f ca="1">+MAX(PAA_4[[#This Row],[Comprometido Contrato]],PAA_4[[#This Row],[Comprometido Bolsa]])</f>
        <v>#NAME?</v>
      </c>
      <c r="AC1805" s="55" t="str">
        <f t="shared" ca="1" si="590"/>
        <v/>
      </c>
      <c r="AD1805" s="55" t="e">
        <f ca="1">IF(PAA_4[[#This Row],[ESTADO (formulado)]]="NO CONTRATADO",0,MAX(PAA_4[[#This Row],[Pago por Contrato]],PAA_4[[#This Row],[Pago por bolsa]]))</f>
        <v>#NAME?</v>
      </c>
      <c r="AE1805" s="55" t="str">
        <f t="shared" ca="1" si="591"/>
        <v/>
      </c>
      <c r="AF1805" s="47" t="e">
        <f t="shared" ca="1" si="592"/>
        <v>#NAME?</v>
      </c>
      <c r="AG1805" s="47">
        <f t="shared" si="593"/>
        <v>41080105</v>
      </c>
      <c r="AH1805" s="54" t="str">
        <f>IF(Q1805="22",IF(ISNUMBER(SEARCH("econ",PAA_4[[#This Row],[Actividad3]])),"Económico",IF(ISNUMBER(SEARCH("alim",PAA_4[[#This Row],[Actividad3]])),"Alimentación",IF(ISNUMBER(SEARCH("educ",PAA_4[[#This Row],[Actividad3]])),"Educativo","Técnico"))),0)</f>
        <v>Alimentación</v>
      </c>
      <c r="AI1805" s="47" t="e" cm="1">
        <f t="array" aca="1" ref="AI1805" ca="1">_xlfn.XLOOKUP(PAA_4[[#This Row],[RCP-RUBRO]],[2]!COMPROMISOS_2024[[#All],[concatenado]],[2]!COMPROMISOS_2024[[#All],[Total pagado]],"",0)</f>
        <v>#NAME?</v>
      </c>
      <c r="AJ1805" s="56" t="e">
        <f ca="1">IF(PAA_4[[#This Row],[BOLSA]]=0,0,SUMIFS([2]!COMPROMISOS_2024[[#All],[Total pagado]],[2]!COMPROMISOS_2024[[#All],[Bolsa]],PAA_4[[#This Row],[BOLSA]],[2]!COMPROMISOS_2024[[#All],[rubro]],PAA_4[[#This Row],[RCP-RUBRO]]))</f>
        <v>#REF!</v>
      </c>
      <c r="AK1805" s="47" t="e" cm="1">
        <f t="array" aca="1" ref="AK1805" ca="1">_xlfn.XLOOKUP(PAA_4[[#This Row],[RCP-RUBRO]],[2]!COMPROMISOS_2024[[#All],[concatenado]],[2]!COMPROMISOS_2024[[#All],[Total Comprometido]],"",0)</f>
        <v>#NAME?</v>
      </c>
      <c r="AL1805" s="47" t="e">
        <f ca="1">IF(PAA_4[[#This Row],[BOLSA]]=0,0,SUMIFS([2]!COMPROMISOS_2024[[#All],[Total Comprometido]],[2]!COMPROMISOS_2024[[#All],[Bolsa]],PAA_4[[#This Row],[BOLSA]],[2]!COMPROMISOS_2024[[#All],[concatenado]],PAA_4[[#This Row],[RCP-RUBRO]]))</f>
        <v>#REF!</v>
      </c>
    </row>
    <row r="1806" spans="1:38" s="19" customFormat="1" ht="31.5" customHeight="1">
      <c r="A1806" s="47">
        <v>825</v>
      </c>
      <c r="B1806" s="47" t="s">
        <v>42</v>
      </c>
      <c r="C1806" s="47" t="str">
        <f>VLOOKUP(PAA_4[[#This Row],[PROYECTO (formulado)2]],[2]PROYECTOS!$G$1:$L$32,6,0)</f>
        <v>SUBGERENCIA DE ALTOS LOGROS Y DEPORTE ASOCIADO</v>
      </c>
      <c r="D1806" s="47" t="str">
        <f>+IF(PAA_4[[#This Row],[UNIDAD DE CONTRATACION (formulado)]]="Subgerencia Administrativa y Financiera","FUNCIONAMIENTO","INVERSIÓN")</f>
        <v>INVERSIÓN</v>
      </c>
      <c r="E1806" s="48" t="str">
        <f>VLOOKUP(Q1806,[2]PROYECTOS!$G$1:$K$32,5,0)</f>
        <v>APOYO_TÉCNICO_Y_PSICOSOCIAL_A_LOS_DEPORTISTAS_DE_ANTIOQUIA</v>
      </c>
      <c r="F1806" s="48">
        <f>VLOOKUP(E1806,[2]PROYECTOS!$K$1:$M$32,3,0)</f>
        <v>2021003050069</v>
      </c>
      <c r="G1806" s="49" t="s">
        <v>216</v>
      </c>
      <c r="H1806" s="49" t="str">
        <f>VLOOKUP(Q1806,[2]PROYECTOS!$V$1:$W$32,2,0)</f>
        <v>050069</v>
      </c>
      <c r="I1806" s="78">
        <v>0</v>
      </c>
      <c r="J1806" s="51" t="s">
        <v>1501</v>
      </c>
      <c r="K1806" s="47" t="str">
        <f t="shared" ca="1" si="587"/>
        <v>CONTRATADO</v>
      </c>
      <c r="L1806" s="47" t="s">
        <v>1946</v>
      </c>
      <c r="M1806" s="47" t="s">
        <v>1236</v>
      </c>
      <c r="N1806" s="52" t="s">
        <v>2020</v>
      </c>
      <c r="O1806" s="51" t="e">
        <f>VLOOKUP(N1806,[2]!RUBROS[#All],3,0)</f>
        <v>#REF!</v>
      </c>
      <c r="P1806" s="53" t="e">
        <f>VLOOKUP(N1806,[2]!RUBROS[#All],2,0)</f>
        <v>#REF!</v>
      </c>
      <c r="Q1806" s="47" t="str">
        <f t="shared" si="588"/>
        <v>22</v>
      </c>
      <c r="R1806" s="47" t="str">
        <f t="shared" si="589"/>
        <v>0-101024</v>
      </c>
      <c r="S1806" s="339" t="s">
        <v>42</v>
      </c>
      <c r="T1806" s="59" t="s">
        <v>42</v>
      </c>
      <c r="U1806" s="326" t="e">
        <f ca="1">_xlfn.XLOOKUP(PAA_4[[#This Row],[ITEM]],[2]Contrato!A:A,[2]Contrato!Q:Q,"",0)</f>
        <v>#NAME?</v>
      </c>
      <c r="V1806" s="47" t="s">
        <v>95</v>
      </c>
      <c r="W1806" s="47" t="s">
        <v>154</v>
      </c>
      <c r="X1806" s="47" t="s">
        <v>154</v>
      </c>
      <c r="Y1806" s="55" t="e">
        <f ca="1">_xlfn.XLOOKUP(PAA_4[[#This Row],[ITEM]],[2]Contrato!A:A,[2]Contrato!B:B,"",0)</f>
        <v>#NAME?</v>
      </c>
      <c r="Z1806" s="47" t="e">
        <f ca="1">_xlfn.XLOOKUP(PAA_4[[#This Row],[ITEM]],[2]Contrato!A:A,[2]Contrato!G:G,"",0)</f>
        <v>#NAME?</v>
      </c>
      <c r="AA1806" s="47" t="e">
        <f ca="1">_xlfn.XLOOKUP(PAA_4[[#This Row],[ITEM]],[2]Contrato!A:A,[2]Contrato!T:T,"",0)</f>
        <v>#NAME?</v>
      </c>
      <c r="AB1806" s="55" t="e">
        <f ca="1">+MAX(PAA_4[[#This Row],[Comprometido Contrato]],PAA_4[[#This Row],[Comprometido Bolsa]])</f>
        <v>#NAME?</v>
      </c>
      <c r="AC1806" s="55" t="str">
        <f t="shared" ca="1" si="590"/>
        <v/>
      </c>
      <c r="AD1806" s="55" t="e">
        <f ca="1">IF(PAA_4[[#This Row],[ESTADO (formulado)]]="NO CONTRATADO",0,MAX(PAA_4[[#This Row],[Pago por Contrato]],PAA_4[[#This Row],[Pago por bolsa]]))</f>
        <v>#NAME?</v>
      </c>
      <c r="AE1806" s="55" t="str">
        <f t="shared" ca="1" si="591"/>
        <v/>
      </c>
      <c r="AF1806" s="47" t="e">
        <f t="shared" ca="1" si="592"/>
        <v>#NAME?</v>
      </c>
      <c r="AG1806" s="47">
        <f t="shared" si="593"/>
        <v>41080105</v>
      </c>
      <c r="AH1806" s="54" t="str">
        <f>IF(Q1806="22",IF(ISNUMBER(SEARCH("econ",PAA_4[[#This Row],[Actividad3]])),"Económico",IF(ISNUMBER(SEARCH("alim",PAA_4[[#This Row],[Actividad3]])),"Alimentación",IF(ISNUMBER(SEARCH("educ",PAA_4[[#This Row],[Actividad3]])),"Educativo","Técnico"))),0)</f>
        <v>Alimentación</v>
      </c>
      <c r="AI1806" s="47" t="e" cm="1">
        <f t="array" aca="1" ref="AI1806" ca="1">_xlfn.XLOOKUP(PAA_4[[#This Row],[RCP-RUBRO]],[2]!COMPROMISOS_2024[[#All],[concatenado]],[2]!COMPROMISOS_2024[[#All],[Total pagado]],"",0)</f>
        <v>#NAME?</v>
      </c>
      <c r="AJ1806" s="56" t="e">
        <f ca="1">IF(PAA_4[[#This Row],[BOLSA]]=0,0,SUMIFS([2]!COMPROMISOS_2024[[#All],[Total pagado]],[2]!COMPROMISOS_2024[[#All],[Bolsa]],PAA_4[[#This Row],[BOLSA]],[2]!COMPROMISOS_2024[[#All],[rubro]],PAA_4[[#This Row],[RCP-RUBRO]]))</f>
        <v>#REF!</v>
      </c>
      <c r="AK1806" s="47" t="e" cm="1">
        <f t="array" aca="1" ref="AK1806" ca="1">_xlfn.XLOOKUP(PAA_4[[#This Row],[RCP-RUBRO]],[2]!COMPROMISOS_2024[[#All],[concatenado]],[2]!COMPROMISOS_2024[[#All],[Total Comprometido]],"",0)</f>
        <v>#NAME?</v>
      </c>
      <c r="AL1806" s="47" t="e">
        <f ca="1">IF(PAA_4[[#This Row],[BOLSA]]=0,0,SUMIFS([2]!COMPROMISOS_2024[[#All],[Total Comprometido]],[2]!COMPROMISOS_2024[[#All],[Bolsa]],PAA_4[[#This Row],[BOLSA]],[2]!COMPROMISOS_2024[[#All],[concatenado]],PAA_4[[#This Row],[RCP-RUBRO]]))</f>
        <v>#REF!</v>
      </c>
    </row>
    <row r="1807" spans="1:38" s="19" customFormat="1" ht="31.5" customHeight="1">
      <c r="A1807" s="47">
        <v>826</v>
      </c>
      <c r="B1807" s="47">
        <v>80111600</v>
      </c>
      <c r="C1807" s="47" t="str">
        <f>VLOOKUP(PAA_4[[#This Row],[PROYECTO (formulado)2]],[2]PROYECTOS!$G$1:$L$32,6,0)</f>
        <v>OFICINA DE MEDICINA DEPORTIVA</v>
      </c>
      <c r="D1807" s="47" t="str">
        <f>+IF(PAA_4[[#This Row],[UNIDAD DE CONTRATACION (formulado)]]="Subgerencia Administrativa y Financiera","FUNCIONAMIENTO","INVERSIÓN")</f>
        <v>INVERSIÓN</v>
      </c>
      <c r="E1807" s="48" t="str">
        <f>VLOOKUP(Q1807,[2]PROYECTOS!$G$1:$K$32,5,0)</f>
        <v>APOYO_CIENTÍFICO_AL_RENDIMIENTO_DEPORTIVO_Y_LA_ACTIVIDAD_FÍSICA_EN_EL_DEPARTAMENTO_DE_ANTIOQUIA</v>
      </c>
      <c r="F1807" s="48">
        <f>VLOOKUP(E1807,[2]PROYECTOS!$K$1:$M$32,3,0)</f>
        <v>2021003050070</v>
      </c>
      <c r="G1807" s="49" t="s">
        <v>207</v>
      </c>
      <c r="H1807" s="49" t="str">
        <f>VLOOKUP(Q1807,[2]PROYECTOS!$V$1:$W$32,2,0)</f>
        <v>050068</v>
      </c>
      <c r="I1807" s="78">
        <v>0</v>
      </c>
      <c r="J1807" s="51" t="s">
        <v>42</v>
      </c>
      <c r="K1807" s="47" t="str">
        <f t="shared" ca="1" si="587"/>
        <v>CONTRATADO</v>
      </c>
      <c r="L1807" s="47" t="s">
        <v>147</v>
      </c>
      <c r="M1807" s="47" t="s">
        <v>1297</v>
      </c>
      <c r="N1807" s="52" t="s">
        <v>1792</v>
      </c>
      <c r="O1807" s="51" t="e">
        <f>VLOOKUP(N1807,[2]!RUBROS[#All],3,0)</f>
        <v>#REF!</v>
      </c>
      <c r="P1807" s="53" t="e">
        <f>VLOOKUP(N1807,[2]!RUBROS[#All],2,0)</f>
        <v>#REF!</v>
      </c>
      <c r="Q1807" s="47" t="str">
        <f t="shared" si="588"/>
        <v>91</v>
      </c>
      <c r="R1807" s="47" t="str">
        <f t="shared" si="589"/>
        <v>0-205128</v>
      </c>
      <c r="S1807" s="339">
        <v>202</v>
      </c>
      <c r="T1807" s="59" t="s">
        <v>120</v>
      </c>
      <c r="U1807" s="326" t="e">
        <f ca="1">_xlfn.XLOOKUP(PAA_4[[#This Row],[ITEM]],[2]Contrato!A:A,[2]Contrato!Q:Q,"",0)</f>
        <v>#NAME?</v>
      </c>
      <c r="V1807" s="47" t="s">
        <v>95</v>
      </c>
      <c r="W1807" s="47" t="s">
        <v>154</v>
      </c>
      <c r="X1807" s="47" t="s">
        <v>154</v>
      </c>
      <c r="Y1807" s="55" t="e">
        <f ca="1">_xlfn.XLOOKUP(PAA_4[[#This Row],[ITEM]],[2]Contrato!A:A,[2]Contrato!B:B,"",0)</f>
        <v>#NAME?</v>
      </c>
      <c r="Z1807" s="47" t="e">
        <f ca="1">_xlfn.XLOOKUP(PAA_4[[#This Row],[ITEM]],[2]Contrato!A:A,[2]Contrato!G:G,"",0)</f>
        <v>#NAME?</v>
      </c>
      <c r="AA1807" s="47" t="e">
        <f ca="1">_xlfn.XLOOKUP(PAA_4[[#This Row],[ITEM]],[2]Contrato!A:A,[2]Contrato!T:T,"",0)</f>
        <v>#NAME?</v>
      </c>
      <c r="AB1807" s="55" t="e">
        <f ca="1">+MAX(PAA_4[[#This Row],[Comprometido Contrato]],PAA_4[[#This Row],[Comprometido Bolsa]])</f>
        <v>#NAME?</v>
      </c>
      <c r="AC1807" s="55" t="str">
        <f t="shared" ca="1" si="590"/>
        <v/>
      </c>
      <c r="AD1807" s="55" t="e">
        <f ca="1">IF(PAA_4[[#This Row],[ESTADO (formulado)]]="NO CONTRATADO",0,MAX(PAA_4[[#This Row],[Pago por Contrato]],PAA_4[[#This Row],[Pago por bolsa]]))</f>
        <v>#NAME?</v>
      </c>
      <c r="AE1807" s="55" t="str">
        <f t="shared" ca="1" si="591"/>
        <v/>
      </c>
      <c r="AF1807" s="47" t="e">
        <f t="shared" ca="1" si="592"/>
        <v>#NAME?</v>
      </c>
      <c r="AG1807" s="47">
        <f t="shared" si="593"/>
        <v>41080103</v>
      </c>
      <c r="AH1807" s="54">
        <f>IF(Q1807="22",IF(ISNUMBER(SEARCH("econ",PAA_4[[#This Row],[Actividad3]])),"Económico",IF(ISNUMBER(SEARCH("alim",PAA_4[[#This Row],[Actividad3]])),"Alimentación",IF(ISNUMBER(SEARCH("educ",PAA_4[[#This Row],[Actividad3]])),"Educativo","Técnico"))),0)</f>
        <v>0</v>
      </c>
      <c r="AI1807" s="47" t="e" cm="1">
        <f t="array" aca="1" ref="AI1807" ca="1">_xlfn.XLOOKUP(PAA_4[[#This Row],[RCP-RUBRO]],[2]!COMPROMISOS_2024[[#All],[concatenado]],[2]!COMPROMISOS_2024[[#All],[Total pagado]],"",0)</f>
        <v>#NAME?</v>
      </c>
      <c r="AJ1807" s="56">
        <f>IF(PAA_4[[#This Row],[BOLSA]]=0,0,SUMIFS([2]!COMPROMISOS_2024[[#All],[Total pagado]],[2]!COMPROMISOS_2024[[#All],[Bolsa]],PAA_4[[#This Row],[BOLSA]],[2]!COMPROMISOS_2024[[#All],[rubro]],PAA_4[[#This Row],[RCP-RUBRO]]))</f>
        <v>0</v>
      </c>
      <c r="AK1807" s="47" t="e" cm="1">
        <f t="array" aca="1" ref="AK1807" ca="1">_xlfn.XLOOKUP(PAA_4[[#This Row],[RCP-RUBRO]],[2]!COMPROMISOS_2024[[#All],[concatenado]],[2]!COMPROMISOS_2024[[#All],[Total Comprometido]],"",0)</f>
        <v>#NAME?</v>
      </c>
      <c r="AL1807" s="47">
        <f>IF(PAA_4[[#This Row],[BOLSA]]=0,0,SUMIFS([2]!COMPROMISOS_2024[[#All],[Total Comprometido]],[2]!COMPROMISOS_2024[[#All],[Bolsa]],PAA_4[[#This Row],[BOLSA]],[2]!COMPROMISOS_2024[[#All],[concatenado]],PAA_4[[#This Row],[RCP-RUBRO]]))</f>
        <v>0</v>
      </c>
    </row>
    <row r="1808" spans="1:38" s="19" customFormat="1" ht="31.5" customHeight="1">
      <c r="A1808" s="47">
        <v>827</v>
      </c>
      <c r="B1808" s="47">
        <v>80111600</v>
      </c>
      <c r="C1808" s="47" t="str">
        <f>VLOOKUP(PAA_4[[#This Row],[PROYECTO (formulado)2]],[2]PROYECTOS!$G$1:$L$32,6,0)</f>
        <v>OFICINA DE MEDICINA DEPORTIVA</v>
      </c>
      <c r="D1808" s="47" t="str">
        <f>+IF(PAA_4[[#This Row],[UNIDAD DE CONTRATACION (formulado)]]="Subgerencia Administrativa y Financiera","FUNCIONAMIENTO","INVERSIÓN")</f>
        <v>INVERSIÓN</v>
      </c>
      <c r="E1808" s="48" t="str">
        <f>VLOOKUP(Q1808,[2]PROYECTOS!$G$1:$K$32,5,0)</f>
        <v>APOYO_CIENTÍFICO_AL_RENDIMIENTO_DEPORTIVO_Y_LA_ACTIVIDAD_FÍSICA_EN_EL_DEPARTAMENTO_DE_ANTIOQUIA</v>
      </c>
      <c r="F1808" s="48">
        <f>VLOOKUP(E1808,[2]PROYECTOS!$K$1:$M$32,3,0)</f>
        <v>2021003050070</v>
      </c>
      <c r="G1808" s="49" t="s">
        <v>207</v>
      </c>
      <c r="H1808" s="49" t="str">
        <f>VLOOKUP(Q1808,[2]PROYECTOS!$V$1:$W$32,2,0)</f>
        <v>050068</v>
      </c>
      <c r="I1808" s="78">
        <v>0</v>
      </c>
      <c r="J1808" s="51" t="s">
        <v>42</v>
      </c>
      <c r="K1808" s="47" t="str">
        <f t="shared" ca="1" si="587"/>
        <v>CONTRATADO</v>
      </c>
      <c r="L1808" s="47" t="s">
        <v>147</v>
      </c>
      <c r="M1808" s="47" t="s">
        <v>1297</v>
      </c>
      <c r="N1808" s="52" t="s">
        <v>1792</v>
      </c>
      <c r="O1808" s="51" t="e">
        <f>VLOOKUP(N1808,[2]!RUBROS[#All],3,0)</f>
        <v>#REF!</v>
      </c>
      <c r="P1808" s="53" t="e">
        <f>VLOOKUP(N1808,[2]!RUBROS[#All],2,0)</f>
        <v>#REF!</v>
      </c>
      <c r="Q1808" s="47" t="str">
        <f t="shared" si="588"/>
        <v>91</v>
      </c>
      <c r="R1808" s="47" t="str">
        <f t="shared" si="589"/>
        <v>0-205128</v>
      </c>
      <c r="S1808" s="339">
        <v>189</v>
      </c>
      <c r="T1808" s="59" t="s">
        <v>120</v>
      </c>
      <c r="U1808" s="326" t="e">
        <f ca="1">_xlfn.XLOOKUP(PAA_4[[#This Row],[ITEM]],[2]Contrato!A:A,[2]Contrato!Q:Q,"",0)</f>
        <v>#NAME?</v>
      </c>
      <c r="V1808" s="47" t="s">
        <v>95</v>
      </c>
      <c r="W1808" s="47" t="s">
        <v>154</v>
      </c>
      <c r="X1808" s="47" t="s">
        <v>154</v>
      </c>
      <c r="Y1808" s="55" t="e">
        <f ca="1">_xlfn.XLOOKUP(PAA_4[[#This Row],[ITEM]],[2]Contrato!A:A,[2]Contrato!B:B,"",0)</f>
        <v>#NAME?</v>
      </c>
      <c r="Z1808" s="47" t="e">
        <f ca="1">_xlfn.XLOOKUP(PAA_4[[#This Row],[ITEM]],[2]Contrato!A:A,[2]Contrato!G:G,"",0)</f>
        <v>#NAME?</v>
      </c>
      <c r="AA1808" s="47" t="e">
        <f ca="1">_xlfn.XLOOKUP(PAA_4[[#This Row],[ITEM]],[2]Contrato!A:A,[2]Contrato!T:T,"",0)</f>
        <v>#NAME?</v>
      </c>
      <c r="AB1808" s="55" t="e">
        <f ca="1">+MAX(PAA_4[[#This Row],[Comprometido Contrato]],PAA_4[[#This Row],[Comprometido Bolsa]])</f>
        <v>#NAME?</v>
      </c>
      <c r="AC1808" s="55" t="str">
        <f t="shared" ca="1" si="590"/>
        <v/>
      </c>
      <c r="AD1808" s="55" t="e">
        <f ca="1">IF(PAA_4[[#This Row],[ESTADO (formulado)]]="NO CONTRATADO",0,MAX(PAA_4[[#This Row],[Pago por Contrato]],PAA_4[[#This Row],[Pago por bolsa]]))</f>
        <v>#NAME?</v>
      </c>
      <c r="AE1808" s="55" t="str">
        <f t="shared" ca="1" si="591"/>
        <v/>
      </c>
      <c r="AF1808" s="47" t="e">
        <f t="shared" ca="1" si="592"/>
        <v>#NAME?</v>
      </c>
      <c r="AG1808" s="47">
        <f t="shared" si="593"/>
        <v>41080103</v>
      </c>
      <c r="AH1808" s="54">
        <f>IF(Q1808="22",IF(ISNUMBER(SEARCH("econ",PAA_4[[#This Row],[Actividad3]])),"Económico",IF(ISNUMBER(SEARCH("alim",PAA_4[[#This Row],[Actividad3]])),"Alimentación",IF(ISNUMBER(SEARCH("educ",PAA_4[[#This Row],[Actividad3]])),"Educativo","Técnico"))),0)</f>
        <v>0</v>
      </c>
      <c r="AI1808" s="47" t="e" cm="1">
        <f t="array" aca="1" ref="AI1808" ca="1">_xlfn.XLOOKUP(PAA_4[[#This Row],[RCP-RUBRO]],[2]!COMPROMISOS_2024[[#All],[concatenado]],[2]!COMPROMISOS_2024[[#All],[Total pagado]],"",0)</f>
        <v>#NAME?</v>
      </c>
      <c r="AJ1808" s="56">
        <f>IF(PAA_4[[#This Row],[BOLSA]]=0,0,SUMIFS([2]!COMPROMISOS_2024[[#All],[Total pagado]],[2]!COMPROMISOS_2024[[#All],[Bolsa]],PAA_4[[#This Row],[BOLSA]],[2]!COMPROMISOS_2024[[#All],[rubro]],PAA_4[[#This Row],[RCP-RUBRO]]))</f>
        <v>0</v>
      </c>
      <c r="AK1808" s="47" t="e" cm="1">
        <f t="array" aca="1" ref="AK1808" ca="1">_xlfn.XLOOKUP(PAA_4[[#This Row],[RCP-RUBRO]],[2]!COMPROMISOS_2024[[#All],[concatenado]],[2]!COMPROMISOS_2024[[#All],[Total Comprometido]],"",0)</f>
        <v>#NAME?</v>
      </c>
      <c r="AL1808" s="47">
        <f>IF(PAA_4[[#This Row],[BOLSA]]=0,0,SUMIFS([2]!COMPROMISOS_2024[[#All],[Total Comprometido]],[2]!COMPROMISOS_2024[[#All],[Bolsa]],PAA_4[[#This Row],[BOLSA]],[2]!COMPROMISOS_2024[[#All],[concatenado]],PAA_4[[#This Row],[RCP-RUBRO]]))</f>
        <v>0</v>
      </c>
    </row>
    <row r="1809" spans="1:38" s="19" customFormat="1" ht="31.5" customHeight="1">
      <c r="A1809" s="47">
        <v>828</v>
      </c>
      <c r="B1809" s="47">
        <v>80111600</v>
      </c>
      <c r="C1809" s="47" t="str">
        <f>VLOOKUP(PAA_4[[#This Row],[PROYECTO (formulado)2]],[2]PROYECTOS!$G$1:$L$32,6,0)</f>
        <v>OFICINA DE MEDICINA DEPORTIVA</v>
      </c>
      <c r="D1809" s="47" t="str">
        <f>+IF(PAA_4[[#This Row],[UNIDAD DE CONTRATACION (formulado)]]="Subgerencia Administrativa y Financiera","FUNCIONAMIENTO","INVERSIÓN")</f>
        <v>INVERSIÓN</v>
      </c>
      <c r="E1809" s="48" t="str">
        <f>VLOOKUP(Q1809,[2]PROYECTOS!$G$1:$K$32,5,0)</f>
        <v>APOYO_CIENTÍFICO_AL_RENDIMIENTO_DEPORTIVO_Y_LA_ACTIVIDAD_FÍSICA_EN_EL_DEPARTAMENTO_DE_ANTIOQUIA</v>
      </c>
      <c r="F1809" s="48">
        <f>VLOOKUP(E1809,[2]PROYECTOS!$K$1:$M$32,3,0)</f>
        <v>2021003050070</v>
      </c>
      <c r="G1809" s="49" t="s">
        <v>207</v>
      </c>
      <c r="H1809" s="49" t="str">
        <f>VLOOKUP(Q1809,[2]PROYECTOS!$V$1:$W$32,2,0)</f>
        <v>050068</v>
      </c>
      <c r="I1809" s="78">
        <v>0</v>
      </c>
      <c r="J1809" s="51" t="s">
        <v>42</v>
      </c>
      <c r="K1809" s="47" t="str">
        <f t="shared" ca="1" si="587"/>
        <v>CONTRATADO</v>
      </c>
      <c r="L1809" s="47" t="s">
        <v>147</v>
      </c>
      <c r="M1809" s="47" t="s">
        <v>1297</v>
      </c>
      <c r="N1809" s="52" t="s">
        <v>1792</v>
      </c>
      <c r="O1809" s="51" t="e">
        <f>VLOOKUP(N1809,[2]!RUBROS[#All],3,0)</f>
        <v>#REF!</v>
      </c>
      <c r="P1809" s="53" t="e">
        <f>VLOOKUP(N1809,[2]!RUBROS[#All],2,0)</f>
        <v>#REF!</v>
      </c>
      <c r="Q1809" s="47" t="str">
        <f t="shared" si="588"/>
        <v>91</v>
      </c>
      <c r="R1809" s="47" t="str">
        <f t="shared" si="589"/>
        <v>0-205128</v>
      </c>
      <c r="S1809" s="339">
        <v>134</v>
      </c>
      <c r="T1809" s="59" t="s">
        <v>120</v>
      </c>
      <c r="U1809" s="326" t="e">
        <f ca="1">_xlfn.XLOOKUP(PAA_4[[#This Row],[ITEM]],[2]Contrato!A:A,[2]Contrato!Q:Q,"",0)</f>
        <v>#NAME?</v>
      </c>
      <c r="V1809" s="47" t="s">
        <v>95</v>
      </c>
      <c r="W1809" s="47" t="s">
        <v>154</v>
      </c>
      <c r="X1809" s="47" t="s">
        <v>154</v>
      </c>
      <c r="Y1809" s="55" t="e">
        <f ca="1">_xlfn.XLOOKUP(PAA_4[[#This Row],[ITEM]],[2]Contrato!A:A,[2]Contrato!B:B,"",0)</f>
        <v>#NAME?</v>
      </c>
      <c r="Z1809" s="47" t="e">
        <f ca="1">_xlfn.XLOOKUP(PAA_4[[#This Row],[ITEM]],[2]Contrato!A:A,[2]Contrato!G:G,"",0)</f>
        <v>#NAME?</v>
      </c>
      <c r="AA1809" s="47" t="e">
        <f ca="1">_xlfn.XLOOKUP(PAA_4[[#This Row],[ITEM]],[2]Contrato!A:A,[2]Contrato!T:T,"",0)</f>
        <v>#NAME?</v>
      </c>
      <c r="AB1809" s="55" t="e">
        <f ca="1">+MAX(PAA_4[[#This Row],[Comprometido Contrato]],PAA_4[[#This Row],[Comprometido Bolsa]])</f>
        <v>#NAME?</v>
      </c>
      <c r="AC1809" s="55" t="str">
        <f t="shared" ca="1" si="590"/>
        <v/>
      </c>
      <c r="AD1809" s="55" t="e">
        <f ca="1">IF(PAA_4[[#This Row],[ESTADO (formulado)]]="NO CONTRATADO",0,MAX(PAA_4[[#This Row],[Pago por Contrato]],PAA_4[[#This Row],[Pago por bolsa]]))</f>
        <v>#NAME?</v>
      </c>
      <c r="AE1809" s="55" t="str">
        <f t="shared" ca="1" si="591"/>
        <v/>
      </c>
      <c r="AF1809" s="47" t="e">
        <f t="shared" ca="1" si="592"/>
        <v>#NAME?</v>
      </c>
      <c r="AG1809" s="47">
        <f t="shared" si="593"/>
        <v>41080103</v>
      </c>
      <c r="AH1809" s="54">
        <f>IF(Q1809="22",IF(ISNUMBER(SEARCH("econ",PAA_4[[#This Row],[Actividad3]])),"Económico",IF(ISNUMBER(SEARCH("alim",PAA_4[[#This Row],[Actividad3]])),"Alimentación",IF(ISNUMBER(SEARCH("educ",PAA_4[[#This Row],[Actividad3]])),"Educativo","Técnico"))),0)</f>
        <v>0</v>
      </c>
      <c r="AI1809" s="47" t="e" cm="1">
        <f t="array" aca="1" ref="AI1809" ca="1">_xlfn.XLOOKUP(PAA_4[[#This Row],[RCP-RUBRO]],[2]!COMPROMISOS_2024[[#All],[concatenado]],[2]!COMPROMISOS_2024[[#All],[Total pagado]],"",0)</f>
        <v>#NAME?</v>
      </c>
      <c r="AJ1809" s="56">
        <f>IF(PAA_4[[#This Row],[BOLSA]]=0,0,SUMIFS([2]!COMPROMISOS_2024[[#All],[Total pagado]],[2]!COMPROMISOS_2024[[#All],[Bolsa]],PAA_4[[#This Row],[BOLSA]],[2]!COMPROMISOS_2024[[#All],[rubro]],PAA_4[[#This Row],[RCP-RUBRO]]))</f>
        <v>0</v>
      </c>
      <c r="AK1809" s="47" t="e" cm="1">
        <f t="array" aca="1" ref="AK1809" ca="1">_xlfn.XLOOKUP(PAA_4[[#This Row],[RCP-RUBRO]],[2]!COMPROMISOS_2024[[#All],[concatenado]],[2]!COMPROMISOS_2024[[#All],[Total Comprometido]],"",0)</f>
        <v>#NAME?</v>
      </c>
      <c r="AL1809" s="47">
        <f>IF(PAA_4[[#This Row],[BOLSA]]=0,0,SUMIFS([2]!COMPROMISOS_2024[[#All],[Total Comprometido]],[2]!COMPROMISOS_2024[[#All],[Bolsa]],PAA_4[[#This Row],[BOLSA]],[2]!COMPROMISOS_2024[[#All],[concatenado]],PAA_4[[#This Row],[RCP-RUBRO]]))</f>
        <v>0</v>
      </c>
    </row>
    <row r="1810" spans="1:38" s="19" customFormat="1" ht="31.5" customHeight="1">
      <c r="A1810" s="47">
        <v>829</v>
      </c>
      <c r="B1810" s="47">
        <v>80111600</v>
      </c>
      <c r="C1810" s="47" t="str">
        <f>VLOOKUP(PAA_4[[#This Row],[PROYECTO (formulado)2]],[2]PROYECTOS!$G$1:$L$32,6,0)</f>
        <v>OFICINA DE MEDICINA DEPORTIVA</v>
      </c>
      <c r="D1810" s="47" t="str">
        <f>+IF(PAA_4[[#This Row],[UNIDAD DE CONTRATACION (formulado)]]="Subgerencia Administrativa y Financiera","FUNCIONAMIENTO","INVERSIÓN")</f>
        <v>INVERSIÓN</v>
      </c>
      <c r="E1810" s="48" t="str">
        <f>VLOOKUP(Q1810,[2]PROYECTOS!$G$1:$K$32,5,0)</f>
        <v>APOYO_CIENTÍFICO_AL_RENDIMIENTO_DEPORTIVO_Y_LA_ACTIVIDAD_FÍSICA_EN_EL_DEPARTAMENTO_DE_ANTIOQUIA</v>
      </c>
      <c r="F1810" s="48">
        <f>VLOOKUP(E1810,[2]PROYECTOS!$K$1:$M$32,3,0)</f>
        <v>2021003050070</v>
      </c>
      <c r="G1810" s="49" t="s">
        <v>207</v>
      </c>
      <c r="H1810" s="49" t="str">
        <f>VLOOKUP(Q1810,[2]PROYECTOS!$V$1:$W$32,2,0)</f>
        <v>050068</v>
      </c>
      <c r="I1810" s="78">
        <v>0</v>
      </c>
      <c r="J1810" s="51" t="s">
        <v>42</v>
      </c>
      <c r="K1810" s="47" t="str">
        <f t="shared" ca="1" si="587"/>
        <v>CONTRATADO</v>
      </c>
      <c r="L1810" s="47" t="s">
        <v>147</v>
      </c>
      <c r="M1810" s="47" t="s">
        <v>1297</v>
      </c>
      <c r="N1810" s="52" t="s">
        <v>1792</v>
      </c>
      <c r="O1810" s="51" t="e">
        <f>VLOOKUP(N1810,[2]!RUBROS[#All],3,0)</f>
        <v>#REF!</v>
      </c>
      <c r="P1810" s="53" t="e">
        <f>VLOOKUP(N1810,[2]!RUBROS[#All],2,0)</f>
        <v>#REF!</v>
      </c>
      <c r="Q1810" s="47" t="str">
        <f t="shared" si="588"/>
        <v>91</v>
      </c>
      <c r="R1810" s="47" t="str">
        <f t="shared" si="589"/>
        <v>0-205128</v>
      </c>
      <c r="S1810" s="339">
        <v>122</v>
      </c>
      <c r="T1810" s="59" t="s">
        <v>120</v>
      </c>
      <c r="U1810" s="326" t="e">
        <f ca="1">_xlfn.XLOOKUP(PAA_4[[#This Row],[ITEM]],[2]Contrato!A:A,[2]Contrato!Q:Q,"",0)</f>
        <v>#NAME?</v>
      </c>
      <c r="V1810" s="47" t="s">
        <v>95</v>
      </c>
      <c r="W1810" s="47" t="s">
        <v>154</v>
      </c>
      <c r="X1810" s="47" t="s">
        <v>154</v>
      </c>
      <c r="Y1810" s="55" t="e">
        <f ca="1">_xlfn.XLOOKUP(PAA_4[[#This Row],[ITEM]],[2]Contrato!A:A,[2]Contrato!B:B,"",0)</f>
        <v>#NAME?</v>
      </c>
      <c r="Z1810" s="47" t="e">
        <f ca="1">_xlfn.XLOOKUP(PAA_4[[#This Row],[ITEM]],[2]Contrato!A:A,[2]Contrato!G:G,"",0)</f>
        <v>#NAME?</v>
      </c>
      <c r="AA1810" s="47" t="e">
        <f ca="1">_xlfn.XLOOKUP(PAA_4[[#This Row],[ITEM]],[2]Contrato!A:A,[2]Contrato!T:T,"",0)</f>
        <v>#NAME?</v>
      </c>
      <c r="AB1810" s="55" t="e">
        <f ca="1">+MAX(PAA_4[[#This Row],[Comprometido Contrato]],PAA_4[[#This Row],[Comprometido Bolsa]])</f>
        <v>#NAME?</v>
      </c>
      <c r="AC1810" s="55" t="str">
        <f t="shared" ca="1" si="590"/>
        <v/>
      </c>
      <c r="AD1810" s="55" t="e">
        <f ca="1">IF(PAA_4[[#This Row],[ESTADO (formulado)]]="NO CONTRATADO",0,MAX(PAA_4[[#This Row],[Pago por Contrato]],PAA_4[[#This Row],[Pago por bolsa]]))</f>
        <v>#NAME?</v>
      </c>
      <c r="AE1810" s="55" t="str">
        <f t="shared" ca="1" si="591"/>
        <v/>
      </c>
      <c r="AF1810" s="47" t="e">
        <f t="shared" ca="1" si="592"/>
        <v>#NAME?</v>
      </c>
      <c r="AG1810" s="47">
        <f t="shared" si="593"/>
        <v>41080103</v>
      </c>
      <c r="AH1810" s="54">
        <f>IF(Q1810="22",IF(ISNUMBER(SEARCH("econ",PAA_4[[#This Row],[Actividad3]])),"Económico",IF(ISNUMBER(SEARCH("alim",PAA_4[[#This Row],[Actividad3]])),"Alimentación",IF(ISNUMBER(SEARCH("educ",PAA_4[[#This Row],[Actividad3]])),"Educativo","Técnico"))),0)</f>
        <v>0</v>
      </c>
      <c r="AI1810" s="47" t="e" cm="1">
        <f t="array" aca="1" ref="AI1810" ca="1">_xlfn.XLOOKUP(PAA_4[[#This Row],[RCP-RUBRO]],[2]!COMPROMISOS_2024[[#All],[concatenado]],[2]!COMPROMISOS_2024[[#All],[Total pagado]],"",0)</f>
        <v>#NAME?</v>
      </c>
      <c r="AJ1810" s="56">
        <f>IF(PAA_4[[#This Row],[BOLSA]]=0,0,SUMIFS([2]!COMPROMISOS_2024[[#All],[Total pagado]],[2]!COMPROMISOS_2024[[#All],[Bolsa]],PAA_4[[#This Row],[BOLSA]],[2]!COMPROMISOS_2024[[#All],[rubro]],PAA_4[[#This Row],[RCP-RUBRO]]))</f>
        <v>0</v>
      </c>
      <c r="AK1810" s="47" t="e" cm="1">
        <f t="array" aca="1" ref="AK1810" ca="1">_xlfn.XLOOKUP(PAA_4[[#This Row],[RCP-RUBRO]],[2]!COMPROMISOS_2024[[#All],[concatenado]],[2]!COMPROMISOS_2024[[#All],[Total Comprometido]],"",0)</f>
        <v>#NAME?</v>
      </c>
      <c r="AL1810" s="47">
        <f>IF(PAA_4[[#This Row],[BOLSA]]=0,0,SUMIFS([2]!COMPROMISOS_2024[[#All],[Total Comprometido]],[2]!COMPROMISOS_2024[[#All],[Bolsa]],PAA_4[[#This Row],[BOLSA]],[2]!COMPROMISOS_2024[[#All],[concatenado]],PAA_4[[#This Row],[RCP-RUBRO]]))</f>
        <v>0</v>
      </c>
    </row>
    <row r="1811" spans="1:38" s="19" customFormat="1" ht="31.5" customHeight="1">
      <c r="A1811" s="47" t="s">
        <v>82</v>
      </c>
      <c r="B1811" s="47" t="s">
        <v>42</v>
      </c>
      <c r="C1811" s="47" t="str">
        <f>VLOOKUP(PAA_4[[#This Row],[PROYECTO (formulado)2]],[2]PROYECTOS!$G$1:$L$32,6,0)</f>
        <v>OFICINA DE MEDICINA DEPORTIVA</v>
      </c>
      <c r="D1811" s="47" t="str">
        <f>+IF(PAA_4[[#This Row],[UNIDAD DE CONTRATACION (formulado)]]="Subgerencia Administrativa y Financiera","FUNCIONAMIENTO","INVERSIÓN")</f>
        <v>INVERSIÓN</v>
      </c>
      <c r="E1811" s="48" t="str">
        <f>VLOOKUP(Q1811,[2]PROYECTOS!$G$1:$K$32,5,0)</f>
        <v>APOYO_CIENTÍFICO_AL_RENDIMIENTO_DEPORTIVO_Y_LA_ACTIVIDAD_FÍSICA_EN_EL_DEPARTAMENTO_DE_ANTIOQUIA</v>
      </c>
      <c r="F1811" s="48">
        <f>VLOOKUP(E1811,[2]PROYECTOS!$K$1:$M$32,3,0)</f>
        <v>2021003050070</v>
      </c>
      <c r="G1811" s="67" t="s">
        <v>212</v>
      </c>
      <c r="H1811" s="49" t="str">
        <f>VLOOKUP(Q1811,[2]PROYECTOS!$V$1:$W$32,2,0)</f>
        <v>050068</v>
      </c>
      <c r="I1811" s="78">
        <v>11332769</v>
      </c>
      <c r="J1811" s="51" t="s">
        <v>1778</v>
      </c>
      <c r="K1811" s="47" t="str">
        <f t="shared" ca="1" si="587"/>
        <v>CONTRATADO</v>
      </c>
      <c r="L1811" s="47" t="s">
        <v>42</v>
      </c>
      <c r="M1811" s="47" t="s">
        <v>42</v>
      </c>
      <c r="N1811" s="52" t="s">
        <v>1792</v>
      </c>
      <c r="O1811" s="51" t="e">
        <f>VLOOKUP(N1811,[2]!RUBROS[#All],3,0)</f>
        <v>#REF!</v>
      </c>
      <c r="P1811" s="53" t="e">
        <f>VLOOKUP(N1811,[2]!RUBROS[#All],2,0)</f>
        <v>#REF!</v>
      </c>
      <c r="Q1811" s="47" t="str">
        <f t="shared" si="588"/>
        <v>91</v>
      </c>
      <c r="R1811" s="47" t="str">
        <f t="shared" si="589"/>
        <v>0-205128</v>
      </c>
      <c r="S1811" s="369" t="s">
        <v>42</v>
      </c>
      <c r="T1811" s="59" t="s">
        <v>42</v>
      </c>
      <c r="U1811" s="326" t="e">
        <f ca="1">_xlfn.XLOOKUP(PAA_4[[#This Row],[ITEM]],[2]Contrato!A:A,[2]Contrato!Q:Q,"",0)</f>
        <v>#NAME?</v>
      </c>
      <c r="V1811" s="47" t="s">
        <v>95</v>
      </c>
      <c r="W1811" s="370" t="s">
        <v>42</v>
      </c>
      <c r="X1811" s="370" t="s">
        <v>42</v>
      </c>
      <c r="Y1811" s="55" t="e">
        <f ca="1">_xlfn.XLOOKUP(PAA_4[[#This Row],[ITEM]],[2]Contrato!A:A,[2]Contrato!B:B,"",0)</f>
        <v>#NAME?</v>
      </c>
      <c r="Z1811" s="47" t="e">
        <f ca="1">_xlfn.XLOOKUP(PAA_4[[#This Row],[ITEM]],[2]Contrato!A:A,[2]Contrato!G:G,"",0)</f>
        <v>#NAME?</v>
      </c>
      <c r="AA1811" s="47" t="e">
        <f ca="1">_xlfn.XLOOKUP(PAA_4[[#This Row],[ITEM]],[2]Contrato!A:A,[2]Contrato!T:T,"",0)</f>
        <v>#NAME?</v>
      </c>
      <c r="AB1811" s="55" t="e">
        <f ca="1">+MAX(PAA_4[[#This Row],[Comprometido Contrato]],PAA_4[[#This Row],[Comprometido Bolsa]])</f>
        <v>#NAME?</v>
      </c>
      <c r="AC1811" s="55" t="str">
        <f t="shared" ca="1" si="590"/>
        <v/>
      </c>
      <c r="AD1811" s="55" t="e">
        <f ca="1">IF(PAA_4[[#This Row],[ESTADO (formulado)]]="NO CONTRATADO",0,MAX(PAA_4[[#This Row],[Pago por Contrato]],PAA_4[[#This Row],[Pago por bolsa]]))</f>
        <v>#NAME?</v>
      </c>
      <c r="AE1811" s="55" t="str">
        <f t="shared" ca="1" si="591"/>
        <v/>
      </c>
      <c r="AF1811" s="47" t="e">
        <f t="shared" ca="1" si="592"/>
        <v>#NAME?</v>
      </c>
      <c r="AG1811" s="47">
        <f t="shared" si="593"/>
        <v>41080108</v>
      </c>
      <c r="AH1811" s="54">
        <f>IF(Q1811="22",IF(ISNUMBER(SEARCH("econ",PAA_4[[#This Row],[Actividad3]])),"Económico",IF(ISNUMBER(SEARCH("alim",PAA_4[[#This Row],[Actividad3]])),"Alimentación",IF(ISNUMBER(SEARCH("educ",PAA_4[[#This Row],[Actividad3]])),"Educativo","Técnico"))),0)</f>
        <v>0</v>
      </c>
      <c r="AI1811" s="47" t="e" cm="1">
        <f t="array" aca="1" ref="AI1811" ca="1">_xlfn.XLOOKUP(PAA_4[[#This Row],[RCP-RUBRO]],[2]!COMPROMISOS_2024[[#All],[concatenado]],[2]!COMPROMISOS_2024[[#All],[Total pagado]],"",0)</f>
        <v>#NAME?</v>
      </c>
      <c r="AJ1811" s="56">
        <f>IF(PAA_4[[#This Row],[BOLSA]]=0,0,SUMIFS([2]!COMPROMISOS_2024[[#All],[Total pagado]],[2]!COMPROMISOS_2024[[#All],[Bolsa]],PAA_4[[#This Row],[BOLSA]],[2]!COMPROMISOS_2024[[#All],[rubro]],PAA_4[[#This Row],[RCP-RUBRO]]))</f>
        <v>0</v>
      </c>
      <c r="AK1811" s="47" t="e" cm="1">
        <f t="array" aca="1" ref="AK1811" ca="1">_xlfn.XLOOKUP(PAA_4[[#This Row],[RCP-RUBRO]],[2]!COMPROMISOS_2024[[#All],[concatenado]],[2]!COMPROMISOS_2024[[#All],[Total Comprometido]],"",0)</f>
        <v>#NAME?</v>
      </c>
      <c r="AL1811" s="47">
        <f>IF(PAA_4[[#This Row],[BOLSA]]=0,0,SUMIFS([2]!COMPROMISOS_2024[[#All],[Total Comprometido]],[2]!COMPROMISOS_2024[[#All],[Bolsa]],PAA_4[[#This Row],[BOLSA]],[2]!COMPROMISOS_2024[[#All],[concatenado]],PAA_4[[#This Row],[RCP-RUBRO]]))</f>
        <v>0</v>
      </c>
    </row>
    <row r="1812" spans="1:38" s="19" customFormat="1" ht="31.5" customHeight="1">
      <c r="A1812" s="47">
        <v>830</v>
      </c>
      <c r="B1812" s="47">
        <v>80111600</v>
      </c>
      <c r="C1812" s="47" t="str">
        <f>VLOOKUP(PAA_4[[#This Row],[PROYECTO (formulado)2]],[2]PROYECTOS!$G$1:$L$32,6,0)</f>
        <v>OFICINA DE MEDICINA DEPORTIVA</v>
      </c>
      <c r="D1812" s="47" t="str">
        <f>+IF(PAA_4[[#This Row],[UNIDAD DE CONTRATACION (formulado)]]="Subgerencia Administrativa y Financiera","FUNCIONAMIENTO","INVERSIÓN")</f>
        <v>INVERSIÓN</v>
      </c>
      <c r="E1812" s="48" t="str">
        <f>VLOOKUP(Q1812,[2]PROYECTOS!$G$1:$K$32,5,0)</f>
        <v>APOYO_CIENTÍFICO_AL_RENDIMIENTO_DEPORTIVO_Y_LA_ACTIVIDAD_FÍSICA_EN_EL_DEPARTAMENTO_DE_ANTIOQUIA</v>
      </c>
      <c r="F1812" s="48">
        <f>VLOOKUP(E1812,[2]PROYECTOS!$K$1:$M$32,3,0)</f>
        <v>2021003050070</v>
      </c>
      <c r="G1812" s="67" t="s">
        <v>212</v>
      </c>
      <c r="H1812" s="49" t="str">
        <f>VLOOKUP(Q1812,[2]PROYECTOS!$V$1:$W$32,2,0)</f>
        <v>050068</v>
      </c>
      <c r="I1812" s="78">
        <f>42166102-11332769-2220000</f>
        <v>28613333</v>
      </c>
      <c r="J1812" s="51" t="s">
        <v>1497</v>
      </c>
      <c r="K1812" s="47" t="str">
        <f t="shared" ca="1" si="587"/>
        <v>CONTRATADO</v>
      </c>
      <c r="L1812" s="47" t="s">
        <v>898</v>
      </c>
      <c r="M1812" s="47" t="s">
        <v>1297</v>
      </c>
      <c r="N1812" s="52" t="s">
        <v>1792</v>
      </c>
      <c r="O1812" s="51" t="e">
        <f>VLOOKUP(N1812,[2]!RUBROS[#All],3,0)</f>
        <v>#REF!</v>
      </c>
      <c r="P1812" s="53" t="e">
        <f>VLOOKUP(N1812,[2]!RUBROS[#All],2,0)</f>
        <v>#REF!</v>
      </c>
      <c r="Q1812" s="47" t="str">
        <f t="shared" si="588"/>
        <v>91</v>
      </c>
      <c r="R1812" s="47" t="str">
        <f t="shared" si="589"/>
        <v>0-205128</v>
      </c>
      <c r="S1812" s="54">
        <v>149</v>
      </c>
      <c r="T1812" s="59" t="s">
        <v>120</v>
      </c>
      <c r="U1812" s="326" t="e">
        <f ca="1">_xlfn.XLOOKUP(PAA_4[[#This Row],[ITEM]],[2]Contrato!A:A,[2]Contrato!Q:Q,"",0)</f>
        <v>#NAME?</v>
      </c>
      <c r="V1812" s="47" t="s">
        <v>95</v>
      </c>
      <c r="W1812" s="47" t="s">
        <v>193</v>
      </c>
      <c r="X1812" s="47" t="s">
        <v>194</v>
      </c>
      <c r="Y1812" s="55" t="e">
        <f ca="1">_xlfn.XLOOKUP(PAA_4[[#This Row],[ITEM]],[2]Contrato!A:A,[2]Contrato!B:B,"",0)</f>
        <v>#NAME?</v>
      </c>
      <c r="Z1812" s="47" t="e">
        <f ca="1">_xlfn.XLOOKUP(PAA_4[[#This Row],[ITEM]],[2]Contrato!A:A,[2]Contrato!G:G,"",0)</f>
        <v>#NAME?</v>
      </c>
      <c r="AA1812" s="47" t="e">
        <f ca="1">_xlfn.XLOOKUP(PAA_4[[#This Row],[ITEM]],[2]Contrato!A:A,[2]Contrato!T:T,"",0)</f>
        <v>#NAME?</v>
      </c>
      <c r="AB1812" s="55" t="e">
        <f ca="1">+MAX(PAA_4[[#This Row],[Comprometido Contrato]],PAA_4[[#This Row],[Comprometido Bolsa]])</f>
        <v>#NAME?</v>
      </c>
      <c r="AC1812" s="55" t="str">
        <f t="shared" ca="1" si="590"/>
        <v/>
      </c>
      <c r="AD1812" s="55" t="e">
        <f ca="1">IF(PAA_4[[#This Row],[ESTADO (formulado)]]="NO CONTRATADO",0,MAX(PAA_4[[#This Row],[Pago por Contrato]],PAA_4[[#This Row],[Pago por bolsa]]))</f>
        <v>#NAME?</v>
      </c>
      <c r="AE1812" s="55" t="str">
        <f t="shared" ca="1" si="591"/>
        <v/>
      </c>
      <c r="AF1812" s="47" t="e">
        <f t="shared" ca="1" si="592"/>
        <v>#NAME?</v>
      </c>
      <c r="AG1812" s="47">
        <f t="shared" si="593"/>
        <v>41080108</v>
      </c>
      <c r="AH1812" s="54">
        <f>IF(Q1812="22",IF(ISNUMBER(SEARCH("econ",PAA_4[[#This Row],[Actividad3]])),"Económico",IF(ISNUMBER(SEARCH("alim",PAA_4[[#This Row],[Actividad3]])),"Alimentación",IF(ISNUMBER(SEARCH("educ",PAA_4[[#This Row],[Actividad3]])),"Educativo","Técnico"))),0)</f>
        <v>0</v>
      </c>
      <c r="AI1812" s="47" t="e" cm="1">
        <f t="array" aca="1" ref="AI1812" ca="1">_xlfn.XLOOKUP(PAA_4[[#This Row],[RCP-RUBRO]],[2]!COMPROMISOS_2024[[#All],[concatenado]],[2]!COMPROMISOS_2024[[#All],[Total pagado]],"",0)</f>
        <v>#NAME?</v>
      </c>
      <c r="AJ1812" s="56">
        <f>IF(PAA_4[[#This Row],[BOLSA]]=0,0,SUMIFS([2]!COMPROMISOS_2024[[#All],[Total pagado]],[2]!COMPROMISOS_2024[[#All],[Bolsa]],PAA_4[[#This Row],[BOLSA]],[2]!COMPROMISOS_2024[[#All],[rubro]],PAA_4[[#This Row],[RCP-RUBRO]]))</f>
        <v>0</v>
      </c>
      <c r="AK1812" s="47" t="e" cm="1">
        <f t="array" aca="1" ref="AK1812" ca="1">_xlfn.XLOOKUP(PAA_4[[#This Row],[RCP-RUBRO]],[2]!COMPROMISOS_2024[[#All],[concatenado]],[2]!COMPROMISOS_2024[[#All],[Total Comprometido]],"",0)</f>
        <v>#NAME?</v>
      </c>
      <c r="AL1812" s="47">
        <f>IF(PAA_4[[#This Row],[BOLSA]]=0,0,SUMIFS([2]!COMPROMISOS_2024[[#All],[Total Comprometido]],[2]!COMPROMISOS_2024[[#All],[Bolsa]],PAA_4[[#This Row],[BOLSA]],[2]!COMPROMISOS_2024[[#All],[concatenado]],PAA_4[[#This Row],[RCP-RUBRO]]))</f>
        <v>0</v>
      </c>
    </row>
    <row r="1813" spans="1:38" s="19" customFormat="1" ht="31.5" customHeight="1">
      <c r="A1813" s="47">
        <v>831</v>
      </c>
      <c r="B1813" s="47">
        <v>80111600</v>
      </c>
      <c r="C1813" s="47" t="str">
        <f>VLOOKUP(PAA_4[[#This Row],[PROYECTO (formulado)2]],[2]PROYECTOS!$G$1:$L$32,6,0)</f>
        <v>OFICINA DE MEDICINA DEPORTIVA</v>
      </c>
      <c r="D1813" s="47" t="str">
        <f>+IF(PAA_4[[#This Row],[UNIDAD DE CONTRATACION (formulado)]]="Subgerencia Administrativa y Financiera","FUNCIONAMIENTO","INVERSIÓN")</f>
        <v>INVERSIÓN</v>
      </c>
      <c r="E1813" s="48" t="str">
        <f>VLOOKUP(Q1813,[2]PROYECTOS!$G$1:$K$32,5,0)</f>
        <v>APOYO_CIENTÍFICO_AL_RENDIMIENTO_DEPORTIVO_Y_LA_ACTIVIDAD_FÍSICA_EN_EL_DEPARTAMENTO_DE_ANTIOQUIA</v>
      </c>
      <c r="F1813" s="48">
        <f>VLOOKUP(E1813,[2]PROYECTOS!$K$1:$M$32,3,0)</f>
        <v>2021003050070</v>
      </c>
      <c r="G1813" s="49" t="s">
        <v>207</v>
      </c>
      <c r="H1813" s="49" t="str">
        <f>VLOOKUP(Q1813,[2]PROYECTOS!$V$1:$W$32,2,0)</f>
        <v>050068</v>
      </c>
      <c r="I1813" s="78">
        <v>0</v>
      </c>
      <c r="J1813" s="51" t="s">
        <v>42</v>
      </c>
      <c r="K1813" s="47" t="str">
        <f t="shared" ca="1" si="587"/>
        <v>CONTRATADO</v>
      </c>
      <c r="L1813" s="47" t="s">
        <v>42</v>
      </c>
      <c r="M1813" s="47" t="s">
        <v>42</v>
      </c>
      <c r="N1813" s="52" t="s">
        <v>1792</v>
      </c>
      <c r="O1813" s="51" t="e">
        <f>VLOOKUP(N1813,[2]!RUBROS[#All],3,0)</f>
        <v>#REF!</v>
      </c>
      <c r="P1813" s="53" t="e">
        <f>VLOOKUP(N1813,[2]!RUBROS[#All],2,0)</f>
        <v>#REF!</v>
      </c>
      <c r="Q1813" s="47" t="str">
        <f t="shared" si="588"/>
        <v>91</v>
      </c>
      <c r="R1813" s="47" t="str">
        <f t="shared" si="589"/>
        <v>0-205128</v>
      </c>
      <c r="S1813" s="339" t="s">
        <v>42</v>
      </c>
      <c r="T1813" s="59" t="s">
        <v>42</v>
      </c>
      <c r="U1813" s="326" t="e">
        <f ca="1">_xlfn.XLOOKUP(PAA_4[[#This Row],[ITEM]],[2]Contrato!A:A,[2]Contrato!Q:Q,"",0)</f>
        <v>#NAME?</v>
      </c>
      <c r="V1813" s="47" t="s">
        <v>95</v>
      </c>
      <c r="W1813" s="47" t="s">
        <v>154</v>
      </c>
      <c r="X1813" s="47" t="s">
        <v>154</v>
      </c>
      <c r="Y1813" s="55" t="e">
        <f ca="1">_xlfn.XLOOKUP(PAA_4[[#This Row],[ITEM]],[2]Contrato!A:A,[2]Contrato!B:B,"",0)</f>
        <v>#NAME?</v>
      </c>
      <c r="Z1813" s="47" t="e">
        <f ca="1">_xlfn.XLOOKUP(PAA_4[[#This Row],[ITEM]],[2]Contrato!A:A,[2]Contrato!G:G,"",0)</f>
        <v>#NAME?</v>
      </c>
      <c r="AA1813" s="47" t="e">
        <f ca="1">_xlfn.XLOOKUP(PAA_4[[#This Row],[ITEM]],[2]Contrato!A:A,[2]Contrato!T:T,"",0)</f>
        <v>#NAME?</v>
      </c>
      <c r="AB1813" s="55" t="e">
        <f ca="1">+MAX(PAA_4[[#This Row],[Comprometido Contrato]],PAA_4[[#This Row],[Comprometido Bolsa]])</f>
        <v>#NAME?</v>
      </c>
      <c r="AC1813" s="55" t="str">
        <f t="shared" ca="1" si="590"/>
        <v/>
      </c>
      <c r="AD1813" s="55" t="e">
        <f ca="1">IF(PAA_4[[#This Row],[ESTADO (formulado)]]="NO CONTRATADO",0,MAX(PAA_4[[#This Row],[Pago por Contrato]],PAA_4[[#This Row],[Pago por bolsa]]))</f>
        <v>#NAME?</v>
      </c>
      <c r="AE1813" s="55" t="str">
        <f t="shared" ca="1" si="591"/>
        <v/>
      </c>
      <c r="AF1813" s="47" t="e">
        <f t="shared" ca="1" si="592"/>
        <v>#NAME?</v>
      </c>
      <c r="AG1813" s="47">
        <f t="shared" si="593"/>
        <v>41080103</v>
      </c>
      <c r="AH1813" s="54">
        <f>IF(Q1813="22",IF(ISNUMBER(SEARCH("econ",PAA_4[[#This Row],[Actividad3]])),"Económico",IF(ISNUMBER(SEARCH("alim",PAA_4[[#This Row],[Actividad3]])),"Alimentación",IF(ISNUMBER(SEARCH("educ",PAA_4[[#This Row],[Actividad3]])),"Educativo","Técnico"))),0)</f>
        <v>0</v>
      </c>
      <c r="AI1813" s="47" t="e" cm="1">
        <f t="array" aca="1" ref="AI1813" ca="1">_xlfn.XLOOKUP(PAA_4[[#This Row],[RCP-RUBRO]],[2]!COMPROMISOS_2024[[#All],[concatenado]],[2]!COMPROMISOS_2024[[#All],[Total pagado]],"",0)</f>
        <v>#NAME?</v>
      </c>
      <c r="AJ1813" s="56">
        <f>IF(PAA_4[[#This Row],[BOLSA]]=0,0,SUMIFS([2]!COMPROMISOS_2024[[#All],[Total pagado]],[2]!COMPROMISOS_2024[[#All],[Bolsa]],PAA_4[[#This Row],[BOLSA]],[2]!COMPROMISOS_2024[[#All],[rubro]],PAA_4[[#This Row],[RCP-RUBRO]]))</f>
        <v>0</v>
      </c>
      <c r="AK1813" s="47" t="e" cm="1">
        <f t="array" aca="1" ref="AK1813" ca="1">_xlfn.XLOOKUP(PAA_4[[#This Row],[RCP-RUBRO]],[2]!COMPROMISOS_2024[[#All],[concatenado]],[2]!COMPROMISOS_2024[[#All],[Total Comprometido]],"",0)</f>
        <v>#NAME?</v>
      </c>
      <c r="AL1813" s="47">
        <f>IF(PAA_4[[#This Row],[BOLSA]]=0,0,SUMIFS([2]!COMPROMISOS_2024[[#All],[Total Comprometido]],[2]!COMPROMISOS_2024[[#All],[Bolsa]],PAA_4[[#This Row],[BOLSA]],[2]!COMPROMISOS_2024[[#All],[concatenado]],PAA_4[[#This Row],[RCP-RUBRO]]))</f>
        <v>0</v>
      </c>
    </row>
    <row r="1814" spans="1:38" s="19" customFormat="1" ht="31.5" customHeight="1">
      <c r="A1814" s="47">
        <v>832</v>
      </c>
      <c r="B1814" s="47">
        <v>80111600</v>
      </c>
      <c r="C1814" s="47" t="str">
        <f>VLOOKUP(PAA_4[[#This Row],[PROYECTO (formulado)2]],[2]PROYECTOS!$G$1:$L$32,6,0)</f>
        <v>OFICINA DE MEDICINA DEPORTIVA</v>
      </c>
      <c r="D1814" s="47" t="str">
        <f>+IF(PAA_4[[#This Row],[UNIDAD DE CONTRATACION (formulado)]]="Subgerencia Administrativa y Financiera","FUNCIONAMIENTO","INVERSIÓN")</f>
        <v>INVERSIÓN</v>
      </c>
      <c r="E1814" s="48" t="str">
        <f>VLOOKUP(Q1814,[2]PROYECTOS!$G$1:$K$32,5,0)</f>
        <v>APOYO_CIENTÍFICO_AL_RENDIMIENTO_DEPORTIVO_Y_LA_ACTIVIDAD_FÍSICA_EN_EL_DEPARTAMENTO_DE_ANTIOQUIA</v>
      </c>
      <c r="F1814" s="48">
        <f>VLOOKUP(E1814,[2]PROYECTOS!$K$1:$M$32,3,0)</f>
        <v>2021003050070</v>
      </c>
      <c r="G1814" s="67" t="s">
        <v>212</v>
      </c>
      <c r="H1814" s="49" t="str">
        <f>VLOOKUP(Q1814,[2]PROYECTOS!$V$1:$W$32,2,0)</f>
        <v>050068</v>
      </c>
      <c r="I1814" s="78">
        <v>0</v>
      </c>
      <c r="J1814" s="51" t="s">
        <v>42</v>
      </c>
      <c r="K1814" s="47" t="str">
        <f t="shared" ca="1" si="587"/>
        <v>CONTRATADO</v>
      </c>
      <c r="L1814" s="47" t="s">
        <v>42</v>
      </c>
      <c r="M1814" s="47" t="s">
        <v>42</v>
      </c>
      <c r="N1814" s="52" t="s">
        <v>1792</v>
      </c>
      <c r="O1814" s="51" t="e">
        <f>VLOOKUP(N1814,[2]!RUBROS[#All],3,0)</f>
        <v>#REF!</v>
      </c>
      <c r="P1814" s="53" t="e">
        <f>VLOOKUP(N1814,[2]!RUBROS[#All],2,0)</f>
        <v>#REF!</v>
      </c>
      <c r="Q1814" s="47" t="str">
        <f t="shared" si="588"/>
        <v>91</v>
      </c>
      <c r="R1814" s="47" t="str">
        <f t="shared" si="589"/>
        <v>0-205128</v>
      </c>
      <c r="S1814" s="339">
        <v>155</v>
      </c>
      <c r="T1814" s="59" t="s">
        <v>42</v>
      </c>
      <c r="U1814" s="326" t="e">
        <f ca="1">_xlfn.XLOOKUP(PAA_4[[#This Row],[ITEM]],[2]Contrato!A:A,[2]Contrato!Q:Q,"",0)</f>
        <v>#NAME?</v>
      </c>
      <c r="V1814" s="47" t="s">
        <v>95</v>
      </c>
      <c r="W1814" s="47" t="s">
        <v>193</v>
      </c>
      <c r="X1814" s="47" t="s">
        <v>194</v>
      </c>
      <c r="Y1814" s="55" t="e">
        <f ca="1">_xlfn.XLOOKUP(PAA_4[[#This Row],[ITEM]],[2]Contrato!A:A,[2]Contrato!B:B,"",0)</f>
        <v>#NAME?</v>
      </c>
      <c r="Z1814" s="47" t="e">
        <f ca="1">_xlfn.XLOOKUP(PAA_4[[#This Row],[ITEM]],[2]Contrato!A:A,[2]Contrato!G:G,"",0)</f>
        <v>#NAME?</v>
      </c>
      <c r="AA1814" s="47" t="e">
        <f ca="1">_xlfn.XLOOKUP(PAA_4[[#This Row],[ITEM]],[2]Contrato!A:A,[2]Contrato!T:T,"",0)</f>
        <v>#NAME?</v>
      </c>
      <c r="AB1814" s="55" t="e">
        <f ca="1">+MAX(PAA_4[[#This Row],[Comprometido Contrato]],PAA_4[[#This Row],[Comprometido Bolsa]])</f>
        <v>#NAME?</v>
      </c>
      <c r="AC1814" s="55" t="str">
        <f t="shared" ca="1" si="590"/>
        <v/>
      </c>
      <c r="AD1814" s="55" t="e">
        <f ca="1">IF(PAA_4[[#This Row],[ESTADO (formulado)]]="NO CONTRATADO",0,MAX(PAA_4[[#This Row],[Pago por Contrato]],PAA_4[[#This Row],[Pago por bolsa]]))</f>
        <v>#NAME?</v>
      </c>
      <c r="AE1814" s="55" t="str">
        <f t="shared" ca="1" si="591"/>
        <v/>
      </c>
      <c r="AF1814" s="47" t="e">
        <f t="shared" ca="1" si="592"/>
        <v>#NAME?</v>
      </c>
      <c r="AG1814" s="47">
        <f t="shared" si="593"/>
        <v>41080108</v>
      </c>
      <c r="AH1814" s="54">
        <f>IF(Q1814="22",IF(ISNUMBER(SEARCH("econ",PAA_4[[#This Row],[Actividad3]])),"Económico",IF(ISNUMBER(SEARCH("alim",PAA_4[[#This Row],[Actividad3]])),"Alimentación",IF(ISNUMBER(SEARCH("educ",PAA_4[[#This Row],[Actividad3]])),"Educativo","Técnico"))),0)</f>
        <v>0</v>
      </c>
      <c r="AI1814" s="47" t="e" cm="1">
        <f t="array" aca="1" ref="AI1814" ca="1">_xlfn.XLOOKUP(PAA_4[[#This Row],[RCP-RUBRO]],[2]!COMPROMISOS_2024[[#All],[concatenado]],[2]!COMPROMISOS_2024[[#All],[Total pagado]],"",0)</f>
        <v>#NAME?</v>
      </c>
      <c r="AJ1814" s="56">
        <f>IF(PAA_4[[#This Row],[BOLSA]]=0,0,SUMIFS([2]!COMPROMISOS_2024[[#All],[Total pagado]],[2]!COMPROMISOS_2024[[#All],[Bolsa]],PAA_4[[#This Row],[BOLSA]],[2]!COMPROMISOS_2024[[#All],[rubro]],PAA_4[[#This Row],[RCP-RUBRO]]))</f>
        <v>0</v>
      </c>
      <c r="AK1814" s="47" t="e" cm="1">
        <f t="array" aca="1" ref="AK1814" ca="1">_xlfn.XLOOKUP(PAA_4[[#This Row],[RCP-RUBRO]],[2]!COMPROMISOS_2024[[#All],[concatenado]],[2]!COMPROMISOS_2024[[#All],[Total Comprometido]],"",0)</f>
        <v>#NAME?</v>
      </c>
      <c r="AL1814" s="47">
        <f>IF(PAA_4[[#This Row],[BOLSA]]=0,0,SUMIFS([2]!COMPROMISOS_2024[[#All],[Total Comprometido]],[2]!COMPROMISOS_2024[[#All],[Bolsa]],PAA_4[[#This Row],[BOLSA]],[2]!COMPROMISOS_2024[[#All],[concatenado]],PAA_4[[#This Row],[RCP-RUBRO]]))</f>
        <v>0</v>
      </c>
    </row>
    <row r="1815" spans="1:38" s="19" customFormat="1" ht="31.5" customHeight="1">
      <c r="A1815" s="47">
        <v>1003</v>
      </c>
      <c r="B1815" s="47">
        <v>80111600</v>
      </c>
      <c r="C1815" s="47" t="str">
        <f>VLOOKUP(PAA_4[[#This Row],[PROYECTO (formulado)2]],[2]PROYECTOS!$G$1:$L$32,6,0)</f>
        <v>SUBGERENCIA DE ALTOS LOGROS Y DEPORTE ASOCIADO</v>
      </c>
      <c r="D1815" s="47" t="str">
        <f>+IF(PAA_4[[#This Row],[UNIDAD DE CONTRATACION (formulado)]]="Subgerencia Administrativa y Financiera","FUNCIONAMIENTO","INVERSIÓN")</f>
        <v>INVERSIÓN</v>
      </c>
      <c r="E1815" s="48" t="str">
        <f>VLOOKUP(Q1815,[2]PROYECTOS!$G$1:$K$32,5,0)</f>
        <v>Apoyo técnico a atletas y para-atletas que representan en alto rendimiento deportivo al departamento de Antioquia</v>
      </c>
      <c r="F1815" s="48">
        <f>VLOOKUP(E1815,[2]PROYECTOS!$K$1:$M$32,3,0)</f>
        <v>2024003050084</v>
      </c>
      <c r="G1815" s="67" t="s">
        <v>1518</v>
      </c>
      <c r="H1815" s="49" t="str">
        <f>VLOOKUP(Q1815,[2]PROYECTOS!$V$1:$W$32,2,0)</f>
        <v>050079</v>
      </c>
      <c r="I1815" s="78">
        <v>0</v>
      </c>
      <c r="J1815" s="51" t="s">
        <v>2077</v>
      </c>
      <c r="K1815" s="47" t="str">
        <f t="shared" ca="1" si="587"/>
        <v>CONTRATADO</v>
      </c>
      <c r="L1815" s="47" t="s">
        <v>898</v>
      </c>
      <c r="M1815" s="51" t="s">
        <v>1297</v>
      </c>
      <c r="N1815" s="52" t="s">
        <v>1519</v>
      </c>
      <c r="O1815" s="51" t="e">
        <f>VLOOKUP(N1815,[2]!RUBROS[#All],3,0)</f>
        <v>#REF!</v>
      </c>
      <c r="P1815" s="53" t="e">
        <f>VLOOKUP(N1815,[2]!RUBROS[#All],2,0)</f>
        <v>#REF!</v>
      </c>
      <c r="Q1815" s="47" t="str">
        <f t="shared" si="588"/>
        <v>84</v>
      </c>
      <c r="R1815" s="47" t="str">
        <f t="shared" si="589"/>
        <v>0-205400</v>
      </c>
      <c r="S1815" s="339">
        <v>72</v>
      </c>
      <c r="T1815" s="59" t="s">
        <v>120</v>
      </c>
      <c r="U1815" s="326" t="e">
        <f ca="1">_xlfn.XLOOKUP(PAA_4[[#This Row],[ITEM]],[2]Contrato!A:A,[2]Contrato!Q:Q,"",0)</f>
        <v>#NAME?</v>
      </c>
      <c r="V1815" s="47" t="s">
        <v>95</v>
      </c>
      <c r="W1815" s="47" t="s">
        <v>194</v>
      </c>
      <c r="X1815" s="47" t="s">
        <v>203</v>
      </c>
      <c r="Y1815" s="55" t="e">
        <f ca="1">_xlfn.XLOOKUP(PAA_4[[#This Row],[ITEM]],[2]Contrato!A:A,[2]Contrato!B:B,"",0)</f>
        <v>#NAME?</v>
      </c>
      <c r="Z1815" s="47" t="e">
        <f ca="1">_xlfn.XLOOKUP(PAA_4[[#This Row],[ITEM]],[2]Contrato!A:A,[2]Contrato!G:G,"",0)</f>
        <v>#NAME?</v>
      </c>
      <c r="AA1815" s="47" t="e">
        <f ca="1">_xlfn.XLOOKUP(PAA_4[[#This Row],[ITEM]],[2]Contrato!A:A,[2]Contrato!T:T,"",0)</f>
        <v>#NAME?</v>
      </c>
      <c r="AB1815" s="55" t="e">
        <f ca="1">+MAX(PAA_4[[#This Row],[Comprometido Contrato]],PAA_4[[#This Row],[Comprometido Bolsa]])</f>
        <v>#NAME?</v>
      </c>
      <c r="AC1815" s="55" t="str">
        <f t="shared" ca="1" si="590"/>
        <v/>
      </c>
      <c r="AD1815" s="55" t="e">
        <f ca="1">IF(PAA_4[[#This Row],[ESTADO (formulado)]]="NO CONTRATADO",0,MAX(PAA_4[[#This Row],[Pago por Contrato]],PAA_4[[#This Row],[Pago por bolsa]]))</f>
        <v>#NAME?</v>
      </c>
      <c r="AE1815" s="55" t="str">
        <f t="shared" ca="1" si="591"/>
        <v/>
      </c>
      <c r="AF1815" s="47" t="e">
        <f t="shared" ca="1" si="592"/>
        <v>#NAME?</v>
      </c>
      <c r="AG1815" s="47">
        <f t="shared" si="593"/>
        <v>52010802</v>
      </c>
      <c r="AH1815" s="54">
        <f>IF(Q1815="22",IF(ISNUMBER(SEARCH("econ",PAA_4[[#This Row],[Actividad3]])),"Económico",IF(ISNUMBER(SEARCH("alim",PAA_4[[#This Row],[Actividad3]])),"Alimentación",IF(ISNUMBER(SEARCH("educ",PAA_4[[#This Row],[Actividad3]])),"Educativo","Técnico"))),0)</f>
        <v>0</v>
      </c>
      <c r="AI1815" s="47" t="e" cm="1">
        <f t="array" aca="1" ref="AI1815" ca="1">_xlfn.XLOOKUP(PAA_4[[#This Row],[RCP-RUBRO]],[2]!COMPROMISOS_2024[[#All],[concatenado]],[2]!COMPROMISOS_2024[[#All],[Total pagado]],"",0)</f>
        <v>#NAME?</v>
      </c>
      <c r="AJ1815" s="56">
        <f>IF(PAA_4[[#This Row],[BOLSA]]=0,0,SUMIFS([2]!COMPROMISOS_2024[[#All],[Total pagado]],[2]!COMPROMISOS_2024[[#All],[Bolsa]],PAA_4[[#This Row],[BOLSA]],[2]!COMPROMISOS_2024[[#All],[rubro]],PAA_4[[#This Row],[RCP-RUBRO]]))</f>
        <v>0</v>
      </c>
      <c r="AK1815" s="47" t="e" cm="1">
        <f t="array" aca="1" ref="AK1815" ca="1">_xlfn.XLOOKUP(PAA_4[[#This Row],[RCP-RUBRO]],[2]!COMPROMISOS_2024[[#All],[concatenado]],[2]!COMPROMISOS_2024[[#All],[Total Comprometido]],"",0)</f>
        <v>#NAME?</v>
      </c>
      <c r="AL1815" s="47">
        <f>IF(PAA_4[[#This Row],[BOLSA]]=0,0,SUMIFS([2]!COMPROMISOS_2024[[#All],[Total Comprometido]],[2]!COMPROMISOS_2024[[#All],[Bolsa]],PAA_4[[#This Row],[BOLSA]],[2]!COMPROMISOS_2024[[#All],[concatenado]],PAA_4[[#This Row],[RCP-RUBRO]]))</f>
        <v>0</v>
      </c>
    </row>
    <row r="1816" spans="1:38" s="19" customFormat="1" ht="31.5" customHeight="1">
      <c r="A1816" s="47">
        <v>1004</v>
      </c>
      <c r="B1816" s="47">
        <v>80111600</v>
      </c>
      <c r="C1816" s="47" t="str">
        <f>VLOOKUP(PAA_4[[#This Row],[PROYECTO (formulado)2]],[2]PROYECTOS!$G$1:$L$32,6,0)</f>
        <v>SUBGERENCIA DE ALTOS LOGROS Y DEPORTE ASOCIADO</v>
      </c>
      <c r="D1816" s="47" t="str">
        <f>+IF(PAA_4[[#This Row],[UNIDAD DE CONTRATACION (formulado)]]="Subgerencia Administrativa y Financiera","FUNCIONAMIENTO","INVERSIÓN")</f>
        <v>INVERSIÓN</v>
      </c>
      <c r="E1816" s="48" t="str">
        <f>VLOOKUP(Q1816,[2]PROYECTOS!$G$1:$K$32,5,0)</f>
        <v>Apoyo técnico a atletas y para-atletas que representan en alto rendimiento deportivo al departamento de Antioquia</v>
      </c>
      <c r="F1816" s="48">
        <f>VLOOKUP(E1816,[2]PROYECTOS!$K$1:$M$32,3,0)</f>
        <v>2024003050084</v>
      </c>
      <c r="G1816" s="67" t="s">
        <v>1518</v>
      </c>
      <c r="H1816" s="49" t="str">
        <f>VLOOKUP(Q1816,[2]PROYECTOS!$V$1:$W$32,2,0)</f>
        <v>050079</v>
      </c>
      <c r="I1816" s="78">
        <v>0</v>
      </c>
      <c r="J1816" s="51" t="s">
        <v>2078</v>
      </c>
      <c r="K1816" s="47" t="str">
        <f t="shared" ca="1" si="587"/>
        <v>CONTRATADO</v>
      </c>
      <c r="L1816" s="47" t="s">
        <v>898</v>
      </c>
      <c r="M1816" s="51" t="s">
        <v>1297</v>
      </c>
      <c r="N1816" s="52" t="s">
        <v>1519</v>
      </c>
      <c r="O1816" s="51" t="e">
        <f>VLOOKUP(N1816,[2]!RUBROS[#All],3,0)</f>
        <v>#REF!</v>
      </c>
      <c r="P1816" s="53" t="e">
        <f>VLOOKUP(N1816,[2]!RUBROS[#All],2,0)</f>
        <v>#REF!</v>
      </c>
      <c r="Q1816" s="47" t="str">
        <f t="shared" si="588"/>
        <v>84</v>
      </c>
      <c r="R1816" s="47" t="str">
        <f t="shared" si="589"/>
        <v>0-205400</v>
      </c>
      <c r="S1816" s="339">
        <v>93</v>
      </c>
      <c r="T1816" s="59" t="s">
        <v>120</v>
      </c>
      <c r="U1816" s="326" t="e">
        <f ca="1">_xlfn.XLOOKUP(PAA_4[[#This Row],[ITEM]],[2]Contrato!A:A,[2]Contrato!Q:Q,"",0)</f>
        <v>#NAME?</v>
      </c>
      <c r="V1816" s="47" t="s">
        <v>95</v>
      </c>
      <c r="W1816" s="47" t="s">
        <v>194</v>
      </c>
      <c r="X1816" s="47" t="s">
        <v>203</v>
      </c>
      <c r="Y1816" s="55" t="e">
        <f ca="1">_xlfn.XLOOKUP(PAA_4[[#This Row],[ITEM]],[2]Contrato!A:A,[2]Contrato!B:B,"",0)</f>
        <v>#NAME?</v>
      </c>
      <c r="Z1816" s="47" t="e">
        <f ca="1">_xlfn.XLOOKUP(PAA_4[[#This Row],[ITEM]],[2]Contrato!A:A,[2]Contrato!G:G,"",0)</f>
        <v>#NAME?</v>
      </c>
      <c r="AA1816" s="47" t="e">
        <f ca="1">_xlfn.XLOOKUP(PAA_4[[#This Row],[ITEM]],[2]Contrato!A:A,[2]Contrato!T:T,"",0)</f>
        <v>#NAME?</v>
      </c>
      <c r="AB1816" s="55" t="e">
        <f ca="1">+MAX(PAA_4[[#This Row],[Comprometido Contrato]],PAA_4[[#This Row],[Comprometido Bolsa]])</f>
        <v>#NAME?</v>
      </c>
      <c r="AC1816" s="55" t="str">
        <f t="shared" ca="1" si="590"/>
        <v/>
      </c>
      <c r="AD1816" s="55" t="e">
        <f ca="1">IF(PAA_4[[#This Row],[ESTADO (formulado)]]="NO CONTRATADO",0,MAX(PAA_4[[#This Row],[Pago por Contrato]],PAA_4[[#This Row],[Pago por bolsa]]))</f>
        <v>#NAME?</v>
      </c>
      <c r="AE1816" s="55" t="str">
        <f t="shared" ca="1" si="591"/>
        <v/>
      </c>
      <c r="AF1816" s="47" t="e">
        <f t="shared" ca="1" si="592"/>
        <v>#NAME?</v>
      </c>
      <c r="AG1816" s="47">
        <f t="shared" si="593"/>
        <v>52010802</v>
      </c>
      <c r="AH1816" s="54">
        <f>IF(Q1816="22",IF(ISNUMBER(SEARCH("econ",PAA_4[[#This Row],[Actividad3]])),"Económico",IF(ISNUMBER(SEARCH("alim",PAA_4[[#This Row],[Actividad3]])),"Alimentación",IF(ISNUMBER(SEARCH("educ",PAA_4[[#This Row],[Actividad3]])),"Educativo","Técnico"))),0)</f>
        <v>0</v>
      </c>
      <c r="AI1816" s="47" t="e" cm="1">
        <f t="array" aca="1" ref="AI1816" ca="1">_xlfn.XLOOKUP(PAA_4[[#This Row],[RCP-RUBRO]],[2]!COMPROMISOS_2024[[#All],[concatenado]],[2]!COMPROMISOS_2024[[#All],[Total pagado]],"",0)</f>
        <v>#NAME?</v>
      </c>
      <c r="AJ1816" s="56">
        <f>IF(PAA_4[[#This Row],[BOLSA]]=0,0,SUMIFS([2]!COMPROMISOS_2024[[#All],[Total pagado]],[2]!COMPROMISOS_2024[[#All],[Bolsa]],PAA_4[[#This Row],[BOLSA]],[2]!COMPROMISOS_2024[[#All],[rubro]],PAA_4[[#This Row],[RCP-RUBRO]]))</f>
        <v>0</v>
      </c>
      <c r="AK1816" s="47" t="e" cm="1">
        <f t="array" aca="1" ref="AK1816" ca="1">_xlfn.XLOOKUP(PAA_4[[#This Row],[RCP-RUBRO]],[2]!COMPROMISOS_2024[[#All],[concatenado]],[2]!COMPROMISOS_2024[[#All],[Total Comprometido]],"",0)</f>
        <v>#NAME?</v>
      </c>
      <c r="AL1816" s="47">
        <f>IF(PAA_4[[#This Row],[BOLSA]]=0,0,SUMIFS([2]!COMPROMISOS_2024[[#All],[Total Comprometido]],[2]!COMPROMISOS_2024[[#All],[Bolsa]],PAA_4[[#This Row],[BOLSA]],[2]!COMPROMISOS_2024[[#All],[concatenado]],PAA_4[[#This Row],[RCP-RUBRO]]))</f>
        <v>0</v>
      </c>
    </row>
    <row r="1817" spans="1:38" s="19" customFormat="1" ht="31.5" customHeight="1">
      <c r="A1817" s="47">
        <v>1005</v>
      </c>
      <c r="B1817" s="47">
        <v>80111600</v>
      </c>
      <c r="C1817" s="47" t="str">
        <f>VLOOKUP(PAA_4[[#This Row],[PROYECTO (formulado)2]],[2]PROYECTOS!$G$1:$L$32,6,0)</f>
        <v>SUBGERENCIA DE ALTOS LOGROS Y DEPORTE ASOCIADO</v>
      </c>
      <c r="D1817" s="47" t="str">
        <f>+IF(PAA_4[[#This Row],[UNIDAD DE CONTRATACION (formulado)]]="Subgerencia Administrativa y Financiera","FUNCIONAMIENTO","INVERSIÓN")</f>
        <v>INVERSIÓN</v>
      </c>
      <c r="E1817" s="48" t="str">
        <f>VLOOKUP(Q1817,[2]PROYECTOS!$G$1:$K$32,5,0)</f>
        <v>Apoyo técnico a atletas y para-atletas que representan en alto rendimiento deportivo al departamento de Antioquia</v>
      </c>
      <c r="F1817" s="48">
        <f>VLOOKUP(E1817,[2]PROYECTOS!$K$1:$M$32,3,0)</f>
        <v>2024003050084</v>
      </c>
      <c r="G1817" s="67" t="s">
        <v>1518</v>
      </c>
      <c r="H1817" s="49" t="str">
        <f>VLOOKUP(Q1817,[2]PROYECTOS!$V$1:$W$32,2,0)</f>
        <v>050079</v>
      </c>
      <c r="I1817" s="78">
        <f>12252384-395238</f>
        <v>11857146</v>
      </c>
      <c r="J1817" s="51" t="s">
        <v>2078</v>
      </c>
      <c r="K1817" s="47" t="str">
        <f t="shared" ca="1" si="587"/>
        <v>CONTRATADO</v>
      </c>
      <c r="L1817" s="47" t="s">
        <v>898</v>
      </c>
      <c r="M1817" s="47" t="s">
        <v>1297</v>
      </c>
      <c r="N1817" s="52" t="s">
        <v>1519</v>
      </c>
      <c r="O1817" s="51" t="e">
        <f>VLOOKUP(N1817,[2]!RUBROS[#All],3,0)</f>
        <v>#REF!</v>
      </c>
      <c r="P1817" s="53" t="e">
        <f>VLOOKUP(N1817,[2]!RUBROS[#All],2,0)</f>
        <v>#REF!</v>
      </c>
      <c r="Q1817" s="47" t="str">
        <f t="shared" si="588"/>
        <v>84</v>
      </c>
      <c r="R1817" s="47" t="str">
        <f t="shared" si="589"/>
        <v>0-205400</v>
      </c>
      <c r="S1817" s="339">
        <v>93</v>
      </c>
      <c r="T1817" s="59" t="s">
        <v>120</v>
      </c>
      <c r="U1817" s="326" t="e">
        <f ca="1">_xlfn.XLOOKUP(PAA_4[[#This Row],[ITEM]],[2]Contrato!A:A,[2]Contrato!Q:Q,"",0)</f>
        <v>#NAME?</v>
      </c>
      <c r="V1817" s="47" t="s">
        <v>95</v>
      </c>
      <c r="W1817" s="47" t="s">
        <v>194</v>
      </c>
      <c r="X1817" s="47" t="s">
        <v>203</v>
      </c>
      <c r="Y1817" s="55" t="e">
        <f ca="1">_xlfn.XLOOKUP(PAA_4[[#This Row],[ITEM]],[2]Contrato!A:A,[2]Contrato!B:B,"",0)</f>
        <v>#NAME?</v>
      </c>
      <c r="Z1817" s="47" t="e">
        <f ca="1">_xlfn.XLOOKUP(PAA_4[[#This Row],[ITEM]],[2]Contrato!A:A,[2]Contrato!G:G,"",0)</f>
        <v>#NAME?</v>
      </c>
      <c r="AA1817" s="47" t="e">
        <f ca="1">_xlfn.XLOOKUP(PAA_4[[#This Row],[ITEM]],[2]Contrato!A:A,[2]Contrato!T:T,"",0)</f>
        <v>#NAME?</v>
      </c>
      <c r="AB1817" s="55" t="e">
        <f ca="1">+MAX(PAA_4[[#This Row],[Comprometido Contrato]],PAA_4[[#This Row],[Comprometido Bolsa]])</f>
        <v>#NAME?</v>
      </c>
      <c r="AC1817" s="55" t="str">
        <f t="shared" ca="1" si="590"/>
        <v/>
      </c>
      <c r="AD1817" s="55" t="e">
        <f ca="1">IF(PAA_4[[#This Row],[ESTADO (formulado)]]="NO CONTRATADO",0,MAX(PAA_4[[#This Row],[Pago por Contrato]],PAA_4[[#This Row],[Pago por bolsa]]))</f>
        <v>#NAME?</v>
      </c>
      <c r="AE1817" s="55" t="str">
        <f t="shared" ca="1" si="591"/>
        <v/>
      </c>
      <c r="AF1817" s="47" t="e">
        <f t="shared" ca="1" si="592"/>
        <v>#NAME?</v>
      </c>
      <c r="AG1817" s="47">
        <f t="shared" si="593"/>
        <v>52010802</v>
      </c>
      <c r="AH1817" s="54">
        <f>IF(Q1817="22",IF(ISNUMBER(SEARCH("econ",PAA_4[[#This Row],[Actividad3]])),"Económico",IF(ISNUMBER(SEARCH("alim",PAA_4[[#This Row],[Actividad3]])),"Alimentación",IF(ISNUMBER(SEARCH("educ",PAA_4[[#This Row],[Actividad3]])),"Educativo","Técnico"))),0)</f>
        <v>0</v>
      </c>
      <c r="AI1817" s="47" t="e" cm="1">
        <f t="array" aca="1" ref="AI1817" ca="1">_xlfn.XLOOKUP(PAA_4[[#This Row],[RCP-RUBRO]],[2]!COMPROMISOS_2024[[#All],[concatenado]],[2]!COMPROMISOS_2024[[#All],[Total pagado]],"",0)</f>
        <v>#NAME?</v>
      </c>
      <c r="AJ1817" s="56">
        <f>IF(PAA_4[[#This Row],[BOLSA]]=0,0,SUMIFS([2]!COMPROMISOS_2024[[#All],[Total pagado]],[2]!COMPROMISOS_2024[[#All],[Bolsa]],PAA_4[[#This Row],[BOLSA]],[2]!COMPROMISOS_2024[[#All],[rubro]],PAA_4[[#This Row],[RCP-RUBRO]]))</f>
        <v>0</v>
      </c>
      <c r="AK1817" s="47" t="e" cm="1">
        <f t="array" aca="1" ref="AK1817" ca="1">_xlfn.XLOOKUP(PAA_4[[#This Row],[RCP-RUBRO]],[2]!COMPROMISOS_2024[[#All],[concatenado]],[2]!COMPROMISOS_2024[[#All],[Total Comprometido]],"",0)</f>
        <v>#NAME?</v>
      </c>
      <c r="AL1817" s="47">
        <f>IF(PAA_4[[#This Row],[BOLSA]]=0,0,SUMIFS([2]!COMPROMISOS_2024[[#All],[Total Comprometido]],[2]!COMPROMISOS_2024[[#All],[Bolsa]],PAA_4[[#This Row],[BOLSA]],[2]!COMPROMISOS_2024[[#All],[concatenado]],PAA_4[[#This Row],[RCP-RUBRO]]))</f>
        <v>0</v>
      </c>
    </row>
    <row r="1818" spans="1:38" s="19" customFormat="1" ht="31.5" customHeight="1">
      <c r="A1818" s="47">
        <v>1006</v>
      </c>
      <c r="B1818" s="47">
        <v>80111600</v>
      </c>
      <c r="C1818" s="47" t="str">
        <f>VLOOKUP(PAA_4[[#This Row],[PROYECTO (formulado)2]],[2]PROYECTOS!$G$1:$L$32,6,0)</f>
        <v>SUBGERENCIA DE ALTOS LOGROS Y DEPORTE ASOCIADO</v>
      </c>
      <c r="D1818" s="47" t="str">
        <f>+IF(PAA_4[[#This Row],[UNIDAD DE CONTRATACION (formulado)]]="Subgerencia Administrativa y Financiera","FUNCIONAMIENTO","INVERSIÓN")</f>
        <v>INVERSIÓN</v>
      </c>
      <c r="E1818" s="48" t="str">
        <f>VLOOKUP(Q1818,[2]PROYECTOS!$G$1:$K$32,5,0)</f>
        <v>Apoyo técnico a atletas y para-atletas que representan en alto rendimiento deportivo al departamento de Antioquia</v>
      </c>
      <c r="F1818" s="48">
        <f>VLOOKUP(E1818,[2]PROYECTOS!$K$1:$M$32,3,0)</f>
        <v>2024003050084</v>
      </c>
      <c r="G1818" s="67" t="s">
        <v>1518</v>
      </c>
      <c r="H1818" s="49" t="str">
        <f>VLOOKUP(Q1818,[2]PROYECTOS!$V$1:$W$32,2,0)</f>
        <v>050079</v>
      </c>
      <c r="I1818" s="78">
        <f>12252384-395238</f>
        <v>11857146</v>
      </c>
      <c r="J1818" s="51" t="s">
        <v>2078</v>
      </c>
      <c r="K1818" s="47" t="str">
        <f t="shared" ca="1" si="587"/>
        <v>CONTRATADO</v>
      </c>
      <c r="L1818" s="47" t="s">
        <v>898</v>
      </c>
      <c r="M1818" s="47" t="s">
        <v>1297</v>
      </c>
      <c r="N1818" s="52" t="s">
        <v>1519</v>
      </c>
      <c r="O1818" s="51" t="e">
        <f>VLOOKUP(N1818,[2]!RUBROS[#All],3,0)</f>
        <v>#REF!</v>
      </c>
      <c r="P1818" s="53" t="e">
        <f>VLOOKUP(N1818,[2]!RUBROS[#All],2,0)</f>
        <v>#REF!</v>
      </c>
      <c r="Q1818" s="47" t="str">
        <f t="shared" si="588"/>
        <v>84</v>
      </c>
      <c r="R1818" s="47" t="str">
        <f t="shared" si="589"/>
        <v>0-205400</v>
      </c>
      <c r="S1818" s="339">
        <v>93</v>
      </c>
      <c r="T1818" s="59" t="s">
        <v>120</v>
      </c>
      <c r="U1818" s="326" t="e">
        <f ca="1">_xlfn.XLOOKUP(PAA_4[[#This Row],[ITEM]],[2]Contrato!A:A,[2]Contrato!Q:Q,"",0)</f>
        <v>#NAME?</v>
      </c>
      <c r="V1818" s="47" t="s">
        <v>95</v>
      </c>
      <c r="W1818" s="47" t="s">
        <v>194</v>
      </c>
      <c r="X1818" s="47" t="s">
        <v>203</v>
      </c>
      <c r="Y1818" s="55" t="e">
        <f ca="1">_xlfn.XLOOKUP(PAA_4[[#This Row],[ITEM]],[2]Contrato!A:A,[2]Contrato!B:B,"",0)</f>
        <v>#NAME?</v>
      </c>
      <c r="Z1818" s="47" t="e">
        <f ca="1">_xlfn.XLOOKUP(PAA_4[[#This Row],[ITEM]],[2]Contrato!A:A,[2]Contrato!G:G,"",0)</f>
        <v>#NAME?</v>
      </c>
      <c r="AA1818" s="47" t="e">
        <f ca="1">_xlfn.XLOOKUP(PAA_4[[#This Row],[ITEM]],[2]Contrato!A:A,[2]Contrato!T:T,"",0)</f>
        <v>#NAME?</v>
      </c>
      <c r="AB1818" s="55" t="e">
        <f ca="1">+MAX(PAA_4[[#This Row],[Comprometido Contrato]],PAA_4[[#This Row],[Comprometido Bolsa]])</f>
        <v>#NAME?</v>
      </c>
      <c r="AC1818" s="55" t="str">
        <f t="shared" ca="1" si="590"/>
        <v/>
      </c>
      <c r="AD1818" s="55" t="e">
        <f ca="1">IF(PAA_4[[#This Row],[ESTADO (formulado)]]="NO CONTRATADO",0,MAX(PAA_4[[#This Row],[Pago por Contrato]],PAA_4[[#This Row],[Pago por bolsa]]))</f>
        <v>#NAME?</v>
      </c>
      <c r="AE1818" s="55" t="str">
        <f t="shared" ca="1" si="591"/>
        <v/>
      </c>
      <c r="AF1818" s="47" t="e">
        <f t="shared" ca="1" si="592"/>
        <v>#NAME?</v>
      </c>
      <c r="AG1818" s="47">
        <f t="shared" si="593"/>
        <v>52010802</v>
      </c>
      <c r="AH1818" s="54">
        <f>IF(Q1818="22",IF(ISNUMBER(SEARCH("econ",PAA_4[[#This Row],[Actividad3]])),"Económico",IF(ISNUMBER(SEARCH("alim",PAA_4[[#This Row],[Actividad3]])),"Alimentación",IF(ISNUMBER(SEARCH("educ",PAA_4[[#This Row],[Actividad3]])),"Educativo","Técnico"))),0)</f>
        <v>0</v>
      </c>
      <c r="AI1818" s="47" t="e" cm="1">
        <f t="array" aca="1" ref="AI1818" ca="1">_xlfn.XLOOKUP(PAA_4[[#This Row],[RCP-RUBRO]],[2]!COMPROMISOS_2024[[#All],[concatenado]],[2]!COMPROMISOS_2024[[#All],[Total pagado]],"",0)</f>
        <v>#NAME?</v>
      </c>
      <c r="AJ1818" s="56">
        <f>IF(PAA_4[[#This Row],[BOLSA]]=0,0,SUMIFS([2]!COMPROMISOS_2024[[#All],[Total pagado]],[2]!COMPROMISOS_2024[[#All],[Bolsa]],PAA_4[[#This Row],[BOLSA]],[2]!COMPROMISOS_2024[[#All],[rubro]],PAA_4[[#This Row],[RCP-RUBRO]]))</f>
        <v>0</v>
      </c>
      <c r="AK1818" s="47" t="e" cm="1">
        <f t="array" aca="1" ref="AK1818" ca="1">_xlfn.XLOOKUP(PAA_4[[#This Row],[RCP-RUBRO]],[2]!COMPROMISOS_2024[[#All],[concatenado]],[2]!COMPROMISOS_2024[[#All],[Total Comprometido]],"",0)</f>
        <v>#NAME?</v>
      </c>
      <c r="AL1818" s="47">
        <f>IF(PAA_4[[#This Row],[BOLSA]]=0,0,SUMIFS([2]!COMPROMISOS_2024[[#All],[Total Comprometido]],[2]!COMPROMISOS_2024[[#All],[Bolsa]],PAA_4[[#This Row],[BOLSA]],[2]!COMPROMISOS_2024[[#All],[concatenado]],PAA_4[[#This Row],[RCP-RUBRO]]))</f>
        <v>0</v>
      </c>
    </row>
    <row r="1819" spans="1:38" s="19" customFormat="1" ht="31.5" customHeight="1">
      <c r="A1819" s="47">
        <v>1007</v>
      </c>
      <c r="B1819" s="47">
        <v>80111600</v>
      </c>
      <c r="C1819" s="47" t="str">
        <f>VLOOKUP(PAA_4[[#This Row],[PROYECTO (formulado)2]],[2]PROYECTOS!$G$1:$L$32,6,0)</f>
        <v>SUBGERENCIA DE ALTOS LOGROS Y DEPORTE ASOCIADO</v>
      </c>
      <c r="D1819" s="47" t="str">
        <f>+IF(PAA_4[[#This Row],[UNIDAD DE CONTRATACION (formulado)]]="Subgerencia Administrativa y Financiera","FUNCIONAMIENTO","INVERSIÓN")</f>
        <v>INVERSIÓN</v>
      </c>
      <c r="E1819" s="48" t="str">
        <f>VLOOKUP(Q1819,[2]PROYECTOS!$G$1:$K$32,5,0)</f>
        <v>Apoyo técnico a atletas y para-atletas que representan en alto rendimiento deportivo al departamento de Antioquia</v>
      </c>
      <c r="F1819" s="48">
        <f>VLOOKUP(E1819,[2]PROYECTOS!$K$1:$M$32,3,0)</f>
        <v>2024003050084</v>
      </c>
      <c r="G1819" s="67" t="s">
        <v>1518</v>
      </c>
      <c r="H1819" s="49" t="str">
        <f>VLOOKUP(Q1819,[2]PROYECTOS!$V$1:$W$32,2,0)</f>
        <v>050079</v>
      </c>
      <c r="I1819" s="78">
        <f>7982010-257484</f>
        <v>7724526</v>
      </c>
      <c r="J1819" s="51" t="s">
        <v>2078</v>
      </c>
      <c r="K1819" s="47" t="str">
        <f t="shared" ca="1" si="587"/>
        <v>CONTRATADO</v>
      </c>
      <c r="L1819" s="47" t="s">
        <v>898</v>
      </c>
      <c r="M1819" s="47" t="s">
        <v>1297</v>
      </c>
      <c r="N1819" s="52" t="s">
        <v>1519</v>
      </c>
      <c r="O1819" s="51" t="e">
        <f>VLOOKUP(N1819,[2]!RUBROS[#All],3,0)</f>
        <v>#REF!</v>
      </c>
      <c r="P1819" s="53" t="e">
        <f>VLOOKUP(N1819,[2]!RUBROS[#All],2,0)</f>
        <v>#REF!</v>
      </c>
      <c r="Q1819" s="47" t="str">
        <f t="shared" si="588"/>
        <v>84</v>
      </c>
      <c r="R1819" s="47" t="str">
        <f t="shared" si="589"/>
        <v>0-205400</v>
      </c>
      <c r="S1819" s="339">
        <v>93</v>
      </c>
      <c r="T1819" s="59" t="s">
        <v>120</v>
      </c>
      <c r="U1819" s="326" t="e">
        <f ca="1">_xlfn.XLOOKUP(PAA_4[[#This Row],[ITEM]],[2]Contrato!A:A,[2]Contrato!Q:Q,"",0)</f>
        <v>#NAME?</v>
      </c>
      <c r="V1819" s="47" t="s">
        <v>95</v>
      </c>
      <c r="W1819" s="47" t="s">
        <v>194</v>
      </c>
      <c r="X1819" s="47" t="s">
        <v>203</v>
      </c>
      <c r="Y1819" s="55" t="e">
        <f ca="1">_xlfn.XLOOKUP(PAA_4[[#This Row],[ITEM]],[2]Contrato!A:A,[2]Contrato!B:B,"",0)</f>
        <v>#NAME?</v>
      </c>
      <c r="Z1819" s="47" t="e">
        <f ca="1">_xlfn.XLOOKUP(PAA_4[[#This Row],[ITEM]],[2]Contrato!A:A,[2]Contrato!G:G,"",0)</f>
        <v>#NAME?</v>
      </c>
      <c r="AA1819" s="47" t="e">
        <f ca="1">_xlfn.XLOOKUP(PAA_4[[#This Row],[ITEM]],[2]Contrato!A:A,[2]Contrato!T:T,"",0)</f>
        <v>#NAME?</v>
      </c>
      <c r="AB1819" s="55" t="e">
        <f ca="1">+MAX(PAA_4[[#This Row],[Comprometido Contrato]],PAA_4[[#This Row],[Comprometido Bolsa]])</f>
        <v>#NAME?</v>
      </c>
      <c r="AC1819" s="55" t="str">
        <f t="shared" ca="1" si="590"/>
        <v/>
      </c>
      <c r="AD1819" s="55" t="e">
        <f ca="1">IF(PAA_4[[#This Row],[ESTADO (formulado)]]="NO CONTRATADO",0,MAX(PAA_4[[#This Row],[Pago por Contrato]],PAA_4[[#This Row],[Pago por bolsa]]))</f>
        <v>#NAME?</v>
      </c>
      <c r="AE1819" s="55" t="str">
        <f t="shared" ca="1" si="591"/>
        <v/>
      </c>
      <c r="AF1819" s="47" t="e">
        <f t="shared" ca="1" si="592"/>
        <v>#NAME?</v>
      </c>
      <c r="AG1819" s="47">
        <f t="shared" si="593"/>
        <v>52010802</v>
      </c>
      <c r="AH1819" s="54">
        <f>IF(Q1819="22",IF(ISNUMBER(SEARCH("econ",PAA_4[[#This Row],[Actividad3]])),"Económico",IF(ISNUMBER(SEARCH("alim",PAA_4[[#This Row],[Actividad3]])),"Alimentación",IF(ISNUMBER(SEARCH("educ",PAA_4[[#This Row],[Actividad3]])),"Educativo","Técnico"))),0)</f>
        <v>0</v>
      </c>
      <c r="AI1819" s="47" t="e" cm="1">
        <f t="array" aca="1" ref="AI1819" ca="1">_xlfn.XLOOKUP(PAA_4[[#This Row],[RCP-RUBRO]],[2]!COMPROMISOS_2024[[#All],[concatenado]],[2]!COMPROMISOS_2024[[#All],[Total pagado]],"",0)</f>
        <v>#NAME?</v>
      </c>
      <c r="AJ1819" s="56">
        <f>IF(PAA_4[[#This Row],[BOLSA]]=0,0,SUMIFS([2]!COMPROMISOS_2024[[#All],[Total pagado]],[2]!COMPROMISOS_2024[[#All],[Bolsa]],PAA_4[[#This Row],[BOLSA]],[2]!COMPROMISOS_2024[[#All],[rubro]],PAA_4[[#This Row],[RCP-RUBRO]]))</f>
        <v>0</v>
      </c>
      <c r="AK1819" s="47" t="e" cm="1">
        <f t="array" aca="1" ref="AK1819" ca="1">_xlfn.XLOOKUP(PAA_4[[#This Row],[RCP-RUBRO]],[2]!COMPROMISOS_2024[[#All],[concatenado]],[2]!COMPROMISOS_2024[[#All],[Total Comprometido]],"",0)</f>
        <v>#NAME?</v>
      </c>
      <c r="AL1819" s="47">
        <f>IF(PAA_4[[#This Row],[BOLSA]]=0,0,SUMIFS([2]!COMPROMISOS_2024[[#All],[Total Comprometido]],[2]!COMPROMISOS_2024[[#All],[Bolsa]],PAA_4[[#This Row],[BOLSA]],[2]!COMPROMISOS_2024[[#All],[concatenado]],PAA_4[[#This Row],[RCP-RUBRO]]))</f>
        <v>0</v>
      </c>
    </row>
    <row r="1820" spans="1:38" s="19" customFormat="1" ht="31.5" customHeight="1">
      <c r="A1820" s="47">
        <v>1008</v>
      </c>
      <c r="B1820" s="47">
        <v>80111600</v>
      </c>
      <c r="C1820" s="47" t="str">
        <f>VLOOKUP(PAA_4[[#This Row],[PROYECTO (formulado)2]],[2]PROYECTOS!$G$1:$L$32,6,0)</f>
        <v>SUBGERENCIA DE ALTOS LOGROS Y DEPORTE ASOCIADO</v>
      </c>
      <c r="D1820" s="47" t="str">
        <f>+IF(PAA_4[[#This Row],[UNIDAD DE CONTRATACION (formulado)]]="Subgerencia Administrativa y Financiera","FUNCIONAMIENTO","INVERSIÓN")</f>
        <v>INVERSIÓN</v>
      </c>
      <c r="E1820" s="48" t="str">
        <f>VLOOKUP(Q1820,[2]PROYECTOS!$G$1:$K$32,5,0)</f>
        <v>Apoyo técnico a atletas y para-atletas que representan en alto rendimiento deportivo al departamento de Antioquia</v>
      </c>
      <c r="F1820" s="48">
        <f>VLOOKUP(E1820,[2]PROYECTOS!$K$1:$M$32,3,0)</f>
        <v>2024003050084</v>
      </c>
      <c r="G1820" s="67" t="s">
        <v>1518</v>
      </c>
      <c r="H1820" s="49" t="str">
        <f>VLOOKUP(Q1820,[2]PROYECTOS!$V$1:$W$32,2,0)</f>
        <v>050079</v>
      </c>
      <c r="I1820" s="78">
        <f>15217702-490894</f>
        <v>14726808</v>
      </c>
      <c r="J1820" s="51" t="s">
        <v>2078</v>
      </c>
      <c r="K1820" s="47" t="str">
        <f t="shared" ca="1" si="587"/>
        <v>CONTRATADO</v>
      </c>
      <c r="L1820" s="47" t="s">
        <v>898</v>
      </c>
      <c r="M1820" s="47" t="s">
        <v>1297</v>
      </c>
      <c r="N1820" s="52" t="s">
        <v>1519</v>
      </c>
      <c r="O1820" s="51" t="e">
        <f>VLOOKUP(N1820,[2]!RUBROS[#All],3,0)</f>
        <v>#REF!</v>
      </c>
      <c r="P1820" s="53" t="e">
        <f>VLOOKUP(N1820,[2]!RUBROS[#All],2,0)</f>
        <v>#REF!</v>
      </c>
      <c r="Q1820" s="47" t="str">
        <f t="shared" si="588"/>
        <v>84</v>
      </c>
      <c r="R1820" s="47" t="str">
        <f t="shared" si="589"/>
        <v>0-205400</v>
      </c>
      <c r="S1820" s="339">
        <v>93</v>
      </c>
      <c r="T1820" s="59" t="s">
        <v>120</v>
      </c>
      <c r="U1820" s="326" t="e">
        <f ca="1">_xlfn.XLOOKUP(PAA_4[[#This Row],[ITEM]],[2]Contrato!A:A,[2]Contrato!Q:Q,"",0)</f>
        <v>#NAME?</v>
      </c>
      <c r="V1820" s="47" t="s">
        <v>95</v>
      </c>
      <c r="W1820" s="47" t="s">
        <v>194</v>
      </c>
      <c r="X1820" s="47" t="s">
        <v>203</v>
      </c>
      <c r="Y1820" s="55" t="e">
        <f ca="1">_xlfn.XLOOKUP(PAA_4[[#This Row],[ITEM]],[2]Contrato!A:A,[2]Contrato!B:B,"",0)</f>
        <v>#NAME?</v>
      </c>
      <c r="Z1820" s="47" t="e">
        <f ca="1">_xlfn.XLOOKUP(PAA_4[[#This Row],[ITEM]],[2]Contrato!A:A,[2]Contrato!G:G,"",0)</f>
        <v>#NAME?</v>
      </c>
      <c r="AA1820" s="47" t="e">
        <f ca="1">_xlfn.XLOOKUP(PAA_4[[#This Row],[ITEM]],[2]Contrato!A:A,[2]Contrato!T:T,"",0)</f>
        <v>#NAME?</v>
      </c>
      <c r="AB1820" s="55" t="e">
        <f ca="1">+MAX(PAA_4[[#This Row],[Comprometido Contrato]],PAA_4[[#This Row],[Comprometido Bolsa]])</f>
        <v>#NAME?</v>
      </c>
      <c r="AC1820" s="55" t="str">
        <f t="shared" ca="1" si="590"/>
        <v/>
      </c>
      <c r="AD1820" s="55" t="e">
        <f ca="1">IF(PAA_4[[#This Row],[ESTADO (formulado)]]="NO CONTRATADO",0,MAX(PAA_4[[#This Row],[Pago por Contrato]],PAA_4[[#This Row],[Pago por bolsa]]))</f>
        <v>#NAME?</v>
      </c>
      <c r="AE1820" s="55" t="str">
        <f t="shared" ca="1" si="591"/>
        <v/>
      </c>
      <c r="AF1820" s="47" t="e">
        <f t="shared" ca="1" si="592"/>
        <v>#NAME?</v>
      </c>
      <c r="AG1820" s="47">
        <f t="shared" si="593"/>
        <v>52010802</v>
      </c>
      <c r="AH1820" s="54">
        <f>IF(Q1820="22",IF(ISNUMBER(SEARCH("econ",PAA_4[[#This Row],[Actividad3]])),"Económico",IF(ISNUMBER(SEARCH("alim",PAA_4[[#This Row],[Actividad3]])),"Alimentación",IF(ISNUMBER(SEARCH("educ",PAA_4[[#This Row],[Actividad3]])),"Educativo","Técnico"))),0)</f>
        <v>0</v>
      </c>
      <c r="AI1820" s="47" t="e" cm="1">
        <f t="array" aca="1" ref="AI1820" ca="1">_xlfn.XLOOKUP(PAA_4[[#This Row],[RCP-RUBRO]],[2]!COMPROMISOS_2024[[#All],[concatenado]],[2]!COMPROMISOS_2024[[#All],[Total pagado]],"",0)</f>
        <v>#NAME?</v>
      </c>
      <c r="AJ1820" s="56">
        <f>IF(PAA_4[[#This Row],[BOLSA]]=0,0,SUMIFS([2]!COMPROMISOS_2024[[#All],[Total pagado]],[2]!COMPROMISOS_2024[[#All],[Bolsa]],PAA_4[[#This Row],[BOLSA]],[2]!COMPROMISOS_2024[[#All],[rubro]],PAA_4[[#This Row],[RCP-RUBRO]]))</f>
        <v>0</v>
      </c>
      <c r="AK1820" s="47" t="e" cm="1">
        <f t="array" aca="1" ref="AK1820" ca="1">_xlfn.XLOOKUP(PAA_4[[#This Row],[RCP-RUBRO]],[2]!COMPROMISOS_2024[[#All],[concatenado]],[2]!COMPROMISOS_2024[[#All],[Total Comprometido]],"",0)</f>
        <v>#NAME?</v>
      </c>
      <c r="AL1820" s="47">
        <f>IF(PAA_4[[#This Row],[BOLSA]]=0,0,SUMIFS([2]!COMPROMISOS_2024[[#All],[Total Comprometido]],[2]!COMPROMISOS_2024[[#All],[Bolsa]],PAA_4[[#This Row],[BOLSA]],[2]!COMPROMISOS_2024[[#All],[concatenado]],PAA_4[[#This Row],[RCP-RUBRO]]))</f>
        <v>0</v>
      </c>
    </row>
    <row r="1821" spans="1:38" s="19" customFormat="1" ht="31.5" customHeight="1">
      <c r="A1821" s="47" t="s">
        <v>82</v>
      </c>
      <c r="B1821" s="47" t="s">
        <v>42</v>
      </c>
      <c r="C1821" s="47" t="str">
        <f>VLOOKUP(PAA_4[[#This Row],[PROYECTO (formulado)2]],[2]PROYECTOS!$G$1:$L$32,6,0)</f>
        <v>SUBGERENCIA DE ALTOS LOGROS Y DEPORTE ASOCIADO</v>
      </c>
      <c r="D1821" s="47" t="str">
        <f>+IF(PAA_4[[#This Row],[UNIDAD DE CONTRATACION (formulado)]]="Subgerencia Administrativa y Financiera","FUNCIONAMIENTO","INVERSIÓN")</f>
        <v>INVERSIÓN</v>
      </c>
      <c r="E1821" s="48" t="str">
        <f>VLOOKUP(Q1821,[2]PROYECTOS!$G$1:$K$32,5,0)</f>
        <v>Apoyo técnico a atletas y para-atletas que representan en alto rendimiento deportivo al departamento de Antioquia</v>
      </c>
      <c r="F1821" s="48">
        <f>VLOOKUP(E1821,[2]PROYECTOS!$K$1:$M$32,3,0)</f>
        <v>2024003050084</v>
      </c>
      <c r="G1821" s="67" t="s">
        <v>1518</v>
      </c>
      <c r="H1821" s="49" t="str">
        <f>VLOOKUP(Q1821,[2]PROYECTOS!$V$1:$W$32,2,0)</f>
        <v>050079</v>
      </c>
      <c r="I1821" s="78">
        <v>395238</v>
      </c>
      <c r="J1821" s="51" t="s">
        <v>1952</v>
      </c>
      <c r="K1821" s="47" t="str">
        <f t="shared" ca="1" si="587"/>
        <v>CONTRATADO</v>
      </c>
      <c r="L1821" s="47" t="s">
        <v>42</v>
      </c>
      <c r="M1821" s="47" t="s">
        <v>42</v>
      </c>
      <c r="N1821" s="52" t="s">
        <v>1519</v>
      </c>
      <c r="O1821" s="51" t="e">
        <f>VLOOKUP(N1821,[2]!RUBROS[#All],3,0)</f>
        <v>#REF!</v>
      </c>
      <c r="P1821" s="53" t="e">
        <f>VLOOKUP(N1821,[2]!RUBROS[#All],2,0)</f>
        <v>#REF!</v>
      </c>
      <c r="Q1821" s="47" t="str">
        <f t="shared" si="588"/>
        <v>84</v>
      </c>
      <c r="R1821" s="47" t="str">
        <f t="shared" si="589"/>
        <v>0-205400</v>
      </c>
      <c r="S1821" s="339" t="s">
        <v>42</v>
      </c>
      <c r="T1821" s="59" t="s">
        <v>42</v>
      </c>
      <c r="U1821" s="326" t="e">
        <f ca="1">_xlfn.XLOOKUP(PAA_4[[#This Row],[ITEM]],[2]Contrato!A:A,[2]Contrato!Q:Q,"",0)</f>
        <v>#NAME?</v>
      </c>
      <c r="V1821" s="47" t="s">
        <v>42</v>
      </c>
      <c r="W1821" s="47" t="s">
        <v>42</v>
      </c>
      <c r="X1821" s="47" t="s">
        <v>42</v>
      </c>
      <c r="Y1821" s="55" t="e">
        <f ca="1">_xlfn.XLOOKUP(PAA_4[[#This Row],[ITEM]],[2]Contrato!A:A,[2]Contrato!B:B,"",0)</f>
        <v>#NAME?</v>
      </c>
      <c r="Z1821" s="47" t="e">
        <f ca="1">_xlfn.XLOOKUP(PAA_4[[#This Row],[ITEM]],[2]Contrato!A:A,[2]Contrato!G:G,"",0)</f>
        <v>#NAME?</v>
      </c>
      <c r="AA1821" s="47" t="e">
        <f ca="1">_xlfn.XLOOKUP(PAA_4[[#This Row],[ITEM]],[2]Contrato!A:A,[2]Contrato!T:T,"",0)</f>
        <v>#NAME?</v>
      </c>
      <c r="AB1821" s="55" t="e">
        <f ca="1">+MAX(PAA_4[[#This Row],[Comprometido Contrato]],PAA_4[[#This Row],[Comprometido Bolsa]])</f>
        <v>#NAME?</v>
      </c>
      <c r="AC1821" s="55" t="str">
        <f t="shared" ca="1" si="590"/>
        <v/>
      </c>
      <c r="AD1821" s="55" t="e">
        <f ca="1">IF(PAA_4[[#This Row],[ESTADO (formulado)]]="NO CONTRATADO",0,MAX(PAA_4[[#This Row],[Pago por Contrato]],PAA_4[[#This Row],[Pago por bolsa]]))</f>
        <v>#NAME?</v>
      </c>
      <c r="AE1821" s="55" t="str">
        <f t="shared" ca="1" si="591"/>
        <v/>
      </c>
      <c r="AF1821" s="47" t="e">
        <f t="shared" ca="1" si="592"/>
        <v>#NAME?</v>
      </c>
      <c r="AG1821" s="47">
        <f t="shared" si="593"/>
        <v>52010802</v>
      </c>
      <c r="AH1821" s="54">
        <f>IF(Q1821="22",IF(ISNUMBER(SEARCH("econ",PAA_4[[#This Row],[Actividad3]])),"Económico",IF(ISNUMBER(SEARCH("alim",PAA_4[[#This Row],[Actividad3]])),"Alimentación",IF(ISNUMBER(SEARCH("educ",PAA_4[[#This Row],[Actividad3]])),"Educativo","Técnico"))),0)</f>
        <v>0</v>
      </c>
      <c r="AI1821" s="47" t="e" cm="1">
        <f t="array" aca="1" ref="AI1821" ca="1">_xlfn.XLOOKUP(PAA_4[[#This Row],[RCP-RUBRO]],[2]!COMPROMISOS_2024[[#All],[concatenado]],[2]!COMPROMISOS_2024[[#All],[Total pagado]],"",0)</f>
        <v>#NAME?</v>
      </c>
      <c r="AJ1821" s="56">
        <f>IF(PAA_4[[#This Row],[BOLSA]]=0,0,SUMIFS([2]!COMPROMISOS_2024[[#All],[Total pagado]],[2]!COMPROMISOS_2024[[#All],[Bolsa]],PAA_4[[#This Row],[BOLSA]],[2]!COMPROMISOS_2024[[#All],[rubro]],PAA_4[[#This Row],[RCP-RUBRO]]))</f>
        <v>0</v>
      </c>
      <c r="AK1821" s="47" t="e" cm="1">
        <f t="array" aca="1" ref="AK1821" ca="1">_xlfn.XLOOKUP(PAA_4[[#This Row],[RCP-RUBRO]],[2]!COMPROMISOS_2024[[#All],[concatenado]],[2]!COMPROMISOS_2024[[#All],[Total Comprometido]],"",0)</f>
        <v>#NAME?</v>
      </c>
      <c r="AL1821" s="47">
        <f>IF(PAA_4[[#This Row],[BOLSA]]=0,0,SUMIFS([2]!COMPROMISOS_2024[[#All],[Total Comprometido]],[2]!COMPROMISOS_2024[[#All],[Bolsa]],PAA_4[[#This Row],[BOLSA]],[2]!COMPROMISOS_2024[[#All],[concatenado]],PAA_4[[#This Row],[RCP-RUBRO]]))</f>
        <v>0</v>
      </c>
    </row>
    <row r="1822" spans="1:38" s="19" customFormat="1" ht="31.5" customHeight="1">
      <c r="A1822" s="47">
        <v>1009</v>
      </c>
      <c r="B1822" s="47">
        <v>80111600</v>
      </c>
      <c r="C1822" s="47" t="str">
        <f>VLOOKUP(PAA_4[[#This Row],[PROYECTO (formulado)2]],[2]PROYECTOS!$G$1:$L$32,6,0)</f>
        <v>SUBGERENCIA DE ALTOS LOGROS Y DEPORTE ASOCIADO</v>
      </c>
      <c r="D1822" s="47" t="str">
        <f>+IF(PAA_4[[#This Row],[UNIDAD DE CONTRATACION (formulado)]]="Subgerencia Administrativa y Financiera","FUNCIONAMIENTO","INVERSIÓN")</f>
        <v>INVERSIÓN</v>
      </c>
      <c r="E1822" s="48" t="str">
        <f>VLOOKUP(Q1822,[2]PROYECTOS!$G$1:$K$32,5,0)</f>
        <v>Apoyo técnico a atletas y para-atletas que representan en alto rendimiento deportivo al departamento de Antioquia</v>
      </c>
      <c r="F1822" s="48">
        <f>VLOOKUP(E1822,[2]PROYECTOS!$K$1:$M$32,3,0)</f>
        <v>2024003050084</v>
      </c>
      <c r="G1822" s="67" t="s">
        <v>1518</v>
      </c>
      <c r="H1822" s="49" t="str">
        <f>VLOOKUP(Q1822,[2]PROYECTOS!$V$1:$W$32,2,0)</f>
        <v>050079</v>
      </c>
      <c r="I1822" s="78">
        <f>12252384-395238</f>
        <v>11857146</v>
      </c>
      <c r="J1822" s="51" t="s">
        <v>2078</v>
      </c>
      <c r="K1822" s="47" t="str">
        <f t="shared" ca="1" si="587"/>
        <v>CONTRATADO</v>
      </c>
      <c r="L1822" s="47" t="s">
        <v>898</v>
      </c>
      <c r="M1822" s="47" t="s">
        <v>1297</v>
      </c>
      <c r="N1822" s="52" t="s">
        <v>1519</v>
      </c>
      <c r="O1822" s="51" t="e">
        <f>VLOOKUP(N1822,[2]!RUBROS[#All],3,0)</f>
        <v>#REF!</v>
      </c>
      <c r="P1822" s="53" t="e">
        <f>VLOOKUP(N1822,[2]!RUBROS[#All],2,0)</f>
        <v>#REF!</v>
      </c>
      <c r="Q1822" s="47" t="str">
        <f t="shared" si="588"/>
        <v>84</v>
      </c>
      <c r="R1822" s="47" t="str">
        <f t="shared" si="589"/>
        <v>0-205400</v>
      </c>
      <c r="S1822" s="339">
        <v>93</v>
      </c>
      <c r="T1822" s="59" t="s">
        <v>120</v>
      </c>
      <c r="U1822" s="326" t="e">
        <f ca="1">_xlfn.XLOOKUP(PAA_4[[#This Row],[ITEM]],[2]Contrato!A:A,[2]Contrato!Q:Q,"",0)</f>
        <v>#NAME?</v>
      </c>
      <c r="V1822" s="47" t="s">
        <v>95</v>
      </c>
      <c r="W1822" s="47" t="s">
        <v>194</v>
      </c>
      <c r="X1822" s="47" t="s">
        <v>203</v>
      </c>
      <c r="Y1822" s="55" t="e">
        <f ca="1">_xlfn.XLOOKUP(PAA_4[[#This Row],[ITEM]],[2]Contrato!A:A,[2]Contrato!B:B,"",0)</f>
        <v>#NAME?</v>
      </c>
      <c r="Z1822" s="47" t="e">
        <f ca="1">_xlfn.XLOOKUP(PAA_4[[#This Row],[ITEM]],[2]Contrato!A:A,[2]Contrato!G:G,"",0)</f>
        <v>#NAME?</v>
      </c>
      <c r="AA1822" s="47" t="e">
        <f ca="1">_xlfn.XLOOKUP(PAA_4[[#This Row],[ITEM]],[2]Contrato!A:A,[2]Contrato!T:T,"",0)</f>
        <v>#NAME?</v>
      </c>
      <c r="AB1822" s="55" t="e">
        <f ca="1">+MAX(PAA_4[[#This Row],[Comprometido Contrato]],PAA_4[[#This Row],[Comprometido Bolsa]])</f>
        <v>#NAME?</v>
      </c>
      <c r="AC1822" s="55" t="str">
        <f t="shared" ca="1" si="590"/>
        <v/>
      </c>
      <c r="AD1822" s="55" t="e">
        <f ca="1">IF(PAA_4[[#This Row],[ESTADO (formulado)]]="NO CONTRATADO",0,MAX(PAA_4[[#This Row],[Pago por Contrato]],PAA_4[[#This Row],[Pago por bolsa]]))</f>
        <v>#NAME?</v>
      </c>
      <c r="AE1822" s="55" t="str">
        <f t="shared" ca="1" si="591"/>
        <v/>
      </c>
      <c r="AF1822" s="47" t="e">
        <f t="shared" ca="1" si="592"/>
        <v>#NAME?</v>
      </c>
      <c r="AG1822" s="47">
        <f t="shared" si="593"/>
        <v>52010802</v>
      </c>
      <c r="AH1822" s="54">
        <f>IF(Q1822="22",IF(ISNUMBER(SEARCH("econ",PAA_4[[#This Row],[Actividad3]])),"Económico",IF(ISNUMBER(SEARCH("alim",PAA_4[[#This Row],[Actividad3]])),"Alimentación",IF(ISNUMBER(SEARCH("educ",PAA_4[[#This Row],[Actividad3]])),"Educativo","Técnico"))),0)</f>
        <v>0</v>
      </c>
      <c r="AI1822" s="47" t="e" cm="1">
        <f t="array" aca="1" ref="AI1822" ca="1">_xlfn.XLOOKUP(PAA_4[[#This Row],[RCP-RUBRO]],[2]!COMPROMISOS_2024[[#All],[concatenado]],[2]!COMPROMISOS_2024[[#All],[Total pagado]],"",0)</f>
        <v>#NAME?</v>
      </c>
      <c r="AJ1822" s="56">
        <f>IF(PAA_4[[#This Row],[BOLSA]]=0,0,SUMIFS([2]!COMPROMISOS_2024[[#All],[Total pagado]],[2]!COMPROMISOS_2024[[#All],[Bolsa]],PAA_4[[#This Row],[BOLSA]],[2]!COMPROMISOS_2024[[#All],[rubro]],PAA_4[[#This Row],[RCP-RUBRO]]))</f>
        <v>0</v>
      </c>
      <c r="AK1822" s="47" t="e" cm="1">
        <f t="array" aca="1" ref="AK1822" ca="1">_xlfn.XLOOKUP(PAA_4[[#This Row],[RCP-RUBRO]],[2]!COMPROMISOS_2024[[#All],[concatenado]],[2]!COMPROMISOS_2024[[#All],[Total Comprometido]],"",0)</f>
        <v>#NAME?</v>
      </c>
      <c r="AL1822" s="47">
        <f>IF(PAA_4[[#This Row],[BOLSA]]=0,0,SUMIFS([2]!COMPROMISOS_2024[[#All],[Total Comprometido]],[2]!COMPROMISOS_2024[[#All],[Bolsa]],PAA_4[[#This Row],[BOLSA]],[2]!COMPROMISOS_2024[[#All],[concatenado]],PAA_4[[#This Row],[RCP-RUBRO]]))</f>
        <v>0</v>
      </c>
    </row>
    <row r="1823" spans="1:38" s="19" customFormat="1" ht="31.5" customHeight="1">
      <c r="A1823" s="47" t="s">
        <v>82</v>
      </c>
      <c r="B1823" s="47" t="s">
        <v>42</v>
      </c>
      <c r="C1823" s="47" t="str">
        <f>VLOOKUP(PAA_4[[#This Row],[PROYECTO (formulado)2]],[2]PROYECTOS!$G$1:$L$32,6,0)</f>
        <v>SUBGERENCIA DE ALTOS LOGROS Y DEPORTE ASOCIADO</v>
      </c>
      <c r="D1823" s="47" t="str">
        <f>+IF(PAA_4[[#This Row],[UNIDAD DE CONTRATACION (formulado)]]="Subgerencia Administrativa y Financiera","FUNCIONAMIENTO","INVERSIÓN")</f>
        <v>INVERSIÓN</v>
      </c>
      <c r="E1823" s="48" t="str">
        <f>VLOOKUP(Q1823,[2]PROYECTOS!$G$1:$K$32,5,0)</f>
        <v>Apoyo técnico a atletas y para-atletas que representan en alto rendimiento deportivo al departamento de Antioquia</v>
      </c>
      <c r="F1823" s="48">
        <f>VLOOKUP(E1823,[2]PROYECTOS!$K$1:$M$32,3,0)</f>
        <v>2024003050084</v>
      </c>
      <c r="G1823" s="67" t="s">
        <v>1518</v>
      </c>
      <c r="H1823" s="49" t="str">
        <f>VLOOKUP(Q1823,[2]PROYECTOS!$V$1:$W$32,2,0)</f>
        <v>050079</v>
      </c>
      <c r="I1823" s="78">
        <v>490894</v>
      </c>
      <c r="J1823" s="51" t="s">
        <v>1952</v>
      </c>
      <c r="K1823" s="47" t="str">
        <f t="shared" ca="1" si="587"/>
        <v>CONTRATADO</v>
      </c>
      <c r="L1823" s="47" t="s">
        <v>42</v>
      </c>
      <c r="M1823" s="47" t="s">
        <v>42</v>
      </c>
      <c r="N1823" s="52" t="s">
        <v>1519</v>
      </c>
      <c r="O1823" s="51" t="e">
        <f>VLOOKUP(N1823,[2]!RUBROS[#All],3,0)</f>
        <v>#REF!</v>
      </c>
      <c r="P1823" s="53" t="e">
        <f>VLOOKUP(N1823,[2]!RUBROS[#All],2,0)</f>
        <v>#REF!</v>
      </c>
      <c r="Q1823" s="47" t="str">
        <f t="shared" si="588"/>
        <v>84</v>
      </c>
      <c r="R1823" s="47" t="str">
        <f t="shared" si="589"/>
        <v>0-205400</v>
      </c>
      <c r="S1823" s="339" t="s">
        <v>42</v>
      </c>
      <c r="T1823" s="59" t="s">
        <v>42</v>
      </c>
      <c r="U1823" s="326" t="e">
        <f ca="1">_xlfn.XLOOKUP(PAA_4[[#This Row],[ITEM]],[2]Contrato!A:A,[2]Contrato!Q:Q,"",0)</f>
        <v>#NAME?</v>
      </c>
      <c r="V1823" s="47" t="s">
        <v>42</v>
      </c>
      <c r="W1823" s="47" t="s">
        <v>42</v>
      </c>
      <c r="X1823" s="47" t="s">
        <v>42</v>
      </c>
      <c r="Y1823" s="55" t="e">
        <f ca="1">_xlfn.XLOOKUP(PAA_4[[#This Row],[ITEM]],[2]Contrato!A:A,[2]Contrato!B:B,"",0)</f>
        <v>#NAME?</v>
      </c>
      <c r="Z1823" s="47" t="e">
        <f ca="1">_xlfn.XLOOKUP(PAA_4[[#This Row],[ITEM]],[2]Contrato!A:A,[2]Contrato!G:G,"",0)</f>
        <v>#NAME?</v>
      </c>
      <c r="AA1823" s="47" t="e">
        <f ca="1">_xlfn.XLOOKUP(PAA_4[[#This Row],[ITEM]],[2]Contrato!A:A,[2]Contrato!T:T,"",0)</f>
        <v>#NAME?</v>
      </c>
      <c r="AB1823" s="55" t="e">
        <f ca="1">+MAX(PAA_4[[#This Row],[Comprometido Contrato]],PAA_4[[#This Row],[Comprometido Bolsa]])</f>
        <v>#NAME?</v>
      </c>
      <c r="AC1823" s="55" t="str">
        <f t="shared" ca="1" si="590"/>
        <v/>
      </c>
      <c r="AD1823" s="55" t="e">
        <f ca="1">IF(PAA_4[[#This Row],[ESTADO (formulado)]]="NO CONTRATADO",0,MAX(PAA_4[[#This Row],[Pago por Contrato]],PAA_4[[#This Row],[Pago por bolsa]]))</f>
        <v>#NAME?</v>
      </c>
      <c r="AE1823" s="55" t="str">
        <f t="shared" ca="1" si="591"/>
        <v/>
      </c>
      <c r="AF1823" s="47" t="e">
        <f t="shared" ca="1" si="592"/>
        <v>#NAME?</v>
      </c>
      <c r="AG1823" s="47">
        <f t="shared" si="593"/>
        <v>52010802</v>
      </c>
      <c r="AH1823" s="54">
        <f>IF(Q1823="22",IF(ISNUMBER(SEARCH("econ",PAA_4[[#This Row],[Actividad3]])),"Económico",IF(ISNUMBER(SEARCH("alim",PAA_4[[#This Row],[Actividad3]])),"Alimentación",IF(ISNUMBER(SEARCH("educ",PAA_4[[#This Row],[Actividad3]])),"Educativo","Técnico"))),0)</f>
        <v>0</v>
      </c>
      <c r="AI1823" s="47" t="e" cm="1">
        <f t="array" aca="1" ref="AI1823" ca="1">_xlfn.XLOOKUP(PAA_4[[#This Row],[RCP-RUBRO]],[2]!COMPROMISOS_2024[[#All],[concatenado]],[2]!COMPROMISOS_2024[[#All],[Total pagado]],"",0)</f>
        <v>#NAME?</v>
      </c>
      <c r="AJ1823" s="56">
        <f>IF(PAA_4[[#This Row],[BOLSA]]=0,0,SUMIFS([2]!COMPROMISOS_2024[[#All],[Total pagado]],[2]!COMPROMISOS_2024[[#All],[Bolsa]],PAA_4[[#This Row],[BOLSA]],[2]!COMPROMISOS_2024[[#All],[rubro]],PAA_4[[#This Row],[RCP-RUBRO]]))</f>
        <v>0</v>
      </c>
      <c r="AK1823" s="47" t="e" cm="1">
        <f t="array" aca="1" ref="AK1823" ca="1">_xlfn.XLOOKUP(PAA_4[[#This Row],[RCP-RUBRO]],[2]!COMPROMISOS_2024[[#All],[concatenado]],[2]!COMPROMISOS_2024[[#All],[Total Comprometido]],"",0)</f>
        <v>#NAME?</v>
      </c>
      <c r="AL1823" s="47">
        <f>IF(PAA_4[[#This Row],[BOLSA]]=0,0,SUMIFS([2]!COMPROMISOS_2024[[#All],[Total Comprometido]],[2]!COMPROMISOS_2024[[#All],[Bolsa]],PAA_4[[#This Row],[BOLSA]],[2]!COMPROMISOS_2024[[#All],[concatenado]],PAA_4[[#This Row],[RCP-RUBRO]]))</f>
        <v>0</v>
      </c>
    </row>
    <row r="1824" spans="1:38" s="19" customFormat="1" ht="31.5" customHeight="1">
      <c r="A1824" s="47">
        <v>1010</v>
      </c>
      <c r="B1824" s="47">
        <v>80111600</v>
      </c>
      <c r="C1824" s="47" t="str">
        <f>VLOOKUP(PAA_4[[#This Row],[PROYECTO (formulado)2]],[2]PROYECTOS!$G$1:$L$32,6,0)</f>
        <v>SUBGERENCIA DE ALTOS LOGROS Y DEPORTE ASOCIADO</v>
      </c>
      <c r="D1824" s="47" t="str">
        <f>+IF(PAA_4[[#This Row],[UNIDAD DE CONTRATACION (formulado)]]="Subgerencia Administrativa y Financiera","FUNCIONAMIENTO","INVERSIÓN")</f>
        <v>INVERSIÓN</v>
      </c>
      <c r="E1824" s="48" t="str">
        <f>VLOOKUP(Q1824,[2]PROYECTOS!$G$1:$K$32,5,0)</f>
        <v>Apoyo técnico a atletas y para-atletas que representan en alto rendimiento deportivo al departamento de Antioquia</v>
      </c>
      <c r="F1824" s="48">
        <f>VLOOKUP(E1824,[2]PROYECTOS!$K$1:$M$32,3,0)</f>
        <v>2024003050084</v>
      </c>
      <c r="G1824" s="67" t="s">
        <v>1518</v>
      </c>
      <c r="H1824" s="49" t="str">
        <f>VLOOKUP(Q1824,[2]PROYECTOS!$V$1:$W$32,2,0)</f>
        <v>050079</v>
      </c>
      <c r="I1824" s="78">
        <f>15217702-490894</f>
        <v>14726808</v>
      </c>
      <c r="J1824" s="51" t="s">
        <v>2078</v>
      </c>
      <c r="K1824" s="47" t="str">
        <f t="shared" ca="1" si="587"/>
        <v>CONTRATADO</v>
      </c>
      <c r="L1824" s="47" t="s">
        <v>898</v>
      </c>
      <c r="M1824" s="47" t="s">
        <v>1297</v>
      </c>
      <c r="N1824" s="52" t="s">
        <v>1519</v>
      </c>
      <c r="O1824" s="51" t="e">
        <f>VLOOKUP(N1824,[2]!RUBROS[#All],3,0)</f>
        <v>#REF!</v>
      </c>
      <c r="P1824" s="53" t="e">
        <f>VLOOKUP(N1824,[2]!RUBROS[#All],2,0)</f>
        <v>#REF!</v>
      </c>
      <c r="Q1824" s="47" t="str">
        <f t="shared" si="588"/>
        <v>84</v>
      </c>
      <c r="R1824" s="47" t="str">
        <f t="shared" si="589"/>
        <v>0-205400</v>
      </c>
      <c r="S1824" s="339">
        <v>93</v>
      </c>
      <c r="T1824" s="59" t="s">
        <v>120</v>
      </c>
      <c r="U1824" s="326" t="e">
        <f ca="1">_xlfn.XLOOKUP(PAA_4[[#This Row],[ITEM]],[2]Contrato!A:A,[2]Contrato!Q:Q,"",0)</f>
        <v>#NAME?</v>
      </c>
      <c r="V1824" s="47" t="s">
        <v>95</v>
      </c>
      <c r="W1824" s="47" t="s">
        <v>194</v>
      </c>
      <c r="X1824" s="47" t="s">
        <v>203</v>
      </c>
      <c r="Y1824" s="55" t="e">
        <f ca="1">_xlfn.XLOOKUP(PAA_4[[#This Row],[ITEM]],[2]Contrato!A:A,[2]Contrato!B:B,"",0)</f>
        <v>#NAME?</v>
      </c>
      <c r="Z1824" s="47" t="e">
        <f ca="1">_xlfn.XLOOKUP(PAA_4[[#This Row],[ITEM]],[2]Contrato!A:A,[2]Contrato!G:G,"",0)</f>
        <v>#NAME?</v>
      </c>
      <c r="AA1824" s="47" t="e">
        <f ca="1">_xlfn.XLOOKUP(PAA_4[[#This Row],[ITEM]],[2]Contrato!A:A,[2]Contrato!T:T,"",0)</f>
        <v>#NAME?</v>
      </c>
      <c r="AB1824" s="55" t="e">
        <f ca="1">+MAX(PAA_4[[#This Row],[Comprometido Contrato]],PAA_4[[#This Row],[Comprometido Bolsa]])</f>
        <v>#NAME?</v>
      </c>
      <c r="AC1824" s="55" t="str">
        <f t="shared" ca="1" si="590"/>
        <v/>
      </c>
      <c r="AD1824" s="55" t="e">
        <f ca="1">IF(PAA_4[[#This Row],[ESTADO (formulado)]]="NO CONTRATADO",0,MAX(PAA_4[[#This Row],[Pago por Contrato]],PAA_4[[#This Row],[Pago por bolsa]]))</f>
        <v>#NAME?</v>
      </c>
      <c r="AE1824" s="55" t="str">
        <f t="shared" ca="1" si="591"/>
        <v/>
      </c>
      <c r="AF1824" s="47" t="e">
        <f t="shared" ca="1" si="592"/>
        <v>#NAME?</v>
      </c>
      <c r="AG1824" s="47">
        <f t="shared" si="593"/>
        <v>52010802</v>
      </c>
      <c r="AH1824" s="54">
        <f>IF(Q1824="22",IF(ISNUMBER(SEARCH("econ",PAA_4[[#This Row],[Actividad3]])),"Económico",IF(ISNUMBER(SEARCH("alim",PAA_4[[#This Row],[Actividad3]])),"Alimentación",IF(ISNUMBER(SEARCH("educ",PAA_4[[#This Row],[Actividad3]])),"Educativo","Técnico"))),0)</f>
        <v>0</v>
      </c>
      <c r="AI1824" s="47" t="e" cm="1">
        <f t="array" aca="1" ref="AI1824" ca="1">_xlfn.XLOOKUP(PAA_4[[#This Row],[RCP-RUBRO]],[2]!COMPROMISOS_2024[[#All],[concatenado]],[2]!COMPROMISOS_2024[[#All],[Total pagado]],"",0)</f>
        <v>#NAME?</v>
      </c>
      <c r="AJ1824" s="56">
        <f>IF(PAA_4[[#This Row],[BOLSA]]=0,0,SUMIFS([2]!COMPROMISOS_2024[[#All],[Total pagado]],[2]!COMPROMISOS_2024[[#All],[Bolsa]],PAA_4[[#This Row],[BOLSA]],[2]!COMPROMISOS_2024[[#All],[rubro]],PAA_4[[#This Row],[RCP-RUBRO]]))</f>
        <v>0</v>
      </c>
      <c r="AK1824" s="47" t="e" cm="1">
        <f t="array" aca="1" ref="AK1824" ca="1">_xlfn.XLOOKUP(PAA_4[[#This Row],[RCP-RUBRO]],[2]!COMPROMISOS_2024[[#All],[concatenado]],[2]!COMPROMISOS_2024[[#All],[Total Comprometido]],"",0)</f>
        <v>#NAME?</v>
      </c>
      <c r="AL1824" s="47">
        <f>IF(PAA_4[[#This Row],[BOLSA]]=0,0,SUMIFS([2]!COMPROMISOS_2024[[#All],[Total Comprometido]],[2]!COMPROMISOS_2024[[#All],[Bolsa]],PAA_4[[#This Row],[BOLSA]],[2]!COMPROMISOS_2024[[#All],[concatenado]],PAA_4[[#This Row],[RCP-RUBRO]]))</f>
        <v>0</v>
      </c>
    </row>
    <row r="1825" spans="1:38" s="19" customFormat="1" ht="31.5" customHeight="1">
      <c r="A1825" s="47">
        <v>1011</v>
      </c>
      <c r="B1825" s="47">
        <v>80111600</v>
      </c>
      <c r="C1825" s="47" t="str">
        <f>VLOOKUP(PAA_4[[#This Row],[PROYECTO (formulado)2]],[2]PROYECTOS!$G$1:$L$32,6,0)</f>
        <v>SUBGERENCIA DE ALTOS LOGROS Y DEPORTE ASOCIADO</v>
      </c>
      <c r="D1825" s="47" t="str">
        <f>+IF(PAA_4[[#This Row],[UNIDAD DE CONTRATACION (formulado)]]="Subgerencia Administrativa y Financiera","FUNCIONAMIENTO","INVERSIÓN")</f>
        <v>INVERSIÓN</v>
      </c>
      <c r="E1825" s="48" t="str">
        <f>VLOOKUP(Q1825,[2]PROYECTOS!$G$1:$K$32,5,0)</f>
        <v>Apoyo técnico a atletas y para-atletas que representan en alto rendimiento deportivo al departamento de Antioquia</v>
      </c>
      <c r="F1825" s="48">
        <f>VLOOKUP(E1825,[2]PROYECTOS!$K$1:$M$32,3,0)</f>
        <v>2024003050084</v>
      </c>
      <c r="G1825" s="67" t="s">
        <v>1518</v>
      </c>
      <c r="H1825" s="49" t="str">
        <f>VLOOKUP(Q1825,[2]PROYECTOS!$V$1:$W$32,2,0)</f>
        <v>050079</v>
      </c>
      <c r="I1825" s="78">
        <f>18386562-593115</f>
        <v>17793447</v>
      </c>
      <c r="J1825" s="51" t="s">
        <v>2078</v>
      </c>
      <c r="K1825" s="47" t="str">
        <f t="shared" ca="1" si="587"/>
        <v>CONTRATADO</v>
      </c>
      <c r="L1825" s="47" t="s">
        <v>898</v>
      </c>
      <c r="M1825" s="47" t="s">
        <v>1297</v>
      </c>
      <c r="N1825" s="52" t="s">
        <v>1519</v>
      </c>
      <c r="O1825" s="51" t="e">
        <f>VLOOKUP(N1825,[2]!RUBROS[#All],3,0)</f>
        <v>#REF!</v>
      </c>
      <c r="P1825" s="53" t="e">
        <f>VLOOKUP(N1825,[2]!RUBROS[#All],2,0)</f>
        <v>#REF!</v>
      </c>
      <c r="Q1825" s="47" t="str">
        <f t="shared" si="588"/>
        <v>84</v>
      </c>
      <c r="R1825" s="47" t="str">
        <f t="shared" si="589"/>
        <v>0-205400</v>
      </c>
      <c r="S1825" s="339">
        <v>93</v>
      </c>
      <c r="T1825" s="59" t="s">
        <v>120</v>
      </c>
      <c r="U1825" s="326" t="e">
        <f ca="1">_xlfn.XLOOKUP(PAA_4[[#This Row],[ITEM]],[2]Contrato!A:A,[2]Contrato!Q:Q,"",0)</f>
        <v>#NAME?</v>
      </c>
      <c r="V1825" s="47" t="s">
        <v>95</v>
      </c>
      <c r="W1825" s="47" t="s">
        <v>194</v>
      </c>
      <c r="X1825" s="47" t="s">
        <v>203</v>
      </c>
      <c r="Y1825" s="55" t="e">
        <f ca="1">_xlfn.XLOOKUP(PAA_4[[#This Row],[ITEM]],[2]Contrato!A:A,[2]Contrato!B:B,"",0)</f>
        <v>#NAME?</v>
      </c>
      <c r="Z1825" s="47" t="e">
        <f ca="1">_xlfn.XLOOKUP(PAA_4[[#This Row],[ITEM]],[2]Contrato!A:A,[2]Contrato!G:G,"",0)</f>
        <v>#NAME?</v>
      </c>
      <c r="AA1825" s="47" t="e">
        <f ca="1">_xlfn.XLOOKUP(PAA_4[[#This Row],[ITEM]],[2]Contrato!A:A,[2]Contrato!T:T,"",0)</f>
        <v>#NAME?</v>
      </c>
      <c r="AB1825" s="55" t="e">
        <f ca="1">+MAX(PAA_4[[#This Row],[Comprometido Contrato]],PAA_4[[#This Row],[Comprometido Bolsa]])</f>
        <v>#NAME?</v>
      </c>
      <c r="AC1825" s="55" t="str">
        <f t="shared" ca="1" si="590"/>
        <v/>
      </c>
      <c r="AD1825" s="55" t="e">
        <f ca="1">IF(PAA_4[[#This Row],[ESTADO (formulado)]]="NO CONTRATADO",0,MAX(PAA_4[[#This Row],[Pago por Contrato]],PAA_4[[#This Row],[Pago por bolsa]]))</f>
        <v>#NAME?</v>
      </c>
      <c r="AE1825" s="55" t="str">
        <f t="shared" ca="1" si="591"/>
        <v/>
      </c>
      <c r="AF1825" s="47" t="e">
        <f t="shared" ca="1" si="592"/>
        <v>#NAME?</v>
      </c>
      <c r="AG1825" s="47">
        <f t="shared" si="593"/>
        <v>52010802</v>
      </c>
      <c r="AH1825" s="54">
        <f>IF(Q1825="22",IF(ISNUMBER(SEARCH("econ",PAA_4[[#This Row],[Actividad3]])),"Económico",IF(ISNUMBER(SEARCH("alim",PAA_4[[#This Row],[Actividad3]])),"Alimentación",IF(ISNUMBER(SEARCH("educ",PAA_4[[#This Row],[Actividad3]])),"Educativo","Técnico"))),0)</f>
        <v>0</v>
      </c>
      <c r="AI1825" s="47" t="e" cm="1">
        <f t="array" aca="1" ref="AI1825" ca="1">_xlfn.XLOOKUP(PAA_4[[#This Row],[RCP-RUBRO]],[2]!COMPROMISOS_2024[[#All],[concatenado]],[2]!COMPROMISOS_2024[[#All],[Total pagado]],"",0)</f>
        <v>#NAME?</v>
      </c>
      <c r="AJ1825" s="56">
        <f>IF(PAA_4[[#This Row],[BOLSA]]=0,0,SUMIFS([2]!COMPROMISOS_2024[[#All],[Total pagado]],[2]!COMPROMISOS_2024[[#All],[Bolsa]],PAA_4[[#This Row],[BOLSA]],[2]!COMPROMISOS_2024[[#All],[rubro]],PAA_4[[#This Row],[RCP-RUBRO]]))</f>
        <v>0</v>
      </c>
      <c r="AK1825" s="47" t="e" cm="1">
        <f t="array" aca="1" ref="AK1825" ca="1">_xlfn.XLOOKUP(PAA_4[[#This Row],[RCP-RUBRO]],[2]!COMPROMISOS_2024[[#All],[concatenado]],[2]!COMPROMISOS_2024[[#All],[Total Comprometido]],"",0)</f>
        <v>#NAME?</v>
      </c>
      <c r="AL1825" s="47">
        <f>IF(PAA_4[[#This Row],[BOLSA]]=0,0,SUMIFS([2]!COMPROMISOS_2024[[#All],[Total Comprometido]],[2]!COMPROMISOS_2024[[#All],[Bolsa]],PAA_4[[#This Row],[BOLSA]],[2]!COMPROMISOS_2024[[#All],[concatenado]],PAA_4[[#This Row],[RCP-RUBRO]]))</f>
        <v>0</v>
      </c>
    </row>
    <row r="1826" spans="1:38" s="19" customFormat="1" ht="31.5" customHeight="1">
      <c r="A1826" s="47">
        <v>1012</v>
      </c>
      <c r="B1826" s="47">
        <v>80111600</v>
      </c>
      <c r="C1826" s="47" t="str">
        <f>VLOOKUP(PAA_4[[#This Row],[PROYECTO (formulado)2]],[2]PROYECTOS!$G$1:$L$32,6,0)</f>
        <v>SUBGERENCIA DE ALTOS LOGROS Y DEPORTE ASOCIADO</v>
      </c>
      <c r="D1826" s="47" t="str">
        <f>+IF(PAA_4[[#This Row],[UNIDAD DE CONTRATACION (formulado)]]="Subgerencia Administrativa y Financiera","FUNCIONAMIENTO","INVERSIÓN")</f>
        <v>INVERSIÓN</v>
      </c>
      <c r="E1826" s="48" t="str">
        <f>VLOOKUP(Q1826,[2]PROYECTOS!$G$1:$K$32,5,0)</f>
        <v>Apoyo técnico a atletas y para-atletas que representan en alto rendimiento deportivo al departamento de Antioquia</v>
      </c>
      <c r="F1826" s="48">
        <f>VLOOKUP(E1826,[2]PROYECTOS!$K$1:$M$32,3,0)</f>
        <v>2024003050084</v>
      </c>
      <c r="G1826" s="67" t="s">
        <v>1518</v>
      </c>
      <c r="H1826" s="49" t="str">
        <f>VLOOKUP(Q1826,[2]PROYECTOS!$V$1:$W$32,2,0)</f>
        <v>050079</v>
      </c>
      <c r="I1826" s="78">
        <v>0</v>
      </c>
      <c r="J1826" s="51" t="s">
        <v>2078</v>
      </c>
      <c r="K1826" s="47" t="str">
        <f t="shared" ca="1" si="587"/>
        <v>CONTRATADO</v>
      </c>
      <c r="L1826" s="47" t="s">
        <v>898</v>
      </c>
      <c r="M1826" s="51" t="s">
        <v>1297</v>
      </c>
      <c r="N1826" s="52" t="s">
        <v>1519</v>
      </c>
      <c r="O1826" s="51" t="e">
        <f>VLOOKUP(N1826,[2]!RUBROS[#All],3,0)</f>
        <v>#REF!</v>
      </c>
      <c r="P1826" s="53" t="e">
        <f>VLOOKUP(N1826,[2]!RUBROS[#All],2,0)</f>
        <v>#REF!</v>
      </c>
      <c r="Q1826" s="47" t="str">
        <f t="shared" si="588"/>
        <v>84</v>
      </c>
      <c r="R1826" s="47" t="str">
        <f t="shared" si="589"/>
        <v>0-205400</v>
      </c>
      <c r="S1826" s="339">
        <v>93</v>
      </c>
      <c r="T1826" s="59" t="s">
        <v>120</v>
      </c>
      <c r="U1826" s="326" t="e">
        <f ca="1">_xlfn.XLOOKUP(PAA_4[[#This Row],[ITEM]],[2]Contrato!A:A,[2]Contrato!Q:Q,"",0)</f>
        <v>#NAME?</v>
      </c>
      <c r="V1826" s="47" t="s">
        <v>95</v>
      </c>
      <c r="W1826" s="47" t="s">
        <v>194</v>
      </c>
      <c r="X1826" s="47" t="s">
        <v>203</v>
      </c>
      <c r="Y1826" s="55" t="e">
        <f ca="1">_xlfn.XLOOKUP(PAA_4[[#This Row],[ITEM]],[2]Contrato!A:A,[2]Contrato!B:B,"",0)</f>
        <v>#NAME?</v>
      </c>
      <c r="Z1826" s="47" t="e">
        <f ca="1">_xlfn.XLOOKUP(PAA_4[[#This Row],[ITEM]],[2]Contrato!A:A,[2]Contrato!G:G,"",0)</f>
        <v>#NAME?</v>
      </c>
      <c r="AA1826" s="47" t="e">
        <f ca="1">_xlfn.XLOOKUP(PAA_4[[#This Row],[ITEM]],[2]Contrato!A:A,[2]Contrato!T:T,"",0)</f>
        <v>#NAME?</v>
      </c>
      <c r="AB1826" s="55" t="e">
        <f ca="1">+MAX(PAA_4[[#This Row],[Comprometido Contrato]],PAA_4[[#This Row],[Comprometido Bolsa]])</f>
        <v>#NAME?</v>
      </c>
      <c r="AC1826" s="55" t="str">
        <f t="shared" ca="1" si="590"/>
        <v/>
      </c>
      <c r="AD1826" s="55" t="e">
        <f ca="1">IF(PAA_4[[#This Row],[ESTADO (formulado)]]="NO CONTRATADO",0,MAX(PAA_4[[#This Row],[Pago por Contrato]],PAA_4[[#This Row],[Pago por bolsa]]))</f>
        <v>#NAME?</v>
      </c>
      <c r="AE1826" s="55" t="str">
        <f t="shared" ca="1" si="591"/>
        <v/>
      </c>
      <c r="AF1826" s="47" t="e">
        <f t="shared" ca="1" si="592"/>
        <v>#NAME?</v>
      </c>
      <c r="AG1826" s="47">
        <f t="shared" si="593"/>
        <v>52010802</v>
      </c>
      <c r="AH1826" s="54">
        <f>IF(Q1826="22",IF(ISNUMBER(SEARCH("econ",PAA_4[[#This Row],[Actividad3]])),"Económico",IF(ISNUMBER(SEARCH("alim",PAA_4[[#This Row],[Actividad3]])),"Alimentación",IF(ISNUMBER(SEARCH("educ",PAA_4[[#This Row],[Actividad3]])),"Educativo","Técnico"))),0)</f>
        <v>0</v>
      </c>
      <c r="AI1826" s="47" t="e" cm="1">
        <f t="array" aca="1" ref="AI1826" ca="1">_xlfn.XLOOKUP(PAA_4[[#This Row],[RCP-RUBRO]],[2]!COMPROMISOS_2024[[#All],[concatenado]],[2]!COMPROMISOS_2024[[#All],[Total pagado]],"",0)</f>
        <v>#NAME?</v>
      </c>
      <c r="AJ1826" s="56">
        <f>IF(PAA_4[[#This Row],[BOLSA]]=0,0,SUMIFS([2]!COMPROMISOS_2024[[#All],[Total pagado]],[2]!COMPROMISOS_2024[[#All],[Bolsa]],PAA_4[[#This Row],[BOLSA]],[2]!COMPROMISOS_2024[[#All],[rubro]],PAA_4[[#This Row],[RCP-RUBRO]]))</f>
        <v>0</v>
      </c>
      <c r="AK1826" s="47" t="e" cm="1">
        <f t="array" aca="1" ref="AK1826" ca="1">_xlfn.XLOOKUP(PAA_4[[#This Row],[RCP-RUBRO]],[2]!COMPROMISOS_2024[[#All],[concatenado]],[2]!COMPROMISOS_2024[[#All],[Total Comprometido]],"",0)</f>
        <v>#NAME?</v>
      </c>
      <c r="AL1826" s="47">
        <f>IF(PAA_4[[#This Row],[BOLSA]]=0,0,SUMIFS([2]!COMPROMISOS_2024[[#All],[Total Comprometido]],[2]!COMPROMISOS_2024[[#All],[Bolsa]],PAA_4[[#This Row],[BOLSA]],[2]!COMPROMISOS_2024[[#All],[concatenado]],PAA_4[[#This Row],[RCP-RUBRO]]))</f>
        <v>0</v>
      </c>
    </row>
    <row r="1827" spans="1:38" s="19" customFormat="1" ht="31.5" customHeight="1">
      <c r="A1827" s="47">
        <v>1013</v>
      </c>
      <c r="B1827" s="47">
        <v>80111600</v>
      </c>
      <c r="C1827" s="47" t="str">
        <f>VLOOKUP(PAA_4[[#This Row],[PROYECTO (formulado)2]],[2]PROYECTOS!$G$1:$L$32,6,0)</f>
        <v>SUBGERENCIA DE ALTOS LOGROS Y DEPORTE ASOCIADO</v>
      </c>
      <c r="D1827" s="47" t="str">
        <f>+IF(PAA_4[[#This Row],[UNIDAD DE CONTRATACION (formulado)]]="Subgerencia Administrativa y Financiera","FUNCIONAMIENTO","INVERSIÓN")</f>
        <v>INVERSIÓN</v>
      </c>
      <c r="E1827" s="48" t="str">
        <f>VLOOKUP(Q1827,[2]PROYECTOS!$G$1:$K$32,5,0)</f>
        <v>Apoyo técnico a atletas y para-atletas que representan en alto rendimiento deportivo al departamento de Antioquia</v>
      </c>
      <c r="F1827" s="48">
        <f>VLOOKUP(E1827,[2]PROYECTOS!$K$1:$M$32,3,0)</f>
        <v>2024003050084</v>
      </c>
      <c r="G1827" s="67" t="s">
        <v>1518</v>
      </c>
      <c r="H1827" s="49" t="str">
        <f>VLOOKUP(Q1827,[2]PROYECTOS!$V$1:$W$32,2,0)</f>
        <v>050079</v>
      </c>
      <c r="I1827" s="78">
        <f t="shared" ref="I1827:I1832" si="594">15217702-490894</f>
        <v>14726808</v>
      </c>
      <c r="J1827" s="51" t="s">
        <v>2078</v>
      </c>
      <c r="K1827" s="47" t="str">
        <f t="shared" ca="1" si="587"/>
        <v>CONTRATADO</v>
      </c>
      <c r="L1827" s="47" t="s">
        <v>898</v>
      </c>
      <c r="M1827" s="47" t="s">
        <v>1297</v>
      </c>
      <c r="N1827" s="52" t="s">
        <v>1519</v>
      </c>
      <c r="O1827" s="51" t="e">
        <f>VLOOKUP(N1827,[2]!RUBROS[#All],3,0)</f>
        <v>#REF!</v>
      </c>
      <c r="P1827" s="53" t="e">
        <f>VLOOKUP(N1827,[2]!RUBROS[#All],2,0)</f>
        <v>#REF!</v>
      </c>
      <c r="Q1827" s="47" t="str">
        <f t="shared" si="588"/>
        <v>84</v>
      </c>
      <c r="R1827" s="47" t="str">
        <f t="shared" si="589"/>
        <v>0-205400</v>
      </c>
      <c r="S1827" s="339">
        <v>93</v>
      </c>
      <c r="T1827" s="59" t="s">
        <v>120</v>
      </c>
      <c r="U1827" s="326" t="e">
        <f ca="1">_xlfn.XLOOKUP(PAA_4[[#This Row],[ITEM]],[2]Contrato!A:A,[2]Contrato!Q:Q,"",0)</f>
        <v>#NAME?</v>
      </c>
      <c r="V1827" s="47" t="s">
        <v>95</v>
      </c>
      <c r="W1827" s="47" t="s">
        <v>194</v>
      </c>
      <c r="X1827" s="47" t="s">
        <v>203</v>
      </c>
      <c r="Y1827" s="55" t="e">
        <f ca="1">_xlfn.XLOOKUP(PAA_4[[#This Row],[ITEM]],[2]Contrato!A:A,[2]Contrato!B:B,"",0)</f>
        <v>#NAME?</v>
      </c>
      <c r="Z1827" s="47" t="e">
        <f ca="1">_xlfn.XLOOKUP(PAA_4[[#This Row],[ITEM]],[2]Contrato!A:A,[2]Contrato!G:G,"",0)</f>
        <v>#NAME?</v>
      </c>
      <c r="AA1827" s="47" t="e">
        <f ca="1">_xlfn.XLOOKUP(PAA_4[[#This Row],[ITEM]],[2]Contrato!A:A,[2]Contrato!T:T,"",0)</f>
        <v>#NAME?</v>
      </c>
      <c r="AB1827" s="55" t="e">
        <f ca="1">+MAX(PAA_4[[#This Row],[Comprometido Contrato]],PAA_4[[#This Row],[Comprometido Bolsa]])</f>
        <v>#NAME?</v>
      </c>
      <c r="AC1827" s="55" t="str">
        <f t="shared" ca="1" si="590"/>
        <v/>
      </c>
      <c r="AD1827" s="55" t="e">
        <f ca="1">IF(PAA_4[[#This Row],[ESTADO (formulado)]]="NO CONTRATADO",0,MAX(PAA_4[[#This Row],[Pago por Contrato]],PAA_4[[#This Row],[Pago por bolsa]]))</f>
        <v>#NAME?</v>
      </c>
      <c r="AE1827" s="55" t="str">
        <f t="shared" ca="1" si="591"/>
        <v/>
      </c>
      <c r="AF1827" s="47" t="e">
        <f t="shared" ca="1" si="592"/>
        <v>#NAME?</v>
      </c>
      <c r="AG1827" s="47">
        <f t="shared" si="593"/>
        <v>52010802</v>
      </c>
      <c r="AH1827" s="54">
        <f>IF(Q1827="22",IF(ISNUMBER(SEARCH("econ",PAA_4[[#This Row],[Actividad3]])),"Económico",IF(ISNUMBER(SEARCH("alim",PAA_4[[#This Row],[Actividad3]])),"Alimentación",IF(ISNUMBER(SEARCH("educ",PAA_4[[#This Row],[Actividad3]])),"Educativo","Técnico"))),0)</f>
        <v>0</v>
      </c>
      <c r="AI1827" s="47" t="e" cm="1">
        <f t="array" aca="1" ref="AI1827" ca="1">_xlfn.XLOOKUP(PAA_4[[#This Row],[RCP-RUBRO]],[2]!COMPROMISOS_2024[[#All],[concatenado]],[2]!COMPROMISOS_2024[[#All],[Total pagado]],"",0)</f>
        <v>#NAME?</v>
      </c>
      <c r="AJ1827" s="56">
        <f>IF(PAA_4[[#This Row],[BOLSA]]=0,0,SUMIFS([2]!COMPROMISOS_2024[[#All],[Total pagado]],[2]!COMPROMISOS_2024[[#All],[Bolsa]],PAA_4[[#This Row],[BOLSA]],[2]!COMPROMISOS_2024[[#All],[rubro]],PAA_4[[#This Row],[RCP-RUBRO]]))</f>
        <v>0</v>
      </c>
      <c r="AK1827" s="47" t="e" cm="1">
        <f t="array" aca="1" ref="AK1827" ca="1">_xlfn.XLOOKUP(PAA_4[[#This Row],[RCP-RUBRO]],[2]!COMPROMISOS_2024[[#All],[concatenado]],[2]!COMPROMISOS_2024[[#All],[Total Comprometido]],"",0)</f>
        <v>#NAME?</v>
      </c>
      <c r="AL1827" s="47">
        <f>IF(PAA_4[[#This Row],[BOLSA]]=0,0,SUMIFS([2]!COMPROMISOS_2024[[#All],[Total Comprometido]],[2]!COMPROMISOS_2024[[#All],[Bolsa]],PAA_4[[#This Row],[BOLSA]],[2]!COMPROMISOS_2024[[#All],[concatenado]],PAA_4[[#This Row],[RCP-RUBRO]]))</f>
        <v>0</v>
      </c>
    </row>
    <row r="1828" spans="1:38" s="19" customFormat="1" ht="31.5" customHeight="1">
      <c r="A1828" s="47">
        <v>1014</v>
      </c>
      <c r="B1828" s="47">
        <v>80111600</v>
      </c>
      <c r="C1828" s="47" t="str">
        <f>VLOOKUP(PAA_4[[#This Row],[PROYECTO (formulado)2]],[2]PROYECTOS!$G$1:$L$32,6,0)</f>
        <v>SUBGERENCIA DE ALTOS LOGROS Y DEPORTE ASOCIADO</v>
      </c>
      <c r="D1828" s="47" t="str">
        <f>+IF(PAA_4[[#This Row],[UNIDAD DE CONTRATACION (formulado)]]="Subgerencia Administrativa y Financiera","FUNCIONAMIENTO","INVERSIÓN")</f>
        <v>INVERSIÓN</v>
      </c>
      <c r="E1828" s="48" t="str">
        <f>VLOOKUP(Q1828,[2]PROYECTOS!$G$1:$K$32,5,0)</f>
        <v>Apoyo técnico a atletas y para-atletas que representan en alto rendimiento deportivo al departamento de Antioquia</v>
      </c>
      <c r="F1828" s="48">
        <f>VLOOKUP(E1828,[2]PROYECTOS!$K$1:$M$32,3,0)</f>
        <v>2024003050084</v>
      </c>
      <c r="G1828" s="67" t="s">
        <v>1518</v>
      </c>
      <c r="H1828" s="49" t="str">
        <f>VLOOKUP(Q1828,[2]PROYECTOS!$V$1:$W$32,2,0)</f>
        <v>050079</v>
      </c>
      <c r="I1828" s="78">
        <f t="shared" si="594"/>
        <v>14726808</v>
      </c>
      <c r="J1828" s="51" t="s">
        <v>2078</v>
      </c>
      <c r="K1828" s="47" t="str">
        <f t="shared" ca="1" si="587"/>
        <v>CONTRATADO</v>
      </c>
      <c r="L1828" s="47" t="s">
        <v>898</v>
      </c>
      <c r="M1828" s="47" t="s">
        <v>1297</v>
      </c>
      <c r="N1828" s="52" t="s">
        <v>1519</v>
      </c>
      <c r="O1828" s="51" t="e">
        <f>VLOOKUP(N1828,[2]!RUBROS[#All],3,0)</f>
        <v>#REF!</v>
      </c>
      <c r="P1828" s="53" t="e">
        <f>VLOOKUP(N1828,[2]!RUBROS[#All],2,0)</f>
        <v>#REF!</v>
      </c>
      <c r="Q1828" s="47" t="str">
        <f t="shared" si="588"/>
        <v>84</v>
      </c>
      <c r="R1828" s="47" t="str">
        <f t="shared" si="589"/>
        <v>0-205400</v>
      </c>
      <c r="S1828" s="339">
        <v>93</v>
      </c>
      <c r="T1828" s="59" t="s">
        <v>120</v>
      </c>
      <c r="U1828" s="326" t="e">
        <f ca="1">_xlfn.XLOOKUP(PAA_4[[#This Row],[ITEM]],[2]Contrato!A:A,[2]Contrato!Q:Q,"",0)</f>
        <v>#NAME?</v>
      </c>
      <c r="V1828" s="47" t="s">
        <v>95</v>
      </c>
      <c r="W1828" s="47" t="s">
        <v>194</v>
      </c>
      <c r="X1828" s="47" t="s">
        <v>203</v>
      </c>
      <c r="Y1828" s="55" t="e">
        <f ca="1">_xlfn.XLOOKUP(PAA_4[[#This Row],[ITEM]],[2]Contrato!A:A,[2]Contrato!B:B,"",0)</f>
        <v>#NAME?</v>
      </c>
      <c r="Z1828" s="47" t="e">
        <f ca="1">_xlfn.XLOOKUP(PAA_4[[#This Row],[ITEM]],[2]Contrato!A:A,[2]Contrato!G:G,"",0)</f>
        <v>#NAME?</v>
      </c>
      <c r="AA1828" s="47" t="e">
        <f ca="1">_xlfn.XLOOKUP(PAA_4[[#This Row],[ITEM]],[2]Contrato!A:A,[2]Contrato!T:T,"",0)</f>
        <v>#NAME?</v>
      </c>
      <c r="AB1828" s="55" t="e">
        <f ca="1">+MAX(PAA_4[[#This Row],[Comprometido Contrato]],PAA_4[[#This Row],[Comprometido Bolsa]])</f>
        <v>#NAME?</v>
      </c>
      <c r="AC1828" s="55" t="str">
        <f t="shared" ca="1" si="590"/>
        <v/>
      </c>
      <c r="AD1828" s="55" t="e">
        <f ca="1">IF(PAA_4[[#This Row],[ESTADO (formulado)]]="NO CONTRATADO",0,MAX(PAA_4[[#This Row],[Pago por Contrato]],PAA_4[[#This Row],[Pago por bolsa]]))</f>
        <v>#NAME?</v>
      </c>
      <c r="AE1828" s="55" t="str">
        <f t="shared" ca="1" si="591"/>
        <v/>
      </c>
      <c r="AF1828" s="47" t="e">
        <f t="shared" ca="1" si="592"/>
        <v>#NAME?</v>
      </c>
      <c r="AG1828" s="47">
        <f t="shared" si="593"/>
        <v>52010802</v>
      </c>
      <c r="AH1828" s="54">
        <f>IF(Q1828="22",IF(ISNUMBER(SEARCH("econ",PAA_4[[#This Row],[Actividad3]])),"Económico",IF(ISNUMBER(SEARCH("alim",PAA_4[[#This Row],[Actividad3]])),"Alimentación",IF(ISNUMBER(SEARCH("educ",PAA_4[[#This Row],[Actividad3]])),"Educativo","Técnico"))),0)</f>
        <v>0</v>
      </c>
      <c r="AI1828" s="47" t="e" cm="1">
        <f t="array" aca="1" ref="AI1828" ca="1">_xlfn.XLOOKUP(PAA_4[[#This Row],[RCP-RUBRO]],[2]!COMPROMISOS_2024[[#All],[concatenado]],[2]!COMPROMISOS_2024[[#All],[Total pagado]],"",0)</f>
        <v>#NAME?</v>
      </c>
      <c r="AJ1828" s="56">
        <f>IF(PAA_4[[#This Row],[BOLSA]]=0,0,SUMIFS([2]!COMPROMISOS_2024[[#All],[Total pagado]],[2]!COMPROMISOS_2024[[#All],[Bolsa]],PAA_4[[#This Row],[BOLSA]],[2]!COMPROMISOS_2024[[#All],[rubro]],PAA_4[[#This Row],[RCP-RUBRO]]))</f>
        <v>0</v>
      </c>
      <c r="AK1828" s="47" t="e" cm="1">
        <f t="array" aca="1" ref="AK1828" ca="1">_xlfn.XLOOKUP(PAA_4[[#This Row],[RCP-RUBRO]],[2]!COMPROMISOS_2024[[#All],[concatenado]],[2]!COMPROMISOS_2024[[#All],[Total Comprometido]],"",0)</f>
        <v>#NAME?</v>
      </c>
      <c r="AL1828" s="47">
        <f>IF(PAA_4[[#This Row],[BOLSA]]=0,0,SUMIFS([2]!COMPROMISOS_2024[[#All],[Total Comprometido]],[2]!COMPROMISOS_2024[[#All],[Bolsa]],PAA_4[[#This Row],[BOLSA]],[2]!COMPROMISOS_2024[[#All],[concatenado]],PAA_4[[#This Row],[RCP-RUBRO]]))</f>
        <v>0</v>
      </c>
    </row>
    <row r="1829" spans="1:38" s="19" customFormat="1" ht="31.5" customHeight="1">
      <c r="A1829" s="47">
        <v>1015</v>
      </c>
      <c r="B1829" s="47">
        <v>80111600</v>
      </c>
      <c r="C1829" s="47" t="str">
        <f>VLOOKUP(PAA_4[[#This Row],[PROYECTO (formulado)2]],[2]PROYECTOS!$G$1:$L$32,6,0)</f>
        <v>SUBGERENCIA DE ALTOS LOGROS Y DEPORTE ASOCIADO</v>
      </c>
      <c r="D1829" s="47" t="str">
        <f>+IF(PAA_4[[#This Row],[UNIDAD DE CONTRATACION (formulado)]]="Subgerencia Administrativa y Financiera","FUNCIONAMIENTO","INVERSIÓN")</f>
        <v>INVERSIÓN</v>
      </c>
      <c r="E1829" s="48" t="str">
        <f>VLOOKUP(Q1829,[2]PROYECTOS!$G$1:$K$32,5,0)</f>
        <v>Apoyo técnico a atletas y para-atletas que representan en alto rendimiento deportivo al departamento de Antioquia</v>
      </c>
      <c r="F1829" s="48">
        <f>VLOOKUP(E1829,[2]PROYECTOS!$K$1:$M$32,3,0)</f>
        <v>2024003050084</v>
      </c>
      <c r="G1829" s="67" t="s">
        <v>1518</v>
      </c>
      <c r="H1829" s="49" t="str">
        <f>VLOOKUP(Q1829,[2]PROYECTOS!$V$1:$W$32,2,0)</f>
        <v>050079</v>
      </c>
      <c r="I1829" s="78">
        <f t="shared" si="594"/>
        <v>14726808</v>
      </c>
      <c r="J1829" s="51" t="s">
        <v>2078</v>
      </c>
      <c r="K1829" s="47" t="str">
        <f t="shared" ca="1" si="587"/>
        <v>CONTRATADO</v>
      </c>
      <c r="L1829" s="47" t="s">
        <v>898</v>
      </c>
      <c r="M1829" s="47" t="s">
        <v>1297</v>
      </c>
      <c r="N1829" s="52" t="s">
        <v>1519</v>
      </c>
      <c r="O1829" s="51" t="e">
        <f>VLOOKUP(N1829,[2]!RUBROS[#All],3,0)</f>
        <v>#REF!</v>
      </c>
      <c r="P1829" s="53" t="e">
        <f>VLOOKUP(N1829,[2]!RUBROS[#All],2,0)</f>
        <v>#REF!</v>
      </c>
      <c r="Q1829" s="47" t="str">
        <f t="shared" si="588"/>
        <v>84</v>
      </c>
      <c r="R1829" s="47" t="str">
        <f t="shared" si="589"/>
        <v>0-205400</v>
      </c>
      <c r="S1829" s="339">
        <v>93</v>
      </c>
      <c r="T1829" s="59" t="s">
        <v>120</v>
      </c>
      <c r="U1829" s="326" t="e">
        <f ca="1">_xlfn.XLOOKUP(PAA_4[[#This Row],[ITEM]],[2]Contrato!A:A,[2]Contrato!Q:Q,"",0)</f>
        <v>#NAME?</v>
      </c>
      <c r="V1829" s="47" t="s">
        <v>95</v>
      </c>
      <c r="W1829" s="47" t="s">
        <v>194</v>
      </c>
      <c r="X1829" s="47" t="s">
        <v>203</v>
      </c>
      <c r="Y1829" s="55" t="e">
        <f ca="1">_xlfn.XLOOKUP(PAA_4[[#This Row],[ITEM]],[2]Contrato!A:A,[2]Contrato!B:B,"",0)</f>
        <v>#NAME?</v>
      </c>
      <c r="Z1829" s="47" t="e">
        <f ca="1">_xlfn.XLOOKUP(PAA_4[[#This Row],[ITEM]],[2]Contrato!A:A,[2]Contrato!G:G,"",0)</f>
        <v>#NAME?</v>
      </c>
      <c r="AA1829" s="47" t="e">
        <f ca="1">_xlfn.XLOOKUP(PAA_4[[#This Row],[ITEM]],[2]Contrato!A:A,[2]Contrato!T:T,"",0)</f>
        <v>#NAME?</v>
      </c>
      <c r="AB1829" s="55" t="e">
        <f ca="1">+MAX(PAA_4[[#This Row],[Comprometido Contrato]],PAA_4[[#This Row],[Comprometido Bolsa]])</f>
        <v>#NAME?</v>
      </c>
      <c r="AC1829" s="55" t="str">
        <f t="shared" ca="1" si="590"/>
        <v/>
      </c>
      <c r="AD1829" s="55" t="e">
        <f ca="1">IF(PAA_4[[#This Row],[ESTADO (formulado)]]="NO CONTRATADO",0,MAX(PAA_4[[#This Row],[Pago por Contrato]],PAA_4[[#This Row],[Pago por bolsa]]))</f>
        <v>#NAME?</v>
      </c>
      <c r="AE1829" s="55" t="str">
        <f t="shared" ca="1" si="591"/>
        <v/>
      </c>
      <c r="AF1829" s="47" t="e">
        <f t="shared" ca="1" si="592"/>
        <v>#NAME?</v>
      </c>
      <c r="AG1829" s="47">
        <f t="shared" si="593"/>
        <v>52010802</v>
      </c>
      <c r="AH1829" s="54">
        <f>IF(Q1829="22",IF(ISNUMBER(SEARCH("econ",PAA_4[[#This Row],[Actividad3]])),"Económico",IF(ISNUMBER(SEARCH("alim",PAA_4[[#This Row],[Actividad3]])),"Alimentación",IF(ISNUMBER(SEARCH("educ",PAA_4[[#This Row],[Actividad3]])),"Educativo","Técnico"))),0)</f>
        <v>0</v>
      </c>
      <c r="AI1829" s="47" t="e" cm="1">
        <f t="array" aca="1" ref="AI1829" ca="1">_xlfn.XLOOKUP(PAA_4[[#This Row],[RCP-RUBRO]],[2]!COMPROMISOS_2024[[#All],[concatenado]],[2]!COMPROMISOS_2024[[#All],[Total pagado]],"",0)</f>
        <v>#NAME?</v>
      </c>
      <c r="AJ1829" s="56">
        <f>IF(PAA_4[[#This Row],[BOLSA]]=0,0,SUMIFS([2]!COMPROMISOS_2024[[#All],[Total pagado]],[2]!COMPROMISOS_2024[[#All],[Bolsa]],PAA_4[[#This Row],[BOLSA]],[2]!COMPROMISOS_2024[[#All],[rubro]],PAA_4[[#This Row],[RCP-RUBRO]]))</f>
        <v>0</v>
      </c>
      <c r="AK1829" s="47" t="e" cm="1">
        <f t="array" aca="1" ref="AK1829" ca="1">_xlfn.XLOOKUP(PAA_4[[#This Row],[RCP-RUBRO]],[2]!COMPROMISOS_2024[[#All],[concatenado]],[2]!COMPROMISOS_2024[[#All],[Total Comprometido]],"",0)</f>
        <v>#NAME?</v>
      </c>
      <c r="AL1829" s="47">
        <f>IF(PAA_4[[#This Row],[BOLSA]]=0,0,SUMIFS([2]!COMPROMISOS_2024[[#All],[Total Comprometido]],[2]!COMPROMISOS_2024[[#All],[Bolsa]],PAA_4[[#This Row],[BOLSA]],[2]!COMPROMISOS_2024[[#All],[concatenado]],PAA_4[[#This Row],[RCP-RUBRO]]))</f>
        <v>0</v>
      </c>
    </row>
    <row r="1830" spans="1:38" s="19" customFormat="1" ht="31.5" customHeight="1">
      <c r="A1830" s="47">
        <v>1016</v>
      </c>
      <c r="B1830" s="47">
        <v>80111600</v>
      </c>
      <c r="C1830" s="47" t="str">
        <f>VLOOKUP(PAA_4[[#This Row],[PROYECTO (formulado)2]],[2]PROYECTOS!$G$1:$L$32,6,0)</f>
        <v>SUBGERENCIA DE ALTOS LOGROS Y DEPORTE ASOCIADO</v>
      </c>
      <c r="D1830" s="47" t="str">
        <f>+IF(PAA_4[[#This Row],[UNIDAD DE CONTRATACION (formulado)]]="Subgerencia Administrativa y Financiera","FUNCIONAMIENTO","INVERSIÓN")</f>
        <v>INVERSIÓN</v>
      </c>
      <c r="E1830" s="48" t="str">
        <f>VLOOKUP(Q1830,[2]PROYECTOS!$G$1:$K$32,5,0)</f>
        <v>Apoyo técnico a atletas y para-atletas que representan en alto rendimiento deportivo al departamento de Antioquia</v>
      </c>
      <c r="F1830" s="48">
        <f>VLOOKUP(E1830,[2]PROYECTOS!$K$1:$M$32,3,0)</f>
        <v>2024003050084</v>
      </c>
      <c r="G1830" s="67" t="s">
        <v>1518</v>
      </c>
      <c r="H1830" s="49" t="str">
        <f>VLOOKUP(Q1830,[2]PROYECTOS!$V$1:$W$32,2,0)</f>
        <v>050079</v>
      </c>
      <c r="I1830" s="78">
        <f t="shared" si="594"/>
        <v>14726808</v>
      </c>
      <c r="J1830" s="51" t="s">
        <v>2078</v>
      </c>
      <c r="K1830" s="47" t="str">
        <f t="shared" ca="1" si="587"/>
        <v>CONTRATADO</v>
      </c>
      <c r="L1830" s="47" t="s">
        <v>898</v>
      </c>
      <c r="M1830" s="47" t="s">
        <v>1297</v>
      </c>
      <c r="N1830" s="52" t="s">
        <v>1519</v>
      </c>
      <c r="O1830" s="51" t="e">
        <f>VLOOKUP(N1830,[2]!RUBROS[#All],3,0)</f>
        <v>#REF!</v>
      </c>
      <c r="P1830" s="53" t="e">
        <f>VLOOKUP(N1830,[2]!RUBROS[#All],2,0)</f>
        <v>#REF!</v>
      </c>
      <c r="Q1830" s="47" t="str">
        <f t="shared" si="588"/>
        <v>84</v>
      </c>
      <c r="R1830" s="47" t="str">
        <f t="shared" si="589"/>
        <v>0-205400</v>
      </c>
      <c r="S1830" s="339">
        <v>93</v>
      </c>
      <c r="T1830" s="59" t="s">
        <v>120</v>
      </c>
      <c r="U1830" s="326" t="e">
        <f ca="1">_xlfn.XLOOKUP(PAA_4[[#This Row],[ITEM]],[2]Contrato!A:A,[2]Contrato!Q:Q,"",0)</f>
        <v>#NAME?</v>
      </c>
      <c r="V1830" s="47" t="s">
        <v>95</v>
      </c>
      <c r="W1830" s="47" t="s">
        <v>194</v>
      </c>
      <c r="X1830" s="47" t="s">
        <v>203</v>
      </c>
      <c r="Y1830" s="55" t="e">
        <f ca="1">_xlfn.XLOOKUP(PAA_4[[#This Row],[ITEM]],[2]Contrato!A:A,[2]Contrato!B:B,"",0)</f>
        <v>#NAME?</v>
      </c>
      <c r="Z1830" s="47" t="e">
        <f ca="1">_xlfn.XLOOKUP(PAA_4[[#This Row],[ITEM]],[2]Contrato!A:A,[2]Contrato!G:G,"",0)</f>
        <v>#NAME?</v>
      </c>
      <c r="AA1830" s="47" t="e">
        <f ca="1">_xlfn.XLOOKUP(PAA_4[[#This Row],[ITEM]],[2]Contrato!A:A,[2]Contrato!T:T,"",0)</f>
        <v>#NAME?</v>
      </c>
      <c r="AB1830" s="55" t="e">
        <f ca="1">+MAX(PAA_4[[#This Row],[Comprometido Contrato]],PAA_4[[#This Row],[Comprometido Bolsa]])</f>
        <v>#NAME?</v>
      </c>
      <c r="AC1830" s="55" t="str">
        <f t="shared" ca="1" si="590"/>
        <v/>
      </c>
      <c r="AD1830" s="55" t="e">
        <f ca="1">IF(PAA_4[[#This Row],[ESTADO (formulado)]]="NO CONTRATADO",0,MAX(PAA_4[[#This Row],[Pago por Contrato]],PAA_4[[#This Row],[Pago por bolsa]]))</f>
        <v>#NAME?</v>
      </c>
      <c r="AE1830" s="55" t="str">
        <f t="shared" ca="1" si="591"/>
        <v/>
      </c>
      <c r="AF1830" s="47" t="e">
        <f t="shared" ca="1" si="592"/>
        <v>#NAME?</v>
      </c>
      <c r="AG1830" s="47">
        <f t="shared" si="593"/>
        <v>52010802</v>
      </c>
      <c r="AH1830" s="54">
        <f>IF(Q1830="22",IF(ISNUMBER(SEARCH("econ",PAA_4[[#This Row],[Actividad3]])),"Económico",IF(ISNUMBER(SEARCH("alim",PAA_4[[#This Row],[Actividad3]])),"Alimentación",IF(ISNUMBER(SEARCH("educ",PAA_4[[#This Row],[Actividad3]])),"Educativo","Técnico"))),0)</f>
        <v>0</v>
      </c>
      <c r="AI1830" s="47" t="e" cm="1">
        <f t="array" aca="1" ref="AI1830" ca="1">_xlfn.XLOOKUP(PAA_4[[#This Row],[RCP-RUBRO]],[2]!COMPROMISOS_2024[[#All],[concatenado]],[2]!COMPROMISOS_2024[[#All],[Total pagado]],"",0)</f>
        <v>#NAME?</v>
      </c>
      <c r="AJ1830" s="56">
        <f>IF(PAA_4[[#This Row],[BOLSA]]=0,0,SUMIFS([2]!COMPROMISOS_2024[[#All],[Total pagado]],[2]!COMPROMISOS_2024[[#All],[Bolsa]],PAA_4[[#This Row],[BOLSA]],[2]!COMPROMISOS_2024[[#All],[rubro]],PAA_4[[#This Row],[RCP-RUBRO]]))</f>
        <v>0</v>
      </c>
      <c r="AK1830" s="47" t="e" cm="1">
        <f t="array" aca="1" ref="AK1830" ca="1">_xlfn.XLOOKUP(PAA_4[[#This Row],[RCP-RUBRO]],[2]!COMPROMISOS_2024[[#All],[concatenado]],[2]!COMPROMISOS_2024[[#All],[Total Comprometido]],"",0)</f>
        <v>#NAME?</v>
      </c>
      <c r="AL1830" s="47">
        <f>IF(PAA_4[[#This Row],[BOLSA]]=0,0,SUMIFS([2]!COMPROMISOS_2024[[#All],[Total Comprometido]],[2]!COMPROMISOS_2024[[#All],[Bolsa]],PAA_4[[#This Row],[BOLSA]],[2]!COMPROMISOS_2024[[#All],[concatenado]],PAA_4[[#This Row],[RCP-RUBRO]]))</f>
        <v>0</v>
      </c>
    </row>
    <row r="1831" spans="1:38" s="19" customFormat="1" ht="31.5" customHeight="1">
      <c r="A1831" s="47">
        <v>1017</v>
      </c>
      <c r="B1831" s="47">
        <v>80111600</v>
      </c>
      <c r="C1831" s="47" t="str">
        <f>VLOOKUP(PAA_4[[#This Row],[PROYECTO (formulado)2]],[2]PROYECTOS!$G$1:$L$32,6,0)</f>
        <v>SUBGERENCIA DE ALTOS LOGROS Y DEPORTE ASOCIADO</v>
      </c>
      <c r="D1831" s="47" t="str">
        <f>+IF(PAA_4[[#This Row],[UNIDAD DE CONTRATACION (formulado)]]="Subgerencia Administrativa y Financiera","FUNCIONAMIENTO","INVERSIÓN")</f>
        <v>INVERSIÓN</v>
      </c>
      <c r="E1831" s="48" t="str">
        <f>VLOOKUP(Q1831,[2]PROYECTOS!$G$1:$K$32,5,0)</f>
        <v>Apoyo técnico a atletas y para-atletas que representan en alto rendimiento deportivo al departamento de Antioquia</v>
      </c>
      <c r="F1831" s="48">
        <f>VLOOKUP(E1831,[2]PROYECTOS!$K$1:$M$32,3,0)</f>
        <v>2024003050084</v>
      </c>
      <c r="G1831" s="67" t="s">
        <v>1518</v>
      </c>
      <c r="H1831" s="49" t="str">
        <f>VLOOKUP(Q1831,[2]PROYECTOS!$V$1:$W$32,2,0)</f>
        <v>050079</v>
      </c>
      <c r="I1831" s="78">
        <f t="shared" si="594"/>
        <v>14726808</v>
      </c>
      <c r="J1831" s="51" t="s">
        <v>2078</v>
      </c>
      <c r="K1831" s="47" t="str">
        <f t="shared" ca="1" si="587"/>
        <v>CONTRATADO</v>
      </c>
      <c r="L1831" s="47" t="s">
        <v>898</v>
      </c>
      <c r="M1831" s="47" t="s">
        <v>1297</v>
      </c>
      <c r="N1831" s="52" t="s">
        <v>1519</v>
      </c>
      <c r="O1831" s="51" t="e">
        <f>VLOOKUP(N1831,[2]!RUBROS[#All],3,0)</f>
        <v>#REF!</v>
      </c>
      <c r="P1831" s="53" t="e">
        <f>VLOOKUP(N1831,[2]!RUBROS[#All],2,0)</f>
        <v>#REF!</v>
      </c>
      <c r="Q1831" s="47" t="str">
        <f t="shared" si="588"/>
        <v>84</v>
      </c>
      <c r="R1831" s="47" t="str">
        <f t="shared" si="589"/>
        <v>0-205400</v>
      </c>
      <c r="S1831" s="339">
        <v>93</v>
      </c>
      <c r="T1831" s="59" t="s">
        <v>120</v>
      </c>
      <c r="U1831" s="326" t="e">
        <f ca="1">_xlfn.XLOOKUP(PAA_4[[#This Row],[ITEM]],[2]Contrato!A:A,[2]Contrato!Q:Q,"",0)</f>
        <v>#NAME?</v>
      </c>
      <c r="V1831" s="47" t="s">
        <v>95</v>
      </c>
      <c r="W1831" s="47" t="s">
        <v>194</v>
      </c>
      <c r="X1831" s="47" t="s">
        <v>203</v>
      </c>
      <c r="Y1831" s="55" t="e">
        <f ca="1">_xlfn.XLOOKUP(PAA_4[[#This Row],[ITEM]],[2]Contrato!A:A,[2]Contrato!B:B,"",0)</f>
        <v>#NAME?</v>
      </c>
      <c r="Z1831" s="47" t="e">
        <f ca="1">_xlfn.XLOOKUP(PAA_4[[#This Row],[ITEM]],[2]Contrato!A:A,[2]Contrato!G:G,"",0)</f>
        <v>#NAME?</v>
      </c>
      <c r="AA1831" s="47" t="e">
        <f ca="1">_xlfn.XLOOKUP(PAA_4[[#This Row],[ITEM]],[2]Contrato!A:A,[2]Contrato!T:T,"",0)</f>
        <v>#NAME?</v>
      </c>
      <c r="AB1831" s="55" t="e">
        <f ca="1">+MAX(PAA_4[[#This Row],[Comprometido Contrato]],PAA_4[[#This Row],[Comprometido Bolsa]])</f>
        <v>#NAME?</v>
      </c>
      <c r="AC1831" s="55" t="str">
        <f t="shared" ca="1" si="590"/>
        <v/>
      </c>
      <c r="AD1831" s="55" t="e">
        <f ca="1">IF(PAA_4[[#This Row],[ESTADO (formulado)]]="NO CONTRATADO",0,MAX(PAA_4[[#This Row],[Pago por Contrato]],PAA_4[[#This Row],[Pago por bolsa]]))</f>
        <v>#NAME?</v>
      </c>
      <c r="AE1831" s="55" t="str">
        <f t="shared" ca="1" si="591"/>
        <v/>
      </c>
      <c r="AF1831" s="47" t="e">
        <f t="shared" ca="1" si="592"/>
        <v>#NAME?</v>
      </c>
      <c r="AG1831" s="47">
        <f t="shared" si="593"/>
        <v>52010802</v>
      </c>
      <c r="AH1831" s="54">
        <f>IF(Q1831="22",IF(ISNUMBER(SEARCH("econ",PAA_4[[#This Row],[Actividad3]])),"Económico",IF(ISNUMBER(SEARCH("alim",PAA_4[[#This Row],[Actividad3]])),"Alimentación",IF(ISNUMBER(SEARCH("educ",PAA_4[[#This Row],[Actividad3]])),"Educativo","Técnico"))),0)</f>
        <v>0</v>
      </c>
      <c r="AI1831" s="47" t="e" cm="1">
        <f t="array" aca="1" ref="AI1831" ca="1">_xlfn.XLOOKUP(PAA_4[[#This Row],[RCP-RUBRO]],[2]!COMPROMISOS_2024[[#All],[concatenado]],[2]!COMPROMISOS_2024[[#All],[Total pagado]],"",0)</f>
        <v>#NAME?</v>
      </c>
      <c r="AJ1831" s="56">
        <f>IF(PAA_4[[#This Row],[BOLSA]]=0,0,SUMIFS([2]!COMPROMISOS_2024[[#All],[Total pagado]],[2]!COMPROMISOS_2024[[#All],[Bolsa]],PAA_4[[#This Row],[BOLSA]],[2]!COMPROMISOS_2024[[#All],[rubro]],PAA_4[[#This Row],[RCP-RUBRO]]))</f>
        <v>0</v>
      </c>
      <c r="AK1831" s="47" t="e" cm="1">
        <f t="array" aca="1" ref="AK1831" ca="1">_xlfn.XLOOKUP(PAA_4[[#This Row],[RCP-RUBRO]],[2]!COMPROMISOS_2024[[#All],[concatenado]],[2]!COMPROMISOS_2024[[#All],[Total Comprometido]],"",0)</f>
        <v>#NAME?</v>
      </c>
      <c r="AL1831" s="47">
        <f>IF(PAA_4[[#This Row],[BOLSA]]=0,0,SUMIFS([2]!COMPROMISOS_2024[[#All],[Total Comprometido]],[2]!COMPROMISOS_2024[[#All],[Bolsa]],PAA_4[[#This Row],[BOLSA]],[2]!COMPROMISOS_2024[[#All],[concatenado]],PAA_4[[#This Row],[RCP-RUBRO]]))</f>
        <v>0</v>
      </c>
    </row>
    <row r="1832" spans="1:38" s="19" customFormat="1" ht="31.5" customHeight="1">
      <c r="A1832" s="47">
        <v>1018</v>
      </c>
      <c r="B1832" s="47">
        <v>80111600</v>
      </c>
      <c r="C1832" s="47" t="str">
        <f>VLOOKUP(PAA_4[[#This Row],[PROYECTO (formulado)2]],[2]PROYECTOS!$G$1:$L$32,6,0)</f>
        <v>SUBGERENCIA DE ALTOS LOGROS Y DEPORTE ASOCIADO</v>
      </c>
      <c r="D1832" s="47" t="str">
        <f>+IF(PAA_4[[#This Row],[UNIDAD DE CONTRATACION (formulado)]]="Subgerencia Administrativa y Financiera","FUNCIONAMIENTO","INVERSIÓN")</f>
        <v>INVERSIÓN</v>
      </c>
      <c r="E1832" s="48" t="str">
        <f>VLOOKUP(Q1832,[2]PROYECTOS!$G$1:$K$32,5,0)</f>
        <v>Apoyo técnico a atletas y para-atletas que representan en alto rendimiento deportivo al departamento de Antioquia</v>
      </c>
      <c r="F1832" s="48">
        <f>VLOOKUP(E1832,[2]PROYECTOS!$K$1:$M$32,3,0)</f>
        <v>2024003050084</v>
      </c>
      <c r="G1832" s="67" t="s">
        <v>1518</v>
      </c>
      <c r="H1832" s="49" t="str">
        <f>VLOOKUP(Q1832,[2]PROYECTOS!$V$1:$W$32,2,0)</f>
        <v>050079</v>
      </c>
      <c r="I1832" s="78">
        <f t="shared" si="594"/>
        <v>14726808</v>
      </c>
      <c r="J1832" s="51" t="s">
        <v>2078</v>
      </c>
      <c r="K1832" s="47" t="str">
        <f t="shared" ca="1" si="587"/>
        <v>CONTRATADO</v>
      </c>
      <c r="L1832" s="47" t="s">
        <v>898</v>
      </c>
      <c r="M1832" s="47" t="s">
        <v>1297</v>
      </c>
      <c r="N1832" s="52" t="s">
        <v>1519</v>
      </c>
      <c r="O1832" s="51" t="e">
        <f>VLOOKUP(N1832,[2]!RUBROS[#All],3,0)</f>
        <v>#REF!</v>
      </c>
      <c r="P1832" s="53" t="e">
        <f>VLOOKUP(N1832,[2]!RUBROS[#All],2,0)</f>
        <v>#REF!</v>
      </c>
      <c r="Q1832" s="47" t="str">
        <f t="shared" si="588"/>
        <v>84</v>
      </c>
      <c r="R1832" s="47" t="str">
        <f t="shared" si="589"/>
        <v>0-205400</v>
      </c>
      <c r="S1832" s="339">
        <v>93</v>
      </c>
      <c r="T1832" s="59" t="s">
        <v>120</v>
      </c>
      <c r="U1832" s="326" t="e">
        <f ca="1">_xlfn.XLOOKUP(PAA_4[[#This Row],[ITEM]],[2]Contrato!A:A,[2]Contrato!Q:Q,"",0)</f>
        <v>#NAME?</v>
      </c>
      <c r="V1832" s="47" t="s">
        <v>95</v>
      </c>
      <c r="W1832" s="47" t="s">
        <v>194</v>
      </c>
      <c r="X1832" s="47" t="s">
        <v>203</v>
      </c>
      <c r="Y1832" s="55" t="e">
        <f ca="1">_xlfn.XLOOKUP(PAA_4[[#This Row],[ITEM]],[2]Contrato!A:A,[2]Contrato!B:B,"",0)</f>
        <v>#NAME?</v>
      </c>
      <c r="Z1832" s="47" t="e">
        <f ca="1">_xlfn.XLOOKUP(PAA_4[[#This Row],[ITEM]],[2]Contrato!A:A,[2]Contrato!G:G,"",0)</f>
        <v>#NAME?</v>
      </c>
      <c r="AA1832" s="47" t="e">
        <f ca="1">_xlfn.XLOOKUP(PAA_4[[#This Row],[ITEM]],[2]Contrato!A:A,[2]Contrato!T:T,"",0)</f>
        <v>#NAME?</v>
      </c>
      <c r="AB1832" s="55" t="e">
        <f ca="1">+MAX(PAA_4[[#This Row],[Comprometido Contrato]],PAA_4[[#This Row],[Comprometido Bolsa]])</f>
        <v>#NAME?</v>
      </c>
      <c r="AC1832" s="55" t="str">
        <f t="shared" ca="1" si="590"/>
        <v/>
      </c>
      <c r="AD1832" s="55" t="e">
        <f ca="1">IF(PAA_4[[#This Row],[ESTADO (formulado)]]="NO CONTRATADO",0,MAX(PAA_4[[#This Row],[Pago por Contrato]],PAA_4[[#This Row],[Pago por bolsa]]))</f>
        <v>#NAME?</v>
      </c>
      <c r="AE1832" s="55" t="str">
        <f t="shared" ca="1" si="591"/>
        <v/>
      </c>
      <c r="AF1832" s="47" t="e">
        <f t="shared" ca="1" si="592"/>
        <v>#NAME?</v>
      </c>
      <c r="AG1832" s="47">
        <f t="shared" si="593"/>
        <v>52010802</v>
      </c>
      <c r="AH1832" s="54">
        <f>IF(Q1832="22",IF(ISNUMBER(SEARCH("econ",PAA_4[[#This Row],[Actividad3]])),"Económico",IF(ISNUMBER(SEARCH("alim",PAA_4[[#This Row],[Actividad3]])),"Alimentación",IF(ISNUMBER(SEARCH("educ",PAA_4[[#This Row],[Actividad3]])),"Educativo","Técnico"))),0)</f>
        <v>0</v>
      </c>
      <c r="AI1832" s="47" t="e" cm="1">
        <f t="array" aca="1" ref="AI1832" ca="1">_xlfn.XLOOKUP(PAA_4[[#This Row],[RCP-RUBRO]],[2]!COMPROMISOS_2024[[#All],[concatenado]],[2]!COMPROMISOS_2024[[#All],[Total pagado]],"",0)</f>
        <v>#NAME?</v>
      </c>
      <c r="AJ1832" s="56">
        <f>IF(PAA_4[[#This Row],[BOLSA]]=0,0,SUMIFS([2]!COMPROMISOS_2024[[#All],[Total pagado]],[2]!COMPROMISOS_2024[[#All],[Bolsa]],PAA_4[[#This Row],[BOLSA]],[2]!COMPROMISOS_2024[[#All],[rubro]],PAA_4[[#This Row],[RCP-RUBRO]]))</f>
        <v>0</v>
      </c>
      <c r="AK1832" s="47" t="e" cm="1">
        <f t="array" aca="1" ref="AK1832" ca="1">_xlfn.XLOOKUP(PAA_4[[#This Row],[RCP-RUBRO]],[2]!COMPROMISOS_2024[[#All],[concatenado]],[2]!COMPROMISOS_2024[[#All],[Total Comprometido]],"",0)</f>
        <v>#NAME?</v>
      </c>
      <c r="AL1832" s="47">
        <f>IF(PAA_4[[#This Row],[BOLSA]]=0,0,SUMIFS([2]!COMPROMISOS_2024[[#All],[Total Comprometido]],[2]!COMPROMISOS_2024[[#All],[Bolsa]],PAA_4[[#This Row],[BOLSA]],[2]!COMPROMISOS_2024[[#All],[concatenado]],PAA_4[[#This Row],[RCP-RUBRO]]))</f>
        <v>0</v>
      </c>
    </row>
    <row r="1833" spans="1:38" s="19" customFormat="1" ht="31.5" customHeight="1">
      <c r="A1833" s="378" t="s">
        <v>82</v>
      </c>
      <c r="B1833" s="378" t="s">
        <v>42</v>
      </c>
      <c r="C1833" s="47" t="str">
        <f>VLOOKUP(PAA_4[[#This Row],[PROYECTO (formulado)2]],[2]PROYECTOS!$G$1:$L$32,6,0)</f>
        <v>SUBGERENCIA DE ALTOS LOGROS Y DEPORTE ASOCIADO</v>
      </c>
      <c r="D1833" s="378" t="str">
        <f>+IF(PAA_4[[#This Row],[UNIDAD DE CONTRATACION (formulado)]]="Subgerencia Administrativa y Financiera","FUNCIONAMIENTO","INVERSIÓN")</f>
        <v>INVERSIÓN</v>
      </c>
      <c r="E1833" s="379" t="str">
        <f>VLOOKUP(Q1833,[2]PROYECTOS!$G$1:$K$32,5,0)</f>
        <v>Apoyo técnico a atletas y para-atletas que representan en alto rendimiento deportivo al departamento de Antioquia</v>
      </c>
      <c r="F1833" s="379">
        <f>VLOOKUP(E1833,[2]PROYECTOS!$K$1:$M$32,3,0)</f>
        <v>2024003050084</v>
      </c>
      <c r="G1833" s="380" t="s">
        <v>1518</v>
      </c>
      <c r="H1833" s="380" t="str">
        <f>VLOOKUP(Q1833,[2]PROYECTOS!$V$1:$W$32,2,0)</f>
        <v>050079</v>
      </c>
      <c r="I1833" s="381">
        <v>12097379</v>
      </c>
      <c r="J1833" s="382" t="s">
        <v>2079</v>
      </c>
      <c r="K1833" s="378" t="str">
        <f t="shared" ca="1" si="587"/>
        <v>CONTRATADO</v>
      </c>
      <c r="L1833" s="378" t="s">
        <v>42</v>
      </c>
      <c r="M1833" s="382" t="s">
        <v>42</v>
      </c>
      <c r="N1833" s="383" t="s">
        <v>1519</v>
      </c>
      <c r="O1833" s="382" t="e">
        <f>VLOOKUP(N1833,[2]!RUBROS[#All],3,0)</f>
        <v>#REF!</v>
      </c>
      <c r="P1833" s="382" t="e">
        <f>VLOOKUP(N1833,[2]!RUBROS[#All],2,0)</f>
        <v>#REF!</v>
      </c>
      <c r="Q1833" s="378" t="str">
        <f t="shared" si="588"/>
        <v>84</v>
      </c>
      <c r="R1833" s="47" t="str">
        <f t="shared" si="589"/>
        <v>0-205400</v>
      </c>
      <c r="S1833" s="384" t="s">
        <v>42</v>
      </c>
      <c r="T1833" s="59" t="s">
        <v>42</v>
      </c>
      <c r="U1833" s="385" t="e">
        <f ca="1">_xlfn.XLOOKUP(PAA_4[[#This Row],[ITEM]],[2]Contrato!A:A,[2]Contrato!Q:Q,"",0)</f>
        <v>#NAME?</v>
      </c>
      <c r="V1833" s="378" t="s">
        <v>95</v>
      </c>
      <c r="W1833" s="378" t="s">
        <v>42</v>
      </c>
      <c r="X1833" s="378" t="s">
        <v>42</v>
      </c>
      <c r="Y1833" s="386" t="e">
        <f ca="1">_xlfn.XLOOKUP(PAA_4[[#This Row],[ITEM]],[2]Contrato!A:A,[2]Contrato!B:B,"",0)</f>
        <v>#NAME?</v>
      </c>
      <c r="Z1833" s="378" t="e">
        <f ca="1">_xlfn.XLOOKUP(PAA_4[[#This Row],[ITEM]],[2]Contrato!A:A,[2]Contrato!G:G,"",0)</f>
        <v>#NAME?</v>
      </c>
      <c r="AA1833" s="378" t="e">
        <f ca="1">_xlfn.XLOOKUP(PAA_4[[#This Row],[ITEM]],[2]Contrato!A:A,[2]Contrato!T:T,"",0)</f>
        <v>#NAME?</v>
      </c>
      <c r="AB1833" s="386" t="e">
        <f ca="1">+MAX(PAA_4[[#This Row],[Comprometido Contrato]],PAA_4[[#This Row],[Comprometido Bolsa]])</f>
        <v>#NAME?</v>
      </c>
      <c r="AC1833" s="386" t="str">
        <f t="shared" ca="1" si="590"/>
        <v/>
      </c>
      <c r="AD1833" s="386" t="e">
        <f ca="1">IF(PAA_4[[#This Row],[ESTADO (formulado)]]="NO CONTRATADO",0,MAX(PAA_4[[#This Row],[Pago por Contrato]],PAA_4[[#This Row],[Pago por bolsa]]))</f>
        <v>#NAME?</v>
      </c>
      <c r="AE1833" s="386" t="str">
        <f t="shared" ca="1" si="591"/>
        <v/>
      </c>
      <c r="AF1833" s="378" t="e">
        <f t="shared" ca="1" si="592"/>
        <v>#NAME?</v>
      </c>
      <c r="AG1833" s="378">
        <f t="shared" si="593"/>
        <v>52010802</v>
      </c>
      <c r="AH1833" s="378">
        <f>IF(Q1833="22",IF(ISNUMBER(SEARCH("econ",PAA_4[[#This Row],[Actividad3]])),"Económico",IF(ISNUMBER(SEARCH("alim",PAA_4[[#This Row],[Actividad3]])),"Alimentación",IF(ISNUMBER(SEARCH("educ",PAA_4[[#This Row],[Actividad3]])),"Educativo","Técnico"))),0)</f>
        <v>0</v>
      </c>
      <c r="AI1833" s="378" t="e" cm="1">
        <f t="array" aca="1" ref="AI1833" ca="1">_xlfn.XLOOKUP(PAA_4[[#This Row],[RCP-RUBRO]],[2]!COMPROMISOS_2024[[#All],[concatenado]],[2]!COMPROMISOS_2024[[#All],[Total pagado]],"",0)</f>
        <v>#NAME?</v>
      </c>
      <c r="AJ1833" s="387">
        <f>IF(PAA_4[[#This Row],[BOLSA]]=0,0,SUMIFS([2]!COMPROMISOS_2024[[#All],[Total pagado]],[2]!COMPROMISOS_2024[[#All],[Bolsa]],PAA_4[[#This Row],[BOLSA]],[2]!COMPROMISOS_2024[[#All],[rubro]],PAA_4[[#This Row],[RCP-RUBRO]]))</f>
        <v>0</v>
      </c>
      <c r="AK1833" s="378" t="e" cm="1">
        <f t="array" aca="1" ref="AK1833" ca="1">_xlfn.XLOOKUP(PAA_4[[#This Row],[RCP-RUBRO]],[2]!COMPROMISOS_2024[[#All],[concatenado]],[2]!COMPROMISOS_2024[[#All],[Total Comprometido]],"",0)</f>
        <v>#NAME?</v>
      </c>
      <c r="AL1833" s="378">
        <f>IF(PAA_4[[#This Row],[BOLSA]]=0,0,SUMIFS([2]!COMPROMISOS_2024[[#All],[Total Comprometido]],[2]!COMPROMISOS_2024[[#All],[Bolsa]],PAA_4[[#This Row],[BOLSA]],[2]!COMPROMISOS_2024[[#All],[concatenado]],PAA_4[[#This Row],[RCP-RUBRO]]))</f>
        <v>0</v>
      </c>
    </row>
    <row r="1834" spans="1:38" s="19" customFormat="1" ht="31.5" customHeight="1">
      <c r="A1834" s="47">
        <v>1019</v>
      </c>
      <c r="B1834" s="47">
        <v>80111600</v>
      </c>
      <c r="C1834" s="47" t="str">
        <f>VLOOKUP(PAA_4[[#This Row],[PROYECTO (formulado)2]],[2]PROYECTOS!$G$1:$L$32,6,0)</f>
        <v>SUBGERENCIA DE ALTOS LOGROS Y DEPORTE ASOCIADO</v>
      </c>
      <c r="D1834" s="47" t="str">
        <f>+IF(PAA_4[[#This Row],[UNIDAD DE CONTRATACION (formulado)]]="Subgerencia Administrativa y Financiera","FUNCIONAMIENTO","INVERSIÓN")</f>
        <v>INVERSIÓN</v>
      </c>
      <c r="E1834" s="48" t="str">
        <f>VLOOKUP(Q1834,[2]PROYECTOS!$G$1:$K$32,5,0)</f>
        <v>Apoyo técnico a atletas y para-atletas que representan en alto rendimiento deportivo al departamento de Antioquia</v>
      </c>
      <c r="F1834" s="48">
        <f>VLOOKUP(E1834,[2]PROYECTOS!$K$1:$M$32,3,0)</f>
        <v>2024003050084</v>
      </c>
      <c r="G1834" s="67" t="s">
        <v>1518</v>
      </c>
      <c r="H1834" s="49" t="str">
        <f>VLOOKUP(Q1834,[2]PROYECTOS!$V$1:$W$32,2,0)</f>
        <v>050079</v>
      </c>
      <c r="I1834" s="78">
        <f>14492067-2239683-395238</f>
        <v>11857146</v>
      </c>
      <c r="J1834" s="51" t="s">
        <v>2080</v>
      </c>
      <c r="K1834" s="47" t="str">
        <f t="shared" ca="1" si="587"/>
        <v>CONTRATADO</v>
      </c>
      <c r="L1834" s="47" t="s">
        <v>898</v>
      </c>
      <c r="M1834" s="47" t="s">
        <v>1297</v>
      </c>
      <c r="N1834" s="52" t="s">
        <v>1519</v>
      </c>
      <c r="O1834" s="51" t="e">
        <f>VLOOKUP(N1834,[2]!RUBROS[#All],3,0)</f>
        <v>#REF!</v>
      </c>
      <c r="P1834" s="53" t="e">
        <f>VLOOKUP(N1834,[2]!RUBROS[#All],2,0)</f>
        <v>#REF!</v>
      </c>
      <c r="Q1834" s="47" t="str">
        <f t="shared" si="588"/>
        <v>84</v>
      </c>
      <c r="R1834" s="47" t="str">
        <f t="shared" si="589"/>
        <v>0-205400</v>
      </c>
      <c r="S1834" s="54">
        <v>110</v>
      </c>
      <c r="T1834" s="59" t="s">
        <v>120</v>
      </c>
      <c r="U1834" s="326" t="e">
        <f ca="1">_xlfn.XLOOKUP(PAA_4[[#This Row],[ITEM]],[2]Contrato!A:A,[2]Contrato!Q:Q,"",0)</f>
        <v>#NAME?</v>
      </c>
      <c r="V1834" s="47" t="s">
        <v>95</v>
      </c>
      <c r="W1834" s="47" t="s">
        <v>194</v>
      </c>
      <c r="X1834" s="47" t="s">
        <v>203</v>
      </c>
      <c r="Y1834" s="55" t="e">
        <f ca="1">_xlfn.XLOOKUP(PAA_4[[#This Row],[ITEM]],[2]Contrato!A:A,[2]Contrato!B:B,"",0)</f>
        <v>#NAME?</v>
      </c>
      <c r="Z1834" s="47" t="e">
        <f ca="1">_xlfn.XLOOKUP(PAA_4[[#This Row],[ITEM]],[2]Contrato!A:A,[2]Contrato!G:G,"",0)</f>
        <v>#NAME?</v>
      </c>
      <c r="AA1834" s="47" t="e">
        <f ca="1">_xlfn.XLOOKUP(PAA_4[[#This Row],[ITEM]],[2]Contrato!A:A,[2]Contrato!T:T,"",0)</f>
        <v>#NAME?</v>
      </c>
      <c r="AB1834" s="55" t="e">
        <f ca="1">+MAX(PAA_4[[#This Row],[Comprometido Contrato]],PAA_4[[#This Row],[Comprometido Bolsa]])</f>
        <v>#NAME?</v>
      </c>
      <c r="AC1834" s="55" t="str">
        <f t="shared" ca="1" si="590"/>
        <v/>
      </c>
      <c r="AD1834" s="55" t="e">
        <f ca="1">IF(PAA_4[[#This Row],[ESTADO (formulado)]]="NO CONTRATADO",0,MAX(PAA_4[[#This Row],[Pago por Contrato]],PAA_4[[#This Row],[Pago por bolsa]]))</f>
        <v>#NAME?</v>
      </c>
      <c r="AE1834" s="55" t="str">
        <f t="shared" ca="1" si="591"/>
        <v/>
      </c>
      <c r="AF1834" s="47" t="e">
        <f t="shared" ca="1" si="592"/>
        <v>#NAME?</v>
      </c>
      <c r="AG1834" s="47">
        <f t="shared" si="593"/>
        <v>52010802</v>
      </c>
      <c r="AH1834" s="54">
        <f>IF(Q1834="22",IF(ISNUMBER(SEARCH("econ",PAA_4[[#This Row],[Actividad3]])),"Económico",IF(ISNUMBER(SEARCH("alim",PAA_4[[#This Row],[Actividad3]])),"Alimentación",IF(ISNUMBER(SEARCH("educ",PAA_4[[#This Row],[Actividad3]])),"Educativo","Técnico"))),0)</f>
        <v>0</v>
      </c>
      <c r="AI1834" s="47" t="e" cm="1">
        <f t="array" aca="1" ref="AI1834" ca="1">_xlfn.XLOOKUP(PAA_4[[#This Row],[RCP-RUBRO]],[2]!COMPROMISOS_2024[[#All],[concatenado]],[2]!COMPROMISOS_2024[[#All],[Total pagado]],"",0)</f>
        <v>#NAME?</v>
      </c>
      <c r="AJ1834" s="56">
        <f>IF(PAA_4[[#This Row],[BOLSA]]=0,0,SUMIFS([2]!COMPROMISOS_2024[[#All],[Total pagado]],[2]!COMPROMISOS_2024[[#All],[Bolsa]],PAA_4[[#This Row],[BOLSA]],[2]!COMPROMISOS_2024[[#All],[rubro]],PAA_4[[#This Row],[RCP-RUBRO]]))</f>
        <v>0</v>
      </c>
      <c r="AK1834" s="47" t="e" cm="1">
        <f t="array" aca="1" ref="AK1834" ca="1">_xlfn.XLOOKUP(PAA_4[[#This Row],[RCP-RUBRO]],[2]!COMPROMISOS_2024[[#All],[concatenado]],[2]!COMPROMISOS_2024[[#All],[Total Comprometido]],"",0)</f>
        <v>#NAME?</v>
      </c>
      <c r="AL1834" s="47">
        <f>IF(PAA_4[[#This Row],[BOLSA]]=0,0,SUMIFS([2]!COMPROMISOS_2024[[#All],[Total Comprometido]],[2]!COMPROMISOS_2024[[#All],[Bolsa]],PAA_4[[#This Row],[BOLSA]],[2]!COMPROMISOS_2024[[#All],[concatenado]],PAA_4[[#This Row],[RCP-RUBRO]]))</f>
        <v>0</v>
      </c>
    </row>
    <row r="1835" spans="1:38" s="19" customFormat="1" ht="31.5" customHeight="1">
      <c r="A1835" s="47" t="s">
        <v>82</v>
      </c>
      <c r="B1835" s="47" t="s">
        <v>42</v>
      </c>
      <c r="C1835" s="47" t="str">
        <f>VLOOKUP(PAA_4[[#This Row],[PROYECTO (formulado)2]],[2]PROYECTOS!$G$1:$L$32,6,0)</f>
        <v>SUBGERENCIA DE ALTOS LOGROS Y DEPORTE ASOCIADO</v>
      </c>
      <c r="D1835" s="47" t="str">
        <f>+IF(PAA_4[[#This Row],[UNIDAD DE CONTRATACION (formulado)]]="Subgerencia Administrativa y Financiera","FUNCIONAMIENTO","INVERSIÓN")</f>
        <v>INVERSIÓN</v>
      </c>
      <c r="E1835" s="48" t="str">
        <f>VLOOKUP(Q1835,[2]PROYECTOS!$G$1:$K$32,5,0)</f>
        <v>Apoyo técnico a atletas y para-atletas que representan en alto rendimiento deportivo al departamento de Antioquia</v>
      </c>
      <c r="F1835" s="48">
        <f>VLOOKUP(E1835,[2]PROYECTOS!$K$1:$M$32,3,0)</f>
        <v>2024003050084</v>
      </c>
      <c r="G1835" s="67" t="s">
        <v>1518</v>
      </c>
      <c r="H1835" s="49" t="str">
        <f>VLOOKUP(Q1835,[2]PROYECTOS!$V$1:$W$32,2,0)</f>
        <v>050079</v>
      </c>
      <c r="I1835" s="78">
        <v>0</v>
      </c>
      <c r="J1835" s="51" t="s">
        <v>1778</v>
      </c>
      <c r="K1835" s="47" t="str">
        <f t="shared" ca="1" si="587"/>
        <v>CONTRATADO</v>
      </c>
      <c r="L1835" s="47" t="s">
        <v>42</v>
      </c>
      <c r="M1835" s="51" t="s">
        <v>42</v>
      </c>
      <c r="N1835" s="52" t="s">
        <v>1519</v>
      </c>
      <c r="O1835" s="51" t="e">
        <f>VLOOKUP(N1835,[2]!RUBROS[#All],3,0)</f>
        <v>#REF!</v>
      </c>
      <c r="P1835" s="53" t="e">
        <f>VLOOKUP(N1835,[2]!RUBROS[#All],2,0)</f>
        <v>#REF!</v>
      </c>
      <c r="Q1835" s="47" t="str">
        <f t="shared" si="588"/>
        <v>84</v>
      </c>
      <c r="R1835" s="47" t="str">
        <f t="shared" si="589"/>
        <v>0-205400</v>
      </c>
      <c r="S1835" s="339" t="s">
        <v>42</v>
      </c>
      <c r="T1835" s="59" t="s">
        <v>42</v>
      </c>
      <c r="U1835" s="326" t="e">
        <f ca="1">_xlfn.XLOOKUP(PAA_4[[#This Row],[ITEM]],[2]Contrato!A:A,[2]Contrato!Q:Q,"",0)</f>
        <v>#NAME?</v>
      </c>
      <c r="V1835" s="47" t="s">
        <v>95</v>
      </c>
      <c r="W1835" s="47" t="s">
        <v>42</v>
      </c>
      <c r="X1835" s="47" t="s">
        <v>42</v>
      </c>
      <c r="Y1835" s="55" t="e">
        <f ca="1">_xlfn.XLOOKUP(PAA_4[[#This Row],[ITEM]],[2]Contrato!A:A,[2]Contrato!B:B,"",0)</f>
        <v>#NAME?</v>
      </c>
      <c r="Z1835" s="47" t="e">
        <f ca="1">_xlfn.XLOOKUP(PAA_4[[#This Row],[ITEM]],[2]Contrato!A:A,[2]Contrato!G:G,"",0)</f>
        <v>#NAME?</v>
      </c>
      <c r="AA1835" s="47" t="e">
        <f ca="1">_xlfn.XLOOKUP(PAA_4[[#This Row],[ITEM]],[2]Contrato!A:A,[2]Contrato!T:T,"",0)</f>
        <v>#NAME?</v>
      </c>
      <c r="AB1835" s="55" t="e">
        <f ca="1">+MAX(PAA_4[[#This Row],[Comprometido Contrato]],PAA_4[[#This Row],[Comprometido Bolsa]])</f>
        <v>#NAME?</v>
      </c>
      <c r="AC1835" s="55" t="str">
        <f t="shared" ca="1" si="590"/>
        <v/>
      </c>
      <c r="AD1835" s="55" t="e">
        <f ca="1">IF(PAA_4[[#This Row],[ESTADO (formulado)]]="NO CONTRATADO",0,MAX(PAA_4[[#This Row],[Pago por Contrato]],PAA_4[[#This Row],[Pago por bolsa]]))</f>
        <v>#NAME?</v>
      </c>
      <c r="AE1835" s="55" t="str">
        <f t="shared" ca="1" si="591"/>
        <v/>
      </c>
      <c r="AF1835" s="47" t="e">
        <f t="shared" ca="1" si="592"/>
        <v>#NAME?</v>
      </c>
      <c r="AG1835" s="47">
        <f t="shared" si="593"/>
        <v>52010802</v>
      </c>
      <c r="AH1835" s="54">
        <f>IF(Q1835="22",IF(ISNUMBER(SEARCH("econ",PAA_4[[#This Row],[Actividad3]])),"Económico",IF(ISNUMBER(SEARCH("alim",PAA_4[[#This Row],[Actividad3]])),"Alimentación",IF(ISNUMBER(SEARCH("educ",PAA_4[[#This Row],[Actividad3]])),"Educativo","Técnico"))),0)</f>
        <v>0</v>
      </c>
      <c r="AI1835" s="47" t="e" cm="1">
        <f t="array" aca="1" ref="AI1835" ca="1">_xlfn.XLOOKUP(PAA_4[[#This Row],[RCP-RUBRO]],[2]!COMPROMISOS_2024[[#All],[concatenado]],[2]!COMPROMISOS_2024[[#All],[Total pagado]],"",0)</f>
        <v>#NAME?</v>
      </c>
      <c r="AJ1835" s="56">
        <f>IF(PAA_4[[#This Row],[BOLSA]]=0,0,SUMIFS([2]!COMPROMISOS_2024[[#All],[Total pagado]],[2]!COMPROMISOS_2024[[#All],[Bolsa]],PAA_4[[#This Row],[BOLSA]],[2]!COMPROMISOS_2024[[#All],[rubro]],PAA_4[[#This Row],[RCP-RUBRO]]))</f>
        <v>0</v>
      </c>
      <c r="AK1835" s="47" t="e" cm="1">
        <f t="array" aca="1" ref="AK1835" ca="1">_xlfn.XLOOKUP(PAA_4[[#This Row],[RCP-RUBRO]],[2]!COMPROMISOS_2024[[#All],[concatenado]],[2]!COMPROMISOS_2024[[#All],[Total Comprometido]],"",0)</f>
        <v>#NAME?</v>
      </c>
      <c r="AL1835" s="47">
        <f>IF(PAA_4[[#This Row],[BOLSA]]=0,0,SUMIFS([2]!COMPROMISOS_2024[[#All],[Total Comprometido]],[2]!COMPROMISOS_2024[[#All],[Bolsa]],PAA_4[[#This Row],[BOLSA]],[2]!COMPROMISOS_2024[[#All],[concatenado]],PAA_4[[#This Row],[RCP-RUBRO]]))</f>
        <v>0</v>
      </c>
    </row>
    <row r="1836" spans="1:38" s="19" customFormat="1" ht="31.5" customHeight="1">
      <c r="A1836" s="47">
        <v>1020</v>
      </c>
      <c r="B1836" s="47">
        <v>80111600</v>
      </c>
      <c r="C1836" s="47" t="str">
        <f>VLOOKUP(PAA_4[[#This Row],[PROYECTO (formulado)2]],[2]PROYECTOS!$G$1:$L$32,6,0)</f>
        <v>SUBGERENCIA DE ALTOS LOGROS Y DEPORTE ASOCIADO</v>
      </c>
      <c r="D1836" s="47" t="str">
        <f>+IF(PAA_4[[#This Row],[UNIDAD DE CONTRATACION (formulado)]]="Subgerencia Administrativa y Financiera","FUNCIONAMIENTO","INVERSIÓN")</f>
        <v>INVERSIÓN</v>
      </c>
      <c r="E1836" s="48" t="str">
        <f>VLOOKUP(Q1836,[2]PROYECTOS!$G$1:$K$32,5,0)</f>
        <v>Apoyo técnico a atletas y para-atletas que representan en alto rendimiento deportivo al departamento de Antioquia</v>
      </c>
      <c r="F1836" s="48">
        <f>VLOOKUP(E1836,[2]PROYECTOS!$K$1:$M$32,3,0)</f>
        <v>2024003050084</v>
      </c>
      <c r="G1836" s="67" t="s">
        <v>1518</v>
      </c>
      <c r="H1836" s="49" t="str">
        <f>VLOOKUP(Q1836,[2]PROYECTOS!$V$1:$W$32,2,0)</f>
        <v>050079</v>
      </c>
      <c r="I1836" s="78">
        <f>21747546-3360984-593115</f>
        <v>17793447</v>
      </c>
      <c r="J1836" s="51" t="s">
        <v>2081</v>
      </c>
      <c r="K1836" s="47" t="str">
        <f t="shared" ca="1" si="587"/>
        <v>CONTRATADO</v>
      </c>
      <c r="L1836" s="47" t="s">
        <v>898</v>
      </c>
      <c r="M1836" s="47" t="s">
        <v>1297</v>
      </c>
      <c r="N1836" s="52" t="s">
        <v>1519</v>
      </c>
      <c r="O1836" s="51" t="e">
        <f>VLOOKUP(N1836,[2]!RUBROS[#All],3,0)</f>
        <v>#REF!</v>
      </c>
      <c r="P1836" s="53" t="e">
        <f>VLOOKUP(N1836,[2]!RUBROS[#All],2,0)</f>
        <v>#REF!</v>
      </c>
      <c r="Q1836" s="47" t="str">
        <f t="shared" si="588"/>
        <v>84</v>
      </c>
      <c r="R1836" s="47" t="str">
        <f t="shared" si="589"/>
        <v>0-205400</v>
      </c>
      <c r="S1836" s="54">
        <v>110</v>
      </c>
      <c r="T1836" s="59" t="s">
        <v>120</v>
      </c>
      <c r="U1836" s="326" t="e">
        <f ca="1">_xlfn.XLOOKUP(PAA_4[[#This Row],[ITEM]],[2]Contrato!A:A,[2]Contrato!Q:Q,"",0)</f>
        <v>#NAME?</v>
      </c>
      <c r="V1836" s="47" t="s">
        <v>95</v>
      </c>
      <c r="W1836" s="47" t="s">
        <v>194</v>
      </c>
      <c r="X1836" s="47" t="s">
        <v>203</v>
      </c>
      <c r="Y1836" s="55" t="e">
        <f ca="1">_xlfn.XLOOKUP(PAA_4[[#This Row],[ITEM]],[2]Contrato!A:A,[2]Contrato!B:B,"",0)</f>
        <v>#NAME?</v>
      </c>
      <c r="Z1836" s="47" t="e">
        <f ca="1">_xlfn.XLOOKUP(PAA_4[[#This Row],[ITEM]],[2]Contrato!A:A,[2]Contrato!G:G,"",0)</f>
        <v>#NAME?</v>
      </c>
      <c r="AA1836" s="47" t="e">
        <f ca="1">_xlfn.XLOOKUP(PAA_4[[#This Row],[ITEM]],[2]Contrato!A:A,[2]Contrato!T:T,"",0)</f>
        <v>#NAME?</v>
      </c>
      <c r="AB1836" s="55" t="e">
        <f ca="1">+MAX(PAA_4[[#This Row],[Comprometido Contrato]],PAA_4[[#This Row],[Comprometido Bolsa]])</f>
        <v>#NAME?</v>
      </c>
      <c r="AC1836" s="55" t="str">
        <f t="shared" ca="1" si="590"/>
        <v/>
      </c>
      <c r="AD1836" s="55" t="e">
        <f ca="1">IF(PAA_4[[#This Row],[ESTADO (formulado)]]="NO CONTRATADO",0,MAX(PAA_4[[#This Row],[Pago por Contrato]],PAA_4[[#This Row],[Pago por bolsa]]))</f>
        <v>#NAME?</v>
      </c>
      <c r="AE1836" s="55" t="str">
        <f t="shared" ca="1" si="591"/>
        <v/>
      </c>
      <c r="AF1836" s="47" t="e">
        <f t="shared" ca="1" si="592"/>
        <v>#NAME?</v>
      </c>
      <c r="AG1836" s="47">
        <f t="shared" si="593"/>
        <v>52010802</v>
      </c>
      <c r="AH1836" s="54">
        <f>IF(Q1836="22",IF(ISNUMBER(SEARCH("econ",PAA_4[[#This Row],[Actividad3]])),"Económico",IF(ISNUMBER(SEARCH("alim",PAA_4[[#This Row],[Actividad3]])),"Alimentación",IF(ISNUMBER(SEARCH("educ",PAA_4[[#This Row],[Actividad3]])),"Educativo","Técnico"))),0)</f>
        <v>0</v>
      </c>
      <c r="AI1836" s="47" t="e" cm="1">
        <f t="array" aca="1" ref="AI1836" ca="1">_xlfn.XLOOKUP(PAA_4[[#This Row],[RCP-RUBRO]],[2]!COMPROMISOS_2024[[#All],[concatenado]],[2]!COMPROMISOS_2024[[#All],[Total pagado]],"",0)</f>
        <v>#NAME?</v>
      </c>
      <c r="AJ1836" s="56">
        <f>IF(PAA_4[[#This Row],[BOLSA]]=0,0,SUMIFS([2]!COMPROMISOS_2024[[#All],[Total pagado]],[2]!COMPROMISOS_2024[[#All],[Bolsa]],PAA_4[[#This Row],[BOLSA]],[2]!COMPROMISOS_2024[[#All],[rubro]],PAA_4[[#This Row],[RCP-RUBRO]]))</f>
        <v>0</v>
      </c>
      <c r="AK1836" s="47" t="e" cm="1">
        <f t="array" aca="1" ref="AK1836" ca="1">_xlfn.XLOOKUP(PAA_4[[#This Row],[RCP-RUBRO]],[2]!COMPROMISOS_2024[[#All],[concatenado]],[2]!COMPROMISOS_2024[[#All],[Total Comprometido]],"",0)</f>
        <v>#NAME?</v>
      </c>
      <c r="AL1836" s="47">
        <f>IF(PAA_4[[#This Row],[BOLSA]]=0,0,SUMIFS([2]!COMPROMISOS_2024[[#All],[Total Comprometido]],[2]!COMPROMISOS_2024[[#All],[Bolsa]],PAA_4[[#This Row],[BOLSA]],[2]!COMPROMISOS_2024[[#All],[concatenado]],PAA_4[[#This Row],[RCP-RUBRO]]))</f>
        <v>0</v>
      </c>
    </row>
    <row r="1837" spans="1:38" s="19" customFormat="1" ht="31.5" customHeight="1">
      <c r="A1837" s="47">
        <v>1152</v>
      </c>
      <c r="B1837" s="47">
        <v>80111600</v>
      </c>
      <c r="C1837" s="47" t="str">
        <f>VLOOKUP(PAA_4[[#This Row],[PROYECTO (formulado)2]],[2]PROYECTOS!$G$1:$L$32,6,0)</f>
        <v>SUBGERENCIA DE ALTOS LOGROS Y DEPORTE ASOCIADO</v>
      </c>
      <c r="D1837" s="47" t="str">
        <f>+IF(PAA_4[[#This Row],[UNIDAD DE CONTRATACION (formulado)]]="Subgerencia Administrativa y Financiera","FUNCIONAMIENTO","INVERSIÓN")</f>
        <v>INVERSIÓN</v>
      </c>
      <c r="E1837" s="48" t="str">
        <f>VLOOKUP(Q1837,[2]PROYECTOS!$G$1:$K$32,5,0)</f>
        <v>Apoyo técnico a atletas y para-atletas que representan en alto rendimiento deportivo al departamento de Antioquia</v>
      </c>
      <c r="F1837" s="48">
        <f>VLOOKUP(E1837,[2]PROYECTOS!$K$1:$M$32,3,0)</f>
        <v>2024003050084</v>
      </c>
      <c r="G1837" s="67" t="s">
        <v>1518</v>
      </c>
      <c r="H1837" s="49" t="str">
        <f>VLOOKUP(Q1837,[2]PROYECTOS!$V$1:$W$32,2,0)</f>
        <v>050079</v>
      </c>
      <c r="I1837" s="78">
        <f>13908652-327263</f>
        <v>13581389</v>
      </c>
      <c r="J1837" s="51" t="s">
        <v>2082</v>
      </c>
      <c r="K1837" s="47" t="str">
        <f t="shared" ca="1" si="587"/>
        <v>CONTRATADO</v>
      </c>
      <c r="L1837" s="47" t="s">
        <v>898</v>
      </c>
      <c r="M1837" s="47" t="s">
        <v>1297</v>
      </c>
      <c r="N1837" s="52" t="s">
        <v>1519</v>
      </c>
      <c r="O1837" s="51" t="e">
        <f>VLOOKUP(N1837,[2]!RUBROS[#All],3,0)</f>
        <v>#REF!</v>
      </c>
      <c r="P1837" s="53" t="e">
        <f>VLOOKUP(N1837,[2]!RUBROS[#All],2,0)</f>
        <v>#REF!</v>
      </c>
      <c r="Q1837" s="47" t="str">
        <f t="shared" si="588"/>
        <v>84</v>
      </c>
      <c r="R1837" s="47" t="str">
        <f t="shared" si="589"/>
        <v>0-205400</v>
      </c>
      <c r="S1837" s="339">
        <v>85</v>
      </c>
      <c r="T1837" s="59" t="s">
        <v>120</v>
      </c>
      <c r="U1837" s="326" t="e">
        <f ca="1">_xlfn.XLOOKUP(PAA_4[[#This Row],[ITEM]],[2]Contrato!A:A,[2]Contrato!Q:Q,"",0)</f>
        <v>#NAME?</v>
      </c>
      <c r="V1837" s="47" t="s">
        <v>95</v>
      </c>
      <c r="W1837" s="47" t="s">
        <v>194</v>
      </c>
      <c r="X1837" s="47" t="s">
        <v>203</v>
      </c>
      <c r="Y1837" s="55" t="e">
        <f ca="1">_xlfn.XLOOKUP(PAA_4[[#This Row],[ITEM]],[2]Contrato!A:A,[2]Contrato!B:B,"",0)</f>
        <v>#NAME?</v>
      </c>
      <c r="Z1837" s="47" t="e">
        <f ca="1">_xlfn.XLOOKUP(PAA_4[[#This Row],[ITEM]],[2]Contrato!A:A,[2]Contrato!G:G,"",0)</f>
        <v>#NAME?</v>
      </c>
      <c r="AA1837" s="47" t="e">
        <f ca="1">_xlfn.XLOOKUP(PAA_4[[#This Row],[ITEM]],[2]Contrato!A:A,[2]Contrato!T:T,"",0)</f>
        <v>#NAME?</v>
      </c>
      <c r="AB1837" s="55" t="e">
        <f ca="1">+MAX(PAA_4[[#This Row],[Comprometido Contrato]],PAA_4[[#This Row],[Comprometido Bolsa]])</f>
        <v>#NAME?</v>
      </c>
      <c r="AC1837" s="55" t="str">
        <f t="shared" ca="1" si="590"/>
        <v/>
      </c>
      <c r="AD1837" s="55" t="e">
        <f ca="1">IF(PAA_4[[#This Row],[ESTADO (formulado)]]="NO CONTRATADO",0,MAX(PAA_4[[#This Row],[Pago por Contrato]],PAA_4[[#This Row],[Pago por bolsa]]))</f>
        <v>#NAME?</v>
      </c>
      <c r="AE1837" s="55" t="str">
        <f t="shared" ca="1" si="591"/>
        <v/>
      </c>
      <c r="AF1837" s="47" t="e">
        <f t="shared" ca="1" si="592"/>
        <v>#NAME?</v>
      </c>
      <c r="AG1837" s="47">
        <f t="shared" si="593"/>
        <v>52010802</v>
      </c>
      <c r="AH1837" s="54">
        <f>IF(Q1837="22",IF(ISNUMBER(SEARCH("econ",PAA_4[[#This Row],[Actividad3]])),"Económico",IF(ISNUMBER(SEARCH("alim",PAA_4[[#This Row],[Actividad3]])),"Alimentación",IF(ISNUMBER(SEARCH("educ",PAA_4[[#This Row],[Actividad3]])),"Educativo","Técnico"))),0)</f>
        <v>0</v>
      </c>
      <c r="AI1837" s="47" t="e" cm="1">
        <f t="array" aca="1" ref="AI1837" ca="1">_xlfn.XLOOKUP(PAA_4[[#This Row],[RCP-RUBRO]],[2]!COMPROMISOS_2024[[#All],[concatenado]],[2]!COMPROMISOS_2024[[#All],[Total pagado]],"",0)</f>
        <v>#NAME?</v>
      </c>
      <c r="AJ1837" s="56">
        <f>IF(PAA_4[[#This Row],[BOLSA]]=0,0,SUMIFS([2]!COMPROMISOS_2024[[#All],[Total pagado]],[2]!COMPROMISOS_2024[[#All],[Bolsa]],PAA_4[[#This Row],[BOLSA]],[2]!COMPROMISOS_2024[[#All],[rubro]],PAA_4[[#This Row],[RCP-RUBRO]]))</f>
        <v>0</v>
      </c>
      <c r="AK1837" s="47" t="e" cm="1">
        <f t="array" aca="1" ref="AK1837" ca="1">_xlfn.XLOOKUP(PAA_4[[#This Row],[RCP-RUBRO]],[2]!COMPROMISOS_2024[[#All],[concatenado]],[2]!COMPROMISOS_2024[[#All],[Total Comprometido]],"",0)</f>
        <v>#NAME?</v>
      </c>
      <c r="AL1837" s="47">
        <f>IF(PAA_4[[#This Row],[BOLSA]]=0,0,SUMIFS([2]!COMPROMISOS_2024[[#All],[Total Comprometido]],[2]!COMPROMISOS_2024[[#All],[Bolsa]],PAA_4[[#This Row],[BOLSA]],[2]!COMPROMISOS_2024[[#All],[concatenado]],PAA_4[[#This Row],[RCP-RUBRO]]))</f>
        <v>0</v>
      </c>
    </row>
    <row r="1838" spans="1:38" s="19" customFormat="1" ht="31.5" customHeight="1">
      <c r="A1838" s="47" t="s">
        <v>82</v>
      </c>
      <c r="B1838" s="47" t="s">
        <v>42</v>
      </c>
      <c r="C1838" s="47" t="str">
        <f>VLOOKUP(PAA_4[[#This Row],[PROYECTO (formulado)2]],[2]PROYECTOS!$G$1:$L$32,6,0)</f>
        <v>SUBGERENCIA DE ALTOS LOGROS Y DEPORTE ASOCIADO</v>
      </c>
      <c r="D1838" s="47" t="str">
        <f>+IF(PAA_4[[#This Row],[UNIDAD DE CONTRATACION (formulado)]]="Subgerencia Administrativa y Financiera","FUNCIONAMIENTO","INVERSIÓN")</f>
        <v>INVERSIÓN</v>
      </c>
      <c r="E1838" s="48" t="str">
        <f>VLOOKUP(Q1838,[2]PROYECTOS!$G$1:$K$32,5,0)</f>
        <v>Apoyo técnico a atletas y para-atletas que representan en alto rendimiento deportivo al departamento de Antioquia</v>
      </c>
      <c r="F1838" s="48">
        <f>VLOOKUP(E1838,[2]PROYECTOS!$K$1:$M$32,3,0)</f>
        <v>2024003050084</v>
      </c>
      <c r="G1838" s="67" t="s">
        <v>1518</v>
      </c>
      <c r="H1838" s="49" t="str">
        <f>VLOOKUP(Q1838,[2]PROYECTOS!$V$1:$W$32,2,0)</f>
        <v>050079</v>
      </c>
      <c r="I1838" s="78">
        <v>0</v>
      </c>
      <c r="J1838" s="51" t="s">
        <v>1778</v>
      </c>
      <c r="K1838" s="47" t="str">
        <f t="shared" ca="1" si="587"/>
        <v>CONTRATADO</v>
      </c>
      <c r="L1838" s="47" t="s">
        <v>42</v>
      </c>
      <c r="M1838" s="51" t="s">
        <v>42</v>
      </c>
      <c r="N1838" s="52" t="s">
        <v>1519</v>
      </c>
      <c r="O1838" s="51" t="e">
        <f>VLOOKUP(N1838,[2]!RUBROS[#All],3,0)</f>
        <v>#REF!</v>
      </c>
      <c r="P1838" s="53" t="e">
        <f>VLOOKUP(N1838,[2]!RUBROS[#All],2,0)</f>
        <v>#REF!</v>
      </c>
      <c r="Q1838" s="47" t="str">
        <f t="shared" si="588"/>
        <v>84</v>
      </c>
      <c r="R1838" s="47" t="str">
        <f t="shared" si="589"/>
        <v>0-205400</v>
      </c>
      <c r="S1838" s="339" t="s">
        <v>42</v>
      </c>
      <c r="T1838" s="59" t="s">
        <v>42</v>
      </c>
      <c r="U1838" s="326" t="e">
        <f ca="1">_xlfn.XLOOKUP(PAA_4[[#This Row],[ITEM]],[2]Contrato!A:A,[2]Contrato!Q:Q,"",0)</f>
        <v>#NAME?</v>
      </c>
      <c r="V1838" s="47" t="s">
        <v>95</v>
      </c>
      <c r="W1838" s="47" t="s">
        <v>42</v>
      </c>
      <c r="X1838" s="47" t="s">
        <v>42</v>
      </c>
      <c r="Y1838" s="55" t="e">
        <f ca="1">_xlfn.XLOOKUP(PAA_4[[#This Row],[ITEM]],[2]Contrato!A:A,[2]Contrato!B:B,"",0)</f>
        <v>#NAME?</v>
      </c>
      <c r="Z1838" s="47" t="e">
        <f ca="1">_xlfn.XLOOKUP(PAA_4[[#This Row],[ITEM]],[2]Contrato!A:A,[2]Contrato!G:G,"",0)</f>
        <v>#NAME?</v>
      </c>
      <c r="AA1838" s="47" t="e">
        <f ca="1">_xlfn.XLOOKUP(PAA_4[[#This Row],[ITEM]],[2]Contrato!A:A,[2]Contrato!T:T,"",0)</f>
        <v>#NAME?</v>
      </c>
      <c r="AB1838" s="55" t="e">
        <f ca="1">+MAX(PAA_4[[#This Row],[Comprometido Contrato]],PAA_4[[#This Row],[Comprometido Bolsa]])</f>
        <v>#NAME?</v>
      </c>
      <c r="AC1838" s="55" t="str">
        <f t="shared" ca="1" si="590"/>
        <v/>
      </c>
      <c r="AD1838" s="55" t="e">
        <f ca="1">IF(PAA_4[[#This Row],[ESTADO (formulado)]]="NO CONTRATADO",0,MAX(PAA_4[[#This Row],[Pago por Contrato]],PAA_4[[#This Row],[Pago por bolsa]]))</f>
        <v>#NAME?</v>
      </c>
      <c r="AE1838" s="55" t="str">
        <f t="shared" ca="1" si="591"/>
        <v/>
      </c>
      <c r="AF1838" s="47" t="e">
        <f t="shared" ca="1" si="592"/>
        <v>#NAME?</v>
      </c>
      <c r="AG1838" s="47">
        <f t="shared" si="593"/>
        <v>52010802</v>
      </c>
      <c r="AH1838" s="54">
        <f>IF(Q1838="22",IF(ISNUMBER(SEARCH("econ",PAA_4[[#This Row],[Actividad3]])),"Económico",IF(ISNUMBER(SEARCH("alim",PAA_4[[#This Row],[Actividad3]])),"Alimentación",IF(ISNUMBER(SEARCH("educ",PAA_4[[#This Row],[Actividad3]])),"Educativo","Técnico"))),0)</f>
        <v>0</v>
      </c>
      <c r="AI1838" s="47" t="e" cm="1">
        <f t="array" aca="1" ref="AI1838" ca="1">_xlfn.XLOOKUP(PAA_4[[#This Row],[RCP-RUBRO]],[2]!COMPROMISOS_2024[[#All],[concatenado]],[2]!COMPROMISOS_2024[[#All],[Total pagado]],"",0)</f>
        <v>#NAME?</v>
      </c>
      <c r="AJ1838" s="56">
        <f>IF(PAA_4[[#This Row],[BOLSA]]=0,0,SUMIFS([2]!COMPROMISOS_2024[[#All],[Total pagado]],[2]!COMPROMISOS_2024[[#All],[Bolsa]],PAA_4[[#This Row],[BOLSA]],[2]!COMPROMISOS_2024[[#All],[rubro]],PAA_4[[#This Row],[RCP-RUBRO]]))</f>
        <v>0</v>
      </c>
      <c r="AK1838" s="47" t="e" cm="1">
        <f t="array" aca="1" ref="AK1838" ca="1">_xlfn.XLOOKUP(PAA_4[[#This Row],[RCP-RUBRO]],[2]!COMPROMISOS_2024[[#All],[concatenado]],[2]!COMPROMISOS_2024[[#All],[Total Comprometido]],"",0)</f>
        <v>#NAME?</v>
      </c>
      <c r="AL1838" s="47">
        <f>IF(PAA_4[[#This Row],[BOLSA]]=0,0,SUMIFS([2]!COMPROMISOS_2024[[#All],[Total Comprometido]],[2]!COMPROMISOS_2024[[#All],[Bolsa]],PAA_4[[#This Row],[BOLSA]],[2]!COMPROMISOS_2024[[#All],[concatenado]],PAA_4[[#This Row],[RCP-RUBRO]]))</f>
        <v>0</v>
      </c>
    </row>
    <row r="1839" spans="1:38" s="19" customFormat="1" ht="31.5" customHeight="1">
      <c r="A1839" s="47" t="s">
        <v>82</v>
      </c>
      <c r="B1839" s="47" t="s">
        <v>42</v>
      </c>
      <c r="C1839" s="47" t="str">
        <f>VLOOKUP(PAA_4[[#This Row],[PROYECTO (formulado)2]],[2]PROYECTOS!$G$1:$L$32,6,0)</f>
        <v>SUBGERENCIA DE ALTOS LOGROS Y DEPORTE ASOCIADO</v>
      </c>
      <c r="D1839" s="47" t="str">
        <f>+IF(PAA_4[[#This Row],[UNIDAD DE CONTRATACION (formulado)]]="Subgerencia Administrativa y Financiera","FUNCIONAMIENTO","INVERSIÓN")</f>
        <v>INVERSIÓN</v>
      </c>
      <c r="E1839" s="48" t="str">
        <f>VLOOKUP(Q1839,[2]PROYECTOS!$G$1:$K$32,5,0)</f>
        <v>Apoyo técnico a atletas y para-atletas que representan en alto rendimiento deportivo al departamento de Antioquia</v>
      </c>
      <c r="F1839" s="48">
        <f>VLOOKUP(E1839,[2]PROYECTOS!$K$1:$M$32,3,0)</f>
        <v>2024003050084</v>
      </c>
      <c r="G1839" s="67" t="s">
        <v>1518</v>
      </c>
      <c r="H1839" s="49" t="str">
        <f>VLOOKUP(Q1839,[2]PROYECTOS!$V$1:$W$32,2,0)</f>
        <v>050079</v>
      </c>
      <c r="I1839" s="78">
        <v>163631</v>
      </c>
      <c r="J1839" s="51" t="s">
        <v>1952</v>
      </c>
      <c r="K1839" s="47" t="str">
        <f t="shared" ca="1" si="587"/>
        <v>CONTRATADO</v>
      </c>
      <c r="L1839" s="47" t="s">
        <v>42</v>
      </c>
      <c r="M1839" s="51" t="s">
        <v>42</v>
      </c>
      <c r="N1839" s="52" t="s">
        <v>1519</v>
      </c>
      <c r="O1839" s="51" t="e">
        <f>VLOOKUP(N1839,[2]!RUBROS[#All],3,0)</f>
        <v>#REF!</v>
      </c>
      <c r="P1839" s="53" t="e">
        <f>VLOOKUP(N1839,[2]!RUBROS[#All],2,0)</f>
        <v>#REF!</v>
      </c>
      <c r="Q1839" s="47" t="str">
        <f t="shared" si="588"/>
        <v>84</v>
      </c>
      <c r="R1839" s="47" t="str">
        <f t="shared" si="589"/>
        <v>0-205400</v>
      </c>
      <c r="S1839" s="339" t="s">
        <v>42</v>
      </c>
      <c r="T1839" s="59" t="s">
        <v>42</v>
      </c>
      <c r="U1839" s="326" t="e">
        <f ca="1">_xlfn.XLOOKUP(PAA_4[[#This Row],[ITEM]],[2]Contrato!A:A,[2]Contrato!Q:Q,"",0)</f>
        <v>#NAME?</v>
      </c>
      <c r="V1839" s="47" t="s">
        <v>42</v>
      </c>
      <c r="W1839" s="47" t="s">
        <v>42</v>
      </c>
      <c r="X1839" s="47" t="s">
        <v>42</v>
      </c>
      <c r="Y1839" s="55" t="e">
        <f ca="1">_xlfn.XLOOKUP(PAA_4[[#This Row],[ITEM]],[2]Contrato!A:A,[2]Contrato!B:B,"",0)</f>
        <v>#NAME?</v>
      </c>
      <c r="Z1839" s="47" t="e">
        <f ca="1">_xlfn.XLOOKUP(PAA_4[[#This Row],[ITEM]],[2]Contrato!A:A,[2]Contrato!G:G,"",0)</f>
        <v>#NAME?</v>
      </c>
      <c r="AA1839" s="47" t="e">
        <f ca="1">_xlfn.XLOOKUP(PAA_4[[#This Row],[ITEM]],[2]Contrato!A:A,[2]Contrato!T:T,"",0)</f>
        <v>#NAME?</v>
      </c>
      <c r="AB1839" s="55" t="e">
        <f ca="1">+MAX(PAA_4[[#This Row],[Comprometido Contrato]],PAA_4[[#This Row],[Comprometido Bolsa]])</f>
        <v>#NAME?</v>
      </c>
      <c r="AC1839" s="55" t="str">
        <f t="shared" ca="1" si="590"/>
        <v/>
      </c>
      <c r="AD1839" s="55" t="e">
        <f ca="1">IF(PAA_4[[#This Row],[ESTADO (formulado)]]="NO CONTRATADO",0,MAX(PAA_4[[#This Row],[Pago por Contrato]],PAA_4[[#This Row],[Pago por bolsa]]))</f>
        <v>#NAME?</v>
      </c>
      <c r="AE1839" s="55" t="str">
        <f t="shared" ca="1" si="591"/>
        <v/>
      </c>
      <c r="AF1839" s="47" t="e">
        <f t="shared" ca="1" si="592"/>
        <v>#NAME?</v>
      </c>
      <c r="AG1839" s="47">
        <f t="shared" si="593"/>
        <v>52010802</v>
      </c>
      <c r="AH1839" s="54">
        <f>IF(Q1839="22",IF(ISNUMBER(SEARCH("econ",PAA_4[[#This Row],[Actividad3]])),"Económico",IF(ISNUMBER(SEARCH("alim",PAA_4[[#This Row],[Actividad3]])),"Alimentación",IF(ISNUMBER(SEARCH("educ",PAA_4[[#This Row],[Actividad3]])),"Educativo","Técnico"))),0)</f>
        <v>0</v>
      </c>
      <c r="AI1839" s="47" t="e" cm="1">
        <f t="array" aca="1" ref="AI1839" ca="1">_xlfn.XLOOKUP(PAA_4[[#This Row],[RCP-RUBRO]],[2]!COMPROMISOS_2024[[#All],[concatenado]],[2]!COMPROMISOS_2024[[#All],[Total pagado]],"",0)</f>
        <v>#NAME?</v>
      </c>
      <c r="AJ1839" s="56">
        <f>IF(PAA_4[[#This Row],[BOLSA]]=0,0,SUMIFS([2]!COMPROMISOS_2024[[#All],[Total pagado]],[2]!COMPROMISOS_2024[[#All],[Bolsa]],PAA_4[[#This Row],[BOLSA]],[2]!COMPROMISOS_2024[[#All],[rubro]],PAA_4[[#This Row],[RCP-RUBRO]]))</f>
        <v>0</v>
      </c>
      <c r="AK1839" s="47" t="e" cm="1">
        <f t="array" aca="1" ref="AK1839" ca="1">_xlfn.XLOOKUP(PAA_4[[#This Row],[RCP-RUBRO]],[2]!COMPROMISOS_2024[[#All],[concatenado]],[2]!COMPROMISOS_2024[[#All],[Total Comprometido]],"",0)</f>
        <v>#NAME?</v>
      </c>
      <c r="AL1839" s="47">
        <f>IF(PAA_4[[#This Row],[BOLSA]]=0,0,SUMIFS([2]!COMPROMISOS_2024[[#All],[Total Comprometido]],[2]!COMPROMISOS_2024[[#All],[Bolsa]],PAA_4[[#This Row],[BOLSA]],[2]!COMPROMISOS_2024[[#All],[concatenado]],PAA_4[[#This Row],[RCP-RUBRO]]))</f>
        <v>0</v>
      </c>
    </row>
    <row r="1840" spans="1:38" s="19" customFormat="1" ht="31.5" customHeight="1">
      <c r="A1840" s="47" t="s">
        <v>82</v>
      </c>
      <c r="B1840" s="47" t="s">
        <v>42</v>
      </c>
      <c r="C1840" s="47" t="str">
        <f>VLOOKUP(PAA_4[[#This Row],[PROYECTO (formulado)2]],[2]PROYECTOS!$G$1:$L$32,6,0)</f>
        <v>SUBGERENCIA DE ALTOS LOGROS Y DEPORTE ASOCIADO</v>
      </c>
      <c r="D1840" s="47" t="str">
        <f>+IF(PAA_4[[#This Row],[UNIDAD DE CONTRATACION (formulado)]]="Subgerencia Administrativa y Financiera","FUNCIONAMIENTO","INVERSIÓN")</f>
        <v>INVERSIÓN</v>
      </c>
      <c r="E1840" s="48" t="str">
        <f>VLOOKUP(Q1840,[2]PROYECTOS!$G$1:$K$32,5,0)</f>
        <v>Apoyo técnico a atletas y para-atletas que representan en alto rendimiento deportivo al departamento de Antioquia</v>
      </c>
      <c r="F1840" s="48">
        <f>VLOOKUP(E1840,[2]PROYECTOS!$K$1:$M$32,3,0)</f>
        <v>2024003050084</v>
      </c>
      <c r="G1840" s="371" t="s">
        <v>1518</v>
      </c>
      <c r="H1840" s="49" t="str">
        <f>VLOOKUP(Q1840,[2]PROYECTOS!$V$1:$W$32,2,0)</f>
        <v>050079</v>
      </c>
      <c r="I1840" s="78">
        <v>163631</v>
      </c>
      <c r="J1840" s="51" t="s">
        <v>2083</v>
      </c>
      <c r="K1840" s="47" t="str">
        <f t="shared" ca="1" si="587"/>
        <v>CONTRATADO</v>
      </c>
      <c r="L1840" s="47" t="s">
        <v>42</v>
      </c>
      <c r="M1840" s="51" t="s">
        <v>42</v>
      </c>
      <c r="N1840" s="344" t="s">
        <v>1519</v>
      </c>
      <c r="O1840" s="51" t="e">
        <f>VLOOKUP(N1840,[2]!RUBROS[#All],3,0)</f>
        <v>#REF!</v>
      </c>
      <c r="P1840" s="53" t="e">
        <f>VLOOKUP(N1840,[2]!RUBROS[#All],2,0)</f>
        <v>#REF!</v>
      </c>
      <c r="Q1840" s="47" t="str">
        <f t="shared" si="588"/>
        <v>84</v>
      </c>
      <c r="R1840" s="47" t="str">
        <f t="shared" si="589"/>
        <v>0-205400</v>
      </c>
      <c r="S1840" s="339" t="s">
        <v>42</v>
      </c>
      <c r="T1840" s="59" t="s">
        <v>42</v>
      </c>
      <c r="U1840" s="326" t="e">
        <f ca="1">_xlfn.XLOOKUP(PAA_4[[#This Row],[ITEM]],[2]Contrato!A:A,[2]Contrato!Q:Q,"",0)</f>
        <v>#NAME?</v>
      </c>
      <c r="V1840" s="47" t="s">
        <v>95</v>
      </c>
      <c r="W1840" s="47" t="s">
        <v>42</v>
      </c>
      <c r="X1840" s="47" t="s">
        <v>42</v>
      </c>
      <c r="Y1840" s="55" t="e">
        <f ca="1">_xlfn.XLOOKUP(PAA_4[[#This Row],[ITEM]],[2]Contrato!A:A,[2]Contrato!B:B,"",0)</f>
        <v>#NAME?</v>
      </c>
      <c r="Z1840" s="47" t="e">
        <f ca="1">_xlfn.XLOOKUP(PAA_4[[#This Row],[ITEM]],[2]Contrato!A:A,[2]Contrato!G:G,"",0)</f>
        <v>#NAME?</v>
      </c>
      <c r="AA1840" s="47" t="e">
        <f ca="1">_xlfn.XLOOKUP(PAA_4[[#This Row],[ITEM]],[2]Contrato!A:A,[2]Contrato!T:T,"",0)</f>
        <v>#NAME?</v>
      </c>
      <c r="AB1840" s="55" t="e">
        <f ca="1">+MAX(PAA_4[[#This Row],[Comprometido Contrato]],PAA_4[[#This Row],[Comprometido Bolsa]])</f>
        <v>#NAME?</v>
      </c>
      <c r="AC1840" s="55" t="str">
        <f t="shared" ca="1" si="590"/>
        <v/>
      </c>
      <c r="AD1840" s="55" t="e">
        <f ca="1">IF(PAA_4[[#This Row],[ESTADO (formulado)]]="NO CONTRATADO",0,MAX(PAA_4[[#This Row],[Pago por Contrato]],PAA_4[[#This Row],[Pago por bolsa]]))</f>
        <v>#NAME?</v>
      </c>
      <c r="AE1840" s="55" t="str">
        <f t="shared" ca="1" si="591"/>
        <v/>
      </c>
      <c r="AF1840" s="47" t="e">
        <f t="shared" ca="1" si="592"/>
        <v>#NAME?</v>
      </c>
      <c r="AG1840" s="47">
        <f t="shared" si="593"/>
        <v>52010802</v>
      </c>
      <c r="AH1840" s="54">
        <f>IF(Q1840="22",IF(ISNUMBER(SEARCH("econ",PAA_4[[#This Row],[Actividad3]])),"Económico",IF(ISNUMBER(SEARCH("alim",PAA_4[[#This Row],[Actividad3]])),"Alimentación",IF(ISNUMBER(SEARCH("educ",PAA_4[[#This Row],[Actividad3]])),"Educativo","Técnico"))),0)</f>
        <v>0</v>
      </c>
      <c r="AI1840" s="47" t="e" cm="1">
        <f t="array" aca="1" ref="AI1840" ca="1">_xlfn.XLOOKUP(PAA_4[[#This Row],[RCP-RUBRO]],[2]!COMPROMISOS_2024[[#All],[concatenado]],[2]!COMPROMISOS_2024[[#All],[Total pagado]],"",0)</f>
        <v>#NAME?</v>
      </c>
      <c r="AJ1840" s="56">
        <f>IF(PAA_4[[#This Row],[BOLSA]]=0,0,SUMIFS([2]!COMPROMISOS_2024[[#All],[Total pagado]],[2]!COMPROMISOS_2024[[#All],[Bolsa]],PAA_4[[#This Row],[BOLSA]],[2]!COMPROMISOS_2024[[#All],[rubro]],PAA_4[[#This Row],[RCP-RUBRO]]))</f>
        <v>0</v>
      </c>
      <c r="AK1840" s="47" t="e" cm="1">
        <f t="array" aca="1" ref="AK1840" ca="1">_xlfn.XLOOKUP(PAA_4[[#This Row],[RCP-RUBRO]],[2]!COMPROMISOS_2024[[#All],[concatenado]],[2]!COMPROMISOS_2024[[#All],[Total Comprometido]],"",0)</f>
        <v>#NAME?</v>
      </c>
      <c r="AL1840" s="47">
        <f>IF(PAA_4[[#This Row],[BOLSA]]=0,0,SUMIFS([2]!COMPROMISOS_2024[[#All],[Total Comprometido]],[2]!COMPROMISOS_2024[[#All],[Bolsa]],PAA_4[[#This Row],[BOLSA]],[2]!COMPROMISOS_2024[[#All],[concatenado]],PAA_4[[#This Row],[RCP-RUBRO]]))</f>
        <v>0</v>
      </c>
    </row>
    <row r="1841" spans="1:38" s="19" customFormat="1" ht="31.5" customHeight="1">
      <c r="A1841" s="47" t="s">
        <v>82</v>
      </c>
      <c r="B1841" s="47" t="s">
        <v>42</v>
      </c>
      <c r="C1841" s="47" t="str">
        <f>VLOOKUP(PAA_4[[#This Row],[PROYECTO (formulado)2]],[2]PROYECTOS!$G$1:$L$32,6,0)</f>
        <v>SUBGERENCIA DE ALTOS LOGROS Y DEPORTE ASOCIADO</v>
      </c>
      <c r="D1841" s="47" t="str">
        <f>+IF(PAA_4[[#This Row],[UNIDAD DE CONTRATACION (formulado)]]="Subgerencia Administrativa y Financiera","FUNCIONAMIENTO","INVERSIÓN")</f>
        <v>INVERSIÓN</v>
      </c>
      <c r="E1841" s="48" t="str">
        <f>VLOOKUP(Q1841,[2]PROYECTOS!$G$1:$K$32,5,0)</f>
        <v>Apoyo técnico a atletas y para-atletas que representan en alto rendimiento deportivo al departamento de Antioquia</v>
      </c>
      <c r="F1841" s="48">
        <f>VLOOKUP(E1841,[2]PROYECTOS!$K$1:$M$32,3,0)</f>
        <v>2024003050084</v>
      </c>
      <c r="G1841" s="371" t="s">
        <v>1518</v>
      </c>
      <c r="H1841" s="49" t="str">
        <f>VLOOKUP(Q1841,[2]PROYECTOS!$V$1:$W$32,2,0)</f>
        <v>050079</v>
      </c>
      <c r="I1841" s="78">
        <v>130000</v>
      </c>
      <c r="J1841" s="51" t="s">
        <v>2083</v>
      </c>
      <c r="K1841" s="47" t="str">
        <f t="shared" ca="1" si="587"/>
        <v>CONTRATADO</v>
      </c>
      <c r="L1841" s="47" t="s">
        <v>42</v>
      </c>
      <c r="M1841" s="51" t="s">
        <v>42</v>
      </c>
      <c r="N1841" s="344" t="s">
        <v>1519</v>
      </c>
      <c r="O1841" s="51" t="e">
        <f>VLOOKUP(N1841,[2]!RUBROS[#All],3,0)</f>
        <v>#REF!</v>
      </c>
      <c r="P1841" s="53" t="e">
        <f>VLOOKUP(N1841,[2]!RUBROS[#All],2,0)</f>
        <v>#REF!</v>
      </c>
      <c r="Q1841" s="47" t="str">
        <f t="shared" si="588"/>
        <v>84</v>
      </c>
      <c r="R1841" s="47" t="str">
        <f t="shared" si="589"/>
        <v>0-205400</v>
      </c>
      <c r="S1841" s="339" t="s">
        <v>42</v>
      </c>
      <c r="T1841" s="59" t="s">
        <v>42</v>
      </c>
      <c r="U1841" s="326" t="e">
        <f ca="1">_xlfn.XLOOKUP(PAA_4[[#This Row],[ITEM]],[2]Contrato!A:A,[2]Contrato!Q:Q,"",0)</f>
        <v>#NAME?</v>
      </c>
      <c r="V1841" s="47" t="s">
        <v>95</v>
      </c>
      <c r="W1841" s="47" t="s">
        <v>42</v>
      </c>
      <c r="X1841" s="47" t="s">
        <v>42</v>
      </c>
      <c r="Y1841" s="55" t="e">
        <f ca="1">_xlfn.XLOOKUP(PAA_4[[#This Row],[ITEM]],[2]Contrato!A:A,[2]Contrato!B:B,"",0)</f>
        <v>#NAME?</v>
      </c>
      <c r="Z1841" s="47" t="e">
        <f ca="1">_xlfn.XLOOKUP(PAA_4[[#This Row],[ITEM]],[2]Contrato!A:A,[2]Contrato!G:G,"",0)</f>
        <v>#NAME?</v>
      </c>
      <c r="AA1841" s="47" t="e">
        <f ca="1">_xlfn.XLOOKUP(PAA_4[[#This Row],[ITEM]],[2]Contrato!A:A,[2]Contrato!T:T,"",0)</f>
        <v>#NAME?</v>
      </c>
      <c r="AB1841" s="55" t="e">
        <f ca="1">+MAX(PAA_4[[#This Row],[Comprometido Contrato]],PAA_4[[#This Row],[Comprometido Bolsa]])</f>
        <v>#NAME?</v>
      </c>
      <c r="AC1841" s="55" t="str">
        <f t="shared" ca="1" si="590"/>
        <v/>
      </c>
      <c r="AD1841" s="55" t="e">
        <f ca="1">IF(PAA_4[[#This Row],[ESTADO (formulado)]]="NO CONTRATADO",0,MAX(PAA_4[[#This Row],[Pago por Contrato]],PAA_4[[#This Row],[Pago por bolsa]]))</f>
        <v>#NAME?</v>
      </c>
      <c r="AE1841" s="55" t="str">
        <f t="shared" ca="1" si="591"/>
        <v/>
      </c>
      <c r="AF1841" s="47" t="e">
        <f t="shared" ca="1" si="592"/>
        <v>#NAME?</v>
      </c>
      <c r="AG1841" s="47">
        <f t="shared" si="593"/>
        <v>52010802</v>
      </c>
      <c r="AH1841" s="54">
        <f>IF(Q1841="22",IF(ISNUMBER(SEARCH("econ",PAA_4[[#This Row],[Actividad3]])),"Económico",IF(ISNUMBER(SEARCH("alim",PAA_4[[#This Row],[Actividad3]])),"Alimentación",IF(ISNUMBER(SEARCH("educ",PAA_4[[#This Row],[Actividad3]])),"Educativo","Técnico"))),0)</f>
        <v>0</v>
      </c>
      <c r="AI1841" s="47" t="e" cm="1">
        <f t="array" aca="1" ref="AI1841" ca="1">_xlfn.XLOOKUP(PAA_4[[#This Row],[RCP-RUBRO]],[2]!COMPROMISOS_2024[[#All],[concatenado]],[2]!COMPROMISOS_2024[[#All],[Total pagado]],"",0)</f>
        <v>#NAME?</v>
      </c>
      <c r="AJ1841" s="56">
        <f>IF(PAA_4[[#This Row],[BOLSA]]=0,0,SUMIFS([2]!COMPROMISOS_2024[[#All],[Total pagado]],[2]!COMPROMISOS_2024[[#All],[Bolsa]],PAA_4[[#This Row],[BOLSA]],[2]!COMPROMISOS_2024[[#All],[rubro]],PAA_4[[#This Row],[RCP-RUBRO]]))</f>
        <v>0</v>
      </c>
      <c r="AK1841" s="47" t="e" cm="1">
        <f t="array" aca="1" ref="AK1841" ca="1">_xlfn.XLOOKUP(PAA_4[[#This Row],[RCP-RUBRO]],[2]!COMPROMISOS_2024[[#All],[concatenado]],[2]!COMPROMISOS_2024[[#All],[Total Comprometido]],"",0)</f>
        <v>#NAME?</v>
      </c>
      <c r="AL1841" s="47">
        <f>IF(PAA_4[[#This Row],[BOLSA]]=0,0,SUMIFS([2]!COMPROMISOS_2024[[#All],[Total Comprometido]],[2]!COMPROMISOS_2024[[#All],[Bolsa]],PAA_4[[#This Row],[BOLSA]],[2]!COMPROMISOS_2024[[#All],[concatenado]],PAA_4[[#This Row],[RCP-RUBRO]]))</f>
        <v>0</v>
      </c>
    </row>
    <row r="1842" spans="1:38" s="19" customFormat="1" ht="31.5" customHeight="1">
      <c r="A1842" s="47" t="s">
        <v>82</v>
      </c>
      <c r="B1842" s="47" t="s">
        <v>42</v>
      </c>
      <c r="C1842" s="47" t="str">
        <f>VLOOKUP(PAA_4[[#This Row],[PROYECTO (formulado)2]],[2]PROYECTOS!$G$1:$L$32,6,0)</f>
        <v>SUBGERENCIA DE ALTOS LOGROS Y DEPORTE ASOCIADO</v>
      </c>
      <c r="D1842" s="47" t="str">
        <f>+IF(PAA_4[[#This Row],[UNIDAD DE CONTRATACION (formulado)]]="Subgerencia Administrativa y Financiera","FUNCIONAMIENTO","INVERSIÓN")</f>
        <v>INVERSIÓN</v>
      </c>
      <c r="E1842" s="48" t="str">
        <f>VLOOKUP(Q1842,[2]PROYECTOS!$G$1:$K$32,5,0)</f>
        <v>Apoyo económico a las organizaciones deportivas que representan en competencias al departamento de Antioquia</v>
      </c>
      <c r="F1842" s="48">
        <f>VLOOKUP(E1842,[2]PROYECTOS!$K$1:$M$32,3,0)</f>
        <v>2024003050102</v>
      </c>
      <c r="G1842" s="371" t="s">
        <v>1521</v>
      </c>
      <c r="H1842" s="49" t="str">
        <f>VLOOKUP(Q1842,[2]PROYECTOS!$V$1:$W$32,2,0)</f>
        <v>050076</v>
      </c>
      <c r="I1842" s="78">
        <v>15000000</v>
      </c>
      <c r="J1842" s="51" t="s">
        <v>2083</v>
      </c>
      <c r="K1842" s="47" t="str">
        <f ca="1">IF(ISNONTEXT(Y1842)=TRUE,"CONTRATADO","NO CONTRATADO")</f>
        <v>CONTRATADO</v>
      </c>
      <c r="L1842" s="47" t="s">
        <v>42</v>
      </c>
      <c r="M1842" s="51" t="s">
        <v>42</v>
      </c>
      <c r="N1842" s="344" t="s">
        <v>1520</v>
      </c>
      <c r="O1842" s="51" t="e">
        <f>VLOOKUP(N1842,[2]!RUBROS[#All],3,0)</f>
        <v>#REF!</v>
      </c>
      <c r="P1842" s="53" t="e">
        <f>VLOOKUP(N1842,[2]!RUBROS[#All],2,0)</f>
        <v>#REF!</v>
      </c>
      <c r="Q1842" s="47" t="str">
        <f>+MID(N1842,11,2)</f>
        <v>02</v>
      </c>
      <c r="R1842" s="47" t="str">
        <f>+MID(N1842,14,8)</f>
        <v>4-101124</v>
      </c>
      <c r="S1842" s="339" t="s">
        <v>42</v>
      </c>
      <c r="T1842" s="59" t="s">
        <v>42</v>
      </c>
      <c r="U1842" s="326" t="e">
        <f ca="1">_xlfn.XLOOKUP(PAA_4[[#This Row],[ITEM]],[2]Contrato!A:A,[2]Contrato!Q:Q,"",0)</f>
        <v>#NAME?</v>
      </c>
      <c r="V1842" s="47" t="s">
        <v>95</v>
      </c>
      <c r="W1842" s="47" t="s">
        <v>42</v>
      </c>
      <c r="X1842" s="47" t="s">
        <v>42</v>
      </c>
      <c r="Y1842" s="55" t="e">
        <f ca="1">_xlfn.XLOOKUP(PAA_4[[#This Row],[ITEM]],[2]Contrato!A:A,[2]Contrato!B:B,"",0)</f>
        <v>#NAME?</v>
      </c>
      <c r="Z1842" s="47" t="e">
        <f ca="1">_xlfn.XLOOKUP(PAA_4[[#This Row],[ITEM]],[2]Contrato!A:A,[2]Contrato!G:G,"",0)</f>
        <v>#NAME?</v>
      </c>
      <c r="AA1842" s="47" t="e">
        <f ca="1">_xlfn.XLOOKUP(PAA_4[[#This Row],[ITEM]],[2]Contrato!A:A,[2]Contrato!T:T,"",0)</f>
        <v>#NAME?</v>
      </c>
      <c r="AB1842" s="55" t="e">
        <f ca="1">+MAX(PAA_4[[#This Row],[Comprometido Contrato]],PAA_4[[#This Row],[Comprometido Bolsa]])</f>
        <v>#NAME?</v>
      </c>
      <c r="AC1842" s="55" t="str">
        <f ca="1">IFERROR(I1842-AB1842,"")</f>
        <v/>
      </c>
      <c r="AD1842" s="55" t="e">
        <f ca="1">IF(PAA_4[[#This Row],[ESTADO (formulado)]]="NO CONTRATADO",0,MAX(PAA_4[[#This Row],[Pago por Contrato]],PAA_4[[#This Row],[Pago por bolsa]]))</f>
        <v>#NAME?</v>
      </c>
      <c r="AE1842" s="55" t="str">
        <f ca="1">+IFERROR(AB1842-AD1842,"")</f>
        <v/>
      </c>
      <c r="AF1842" s="47" t="e">
        <f ca="1">+CONCATENATE(AA1842,N1842)</f>
        <v>#NAME?</v>
      </c>
      <c r="AG1842" s="47">
        <f>IFERROR(_xlfn.NUMBERVALUE(MID(G1842,1,8)),"")</f>
        <v>52010801</v>
      </c>
      <c r="AH1842" s="54">
        <f>IF(Q1842="22",IF(ISNUMBER(SEARCH("econ",PAA_4[[#This Row],[Actividad3]])),"Económico",IF(ISNUMBER(SEARCH("alim",PAA_4[[#This Row],[Actividad3]])),"Alimentación",IF(ISNUMBER(SEARCH("educ",PAA_4[[#This Row],[Actividad3]])),"Educativo","Técnico"))),0)</f>
        <v>0</v>
      </c>
      <c r="AI1842" s="47" t="e" cm="1">
        <f t="array" aca="1" ref="AI1842" ca="1">_xlfn.XLOOKUP(PAA_4[[#This Row],[RCP-RUBRO]],[2]!COMPROMISOS_2024[[#All],[concatenado]],[2]!COMPROMISOS_2024[[#All],[Total pagado]],"",0)</f>
        <v>#NAME?</v>
      </c>
      <c r="AJ1842" s="56">
        <f>IF(PAA_4[[#This Row],[BOLSA]]=0,0,SUMIFS([2]!COMPROMISOS_2024[[#All],[Total pagado]],[2]!COMPROMISOS_2024[[#All],[Bolsa]],PAA_4[[#This Row],[BOLSA]],[2]!COMPROMISOS_2024[[#All],[rubro]],PAA_4[[#This Row],[RCP-RUBRO]]))</f>
        <v>0</v>
      </c>
      <c r="AK1842" s="47" t="e" cm="1">
        <f t="array" aca="1" ref="AK1842" ca="1">_xlfn.XLOOKUP(PAA_4[[#This Row],[RCP-RUBRO]],[2]!COMPROMISOS_2024[[#All],[concatenado]],[2]!COMPROMISOS_2024[[#All],[Total Comprometido]],"",0)</f>
        <v>#NAME?</v>
      </c>
      <c r="AL1842" s="47">
        <f>IF(PAA_4[[#This Row],[BOLSA]]=0,0,SUMIFS([2]!COMPROMISOS_2024[[#All],[Total Comprometido]],[2]!COMPROMISOS_2024[[#All],[Bolsa]],PAA_4[[#This Row],[BOLSA]],[2]!COMPROMISOS_2024[[#All],[concatenado]],PAA_4[[#This Row],[RCP-RUBRO]]))</f>
        <v>0</v>
      </c>
    </row>
    <row r="1843" spans="1:38" s="19" customFormat="1" ht="31.5" customHeight="1">
      <c r="A1843" s="47" t="s">
        <v>82</v>
      </c>
      <c r="B1843" s="47" t="s">
        <v>42</v>
      </c>
      <c r="C1843" s="47" t="str">
        <f>VLOOKUP(PAA_4[[#This Row],[PROYECTO (formulado)2]],[2]PROYECTOS!$G$1:$L$32,6,0)</f>
        <v>SUBGERENCIA DE ALTOS LOGROS Y DEPORTE ASOCIADO</v>
      </c>
      <c r="D1843" s="47" t="str">
        <f>+IF(PAA_4[[#This Row],[UNIDAD DE CONTRATACION (formulado)]]="Subgerencia Administrativa y Financiera","FUNCIONAMIENTO","INVERSIÓN")</f>
        <v>INVERSIÓN</v>
      </c>
      <c r="E1843" s="48" t="str">
        <f>VLOOKUP(Q1843,[2]PROYECTOS!$G$1:$K$32,5,0)</f>
        <v>Apoyo y subvención para satisfacer necesidades propias del proceso de preparación y competencia de los Atletas y Para-atletas de alto rendimiento del departamento de Antioquia</v>
      </c>
      <c r="F1843" s="48">
        <f>VLOOKUP(E1843,[2]PROYECTOS!$K$1:$M$32,3,0)</f>
        <v>2024003050085</v>
      </c>
      <c r="G1843" s="371" t="s">
        <v>2084</v>
      </c>
      <c r="H1843" s="49" t="str">
        <f>VLOOKUP(Q1843,[2]PROYECTOS!$V$1:$W$32,2,0)</f>
        <v>050077</v>
      </c>
      <c r="I1843" s="78">
        <v>15504372</v>
      </c>
      <c r="J1843" s="51" t="s">
        <v>2083</v>
      </c>
      <c r="K1843" s="47" t="str">
        <f ca="1">IF(ISNONTEXT(Y1843)=TRUE,"CONTRATADO","NO CONTRATADO")</f>
        <v>CONTRATADO</v>
      </c>
      <c r="L1843" s="47" t="s">
        <v>42</v>
      </c>
      <c r="M1843" s="51" t="s">
        <v>42</v>
      </c>
      <c r="N1843" s="344" t="s">
        <v>2085</v>
      </c>
      <c r="O1843" s="51" t="e">
        <f>VLOOKUP(N1843,[2]!RUBROS[#All],3,0)</f>
        <v>#REF!</v>
      </c>
      <c r="P1843" s="53" t="e">
        <f>VLOOKUP(N1843,[2]!RUBROS[#All],2,0)</f>
        <v>#REF!</v>
      </c>
      <c r="Q1843" s="47" t="str">
        <f>+MID(N1843,11,2)</f>
        <v>85</v>
      </c>
      <c r="R1843" s="47" t="str">
        <f>+MID(N1843,14,8)</f>
        <v>4-101124</v>
      </c>
      <c r="S1843" s="339" t="s">
        <v>42</v>
      </c>
      <c r="T1843" s="59" t="s">
        <v>42</v>
      </c>
      <c r="U1843" s="326" t="e">
        <f ca="1">_xlfn.XLOOKUP(PAA_4[[#This Row],[ITEM]],[2]Contrato!A:A,[2]Contrato!Q:Q,"",0)</f>
        <v>#NAME?</v>
      </c>
      <c r="V1843" s="47" t="s">
        <v>95</v>
      </c>
      <c r="W1843" s="47" t="s">
        <v>42</v>
      </c>
      <c r="X1843" s="47" t="s">
        <v>42</v>
      </c>
      <c r="Y1843" s="55" t="e">
        <f ca="1">_xlfn.XLOOKUP(PAA_4[[#This Row],[ITEM]],[2]Contrato!A:A,[2]Contrato!B:B,"",0)</f>
        <v>#NAME?</v>
      </c>
      <c r="Z1843" s="47" t="e">
        <f ca="1">_xlfn.XLOOKUP(PAA_4[[#This Row],[ITEM]],[2]Contrato!A:A,[2]Contrato!G:G,"",0)</f>
        <v>#NAME?</v>
      </c>
      <c r="AA1843" s="47" t="e">
        <f ca="1">_xlfn.XLOOKUP(PAA_4[[#This Row],[ITEM]],[2]Contrato!A:A,[2]Contrato!T:T,"",0)</f>
        <v>#NAME?</v>
      </c>
      <c r="AB1843" s="55" t="e">
        <f ca="1">+MAX(PAA_4[[#This Row],[Comprometido Contrato]],PAA_4[[#This Row],[Comprometido Bolsa]])</f>
        <v>#NAME?</v>
      </c>
      <c r="AC1843" s="55" t="str">
        <f ca="1">IFERROR(I1843-AB1843,"")</f>
        <v/>
      </c>
      <c r="AD1843" s="55" t="e">
        <f ca="1">IF(PAA_4[[#This Row],[ESTADO (formulado)]]="NO CONTRATADO",0,MAX(PAA_4[[#This Row],[Pago por Contrato]],PAA_4[[#This Row],[Pago por bolsa]]))</f>
        <v>#NAME?</v>
      </c>
      <c r="AE1843" s="55" t="str">
        <f ca="1">+IFERROR(AB1843-AD1843,"")</f>
        <v/>
      </c>
      <c r="AF1843" s="47" t="e">
        <f ca="1">+CONCATENATE(AA1843,N1843)</f>
        <v>#NAME?</v>
      </c>
      <c r="AG1843" s="47">
        <f>IFERROR(_xlfn.NUMBERVALUE(MID(G1843,1,8)),"")</f>
        <v>52010803</v>
      </c>
      <c r="AH1843" s="54">
        <f>IF(Q1843="22",IF(ISNUMBER(SEARCH("econ",PAA_4[[#This Row],[Actividad3]])),"Económico",IF(ISNUMBER(SEARCH("alim",PAA_4[[#This Row],[Actividad3]])),"Alimentación",IF(ISNUMBER(SEARCH("educ",PAA_4[[#This Row],[Actividad3]])),"Educativo","Técnico"))),0)</f>
        <v>0</v>
      </c>
      <c r="AI1843" s="47" t="e" cm="1">
        <f t="array" aca="1" ref="AI1843" ca="1">_xlfn.XLOOKUP(PAA_4[[#This Row],[RCP-RUBRO]],[2]!COMPROMISOS_2024[[#All],[concatenado]],[2]!COMPROMISOS_2024[[#All],[Total pagado]],"",0)</f>
        <v>#NAME?</v>
      </c>
      <c r="AJ1843" s="56">
        <f>IF(PAA_4[[#This Row],[BOLSA]]=0,0,SUMIFS([2]!COMPROMISOS_2024[[#All],[Total pagado]],[2]!COMPROMISOS_2024[[#All],[Bolsa]],PAA_4[[#This Row],[BOLSA]],[2]!COMPROMISOS_2024[[#All],[rubro]],PAA_4[[#This Row],[RCP-RUBRO]]))</f>
        <v>0</v>
      </c>
      <c r="AK1843" s="47" t="e" cm="1">
        <f t="array" aca="1" ref="AK1843" ca="1">_xlfn.XLOOKUP(PAA_4[[#This Row],[RCP-RUBRO]],[2]!COMPROMISOS_2024[[#All],[concatenado]],[2]!COMPROMISOS_2024[[#All],[Total Comprometido]],"",0)</f>
        <v>#NAME?</v>
      </c>
      <c r="AL1843" s="47">
        <f>IF(PAA_4[[#This Row],[BOLSA]]=0,0,SUMIFS([2]!COMPROMISOS_2024[[#All],[Total Comprometido]],[2]!COMPROMISOS_2024[[#All],[Bolsa]],PAA_4[[#This Row],[BOLSA]],[2]!COMPROMISOS_2024[[#All],[concatenado]],PAA_4[[#This Row],[RCP-RUBRO]]))</f>
        <v>0</v>
      </c>
    </row>
    <row r="1844" spans="1:38" s="19" customFormat="1" ht="31.5" customHeight="1">
      <c r="A1844" s="47">
        <v>1153</v>
      </c>
      <c r="B1844" s="47">
        <v>80111600</v>
      </c>
      <c r="C1844" s="47" t="str">
        <f>VLOOKUP(PAA_4[[#This Row],[PROYECTO (formulado)2]],[2]PROYECTOS!$G$1:$L$32,6,0)</f>
        <v>SUBGERENCIA DE ALTOS LOGROS Y DEPORTE ASOCIADO</v>
      </c>
      <c r="D1844" s="47" t="str">
        <f>+IF(PAA_4[[#This Row],[UNIDAD DE CONTRATACION (formulado)]]="Subgerencia Administrativa y Financiera","FUNCIONAMIENTO","INVERSIÓN")</f>
        <v>INVERSIÓN</v>
      </c>
      <c r="E1844" s="48" t="str">
        <f>VLOOKUP(Q1844,[2]PROYECTOS!$G$1:$K$32,5,0)</f>
        <v>Apoyo técnico a atletas y para-atletas que representan en alto rendimiento deportivo al departamento de Antioquia</v>
      </c>
      <c r="F1844" s="48">
        <f>VLOOKUP(E1844,[2]PROYECTOS!$K$1:$M$32,3,0)</f>
        <v>2024003050084</v>
      </c>
      <c r="G1844" s="67" t="s">
        <v>1518</v>
      </c>
      <c r="H1844" s="49" t="str">
        <f>VLOOKUP(Q1844,[2]PROYECTOS!$V$1:$W$32,2,0)</f>
        <v>050079</v>
      </c>
      <c r="I1844" s="78">
        <f>16804922-4205320-163631-163631</f>
        <v>12272340</v>
      </c>
      <c r="J1844" s="51" t="s">
        <v>2086</v>
      </c>
      <c r="K1844" s="47" t="str">
        <f t="shared" ref="K1844:K1853" ca="1" si="595">IF(ISNONTEXT(Y1844)=TRUE,"CONTRATADO","NO CONTRATADO")</f>
        <v>CONTRATADO</v>
      </c>
      <c r="L1844" s="47" t="s">
        <v>898</v>
      </c>
      <c r="M1844" s="47" t="s">
        <v>1297</v>
      </c>
      <c r="N1844" s="52" t="s">
        <v>1519</v>
      </c>
      <c r="O1844" s="51" t="e">
        <f>VLOOKUP(N1844,[2]!RUBROS[#All],3,0)</f>
        <v>#REF!</v>
      </c>
      <c r="P1844" s="53" t="e">
        <f>VLOOKUP(N1844,[2]!RUBROS[#All],2,0)</f>
        <v>#REF!</v>
      </c>
      <c r="Q1844" s="47" t="str">
        <f t="shared" ref="Q1844:Q1853" si="596">+MID(N1844,11,2)</f>
        <v>84</v>
      </c>
      <c r="R1844" s="47" t="str">
        <f t="shared" ref="R1844:R1853" si="597">+MID(N1844,14,8)</f>
        <v>0-205400</v>
      </c>
      <c r="S1844" s="54">
        <v>85</v>
      </c>
      <c r="T1844" s="59" t="s">
        <v>120</v>
      </c>
      <c r="U1844" s="326" t="e">
        <f ca="1">_xlfn.XLOOKUP(PAA_4[[#This Row],[ITEM]],[2]Contrato!A:A,[2]Contrato!Q:Q,"",0)</f>
        <v>#NAME?</v>
      </c>
      <c r="V1844" s="47" t="s">
        <v>95</v>
      </c>
      <c r="W1844" s="47" t="s">
        <v>194</v>
      </c>
      <c r="X1844" s="47" t="s">
        <v>203</v>
      </c>
      <c r="Y1844" s="55" t="e">
        <f ca="1">_xlfn.XLOOKUP(PAA_4[[#This Row],[ITEM]],[2]Contrato!A:A,[2]Contrato!B:B,"",0)</f>
        <v>#NAME?</v>
      </c>
      <c r="Z1844" s="47" t="e">
        <f ca="1">_xlfn.XLOOKUP(PAA_4[[#This Row],[ITEM]],[2]Contrato!A:A,[2]Contrato!G:G,"",0)</f>
        <v>#NAME?</v>
      </c>
      <c r="AA1844" s="47" t="e">
        <f ca="1">_xlfn.XLOOKUP(PAA_4[[#This Row],[ITEM]],[2]Contrato!A:A,[2]Contrato!T:T,"",0)</f>
        <v>#NAME?</v>
      </c>
      <c r="AB1844" s="55" t="e">
        <f ca="1">+MAX(PAA_4[[#This Row],[Comprometido Contrato]],PAA_4[[#This Row],[Comprometido Bolsa]])</f>
        <v>#NAME?</v>
      </c>
      <c r="AC1844" s="55" t="str">
        <f t="shared" ref="AC1844:AC1853" ca="1" si="598">IFERROR(I1844-AB1844,"")</f>
        <v/>
      </c>
      <c r="AD1844" s="55" t="e">
        <f ca="1">IF(PAA_4[[#This Row],[ESTADO (formulado)]]="NO CONTRATADO",0,MAX(PAA_4[[#This Row],[Pago por Contrato]],PAA_4[[#This Row],[Pago por bolsa]]))</f>
        <v>#NAME?</v>
      </c>
      <c r="AE1844" s="55" t="str">
        <f t="shared" ref="AE1844:AE1853" ca="1" si="599">+IFERROR(AB1844-AD1844,"")</f>
        <v/>
      </c>
      <c r="AF1844" s="47" t="e">
        <f t="shared" ref="AF1844:AF1853" ca="1" si="600">+CONCATENATE(AA1844,N1844)</f>
        <v>#NAME?</v>
      </c>
      <c r="AG1844" s="47">
        <f t="shared" ref="AG1844:AG1853" si="601">IFERROR(_xlfn.NUMBERVALUE(MID(G1844,1,8)),"")</f>
        <v>52010802</v>
      </c>
      <c r="AH1844" s="54">
        <f>IF(Q1844="22",IF(ISNUMBER(SEARCH("econ",PAA_4[[#This Row],[Actividad3]])),"Económico",IF(ISNUMBER(SEARCH("alim",PAA_4[[#This Row],[Actividad3]])),"Alimentación",IF(ISNUMBER(SEARCH("educ",PAA_4[[#This Row],[Actividad3]])),"Educativo","Técnico"))),0)</f>
        <v>0</v>
      </c>
      <c r="AI1844" s="47" t="e" cm="1">
        <f t="array" aca="1" ref="AI1844" ca="1">_xlfn.XLOOKUP(PAA_4[[#This Row],[RCP-RUBRO]],[2]!COMPROMISOS_2024[[#All],[concatenado]],[2]!COMPROMISOS_2024[[#All],[Total pagado]],"",0)</f>
        <v>#NAME?</v>
      </c>
      <c r="AJ1844" s="56">
        <f>IF(PAA_4[[#This Row],[BOLSA]]=0,0,SUMIFS([2]!COMPROMISOS_2024[[#All],[Total pagado]],[2]!COMPROMISOS_2024[[#All],[Bolsa]],PAA_4[[#This Row],[BOLSA]],[2]!COMPROMISOS_2024[[#All],[rubro]],PAA_4[[#This Row],[RCP-RUBRO]]))</f>
        <v>0</v>
      </c>
      <c r="AK1844" s="47" t="e" cm="1">
        <f t="array" aca="1" ref="AK1844" ca="1">_xlfn.XLOOKUP(PAA_4[[#This Row],[RCP-RUBRO]],[2]!COMPROMISOS_2024[[#All],[concatenado]],[2]!COMPROMISOS_2024[[#All],[Total Comprometido]],"",0)</f>
        <v>#NAME?</v>
      </c>
      <c r="AL1844" s="47">
        <f>IF(PAA_4[[#This Row],[BOLSA]]=0,0,SUMIFS([2]!COMPROMISOS_2024[[#All],[Total Comprometido]],[2]!COMPROMISOS_2024[[#All],[Bolsa]],PAA_4[[#This Row],[BOLSA]],[2]!COMPROMISOS_2024[[#All],[concatenado]],PAA_4[[#This Row],[RCP-RUBRO]]))</f>
        <v>0</v>
      </c>
    </row>
    <row r="1845" spans="1:38" s="19" customFormat="1" ht="31.5" customHeight="1">
      <c r="A1845" s="47" t="s">
        <v>82</v>
      </c>
      <c r="B1845" s="47" t="s">
        <v>42</v>
      </c>
      <c r="C1845" s="47" t="str">
        <f>VLOOKUP(PAA_4[[#This Row],[PROYECTO (formulado)2]],[2]PROYECTOS!$G$1:$L$32,6,0)</f>
        <v>SUBGERENCIA DE ALTOS LOGROS Y DEPORTE ASOCIADO</v>
      </c>
      <c r="D1845" s="47" t="str">
        <f>+IF(PAA_4[[#This Row],[UNIDAD DE CONTRATACION (formulado)]]="Subgerencia Administrativa y Financiera","FUNCIONAMIENTO","INVERSIÓN")</f>
        <v>INVERSIÓN</v>
      </c>
      <c r="E1845" s="48" t="str">
        <f>VLOOKUP(Q1845,[2]PROYECTOS!$G$1:$K$32,5,0)</f>
        <v>Apoyo técnico a atletas y para-atletas que representan en alto rendimiento deportivo al departamento de Antioquia</v>
      </c>
      <c r="F1845" s="48">
        <f>VLOOKUP(E1845,[2]PROYECTOS!$K$1:$M$32,3,0)</f>
        <v>2024003050084</v>
      </c>
      <c r="G1845" s="67" t="s">
        <v>1518</v>
      </c>
      <c r="H1845" s="49" t="str">
        <f>VLOOKUP(Q1845,[2]PROYECTOS!$V$1:$W$32,2,0)</f>
        <v>050079</v>
      </c>
      <c r="I1845" s="78">
        <v>0</v>
      </c>
      <c r="J1845" s="51" t="s">
        <v>1778</v>
      </c>
      <c r="K1845" s="47" t="str">
        <f t="shared" ca="1" si="595"/>
        <v>CONTRATADO</v>
      </c>
      <c r="L1845" s="47" t="s">
        <v>42</v>
      </c>
      <c r="M1845" s="51" t="s">
        <v>42</v>
      </c>
      <c r="N1845" s="52" t="s">
        <v>1519</v>
      </c>
      <c r="O1845" s="51" t="e">
        <f>VLOOKUP(N1845,[2]!RUBROS[#All],3,0)</f>
        <v>#REF!</v>
      </c>
      <c r="P1845" s="53" t="e">
        <f>VLOOKUP(N1845,[2]!RUBROS[#All],2,0)</f>
        <v>#REF!</v>
      </c>
      <c r="Q1845" s="47" t="str">
        <f t="shared" si="596"/>
        <v>84</v>
      </c>
      <c r="R1845" s="47" t="str">
        <f t="shared" si="597"/>
        <v>0-205400</v>
      </c>
      <c r="S1845" s="339" t="s">
        <v>42</v>
      </c>
      <c r="T1845" s="59" t="s">
        <v>42</v>
      </c>
      <c r="U1845" s="326" t="e">
        <f ca="1">_xlfn.XLOOKUP(PAA_4[[#This Row],[ITEM]],[2]Contrato!A:A,[2]Contrato!Q:Q,"",0)</f>
        <v>#NAME?</v>
      </c>
      <c r="V1845" s="47" t="s">
        <v>95</v>
      </c>
      <c r="W1845" s="47" t="s">
        <v>42</v>
      </c>
      <c r="X1845" s="47" t="s">
        <v>42</v>
      </c>
      <c r="Y1845" s="55" t="e">
        <f ca="1">_xlfn.XLOOKUP(PAA_4[[#This Row],[ITEM]],[2]Contrato!A:A,[2]Contrato!B:B,"",0)</f>
        <v>#NAME?</v>
      </c>
      <c r="Z1845" s="47" t="e">
        <f ca="1">_xlfn.XLOOKUP(PAA_4[[#This Row],[ITEM]],[2]Contrato!A:A,[2]Contrato!G:G,"",0)</f>
        <v>#NAME?</v>
      </c>
      <c r="AA1845" s="47" t="e">
        <f ca="1">_xlfn.XLOOKUP(PAA_4[[#This Row],[ITEM]],[2]Contrato!A:A,[2]Contrato!T:T,"",0)</f>
        <v>#NAME?</v>
      </c>
      <c r="AB1845" s="55" t="e">
        <f ca="1">+MAX(PAA_4[[#This Row],[Comprometido Contrato]],PAA_4[[#This Row],[Comprometido Bolsa]])</f>
        <v>#NAME?</v>
      </c>
      <c r="AC1845" s="55" t="str">
        <f t="shared" ca="1" si="598"/>
        <v/>
      </c>
      <c r="AD1845" s="55" t="e">
        <f ca="1">IF(PAA_4[[#This Row],[ESTADO (formulado)]]="NO CONTRATADO",0,MAX(PAA_4[[#This Row],[Pago por Contrato]],PAA_4[[#This Row],[Pago por bolsa]]))</f>
        <v>#NAME?</v>
      </c>
      <c r="AE1845" s="55" t="str">
        <f t="shared" ca="1" si="599"/>
        <v/>
      </c>
      <c r="AF1845" s="47" t="e">
        <f t="shared" ca="1" si="600"/>
        <v>#NAME?</v>
      </c>
      <c r="AG1845" s="47">
        <f t="shared" si="601"/>
        <v>52010802</v>
      </c>
      <c r="AH1845" s="54">
        <f>IF(Q1845="22",IF(ISNUMBER(SEARCH("econ",PAA_4[[#This Row],[Actividad3]])),"Económico",IF(ISNUMBER(SEARCH("alim",PAA_4[[#This Row],[Actividad3]])),"Alimentación",IF(ISNUMBER(SEARCH("educ",PAA_4[[#This Row],[Actividad3]])),"Educativo","Técnico"))),0)</f>
        <v>0</v>
      </c>
      <c r="AI1845" s="47" t="e" cm="1">
        <f t="array" aca="1" ref="AI1845" ca="1">_xlfn.XLOOKUP(PAA_4[[#This Row],[RCP-RUBRO]],[2]!COMPROMISOS_2024[[#All],[concatenado]],[2]!COMPROMISOS_2024[[#All],[Total pagado]],"",0)</f>
        <v>#NAME?</v>
      </c>
      <c r="AJ1845" s="56">
        <f>IF(PAA_4[[#This Row],[BOLSA]]=0,0,SUMIFS([2]!COMPROMISOS_2024[[#All],[Total pagado]],[2]!COMPROMISOS_2024[[#All],[Bolsa]],PAA_4[[#This Row],[BOLSA]],[2]!COMPROMISOS_2024[[#All],[rubro]],PAA_4[[#This Row],[RCP-RUBRO]]))</f>
        <v>0</v>
      </c>
      <c r="AK1845" s="47" t="e" cm="1">
        <f t="array" aca="1" ref="AK1845" ca="1">_xlfn.XLOOKUP(PAA_4[[#This Row],[RCP-RUBRO]],[2]!COMPROMISOS_2024[[#All],[concatenado]],[2]!COMPROMISOS_2024[[#All],[Total Comprometido]],"",0)</f>
        <v>#NAME?</v>
      </c>
      <c r="AL1845" s="47">
        <f>IF(PAA_4[[#This Row],[BOLSA]]=0,0,SUMIFS([2]!COMPROMISOS_2024[[#All],[Total Comprometido]],[2]!COMPROMISOS_2024[[#All],[Bolsa]],PAA_4[[#This Row],[BOLSA]],[2]!COMPROMISOS_2024[[#All],[concatenado]],PAA_4[[#This Row],[RCP-RUBRO]]))</f>
        <v>0</v>
      </c>
    </row>
    <row r="1846" spans="1:38" s="19" customFormat="1" ht="31.5" customHeight="1">
      <c r="A1846" s="47" t="s">
        <v>82</v>
      </c>
      <c r="B1846" s="47" t="s">
        <v>42</v>
      </c>
      <c r="C1846" s="47" t="str">
        <f>VLOOKUP(PAA_4[[#This Row],[PROYECTO (formulado)2]],[2]PROYECTOS!$G$1:$L$32,6,0)</f>
        <v>SUBGERENCIA DE ALTOS LOGROS Y DEPORTE ASOCIADO</v>
      </c>
      <c r="D1846" s="47" t="str">
        <f>+IF(PAA_4[[#This Row],[UNIDAD DE CONTRATACION (formulado)]]="Subgerencia Administrativa y Financiera","FUNCIONAMIENTO","INVERSIÓN")</f>
        <v>INVERSIÓN</v>
      </c>
      <c r="E1846" s="48" t="str">
        <f>VLOOKUP(Q1846,[2]PROYECTOS!$G$1:$K$32,5,0)</f>
        <v>Apoyo técnico a atletas y para-atletas que representan en alto rendimiento deportivo al departamento de Antioquia</v>
      </c>
      <c r="F1846" s="48">
        <f>VLOOKUP(E1846,[2]PROYECTOS!$K$1:$M$32,3,0)</f>
        <v>2024003050084</v>
      </c>
      <c r="G1846" s="67" t="s">
        <v>1518</v>
      </c>
      <c r="H1846" s="49" t="str">
        <f>VLOOKUP(Q1846,[2]PROYECTOS!$V$1:$W$32,2,0)</f>
        <v>050079</v>
      </c>
      <c r="I1846" s="78">
        <v>85828</v>
      </c>
      <c r="J1846" s="51" t="s">
        <v>1952</v>
      </c>
      <c r="K1846" s="47" t="str">
        <f t="shared" ca="1" si="595"/>
        <v>CONTRATADO</v>
      </c>
      <c r="L1846" s="47" t="s">
        <v>42</v>
      </c>
      <c r="M1846" s="51" t="s">
        <v>42</v>
      </c>
      <c r="N1846" s="52" t="s">
        <v>1519</v>
      </c>
      <c r="O1846" s="51" t="e">
        <f>VLOOKUP(N1846,[2]!RUBROS[#All],3,0)</f>
        <v>#REF!</v>
      </c>
      <c r="P1846" s="53" t="e">
        <f>VLOOKUP(N1846,[2]!RUBROS[#All],2,0)</f>
        <v>#REF!</v>
      </c>
      <c r="Q1846" s="47" t="str">
        <f t="shared" si="596"/>
        <v>84</v>
      </c>
      <c r="R1846" s="47" t="str">
        <f t="shared" si="597"/>
        <v>0-205400</v>
      </c>
      <c r="S1846" s="339" t="s">
        <v>42</v>
      </c>
      <c r="T1846" s="59" t="s">
        <v>42</v>
      </c>
      <c r="U1846" s="326" t="e">
        <f ca="1">_xlfn.XLOOKUP(PAA_4[[#This Row],[ITEM]],[2]Contrato!A:A,[2]Contrato!Q:Q,"",0)</f>
        <v>#NAME?</v>
      </c>
      <c r="V1846" s="47" t="s">
        <v>42</v>
      </c>
      <c r="W1846" s="47" t="s">
        <v>42</v>
      </c>
      <c r="X1846" s="47" t="s">
        <v>42</v>
      </c>
      <c r="Y1846" s="55" t="e">
        <f ca="1">_xlfn.XLOOKUP(PAA_4[[#This Row],[ITEM]],[2]Contrato!A:A,[2]Contrato!B:B,"",0)</f>
        <v>#NAME?</v>
      </c>
      <c r="Z1846" s="47" t="e">
        <f ca="1">_xlfn.XLOOKUP(PAA_4[[#This Row],[ITEM]],[2]Contrato!A:A,[2]Contrato!G:G,"",0)</f>
        <v>#NAME?</v>
      </c>
      <c r="AA1846" s="47" t="e">
        <f ca="1">_xlfn.XLOOKUP(PAA_4[[#This Row],[ITEM]],[2]Contrato!A:A,[2]Contrato!T:T,"",0)</f>
        <v>#NAME?</v>
      </c>
      <c r="AB1846" s="55" t="e">
        <f ca="1">+MAX(PAA_4[[#This Row],[Comprometido Contrato]],PAA_4[[#This Row],[Comprometido Bolsa]])</f>
        <v>#NAME?</v>
      </c>
      <c r="AC1846" s="55" t="str">
        <f t="shared" ca="1" si="598"/>
        <v/>
      </c>
      <c r="AD1846" s="55" t="e">
        <f ca="1">IF(PAA_4[[#This Row],[ESTADO (formulado)]]="NO CONTRATADO",0,MAX(PAA_4[[#This Row],[Pago por Contrato]],PAA_4[[#This Row],[Pago por bolsa]]))</f>
        <v>#NAME?</v>
      </c>
      <c r="AE1846" s="55" t="str">
        <f t="shared" ca="1" si="599"/>
        <v/>
      </c>
      <c r="AF1846" s="47" t="e">
        <f t="shared" ca="1" si="600"/>
        <v>#NAME?</v>
      </c>
      <c r="AG1846" s="47">
        <f t="shared" si="601"/>
        <v>52010802</v>
      </c>
      <c r="AH1846" s="54">
        <f>IF(Q1846="22",IF(ISNUMBER(SEARCH("econ",PAA_4[[#This Row],[Actividad3]])),"Económico",IF(ISNUMBER(SEARCH("alim",PAA_4[[#This Row],[Actividad3]])),"Alimentación",IF(ISNUMBER(SEARCH("educ",PAA_4[[#This Row],[Actividad3]])),"Educativo","Técnico"))),0)</f>
        <v>0</v>
      </c>
      <c r="AI1846" s="47" t="e" cm="1">
        <f t="array" aca="1" ref="AI1846" ca="1">_xlfn.XLOOKUP(PAA_4[[#This Row],[RCP-RUBRO]],[2]!COMPROMISOS_2024[[#All],[concatenado]],[2]!COMPROMISOS_2024[[#All],[Total pagado]],"",0)</f>
        <v>#NAME?</v>
      </c>
      <c r="AJ1846" s="56">
        <f>IF(PAA_4[[#This Row],[BOLSA]]=0,0,SUMIFS([2]!COMPROMISOS_2024[[#All],[Total pagado]],[2]!COMPROMISOS_2024[[#All],[Bolsa]],PAA_4[[#This Row],[BOLSA]],[2]!COMPROMISOS_2024[[#All],[rubro]],PAA_4[[#This Row],[RCP-RUBRO]]))</f>
        <v>0</v>
      </c>
      <c r="AK1846" s="47" t="e" cm="1">
        <f t="array" aca="1" ref="AK1846" ca="1">_xlfn.XLOOKUP(PAA_4[[#This Row],[RCP-RUBRO]],[2]!COMPROMISOS_2024[[#All],[concatenado]],[2]!COMPROMISOS_2024[[#All],[Total Comprometido]],"",0)</f>
        <v>#NAME?</v>
      </c>
      <c r="AL1846" s="47">
        <f>IF(PAA_4[[#This Row],[BOLSA]]=0,0,SUMIFS([2]!COMPROMISOS_2024[[#All],[Total Comprometido]],[2]!COMPROMISOS_2024[[#All],[Bolsa]],PAA_4[[#This Row],[BOLSA]],[2]!COMPROMISOS_2024[[#All],[concatenado]],PAA_4[[#This Row],[RCP-RUBRO]]))</f>
        <v>0</v>
      </c>
    </row>
    <row r="1847" spans="1:38" s="19" customFormat="1" ht="31.5" customHeight="1">
      <c r="A1847" s="47">
        <v>1154</v>
      </c>
      <c r="B1847" s="47">
        <v>80111600</v>
      </c>
      <c r="C1847" s="47" t="str">
        <f>VLOOKUP(PAA_4[[#This Row],[PROYECTO (formulado)2]],[2]PROYECTOS!$G$1:$L$32,6,0)</f>
        <v>SUBGERENCIA DE ALTOS LOGROS Y DEPORTE ASOCIADO</v>
      </c>
      <c r="D1847" s="47" t="str">
        <f>+IF(PAA_4[[#This Row],[UNIDAD DE CONTRATACION (formulado)]]="Subgerencia Administrativa y Financiera","FUNCIONAMIENTO","INVERSIÓN")</f>
        <v>INVERSIÓN</v>
      </c>
      <c r="E1847" s="48" t="str">
        <f>VLOOKUP(Q1847,[2]PROYECTOS!$G$1:$K$32,5,0)</f>
        <v>Apoyo técnico a atletas y para-atletas que representan en alto rendimiento deportivo al departamento de Antioquia</v>
      </c>
      <c r="F1847" s="48">
        <f>VLOOKUP(E1847,[2]PROYECTOS!$K$1:$M$32,3,0)</f>
        <v>2024003050084</v>
      </c>
      <c r="G1847" s="67" t="s">
        <v>1518</v>
      </c>
      <c r="H1847" s="49" t="str">
        <f>VLOOKUP(Q1847,[2]PROYECTOS!$V$1:$W$32,2,0)</f>
        <v>050079</v>
      </c>
      <c r="I1847" s="78">
        <f>7295386-686625-85828</f>
        <v>6522933</v>
      </c>
      <c r="J1847" s="51" t="s">
        <v>2087</v>
      </c>
      <c r="K1847" s="47" t="str">
        <f t="shared" ca="1" si="595"/>
        <v>CONTRATADO</v>
      </c>
      <c r="L1847" s="47" t="s">
        <v>898</v>
      </c>
      <c r="M1847" s="47" t="s">
        <v>1297</v>
      </c>
      <c r="N1847" s="52" t="s">
        <v>1519</v>
      </c>
      <c r="O1847" s="51" t="e">
        <f>VLOOKUP(N1847,[2]!RUBROS[#All],3,0)</f>
        <v>#REF!</v>
      </c>
      <c r="P1847" s="53" t="e">
        <f>VLOOKUP(N1847,[2]!RUBROS[#All],2,0)</f>
        <v>#REF!</v>
      </c>
      <c r="Q1847" s="47" t="str">
        <f t="shared" si="596"/>
        <v>84</v>
      </c>
      <c r="R1847" s="47" t="str">
        <f t="shared" si="597"/>
        <v>0-205400</v>
      </c>
      <c r="S1847" s="54">
        <v>85</v>
      </c>
      <c r="T1847" s="59" t="s">
        <v>120</v>
      </c>
      <c r="U1847" s="326" t="e">
        <f ca="1">_xlfn.XLOOKUP(PAA_4[[#This Row],[ITEM]],[2]Contrato!A:A,[2]Contrato!Q:Q,"",0)</f>
        <v>#NAME?</v>
      </c>
      <c r="V1847" s="47" t="s">
        <v>95</v>
      </c>
      <c r="W1847" s="47" t="s">
        <v>194</v>
      </c>
      <c r="X1847" s="47" t="s">
        <v>203</v>
      </c>
      <c r="Y1847" s="55" t="e">
        <f ca="1">_xlfn.XLOOKUP(PAA_4[[#This Row],[ITEM]],[2]Contrato!A:A,[2]Contrato!B:B,"",0)</f>
        <v>#NAME?</v>
      </c>
      <c r="Z1847" s="47" t="e">
        <f ca="1">_xlfn.XLOOKUP(PAA_4[[#This Row],[ITEM]],[2]Contrato!A:A,[2]Contrato!G:G,"",0)</f>
        <v>#NAME?</v>
      </c>
      <c r="AA1847" s="47" t="e">
        <f ca="1">_xlfn.XLOOKUP(PAA_4[[#This Row],[ITEM]],[2]Contrato!A:A,[2]Contrato!T:T,"",0)</f>
        <v>#NAME?</v>
      </c>
      <c r="AB1847" s="55" t="e">
        <f ca="1">+MAX(PAA_4[[#This Row],[Comprometido Contrato]],PAA_4[[#This Row],[Comprometido Bolsa]])</f>
        <v>#NAME?</v>
      </c>
      <c r="AC1847" s="55" t="str">
        <f t="shared" ca="1" si="598"/>
        <v/>
      </c>
      <c r="AD1847" s="55" t="e">
        <f ca="1">IF(PAA_4[[#This Row],[ESTADO (formulado)]]="NO CONTRATADO",0,MAX(PAA_4[[#This Row],[Pago por Contrato]],PAA_4[[#This Row],[Pago por bolsa]]))</f>
        <v>#NAME?</v>
      </c>
      <c r="AE1847" s="55" t="str">
        <f t="shared" ca="1" si="599"/>
        <v/>
      </c>
      <c r="AF1847" s="47" t="e">
        <f t="shared" ca="1" si="600"/>
        <v>#NAME?</v>
      </c>
      <c r="AG1847" s="47">
        <f t="shared" si="601"/>
        <v>52010802</v>
      </c>
      <c r="AH1847" s="54">
        <f>IF(Q1847="22",IF(ISNUMBER(SEARCH("econ",PAA_4[[#This Row],[Actividad3]])),"Económico",IF(ISNUMBER(SEARCH("alim",PAA_4[[#This Row],[Actividad3]])),"Alimentación",IF(ISNUMBER(SEARCH("educ",PAA_4[[#This Row],[Actividad3]])),"Educativo","Técnico"))),0)</f>
        <v>0</v>
      </c>
      <c r="AI1847" s="47" t="e" cm="1">
        <f t="array" aca="1" ref="AI1847" ca="1">_xlfn.XLOOKUP(PAA_4[[#This Row],[RCP-RUBRO]],[2]!COMPROMISOS_2024[[#All],[concatenado]],[2]!COMPROMISOS_2024[[#All],[Total pagado]],"",0)</f>
        <v>#NAME?</v>
      </c>
      <c r="AJ1847" s="56">
        <f>IF(PAA_4[[#This Row],[BOLSA]]=0,0,SUMIFS([2]!COMPROMISOS_2024[[#All],[Total pagado]],[2]!COMPROMISOS_2024[[#All],[Bolsa]],PAA_4[[#This Row],[BOLSA]],[2]!COMPROMISOS_2024[[#All],[rubro]],PAA_4[[#This Row],[RCP-RUBRO]]))</f>
        <v>0</v>
      </c>
      <c r="AK1847" s="47" t="e" cm="1">
        <f t="array" aca="1" ref="AK1847" ca="1">_xlfn.XLOOKUP(PAA_4[[#This Row],[RCP-RUBRO]],[2]!COMPROMISOS_2024[[#All],[concatenado]],[2]!COMPROMISOS_2024[[#All],[Total Comprometido]],"",0)</f>
        <v>#NAME?</v>
      </c>
      <c r="AL1847" s="47">
        <f>IF(PAA_4[[#This Row],[BOLSA]]=0,0,SUMIFS([2]!COMPROMISOS_2024[[#All],[Total Comprometido]],[2]!COMPROMISOS_2024[[#All],[Bolsa]],PAA_4[[#This Row],[BOLSA]],[2]!COMPROMISOS_2024[[#All],[concatenado]],PAA_4[[#This Row],[RCP-RUBRO]]))</f>
        <v>0</v>
      </c>
    </row>
    <row r="1848" spans="1:38" s="19" customFormat="1" ht="31.5" customHeight="1">
      <c r="A1848" s="47" t="s">
        <v>82</v>
      </c>
      <c r="B1848" s="47" t="s">
        <v>42</v>
      </c>
      <c r="C1848" s="47" t="str">
        <f>VLOOKUP(PAA_4[[#This Row],[PROYECTO (formulado)2]],[2]PROYECTOS!$G$1:$L$32,6,0)</f>
        <v>SUBGERENCIA DE ALTOS LOGROS Y DEPORTE ASOCIADO</v>
      </c>
      <c r="D1848" s="47" t="str">
        <f>+IF(PAA_4[[#This Row],[UNIDAD DE CONTRATACION (formulado)]]="Subgerencia Administrativa y Financiera","FUNCIONAMIENTO","INVERSIÓN")</f>
        <v>INVERSIÓN</v>
      </c>
      <c r="E1848" s="48" t="str">
        <f>VLOOKUP(Q1848,[2]PROYECTOS!$G$1:$K$32,5,0)</f>
        <v>Apoyo técnico a atletas y para-atletas que representan en alto rendimiento deportivo al departamento de Antioquia</v>
      </c>
      <c r="F1848" s="48">
        <f>VLOOKUP(E1848,[2]PROYECTOS!$K$1:$M$32,3,0)</f>
        <v>2024003050084</v>
      </c>
      <c r="G1848" s="67" t="s">
        <v>1518</v>
      </c>
      <c r="H1848" s="49" t="str">
        <f>VLOOKUP(Q1848,[2]PROYECTOS!$V$1:$W$32,2,0)</f>
        <v>050079</v>
      </c>
      <c r="I1848" s="78">
        <v>0</v>
      </c>
      <c r="J1848" s="51" t="s">
        <v>1778</v>
      </c>
      <c r="K1848" s="47" t="str">
        <f t="shared" ca="1" si="595"/>
        <v>CONTRATADO</v>
      </c>
      <c r="L1848" s="47" t="s">
        <v>42</v>
      </c>
      <c r="M1848" s="51" t="s">
        <v>42</v>
      </c>
      <c r="N1848" s="52" t="s">
        <v>1519</v>
      </c>
      <c r="O1848" s="51" t="e">
        <f>VLOOKUP(N1848,[2]!RUBROS[#All],3,0)</f>
        <v>#REF!</v>
      </c>
      <c r="P1848" s="53" t="e">
        <f>VLOOKUP(N1848,[2]!RUBROS[#All],2,0)</f>
        <v>#REF!</v>
      </c>
      <c r="Q1848" s="47" t="str">
        <f t="shared" si="596"/>
        <v>84</v>
      </c>
      <c r="R1848" s="47" t="str">
        <f t="shared" si="597"/>
        <v>0-205400</v>
      </c>
      <c r="S1848" s="339" t="s">
        <v>42</v>
      </c>
      <c r="T1848" s="59" t="s">
        <v>42</v>
      </c>
      <c r="U1848" s="326" t="e">
        <f ca="1">_xlfn.XLOOKUP(PAA_4[[#This Row],[ITEM]],[2]Contrato!A:A,[2]Contrato!Q:Q,"",0)</f>
        <v>#NAME?</v>
      </c>
      <c r="V1848" s="47" t="s">
        <v>95</v>
      </c>
      <c r="W1848" s="47" t="s">
        <v>42</v>
      </c>
      <c r="X1848" s="47" t="s">
        <v>42</v>
      </c>
      <c r="Y1848" s="55" t="e">
        <f ca="1">_xlfn.XLOOKUP(PAA_4[[#This Row],[ITEM]],[2]Contrato!A:A,[2]Contrato!B:B,"",0)</f>
        <v>#NAME?</v>
      </c>
      <c r="Z1848" s="47" t="e">
        <f ca="1">_xlfn.XLOOKUP(PAA_4[[#This Row],[ITEM]],[2]Contrato!A:A,[2]Contrato!G:G,"",0)</f>
        <v>#NAME?</v>
      </c>
      <c r="AA1848" s="47" t="e">
        <f ca="1">_xlfn.XLOOKUP(PAA_4[[#This Row],[ITEM]],[2]Contrato!A:A,[2]Contrato!T:T,"",0)</f>
        <v>#NAME?</v>
      </c>
      <c r="AB1848" s="55" t="e">
        <f ca="1">+MAX(PAA_4[[#This Row],[Comprometido Contrato]],PAA_4[[#This Row],[Comprometido Bolsa]])</f>
        <v>#NAME?</v>
      </c>
      <c r="AC1848" s="55" t="str">
        <f t="shared" ca="1" si="598"/>
        <v/>
      </c>
      <c r="AD1848" s="55" t="e">
        <f ca="1">IF(PAA_4[[#This Row],[ESTADO (formulado)]]="NO CONTRATADO",0,MAX(PAA_4[[#This Row],[Pago por Contrato]],PAA_4[[#This Row],[Pago por bolsa]]))</f>
        <v>#NAME?</v>
      </c>
      <c r="AE1848" s="55" t="str">
        <f t="shared" ca="1" si="599"/>
        <v/>
      </c>
      <c r="AF1848" s="47" t="e">
        <f t="shared" ca="1" si="600"/>
        <v>#NAME?</v>
      </c>
      <c r="AG1848" s="47">
        <f t="shared" si="601"/>
        <v>52010802</v>
      </c>
      <c r="AH1848" s="54">
        <f>IF(Q1848="22",IF(ISNUMBER(SEARCH("econ",PAA_4[[#This Row],[Actividad3]])),"Económico",IF(ISNUMBER(SEARCH("alim",PAA_4[[#This Row],[Actividad3]])),"Alimentación",IF(ISNUMBER(SEARCH("educ",PAA_4[[#This Row],[Actividad3]])),"Educativo","Técnico"))),0)</f>
        <v>0</v>
      </c>
      <c r="AI1848" s="47" t="e" cm="1">
        <f t="array" aca="1" ref="AI1848" ca="1">_xlfn.XLOOKUP(PAA_4[[#This Row],[RCP-RUBRO]],[2]!COMPROMISOS_2024[[#All],[concatenado]],[2]!COMPROMISOS_2024[[#All],[Total pagado]],"",0)</f>
        <v>#NAME?</v>
      </c>
      <c r="AJ1848" s="56">
        <f>IF(PAA_4[[#This Row],[BOLSA]]=0,0,SUMIFS([2]!COMPROMISOS_2024[[#All],[Total pagado]],[2]!COMPROMISOS_2024[[#All],[Bolsa]],PAA_4[[#This Row],[BOLSA]],[2]!COMPROMISOS_2024[[#All],[rubro]],PAA_4[[#This Row],[RCP-RUBRO]]))</f>
        <v>0</v>
      </c>
      <c r="AK1848" s="47" t="e" cm="1">
        <f t="array" aca="1" ref="AK1848" ca="1">_xlfn.XLOOKUP(PAA_4[[#This Row],[RCP-RUBRO]],[2]!COMPROMISOS_2024[[#All],[concatenado]],[2]!COMPROMISOS_2024[[#All],[Total Comprometido]],"",0)</f>
        <v>#NAME?</v>
      </c>
      <c r="AL1848" s="47">
        <f>IF(PAA_4[[#This Row],[BOLSA]]=0,0,SUMIFS([2]!COMPROMISOS_2024[[#All],[Total Comprometido]],[2]!COMPROMISOS_2024[[#All],[Bolsa]],PAA_4[[#This Row],[BOLSA]],[2]!COMPROMISOS_2024[[#All],[concatenado]],PAA_4[[#This Row],[RCP-RUBRO]]))</f>
        <v>0</v>
      </c>
    </row>
    <row r="1849" spans="1:38" s="19" customFormat="1" ht="31.5" customHeight="1">
      <c r="A1849" s="47">
        <v>1205</v>
      </c>
      <c r="B1849" s="47">
        <v>80111600</v>
      </c>
      <c r="C1849" s="47" t="str">
        <f>VLOOKUP(PAA_4[[#This Row],[PROYECTO (formulado)2]],[2]PROYECTOS!$G$1:$L$32,6,0)</f>
        <v>SUBGERENCIA DE ALTOS LOGROS Y DEPORTE ASOCIADO</v>
      </c>
      <c r="D1849" s="47" t="str">
        <f>+IF(PAA_4[[#This Row],[UNIDAD DE CONTRATACION (formulado)]]="Subgerencia Administrativa y Financiera","FUNCIONAMIENTO","INVERSIÓN")</f>
        <v>INVERSIÓN</v>
      </c>
      <c r="E1849" s="48" t="str">
        <f>VLOOKUP(Q1849,[2]PROYECTOS!$G$1:$K$32,5,0)</f>
        <v>Apoyo técnico a atletas y para-atletas que representan en alto rendimiento deportivo al departamento de Antioquia</v>
      </c>
      <c r="F1849" s="48">
        <f>VLOOKUP(E1849,[2]PROYECTOS!$K$1:$M$32,3,0)</f>
        <v>2024003050084</v>
      </c>
      <c r="G1849" s="67" t="s">
        <v>1518</v>
      </c>
      <c r="H1849" s="49" t="str">
        <f>VLOOKUP(Q1849,[2]PROYECTOS!$V$1:$W$32,2,0)</f>
        <v>050079</v>
      </c>
      <c r="I1849" s="78">
        <f>14037053-395410</f>
        <v>13641643</v>
      </c>
      <c r="J1849" s="51" t="s">
        <v>2088</v>
      </c>
      <c r="K1849" s="47" t="str">
        <f t="shared" ca="1" si="595"/>
        <v>CONTRATADO</v>
      </c>
      <c r="L1849" s="47" t="s">
        <v>94</v>
      </c>
      <c r="M1849" s="51" t="s">
        <v>1297</v>
      </c>
      <c r="N1849" s="52" t="s">
        <v>1519</v>
      </c>
      <c r="O1849" s="51" t="e">
        <f>VLOOKUP(N1849,[2]!RUBROS[#All],3,0)</f>
        <v>#REF!</v>
      </c>
      <c r="P1849" s="53" t="e">
        <f>VLOOKUP(N1849,[2]!RUBROS[#All],2,0)</f>
        <v>#REF!</v>
      </c>
      <c r="Q1849" s="47" t="str">
        <f t="shared" si="596"/>
        <v>84</v>
      </c>
      <c r="R1849" s="47" t="str">
        <f t="shared" si="597"/>
        <v>0-205400</v>
      </c>
      <c r="S1849" s="54">
        <v>71</v>
      </c>
      <c r="T1849" s="59" t="s">
        <v>120</v>
      </c>
      <c r="U1849" s="326" t="e">
        <f ca="1">_xlfn.XLOOKUP(PAA_4[[#This Row],[ITEM]],[2]Contrato!A:A,[2]Contrato!Q:Q,"",0)</f>
        <v>#NAME?</v>
      </c>
      <c r="V1849" s="47" t="s">
        <v>95</v>
      </c>
      <c r="W1849" s="47" t="s">
        <v>203</v>
      </c>
      <c r="X1849" s="47" t="s">
        <v>203</v>
      </c>
      <c r="Y1849" s="55" t="e">
        <f ca="1">_xlfn.XLOOKUP(PAA_4[[#This Row],[ITEM]],[2]Contrato!A:A,[2]Contrato!B:B,"",0)</f>
        <v>#NAME?</v>
      </c>
      <c r="Z1849" s="47" t="e">
        <f ca="1">_xlfn.XLOOKUP(PAA_4[[#This Row],[ITEM]],[2]Contrato!A:A,[2]Contrato!G:G,"",0)</f>
        <v>#NAME?</v>
      </c>
      <c r="AA1849" s="47" t="e">
        <f ca="1">_xlfn.XLOOKUP(PAA_4[[#This Row],[ITEM]],[2]Contrato!A:A,[2]Contrato!T:T,"",0)</f>
        <v>#NAME?</v>
      </c>
      <c r="AB1849" s="55" t="e">
        <f ca="1">+MAX(PAA_4[[#This Row],[Comprometido Contrato]],PAA_4[[#This Row],[Comprometido Bolsa]])</f>
        <v>#NAME?</v>
      </c>
      <c r="AC1849" s="55" t="str">
        <f t="shared" ca="1" si="598"/>
        <v/>
      </c>
      <c r="AD1849" s="55" t="e">
        <f ca="1">IF(PAA_4[[#This Row],[ESTADO (formulado)]]="NO CONTRATADO",0,MAX(PAA_4[[#This Row],[Pago por Contrato]],PAA_4[[#This Row],[Pago por bolsa]]))</f>
        <v>#NAME?</v>
      </c>
      <c r="AE1849" s="55" t="str">
        <f t="shared" ca="1" si="599"/>
        <v/>
      </c>
      <c r="AF1849" s="47" t="e">
        <f t="shared" ca="1" si="600"/>
        <v>#NAME?</v>
      </c>
      <c r="AG1849" s="47">
        <f t="shared" si="601"/>
        <v>52010802</v>
      </c>
      <c r="AH1849" s="54">
        <f>IF(Q1849="22",IF(ISNUMBER(SEARCH("econ",PAA_4[[#This Row],[Actividad3]])),"Económico",IF(ISNUMBER(SEARCH("alim",PAA_4[[#This Row],[Actividad3]])),"Alimentación",IF(ISNUMBER(SEARCH("educ",PAA_4[[#This Row],[Actividad3]])),"Educativo","Técnico"))),0)</f>
        <v>0</v>
      </c>
      <c r="AI1849" s="47" t="e" cm="1">
        <f t="array" aca="1" ref="AI1849" ca="1">_xlfn.XLOOKUP(PAA_4[[#This Row],[RCP-RUBRO]],[2]!COMPROMISOS_2024[[#All],[concatenado]],[2]!COMPROMISOS_2024[[#All],[Total pagado]],"",0)</f>
        <v>#NAME?</v>
      </c>
      <c r="AJ1849" s="56">
        <f>IF(PAA_4[[#This Row],[BOLSA]]=0,0,SUMIFS([2]!COMPROMISOS_2024[[#All],[Total pagado]],[2]!COMPROMISOS_2024[[#All],[Bolsa]],PAA_4[[#This Row],[BOLSA]],[2]!COMPROMISOS_2024[[#All],[rubro]],PAA_4[[#This Row],[RCP-RUBRO]]))</f>
        <v>0</v>
      </c>
      <c r="AK1849" s="47" t="e" cm="1">
        <f t="array" aca="1" ref="AK1849" ca="1">_xlfn.XLOOKUP(PAA_4[[#This Row],[RCP-RUBRO]],[2]!COMPROMISOS_2024[[#All],[concatenado]],[2]!COMPROMISOS_2024[[#All],[Total Comprometido]],"",0)</f>
        <v>#NAME?</v>
      </c>
      <c r="AL1849" s="47">
        <f>IF(PAA_4[[#This Row],[BOLSA]]=0,0,SUMIFS([2]!COMPROMISOS_2024[[#All],[Total Comprometido]],[2]!COMPROMISOS_2024[[#All],[Bolsa]],PAA_4[[#This Row],[BOLSA]],[2]!COMPROMISOS_2024[[#All],[concatenado]],PAA_4[[#This Row],[RCP-RUBRO]]))</f>
        <v>0</v>
      </c>
    </row>
    <row r="1850" spans="1:38" s="19" customFormat="1" ht="31.5" customHeight="1">
      <c r="A1850" s="47">
        <v>1216</v>
      </c>
      <c r="B1850" s="47">
        <v>80111600</v>
      </c>
      <c r="C1850" s="47" t="str">
        <f>VLOOKUP(PAA_4[[#This Row],[PROYECTO (formulado)2]],[2]PROYECTOS!$G$1:$L$32,6,0)</f>
        <v>SUBGERENCIA DE ALTOS LOGROS Y DEPORTE ASOCIADO</v>
      </c>
      <c r="D1850" s="47" t="str">
        <f>+IF(PAA_4[[#This Row],[UNIDAD DE CONTRATACION (formulado)]]="Subgerencia Administrativa y Financiera","FUNCIONAMIENTO","INVERSIÓN")</f>
        <v>INVERSIÓN</v>
      </c>
      <c r="E1850" s="48" t="str">
        <f>VLOOKUP(Q1850,[2]PROYECTOS!$G$1:$K$32,5,0)</f>
        <v>Apoyo técnico a atletas y para-atletas que representan en alto rendimiento deportivo al departamento de Antioquia</v>
      </c>
      <c r="F1850" s="48">
        <f>VLOOKUP(E1850,[2]PROYECTOS!$K$1:$M$32,3,0)</f>
        <v>2024003050084</v>
      </c>
      <c r="G1850" s="67" t="s">
        <v>1518</v>
      </c>
      <c r="H1850" s="49" t="str">
        <f>VLOOKUP(Q1850,[2]PROYECTOS!$V$1:$W$32,2,0)</f>
        <v>050079</v>
      </c>
      <c r="I1850" s="78">
        <f>8300002-131745</f>
        <v>8168257</v>
      </c>
      <c r="J1850" s="51" t="s">
        <v>2089</v>
      </c>
      <c r="K1850" s="47" t="str">
        <f t="shared" ca="1" si="595"/>
        <v>CONTRATADO</v>
      </c>
      <c r="L1850" s="47" t="s">
        <v>898</v>
      </c>
      <c r="M1850" s="51" t="s">
        <v>1297</v>
      </c>
      <c r="N1850" s="52" t="s">
        <v>1519</v>
      </c>
      <c r="O1850" s="51" t="e">
        <f>VLOOKUP(N1850,[2]!RUBROS[#All],3,0)</f>
        <v>#REF!</v>
      </c>
      <c r="P1850" s="53" t="e">
        <f>VLOOKUP(N1850,[2]!RUBROS[#All],2,0)</f>
        <v>#REF!</v>
      </c>
      <c r="Q1850" s="47" t="str">
        <f t="shared" si="596"/>
        <v>84</v>
      </c>
      <c r="R1850" s="47" t="str">
        <f t="shared" si="597"/>
        <v>0-205400</v>
      </c>
      <c r="S1850" s="339">
        <v>63</v>
      </c>
      <c r="T1850" s="59" t="s">
        <v>120</v>
      </c>
      <c r="U1850" s="326" t="e">
        <f ca="1">_xlfn.XLOOKUP(PAA_4[[#This Row],[ITEM]],[2]Contrato!A:A,[2]Contrato!Q:Q,"",0)</f>
        <v>#NAME?</v>
      </c>
      <c r="V1850" s="47" t="s">
        <v>95</v>
      </c>
      <c r="W1850" s="47" t="s">
        <v>204</v>
      </c>
      <c r="X1850" s="47" t="s">
        <v>204</v>
      </c>
      <c r="Y1850" s="55" t="e">
        <f ca="1">_xlfn.XLOOKUP(PAA_4[[#This Row],[ITEM]],[2]Contrato!A:A,[2]Contrato!B:B,"",0)</f>
        <v>#NAME?</v>
      </c>
      <c r="Z1850" s="47" t="e">
        <f ca="1">_xlfn.XLOOKUP(PAA_4[[#This Row],[ITEM]],[2]Contrato!A:A,[2]Contrato!G:G,"",0)</f>
        <v>#NAME?</v>
      </c>
      <c r="AA1850" s="47" t="e">
        <f ca="1">_xlfn.XLOOKUP(PAA_4[[#This Row],[ITEM]],[2]Contrato!A:A,[2]Contrato!T:T,"",0)</f>
        <v>#NAME?</v>
      </c>
      <c r="AB1850" s="55" t="e">
        <f ca="1">+MAX(PAA_4[[#This Row],[Comprometido Contrato]],PAA_4[[#This Row],[Comprometido Bolsa]])</f>
        <v>#NAME?</v>
      </c>
      <c r="AC1850" s="55" t="str">
        <f t="shared" ca="1" si="598"/>
        <v/>
      </c>
      <c r="AD1850" s="55" t="e">
        <f ca="1">IF(PAA_4[[#This Row],[ESTADO (formulado)]]="NO CONTRATADO",0,MAX(PAA_4[[#This Row],[Pago por Contrato]],PAA_4[[#This Row],[Pago por bolsa]]))</f>
        <v>#NAME?</v>
      </c>
      <c r="AE1850" s="55" t="str">
        <f t="shared" ca="1" si="599"/>
        <v/>
      </c>
      <c r="AF1850" s="47" t="e">
        <f t="shared" ca="1" si="600"/>
        <v>#NAME?</v>
      </c>
      <c r="AG1850" s="47">
        <f t="shared" si="601"/>
        <v>52010802</v>
      </c>
      <c r="AH1850" s="54">
        <f>IF(Q1850="22",IF(ISNUMBER(SEARCH("econ",PAA_4[[#This Row],[Actividad3]])),"Económico",IF(ISNUMBER(SEARCH("alim",PAA_4[[#This Row],[Actividad3]])),"Alimentación",IF(ISNUMBER(SEARCH("educ",PAA_4[[#This Row],[Actividad3]])),"Educativo","Técnico"))),0)</f>
        <v>0</v>
      </c>
      <c r="AI1850" s="47" t="e" cm="1">
        <f t="array" aca="1" ref="AI1850" ca="1">_xlfn.XLOOKUP(PAA_4[[#This Row],[RCP-RUBRO]],[2]!COMPROMISOS_2024[[#All],[concatenado]],[2]!COMPROMISOS_2024[[#All],[Total pagado]],"",0)</f>
        <v>#NAME?</v>
      </c>
      <c r="AJ1850" s="56">
        <f>IF(PAA_4[[#This Row],[BOLSA]]=0,0,SUMIFS([2]!COMPROMISOS_2024[[#All],[Total pagado]],[2]!COMPROMISOS_2024[[#All],[Bolsa]],PAA_4[[#This Row],[BOLSA]],[2]!COMPROMISOS_2024[[#All],[rubro]],PAA_4[[#This Row],[RCP-RUBRO]]))</f>
        <v>0</v>
      </c>
      <c r="AK1850" s="47" t="e" cm="1">
        <f t="array" aca="1" ref="AK1850" ca="1">_xlfn.XLOOKUP(PAA_4[[#This Row],[RCP-RUBRO]],[2]!COMPROMISOS_2024[[#All],[concatenado]],[2]!COMPROMISOS_2024[[#All],[Total Comprometido]],"",0)</f>
        <v>#NAME?</v>
      </c>
      <c r="AL1850" s="47">
        <f>IF(PAA_4[[#This Row],[BOLSA]]=0,0,SUMIFS([2]!COMPROMISOS_2024[[#All],[Total Comprometido]],[2]!COMPROMISOS_2024[[#All],[Bolsa]],PAA_4[[#This Row],[BOLSA]],[2]!COMPROMISOS_2024[[#All],[concatenado]],PAA_4[[#This Row],[RCP-RUBRO]]))</f>
        <v>0</v>
      </c>
    </row>
    <row r="1851" spans="1:38" s="19" customFormat="1" ht="31.5" customHeight="1">
      <c r="A1851" s="47">
        <v>1217</v>
      </c>
      <c r="B1851" s="47">
        <v>80111600</v>
      </c>
      <c r="C1851" s="47" t="str">
        <f>VLOOKUP(PAA_4[[#This Row],[PROYECTO (formulado)2]],[2]PROYECTOS!$G$1:$L$32,6,0)</f>
        <v>SUBGERENCIA DE ALTOS LOGROS Y DEPORTE ASOCIADO</v>
      </c>
      <c r="D1851" s="47" t="str">
        <f>+IF(PAA_4[[#This Row],[UNIDAD DE CONTRATACION (formulado)]]="Subgerencia Administrativa y Financiera","FUNCIONAMIENTO","INVERSIÓN")</f>
        <v>INVERSIÓN</v>
      </c>
      <c r="E1851" s="48" t="str">
        <f>VLOOKUP(Q1851,[2]PROYECTOS!$G$1:$K$32,5,0)</f>
        <v>Apoyo técnico a atletas y para-atletas que representan en alto rendimiento deportivo al departamento de Antioquia</v>
      </c>
      <c r="F1851" s="48">
        <f>VLOOKUP(E1851,[2]PROYECTOS!$K$1:$M$32,3,0)</f>
        <v>2024003050084</v>
      </c>
      <c r="G1851" s="67" t="s">
        <v>1518</v>
      </c>
      <c r="H1851" s="49" t="str">
        <f>VLOOKUP(Q1851,[2]PROYECTOS!$V$1:$W$32,2,0)</f>
        <v>050079</v>
      </c>
      <c r="I1851" s="78">
        <f>5407168-85827</f>
        <v>5321341</v>
      </c>
      <c r="J1851" s="51" t="s">
        <v>2089</v>
      </c>
      <c r="K1851" s="47" t="str">
        <f t="shared" ca="1" si="595"/>
        <v>CONTRATADO</v>
      </c>
      <c r="L1851" s="47" t="s">
        <v>898</v>
      </c>
      <c r="M1851" s="51" t="s">
        <v>1297</v>
      </c>
      <c r="N1851" s="52" t="s">
        <v>1519</v>
      </c>
      <c r="O1851" s="51" t="e">
        <f>VLOOKUP(N1851,[2]!RUBROS[#All],3,0)</f>
        <v>#REF!</v>
      </c>
      <c r="P1851" s="53" t="e">
        <f>VLOOKUP(N1851,[2]!RUBROS[#All],2,0)</f>
        <v>#REF!</v>
      </c>
      <c r="Q1851" s="47" t="str">
        <f t="shared" si="596"/>
        <v>84</v>
      </c>
      <c r="R1851" s="47" t="str">
        <f t="shared" si="597"/>
        <v>0-205400</v>
      </c>
      <c r="S1851" s="339">
        <v>63</v>
      </c>
      <c r="T1851" s="59" t="s">
        <v>120</v>
      </c>
      <c r="U1851" s="326" t="e">
        <f ca="1">_xlfn.XLOOKUP(PAA_4[[#This Row],[ITEM]],[2]Contrato!A:A,[2]Contrato!Q:Q,"",0)</f>
        <v>#NAME?</v>
      </c>
      <c r="V1851" s="47" t="s">
        <v>95</v>
      </c>
      <c r="W1851" s="47" t="s">
        <v>204</v>
      </c>
      <c r="X1851" s="47" t="s">
        <v>204</v>
      </c>
      <c r="Y1851" s="55" t="e">
        <f ca="1">_xlfn.XLOOKUP(PAA_4[[#This Row],[ITEM]],[2]Contrato!A:A,[2]Contrato!B:B,"",0)</f>
        <v>#NAME?</v>
      </c>
      <c r="Z1851" s="47" t="e">
        <f ca="1">_xlfn.XLOOKUP(PAA_4[[#This Row],[ITEM]],[2]Contrato!A:A,[2]Contrato!G:G,"",0)</f>
        <v>#NAME?</v>
      </c>
      <c r="AA1851" s="47" t="e">
        <f ca="1">_xlfn.XLOOKUP(PAA_4[[#This Row],[ITEM]],[2]Contrato!A:A,[2]Contrato!T:T,"",0)</f>
        <v>#NAME?</v>
      </c>
      <c r="AB1851" s="55" t="e">
        <f ca="1">+MAX(PAA_4[[#This Row],[Comprometido Contrato]],PAA_4[[#This Row],[Comprometido Bolsa]])</f>
        <v>#NAME?</v>
      </c>
      <c r="AC1851" s="55" t="str">
        <f t="shared" ca="1" si="598"/>
        <v/>
      </c>
      <c r="AD1851" s="55" t="e">
        <f ca="1">IF(PAA_4[[#This Row],[ESTADO (formulado)]]="NO CONTRATADO",0,MAX(PAA_4[[#This Row],[Pago por Contrato]],PAA_4[[#This Row],[Pago por bolsa]]))</f>
        <v>#NAME?</v>
      </c>
      <c r="AE1851" s="55" t="str">
        <f t="shared" ca="1" si="599"/>
        <v/>
      </c>
      <c r="AF1851" s="47" t="e">
        <f t="shared" ca="1" si="600"/>
        <v>#NAME?</v>
      </c>
      <c r="AG1851" s="47">
        <f t="shared" si="601"/>
        <v>52010802</v>
      </c>
      <c r="AH1851" s="54">
        <f>IF(Q1851="22",IF(ISNUMBER(SEARCH("econ",PAA_4[[#This Row],[Actividad3]])),"Económico",IF(ISNUMBER(SEARCH("alim",PAA_4[[#This Row],[Actividad3]])),"Alimentación",IF(ISNUMBER(SEARCH("educ",PAA_4[[#This Row],[Actividad3]])),"Educativo","Técnico"))),0)</f>
        <v>0</v>
      </c>
      <c r="AI1851" s="47" t="e" cm="1">
        <f t="array" aca="1" ref="AI1851" ca="1">_xlfn.XLOOKUP(PAA_4[[#This Row],[RCP-RUBRO]],[2]!COMPROMISOS_2024[[#All],[concatenado]],[2]!COMPROMISOS_2024[[#All],[Total pagado]],"",0)</f>
        <v>#NAME?</v>
      </c>
      <c r="AJ1851" s="56">
        <f>IF(PAA_4[[#This Row],[BOLSA]]=0,0,SUMIFS([2]!COMPROMISOS_2024[[#All],[Total pagado]],[2]!COMPROMISOS_2024[[#All],[Bolsa]],PAA_4[[#This Row],[BOLSA]],[2]!COMPROMISOS_2024[[#All],[rubro]],PAA_4[[#This Row],[RCP-RUBRO]]))</f>
        <v>0</v>
      </c>
      <c r="AK1851" s="47" t="e" cm="1">
        <f t="array" aca="1" ref="AK1851" ca="1">_xlfn.XLOOKUP(PAA_4[[#This Row],[RCP-RUBRO]],[2]!COMPROMISOS_2024[[#All],[concatenado]],[2]!COMPROMISOS_2024[[#All],[Total Comprometido]],"",0)</f>
        <v>#NAME?</v>
      </c>
      <c r="AL1851" s="47">
        <f>IF(PAA_4[[#This Row],[BOLSA]]=0,0,SUMIFS([2]!COMPROMISOS_2024[[#All],[Total Comprometido]],[2]!COMPROMISOS_2024[[#All],[Bolsa]],PAA_4[[#This Row],[BOLSA]],[2]!COMPROMISOS_2024[[#All],[concatenado]],PAA_4[[#This Row],[RCP-RUBRO]]))</f>
        <v>0</v>
      </c>
    </row>
    <row r="1852" spans="1:38" s="19" customFormat="1" ht="31.5" customHeight="1">
      <c r="A1852" s="47" t="s">
        <v>82</v>
      </c>
      <c r="B1852" s="47" t="s">
        <v>42</v>
      </c>
      <c r="C1852" s="47" t="str">
        <f>VLOOKUP(PAA_4[[#This Row],[PROYECTO (formulado)2]],[2]PROYECTOS!$G$1:$L$32,6,0)</f>
        <v>SUBGERENCIA DE ALTOS LOGROS Y DEPORTE ASOCIADO</v>
      </c>
      <c r="D1852" s="47" t="str">
        <f>+IF(PAA_4[[#This Row],[UNIDAD DE CONTRATACION (formulado)]]="Subgerencia Administrativa y Financiera","FUNCIONAMIENTO","INVERSIÓN")</f>
        <v>INVERSIÓN</v>
      </c>
      <c r="E1852" s="48" t="str">
        <f>VLOOKUP(Q1852,[2]PROYECTOS!$G$1:$K$32,5,0)</f>
        <v>Apoyo técnico a atletas y para-atletas que representan en alto rendimiento deportivo al departamento de Antioquia</v>
      </c>
      <c r="F1852" s="48">
        <f>VLOOKUP(E1852,[2]PROYECTOS!$K$1:$M$32,3,0)</f>
        <v>2024003050084</v>
      </c>
      <c r="G1852" s="67" t="s">
        <v>1518</v>
      </c>
      <c r="H1852" s="49" t="str">
        <f>VLOOKUP(Q1852,[2]PROYECTOS!$V$1:$W$32,2,0)</f>
        <v>050079</v>
      </c>
      <c r="I1852" s="78">
        <v>257484</v>
      </c>
      <c r="J1852" s="51" t="s">
        <v>1952</v>
      </c>
      <c r="K1852" s="47" t="str">
        <f t="shared" ca="1" si="595"/>
        <v>CONTRATADO</v>
      </c>
      <c r="L1852" s="47" t="s">
        <v>42</v>
      </c>
      <c r="M1852" s="51" t="s">
        <v>42</v>
      </c>
      <c r="N1852" s="52" t="s">
        <v>1519</v>
      </c>
      <c r="O1852" s="51" t="e">
        <f>VLOOKUP(N1852,[2]!RUBROS[#All],3,0)</f>
        <v>#REF!</v>
      </c>
      <c r="P1852" s="53" t="e">
        <f>VLOOKUP(N1852,[2]!RUBROS[#All],2,0)</f>
        <v>#REF!</v>
      </c>
      <c r="Q1852" s="47" t="str">
        <f t="shared" si="596"/>
        <v>84</v>
      </c>
      <c r="R1852" s="47" t="str">
        <f t="shared" si="597"/>
        <v>0-205400</v>
      </c>
      <c r="S1852" s="339" t="s">
        <v>42</v>
      </c>
      <c r="T1852" s="59" t="s">
        <v>42</v>
      </c>
      <c r="U1852" s="326" t="e">
        <f ca="1">_xlfn.XLOOKUP(PAA_4[[#This Row],[ITEM]],[2]Contrato!A:A,[2]Contrato!Q:Q,"",0)</f>
        <v>#NAME?</v>
      </c>
      <c r="V1852" s="47" t="s">
        <v>42</v>
      </c>
      <c r="W1852" s="47" t="s">
        <v>42</v>
      </c>
      <c r="X1852" s="47" t="s">
        <v>42</v>
      </c>
      <c r="Y1852" s="55" t="e">
        <f ca="1">_xlfn.XLOOKUP(PAA_4[[#This Row],[ITEM]],[2]Contrato!A:A,[2]Contrato!B:B,"",0)</f>
        <v>#NAME?</v>
      </c>
      <c r="Z1852" s="47" t="e">
        <f ca="1">_xlfn.XLOOKUP(PAA_4[[#This Row],[ITEM]],[2]Contrato!A:A,[2]Contrato!G:G,"",0)</f>
        <v>#NAME?</v>
      </c>
      <c r="AA1852" s="47" t="e">
        <f ca="1">_xlfn.XLOOKUP(PAA_4[[#This Row],[ITEM]],[2]Contrato!A:A,[2]Contrato!T:T,"",0)</f>
        <v>#NAME?</v>
      </c>
      <c r="AB1852" s="55" t="e">
        <f ca="1">+MAX(PAA_4[[#This Row],[Comprometido Contrato]],PAA_4[[#This Row],[Comprometido Bolsa]])</f>
        <v>#NAME?</v>
      </c>
      <c r="AC1852" s="55" t="str">
        <f t="shared" ca="1" si="598"/>
        <v/>
      </c>
      <c r="AD1852" s="55" t="e">
        <f ca="1">IF(PAA_4[[#This Row],[ESTADO (formulado)]]="NO CONTRATADO",0,MAX(PAA_4[[#This Row],[Pago por Contrato]],PAA_4[[#This Row],[Pago por bolsa]]))</f>
        <v>#NAME?</v>
      </c>
      <c r="AE1852" s="55" t="str">
        <f t="shared" ca="1" si="599"/>
        <v/>
      </c>
      <c r="AF1852" s="47" t="e">
        <f t="shared" ca="1" si="600"/>
        <v>#NAME?</v>
      </c>
      <c r="AG1852" s="47">
        <f t="shared" si="601"/>
        <v>52010802</v>
      </c>
      <c r="AH1852" s="54">
        <f>IF(Q1852="22",IF(ISNUMBER(SEARCH("econ",PAA_4[[#This Row],[Actividad3]])),"Económico",IF(ISNUMBER(SEARCH("alim",PAA_4[[#This Row],[Actividad3]])),"Alimentación",IF(ISNUMBER(SEARCH("educ",PAA_4[[#This Row],[Actividad3]])),"Educativo","Técnico"))),0)</f>
        <v>0</v>
      </c>
      <c r="AI1852" s="47" t="e" cm="1">
        <f t="array" aca="1" ref="AI1852" ca="1">_xlfn.XLOOKUP(PAA_4[[#This Row],[RCP-RUBRO]],[2]!COMPROMISOS_2024[[#All],[concatenado]],[2]!COMPROMISOS_2024[[#All],[Total pagado]],"",0)</f>
        <v>#NAME?</v>
      </c>
      <c r="AJ1852" s="56">
        <f>IF(PAA_4[[#This Row],[BOLSA]]=0,0,SUMIFS([2]!COMPROMISOS_2024[[#All],[Total pagado]],[2]!COMPROMISOS_2024[[#All],[Bolsa]],PAA_4[[#This Row],[BOLSA]],[2]!COMPROMISOS_2024[[#All],[rubro]],PAA_4[[#This Row],[RCP-RUBRO]]))</f>
        <v>0</v>
      </c>
      <c r="AK1852" s="47" t="e" cm="1">
        <f t="array" aca="1" ref="AK1852" ca="1">_xlfn.XLOOKUP(PAA_4[[#This Row],[RCP-RUBRO]],[2]!COMPROMISOS_2024[[#All],[concatenado]],[2]!COMPROMISOS_2024[[#All],[Total Comprometido]],"",0)</f>
        <v>#NAME?</v>
      </c>
      <c r="AL1852" s="47">
        <f>IF(PAA_4[[#This Row],[BOLSA]]=0,0,SUMIFS([2]!COMPROMISOS_2024[[#All],[Total Comprometido]],[2]!COMPROMISOS_2024[[#All],[Bolsa]],PAA_4[[#This Row],[BOLSA]],[2]!COMPROMISOS_2024[[#All],[concatenado]],PAA_4[[#This Row],[RCP-RUBRO]]))</f>
        <v>0</v>
      </c>
    </row>
    <row r="1853" spans="1:38" s="19" customFormat="1" ht="31.5" customHeight="1">
      <c r="A1853" s="47">
        <v>1218</v>
      </c>
      <c r="B1853" s="47">
        <v>80111600</v>
      </c>
      <c r="C1853" s="47" t="str">
        <f>VLOOKUP(PAA_4[[#This Row],[PROYECTO (formulado)2]],[2]PROYECTOS!$G$1:$L$32,6,0)</f>
        <v>SUBGERENCIA DE ALTOS LOGROS Y DEPORTE ASOCIADO</v>
      </c>
      <c r="D1853" s="47" t="str">
        <f>+IF(PAA_4[[#This Row],[UNIDAD DE CONTRATACION (formulado)]]="Subgerencia Administrativa y Financiera","FUNCIONAMIENTO","INVERSIÓN")</f>
        <v>INVERSIÓN</v>
      </c>
      <c r="E1853" s="48" t="str">
        <f>VLOOKUP(Q1853,[2]PROYECTOS!$G$1:$K$32,5,0)</f>
        <v>Apoyo técnico a atletas y para-atletas que representan en alto rendimiento deportivo al departamento de Antioquia</v>
      </c>
      <c r="F1853" s="48">
        <f>VLOOKUP(E1853,[2]PROYECTOS!$K$1:$M$32,3,0)</f>
        <v>2024003050084</v>
      </c>
      <c r="G1853" s="67" t="s">
        <v>1518</v>
      </c>
      <c r="H1853" s="49" t="str">
        <f>VLOOKUP(Q1853,[2]PROYECTOS!$V$1:$W$32,2,0)</f>
        <v>050079</v>
      </c>
      <c r="I1853" s="78">
        <f>5407168-257484-130000</f>
        <v>5019684</v>
      </c>
      <c r="J1853" s="51" t="s">
        <v>2090</v>
      </c>
      <c r="K1853" s="47" t="str">
        <f t="shared" ca="1" si="595"/>
        <v>CONTRATADO</v>
      </c>
      <c r="L1853" s="47" t="s">
        <v>898</v>
      </c>
      <c r="M1853" s="51" t="s">
        <v>1297</v>
      </c>
      <c r="N1853" s="52" t="s">
        <v>1519</v>
      </c>
      <c r="O1853" s="51" t="e">
        <f>VLOOKUP(N1853,[2]!RUBROS[#All],3,0)</f>
        <v>#REF!</v>
      </c>
      <c r="P1853" s="53" t="e">
        <f>VLOOKUP(N1853,[2]!RUBROS[#All],2,0)</f>
        <v>#REF!</v>
      </c>
      <c r="Q1853" s="47" t="str">
        <f t="shared" si="596"/>
        <v>84</v>
      </c>
      <c r="R1853" s="47" t="str">
        <f t="shared" si="597"/>
        <v>0-205400</v>
      </c>
      <c r="S1853" s="339">
        <v>63</v>
      </c>
      <c r="T1853" s="59" t="s">
        <v>120</v>
      </c>
      <c r="U1853" s="326" t="e">
        <f ca="1">_xlfn.XLOOKUP(PAA_4[[#This Row],[ITEM]],[2]Contrato!A:A,[2]Contrato!Q:Q,"",0)</f>
        <v>#NAME?</v>
      </c>
      <c r="V1853" s="47" t="s">
        <v>95</v>
      </c>
      <c r="W1853" s="47" t="s">
        <v>204</v>
      </c>
      <c r="X1853" s="47" t="s">
        <v>204</v>
      </c>
      <c r="Y1853" s="55" t="e">
        <f ca="1">_xlfn.XLOOKUP(PAA_4[[#This Row],[ITEM]],[2]Contrato!A:A,[2]Contrato!B:B,"",0)</f>
        <v>#NAME?</v>
      </c>
      <c r="Z1853" s="47" t="e">
        <f ca="1">_xlfn.XLOOKUP(PAA_4[[#This Row],[ITEM]],[2]Contrato!A:A,[2]Contrato!G:G,"",0)</f>
        <v>#NAME?</v>
      </c>
      <c r="AA1853" s="47" t="e">
        <f ca="1">_xlfn.XLOOKUP(PAA_4[[#This Row],[ITEM]],[2]Contrato!A:A,[2]Contrato!T:T,"",0)</f>
        <v>#NAME?</v>
      </c>
      <c r="AB1853" s="55" t="e">
        <f ca="1">+MAX(PAA_4[[#This Row],[Comprometido Contrato]],PAA_4[[#This Row],[Comprometido Bolsa]])</f>
        <v>#NAME?</v>
      </c>
      <c r="AC1853" s="55" t="str">
        <f t="shared" ca="1" si="598"/>
        <v/>
      </c>
      <c r="AD1853" s="55" t="e">
        <f ca="1">IF(PAA_4[[#This Row],[ESTADO (formulado)]]="NO CONTRATADO",0,MAX(PAA_4[[#This Row],[Pago por Contrato]],PAA_4[[#This Row],[Pago por bolsa]]))</f>
        <v>#NAME?</v>
      </c>
      <c r="AE1853" s="55" t="str">
        <f t="shared" ca="1" si="599"/>
        <v/>
      </c>
      <c r="AF1853" s="47" t="e">
        <f t="shared" ca="1" si="600"/>
        <v>#NAME?</v>
      </c>
      <c r="AG1853" s="47">
        <f t="shared" si="601"/>
        <v>52010802</v>
      </c>
      <c r="AH1853" s="54">
        <f>IF(Q1853="22",IF(ISNUMBER(SEARCH("econ",PAA_4[[#This Row],[Actividad3]])),"Económico",IF(ISNUMBER(SEARCH("alim",PAA_4[[#This Row],[Actividad3]])),"Alimentación",IF(ISNUMBER(SEARCH("educ",PAA_4[[#This Row],[Actividad3]])),"Educativo","Técnico"))),0)</f>
        <v>0</v>
      </c>
      <c r="AI1853" s="47" t="e" cm="1">
        <f t="array" aca="1" ref="AI1853" ca="1">_xlfn.XLOOKUP(PAA_4[[#This Row],[RCP-RUBRO]],[2]!COMPROMISOS_2024[[#All],[concatenado]],[2]!COMPROMISOS_2024[[#All],[Total pagado]],"",0)</f>
        <v>#NAME?</v>
      </c>
      <c r="AJ1853" s="56">
        <f>IF(PAA_4[[#This Row],[BOLSA]]=0,0,SUMIFS([2]!COMPROMISOS_2024[[#All],[Total pagado]],[2]!COMPROMISOS_2024[[#All],[Bolsa]],PAA_4[[#This Row],[BOLSA]],[2]!COMPROMISOS_2024[[#All],[rubro]],PAA_4[[#This Row],[RCP-RUBRO]]))</f>
        <v>0</v>
      </c>
      <c r="AK1853" s="47" t="e" cm="1">
        <f t="array" aca="1" ref="AK1853" ca="1">_xlfn.XLOOKUP(PAA_4[[#This Row],[RCP-RUBRO]],[2]!COMPROMISOS_2024[[#All],[concatenado]],[2]!COMPROMISOS_2024[[#All],[Total Comprometido]],"",0)</f>
        <v>#NAME?</v>
      </c>
      <c r="AL1853" s="47">
        <f>IF(PAA_4[[#This Row],[BOLSA]]=0,0,SUMIFS([2]!COMPROMISOS_2024[[#All],[Total Comprometido]],[2]!COMPROMISOS_2024[[#All],[Bolsa]],PAA_4[[#This Row],[BOLSA]],[2]!COMPROMISOS_2024[[#All],[concatenado]],PAA_4[[#This Row],[RCP-RUBRO]]))</f>
        <v>0</v>
      </c>
    </row>
    <row r="1854" spans="1:38" s="19" customFormat="1" ht="31.5" customHeight="1">
      <c r="A1854" s="47" t="s">
        <v>82</v>
      </c>
      <c r="B1854" s="47" t="s">
        <v>42</v>
      </c>
      <c r="C1854" s="47" t="str">
        <f>VLOOKUP(PAA_4[[#This Row],[PROYECTO (formulado)2]],[2]PROYECTOS!$G$1:$L$32,6,0)</f>
        <v>SUBGERENCIA DE ALTOS LOGROS Y DEPORTE ASOCIADO</v>
      </c>
      <c r="D1854" s="47" t="str">
        <f>+IF(PAA_4[[#This Row],[UNIDAD DE CONTRATACION (formulado)]]="Subgerencia Administrativa y Financiera","FUNCIONAMIENTO","INVERSIÓN")</f>
        <v>INVERSIÓN</v>
      </c>
      <c r="E1854" s="48" t="str">
        <f>VLOOKUP(Q1854,[2]PROYECTOS!$G$1:$K$32,5,0)</f>
        <v>Apoyo económico a las organizaciones deportivas que representan en competencias al departamento de Antioquia</v>
      </c>
      <c r="F1854" s="48">
        <f>VLOOKUP(E1854,[2]PROYECTOS!$K$1:$M$32,3,0)</f>
        <v>2024003050102</v>
      </c>
      <c r="G1854" s="67" t="s">
        <v>1516</v>
      </c>
      <c r="H1854" s="49" t="str">
        <f>VLOOKUP(Q1854,[2]PROYECTOS!$V$1:$W$32,2,0)</f>
        <v>050076</v>
      </c>
      <c r="I1854" s="78">
        <v>24000000</v>
      </c>
      <c r="J1854" s="51" t="s">
        <v>1757</v>
      </c>
      <c r="K1854" s="47" t="str">
        <f ca="1">IF(ISNONTEXT(Y1854)=TRUE,"CONTRATADO","NO CONTRATADO")</f>
        <v>CONTRATADO</v>
      </c>
      <c r="L1854" s="47" t="s">
        <v>42</v>
      </c>
      <c r="M1854" s="51" t="s">
        <v>42</v>
      </c>
      <c r="N1854" s="52" t="s">
        <v>1520</v>
      </c>
      <c r="O1854" s="51" t="e">
        <f>VLOOKUP(N1854,[2]!RUBROS[#All],3,0)</f>
        <v>#REF!</v>
      </c>
      <c r="P1854" s="53" t="e">
        <f>VLOOKUP(N1854,[2]!RUBROS[#All],2,0)</f>
        <v>#REF!</v>
      </c>
      <c r="Q1854" s="47" t="str">
        <f>+MID(N1854,11,2)</f>
        <v>02</v>
      </c>
      <c r="R1854" s="47" t="str">
        <f>+MID(N1854,14,8)</f>
        <v>4-101124</v>
      </c>
      <c r="S1854" s="388" t="s">
        <v>42</v>
      </c>
      <c r="T1854" s="59" t="s">
        <v>42</v>
      </c>
      <c r="U1854" s="326" t="e">
        <f ca="1">_xlfn.XLOOKUP(PAA_4[[#This Row],[ITEM]],[2]Contrato!A:A,[2]Contrato!Q:Q,"",0)</f>
        <v>#NAME?</v>
      </c>
      <c r="V1854" s="47" t="s">
        <v>95</v>
      </c>
      <c r="W1854" s="370" t="s">
        <v>42</v>
      </c>
      <c r="X1854" s="370" t="s">
        <v>42</v>
      </c>
      <c r="Y1854" s="55" t="e">
        <f ca="1">_xlfn.XLOOKUP(PAA_4[[#This Row],[ITEM]],[2]Contrato!A:A,[2]Contrato!B:B,"",0)</f>
        <v>#NAME?</v>
      </c>
      <c r="Z1854" s="47" t="e">
        <f ca="1">_xlfn.XLOOKUP(PAA_4[[#This Row],[ITEM]],[2]Contrato!A:A,[2]Contrato!G:G,"",0)</f>
        <v>#NAME?</v>
      </c>
      <c r="AA1854" s="47" t="e">
        <f ca="1">_xlfn.XLOOKUP(PAA_4[[#This Row],[ITEM]],[2]Contrato!A:A,[2]Contrato!T:T,"",0)</f>
        <v>#NAME?</v>
      </c>
      <c r="AB1854" s="55" t="e">
        <f ca="1">+MAX(PAA_4[[#This Row],[Comprometido Contrato]],PAA_4[[#This Row],[Comprometido Bolsa]])</f>
        <v>#NAME?</v>
      </c>
      <c r="AC1854" s="55" t="str">
        <f ca="1">IFERROR(I1854-AB1854,"")</f>
        <v/>
      </c>
      <c r="AD1854" s="55" t="e">
        <f ca="1">IF(PAA_4[[#This Row],[ESTADO (formulado)]]="NO CONTRATADO",0,MAX(PAA_4[[#This Row],[Pago por Contrato]],PAA_4[[#This Row],[Pago por bolsa]]))</f>
        <v>#NAME?</v>
      </c>
      <c r="AE1854" s="55" t="str">
        <f ca="1">+IFERROR(AB1854-AD1854,"")</f>
        <v/>
      </c>
      <c r="AF1854" s="47" t="e">
        <f ca="1">+CONCATENATE(AA1854,N1854)</f>
        <v>#NAME?</v>
      </c>
      <c r="AG1854" s="47">
        <f>IFERROR(_xlfn.NUMBERVALUE(MID(G1854,1,8)),"")</f>
        <v>52010801</v>
      </c>
      <c r="AH1854" s="54">
        <f>IF(Q1854="22",IF(ISNUMBER(SEARCH("econ",PAA_4[[#This Row],[Actividad3]])),"Económico",IF(ISNUMBER(SEARCH("alim",PAA_4[[#This Row],[Actividad3]])),"Alimentación",IF(ISNUMBER(SEARCH("educ",PAA_4[[#This Row],[Actividad3]])),"Educativo","Técnico"))),0)</f>
        <v>0</v>
      </c>
      <c r="AI1854" s="47" t="e" cm="1">
        <f t="array" aca="1" ref="AI1854" ca="1">_xlfn.XLOOKUP(PAA_4[[#This Row],[RCP-RUBRO]],[2]!COMPROMISOS_2024[[#All],[concatenado]],[2]!COMPROMISOS_2024[[#All],[Total pagado]],"",0)</f>
        <v>#NAME?</v>
      </c>
      <c r="AJ1854" s="56">
        <f>IF(PAA_4[[#This Row],[BOLSA]]=0,0,SUMIFS([2]!COMPROMISOS_2024[[#All],[Total pagado]],[2]!COMPROMISOS_2024[[#All],[Bolsa]],PAA_4[[#This Row],[BOLSA]],[2]!COMPROMISOS_2024[[#All],[rubro]],PAA_4[[#This Row],[RCP-RUBRO]]))</f>
        <v>0</v>
      </c>
      <c r="AK1854" s="47" t="e" cm="1">
        <f t="array" aca="1" ref="AK1854" ca="1">_xlfn.XLOOKUP(PAA_4[[#This Row],[RCP-RUBRO]],[2]!COMPROMISOS_2024[[#All],[concatenado]],[2]!COMPROMISOS_2024[[#All],[Total Comprometido]],"",0)</f>
        <v>#NAME?</v>
      </c>
      <c r="AL1854" s="47">
        <f>IF(PAA_4[[#This Row],[BOLSA]]=0,0,SUMIFS([2]!COMPROMISOS_2024[[#All],[Total Comprometido]],[2]!COMPROMISOS_2024[[#All],[Bolsa]],PAA_4[[#This Row],[BOLSA]],[2]!COMPROMISOS_2024[[#All],[concatenado]],PAA_4[[#This Row],[RCP-RUBRO]]))</f>
        <v>0</v>
      </c>
    </row>
    <row r="1855" spans="1:38" s="19" customFormat="1" ht="31.5" customHeight="1">
      <c r="A1855" s="47">
        <v>1219</v>
      </c>
      <c r="B1855" s="47">
        <v>90141502</v>
      </c>
      <c r="C1855" s="47" t="str">
        <f>VLOOKUP(PAA_4[[#This Row],[PROYECTO (formulado)2]],[2]PROYECTOS!$G$1:$L$32,6,0)</f>
        <v>SUBGERENCIA DE ALTOS LOGROS Y DEPORTE ASOCIADO</v>
      </c>
      <c r="D1855" s="47" t="str">
        <f>+IF(PAA_4[[#This Row],[UNIDAD DE CONTRATACION (formulado)]]="Subgerencia Administrativa y Financiera","FUNCIONAMIENTO","INVERSIÓN")</f>
        <v>INVERSIÓN</v>
      </c>
      <c r="E1855" s="48" t="str">
        <f>VLOOKUP(Q1855,[2]PROYECTOS!$G$1:$K$32,5,0)</f>
        <v>Apoyo económico a las organizaciones deportivas que representan en competencias al departamento de Antioquia</v>
      </c>
      <c r="F1855" s="48">
        <f>VLOOKUP(E1855,[2]PROYECTOS!$K$1:$M$32,3,0)</f>
        <v>2024003050102</v>
      </c>
      <c r="G1855" s="67" t="s">
        <v>1516</v>
      </c>
      <c r="H1855" s="49" t="str">
        <f>VLOOKUP(Q1855,[2]PROYECTOS!$V$1:$W$32,2,0)</f>
        <v>050076</v>
      </c>
      <c r="I1855" s="78">
        <f>40000000-24000000</f>
        <v>16000000</v>
      </c>
      <c r="J1855" s="51" t="s">
        <v>2091</v>
      </c>
      <c r="K1855" s="47" t="str">
        <f t="shared" ref="K1855:K1919" ca="1" si="602">IF(ISNONTEXT(Y1855)=TRUE,"CONTRATADO","NO CONTRATADO")</f>
        <v>CONTRATADO</v>
      </c>
      <c r="L1855" s="47" t="s">
        <v>898</v>
      </c>
      <c r="M1855" s="51" t="s">
        <v>1767</v>
      </c>
      <c r="N1855" s="52" t="s">
        <v>1520</v>
      </c>
      <c r="O1855" s="51" t="e">
        <f>VLOOKUP(N1855,[2]!RUBROS[#All],3,0)</f>
        <v>#REF!</v>
      </c>
      <c r="P1855" s="53" t="e">
        <f>VLOOKUP(N1855,[2]!RUBROS[#All],2,0)</f>
        <v>#REF!</v>
      </c>
      <c r="Q1855" s="47" t="str">
        <f t="shared" ref="Q1855:Q1923" si="603">+MID(N1855,11,2)</f>
        <v>02</v>
      </c>
      <c r="R1855" s="47" t="str">
        <f t="shared" ref="R1855:R1923" si="604">+MID(N1855,14,8)</f>
        <v>4-101124</v>
      </c>
      <c r="S1855" s="339">
        <v>80</v>
      </c>
      <c r="T1855" s="59" t="s">
        <v>120</v>
      </c>
      <c r="U1855" s="326" t="e">
        <f ca="1">_xlfn.XLOOKUP(PAA_4[[#This Row],[ITEM]],[2]Contrato!A:A,[2]Contrato!Q:Q,"",0)</f>
        <v>#NAME?</v>
      </c>
      <c r="V1855" s="47" t="s">
        <v>95</v>
      </c>
      <c r="W1855" s="47" t="s">
        <v>204</v>
      </c>
      <c r="X1855" s="47" t="s">
        <v>204</v>
      </c>
      <c r="Y1855" s="55" t="e">
        <f ca="1">_xlfn.XLOOKUP(PAA_4[[#This Row],[ITEM]],[2]Contrato!A:A,[2]Contrato!B:B,"",0)</f>
        <v>#NAME?</v>
      </c>
      <c r="Z1855" s="47" t="e">
        <f ca="1">_xlfn.XLOOKUP(PAA_4[[#This Row],[ITEM]],[2]Contrato!A:A,[2]Contrato!G:G,"",0)</f>
        <v>#NAME?</v>
      </c>
      <c r="AA1855" s="47" t="e">
        <f ca="1">_xlfn.XLOOKUP(PAA_4[[#This Row],[ITEM]],[2]Contrato!A:A,[2]Contrato!T:T,"",0)</f>
        <v>#NAME?</v>
      </c>
      <c r="AB1855" s="55" t="e">
        <f ca="1">+MAX(PAA_4[[#This Row],[Comprometido Contrato]],PAA_4[[#This Row],[Comprometido Bolsa]])</f>
        <v>#NAME?</v>
      </c>
      <c r="AC1855" s="55" t="str">
        <f t="shared" ref="AC1855:AC1923" ca="1" si="605">IFERROR(I1855-AB1855,"")</f>
        <v/>
      </c>
      <c r="AD1855" s="55" t="e">
        <f ca="1">IF(PAA_4[[#This Row],[ESTADO (formulado)]]="NO CONTRATADO",0,MAX(PAA_4[[#This Row],[Pago por Contrato]],PAA_4[[#This Row],[Pago por bolsa]]))</f>
        <v>#NAME?</v>
      </c>
      <c r="AE1855" s="55" t="str">
        <f t="shared" ref="AE1855:AE1919" ca="1" si="606">+IFERROR(AB1855-AD1855,"")</f>
        <v/>
      </c>
      <c r="AF1855" s="47" t="e">
        <f t="shared" ref="AF1855:AF1923" ca="1" si="607">+CONCATENATE(AA1855,N1855)</f>
        <v>#NAME?</v>
      </c>
      <c r="AG1855" s="47">
        <f t="shared" ref="AG1855:AG1919" si="608">IFERROR(_xlfn.NUMBERVALUE(MID(G1855,1,8)),"")</f>
        <v>52010801</v>
      </c>
      <c r="AH1855" s="54">
        <f>IF(Q1855="22",IF(ISNUMBER(SEARCH("econ",PAA_4[[#This Row],[Actividad3]])),"Económico",IF(ISNUMBER(SEARCH("alim",PAA_4[[#This Row],[Actividad3]])),"Alimentación",IF(ISNUMBER(SEARCH("educ",PAA_4[[#This Row],[Actividad3]])),"Educativo","Técnico"))),0)</f>
        <v>0</v>
      </c>
      <c r="AI1855" s="47" t="e" cm="1">
        <f t="array" aca="1" ref="AI1855" ca="1">_xlfn.XLOOKUP(PAA_4[[#This Row],[RCP-RUBRO]],[2]!COMPROMISOS_2024[[#All],[concatenado]],[2]!COMPROMISOS_2024[[#All],[Total pagado]],"",0)</f>
        <v>#NAME?</v>
      </c>
      <c r="AJ1855" s="56">
        <f>IF(PAA_4[[#This Row],[BOLSA]]=0,0,SUMIFS([2]!COMPROMISOS_2024[[#All],[Total pagado]],[2]!COMPROMISOS_2024[[#All],[Bolsa]],PAA_4[[#This Row],[BOLSA]],[2]!COMPROMISOS_2024[[#All],[rubro]],PAA_4[[#This Row],[RCP-RUBRO]]))</f>
        <v>0</v>
      </c>
      <c r="AK1855" s="47" t="e" cm="1">
        <f t="array" aca="1" ref="AK1855" ca="1">_xlfn.XLOOKUP(PAA_4[[#This Row],[RCP-RUBRO]],[2]!COMPROMISOS_2024[[#All],[concatenado]],[2]!COMPROMISOS_2024[[#All],[Total Comprometido]],"",0)</f>
        <v>#NAME?</v>
      </c>
      <c r="AL1855" s="47">
        <f>IF(PAA_4[[#This Row],[BOLSA]]=0,0,SUMIFS([2]!COMPROMISOS_2024[[#All],[Total Comprometido]],[2]!COMPROMISOS_2024[[#All],[Bolsa]],PAA_4[[#This Row],[BOLSA]],[2]!COMPROMISOS_2024[[#All],[concatenado]],PAA_4[[#This Row],[RCP-RUBRO]]))</f>
        <v>0</v>
      </c>
    </row>
    <row r="1856" spans="1:38" s="19" customFormat="1" ht="31.5" customHeight="1">
      <c r="A1856" s="47">
        <v>1220</v>
      </c>
      <c r="B1856" s="47">
        <v>90141502</v>
      </c>
      <c r="C1856" s="47" t="str">
        <f>VLOOKUP(PAA_4[[#This Row],[PROYECTO (formulado)2]],[2]PROYECTOS!$G$1:$L$32,6,0)</f>
        <v>SUBGERENCIA DE ALTOS LOGROS Y DEPORTE ASOCIADO</v>
      </c>
      <c r="D1856" s="47" t="str">
        <f>+IF(PAA_4[[#This Row],[UNIDAD DE CONTRATACION (formulado)]]="Subgerencia Administrativa y Financiera","FUNCIONAMIENTO","INVERSIÓN")</f>
        <v>INVERSIÓN</v>
      </c>
      <c r="E1856" s="48" t="str">
        <f>VLOOKUP(Q1856,[2]PROYECTOS!$G$1:$K$32,5,0)</f>
        <v>Apoyo económico a las organizaciones deportivas que representan en competencias al departamento de Antioquia</v>
      </c>
      <c r="F1856" s="48">
        <f>VLOOKUP(E1856,[2]PROYECTOS!$K$1:$M$32,3,0)</f>
        <v>2024003050102</v>
      </c>
      <c r="G1856" s="67" t="s">
        <v>1516</v>
      </c>
      <c r="H1856" s="49" t="str">
        <f>VLOOKUP(Q1856,[2]PROYECTOS!$V$1:$W$32,2,0)</f>
        <v>050076</v>
      </c>
      <c r="I1856" s="78">
        <v>60000000</v>
      </c>
      <c r="J1856" s="51" t="s">
        <v>2092</v>
      </c>
      <c r="K1856" s="47" t="str">
        <f t="shared" ca="1" si="602"/>
        <v>CONTRATADO</v>
      </c>
      <c r="L1856" s="47" t="s">
        <v>898</v>
      </c>
      <c r="M1856" s="51" t="s">
        <v>1767</v>
      </c>
      <c r="N1856" s="52" t="s">
        <v>1517</v>
      </c>
      <c r="O1856" s="51" t="e">
        <f>VLOOKUP(N1856,[2]!RUBROS[#All],3,0)</f>
        <v>#REF!</v>
      </c>
      <c r="P1856" s="53" t="e">
        <f>VLOOKUP(N1856,[2]!RUBROS[#All],2,0)</f>
        <v>#REF!</v>
      </c>
      <c r="Q1856" s="47" t="str">
        <f t="shared" si="603"/>
        <v>02</v>
      </c>
      <c r="R1856" s="47" t="str">
        <f t="shared" si="604"/>
        <v>0-205400</v>
      </c>
      <c r="S1856" s="339">
        <v>80</v>
      </c>
      <c r="T1856" s="59" t="s">
        <v>120</v>
      </c>
      <c r="U1856" s="326" t="e">
        <f ca="1">_xlfn.XLOOKUP(PAA_4[[#This Row],[ITEM]],[2]Contrato!A:A,[2]Contrato!Q:Q,"",0)</f>
        <v>#NAME?</v>
      </c>
      <c r="V1856" s="47" t="s">
        <v>95</v>
      </c>
      <c r="W1856" s="47" t="s">
        <v>204</v>
      </c>
      <c r="X1856" s="47" t="s">
        <v>204</v>
      </c>
      <c r="Y1856" s="55" t="e">
        <f ca="1">_xlfn.XLOOKUP(PAA_4[[#This Row],[ITEM]],[2]Contrato!A:A,[2]Contrato!B:B,"",0)</f>
        <v>#NAME?</v>
      </c>
      <c r="Z1856" s="47" t="e">
        <f ca="1">_xlfn.XLOOKUP(PAA_4[[#This Row],[ITEM]],[2]Contrato!A:A,[2]Contrato!G:G,"",0)</f>
        <v>#NAME?</v>
      </c>
      <c r="AA1856" s="47" t="e">
        <f ca="1">_xlfn.XLOOKUP(PAA_4[[#This Row],[ITEM]],[2]Contrato!A:A,[2]Contrato!T:T,"",0)</f>
        <v>#NAME?</v>
      </c>
      <c r="AB1856" s="55" t="e">
        <f ca="1">+MAX(PAA_4[[#This Row],[Comprometido Contrato]],PAA_4[[#This Row],[Comprometido Bolsa]])</f>
        <v>#NAME?</v>
      </c>
      <c r="AC1856" s="55" t="str">
        <f t="shared" ca="1" si="605"/>
        <v/>
      </c>
      <c r="AD1856" s="55" t="e">
        <f ca="1">IF(PAA_4[[#This Row],[ESTADO (formulado)]]="NO CONTRATADO",0,MAX(PAA_4[[#This Row],[Pago por Contrato]],PAA_4[[#This Row],[Pago por bolsa]]))</f>
        <v>#NAME?</v>
      </c>
      <c r="AE1856" s="55" t="str">
        <f t="shared" ca="1" si="606"/>
        <v/>
      </c>
      <c r="AF1856" s="47" t="e">
        <f t="shared" ca="1" si="607"/>
        <v>#NAME?</v>
      </c>
      <c r="AG1856" s="47">
        <f t="shared" si="608"/>
        <v>52010801</v>
      </c>
      <c r="AH1856" s="54">
        <f>IF(Q1856="22",IF(ISNUMBER(SEARCH("econ",PAA_4[[#This Row],[Actividad3]])),"Económico",IF(ISNUMBER(SEARCH("alim",PAA_4[[#This Row],[Actividad3]])),"Alimentación",IF(ISNUMBER(SEARCH("educ",PAA_4[[#This Row],[Actividad3]])),"Educativo","Técnico"))),0)</f>
        <v>0</v>
      </c>
      <c r="AI1856" s="47" t="e" cm="1">
        <f t="array" aca="1" ref="AI1856" ca="1">_xlfn.XLOOKUP(PAA_4[[#This Row],[RCP-RUBRO]],[2]!COMPROMISOS_2024[[#All],[concatenado]],[2]!COMPROMISOS_2024[[#All],[Total pagado]],"",0)</f>
        <v>#NAME?</v>
      </c>
      <c r="AJ1856" s="56">
        <f>IF(PAA_4[[#This Row],[BOLSA]]=0,0,SUMIFS([2]!COMPROMISOS_2024[[#All],[Total pagado]],[2]!COMPROMISOS_2024[[#All],[Bolsa]],PAA_4[[#This Row],[BOLSA]],[2]!COMPROMISOS_2024[[#All],[rubro]],PAA_4[[#This Row],[RCP-RUBRO]]))</f>
        <v>0</v>
      </c>
      <c r="AK1856" s="47" t="e" cm="1">
        <f t="array" aca="1" ref="AK1856" ca="1">_xlfn.XLOOKUP(PAA_4[[#This Row],[RCP-RUBRO]],[2]!COMPROMISOS_2024[[#All],[concatenado]],[2]!COMPROMISOS_2024[[#All],[Total Comprometido]],"",0)</f>
        <v>#NAME?</v>
      </c>
      <c r="AL1856" s="47">
        <f>IF(PAA_4[[#This Row],[BOLSA]]=0,0,SUMIFS([2]!COMPROMISOS_2024[[#All],[Total Comprometido]],[2]!COMPROMISOS_2024[[#All],[Bolsa]],PAA_4[[#This Row],[BOLSA]],[2]!COMPROMISOS_2024[[#All],[concatenado]],PAA_4[[#This Row],[RCP-RUBRO]]))</f>
        <v>0</v>
      </c>
    </row>
    <row r="1857" spans="1:38" s="19" customFormat="1" ht="31.5" customHeight="1">
      <c r="A1857" s="47">
        <v>1225</v>
      </c>
      <c r="B1857" s="47">
        <v>80111600</v>
      </c>
      <c r="C1857" s="47" t="str">
        <f>VLOOKUP(PAA_4[[#This Row],[PROYECTO (formulado)2]],[2]PROYECTOS!$G$1:$L$32,6,0)</f>
        <v>SUBGERENCIA DE ALTOS LOGROS Y DEPORTE ASOCIADO</v>
      </c>
      <c r="D1857" s="47" t="str">
        <f>+IF(PAA_4[[#This Row],[UNIDAD DE CONTRATACION (formulado)]]="Subgerencia Administrativa y Financiera","FUNCIONAMIENTO","INVERSIÓN")</f>
        <v>INVERSIÓN</v>
      </c>
      <c r="E1857" s="48" t="str">
        <f>VLOOKUP(Q1857,[2]PROYECTOS!$G$1:$K$32,5,0)</f>
        <v>Apoyo técnico a atletas y para-atletas que representan en alto rendimiento deportivo al departamento de Antioquia</v>
      </c>
      <c r="F1857" s="48">
        <f>VLOOKUP(E1857,[2]PROYECTOS!$K$1:$M$32,3,0)</f>
        <v>2024003050084</v>
      </c>
      <c r="G1857" s="67" t="s">
        <v>1518</v>
      </c>
      <c r="H1857" s="49" t="str">
        <f>VLOOKUP(Q1857,[2]PROYECTOS!$V$1:$W$32,2,0)</f>
        <v>050079</v>
      </c>
      <c r="I1857" s="78">
        <v>9654241</v>
      </c>
      <c r="J1857" s="51" t="s">
        <v>2093</v>
      </c>
      <c r="K1857" s="47" t="str">
        <f t="shared" ca="1" si="602"/>
        <v>CONTRATADO</v>
      </c>
      <c r="L1857" s="47" t="s">
        <v>898</v>
      </c>
      <c r="M1857" s="51" t="s">
        <v>1297</v>
      </c>
      <c r="N1857" s="52" t="s">
        <v>1519</v>
      </c>
      <c r="O1857" s="51" t="e">
        <f>VLOOKUP(N1857,[2]!RUBROS[#All],3,0)</f>
        <v>#REF!</v>
      </c>
      <c r="P1857" s="53" t="e">
        <f>VLOOKUP(N1857,[2]!RUBROS[#All],2,0)</f>
        <v>#REF!</v>
      </c>
      <c r="Q1857" s="47" t="str">
        <f t="shared" si="603"/>
        <v>84</v>
      </c>
      <c r="R1857" s="47" t="str">
        <f t="shared" si="604"/>
        <v>0-205400</v>
      </c>
      <c r="S1857" s="339">
        <v>59</v>
      </c>
      <c r="T1857" s="59" t="s">
        <v>120</v>
      </c>
      <c r="U1857" s="326" t="e">
        <f ca="1">_xlfn.XLOOKUP(PAA_4[[#This Row],[ITEM]],[2]Contrato!A:A,[2]Contrato!Q:Q,"",0)</f>
        <v>#NAME?</v>
      </c>
      <c r="V1857" s="47" t="s">
        <v>95</v>
      </c>
      <c r="W1857" s="47" t="s">
        <v>204</v>
      </c>
      <c r="X1857" s="47" t="s">
        <v>204</v>
      </c>
      <c r="Y1857" s="55" t="e">
        <f ca="1">_xlfn.XLOOKUP(PAA_4[[#This Row],[ITEM]],[2]Contrato!A:A,[2]Contrato!B:B,"",0)</f>
        <v>#NAME?</v>
      </c>
      <c r="Z1857" s="47" t="e">
        <f ca="1">_xlfn.XLOOKUP(PAA_4[[#This Row],[ITEM]],[2]Contrato!A:A,[2]Contrato!G:G,"",0)</f>
        <v>#NAME?</v>
      </c>
      <c r="AA1857" s="47" t="e">
        <f ca="1">_xlfn.XLOOKUP(PAA_4[[#This Row],[ITEM]],[2]Contrato!A:A,[2]Contrato!T:T,"",0)</f>
        <v>#NAME?</v>
      </c>
      <c r="AB1857" s="55" t="e">
        <f ca="1">+MAX(PAA_4[[#This Row],[Comprometido Contrato]],PAA_4[[#This Row],[Comprometido Bolsa]])</f>
        <v>#NAME?</v>
      </c>
      <c r="AC1857" s="55" t="str">
        <f t="shared" ca="1" si="605"/>
        <v/>
      </c>
      <c r="AD1857" s="55" t="e">
        <f ca="1">IF(PAA_4[[#This Row],[ESTADO (formulado)]]="NO CONTRATADO",0,MAX(PAA_4[[#This Row],[Pago por Contrato]],PAA_4[[#This Row],[Pago por bolsa]]))</f>
        <v>#NAME?</v>
      </c>
      <c r="AE1857" s="55" t="str">
        <f t="shared" ca="1" si="606"/>
        <v/>
      </c>
      <c r="AF1857" s="47" t="e">
        <f t="shared" ca="1" si="607"/>
        <v>#NAME?</v>
      </c>
      <c r="AG1857" s="47">
        <f t="shared" si="608"/>
        <v>52010802</v>
      </c>
      <c r="AH1857" s="54">
        <f>IF(Q1857="22",IF(ISNUMBER(SEARCH("econ",PAA_4[[#This Row],[Actividad3]])),"Económico",IF(ISNUMBER(SEARCH("alim",PAA_4[[#This Row],[Actividad3]])),"Alimentación",IF(ISNUMBER(SEARCH("educ",PAA_4[[#This Row],[Actividad3]])),"Educativo","Técnico"))),0)</f>
        <v>0</v>
      </c>
      <c r="AI1857" s="47" t="e" cm="1">
        <f t="array" aca="1" ref="AI1857" ca="1">_xlfn.XLOOKUP(PAA_4[[#This Row],[RCP-RUBRO]],[2]!COMPROMISOS_2024[[#All],[concatenado]],[2]!COMPROMISOS_2024[[#All],[Total pagado]],"",0)</f>
        <v>#NAME?</v>
      </c>
      <c r="AJ1857" s="56">
        <f>IF(PAA_4[[#This Row],[BOLSA]]=0,0,SUMIFS([2]!COMPROMISOS_2024[[#All],[Total pagado]],[2]!COMPROMISOS_2024[[#All],[Bolsa]],PAA_4[[#This Row],[BOLSA]],[2]!COMPROMISOS_2024[[#All],[rubro]],PAA_4[[#This Row],[RCP-RUBRO]]))</f>
        <v>0</v>
      </c>
      <c r="AK1857" s="47" t="e" cm="1">
        <f t="array" aca="1" ref="AK1857" ca="1">_xlfn.XLOOKUP(PAA_4[[#This Row],[RCP-RUBRO]],[2]!COMPROMISOS_2024[[#All],[concatenado]],[2]!COMPROMISOS_2024[[#All],[Total Comprometido]],"",0)</f>
        <v>#NAME?</v>
      </c>
      <c r="AL1857" s="47">
        <f>IF(PAA_4[[#This Row],[BOLSA]]=0,0,SUMIFS([2]!COMPROMISOS_2024[[#All],[Total Comprometido]],[2]!COMPROMISOS_2024[[#All],[Bolsa]],PAA_4[[#This Row],[BOLSA]],[2]!COMPROMISOS_2024[[#All],[concatenado]],PAA_4[[#This Row],[RCP-RUBRO]]))</f>
        <v>0</v>
      </c>
    </row>
    <row r="1858" spans="1:38" s="19" customFormat="1" ht="31.5" customHeight="1">
      <c r="A1858" s="47">
        <v>1226</v>
      </c>
      <c r="B1858" s="47">
        <v>90141502</v>
      </c>
      <c r="C1858" s="47" t="str">
        <f>VLOOKUP(PAA_4[[#This Row],[PROYECTO (formulado)2]],[2]PROYECTOS!$G$1:$L$32,6,0)</f>
        <v>SUBGERENCIA DE ALTOS LOGROS Y DEPORTE ASOCIADO</v>
      </c>
      <c r="D1858" s="47" t="str">
        <f>+IF(PAA_4[[#This Row],[UNIDAD DE CONTRATACION (formulado)]]="Subgerencia Administrativa y Financiera","FUNCIONAMIENTO","INVERSIÓN")</f>
        <v>INVERSIÓN</v>
      </c>
      <c r="E1858" s="48" t="str">
        <f>VLOOKUP(Q1858,[2]PROYECTOS!$G$1:$K$32,5,0)</f>
        <v>Apoyo económico a las organizaciones deportivas que representan en competencias al departamento de Antioquia</v>
      </c>
      <c r="F1858" s="48">
        <f>VLOOKUP(E1858,[2]PROYECTOS!$K$1:$M$32,3,0)</f>
        <v>2024003050102</v>
      </c>
      <c r="G1858" s="67" t="s">
        <v>1516</v>
      </c>
      <c r="H1858" s="49" t="str">
        <f>VLOOKUP(Q1858,[2]PROYECTOS!$V$1:$W$32,2,0)</f>
        <v>050076</v>
      </c>
      <c r="I1858" s="78">
        <v>40000000</v>
      </c>
      <c r="J1858" s="51" t="s">
        <v>2094</v>
      </c>
      <c r="K1858" s="47" t="str">
        <f t="shared" ca="1" si="602"/>
        <v>CONTRATADO</v>
      </c>
      <c r="L1858" s="47" t="s">
        <v>898</v>
      </c>
      <c r="M1858" s="51" t="s">
        <v>1767</v>
      </c>
      <c r="N1858" s="52" t="s">
        <v>1520</v>
      </c>
      <c r="O1858" s="51" t="e">
        <f>VLOOKUP(N1858,[2]!RUBROS[#All],3,0)</f>
        <v>#REF!</v>
      </c>
      <c r="P1858" s="53" t="e">
        <f>VLOOKUP(N1858,[2]!RUBROS[#All],2,0)</f>
        <v>#REF!</v>
      </c>
      <c r="Q1858" s="47" t="str">
        <f t="shared" si="603"/>
        <v>02</v>
      </c>
      <c r="R1858" s="47" t="str">
        <f t="shared" si="604"/>
        <v>4-101124</v>
      </c>
      <c r="S1858" s="339">
        <v>80</v>
      </c>
      <c r="T1858" s="59" t="s">
        <v>120</v>
      </c>
      <c r="U1858" s="326" t="e">
        <f ca="1">_xlfn.XLOOKUP(PAA_4[[#This Row],[ITEM]],[2]Contrato!A:A,[2]Contrato!Q:Q,"",0)</f>
        <v>#NAME?</v>
      </c>
      <c r="V1858" s="47" t="s">
        <v>95</v>
      </c>
      <c r="W1858" s="47" t="s">
        <v>204</v>
      </c>
      <c r="X1858" s="47" t="s">
        <v>204</v>
      </c>
      <c r="Y1858" s="55" t="e">
        <f ca="1">_xlfn.XLOOKUP(PAA_4[[#This Row],[ITEM]],[2]Contrato!A:A,[2]Contrato!B:B,"",0)</f>
        <v>#NAME?</v>
      </c>
      <c r="Z1858" s="47" t="e">
        <f ca="1">_xlfn.XLOOKUP(PAA_4[[#This Row],[ITEM]],[2]Contrato!A:A,[2]Contrato!G:G,"",0)</f>
        <v>#NAME?</v>
      </c>
      <c r="AA1858" s="47" t="e">
        <f ca="1">_xlfn.XLOOKUP(PAA_4[[#This Row],[ITEM]],[2]Contrato!A:A,[2]Contrato!T:T,"",0)</f>
        <v>#NAME?</v>
      </c>
      <c r="AB1858" s="55" t="e">
        <f ca="1">+MAX(PAA_4[[#This Row],[Comprometido Contrato]],PAA_4[[#This Row],[Comprometido Bolsa]])</f>
        <v>#NAME?</v>
      </c>
      <c r="AC1858" s="55" t="str">
        <f t="shared" ca="1" si="605"/>
        <v/>
      </c>
      <c r="AD1858" s="55" t="e">
        <f ca="1">IF(PAA_4[[#This Row],[ESTADO (formulado)]]="NO CONTRATADO",0,MAX(PAA_4[[#This Row],[Pago por Contrato]],PAA_4[[#This Row],[Pago por bolsa]]))</f>
        <v>#NAME?</v>
      </c>
      <c r="AE1858" s="55" t="str">
        <f t="shared" ca="1" si="606"/>
        <v/>
      </c>
      <c r="AF1858" s="47" t="e">
        <f t="shared" ca="1" si="607"/>
        <v>#NAME?</v>
      </c>
      <c r="AG1858" s="47">
        <f t="shared" si="608"/>
        <v>52010801</v>
      </c>
      <c r="AH1858" s="54">
        <f>IF(Q1858="22",IF(ISNUMBER(SEARCH("econ",PAA_4[[#This Row],[Actividad3]])),"Económico",IF(ISNUMBER(SEARCH("alim",PAA_4[[#This Row],[Actividad3]])),"Alimentación",IF(ISNUMBER(SEARCH("educ",PAA_4[[#This Row],[Actividad3]])),"Educativo","Técnico"))),0)</f>
        <v>0</v>
      </c>
      <c r="AI1858" s="47" t="e" cm="1">
        <f t="array" aca="1" ref="AI1858" ca="1">_xlfn.XLOOKUP(PAA_4[[#This Row],[RCP-RUBRO]],[2]!COMPROMISOS_2024[[#All],[concatenado]],[2]!COMPROMISOS_2024[[#All],[Total pagado]],"",0)</f>
        <v>#NAME?</v>
      </c>
      <c r="AJ1858" s="56">
        <f>IF(PAA_4[[#This Row],[BOLSA]]=0,0,SUMIFS([2]!COMPROMISOS_2024[[#All],[Total pagado]],[2]!COMPROMISOS_2024[[#All],[Bolsa]],PAA_4[[#This Row],[BOLSA]],[2]!COMPROMISOS_2024[[#All],[rubro]],PAA_4[[#This Row],[RCP-RUBRO]]))</f>
        <v>0</v>
      </c>
      <c r="AK1858" s="47" t="e" cm="1">
        <f t="array" aca="1" ref="AK1858" ca="1">_xlfn.XLOOKUP(PAA_4[[#This Row],[RCP-RUBRO]],[2]!COMPROMISOS_2024[[#All],[concatenado]],[2]!COMPROMISOS_2024[[#All],[Total Comprometido]],"",0)</f>
        <v>#NAME?</v>
      </c>
      <c r="AL1858" s="47">
        <f>IF(PAA_4[[#This Row],[BOLSA]]=0,0,SUMIFS([2]!COMPROMISOS_2024[[#All],[Total Comprometido]],[2]!COMPROMISOS_2024[[#All],[Bolsa]],PAA_4[[#This Row],[BOLSA]],[2]!COMPROMISOS_2024[[#All],[concatenado]],PAA_4[[#This Row],[RCP-RUBRO]]))</f>
        <v>0</v>
      </c>
    </row>
    <row r="1859" spans="1:38" s="19" customFormat="1" ht="31.5" customHeight="1">
      <c r="A1859" s="47">
        <v>1227</v>
      </c>
      <c r="B1859" s="47">
        <v>90141502</v>
      </c>
      <c r="C1859" s="47" t="str">
        <f>VLOOKUP(PAA_4[[#This Row],[PROYECTO (formulado)2]],[2]PROYECTOS!$G$1:$L$32,6,0)</f>
        <v>SUBGERENCIA DE ALTOS LOGROS Y DEPORTE ASOCIADO</v>
      </c>
      <c r="D1859" s="47" t="str">
        <f>+IF(PAA_4[[#This Row],[UNIDAD DE CONTRATACION (formulado)]]="Subgerencia Administrativa y Financiera","FUNCIONAMIENTO","INVERSIÓN")</f>
        <v>INVERSIÓN</v>
      </c>
      <c r="E1859" s="48" t="str">
        <f>VLOOKUP(Q1859,[2]PROYECTOS!$G$1:$K$32,5,0)</f>
        <v>Apoyo económico a las organizaciones deportivas que representan en competencias al departamento de Antioquia</v>
      </c>
      <c r="F1859" s="48">
        <f>VLOOKUP(E1859,[2]PROYECTOS!$K$1:$M$32,3,0)</f>
        <v>2024003050102</v>
      </c>
      <c r="G1859" s="67" t="s">
        <v>1516</v>
      </c>
      <c r="H1859" s="49" t="str">
        <f>VLOOKUP(Q1859,[2]PROYECTOS!$V$1:$W$32,2,0)</f>
        <v>050076</v>
      </c>
      <c r="I1859" s="78">
        <v>40000000</v>
      </c>
      <c r="J1859" s="51" t="s">
        <v>2095</v>
      </c>
      <c r="K1859" s="47" t="str">
        <f t="shared" ca="1" si="602"/>
        <v>CONTRATADO</v>
      </c>
      <c r="L1859" s="47" t="s">
        <v>898</v>
      </c>
      <c r="M1859" s="51" t="s">
        <v>1767</v>
      </c>
      <c r="N1859" s="52" t="s">
        <v>1520</v>
      </c>
      <c r="O1859" s="51" t="e">
        <f>VLOOKUP(N1859,[2]!RUBROS[#All],3,0)</f>
        <v>#REF!</v>
      </c>
      <c r="P1859" s="53" t="e">
        <f>VLOOKUP(N1859,[2]!RUBROS[#All],2,0)</f>
        <v>#REF!</v>
      </c>
      <c r="Q1859" s="47" t="str">
        <f t="shared" si="603"/>
        <v>02</v>
      </c>
      <c r="R1859" s="47" t="str">
        <f t="shared" si="604"/>
        <v>4-101124</v>
      </c>
      <c r="S1859" s="339">
        <v>80</v>
      </c>
      <c r="T1859" s="59" t="s">
        <v>120</v>
      </c>
      <c r="U1859" s="326" t="e">
        <f ca="1">_xlfn.XLOOKUP(PAA_4[[#This Row],[ITEM]],[2]Contrato!A:A,[2]Contrato!Q:Q,"",0)</f>
        <v>#NAME?</v>
      </c>
      <c r="V1859" s="47" t="s">
        <v>95</v>
      </c>
      <c r="W1859" s="47" t="s">
        <v>204</v>
      </c>
      <c r="X1859" s="47" t="s">
        <v>204</v>
      </c>
      <c r="Y1859" s="55" t="e">
        <f ca="1">_xlfn.XLOOKUP(PAA_4[[#This Row],[ITEM]],[2]Contrato!A:A,[2]Contrato!B:B,"",0)</f>
        <v>#NAME?</v>
      </c>
      <c r="Z1859" s="47" t="e">
        <f ca="1">_xlfn.XLOOKUP(PAA_4[[#This Row],[ITEM]],[2]Contrato!A:A,[2]Contrato!G:G,"",0)</f>
        <v>#NAME?</v>
      </c>
      <c r="AA1859" s="47" t="e">
        <f ca="1">_xlfn.XLOOKUP(PAA_4[[#This Row],[ITEM]],[2]Contrato!A:A,[2]Contrato!T:T,"",0)</f>
        <v>#NAME?</v>
      </c>
      <c r="AB1859" s="55" t="e">
        <f ca="1">+MAX(PAA_4[[#This Row],[Comprometido Contrato]],PAA_4[[#This Row],[Comprometido Bolsa]])</f>
        <v>#NAME?</v>
      </c>
      <c r="AC1859" s="55" t="str">
        <f t="shared" ca="1" si="605"/>
        <v/>
      </c>
      <c r="AD1859" s="55" t="e">
        <f ca="1">IF(PAA_4[[#This Row],[ESTADO (formulado)]]="NO CONTRATADO",0,MAX(PAA_4[[#This Row],[Pago por Contrato]],PAA_4[[#This Row],[Pago por bolsa]]))</f>
        <v>#NAME?</v>
      </c>
      <c r="AE1859" s="55" t="str">
        <f t="shared" ca="1" si="606"/>
        <v/>
      </c>
      <c r="AF1859" s="47" t="e">
        <f t="shared" ca="1" si="607"/>
        <v>#NAME?</v>
      </c>
      <c r="AG1859" s="47">
        <f t="shared" si="608"/>
        <v>52010801</v>
      </c>
      <c r="AH1859" s="54">
        <f>IF(Q1859="22",IF(ISNUMBER(SEARCH("econ",PAA_4[[#This Row],[Actividad3]])),"Económico",IF(ISNUMBER(SEARCH("alim",PAA_4[[#This Row],[Actividad3]])),"Alimentación",IF(ISNUMBER(SEARCH("educ",PAA_4[[#This Row],[Actividad3]])),"Educativo","Técnico"))),0)</f>
        <v>0</v>
      </c>
      <c r="AI1859" s="47" t="e" cm="1">
        <f t="array" aca="1" ref="AI1859" ca="1">_xlfn.XLOOKUP(PAA_4[[#This Row],[RCP-RUBRO]],[2]!COMPROMISOS_2024[[#All],[concatenado]],[2]!COMPROMISOS_2024[[#All],[Total pagado]],"",0)</f>
        <v>#NAME?</v>
      </c>
      <c r="AJ1859" s="56">
        <f>IF(PAA_4[[#This Row],[BOLSA]]=0,0,SUMIFS([2]!COMPROMISOS_2024[[#All],[Total pagado]],[2]!COMPROMISOS_2024[[#All],[Bolsa]],PAA_4[[#This Row],[BOLSA]],[2]!COMPROMISOS_2024[[#All],[rubro]],PAA_4[[#This Row],[RCP-RUBRO]]))</f>
        <v>0</v>
      </c>
      <c r="AK1859" s="47" t="e" cm="1">
        <f t="array" aca="1" ref="AK1859" ca="1">_xlfn.XLOOKUP(PAA_4[[#This Row],[RCP-RUBRO]],[2]!COMPROMISOS_2024[[#All],[concatenado]],[2]!COMPROMISOS_2024[[#All],[Total Comprometido]],"",0)</f>
        <v>#NAME?</v>
      </c>
      <c r="AL1859" s="47">
        <f>IF(PAA_4[[#This Row],[BOLSA]]=0,0,SUMIFS([2]!COMPROMISOS_2024[[#All],[Total Comprometido]],[2]!COMPROMISOS_2024[[#All],[Bolsa]],PAA_4[[#This Row],[BOLSA]],[2]!COMPROMISOS_2024[[#All],[concatenado]],PAA_4[[#This Row],[RCP-RUBRO]]))</f>
        <v>0</v>
      </c>
    </row>
    <row r="1860" spans="1:38" s="19" customFormat="1" ht="31.5" customHeight="1">
      <c r="A1860" s="47">
        <v>1221</v>
      </c>
      <c r="B1860" s="47">
        <v>90141502</v>
      </c>
      <c r="C1860" s="47" t="str">
        <f>VLOOKUP(PAA_4[[#This Row],[PROYECTO (formulado)2]],[2]PROYECTOS!$G$1:$L$32,6,0)</f>
        <v>SUBGERENCIA DE ALTOS LOGROS Y DEPORTE ASOCIADO</v>
      </c>
      <c r="D1860" s="47" t="str">
        <f>+IF(PAA_4[[#This Row],[UNIDAD DE CONTRATACION (formulado)]]="Subgerencia Administrativa y Financiera","FUNCIONAMIENTO","INVERSIÓN")</f>
        <v>INVERSIÓN</v>
      </c>
      <c r="E1860" s="48" t="str">
        <f>VLOOKUP(Q1860,[2]PROYECTOS!$G$1:$K$32,5,0)</f>
        <v>Apoyo económico a las organizaciones deportivas que representan en competencias al departamento de Antioquia</v>
      </c>
      <c r="F1860" s="48">
        <f>VLOOKUP(E1860,[2]PROYECTOS!$K$1:$M$32,3,0)</f>
        <v>2024003050102</v>
      </c>
      <c r="G1860" s="67" t="s">
        <v>1516</v>
      </c>
      <c r="H1860" s="49" t="str">
        <f>VLOOKUP(Q1860,[2]PROYECTOS!$V$1:$W$32,2,0)</f>
        <v>050076</v>
      </c>
      <c r="I1860" s="78">
        <v>0</v>
      </c>
      <c r="J1860" s="51" t="s">
        <v>2094</v>
      </c>
      <c r="K1860" s="47" t="str">
        <f t="shared" ca="1" si="602"/>
        <v>CONTRATADO</v>
      </c>
      <c r="L1860" s="47" t="s">
        <v>78</v>
      </c>
      <c r="M1860" s="51" t="s">
        <v>1767</v>
      </c>
      <c r="N1860" s="52" t="s">
        <v>1517</v>
      </c>
      <c r="O1860" s="51" t="e">
        <f>VLOOKUP(N1860,[2]!RUBROS[#All],3,0)</f>
        <v>#REF!</v>
      </c>
      <c r="P1860" s="53" t="e">
        <f>VLOOKUP(N1860,[2]!RUBROS[#All],2,0)</f>
        <v>#REF!</v>
      </c>
      <c r="Q1860" s="47" t="str">
        <f t="shared" si="603"/>
        <v>02</v>
      </c>
      <c r="R1860" s="47" t="str">
        <f t="shared" si="604"/>
        <v>0-205400</v>
      </c>
      <c r="S1860" s="339">
        <v>80</v>
      </c>
      <c r="T1860" s="59" t="s">
        <v>120</v>
      </c>
      <c r="U1860" s="326" t="e">
        <f ca="1">_xlfn.XLOOKUP(PAA_4[[#This Row],[ITEM]],[2]Contrato!A:A,[2]Contrato!Q:Q,"",0)</f>
        <v>#NAME?</v>
      </c>
      <c r="V1860" s="47" t="s">
        <v>95</v>
      </c>
      <c r="W1860" s="47" t="s">
        <v>204</v>
      </c>
      <c r="X1860" s="47" t="s">
        <v>204</v>
      </c>
      <c r="Y1860" s="55" t="e">
        <f ca="1">_xlfn.XLOOKUP(PAA_4[[#This Row],[ITEM]],[2]Contrato!A:A,[2]Contrato!B:B,"",0)</f>
        <v>#NAME?</v>
      </c>
      <c r="Z1860" s="47" t="e">
        <f ca="1">_xlfn.XLOOKUP(PAA_4[[#This Row],[ITEM]],[2]Contrato!A:A,[2]Contrato!G:G,"",0)</f>
        <v>#NAME?</v>
      </c>
      <c r="AA1860" s="47" t="e">
        <f ca="1">_xlfn.XLOOKUP(PAA_4[[#This Row],[ITEM]],[2]Contrato!A:A,[2]Contrato!T:T,"",0)</f>
        <v>#NAME?</v>
      </c>
      <c r="AB1860" s="55" t="e">
        <f ca="1">+MAX(PAA_4[[#This Row],[Comprometido Contrato]],PAA_4[[#This Row],[Comprometido Bolsa]])</f>
        <v>#NAME?</v>
      </c>
      <c r="AC1860" s="55" t="str">
        <f t="shared" ca="1" si="605"/>
        <v/>
      </c>
      <c r="AD1860" s="55" t="e">
        <f ca="1">IF(PAA_4[[#This Row],[ESTADO (formulado)]]="NO CONTRATADO",0,MAX(PAA_4[[#This Row],[Pago por Contrato]],PAA_4[[#This Row],[Pago por bolsa]]))</f>
        <v>#NAME?</v>
      </c>
      <c r="AE1860" s="55" t="str">
        <f t="shared" ca="1" si="606"/>
        <v/>
      </c>
      <c r="AF1860" s="47" t="e">
        <f t="shared" ca="1" si="607"/>
        <v>#NAME?</v>
      </c>
      <c r="AG1860" s="47">
        <f t="shared" si="608"/>
        <v>52010801</v>
      </c>
      <c r="AH1860" s="54">
        <f>IF(Q1860="22",IF(ISNUMBER(SEARCH("econ",PAA_4[[#This Row],[Actividad3]])),"Económico",IF(ISNUMBER(SEARCH("alim",PAA_4[[#This Row],[Actividad3]])),"Alimentación",IF(ISNUMBER(SEARCH("educ",PAA_4[[#This Row],[Actividad3]])),"Educativo","Técnico"))),0)</f>
        <v>0</v>
      </c>
      <c r="AI1860" s="47" t="e" cm="1">
        <f t="array" aca="1" ref="AI1860" ca="1">_xlfn.XLOOKUP(PAA_4[[#This Row],[RCP-RUBRO]],[2]!COMPROMISOS_2024[[#All],[concatenado]],[2]!COMPROMISOS_2024[[#All],[Total pagado]],"",0)</f>
        <v>#NAME?</v>
      </c>
      <c r="AJ1860" s="56">
        <f>IF(PAA_4[[#This Row],[BOLSA]]=0,0,SUMIFS([2]!COMPROMISOS_2024[[#All],[Total pagado]],[2]!COMPROMISOS_2024[[#All],[Bolsa]],PAA_4[[#This Row],[BOLSA]],[2]!COMPROMISOS_2024[[#All],[rubro]],PAA_4[[#This Row],[RCP-RUBRO]]))</f>
        <v>0</v>
      </c>
      <c r="AK1860" s="47" t="e" cm="1">
        <f t="array" aca="1" ref="AK1860" ca="1">_xlfn.XLOOKUP(PAA_4[[#This Row],[RCP-RUBRO]],[2]!COMPROMISOS_2024[[#All],[concatenado]],[2]!COMPROMISOS_2024[[#All],[Total Comprometido]],"",0)</f>
        <v>#NAME?</v>
      </c>
      <c r="AL1860" s="47">
        <f>IF(PAA_4[[#This Row],[BOLSA]]=0,0,SUMIFS([2]!COMPROMISOS_2024[[#All],[Total Comprometido]],[2]!COMPROMISOS_2024[[#All],[Bolsa]],PAA_4[[#This Row],[BOLSA]],[2]!COMPROMISOS_2024[[#All],[concatenado]],PAA_4[[#This Row],[RCP-RUBRO]]))</f>
        <v>0</v>
      </c>
    </row>
    <row r="1861" spans="1:38" s="19" customFormat="1" ht="31.5" customHeight="1">
      <c r="A1861" s="47">
        <v>1222</v>
      </c>
      <c r="B1861" s="47">
        <v>90141502</v>
      </c>
      <c r="C1861" s="47" t="str">
        <f>VLOOKUP(PAA_4[[#This Row],[PROYECTO (formulado)2]],[2]PROYECTOS!$G$1:$L$32,6,0)</f>
        <v>SUBGERENCIA DE ALTOS LOGROS Y DEPORTE ASOCIADO</v>
      </c>
      <c r="D1861" s="47" t="str">
        <f>+IF(PAA_4[[#This Row],[UNIDAD DE CONTRATACION (formulado)]]="Subgerencia Administrativa y Financiera","FUNCIONAMIENTO","INVERSIÓN")</f>
        <v>INVERSIÓN</v>
      </c>
      <c r="E1861" s="48" t="str">
        <f>VLOOKUP(Q1861,[2]PROYECTOS!$G$1:$K$32,5,0)</f>
        <v>Apoyo económico a las organizaciones deportivas que representan en competencias al departamento de Antioquia</v>
      </c>
      <c r="F1861" s="48">
        <f>VLOOKUP(E1861,[2]PROYECTOS!$K$1:$M$32,3,0)</f>
        <v>2024003050102</v>
      </c>
      <c r="G1861" s="67" t="s">
        <v>1516</v>
      </c>
      <c r="H1861" s="49" t="str">
        <f>VLOOKUP(Q1861,[2]PROYECTOS!$V$1:$W$32,2,0)</f>
        <v>050076</v>
      </c>
      <c r="I1861" s="78">
        <v>0</v>
      </c>
      <c r="J1861" s="51" t="s">
        <v>2095</v>
      </c>
      <c r="K1861" s="47" t="str">
        <f t="shared" ca="1" si="602"/>
        <v>CONTRATADO</v>
      </c>
      <c r="L1861" s="47" t="s">
        <v>898</v>
      </c>
      <c r="M1861" s="51" t="s">
        <v>1767</v>
      </c>
      <c r="N1861" s="52" t="s">
        <v>1517</v>
      </c>
      <c r="O1861" s="51" t="e">
        <f>VLOOKUP(N1861,[2]!RUBROS[#All],3,0)</f>
        <v>#REF!</v>
      </c>
      <c r="P1861" s="53" t="e">
        <f>VLOOKUP(N1861,[2]!RUBROS[#All],2,0)</f>
        <v>#REF!</v>
      </c>
      <c r="Q1861" s="47" t="str">
        <f t="shared" si="603"/>
        <v>02</v>
      </c>
      <c r="R1861" s="47" t="str">
        <f t="shared" si="604"/>
        <v>0-205400</v>
      </c>
      <c r="S1861" s="339">
        <v>80</v>
      </c>
      <c r="T1861" s="59" t="s">
        <v>120</v>
      </c>
      <c r="U1861" s="326" t="e">
        <f ca="1">_xlfn.XLOOKUP(PAA_4[[#This Row],[ITEM]],[2]Contrato!A:A,[2]Contrato!Q:Q,"",0)</f>
        <v>#NAME?</v>
      </c>
      <c r="V1861" s="47" t="s">
        <v>95</v>
      </c>
      <c r="W1861" s="47" t="s">
        <v>204</v>
      </c>
      <c r="X1861" s="47" t="s">
        <v>204</v>
      </c>
      <c r="Y1861" s="55" t="e">
        <f ca="1">_xlfn.XLOOKUP(PAA_4[[#This Row],[ITEM]],[2]Contrato!A:A,[2]Contrato!B:B,"",0)</f>
        <v>#NAME?</v>
      </c>
      <c r="Z1861" s="47" t="e">
        <f ca="1">_xlfn.XLOOKUP(PAA_4[[#This Row],[ITEM]],[2]Contrato!A:A,[2]Contrato!G:G,"",0)</f>
        <v>#NAME?</v>
      </c>
      <c r="AA1861" s="47" t="e">
        <f ca="1">_xlfn.XLOOKUP(PAA_4[[#This Row],[ITEM]],[2]Contrato!A:A,[2]Contrato!T:T,"",0)</f>
        <v>#NAME?</v>
      </c>
      <c r="AB1861" s="55" t="e">
        <f ca="1">+MAX(PAA_4[[#This Row],[Comprometido Contrato]],PAA_4[[#This Row],[Comprometido Bolsa]])</f>
        <v>#NAME?</v>
      </c>
      <c r="AC1861" s="55" t="str">
        <f t="shared" ca="1" si="605"/>
        <v/>
      </c>
      <c r="AD1861" s="55" t="e">
        <f ca="1">IF(PAA_4[[#This Row],[ESTADO (formulado)]]="NO CONTRATADO",0,MAX(PAA_4[[#This Row],[Pago por Contrato]],PAA_4[[#This Row],[Pago por bolsa]]))</f>
        <v>#NAME?</v>
      </c>
      <c r="AE1861" s="55" t="str">
        <f t="shared" ca="1" si="606"/>
        <v/>
      </c>
      <c r="AF1861" s="47" t="e">
        <f t="shared" ca="1" si="607"/>
        <v>#NAME?</v>
      </c>
      <c r="AG1861" s="47">
        <f t="shared" si="608"/>
        <v>52010801</v>
      </c>
      <c r="AH1861" s="54">
        <f>IF(Q1861="22",IF(ISNUMBER(SEARCH("econ",PAA_4[[#This Row],[Actividad3]])),"Económico",IF(ISNUMBER(SEARCH("alim",PAA_4[[#This Row],[Actividad3]])),"Alimentación",IF(ISNUMBER(SEARCH("educ",PAA_4[[#This Row],[Actividad3]])),"Educativo","Técnico"))),0)</f>
        <v>0</v>
      </c>
      <c r="AI1861" s="47" t="e" cm="1">
        <f t="array" aca="1" ref="AI1861" ca="1">_xlfn.XLOOKUP(PAA_4[[#This Row],[RCP-RUBRO]],[2]!COMPROMISOS_2024[[#All],[concatenado]],[2]!COMPROMISOS_2024[[#All],[Total pagado]],"",0)</f>
        <v>#NAME?</v>
      </c>
      <c r="AJ1861" s="56">
        <f>IF(PAA_4[[#This Row],[BOLSA]]=0,0,SUMIFS([2]!COMPROMISOS_2024[[#All],[Total pagado]],[2]!COMPROMISOS_2024[[#All],[Bolsa]],PAA_4[[#This Row],[BOLSA]],[2]!COMPROMISOS_2024[[#All],[rubro]],PAA_4[[#This Row],[RCP-RUBRO]]))</f>
        <v>0</v>
      </c>
      <c r="AK1861" s="47" t="e" cm="1">
        <f t="array" aca="1" ref="AK1861" ca="1">_xlfn.XLOOKUP(PAA_4[[#This Row],[RCP-RUBRO]],[2]!COMPROMISOS_2024[[#All],[concatenado]],[2]!COMPROMISOS_2024[[#All],[Total Comprometido]],"",0)</f>
        <v>#NAME?</v>
      </c>
      <c r="AL1861" s="47">
        <f>IF(PAA_4[[#This Row],[BOLSA]]=0,0,SUMIFS([2]!COMPROMISOS_2024[[#All],[Total Comprometido]],[2]!COMPROMISOS_2024[[#All],[Bolsa]],PAA_4[[#This Row],[BOLSA]],[2]!COMPROMISOS_2024[[#All],[concatenado]],PAA_4[[#This Row],[RCP-RUBRO]]))</f>
        <v>0</v>
      </c>
    </row>
    <row r="1862" spans="1:38" s="19" customFormat="1" ht="31.5" customHeight="1">
      <c r="A1862" s="47">
        <v>1223</v>
      </c>
      <c r="B1862" s="47">
        <v>80111600</v>
      </c>
      <c r="C1862" s="47" t="str">
        <f>VLOOKUP(PAA_4[[#This Row],[PROYECTO (formulado)2]],[2]PROYECTOS!$G$1:$L$32,6,0)</f>
        <v>SUBGERENCIA DE ALTOS LOGROS Y DEPORTE ASOCIADO</v>
      </c>
      <c r="D1862" s="47" t="str">
        <f>+IF(PAA_4[[#This Row],[UNIDAD DE CONTRATACION (formulado)]]="Subgerencia Administrativa y Financiera","FUNCIONAMIENTO","INVERSIÓN")</f>
        <v>INVERSIÓN</v>
      </c>
      <c r="E1862" s="48" t="str">
        <f>VLOOKUP(Q1862,[2]PROYECTOS!$G$1:$K$32,5,0)</f>
        <v>Asesoria médica y de ciencias aplicadas al desarrollo del rendimiento deportivo de atletas y para-atletas de Antioquia</v>
      </c>
      <c r="F1862" s="48">
        <f>VLOOKUP(E1862,[2]PROYECTOS!$K$1:$M$32,3,0)</f>
        <v>2024003050103</v>
      </c>
      <c r="G1862" s="67" t="s">
        <v>1793</v>
      </c>
      <c r="H1862" s="49" t="str">
        <f>VLOOKUP(Q1862,[2]PROYECTOS!$V$1:$W$32,2,0)</f>
        <v>050080</v>
      </c>
      <c r="I1862" s="78">
        <f>18746667-2220001</f>
        <v>16526666</v>
      </c>
      <c r="J1862" s="51" t="s">
        <v>1497</v>
      </c>
      <c r="K1862" s="47" t="str">
        <f t="shared" ca="1" si="602"/>
        <v>CONTRATADO</v>
      </c>
      <c r="L1862" s="47" t="s">
        <v>898</v>
      </c>
      <c r="M1862" s="51" t="s">
        <v>1297</v>
      </c>
      <c r="N1862" s="52" t="s">
        <v>1794</v>
      </c>
      <c r="O1862" s="51" t="e">
        <f>VLOOKUP(N1862,[2]!RUBROS[#All],3,0)</f>
        <v>#REF!</v>
      </c>
      <c r="P1862" s="53" t="e">
        <f>VLOOKUP(N1862,[2]!RUBROS[#All],2,0)</f>
        <v>#REF!</v>
      </c>
      <c r="Q1862" s="47" t="str">
        <f t="shared" si="603"/>
        <v>03</v>
      </c>
      <c r="R1862" s="47" t="str">
        <f t="shared" si="604"/>
        <v>0-205128</v>
      </c>
      <c r="S1862" s="339">
        <v>76</v>
      </c>
      <c r="T1862" s="59" t="s">
        <v>120</v>
      </c>
      <c r="U1862" s="326" t="e">
        <f ca="1">_xlfn.XLOOKUP(PAA_4[[#This Row],[ITEM]],[2]Contrato!A:A,[2]Contrato!Q:Q,"",0)</f>
        <v>#NAME?</v>
      </c>
      <c r="V1862" s="47" t="s">
        <v>95</v>
      </c>
      <c r="W1862" s="47" t="s">
        <v>204</v>
      </c>
      <c r="X1862" s="47" t="s">
        <v>204</v>
      </c>
      <c r="Y1862" s="55" t="e">
        <f ca="1">_xlfn.XLOOKUP(PAA_4[[#This Row],[ITEM]],[2]Contrato!A:A,[2]Contrato!B:B,"",0)</f>
        <v>#NAME?</v>
      </c>
      <c r="Z1862" s="47" t="e">
        <f ca="1">_xlfn.XLOOKUP(PAA_4[[#This Row],[ITEM]],[2]Contrato!A:A,[2]Contrato!G:G,"",0)</f>
        <v>#NAME?</v>
      </c>
      <c r="AA1862" s="47" t="e">
        <f ca="1">_xlfn.XLOOKUP(PAA_4[[#This Row],[ITEM]],[2]Contrato!A:A,[2]Contrato!T:T,"",0)</f>
        <v>#NAME?</v>
      </c>
      <c r="AB1862" s="55" t="e">
        <f ca="1">+MAX(PAA_4[[#This Row],[Comprometido Contrato]],PAA_4[[#This Row],[Comprometido Bolsa]])</f>
        <v>#NAME?</v>
      </c>
      <c r="AC1862" s="55" t="str">
        <f t="shared" ca="1" si="605"/>
        <v/>
      </c>
      <c r="AD1862" s="55" t="e">
        <f ca="1">IF(PAA_4[[#This Row],[ESTADO (formulado)]]="NO CONTRATADO",0,MAX(PAA_4[[#This Row],[Pago por Contrato]],PAA_4[[#This Row],[Pago por bolsa]]))</f>
        <v>#NAME?</v>
      </c>
      <c r="AE1862" s="55" t="str">
        <f t="shared" ca="1" si="606"/>
        <v/>
      </c>
      <c r="AF1862" s="47" t="e">
        <f t="shared" ca="1" si="607"/>
        <v>#NAME?</v>
      </c>
      <c r="AG1862" s="47">
        <f t="shared" si="608"/>
        <v>52010804</v>
      </c>
      <c r="AH1862" s="54">
        <f>IF(Q1862="22",IF(ISNUMBER(SEARCH("econ",PAA_4[[#This Row],[Actividad3]])),"Económico",IF(ISNUMBER(SEARCH("alim",PAA_4[[#This Row],[Actividad3]])),"Alimentación",IF(ISNUMBER(SEARCH("educ",PAA_4[[#This Row],[Actividad3]])),"Educativo","Técnico"))),0)</f>
        <v>0</v>
      </c>
      <c r="AI1862" s="47" t="e" cm="1">
        <f t="array" aca="1" ref="AI1862" ca="1">_xlfn.XLOOKUP(PAA_4[[#This Row],[RCP-RUBRO]],[2]!COMPROMISOS_2024[[#All],[concatenado]],[2]!COMPROMISOS_2024[[#All],[Total pagado]],"",0)</f>
        <v>#NAME?</v>
      </c>
      <c r="AJ1862" s="56">
        <f>IF(PAA_4[[#This Row],[BOLSA]]=0,0,SUMIFS([2]!COMPROMISOS_2024[[#All],[Total pagado]],[2]!COMPROMISOS_2024[[#All],[Bolsa]],PAA_4[[#This Row],[BOLSA]],[2]!COMPROMISOS_2024[[#All],[rubro]],PAA_4[[#This Row],[RCP-RUBRO]]))</f>
        <v>0</v>
      </c>
      <c r="AK1862" s="47" t="e" cm="1">
        <f t="array" aca="1" ref="AK1862" ca="1">_xlfn.XLOOKUP(PAA_4[[#This Row],[RCP-RUBRO]],[2]!COMPROMISOS_2024[[#All],[concatenado]],[2]!COMPROMISOS_2024[[#All],[Total Comprometido]],"",0)</f>
        <v>#NAME?</v>
      </c>
      <c r="AL1862" s="47">
        <f>IF(PAA_4[[#This Row],[BOLSA]]=0,0,SUMIFS([2]!COMPROMISOS_2024[[#All],[Total Comprometido]],[2]!COMPROMISOS_2024[[#All],[Bolsa]],PAA_4[[#This Row],[BOLSA]],[2]!COMPROMISOS_2024[[#All],[concatenado]],PAA_4[[#This Row],[RCP-RUBRO]]))</f>
        <v>0</v>
      </c>
    </row>
    <row r="1863" spans="1:38" s="19" customFormat="1" ht="31.5" customHeight="1">
      <c r="A1863" s="47" t="s">
        <v>82</v>
      </c>
      <c r="B1863" s="47">
        <v>90141502</v>
      </c>
      <c r="C1863" s="47" t="str">
        <f>VLOOKUP(PAA_4[[#This Row],[PROYECTO (formulado)2]],[2]PROYECTOS!$G$1:$L$32,6,0)</f>
        <v>SUBGERENCIA DE ALTOS LOGROS Y DEPORTE ASOCIADO</v>
      </c>
      <c r="D1863" s="47" t="str">
        <f>+IF(PAA_4[[#This Row],[UNIDAD DE CONTRATACION (formulado)]]="Subgerencia Administrativa y Financiera","FUNCIONAMIENTO","INVERSIÓN")</f>
        <v>INVERSIÓN</v>
      </c>
      <c r="E1863" s="48" t="str">
        <f>VLOOKUP(Q1863,[2]PROYECTOS!$G$1:$K$32,5,0)</f>
        <v>Fortalecimiento del desarrollo deportivo con miras al alto rendimiento competitivo de los atletas del departamento de Antioquia</v>
      </c>
      <c r="F1863" s="48">
        <f>VLOOKUP(E1863,[2]PROYECTOS!$K$1:$M$32,3,0)</f>
        <v>2024003050087</v>
      </c>
      <c r="G1863" s="67" t="s">
        <v>1514</v>
      </c>
      <c r="H1863" s="49" t="str">
        <f>VLOOKUP(Q1863,[2]PROYECTOS!$V$1:$W$32,2,0)</f>
        <v>050078</v>
      </c>
      <c r="I1863" s="78">
        <v>125000000</v>
      </c>
      <c r="J1863" s="51" t="s">
        <v>2096</v>
      </c>
      <c r="K1863" s="47" t="str">
        <f t="shared" ca="1" si="602"/>
        <v>CONTRATADO</v>
      </c>
      <c r="L1863" s="47" t="s">
        <v>42</v>
      </c>
      <c r="M1863" s="51" t="s">
        <v>42</v>
      </c>
      <c r="N1863" s="52" t="s">
        <v>2097</v>
      </c>
      <c r="O1863" s="51" t="e">
        <f>VLOOKUP(N1863,[2]!RUBROS[#All],3,0)</f>
        <v>#REF!</v>
      </c>
      <c r="P1863" s="53" t="e">
        <f>VLOOKUP(N1863,[2]!RUBROS[#All],2,0)</f>
        <v>#REF!</v>
      </c>
      <c r="Q1863" s="47" t="str">
        <f t="shared" si="603"/>
        <v>87</v>
      </c>
      <c r="R1863" s="47" t="str">
        <f t="shared" si="604"/>
        <v>4-205128</v>
      </c>
      <c r="S1863" s="339" t="s">
        <v>42</v>
      </c>
      <c r="T1863" s="59" t="s">
        <v>42</v>
      </c>
      <c r="U1863" s="326" t="e">
        <f ca="1">_xlfn.XLOOKUP(PAA_4[[#This Row],[ITEM]],[2]Contrato!A:A,[2]Contrato!Q:Q,"",0)</f>
        <v>#NAME?</v>
      </c>
      <c r="V1863" s="47" t="s">
        <v>95</v>
      </c>
      <c r="W1863" s="47" t="s">
        <v>204</v>
      </c>
      <c r="X1863" s="47" t="s">
        <v>204</v>
      </c>
      <c r="Y1863" s="55" t="e">
        <f ca="1">_xlfn.XLOOKUP(PAA_4[[#This Row],[ITEM]],[2]Contrato!A:A,[2]Contrato!B:B,"",0)</f>
        <v>#NAME?</v>
      </c>
      <c r="Z1863" s="47" t="e">
        <f ca="1">_xlfn.XLOOKUP(PAA_4[[#This Row],[ITEM]],[2]Contrato!A:A,[2]Contrato!G:G,"",0)</f>
        <v>#NAME?</v>
      </c>
      <c r="AA1863" s="47" t="e">
        <f ca="1">_xlfn.XLOOKUP(PAA_4[[#This Row],[ITEM]],[2]Contrato!A:A,[2]Contrato!T:T,"",0)</f>
        <v>#NAME?</v>
      </c>
      <c r="AB1863" s="55" t="e">
        <f ca="1">+MAX(PAA_4[[#This Row],[Comprometido Contrato]],PAA_4[[#This Row],[Comprometido Bolsa]])</f>
        <v>#NAME?</v>
      </c>
      <c r="AC1863" s="55" t="str">
        <f t="shared" ca="1" si="605"/>
        <v/>
      </c>
      <c r="AD1863" s="55" t="e">
        <f ca="1">IF(PAA_4[[#This Row],[ESTADO (formulado)]]="NO CONTRATADO",0,MAX(PAA_4[[#This Row],[Pago por Contrato]],PAA_4[[#This Row],[Pago por bolsa]]))</f>
        <v>#NAME?</v>
      </c>
      <c r="AE1863" s="55" t="str">
        <f t="shared" ca="1" si="606"/>
        <v/>
      </c>
      <c r="AF1863" s="47" t="e">
        <f t="shared" ca="1" si="607"/>
        <v>#NAME?</v>
      </c>
      <c r="AG1863" s="47">
        <f t="shared" si="608"/>
        <v>52010805</v>
      </c>
      <c r="AH1863" s="54">
        <f>IF(Q1863="22",IF(ISNUMBER(SEARCH("econ",PAA_4[[#This Row],[Actividad3]])),"Económico",IF(ISNUMBER(SEARCH("alim",PAA_4[[#This Row],[Actividad3]])),"Alimentación",IF(ISNUMBER(SEARCH("educ",PAA_4[[#This Row],[Actividad3]])),"Educativo","Técnico"))),0)</f>
        <v>0</v>
      </c>
      <c r="AI1863" s="47" t="e" cm="1">
        <f t="array" aca="1" ref="AI1863" ca="1">_xlfn.XLOOKUP(PAA_4[[#This Row],[RCP-RUBRO]],[2]!COMPROMISOS_2024[[#All],[concatenado]],[2]!COMPROMISOS_2024[[#All],[Total pagado]],"",0)</f>
        <v>#NAME?</v>
      </c>
      <c r="AJ1863" s="56">
        <f>IF(PAA_4[[#This Row],[BOLSA]]=0,0,SUMIFS([2]!COMPROMISOS_2024[[#All],[Total pagado]],[2]!COMPROMISOS_2024[[#All],[Bolsa]],PAA_4[[#This Row],[BOLSA]],[2]!COMPROMISOS_2024[[#All],[rubro]],PAA_4[[#This Row],[RCP-RUBRO]]))</f>
        <v>0</v>
      </c>
      <c r="AK1863" s="47" t="e" cm="1">
        <f t="array" aca="1" ref="AK1863" ca="1">_xlfn.XLOOKUP(PAA_4[[#This Row],[RCP-RUBRO]],[2]!COMPROMISOS_2024[[#All],[concatenado]],[2]!COMPROMISOS_2024[[#All],[Total Comprometido]],"",0)</f>
        <v>#NAME?</v>
      </c>
      <c r="AL1863" s="47">
        <f>IF(PAA_4[[#This Row],[BOLSA]]=0,0,SUMIFS([2]!COMPROMISOS_2024[[#All],[Total Comprometido]],[2]!COMPROMISOS_2024[[#All],[Bolsa]],PAA_4[[#This Row],[BOLSA]],[2]!COMPROMISOS_2024[[#All],[concatenado]],PAA_4[[#This Row],[RCP-RUBRO]]))</f>
        <v>0</v>
      </c>
    </row>
    <row r="1864" spans="1:38" s="19" customFormat="1" ht="31.5" customHeight="1">
      <c r="A1864" s="47">
        <v>1224</v>
      </c>
      <c r="B1864" s="47" t="s">
        <v>42</v>
      </c>
      <c r="C1864" s="47" t="str">
        <f>VLOOKUP(PAA_4[[#This Row],[PROYECTO (formulado)2]],[2]PROYECTOS!$G$1:$L$32,6,0)</f>
        <v>SUBGERENCIA DE ALTOS LOGROS Y DEPORTE ASOCIADO</v>
      </c>
      <c r="D1864" s="47" t="str">
        <f>+IF(PAA_4[[#This Row],[UNIDAD DE CONTRATACION (formulado)]]="Subgerencia Administrativa y Financiera","FUNCIONAMIENTO","INVERSIÓN")</f>
        <v>INVERSIÓN</v>
      </c>
      <c r="E1864" s="48" t="str">
        <f>VLOOKUP(Q1864,[2]PROYECTOS!$G$1:$K$32,5,0)</f>
        <v>Apoyo y subvención para satisfacer necesidades propias del proceso de preparación y competencia de los Atletas y Para-atletas de alto rendimiento del departamento de Antioquia</v>
      </c>
      <c r="F1864" s="48">
        <f>VLOOKUP(E1864,[2]PROYECTOS!$K$1:$M$32,3,0)</f>
        <v>2024003050085</v>
      </c>
      <c r="G1864" s="67" t="s">
        <v>2098</v>
      </c>
      <c r="H1864" s="49" t="str">
        <f>VLOOKUP(Q1864,[2]PROYECTOS!$V$1:$W$32,2,0)</f>
        <v>050077</v>
      </c>
      <c r="I1864" s="78">
        <v>70000000</v>
      </c>
      <c r="J1864" s="51" t="s">
        <v>1501</v>
      </c>
      <c r="K1864" s="47" t="str">
        <f t="shared" ca="1" si="602"/>
        <v>CONTRATADO</v>
      </c>
      <c r="L1864" s="47" t="s">
        <v>2099</v>
      </c>
      <c r="M1864" s="51" t="s">
        <v>1236</v>
      </c>
      <c r="N1864" s="52" t="s">
        <v>2100</v>
      </c>
      <c r="O1864" s="51" t="e">
        <f>VLOOKUP(N1864,[2]!RUBROS[#All],3,0)</f>
        <v>#REF!</v>
      </c>
      <c r="P1864" s="53" t="e">
        <f>VLOOKUP(N1864,[2]!RUBROS[#All],2,0)</f>
        <v>#REF!</v>
      </c>
      <c r="Q1864" s="47" t="str">
        <f t="shared" si="603"/>
        <v>85</v>
      </c>
      <c r="R1864" s="47" t="str">
        <f t="shared" si="604"/>
        <v>0-101024</v>
      </c>
      <c r="S1864" s="339">
        <v>1</v>
      </c>
      <c r="T1864" s="59" t="s">
        <v>46</v>
      </c>
      <c r="U1864" s="326" t="e">
        <f ca="1">_xlfn.XLOOKUP(PAA_4[[#This Row],[ITEM]],[2]Contrato!A:A,[2]Contrato!Q:Q,"",0)</f>
        <v>#NAME?</v>
      </c>
      <c r="V1864" s="47" t="s">
        <v>95</v>
      </c>
      <c r="W1864" s="47" t="s">
        <v>204</v>
      </c>
      <c r="X1864" s="47" t="s">
        <v>204</v>
      </c>
      <c r="Y1864" s="55" t="e">
        <f ca="1">_xlfn.XLOOKUP(PAA_4[[#This Row],[ITEM]],[2]Contrato!A:A,[2]Contrato!B:B,"",0)</f>
        <v>#NAME?</v>
      </c>
      <c r="Z1864" s="47" t="e">
        <f ca="1">_xlfn.XLOOKUP(PAA_4[[#This Row],[ITEM]],[2]Contrato!A:A,[2]Contrato!G:G,"",0)</f>
        <v>#NAME?</v>
      </c>
      <c r="AA1864" s="47" t="e">
        <f ca="1">_xlfn.XLOOKUP(PAA_4[[#This Row],[ITEM]],[2]Contrato!A:A,[2]Contrato!T:T,"",0)</f>
        <v>#NAME?</v>
      </c>
      <c r="AB1864" s="55" t="e">
        <f ca="1">+MAX(PAA_4[[#This Row],[Comprometido Contrato]],PAA_4[[#This Row],[Comprometido Bolsa]])</f>
        <v>#NAME?</v>
      </c>
      <c r="AC1864" s="55" t="str">
        <f t="shared" ca="1" si="605"/>
        <v/>
      </c>
      <c r="AD1864" s="55" t="e">
        <f ca="1">IF(PAA_4[[#This Row],[ESTADO (formulado)]]="NO CONTRATADO",0,MAX(PAA_4[[#This Row],[Pago por Contrato]],PAA_4[[#This Row],[Pago por bolsa]]))</f>
        <v>#NAME?</v>
      </c>
      <c r="AE1864" s="55" t="str">
        <f t="shared" ca="1" si="606"/>
        <v/>
      </c>
      <c r="AF1864" s="47" t="e">
        <f t="shared" ca="1" si="607"/>
        <v>#NAME?</v>
      </c>
      <c r="AG1864" s="47">
        <f t="shared" si="608"/>
        <v>52010803</v>
      </c>
      <c r="AH1864" s="54">
        <f>IF(Q1864="22",IF(ISNUMBER(SEARCH("econ",PAA_4[[#This Row],[Actividad3]])),"Económico",IF(ISNUMBER(SEARCH("alim",PAA_4[[#This Row],[Actividad3]])),"Alimentación",IF(ISNUMBER(SEARCH("educ",PAA_4[[#This Row],[Actividad3]])),"Educativo","Técnico"))),0)</f>
        <v>0</v>
      </c>
      <c r="AI1864" s="47" t="e" cm="1">
        <f t="array" aca="1" ref="AI1864" ca="1">_xlfn.XLOOKUP(PAA_4[[#This Row],[RCP-RUBRO]],[2]!COMPROMISOS_2024[[#All],[concatenado]],[2]!COMPROMISOS_2024[[#All],[Total pagado]],"",0)</f>
        <v>#NAME?</v>
      </c>
      <c r="AJ1864" s="56">
        <f>IF(PAA_4[[#This Row],[BOLSA]]=0,0,SUMIFS([2]!COMPROMISOS_2024[[#All],[Total pagado]],[2]!COMPROMISOS_2024[[#All],[Bolsa]],PAA_4[[#This Row],[BOLSA]],[2]!COMPROMISOS_2024[[#All],[rubro]],PAA_4[[#This Row],[RCP-RUBRO]]))</f>
        <v>0</v>
      </c>
      <c r="AK1864" s="47" t="e" cm="1">
        <f t="array" aca="1" ref="AK1864" ca="1">_xlfn.XLOOKUP(PAA_4[[#This Row],[RCP-RUBRO]],[2]!COMPROMISOS_2024[[#All],[concatenado]],[2]!COMPROMISOS_2024[[#All],[Total Comprometido]],"",0)</f>
        <v>#NAME?</v>
      </c>
      <c r="AL1864" s="47">
        <f>IF(PAA_4[[#This Row],[BOLSA]]=0,0,SUMIFS([2]!COMPROMISOS_2024[[#All],[Total Comprometido]],[2]!COMPROMISOS_2024[[#All],[Bolsa]],PAA_4[[#This Row],[BOLSA]],[2]!COMPROMISOS_2024[[#All],[concatenado]],PAA_4[[#This Row],[RCP-RUBRO]]))</f>
        <v>0</v>
      </c>
    </row>
    <row r="1865" spans="1:38" s="19" customFormat="1" ht="31.5" customHeight="1">
      <c r="A1865" s="47">
        <v>1021</v>
      </c>
      <c r="B1865" s="47" t="s">
        <v>42</v>
      </c>
      <c r="C1865" s="47" t="str">
        <f>VLOOKUP(PAA_4[[#This Row],[PROYECTO (formulado)2]],[2]PROYECTOS!$G$1:$L$32,6,0)</f>
        <v>SUBGERENCIA DE ALTOS LOGROS Y DEPORTE ASOCIADO</v>
      </c>
      <c r="D1865" s="47" t="str">
        <f>+IF(PAA_4[[#This Row],[UNIDAD DE CONTRATACION (formulado)]]="Subgerencia Administrativa y Financiera","FUNCIONAMIENTO","INVERSIÓN")</f>
        <v>INVERSIÓN</v>
      </c>
      <c r="E1865" s="48" t="str">
        <f>VLOOKUP(Q1865,[2]PROYECTOS!$G$1:$K$32,5,0)</f>
        <v>Apoyo técnico a atletas y para-atletas que representan en alto rendimiento deportivo al departamento de Antioquia</v>
      </c>
      <c r="F1865" s="48">
        <f>VLOOKUP(E1865,[2]PROYECTOS!$K$1:$M$32,3,0)</f>
        <v>2024003050084</v>
      </c>
      <c r="G1865" s="67" t="s">
        <v>1518</v>
      </c>
      <c r="H1865" s="49" t="str">
        <f>VLOOKUP(Q1865,[2]PROYECTOS!$V$1:$W$32,2,0)</f>
        <v>050079</v>
      </c>
      <c r="I1865" s="78">
        <v>0</v>
      </c>
      <c r="J1865" s="51" t="s">
        <v>42</v>
      </c>
      <c r="K1865" s="47" t="str">
        <f t="shared" ca="1" si="602"/>
        <v>CONTRATADO</v>
      </c>
      <c r="L1865" s="47" t="s">
        <v>898</v>
      </c>
      <c r="M1865" s="51" t="s">
        <v>42</v>
      </c>
      <c r="N1865" s="52" t="s">
        <v>1519</v>
      </c>
      <c r="O1865" s="51" t="e">
        <f>VLOOKUP(N1865,[2]!RUBROS[#All],3,0)</f>
        <v>#REF!</v>
      </c>
      <c r="P1865" s="53" t="e">
        <f>VLOOKUP(N1865,[2]!RUBROS[#All],2,0)</f>
        <v>#REF!</v>
      </c>
      <c r="Q1865" s="47" t="str">
        <f t="shared" si="603"/>
        <v>84</v>
      </c>
      <c r="R1865" s="47" t="str">
        <f t="shared" si="604"/>
        <v>0-205400</v>
      </c>
      <c r="S1865" s="339" t="s">
        <v>42</v>
      </c>
      <c r="T1865" s="59" t="s">
        <v>42</v>
      </c>
      <c r="U1865" s="326" t="e">
        <f ca="1">_xlfn.XLOOKUP(PAA_4[[#This Row],[ITEM]],[2]Contrato!A:A,[2]Contrato!Q:Q,"",0)</f>
        <v>#NAME?</v>
      </c>
      <c r="V1865" s="47" t="s">
        <v>95</v>
      </c>
      <c r="W1865" s="47" t="s">
        <v>203</v>
      </c>
      <c r="X1865" s="47" t="s">
        <v>203</v>
      </c>
      <c r="Y1865" s="55" t="e">
        <f ca="1">_xlfn.XLOOKUP(PAA_4[[#This Row],[ITEM]],[2]Contrato!A:A,[2]Contrato!B:B,"",0)</f>
        <v>#NAME?</v>
      </c>
      <c r="Z1865" s="47" t="e">
        <f ca="1">_xlfn.XLOOKUP(PAA_4[[#This Row],[ITEM]],[2]Contrato!A:A,[2]Contrato!G:G,"",0)</f>
        <v>#NAME?</v>
      </c>
      <c r="AA1865" s="47" t="e">
        <f ca="1">_xlfn.XLOOKUP(PAA_4[[#This Row],[ITEM]],[2]Contrato!A:A,[2]Contrato!T:T,"",0)</f>
        <v>#NAME?</v>
      </c>
      <c r="AB1865" s="55" t="e">
        <f ca="1">+MAX(PAA_4[[#This Row],[Comprometido Contrato]],PAA_4[[#This Row],[Comprometido Bolsa]])</f>
        <v>#NAME?</v>
      </c>
      <c r="AC1865" s="55" t="str">
        <f t="shared" ca="1" si="605"/>
        <v/>
      </c>
      <c r="AD1865" s="55" t="e">
        <f ca="1">IF(PAA_4[[#This Row],[ESTADO (formulado)]]="NO CONTRATADO",0,MAX(PAA_4[[#This Row],[Pago por Contrato]],PAA_4[[#This Row],[Pago por bolsa]]))</f>
        <v>#NAME?</v>
      </c>
      <c r="AE1865" s="55" t="str">
        <f t="shared" ca="1" si="606"/>
        <v/>
      </c>
      <c r="AF1865" s="47" t="e">
        <f t="shared" ca="1" si="607"/>
        <v>#NAME?</v>
      </c>
      <c r="AG1865" s="47">
        <f t="shared" si="608"/>
        <v>52010802</v>
      </c>
      <c r="AH1865" s="54">
        <f>IF(Q1865="22",IF(ISNUMBER(SEARCH("econ",PAA_4[[#This Row],[Actividad3]])),"Económico",IF(ISNUMBER(SEARCH("alim",PAA_4[[#This Row],[Actividad3]])),"Alimentación",IF(ISNUMBER(SEARCH("educ",PAA_4[[#This Row],[Actividad3]])),"Educativo","Técnico"))),0)</f>
        <v>0</v>
      </c>
      <c r="AI1865" s="47" t="e" cm="1">
        <f t="array" aca="1" ref="AI1865" ca="1">_xlfn.XLOOKUP(PAA_4[[#This Row],[RCP-RUBRO]],[2]!COMPROMISOS_2024[[#All],[concatenado]],[2]!COMPROMISOS_2024[[#All],[Total pagado]],"",0)</f>
        <v>#NAME?</v>
      </c>
      <c r="AJ1865" s="56">
        <f>IF(PAA_4[[#This Row],[BOLSA]]=0,0,SUMIFS([2]!COMPROMISOS_2024[[#All],[Total pagado]],[2]!COMPROMISOS_2024[[#All],[Bolsa]],PAA_4[[#This Row],[BOLSA]],[2]!COMPROMISOS_2024[[#All],[rubro]],PAA_4[[#This Row],[RCP-RUBRO]]))</f>
        <v>0</v>
      </c>
      <c r="AK1865" s="47" t="e" cm="1">
        <f t="array" aca="1" ref="AK1865" ca="1">_xlfn.XLOOKUP(PAA_4[[#This Row],[RCP-RUBRO]],[2]!COMPROMISOS_2024[[#All],[concatenado]],[2]!COMPROMISOS_2024[[#All],[Total Comprometido]],"",0)</f>
        <v>#NAME?</v>
      </c>
      <c r="AL1865" s="47">
        <f>IF(PAA_4[[#This Row],[BOLSA]]=0,0,SUMIFS([2]!COMPROMISOS_2024[[#All],[Total Comprometido]],[2]!COMPROMISOS_2024[[#All],[Bolsa]],PAA_4[[#This Row],[BOLSA]],[2]!COMPROMISOS_2024[[#All],[concatenado]],PAA_4[[#This Row],[RCP-RUBRO]]))</f>
        <v>0</v>
      </c>
    </row>
    <row r="1866" spans="1:38" s="19" customFormat="1" ht="31.5" customHeight="1">
      <c r="A1866" s="47" t="s">
        <v>82</v>
      </c>
      <c r="B1866" s="47">
        <v>80111600</v>
      </c>
      <c r="C1866" s="47" t="str">
        <f>VLOOKUP(PAA_4[[#This Row],[PROYECTO (formulado)2]],[2]PROYECTOS!$G$1:$L$32,6,0)</f>
        <v>SUBGERENCIA DE ALTOS LOGROS Y DEPORTE ASOCIADO</v>
      </c>
      <c r="D1866" s="47" t="str">
        <f>+IF(PAA_4[[#This Row],[UNIDAD DE CONTRATACION (formulado)]]="Subgerencia Administrativa y Financiera","FUNCIONAMIENTO","INVERSIÓN")</f>
        <v>INVERSIÓN</v>
      </c>
      <c r="E1866" s="48" t="str">
        <f>VLOOKUP(Q1866,[2]PROYECTOS!$G$1:$K$32,5,0)</f>
        <v>Apoyo técnico a atletas y para-atletas que representan en alto rendimiento deportivo al departamento de Antioquia</v>
      </c>
      <c r="F1866" s="48">
        <f>VLOOKUP(E1866,[2]PROYECTOS!$K$1:$M$32,3,0)</f>
        <v>2024003050084</v>
      </c>
      <c r="G1866" s="67" t="s">
        <v>1518</v>
      </c>
      <c r="H1866" s="49" t="str">
        <f>VLOOKUP(Q1866,[2]PROYECTOS!$V$1:$W$32,2,0)</f>
        <v>050079</v>
      </c>
      <c r="I1866" s="78">
        <v>33130066</v>
      </c>
      <c r="J1866" s="51" t="s">
        <v>1693</v>
      </c>
      <c r="K1866" s="47" t="str">
        <f t="shared" ca="1" si="602"/>
        <v>CONTRATADO</v>
      </c>
      <c r="L1866" s="47" t="s">
        <v>42</v>
      </c>
      <c r="M1866" s="51" t="s">
        <v>42</v>
      </c>
      <c r="N1866" s="52" t="s">
        <v>2101</v>
      </c>
      <c r="O1866" s="51" t="e">
        <f>VLOOKUP(N1866,[2]!RUBROS[#All],3,0)</f>
        <v>#REF!</v>
      </c>
      <c r="P1866" s="53" t="e">
        <f>VLOOKUP(N1866,[2]!RUBROS[#All],2,0)</f>
        <v>#REF!</v>
      </c>
      <c r="Q1866" s="47" t="str">
        <f t="shared" si="603"/>
        <v>84</v>
      </c>
      <c r="R1866" s="47" t="str">
        <f t="shared" si="604"/>
        <v>4-101124</v>
      </c>
      <c r="S1866" s="339" t="s">
        <v>42</v>
      </c>
      <c r="T1866" s="59" t="s">
        <v>42</v>
      </c>
      <c r="U1866" s="326" t="e">
        <f ca="1">_xlfn.XLOOKUP(PAA_4[[#This Row],[ITEM]],[2]Contrato!A:A,[2]Contrato!Q:Q,"",0)</f>
        <v>#NAME?</v>
      </c>
      <c r="V1866" s="47" t="s">
        <v>95</v>
      </c>
      <c r="W1866" s="47" t="s">
        <v>194</v>
      </c>
      <c r="X1866" s="47" t="s">
        <v>203</v>
      </c>
      <c r="Y1866" s="55" t="e">
        <f ca="1">_xlfn.XLOOKUP(PAA_4[[#This Row],[ITEM]],[2]Contrato!A:A,[2]Contrato!B:B,"",0)</f>
        <v>#NAME?</v>
      </c>
      <c r="Z1866" s="47" t="e">
        <f ca="1">_xlfn.XLOOKUP(PAA_4[[#This Row],[ITEM]],[2]Contrato!A:A,[2]Contrato!G:G,"",0)</f>
        <v>#NAME?</v>
      </c>
      <c r="AA1866" s="47" t="e">
        <f ca="1">_xlfn.XLOOKUP(PAA_4[[#This Row],[ITEM]],[2]Contrato!A:A,[2]Contrato!T:T,"",0)</f>
        <v>#NAME?</v>
      </c>
      <c r="AB1866" s="55" t="e">
        <f ca="1">+MAX(PAA_4[[#This Row],[Comprometido Contrato]],PAA_4[[#This Row],[Comprometido Bolsa]])</f>
        <v>#NAME?</v>
      </c>
      <c r="AC1866" s="55" t="str">
        <f t="shared" ca="1" si="605"/>
        <v/>
      </c>
      <c r="AD1866" s="55" t="e">
        <f ca="1">IF(PAA_4[[#This Row],[ESTADO (formulado)]]="NO CONTRATADO",0,MAX(PAA_4[[#This Row],[Pago por Contrato]],PAA_4[[#This Row],[Pago por bolsa]]))</f>
        <v>#NAME?</v>
      </c>
      <c r="AE1866" s="55" t="str">
        <f t="shared" ca="1" si="606"/>
        <v/>
      </c>
      <c r="AF1866" s="47" t="e">
        <f t="shared" ca="1" si="607"/>
        <v>#NAME?</v>
      </c>
      <c r="AG1866" s="47">
        <f t="shared" si="608"/>
        <v>52010802</v>
      </c>
      <c r="AH1866" s="54">
        <f>IF(Q1866="22",IF(ISNUMBER(SEARCH("econ",PAA_4[[#This Row],[Actividad3]])),"Económico",IF(ISNUMBER(SEARCH("alim",PAA_4[[#This Row],[Actividad3]])),"Alimentación",IF(ISNUMBER(SEARCH("educ",PAA_4[[#This Row],[Actividad3]])),"Educativo","Técnico"))),0)</f>
        <v>0</v>
      </c>
      <c r="AI1866" s="47" t="e" cm="1">
        <f t="array" aca="1" ref="AI1866" ca="1">_xlfn.XLOOKUP(PAA_4[[#This Row],[RCP-RUBRO]],[2]!COMPROMISOS_2024[[#All],[concatenado]],[2]!COMPROMISOS_2024[[#All],[Total pagado]],"",0)</f>
        <v>#NAME?</v>
      </c>
      <c r="AJ1866" s="56">
        <f>IF(PAA_4[[#This Row],[BOLSA]]=0,0,SUMIFS([2]!COMPROMISOS_2024[[#All],[Total pagado]],[2]!COMPROMISOS_2024[[#All],[Bolsa]],PAA_4[[#This Row],[BOLSA]],[2]!COMPROMISOS_2024[[#All],[rubro]],PAA_4[[#This Row],[RCP-RUBRO]]))</f>
        <v>0</v>
      </c>
      <c r="AK1866" s="47" t="e" cm="1">
        <f t="array" aca="1" ref="AK1866" ca="1">_xlfn.XLOOKUP(PAA_4[[#This Row],[RCP-RUBRO]],[2]!COMPROMISOS_2024[[#All],[concatenado]],[2]!COMPROMISOS_2024[[#All],[Total Comprometido]],"",0)</f>
        <v>#NAME?</v>
      </c>
      <c r="AL1866" s="47">
        <f>IF(PAA_4[[#This Row],[BOLSA]]=0,0,SUMIFS([2]!COMPROMISOS_2024[[#All],[Total Comprometido]],[2]!COMPROMISOS_2024[[#All],[Bolsa]],PAA_4[[#This Row],[BOLSA]],[2]!COMPROMISOS_2024[[#All],[concatenado]],PAA_4[[#This Row],[RCP-RUBRO]]))</f>
        <v>0</v>
      </c>
    </row>
    <row r="1867" spans="1:38" s="19" customFormat="1" ht="31.5" customHeight="1">
      <c r="A1867" s="47" t="s">
        <v>82</v>
      </c>
      <c r="B1867" s="47">
        <v>80111600</v>
      </c>
      <c r="C1867" s="47" t="str">
        <f>VLOOKUP(PAA_4[[#This Row],[PROYECTO (formulado)2]],[2]PROYECTOS!$G$1:$L$32,6,0)</f>
        <v>SUBGERENCIA DE ALTOS LOGROS Y DEPORTE ASOCIADO</v>
      </c>
      <c r="D1867" s="47" t="str">
        <f>+IF(PAA_4[[#This Row],[UNIDAD DE CONTRATACION (formulado)]]="Subgerencia Administrativa y Financiera","FUNCIONAMIENTO","INVERSIÓN")</f>
        <v>INVERSIÓN</v>
      </c>
      <c r="E1867" s="48" t="str">
        <f>VLOOKUP(Q1867,[2]PROYECTOS!$G$1:$K$32,5,0)</f>
        <v>Apoyo técnico a atletas y para-atletas que representan en alto rendimiento deportivo al departamento de Antioquia</v>
      </c>
      <c r="F1867" s="48">
        <f>VLOOKUP(E1867,[2]PROYECTOS!$K$1:$M$32,3,0)</f>
        <v>2024003050084</v>
      </c>
      <c r="G1867" s="67" t="s">
        <v>1518</v>
      </c>
      <c r="H1867" s="49" t="str">
        <f>VLOOKUP(Q1867,[2]PROYECTOS!$V$1:$W$32,2,0)</f>
        <v>050079</v>
      </c>
      <c r="I1867" s="78">
        <v>38311710</v>
      </c>
      <c r="J1867" s="51" t="s">
        <v>1693</v>
      </c>
      <c r="K1867" s="47" t="str">
        <f t="shared" ca="1" si="602"/>
        <v>CONTRATADO</v>
      </c>
      <c r="L1867" s="47" t="s">
        <v>42</v>
      </c>
      <c r="M1867" s="51" t="s">
        <v>42</v>
      </c>
      <c r="N1867" s="52" t="s">
        <v>2102</v>
      </c>
      <c r="O1867" s="51" t="e">
        <f>VLOOKUP(N1867,[2]!RUBROS[#All],3,0)</f>
        <v>#REF!</v>
      </c>
      <c r="P1867" s="53" t="e">
        <f>VLOOKUP(N1867,[2]!RUBROS[#All],2,0)</f>
        <v>#REF!</v>
      </c>
      <c r="Q1867" s="47" t="str">
        <f t="shared" si="603"/>
        <v>84</v>
      </c>
      <c r="R1867" s="47" t="str">
        <f t="shared" si="604"/>
        <v>0-205400</v>
      </c>
      <c r="S1867" s="339" t="s">
        <v>42</v>
      </c>
      <c r="T1867" s="59" t="s">
        <v>42</v>
      </c>
      <c r="U1867" s="326" t="e">
        <f ca="1">_xlfn.XLOOKUP(PAA_4[[#This Row],[ITEM]],[2]Contrato!A:A,[2]Contrato!Q:Q,"",0)</f>
        <v>#NAME?</v>
      </c>
      <c r="V1867" s="47" t="s">
        <v>95</v>
      </c>
      <c r="W1867" s="47" t="s">
        <v>194</v>
      </c>
      <c r="X1867" s="47" t="s">
        <v>203</v>
      </c>
      <c r="Y1867" s="55" t="e">
        <f ca="1">_xlfn.XLOOKUP(PAA_4[[#This Row],[ITEM]],[2]Contrato!A:A,[2]Contrato!B:B,"",0)</f>
        <v>#NAME?</v>
      </c>
      <c r="Z1867" s="47" t="e">
        <f ca="1">_xlfn.XLOOKUP(PAA_4[[#This Row],[ITEM]],[2]Contrato!A:A,[2]Contrato!G:G,"",0)</f>
        <v>#NAME?</v>
      </c>
      <c r="AA1867" s="47" t="e">
        <f ca="1">_xlfn.XLOOKUP(PAA_4[[#This Row],[ITEM]],[2]Contrato!A:A,[2]Contrato!T:T,"",0)</f>
        <v>#NAME?</v>
      </c>
      <c r="AB1867" s="55" t="e">
        <f ca="1">+MAX(PAA_4[[#This Row],[Comprometido Contrato]],PAA_4[[#This Row],[Comprometido Bolsa]])</f>
        <v>#NAME?</v>
      </c>
      <c r="AC1867" s="55" t="str">
        <f t="shared" ca="1" si="605"/>
        <v/>
      </c>
      <c r="AD1867" s="55" t="e">
        <f ca="1">IF(PAA_4[[#This Row],[ESTADO (formulado)]]="NO CONTRATADO",0,MAX(PAA_4[[#This Row],[Pago por Contrato]],PAA_4[[#This Row],[Pago por bolsa]]))</f>
        <v>#NAME?</v>
      </c>
      <c r="AE1867" s="55" t="str">
        <f t="shared" ca="1" si="606"/>
        <v/>
      </c>
      <c r="AF1867" s="47" t="e">
        <f t="shared" ca="1" si="607"/>
        <v>#NAME?</v>
      </c>
      <c r="AG1867" s="47">
        <f t="shared" si="608"/>
        <v>52010802</v>
      </c>
      <c r="AH1867" s="54">
        <f>IF(Q1867="22",IF(ISNUMBER(SEARCH("econ",PAA_4[[#This Row],[Actividad3]])),"Económico",IF(ISNUMBER(SEARCH("alim",PAA_4[[#This Row],[Actividad3]])),"Alimentación",IF(ISNUMBER(SEARCH("educ",PAA_4[[#This Row],[Actividad3]])),"Educativo","Técnico"))),0)</f>
        <v>0</v>
      </c>
      <c r="AI1867" s="47" t="e" cm="1">
        <f t="array" aca="1" ref="AI1867" ca="1">_xlfn.XLOOKUP(PAA_4[[#This Row],[RCP-RUBRO]],[2]!COMPROMISOS_2024[[#All],[concatenado]],[2]!COMPROMISOS_2024[[#All],[Total pagado]],"",0)</f>
        <v>#NAME?</v>
      </c>
      <c r="AJ1867" s="56">
        <f>IF(PAA_4[[#This Row],[BOLSA]]=0,0,SUMIFS([2]!COMPROMISOS_2024[[#All],[Total pagado]],[2]!COMPROMISOS_2024[[#All],[Bolsa]],PAA_4[[#This Row],[BOLSA]],[2]!COMPROMISOS_2024[[#All],[rubro]],PAA_4[[#This Row],[RCP-RUBRO]]))</f>
        <v>0</v>
      </c>
      <c r="AK1867" s="47" t="e" cm="1">
        <f t="array" aca="1" ref="AK1867" ca="1">_xlfn.XLOOKUP(PAA_4[[#This Row],[RCP-RUBRO]],[2]!COMPROMISOS_2024[[#All],[concatenado]],[2]!COMPROMISOS_2024[[#All],[Total Comprometido]],"",0)</f>
        <v>#NAME?</v>
      </c>
      <c r="AL1867" s="47">
        <f>IF(PAA_4[[#This Row],[BOLSA]]=0,0,SUMIFS([2]!COMPROMISOS_2024[[#All],[Total Comprometido]],[2]!COMPROMISOS_2024[[#All],[Bolsa]],PAA_4[[#This Row],[BOLSA]],[2]!COMPROMISOS_2024[[#All],[concatenado]],PAA_4[[#This Row],[RCP-RUBRO]]))</f>
        <v>0</v>
      </c>
    </row>
    <row r="1868" spans="1:38" s="19" customFormat="1" ht="31.5" customHeight="1">
      <c r="A1868" s="47" t="s">
        <v>82</v>
      </c>
      <c r="B1868" s="47" t="s">
        <v>42</v>
      </c>
      <c r="C1868" s="47" t="str">
        <f>VLOOKUP(PAA_4[[#This Row],[PROYECTO (formulado)2]],[2]PROYECTOS!$G$1:$L$32,6,0)</f>
        <v>SUBGERENCIA DE ALTOS LOGROS Y DEPORTE ASOCIADO</v>
      </c>
      <c r="D1868" s="47" t="str">
        <f>+IF(PAA_4[[#This Row],[UNIDAD DE CONTRATACION (formulado)]]="Subgerencia Administrativa y Financiera","FUNCIONAMIENTO","INVERSIÓN")</f>
        <v>INVERSIÓN</v>
      </c>
      <c r="E1868" s="48" t="str">
        <f>VLOOKUP(Q1868,[2]PROYECTOS!$G$1:$K$32,5,0)</f>
        <v>Apoyo técnico a atletas y para-atletas que representan en alto rendimiento deportivo al departamento de Antioquia</v>
      </c>
      <c r="F1868" s="48">
        <f>VLOOKUP(E1868,[2]PROYECTOS!$K$1:$M$32,3,0)</f>
        <v>2024003050084</v>
      </c>
      <c r="G1868" s="67" t="s">
        <v>2103</v>
      </c>
      <c r="H1868" s="49" t="str">
        <f>VLOOKUP(Q1868,[2]PROYECTOS!$V$1:$W$32,2,0)</f>
        <v>050079</v>
      </c>
      <c r="I1868" s="78">
        <v>66606440</v>
      </c>
      <c r="J1868" s="51" t="s">
        <v>2104</v>
      </c>
      <c r="K1868" s="47" t="str">
        <f t="shared" ca="1" si="602"/>
        <v>CONTRATADO</v>
      </c>
      <c r="L1868" s="47" t="s">
        <v>42</v>
      </c>
      <c r="M1868" s="51" t="s">
        <v>42</v>
      </c>
      <c r="N1868" s="52" t="s">
        <v>2105</v>
      </c>
      <c r="O1868" s="51" t="e">
        <f>VLOOKUP(N1868,[2]!RUBROS[#All],3,0)</f>
        <v>#REF!</v>
      </c>
      <c r="P1868" s="53" t="e">
        <f>VLOOKUP(N1868,[2]!RUBROS[#All],2,0)</f>
        <v>#REF!</v>
      </c>
      <c r="Q1868" s="47" t="str">
        <f t="shared" si="603"/>
        <v>84</v>
      </c>
      <c r="R1868" s="47" t="str">
        <f t="shared" si="604"/>
        <v>4-101124</v>
      </c>
      <c r="S1868" s="339" t="s">
        <v>42</v>
      </c>
      <c r="T1868" s="59" t="s">
        <v>42</v>
      </c>
      <c r="U1868" s="326" t="e">
        <f ca="1">_xlfn.XLOOKUP(PAA_4[[#This Row],[ITEM]],[2]Contrato!A:A,[2]Contrato!Q:Q,"",0)</f>
        <v>#NAME?</v>
      </c>
      <c r="V1868" s="47" t="s">
        <v>95</v>
      </c>
      <c r="W1868" s="47" t="s">
        <v>194</v>
      </c>
      <c r="X1868" s="47" t="s">
        <v>203</v>
      </c>
      <c r="Y1868" s="55" t="e">
        <f ca="1">_xlfn.XLOOKUP(PAA_4[[#This Row],[ITEM]],[2]Contrato!A:A,[2]Contrato!B:B,"",0)</f>
        <v>#NAME?</v>
      </c>
      <c r="Z1868" s="47" t="e">
        <f ca="1">_xlfn.XLOOKUP(PAA_4[[#This Row],[ITEM]],[2]Contrato!A:A,[2]Contrato!G:G,"",0)</f>
        <v>#NAME?</v>
      </c>
      <c r="AA1868" s="47" t="e">
        <f ca="1">_xlfn.XLOOKUP(PAA_4[[#This Row],[ITEM]],[2]Contrato!A:A,[2]Contrato!T:T,"",0)</f>
        <v>#NAME?</v>
      </c>
      <c r="AB1868" s="55" t="e">
        <f ca="1">+MAX(PAA_4[[#This Row],[Comprometido Contrato]],PAA_4[[#This Row],[Comprometido Bolsa]])</f>
        <v>#NAME?</v>
      </c>
      <c r="AC1868" s="55" t="str">
        <f t="shared" ca="1" si="605"/>
        <v/>
      </c>
      <c r="AD1868" s="55" t="e">
        <f ca="1">IF(PAA_4[[#This Row],[ESTADO (formulado)]]="NO CONTRATADO",0,MAX(PAA_4[[#This Row],[Pago por Contrato]],PAA_4[[#This Row],[Pago por bolsa]]))</f>
        <v>#NAME?</v>
      </c>
      <c r="AE1868" s="55" t="str">
        <f t="shared" ca="1" si="606"/>
        <v/>
      </c>
      <c r="AF1868" s="47" t="e">
        <f t="shared" ca="1" si="607"/>
        <v>#NAME?</v>
      </c>
      <c r="AG1868" s="47">
        <f t="shared" si="608"/>
        <v>52010802</v>
      </c>
      <c r="AH1868" s="54">
        <f>IF(Q1868="22",IF(ISNUMBER(SEARCH("econ",PAA_4[[#This Row],[Actividad3]])),"Económico",IF(ISNUMBER(SEARCH("alim",PAA_4[[#This Row],[Actividad3]])),"Alimentación",IF(ISNUMBER(SEARCH("educ",PAA_4[[#This Row],[Actividad3]])),"Educativo","Técnico"))),0)</f>
        <v>0</v>
      </c>
      <c r="AI1868" s="47" t="e" cm="1">
        <f t="array" aca="1" ref="AI1868" ca="1">_xlfn.XLOOKUP(PAA_4[[#This Row],[RCP-RUBRO]],[2]!COMPROMISOS_2024[[#All],[concatenado]],[2]!COMPROMISOS_2024[[#All],[Total pagado]],"",0)</f>
        <v>#NAME?</v>
      </c>
      <c r="AJ1868" s="56">
        <f>IF(PAA_4[[#This Row],[BOLSA]]=0,0,SUMIFS([2]!COMPROMISOS_2024[[#All],[Total pagado]],[2]!COMPROMISOS_2024[[#All],[Bolsa]],PAA_4[[#This Row],[BOLSA]],[2]!COMPROMISOS_2024[[#All],[rubro]],PAA_4[[#This Row],[RCP-RUBRO]]))</f>
        <v>0</v>
      </c>
      <c r="AK1868" s="47" t="e" cm="1">
        <f t="array" aca="1" ref="AK1868" ca="1">_xlfn.XLOOKUP(PAA_4[[#This Row],[RCP-RUBRO]],[2]!COMPROMISOS_2024[[#All],[concatenado]],[2]!COMPROMISOS_2024[[#All],[Total Comprometido]],"",0)</f>
        <v>#NAME?</v>
      </c>
      <c r="AL1868" s="47">
        <f>IF(PAA_4[[#This Row],[BOLSA]]=0,0,SUMIFS([2]!COMPROMISOS_2024[[#All],[Total Comprometido]],[2]!COMPROMISOS_2024[[#All],[Bolsa]],PAA_4[[#This Row],[BOLSA]],[2]!COMPROMISOS_2024[[#All],[concatenado]],PAA_4[[#This Row],[RCP-RUBRO]]))</f>
        <v>0</v>
      </c>
    </row>
    <row r="1869" spans="1:38" s="19" customFormat="1" ht="31.5" customHeight="1">
      <c r="A1869" s="47">
        <v>1022</v>
      </c>
      <c r="B1869" s="47">
        <v>90141502</v>
      </c>
      <c r="C1869" s="47" t="str">
        <f>VLOOKUP(PAA_4[[#This Row],[PROYECTO (formulado)2]],[2]PROYECTOS!$G$1:$L$32,6,0)</f>
        <v>SUBGERENCIA DE ALTOS LOGROS Y DEPORTE ASOCIADO</v>
      </c>
      <c r="D1869" s="47" t="str">
        <f>+IF(PAA_4[[#This Row],[UNIDAD DE CONTRATACION (formulado)]]="Subgerencia Administrativa y Financiera","FUNCIONAMIENTO","INVERSIÓN")</f>
        <v>INVERSIÓN</v>
      </c>
      <c r="E1869" s="48" t="str">
        <f>VLOOKUP(Q1869,[2]PROYECTOS!$G$1:$K$32,5,0)</f>
        <v>Fortalecimiento del desarrollo deportivo con miras al alto rendimiento competitivo de los atletas del departamento de Antioquia</v>
      </c>
      <c r="F1869" s="48">
        <f>VLOOKUP(E1869,[2]PROYECTOS!$K$1:$M$32,3,0)</f>
        <v>2024003050087</v>
      </c>
      <c r="G1869" s="67" t="s">
        <v>1514</v>
      </c>
      <c r="H1869" s="49" t="str">
        <f>VLOOKUP(Q1869,[2]PROYECTOS!$V$1:$W$32,2,0)</f>
        <v>050078</v>
      </c>
      <c r="I1869" s="78">
        <f>260006535-5547450</f>
        <v>254459085</v>
      </c>
      <c r="J1869" s="51" t="s">
        <v>2106</v>
      </c>
      <c r="K1869" s="47" t="str">
        <f t="shared" ca="1" si="602"/>
        <v>CONTRATADO</v>
      </c>
      <c r="L1869" s="47" t="s">
        <v>898</v>
      </c>
      <c r="M1869" s="51" t="s">
        <v>255</v>
      </c>
      <c r="N1869" s="52" t="s">
        <v>1515</v>
      </c>
      <c r="O1869" s="51" t="e">
        <f>VLOOKUP(N1869,[2]!RUBROS[#All],3,0)</f>
        <v>#REF!</v>
      </c>
      <c r="P1869" s="53" t="e">
        <f>VLOOKUP(N1869,[2]!RUBROS[#All],2,0)</f>
        <v>#REF!</v>
      </c>
      <c r="Q1869" s="47" t="str">
        <f t="shared" si="603"/>
        <v>87</v>
      </c>
      <c r="R1869" s="47" t="str">
        <f t="shared" si="604"/>
        <v>0-205400</v>
      </c>
      <c r="S1869" s="339">
        <v>125</v>
      </c>
      <c r="T1869" s="59" t="s">
        <v>120</v>
      </c>
      <c r="U1869" s="326" t="e">
        <f ca="1">_xlfn.XLOOKUP(PAA_4[[#This Row],[ITEM]],[2]Contrato!A:A,[2]Contrato!Q:Q,"",0)</f>
        <v>#NAME?</v>
      </c>
      <c r="V1869" s="47" t="s">
        <v>95</v>
      </c>
      <c r="W1869" s="47" t="s">
        <v>194</v>
      </c>
      <c r="X1869" s="47" t="s">
        <v>203</v>
      </c>
      <c r="Y1869" s="55" t="e">
        <f ca="1">_xlfn.XLOOKUP(PAA_4[[#This Row],[ITEM]],[2]Contrato!A:A,[2]Contrato!B:B,"",0)</f>
        <v>#NAME?</v>
      </c>
      <c r="Z1869" s="47" t="e">
        <f ca="1">_xlfn.XLOOKUP(PAA_4[[#This Row],[ITEM]],[2]Contrato!A:A,[2]Contrato!G:G,"",0)</f>
        <v>#NAME?</v>
      </c>
      <c r="AA1869" s="47" t="e">
        <f ca="1">_xlfn.XLOOKUP(PAA_4[[#This Row],[ITEM]],[2]Contrato!A:A,[2]Contrato!T:T,"",0)</f>
        <v>#NAME?</v>
      </c>
      <c r="AB1869" s="55" t="e">
        <f ca="1">+MAX(PAA_4[[#This Row],[Comprometido Contrato]],PAA_4[[#This Row],[Comprometido Bolsa]])</f>
        <v>#NAME?</v>
      </c>
      <c r="AC1869" s="55" t="str">
        <f t="shared" ca="1" si="605"/>
        <v/>
      </c>
      <c r="AD1869" s="55" t="e">
        <f ca="1">IF(PAA_4[[#This Row],[ESTADO (formulado)]]="NO CONTRATADO",0,MAX(PAA_4[[#This Row],[Pago por Contrato]],PAA_4[[#This Row],[Pago por bolsa]]))</f>
        <v>#NAME?</v>
      </c>
      <c r="AE1869" s="55" t="str">
        <f t="shared" ca="1" si="606"/>
        <v/>
      </c>
      <c r="AF1869" s="47" t="e">
        <f t="shared" ca="1" si="607"/>
        <v>#NAME?</v>
      </c>
      <c r="AG1869" s="47">
        <f t="shared" si="608"/>
        <v>52010805</v>
      </c>
      <c r="AH1869" s="54">
        <f>IF(Q1869="22",IF(ISNUMBER(SEARCH("econ",PAA_4[[#This Row],[Actividad3]])),"Económico",IF(ISNUMBER(SEARCH("alim",PAA_4[[#This Row],[Actividad3]])),"Alimentación",IF(ISNUMBER(SEARCH("educ",PAA_4[[#This Row],[Actividad3]])),"Educativo","Técnico"))),0)</f>
        <v>0</v>
      </c>
      <c r="AI1869" s="47" t="e" cm="1">
        <f t="array" aca="1" ref="AI1869" ca="1">_xlfn.XLOOKUP(PAA_4[[#This Row],[RCP-RUBRO]],[2]!COMPROMISOS_2024[[#All],[concatenado]],[2]!COMPROMISOS_2024[[#All],[Total pagado]],"",0)</f>
        <v>#NAME?</v>
      </c>
      <c r="AJ1869" s="56">
        <f>IF(PAA_4[[#This Row],[BOLSA]]=0,0,SUMIFS([2]!COMPROMISOS_2024[[#All],[Total pagado]],[2]!COMPROMISOS_2024[[#All],[Bolsa]],PAA_4[[#This Row],[BOLSA]],[2]!COMPROMISOS_2024[[#All],[rubro]],PAA_4[[#This Row],[RCP-RUBRO]]))</f>
        <v>0</v>
      </c>
      <c r="AK1869" s="47" t="e" cm="1">
        <f t="array" aca="1" ref="AK1869" ca="1">_xlfn.XLOOKUP(PAA_4[[#This Row],[RCP-RUBRO]],[2]!COMPROMISOS_2024[[#All],[concatenado]],[2]!COMPROMISOS_2024[[#All],[Total Comprometido]],"",0)</f>
        <v>#NAME?</v>
      </c>
      <c r="AL1869" s="47">
        <f>IF(PAA_4[[#This Row],[BOLSA]]=0,0,SUMIFS([2]!COMPROMISOS_2024[[#All],[Total Comprometido]],[2]!COMPROMISOS_2024[[#All],[Bolsa]],PAA_4[[#This Row],[BOLSA]],[2]!COMPROMISOS_2024[[#All],[concatenado]],PAA_4[[#This Row],[RCP-RUBRO]]))</f>
        <v>0</v>
      </c>
    </row>
    <row r="1870" spans="1:38" s="19" customFormat="1" ht="31.5" customHeight="1">
      <c r="A1870" s="47">
        <v>1022</v>
      </c>
      <c r="B1870" s="47">
        <v>90141502</v>
      </c>
      <c r="C1870" s="47" t="str">
        <f>VLOOKUP(PAA_4[[#This Row],[PROYECTO (formulado)2]],[2]PROYECTOS!$G$1:$L$32,6,0)</f>
        <v>SUBGERENCIA DE ALTOS LOGROS Y DEPORTE ASOCIADO</v>
      </c>
      <c r="D1870" s="47" t="str">
        <f>+IF(PAA_4[[#This Row],[UNIDAD DE CONTRATACION (formulado)]]="Subgerencia Administrativa y Financiera","FUNCIONAMIENTO","INVERSIÓN")</f>
        <v>INVERSIÓN</v>
      </c>
      <c r="E1870" s="48" t="str">
        <f>VLOOKUP(Q1870,[2]PROYECTOS!$G$1:$K$32,5,0)</f>
        <v>Fortalecimiento del desarrollo deportivo con miras al alto rendimiento competitivo de los atletas del departamento de Antioquia</v>
      </c>
      <c r="F1870" s="48">
        <f>VLOOKUP(E1870,[2]PROYECTOS!$K$1:$M$32,3,0)</f>
        <v>2024003050087</v>
      </c>
      <c r="G1870" s="67" t="s">
        <v>1514</v>
      </c>
      <c r="H1870" s="49" t="str">
        <f>VLOOKUP(Q1870,[2]PROYECTOS!$V$1:$W$32,2,0)</f>
        <v>050078</v>
      </c>
      <c r="I1870" s="78">
        <v>139993465</v>
      </c>
      <c r="J1870" s="51" t="s">
        <v>2106</v>
      </c>
      <c r="K1870" s="47" t="str">
        <f t="shared" ca="1" si="602"/>
        <v>CONTRATADO</v>
      </c>
      <c r="L1870" s="47" t="s">
        <v>898</v>
      </c>
      <c r="M1870" s="51" t="s">
        <v>255</v>
      </c>
      <c r="N1870" s="52" t="s">
        <v>2097</v>
      </c>
      <c r="O1870" s="51" t="e">
        <f>VLOOKUP(N1870,[2]!RUBROS[#All],3,0)</f>
        <v>#REF!</v>
      </c>
      <c r="P1870" s="53" t="e">
        <f>VLOOKUP(N1870,[2]!RUBROS[#All],2,0)</f>
        <v>#REF!</v>
      </c>
      <c r="Q1870" s="47" t="str">
        <f t="shared" si="603"/>
        <v>87</v>
      </c>
      <c r="R1870" s="47" t="str">
        <f t="shared" si="604"/>
        <v>4-205128</v>
      </c>
      <c r="S1870" s="339">
        <v>125</v>
      </c>
      <c r="T1870" s="59" t="s">
        <v>120</v>
      </c>
      <c r="U1870" s="326" t="e">
        <f ca="1">_xlfn.XLOOKUP(PAA_4[[#This Row],[ITEM]],[2]Contrato!A:A,[2]Contrato!Q:Q,"",0)</f>
        <v>#NAME?</v>
      </c>
      <c r="V1870" s="47" t="s">
        <v>95</v>
      </c>
      <c r="W1870" s="47" t="s">
        <v>194</v>
      </c>
      <c r="X1870" s="47" t="s">
        <v>203</v>
      </c>
      <c r="Y1870" s="55" t="e">
        <f ca="1">_xlfn.XLOOKUP(PAA_4[[#This Row],[ITEM]],[2]Contrato!A:A,[2]Contrato!B:B,"",0)</f>
        <v>#NAME?</v>
      </c>
      <c r="Z1870" s="47" t="e">
        <f ca="1">_xlfn.XLOOKUP(PAA_4[[#This Row],[ITEM]],[2]Contrato!A:A,[2]Contrato!G:G,"",0)</f>
        <v>#NAME?</v>
      </c>
      <c r="AA1870" s="47" t="e">
        <f ca="1">_xlfn.XLOOKUP(PAA_4[[#This Row],[ITEM]],[2]Contrato!A:A,[2]Contrato!T:T,"",0)</f>
        <v>#NAME?</v>
      </c>
      <c r="AB1870" s="55" t="e">
        <f ca="1">+MAX(PAA_4[[#This Row],[Comprometido Contrato]],PAA_4[[#This Row],[Comprometido Bolsa]])</f>
        <v>#NAME?</v>
      </c>
      <c r="AC1870" s="55" t="str">
        <f t="shared" ca="1" si="605"/>
        <v/>
      </c>
      <c r="AD1870" s="55" t="e">
        <f ca="1">IF(PAA_4[[#This Row],[ESTADO (formulado)]]="NO CONTRATADO",0,MAX(PAA_4[[#This Row],[Pago por Contrato]],PAA_4[[#This Row],[Pago por bolsa]]))</f>
        <v>#NAME?</v>
      </c>
      <c r="AE1870" s="55" t="str">
        <f t="shared" ca="1" si="606"/>
        <v/>
      </c>
      <c r="AF1870" s="47" t="e">
        <f t="shared" ca="1" si="607"/>
        <v>#NAME?</v>
      </c>
      <c r="AG1870" s="47">
        <f t="shared" si="608"/>
        <v>52010805</v>
      </c>
      <c r="AH1870" s="54">
        <f>IF(Q1870="22",IF(ISNUMBER(SEARCH("econ",PAA_4[[#This Row],[Actividad3]])),"Económico",IF(ISNUMBER(SEARCH("alim",PAA_4[[#This Row],[Actividad3]])),"Alimentación",IF(ISNUMBER(SEARCH("educ",PAA_4[[#This Row],[Actividad3]])),"Educativo","Técnico"))),0)</f>
        <v>0</v>
      </c>
      <c r="AI1870" s="47" t="e" cm="1">
        <f t="array" aca="1" ref="AI1870" ca="1">_xlfn.XLOOKUP(PAA_4[[#This Row],[RCP-RUBRO]],[2]!COMPROMISOS_2024[[#All],[concatenado]],[2]!COMPROMISOS_2024[[#All],[Total pagado]],"",0)</f>
        <v>#NAME?</v>
      </c>
      <c r="AJ1870" s="56">
        <f>IF(PAA_4[[#This Row],[BOLSA]]=0,0,SUMIFS([2]!COMPROMISOS_2024[[#All],[Total pagado]],[2]!COMPROMISOS_2024[[#All],[Bolsa]],PAA_4[[#This Row],[BOLSA]],[2]!COMPROMISOS_2024[[#All],[rubro]],PAA_4[[#This Row],[RCP-RUBRO]]))</f>
        <v>0</v>
      </c>
      <c r="AK1870" s="47" t="e" cm="1">
        <f t="array" aca="1" ref="AK1870" ca="1">_xlfn.XLOOKUP(PAA_4[[#This Row],[RCP-RUBRO]],[2]!COMPROMISOS_2024[[#All],[concatenado]],[2]!COMPROMISOS_2024[[#All],[Total Comprometido]],"",0)</f>
        <v>#NAME?</v>
      </c>
      <c r="AL1870" s="47">
        <f>IF(PAA_4[[#This Row],[BOLSA]]=0,0,SUMIFS([2]!COMPROMISOS_2024[[#All],[Total Comprometido]],[2]!COMPROMISOS_2024[[#All],[Bolsa]],PAA_4[[#This Row],[BOLSA]],[2]!COMPROMISOS_2024[[#All],[concatenado]],PAA_4[[#This Row],[RCP-RUBRO]]))</f>
        <v>0</v>
      </c>
    </row>
    <row r="1871" spans="1:38" s="19" customFormat="1" ht="31.5" customHeight="1">
      <c r="A1871" s="47" t="s">
        <v>82</v>
      </c>
      <c r="B1871" s="47" t="s">
        <v>42</v>
      </c>
      <c r="C1871" s="47" t="str">
        <f>VLOOKUP(PAA_4[[#This Row],[PROYECTO (formulado)2]],[2]PROYECTOS!$G$1:$L$32,6,0)</f>
        <v>SUBGERENCIA DE ALTOS LOGROS Y DEPORTE ASOCIADO</v>
      </c>
      <c r="D1871" s="47" t="str">
        <f>+IF(PAA_4[[#This Row],[UNIDAD DE CONTRATACION (formulado)]]="Subgerencia Administrativa y Financiera","FUNCIONAMIENTO","INVERSIÓN")</f>
        <v>INVERSIÓN</v>
      </c>
      <c r="E1871" s="48" t="str">
        <f>VLOOKUP(Q1871,[2]PROYECTOS!$G$1:$K$32,5,0)</f>
        <v>Fortalecimiento del desarrollo deportivo con miras al alto rendimiento competitivo de los atletas del departamento de Antioquia</v>
      </c>
      <c r="F1871" s="48">
        <f>VLOOKUP(E1871,[2]PROYECTOS!$K$1:$M$32,3,0)</f>
        <v>2024003050087</v>
      </c>
      <c r="G1871" s="67" t="s">
        <v>1514</v>
      </c>
      <c r="H1871" s="49" t="str">
        <f>VLOOKUP(Q1871,[2]PROYECTOS!$V$1:$W$32,2,0)</f>
        <v>050078</v>
      </c>
      <c r="I1871" s="78">
        <v>7925485</v>
      </c>
      <c r="J1871" s="51" t="s">
        <v>1778</v>
      </c>
      <c r="K1871" s="47" t="str">
        <f t="shared" ca="1" si="602"/>
        <v>CONTRATADO</v>
      </c>
      <c r="L1871" s="47" t="s">
        <v>42</v>
      </c>
      <c r="M1871" s="51" t="s">
        <v>42</v>
      </c>
      <c r="N1871" s="52" t="s">
        <v>2097</v>
      </c>
      <c r="O1871" s="51" t="e">
        <f>VLOOKUP(N1871,[2]!RUBROS[#All],3,0)</f>
        <v>#REF!</v>
      </c>
      <c r="P1871" s="53" t="e">
        <f>VLOOKUP(N1871,[2]!RUBROS[#All],2,0)</f>
        <v>#REF!</v>
      </c>
      <c r="Q1871" s="47" t="str">
        <f t="shared" si="603"/>
        <v>87</v>
      </c>
      <c r="R1871" s="47" t="str">
        <f t="shared" si="604"/>
        <v>4-205128</v>
      </c>
      <c r="S1871" s="339" t="s">
        <v>42</v>
      </c>
      <c r="T1871" s="59" t="s">
        <v>42</v>
      </c>
      <c r="U1871" s="326" t="e">
        <f ca="1">_xlfn.XLOOKUP(PAA_4[[#This Row],[ITEM]],[2]Contrato!A:A,[2]Contrato!Q:Q,"",0)</f>
        <v>#NAME?</v>
      </c>
      <c r="V1871" s="47" t="s">
        <v>95</v>
      </c>
      <c r="W1871" s="47" t="s">
        <v>42</v>
      </c>
      <c r="X1871" s="47" t="s">
        <v>42</v>
      </c>
      <c r="Y1871" s="55" t="e">
        <f ca="1">_xlfn.XLOOKUP(PAA_4[[#This Row],[ITEM]],[2]Contrato!A:A,[2]Contrato!B:B,"",0)</f>
        <v>#NAME?</v>
      </c>
      <c r="Z1871" s="47" t="e">
        <f ca="1">_xlfn.XLOOKUP(PAA_4[[#This Row],[ITEM]],[2]Contrato!A:A,[2]Contrato!G:G,"",0)</f>
        <v>#NAME?</v>
      </c>
      <c r="AA1871" s="47" t="e">
        <f ca="1">_xlfn.XLOOKUP(PAA_4[[#This Row],[ITEM]],[2]Contrato!A:A,[2]Contrato!T:T,"",0)</f>
        <v>#NAME?</v>
      </c>
      <c r="AB1871" s="55" t="e">
        <f ca="1">+MAX(PAA_4[[#This Row],[Comprometido Contrato]],PAA_4[[#This Row],[Comprometido Bolsa]])</f>
        <v>#NAME?</v>
      </c>
      <c r="AC1871" s="55" t="str">
        <f t="shared" ca="1" si="605"/>
        <v/>
      </c>
      <c r="AD1871" s="55" t="e">
        <f ca="1">IF(PAA_4[[#This Row],[ESTADO (formulado)]]="NO CONTRATADO",0,MAX(PAA_4[[#This Row],[Pago por Contrato]],PAA_4[[#This Row],[Pago por bolsa]]))</f>
        <v>#NAME?</v>
      </c>
      <c r="AE1871" s="55" t="str">
        <f t="shared" ca="1" si="606"/>
        <v/>
      </c>
      <c r="AF1871" s="47" t="e">
        <f t="shared" ca="1" si="607"/>
        <v>#NAME?</v>
      </c>
      <c r="AG1871" s="47">
        <f t="shared" si="608"/>
        <v>52010805</v>
      </c>
      <c r="AH1871" s="54">
        <f>IF(Q1871="22",IF(ISNUMBER(SEARCH("econ",PAA_4[[#This Row],[Actividad3]])),"Económico",IF(ISNUMBER(SEARCH("alim",PAA_4[[#This Row],[Actividad3]])),"Alimentación",IF(ISNUMBER(SEARCH("educ",PAA_4[[#This Row],[Actividad3]])),"Educativo","Técnico"))),0)</f>
        <v>0</v>
      </c>
      <c r="AI1871" s="47" t="e" cm="1">
        <f t="array" aca="1" ref="AI1871" ca="1">_xlfn.XLOOKUP(PAA_4[[#This Row],[RCP-RUBRO]],[2]!COMPROMISOS_2024[[#All],[concatenado]],[2]!COMPROMISOS_2024[[#All],[Total pagado]],"",0)</f>
        <v>#NAME?</v>
      </c>
      <c r="AJ1871" s="56">
        <f>IF(PAA_4[[#This Row],[BOLSA]]=0,0,SUMIFS([2]!COMPROMISOS_2024[[#All],[Total pagado]],[2]!COMPROMISOS_2024[[#All],[Bolsa]],PAA_4[[#This Row],[BOLSA]],[2]!COMPROMISOS_2024[[#All],[rubro]],PAA_4[[#This Row],[RCP-RUBRO]]))</f>
        <v>0</v>
      </c>
      <c r="AK1871" s="47" t="e" cm="1">
        <f t="array" aca="1" ref="AK1871" ca="1">_xlfn.XLOOKUP(PAA_4[[#This Row],[RCP-RUBRO]],[2]!COMPROMISOS_2024[[#All],[concatenado]],[2]!COMPROMISOS_2024[[#All],[Total Comprometido]],"",0)</f>
        <v>#NAME?</v>
      </c>
      <c r="AL1871" s="47">
        <f>IF(PAA_4[[#This Row],[BOLSA]]=0,0,SUMIFS([2]!COMPROMISOS_2024[[#All],[Total Comprometido]],[2]!COMPROMISOS_2024[[#All],[Bolsa]],PAA_4[[#This Row],[BOLSA]],[2]!COMPROMISOS_2024[[#All],[concatenado]],PAA_4[[#This Row],[RCP-RUBRO]]))</f>
        <v>0</v>
      </c>
    </row>
    <row r="1872" spans="1:38" s="19" customFormat="1" ht="31.5" customHeight="1">
      <c r="A1872" s="47">
        <v>1023</v>
      </c>
      <c r="B1872" s="47">
        <v>90141502</v>
      </c>
      <c r="C1872" s="47" t="str">
        <f>VLOOKUP(PAA_4[[#This Row],[PROYECTO (formulado)2]],[2]PROYECTOS!$G$1:$L$32,6,0)</f>
        <v>SUBGERENCIA DE ALTOS LOGROS Y DEPORTE ASOCIADO</v>
      </c>
      <c r="D1872" s="47" t="str">
        <f>+IF(PAA_4[[#This Row],[UNIDAD DE CONTRATACION (formulado)]]="Subgerencia Administrativa y Financiera","FUNCIONAMIENTO","INVERSIÓN")</f>
        <v>INVERSIÓN</v>
      </c>
      <c r="E1872" s="48" t="str">
        <f>VLOOKUP(Q1872,[2]PROYECTOS!$G$1:$K$32,5,0)</f>
        <v>Fortalecimiento del desarrollo deportivo con miras al alto rendimiento competitivo de los atletas del departamento de Antioquia</v>
      </c>
      <c r="F1872" s="48">
        <f>VLOOKUP(E1872,[2]PROYECTOS!$K$1:$M$32,3,0)</f>
        <v>2024003050087</v>
      </c>
      <c r="G1872" s="67" t="s">
        <v>1514</v>
      </c>
      <c r="H1872" s="49" t="str">
        <f>VLOOKUP(Q1872,[2]PROYECTOS!$V$1:$W$32,2,0)</f>
        <v>050078</v>
      </c>
      <c r="I1872" s="78">
        <f>225000000-7925485</f>
        <v>217074515</v>
      </c>
      <c r="J1872" s="51" t="s">
        <v>2107</v>
      </c>
      <c r="K1872" s="47" t="str">
        <f t="shared" ca="1" si="602"/>
        <v>CONTRATADO</v>
      </c>
      <c r="L1872" s="47" t="s">
        <v>78</v>
      </c>
      <c r="M1872" s="51" t="s">
        <v>255</v>
      </c>
      <c r="N1872" s="52" t="s">
        <v>2097</v>
      </c>
      <c r="O1872" s="51" t="e">
        <f>VLOOKUP(N1872,[2]!RUBROS[#All],3,0)</f>
        <v>#REF!</v>
      </c>
      <c r="P1872" s="53" t="e">
        <f>VLOOKUP(N1872,[2]!RUBROS[#All],2,0)</f>
        <v>#REF!</v>
      </c>
      <c r="Q1872" s="47" t="str">
        <f t="shared" si="603"/>
        <v>87</v>
      </c>
      <c r="R1872" s="47" t="str">
        <f t="shared" si="604"/>
        <v>4-205128</v>
      </c>
      <c r="S1872" s="339">
        <v>74</v>
      </c>
      <c r="T1872" s="59" t="s">
        <v>120</v>
      </c>
      <c r="U1872" s="326" t="e">
        <f ca="1">_xlfn.XLOOKUP(PAA_4[[#This Row],[ITEM]],[2]Contrato!A:A,[2]Contrato!Q:Q,"",0)</f>
        <v>#NAME?</v>
      </c>
      <c r="V1872" s="47" t="s">
        <v>95</v>
      </c>
      <c r="W1872" s="47" t="s">
        <v>204</v>
      </c>
      <c r="X1872" s="47" t="s">
        <v>204</v>
      </c>
      <c r="Y1872" s="55" t="e">
        <f ca="1">_xlfn.XLOOKUP(PAA_4[[#This Row],[ITEM]],[2]Contrato!A:A,[2]Contrato!B:B,"",0)</f>
        <v>#NAME?</v>
      </c>
      <c r="Z1872" s="47" t="e">
        <f ca="1">_xlfn.XLOOKUP(PAA_4[[#This Row],[ITEM]],[2]Contrato!A:A,[2]Contrato!G:G,"",0)</f>
        <v>#NAME?</v>
      </c>
      <c r="AA1872" s="47" t="e">
        <f ca="1">_xlfn.XLOOKUP(PAA_4[[#This Row],[ITEM]],[2]Contrato!A:A,[2]Contrato!T:T,"",0)</f>
        <v>#NAME?</v>
      </c>
      <c r="AB1872" s="55" t="e">
        <f ca="1">+MAX(PAA_4[[#This Row],[Comprometido Contrato]],PAA_4[[#This Row],[Comprometido Bolsa]])</f>
        <v>#NAME?</v>
      </c>
      <c r="AC1872" s="55" t="str">
        <f t="shared" ca="1" si="605"/>
        <v/>
      </c>
      <c r="AD1872" s="55" t="e">
        <f ca="1">IF(PAA_4[[#This Row],[ESTADO (formulado)]]="NO CONTRATADO",0,MAX(PAA_4[[#This Row],[Pago por Contrato]],PAA_4[[#This Row],[Pago por bolsa]]))</f>
        <v>#NAME?</v>
      </c>
      <c r="AE1872" s="55" t="str">
        <f t="shared" ca="1" si="606"/>
        <v/>
      </c>
      <c r="AF1872" s="47" t="e">
        <f t="shared" ca="1" si="607"/>
        <v>#NAME?</v>
      </c>
      <c r="AG1872" s="47">
        <f t="shared" si="608"/>
        <v>52010805</v>
      </c>
      <c r="AH1872" s="54">
        <f>IF(Q1872="22",IF(ISNUMBER(SEARCH("econ",PAA_4[[#This Row],[Actividad3]])),"Económico",IF(ISNUMBER(SEARCH("alim",PAA_4[[#This Row],[Actividad3]])),"Alimentación",IF(ISNUMBER(SEARCH("educ",PAA_4[[#This Row],[Actividad3]])),"Educativo","Técnico"))),0)</f>
        <v>0</v>
      </c>
      <c r="AI1872" s="47" t="e" cm="1">
        <f t="array" aca="1" ref="AI1872" ca="1">_xlfn.XLOOKUP(PAA_4[[#This Row],[RCP-RUBRO]],[2]!COMPROMISOS_2024[[#All],[concatenado]],[2]!COMPROMISOS_2024[[#All],[Total pagado]],"",0)</f>
        <v>#NAME?</v>
      </c>
      <c r="AJ1872" s="56">
        <f>IF(PAA_4[[#This Row],[BOLSA]]=0,0,SUMIFS([2]!COMPROMISOS_2024[[#All],[Total pagado]],[2]!COMPROMISOS_2024[[#All],[Bolsa]],PAA_4[[#This Row],[BOLSA]],[2]!COMPROMISOS_2024[[#All],[rubro]],PAA_4[[#This Row],[RCP-RUBRO]]))</f>
        <v>0</v>
      </c>
      <c r="AK1872" s="47" t="e" cm="1">
        <f t="array" aca="1" ref="AK1872" ca="1">_xlfn.XLOOKUP(PAA_4[[#This Row],[RCP-RUBRO]],[2]!COMPROMISOS_2024[[#All],[concatenado]],[2]!COMPROMISOS_2024[[#All],[Total Comprometido]],"",0)</f>
        <v>#NAME?</v>
      </c>
      <c r="AL1872" s="47">
        <f>IF(PAA_4[[#This Row],[BOLSA]]=0,0,SUMIFS([2]!COMPROMISOS_2024[[#All],[Total Comprometido]],[2]!COMPROMISOS_2024[[#All],[Bolsa]],PAA_4[[#This Row],[BOLSA]],[2]!COMPROMISOS_2024[[#All],[concatenado]],PAA_4[[#This Row],[RCP-RUBRO]]))</f>
        <v>0</v>
      </c>
    </row>
    <row r="1873" spans="1:38" s="19" customFormat="1" ht="31.5" customHeight="1">
      <c r="A1873" s="47">
        <v>1024</v>
      </c>
      <c r="B1873" s="47">
        <v>90141502</v>
      </c>
      <c r="C1873" s="47" t="str">
        <f>VLOOKUP(PAA_4[[#This Row],[PROYECTO (formulado)2]],[2]PROYECTOS!$G$1:$L$32,6,0)</f>
        <v>SUBGERENCIA DE ALTOS LOGROS Y DEPORTE ASOCIADO</v>
      </c>
      <c r="D1873" s="47" t="str">
        <f>+IF(PAA_4[[#This Row],[UNIDAD DE CONTRATACION (formulado)]]="Subgerencia Administrativa y Financiera","FUNCIONAMIENTO","INVERSIÓN")</f>
        <v>INVERSIÓN</v>
      </c>
      <c r="E1873" s="48" t="str">
        <f>VLOOKUP(Q1873,[2]PROYECTOS!$G$1:$K$32,5,0)</f>
        <v>Fortalecimiento del desarrollo deportivo con miras al alto rendimiento competitivo de los atletas del departamento de Antioquia</v>
      </c>
      <c r="F1873" s="48">
        <f>VLOOKUP(E1873,[2]PROYECTOS!$K$1:$M$32,3,0)</f>
        <v>2024003050087</v>
      </c>
      <c r="G1873" s="67" t="s">
        <v>1514</v>
      </c>
      <c r="H1873" s="49" t="str">
        <f>VLOOKUP(Q1873,[2]PROYECTOS!$V$1:$W$32,2,0)</f>
        <v>050078</v>
      </c>
      <c r="I1873" s="78">
        <v>10006535</v>
      </c>
      <c r="J1873" s="51" t="s">
        <v>2108</v>
      </c>
      <c r="K1873" s="47" t="str">
        <f t="shared" ca="1" si="602"/>
        <v>CONTRATADO</v>
      </c>
      <c r="L1873" s="47" t="s">
        <v>898</v>
      </c>
      <c r="M1873" s="51" t="s">
        <v>42</v>
      </c>
      <c r="N1873" s="52" t="s">
        <v>2097</v>
      </c>
      <c r="O1873" s="51" t="e">
        <f>VLOOKUP(N1873,[2]!RUBROS[#All],3,0)</f>
        <v>#REF!</v>
      </c>
      <c r="P1873" s="53" t="e">
        <f>VLOOKUP(N1873,[2]!RUBROS[#All],2,0)</f>
        <v>#REF!</v>
      </c>
      <c r="Q1873" s="47" t="str">
        <f t="shared" si="603"/>
        <v>87</v>
      </c>
      <c r="R1873" s="47" t="str">
        <f t="shared" si="604"/>
        <v>4-205128</v>
      </c>
      <c r="S1873" s="339" t="s">
        <v>42</v>
      </c>
      <c r="T1873" s="59" t="s">
        <v>42</v>
      </c>
      <c r="U1873" s="326" t="e">
        <f ca="1">_xlfn.XLOOKUP(PAA_4[[#This Row],[ITEM]],[2]Contrato!A:A,[2]Contrato!Q:Q,"",0)</f>
        <v>#NAME?</v>
      </c>
      <c r="V1873" s="47" t="s">
        <v>95</v>
      </c>
      <c r="W1873" s="47" t="s">
        <v>194</v>
      </c>
      <c r="X1873" s="47" t="s">
        <v>203</v>
      </c>
      <c r="Y1873" s="55" t="e">
        <f ca="1">_xlfn.XLOOKUP(PAA_4[[#This Row],[ITEM]],[2]Contrato!A:A,[2]Contrato!B:B,"",0)</f>
        <v>#NAME?</v>
      </c>
      <c r="Z1873" s="47" t="e">
        <f ca="1">_xlfn.XLOOKUP(PAA_4[[#This Row],[ITEM]],[2]Contrato!A:A,[2]Contrato!G:G,"",0)</f>
        <v>#NAME?</v>
      </c>
      <c r="AA1873" s="47" t="e">
        <f ca="1">_xlfn.XLOOKUP(PAA_4[[#This Row],[ITEM]],[2]Contrato!A:A,[2]Contrato!T:T,"",0)</f>
        <v>#NAME?</v>
      </c>
      <c r="AB1873" s="55" t="e">
        <f ca="1">+MAX(PAA_4[[#This Row],[Comprometido Contrato]],PAA_4[[#This Row],[Comprometido Bolsa]])</f>
        <v>#NAME?</v>
      </c>
      <c r="AC1873" s="55" t="str">
        <f t="shared" ca="1" si="605"/>
        <v/>
      </c>
      <c r="AD1873" s="55" t="e">
        <f ca="1">IF(PAA_4[[#This Row],[ESTADO (formulado)]]="NO CONTRATADO",0,MAX(PAA_4[[#This Row],[Pago por Contrato]],PAA_4[[#This Row],[Pago por bolsa]]))</f>
        <v>#NAME?</v>
      </c>
      <c r="AE1873" s="55" t="str">
        <f t="shared" ca="1" si="606"/>
        <v/>
      </c>
      <c r="AF1873" s="47" t="e">
        <f t="shared" ca="1" si="607"/>
        <v>#NAME?</v>
      </c>
      <c r="AG1873" s="47">
        <f t="shared" si="608"/>
        <v>52010805</v>
      </c>
      <c r="AH1873" s="54">
        <f>IF(Q1873="22",IF(ISNUMBER(SEARCH("econ",PAA_4[[#This Row],[Actividad3]])),"Económico",IF(ISNUMBER(SEARCH("alim",PAA_4[[#This Row],[Actividad3]])),"Alimentación",IF(ISNUMBER(SEARCH("educ",PAA_4[[#This Row],[Actividad3]])),"Educativo","Técnico"))),0)</f>
        <v>0</v>
      </c>
      <c r="AI1873" s="47" t="e" cm="1">
        <f t="array" aca="1" ref="AI1873" ca="1">_xlfn.XLOOKUP(PAA_4[[#This Row],[RCP-RUBRO]],[2]!COMPROMISOS_2024[[#All],[concatenado]],[2]!COMPROMISOS_2024[[#All],[Total pagado]],"",0)</f>
        <v>#NAME?</v>
      </c>
      <c r="AJ1873" s="56">
        <f>IF(PAA_4[[#This Row],[BOLSA]]=0,0,SUMIFS([2]!COMPROMISOS_2024[[#All],[Total pagado]],[2]!COMPROMISOS_2024[[#All],[Bolsa]],PAA_4[[#This Row],[BOLSA]],[2]!COMPROMISOS_2024[[#All],[rubro]],PAA_4[[#This Row],[RCP-RUBRO]]))</f>
        <v>0</v>
      </c>
      <c r="AK1873" s="47" t="e" cm="1">
        <f t="array" aca="1" ref="AK1873" ca="1">_xlfn.XLOOKUP(PAA_4[[#This Row],[RCP-RUBRO]],[2]!COMPROMISOS_2024[[#All],[concatenado]],[2]!COMPROMISOS_2024[[#All],[Total Comprometido]],"",0)</f>
        <v>#NAME?</v>
      </c>
      <c r="AL1873" s="47">
        <f>IF(PAA_4[[#This Row],[BOLSA]]=0,0,SUMIFS([2]!COMPROMISOS_2024[[#All],[Total Comprometido]],[2]!COMPROMISOS_2024[[#All],[Bolsa]],PAA_4[[#This Row],[BOLSA]],[2]!COMPROMISOS_2024[[#All],[concatenado]],PAA_4[[#This Row],[RCP-RUBRO]]))</f>
        <v>0</v>
      </c>
    </row>
    <row r="1874" spans="1:38" s="19" customFormat="1" ht="31.5" customHeight="1">
      <c r="A1874" s="47">
        <v>1025</v>
      </c>
      <c r="B1874" s="47">
        <v>90141502</v>
      </c>
      <c r="C1874" s="47" t="str">
        <f>VLOOKUP(PAA_4[[#This Row],[PROYECTO (formulado)2]],[2]PROYECTOS!$G$1:$L$32,6,0)</f>
        <v>SUBGERENCIA DE ALTOS LOGROS Y DEPORTE ASOCIADO</v>
      </c>
      <c r="D1874" s="47" t="str">
        <f>+IF(PAA_4[[#This Row],[UNIDAD DE CONTRATACION (formulado)]]="Subgerencia Administrativa y Financiera","FUNCIONAMIENTO","INVERSIÓN")</f>
        <v>INVERSIÓN</v>
      </c>
      <c r="E1874" s="48" t="str">
        <f>VLOOKUP(Q1874,[2]PROYECTOS!$G$1:$K$32,5,0)</f>
        <v>Fortalecimiento del desarrollo deportivo con miras al alto rendimiento competitivo de los atletas del departamento de Antioquia</v>
      </c>
      <c r="F1874" s="48">
        <f>VLOOKUP(E1874,[2]PROYECTOS!$K$1:$M$32,3,0)</f>
        <v>2024003050087</v>
      </c>
      <c r="G1874" s="67" t="s">
        <v>1514</v>
      </c>
      <c r="H1874" s="49" t="str">
        <f>VLOOKUP(Q1874,[2]PROYECTOS!$V$1:$W$32,2,0)</f>
        <v>050078</v>
      </c>
      <c r="I1874" s="78">
        <v>0</v>
      </c>
      <c r="J1874" s="51" t="s">
        <v>42</v>
      </c>
      <c r="K1874" s="47" t="str">
        <f t="shared" ca="1" si="602"/>
        <v>CONTRATADO</v>
      </c>
      <c r="L1874" s="47" t="s">
        <v>898</v>
      </c>
      <c r="M1874" s="51" t="s">
        <v>255</v>
      </c>
      <c r="N1874" s="52" t="s">
        <v>2109</v>
      </c>
      <c r="O1874" s="51" t="e">
        <f>VLOOKUP(N1874,[2]!RUBROS[#All],3,0)</f>
        <v>#REF!</v>
      </c>
      <c r="P1874" s="53" t="e">
        <f>VLOOKUP(N1874,[2]!RUBROS[#All],2,0)</f>
        <v>#REF!</v>
      </c>
      <c r="Q1874" s="47" t="str">
        <f t="shared" si="603"/>
        <v>87</v>
      </c>
      <c r="R1874" s="47" t="str">
        <f t="shared" si="604"/>
        <v>4-101124</v>
      </c>
      <c r="S1874" s="339">
        <v>3</v>
      </c>
      <c r="T1874" s="59" t="s">
        <v>46</v>
      </c>
      <c r="U1874" s="326" t="e">
        <f ca="1">_xlfn.XLOOKUP(PAA_4[[#This Row],[ITEM]],[2]Contrato!A:A,[2]Contrato!Q:Q,"",0)</f>
        <v>#NAME?</v>
      </c>
      <c r="V1874" s="47" t="s">
        <v>95</v>
      </c>
      <c r="W1874" s="47" t="s">
        <v>194</v>
      </c>
      <c r="X1874" s="47" t="s">
        <v>203</v>
      </c>
      <c r="Y1874" s="55" t="e">
        <f ca="1">_xlfn.XLOOKUP(PAA_4[[#This Row],[ITEM]],[2]Contrato!A:A,[2]Contrato!B:B,"",0)</f>
        <v>#NAME?</v>
      </c>
      <c r="Z1874" s="47" t="e">
        <f ca="1">_xlfn.XLOOKUP(PAA_4[[#This Row],[ITEM]],[2]Contrato!A:A,[2]Contrato!G:G,"",0)</f>
        <v>#NAME?</v>
      </c>
      <c r="AA1874" s="47" t="e">
        <f ca="1">_xlfn.XLOOKUP(PAA_4[[#This Row],[ITEM]],[2]Contrato!A:A,[2]Contrato!T:T,"",0)</f>
        <v>#NAME?</v>
      </c>
      <c r="AB1874" s="55" t="e">
        <f ca="1">+MAX(PAA_4[[#This Row],[Comprometido Contrato]],PAA_4[[#This Row],[Comprometido Bolsa]])</f>
        <v>#NAME?</v>
      </c>
      <c r="AC1874" s="55" t="str">
        <f t="shared" ca="1" si="605"/>
        <v/>
      </c>
      <c r="AD1874" s="55" t="e">
        <f ca="1">IF(PAA_4[[#This Row],[ESTADO (formulado)]]="NO CONTRATADO",0,MAX(PAA_4[[#This Row],[Pago por Contrato]],PAA_4[[#This Row],[Pago por bolsa]]))</f>
        <v>#NAME?</v>
      </c>
      <c r="AE1874" s="55" t="str">
        <f t="shared" ca="1" si="606"/>
        <v/>
      </c>
      <c r="AF1874" s="47" t="e">
        <f t="shared" ca="1" si="607"/>
        <v>#NAME?</v>
      </c>
      <c r="AG1874" s="47">
        <f t="shared" si="608"/>
        <v>52010805</v>
      </c>
      <c r="AH1874" s="54">
        <f>IF(Q1874="22",IF(ISNUMBER(SEARCH("econ",PAA_4[[#This Row],[Actividad3]])),"Económico",IF(ISNUMBER(SEARCH("alim",PAA_4[[#This Row],[Actividad3]])),"Alimentación",IF(ISNUMBER(SEARCH("educ",PAA_4[[#This Row],[Actividad3]])),"Educativo","Técnico"))),0)</f>
        <v>0</v>
      </c>
      <c r="AI1874" s="47" t="e" cm="1">
        <f t="array" aca="1" ref="AI1874" ca="1">_xlfn.XLOOKUP(PAA_4[[#This Row],[RCP-RUBRO]],[2]!COMPROMISOS_2024[[#All],[concatenado]],[2]!COMPROMISOS_2024[[#All],[Total pagado]],"",0)</f>
        <v>#NAME?</v>
      </c>
      <c r="AJ1874" s="56">
        <f>IF(PAA_4[[#This Row],[BOLSA]]=0,0,SUMIFS([2]!COMPROMISOS_2024[[#All],[Total pagado]],[2]!COMPROMISOS_2024[[#All],[Bolsa]],PAA_4[[#This Row],[BOLSA]],[2]!COMPROMISOS_2024[[#All],[rubro]],PAA_4[[#This Row],[RCP-RUBRO]]))</f>
        <v>0</v>
      </c>
      <c r="AK1874" s="47" t="e" cm="1">
        <f t="array" aca="1" ref="AK1874" ca="1">_xlfn.XLOOKUP(PAA_4[[#This Row],[RCP-RUBRO]],[2]!COMPROMISOS_2024[[#All],[concatenado]],[2]!COMPROMISOS_2024[[#All],[Total Comprometido]],"",0)</f>
        <v>#NAME?</v>
      </c>
      <c r="AL1874" s="47">
        <f>IF(PAA_4[[#This Row],[BOLSA]]=0,0,SUMIFS([2]!COMPROMISOS_2024[[#All],[Total Comprometido]],[2]!COMPROMISOS_2024[[#All],[Bolsa]],PAA_4[[#This Row],[BOLSA]],[2]!COMPROMISOS_2024[[#All],[concatenado]],PAA_4[[#This Row],[RCP-RUBRO]]))</f>
        <v>0</v>
      </c>
    </row>
    <row r="1875" spans="1:38" s="19" customFormat="1" ht="31.5" customHeight="1">
      <c r="A1875" s="47" t="s">
        <v>82</v>
      </c>
      <c r="B1875" s="47">
        <v>90141502</v>
      </c>
      <c r="C1875" s="47" t="str">
        <f>VLOOKUP(PAA_4[[#This Row],[PROYECTO (formulado)2]],[2]PROYECTOS!$G$1:$L$32,6,0)</f>
        <v>SUBGERENCIA DE ALTOS LOGROS Y DEPORTE ASOCIADO</v>
      </c>
      <c r="D1875" s="47" t="str">
        <f>+IF(PAA_4[[#This Row],[UNIDAD DE CONTRATACION (formulado)]]="Subgerencia Administrativa y Financiera","FUNCIONAMIENTO","INVERSIÓN")</f>
        <v>INVERSIÓN</v>
      </c>
      <c r="E1875" s="48" t="str">
        <f>VLOOKUP(Q1875,[2]PROYECTOS!$G$1:$K$32,5,0)</f>
        <v>Fortalecimiento del desarrollo deportivo con miras al alto rendimiento competitivo de los atletas del departamento de Antioquia</v>
      </c>
      <c r="F1875" s="48">
        <f>VLOOKUP(E1875,[2]PROYECTOS!$K$1:$M$32,3,0)</f>
        <v>2024003050087</v>
      </c>
      <c r="G1875" s="67" t="s">
        <v>1514</v>
      </c>
      <c r="H1875" s="49" t="str">
        <f>VLOOKUP(Q1875,[2]PROYECTOS!$V$1:$W$32,2,0)</f>
        <v>050078</v>
      </c>
      <c r="I1875" s="78">
        <v>0</v>
      </c>
      <c r="J1875" s="51" t="s">
        <v>2108</v>
      </c>
      <c r="K1875" s="47" t="str">
        <f t="shared" ca="1" si="602"/>
        <v>CONTRATADO</v>
      </c>
      <c r="L1875" s="47" t="s">
        <v>898</v>
      </c>
      <c r="M1875" s="51" t="s">
        <v>42</v>
      </c>
      <c r="N1875" s="52" t="s">
        <v>2109</v>
      </c>
      <c r="O1875" s="51" t="e">
        <f>VLOOKUP(N1875,[2]!RUBROS[#All],3,0)</f>
        <v>#REF!</v>
      </c>
      <c r="P1875" s="53" t="e">
        <f>VLOOKUP(N1875,[2]!RUBROS[#All],2,0)</f>
        <v>#REF!</v>
      </c>
      <c r="Q1875" s="47" t="str">
        <f t="shared" si="603"/>
        <v>87</v>
      </c>
      <c r="R1875" s="47" t="str">
        <f t="shared" si="604"/>
        <v>4-101124</v>
      </c>
      <c r="S1875" s="339" t="s">
        <v>42</v>
      </c>
      <c r="T1875" s="59" t="s">
        <v>42</v>
      </c>
      <c r="U1875" s="326" t="e">
        <f ca="1">_xlfn.XLOOKUP(PAA_4[[#This Row],[ITEM]],[2]Contrato!A:A,[2]Contrato!Q:Q,"",0)</f>
        <v>#NAME?</v>
      </c>
      <c r="V1875" s="47" t="s">
        <v>95</v>
      </c>
      <c r="W1875" s="47" t="s">
        <v>194</v>
      </c>
      <c r="X1875" s="47" t="s">
        <v>203</v>
      </c>
      <c r="Y1875" s="55" t="e">
        <f ca="1">_xlfn.XLOOKUP(PAA_4[[#This Row],[ITEM]],[2]Contrato!A:A,[2]Contrato!B:B,"",0)</f>
        <v>#NAME?</v>
      </c>
      <c r="Z1875" s="47" t="e">
        <f ca="1">_xlfn.XLOOKUP(PAA_4[[#This Row],[ITEM]],[2]Contrato!A:A,[2]Contrato!G:G,"",0)</f>
        <v>#NAME?</v>
      </c>
      <c r="AA1875" s="47" t="e">
        <f ca="1">_xlfn.XLOOKUP(PAA_4[[#This Row],[ITEM]],[2]Contrato!A:A,[2]Contrato!T:T,"",0)</f>
        <v>#NAME?</v>
      </c>
      <c r="AB1875" s="55" t="e">
        <f ca="1">+MAX(PAA_4[[#This Row],[Comprometido Contrato]],PAA_4[[#This Row],[Comprometido Bolsa]])</f>
        <v>#NAME?</v>
      </c>
      <c r="AC1875" s="55" t="str">
        <f t="shared" ca="1" si="605"/>
        <v/>
      </c>
      <c r="AD1875" s="55" t="e">
        <f ca="1">IF(PAA_4[[#This Row],[ESTADO (formulado)]]="NO CONTRATADO",0,MAX(PAA_4[[#This Row],[Pago por Contrato]],PAA_4[[#This Row],[Pago por bolsa]]))</f>
        <v>#NAME?</v>
      </c>
      <c r="AE1875" s="55" t="str">
        <f t="shared" ca="1" si="606"/>
        <v/>
      </c>
      <c r="AF1875" s="47" t="e">
        <f t="shared" ca="1" si="607"/>
        <v>#NAME?</v>
      </c>
      <c r="AG1875" s="47">
        <f t="shared" si="608"/>
        <v>52010805</v>
      </c>
      <c r="AH1875" s="54">
        <f>IF(Q1875="22",IF(ISNUMBER(SEARCH("econ",PAA_4[[#This Row],[Actividad3]])),"Económico",IF(ISNUMBER(SEARCH("alim",PAA_4[[#This Row],[Actividad3]])),"Alimentación",IF(ISNUMBER(SEARCH("educ",PAA_4[[#This Row],[Actividad3]])),"Educativo","Técnico"))),0)</f>
        <v>0</v>
      </c>
      <c r="AI1875" s="47" t="e" cm="1">
        <f t="array" aca="1" ref="AI1875" ca="1">_xlfn.XLOOKUP(PAA_4[[#This Row],[RCP-RUBRO]],[2]!COMPROMISOS_2024[[#All],[concatenado]],[2]!COMPROMISOS_2024[[#All],[Total pagado]],"",0)</f>
        <v>#NAME?</v>
      </c>
      <c r="AJ1875" s="56">
        <f>IF(PAA_4[[#This Row],[BOLSA]]=0,0,SUMIFS([2]!COMPROMISOS_2024[[#All],[Total pagado]],[2]!COMPROMISOS_2024[[#All],[Bolsa]],PAA_4[[#This Row],[BOLSA]],[2]!COMPROMISOS_2024[[#All],[rubro]],PAA_4[[#This Row],[RCP-RUBRO]]))</f>
        <v>0</v>
      </c>
      <c r="AK1875" s="47" t="e" cm="1">
        <f t="array" aca="1" ref="AK1875" ca="1">_xlfn.XLOOKUP(PAA_4[[#This Row],[RCP-RUBRO]],[2]!COMPROMISOS_2024[[#All],[concatenado]],[2]!COMPROMISOS_2024[[#All],[Total Comprometido]],"",0)</f>
        <v>#NAME?</v>
      </c>
      <c r="AL1875" s="47">
        <f>IF(PAA_4[[#This Row],[BOLSA]]=0,0,SUMIFS([2]!COMPROMISOS_2024[[#All],[Total Comprometido]],[2]!COMPROMISOS_2024[[#All],[Bolsa]],PAA_4[[#This Row],[BOLSA]],[2]!COMPROMISOS_2024[[#All],[concatenado]],PAA_4[[#This Row],[RCP-RUBRO]]))</f>
        <v>0</v>
      </c>
    </row>
    <row r="1876" spans="1:38" s="19" customFormat="1" ht="31.5" customHeight="1">
      <c r="A1876" s="47" t="s">
        <v>82</v>
      </c>
      <c r="B1876" s="47" t="s">
        <v>42</v>
      </c>
      <c r="C1876" s="47" t="str">
        <f>VLOOKUP(PAA_4[[#This Row],[PROYECTO (formulado)2]],[2]PROYECTOS!$G$1:$L$32,6,0)</f>
        <v>SUBGERENCIA DE ALTOS LOGROS Y DEPORTE ASOCIADO</v>
      </c>
      <c r="D1876" s="47" t="str">
        <f>+IF(PAA_4[[#This Row],[UNIDAD DE CONTRATACION (formulado)]]="Subgerencia Administrativa y Financiera","FUNCIONAMIENTO","INVERSIÓN")</f>
        <v>INVERSIÓN</v>
      </c>
      <c r="E1876" s="48" t="str">
        <f>VLOOKUP(Q1876,[2]PROYECTOS!$G$1:$K$32,5,0)</f>
        <v>Fortalecimiento del desarrollo deportivo con miras al alto rendimiento competitivo de los atletas del departamento de Antioquia</v>
      </c>
      <c r="F1876" s="48">
        <f>VLOOKUP(E1876,[2]PROYECTOS!$K$1:$M$32,3,0)</f>
        <v>2024003050087</v>
      </c>
      <c r="G1876" s="67" t="s">
        <v>1548</v>
      </c>
      <c r="H1876" s="49" t="str">
        <f>VLOOKUP(Q1876,[2]PROYECTOS!$V$1:$W$32,2,0)</f>
        <v>050078</v>
      </c>
      <c r="I1876" s="78">
        <v>46138999</v>
      </c>
      <c r="J1876" s="51" t="s">
        <v>174</v>
      </c>
      <c r="K1876" s="47" t="str">
        <f t="shared" ca="1" si="602"/>
        <v>CONTRATADO</v>
      </c>
      <c r="L1876" s="47" t="s">
        <v>42</v>
      </c>
      <c r="M1876" s="51" t="s">
        <v>42</v>
      </c>
      <c r="N1876" s="52" t="s">
        <v>2110</v>
      </c>
      <c r="O1876" s="51" t="e">
        <f>VLOOKUP(N1876,[2]!RUBROS[#All],3,0)</f>
        <v>#REF!</v>
      </c>
      <c r="P1876" s="53" t="e">
        <f>VLOOKUP(N1876,[2]!RUBROS[#All],2,0)</f>
        <v>#REF!</v>
      </c>
      <c r="Q1876" s="47" t="str">
        <f t="shared" si="603"/>
        <v>87</v>
      </c>
      <c r="R1876" s="47" t="str">
        <f t="shared" si="604"/>
        <v>4-101124</v>
      </c>
      <c r="S1876" s="339" t="s">
        <v>42</v>
      </c>
      <c r="T1876" s="59" t="s">
        <v>42</v>
      </c>
      <c r="U1876" s="326" t="e">
        <f ca="1">_xlfn.XLOOKUP(PAA_4[[#This Row],[ITEM]],[2]Contrato!A:A,[2]Contrato!Q:Q,"",0)</f>
        <v>#NAME?</v>
      </c>
      <c r="V1876" s="47" t="s">
        <v>95</v>
      </c>
      <c r="W1876" s="47" t="s">
        <v>194</v>
      </c>
      <c r="X1876" s="47" t="s">
        <v>203</v>
      </c>
      <c r="Y1876" s="55" t="e">
        <f ca="1">_xlfn.XLOOKUP(PAA_4[[#This Row],[ITEM]],[2]Contrato!A:A,[2]Contrato!B:B,"",0)</f>
        <v>#NAME?</v>
      </c>
      <c r="Z1876" s="47" t="e">
        <f ca="1">_xlfn.XLOOKUP(PAA_4[[#This Row],[ITEM]],[2]Contrato!A:A,[2]Contrato!G:G,"",0)</f>
        <v>#NAME?</v>
      </c>
      <c r="AA1876" s="47" t="e">
        <f ca="1">_xlfn.XLOOKUP(PAA_4[[#This Row],[ITEM]],[2]Contrato!A:A,[2]Contrato!T:T,"",0)</f>
        <v>#NAME?</v>
      </c>
      <c r="AB1876" s="55" t="e">
        <f ca="1">+MAX(PAA_4[[#This Row],[Comprometido Contrato]],PAA_4[[#This Row],[Comprometido Bolsa]])</f>
        <v>#NAME?</v>
      </c>
      <c r="AC1876" s="55" t="str">
        <f t="shared" ca="1" si="605"/>
        <v/>
      </c>
      <c r="AD1876" s="55" t="e">
        <f ca="1">IF(PAA_4[[#This Row],[ESTADO (formulado)]]="NO CONTRATADO",0,MAX(PAA_4[[#This Row],[Pago por Contrato]],PAA_4[[#This Row],[Pago por bolsa]]))</f>
        <v>#NAME?</v>
      </c>
      <c r="AE1876" s="55" t="str">
        <f t="shared" ca="1" si="606"/>
        <v/>
      </c>
      <c r="AF1876" s="47" t="e">
        <f t="shared" ca="1" si="607"/>
        <v>#NAME?</v>
      </c>
      <c r="AG1876" s="47">
        <f t="shared" si="608"/>
        <v>52010805</v>
      </c>
      <c r="AH1876" s="54">
        <f>IF(Q1876="22",IF(ISNUMBER(SEARCH("econ",PAA_4[[#This Row],[Actividad3]])),"Económico",IF(ISNUMBER(SEARCH("alim",PAA_4[[#This Row],[Actividad3]])),"Alimentación",IF(ISNUMBER(SEARCH("educ",PAA_4[[#This Row],[Actividad3]])),"Educativo","Técnico"))),0)</f>
        <v>0</v>
      </c>
      <c r="AI1876" s="47" t="e" cm="1">
        <f t="array" aca="1" ref="AI1876" ca="1">_xlfn.XLOOKUP(PAA_4[[#This Row],[RCP-RUBRO]],[2]!COMPROMISOS_2024[[#All],[concatenado]],[2]!COMPROMISOS_2024[[#All],[Total pagado]],"",0)</f>
        <v>#NAME?</v>
      </c>
      <c r="AJ1876" s="56">
        <f>IF(PAA_4[[#This Row],[BOLSA]]=0,0,SUMIFS([2]!COMPROMISOS_2024[[#All],[Total pagado]],[2]!COMPROMISOS_2024[[#All],[Bolsa]],PAA_4[[#This Row],[BOLSA]],[2]!COMPROMISOS_2024[[#All],[rubro]],PAA_4[[#This Row],[RCP-RUBRO]]))</f>
        <v>0</v>
      </c>
      <c r="AK1876" s="47" t="e" cm="1">
        <f t="array" aca="1" ref="AK1876" ca="1">_xlfn.XLOOKUP(PAA_4[[#This Row],[RCP-RUBRO]],[2]!COMPROMISOS_2024[[#All],[concatenado]],[2]!COMPROMISOS_2024[[#All],[Total Comprometido]],"",0)</f>
        <v>#NAME?</v>
      </c>
      <c r="AL1876" s="47">
        <f>IF(PAA_4[[#This Row],[BOLSA]]=0,0,SUMIFS([2]!COMPROMISOS_2024[[#All],[Total Comprometido]],[2]!COMPROMISOS_2024[[#All],[Bolsa]],PAA_4[[#This Row],[BOLSA]],[2]!COMPROMISOS_2024[[#All],[concatenado]],PAA_4[[#This Row],[RCP-RUBRO]]))</f>
        <v>0</v>
      </c>
    </row>
    <row r="1877" spans="1:38" s="19" customFormat="1" ht="31.5" customHeight="1">
      <c r="A1877" s="47" t="s">
        <v>82</v>
      </c>
      <c r="B1877" s="47" t="s">
        <v>42</v>
      </c>
      <c r="C1877" s="47" t="str">
        <f>VLOOKUP(PAA_4[[#This Row],[PROYECTO (formulado)2]],[2]PROYECTOS!$G$1:$L$32,6,0)</f>
        <v>SUBGERENCIA DE ALTOS LOGROS Y DEPORTE ASOCIADO</v>
      </c>
      <c r="D1877" s="47" t="str">
        <f>+IF(PAA_4[[#This Row],[UNIDAD DE CONTRATACION (formulado)]]="Subgerencia Administrativa y Financiera","FUNCIONAMIENTO","INVERSIÓN")</f>
        <v>INVERSIÓN</v>
      </c>
      <c r="E1877" s="48" t="str">
        <f>VLOOKUP(Q1877,[2]PROYECTOS!$G$1:$K$32,5,0)</f>
        <v>Fortalecimiento del desarrollo deportivo con miras al alto rendimiento competitivo de los atletas del departamento de Antioquia</v>
      </c>
      <c r="F1877" s="48">
        <f>VLOOKUP(E1877,[2]PROYECTOS!$K$1:$M$32,3,0)</f>
        <v>2024003050087</v>
      </c>
      <c r="G1877" s="67" t="s">
        <v>1548</v>
      </c>
      <c r="H1877" s="49" t="str">
        <f>VLOOKUP(Q1877,[2]PROYECTOS!$V$1:$W$32,2,0)</f>
        <v>050078</v>
      </c>
      <c r="I1877" s="78">
        <v>39006637</v>
      </c>
      <c r="J1877" s="51" t="s">
        <v>174</v>
      </c>
      <c r="K1877" s="47" t="str">
        <f t="shared" ca="1" si="602"/>
        <v>CONTRATADO</v>
      </c>
      <c r="L1877" s="47" t="s">
        <v>42</v>
      </c>
      <c r="M1877" s="51" t="s">
        <v>42</v>
      </c>
      <c r="N1877" s="52" t="s">
        <v>1549</v>
      </c>
      <c r="O1877" s="51" t="e">
        <f>VLOOKUP(N1877,[2]!RUBROS[#All],3,0)</f>
        <v>#REF!</v>
      </c>
      <c r="P1877" s="53" t="e">
        <f>VLOOKUP(N1877,[2]!RUBROS[#All],2,0)</f>
        <v>#REF!</v>
      </c>
      <c r="Q1877" s="47" t="str">
        <f t="shared" si="603"/>
        <v>87</v>
      </c>
      <c r="R1877" s="47" t="str">
        <f t="shared" si="604"/>
        <v>0-205400</v>
      </c>
      <c r="S1877" s="339" t="s">
        <v>42</v>
      </c>
      <c r="T1877" s="59" t="s">
        <v>42</v>
      </c>
      <c r="U1877" s="326" t="e">
        <f ca="1">_xlfn.XLOOKUP(PAA_4[[#This Row],[ITEM]],[2]Contrato!A:A,[2]Contrato!Q:Q,"",0)</f>
        <v>#NAME?</v>
      </c>
      <c r="V1877" s="47" t="s">
        <v>95</v>
      </c>
      <c r="W1877" s="47" t="s">
        <v>194</v>
      </c>
      <c r="X1877" s="47" t="s">
        <v>203</v>
      </c>
      <c r="Y1877" s="55" t="e">
        <f ca="1">_xlfn.XLOOKUP(PAA_4[[#This Row],[ITEM]],[2]Contrato!A:A,[2]Contrato!B:B,"",0)</f>
        <v>#NAME?</v>
      </c>
      <c r="Z1877" s="47" t="e">
        <f ca="1">_xlfn.XLOOKUP(PAA_4[[#This Row],[ITEM]],[2]Contrato!A:A,[2]Contrato!G:G,"",0)</f>
        <v>#NAME?</v>
      </c>
      <c r="AA1877" s="47" t="e">
        <f ca="1">_xlfn.XLOOKUP(PAA_4[[#This Row],[ITEM]],[2]Contrato!A:A,[2]Contrato!T:T,"",0)</f>
        <v>#NAME?</v>
      </c>
      <c r="AB1877" s="55" t="e">
        <f ca="1">+MAX(PAA_4[[#This Row],[Comprometido Contrato]],PAA_4[[#This Row],[Comprometido Bolsa]])</f>
        <v>#NAME?</v>
      </c>
      <c r="AC1877" s="55" t="str">
        <f t="shared" ca="1" si="605"/>
        <v/>
      </c>
      <c r="AD1877" s="55" t="e">
        <f ca="1">IF(PAA_4[[#This Row],[ESTADO (formulado)]]="NO CONTRATADO",0,MAX(PAA_4[[#This Row],[Pago por Contrato]],PAA_4[[#This Row],[Pago por bolsa]]))</f>
        <v>#NAME?</v>
      </c>
      <c r="AE1877" s="55" t="str">
        <f t="shared" ca="1" si="606"/>
        <v/>
      </c>
      <c r="AF1877" s="47" t="e">
        <f t="shared" ca="1" si="607"/>
        <v>#NAME?</v>
      </c>
      <c r="AG1877" s="47">
        <f t="shared" si="608"/>
        <v>52010805</v>
      </c>
      <c r="AH1877" s="54">
        <f>IF(Q1877="22",IF(ISNUMBER(SEARCH("econ",PAA_4[[#This Row],[Actividad3]])),"Económico",IF(ISNUMBER(SEARCH("alim",PAA_4[[#This Row],[Actividad3]])),"Alimentación",IF(ISNUMBER(SEARCH("educ",PAA_4[[#This Row],[Actividad3]])),"Educativo","Técnico"))),0)</f>
        <v>0</v>
      </c>
      <c r="AI1877" s="47" t="e" cm="1">
        <f t="array" aca="1" ref="AI1877" ca="1">_xlfn.XLOOKUP(PAA_4[[#This Row],[RCP-RUBRO]],[2]!COMPROMISOS_2024[[#All],[concatenado]],[2]!COMPROMISOS_2024[[#All],[Total pagado]],"",0)</f>
        <v>#NAME?</v>
      </c>
      <c r="AJ1877" s="56">
        <f>IF(PAA_4[[#This Row],[BOLSA]]=0,0,SUMIFS([2]!COMPROMISOS_2024[[#All],[Total pagado]],[2]!COMPROMISOS_2024[[#All],[Bolsa]],PAA_4[[#This Row],[BOLSA]],[2]!COMPROMISOS_2024[[#All],[rubro]],PAA_4[[#This Row],[RCP-RUBRO]]))</f>
        <v>0</v>
      </c>
      <c r="AK1877" s="47" t="e" cm="1">
        <f t="array" aca="1" ref="AK1877" ca="1">_xlfn.XLOOKUP(PAA_4[[#This Row],[RCP-RUBRO]],[2]!COMPROMISOS_2024[[#All],[concatenado]],[2]!COMPROMISOS_2024[[#All],[Total Comprometido]],"",0)</f>
        <v>#NAME?</v>
      </c>
      <c r="AL1877" s="47">
        <f>IF(PAA_4[[#This Row],[BOLSA]]=0,0,SUMIFS([2]!COMPROMISOS_2024[[#All],[Total Comprometido]],[2]!COMPROMISOS_2024[[#All],[Bolsa]],PAA_4[[#This Row],[BOLSA]],[2]!COMPROMISOS_2024[[#All],[concatenado]],PAA_4[[#This Row],[RCP-RUBRO]]))</f>
        <v>0</v>
      </c>
    </row>
    <row r="1878" spans="1:38" s="19" customFormat="1" ht="31.5" customHeight="1">
      <c r="A1878" s="47">
        <v>1257</v>
      </c>
      <c r="B1878" s="51" t="s">
        <v>2111</v>
      </c>
      <c r="C1878" s="47" t="str">
        <f>VLOOKUP(PAA_4[[#This Row],[PROYECTO (formulado)2]],[2]PROYECTOS!$G$1:$L$32,6,0)</f>
        <v>SUBGERENCIA DE ALTOS LOGROS Y DEPORTE ASOCIADO</v>
      </c>
      <c r="D1878" s="47" t="str">
        <f>+IF(PAA_4[[#This Row],[UNIDAD DE CONTRATACION (formulado)]]="Subgerencia Administrativa y Financiera","FUNCIONAMIENTO","INVERSIÓN")</f>
        <v>INVERSIÓN</v>
      </c>
      <c r="E1878" s="48" t="str">
        <f>VLOOKUP(Q1878,[2]PROYECTOS!$G$1:$K$32,5,0)</f>
        <v>Asesoria médica y de ciencias aplicadas al desarrollo del rendimiento deportivo de atletas y para-atletas de Antioquia</v>
      </c>
      <c r="F1878" s="48">
        <f>VLOOKUP(E1878,[2]PROYECTOS!$K$1:$M$32,3,0)</f>
        <v>2024003050103</v>
      </c>
      <c r="G1878" s="67" t="s">
        <v>2112</v>
      </c>
      <c r="H1878" s="49" t="str">
        <f>VLOOKUP(Q1878,[2]PROYECTOS!$V$1:$W$32,2,0)</f>
        <v>050080</v>
      </c>
      <c r="I1878" s="78">
        <v>0</v>
      </c>
      <c r="J1878" s="51" t="s">
        <v>42</v>
      </c>
      <c r="K1878" s="47" t="str">
        <f t="shared" ca="1" si="602"/>
        <v>CONTRATADO</v>
      </c>
      <c r="L1878" s="47" t="s">
        <v>94</v>
      </c>
      <c r="M1878" s="47" t="s">
        <v>2113</v>
      </c>
      <c r="N1878" s="52" t="s">
        <v>2114</v>
      </c>
      <c r="O1878" s="51" t="e">
        <f>VLOOKUP(N1878,[2]!RUBROS[#All],3,0)</f>
        <v>#REF!</v>
      </c>
      <c r="P1878" s="53" t="e">
        <f>VLOOKUP(N1878,[2]!RUBROS[#All],2,0)</f>
        <v>#REF!</v>
      </c>
      <c r="Q1878" s="47" t="str">
        <f t="shared" si="603"/>
        <v>03</v>
      </c>
      <c r="R1878" s="47" t="str">
        <f t="shared" si="604"/>
        <v>4-101124</v>
      </c>
      <c r="S1878" s="339" t="s">
        <v>42</v>
      </c>
      <c r="T1878" s="59" t="s">
        <v>42</v>
      </c>
      <c r="U1878" s="326" t="e">
        <f ca="1">_xlfn.XLOOKUP(PAA_4[[#This Row],[ITEM]],[2]Contrato!A:A,[2]Contrato!Q:Q,"",0)</f>
        <v>#NAME?</v>
      </c>
      <c r="V1878" s="47" t="s">
        <v>95</v>
      </c>
      <c r="W1878" s="47" t="s">
        <v>204</v>
      </c>
      <c r="X1878" s="47" t="s">
        <v>204</v>
      </c>
      <c r="Y1878" s="55" t="e">
        <f ca="1">_xlfn.XLOOKUP(PAA_4[[#This Row],[ITEM]],[2]Contrato!A:A,[2]Contrato!B:B,"",0)</f>
        <v>#NAME?</v>
      </c>
      <c r="Z1878" s="47" t="e">
        <f ca="1">_xlfn.XLOOKUP(PAA_4[[#This Row],[ITEM]],[2]Contrato!A:A,[2]Contrato!G:G,"",0)</f>
        <v>#NAME?</v>
      </c>
      <c r="AA1878" s="47" t="e">
        <f ca="1">_xlfn.XLOOKUP(PAA_4[[#This Row],[ITEM]],[2]Contrato!A:A,[2]Contrato!T:T,"",0)</f>
        <v>#NAME?</v>
      </c>
      <c r="AB1878" s="55" t="e">
        <f ca="1">+MAX(PAA_4[[#This Row],[Comprometido Contrato]],PAA_4[[#This Row],[Comprometido Bolsa]])</f>
        <v>#NAME?</v>
      </c>
      <c r="AC1878" s="55" t="str">
        <f t="shared" ca="1" si="605"/>
        <v/>
      </c>
      <c r="AD1878" s="55" t="e">
        <f ca="1">IF(PAA_4[[#This Row],[ESTADO (formulado)]]="NO CONTRATADO",0,MAX(PAA_4[[#This Row],[Pago por Contrato]],PAA_4[[#This Row],[Pago por bolsa]]))</f>
        <v>#NAME?</v>
      </c>
      <c r="AE1878" s="55" t="str">
        <f t="shared" ca="1" si="606"/>
        <v/>
      </c>
      <c r="AF1878" s="47" t="e">
        <f t="shared" ca="1" si="607"/>
        <v>#NAME?</v>
      </c>
      <c r="AG1878" s="47">
        <f t="shared" si="608"/>
        <v>52010804</v>
      </c>
      <c r="AH1878" s="54">
        <f>IF(Q1878="22",IF(ISNUMBER(SEARCH("econ",PAA_4[[#This Row],[Actividad3]])),"Económico",IF(ISNUMBER(SEARCH("alim",PAA_4[[#This Row],[Actividad3]])),"Alimentación",IF(ISNUMBER(SEARCH("educ",PAA_4[[#This Row],[Actividad3]])),"Educativo","Técnico"))),0)</f>
        <v>0</v>
      </c>
      <c r="AI1878" s="47" t="e" cm="1">
        <f t="array" aca="1" ref="AI1878" ca="1">_xlfn.XLOOKUP(PAA_4[[#This Row],[RCP-RUBRO]],[2]!COMPROMISOS_2024[[#All],[concatenado]],[2]!COMPROMISOS_2024[[#All],[Total pagado]],"",0)</f>
        <v>#NAME?</v>
      </c>
      <c r="AJ1878" s="56">
        <f>IF(PAA_4[[#This Row],[BOLSA]]=0,0,SUMIFS([2]!COMPROMISOS_2024[[#All],[Total pagado]],[2]!COMPROMISOS_2024[[#All],[Bolsa]],PAA_4[[#This Row],[BOLSA]],[2]!COMPROMISOS_2024[[#All],[rubro]],PAA_4[[#This Row],[RCP-RUBRO]]))</f>
        <v>0</v>
      </c>
      <c r="AK1878" s="47" t="e" cm="1">
        <f t="array" aca="1" ref="AK1878" ca="1">_xlfn.XLOOKUP(PAA_4[[#This Row],[RCP-RUBRO]],[2]!COMPROMISOS_2024[[#All],[concatenado]],[2]!COMPROMISOS_2024[[#All],[Total Comprometido]],"",0)</f>
        <v>#NAME?</v>
      </c>
      <c r="AL1878" s="47">
        <f>IF(PAA_4[[#This Row],[BOLSA]]=0,0,SUMIFS([2]!COMPROMISOS_2024[[#All],[Total Comprometido]],[2]!COMPROMISOS_2024[[#All],[Bolsa]],PAA_4[[#This Row],[BOLSA]],[2]!COMPROMISOS_2024[[#All],[concatenado]],PAA_4[[#This Row],[RCP-RUBRO]]))</f>
        <v>0</v>
      </c>
    </row>
    <row r="1879" spans="1:38" s="19" customFormat="1" ht="31.5" customHeight="1">
      <c r="A1879" s="47">
        <v>1257</v>
      </c>
      <c r="B1879" s="51" t="s">
        <v>2115</v>
      </c>
      <c r="C1879" s="47" t="str">
        <f>VLOOKUP(PAA_4[[#This Row],[PROYECTO (formulado)2]],[2]PROYECTOS!$G$1:$L$32,6,0)</f>
        <v>SUBGERENCIA DE ALTOS LOGROS Y DEPORTE ASOCIADO</v>
      </c>
      <c r="D1879" s="47" t="str">
        <f>+IF(PAA_4[[#This Row],[UNIDAD DE CONTRATACION (formulado)]]="Subgerencia Administrativa y Financiera","FUNCIONAMIENTO","INVERSIÓN")</f>
        <v>INVERSIÓN</v>
      </c>
      <c r="E1879" s="48" t="str">
        <f>VLOOKUP(Q1879,[2]PROYECTOS!$G$1:$K$32,5,0)</f>
        <v>Asesoria médica y de ciencias aplicadas al desarrollo del rendimiento deportivo de atletas y para-atletas de Antioquia</v>
      </c>
      <c r="F1879" s="48">
        <f>VLOOKUP(E1879,[2]PROYECTOS!$K$1:$M$32,3,0)</f>
        <v>2024003050103</v>
      </c>
      <c r="G1879" s="67" t="s">
        <v>2116</v>
      </c>
      <c r="H1879" s="49" t="str">
        <f>VLOOKUP(Q1879,[2]PROYECTOS!$V$1:$W$32,2,0)</f>
        <v>050080</v>
      </c>
      <c r="I1879" s="78">
        <v>0</v>
      </c>
      <c r="J1879" s="51" t="s">
        <v>42</v>
      </c>
      <c r="K1879" s="47" t="str">
        <f t="shared" ca="1" si="602"/>
        <v>CONTRATADO</v>
      </c>
      <c r="L1879" s="47" t="s">
        <v>94</v>
      </c>
      <c r="M1879" s="47" t="s">
        <v>2113</v>
      </c>
      <c r="N1879" s="52" t="s">
        <v>2117</v>
      </c>
      <c r="O1879" s="51" t="e">
        <f>VLOOKUP(N1879,[2]!RUBROS[#All],3,0)</f>
        <v>#REF!</v>
      </c>
      <c r="P1879" s="53" t="e">
        <f>VLOOKUP(N1879,[2]!RUBROS[#All],2,0)</f>
        <v>#REF!</v>
      </c>
      <c r="Q1879" s="47" t="str">
        <f t="shared" si="603"/>
        <v>03</v>
      </c>
      <c r="R1879" s="47" t="str">
        <f t="shared" si="604"/>
        <v>4-101124</v>
      </c>
      <c r="S1879" s="339" t="s">
        <v>42</v>
      </c>
      <c r="T1879" s="59" t="s">
        <v>42</v>
      </c>
      <c r="U1879" s="326" t="e">
        <f ca="1">_xlfn.XLOOKUP(PAA_4[[#This Row],[ITEM]],[2]Contrato!A:A,[2]Contrato!Q:Q,"",0)</f>
        <v>#NAME?</v>
      </c>
      <c r="V1879" s="47" t="s">
        <v>95</v>
      </c>
      <c r="W1879" s="47" t="s">
        <v>204</v>
      </c>
      <c r="X1879" s="47" t="s">
        <v>204</v>
      </c>
      <c r="Y1879" s="55" t="e">
        <f ca="1">_xlfn.XLOOKUP(PAA_4[[#This Row],[ITEM]],[2]Contrato!A:A,[2]Contrato!B:B,"",0)</f>
        <v>#NAME?</v>
      </c>
      <c r="Z1879" s="47" t="e">
        <f ca="1">_xlfn.XLOOKUP(PAA_4[[#This Row],[ITEM]],[2]Contrato!A:A,[2]Contrato!G:G,"",0)</f>
        <v>#NAME?</v>
      </c>
      <c r="AA1879" s="47" t="e">
        <f ca="1">_xlfn.XLOOKUP(PAA_4[[#This Row],[ITEM]],[2]Contrato!A:A,[2]Contrato!T:T,"",0)</f>
        <v>#NAME?</v>
      </c>
      <c r="AB1879" s="55" t="e">
        <f ca="1">+MAX(PAA_4[[#This Row],[Comprometido Contrato]],PAA_4[[#This Row],[Comprometido Bolsa]])</f>
        <v>#NAME?</v>
      </c>
      <c r="AC1879" s="55" t="str">
        <f t="shared" ca="1" si="605"/>
        <v/>
      </c>
      <c r="AD1879" s="55" t="e">
        <f ca="1">IF(PAA_4[[#This Row],[ESTADO (formulado)]]="NO CONTRATADO",0,MAX(PAA_4[[#This Row],[Pago por Contrato]],PAA_4[[#This Row],[Pago por bolsa]]))</f>
        <v>#NAME?</v>
      </c>
      <c r="AE1879" s="55" t="str">
        <f t="shared" ca="1" si="606"/>
        <v/>
      </c>
      <c r="AF1879" s="47" t="e">
        <f t="shared" ca="1" si="607"/>
        <v>#NAME?</v>
      </c>
      <c r="AG1879" s="47">
        <f t="shared" si="608"/>
        <v>52010804</v>
      </c>
      <c r="AH1879" s="54">
        <f>IF(Q1879="22",IF(ISNUMBER(SEARCH("econ",PAA_4[[#This Row],[Actividad3]])),"Económico",IF(ISNUMBER(SEARCH("alim",PAA_4[[#This Row],[Actividad3]])),"Alimentación",IF(ISNUMBER(SEARCH("educ",PAA_4[[#This Row],[Actividad3]])),"Educativo","Técnico"))),0)</f>
        <v>0</v>
      </c>
      <c r="AI1879" s="47" t="e" cm="1">
        <f t="array" aca="1" ref="AI1879" ca="1">_xlfn.XLOOKUP(PAA_4[[#This Row],[RCP-RUBRO]],[2]!COMPROMISOS_2024[[#All],[concatenado]],[2]!COMPROMISOS_2024[[#All],[Total pagado]],"",0)</f>
        <v>#NAME?</v>
      </c>
      <c r="AJ1879" s="56">
        <f>IF(PAA_4[[#This Row],[BOLSA]]=0,0,SUMIFS([2]!COMPROMISOS_2024[[#All],[Total pagado]],[2]!COMPROMISOS_2024[[#All],[Bolsa]],PAA_4[[#This Row],[BOLSA]],[2]!COMPROMISOS_2024[[#All],[rubro]],PAA_4[[#This Row],[RCP-RUBRO]]))</f>
        <v>0</v>
      </c>
      <c r="AK1879" s="47" t="e" cm="1">
        <f t="array" aca="1" ref="AK1879" ca="1">_xlfn.XLOOKUP(PAA_4[[#This Row],[RCP-RUBRO]],[2]!COMPROMISOS_2024[[#All],[concatenado]],[2]!COMPROMISOS_2024[[#All],[Total Comprometido]],"",0)</f>
        <v>#NAME?</v>
      </c>
      <c r="AL1879" s="47">
        <f>IF(PAA_4[[#This Row],[BOLSA]]=0,0,SUMIFS([2]!COMPROMISOS_2024[[#All],[Total Comprometido]],[2]!COMPROMISOS_2024[[#All],[Bolsa]],PAA_4[[#This Row],[BOLSA]],[2]!COMPROMISOS_2024[[#All],[concatenado]],PAA_4[[#This Row],[RCP-RUBRO]]))</f>
        <v>0</v>
      </c>
    </row>
    <row r="1880" spans="1:38" s="19" customFormat="1" ht="31.5" customHeight="1">
      <c r="A1880" s="47">
        <v>1258</v>
      </c>
      <c r="B1880" s="51">
        <v>90141502</v>
      </c>
      <c r="C1880" s="47" t="str">
        <f>VLOOKUP(PAA_4[[#This Row],[PROYECTO (formulado)2]],[2]PROYECTOS!$G$1:$L$32,6,0)</f>
        <v>SUBGERENCIA DE ALTOS LOGROS Y DEPORTE ASOCIADO</v>
      </c>
      <c r="D1880" s="47" t="str">
        <f>+IF(PAA_4[[#This Row],[UNIDAD DE CONTRATACION (formulado)]]="Subgerencia Administrativa y Financiera","FUNCIONAMIENTO","INVERSIÓN")</f>
        <v>INVERSIÓN</v>
      </c>
      <c r="E1880" s="48" t="str">
        <f>VLOOKUP(Q1880,[2]PROYECTOS!$G$1:$K$32,5,0)</f>
        <v>Apoyo económico a las organizaciones deportivas que representan en competencias al departamento de Antioquia</v>
      </c>
      <c r="F1880" s="48">
        <f>VLOOKUP(E1880,[2]PROYECTOS!$K$1:$M$32,3,0)</f>
        <v>2024003050102</v>
      </c>
      <c r="G1880" s="67" t="s">
        <v>1516</v>
      </c>
      <c r="H1880" s="49" t="str">
        <f>VLOOKUP(Q1880,[2]PROYECTOS!$V$1:$W$32,2,0)</f>
        <v>050076</v>
      </c>
      <c r="I1880" s="78">
        <v>100000000</v>
      </c>
      <c r="J1880" s="51" t="s">
        <v>2118</v>
      </c>
      <c r="K1880" s="47" t="str">
        <f t="shared" ca="1" si="602"/>
        <v>CONTRATADO</v>
      </c>
      <c r="L1880" s="47" t="s">
        <v>94</v>
      </c>
      <c r="M1880" s="47" t="s">
        <v>1767</v>
      </c>
      <c r="N1880" s="52" t="s">
        <v>1517</v>
      </c>
      <c r="O1880" s="51" t="e">
        <f>VLOOKUP(N1880,[2]!RUBROS[#All],3,0)</f>
        <v>#REF!</v>
      </c>
      <c r="P1880" s="53" t="e">
        <f>VLOOKUP(N1880,[2]!RUBROS[#All],2,0)</f>
        <v>#REF!</v>
      </c>
      <c r="Q1880" s="47" t="str">
        <f t="shared" si="603"/>
        <v>02</v>
      </c>
      <c r="R1880" s="47" t="str">
        <f t="shared" si="604"/>
        <v>0-205400</v>
      </c>
      <c r="S1880" s="339">
        <v>2</v>
      </c>
      <c r="T1880" s="59" t="s">
        <v>46</v>
      </c>
      <c r="U1880" s="326" t="e">
        <f ca="1">_xlfn.XLOOKUP(PAA_4[[#This Row],[ITEM]],[2]Contrato!A:A,[2]Contrato!Q:Q,"",0)</f>
        <v>#NAME?</v>
      </c>
      <c r="V1880" s="47" t="s">
        <v>95</v>
      </c>
      <c r="W1880" s="47" t="s">
        <v>204</v>
      </c>
      <c r="X1880" s="47" t="s">
        <v>204</v>
      </c>
      <c r="Y1880" s="55" t="e">
        <f ca="1">_xlfn.XLOOKUP(PAA_4[[#This Row],[ITEM]],[2]Contrato!A:A,[2]Contrato!B:B,"",0)</f>
        <v>#NAME?</v>
      </c>
      <c r="Z1880" s="47" t="e">
        <f ca="1">_xlfn.XLOOKUP(PAA_4[[#This Row],[ITEM]],[2]Contrato!A:A,[2]Contrato!G:G,"",0)</f>
        <v>#NAME?</v>
      </c>
      <c r="AA1880" s="47" t="e">
        <f ca="1">_xlfn.XLOOKUP(PAA_4[[#This Row],[ITEM]],[2]Contrato!A:A,[2]Contrato!T:T,"",0)</f>
        <v>#NAME?</v>
      </c>
      <c r="AB1880" s="55" t="e">
        <f ca="1">+MAX(PAA_4[[#This Row],[Comprometido Contrato]],PAA_4[[#This Row],[Comprometido Bolsa]])</f>
        <v>#NAME?</v>
      </c>
      <c r="AC1880" s="55" t="str">
        <f t="shared" ca="1" si="605"/>
        <v/>
      </c>
      <c r="AD1880" s="55" t="e">
        <f ca="1">IF(PAA_4[[#This Row],[ESTADO (formulado)]]="NO CONTRATADO",0,MAX(PAA_4[[#This Row],[Pago por Contrato]],PAA_4[[#This Row],[Pago por bolsa]]))</f>
        <v>#NAME?</v>
      </c>
      <c r="AE1880" s="55" t="str">
        <f t="shared" ca="1" si="606"/>
        <v/>
      </c>
      <c r="AF1880" s="47" t="e">
        <f t="shared" ca="1" si="607"/>
        <v>#NAME?</v>
      </c>
      <c r="AG1880" s="47">
        <f t="shared" si="608"/>
        <v>52010801</v>
      </c>
      <c r="AH1880" s="54">
        <f>IF(Q1880="22",IF(ISNUMBER(SEARCH("econ",PAA_4[[#This Row],[Actividad3]])),"Económico",IF(ISNUMBER(SEARCH("alim",PAA_4[[#This Row],[Actividad3]])),"Alimentación",IF(ISNUMBER(SEARCH("educ",PAA_4[[#This Row],[Actividad3]])),"Educativo","Técnico"))),0)</f>
        <v>0</v>
      </c>
      <c r="AI1880" s="47" t="e" cm="1">
        <f t="array" aca="1" ref="AI1880" ca="1">_xlfn.XLOOKUP(PAA_4[[#This Row],[RCP-RUBRO]],[2]!COMPROMISOS_2024[[#All],[concatenado]],[2]!COMPROMISOS_2024[[#All],[Total pagado]],"",0)</f>
        <v>#NAME?</v>
      </c>
      <c r="AJ1880" s="56">
        <f>IF(PAA_4[[#This Row],[BOLSA]]=0,0,SUMIFS([2]!COMPROMISOS_2024[[#All],[Total pagado]],[2]!COMPROMISOS_2024[[#All],[Bolsa]],PAA_4[[#This Row],[BOLSA]],[2]!COMPROMISOS_2024[[#All],[rubro]],PAA_4[[#This Row],[RCP-RUBRO]]))</f>
        <v>0</v>
      </c>
      <c r="AK1880" s="47" t="e" cm="1">
        <f t="array" aca="1" ref="AK1880" ca="1">_xlfn.XLOOKUP(PAA_4[[#This Row],[RCP-RUBRO]],[2]!COMPROMISOS_2024[[#All],[concatenado]],[2]!COMPROMISOS_2024[[#All],[Total Comprometido]],"",0)</f>
        <v>#NAME?</v>
      </c>
      <c r="AL1880" s="47">
        <f>IF(PAA_4[[#This Row],[BOLSA]]=0,0,SUMIFS([2]!COMPROMISOS_2024[[#All],[Total Comprometido]],[2]!COMPROMISOS_2024[[#All],[Bolsa]],PAA_4[[#This Row],[BOLSA]],[2]!COMPROMISOS_2024[[#All],[concatenado]],PAA_4[[#This Row],[RCP-RUBRO]]))</f>
        <v>0</v>
      </c>
    </row>
    <row r="1881" spans="1:38" s="19" customFormat="1" ht="31.5" customHeight="1">
      <c r="A1881" s="47">
        <v>1261</v>
      </c>
      <c r="B1881" s="51">
        <v>90141502</v>
      </c>
      <c r="C1881" s="47" t="str">
        <f>VLOOKUP(PAA_4[[#This Row],[PROYECTO (formulado)2]],[2]PROYECTOS!$G$1:$L$32,6,0)</f>
        <v>SUBGERENCIA DE ALTOS LOGROS Y DEPORTE ASOCIADO</v>
      </c>
      <c r="D1881" s="47" t="str">
        <f>+IF(PAA_4[[#This Row],[UNIDAD DE CONTRATACION (formulado)]]="Subgerencia Administrativa y Financiera","FUNCIONAMIENTO","INVERSIÓN")</f>
        <v>INVERSIÓN</v>
      </c>
      <c r="E1881" s="48" t="str">
        <f>VLOOKUP(Q1881,[2]PROYECTOS!$G$1:$K$32,5,0)</f>
        <v>Apoyo económico a las organizaciones deportivas que representan en competencias al departamento de Antioquia</v>
      </c>
      <c r="F1881" s="48">
        <f>VLOOKUP(E1881,[2]PROYECTOS!$K$1:$M$32,3,0)</f>
        <v>2024003050102</v>
      </c>
      <c r="G1881" s="67" t="s">
        <v>1516</v>
      </c>
      <c r="H1881" s="49" t="str">
        <f>VLOOKUP(Q1881,[2]PROYECTOS!$V$1:$W$32,2,0)</f>
        <v>050076</v>
      </c>
      <c r="I1881" s="78">
        <f>56000000-56000000</f>
        <v>0</v>
      </c>
      <c r="J1881" s="51" t="s">
        <v>2119</v>
      </c>
      <c r="K1881" s="47" t="str">
        <f t="shared" ca="1" si="602"/>
        <v>CONTRATADO</v>
      </c>
      <c r="L1881" s="47" t="s">
        <v>78</v>
      </c>
      <c r="M1881" s="47" t="s">
        <v>1767</v>
      </c>
      <c r="N1881" s="52" t="s">
        <v>1517</v>
      </c>
      <c r="O1881" s="51" t="e">
        <f>VLOOKUP(N1881,[2]!RUBROS[#All],3,0)</f>
        <v>#REF!</v>
      </c>
      <c r="P1881" s="53" t="e">
        <f>VLOOKUP(N1881,[2]!RUBROS[#All],2,0)</f>
        <v>#REF!</v>
      </c>
      <c r="Q1881" s="47" t="str">
        <f t="shared" si="603"/>
        <v>02</v>
      </c>
      <c r="R1881" s="47" t="str">
        <f t="shared" si="604"/>
        <v>0-205400</v>
      </c>
      <c r="S1881" s="339">
        <v>2</v>
      </c>
      <c r="T1881" s="59" t="s">
        <v>46</v>
      </c>
      <c r="U1881" s="326" t="e">
        <f ca="1">_xlfn.XLOOKUP(PAA_4[[#This Row],[ITEM]],[2]Contrato!A:A,[2]Contrato!Q:Q,"",0)</f>
        <v>#NAME?</v>
      </c>
      <c r="V1881" s="47" t="s">
        <v>95</v>
      </c>
      <c r="W1881" s="47" t="s">
        <v>204</v>
      </c>
      <c r="X1881" s="47" t="s">
        <v>204</v>
      </c>
      <c r="Y1881" s="55" t="e">
        <f ca="1">_xlfn.XLOOKUP(PAA_4[[#This Row],[ITEM]],[2]Contrato!A:A,[2]Contrato!B:B,"",0)</f>
        <v>#NAME?</v>
      </c>
      <c r="Z1881" s="47" t="e">
        <f ca="1">_xlfn.XLOOKUP(PAA_4[[#This Row],[ITEM]],[2]Contrato!A:A,[2]Contrato!G:G,"",0)</f>
        <v>#NAME?</v>
      </c>
      <c r="AA1881" s="47" t="e">
        <f ca="1">_xlfn.XLOOKUP(PAA_4[[#This Row],[ITEM]],[2]Contrato!A:A,[2]Contrato!T:T,"",0)</f>
        <v>#NAME?</v>
      </c>
      <c r="AB1881" s="55" t="e">
        <f ca="1">+MAX(PAA_4[[#This Row],[Comprometido Contrato]],PAA_4[[#This Row],[Comprometido Bolsa]])</f>
        <v>#NAME?</v>
      </c>
      <c r="AC1881" s="55" t="str">
        <f t="shared" ca="1" si="605"/>
        <v/>
      </c>
      <c r="AD1881" s="55" t="e">
        <f ca="1">IF(PAA_4[[#This Row],[ESTADO (formulado)]]="NO CONTRATADO",0,MAX(PAA_4[[#This Row],[Pago por Contrato]],PAA_4[[#This Row],[Pago por bolsa]]))</f>
        <v>#NAME?</v>
      </c>
      <c r="AE1881" s="55" t="str">
        <f t="shared" ca="1" si="606"/>
        <v/>
      </c>
      <c r="AF1881" s="47" t="e">
        <f t="shared" ca="1" si="607"/>
        <v>#NAME?</v>
      </c>
      <c r="AG1881" s="47">
        <f t="shared" si="608"/>
        <v>52010801</v>
      </c>
      <c r="AH1881" s="54">
        <f>IF(Q1881="22",IF(ISNUMBER(SEARCH("econ",PAA_4[[#This Row],[Actividad3]])),"Económico",IF(ISNUMBER(SEARCH("alim",PAA_4[[#This Row],[Actividad3]])),"Alimentación",IF(ISNUMBER(SEARCH("educ",PAA_4[[#This Row],[Actividad3]])),"Educativo","Técnico"))),0)</f>
        <v>0</v>
      </c>
      <c r="AI1881" s="47" t="e" cm="1">
        <f t="array" aca="1" ref="AI1881" ca="1">_xlfn.XLOOKUP(PAA_4[[#This Row],[RCP-RUBRO]],[2]!COMPROMISOS_2024[[#All],[concatenado]],[2]!COMPROMISOS_2024[[#All],[Total pagado]],"",0)</f>
        <v>#NAME?</v>
      </c>
      <c r="AJ1881" s="56">
        <f>IF(PAA_4[[#This Row],[BOLSA]]=0,0,SUMIFS([2]!COMPROMISOS_2024[[#All],[Total pagado]],[2]!COMPROMISOS_2024[[#All],[Bolsa]],PAA_4[[#This Row],[BOLSA]],[2]!COMPROMISOS_2024[[#All],[rubro]],PAA_4[[#This Row],[RCP-RUBRO]]))</f>
        <v>0</v>
      </c>
      <c r="AK1881" s="47" t="e" cm="1">
        <f t="array" aca="1" ref="AK1881" ca="1">_xlfn.XLOOKUP(PAA_4[[#This Row],[RCP-RUBRO]],[2]!COMPROMISOS_2024[[#All],[concatenado]],[2]!COMPROMISOS_2024[[#All],[Total Comprometido]],"",0)</f>
        <v>#NAME?</v>
      </c>
      <c r="AL1881" s="47">
        <f>IF(PAA_4[[#This Row],[BOLSA]]=0,0,SUMIFS([2]!COMPROMISOS_2024[[#All],[Total Comprometido]],[2]!COMPROMISOS_2024[[#All],[Bolsa]],PAA_4[[#This Row],[BOLSA]],[2]!COMPROMISOS_2024[[#All],[concatenado]],PAA_4[[#This Row],[RCP-RUBRO]]))</f>
        <v>0</v>
      </c>
    </row>
    <row r="1882" spans="1:38" s="19" customFormat="1" ht="31.5" customHeight="1">
      <c r="A1882" s="47">
        <v>1338</v>
      </c>
      <c r="B1882" s="51" t="s">
        <v>42</v>
      </c>
      <c r="C1882" s="47" t="str">
        <f>VLOOKUP(PAA_4[[#This Row],[PROYECTO (formulado)2]],[2]PROYECTOS!$G$1:$L$32,6,0)</f>
        <v>SUBGERENCIA DE ALTOS LOGROS Y DEPORTE ASOCIADO</v>
      </c>
      <c r="D1882" s="47" t="str">
        <f>+IF(PAA_4[[#This Row],[UNIDAD DE CONTRATACION (formulado)]]="Subgerencia Administrativa y Financiera","FUNCIONAMIENTO","INVERSIÓN")</f>
        <v>INVERSIÓN</v>
      </c>
      <c r="E1882" s="48" t="str">
        <f>VLOOKUP(Q1882,[2]PROYECTOS!$G$1:$K$32,5,0)</f>
        <v>Apoyo y subvención para satisfacer necesidades propias del proceso de preparación y competencia de los Atletas y Para-atletas de alto rendimiento del departamento de Antioquia</v>
      </c>
      <c r="F1882" s="48">
        <f>VLOOKUP(E1882,[2]PROYECTOS!$K$1:$M$32,3,0)</f>
        <v>2024003050085</v>
      </c>
      <c r="G1882" s="67" t="s">
        <v>1583</v>
      </c>
      <c r="H1882" s="49" t="str">
        <f>VLOOKUP(Q1882,[2]PROYECTOS!$V$1:$W$32,2,0)</f>
        <v>050077</v>
      </c>
      <c r="I1882" s="78">
        <v>3000000</v>
      </c>
      <c r="J1882" s="51" t="s">
        <v>2120</v>
      </c>
      <c r="K1882" s="47" t="str">
        <f t="shared" ca="1" si="602"/>
        <v>CONTRATADO</v>
      </c>
      <c r="L1882" s="47" t="s">
        <v>1236</v>
      </c>
      <c r="M1882" s="47" t="s">
        <v>1236</v>
      </c>
      <c r="N1882" s="52" t="s">
        <v>2100</v>
      </c>
      <c r="O1882" s="51" t="e">
        <f>VLOOKUP(N1882,[2]!RUBROS[#All],3,0)</f>
        <v>#REF!</v>
      </c>
      <c r="P1882" s="53" t="e">
        <f>VLOOKUP(N1882,[2]!RUBROS[#All],2,0)</f>
        <v>#REF!</v>
      </c>
      <c r="Q1882" s="47" t="str">
        <f t="shared" si="603"/>
        <v>85</v>
      </c>
      <c r="R1882" s="47" t="str">
        <f t="shared" si="604"/>
        <v>0-101024</v>
      </c>
      <c r="S1882" s="339">
        <v>1</v>
      </c>
      <c r="T1882" s="59" t="s">
        <v>46</v>
      </c>
      <c r="U1882" s="326" t="e">
        <f ca="1">_xlfn.XLOOKUP(PAA_4[[#This Row],[ITEM]],[2]Contrato!A:A,[2]Contrato!Q:Q,"",0)</f>
        <v>#NAME?</v>
      </c>
      <c r="V1882" s="47" t="s">
        <v>95</v>
      </c>
      <c r="W1882" s="47" t="s">
        <v>201</v>
      </c>
      <c r="X1882" s="47" t="s">
        <v>201</v>
      </c>
      <c r="Y1882" s="55" t="e">
        <f ca="1">_xlfn.XLOOKUP(PAA_4[[#This Row],[ITEM]],[2]Contrato!A:A,[2]Contrato!B:B,"",0)</f>
        <v>#NAME?</v>
      </c>
      <c r="Z1882" s="47" t="e">
        <f ca="1">_xlfn.XLOOKUP(PAA_4[[#This Row],[ITEM]],[2]Contrato!A:A,[2]Contrato!G:G,"",0)</f>
        <v>#NAME?</v>
      </c>
      <c r="AA1882" s="47" t="e">
        <f ca="1">_xlfn.XLOOKUP(PAA_4[[#This Row],[ITEM]],[2]Contrato!A:A,[2]Contrato!T:T,"",0)</f>
        <v>#NAME?</v>
      </c>
      <c r="AB1882" s="55" t="e">
        <f ca="1">+MAX(PAA_4[[#This Row],[Comprometido Contrato]],PAA_4[[#This Row],[Comprometido Bolsa]])</f>
        <v>#NAME?</v>
      </c>
      <c r="AC1882" s="55" t="str">
        <f t="shared" ca="1" si="605"/>
        <v/>
      </c>
      <c r="AD1882" s="55" t="e">
        <f ca="1">IF(PAA_4[[#This Row],[ESTADO (formulado)]]="NO CONTRATADO",0,MAX(PAA_4[[#This Row],[Pago por Contrato]],PAA_4[[#This Row],[Pago por bolsa]]))</f>
        <v>#NAME?</v>
      </c>
      <c r="AE1882" s="55" t="str">
        <f t="shared" ca="1" si="606"/>
        <v/>
      </c>
      <c r="AF1882" s="47" t="e">
        <f t="shared" ca="1" si="607"/>
        <v>#NAME?</v>
      </c>
      <c r="AG1882" s="47">
        <f t="shared" si="608"/>
        <v>52010803</v>
      </c>
      <c r="AH1882" s="54">
        <f>IF(Q1882="22",IF(ISNUMBER(SEARCH("econ",PAA_4[[#This Row],[Actividad3]])),"Económico",IF(ISNUMBER(SEARCH("alim",PAA_4[[#This Row],[Actividad3]])),"Alimentación",IF(ISNUMBER(SEARCH("educ",PAA_4[[#This Row],[Actividad3]])),"Educativo","Técnico"))),0)</f>
        <v>0</v>
      </c>
      <c r="AI1882" s="47" t="e" cm="1">
        <f t="array" aca="1" ref="AI1882" ca="1">_xlfn.XLOOKUP(PAA_4[[#This Row],[RCP-RUBRO]],[2]!COMPROMISOS_2024[[#All],[concatenado]],[2]!COMPROMISOS_2024[[#All],[Total pagado]],"",0)</f>
        <v>#NAME?</v>
      </c>
      <c r="AJ1882" s="56">
        <f>IF(PAA_4[[#This Row],[BOLSA]]=0,0,SUMIFS([2]!COMPROMISOS_2024[[#All],[Total pagado]],[2]!COMPROMISOS_2024[[#All],[Bolsa]],PAA_4[[#This Row],[BOLSA]],[2]!COMPROMISOS_2024[[#All],[rubro]],PAA_4[[#This Row],[RCP-RUBRO]]))</f>
        <v>0</v>
      </c>
      <c r="AK1882" s="47" t="e" cm="1">
        <f t="array" aca="1" ref="AK1882" ca="1">_xlfn.XLOOKUP(PAA_4[[#This Row],[RCP-RUBRO]],[2]!COMPROMISOS_2024[[#All],[concatenado]],[2]!COMPROMISOS_2024[[#All],[Total Comprometido]],"",0)</f>
        <v>#NAME?</v>
      </c>
      <c r="AL1882" s="47">
        <f>IF(PAA_4[[#This Row],[BOLSA]]=0,0,SUMIFS([2]!COMPROMISOS_2024[[#All],[Total Comprometido]],[2]!COMPROMISOS_2024[[#All],[Bolsa]],PAA_4[[#This Row],[BOLSA]],[2]!COMPROMISOS_2024[[#All],[concatenado]],PAA_4[[#This Row],[RCP-RUBRO]]))</f>
        <v>0</v>
      </c>
    </row>
    <row r="1883" spans="1:38" s="19" customFormat="1" ht="31.5" customHeight="1">
      <c r="A1883" s="47">
        <v>1259</v>
      </c>
      <c r="B1883" s="51" t="s">
        <v>42</v>
      </c>
      <c r="C1883" s="47" t="str">
        <f>VLOOKUP(PAA_4[[#This Row],[PROYECTO (formulado)2]],[2]PROYECTOS!$G$1:$L$32,6,0)</f>
        <v>SUBGERENCIA DE ALTOS LOGROS Y DEPORTE ASOCIADO</v>
      </c>
      <c r="D1883" s="47" t="str">
        <f>+IF(PAA_4[[#This Row],[UNIDAD DE CONTRATACION (formulado)]]="Subgerencia Administrativa y Financiera","FUNCIONAMIENTO","INVERSIÓN")</f>
        <v>INVERSIÓN</v>
      </c>
      <c r="E1883" s="48" t="str">
        <f>VLOOKUP(Q1883,[2]PROYECTOS!$G$1:$K$32,5,0)</f>
        <v>Apoyo y subvención para satisfacer necesidades propias del proceso de preparación y competencia de los Atletas y Para-atletas de alto rendimiento del departamento de Antioquia</v>
      </c>
      <c r="F1883" s="48">
        <f>VLOOKUP(E1883,[2]PROYECTOS!$K$1:$M$32,3,0)</f>
        <v>2024003050085</v>
      </c>
      <c r="G1883" s="67" t="s">
        <v>1583</v>
      </c>
      <c r="H1883" s="49" t="str">
        <f>VLOOKUP(Q1883,[2]PROYECTOS!$V$1:$W$32,2,0)</f>
        <v>050077</v>
      </c>
      <c r="I1883" s="78">
        <v>65000000</v>
      </c>
      <c r="J1883" s="51" t="s">
        <v>2121</v>
      </c>
      <c r="K1883" s="47" t="str">
        <f t="shared" ca="1" si="602"/>
        <v>CONTRATADO</v>
      </c>
      <c r="L1883" s="47" t="s">
        <v>1236</v>
      </c>
      <c r="M1883" s="47" t="s">
        <v>1236</v>
      </c>
      <c r="N1883" s="52" t="s">
        <v>2122</v>
      </c>
      <c r="O1883" s="51" t="e">
        <f>VLOOKUP(N1883,[2]!RUBROS[#All],3,0)</f>
        <v>#REF!</v>
      </c>
      <c r="P1883" s="53" t="e">
        <f>VLOOKUP(N1883,[2]!RUBROS[#All],2,0)</f>
        <v>#REF!</v>
      </c>
      <c r="Q1883" s="47" t="str">
        <f t="shared" si="603"/>
        <v>85</v>
      </c>
      <c r="R1883" s="47" t="str">
        <f t="shared" si="604"/>
        <v>0-492448</v>
      </c>
      <c r="S1883" s="339">
        <v>1</v>
      </c>
      <c r="T1883" s="59" t="s">
        <v>46</v>
      </c>
      <c r="U1883" s="326" t="e">
        <f ca="1">_xlfn.XLOOKUP(PAA_4[[#This Row],[ITEM]],[2]Contrato!A:A,[2]Contrato!Q:Q,"",0)</f>
        <v>#NAME?</v>
      </c>
      <c r="V1883" s="47" t="s">
        <v>95</v>
      </c>
      <c r="W1883" s="47" t="s">
        <v>201</v>
      </c>
      <c r="X1883" s="47" t="s">
        <v>201</v>
      </c>
      <c r="Y1883" s="55" t="e">
        <f ca="1">_xlfn.XLOOKUP(PAA_4[[#This Row],[ITEM]],[2]Contrato!A:A,[2]Contrato!B:B,"",0)</f>
        <v>#NAME?</v>
      </c>
      <c r="Z1883" s="47" t="e">
        <f ca="1">_xlfn.XLOOKUP(PAA_4[[#This Row],[ITEM]],[2]Contrato!A:A,[2]Contrato!G:G,"",0)</f>
        <v>#NAME?</v>
      </c>
      <c r="AA1883" s="47" t="e">
        <f ca="1">_xlfn.XLOOKUP(PAA_4[[#This Row],[ITEM]],[2]Contrato!A:A,[2]Contrato!T:T,"",0)</f>
        <v>#NAME?</v>
      </c>
      <c r="AB1883" s="55" t="e">
        <f ca="1">+MAX(PAA_4[[#This Row],[Comprometido Contrato]],PAA_4[[#This Row],[Comprometido Bolsa]])</f>
        <v>#NAME?</v>
      </c>
      <c r="AC1883" s="55" t="str">
        <f t="shared" ca="1" si="605"/>
        <v/>
      </c>
      <c r="AD1883" s="55" t="e">
        <f ca="1">IF(PAA_4[[#This Row],[ESTADO (formulado)]]="NO CONTRATADO",0,MAX(PAA_4[[#This Row],[Pago por Contrato]],PAA_4[[#This Row],[Pago por bolsa]]))</f>
        <v>#NAME?</v>
      </c>
      <c r="AE1883" s="55" t="str">
        <f t="shared" ca="1" si="606"/>
        <v/>
      </c>
      <c r="AF1883" s="47" t="e">
        <f t="shared" ca="1" si="607"/>
        <v>#NAME?</v>
      </c>
      <c r="AG1883" s="47">
        <f t="shared" si="608"/>
        <v>52010803</v>
      </c>
      <c r="AH1883" s="54">
        <f>IF(Q1883="22",IF(ISNUMBER(SEARCH("econ",PAA_4[[#This Row],[Actividad3]])),"Económico",IF(ISNUMBER(SEARCH("alim",PAA_4[[#This Row],[Actividad3]])),"Alimentación",IF(ISNUMBER(SEARCH("educ",PAA_4[[#This Row],[Actividad3]])),"Educativo","Técnico"))),0)</f>
        <v>0</v>
      </c>
      <c r="AI1883" s="47" t="e" cm="1">
        <f t="array" aca="1" ref="AI1883" ca="1">_xlfn.XLOOKUP(PAA_4[[#This Row],[RCP-RUBRO]],[2]!COMPROMISOS_2024[[#All],[concatenado]],[2]!COMPROMISOS_2024[[#All],[Total pagado]],"",0)</f>
        <v>#NAME?</v>
      </c>
      <c r="AJ1883" s="56">
        <f>IF(PAA_4[[#This Row],[BOLSA]]=0,0,SUMIFS([2]!COMPROMISOS_2024[[#All],[Total pagado]],[2]!COMPROMISOS_2024[[#All],[Bolsa]],PAA_4[[#This Row],[BOLSA]],[2]!COMPROMISOS_2024[[#All],[rubro]],PAA_4[[#This Row],[RCP-RUBRO]]))</f>
        <v>0</v>
      </c>
      <c r="AK1883" s="47" t="e" cm="1">
        <f t="array" aca="1" ref="AK1883" ca="1">_xlfn.XLOOKUP(PAA_4[[#This Row],[RCP-RUBRO]],[2]!COMPROMISOS_2024[[#All],[concatenado]],[2]!COMPROMISOS_2024[[#All],[Total Comprometido]],"",0)</f>
        <v>#NAME?</v>
      </c>
      <c r="AL1883" s="47">
        <f>IF(PAA_4[[#This Row],[BOLSA]]=0,0,SUMIFS([2]!COMPROMISOS_2024[[#All],[Total Comprometido]],[2]!COMPROMISOS_2024[[#All],[Bolsa]],PAA_4[[#This Row],[BOLSA]],[2]!COMPROMISOS_2024[[#All],[concatenado]],PAA_4[[#This Row],[RCP-RUBRO]]))</f>
        <v>0</v>
      </c>
    </row>
    <row r="1884" spans="1:38" s="19" customFormat="1" ht="31.5" customHeight="1">
      <c r="A1884" s="47">
        <v>1259</v>
      </c>
      <c r="B1884" s="51" t="s">
        <v>42</v>
      </c>
      <c r="C1884" s="47" t="str">
        <f>VLOOKUP(PAA_4[[#This Row],[PROYECTO (formulado)2]],[2]PROYECTOS!$G$1:$L$32,6,0)</f>
        <v>SUBGERENCIA DE ALTOS LOGROS Y DEPORTE ASOCIADO</v>
      </c>
      <c r="D1884" s="47" t="str">
        <f>+IF(PAA_4[[#This Row],[UNIDAD DE CONTRATACION (formulado)]]="Subgerencia Administrativa y Financiera","FUNCIONAMIENTO","INVERSIÓN")</f>
        <v>INVERSIÓN</v>
      </c>
      <c r="E1884" s="48" t="str">
        <f>VLOOKUP(Q1884,[2]PROYECTOS!$G$1:$K$32,5,0)</f>
        <v>Apoyo y subvención para satisfacer necesidades propias del proceso de preparación y competencia de los Atletas y Para-atletas de alto rendimiento del departamento de Antioquia</v>
      </c>
      <c r="F1884" s="48">
        <f>VLOOKUP(E1884,[2]PROYECTOS!$K$1:$M$32,3,0)</f>
        <v>2024003050085</v>
      </c>
      <c r="G1884" s="67" t="s">
        <v>1583</v>
      </c>
      <c r="H1884" s="49" t="str">
        <f>VLOOKUP(Q1884,[2]PROYECTOS!$V$1:$W$32,2,0)</f>
        <v>050077</v>
      </c>
      <c r="I1884" s="78">
        <v>130000000</v>
      </c>
      <c r="J1884" s="51" t="s">
        <v>2121</v>
      </c>
      <c r="K1884" s="47" t="str">
        <f t="shared" ca="1" si="602"/>
        <v>CONTRATADO</v>
      </c>
      <c r="L1884" s="47" t="s">
        <v>94</v>
      </c>
      <c r="M1884" s="47" t="s">
        <v>255</v>
      </c>
      <c r="N1884" s="52" t="s">
        <v>2100</v>
      </c>
      <c r="O1884" s="51" t="e">
        <f>VLOOKUP(N1884,[2]!RUBROS[#All],3,0)</f>
        <v>#REF!</v>
      </c>
      <c r="P1884" s="53" t="e">
        <f>VLOOKUP(N1884,[2]!RUBROS[#All],2,0)</f>
        <v>#REF!</v>
      </c>
      <c r="Q1884" s="47" t="str">
        <f t="shared" si="603"/>
        <v>85</v>
      </c>
      <c r="R1884" s="47" t="str">
        <f t="shared" si="604"/>
        <v>0-101024</v>
      </c>
      <c r="S1884" s="339">
        <v>1</v>
      </c>
      <c r="T1884" s="59" t="s">
        <v>46</v>
      </c>
      <c r="U1884" s="326" t="e">
        <f ca="1">_xlfn.XLOOKUP(PAA_4[[#This Row],[ITEM]],[2]Contrato!A:A,[2]Contrato!Q:Q,"",0)</f>
        <v>#NAME?</v>
      </c>
      <c r="V1884" s="47" t="s">
        <v>95</v>
      </c>
      <c r="W1884" s="47" t="s">
        <v>200</v>
      </c>
      <c r="X1884" s="47" t="s">
        <v>200</v>
      </c>
      <c r="Y1884" s="55" t="e">
        <f ca="1">_xlfn.XLOOKUP(PAA_4[[#This Row],[ITEM]],[2]Contrato!A:A,[2]Contrato!B:B,"",0)</f>
        <v>#NAME?</v>
      </c>
      <c r="Z1884" s="47" t="e">
        <f ca="1">_xlfn.XLOOKUP(PAA_4[[#This Row],[ITEM]],[2]Contrato!A:A,[2]Contrato!G:G,"",0)</f>
        <v>#NAME?</v>
      </c>
      <c r="AA1884" s="47" t="e">
        <f ca="1">_xlfn.XLOOKUP(PAA_4[[#This Row],[ITEM]],[2]Contrato!A:A,[2]Contrato!T:T,"",0)</f>
        <v>#NAME?</v>
      </c>
      <c r="AB1884" s="55" t="e">
        <f ca="1">+MAX(PAA_4[[#This Row],[Comprometido Contrato]],PAA_4[[#This Row],[Comprometido Bolsa]])</f>
        <v>#NAME?</v>
      </c>
      <c r="AC1884" s="55" t="str">
        <f t="shared" ca="1" si="605"/>
        <v/>
      </c>
      <c r="AD1884" s="55" t="e">
        <f ca="1">IF(PAA_4[[#This Row],[ESTADO (formulado)]]="NO CONTRATADO",0,MAX(PAA_4[[#This Row],[Pago por Contrato]],PAA_4[[#This Row],[Pago por bolsa]]))</f>
        <v>#NAME?</v>
      </c>
      <c r="AE1884" s="55" t="str">
        <f t="shared" ca="1" si="606"/>
        <v/>
      </c>
      <c r="AF1884" s="47" t="e">
        <f t="shared" ca="1" si="607"/>
        <v>#NAME?</v>
      </c>
      <c r="AG1884" s="47">
        <f t="shared" si="608"/>
        <v>52010803</v>
      </c>
      <c r="AH1884" s="54">
        <f>IF(Q1884="22",IF(ISNUMBER(SEARCH("econ",PAA_4[[#This Row],[Actividad3]])),"Económico",IF(ISNUMBER(SEARCH("alim",PAA_4[[#This Row],[Actividad3]])),"Alimentación",IF(ISNUMBER(SEARCH("educ",PAA_4[[#This Row],[Actividad3]])),"Educativo","Técnico"))),0)</f>
        <v>0</v>
      </c>
      <c r="AI1884" s="47" t="e" cm="1">
        <f t="array" aca="1" ref="AI1884" ca="1">_xlfn.XLOOKUP(PAA_4[[#This Row],[RCP-RUBRO]],[2]!COMPROMISOS_2024[[#All],[concatenado]],[2]!COMPROMISOS_2024[[#All],[Total pagado]],"",0)</f>
        <v>#NAME?</v>
      </c>
      <c r="AJ1884" s="56">
        <f>IF(PAA_4[[#This Row],[BOLSA]]=0,0,SUMIFS([2]!COMPROMISOS_2024[[#All],[Total pagado]],[2]!COMPROMISOS_2024[[#All],[Bolsa]],PAA_4[[#This Row],[BOLSA]],[2]!COMPROMISOS_2024[[#All],[rubro]],PAA_4[[#This Row],[RCP-RUBRO]]))</f>
        <v>0</v>
      </c>
      <c r="AK1884" s="47" t="e" cm="1">
        <f t="array" aca="1" ref="AK1884" ca="1">_xlfn.XLOOKUP(PAA_4[[#This Row],[RCP-RUBRO]],[2]!COMPROMISOS_2024[[#All],[concatenado]],[2]!COMPROMISOS_2024[[#All],[Total Comprometido]],"",0)</f>
        <v>#NAME?</v>
      </c>
      <c r="AL1884" s="47">
        <f>IF(PAA_4[[#This Row],[BOLSA]]=0,0,SUMIFS([2]!COMPROMISOS_2024[[#All],[Total Comprometido]],[2]!COMPROMISOS_2024[[#All],[Bolsa]],PAA_4[[#This Row],[BOLSA]],[2]!COMPROMISOS_2024[[#All],[concatenado]],PAA_4[[#This Row],[RCP-RUBRO]]))</f>
        <v>0</v>
      </c>
    </row>
    <row r="1885" spans="1:38" s="19" customFormat="1" ht="31.5" customHeight="1">
      <c r="A1885" s="47">
        <v>1236</v>
      </c>
      <c r="B1885" s="51" t="s">
        <v>1917</v>
      </c>
      <c r="C1885" s="47" t="str">
        <f>VLOOKUP(PAA_4[[#This Row],[PROYECTO (formulado)2]],[2]PROYECTOS!$G$1:$L$32,6,0)</f>
        <v>SUBGERENCIA DE ALTOS LOGROS Y DEPORTE ASOCIADO</v>
      </c>
      <c r="D1885" s="47" t="str">
        <f>+IF(PAA_4[[#This Row],[UNIDAD DE CONTRATACION (formulado)]]="Subgerencia Administrativa y Financiera","FUNCIONAMIENTO","INVERSIÓN")</f>
        <v>INVERSIÓN</v>
      </c>
      <c r="E1885" s="48" t="str">
        <f>VLOOKUP(Q1885,[2]PROYECTOS!$G$1:$K$32,5,0)</f>
        <v>Asesoria médica y de ciencias aplicadas al desarrollo del rendimiento deportivo de atletas y para-atletas de Antioquia</v>
      </c>
      <c r="F1885" s="48">
        <f>VLOOKUP(E1885,[2]PROYECTOS!$K$1:$M$32,3,0)</f>
        <v>2024003050103</v>
      </c>
      <c r="G1885" s="67" t="s">
        <v>2116</v>
      </c>
      <c r="H1885" s="49" t="str">
        <f>VLOOKUP(Q1885,[2]PROYECTOS!$V$1:$W$32,2,0)</f>
        <v>050080</v>
      </c>
      <c r="I1885" s="78">
        <v>220550000</v>
      </c>
      <c r="J1885" s="51" t="s">
        <v>1919</v>
      </c>
      <c r="K1885" s="47" t="str">
        <f t="shared" ca="1" si="602"/>
        <v>CONTRATADO</v>
      </c>
      <c r="L1885" s="47" t="s">
        <v>94</v>
      </c>
      <c r="M1885" s="47" t="s">
        <v>161</v>
      </c>
      <c r="N1885" s="52" t="s">
        <v>2117</v>
      </c>
      <c r="O1885" s="51" t="e">
        <f>VLOOKUP(N1885,[2]!RUBROS[#All],3,0)</f>
        <v>#REF!</v>
      </c>
      <c r="P1885" s="53" t="e">
        <f>VLOOKUP(N1885,[2]!RUBROS[#All],2,0)</f>
        <v>#REF!</v>
      </c>
      <c r="Q1885" s="47" t="str">
        <f t="shared" si="603"/>
        <v>03</v>
      </c>
      <c r="R1885" s="47" t="str">
        <f t="shared" si="604"/>
        <v>4-101124</v>
      </c>
      <c r="S1885" s="339">
        <v>7</v>
      </c>
      <c r="T1885" s="59" t="s">
        <v>42</v>
      </c>
      <c r="U1885" s="326" t="e">
        <f ca="1">_xlfn.XLOOKUP(PAA_4[[#This Row],[ITEM]],[2]Contrato!A:A,[2]Contrato!Q:Q,"",0)</f>
        <v>#NAME?</v>
      </c>
      <c r="V1885" s="47" t="s">
        <v>95</v>
      </c>
      <c r="W1885" s="47" t="s">
        <v>200</v>
      </c>
      <c r="X1885" s="47" t="s">
        <v>200</v>
      </c>
      <c r="Y1885" s="55" t="e">
        <f ca="1">_xlfn.XLOOKUP(PAA_4[[#This Row],[ITEM]],[2]Contrato!A:A,[2]Contrato!B:B,"",0)</f>
        <v>#NAME?</v>
      </c>
      <c r="Z1885" s="47" t="e">
        <f ca="1">_xlfn.XLOOKUP(PAA_4[[#This Row],[ITEM]],[2]Contrato!A:A,[2]Contrato!G:G,"",0)</f>
        <v>#NAME?</v>
      </c>
      <c r="AA1885" s="47" t="e">
        <f ca="1">_xlfn.XLOOKUP(PAA_4[[#This Row],[ITEM]],[2]Contrato!A:A,[2]Contrato!T:T,"",0)</f>
        <v>#NAME?</v>
      </c>
      <c r="AB1885" s="55" t="e">
        <f ca="1">+MAX(PAA_4[[#This Row],[Comprometido Contrato]],PAA_4[[#This Row],[Comprometido Bolsa]])</f>
        <v>#NAME?</v>
      </c>
      <c r="AC1885" s="55" t="str">
        <f t="shared" ca="1" si="605"/>
        <v/>
      </c>
      <c r="AD1885" s="55" t="e">
        <f ca="1">IF(PAA_4[[#This Row],[ESTADO (formulado)]]="NO CONTRATADO",0,MAX(PAA_4[[#This Row],[Pago por Contrato]],PAA_4[[#This Row],[Pago por bolsa]]))</f>
        <v>#NAME?</v>
      </c>
      <c r="AE1885" s="55" t="str">
        <f t="shared" ca="1" si="606"/>
        <v/>
      </c>
      <c r="AF1885" s="47" t="e">
        <f t="shared" ca="1" si="607"/>
        <v>#NAME?</v>
      </c>
      <c r="AG1885" s="47">
        <f t="shared" si="608"/>
        <v>52010804</v>
      </c>
      <c r="AH1885" s="54">
        <f>IF(Q1885="22",IF(ISNUMBER(SEARCH("econ",PAA_4[[#This Row],[Actividad3]])),"Económico",IF(ISNUMBER(SEARCH("alim",PAA_4[[#This Row],[Actividad3]])),"Alimentación",IF(ISNUMBER(SEARCH("educ",PAA_4[[#This Row],[Actividad3]])),"Educativo","Técnico"))),0)</f>
        <v>0</v>
      </c>
      <c r="AI1885" s="47" t="e" cm="1">
        <f t="array" aca="1" ref="AI1885" ca="1">_xlfn.XLOOKUP(PAA_4[[#This Row],[RCP-RUBRO]],[2]!COMPROMISOS_2024[[#All],[concatenado]],[2]!COMPROMISOS_2024[[#All],[Total pagado]],"",0)</f>
        <v>#NAME?</v>
      </c>
      <c r="AJ1885" s="56">
        <f>IF(PAA_4[[#This Row],[BOLSA]]=0,0,SUMIFS([2]!COMPROMISOS_2024[[#All],[Total pagado]],[2]!COMPROMISOS_2024[[#All],[Bolsa]],PAA_4[[#This Row],[BOLSA]],[2]!COMPROMISOS_2024[[#All],[rubro]],PAA_4[[#This Row],[RCP-RUBRO]]))</f>
        <v>0</v>
      </c>
      <c r="AK1885" s="47" t="e" cm="1">
        <f t="array" aca="1" ref="AK1885" ca="1">_xlfn.XLOOKUP(PAA_4[[#This Row],[RCP-RUBRO]],[2]!COMPROMISOS_2024[[#All],[concatenado]],[2]!COMPROMISOS_2024[[#All],[Total Comprometido]],"",0)</f>
        <v>#NAME?</v>
      </c>
      <c r="AL1885" s="47">
        <f>IF(PAA_4[[#This Row],[BOLSA]]=0,0,SUMIFS([2]!COMPROMISOS_2024[[#All],[Total Comprometido]],[2]!COMPROMISOS_2024[[#All],[Bolsa]],PAA_4[[#This Row],[BOLSA]],[2]!COMPROMISOS_2024[[#All],[concatenado]],PAA_4[[#This Row],[RCP-RUBRO]]))</f>
        <v>0</v>
      </c>
    </row>
    <row r="1886" spans="1:38" s="19" customFormat="1" ht="31.5" customHeight="1">
      <c r="A1886" s="47">
        <v>1236</v>
      </c>
      <c r="B1886" s="51" t="s">
        <v>1917</v>
      </c>
      <c r="C1886" s="47" t="str">
        <f>VLOOKUP(PAA_4[[#This Row],[PROYECTO (formulado)2]],[2]PROYECTOS!$G$1:$L$32,6,0)</f>
        <v>SUBGERENCIA DE ALTOS LOGROS Y DEPORTE ASOCIADO</v>
      </c>
      <c r="D1886" s="47" t="str">
        <f>+IF(PAA_4[[#This Row],[UNIDAD DE CONTRATACION (formulado)]]="Subgerencia Administrativa y Financiera","FUNCIONAMIENTO","INVERSIÓN")</f>
        <v>INVERSIÓN</v>
      </c>
      <c r="E1886" s="48" t="str">
        <f>VLOOKUP(Q1886,[2]PROYECTOS!$G$1:$K$32,5,0)</f>
        <v>Asesoria médica y de ciencias aplicadas al desarrollo del rendimiento deportivo de atletas y para-atletas de Antioquia</v>
      </c>
      <c r="F1886" s="48">
        <f>VLOOKUP(E1886,[2]PROYECTOS!$K$1:$M$32,3,0)</f>
        <v>2024003050103</v>
      </c>
      <c r="G1886" s="67" t="s">
        <v>2112</v>
      </c>
      <c r="H1886" s="49" t="str">
        <f>VLOOKUP(Q1886,[2]PROYECTOS!$V$1:$W$32,2,0)</f>
        <v>050080</v>
      </c>
      <c r="I1886" s="78">
        <v>159650000</v>
      </c>
      <c r="J1886" s="51" t="s">
        <v>1919</v>
      </c>
      <c r="K1886" s="47" t="str">
        <f t="shared" ca="1" si="602"/>
        <v>CONTRATADO</v>
      </c>
      <c r="L1886" s="47" t="s">
        <v>94</v>
      </c>
      <c r="M1886" s="47" t="s">
        <v>161</v>
      </c>
      <c r="N1886" s="52" t="s">
        <v>2114</v>
      </c>
      <c r="O1886" s="51" t="e">
        <f>VLOOKUP(N1886,[2]!RUBROS[#All],3,0)</f>
        <v>#REF!</v>
      </c>
      <c r="P1886" s="53" t="e">
        <f>VLOOKUP(N1886,[2]!RUBROS[#All],2,0)</f>
        <v>#REF!</v>
      </c>
      <c r="Q1886" s="47" t="str">
        <f t="shared" si="603"/>
        <v>03</v>
      </c>
      <c r="R1886" s="47" t="str">
        <f t="shared" si="604"/>
        <v>4-101124</v>
      </c>
      <c r="S1886" s="339">
        <v>7</v>
      </c>
      <c r="T1886" s="59" t="s">
        <v>42</v>
      </c>
      <c r="U1886" s="326" t="e">
        <f ca="1">_xlfn.XLOOKUP(PAA_4[[#This Row],[ITEM]],[2]Contrato!A:A,[2]Contrato!Q:Q,"",0)</f>
        <v>#NAME?</v>
      </c>
      <c r="V1886" s="47" t="s">
        <v>95</v>
      </c>
      <c r="W1886" s="47" t="s">
        <v>200</v>
      </c>
      <c r="X1886" s="47" t="s">
        <v>200</v>
      </c>
      <c r="Y1886" s="55" t="e">
        <f ca="1">_xlfn.XLOOKUP(PAA_4[[#This Row],[ITEM]],[2]Contrato!A:A,[2]Contrato!B:B,"",0)</f>
        <v>#NAME?</v>
      </c>
      <c r="Z1886" s="47" t="e">
        <f ca="1">_xlfn.XLOOKUP(PAA_4[[#This Row],[ITEM]],[2]Contrato!A:A,[2]Contrato!G:G,"",0)</f>
        <v>#NAME?</v>
      </c>
      <c r="AA1886" s="47" t="e">
        <f ca="1">_xlfn.XLOOKUP(PAA_4[[#This Row],[ITEM]],[2]Contrato!A:A,[2]Contrato!T:T,"",0)</f>
        <v>#NAME?</v>
      </c>
      <c r="AB1886" s="55" t="e">
        <f ca="1">+MAX(PAA_4[[#This Row],[Comprometido Contrato]],PAA_4[[#This Row],[Comprometido Bolsa]])</f>
        <v>#NAME?</v>
      </c>
      <c r="AC1886" s="55" t="str">
        <f t="shared" ca="1" si="605"/>
        <v/>
      </c>
      <c r="AD1886" s="55" t="e">
        <f ca="1">IF(PAA_4[[#This Row],[ESTADO (formulado)]]="NO CONTRATADO",0,MAX(PAA_4[[#This Row],[Pago por Contrato]],PAA_4[[#This Row],[Pago por bolsa]]))</f>
        <v>#NAME?</v>
      </c>
      <c r="AE1886" s="55" t="str">
        <f t="shared" ca="1" si="606"/>
        <v/>
      </c>
      <c r="AF1886" s="47" t="e">
        <f t="shared" ca="1" si="607"/>
        <v>#NAME?</v>
      </c>
      <c r="AG1886" s="47">
        <f t="shared" si="608"/>
        <v>52010804</v>
      </c>
      <c r="AH1886" s="54">
        <f>IF(Q1886="22",IF(ISNUMBER(SEARCH("econ",PAA_4[[#This Row],[Actividad3]])),"Económico",IF(ISNUMBER(SEARCH("alim",PAA_4[[#This Row],[Actividad3]])),"Alimentación",IF(ISNUMBER(SEARCH("educ",PAA_4[[#This Row],[Actividad3]])),"Educativo","Técnico"))),0)</f>
        <v>0</v>
      </c>
      <c r="AI1886" s="47" t="e" cm="1">
        <f t="array" aca="1" ref="AI1886" ca="1">_xlfn.XLOOKUP(PAA_4[[#This Row],[RCP-RUBRO]],[2]!COMPROMISOS_2024[[#All],[concatenado]],[2]!COMPROMISOS_2024[[#All],[Total pagado]],"",0)</f>
        <v>#NAME?</v>
      </c>
      <c r="AJ1886" s="56">
        <f>IF(PAA_4[[#This Row],[BOLSA]]=0,0,SUMIFS([2]!COMPROMISOS_2024[[#All],[Total pagado]],[2]!COMPROMISOS_2024[[#All],[Bolsa]],PAA_4[[#This Row],[BOLSA]],[2]!COMPROMISOS_2024[[#All],[rubro]],PAA_4[[#This Row],[RCP-RUBRO]]))</f>
        <v>0</v>
      </c>
      <c r="AK1886" s="47" t="e" cm="1">
        <f t="array" aca="1" ref="AK1886" ca="1">_xlfn.XLOOKUP(PAA_4[[#This Row],[RCP-RUBRO]],[2]!COMPROMISOS_2024[[#All],[concatenado]],[2]!COMPROMISOS_2024[[#All],[Total Comprometido]],"",0)</f>
        <v>#NAME?</v>
      </c>
      <c r="AL1886" s="47">
        <f>IF(PAA_4[[#This Row],[BOLSA]]=0,0,SUMIFS([2]!COMPROMISOS_2024[[#All],[Total Comprometido]],[2]!COMPROMISOS_2024[[#All],[Bolsa]],PAA_4[[#This Row],[BOLSA]],[2]!COMPROMISOS_2024[[#All],[concatenado]],PAA_4[[#This Row],[RCP-RUBRO]]))</f>
        <v>0</v>
      </c>
    </row>
    <row r="1887" spans="1:38" s="19" customFormat="1" ht="31.5" customHeight="1">
      <c r="A1887" s="47" t="s">
        <v>82</v>
      </c>
      <c r="B1887" s="47" t="s">
        <v>42</v>
      </c>
      <c r="C1887" s="47" t="str">
        <f>VLOOKUP(PAA_4[[#This Row],[PROYECTO (formulado)2]],[2]PROYECTOS!$G$1:$L$32,6,0)</f>
        <v>SUBGERENCIA DE ALTOS LOGROS Y DEPORTE ASOCIADO</v>
      </c>
      <c r="D1887" s="47" t="str">
        <f>+IF(PAA_4[[#This Row],[UNIDAD DE CONTRATACION (formulado)]]="Subgerencia Administrativa y Financiera","FUNCIONAMIENTO","INVERSIÓN")</f>
        <v>INVERSIÓN</v>
      </c>
      <c r="E1887" s="48" t="str">
        <f>VLOOKUP(Q1887,[2]PROYECTOS!$G$1:$K$32,5,0)</f>
        <v>Asesoria médica y de ciencias aplicadas al desarrollo del rendimiento deportivo de atletas y para-atletas de Antioquia</v>
      </c>
      <c r="F1887" s="48">
        <f>VLOOKUP(E1887,[2]PROYECTOS!$K$1:$M$32,3,0)</f>
        <v>2024003050103</v>
      </c>
      <c r="G1887" s="67" t="s">
        <v>1793</v>
      </c>
      <c r="H1887" s="49" t="str">
        <f>VLOOKUP(Q1887,[2]PROYECTOS!$V$1:$W$32,2,0)</f>
        <v>050080</v>
      </c>
      <c r="I1887" s="78">
        <v>13382810</v>
      </c>
      <c r="J1887" s="51" t="s">
        <v>1778</v>
      </c>
      <c r="K1887" s="47" t="str">
        <f t="shared" ca="1" si="602"/>
        <v>CONTRATADO</v>
      </c>
      <c r="L1887" s="47" t="s">
        <v>42</v>
      </c>
      <c r="M1887" s="47" t="s">
        <v>42</v>
      </c>
      <c r="N1887" s="52" t="s">
        <v>1794</v>
      </c>
      <c r="O1887" s="51" t="e">
        <f>VLOOKUP(N1887,[2]!RUBROS[#All],3,0)</f>
        <v>#REF!</v>
      </c>
      <c r="P1887" s="53" t="e">
        <f>VLOOKUP(N1887,[2]!RUBROS[#All],2,0)</f>
        <v>#REF!</v>
      </c>
      <c r="Q1887" s="47" t="str">
        <f t="shared" si="603"/>
        <v>03</v>
      </c>
      <c r="R1887" s="47" t="str">
        <f t="shared" si="604"/>
        <v>0-205128</v>
      </c>
      <c r="S1887" s="54" t="s">
        <v>42</v>
      </c>
      <c r="T1887" s="59" t="s">
        <v>42</v>
      </c>
      <c r="U1887" s="326" t="e">
        <f ca="1">_xlfn.XLOOKUP(PAA_4[[#This Row],[ITEM]],[2]Contrato!A:A,[2]Contrato!Q:Q,"",0)</f>
        <v>#NAME?</v>
      </c>
      <c r="V1887" s="47" t="s">
        <v>95</v>
      </c>
      <c r="W1887" s="370" t="s">
        <v>42</v>
      </c>
      <c r="X1887" s="370" t="s">
        <v>42</v>
      </c>
      <c r="Y1887" s="55" t="e">
        <f ca="1">_xlfn.XLOOKUP(PAA_4[[#This Row],[ITEM]],[2]Contrato!A:A,[2]Contrato!B:B,"",0)</f>
        <v>#NAME?</v>
      </c>
      <c r="Z1887" s="47" t="e">
        <f ca="1">_xlfn.XLOOKUP(PAA_4[[#This Row],[ITEM]],[2]Contrato!A:A,[2]Contrato!G:G,"",0)</f>
        <v>#NAME?</v>
      </c>
      <c r="AA1887" s="47" t="e">
        <f ca="1">_xlfn.XLOOKUP(PAA_4[[#This Row],[ITEM]],[2]Contrato!A:A,[2]Contrato!T:T,"",0)</f>
        <v>#NAME?</v>
      </c>
      <c r="AB1887" s="55" t="e">
        <f ca="1">+MAX(PAA_4[[#This Row],[Comprometido Contrato]],PAA_4[[#This Row],[Comprometido Bolsa]])</f>
        <v>#NAME?</v>
      </c>
      <c r="AC1887" s="55" t="str">
        <f t="shared" ca="1" si="605"/>
        <v/>
      </c>
      <c r="AD1887" s="55" t="e">
        <f ca="1">IF(PAA_4[[#This Row],[ESTADO (formulado)]]="NO CONTRATADO",0,MAX(PAA_4[[#This Row],[Pago por Contrato]],PAA_4[[#This Row],[Pago por bolsa]]))</f>
        <v>#NAME?</v>
      </c>
      <c r="AE1887" s="55" t="str">
        <f t="shared" ca="1" si="606"/>
        <v/>
      </c>
      <c r="AF1887" s="47" t="e">
        <f t="shared" ca="1" si="607"/>
        <v>#NAME?</v>
      </c>
      <c r="AG1887" s="47">
        <f t="shared" si="608"/>
        <v>52010804</v>
      </c>
      <c r="AH1887" s="54">
        <f>IF(Q1887="22",IF(ISNUMBER(SEARCH("econ",PAA_4[[#This Row],[Actividad3]])),"Económico",IF(ISNUMBER(SEARCH("alim",PAA_4[[#This Row],[Actividad3]])),"Alimentación",IF(ISNUMBER(SEARCH("educ",PAA_4[[#This Row],[Actividad3]])),"Educativo","Técnico"))),0)</f>
        <v>0</v>
      </c>
      <c r="AI1887" s="47" t="e" cm="1">
        <f t="array" aca="1" ref="AI1887" ca="1">_xlfn.XLOOKUP(PAA_4[[#This Row],[RCP-RUBRO]],[2]!COMPROMISOS_2024[[#All],[concatenado]],[2]!COMPROMISOS_2024[[#All],[Total pagado]],"",0)</f>
        <v>#NAME?</v>
      </c>
      <c r="AJ1887" s="56">
        <f>IF(PAA_4[[#This Row],[BOLSA]]=0,0,SUMIFS([2]!COMPROMISOS_2024[[#All],[Total pagado]],[2]!COMPROMISOS_2024[[#All],[Bolsa]],PAA_4[[#This Row],[BOLSA]],[2]!COMPROMISOS_2024[[#All],[rubro]],PAA_4[[#This Row],[RCP-RUBRO]]))</f>
        <v>0</v>
      </c>
      <c r="AK1887" s="47" t="e" cm="1">
        <f t="array" aca="1" ref="AK1887" ca="1">_xlfn.XLOOKUP(PAA_4[[#This Row],[RCP-RUBRO]],[2]!COMPROMISOS_2024[[#All],[concatenado]],[2]!COMPROMISOS_2024[[#All],[Total Comprometido]],"",0)</f>
        <v>#NAME?</v>
      </c>
      <c r="AL1887" s="47">
        <f>IF(PAA_4[[#This Row],[BOLSA]]=0,0,SUMIFS([2]!COMPROMISOS_2024[[#All],[Total Comprometido]],[2]!COMPROMISOS_2024[[#All],[Bolsa]],PAA_4[[#This Row],[BOLSA]],[2]!COMPROMISOS_2024[[#All],[concatenado]],PAA_4[[#This Row],[RCP-RUBRO]]))</f>
        <v>0</v>
      </c>
    </row>
    <row r="1888" spans="1:38" s="19" customFormat="1" ht="31.5" customHeight="1">
      <c r="A1888" s="47">
        <v>1026</v>
      </c>
      <c r="B1888" s="47">
        <v>80111600</v>
      </c>
      <c r="C1888" s="47" t="str">
        <f>VLOOKUP(PAA_4[[#This Row],[PROYECTO (formulado)2]],[2]PROYECTOS!$G$1:$L$32,6,0)</f>
        <v>SUBGERENCIA DE ALTOS LOGROS Y DEPORTE ASOCIADO</v>
      </c>
      <c r="D1888" s="47" t="str">
        <f>+IF(PAA_4[[#This Row],[UNIDAD DE CONTRATACION (formulado)]]="Subgerencia Administrativa y Financiera","FUNCIONAMIENTO","INVERSIÓN")</f>
        <v>INVERSIÓN</v>
      </c>
      <c r="E1888" s="48" t="str">
        <f>VLOOKUP(Q1888,[2]PROYECTOS!$G$1:$K$32,5,0)</f>
        <v>Asesoria médica y de ciencias aplicadas al desarrollo del rendimiento deportivo de atletas y para-atletas de Antioquia</v>
      </c>
      <c r="F1888" s="48">
        <f>VLOOKUP(E1888,[2]PROYECTOS!$K$1:$M$32,3,0)</f>
        <v>2024003050103</v>
      </c>
      <c r="G1888" s="67" t="s">
        <v>1793</v>
      </c>
      <c r="H1888" s="49" t="str">
        <f>VLOOKUP(Q1888,[2]PROYECTOS!$V$1:$W$32,2,0)</f>
        <v>050080</v>
      </c>
      <c r="I1888" s="78">
        <f>49894810-13382810-978000</f>
        <v>35534000</v>
      </c>
      <c r="J1888" s="51" t="s">
        <v>2123</v>
      </c>
      <c r="K1888" s="47" t="str">
        <f t="shared" ca="1" si="602"/>
        <v>CONTRATADO</v>
      </c>
      <c r="L1888" s="47" t="s">
        <v>898</v>
      </c>
      <c r="M1888" s="51" t="s">
        <v>1297</v>
      </c>
      <c r="N1888" s="52" t="s">
        <v>1794</v>
      </c>
      <c r="O1888" s="51" t="e">
        <f>VLOOKUP(N1888,[2]!RUBROS[#All],3,0)</f>
        <v>#REF!</v>
      </c>
      <c r="P1888" s="53" t="e">
        <f>VLOOKUP(N1888,[2]!RUBROS[#All],2,0)</f>
        <v>#REF!</v>
      </c>
      <c r="Q1888" s="47" t="str">
        <f t="shared" si="603"/>
        <v>03</v>
      </c>
      <c r="R1888" s="47" t="str">
        <f t="shared" si="604"/>
        <v>0-205128</v>
      </c>
      <c r="S1888" s="54">
        <v>112</v>
      </c>
      <c r="T1888" s="59" t="s">
        <v>120</v>
      </c>
      <c r="U1888" s="326" t="e">
        <f ca="1">_xlfn.XLOOKUP(PAA_4[[#This Row],[ITEM]],[2]Contrato!A:A,[2]Contrato!Q:Q,"",0)</f>
        <v>#NAME?</v>
      </c>
      <c r="V1888" s="47" t="s">
        <v>95</v>
      </c>
      <c r="W1888" s="47" t="s">
        <v>194</v>
      </c>
      <c r="X1888" s="47" t="s">
        <v>203</v>
      </c>
      <c r="Y1888" s="55" t="e">
        <f ca="1">_xlfn.XLOOKUP(PAA_4[[#This Row],[ITEM]],[2]Contrato!A:A,[2]Contrato!B:B,"",0)</f>
        <v>#NAME?</v>
      </c>
      <c r="Z1888" s="47" t="e">
        <f ca="1">_xlfn.XLOOKUP(PAA_4[[#This Row],[ITEM]],[2]Contrato!A:A,[2]Contrato!G:G,"",0)</f>
        <v>#NAME?</v>
      </c>
      <c r="AA1888" s="47" t="e">
        <f ca="1">_xlfn.XLOOKUP(PAA_4[[#This Row],[ITEM]],[2]Contrato!A:A,[2]Contrato!T:T,"",0)</f>
        <v>#NAME?</v>
      </c>
      <c r="AB1888" s="55" t="e">
        <f ca="1">+MAX(PAA_4[[#This Row],[Comprometido Contrato]],PAA_4[[#This Row],[Comprometido Bolsa]])</f>
        <v>#NAME?</v>
      </c>
      <c r="AC1888" s="55" t="str">
        <f t="shared" ca="1" si="605"/>
        <v/>
      </c>
      <c r="AD1888" s="55" t="e">
        <f ca="1">IF(PAA_4[[#This Row],[ESTADO (formulado)]]="NO CONTRATADO",0,MAX(PAA_4[[#This Row],[Pago por Contrato]],PAA_4[[#This Row],[Pago por bolsa]]))</f>
        <v>#NAME?</v>
      </c>
      <c r="AE1888" s="55" t="str">
        <f t="shared" ca="1" si="606"/>
        <v/>
      </c>
      <c r="AF1888" s="47" t="e">
        <f t="shared" ca="1" si="607"/>
        <v>#NAME?</v>
      </c>
      <c r="AG1888" s="47">
        <f t="shared" si="608"/>
        <v>52010804</v>
      </c>
      <c r="AH1888" s="54">
        <f>IF(Q1888="22",IF(ISNUMBER(SEARCH("econ",PAA_4[[#This Row],[Actividad3]])),"Económico",IF(ISNUMBER(SEARCH("alim",PAA_4[[#This Row],[Actividad3]])),"Alimentación",IF(ISNUMBER(SEARCH("educ",PAA_4[[#This Row],[Actividad3]])),"Educativo","Técnico"))),0)</f>
        <v>0</v>
      </c>
      <c r="AI1888" s="47" t="e" cm="1">
        <f t="array" aca="1" ref="AI1888" ca="1">_xlfn.XLOOKUP(PAA_4[[#This Row],[RCP-RUBRO]],[2]!COMPROMISOS_2024[[#All],[concatenado]],[2]!COMPROMISOS_2024[[#All],[Total pagado]],"",0)</f>
        <v>#NAME?</v>
      </c>
      <c r="AJ1888" s="56">
        <f>IF(PAA_4[[#This Row],[BOLSA]]=0,0,SUMIFS([2]!COMPROMISOS_2024[[#All],[Total pagado]],[2]!COMPROMISOS_2024[[#All],[Bolsa]],PAA_4[[#This Row],[BOLSA]],[2]!COMPROMISOS_2024[[#All],[rubro]],PAA_4[[#This Row],[RCP-RUBRO]]))</f>
        <v>0</v>
      </c>
      <c r="AK1888" s="47" t="e" cm="1">
        <f t="array" aca="1" ref="AK1888" ca="1">_xlfn.XLOOKUP(PAA_4[[#This Row],[RCP-RUBRO]],[2]!COMPROMISOS_2024[[#All],[concatenado]],[2]!COMPROMISOS_2024[[#All],[Total Comprometido]],"",0)</f>
        <v>#NAME?</v>
      </c>
      <c r="AL1888" s="47">
        <f>IF(PAA_4[[#This Row],[BOLSA]]=0,0,SUMIFS([2]!COMPROMISOS_2024[[#All],[Total Comprometido]],[2]!COMPROMISOS_2024[[#All],[Bolsa]],PAA_4[[#This Row],[BOLSA]],[2]!COMPROMISOS_2024[[#All],[concatenado]],PAA_4[[#This Row],[RCP-RUBRO]]))</f>
        <v>0</v>
      </c>
    </row>
    <row r="1889" spans="1:38" s="19" customFormat="1" ht="31.5" customHeight="1">
      <c r="A1889" s="47" t="s">
        <v>82</v>
      </c>
      <c r="B1889" s="47" t="s">
        <v>42</v>
      </c>
      <c r="C1889" s="47" t="str">
        <f>VLOOKUP(PAA_4[[#This Row],[PROYECTO (formulado)2]],[2]PROYECTOS!$G$1:$L$32,6,0)</f>
        <v>SUBGERENCIA DE ALTOS LOGROS Y DEPORTE ASOCIADO</v>
      </c>
      <c r="D1889" s="47" t="str">
        <f>+IF(PAA_4[[#This Row],[UNIDAD DE CONTRATACION (formulado)]]="Subgerencia Administrativa y Financiera","FUNCIONAMIENTO","INVERSIÓN")</f>
        <v>INVERSIÓN</v>
      </c>
      <c r="E1889" s="48" t="str">
        <f>VLOOKUP(Q1889,[2]PROYECTOS!$G$1:$K$32,5,0)</f>
        <v>Asesoria médica y de ciencias aplicadas al desarrollo del rendimiento deportivo de atletas y para-atletas de Antioquia</v>
      </c>
      <c r="F1889" s="48">
        <f>VLOOKUP(E1889,[2]PROYECTOS!$K$1:$M$32,3,0)</f>
        <v>2024003050103</v>
      </c>
      <c r="G1889" s="67" t="s">
        <v>1793</v>
      </c>
      <c r="H1889" s="49" t="str">
        <f>VLOOKUP(Q1889,[2]PROYECTOS!$V$1:$W$32,2,0)</f>
        <v>050080</v>
      </c>
      <c r="I1889" s="78">
        <v>8500967</v>
      </c>
      <c r="J1889" s="51" t="s">
        <v>1778</v>
      </c>
      <c r="K1889" s="47" t="str">
        <f t="shared" ca="1" si="602"/>
        <v>CONTRATADO</v>
      </c>
      <c r="L1889" s="47" t="s">
        <v>42</v>
      </c>
      <c r="M1889" s="51" t="s">
        <v>42</v>
      </c>
      <c r="N1889" s="52" t="s">
        <v>1794</v>
      </c>
      <c r="O1889" s="51" t="e">
        <f>VLOOKUP(N1889,[2]!RUBROS[#All],3,0)</f>
        <v>#REF!</v>
      </c>
      <c r="P1889" s="53" t="e">
        <f>VLOOKUP(N1889,[2]!RUBROS[#All],2,0)</f>
        <v>#REF!</v>
      </c>
      <c r="Q1889" s="47" t="str">
        <f t="shared" si="603"/>
        <v>03</v>
      </c>
      <c r="R1889" s="47" t="str">
        <f t="shared" si="604"/>
        <v>0-205128</v>
      </c>
      <c r="S1889" s="54" t="s">
        <v>42</v>
      </c>
      <c r="T1889" s="389" t="s">
        <v>42</v>
      </c>
      <c r="U1889" s="326" t="e">
        <f ca="1">_xlfn.XLOOKUP(PAA_4[[#This Row],[ITEM]],[2]Contrato!A:A,[2]Contrato!Q:Q,"",0)</f>
        <v>#NAME?</v>
      </c>
      <c r="V1889" s="47" t="s">
        <v>95</v>
      </c>
      <c r="W1889" s="370" t="s">
        <v>42</v>
      </c>
      <c r="X1889" s="370" t="s">
        <v>42</v>
      </c>
      <c r="Y1889" s="55" t="e">
        <f ca="1">_xlfn.XLOOKUP(PAA_4[[#This Row],[ITEM]],[2]Contrato!A:A,[2]Contrato!B:B,"",0)</f>
        <v>#NAME?</v>
      </c>
      <c r="Z1889" s="47" t="e">
        <f ca="1">_xlfn.XLOOKUP(PAA_4[[#This Row],[ITEM]],[2]Contrato!A:A,[2]Contrato!G:G,"",0)</f>
        <v>#NAME?</v>
      </c>
      <c r="AA1889" s="47" t="e">
        <f ca="1">_xlfn.XLOOKUP(PAA_4[[#This Row],[ITEM]],[2]Contrato!A:A,[2]Contrato!T:T,"",0)</f>
        <v>#NAME?</v>
      </c>
      <c r="AB1889" s="55" t="e">
        <f ca="1">+MAX(PAA_4[[#This Row],[Comprometido Contrato]],PAA_4[[#This Row],[Comprometido Bolsa]])</f>
        <v>#NAME?</v>
      </c>
      <c r="AC1889" s="55" t="str">
        <f t="shared" ca="1" si="605"/>
        <v/>
      </c>
      <c r="AD1889" s="55" t="e">
        <f ca="1">IF(PAA_4[[#This Row],[ESTADO (formulado)]]="NO CONTRATADO",0,MAX(PAA_4[[#This Row],[Pago por Contrato]],PAA_4[[#This Row],[Pago por bolsa]]))</f>
        <v>#NAME?</v>
      </c>
      <c r="AE1889" s="55" t="str">
        <f t="shared" ca="1" si="606"/>
        <v/>
      </c>
      <c r="AF1889" s="47" t="e">
        <f t="shared" ca="1" si="607"/>
        <v>#NAME?</v>
      </c>
      <c r="AG1889" s="47">
        <f t="shared" si="608"/>
        <v>52010804</v>
      </c>
      <c r="AH1889" s="54">
        <f>IF(Q1889="22",IF(ISNUMBER(SEARCH("econ",PAA_4[[#This Row],[Actividad3]])),"Económico",IF(ISNUMBER(SEARCH("alim",PAA_4[[#This Row],[Actividad3]])),"Alimentación",IF(ISNUMBER(SEARCH("educ",PAA_4[[#This Row],[Actividad3]])),"Educativo","Técnico"))),0)</f>
        <v>0</v>
      </c>
      <c r="AI1889" s="47" t="e" cm="1">
        <f t="array" aca="1" ref="AI1889" ca="1">_xlfn.XLOOKUP(PAA_4[[#This Row],[RCP-RUBRO]],[2]!COMPROMISOS_2024[[#All],[concatenado]],[2]!COMPROMISOS_2024[[#All],[Total pagado]],"",0)</f>
        <v>#NAME?</v>
      </c>
      <c r="AJ1889" s="56">
        <f>IF(PAA_4[[#This Row],[BOLSA]]=0,0,SUMIFS([2]!COMPROMISOS_2024[[#All],[Total pagado]],[2]!COMPROMISOS_2024[[#All],[Bolsa]],PAA_4[[#This Row],[BOLSA]],[2]!COMPROMISOS_2024[[#All],[rubro]],PAA_4[[#This Row],[RCP-RUBRO]]))</f>
        <v>0</v>
      </c>
      <c r="AK1889" s="47" t="e" cm="1">
        <f t="array" aca="1" ref="AK1889" ca="1">_xlfn.XLOOKUP(PAA_4[[#This Row],[RCP-RUBRO]],[2]!COMPROMISOS_2024[[#All],[concatenado]],[2]!COMPROMISOS_2024[[#All],[Total Comprometido]],"",0)</f>
        <v>#NAME?</v>
      </c>
      <c r="AL1889" s="47">
        <f>IF(PAA_4[[#This Row],[BOLSA]]=0,0,SUMIFS([2]!COMPROMISOS_2024[[#All],[Total Comprometido]],[2]!COMPROMISOS_2024[[#All],[Bolsa]],PAA_4[[#This Row],[BOLSA]],[2]!COMPROMISOS_2024[[#All],[concatenado]],PAA_4[[#This Row],[RCP-RUBRO]]))</f>
        <v>0</v>
      </c>
    </row>
    <row r="1890" spans="1:38" s="19" customFormat="1" ht="31.5" customHeight="1">
      <c r="A1890" s="47">
        <v>1027</v>
      </c>
      <c r="B1890" s="47">
        <v>80111600</v>
      </c>
      <c r="C1890" s="47" t="str">
        <f>VLOOKUP(PAA_4[[#This Row],[PROYECTO (formulado)2]],[2]PROYECTOS!$G$1:$L$32,6,0)</f>
        <v>SUBGERENCIA DE ALTOS LOGROS Y DEPORTE ASOCIADO</v>
      </c>
      <c r="D1890" s="47" t="str">
        <f>+IF(PAA_4[[#This Row],[UNIDAD DE CONTRATACION (formulado)]]="Subgerencia Administrativa y Financiera","FUNCIONAMIENTO","INVERSIÓN")</f>
        <v>INVERSIÓN</v>
      </c>
      <c r="E1890" s="48" t="str">
        <f>VLOOKUP(Q1890,[2]PROYECTOS!$G$1:$K$32,5,0)</f>
        <v>Asesoria médica y de ciencias aplicadas al desarrollo del rendimiento deportivo de atletas y para-atletas de Antioquia</v>
      </c>
      <c r="F1890" s="48">
        <f>VLOOKUP(E1890,[2]PROYECTOS!$K$1:$M$32,3,0)</f>
        <v>2024003050103</v>
      </c>
      <c r="G1890" s="67" t="s">
        <v>1793</v>
      </c>
      <c r="H1890" s="49" t="str">
        <f>VLOOKUP(Q1890,[2]PROYECTOS!$V$1:$W$32,2,0)</f>
        <v>050080</v>
      </c>
      <c r="I1890" s="78">
        <f>30700967-8500967-2713334</f>
        <v>19486666</v>
      </c>
      <c r="J1890" s="51" t="s">
        <v>2124</v>
      </c>
      <c r="K1890" s="47" t="str">
        <f t="shared" ca="1" si="602"/>
        <v>CONTRATADO</v>
      </c>
      <c r="L1890" s="47" t="s">
        <v>898</v>
      </c>
      <c r="M1890" s="51" t="s">
        <v>1297</v>
      </c>
      <c r="N1890" s="52" t="s">
        <v>1794</v>
      </c>
      <c r="O1890" s="51" t="e">
        <f>VLOOKUP(N1890,[2]!RUBROS[#All],3,0)</f>
        <v>#REF!</v>
      </c>
      <c r="P1890" s="53" t="e">
        <f>VLOOKUP(N1890,[2]!RUBROS[#All],2,0)</f>
        <v>#REF!</v>
      </c>
      <c r="Q1890" s="47" t="str">
        <f t="shared" si="603"/>
        <v>03</v>
      </c>
      <c r="R1890" s="47" t="str">
        <f t="shared" si="604"/>
        <v>0-205128</v>
      </c>
      <c r="S1890" s="54">
        <v>99</v>
      </c>
      <c r="T1890" s="390" t="s">
        <v>120</v>
      </c>
      <c r="U1890" s="326" t="e">
        <f ca="1">_xlfn.XLOOKUP(PAA_4[[#This Row],[ITEM]],[2]Contrato!A:A,[2]Contrato!Q:Q,"",0)</f>
        <v>#NAME?</v>
      </c>
      <c r="V1890" s="47" t="s">
        <v>95</v>
      </c>
      <c r="W1890" s="47" t="s">
        <v>194</v>
      </c>
      <c r="X1890" s="47" t="s">
        <v>203</v>
      </c>
      <c r="Y1890" s="55" t="e">
        <f ca="1">_xlfn.XLOOKUP(PAA_4[[#This Row],[ITEM]],[2]Contrato!A:A,[2]Contrato!B:B,"",0)</f>
        <v>#NAME?</v>
      </c>
      <c r="Z1890" s="47" t="e">
        <f ca="1">_xlfn.XLOOKUP(PAA_4[[#This Row],[ITEM]],[2]Contrato!A:A,[2]Contrato!G:G,"",0)</f>
        <v>#NAME?</v>
      </c>
      <c r="AA1890" s="47" t="e">
        <f ca="1">_xlfn.XLOOKUP(PAA_4[[#This Row],[ITEM]],[2]Contrato!A:A,[2]Contrato!T:T,"",0)</f>
        <v>#NAME?</v>
      </c>
      <c r="AB1890" s="55" t="e">
        <f ca="1">+MAX(PAA_4[[#This Row],[Comprometido Contrato]],PAA_4[[#This Row],[Comprometido Bolsa]])</f>
        <v>#NAME?</v>
      </c>
      <c r="AC1890" s="55" t="str">
        <f t="shared" ca="1" si="605"/>
        <v/>
      </c>
      <c r="AD1890" s="55" t="e">
        <f ca="1">IF(PAA_4[[#This Row],[ESTADO (formulado)]]="NO CONTRATADO",0,MAX(PAA_4[[#This Row],[Pago por Contrato]],PAA_4[[#This Row],[Pago por bolsa]]))</f>
        <v>#NAME?</v>
      </c>
      <c r="AE1890" s="55" t="str">
        <f t="shared" ca="1" si="606"/>
        <v/>
      </c>
      <c r="AF1890" s="47" t="e">
        <f t="shared" ca="1" si="607"/>
        <v>#NAME?</v>
      </c>
      <c r="AG1890" s="47">
        <f t="shared" si="608"/>
        <v>52010804</v>
      </c>
      <c r="AH1890" s="54">
        <f>IF(Q1890="22",IF(ISNUMBER(SEARCH("econ",PAA_4[[#This Row],[Actividad3]])),"Económico",IF(ISNUMBER(SEARCH("alim",PAA_4[[#This Row],[Actividad3]])),"Alimentación",IF(ISNUMBER(SEARCH("educ",PAA_4[[#This Row],[Actividad3]])),"Educativo","Técnico"))),0)</f>
        <v>0</v>
      </c>
      <c r="AI1890" s="47" t="e" cm="1">
        <f t="array" aca="1" ref="AI1890" ca="1">_xlfn.XLOOKUP(PAA_4[[#This Row],[RCP-RUBRO]],[2]!COMPROMISOS_2024[[#All],[concatenado]],[2]!COMPROMISOS_2024[[#All],[Total pagado]],"",0)</f>
        <v>#NAME?</v>
      </c>
      <c r="AJ1890" s="56">
        <f>IF(PAA_4[[#This Row],[BOLSA]]=0,0,SUMIFS([2]!COMPROMISOS_2024[[#All],[Total pagado]],[2]!COMPROMISOS_2024[[#All],[Bolsa]],PAA_4[[#This Row],[BOLSA]],[2]!COMPROMISOS_2024[[#All],[rubro]],PAA_4[[#This Row],[RCP-RUBRO]]))</f>
        <v>0</v>
      </c>
      <c r="AK1890" s="47" t="e" cm="1">
        <f t="array" aca="1" ref="AK1890" ca="1">_xlfn.XLOOKUP(PAA_4[[#This Row],[RCP-RUBRO]],[2]!COMPROMISOS_2024[[#All],[concatenado]],[2]!COMPROMISOS_2024[[#All],[Total Comprometido]],"",0)</f>
        <v>#NAME?</v>
      </c>
      <c r="AL1890" s="47">
        <f>IF(PAA_4[[#This Row],[BOLSA]]=0,0,SUMIFS([2]!COMPROMISOS_2024[[#All],[Total Comprometido]],[2]!COMPROMISOS_2024[[#All],[Bolsa]],PAA_4[[#This Row],[BOLSA]],[2]!COMPROMISOS_2024[[#All],[concatenado]],PAA_4[[#This Row],[RCP-RUBRO]]))</f>
        <v>0</v>
      </c>
    </row>
    <row r="1891" spans="1:38" s="19" customFormat="1" ht="31.5" customHeight="1">
      <c r="A1891" s="47" t="s">
        <v>82</v>
      </c>
      <c r="B1891" s="47" t="s">
        <v>42</v>
      </c>
      <c r="C1891" s="47" t="str">
        <f>VLOOKUP(PAA_4[[#This Row],[PROYECTO (formulado)2]],[2]PROYECTOS!$G$1:$L$32,6,0)</f>
        <v>SUBGERENCIA DE ALTOS LOGROS Y DEPORTE ASOCIADO</v>
      </c>
      <c r="D1891" s="47" t="str">
        <f>+IF(PAA_4[[#This Row],[UNIDAD DE CONTRATACION (formulado)]]="Subgerencia Administrativa y Financiera","FUNCIONAMIENTO","INVERSIÓN")</f>
        <v>INVERSIÓN</v>
      </c>
      <c r="E1891" s="48" t="str">
        <f>VLOOKUP(Q1891,[2]PROYECTOS!$G$1:$K$32,5,0)</f>
        <v>Asesoria médica y de ciencias aplicadas al desarrollo del rendimiento deportivo de atletas y para-atletas de Antioquia</v>
      </c>
      <c r="F1891" s="48">
        <f>VLOOKUP(E1891,[2]PROYECTOS!$K$1:$M$32,3,0)</f>
        <v>2024003050103</v>
      </c>
      <c r="G1891" s="67" t="s">
        <v>1793</v>
      </c>
      <c r="H1891" s="49" t="str">
        <f>VLOOKUP(Q1891,[2]PROYECTOS!$V$1:$W$32,2,0)</f>
        <v>050080</v>
      </c>
      <c r="I1891" s="78">
        <v>3382745</v>
      </c>
      <c r="J1891" s="51" t="s">
        <v>1778</v>
      </c>
      <c r="K1891" s="47" t="str">
        <f t="shared" ca="1" si="602"/>
        <v>CONTRATADO</v>
      </c>
      <c r="L1891" s="47" t="s">
        <v>42</v>
      </c>
      <c r="M1891" s="51" t="s">
        <v>42</v>
      </c>
      <c r="N1891" s="52" t="s">
        <v>1794</v>
      </c>
      <c r="O1891" s="51" t="e">
        <f>VLOOKUP(N1891,[2]!RUBROS[#All],3,0)</f>
        <v>#REF!</v>
      </c>
      <c r="P1891" s="53" t="e">
        <f>VLOOKUP(N1891,[2]!RUBROS[#All],2,0)</f>
        <v>#REF!</v>
      </c>
      <c r="Q1891" s="47" t="str">
        <f t="shared" si="603"/>
        <v>03</v>
      </c>
      <c r="R1891" s="47" t="str">
        <f t="shared" si="604"/>
        <v>0-205128</v>
      </c>
      <c r="S1891" s="54" t="s">
        <v>42</v>
      </c>
      <c r="T1891" s="389" t="s">
        <v>42</v>
      </c>
      <c r="U1891" s="326" t="e">
        <f ca="1">_xlfn.XLOOKUP(PAA_4[[#This Row],[ITEM]],[2]Contrato!A:A,[2]Contrato!Q:Q,"",0)</f>
        <v>#NAME?</v>
      </c>
      <c r="V1891" s="47" t="s">
        <v>95</v>
      </c>
      <c r="W1891" s="370" t="s">
        <v>42</v>
      </c>
      <c r="X1891" s="370" t="s">
        <v>42</v>
      </c>
      <c r="Y1891" s="55" t="e">
        <f ca="1">_xlfn.XLOOKUP(PAA_4[[#This Row],[ITEM]],[2]Contrato!A:A,[2]Contrato!B:B,"",0)</f>
        <v>#NAME?</v>
      </c>
      <c r="Z1891" s="47" t="e">
        <f ca="1">_xlfn.XLOOKUP(PAA_4[[#This Row],[ITEM]],[2]Contrato!A:A,[2]Contrato!G:G,"",0)</f>
        <v>#NAME?</v>
      </c>
      <c r="AA1891" s="47" t="e">
        <f ca="1">_xlfn.XLOOKUP(PAA_4[[#This Row],[ITEM]],[2]Contrato!A:A,[2]Contrato!T:T,"",0)</f>
        <v>#NAME?</v>
      </c>
      <c r="AB1891" s="55" t="e">
        <f ca="1">+MAX(PAA_4[[#This Row],[Comprometido Contrato]],PAA_4[[#This Row],[Comprometido Bolsa]])</f>
        <v>#NAME?</v>
      </c>
      <c r="AC1891" s="55" t="str">
        <f t="shared" ca="1" si="605"/>
        <v/>
      </c>
      <c r="AD1891" s="55" t="e">
        <f ca="1">IF(PAA_4[[#This Row],[ESTADO (formulado)]]="NO CONTRATADO",0,MAX(PAA_4[[#This Row],[Pago por Contrato]],PAA_4[[#This Row],[Pago por bolsa]]))</f>
        <v>#NAME?</v>
      </c>
      <c r="AE1891" s="55" t="str">
        <f t="shared" ca="1" si="606"/>
        <v/>
      </c>
      <c r="AF1891" s="47" t="e">
        <f t="shared" ca="1" si="607"/>
        <v>#NAME?</v>
      </c>
      <c r="AG1891" s="47">
        <f t="shared" si="608"/>
        <v>52010804</v>
      </c>
      <c r="AH1891" s="54">
        <f>IF(Q1891="22",IF(ISNUMBER(SEARCH("econ",PAA_4[[#This Row],[Actividad3]])),"Económico",IF(ISNUMBER(SEARCH("alim",PAA_4[[#This Row],[Actividad3]])),"Alimentación",IF(ISNUMBER(SEARCH("educ",PAA_4[[#This Row],[Actividad3]])),"Educativo","Técnico"))),0)</f>
        <v>0</v>
      </c>
      <c r="AI1891" s="47" t="e" cm="1">
        <f t="array" aca="1" ref="AI1891" ca="1">_xlfn.XLOOKUP(PAA_4[[#This Row],[RCP-RUBRO]],[2]!COMPROMISOS_2024[[#All],[concatenado]],[2]!COMPROMISOS_2024[[#All],[Total pagado]],"",0)</f>
        <v>#NAME?</v>
      </c>
      <c r="AJ1891" s="56">
        <f>IF(PAA_4[[#This Row],[BOLSA]]=0,0,SUMIFS([2]!COMPROMISOS_2024[[#All],[Total pagado]],[2]!COMPROMISOS_2024[[#All],[Bolsa]],PAA_4[[#This Row],[BOLSA]],[2]!COMPROMISOS_2024[[#All],[rubro]],PAA_4[[#This Row],[RCP-RUBRO]]))</f>
        <v>0</v>
      </c>
      <c r="AK1891" s="47" t="e" cm="1">
        <f t="array" aca="1" ref="AK1891" ca="1">_xlfn.XLOOKUP(PAA_4[[#This Row],[RCP-RUBRO]],[2]!COMPROMISOS_2024[[#All],[concatenado]],[2]!COMPROMISOS_2024[[#All],[Total Comprometido]],"",0)</f>
        <v>#NAME?</v>
      </c>
      <c r="AL1891" s="47">
        <f>IF(PAA_4[[#This Row],[BOLSA]]=0,0,SUMIFS([2]!COMPROMISOS_2024[[#All],[Total Comprometido]],[2]!COMPROMISOS_2024[[#All],[Bolsa]],PAA_4[[#This Row],[BOLSA]],[2]!COMPROMISOS_2024[[#All],[concatenado]],PAA_4[[#This Row],[RCP-RUBRO]]))</f>
        <v>0</v>
      </c>
    </row>
    <row r="1892" spans="1:38" s="19" customFormat="1" ht="31.5" customHeight="1">
      <c r="A1892" s="47">
        <v>1028</v>
      </c>
      <c r="B1892" s="47">
        <v>80111600</v>
      </c>
      <c r="C1892" s="47" t="str">
        <f>VLOOKUP(PAA_4[[#This Row],[PROYECTO (formulado)2]],[2]PROYECTOS!$G$1:$L$32,6,0)</f>
        <v>SUBGERENCIA DE ALTOS LOGROS Y DEPORTE ASOCIADO</v>
      </c>
      <c r="D1892" s="47" t="str">
        <f>+IF(PAA_4[[#This Row],[UNIDAD DE CONTRATACION (formulado)]]="Subgerencia Administrativa y Financiera","FUNCIONAMIENTO","INVERSIÓN")</f>
        <v>INVERSIÓN</v>
      </c>
      <c r="E1892" s="48" t="str">
        <f>VLOOKUP(Q1892,[2]PROYECTOS!$G$1:$K$32,5,0)</f>
        <v>Asesoria médica y de ciencias aplicadas al desarrollo del rendimiento deportivo de atletas y para-atletas de Antioquia</v>
      </c>
      <c r="F1892" s="48">
        <f>VLOOKUP(E1892,[2]PROYECTOS!$K$1:$M$32,3,0)</f>
        <v>2024003050103</v>
      </c>
      <c r="G1892" s="67" t="s">
        <v>1793</v>
      </c>
      <c r="H1892" s="49" t="str">
        <f>VLOOKUP(Q1892,[2]PROYECTOS!$V$1:$W$32,2,0)</f>
        <v>050080</v>
      </c>
      <c r="I1892" s="78">
        <f>21832745-3382745-3000000</f>
        <v>15450000</v>
      </c>
      <c r="J1892" s="51" t="s">
        <v>2125</v>
      </c>
      <c r="K1892" s="47" t="str">
        <f t="shared" ca="1" si="602"/>
        <v>CONTRATADO</v>
      </c>
      <c r="L1892" s="47" t="s">
        <v>898</v>
      </c>
      <c r="M1892" s="51" t="s">
        <v>1297</v>
      </c>
      <c r="N1892" s="52" t="s">
        <v>1794</v>
      </c>
      <c r="O1892" s="51" t="e">
        <f>VLOOKUP(N1892,[2]!RUBROS[#All],3,0)</f>
        <v>#REF!</v>
      </c>
      <c r="P1892" s="53" t="e">
        <f>VLOOKUP(N1892,[2]!RUBROS[#All],2,0)</f>
        <v>#REF!</v>
      </c>
      <c r="Q1892" s="47" t="str">
        <f t="shared" si="603"/>
        <v>03</v>
      </c>
      <c r="R1892" s="47" t="str">
        <f t="shared" si="604"/>
        <v>0-205128</v>
      </c>
      <c r="S1892" s="54">
        <v>130</v>
      </c>
      <c r="T1892" s="390" t="s">
        <v>120</v>
      </c>
      <c r="U1892" s="326" t="e">
        <f ca="1">_xlfn.XLOOKUP(PAA_4[[#This Row],[ITEM]],[2]Contrato!A:A,[2]Contrato!Q:Q,"",0)</f>
        <v>#NAME?</v>
      </c>
      <c r="V1892" s="47" t="s">
        <v>95</v>
      </c>
      <c r="W1892" s="47" t="s">
        <v>194</v>
      </c>
      <c r="X1892" s="47" t="s">
        <v>203</v>
      </c>
      <c r="Y1892" s="55" t="e">
        <f ca="1">_xlfn.XLOOKUP(PAA_4[[#This Row],[ITEM]],[2]Contrato!A:A,[2]Contrato!B:B,"",0)</f>
        <v>#NAME?</v>
      </c>
      <c r="Z1892" s="47" t="e">
        <f ca="1">_xlfn.XLOOKUP(PAA_4[[#This Row],[ITEM]],[2]Contrato!A:A,[2]Contrato!G:G,"",0)</f>
        <v>#NAME?</v>
      </c>
      <c r="AA1892" s="47" t="e">
        <f ca="1">_xlfn.XLOOKUP(PAA_4[[#This Row],[ITEM]],[2]Contrato!A:A,[2]Contrato!T:T,"",0)</f>
        <v>#NAME?</v>
      </c>
      <c r="AB1892" s="55" t="e">
        <f ca="1">+MAX(PAA_4[[#This Row],[Comprometido Contrato]],PAA_4[[#This Row],[Comprometido Bolsa]])</f>
        <v>#NAME?</v>
      </c>
      <c r="AC1892" s="55" t="str">
        <f t="shared" ca="1" si="605"/>
        <v/>
      </c>
      <c r="AD1892" s="55" t="e">
        <f ca="1">IF(PAA_4[[#This Row],[ESTADO (formulado)]]="NO CONTRATADO",0,MAX(PAA_4[[#This Row],[Pago por Contrato]],PAA_4[[#This Row],[Pago por bolsa]]))</f>
        <v>#NAME?</v>
      </c>
      <c r="AE1892" s="55" t="str">
        <f t="shared" ca="1" si="606"/>
        <v/>
      </c>
      <c r="AF1892" s="47" t="e">
        <f t="shared" ca="1" si="607"/>
        <v>#NAME?</v>
      </c>
      <c r="AG1892" s="47">
        <f t="shared" si="608"/>
        <v>52010804</v>
      </c>
      <c r="AH1892" s="54">
        <f>IF(Q1892="22",IF(ISNUMBER(SEARCH("econ",PAA_4[[#This Row],[Actividad3]])),"Económico",IF(ISNUMBER(SEARCH("alim",PAA_4[[#This Row],[Actividad3]])),"Alimentación",IF(ISNUMBER(SEARCH("educ",PAA_4[[#This Row],[Actividad3]])),"Educativo","Técnico"))),0)</f>
        <v>0</v>
      </c>
      <c r="AI1892" s="47" t="e" cm="1">
        <f t="array" aca="1" ref="AI1892" ca="1">_xlfn.XLOOKUP(PAA_4[[#This Row],[RCP-RUBRO]],[2]!COMPROMISOS_2024[[#All],[concatenado]],[2]!COMPROMISOS_2024[[#All],[Total pagado]],"",0)</f>
        <v>#NAME?</v>
      </c>
      <c r="AJ1892" s="56">
        <f>IF(PAA_4[[#This Row],[BOLSA]]=0,0,SUMIFS([2]!COMPROMISOS_2024[[#All],[Total pagado]],[2]!COMPROMISOS_2024[[#All],[Bolsa]],PAA_4[[#This Row],[BOLSA]],[2]!COMPROMISOS_2024[[#All],[rubro]],PAA_4[[#This Row],[RCP-RUBRO]]))</f>
        <v>0</v>
      </c>
      <c r="AK1892" s="47" t="e" cm="1">
        <f t="array" aca="1" ref="AK1892" ca="1">_xlfn.XLOOKUP(PAA_4[[#This Row],[RCP-RUBRO]],[2]!COMPROMISOS_2024[[#All],[concatenado]],[2]!COMPROMISOS_2024[[#All],[Total Comprometido]],"",0)</f>
        <v>#NAME?</v>
      </c>
      <c r="AL1892" s="47">
        <f>IF(PAA_4[[#This Row],[BOLSA]]=0,0,SUMIFS([2]!COMPROMISOS_2024[[#All],[Total Comprometido]],[2]!COMPROMISOS_2024[[#All],[Bolsa]],PAA_4[[#This Row],[BOLSA]],[2]!COMPROMISOS_2024[[#All],[concatenado]],PAA_4[[#This Row],[RCP-RUBRO]]))</f>
        <v>0</v>
      </c>
    </row>
    <row r="1893" spans="1:38" s="19" customFormat="1" ht="31.5" customHeight="1">
      <c r="A1893" s="47" t="s">
        <v>82</v>
      </c>
      <c r="B1893" s="47" t="s">
        <v>42</v>
      </c>
      <c r="C1893" s="47" t="str">
        <f>VLOOKUP(PAA_4[[#This Row],[PROYECTO (formulado)2]],[2]PROYECTOS!$G$1:$L$32,6,0)</f>
        <v>SUBGERENCIA DE ALTOS LOGROS Y DEPORTE ASOCIADO</v>
      </c>
      <c r="D1893" s="47" t="str">
        <f>+IF(PAA_4[[#This Row],[UNIDAD DE CONTRATACION (formulado)]]="Subgerencia Administrativa y Financiera","FUNCIONAMIENTO","INVERSIÓN")</f>
        <v>INVERSIÓN</v>
      </c>
      <c r="E1893" s="48" t="str">
        <f>VLOOKUP(Q1893,[2]PROYECTOS!$G$1:$K$32,5,0)</f>
        <v>Asesoria médica y de ciencias aplicadas al desarrollo del rendimiento deportivo de atletas y para-atletas de Antioquia</v>
      </c>
      <c r="F1893" s="48">
        <f>VLOOKUP(E1893,[2]PROYECTOS!$K$1:$M$32,3,0)</f>
        <v>2024003050103</v>
      </c>
      <c r="G1893" s="67" t="s">
        <v>1793</v>
      </c>
      <c r="H1893" s="49" t="str">
        <f>VLOOKUP(Q1893,[2]PROYECTOS!$V$1:$W$32,2,0)</f>
        <v>050080</v>
      </c>
      <c r="I1893" s="78">
        <v>2498262</v>
      </c>
      <c r="J1893" s="51" t="s">
        <v>1778</v>
      </c>
      <c r="K1893" s="47" t="str">
        <f t="shared" ca="1" si="602"/>
        <v>CONTRATADO</v>
      </c>
      <c r="L1893" s="47" t="s">
        <v>42</v>
      </c>
      <c r="M1893" s="51" t="s">
        <v>42</v>
      </c>
      <c r="N1893" s="52" t="s">
        <v>1795</v>
      </c>
      <c r="O1893" s="51" t="e">
        <f>VLOOKUP(N1893,[2]!RUBROS[#All],3,0)</f>
        <v>#REF!</v>
      </c>
      <c r="P1893" s="53" t="e">
        <f>VLOOKUP(N1893,[2]!RUBROS[#All],2,0)</f>
        <v>#REF!</v>
      </c>
      <c r="Q1893" s="47" t="str">
        <f t="shared" si="603"/>
        <v>03</v>
      </c>
      <c r="R1893" s="47" t="str">
        <f t="shared" si="604"/>
        <v>0-205128</v>
      </c>
      <c r="S1893" s="54" t="s">
        <v>42</v>
      </c>
      <c r="T1893" s="389" t="s">
        <v>42</v>
      </c>
      <c r="U1893" s="326" t="e">
        <f ca="1">_xlfn.XLOOKUP(PAA_4[[#This Row],[ITEM]],[2]Contrato!A:A,[2]Contrato!Q:Q,"",0)</f>
        <v>#NAME?</v>
      </c>
      <c r="V1893" s="47" t="s">
        <v>95</v>
      </c>
      <c r="W1893" s="370" t="s">
        <v>42</v>
      </c>
      <c r="X1893" s="370" t="s">
        <v>42</v>
      </c>
      <c r="Y1893" s="55" t="e">
        <f ca="1">_xlfn.XLOOKUP(PAA_4[[#This Row],[ITEM]],[2]Contrato!A:A,[2]Contrato!B:B,"",0)</f>
        <v>#NAME?</v>
      </c>
      <c r="Z1893" s="47" t="e">
        <f ca="1">_xlfn.XLOOKUP(PAA_4[[#This Row],[ITEM]],[2]Contrato!A:A,[2]Contrato!G:G,"",0)</f>
        <v>#NAME?</v>
      </c>
      <c r="AA1893" s="47" t="e">
        <f ca="1">_xlfn.XLOOKUP(PAA_4[[#This Row],[ITEM]],[2]Contrato!A:A,[2]Contrato!T:T,"",0)</f>
        <v>#NAME?</v>
      </c>
      <c r="AB1893" s="55" t="e">
        <f ca="1">+MAX(PAA_4[[#This Row],[Comprometido Contrato]],PAA_4[[#This Row],[Comprometido Bolsa]])</f>
        <v>#NAME?</v>
      </c>
      <c r="AC1893" s="55" t="str">
        <f t="shared" ca="1" si="605"/>
        <v/>
      </c>
      <c r="AD1893" s="55" t="e">
        <f ca="1">IF(PAA_4[[#This Row],[ESTADO (formulado)]]="NO CONTRATADO",0,MAX(PAA_4[[#This Row],[Pago por Contrato]],PAA_4[[#This Row],[Pago por bolsa]]))</f>
        <v>#NAME?</v>
      </c>
      <c r="AE1893" s="55" t="str">
        <f t="shared" ca="1" si="606"/>
        <v/>
      </c>
      <c r="AF1893" s="47" t="e">
        <f t="shared" ca="1" si="607"/>
        <v>#NAME?</v>
      </c>
      <c r="AG1893" s="47">
        <f t="shared" si="608"/>
        <v>52010804</v>
      </c>
      <c r="AH1893" s="54">
        <f>IF(Q1893="22",IF(ISNUMBER(SEARCH("econ",PAA_4[[#This Row],[Actividad3]])),"Económico",IF(ISNUMBER(SEARCH("alim",PAA_4[[#This Row],[Actividad3]])),"Alimentación",IF(ISNUMBER(SEARCH("educ",PAA_4[[#This Row],[Actividad3]])),"Educativo","Técnico"))),0)</f>
        <v>0</v>
      </c>
      <c r="AI1893" s="47" t="e" cm="1">
        <f t="array" aca="1" ref="AI1893" ca="1">_xlfn.XLOOKUP(PAA_4[[#This Row],[RCP-RUBRO]],[2]!COMPROMISOS_2024[[#All],[concatenado]],[2]!COMPROMISOS_2024[[#All],[Total pagado]],"",0)</f>
        <v>#NAME?</v>
      </c>
      <c r="AJ1893" s="56">
        <f>IF(PAA_4[[#This Row],[BOLSA]]=0,0,SUMIFS([2]!COMPROMISOS_2024[[#All],[Total pagado]],[2]!COMPROMISOS_2024[[#All],[Bolsa]],PAA_4[[#This Row],[BOLSA]],[2]!COMPROMISOS_2024[[#All],[rubro]],PAA_4[[#This Row],[RCP-RUBRO]]))</f>
        <v>0</v>
      </c>
      <c r="AK1893" s="47" t="e" cm="1">
        <f t="array" aca="1" ref="AK1893" ca="1">_xlfn.XLOOKUP(PAA_4[[#This Row],[RCP-RUBRO]],[2]!COMPROMISOS_2024[[#All],[concatenado]],[2]!COMPROMISOS_2024[[#All],[Total Comprometido]],"",0)</f>
        <v>#NAME?</v>
      </c>
      <c r="AL1893" s="47">
        <f>IF(PAA_4[[#This Row],[BOLSA]]=0,0,SUMIFS([2]!COMPROMISOS_2024[[#All],[Total Comprometido]],[2]!COMPROMISOS_2024[[#All],[Bolsa]],PAA_4[[#This Row],[BOLSA]],[2]!COMPROMISOS_2024[[#All],[concatenado]],PAA_4[[#This Row],[RCP-RUBRO]]))</f>
        <v>0</v>
      </c>
    </row>
    <row r="1894" spans="1:38" s="19" customFormat="1" ht="31.5" customHeight="1">
      <c r="A1894" s="47">
        <v>1029</v>
      </c>
      <c r="B1894" s="47">
        <v>80111600</v>
      </c>
      <c r="C1894" s="47" t="str">
        <f>VLOOKUP(PAA_4[[#This Row],[PROYECTO (formulado)2]],[2]PROYECTOS!$G$1:$L$32,6,0)</f>
        <v>SUBGERENCIA DE ALTOS LOGROS Y DEPORTE ASOCIADO</v>
      </c>
      <c r="D1894" s="47" t="str">
        <f>+IF(PAA_4[[#This Row],[UNIDAD DE CONTRATACION (formulado)]]="Subgerencia Administrativa y Financiera","FUNCIONAMIENTO","INVERSIÓN")</f>
        <v>INVERSIÓN</v>
      </c>
      <c r="E1894" s="48" t="str">
        <f>VLOOKUP(Q1894,[2]PROYECTOS!$G$1:$K$32,5,0)</f>
        <v>Asesoria médica y de ciencias aplicadas al desarrollo del rendimiento deportivo de atletas y para-atletas de Antioquia</v>
      </c>
      <c r="F1894" s="48">
        <f>VLOOKUP(E1894,[2]PROYECTOS!$K$1:$M$32,3,0)</f>
        <v>2024003050103</v>
      </c>
      <c r="G1894" s="67" t="s">
        <v>1793</v>
      </c>
      <c r="H1894" s="49" t="str">
        <f>VLOOKUP(Q1894,[2]PROYECTOS!$V$1:$W$32,2,0)</f>
        <v>050080</v>
      </c>
      <c r="I1894" s="78">
        <f>31574929-2498262-3098334</f>
        <v>25978333</v>
      </c>
      <c r="J1894" s="51" t="s">
        <v>2126</v>
      </c>
      <c r="K1894" s="47" t="str">
        <f t="shared" ca="1" si="602"/>
        <v>CONTRATADO</v>
      </c>
      <c r="L1894" s="47" t="s">
        <v>898</v>
      </c>
      <c r="M1894" s="51" t="s">
        <v>1297</v>
      </c>
      <c r="N1894" s="52" t="s">
        <v>1795</v>
      </c>
      <c r="O1894" s="51" t="e">
        <f>VLOOKUP(N1894,[2]!RUBROS[#All],3,0)</f>
        <v>#REF!</v>
      </c>
      <c r="P1894" s="53" t="e">
        <f>VLOOKUP(N1894,[2]!RUBROS[#All],2,0)</f>
        <v>#REF!</v>
      </c>
      <c r="Q1894" s="47" t="str">
        <f t="shared" si="603"/>
        <v>03</v>
      </c>
      <c r="R1894" s="47" t="str">
        <f t="shared" si="604"/>
        <v>0-205128</v>
      </c>
      <c r="S1894" s="54">
        <v>122</v>
      </c>
      <c r="T1894" s="390" t="s">
        <v>120</v>
      </c>
      <c r="U1894" s="326" t="e">
        <f ca="1">_xlfn.XLOOKUP(PAA_4[[#This Row],[ITEM]],[2]Contrato!A:A,[2]Contrato!Q:Q,"",0)</f>
        <v>#NAME?</v>
      </c>
      <c r="V1894" s="47" t="s">
        <v>95</v>
      </c>
      <c r="W1894" s="47" t="s">
        <v>194</v>
      </c>
      <c r="X1894" s="47" t="s">
        <v>203</v>
      </c>
      <c r="Y1894" s="55" t="e">
        <f ca="1">_xlfn.XLOOKUP(PAA_4[[#This Row],[ITEM]],[2]Contrato!A:A,[2]Contrato!B:B,"",0)</f>
        <v>#NAME?</v>
      </c>
      <c r="Z1894" s="47" t="e">
        <f ca="1">_xlfn.XLOOKUP(PAA_4[[#This Row],[ITEM]],[2]Contrato!A:A,[2]Contrato!G:G,"",0)</f>
        <v>#NAME?</v>
      </c>
      <c r="AA1894" s="47" t="e">
        <f ca="1">_xlfn.XLOOKUP(PAA_4[[#This Row],[ITEM]],[2]Contrato!A:A,[2]Contrato!T:T,"",0)</f>
        <v>#NAME?</v>
      </c>
      <c r="AB1894" s="55" t="e">
        <f ca="1">+MAX(PAA_4[[#This Row],[Comprometido Contrato]],PAA_4[[#This Row],[Comprometido Bolsa]])</f>
        <v>#NAME?</v>
      </c>
      <c r="AC1894" s="55" t="str">
        <f t="shared" ca="1" si="605"/>
        <v/>
      </c>
      <c r="AD1894" s="55" t="e">
        <f ca="1">IF(PAA_4[[#This Row],[ESTADO (formulado)]]="NO CONTRATADO",0,MAX(PAA_4[[#This Row],[Pago por Contrato]],PAA_4[[#This Row],[Pago por bolsa]]))</f>
        <v>#NAME?</v>
      </c>
      <c r="AE1894" s="55" t="str">
        <f t="shared" ca="1" si="606"/>
        <v/>
      </c>
      <c r="AF1894" s="47" t="e">
        <f t="shared" ca="1" si="607"/>
        <v>#NAME?</v>
      </c>
      <c r="AG1894" s="47">
        <f t="shared" si="608"/>
        <v>52010804</v>
      </c>
      <c r="AH1894" s="54">
        <f>IF(Q1894="22",IF(ISNUMBER(SEARCH("econ",PAA_4[[#This Row],[Actividad3]])),"Económico",IF(ISNUMBER(SEARCH("alim",PAA_4[[#This Row],[Actividad3]])),"Alimentación",IF(ISNUMBER(SEARCH("educ",PAA_4[[#This Row],[Actividad3]])),"Educativo","Técnico"))),0)</f>
        <v>0</v>
      </c>
      <c r="AI1894" s="47" t="e" cm="1">
        <f t="array" aca="1" ref="AI1894" ca="1">_xlfn.XLOOKUP(PAA_4[[#This Row],[RCP-RUBRO]],[2]!COMPROMISOS_2024[[#All],[concatenado]],[2]!COMPROMISOS_2024[[#All],[Total pagado]],"",0)</f>
        <v>#NAME?</v>
      </c>
      <c r="AJ1894" s="56">
        <f>IF(PAA_4[[#This Row],[BOLSA]]=0,0,SUMIFS([2]!COMPROMISOS_2024[[#All],[Total pagado]],[2]!COMPROMISOS_2024[[#All],[Bolsa]],PAA_4[[#This Row],[BOLSA]],[2]!COMPROMISOS_2024[[#All],[rubro]],PAA_4[[#This Row],[RCP-RUBRO]]))</f>
        <v>0</v>
      </c>
      <c r="AK1894" s="47" t="e" cm="1">
        <f t="array" aca="1" ref="AK1894" ca="1">_xlfn.XLOOKUP(PAA_4[[#This Row],[RCP-RUBRO]],[2]!COMPROMISOS_2024[[#All],[concatenado]],[2]!COMPROMISOS_2024[[#All],[Total Comprometido]],"",0)</f>
        <v>#NAME?</v>
      </c>
      <c r="AL1894" s="47">
        <f>IF(PAA_4[[#This Row],[BOLSA]]=0,0,SUMIFS([2]!COMPROMISOS_2024[[#All],[Total Comprometido]],[2]!COMPROMISOS_2024[[#All],[Bolsa]],PAA_4[[#This Row],[BOLSA]],[2]!COMPROMISOS_2024[[#All],[concatenado]],PAA_4[[#This Row],[RCP-RUBRO]]))</f>
        <v>0</v>
      </c>
    </row>
    <row r="1895" spans="1:38" s="19" customFormat="1" ht="31.5" customHeight="1">
      <c r="A1895" s="47" t="s">
        <v>82</v>
      </c>
      <c r="B1895" s="47" t="s">
        <v>42</v>
      </c>
      <c r="C1895" s="47" t="str">
        <f>VLOOKUP(PAA_4[[#This Row],[PROYECTO (formulado)2]],[2]PROYECTOS!$G$1:$L$32,6,0)</f>
        <v>SUBGERENCIA DE ALTOS LOGROS Y DEPORTE ASOCIADO</v>
      </c>
      <c r="D1895" s="47" t="str">
        <f>+IF(PAA_4[[#This Row],[UNIDAD DE CONTRATACION (formulado)]]="Subgerencia Administrativa y Financiera","FUNCIONAMIENTO","INVERSIÓN")</f>
        <v>INVERSIÓN</v>
      </c>
      <c r="E1895" s="48" t="str">
        <f>VLOOKUP(Q1895,[2]PROYECTOS!$G$1:$K$32,5,0)</f>
        <v>Asesoria médica y de ciencias aplicadas al desarrollo del rendimiento deportivo de atletas y para-atletas de Antioquia</v>
      </c>
      <c r="F1895" s="48">
        <f>VLOOKUP(E1895,[2]PROYECTOS!$K$1:$M$32,3,0)</f>
        <v>2024003050103</v>
      </c>
      <c r="G1895" s="67" t="s">
        <v>1793</v>
      </c>
      <c r="H1895" s="49" t="str">
        <f>VLOOKUP(Q1895,[2]PROYECTOS!$V$1:$W$32,2,0)</f>
        <v>050080</v>
      </c>
      <c r="I1895" s="78">
        <v>4000000</v>
      </c>
      <c r="J1895" s="51" t="s">
        <v>1778</v>
      </c>
      <c r="K1895" s="47" t="str">
        <f t="shared" ca="1" si="602"/>
        <v>CONTRATADO</v>
      </c>
      <c r="L1895" s="47" t="s">
        <v>42</v>
      </c>
      <c r="M1895" s="51" t="s">
        <v>42</v>
      </c>
      <c r="N1895" s="52" t="s">
        <v>1794</v>
      </c>
      <c r="O1895" s="51" t="e">
        <f>VLOOKUP(N1895,[2]!RUBROS[#All],3,0)</f>
        <v>#REF!</v>
      </c>
      <c r="P1895" s="53" t="e">
        <f>VLOOKUP(N1895,[2]!RUBROS[#All],2,0)</f>
        <v>#REF!</v>
      </c>
      <c r="Q1895" s="47" t="str">
        <f t="shared" si="603"/>
        <v>03</v>
      </c>
      <c r="R1895" s="47" t="str">
        <f t="shared" si="604"/>
        <v>0-205128</v>
      </c>
      <c r="S1895" s="54" t="s">
        <v>42</v>
      </c>
      <c r="T1895" s="329" t="s">
        <v>42</v>
      </c>
      <c r="U1895" s="326" t="e">
        <f ca="1">_xlfn.XLOOKUP(PAA_4[[#This Row],[ITEM]],[2]Contrato!A:A,[2]Contrato!Q:Q,"",0)</f>
        <v>#NAME?</v>
      </c>
      <c r="V1895" s="47" t="s">
        <v>95</v>
      </c>
      <c r="W1895" s="47" t="s">
        <v>42</v>
      </c>
      <c r="X1895" s="47" t="s">
        <v>42</v>
      </c>
      <c r="Y1895" s="55" t="e">
        <f ca="1">_xlfn.XLOOKUP(PAA_4[[#This Row],[ITEM]],[2]Contrato!A:A,[2]Contrato!B:B,"",0)</f>
        <v>#NAME?</v>
      </c>
      <c r="Z1895" s="47" t="e">
        <f ca="1">_xlfn.XLOOKUP(PAA_4[[#This Row],[ITEM]],[2]Contrato!A:A,[2]Contrato!G:G,"",0)</f>
        <v>#NAME?</v>
      </c>
      <c r="AA1895" s="47" t="e">
        <f ca="1">_xlfn.XLOOKUP(PAA_4[[#This Row],[ITEM]],[2]Contrato!A:A,[2]Contrato!T:T,"",0)</f>
        <v>#NAME?</v>
      </c>
      <c r="AB1895" s="55" t="e">
        <f ca="1">+MAX(PAA_4[[#This Row],[Comprometido Contrato]],PAA_4[[#This Row],[Comprometido Bolsa]])</f>
        <v>#NAME?</v>
      </c>
      <c r="AC1895" s="55" t="str">
        <f t="shared" ca="1" si="605"/>
        <v/>
      </c>
      <c r="AD1895" s="55" t="e">
        <f ca="1">IF(PAA_4[[#This Row],[ESTADO (formulado)]]="NO CONTRATADO",0,MAX(PAA_4[[#This Row],[Pago por Contrato]],PAA_4[[#This Row],[Pago por bolsa]]))</f>
        <v>#NAME?</v>
      </c>
      <c r="AE1895" s="55" t="str">
        <f t="shared" ca="1" si="606"/>
        <v/>
      </c>
      <c r="AF1895" s="47" t="e">
        <f t="shared" ca="1" si="607"/>
        <v>#NAME?</v>
      </c>
      <c r="AG1895" s="47">
        <f t="shared" si="608"/>
        <v>52010804</v>
      </c>
      <c r="AH1895" s="54">
        <f>IF(Q1895="22",IF(ISNUMBER(SEARCH("econ",PAA_4[[#This Row],[Actividad3]])),"Económico",IF(ISNUMBER(SEARCH("alim",PAA_4[[#This Row],[Actividad3]])),"Alimentación",IF(ISNUMBER(SEARCH("educ",PAA_4[[#This Row],[Actividad3]])),"Educativo","Técnico"))),0)</f>
        <v>0</v>
      </c>
      <c r="AI1895" s="47" t="e" cm="1">
        <f t="array" aca="1" ref="AI1895" ca="1">_xlfn.XLOOKUP(PAA_4[[#This Row],[RCP-RUBRO]],[2]!COMPROMISOS_2024[[#All],[concatenado]],[2]!COMPROMISOS_2024[[#All],[Total pagado]],"",0)</f>
        <v>#NAME?</v>
      </c>
      <c r="AJ1895" s="56">
        <f>IF(PAA_4[[#This Row],[BOLSA]]=0,0,SUMIFS([2]!COMPROMISOS_2024[[#All],[Total pagado]],[2]!COMPROMISOS_2024[[#All],[Bolsa]],PAA_4[[#This Row],[BOLSA]],[2]!COMPROMISOS_2024[[#All],[rubro]],PAA_4[[#This Row],[RCP-RUBRO]]))</f>
        <v>0</v>
      </c>
      <c r="AK1895" s="47" t="e" cm="1">
        <f t="array" aca="1" ref="AK1895" ca="1">_xlfn.XLOOKUP(PAA_4[[#This Row],[RCP-RUBRO]],[2]!COMPROMISOS_2024[[#All],[concatenado]],[2]!COMPROMISOS_2024[[#All],[Total Comprometido]],"",0)</f>
        <v>#NAME?</v>
      </c>
      <c r="AL1895" s="47">
        <f>IF(PAA_4[[#This Row],[BOLSA]]=0,0,SUMIFS([2]!COMPROMISOS_2024[[#All],[Total Comprometido]],[2]!COMPROMISOS_2024[[#All],[Bolsa]],PAA_4[[#This Row],[BOLSA]],[2]!COMPROMISOS_2024[[#All],[concatenado]],PAA_4[[#This Row],[RCP-RUBRO]]))</f>
        <v>0</v>
      </c>
    </row>
    <row r="1896" spans="1:38" s="19" customFormat="1" ht="31.5" customHeight="1">
      <c r="A1896" s="47">
        <v>1030</v>
      </c>
      <c r="B1896" s="47">
        <v>80111600</v>
      </c>
      <c r="C1896" s="47" t="str">
        <f>VLOOKUP(PAA_4[[#This Row],[PROYECTO (formulado)2]],[2]PROYECTOS!$G$1:$L$32,6,0)</f>
        <v>SUBGERENCIA DE ALTOS LOGROS Y DEPORTE ASOCIADO</v>
      </c>
      <c r="D1896" s="47" t="str">
        <f>+IF(PAA_4[[#This Row],[UNIDAD DE CONTRATACION (formulado)]]="Subgerencia Administrativa y Financiera","FUNCIONAMIENTO","INVERSIÓN")</f>
        <v>INVERSIÓN</v>
      </c>
      <c r="E1896" s="48" t="str">
        <f>VLOOKUP(Q1896,[2]PROYECTOS!$G$1:$K$32,5,0)</f>
        <v>Asesoria médica y de ciencias aplicadas al desarrollo del rendimiento deportivo de atletas y para-atletas de Antioquia</v>
      </c>
      <c r="F1896" s="48">
        <f>VLOOKUP(E1896,[2]PROYECTOS!$K$1:$M$32,3,0)</f>
        <v>2024003050103</v>
      </c>
      <c r="G1896" s="67" t="s">
        <v>1793</v>
      </c>
      <c r="H1896" s="49" t="str">
        <f>VLOOKUP(Q1896,[2]PROYECTOS!$V$1:$W$32,2,0)</f>
        <v>050080</v>
      </c>
      <c r="I1896" s="78">
        <f>17581187-4000000</f>
        <v>13581187</v>
      </c>
      <c r="J1896" s="51" t="s">
        <v>2127</v>
      </c>
      <c r="K1896" s="47" t="str">
        <f t="shared" ca="1" si="602"/>
        <v>CONTRATADO</v>
      </c>
      <c r="L1896" s="47" t="s">
        <v>898</v>
      </c>
      <c r="M1896" s="51" t="s">
        <v>1297</v>
      </c>
      <c r="N1896" s="52" t="s">
        <v>1794</v>
      </c>
      <c r="O1896" s="51" t="e">
        <f>VLOOKUP(N1896,[2]!RUBROS[#All],3,0)</f>
        <v>#REF!</v>
      </c>
      <c r="P1896" s="53" t="e">
        <f>VLOOKUP(N1896,[2]!RUBROS[#All],2,0)</f>
        <v>#REF!</v>
      </c>
      <c r="Q1896" s="47" t="str">
        <f t="shared" si="603"/>
        <v>03</v>
      </c>
      <c r="R1896" s="47" t="str">
        <f t="shared" si="604"/>
        <v>0-205128</v>
      </c>
      <c r="S1896" s="339">
        <v>87</v>
      </c>
      <c r="T1896" s="59" t="s">
        <v>120</v>
      </c>
      <c r="U1896" s="326" t="e">
        <f ca="1">_xlfn.XLOOKUP(PAA_4[[#This Row],[ITEM]],[2]Contrato!A:A,[2]Contrato!Q:Q,"",0)</f>
        <v>#NAME?</v>
      </c>
      <c r="V1896" s="47" t="s">
        <v>95</v>
      </c>
      <c r="W1896" s="47" t="s">
        <v>203</v>
      </c>
      <c r="X1896" s="47" t="s">
        <v>203</v>
      </c>
      <c r="Y1896" s="55" t="e">
        <f ca="1">_xlfn.XLOOKUP(PAA_4[[#This Row],[ITEM]],[2]Contrato!A:A,[2]Contrato!B:B,"",0)</f>
        <v>#NAME?</v>
      </c>
      <c r="Z1896" s="47" t="e">
        <f ca="1">_xlfn.XLOOKUP(PAA_4[[#This Row],[ITEM]],[2]Contrato!A:A,[2]Contrato!G:G,"",0)</f>
        <v>#NAME?</v>
      </c>
      <c r="AA1896" s="47" t="e">
        <f ca="1">_xlfn.XLOOKUP(PAA_4[[#This Row],[ITEM]],[2]Contrato!A:A,[2]Contrato!T:T,"",0)</f>
        <v>#NAME?</v>
      </c>
      <c r="AB1896" s="55" t="e">
        <f ca="1">+MAX(PAA_4[[#This Row],[Comprometido Contrato]],PAA_4[[#This Row],[Comprometido Bolsa]])</f>
        <v>#NAME?</v>
      </c>
      <c r="AC1896" s="55" t="str">
        <f t="shared" ca="1" si="605"/>
        <v/>
      </c>
      <c r="AD1896" s="55" t="e">
        <f ca="1">IF(PAA_4[[#This Row],[ESTADO (formulado)]]="NO CONTRATADO",0,MAX(PAA_4[[#This Row],[Pago por Contrato]],PAA_4[[#This Row],[Pago por bolsa]]))</f>
        <v>#NAME?</v>
      </c>
      <c r="AE1896" s="55" t="str">
        <f t="shared" ca="1" si="606"/>
        <v/>
      </c>
      <c r="AF1896" s="47" t="e">
        <f t="shared" ca="1" si="607"/>
        <v>#NAME?</v>
      </c>
      <c r="AG1896" s="47">
        <f t="shared" si="608"/>
        <v>52010804</v>
      </c>
      <c r="AH1896" s="54">
        <f>IF(Q1896="22",IF(ISNUMBER(SEARCH("econ",PAA_4[[#This Row],[Actividad3]])),"Económico",IF(ISNUMBER(SEARCH("alim",PAA_4[[#This Row],[Actividad3]])),"Alimentación",IF(ISNUMBER(SEARCH("educ",PAA_4[[#This Row],[Actividad3]])),"Educativo","Técnico"))),0)</f>
        <v>0</v>
      </c>
      <c r="AI1896" s="47" t="e" cm="1">
        <f t="array" aca="1" ref="AI1896" ca="1">_xlfn.XLOOKUP(PAA_4[[#This Row],[RCP-RUBRO]],[2]!COMPROMISOS_2024[[#All],[concatenado]],[2]!COMPROMISOS_2024[[#All],[Total pagado]],"",0)</f>
        <v>#NAME?</v>
      </c>
      <c r="AJ1896" s="56">
        <f>IF(PAA_4[[#This Row],[BOLSA]]=0,0,SUMIFS([2]!COMPROMISOS_2024[[#All],[Total pagado]],[2]!COMPROMISOS_2024[[#All],[Bolsa]],PAA_4[[#This Row],[BOLSA]],[2]!COMPROMISOS_2024[[#All],[rubro]],PAA_4[[#This Row],[RCP-RUBRO]]))</f>
        <v>0</v>
      </c>
      <c r="AK1896" s="47" t="e" cm="1">
        <f t="array" aca="1" ref="AK1896" ca="1">_xlfn.XLOOKUP(PAA_4[[#This Row],[RCP-RUBRO]],[2]!COMPROMISOS_2024[[#All],[concatenado]],[2]!COMPROMISOS_2024[[#All],[Total Comprometido]],"",0)</f>
        <v>#NAME?</v>
      </c>
      <c r="AL1896" s="47">
        <f>IF(PAA_4[[#This Row],[BOLSA]]=0,0,SUMIFS([2]!COMPROMISOS_2024[[#All],[Total Comprometido]],[2]!COMPROMISOS_2024[[#All],[Bolsa]],PAA_4[[#This Row],[BOLSA]],[2]!COMPROMISOS_2024[[#All],[concatenado]],PAA_4[[#This Row],[RCP-RUBRO]]))</f>
        <v>0</v>
      </c>
    </row>
    <row r="1897" spans="1:38" s="19" customFormat="1" ht="31.5" customHeight="1">
      <c r="A1897" s="47" t="s">
        <v>82</v>
      </c>
      <c r="B1897" s="47" t="s">
        <v>42</v>
      </c>
      <c r="C1897" s="47" t="str">
        <f>VLOOKUP(PAA_4[[#This Row],[PROYECTO (formulado)2]],[2]PROYECTOS!$G$1:$L$32,6,0)</f>
        <v>SUBGERENCIA DE ALTOS LOGROS Y DEPORTE ASOCIADO</v>
      </c>
      <c r="D1897" s="47" t="str">
        <f>+IF(PAA_4[[#This Row],[UNIDAD DE CONTRATACION (formulado)]]="Subgerencia Administrativa y Financiera","FUNCIONAMIENTO","INVERSIÓN")</f>
        <v>INVERSIÓN</v>
      </c>
      <c r="E1897" s="48" t="str">
        <f>VLOOKUP(Q1897,[2]PROYECTOS!$G$1:$K$32,5,0)</f>
        <v>Asesoria médica y de ciencias aplicadas al desarrollo del rendimiento deportivo de atletas y para-atletas de Antioquia</v>
      </c>
      <c r="F1897" s="48">
        <f>VLOOKUP(E1897,[2]PROYECTOS!$K$1:$M$32,3,0)</f>
        <v>2024003050103</v>
      </c>
      <c r="G1897" s="67" t="s">
        <v>1793</v>
      </c>
      <c r="H1897" s="49" t="str">
        <f>VLOOKUP(Q1897,[2]PROYECTOS!$V$1:$W$32,2,0)</f>
        <v>050080</v>
      </c>
      <c r="I1897" s="78">
        <v>4000000</v>
      </c>
      <c r="J1897" s="51" t="s">
        <v>1778</v>
      </c>
      <c r="K1897" s="47" t="str">
        <f t="shared" ca="1" si="602"/>
        <v>CONTRATADO</v>
      </c>
      <c r="L1897" s="47" t="s">
        <v>42</v>
      </c>
      <c r="M1897" s="51" t="s">
        <v>42</v>
      </c>
      <c r="N1897" s="52" t="s">
        <v>1794</v>
      </c>
      <c r="O1897" s="51" t="e">
        <f>VLOOKUP(N1897,[2]!RUBROS[#All],3,0)</f>
        <v>#REF!</v>
      </c>
      <c r="P1897" s="53" t="e">
        <f>VLOOKUP(N1897,[2]!RUBROS[#All],2,0)</f>
        <v>#REF!</v>
      </c>
      <c r="Q1897" s="47" t="str">
        <f t="shared" si="603"/>
        <v>03</v>
      </c>
      <c r="R1897" s="47" t="str">
        <f t="shared" si="604"/>
        <v>0-205128</v>
      </c>
      <c r="S1897" s="339" t="s">
        <v>42</v>
      </c>
      <c r="T1897" s="329" t="s">
        <v>42</v>
      </c>
      <c r="U1897" s="326" t="e">
        <f ca="1">_xlfn.XLOOKUP(PAA_4[[#This Row],[ITEM]],[2]Contrato!A:A,[2]Contrato!Q:Q,"",0)</f>
        <v>#NAME?</v>
      </c>
      <c r="V1897" s="47" t="s">
        <v>95</v>
      </c>
      <c r="W1897" s="47" t="s">
        <v>42</v>
      </c>
      <c r="X1897" s="47" t="s">
        <v>42</v>
      </c>
      <c r="Y1897" s="55" t="e">
        <f ca="1">_xlfn.XLOOKUP(PAA_4[[#This Row],[ITEM]],[2]Contrato!A:A,[2]Contrato!B:B,"",0)</f>
        <v>#NAME?</v>
      </c>
      <c r="Z1897" s="47" t="e">
        <f ca="1">_xlfn.XLOOKUP(PAA_4[[#This Row],[ITEM]],[2]Contrato!A:A,[2]Contrato!G:G,"",0)</f>
        <v>#NAME?</v>
      </c>
      <c r="AA1897" s="47" t="e">
        <f ca="1">_xlfn.XLOOKUP(PAA_4[[#This Row],[ITEM]],[2]Contrato!A:A,[2]Contrato!T:T,"",0)</f>
        <v>#NAME?</v>
      </c>
      <c r="AB1897" s="55" t="e">
        <f ca="1">+MAX(PAA_4[[#This Row],[Comprometido Contrato]],PAA_4[[#This Row],[Comprometido Bolsa]])</f>
        <v>#NAME?</v>
      </c>
      <c r="AC1897" s="55" t="str">
        <f t="shared" ca="1" si="605"/>
        <v/>
      </c>
      <c r="AD1897" s="55" t="e">
        <f ca="1">IF(PAA_4[[#This Row],[ESTADO (formulado)]]="NO CONTRATADO",0,MAX(PAA_4[[#This Row],[Pago por Contrato]],PAA_4[[#This Row],[Pago por bolsa]]))</f>
        <v>#NAME?</v>
      </c>
      <c r="AE1897" s="55" t="str">
        <f t="shared" ca="1" si="606"/>
        <v/>
      </c>
      <c r="AF1897" s="47" t="e">
        <f t="shared" ca="1" si="607"/>
        <v>#NAME?</v>
      </c>
      <c r="AG1897" s="47">
        <f t="shared" si="608"/>
        <v>52010804</v>
      </c>
      <c r="AH1897" s="54">
        <f>IF(Q1897="22",IF(ISNUMBER(SEARCH("econ",PAA_4[[#This Row],[Actividad3]])),"Económico",IF(ISNUMBER(SEARCH("alim",PAA_4[[#This Row],[Actividad3]])),"Alimentación",IF(ISNUMBER(SEARCH("educ",PAA_4[[#This Row],[Actividad3]])),"Educativo","Técnico"))),0)</f>
        <v>0</v>
      </c>
      <c r="AI1897" s="47" t="e" cm="1">
        <f t="array" aca="1" ref="AI1897" ca="1">_xlfn.XLOOKUP(PAA_4[[#This Row],[RCP-RUBRO]],[2]!COMPROMISOS_2024[[#All],[concatenado]],[2]!COMPROMISOS_2024[[#All],[Total pagado]],"",0)</f>
        <v>#NAME?</v>
      </c>
      <c r="AJ1897" s="56">
        <f>IF(PAA_4[[#This Row],[BOLSA]]=0,0,SUMIFS([2]!COMPROMISOS_2024[[#All],[Total pagado]],[2]!COMPROMISOS_2024[[#All],[Bolsa]],PAA_4[[#This Row],[BOLSA]],[2]!COMPROMISOS_2024[[#All],[rubro]],PAA_4[[#This Row],[RCP-RUBRO]]))</f>
        <v>0</v>
      </c>
      <c r="AK1897" s="47" t="e" cm="1">
        <f t="array" aca="1" ref="AK1897" ca="1">_xlfn.XLOOKUP(PAA_4[[#This Row],[RCP-RUBRO]],[2]!COMPROMISOS_2024[[#All],[concatenado]],[2]!COMPROMISOS_2024[[#All],[Total Comprometido]],"",0)</f>
        <v>#NAME?</v>
      </c>
      <c r="AL1897" s="47">
        <f>IF(PAA_4[[#This Row],[BOLSA]]=0,0,SUMIFS([2]!COMPROMISOS_2024[[#All],[Total Comprometido]],[2]!COMPROMISOS_2024[[#All],[Bolsa]],PAA_4[[#This Row],[BOLSA]],[2]!COMPROMISOS_2024[[#All],[concatenado]],PAA_4[[#This Row],[RCP-RUBRO]]))</f>
        <v>0</v>
      </c>
    </row>
    <row r="1898" spans="1:38" s="19" customFormat="1" ht="31.5" customHeight="1">
      <c r="A1898" s="47">
        <v>1031</v>
      </c>
      <c r="B1898" s="47">
        <v>80111600</v>
      </c>
      <c r="C1898" s="47" t="str">
        <f>VLOOKUP(PAA_4[[#This Row],[PROYECTO (formulado)2]],[2]PROYECTOS!$G$1:$L$32,6,0)</f>
        <v>SUBGERENCIA DE ALTOS LOGROS Y DEPORTE ASOCIADO</v>
      </c>
      <c r="D1898" s="47" t="str">
        <f>+IF(PAA_4[[#This Row],[UNIDAD DE CONTRATACION (formulado)]]="Subgerencia Administrativa y Financiera","FUNCIONAMIENTO","INVERSIÓN")</f>
        <v>INVERSIÓN</v>
      </c>
      <c r="E1898" s="48" t="str">
        <f>VLOOKUP(Q1898,[2]PROYECTOS!$G$1:$K$32,5,0)</f>
        <v>Asesoria médica y de ciencias aplicadas al desarrollo del rendimiento deportivo de atletas y para-atletas de Antioquia</v>
      </c>
      <c r="F1898" s="48">
        <f>VLOOKUP(E1898,[2]PROYECTOS!$K$1:$M$32,3,0)</f>
        <v>2024003050103</v>
      </c>
      <c r="G1898" s="67" t="s">
        <v>1793</v>
      </c>
      <c r="H1898" s="49" t="str">
        <f>VLOOKUP(Q1898,[2]PROYECTOS!$V$1:$W$32,2,0)</f>
        <v>050080</v>
      </c>
      <c r="I1898" s="78">
        <f>16452504-4000000</f>
        <v>12452504</v>
      </c>
      <c r="J1898" s="51" t="s">
        <v>2128</v>
      </c>
      <c r="K1898" s="47" t="str">
        <f t="shared" ca="1" si="602"/>
        <v>CONTRATADO</v>
      </c>
      <c r="L1898" s="47" t="s">
        <v>898</v>
      </c>
      <c r="M1898" s="51" t="s">
        <v>1297</v>
      </c>
      <c r="N1898" s="52" t="s">
        <v>1794</v>
      </c>
      <c r="O1898" s="51" t="e">
        <f>VLOOKUP(N1898,[2]!RUBROS[#All],3,0)</f>
        <v>#REF!</v>
      </c>
      <c r="P1898" s="53" t="e">
        <f>VLOOKUP(N1898,[2]!RUBROS[#All],2,0)</f>
        <v>#REF!</v>
      </c>
      <c r="Q1898" s="47" t="str">
        <f t="shared" si="603"/>
        <v>03</v>
      </c>
      <c r="R1898" s="47" t="str">
        <f t="shared" si="604"/>
        <v>0-205128</v>
      </c>
      <c r="S1898" s="339">
        <v>87</v>
      </c>
      <c r="T1898" s="59" t="s">
        <v>120</v>
      </c>
      <c r="U1898" s="326" t="e">
        <f ca="1">_xlfn.XLOOKUP(PAA_4[[#This Row],[ITEM]],[2]Contrato!A:A,[2]Contrato!Q:Q,"",0)</f>
        <v>#NAME?</v>
      </c>
      <c r="V1898" s="47" t="s">
        <v>95</v>
      </c>
      <c r="W1898" s="47" t="s">
        <v>203</v>
      </c>
      <c r="X1898" s="47" t="s">
        <v>203</v>
      </c>
      <c r="Y1898" s="55" t="e">
        <f ca="1">_xlfn.XLOOKUP(PAA_4[[#This Row],[ITEM]],[2]Contrato!A:A,[2]Contrato!B:B,"",0)</f>
        <v>#NAME?</v>
      </c>
      <c r="Z1898" s="47" t="e">
        <f ca="1">_xlfn.XLOOKUP(PAA_4[[#This Row],[ITEM]],[2]Contrato!A:A,[2]Contrato!G:G,"",0)</f>
        <v>#NAME?</v>
      </c>
      <c r="AA1898" s="47" t="e">
        <f ca="1">_xlfn.XLOOKUP(PAA_4[[#This Row],[ITEM]],[2]Contrato!A:A,[2]Contrato!T:T,"",0)</f>
        <v>#NAME?</v>
      </c>
      <c r="AB1898" s="55" t="e">
        <f ca="1">+MAX(PAA_4[[#This Row],[Comprometido Contrato]],PAA_4[[#This Row],[Comprometido Bolsa]])</f>
        <v>#NAME?</v>
      </c>
      <c r="AC1898" s="55" t="str">
        <f t="shared" ca="1" si="605"/>
        <v/>
      </c>
      <c r="AD1898" s="55" t="e">
        <f ca="1">IF(PAA_4[[#This Row],[ESTADO (formulado)]]="NO CONTRATADO",0,MAX(PAA_4[[#This Row],[Pago por Contrato]],PAA_4[[#This Row],[Pago por bolsa]]))</f>
        <v>#NAME?</v>
      </c>
      <c r="AE1898" s="55" t="str">
        <f t="shared" ca="1" si="606"/>
        <v/>
      </c>
      <c r="AF1898" s="47" t="e">
        <f t="shared" ca="1" si="607"/>
        <v>#NAME?</v>
      </c>
      <c r="AG1898" s="47">
        <f t="shared" si="608"/>
        <v>52010804</v>
      </c>
      <c r="AH1898" s="54">
        <f>IF(Q1898="22",IF(ISNUMBER(SEARCH("econ",PAA_4[[#This Row],[Actividad3]])),"Económico",IF(ISNUMBER(SEARCH("alim",PAA_4[[#This Row],[Actividad3]])),"Alimentación",IF(ISNUMBER(SEARCH("educ",PAA_4[[#This Row],[Actividad3]])),"Educativo","Técnico"))),0)</f>
        <v>0</v>
      </c>
      <c r="AI1898" s="47" t="e" cm="1">
        <f t="array" aca="1" ref="AI1898" ca="1">_xlfn.XLOOKUP(PAA_4[[#This Row],[RCP-RUBRO]],[2]!COMPROMISOS_2024[[#All],[concatenado]],[2]!COMPROMISOS_2024[[#All],[Total pagado]],"",0)</f>
        <v>#NAME?</v>
      </c>
      <c r="AJ1898" s="56">
        <f>IF(PAA_4[[#This Row],[BOLSA]]=0,0,SUMIFS([2]!COMPROMISOS_2024[[#All],[Total pagado]],[2]!COMPROMISOS_2024[[#All],[Bolsa]],PAA_4[[#This Row],[BOLSA]],[2]!COMPROMISOS_2024[[#All],[rubro]],PAA_4[[#This Row],[RCP-RUBRO]]))</f>
        <v>0</v>
      </c>
      <c r="AK1898" s="47" t="e" cm="1">
        <f t="array" aca="1" ref="AK1898" ca="1">_xlfn.XLOOKUP(PAA_4[[#This Row],[RCP-RUBRO]],[2]!COMPROMISOS_2024[[#All],[concatenado]],[2]!COMPROMISOS_2024[[#All],[Total Comprometido]],"",0)</f>
        <v>#NAME?</v>
      </c>
      <c r="AL1898" s="47">
        <f>IF(PAA_4[[#This Row],[BOLSA]]=0,0,SUMIFS([2]!COMPROMISOS_2024[[#All],[Total Comprometido]],[2]!COMPROMISOS_2024[[#All],[Bolsa]],PAA_4[[#This Row],[BOLSA]],[2]!COMPROMISOS_2024[[#All],[concatenado]],PAA_4[[#This Row],[RCP-RUBRO]]))</f>
        <v>0</v>
      </c>
    </row>
    <row r="1899" spans="1:38" s="19" customFormat="1" ht="31.5" customHeight="1">
      <c r="A1899" s="47" t="s">
        <v>82</v>
      </c>
      <c r="B1899" s="47" t="s">
        <v>42</v>
      </c>
      <c r="C1899" s="47" t="str">
        <f>VLOOKUP(PAA_4[[#This Row],[PROYECTO (formulado)2]],[2]PROYECTOS!$G$1:$L$32,6,0)</f>
        <v>SUBGERENCIA DE ALTOS LOGROS Y DEPORTE ASOCIADO</v>
      </c>
      <c r="D1899" s="47" t="str">
        <f>+IF(PAA_4[[#This Row],[UNIDAD DE CONTRATACION (formulado)]]="Subgerencia Administrativa y Financiera","FUNCIONAMIENTO","INVERSIÓN")</f>
        <v>INVERSIÓN</v>
      </c>
      <c r="E1899" s="48" t="str">
        <f>VLOOKUP(Q1899,[2]PROYECTOS!$G$1:$K$32,5,0)</f>
        <v>Asesoria médica y de ciencias aplicadas al desarrollo del rendimiento deportivo de atletas y para-atletas de Antioquia</v>
      </c>
      <c r="F1899" s="48">
        <f>VLOOKUP(E1899,[2]PROYECTOS!$K$1:$M$32,3,0)</f>
        <v>2024003050103</v>
      </c>
      <c r="G1899" s="67" t="s">
        <v>1793</v>
      </c>
      <c r="H1899" s="49" t="str">
        <f>VLOOKUP(Q1899,[2]PROYECTOS!$V$1:$W$32,2,0)</f>
        <v>050080</v>
      </c>
      <c r="I1899" s="78">
        <v>11948791</v>
      </c>
      <c r="J1899" s="51" t="s">
        <v>174</v>
      </c>
      <c r="K1899" s="47" t="str">
        <f t="shared" ca="1" si="602"/>
        <v>CONTRATADO</v>
      </c>
      <c r="L1899" s="47" t="s">
        <v>42</v>
      </c>
      <c r="M1899" s="51" t="s">
        <v>42</v>
      </c>
      <c r="N1899" s="52" t="s">
        <v>1794</v>
      </c>
      <c r="O1899" s="51" t="e">
        <f>VLOOKUP(N1899,[2]!RUBROS[#All],3,0)</f>
        <v>#REF!</v>
      </c>
      <c r="P1899" s="53" t="e">
        <f>VLOOKUP(N1899,[2]!RUBROS[#All],2,0)</f>
        <v>#REF!</v>
      </c>
      <c r="Q1899" s="47" t="str">
        <f t="shared" si="603"/>
        <v>03</v>
      </c>
      <c r="R1899" s="47" t="str">
        <f t="shared" si="604"/>
        <v>0-205128</v>
      </c>
      <c r="S1899" s="339" t="s">
        <v>42</v>
      </c>
      <c r="T1899" s="59" t="s">
        <v>42</v>
      </c>
      <c r="U1899" s="326" t="e">
        <f ca="1">_xlfn.XLOOKUP(PAA_4[[#This Row],[ITEM]],[2]Contrato!A:A,[2]Contrato!Q:Q,"",0)</f>
        <v>#NAME?</v>
      </c>
      <c r="V1899" s="47" t="s">
        <v>95</v>
      </c>
      <c r="W1899" s="47" t="s">
        <v>194</v>
      </c>
      <c r="X1899" s="47" t="s">
        <v>203</v>
      </c>
      <c r="Y1899" s="55" t="e">
        <f ca="1">_xlfn.XLOOKUP(PAA_4[[#This Row],[ITEM]],[2]Contrato!A:A,[2]Contrato!B:B,"",0)</f>
        <v>#NAME?</v>
      </c>
      <c r="Z1899" s="47" t="e">
        <f ca="1">_xlfn.XLOOKUP(PAA_4[[#This Row],[ITEM]],[2]Contrato!A:A,[2]Contrato!G:G,"",0)</f>
        <v>#NAME?</v>
      </c>
      <c r="AA1899" s="47" t="e">
        <f ca="1">_xlfn.XLOOKUP(PAA_4[[#This Row],[ITEM]],[2]Contrato!A:A,[2]Contrato!T:T,"",0)</f>
        <v>#NAME?</v>
      </c>
      <c r="AB1899" s="55" t="e">
        <f ca="1">+MAX(PAA_4[[#This Row],[Comprometido Contrato]],PAA_4[[#This Row],[Comprometido Bolsa]])</f>
        <v>#NAME?</v>
      </c>
      <c r="AC1899" s="55" t="str">
        <f t="shared" ca="1" si="605"/>
        <v/>
      </c>
      <c r="AD1899" s="55" t="e">
        <f ca="1">IF(PAA_4[[#This Row],[ESTADO (formulado)]]="NO CONTRATADO",0,MAX(PAA_4[[#This Row],[Pago por Contrato]],PAA_4[[#This Row],[Pago por bolsa]]))</f>
        <v>#NAME?</v>
      </c>
      <c r="AE1899" s="55" t="str">
        <f t="shared" ca="1" si="606"/>
        <v/>
      </c>
      <c r="AF1899" s="47" t="e">
        <f t="shared" ca="1" si="607"/>
        <v>#NAME?</v>
      </c>
      <c r="AG1899" s="47">
        <f t="shared" si="608"/>
        <v>52010804</v>
      </c>
      <c r="AH1899" s="54">
        <f>IF(Q1899="22",IF(ISNUMBER(SEARCH("econ",PAA_4[[#This Row],[Actividad3]])),"Económico",IF(ISNUMBER(SEARCH("alim",PAA_4[[#This Row],[Actividad3]])),"Alimentación",IF(ISNUMBER(SEARCH("educ",PAA_4[[#This Row],[Actividad3]])),"Educativo","Técnico"))),0)</f>
        <v>0</v>
      </c>
      <c r="AI1899" s="47" t="e" cm="1">
        <f t="array" aca="1" ref="AI1899" ca="1">_xlfn.XLOOKUP(PAA_4[[#This Row],[RCP-RUBRO]],[2]!COMPROMISOS_2024[[#All],[concatenado]],[2]!COMPROMISOS_2024[[#All],[Total pagado]],"",0)</f>
        <v>#NAME?</v>
      </c>
      <c r="AJ1899" s="56">
        <f>IF(PAA_4[[#This Row],[BOLSA]]=0,0,SUMIFS([2]!COMPROMISOS_2024[[#All],[Total pagado]],[2]!COMPROMISOS_2024[[#All],[Bolsa]],PAA_4[[#This Row],[BOLSA]],[2]!COMPROMISOS_2024[[#All],[rubro]],PAA_4[[#This Row],[RCP-RUBRO]]))</f>
        <v>0</v>
      </c>
      <c r="AK1899" s="47" t="e" cm="1">
        <f t="array" aca="1" ref="AK1899" ca="1">_xlfn.XLOOKUP(PAA_4[[#This Row],[RCP-RUBRO]],[2]!COMPROMISOS_2024[[#All],[concatenado]],[2]!COMPROMISOS_2024[[#All],[Total Comprometido]],"",0)</f>
        <v>#NAME?</v>
      </c>
      <c r="AL1899" s="47">
        <f>IF(PAA_4[[#This Row],[BOLSA]]=0,0,SUMIFS([2]!COMPROMISOS_2024[[#All],[Total Comprometido]],[2]!COMPROMISOS_2024[[#All],[Bolsa]],PAA_4[[#This Row],[BOLSA]],[2]!COMPROMISOS_2024[[#All],[concatenado]],PAA_4[[#This Row],[RCP-RUBRO]]))</f>
        <v>0</v>
      </c>
    </row>
    <row r="1900" spans="1:38" s="19" customFormat="1" ht="31.5" customHeight="1">
      <c r="A1900" s="47" t="s">
        <v>82</v>
      </c>
      <c r="B1900" s="47" t="s">
        <v>42</v>
      </c>
      <c r="C1900" s="47" t="str">
        <f>VLOOKUP(PAA_4[[#This Row],[PROYECTO (formulado)2]],[2]PROYECTOS!$G$1:$L$32,6,0)</f>
        <v>SUBGERENCIA DE ALTOS LOGROS Y DEPORTE ASOCIADO</v>
      </c>
      <c r="D1900" s="47" t="str">
        <f>+IF(PAA_4[[#This Row],[UNIDAD DE CONTRATACION (formulado)]]="Subgerencia Administrativa y Financiera","FUNCIONAMIENTO","INVERSIÓN")</f>
        <v>INVERSIÓN</v>
      </c>
      <c r="E1900" s="48" t="str">
        <f>VLOOKUP(Q1900,[2]PROYECTOS!$G$1:$K$32,5,0)</f>
        <v>Asesoria médica y de ciencias aplicadas al desarrollo del rendimiento deportivo de atletas y para-atletas de Antioquia</v>
      </c>
      <c r="F1900" s="48">
        <f>VLOOKUP(E1900,[2]PROYECTOS!$K$1:$M$32,3,0)</f>
        <v>2024003050103</v>
      </c>
      <c r="G1900" s="67" t="s">
        <v>1793</v>
      </c>
      <c r="H1900" s="49" t="str">
        <f>VLOOKUP(Q1900,[2]PROYECTOS!$V$1:$W$32,2,0)</f>
        <v>050080</v>
      </c>
      <c r="I1900" s="78">
        <v>2666387</v>
      </c>
      <c r="J1900" s="51" t="s">
        <v>210</v>
      </c>
      <c r="K1900" s="47" t="str">
        <f t="shared" ca="1" si="602"/>
        <v>CONTRATADO</v>
      </c>
      <c r="L1900" s="47" t="s">
        <v>898</v>
      </c>
      <c r="M1900" s="51" t="s">
        <v>42</v>
      </c>
      <c r="N1900" s="52" t="s">
        <v>2129</v>
      </c>
      <c r="O1900" s="51" t="e">
        <f>VLOOKUP(N1900,[2]!RUBROS[#All],3,0)</f>
        <v>#REF!</v>
      </c>
      <c r="P1900" s="53" t="e">
        <f>VLOOKUP(N1900,[2]!RUBROS[#All],2,0)</f>
        <v>#REF!</v>
      </c>
      <c r="Q1900" s="47" t="str">
        <f t="shared" si="603"/>
        <v>03</v>
      </c>
      <c r="R1900" s="47" t="str">
        <f t="shared" si="604"/>
        <v>0-205400</v>
      </c>
      <c r="S1900" s="339" t="s">
        <v>42</v>
      </c>
      <c r="T1900" s="59" t="s">
        <v>42</v>
      </c>
      <c r="U1900" s="326" t="e">
        <f ca="1">_xlfn.XLOOKUP(PAA_4[[#This Row],[ITEM]],[2]Contrato!A:A,[2]Contrato!Q:Q,"",0)</f>
        <v>#NAME?</v>
      </c>
      <c r="V1900" s="47" t="s">
        <v>95</v>
      </c>
      <c r="W1900" s="47" t="s">
        <v>194</v>
      </c>
      <c r="X1900" s="47" t="s">
        <v>203</v>
      </c>
      <c r="Y1900" s="55" t="e">
        <f ca="1">_xlfn.XLOOKUP(PAA_4[[#This Row],[ITEM]],[2]Contrato!A:A,[2]Contrato!B:B,"",0)</f>
        <v>#NAME?</v>
      </c>
      <c r="Z1900" s="47" t="e">
        <f ca="1">_xlfn.XLOOKUP(PAA_4[[#This Row],[ITEM]],[2]Contrato!A:A,[2]Contrato!G:G,"",0)</f>
        <v>#NAME?</v>
      </c>
      <c r="AA1900" s="47" t="e">
        <f ca="1">_xlfn.XLOOKUP(PAA_4[[#This Row],[ITEM]],[2]Contrato!A:A,[2]Contrato!T:T,"",0)</f>
        <v>#NAME?</v>
      </c>
      <c r="AB1900" s="55" t="e">
        <f ca="1">+MAX(PAA_4[[#This Row],[Comprometido Contrato]],PAA_4[[#This Row],[Comprometido Bolsa]])</f>
        <v>#NAME?</v>
      </c>
      <c r="AC1900" s="55" t="str">
        <f t="shared" ca="1" si="605"/>
        <v/>
      </c>
      <c r="AD1900" s="55" t="e">
        <f ca="1">IF(PAA_4[[#This Row],[ESTADO (formulado)]]="NO CONTRATADO",0,MAX(PAA_4[[#This Row],[Pago por Contrato]],PAA_4[[#This Row],[Pago por bolsa]]))</f>
        <v>#NAME?</v>
      </c>
      <c r="AE1900" s="55" t="str">
        <f t="shared" ca="1" si="606"/>
        <v/>
      </c>
      <c r="AF1900" s="47" t="e">
        <f t="shared" ca="1" si="607"/>
        <v>#NAME?</v>
      </c>
      <c r="AG1900" s="47">
        <f t="shared" si="608"/>
        <v>52010804</v>
      </c>
      <c r="AH1900" s="54">
        <f>IF(Q1900="22",IF(ISNUMBER(SEARCH("econ",PAA_4[[#This Row],[Actividad3]])),"Económico",IF(ISNUMBER(SEARCH("alim",PAA_4[[#This Row],[Actividad3]])),"Alimentación",IF(ISNUMBER(SEARCH("educ",PAA_4[[#This Row],[Actividad3]])),"Educativo","Técnico"))),0)</f>
        <v>0</v>
      </c>
      <c r="AI1900" s="47" t="e" cm="1">
        <f t="array" aca="1" ref="AI1900" ca="1">_xlfn.XLOOKUP(PAA_4[[#This Row],[RCP-RUBRO]],[2]!COMPROMISOS_2024[[#All],[concatenado]],[2]!COMPROMISOS_2024[[#All],[Total pagado]],"",0)</f>
        <v>#NAME?</v>
      </c>
      <c r="AJ1900" s="56">
        <f>IF(PAA_4[[#This Row],[BOLSA]]=0,0,SUMIFS([2]!COMPROMISOS_2024[[#All],[Total pagado]],[2]!COMPROMISOS_2024[[#All],[Bolsa]],PAA_4[[#This Row],[BOLSA]],[2]!COMPROMISOS_2024[[#All],[rubro]],PAA_4[[#This Row],[RCP-RUBRO]]))</f>
        <v>0</v>
      </c>
      <c r="AK1900" s="47" t="e" cm="1">
        <f t="array" aca="1" ref="AK1900" ca="1">_xlfn.XLOOKUP(PAA_4[[#This Row],[RCP-RUBRO]],[2]!COMPROMISOS_2024[[#All],[concatenado]],[2]!COMPROMISOS_2024[[#All],[Total Comprometido]],"",0)</f>
        <v>#NAME?</v>
      </c>
      <c r="AL1900" s="47">
        <f>IF(PAA_4[[#This Row],[BOLSA]]=0,0,SUMIFS([2]!COMPROMISOS_2024[[#All],[Total Comprometido]],[2]!COMPROMISOS_2024[[#All],[Bolsa]],PAA_4[[#This Row],[BOLSA]],[2]!COMPROMISOS_2024[[#All],[concatenado]],PAA_4[[#This Row],[RCP-RUBRO]]))</f>
        <v>0</v>
      </c>
    </row>
    <row r="1901" spans="1:38" s="19" customFormat="1" ht="31.5" customHeight="1">
      <c r="A1901" s="47" t="s">
        <v>82</v>
      </c>
      <c r="B1901" s="47" t="s">
        <v>42</v>
      </c>
      <c r="C1901" s="47" t="str">
        <f>VLOOKUP(PAA_4[[#This Row],[PROYECTO (formulado)2]],[2]PROYECTOS!$G$1:$L$32,6,0)</f>
        <v>SUBGERENCIA DE ALTOS LOGROS Y DEPORTE ASOCIADO</v>
      </c>
      <c r="D1901" s="47" t="str">
        <f>+IF(PAA_4[[#This Row],[UNIDAD DE CONTRATACION (formulado)]]="Subgerencia Administrativa y Financiera","FUNCIONAMIENTO","INVERSIÓN")</f>
        <v>INVERSIÓN</v>
      </c>
      <c r="E1901" s="48" t="str">
        <f>VLOOKUP(Q1901,[2]PROYECTOS!$G$1:$K$32,5,0)</f>
        <v>Asesoria médica y de ciencias aplicadas al desarrollo del rendimiento deportivo de atletas y para-atletas de Antioquia</v>
      </c>
      <c r="F1901" s="48">
        <f>VLOOKUP(E1901,[2]PROYECTOS!$K$1:$M$32,3,0)</f>
        <v>2024003050103</v>
      </c>
      <c r="G1901" s="67" t="s">
        <v>1793</v>
      </c>
      <c r="H1901" s="49" t="str">
        <f>VLOOKUP(Q1901,[2]PROYECTOS!$V$1:$W$32,2,0)</f>
        <v>050080</v>
      </c>
      <c r="I1901" s="78">
        <v>8351834</v>
      </c>
      <c r="J1901" s="51" t="s">
        <v>1778</v>
      </c>
      <c r="K1901" s="47" t="str">
        <f t="shared" ca="1" si="602"/>
        <v>CONTRATADO</v>
      </c>
      <c r="L1901" s="47" t="s">
        <v>42</v>
      </c>
      <c r="M1901" s="51" t="s">
        <v>42</v>
      </c>
      <c r="N1901" s="52" t="s">
        <v>1796</v>
      </c>
      <c r="O1901" s="51" t="e">
        <f>VLOOKUP(N1901,[2]!RUBROS[#All],3,0)</f>
        <v>#REF!</v>
      </c>
      <c r="P1901" s="53" t="e">
        <f>VLOOKUP(N1901,[2]!RUBROS[#All],2,0)</f>
        <v>#REF!</v>
      </c>
      <c r="Q1901" s="47" t="str">
        <f t="shared" si="603"/>
        <v>03</v>
      </c>
      <c r="R1901" s="47" t="str">
        <f t="shared" si="604"/>
        <v>4-101124</v>
      </c>
      <c r="S1901" s="54" t="s">
        <v>42</v>
      </c>
      <c r="T1901" s="389" t="s">
        <v>42</v>
      </c>
      <c r="U1901" s="326" t="e">
        <f ca="1">_xlfn.XLOOKUP(PAA_4[[#This Row],[ITEM]],[2]Contrato!A:A,[2]Contrato!Q:Q,"",0)</f>
        <v>#NAME?</v>
      </c>
      <c r="V1901" s="47" t="s">
        <v>95</v>
      </c>
      <c r="W1901" s="370" t="s">
        <v>42</v>
      </c>
      <c r="X1901" s="370" t="s">
        <v>42</v>
      </c>
      <c r="Y1901" s="55" t="e">
        <f ca="1">_xlfn.XLOOKUP(PAA_4[[#This Row],[ITEM]],[2]Contrato!A:A,[2]Contrato!B:B,"",0)</f>
        <v>#NAME?</v>
      </c>
      <c r="Z1901" s="47" t="e">
        <f ca="1">_xlfn.XLOOKUP(PAA_4[[#This Row],[ITEM]],[2]Contrato!A:A,[2]Contrato!G:G,"",0)</f>
        <v>#NAME?</v>
      </c>
      <c r="AA1901" s="47" t="e">
        <f ca="1">_xlfn.XLOOKUP(PAA_4[[#This Row],[ITEM]],[2]Contrato!A:A,[2]Contrato!T:T,"",0)</f>
        <v>#NAME?</v>
      </c>
      <c r="AB1901" s="55" t="e">
        <f ca="1">+MAX(PAA_4[[#This Row],[Comprometido Contrato]],PAA_4[[#This Row],[Comprometido Bolsa]])</f>
        <v>#NAME?</v>
      </c>
      <c r="AC1901" s="55" t="str">
        <f t="shared" ca="1" si="605"/>
        <v/>
      </c>
      <c r="AD1901" s="55" t="e">
        <f ca="1">IF(PAA_4[[#This Row],[ESTADO (formulado)]]="NO CONTRATADO",0,MAX(PAA_4[[#This Row],[Pago por Contrato]],PAA_4[[#This Row],[Pago por bolsa]]))</f>
        <v>#NAME?</v>
      </c>
      <c r="AE1901" s="55" t="str">
        <f t="shared" ca="1" si="606"/>
        <v/>
      </c>
      <c r="AF1901" s="47" t="e">
        <f t="shared" ca="1" si="607"/>
        <v>#NAME?</v>
      </c>
      <c r="AG1901" s="47">
        <f t="shared" si="608"/>
        <v>52010804</v>
      </c>
      <c r="AH1901" s="54">
        <f>IF(Q1901="22",IF(ISNUMBER(SEARCH("econ",PAA_4[[#This Row],[Actividad3]])),"Económico",IF(ISNUMBER(SEARCH("alim",PAA_4[[#This Row],[Actividad3]])),"Alimentación",IF(ISNUMBER(SEARCH("educ",PAA_4[[#This Row],[Actividad3]])),"Educativo","Técnico"))),0)</f>
        <v>0</v>
      </c>
      <c r="AI1901" s="47" t="e" cm="1">
        <f t="array" aca="1" ref="AI1901" ca="1">_xlfn.XLOOKUP(PAA_4[[#This Row],[RCP-RUBRO]],[2]!COMPROMISOS_2024[[#All],[concatenado]],[2]!COMPROMISOS_2024[[#All],[Total pagado]],"",0)</f>
        <v>#NAME?</v>
      </c>
      <c r="AJ1901" s="56">
        <f>IF(PAA_4[[#This Row],[BOLSA]]=0,0,SUMIFS([2]!COMPROMISOS_2024[[#All],[Total pagado]],[2]!COMPROMISOS_2024[[#All],[Bolsa]],PAA_4[[#This Row],[BOLSA]],[2]!COMPROMISOS_2024[[#All],[rubro]],PAA_4[[#This Row],[RCP-RUBRO]]))</f>
        <v>0</v>
      </c>
      <c r="AK1901" s="47" t="e" cm="1">
        <f t="array" aca="1" ref="AK1901" ca="1">_xlfn.XLOOKUP(PAA_4[[#This Row],[RCP-RUBRO]],[2]!COMPROMISOS_2024[[#All],[concatenado]],[2]!COMPROMISOS_2024[[#All],[Total Comprometido]],"",0)</f>
        <v>#NAME?</v>
      </c>
      <c r="AL1901" s="47">
        <f>IF(PAA_4[[#This Row],[BOLSA]]=0,0,SUMIFS([2]!COMPROMISOS_2024[[#All],[Total Comprometido]],[2]!COMPROMISOS_2024[[#All],[Bolsa]],PAA_4[[#This Row],[BOLSA]],[2]!COMPROMISOS_2024[[#All],[concatenado]],PAA_4[[#This Row],[RCP-RUBRO]]))</f>
        <v>0</v>
      </c>
    </row>
    <row r="1902" spans="1:38" s="19" customFormat="1" ht="31.5" customHeight="1">
      <c r="A1902" s="47">
        <v>1032</v>
      </c>
      <c r="B1902" s="47">
        <v>80111600</v>
      </c>
      <c r="C1902" s="47" t="str">
        <f>VLOOKUP(PAA_4[[#This Row],[PROYECTO (formulado)2]],[2]PROYECTOS!$G$1:$L$32,6,0)</f>
        <v>SUBGERENCIA DE ALTOS LOGROS Y DEPORTE ASOCIADO</v>
      </c>
      <c r="D1902" s="47" t="str">
        <f>+IF(PAA_4[[#This Row],[UNIDAD DE CONTRATACION (formulado)]]="Subgerencia Administrativa y Financiera","FUNCIONAMIENTO","INVERSIÓN")</f>
        <v>INVERSIÓN</v>
      </c>
      <c r="E1902" s="48" t="str">
        <f>VLOOKUP(Q1902,[2]PROYECTOS!$G$1:$K$32,5,0)</f>
        <v>Asesoria médica y de ciencias aplicadas al desarrollo del rendimiento deportivo de atletas y para-atletas de Antioquia</v>
      </c>
      <c r="F1902" s="48">
        <f>VLOOKUP(E1902,[2]PROYECTOS!$K$1:$M$32,3,0)</f>
        <v>2024003050103</v>
      </c>
      <c r="G1902" s="67" t="s">
        <v>1793</v>
      </c>
      <c r="H1902" s="49" t="str">
        <f>VLOOKUP(Q1902,[2]PROYECTOS!$V$1:$W$32,2,0)</f>
        <v>050080</v>
      </c>
      <c r="I1902" s="78">
        <f>39185167-8351834-3946666</f>
        <v>26886667</v>
      </c>
      <c r="J1902" s="51" t="s">
        <v>1497</v>
      </c>
      <c r="K1902" s="47" t="str">
        <f t="shared" ca="1" si="602"/>
        <v>CONTRATADO</v>
      </c>
      <c r="L1902" s="47" t="s">
        <v>898</v>
      </c>
      <c r="M1902" s="51" t="s">
        <v>1297</v>
      </c>
      <c r="N1902" s="52" t="s">
        <v>1796</v>
      </c>
      <c r="O1902" s="51" t="e">
        <f>VLOOKUP(N1902,[2]!RUBROS[#All],3,0)</f>
        <v>#REF!</v>
      </c>
      <c r="P1902" s="53" t="e">
        <f>VLOOKUP(N1902,[2]!RUBROS[#All],2,0)</f>
        <v>#REF!</v>
      </c>
      <c r="Q1902" s="47" t="str">
        <f t="shared" si="603"/>
        <v>03</v>
      </c>
      <c r="R1902" s="47" t="str">
        <f t="shared" si="604"/>
        <v>4-101124</v>
      </c>
      <c r="S1902" s="54">
        <v>130</v>
      </c>
      <c r="T1902" s="390" t="s">
        <v>120</v>
      </c>
      <c r="U1902" s="326" t="e">
        <f ca="1">_xlfn.XLOOKUP(PAA_4[[#This Row],[ITEM]],[2]Contrato!A:A,[2]Contrato!Q:Q,"",0)</f>
        <v>#NAME?</v>
      </c>
      <c r="V1902" s="47" t="s">
        <v>95</v>
      </c>
      <c r="W1902" s="47" t="s">
        <v>194</v>
      </c>
      <c r="X1902" s="47" t="s">
        <v>203</v>
      </c>
      <c r="Y1902" s="55" t="e">
        <f ca="1">_xlfn.XLOOKUP(PAA_4[[#This Row],[ITEM]],[2]Contrato!A:A,[2]Contrato!B:B,"",0)</f>
        <v>#NAME?</v>
      </c>
      <c r="Z1902" s="47" t="e">
        <f ca="1">_xlfn.XLOOKUP(PAA_4[[#This Row],[ITEM]],[2]Contrato!A:A,[2]Contrato!G:G,"",0)</f>
        <v>#NAME?</v>
      </c>
      <c r="AA1902" s="47" t="e">
        <f ca="1">_xlfn.XLOOKUP(PAA_4[[#This Row],[ITEM]],[2]Contrato!A:A,[2]Contrato!T:T,"",0)</f>
        <v>#NAME?</v>
      </c>
      <c r="AB1902" s="55" t="e">
        <f ca="1">+MAX(PAA_4[[#This Row],[Comprometido Contrato]],PAA_4[[#This Row],[Comprometido Bolsa]])</f>
        <v>#NAME?</v>
      </c>
      <c r="AC1902" s="55" t="str">
        <f t="shared" ca="1" si="605"/>
        <v/>
      </c>
      <c r="AD1902" s="55" t="e">
        <f ca="1">IF(PAA_4[[#This Row],[ESTADO (formulado)]]="NO CONTRATADO",0,MAX(PAA_4[[#This Row],[Pago por Contrato]],PAA_4[[#This Row],[Pago por bolsa]]))</f>
        <v>#NAME?</v>
      </c>
      <c r="AE1902" s="55" t="str">
        <f t="shared" ca="1" si="606"/>
        <v/>
      </c>
      <c r="AF1902" s="47" t="e">
        <f t="shared" ca="1" si="607"/>
        <v>#NAME?</v>
      </c>
      <c r="AG1902" s="47">
        <f t="shared" si="608"/>
        <v>52010804</v>
      </c>
      <c r="AH1902" s="54">
        <f>IF(Q1902="22",IF(ISNUMBER(SEARCH("econ",PAA_4[[#This Row],[Actividad3]])),"Económico",IF(ISNUMBER(SEARCH("alim",PAA_4[[#This Row],[Actividad3]])),"Alimentación",IF(ISNUMBER(SEARCH("educ",PAA_4[[#This Row],[Actividad3]])),"Educativo","Técnico"))),0)</f>
        <v>0</v>
      </c>
      <c r="AI1902" s="47" t="e" cm="1">
        <f t="array" aca="1" ref="AI1902" ca="1">_xlfn.XLOOKUP(PAA_4[[#This Row],[RCP-RUBRO]],[2]!COMPROMISOS_2024[[#All],[concatenado]],[2]!COMPROMISOS_2024[[#All],[Total pagado]],"",0)</f>
        <v>#NAME?</v>
      </c>
      <c r="AJ1902" s="56">
        <f>IF(PAA_4[[#This Row],[BOLSA]]=0,0,SUMIFS([2]!COMPROMISOS_2024[[#All],[Total pagado]],[2]!COMPROMISOS_2024[[#All],[Bolsa]],PAA_4[[#This Row],[BOLSA]],[2]!COMPROMISOS_2024[[#All],[rubro]],PAA_4[[#This Row],[RCP-RUBRO]]))</f>
        <v>0</v>
      </c>
      <c r="AK1902" s="47" t="e" cm="1">
        <f t="array" aca="1" ref="AK1902" ca="1">_xlfn.XLOOKUP(PAA_4[[#This Row],[RCP-RUBRO]],[2]!COMPROMISOS_2024[[#All],[concatenado]],[2]!COMPROMISOS_2024[[#All],[Total Comprometido]],"",0)</f>
        <v>#NAME?</v>
      </c>
      <c r="AL1902" s="47">
        <f>IF(PAA_4[[#This Row],[BOLSA]]=0,0,SUMIFS([2]!COMPROMISOS_2024[[#All],[Total Comprometido]],[2]!COMPROMISOS_2024[[#All],[Bolsa]],PAA_4[[#This Row],[BOLSA]],[2]!COMPROMISOS_2024[[#All],[concatenado]],PAA_4[[#This Row],[RCP-RUBRO]]))</f>
        <v>0</v>
      </c>
    </row>
    <row r="1903" spans="1:38" s="19" customFormat="1" ht="31.5" customHeight="1">
      <c r="A1903" s="47" t="s">
        <v>82</v>
      </c>
      <c r="B1903" s="47" t="s">
        <v>42</v>
      </c>
      <c r="C1903" s="47" t="str">
        <f>VLOOKUP(PAA_4[[#This Row],[PROYECTO (formulado)2]],[2]PROYECTOS!$G$1:$L$32,6,0)</f>
        <v>SUBGERENCIA DE ALTOS LOGROS Y DEPORTE ASOCIADO</v>
      </c>
      <c r="D1903" s="47" t="str">
        <f>+IF(PAA_4[[#This Row],[UNIDAD DE CONTRATACION (formulado)]]="Subgerencia Administrativa y Financiera","FUNCIONAMIENTO","INVERSIÓN")</f>
        <v>INVERSIÓN</v>
      </c>
      <c r="E1903" s="48" t="str">
        <f>VLOOKUP(Q1903,[2]PROYECTOS!$G$1:$K$32,5,0)</f>
        <v>Asesoria médica y de ciencias aplicadas al desarrollo del rendimiento deportivo de atletas y para-atletas de Antioquia</v>
      </c>
      <c r="F1903" s="48">
        <f>VLOOKUP(E1903,[2]PROYECTOS!$K$1:$M$32,3,0)</f>
        <v>2024003050103</v>
      </c>
      <c r="G1903" s="67" t="s">
        <v>1793</v>
      </c>
      <c r="H1903" s="49" t="str">
        <f>VLOOKUP(Q1903,[2]PROYECTOS!$V$1:$W$32,2,0)</f>
        <v>050080</v>
      </c>
      <c r="I1903" s="78">
        <v>5281745</v>
      </c>
      <c r="J1903" s="51" t="s">
        <v>1778</v>
      </c>
      <c r="K1903" s="47" t="str">
        <f t="shared" ca="1" si="602"/>
        <v>CONTRATADO</v>
      </c>
      <c r="L1903" s="47" t="s">
        <v>42</v>
      </c>
      <c r="M1903" s="51" t="s">
        <v>42</v>
      </c>
      <c r="N1903" s="52" t="s">
        <v>1796</v>
      </c>
      <c r="O1903" s="51" t="e">
        <f>VLOOKUP(N1903,[2]!RUBROS[#All],3,0)</f>
        <v>#REF!</v>
      </c>
      <c r="P1903" s="53" t="e">
        <f>VLOOKUP(N1903,[2]!RUBROS[#All],2,0)</f>
        <v>#REF!</v>
      </c>
      <c r="Q1903" s="47" t="str">
        <f t="shared" si="603"/>
        <v>03</v>
      </c>
      <c r="R1903" s="47" t="str">
        <f t="shared" si="604"/>
        <v>4-101124</v>
      </c>
      <c r="S1903" s="54" t="s">
        <v>42</v>
      </c>
      <c r="T1903" s="389" t="s">
        <v>42</v>
      </c>
      <c r="U1903" s="326" t="e">
        <f ca="1">_xlfn.XLOOKUP(PAA_4[[#This Row],[ITEM]],[2]Contrato!A:A,[2]Contrato!Q:Q,"",0)</f>
        <v>#NAME?</v>
      </c>
      <c r="V1903" s="47" t="s">
        <v>95</v>
      </c>
      <c r="W1903" s="370" t="s">
        <v>42</v>
      </c>
      <c r="X1903" s="370" t="s">
        <v>42</v>
      </c>
      <c r="Y1903" s="55" t="e">
        <f ca="1">_xlfn.XLOOKUP(PAA_4[[#This Row],[ITEM]],[2]Contrato!A:A,[2]Contrato!B:B,"",0)</f>
        <v>#NAME?</v>
      </c>
      <c r="Z1903" s="47" t="e">
        <f ca="1">_xlfn.XLOOKUP(PAA_4[[#This Row],[ITEM]],[2]Contrato!A:A,[2]Contrato!G:G,"",0)</f>
        <v>#NAME?</v>
      </c>
      <c r="AA1903" s="47" t="e">
        <f ca="1">_xlfn.XLOOKUP(PAA_4[[#This Row],[ITEM]],[2]Contrato!A:A,[2]Contrato!T:T,"",0)</f>
        <v>#NAME?</v>
      </c>
      <c r="AB1903" s="55" t="e">
        <f ca="1">+MAX(PAA_4[[#This Row],[Comprometido Contrato]],PAA_4[[#This Row],[Comprometido Bolsa]])</f>
        <v>#NAME?</v>
      </c>
      <c r="AC1903" s="55" t="str">
        <f t="shared" ca="1" si="605"/>
        <v/>
      </c>
      <c r="AD1903" s="55" t="e">
        <f ca="1">IF(PAA_4[[#This Row],[ESTADO (formulado)]]="NO CONTRATADO",0,MAX(PAA_4[[#This Row],[Pago por Contrato]],PAA_4[[#This Row],[Pago por bolsa]]))</f>
        <v>#NAME?</v>
      </c>
      <c r="AE1903" s="55" t="str">
        <f t="shared" ca="1" si="606"/>
        <v/>
      </c>
      <c r="AF1903" s="47" t="e">
        <f t="shared" ca="1" si="607"/>
        <v>#NAME?</v>
      </c>
      <c r="AG1903" s="47">
        <f t="shared" si="608"/>
        <v>52010804</v>
      </c>
      <c r="AH1903" s="54">
        <f>IF(Q1903="22",IF(ISNUMBER(SEARCH("econ",PAA_4[[#This Row],[Actividad3]])),"Económico",IF(ISNUMBER(SEARCH("alim",PAA_4[[#This Row],[Actividad3]])),"Alimentación",IF(ISNUMBER(SEARCH("educ",PAA_4[[#This Row],[Actividad3]])),"Educativo","Técnico"))),0)</f>
        <v>0</v>
      </c>
      <c r="AI1903" s="47" t="e" cm="1">
        <f t="array" aca="1" ref="AI1903" ca="1">_xlfn.XLOOKUP(PAA_4[[#This Row],[RCP-RUBRO]],[2]!COMPROMISOS_2024[[#All],[concatenado]],[2]!COMPROMISOS_2024[[#All],[Total pagado]],"",0)</f>
        <v>#NAME?</v>
      </c>
      <c r="AJ1903" s="56">
        <f>IF(PAA_4[[#This Row],[BOLSA]]=0,0,SUMIFS([2]!COMPROMISOS_2024[[#All],[Total pagado]],[2]!COMPROMISOS_2024[[#All],[Bolsa]],PAA_4[[#This Row],[BOLSA]],[2]!COMPROMISOS_2024[[#All],[rubro]],PAA_4[[#This Row],[RCP-RUBRO]]))</f>
        <v>0</v>
      </c>
      <c r="AK1903" s="47" t="e" cm="1">
        <f t="array" aca="1" ref="AK1903" ca="1">_xlfn.XLOOKUP(PAA_4[[#This Row],[RCP-RUBRO]],[2]!COMPROMISOS_2024[[#All],[concatenado]],[2]!COMPROMISOS_2024[[#All],[Total Comprometido]],"",0)</f>
        <v>#NAME?</v>
      </c>
      <c r="AL1903" s="47">
        <f>IF(PAA_4[[#This Row],[BOLSA]]=0,0,SUMIFS([2]!COMPROMISOS_2024[[#All],[Total Comprometido]],[2]!COMPROMISOS_2024[[#All],[Bolsa]],PAA_4[[#This Row],[BOLSA]],[2]!COMPROMISOS_2024[[#All],[concatenado]],PAA_4[[#This Row],[RCP-RUBRO]]))</f>
        <v>0</v>
      </c>
    </row>
    <row r="1904" spans="1:38" s="19" customFormat="1" ht="31.5" customHeight="1">
      <c r="A1904" s="47">
        <v>1033</v>
      </c>
      <c r="B1904" s="47">
        <v>80111600</v>
      </c>
      <c r="C1904" s="47" t="str">
        <f>VLOOKUP(PAA_4[[#This Row],[PROYECTO (formulado)2]],[2]PROYECTOS!$G$1:$L$32,6,0)</f>
        <v>SUBGERENCIA DE ALTOS LOGROS Y DEPORTE ASOCIADO</v>
      </c>
      <c r="D1904" s="47" t="str">
        <f>+IF(PAA_4[[#This Row],[UNIDAD DE CONTRATACION (formulado)]]="Subgerencia Administrativa y Financiera","FUNCIONAMIENTO","INVERSIÓN")</f>
        <v>INVERSIÓN</v>
      </c>
      <c r="E1904" s="48" t="str">
        <f>VLOOKUP(Q1904,[2]PROYECTOS!$G$1:$K$32,5,0)</f>
        <v>Asesoria médica y de ciencias aplicadas al desarrollo del rendimiento deportivo de atletas y para-atletas de Antioquia</v>
      </c>
      <c r="F1904" s="48">
        <f>VLOOKUP(E1904,[2]PROYECTOS!$K$1:$M$32,3,0)</f>
        <v>2024003050103</v>
      </c>
      <c r="G1904" s="67" t="s">
        <v>1793</v>
      </c>
      <c r="H1904" s="49" t="str">
        <f>VLOOKUP(Q1904,[2]PROYECTOS!$V$1:$W$32,2,0)</f>
        <v>050080</v>
      </c>
      <c r="I1904" s="78">
        <f>36812668-5281745-4614281</f>
        <v>26916642</v>
      </c>
      <c r="J1904" s="51" t="s">
        <v>2130</v>
      </c>
      <c r="K1904" s="47" t="str">
        <f t="shared" ca="1" si="602"/>
        <v>CONTRATADO</v>
      </c>
      <c r="L1904" s="47" t="s">
        <v>898</v>
      </c>
      <c r="M1904" s="51" t="s">
        <v>1297</v>
      </c>
      <c r="N1904" s="52" t="s">
        <v>1796</v>
      </c>
      <c r="O1904" s="51" t="e">
        <f>VLOOKUP(N1904,[2]!RUBROS[#All],3,0)</f>
        <v>#REF!</v>
      </c>
      <c r="P1904" s="53" t="e">
        <f>VLOOKUP(N1904,[2]!RUBROS[#All],2,0)</f>
        <v>#REF!</v>
      </c>
      <c r="Q1904" s="47" t="str">
        <f t="shared" si="603"/>
        <v>03</v>
      </c>
      <c r="R1904" s="47" t="str">
        <f t="shared" si="604"/>
        <v>4-101124</v>
      </c>
      <c r="S1904" s="54">
        <v>128</v>
      </c>
      <c r="T1904" s="390" t="s">
        <v>120</v>
      </c>
      <c r="U1904" s="326" t="e">
        <f ca="1">_xlfn.XLOOKUP(PAA_4[[#This Row],[ITEM]],[2]Contrato!A:A,[2]Contrato!Q:Q,"",0)</f>
        <v>#NAME?</v>
      </c>
      <c r="V1904" s="47" t="s">
        <v>95</v>
      </c>
      <c r="W1904" s="47" t="s">
        <v>194</v>
      </c>
      <c r="X1904" s="47" t="s">
        <v>203</v>
      </c>
      <c r="Y1904" s="55" t="e">
        <f ca="1">_xlfn.XLOOKUP(PAA_4[[#This Row],[ITEM]],[2]Contrato!A:A,[2]Contrato!B:B,"",0)</f>
        <v>#NAME?</v>
      </c>
      <c r="Z1904" s="47" t="e">
        <f ca="1">_xlfn.XLOOKUP(PAA_4[[#This Row],[ITEM]],[2]Contrato!A:A,[2]Contrato!G:G,"",0)</f>
        <v>#NAME?</v>
      </c>
      <c r="AA1904" s="47" t="e">
        <f ca="1">_xlfn.XLOOKUP(PAA_4[[#This Row],[ITEM]],[2]Contrato!A:A,[2]Contrato!T:T,"",0)</f>
        <v>#NAME?</v>
      </c>
      <c r="AB1904" s="55" t="e">
        <f ca="1">+MAX(PAA_4[[#This Row],[Comprometido Contrato]],PAA_4[[#This Row],[Comprometido Bolsa]])</f>
        <v>#NAME?</v>
      </c>
      <c r="AC1904" s="55" t="str">
        <f t="shared" ca="1" si="605"/>
        <v/>
      </c>
      <c r="AD1904" s="55" t="e">
        <f ca="1">IF(PAA_4[[#This Row],[ESTADO (formulado)]]="NO CONTRATADO",0,MAX(PAA_4[[#This Row],[Pago por Contrato]],PAA_4[[#This Row],[Pago por bolsa]]))</f>
        <v>#NAME?</v>
      </c>
      <c r="AE1904" s="55" t="str">
        <f t="shared" ca="1" si="606"/>
        <v/>
      </c>
      <c r="AF1904" s="47" t="e">
        <f t="shared" ca="1" si="607"/>
        <v>#NAME?</v>
      </c>
      <c r="AG1904" s="47">
        <f t="shared" si="608"/>
        <v>52010804</v>
      </c>
      <c r="AH1904" s="54">
        <f>IF(Q1904="22",IF(ISNUMBER(SEARCH("econ",PAA_4[[#This Row],[Actividad3]])),"Económico",IF(ISNUMBER(SEARCH("alim",PAA_4[[#This Row],[Actividad3]])),"Alimentación",IF(ISNUMBER(SEARCH("educ",PAA_4[[#This Row],[Actividad3]])),"Educativo","Técnico"))),0)</f>
        <v>0</v>
      </c>
      <c r="AI1904" s="47" t="e" cm="1">
        <f t="array" aca="1" ref="AI1904" ca="1">_xlfn.XLOOKUP(PAA_4[[#This Row],[RCP-RUBRO]],[2]!COMPROMISOS_2024[[#All],[concatenado]],[2]!COMPROMISOS_2024[[#All],[Total pagado]],"",0)</f>
        <v>#NAME?</v>
      </c>
      <c r="AJ1904" s="56">
        <f>IF(PAA_4[[#This Row],[BOLSA]]=0,0,SUMIFS([2]!COMPROMISOS_2024[[#All],[Total pagado]],[2]!COMPROMISOS_2024[[#All],[Bolsa]],PAA_4[[#This Row],[BOLSA]],[2]!COMPROMISOS_2024[[#All],[rubro]],PAA_4[[#This Row],[RCP-RUBRO]]))</f>
        <v>0</v>
      </c>
      <c r="AK1904" s="47" t="e" cm="1">
        <f t="array" aca="1" ref="AK1904" ca="1">_xlfn.XLOOKUP(PAA_4[[#This Row],[RCP-RUBRO]],[2]!COMPROMISOS_2024[[#All],[concatenado]],[2]!COMPROMISOS_2024[[#All],[Total Comprometido]],"",0)</f>
        <v>#NAME?</v>
      </c>
      <c r="AL1904" s="47">
        <f>IF(PAA_4[[#This Row],[BOLSA]]=0,0,SUMIFS([2]!COMPROMISOS_2024[[#All],[Total Comprometido]],[2]!COMPROMISOS_2024[[#All],[Bolsa]],PAA_4[[#This Row],[BOLSA]],[2]!COMPROMISOS_2024[[#All],[concatenado]],PAA_4[[#This Row],[RCP-RUBRO]]))</f>
        <v>0</v>
      </c>
    </row>
    <row r="1905" spans="1:38" s="19" customFormat="1" ht="31.5" customHeight="1">
      <c r="A1905" s="47">
        <v>1093</v>
      </c>
      <c r="B1905" s="47">
        <v>80111600</v>
      </c>
      <c r="C1905" s="47" t="str">
        <f>VLOOKUP(PAA_4[[#This Row],[PROYECTO (formulado)2]],[2]PROYECTOS!$G$1:$L$32,6,0)</f>
        <v>SUBGERENCIA DE ALTOS LOGROS Y DEPORTE ASOCIADO</v>
      </c>
      <c r="D1905" s="47" t="str">
        <f>+IF(PAA_4[[#This Row],[UNIDAD DE CONTRATACION (formulado)]]="Subgerencia Administrativa y Financiera","FUNCIONAMIENTO","INVERSIÓN")</f>
        <v>INVERSIÓN</v>
      </c>
      <c r="E1905" s="48" t="str">
        <f>VLOOKUP(Q1905,[2]PROYECTOS!$G$1:$K$32,5,0)</f>
        <v>Apoyo técnico a atletas y para-atletas que representan en alto rendimiento deportivo al departamento de Antioquia</v>
      </c>
      <c r="F1905" s="48">
        <f>VLOOKUP(E1905,[2]PROYECTOS!$K$1:$M$32,3,0)</f>
        <v>2024003050084</v>
      </c>
      <c r="G1905" s="67" t="s">
        <v>1518</v>
      </c>
      <c r="H1905" s="49" t="str">
        <f>VLOOKUP(Q1905,[2]PROYECTOS!$V$1:$W$32,2,0)</f>
        <v>050079</v>
      </c>
      <c r="I1905" s="78">
        <f>12252384-395238</f>
        <v>11857146</v>
      </c>
      <c r="J1905" s="51" t="s">
        <v>2080</v>
      </c>
      <c r="K1905" s="47" t="str">
        <f t="shared" ca="1" si="602"/>
        <v>CONTRATADO</v>
      </c>
      <c r="L1905" s="47" t="s">
        <v>898</v>
      </c>
      <c r="M1905" s="51" t="s">
        <v>1297</v>
      </c>
      <c r="N1905" s="52" t="s">
        <v>1519</v>
      </c>
      <c r="O1905" s="51" t="e">
        <f>VLOOKUP(N1905,[2]!RUBROS[#All],3,0)</f>
        <v>#REF!</v>
      </c>
      <c r="P1905" s="53" t="e">
        <f>VLOOKUP(N1905,[2]!RUBROS[#All],2,0)</f>
        <v>#REF!</v>
      </c>
      <c r="Q1905" s="47" t="str">
        <f t="shared" si="603"/>
        <v>84</v>
      </c>
      <c r="R1905" s="47" t="str">
        <f t="shared" si="604"/>
        <v>0-205400</v>
      </c>
      <c r="S1905" s="339">
        <v>93</v>
      </c>
      <c r="T1905" s="63" t="s">
        <v>120</v>
      </c>
      <c r="U1905" s="326" t="e">
        <f ca="1">_xlfn.XLOOKUP(PAA_4[[#This Row],[ITEM]],[2]Contrato!A:A,[2]Contrato!Q:Q,"",0)</f>
        <v>#NAME?</v>
      </c>
      <c r="V1905" s="47" t="s">
        <v>95</v>
      </c>
      <c r="W1905" s="47" t="s">
        <v>194</v>
      </c>
      <c r="X1905" s="47" t="s">
        <v>203</v>
      </c>
      <c r="Y1905" s="55" t="e">
        <f ca="1">_xlfn.XLOOKUP(PAA_4[[#This Row],[ITEM]],[2]Contrato!A:A,[2]Contrato!B:B,"",0)</f>
        <v>#NAME?</v>
      </c>
      <c r="Z1905" s="47" t="e">
        <f ca="1">_xlfn.XLOOKUP(PAA_4[[#This Row],[ITEM]],[2]Contrato!A:A,[2]Contrato!G:G,"",0)</f>
        <v>#NAME?</v>
      </c>
      <c r="AA1905" s="47" t="e">
        <f ca="1">_xlfn.XLOOKUP(PAA_4[[#This Row],[ITEM]],[2]Contrato!A:A,[2]Contrato!T:T,"",0)</f>
        <v>#NAME?</v>
      </c>
      <c r="AB1905" s="55" t="e">
        <f ca="1">+MAX(PAA_4[[#This Row],[Comprometido Contrato]],PAA_4[[#This Row],[Comprometido Bolsa]])</f>
        <v>#NAME?</v>
      </c>
      <c r="AC1905" s="55" t="str">
        <f t="shared" ca="1" si="605"/>
        <v/>
      </c>
      <c r="AD1905" s="55" t="e">
        <f ca="1">IF(PAA_4[[#This Row],[ESTADO (formulado)]]="NO CONTRATADO",0,MAX(PAA_4[[#This Row],[Pago por Contrato]],PAA_4[[#This Row],[Pago por bolsa]]))</f>
        <v>#NAME?</v>
      </c>
      <c r="AE1905" s="55" t="str">
        <f t="shared" ca="1" si="606"/>
        <v/>
      </c>
      <c r="AF1905" s="47" t="e">
        <f t="shared" ca="1" si="607"/>
        <v>#NAME?</v>
      </c>
      <c r="AG1905" s="47">
        <f t="shared" si="608"/>
        <v>52010802</v>
      </c>
      <c r="AH1905" s="54">
        <f>IF(Q1905="22",IF(ISNUMBER(SEARCH("econ",PAA_4[[#This Row],[Actividad3]])),"Económico",IF(ISNUMBER(SEARCH("alim",PAA_4[[#This Row],[Actividad3]])),"Alimentación",IF(ISNUMBER(SEARCH("educ",PAA_4[[#This Row],[Actividad3]])),"Educativo","Técnico"))),0)</f>
        <v>0</v>
      </c>
      <c r="AI1905" s="47" t="e" cm="1">
        <f t="array" aca="1" ref="AI1905" ca="1">_xlfn.XLOOKUP(PAA_4[[#This Row],[RCP-RUBRO]],[2]!COMPROMISOS_2024[[#All],[concatenado]],[2]!COMPROMISOS_2024[[#All],[Total pagado]],"",0)</f>
        <v>#NAME?</v>
      </c>
      <c r="AJ1905" s="56">
        <f>IF(PAA_4[[#This Row],[BOLSA]]=0,0,SUMIFS([2]!COMPROMISOS_2024[[#All],[Total pagado]],[2]!COMPROMISOS_2024[[#All],[Bolsa]],PAA_4[[#This Row],[BOLSA]],[2]!COMPROMISOS_2024[[#All],[rubro]],PAA_4[[#This Row],[RCP-RUBRO]]))</f>
        <v>0</v>
      </c>
      <c r="AK1905" s="47" t="e" cm="1">
        <f t="array" aca="1" ref="AK1905" ca="1">_xlfn.XLOOKUP(PAA_4[[#This Row],[RCP-RUBRO]],[2]!COMPROMISOS_2024[[#All],[concatenado]],[2]!COMPROMISOS_2024[[#All],[Total Comprometido]],"",0)</f>
        <v>#NAME?</v>
      </c>
      <c r="AL1905" s="47">
        <f>IF(PAA_4[[#This Row],[BOLSA]]=0,0,SUMIFS([2]!COMPROMISOS_2024[[#All],[Total Comprometido]],[2]!COMPROMISOS_2024[[#All],[Bolsa]],PAA_4[[#This Row],[BOLSA]],[2]!COMPROMISOS_2024[[#All],[concatenado]],PAA_4[[#This Row],[RCP-RUBRO]]))</f>
        <v>0</v>
      </c>
    </row>
    <row r="1906" spans="1:38" s="19" customFormat="1" ht="31.5" customHeight="1">
      <c r="A1906" s="47">
        <v>1094</v>
      </c>
      <c r="B1906" s="47">
        <v>80111600</v>
      </c>
      <c r="C1906" s="47" t="str">
        <f>VLOOKUP(PAA_4[[#This Row],[PROYECTO (formulado)2]],[2]PROYECTOS!$G$1:$L$32,6,0)</f>
        <v>SUBGERENCIA DE ALTOS LOGROS Y DEPORTE ASOCIADO</v>
      </c>
      <c r="D1906" s="47" t="str">
        <f>+IF(PAA_4[[#This Row],[UNIDAD DE CONTRATACION (formulado)]]="Subgerencia Administrativa y Financiera","FUNCIONAMIENTO","INVERSIÓN")</f>
        <v>INVERSIÓN</v>
      </c>
      <c r="E1906" s="48" t="str">
        <f>VLOOKUP(Q1906,[2]PROYECTOS!$G$1:$K$32,5,0)</f>
        <v>Apoyo técnico a atletas y para-atletas que representan en alto rendimiento deportivo al departamento de Antioquia</v>
      </c>
      <c r="F1906" s="48">
        <f>VLOOKUP(E1906,[2]PROYECTOS!$K$1:$M$32,3,0)</f>
        <v>2024003050084</v>
      </c>
      <c r="G1906" s="67" t="s">
        <v>1518</v>
      </c>
      <c r="H1906" s="49" t="str">
        <f>VLOOKUP(Q1906,[2]PROYECTOS!$V$1:$W$32,2,0)</f>
        <v>050079</v>
      </c>
      <c r="I1906" s="78">
        <f>15217702-490894</f>
        <v>14726808</v>
      </c>
      <c r="J1906" s="51" t="s">
        <v>2131</v>
      </c>
      <c r="K1906" s="47" t="str">
        <f t="shared" ca="1" si="602"/>
        <v>CONTRATADO</v>
      </c>
      <c r="L1906" s="47" t="s">
        <v>898</v>
      </c>
      <c r="M1906" s="51" t="s">
        <v>1297</v>
      </c>
      <c r="N1906" s="52" t="s">
        <v>1519</v>
      </c>
      <c r="O1906" s="51" t="e">
        <f>VLOOKUP(N1906,[2]!RUBROS[#All],3,0)</f>
        <v>#REF!</v>
      </c>
      <c r="P1906" s="53" t="e">
        <f>VLOOKUP(N1906,[2]!RUBROS[#All],2,0)</f>
        <v>#REF!</v>
      </c>
      <c r="Q1906" s="47" t="str">
        <f t="shared" si="603"/>
        <v>84</v>
      </c>
      <c r="R1906" s="47" t="str">
        <f t="shared" si="604"/>
        <v>0-205400</v>
      </c>
      <c r="S1906" s="339">
        <v>93</v>
      </c>
      <c r="T1906" s="63" t="s">
        <v>120</v>
      </c>
      <c r="U1906" s="326" t="e">
        <f ca="1">_xlfn.XLOOKUP(PAA_4[[#This Row],[ITEM]],[2]Contrato!A:A,[2]Contrato!Q:Q,"",0)</f>
        <v>#NAME?</v>
      </c>
      <c r="V1906" s="47" t="s">
        <v>95</v>
      </c>
      <c r="W1906" s="47" t="s">
        <v>194</v>
      </c>
      <c r="X1906" s="47" t="s">
        <v>203</v>
      </c>
      <c r="Y1906" s="55" t="e">
        <f ca="1">_xlfn.XLOOKUP(PAA_4[[#This Row],[ITEM]],[2]Contrato!A:A,[2]Contrato!B:B,"",0)</f>
        <v>#NAME?</v>
      </c>
      <c r="Z1906" s="47" t="e">
        <f ca="1">_xlfn.XLOOKUP(PAA_4[[#This Row],[ITEM]],[2]Contrato!A:A,[2]Contrato!G:G,"",0)</f>
        <v>#NAME?</v>
      </c>
      <c r="AA1906" s="47" t="e">
        <f ca="1">_xlfn.XLOOKUP(PAA_4[[#This Row],[ITEM]],[2]Contrato!A:A,[2]Contrato!T:T,"",0)</f>
        <v>#NAME?</v>
      </c>
      <c r="AB1906" s="55" t="e">
        <f ca="1">+MAX(PAA_4[[#This Row],[Comprometido Contrato]],PAA_4[[#This Row],[Comprometido Bolsa]])</f>
        <v>#NAME?</v>
      </c>
      <c r="AC1906" s="55" t="str">
        <f t="shared" ca="1" si="605"/>
        <v/>
      </c>
      <c r="AD1906" s="55" t="e">
        <f ca="1">IF(PAA_4[[#This Row],[ESTADO (formulado)]]="NO CONTRATADO",0,MAX(PAA_4[[#This Row],[Pago por Contrato]],PAA_4[[#This Row],[Pago por bolsa]]))</f>
        <v>#NAME?</v>
      </c>
      <c r="AE1906" s="55" t="str">
        <f t="shared" ca="1" si="606"/>
        <v/>
      </c>
      <c r="AF1906" s="47" t="e">
        <f t="shared" ca="1" si="607"/>
        <v>#NAME?</v>
      </c>
      <c r="AG1906" s="47">
        <f t="shared" si="608"/>
        <v>52010802</v>
      </c>
      <c r="AH1906" s="54">
        <f>IF(Q1906="22",IF(ISNUMBER(SEARCH("econ",PAA_4[[#This Row],[Actividad3]])),"Económico",IF(ISNUMBER(SEARCH("alim",PAA_4[[#This Row],[Actividad3]])),"Alimentación",IF(ISNUMBER(SEARCH("educ",PAA_4[[#This Row],[Actividad3]])),"Educativo","Técnico"))),0)</f>
        <v>0</v>
      </c>
      <c r="AI1906" s="47" t="e" cm="1">
        <f t="array" aca="1" ref="AI1906" ca="1">_xlfn.XLOOKUP(PAA_4[[#This Row],[RCP-RUBRO]],[2]!COMPROMISOS_2024[[#All],[concatenado]],[2]!COMPROMISOS_2024[[#All],[Total pagado]],"",0)</f>
        <v>#NAME?</v>
      </c>
      <c r="AJ1906" s="56">
        <f>IF(PAA_4[[#This Row],[BOLSA]]=0,0,SUMIFS([2]!COMPROMISOS_2024[[#All],[Total pagado]],[2]!COMPROMISOS_2024[[#All],[Bolsa]],PAA_4[[#This Row],[BOLSA]],[2]!COMPROMISOS_2024[[#All],[rubro]],PAA_4[[#This Row],[RCP-RUBRO]]))</f>
        <v>0</v>
      </c>
      <c r="AK1906" s="47" t="e" cm="1">
        <f t="array" aca="1" ref="AK1906" ca="1">_xlfn.XLOOKUP(PAA_4[[#This Row],[RCP-RUBRO]],[2]!COMPROMISOS_2024[[#All],[concatenado]],[2]!COMPROMISOS_2024[[#All],[Total Comprometido]],"",0)</f>
        <v>#NAME?</v>
      </c>
      <c r="AL1906" s="47">
        <f>IF(PAA_4[[#This Row],[BOLSA]]=0,0,SUMIFS([2]!COMPROMISOS_2024[[#All],[Total Comprometido]],[2]!COMPROMISOS_2024[[#All],[Bolsa]],PAA_4[[#This Row],[BOLSA]],[2]!COMPROMISOS_2024[[#All],[concatenado]],PAA_4[[#This Row],[RCP-RUBRO]]))</f>
        <v>0</v>
      </c>
    </row>
    <row r="1907" spans="1:38" s="19" customFormat="1" ht="31.5" customHeight="1">
      <c r="A1907" s="47">
        <v>1095</v>
      </c>
      <c r="B1907" s="47">
        <v>80111600</v>
      </c>
      <c r="C1907" s="47" t="str">
        <f>VLOOKUP(PAA_4[[#This Row],[PROYECTO (formulado)2]],[2]PROYECTOS!$G$1:$L$32,6,0)</f>
        <v>SUBGERENCIA DE ALTOS LOGROS Y DEPORTE ASOCIADO</v>
      </c>
      <c r="D1907" s="47" t="str">
        <f>+IF(PAA_4[[#This Row],[UNIDAD DE CONTRATACION (formulado)]]="Subgerencia Administrativa y Financiera","FUNCIONAMIENTO","INVERSIÓN")</f>
        <v>INVERSIÓN</v>
      </c>
      <c r="E1907" s="48" t="str">
        <f>VLOOKUP(Q1907,[2]PROYECTOS!$G$1:$K$32,5,0)</f>
        <v>Apoyo técnico a atletas y para-atletas que representan en alto rendimiento deportivo al departamento de Antioquia</v>
      </c>
      <c r="F1907" s="48">
        <f>VLOOKUP(E1907,[2]PROYECTOS!$K$1:$M$32,3,0)</f>
        <v>2024003050084</v>
      </c>
      <c r="G1907" s="67" t="s">
        <v>1518</v>
      </c>
      <c r="H1907" s="49" t="str">
        <f>VLOOKUP(Q1907,[2]PROYECTOS!$V$1:$W$32,2,0)</f>
        <v>050079</v>
      </c>
      <c r="I1907" s="78">
        <f>18386562-593115</f>
        <v>17793447</v>
      </c>
      <c r="J1907" s="51" t="s">
        <v>2131</v>
      </c>
      <c r="K1907" s="47" t="str">
        <f t="shared" ca="1" si="602"/>
        <v>CONTRATADO</v>
      </c>
      <c r="L1907" s="47" t="s">
        <v>898</v>
      </c>
      <c r="M1907" s="51" t="s">
        <v>1297</v>
      </c>
      <c r="N1907" s="52" t="s">
        <v>1519</v>
      </c>
      <c r="O1907" s="51" t="e">
        <f>VLOOKUP(N1907,[2]!RUBROS[#All],3,0)</f>
        <v>#REF!</v>
      </c>
      <c r="P1907" s="53" t="e">
        <f>VLOOKUP(N1907,[2]!RUBROS[#All],2,0)</f>
        <v>#REF!</v>
      </c>
      <c r="Q1907" s="47" t="str">
        <f t="shared" si="603"/>
        <v>84</v>
      </c>
      <c r="R1907" s="47" t="str">
        <f t="shared" si="604"/>
        <v>0-205400</v>
      </c>
      <c r="S1907" s="339">
        <v>93</v>
      </c>
      <c r="T1907" s="63" t="s">
        <v>120</v>
      </c>
      <c r="U1907" s="326" t="e">
        <f ca="1">_xlfn.XLOOKUP(PAA_4[[#This Row],[ITEM]],[2]Contrato!A:A,[2]Contrato!Q:Q,"",0)</f>
        <v>#NAME?</v>
      </c>
      <c r="V1907" s="47" t="s">
        <v>95</v>
      </c>
      <c r="W1907" s="47" t="s">
        <v>194</v>
      </c>
      <c r="X1907" s="47" t="s">
        <v>203</v>
      </c>
      <c r="Y1907" s="55" t="e">
        <f ca="1">_xlfn.XLOOKUP(PAA_4[[#This Row],[ITEM]],[2]Contrato!A:A,[2]Contrato!B:B,"",0)</f>
        <v>#NAME?</v>
      </c>
      <c r="Z1907" s="47" t="e">
        <f ca="1">_xlfn.XLOOKUP(PAA_4[[#This Row],[ITEM]],[2]Contrato!A:A,[2]Contrato!G:G,"",0)</f>
        <v>#NAME?</v>
      </c>
      <c r="AA1907" s="47" t="e">
        <f ca="1">_xlfn.XLOOKUP(PAA_4[[#This Row],[ITEM]],[2]Contrato!A:A,[2]Contrato!T:T,"",0)</f>
        <v>#NAME?</v>
      </c>
      <c r="AB1907" s="55" t="e">
        <f ca="1">+MAX(PAA_4[[#This Row],[Comprometido Contrato]],PAA_4[[#This Row],[Comprometido Bolsa]])</f>
        <v>#NAME?</v>
      </c>
      <c r="AC1907" s="55" t="str">
        <f t="shared" ca="1" si="605"/>
        <v/>
      </c>
      <c r="AD1907" s="55" t="e">
        <f ca="1">IF(PAA_4[[#This Row],[ESTADO (formulado)]]="NO CONTRATADO",0,MAX(PAA_4[[#This Row],[Pago por Contrato]],PAA_4[[#This Row],[Pago por bolsa]]))</f>
        <v>#NAME?</v>
      </c>
      <c r="AE1907" s="55" t="str">
        <f t="shared" ca="1" si="606"/>
        <v/>
      </c>
      <c r="AF1907" s="47" t="e">
        <f t="shared" ca="1" si="607"/>
        <v>#NAME?</v>
      </c>
      <c r="AG1907" s="47">
        <f t="shared" si="608"/>
        <v>52010802</v>
      </c>
      <c r="AH1907" s="54">
        <f>IF(Q1907="22",IF(ISNUMBER(SEARCH("econ",PAA_4[[#This Row],[Actividad3]])),"Económico",IF(ISNUMBER(SEARCH("alim",PAA_4[[#This Row],[Actividad3]])),"Alimentación",IF(ISNUMBER(SEARCH("educ",PAA_4[[#This Row],[Actividad3]])),"Educativo","Técnico"))),0)</f>
        <v>0</v>
      </c>
      <c r="AI1907" s="47" t="e" cm="1">
        <f t="array" aca="1" ref="AI1907" ca="1">_xlfn.XLOOKUP(PAA_4[[#This Row],[RCP-RUBRO]],[2]!COMPROMISOS_2024[[#All],[concatenado]],[2]!COMPROMISOS_2024[[#All],[Total pagado]],"",0)</f>
        <v>#NAME?</v>
      </c>
      <c r="AJ1907" s="56">
        <f>IF(PAA_4[[#This Row],[BOLSA]]=0,0,SUMIFS([2]!COMPROMISOS_2024[[#All],[Total pagado]],[2]!COMPROMISOS_2024[[#All],[Bolsa]],PAA_4[[#This Row],[BOLSA]],[2]!COMPROMISOS_2024[[#All],[rubro]],PAA_4[[#This Row],[RCP-RUBRO]]))</f>
        <v>0</v>
      </c>
      <c r="AK1907" s="47" t="e" cm="1">
        <f t="array" aca="1" ref="AK1907" ca="1">_xlfn.XLOOKUP(PAA_4[[#This Row],[RCP-RUBRO]],[2]!COMPROMISOS_2024[[#All],[concatenado]],[2]!COMPROMISOS_2024[[#All],[Total Comprometido]],"",0)</f>
        <v>#NAME?</v>
      </c>
      <c r="AL1907" s="47">
        <f>IF(PAA_4[[#This Row],[BOLSA]]=0,0,SUMIFS([2]!COMPROMISOS_2024[[#All],[Total Comprometido]],[2]!COMPROMISOS_2024[[#All],[Bolsa]],PAA_4[[#This Row],[BOLSA]],[2]!COMPROMISOS_2024[[#All],[concatenado]],PAA_4[[#This Row],[RCP-RUBRO]]))</f>
        <v>0</v>
      </c>
    </row>
    <row r="1908" spans="1:38" s="19" customFormat="1" ht="31.5" customHeight="1">
      <c r="A1908" s="47" t="s">
        <v>82</v>
      </c>
      <c r="B1908" s="47" t="s">
        <v>42</v>
      </c>
      <c r="C1908" s="47" t="str">
        <f>VLOOKUP(PAA_4[[#This Row],[PROYECTO (formulado)2]],[2]PROYECTOS!$G$1:$L$32,6,0)</f>
        <v>SUBGERENCIA DE ALTOS LOGROS Y DEPORTE ASOCIADO</v>
      </c>
      <c r="D1908" s="47" t="str">
        <f>+IF(PAA_4[[#This Row],[UNIDAD DE CONTRATACION (formulado)]]="Subgerencia Administrativa y Financiera","FUNCIONAMIENTO","INVERSIÓN")</f>
        <v>INVERSIÓN</v>
      </c>
      <c r="E1908" s="48" t="str">
        <f>VLOOKUP(Q1908,[2]PROYECTOS!$G$1:$K$32,5,0)</f>
        <v>Apoyo técnico a atletas y para-atletas que representan en alto rendimiento deportivo al departamento de Antioquia</v>
      </c>
      <c r="F1908" s="48">
        <f>VLOOKUP(E1908,[2]PROYECTOS!$K$1:$M$32,3,0)</f>
        <v>2024003050084</v>
      </c>
      <c r="G1908" s="67" t="s">
        <v>1518</v>
      </c>
      <c r="H1908" s="49" t="str">
        <f>VLOOKUP(Q1908,[2]PROYECTOS!$V$1:$W$32,2,0)</f>
        <v>050079</v>
      </c>
      <c r="I1908" s="78">
        <v>3776435</v>
      </c>
      <c r="J1908" s="51" t="s">
        <v>2132</v>
      </c>
      <c r="K1908" s="47" t="str">
        <f t="shared" ca="1" si="602"/>
        <v>CONTRATADO</v>
      </c>
      <c r="L1908" s="47" t="s">
        <v>42</v>
      </c>
      <c r="M1908" s="51" t="s">
        <v>42</v>
      </c>
      <c r="N1908" s="52" t="s">
        <v>1519</v>
      </c>
      <c r="O1908" s="51" t="e">
        <f>VLOOKUP(N1908,[2]!RUBROS[#All],3,0)</f>
        <v>#REF!</v>
      </c>
      <c r="P1908" s="53" t="e">
        <f>VLOOKUP(N1908,[2]!RUBROS[#All],2,0)</f>
        <v>#REF!</v>
      </c>
      <c r="Q1908" s="47" t="str">
        <f t="shared" si="603"/>
        <v>84</v>
      </c>
      <c r="R1908" s="47" t="str">
        <f t="shared" si="604"/>
        <v>0-205400</v>
      </c>
      <c r="S1908" s="339" t="s">
        <v>42</v>
      </c>
      <c r="T1908" s="339" t="s">
        <v>42</v>
      </c>
      <c r="U1908" s="326" t="e">
        <f ca="1">_xlfn.XLOOKUP(PAA_4[[#This Row],[ITEM]],[2]Contrato!A:A,[2]Contrato!Q:Q,"",0)</f>
        <v>#NAME?</v>
      </c>
      <c r="V1908" s="47" t="s">
        <v>42</v>
      </c>
      <c r="W1908" s="47" t="s">
        <v>42</v>
      </c>
      <c r="X1908" s="47" t="s">
        <v>42</v>
      </c>
      <c r="Y1908" s="55" t="e">
        <f ca="1">_xlfn.XLOOKUP(PAA_4[[#This Row],[ITEM]],[2]Contrato!A:A,[2]Contrato!B:B,"",0)</f>
        <v>#NAME?</v>
      </c>
      <c r="Z1908" s="47" t="e">
        <f ca="1">_xlfn.XLOOKUP(PAA_4[[#This Row],[ITEM]],[2]Contrato!A:A,[2]Contrato!G:G,"",0)</f>
        <v>#NAME?</v>
      </c>
      <c r="AA1908" s="47" t="e">
        <f ca="1">_xlfn.XLOOKUP(PAA_4[[#This Row],[ITEM]],[2]Contrato!A:A,[2]Contrato!T:T,"",0)</f>
        <v>#NAME?</v>
      </c>
      <c r="AB1908" s="55" t="e">
        <f ca="1">+MAX(PAA_4[[#This Row],[Comprometido Contrato]],PAA_4[[#This Row],[Comprometido Bolsa]])</f>
        <v>#NAME?</v>
      </c>
      <c r="AC1908" s="55" t="str">
        <f t="shared" ca="1" si="605"/>
        <v/>
      </c>
      <c r="AD1908" s="55" t="e">
        <f ca="1">IF(PAA_4[[#This Row],[ESTADO (formulado)]]="NO CONTRATADO",0,MAX(PAA_4[[#This Row],[Pago por Contrato]],PAA_4[[#This Row],[Pago por bolsa]]))</f>
        <v>#NAME?</v>
      </c>
      <c r="AE1908" s="55" t="str">
        <f t="shared" ca="1" si="606"/>
        <v/>
      </c>
      <c r="AF1908" s="47" t="e">
        <f t="shared" ca="1" si="607"/>
        <v>#NAME?</v>
      </c>
      <c r="AG1908" s="47">
        <f t="shared" si="608"/>
        <v>52010802</v>
      </c>
      <c r="AH1908" s="54">
        <f>IF(Q1908="22",IF(ISNUMBER(SEARCH("econ",PAA_4[[#This Row],[Actividad3]])),"Económico",IF(ISNUMBER(SEARCH("alim",PAA_4[[#This Row],[Actividad3]])),"Alimentación",IF(ISNUMBER(SEARCH("educ",PAA_4[[#This Row],[Actividad3]])),"Educativo","Técnico"))),0)</f>
        <v>0</v>
      </c>
      <c r="AI1908" s="47" t="e" cm="1">
        <f t="array" aca="1" ref="AI1908" ca="1">_xlfn.XLOOKUP(PAA_4[[#This Row],[RCP-RUBRO]],[2]!COMPROMISOS_2024[[#All],[concatenado]],[2]!COMPROMISOS_2024[[#All],[Total pagado]],"",0)</f>
        <v>#NAME?</v>
      </c>
      <c r="AJ1908" s="56">
        <f>IF(PAA_4[[#This Row],[BOLSA]]=0,0,SUMIFS([2]!COMPROMISOS_2024[[#All],[Total pagado]],[2]!COMPROMISOS_2024[[#All],[Bolsa]],PAA_4[[#This Row],[BOLSA]],[2]!COMPROMISOS_2024[[#All],[rubro]],PAA_4[[#This Row],[RCP-RUBRO]]))</f>
        <v>0</v>
      </c>
      <c r="AK1908" s="47" t="e" cm="1">
        <f t="array" aca="1" ref="AK1908" ca="1">_xlfn.XLOOKUP(PAA_4[[#This Row],[RCP-RUBRO]],[2]!COMPROMISOS_2024[[#All],[concatenado]],[2]!COMPROMISOS_2024[[#All],[Total Comprometido]],"",0)</f>
        <v>#NAME?</v>
      </c>
      <c r="AL1908" s="47">
        <f>IF(PAA_4[[#This Row],[BOLSA]]=0,0,SUMIFS([2]!COMPROMISOS_2024[[#All],[Total Comprometido]],[2]!COMPROMISOS_2024[[#All],[Bolsa]],PAA_4[[#This Row],[BOLSA]],[2]!COMPROMISOS_2024[[#All],[concatenado]],PAA_4[[#This Row],[RCP-RUBRO]]))</f>
        <v>0</v>
      </c>
    </row>
    <row r="1909" spans="1:38" s="19" customFormat="1" ht="31.5" customHeight="1">
      <c r="A1909" s="47">
        <v>1096</v>
      </c>
      <c r="B1909" s="47">
        <v>80111600</v>
      </c>
      <c r="C1909" s="47" t="str">
        <f>VLOOKUP(PAA_4[[#This Row],[PROYECTO (formulado)2]],[2]PROYECTOS!$G$1:$L$32,6,0)</f>
        <v>SUBGERENCIA DE ALTOS LOGROS Y DEPORTE ASOCIADO</v>
      </c>
      <c r="D1909" s="47" t="str">
        <f>+IF(PAA_4[[#This Row],[UNIDAD DE CONTRATACION (formulado)]]="Subgerencia Administrativa y Financiera","FUNCIONAMIENTO","INVERSIÓN")</f>
        <v>INVERSIÓN</v>
      </c>
      <c r="E1909" s="48" t="str">
        <f>VLOOKUP(Q1909,[2]PROYECTOS!$G$1:$K$32,5,0)</f>
        <v>Apoyo técnico a atletas y para-atletas que representan en alto rendimiento deportivo al departamento de Antioquia</v>
      </c>
      <c r="F1909" s="48">
        <f>VLOOKUP(E1909,[2]PROYECTOS!$K$1:$M$32,3,0)</f>
        <v>2024003050084</v>
      </c>
      <c r="G1909" s="67" t="s">
        <v>1518</v>
      </c>
      <c r="H1909" s="49" t="str">
        <f>VLOOKUP(Q1909,[2]PROYECTOS!$V$1:$W$32,2,0)</f>
        <v>050079</v>
      </c>
      <c r="I1909" s="78">
        <f>7982010-3776435-171656</f>
        <v>4033919</v>
      </c>
      <c r="J1909" s="51" t="s">
        <v>2133</v>
      </c>
      <c r="K1909" s="47" t="str">
        <f t="shared" ca="1" si="602"/>
        <v>CONTRATADO</v>
      </c>
      <c r="L1909" s="47" t="s">
        <v>898</v>
      </c>
      <c r="M1909" s="51" t="s">
        <v>1297</v>
      </c>
      <c r="N1909" s="52" t="s">
        <v>1519</v>
      </c>
      <c r="O1909" s="51" t="e">
        <f>VLOOKUP(N1909,[2]!RUBROS[#All],3,0)</f>
        <v>#REF!</v>
      </c>
      <c r="P1909" s="53" t="e">
        <f>VLOOKUP(N1909,[2]!RUBROS[#All],2,0)</f>
        <v>#REF!</v>
      </c>
      <c r="Q1909" s="47" t="str">
        <f t="shared" si="603"/>
        <v>84</v>
      </c>
      <c r="R1909" s="47" t="str">
        <f t="shared" si="604"/>
        <v>0-205400</v>
      </c>
      <c r="S1909" s="339">
        <v>93</v>
      </c>
      <c r="T1909" s="63" t="s">
        <v>120</v>
      </c>
      <c r="U1909" s="326" t="e">
        <f ca="1">_xlfn.XLOOKUP(PAA_4[[#This Row],[ITEM]],[2]Contrato!A:A,[2]Contrato!Q:Q,"",0)</f>
        <v>#NAME?</v>
      </c>
      <c r="V1909" s="47" t="s">
        <v>95</v>
      </c>
      <c r="W1909" s="47" t="s">
        <v>194</v>
      </c>
      <c r="X1909" s="47" t="s">
        <v>203</v>
      </c>
      <c r="Y1909" s="55" t="e">
        <f ca="1">_xlfn.XLOOKUP(PAA_4[[#This Row],[ITEM]],[2]Contrato!A:A,[2]Contrato!B:B,"",0)</f>
        <v>#NAME?</v>
      </c>
      <c r="Z1909" s="47" t="e">
        <f ca="1">_xlfn.XLOOKUP(PAA_4[[#This Row],[ITEM]],[2]Contrato!A:A,[2]Contrato!G:G,"",0)</f>
        <v>#NAME?</v>
      </c>
      <c r="AA1909" s="47" t="e">
        <f ca="1">_xlfn.XLOOKUP(PAA_4[[#This Row],[ITEM]],[2]Contrato!A:A,[2]Contrato!T:T,"",0)</f>
        <v>#NAME?</v>
      </c>
      <c r="AB1909" s="55" t="e">
        <f ca="1">+MAX(PAA_4[[#This Row],[Comprometido Contrato]],PAA_4[[#This Row],[Comprometido Bolsa]])</f>
        <v>#NAME?</v>
      </c>
      <c r="AC1909" s="55" t="str">
        <f t="shared" ca="1" si="605"/>
        <v/>
      </c>
      <c r="AD1909" s="55" t="e">
        <f ca="1">IF(PAA_4[[#This Row],[ESTADO (formulado)]]="NO CONTRATADO",0,MAX(PAA_4[[#This Row],[Pago por Contrato]],PAA_4[[#This Row],[Pago por bolsa]]))</f>
        <v>#NAME?</v>
      </c>
      <c r="AE1909" s="55" t="str">
        <f t="shared" ca="1" si="606"/>
        <v/>
      </c>
      <c r="AF1909" s="47" t="e">
        <f t="shared" ca="1" si="607"/>
        <v>#NAME?</v>
      </c>
      <c r="AG1909" s="47">
        <f t="shared" si="608"/>
        <v>52010802</v>
      </c>
      <c r="AH1909" s="54">
        <f>IF(Q1909="22",IF(ISNUMBER(SEARCH("econ",PAA_4[[#This Row],[Actividad3]])),"Económico",IF(ISNUMBER(SEARCH("alim",PAA_4[[#This Row],[Actividad3]])),"Alimentación",IF(ISNUMBER(SEARCH("educ",PAA_4[[#This Row],[Actividad3]])),"Educativo","Técnico"))),0)</f>
        <v>0</v>
      </c>
      <c r="AI1909" s="47" t="e" cm="1">
        <f t="array" aca="1" ref="AI1909" ca="1">_xlfn.XLOOKUP(PAA_4[[#This Row],[RCP-RUBRO]],[2]!COMPROMISOS_2024[[#All],[concatenado]],[2]!COMPROMISOS_2024[[#All],[Total pagado]],"",0)</f>
        <v>#NAME?</v>
      </c>
      <c r="AJ1909" s="56">
        <f>IF(PAA_4[[#This Row],[BOLSA]]=0,0,SUMIFS([2]!COMPROMISOS_2024[[#All],[Total pagado]],[2]!COMPROMISOS_2024[[#All],[Bolsa]],PAA_4[[#This Row],[BOLSA]],[2]!COMPROMISOS_2024[[#All],[rubro]],PAA_4[[#This Row],[RCP-RUBRO]]))</f>
        <v>0</v>
      </c>
      <c r="AK1909" s="47" t="e" cm="1">
        <f t="array" aca="1" ref="AK1909" ca="1">_xlfn.XLOOKUP(PAA_4[[#This Row],[RCP-RUBRO]],[2]!COMPROMISOS_2024[[#All],[concatenado]],[2]!COMPROMISOS_2024[[#All],[Total Comprometido]],"",0)</f>
        <v>#NAME?</v>
      </c>
      <c r="AL1909" s="47">
        <f>IF(PAA_4[[#This Row],[BOLSA]]=0,0,SUMIFS([2]!COMPROMISOS_2024[[#All],[Total Comprometido]],[2]!COMPROMISOS_2024[[#All],[Bolsa]],PAA_4[[#This Row],[BOLSA]],[2]!COMPROMISOS_2024[[#All],[concatenado]],PAA_4[[#This Row],[RCP-RUBRO]]))</f>
        <v>0</v>
      </c>
    </row>
    <row r="1910" spans="1:38" s="19" customFormat="1" ht="31.5" customHeight="1">
      <c r="A1910" s="47" t="s">
        <v>82</v>
      </c>
      <c r="B1910" s="47" t="s">
        <v>42</v>
      </c>
      <c r="C1910" s="47" t="str">
        <f>VLOOKUP(PAA_4[[#This Row],[PROYECTO (formulado)2]],[2]PROYECTOS!$G$1:$L$32,6,0)</f>
        <v>SUBGERENCIA DE ALTOS LOGROS Y DEPORTE ASOCIADO</v>
      </c>
      <c r="D1910" s="47" t="str">
        <f>+IF(PAA_4[[#This Row],[UNIDAD DE CONTRATACION (formulado)]]="Subgerencia Administrativa y Financiera","FUNCIONAMIENTO","INVERSIÓN")</f>
        <v>INVERSIÓN</v>
      </c>
      <c r="E1910" s="48" t="str">
        <f>VLOOKUP(Q1910,[2]PROYECTOS!$G$1:$K$32,5,0)</f>
        <v>Apoyo técnico a atletas y para-atletas que representan en alto rendimiento deportivo al departamento de Antioquia</v>
      </c>
      <c r="F1910" s="48">
        <f>VLOOKUP(E1910,[2]PROYECTOS!$K$1:$M$32,3,0)</f>
        <v>2024003050084</v>
      </c>
      <c r="G1910" s="67" t="s">
        <v>1518</v>
      </c>
      <c r="H1910" s="49" t="str">
        <f>VLOOKUP(Q1910,[2]PROYECTOS!$V$1:$W$32,2,0)</f>
        <v>050079</v>
      </c>
      <c r="I1910" s="78">
        <v>0</v>
      </c>
      <c r="J1910" s="51" t="s">
        <v>1778</v>
      </c>
      <c r="K1910" s="47" t="str">
        <f t="shared" ca="1" si="602"/>
        <v>CONTRATADO</v>
      </c>
      <c r="L1910" s="47" t="s">
        <v>42</v>
      </c>
      <c r="M1910" s="51" t="s">
        <v>42</v>
      </c>
      <c r="N1910" s="52" t="s">
        <v>1519</v>
      </c>
      <c r="O1910" s="51" t="e">
        <f>VLOOKUP(N1910,[2]!RUBROS[#All],3,0)</f>
        <v>#REF!</v>
      </c>
      <c r="P1910" s="53" t="e">
        <f>VLOOKUP(N1910,[2]!RUBROS[#All],2,0)</f>
        <v>#REF!</v>
      </c>
      <c r="Q1910" s="47" t="str">
        <f t="shared" si="603"/>
        <v>84</v>
      </c>
      <c r="R1910" s="47" t="str">
        <f t="shared" si="604"/>
        <v>0-205400</v>
      </c>
      <c r="S1910" s="339" t="s">
        <v>42</v>
      </c>
      <c r="T1910" s="63" t="s">
        <v>42</v>
      </c>
      <c r="U1910" s="326" t="e">
        <f ca="1">_xlfn.XLOOKUP(PAA_4[[#This Row],[ITEM]],[2]Contrato!A:A,[2]Contrato!Q:Q,"",0)</f>
        <v>#NAME?</v>
      </c>
      <c r="V1910" s="47" t="s">
        <v>95</v>
      </c>
      <c r="W1910" s="47" t="s">
        <v>42</v>
      </c>
      <c r="X1910" s="47" t="s">
        <v>42</v>
      </c>
      <c r="Y1910" s="55" t="e">
        <f ca="1">_xlfn.XLOOKUP(PAA_4[[#This Row],[ITEM]],[2]Contrato!A:A,[2]Contrato!B:B,"",0)</f>
        <v>#NAME?</v>
      </c>
      <c r="Z1910" s="47" t="e">
        <f ca="1">_xlfn.XLOOKUP(PAA_4[[#This Row],[ITEM]],[2]Contrato!A:A,[2]Contrato!G:G,"",0)</f>
        <v>#NAME?</v>
      </c>
      <c r="AA1910" s="47" t="e">
        <f ca="1">_xlfn.XLOOKUP(PAA_4[[#This Row],[ITEM]],[2]Contrato!A:A,[2]Contrato!T:T,"",0)</f>
        <v>#NAME?</v>
      </c>
      <c r="AB1910" s="55" t="e">
        <f ca="1">+MAX(PAA_4[[#This Row],[Comprometido Contrato]],PAA_4[[#This Row],[Comprometido Bolsa]])</f>
        <v>#NAME?</v>
      </c>
      <c r="AC1910" s="55" t="str">
        <f t="shared" ca="1" si="605"/>
        <v/>
      </c>
      <c r="AD1910" s="55" t="e">
        <f ca="1">IF(PAA_4[[#This Row],[ESTADO (formulado)]]="NO CONTRATADO",0,MAX(PAA_4[[#This Row],[Pago por Contrato]],PAA_4[[#This Row],[Pago por bolsa]]))</f>
        <v>#NAME?</v>
      </c>
      <c r="AE1910" s="55" t="str">
        <f t="shared" ca="1" si="606"/>
        <v/>
      </c>
      <c r="AF1910" s="47" t="e">
        <f t="shared" ca="1" si="607"/>
        <v>#NAME?</v>
      </c>
      <c r="AG1910" s="47">
        <f t="shared" si="608"/>
        <v>52010802</v>
      </c>
      <c r="AH1910" s="54">
        <f>IF(Q1910="22",IF(ISNUMBER(SEARCH("econ",PAA_4[[#This Row],[Actividad3]])),"Económico",IF(ISNUMBER(SEARCH("alim",PAA_4[[#This Row],[Actividad3]])),"Alimentación",IF(ISNUMBER(SEARCH("educ",PAA_4[[#This Row],[Actividad3]])),"Educativo","Técnico"))),0)</f>
        <v>0</v>
      </c>
      <c r="AI1910" s="47" t="e" cm="1">
        <f t="array" aca="1" ref="AI1910" ca="1">_xlfn.XLOOKUP(PAA_4[[#This Row],[RCP-RUBRO]],[2]!COMPROMISOS_2024[[#All],[concatenado]],[2]!COMPROMISOS_2024[[#All],[Total pagado]],"",0)</f>
        <v>#NAME?</v>
      </c>
      <c r="AJ1910" s="56">
        <f>IF(PAA_4[[#This Row],[BOLSA]]=0,0,SUMIFS([2]!COMPROMISOS_2024[[#All],[Total pagado]],[2]!COMPROMISOS_2024[[#All],[Bolsa]],PAA_4[[#This Row],[BOLSA]],[2]!COMPROMISOS_2024[[#All],[rubro]],PAA_4[[#This Row],[RCP-RUBRO]]))</f>
        <v>0</v>
      </c>
      <c r="AK1910" s="47" t="e" cm="1">
        <f t="array" aca="1" ref="AK1910" ca="1">_xlfn.XLOOKUP(PAA_4[[#This Row],[RCP-RUBRO]],[2]!COMPROMISOS_2024[[#All],[concatenado]],[2]!COMPROMISOS_2024[[#All],[Total Comprometido]],"",0)</f>
        <v>#NAME?</v>
      </c>
      <c r="AL1910" s="47">
        <f>IF(PAA_4[[#This Row],[BOLSA]]=0,0,SUMIFS([2]!COMPROMISOS_2024[[#All],[Total Comprometido]],[2]!COMPROMISOS_2024[[#All],[Bolsa]],PAA_4[[#This Row],[BOLSA]],[2]!COMPROMISOS_2024[[#All],[concatenado]],PAA_4[[#This Row],[RCP-RUBRO]]))</f>
        <v>0</v>
      </c>
    </row>
    <row r="1911" spans="1:38" s="19" customFormat="1" ht="31.5" customHeight="1">
      <c r="A1911" s="47">
        <v>1097</v>
      </c>
      <c r="B1911" s="47">
        <v>80111600</v>
      </c>
      <c r="C1911" s="47" t="str">
        <f>VLOOKUP(PAA_4[[#This Row],[PROYECTO (formulado)2]],[2]PROYECTOS!$G$1:$L$32,6,0)</f>
        <v>SUBGERENCIA DE ALTOS LOGROS Y DEPORTE ASOCIADO</v>
      </c>
      <c r="D1911" s="47" t="str">
        <f>+IF(PAA_4[[#This Row],[UNIDAD DE CONTRATACION (formulado)]]="Subgerencia Administrativa y Financiera","FUNCIONAMIENTO","INVERSIÓN")</f>
        <v>INVERSIÓN</v>
      </c>
      <c r="E1911" s="48" t="str">
        <f>VLOOKUP(Q1911,[2]PROYECTOS!$G$1:$K$32,5,0)</f>
        <v>Apoyo técnico a atletas y para-atletas que representan en alto rendimiento deportivo al departamento de Antioquia</v>
      </c>
      <c r="F1911" s="48">
        <f>VLOOKUP(E1911,[2]PROYECTOS!$K$1:$M$32,3,0)</f>
        <v>2024003050084</v>
      </c>
      <c r="G1911" s="67" t="s">
        <v>1518</v>
      </c>
      <c r="H1911" s="49" t="str">
        <f>VLOOKUP(Q1911,[2]PROYECTOS!$V$1:$W$32,2,0)</f>
        <v>050079</v>
      </c>
      <c r="I1911" s="78">
        <f>12252384-3161905</f>
        <v>9090479</v>
      </c>
      <c r="J1911" s="51" t="s">
        <v>2133</v>
      </c>
      <c r="K1911" s="47" t="str">
        <f t="shared" ca="1" si="602"/>
        <v>CONTRATADO</v>
      </c>
      <c r="L1911" s="47" t="s">
        <v>898</v>
      </c>
      <c r="M1911" s="51" t="s">
        <v>1297</v>
      </c>
      <c r="N1911" s="52" t="s">
        <v>1519</v>
      </c>
      <c r="O1911" s="51" t="e">
        <f>VLOOKUP(N1911,[2]!RUBROS[#All],3,0)</f>
        <v>#REF!</v>
      </c>
      <c r="P1911" s="53" t="e">
        <f>VLOOKUP(N1911,[2]!RUBROS[#All],2,0)</f>
        <v>#REF!</v>
      </c>
      <c r="Q1911" s="47" t="str">
        <f t="shared" si="603"/>
        <v>84</v>
      </c>
      <c r="R1911" s="47" t="str">
        <f t="shared" si="604"/>
        <v>0-205400</v>
      </c>
      <c r="S1911" s="54">
        <v>93</v>
      </c>
      <c r="T1911" s="391" t="s">
        <v>120</v>
      </c>
      <c r="U1911" s="326" t="e">
        <f ca="1">_xlfn.XLOOKUP(PAA_4[[#This Row],[ITEM]],[2]Contrato!A:A,[2]Contrato!Q:Q,"",0)</f>
        <v>#NAME?</v>
      </c>
      <c r="V1911" s="47" t="s">
        <v>95</v>
      </c>
      <c r="W1911" s="47" t="s">
        <v>194</v>
      </c>
      <c r="X1911" s="47" t="s">
        <v>203</v>
      </c>
      <c r="Y1911" s="55" t="e">
        <f ca="1">_xlfn.XLOOKUP(PAA_4[[#This Row],[ITEM]],[2]Contrato!A:A,[2]Contrato!B:B,"",0)</f>
        <v>#NAME?</v>
      </c>
      <c r="Z1911" s="47" t="e">
        <f ca="1">_xlfn.XLOOKUP(PAA_4[[#This Row],[ITEM]],[2]Contrato!A:A,[2]Contrato!G:G,"",0)</f>
        <v>#NAME?</v>
      </c>
      <c r="AA1911" s="47" t="e">
        <f ca="1">_xlfn.XLOOKUP(PAA_4[[#This Row],[ITEM]],[2]Contrato!A:A,[2]Contrato!T:T,"",0)</f>
        <v>#NAME?</v>
      </c>
      <c r="AB1911" s="55" t="e">
        <f ca="1">+MAX(PAA_4[[#This Row],[Comprometido Contrato]],PAA_4[[#This Row],[Comprometido Bolsa]])</f>
        <v>#NAME?</v>
      </c>
      <c r="AC1911" s="55" t="str">
        <f t="shared" ca="1" si="605"/>
        <v/>
      </c>
      <c r="AD1911" s="55" t="e">
        <f ca="1">IF(PAA_4[[#This Row],[ESTADO (formulado)]]="NO CONTRATADO",0,MAX(PAA_4[[#This Row],[Pago por Contrato]],PAA_4[[#This Row],[Pago por bolsa]]))</f>
        <v>#NAME?</v>
      </c>
      <c r="AE1911" s="55" t="str">
        <f t="shared" ca="1" si="606"/>
        <v/>
      </c>
      <c r="AF1911" s="47" t="e">
        <f t="shared" ca="1" si="607"/>
        <v>#NAME?</v>
      </c>
      <c r="AG1911" s="47">
        <f t="shared" si="608"/>
        <v>52010802</v>
      </c>
      <c r="AH1911" s="54">
        <f>IF(Q1911="22",IF(ISNUMBER(SEARCH("econ",PAA_4[[#This Row],[Actividad3]])),"Económico",IF(ISNUMBER(SEARCH("alim",PAA_4[[#This Row],[Actividad3]])),"Alimentación",IF(ISNUMBER(SEARCH("educ",PAA_4[[#This Row],[Actividad3]])),"Educativo","Técnico"))),0)</f>
        <v>0</v>
      </c>
      <c r="AI1911" s="47" t="e" cm="1">
        <f t="array" aca="1" ref="AI1911" ca="1">_xlfn.XLOOKUP(PAA_4[[#This Row],[RCP-RUBRO]],[2]!COMPROMISOS_2024[[#All],[concatenado]],[2]!COMPROMISOS_2024[[#All],[Total pagado]],"",0)</f>
        <v>#NAME?</v>
      </c>
      <c r="AJ1911" s="56">
        <f>IF(PAA_4[[#This Row],[BOLSA]]=0,0,SUMIFS([2]!COMPROMISOS_2024[[#All],[Total pagado]],[2]!COMPROMISOS_2024[[#All],[Bolsa]],PAA_4[[#This Row],[BOLSA]],[2]!COMPROMISOS_2024[[#All],[rubro]],PAA_4[[#This Row],[RCP-RUBRO]]))</f>
        <v>0</v>
      </c>
      <c r="AK1911" s="47" t="e" cm="1">
        <f t="array" aca="1" ref="AK1911" ca="1">_xlfn.XLOOKUP(PAA_4[[#This Row],[RCP-RUBRO]],[2]!COMPROMISOS_2024[[#All],[concatenado]],[2]!COMPROMISOS_2024[[#All],[Total Comprometido]],"",0)</f>
        <v>#NAME?</v>
      </c>
      <c r="AL1911" s="47">
        <f>IF(PAA_4[[#This Row],[BOLSA]]=0,0,SUMIFS([2]!COMPROMISOS_2024[[#All],[Total Comprometido]],[2]!COMPROMISOS_2024[[#All],[Bolsa]],PAA_4[[#This Row],[BOLSA]],[2]!COMPROMISOS_2024[[#All],[concatenado]],PAA_4[[#This Row],[RCP-RUBRO]]))</f>
        <v>0</v>
      </c>
    </row>
    <row r="1912" spans="1:38" s="19" customFormat="1" ht="31.5" customHeight="1">
      <c r="A1912" s="47" t="s">
        <v>82</v>
      </c>
      <c r="B1912" s="47" t="s">
        <v>42</v>
      </c>
      <c r="C1912" s="47" t="str">
        <f>VLOOKUP(PAA_4[[#This Row],[PROYECTO (formulado)2]],[2]PROYECTOS!$G$1:$L$32,6,0)</f>
        <v>SUBGERENCIA DE ALTOS LOGROS Y DEPORTE ASOCIADO</v>
      </c>
      <c r="D1912" s="47" t="str">
        <f>+IF(PAA_4[[#This Row],[UNIDAD DE CONTRATACION (formulado)]]="Subgerencia Administrativa y Financiera","FUNCIONAMIENTO","INVERSIÓN")</f>
        <v>INVERSIÓN</v>
      </c>
      <c r="E1912" s="48" t="str">
        <f>VLOOKUP(Q1912,[2]PROYECTOS!$G$1:$K$32,5,0)</f>
        <v>Apoyo técnico a atletas y para-atletas que representan en alto rendimiento deportivo al departamento de Antioquia</v>
      </c>
      <c r="F1912" s="48">
        <f>VLOOKUP(E1912,[2]PROYECTOS!$K$1:$M$32,3,0)</f>
        <v>2024003050084</v>
      </c>
      <c r="G1912" s="67" t="s">
        <v>1518</v>
      </c>
      <c r="H1912" s="49" t="str">
        <f>VLOOKUP(Q1912,[2]PROYECTOS!$V$1:$W$32,2,0)</f>
        <v>050079</v>
      </c>
      <c r="I1912" s="78">
        <v>0</v>
      </c>
      <c r="J1912" s="51" t="s">
        <v>1778</v>
      </c>
      <c r="K1912" s="47" t="str">
        <f t="shared" ca="1" si="602"/>
        <v>CONTRATADO</v>
      </c>
      <c r="L1912" s="47" t="s">
        <v>42</v>
      </c>
      <c r="M1912" s="51" t="s">
        <v>42</v>
      </c>
      <c r="N1912" s="52" t="s">
        <v>1519</v>
      </c>
      <c r="O1912" s="51" t="e">
        <f>VLOOKUP(N1912,[2]!RUBROS[#All],3,0)</f>
        <v>#REF!</v>
      </c>
      <c r="P1912" s="53" t="e">
        <f>VLOOKUP(N1912,[2]!RUBROS[#All],2,0)</f>
        <v>#REF!</v>
      </c>
      <c r="Q1912" s="47" t="str">
        <f t="shared" si="603"/>
        <v>84</v>
      </c>
      <c r="R1912" s="47" t="str">
        <f t="shared" si="604"/>
        <v>0-205400</v>
      </c>
      <c r="S1912" s="339" t="s">
        <v>42</v>
      </c>
      <c r="T1912" s="63" t="s">
        <v>42</v>
      </c>
      <c r="U1912" s="326" t="e">
        <f ca="1">_xlfn.XLOOKUP(PAA_4[[#This Row],[ITEM]],[2]Contrato!A:A,[2]Contrato!Q:Q,"",0)</f>
        <v>#NAME?</v>
      </c>
      <c r="V1912" s="47" t="s">
        <v>95</v>
      </c>
      <c r="W1912" s="47" t="s">
        <v>42</v>
      </c>
      <c r="X1912" s="47" t="s">
        <v>42</v>
      </c>
      <c r="Y1912" s="55" t="e">
        <f ca="1">_xlfn.XLOOKUP(PAA_4[[#This Row],[ITEM]],[2]Contrato!A:A,[2]Contrato!B:B,"",0)</f>
        <v>#NAME?</v>
      </c>
      <c r="Z1912" s="47" t="e">
        <f ca="1">_xlfn.XLOOKUP(PAA_4[[#This Row],[ITEM]],[2]Contrato!A:A,[2]Contrato!G:G,"",0)</f>
        <v>#NAME?</v>
      </c>
      <c r="AA1912" s="47" t="e">
        <f ca="1">_xlfn.XLOOKUP(PAA_4[[#This Row],[ITEM]],[2]Contrato!A:A,[2]Contrato!T:T,"",0)</f>
        <v>#NAME?</v>
      </c>
      <c r="AB1912" s="55" t="e">
        <f ca="1">+MAX(PAA_4[[#This Row],[Comprometido Contrato]],PAA_4[[#This Row],[Comprometido Bolsa]])</f>
        <v>#NAME?</v>
      </c>
      <c r="AC1912" s="55" t="str">
        <f t="shared" ca="1" si="605"/>
        <v/>
      </c>
      <c r="AD1912" s="55" t="e">
        <f ca="1">IF(PAA_4[[#This Row],[ESTADO (formulado)]]="NO CONTRATADO",0,MAX(PAA_4[[#This Row],[Pago por Contrato]],PAA_4[[#This Row],[Pago por bolsa]]))</f>
        <v>#NAME?</v>
      </c>
      <c r="AE1912" s="55" t="str">
        <f t="shared" ca="1" si="606"/>
        <v/>
      </c>
      <c r="AF1912" s="47" t="e">
        <f t="shared" ca="1" si="607"/>
        <v>#NAME?</v>
      </c>
      <c r="AG1912" s="47">
        <f t="shared" si="608"/>
        <v>52010802</v>
      </c>
      <c r="AH1912" s="54">
        <f>IF(Q1912="22",IF(ISNUMBER(SEARCH("econ",PAA_4[[#This Row],[Actividad3]])),"Económico",IF(ISNUMBER(SEARCH("alim",PAA_4[[#This Row],[Actividad3]])),"Alimentación",IF(ISNUMBER(SEARCH("educ",PAA_4[[#This Row],[Actividad3]])),"Educativo","Técnico"))),0)</f>
        <v>0</v>
      </c>
      <c r="AI1912" s="47" t="e" cm="1">
        <f t="array" aca="1" ref="AI1912" ca="1">_xlfn.XLOOKUP(PAA_4[[#This Row],[RCP-RUBRO]],[2]!COMPROMISOS_2024[[#All],[concatenado]],[2]!COMPROMISOS_2024[[#All],[Total pagado]],"",0)</f>
        <v>#NAME?</v>
      </c>
      <c r="AJ1912" s="56">
        <f>IF(PAA_4[[#This Row],[BOLSA]]=0,0,SUMIFS([2]!COMPROMISOS_2024[[#All],[Total pagado]],[2]!COMPROMISOS_2024[[#All],[Bolsa]],PAA_4[[#This Row],[BOLSA]],[2]!COMPROMISOS_2024[[#All],[rubro]],PAA_4[[#This Row],[RCP-RUBRO]]))</f>
        <v>0</v>
      </c>
      <c r="AK1912" s="47" t="e" cm="1">
        <f t="array" aca="1" ref="AK1912" ca="1">_xlfn.XLOOKUP(PAA_4[[#This Row],[RCP-RUBRO]],[2]!COMPROMISOS_2024[[#All],[concatenado]],[2]!COMPROMISOS_2024[[#All],[Total Comprometido]],"",0)</f>
        <v>#NAME?</v>
      </c>
      <c r="AL1912" s="47">
        <f>IF(PAA_4[[#This Row],[BOLSA]]=0,0,SUMIFS([2]!COMPROMISOS_2024[[#All],[Total Comprometido]],[2]!COMPROMISOS_2024[[#All],[Bolsa]],PAA_4[[#This Row],[BOLSA]],[2]!COMPROMISOS_2024[[#All],[concatenado]],PAA_4[[#This Row],[RCP-RUBRO]]))</f>
        <v>0</v>
      </c>
    </row>
    <row r="1913" spans="1:38" s="19" customFormat="1" ht="31.5" customHeight="1">
      <c r="A1913" s="47">
        <v>1098</v>
      </c>
      <c r="B1913" s="47">
        <v>80111600</v>
      </c>
      <c r="C1913" s="47" t="str">
        <f>VLOOKUP(PAA_4[[#This Row],[PROYECTO (formulado)2]],[2]PROYECTOS!$G$1:$L$32,6,0)</f>
        <v>SUBGERENCIA DE ALTOS LOGROS Y DEPORTE ASOCIADO</v>
      </c>
      <c r="D1913" s="47" t="str">
        <f>+IF(PAA_4[[#This Row],[UNIDAD DE CONTRATACION (formulado)]]="Subgerencia Administrativa y Financiera","FUNCIONAMIENTO","INVERSIÓN")</f>
        <v>INVERSIÓN</v>
      </c>
      <c r="E1913" s="48" t="str">
        <f>VLOOKUP(Q1913,[2]PROYECTOS!$G$1:$K$32,5,0)</f>
        <v>Apoyo técnico a atletas y para-atletas que representan en alto rendimiento deportivo al departamento de Antioquia</v>
      </c>
      <c r="F1913" s="48">
        <f>VLOOKUP(E1913,[2]PROYECTOS!$K$1:$M$32,3,0)</f>
        <v>2024003050084</v>
      </c>
      <c r="G1913" s="67" t="s">
        <v>1518</v>
      </c>
      <c r="H1913" s="49" t="str">
        <f>VLOOKUP(Q1913,[2]PROYECTOS!$V$1:$W$32,2,0)</f>
        <v>050079</v>
      </c>
      <c r="I1913" s="78">
        <f>15217702-2965318-395238</f>
        <v>11857146</v>
      </c>
      <c r="J1913" s="51" t="s">
        <v>2134</v>
      </c>
      <c r="K1913" s="47" t="str">
        <f t="shared" ca="1" si="602"/>
        <v>CONTRATADO</v>
      </c>
      <c r="L1913" s="47" t="s">
        <v>898</v>
      </c>
      <c r="M1913" s="47" t="s">
        <v>1297</v>
      </c>
      <c r="N1913" s="52" t="s">
        <v>1519</v>
      </c>
      <c r="O1913" s="51" t="e">
        <f>VLOOKUP(N1913,[2]!RUBROS[#All],3,0)</f>
        <v>#REF!</v>
      </c>
      <c r="P1913" s="53" t="e">
        <f>VLOOKUP(N1913,[2]!RUBROS[#All],2,0)</f>
        <v>#REF!</v>
      </c>
      <c r="Q1913" s="47" t="str">
        <f t="shared" si="603"/>
        <v>84</v>
      </c>
      <c r="R1913" s="47" t="str">
        <f t="shared" si="604"/>
        <v>0-205400</v>
      </c>
      <c r="S1913" s="54">
        <v>93</v>
      </c>
      <c r="T1913" s="391" t="s">
        <v>120</v>
      </c>
      <c r="U1913" s="326" t="e">
        <f ca="1">_xlfn.XLOOKUP(PAA_4[[#This Row],[ITEM]],[2]Contrato!A:A,[2]Contrato!Q:Q,"",0)</f>
        <v>#NAME?</v>
      </c>
      <c r="V1913" s="47" t="s">
        <v>95</v>
      </c>
      <c r="W1913" s="47" t="s">
        <v>194</v>
      </c>
      <c r="X1913" s="47" t="s">
        <v>203</v>
      </c>
      <c r="Y1913" s="55" t="e">
        <f ca="1">_xlfn.XLOOKUP(PAA_4[[#This Row],[ITEM]],[2]Contrato!A:A,[2]Contrato!B:B,"",0)</f>
        <v>#NAME?</v>
      </c>
      <c r="Z1913" s="47" t="e">
        <f ca="1">_xlfn.XLOOKUP(PAA_4[[#This Row],[ITEM]],[2]Contrato!A:A,[2]Contrato!G:G,"",0)</f>
        <v>#NAME?</v>
      </c>
      <c r="AA1913" s="47" t="e">
        <f ca="1">_xlfn.XLOOKUP(PAA_4[[#This Row],[ITEM]],[2]Contrato!A:A,[2]Contrato!T:T,"",0)</f>
        <v>#NAME?</v>
      </c>
      <c r="AB1913" s="55" t="e">
        <f ca="1">+MAX(PAA_4[[#This Row],[Comprometido Contrato]],PAA_4[[#This Row],[Comprometido Bolsa]])</f>
        <v>#NAME?</v>
      </c>
      <c r="AC1913" s="55" t="str">
        <f t="shared" ca="1" si="605"/>
        <v/>
      </c>
      <c r="AD1913" s="55" t="e">
        <f ca="1">IF(PAA_4[[#This Row],[ESTADO (formulado)]]="NO CONTRATADO",0,MAX(PAA_4[[#This Row],[Pago por Contrato]],PAA_4[[#This Row],[Pago por bolsa]]))</f>
        <v>#NAME?</v>
      </c>
      <c r="AE1913" s="55" t="str">
        <f t="shared" ca="1" si="606"/>
        <v/>
      </c>
      <c r="AF1913" s="47" t="e">
        <f t="shared" ca="1" si="607"/>
        <v>#NAME?</v>
      </c>
      <c r="AG1913" s="47">
        <f t="shared" si="608"/>
        <v>52010802</v>
      </c>
      <c r="AH1913" s="54">
        <f>IF(Q1913="22",IF(ISNUMBER(SEARCH("econ",PAA_4[[#This Row],[Actividad3]])),"Económico",IF(ISNUMBER(SEARCH("alim",PAA_4[[#This Row],[Actividad3]])),"Alimentación",IF(ISNUMBER(SEARCH("educ",PAA_4[[#This Row],[Actividad3]])),"Educativo","Técnico"))),0)</f>
        <v>0</v>
      </c>
      <c r="AI1913" s="47" t="e" cm="1">
        <f t="array" aca="1" ref="AI1913" ca="1">_xlfn.XLOOKUP(PAA_4[[#This Row],[RCP-RUBRO]],[2]!COMPROMISOS_2024[[#All],[concatenado]],[2]!COMPROMISOS_2024[[#All],[Total pagado]],"",0)</f>
        <v>#NAME?</v>
      </c>
      <c r="AJ1913" s="56">
        <f>IF(PAA_4[[#This Row],[BOLSA]]=0,0,SUMIFS([2]!COMPROMISOS_2024[[#All],[Total pagado]],[2]!COMPROMISOS_2024[[#All],[Bolsa]],PAA_4[[#This Row],[BOLSA]],[2]!COMPROMISOS_2024[[#All],[rubro]],PAA_4[[#This Row],[RCP-RUBRO]]))</f>
        <v>0</v>
      </c>
      <c r="AK1913" s="47" t="e" cm="1">
        <f t="array" aca="1" ref="AK1913" ca="1">_xlfn.XLOOKUP(PAA_4[[#This Row],[RCP-RUBRO]],[2]!COMPROMISOS_2024[[#All],[concatenado]],[2]!COMPROMISOS_2024[[#All],[Total Comprometido]],"",0)</f>
        <v>#NAME?</v>
      </c>
      <c r="AL1913" s="47">
        <f>IF(PAA_4[[#This Row],[BOLSA]]=0,0,SUMIFS([2]!COMPROMISOS_2024[[#All],[Total Comprometido]],[2]!COMPROMISOS_2024[[#All],[Bolsa]],PAA_4[[#This Row],[BOLSA]],[2]!COMPROMISOS_2024[[#All],[concatenado]],PAA_4[[#This Row],[RCP-RUBRO]]))</f>
        <v>0</v>
      </c>
    </row>
    <row r="1914" spans="1:38" s="19" customFormat="1" ht="31.5" customHeight="1">
      <c r="A1914" s="47">
        <v>1099</v>
      </c>
      <c r="B1914" s="47">
        <v>80111600</v>
      </c>
      <c r="C1914" s="47" t="str">
        <f>VLOOKUP(PAA_4[[#This Row],[PROYECTO (formulado)2]],[2]PROYECTOS!$G$1:$L$32,6,0)</f>
        <v>SUBGERENCIA DE ALTOS LOGROS Y DEPORTE ASOCIADO</v>
      </c>
      <c r="D1914" s="47" t="str">
        <f>+IF(PAA_4[[#This Row],[UNIDAD DE CONTRATACION (formulado)]]="Subgerencia Administrativa y Financiera","FUNCIONAMIENTO","INVERSIÓN")</f>
        <v>INVERSIÓN</v>
      </c>
      <c r="E1914" s="48" t="str">
        <f>VLOOKUP(Q1914,[2]PROYECTOS!$G$1:$K$32,5,0)</f>
        <v>Apoyo técnico a atletas y para-atletas que representan en alto rendimiento deportivo al departamento de Antioquia</v>
      </c>
      <c r="F1914" s="48">
        <f>VLOOKUP(E1914,[2]PROYECTOS!$K$1:$M$32,3,0)</f>
        <v>2024003050084</v>
      </c>
      <c r="G1914" s="67" t="s">
        <v>1518</v>
      </c>
      <c r="H1914" s="49" t="str">
        <f>VLOOKUP(Q1914,[2]PROYECTOS!$V$1:$W$32,2,0)</f>
        <v>050079</v>
      </c>
      <c r="I1914" s="78">
        <f>18386562-593115</f>
        <v>17793447</v>
      </c>
      <c r="J1914" s="51" t="s">
        <v>2089</v>
      </c>
      <c r="K1914" s="47" t="str">
        <f t="shared" ca="1" si="602"/>
        <v>CONTRATADO</v>
      </c>
      <c r="L1914" s="47" t="s">
        <v>898</v>
      </c>
      <c r="M1914" s="47" t="s">
        <v>1297</v>
      </c>
      <c r="N1914" s="52" t="s">
        <v>1519</v>
      </c>
      <c r="O1914" s="51" t="e">
        <f>VLOOKUP(N1914,[2]!RUBROS[#All],3,0)</f>
        <v>#REF!</v>
      </c>
      <c r="P1914" s="53" t="e">
        <f>VLOOKUP(N1914,[2]!RUBROS[#All],2,0)</f>
        <v>#REF!</v>
      </c>
      <c r="Q1914" s="47" t="str">
        <f t="shared" si="603"/>
        <v>84</v>
      </c>
      <c r="R1914" s="47" t="str">
        <f t="shared" si="604"/>
        <v>0-205400</v>
      </c>
      <c r="S1914" s="339">
        <v>93</v>
      </c>
      <c r="T1914" s="63" t="s">
        <v>120</v>
      </c>
      <c r="U1914" s="326" t="e">
        <f ca="1">_xlfn.XLOOKUP(PAA_4[[#This Row],[ITEM]],[2]Contrato!A:A,[2]Contrato!Q:Q,"",0)</f>
        <v>#NAME?</v>
      </c>
      <c r="V1914" s="47" t="s">
        <v>95</v>
      </c>
      <c r="W1914" s="47" t="s">
        <v>194</v>
      </c>
      <c r="X1914" s="47" t="s">
        <v>203</v>
      </c>
      <c r="Y1914" s="55" t="e">
        <f ca="1">_xlfn.XLOOKUP(PAA_4[[#This Row],[ITEM]],[2]Contrato!A:A,[2]Contrato!B:B,"",0)</f>
        <v>#NAME?</v>
      </c>
      <c r="Z1914" s="47" t="e">
        <f ca="1">_xlfn.XLOOKUP(PAA_4[[#This Row],[ITEM]],[2]Contrato!A:A,[2]Contrato!G:G,"",0)</f>
        <v>#NAME?</v>
      </c>
      <c r="AA1914" s="47" t="e">
        <f ca="1">_xlfn.XLOOKUP(PAA_4[[#This Row],[ITEM]],[2]Contrato!A:A,[2]Contrato!T:T,"",0)</f>
        <v>#NAME?</v>
      </c>
      <c r="AB1914" s="55" t="e">
        <f ca="1">+MAX(PAA_4[[#This Row],[Comprometido Contrato]],PAA_4[[#This Row],[Comprometido Bolsa]])</f>
        <v>#NAME?</v>
      </c>
      <c r="AC1914" s="55" t="str">
        <f t="shared" ca="1" si="605"/>
        <v/>
      </c>
      <c r="AD1914" s="55" t="e">
        <f ca="1">IF(PAA_4[[#This Row],[ESTADO (formulado)]]="NO CONTRATADO",0,MAX(PAA_4[[#This Row],[Pago por Contrato]],PAA_4[[#This Row],[Pago por bolsa]]))</f>
        <v>#NAME?</v>
      </c>
      <c r="AE1914" s="55" t="str">
        <f t="shared" ca="1" si="606"/>
        <v/>
      </c>
      <c r="AF1914" s="47" t="e">
        <f t="shared" ca="1" si="607"/>
        <v>#NAME?</v>
      </c>
      <c r="AG1914" s="47">
        <f t="shared" si="608"/>
        <v>52010802</v>
      </c>
      <c r="AH1914" s="54">
        <f>IF(Q1914="22",IF(ISNUMBER(SEARCH("econ",PAA_4[[#This Row],[Actividad3]])),"Económico",IF(ISNUMBER(SEARCH("alim",PAA_4[[#This Row],[Actividad3]])),"Alimentación",IF(ISNUMBER(SEARCH("educ",PAA_4[[#This Row],[Actividad3]])),"Educativo","Técnico"))),0)</f>
        <v>0</v>
      </c>
      <c r="AI1914" s="47" t="e" cm="1">
        <f t="array" aca="1" ref="AI1914" ca="1">_xlfn.XLOOKUP(PAA_4[[#This Row],[RCP-RUBRO]],[2]!COMPROMISOS_2024[[#All],[concatenado]],[2]!COMPROMISOS_2024[[#All],[Total pagado]],"",0)</f>
        <v>#NAME?</v>
      </c>
      <c r="AJ1914" s="56">
        <f>IF(PAA_4[[#This Row],[BOLSA]]=0,0,SUMIFS([2]!COMPROMISOS_2024[[#All],[Total pagado]],[2]!COMPROMISOS_2024[[#All],[Bolsa]],PAA_4[[#This Row],[BOLSA]],[2]!COMPROMISOS_2024[[#All],[rubro]],PAA_4[[#This Row],[RCP-RUBRO]]))</f>
        <v>0</v>
      </c>
      <c r="AK1914" s="47" t="e" cm="1">
        <f t="array" aca="1" ref="AK1914" ca="1">_xlfn.XLOOKUP(PAA_4[[#This Row],[RCP-RUBRO]],[2]!COMPROMISOS_2024[[#All],[concatenado]],[2]!COMPROMISOS_2024[[#All],[Total Comprometido]],"",0)</f>
        <v>#NAME?</v>
      </c>
      <c r="AL1914" s="47">
        <f>IF(PAA_4[[#This Row],[BOLSA]]=0,0,SUMIFS([2]!COMPROMISOS_2024[[#All],[Total Comprometido]],[2]!COMPROMISOS_2024[[#All],[Bolsa]],PAA_4[[#This Row],[BOLSA]],[2]!COMPROMISOS_2024[[#All],[concatenado]],PAA_4[[#This Row],[RCP-RUBRO]]))</f>
        <v>0</v>
      </c>
    </row>
    <row r="1915" spans="1:38" s="19" customFormat="1" ht="31.5" customHeight="1">
      <c r="A1915" s="47">
        <v>1100</v>
      </c>
      <c r="B1915" s="47">
        <v>90141502</v>
      </c>
      <c r="C1915" s="47" t="str">
        <f>VLOOKUP(PAA_4[[#This Row],[PROYECTO (formulado)2]],[2]PROYECTOS!$G$1:$L$32,6,0)</f>
        <v>SUBGERENCIA DE ALTOS LOGROS Y DEPORTE ASOCIADO</v>
      </c>
      <c r="D1915" s="47" t="str">
        <f>+IF(PAA_4[[#This Row],[UNIDAD DE CONTRATACION (formulado)]]="Subgerencia Administrativa y Financiera","FUNCIONAMIENTO","INVERSIÓN")</f>
        <v>INVERSIÓN</v>
      </c>
      <c r="E1915" s="48" t="str">
        <f>VLOOKUP(Q1915,[2]PROYECTOS!$G$1:$K$32,5,0)</f>
        <v>Apoyo económico a las organizaciones deportivas que representan en competencias al departamento de Antioquia</v>
      </c>
      <c r="F1915" s="48">
        <f>VLOOKUP(E1915,[2]PROYECTOS!$K$1:$M$32,3,0)</f>
        <v>2024003050102</v>
      </c>
      <c r="G1915" s="67" t="s">
        <v>1516</v>
      </c>
      <c r="H1915" s="49" t="str">
        <f>VLOOKUP(Q1915,[2]PROYECTOS!$V$1:$W$32,2,0)</f>
        <v>050076</v>
      </c>
      <c r="I1915" s="78">
        <f>40000000-10807800</f>
        <v>29192200</v>
      </c>
      <c r="J1915" s="51" t="s">
        <v>2135</v>
      </c>
      <c r="K1915" s="47" t="str">
        <f t="shared" ca="1" si="602"/>
        <v>CONTRATADO</v>
      </c>
      <c r="L1915" s="47" t="s">
        <v>94</v>
      </c>
      <c r="M1915" s="47" t="s">
        <v>1767</v>
      </c>
      <c r="N1915" s="52" t="s">
        <v>1520</v>
      </c>
      <c r="O1915" s="51" t="e">
        <f>VLOOKUP(N1915,[2]!RUBROS[#All],3,0)</f>
        <v>#REF!</v>
      </c>
      <c r="P1915" s="53" t="e">
        <f>VLOOKUP(N1915,[2]!RUBROS[#All],2,0)</f>
        <v>#REF!</v>
      </c>
      <c r="Q1915" s="47" t="str">
        <f t="shared" si="603"/>
        <v>02</v>
      </c>
      <c r="R1915" s="47" t="str">
        <f t="shared" si="604"/>
        <v>4-101124</v>
      </c>
      <c r="S1915" s="339">
        <v>110</v>
      </c>
      <c r="T1915" s="63" t="s">
        <v>120</v>
      </c>
      <c r="U1915" s="326" t="e">
        <f ca="1">_xlfn.XLOOKUP(PAA_4[[#This Row],[ITEM]],[2]Contrato!A:A,[2]Contrato!Q:Q,"",0)</f>
        <v>#NAME?</v>
      </c>
      <c r="V1915" s="47" t="s">
        <v>95</v>
      </c>
      <c r="W1915" s="47" t="s">
        <v>194</v>
      </c>
      <c r="X1915" s="47" t="s">
        <v>203</v>
      </c>
      <c r="Y1915" s="55" t="e">
        <f ca="1">_xlfn.XLOOKUP(PAA_4[[#This Row],[ITEM]],[2]Contrato!A:A,[2]Contrato!B:B,"",0)</f>
        <v>#NAME?</v>
      </c>
      <c r="Z1915" s="47" t="e">
        <f ca="1">_xlfn.XLOOKUP(PAA_4[[#This Row],[ITEM]],[2]Contrato!A:A,[2]Contrato!G:G,"",0)</f>
        <v>#NAME?</v>
      </c>
      <c r="AA1915" s="47" t="e">
        <f ca="1">_xlfn.XLOOKUP(PAA_4[[#This Row],[ITEM]],[2]Contrato!A:A,[2]Contrato!T:T,"",0)</f>
        <v>#NAME?</v>
      </c>
      <c r="AB1915" s="55" t="e">
        <f ca="1">+MAX(PAA_4[[#This Row],[Comprometido Contrato]],PAA_4[[#This Row],[Comprometido Bolsa]])</f>
        <v>#NAME?</v>
      </c>
      <c r="AC1915" s="55" t="str">
        <f t="shared" ca="1" si="605"/>
        <v/>
      </c>
      <c r="AD1915" s="55" t="e">
        <f ca="1">IF(PAA_4[[#This Row],[ESTADO (formulado)]]="NO CONTRATADO",0,MAX(PAA_4[[#This Row],[Pago por Contrato]],PAA_4[[#This Row],[Pago por bolsa]]))</f>
        <v>#NAME?</v>
      </c>
      <c r="AE1915" s="55" t="str">
        <f t="shared" ca="1" si="606"/>
        <v/>
      </c>
      <c r="AF1915" s="47" t="e">
        <f t="shared" ca="1" si="607"/>
        <v>#NAME?</v>
      </c>
      <c r="AG1915" s="47">
        <f t="shared" si="608"/>
        <v>52010801</v>
      </c>
      <c r="AH1915" s="54">
        <f>IF(Q1915="22",IF(ISNUMBER(SEARCH("econ",PAA_4[[#This Row],[Actividad3]])),"Económico",IF(ISNUMBER(SEARCH("alim",PAA_4[[#This Row],[Actividad3]])),"Alimentación",IF(ISNUMBER(SEARCH("educ",PAA_4[[#This Row],[Actividad3]])),"Educativo","Técnico"))),0)</f>
        <v>0</v>
      </c>
      <c r="AI1915" s="47" t="e" cm="1">
        <f t="array" aca="1" ref="AI1915" ca="1">_xlfn.XLOOKUP(PAA_4[[#This Row],[RCP-RUBRO]],[2]!COMPROMISOS_2024[[#All],[concatenado]],[2]!COMPROMISOS_2024[[#All],[Total pagado]],"",0)</f>
        <v>#NAME?</v>
      </c>
      <c r="AJ1915" s="56">
        <f>IF(PAA_4[[#This Row],[BOLSA]]=0,0,SUMIFS([2]!COMPROMISOS_2024[[#All],[Total pagado]],[2]!COMPROMISOS_2024[[#All],[Bolsa]],PAA_4[[#This Row],[BOLSA]],[2]!COMPROMISOS_2024[[#All],[rubro]],PAA_4[[#This Row],[RCP-RUBRO]]))</f>
        <v>0</v>
      </c>
      <c r="AK1915" s="47" t="e" cm="1">
        <f t="array" aca="1" ref="AK1915" ca="1">_xlfn.XLOOKUP(PAA_4[[#This Row],[RCP-RUBRO]],[2]!COMPROMISOS_2024[[#All],[concatenado]],[2]!COMPROMISOS_2024[[#All],[Total Comprometido]],"",0)</f>
        <v>#NAME?</v>
      </c>
      <c r="AL1915" s="47">
        <f>IF(PAA_4[[#This Row],[BOLSA]]=0,0,SUMIFS([2]!COMPROMISOS_2024[[#All],[Total Comprometido]],[2]!COMPROMISOS_2024[[#All],[Bolsa]],PAA_4[[#This Row],[BOLSA]],[2]!COMPROMISOS_2024[[#All],[concatenado]],PAA_4[[#This Row],[RCP-RUBRO]]))</f>
        <v>0</v>
      </c>
    </row>
    <row r="1916" spans="1:38" s="19" customFormat="1" ht="31.5" customHeight="1">
      <c r="A1916" s="47">
        <v>1101</v>
      </c>
      <c r="B1916" s="47">
        <v>80111600</v>
      </c>
      <c r="C1916" s="47" t="str">
        <f>VLOOKUP(PAA_4[[#This Row],[PROYECTO (formulado)2]],[2]PROYECTOS!$G$1:$L$32,6,0)</f>
        <v>SUBGERENCIA DE ALTOS LOGROS Y DEPORTE ASOCIADO</v>
      </c>
      <c r="D1916" s="47" t="str">
        <f>+IF(PAA_4[[#This Row],[UNIDAD DE CONTRATACION (formulado)]]="Subgerencia Administrativa y Financiera","FUNCIONAMIENTO","INVERSIÓN")</f>
        <v>INVERSIÓN</v>
      </c>
      <c r="E1916" s="48" t="str">
        <f>VLOOKUP(Q1916,[2]PROYECTOS!$G$1:$K$32,5,0)</f>
        <v>Fortalecimiento del desarrollo deportivo con miras al alto rendimiento competitivo de los atletas del departamento de Antioquia</v>
      </c>
      <c r="F1916" s="48">
        <f>VLOOKUP(E1916,[2]PROYECTOS!$K$1:$M$32,3,0)</f>
        <v>2024003050087</v>
      </c>
      <c r="G1916" s="67" t="s">
        <v>1548</v>
      </c>
      <c r="H1916" s="49" t="str">
        <f>VLOOKUP(Q1916,[2]PROYECTOS!$V$1:$W$32,2,0)</f>
        <v>050078</v>
      </c>
      <c r="I1916" s="78">
        <f>13068765-901293</f>
        <v>12167472</v>
      </c>
      <c r="J1916" s="51" t="s">
        <v>2136</v>
      </c>
      <c r="K1916" s="47" t="str">
        <f t="shared" ca="1" si="602"/>
        <v>CONTRATADO</v>
      </c>
      <c r="L1916" s="47" t="s">
        <v>898</v>
      </c>
      <c r="M1916" s="47" t="s">
        <v>1297</v>
      </c>
      <c r="N1916" s="52" t="s">
        <v>1549</v>
      </c>
      <c r="O1916" s="51" t="e">
        <f>VLOOKUP(N1916,[2]!RUBROS[#All],3,0)</f>
        <v>#REF!</v>
      </c>
      <c r="P1916" s="53" t="e">
        <f>VLOOKUP(N1916,[2]!RUBROS[#All],2,0)</f>
        <v>#REF!</v>
      </c>
      <c r="Q1916" s="47" t="str">
        <f t="shared" si="603"/>
        <v>87</v>
      </c>
      <c r="R1916" s="47" t="str">
        <f t="shared" si="604"/>
        <v>0-205400</v>
      </c>
      <c r="S1916" s="339">
        <v>116</v>
      </c>
      <c r="T1916" s="63" t="s">
        <v>120</v>
      </c>
      <c r="U1916" s="326" t="e">
        <f ca="1">_xlfn.XLOOKUP(PAA_4[[#This Row],[ITEM]],[2]Contrato!A:A,[2]Contrato!Q:Q,"",0)</f>
        <v>#NAME?</v>
      </c>
      <c r="V1916" s="47" t="s">
        <v>95</v>
      </c>
      <c r="W1916" s="47" t="s">
        <v>194</v>
      </c>
      <c r="X1916" s="47" t="s">
        <v>203</v>
      </c>
      <c r="Y1916" s="55" t="e">
        <f ca="1">_xlfn.XLOOKUP(PAA_4[[#This Row],[ITEM]],[2]Contrato!A:A,[2]Contrato!B:B,"",0)</f>
        <v>#NAME?</v>
      </c>
      <c r="Z1916" s="47" t="e">
        <f ca="1">_xlfn.XLOOKUP(PAA_4[[#This Row],[ITEM]],[2]Contrato!A:A,[2]Contrato!G:G,"",0)</f>
        <v>#NAME?</v>
      </c>
      <c r="AA1916" s="47" t="e">
        <f ca="1">_xlfn.XLOOKUP(PAA_4[[#This Row],[ITEM]],[2]Contrato!A:A,[2]Contrato!T:T,"",0)</f>
        <v>#NAME?</v>
      </c>
      <c r="AB1916" s="55" t="e">
        <f ca="1">+MAX(PAA_4[[#This Row],[Comprometido Contrato]],PAA_4[[#This Row],[Comprometido Bolsa]])</f>
        <v>#NAME?</v>
      </c>
      <c r="AC1916" s="55" t="str">
        <f t="shared" ca="1" si="605"/>
        <v/>
      </c>
      <c r="AD1916" s="55" t="e">
        <f ca="1">IF(PAA_4[[#This Row],[ESTADO (formulado)]]="NO CONTRATADO",0,MAX(PAA_4[[#This Row],[Pago por Contrato]],PAA_4[[#This Row],[Pago por bolsa]]))</f>
        <v>#NAME?</v>
      </c>
      <c r="AE1916" s="55" t="str">
        <f t="shared" ca="1" si="606"/>
        <v/>
      </c>
      <c r="AF1916" s="47" t="e">
        <f t="shared" ca="1" si="607"/>
        <v>#NAME?</v>
      </c>
      <c r="AG1916" s="47">
        <f t="shared" si="608"/>
        <v>52010805</v>
      </c>
      <c r="AH1916" s="54">
        <f>IF(Q1916="22",IF(ISNUMBER(SEARCH("econ",PAA_4[[#This Row],[Actividad3]])),"Económico",IF(ISNUMBER(SEARCH("alim",PAA_4[[#This Row],[Actividad3]])),"Alimentación",IF(ISNUMBER(SEARCH("educ",PAA_4[[#This Row],[Actividad3]])),"Educativo","Técnico"))),0)</f>
        <v>0</v>
      </c>
      <c r="AI1916" s="47" t="e" cm="1">
        <f t="array" aca="1" ref="AI1916" ca="1">_xlfn.XLOOKUP(PAA_4[[#This Row],[RCP-RUBRO]],[2]!COMPROMISOS_2024[[#All],[concatenado]],[2]!COMPROMISOS_2024[[#All],[Total pagado]],"",0)</f>
        <v>#NAME?</v>
      </c>
      <c r="AJ1916" s="56">
        <f>IF(PAA_4[[#This Row],[BOLSA]]=0,0,SUMIFS([2]!COMPROMISOS_2024[[#All],[Total pagado]],[2]!COMPROMISOS_2024[[#All],[Bolsa]],PAA_4[[#This Row],[BOLSA]],[2]!COMPROMISOS_2024[[#All],[rubro]],PAA_4[[#This Row],[RCP-RUBRO]]))</f>
        <v>0</v>
      </c>
      <c r="AK1916" s="47" t="e" cm="1">
        <f t="array" aca="1" ref="AK1916" ca="1">_xlfn.XLOOKUP(PAA_4[[#This Row],[RCP-RUBRO]],[2]!COMPROMISOS_2024[[#All],[concatenado]],[2]!COMPROMISOS_2024[[#All],[Total Comprometido]],"",0)</f>
        <v>#NAME?</v>
      </c>
      <c r="AL1916" s="47">
        <f>IF(PAA_4[[#This Row],[BOLSA]]=0,0,SUMIFS([2]!COMPROMISOS_2024[[#All],[Total Comprometido]],[2]!COMPROMISOS_2024[[#All],[Bolsa]],PAA_4[[#This Row],[BOLSA]],[2]!COMPROMISOS_2024[[#All],[concatenado]],PAA_4[[#This Row],[RCP-RUBRO]]))</f>
        <v>0</v>
      </c>
    </row>
    <row r="1917" spans="1:38" s="19" customFormat="1" ht="31.5" customHeight="1">
      <c r="A1917" s="47">
        <v>1155</v>
      </c>
      <c r="B1917" s="47">
        <v>90141502</v>
      </c>
      <c r="C1917" s="47" t="str">
        <f>VLOOKUP(PAA_4[[#This Row],[PROYECTO (formulado)2]],[2]PROYECTOS!$G$1:$L$32,6,0)</f>
        <v>SUBGERENCIA DE ALTOS LOGROS Y DEPORTE ASOCIADO</v>
      </c>
      <c r="D1917" s="47" t="str">
        <f>+IF(PAA_4[[#This Row],[UNIDAD DE CONTRATACION (formulado)]]="Subgerencia Administrativa y Financiera","FUNCIONAMIENTO","INVERSIÓN")</f>
        <v>INVERSIÓN</v>
      </c>
      <c r="E1917" s="48" t="str">
        <f>VLOOKUP(Q1917,[2]PROYECTOS!$G$1:$K$32,5,0)</f>
        <v>Apoyo económico a las organizaciones deportivas que representan en competencias al departamento de Antioquia</v>
      </c>
      <c r="F1917" s="48">
        <f>VLOOKUP(E1917,[2]PROYECTOS!$K$1:$M$32,3,0)</f>
        <v>2024003050102</v>
      </c>
      <c r="G1917" s="67" t="s">
        <v>1516</v>
      </c>
      <c r="H1917" s="49" t="str">
        <f>VLOOKUP(Q1917,[2]PROYECTOS!$V$1:$W$32,2,0)</f>
        <v>050076</v>
      </c>
      <c r="I1917" s="78">
        <v>15000000</v>
      </c>
      <c r="J1917" s="51" t="s">
        <v>2137</v>
      </c>
      <c r="K1917" s="47" t="str">
        <f t="shared" ca="1" si="602"/>
        <v>CONTRATADO</v>
      </c>
      <c r="L1917" s="47" t="s">
        <v>78</v>
      </c>
      <c r="M1917" s="47" t="s">
        <v>1767</v>
      </c>
      <c r="N1917" s="52" t="s">
        <v>1520</v>
      </c>
      <c r="O1917" s="51" t="e">
        <f>VLOOKUP(N1917,[2]!RUBROS[#All],3,0)</f>
        <v>#REF!</v>
      </c>
      <c r="P1917" s="53" t="e">
        <f>VLOOKUP(N1917,[2]!RUBROS[#All],2,0)</f>
        <v>#REF!</v>
      </c>
      <c r="Q1917" s="47" t="str">
        <f t="shared" si="603"/>
        <v>02</v>
      </c>
      <c r="R1917" s="47" t="str">
        <f t="shared" si="604"/>
        <v>4-101124</v>
      </c>
      <c r="S1917" s="339">
        <v>105</v>
      </c>
      <c r="T1917" s="63" t="s">
        <v>120</v>
      </c>
      <c r="U1917" s="326" t="e">
        <f ca="1">_xlfn.XLOOKUP(PAA_4[[#This Row],[ITEM]],[2]Contrato!A:A,[2]Contrato!Q:Q,"",0)</f>
        <v>#NAME?</v>
      </c>
      <c r="V1917" s="47" t="s">
        <v>95</v>
      </c>
      <c r="W1917" s="47" t="s">
        <v>203</v>
      </c>
      <c r="X1917" s="47" t="s">
        <v>203</v>
      </c>
      <c r="Y1917" s="55" t="e">
        <f ca="1">_xlfn.XLOOKUP(PAA_4[[#This Row],[ITEM]],[2]Contrato!A:A,[2]Contrato!B:B,"",0)</f>
        <v>#NAME?</v>
      </c>
      <c r="Z1917" s="47" t="e">
        <f ca="1">_xlfn.XLOOKUP(PAA_4[[#This Row],[ITEM]],[2]Contrato!A:A,[2]Contrato!G:G,"",0)</f>
        <v>#NAME?</v>
      </c>
      <c r="AA1917" s="47" t="e">
        <f ca="1">_xlfn.XLOOKUP(PAA_4[[#This Row],[ITEM]],[2]Contrato!A:A,[2]Contrato!T:T,"",0)</f>
        <v>#NAME?</v>
      </c>
      <c r="AB1917" s="55" t="e">
        <f ca="1">+MAX(PAA_4[[#This Row],[Comprometido Contrato]],PAA_4[[#This Row],[Comprometido Bolsa]])</f>
        <v>#NAME?</v>
      </c>
      <c r="AC1917" s="55" t="str">
        <f t="shared" ca="1" si="605"/>
        <v/>
      </c>
      <c r="AD1917" s="55" t="e">
        <f ca="1">IF(PAA_4[[#This Row],[ESTADO (formulado)]]="NO CONTRATADO",0,MAX(PAA_4[[#This Row],[Pago por Contrato]],PAA_4[[#This Row],[Pago por bolsa]]))</f>
        <v>#NAME?</v>
      </c>
      <c r="AE1917" s="55" t="str">
        <f t="shared" ca="1" si="606"/>
        <v/>
      </c>
      <c r="AF1917" s="47" t="e">
        <f t="shared" ca="1" si="607"/>
        <v>#NAME?</v>
      </c>
      <c r="AG1917" s="47">
        <f t="shared" si="608"/>
        <v>52010801</v>
      </c>
      <c r="AH1917" s="54">
        <f>IF(Q1917="22",IF(ISNUMBER(SEARCH("econ",PAA_4[[#This Row],[Actividad3]])),"Económico",IF(ISNUMBER(SEARCH("alim",PAA_4[[#This Row],[Actividad3]])),"Alimentación",IF(ISNUMBER(SEARCH("educ",PAA_4[[#This Row],[Actividad3]])),"Educativo","Técnico"))),0)</f>
        <v>0</v>
      </c>
      <c r="AI1917" s="47" t="e" cm="1">
        <f t="array" aca="1" ref="AI1917" ca="1">_xlfn.XLOOKUP(PAA_4[[#This Row],[RCP-RUBRO]],[2]!COMPROMISOS_2024[[#All],[concatenado]],[2]!COMPROMISOS_2024[[#All],[Total pagado]],"",0)</f>
        <v>#NAME?</v>
      </c>
      <c r="AJ1917" s="56">
        <f>IF(PAA_4[[#This Row],[BOLSA]]=0,0,SUMIFS([2]!COMPROMISOS_2024[[#All],[Total pagado]],[2]!COMPROMISOS_2024[[#All],[Bolsa]],PAA_4[[#This Row],[BOLSA]],[2]!COMPROMISOS_2024[[#All],[rubro]],PAA_4[[#This Row],[RCP-RUBRO]]))</f>
        <v>0</v>
      </c>
      <c r="AK1917" s="47" t="e" cm="1">
        <f t="array" aca="1" ref="AK1917" ca="1">_xlfn.XLOOKUP(PAA_4[[#This Row],[RCP-RUBRO]],[2]!COMPROMISOS_2024[[#All],[concatenado]],[2]!COMPROMISOS_2024[[#All],[Total Comprometido]],"",0)</f>
        <v>#NAME?</v>
      </c>
      <c r="AL1917" s="47">
        <f>IF(PAA_4[[#This Row],[BOLSA]]=0,0,SUMIFS([2]!COMPROMISOS_2024[[#All],[Total Comprometido]],[2]!COMPROMISOS_2024[[#All],[Bolsa]],PAA_4[[#This Row],[BOLSA]],[2]!COMPROMISOS_2024[[#All],[concatenado]],PAA_4[[#This Row],[RCP-RUBRO]]))</f>
        <v>0</v>
      </c>
    </row>
    <row r="1918" spans="1:38" s="19" customFormat="1" ht="31.5" customHeight="1">
      <c r="A1918" s="47">
        <v>1146</v>
      </c>
      <c r="B1918" s="47">
        <v>90141502</v>
      </c>
      <c r="C1918" s="47" t="str">
        <f>VLOOKUP(PAA_4[[#This Row],[PROYECTO (formulado)2]],[2]PROYECTOS!$G$1:$L$32,6,0)</f>
        <v>SUBGERENCIA DE ALTOS LOGROS Y DEPORTE ASOCIADO</v>
      </c>
      <c r="D1918" s="47" t="str">
        <f>+IF(PAA_4[[#This Row],[UNIDAD DE CONTRATACION (formulado)]]="Subgerencia Administrativa y Financiera","FUNCIONAMIENTO","INVERSIÓN")</f>
        <v>INVERSIÓN</v>
      </c>
      <c r="E1918" s="48" t="str">
        <f>VLOOKUP(Q1918,[2]PROYECTOS!$G$1:$K$32,5,0)</f>
        <v>Apoyo económico a las organizaciones deportivas que representan en competencias al departamento de Antioquia</v>
      </c>
      <c r="F1918" s="48">
        <f>VLOOKUP(E1918,[2]PROYECTOS!$K$1:$M$32,3,0)</f>
        <v>2024003050102</v>
      </c>
      <c r="G1918" s="67" t="s">
        <v>1516</v>
      </c>
      <c r="H1918" s="49" t="str">
        <f>VLOOKUP(Q1918,[2]PROYECTOS!$V$1:$W$32,2,0)</f>
        <v>050076</v>
      </c>
      <c r="I1918" s="78">
        <v>80000000</v>
      </c>
      <c r="J1918" s="51" t="s">
        <v>2138</v>
      </c>
      <c r="K1918" s="47" t="str">
        <f t="shared" ca="1" si="602"/>
        <v>CONTRATADO</v>
      </c>
      <c r="L1918" s="47" t="s">
        <v>78</v>
      </c>
      <c r="M1918" s="47" t="s">
        <v>1767</v>
      </c>
      <c r="N1918" s="52" t="s">
        <v>1520</v>
      </c>
      <c r="O1918" s="51" t="e">
        <f>VLOOKUP(N1918,[2]!RUBROS[#All],3,0)</f>
        <v>#REF!</v>
      </c>
      <c r="P1918" s="53" t="e">
        <f>VLOOKUP(N1918,[2]!RUBROS[#All],2,0)</f>
        <v>#REF!</v>
      </c>
      <c r="Q1918" s="47" t="str">
        <f t="shared" si="603"/>
        <v>02</v>
      </c>
      <c r="R1918" s="47" t="str">
        <f t="shared" si="604"/>
        <v>4-101124</v>
      </c>
      <c r="S1918" s="339">
        <v>105</v>
      </c>
      <c r="T1918" s="63" t="s">
        <v>120</v>
      </c>
      <c r="U1918" s="326" t="e">
        <f ca="1">_xlfn.XLOOKUP(PAA_4[[#This Row],[ITEM]],[2]Contrato!A:A,[2]Contrato!Q:Q,"",0)</f>
        <v>#NAME?</v>
      </c>
      <c r="V1918" s="47" t="s">
        <v>95</v>
      </c>
      <c r="W1918" s="47" t="s">
        <v>203</v>
      </c>
      <c r="X1918" s="47" t="s">
        <v>203</v>
      </c>
      <c r="Y1918" s="55" t="e">
        <f ca="1">_xlfn.XLOOKUP(PAA_4[[#This Row],[ITEM]],[2]Contrato!A:A,[2]Contrato!B:B,"",0)</f>
        <v>#NAME?</v>
      </c>
      <c r="Z1918" s="47" t="e">
        <f ca="1">_xlfn.XLOOKUP(PAA_4[[#This Row],[ITEM]],[2]Contrato!A:A,[2]Contrato!G:G,"",0)</f>
        <v>#NAME?</v>
      </c>
      <c r="AA1918" s="47" t="e">
        <f ca="1">_xlfn.XLOOKUP(PAA_4[[#This Row],[ITEM]],[2]Contrato!A:A,[2]Contrato!T:T,"",0)</f>
        <v>#NAME?</v>
      </c>
      <c r="AB1918" s="55" t="e">
        <f ca="1">+MAX(PAA_4[[#This Row],[Comprometido Contrato]],PAA_4[[#This Row],[Comprometido Bolsa]])</f>
        <v>#NAME?</v>
      </c>
      <c r="AC1918" s="55" t="str">
        <f t="shared" ca="1" si="605"/>
        <v/>
      </c>
      <c r="AD1918" s="55" t="e">
        <f ca="1">IF(PAA_4[[#This Row],[ESTADO (formulado)]]="NO CONTRATADO",0,MAX(PAA_4[[#This Row],[Pago por Contrato]],PAA_4[[#This Row],[Pago por bolsa]]))</f>
        <v>#NAME?</v>
      </c>
      <c r="AE1918" s="55" t="str">
        <f t="shared" ca="1" si="606"/>
        <v/>
      </c>
      <c r="AF1918" s="47" t="e">
        <f t="shared" ca="1" si="607"/>
        <v>#NAME?</v>
      </c>
      <c r="AG1918" s="47">
        <f t="shared" si="608"/>
        <v>52010801</v>
      </c>
      <c r="AH1918" s="54">
        <f>IF(Q1918="22",IF(ISNUMBER(SEARCH("econ",PAA_4[[#This Row],[Actividad3]])),"Económico",IF(ISNUMBER(SEARCH("alim",PAA_4[[#This Row],[Actividad3]])),"Alimentación",IF(ISNUMBER(SEARCH("educ",PAA_4[[#This Row],[Actividad3]])),"Educativo","Técnico"))),0)</f>
        <v>0</v>
      </c>
      <c r="AI1918" s="47" t="e" cm="1">
        <f t="array" aca="1" ref="AI1918" ca="1">_xlfn.XLOOKUP(PAA_4[[#This Row],[RCP-RUBRO]],[2]!COMPROMISOS_2024[[#All],[concatenado]],[2]!COMPROMISOS_2024[[#All],[Total pagado]],"",0)</f>
        <v>#NAME?</v>
      </c>
      <c r="AJ1918" s="56">
        <f>IF(PAA_4[[#This Row],[BOLSA]]=0,0,SUMIFS([2]!COMPROMISOS_2024[[#All],[Total pagado]],[2]!COMPROMISOS_2024[[#All],[Bolsa]],PAA_4[[#This Row],[BOLSA]],[2]!COMPROMISOS_2024[[#All],[rubro]],PAA_4[[#This Row],[RCP-RUBRO]]))</f>
        <v>0</v>
      </c>
      <c r="AK1918" s="47" t="e" cm="1">
        <f t="array" aca="1" ref="AK1918" ca="1">_xlfn.XLOOKUP(PAA_4[[#This Row],[RCP-RUBRO]],[2]!COMPROMISOS_2024[[#All],[concatenado]],[2]!COMPROMISOS_2024[[#All],[Total Comprometido]],"",0)</f>
        <v>#NAME?</v>
      </c>
      <c r="AL1918" s="47">
        <f>IF(PAA_4[[#This Row],[BOLSA]]=0,0,SUMIFS([2]!COMPROMISOS_2024[[#All],[Total Comprometido]],[2]!COMPROMISOS_2024[[#All],[Bolsa]],PAA_4[[#This Row],[BOLSA]],[2]!COMPROMISOS_2024[[#All],[concatenado]],PAA_4[[#This Row],[RCP-RUBRO]]))</f>
        <v>0</v>
      </c>
    </row>
    <row r="1919" spans="1:38" s="19" customFormat="1" ht="31.5" customHeight="1">
      <c r="A1919" s="47">
        <v>1147</v>
      </c>
      <c r="B1919" s="47">
        <v>90141502</v>
      </c>
      <c r="C1919" s="47" t="str">
        <f>VLOOKUP(PAA_4[[#This Row],[PROYECTO (formulado)2]],[2]PROYECTOS!$G$1:$L$32,6,0)</f>
        <v>SUBGERENCIA DE ALTOS LOGROS Y DEPORTE ASOCIADO</v>
      </c>
      <c r="D1919" s="47" t="str">
        <f>+IF(PAA_4[[#This Row],[UNIDAD DE CONTRATACION (formulado)]]="Subgerencia Administrativa y Financiera","FUNCIONAMIENTO","INVERSIÓN")</f>
        <v>INVERSIÓN</v>
      </c>
      <c r="E1919" s="48" t="str">
        <f>VLOOKUP(Q1919,[2]PROYECTOS!$G$1:$K$32,5,0)</f>
        <v>Apoyo económico a las organizaciones deportivas que representan en competencias al departamento de Antioquia</v>
      </c>
      <c r="F1919" s="48">
        <f>VLOOKUP(E1919,[2]PROYECTOS!$K$1:$M$32,3,0)</f>
        <v>2024003050102</v>
      </c>
      <c r="G1919" s="67" t="s">
        <v>1516</v>
      </c>
      <c r="H1919" s="49" t="str">
        <f>VLOOKUP(Q1919,[2]PROYECTOS!$V$1:$W$32,2,0)</f>
        <v>050076</v>
      </c>
      <c r="I1919" s="78">
        <f>73778000-383</f>
        <v>73777617</v>
      </c>
      <c r="J1919" s="51" t="s">
        <v>2139</v>
      </c>
      <c r="K1919" s="47" t="str">
        <f t="shared" ca="1" si="602"/>
        <v>CONTRATADO</v>
      </c>
      <c r="L1919" s="47" t="s">
        <v>78</v>
      </c>
      <c r="M1919" s="47" t="s">
        <v>1767</v>
      </c>
      <c r="N1919" s="52" t="s">
        <v>1520</v>
      </c>
      <c r="O1919" s="51" t="e">
        <f>VLOOKUP(N1919,[2]!RUBROS[#All],3,0)</f>
        <v>#REF!</v>
      </c>
      <c r="P1919" s="53" t="e">
        <f>VLOOKUP(N1919,[2]!RUBROS[#All],2,0)</f>
        <v>#REF!</v>
      </c>
      <c r="Q1919" s="47" t="str">
        <f t="shared" si="603"/>
        <v>02</v>
      </c>
      <c r="R1919" s="47" t="str">
        <f t="shared" si="604"/>
        <v>4-101124</v>
      </c>
      <c r="S1919" s="339">
        <v>105</v>
      </c>
      <c r="T1919" s="63" t="s">
        <v>120</v>
      </c>
      <c r="U1919" s="326" t="e">
        <f ca="1">_xlfn.XLOOKUP(PAA_4[[#This Row],[ITEM]],[2]Contrato!A:A,[2]Contrato!Q:Q,"",0)</f>
        <v>#NAME?</v>
      </c>
      <c r="V1919" s="47" t="s">
        <v>95</v>
      </c>
      <c r="W1919" s="47" t="s">
        <v>203</v>
      </c>
      <c r="X1919" s="47" t="s">
        <v>203</v>
      </c>
      <c r="Y1919" s="55" t="e">
        <f ca="1">_xlfn.XLOOKUP(PAA_4[[#This Row],[ITEM]],[2]Contrato!A:A,[2]Contrato!B:B,"",0)</f>
        <v>#NAME?</v>
      </c>
      <c r="Z1919" s="47" t="e">
        <f ca="1">_xlfn.XLOOKUP(PAA_4[[#This Row],[ITEM]],[2]Contrato!A:A,[2]Contrato!G:G,"",0)</f>
        <v>#NAME?</v>
      </c>
      <c r="AA1919" s="47" t="e">
        <f ca="1">_xlfn.XLOOKUP(PAA_4[[#This Row],[ITEM]],[2]Contrato!A:A,[2]Contrato!T:T,"",0)</f>
        <v>#NAME?</v>
      </c>
      <c r="AB1919" s="55" t="e">
        <f ca="1">+MAX(PAA_4[[#This Row],[Comprometido Contrato]],PAA_4[[#This Row],[Comprometido Bolsa]])</f>
        <v>#NAME?</v>
      </c>
      <c r="AC1919" s="55" t="str">
        <f t="shared" ca="1" si="605"/>
        <v/>
      </c>
      <c r="AD1919" s="55" t="e">
        <f ca="1">IF(PAA_4[[#This Row],[ESTADO (formulado)]]="NO CONTRATADO",0,MAX(PAA_4[[#This Row],[Pago por Contrato]],PAA_4[[#This Row],[Pago por bolsa]]))</f>
        <v>#NAME?</v>
      </c>
      <c r="AE1919" s="55" t="str">
        <f t="shared" ca="1" si="606"/>
        <v/>
      </c>
      <c r="AF1919" s="47" t="e">
        <f t="shared" ca="1" si="607"/>
        <v>#NAME?</v>
      </c>
      <c r="AG1919" s="47">
        <f t="shared" si="608"/>
        <v>52010801</v>
      </c>
      <c r="AH1919" s="54">
        <f>IF(Q1919="22",IF(ISNUMBER(SEARCH("econ",PAA_4[[#This Row],[Actividad3]])),"Económico",IF(ISNUMBER(SEARCH("alim",PAA_4[[#This Row],[Actividad3]])),"Alimentación",IF(ISNUMBER(SEARCH("educ",PAA_4[[#This Row],[Actividad3]])),"Educativo","Técnico"))),0)</f>
        <v>0</v>
      </c>
      <c r="AI1919" s="47" t="e" cm="1">
        <f t="array" aca="1" ref="AI1919" ca="1">_xlfn.XLOOKUP(PAA_4[[#This Row],[RCP-RUBRO]],[2]!COMPROMISOS_2024[[#All],[concatenado]],[2]!COMPROMISOS_2024[[#All],[Total pagado]],"",0)</f>
        <v>#NAME?</v>
      </c>
      <c r="AJ1919" s="56">
        <f>IF(PAA_4[[#This Row],[BOLSA]]=0,0,SUMIFS([2]!COMPROMISOS_2024[[#All],[Total pagado]],[2]!COMPROMISOS_2024[[#All],[Bolsa]],PAA_4[[#This Row],[BOLSA]],[2]!COMPROMISOS_2024[[#All],[rubro]],PAA_4[[#This Row],[RCP-RUBRO]]))</f>
        <v>0</v>
      </c>
      <c r="AK1919" s="47" t="e" cm="1">
        <f t="array" aca="1" ref="AK1919" ca="1">_xlfn.XLOOKUP(PAA_4[[#This Row],[RCP-RUBRO]],[2]!COMPROMISOS_2024[[#All],[concatenado]],[2]!COMPROMISOS_2024[[#All],[Total Comprometido]],"",0)</f>
        <v>#NAME?</v>
      </c>
      <c r="AL1919" s="47">
        <f>IF(PAA_4[[#This Row],[BOLSA]]=0,0,SUMIFS([2]!COMPROMISOS_2024[[#All],[Total Comprometido]],[2]!COMPROMISOS_2024[[#All],[Bolsa]],PAA_4[[#This Row],[BOLSA]],[2]!COMPROMISOS_2024[[#All],[concatenado]],PAA_4[[#This Row],[RCP-RUBRO]]))</f>
        <v>0</v>
      </c>
    </row>
    <row r="1920" spans="1:38" s="19" customFormat="1" ht="31.5" customHeight="1">
      <c r="A1920" s="47">
        <v>1148</v>
      </c>
      <c r="B1920" s="47">
        <v>90141502</v>
      </c>
      <c r="C1920" s="47" t="str">
        <f>VLOOKUP(PAA_4[[#This Row],[PROYECTO (formulado)2]],[2]PROYECTOS!$G$1:$L$32,6,0)</f>
        <v>SUBGERENCIA DE ALTOS LOGROS Y DEPORTE ASOCIADO</v>
      </c>
      <c r="D1920" s="47" t="str">
        <f>+IF(PAA_4[[#This Row],[UNIDAD DE CONTRATACION (formulado)]]="Subgerencia Administrativa y Financiera","FUNCIONAMIENTO","INVERSIÓN")</f>
        <v>INVERSIÓN</v>
      </c>
      <c r="E1920" s="48" t="str">
        <f>VLOOKUP(Q1920,[2]PROYECTOS!$G$1:$K$32,5,0)</f>
        <v>Apoyo económico a las organizaciones deportivas que representan en competencias al departamento de Antioquia</v>
      </c>
      <c r="F1920" s="48">
        <f>VLOOKUP(E1920,[2]PROYECTOS!$K$1:$M$32,3,0)</f>
        <v>2024003050102</v>
      </c>
      <c r="G1920" s="67" t="s">
        <v>1516</v>
      </c>
      <c r="H1920" s="49" t="str">
        <f>VLOOKUP(Q1920,[2]PROYECTOS!$V$1:$W$32,2,0)</f>
        <v>050076</v>
      </c>
      <c r="I1920" s="78">
        <f>30000000-79160</f>
        <v>29920840</v>
      </c>
      <c r="J1920" s="51" t="s">
        <v>2140</v>
      </c>
      <c r="K1920" s="47" t="str">
        <f t="shared" ref="K1920:K1983" ca="1" si="609">IF(ISNONTEXT(Y1920)=TRUE,"CONTRATADO","NO CONTRATADO")</f>
        <v>CONTRATADO</v>
      </c>
      <c r="L1920" s="47" t="s">
        <v>78</v>
      </c>
      <c r="M1920" s="47" t="s">
        <v>1767</v>
      </c>
      <c r="N1920" s="52" t="s">
        <v>1520</v>
      </c>
      <c r="O1920" s="51" t="e">
        <f>VLOOKUP(N1920,[2]!RUBROS[#All],3,0)</f>
        <v>#REF!</v>
      </c>
      <c r="P1920" s="53" t="e">
        <f>VLOOKUP(N1920,[2]!RUBROS[#All],2,0)</f>
        <v>#REF!</v>
      </c>
      <c r="Q1920" s="47" t="str">
        <f t="shared" si="603"/>
        <v>02</v>
      </c>
      <c r="R1920" s="47" t="str">
        <f t="shared" si="604"/>
        <v>4-101124</v>
      </c>
      <c r="S1920" s="339">
        <v>105</v>
      </c>
      <c r="T1920" s="63" t="s">
        <v>120</v>
      </c>
      <c r="U1920" s="326" t="e">
        <f ca="1">_xlfn.XLOOKUP(PAA_4[[#This Row],[ITEM]],[2]Contrato!A:A,[2]Contrato!Q:Q,"",0)</f>
        <v>#NAME?</v>
      </c>
      <c r="V1920" s="47" t="s">
        <v>95</v>
      </c>
      <c r="W1920" s="47" t="s">
        <v>203</v>
      </c>
      <c r="X1920" s="47" t="s">
        <v>203</v>
      </c>
      <c r="Y1920" s="55" t="e">
        <f ca="1">_xlfn.XLOOKUP(PAA_4[[#This Row],[ITEM]],[2]Contrato!A:A,[2]Contrato!B:B,"",0)</f>
        <v>#NAME?</v>
      </c>
      <c r="Z1920" s="47" t="e">
        <f ca="1">_xlfn.XLOOKUP(PAA_4[[#This Row],[ITEM]],[2]Contrato!A:A,[2]Contrato!G:G,"",0)</f>
        <v>#NAME?</v>
      </c>
      <c r="AA1920" s="47" t="e">
        <f ca="1">_xlfn.XLOOKUP(PAA_4[[#This Row],[ITEM]],[2]Contrato!A:A,[2]Contrato!T:T,"",0)</f>
        <v>#NAME?</v>
      </c>
      <c r="AB1920" s="55" t="e">
        <f ca="1">+MAX(PAA_4[[#This Row],[Comprometido Contrato]],PAA_4[[#This Row],[Comprometido Bolsa]])</f>
        <v>#NAME?</v>
      </c>
      <c r="AC1920" s="55" t="str">
        <f t="shared" ca="1" si="605"/>
        <v/>
      </c>
      <c r="AD1920" s="55" t="e">
        <f ca="1">IF(PAA_4[[#This Row],[ESTADO (formulado)]]="NO CONTRATADO",0,MAX(PAA_4[[#This Row],[Pago por Contrato]],PAA_4[[#This Row],[Pago por bolsa]]))</f>
        <v>#NAME?</v>
      </c>
      <c r="AE1920" s="55" t="str">
        <f t="shared" ref="AE1920:AE1983" ca="1" si="610">+IFERROR(AB1920-AD1920,"")</f>
        <v/>
      </c>
      <c r="AF1920" s="47" t="e">
        <f t="shared" ca="1" si="607"/>
        <v>#NAME?</v>
      </c>
      <c r="AG1920" s="47">
        <f t="shared" ref="AG1920:AG1983" si="611">IFERROR(_xlfn.NUMBERVALUE(MID(G1920,1,8)),"")</f>
        <v>52010801</v>
      </c>
      <c r="AH1920" s="54">
        <f>IF(Q1920="22",IF(ISNUMBER(SEARCH("econ",PAA_4[[#This Row],[Actividad3]])),"Económico",IF(ISNUMBER(SEARCH("alim",PAA_4[[#This Row],[Actividad3]])),"Alimentación",IF(ISNUMBER(SEARCH("educ",PAA_4[[#This Row],[Actividad3]])),"Educativo","Técnico"))),0)</f>
        <v>0</v>
      </c>
      <c r="AI1920" s="47" t="e" cm="1">
        <f t="array" aca="1" ref="AI1920" ca="1">_xlfn.XLOOKUP(PAA_4[[#This Row],[RCP-RUBRO]],[2]!COMPROMISOS_2024[[#All],[concatenado]],[2]!COMPROMISOS_2024[[#All],[Total pagado]],"",0)</f>
        <v>#NAME?</v>
      </c>
      <c r="AJ1920" s="56">
        <f>IF(PAA_4[[#This Row],[BOLSA]]=0,0,SUMIFS([2]!COMPROMISOS_2024[[#All],[Total pagado]],[2]!COMPROMISOS_2024[[#All],[Bolsa]],PAA_4[[#This Row],[BOLSA]],[2]!COMPROMISOS_2024[[#All],[rubro]],PAA_4[[#This Row],[RCP-RUBRO]]))</f>
        <v>0</v>
      </c>
      <c r="AK1920" s="47" t="e" cm="1">
        <f t="array" aca="1" ref="AK1920" ca="1">_xlfn.XLOOKUP(PAA_4[[#This Row],[RCP-RUBRO]],[2]!COMPROMISOS_2024[[#All],[concatenado]],[2]!COMPROMISOS_2024[[#All],[Total Comprometido]],"",0)</f>
        <v>#NAME?</v>
      </c>
      <c r="AL1920" s="47">
        <f>IF(PAA_4[[#This Row],[BOLSA]]=0,0,SUMIFS([2]!COMPROMISOS_2024[[#All],[Total Comprometido]],[2]!COMPROMISOS_2024[[#All],[Bolsa]],PAA_4[[#This Row],[BOLSA]],[2]!COMPROMISOS_2024[[#All],[concatenado]],PAA_4[[#This Row],[RCP-RUBRO]]))</f>
        <v>0</v>
      </c>
    </row>
    <row r="1921" spans="1:38" s="19" customFormat="1" ht="31.5" customHeight="1">
      <c r="A1921" s="47">
        <v>1149</v>
      </c>
      <c r="B1921" s="47">
        <v>90141502</v>
      </c>
      <c r="C1921" s="47" t="str">
        <f>VLOOKUP(PAA_4[[#This Row],[PROYECTO (formulado)2]],[2]PROYECTOS!$G$1:$L$32,6,0)</f>
        <v>SUBGERENCIA DE ALTOS LOGROS Y DEPORTE ASOCIADO</v>
      </c>
      <c r="D1921" s="47" t="str">
        <f>+IF(PAA_4[[#This Row],[UNIDAD DE CONTRATACION (formulado)]]="Subgerencia Administrativa y Financiera","FUNCIONAMIENTO","INVERSIÓN")</f>
        <v>INVERSIÓN</v>
      </c>
      <c r="E1921" s="48" t="str">
        <f>VLOOKUP(Q1921,[2]PROYECTOS!$G$1:$K$32,5,0)</f>
        <v>Apoyo económico a las organizaciones deportivas que representan en competencias al departamento de Antioquia</v>
      </c>
      <c r="F1921" s="48">
        <f>VLOOKUP(E1921,[2]PROYECTOS!$K$1:$M$32,3,0)</f>
        <v>2024003050102</v>
      </c>
      <c r="G1921" s="67" t="s">
        <v>1516</v>
      </c>
      <c r="H1921" s="49" t="str">
        <f>VLOOKUP(Q1921,[2]PROYECTOS!$V$1:$W$32,2,0)</f>
        <v>050076</v>
      </c>
      <c r="I1921" s="78">
        <f>45000000-450000</f>
        <v>44550000</v>
      </c>
      <c r="J1921" s="51" t="s">
        <v>2141</v>
      </c>
      <c r="K1921" s="47" t="str">
        <f t="shared" ca="1" si="609"/>
        <v>CONTRATADO</v>
      </c>
      <c r="L1921" s="47" t="s">
        <v>78</v>
      </c>
      <c r="M1921" s="47" t="s">
        <v>1767</v>
      </c>
      <c r="N1921" s="52" t="s">
        <v>1520</v>
      </c>
      <c r="O1921" s="51" t="e">
        <f>VLOOKUP(N1921,[2]!RUBROS[#All],3,0)</f>
        <v>#REF!</v>
      </c>
      <c r="P1921" s="53" t="e">
        <f>VLOOKUP(N1921,[2]!RUBROS[#All],2,0)</f>
        <v>#REF!</v>
      </c>
      <c r="Q1921" s="47" t="str">
        <f t="shared" si="603"/>
        <v>02</v>
      </c>
      <c r="R1921" s="47" t="str">
        <f t="shared" si="604"/>
        <v>4-101124</v>
      </c>
      <c r="S1921" s="339">
        <v>105</v>
      </c>
      <c r="T1921" s="63" t="s">
        <v>120</v>
      </c>
      <c r="U1921" s="326" t="e">
        <f ca="1">_xlfn.XLOOKUP(PAA_4[[#This Row],[ITEM]],[2]Contrato!A:A,[2]Contrato!Q:Q,"",0)</f>
        <v>#NAME?</v>
      </c>
      <c r="V1921" s="47" t="s">
        <v>95</v>
      </c>
      <c r="W1921" s="47" t="s">
        <v>203</v>
      </c>
      <c r="X1921" s="47" t="s">
        <v>203</v>
      </c>
      <c r="Y1921" s="55" t="e">
        <f ca="1">_xlfn.XLOOKUP(PAA_4[[#This Row],[ITEM]],[2]Contrato!A:A,[2]Contrato!B:B,"",0)</f>
        <v>#NAME?</v>
      </c>
      <c r="Z1921" s="47" t="e">
        <f ca="1">_xlfn.XLOOKUP(PAA_4[[#This Row],[ITEM]],[2]Contrato!A:A,[2]Contrato!G:G,"",0)</f>
        <v>#NAME?</v>
      </c>
      <c r="AA1921" s="47" t="e">
        <f ca="1">_xlfn.XLOOKUP(PAA_4[[#This Row],[ITEM]],[2]Contrato!A:A,[2]Contrato!T:T,"",0)</f>
        <v>#NAME?</v>
      </c>
      <c r="AB1921" s="55" t="e">
        <f ca="1">+MAX(PAA_4[[#This Row],[Comprometido Contrato]],PAA_4[[#This Row],[Comprometido Bolsa]])</f>
        <v>#NAME?</v>
      </c>
      <c r="AC1921" s="55" t="str">
        <f t="shared" ca="1" si="605"/>
        <v/>
      </c>
      <c r="AD1921" s="55" t="e">
        <f ca="1">IF(PAA_4[[#This Row],[ESTADO (formulado)]]="NO CONTRATADO",0,MAX(PAA_4[[#This Row],[Pago por Contrato]],PAA_4[[#This Row],[Pago por bolsa]]))</f>
        <v>#NAME?</v>
      </c>
      <c r="AE1921" s="55" t="str">
        <f t="shared" ca="1" si="610"/>
        <v/>
      </c>
      <c r="AF1921" s="47" t="e">
        <f t="shared" ca="1" si="607"/>
        <v>#NAME?</v>
      </c>
      <c r="AG1921" s="47">
        <f t="shared" si="611"/>
        <v>52010801</v>
      </c>
      <c r="AH1921" s="54">
        <f>IF(Q1921="22",IF(ISNUMBER(SEARCH("econ",PAA_4[[#This Row],[Actividad3]])),"Económico",IF(ISNUMBER(SEARCH("alim",PAA_4[[#This Row],[Actividad3]])),"Alimentación",IF(ISNUMBER(SEARCH("educ",PAA_4[[#This Row],[Actividad3]])),"Educativo","Técnico"))),0)</f>
        <v>0</v>
      </c>
      <c r="AI1921" s="47" t="e" cm="1">
        <f t="array" aca="1" ref="AI1921" ca="1">_xlfn.XLOOKUP(PAA_4[[#This Row],[RCP-RUBRO]],[2]!COMPROMISOS_2024[[#All],[concatenado]],[2]!COMPROMISOS_2024[[#All],[Total pagado]],"",0)</f>
        <v>#NAME?</v>
      </c>
      <c r="AJ1921" s="56">
        <f>IF(PAA_4[[#This Row],[BOLSA]]=0,0,SUMIFS([2]!COMPROMISOS_2024[[#All],[Total pagado]],[2]!COMPROMISOS_2024[[#All],[Bolsa]],PAA_4[[#This Row],[BOLSA]],[2]!COMPROMISOS_2024[[#All],[rubro]],PAA_4[[#This Row],[RCP-RUBRO]]))</f>
        <v>0</v>
      </c>
      <c r="AK1921" s="47" t="e" cm="1">
        <f t="array" aca="1" ref="AK1921" ca="1">_xlfn.XLOOKUP(PAA_4[[#This Row],[RCP-RUBRO]],[2]!COMPROMISOS_2024[[#All],[concatenado]],[2]!COMPROMISOS_2024[[#All],[Total Comprometido]],"",0)</f>
        <v>#NAME?</v>
      </c>
      <c r="AL1921" s="47">
        <f>IF(PAA_4[[#This Row],[BOLSA]]=0,0,SUMIFS([2]!COMPROMISOS_2024[[#All],[Total Comprometido]],[2]!COMPROMISOS_2024[[#All],[Bolsa]],PAA_4[[#This Row],[BOLSA]],[2]!COMPROMISOS_2024[[#All],[concatenado]],PAA_4[[#This Row],[RCP-RUBRO]]))</f>
        <v>0</v>
      </c>
    </row>
    <row r="1922" spans="1:38" s="19" customFormat="1" ht="31.5" customHeight="1">
      <c r="A1922" s="47">
        <v>1150</v>
      </c>
      <c r="B1922" s="47">
        <v>90141502</v>
      </c>
      <c r="C1922" s="47" t="str">
        <f>VLOOKUP(PAA_4[[#This Row],[PROYECTO (formulado)2]],[2]PROYECTOS!$G$1:$L$32,6,0)</f>
        <v>SUBGERENCIA DE ALTOS LOGROS Y DEPORTE ASOCIADO</v>
      </c>
      <c r="D1922" s="47" t="str">
        <f>+IF(PAA_4[[#This Row],[UNIDAD DE CONTRATACION (formulado)]]="Subgerencia Administrativa y Financiera","FUNCIONAMIENTO","INVERSIÓN")</f>
        <v>INVERSIÓN</v>
      </c>
      <c r="E1922" s="48" t="str">
        <f>VLOOKUP(Q1922,[2]PROYECTOS!$G$1:$K$32,5,0)</f>
        <v>Apoyo económico a las organizaciones deportivas que representan en competencias al departamento de Antioquia</v>
      </c>
      <c r="F1922" s="48">
        <f>VLOOKUP(E1922,[2]PROYECTOS!$K$1:$M$32,3,0)</f>
        <v>2024003050102</v>
      </c>
      <c r="G1922" s="67" t="s">
        <v>1516</v>
      </c>
      <c r="H1922" s="49" t="str">
        <f>VLOOKUP(Q1922,[2]PROYECTOS!$V$1:$W$32,2,0)</f>
        <v>050076</v>
      </c>
      <c r="I1922" s="78">
        <v>220000000</v>
      </c>
      <c r="J1922" s="51" t="s">
        <v>2142</v>
      </c>
      <c r="K1922" s="47" t="str">
        <f t="shared" ca="1" si="609"/>
        <v>CONTRATADO</v>
      </c>
      <c r="L1922" s="47" t="s">
        <v>898</v>
      </c>
      <c r="M1922" s="47" t="s">
        <v>1767</v>
      </c>
      <c r="N1922" s="52" t="s">
        <v>1520</v>
      </c>
      <c r="O1922" s="51" t="e">
        <f>VLOOKUP(N1922,[2]!RUBROS[#All],3,0)</f>
        <v>#REF!</v>
      </c>
      <c r="P1922" s="53" t="e">
        <f>VLOOKUP(N1922,[2]!RUBROS[#All],2,0)</f>
        <v>#REF!</v>
      </c>
      <c r="Q1922" s="47" t="str">
        <f t="shared" si="603"/>
        <v>02</v>
      </c>
      <c r="R1922" s="47" t="str">
        <f t="shared" si="604"/>
        <v>4-101124</v>
      </c>
      <c r="S1922" s="339">
        <v>105</v>
      </c>
      <c r="T1922" s="63" t="s">
        <v>120</v>
      </c>
      <c r="U1922" s="326" t="e">
        <f ca="1">_xlfn.XLOOKUP(PAA_4[[#This Row],[ITEM]],[2]Contrato!A:A,[2]Contrato!Q:Q,"",0)</f>
        <v>#NAME?</v>
      </c>
      <c r="V1922" s="47" t="s">
        <v>95</v>
      </c>
      <c r="W1922" s="47" t="s">
        <v>203</v>
      </c>
      <c r="X1922" s="47" t="s">
        <v>203</v>
      </c>
      <c r="Y1922" s="55" t="e">
        <f ca="1">_xlfn.XLOOKUP(PAA_4[[#This Row],[ITEM]],[2]Contrato!A:A,[2]Contrato!B:B,"",0)</f>
        <v>#NAME?</v>
      </c>
      <c r="Z1922" s="47" t="e">
        <f ca="1">_xlfn.XLOOKUP(PAA_4[[#This Row],[ITEM]],[2]Contrato!A:A,[2]Contrato!G:G,"",0)</f>
        <v>#NAME?</v>
      </c>
      <c r="AA1922" s="47" t="e">
        <f ca="1">_xlfn.XLOOKUP(PAA_4[[#This Row],[ITEM]],[2]Contrato!A:A,[2]Contrato!T:T,"",0)</f>
        <v>#NAME?</v>
      </c>
      <c r="AB1922" s="55" t="e">
        <f ca="1">+MAX(PAA_4[[#This Row],[Comprometido Contrato]],PAA_4[[#This Row],[Comprometido Bolsa]])</f>
        <v>#NAME?</v>
      </c>
      <c r="AC1922" s="55" t="str">
        <f t="shared" ca="1" si="605"/>
        <v/>
      </c>
      <c r="AD1922" s="55" t="e">
        <f ca="1">IF(PAA_4[[#This Row],[ESTADO (formulado)]]="NO CONTRATADO",0,MAX(PAA_4[[#This Row],[Pago por Contrato]],PAA_4[[#This Row],[Pago por bolsa]]))</f>
        <v>#NAME?</v>
      </c>
      <c r="AE1922" s="55" t="str">
        <f t="shared" ca="1" si="610"/>
        <v/>
      </c>
      <c r="AF1922" s="47" t="e">
        <f t="shared" ca="1" si="607"/>
        <v>#NAME?</v>
      </c>
      <c r="AG1922" s="47">
        <f t="shared" si="611"/>
        <v>52010801</v>
      </c>
      <c r="AH1922" s="54">
        <f>IF(Q1922="22",IF(ISNUMBER(SEARCH("econ",PAA_4[[#This Row],[Actividad3]])),"Económico",IF(ISNUMBER(SEARCH("alim",PAA_4[[#This Row],[Actividad3]])),"Alimentación",IF(ISNUMBER(SEARCH("educ",PAA_4[[#This Row],[Actividad3]])),"Educativo","Técnico"))),0)</f>
        <v>0</v>
      </c>
      <c r="AI1922" s="47" t="e" cm="1">
        <f t="array" aca="1" ref="AI1922" ca="1">_xlfn.XLOOKUP(PAA_4[[#This Row],[RCP-RUBRO]],[2]!COMPROMISOS_2024[[#All],[concatenado]],[2]!COMPROMISOS_2024[[#All],[Total pagado]],"",0)</f>
        <v>#NAME?</v>
      </c>
      <c r="AJ1922" s="56">
        <f>IF(PAA_4[[#This Row],[BOLSA]]=0,0,SUMIFS([2]!COMPROMISOS_2024[[#All],[Total pagado]],[2]!COMPROMISOS_2024[[#All],[Bolsa]],PAA_4[[#This Row],[BOLSA]],[2]!COMPROMISOS_2024[[#All],[rubro]],PAA_4[[#This Row],[RCP-RUBRO]]))</f>
        <v>0</v>
      </c>
      <c r="AK1922" s="47" t="e" cm="1">
        <f t="array" aca="1" ref="AK1922" ca="1">_xlfn.XLOOKUP(PAA_4[[#This Row],[RCP-RUBRO]],[2]!COMPROMISOS_2024[[#All],[concatenado]],[2]!COMPROMISOS_2024[[#All],[Total Comprometido]],"",0)</f>
        <v>#NAME?</v>
      </c>
      <c r="AL1922" s="47">
        <f>IF(PAA_4[[#This Row],[BOLSA]]=0,0,SUMIFS([2]!COMPROMISOS_2024[[#All],[Total Comprometido]],[2]!COMPROMISOS_2024[[#All],[Bolsa]],PAA_4[[#This Row],[BOLSA]],[2]!COMPROMISOS_2024[[#All],[concatenado]],PAA_4[[#This Row],[RCP-RUBRO]]))</f>
        <v>0</v>
      </c>
    </row>
    <row r="1923" spans="1:38" s="19" customFormat="1" ht="31.5" customHeight="1">
      <c r="A1923" s="47">
        <v>1151</v>
      </c>
      <c r="B1923" s="47">
        <v>90141502</v>
      </c>
      <c r="C1923" s="47" t="str">
        <f>VLOOKUP(PAA_4[[#This Row],[PROYECTO (formulado)2]],[2]PROYECTOS!$G$1:$L$32,6,0)</f>
        <v>SUBGERENCIA DE ALTOS LOGROS Y DEPORTE ASOCIADO</v>
      </c>
      <c r="D1923" s="47" t="str">
        <f>+IF(PAA_4[[#This Row],[UNIDAD DE CONTRATACION (formulado)]]="Subgerencia Administrativa y Financiera","FUNCIONAMIENTO","INVERSIÓN")</f>
        <v>INVERSIÓN</v>
      </c>
      <c r="E1923" s="48" t="str">
        <f>VLOOKUP(Q1923,[2]PROYECTOS!$G$1:$K$32,5,0)</f>
        <v>Apoyo económico a las organizaciones deportivas que representan en competencias al departamento de Antioquia</v>
      </c>
      <c r="F1923" s="48">
        <f>VLOOKUP(E1923,[2]PROYECTOS!$K$1:$M$32,3,0)</f>
        <v>2024003050102</v>
      </c>
      <c r="G1923" s="67" t="s">
        <v>1516</v>
      </c>
      <c r="H1923" s="49" t="str">
        <f>VLOOKUP(Q1923,[2]PROYECTOS!$V$1:$W$32,2,0)</f>
        <v>050076</v>
      </c>
      <c r="I1923" s="78">
        <v>15000000</v>
      </c>
      <c r="J1923" s="51" t="s">
        <v>2143</v>
      </c>
      <c r="K1923" s="47" t="str">
        <f t="shared" ca="1" si="609"/>
        <v>CONTRATADO</v>
      </c>
      <c r="L1923" s="47" t="s">
        <v>898</v>
      </c>
      <c r="M1923" s="47" t="s">
        <v>1767</v>
      </c>
      <c r="N1923" s="52" t="s">
        <v>1520</v>
      </c>
      <c r="O1923" s="51" t="e">
        <f>VLOOKUP(N1923,[2]!RUBROS[#All],3,0)</f>
        <v>#REF!</v>
      </c>
      <c r="P1923" s="53" t="e">
        <f>VLOOKUP(N1923,[2]!RUBROS[#All],2,0)</f>
        <v>#REF!</v>
      </c>
      <c r="Q1923" s="47" t="str">
        <f t="shared" si="603"/>
        <v>02</v>
      </c>
      <c r="R1923" s="47" t="str">
        <f t="shared" si="604"/>
        <v>4-101124</v>
      </c>
      <c r="S1923" s="339">
        <v>2</v>
      </c>
      <c r="T1923" s="63" t="s">
        <v>46</v>
      </c>
      <c r="U1923" s="326" t="e">
        <f ca="1">_xlfn.XLOOKUP(PAA_4[[#This Row],[ITEM]],[2]Contrato!A:A,[2]Contrato!Q:Q,"",0)</f>
        <v>#NAME?</v>
      </c>
      <c r="V1923" s="47" t="s">
        <v>95</v>
      </c>
      <c r="W1923" s="47" t="s">
        <v>204</v>
      </c>
      <c r="X1923" s="47" t="s">
        <v>204</v>
      </c>
      <c r="Y1923" s="55" t="e">
        <f ca="1">_xlfn.XLOOKUP(PAA_4[[#This Row],[ITEM]],[2]Contrato!A:A,[2]Contrato!B:B,"",0)</f>
        <v>#NAME?</v>
      </c>
      <c r="Z1923" s="47" t="e">
        <f ca="1">_xlfn.XLOOKUP(PAA_4[[#This Row],[ITEM]],[2]Contrato!A:A,[2]Contrato!G:G,"",0)</f>
        <v>#NAME?</v>
      </c>
      <c r="AA1923" s="47" t="e">
        <f ca="1">_xlfn.XLOOKUP(PAA_4[[#This Row],[ITEM]],[2]Contrato!A:A,[2]Contrato!T:T,"",0)</f>
        <v>#NAME?</v>
      </c>
      <c r="AB1923" s="55" t="e">
        <f ca="1">+MAX(PAA_4[[#This Row],[Comprometido Contrato]],PAA_4[[#This Row],[Comprometido Bolsa]])</f>
        <v>#NAME?</v>
      </c>
      <c r="AC1923" s="55" t="str">
        <f t="shared" ca="1" si="605"/>
        <v/>
      </c>
      <c r="AD1923" s="55" t="e">
        <f ca="1">IF(PAA_4[[#This Row],[ESTADO (formulado)]]="NO CONTRATADO",0,MAX(PAA_4[[#This Row],[Pago por Contrato]],PAA_4[[#This Row],[Pago por bolsa]]))</f>
        <v>#NAME?</v>
      </c>
      <c r="AE1923" s="55" t="str">
        <f t="shared" ca="1" si="610"/>
        <v/>
      </c>
      <c r="AF1923" s="47" t="e">
        <f t="shared" ca="1" si="607"/>
        <v>#NAME?</v>
      </c>
      <c r="AG1923" s="47">
        <f t="shared" si="611"/>
        <v>52010801</v>
      </c>
      <c r="AH1923" s="54">
        <f>IF(Q1923="22",IF(ISNUMBER(SEARCH("econ",PAA_4[[#This Row],[Actividad3]])),"Económico",IF(ISNUMBER(SEARCH("alim",PAA_4[[#This Row],[Actividad3]])),"Alimentación",IF(ISNUMBER(SEARCH("educ",PAA_4[[#This Row],[Actividad3]])),"Educativo","Técnico"))),0)</f>
        <v>0</v>
      </c>
      <c r="AI1923" s="47" t="e" cm="1">
        <f t="array" aca="1" ref="AI1923" ca="1">_xlfn.XLOOKUP(PAA_4[[#This Row],[RCP-RUBRO]],[2]!COMPROMISOS_2024[[#All],[concatenado]],[2]!COMPROMISOS_2024[[#All],[Total pagado]],"",0)</f>
        <v>#NAME?</v>
      </c>
      <c r="AJ1923" s="56">
        <f>IF(PAA_4[[#This Row],[BOLSA]]=0,0,SUMIFS([2]!COMPROMISOS_2024[[#All],[Total pagado]],[2]!COMPROMISOS_2024[[#All],[Bolsa]],PAA_4[[#This Row],[BOLSA]],[2]!COMPROMISOS_2024[[#All],[rubro]],PAA_4[[#This Row],[RCP-RUBRO]]))</f>
        <v>0</v>
      </c>
      <c r="AK1923" s="47" t="e" cm="1">
        <f t="array" aca="1" ref="AK1923" ca="1">_xlfn.XLOOKUP(PAA_4[[#This Row],[RCP-RUBRO]],[2]!COMPROMISOS_2024[[#All],[concatenado]],[2]!COMPROMISOS_2024[[#All],[Total Comprometido]],"",0)</f>
        <v>#NAME?</v>
      </c>
      <c r="AL1923" s="47">
        <f>IF(PAA_4[[#This Row],[BOLSA]]=0,0,SUMIFS([2]!COMPROMISOS_2024[[#All],[Total Comprometido]],[2]!COMPROMISOS_2024[[#All],[Bolsa]],PAA_4[[#This Row],[BOLSA]],[2]!COMPROMISOS_2024[[#All],[concatenado]],PAA_4[[#This Row],[RCP-RUBRO]]))</f>
        <v>0</v>
      </c>
    </row>
    <row r="1924" spans="1:38" s="19" customFormat="1" ht="31.5" customHeight="1">
      <c r="A1924" s="47" t="s">
        <v>82</v>
      </c>
      <c r="B1924" s="47">
        <v>90141502</v>
      </c>
      <c r="C1924" s="47" t="str">
        <f>VLOOKUP(PAA_4[[#This Row],[PROYECTO (formulado)2]],[2]PROYECTOS!$G$1:$L$32,6,0)</f>
        <v>SUBGERENCIA DE ALTOS LOGROS Y DEPORTE ASOCIADO</v>
      </c>
      <c r="D1924" s="47" t="str">
        <f>+IF(PAA_4[[#This Row],[UNIDAD DE CONTRATACION (formulado)]]="Subgerencia Administrativa y Financiera","FUNCIONAMIENTO","INVERSIÓN")</f>
        <v>INVERSIÓN</v>
      </c>
      <c r="E1924" s="48" t="str">
        <f>VLOOKUP(Q1924,[2]PROYECTOS!$G$1:$K$32,5,0)</f>
        <v>Apoyo económico a las organizaciones deportivas que representan en competencias al departamento de Antioquia</v>
      </c>
      <c r="F1924" s="48">
        <f>VLOOKUP(E1924,[2]PROYECTOS!$K$1:$M$32,3,0)</f>
        <v>2024003050102</v>
      </c>
      <c r="G1924" s="67" t="s">
        <v>1516</v>
      </c>
      <c r="H1924" s="49" t="str">
        <f>VLOOKUP(Q1924,[2]PROYECTOS!$V$1:$W$32,2,0)</f>
        <v>050076</v>
      </c>
      <c r="I1924" s="78">
        <v>801336</v>
      </c>
      <c r="J1924" s="51" t="s">
        <v>2144</v>
      </c>
      <c r="K1924" s="47" t="str">
        <f t="shared" ca="1" si="609"/>
        <v>CONTRATADO</v>
      </c>
      <c r="L1924" s="47" t="s">
        <v>898</v>
      </c>
      <c r="M1924" s="47" t="s">
        <v>42</v>
      </c>
      <c r="N1924" s="52" t="s">
        <v>1520</v>
      </c>
      <c r="O1924" s="51" t="e">
        <f>VLOOKUP(N1924,[2]!RUBROS[#All],3,0)</f>
        <v>#REF!</v>
      </c>
      <c r="P1924" s="53" t="e">
        <f>VLOOKUP(N1924,[2]!RUBROS[#All],2,0)</f>
        <v>#REF!</v>
      </c>
      <c r="Q1924" s="47" t="str">
        <f t="shared" ref="Q1924:Q1987" si="612">+MID(N1924,11,2)</f>
        <v>02</v>
      </c>
      <c r="R1924" s="47" t="str">
        <f t="shared" ref="R1924:R1987" si="613">+MID(N1924,14,8)</f>
        <v>4-101124</v>
      </c>
      <c r="S1924" s="339" t="s">
        <v>42</v>
      </c>
      <c r="T1924" s="59" t="s">
        <v>42</v>
      </c>
      <c r="U1924" s="326" t="e">
        <f ca="1">_xlfn.XLOOKUP(PAA_4[[#This Row],[ITEM]],[2]Contrato!A:A,[2]Contrato!Q:Q,"",0)</f>
        <v>#NAME?</v>
      </c>
      <c r="V1924" s="47" t="s">
        <v>95</v>
      </c>
      <c r="W1924" s="47" t="s">
        <v>194</v>
      </c>
      <c r="X1924" s="47" t="s">
        <v>203</v>
      </c>
      <c r="Y1924" s="55" t="e">
        <f ca="1">_xlfn.XLOOKUP(PAA_4[[#This Row],[ITEM]],[2]Contrato!A:A,[2]Contrato!B:B,"",0)</f>
        <v>#NAME?</v>
      </c>
      <c r="Z1924" s="47" t="e">
        <f ca="1">_xlfn.XLOOKUP(PAA_4[[#This Row],[ITEM]],[2]Contrato!A:A,[2]Contrato!G:G,"",0)</f>
        <v>#NAME?</v>
      </c>
      <c r="AA1924" s="47" t="e">
        <f ca="1">_xlfn.XLOOKUP(PAA_4[[#This Row],[ITEM]],[2]Contrato!A:A,[2]Contrato!T:T,"",0)</f>
        <v>#NAME?</v>
      </c>
      <c r="AB1924" s="55" t="e">
        <f ca="1">+MAX(PAA_4[[#This Row],[Comprometido Contrato]],PAA_4[[#This Row],[Comprometido Bolsa]])</f>
        <v>#NAME?</v>
      </c>
      <c r="AC1924" s="55" t="str">
        <f t="shared" ref="AC1924:AC1987" ca="1" si="614">IFERROR(I1924-AB1924,"")</f>
        <v/>
      </c>
      <c r="AD1924" s="55" t="e">
        <f ca="1">IF(PAA_4[[#This Row],[ESTADO (formulado)]]="NO CONTRATADO",0,MAX(PAA_4[[#This Row],[Pago por Contrato]],PAA_4[[#This Row],[Pago por bolsa]]))</f>
        <v>#NAME?</v>
      </c>
      <c r="AE1924" s="55" t="str">
        <f t="shared" ca="1" si="610"/>
        <v/>
      </c>
      <c r="AF1924" s="47" t="e">
        <f t="shared" ref="AF1924:AF1987" ca="1" si="615">+CONCATENATE(AA1924,N1924)</f>
        <v>#NAME?</v>
      </c>
      <c r="AG1924" s="47">
        <f t="shared" si="611"/>
        <v>52010801</v>
      </c>
      <c r="AH1924" s="54">
        <f>IF(Q1924="22",IF(ISNUMBER(SEARCH("econ",PAA_4[[#This Row],[Actividad3]])),"Económico",IF(ISNUMBER(SEARCH("alim",PAA_4[[#This Row],[Actividad3]])),"Alimentación",IF(ISNUMBER(SEARCH("educ",PAA_4[[#This Row],[Actividad3]])),"Educativo","Técnico"))),0)</f>
        <v>0</v>
      </c>
      <c r="AI1924" s="47" t="e" cm="1">
        <f t="array" aca="1" ref="AI1924" ca="1">_xlfn.XLOOKUP(PAA_4[[#This Row],[RCP-RUBRO]],[2]!COMPROMISOS_2024[[#All],[concatenado]],[2]!COMPROMISOS_2024[[#All],[Total pagado]],"",0)</f>
        <v>#NAME?</v>
      </c>
      <c r="AJ1924" s="56">
        <f>IF(PAA_4[[#This Row],[BOLSA]]=0,0,SUMIFS([2]!COMPROMISOS_2024[[#All],[Total pagado]],[2]!COMPROMISOS_2024[[#All],[Bolsa]],PAA_4[[#This Row],[BOLSA]],[2]!COMPROMISOS_2024[[#All],[rubro]],PAA_4[[#This Row],[RCP-RUBRO]]))</f>
        <v>0</v>
      </c>
      <c r="AK1924" s="47" t="e" cm="1">
        <f t="array" aca="1" ref="AK1924" ca="1">_xlfn.XLOOKUP(PAA_4[[#This Row],[RCP-RUBRO]],[2]!COMPROMISOS_2024[[#All],[concatenado]],[2]!COMPROMISOS_2024[[#All],[Total Comprometido]],"",0)</f>
        <v>#NAME?</v>
      </c>
      <c r="AL1924" s="47">
        <f>IF(PAA_4[[#This Row],[BOLSA]]=0,0,SUMIFS([2]!COMPROMISOS_2024[[#All],[Total Comprometido]],[2]!COMPROMISOS_2024[[#All],[Bolsa]],PAA_4[[#This Row],[BOLSA]],[2]!COMPROMISOS_2024[[#All],[concatenado]],PAA_4[[#This Row],[RCP-RUBRO]]))</f>
        <v>0</v>
      </c>
    </row>
    <row r="1925" spans="1:38" s="19" customFormat="1" ht="31.5" customHeight="1">
      <c r="A1925" s="47">
        <v>1306</v>
      </c>
      <c r="B1925" s="47">
        <v>90141502</v>
      </c>
      <c r="C1925" s="47" t="str">
        <f>VLOOKUP(PAA_4[[#This Row],[PROYECTO (formulado)2]],[2]PROYECTOS!$G$1:$L$32,6,0)</f>
        <v>SUBGERENCIA DE ALTOS LOGROS Y DEPORTE ASOCIADO</v>
      </c>
      <c r="D1925" s="47" t="str">
        <f>+IF(PAA_4[[#This Row],[UNIDAD DE CONTRATACION (formulado)]]="Subgerencia Administrativa y Financiera","FUNCIONAMIENTO","INVERSIÓN")</f>
        <v>INVERSIÓN</v>
      </c>
      <c r="E1925" s="48" t="str">
        <f>VLOOKUP(Q1925,[2]PROYECTOS!$G$1:$K$32,5,0)</f>
        <v>Apoyo económico a las organizaciones deportivas que representan en competencias al departamento de Antioquia</v>
      </c>
      <c r="F1925" s="48">
        <f>VLOOKUP(E1925,[2]PROYECTOS!$K$1:$M$32,3,0)</f>
        <v>2024003050102</v>
      </c>
      <c r="G1925" s="67" t="s">
        <v>1516</v>
      </c>
      <c r="H1925" s="49" t="str">
        <f>VLOOKUP(Q1925,[2]PROYECTOS!$V$1:$W$32,2,0)</f>
        <v>050076</v>
      </c>
      <c r="I1925" s="78">
        <v>30000000</v>
      </c>
      <c r="J1925" s="51" t="s">
        <v>2145</v>
      </c>
      <c r="K1925" s="47" t="str">
        <f t="shared" ca="1" si="609"/>
        <v>CONTRATADO</v>
      </c>
      <c r="L1925" s="47" t="s">
        <v>94</v>
      </c>
      <c r="M1925" s="47" t="s">
        <v>1767</v>
      </c>
      <c r="N1925" s="52" t="s">
        <v>1517</v>
      </c>
      <c r="O1925" s="51" t="e">
        <f>VLOOKUP(N1925,[2]!RUBROS[#All],3,0)</f>
        <v>#REF!</v>
      </c>
      <c r="P1925" s="53" t="e">
        <f>VLOOKUP(N1925,[2]!RUBROS[#All],2,0)</f>
        <v>#REF!</v>
      </c>
      <c r="Q1925" s="47" t="str">
        <f t="shared" si="612"/>
        <v>02</v>
      </c>
      <c r="R1925" s="47" t="str">
        <f t="shared" si="613"/>
        <v>0-205400</v>
      </c>
      <c r="S1925" s="339">
        <v>40</v>
      </c>
      <c r="T1925" s="63" t="s">
        <v>120</v>
      </c>
      <c r="U1925" s="326" t="e">
        <f ca="1">_xlfn.XLOOKUP(PAA_4[[#This Row],[ITEM]],[2]Contrato!A:A,[2]Contrato!Q:Q,"",0)</f>
        <v>#NAME?</v>
      </c>
      <c r="V1925" s="47" t="s">
        <v>95</v>
      </c>
      <c r="W1925" s="47" t="s">
        <v>200</v>
      </c>
      <c r="X1925" s="47" t="s">
        <v>200</v>
      </c>
      <c r="Y1925" s="55" t="e">
        <f ca="1">_xlfn.XLOOKUP(PAA_4[[#This Row],[ITEM]],[2]Contrato!A:A,[2]Contrato!B:B,"",0)</f>
        <v>#NAME?</v>
      </c>
      <c r="Z1925" s="47" t="e">
        <f ca="1">_xlfn.XLOOKUP(PAA_4[[#This Row],[ITEM]],[2]Contrato!A:A,[2]Contrato!G:G,"",0)</f>
        <v>#NAME?</v>
      </c>
      <c r="AA1925" s="47" t="e">
        <f ca="1">_xlfn.XLOOKUP(PAA_4[[#This Row],[ITEM]],[2]Contrato!A:A,[2]Contrato!T:T,"",0)</f>
        <v>#NAME?</v>
      </c>
      <c r="AB1925" s="55" t="e">
        <f ca="1">+MAX(PAA_4[[#This Row],[Comprometido Contrato]],PAA_4[[#This Row],[Comprometido Bolsa]])</f>
        <v>#NAME?</v>
      </c>
      <c r="AC1925" s="55" t="str">
        <f t="shared" ca="1" si="614"/>
        <v/>
      </c>
      <c r="AD1925" s="55" t="e">
        <f ca="1">IF(PAA_4[[#This Row],[ESTADO (formulado)]]="NO CONTRATADO",0,MAX(PAA_4[[#This Row],[Pago por Contrato]],PAA_4[[#This Row],[Pago por bolsa]]))</f>
        <v>#NAME?</v>
      </c>
      <c r="AE1925" s="55" t="str">
        <f t="shared" ca="1" si="610"/>
        <v/>
      </c>
      <c r="AF1925" s="47" t="e">
        <f t="shared" ca="1" si="615"/>
        <v>#NAME?</v>
      </c>
      <c r="AG1925" s="47">
        <f t="shared" si="611"/>
        <v>52010801</v>
      </c>
      <c r="AH1925" s="54">
        <f>IF(Q1925="22",IF(ISNUMBER(SEARCH("econ",PAA_4[[#This Row],[Actividad3]])),"Económico",IF(ISNUMBER(SEARCH("alim",PAA_4[[#This Row],[Actividad3]])),"Alimentación",IF(ISNUMBER(SEARCH("educ",PAA_4[[#This Row],[Actividad3]])),"Educativo","Técnico"))),0)</f>
        <v>0</v>
      </c>
      <c r="AI1925" s="47" t="e" cm="1">
        <f t="array" aca="1" ref="AI1925" ca="1">_xlfn.XLOOKUP(PAA_4[[#This Row],[RCP-RUBRO]],[2]!COMPROMISOS_2024[[#All],[concatenado]],[2]!COMPROMISOS_2024[[#All],[Total pagado]],"",0)</f>
        <v>#NAME?</v>
      </c>
      <c r="AJ1925" s="56">
        <f>IF(PAA_4[[#This Row],[BOLSA]]=0,0,SUMIFS([2]!COMPROMISOS_2024[[#All],[Total pagado]],[2]!COMPROMISOS_2024[[#All],[Bolsa]],PAA_4[[#This Row],[BOLSA]],[2]!COMPROMISOS_2024[[#All],[rubro]],PAA_4[[#This Row],[RCP-RUBRO]]))</f>
        <v>0</v>
      </c>
      <c r="AK1925" s="47" t="e" cm="1">
        <f t="array" aca="1" ref="AK1925" ca="1">_xlfn.XLOOKUP(PAA_4[[#This Row],[RCP-RUBRO]],[2]!COMPROMISOS_2024[[#All],[concatenado]],[2]!COMPROMISOS_2024[[#All],[Total Comprometido]],"",0)</f>
        <v>#NAME?</v>
      </c>
      <c r="AL1925" s="47">
        <f>IF(PAA_4[[#This Row],[BOLSA]]=0,0,SUMIFS([2]!COMPROMISOS_2024[[#All],[Total Comprometido]],[2]!COMPROMISOS_2024[[#All],[Bolsa]],PAA_4[[#This Row],[BOLSA]],[2]!COMPROMISOS_2024[[#All],[concatenado]],PAA_4[[#This Row],[RCP-RUBRO]]))</f>
        <v>0</v>
      </c>
    </row>
    <row r="1926" spans="1:38" s="19" customFormat="1" ht="31.5" customHeight="1">
      <c r="A1926" s="47">
        <v>1308</v>
      </c>
      <c r="B1926" s="47">
        <v>90141502</v>
      </c>
      <c r="C1926" s="47" t="str">
        <f>VLOOKUP(PAA_4[[#This Row],[PROYECTO (formulado)2]],[2]PROYECTOS!$G$1:$L$32,6,0)</f>
        <v>SUBGERENCIA DE ALTOS LOGROS Y DEPORTE ASOCIADO</v>
      </c>
      <c r="D1926" s="47" t="str">
        <f>+IF(PAA_4[[#This Row],[UNIDAD DE CONTRATACION (formulado)]]="Subgerencia Administrativa y Financiera","FUNCIONAMIENTO","INVERSIÓN")</f>
        <v>INVERSIÓN</v>
      </c>
      <c r="E1926" s="48" t="str">
        <f>VLOOKUP(Q1926,[2]PROYECTOS!$G$1:$K$32,5,0)</f>
        <v>Apoyo económico a las organizaciones deportivas que representan en competencias al departamento de Antioquia</v>
      </c>
      <c r="F1926" s="48">
        <f>VLOOKUP(E1926,[2]PROYECTOS!$K$1:$M$32,3,0)</f>
        <v>2024003050102</v>
      </c>
      <c r="G1926" s="355" t="s">
        <v>1521</v>
      </c>
      <c r="H1926" s="49" t="str">
        <f>VLOOKUP(Q1926,[2]PROYECTOS!$V$1:$W$32,2,0)</f>
        <v>050076</v>
      </c>
      <c r="I1926" s="78">
        <v>40000000</v>
      </c>
      <c r="J1926" s="51" t="s">
        <v>2146</v>
      </c>
      <c r="K1926" s="47" t="str">
        <f t="shared" ca="1" si="609"/>
        <v>CONTRATADO</v>
      </c>
      <c r="L1926" s="47" t="s">
        <v>94</v>
      </c>
      <c r="M1926" s="47" t="s">
        <v>255</v>
      </c>
      <c r="N1926" s="52" t="s">
        <v>1517</v>
      </c>
      <c r="O1926" s="51" t="e">
        <f>VLOOKUP(N1926,[2]!RUBROS[#All],3,0)</f>
        <v>#REF!</v>
      </c>
      <c r="P1926" s="53" t="e">
        <f>VLOOKUP(N1926,[2]!RUBROS[#All],2,0)</f>
        <v>#REF!</v>
      </c>
      <c r="Q1926" s="47" t="str">
        <f t="shared" si="612"/>
        <v>02</v>
      </c>
      <c r="R1926" s="47" t="str">
        <f t="shared" si="613"/>
        <v>0-205400</v>
      </c>
      <c r="S1926" s="339">
        <v>40</v>
      </c>
      <c r="T1926" s="63" t="s">
        <v>120</v>
      </c>
      <c r="U1926" s="326" t="e">
        <f ca="1">_xlfn.XLOOKUP(PAA_4[[#This Row],[ITEM]],[2]Contrato!A:A,[2]Contrato!Q:Q,"",0)</f>
        <v>#NAME?</v>
      </c>
      <c r="V1926" s="47" t="s">
        <v>95</v>
      </c>
      <c r="W1926" s="47" t="s">
        <v>200</v>
      </c>
      <c r="X1926" s="47" t="s">
        <v>200</v>
      </c>
      <c r="Y1926" s="55" t="e">
        <f ca="1">_xlfn.XLOOKUP(PAA_4[[#This Row],[ITEM]],[2]Contrato!A:A,[2]Contrato!B:B,"",0)</f>
        <v>#NAME?</v>
      </c>
      <c r="Z1926" s="47" t="e">
        <f ca="1">_xlfn.XLOOKUP(PAA_4[[#This Row],[ITEM]],[2]Contrato!A:A,[2]Contrato!G:G,"",0)</f>
        <v>#NAME?</v>
      </c>
      <c r="AA1926" s="47" t="e">
        <f ca="1">_xlfn.XLOOKUP(PAA_4[[#This Row],[ITEM]],[2]Contrato!A:A,[2]Contrato!T:T,"",0)</f>
        <v>#NAME?</v>
      </c>
      <c r="AB1926" s="55" t="e">
        <f ca="1">+MAX(PAA_4[[#This Row],[Comprometido Contrato]],PAA_4[[#This Row],[Comprometido Bolsa]])</f>
        <v>#NAME?</v>
      </c>
      <c r="AC1926" s="55" t="str">
        <f t="shared" ca="1" si="614"/>
        <v/>
      </c>
      <c r="AD1926" s="55" t="e">
        <f ca="1">IF(PAA_4[[#This Row],[ESTADO (formulado)]]="NO CONTRATADO",0,MAX(PAA_4[[#This Row],[Pago por Contrato]],PAA_4[[#This Row],[Pago por bolsa]]))</f>
        <v>#NAME?</v>
      </c>
      <c r="AE1926" s="55" t="str">
        <f t="shared" ca="1" si="610"/>
        <v/>
      </c>
      <c r="AF1926" s="47" t="e">
        <f t="shared" ca="1" si="615"/>
        <v>#NAME?</v>
      </c>
      <c r="AG1926" s="47">
        <f t="shared" si="611"/>
        <v>52010801</v>
      </c>
      <c r="AH1926" s="54">
        <f>IF(Q1926="22",IF(ISNUMBER(SEARCH("econ",PAA_4[[#This Row],[Actividad3]])),"Económico",IF(ISNUMBER(SEARCH("alim",PAA_4[[#This Row],[Actividad3]])),"Alimentación",IF(ISNUMBER(SEARCH("educ",PAA_4[[#This Row],[Actividad3]])),"Educativo","Técnico"))),0)</f>
        <v>0</v>
      </c>
      <c r="AI1926" s="47" t="e" cm="1">
        <f t="array" aca="1" ref="AI1926" ca="1">_xlfn.XLOOKUP(PAA_4[[#This Row],[RCP-RUBRO]],[2]!COMPROMISOS_2024[[#All],[concatenado]],[2]!COMPROMISOS_2024[[#All],[Total pagado]],"",0)</f>
        <v>#NAME?</v>
      </c>
      <c r="AJ1926" s="56">
        <f>IF(PAA_4[[#This Row],[BOLSA]]=0,0,SUMIFS([2]!COMPROMISOS_2024[[#All],[Total pagado]],[2]!COMPROMISOS_2024[[#All],[Bolsa]],PAA_4[[#This Row],[BOLSA]],[2]!COMPROMISOS_2024[[#All],[rubro]],PAA_4[[#This Row],[RCP-RUBRO]]))</f>
        <v>0</v>
      </c>
      <c r="AK1926" s="47" t="e" cm="1">
        <f t="array" aca="1" ref="AK1926" ca="1">_xlfn.XLOOKUP(PAA_4[[#This Row],[RCP-RUBRO]],[2]!COMPROMISOS_2024[[#All],[concatenado]],[2]!COMPROMISOS_2024[[#All],[Total Comprometido]],"",0)</f>
        <v>#NAME?</v>
      </c>
      <c r="AL1926" s="47">
        <f>IF(PAA_4[[#This Row],[BOLSA]]=0,0,SUMIFS([2]!COMPROMISOS_2024[[#All],[Total Comprometido]],[2]!COMPROMISOS_2024[[#All],[Bolsa]],PAA_4[[#This Row],[BOLSA]],[2]!COMPROMISOS_2024[[#All],[concatenado]],PAA_4[[#This Row],[RCP-RUBRO]]))</f>
        <v>0</v>
      </c>
    </row>
    <row r="1927" spans="1:38" s="19" customFormat="1" ht="31.5" customHeight="1">
      <c r="A1927" s="47">
        <v>1323</v>
      </c>
      <c r="B1927" s="47">
        <v>90141502</v>
      </c>
      <c r="C1927" s="47" t="str">
        <f>VLOOKUP(PAA_4[[#This Row],[PROYECTO (formulado)2]],[2]PROYECTOS!$G$1:$L$32,6,0)</f>
        <v>SUBGERENCIA DE ALTOS LOGROS Y DEPORTE ASOCIADO</v>
      </c>
      <c r="D1927" s="47" t="str">
        <f>+IF(PAA_4[[#This Row],[UNIDAD DE CONTRATACION (formulado)]]="Subgerencia Administrativa y Financiera","FUNCIONAMIENTO","INVERSIÓN")</f>
        <v>INVERSIÓN</v>
      </c>
      <c r="E1927" s="48" t="str">
        <f>VLOOKUP(Q1927,[2]PROYECTOS!$G$1:$K$32,5,0)</f>
        <v>Apoyo económico a las organizaciones deportivas que representan en competencias al departamento de Antioquia</v>
      </c>
      <c r="F1927" s="48">
        <f>VLOOKUP(E1927,[2]PROYECTOS!$K$1:$M$32,3,0)</f>
        <v>2024003050102</v>
      </c>
      <c r="G1927" s="67" t="s">
        <v>1516</v>
      </c>
      <c r="H1927" s="49" t="str">
        <f>VLOOKUP(Q1927,[2]PROYECTOS!$V$1:$W$32,2,0)</f>
        <v>050076</v>
      </c>
      <c r="I1927" s="78">
        <v>50000000</v>
      </c>
      <c r="J1927" s="51" t="s">
        <v>2147</v>
      </c>
      <c r="K1927" s="47" t="str">
        <f t="shared" ca="1" si="609"/>
        <v>CONTRATADO</v>
      </c>
      <c r="L1927" s="47" t="s">
        <v>2148</v>
      </c>
      <c r="M1927" s="47" t="s">
        <v>255</v>
      </c>
      <c r="N1927" s="52" t="s">
        <v>1517</v>
      </c>
      <c r="O1927" s="51" t="e">
        <f>VLOOKUP(N1927,[2]!RUBROS[#All],3,0)</f>
        <v>#REF!</v>
      </c>
      <c r="P1927" s="53" t="e">
        <f>VLOOKUP(N1927,[2]!RUBROS[#All],2,0)</f>
        <v>#REF!</v>
      </c>
      <c r="Q1927" s="47" t="str">
        <f t="shared" si="612"/>
        <v>02</v>
      </c>
      <c r="R1927" s="47" t="str">
        <f t="shared" si="613"/>
        <v>0-205400</v>
      </c>
      <c r="S1927" s="339">
        <v>20</v>
      </c>
      <c r="T1927" s="63" t="s">
        <v>120</v>
      </c>
      <c r="U1927" s="326" t="e">
        <f ca="1">_xlfn.XLOOKUP(PAA_4[[#This Row],[ITEM]],[2]Contrato!A:A,[2]Contrato!Q:Q,"",0)</f>
        <v>#NAME?</v>
      </c>
      <c r="V1927" s="47" t="s">
        <v>95</v>
      </c>
      <c r="W1927" s="47" t="s">
        <v>201</v>
      </c>
      <c r="X1927" s="47" t="s">
        <v>201</v>
      </c>
      <c r="Y1927" s="55" t="e">
        <f ca="1">_xlfn.XLOOKUP(PAA_4[[#This Row],[ITEM]],[2]Contrato!A:A,[2]Contrato!B:B,"",0)</f>
        <v>#NAME?</v>
      </c>
      <c r="Z1927" s="47" t="e">
        <f ca="1">_xlfn.XLOOKUP(PAA_4[[#This Row],[ITEM]],[2]Contrato!A:A,[2]Contrato!G:G,"",0)</f>
        <v>#NAME?</v>
      </c>
      <c r="AA1927" s="47" t="e">
        <f ca="1">_xlfn.XLOOKUP(PAA_4[[#This Row],[ITEM]],[2]Contrato!A:A,[2]Contrato!T:T,"",0)</f>
        <v>#NAME?</v>
      </c>
      <c r="AB1927" s="55" t="e">
        <f ca="1">+MAX(PAA_4[[#This Row],[Comprometido Contrato]],PAA_4[[#This Row],[Comprometido Bolsa]])</f>
        <v>#NAME?</v>
      </c>
      <c r="AC1927" s="55" t="str">
        <f t="shared" ca="1" si="614"/>
        <v/>
      </c>
      <c r="AD1927" s="55" t="e">
        <f ca="1">IF(PAA_4[[#This Row],[ESTADO (formulado)]]="NO CONTRATADO",0,MAX(PAA_4[[#This Row],[Pago por Contrato]],PAA_4[[#This Row],[Pago por bolsa]]))</f>
        <v>#NAME?</v>
      </c>
      <c r="AE1927" s="55" t="str">
        <f t="shared" ca="1" si="610"/>
        <v/>
      </c>
      <c r="AF1927" s="47" t="e">
        <f t="shared" ca="1" si="615"/>
        <v>#NAME?</v>
      </c>
      <c r="AG1927" s="47">
        <f t="shared" si="611"/>
        <v>52010801</v>
      </c>
      <c r="AH1927" s="54">
        <f>IF(Q1927="22",IF(ISNUMBER(SEARCH("econ",PAA_4[[#This Row],[Actividad3]])),"Económico",IF(ISNUMBER(SEARCH("alim",PAA_4[[#This Row],[Actividad3]])),"Alimentación",IF(ISNUMBER(SEARCH("educ",PAA_4[[#This Row],[Actividad3]])),"Educativo","Técnico"))),0)</f>
        <v>0</v>
      </c>
      <c r="AI1927" s="47" t="e" cm="1">
        <f t="array" aca="1" ref="AI1927" ca="1">_xlfn.XLOOKUP(PAA_4[[#This Row],[RCP-RUBRO]],[2]!COMPROMISOS_2024[[#All],[concatenado]],[2]!COMPROMISOS_2024[[#All],[Total pagado]],"",0)</f>
        <v>#NAME?</v>
      </c>
      <c r="AJ1927" s="56">
        <f>IF(PAA_4[[#This Row],[BOLSA]]=0,0,SUMIFS([2]!COMPROMISOS_2024[[#All],[Total pagado]],[2]!COMPROMISOS_2024[[#All],[Bolsa]],PAA_4[[#This Row],[BOLSA]],[2]!COMPROMISOS_2024[[#All],[rubro]],PAA_4[[#This Row],[RCP-RUBRO]]))</f>
        <v>0</v>
      </c>
      <c r="AK1927" s="47" t="e" cm="1">
        <f t="array" aca="1" ref="AK1927" ca="1">_xlfn.XLOOKUP(PAA_4[[#This Row],[RCP-RUBRO]],[2]!COMPROMISOS_2024[[#All],[concatenado]],[2]!COMPROMISOS_2024[[#All],[Total Comprometido]],"",0)</f>
        <v>#NAME?</v>
      </c>
      <c r="AL1927" s="47">
        <f>IF(PAA_4[[#This Row],[BOLSA]]=0,0,SUMIFS([2]!COMPROMISOS_2024[[#All],[Total Comprometido]],[2]!COMPROMISOS_2024[[#All],[Bolsa]],PAA_4[[#This Row],[BOLSA]],[2]!COMPROMISOS_2024[[#All],[concatenado]],PAA_4[[#This Row],[RCP-RUBRO]]))</f>
        <v>0</v>
      </c>
    </row>
    <row r="1928" spans="1:38" s="19" customFormat="1" ht="31.5" customHeight="1">
      <c r="A1928" s="47">
        <v>1324</v>
      </c>
      <c r="B1928" s="47">
        <v>90141502</v>
      </c>
      <c r="C1928" s="47" t="str">
        <f>VLOOKUP(PAA_4[[#This Row],[PROYECTO (formulado)2]],[2]PROYECTOS!$G$1:$L$32,6,0)</f>
        <v>SUBGERENCIA DE ALTOS LOGROS Y DEPORTE ASOCIADO</v>
      </c>
      <c r="D1928" s="47" t="str">
        <f>+IF(PAA_4[[#This Row],[UNIDAD DE CONTRATACION (formulado)]]="Subgerencia Administrativa y Financiera","FUNCIONAMIENTO","INVERSIÓN")</f>
        <v>INVERSIÓN</v>
      </c>
      <c r="E1928" s="48" t="str">
        <f>VLOOKUP(Q1928,[2]PROYECTOS!$G$1:$K$32,5,0)</f>
        <v>Apoyo económico a las organizaciones deportivas que representan en competencias al departamento de Antioquia</v>
      </c>
      <c r="F1928" s="48">
        <f>VLOOKUP(E1928,[2]PROYECTOS!$K$1:$M$32,3,0)</f>
        <v>2024003050102</v>
      </c>
      <c r="G1928" s="67" t="s">
        <v>1516</v>
      </c>
      <c r="H1928" s="49" t="str">
        <f>VLOOKUP(Q1928,[2]PROYECTOS!$V$1:$W$32,2,0)</f>
        <v>050076</v>
      </c>
      <c r="I1928" s="78">
        <v>35000000</v>
      </c>
      <c r="J1928" s="51" t="s">
        <v>2149</v>
      </c>
      <c r="K1928" s="47" t="str">
        <f t="shared" ca="1" si="609"/>
        <v>CONTRATADO</v>
      </c>
      <c r="L1928" s="47" t="s">
        <v>2148</v>
      </c>
      <c r="M1928" s="47" t="s">
        <v>255</v>
      </c>
      <c r="N1928" s="52" t="s">
        <v>1517</v>
      </c>
      <c r="O1928" s="51" t="e">
        <f>VLOOKUP(N1928,[2]!RUBROS[#All],3,0)</f>
        <v>#REF!</v>
      </c>
      <c r="P1928" s="53" t="e">
        <f>VLOOKUP(N1928,[2]!RUBROS[#All],2,0)</f>
        <v>#REF!</v>
      </c>
      <c r="Q1928" s="47" t="str">
        <f t="shared" si="612"/>
        <v>02</v>
      </c>
      <c r="R1928" s="47" t="str">
        <f t="shared" si="613"/>
        <v>0-205400</v>
      </c>
      <c r="S1928" s="339">
        <v>20</v>
      </c>
      <c r="T1928" s="63" t="s">
        <v>120</v>
      </c>
      <c r="U1928" s="326" t="e">
        <f ca="1">_xlfn.XLOOKUP(PAA_4[[#This Row],[ITEM]],[2]Contrato!A:A,[2]Contrato!Q:Q,"",0)</f>
        <v>#NAME?</v>
      </c>
      <c r="V1928" s="47" t="s">
        <v>95</v>
      </c>
      <c r="W1928" s="47" t="s">
        <v>201</v>
      </c>
      <c r="X1928" s="47" t="s">
        <v>201</v>
      </c>
      <c r="Y1928" s="55" t="e">
        <f ca="1">_xlfn.XLOOKUP(PAA_4[[#This Row],[ITEM]],[2]Contrato!A:A,[2]Contrato!B:B,"",0)</f>
        <v>#NAME?</v>
      </c>
      <c r="Z1928" s="47" t="e">
        <f ca="1">_xlfn.XLOOKUP(PAA_4[[#This Row],[ITEM]],[2]Contrato!A:A,[2]Contrato!G:G,"",0)</f>
        <v>#NAME?</v>
      </c>
      <c r="AA1928" s="47" t="e">
        <f ca="1">_xlfn.XLOOKUP(PAA_4[[#This Row],[ITEM]],[2]Contrato!A:A,[2]Contrato!T:T,"",0)</f>
        <v>#NAME?</v>
      </c>
      <c r="AB1928" s="55" t="e">
        <f ca="1">+MAX(PAA_4[[#This Row],[Comprometido Contrato]],PAA_4[[#This Row],[Comprometido Bolsa]])</f>
        <v>#NAME?</v>
      </c>
      <c r="AC1928" s="55" t="str">
        <f t="shared" ca="1" si="614"/>
        <v/>
      </c>
      <c r="AD1928" s="55" t="e">
        <f ca="1">IF(PAA_4[[#This Row],[ESTADO (formulado)]]="NO CONTRATADO",0,MAX(PAA_4[[#This Row],[Pago por Contrato]],PAA_4[[#This Row],[Pago por bolsa]]))</f>
        <v>#NAME?</v>
      </c>
      <c r="AE1928" s="55" t="str">
        <f t="shared" ca="1" si="610"/>
        <v/>
      </c>
      <c r="AF1928" s="47" t="e">
        <f t="shared" ca="1" si="615"/>
        <v>#NAME?</v>
      </c>
      <c r="AG1928" s="47">
        <f t="shared" si="611"/>
        <v>52010801</v>
      </c>
      <c r="AH1928" s="54">
        <f>IF(Q1928="22",IF(ISNUMBER(SEARCH("econ",PAA_4[[#This Row],[Actividad3]])),"Económico",IF(ISNUMBER(SEARCH("alim",PAA_4[[#This Row],[Actividad3]])),"Alimentación",IF(ISNUMBER(SEARCH("educ",PAA_4[[#This Row],[Actividad3]])),"Educativo","Técnico"))),0)</f>
        <v>0</v>
      </c>
      <c r="AI1928" s="47" t="e" cm="1">
        <f t="array" aca="1" ref="AI1928" ca="1">_xlfn.XLOOKUP(PAA_4[[#This Row],[RCP-RUBRO]],[2]!COMPROMISOS_2024[[#All],[concatenado]],[2]!COMPROMISOS_2024[[#All],[Total pagado]],"",0)</f>
        <v>#NAME?</v>
      </c>
      <c r="AJ1928" s="56">
        <f>IF(PAA_4[[#This Row],[BOLSA]]=0,0,SUMIFS([2]!COMPROMISOS_2024[[#All],[Total pagado]],[2]!COMPROMISOS_2024[[#All],[Bolsa]],PAA_4[[#This Row],[BOLSA]],[2]!COMPROMISOS_2024[[#All],[rubro]],PAA_4[[#This Row],[RCP-RUBRO]]))</f>
        <v>0</v>
      </c>
      <c r="AK1928" s="47" t="e" cm="1">
        <f t="array" aca="1" ref="AK1928" ca="1">_xlfn.XLOOKUP(PAA_4[[#This Row],[RCP-RUBRO]],[2]!COMPROMISOS_2024[[#All],[concatenado]],[2]!COMPROMISOS_2024[[#All],[Total Comprometido]],"",0)</f>
        <v>#NAME?</v>
      </c>
      <c r="AL1928" s="47">
        <f>IF(PAA_4[[#This Row],[BOLSA]]=0,0,SUMIFS([2]!COMPROMISOS_2024[[#All],[Total Comprometido]],[2]!COMPROMISOS_2024[[#All],[Bolsa]],PAA_4[[#This Row],[BOLSA]],[2]!COMPROMISOS_2024[[#All],[concatenado]],PAA_4[[#This Row],[RCP-RUBRO]]))</f>
        <v>0</v>
      </c>
    </row>
    <row r="1929" spans="1:38" s="19" customFormat="1" ht="31.5" customHeight="1">
      <c r="A1929" s="47" t="s">
        <v>82</v>
      </c>
      <c r="B1929" s="47">
        <v>90141502</v>
      </c>
      <c r="C1929" s="47" t="str">
        <f>VLOOKUP(PAA_4[[#This Row],[PROYECTO (formulado)2]],[2]PROYECTOS!$G$1:$L$32,6,0)</f>
        <v>SUBGERENCIA DE ALTOS LOGROS Y DEPORTE ASOCIADO</v>
      </c>
      <c r="D1929" s="47" t="str">
        <f>+IF(PAA_4[[#This Row],[UNIDAD DE CONTRATACION (formulado)]]="Subgerencia Administrativa y Financiera","FUNCIONAMIENTO","INVERSIÓN")</f>
        <v>INVERSIÓN</v>
      </c>
      <c r="E1929" s="48" t="str">
        <f>VLOOKUP(Q1929,[2]PROYECTOS!$G$1:$K$32,5,0)</f>
        <v>Apoyo económico a las organizaciones deportivas que representan en competencias al departamento de Antioquia</v>
      </c>
      <c r="F1929" s="48">
        <f>VLOOKUP(E1929,[2]PROYECTOS!$K$1:$M$32,3,0)</f>
        <v>2024003050102</v>
      </c>
      <c r="G1929" s="67" t="s">
        <v>1516</v>
      </c>
      <c r="H1929" s="49" t="str">
        <f>VLOOKUP(Q1929,[2]PROYECTOS!$V$1:$W$32,2,0)</f>
        <v>050076</v>
      </c>
      <c r="I1929" s="78">
        <v>45230722</v>
      </c>
      <c r="J1929" s="51" t="s">
        <v>2144</v>
      </c>
      <c r="K1929" s="47" t="str">
        <f t="shared" ca="1" si="609"/>
        <v>CONTRATADO</v>
      </c>
      <c r="L1929" s="47" t="s">
        <v>898</v>
      </c>
      <c r="M1929" s="47" t="s">
        <v>42</v>
      </c>
      <c r="N1929" s="52" t="s">
        <v>1517</v>
      </c>
      <c r="O1929" s="51" t="e">
        <f>VLOOKUP(N1929,[2]!RUBROS[#All],3,0)</f>
        <v>#REF!</v>
      </c>
      <c r="P1929" s="53" t="e">
        <f>VLOOKUP(N1929,[2]!RUBROS[#All],2,0)</f>
        <v>#REF!</v>
      </c>
      <c r="Q1929" s="47" t="str">
        <f t="shared" si="612"/>
        <v>02</v>
      </c>
      <c r="R1929" s="47" t="str">
        <f t="shared" si="613"/>
        <v>0-205400</v>
      </c>
      <c r="S1929" s="339" t="s">
        <v>42</v>
      </c>
      <c r="T1929" s="59" t="s">
        <v>42</v>
      </c>
      <c r="U1929" s="326" t="e">
        <f ca="1">_xlfn.XLOOKUP(PAA_4[[#This Row],[ITEM]],[2]Contrato!A:A,[2]Contrato!Q:Q,"",0)</f>
        <v>#NAME?</v>
      </c>
      <c r="V1929" s="47" t="s">
        <v>95</v>
      </c>
      <c r="W1929" s="47" t="s">
        <v>204</v>
      </c>
      <c r="X1929" s="47" t="s">
        <v>204</v>
      </c>
      <c r="Y1929" s="55" t="e">
        <f ca="1">_xlfn.XLOOKUP(PAA_4[[#This Row],[ITEM]],[2]Contrato!A:A,[2]Contrato!B:B,"",0)</f>
        <v>#NAME?</v>
      </c>
      <c r="Z1929" s="47" t="e">
        <f ca="1">_xlfn.XLOOKUP(PAA_4[[#This Row],[ITEM]],[2]Contrato!A:A,[2]Contrato!G:G,"",0)</f>
        <v>#NAME?</v>
      </c>
      <c r="AA1929" s="47" t="e">
        <f ca="1">_xlfn.XLOOKUP(PAA_4[[#This Row],[ITEM]],[2]Contrato!A:A,[2]Contrato!T:T,"",0)</f>
        <v>#NAME?</v>
      </c>
      <c r="AB1929" s="55" t="e">
        <f ca="1">+MAX(PAA_4[[#This Row],[Comprometido Contrato]],PAA_4[[#This Row],[Comprometido Bolsa]])</f>
        <v>#NAME?</v>
      </c>
      <c r="AC1929" s="55" t="str">
        <f t="shared" ca="1" si="614"/>
        <v/>
      </c>
      <c r="AD1929" s="55" t="e">
        <f ca="1">IF(PAA_4[[#This Row],[ESTADO (formulado)]]="NO CONTRATADO",0,MAX(PAA_4[[#This Row],[Pago por Contrato]],PAA_4[[#This Row],[Pago por bolsa]]))</f>
        <v>#NAME?</v>
      </c>
      <c r="AE1929" s="55" t="str">
        <f t="shared" ca="1" si="610"/>
        <v/>
      </c>
      <c r="AF1929" s="47" t="e">
        <f t="shared" ca="1" si="615"/>
        <v>#NAME?</v>
      </c>
      <c r="AG1929" s="47">
        <f t="shared" si="611"/>
        <v>52010801</v>
      </c>
      <c r="AH1929" s="54">
        <f>IF(Q1929="22",IF(ISNUMBER(SEARCH("econ",PAA_4[[#This Row],[Actividad3]])),"Económico",IF(ISNUMBER(SEARCH("alim",PAA_4[[#This Row],[Actividad3]])),"Alimentación",IF(ISNUMBER(SEARCH("educ",PAA_4[[#This Row],[Actividad3]])),"Educativo","Técnico"))),0)</f>
        <v>0</v>
      </c>
      <c r="AI1929" s="47" t="e" cm="1">
        <f t="array" aca="1" ref="AI1929" ca="1">_xlfn.XLOOKUP(PAA_4[[#This Row],[RCP-RUBRO]],[2]!COMPROMISOS_2024[[#All],[concatenado]],[2]!COMPROMISOS_2024[[#All],[Total pagado]],"",0)</f>
        <v>#NAME?</v>
      </c>
      <c r="AJ1929" s="56">
        <f>IF(PAA_4[[#This Row],[BOLSA]]=0,0,SUMIFS([2]!COMPROMISOS_2024[[#All],[Total pagado]],[2]!COMPROMISOS_2024[[#All],[Bolsa]],PAA_4[[#This Row],[BOLSA]],[2]!COMPROMISOS_2024[[#All],[rubro]],PAA_4[[#This Row],[RCP-RUBRO]]))</f>
        <v>0</v>
      </c>
      <c r="AK1929" s="47" t="e" cm="1">
        <f t="array" aca="1" ref="AK1929" ca="1">_xlfn.XLOOKUP(PAA_4[[#This Row],[RCP-RUBRO]],[2]!COMPROMISOS_2024[[#All],[concatenado]],[2]!COMPROMISOS_2024[[#All],[Total Comprometido]],"",0)</f>
        <v>#NAME?</v>
      </c>
      <c r="AL1929" s="47">
        <f>IF(PAA_4[[#This Row],[BOLSA]]=0,0,SUMIFS([2]!COMPROMISOS_2024[[#All],[Total Comprometido]],[2]!COMPROMISOS_2024[[#All],[Bolsa]],PAA_4[[#This Row],[BOLSA]],[2]!COMPROMISOS_2024[[#All],[concatenado]],PAA_4[[#This Row],[RCP-RUBRO]]))</f>
        <v>0</v>
      </c>
    </row>
    <row r="1930" spans="1:38" s="19" customFormat="1" ht="31.5" customHeight="1">
      <c r="A1930" s="47" t="s">
        <v>82</v>
      </c>
      <c r="B1930" s="47">
        <v>80111600</v>
      </c>
      <c r="C1930" s="47" t="str">
        <f>VLOOKUP(PAA_4[[#This Row],[PROYECTO (formulado)2]],[2]PROYECTOS!$G$1:$L$32,6,0)</f>
        <v>SUBGERENCIA DE ALTOS LOGROS Y DEPORTE ASOCIADO</v>
      </c>
      <c r="D1930" s="47" t="str">
        <f>+IF(PAA_4[[#This Row],[UNIDAD DE CONTRATACION (formulado)]]="Subgerencia Administrativa y Financiera","FUNCIONAMIENTO","INVERSIÓN")</f>
        <v>INVERSIÓN</v>
      </c>
      <c r="E1930" s="48" t="str">
        <f>VLOOKUP(Q1930,[2]PROYECTOS!$G$1:$K$32,5,0)</f>
        <v>Apoyo económico a las organizaciones deportivas que representan en competencias al departamento de Antioquia</v>
      </c>
      <c r="F1930" s="48">
        <f>VLOOKUP(E1930,[2]PROYECTOS!$K$1:$M$32,3,0)</f>
        <v>2024003050102</v>
      </c>
      <c r="G1930" s="67" t="s">
        <v>2150</v>
      </c>
      <c r="H1930" s="49" t="str">
        <f>VLOOKUP(Q1930,[2]PROYECTOS!$V$1:$W$32,2,0)</f>
        <v>050076</v>
      </c>
      <c r="I1930" s="78">
        <v>1803002</v>
      </c>
      <c r="J1930" s="51" t="s">
        <v>174</v>
      </c>
      <c r="K1930" s="47" t="str">
        <f t="shared" ca="1" si="609"/>
        <v>CONTRATADO</v>
      </c>
      <c r="L1930" s="47" t="s">
        <v>898</v>
      </c>
      <c r="M1930" s="47" t="s">
        <v>42</v>
      </c>
      <c r="N1930" s="52" t="s">
        <v>2151</v>
      </c>
      <c r="O1930" s="51" t="e">
        <f>VLOOKUP(N1930,[2]!RUBROS[#All],3,0)</f>
        <v>#REF!</v>
      </c>
      <c r="P1930" s="53" t="e">
        <f>VLOOKUP(N1930,[2]!RUBROS[#All],2,0)</f>
        <v>#REF!</v>
      </c>
      <c r="Q1930" s="47" t="str">
        <f t="shared" si="612"/>
        <v>02</v>
      </c>
      <c r="R1930" s="47" t="str">
        <f t="shared" si="613"/>
        <v>0-205400</v>
      </c>
      <c r="S1930" s="339" t="s">
        <v>42</v>
      </c>
      <c r="T1930" s="59" t="s">
        <v>42</v>
      </c>
      <c r="U1930" s="326" t="e">
        <f ca="1">_xlfn.XLOOKUP(PAA_4[[#This Row],[ITEM]],[2]Contrato!A:A,[2]Contrato!Q:Q,"",0)</f>
        <v>#NAME?</v>
      </c>
      <c r="V1930" s="47" t="s">
        <v>95</v>
      </c>
      <c r="W1930" s="47" t="s">
        <v>194</v>
      </c>
      <c r="X1930" s="47" t="s">
        <v>203</v>
      </c>
      <c r="Y1930" s="55" t="e">
        <f ca="1">_xlfn.XLOOKUP(PAA_4[[#This Row],[ITEM]],[2]Contrato!A:A,[2]Contrato!B:B,"",0)</f>
        <v>#NAME?</v>
      </c>
      <c r="Z1930" s="47" t="e">
        <f ca="1">_xlfn.XLOOKUP(PAA_4[[#This Row],[ITEM]],[2]Contrato!A:A,[2]Contrato!G:G,"",0)</f>
        <v>#NAME?</v>
      </c>
      <c r="AA1930" s="47" t="e">
        <f ca="1">_xlfn.XLOOKUP(PAA_4[[#This Row],[ITEM]],[2]Contrato!A:A,[2]Contrato!T:T,"",0)</f>
        <v>#NAME?</v>
      </c>
      <c r="AB1930" s="55" t="e">
        <f ca="1">+MAX(PAA_4[[#This Row],[Comprometido Contrato]],PAA_4[[#This Row],[Comprometido Bolsa]])</f>
        <v>#NAME?</v>
      </c>
      <c r="AC1930" s="55" t="str">
        <f t="shared" ca="1" si="614"/>
        <v/>
      </c>
      <c r="AD1930" s="55" t="e">
        <f ca="1">IF(PAA_4[[#This Row],[ESTADO (formulado)]]="NO CONTRATADO",0,MAX(PAA_4[[#This Row],[Pago por Contrato]],PAA_4[[#This Row],[Pago por bolsa]]))</f>
        <v>#NAME?</v>
      </c>
      <c r="AE1930" s="55" t="str">
        <f t="shared" ca="1" si="610"/>
        <v/>
      </c>
      <c r="AF1930" s="47" t="e">
        <f t="shared" ca="1" si="615"/>
        <v>#NAME?</v>
      </c>
      <c r="AG1930" s="47">
        <f t="shared" si="611"/>
        <v>52010801</v>
      </c>
      <c r="AH1930" s="54">
        <f>IF(Q1930="22",IF(ISNUMBER(SEARCH("econ",PAA_4[[#This Row],[Actividad3]])),"Económico",IF(ISNUMBER(SEARCH("alim",PAA_4[[#This Row],[Actividad3]])),"Alimentación",IF(ISNUMBER(SEARCH("educ",PAA_4[[#This Row],[Actividad3]])),"Educativo","Técnico"))),0)</f>
        <v>0</v>
      </c>
      <c r="AI1930" s="47" t="e" cm="1">
        <f t="array" aca="1" ref="AI1930" ca="1">_xlfn.XLOOKUP(PAA_4[[#This Row],[RCP-RUBRO]],[2]!COMPROMISOS_2024[[#All],[concatenado]],[2]!COMPROMISOS_2024[[#All],[Total pagado]],"",0)</f>
        <v>#NAME?</v>
      </c>
      <c r="AJ1930" s="56">
        <f>IF(PAA_4[[#This Row],[BOLSA]]=0,0,SUMIFS([2]!COMPROMISOS_2024[[#All],[Total pagado]],[2]!COMPROMISOS_2024[[#All],[Bolsa]],PAA_4[[#This Row],[BOLSA]],[2]!COMPROMISOS_2024[[#All],[rubro]],PAA_4[[#This Row],[RCP-RUBRO]]))</f>
        <v>0</v>
      </c>
      <c r="AK1930" s="47" t="e" cm="1">
        <f t="array" aca="1" ref="AK1930" ca="1">_xlfn.XLOOKUP(PAA_4[[#This Row],[RCP-RUBRO]],[2]!COMPROMISOS_2024[[#All],[concatenado]],[2]!COMPROMISOS_2024[[#All],[Total Comprometido]],"",0)</f>
        <v>#NAME?</v>
      </c>
      <c r="AL1930" s="47">
        <f>IF(PAA_4[[#This Row],[BOLSA]]=0,0,SUMIFS([2]!COMPROMISOS_2024[[#All],[Total Comprometido]],[2]!COMPROMISOS_2024[[#All],[Bolsa]],PAA_4[[#This Row],[BOLSA]],[2]!COMPROMISOS_2024[[#All],[concatenado]],PAA_4[[#This Row],[RCP-RUBRO]]))</f>
        <v>0</v>
      </c>
    </row>
    <row r="1931" spans="1:38" s="19" customFormat="1" ht="31.5" customHeight="1">
      <c r="A1931" s="47">
        <v>1163</v>
      </c>
      <c r="B1931" s="47">
        <v>90141502</v>
      </c>
      <c r="C1931" s="47" t="str">
        <f>VLOOKUP(PAA_4[[#This Row],[PROYECTO (formulado)2]],[2]PROYECTOS!$G$1:$L$32,6,0)</f>
        <v>SUBGERENCIA DE ALTOS LOGROS Y DEPORTE ASOCIADO</v>
      </c>
      <c r="D1931" s="47" t="str">
        <f>+IF(PAA_4[[#This Row],[UNIDAD DE CONTRATACION (formulado)]]="Subgerencia Administrativa y Financiera","FUNCIONAMIENTO","INVERSIÓN")</f>
        <v>INVERSIÓN</v>
      </c>
      <c r="E1931" s="48" t="str">
        <f>VLOOKUP(Q1931,[2]PROYECTOS!$G$1:$K$32,5,0)</f>
        <v>Apoyo económico a las organizaciones deportivas que representan en competencias al departamento de Antioquia</v>
      </c>
      <c r="F1931" s="48">
        <f>VLOOKUP(E1931,[2]PROYECTOS!$K$1:$M$32,3,0)</f>
        <v>2024003050102</v>
      </c>
      <c r="G1931" s="67" t="s">
        <v>1516</v>
      </c>
      <c r="H1931" s="49" t="str">
        <f>VLOOKUP(Q1931,[2]PROYECTOS!$V$1:$W$32,2,0)</f>
        <v>050076</v>
      </c>
      <c r="I1931" s="78">
        <f>55000000-11000000</f>
        <v>44000000</v>
      </c>
      <c r="J1931" s="51" t="s">
        <v>2152</v>
      </c>
      <c r="K1931" s="47" t="str">
        <f t="shared" ca="1" si="609"/>
        <v>CONTRATADO</v>
      </c>
      <c r="L1931" s="47" t="s">
        <v>94</v>
      </c>
      <c r="M1931" s="47" t="s">
        <v>255</v>
      </c>
      <c r="N1931" s="52" t="s">
        <v>1520</v>
      </c>
      <c r="O1931" s="51" t="e">
        <f>VLOOKUP(N1931,[2]!RUBROS[#All],3,0)</f>
        <v>#REF!</v>
      </c>
      <c r="P1931" s="53" t="e">
        <f>VLOOKUP(N1931,[2]!RUBROS[#All],2,0)</f>
        <v>#REF!</v>
      </c>
      <c r="Q1931" s="47" t="str">
        <f t="shared" si="612"/>
        <v>02</v>
      </c>
      <c r="R1931" s="47" t="str">
        <f t="shared" si="613"/>
        <v>4-101124</v>
      </c>
      <c r="S1931" s="339">
        <v>105</v>
      </c>
      <c r="T1931" s="63" t="s">
        <v>120</v>
      </c>
      <c r="U1931" s="326" t="e">
        <f ca="1">_xlfn.XLOOKUP(PAA_4[[#This Row],[ITEM]],[2]Contrato!A:A,[2]Contrato!Q:Q,"",0)</f>
        <v>#NAME?</v>
      </c>
      <c r="V1931" s="47" t="s">
        <v>95</v>
      </c>
      <c r="W1931" s="47" t="s">
        <v>203</v>
      </c>
      <c r="X1931" s="47" t="s">
        <v>203</v>
      </c>
      <c r="Y1931" s="55" t="e">
        <f ca="1">_xlfn.XLOOKUP(PAA_4[[#This Row],[ITEM]],[2]Contrato!A:A,[2]Contrato!B:B,"",0)</f>
        <v>#NAME?</v>
      </c>
      <c r="Z1931" s="47" t="e">
        <f ca="1">_xlfn.XLOOKUP(PAA_4[[#This Row],[ITEM]],[2]Contrato!A:A,[2]Contrato!G:G,"",0)</f>
        <v>#NAME?</v>
      </c>
      <c r="AA1931" s="47" t="e">
        <f ca="1">_xlfn.XLOOKUP(PAA_4[[#This Row],[ITEM]],[2]Contrato!A:A,[2]Contrato!T:T,"",0)</f>
        <v>#NAME?</v>
      </c>
      <c r="AB1931" s="55" t="e">
        <f ca="1">+MAX(PAA_4[[#This Row],[Comprometido Contrato]],PAA_4[[#This Row],[Comprometido Bolsa]])</f>
        <v>#NAME?</v>
      </c>
      <c r="AC1931" s="55" t="str">
        <f t="shared" ca="1" si="614"/>
        <v/>
      </c>
      <c r="AD1931" s="55" t="e">
        <f ca="1">IF(PAA_4[[#This Row],[ESTADO (formulado)]]="NO CONTRATADO",0,MAX(PAA_4[[#This Row],[Pago por Contrato]],PAA_4[[#This Row],[Pago por bolsa]]))</f>
        <v>#NAME?</v>
      </c>
      <c r="AE1931" s="55" t="str">
        <f t="shared" ca="1" si="610"/>
        <v/>
      </c>
      <c r="AF1931" s="47" t="e">
        <f t="shared" ca="1" si="615"/>
        <v>#NAME?</v>
      </c>
      <c r="AG1931" s="47">
        <f t="shared" si="611"/>
        <v>52010801</v>
      </c>
      <c r="AH1931" s="54">
        <f>IF(Q1931="22",IF(ISNUMBER(SEARCH("econ",PAA_4[[#This Row],[Actividad3]])),"Económico",IF(ISNUMBER(SEARCH("alim",PAA_4[[#This Row],[Actividad3]])),"Alimentación",IF(ISNUMBER(SEARCH("educ",PAA_4[[#This Row],[Actividad3]])),"Educativo","Técnico"))),0)</f>
        <v>0</v>
      </c>
      <c r="AI1931" s="47" t="e" cm="1">
        <f t="array" aca="1" ref="AI1931" ca="1">_xlfn.XLOOKUP(PAA_4[[#This Row],[RCP-RUBRO]],[2]!COMPROMISOS_2024[[#All],[concatenado]],[2]!COMPROMISOS_2024[[#All],[Total pagado]],"",0)</f>
        <v>#NAME?</v>
      </c>
      <c r="AJ1931" s="56">
        <f>IF(PAA_4[[#This Row],[BOLSA]]=0,0,SUMIFS([2]!COMPROMISOS_2024[[#All],[Total pagado]],[2]!COMPROMISOS_2024[[#All],[Bolsa]],PAA_4[[#This Row],[BOLSA]],[2]!COMPROMISOS_2024[[#All],[rubro]],PAA_4[[#This Row],[RCP-RUBRO]]))</f>
        <v>0</v>
      </c>
      <c r="AK1931" s="47" t="e" cm="1">
        <f t="array" aca="1" ref="AK1931" ca="1">_xlfn.XLOOKUP(PAA_4[[#This Row],[RCP-RUBRO]],[2]!COMPROMISOS_2024[[#All],[concatenado]],[2]!COMPROMISOS_2024[[#All],[Total Comprometido]],"",0)</f>
        <v>#NAME?</v>
      </c>
      <c r="AL1931" s="47">
        <f>IF(PAA_4[[#This Row],[BOLSA]]=0,0,SUMIFS([2]!COMPROMISOS_2024[[#All],[Total Comprometido]],[2]!COMPROMISOS_2024[[#All],[Bolsa]],PAA_4[[#This Row],[BOLSA]],[2]!COMPROMISOS_2024[[#All],[concatenado]],PAA_4[[#This Row],[RCP-RUBRO]]))</f>
        <v>0</v>
      </c>
    </row>
    <row r="1932" spans="1:38" s="19" customFormat="1" ht="31.5" customHeight="1">
      <c r="A1932" s="47">
        <v>1164</v>
      </c>
      <c r="B1932" s="47">
        <v>90141502</v>
      </c>
      <c r="C1932" s="47" t="str">
        <f>VLOOKUP(PAA_4[[#This Row],[PROYECTO (formulado)2]],[2]PROYECTOS!$G$1:$L$32,6,0)</f>
        <v>SUBGERENCIA DE ALTOS LOGROS Y DEPORTE ASOCIADO</v>
      </c>
      <c r="D1932" s="47" t="str">
        <f>+IF(PAA_4[[#This Row],[UNIDAD DE CONTRATACION (formulado)]]="Subgerencia Administrativa y Financiera","FUNCIONAMIENTO","INVERSIÓN")</f>
        <v>INVERSIÓN</v>
      </c>
      <c r="E1932" s="48" t="str">
        <f>VLOOKUP(Q1932,[2]PROYECTOS!$G$1:$K$32,5,0)</f>
        <v>Apoyo económico a las organizaciones deportivas que representan en competencias al departamento de Antioquia</v>
      </c>
      <c r="F1932" s="48">
        <f>VLOOKUP(E1932,[2]PROYECTOS!$K$1:$M$32,3,0)</f>
        <v>2024003050102</v>
      </c>
      <c r="G1932" s="67" t="s">
        <v>1516</v>
      </c>
      <c r="H1932" s="49" t="str">
        <f>VLOOKUP(Q1932,[2]PROYECTOS!$V$1:$W$32,2,0)</f>
        <v>050076</v>
      </c>
      <c r="I1932" s="78">
        <v>100000000</v>
      </c>
      <c r="J1932" s="51" t="s">
        <v>2153</v>
      </c>
      <c r="K1932" s="47" t="str">
        <f t="shared" ca="1" si="609"/>
        <v>CONTRATADO</v>
      </c>
      <c r="L1932" s="47" t="s">
        <v>78</v>
      </c>
      <c r="M1932" s="47" t="s">
        <v>255</v>
      </c>
      <c r="N1932" s="52" t="s">
        <v>1520</v>
      </c>
      <c r="O1932" s="51" t="e">
        <f>VLOOKUP(N1932,[2]!RUBROS[#All],3,0)</f>
        <v>#REF!</v>
      </c>
      <c r="P1932" s="53" t="e">
        <f>VLOOKUP(N1932,[2]!RUBROS[#All],2,0)</f>
        <v>#REF!</v>
      </c>
      <c r="Q1932" s="47" t="str">
        <f t="shared" si="612"/>
        <v>02</v>
      </c>
      <c r="R1932" s="47" t="str">
        <f t="shared" si="613"/>
        <v>4-101124</v>
      </c>
      <c r="S1932" s="339">
        <v>105</v>
      </c>
      <c r="T1932" s="63" t="s">
        <v>120</v>
      </c>
      <c r="U1932" s="326" t="e">
        <f ca="1">_xlfn.XLOOKUP(PAA_4[[#This Row],[ITEM]],[2]Contrato!A:A,[2]Contrato!Q:Q,"",0)</f>
        <v>#NAME?</v>
      </c>
      <c r="V1932" s="47" t="s">
        <v>95</v>
      </c>
      <c r="W1932" s="47" t="s">
        <v>203</v>
      </c>
      <c r="X1932" s="47" t="s">
        <v>203</v>
      </c>
      <c r="Y1932" s="55" t="e">
        <f ca="1">_xlfn.XLOOKUP(PAA_4[[#This Row],[ITEM]],[2]Contrato!A:A,[2]Contrato!B:B,"",0)</f>
        <v>#NAME?</v>
      </c>
      <c r="Z1932" s="47" t="e">
        <f ca="1">_xlfn.XLOOKUP(PAA_4[[#This Row],[ITEM]],[2]Contrato!A:A,[2]Contrato!G:G,"",0)</f>
        <v>#NAME?</v>
      </c>
      <c r="AA1932" s="47" t="e">
        <f ca="1">_xlfn.XLOOKUP(PAA_4[[#This Row],[ITEM]],[2]Contrato!A:A,[2]Contrato!T:T,"",0)</f>
        <v>#NAME?</v>
      </c>
      <c r="AB1932" s="55" t="e">
        <f ca="1">+MAX(PAA_4[[#This Row],[Comprometido Contrato]],PAA_4[[#This Row],[Comprometido Bolsa]])</f>
        <v>#NAME?</v>
      </c>
      <c r="AC1932" s="55" t="str">
        <f t="shared" ca="1" si="614"/>
        <v/>
      </c>
      <c r="AD1932" s="55" t="e">
        <f ca="1">IF(PAA_4[[#This Row],[ESTADO (formulado)]]="NO CONTRATADO",0,MAX(PAA_4[[#This Row],[Pago por Contrato]],PAA_4[[#This Row],[Pago por bolsa]]))</f>
        <v>#NAME?</v>
      </c>
      <c r="AE1932" s="55" t="str">
        <f t="shared" ca="1" si="610"/>
        <v/>
      </c>
      <c r="AF1932" s="47" t="e">
        <f t="shared" ca="1" si="615"/>
        <v>#NAME?</v>
      </c>
      <c r="AG1932" s="47">
        <f t="shared" si="611"/>
        <v>52010801</v>
      </c>
      <c r="AH1932" s="54">
        <f>IF(Q1932="22",IF(ISNUMBER(SEARCH("econ",PAA_4[[#This Row],[Actividad3]])),"Económico",IF(ISNUMBER(SEARCH("alim",PAA_4[[#This Row],[Actividad3]])),"Alimentación",IF(ISNUMBER(SEARCH("educ",PAA_4[[#This Row],[Actividad3]])),"Educativo","Técnico"))),0)</f>
        <v>0</v>
      </c>
      <c r="AI1932" s="47" t="e" cm="1">
        <f t="array" aca="1" ref="AI1932" ca="1">_xlfn.XLOOKUP(PAA_4[[#This Row],[RCP-RUBRO]],[2]!COMPROMISOS_2024[[#All],[concatenado]],[2]!COMPROMISOS_2024[[#All],[Total pagado]],"",0)</f>
        <v>#NAME?</v>
      </c>
      <c r="AJ1932" s="56">
        <f>IF(PAA_4[[#This Row],[BOLSA]]=0,0,SUMIFS([2]!COMPROMISOS_2024[[#All],[Total pagado]],[2]!COMPROMISOS_2024[[#All],[Bolsa]],PAA_4[[#This Row],[BOLSA]],[2]!COMPROMISOS_2024[[#All],[rubro]],PAA_4[[#This Row],[RCP-RUBRO]]))</f>
        <v>0</v>
      </c>
      <c r="AK1932" s="47" t="e" cm="1">
        <f t="array" aca="1" ref="AK1932" ca="1">_xlfn.XLOOKUP(PAA_4[[#This Row],[RCP-RUBRO]],[2]!COMPROMISOS_2024[[#All],[concatenado]],[2]!COMPROMISOS_2024[[#All],[Total Comprometido]],"",0)</f>
        <v>#NAME?</v>
      </c>
      <c r="AL1932" s="47">
        <f>IF(PAA_4[[#This Row],[BOLSA]]=0,0,SUMIFS([2]!COMPROMISOS_2024[[#All],[Total Comprometido]],[2]!COMPROMISOS_2024[[#All],[Bolsa]],PAA_4[[#This Row],[BOLSA]],[2]!COMPROMISOS_2024[[#All],[concatenado]],PAA_4[[#This Row],[RCP-RUBRO]]))</f>
        <v>0</v>
      </c>
    </row>
    <row r="1933" spans="1:38" s="19" customFormat="1" ht="31.5" customHeight="1">
      <c r="A1933" s="47">
        <v>1165</v>
      </c>
      <c r="B1933" s="47">
        <v>90141502</v>
      </c>
      <c r="C1933" s="47" t="str">
        <f>VLOOKUP(PAA_4[[#This Row],[PROYECTO (formulado)2]],[2]PROYECTOS!$G$1:$L$32,6,0)</f>
        <v>SUBGERENCIA DE ALTOS LOGROS Y DEPORTE ASOCIADO</v>
      </c>
      <c r="D1933" s="47" t="str">
        <f>+IF(PAA_4[[#This Row],[UNIDAD DE CONTRATACION (formulado)]]="Subgerencia Administrativa y Financiera","FUNCIONAMIENTO","INVERSIÓN")</f>
        <v>INVERSIÓN</v>
      </c>
      <c r="E1933" s="48" t="str">
        <f>VLOOKUP(Q1933,[2]PROYECTOS!$G$1:$K$32,5,0)</f>
        <v>Apoyo económico a las organizaciones deportivas que representan en competencias al departamento de Antioquia</v>
      </c>
      <c r="F1933" s="48">
        <f>VLOOKUP(E1933,[2]PROYECTOS!$K$1:$M$32,3,0)</f>
        <v>2024003050102</v>
      </c>
      <c r="G1933" s="67" t="s">
        <v>1521</v>
      </c>
      <c r="H1933" s="49" t="str">
        <f>VLOOKUP(Q1933,[2]PROYECTOS!$V$1:$W$32,2,0)</f>
        <v>050076</v>
      </c>
      <c r="I1933" s="78">
        <v>40000000</v>
      </c>
      <c r="J1933" s="51" t="s">
        <v>2154</v>
      </c>
      <c r="K1933" s="47" t="str">
        <f t="shared" ca="1" si="609"/>
        <v>CONTRATADO</v>
      </c>
      <c r="L1933" s="47" t="s">
        <v>78</v>
      </c>
      <c r="M1933" s="47" t="s">
        <v>255</v>
      </c>
      <c r="N1933" s="52" t="s">
        <v>1520</v>
      </c>
      <c r="O1933" s="51" t="e">
        <f>VLOOKUP(N1933,[2]!RUBROS[#All],3,0)</f>
        <v>#REF!</v>
      </c>
      <c r="P1933" s="53" t="e">
        <f>VLOOKUP(N1933,[2]!RUBROS[#All],2,0)</f>
        <v>#REF!</v>
      </c>
      <c r="Q1933" s="47" t="str">
        <f t="shared" si="612"/>
        <v>02</v>
      </c>
      <c r="R1933" s="47" t="str">
        <f t="shared" si="613"/>
        <v>4-101124</v>
      </c>
      <c r="S1933" s="339">
        <v>105</v>
      </c>
      <c r="T1933" s="63" t="s">
        <v>120</v>
      </c>
      <c r="U1933" s="326" t="e">
        <f ca="1">_xlfn.XLOOKUP(PAA_4[[#This Row],[ITEM]],[2]Contrato!A:A,[2]Contrato!Q:Q,"",0)</f>
        <v>#NAME?</v>
      </c>
      <c r="V1933" s="47" t="s">
        <v>95</v>
      </c>
      <c r="W1933" s="47" t="s">
        <v>203</v>
      </c>
      <c r="X1933" s="47" t="s">
        <v>203</v>
      </c>
      <c r="Y1933" s="55" t="e">
        <f ca="1">_xlfn.XLOOKUP(PAA_4[[#This Row],[ITEM]],[2]Contrato!A:A,[2]Contrato!B:B,"",0)</f>
        <v>#NAME?</v>
      </c>
      <c r="Z1933" s="47" t="e">
        <f ca="1">_xlfn.XLOOKUP(PAA_4[[#This Row],[ITEM]],[2]Contrato!A:A,[2]Contrato!G:G,"",0)</f>
        <v>#NAME?</v>
      </c>
      <c r="AA1933" s="47" t="e">
        <f ca="1">_xlfn.XLOOKUP(PAA_4[[#This Row],[ITEM]],[2]Contrato!A:A,[2]Contrato!T:T,"",0)</f>
        <v>#NAME?</v>
      </c>
      <c r="AB1933" s="55" t="e">
        <f ca="1">+MAX(PAA_4[[#This Row],[Comprometido Contrato]],PAA_4[[#This Row],[Comprometido Bolsa]])</f>
        <v>#NAME?</v>
      </c>
      <c r="AC1933" s="55" t="str">
        <f t="shared" ca="1" si="614"/>
        <v/>
      </c>
      <c r="AD1933" s="55" t="e">
        <f ca="1">IF(PAA_4[[#This Row],[ESTADO (formulado)]]="NO CONTRATADO",0,MAX(PAA_4[[#This Row],[Pago por Contrato]],PAA_4[[#This Row],[Pago por bolsa]]))</f>
        <v>#NAME?</v>
      </c>
      <c r="AE1933" s="55" t="str">
        <f t="shared" ca="1" si="610"/>
        <v/>
      </c>
      <c r="AF1933" s="47" t="e">
        <f t="shared" ca="1" si="615"/>
        <v>#NAME?</v>
      </c>
      <c r="AG1933" s="47">
        <f t="shared" si="611"/>
        <v>52010801</v>
      </c>
      <c r="AH1933" s="54">
        <f>IF(Q1933="22",IF(ISNUMBER(SEARCH("econ",PAA_4[[#This Row],[Actividad3]])),"Económico",IF(ISNUMBER(SEARCH("alim",PAA_4[[#This Row],[Actividad3]])),"Alimentación",IF(ISNUMBER(SEARCH("educ",PAA_4[[#This Row],[Actividad3]])),"Educativo","Técnico"))),0)</f>
        <v>0</v>
      </c>
      <c r="AI1933" s="47" t="e" cm="1">
        <f t="array" aca="1" ref="AI1933" ca="1">_xlfn.XLOOKUP(PAA_4[[#This Row],[RCP-RUBRO]],[2]!COMPROMISOS_2024[[#All],[concatenado]],[2]!COMPROMISOS_2024[[#All],[Total pagado]],"",0)</f>
        <v>#NAME?</v>
      </c>
      <c r="AJ1933" s="56">
        <f>IF(PAA_4[[#This Row],[BOLSA]]=0,0,SUMIFS([2]!COMPROMISOS_2024[[#All],[Total pagado]],[2]!COMPROMISOS_2024[[#All],[Bolsa]],PAA_4[[#This Row],[BOLSA]],[2]!COMPROMISOS_2024[[#All],[rubro]],PAA_4[[#This Row],[RCP-RUBRO]]))</f>
        <v>0</v>
      </c>
      <c r="AK1933" s="47" t="e" cm="1">
        <f t="array" aca="1" ref="AK1933" ca="1">_xlfn.XLOOKUP(PAA_4[[#This Row],[RCP-RUBRO]],[2]!COMPROMISOS_2024[[#All],[concatenado]],[2]!COMPROMISOS_2024[[#All],[Total Comprometido]],"",0)</f>
        <v>#NAME?</v>
      </c>
      <c r="AL1933" s="47">
        <f>IF(PAA_4[[#This Row],[BOLSA]]=0,0,SUMIFS([2]!COMPROMISOS_2024[[#All],[Total Comprometido]],[2]!COMPROMISOS_2024[[#All],[Bolsa]],PAA_4[[#This Row],[BOLSA]],[2]!COMPROMISOS_2024[[#All],[concatenado]],PAA_4[[#This Row],[RCP-RUBRO]]))</f>
        <v>0</v>
      </c>
    </row>
    <row r="1934" spans="1:38" s="19" customFormat="1" ht="31.5" customHeight="1">
      <c r="A1934" s="47">
        <v>1166</v>
      </c>
      <c r="B1934" s="47">
        <v>80111600</v>
      </c>
      <c r="C1934" s="47" t="str">
        <f>VLOOKUP(PAA_4[[#This Row],[PROYECTO (formulado)2]],[2]PROYECTOS!$G$1:$L$32,6,0)</f>
        <v>SUBGERENCIA DE ALTOS LOGROS Y DEPORTE ASOCIADO</v>
      </c>
      <c r="D1934" s="47" t="str">
        <f>+IF(PAA_4[[#This Row],[UNIDAD DE CONTRATACION (formulado)]]="Subgerencia Administrativa y Financiera","FUNCIONAMIENTO","INVERSIÓN")</f>
        <v>INVERSIÓN</v>
      </c>
      <c r="E1934" s="48" t="str">
        <f>VLOOKUP(Q1934,[2]PROYECTOS!$G$1:$K$32,5,0)</f>
        <v>Apoyo técnico a atletas y para-atletas que representan en alto rendimiento deportivo al departamento de Antioquia</v>
      </c>
      <c r="F1934" s="48">
        <f>VLOOKUP(E1934,[2]PROYECTOS!$K$1:$M$32,3,0)</f>
        <v>2024003050084</v>
      </c>
      <c r="G1934" s="67" t="s">
        <v>1518</v>
      </c>
      <c r="H1934" s="49" t="str">
        <f>VLOOKUP(Q1934,[2]PROYECTOS!$V$1:$W$32,2,0)</f>
        <v>050079</v>
      </c>
      <c r="I1934" s="78">
        <v>5922137</v>
      </c>
      <c r="J1934" s="51" t="s">
        <v>2155</v>
      </c>
      <c r="K1934" s="47" t="str">
        <f t="shared" ca="1" si="609"/>
        <v>CONTRATADO</v>
      </c>
      <c r="L1934" s="47" t="s">
        <v>78</v>
      </c>
      <c r="M1934" s="51" t="s">
        <v>1297</v>
      </c>
      <c r="N1934" s="52" t="s">
        <v>1519</v>
      </c>
      <c r="O1934" s="51" t="e">
        <f>VLOOKUP(N1934,[2]!RUBROS[#All],3,0)</f>
        <v>#REF!</v>
      </c>
      <c r="P1934" s="53" t="e">
        <f>VLOOKUP(N1934,[2]!RUBROS[#All],2,0)</f>
        <v>#REF!</v>
      </c>
      <c r="Q1934" s="47" t="str">
        <f t="shared" si="612"/>
        <v>84</v>
      </c>
      <c r="R1934" s="47" t="str">
        <f t="shared" si="613"/>
        <v>0-205400</v>
      </c>
      <c r="S1934" s="339">
        <v>69</v>
      </c>
      <c r="T1934" s="63" t="s">
        <v>120</v>
      </c>
      <c r="U1934" s="326" t="e">
        <f ca="1">_xlfn.XLOOKUP(PAA_4[[#This Row],[ITEM]],[2]Contrato!A:A,[2]Contrato!Q:Q,"",0)</f>
        <v>#NAME?</v>
      </c>
      <c r="V1934" s="47" t="s">
        <v>95</v>
      </c>
      <c r="W1934" s="47" t="s">
        <v>203</v>
      </c>
      <c r="X1934" s="47" t="s">
        <v>203</v>
      </c>
      <c r="Y1934" s="55" t="e">
        <f ca="1">_xlfn.XLOOKUP(PAA_4[[#This Row],[ITEM]],[2]Contrato!A:A,[2]Contrato!B:B,"",0)</f>
        <v>#NAME?</v>
      </c>
      <c r="Z1934" s="47" t="e">
        <f ca="1">_xlfn.XLOOKUP(PAA_4[[#This Row],[ITEM]],[2]Contrato!A:A,[2]Contrato!G:G,"",0)</f>
        <v>#NAME?</v>
      </c>
      <c r="AA1934" s="47" t="e">
        <f ca="1">_xlfn.XLOOKUP(PAA_4[[#This Row],[ITEM]],[2]Contrato!A:A,[2]Contrato!T:T,"",0)</f>
        <v>#NAME?</v>
      </c>
      <c r="AB1934" s="55" t="e">
        <f ca="1">+MAX(PAA_4[[#This Row],[Comprometido Contrato]],PAA_4[[#This Row],[Comprometido Bolsa]])</f>
        <v>#NAME?</v>
      </c>
      <c r="AC1934" s="55" t="str">
        <f t="shared" ca="1" si="614"/>
        <v/>
      </c>
      <c r="AD1934" s="55" t="e">
        <f ca="1">IF(PAA_4[[#This Row],[ESTADO (formulado)]]="NO CONTRATADO",0,MAX(PAA_4[[#This Row],[Pago por Contrato]],PAA_4[[#This Row],[Pago por bolsa]]))</f>
        <v>#NAME?</v>
      </c>
      <c r="AE1934" s="55" t="str">
        <f t="shared" ca="1" si="610"/>
        <v/>
      </c>
      <c r="AF1934" s="47" t="e">
        <f t="shared" ca="1" si="615"/>
        <v>#NAME?</v>
      </c>
      <c r="AG1934" s="47">
        <f t="shared" si="611"/>
        <v>52010802</v>
      </c>
      <c r="AH1934" s="54">
        <f>IF(Q1934="22",IF(ISNUMBER(SEARCH("econ",PAA_4[[#This Row],[Actividad3]])),"Económico",IF(ISNUMBER(SEARCH("alim",PAA_4[[#This Row],[Actividad3]])),"Alimentación",IF(ISNUMBER(SEARCH("educ",PAA_4[[#This Row],[Actividad3]])),"Educativo","Técnico"))),0)</f>
        <v>0</v>
      </c>
      <c r="AI1934" s="47" t="e" cm="1">
        <f t="array" aca="1" ref="AI1934" ca="1">_xlfn.XLOOKUP(PAA_4[[#This Row],[RCP-RUBRO]],[2]!COMPROMISOS_2024[[#All],[concatenado]],[2]!COMPROMISOS_2024[[#All],[Total pagado]],"",0)</f>
        <v>#NAME?</v>
      </c>
      <c r="AJ1934" s="56">
        <f>IF(PAA_4[[#This Row],[BOLSA]]=0,0,SUMIFS([2]!COMPROMISOS_2024[[#All],[Total pagado]],[2]!COMPROMISOS_2024[[#All],[Bolsa]],PAA_4[[#This Row],[BOLSA]],[2]!COMPROMISOS_2024[[#All],[rubro]],PAA_4[[#This Row],[RCP-RUBRO]]))</f>
        <v>0</v>
      </c>
      <c r="AK1934" s="47" t="e" cm="1">
        <f t="array" aca="1" ref="AK1934" ca="1">_xlfn.XLOOKUP(PAA_4[[#This Row],[RCP-RUBRO]],[2]!COMPROMISOS_2024[[#All],[concatenado]],[2]!COMPROMISOS_2024[[#All],[Total Comprometido]],"",0)</f>
        <v>#NAME?</v>
      </c>
      <c r="AL1934" s="47">
        <f>IF(PAA_4[[#This Row],[BOLSA]]=0,0,SUMIFS([2]!COMPROMISOS_2024[[#All],[Total Comprometido]],[2]!COMPROMISOS_2024[[#All],[Bolsa]],PAA_4[[#This Row],[BOLSA]],[2]!COMPROMISOS_2024[[#All],[concatenado]],PAA_4[[#This Row],[RCP-RUBRO]]))</f>
        <v>0</v>
      </c>
    </row>
    <row r="1935" spans="1:38" s="19" customFormat="1" ht="31.5" customHeight="1">
      <c r="A1935" s="47">
        <v>1167</v>
      </c>
      <c r="B1935" s="47">
        <v>80111600</v>
      </c>
      <c r="C1935" s="47" t="str">
        <f>VLOOKUP(PAA_4[[#This Row],[PROYECTO (formulado)2]],[2]PROYECTOS!$G$1:$L$32,6,0)</f>
        <v>SUBGERENCIA DE ALTOS LOGROS Y DEPORTE ASOCIADO</v>
      </c>
      <c r="D1935" s="47" t="str">
        <f>+IF(PAA_4[[#This Row],[UNIDAD DE CONTRATACION (formulado)]]="Subgerencia Administrativa y Financiera","FUNCIONAMIENTO","INVERSIÓN")</f>
        <v>INVERSIÓN</v>
      </c>
      <c r="E1935" s="48" t="str">
        <f>VLOOKUP(Q1935,[2]PROYECTOS!$G$1:$K$32,5,0)</f>
        <v>Apoyo técnico a atletas y para-atletas que representan en alto rendimiento deportivo al departamento de Antioquia</v>
      </c>
      <c r="F1935" s="48">
        <f>VLOOKUP(E1935,[2]PROYECTOS!$K$1:$M$32,3,0)</f>
        <v>2024003050084</v>
      </c>
      <c r="G1935" s="67" t="s">
        <v>1518</v>
      </c>
      <c r="H1935" s="49" t="str">
        <f>VLOOKUP(Q1935,[2]PROYECTOS!$V$1:$W$32,2,0)</f>
        <v>050079</v>
      </c>
      <c r="I1935" s="78">
        <v>5922137</v>
      </c>
      <c r="J1935" s="51" t="s">
        <v>2156</v>
      </c>
      <c r="K1935" s="47" t="str">
        <f t="shared" ca="1" si="609"/>
        <v>CONTRATADO</v>
      </c>
      <c r="L1935" s="47" t="s">
        <v>78</v>
      </c>
      <c r="M1935" s="51" t="s">
        <v>1297</v>
      </c>
      <c r="N1935" s="52" t="s">
        <v>1519</v>
      </c>
      <c r="O1935" s="51" t="e">
        <f>VLOOKUP(N1935,[2]!RUBROS[#All],3,0)</f>
        <v>#REF!</v>
      </c>
      <c r="P1935" s="53" t="e">
        <f>VLOOKUP(N1935,[2]!RUBROS[#All],2,0)</f>
        <v>#REF!</v>
      </c>
      <c r="Q1935" s="47" t="str">
        <f t="shared" si="612"/>
        <v>84</v>
      </c>
      <c r="R1935" s="47" t="str">
        <f t="shared" si="613"/>
        <v>0-205400</v>
      </c>
      <c r="S1935" s="339">
        <v>69</v>
      </c>
      <c r="T1935" s="63" t="s">
        <v>120</v>
      </c>
      <c r="U1935" s="326" t="e">
        <f ca="1">_xlfn.XLOOKUP(PAA_4[[#This Row],[ITEM]],[2]Contrato!A:A,[2]Contrato!Q:Q,"",0)</f>
        <v>#NAME?</v>
      </c>
      <c r="V1935" s="47" t="s">
        <v>95</v>
      </c>
      <c r="W1935" s="47" t="s">
        <v>203</v>
      </c>
      <c r="X1935" s="47" t="s">
        <v>203</v>
      </c>
      <c r="Y1935" s="55" t="e">
        <f ca="1">_xlfn.XLOOKUP(PAA_4[[#This Row],[ITEM]],[2]Contrato!A:A,[2]Contrato!B:B,"",0)</f>
        <v>#NAME?</v>
      </c>
      <c r="Z1935" s="47" t="e">
        <f ca="1">_xlfn.XLOOKUP(PAA_4[[#This Row],[ITEM]],[2]Contrato!A:A,[2]Contrato!G:G,"",0)</f>
        <v>#NAME?</v>
      </c>
      <c r="AA1935" s="47" t="e">
        <f ca="1">_xlfn.XLOOKUP(PAA_4[[#This Row],[ITEM]],[2]Contrato!A:A,[2]Contrato!T:T,"",0)</f>
        <v>#NAME?</v>
      </c>
      <c r="AB1935" s="55" t="e">
        <f ca="1">+MAX(PAA_4[[#This Row],[Comprometido Contrato]],PAA_4[[#This Row],[Comprometido Bolsa]])</f>
        <v>#NAME?</v>
      </c>
      <c r="AC1935" s="55" t="str">
        <f t="shared" ca="1" si="614"/>
        <v/>
      </c>
      <c r="AD1935" s="55" t="e">
        <f ca="1">IF(PAA_4[[#This Row],[ESTADO (formulado)]]="NO CONTRATADO",0,MAX(PAA_4[[#This Row],[Pago por Contrato]],PAA_4[[#This Row],[Pago por bolsa]]))</f>
        <v>#NAME?</v>
      </c>
      <c r="AE1935" s="55" t="str">
        <f t="shared" ca="1" si="610"/>
        <v/>
      </c>
      <c r="AF1935" s="47" t="e">
        <f t="shared" ca="1" si="615"/>
        <v>#NAME?</v>
      </c>
      <c r="AG1935" s="47">
        <f t="shared" si="611"/>
        <v>52010802</v>
      </c>
      <c r="AH1935" s="54">
        <f>IF(Q1935="22",IF(ISNUMBER(SEARCH("econ",PAA_4[[#This Row],[Actividad3]])),"Económico",IF(ISNUMBER(SEARCH("alim",PAA_4[[#This Row],[Actividad3]])),"Alimentación",IF(ISNUMBER(SEARCH("educ",PAA_4[[#This Row],[Actividad3]])),"Educativo","Técnico"))),0)</f>
        <v>0</v>
      </c>
      <c r="AI1935" s="47" t="e" cm="1">
        <f t="array" aca="1" ref="AI1935" ca="1">_xlfn.XLOOKUP(PAA_4[[#This Row],[RCP-RUBRO]],[2]!COMPROMISOS_2024[[#All],[concatenado]],[2]!COMPROMISOS_2024[[#All],[Total pagado]],"",0)</f>
        <v>#NAME?</v>
      </c>
      <c r="AJ1935" s="56">
        <f>IF(PAA_4[[#This Row],[BOLSA]]=0,0,SUMIFS([2]!COMPROMISOS_2024[[#All],[Total pagado]],[2]!COMPROMISOS_2024[[#All],[Bolsa]],PAA_4[[#This Row],[BOLSA]],[2]!COMPROMISOS_2024[[#All],[rubro]],PAA_4[[#This Row],[RCP-RUBRO]]))</f>
        <v>0</v>
      </c>
      <c r="AK1935" s="47" t="e" cm="1">
        <f t="array" aca="1" ref="AK1935" ca="1">_xlfn.XLOOKUP(PAA_4[[#This Row],[RCP-RUBRO]],[2]!COMPROMISOS_2024[[#All],[concatenado]],[2]!COMPROMISOS_2024[[#All],[Total Comprometido]],"",0)</f>
        <v>#NAME?</v>
      </c>
      <c r="AL1935" s="47">
        <f>IF(PAA_4[[#This Row],[BOLSA]]=0,0,SUMIFS([2]!COMPROMISOS_2024[[#All],[Total Comprometido]],[2]!COMPROMISOS_2024[[#All],[Bolsa]],PAA_4[[#This Row],[BOLSA]],[2]!COMPROMISOS_2024[[#All],[concatenado]],PAA_4[[#This Row],[RCP-RUBRO]]))</f>
        <v>0</v>
      </c>
    </row>
    <row r="1936" spans="1:38" s="19" customFormat="1" ht="31.5" customHeight="1">
      <c r="A1936" s="47">
        <v>1168</v>
      </c>
      <c r="B1936" s="47">
        <v>80111600</v>
      </c>
      <c r="C1936" s="47" t="str">
        <f>VLOOKUP(PAA_4[[#This Row],[PROYECTO (formulado)2]],[2]PROYECTOS!$G$1:$L$32,6,0)</f>
        <v>SUBGERENCIA DE ALTOS LOGROS Y DEPORTE ASOCIADO</v>
      </c>
      <c r="D1936" s="47" t="str">
        <f>+IF(PAA_4[[#This Row],[UNIDAD DE CONTRATACION (formulado)]]="Subgerencia Administrativa y Financiera","FUNCIONAMIENTO","INVERSIÓN")</f>
        <v>INVERSIÓN</v>
      </c>
      <c r="E1936" s="48" t="str">
        <f>VLOOKUP(Q1936,[2]PROYECTOS!$G$1:$K$32,5,0)</f>
        <v>Apoyo técnico a atletas y para-atletas que representan en alto rendimiento deportivo al departamento de Antioquia</v>
      </c>
      <c r="F1936" s="48">
        <f>VLOOKUP(E1936,[2]PROYECTOS!$K$1:$M$32,3,0)</f>
        <v>2024003050084</v>
      </c>
      <c r="G1936" s="67" t="s">
        <v>1518</v>
      </c>
      <c r="H1936" s="49" t="str">
        <f>VLOOKUP(Q1936,[2]PROYECTOS!$V$1:$W$32,2,0)</f>
        <v>050079</v>
      </c>
      <c r="I1936" s="78">
        <v>5922137</v>
      </c>
      <c r="J1936" s="51" t="s">
        <v>2157</v>
      </c>
      <c r="K1936" s="47" t="str">
        <f t="shared" ca="1" si="609"/>
        <v>CONTRATADO</v>
      </c>
      <c r="L1936" s="47" t="s">
        <v>78</v>
      </c>
      <c r="M1936" s="51" t="s">
        <v>1297</v>
      </c>
      <c r="N1936" s="52" t="s">
        <v>1519</v>
      </c>
      <c r="O1936" s="51" t="e">
        <f>VLOOKUP(N1936,[2]!RUBROS[#All],3,0)</f>
        <v>#REF!</v>
      </c>
      <c r="P1936" s="53" t="e">
        <f>VLOOKUP(N1936,[2]!RUBROS[#All],2,0)</f>
        <v>#REF!</v>
      </c>
      <c r="Q1936" s="47" t="str">
        <f t="shared" si="612"/>
        <v>84</v>
      </c>
      <c r="R1936" s="47" t="str">
        <f t="shared" si="613"/>
        <v>0-205400</v>
      </c>
      <c r="S1936" s="339">
        <v>69</v>
      </c>
      <c r="T1936" s="63" t="s">
        <v>120</v>
      </c>
      <c r="U1936" s="326" t="e">
        <f ca="1">_xlfn.XLOOKUP(PAA_4[[#This Row],[ITEM]],[2]Contrato!A:A,[2]Contrato!Q:Q,"",0)</f>
        <v>#NAME?</v>
      </c>
      <c r="V1936" s="47" t="s">
        <v>95</v>
      </c>
      <c r="W1936" s="47" t="s">
        <v>203</v>
      </c>
      <c r="X1936" s="47" t="s">
        <v>203</v>
      </c>
      <c r="Y1936" s="55" t="e">
        <f ca="1">_xlfn.XLOOKUP(PAA_4[[#This Row],[ITEM]],[2]Contrato!A:A,[2]Contrato!B:B,"",0)</f>
        <v>#NAME?</v>
      </c>
      <c r="Z1936" s="47" t="e">
        <f ca="1">_xlfn.XLOOKUP(PAA_4[[#This Row],[ITEM]],[2]Contrato!A:A,[2]Contrato!G:G,"",0)</f>
        <v>#NAME?</v>
      </c>
      <c r="AA1936" s="47" t="e">
        <f ca="1">_xlfn.XLOOKUP(PAA_4[[#This Row],[ITEM]],[2]Contrato!A:A,[2]Contrato!T:T,"",0)</f>
        <v>#NAME?</v>
      </c>
      <c r="AB1936" s="55" t="e">
        <f ca="1">+MAX(PAA_4[[#This Row],[Comprometido Contrato]],PAA_4[[#This Row],[Comprometido Bolsa]])</f>
        <v>#NAME?</v>
      </c>
      <c r="AC1936" s="55" t="str">
        <f t="shared" ca="1" si="614"/>
        <v/>
      </c>
      <c r="AD1936" s="55" t="e">
        <f ca="1">IF(PAA_4[[#This Row],[ESTADO (formulado)]]="NO CONTRATADO",0,MAX(PAA_4[[#This Row],[Pago por Contrato]],PAA_4[[#This Row],[Pago por bolsa]]))</f>
        <v>#NAME?</v>
      </c>
      <c r="AE1936" s="55" t="str">
        <f t="shared" ca="1" si="610"/>
        <v/>
      </c>
      <c r="AF1936" s="47" t="e">
        <f t="shared" ca="1" si="615"/>
        <v>#NAME?</v>
      </c>
      <c r="AG1936" s="47">
        <f t="shared" si="611"/>
        <v>52010802</v>
      </c>
      <c r="AH1936" s="54">
        <f>IF(Q1936="22",IF(ISNUMBER(SEARCH("econ",PAA_4[[#This Row],[Actividad3]])),"Económico",IF(ISNUMBER(SEARCH("alim",PAA_4[[#This Row],[Actividad3]])),"Alimentación",IF(ISNUMBER(SEARCH("educ",PAA_4[[#This Row],[Actividad3]])),"Educativo","Técnico"))),0)</f>
        <v>0</v>
      </c>
      <c r="AI1936" s="47" t="e" cm="1">
        <f t="array" aca="1" ref="AI1936" ca="1">_xlfn.XLOOKUP(PAA_4[[#This Row],[RCP-RUBRO]],[2]!COMPROMISOS_2024[[#All],[concatenado]],[2]!COMPROMISOS_2024[[#All],[Total pagado]],"",0)</f>
        <v>#NAME?</v>
      </c>
      <c r="AJ1936" s="56">
        <f>IF(PAA_4[[#This Row],[BOLSA]]=0,0,SUMIFS([2]!COMPROMISOS_2024[[#All],[Total pagado]],[2]!COMPROMISOS_2024[[#All],[Bolsa]],PAA_4[[#This Row],[BOLSA]],[2]!COMPROMISOS_2024[[#All],[rubro]],PAA_4[[#This Row],[RCP-RUBRO]]))</f>
        <v>0</v>
      </c>
      <c r="AK1936" s="47" t="e" cm="1">
        <f t="array" aca="1" ref="AK1936" ca="1">_xlfn.XLOOKUP(PAA_4[[#This Row],[RCP-RUBRO]],[2]!COMPROMISOS_2024[[#All],[concatenado]],[2]!COMPROMISOS_2024[[#All],[Total Comprometido]],"",0)</f>
        <v>#NAME?</v>
      </c>
      <c r="AL1936" s="47">
        <f>IF(PAA_4[[#This Row],[BOLSA]]=0,0,SUMIFS([2]!COMPROMISOS_2024[[#All],[Total Comprometido]],[2]!COMPROMISOS_2024[[#All],[Bolsa]],PAA_4[[#This Row],[BOLSA]],[2]!COMPROMISOS_2024[[#All],[concatenado]],PAA_4[[#This Row],[RCP-RUBRO]]))</f>
        <v>0</v>
      </c>
    </row>
    <row r="1937" spans="1:38" s="19" customFormat="1" ht="31.5" customHeight="1">
      <c r="A1937" s="47">
        <v>1169</v>
      </c>
      <c r="B1937" s="47">
        <v>80111600</v>
      </c>
      <c r="C1937" s="47" t="str">
        <f>VLOOKUP(PAA_4[[#This Row],[PROYECTO (formulado)2]],[2]PROYECTOS!$G$1:$L$32,6,0)</f>
        <v>SUBGERENCIA DE ALTOS LOGROS Y DEPORTE ASOCIADO</v>
      </c>
      <c r="D1937" s="47" t="str">
        <f>+IF(PAA_4[[#This Row],[UNIDAD DE CONTRATACION (formulado)]]="Subgerencia Administrativa y Financiera","FUNCIONAMIENTO","INVERSIÓN")</f>
        <v>INVERSIÓN</v>
      </c>
      <c r="E1937" s="48" t="str">
        <f>VLOOKUP(Q1937,[2]PROYECTOS!$G$1:$K$32,5,0)</f>
        <v>Apoyo técnico a atletas y para-atletas que representan en alto rendimiento deportivo al departamento de Antioquia</v>
      </c>
      <c r="F1937" s="48">
        <f>VLOOKUP(E1937,[2]PROYECTOS!$K$1:$M$32,3,0)</f>
        <v>2024003050084</v>
      </c>
      <c r="G1937" s="67" t="s">
        <v>1518</v>
      </c>
      <c r="H1937" s="49" t="str">
        <f>VLOOKUP(Q1937,[2]PROYECTOS!$V$1:$W$32,2,0)</f>
        <v>050079</v>
      </c>
      <c r="I1937" s="78">
        <v>11290553</v>
      </c>
      <c r="J1937" s="51" t="s">
        <v>2158</v>
      </c>
      <c r="K1937" s="47" t="str">
        <f t="shared" ca="1" si="609"/>
        <v>CONTRATADO</v>
      </c>
      <c r="L1937" s="47" t="s">
        <v>78</v>
      </c>
      <c r="M1937" s="51" t="s">
        <v>1297</v>
      </c>
      <c r="N1937" s="52" t="s">
        <v>1519</v>
      </c>
      <c r="O1937" s="51" t="e">
        <f>VLOOKUP(N1937,[2]!RUBROS[#All],3,0)</f>
        <v>#REF!</v>
      </c>
      <c r="P1937" s="53" t="e">
        <f>VLOOKUP(N1937,[2]!RUBROS[#All],2,0)</f>
        <v>#REF!</v>
      </c>
      <c r="Q1937" s="47" t="str">
        <f t="shared" si="612"/>
        <v>84</v>
      </c>
      <c r="R1937" s="47" t="str">
        <f t="shared" si="613"/>
        <v>0-205400</v>
      </c>
      <c r="S1937" s="339">
        <v>69</v>
      </c>
      <c r="T1937" s="63" t="s">
        <v>120</v>
      </c>
      <c r="U1937" s="326" t="e">
        <f ca="1">_xlfn.XLOOKUP(PAA_4[[#This Row],[ITEM]],[2]Contrato!A:A,[2]Contrato!Q:Q,"",0)</f>
        <v>#NAME?</v>
      </c>
      <c r="V1937" s="47" t="s">
        <v>95</v>
      </c>
      <c r="W1937" s="47" t="s">
        <v>203</v>
      </c>
      <c r="X1937" s="47" t="s">
        <v>203</v>
      </c>
      <c r="Y1937" s="55" t="e">
        <f ca="1">_xlfn.XLOOKUP(PAA_4[[#This Row],[ITEM]],[2]Contrato!A:A,[2]Contrato!B:B,"",0)</f>
        <v>#NAME?</v>
      </c>
      <c r="Z1937" s="47" t="e">
        <f ca="1">_xlfn.XLOOKUP(PAA_4[[#This Row],[ITEM]],[2]Contrato!A:A,[2]Contrato!G:G,"",0)</f>
        <v>#NAME?</v>
      </c>
      <c r="AA1937" s="47" t="e">
        <f ca="1">_xlfn.XLOOKUP(PAA_4[[#This Row],[ITEM]],[2]Contrato!A:A,[2]Contrato!T:T,"",0)</f>
        <v>#NAME?</v>
      </c>
      <c r="AB1937" s="55" t="e">
        <f ca="1">+MAX(PAA_4[[#This Row],[Comprometido Contrato]],PAA_4[[#This Row],[Comprometido Bolsa]])</f>
        <v>#NAME?</v>
      </c>
      <c r="AC1937" s="55" t="str">
        <f t="shared" ca="1" si="614"/>
        <v/>
      </c>
      <c r="AD1937" s="55" t="e">
        <f ca="1">IF(PAA_4[[#This Row],[ESTADO (formulado)]]="NO CONTRATADO",0,MAX(PAA_4[[#This Row],[Pago por Contrato]],PAA_4[[#This Row],[Pago por bolsa]]))</f>
        <v>#NAME?</v>
      </c>
      <c r="AE1937" s="55" t="str">
        <f t="shared" ca="1" si="610"/>
        <v/>
      </c>
      <c r="AF1937" s="47" t="e">
        <f t="shared" ca="1" si="615"/>
        <v>#NAME?</v>
      </c>
      <c r="AG1937" s="47">
        <f t="shared" si="611"/>
        <v>52010802</v>
      </c>
      <c r="AH1937" s="54">
        <f>IF(Q1937="22",IF(ISNUMBER(SEARCH("econ",PAA_4[[#This Row],[Actividad3]])),"Económico",IF(ISNUMBER(SEARCH("alim",PAA_4[[#This Row],[Actividad3]])),"Alimentación",IF(ISNUMBER(SEARCH("educ",PAA_4[[#This Row],[Actividad3]])),"Educativo","Técnico"))),0)</f>
        <v>0</v>
      </c>
      <c r="AI1937" s="47" t="e" cm="1">
        <f t="array" aca="1" ref="AI1937" ca="1">_xlfn.XLOOKUP(PAA_4[[#This Row],[RCP-RUBRO]],[2]!COMPROMISOS_2024[[#All],[concatenado]],[2]!COMPROMISOS_2024[[#All],[Total pagado]],"",0)</f>
        <v>#NAME?</v>
      </c>
      <c r="AJ1937" s="56">
        <f>IF(PAA_4[[#This Row],[BOLSA]]=0,0,SUMIFS([2]!COMPROMISOS_2024[[#All],[Total pagado]],[2]!COMPROMISOS_2024[[#All],[Bolsa]],PAA_4[[#This Row],[BOLSA]],[2]!COMPROMISOS_2024[[#All],[rubro]],PAA_4[[#This Row],[RCP-RUBRO]]))</f>
        <v>0</v>
      </c>
      <c r="AK1937" s="47" t="e" cm="1">
        <f t="array" aca="1" ref="AK1937" ca="1">_xlfn.XLOOKUP(PAA_4[[#This Row],[RCP-RUBRO]],[2]!COMPROMISOS_2024[[#All],[concatenado]],[2]!COMPROMISOS_2024[[#All],[Total Comprometido]],"",0)</f>
        <v>#NAME?</v>
      </c>
      <c r="AL1937" s="47">
        <f>IF(PAA_4[[#This Row],[BOLSA]]=0,0,SUMIFS([2]!COMPROMISOS_2024[[#All],[Total Comprometido]],[2]!COMPROMISOS_2024[[#All],[Bolsa]],PAA_4[[#This Row],[BOLSA]],[2]!COMPROMISOS_2024[[#All],[concatenado]],PAA_4[[#This Row],[RCP-RUBRO]]))</f>
        <v>0</v>
      </c>
    </row>
    <row r="1938" spans="1:38" s="19" customFormat="1" ht="31.5" customHeight="1">
      <c r="A1938" s="47">
        <v>1170</v>
      </c>
      <c r="B1938" s="47">
        <v>80111600</v>
      </c>
      <c r="C1938" s="47" t="str">
        <f>VLOOKUP(PAA_4[[#This Row],[PROYECTO (formulado)2]],[2]PROYECTOS!$G$1:$L$32,6,0)</f>
        <v>SUBGERENCIA DE ALTOS LOGROS Y DEPORTE ASOCIADO</v>
      </c>
      <c r="D1938" s="47" t="str">
        <f>+IF(PAA_4[[#This Row],[UNIDAD DE CONTRATACION (formulado)]]="Subgerencia Administrativa y Financiera","FUNCIONAMIENTO","INVERSIÓN")</f>
        <v>INVERSIÓN</v>
      </c>
      <c r="E1938" s="48" t="str">
        <f>VLOOKUP(Q1938,[2]PROYECTOS!$G$1:$K$32,5,0)</f>
        <v>Apoyo técnico a atletas y para-atletas que representan en alto rendimiento deportivo al departamento de Antioquia</v>
      </c>
      <c r="F1938" s="48">
        <f>VLOOKUP(E1938,[2]PROYECTOS!$K$1:$M$32,3,0)</f>
        <v>2024003050084</v>
      </c>
      <c r="G1938" s="67" t="s">
        <v>1518</v>
      </c>
      <c r="H1938" s="49" t="str">
        <f>VLOOKUP(Q1938,[2]PROYECTOS!$V$1:$W$32,2,0)</f>
        <v>050079</v>
      </c>
      <c r="I1938" s="78">
        <v>11290553</v>
      </c>
      <c r="J1938" s="51" t="s">
        <v>2159</v>
      </c>
      <c r="K1938" s="47" t="str">
        <f t="shared" ca="1" si="609"/>
        <v>CONTRATADO</v>
      </c>
      <c r="L1938" s="47" t="s">
        <v>78</v>
      </c>
      <c r="M1938" s="51" t="s">
        <v>1297</v>
      </c>
      <c r="N1938" s="52" t="s">
        <v>1519</v>
      </c>
      <c r="O1938" s="51" t="e">
        <f>VLOOKUP(N1938,[2]!RUBROS[#All],3,0)</f>
        <v>#REF!</v>
      </c>
      <c r="P1938" s="53" t="e">
        <f>VLOOKUP(N1938,[2]!RUBROS[#All],2,0)</f>
        <v>#REF!</v>
      </c>
      <c r="Q1938" s="47" t="str">
        <f t="shared" si="612"/>
        <v>84</v>
      </c>
      <c r="R1938" s="47" t="str">
        <f t="shared" si="613"/>
        <v>0-205400</v>
      </c>
      <c r="S1938" s="339">
        <v>69</v>
      </c>
      <c r="T1938" s="63" t="s">
        <v>120</v>
      </c>
      <c r="U1938" s="326" t="e">
        <f ca="1">_xlfn.XLOOKUP(PAA_4[[#This Row],[ITEM]],[2]Contrato!A:A,[2]Contrato!Q:Q,"",0)</f>
        <v>#NAME?</v>
      </c>
      <c r="V1938" s="47" t="s">
        <v>95</v>
      </c>
      <c r="W1938" s="47" t="s">
        <v>203</v>
      </c>
      <c r="X1938" s="47" t="s">
        <v>203</v>
      </c>
      <c r="Y1938" s="55" t="e">
        <f ca="1">_xlfn.XLOOKUP(PAA_4[[#This Row],[ITEM]],[2]Contrato!A:A,[2]Contrato!B:B,"",0)</f>
        <v>#NAME?</v>
      </c>
      <c r="Z1938" s="47" t="e">
        <f ca="1">_xlfn.XLOOKUP(PAA_4[[#This Row],[ITEM]],[2]Contrato!A:A,[2]Contrato!G:G,"",0)</f>
        <v>#NAME?</v>
      </c>
      <c r="AA1938" s="47" t="e">
        <f ca="1">_xlfn.XLOOKUP(PAA_4[[#This Row],[ITEM]],[2]Contrato!A:A,[2]Contrato!T:T,"",0)</f>
        <v>#NAME?</v>
      </c>
      <c r="AB1938" s="55" t="e">
        <f ca="1">+MAX(PAA_4[[#This Row],[Comprometido Contrato]],PAA_4[[#This Row],[Comprometido Bolsa]])</f>
        <v>#NAME?</v>
      </c>
      <c r="AC1938" s="55" t="str">
        <f t="shared" ca="1" si="614"/>
        <v/>
      </c>
      <c r="AD1938" s="55" t="e">
        <f ca="1">IF(PAA_4[[#This Row],[ESTADO (formulado)]]="NO CONTRATADO",0,MAX(PAA_4[[#This Row],[Pago por Contrato]],PAA_4[[#This Row],[Pago por bolsa]]))</f>
        <v>#NAME?</v>
      </c>
      <c r="AE1938" s="55" t="str">
        <f t="shared" ca="1" si="610"/>
        <v/>
      </c>
      <c r="AF1938" s="47" t="e">
        <f t="shared" ca="1" si="615"/>
        <v>#NAME?</v>
      </c>
      <c r="AG1938" s="47">
        <f t="shared" si="611"/>
        <v>52010802</v>
      </c>
      <c r="AH1938" s="54">
        <f>IF(Q1938="22",IF(ISNUMBER(SEARCH("econ",PAA_4[[#This Row],[Actividad3]])),"Económico",IF(ISNUMBER(SEARCH("alim",PAA_4[[#This Row],[Actividad3]])),"Alimentación",IF(ISNUMBER(SEARCH("educ",PAA_4[[#This Row],[Actividad3]])),"Educativo","Técnico"))),0)</f>
        <v>0</v>
      </c>
      <c r="AI1938" s="47" t="e" cm="1">
        <f t="array" aca="1" ref="AI1938" ca="1">_xlfn.XLOOKUP(PAA_4[[#This Row],[RCP-RUBRO]],[2]!COMPROMISOS_2024[[#All],[concatenado]],[2]!COMPROMISOS_2024[[#All],[Total pagado]],"",0)</f>
        <v>#NAME?</v>
      </c>
      <c r="AJ1938" s="56">
        <f>IF(PAA_4[[#This Row],[BOLSA]]=0,0,SUMIFS([2]!COMPROMISOS_2024[[#All],[Total pagado]],[2]!COMPROMISOS_2024[[#All],[Bolsa]],PAA_4[[#This Row],[BOLSA]],[2]!COMPROMISOS_2024[[#All],[rubro]],PAA_4[[#This Row],[RCP-RUBRO]]))</f>
        <v>0</v>
      </c>
      <c r="AK1938" s="47" t="e" cm="1">
        <f t="array" aca="1" ref="AK1938" ca="1">_xlfn.XLOOKUP(PAA_4[[#This Row],[RCP-RUBRO]],[2]!COMPROMISOS_2024[[#All],[concatenado]],[2]!COMPROMISOS_2024[[#All],[Total Comprometido]],"",0)</f>
        <v>#NAME?</v>
      </c>
      <c r="AL1938" s="47">
        <f>IF(PAA_4[[#This Row],[BOLSA]]=0,0,SUMIFS([2]!COMPROMISOS_2024[[#All],[Total Comprometido]],[2]!COMPROMISOS_2024[[#All],[Bolsa]],PAA_4[[#This Row],[BOLSA]],[2]!COMPROMISOS_2024[[#All],[concatenado]],PAA_4[[#This Row],[RCP-RUBRO]]))</f>
        <v>0</v>
      </c>
    </row>
    <row r="1939" spans="1:38" s="19" customFormat="1" ht="31.5" customHeight="1">
      <c r="A1939" s="47">
        <v>1171</v>
      </c>
      <c r="B1939" s="47">
        <v>80111600</v>
      </c>
      <c r="C1939" s="47" t="str">
        <f>VLOOKUP(PAA_4[[#This Row],[PROYECTO (formulado)2]],[2]PROYECTOS!$G$1:$L$32,6,0)</f>
        <v>SUBGERENCIA DE ALTOS LOGROS Y DEPORTE ASOCIADO</v>
      </c>
      <c r="D1939" s="47" t="str">
        <f>+IF(PAA_4[[#This Row],[UNIDAD DE CONTRATACION (formulado)]]="Subgerencia Administrativa y Financiera","FUNCIONAMIENTO","INVERSIÓN")</f>
        <v>INVERSIÓN</v>
      </c>
      <c r="E1939" s="48" t="str">
        <f>VLOOKUP(Q1939,[2]PROYECTOS!$G$1:$K$32,5,0)</f>
        <v>Apoyo técnico a atletas y para-atletas que representan en alto rendimiento deportivo al departamento de Antioquia</v>
      </c>
      <c r="F1939" s="48">
        <f>VLOOKUP(E1939,[2]PROYECTOS!$K$1:$M$32,3,0)</f>
        <v>2024003050084</v>
      </c>
      <c r="G1939" s="67" t="s">
        <v>1518</v>
      </c>
      <c r="H1939" s="49" t="str">
        <f>VLOOKUP(Q1939,[2]PROYECTOS!$V$1:$W$32,2,0)</f>
        <v>050079</v>
      </c>
      <c r="I1939" s="78">
        <v>9090479</v>
      </c>
      <c r="J1939" s="51" t="s">
        <v>2160</v>
      </c>
      <c r="K1939" s="47" t="str">
        <f t="shared" ca="1" si="609"/>
        <v>CONTRATADO</v>
      </c>
      <c r="L1939" s="47" t="s">
        <v>78</v>
      </c>
      <c r="M1939" s="51" t="s">
        <v>1297</v>
      </c>
      <c r="N1939" s="52" t="s">
        <v>1519</v>
      </c>
      <c r="O1939" s="51" t="e">
        <f>VLOOKUP(N1939,[2]!RUBROS[#All],3,0)</f>
        <v>#REF!</v>
      </c>
      <c r="P1939" s="53" t="e">
        <f>VLOOKUP(N1939,[2]!RUBROS[#All],2,0)</f>
        <v>#REF!</v>
      </c>
      <c r="Q1939" s="47" t="str">
        <f t="shared" si="612"/>
        <v>84</v>
      </c>
      <c r="R1939" s="47" t="str">
        <f t="shared" si="613"/>
        <v>0-205400</v>
      </c>
      <c r="S1939" s="339">
        <v>69</v>
      </c>
      <c r="T1939" s="63" t="s">
        <v>120</v>
      </c>
      <c r="U1939" s="326" t="e">
        <f ca="1">_xlfn.XLOOKUP(PAA_4[[#This Row],[ITEM]],[2]Contrato!A:A,[2]Contrato!Q:Q,"",0)</f>
        <v>#NAME?</v>
      </c>
      <c r="V1939" s="47" t="s">
        <v>95</v>
      </c>
      <c r="W1939" s="47" t="s">
        <v>203</v>
      </c>
      <c r="X1939" s="47" t="s">
        <v>203</v>
      </c>
      <c r="Y1939" s="55" t="e">
        <f ca="1">_xlfn.XLOOKUP(PAA_4[[#This Row],[ITEM]],[2]Contrato!A:A,[2]Contrato!B:B,"",0)</f>
        <v>#NAME?</v>
      </c>
      <c r="Z1939" s="47" t="e">
        <f ca="1">_xlfn.XLOOKUP(PAA_4[[#This Row],[ITEM]],[2]Contrato!A:A,[2]Contrato!G:G,"",0)</f>
        <v>#NAME?</v>
      </c>
      <c r="AA1939" s="47" t="e">
        <f ca="1">_xlfn.XLOOKUP(PAA_4[[#This Row],[ITEM]],[2]Contrato!A:A,[2]Contrato!T:T,"",0)</f>
        <v>#NAME?</v>
      </c>
      <c r="AB1939" s="55" t="e">
        <f ca="1">+MAX(PAA_4[[#This Row],[Comprometido Contrato]],PAA_4[[#This Row],[Comprometido Bolsa]])</f>
        <v>#NAME?</v>
      </c>
      <c r="AC1939" s="55" t="str">
        <f t="shared" ca="1" si="614"/>
        <v/>
      </c>
      <c r="AD1939" s="55" t="e">
        <f ca="1">IF(PAA_4[[#This Row],[ESTADO (formulado)]]="NO CONTRATADO",0,MAX(PAA_4[[#This Row],[Pago por Contrato]],PAA_4[[#This Row],[Pago por bolsa]]))</f>
        <v>#NAME?</v>
      </c>
      <c r="AE1939" s="55" t="str">
        <f t="shared" ca="1" si="610"/>
        <v/>
      </c>
      <c r="AF1939" s="47" t="e">
        <f t="shared" ca="1" si="615"/>
        <v>#NAME?</v>
      </c>
      <c r="AG1939" s="47">
        <f t="shared" si="611"/>
        <v>52010802</v>
      </c>
      <c r="AH1939" s="54">
        <f>IF(Q1939="22",IF(ISNUMBER(SEARCH("econ",PAA_4[[#This Row],[Actividad3]])),"Económico",IF(ISNUMBER(SEARCH("alim",PAA_4[[#This Row],[Actividad3]])),"Alimentación",IF(ISNUMBER(SEARCH("educ",PAA_4[[#This Row],[Actividad3]])),"Educativo","Técnico"))),0)</f>
        <v>0</v>
      </c>
      <c r="AI1939" s="47" t="e" cm="1">
        <f t="array" aca="1" ref="AI1939" ca="1">_xlfn.XLOOKUP(PAA_4[[#This Row],[RCP-RUBRO]],[2]!COMPROMISOS_2024[[#All],[concatenado]],[2]!COMPROMISOS_2024[[#All],[Total pagado]],"",0)</f>
        <v>#NAME?</v>
      </c>
      <c r="AJ1939" s="56">
        <f>IF(PAA_4[[#This Row],[BOLSA]]=0,0,SUMIFS([2]!COMPROMISOS_2024[[#All],[Total pagado]],[2]!COMPROMISOS_2024[[#All],[Bolsa]],PAA_4[[#This Row],[BOLSA]],[2]!COMPROMISOS_2024[[#All],[rubro]],PAA_4[[#This Row],[RCP-RUBRO]]))</f>
        <v>0</v>
      </c>
      <c r="AK1939" s="47" t="e" cm="1">
        <f t="array" aca="1" ref="AK1939" ca="1">_xlfn.XLOOKUP(PAA_4[[#This Row],[RCP-RUBRO]],[2]!COMPROMISOS_2024[[#All],[concatenado]],[2]!COMPROMISOS_2024[[#All],[Total Comprometido]],"",0)</f>
        <v>#NAME?</v>
      </c>
      <c r="AL1939" s="47">
        <f>IF(PAA_4[[#This Row],[BOLSA]]=0,0,SUMIFS([2]!COMPROMISOS_2024[[#All],[Total Comprometido]],[2]!COMPROMISOS_2024[[#All],[Bolsa]],PAA_4[[#This Row],[BOLSA]],[2]!COMPROMISOS_2024[[#All],[concatenado]],PAA_4[[#This Row],[RCP-RUBRO]]))</f>
        <v>0</v>
      </c>
    </row>
    <row r="1940" spans="1:38" s="19" customFormat="1" ht="31.5" customHeight="1">
      <c r="A1940" s="47">
        <v>1172</v>
      </c>
      <c r="B1940" s="47">
        <v>80111600</v>
      </c>
      <c r="C1940" s="47" t="str">
        <f>VLOOKUP(PAA_4[[#This Row],[PROYECTO (formulado)2]],[2]PROYECTOS!$G$1:$L$32,6,0)</f>
        <v>SUBGERENCIA DE ALTOS LOGROS Y DEPORTE ASOCIADO</v>
      </c>
      <c r="D1940" s="47" t="str">
        <f>+IF(PAA_4[[#This Row],[UNIDAD DE CONTRATACION (formulado)]]="Subgerencia Administrativa y Financiera","FUNCIONAMIENTO","INVERSIÓN")</f>
        <v>INVERSIÓN</v>
      </c>
      <c r="E1940" s="48" t="str">
        <f>VLOOKUP(Q1940,[2]PROYECTOS!$G$1:$K$32,5,0)</f>
        <v>Apoyo técnico a atletas y para-atletas que representan en alto rendimiento deportivo al departamento de Antioquia</v>
      </c>
      <c r="F1940" s="48">
        <f>VLOOKUP(E1940,[2]PROYECTOS!$K$1:$M$32,3,0)</f>
        <v>2024003050084</v>
      </c>
      <c r="G1940" s="67" t="s">
        <v>1518</v>
      </c>
      <c r="H1940" s="49" t="str">
        <f>VLOOKUP(Q1940,[2]PROYECTOS!$V$1:$W$32,2,0)</f>
        <v>050079</v>
      </c>
      <c r="I1940" s="78">
        <v>5922137</v>
      </c>
      <c r="J1940" s="51" t="s">
        <v>2161</v>
      </c>
      <c r="K1940" s="47" t="str">
        <f t="shared" ca="1" si="609"/>
        <v>CONTRATADO</v>
      </c>
      <c r="L1940" s="47" t="s">
        <v>78</v>
      </c>
      <c r="M1940" s="51" t="s">
        <v>1297</v>
      </c>
      <c r="N1940" s="52" t="s">
        <v>1519</v>
      </c>
      <c r="O1940" s="51" t="e">
        <f>VLOOKUP(N1940,[2]!RUBROS[#All],3,0)</f>
        <v>#REF!</v>
      </c>
      <c r="P1940" s="53" t="e">
        <f>VLOOKUP(N1940,[2]!RUBROS[#All],2,0)</f>
        <v>#REF!</v>
      </c>
      <c r="Q1940" s="47" t="str">
        <f t="shared" si="612"/>
        <v>84</v>
      </c>
      <c r="R1940" s="47" t="str">
        <f t="shared" si="613"/>
        <v>0-205400</v>
      </c>
      <c r="S1940" s="339">
        <v>69</v>
      </c>
      <c r="T1940" s="63" t="s">
        <v>120</v>
      </c>
      <c r="U1940" s="326" t="e">
        <f ca="1">_xlfn.XLOOKUP(PAA_4[[#This Row],[ITEM]],[2]Contrato!A:A,[2]Contrato!Q:Q,"",0)</f>
        <v>#NAME?</v>
      </c>
      <c r="V1940" s="47" t="s">
        <v>95</v>
      </c>
      <c r="W1940" s="47" t="s">
        <v>203</v>
      </c>
      <c r="X1940" s="47" t="s">
        <v>203</v>
      </c>
      <c r="Y1940" s="55" t="e">
        <f ca="1">_xlfn.XLOOKUP(PAA_4[[#This Row],[ITEM]],[2]Contrato!A:A,[2]Contrato!B:B,"",0)</f>
        <v>#NAME?</v>
      </c>
      <c r="Z1940" s="47" t="e">
        <f ca="1">_xlfn.XLOOKUP(PAA_4[[#This Row],[ITEM]],[2]Contrato!A:A,[2]Contrato!G:G,"",0)</f>
        <v>#NAME?</v>
      </c>
      <c r="AA1940" s="47" t="e">
        <f ca="1">_xlfn.XLOOKUP(PAA_4[[#This Row],[ITEM]],[2]Contrato!A:A,[2]Contrato!T:T,"",0)</f>
        <v>#NAME?</v>
      </c>
      <c r="AB1940" s="55" t="e">
        <f ca="1">+MAX(PAA_4[[#This Row],[Comprometido Contrato]],PAA_4[[#This Row],[Comprometido Bolsa]])</f>
        <v>#NAME?</v>
      </c>
      <c r="AC1940" s="55" t="str">
        <f t="shared" ca="1" si="614"/>
        <v/>
      </c>
      <c r="AD1940" s="55" t="e">
        <f ca="1">IF(PAA_4[[#This Row],[ESTADO (formulado)]]="NO CONTRATADO",0,MAX(PAA_4[[#This Row],[Pago por Contrato]],PAA_4[[#This Row],[Pago por bolsa]]))</f>
        <v>#NAME?</v>
      </c>
      <c r="AE1940" s="55" t="str">
        <f t="shared" ca="1" si="610"/>
        <v/>
      </c>
      <c r="AF1940" s="47" t="e">
        <f t="shared" ca="1" si="615"/>
        <v>#NAME?</v>
      </c>
      <c r="AG1940" s="47">
        <f t="shared" si="611"/>
        <v>52010802</v>
      </c>
      <c r="AH1940" s="54">
        <f>IF(Q1940="22",IF(ISNUMBER(SEARCH("econ",PAA_4[[#This Row],[Actividad3]])),"Económico",IF(ISNUMBER(SEARCH("alim",PAA_4[[#This Row],[Actividad3]])),"Alimentación",IF(ISNUMBER(SEARCH("educ",PAA_4[[#This Row],[Actividad3]])),"Educativo","Técnico"))),0)</f>
        <v>0</v>
      </c>
      <c r="AI1940" s="47" t="e" cm="1">
        <f t="array" aca="1" ref="AI1940" ca="1">_xlfn.XLOOKUP(PAA_4[[#This Row],[RCP-RUBRO]],[2]!COMPROMISOS_2024[[#All],[concatenado]],[2]!COMPROMISOS_2024[[#All],[Total pagado]],"",0)</f>
        <v>#NAME?</v>
      </c>
      <c r="AJ1940" s="56">
        <f>IF(PAA_4[[#This Row],[BOLSA]]=0,0,SUMIFS([2]!COMPROMISOS_2024[[#All],[Total pagado]],[2]!COMPROMISOS_2024[[#All],[Bolsa]],PAA_4[[#This Row],[BOLSA]],[2]!COMPROMISOS_2024[[#All],[rubro]],PAA_4[[#This Row],[RCP-RUBRO]]))</f>
        <v>0</v>
      </c>
      <c r="AK1940" s="47" t="e" cm="1">
        <f t="array" aca="1" ref="AK1940" ca="1">_xlfn.XLOOKUP(PAA_4[[#This Row],[RCP-RUBRO]],[2]!COMPROMISOS_2024[[#All],[concatenado]],[2]!COMPROMISOS_2024[[#All],[Total Comprometido]],"",0)</f>
        <v>#NAME?</v>
      </c>
      <c r="AL1940" s="47">
        <f>IF(PAA_4[[#This Row],[BOLSA]]=0,0,SUMIFS([2]!COMPROMISOS_2024[[#All],[Total Comprometido]],[2]!COMPROMISOS_2024[[#All],[Bolsa]],PAA_4[[#This Row],[BOLSA]],[2]!COMPROMISOS_2024[[#All],[concatenado]],PAA_4[[#This Row],[RCP-RUBRO]]))</f>
        <v>0</v>
      </c>
    </row>
    <row r="1941" spans="1:38" s="19" customFormat="1" ht="31.5" customHeight="1">
      <c r="A1941" s="47">
        <v>1173</v>
      </c>
      <c r="B1941" s="47">
        <v>80111600</v>
      </c>
      <c r="C1941" s="47" t="str">
        <f>VLOOKUP(PAA_4[[#This Row],[PROYECTO (formulado)2]],[2]PROYECTOS!$G$1:$L$32,6,0)</f>
        <v>SUBGERENCIA DE ALTOS LOGROS Y DEPORTE ASOCIADO</v>
      </c>
      <c r="D1941" s="47" t="str">
        <f>+IF(PAA_4[[#This Row],[UNIDAD DE CONTRATACION (formulado)]]="Subgerencia Administrativa y Financiera","FUNCIONAMIENTO","INVERSIÓN")</f>
        <v>INVERSIÓN</v>
      </c>
      <c r="E1941" s="48" t="str">
        <f>VLOOKUP(Q1941,[2]PROYECTOS!$G$1:$K$32,5,0)</f>
        <v>Apoyo técnico a atletas y para-atletas que representan en alto rendimiento deportivo al departamento de Antioquia</v>
      </c>
      <c r="F1941" s="48">
        <f>VLOOKUP(E1941,[2]PROYECTOS!$K$1:$M$32,3,0)</f>
        <v>2024003050084</v>
      </c>
      <c r="G1941" s="67" t="s">
        <v>1518</v>
      </c>
      <c r="H1941" s="49" t="str">
        <f>VLOOKUP(Q1941,[2]PROYECTOS!$V$1:$W$32,2,0)</f>
        <v>050079</v>
      </c>
      <c r="I1941" s="78">
        <v>9090479</v>
      </c>
      <c r="J1941" s="51" t="s">
        <v>2162</v>
      </c>
      <c r="K1941" s="47" t="str">
        <f t="shared" ca="1" si="609"/>
        <v>CONTRATADO</v>
      </c>
      <c r="L1941" s="47" t="s">
        <v>78</v>
      </c>
      <c r="M1941" s="51" t="s">
        <v>1297</v>
      </c>
      <c r="N1941" s="52" t="s">
        <v>1519</v>
      </c>
      <c r="O1941" s="51" t="e">
        <f>VLOOKUP(N1941,[2]!RUBROS[#All],3,0)</f>
        <v>#REF!</v>
      </c>
      <c r="P1941" s="53" t="e">
        <f>VLOOKUP(N1941,[2]!RUBROS[#All],2,0)</f>
        <v>#REF!</v>
      </c>
      <c r="Q1941" s="47" t="str">
        <f t="shared" si="612"/>
        <v>84</v>
      </c>
      <c r="R1941" s="47" t="str">
        <f t="shared" si="613"/>
        <v>0-205400</v>
      </c>
      <c r="S1941" s="339">
        <v>69</v>
      </c>
      <c r="T1941" s="63" t="s">
        <v>120</v>
      </c>
      <c r="U1941" s="326" t="e">
        <f ca="1">_xlfn.XLOOKUP(PAA_4[[#This Row],[ITEM]],[2]Contrato!A:A,[2]Contrato!Q:Q,"",0)</f>
        <v>#NAME?</v>
      </c>
      <c r="V1941" s="47" t="s">
        <v>95</v>
      </c>
      <c r="W1941" s="47" t="s">
        <v>203</v>
      </c>
      <c r="X1941" s="47" t="s">
        <v>203</v>
      </c>
      <c r="Y1941" s="55" t="e">
        <f ca="1">_xlfn.XLOOKUP(PAA_4[[#This Row],[ITEM]],[2]Contrato!A:A,[2]Contrato!B:B,"",0)</f>
        <v>#NAME?</v>
      </c>
      <c r="Z1941" s="47" t="e">
        <f ca="1">_xlfn.XLOOKUP(PAA_4[[#This Row],[ITEM]],[2]Contrato!A:A,[2]Contrato!G:G,"",0)</f>
        <v>#NAME?</v>
      </c>
      <c r="AA1941" s="47" t="e">
        <f ca="1">_xlfn.XLOOKUP(PAA_4[[#This Row],[ITEM]],[2]Contrato!A:A,[2]Contrato!T:T,"",0)</f>
        <v>#NAME?</v>
      </c>
      <c r="AB1941" s="55" t="e">
        <f ca="1">+MAX(PAA_4[[#This Row],[Comprometido Contrato]],PAA_4[[#This Row],[Comprometido Bolsa]])</f>
        <v>#NAME?</v>
      </c>
      <c r="AC1941" s="55" t="str">
        <f t="shared" ca="1" si="614"/>
        <v/>
      </c>
      <c r="AD1941" s="55" t="e">
        <f ca="1">IF(PAA_4[[#This Row],[ESTADO (formulado)]]="NO CONTRATADO",0,MAX(PAA_4[[#This Row],[Pago por Contrato]],PAA_4[[#This Row],[Pago por bolsa]]))</f>
        <v>#NAME?</v>
      </c>
      <c r="AE1941" s="55" t="str">
        <f t="shared" ca="1" si="610"/>
        <v/>
      </c>
      <c r="AF1941" s="47" t="e">
        <f t="shared" ca="1" si="615"/>
        <v>#NAME?</v>
      </c>
      <c r="AG1941" s="47">
        <f t="shared" si="611"/>
        <v>52010802</v>
      </c>
      <c r="AH1941" s="54">
        <f>IF(Q1941="22",IF(ISNUMBER(SEARCH("econ",PAA_4[[#This Row],[Actividad3]])),"Económico",IF(ISNUMBER(SEARCH("alim",PAA_4[[#This Row],[Actividad3]])),"Alimentación",IF(ISNUMBER(SEARCH("educ",PAA_4[[#This Row],[Actividad3]])),"Educativo","Técnico"))),0)</f>
        <v>0</v>
      </c>
      <c r="AI1941" s="47" t="e" cm="1">
        <f t="array" aca="1" ref="AI1941" ca="1">_xlfn.XLOOKUP(PAA_4[[#This Row],[RCP-RUBRO]],[2]!COMPROMISOS_2024[[#All],[concatenado]],[2]!COMPROMISOS_2024[[#All],[Total pagado]],"",0)</f>
        <v>#NAME?</v>
      </c>
      <c r="AJ1941" s="56">
        <f>IF(PAA_4[[#This Row],[BOLSA]]=0,0,SUMIFS([2]!COMPROMISOS_2024[[#All],[Total pagado]],[2]!COMPROMISOS_2024[[#All],[Bolsa]],PAA_4[[#This Row],[BOLSA]],[2]!COMPROMISOS_2024[[#All],[rubro]],PAA_4[[#This Row],[RCP-RUBRO]]))</f>
        <v>0</v>
      </c>
      <c r="AK1941" s="47" t="e" cm="1">
        <f t="array" aca="1" ref="AK1941" ca="1">_xlfn.XLOOKUP(PAA_4[[#This Row],[RCP-RUBRO]],[2]!COMPROMISOS_2024[[#All],[concatenado]],[2]!COMPROMISOS_2024[[#All],[Total Comprometido]],"",0)</f>
        <v>#NAME?</v>
      </c>
      <c r="AL1941" s="47">
        <f>IF(PAA_4[[#This Row],[BOLSA]]=0,0,SUMIFS([2]!COMPROMISOS_2024[[#All],[Total Comprometido]],[2]!COMPROMISOS_2024[[#All],[Bolsa]],PAA_4[[#This Row],[BOLSA]],[2]!COMPROMISOS_2024[[#All],[concatenado]],PAA_4[[#This Row],[RCP-RUBRO]]))</f>
        <v>0</v>
      </c>
    </row>
    <row r="1942" spans="1:38" s="19" customFormat="1" ht="31.5" customHeight="1">
      <c r="A1942" s="47">
        <v>1174</v>
      </c>
      <c r="B1942" s="47">
        <v>80111600</v>
      </c>
      <c r="C1942" s="47" t="str">
        <f>VLOOKUP(PAA_4[[#This Row],[PROYECTO (formulado)2]],[2]PROYECTOS!$G$1:$L$32,6,0)</f>
        <v>SUBGERENCIA DE ALTOS LOGROS Y DEPORTE ASOCIADO</v>
      </c>
      <c r="D1942" s="47" t="str">
        <f>+IF(PAA_4[[#This Row],[UNIDAD DE CONTRATACION (formulado)]]="Subgerencia Administrativa y Financiera","FUNCIONAMIENTO","INVERSIÓN")</f>
        <v>INVERSIÓN</v>
      </c>
      <c r="E1942" s="48" t="str">
        <f>VLOOKUP(Q1942,[2]PROYECTOS!$G$1:$K$32,5,0)</f>
        <v>Apoyo técnico a atletas y para-atletas que representan en alto rendimiento deportivo al departamento de Antioquia</v>
      </c>
      <c r="F1942" s="48">
        <f>VLOOKUP(E1942,[2]PROYECTOS!$K$1:$M$32,3,0)</f>
        <v>2024003050084</v>
      </c>
      <c r="G1942" s="67" t="s">
        <v>1518</v>
      </c>
      <c r="H1942" s="49" t="str">
        <f>VLOOKUP(Q1942,[2]PROYECTOS!$V$1:$W$32,2,0)</f>
        <v>050079</v>
      </c>
      <c r="I1942" s="78">
        <v>5922137</v>
      </c>
      <c r="J1942" s="51" t="s">
        <v>2163</v>
      </c>
      <c r="K1942" s="47" t="str">
        <f t="shared" ca="1" si="609"/>
        <v>CONTRATADO</v>
      </c>
      <c r="L1942" s="47" t="s">
        <v>78</v>
      </c>
      <c r="M1942" s="51" t="s">
        <v>1297</v>
      </c>
      <c r="N1942" s="52" t="s">
        <v>1519</v>
      </c>
      <c r="O1942" s="51" t="e">
        <f>VLOOKUP(N1942,[2]!RUBROS[#All],3,0)</f>
        <v>#REF!</v>
      </c>
      <c r="P1942" s="53" t="e">
        <f>VLOOKUP(N1942,[2]!RUBROS[#All],2,0)</f>
        <v>#REF!</v>
      </c>
      <c r="Q1942" s="47" t="str">
        <f t="shared" si="612"/>
        <v>84</v>
      </c>
      <c r="R1942" s="47" t="str">
        <f t="shared" si="613"/>
        <v>0-205400</v>
      </c>
      <c r="S1942" s="339">
        <v>69</v>
      </c>
      <c r="T1942" s="63" t="s">
        <v>120</v>
      </c>
      <c r="U1942" s="326" t="e">
        <f ca="1">_xlfn.XLOOKUP(PAA_4[[#This Row],[ITEM]],[2]Contrato!A:A,[2]Contrato!Q:Q,"",0)</f>
        <v>#NAME?</v>
      </c>
      <c r="V1942" s="47" t="s">
        <v>95</v>
      </c>
      <c r="W1942" s="47" t="s">
        <v>203</v>
      </c>
      <c r="X1942" s="47" t="s">
        <v>203</v>
      </c>
      <c r="Y1942" s="55" t="e">
        <f ca="1">_xlfn.XLOOKUP(PAA_4[[#This Row],[ITEM]],[2]Contrato!A:A,[2]Contrato!B:B,"",0)</f>
        <v>#NAME?</v>
      </c>
      <c r="Z1942" s="47" t="e">
        <f ca="1">_xlfn.XLOOKUP(PAA_4[[#This Row],[ITEM]],[2]Contrato!A:A,[2]Contrato!G:G,"",0)</f>
        <v>#NAME?</v>
      </c>
      <c r="AA1942" s="47" t="e">
        <f ca="1">_xlfn.XLOOKUP(PAA_4[[#This Row],[ITEM]],[2]Contrato!A:A,[2]Contrato!T:T,"",0)</f>
        <v>#NAME?</v>
      </c>
      <c r="AB1942" s="55" t="e">
        <f ca="1">+MAX(PAA_4[[#This Row],[Comprometido Contrato]],PAA_4[[#This Row],[Comprometido Bolsa]])</f>
        <v>#NAME?</v>
      </c>
      <c r="AC1942" s="55" t="str">
        <f t="shared" ca="1" si="614"/>
        <v/>
      </c>
      <c r="AD1942" s="55" t="e">
        <f ca="1">IF(PAA_4[[#This Row],[ESTADO (formulado)]]="NO CONTRATADO",0,MAX(PAA_4[[#This Row],[Pago por Contrato]],PAA_4[[#This Row],[Pago por bolsa]]))</f>
        <v>#NAME?</v>
      </c>
      <c r="AE1942" s="55" t="str">
        <f t="shared" ca="1" si="610"/>
        <v/>
      </c>
      <c r="AF1942" s="47" t="e">
        <f t="shared" ca="1" si="615"/>
        <v>#NAME?</v>
      </c>
      <c r="AG1942" s="47">
        <f t="shared" si="611"/>
        <v>52010802</v>
      </c>
      <c r="AH1942" s="54">
        <f>IF(Q1942="22",IF(ISNUMBER(SEARCH("econ",PAA_4[[#This Row],[Actividad3]])),"Económico",IF(ISNUMBER(SEARCH("alim",PAA_4[[#This Row],[Actividad3]])),"Alimentación",IF(ISNUMBER(SEARCH("educ",PAA_4[[#This Row],[Actividad3]])),"Educativo","Técnico"))),0)</f>
        <v>0</v>
      </c>
      <c r="AI1942" s="47" t="e" cm="1">
        <f t="array" aca="1" ref="AI1942" ca="1">_xlfn.XLOOKUP(PAA_4[[#This Row],[RCP-RUBRO]],[2]!COMPROMISOS_2024[[#All],[concatenado]],[2]!COMPROMISOS_2024[[#All],[Total pagado]],"",0)</f>
        <v>#NAME?</v>
      </c>
      <c r="AJ1942" s="56">
        <f>IF(PAA_4[[#This Row],[BOLSA]]=0,0,SUMIFS([2]!COMPROMISOS_2024[[#All],[Total pagado]],[2]!COMPROMISOS_2024[[#All],[Bolsa]],PAA_4[[#This Row],[BOLSA]],[2]!COMPROMISOS_2024[[#All],[rubro]],PAA_4[[#This Row],[RCP-RUBRO]]))</f>
        <v>0</v>
      </c>
      <c r="AK1942" s="47" t="e" cm="1">
        <f t="array" aca="1" ref="AK1942" ca="1">_xlfn.XLOOKUP(PAA_4[[#This Row],[RCP-RUBRO]],[2]!COMPROMISOS_2024[[#All],[concatenado]],[2]!COMPROMISOS_2024[[#All],[Total Comprometido]],"",0)</f>
        <v>#NAME?</v>
      </c>
      <c r="AL1942" s="47">
        <f>IF(PAA_4[[#This Row],[BOLSA]]=0,0,SUMIFS([2]!COMPROMISOS_2024[[#All],[Total Comprometido]],[2]!COMPROMISOS_2024[[#All],[Bolsa]],PAA_4[[#This Row],[BOLSA]],[2]!COMPROMISOS_2024[[#All],[concatenado]],PAA_4[[#This Row],[RCP-RUBRO]]))</f>
        <v>0</v>
      </c>
    </row>
    <row r="1943" spans="1:38" s="19" customFormat="1" ht="31.5" customHeight="1">
      <c r="A1943" s="47">
        <v>1175</v>
      </c>
      <c r="B1943" s="47">
        <v>80111600</v>
      </c>
      <c r="C1943" s="47" t="str">
        <f>VLOOKUP(PAA_4[[#This Row],[PROYECTO (formulado)2]],[2]PROYECTOS!$G$1:$L$32,6,0)</f>
        <v>SUBGERENCIA DE ALTOS LOGROS Y DEPORTE ASOCIADO</v>
      </c>
      <c r="D1943" s="47" t="str">
        <f>+IF(PAA_4[[#This Row],[UNIDAD DE CONTRATACION (formulado)]]="Subgerencia Administrativa y Financiera","FUNCIONAMIENTO","INVERSIÓN")</f>
        <v>INVERSIÓN</v>
      </c>
      <c r="E1943" s="48" t="str">
        <f>VLOOKUP(Q1943,[2]PROYECTOS!$G$1:$K$32,5,0)</f>
        <v>Apoyo técnico a atletas y para-atletas que representan en alto rendimiento deportivo al departamento de Antioquia</v>
      </c>
      <c r="F1943" s="48">
        <f>VLOOKUP(E1943,[2]PROYECTOS!$K$1:$M$32,3,0)</f>
        <v>2024003050084</v>
      </c>
      <c r="G1943" s="67" t="s">
        <v>1518</v>
      </c>
      <c r="H1943" s="49" t="str">
        <f>VLOOKUP(Q1943,[2]PROYECTOS!$V$1:$W$32,2,0)</f>
        <v>050079</v>
      </c>
      <c r="I1943" s="78">
        <v>5922137</v>
      </c>
      <c r="J1943" s="51" t="s">
        <v>2164</v>
      </c>
      <c r="K1943" s="47" t="str">
        <f t="shared" ca="1" si="609"/>
        <v>CONTRATADO</v>
      </c>
      <c r="L1943" s="47" t="s">
        <v>78</v>
      </c>
      <c r="M1943" s="51" t="s">
        <v>1297</v>
      </c>
      <c r="N1943" s="52" t="s">
        <v>1519</v>
      </c>
      <c r="O1943" s="51" t="e">
        <f>VLOOKUP(N1943,[2]!RUBROS[#All],3,0)</f>
        <v>#REF!</v>
      </c>
      <c r="P1943" s="53" t="e">
        <f>VLOOKUP(N1943,[2]!RUBROS[#All],2,0)</f>
        <v>#REF!</v>
      </c>
      <c r="Q1943" s="47" t="str">
        <f t="shared" si="612"/>
        <v>84</v>
      </c>
      <c r="R1943" s="47" t="str">
        <f t="shared" si="613"/>
        <v>0-205400</v>
      </c>
      <c r="S1943" s="339">
        <v>69</v>
      </c>
      <c r="T1943" s="63" t="s">
        <v>120</v>
      </c>
      <c r="U1943" s="326" t="e">
        <f ca="1">_xlfn.XLOOKUP(PAA_4[[#This Row],[ITEM]],[2]Contrato!A:A,[2]Contrato!Q:Q,"",0)</f>
        <v>#NAME?</v>
      </c>
      <c r="V1943" s="47" t="s">
        <v>95</v>
      </c>
      <c r="W1943" s="47" t="s">
        <v>203</v>
      </c>
      <c r="X1943" s="47" t="s">
        <v>203</v>
      </c>
      <c r="Y1943" s="55" t="e">
        <f ca="1">_xlfn.XLOOKUP(PAA_4[[#This Row],[ITEM]],[2]Contrato!A:A,[2]Contrato!B:B,"",0)</f>
        <v>#NAME?</v>
      </c>
      <c r="Z1943" s="47" t="e">
        <f ca="1">_xlfn.XLOOKUP(PAA_4[[#This Row],[ITEM]],[2]Contrato!A:A,[2]Contrato!G:G,"",0)</f>
        <v>#NAME?</v>
      </c>
      <c r="AA1943" s="47" t="e">
        <f ca="1">_xlfn.XLOOKUP(PAA_4[[#This Row],[ITEM]],[2]Contrato!A:A,[2]Contrato!T:T,"",0)</f>
        <v>#NAME?</v>
      </c>
      <c r="AB1943" s="55" t="e">
        <f ca="1">+MAX(PAA_4[[#This Row],[Comprometido Contrato]],PAA_4[[#This Row],[Comprometido Bolsa]])</f>
        <v>#NAME?</v>
      </c>
      <c r="AC1943" s="55" t="str">
        <f t="shared" ca="1" si="614"/>
        <v/>
      </c>
      <c r="AD1943" s="55" t="e">
        <f ca="1">IF(PAA_4[[#This Row],[ESTADO (formulado)]]="NO CONTRATADO",0,MAX(PAA_4[[#This Row],[Pago por Contrato]],PAA_4[[#This Row],[Pago por bolsa]]))</f>
        <v>#NAME?</v>
      </c>
      <c r="AE1943" s="55" t="str">
        <f t="shared" ca="1" si="610"/>
        <v/>
      </c>
      <c r="AF1943" s="47" t="e">
        <f t="shared" ca="1" si="615"/>
        <v>#NAME?</v>
      </c>
      <c r="AG1943" s="47">
        <f t="shared" si="611"/>
        <v>52010802</v>
      </c>
      <c r="AH1943" s="54">
        <f>IF(Q1943="22",IF(ISNUMBER(SEARCH("econ",PAA_4[[#This Row],[Actividad3]])),"Económico",IF(ISNUMBER(SEARCH("alim",PAA_4[[#This Row],[Actividad3]])),"Alimentación",IF(ISNUMBER(SEARCH("educ",PAA_4[[#This Row],[Actividad3]])),"Educativo","Técnico"))),0)</f>
        <v>0</v>
      </c>
      <c r="AI1943" s="47" t="e" cm="1">
        <f t="array" aca="1" ref="AI1943" ca="1">_xlfn.XLOOKUP(PAA_4[[#This Row],[RCP-RUBRO]],[2]!COMPROMISOS_2024[[#All],[concatenado]],[2]!COMPROMISOS_2024[[#All],[Total pagado]],"",0)</f>
        <v>#NAME?</v>
      </c>
      <c r="AJ1943" s="56">
        <f>IF(PAA_4[[#This Row],[BOLSA]]=0,0,SUMIFS([2]!COMPROMISOS_2024[[#All],[Total pagado]],[2]!COMPROMISOS_2024[[#All],[Bolsa]],PAA_4[[#This Row],[BOLSA]],[2]!COMPROMISOS_2024[[#All],[rubro]],PAA_4[[#This Row],[RCP-RUBRO]]))</f>
        <v>0</v>
      </c>
      <c r="AK1943" s="47" t="e" cm="1">
        <f t="array" aca="1" ref="AK1943" ca="1">_xlfn.XLOOKUP(PAA_4[[#This Row],[RCP-RUBRO]],[2]!COMPROMISOS_2024[[#All],[concatenado]],[2]!COMPROMISOS_2024[[#All],[Total Comprometido]],"",0)</f>
        <v>#NAME?</v>
      </c>
      <c r="AL1943" s="47">
        <f>IF(PAA_4[[#This Row],[BOLSA]]=0,0,SUMIFS([2]!COMPROMISOS_2024[[#All],[Total Comprometido]],[2]!COMPROMISOS_2024[[#All],[Bolsa]],PAA_4[[#This Row],[BOLSA]],[2]!COMPROMISOS_2024[[#All],[concatenado]],PAA_4[[#This Row],[RCP-RUBRO]]))</f>
        <v>0</v>
      </c>
    </row>
    <row r="1944" spans="1:38" s="19" customFormat="1" ht="31.5" customHeight="1">
      <c r="A1944" s="47">
        <v>1176</v>
      </c>
      <c r="B1944" s="47">
        <v>80111600</v>
      </c>
      <c r="C1944" s="47" t="str">
        <f>VLOOKUP(PAA_4[[#This Row],[PROYECTO (formulado)2]],[2]PROYECTOS!$G$1:$L$32,6,0)</f>
        <v>SUBGERENCIA DE ALTOS LOGROS Y DEPORTE ASOCIADO</v>
      </c>
      <c r="D1944" s="47" t="str">
        <f>+IF(PAA_4[[#This Row],[UNIDAD DE CONTRATACION (formulado)]]="Subgerencia Administrativa y Financiera","FUNCIONAMIENTO","INVERSIÓN")</f>
        <v>INVERSIÓN</v>
      </c>
      <c r="E1944" s="48" t="str">
        <f>VLOOKUP(Q1944,[2]PROYECTOS!$G$1:$K$32,5,0)</f>
        <v>Apoyo técnico a atletas y para-atletas que representan en alto rendimiento deportivo al departamento de Antioquia</v>
      </c>
      <c r="F1944" s="48">
        <f>VLOOKUP(E1944,[2]PROYECTOS!$K$1:$M$32,3,0)</f>
        <v>2024003050084</v>
      </c>
      <c r="G1944" s="67" t="s">
        <v>1518</v>
      </c>
      <c r="H1944" s="49" t="str">
        <f>VLOOKUP(Q1944,[2]PROYECTOS!$V$1:$W$32,2,0)</f>
        <v>050079</v>
      </c>
      <c r="I1944" s="78">
        <v>11290553</v>
      </c>
      <c r="J1944" s="51" t="s">
        <v>2165</v>
      </c>
      <c r="K1944" s="47" t="str">
        <f t="shared" ca="1" si="609"/>
        <v>CONTRATADO</v>
      </c>
      <c r="L1944" s="47" t="s">
        <v>78</v>
      </c>
      <c r="M1944" s="51" t="s">
        <v>1297</v>
      </c>
      <c r="N1944" s="52" t="s">
        <v>1519</v>
      </c>
      <c r="O1944" s="51" t="e">
        <f>VLOOKUP(N1944,[2]!RUBROS[#All],3,0)</f>
        <v>#REF!</v>
      </c>
      <c r="P1944" s="53" t="e">
        <f>VLOOKUP(N1944,[2]!RUBROS[#All],2,0)</f>
        <v>#REF!</v>
      </c>
      <c r="Q1944" s="47" t="str">
        <f t="shared" si="612"/>
        <v>84</v>
      </c>
      <c r="R1944" s="47" t="str">
        <f t="shared" si="613"/>
        <v>0-205400</v>
      </c>
      <c r="S1944" s="339">
        <v>69</v>
      </c>
      <c r="T1944" s="63" t="s">
        <v>120</v>
      </c>
      <c r="U1944" s="326" t="e">
        <f ca="1">_xlfn.XLOOKUP(PAA_4[[#This Row],[ITEM]],[2]Contrato!A:A,[2]Contrato!Q:Q,"",0)</f>
        <v>#NAME?</v>
      </c>
      <c r="V1944" s="47" t="s">
        <v>95</v>
      </c>
      <c r="W1944" s="47" t="s">
        <v>203</v>
      </c>
      <c r="X1944" s="47" t="s">
        <v>203</v>
      </c>
      <c r="Y1944" s="55" t="e">
        <f ca="1">_xlfn.XLOOKUP(PAA_4[[#This Row],[ITEM]],[2]Contrato!A:A,[2]Contrato!B:B,"",0)</f>
        <v>#NAME?</v>
      </c>
      <c r="Z1944" s="47" t="e">
        <f ca="1">_xlfn.XLOOKUP(PAA_4[[#This Row],[ITEM]],[2]Contrato!A:A,[2]Contrato!G:G,"",0)</f>
        <v>#NAME?</v>
      </c>
      <c r="AA1944" s="47" t="e">
        <f ca="1">_xlfn.XLOOKUP(PAA_4[[#This Row],[ITEM]],[2]Contrato!A:A,[2]Contrato!T:T,"",0)</f>
        <v>#NAME?</v>
      </c>
      <c r="AB1944" s="55" t="e">
        <f ca="1">+MAX(PAA_4[[#This Row],[Comprometido Contrato]],PAA_4[[#This Row],[Comprometido Bolsa]])</f>
        <v>#NAME?</v>
      </c>
      <c r="AC1944" s="55" t="str">
        <f t="shared" ca="1" si="614"/>
        <v/>
      </c>
      <c r="AD1944" s="55" t="e">
        <f ca="1">IF(PAA_4[[#This Row],[ESTADO (formulado)]]="NO CONTRATADO",0,MAX(PAA_4[[#This Row],[Pago por Contrato]],PAA_4[[#This Row],[Pago por bolsa]]))</f>
        <v>#NAME?</v>
      </c>
      <c r="AE1944" s="55" t="str">
        <f t="shared" ca="1" si="610"/>
        <v/>
      </c>
      <c r="AF1944" s="47" t="e">
        <f t="shared" ca="1" si="615"/>
        <v>#NAME?</v>
      </c>
      <c r="AG1944" s="47">
        <f t="shared" si="611"/>
        <v>52010802</v>
      </c>
      <c r="AH1944" s="54">
        <f>IF(Q1944="22",IF(ISNUMBER(SEARCH("econ",PAA_4[[#This Row],[Actividad3]])),"Económico",IF(ISNUMBER(SEARCH("alim",PAA_4[[#This Row],[Actividad3]])),"Alimentación",IF(ISNUMBER(SEARCH("educ",PAA_4[[#This Row],[Actividad3]])),"Educativo","Técnico"))),0)</f>
        <v>0</v>
      </c>
      <c r="AI1944" s="47" t="e" cm="1">
        <f t="array" aca="1" ref="AI1944" ca="1">_xlfn.XLOOKUP(PAA_4[[#This Row],[RCP-RUBRO]],[2]!COMPROMISOS_2024[[#All],[concatenado]],[2]!COMPROMISOS_2024[[#All],[Total pagado]],"",0)</f>
        <v>#NAME?</v>
      </c>
      <c r="AJ1944" s="56">
        <f>IF(PAA_4[[#This Row],[BOLSA]]=0,0,SUMIFS([2]!COMPROMISOS_2024[[#All],[Total pagado]],[2]!COMPROMISOS_2024[[#All],[Bolsa]],PAA_4[[#This Row],[BOLSA]],[2]!COMPROMISOS_2024[[#All],[rubro]],PAA_4[[#This Row],[RCP-RUBRO]]))</f>
        <v>0</v>
      </c>
      <c r="AK1944" s="47" t="e" cm="1">
        <f t="array" aca="1" ref="AK1944" ca="1">_xlfn.XLOOKUP(PAA_4[[#This Row],[RCP-RUBRO]],[2]!COMPROMISOS_2024[[#All],[concatenado]],[2]!COMPROMISOS_2024[[#All],[Total Comprometido]],"",0)</f>
        <v>#NAME?</v>
      </c>
      <c r="AL1944" s="47">
        <f>IF(PAA_4[[#This Row],[BOLSA]]=0,0,SUMIFS([2]!COMPROMISOS_2024[[#All],[Total Comprometido]],[2]!COMPROMISOS_2024[[#All],[Bolsa]],PAA_4[[#This Row],[BOLSA]],[2]!COMPROMISOS_2024[[#All],[concatenado]],PAA_4[[#This Row],[RCP-RUBRO]]))</f>
        <v>0</v>
      </c>
    </row>
    <row r="1945" spans="1:38" s="19" customFormat="1" ht="31.5" customHeight="1">
      <c r="A1945" s="47">
        <v>1177</v>
      </c>
      <c r="B1945" s="47">
        <v>80111600</v>
      </c>
      <c r="C1945" s="47" t="str">
        <f>VLOOKUP(PAA_4[[#This Row],[PROYECTO (formulado)2]],[2]PROYECTOS!$G$1:$L$32,6,0)</f>
        <v>SUBGERENCIA DE ALTOS LOGROS Y DEPORTE ASOCIADO</v>
      </c>
      <c r="D1945" s="47" t="str">
        <f>+IF(PAA_4[[#This Row],[UNIDAD DE CONTRATACION (formulado)]]="Subgerencia Administrativa y Financiera","FUNCIONAMIENTO","INVERSIÓN")</f>
        <v>INVERSIÓN</v>
      </c>
      <c r="E1945" s="48" t="str">
        <f>VLOOKUP(Q1945,[2]PROYECTOS!$G$1:$K$32,5,0)</f>
        <v>Apoyo técnico a atletas y para-atletas que representan en alto rendimiento deportivo al departamento de Antioquia</v>
      </c>
      <c r="F1945" s="48">
        <f>VLOOKUP(E1945,[2]PROYECTOS!$K$1:$M$32,3,0)</f>
        <v>2024003050084</v>
      </c>
      <c r="G1945" s="67" t="s">
        <v>1518</v>
      </c>
      <c r="H1945" s="49" t="str">
        <f>VLOOKUP(Q1945,[2]PROYECTOS!$V$1:$W$32,2,0)</f>
        <v>050079</v>
      </c>
      <c r="I1945" s="78">
        <v>5922137</v>
      </c>
      <c r="J1945" s="51" t="s">
        <v>2166</v>
      </c>
      <c r="K1945" s="47" t="str">
        <f t="shared" ca="1" si="609"/>
        <v>CONTRATADO</v>
      </c>
      <c r="L1945" s="47" t="s">
        <v>78</v>
      </c>
      <c r="M1945" s="51" t="s">
        <v>1297</v>
      </c>
      <c r="N1945" s="52" t="s">
        <v>1519</v>
      </c>
      <c r="O1945" s="51" t="e">
        <f>VLOOKUP(N1945,[2]!RUBROS[#All],3,0)</f>
        <v>#REF!</v>
      </c>
      <c r="P1945" s="53" t="e">
        <f>VLOOKUP(N1945,[2]!RUBROS[#All],2,0)</f>
        <v>#REF!</v>
      </c>
      <c r="Q1945" s="47" t="str">
        <f t="shared" si="612"/>
        <v>84</v>
      </c>
      <c r="R1945" s="47" t="str">
        <f t="shared" si="613"/>
        <v>0-205400</v>
      </c>
      <c r="S1945" s="339">
        <v>69</v>
      </c>
      <c r="T1945" s="63" t="s">
        <v>120</v>
      </c>
      <c r="U1945" s="326" t="e">
        <f ca="1">_xlfn.XLOOKUP(PAA_4[[#This Row],[ITEM]],[2]Contrato!A:A,[2]Contrato!Q:Q,"",0)</f>
        <v>#NAME?</v>
      </c>
      <c r="V1945" s="47" t="s">
        <v>95</v>
      </c>
      <c r="W1945" s="47" t="s">
        <v>203</v>
      </c>
      <c r="X1945" s="47" t="s">
        <v>203</v>
      </c>
      <c r="Y1945" s="55" t="e">
        <f ca="1">_xlfn.XLOOKUP(PAA_4[[#This Row],[ITEM]],[2]Contrato!A:A,[2]Contrato!B:B,"",0)</f>
        <v>#NAME?</v>
      </c>
      <c r="Z1945" s="47" t="e">
        <f ca="1">_xlfn.XLOOKUP(PAA_4[[#This Row],[ITEM]],[2]Contrato!A:A,[2]Contrato!G:G,"",0)</f>
        <v>#NAME?</v>
      </c>
      <c r="AA1945" s="47" t="e">
        <f ca="1">_xlfn.XLOOKUP(PAA_4[[#This Row],[ITEM]],[2]Contrato!A:A,[2]Contrato!T:T,"",0)</f>
        <v>#NAME?</v>
      </c>
      <c r="AB1945" s="55" t="e">
        <f ca="1">+MAX(PAA_4[[#This Row],[Comprometido Contrato]],PAA_4[[#This Row],[Comprometido Bolsa]])</f>
        <v>#NAME?</v>
      </c>
      <c r="AC1945" s="55" t="str">
        <f t="shared" ca="1" si="614"/>
        <v/>
      </c>
      <c r="AD1945" s="55" t="e">
        <f ca="1">IF(PAA_4[[#This Row],[ESTADO (formulado)]]="NO CONTRATADO",0,MAX(PAA_4[[#This Row],[Pago por Contrato]],PAA_4[[#This Row],[Pago por bolsa]]))</f>
        <v>#NAME?</v>
      </c>
      <c r="AE1945" s="55" t="str">
        <f t="shared" ca="1" si="610"/>
        <v/>
      </c>
      <c r="AF1945" s="47" t="e">
        <f t="shared" ca="1" si="615"/>
        <v>#NAME?</v>
      </c>
      <c r="AG1945" s="47">
        <f t="shared" si="611"/>
        <v>52010802</v>
      </c>
      <c r="AH1945" s="54">
        <f>IF(Q1945="22",IF(ISNUMBER(SEARCH("econ",PAA_4[[#This Row],[Actividad3]])),"Económico",IF(ISNUMBER(SEARCH("alim",PAA_4[[#This Row],[Actividad3]])),"Alimentación",IF(ISNUMBER(SEARCH("educ",PAA_4[[#This Row],[Actividad3]])),"Educativo","Técnico"))),0)</f>
        <v>0</v>
      </c>
      <c r="AI1945" s="47" t="e" cm="1">
        <f t="array" aca="1" ref="AI1945" ca="1">_xlfn.XLOOKUP(PAA_4[[#This Row],[RCP-RUBRO]],[2]!COMPROMISOS_2024[[#All],[concatenado]],[2]!COMPROMISOS_2024[[#All],[Total pagado]],"",0)</f>
        <v>#NAME?</v>
      </c>
      <c r="AJ1945" s="56">
        <f>IF(PAA_4[[#This Row],[BOLSA]]=0,0,SUMIFS([2]!COMPROMISOS_2024[[#All],[Total pagado]],[2]!COMPROMISOS_2024[[#All],[Bolsa]],PAA_4[[#This Row],[BOLSA]],[2]!COMPROMISOS_2024[[#All],[rubro]],PAA_4[[#This Row],[RCP-RUBRO]]))</f>
        <v>0</v>
      </c>
      <c r="AK1945" s="47" t="e" cm="1">
        <f t="array" aca="1" ref="AK1945" ca="1">_xlfn.XLOOKUP(PAA_4[[#This Row],[RCP-RUBRO]],[2]!COMPROMISOS_2024[[#All],[concatenado]],[2]!COMPROMISOS_2024[[#All],[Total Comprometido]],"",0)</f>
        <v>#NAME?</v>
      </c>
      <c r="AL1945" s="47">
        <f>IF(PAA_4[[#This Row],[BOLSA]]=0,0,SUMIFS([2]!COMPROMISOS_2024[[#All],[Total Comprometido]],[2]!COMPROMISOS_2024[[#All],[Bolsa]],PAA_4[[#This Row],[BOLSA]],[2]!COMPROMISOS_2024[[#All],[concatenado]],PAA_4[[#This Row],[RCP-RUBRO]]))</f>
        <v>0</v>
      </c>
    </row>
    <row r="1946" spans="1:38" s="19" customFormat="1" ht="31.5" customHeight="1">
      <c r="A1946" s="47">
        <v>1178</v>
      </c>
      <c r="B1946" s="47">
        <v>80111600</v>
      </c>
      <c r="C1946" s="47" t="str">
        <f>VLOOKUP(PAA_4[[#This Row],[PROYECTO (formulado)2]],[2]PROYECTOS!$G$1:$L$32,6,0)</f>
        <v>SUBGERENCIA DE ALTOS LOGROS Y DEPORTE ASOCIADO</v>
      </c>
      <c r="D1946" s="47" t="str">
        <f>+IF(PAA_4[[#This Row],[UNIDAD DE CONTRATACION (formulado)]]="Subgerencia Administrativa y Financiera","FUNCIONAMIENTO","INVERSIÓN")</f>
        <v>INVERSIÓN</v>
      </c>
      <c r="E1946" s="48" t="str">
        <f>VLOOKUP(Q1946,[2]PROYECTOS!$G$1:$K$32,5,0)</f>
        <v>Apoyo técnico a atletas y para-atletas que representan en alto rendimiento deportivo al departamento de Antioquia</v>
      </c>
      <c r="F1946" s="48">
        <f>VLOOKUP(E1946,[2]PROYECTOS!$K$1:$M$32,3,0)</f>
        <v>2024003050084</v>
      </c>
      <c r="G1946" s="67" t="s">
        <v>1518</v>
      </c>
      <c r="H1946" s="49" t="str">
        <f>VLOOKUP(Q1946,[2]PROYECTOS!$V$1:$W$32,2,0)</f>
        <v>050079</v>
      </c>
      <c r="I1946" s="78">
        <v>9090479</v>
      </c>
      <c r="J1946" s="51" t="s">
        <v>2167</v>
      </c>
      <c r="K1946" s="47" t="str">
        <f t="shared" ca="1" si="609"/>
        <v>CONTRATADO</v>
      </c>
      <c r="L1946" s="47" t="s">
        <v>78</v>
      </c>
      <c r="M1946" s="51" t="s">
        <v>1297</v>
      </c>
      <c r="N1946" s="52" t="s">
        <v>1519</v>
      </c>
      <c r="O1946" s="51" t="e">
        <f>VLOOKUP(N1946,[2]!RUBROS[#All],3,0)</f>
        <v>#REF!</v>
      </c>
      <c r="P1946" s="53" t="e">
        <f>VLOOKUP(N1946,[2]!RUBROS[#All],2,0)</f>
        <v>#REF!</v>
      </c>
      <c r="Q1946" s="47" t="str">
        <f t="shared" si="612"/>
        <v>84</v>
      </c>
      <c r="R1946" s="47" t="str">
        <f t="shared" si="613"/>
        <v>0-205400</v>
      </c>
      <c r="S1946" s="339">
        <v>69</v>
      </c>
      <c r="T1946" s="63" t="s">
        <v>120</v>
      </c>
      <c r="U1946" s="326" t="e">
        <f ca="1">_xlfn.XLOOKUP(PAA_4[[#This Row],[ITEM]],[2]Contrato!A:A,[2]Contrato!Q:Q,"",0)</f>
        <v>#NAME?</v>
      </c>
      <c r="V1946" s="47" t="s">
        <v>95</v>
      </c>
      <c r="W1946" s="47" t="s">
        <v>203</v>
      </c>
      <c r="X1946" s="47" t="s">
        <v>203</v>
      </c>
      <c r="Y1946" s="55" t="e">
        <f ca="1">_xlfn.XLOOKUP(PAA_4[[#This Row],[ITEM]],[2]Contrato!A:A,[2]Contrato!B:B,"",0)</f>
        <v>#NAME?</v>
      </c>
      <c r="Z1946" s="47" t="e">
        <f ca="1">_xlfn.XLOOKUP(PAA_4[[#This Row],[ITEM]],[2]Contrato!A:A,[2]Contrato!G:G,"",0)</f>
        <v>#NAME?</v>
      </c>
      <c r="AA1946" s="47" t="e">
        <f ca="1">_xlfn.XLOOKUP(PAA_4[[#This Row],[ITEM]],[2]Contrato!A:A,[2]Contrato!T:T,"",0)</f>
        <v>#NAME?</v>
      </c>
      <c r="AB1946" s="55" t="e">
        <f ca="1">+MAX(PAA_4[[#This Row],[Comprometido Contrato]],PAA_4[[#This Row],[Comprometido Bolsa]])</f>
        <v>#NAME?</v>
      </c>
      <c r="AC1946" s="55" t="str">
        <f t="shared" ca="1" si="614"/>
        <v/>
      </c>
      <c r="AD1946" s="55" t="e">
        <f ca="1">IF(PAA_4[[#This Row],[ESTADO (formulado)]]="NO CONTRATADO",0,MAX(PAA_4[[#This Row],[Pago por Contrato]],PAA_4[[#This Row],[Pago por bolsa]]))</f>
        <v>#NAME?</v>
      </c>
      <c r="AE1946" s="55" t="str">
        <f t="shared" ca="1" si="610"/>
        <v/>
      </c>
      <c r="AF1946" s="47" t="e">
        <f t="shared" ca="1" si="615"/>
        <v>#NAME?</v>
      </c>
      <c r="AG1946" s="47">
        <f t="shared" si="611"/>
        <v>52010802</v>
      </c>
      <c r="AH1946" s="54">
        <f>IF(Q1946="22",IF(ISNUMBER(SEARCH("econ",PAA_4[[#This Row],[Actividad3]])),"Económico",IF(ISNUMBER(SEARCH("alim",PAA_4[[#This Row],[Actividad3]])),"Alimentación",IF(ISNUMBER(SEARCH("educ",PAA_4[[#This Row],[Actividad3]])),"Educativo","Técnico"))),0)</f>
        <v>0</v>
      </c>
      <c r="AI1946" s="47" t="e" cm="1">
        <f t="array" aca="1" ref="AI1946" ca="1">_xlfn.XLOOKUP(PAA_4[[#This Row],[RCP-RUBRO]],[2]!COMPROMISOS_2024[[#All],[concatenado]],[2]!COMPROMISOS_2024[[#All],[Total pagado]],"",0)</f>
        <v>#NAME?</v>
      </c>
      <c r="AJ1946" s="56">
        <f>IF(PAA_4[[#This Row],[BOLSA]]=0,0,SUMIFS([2]!COMPROMISOS_2024[[#All],[Total pagado]],[2]!COMPROMISOS_2024[[#All],[Bolsa]],PAA_4[[#This Row],[BOLSA]],[2]!COMPROMISOS_2024[[#All],[rubro]],PAA_4[[#This Row],[RCP-RUBRO]]))</f>
        <v>0</v>
      </c>
      <c r="AK1946" s="47" t="e" cm="1">
        <f t="array" aca="1" ref="AK1946" ca="1">_xlfn.XLOOKUP(PAA_4[[#This Row],[RCP-RUBRO]],[2]!COMPROMISOS_2024[[#All],[concatenado]],[2]!COMPROMISOS_2024[[#All],[Total Comprometido]],"",0)</f>
        <v>#NAME?</v>
      </c>
      <c r="AL1946" s="47">
        <f>IF(PAA_4[[#This Row],[BOLSA]]=0,0,SUMIFS([2]!COMPROMISOS_2024[[#All],[Total Comprometido]],[2]!COMPROMISOS_2024[[#All],[Bolsa]],PAA_4[[#This Row],[BOLSA]],[2]!COMPROMISOS_2024[[#All],[concatenado]],PAA_4[[#This Row],[RCP-RUBRO]]))</f>
        <v>0</v>
      </c>
    </row>
    <row r="1947" spans="1:38" s="19" customFormat="1" ht="31.5" customHeight="1">
      <c r="A1947" s="47">
        <v>1179</v>
      </c>
      <c r="B1947" s="47">
        <v>80111600</v>
      </c>
      <c r="C1947" s="47" t="str">
        <f>VLOOKUP(PAA_4[[#This Row],[PROYECTO (formulado)2]],[2]PROYECTOS!$G$1:$L$32,6,0)</f>
        <v>SUBGERENCIA DE ALTOS LOGROS Y DEPORTE ASOCIADO</v>
      </c>
      <c r="D1947" s="47" t="str">
        <f>+IF(PAA_4[[#This Row],[UNIDAD DE CONTRATACION (formulado)]]="Subgerencia Administrativa y Financiera","FUNCIONAMIENTO","INVERSIÓN")</f>
        <v>INVERSIÓN</v>
      </c>
      <c r="E1947" s="48" t="str">
        <f>VLOOKUP(Q1947,[2]PROYECTOS!$G$1:$K$32,5,0)</f>
        <v>Apoyo técnico a atletas y para-atletas que representan en alto rendimiento deportivo al departamento de Antioquia</v>
      </c>
      <c r="F1947" s="48">
        <f>VLOOKUP(E1947,[2]PROYECTOS!$K$1:$M$32,3,0)</f>
        <v>2024003050084</v>
      </c>
      <c r="G1947" s="67" t="s">
        <v>1518</v>
      </c>
      <c r="H1947" s="49" t="str">
        <f>VLOOKUP(Q1947,[2]PROYECTOS!$V$1:$W$32,2,0)</f>
        <v>050079</v>
      </c>
      <c r="I1947" s="78">
        <v>11664593</v>
      </c>
      <c r="J1947" s="51" t="s">
        <v>2168</v>
      </c>
      <c r="K1947" s="47" t="str">
        <f t="shared" ca="1" si="609"/>
        <v>CONTRATADO</v>
      </c>
      <c r="L1947" s="47" t="s">
        <v>78</v>
      </c>
      <c r="M1947" s="51" t="s">
        <v>1297</v>
      </c>
      <c r="N1947" s="52" t="s">
        <v>1519</v>
      </c>
      <c r="O1947" s="51" t="e">
        <f>VLOOKUP(N1947,[2]!RUBROS[#All],3,0)</f>
        <v>#REF!</v>
      </c>
      <c r="P1947" s="53" t="e">
        <f>VLOOKUP(N1947,[2]!RUBROS[#All],2,0)</f>
        <v>#REF!</v>
      </c>
      <c r="Q1947" s="47" t="str">
        <f t="shared" si="612"/>
        <v>84</v>
      </c>
      <c r="R1947" s="47" t="str">
        <f t="shared" si="613"/>
        <v>0-205400</v>
      </c>
      <c r="S1947" s="339">
        <v>59</v>
      </c>
      <c r="T1947" s="63" t="s">
        <v>120</v>
      </c>
      <c r="U1947" s="326" t="e">
        <f ca="1">_xlfn.XLOOKUP(PAA_4[[#This Row],[ITEM]],[2]Contrato!A:A,[2]Contrato!Q:Q,"",0)</f>
        <v>#NAME?</v>
      </c>
      <c r="V1947" s="47" t="s">
        <v>95</v>
      </c>
      <c r="W1947" s="47" t="s">
        <v>203</v>
      </c>
      <c r="X1947" s="47" t="s">
        <v>203</v>
      </c>
      <c r="Y1947" s="55" t="e">
        <f ca="1">_xlfn.XLOOKUP(PAA_4[[#This Row],[ITEM]],[2]Contrato!A:A,[2]Contrato!B:B,"",0)</f>
        <v>#NAME?</v>
      </c>
      <c r="Z1947" s="47" t="e">
        <f ca="1">_xlfn.XLOOKUP(PAA_4[[#This Row],[ITEM]],[2]Contrato!A:A,[2]Contrato!G:G,"",0)</f>
        <v>#NAME?</v>
      </c>
      <c r="AA1947" s="47" t="e">
        <f ca="1">_xlfn.XLOOKUP(PAA_4[[#This Row],[ITEM]],[2]Contrato!A:A,[2]Contrato!T:T,"",0)</f>
        <v>#NAME?</v>
      </c>
      <c r="AB1947" s="55" t="e">
        <f ca="1">+MAX(PAA_4[[#This Row],[Comprometido Contrato]],PAA_4[[#This Row],[Comprometido Bolsa]])</f>
        <v>#NAME?</v>
      </c>
      <c r="AC1947" s="55" t="str">
        <f t="shared" ca="1" si="614"/>
        <v/>
      </c>
      <c r="AD1947" s="55" t="e">
        <f ca="1">IF(PAA_4[[#This Row],[ESTADO (formulado)]]="NO CONTRATADO",0,MAX(PAA_4[[#This Row],[Pago por Contrato]],PAA_4[[#This Row],[Pago por bolsa]]))</f>
        <v>#NAME?</v>
      </c>
      <c r="AE1947" s="55" t="str">
        <f t="shared" ca="1" si="610"/>
        <v/>
      </c>
      <c r="AF1947" s="47" t="e">
        <f t="shared" ca="1" si="615"/>
        <v>#NAME?</v>
      </c>
      <c r="AG1947" s="47">
        <f t="shared" si="611"/>
        <v>52010802</v>
      </c>
      <c r="AH1947" s="54">
        <f>IF(Q1947="22",IF(ISNUMBER(SEARCH("econ",PAA_4[[#This Row],[Actividad3]])),"Económico",IF(ISNUMBER(SEARCH("alim",PAA_4[[#This Row],[Actividad3]])),"Alimentación",IF(ISNUMBER(SEARCH("educ",PAA_4[[#This Row],[Actividad3]])),"Educativo","Técnico"))),0)</f>
        <v>0</v>
      </c>
      <c r="AI1947" s="47" t="e" cm="1">
        <f t="array" aca="1" ref="AI1947" ca="1">_xlfn.XLOOKUP(PAA_4[[#This Row],[RCP-RUBRO]],[2]!COMPROMISOS_2024[[#All],[concatenado]],[2]!COMPROMISOS_2024[[#All],[Total pagado]],"",0)</f>
        <v>#NAME?</v>
      </c>
      <c r="AJ1947" s="56">
        <f>IF(PAA_4[[#This Row],[BOLSA]]=0,0,SUMIFS([2]!COMPROMISOS_2024[[#All],[Total pagado]],[2]!COMPROMISOS_2024[[#All],[Bolsa]],PAA_4[[#This Row],[BOLSA]],[2]!COMPROMISOS_2024[[#All],[rubro]],PAA_4[[#This Row],[RCP-RUBRO]]))</f>
        <v>0</v>
      </c>
      <c r="AK1947" s="47" t="e" cm="1">
        <f t="array" aca="1" ref="AK1947" ca="1">_xlfn.XLOOKUP(PAA_4[[#This Row],[RCP-RUBRO]],[2]!COMPROMISOS_2024[[#All],[concatenado]],[2]!COMPROMISOS_2024[[#All],[Total Comprometido]],"",0)</f>
        <v>#NAME?</v>
      </c>
      <c r="AL1947" s="47">
        <f>IF(PAA_4[[#This Row],[BOLSA]]=0,0,SUMIFS([2]!COMPROMISOS_2024[[#All],[Total Comprometido]],[2]!COMPROMISOS_2024[[#All],[Bolsa]],PAA_4[[#This Row],[BOLSA]],[2]!COMPROMISOS_2024[[#All],[concatenado]],PAA_4[[#This Row],[RCP-RUBRO]]))</f>
        <v>0</v>
      </c>
    </row>
    <row r="1948" spans="1:38" s="19" customFormat="1" ht="31.5" customHeight="1">
      <c r="A1948" s="47">
        <v>1180</v>
      </c>
      <c r="B1948" s="47">
        <v>80111600</v>
      </c>
      <c r="C1948" s="47" t="str">
        <f>VLOOKUP(PAA_4[[#This Row],[PROYECTO (formulado)2]],[2]PROYECTOS!$G$1:$L$32,6,0)</f>
        <v>SUBGERENCIA DE ALTOS LOGROS Y DEPORTE ASOCIADO</v>
      </c>
      <c r="D1948" s="47" t="str">
        <f>+IF(PAA_4[[#This Row],[UNIDAD DE CONTRATACION (formulado)]]="Subgerencia Administrativa y Financiera","FUNCIONAMIENTO","INVERSIÓN")</f>
        <v>INVERSIÓN</v>
      </c>
      <c r="E1948" s="48" t="str">
        <f>VLOOKUP(Q1948,[2]PROYECTOS!$G$1:$K$32,5,0)</f>
        <v>Apoyo técnico a atletas y para-atletas que representan en alto rendimiento deportivo al departamento de Antioquia</v>
      </c>
      <c r="F1948" s="48">
        <f>VLOOKUP(E1948,[2]PROYECTOS!$K$1:$M$32,3,0)</f>
        <v>2024003050084</v>
      </c>
      <c r="G1948" s="67" t="s">
        <v>1518</v>
      </c>
      <c r="H1948" s="49" t="str">
        <f>VLOOKUP(Q1948,[2]PROYECTOS!$V$1:$W$32,2,0)</f>
        <v>050079</v>
      </c>
      <c r="I1948" s="78">
        <v>5922137</v>
      </c>
      <c r="J1948" s="51" t="s">
        <v>2169</v>
      </c>
      <c r="K1948" s="47" t="str">
        <f t="shared" ca="1" si="609"/>
        <v>CONTRATADO</v>
      </c>
      <c r="L1948" s="47" t="s">
        <v>78</v>
      </c>
      <c r="M1948" s="51" t="s">
        <v>1297</v>
      </c>
      <c r="N1948" s="52" t="s">
        <v>1519</v>
      </c>
      <c r="O1948" s="51" t="e">
        <f>VLOOKUP(N1948,[2]!RUBROS[#All],3,0)</f>
        <v>#REF!</v>
      </c>
      <c r="P1948" s="53" t="e">
        <f>VLOOKUP(N1948,[2]!RUBROS[#All],2,0)</f>
        <v>#REF!</v>
      </c>
      <c r="Q1948" s="47" t="str">
        <f t="shared" si="612"/>
        <v>84</v>
      </c>
      <c r="R1948" s="47" t="str">
        <f t="shared" si="613"/>
        <v>0-205400</v>
      </c>
      <c r="S1948" s="339">
        <v>69</v>
      </c>
      <c r="T1948" s="63" t="s">
        <v>120</v>
      </c>
      <c r="U1948" s="326" t="e">
        <f ca="1">_xlfn.XLOOKUP(PAA_4[[#This Row],[ITEM]],[2]Contrato!A:A,[2]Contrato!Q:Q,"",0)</f>
        <v>#NAME?</v>
      </c>
      <c r="V1948" s="47" t="s">
        <v>95</v>
      </c>
      <c r="W1948" s="47" t="s">
        <v>203</v>
      </c>
      <c r="X1948" s="47" t="s">
        <v>203</v>
      </c>
      <c r="Y1948" s="55" t="e">
        <f ca="1">_xlfn.XLOOKUP(PAA_4[[#This Row],[ITEM]],[2]Contrato!A:A,[2]Contrato!B:B,"",0)</f>
        <v>#NAME?</v>
      </c>
      <c r="Z1948" s="47" t="e">
        <f ca="1">_xlfn.XLOOKUP(PAA_4[[#This Row],[ITEM]],[2]Contrato!A:A,[2]Contrato!G:G,"",0)</f>
        <v>#NAME?</v>
      </c>
      <c r="AA1948" s="47" t="e">
        <f ca="1">_xlfn.XLOOKUP(PAA_4[[#This Row],[ITEM]],[2]Contrato!A:A,[2]Contrato!T:T,"",0)</f>
        <v>#NAME?</v>
      </c>
      <c r="AB1948" s="55" t="e">
        <f ca="1">+MAX(PAA_4[[#This Row],[Comprometido Contrato]],PAA_4[[#This Row],[Comprometido Bolsa]])</f>
        <v>#NAME?</v>
      </c>
      <c r="AC1948" s="55" t="str">
        <f t="shared" ca="1" si="614"/>
        <v/>
      </c>
      <c r="AD1948" s="55" t="e">
        <f ca="1">IF(PAA_4[[#This Row],[ESTADO (formulado)]]="NO CONTRATADO",0,MAX(PAA_4[[#This Row],[Pago por Contrato]],PAA_4[[#This Row],[Pago por bolsa]]))</f>
        <v>#NAME?</v>
      </c>
      <c r="AE1948" s="55" t="str">
        <f t="shared" ca="1" si="610"/>
        <v/>
      </c>
      <c r="AF1948" s="47" t="e">
        <f t="shared" ca="1" si="615"/>
        <v>#NAME?</v>
      </c>
      <c r="AG1948" s="47">
        <f t="shared" si="611"/>
        <v>52010802</v>
      </c>
      <c r="AH1948" s="54">
        <f>IF(Q1948="22",IF(ISNUMBER(SEARCH("econ",PAA_4[[#This Row],[Actividad3]])),"Económico",IF(ISNUMBER(SEARCH("alim",PAA_4[[#This Row],[Actividad3]])),"Alimentación",IF(ISNUMBER(SEARCH("educ",PAA_4[[#This Row],[Actividad3]])),"Educativo","Técnico"))),0)</f>
        <v>0</v>
      </c>
      <c r="AI1948" s="47" t="e" cm="1">
        <f t="array" aca="1" ref="AI1948" ca="1">_xlfn.XLOOKUP(PAA_4[[#This Row],[RCP-RUBRO]],[2]!COMPROMISOS_2024[[#All],[concatenado]],[2]!COMPROMISOS_2024[[#All],[Total pagado]],"",0)</f>
        <v>#NAME?</v>
      </c>
      <c r="AJ1948" s="56">
        <f>IF(PAA_4[[#This Row],[BOLSA]]=0,0,SUMIFS([2]!COMPROMISOS_2024[[#All],[Total pagado]],[2]!COMPROMISOS_2024[[#All],[Bolsa]],PAA_4[[#This Row],[BOLSA]],[2]!COMPROMISOS_2024[[#All],[rubro]],PAA_4[[#This Row],[RCP-RUBRO]]))</f>
        <v>0</v>
      </c>
      <c r="AK1948" s="47" t="e" cm="1">
        <f t="array" aca="1" ref="AK1948" ca="1">_xlfn.XLOOKUP(PAA_4[[#This Row],[RCP-RUBRO]],[2]!COMPROMISOS_2024[[#All],[concatenado]],[2]!COMPROMISOS_2024[[#All],[Total Comprometido]],"",0)</f>
        <v>#NAME?</v>
      </c>
      <c r="AL1948" s="47">
        <f>IF(PAA_4[[#This Row],[BOLSA]]=0,0,SUMIFS([2]!COMPROMISOS_2024[[#All],[Total Comprometido]],[2]!COMPROMISOS_2024[[#All],[Bolsa]],PAA_4[[#This Row],[BOLSA]],[2]!COMPROMISOS_2024[[#All],[concatenado]],PAA_4[[#This Row],[RCP-RUBRO]]))</f>
        <v>0</v>
      </c>
    </row>
    <row r="1949" spans="1:38" s="19" customFormat="1" ht="31.5" customHeight="1">
      <c r="A1949" s="47">
        <v>1181</v>
      </c>
      <c r="B1949" s="47">
        <v>80111600</v>
      </c>
      <c r="C1949" s="47" t="str">
        <f>VLOOKUP(PAA_4[[#This Row],[PROYECTO (formulado)2]],[2]PROYECTOS!$G$1:$L$32,6,0)</f>
        <v>SUBGERENCIA DE ALTOS LOGROS Y DEPORTE ASOCIADO</v>
      </c>
      <c r="D1949" s="47" t="str">
        <f>+IF(PAA_4[[#This Row],[UNIDAD DE CONTRATACION (formulado)]]="Subgerencia Administrativa y Financiera","FUNCIONAMIENTO","INVERSIÓN")</f>
        <v>INVERSIÓN</v>
      </c>
      <c r="E1949" s="48" t="str">
        <f>VLOOKUP(Q1949,[2]PROYECTOS!$G$1:$K$32,5,0)</f>
        <v>Apoyo técnico a atletas y para-atletas que representan en alto rendimiento deportivo al departamento de Antioquia</v>
      </c>
      <c r="F1949" s="48">
        <f>VLOOKUP(E1949,[2]PROYECTOS!$K$1:$M$32,3,0)</f>
        <v>2024003050084</v>
      </c>
      <c r="G1949" s="67" t="s">
        <v>1518</v>
      </c>
      <c r="H1949" s="49" t="str">
        <f>VLOOKUP(Q1949,[2]PROYECTOS!$V$1:$W$32,2,0)</f>
        <v>050079</v>
      </c>
      <c r="I1949" s="78">
        <v>5922137</v>
      </c>
      <c r="J1949" s="51" t="s">
        <v>2170</v>
      </c>
      <c r="K1949" s="47" t="str">
        <f t="shared" ca="1" si="609"/>
        <v>CONTRATADO</v>
      </c>
      <c r="L1949" s="47" t="s">
        <v>78</v>
      </c>
      <c r="M1949" s="51" t="s">
        <v>1297</v>
      </c>
      <c r="N1949" s="52" t="s">
        <v>1519</v>
      </c>
      <c r="O1949" s="51" t="e">
        <f>VLOOKUP(N1949,[2]!RUBROS[#All],3,0)</f>
        <v>#REF!</v>
      </c>
      <c r="P1949" s="53" t="e">
        <f>VLOOKUP(N1949,[2]!RUBROS[#All],2,0)</f>
        <v>#REF!</v>
      </c>
      <c r="Q1949" s="47" t="str">
        <f t="shared" si="612"/>
        <v>84</v>
      </c>
      <c r="R1949" s="47" t="str">
        <f t="shared" si="613"/>
        <v>0-205400</v>
      </c>
      <c r="S1949" s="339">
        <v>69</v>
      </c>
      <c r="T1949" s="63" t="s">
        <v>120</v>
      </c>
      <c r="U1949" s="326" t="e">
        <f ca="1">_xlfn.XLOOKUP(PAA_4[[#This Row],[ITEM]],[2]Contrato!A:A,[2]Contrato!Q:Q,"",0)</f>
        <v>#NAME?</v>
      </c>
      <c r="V1949" s="47" t="s">
        <v>95</v>
      </c>
      <c r="W1949" s="47" t="s">
        <v>203</v>
      </c>
      <c r="X1949" s="47" t="s">
        <v>203</v>
      </c>
      <c r="Y1949" s="55" t="e">
        <f ca="1">_xlfn.XLOOKUP(PAA_4[[#This Row],[ITEM]],[2]Contrato!A:A,[2]Contrato!B:B,"",0)</f>
        <v>#NAME?</v>
      </c>
      <c r="Z1949" s="47" t="e">
        <f ca="1">_xlfn.XLOOKUP(PAA_4[[#This Row],[ITEM]],[2]Contrato!A:A,[2]Contrato!G:G,"",0)</f>
        <v>#NAME?</v>
      </c>
      <c r="AA1949" s="47" t="e">
        <f ca="1">_xlfn.XLOOKUP(PAA_4[[#This Row],[ITEM]],[2]Contrato!A:A,[2]Contrato!T:T,"",0)</f>
        <v>#NAME?</v>
      </c>
      <c r="AB1949" s="55" t="e">
        <f ca="1">+MAX(PAA_4[[#This Row],[Comprometido Contrato]],PAA_4[[#This Row],[Comprometido Bolsa]])</f>
        <v>#NAME?</v>
      </c>
      <c r="AC1949" s="55" t="str">
        <f t="shared" ca="1" si="614"/>
        <v/>
      </c>
      <c r="AD1949" s="55" t="e">
        <f ca="1">IF(PAA_4[[#This Row],[ESTADO (formulado)]]="NO CONTRATADO",0,MAX(PAA_4[[#This Row],[Pago por Contrato]],PAA_4[[#This Row],[Pago por bolsa]]))</f>
        <v>#NAME?</v>
      </c>
      <c r="AE1949" s="55" t="str">
        <f t="shared" ca="1" si="610"/>
        <v/>
      </c>
      <c r="AF1949" s="47" t="e">
        <f t="shared" ca="1" si="615"/>
        <v>#NAME?</v>
      </c>
      <c r="AG1949" s="47">
        <f t="shared" si="611"/>
        <v>52010802</v>
      </c>
      <c r="AH1949" s="54">
        <f>IF(Q1949="22",IF(ISNUMBER(SEARCH("econ",PAA_4[[#This Row],[Actividad3]])),"Económico",IF(ISNUMBER(SEARCH("alim",PAA_4[[#This Row],[Actividad3]])),"Alimentación",IF(ISNUMBER(SEARCH("educ",PAA_4[[#This Row],[Actividad3]])),"Educativo","Técnico"))),0)</f>
        <v>0</v>
      </c>
      <c r="AI1949" s="47" t="e" cm="1">
        <f t="array" aca="1" ref="AI1949" ca="1">_xlfn.XLOOKUP(PAA_4[[#This Row],[RCP-RUBRO]],[2]!COMPROMISOS_2024[[#All],[concatenado]],[2]!COMPROMISOS_2024[[#All],[Total pagado]],"",0)</f>
        <v>#NAME?</v>
      </c>
      <c r="AJ1949" s="56">
        <f>IF(PAA_4[[#This Row],[BOLSA]]=0,0,SUMIFS([2]!COMPROMISOS_2024[[#All],[Total pagado]],[2]!COMPROMISOS_2024[[#All],[Bolsa]],PAA_4[[#This Row],[BOLSA]],[2]!COMPROMISOS_2024[[#All],[rubro]],PAA_4[[#This Row],[RCP-RUBRO]]))</f>
        <v>0</v>
      </c>
      <c r="AK1949" s="47" t="e" cm="1">
        <f t="array" aca="1" ref="AK1949" ca="1">_xlfn.XLOOKUP(PAA_4[[#This Row],[RCP-RUBRO]],[2]!COMPROMISOS_2024[[#All],[concatenado]],[2]!COMPROMISOS_2024[[#All],[Total Comprometido]],"",0)</f>
        <v>#NAME?</v>
      </c>
      <c r="AL1949" s="47">
        <f>IF(PAA_4[[#This Row],[BOLSA]]=0,0,SUMIFS([2]!COMPROMISOS_2024[[#All],[Total Comprometido]],[2]!COMPROMISOS_2024[[#All],[Bolsa]],PAA_4[[#This Row],[BOLSA]],[2]!COMPROMISOS_2024[[#All],[concatenado]],PAA_4[[#This Row],[RCP-RUBRO]]))</f>
        <v>0</v>
      </c>
    </row>
    <row r="1950" spans="1:38" s="19" customFormat="1" ht="31.5" customHeight="1">
      <c r="A1950" s="47">
        <v>1182</v>
      </c>
      <c r="B1950" s="47">
        <v>80111600</v>
      </c>
      <c r="C1950" s="47" t="str">
        <f>VLOOKUP(PAA_4[[#This Row],[PROYECTO (formulado)2]],[2]PROYECTOS!$G$1:$L$32,6,0)</f>
        <v>SUBGERENCIA DE ALTOS LOGROS Y DEPORTE ASOCIADO</v>
      </c>
      <c r="D1950" s="47" t="str">
        <f>+IF(PAA_4[[#This Row],[UNIDAD DE CONTRATACION (formulado)]]="Subgerencia Administrativa y Financiera","FUNCIONAMIENTO","INVERSIÓN")</f>
        <v>INVERSIÓN</v>
      </c>
      <c r="E1950" s="48" t="str">
        <f>VLOOKUP(Q1950,[2]PROYECTOS!$G$1:$K$32,5,0)</f>
        <v>Apoyo técnico a atletas y para-atletas que representan en alto rendimiento deportivo al departamento de Antioquia</v>
      </c>
      <c r="F1950" s="48">
        <f>VLOOKUP(E1950,[2]PROYECTOS!$K$1:$M$32,3,0)</f>
        <v>2024003050084</v>
      </c>
      <c r="G1950" s="67" t="s">
        <v>1518</v>
      </c>
      <c r="H1950" s="49" t="str">
        <f>VLOOKUP(Q1950,[2]PROYECTOS!$V$1:$W$32,2,0)</f>
        <v>050079</v>
      </c>
      <c r="I1950" s="78">
        <v>5407168</v>
      </c>
      <c r="J1950" s="51" t="s">
        <v>2171</v>
      </c>
      <c r="K1950" s="47" t="str">
        <f t="shared" ca="1" si="609"/>
        <v>CONTRATADO</v>
      </c>
      <c r="L1950" s="47" t="s">
        <v>78</v>
      </c>
      <c r="M1950" s="51" t="s">
        <v>1297</v>
      </c>
      <c r="N1950" s="52" t="s">
        <v>1519</v>
      </c>
      <c r="O1950" s="51" t="e">
        <f>VLOOKUP(N1950,[2]!RUBROS[#All],3,0)</f>
        <v>#REF!</v>
      </c>
      <c r="P1950" s="53" t="e">
        <f>VLOOKUP(N1950,[2]!RUBROS[#All],2,0)</f>
        <v>#REF!</v>
      </c>
      <c r="Q1950" s="47" t="str">
        <f t="shared" si="612"/>
        <v>84</v>
      </c>
      <c r="R1950" s="47" t="str">
        <f t="shared" si="613"/>
        <v>0-205400</v>
      </c>
      <c r="S1950" s="339">
        <v>63</v>
      </c>
      <c r="T1950" s="63" t="s">
        <v>120</v>
      </c>
      <c r="U1950" s="326" t="e">
        <f ca="1">_xlfn.XLOOKUP(PAA_4[[#This Row],[ITEM]],[2]Contrato!A:A,[2]Contrato!Q:Q,"",0)</f>
        <v>#NAME?</v>
      </c>
      <c r="V1950" s="47" t="s">
        <v>95</v>
      </c>
      <c r="W1950" s="47" t="s">
        <v>203</v>
      </c>
      <c r="X1950" s="47" t="s">
        <v>203</v>
      </c>
      <c r="Y1950" s="55" t="e">
        <f ca="1">_xlfn.XLOOKUP(PAA_4[[#This Row],[ITEM]],[2]Contrato!A:A,[2]Contrato!B:B,"",0)</f>
        <v>#NAME?</v>
      </c>
      <c r="Z1950" s="47" t="e">
        <f ca="1">_xlfn.XLOOKUP(PAA_4[[#This Row],[ITEM]],[2]Contrato!A:A,[2]Contrato!G:G,"",0)</f>
        <v>#NAME?</v>
      </c>
      <c r="AA1950" s="47" t="e">
        <f ca="1">_xlfn.XLOOKUP(PAA_4[[#This Row],[ITEM]],[2]Contrato!A:A,[2]Contrato!T:T,"",0)</f>
        <v>#NAME?</v>
      </c>
      <c r="AB1950" s="55" t="e">
        <f ca="1">+MAX(PAA_4[[#This Row],[Comprometido Contrato]],PAA_4[[#This Row],[Comprometido Bolsa]])</f>
        <v>#NAME?</v>
      </c>
      <c r="AC1950" s="55" t="str">
        <f t="shared" ca="1" si="614"/>
        <v/>
      </c>
      <c r="AD1950" s="55" t="e">
        <f ca="1">IF(PAA_4[[#This Row],[ESTADO (formulado)]]="NO CONTRATADO",0,MAX(PAA_4[[#This Row],[Pago por Contrato]],PAA_4[[#This Row],[Pago por bolsa]]))</f>
        <v>#NAME?</v>
      </c>
      <c r="AE1950" s="55" t="str">
        <f t="shared" ca="1" si="610"/>
        <v/>
      </c>
      <c r="AF1950" s="47" t="e">
        <f t="shared" ca="1" si="615"/>
        <v>#NAME?</v>
      </c>
      <c r="AG1950" s="47">
        <f t="shared" si="611"/>
        <v>52010802</v>
      </c>
      <c r="AH1950" s="54">
        <f>IF(Q1950="22",IF(ISNUMBER(SEARCH("econ",PAA_4[[#This Row],[Actividad3]])),"Económico",IF(ISNUMBER(SEARCH("alim",PAA_4[[#This Row],[Actividad3]])),"Alimentación",IF(ISNUMBER(SEARCH("educ",PAA_4[[#This Row],[Actividad3]])),"Educativo","Técnico"))),0)</f>
        <v>0</v>
      </c>
      <c r="AI1950" s="47" t="e" cm="1">
        <f t="array" aca="1" ref="AI1950" ca="1">_xlfn.XLOOKUP(PAA_4[[#This Row],[RCP-RUBRO]],[2]!COMPROMISOS_2024[[#All],[concatenado]],[2]!COMPROMISOS_2024[[#All],[Total pagado]],"",0)</f>
        <v>#NAME?</v>
      </c>
      <c r="AJ1950" s="56">
        <f>IF(PAA_4[[#This Row],[BOLSA]]=0,0,SUMIFS([2]!COMPROMISOS_2024[[#All],[Total pagado]],[2]!COMPROMISOS_2024[[#All],[Bolsa]],PAA_4[[#This Row],[BOLSA]],[2]!COMPROMISOS_2024[[#All],[rubro]],PAA_4[[#This Row],[RCP-RUBRO]]))</f>
        <v>0</v>
      </c>
      <c r="AK1950" s="47" t="e" cm="1">
        <f t="array" aca="1" ref="AK1950" ca="1">_xlfn.XLOOKUP(PAA_4[[#This Row],[RCP-RUBRO]],[2]!COMPROMISOS_2024[[#All],[concatenado]],[2]!COMPROMISOS_2024[[#All],[Total Comprometido]],"",0)</f>
        <v>#NAME?</v>
      </c>
      <c r="AL1950" s="47">
        <f>IF(PAA_4[[#This Row],[BOLSA]]=0,0,SUMIFS([2]!COMPROMISOS_2024[[#All],[Total Comprometido]],[2]!COMPROMISOS_2024[[#All],[Bolsa]],PAA_4[[#This Row],[BOLSA]],[2]!COMPROMISOS_2024[[#All],[concatenado]],PAA_4[[#This Row],[RCP-RUBRO]]))</f>
        <v>0</v>
      </c>
    </row>
    <row r="1951" spans="1:38" s="19" customFormat="1" ht="31.5" customHeight="1">
      <c r="A1951" s="47">
        <v>1183</v>
      </c>
      <c r="B1951" s="47">
        <v>80111600</v>
      </c>
      <c r="C1951" s="47" t="str">
        <f>VLOOKUP(PAA_4[[#This Row],[PROYECTO (formulado)2]],[2]PROYECTOS!$G$1:$L$32,6,0)</f>
        <v>SUBGERENCIA DE ALTOS LOGROS Y DEPORTE ASOCIADO</v>
      </c>
      <c r="D1951" s="47" t="str">
        <f>+IF(PAA_4[[#This Row],[UNIDAD DE CONTRATACION (formulado)]]="Subgerencia Administrativa y Financiera","FUNCIONAMIENTO","INVERSIÓN")</f>
        <v>INVERSIÓN</v>
      </c>
      <c r="E1951" s="48" t="str">
        <f>VLOOKUP(Q1951,[2]PROYECTOS!$G$1:$K$32,5,0)</f>
        <v>Apoyo técnico a atletas y para-atletas que representan en alto rendimiento deportivo al departamento de Antioquia</v>
      </c>
      <c r="F1951" s="48">
        <f>VLOOKUP(E1951,[2]PROYECTOS!$K$1:$M$32,3,0)</f>
        <v>2024003050084</v>
      </c>
      <c r="G1951" s="67" t="s">
        <v>1518</v>
      </c>
      <c r="H1951" s="49" t="str">
        <f>VLOOKUP(Q1951,[2]PROYECTOS!$V$1:$W$32,2,0)</f>
        <v>050079</v>
      </c>
      <c r="I1951" s="78">
        <v>18190160</v>
      </c>
      <c r="J1951" s="51" t="s">
        <v>2172</v>
      </c>
      <c r="K1951" s="47" t="str">
        <f t="shared" ca="1" si="609"/>
        <v>CONTRATADO</v>
      </c>
      <c r="L1951" s="47" t="s">
        <v>78</v>
      </c>
      <c r="M1951" s="51" t="s">
        <v>1297</v>
      </c>
      <c r="N1951" s="52" t="s">
        <v>1519</v>
      </c>
      <c r="O1951" s="51" t="e">
        <f>VLOOKUP(N1951,[2]!RUBROS[#All],3,0)</f>
        <v>#REF!</v>
      </c>
      <c r="P1951" s="53" t="e">
        <f>VLOOKUP(N1951,[2]!RUBROS[#All],2,0)</f>
        <v>#REF!</v>
      </c>
      <c r="Q1951" s="47" t="str">
        <f t="shared" si="612"/>
        <v>84</v>
      </c>
      <c r="R1951" s="47" t="str">
        <f t="shared" si="613"/>
        <v>0-205400</v>
      </c>
      <c r="S1951" s="339">
        <v>69</v>
      </c>
      <c r="T1951" s="63" t="s">
        <v>120</v>
      </c>
      <c r="U1951" s="326" t="e">
        <f ca="1">_xlfn.XLOOKUP(PAA_4[[#This Row],[ITEM]],[2]Contrato!A:A,[2]Contrato!Q:Q,"",0)</f>
        <v>#NAME?</v>
      </c>
      <c r="V1951" s="47" t="s">
        <v>95</v>
      </c>
      <c r="W1951" s="47" t="s">
        <v>203</v>
      </c>
      <c r="X1951" s="47" t="s">
        <v>203</v>
      </c>
      <c r="Y1951" s="55" t="e">
        <f ca="1">_xlfn.XLOOKUP(PAA_4[[#This Row],[ITEM]],[2]Contrato!A:A,[2]Contrato!B:B,"",0)</f>
        <v>#NAME?</v>
      </c>
      <c r="Z1951" s="47" t="e">
        <f ca="1">_xlfn.XLOOKUP(PAA_4[[#This Row],[ITEM]],[2]Contrato!A:A,[2]Contrato!G:G,"",0)</f>
        <v>#NAME?</v>
      </c>
      <c r="AA1951" s="47" t="e">
        <f ca="1">_xlfn.XLOOKUP(PAA_4[[#This Row],[ITEM]],[2]Contrato!A:A,[2]Contrato!T:T,"",0)</f>
        <v>#NAME?</v>
      </c>
      <c r="AB1951" s="55" t="e">
        <f ca="1">+MAX(PAA_4[[#This Row],[Comprometido Contrato]],PAA_4[[#This Row],[Comprometido Bolsa]])</f>
        <v>#NAME?</v>
      </c>
      <c r="AC1951" s="55" t="str">
        <f t="shared" ca="1" si="614"/>
        <v/>
      </c>
      <c r="AD1951" s="55" t="e">
        <f ca="1">IF(PAA_4[[#This Row],[ESTADO (formulado)]]="NO CONTRATADO",0,MAX(PAA_4[[#This Row],[Pago por Contrato]],PAA_4[[#This Row],[Pago por bolsa]]))</f>
        <v>#NAME?</v>
      </c>
      <c r="AE1951" s="55" t="str">
        <f t="shared" ca="1" si="610"/>
        <v/>
      </c>
      <c r="AF1951" s="47" t="e">
        <f t="shared" ca="1" si="615"/>
        <v>#NAME?</v>
      </c>
      <c r="AG1951" s="47">
        <f t="shared" si="611"/>
        <v>52010802</v>
      </c>
      <c r="AH1951" s="54">
        <f>IF(Q1951="22",IF(ISNUMBER(SEARCH("econ",PAA_4[[#This Row],[Actividad3]])),"Económico",IF(ISNUMBER(SEARCH("alim",PAA_4[[#This Row],[Actividad3]])),"Alimentación",IF(ISNUMBER(SEARCH("educ",PAA_4[[#This Row],[Actividad3]])),"Educativo","Técnico"))),0)</f>
        <v>0</v>
      </c>
      <c r="AI1951" s="47" t="e" cm="1">
        <f t="array" aca="1" ref="AI1951" ca="1">_xlfn.XLOOKUP(PAA_4[[#This Row],[RCP-RUBRO]],[2]!COMPROMISOS_2024[[#All],[concatenado]],[2]!COMPROMISOS_2024[[#All],[Total pagado]],"",0)</f>
        <v>#NAME?</v>
      </c>
      <c r="AJ1951" s="56">
        <f>IF(PAA_4[[#This Row],[BOLSA]]=0,0,SUMIFS([2]!COMPROMISOS_2024[[#All],[Total pagado]],[2]!COMPROMISOS_2024[[#All],[Bolsa]],PAA_4[[#This Row],[BOLSA]],[2]!COMPROMISOS_2024[[#All],[rubro]],PAA_4[[#This Row],[RCP-RUBRO]]))</f>
        <v>0</v>
      </c>
      <c r="AK1951" s="47" t="e" cm="1">
        <f t="array" aca="1" ref="AK1951" ca="1">_xlfn.XLOOKUP(PAA_4[[#This Row],[RCP-RUBRO]],[2]!COMPROMISOS_2024[[#All],[concatenado]],[2]!COMPROMISOS_2024[[#All],[Total Comprometido]],"",0)</f>
        <v>#NAME?</v>
      </c>
      <c r="AL1951" s="47">
        <f>IF(PAA_4[[#This Row],[BOLSA]]=0,0,SUMIFS([2]!COMPROMISOS_2024[[#All],[Total Comprometido]],[2]!COMPROMISOS_2024[[#All],[Bolsa]],PAA_4[[#This Row],[BOLSA]],[2]!COMPROMISOS_2024[[#All],[concatenado]],PAA_4[[#This Row],[RCP-RUBRO]]))</f>
        <v>0</v>
      </c>
    </row>
    <row r="1952" spans="1:38" s="19" customFormat="1" ht="31.5" customHeight="1">
      <c r="A1952" s="47">
        <v>1184</v>
      </c>
      <c r="B1952" s="47">
        <v>80111600</v>
      </c>
      <c r="C1952" s="47" t="str">
        <f>VLOOKUP(PAA_4[[#This Row],[PROYECTO (formulado)2]],[2]PROYECTOS!$G$1:$L$32,6,0)</f>
        <v>SUBGERENCIA DE ALTOS LOGROS Y DEPORTE ASOCIADO</v>
      </c>
      <c r="D1952" s="47" t="str">
        <f>+IF(PAA_4[[#This Row],[UNIDAD DE CONTRATACION (formulado)]]="Subgerencia Administrativa y Financiera","FUNCIONAMIENTO","INVERSIÓN")</f>
        <v>INVERSIÓN</v>
      </c>
      <c r="E1952" s="48" t="str">
        <f>VLOOKUP(Q1952,[2]PROYECTOS!$G$1:$K$32,5,0)</f>
        <v>Apoyo técnico a atletas y para-atletas que representan en alto rendimiento deportivo al departamento de Antioquia</v>
      </c>
      <c r="F1952" s="48">
        <f>VLOOKUP(E1952,[2]PROYECTOS!$K$1:$M$32,3,0)</f>
        <v>2024003050084</v>
      </c>
      <c r="G1952" s="67" t="s">
        <v>1518</v>
      </c>
      <c r="H1952" s="49" t="str">
        <f>VLOOKUP(Q1952,[2]PROYECTOS!$V$1:$W$32,2,0)</f>
        <v>050079</v>
      </c>
      <c r="I1952" s="78">
        <v>9090479</v>
      </c>
      <c r="J1952" s="51" t="s">
        <v>2173</v>
      </c>
      <c r="K1952" s="47" t="str">
        <f t="shared" ca="1" si="609"/>
        <v>CONTRATADO</v>
      </c>
      <c r="L1952" s="47" t="s">
        <v>78</v>
      </c>
      <c r="M1952" s="51" t="s">
        <v>1297</v>
      </c>
      <c r="N1952" s="52" t="s">
        <v>1519</v>
      </c>
      <c r="O1952" s="51" t="e">
        <f>VLOOKUP(N1952,[2]!RUBROS[#All],3,0)</f>
        <v>#REF!</v>
      </c>
      <c r="P1952" s="53" t="e">
        <f>VLOOKUP(N1952,[2]!RUBROS[#All],2,0)</f>
        <v>#REF!</v>
      </c>
      <c r="Q1952" s="47" t="str">
        <f t="shared" si="612"/>
        <v>84</v>
      </c>
      <c r="R1952" s="47" t="str">
        <f t="shared" si="613"/>
        <v>0-205400</v>
      </c>
      <c r="S1952" s="339">
        <v>69</v>
      </c>
      <c r="T1952" s="63" t="s">
        <v>120</v>
      </c>
      <c r="U1952" s="326" t="e">
        <f ca="1">_xlfn.XLOOKUP(PAA_4[[#This Row],[ITEM]],[2]Contrato!A:A,[2]Contrato!Q:Q,"",0)</f>
        <v>#NAME?</v>
      </c>
      <c r="V1952" s="47" t="s">
        <v>95</v>
      </c>
      <c r="W1952" s="47" t="s">
        <v>203</v>
      </c>
      <c r="X1952" s="47" t="s">
        <v>203</v>
      </c>
      <c r="Y1952" s="55" t="e">
        <f ca="1">_xlfn.XLOOKUP(PAA_4[[#This Row],[ITEM]],[2]Contrato!A:A,[2]Contrato!B:B,"",0)</f>
        <v>#NAME?</v>
      </c>
      <c r="Z1952" s="47" t="e">
        <f ca="1">_xlfn.XLOOKUP(PAA_4[[#This Row],[ITEM]],[2]Contrato!A:A,[2]Contrato!G:G,"",0)</f>
        <v>#NAME?</v>
      </c>
      <c r="AA1952" s="47" t="e">
        <f ca="1">_xlfn.XLOOKUP(PAA_4[[#This Row],[ITEM]],[2]Contrato!A:A,[2]Contrato!T:T,"",0)</f>
        <v>#NAME?</v>
      </c>
      <c r="AB1952" s="55" t="e">
        <f ca="1">+MAX(PAA_4[[#This Row],[Comprometido Contrato]],PAA_4[[#This Row],[Comprometido Bolsa]])</f>
        <v>#NAME?</v>
      </c>
      <c r="AC1952" s="55" t="str">
        <f t="shared" ca="1" si="614"/>
        <v/>
      </c>
      <c r="AD1952" s="55" t="e">
        <f ca="1">IF(PAA_4[[#This Row],[ESTADO (formulado)]]="NO CONTRATADO",0,MAX(PAA_4[[#This Row],[Pago por Contrato]],PAA_4[[#This Row],[Pago por bolsa]]))</f>
        <v>#NAME?</v>
      </c>
      <c r="AE1952" s="55" t="str">
        <f t="shared" ca="1" si="610"/>
        <v/>
      </c>
      <c r="AF1952" s="47" t="e">
        <f t="shared" ca="1" si="615"/>
        <v>#NAME?</v>
      </c>
      <c r="AG1952" s="47">
        <f t="shared" si="611"/>
        <v>52010802</v>
      </c>
      <c r="AH1952" s="54">
        <f>IF(Q1952="22",IF(ISNUMBER(SEARCH("econ",PAA_4[[#This Row],[Actividad3]])),"Económico",IF(ISNUMBER(SEARCH("alim",PAA_4[[#This Row],[Actividad3]])),"Alimentación",IF(ISNUMBER(SEARCH("educ",PAA_4[[#This Row],[Actividad3]])),"Educativo","Técnico"))),0)</f>
        <v>0</v>
      </c>
      <c r="AI1952" s="47" t="e" cm="1">
        <f t="array" aca="1" ref="AI1952" ca="1">_xlfn.XLOOKUP(PAA_4[[#This Row],[RCP-RUBRO]],[2]!COMPROMISOS_2024[[#All],[concatenado]],[2]!COMPROMISOS_2024[[#All],[Total pagado]],"",0)</f>
        <v>#NAME?</v>
      </c>
      <c r="AJ1952" s="56">
        <f>IF(PAA_4[[#This Row],[BOLSA]]=0,0,SUMIFS([2]!COMPROMISOS_2024[[#All],[Total pagado]],[2]!COMPROMISOS_2024[[#All],[Bolsa]],PAA_4[[#This Row],[BOLSA]],[2]!COMPROMISOS_2024[[#All],[rubro]],PAA_4[[#This Row],[RCP-RUBRO]]))</f>
        <v>0</v>
      </c>
      <c r="AK1952" s="47" t="e" cm="1">
        <f t="array" aca="1" ref="AK1952" ca="1">_xlfn.XLOOKUP(PAA_4[[#This Row],[RCP-RUBRO]],[2]!COMPROMISOS_2024[[#All],[concatenado]],[2]!COMPROMISOS_2024[[#All],[Total Comprometido]],"",0)</f>
        <v>#NAME?</v>
      </c>
      <c r="AL1952" s="47">
        <f>IF(PAA_4[[#This Row],[BOLSA]]=0,0,SUMIFS([2]!COMPROMISOS_2024[[#All],[Total Comprometido]],[2]!COMPROMISOS_2024[[#All],[Bolsa]],PAA_4[[#This Row],[BOLSA]],[2]!COMPROMISOS_2024[[#All],[concatenado]],PAA_4[[#This Row],[RCP-RUBRO]]))</f>
        <v>0</v>
      </c>
    </row>
    <row r="1953" spans="1:38" s="19" customFormat="1" ht="31.5" customHeight="1">
      <c r="A1953" s="47">
        <v>1185</v>
      </c>
      <c r="B1953" s="47">
        <v>80111600</v>
      </c>
      <c r="C1953" s="47" t="str">
        <f>VLOOKUP(PAA_4[[#This Row],[PROYECTO (formulado)2]],[2]PROYECTOS!$G$1:$L$32,6,0)</f>
        <v>SUBGERENCIA DE ALTOS LOGROS Y DEPORTE ASOCIADO</v>
      </c>
      <c r="D1953" s="47" t="str">
        <f>+IF(PAA_4[[#This Row],[UNIDAD DE CONTRATACION (formulado)]]="Subgerencia Administrativa y Financiera","FUNCIONAMIENTO","INVERSIÓN")</f>
        <v>INVERSIÓN</v>
      </c>
      <c r="E1953" s="48" t="str">
        <f>VLOOKUP(Q1953,[2]PROYECTOS!$G$1:$K$32,5,0)</f>
        <v>Apoyo técnico a atletas y para-atletas que representan en alto rendimiento deportivo al departamento de Antioquia</v>
      </c>
      <c r="F1953" s="48">
        <f>VLOOKUP(E1953,[2]PROYECTOS!$K$1:$M$32,3,0)</f>
        <v>2024003050084</v>
      </c>
      <c r="G1953" s="67" t="s">
        <v>1518</v>
      </c>
      <c r="H1953" s="49" t="str">
        <f>VLOOKUP(Q1953,[2]PROYECTOS!$V$1:$W$32,2,0)</f>
        <v>050079</v>
      </c>
      <c r="I1953" s="78">
        <v>5922137</v>
      </c>
      <c r="J1953" s="51" t="s">
        <v>2174</v>
      </c>
      <c r="K1953" s="47" t="str">
        <f t="shared" ca="1" si="609"/>
        <v>CONTRATADO</v>
      </c>
      <c r="L1953" s="47" t="s">
        <v>78</v>
      </c>
      <c r="M1953" s="51" t="s">
        <v>1297</v>
      </c>
      <c r="N1953" s="52" t="s">
        <v>1519</v>
      </c>
      <c r="O1953" s="51" t="e">
        <f>VLOOKUP(N1953,[2]!RUBROS[#All],3,0)</f>
        <v>#REF!</v>
      </c>
      <c r="P1953" s="53" t="e">
        <f>VLOOKUP(N1953,[2]!RUBROS[#All],2,0)</f>
        <v>#REF!</v>
      </c>
      <c r="Q1953" s="47" t="str">
        <f t="shared" si="612"/>
        <v>84</v>
      </c>
      <c r="R1953" s="47" t="str">
        <f t="shared" si="613"/>
        <v>0-205400</v>
      </c>
      <c r="S1953" s="339">
        <v>69</v>
      </c>
      <c r="T1953" s="63" t="s">
        <v>120</v>
      </c>
      <c r="U1953" s="326" t="e">
        <f ca="1">_xlfn.XLOOKUP(PAA_4[[#This Row],[ITEM]],[2]Contrato!A:A,[2]Contrato!Q:Q,"",0)</f>
        <v>#NAME?</v>
      </c>
      <c r="V1953" s="47" t="s">
        <v>95</v>
      </c>
      <c r="W1953" s="47" t="s">
        <v>203</v>
      </c>
      <c r="X1953" s="47" t="s">
        <v>203</v>
      </c>
      <c r="Y1953" s="55" t="e">
        <f ca="1">_xlfn.XLOOKUP(PAA_4[[#This Row],[ITEM]],[2]Contrato!A:A,[2]Contrato!B:B,"",0)</f>
        <v>#NAME?</v>
      </c>
      <c r="Z1953" s="47" t="e">
        <f ca="1">_xlfn.XLOOKUP(PAA_4[[#This Row],[ITEM]],[2]Contrato!A:A,[2]Contrato!G:G,"",0)</f>
        <v>#NAME?</v>
      </c>
      <c r="AA1953" s="47" t="e">
        <f ca="1">_xlfn.XLOOKUP(PAA_4[[#This Row],[ITEM]],[2]Contrato!A:A,[2]Contrato!T:T,"",0)</f>
        <v>#NAME?</v>
      </c>
      <c r="AB1953" s="55" t="e">
        <f ca="1">+MAX(PAA_4[[#This Row],[Comprometido Contrato]],PAA_4[[#This Row],[Comprometido Bolsa]])</f>
        <v>#NAME?</v>
      </c>
      <c r="AC1953" s="55" t="str">
        <f t="shared" ca="1" si="614"/>
        <v/>
      </c>
      <c r="AD1953" s="55" t="e">
        <f ca="1">IF(PAA_4[[#This Row],[ESTADO (formulado)]]="NO CONTRATADO",0,MAX(PAA_4[[#This Row],[Pago por Contrato]],PAA_4[[#This Row],[Pago por bolsa]]))</f>
        <v>#NAME?</v>
      </c>
      <c r="AE1953" s="55" t="str">
        <f t="shared" ca="1" si="610"/>
        <v/>
      </c>
      <c r="AF1953" s="47" t="e">
        <f t="shared" ca="1" si="615"/>
        <v>#NAME?</v>
      </c>
      <c r="AG1953" s="47">
        <f t="shared" si="611"/>
        <v>52010802</v>
      </c>
      <c r="AH1953" s="54">
        <f>IF(Q1953="22",IF(ISNUMBER(SEARCH("econ",PAA_4[[#This Row],[Actividad3]])),"Económico",IF(ISNUMBER(SEARCH("alim",PAA_4[[#This Row],[Actividad3]])),"Alimentación",IF(ISNUMBER(SEARCH("educ",PAA_4[[#This Row],[Actividad3]])),"Educativo","Técnico"))),0)</f>
        <v>0</v>
      </c>
      <c r="AI1953" s="47" t="e" cm="1">
        <f t="array" aca="1" ref="AI1953" ca="1">_xlfn.XLOOKUP(PAA_4[[#This Row],[RCP-RUBRO]],[2]!COMPROMISOS_2024[[#All],[concatenado]],[2]!COMPROMISOS_2024[[#All],[Total pagado]],"",0)</f>
        <v>#NAME?</v>
      </c>
      <c r="AJ1953" s="56">
        <f>IF(PAA_4[[#This Row],[BOLSA]]=0,0,SUMIFS([2]!COMPROMISOS_2024[[#All],[Total pagado]],[2]!COMPROMISOS_2024[[#All],[Bolsa]],PAA_4[[#This Row],[BOLSA]],[2]!COMPROMISOS_2024[[#All],[rubro]],PAA_4[[#This Row],[RCP-RUBRO]]))</f>
        <v>0</v>
      </c>
      <c r="AK1953" s="47" t="e" cm="1">
        <f t="array" aca="1" ref="AK1953" ca="1">_xlfn.XLOOKUP(PAA_4[[#This Row],[RCP-RUBRO]],[2]!COMPROMISOS_2024[[#All],[concatenado]],[2]!COMPROMISOS_2024[[#All],[Total Comprometido]],"",0)</f>
        <v>#NAME?</v>
      </c>
      <c r="AL1953" s="47">
        <f>IF(PAA_4[[#This Row],[BOLSA]]=0,0,SUMIFS([2]!COMPROMISOS_2024[[#All],[Total Comprometido]],[2]!COMPROMISOS_2024[[#All],[Bolsa]],PAA_4[[#This Row],[BOLSA]],[2]!COMPROMISOS_2024[[#All],[concatenado]],PAA_4[[#This Row],[RCP-RUBRO]]))</f>
        <v>0</v>
      </c>
    </row>
    <row r="1954" spans="1:38" s="19" customFormat="1" ht="31.5" customHeight="1">
      <c r="A1954" s="47">
        <v>1186</v>
      </c>
      <c r="B1954" s="47">
        <v>80111600</v>
      </c>
      <c r="C1954" s="47" t="str">
        <f>VLOOKUP(PAA_4[[#This Row],[PROYECTO (formulado)2]],[2]PROYECTOS!$G$1:$L$32,6,0)</f>
        <v>SUBGERENCIA DE ALTOS LOGROS Y DEPORTE ASOCIADO</v>
      </c>
      <c r="D1954" s="47" t="str">
        <f>+IF(PAA_4[[#This Row],[UNIDAD DE CONTRATACION (formulado)]]="Subgerencia Administrativa y Financiera","FUNCIONAMIENTO","INVERSIÓN")</f>
        <v>INVERSIÓN</v>
      </c>
      <c r="E1954" s="48" t="str">
        <f>VLOOKUP(Q1954,[2]PROYECTOS!$G$1:$K$32,5,0)</f>
        <v>Apoyo técnico a atletas y para-atletas que representan en alto rendimiento deportivo al departamento de Antioquia</v>
      </c>
      <c r="F1954" s="48">
        <f>VLOOKUP(E1954,[2]PROYECTOS!$K$1:$M$32,3,0)</f>
        <v>2024003050084</v>
      </c>
      <c r="G1954" s="67" t="s">
        <v>1518</v>
      </c>
      <c r="H1954" s="49" t="str">
        <f>VLOOKUP(Q1954,[2]PROYECTOS!$V$1:$W$32,2,0)</f>
        <v>050079</v>
      </c>
      <c r="I1954" s="78">
        <v>5922137</v>
      </c>
      <c r="J1954" s="51" t="s">
        <v>2175</v>
      </c>
      <c r="K1954" s="47" t="str">
        <f t="shared" ca="1" si="609"/>
        <v>CONTRATADO</v>
      </c>
      <c r="L1954" s="47" t="s">
        <v>78</v>
      </c>
      <c r="M1954" s="51" t="s">
        <v>1297</v>
      </c>
      <c r="N1954" s="52" t="s">
        <v>1519</v>
      </c>
      <c r="O1954" s="51" t="e">
        <f>VLOOKUP(N1954,[2]!RUBROS[#All],3,0)</f>
        <v>#REF!</v>
      </c>
      <c r="P1954" s="53" t="e">
        <f>VLOOKUP(N1954,[2]!RUBROS[#All],2,0)</f>
        <v>#REF!</v>
      </c>
      <c r="Q1954" s="47" t="str">
        <f t="shared" si="612"/>
        <v>84</v>
      </c>
      <c r="R1954" s="47" t="str">
        <f t="shared" si="613"/>
        <v>0-205400</v>
      </c>
      <c r="S1954" s="339">
        <v>69</v>
      </c>
      <c r="T1954" s="63" t="s">
        <v>120</v>
      </c>
      <c r="U1954" s="326" t="e">
        <f ca="1">_xlfn.XLOOKUP(PAA_4[[#This Row],[ITEM]],[2]Contrato!A:A,[2]Contrato!Q:Q,"",0)</f>
        <v>#NAME?</v>
      </c>
      <c r="V1954" s="47" t="s">
        <v>95</v>
      </c>
      <c r="W1954" s="47" t="s">
        <v>203</v>
      </c>
      <c r="X1954" s="47" t="s">
        <v>203</v>
      </c>
      <c r="Y1954" s="55" t="e">
        <f ca="1">_xlfn.XLOOKUP(PAA_4[[#This Row],[ITEM]],[2]Contrato!A:A,[2]Contrato!B:B,"",0)</f>
        <v>#NAME?</v>
      </c>
      <c r="Z1954" s="47" t="e">
        <f ca="1">_xlfn.XLOOKUP(PAA_4[[#This Row],[ITEM]],[2]Contrato!A:A,[2]Contrato!G:G,"",0)</f>
        <v>#NAME?</v>
      </c>
      <c r="AA1954" s="47" t="e">
        <f ca="1">_xlfn.XLOOKUP(PAA_4[[#This Row],[ITEM]],[2]Contrato!A:A,[2]Contrato!T:T,"",0)</f>
        <v>#NAME?</v>
      </c>
      <c r="AB1954" s="55" t="e">
        <f ca="1">+MAX(PAA_4[[#This Row],[Comprometido Contrato]],PAA_4[[#This Row],[Comprometido Bolsa]])</f>
        <v>#NAME?</v>
      </c>
      <c r="AC1954" s="55" t="str">
        <f t="shared" ca="1" si="614"/>
        <v/>
      </c>
      <c r="AD1954" s="55" t="e">
        <f ca="1">IF(PAA_4[[#This Row],[ESTADO (formulado)]]="NO CONTRATADO",0,MAX(PAA_4[[#This Row],[Pago por Contrato]],PAA_4[[#This Row],[Pago por bolsa]]))</f>
        <v>#NAME?</v>
      </c>
      <c r="AE1954" s="55" t="str">
        <f t="shared" ca="1" si="610"/>
        <v/>
      </c>
      <c r="AF1954" s="47" t="e">
        <f t="shared" ca="1" si="615"/>
        <v>#NAME?</v>
      </c>
      <c r="AG1954" s="47">
        <f t="shared" si="611"/>
        <v>52010802</v>
      </c>
      <c r="AH1954" s="54">
        <f>IF(Q1954="22",IF(ISNUMBER(SEARCH("econ",PAA_4[[#This Row],[Actividad3]])),"Económico",IF(ISNUMBER(SEARCH("alim",PAA_4[[#This Row],[Actividad3]])),"Alimentación",IF(ISNUMBER(SEARCH("educ",PAA_4[[#This Row],[Actividad3]])),"Educativo","Técnico"))),0)</f>
        <v>0</v>
      </c>
      <c r="AI1954" s="47" t="e" cm="1">
        <f t="array" aca="1" ref="AI1954" ca="1">_xlfn.XLOOKUP(PAA_4[[#This Row],[RCP-RUBRO]],[2]!COMPROMISOS_2024[[#All],[concatenado]],[2]!COMPROMISOS_2024[[#All],[Total pagado]],"",0)</f>
        <v>#NAME?</v>
      </c>
      <c r="AJ1954" s="56">
        <f>IF(PAA_4[[#This Row],[BOLSA]]=0,0,SUMIFS([2]!COMPROMISOS_2024[[#All],[Total pagado]],[2]!COMPROMISOS_2024[[#All],[Bolsa]],PAA_4[[#This Row],[BOLSA]],[2]!COMPROMISOS_2024[[#All],[rubro]],PAA_4[[#This Row],[RCP-RUBRO]]))</f>
        <v>0</v>
      </c>
      <c r="AK1954" s="47" t="e" cm="1">
        <f t="array" aca="1" ref="AK1954" ca="1">_xlfn.XLOOKUP(PAA_4[[#This Row],[RCP-RUBRO]],[2]!COMPROMISOS_2024[[#All],[concatenado]],[2]!COMPROMISOS_2024[[#All],[Total Comprometido]],"",0)</f>
        <v>#NAME?</v>
      </c>
      <c r="AL1954" s="47">
        <f>IF(PAA_4[[#This Row],[BOLSA]]=0,0,SUMIFS([2]!COMPROMISOS_2024[[#All],[Total Comprometido]],[2]!COMPROMISOS_2024[[#All],[Bolsa]],PAA_4[[#This Row],[BOLSA]],[2]!COMPROMISOS_2024[[#All],[concatenado]],PAA_4[[#This Row],[RCP-RUBRO]]))</f>
        <v>0</v>
      </c>
    </row>
    <row r="1955" spans="1:38" s="19" customFormat="1" ht="31.5" customHeight="1">
      <c r="A1955" s="47">
        <v>1187</v>
      </c>
      <c r="B1955" s="47">
        <v>80111600</v>
      </c>
      <c r="C1955" s="47" t="str">
        <f>VLOOKUP(PAA_4[[#This Row],[PROYECTO (formulado)2]],[2]PROYECTOS!$G$1:$L$32,6,0)</f>
        <v>SUBGERENCIA DE ALTOS LOGROS Y DEPORTE ASOCIADO</v>
      </c>
      <c r="D1955" s="47" t="str">
        <f>+IF(PAA_4[[#This Row],[UNIDAD DE CONTRATACION (formulado)]]="Subgerencia Administrativa y Financiera","FUNCIONAMIENTO","INVERSIÓN")</f>
        <v>INVERSIÓN</v>
      </c>
      <c r="E1955" s="48" t="str">
        <f>VLOOKUP(Q1955,[2]PROYECTOS!$G$1:$K$32,5,0)</f>
        <v>Apoyo técnico a atletas y para-atletas que representan en alto rendimiento deportivo al departamento de Antioquia</v>
      </c>
      <c r="F1955" s="48">
        <f>VLOOKUP(E1955,[2]PROYECTOS!$K$1:$M$32,3,0)</f>
        <v>2024003050084</v>
      </c>
      <c r="G1955" s="67" t="s">
        <v>1518</v>
      </c>
      <c r="H1955" s="49" t="str">
        <f>VLOOKUP(Q1955,[2]PROYECTOS!$V$1:$W$32,2,0)</f>
        <v>050079</v>
      </c>
      <c r="I1955" s="78">
        <v>5922137</v>
      </c>
      <c r="J1955" s="51" t="s">
        <v>2176</v>
      </c>
      <c r="K1955" s="47" t="str">
        <f t="shared" ca="1" si="609"/>
        <v>CONTRATADO</v>
      </c>
      <c r="L1955" s="47" t="s">
        <v>78</v>
      </c>
      <c r="M1955" s="51" t="s">
        <v>1297</v>
      </c>
      <c r="N1955" s="52" t="s">
        <v>1519</v>
      </c>
      <c r="O1955" s="51" t="e">
        <f>VLOOKUP(N1955,[2]!RUBROS[#All],3,0)</f>
        <v>#REF!</v>
      </c>
      <c r="P1955" s="53" t="e">
        <f>VLOOKUP(N1955,[2]!RUBROS[#All],2,0)</f>
        <v>#REF!</v>
      </c>
      <c r="Q1955" s="47" t="str">
        <f t="shared" si="612"/>
        <v>84</v>
      </c>
      <c r="R1955" s="47" t="str">
        <f t="shared" si="613"/>
        <v>0-205400</v>
      </c>
      <c r="S1955" s="339">
        <v>69</v>
      </c>
      <c r="T1955" s="63" t="s">
        <v>120</v>
      </c>
      <c r="U1955" s="326" t="e">
        <f ca="1">_xlfn.XLOOKUP(PAA_4[[#This Row],[ITEM]],[2]Contrato!A:A,[2]Contrato!Q:Q,"",0)</f>
        <v>#NAME?</v>
      </c>
      <c r="V1955" s="47" t="s">
        <v>95</v>
      </c>
      <c r="W1955" s="47" t="s">
        <v>203</v>
      </c>
      <c r="X1955" s="47" t="s">
        <v>203</v>
      </c>
      <c r="Y1955" s="55" t="e">
        <f ca="1">_xlfn.XLOOKUP(PAA_4[[#This Row],[ITEM]],[2]Contrato!A:A,[2]Contrato!B:B,"",0)</f>
        <v>#NAME?</v>
      </c>
      <c r="Z1955" s="47" t="e">
        <f ca="1">_xlfn.XLOOKUP(PAA_4[[#This Row],[ITEM]],[2]Contrato!A:A,[2]Contrato!G:G,"",0)</f>
        <v>#NAME?</v>
      </c>
      <c r="AA1955" s="47" t="e">
        <f ca="1">_xlfn.XLOOKUP(PAA_4[[#This Row],[ITEM]],[2]Contrato!A:A,[2]Contrato!T:T,"",0)</f>
        <v>#NAME?</v>
      </c>
      <c r="AB1955" s="55" t="e">
        <f ca="1">+MAX(PAA_4[[#This Row],[Comprometido Contrato]],PAA_4[[#This Row],[Comprometido Bolsa]])</f>
        <v>#NAME?</v>
      </c>
      <c r="AC1955" s="55" t="str">
        <f t="shared" ca="1" si="614"/>
        <v/>
      </c>
      <c r="AD1955" s="55" t="e">
        <f ca="1">IF(PAA_4[[#This Row],[ESTADO (formulado)]]="NO CONTRATADO",0,MAX(PAA_4[[#This Row],[Pago por Contrato]],PAA_4[[#This Row],[Pago por bolsa]]))</f>
        <v>#NAME?</v>
      </c>
      <c r="AE1955" s="55" t="str">
        <f t="shared" ca="1" si="610"/>
        <v/>
      </c>
      <c r="AF1955" s="47" t="e">
        <f t="shared" ca="1" si="615"/>
        <v>#NAME?</v>
      </c>
      <c r="AG1955" s="47">
        <f t="shared" si="611"/>
        <v>52010802</v>
      </c>
      <c r="AH1955" s="54">
        <f>IF(Q1955="22",IF(ISNUMBER(SEARCH("econ",PAA_4[[#This Row],[Actividad3]])),"Económico",IF(ISNUMBER(SEARCH("alim",PAA_4[[#This Row],[Actividad3]])),"Alimentación",IF(ISNUMBER(SEARCH("educ",PAA_4[[#This Row],[Actividad3]])),"Educativo","Técnico"))),0)</f>
        <v>0</v>
      </c>
      <c r="AI1955" s="47" t="e" cm="1">
        <f t="array" aca="1" ref="AI1955" ca="1">_xlfn.XLOOKUP(PAA_4[[#This Row],[RCP-RUBRO]],[2]!COMPROMISOS_2024[[#All],[concatenado]],[2]!COMPROMISOS_2024[[#All],[Total pagado]],"",0)</f>
        <v>#NAME?</v>
      </c>
      <c r="AJ1955" s="56">
        <f>IF(PAA_4[[#This Row],[BOLSA]]=0,0,SUMIFS([2]!COMPROMISOS_2024[[#All],[Total pagado]],[2]!COMPROMISOS_2024[[#All],[Bolsa]],PAA_4[[#This Row],[BOLSA]],[2]!COMPROMISOS_2024[[#All],[rubro]],PAA_4[[#This Row],[RCP-RUBRO]]))</f>
        <v>0</v>
      </c>
      <c r="AK1955" s="47" t="e" cm="1">
        <f t="array" aca="1" ref="AK1955" ca="1">_xlfn.XLOOKUP(PAA_4[[#This Row],[RCP-RUBRO]],[2]!COMPROMISOS_2024[[#All],[concatenado]],[2]!COMPROMISOS_2024[[#All],[Total Comprometido]],"",0)</f>
        <v>#NAME?</v>
      </c>
      <c r="AL1955" s="47">
        <f>IF(PAA_4[[#This Row],[BOLSA]]=0,0,SUMIFS([2]!COMPROMISOS_2024[[#All],[Total Comprometido]],[2]!COMPROMISOS_2024[[#All],[Bolsa]],PAA_4[[#This Row],[BOLSA]],[2]!COMPROMISOS_2024[[#All],[concatenado]],PAA_4[[#This Row],[RCP-RUBRO]]))</f>
        <v>0</v>
      </c>
    </row>
    <row r="1956" spans="1:38" s="19" customFormat="1" ht="31.5" customHeight="1">
      <c r="A1956" s="47">
        <v>1188</v>
      </c>
      <c r="B1956" s="47">
        <v>80111600</v>
      </c>
      <c r="C1956" s="47" t="str">
        <f>VLOOKUP(PAA_4[[#This Row],[PROYECTO (formulado)2]],[2]PROYECTOS!$G$1:$L$32,6,0)</f>
        <v>SUBGERENCIA DE ALTOS LOGROS Y DEPORTE ASOCIADO</v>
      </c>
      <c r="D1956" s="47" t="str">
        <f>+IF(PAA_4[[#This Row],[UNIDAD DE CONTRATACION (formulado)]]="Subgerencia Administrativa y Financiera","FUNCIONAMIENTO","INVERSIÓN")</f>
        <v>INVERSIÓN</v>
      </c>
      <c r="E1956" s="48" t="str">
        <f>VLOOKUP(Q1956,[2]PROYECTOS!$G$1:$K$32,5,0)</f>
        <v>Apoyo técnico a atletas y para-atletas que representan en alto rendimiento deportivo al departamento de Antioquia</v>
      </c>
      <c r="F1956" s="48">
        <f>VLOOKUP(E1956,[2]PROYECTOS!$K$1:$M$32,3,0)</f>
        <v>2024003050084</v>
      </c>
      <c r="G1956" s="67" t="s">
        <v>1518</v>
      </c>
      <c r="H1956" s="49" t="str">
        <f>VLOOKUP(Q1956,[2]PROYECTOS!$V$1:$W$32,2,0)</f>
        <v>050079</v>
      </c>
      <c r="I1956" s="78">
        <v>5922137</v>
      </c>
      <c r="J1956" s="51" t="s">
        <v>2177</v>
      </c>
      <c r="K1956" s="47" t="str">
        <f t="shared" ca="1" si="609"/>
        <v>CONTRATADO</v>
      </c>
      <c r="L1956" s="47" t="s">
        <v>78</v>
      </c>
      <c r="M1956" s="51" t="s">
        <v>1297</v>
      </c>
      <c r="N1956" s="52" t="s">
        <v>1519</v>
      </c>
      <c r="O1956" s="51" t="e">
        <f>VLOOKUP(N1956,[2]!RUBROS[#All],3,0)</f>
        <v>#REF!</v>
      </c>
      <c r="P1956" s="53" t="e">
        <f>VLOOKUP(N1956,[2]!RUBROS[#All],2,0)</f>
        <v>#REF!</v>
      </c>
      <c r="Q1956" s="47" t="str">
        <f t="shared" si="612"/>
        <v>84</v>
      </c>
      <c r="R1956" s="47" t="str">
        <f t="shared" si="613"/>
        <v>0-205400</v>
      </c>
      <c r="S1956" s="339">
        <v>69</v>
      </c>
      <c r="T1956" s="63" t="s">
        <v>120</v>
      </c>
      <c r="U1956" s="326" t="e">
        <f ca="1">_xlfn.XLOOKUP(PAA_4[[#This Row],[ITEM]],[2]Contrato!A:A,[2]Contrato!Q:Q,"",0)</f>
        <v>#NAME?</v>
      </c>
      <c r="V1956" s="47" t="s">
        <v>95</v>
      </c>
      <c r="W1956" s="47" t="s">
        <v>203</v>
      </c>
      <c r="X1956" s="47" t="s">
        <v>203</v>
      </c>
      <c r="Y1956" s="55" t="e">
        <f ca="1">_xlfn.XLOOKUP(PAA_4[[#This Row],[ITEM]],[2]Contrato!A:A,[2]Contrato!B:B,"",0)</f>
        <v>#NAME?</v>
      </c>
      <c r="Z1956" s="47" t="e">
        <f ca="1">_xlfn.XLOOKUP(PAA_4[[#This Row],[ITEM]],[2]Contrato!A:A,[2]Contrato!G:G,"",0)</f>
        <v>#NAME?</v>
      </c>
      <c r="AA1956" s="47" t="e">
        <f ca="1">_xlfn.XLOOKUP(PAA_4[[#This Row],[ITEM]],[2]Contrato!A:A,[2]Contrato!T:T,"",0)</f>
        <v>#NAME?</v>
      </c>
      <c r="AB1956" s="55" t="e">
        <f ca="1">+MAX(PAA_4[[#This Row],[Comprometido Contrato]],PAA_4[[#This Row],[Comprometido Bolsa]])</f>
        <v>#NAME?</v>
      </c>
      <c r="AC1956" s="55" t="str">
        <f t="shared" ca="1" si="614"/>
        <v/>
      </c>
      <c r="AD1956" s="55" t="e">
        <f ca="1">IF(PAA_4[[#This Row],[ESTADO (formulado)]]="NO CONTRATADO",0,MAX(PAA_4[[#This Row],[Pago por Contrato]],PAA_4[[#This Row],[Pago por bolsa]]))</f>
        <v>#NAME?</v>
      </c>
      <c r="AE1956" s="55" t="str">
        <f t="shared" ca="1" si="610"/>
        <v/>
      </c>
      <c r="AF1956" s="47" t="e">
        <f t="shared" ca="1" si="615"/>
        <v>#NAME?</v>
      </c>
      <c r="AG1956" s="47">
        <f t="shared" si="611"/>
        <v>52010802</v>
      </c>
      <c r="AH1956" s="54">
        <f>IF(Q1956="22",IF(ISNUMBER(SEARCH("econ",PAA_4[[#This Row],[Actividad3]])),"Económico",IF(ISNUMBER(SEARCH("alim",PAA_4[[#This Row],[Actividad3]])),"Alimentación",IF(ISNUMBER(SEARCH("educ",PAA_4[[#This Row],[Actividad3]])),"Educativo","Técnico"))),0)</f>
        <v>0</v>
      </c>
      <c r="AI1956" s="47" t="e" cm="1">
        <f t="array" aca="1" ref="AI1956" ca="1">_xlfn.XLOOKUP(PAA_4[[#This Row],[RCP-RUBRO]],[2]!COMPROMISOS_2024[[#All],[concatenado]],[2]!COMPROMISOS_2024[[#All],[Total pagado]],"",0)</f>
        <v>#NAME?</v>
      </c>
      <c r="AJ1956" s="56">
        <f>IF(PAA_4[[#This Row],[BOLSA]]=0,0,SUMIFS([2]!COMPROMISOS_2024[[#All],[Total pagado]],[2]!COMPROMISOS_2024[[#All],[Bolsa]],PAA_4[[#This Row],[BOLSA]],[2]!COMPROMISOS_2024[[#All],[rubro]],PAA_4[[#This Row],[RCP-RUBRO]]))</f>
        <v>0</v>
      </c>
      <c r="AK1956" s="47" t="e" cm="1">
        <f t="array" aca="1" ref="AK1956" ca="1">_xlfn.XLOOKUP(PAA_4[[#This Row],[RCP-RUBRO]],[2]!COMPROMISOS_2024[[#All],[concatenado]],[2]!COMPROMISOS_2024[[#All],[Total Comprometido]],"",0)</f>
        <v>#NAME?</v>
      </c>
      <c r="AL1956" s="47">
        <f>IF(PAA_4[[#This Row],[BOLSA]]=0,0,SUMIFS([2]!COMPROMISOS_2024[[#All],[Total Comprometido]],[2]!COMPROMISOS_2024[[#All],[Bolsa]],PAA_4[[#This Row],[BOLSA]],[2]!COMPROMISOS_2024[[#All],[concatenado]],PAA_4[[#This Row],[RCP-RUBRO]]))</f>
        <v>0</v>
      </c>
    </row>
    <row r="1957" spans="1:38" s="19" customFormat="1" ht="31.5" customHeight="1">
      <c r="A1957" s="47">
        <v>1189</v>
      </c>
      <c r="B1957" s="47">
        <v>80111600</v>
      </c>
      <c r="C1957" s="47" t="str">
        <f>VLOOKUP(PAA_4[[#This Row],[PROYECTO (formulado)2]],[2]PROYECTOS!$G$1:$L$32,6,0)</f>
        <v>SUBGERENCIA DE ALTOS LOGROS Y DEPORTE ASOCIADO</v>
      </c>
      <c r="D1957" s="47" t="str">
        <f>+IF(PAA_4[[#This Row],[UNIDAD DE CONTRATACION (formulado)]]="Subgerencia Administrativa y Financiera","FUNCIONAMIENTO","INVERSIÓN")</f>
        <v>INVERSIÓN</v>
      </c>
      <c r="E1957" s="48" t="str">
        <f>VLOOKUP(Q1957,[2]PROYECTOS!$G$1:$K$32,5,0)</f>
        <v>Apoyo técnico a atletas y para-atletas que representan en alto rendimiento deportivo al departamento de Antioquia</v>
      </c>
      <c r="F1957" s="48">
        <f>VLOOKUP(E1957,[2]PROYECTOS!$K$1:$M$32,3,0)</f>
        <v>2024003050084</v>
      </c>
      <c r="G1957" s="67" t="s">
        <v>1518</v>
      </c>
      <c r="H1957" s="49" t="str">
        <f>VLOOKUP(Q1957,[2]PROYECTOS!$V$1:$W$32,2,0)</f>
        <v>050079</v>
      </c>
      <c r="I1957" s="78">
        <v>9090479</v>
      </c>
      <c r="J1957" s="51" t="s">
        <v>2178</v>
      </c>
      <c r="K1957" s="47" t="str">
        <f t="shared" ca="1" si="609"/>
        <v>CONTRATADO</v>
      </c>
      <c r="L1957" s="47" t="s">
        <v>78</v>
      </c>
      <c r="M1957" s="51" t="s">
        <v>1297</v>
      </c>
      <c r="N1957" s="52" t="s">
        <v>1519</v>
      </c>
      <c r="O1957" s="51" t="e">
        <f>VLOOKUP(N1957,[2]!RUBROS[#All],3,0)</f>
        <v>#REF!</v>
      </c>
      <c r="P1957" s="53" t="e">
        <f>VLOOKUP(N1957,[2]!RUBROS[#All],2,0)</f>
        <v>#REF!</v>
      </c>
      <c r="Q1957" s="47" t="str">
        <f t="shared" si="612"/>
        <v>84</v>
      </c>
      <c r="R1957" s="47" t="str">
        <f t="shared" si="613"/>
        <v>0-205400</v>
      </c>
      <c r="S1957" s="339">
        <v>69</v>
      </c>
      <c r="T1957" s="63" t="s">
        <v>120</v>
      </c>
      <c r="U1957" s="326" t="e">
        <f ca="1">_xlfn.XLOOKUP(PAA_4[[#This Row],[ITEM]],[2]Contrato!A:A,[2]Contrato!Q:Q,"",0)</f>
        <v>#NAME?</v>
      </c>
      <c r="V1957" s="47" t="s">
        <v>95</v>
      </c>
      <c r="W1957" s="47" t="s">
        <v>203</v>
      </c>
      <c r="X1957" s="47" t="s">
        <v>203</v>
      </c>
      <c r="Y1957" s="55" t="e">
        <f ca="1">_xlfn.XLOOKUP(PAA_4[[#This Row],[ITEM]],[2]Contrato!A:A,[2]Contrato!B:B,"",0)</f>
        <v>#NAME?</v>
      </c>
      <c r="Z1957" s="47" t="e">
        <f ca="1">_xlfn.XLOOKUP(PAA_4[[#This Row],[ITEM]],[2]Contrato!A:A,[2]Contrato!G:G,"",0)</f>
        <v>#NAME?</v>
      </c>
      <c r="AA1957" s="47" t="e">
        <f ca="1">_xlfn.XLOOKUP(PAA_4[[#This Row],[ITEM]],[2]Contrato!A:A,[2]Contrato!T:T,"",0)</f>
        <v>#NAME?</v>
      </c>
      <c r="AB1957" s="55" t="e">
        <f ca="1">+MAX(PAA_4[[#This Row],[Comprometido Contrato]],PAA_4[[#This Row],[Comprometido Bolsa]])</f>
        <v>#NAME?</v>
      </c>
      <c r="AC1957" s="55" t="str">
        <f t="shared" ca="1" si="614"/>
        <v/>
      </c>
      <c r="AD1957" s="55" t="e">
        <f ca="1">IF(PAA_4[[#This Row],[ESTADO (formulado)]]="NO CONTRATADO",0,MAX(PAA_4[[#This Row],[Pago por Contrato]],PAA_4[[#This Row],[Pago por bolsa]]))</f>
        <v>#NAME?</v>
      </c>
      <c r="AE1957" s="55" t="str">
        <f t="shared" ca="1" si="610"/>
        <v/>
      </c>
      <c r="AF1957" s="47" t="e">
        <f t="shared" ca="1" si="615"/>
        <v>#NAME?</v>
      </c>
      <c r="AG1957" s="47">
        <f t="shared" si="611"/>
        <v>52010802</v>
      </c>
      <c r="AH1957" s="54">
        <f>IF(Q1957="22",IF(ISNUMBER(SEARCH("econ",PAA_4[[#This Row],[Actividad3]])),"Económico",IF(ISNUMBER(SEARCH("alim",PAA_4[[#This Row],[Actividad3]])),"Alimentación",IF(ISNUMBER(SEARCH("educ",PAA_4[[#This Row],[Actividad3]])),"Educativo","Técnico"))),0)</f>
        <v>0</v>
      </c>
      <c r="AI1957" s="47" t="e" cm="1">
        <f t="array" aca="1" ref="AI1957" ca="1">_xlfn.XLOOKUP(PAA_4[[#This Row],[RCP-RUBRO]],[2]!COMPROMISOS_2024[[#All],[concatenado]],[2]!COMPROMISOS_2024[[#All],[Total pagado]],"",0)</f>
        <v>#NAME?</v>
      </c>
      <c r="AJ1957" s="56">
        <f>IF(PAA_4[[#This Row],[BOLSA]]=0,0,SUMIFS([2]!COMPROMISOS_2024[[#All],[Total pagado]],[2]!COMPROMISOS_2024[[#All],[Bolsa]],PAA_4[[#This Row],[BOLSA]],[2]!COMPROMISOS_2024[[#All],[rubro]],PAA_4[[#This Row],[RCP-RUBRO]]))</f>
        <v>0</v>
      </c>
      <c r="AK1957" s="47" t="e" cm="1">
        <f t="array" aca="1" ref="AK1957" ca="1">_xlfn.XLOOKUP(PAA_4[[#This Row],[RCP-RUBRO]],[2]!COMPROMISOS_2024[[#All],[concatenado]],[2]!COMPROMISOS_2024[[#All],[Total Comprometido]],"",0)</f>
        <v>#NAME?</v>
      </c>
      <c r="AL1957" s="47">
        <f>IF(PAA_4[[#This Row],[BOLSA]]=0,0,SUMIFS([2]!COMPROMISOS_2024[[#All],[Total Comprometido]],[2]!COMPROMISOS_2024[[#All],[Bolsa]],PAA_4[[#This Row],[BOLSA]],[2]!COMPROMISOS_2024[[#All],[concatenado]],PAA_4[[#This Row],[RCP-RUBRO]]))</f>
        <v>0</v>
      </c>
    </row>
    <row r="1958" spans="1:38" s="19" customFormat="1" ht="31.5" customHeight="1">
      <c r="A1958" s="47">
        <v>1190</v>
      </c>
      <c r="B1958" s="47">
        <v>80111600</v>
      </c>
      <c r="C1958" s="47" t="str">
        <f>VLOOKUP(PAA_4[[#This Row],[PROYECTO (formulado)2]],[2]PROYECTOS!$G$1:$L$32,6,0)</f>
        <v>SUBGERENCIA DE ALTOS LOGROS Y DEPORTE ASOCIADO</v>
      </c>
      <c r="D1958" s="47" t="str">
        <f>+IF(PAA_4[[#This Row],[UNIDAD DE CONTRATACION (formulado)]]="Subgerencia Administrativa y Financiera","FUNCIONAMIENTO","INVERSIÓN")</f>
        <v>INVERSIÓN</v>
      </c>
      <c r="E1958" s="48" t="str">
        <f>VLOOKUP(Q1958,[2]PROYECTOS!$G$1:$K$32,5,0)</f>
        <v>Apoyo técnico a atletas y para-atletas que representan en alto rendimiento deportivo al departamento de Antioquia</v>
      </c>
      <c r="F1958" s="48">
        <f>VLOOKUP(E1958,[2]PROYECTOS!$K$1:$M$32,3,0)</f>
        <v>2024003050084</v>
      </c>
      <c r="G1958" s="67" t="s">
        <v>1518</v>
      </c>
      <c r="H1958" s="49" t="str">
        <f>VLOOKUP(Q1958,[2]PROYECTOS!$V$1:$W$32,2,0)</f>
        <v>050079</v>
      </c>
      <c r="I1958" s="78">
        <v>11290553</v>
      </c>
      <c r="J1958" s="51" t="s">
        <v>2179</v>
      </c>
      <c r="K1958" s="47" t="str">
        <f t="shared" ca="1" si="609"/>
        <v>CONTRATADO</v>
      </c>
      <c r="L1958" s="47" t="s">
        <v>78</v>
      </c>
      <c r="M1958" s="51" t="s">
        <v>1297</v>
      </c>
      <c r="N1958" s="52" t="s">
        <v>1519</v>
      </c>
      <c r="O1958" s="51" t="e">
        <f>VLOOKUP(N1958,[2]!RUBROS[#All],3,0)</f>
        <v>#REF!</v>
      </c>
      <c r="P1958" s="53" t="e">
        <f>VLOOKUP(N1958,[2]!RUBROS[#All],2,0)</f>
        <v>#REF!</v>
      </c>
      <c r="Q1958" s="47" t="str">
        <f t="shared" si="612"/>
        <v>84</v>
      </c>
      <c r="R1958" s="47" t="str">
        <f t="shared" si="613"/>
        <v>0-205400</v>
      </c>
      <c r="S1958" s="339">
        <v>69</v>
      </c>
      <c r="T1958" s="63" t="s">
        <v>120</v>
      </c>
      <c r="U1958" s="326" t="e">
        <f ca="1">_xlfn.XLOOKUP(PAA_4[[#This Row],[ITEM]],[2]Contrato!A:A,[2]Contrato!Q:Q,"",0)</f>
        <v>#NAME?</v>
      </c>
      <c r="V1958" s="47" t="s">
        <v>95</v>
      </c>
      <c r="W1958" s="47" t="s">
        <v>203</v>
      </c>
      <c r="X1958" s="47" t="s">
        <v>203</v>
      </c>
      <c r="Y1958" s="55" t="e">
        <f ca="1">_xlfn.XLOOKUP(PAA_4[[#This Row],[ITEM]],[2]Contrato!A:A,[2]Contrato!B:B,"",0)</f>
        <v>#NAME?</v>
      </c>
      <c r="Z1958" s="47" t="e">
        <f ca="1">_xlfn.XLOOKUP(PAA_4[[#This Row],[ITEM]],[2]Contrato!A:A,[2]Contrato!G:G,"",0)</f>
        <v>#NAME?</v>
      </c>
      <c r="AA1958" s="47" t="e">
        <f ca="1">_xlfn.XLOOKUP(PAA_4[[#This Row],[ITEM]],[2]Contrato!A:A,[2]Contrato!T:T,"",0)</f>
        <v>#NAME?</v>
      </c>
      <c r="AB1958" s="55" t="e">
        <f ca="1">+MAX(PAA_4[[#This Row],[Comprometido Contrato]],PAA_4[[#This Row],[Comprometido Bolsa]])</f>
        <v>#NAME?</v>
      </c>
      <c r="AC1958" s="55" t="str">
        <f t="shared" ca="1" si="614"/>
        <v/>
      </c>
      <c r="AD1958" s="55" t="e">
        <f ca="1">IF(PAA_4[[#This Row],[ESTADO (formulado)]]="NO CONTRATADO",0,MAX(PAA_4[[#This Row],[Pago por Contrato]],PAA_4[[#This Row],[Pago por bolsa]]))</f>
        <v>#NAME?</v>
      </c>
      <c r="AE1958" s="55" t="str">
        <f t="shared" ca="1" si="610"/>
        <v/>
      </c>
      <c r="AF1958" s="47" t="e">
        <f t="shared" ca="1" si="615"/>
        <v>#NAME?</v>
      </c>
      <c r="AG1958" s="47">
        <f t="shared" si="611"/>
        <v>52010802</v>
      </c>
      <c r="AH1958" s="54">
        <f>IF(Q1958="22",IF(ISNUMBER(SEARCH("econ",PAA_4[[#This Row],[Actividad3]])),"Económico",IF(ISNUMBER(SEARCH("alim",PAA_4[[#This Row],[Actividad3]])),"Alimentación",IF(ISNUMBER(SEARCH("educ",PAA_4[[#This Row],[Actividad3]])),"Educativo","Técnico"))),0)</f>
        <v>0</v>
      </c>
      <c r="AI1958" s="47" t="e" cm="1">
        <f t="array" aca="1" ref="AI1958" ca="1">_xlfn.XLOOKUP(PAA_4[[#This Row],[RCP-RUBRO]],[2]!COMPROMISOS_2024[[#All],[concatenado]],[2]!COMPROMISOS_2024[[#All],[Total pagado]],"",0)</f>
        <v>#NAME?</v>
      </c>
      <c r="AJ1958" s="56">
        <f>IF(PAA_4[[#This Row],[BOLSA]]=0,0,SUMIFS([2]!COMPROMISOS_2024[[#All],[Total pagado]],[2]!COMPROMISOS_2024[[#All],[Bolsa]],PAA_4[[#This Row],[BOLSA]],[2]!COMPROMISOS_2024[[#All],[rubro]],PAA_4[[#This Row],[RCP-RUBRO]]))</f>
        <v>0</v>
      </c>
      <c r="AK1958" s="47" t="e" cm="1">
        <f t="array" aca="1" ref="AK1958" ca="1">_xlfn.XLOOKUP(PAA_4[[#This Row],[RCP-RUBRO]],[2]!COMPROMISOS_2024[[#All],[concatenado]],[2]!COMPROMISOS_2024[[#All],[Total Comprometido]],"",0)</f>
        <v>#NAME?</v>
      </c>
      <c r="AL1958" s="47">
        <f>IF(PAA_4[[#This Row],[BOLSA]]=0,0,SUMIFS([2]!COMPROMISOS_2024[[#All],[Total Comprometido]],[2]!COMPROMISOS_2024[[#All],[Bolsa]],PAA_4[[#This Row],[BOLSA]],[2]!COMPROMISOS_2024[[#All],[concatenado]],PAA_4[[#This Row],[RCP-RUBRO]]))</f>
        <v>0</v>
      </c>
    </row>
    <row r="1959" spans="1:38" s="19" customFormat="1" ht="31.5" customHeight="1">
      <c r="A1959" s="47">
        <v>1191</v>
      </c>
      <c r="B1959" s="47">
        <v>80111600</v>
      </c>
      <c r="C1959" s="47" t="str">
        <f>VLOOKUP(PAA_4[[#This Row],[PROYECTO (formulado)2]],[2]PROYECTOS!$G$1:$L$32,6,0)</f>
        <v>SUBGERENCIA DE ALTOS LOGROS Y DEPORTE ASOCIADO</v>
      </c>
      <c r="D1959" s="47" t="str">
        <f>+IF(PAA_4[[#This Row],[UNIDAD DE CONTRATACION (formulado)]]="Subgerencia Administrativa y Financiera","FUNCIONAMIENTO","INVERSIÓN")</f>
        <v>INVERSIÓN</v>
      </c>
      <c r="E1959" s="48" t="str">
        <f>VLOOKUP(Q1959,[2]PROYECTOS!$G$1:$K$32,5,0)</f>
        <v>Apoyo técnico a atletas y para-atletas que representan en alto rendimiento deportivo al departamento de Antioquia</v>
      </c>
      <c r="F1959" s="48">
        <f>VLOOKUP(E1959,[2]PROYECTOS!$K$1:$M$32,3,0)</f>
        <v>2024003050084</v>
      </c>
      <c r="G1959" s="67" t="s">
        <v>1518</v>
      </c>
      <c r="H1959" s="49" t="str">
        <f>VLOOKUP(Q1959,[2]PROYECTOS!$V$1:$W$32,2,0)</f>
        <v>050079</v>
      </c>
      <c r="I1959" s="78">
        <v>5922137</v>
      </c>
      <c r="J1959" s="51" t="s">
        <v>2180</v>
      </c>
      <c r="K1959" s="47" t="str">
        <f t="shared" ca="1" si="609"/>
        <v>CONTRATADO</v>
      </c>
      <c r="L1959" s="47" t="s">
        <v>78</v>
      </c>
      <c r="M1959" s="51" t="s">
        <v>1297</v>
      </c>
      <c r="N1959" s="52" t="s">
        <v>1519</v>
      </c>
      <c r="O1959" s="51" t="e">
        <f>VLOOKUP(N1959,[2]!RUBROS[#All],3,0)</f>
        <v>#REF!</v>
      </c>
      <c r="P1959" s="53" t="e">
        <f>VLOOKUP(N1959,[2]!RUBROS[#All],2,0)</f>
        <v>#REF!</v>
      </c>
      <c r="Q1959" s="47" t="str">
        <f t="shared" si="612"/>
        <v>84</v>
      </c>
      <c r="R1959" s="47" t="str">
        <f t="shared" si="613"/>
        <v>0-205400</v>
      </c>
      <c r="S1959" s="339">
        <v>69</v>
      </c>
      <c r="T1959" s="63" t="s">
        <v>120</v>
      </c>
      <c r="U1959" s="326" t="e">
        <f ca="1">_xlfn.XLOOKUP(PAA_4[[#This Row],[ITEM]],[2]Contrato!A:A,[2]Contrato!Q:Q,"",0)</f>
        <v>#NAME?</v>
      </c>
      <c r="V1959" s="47" t="s">
        <v>95</v>
      </c>
      <c r="W1959" s="47" t="s">
        <v>203</v>
      </c>
      <c r="X1959" s="47" t="s">
        <v>203</v>
      </c>
      <c r="Y1959" s="55" t="e">
        <f ca="1">_xlfn.XLOOKUP(PAA_4[[#This Row],[ITEM]],[2]Contrato!A:A,[2]Contrato!B:B,"",0)</f>
        <v>#NAME?</v>
      </c>
      <c r="Z1959" s="47" t="e">
        <f ca="1">_xlfn.XLOOKUP(PAA_4[[#This Row],[ITEM]],[2]Contrato!A:A,[2]Contrato!G:G,"",0)</f>
        <v>#NAME?</v>
      </c>
      <c r="AA1959" s="47" t="e">
        <f ca="1">_xlfn.XLOOKUP(PAA_4[[#This Row],[ITEM]],[2]Contrato!A:A,[2]Contrato!T:T,"",0)</f>
        <v>#NAME?</v>
      </c>
      <c r="AB1959" s="55" t="e">
        <f ca="1">+MAX(PAA_4[[#This Row],[Comprometido Contrato]],PAA_4[[#This Row],[Comprometido Bolsa]])</f>
        <v>#NAME?</v>
      </c>
      <c r="AC1959" s="55" t="str">
        <f t="shared" ca="1" si="614"/>
        <v/>
      </c>
      <c r="AD1959" s="55" t="e">
        <f ca="1">IF(PAA_4[[#This Row],[ESTADO (formulado)]]="NO CONTRATADO",0,MAX(PAA_4[[#This Row],[Pago por Contrato]],PAA_4[[#This Row],[Pago por bolsa]]))</f>
        <v>#NAME?</v>
      </c>
      <c r="AE1959" s="55" t="str">
        <f t="shared" ca="1" si="610"/>
        <v/>
      </c>
      <c r="AF1959" s="47" t="e">
        <f t="shared" ca="1" si="615"/>
        <v>#NAME?</v>
      </c>
      <c r="AG1959" s="47">
        <f t="shared" si="611"/>
        <v>52010802</v>
      </c>
      <c r="AH1959" s="54">
        <f>IF(Q1959="22",IF(ISNUMBER(SEARCH("econ",PAA_4[[#This Row],[Actividad3]])),"Económico",IF(ISNUMBER(SEARCH("alim",PAA_4[[#This Row],[Actividad3]])),"Alimentación",IF(ISNUMBER(SEARCH("educ",PAA_4[[#This Row],[Actividad3]])),"Educativo","Técnico"))),0)</f>
        <v>0</v>
      </c>
      <c r="AI1959" s="47" t="e" cm="1">
        <f t="array" aca="1" ref="AI1959" ca="1">_xlfn.XLOOKUP(PAA_4[[#This Row],[RCP-RUBRO]],[2]!COMPROMISOS_2024[[#All],[concatenado]],[2]!COMPROMISOS_2024[[#All],[Total pagado]],"",0)</f>
        <v>#NAME?</v>
      </c>
      <c r="AJ1959" s="56">
        <f>IF(PAA_4[[#This Row],[BOLSA]]=0,0,SUMIFS([2]!COMPROMISOS_2024[[#All],[Total pagado]],[2]!COMPROMISOS_2024[[#All],[Bolsa]],PAA_4[[#This Row],[BOLSA]],[2]!COMPROMISOS_2024[[#All],[rubro]],PAA_4[[#This Row],[RCP-RUBRO]]))</f>
        <v>0</v>
      </c>
      <c r="AK1959" s="47" t="e" cm="1">
        <f t="array" aca="1" ref="AK1959" ca="1">_xlfn.XLOOKUP(PAA_4[[#This Row],[RCP-RUBRO]],[2]!COMPROMISOS_2024[[#All],[concatenado]],[2]!COMPROMISOS_2024[[#All],[Total Comprometido]],"",0)</f>
        <v>#NAME?</v>
      </c>
      <c r="AL1959" s="47">
        <f>IF(PAA_4[[#This Row],[BOLSA]]=0,0,SUMIFS([2]!COMPROMISOS_2024[[#All],[Total Comprometido]],[2]!COMPROMISOS_2024[[#All],[Bolsa]],PAA_4[[#This Row],[BOLSA]],[2]!COMPROMISOS_2024[[#All],[concatenado]],PAA_4[[#This Row],[RCP-RUBRO]]))</f>
        <v>0</v>
      </c>
    </row>
    <row r="1960" spans="1:38" s="19" customFormat="1" ht="31.5" customHeight="1">
      <c r="A1960" s="47">
        <v>1192</v>
      </c>
      <c r="B1960" s="47">
        <v>80111600</v>
      </c>
      <c r="C1960" s="47" t="str">
        <f>VLOOKUP(PAA_4[[#This Row],[PROYECTO (formulado)2]],[2]PROYECTOS!$G$1:$L$32,6,0)</f>
        <v>SUBGERENCIA DE ALTOS LOGROS Y DEPORTE ASOCIADO</v>
      </c>
      <c r="D1960" s="47" t="str">
        <f>+IF(PAA_4[[#This Row],[UNIDAD DE CONTRATACION (formulado)]]="Subgerencia Administrativa y Financiera","FUNCIONAMIENTO","INVERSIÓN")</f>
        <v>INVERSIÓN</v>
      </c>
      <c r="E1960" s="48" t="str">
        <f>VLOOKUP(Q1960,[2]PROYECTOS!$G$1:$K$32,5,0)</f>
        <v>Apoyo técnico a atletas y para-atletas que representan en alto rendimiento deportivo al departamento de Antioquia</v>
      </c>
      <c r="F1960" s="48">
        <f>VLOOKUP(E1960,[2]PROYECTOS!$K$1:$M$32,3,0)</f>
        <v>2024003050084</v>
      </c>
      <c r="G1960" s="67" t="s">
        <v>1518</v>
      </c>
      <c r="H1960" s="49" t="str">
        <f>VLOOKUP(Q1960,[2]PROYECTOS!$V$1:$W$32,2,0)</f>
        <v>050079</v>
      </c>
      <c r="I1960" s="78">
        <v>13641643</v>
      </c>
      <c r="J1960" s="51" t="s">
        <v>2181</v>
      </c>
      <c r="K1960" s="47" t="str">
        <f t="shared" ca="1" si="609"/>
        <v>CONTRATADO</v>
      </c>
      <c r="L1960" s="47" t="s">
        <v>94</v>
      </c>
      <c r="M1960" s="51" t="s">
        <v>1297</v>
      </c>
      <c r="N1960" s="52" t="s">
        <v>1519</v>
      </c>
      <c r="O1960" s="51" t="e">
        <f>VLOOKUP(N1960,[2]!RUBROS[#All],3,0)</f>
        <v>#REF!</v>
      </c>
      <c r="P1960" s="53" t="e">
        <f>VLOOKUP(N1960,[2]!RUBROS[#All],2,0)</f>
        <v>#REF!</v>
      </c>
      <c r="Q1960" s="47" t="str">
        <f t="shared" si="612"/>
        <v>84</v>
      </c>
      <c r="R1960" s="47" t="str">
        <f t="shared" si="613"/>
        <v>0-205400</v>
      </c>
      <c r="S1960" s="339">
        <v>69</v>
      </c>
      <c r="T1960" s="63" t="s">
        <v>120</v>
      </c>
      <c r="U1960" s="326" t="e">
        <f ca="1">_xlfn.XLOOKUP(PAA_4[[#This Row],[ITEM]],[2]Contrato!A:A,[2]Contrato!Q:Q,"",0)</f>
        <v>#NAME?</v>
      </c>
      <c r="V1960" s="47" t="s">
        <v>95</v>
      </c>
      <c r="W1960" s="47" t="s">
        <v>203</v>
      </c>
      <c r="X1960" s="47" t="s">
        <v>203</v>
      </c>
      <c r="Y1960" s="55" t="e">
        <f ca="1">_xlfn.XLOOKUP(PAA_4[[#This Row],[ITEM]],[2]Contrato!A:A,[2]Contrato!B:B,"",0)</f>
        <v>#NAME?</v>
      </c>
      <c r="Z1960" s="47" t="e">
        <f ca="1">_xlfn.XLOOKUP(PAA_4[[#This Row],[ITEM]],[2]Contrato!A:A,[2]Contrato!G:G,"",0)</f>
        <v>#NAME?</v>
      </c>
      <c r="AA1960" s="47" t="e">
        <f ca="1">_xlfn.XLOOKUP(PAA_4[[#This Row],[ITEM]],[2]Contrato!A:A,[2]Contrato!T:T,"",0)</f>
        <v>#NAME?</v>
      </c>
      <c r="AB1960" s="55" t="e">
        <f ca="1">+MAX(PAA_4[[#This Row],[Comprometido Contrato]],PAA_4[[#This Row],[Comprometido Bolsa]])</f>
        <v>#NAME?</v>
      </c>
      <c r="AC1960" s="55" t="str">
        <f t="shared" ca="1" si="614"/>
        <v/>
      </c>
      <c r="AD1960" s="55" t="e">
        <f ca="1">IF(PAA_4[[#This Row],[ESTADO (formulado)]]="NO CONTRATADO",0,MAX(PAA_4[[#This Row],[Pago por Contrato]],PAA_4[[#This Row],[Pago por bolsa]]))</f>
        <v>#NAME?</v>
      </c>
      <c r="AE1960" s="55" t="str">
        <f t="shared" ca="1" si="610"/>
        <v/>
      </c>
      <c r="AF1960" s="47" t="e">
        <f t="shared" ca="1" si="615"/>
        <v>#NAME?</v>
      </c>
      <c r="AG1960" s="47">
        <f t="shared" si="611"/>
        <v>52010802</v>
      </c>
      <c r="AH1960" s="54">
        <f>IF(Q1960="22",IF(ISNUMBER(SEARCH("econ",PAA_4[[#This Row],[Actividad3]])),"Económico",IF(ISNUMBER(SEARCH("alim",PAA_4[[#This Row],[Actividad3]])),"Alimentación",IF(ISNUMBER(SEARCH("educ",PAA_4[[#This Row],[Actividad3]])),"Educativo","Técnico"))),0)</f>
        <v>0</v>
      </c>
      <c r="AI1960" s="47" t="e" cm="1">
        <f t="array" aca="1" ref="AI1960" ca="1">_xlfn.XLOOKUP(PAA_4[[#This Row],[RCP-RUBRO]],[2]!COMPROMISOS_2024[[#All],[concatenado]],[2]!COMPROMISOS_2024[[#All],[Total pagado]],"",0)</f>
        <v>#NAME?</v>
      </c>
      <c r="AJ1960" s="56">
        <f>IF(PAA_4[[#This Row],[BOLSA]]=0,0,SUMIFS([2]!COMPROMISOS_2024[[#All],[Total pagado]],[2]!COMPROMISOS_2024[[#All],[Bolsa]],PAA_4[[#This Row],[BOLSA]],[2]!COMPROMISOS_2024[[#All],[rubro]],PAA_4[[#This Row],[RCP-RUBRO]]))</f>
        <v>0</v>
      </c>
      <c r="AK1960" s="47" t="e" cm="1">
        <f t="array" aca="1" ref="AK1960" ca="1">_xlfn.XLOOKUP(PAA_4[[#This Row],[RCP-RUBRO]],[2]!COMPROMISOS_2024[[#All],[concatenado]],[2]!COMPROMISOS_2024[[#All],[Total Comprometido]],"",0)</f>
        <v>#NAME?</v>
      </c>
      <c r="AL1960" s="47">
        <f>IF(PAA_4[[#This Row],[BOLSA]]=0,0,SUMIFS([2]!COMPROMISOS_2024[[#All],[Total Comprometido]],[2]!COMPROMISOS_2024[[#All],[Bolsa]],PAA_4[[#This Row],[BOLSA]],[2]!COMPROMISOS_2024[[#All],[concatenado]],PAA_4[[#This Row],[RCP-RUBRO]]))</f>
        <v>0</v>
      </c>
    </row>
    <row r="1961" spans="1:38" s="19" customFormat="1" ht="31.5" customHeight="1">
      <c r="A1961" s="47">
        <v>1193</v>
      </c>
      <c r="B1961" s="47">
        <v>80111600</v>
      </c>
      <c r="C1961" s="47" t="str">
        <f>VLOOKUP(PAA_4[[#This Row],[PROYECTO (formulado)2]],[2]PROYECTOS!$G$1:$L$32,6,0)</f>
        <v>SUBGERENCIA DE ALTOS LOGROS Y DEPORTE ASOCIADO</v>
      </c>
      <c r="D1961" s="47" t="str">
        <f>+IF(PAA_4[[#This Row],[UNIDAD DE CONTRATACION (formulado)]]="Subgerencia Administrativa y Financiera","FUNCIONAMIENTO","INVERSIÓN")</f>
        <v>INVERSIÓN</v>
      </c>
      <c r="E1961" s="48" t="str">
        <f>VLOOKUP(Q1961,[2]PROYECTOS!$G$1:$K$32,5,0)</f>
        <v>Apoyo técnico a atletas y para-atletas que representan en alto rendimiento deportivo al departamento de Antioquia</v>
      </c>
      <c r="F1961" s="48">
        <f>VLOOKUP(E1961,[2]PROYECTOS!$K$1:$M$32,3,0)</f>
        <v>2024003050084</v>
      </c>
      <c r="G1961" s="67" t="s">
        <v>1518</v>
      </c>
      <c r="H1961" s="49" t="str">
        <f>VLOOKUP(Q1961,[2]PROYECTOS!$V$1:$W$32,2,0)</f>
        <v>050079</v>
      </c>
      <c r="I1961" s="78">
        <v>13641643</v>
      </c>
      <c r="J1961" s="51" t="s">
        <v>1991</v>
      </c>
      <c r="K1961" s="47" t="str">
        <f t="shared" ca="1" si="609"/>
        <v>CONTRATADO</v>
      </c>
      <c r="L1961" s="47" t="s">
        <v>94</v>
      </c>
      <c r="M1961" s="51" t="s">
        <v>1297</v>
      </c>
      <c r="N1961" s="52" t="s">
        <v>1519</v>
      </c>
      <c r="O1961" s="51" t="e">
        <f>VLOOKUP(N1961,[2]!RUBROS[#All],3,0)</f>
        <v>#REF!</v>
      </c>
      <c r="P1961" s="53" t="e">
        <f>VLOOKUP(N1961,[2]!RUBROS[#All],2,0)</f>
        <v>#REF!</v>
      </c>
      <c r="Q1961" s="47" t="str">
        <f t="shared" si="612"/>
        <v>84</v>
      </c>
      <c r="R1961" s="47" t="str">
        <f t="shared" si="613"/>
        <v>0-205400</v>
      </c>
      <c r="S1961" s="339">
        <v>69</v>
      </c>
      <c r="T1961" s="63" t="s">
        <v>120</v>
      </c>
      <c r="U1961" s="326" t="e">
        <f ca="1">_xlfn.XLOOKUP(PAA_4[[#This Row],[ITEM]],[2]Contrato!A:A,[2]Contrato!Q:Q,"",0)</f>
        <v>#NAME?</v>
      </c>
      <c r="V1961" s="47" t="s">
        <v>95</v>
      </c>
      <c r="W1961" s="47" t="s">
        <v>203</v>
      </c>
      <c r="X1961" s="47" t="s">
        <v>203</v>
      </c>
      <c r="Y1961" s="55" t="e">
        <f ca="1">_xlfn.XLOOKUP(PAA_4[[#This Row],[ITEM]],[2]Contrato!A:A,[2]Contrato!B:B,"",0)</f>
        <v>#NAME?</v>
      </c>
      <c r="Z1961" s="47" t="e">
        <f ca="1">_xlfn.XLOOKUP(PAA_4[[#This Row],[ITEM]],[2]Contrato!A:A,[2]Contrato!G:G,"",0)</f>
        <v>#NAME?</v>
      </c>
      <c r="AA1961" s="47" t="e">
        <f ca="1">_xlfn.XLOOKUP(PAA_4[[#This Row],[ITEM]],[2]Contrato!A:A,[2]Contrato!T:T,"",0)</f>
        <v>#NAME?</v>
      </c>
      <c r="AB1961" s="55" t="e">
        <f ca="1">+MAX(PAA_4[[#This Row],[Comprometido Contrato]],PAA_4[[#This Row],[Comprometido Bolsa]])</f>
        <v>#NAME?</v>
      </c>
      <c r="AC1961" s="55" t="str">
        <f t="shared" ca="1" si="614"/>
        <v/>
      </c>
      <c r="AD1961" s="55" t="e">
        <f ca="1">IF(PAA_4[[#This Row],[ESTADO (formulado)]]="NO CONTRATADO",0,MAX(PAA_4[[#This Row],[Pago por Contrato]],PAA_4[[#This Row],[Pago por bolsa]]))</f>
        <v>#NAME?</v>
      </c>
      <c r="AE1961" s="55" t="str">
        <f t="shared" ca="1" si="610"/>
        <v/>
      </c>
      <c r="AF1961" s="47" t="e">
        <f t="shared" ca="1" si="615"/>
        <v>#NAME?</v>
      </c>
      <c r="AG1961" s="47">
        <f t="shared" si="611"/>
        <v>52010802</v>
      </c>
      <c r="AH1961" s="54">
        <f>IF(Q1961="22",IF(ISNUMBER(SEARCH("econ",PAA_4[[#This Row],[Actividad3]])),"Económico",IF(ISNUMBER(SEARCH("alim",PAA_4[[#This Row],[Actividad3]])),"Alimentación",IF(ISNUMBER(SEARCH("educ",PAA_4[[#This Row],[Actividad3]])),"Educativo","Técnico"))),0)</f>
        <v>0</v>
      </c>
      <c r="AI1961" s="47" t="e" cm="1">
        <f t="array" aca="1" ref="AI1961" ca="1">_xlfn.XLOOKUP(PAA_4[[#This Row],[RCP-RUBRO]],[2]!COMPROMISOS_2024[[#All],[concatenado]],[2]!COMPROMISOS_2024[[#All],[Total pagado]],"",0)</f>
        <v>#NAME?</v>
      </c>
      <c r="AJ1961" s="56">
        <f>IF(PAA_4[[#This Row],[BOLSA]]=0,0,SUMIFS([2]!COMPROMISOS_2024[[#All],[Total pagado]],[2]!COMPROMISOS_2024[[#All],[Bolsa]],PAA_4[[#This Row],[BOLSA]],[2]!COMPROMISOS_2024[[#All],[rubro]],PAA_4[[#This Row],[RCP-RUBRO]]))</f>
        <v>0</v>
      </c>
      <c r="AK1961" s="47" t="e" cm="1">
        <f t="array" aca="1" ref="AK1961" ca="1">_xlfn.XLOOKUP(PAA_4[[#This Row],[RCP-RUBRO]],[2]!COMPROMISOS_2024[[#All],[concatenado]],[2]!COMPROMISOS_2024[[#All],[Total Comprometido]],"",0)</f>
        <v>#NAME?</v>
      </c>
      <c r="AL1961" s="47">
        <f>IF(PAA_4[[#This Row],[BOLSA]]=0,0,SUMIFS([2]!COMPROMISOS_2024[[#All],[Total Comprometido]],[2]!COMPROMISOS_2024[[#All],[Bolsa]],PAA_4[[#This Row],[BOLSA]],[2]!COMPROMISOS_2024[[#All],[concatenado]],PAA_4[[#This Row],[RCP-RUBRO]]))</f>
        <v>0</v>
      </c>
    </row>
    <row r="1962" spans="1:38" s="19" customFormat="1" ht="31.5" customHeight="1">
      <c r="A1962" s="47" t="s">
        <v>82</v>
      </c>
      <c r="B1962" s="47" t="s">
        <v>42</v>
      </c>
      <c r="C1962" s="47" t="str">
        <f>VLOOKUP(PAA_4[[#This Row],[PROYECTO (formulado)2]],[2]PROYECTOS!$G$1:$L$32,6,0)</f>
        <v>SUBGERENCIA DE ALTOS LOGROS Y DEPORTE ASOCIADO</v>
      </c>
      <c r="D1962" s="47" t="str">
        <f>+IF(PAA_4[[#This Row],[UNIDAD DE CONTRATACION (formulado)]]="Subgerencia Administrativa y Financiera","FUNCIONAMIENTO","INVERSIÓN")</f>
        <v>INVERSIÓN</v>
      </c>
      <c r="E1962" s="48" t="str">
        <f>VLOOKUP(Q1962,[2]PROYECTOS!$G$1:$K$32,5,0)</f>
        <v>Apoyo técnico a atletas y para-atletas que representan en alto rendimiento deportivo al departamento de Antioquia</v>
      </c>
      <c r="F1962" s="48">
        <f>VLOOKUP(E1962,[2]PROYECTOS!$K$1:$M$32,3,0)</f>
        <v>2024003050084</v>
      </c>
      <c r="G1962" s="67" t="s">
        <v>1518</v>
      </c>
      <c r="H1962" s="49" t="str">
        <f>VLOOKUP(Q1962,[2]PROYECTOS!$V$1:$W$32,2,0)</f>
        <v>050079</v>
      </c>
      <c r="I1962" s="78">
        <v>0</v>
      </c>
      <c r="J1962" s="51" t="s">
        <v>1778</v>
      </c>
      <c r="K1962" s="47" t="str">
        <f t="shared" ca="1" si="609"/>
        <v>CONTRATADO</v>
      </c>
      <c r="L1962" s="47" t="s">
        <v>42</v>
      </c>
      <c r="M1962" s="51" t="s">
        <v>42</v>
      </c>
      <c r="N1962" s="52" t="s">
        <v>1519</v>
      </c>
      <c r="O1962" s="51" t="e">
        <f>VLOOKUP(N1962,[2]!RUBROS[#All],3,0)</f>
        <v>#REF!</v>
      </c>
      <c r="P1962" s="53" t="e">
        <f>VLOOKUP(N1962,[2]!RUBROS[#All],2,0)</f>
        <v>#REF!</v>
      </c>
      <c r="Q1962" s="47" t="str">
        <f t="shared" si="612"/>
        <v>84</v>
      </c>
      <c r="R1962" s="47" t="str">
        <f t="shared" si="613"/>
        <v>0-205400</v>
      </c>
      <c r="S1962" s="339" t="s">
        <v>42</v>
      </c>
      <c r="T1962" s="63" t="s">
        <v>42</v>
      </c>
      <c r="U1962" s="326" t="e">
        <f ca="1">_xlfn.XLOOKUP(PAA_4[[#This Row],[ITEM]],[2]Contrato!A:A,[2]Contrato!Q:Q,"",0)</f>
        <v>#NAME?</v>
      </c>
      <c r="V1962" s="47" t="s">
        <v>95</v>
      </c>
      <c r="W1962" s="47" t="s">
        <v>42</v>
      </c>
      <c r="X1962" s="47" t="s">
        <v>42</v>
      </c>
      <c r="Y1962" s="55" t="e">
        <f ca="1">_xlfn.XLOOKUP(PAA_4[[#This Row],[ITEM]],[2]Contrato!A:A,[2]Contrato!B:B,"",0)</f>
        <v>#NAME?</v>
      </c>
      <c r="Z1962" s="47" t="e">
        <f ca="1">_xlfn.XLOOKUP(PAA_4[[#This Row],[ITEM]],[2]Contrato!A:A,[2]Contrato!G:G,"",0)</f>
        <v>#NAME?</v>
      </c>
      <c r="AA1962" s="47" t="e">
        <f ca="1">_xlfn.XLOOKUP(PAA_4[[#This Row],[ITEM]],[2]Contrato!A:A,[2]Contrato!T:T,"",0)</f>
        <v>#NAME?</v>
      </c>
      <c r="AB1962" s="55" t="e">
        <f ca="1">+MAX(PAA_4[[#This Row],[Comprometido Contrato]],PAA_4[[#This Row],[Comprometido Bolsa]])</f>
        <v>#NAME?</v>
      </c>
      <c r="AC1962" s="55" t="str">
        <f t="shared" ca="1" si="614"/>
        <v/>
      </c>
      <c r="AD1962" s="55" t="e">
        <f ca="1">IF(PAA_4[[#This Row],[ESTADO (formulado)]]="NO CONTRATADO",0,MAX(PAA_4[[#This Row],[Pago por Contrato]],PAA_4[[#This Row],[Pago por bolsa]]))</f>
        <v>#NAME?</v>
      </c>
      <c r="AE1962" s="55" t="str">
        <f t="shared" ca="1" si="610"/>
        <v/>
      </c>
      <c r="AF1962" s="47" t="e">
        <f t="shared" ca="1" si="615"/>
        <v>#NAME?</v>
      </c>
      <c r="AG1962" s="47">
        <f t="shared" si="611"/>
        <v>52010802</v>
      </c>
      <c r="AH1962" s="54">
        <f>IF(Q1962="22",IF(ISNUMBER(SEARCH("econ",PAA_4[[#This Row],[Actividad3]])),"Económico",IF(ISNUMBER(SEARCH("alim",PAA_4[[#This Row],[Actividad3]])),"Alimentación",IF(ISNUMBER(SEARCH("educ",PAA_4[[#This Row],[Actividad3]])),"Educativo","Técnico"))),0)</f>
        <v>0</v>
      </c>
      <c r="AI1962" s="47" t="e" cm="1">
        <f t="array" aca="1" ref="AI1962" ca="1">_xlfn.XLOOKUP(PAA_4[[#This Row],[RCP-RUBRO]],[2]!COMPROMISOS_2024[[#All],[concatenado]],[2]!COMPROMISOS_2024[[#All],[Total pagado]],"",0)</f>
        <v>#NAME?</v>
      </c>
      <c r="AJ1962" s="56">
        <f>IF(PAA_4[[#This Row],[BOLSA]]=0,0,SUMIFS([2]!COMPROMISOS_2024[[#All],[Total pagado]],[2]!COMPROMISOS_2024[[#All],[Bolsa]],PAA_4[[#This Row],[BOLSA]],[2]!COMPROMISOS_2024[[#All],[rubro]],PAA_4[[#This Row],[RCP-RUBRO]]))</f>
        <v>0</v>
      </c>
      <c r="AK1962" s="47" t="e" cm="1">
        <f t="array" aca="1" ref="AK1962" ca="1">_xlfn.XLOOKUP(PAA_4[[#This Row],[RCP-RUBRO]],[2]!COMPROMISOS_2024[[#All],[concatenado]],[2]!COMPROMISOS_2024[[#All],[Total Comprometido]],"",0)</f>
        <v>#NAME?</v>
      </c>
      <c r="AL1962" s="47">
        <f>IF(PAA_4[[#This Row],[BOLSA]]=0,0,SUMIFS([2]!COMPROMISOS_2024[[#All],[Total Comprometido]],[2]!COMPROMISOS_2024[[#All],[Bolsa]],PAA_4[[#This Row],[BOLSA]],[2]!COMPROMISOS_2024[[#All],[concatenado]],PAA_4[[#This Row],[RCP-RUBRO]]))</f>
        <v>0</v>
      </c>
    </row>
    <row r="1963" spans="1:38" s="19" customFormat="1" ht="31.5" customHeight="1">
      <c r="A1963" s="47">
        <v>1194</v>
      </c>
      <c r="B1963" s="47">
        <v>80111600</v>
      </c>
      <c r="C1963" s="47" t="str">
        <f>VLOOKUP(PAA_4[[#This Row],[PROYECTO (formulado)2]],[2]PROYECTOS!$G$1:$L$32,6,0)</f>
        <v>SUBGERENCIA DE ALTOS LOGROS Y DEPORTE ASOCIADO</v>
      </c>
      <c r="D1963" s="47" t="str">
        <f>+IF(PAA_4[[#This Row],[UNIDAD DE CONTRATACION (formulado)]]="Subgerencia Administrativa y Financiera","FUNCIONAMIENTO","INVERSIÓN")</f>
        <v>INVERSIÓN</v>
      </c>
      <c r="E1963" s="48" t="str">
        <f>VLOOKUP(Q1963,[2]PROYECTOS!$G$1:$K$32,5,0)</f>
        <v>Apoyo técnico a atletas y para-atletas que representan en alto rendimiento deportivo al departamento de Antioquia</v>
      </c>
      <c r="F1963" s="48">
        <f>VLOOKUP(E1963,[2]PROYECTOS!$K$1:$M$32,3,0)</f>
        <v>2024003050084</v>
      </c>
      <c r="G1963" s="67" t="s">
        <v>1518</v>
      </c>
      <c r="H1963" s="49" t="str">
        <f>VLOOKUP(Q1963,[2]PROYECTOS!$V$1:$W$32,2,0)</f>
        <v>050079</v>
      </c>
      <c r="I1963" s="78">
        <f>20299164-2109004</f>
        <v>18190160</v>
      </c>
      <c r="J1963" s="51" t="s">
        <v>2005</v>
      </c>
      <c r="K1963" s="47" t="str">
        <f t="shared" ca="1" si="609"/>
        <v>CONTRATADO</v>
      </c>
      <c r="L1963" s="47" t="s">
        <v>94</v>
      </c>
      <c r="M1963" s="51" t="s">
        <v>1297</v>
      </c>
      <c r="N1963" s="52" t="s">
        <v>1519</v>
      </c>
      <c r="O1963" s="51" t="e">
        <f>VLOOKUP(N1963,[2]!RUBROS[#All],3,0)</f>
        <v>#REF!</v>
      </c>
      <c r="P1963" s="53" t="e">
        <f>VLOOKUP(N1963,[2]!RUBROS[#All],2,0)</f>
        <v>#REF!</v>
      </c>
      <c r="Q1963" s="47" t="str">
        <f t="shared" si="612"/>
        <v>84</v>
      </c>
      <c r="R1963" s="47" t="str">
        <f t="shared" si="613"/>
        <v>0-205400</v>
      </c>
      <c r="S1963" s="339">
        <v>77</v>
      </c>
      <c r="T1963" s="63" t="s">
        <v>120</v>
      </c>
      <c r="U1963" s="326" t="e">
        <f ca="1">_xlfn.XLOOKUP(PAA_4[[#This Row],[ITEM]],[2]Contrato!A:A,[2]Contrato!Q:Q,"",0)</f>
        <v>#NAME?</v>
      </c>
      <c r="V1963" s="47" t="s">
        <v>95</v>
      </c>
      <c r="W1963" s="47" t="s">
        <v>203</v>
      </c>
      <c r="X1963" s="47" t="s">
        <v>203</v>
      </c>
      <c r="Y1963" s="55" t="e">
        <f ca="1">_xlfn.XLOOKUP(PAA_4[[#This Row],[ITEM]],[2]Contrato!A:A,[2]Contrato!B:B,"",0)</f>
        <v>#NAME?</v>
      </c>
      <c r="Z1963" s="47" t="e">
        <f ca="1">_xlfn.XLOOKUP(PAA_4[[#This Row],[ITEM]],[2]Contrato!A:A,[2]Contrato!G:G,"",0)</f>
        <v>#NAME?</v>
      </c>
      <c r="AA1963" s="47" t="e">
        <f ca="1">_xlfn.XLOOKUP(PAA_4[[#This Row],[ITEM]],[2]Contrato!A:A,[2]Contrato!T:T,"",0)</f>
        <v>#NAME?</v>
      </c>
      <c r="AB1963" s="55" t="e">
        <f ca="1">+MAX(PAA_4[[#This Row],[Comprometido Contrato]],PAA_4[[#This Row],[Comprometido Bolsa]])</f>
        <v>#NAME?</v>
      </c>
      <c r="AC1963" s="55" t="str">
        <f t="shared" ca="1" si="614"/>
        <v/>
      </c>
      <c r="AD1963" s="55" t="e">
        <f ca="1">IF(PAA_4[[#This Row],[ESTADO (formulado)]]="NO CONTRATADO",0,MAX(PAA_4[[#This Row],[Pago por Contrato]],PAA_4[[#This Row],[Pago por bolsa]]))</f>
        <v>#NAME?</v>
      </c>
      <c r="AE1963" s="55" t="str">
        <f t="shared" ca="1" si="610"/>
        <v/>
      </c>
      <c r="AF1963" s="47" t="e">
        <f t="shared" ca="1" si="615"/>
        <v>#NAME?</v>
      </c>
      <c r="AG1963" s="47">
        <f t="shared" si="611"/>
        <v>52010802</v>
      </c>
      <c r="AH1963" s="54">
        <f>IF(Q1963="22",IF(ISNUMBER(SEARCH("econ",PAA_4[[#This Row],[Actividad3]])),"Económico",IF(ISNUMBER(SEARCH("alim",PAA_4[[#This Row],[Actividad3]])),"Alimentación",IF(ISNUMBER(SEARCH("educ",PAA_4[[#This Row],[Actividad3]])),"Educativo","Técnico"))),0)</f>
        <v>0</v>
      </c>
      <c r="AI1963" s="47" t="e" cm="1">
        <f t="array" aca="1" ref="AI1963" ca="1">_xlfn.XLOOKUP(PAA_4[[#This Row],[RCP-RUBRO]],[2]!COMPROMISOS_2024[[#All],[concatenado]],[2]!COMPROMISOS_2024[[#All],[Total pagado]],"",0)</f>
        <v>#NAME?</v>
      </c>
      <c r="AJ1963" s="56">
        <f>IF(PAA_4[[#This Row],[BOLSA]]=0,0,SUMIFS([2]!COMPROMISOS_2024[[#All],[Total pagado]],[2]!COMPROMISOS_2024[[#All],[Bolsa]],PAA_4[[#This Row],[BOLSA]],[2]!COMPROMISOS_2024[[#All],[rubro]],PAA_4[[#This Row],[RCP-RUBRO]]))</f>
        <v>0</v>
      </c>
      <c r="AK1963" s="47" t="e" cm="1">
        <f t="array" aca="1" ref="AK1963" ca="1">_xlfn.XLOOKUP(PAA_4[[#This Row],[RCP-RUBRO]],[2]!COMPROMISOS_2024[[#All],[concatenado]],[2]!COMPROMISOS_2024[[#All],[Total Comprometido]],"",0)</f>
        <v>#NAME?</v>
      </c>
      <c r="AL1963" s="47">
        <f>IF(PAA_4[[#This Row],[BOLSA]]=0,0,SUMIFS([2]!COMPROMISOS_2024[[#All],[Total Comprometido]],[2]!COMPROMISOS_2024[[#All],[Bolsa]],PAA_4[[#This Row],[BOLSA]],[2]!COMPROMISOS_2024[[#All],[concatenado]],PAA_4[[#This Row],[RCP-RUBRO]]))</f>
        <v>0</v>
      </c>
    </row>
    <row r="1964" spans="1:38" s="19" customFormat="1" ht="31.5" customHeight="1">
      <c r="A1964" s="47" t="s">
        <v>82</v>
      </c>
      <c r="B1964" s="47" t="s">
        <v>42</v>
      </c>
      <c r="C1964" s="47" t="str">
        <f>VLOOKUP(PAA_4[[#This Row],[PROYECTO (formulado)2]],[2]PROYECTOS!$G$1:$L$32,6,0)</f>
        <v>SUBGERENCIA DE ALTOS LOGROS Y DEPORTE ASOCIADO</v>
      </c>
      <c r="D1964" s="47" t="str">
        <f>+IF(PAA_4[[#This Row],[UNIDAD DE CONTRATACION (formulado)]]="Subgerencia Administrativa y Financiera","FUNCIONAMIENTO","INVERSIÓN")</f>
        <v>INVERSIÓN</v>
      </c>
      <c r="E1964" s="48" t="str">
        <f>VLOOKUP(Q1964,[2]PROYECTOS!$G$1:$K$32,5,0)</f>
        <v>Apoyo técnico a atletas y para-atletas que representan en alto rendimiento deportivo al departamento de Antioquia</v>
      </c>
      <c r="F1964" s="48">
        <f>VLOOKUP(E1964,[2]PROYECTOS!$K$1:$M$32,3,0)</f>
        <v>2024003050084</v>
      </c>
      <c r="G1964" s="67" t="s">
        <v>1548</v>
      </c>
      <c r="H1964" s="49" t="str">
        <f>VLOOKUP(Q1964,[2]PROYECTOS!$V$1:$W$32,2,0)</f>
        <v>050079</v>
      </c>
      <c r="I1964" s="78">
        <v>0</v>
      </c>
      <c r="J1964" s="51" t="s">
        <v>1778</v>
      </c>
      <c r="K1964" s="47" t="str">
        <f t="shared" ca="1" si="609"/>
        <v>CONTRATADO</v>
      </c>
      <c r="L1964" s="47" t="s">
        <v>42</v>
      </c>
      <c r="M1964" s="51" t="s">
        <v>42</v>
      </c>
      <c r="N1964" s="52" t="s">
        <v>1519</v>
      </c>
      <c r="O1964" s="51" t="e">
        <f>VLOOKUP(N1964,[2]!RUBROS[#All],3,0)</f>
        <v>#REF!</v>
      </c>
      <c r="P1964" s="53" t="e">
        <f>VLOOKUP(N1964,[2]!RUBROS[#All],2,0)</f>
        <v>#REF!</v>
      </c>
      <c r="Q1964" s="47" t="str">
        <f t="shared" si="612"/>
        <v>84</v>
      </c>
      <c r="R1964" s="47" t="str">
        <f t="shared" si="613"/>
        <v>0-205400</v>
      </c>
      <c r="S1964" s="339" t="s">
        <v>42</v>
      </c>
      <c r="T1964" s="63" t="s">
        <v>42</v>
      </c>
      <c r="U1964" s="326" t="e">
        <f ca="1">_xlfn.XLOOKUP(PAA_4[[#This Row],[ITEM]],[2]Contrato!A:A,[2]Contrato!Q:Q,"",0)</f>
        <v>#NAME?</v>
      </c>
      <c r="V1964" s="47" t="s">
        <v>95</v>
      </c>
      <c r="W1964" s="47" t="s">
        <v>42</v>
      </c>
      <c r="X1964" s="47" t="s">
        <v>42</v>
      </c>
      <c r="Y1964" s="55" t="e">
        <f ca="1">_xlfn.XLOOKUP(PAA_4[[#This Row],[ITEM]],[2]Contrato!A:A,[2]Contrato!B:B,"",0)</f>
        <v>#NAME?</v>
      </c>
      <c r="Z1964" s="47" t="e">
        <f ca="1">_xlfn.XLOOKUP(PAA_4[[#This Row],[ITEM]],[2]Contrato!A:A,[2]Contrato!G:G,"",0)</f>
        <v>#NAME?</v>
      </c>
      <c r="AA1964" s="47" t="e">
        <f ca="1">_xlfn.XLOOKUP(PAA_4[[#This Row],[ITEM]],[2]Contrato!A:A,[2]Contrato!T:T,"",0)</f>
        <v>#NAME?</v>
      </c>
      <c r="AB1964" s="55" t="e">
        <f ca="1">+MAX(PAA_4[[#This Row],[Comprometido Contrato]],PAA_4[[#This Row],[Comprometido Bolsa]])</f>
        <v>#NAME?</v>
      </c>
      <c r="AC1964" s="55" t="str">
        <f t="shared" ca="1" si="614"/>
        <v/>
      </c>
      <c r="AD1964" s="55" t="e">
        <f ca="1">IF(PAA_4[[#This Row],[ESTADO (formulado)]]="NO CONTRATADO",0,MAX(PAA_4[[#This Row],[Pago por Contrato]],PAA_4[[#This Row],[Pago por bolsa]]))</f>
        <v>#NAME?</v>
      </c>
      <c r="AE1964" s="55" t="str">
        <f t="shared" ca="1" si="610"/>
        <v/>
      </c>
      <c r="AF1964" s="47" t="e">
        <f t="shared" ca="1" si="615"/>
        <v>#NAME?</v>
      </c>
      <c r="AG1964" s="47">
        <f t="shared" si="611"/>
        <v>52010805</v>
      </c>
      <c r="AH1964" s="54">
        <f>IF(Q1964="22",IF(ISNUMBER(SEARCH("econ",PAA_4[[#This Row],[Actividad3]])),"Económico",IF(ISNUMBER(SEARCH("alim",PAA_4[[#This Row],[Actividad3]])),"Alimentación",IF(ISNUMBER(SEARCH("educ",PAA_4[[#This Row],[Actividad3]])),"Educativo","Técnico"))),0)</f>
        <v>0</v>
      </c>
      <c r="AI1964" s="47" t="e" cm="1">
        <f t="array" aca="1" ref="AI1964" ca="1">_xlfn.XLOOKUP(PAA_4[[#This Row],[RCP-RUBRO]],[2]!COMPROMISOS_2024[[#All],[concatenado]],[2]!COMPROMISOS_2024[[#All],[Total pagado]],"",0)</f>
        <v>#NAME?</v>
      </c>
      <c r="AJ1964" s="56">
        <f>IF(PAA_4[[#This Row],[BOLSA]]=0,0,SUMIFS([2]!COMPROMISOS_2024[[#All],[Total pagado]],[2]!COMPROMISOS_2024[[#All],[Bolsa]],PAA_4[[#This Row],[BOLSA]],[2]!COMPROMISOS_2024[[#All],[rubro]],PAA_4[[#This Row],[RCP-RUBRO]]))</f>
        <v>0</v>
      </c>
      <c r="AK1964" s="47" t="e" cm="1">
        <f t="array" aca="1" ref="AK1964" ca="1">_xlfn.XLOOKUP(PAA_4[[#This Row],[RCP-RUBRO]],[2]!COMPROMISOS_2024[[#All],[concatenado]],[2]!COMPROMISOS_2024[[#All],[Total Comprometido]],"",0)</f>
        <v>#NAME?</v>
      </c>
      <c r="AL1964" s="47">
        <f>IF(PAA_4[[#This Row],[BOLSA]]=0,0,SUMIFS([2]!COMPROMISOS_2024[[#All],[Total Comprometido]],[2]!COMPROMISOS_2024[[#All],[Bolsa]],PAA_4[[#This Row],[BOLSA]],[2]!COMPROMISOS_2024[[#All],[concatenado]],PAA_4[[#This Row],[RCP-RUBRO]]))</f>
        <v>0</v>
      </c>
    </row>
    <row r="1965" spans="1:38" s="19" customFormat="1" ht="31.5" customHeight="1">
      <c r="A1965" s="47">
        <v>1195</v>
      </c>
      <c r="B1965" s="47">
        <v>80111600</v>
      </c>
      <c r="C1965" s="47" t="str">
        <f>VLOOKUP(PAA_4[[#This Row],[PROYECTO (formulado)2]],[2]PROYECTOS!$G$1:$L$32,6,0)</f>
        <v>SUBGERENCIA DE ALTOS LOGROS Y DEPORTE ASOCIADO</v>
      </c>
      <c r="D1965" s="47" t="str">
        <f>+IF(PAA_4[[#This Row],[UNIDAD DE CONTRATACION (formulado)]]="Subgerencia Administrativa y Financiera","FUNCIONAMIENTO","INVERSIÓN")</f>
        <v>INVERSIÓN</v>
      </c>
      <c r="E1965" s="48" t="str">
        <f>VLOOKUP(Q1965,[2]PROYECTOS!$G$1:$K$32,5,0)</f>
        <v>Apoyo técnico a atletas y para-atletas que representan en alto rendimiento deportivo al departamento de Antioquia</v>
      </c>
      <c r="F1965" s="48">
        <f>VLOOKUP(E1965,[2]PROYECTOS!$K$1:$M$32,3,0)</f>
        <v>2024003050084</v>
      </c>
      <c r="G1965" s="67" t="s">
        <v>2182</v>
      </c>
      <c r="H1965" s="49" t="str">
        <f>VLOOKUP(Q1965,[2]PROYECTOS!$V$1:$W$32,2,0)</f>
        <v>050079</v>
      </c>
      <c r="I1965" s="78">
        <f>26509794-10000000</f>
        <v>16509794</v>
      </c>
      <c r="J1965" s="51" t="s">
        <v>2183</v>
      </c>
      <c r="K1965" s="47" t="str">
        <f t="shared" ca="1" si="609"/>
        <v>CONTRATADO</v>
      </c>
      <c r="L1965" s="47" t="s">
        <v>78</v>
      </c>
      <c r="M1965" s="51" t="s">
        <v>1297</v>
      </c>
      <c r="N1965" s="52" t="s">
        <v>1519</v>
      </c>
      <c r="O1965" s="51" t="e">
        <f>VLOOKUP(N1965,[2]!RUBROS[#All],3,0)</f>
        <v>#REF!</v>
      </c>
      <c r="P1965" s="53" t="e">
        <f>VLOOKUP(N1965,[2]!RUBROS[#All],2,0)</f>
        <v>#REF!</v>
      </c>
      <c r="Q1965" s="47" t="str">
        <f t="shared" si="612"/>
        <v>84</v>
      </c>
      <c r="R1965" s="47" t="str">
        <f t="shared" si="613"/>
        <v>0-205400</v>
      </c>
      <c r="S1965" s="339">
        <v>72</v>
      </c>
      <c r="T1965" s="63" t="s">
        <v>120</v>
      </c>
      <c r="U1965" s="326" t="e">
        <f ca="1">_xlfn.XLOOKUP(PAA_4[[#This Row],[ITEM]],[2]Contrato!A:A,[2]Contrato!Q:Q,"",0)</f>
        <v>#NAME?</v>
      </c>
      <c r="V1965" s="47" t="s">
        <v>95</v>
      </c>
      <c r="W1965" s="47" t="s">
        <v>203</v>
      </c>
      <c r="X1965" s="47" t="s">
        <v>203</v>
      </c>
      <c r="Y1965" s="55" t="e">
        <f ca="1">_xlfn.XLOOKUP(PAA_4[[#This Row],[ITEM]],[2]Contrato!A:A,[2]Contrato!B:B,"",0)</f>
        <v>#NAME?</v>
      </c>
      <c r="Z1965" s="47" t="e">
        <f ca="1">_xlfn.XLOOKUP(PAA_4[[#This Row],[ITEM]],[2]Contrato!A:A,[2]Contrato!G:G,"",0)</f>
        <v>#NAME?</v>
      </c>
      <c r="AA1965" s="47" t="e">
        <f ca="1">_xlfn.XLOOKUP(PAA_4[[#This Row],[ITEM]],[2]Contrato!A:A,[2]Contrato!T:T,"",0)</f>
        <v>#NAME?</v>
      </c>
      <c r="AB1965" s="55" t="e">
        <f ca="1">+MAX(PAA_4[[#This Row],[Comprometido Contrato]],PAA_4[[#This Row],[Comprometido Bolsa]])</f>
        <v>#NAME?</v>
      </c>
      <c r="AC1965" s="55" t="str">
        <f t="shared" ca="1" si="614"/>
        <v/>
      </c>
      <c r="AD1965" s="55" t="e">
        <f ca="1">IF(PAA_4[[#This Row],[ESTADO (formulado)]]="NO CONTRATADO",0,MAX(PAA_4[[#This Row],[Pago por Contrato]],PAA_4[[#This Row],[Pago por bolsa]]))</f>
        <v>#NAME?</v>
      </c>
      <c r="AE1965" s="55" t="str">
        <f t="shared" ca="1" si="610"/>
        <v/>
      </c>
      <c r="AF1965" s="47" t="e">
        <f t="shared" ca="1" si="615"/>
        <v>#NAME?</v>
      </c>
      <c r="AG1965" s="47">
        <f t="shared" si="611"/>
        <v>52010802</v>
      </c>
      <c r="AH1965" s="54">
        <f>IF(Q1965="22",IF(ISNUMBER(SEARCH("econ",PAA_4[[#This Row],[Actividad3]])),"Económico",IF(ISNUMBER(SEARCH("alim",PAA_4[[#This Row],[Actividad3]])),"Alimentación",IF(ISNUMBER(SEARCH("educ",PAA_4[[#This Row],[Actividad3]])),"Educativo","Técnico"))),0)</f>
        <v>0</v>
      </c>
      <c r="AI1965" s="47" t="e" cm="1">
        <f t="array" aca="1" ref="AI1965" ca="1">_xlfn.XLOOKUP(PAA_4[[#This Row],[RCP-RUBRO]],[2]!COMPROMISOS_2024[[#All],[concatenado]],[2]!COMPROMISOS_2024[[#All],[Total pagado]],"",0)</f>
        <v>#NAME?</v>
      </c>
      <c r="AJ1965" s="56">
        <f>IF(PAA_4[[#This Row],[BOLSA]]=0,0,SUMIFS([2]!COMPROMISOS_2024[[#All],[Total pagado]],[2]!COMPROMISOS_2024[[#All],[Bolsa]],PAA_4[[#This Row],[BOLSA]],[2]!COMPROMISOS_2024[[#All],[rubro]],PAA_4[[#This Row],[RCP-RUBRO]]))</f>
        <v>0</v>
      </c>
      <c r="AK1965" s="47" t="e" cm="1">
        <f t="array" aca="1" ref="AK1965" ca="1">_xlfn.XLOOKUP(PAA_4[[#This Row],[RCP-RUBRO]],[2]!COMPROMISOS_2024[[#All],[concatenado]],[2]!COMPROMISOS_2024[[#All],[Total Comprometido]],"",0)</f>
        <v>#NAME?</v>
      </c>
      <c r="AL1965" s="47">
        <f>IF(PAA_4[[#This Row],[BOLSA]]=0,0,SUMIFS([2]!COMPROMISOS_2024[[#All],[Total Comprometido]],[2]!COMPROMISOS_2024[[#All],[Bolsa]],PAA_4[[#This Row],[BOLSA]],[2]!COMPROMISOS_2024[[#All],[concatenado]],PAA_4[[#This Row],[RCP-RUBRO]]))</f>
        <v>0</v>
      </c>
    </row>
    <row r="1966" spans="1:38" s="19" customFormat="1" ht="31.5" customHeight="1">
      <c r="A1966" s="47">
        <v>1196</v>
      </c>
      <c r="B1966" s="47">
        <v>80111600</v>
      </c>
      <c r="C1966" s="47" t="str">
        <f>VLOOKUP(PAA_4[[#This Row],[PROYECTO (formulado)2]],[2]PROYECTOS!$G$1:$L$32,6,0)</f>
        <v>SUBGERENCIA DE ALTOS LOGROS Y DEPORTE ASOCIADO</v>
      </c>
      <c r="D1966" s="47" t="str">
        <f>+IF(PAA_4[[#This Row],[UNIDAD DE CONTRATACION (formulado)]]="Subgerencia Administrativa y Financiera","FUNCIONAMIENTO","INVERSIÓN")</f>
        <v>INVERSIÓN</v>
      </c>
      <c r="E1966" s="48" t="str">
        <f>VLOOKUP(Q1966,[2]PROYECTOS!$G$1:$K$32,5,0)</f>
        <v>Apoyo técnico a atletas y para-atletas que representan en alto rendimiento deportivo al departamento de Antioquia</v>
      </c>
      <c r="F1966" s="48">
        <f>VLOOKUP(E1966,[2]PROYECTOS!$K$1:$M$32,3,0)</f>
        <v>2024003050084</v>
      </c>
      <c r="G1966" s="67" t="s">
        <v>1548</v>
      </c>
      <c r="H1966" s="49" t="str">
        <f>VLOOKUP(Q1966,[2]PROYECTOS!$V$1:$W$32,2,0)</f>
        <v>050079</v>
      </c>
      <c r="I1966" s="78">
        <v>12097379</v>
      </c>
      <c r="J1966" s="51" t="s">
        <v>2184</v>
      </c>
      <c r="K1966" s="47" t="str">
        <f t="shared" ca="1" si="609"/>
        <v>CONTRATADO</v>
      </c>
      <c r="L1966" s="47" t="s">
        <v>78</v>
      </c>
      <c r="M1966" s="51" t="s">
        <v>1297</v>
      </c>
      <c r="N1966" s="52" t="s">
        <v>1519</v>
      </c>
      <c r="O1966" s="51" t="e">
        <f>VLOOKUP(N1966,[2]!RUBROS[#All],3,0)</f>
        <v>#REF!</v>
      </c>
      <c r="P1966" s="53" t="e">
        <f>VLOOKUP(N1966,[2]!RUBROS[#All],2,0)</f>
        <v>#REF!</v>
      </c>
      <c r="Q1966" s="47" t="str">
        <f t="shared" si="612"/>
        <v>84</v>
      </c>
      <c r="R1966" s="47" t="str">
        <f t="shared" si="613"/>
        <v>0-205400</v>
      </c>
      <c r="S1966" s="339">
        <v>85</v>
      </c>
      <c r="T1966" s="63" t="s">
        <v>120</v>
      </c>
      <c r="U1966" s="326" t="e">
        <f ca="1">_xlfn.XLOOKUP(PAA_4[[#This Row],[ITEM]],[2]Contrato!A:A,[2]Contrato!Q:Q,"",0)</f>
        <v>#NAME?</v>
      </c>
      <c r="V1966" s="47" t="s">
        <v>95</v>
      </c>
      <c r="W1966" s="47" t="s">
        <v>203</v>
      </c>
      <c r="X1966" s="47" t="s">
        <v>203</v>
      </c>
      <c r="Y1966" s="55" t="e">
        <f ca="1">_xlfn.XLOOKUP(PAA_4[[#This Row],[ITEM]],[2]Contrato!A:A,[2]Contrato!B:B,"",0)</f>
        <v>#NAME?</v>
      </c>
      <c r="Z1966" s="47" t="e">
        <f ca="1">_xlfn.XLOOKUP(PAA_4[[#This Row],[ITEM]],[2]Contrato!A:A,[2]Contrato!G:G,"",0)</f>
        <v>#NAME?</v>
      </c>
      <c r="AA1966" s="47" t="e">
        <f ca="1">_xlfn.XLOOKUP(PAA_4[[#This Row],[ITEM]],[2]Contrato!A:A,[2]Contrato!T:T,"",0)</f>
        <v>#NAME?</v>
      </c>
      <c r="AB1966" s="55" t="e">
        <f ca="1">+MAX(PAA_4[[#This Row],[Comprometido Contrato]],PAA_4[[#This Row],[Comprometido Bolsa]])</f>
        <v>#NAME?</v>
      </c>
      <c r="AC1966" s="55" t="str">
        <f t="shared" ca="1" si="614"/>
        <v/>
      </c>
      <c r="AD1966" s="55" t="e">
        <f ca="1">IF(PAA_4[[#This Row],[ESTADO (formulado)]]="NO CONTRATADO",0,MAX(PAA_4[[#This Row],[Pago por Contrato]],PAA_4[[#This Row],[Pago por bolsa]]))</f>
        <v>#NAME?</v>
      </c>
      <c r="AE1966" s="55" t="str">
        <f t="shared" ca="1" si="610"/>
        <v/>
      </c>
      <c r="AF1966" s="47" t="e">
        <f t="shared" ca="1" si="615"/>
        <v>#NAME?</v>
      </c>
      <c r="AG1966" s="47">
        <f t="shared" si="611"/>
        <v>52010805</v>
      </c>
      <c r="AH1966" s="54">
        <f>IF(Q1966="22",IF(ISNUMBER(SEARCH("econ",PAA_4[[#This Row],[Actividad3]])),"Económico",IF(ISNUMBER(SEARCH("alim",PAA_4[[#This Row],[Actividad3]])),"Alimentación",IF(ISNUMBER(SEARCH("educ",PAA_4[[#This Row],[Actividad3]])),"Educativo","Técnico"))),0)</f>
        <v>0</v>
      </c>
      <c r="AI1966" s="47" t="e" cm="1">
        <f t="array" aca="1" ref="AI1966" ca="1">_xlfn.XLOOKUP(PAA_4[[#This Row],[RCP-RUBRO]],[2]!COMPROMISOS_2024[[#All],[concatenado]],[2]!COMPROMISOS_2024[[#All],[Total pagado]],"",0)</f>
        <v>#NAME?</v>
      </c>
      <c r="AJ1966" s="56">
        <f>IF(PAA_4[[#This Row],[BOLSA]]=0,0,SUMIFS([2]!COMPROMISOS_2024[[#All],[Total pagado]],[2]!COMPROMISOS_2024[[#All],[Bolsa]],PAA_4[[#This Row],[BOLSA]],[2]!COMPROMISOS_2024[[#All],[rubro]],PAA_4[[#This Row],[RCP-RUBRO]]))</f>
        <v>0</v>
      </c>
      <c r="AK1966" s="47" t="e" cm="1">
        <f t="array" aca="1" ref="AK1966" ca="1">_xlfn.XLOOKUP(PAA_4[[#This Row],[RCP-RUBRO]],[2]!COMPROMISOS_2024[[#All],[concatenado]],[2]!COMPROMISOS_2024[[#All],[Total Comprometido]],"",0)</f>
        <v>#NAME?</v>
      </c>
      <c r="AL1966" s="47">
        <f>IF(PAA_4[[#This Row],[BOLSA]]=0,0,SUMIFS([2]!COMPROMISOS_2024[[#All],[Total Comprometido]],[2]!COMPROMISOS_2024[[#All],[Bolsa]],PAA_4[[#This Row],[BOLSA]],[2]!COMPROMISOS_2024[[#All],[concatenado]],PAA_4[[#This Row],[RCP-RUBRO]]))</f>
        <v>0</v>
      </c>
    </row>
    <row r="1967" spans="1:38" s="19" customFormat="1" ht="31.5" customHeight="1">
      <c r="A1967" s="47" t="s">
        <v>82</v>
      </c>
      <c r="B1967" s="47" t="s">
        <v>42</v>
      </c>
      <c r="C1967" s="47" t="str">
        <f>VLOOKUP(PAA_4[[#This Row],[PROYECTO (formulado)2]],[2]PROYECTOS!$G$1:$L$32,6,0)</f>
        <v>SUBGERENCIA DE ALTOS LOGROS Y DEPORTE ASOCIADO</v>
      </c>
      <c r="D1967" s="47" t="str">
        <f>+IF(PAA_4[[#This Row],[UNIDAD DE CONTRATACION (formulado)]]="Subgerencia Administrativa y Financiera","FUNCIONAMIENTO","INVERSIÓN")</f>
        <v>INVERSIÓN</v>
      </c>
      <c r="E1967" s="48" t="str">
        <f>VLOOKUP(Q1967,[2]PROYECTOS!$G$1:$K$32,5,0)</f>
        <v>Fortalecimiento del desarrollo deportivo con miras al alto rendimiento competitivo de los atletas del departamento de Antioquia</v>
      </c>
      <c r="F1967" s="48">
        <f>VLOOKUP(E1967,[2]PROYECTOS!$K$1:$M$32,3,0)</f>
        <v>2024003050087</v>
      </c>
      <c r="G1967" s="67" t="s">
        <v>1548</v>
      </c>
      <c r="H1967" s="49" t="str">
        <f>VLOOKUP(Q1967,[2]PROYECTOS!$V$1:$W$32,2,0)</f>
        <v>050078</v>
      </c>
      <c r="I1967" s="78">
        <v>199304</v>
      </c>
      <c r="J1967" s="51" t="s">
        <v>1778</v>
      </c>
      <c r="K1967" s="47" t="str">
        <f t="shared" ca="1" si="609"/>
        <v>CONTRATADO</v>
      </c>
      <c r="L1967" s="47" t="s">
        <v>42</v>
      </c>
      <c r="M1967" s="51" t="s">
        <v>42</v>
      </c>
      <c r="N1967" s="52" t="s">
        <v>2110</v>
      </c>
      <c r="O1967" s="51" t="e">
        <f>VLOOKUP(N1967,[2]!RUBROS[#All],3,0)</f>
        <v>#REF!</v>
      </c>
      <c r="P1967" s="53" t="e">
        <f>VLOOKUP(N1967,[2]!RUBROS[#All],2,0)</f>
        <v>#REF!</v>
      </c>
      <c r="Q1967" s="47" t="str">
        <f t="shared" si="612"/>
        <v>87</v>
      </c>
      <c r="R1967" s="47" t="str">
        <f t="shared" si="613"/>
        <v>4-101124</v>
      </c>
      <c r="S1967" s="339" t="s">
        <v>42</v>
      </c>
      <c r="T1967" s="329" t="s">
        <v>42</v>
      </c>
      <c r="U1967" s="326" t="e">
        <f ca="1">_xlfn.XLOOKUP(PAA_4[[#This Row],[ITEM]],[2]Contrato!A:A,[2]Contrato!Q:Q,"",0)</f>
        <v>#NAME?</v>
      </c>
      <c r="V1967" s="47" t="s">
        <v>95</v>
      </c>
      <c r="W1967" s="47" t="s">
        <v>42</v>
      </c>
      <c r="X1967" s="47" t="s">
        <v>42</v>
      </c>
      <c r="Y1967" s="55" t="e">
        <f ca="1">_xlfn.XLOOKUP(PAA_4[[#This Row],[ITEM]],[2]Contrato!A:A,[2]Contrato!B:B,"",0)</f>
        <v>#NAME?</v>
      </c>
      <c r="Z1967" s="47" t="e">
        <f ca="1">_xlfn.XLOOKUP(PAA_4[[#This Row],[ITEM]],[2]Contrato!A:A,[2]Contrato!G:G,"",0)</f>
        <v>#NAME?</v>
      </c>
      <c r="AA1967" s="47" t="e">
        <f ca="1">_xlfn.XLOOKUP(PAA_4[[#This Row],[ITEM]],[2]Contrato!A:A,[2]Contrato!T:T,"",0)</f>
        <v>#NAME?</v>
      </c>
      <c r="AB1967" s="55" t="e">
        <f ca="1">+MAX(PAA_4[[#This Row],[Comprometido Contrato]],PAA_4[[#This Row],[Comprometido Bolsa]])</f>
        <v>#NAME?</v>
      </c>
      <c r="AC1967" s="55" t="str">
        <f t="shared" ca="1" si="614"/>
        <v/>
      </c>
      <c r="AD1967" s="55" t="e">
        <f ca="1">IF(PAA_4[[#This Row],[ESTADO (formulado)]]="NO CONTRATADO",0,MAX(PAA_4[[#This Row],[Pago por Contrato]],PAA_4[[#This Row],[Pago por bolsa]]))</f>
        <v>#NAME?</v>
      </c>
      <c r="AE1967" s="55" t="str">
        <f t="shared" ca="1" si="610"/>
        <v/>
      </c>
      <c r="AF1967" s="47" t="e">
        <f t="shared" ca="1" si="615"/>
        <v>#NAME?</v>
      </c>
      <c r="AG1967" s="47">
        <f t="shared" si="611"/>
        <v>52010805</v>
      </c>
      <c r="AH1967" s="54">
        <f>IF(Q1967="22",IF(ISNUMBER(SEARCH("econ",PAA_4[[#This Row],[Actividad3]])),"Económico",IF(ISNUMBER(SEARCH("alim",PAA_4[[#This Row],[Actividad3]])),"Alimentación",IF(ISNUMBER(SEARCH("educ",PAA_4[[#This Row],[Actividad3]])),"Educativo","Técnico"))),0)</f>
        <v>0</v>
      </c>
      <c r="AI1967" s="47" t="e" cm="1">
        <f t="array" aca="1" ref="AI1967" ca="1">_xlfn.XLOOKUP(PAA_4[[#This Row],[RCP-RUBRO]],[2]!COMPROMISOS_2024[[#All],[concatenado]],[2]!COMPROMISOS_2024[[#All],[Total pagado]],"",0)</f>
        <v>#NAME?</v>
      </c>
      <c r="AJ1967" s="56">
        <f>IF(PAA_4[[#This Row],[BOLSA]]=0,0,SUMIFS([2]!COMPROMISOS_2024[[#All],[Total pagado]],[2]!COMPROMISOS_2024[[#All],[Bolsa]],PAA_4[[#This Row],[BOLSA]],[2]!COMPROMISOS_2024[[#All],[rubro]],PAA_4[[#This Row],[RCP-RUBRO]]))</f>
        <v>0</v>
      </c>
      <c r="AK1967" s="47" t="e" cm="1">
        <f t="array" aca="1" ref="AK1967" ca="1">_xlfn.XLOOKUP(PAA_4[[#This Row],[RCP-RUBRO]],[2]!COMPROMISOS_2024[[#All],[concatenado]],[2]!COMPROMISOS_2024[[#All],[Total Comprometido]],"",0)</f>
        <v>#NAME?</v>
      </c>
      <c r="AL1967" s="47">
        <f>IF(PAA_4[[#This Row],[BOLSA]]=0,0,SUMIFS([2]!COMPROMISOS_2024[[#All],[Total Comprometido]],[2]!COMPROMISOS_2024[[#All],[Bolsa]],PAA_4[[#This Row],[BOLSA]],[2]!COMPROMISOS_2024[[#All],[concatenado]],PAA_4[[#This Row],[RCP-RUBRO]]))</f>
        <v>0</v>
      </c>
    </row>
    <row r="1968" spans="1:38" s="19" customFormat="1" ht="31.5" customHeight="1">
      <c r="A1968" s="47">
        <v>1197</v>
      </c>
      <c r="B1968" s="47">
        <v>80111600</v>
      </c>
      <c r="C1968" s="47" t="str">
        <f>VLOOKUP(PAA_4[[#This Row],[PROYECTO (formulado)2]],[2]PROYECTOS!$G$1:$L$32,6,0)</f>
        <v>SUBGERENCIA DE ALTOS LOGROS Y DEPORTE ASOCIADO</v>
      </c>
      <c r="D1968" s="47" t="str">
        <f>+IF(PAA_4[[#This Row],[UNIDAD DE CONTRATACION (formulado)]]="Subgerencia Administrativa y Financiera","FUNCIONAMIENTO","INVERSIÓN")</f>
        <v>INVERSIÓN</v>
      </c>
      <c r="E1968" s="48" t="str">
        <f>VLOOKUP(Q1968,[2]PROYECTOS!$G$1:$K$32,5,0)</f>
        <v>Fortalecimiento del desarrollo deportivo con miras al alto rendimiento competitivo de los atletas del departamento de Antioquia</v>
      </c>
      <c r="F1968" s="48">
        <f>VLOOKUP(E1968,[2]PROYECTOS!$K$1:$M$32,3,0)</f>
        <v>2024003050087</v>
      </c>
      <c r="G1968" s="67" t="s">
        <v>1548</v>
      </c>
      <c r="H1968" s="49" t="str">
        <f>VLOOKUP(Q1968,[2]PROYECTOS!$V$1:$W$32,2,0)</f>
        <v>050078</v>
      </c>
      <c r="I1968" s="78">
        <f>5979092-199304</f>
        <v>5779788</v>
      </c>
      <c r="J1968" s="51" t="s">
        <v>2185</v>
      </c>
      <c r="K1968" s="47" t="str">
        <f t="shared" ca="1" si="609"/>
        <v>CONTRATADO</v>
      </c>
      <c r="L1968" s="47" t="s">
        <v>78</v>
      </c>
      <c r="M1968" s="51" t="s">
        <v>1297</v>
      </c>
      <c r="N1968" s="52" t="s">
        <v>2110</v>
      </c>
      <c r="O1968" s="51" t="e">
        <f>VLOOKUP(N1968,[2]!RUBROS[#All],3,0)</f>
        <v>#REF!</v>
      </c>
      <c r="P1968" s="53" t="e">
        <f>VLOOKUP(N1968,[2]!RUBROS[#All],2,0)</f>
        <v>#REF!</v>
      </c>
      <c r="Q1968" s="47" t="str">
        <f t="shared" si="612"/>
        <v>87</v>
      </c>
      <c r="R1968" s="47" t="str">
        <f t="shared" si="613"/>
        <v>4-101124</v>
      </c>
      <c r="S1968" s="339">
        <v>87</v>
      </c>
      <c r="T1968" s="63" t="s">
        <v>120</v>
      </c>
      <c r="U1968" s="326" t="e">
        <f ca="1">_xlfn.XLOOKUP(PAA_4[[#This Row],[ITEM]],[2]Contrato!A:A,[2]Contrato!Q:Q,"",0)</f>
        <v>#NAME?</v>
      </c>
      <c r="V1968" s="47" t="s">
        <v>95</v>
      </c>
      <c r="W1968" s="47" t="s">
        <v>203</v>
      </c>
      <c r="X1968" s="47" t="s">
        <v>203</v>
      </c>
      <c r="Y1968" s="55" t="e">
        <f ca="1">_xlfn.XLOOKUP(PAA_4[[#This Row],[ITEM]],[2]Contrato!A:A,[2]Contrato!B:B,"",0)</f>
        <v>#NAME?</v>
      </c>
      <c r="Z1968" s="47" t="e">
        <f ca="1">_xlfn.XLOOKUP(PAA_4[[#This Row],[ITEM]],[2]Contrato!A:A,[2]Contrato!G:G,"",0)</f>
        <v>#NAME?</v>
      </c>
      <c r="AA1968" s="47" t="e">
        <f ca="1">_xlfn.XLOOKUP(PAA_4[[#This Row],[ITEM]],[2]Contrato!A:A,[2]Contrato!T:T,"",0)</f>
        <v>#NAME?</v>
      </c>
      <c r="AB1968" s="55" t="e">
        <f ca="1">+MAX(PAA_4[[#This Row],[Comprometido Contrato]],PAA_4[[#This Row],[Comprometido Bolsa]])</f>
        <v>#NAME?</v>
      </c>
      <c r="AC1968" s="55" t="str">
        <f t="shared" ca="1" si="614"/>
        <v/>
      </c>
      <c r="AD1968" s="55" t="e">
        <f ca="1">IF(PAA_4[[#This Row],[ESTADO (formulado)]]="NO CONTRATADO",0,MAX(PAA_4[[#This Row],[Pago por Contrato]],PAA_4[[#This Row],[Pago por bolsa]]))</f>
        <v>#NAME?</v>
      </c>
      <c r="AE1968" s="55" t="str">
        <f t="shared" ca="1" si="610"/>
        <v/>
      </c>
      <c r="AF1968" s="47" t="e">
        <f t="shared" ca="1" si="615"/>
        <v>#NAME?</v>
      </c>
      <c r="AG1968" s="47">
        <f t="shared" si="611"/>
        <v>52010805</v>
      </c>
      <c r="AH1968" s="54">
        <f>IF(Q1968="22",IF(ISNUMBER(SEARCH("econ",PAA_4[[#This Row],[Actividad3]])),"Económico",IF(ISNUMBER(SEARCH("alim",PAA_4[[#This Row],[Actividad3]])),"Alimentación",IF(ISNUMBER(SEARCH("educ",PAA_4[[#This Row],[Actividad3]])),"Educativo","Técnico"))),0)</f>
        <v>0</v>
      </c>
      <c r="AI1968" s="47" t="e" cm="1">
        <f t="array" aca="1" ref="AI1968" ca="1">_xlfn.XLOOKUP(PAA_4[[#This Row],[RCP-RUBRO]],[2]!COMPROMISOS_2024[[#All],[concatenado]],[2]!COMPROMISOS_2024[[#All],[Total pagado]],"",0)</f>
        <v>#NAME?</v>
      </c>
      <c r="AJ1968" s="56">
        <f>IF(PAA_4[[#This Row],[BOLSA]]=0,0,SUMIFS([2]!COMPROMISOS_2024[[#All],[Total pagado]],[2]!COMPROMISOS_2024[[#All],[Bolsa]],PAA_4[[#This Row],[BOLSA]],[2]!COMPROMISOS_2024[[#All],[rubro]],PAA_4[[#This Row],[RCP-RUBRO]]))</f>
        <v>0</v>
      </c>
      <c r="AK1968" s="47" t="e" cm="1">
        <f t="array" aca="1" ref="AK1968" ca="1">_xlfn.XLOOKUP(PAA_4[[#This Row],[RCP-RUBRO]],[2]!COMPROMISOS_2024[[#All],[concatenado]],[2]!COMPROMISOS_2024[[#All],[Total Comprometido]],"",0)</f>
        <v>#NAME?</v>
      </c>
      <c r="AL1968" s="47">
        <f>IF(PAA_4[[#This Row],[BOLSA]]=0,0,SUMIFS([2]!COMPROMISOS_2024[[#All],[Total Comprometido]],[2]!COMPROMISOS_2024[[#All],[Bolsa]],PAA_4[[#This Row],[BOLSA]],[2]!COMPROMISOS_2024[[#All],[concatenado]],PAA_4[[#This Row],[RCP-RUBRO]]))</f>
        <v>0</v>
      </c>
    </row>
    <row r="1969" spans="1:38" s="19" customFormat="1" ht="31.5" customHeight="1">
      <c r="A1969" s="47" t="s">
        <v>82</v>
      </c>
      <c r="B1969" s="47" t="s">
        <v>42</v>
      </c>
      <c r="C1969" s="47" t="str">
        <f>VLOOKUP(PAA_4[[#This Row],[PROYECTO (formulado)2]],[2]PROYECTOS!$G$1:$L$32,6,0)</f>
        <v>SUBGERENCIA DE ALTOS LOGROS Y DEPORTE ASOCIADO</v>
      </c>
      <c r="D1969" s="47" t="str">
        <f>+IF(PAA_4[[#This Row],[UNIDAD DE CONTRATACION (formulado)]]="Subgerencia Administrativa y Financiera","FUNCIONAMIENTO","INVERSIÓN")</f>
        <v>INVERSIÓN</v>
      </c>
      <c r="E1969" s="48" t="str">
        <f>VLOOKUP(Q1969,[2]PROYECTOS!$G$1:$K$32,5,0)</f>
        <v>Fortalecimiento del desarrollo deportivo con miras al alto rendimiento competitivo de los atletas del departamento de Antioquia</v>
      </c>
      <c r="F1969" s="48">
        <f>VLOOKUP(E1969,[2]PROYECTOS!$K$1:$M$32,3,0)</f>
        <v>2024003050087</v>
      </c>
      <c r="G1969" s="67" t="s">
        <v>1548</v>
      </c>
      <c r="H1969" s="49" t="str">
        <f>VLOOKUP(Q1969,[2]PROYECTOS!$V$1:$W$32,2,0)</f>
        <v>050078</v>
      </c>
      <c r="I1969" s="78">
        <v>2114651</v>
      </c>
      <c r="J1969" s="51" t="s">
        <v>2132</v>
      </c>
      <c r="K1969" s="47" t="str">
        <f t="shared" ca="1" si="609"/>
        <v>CONTRATADO</v>
      </c>
      <c r="L1969" s="47" t="s">
        <v>42</v>
      </c>
      <c r="M1969" s="51" t="s">
        <v>42</v>
      </c>
      <c r="N1969" s="52" t="s">
        <v>2110</v>
      </c>
      <c r="O1969" s="51" t="e">
        <f>VLOOKUP(N1969,[2]!RUBROS[#All],3,0)</f>
        <v>#REF!</v>
      </c>
      <c r="P1969" s="53" t="e">
        <f>VLOOKUP(N1969,[2]!RUBROS[#All],2,0)</f>
        <v>#REF!</v>
      </c>
      <c r="Q1969" s="47" t="str">
        <f t="shared" si="612"/>
        <v>87</v>
      </c>
      <c r="R1969" s="47" t="str">
        <f t="shared" si="613"/>
        <v>4-101124</v>
      </c>
      <c r="S1969" s="339" t="s">
        <v>42</v>
      </c>
      <c r="T1969" s="339" t="s">
        <v>42</v>
      </c>
      <c r="U1969" s="326" t="e">
        <f ca="1">_xlfn.XLOOKUP(PAA_4[[#This Row],[ITEM]],[2]Contrato!A:A,[2]Contrato!Q:Q,"",0)</f>
        <v>#NAME?</v>
      </c>
      <c r="V1969" s="47" t="s">
        <v>42</v>
      </c>
      <c r="W1969" s="47" t="s">
        <v>42</v>
      </c>
      <c r="X1969" s="47" t="s">
        <v>42</v>
      </c>
      <c r="Y1969" s="55" t="e">
        <f ca="1">_xlfn.XLOOKUP(PAA_4[[#This Row],[ITEM]],[2]Contrato!A:A,[2]Contrato!B:B,"",0)</f>
        <v>#NAME?</v>
      </c>
      <c r="Z1969" s="47" t="e">
        <f ca="1">_xlfn.XLOOKUP(PAA_4[[#This Row],[ITEM]],[2]Contrato!A:A,[2]Contrato!G:G,"",0)</f>
        <v>#NAME?</v>
      </c>
      <c r="AA1969" s="47" t="e">
        <f ca="1">_xlfn.XLOOKUP(PAA_4[[#This Row],[ITEM]],[2]Contrato!A:A,[2]Contrato!T:T,"",0)</f>
        <v>#NAME?</v>
      </c>
      <c r="AB1969" s="55" t="e">
        <f ca="1">+MAX(PAA_4[[#This Row],[Comprometido Contrato]],PAA_4[[#This Row],[Comprometido Bolsa]])</f>
        <v>#NAME?</v>
      </c>
      <c r="AC1969" s="55" t="str">
        <f t="shared" ca="1" si="614"/>
        <v/>
      </c>
      <c r="AD1969" s="55" t="e">
        <f ca="1">IF(PAA_4[[#This Row],[ESTADO (formulado)]]="NO CONTRATADO",0,MAX(PAA_4[[#This Row],[Pago por Contrato]],PAA_4[[#This Row],[Pago por bolsa]]))</f>
        <v>#NAME?</v>
      </c>
      <c r="AE1969" s="55" t="str">
        <f t="shared" ca="1" si="610"/>
        <v/>
      </c>
      <c r="AF1969" s="47" t="e">
        <f t="shared" ca="1" si="615"/>
        <v>#NAME?</v>
      </c>
      <c r="AG1969" s="47">
        <f t="shared" si="611"/>
        <v>52010805</v>
      </c>
      <c r="AH1969" s="54">
        <f>IF(Q1969="22",IF(ISNUMBER(SEARCH("econ",PAA_4[[#This Row],[Actividad3]])),"Económico",IF(ISNUMBER(SEARCH("alim",PAA_4[[#This Row],[Actividad3]])),"Alimentación",IF(ISNUMBER(SEARCH("educ",PAA_4[[#This Row],[Actividad3]])),"Educativo","Técnico"))),0)</f>
        <v>0</v>
      </c>
      <c r="AI1969" s="47" t="e" cm="1">
        <f t="array" aca="1" ref="AI1969" ca="1">_xlfn.XLOOKUP(PAA_4[[#This Row],[RCP-RUBRO]],[2]!COMPROMISOS_2024[[#All],[concatenado]],[2]!COMPROMISOS_2024[[#All],[Total pagado]],"",0)</f>
        <v>#NAME?</v>
      </c>
      <c r="AJ1969" s="56">
        <f>IF(PAA_4[[#This Row],[BOLSA]]=0,0,SUMIFS([2]!COMPROMISOS_2024[[#All],[Total pagado]],[2]!COMPROMISOS_2024[[#All],[Bolsa]],PAA_4[[#This Row],[BOLSA]],[2]!COMPROMISOS_2024[[#All],[rubro]],PAA_4[[#This Row],[RCP-RUBRO]]))</f>
        <v>0</v>
      </c>
      <c r="AK1969" s="47" t="e" cm="1">
        <f t="array" aca="1" ref="AK1969" ca="1">_xlfn.XLOOKUP(PAA_4[[#This Row],[RCP-RUBRO]],[2]!COMPROMISOS_2024[[#All],[concatenado]],[2]!COMPROMISOS_2024[[#All],[Total Comprometido]],"",0)</f>
        <v>#NAME?</v>
      </c>
      <c r="AL1969" s="47">
        <f>IF(PAA_4[[#This Row],[BOLSA]]=0,0,SUMIFS([2]!COMPROMISOS_2024[[#All],[Total Comprometido]],[2]!COMPROMISOS_2024[[#All],[Bolsa]],PAA_4[[#This Row],[BOLSA]],[2]!COMPROMISOS_2024[[#All],[concatenado]],PAA_4[[#This Row],[RCP-RUBRO]]))</f>
        <v>0</v>
      </c>
    </row>
    <row r="1970" spans="1:38" s="19" customFormat="1" ht="31.5" customHeight="1">
      <c r="A1970" s="47" t="s">
        <v>82</v>
      </c>
      <c r="B1970" s="47" t="s">
        <v>42</v>
      </c>
      <c r="C1970" s="47" t="str">
        <f>VLOOKUP(PAA_4[[#This Row],[PROYECTO (formulado)2]],[2]PROYECTOS!$G$1:$L$32,6,0)</f>
        <v>SUBGERENCIA DE ALTOS LOGROS Y DEPORTE ASOCIADO</v>
      </c>
      <c r="D1970" s="47" t="str">
        <f>+IF(PAA_4[[#This Row],[UNIDAD DE CONTRATACION (formulado)]]="Subgerencia Administrativa y Financiera","FUNCIONAMIENTO","INVERSIÓN")</f>
        <v>INVERSIÓN</v>
      </c>
      <c r="E1970" s="48" t="str">
        <f>VLOOKUP(Q1970,[2]PROYECTOS!$G$1:$K$32,5,0)</f>
        <v>Apoyo económico a las organizaciones deportivas que representan en competencias al departamento de Antioquia</v>
      </c>
      <c r="F1970" s="48">
        <f>VLOOKUP(E1970,[2]PROYECTOS!$K$1:$M$32,3,0)</f>
        <v>2024003050102</v>
      </c>
      <c r="G1970" s="67" t="s">
        <v>1550</v>
      </c>
      <c r="H1970" s="49" t="str">
        <f>VLOOKUP(Q1970,[2]PROYECTOS!$V$1:$W$32,2,0)</f>
        <v>050076</v>
      </c>
      <c r="I1970" s="78">
        <v>2114652</v>
      </c>
      <c r="J1970" s="51" t="s">
        <v>2132</v>
      </c>
      <c r="K1970" s="47" t="str">
        <f t="shared" ca="1" si="609"/>
        <v>CONTRATADO</v>
      </c>
      <c r="L1970" s="47" t="s">
        <v>42</v>
      </c>
      <c r="M1970" s="51" t="s">
        <v>42</v>
      </c>
      <c r="N1970" s="52" t="s">
        <v>1551</v>
      </c>
      <c r="O1970" s="51" t="e">
        <f>VLOOKUP(N1970,[2]!RUBROS[#All],3,0)</f>
        <v>#REF!</v>
      </c>
      <c r="P1970" s="53" t="e">
        <f>VLOOKUP(N1970,[2]!RUBROS[#All],2,0)</f>
        <v>#REF!</v>
      </c>
      <c r="Q1970" s="47" t="str">
        <f t="shared" si="612"/>
        <v>02</v>
      </c>
      <c r="R1970" s="47" t="str">
        <f t="shared" si="613"/>
        <v>4-101124</v>
      </c>
      <c r="S1970" s="339" t="s">
        <v>42</v>
      </c>
      <c r="T1970" s="339" t="s">
        <v>42</v>
      </c>
      <c r="U1970" s="326" t="e">
        <f ca="1">_xlfn.XLOOKUP(PAA_4[[#This Row],[ITEM]],[2]Contrato!A:A,[2]Contrato!Q:Q,"",0)</f>
        <v>#NAME?</v>
      </c>
      <c r="V1970" s="47" t="s">
        <v>42</v>
      </c>
      <c r="W1970" s="47" t="s">
        <v>42</v>
      </c>
      <c r="X1970" s="47" t="s">
        <v>42</v>
      </c>
      <c r="Y1970" s="55" t="e">
        <f ca="1">_xlfn.XLOOKUP(PAA_4[[#This Row],[ITEM]],[2]Contrato!A:A,[2]Contrato!B:B,"",0)</f>
        <v>#NAME?</v>
      </c>
      <c r="Z1970" s="47" t="e">
        <f ca="1">_xlfn.XLOOKUP(PAA_4[[#This Row],[ITEM]],[2]Contrato!A:A,[2]Contrato!G:G,"",0)</f>
        <v>#NAME?</v>
      </c>
      <c r="AA1970" s="47" t="e">
        <f ca="1">_xlfn.XLOOKUP(PAA_4[[#This Row],[ITEM]],[2]Contrato!A:A,[2]Contrato!T:T,"",0)</f>
        <v>#NAME?</v>
      </c>
      <c r="AB1970" s="55" t="e">
        <f ca="1">+MAX(PAA_4[[#This Row],[Comprometido Contrato]],PAA_4[[#This Row],[Comprometido Bolsa]])</f>
        <v>#NAME?</v>
      </c>
      <c r="AC1970" s="55" t="str">
        <f t="shared" ca="1" si="614"/>
        <v/>
      </c>
      <c r="AD1970" s="55" t="e">
        <f ca="1">IF(PAA_4[[#This Row],[ESTADO (formulado)]]="NO CONTRATADO",0,MAX(PAA_4[[#This Row],[Pago por Contrato]],PAA_4[[#This Row],[Pago por bolsa]]))</f>
        <v>#NAME?</v>
      </c>
      <c r="AE1970" s="55" t="str">
        <f t="shared" ca="1" si="610"/>
        <v/>
      </c>
      <c r="AF1970" s="47" t="e">
        <f t="shared" ca="1" si="615"/>
        <v>#NAME?</v>
      </c>
      <c r="AG1970" s="47">
        <f t="shared" si="611"/>
        <v>52010801</v>
      </c>
      <c r="AH1970" s="54">
        <f>IF(Q1970="22",IF(ISNUMBER(SEARCH("econ",PAA_4[[#This Row],[Actividad3]])),"Económico",IF(ISNUMBER(SEARCH("alim",PAA_4[[#This Row],[Actividad3]])),"Alimentación",IF(ISNUMBER(SEARCH("educ",PAA_4[[#This Row],[Actividad3]])),"Educativo","Técnico"))),0)</f>
        <v>0</v>
      </c>
      <c r="AI1970" s="47" t="e" cm="1">
        <f t="array" aca="1" ref="AI1970" ca="1">_xlfn.XLOOKUP(PAA_4[[#This Row],[RCP-RUBRO]],[2]!COMPROMISOS_2024[[#All],[concatenado]],[2]!COMPROMISOS_2024[[#All],[Total pagado]],"",0)</f>
        <v>#NAME?</v>
      </c>
      <c r="AJ1970" s="56">
        <f>IF(PAA_4[[#This Row],[BOLSA]]=0,0,SUMIFS([2]!COMPROMISOS_2024[[#All],[Total pagado]],[2]!COMPROMISOS_2024[[#All],[Bolsa]],PAA_4[[#This Row],[BOLSA]],[2]!COMPROMISOS_2024[[#All],[rubro]],PAA_4[[#This Row],[RCP-RUBRO]]))</f>
        <v>0</v>
      </c>
      <c r="AK1970" s="47" t="e" cm="1">
        <f t="array" aca="1" ref="AK1970" ca="1">_xlfn.XLOOKUP(PAA_4[[#This Row],[RCP-RUBRO]],[2]!COMPROMISOS_2024[[#All],[concatenado]],[2]!COMPROMISOS_2024[[#All],[Total Comprometido]],"",0)</f>
        <v>#NAME?</v>
      </c>
      <c r="AL1970" s="47">
        <f>IF(PAA_4[[#This Row],[BOLSA]]=0,0,SUMIFS([2]!COMPROMISOS_2024[[#All],[Total Comprometido]],[2]!COMPROMISOS_2024[[#All],[Bolsa]],PAA_4[[#This Row],[BOLSA]],[2]!COMPROMISOS_2024[[#All],[concatenado]],PAA_4[[#This Row],[RCP-RUBRO]]))</f>
        <v>0</v>
      </c>
    </row>
    <row r="1971" spans="1:38" s="19" customFormat="1" ht="31.5" customHeight="1">
      <c r="A1971" s="47">
        <v>1198</v>
      </c>
      <c r="B1971" s="47">
        <v>80111600</v>
      </c>
      <c r="C1971" s="47" t="str">
        <f>VLOOKUP(PAA_4[[#This Row],[PROYECTO (formulado)2]],[2]PROYECTOS!$G$1:$L$32,6,0)</f>
        <v>SUBGERENCIA DE ALTOS LOGROS Y DEPORTE ASOCIADO</v>
      </c>
      <c r="D1971" s="47" t="str">
        <f>+IF(PAA_4[[#This Row],[UNIDAD DE CONTRATACION (formulado)]]="Subgerencia Administrativa y Financiera","FUNCIONAMIENTO","INVERSIÓN")</f>
        <v>INVERSIÓN</v>
      </c>
      <c r="E1971" s="48" t="str">
        <f>VLOOKUP(Q1971,[2]PROYECTOS!$G$1:$K$32,5,0)</f>
        <v>Fortalecimiento del desarrollo deportivo con miras al alto rendimiento competitivo de los atletas del departamento de Antioquia</v>
      </c>
      <c r="F1971" s="48">
        <f>VLOOKUP(E1971,[2]PROYECTOS!$K$1:$M$32,3,0)</f>
        <v>2024003050087</v>
      </c>
      <c r="G1971" s="67" t="s">
        <v>1548</v>
      </c>
      <c r="H1971" s="49" t="str">
        <f>VLOOKUP(Q1971,[2]PROYECTOS!$V$1:$W$32,2,0)</f>
        <v>050078</v>
      </c>
      <c r="I1971" s="78">
        <f>9796292-2114651</f>
        <v>7681641</v>
      </c>
      <c r="J1971" s="51" t="s">
        <v>2186</v>
      </c>
      <c r="K1971" s="47" t="str">
        <f t="shared" ca="1" si="609"/>
        <v>CONTRATADO</v>
      </c>
      <c r="L1971" s="47" t="s">
        <v>78</v>
      </c>
      <c r="M1971" s="51" t="s">
        <v>1297</v>
      </c>
      <c r="N1971" s="52" t="s">
        <v>2110</v>
      </c>
      <c r="O1971" s="51" t="e">
        <f>VLOOKUP(N1971,[2]!RUBROS[#All],3,0)</f>
        <v>#REF!</v>
      </c>
      <c r="P1971" s="53" t="e">
        <f>VLOOKUP(N1971,[2]!RUBROS[#All],2,0)</f>
        <v>#REF!</v>
      </c>
      <c r="Q1971" s="47" t="str">
        <f t="shared" si="612"/>
        <v>87</v>
      </c>
      <c r="R1971" s="47" t="str">
        <f t="shared" si="613"/>
        <v>4-101124</v>
      </c>
      <c r="S1971" s="339">
        <v>68</v>
      </c>
      <c r="T1971" s="59" t="s">
        <v>120</v>
      </c>
      <c r="U1971" s="326" t="e">
        <f ca="1">_xlfn.XLOOKUP(PAA_4[[#This Row],[ITEM]],[2]Contrato!A:A,[2]Contrato!Q:Q,"",0)</f>
        <v>#NAME?</v>
      </c>
      <c r="V1971" s="47" t="s">
        <v>95</v>
      </c>
      <c r="W1971" s="47" t="s">
        <v>203</v>
      </c>
      <c r="X1971" s="47" t="s">
        <v>203</v>
      </c>
      <c r="Y1971" s="55" t="e">
        <f ca="1">_xlfn.XLOOKUP(PAA_4[[#This Row],[ITEM]],[2]Contrato!A:A,[2]Contrato!B:B,"",0)</f>
        <v>#NAME?</v>
      </c>
      <c r="Z1971" s="47" t="e">
        <f ca="1">_xlfn.XLOOKUP(PAA_4[[#This Row],[ITEM]],[2]Contrato!A:A,[2]Contrato!G:G,"",0)</f>
        <v>#NAME?</v>
      </c>
      <c r="AA1971" s="47" t="e">
        <f ca="1">_xlfn.XLOOKUP(PAA_4[[#This Row],[ITEM]],[2]Contrato!A:A,[2]Contrato!T:T,"",0)</f>
        <v>#NAME?</v>
      </c>
      <c r="AB1971" s="55" t="e">
        <f ca="1">+MAX(PAA_4[[#This Row],[Comprometido Contrato]],PAA_4[[#This Row],[Comprometido Bolsa]])</f>
        <v>#NAME?</v>
      </c>
      <c r="AC1971" s="55" t="str">
        <f t="shared" ca="1" si="614"/>
        <v/>
      </c>
      <c r="AD1971" s="55" t="e">
        <f ca="1">IF(PAA_4[[#This Row],[ESTADO (formulado)]]="NO CONTRATADO",0,MAX(PAA_4[[#This Row],[Pago por Contrato]],PAA_4[[#This Row],[Pago por bolsa]]))</f>
        <v>#NAME?</v>
      </c>
      <c r="AE1971" s="55" t="str">
        <f t="shared" ca="1" si="610"/>
        <v/>
      </c>
      <c r="AF1971" s="47" t="e">
        <f t="shared" ca="1" si="615"/>
        <v>#NAME?</v>
      </c>
      <c r="AG1971" s="47">
        <f t="shared" si="611"/>
        <v>52010805</v>
      </c>
      <c r="AH1971" s="54">
        <f>IF(Q1971="22",IF(ISNUMBER(SEARCH("econ",PAA_4[[#This Row],[Actividad3]])),"Económico",IF(ISNUMBER(SEARCH("alim",PAA_4[[#This Row],[Actividad3]])),"Alimentación",IF(ISNUMBER(SEARCH("educ",PAA_4[[#This Row],[Actividad3]])),"Educativo","Técnico"))),0)</f>
        <v>0</v>
      </c>
      <c r="AI1971" s="47" t="e" cm="1">
        <f t="array" aca="1" ref="AI1971" ca="1">_xlfn.XLOOKUP(PAA_4[[#This Row],[RCP-RUBRO]],[2]!COMPROMISOS_2024[[#All],[concatenado]],[2]!COMPROMISOS_2024[[#All],[Total pagado]],"",0)</f>
        <v>#NAME?</v>
      </c>
      <c r="AJ1971" s="56">
        <f>IF(PAA_4[[#This Row],[BOLSA]]=0,0,SUMIFS([2]!COMPROMISOS_2024[[#All],[Total pagado]],[2]!COMPROMISOS_2024[[#All],[Bolsa]],PAA_4[[#This Row],[BOLSA]],[2]!COMPROMISOS_2024[[#All],[rubro]],PAA_4[[#This Row],[RCP-RUBRO]]))</f>
        <v>0</v>
      </c>
      <c r="AK1971" s="47" t="e" cm="1">
        <f t="array" aca="1" ref="AK1971" ca="1">_xlfn.XLOOKUP(PAA_4[[#This Row],[RCP-RUBRO]],[2]!COMPROMISOS_2024[[#All],[concatenado]],[2]!COMPROMISOS_2024[[#All],[Total Comprometido]],"",0)</f>
        <v>#NAME?</v>
      </c>
      <c r="AL1971" s="47">
        <f>IF(PAA_4[[#This Row],[BOLSA]]=0,0,SUMIFS([2]!COMPROMISOS_2024[[#All],[Total Comprometido]],[2]!COMPROMISOS_2024[[#All],[Bolsa]],PAA_4[[#This Row],[BOLSA]],[2]!COMPROMISOS_2024[[#All],[concatenado]],PAA_4[[#This Row],[RCP-RUBRO]]))</f>
        <v>0</v>
      </c>
    </row>
    <row r="1972" spans="1:38" s="19" customFormat="1" ht="31.5" customHeight="1">
      <c r="A1972" s="47" t="s">
        <v>82</v>
      </c>
      <c r="B1972" s="47" t="s">
        <v>42</v>
      </c>
      <c r="C1972" s="47" t="str">
        <f>VLOOKUP(PAA_4[[#This Row],[PROYECTO (formulado)2]],[2]PROYECTOS!$G$1:$L$32,6,0)</f>
        <v>SUBGERENCIA DE ALTOS LOGROS Y DEPORTE ASOCIADO</v>
      </c>
      <c r="D1972" s="47" t="str">
        <f>+IF(PAA_4[[#This Row],[UNIDAD DE CONTRATACION (formulado)]]="Subgerencia Administrativa y Financiera","FUNCIONAMIENTO","INVERSIÓN")</f>
        <v>INVERSIÓN</v>
      </c>
      <c r="E1972" s="48" t="str">
        <f>VLOOKUP(Q1972,[2]PROYECTOS!$G$1:$K$32,5,0)</f>
        <v>Apoyo económico a las organizaciones deportivas que representan en competencias al departamento de Antioquia</v>
      </c>
      <c r="F1972" s="48">
        <f>VLOOKUP(E1972,[2]PROYECTOS!$K$1:$M$32,3,0)</f>
        <v>2024003050102</v>
      </c>
      <c r="G1972" s="67" t="s">
        <v>1550</v>
      </c>
      <c r="H1972" s="49" t="str">
        <f>VLOOKUP(Q1972,[2]PROYECTOS!$V$1:$W$32,2,0)</f>
        <v>050076</v>
      </c>
      <c r="I1972" s="78">
        <v>199302</v>
      </c>
      <c r="J1972" s="51" t="s">
        <v>1778</v>
      </c>
      <c r="K1972" s="47" t="str">
        <f t="shared" ca="1" si="609"/>
        <v>CONTRATADO</v>
      </c>
      <c r="L1972" s="47" t="s">
        <v>42</v>
      </c>
      <c r="M1972" s="51" t="s">
        <v>42</v>
      </c>
      <c r="N1972" s="52" t="s">
        <v>1551</v>
      </c>
      <c r="O1972" s="51" t="e">
        <f>VLOOKUP(N1972,[2]!RUBROS[#All],3,0)</f>
        <v>#REF!</v>
      </c>
      <c r="P1972" s="53" t="e">
        <f>VLOOKUP(N1972,[2]!RUBROS[#All],2,0)</f>
        <v>#REF!</v>
      </c>
      <c r="Q1972" s="47" t="str">
        <f t="shared" si="612"/>
        <v>02</v>
      </c>
      <c r="R1972" s="47" t="str">
        <f t="shared" si="613"/>
        <v>4-101124</v>
      </c>
      <c r="S1972" s="339" t="s">
        <v>42</v>
      </c>
      <c r="T1972" s="59" t="s">
        <v>42</v>
      </c>
      <c r="U1972" s="326" t="e">
        <f ca="1">_xlfn.XLOOKUP(PAA_4[[#This Row],[ITEM]],[2]Contrato!A:A,[2]Contrato!Q:Q,"",0)</f>
        <v>#NAME?</v>
      </c>
      <c r="V1972" s="47" t="s">
        <v>95</v>
      </c>
      <c r="W1972" s="47" t="s">
        <v>42</v>
      </c>
      <c r="X1972" s="47" t="s">
        <v>42</v>
      </c>
      <c r="Y1972" s="55" t="e">
        <f ca="1">_xlfn.XLOOKUP(PAA_4[[#This Row],[ITEM]],[2]Contrato!A:A,[2]Contrato!B:B,"",0)</f>
        <v>#NAME?</v>
      </c>
      <c r="Z1972" s="47" t="e">
        <f ca="1">_xlfn.XLOOKUP(PAA_4[[#This Row],[ITEM]],[2]Contrato!A:A,[2]Contrato!G:G,"",0)</f>
        <v>#NAME?</v>
      </c>
      <c r="AA1972" s="47" t="e">
        <f ca="1">_xlfn.XLOOKUP(PAA_4[[#This Row],[ITEM]],[2]Contrato!A:A,[2]Contrato!T:T,"",0)</f>
        <v>#NAME?</v>
      </c>
      <c r="AB1972" s="55" t="e">
        <f ca="1">+MAX(PAA_4[[#This Row],[Comprometido Contrato]],PAA_4[[#This Row],[Comprometido Bolsa]])</f>
        <v>#NAME?</v>
      </c>
      <c r="AC1972" s="55" t="str">
        <f t="shared" ca="1" si="614"/>
        <v/>
      </c>
      <c r="AD1972" s="55" t="e">
        <f ca="1">IF(PAA_4[[#This Row],[ESTADO (formulado)]]="NO CONTRATADO",0,MAX(PAA_4[[#This Row],[Pago por Contrato]],PAA_4[[#This Row],[Pago por bolsa]]))</f>
        <v>#NAME?</v>
      </c>
      <c r="AE1972" s="55" t="str">
        <f t="shared" ca="1" si="610"/>
        <v/>
      </c>
      <c r="AF1972" s="47" t="e">
        <f t="shared" ca="1" si="615"/>
        <v>#NAME?</v>
      </c>
      <c r="AG1972" s="47">
        <f t="shared" si="611"/>
        <v>52010801</v>
      </c>
      <c r="AH1972" s="54">
        <f>IF(Q1972="22",IF(ISNUMBER(SEARCH("econ",PAA_4[[#This Row],[Actividad3]])),"Económico",IF(ISNUMBER(SEARCH("alim",PAA_4[[#This Row],[Actividad3]])),"Alimentación",IF(ISNUMBER(SEARCH("educ",PAA_4[[#This Row],[Actividad3]])),"Educativo","Técnico"))),0)</f>
        <v>0</v>
      </c>
      <c r="AI1972" s="47" t="e" cm="1">
        <f t="array" aca="1" ref="AI1972" ca="1">_xlfn.XLOOKUP(PAA_4[[#This Row],[RCP-RUBRO]],[2]!COMPROMISOS_2024[[#All],[concatenado]],[2]!COMPROMISOS_2024[[#All],[Total pagado]],"",0)</f>
        <v>#NAME?</v>
      </c>
      <c r="AJ1972" s="56">
        <f>IF(PAA_4[[#This Row],[BOLSA]]=0,0,SUMIFS([2]!COMPROMISOS_2024[[#All],[Total pagado]],[2]!COMPROMISOS_2024[[#All],[Bolsa]],PAA_4[[#This Row],[BOLSA]],[2]!COMPROMISOS_2024[[#All],[rubro]],PAA_4[[#This Row],[RCP-RUBRO]]))</f>
        <v>0</v>
      </c>
      <c r="AK1972" s="47" t="e" cm="1">
        <f t="array" aca="1" ref="AK1972" ca="1">_xlfn.XLOOKUP(PAA_4[[#This Row],[RCP-RUBRO]],[2]!COMPROMISOS_2024[[#All],[concatenado]],[2]!COMPROMISOS_2024[[#All],[Total Comprometido]],"",0)</f>
        <v>#NAME?</v>
      </c>
      <c r="AL1972" s="47">
        <f>IF(PAA_4[[#This Row],[BOLSA]]=0,0,SUMIFS([2]!COMPROMISOS_2024[[#All],[Total Comprometido]],[2]!COMPROMISOS_2024[[#All],[Bolsa]],PAA_4[[#This Row],[BOLSA]],[2]!COMPROMISOS_2024[[#All],[concatenado]],PAA_4[[#This Row],[RCP-RUBRO]]))</f>
        <v>0</v>
      </c>
    </row>
    <row r="1973" spans="1:38" s="19" customFormat="1" ht="31.5" customHeight="1">
      <c r="A1973" s="47">
        <v>1197</v>
      </c>
      <c r="B1973" s="47">
        <v>80111600</v>
      </c>
      <c r="C1973" s="47" t="str">
        <f>VLOOKUP(PAA_4[[#This Row],[PROYECTO (formulado)2]],[2]PROYECTOS!$G$1:$L$32,6,0)</f>
        <v>SUBGERENCIA DE ALTOS LOGROS Y DEPORTE ASOCIADO</v>
      </c>
      <c r="D1973" s="47" t="str">
        <f>+IF(PAA_4[[#This Row],[UNIDAD DE CONTRATACION (formulado)]]="Subgerencia Administrativa y Financiera","FUNCIONAMIENTO","INVERSIÓN")</f>
        <v>INVERSIÓN</v>
      </c>
      <c r="E1973" s="48" t="str">
        <f>VLOOKUP(Q1973,[2]PROYECTOS!$G$1:$K$32,5,0)</f>
        <v>Apoyo económico a las organizaciones deportivas que representan en competencias al departamento de Antioquia</v>
      </c>
      <c r="F1973" s="48">
        <f>VLOOKUP(E1973,[2]PROYECTOS!$K$1:$M$32,3,0)</f>
        <v>2024003050102</v>
      </c>
      <c r="G1973" s="67" t="s">
        <v>1550</v>
      </c>
      <c r="H1973" s="49" t="str">
        <f>VLOOKUP(Q1973,[2]PROYECTOS!$V$1:$W$32,2,0)</f>
        <v>050076</v>
      </c>
      <c r="I1973" s="78">
        <f>5979091-199302-1</f>
        <v>5779788</v>
      </c>
      <c r="J1973" s="51" t="s">
        <v>2185</v>
      </c>
      <c r="K1973" s="47" t="str">
        <f t="shared" ca="1" si="609"/>
        <v>CONTRATADO</v>
      </c>
      <c r="L1973" s="47" t="s">
        <v>78</v>
      </c>
      <c r="M1973" s="51" t="s">
        <v>1297</v>
      </c>
      <c r="N1973" s="52" t="s">
        <v>1551</v>
      </c>
      <c r="O1973" s="51" t="e">
        <f>VLOOKUP(N1973,[2]!RUBROS[#All],3,0)</f>
        <v>#REF!</v>
      </c>
      <c r="P1973" s="53" t="e">
        <f>VLOOKUP(N1973,[2]!RUBROS[#All],2,0)</f>
        <v>#REF!</v>
      </c>
      <c r="Q1973" s="47" t="str">
        <f t="shared" si="612"/>
        <v>02</v>
      </c>
      <c r="R1973" s="47" t="str">
        <f t="shared" si="613"/>
        <v>4-101124</v>
      </c>
      <c r="S1973" s="339">
        <v>87</v>
      </c>
      <c r="T1973" s="63" t="s">
        <v>120</v>
      </c>
      <c r="U1973" s="326" t="e">
        <f ca="1">_xlfn.XLOOKUP(PAA_4[[#This Row],[ITEM]],[2]Contrato!A:A,[2]Contrato!Q:Q,"",0)</f>
        <v>#NAME?</v>
      </c>
      <c r="V1973" s="47" t="s">
        <v>95</v>
      </c>
      <c r="W1973" s="47" t="s">
        <v>203</v>
      </c>
      <c r="X1973" s="47" t="s">
        <v>203</v>
      </c>
      <c r="Y1973" s="55" t="e">
        <f ca="1">_xlfn.XLOOKUP(PAA_4[[#This Row],[ITEM]],[2]Contrato!A:A,[2]Contrato!B:B,"",0)</f>
        <v>#NAME?</v>
      </c>
      <c r="Z1973" s="47" t="e">
        <f ca="1">_xlfn.XLOOKUP(PAA_4[[#This Row],[ITEM]],[2]Contrato!A:A,[2]Contrato!G:G,"",0)</f>
        <v>#NAME?</v>
      </c>
      <c r="AA1973" s="47" t="e">
        <f ca="1">_xlfn.XLOOKUP(PAA_4[[#This Row],[ITEM]],[2]Contrato!A:A,[2]Contrato!T:T,"",0)</f>
        <v>#NAME?</v>
      </c>
      <c r="AB1973" s="55" t="e">
        <f ca="1">+MAX(PAA_4[[#This Row],[Comprometido Contrato]],PAA_4[[#This Row],[Comprometido Bolsa]])</f>
        <v>#NAME?</v>
      </c>
      <c r="AC1973" s="55" t="str">
        <f t="shared" ca="1" si="614"/>
        <v/>
      </c>
      <c r="AD1973" s="55" t="e">
        <f ca="1">IF(PAA_4[[#This Row],[ESTADO (formulado)]]="NO CONTRATADO",0,MAX(PAA_4[[#This Row],[Pago por Contrato]],PAA_4[[#This Row],[Pago por bolsa]]))</f>
        <v>#NAME?</v>
      </c>
      <c r="AE1973" s="55" t="str">
        <f t="shared" ca="1" si="610"/>
        <v/>
      </c>
      <c r="AF1973" s="47" t="e">
        <f t="shared" ca="1" si="615"/>
        <v>#NAME?</v>
      </c>
      <c r="AG1973" s="47">
        <f t="shared" si="611"/>
        <v>52010801</v>
      </c>
      <c r="AH1973" s="54">
        <f>IF(Q1973="22",IF(ISNUMBER(SEARCH("econ",PAA_4[[#This Row],[Actividad3]])),"Económico",IF(ISNUMBER(SEARCH("alim",PAA_4[[#This Row],[Actividad3]])),"Alimentación",IF(ISNUMBER(SEARCH("educ",PAA_4[[#This Row],[Actividad3]])),"Educativo","Técnico"))),0)</f>
        <v>0</v>
      </c>
      <c r="AI1973" s="47" t="e" cm="1">
        <f t="array" aca="1" ref="AI1973" ca="1">_xlfn.XLOOKUP(PAA_4[[#This Row],[RCP-RUBRO]],[2]!COMPROMISOS_2024[[#All],[concatenado]],[2]!COMPROMISOS_2024[[#All],[Total pagado]],"",0)</f>
        <v>#NAME?</v>
      </c>
      <c r="AJ1973" s="56">
        <f>IF(PAA_4[[#This Row],[BOLSA]]=0,0,SUMIFS([2]!COMPROMISOS_2024[[#All],[Total pagado]],[2]!COMPROMISOS_2024[[#All],[Bolsa]],PAA_4[[#This Row],[BOLSA]],[2]!COMPROMISOS_2024[[#All],[rubro]],PAA_4[[#This Row],[RCP-RUBRO]]))</f>
        <v>0</v>
      </c>
      <c r="AK1973" s="47" t="e" cm="1">
        <f t="array" aca="1" ref="AK1973" ca="1">_xlfn.XLOOKUP(PAA_4[[#This Row],[RCP-RUBRO]],[2]!COMPROMISOS_2024[[#All],[concatenado]],[2]!COMPROMISOS_2024[[#All],[Total Comprometido]],"",0)</f>
        <v>#NAME?</v>
      </c>
      <c r="AL1973" s="47">
        <f>IF(PAA_4[[#This Row],[BOLSA]]=0,0,SUMIFS([2]!COMPROMISOS_2024[[#All],[Total Comprometido]],[2]!COMPROMISOS_2024[[#All],[Bolsa]],PAA_4[[#This Row],[BOLSA]],[2]!COMPROMISOS_2024[[#All],[concatenado]],PAA_4[[#This Row],[RCP-RUBRO]]))</f>
        <v>0</v>
      </c>
    </row>
    <row r="1974" spans="1:38" s="19" customFormat="1" ht="31.5" customHeight="1">
      <c r="A1974" s="47">
        <v>1198</v>
      </c>
      <c r="B1974" s="47">
        <v>80111600</v>
      </c>
      <c r="C1974" s="47" t="str">
        <f>VLOOKUP(PAA_4[[#This Row],[PROYECTO (formulado)2]],[2]PROYECTOS!$G$1:$L$32,6,0)</f>
        <v>SUBGERENCIA DE ALTOS LOGROS Y DEPORTE ASOCIADO</v>
      </c>
      <c r="D1974" s="47" t="str">
        <f>+IF(PAA_4[[#This Row],[UNIDAD DE CONTRATACION (formulado)]]="Subgerencia Administrativa y Financiera","FUNCIONAMIENTO","INVERSIÓN")</f>
        <v>INVERSIÓN</v>
      </c>
      <c r="E1974" s="48" t="str">
        <f>VLOOKUP(Q1974,[2]PROYECTOS!$G$1:$K$32,5,0)</f>
        <v>Apoyo económico a las organizaciones deportivas que representan en competencias al departamento de Antioquia</v>
      </c>
      <c r="F1974" s="48">
        <f>VLOOKUP(E1974,[2]PROYECTOS!$K$1:$M$32,3,0)</f>
        <v>2024003050102</v>
      </c>
      <c r="G1974" s="67" t="s">
        <v>1550</v>
      </c>
      <c r="H1974" s="49" t="str">
        <f>VLOOKUP(Q1974,[2]PROYECTOS!$V$1:$W$32,2,0)</f>
        <v>050076</v>
      </c>
      <c r="I1974" s="78">
        <f>9796292-2114652</f>
        <v>7681640</v>
      </c>
      <c r="J1974" s="51" t="s">
        <v>2186</v>
      </c>
      <c r="K1974" s="47" t="str">
        <f t="shared" ca="1" si="609"/>
        <v>CONTRATADO</v>
      </c>
      <c r="L1974" s="47" t="s">
        <v>78</v>
      </c>
      <c r="M1974" s="51" t="s">
        <v>1297</v>
      </c>
      <c r="N1974" s="52" t="s">
        <v>1551</v>
      </c>
      <c r="O1974" s="51" t="e">
        <f>VLOOKUP(N1974,[2]!RUBROS[#All],3,0)</f>
        <v>#REF!</v>
      </c>
      <c r="P1974" s="53" t="e">
        <f>VLOOKUP(N1974,[2]!RUBROS[#All],2,0)</f>
        <v>#REF!</v>
      </c>
      <c r="Q1974" s="47" t="str">
        <f t="shared" si="612"/>
        <v>02</v>
      </c>
      <c r="R1974" s="47" t="str">
        <f t="shared" si="613"/>
        <v>4-101124</v>
      </c>
      <c r="S1974" s="339">
        <v>68</v>
      </c>
      <c r="T1974" s="63" t="s">
        <v>120</v>
      </c>
      <c r="U1974" s="326" t="e">
        <f ca="1">_xlfn.XLOOKUP(PAA_4[[#This Row],[ITEM]],[2]Contrato!A:A,[2]Contrato!Q:Q,"",0)</f>
        <v>#NAME?</v>
      </c>
      <c r="V1974" s="47" t="s">
        <v>95</v>
      </c>
      <c r="W1974" s="47" t="s">
        <v>203</v>
      </c>
      <c r="X1974" s="47" t="s">
        <v>203</v>
      </c>
      <c r="Y1974" s="55" t="e">
        <f ca="1">_xlfn.XLOOKUP(PAA_4[[#This Row],[ITEM]],[2]Contrato!A:A,[2]Contrato!B:B,"",0)</f>
        <v>#NAME?</v>
      </c>
      <c r="Z1974" s="47" t="e">
        <f ca="1">_xlfn.XLOOKUP(PAA_4[[#This Row],[ITEM]],[2]Contrato!A:A,[2]Contrato!G:G,"",0)</f>
        <v>#NAME?</v>
      </c>
      <c r="AA1974" s="47" t="e">
        <f ca="1">_xlfn.XLOOKUP(PAA_4[[#This Row],[ITEM]],[2]Contrato!A:A,[2]Contrato!T:T,"",0)</f>
        <v>#NAME?</v>
      </c>
      <c r="AB1974" s="55" t="e">
        <f ca="1">+MAX(PAA_4[[#This Row],[Comprometido Contrato]],PAA_4[[#This Row],[Comprometido Bolsa]])</f>
        <v>#NAME?</v>
      </c>
      <c r="AC1974" s="55" t="str">
        <f t="shared" ca="1" si="614"/>
        <v/>
      </c>
      <c r="AD1974" s="55" t="e">
        <f ca="1">IF(PAA_4[[#This Row],[ESTADO (formulado)]]="NO CONTRATADO",0,MAX(PAA_4[[#This Row],[Pago por Contrato]],PAA_4[[#This Row],[Pago por bolsa]]))</f>
        <v>#NAME?</v>
      </c>
      <c r="AE1974" s="55" t="str">
        <f t="shared" ca="1" si="610"/>
        <v/>
      </c>
      <c r="AF1974" s="47" t="e">
        <f t="shared" ca="1" si="615"/>
        <v>#NAME?</v>
      </c>
      <c r="AG1974" s="47">
        <f t="shared" si="611"/>
        <v>52010801</v>
      </c>
      <c r="AH1974" s="54">
        <f>IF(Q1974="22",IF(ISNUMBER(SEARCH("econ",PAA_4[[#This Row],[Actividad3]])),"Económico",IF(ISNUMBER(SEARCH("alim",PAA_4[[#This Row],[Actividad3]])),"Alimentación",IF(ISNUMBER(SEARCH("educ",PAA_4[[#This Row],[Actividad3]])),"Educativo","Técnico"))),0)</f>
        <v>0</v>
      </c>
      <c r="AI1974" s="47" t="e" cm="1">
        <f t="array" aca="1" ref="AI1974" ca="1">_xlfn.XLOOKUP(PAA_4[[#This Row],[RCP-RUBRO]],[2]!COMPROMISOS_2024[[#All],[concatenado]],[2]!COMPROMISOS_2024[[#All],[Total pagado]],"",0)</f>
        <v>#NAME?</v>
      </c>
      <c r="AJ1974" s="56">
        <f>IF(PAA_4[[#This Row],[BOLSA]]=0,0,SUMIFS([2]!COMPROMISOS_2024[[#All],[Total pagado]],[2]!COMPROMISOS_2024[[#All],[Bolsa]],PAA_4[[#This Row],[BOLSA]],[2]!COMPROMISOS_2024[[#All],[rubro]],PAA_4[[#This Row],[RCP-RUBRO]]))</f>
        <v>0</v>
      </c>
      <c r="AK1974" s="47" t="e" cm="1">
        <f t="array" aca="1" ref="AK1974" ca="1">_xlfn.XLOOKUP(PAA_4[[#This Row],[RCP-RUBRO]],[2]!COMPROMISOS_2024[[#All],[concatenado]],[2]!COMPROMISOS_2024[[#All],[Total Comprometido]],"",0)</f>
        <v>#NAME?</v>
      </c>
      <c r="AL1974" s="47">
        <f>IF(PAA_4[[#This Row],[BOLSA]]=0,0,SUMIFS([2]!COMPROMISOS_2024[[#All],[Total Comprometido]],[2]!COMPROMISOS_2024[[#All],[Bolsa]],PAA_4[[#This Row],[BOLSA]],[2]!COMPROMISOS_2024[[#All],[concatenado]],PAA_4[[#This Row],[RCP-RUBRO]]))</f>
        <v>0</v>
      </c>
    </row>
    <row r="1975" spans="1:38" s="19" customFormat="1" ht="31.5" customHeight="1">
      <c r="A1975" s="47">
        <v>1199</v>
      </c>
      <c r="B1975" s="47">
        <v>80111600</v>
      </c>
      <c r="C1975" s="47" t="str">
        <f>VLOOKUP(PAA_4[[#This Row],[PROYECTO (formulado)2]],[2]PROYECTOS!$G$1:$L$32,6,0)</f>
        <v>SUBGERENCIA DE ALTOS LOGROS Y DEPORTE ASOCIADO</v>
      </c>
      <c r="D1975" s="47" t="str">
        <f>+IF(PAA_4[[#This Row],[UNIDAD DE CONTRATACION (formulado)]]="Subgerencia Administrativa y Financiera","FUNCIONAMIENTO","INVERSIÓN")</f>
        <v>INVERSIÓN</v>
      </c>
      <c r="E1975" s="48" t="str">
        <f>VLOOKUP(Q1975,[2]PROYECTOS!$G$1:$K$32,5,0)</f>
        <v>Apoyo económico a las organizaciones deportivas que representan en competencias al departamento de Antioquia</v>
      </c>
      <c r="F1975" s="48">
        <f>VLOOKUP(E1975,[2]PROYECTOS!$K$1:$M$32,3,0)</f>
        <v>2024003050102</v>
      </c>
      <c r="G1975" s="67" t="s">
        <v>1550</v>
      </c>
      <c r="H1975" s="49" t="str">
        <f>VLOOKUP(Q1975,[2]PROYECTOS!$V$1:$W$32,2,0)</f>
        <v>050076</v>
      </c>
      <c r="I1975" s="78">
        <f>17398333-1668333</f>
        <v>15730000</v>
      </c>
      <c r="J1975" s="51" t="s">
        <v>1328</v>
      </c>
      <c r="K1975" s="47" t="str">
        <f t="shared" ca="1" si="609"/>
        <v>CONTRATADO</v>
      </c>
      <c r="L1975" s="47" t="s">
        <v>94</v>
      </c>
      <c r="M1975" s="51" t="s">
        <v>1297</v>
      </c>
      <c r="N1975" s="52" t="s">
        <v>1551</v>
      </c>
      <c r="O1975" s="51" t="e">
        <f>VLOOKUP(N1975,[2]!RUBROS[#All],3,0)</f>
        <v>#REF!</v>
      </c>
      <c r="P1975" s="53" t="e">
        <f>VLOOKUP(N1975,[2]!RUBROS[#All],2,0)</f>
        <v>#REF!</v>
      </c>
      <c r="Q1975" s="47" t="str">
        <f t="shared" si="612"/>
        <v>02</v>
      </c>
      <c r="R1975" s="47" t="str">
        <f t="shared" si="613"/>
        <v>4-101124</v>
      </c>
      <c r="S1975" s="339">
        <v>73</v>
      </c>
      <c r="T1975" s="63" t="s">
        <v>120</v>
      </c>
      <c r="U1975" s="326" t="e">
        <f ca="1">_xlfn.XLOOKUP(PAA_4[[#This Row],[ITEM]],[2]Contrato!A:A,[2]Contrato!Q:Q,"",0)</f>
        <v>#NAME?</v>
      </c>
      <c r="V1975" s="47" t="s">
        <v>95</v>
      </c>
      <c r="W1975" s="47" t="s">
        <v>203</v>
      </c>
      <c r="X1975" s="47" t="s">
        <v>203</v>
      </c>
      <c r="Y1975" s="55" t="e">
        <f ca="1">_xlfn.XLOOKUP(PAA_4[[#This Row],[ITEM]],[2]Contrato!A:A,[2]Contrato!B:B,"",0)</f>
        <v>#NAME?</v>
      </c>
      <c r="Z1975" s="47" t="e">
        <f ca="1">_xlfn.XLOOKUP(PAA_4[[#This Row],[ITEM]],[2]Contrato!A:A,[2]Contrato!G:G,"",0)</f>
        <v>#NAME?</v>
      </c>
      <c r="AA1975" s="47" t="e">
        <f ca="1">_xlfn.XLOOKUP(PAA_4[[#This Row],[ITEM]],[2]Contrato!A:A,[2]Contrato!T:T,"",0)</f>
        <v>#NAME?</v>
      </c>
      <c r="AB1975" s="55" t="e">
        <f ca="1">+MAX(PAA_4[[#This Row],[Comprometido Contrato]],PAA_4[[#This Row],[Comprometido Bolsa]])</f>
        <v>#NAME?</v>
      </c>
      <c r="AC1975" s="55" t="str">
        <f t="shared" ca="1" si="614"/>
        <v/>
      </c>
      <c r="AD1975" s="55" t="e">
        <f ca="1">IF(PAA_4[[#This Row],[ESTADO (formulado)]]="NO CONTRATADO",0,MAX(PAA_4[[#This Row],[Pago por Contrato]],PAA_4[[#This Row],[Pago por bolsa]]))</f>
        <v>#NAME?</v>
      </c>
      <c r="AE1975" s="55" t="str">
        <f t="shared" ca="1" si="610"/>
        <v/>
      </c>
      <c r="AF1975" s="47" t="e">
        <f t="shared" ca="1" si="615"/>
        <v>#NAME?</v>
      </c>
      <c r="AG1975" s="47">
        <f t="shared" si="611"/>
        <v>52010801</v>
      </c>
      <c r="AH1975" s="54">
        <f>IF(Q1975="22",IF(ISNUMBER(SEARCH("econ",PAA_4[[#This Row],[Actividad3]])),"Económico",IF(ISNUMBER(SEARCH("alim",PAA_4[[#This Row],[Actividad3]])),"Alimentación",IF(ISNUMBER(SEARCH("educ",PAA_4[[#This Row],[Actividad3]])),"Educativo","Técnico"))),0)</f>
        <v>0</v>
      </c>
      <c r="AI1975" s="47" t="e" cm="1">
        <f t="array" aca="1" ref="AI1975" ca="1">_xlfn.XLOOKUP(PAA_4[[#This Row],[RCP-RUBRO]],[2]!COMPROMISOS_2024[[#All],[concatenado]],[2]!COMPROMISOS_2024[[#All],[Total pagado]],"",0)</f>
        <v>#NAME?</v>
      </c>
      <c r="AJ1975" s="56">
        <f>IF(PAA_4[[#This Row],[BOLSA]]=0,0,SUMIFS([2]!COMPROMISOS_2024[[#All],[Total pagado]],[2]!COMPROMISOS_2024[[#All],[Bolsa]],PAA_4[[#This Row],[BOLSA]],[2]!COMPROMISOS_2024[[#All],[rubro]],PAA_4[[#This Row],[RCP-RUBRO]]))</f>
        <v>0</v>
      </c>
      <c r="AK1975" s="47" t="e" cm="1">
        <f t="array" aca="1" ref="AK1975" ca="1">_xlfn.XLOOKUP(PAA_4[[#This Row],[RCP-RUBRO]],[2]!COMPROMISOS_2024[[#All],[concatenado]],[2]!COMPROMISOS_2024[[#All],[Total Comprometido]],"",0)</f>
        <v>#NAME?</v>
      </c>
      <c r="AL1975" s="47">
        <f>IF(PAA_4[[#This Row],[BOLSA]]=0,0,SUMIFS([2]!COMPROMISOS_2024[[#All],[Total Comprometido]],[2]!COMPROMISOS_2024[[#All],[Bolsa]],PAA_4[[#This Row],[BOLSA]],[2]!COMPROMISOS_2024[[#All],[concatenado]],PAA_4[[#This Row],[RCP-RUBRO]]))</f>
        <v>0</v>
      </c>
    </row>
    <row r="1976" spans="1:38" s="19" customFormat="1" ht="31.5" customHeight="1">
      <c r="A1976" s="47">
        <v>1243</v>
      </c>
      <c r="B1976" s="47">
        <v>90141502</v>
      </c>
      <c r="C1976" s="47" t="str">
        <f>VLOOKUP(PAA_4[[#This Row],[PROYECTO (formulado)2]],[2]PROYECTOS!$G$1:$L$32,6,0)</f>
        <v>SUBGERENCIA DE ALTOS LOGROS Y DEPORTE ASOCIADO</v>
      </c>
      <c r="D1976" s="47" t="str">
        <f>+IF(PAA_4[[#This Row],[UNIDAD DE CONTRATACION (formulado)]]="Subgerencia Administrativa y Financiera","FUNCIONAMIENTO","INVERSIÓN")</f>
        <v>INVERSIÓN</v>
      </c>
      <c r="E1976" s="48" t="str">
        <f>VLOOKUP(Q1976,[2]PROYECTOS!$G$1:$K$32,5,0)</f>
        <v>Apoyo económico a las organizaciones deportivas que representan en competencias al departamento de Antioquia</v>
      </c>
      <c r="F1976" s="48">
        <f>VLOOKUP(E1976,[2]PROYECTOS!$K$1:$M$32,3,0)</f>
        <v>2024003050102</v>
      </c>
      <c r="G1976" s="67" t="s">
        <v>1521</v>
      </c>
      <c r="H1976" s="49" t="str">
        <f>VLOOKUP(Q1976,[2]PROYECTOS!$V$1:$W$32,2,0)</f>
        <v>050076</v>
      </c>
      <c r="I1976" s="78">
        <v>95000000</v>
      </c>
      <c r="J1976" s="51" t="s">
        <v>2187</v>
      </c>
      <c r="K1976" s="47" t="str">
        <f t="shared" ca="1" si="609"/>
        <v>CONTRATADO</v>
      </c>
      <c r="L1976" s="47" t="s">
        <v>78</v>
      </c>
      <c r="M1976" s="51" t="s">
        <v>1767</v>
      </c>
      <c r="N1976" s="52" t="s">
        <v>1522</v>
      </c>
      <c r="O1976" s="51" t="e">
        <f>VLOOKUP(N1976,[2]!RUBROS[#All],3,0)</f>
        <v>#REF!</v>
      </c>
      <c r="P1976" s="53" t="e">
        <f>VLOOKUP(N1976,[2]!RUBROS[#All],2,0)</f>
        <v>#REF!</v>
      </c>
      <c r="Q1976" s="47" t="str">
        <f t="shared" si="612"/>
        <v>02</v>
      </c>
      <c r="R1976" s="47" t="str">
        <f t="shared" si="613"/>
        <v>0-101024</v>
      </c>
      <c r="S1976" s="339">
        <v>70</v>
      </c>
      <c r="T1976" s="63" t="s">
        <v>120</v>
      </c>
      <c r="U1976" s="326" t="e">
        <f ca="1">_xlfn.XLOOKUP(PAA_4[[#This Row],[ITEM]],[2]Contrato!A:A,[2]Contrato!Q:Q,"",0)</f>
        <v>#NAME?</v>
      </c>
      <c r="V1976" s="47" t="s">
        <v>95</v>
      </c>
      <c r="W1976" s="47" t="s">
        <v>204</v>
      </c>
      <c r="X1976" s="47" t="s">
        <v>204</v>
      </c>
      <c r="Y1976" s="55" t="e">
        <f ca="1">_xlfn.XLOOKUP(PAA_4[[#This Row],[ITEM]],[2]Contrato!A:A,[2]Contrato!B:B,"",0)</f>
        <v>#NAME?</v>
      </c>
      <c r="Z1976" s="47" t="e">
        <f ca="1">_xlfn.XLOOKUP(PAA_4[[#This Row],[ITEM]],[2]Contrato!A:A,[2]Contrato!G:G,"",0)</f>
        <v>#NAME?</v>
      </c>
      <c r="AA1976" s="47" t="e">
        <f ca="1">_xlfn.XLOOKUP(PAA_4[[#This Row],[ITEM]],[2]Contrato!A:A,[2]Contrato!T:T,"",0)</f>
        <v>#NAME?</v>
      </c>
      <c r="AB1976" s="55" t="e">
        <f ca="1">+MAX(PAA_4[[#This Row],[Comprometido Contrato]],PAA_4[[#This Row],[Comprometido Bolsa]])</f>
        <v>#NAME?</v>
      </c>
      <c r="AC1976" s="55" t="str">
        <f t="shared" ca="1" si="614"/>
        <v/>
      </c>
      <c r="AD1976" s="55" t="e">
        <f ca="1">IF(PAA_4[[#This Row],[ESTADO (formulado)]]="NO CONTRATADO",0,MAX(PAA_4[[#This Row],[Pago por Contrato]],PAA_4[[#This Row],[Pago por bolsa]]))</f>
        <v>#NAME?</v>
      </c>
      <c r="AE1976" s="55" t="str">
        <f t="shared" ca="1" si="610"/>
        <v/>
      </c>
      <c r="AF1976" s="47" t="e">
        <f t="shared" ca="1" si="615"/>
        <v>#NAME?</v>
      </c>
      <c r="AG1976" s="47">
        <f t="shared" si="611"/>
        <v>52010801</v>
      </c>
      <c r="AH1976" s="54">
        <f>IF(Q1976="22",IF(ISNUMBER(SEARCH("econ",PAA_4[[#This Row],[Actividad3]])),"Económico",IF(ISNUMBER(SEARCH("alim",PAA_4[[#This Row],[Actividad3]])),"Alimentación",IF(ISNUMBER(SEARCH("educ",PAA_4[[#This Row],[Actividad3]])),"Educativo","Técnico"))),0)</f>
        <v>0</v>
      </c>
      <c r="AI1976" s="47" t="e" cm="1">
        <f t="array" aca="1" ref="AI1976" ca="1">_xlfn.XLOOKUP(PAA_4[[#This Row],[RCP-RUBRO]],[2]!COMPROMISOS_2024[[#All],[concatenado]],[2]!COMPROMISOS_2024[[#All],[Total pagado]],"",0)</f>
        <v>#NAME?</v>
      </c>
      <c r="AJ1976" s="56">
        <f>IF(PAA_4[[#This Row],[BOLSA]]=0,0,SUMIFS([2]!COMPROMISOS_2024[[#All],[Total pagado]],[2]!COMPROMISOS_2024[[#All],[Bolsa]],PAA_4[[#This Row],[BOLSA]],[2]!COMPROMISOS_2024[[#All],[rubro]],PAA_4[[#This Row],[RCP-RUBRO]]))</f>
        <v>0</v>
      </c>
      <c r="AK1976" s="47" t="e" cm="1">
        <f t="array" aca="1" ref="AK1976" ca="1">_xlfn.XLOOKUP(PAA_4[[#This Row],[RCP-RUBRO]],[2]!COMPROMISOS_2024[[#All],[concatenado]],[2]!COMPROMISOS_2024[[#All],[Total Comprometido]],"",0)</f>
        <v>#NAME?</v>
      </c>
      <c r="AL1976" s="47">
        <f>IF(PAA_4[[#This Row],[BOLSA]]=0,0,SUMIFS([2]!COMPROMISOS_2024[[#All],[Total Comprometido]],[2]!COMPROMISOS_2024[[#All],[Bolsa]],PAA_4[[#This Row],[BOLSA]],[2]!COMPROMISOS_2024[[#All],[concatenado]],PAA_4[[#This Row],[RCP-RUBRO]]))</f>
        <v>0</v>
      </c>
    </row>
    <row r="1977" spans="1:38" s="19" customFormat="1" ht="31.5" customHeight="1">
      <c r="A1977" s="47">
        <v>1244</v>
      </c>
      <c r="B1977" s="47">
        <v>90141502</v>
      </c>
      <c r="C1977" s="47" t="str">
        <f>VLOOKUP(PAA_4[[#This Row],[PROYECTO (formulado)2]],[2]PROYECTOS!$G$1:$L$32,6,0)</f>
        <v>SUBGERENCIA DE ALTOS LOGROS Y DEPORTE ASOCIADO</v>
      </c>
      <c r="D1977" s="47" t="str">
        <f>+IF(PAA_4[[#This Row],[UNIDAD DE CONTRATACION (formulado)]]="Subgerencia Administrativa y Financiera","FUNCIONAMIENTO","INVERSIÓN")</f>
        <v>INVERSIÓN</v>
      </c>
      <c r="E1977" s="48" t="str">
        <f>VLOOKUP(Q1977,[2]PROYECTOS!$G$1:$K$32,5,0)</f>
        <v>Apoyo económico a las organizaciones deportivas que representan en competencias al departamento de Antioquia</v>
      </c>
      <c r="F1977" s="48">
        <f>VLOOKUP(E1977,[2]PROYECTOS!$K$1:$M$32,3,0)</f>
        <v>2024003050102</v>
      </c>
      <c r="G1977" s="67" t="s">
        <v>1521</v>
      </c>
      <c r="H1977" s="49" t="str">
        <f>VLOOKUP(Q1977,[2]PROYECTOS!$V$1:$W$32,2,0)</f>
        <v>050076</v>
      </c>
      <c r="I1977" s="78">
        <f>40000000-476</f>
        <v>39999524</v>
      </c>
      <c r="J1977" s="51" t="s">
        <v>2188</v>
      </c>
      <c r="K1977" s="47" t="str">
        <f t="shared" ca="1" si="609"/>
        <v>CONTRATADO</v>
      </c>
      <c r="L1977" s="47" t="s">
        <v>78</v>
      </c>
      <c r="M1977" s="51" t="s">
        <v>1767</v>
      </c>
      <c r="N1977" s="52" t="s">
        <v>1522</v>
      </c>
      <c r="O1977" s="51" t="e">
        <f>VLOOKUP(N1977,[2]!RUBROS[#All],3,0)</f>
        <v>#REF!</v>
      </c>
      <c r="P1977" s="53" t="e">
        <f>VLOOKUP(N1977,[2]!RUBROS[#All],2,0)</f>
        <v>#REF!</v>
      </c>
      <c r="Q1977" s="47" t="str">
        <f t="shared" si="612"/>
        <v>02</v>
      </c>
      <c r="R1977" s="47" t="str">
        <f t="shared" si="613"/>
        <v>0-101024</v>
      </c>
      <c r="S1977" s="339">
        <v>70</v>
      </c>
      <c r="T1977" s="63" t="s">
        <v>120</v>
      </c>
      <c r="U1977" s="326" t="e">
        <f ca="1">_xlfn.XLOOKUP(PAA_4[[#This Row],[ITEM]],[2]Contrato!A:A,[2]Contrato!Q:Q,"",0)</f>
        <v>#NAME?</v>
      </c>
      <c r="V1977" s="47" t="s">
        <v>95</v>
      </c>
      <c r="W1977" s="47" t="s">
        <v>204</v>
      </c>
      <c r="X1977" s="47" t="s">
        <v>204</v>
      </c>
      <c r="Y1977" s="55" t="e">
        <f ca="1">_xlfn.XLOOKUP(PAA_4[[#This Row],[ITEM]],[2]Contrato!A:A,[2]Contrato!B:B,"",0)</f>
        <v>#NAME?</v>
      </c>
      <c r="Z1977" s="47" t="e">
        <f ca="1">_xlfn.XLOOKUP(PAA_4[[#This Row],[ITEM]],[2]Contrato!A:A,[2]Contrato!G:G,"",0)</f>
        <v>#NAME?</v>
      </c>
      <c r="AA1977" s="47" t="e">
        <f ca="1">_xlfn.XLOOKUP(PAA_4[[#This Row],[ITEM]],[2]Contrato!A:A,[2]Contrato!T:T,"",0)</f>
        <v>#NAME?</v>
      </c>
      <c r="AB1977" s="55" t="e">
        <f ca="1">+MAX(PAA_4[[#This Row],[Comprometido Contrato]],PAA_4[[#This Row],[Comprometido Bolsa]])</f>
        <v>#NAME?</v>
      </c>
      <c r="AC1977" s="55" t="str">
        <f t="shared" ca="1" si="614"/>
        <v/>
      </c>
      <c r="AD1977" s="55" t="e">
        <f ca="1">IF(PAA_4[[#This Row],[ESTADO (formulado)]]="NO CONTRATADO",0,MAX(PAA_4[[#This Row],[Pago por Contrato]],PAA_4[[#This Row],[Pago por bolsa]]))</f>
        <v>#NAME?</v>
      </c>
      <c r="AE1977" s="55" t="str">
        <f t="shared" ca="1" si="610"/>
        <v/>
      </c>
      <c r="AF1977" s="47" t="e">
        <f t="shared" ca="1" si="615"/>
        <v>#NAME?</v>
      </c>
      <c r="AG1977" s="47">
        <f t="shared" si="611"/>
        <v>52010801</v>
      </c>
      <c r="AH1977" s="54">
        <f>IF(Q1977="22",IF(ISNUMBER(SEARCH("econ",PAA_4[[#This Row],[Actividad3]])),"Económico",IF(ISNUMBER(SEARCH("alim",PAA_4[[#This Row],[Actividad3]])),"Alimentación",IF(ISNUMBER(SEARCH("educ",PAA_4[[#This Row],[Actividad3]])),"Educativo","Técnico"))),0)</f>
        <v>0</v>
      </c>
      <c r="AI1977" s="47" t="e" cm="1">
        <f t="array" aca="1" ref="AI1977" ca="1">_xlfn.XLOOKUP(PAA_4[[#This Row],[RCP-RUBRO]],[2]!COMPROMISOS_2024[[#All],[concatenado]],[2]!COMPROMISOS_2024[[#All],[Total pagado]],"",0)</f>
        <v>#NAME?</v>
      </c>
      <c r="AJ1977" s="56">
        <f>IF(PAA_4[[#This Row],[BOLSA]]=0,0,SUMIFS([2]!COMPROMISOS_2024[[#All],[Total pagado]],[2]!COMPROMISOS_2024[[#All],[Bolsa]],PAA_4[[#This Row],[BOLSA]],[2]!COMPROMISOS_2024[[#All],[rubro]],PAA_4[[#This Row],[RCP-RUBRO]]))</f>
        <v>0</v>
      </c>
      <c r="AK1977" s="47" t="e" cm="1">
        <f t="array" aca="1" ref="AK1977" ca="1">_xlfn.XLOOKUP(PAA_4[[#This Row],[RCP-RUBRO]],[2]!COMPROMISOS_2024[[#All],[concatenado]],[2]!COMPROMISOS_2024[[#All],[Total Comprometido]],"",0)</f>
        <v>#NAME?</v>
      </c>
      <c r="AL1977" s="47">
        <f>IF(PAA_4[[#This Row],[BOLSA]]=0,0,SUMIFS([2]!COMPROMISOS_2024[[#All],[Total Comprometido]],[2]!COMPROMISOS_2024[[#All],[Bolsa]],PAA_4[[#This Row],[BOLSA]],[2]!COMPROMISOS_2024[[#All],[concatenado]],PAA_4[[#This Row],[RCP-RUBRO]]))</f>
        <v>0</v>
      </c>
    </row>
    <row r="1978" spans="1:38" s="19" customFormat="1" ht="31.5" customHeight="1">
      <c r="A1978" s="47">
        <v>1245</v>
      </c>
      <c r="B1978" s="47">
        <v>90141502</v>
      </c>
      <c r="C1978" s="47" t="str">
        <f>VLOOKUP(PAA_4[[#This Row],[PROYECTO (formulado)2]],[2]PROYECTOS!$G$1:$L$32,6,0)</f>
        <v>SUBGERENCIA DE ALTOS LOGROS Y DEPORTE ASOCIADO</v>
      </c>
      <c r="D1978" s="47" t="str">
        <f>+IF(PAA_4[[#This Row],[UNIDAD DE CONTRATACION (formulado)]]="Subgerencia Administrativa y Financiera","FUNCIONAMIENTO","INVERSIÓN")</f>
        <v>INVERSIÓN</v>
      </c>
      <c r="E1978" s="48" t="str">
        <f>VLOOKUP(Q1978,[2]PROYECTOS!$G$1:$K$32,5,0)</f>
        <v>Apoyo económico a las organizaciones deportivas que representan en competencias al departamento de Antioquia</v>
      </c>
      <c r="F1978" s="48">
        <f>VLOOKUP(E1978,[2]PROYECTOS!$K$1:$M$32,3,0)</f>
        <v>2024003050102</v>
      </c>
      <c r="G1978" s="67" t="s">
        <v>1521</v>
      </c>
      <c r="H1978" s="49" t="str">
        <f>VLOOKUP(Q1978,[2]PROYECTOS!$V$1:$W$32,2,0)</f>
        <v>050076</v>
      </c>
      <c r="I1978" s="78">
        <v>50000000</v>
      </c>
      <c r="J1978" s="51" t="s">
        <v>2189</v>
      </c>
      <c r="K1978" s="47" t="str">
        <f t="shared" ca="1" si="609"/>
        <v>CONTRATADO</v>
      </c>
      <c r="L1978" s="47" t="s">
        <v>78</v>
      </c>
      <c r="M1978" s="51" t="s">
        <v>255</v>
      </c>
      <c r="N1978" s="52" t="s">
        <v>1522</v>
      </c>
      <c r="O1978" s="51" t="e">
        <f>VLOOKUP(N1978,[2]!RUBROS[#All],3,0)</f>
        <v>#REF!</v>
      </c>
      <c r="P1978" s="53" t="e">
        <f>VLOOKUP(N1978,[2]!RUBROS[#All],2,0)</f>
        <v>#REF!</v>
      </c>
      <c r="Q1978" s="47" t="str">
        <f t="shared" si="612"/>
        <v>02</v>
      </c>
      <c r="R1978" s="47" t="str">
        <f t="shared" si="613"/>
        <v>0-101024</v>
      </c>
      <c r="S1978" s="339">
        <v>70</v>
      </c>
      <c r="T1978" s="63" t="s">
        <v>120</v>
      </c>
      <c r="U1978" s="326" t="e">
        <f ca="1">_xlfn.XLOOKUP(PAA_4[[#This Row],[ITEM]],[2]Contrato!A:A,[2]Contrato!Q:Q,"",0)</f>
        <v>#NAME?</v>
      </c>
      <c r="V1978" s="47" t="s">
        <v>95</v>
      </c>
      <c r="W1978" s="47" t="s">
        <v>204</v>
      </c>
      <c r="X1978" s="47" t="s">
        <v>204</v>
      </c>
      <c r="Y1978" s="55" t="e">
        <f ca="1">_xlfn.XLOOKUP(PAA_4[[#This Row],[ITEM]],[2]Contrato!A:A,[2]Contrato!B:B,"",0)</f>
        <v>#NAME?</v>
      </c>
      <c r="Z1978" s="47" t="e">
        <f ca="1">_xlfn.XLOOKUP(PAA_4[[#This Row],[ITEM]],[2]Contrato!A:A,[2]Contrato!G:G,"",0)</f>
        <v>#NAME?</v>
      </c>
      <c r="AA1978" s="47" t="e">
        <f ca="1">_xlfn.XLOOKUP(PAA_4[[#This Row],[ITEM]],[2]Contrato!A:A,[2]Contrato!T:T,"",0)</f>
        <v>#NAME?</v>
      </c>
      <c r="AB1978" s="55" t="e">
        <f ca="1">+MAX(PAA_4[[#This Row],[Comprometido Contrato]],PAA_4[[#This Row],[Comprometido Bolsa]])</f>
        <v>#NAME?</v>
      </c>
      <c r="AC1978" s="55" t="str">
        <f t="shared" ca="1" si="614"/>
        <v/>
      </c>
      <c r="AD1978" s="55" t="e">
        <f ca="1">IF(PAA_4[[#This Row],[ESTADO (formulado)]]="NO CONTRATADO",0,MAX(PAA_4[[#This Row],[Pago por Contrato]],PAA_4[[#This Row],[Pago por bolsa]]))</f>
        <v>#NAME?</v>
      </c>
      <c r="AE1978" s="55" t="str">
        <f t="shared" ca="1" si="610"/>
        <v/>
      </c>
      <c r="AF1978" s="47" t="e">
        <f t="shared" ca="1" si="615"/>
        <v>#NAME?</v>
      </c>
      <c r="AG1978" s="47">
        <f t="shared" si="611"/>
        <v>52010801</v>
      </c>
      <c r="AH1978" s="54">
        <f>IF(Q1978="22",IF(ISNUMBER(SEARCH("econ",PAA_4[[#This Row],[Actividad3]])),"Económico",IF(ISNUMBER(SEARCH("alim",PAA_4[[#This Row],[Actividad3]])),"Alimentación",IF(ISNUMBER(SEARCH("educ",PAA_4[[#This Row],[Actividad3]])),"Educativo","Técnico"))),0)</f>
        <v>0</v>
      </c>
      <c r="AI1978" s="47" t="e" cm="1">
        <f t="array" aca="1" ref="AI1978" ca="1">_xlfn.XLOOKUP(PAA_4[[#This Row],[RCP-RUBRO]],[2]!COMPROMISOS_2024[[#All],[concatenado]],[2]!COMPROMISOS_2024[[#All],[Total pagado]],"",0)</f>
        <v>#NAME?</v>
      </c>
      <c r="AJ1978" s="56">
        <f>IF(PAA_4[[#This Row],[BOLSA]]=0,0,SUMIFS([2]!COMPROMISOS_2024[[#All],[Total pagado]],[2]!COMPROMISOS_2024[[#All],[Bolsa]],PAA_4[[#This Row],[BOLSA]],[2]!COMPROMISOS_2024[[#All],[rubro]],PAA_4[[#This Row],[RCP-RUBRO]]))</f>
        <v>0</v>
      </c>
      <c r="AK1978" s="47" t="e" cm="1">
        <f t="array" aca="1" ref="AK1978" ca="1">_xlfn.XLOOKUP(PAA_4[[#This Row],[RCP-RUBRO]],[2]!COMPROMISOS_2024[[#All],[concatenado]],[2]!COMPROMISOS_2024[[#All],[Total Comprometido]],"",0)</f>
        <v>#NAME?</v>
      </c>
      <c r="AL1978" s="47">
        <f>IF(PAA_4[[#This Row],[BOLSA]]=0,0,SUMIFS([2]!COMPROMISOS_2024[[#All],[Total Comprometido]],[2]!COMPROMISOS_2024[[#All],[Bolsa]],PAA_4[[#This Row],[BOLSA]],[2]!COMPROMISOS_2024[[#All],[concatenado]],PAA_4[[#This Row],[RCP-RUBRO]]))</f>
        <v>0</v>
      </c>
    </row>
    <row r="1979" spans="1:38" s="19" customFormat="1" ht="31.5" customHeight="1">
      <c r="A1979" s="47">
        <v>1246</v>
      </c>
      <c r="B1979" s="47">
        <v>90141502</v>
      </c>
      <c r="C1979" s="47" t="str">
        <f>VLOOKUP(PAA_4[[#This Row],[PROYECTO (formulado)2]],[2]PROYECTOS!$G$1:$L$32,6,0)</f>
        <v>SUBGERENCIA DE ALTOS LOGROS Y DEPORTE ASOCIADO</v>
      </c>
      <c r="D1979" s="47" t="str">
        <f>+IF(PAA_4[[#This Row],[UNIDAD DE CONTRATACION (formulado)]]="Subgerencia Administrativa y Financiera","FUNCIONAMIENTO","INVERSIÓN")</f>
        <v>INVERSIÓN</v>
      </c>
      <c r="E1979" s="48" t="str">
        <f>VLOOKUP(Q1979,[2]PROYECTOS!$G$1:$K$32,5,0)</f>
        <v>Apoyo económico a las organizaciones deportivas que representan en competencias al departamento de Antioquia</v>
      </c>
      <c r="F1979" s="48">
        <f>VLOOKUP(E1979,[2]PROYECTOS!$K$1:$M$32,3,0)</f>
        <v>2024003050102</v>
      </c>
      <c r="G1979" s="67" t="s">
        <v>1521</v>
      </c>
      <c r="H1979" s="49" t="str">
        <f>VLOOKUP(Q1979,[2]PROYECTOS!$V$1:$W$32,2,0)</f>
        <v>050076</v>
      </c>
      <c r="I1979" s="78">
        <v>50000000</v>
      </c>
      <c r="J1979" s="51" t="s">
        <v>2190</v>
      </c>
      <c r="K1979" s="47" t="str">
        <f t="shared" ca="1" si="609"/>
        <v>CONTRATADO</v>
      </c>
      <c r="L1979" s="47" t="s">
        <v>78</v>
      </c>
      <c r="M1979" s="51" t="s">
        <v>1767</v>
      </c>
      <c r="N1979" s="52" t="s">
        <v>1522</v>
      </c>
      <c r="O1979" s="51" t="e">
        <f>VLOOKUP(N1979,[2]!RUBROS[#All],3,0)</f>
        <v>#REF!</v>
      </c>
      <c r="P1979" s="53" t="e">
        <f>VLOOKUP(N1979,[2]!RUBROS[#All],2,0)</f>
        <v>#REF!</v>
      </c>
      <c r="Q1979" s="47" t="str">
        <f t="shared" si="612"/>
        <v>02</v>
      </c>
      <c r="R1979" s="47" t="str">
        <f t="shared" si="613"/>
        <v>0-101024</v>
      </c>
      <c r="S1979" s="339">
        <v>70</v>
      </c>
      <c r="T1979" s="63" t="s">
        <v>120</v>
      </c>
      <c r="U1979" s="326" t="e">
        <f ca="1">_xlfn.XLOOKUP(PAA_4[[#This Row],[ITEM]],[2]Contrato!A:A,[2]Contrato!Q:Q,"",0)</f>
        <v>#NAME?</v>
      </c>
      <c r="V1979" s="47" t="s">
        <v>95</v>
      </c>
      <c r="W1979" s="47" t="s">
        <v>204</v>
      </c>
      <c r="X1979" s="47" t="s">
        <v>204</v>
      </c>
      <c r="Y1979" s="55" t="e">
        <f ca="1">_xlfn.XLOOKUP(PAA_4[[#This Row],[ITEM]],[2]Contrato!A:A,[2]Contrato!B:B,"",0)</f>
        <v>#NAME?</v>
      </c>
      <c r="Z1979" s="47" t="e">
        <f ca="1">_xlfn.XLOOKUP(PAA_4[[#This Row],[ITEM]],[2]Contrato!A:A,[2]Contrato!G:G,"",0)</f>
        <v>#NAME?</v>
      </c>
      <c r="AA1979" s="47" t="e">
        <f ca="1">_xlfn.XLOOKUP(PAA_4[[#This Row],[ITEM]],[2]Contrato!A:A,[2]Contrato!T:T,"",0)</f>
        <v>#NAME?</v>
      </c>
      <c r="AB1979" s="55" t="e">
        <f ca="1">+MAX(PAA_4[[#This Row],[Comprometido Contrato]],PAA_4[[#This Row],[Comprometido Bolsa]])</f>
        <v>#NAME?</v>
      </c>
      <c r="AC1979" s="55" t="str">
        <f t="shared" ca="1" si="614"/>
        <v/>
      </c>
      <c r="AD1979" s="55" t="e">
        <f ca="1">IF(PAA_4[[#This Row],[ESTADO (formulado)]]="NO CONTRATADO",0,MAX(PAA_4[[#This Row],[Pago por Contrato]],PAA_4[[#This Row],[Pago por bolsa]]))</f>
        <v>#NAME?</v>
      </c>
      <c r="AE1979" s="55" t="str">
        <f t="shared" ca="1" si="610"/>
        <v/>
      </c>
      <c r="AF1979" s="47" t="e">
        <f t="shared" ca="1" si="615"/>
        <v>#NAME?</v>
      </c>
      <c r="AG1979" s="47">
        <f t="shared" si="611"/>
        <v>52010801</v>
      </c>
      <c r="AH1979" s="54">
        <f>IF(Q1979="22",IF(ISNUMBER(SEARCH("econ",PAA_4[[#This Row],[Actividad3]])),"Económico",IF(ISNUMBER(SEARCH("alim",PAA_4[[#This Row],[Actividad3]])),"Alimentación",IF(ISNUMBER(SEARCH("educ",PAA_4[[#This Row],[Actividad3]])),"Educativo","Técnico"))),0)</f>
        <v>0</v>
      </c>
      <c r="AI1979" s="47" t="e" cm="1">
        <f t="array" aca="1" ref="AI1979" ca="1">_xlfn.XLOOKUP(PAA_4[[#This Row],[RCP-RUBRO]],[2]!COMPROMISOS_2024[[#All],[concatenado]],[2]!COMPROMISOS_2024[[#All],[Total pagado]],"",0)</f>
        <v>#NAME?</v>
      </c>
      <c r="AJ1979" s="56">
        <f>IF(PAA_4[[#This Row],[BOLSA]]=0,0,SUMIFS([2]!COMPROMISOS_2024[[#All],[Total pagado]],[2]!COMPROMISOS_2024[[#All],[Bolsa]],PAA_4[[#This Row],[BOLSA]],[2]!COMPROMISOS_2024[[#All],[rubro]],PAA_4[[#This Row],[RCP-RUBRO]]))</f>
        <v>0</v>
      </c>
      <c r="AK1979" s="47" t="e" cm="1">
        <f t="array" aca="1" ref="AK1979" ca="1">_xlfn.XLOOKUP(PAA_4[[#This Row],[RCP-RUBRO]],[2]!COMPROMISOS_2024[[#All],[concatenado]],[2]!COMPROMISOS_2024[[#All],[Total Comprometido]],"",0)</f>
        <v>#NAME?</v>
      </c>
      <c r="AL1979" s="47">
        <f>IF(PAA_4[[#This Row],[BOLSA]]=0,0,SUMIFS([2]!COMPROMISOS_2024[[#All],[Total Comprometido]],[2]!COMPROMISOS_2024[[#All],[Bolsa]],PAA_4[[#This Row],[BOLSA]],[2]!COMPROMISOS_2024[[#All],[concatenado]],PAA_4[[#This Row],[RCP-RUBRO]]))</f>
        <v>0</v>
      </c>
    </row>
    <row r="1980" spans="1:38" s="19" customFormat="1" ht="31.5" customHeight="1">
      <c r="A1980" s="47">
        <v>1247</v>
      </c>
      <c r="B1980" s="47">
        <v>90141502</v>
      </c>
      <c r="C1980" s="47" t="str">
        <f>VLOOKUP(PAA_4[[#This Row],[PROYECTO (formulado)2]],[2]PROYECTOS!$G$1:$L$32,6,0)</f>
        <v>SUBGERENCIA DE ALTOS LOGROS Y DEPORTE ASOCIADO</v>
      </c>
      <c r="D1980" s="47" t="str">
        <f>+IF(PAA_4[[#This Row],[UNIDAD DE CONTRATACION (formulado)]]="Subgerencia Administrativa y Financiera","FUNCIONAMIENTO","INVERSIÓN")</f>
        <v>INVERSIÓN</v>
      </c>
      <c r="E1980" s="48" t="str">
        <f>VLOOKUP(Q1980,[2]PROYECTOS!$G$1:$K$32,5,0)</f>
        <v>Apoyo económico a las organizaciones deportivas que representan en competencias al departamento de Antioquia</v>
      </c>
      <c r="F1980" s="48">
        <f>VLOOKUP(E1980,[2]PROYECTOS!$K$1:$M$32,3,0)</f>
        <v>2024003050102</v>
      </c>
      <c r="G1980" s="67" t="s">
        <v>1521</v>
      </c>
      <c r="H1980" s="49" t="str">
        <f>VLOOKUP(Q1980,[2]PROYECTOS!$V$1:$W$32,2,0)</f>
        <v>050076</v>
      </c>
      <c r="I1980" s="78">
        <v>50000000</v>
      </c>
      <c r="J1980" s="51" t="s">
        <v>2191</v>
      </c>
      <c r="K1980" s="47" t="str">
        <f t="shared" ca="1" si="609"/>
        <v>CONTRATADO</v>
      </c>
      <c r="L1980" s="47" t="s">
        <v>78</v>
      </c>
      <c r="M1980" s="51" t="s">
        <v>1767</v>
      </c>
      <c r="N1980" s="52" t="s">
        <v>1522</v>
      </c>
      <c r="O1980" s="51" t="e">
        <f>VLOOKUP(N1980,[2]!RUBROS[#All],3,0)</f>
        <v>#REF!</v>
      </c>
      <c r="P1980" s="53" t="e">
        <f>VLOOKUP(N1980,[2]!RUBROS[#All],2,0)</f>
        <v>#REF!</v>
      </c>
      <c r="Q1980" s="47" t="str">
        <f t="shared" si="612"/>
        <v>02</v>
      </c>
      <c r="R1980" s="47" t="str">
        <f t="shared" si="613"/>
        <v>0-101024</v>
      </c>
      <c r="S1980" s="339">
        <v>70</v>
      </c>
      <c r="T1980" s="63" t="s">
        <v>120</v>
      </c>
      <c r="U1980" s="326" t="e">
        <f ca="1">_xlfn.XLOOKUP(PAA_4[[#This Row],[ITEM]],[2]Contrato!A:A,[2]Contrato!Q:Q,"",0)</f>
        <v>#NAME?</v>
      </c>
      <c r="V1980" s="47" t="s">
        <v>95</v>
      </c>
      <c r="W1980" s="47" t="s">
        <v>204</v>
      </c>
      <c r="X1980" s="47" t="s">
        <v>204</v>
      </c>
      <c r="Y1980" s="55" t="e">
        <f ca="1">_xlfn.XLOOKUP(PAA_4[[#This Row],[ITEM]],[2]Contrato!A:A,[2]Contrato!B:B,"",0)</f>
        <v>#NAME?</v>
      </c>
      <c r="Z1980" s="47" t="e">
        <f ca="1">_xlfn.XLOOKUP(PAA_4[[#This Row],[ITEM]],[2]Contrato!A:A,[2]Contrato!G:G,"",0)</f>
        <v>#NAME?</v>
      </c>
      <c r="AA1980" s="47" t="e">
        <f ca="1">_xlfn.XLOOKUP(PAA_4[[#This Row],[ITEM]],[2]Contrato!A:A,[2]Contrato!T:T,"",0)</f>
        <v>#NAME?</v>
      </c>
      <c r="AB1980" s="55" t="e">
        <f ca="1">+MAX(PAA_4[[#This Row],[Comprometido Contrato]],PAA_4[[#This Row],[Comprometido Bolsa]])</f>
        <v>#NAME?</v>
      </c>
      <c r="AC1980" s="55" t="str">
        <f t="shared" ca="1" si="614"/>
        <v/>
      </c>
      <c r="AD1980" s="55" t="e">
        <f ca="1">IF(PAA_4[[#This Row],[ESTADO (formulado)]]="NO CONTRATADO",0,MAX(PAA_4[[#This Row],[Pago por Contrato]],PAA_4[[#This Row],[Pago por bolsa]]))</f>
        <v>#NAME?</v>
      </c>
      <c r="AE1980" s="55" t="str">
        <f t="shared" ca="1" si="610"/>
        <v/>
      </c>
      <c r="AF1980" s="47" t="e">
        <f t="shared" ca="1" si="615"/>
        <v>#NAME?</v>
      </c>
      <c r="AG1980" s="47">
        <f t="shared" si="611"/>
        <v>52010801</v>
      </c>
      <c r="AH1980" s="54">
        <f>IF(Q1980="22",IF(ISNUMBER(SEARCH("econ",PAA_4[[#This Row],[Actividad3]])),"Económico",IF(ISNUMBER(SEARCH("alim",PAA_4[[#This Row],[Actividad3]])),"Alimentación",IF(ISNUMBER(SEARCH("educ",PAA_4[[#This Row],[Actividad3]])),"Educativo","Técnico"))),0)</f>
        <v>0</v>
      </c>
      <c r="AI1980" s="47" t="e" cm="1">
        <f t="array" aca="1" ref="AI1980" ca="1">_xlfn.XLOOKUP(PAA_4[[#This Row],[RCP-RUBRO]],[2]!COMPROMISOS_2024[[#All],[concatenado]],[2]!COMPROMISOS_2024[[#All],[Total pagado]],"",0)</f>
        <v>#NAME?</v>
      </c>
      <c r="AJ1980" s="56">
        <f>IF(PAA_4[[#This Row],[BOLSA]]=0,0,SUMIFS([2]!COMPROMISOS_2024[[#All],[Total pagado]],[2]!COMPROMISOS_2024[[#All],[Bolsa]],PAA_4[[#This Row],[BOLSA]],[2]!COMPROMISOS_2024[[#All],[rubro]],PAA_4[[#This Row],[RCP-RUBRO]]))</f>
        <v>0</v>
      </c>
      <c r="AK1980" s="47" t="e" cm="1">
        <f t="array" aca="1" ref="AK1980" ca="1">_xlfn.XLOOKUP(PAA_4[[#This Row],[RCP-RUBRO]],[2]!COMPROMISOS_2024[[#All],[concatenado]],[2]!COMPROMISOS_2024[[#All],[Total Comprometido]],"",0)</f>
        <v>#NAME?</v>
      </c>
      <c r="AL1980" s="47">
        <f>IF(PAA_4[[#This Row],[BOLSA]]=0,0,SUMIFS([2]!COMPROMISOS_2024[[#All],[Total Comprometido]],[2]!COMPROMISOS_2024[[#All],[Bolsa]],PAA_4[[#This Row],[BOLSA]],[2]!COMPROMISOS_2024[[#All],[concatenado]],PAA_4[[#This Row],[RCP-RUBRO]]))</f>
        <v>0</v>
      </c>
    </row>
    <row r="1981" spans="1:38" s="19" customFormat="1" ht="31.5" customHeight="1">
      <c r="A1981" s="47">
        <v>1248</v>
      </c>
      <c r="B1981" s="47">
        <v>90141502</v>
      </c>
      <c r="C1981" s="47" t="str">
        <f>VLOOKUP(PAA_4[[#This Row],[PROYECTO (formulado)2]],[2]PROYECTOS!$G$1:$L$32,6,0)</f>
        <v>SUBGERENCIA DE ALTOS LOGROS Y DEPORTE ASOCIADO</v>
      </c>
      <c r="D1981" s="47" t="str">
        <f>+IF(PAA_4[[#This Row],[UNIDAD DE CONTRATACION (formulado)]]="Subgerencia Administrativa y Financiera","FUNCIONAMIENTO","INVERSIÓN")</f>
        <v>INVERSIÓN</v>
      </c>
      <c r="E1981" s="48" t="str">
        <f>VLOOKUP(Q1981,[2]PROYECTOS!$G$1:$K$32,5,0)</f>
        <v>Apoyo económico a las organizaciones deportivas que representan en competencias al departamento de Antioquia</v>
      </c>
      <c r="F1981" s="48">
        <f>VLOOKUP(E1981,[2]PROYECTOS!$K$1:$M$32,3,0)</f>
        <v>2024003050102</v>
      </c>
      <c r="G1981" s="67" t="s">
        <v>1521</v>
      </c>
      <c r="H1981" s="49" t="str">
        <f>VLOOKUP(Q1981,[2]PROYECTOS!$V$1:$W$32,2,0)</f>
        <v>050076</v>
      </c>
      <c r="I1981" s="78">
        <v>90000000</v>
      </c>
      <c r="J1981" s="51" t="s">
        <v>2192</v>
      </c>
      <c r="K1981" s="47" t="str">
        <f t="shared" ca="1" si="609"/>
        <v>CONTRATADO</v>
      </c>
      <c r="L1981" s="47" t="s">
        <v>78</v>
      </c>
      <c r="M1981" s="51" t="s">
        <v>255</v>
      </c>
      <c r="N1981" s="52" t="s">
        <v>1522</v>
      </c>
      <c r="O1981" s="51" t="e">
        <f>VLOOKUP(N1981,[2]!RUBROS[#All],3,0)</f>
        <v>#REF!</v>
      </c>
      <c r="P1981" s="53" t="e">
        <f>VLOOKUP(N1981,[2]!RUBROS[#All],2,0)</f>
        <v>#REF!</v>
      </c>
      <c r="Q1981" s="47" t="str">
        <f t="shared" si="612"/>
        <v>02</v>
      </c>
      <c r="R1981" s="47" t="str">
        <f t="shared" si="613"/>
        <v>0-101024</v>
      </c>
      <c r="S1981" s="339">
        <v>70</v>
      </c>
      <c r="T1981" s="63" t="s">
        <v>120</v>
      </c>
      <c r="U1981" s="326" t="e">
        <f ca="1">_xlfn.XLOOKUP(PAA_4[[#This Row],[ITEM]],[2]Contrato!A:A,[2]Contrato!Q:Q,"",0)</f>
        <v>#NAME?</v>
      </c>
      <c r="V1981" s="47" t="s">
        <v>95</v>
      </c>
      <c r="W1981" s="47" t="s">
        <v>204</v>
      </c>
      <c r="X1981" s="47" t="s">
        <v>204</v>
      </c>
      <c r="Y1981" s="55" t="e">
        <f ca="1">_xlfn.XLOOKUP(PAA_4[[#This Row],[ITEM]],[2]Contrato!A:A,[2]Contrato!B:B,"",0)</f>
        <v>#NAME?</v>
      </c>
      <c r="Z1981" s="47" t="e">
        <f ca="1">_xlfn.XLOOKUP(PAA_4[[#This Row],[ITEM]],[2]Contrato!A:A,[2]Contrato!G:G,"",0)</f>
        <v>#NAME?</v>
      </c>
      <c r="AA1981" s="47" t="e">
        <f ca="1">_xlfn.XLOOKUP(PAA_4[[#This Row],[ITEM]],[2]Contrato!A:A,[2]Contrato!T:T,"",0)</f>
        <v>#NAME?</v>
      </c>
      <c r="AB1981" s="55" t="e">
        <f ca="1">+MAX(PAA_4[[#This Row],[Comprometido Contrato]],PAA_4[[#This Row],[Comprometido Bolsa]])</f>
        <v>#NAME?</v>
      </c>
      <c r="AC1981" s="55" t="str">
        <f t="shared" ca="1" si="614"/>
        <v/>
      </c>
      <c r="AD1981" s="55" t="e">
        <f ca="1">IF(PAA_4[[#This Row],[ESTADO (formulado)]]="NO CONTRATADO",0,MAX(PAA_4[[#This Row],[Pago por Contrato]],PAA_4[[#This Row],[Pago por bolsa]]))</f>
        <v>#NAME?</v>
      </c>
      <c r="AE1981" s="55" t="str">
        <f t="shared" ca="1" si="610"/>
        <v/>
      </c>
      <c r="AF1981" s="47" t="e">
        <f t="shared" ca="1" si="615"/>
        <v>#NAME?</v>
      </c>
      <c r="AG1981" s="47">
        <f t="shared" si="611"/>
        <v>52010801</v>
      </c>
      <c r="AH1981" s="54">
        <f>IF(Q1981="22",IF(ISNUMBER(SEARCH("econ",PAA_4[[#This Row],[Actividad3]])),"Económico",IF(ISNUMBER(SEARCH("alim",PAA_4[[#This Row],[Actividad3]])),"Alimentación",IF(ISNUMBER(SEARCH("educ",PAA_4[[#This Row],[Actividad3]])),"Educativo","Técnico"))),0)</f>
        <v>0</v>
      </c>
      <c r="AI1981" s="47" t="e" cm="1">
        <f t="array" aca="1" ref="AI1981" ca="1">_xlfn.XLOOKUP(PAA_4[[#This Row],[RCP-RUBRO]],[2]!COMPROMISOS_2024[[#All],[concatenado]],[2]!COMPROMISOS_2024[[#All],[Total pagado]],"",0)</f>
        <v>#NAME?</v>
      </c>
      <c r="AJ1981" s="56">
        <f>IF(PAA_4[[#This Row],[BOLSA]]=0,0,SUMIFS([2]!COMPROMISOS_2024[[#All],[Total pagado]],[2]!COMPROMISOS_2024[[#All],[Bolsa]],PAA_4[[#This Row],[BOLSA]],[2]!COMPROMISOS_2024[[#All],[rubro]],PAA_4[[#This Row],[RCP-RUBRO]]))</f>
        <v>0</v>
      </c>
      <c r="AK1981" s="47" t="e" cm="1">
        <f t="array" aca="1" ref="AK1981" ca="1">_xlfn.XLOOKUP(PAA_4[[#This Row],[RCP-RUBRO]],[2]!COMPROMISOS_2024[[#All],[concatenado]],[2]!COMPROMISOS_2024[[#All],[Total Comprometido]],"",0)</f>
        <v>#NAME?</v>
      </c>
      <c r="AL1981" s="47">
        <f>IF(PAA_4[[#This Row],[BOLSA]]=0,0,SUMIFS([2]!COMPROMISOS_2024[[#All],[Total Comprometido]],[2]!COMPROMISOS_2024[[#All],[Bolsa]],PAA_4[[#This Row],[BOLSA]],[2]!COMPROMISOS_2024[[#All],[concatenado]],PAA_4[[#This Row],[RCP-RUBRO]]))</f>
        <v>0</v>
      </c>
    </row>
    <row r="1982" spans="1:38" s="19" customFormat="1" ht="31.5" customHeight="1">
      <c r="A1982" s="47">
        <v>1249</v>
      </c>
      <c r="B1982" s="47">
        <v>90141502</v>
      </c>
      <c r="C1982" s="47" t="str">
        <f>VLOOKUP(PAA_4[[#This Row],[PROYECTO (formulado)2]],[2]PROYECTOS!$G$1:$L$32,6,0)</f>
        <v>SUBGERENCIA DE ALTOS LOGROS Y DEPORTE ASOCIADO</v>
      </c>
      <c r="D1982" s="47" t="str">
        <f>+IF(PAA_4[[#This Row],[UNIDAD DE CONTRATACION (formulado)]]="Subgerencia Administrativa y Financiera","FUNCIONAMIENTO","INVERSIÓN")</f>
        <v>INVERSIÓN</v>
      </c>
      <c r="E1982" s="48" t="str">
        <f>VLOOKUP(Q1982,[2]PROYECTOS!$G$1:$K$32,5,0)</f>
        <v>Apoyo económico a las organizaciones deportivas que representan en competencias al departamento de Antioquia</v>
      </c>
      <c r="F1982" s="48">
        <f>VLOOKUP(E1982,[2]PROYECTOS!$K$1:$M$32,3,0)</f>
        <v>2024003050102</v>
      </c>
      <c r="G1982" s="67" t="s">
        <v>1521</v>
      </c>
      <c r="H1982" s="49" t="str">
        <f>VLOOKUP(Q1982,[2]PROYECTOS!$V$1:$W$32,2,0)</f>
        <v>050076</v>
      </c>
      <c r="I1982" s="78">
        <v>100000000</v>
      </c>
      <c r="J1982" s="51" t="s">
        <v>2193</v>
      </c>
      <c r="K1982" s="47" t="str">
        <f t="shared" ca="1" si="609"/>
        <v>CONTRATADO</v>
      </c>
      <c r="L1982" s="47" t="s">
        <v>78</v>
      </c>
      <c r="M1982" s="51" t="s">
        <v>1767</v>
      </c>
      <c r="N1982" s="52" t="s">
        <v>1522</v>
      </c>
      <c r="O1982" s="51" t="e">
        <f>VLOOKUP(N1982,[2]!RUBROS[#All],3,0)</f>
        <v>#REF!</v>
      </c>
      <c r="P1982" s="53" t="e">
        <f>VLOOKUP(N1982,[2]!RUBROS[#All],2,0)</f>
        <v>#REF!</v>
      </c>
      <c r="Q1982" s="47" t="str">
        <f t="shared" si="612"/>
        <v>02</v>
      </c>
      <c r="R1982" s="47" t="str">
        <f t="shared" si="613"/>
        <v>0-101024</v>
      </c>
      <c r="S1982" s="339">
        <v>70</v>
      </c>
      <c r="T1982" s="63" t="s">
        <v>120</v>
      </c>
      <c r="U1982" s="326" t="e">
        <f ca="1">_xlfn.XLOOKUP(PAA_4[[#This Row],[ITEM]],[2]Contrato!A:A,[2]Contrato!Q:Q,"",0)</f>
        <v>#NAME?</v>
      </c>
      <c r="V1982" s="47" t="s">
        <v>95</v>
      </c>
      <c r="W1982" s="47" t="s">
        <v>204</v>
      </c>
      <c r="X1982" s="47" t="s">
        <v>204</v>
      </c>
      <c r="Y1982" s="55" t="e">
        <f ca="1">_xlfn.XLOOKUP(PAA_4[[#This Row],[ITEM]],[2]Contrato!A:A,[2]Contrato!B:B,"",0)</f>
        <v>#NAME?</v>
      </c>
      <c r="Z1982" s="47" t="e">
        <f ca="1">_xlfn.XLOOKUP(PAA_4[[#This Row],[ITEM]],[2]Contrato!A:A,[2]Contrato!G:G,"",0)</f>
        <v>#NAME?</v>
      </c>
      <c r="AA1982" s="47" t="e">
        <f ca="1">_xlfn.XLOOKUP(PAA_4[[#This Row],[ITEM]],[2]Contrato!A:A,[2]Contrato!T:T,"",0)</f>
        <v>#NAME?</v>
      </c>
      <c r="AB1982" s="55" t="e">
        <f ca="1">+MAX(PAA_4[[#This Row],[Comprometido Contrato]],PAA_4[[#This Row],[Comprometido Bolsa]])</f>
        <v>#NAME?</v>
      </c>
      <c r="AC1982" s="55" t="str">
        <f t="shared" ca="1" si="614"/>
        <v/>
      </c>
      <c r="AD1982" s="55" t="e">
        <f ca="1">IF(PAA_4[[#This Row],[ESTADO (formulado)]]="NO CONTRATADO",0,MAX(PAA_4[[#This Row],[Pago por Contrato]],PAA_4[[#This Row],[Pago por bolsa]]))</f>
        <v>#NAME?</v>
      </c>
      <c r="AE1982" s="55" t="str">
        <f t="shared" ca="1" si="610"/>
        <v/>
      </c>
      <c r="AF1982" s="47" t="e">
        <f t="shared" ca="1" si="615"/>
        <v>#NAME?</v>
      </c>
      <c r="AG1982" s="47">
        <f t="shared" si="611"/>
        <v>52010801</v>
      </c>
      <c r="AH1982" s="54">
        <f>IF(Q1982="22",IF(ISNUMBER(SEARCH("econ",PAA_4[[#This Row],[Actividad3]])),"Económico",IF(ISNUMBER(SEARCH("alim",PAA_4[[#This Row],[Actividad3]])),"Alimentación",IF(ISNUMBER(SEARCH("educ",PAA_4[[#This Row],[Actividad3]])),"Educativo","Técnico"))),0)</f>
        <v>0</v>
      </c>
      <c r="AI1982" s="47" t="e" cm="1">
        <f t="array" aca="1" ref="AI1982" ca="1">_xlfn.XLOOKUP(PAA_4[[#This Row],[RCP-RUBRO]],[2]!COMPROMISOS_2024[[#All],[concatenado]],[2]!COMPROMISOS_2024[[#All],[Total pagado]],"",0)</f>
        <v>#NAME?</v>
      </c>
      <c r="AJ1982" s="56">
        <f>IF(PAA_4[[#This Row],[BOLSA]]=0,0,SUMIFS([2]!COMPROMISOS_2024[[#All],[Total pagado]],[2]!COMPROMISOS_2024[[#All],[Bolsa]],PAA_4[[#This Row],[BOLSA]],[2]!COMPROMISOS_2024[[#All],[rubro]],PAA_4[[#This Row],[RCP-RUBRO]]))</f>
        <v>0</v>
      </c>
      <c r="AK1982" s="47" t="e" cm="1">
        <f t="array" aca="1" ref="AK1982" ca="1">_xlfn.XLOOKUP(PAA_4[[#This Row],[RCP-RUBRO]],[2]!COMPROMISOS_2024[[#All],[concatenado]],[2]!COMPROMISOS_2024[[#All],[Total Comprometido]],"",0)</f>
        <v>#NAME?</v>
      </c>
      <c r="AL1982" s="47">
        <f>IF(PAA_4[[#This Row],[BOLSA]]=0,0,SUMIFS([2]!COMPROMISOS_2024[[#All],[Total Comprometido]],[2]!COMPROMISOS_2024[[#All],[Bolsa]],PAA_4[[#This Row],[BOLSA]],[2]!COMPROMISOS_2024[[#All],[concatenado]],PAA_4[[#This Row],[RCP-RUBRO]]))</f>
        <v>0</v>
      </c>
    </row>
    <row r="1983" spans="1:38" s="19" customFormat="1" ht="31.5" customHeight="1">
      <c r="A1983" s="47">
        <v>1250</v>
      </c>
      <c r="B1983" s="47">
        <v>90141502</v>
      </c>
      <c r="C1983" s="47" t="str">
        <f>VLOOKUP(PAA_4[[#This Row],[PROYECTO (formulado)2]],[2]PROYECTOS!$G$1:$L$32,6,0)</f>
        <v>SUBGERENCIA DE ALTOS LOGROS Y DEPORTE ASOCIADO</v>
      </c>
      <c r="D1983" s="47" t="str">
        <f>+IF(PAA_4[[#This Row],[UNIDAD DE CONTRATACION (formulado)]]="Subgerencia Administrativa y Financiera","FUNCIONAMIENTO","INVERSIÓN")</f>
        <v>INVERSIÓN</v>
      </c>
      <c r="E1983" s="48" t="str">
        <f>VLOOKUP(Q1983,[2]PROYECTOS!$G$1:$K$32,5,0)</f>
        <v>Apoyo económico a las organizaciones deportivas que representan en competencias al departamento de Antioquia</v>
      </c>
      <c r="F1983" s="48">
        <f>VLOOKUP(E1983,[2]PROYECTOS!$K$1:$M$32,3,0)</f>
        <v>2024003050102</v>
      </c>
      <c r="G1983" s="67" t="s">
        <v>1521</v>
      </c>
      <c r="H1983" s="49" t="str">
        <f>VLOOKUP(Q1983,[2]PROYECTOS!$V$1:$W$32,2,0)</f>
        <v>050076</v>
      </c>
      <c r="I1983" s="78">
        <v>80000000</v>
      </c>
      <c r="J1983" s="51" t="s">
        <v>2194</v>
      </c>
      <c r="K1983" s="47" t="str">
        <f t="shared" ca="1" si="609"/>
        <v>CONTRATADO</v>
      </c>
      <c r="L1983" s="47" t="s">
        <v>898</v>
      </c>
      <c r="M1983" s="51" t="s">
        <v>1767</v>
      </c>
      <c r="N1983" s="52" t="s">
        <v>1522</v>
      </c>
      <c r="O1983" s="51" t="e">
        <f>VLOOKUP(N1983,[2]!RUBROS[#All],3,0)</f>
        <v>#REF!</v>
      </c>
      <c r="P1983" s="53" t="e">
        <f>VLOOKUP(N1983,[2]!RUBROS[#All],2,0)</f>
        <v>#REF!</v>
      </c>
      <c r="Q1983" s="47" t="str">
        <f t="shared" si="612"/>
        <v>02</v>
      </c>
      <c r="R1983" s="47" t="str">
        <f t="shared" si="613"/>
        <v>0-101024</v>
      </c>
      <c r="S1983" s="339">
        <v>70</v>
      </c>
      <c r="T1983" s="63" t="s">
        <v>120</v>
      </c>
      <c r="U1983" s="326" t="e">
        <f ca="1">_xlfn.XLOOKUP(PAA_4[[#This Row],[ITEM]],[2]Contrato!A:A,[2]Contrato!Q:Q,"",0)</f>
        <v>#NAME?</v>
      </c>
      <c r="V1983" s="47" t="s">
        <v>95</v>
      </c>
      <c r="W1983" s="47" t="s">
        <v>204</v>
      </c>
      <c r="X1983" s="47" t="s">
        <v>204</v>
      </c>
      <c r="Y1983" s="55" t="e">
        <f ca="1">_xlfn.XLOOKUP(PAA_4[[#This Row],[ITEM]],[2]Contrato!A:A,[2]Contrato!B:B,"",0)</f>
        <v>#NAME?</v>
      </c>
      <c r="Z1983" s="47" t="e">
        <f ca="1">_xlfn.XLOOKUP(PAA_4[[#This Row],[ITEM]],[2]Contrato!A:A,[2]Contrato!G:G,"",0)</f>
        <v>#NAME?</v>
      </c>
      <c r="AA1983" s="47" t="e">
        <f ca="1">_xlfn.XLOOKUP(PAA_4[[#This Row],[ITEM]],[2]Contrato!A:A,[2]Contrato!T:T,"",0)</f>
        <v>#NAME?</v>
      </c>
      <c r="AB1983" s="55" t="e">
        <f ca="1">+MAX(PAA_4[[#This Row],[Comprometido Contrato]],PAA_4[[#This Row],[Comprometido Bolsa]])</f>
        <v>#NAME?</v>
      </c>
      <c r="AC1983" s="55" t="str">
        <f t="shared" ca="1" si="614"/>
        <v/>
      </c>
      <c r="AD1983" s="55" t="e">
        <f ca="1">IF(PAA_4[[#This Row],[ESTADO (formulado)]]="NO CONTRATADO",0,MAX(PAA_4[[#This Row],[Pago por Contrato]],PAA_4[[#This Row],[Pago por bolsa]]))</f>
        <v>#NAME?</v>
      </c>
      <c r="AE1983" s="55" t="str">
        <f t="shared" ca="1" si="610"/>
        <v/>
      </c>
      <c r="AF1983" s="47" t="e">
        <f t="shared" ca="1" si="615"/>
        <v>#NAME?</v>
      </c>
      <c r="AG1983" s="47">
        <f t="shared" si="611"/>
        <v>52010801</v>
      </c>
      <c r="AH1983" s="54">
        <f>IF(Q1983="22",IF(ISNUMBER(SEARCH("econ",PAA_4[[#This Row],[Actividad3]])),"Económico",IF(ISNUMBER(SEARCH("alim",PAA_4[[#This Row],[Actividad3]])),"Alimentación",IF(ISNUMBER(SEARCH("educ",PAA_4[[#This Row],[Actividad3]])),"Educativo","Técnico"))),0)</f>
        <v>0</v>
      </c>
      <c r="AI1983" s="47" t="e" cm="1">
        <f t="array" aca="1" ref="AI1983" ca="1">_xlfn.XLOOKUP(PAA_4[[#This Row],[RCP-RUBRO]],[2]!COMPROMISOS_2024[[#All],[concatenado]],[2]!COMPROMISOS_2024[[#All],[Total pagado]],"",0)</f>
        <v>#NAME?</v>
      </c>
      <c r="AJ1983" s="56">
        <f>IF(PAA_4[[#This Row],[BOLSA]]=0,0,SUMIFS([2]!COMPROMISOS_2024[[#All],[Total pagado]],[2]!COMPROMISOS_2024[[#All],[Bolsa]],PAA_4[[#This Row],[BOLSA]],[2]!COMPROMISOS_2024[[#All],[rubro]],PAA_4[[#This Row],[RCP-RUBRO]]))</f>
        <v>0</v>
      </c>
      <c r="AK1983" s="47" t="e" cm="1">
        <f t="array" aca="1" ref="AK1983" ca="1">_xlfn.XLOOKUP(PAA_4[[#This Row],[RCP-RUBRO]],[2]!COMPROMISOS_2024[[#All],[concatenado]],[2]!COMPROMISOS_2024[[#All],[Total Comprometido]],"",0)</f>
        <v>#NAME?</v>
      </c>
      <c r="AL1983" s="47">
        <f>IF(PAA_4[[#This Row],[BOLSA]]=0,0,SUMIFS([2]!COMPROMISOS_2024[[#All],[Total Comprometido]],[2]!COMPROMISOS_2024[[#All],[Bolsa]],PAA_4[[#This Row],[BOLSA]],[2]!COMPROMISOS_2024[[#All],[concatenado]],PAA_4[[#This Row],[RCP-RUBRO]]))</f>
        <v>0</v>
      </c>
    </row>
    <row r="1984" spans="1:38" s="19" customFormat="1" ht="31.5" customHeight="1">
      <c r="A1984" s="47" t="s">
        <v>82</v>
      </c>
      <c r="B1984" s="47" t="s">
        <v>42</v>
      </c>
      <c r="C1984" s="47" t="str">
        <f>VLOOKUP(PAA_4[[#This Row],[PROYECTO (formulado)2]],[2]PROYECTOS!$G$1:$L$32,6,0)</f>
        <v>SUBGERENCIA DE ALTOS LOGROS Y DEPORTE ASOCIADO</v>
      </c>
      <c r="D1984" s="47" t="str">
        <f>+IF(PAA_4[[#This Row],[UNIDAD DE CONTRATACION (formulado)]]="Subgerencia Administrativa y Financiera","FUNCIONAMIENTO","INVERSIÓN")</f>
        <v>INVERSIÓN</v>
      </c>
      <c r="E1984" s="48" t="str">
        <f>VLOOKUP(Q1984,[2]PROYECTOS!$G$1:$K$32,5,0)</f>
        <v>Apoyo económico a las organizaciones deportivas que representan en competencias al departamento de Antioquia</v>
      </c>
      <c r="F1984" s="48">
        <f>VLOOKUP(E1984,[2]PROYECTOS!$K$1:$M$32,3,0)</f>
        <v>2024003050102</v>
      </c>
      <c r="G1984" s="67" t="s">
        <v>1550</v>
      </c>
      <c r="H1984" s="49" t="str">
        <f>VLOOKUP(Q1984,[2]PROYECTOS!$V$1:$W$32,2,0)</f>
        <v>050076</v>
      </c>
      <c r="I1984" s="78">
        <v>541667</v>
      </c>
      <c r="J1984" s="51" t="s">
        <v>2132</v>
      </c>
      <c r="K1984" s="47" t="str">
        <f t="shared" ref="K1984:K1990" ca="1" si="616">IF(ISNONTEXT(Y1984)=TRUE,"CONTRATADO","NO CONTRATADO")</f>
        <v>CONTRATADO</v>
      </c>
      <c r="L1984" s="47" t="s">
        <v>42</v>
      </c>
      <c r="M1984" s="51" t="s">
        <v>42</v>
      </c>
      <c r="N1984" s="52" t="s">
        <v>1551</v>
      </c>
      <c r="O1984" s="51" t="e">
        <f>VLOOKUP(N1984,[2]!RUBROS[#All],3,0)</f>
        <v>#REF!</v>
      </c>
      <c r="P1984" s="53" t="e">
        <f>VLOOKUP(N1984,[2]!RUBROS[#All],2,0)</f>
        <v>#REF!</v>
      </c>
      <c r="Q1984" s="47" t="str">
        <f t="shared" si="612"/>
        <v>02</v>
      </c>
      <c r="R1984" s="47" t="str">
        <f t="shared" si="613"/>
        <v>4-101124</v>
      </c>
      <c r="S1984" s="339" t="s">
        <v>42</v>
      </c>
      <c r="T1984" s="339" t="s">
        <v>42</v>
      </c>
      <c r="U1984" s="326" t="e">
        <f ca="1">_xlfn.XLOOKUP(PAA_4[[#This Row],[ITEM]],[2]Contrato!A:A,[2]Contrato!Q:Q,"",0)</f>
        <v>#NAME?</v>
      </c>
      <c r="V1984" s="47" t="s">
        <v>42</v>
      </c>
      <c r="W1984" s="47" t="s">
        <v>42</v>
      </c>
      <c r="X1984" s="47" t="s">
        <v>42</v>
      </c>
      <c r="Y1984" s="55" t="e">
        <f ca="1">_xlfn.XLOOKUP(PAA_4[[#This Row],[ITEM]],[2]Contrato!A:A,[2]Contrato!B:B,"",0)</f>
        <v>#NAME?</v>
      </c>
      <c r="Z1984" s="47" t="e">
        <f ca="1">_xlfn.XLOOKUP(PAA_4[[#This Row],[ITEM]],[2]Contrato!A:A,[2]Contrato!G:G,"",0)</f>
        <v>#NAME?</v>
      </c>
      <c r="AA1984" s="47" t="e">
        <f ca="1">_xlfn.XLOOKUP(PAA_4[[#This Row],[ITEM]],[2]Contrato!A:A,[2]Contrato!T:T,"",0)</f>
        <v>#NAME?</v>
      </c>
      <c r="AB1984" s="55" t="e">
        <f ca="1">+MAX(PAA_4[[#This Row],[Comprometido Contrato]],PAA_4[[#This Row],[Comprometido Bolsa]])</f>
        <v>#NAME?</v>
      </c>
      <c r="AC1984" s="55" t="str">
        <f t="shared" ca="1" si="614"/>
        <v/>
      </c>
      <c r="AD1984" s="55" t="e">
        <f ca="1">IF(PAA_4[[#This Row],[ESTADO (formulado)]]="NO CONTRATADO",0,MAX(PAA_4[[#This Row],[Pago por Contrato]],PAA_4[[#This Row],[Pago por bolsa]]))</f>
        <v>#NAME?</v>
      </c>
      <c r="AE1984" s="55" t="str">
        <f t="shared" ref="AE1984:AE1990" ca="1" si="617">+IFERROR(AB1984-AD1984,"")</f>
        <v/>
      </c>
      <c r="AF1984" s="47" t="e">
        <f t="shared" ca="1" si="615"/>
        <v>#NAME?</v>
      </c>
      <c r="AG1984" s="47">
        <f t="shared" ref="AG1984:AG1990" si="618">IFERROR(_xlfn.NUMBERVALUE(MID(G1984,1,8)),"")</f>
        <v>52010801</v>
      </c>
      <c r="AH1984" s="54">
        <f>IF(Q1984="22",IF(ISNUMBER(SEARCH("econ",PAA_4[[#This Row],[Actividad3]])),"Económico",IF(ISNUMBER(SEARCH("alim",PAA_4[[#This Row],[Actividad3]])),"Alimentación",IF(ISNUMBER(SEARCH("educ",PAA_4[[#This Row],[Actividad3]])),"Educativo","Técnico"))),0)</f>
        <v>0</v>
      </c>
      <c r="AI1984" s="47" t="e" cm="1">
        <f t="array" aca="1" ref="AI1984" ca="1">_xlfn.XLOOKUP(PAA_4[[#This Row],[RCP-RUBRO]],[2]!COMPROMISOS_2024[[#All],[concatenado]],[2]!COMPROMISOS_2024[[#All],[Total pagado]],"",0)</f>
        <v>#NAME?</v>
      </c>
      <c r="AJ1984" s="56">
        <f>IF(PAA_4[[#This Row],[BOLSA]]=0,0,SUMIFS([2]!COMPROMISOS_2024[[#All],[Total pagado]],[2]!COMPROMISOS_2024[[#All],[Bolsa]],PAA_4[[#This Row],[BOLSA]],[2]!COMPROMISOS_2024[[#All],[rubro]],PAA_4[[#This Row],[RCP-RUBRO]]))</f>
        <v>0</v>
      </c>
      <c r="AK1984" s="47" t="e" cm="1">
        <f t="array" aca="1" ref="AK1984" ca="1">_xlfn.XLOOKUP(PAA_4[[#This Row],[RCP-RUBRO]],[2]!COMPROMISOS_2024[[#All],[concatenado]],[2]!COMPROMISOS_2024[[#All],[Total Comprometido]],"",0)</f>
        <v>#NAME?</v>
      </c>
      <c r="AL1984" s="47">
        <f>IF(PAA_4[[#This Row],[BOLSA]]=0,0,SUMIFS([2]!COMPROMISOS_2024[[#All],[Total Comprometido]],[2]!COMPROMISOS_2024[[#All],[Bolsa]],PAA_4[[#This Row],[BOLSA]],[2]!COMPROMISOS_2024[[#All],[concatenado]],PAA_4[[#This Row],[RCP-RUBRO]]))</f>
        <v>0</v>
      </c>
    </row>
    <row r="1985" spans="1:38" s="19" customFormat="1" ht="31.5" customHeight="1">
      <c r="A1985" s="47">
        <v>1251</v>
      </c>
      <c r="B1985" s="47">
        <v>80111600</v>
      </c>
      <c r="C1985" s="47" t="str">
        <f>VLOOKUP(PAA_4[[#This Row],[PROYECTO (formulado)2]],[2]PROYECTOS!$G$1:$L$32,6,0)</f>
        <v>SUBGERENCIA DE ALTOS LOGROS Y DEPORTE ASOCIADO</v>
      </c>
      <c r="D1985" s="47" t="str">
        <f>+IF(PAA_4[[#This Row],[UNIDAD DE CONTRATACION (formulado)]]="Subgerencia Administrativa y Financiera","FUNCIONAMIENTO","INVERSIÓN")</f>
        <v>INVERSIÓN</v>
      </c>
      <c r="E1985" s="48" t="str">
        <f>VLOOKUP(Q1985,[2]PROYECTOS!$G$1:$K$32,5,0)</f>
        <v>Apoyo económico a las organizaciones deportivas que representan en competencias al departamento de Antioquia</v>
      </c>
      <c r="F1985" s="48">
        <f>VLOOKUP(E1985,[2]PROYECTOS!$K$1:$M$32,3,0)</f>
        <v>2024003050102</v>
      </c>
      <c r="G1985" s="67" t="s">
        <v>1550</v>
      </c>
      <c r="H1985" s="49" t="str">
        <f>VLOOKUP(Q1985,[2]PROYECTOS!$V$1:$W$32,2,0)</f>
        <v>050076</v>
      </c>
      <c r="I1985" s="78">
        <f>6500000-541667-216666</f>
        <v>5741667</v>
      </c>
      <c r="J1985" s="51" t="s">
        <v>2136</v>
      </c>
      <c r="K1985" s="47" t="str">
        <f t="shared" ca="1" si="616"/>
        <v>CONTRATADO</v>
      </c>
      <c r="L1985" s="47" t="s">
        <v>898</v>
      </c>
      <c r="M1985" s="51" t="s">
        <v>1297</v>
      </c>
      <c r="N1985" s="52" t="s">
        <v>1551</v>
      </c>
      <c r="O1985" s="51" t="e">
        <f>VLOOKUP(N1985,[2]!RUBROS[#All],3,0)</f>
        <v>#REF!</v>
      </c>
      <c r="P1985" s="53" t="e">
        <f>VLOOKUP(N1985,[2]!RUBROS[#All],2,0)</f>
        <v>#REF!</v>
      </c>
      <c r="Q1985" s="47" t="str">
        <f t="shared" si="612"/>
        <v>02</v>
      </c>
      <c r="R1985" s="47" t="str">
        <f t="shared" si="613"/>
        <v>4-101124</v>
      </c>
      <c r="S1985" s="339">
        <v>2</v>
      </c>
      <c r="T1985" s="63" t="s">
        <v>46</v>
      </c>
      <c r="U1985" s="326" t="e">
        <f ca="1">_xlfn.XLOOKUP(PAA_4[[#This Row],[ITEM]],[2]Contrato!A:A,[2]Contrato!Q:Q,"",0)</f>
        <v>#NAME?</v>
      </c>
      <c r="V1985" s="47" t="s">
        <v>95</v>
      </c>
      <c r="W1985" s="47" t="s">
        <v>204</v>
      </c>
      <c r="X1985" s="47" t="s">
        <v>204</v>
      </c>
      <c r="Y1985" s="55" t="e">
        <f ca="1">_xlfn.XLOOKUP(PAA_4[[#This Row],[ITEM]],[2]Contrato!A:A,[2]Contrato!B:B,"",0)</f>
        <v>#NAME?</v>
      </c>
      <c r="Z1985" s="47" t="e">
        <f ca="1">_xlfn.XLOOKUP(PAA_4[[#This Row],[ITEM]],[2]Contrato!A:A,[2]Contrato!G:G,"",0)</f>
        <v>#NAME?</v>
      </c>
      <c r="AA1985" s="47" t="e">
        <f ca="1">_xlfn.XLOOKUP(PAA_4[[#This Row],[ITEM]],[2]Contrato!A:A,[2]Contrato!T:T,"",0)</f>
        <v>#NAME?</v>
      </c>
      <c r="AB1985" s="55" t="e">
        <f ca="1">+MAX(PAA_4[[#This Row],[Comprometido Contrato]],PAA_4[[#This Row],[Comprometido Bolsa]])</f>
        <v>#NAME?</v>
      </c>
      <c r="AC1985" s="55" t="str">
        <f t="shared" ca="1" si="614"/>
        <v/>
      </c>
      <c r="AD1985" s="55" t="e">
        <f ca="1">IF(PAA_4[[#This Row],[ESTADO (formulado)]]="NO CONTRATADO",0,MAX(PAA_4[[#This Row],[Pago por Contrato]],PAA_4[[#This Row],[Pago por bolsa]]))</f>
        <v>#NAME?</v>
      </c>
      <c r="AE1985" s="55" t="str">
        <f t="shared" ca="1" si="617"/>
        <v/>
      </c>
      <c r="AF1985" s="47" t="e">
        <f t="shared" ca="1" si="615"/>
        <v>#NAME?</v>
      </c>
      <c r="AG1985" s="47">
        <f t="shared" si="618"/>
        <v>52010801</v>
      </c>
      <c r="AH1985" s="54">
        <f>IF(Q1985="22",IF(ISNUMBER(SEARCH("econ",PAA_4[[#This Row],[Actividad3]])),"Económico",IF(ISNUMBER(SEARCH("alim",PAA_4[[#This Row],[Actividad3]])),"Alimentación",IF(ISNUMBER(SEARCH("educ",PAA_4[[#This Row],[Actividad3]])),"Educativo","Técnico"))),0)</f>
        <v>0</v>
      </c>
      <c r="AI1985" s="47" t="e" cm="1">
        <f t="array" aca="1" ref="AI1985" ca="1">_xlfn.XLOOKUP(PAA_4[[#This Row],[RCP-RUBRO]],[2]!COMPROMISOS_2024[[#All],[concatenado]],[2]!COMPROMISOS_2024[[#All],[Total pagado]],"",0)</f>
        <v>#NAME?</v>
      </c>
      <c r="AJ1985" s="56">
        <f>IF(PAA_4[[#This Row],[BOLSA]]=0,0,SUMIFS([2]!COMPROMISOS_2024[[#All],[Total pagado]],[2]!COMPROMISOS_2024[[#All],[Bolsa]],PAA_4[[#This Row],[BOLSA]],[2]!COMPROMISOS_2024[[#All],[rubro]],PAA_4[[#This Row],[RCP-RUBRO]]))</f>
        <v>0</v>
      </c>
      <c r="AK1985" s="47" t="e" cm="1">
        <f t="array" aca="1" ref="AK1985" ca="1">_xlfn.XLOOKUP(PAA_4[[#This Row],[RCP-RUBRO]],[2]!COMPROMISOS_2024[[#All],[concatenado]],[2]!COMPROMISOS_2024[[#All],[Total Comprometido]],"",0)</f>
        <v>#NAME?</v>
      </c>
      <c r="AL1985" s="47">
        <f>IF(PAA_4[[#This Row],[BOLSA]]=0,0,SUMIFS([2]!COMPROMISOS_2024[[#All],[Total Comprometido]],[2]!COMPROMISOS_2024[[#All],[Bolsa]],PAA_4[[#This Row],[BOLSA]],[2]!COMPROMISOS_2024[[#All],[concatenado]],PAA_4[[#This Row],[RCP-RUBRO]]))</f>
        <v>0</v>
      </c>
    </row>
    <row r="1986" spans="1:38" s="19" customFormat="1" ht="31.5" customHeight="1">
      <c r="A1986" s="47" t="s">
        <v>82</v>
      </c>
      <c r="B1986" s="47" t="s">
        <v>42</v>
      </c>
      <c r="C1986" s="47" t="str">
        <f>VLOOKUP(PAA_4[[#This Row],[PROYECTO (formulado)2]],[2]PROYECTOS!$G$1:$L$32,6,0)</f>
        <v>SUBGERENCIA DE ALTOS LOGROS Y DEPORTE ASOCIADO</v>
      </c>
      <c r="D1986" s="47" t="str">
        <f>+IF(PAA_4[[#This Row],[UNIDAD DE CONTRATACION (formulado)]]="Subgerencia Administrativa y Financiera","FUNCIONAMIENTO","INVERSIÓN")</f>
        <v>INVERSIÓN</v>
      </c>
      <c r="E1986" s="48" t="str">
        <f>VLOOKUP(Q1986,[2]PROYECTOS!$G$1:$K$32,5,0)</f>
        <v>Apoyo económico a las organizaciones deportivas que representan en competencias al departamento de Antioquia</v>
      </c>
      <c r="F1986" s="48">
        <f>VLOOKUP(E1986,[2]PROYECTOS!$K$1:$M$32,3,0)</f>
        <v>2024003050102</v>
      </c>
      <c r="G1986" s="67" t="s">
        <v>1550</v>
      </c>
      <c r="H1986" s="49" t="str">
        <f>VLOOKUP(Q1986,[2]PROYECTOS!$V$1:$W$32,2,0)</f>
        <v>050076</v>
      </c>
      <c r="I1986" s="78">
        <v>541667</v>
      </c>
      <c r="J1986" s="51" t="s">
        <v>2132</v>
      </c>
      <c r="K1986" s="47" t="str">
        <f t="shared" ca="1" si="616"/>
        <v>CONTRATADO</v>
      </c>
      <c r="L1986" s="47" t="s">
        <v>42</v>
      </c>
      <c r="M1986" s="51" t="s">
        <v>42</v>
      </c>
      <c r="N1986" s="52" t="s">
        <v>1551</v>
      </c>
      <c r="O1986" s="51" t="e">
        <f>VLOOKUP(N1986,[2]!RUBROS[#All],3,0)</f>
        <v>#REF!</v>
      </c>
      <c r="P1986" s="53" t="e">
        <f>VLOOKUP(N1986,[2]!RUBROS[#All],2,0)</f>
        <v>#REF!</v>
      </c>
      <c r="Q1986" s="47" t="str">
        <f t="shared" si="612"/>
        <v>02</v>
      </c>
      <c r="R1986" s="47" t="str">
        <f t="shared" si="613"/>
        <v>4-101124</v>
      </c>
      <c r="S1986" s="339" t="s">
        <v>42</v>
      </c>
      <c r="T1986" s="339" t="s">
        <v>42</v>
      </c>
      <c r="U1986" s="326" t="e">
        <f ca="1">_xlfn.XLOOKUP(PAA_4[[#This Row],[ITEM]],[2]Contrato!A:A,[2]Contrato!Q:Q,"",0)</f>
        <v>#NAME?</v>
      </c>
      <c r="V1986" s="47" t="s">
        <v>42</v>
      </c>
      <c r="W1986" s="47" t="s">
        <v>42</v>
      </c>
      <c r="X1986" s="47" t="s">
        <v>42</v>
      </c>
      <c r="Y1986" s="55" t="e">
        <f ca="1">_xlfn.XLOOKUP(PAA_4[[#This Row],[ITEM]],[2]Contrato!A:A,[2]Contrato!B:B,"",0)</f>
        <v>#NAME?</v>
      </c>
      <c r="Z1986" s="47" t="e">
        <f ca="1">_xlfn.XLOOKUP(PAA_4[[#This Row],[ITEM]],[2]Contrato!A:A,[2]Contrato!G:G,"",0)</f>
        <v>#NAME?</v>
      </c>
      <c r="AA1986" s="47" t="e">
        <f ca="1">_xlfn.XLOOKUP(PAA_4[[#This Row],[ITEM]],[2]Contrato!A:A,[2]Contrato!T:T,"",0)</f>
        <v>#NAME?</v>
      </c>
      <c r="AB1986" s="55" t="e">
        <f ca="1">+MAX(PAA_4[[#This Row],[Comprometido Contrato]],PAA_4[[#This Row],[Comprometido Bolsa]])</f>
        <v>#NAME?</v>
      </c>
      <c r="AC1986" s="55" t="str">
        <f t="shared" ca="1" si="614"/>
        <v/>
      </c>
      <c r="AD1986" s="55" t="e">
        <f ca="1">IF(PAA_4[[#This Row],[ESTADO (formulado)]]="NO CONTRATADO",0,MAX(PAA_4[[#This Row],[Pago por Contrato]],PAA_4[[#This Row],[Pago por bolsa]]))</f>
        <v>#NAME?</v>
      </c>
      <c r="AE1986" s="55" t="str">
        <f t="shared" ca="1" si="617"/>
        <v/>
      </c>
      <c r="AF1986" s="47" t="e">
        <f t="shared" ca="1" si="615"/>
        <v>#NAME?</v>
      </c>
      <c r="AG1986" s="47">
        <f t="shared" si="618"/>
        <v>52010801</v>
      </c>
      <c r="AH1986" s="54">
        <f>IF(Q1986="22",IF(ISNUMBER(SEARCH("econ",PAA_4[[#This Row],[Actividad3]])),"Económico",IF(ISNUMBER(SEARCH("alim",PAA_4[[#This Row],[Actividad3]])),"Alimentación",IF(ISNUMBER(SEARCH("educ",PAA_4[[#This Row],[Actividad3]])),"Educativo","Técnico"))),0)</f>
        <v>0</v>
      </c>
      <c r="AI1986" s="47" t="e" cm="1">
        <f t="array" aca="1" ref="AI1986" ca="1">_xlfn.XLOOKUP(PAA_4[[#This Row],[RCP-RUBRO]],[2]!COMPROMISOS_2024[[#All],[concatenado]],[2]!COMPROMISOS_2024[[#All],[Total pagado]],"",0)</f>
        <v>#NAME?</v>
      </c>
      <c r="AJ1986" s="56">
        <f>IF(PAA_4[[#This Row],[BOLSA]]=0,0,SUMIFS([2]!COMPROMISOS_2024[[#All],[Total pagado]],[2]!COMPROMISOS_2024[[#All],[Bolsa]],PAA_4[[#This Row],[BOLSA]],[2]!COMPROMISOS_2024[[#All],[rubro]],PAA_4[[#This Row],[RCP-RUBRO]]))</f>
        <v>0</v>
      </c>
      <c r="AK1986" s="47" t="e" cm="1">
        <f t="array" aca="1" ref="AK1986" ca="1">_xlfn.XLOOKUP(PAA_4[[#This Row],[RCP-RUBRO]],[2]!COMPROMISOS_2024[[#All],[concatenado]],[2]!COMPROMISOS_2024[[#All],[Total Comprometido]],"",0)</f>
        <v>#NAME?</v>
      </c>
      <c r="AL1986" s="47">
        <f>IF(PAA_4[[#This Row],[BOLSA]]=0,0,SUMIFS([2]!COMPROMISOS_2024[[#All],[Total Comprometido]],[2]!COMPROMISOS_2024[[#All],[Bolsa]],PAA_4[[#This Row],[BOLSA]],[2]!COMPROMISOS_2024[[#All],[concatenado]],PAA_4[[#This Row],[RCP-RUBRO]]))</f>
        <v>0</v>
      </c>
    </row>
    <row r="1987" spans="1:38" s="19" customFormat="1" ht="31.5" customHeight="1">
      <c r="A1987" s="47">
        <v>1252</v>
      </c>
      <c r="B1987" s="47">
        <v>80111600</v>
      </c>
      <c r="C1987" s="47" t="str">
        <f>VLOOKUP(PAA_4[[#This Row],[PROYECTO (formulado)2]],[2]PROYECTOS!$G$1:$L$32,6,0)</f>
        <v>SUBGERENCIA DE ALTOS LOGROS Y DEPORTE ASOCIADO</v>
      </c>
      <c r="D1987" s="47" t="str">
        <f>+IF(PAA_4[[#This Row],[UNIDAD DE CONTRATACION (formulado)]]="Subgerencia Administrativa y Financiera","FUNCIONAMIENTO","INVERSIÓN")</f>
        <v>INVERSIÓN</v>
      </c>
      <c r="E1987" s="48" t="str">
        <f>VLOOKUP(Q1987,[2]PROYECTOS!$G$1:$K$32,5,0)</f>
        <v>Apoyo económico a las organizaciones deportivas que representan en competencias al departamento de Antioquia</v>
      </c>
      <c r="F1987" s="48">
        <f>VLOOKUP(E1987,[2]PROYECTOS!$K$1:$M$32,3,0)</f>
        <v>2024003050102</v>
      </c>
      <c r="G1987" s="67" t="s">
        <v>1550</v>
      </c>
      <c r="H1987" s="49" t="str">
        <f>VLOOKUP(Q1987,[2]PROYECTOS!$V$1:$W$32,2,0)</f>
        <v>050076</v>
      </c>
      <c r="I1987" s="78">
        <f>6500000-541667-108333</f>
        <v>5850000</v>
      </c>
      <c r="J1987" s="51" t="s">
        <v>2136</v>
      </c>
      <c r="K1987" s="47" t="str">
        <f t="shared" ca="1" si="616"/>
        <v>CONTRATADO</v>
      </c>
      <c r="L1987" s="47" t="s">
        <v>898</v>
      </c>
      <c r="M1987" s="51" t="s">
        <v>1297</v>
      </c>
      <c r="N1987" s="52" t="s">
        <v>1551</v>
      </c>
      <c r="O1987" s="51" t="e">
        <f>VLOOKUP(N1987,[2]!RUBROS[#All],3,0)</f>
        <v>#REF!</v>
      </c>
      <c r="P1987" s="53" t="e">
        <f>VLOOKUP(N1987,[2]!RUBROS[#All],2,0)</f>
        <v>#REF!</v>
      </c>
      <c r="Q1987" s="47" t="str">
        <f t="shared" si="612"/>
        <v>02</v>
      </c>
      <c r="R1987" s="47" t="str">
        <f t="shared" si="613"/>
        <v>4-101124</v>
      </c>
      <c r="S1987" s="339">
        <v>2</v>
      </c>
      <c r="T1987" s="63" t="s">
        <v>46</v>
      </c>
      <c r="U1987" s="326" t="e">
        <f ca="1">_xlfn.XLOOKUP(PAA_4[[#This Row],[ITEM]],[2]Contrato!A:A,[2]Contrato!Q:Q,"",0)</f>
        <v>#NAME?</v>
      </c>
      <c r="V1987" s="47" t="s">
        <v>95</v>
      </c>
      <c r="W1987" s="47" t="s">
        <v>204</v>
      </c>
      <c r="X1987" s="47" t="s">
        <v>204</v>
      </c>
      <c r="Y1987" s="55" t="e">
        <f ca="1">_xlfn.XLOOKUP(PAA_4[[#This Row],[ITEM]],[2]Contrato!A:A,[2]Contrato!B:B,"",0)</f>
        <v>#NAME?</v>
      </c>
      <c r="Z1987" s="47" t="e">
        <f ca="1">_xlfn.XLOOKUP(PAA_4[[#This Row],[ITEM]],[2]Contrato!A:A,[2]Contrato!G:G,"",0)</f>
        <v>#NAME?</v>
      </c>
      <c r="AA1987" s="47" t="e">
        <f ca="1">_xlfn.XLOOKUP(PAA_4[[#This Row],[ITEM]],[2]Contrato!A:A,[2]Contrato!T:T,"",0)</f>
        <v>#NAME?</v>
      </c>
      <c r="AB1987" s="55" t="e">
        <f ca="1">+MAX(PAA_4[[#This Row],[Comprometido Contrato]],PAA_4[[#This Row],[Comprometido Bolsa]])</f>
        <v>#NAME?</v>
      </c>
      <c r="AC1987" s="55" t="str">
        <f t="shared" ca="1" si="614"/>
        <v/>
      </c>
      <c r="AD1987" s="55" t="e">
        <f ca="1">IF(PAA_4[[#This Row],[ESTADO (formulado)]]="NO CONTRATADO",0,MAX(PAA_4[[#This Row],[Pago por Contrato]],PAA_4[[#This Row],[Pago por bolsa]]))</f>
        <v>#NAME?</v>
      </c>
      <c r="AE1987" s="55" t="str">
        <f t="shared" ca="1" si="617"/>
        <v/>
      </c>
      <c r="AF1987" s="47" t="e">
        <f t="shared" ca="1" si="615"/>
        <v>#NAME?</v>
      </c>
      <c r="AG1987" s="47">
        <f t="shared" si="618"/>
        <v>52010801</v>
      </c>
      <c r="AH1987" s="54">
        <f>IF(Q1987="22",IF(ISNUMBER(SEARCH("econ",PAA_4[[#This Row],[Actividad3]])),"Económico",IF(ISNUMBER(SEARCH("alim",PAA_4[[#This Row],[Actividad3]])),"Alimentación",IF(ISNUMBER(SEARCH("educ",PAA_4[[#This Row],[Actividad3]])),"Educativo","Técnico"))),0)</f>
        <v>0</v>
      </c>
      <c r="AI1987" s="47" t="e" cm="1">
        <f t="array" aca="1" ref="AI1987" ca="1">_xlfn.XLOOKUP(PAA_4[[#This Row],[RCP-RUBRO]],[2]!COMPROMISOS_2024[[#All],[concatenado]],[2]!COMPROMISOS_2024[[#All],[Total pagado]],"",0)</f>
        <v>#NAME?</v>
      </c>
      <c r="AJ1987" s="56">
        <f>IF(PAA_4[[#This Row],[BOLSA]]=0,0,SUMIFS([2]!COMPROMISOS_2024[[#All],[Total pagado]],[2]!COMPROMISOS_2024[[#All],[Bolsa]],PAA_4[[#This Row],[BOLSA]],[2]!COMPROMISOS_2024[[#All],[rubro]],PAA_4[[#This Row],[RCP-RUBRO]]))</f>
        <v>0</v>
      </c>
      <c r="AK1987" s="47" t="e" cm="1">
        <f t="array" aca="1" ref="AK1987" ca="1">_xlfn.XLOOKUP(PAA_4[[#This Row],[RCP-RUBRO]],[2]!COMPROMISOS_2024[[#All],[concatenado]],[2]!COMPROMISOS_2024[[#All],[Total Comprometido]],"",0)</f>
        <v>#NAME?</v>
      </c>
      <c r="AL1987" s="47">
        <f>IF(PAA_4[[#This Row],[BOLSA]]=0,0,SUMIFS([2]!COMPROMISOS_2024[[#All],[Total Comprometido]],[2]!COMPROMISOS_2024[[#All],[Bolsa]],PAA_4[[#This Row],[BOLSA]],[2]!COMPROMISOS_2024[[#All],[concatenado]],PAA_4[[#This Row],[RCP-RUBRO]]))</f>
        <v>0</v>
      </c>
    </row>
    <row r="1988" spans="1:38" s="19" customFormat="1" ht="31.5" customHeight="1">
      <c r="A1988" s="47" t="s">
        <v>82</v>
      </c>
      <c r="B1988" s="47">
        <v>80111600</v>
      </c>
      <c r="C1988" s="47" t="str">
        <f>VLOOKUP(PAA_4[[#This Row],[PROYECTO (formulado)2]],[2]PROYECTOS!$G$1:$L$32,6,0)</f>
        <v>SUBGERENCIA DE ALTOS LOGROS Y DEPORTE ASOCIADO</v>
      </c>
      <c r="D1988" s="47" t="str">
        <f>+IF(PAA_4[[#This Row],[UNIDAD DE CONTRATACION (formulado)]]="Subgerencia Administrativa y Financiera","FUNCIONAMIENTO","INVERSIÓN")</f>
        <v>INVERSIÓN</v>
      </c>
      <c r="E1988" s="48" t="str">
        <f>VLOOKUP(Q1988,[2]PROYECTOS!$G$1:$K$32,5,0)</f>
        <v>Apoyo económico a las organizaciones deportivas que representan en competencias al departamento de Antioquia</v>
      </c>
      <c r="F1988" s="48">
        <f>VLOOKUP(E1988,[2]PROYECTOS!$K$1:$M$32,3,0)</f>
        <v>2024003050102</v>
      </c>
      <c r="G1988" s="67" t="s">
        <v>1550</v>
      </c>
      <c r="H1988" s="49" t="str">
        <f>VLOOKUP(Q1988,[2]PROYECTOS!$V$1:$W$32,2,0)</f>
        <v>050076</v>
      </c>
      <c r="I1988" s="78">
        <v>138298686</v>
      </c>
      <c r="J1988" s="51" t="s">
        <v>174</v>
      </c>
      <c r="K1988" s="47" t="str">
        <f t="shared" ca="1" si="616"/>
        <v>CONTRATADO</v>
      </c>
      <c r="L1988" s="47" t="s">
        <v>898</v>
      </c>
      <c r="M1988" s="47" t="s">
        <v>42</v>
      </c>
      <c r="N1988" s="52" t="s">
        <v>1551</v>
      </c>
      <c r="O1988" s="51" t="e">
        <f>VLOOKUP(N1988,[2]!RUBROS[#All],3,0)</f>
        <v>#REF!</v>
      </c>
      <c r="P1988" s="53" t="e">
        <f>VLOOKUP(N1988,[2]!RUBROS[#All],2,0)</f>
        <v>#REF!</v>
      </c>
      <c r="Q1988" s="47" t="str">
        <f t="shared" ref="Q1988:Q1990" si="619">+MID(N1988,11,2)</f>
        <v>02</v>
      </c>
      <c r="R1988" s="47" t="str">
        <f t="shared" ref="R1988:R1990" si="620">+MID(N1988,14,8)</f>
        <v>4-101124</v>
      </c>
      <c r="S1988" s="339" t="s">
        <v>42</v>
      </c>
      <c r="T1988" s="59" t="s">
        <v>42</v>
      </c>
      <c r="U1988" s="326" t="e">
        <f ca="1">_xlfn.XLOOKUP(PAA_4[[#This Row],[ITEM]],[2]Contrato!A:A,[2]Contrato!Q:Q,"",0)</f>
        <v>#NAME?</v>
      </c>
      <c r="V1988" s="47" t="s">
        <v>95</v>
      </c>
      <c r="W1988" s="47" t="s">
        <v>194</v>
      </c>
      <c r="X1988" s="47" t="s">
        <v>203</v>
      </c>
      <c r="Y1988" s="55" t="e">
        <f ca="1">_xlfn.XLOOKUP(PAA_4[[#This Row],[ITEM]],[2]Contrato!A:A,[2]Contrato!B:B,"",0)</f>
        <v>#NAME?</v>
      </c>
      <c r="Z1988" s="47" t="e">
        <f ca="1">_xlfn.XLOOKUP(PAA_4[[#This Row],[ITEM]],[2]Contrato!A:A,[2]Contrato!G:G,"",0)</f>
        <v>#NAME?</v>
      </c>
      <c r="AA1988" s="47" t="e">
        <f ca="1">_xlfn.XLOOKUP(PAA_4[[#This Row],[ITEM]],[2]Contrato!A:A,[2]Contrato!T:T,"",0)</f>
        <v>#NAME?</v>
      </c>
      <c r="AB1988" s="55" t="e">
        <f ca="1">+MAX(PAA_4[[#This Row],[Comprometido Contrato]],PAA_4[[#This Row],[Comprometido Bolsa]])</f>
        <v>#NAME?</v>
      </c>
      <c r="AC1988" s="55" t="str">
        <f t="shared" ref="AC1988:AC1990" ca="1" si="621">IFERROR(I1988-AB1988,"")</f>
        <v/>
      </c>
      <c r="AD1988" s="55" t="e">
        <f ca="1">IF(PAA_4[[#This Row],[ESTADO (formulado)]]="NO CONTRATADO",0,MAX(PAA_4[[#This Row],[Pago por Contrato]],PAA_4[[#This Row],[Pago por bolsa]]))</f>
        <v>#NAME?</v>
      </c>
      <c r="AE1988" s="55" t="str">
        <f t="shared" ca="1" si="617"/>
        <v/>
      </c>
      <c r="AF1988" s="47" t="e">
        <f t="shared" ref="AF1988:AF1990" ca="1" si="622">+CONCATENATE(AA1988,N1988)</f>
        <v>#NAME?</v>
      </c>
      <c r="AG1988" s="47">
        <f t="shared" si="618"/>
        <v>52010801</v>
      </c>
      <c r="AH1988" s="54">
        <f>IF(Q1988="22",IF(ISNUMBER(SEARCH("econ",PAA_4[[#This Row],[Actividad3]])),"Económico",IF(ISNUMBER(SEARCH("alim",PAA_4[[#This Row],[Actividad3]])),"Alimentación",IF(ISNUMBER(SEARCH("educ",PAA_4[[#This Row],[Actividad3]])),"Educativo","Técnico"))),0)</f>
        <v>0</v>
      </c>
      <c r="AI1988" s="47" t="e" cm="1">
        <f t="array" aca="1" ref="AI1988" ca="1">_xlfn.XLOOKUP(PAA_4[[#This Row],[RCP-RUBRO]],[2]!COMPROMISOS_2024[[#All],[concatenado]],[2]!COMPROMISOS_2024[[#All],[Total pagado]],"",0)</f>
        <v>#NAME?</v>
      </c>
      <c r="AJ1988" s="56">
        <f>IF(PAA_4[[#This Row],[BOLSA]]=0,0,SUMIFS([2]!COMPROMISOS_2024[[#All],[Total pagado]],[2]!COMPROMISOS_2024[[#All],[Bolsa]],PAA_4[[#This Row],[BOLSA]],[2]!COMPROMISOS_2024[[#All],[rubro]],PAA_4[[#This Row],[RCP-RUBRO]]))</f>
        <v>0</v>
      </c>
      <c r="AK1988" s="47" t="e" cm="1">
        <f t="array" aca="1" ref="AK1988" ca="1">_xlfn.XLOOKUP(PAA_4[[#This Row],[RCP-RUBRO]],[2]!COMPROMISOS_2024[[#All],[concatenado]],[2]!COMPROMISOS_2024[[#All],[Total Comprometido]],"",0)</f>
        <v>#NAME?</v>
      </c>
      <c r="AL1988" s="47">
        <f>IF(PAA_4[[#This Row],[BOLSA]]=0,0,SUMIFS([2]!COMPROMISOS_2024[[#All],[Total Comprometido]],[2]!COMPROMISOS_2024[[#All],[Bolsa]],PAA_4[[#This Row],[BOLSA]],[2]!COMPROMISOS_2024[[#All],[concatenado]],PAA_4[[#This Row],[RCP-RUBRO]]))</f>
        <v>0</v>
      </c>
    </row>
    <row r="1989" spans="1:38" s="19" customFormat="1" ht="31.5" customHeight="1">
      <c r="A1989" s="47" t="s">
        <v>82</v>
      </c>
      <c r="B1989" s="47">
        <v>80111600</v>
      </c>
      <c r="C1989" s="47" t="str">
        <f>VLOOKUP(PAA_4[[#This Row],[PROYECTO (formulado)2]],[2]PROYECTOS!$G$1:$L$32,6,0)</f>
        <v>SUBGERENCIA DE ALTOS LOGROS Y DEPORTE ASOCIADO</v>
      </c>
      <c r="D1989" s="47" t="str">
        <f>+IF(PAA_4[[#This Row],[UNIDAD DE CONTRATACION (formulado)]]="Subgerencia Administrativa y Financiera","FUNCIONAMIENTO","INVERSIÓN")</f>
        <v>INVERSIÓN</v>
      </c>
      <c r="E1989" s="48" t="str">
        <f>VLOOKUP(Q1989,[2]PROYECTOS!$G$1:$K$32,5,0)</f>
        <v>Apoyo económico a las organizaciones deportivas que representan en competencias al departamento de Antioquia</v>
      </c>
      <c r="F1989" s="48">
        <f>VLOOKUP(E1989,[2]PROYECTOS!$K$1:$M$32,3,0)</f>
        <v>2024003050102</v>
      </c>
      <c r="G1989" s="67" t="s">
        <v>1550</v>
      </c>
      <c r="H1989" s="49" t="str">
        <f>VLOOKUP(Q1989,[2]PROYECTOS!$V$1:$W$32,2,0)</f>
        <v>050076</v>
      </c>
      <c r="I1989" s="78">
        <v>4765617</v>
      </c>
      <c r="J1989" s="51" t="s">
        <v>174</v>
      </c>
      <c r="K1989" s="47" t="str">
        <f t="shared" ca="1" si="616"/>
        <v>CONTRATADO</v>
      </c>
      <c r="L1989" s="47" t="s">
        <v>898</v>
      </c>
      <c r="M1989" s="47" t="s">
        <v>42</v>
      </c>
      <c r="N1989" s="52" t="s">
        <v>2195</v>
      </c>
      <c r="O1989" s="51" t="e">
        <f>VLOOKUP(N1989,[2]!RUBROS[#All],3,0)</f>
        <v>#REF!</v>
      </c>
      <c r="P1989" s="53" t="e">
        <f>VLOOKUP(N1989,[2]!RUBROS[#All],2,0)</f>
        <v>#REF!</v>
      </c>
      <c r="Q1989" s="47" t="str">
        <f t="shared" si="619"/>
        <v>02</v>
      </c>
      <c r="R1989" s="47" t="str">
        <f t="shared" si="620"/>
        <v>0-205400</v>
      </c>
      <c r="S1989" s="339" t="s">
        <v>42</v>
      </c>
      <c r="T1989" s="59" t="s">
        <v>42</v>
      </c>
      <c r="U1989" s="326" t="e">
        <f ca="1">_xlfn.XLOOKUP(PAA_4[[#This Row],[ITEM]],[2]Contrato!A:A,[2]Contrato!Q:Q,"",0)</f>
        <v>#NAME?</v>
      </c>
      <c r="V1989" s="47" t="s">
        <v>95</v>
      </c>
      <c r="W1989" s="47" t="s">
        <v>194</v>
      </c>
      <c r="X1989" s="47" t="s">
        <v>203</v>
      </c>
      <c r="Y1989" s="55" t="e">
        <f ca="1">_xlfn.XLOOKUP(PAA_4[[#This Row],[ITEM]],[2]Contrato!A:A,[2]Contrato!B:B,"",0)</f>
        <v>#NAME?</v>
      </c>
      <c r="Z1989" s="47" t="e">
        <f ca="1">_xlfn.XLOOKUP(PAA_4[[#This Row],[ITEM]],[2]Contrato!A:A,[2]Contrato!G:G,"",0)</f>
        <v>#NAME?</v>
      </c>
      <c r="AA1989" s="47" t="e">
        <f ca="1">_xlfn.XLOOKUP(PAA_4[[#This Row],[ITEM]],[2]Contrato!A:A,[2]Contrato!T:T,"",0)</f>
        <v>#NAME?</v>
      </c>
      <c r="AB1989" s="55" t="e">
        <f ca="1">+MAX(PAA_4[[#This Row],[Comprometido Contrato]],PAA_4[[#This Row],[Comprometido Bolsa]])</f>
        <v>#NAME?</v>
      </c>
      <c r="AC1989" s="55" t="str">
        <f t="shared" ca="1" si="621"/>
        <v/>
      </c>
      <c r="AD1989" s="55" t="e">
        <f ca="1">IF(PAA_4[[#This Row],[ESTADO (formulado)]]="NO CONTRATADO",0,MAX(PAA_4[[#This Row],[Pago por Contrato]],PAA_4[[#This Row],[Pago por bolsa]]))</f>
        <v>#NAME?</v>
      </c>
      <c r="AE1989" s="55" t="str">
        <f t="shared" ca="1" si="617"/>
        <v/>
      </c>
      <c r="AF1989" s="47" t="e">
        <f t="shared" ca="1" si="622"/>
        <v>#NAME?</v>
      </c>
      <c r="AG1989" s="47">
        <f t="shared" si="618"/>
        <v>52010801</v>
      </c>
      <c r="AH1989" s="54">
        <f>IF(Q1989="22",IF(ISNUMBER(SEARCH("econ",PAA_4[[#This Row],[Actividad3]])),"Económico",IF(ISNUMBER(SEARCH("alim",PAA_4[[#This Row],[Actividad3]])),"Alimentación",IF(ISNUMBER(SEARCH("educ",PAA_4[[#This Row],[Actividad3]])),"Educativo","Técnico"))),0)</f>
        <v>0</v>
      </c>
      <c r="AI1989" s="47" t="e" cm="1">
        <f t="array" aca="1" ref="AI1989" ca="1">_xlfn.XLOOKUP(PAA_4[[#This Row],[RCP-RUBRO]],[2]!COMPROMISOS_2024[[#All],[concatenado]],[2]!COMPROMISOS_2024[[#All],[Total pagado]],"",0)</f>
        <v>#NAME?</v>
      </c>
      <c r="AJ1989" s="56">
        <f>IF(PAA_4[[#This Row],[BOLSA]]=0,0,SUMIFS([2]!COMPROMISOS_2024[[#All],[Total pagado]],[2]!COMPROMISOS_2024[[#All],[Bolsa]],PAA_4[[#This Row],[BOLSA]],[2]!COMPROMISOS_2024[[#All],[rubro]],PAA_4[[#This Row],[RCP-RUBRO]]))</f>
        <v>0</v>
      </c>
      <c r="AK1989" s="47" t="e" cm="1">
        <f t="array" aca="1" ref="AK1989" ca="1">_xlfn.XLOOKUP(PAA_4[[#This Row],[RCP-RUBRO]],[2]!COMPROMISOS_2024[[#All],[concatenado]],[2]!COMPROMISOS_2024[[#All],[Total Comprometido]],"",0)</f>
        <v>#NAME?</v>
      </c>
      <c r="AL1989" s="47">
        <f>IF(PAA_4[[#This Row],[BOLSA]]=0,0,SUMIFS([2]!COMPROMISOS_2024[[#All],[Total Comprometido]],[2]!COMPROMISOS_2024[[#All],[Bolsa]],PAA_4[[#This Row],[BOLSA]],[2]!COMPROMISOS_2024[[#All],[concatenado]],PAA_4[[#This Row],[RCP-RUBRO]]))</f>
        <v>0</v>
      </c>
    </row>
    <row r="1990" spans="1:38" s="19" customFormat="1" ht="31.5" customHeight="1">
      <c r="A1990" s="47" t="s">
        <v>82</v>
      </c>
      <c r="B1990" s="47" t="s">
        <v>42</v>
      </c>
      <c r="C1990" s="47" t="str">
        <f>VLOOKUP(PAA_4[[#This Row],[PROYECTO (formulado)2]],[2]PROYECTOS!$G$1:$L$32,6,0)</f>
        <v>SUBGERENCIA DE ALTOS LOGROS Y DEPORTE ASOCIADO</v>
      </c>
      <c r="D1990" s="47" t="str">
        <f>+IF(PAA_4[[#This Row],[UNIDAD DE CONTRATACION (formulado)]]="Subgerencia Administrativa y Financiera","FUNCIONAMIENTO","INVERSIÓN")</f>
        <v>INVERSIÓN</v>
      </c>
      <c r="E1990" s="48" t="str">
        <f>VLOOKUP(Q1990,[2]PROYECTOS!$G$1:$K$32,5,0)</f>
        <v>Apoyo y subvención para satisfacer necesidades propias del proceso de preparación y competencia de los Atletas y Para-atletas de alto rendimiento del departamento de Antioquia</v>
      </c>
      <c r="F1990" s="48">
        <f>VLOOKUP(E1990,[2]PROYECTOS!$K$1:$M$32,3,0)</f>
        <v>2024003050085</v>
      </c>
      <c r="G1990" s="67" t="s">
        <v>2098</v>
      </c>
      <c r="H1990" s="49" t="str">
        <f>VLOOKUP(Q1990,[2]PROYECTOS!$V$1:$W$32,2,0)</f>
        <v>050077</v>
      </c>
      <c r="I1990" s="78">
        <v>217880000</v>
      </c>
      <c r="J1990" s="51" t="s">
        <v>1501</v>
      </c>
      <c r="K1990" s="47" t="str">
        <f t="shared" ca="1" si="616"/>
        <v>CONTRATADO</v>
      </c>
      <c r="L1990" s="47" t="s">
        <v>44</v>
      </c>
      <c r="M1990" s="47" t="s">
        <v>1236</v>
      </c>
      <c r="N1990" s="52" t="s">
        <v>2100</v>
      </c>
      <c r="O1990" s="51" t="e">
        <f>VLOOKUP(N1990,[2]!RUBROS[#All],3,0)</f>
        <v>#REF!</v>
      </c>
      <c r="P1990" s="53" t="e">
        <f>VLOOKUP(N1990,[2]!RUBROS[#All],2,0)</f>
        <v>#REF!</v>
      </c>
      <c r="Q1990" s="47" t="str">
        <f t="shared" si="619"/>
        <v>85</v>
      </c>
      <c r="R1990" s="47" t="str">
        <f t="shared" si="620"/>
        <v>0-101024</v>
      </c>
      <c r="S1990" s="339" t="s">
        <v>42</v>
      </c>
      <c r="T1990" s="59" t="s">
        <v>42</v>
      </c>
      <c r="U1990" s="326" t="e">
        <f ca="1">_xlfn.XLOOKUP(PAA_4[[#This Row],[ITEM]],[2]Contrato!A:A,[2]Contrato!Q:Q,"",0)</f>
        <v>#NAME?</v>
      </c>
      <c r="V1990" s="47" t="s">
        <v>95</v>
      </c>
      <c r="W1990" s="47" t="s">
        <v>194</v>
      </c>
      <c r="X1990" s="47" t="s">
        <v>203</v>
      </c>
      <c r="Y1990" s="55" t="e">
        <f ca="1">_xlfn.XLOOKUP(PAA_4[[#This Row],[ITEM]],[2]Contrato!A:A,[2]Contrato!B:B,"",0)</f>
        <v>#NAME?</v>
      </c>
      <c r="Z1990" s="47" t="e">
        <f ca="1">_xlfn.XLOOKUP(PAA_4[[#This Row],[ITEM]],[2]Contrato!A:A,[2]Contrato!G:G,"",0)</f>
        <v>#NAME?</v>
      </c>
      <c r="AA1990" s="47" t="e">
        <f ca="1">_xlfn.XLOOKUP(PAA_4[[#This Row],[ITEM]],[2]Contrato!A:A,[2]Contrato!T:T,"",0)</f>
        <v>#NAME?</v>
      </c>
      <c r="AB1990" s="55" t="e">
        <f ca="1">+MAX(PAA_4[[#This Row],[Comprometido Contrato]],PAA_4[[#This Row],[Comprometido Bolsa]])</f>
        <v>#NAME?</v>
      </c>
      <c r="AC1990" s="55" t="str">
        <f t="shared" ca="1" si="621"/>
        <v/>
      </c>
      <c r="AD1990" s="55" t="e">
        <f ca="1">IF(PAA_4[[#This Row],[ESTADO (formulado)]]="NO CONTRATADO",0,MAX(PAA_4[[#This Row],[Pago por Contrato]],PAA_4[[#This Row],[Pago por bolsa]]))</f>
        <v>#NAME?</v>
      </c>
      <c r="AE1990" s="55" t="str">
        <f t="shared" ca="1" si="617"/>
        <v/>
      </c>
      <c r="AF1990" s="47" t="e">
        <f t="shared" ca="1" si="622"/>
        <v>#NAME?</v>
      </c>
      <c r="AG1990" s="47">
        <f t="shared" si="618"/>
        <v>52010803</v>
      </c>
      <c r="AH1990" s="54">
        <f>IF(Q1990="22",IF(ISNUMBER(SEARCH("econ",PAA_4[[#This Row],[Actividad3]])),"Económico",IF(ISNUMBER(SEARCH("alim",PAA_4[[#This Row],[Actividad3]])),"Alimentación",IF(ISNUMBER(SEARCH("educ",PAA_4[[#This Row],[Actividad3]])),"Educativo","Técnico"))),0)</f>
        <v>0</v>
      </c>
      <c r="AI1990" s="47" t="e" cm="1">
        <f t="array" aca="1" ref="AI1990" ca="1">_xlfn.XLOOKUP(PAA_4[[#This Row],[RCP-RUBRO]],[2]!COMPROMISOS_2024[[#All],[concatenado]],[2]!COMPROMISOS_2024[[#All],[Total pagado]],"",0)</f>
        <v>#NAME?</v>
      </c>
      <c r="AJ1990" s="56">
        <f>IF(PAA_4[[#This Row],[BOLSA]]=0,0,SUMIFS([2]!COMPROMISOS_2024[[#All],[Total pagado]],[2]!COMPROMISOS_2024[[#All],[Bolsa]],PAA_4[[#This Row],[BOLSA]],[2]!COMPROMISOS_2024[[#All],[rubro]],PAA_4[[#This Row],[RCP-RUBRO]]))</f>
        <v>0</v>
      </c>
      <c r="AK1990" s="47" t="e" cm="1">
        <f t="array" aca="1" ref="AK1990" ca="1">_xlfn.XLOOKUP(PAA_4[[#This Row],[RCP-RUBRO]],[2]!COMPROMISOS_2024[[#All],[concatenado]],[2]!COMPROMISOS_2024[[#All],[Total Comprometido]],"",0)</f>
        <v>#NAME?</v>
      </c>
      <c r="AL1990" s="47">
        <f>IF(PAA_4[[#This Row],[BOLSA]]=0,0,SUMIFS([2]!COMPROMISOS_2024[[#All],[Total Comprometido]],[2]!COMPROMISOS_2024[[#All],[Bolsa]],PAA_4[[#This Row],[BOLSA]],[2]!COMPROMISOS_2024[[#All],[concatenado]],PAA_4[[#This Row],[RCP-RUBRO]]))</f>
        <v>0</v>
      </c>
    </row>
    <row r="1991" spans="1:38" s="19" customFormat="1" ht="31.5" customHeight="1">
      <c r="A1991" s="47" t="s">
        <v>82</v>
      </c>
      <c r="B1991" s="47" t="s">
        <v>42</v>
      </c>
      <c r="C1991" s="47" t="str">
        <f>VLOOKUP(PAA_4[[#This Row],[PROYECTO (formulado)2]],[2]PROYECTOS!$G$1:$L$32,6,0)</f>
        <v>SUBGERENCIA DE ALTOS LOGROS Y DEPORTE ASOCIADO</v>
      </c>
      <c r="D1991" s="47" t="str">
        <f>+IF(PAA_4[[#This Row],[UNIDAD DE CONTRATACION (formulado)]]="Subgerencia Administrativa y Financiera","FUNCIONAMIENTO","INVERSIÓN")</f>
        <v>INVERSIÓN</v>
      </c>
      <c r="E1991" s="48" t="str">
        <f>VLOOKUP(Q1991,[2]PROYECTOS!$G$1:$K$32,5,0)</f>
        <v>Apoyo y subvención para satisfacer necesidades propias del proceso de preparación y competencia de los Atletas y Para-atletas de alto rendimiento del departamento de Antioquia</v>
      </c>
      <c r="F1991" s="48">
        <f>VLOOKUP(E1991,[2]PROYECTOS!$K$1:$M$32,3,0)</f>
        <v>2024003050085</v>
      </c>
      <c r="G1991" s="67" t="s">
        <v>2098</v>
      </c>
      <c r="H1991" s="49" t="str">
        <f>VLOOKUP(Q1991,[2]PROYECTOS!$V$1:$W$32,2,0)</f>
        <v>050077</v>
      </c>
      <c r="I1991" s="78">
        <v>166435317</v>
      </c>
      <c r="J1991" s="51" t="s">
        <v>1757</v>
      </c>
      <c r="K1991" s="47" t="str">
        <f ca="1">IF(ISNONTEXT(Y1991)=TRUE,"CONTRATADO","NO CONTRATADO")</f>
        <v>CONTRATADO</v>
      </c>
      <c r="L1991" s="47" t="s">
        <v>42</v>
      </c>
      <c r="M1991" s="47" t="s">
        <v>42</v>
      </c>
      <c r="N1991" s="52" t="s">
        <v>2196</v>
      </c>
      <c r="O1991" s="51" t="e">
        <f>VLOOKUP(N1991,[2]!RUBROS[#All],3,0)</f>
        <v>#REF!</v>
      </c>
      <c r="P1991" s="53" t="e">
        <f>VLOOKUP(N1991,[2]!RUBROS[#All],2,0)</f>
        <v>#REF!</v>
      </c>
      <c r="Q1991" s="47" t="str">
        <f>+MID(N1991,11,2)</f>
        <v>85</v>
      </c>
      <c r="R1991" s="47" t="str">
        <f>+MID(N1991,14,8)</f>
        <v>0-101024</v>
      </c>
      <c r="S1991" s="388" t="s">
        <v>42</v>
      </c>
      <c r="T1991" s="354" t="s">
        <v>42</v>
      </c>
      <c r="U1991" s="326" t="e">
        <f ca="1">_xlfn.XLOOKUP(PAA_4[[#This Row],[ITEM]],[2]Contrato!A:A,[2]Contrato!Q:Q,"",0)</f>
        <v>#NAME?</v>
      </c>
      <c r="V1991" s="47" t="s">
        <v>95</v>
      </c>
      <c r="W1991" s="370" t="s">
        <v>42</v>
      </c>
      <c r="X1991" s="370" t="s">
        <v>42</v>
      </c>
      <c r="Y1991" s="55" t="e">
        <f ca="1">_xlfn.XLOOKUP(PAA_4[[#This Row],[ITEM]],[2]Contrato!A:A,[2]Contrato!B:B,"",0)</f>
        <v>#NAME?</v>
      </c>
      <c r="Z1991" s="47" t="e">
        <f ca="1">_xlfn.XLOOKUP(PAA_4[[#This Row],[ITEM]],[2]Contrato!A:A,[2]Contrato!G:G,"",0)</f>
        <v>#NAME?</v>
      </c>
      <c r="AA1991" s="47" t="e">
        <f ca="1">_xlfn.XLOOKUP(PAA_4[[#This Row],[ITEM]],[2]Contrato!A:A,[2]Contrato!T:T,"",0)</f>
        <v>#NAME?</v>
      </c>
      <c r="AB1991" s="55" t="e">
        <f ca="1">+MAX(PAA_4[[#This Row],[Comprometido Contrato]],PAA_4[[#This Row],[Comprometido Bolsa]])</f>
        <v>#NAME?</v>
      </c>
      <c r="AC1991" s="55" t="str">
        <f ca="1">IFERROR(I1991-AB1991,"")</f>
        <v/>
      </c>
      <c r="AD1991" s="55" t="e">
        <f ca="1">IF(PAA_4[[#This Row],[ESTADO (formulado)]]="NO CONTRATADO",0,MAX(PAA_4[[#This Row],[Pago por Contrato]],PAA_4[[#This Row],[Pago por bolsa]]))</f>
        <v>#NAME?</v>
      </c>
      <c r="AE1991" s="55" t="str">
        <f ca="1">+IFERROR(AB1991-AD1991,"")</f>
        <v/>
      </c>
      <c r="AF1991" s="47" t="e">
        <f ca="1">+CONCATENATE(AA1991,N1991)</f>
        <v>#NAME?</v>
      </c>
      <c r="AG1991" s="47">
        <f>IFERROR(_xlfn.NUMBERVALUE(MID(G1991,1,8)),"")</f>
        <v>52010803</v>
      </c>
      <c r="AH1991" s="54">
        <f>IF(Q1991="22",IF(ISNUMBER(SEARCH("econ",PAA_4[[#This Row],[Actividad3]])),"Económico",IF(ISNUMBER(SEARCH("alim",PAA_4[[#This Row],[Actividad3]])),"Alimentación",IF(ISNUMBER(SEARCH("educ",PAA_4[[#This Row],[Actividad3]])),"Educativo","Técnico"))),0)</f>
        <v>0</v>
      </c>
      <c r="AI1991" s="47" t="e" cm="1">
        <f t="array" aca="1" ref="AI1991" ca="1">_xlfn.XLOOKUP(PAA_4[[#This Row],[RCP-RUBRO]],[2]!COMPROMISOS_2024[[#All],[concatenado]],[2]!COMPROMISOS_2024[[#All],[Total pagado]],"",0)</f>
        <v>#NAME?</v>
      </c>
      <c r="AJ1991" s="56">
        <f>IF(PAA_4[[#This Row],[BOLSA]]=0,0,SUMIFS([2]!COMPROMISOS_2024[[#All],[Total pagado]],[2]!COMPROMISOS_2024[[#All],[Bolsa]],PAA_4[[#This Row],[BOLSA]],[2]!COMPROMISOS_2024[[#All],[rubro]],PAA_4[[#This Row],[RCP-RUBRO]]))</f>
        <v>0</v>
      </c>
      <c r="AK1991" s="47" t="e" cm="1">
        <f t="array" aca="1" ref="AK1991" ca="1">_xlfn.XLOOKUP(PAA_4[[#This Row],[RCP-RUBRO]],[2]!COMPROMISOS_2024[[#All],[concatenado]],[2]!COMPROMISOS_2024[[#All],[Total Comprometido]],"",0)</f>
        <v>#NAME?</v>
      </c>
      <c r="AL1991" s="47">
        <f>IF(PAA_4[[#This Row],[BOLSA]]=0,0,SUMIFS([2]!COMPROMISOS_2024[[#All],[Total Comprometido]],[2]!COMPROMISOS_2024[[#All],[Bolsa]],PAA_4[[#This Row],[BOLSA]],[2]!COMPROMISOS_2024[[#All],[concatenado]],PAA_4[[#This Row],[RCP-RUBRO]]))</f>
        <v>0</v>
      </c>
    </row>
    <row r="1992" spans="1:38" s="19" customFormat="1" ht="31.5" customHeight="1">
      <c r="A1992" s="47" t="s">
        <v>82</v>
      </c>
      <c r="B1992" s="47" t="s">
        <v>42</v>
      </c>
      <c r="C1992" s="47" t="str">
        <f>VLOOKUP(PAA_4[[#This Row],[PROYECTO (formulado)2]],[2]PROYECTOS!$G$1:$L$32,6,0)</f>
        <v>SUBGERENCIA DE ALTOS LOGROS Y DEPORTE ASOCIADO</v>
      </c>
      <c r="D1992" s="47" t="str">
        <f>+IF(PAA_4[[#This Row],[UNIDAD DE CONTRATACION (formulado)]]="Subgerencia Administrativa y Financiera","FUNCIONAMIENTO","INVERSIÓN")</f>
        <v>INVERSIÓN</v>
      </c>
      <c r="E1992" s="48" t="str">
        <f>VLOOKUP(Q1992,[2]PROYECTOS!$G$1:$K$32,5,0)</f>
        <v>Apoyo y subvención para satisfacer necesidades propias del proceso de preparación y competencia de los Atletas y Para-atletas de alto rendimiento del departamento de Antioquia</v>
      </c>
      <c r="F1992" s="48">
        <f>VLOOKUP(E1992,[2]PROYECTOS!$K$1:$M$32,3,0)</f>
        <v>2024003050085</v>
      </c>
      <c r="G1992" s="67" t="s">
        <v>2098</v>
      </c>
      <c r="H1992" s="49" t="str">
        <f>VLOOKUP(Q1992,[2]PROYECTOS!$V$1:$W$32,2,0)</f>
        <v>050077</v>
      </c>
      <c r="I1992" s="78">
        <v>80096064</v>
      </c>
      <c r="J1992" s="51" t="s">
        <v>1757</v>
      </c>
      <c r="K1992" s="47" t="str">
        <f ca="1">IF(ISNONTEXT(Y1992)=TRUE,"CONTRATADO","NO CONTRATADO")</f>
        <v>CONTRATADO</v>
      </c>
      <c r="L1992" s="47" t="s">
        <v>42</v>
      </c>
      <c r="M1992" s="47" t="s">
        <v>42</v>
      </c>
      <c r="N1992" s="52" t="s">
        <v>2196</v>
      </c>
      <c r="O1992" s="51" t="e">
        <f>VLOOKUP(N1992,[2]!RUBROS[#All],3,0)</f>
        <v>#REF!</v>
      </c>
      <c r="P1992" s="53" t="e">
        <f>VLOOKUP(N1992,[2]!RUBROS[#All],2,0)</f>
        <v>#REF!</v>
      </c>
      <c r="Q1992" s="47" t="str">
        <f>+MID(N1992,11,2)</f>
        <v>85</v>
      </c>
      <c r="R1992" s="47" t="str">
        <f>+MID(N1992,14,8)</f>
        <v>0-101024</v>
      </c>
      <c r="S1992" s="388" t="s">
        <v>42</v>
      </c>
      <c r="T1992" s="354" t="s">
        <v>42</v>
      </c>
      <c r="U1992" s="326" t="e">
        <f ca="1">_xlfn.XLOOKUP(PAA_4[[#This Row],[ITEM]],[2]Contrato!A:A,[2]Contrato!Q:Q,"",0)</f>
        <v>#NAME?</v>
      </c>
      <c r="V1992" s="47" t="s">
        <v>95</v>
      </c>
      <c r="W1992" s="370" t="s">
        <v>42</v>
      </c>
      <c r="X1992" s="370" t="s">
        <v>42</v>
      </c>
      <c r="Y1992" s="55" t="e">
        <f ca="1">_xlfn.XLOOKUP(PAA_4[[#This Row],[ITEM]],[2]Contrato!A:A,[2]Contrato!B:B,"",0)</f>
        <v>#NAME?</v>
      </c>
      <c r="Z1992" s="47" t="e">
        <f ca="1">_xlfn.XLOOKUP(PAA_4[[#This Row],[ITEM]],[2]Contrato!A:A,[2]Contrato!G:G,"",0)</f>
        <v>#NAME?</v>
      </c>
      <c r="AA1992" s="47" t="e">
        <f ca="1">_xlfn.XLOOKUP(PAA_4[[#This Row],[ITEM]],[2]Contrato!A:A,[2]Contrato!T:T,"",0)</f>
        <v>#NAME?</v>
      </c>
      <c r="AB1992" s="55" t="e">
        <f ca="1">+MAX(PAA_4[[#This Row],[Comprometido Contrato]],PAA_4[[#This Row],[Comprometido Bolsa]])</f>
        <v>#NAME?</v>
      </c>
      <c r="AC1992" s="55" t="str">
        <f ca="1">IFERROR(I1992-AB1992,"")</f>
        <v/>
      </c>
      <c r="AD1992" s="55" t="e">
        <f ca="1">IF(PAA_4[[#This Row],[ESTADO (formulado)]]="NO CONTRATADO",0,MAX(PAA_4[[#This Row],[Pago por Contrato]],PAA_4[[#This Row],[Pago por bolsa]]))</f>
        <v>#NAME?</v>
      </c>
      <c r="AE1992" s="55" t="str">
        <f ca="1">+IFERROR(AB1992-AD1992,"")</f>
        <v/>
      </c>
      <c r="AF1992" s="47" t="e">
        <f ca="1">+CONCATENATE(AA1992,N1992)</f>
        <v>#NAME?</v>
      </c>
      <c r="AG1992" s="47">
        <f>IFERROR(_xlfn.NUMBERVALUE(MID(G1992,1,8)),"")</f>
        <v>52010803</v>
      </c>
      <c r="AH1992" s="54">
        <f>IF(Q1992="22",IF(ISNUMBER(SEARCH("econ",PAA_4[[#This Row],[Actividad3]])),"Económico",IF(ISNUMBER(SEARCH("alim",PAA_4[[#This Row],[Actividad3]])),"Alimentación",IF(ISNUMBER(SEARCH("educ",PAA_4[[#This Row],[Actividad3]])),"Educativo","Técnico"))),0)</f>
        <v>0</v>
      </c>
      <c r="AI1992" s="47" t="e" cm="1">
        <f t="array" aca="1" ref="AI1992" ca="1">_xlfn.XLOOKUP(PAA_4[[#This Row],[RCP-RUBRO]],[2]!COMPROMISOS_2024[[#All],[concatenado]],[2]!COMPROMISOS_2024[[#All],[Total pagado]],"",0)</f>
        <v>#NAME?</v>
      </c>
      <c r="AJ1992" s="56">
        <f>IF(PAA_4[[#This Row],[BOLSA]]=0,0,SUMIFS([2]!COMPROMISOS_2024[[#All],[Total pagado]],[2]!COMPROMISOS_2024[[#All],[Bolsa]],PAA_4[[#This Row],[BOLSA]],[2]!COMPROMISOS_2024[[#All],[rubro]],PAA_4[[#This Row],[RCP-RUBRO]]))</f>
        <v>0</v>
      </c>
      <c r="AK1992" s="47" t="e" cm="1">
        <f t="array" aca="1" ref="AK1992" ca="1">_xlfn.XLOOKUP(PAA_4[[#This Row],[RCP-RUBRO]],[2]!COMPROMISOS_2024[[#All],[concatenado]],[2]!COMPROMISOS_2024[[#All],[Total Comprometido]],"",0)</f>
        <v>#NAME?</v>
      </c>
      <c r="AL1992" s="47">
        <f>IF(PAA_4[[#This Row],[BOLSA]]=0,0,SUMIFS([2]!COMPROMISOS_2024[[#All],[Total Comprometido]],[2]!COMPROMISOS_2024[[#All],[Bolsa]],PAA_4[[#This Row],[BOLSA]],[2]!COMPROMISOS_2024[[#All],[concatenado]],PAA_4[[#This Row],[RCP-RUBRO]]))</f>
        <v>0</v>
      </c>
    </row>
    <row r="1993" spans="1:38" s="19" customFormat="1" ht="31.5" customHeight="1">
      <c r="A1993" s="47" t="s">
        <v>2197</v>
      </c>
      <c r="B1993" s="47">
        <v>91111603</v>
      </c>
      <c r="C1993" s="47" t="str">
        <f>VLOOKUP(PAA_4[[#This Row],[PROYECTO (formulado)2]],[2]PROYECTOS!$G$1:$L$32,6,0)</f>
        <v>SUBGERENCIA DE ALTOS LOGROS Y DEPORTE ASOCIADO</v>
      </c>
      <c r="D1993" s="47" t="str">
        <f>+IF(PAA_4[[#This Row],[UNIDAD DE CONTRATACION (formulado)]]="Subgerencia Administrativa y Financiera","FUNCIONAMIENTO","INVERSIÓN")</f>
        <v>INVERSIÓN</v>
      </c>
      <c r="E1993" s="48" t="str">
        <f>VLOOKUP(Q1993,[2]PROYECTOS!$G$1:$K$32,5,0)</f>
        <v>Apoyo y subvención para satisfacer necesidades propias del proceso de preparación y competencia de los Atletas y Para-atletas de alto rendimiento del departamento de Antioquia</v>
      </c>
      <c r="F1993" s="48">
        <f>VLOOKUP(E1993,[2]PROYECTOS!$K$1:$M$32,3,0)</f>
        <v>2024003050085</v>
      </c>
      <c r="G1993" s="67" t="s">
        <v>2098</v>
      </c>
      <c r="H1993" s="49" t="str">
        <f>VLOOKUP(Q1993,[2]PROYECTOS!$V$1:$W$32,2,0)</f>
        <v>050077</v>
      </c>
      <c r="I1993" s="78">
        <f>396990000-166435317</f>
        <v>230554683</v>
      </c>
      <c r="J1993" s="51" t="s">
        <v>2198</v>
      </c>
      <c r="K1993" s="47" t="str">
        <f t="shared" ref="K1993:K2047" ca="1" si="623">IF(ISNONTEXT(Y1993)=TRUE,"CONTRATADO","NO CONTRATADO")</f>
        <v>CONTRATADO</v>
      </c>
      <c r="L1993" s="47" t="s">
        <v>94</v>
      </c>
      <c r="M1993" s="47" t="s">
        <v>2199</v>
      </c>
      <c r="N1993" s="52" t="s">
        <v>2196</v>
      </c>
      <c r="O1993" s="51" t="e">
        <f>VLOOKUP(N1993,[2]!RUBROS[#All],3,0)</f>
        <v>#REF!</v>
      </c>
      <c r="P1993" s="53" t="e">
        <f>VLOOKUP(N1993,[2]!RUBROS[#All],2,0)</f>
        <v>#REF!</v>
      </c>
      <c r="Q1993" s="47" t="str">
        <f t="shared" ref="Q1993:Q2047" si="624">+MID(N1993,11,2)</f>
        <v>85</v>
      </c>
      <c r="R1993" s="47" t="str">
        <f t="shared" ref="R1993:R2047" si="625">+MID(N1993,14,8)</f>
        <v>0-101024</v>
      </c>
      <c r="S1993" s="339">
        <v>75</v>
      </c>
      <c r="T1993" s="63" t="s">
        <v>120</v>
      </c>
      <c r="U1993" s="326" t="e">
        <f ca="1">_xlfn.XLOOKUP(PAA_4[[#This Row],[ITEM]],[2]Contrato!A:A,[2]Contrato!Q:Q,"",0)</f>
        <v>#NAME?</v>
      </c>
      <c r="V1993" s="47" t="s">
        <v>95</v>
      </c>
      <c r="W1993" s="47" t="s">
        <v>194</v>
      </c>
      <c r="X1993" s="47" t="s">
        <v>203</v>
      </c>
      <c r="Y1993" s="55" t="e">
        <f ca="1">_xlfn.XLOOKUP(PAA_4[[#This Row],[ITEM]],[2]Contrato!A:A,[2]Contrato!B:B,"",0)</f>
        <v>#NAME?</v>
      </c>
      <c r="Z1993" s="47" t="e">
        <f ca="1">_xlfn.XLOOKUP(PAA_4[[#This Row],[ITEM]],[2]Contrato!A:A,[2]Contrato!G:G,"",0)</f>
        <v>#NAME?</v>
      </c>
      <c r="AA1993" s="47" t="e">
        <f ca="1">_xlfn.XLOOKUP(PAA_4[[#This Row],[ITEM]],[2]Contrato!A:A,[2]Contrato!T:T,"",0)</f>
        <v>#NAME?</v>
      </c>
      <c r="AB1993" s="55" t="e">
        <f ca="1">+MAX(PAA_4[[#This Row],[Comprometido Contrato]],PAA_4[[#This Row],[Comprometido Bolsa]])</f>
        <v>#NAME?</v>
      </c>
      <c r="AC1993" s="55" t="str">
        <f t="shared" ref="AC1993:AC2047" ca="1" si="626">IFERROR(I1993-AB1993,"")</f>
        <v/>
      </c>
      <c r="AD1993" s="55" t="e">
        <f ca="1">IF(PAA_4[[#This Row],[ESTADO (formulado)]]="NO CONTRATADO",0,MAX(PAA_4[[#This Row],[Pago por Contrato]],PAA_4[[#This Row],[Pago por bolsa]]))</f>
        <v>#NAME?</v>
      </c>
      <c r="AE1993" s="55" t="str">
        <f t="shared" ref="AE1993:AE2047" ca="1" si="627">+IFERROR(AB1993-AD1993,"")</f>
        <v/>
      </c>
      <c r="AF1993" s="47" t="e">
        <f t="shared" ref="AF1993:AF2047" ca="1" si="628">+CONCATENATE(AA1993,N1993)</f>
        <v>#NAME?</v>
      </c>
      <c r="AG1993" s="47">
        <f t="shared" ref="AG1993:AG2047" si="629">IFERROR(_xlfn.NUMBERVALUE(MID(G1993,1,8)),"")</f>
        <v>52010803</v>
      </c>
      <c r="AH1993" s="54">
        <f>IF(Q1993="22",IF(ISNUMBER(SEARCH("econ",PAA_4[[#This Row],[Actividad3]])),"Económico",IF(ISNUMBER(SEARCH("alim",PAA_4[[#This Row],[Actividad3]])),"Alimentación",IF(ISNUMBER(SEARCH("educ",PAA_4[[#This Row],[Actividad3]])),"Educativo","Técnico"))),0)</f>
        <v>0</v>
      </c>
      <c r="AI1993" s="47" t="e" cm="1">
        <f t="array" aca="1" ref="AI1993" ca="1">_xlfn.XLOOKUP(PAA_4[[#This Row],[RCP-RUBRO]],[2]!COMPROMISOS_2024[[#All],[concatenado]],[2]!COMPROMISOS_2024[[#All],[Total pagado]],"",0)</f>
        <v>#NAME?</v>
      </c>
      <c r="AJ1993" s="56">
        <f>IF(PAA_4[[#This Row],[BOLSA]]=0,0,SUMIFS([2]!COMPROMISOS_2024[[#All],[Total pagado]],[2]!COMPROMISOS_2024[[#All],[Bolsa]],PAA_4[[#This Row],[BOLSA]],[2]!COMPROMISOS_2024[[#All],[rubro]],PAA_4[[#This Row],[RCP-RUBRO]]))</f>
        <v>0</v>
      </c>
      <c r="AK1993" s="47" t="e" cm="1">
        <f t="array" aca="1" ref="AK1993" ca="1">_xlfn.XLOOKUP(PAA_4[[#This Row],[RCP-RUBRO]],[2]!COMPROMISOS_2024[[#All],[concatenado]],[2]!COMPROMISOS_2024[[#All],[Total Comprometido]],"",0)</f>
        <v>#NAME?</v>
      </c>
      <c r="AL1993" s="47">
        <f>IF(PAA_4[[#This Row],[BOLSA]]=0,0,SUMIFS([2]!COMPROMISOS_2024[[#All],[Total Comprometido]],[2]!COMPROMISOS_2024[[#All],[Bolsa]],PAA_4[[#This Row],[BOLSA]],[2]!COMPROMISOS_2024[[#All],[concatenado]],PAA_4[[#This Row],[RCP-RUBRO]]))</f>
        <v>0</v>
      </c>
    </row>
    <row r="1994" spans="1:38" s="19" customFormat="1" ht="31.5" customHeight="1">
      <c r="A1994" s="47" t="s">
        <v>2200</v>
      </c>
      <c r="B1994" s="47">
        <v>91111603</v>
      </c>
      <c r="C1994" s="47" t="str">
        <f>VLOOKUP(PAA_4[[#This Row],[PROYECTO (formulado)2]],[2]PROYECTOS!$G$1:$L$32,6,0)</f>
        <v>SUBGERENCIA DE ALTOS LOGROS Y DEPORTE ASOCIADO</v>
      </c>
      <c r="D1994" s="47" t="str">
        <f>+IF(PAA_4[[#This Row],[UNIDAD DE CONTRATACION (formulado)]]="Subgerencia Administrativa y Financiera","FUNCIONAMIENTO","INVERSIÓN")</f>
        <v>INVERSIÓN</v>
      </c>
      <c r="E1994" s="48" t="str">
        <f>VLOOKUP(Q1994,[2]PROYECTOS!$G$1:$K$32,5,0)</f>
        <v>Apoyo y subvención para satisfacer necesidades propias del proceso de preparación y competencia de los Atletas y Para-atletas de alto rendimiento del departamento de Antioquia</v>
      </c>
      <c r="F1994" s="48">
        <f>VLOOKUP(E1994,[2]PROYECTOS!$K$1:$M$32,3,0)</f>
        <v>2024003050085</v>
      </c>
      <c r="G1994" s="67" t="s">
        <v>2098</v>
      </c>
      <c r="H1994" s="49" t="str">
        <f>VLOOKUP(Q1994,[2]PROYECTOS!$V$1:$W$32,2,0)</f>
        <v>050077</v>
      </c>
      <c r="I1994" s="78">
        <f>185671893-80096064</f>
        <v>105575829</v>
      </c>
      <c r="J1994" s="51" t="s">
        <v>2201</v>
      </c>
      <c r="K1994" s="47" t="str">
        <f t="shared" ca="1" si="623"/>
        <v>CONTRATADO</v>
      </c>
      <c r="L1994" s="47" t="s">
        <v>94</v>
      </c>
      <c r="M1994" s="47" t="s">
        <v>2199</v>
      </c>
      <c r="N1994" s="52" t="s">
        <v>2196</v>
      </c>
      <c r="O1994" s="51" t="e">
        <f>VLOOKUP(N1994,[2]!RUBROS[#All],3,0)</f>
        <v>#REF!</v>
      </c>
      <c r="P1994" s="53" t="e">
        <f>VLOOKUP(N1994,[2]!RUBROS[#All],2,0)</f>
        <v>#REF!</v>
      </c>
      <c r="Q1994" s="47" t="str">
        <f t="shared" si="624"/>
        <v>85</v>
      </c>
      <c r="R1994" s="47" t="str">
        <f t="shared" si="625"/>
        <v>0-101024</v>
      </c>
      <c r="S1994" s="339">
        <v>75</v>
      </c>
      <c r="T1994" s="63" t="s">
        <v>120</v>
      </c>
      <c r="U1994" s="326" t="e">
        <f ca="1">_xlfn.XLOOKUP(PAA_4[[#This Row],[ITEM]],[2]Contrato!A:A,[2]Contrato!Q:Q,"",0)</f>
        <v>#NAME?</v>
      </c>
      <c r="V1994" s="47" t="s">
        <v>95</v>
      </c>
      <c r="W1994" s="47" t="s">
        <v>194</v>
      </c>
      <c r="X1994" s="47" t="s">
        <v>203</v>
      </c>
      <c r="Y1994" s="55" t="e">
        <f ca="1">_xlfn.XLOOKUP(PAA_4[[#This Row],[ITEM]],[2]Contrato!A:A,[2]Contrato!B:B,"",0)</f>
        <v>#NAME?</v>
      </c>
      <c r="Z1994" s="47" t="e">
        <f ca="1">_xlfn.XLOOKUP(PAA_4[[#This Row],[ITEM]],[2]Contrato!A:A,[2]Contrato!G:G,"",0)</f>
        <v>#NAME?</v>
      </c>
      <c r="AA1994" s="47" t="e">
        <f ca="1">_xlfn.XLOOKUP(PAA_4[[#This Row],[ITEM]],[2]Contrato!A:A,[2]Contrato!T:T,"",0)</f>
        <v>#NAME?</v>
      </c>
      <c r="AB1994" s="55" t="e">
        <f ca="1">+MAX(PAA_4[[#This Row],[Comprometido Contrato]],PAA_4[[#This Row],[Comprometido Bolsa]])</f>
        <v>#NAME?</v>
      </c>
      <c r="AC1994" s="55" t="str">
        <f t="shared" ca="1" si="626"/>
        <v/>
      </c>
      <c r="AD1994" s="55" t="e">
        <f ca="1">IF(PAA_4[[#This Row],[ESTADO (formulado)]]="NO CONTRATADO",0,MAX(PAA_4[[#This Row],[Pago por Contrato]],PAA_4[[#This Row],[Pago por bolsa]]))</f>
        <v>#NAME?</v>
      </c>
      <c r="AE1994" s="55" t="str">
        <f t="shared" ca="1" si="627"/>
        <v/>
      </c>
      <c r="AF1994" s="47" t="e">
        <f t="shared" ca="1" si="628"/>
        <v>#NAME?</v>
      </c>
      <c r="AG1994" s="47">
        <f t="shared" si="629"/>
        <v>52010803</v>
      </c>
      <c r="AH1994" s="54">
        <f>IF(Q1994="22",IF(ISNUMBER(SEARCH("econ",PAA_4[[#This Row],[Actividad3]])),"Económico",IF(ISNUMBER(SEARCH("alim",PAA_4[[#This Row],[Actividad3]])),"Alimentación",IF(ISNUMBER(SEARCH("educ",PAA_4[[#This Row],[Actividad3]])),"Educativo","Técnico"))),0)</f>
        <v>0</v>
      </c>
      <c r="AI1994" s="47" t="e" cm="1">
        <f t="array" aca="1" ref="AI1994" ca="1">_xlfn.XLOOKUP(PAA_4[[#This Row],[RCP-RUBRO]],[2]!COMPROMISOS_2024[[#All],[concatenado]],[2]!COMPROMISOS_2024[[#All],[Total pagado]],"",0)</f>
        <v>#NAME?</v>
      </c>
      <c r="AJ1994" s="56">
        <f>IF(PAA_4[[#This Row],[BOLSA]]=0,0,SUMIFS([2]!COMPROMISOS_2024[[#All],[Total pagado]],[2]!COMPROMISOS_2024[[#All],[Bolsa]],PAA_4[[#This Row],[BOLSA]],[2]!COMPROMISOS_2024[[#All],[rubro]],PAA_4[[#This Row],[RCP-RUBRO]]))</f>
        <v>0</v>
      </c>
      <c r="AK1994" s="47" t="e" cm="1">
        <f t="array" aca="1" ref="AK1994" ca="1">_xlfn.XLOOKUP(PAA_4[[#This Row],[RCP-RUBRO]],[2]!COMPROMISOS_2024[[#All],[concatenado]],[2]!COMPROMISOS_2024[[#All],[Total Comprometido]],"",0)</f>
        <v>#NAME?</v>
      </c>
      <c r="AL1994" s="47">
        <f>IF(PAA_4[[#This Row],[BOLSA]]=0,0,SUMIFS([2]!COMPROMISOS_2024[[#All],[Total Comprometido]],[2]!COMPROMISOS_2024[[#All],[Bolsa]],PAA_4[[#This Row],[BOLSA]],[2]!COMPROMISOS_2024[[#All],[concatenado]],PAA_4[[#This Row],[RCP-RUBRO]]))</f>
        <v>0</v>
      </c>
    </row>
    <row r="1995" spans="1:38" s="19" customFormat="1" ht="31.5" customHeight="1">
      <c r="A1995" s="47" t="s">
        <v>82</v>
      </c>
      <c r="B1995" s="47" t="s">
        <v>42</v>
      </c>
      <c r="C1995" s="47" t="str">
        <f>VLOOKUP(PAA_4[[#This Row],[PROYECTO (formulado)2]],[2]PROYECTOS!$G$1:$L$32,6,0)</f>
        <v>SUBGERENCIA DE ALTOS LOGROS Y DEPORTE ASOCIADO</v>
      </c>
      <c r="D1995" s="47" t="str">
        <f>+IF(PAA_4[[#This Row],[UNIDAD DE CONTRATACION (formulado)]]="Subgerencia Administrativa y Financiera","FUNCIONAMIENTO","INVERSIÓN")</f>
        <v>INVERSIÓN</v>
      </c>
      <c r="E1995" s="48" t="str">
        <f>VLOOKUP(Q1995,[2]PROYECTOS!$G$1:$K$32,5,0)</f>
        <v>Apoyo y subvención para satisfacer necesidades propias del proceso de preparación y competencia de los Atletas y Para-atletas de alto rendimiento del departamento de Antioquia</v>
      </c>
      <c r="F1995" s="48">
        <f>VLOOKUP(E1995,[2]PROYECTOS!$K$1:$M$32,3,0)</f>
        <v>2024003050085</v>
      </c>
      <c r="G1995" s="67" t="s">
        <v>2202</v>
      </c>
      <c r="H1995" s="49" t="str">
        <f>VLOOKUP(Q1995,[2]PROYECTOS!$V$1:$W$32,2,0)</f>
        <v>050077</v>
      </c>
      <c r="I1995" s="78">
        <v>695927104</v>
      </c>
      <c r="J1995" s="51" t="s">
        <v>1503</v>
      </c>
      <c r="K1995" s="47" t="str">
        <f t="shared" ca="1" si="623"/>
        <v>CONTRATADO</v>
      </c>
      <c r="L1995" s="47" t="s">
        <v>44</v>
      </c>
      <c r="M1995" s="47" t="s">
        <v>1236</v>
      </c>
      <c r="N1995" s="52" t="s">
        <v>2100</v>
      </c>
      <c r="O1995" s="51" t="e">
        <f>VLOOKUP(N1995,[2]!RUBROS[#All],3,0)</f>
        <v>#REF!</v>
      </c>
      <c r="P1995" s="53" t="e">
        <f>VLOOKUP(N1995,[2]!RUBROS[#All],2,0)</f>
        <v>#REF!</v>
      </c>
      <c r="Q1995" s="47" t="str">
        <f t="shared" si="624"/>
        <v>85</v>
      </c>
      <c r="R1995" s="47" t="str">
        <f t="shared" si="625"/>
        <v>0-101024</v>
      </c>
      <c r="S1995" s="339" t="s">
        <v>42</v>
      </c>
      <c r="T1995" s="59" t="s">
        <v>42</v>
      </c>
      <c r="U1995" s="326" t="e">
        <f ca="1">_xlfn.XLOOKUP(PAA_4[[#This Row],[ITEM]],[2]Contrato!A:A,[2]Contrato!Q:Q,"",0)</f>
        <v>#NAME?</v>
      </c>
      <c r="V1995" s="47" t="s">
        <v>95</v>
      </c>
      <c r="W1995" s="47" t="s">
        <v>194</v>
      </c>
      <c r="X1995" s="47" t="s">
        <v>203</v>
      </c>
      <c r="Y1995" s="55" t="e">
        <f ca="1">_xlfn.XLOOKUP(PAA_4[[#This Row],[ITEM]],[2]Contrato!A:A,[2]Contrato!B:B,"",0)</f>
        <v>#NAME?</v>
      </c>
      <c r="Z1995" s="47" t="e">
        <f ca="1">_xlfn.XLOOKUP(PAA_4[[#This Row],[ITEM]],[2]Contrato!A:A,[2]Contrato!G:G,"",0)</f>
        <v>#NAME?</v>
      </c>
      <c r="AA1995" s="47" t="e">
        <f ca="1">_xlfn.XLOOKUP(PAA_4[[#This Row],[ITEM]],[2]Contrato!A:A,[2]Contrato!T:T,"",0)</f>
        <v>#NAME?</v>
      </c>
      <c r="AB1995" s="55" t="e">
        <f ca="1">+MAX(PAA_4[[#This Row],[Comprometido Contrato]],PAA_4[[#This Row],[Comprometido Bolsa]])</f>
        <v>#NAME?</v>
      </c>
      <c r="AC1995" s="55" t="str">
        <f t="shared" ca="1" si="626"/>
        <v/>
      </c>
      <c r="AD1995" s="55" t="e">
        <f ca="1">IF(PAA_4[[#This Row],[ESTADO (formulado)]]="NO CONTRATADO",0,MAX(PAA_4[[#This Row],[Pago por Contrato]],PAA_4[[#This Row],[Pago por bolsa]]))</f>
        <v>#NAME?</v>
      </c>
      <c r="AE1995" s="55" t="str">
        <f t="shared" ca="1" si="627"/>
        <v/>
      </c>
      <c r="AF1995" s="47" t="e">
        <f t="shared" ca="1" si="628"/>
        <v>#NAME?</v>
      </c>
      <c r="AG1995" s="47">
        <f t="shared" si="629"/>
        <v>52010803</v>
      </c>
      <c r="AH1995" s="54">
        <f>IF(Q1995="22",IF(ISNUMBER(SEARCH("econ",PAA_4[[#This Row],[Actividad3]])),"Económico",IF(ISNUMBER(SEARCH("alim",PAA_4[[#This Row],[Actividad3]])),"Alimentación",IF(ISNUMBER(SEARCH("educ",PAA_4[[#This Row],[Actividad3]])),"Educativo","Técnico"))),0)</f>
        <v>0</v>
      </c>
      <c r="AI1995" s="47" t="e" cm="1">
        <f t="array" aca="1" ref="AI1995" ca="1">_xlfn.XLOOKUP(PAA_4[[#This Row],[RCP-RUBRO]],[2]!COMPROMISOS_2024[[#All],[concatenado]],[2]!COMPROMISOS_2024[[#All],[Total pagado]],"",0)</f>
        <v>#NAME?</v>
      </c>
      <c r="AJ1995" s="56">
        <f>IF(PAA_4[[#This Row],[BOLSA]]=0,0,SUMIFS([2]!COMPROMISOS_2024[[#All],[Total pagado]],[2]!COMPROMISOS_2024[[#All],[Bolsa]],PAA_4[[#This Row],[BOLSA]],[2]!COMPROMISOS_2024[[#All],[rubro]],PAA_4[[#This Row],[RCP-RUBRO]]))</f>
        <v>0</v>
      </c>
      <c r="AK1995" s="47" t="e" cm="1">
        <f t="array" aca="1" ref="AK1995" ca="1">_xlfn.XLOOKUP(PAA_4[[#This Row],[RCP-RUBRO]],[2]!COMPROMISOS_2024[[#All],[concatenado]],[2]!COMPROMISOS_2024[[#All],[Total Comprometido]],"",0)</f>
        <v>#NAME?</v>
      </c>
      <c r="AL1995" s="47">
        <f>IF(PAA_4[[#This Row],[BOLSA]]=0,0,SUMIFS([2]!COMPROMISOS_2024[[#All],[Total Comprometido]],[2]!COMPROMISOS_2024[[#All],[Bolsa]],PAA_4[[#This Row],[BOLSA]],[2]!COMPROMISOS_2024[[#All],[concatenado]],PAA_4[[#This Row],[RCP-RUBRO]]))</f>
        <v>0</v>
      </c>
    </row>
    <row r="1996" spans="1:38" s="19" customFormat="1" ht="31.5" customHeight="1">
      <c r="A1996" s="47">
        <v>1298</v>
      </c>
      <c r="B1996" s="47" t="s">
        <v>42</v>
      </c>
      <c r="C1996" s="47" t="str">
        <f>VLOOKUP(PAA_4[[#This Row],[PROYECTO (formulado)2]],[2]PROYECTOS!$G$1:$L$32,6,0)</f>
        <v>SUBGERENCIA DE ALTOS LOGROS Y DEPORTE ASOCIADO</v>
      </c>
      <c r="D1996" s="47" t="str">
        <f>+IF(PAA_4[[#This Row],[UNIDAD DE CONTRATACION (formulado)]]="Subgerencia Administrativa y Financiera","FUNCIONAMIENTO","INVERSIÓN")</f>
        <v>INVERSIÓN</v>
      </c>
      <c r="E1996" s="48" t="str">
        <f>VLOOKUP(Q1996,[2]PROYECTOS!$G$1:$K$32,5,0)</f>
        <v>Apoyo y subvención para satisfacer necesidades propias del proceso de preparación y competencia de los Atletas y Para-atletas de alto rendimiento del departamento de Antioquia</v>
      </c>
      <c r="F1996" s="48">
        <f>VLOOKUP(E1996,[2]PROYECTOS!$K$1:$M$32,3,0)</f>
        <v>2024003050085</v>
      </c>
      <c r="G1996" s="67" t="s">
        <v>1583</v>
      </c>
      <c r="H1996" s="49" t="str">
        <f>VLOOKUP(Q1996,[2]PROYECTOS!$V$1:$W$32,2,0)</f>
        <v>050077</v>
      </c>
      <c r="I1996" s="78">
        <v>60000000</v>
      </c>
      <c r="J1996" s="51" t="s">
        <v>2203</v>
      </c>
      <c r="K1996" s="47" t="str">
        <f t="shared" ca="1" si="623"/>
        <v>CONTRATADO</v>
      </c>
      <c r="L1996" s="47" t="s">
        <v>44</v>
      </c>
      <c r="M1996" s="47" t="s">
        <v>1236</v>
      </c>
      <c r="N1996" s="52" t="s">
        <v>2204</v>
      </c>
      <c r="O1996" s="51" t="e">
        <f>VLOOKUP(N1996,[2]!RUBROS[#All],3,0)</f>
        <v>#REF!</v>
      </c>
      <c r="P1996" s="53" t="e">
        <f>VLOOKUP(N1996,[2]!RUBROS[#All],2,0)</f>
        <v>#REF!</v>
      </c>
      <c r="Q1996" s="47" t="str">
        <f t="shared" si="624"/>
        <v>85</v>
      </c>
      <c r="R1996" s="47" t="str">
        <f t="shared" si="625"/>
        <v>0-492015</v>
      </c>
      <c r="S1996" s="339">
        <v>2</v>
      </c>
      <c r="T1996" s="63" t="s">
        <v>46</v>
      </c>
      <c r="U1996" s="326" t="e">
        <f ca="1">_xlfn.XLOOKUP(PAA_4[[#This Row],[ITEM]],[2]Contrato!A:A,[2]Contrato!Q:Q,"",0)</f>
        <v>#NAME?</v>
      </c>
      <c r="V1996" s="47" t="s">
        <v>95</v>
      </c>
      <c r="W1996" s="47" t="s">
        <v>200</v>
      </c>
      <c r="X1996" s="47" t="s">
        <v>200</v>
      </c>
      <c r="Y1996" s="55" t="e">
        <f ca="1">_xlfn.XLOOKUP(PAA_4[[#This Row],[ITEM]],[2]Contrato!A:A,[2]Contrato!B:B,"",0)</f>
        <v>#NAME?</v>
      </c>
      <c r="Z1996" s="47" t="e">
        <f ca="1">_xlfn.XLOOKUP(PAA_4[[#This Row],[ITEM]],[2]Contrato!A:A,[2]Contrato!G:G,"",0)</f>
        <v>#NAME?</v>
      </c>
      <c r="AA1996" s="47" t="e">
        <f ca="1">_xlfn.XLOOKUP(PAA_4[[#This Row],[ITEM]],[2]Contrato!A:A,[2]Contrato!T:T,"",0)</f>
        <v>#NAME?</v>
      </c>
      <c r="AB1996" s="55" t="e">
        <f ca="1">+MAX(PAA_4[[#This Row],[Comprometido Contrato]],PAA_4[[#This Row],[Comprometido Bolsa]])</f>
        <v>#NAME?</v>
      </c>
      <c r="AC1996" s="55" t="str">
        <f t="shared" ca="1" si="626"/>
        <v/>
      </c>
      <c r="AD1996" s="55" t="e">
        <f ca="1">IF(PAA_4[[#This Row],[ESTADO (formulado)]]="NO CONTRATADO",0,MAX(PAA_4[[#This Row],[Pago por Contrato]],PAA_4[[#This Row],[Pago por bolsa]]))</f>
        <v>#NAME?</v>
      </c>
      <c r="AE1996" s="55" t="str">
        <f t="shared" ca="1" si="627"/>
        <v/>
      </c>
      <c r="AF1996" s="47" t="e">
        <f t="shared" ca="1" si="628"/>
        <v>#NAME?</v>
      </c>
      <c r="AG1996" s="47">
        <f t="shared" si="629"/>
        <v>52010803</v>
      </c>
      <c r="AH1996" s="54">
        <f>IF(Q1996="22",IF(ISNUMBER(SEARCH("econ",PAA_4[[#This Row],[Actividad3]])),"Económico",IF(ISNUMBER(SEARCH("alim",PAA_4[[#This Row],[Actividad3]])),"Alimentación",IF(ISNUMBER(SEARCH("educ",PAA_4[[#This Row],[Actividad3]])),"Educativo","Técnico"))),0)</f>
        <v>0</v>
      </c>
      <c r="AI1996" s="47" t="e" cm="1">
        <f t="array" aca="1" ref="AI1996" ca="1">_xlfn.XLOOKUP(PAA_4[[#This Row],[RCP-RUBRO]],[2]!COMPROMISOS_2024[[#All],[concatenado]],[2]!COMPROMISOS_2024[[#All],[Total pagado]],"",0)</f>
        <v>#NAME?</v>
      </c>
      <c r="AJ1996" s="56">
        <f>IF(PAA_4[[#This Row],[BOLSA]]=0,0,SUMIFS([2]!COMPROMISOS_2024[[#All],[Total pagado]],[2]!COMPROMISOS_2024[[#All],[Bolsa]],PAA_4[[#This Row],[BOLSA]],[2]!COMPROMISOS_2024[[#All],[rubro]],PAA_4[[#This Row],[RCP-RUBRO]]))</f>
        <v>0</v>
      </c>
      <c r="AK1996" s="47" t="e" cm="1">
        <f t="array" aca="1" ref="AK1996" ca="1">_xlfn.XLOOKUP(PAA_4[[#This Row],[RCP-RUBRO]],[2]!COMPROMISOS_2024[[#All],[concatenado]],[2]!COMPROMISOS_2024[[#All],[Total Comprometido]],"",0)</f>
        <v>#NAME?</v>
      </c>
      <c r="AL1996" s="47">
        <f>IF(PAA_4[[#This Row],[BOLSA]]=0,0,SUMIFS([2]!COMPROMISOS_2024[[#All],[Total Comprometido]],[2]!COMPROMISOS_2024[[#All],[Bolsa]],PAA_4[[#This Row],[BOLSA]],[2]!COMPROMISOS_2024[[#All],[concatenado]],PAA_4[[#This Row],[RCP-RUBRO]]))</f>
        <v>0</v>
      </c>
    </row>
    <row r="1997" spans="1:38" s="19" customFormat="1" ht="31.5" customHeight="1">
      <c r="A1997" s="47">
        <v>1202</v>
      </c>
      <c r="B1997" s="47" t="s">
        <v>42</v>
      </c>
      <c r="C1997" s="47" t="str">
        <f>VLOOKUP(PAA_4[[#This Row],[PROYECTO (formulado)2]],[2]PROYECTOS!$G$1:$L$32,6,0)</f>
        <v>SUBGERENCIA DE ALTOS LOGROS Y DEPORTE ASOCIADO</v>
      </c>
      <c r="D1997" s="47" t="str">
        <f>+IF(PAA_4[[#This Row],[UNIDAD DE CONTRATACION (formulado)]]="Subgerencia Administrativa y Financiera","FUNCIONAMIENTO","INVERSIÓN")</f>
        <v>INVERSIÓN</v>
      </c>
      <c r="E1997" s="48" t="str">
        <f>VLOOKUP(Q1997,[2]PROYECTOS!$G$1:$K$32,5,0)</f>
        <v>Apoyo y subvención para satisfacer necesidades propias del proceso de preparación y competencia de los Atletas y Para-atletas de alto rendimiento del departamento de Antioquia</v>
      </c>
      <c r="F1997" s="48">
        <f>VLOOKUP(E1997,[2]PROYECTOS!$K$1:$M$32,3,0)</f>
        <v>2024003050085</v>
      </c>
      <c r="G1997" s="67" t="s">
        <v>1583</v>
      </c>
      <c r="H1997" s="49" t="str">
        <f>VLOOKUP(Q1997,[2]PROYECTOS!$V$1:$W$32,2,0)</f>
        <v>050077</v>
      </c>
      <c r="I1997" s="78">
        <v>65000000</v>
      </c>
      <c r="J1997" s="51" t="s">
        <v>2205</v>
      </c>
      <c r="K1997" s="47" t="str">
        <f t="shared" ca="1" si="623"/>
        <v>CONTRATADO</v>
      </c>
      <c r="L1997" s="47" t="s">
        <v>94</v>
      </c>
      <c r="M1997" s="47" t="s">
        <v>255</v>
      </c>
      <c r="N1997" s="52" t="s">
        <v>2206</v>
      </c>
      <c r="O1997" s="51" t="e">
        <f>VLOOKUP(N1997,[2]!RUBROS[#All],3,0)</f>
        <v>#REF!</v>
      </c>
      <c r="P1997" s="53" t="e">
        <f>VLOOKUP(N1997,[2]!RUBROS[#All],2,0)</f>
        <v>#REF!</v>
      </c>
      <c r="Q1997" s="47" t="str">
        <f t="shared" si="624"/>
        <v>85</v>
      </c>
      <c r="R1997" s="47" t="str">
        <f t="shared" si="625"/>
        <v>0-492148</v>
      </c>
      <c r="S1997" s="339">
        <v>2</v>
      </c>
      <c r="T1997" s="63" t="s">
        <v>46</v>
      </c>
      <c r="U1997" s="326" t="e">
        <f ca="1">_xlfn.XLOOKUP(PAA_4[[#This Row],[ITEM]],[2]Contrato!A:A,[2]Contrato!Q:Q,"",0)</f>
        <v>#NAME?</v>
      </c>
      <c r="V1997" s="47" t="s">
        <v>95</v>
      </c>
      <c r="W1997" s="47" t="s">
        <v>200</v>
      </c>
      <c r="X1997" s="47" t="s">
        <v>200</v>
      </c>
      <c r="Y1997" s="55" t="e">
        <f ca="1">_xlfn.XLOOKUP(PAA_4[[#This Row],[ITEM]],[2]Contrato!A:A,[2]Contrato!B:B,"",0)</f>
        <v>#NAME?</v>
      </c>
      <c r="Z1997" s="47" t="e">
        <f ca="1">_xlfn.XLOOKUP(PAA_4[[#This Row],[ITEM]],[2]Contrato!A:A,[2]Contrato!G:G,"",0)</f>
        <v>#NAME?</v>
      </c>
      <c r="AA1997" s="47" t="e">
        <f ca="1">_xlfn.XLOOKUP(PAA_4[[#This Row],[ITEM]],[2]Contrato!A:A,[2]Contrato!T:T,"",0)</f>
        <v>#NAME?</v>
      </c>
      <c r="AB1997" s="55" t="e">
        <f ca="1">+MAX(PAA_4[[#This Row],[Comprometido Contrato]],PAA_4[[#This Row],[Comprometido Bolsa]])</f>
        <v>#NAME?</v>
      </c>
      <c r="AC1997" s="55" t="str">
        <f t="shared" ca="1" si="626"/>
        <v/>
      </c>
      <c r="AD1997" s="55" t="e">
        <f ca="1">IF(PAA_4[[#This Row],[ESTADO (formulado)]]="NO CONTRATADO",0,MAX(PAA_4[[#This Row],[Pago por Contrato]],PAA_4[[#This Row],[Pago por bolsa]]))</f>
        <v>#NAME?</v>
      </c>
      <c r="AE1997" s="55" t="str">
        <f t="shared" ca="1" si="627"/>
        <v/>
      </c>
      <c r="AF1997" s="47" t="e">
        <f t="shared" ca="1" si="628"/>
        <v>#NAME?</v>
      </c>
      <c r="AG1997" s="47">
        <f t="shared" si="629"/>
        <v>52010803</v>
      </c>
      <c r="AH1997" s="54">
        <f>IF(Q1997="22",IF(ISNUMBER(SEARCH("econ",PAA_4[[#This Row],[Actividad3]])),"Económico",IF(ISNUMBER(SEARCH("alim",PAA_4[[#This Row],[Actividad3]])),"Alimentación",IF(ISNUMBER(SEARCH("educ",PAA_4[[#This Row],[Actividad3]])),"Educativo","Técnico"))),0)</f>
        <v>0</v>
      </c>
      <c r="AI1997" s="47" t="e" cm="1">
        <f t="array" aca="1" ref="AI1997" ca="1">_xlfn.XLOOKUP(PAA_4[[#This Row],[RCP-RUBRO]],[2]!COMPROMISOS_2024[[#All],[concatenado]],[2]!COMPROMISOS_2024[[#All],[Total pagado]],"",0)</f>
        <v>#NAME?</v>
      </c>
      <c r="AJ1997" s="56">
        <f>IF(PAA_4[[#This Row],[BOLSA]]=0,0,SUMIFS([2]!COMPROMISOS_2024[[#All],[Total pagado]],[2]!COMPROMISOS_2024[[#All],[Bolsa]],PAA_4[[#This Row],[BOLSA]],[2]!COMPROMISOS_2024[[#All],[rubro]],PAA_4[[#This Row],[RCP-RUBRO]]))</f>
        <v>0</v>
      </c>
      <c r="AK1997" s="47" t="e" cm="1">
        <f t="array" aca="1" ref="AK1997" ca="1">_xlfn.XLOOKUP(PAA_4[[#This Row],[RCP-RUBRO]],[2]!COMPROMISOS_2024[[#All],[concatenado]],[2]!COMPROMISOS_2024[[#All],[Total Comprometido]],"",0)</f>
        <v>#NAME?</v>
      </c>
      <c r="AL1997" s="47">
        <f>IF(PAA_4[[#This Row],[BOLSA]]=0,0,SUMIFS([2]!COMPROMISOS_2024[[#All],[Total Comprometido]],[2]!COMPROMISOS_2024[[#All],[Bolsa]],PAA_4[[#This Row],[BOLSA]],[2]!COMPROMISOS_2024[[#All],[concatenado]],PAA_4[[#This Row],[RCP-RUBRO]]))</f>
        <v>0</v>
      </c>
    </row>
    <row r="1998" spans="1:38" s="19" customFormat="1" ht="31.5" customHeight="1">
      <c r="A1998" s="47">
        <v>1202</v>
      </c>
      <c r="B1998" s="47" t="s">
        <v>42</v>
      </c>
      <c r="C1998" s="47" t="str">
        <f>VLOOKUP(PAA_4[[#This Row],[PROYECTO (formulado)2]],[2]PROYECTOS!$G$1:$L$32,6,0)</f>
        <v>SUBGERENCIA DE ALTOS LOGROS Y DEPORTE ASOCIADO</v>
      </c>
      <c r="D1998" s="47" t="str">
        <f>+IF(PAA_4[[#This Row],[UNIDAD DE CONTRATACION (formulado)]]="Subgerencia Administrativa y Financiera","FUNCIONAMIENTO","INVERSIÓN")</f>
        <v>INVERSIÓN</v>
      </c>
      <c r="E1998" s="48" t="str">
        <f>VLOOKUP(Q1998,[2]PROYECTOS!$G$1:$K$32,5,0)</f>
        <v>Apoyo y subvención para satisfacer necesidades propias del proceso de preparación y competencia de los Atletas y Para-atletas de alto rendimiento del departamento de Antioquia</v>
      </c>
      <c r="F1998" s="48">
        <f>VLOOKUP(E1998,[2]PROYECTOS!$K$1:$M$32,3,0)</f>
        <v>2024003050085</v>
      </c>
      <c r="G1998" s="67" t="s">
        <v>1583</v>
      </c>
      <c r="H1998" s="49" t="str">
        <f>VLOOKUP(Q1998,[2]PROYECTOS!$V$1:$W$32,2,0)</f>
        <v>050077</v>
      </c>
      <c r="I1998" s="78">
        <v>130000000</v>
      </c>
      <c r="J1998" s="51" t="s">
        <v>2205</v>
      </c>
      <c r="K1998" s="47" t="str">
        <f t="shared" ca="1" si="623"/>
        <v>CONTRATADO</v>
      </c>
      <c r="L1998" s="47" t="s">
        <v>94</v>
      </c>
      <c r="M1998" s="47" t="s">
        <v>255</v>
      </c>
      <c r="N1998" s="52" t="s">
        <v>2100</v>
      </c>
      <c r="O1998" s="51" t="e">
        <f>VLOOKUP(N1998,[2]!RUBROS[#All],3,0)</f>
        <v>#REF!</v>
      </c>
      <c r="P1998" s="53" t="e">
        <f>VLOOKUP(N1998,[2]!RUBROS[#All],2,0)</f>
        <v>#REF!</v>
      </c>
      <c r="Q1998" s="47" t="str">
        <f t="shared" si="624"/>
        <v>85</v>
      </c>
      <c r="R1998" s="47" t="str">
        <f t="shared" si="625"/>
        <v>0-101024</v>
      </c>
      <c r="S1998" s="339">
        <v>2</v>
      </c>
      <c r="T1998" s="63" t="s">
        <v>46</v>
      </c>
      <c r="U1998" s="326" t="e">
        <f ca="1">_xlfn.XLOOKUP(PAA_4[[#This Row],[ITEM]],[2]Contrato!A:A,[2]Contrato!Q:Q,"",0)</f>
        <v>#NAME?</v>
      </c>
      <c r="V1998" s="47" t="s">
        <v>95</v>
      </c>
      <c r="W1998" s="47" t="s">
        <v>203</v>
      </c>
      <c r="X1998" s="47" t="s">
        <v>203</v>
      </c>
      <c r="Y1998" s="55" t="e">
        <f ca="1">_xlfn.XLOOKUP(PAA_4[[#This Row],[ITEM]],[2]Contrato!A:A,[2]Contrato!B:B,"",0)</f>
        <v>#NAME?</v>
      </c>
      <c r="Z1998" s="47" t="e">
        <f ca="1">_xlfn.XLOOKUP(PAA_4[[#This Row],[ITEM]],[2]Contrato!A:A,[2]Contrato!G:G,"",0)</f>
        <v>#NAME?</v>
      </c>
      <c r="AA1998" s="47" t="e">
        <f ca="1">_xlfn.XLOOKUP(PAA_4[[#This Row],[ITEM]],[2]Contrato!A:A,[2]Contrato!T:T,"",0)</f>
        <v>#NAME?</v>
      </c>
      <c r="AB1998" s="55" t="e">
        <f ca="1">+MAX(PAA_4[[#This Row],[Comprometido Contrato]],PAA_4[[#This Row],[Comprometido Bolsa]])</f>
        <v>#NAME?</v>
      </c>
      <c r="AC1998" s="55" t="str">
        <f t="shared" ca="1" si="626"/>
        <v/>
      </c>
      <c r="AD1998" s="55" t="e">
        <f ca="1">IF(PAA_4[[#This Row],[ESTADO (formulado)]]="NO CONTRATADO",0,MAX(PAA_4[[#This Row],[Pago por Contrato]],PAA_4[[#This Row],[Pago por bolsa]]))</f>
        <v>#NAME?</v>
      </c>
      <c r="AE1998" s="55" t="str">
        <f t="shared" ca="1" si="627"/>
        <v/>
      </c>
      <c r="AF1998" s="47" t="e">
        <f t="shared" ca="1" si="628"/>
        <v>#NAME?</v>
      </c>
      <c r="AG1998" s="47">
        <f t="shared" si="629"/>
        <v>52010803</v>
      </c>
      <c r="AH1998" s="54">
        <f>IF(Q1998="22",IF(ISNUMBER(SEARCH("econ",PAA_4[[#This Row],[Actividad3]])),"Económico",IF(ISNUMBER(SEARCH("alim",PAA_4[[#This Row],[Actividad3]])),"Alimentación",IF(ISNUMBER(SEARCH("educ",PAA_4[[#This Row],[Actividad3]])),"Educativo","Técnico"))),0)</f>
        <v>0</v>
      </c>
      <c r="AI1998" s="47" t="e" cm="1">
        <f t="array" aca="1" ref="AI1998" ca="1">_xlfn.XLOOKUP(PAA_4[[#This Row],[RCP-RUBRO]],[2]!COMPROMISOS_2024[[#All],[concatenado]],[2]!COMPROMISOS_2024[[#All],[Total pagado]],"",0)</f>
        <v>#NAME?</v>
      </c>
      <c r="AJ1998" s="56">
        <f>IF(PAA_4[[#This Row],[BOLSA]]=0,0,SUMIFS([2]!COMPROMISOS_2024[[#All],[Total pagado]],[2]!COMPROMISOS_2024[[#All],[Bolsa]],PAA_4[[#This Row],[BOLSA]],[2]!COMPROMISOS_2024[[#All],[rubro]],PAA_4[[#This Row],[RCP-RUBRO]]))</f>
        <v>0</v>
      </c>
      <c r="AK1998" s="47" t="e" cm="1">
        <f t="array" aca="1" ref="AK1998" ca="1">_xlfn.XLOOKUP(PAA_4[[#This Row],[RCP-RUBRO]],[2]!COMPROMISOS_2024[[#All],[concatenado]],[2]!COMPROMISOS_2024[[#All],[Total Comprometido]],"",0)</f>
        <v>#NAME?</v>
      </c>
      <c r="AL1998" s="47">
        <f>IF(PAA_4[[#This Row],[BOLSA]]=0,0,SUMIFS([2]!COMPROMISOS_2024[[#All],[Total Comprometido]],[2]!COMPROMISOS_2024[[#All],[Bolsa]],PAA_4[[#This Row],[BOLSA]],[2]!COMPROMISOS_2024[[#All],[concatenado]],PAA_4[[#This Row],[RCP-RUBRO]]))</f>
        <v>0</v>
      </c>
    </row>
    <row r="1999" spans="1:38" s="19" customFormat="1" ht="31.5" customHeight="1">
      <c r="A1999" s="47" t="s">
        <v>82</v>
      </c>
      <c r="B1999" s="47" t="s">
        <v>42</v>
      </c>
      <c r="C1999" s="47" t="str">
        <f>VLOOKUP(PAA_4[[#This Row],[PROYECTO (formulado)2]],[2]PROYECTOS!$G$1:$L$32,6,0)</f>
        <v>SUBGERENCIA DE ALTOS LOGROS Y DEPORTE ASOCIADO</v>
      </c>
      <c r="D1999" s="47" t="str">
        <f>+IF(PAA_4[[#This Row],[UNIDAD DE CONTRATACION (formulado)]]="Subgerencia Administrativa y Financiera","FUNCIONAMIENTO","INVERSIÓN")</f>
        <v>INVERSIÓN</v>
      </c>
      <c r="E1999" s="48" t="str">
        <f>VLOOKUP(Q1999,[2]PROYECTOS!$G$1:$K$32,5,0)</f>
        <v>Apoyo y subvención para satisfacer necesidades propias del proceso de preparación y competencia de los Atletas y Para-atletas de alto rendimiento del departamento de Antioquia</v>
      </c>
      <c r="F1999" s="48">
        <f>VLOOKUP(E1999,[2]PROYECTOS!$K$1:$M$32,3,0)</f>
        <v>2024003050085</v>
      </c>
      <c r="G1999" s="67" t="s">
        <v>1583</v>
      </c>
      <c r="H1999" s="49" t="str">
        <f>VLOOKUP(Q1999,[2]PROYECTOS!$V$1:$W$32,2,0)</f>
        <v>050077</v>
      </c>
      <c r="I1999" s="78">
        <v>1374875315</v>
      </c>
      <c r="J1999" s="51" t="s">
        <v>1584</v>
      </c>
      <c r="K1999" s="47" t="str">
        <f t="shared" ca="1" si="623"/>
        <v>CONTRATADO</v>
      </c>
      <c r="L1999" s="47" t="s">
        <v>44</v>
      </c>
      <c r="M1999" s="47" t="s">
        <v>1236</v>
      </c>
      <c r="N1999" s="52" t="s">
        <v>2100</v>
      </c>
      <c r="O1999" s="51" t="e">
        <f>VLOOKUP(N1999,[2]!RUBROS[#All],3,0)</f>
        <v>#REF!</v>
      </c>
      <c r="P1999" s="53" t="e">
        <f>VLOOKUP(N1999,[2]!RUBROS[#All],2,0)</f>
        <v>#REF!</v>
      </c>
      <c r="Q1999" s="47" t="str">
        <f t="shared" si="624"/>
        <v>85</v>
      </c>
      <c r="R1999" s="47" t="str">
        <f t="shared" si="625"/>
        <v>0-101024</v>
      </c>
      <c r="S1999" s="339" t="s">
        <v>42</v>
      </c>
      <c r="T1999" s="59" t="s">
        <v>42</v>
      </c>
      <c r="U1999" s="326" t="e">
        <f ca="1">_xlfn.XLOOKUP(PAA_4[[#This Row],[ITEM]],[2]Contrato!A:A,[2]Contrato!Q:Q,"",0)</f>
        <v>#NAME?</v>
      </c>
      <c r="V1999" s="47" t="s">
        <v>95</v>
      </c>
      <c r="W1999" s="47" t="s">
        <v>194</v>
      </c>
      <c r="X1999" s="47" t="s">
        <v>203</v>
      </c>
      <c r="Y1999" s="55" t="e">
        <f ca="1">_xlfn.XLOOKUP(PAA_4[[#This Row],[ITEM]],[2]Contrato!A:A,[2]Contrato!B:B,"",0)</f>
        <v>#NAME?</v>
      </c>
      <c r="Z1999" s="47" t="e">
        <f ca="1">_xlfn.XLOOKUP(PAA_4[[#This Row],[ITEM]],[2]Contrato!A:A,[2]Contrato!G:G,"",0)</f>
        <v>#NAME?</v>
      </c>
      <c r="AA1999" s="47" t="e">
        <f ca="1">_xlfn.XLOOKUP(PAA_4[[#This Row],[ITEM]],[2]Contrato!A:A,[2]Contrato!T:T,"",0)</f>
        <v>#NAME?</v>
      </c>
      <c r="AB1999" s="55" t="e">
        <f ca="1">+MAX(PAA_4[[#This Row],[Comprometido Contrato]],PAA_4[[#This Row],[Comprometido Bolsa]])</f>
        <v>#NAME?</v>
      </c>
      <c r="AC1999" s="55" t="str">
        <f t="shared" ca="1" si="626"/>
        <v/>
      </c>
      <c r="AD1999" s="55" t="e">
        <f ca="1">IF(PAA_4[[#This Row],[ESTADO (formulado)]]="NO CONTRATADO",0,MAX(PAA_4[[#This Row],[Pago por Contrato]],PAA_4[[#This Row],[Pago por bolsa]]))</f>
        <v>#NAME?</v>
      </c>
      <c r="AE1999" s="55" t="str">
        <f t="shared" ca="1" si="627"/>
        <v/>
      </c>
      <c r="AF1999" s="47" t="e">
        <f t="shared" ca="1" si="628"/>
        <v>#NAME?</v>
      </c>
      <c r="AG1999" s="47">
        <f t="shared" si="629"/>
        <v>52010803</v>
      </c>
      <c r="AH1999" s="54">
        <f>IF(Q1999="22",IF(ISNUMBER(SEARCH("econ",PAA_4[[#This Row],[Actividad3]])),"Económico",IF(ISNUMBER(SEARCH("alim",PAA_4[[#This Row],[Actividad3]])),"Alimentación",IF(ISNUMBER(SEARCH("educ",PAA_4[[#This Row],[Actividad3]])),"Educativo","Técnico"))),0)</f>
        <v>0</v>
      </c>
      <c r="AI1999" s="47" t="e" cm="1">
        <f t="array" aca="1" ref="AI1999" ca="1">_xlfn.XLOOKUP(PAA_4[[#This Row],[RCP-RUBRO]],[2]!COMPROMISOS_2024[[#All],[concatenado]],[2]!COMPROMISOS_2024[[#All],[Total pagado]],"",0)</f>
        <v>#NAME?</v>
      </c>
      <c r="AJ1999" s="56">
        <f>IF(PAA_4[[#This Row],[BOLSA]]=0,0,SUMIFS([2]!COMPROMISOS_2024[[#All],[Total pagado]],[2]!COMPROMISOS_2024[[#All],[Bolsa]],PAA_4[[#This Row],[BOLSA]],[2]!COMPROMISOS_2024[[#All],[rubro]],PAA_4[[#This Row],[RCP-RUBRO]]))</f>
        <v>0</v>
      </c>
      <c r="AK1999" s="47" t="e" cm="1">
        <f t="array" aca="1" ref="AK1999" ca="1">_xlfn.XLOOKUP(PAA_4[[#This Row],[RCP-RUBRO]],[2]!COMPROMISOS_2024[[#All],[concatenado]],[2]!COMPROMISOS_2024[[#All],[Total Comprometido]],"",0)</f>
        <v>#NAME?</v>
      </c>
      <c r="AL1999" s="47">
        <f>IF(PAA_4[[#This Row],[BOLSA]]=0,0,SUMIFS([2]!COMPROMISOS_2024[[#All],[Total Comprometido]],[2]!COMPROMISOS_2024[[#All],[Bolsa]],PAA_4[[#This Row],[BOLSA]],[2]!COMPROMISOS_2024[[#All],[concatenado]],PAA_4[[#This Row],[RCP-RUBRO]]))</f>
        <v>0</v>
      </c>
    </row>
    <row r="2000" spans="1:38" s="19" customFormat="1" ht="31.5" customHeight="1">
      <c r="A2000" s="47" t="s">
        <v>82</v>
      </c>
      <c r="B2000" s="47" t="s">
        <v>42</v>
      </c>
      <c r="C2000" s="47" t="str">
        <f>VLOOKUP(PAA_4[[#This Row],[PROYECTO (formulado)2]],[2]PROYECTOS!$G$1:$L$32,6,0)</f>
        <v>SUBGERENCIA DE ALTOS LOGROS Y DEPORTE ASOCIADO</v>
      </c>
      <c r="D2000" s="47" t="str">
        <f>+IF(PAA_4[[#This Row],[UNIDAD DE CONTRATACION (formulado)]]="Subgerencia Administrativa y Financiera","FUNCIONAMIENTO","INVERSIÓN")</f>
        <v>INVERSIÓN</v>
      </c>
      <c r="E2000" s="48" t="str">
        <f>VLOOKUP(Q2000,[2]PROYECTOS!$G$1:$K$32,5,0)</f>
        <v>Apoyo y subvención para satisfacer necesidades propias del proceso de preparación y competencia de los Atletas y Para-atletas de alto rendimiento del departamento de Antioquia</v>
      </c>
      <c r="F2000" s="48">
        <f>VLOOKUP(E2000,[2]PROYECTOS!$K$1:$M$32,3,0)</f>
        <v>2024003050085</v>
      </c>
      <c r="G2000" s="67" t="s">
        <v>2207</v>
      </c>
      <c r="H2000" s="49" t="str">
        <f>VLOOKUP(Q2000,[2]PROYECTOS!$V$1:$W$32,2,0)</f>
        <v>050077</v>
      </c>
      <c r="I2000" s="78">
        <v>200000000</v>
      </c>
      <c r="J2000" s="51" t="s">
        <v>2208</v>
      </c>
      <c r="K2000" s="47" t="str">
        <f t="shared" ca="1" si="623"/>
        <v>CONTRATADO</v>
      </c>
      <c r="L2000" s="47" t="s">
        <v>44</v>
      </c>
      <c r="M2000" s="47" t="s">
        <v>1236</v>
      </c>
      <c r="N2000" s="52" t="s">
        <v>2100</v>
      </c>
      <c r="O2000" s="51" t="e">
        <f>VLOOKUP(N2000,[2]!RUBROS[#All],3,0)</f>
        <v>#REF!</v>
      </c>
      <c r="P2000" s="53" t="e">
        <f>VLOOKUP(N2000,[2]!RUBROS[#All],2,0)</f>
        <v>#REF!</v>
      </c>
      <c r="Q2000" s="47" t="str">
        <f t="shared" si="624"/>
        <v>85</v>
      </c>
      <c r="R2000" s="47" t="str">
        <f t="shared" si="625"/>
        <v>0-101024</v>
      </c>
      <c r="S2000" s="339" t="s">
        <v>42</v>
      </c>
      <c r="T2000" s="59" t="s">
        <v>42</v>
      </c>
      <c r="U2000" s="326" t="e">
        <f ca="1">_xlfn.XLOOKUP(PAA_4[[#This Row],[ITEM]],[2]Contrato!A:A,[2]Contrato!Q:Q,"",0)</f>
        <v>#NAME?</v>
      </c>
      <c r="V2000" s="47" t="s">
        <v>95</v>
      </c>
      <c r="W2000" s="47" t="s">
        <v>194</v>
      </c>
      <c r="X2000" s="47" t="s">
        <v>203</v>
      </c>
      <c r="Y2000" s="55" t="e">
        <f ca="1">_xlfn.XLOOKUP(PAA_4[[#This Row],[ITEM]],[2]Contrato!A:A,[2]Contrato!B:B,"",0)</f>
        <v>#NAME?</v>
      </c>
      <c r="Z2000" s="47" t="e">
        <f ca="1">_xlfn.XLOOKUP(PAA_4[[#This Row],[ITEM]],[2]Contrato!A:A,[2]Contrato!G:G,"",0)</f>
        <v>#NAME?</v>
      </c>
      <c r="AA2000" s="47" t="e">
        <f ca="1">_xlfn.XLOOKUP(PAA_4[[#This Row],[ITEM]],[2]Contrato!A:A,[2]Contrato!T:T,"",0)</f>
        <v>#NAME?</v>
      </c>
      <c r="AB2000" s="55" t="e">
        <f ca="1">+MAX(PAA_4[[#This Row],[Comprometido Contrato]],PAA_4[[#This Row],[Comprometido Bolsa]])</f>
        <v>#NAME?</v>
      </c>
      <c r="AC2000" s="55" t="str">
        <f t="shared" ca="1" si="626"/>
        <v/>
      </c>
      <c r="AD2000" s="55" t="e">
        <f ca="1">IF(PAA_4[[#This Row],[ESTADO (formulado)]]="NO CONTRATADO",0,MAX(PAA_4[[#This Row],[Pago por Contrato]],PAA_4[[#This Row],[Pago por bolsa]]))</f>
        <v>#NAME?</v>
      </c>
      <c r="AE2000" s="55" t="str">
        <f t="shared" ca="1" si="627"/>
        <v/>
      </c>
      <c r="AF2000" s="47" t="e">
        <f t="shared" ca="1" si="628"/>
        <v>#NAME?</v>
      </c>
      <c r="AG2000" s="47">
        <f t="shared" si="629"/>
        <v>52010803</v>
      </c>
      <c r="AH2000" s="54">
        <f>IF(Q2000="22",IF(ISNUMBER(SEARCH("econ",PAA_4[[#This Row],[Actividad3]])),"Económico",IF(ISNUMBER(SEARCH("alim",PAA_4[[#This Row],[Actividad3]])),"Alimentación",IF(ISNUMBER(SEARCH("educ",PAA_4[[#This Row],[Actividad3]])),"Educativo","Técnico"))),0)</f>
        <v>0</v>
      </c>
      <c r="AI2000" s="47" t="e" cm="1">
        <f t="array" aca="1" ref="AI2000" ca="1">_xlfn.XLOOKUP(PAA_4[[#This Row],[RCP-RUBRO]],[2]!COMPROMISOS_2024[[#All],[concatenado]],[2]!COMPROMISOS_2024[[#All],[Total pagado]],"",0)</f>
        <v>#NAME?</v>
      </c>
      <c r="AJ2000" s="56">
        <f>IF(PAA_4[[#This Row],[BOLSA]]=0,0,SUMIFS([2]!COMPROMISOS_2024[[#All],[Total pagado]],[2]!COMPROMISOS_2024[[#All],[Bolsa]],PAA_4[[#This Row],[BOLSA]],[2]!COMPROMISOS_2024[[#All],[rubro]],PAA_4[[#This Row],[RCP-RUBRO]]))</f>
        <v>0</v>
      </c>
      <c r="AK2000" s="47" t="e" cm="1">
        <f t="array" aca="1" ref="AK2000" ca="1">_xlfn.XLOOKUP(PAA_4[[#This Row],[RCP-RUBRO]],[2]!COMPROMISOS_2024[[#All],[concatenado]],[2]!COMPROMISOS_2024[[#All],[Total Comprometido]],"",0)</f>
        <v>#NAME?</v>
      </c>
      <c r="AL2000" s="47">
        <f>IF(PAA_4[[#This Row],[BOLSA]]=0,0,SUMIFS([2]!COMPROMISOS_2024[[#All],[Total Comprometido]],[2]!COMPROMISOS_2024[[#All],[Bolsa]],PAA_4[[#This Row],[BOLSA]],[2]!COMPROMISOS_2024[[#All],[concatenado]],PAA_4[[#This Row],[RCP-RUBRO]]))</f>
        <v>0</v>
      </c>
    </row>
    <row r="2001" spans="1:38" s="19" customFormat="1" ht="31.5" customHeight="1">
      <c r="A2001" s="47">
        <v>1035</v>
      </c>
      <c r="B2001" s="51" t="s">
        <v>2209</v>
      </c>
      <c r="C2001" s="47" t="str">
        <f>VLOOKUP(PAA_4[[#This Row],[PROYECTO (formulado)2]],[2]PROYECTOS!$G$1:$L$32,6,0)</f>
        <v>SUBGERENCIA DE ALTOS LOGROS Y DEPORTE ASOCIADO</v>
      </c>
      <c r="D2001" s="47" t="str">
        <f>+IF(PAA_4[[#This Row],[UNIDAD DE CONTRATACION (formulado)]]="Subgerencia Administrativa y Financiera","FUNCIONAMIENTO","INVERSIÓN")</f>
        <v>INVERSIÓN</v>
      </c>
      <c r="E2001" s="48" t="str">
        <f>VLOOKUP(Q2001,[2]PROYECTOS!$G$1:$K$32,5,0)</f>
        <v>Apoyo y subvención para satisfacer necesidades propias del proceso de preparación y competencia de los Atletas y Para-atletas de alto rendimiento del departamento de Antioquia</v>
      </c>
      <c r="F2001" s="48">
        <f>VLOOKUP(E2001,[2]PROYECTOS!$K$1:$M$32,3,0)</f>
        <v>2024003050085</v>
      </c>
      <c r="G2001" s="67" t="s">
        <v>1750</v>
      </c>
      <c r="H2001" s="49" t="str">
        <f>VLOOKUP(Q2001,[2]PROYECTOS!$V$1:$W$32,2,0)</f>
        <v>050077</v>
      </c>
      <c r="I2001" s="78">
        <v>4029807175</v>
      </c>
      <c r="J2001" s="51" t="s">
        <v>2210</v>
      </c>
      <c r="K2001" s="47" t="str">
        <f t="shared" ca="1" si="623"/>
        <v>CONTRATADO</v>
      </c>
      <c r="L2001" s="47" t="s">
        <v>898</v>
      </c>
      <c r="M2001" s="47" t="s">
        <v>161</v>
      </c>
      <c r="N2001" s="52" t="s">
        <v>1751</v>
      </c>
      <c r="O2001" s="51" t="e">
        <f>VLOOKUP(N2001,[2]!RUBROS[#All],3,0)</f>
        <v>#REF!</v>
      </c>
      <c r="P2001" s="53" t="e">
        <f>VLOOKUP(N2001,[2]!RUBROS[#All],2,0)</f>
        <v>#REF!</v>
      </c>
      <c r="Q2001" s="47" t="str">
        <f t="shared" si="624"/>
        <v>85</v>
      </c>
      <c r="R2001" s="47" t="str">
        <f t="shared" si="625"/>
        <v>0-101024</v>
      </c>
      <c r="S2001" s="339">
        <v>4</v>
      </c>
      <c r="T2001" s="59" t="s">
        <v>46</v>
      </c>
      <c r="U2001" s="326" t="e">
        <f ca="1">_xlfn.XLOOKUP(PAA_4[[#This Row],[ITEM]],[2]Contrato!A:A,[2]Contrato!Q:Q,"",0)</f>
        <v>#NAME?</v>
      </c>
      <c r="V2001" s="47" t="s">
        <v>95</v>
      </c>
      <c r="W2001" s="47" t="s">
        <v>194</v>
      </c>
      <c r="X2001" s="47" t="s">
        <v>203</v>
      </c>
      <c r="Y2001" s="55" t="e">
        <f ca="1">_xlfn.XLOOKUP(PAA_4[[#This Row],[ITEM]],[2]Contrato!A:A,[2]Contrato!B:B,"",0)</f>
        <v>#NAME?</v>
      </c>
      <c r="Z2001" s="47" t="e">
        <f ca="1">_xlfn.XLOOKUP(PAA_4[[#This Row],[ITEM]],[2]Contrato!A:A,[2]Contrato!G:G,"",0)</f>
        <v>#NAME?</v>
      </c>
      <c r="AA2001" s="47" t="e">
        <f ca="1">_xlfn.XLOOKUP(PAA_4[[#This Row],[ITEM]],[2]Contrato!A:A,[2]Contrato!T:T,"",0)</f>
        <v>#NAME?</v>
      </c>
      <c r="AB2001" s="55" t="e">
        <f ca="1">+MAX(PAA_4[[#This Row],[Comprometido Contrato]],PAA_4[[#This Row],[Comprometido Bolsa]])</f>
        <v>#NAME?</v>
      </c>
      <c r="AC2001" s="55" t="str">
        <f t="shared" ca="1" si="626"/>
        <v/>
      </c>
      <c r="AD2001" s="55" t="e">
        <f ca="1">IF(PAA_4[[#This Row],[ESTADO (formulado)]]="NO CONTRATADO",0,MAX(PAA_4[[#This Row],[Pago por Contrato]],PAA_4[[#This Row],[Pago por bolsa]]))</f>
        <v>#NAME?</v>
      </c>
      <c r="AE2001" s="55" t="str">
        <f t="shared" ca="1" si="627"/>
        <v/>
      </c>
      <c r="AF2001" s="47" t="e">
        <f t="shared" ca="1" si="628"/>
        <v>#NAME?</v>
      </c>
      <c r="AG2001" s="47">
        <f t="shared" si="629"/>
        <v>52010803</v>
      </c>
      <c r="AH2001" s="54">
        <f>IF(Q2001="22",IF(ISNUMBER(SEARCH("econ",PAA_4[[#This Row],[Actividad3]])),"Económico",IF(ISNUMBER(SEARCH("alim",PAA_4[[#This Row],[Actividad3]])),"Alimentación",IF(ISNUMBER(SEARCH("educ",PAA_4[[#This Row],[Actividad3]])),"Educativo","Técnico"))),0)</f>
        <v>0</v>
      </c>
      <c r="AI2001" s="47" t="e" cm="1">
        <f t="array" aca="1" ref="AI2001" ca="1">_xlfn.XLOOKUP(PAA_4[[#This Row],[RCP-RUBRO]],[2]!COMPROMISOS_2024[[#All],[concatenado]],[2]!COMPROMISOS_2024[[#All],[Total pagado]],"",0)</f>
        <v>#NAME?</v>
      </c>
      <c r="AJ2001" s="56">
        <f>IF(PAA_4[[#This Row],[BOLSA]]=0,0,SUMIFS([2]!COMPROMISOS_2024[[#All],[Total pagado]],[2]!COMPROMISOS_2024[[#All],[Bolsa]],PAA_4[[#This Row],[BOLSA]],[2]!COMPROMISOS_2024[[#All],[rubro]],PAA_4[[#This Row],[RCP-RUBRO]]))</f>
        <v>0</v>
      </c>
      <c r="AK2001" s="47" t="e" cm="1">
        <f t="array" aca="1" ref="AK2001" ca="1">_xlfn.XLOOKUP(PAA_4[[#This Row],[RCP-RUBRO]],[2]!COMPROMISOS_2024[[#All],[concatenado]],[2]!COMPROMISOS_2024[[#All],[Total Comprometido]],"",0)</f>
        <v>#NAME?</v>
      </c>
      <c r="AL2001" s="47">
        <f>IF(PAA_4[[#This Row],[BOLSA]]=0,0,SUMIFS([2]!COMPROMISOS_2024[[#All],[Total Comprometido]],[2]!COMPROMISOS_2024[[#All],[Bolsa]],PAA_4[[#This Row],[BOLSA]],[2]!COMPROMISOS_2024[[#All],[concatenado]],PAA_4[[#This Row],[RCP-RUBRO]]))</f>
        <v>0</v>
      </c>
    </row>
    <row r="2002" spans="1:38" s="19" customFormat="1" ht="31.5" customHeight="1">
      <c r="A2002" s="47" t="s">
        <v>82</v>
      </c>
      <c r="B2002" s="47" t="s">
        <v>42</v>
      </c>
      <c r="C2002" s="47" t="str">
        <f>VLOOKUP(PAA_4[[#This Row],[PROYECTO (formulado)2]],[2]PROYECTOS!$G$1:$L$32,6,0)</f>
        <v>SUBGERENCIA DE ALTOS LOGROS Y DEPORTE ASOCIADO</v>
      </c>
      <c r="D2002" s="47" t="str">
        <f>+IF(PAA_4[[#This Row],[UNIDAD DE CONTRATACION (formulado)]]="Subgerencia Administrativa y Financiera","FUNCIONAMIENTO","INVERSIÓN")</f>
        <v>INVERSIÓN</v>
      </c>
      <c r="E2002" s="48" t="str">
        <f>VLOOKUP(Q2002,[2]PROYECTOS!$G$1:$K$32,5,0)</f>
        <v>Apoyo y subvención para satisfacer necesidades propias del proceso de preparación y competencia de los Atletas y Para-atletas de alto rendimiento del departamento de Antioquia</v>
      </c>
      <c r="F2002" s="48">
        <f>VLOOKUP(E2002,[2]PROYECTOS!$K$1:$M$32,3,0)</f>
        <v>2024003050085</v>
      </c>
      <c r="G2002" s="67" t="s">
        <v>2098</v>
      </c>
      <c r="H2002" s="49" t="str">
        <f>VLOOKUP(Q2002,[2]PROYECTOS!$V$1:$W$32,2,0)</f>
        <v>050077</v>
      </c>
      <c r="I2002" s="78">
        <v>82120000</v>
      </c>
      <c r="J2002" s="51" t="s">
        <v>1501</v>
      </c>
      <c r="K2002" s="47" t="str">
        <f t="shared" ca="1" si="623"/>
        <v>CONTRATADO</v>
      </c>
      <c r="L2002" s="47" t="s">
        <v>44</v>
      </c>
      <c r="M2002" s="47" t="s">
        <v>1236</v>
      </c>
      <c r="N2002" s="52" t="s">
        <v>2211</v>
      </c>
      <c r="O2002" s="51" t="e">
        <f>VLOOKUP(N2002,[2]!RUBROS[#All],3,0)</f>
        <v>#REF!</v>
      </c>
      <c r="P2002" s="53" t="e">
        <f>VLOOKUP(N2002,[2]!RUBROS[#All],2,0)</f>
        <v>#REF!</v>
      </c>
      <c r="Q2002" s="47" t="str">
        <f t="shared" si="624"/>
        <v>85</v>
      </c>
      <c r="R2002" s="47" t="str">
        <f t="shared" si="625"/>
        <v>0-205128</v>
      </c>
      <c r="S2002" s="339" t="s">
        <v>42</v>
      </c>
      <c r="T2002" s="59" t="s">
        <v>42</v>
      </c>
      <c r="U2002" s="326" t="e">
        <f ca="1">_xlfn.XLOOKUP(PAA_4[[#This Row],[ITEM]],[2]Contrato!A:A,[2]Contrato!Q:Q,"",0)</f>
        <v>#NAME?</v>
      </c>
      <c r="V2002" s="47" t="s">
        <v>95</v>
      </c>
      <c r="W2002" s="47" t="s">
        <v>194</v>
      </c>
      <c r="X2002" s="47" t="s">
        <v>203</v>
      </c>
      <c r="Y2002" s="55" t="e">
        <f ca="1">_xlfn.XLOOKUP(PAA_4[[#This Row],[ITEM]],[2]Contrato!A:A,[2]Contrato!B:B,"",0)</f>
        <v>#NAME?</v>
      </c>
      <c r="Z2002" s="47" t="e">
        <f ca="1">_xlfn.XLOOKUP(PAA_4[[#This Row],[ITEM]],[2]Contrato!A:A,[2]Contrato!G:G,"",0)</f>
        <v>#NAME?</v>
      </c>
      <c r="AA2002" s="47" t="e">
        <f ca="1">_xlfn.XLOOKUP(PAA_4[[#This Row],[ITEM]],[2]Contrato!A:A,[2]Contrato!T:T,"",0)</f>
        <v>#NAME?</v>
      </c>
      <c r="AB2002" s="55" t="e">
        <f ca="1">+MAX(PAA_4[[#This Row],[Comprometido Contrato]],PAA_4[[#This Row],[Comprometido Bolsa]])</f>
        <v>#NAME?</v>
      </c>
      <c r="AC2002" s="55" t="str">
        <f t="shared" ca="1" si="626"/>
        <v/>
      </c>
      <c r="AD2002" s="55" t="e">
        <f ca="1">IF(PAA_4[[#This Row],[ESTADO (formulado)]]="NO CONTRATADO",0,MAX(PAA_4[[#This Row],[Pago por Contrato]],PAA_4[[#This Row],[Pago por bolsa]]))</f>
        <v>#NAME?</v>
      </c>
      <c r="AE2002" s="55" t="str">
        <f t="shared" ca="1" si="627"/>
        <v/>
      </c>
      <c r="AF2002" s="47" t="e">
        <f t="shared" ca="1" si="628"/>
        <v>#NAME?</v>
      </c>
      <c r="AG2002" s="47">
        <f t="shared" si="629"/>
        <v>52010803</v>
      </c>
      <c r="AH2002" s="54">
        <f>IF(Q2002="22",IF(ISNUMBER(SEARCH("econ",PAA_4[[#This Row],[Actividad3]])),"Económico",IF(ISNUMBER(SEARCH("alim",PAA_4[[#This Row],[Actividad3]])),"Alimentación",IF(ISNUMBER(SEARCH("educ",PAA_4[[#This Row],[Actividad3]])),"Educativo","Técnico"))),0)</f>
        <v>0</v>
      </c>
      <c r="AI2002" s="47" t="e" cm="1">
        <f t="array" aca="1" ref="AI2002" ca="1">_xlfn.XLOOKUP(PAA_4[[#This Row],[RCP-RUBRO]],[2]!COMPROMISOS_2024[[#All],[concatenado]],[2]!COMPROMISOS_2024[[#All],[Total pagado]],"",0)</f>
        <v>#NAME?</v>
      </c>
      <c r="AJ2002" s="56">
        <f>IF(PAA_4[[#This Row],[BOLSA]]=0,0,SUMIFS([2]!COMPROMISOS_2024[[#All],[Total pagado]],[2]!COMPROMISOS_2024[[#All],[Bolsa]],PAA_4[[#This Row],[BOLSA]],[2]!COMPROMISOS_2024[[#All],[rubro]],PAA_4[[#This Row],[RCP-RUBRO]]))</f>
        <v>0</v>
      </c>
      <c r="AK2002" s="47" t="e" cm="1">
        <f t="array" aca="1" ref="AK2002" ca="1">_xlfn.XLOOKUP(PAA_4[[#This Row],[RCP-RUBRO]],[2]!COMPROMISOS_2024[[#All],[concatenado]],[2]!COMPROMISOS_2024[[#All],[Total Comprometido]],"",0)</f>
        <v>#NAME?</v>
      </c>
      <c r="AL2002" s="47">
        <f>IF(PAA_4[[#This Row],[BOLSA]]=0,0,SUMIFS([2]!COMPROMISOS_2024[[#All],[Total Comprometido]],[2]!COMPROMISOS_2024[[#All],[Bolsa]],PAA_4[[#This Row],[BOLSA]],[2]!COMPROMISOS_2024[[#All],[concatenado]],PAA_4[[#This Row],[RCP-RUBRO]]))</f>
        <v>0</v>
      </c>
    </row>
    <row r="2003" spans="1:38" s="19" customFormat="1" ht="31.5" customHeight="1">
      <c r="A2003" s="47">
        <v>1035</v>
      </c>
      <c r="B2003" s="51" t="s">
        <v>2209</v>
      </c>
      <c r="C2003" s="47" t="str">
        <f>VLOOKUP(PAA_4[[#This Row],[PROYECTO (formulado)2]],[2]PROYECTOS!$G$1:$L$32,6,0)</f>
        <v>SUBGERENCIA DE ALTOS LOGROS Y DEPORTE ASOCIADO</v>
      </c>
      <c r="D2003" s="47" t="str">
        <f>+IF(PAA_4[[#This Row],[UNIDAD DE CONTRATACION (formulado)]]="Subgerencia Administrativa y Financiera","FUNCIONAMIENTO","INVERSIÓN")</f>
        <v>INVERSIÓN</v>
      </c>
      <c r="E2003" s="48" t="str">
        <f>VLOOKUP(Q2003,[2]PROYECTOS!$G$1:$K$32,5,0)</f>
        <v>Apoyo y subvención para satisfacer necesidades propias del proceso de preparación y competencia de los Atletas y Para-atletas de alto rendimiento del departamento de Antioquia</v>
      </c>
      <c r="F2003" s="48">
        <f>VLOOKUP(E2003,[2]PROYECTOS!$K$1:$M$32,3,0)</f>
        <v>2024003050085</v>
      </c>
      <c r="G2003" s="67" t="s">
        <v>1750</v>
      </c>
      <c r="H2003" s="49" t="str">
        <f>VLOOKUP(Q2003,[2]PROYECTOS!$V$1:$W$32,2,0)</f>
        <v>050077</v>
      </c>
      <c r="I2003" s="78">
        <v>225124685</v>
      </c>
      <c r="J2003" s="51" t="s">
        <v>2210</v>
      </c>
      <c r="K2003" s="47" t="str">
        <f t="shared" ca="1" si="623"/>
        <v>CONTRATADO</v>
      </c>
      <c r="L2003" s="47" t="s">
        <v>94</v>
      </c>
      <c r="M2003" s="47" t="s">
        <v>161</v>
      </c>
      <c r="N2003" s="52" t="s">
        <v>1751</v>
      </c>
      <c r="O2003" s="51" t="e">
        <f>VLOOKUP(N2003,[2]!RUBROS[#All],3,0)</f>
        <v>#REF!</v>
      </c>
      <c r="P2003" s="53" t="e">
        <f>VLOOKUP(N2003,[2]!RUBROS[#All],2,0)</f>
        <v>#REF!</v>
      </c>
      <c r="Q2003" s="47" t="str">
        <f t="shared" si="624"/>
        <v>85</v>
      </c>
      <c r="R2003" s="47" t="str">
        <f t="shared" si="625"/>
        <v>0-101024</v>
      </c>
      <c r="S2003" s="339">
        <v>105</v>
      </c>
      <c r="T2003" s="63" t="s">
        <v>120</v>
      </c>
      <c r="U2003" s="326" t="e">
        <f ca="1">_xlfn.XLOOKUP(PAA_4[[#This Row],[ITEM]],[2]Contrato!A:A,[2]Contrato!Q:Q,"",0)</f>
        <v>#NAME?</v>
      </c>
      <c r="V2003" s="47" t="s">
        <v>95</v>
      </c>
      <c r="W2003" s="47" t="s">
        <v>203</v>
      </c>
      <c r="X2003" s="47" t="s">
        <v>203</v>
      </c>
      <c r="Y2003" s="55" t="e">
        <f ca="1">_xlfn.XLOOKUP(PAA_4[[#This Row],[ITEM]],[2]Contrato!A:A,[2]Contrato!B:B,"",0)</f>
        <v>#NAME?</v>
      </c>
      <c r="Z2003" s="47" t="e">
        <f ca="1">_xlfn.XLOOKUP(PAA_4[[#This Row],[ITEM]],[2]Contrato!A:A,[2]Contrato!G:G,"",0)</f>
        <v>#NAME?</v>
      </c>
      <c r="AA2003" s="47" t="e">
        <f ca="1">_xlfn.XLOOKUP(PAA_4[[#This Row],[ITEM]],[2]Contrato!A:A,[2]Contrato!T:T,"",0)</f>
        <v>#NAME?</v>
      </c>
      <c r="AB2003" s="55" t="e">
        <f ca="1">+MAX(PAA_4[[#This Row],[Comprometido Contrato]],PAA_4[[#This Row],[Comprometido Bolsa]])</f>
        <v>#NAME?</v>
      </c>
      <c r="AC2003" s="55" t="str">
        <f t="shared" ca="1" si="626"/>
        <v/>
      </c>
      <c r="AD2003" s="55" t="e">
        <f ca="1">IF(PAA_4[[#This Row],[ESTADO (formulado)]]="NO CONTRATADO",0,MAX(PAA_4[[#This Row],[Pago por Contrato]],PAA_4[[#This Row],[Pago por bolsa]]))</f>
        <v>#NAME?</v>
      </c>
      <c r="AE2003" s="55" t="str">
        <f t="shared" ca="1" si="627"/>
        <v/>
      </c>
      <c r="AF2003" s="47" t="e">
        <f t="shared" ca="1" si="628"/>
        <v>#NAME?</v>
      </c>
      <c r="AG2003" s="47">
        <f t="shared" si="629"/>
        <v>52010803</v>
      </c>
      <c r="AH2003" s="54">
        <f>IF(Q2003="22",IF(ISNUMBER(SEARCH("econ",PAA_4[[#This Row],[Actividad3]])),"Económico",IF(ISNUMBER(SEARCH("alim",PAA_4[[#This Row],[Actividad3]])),"Alimentación",IF(ISNUMBER(SEARCH("educ",PAA_4[[#This Row],[Actividad3]])),"Educativo","Técnico"))),0)</f>
        <v>0</v>
      </c>
      <c r="AI2003" s="47" t="e" cm="1">
        <f t="array" aca="1" ref="AI2003" ca="1">_xlfn.XLOOKUP(PAA_4[[#This Row],[RCP-RUBRO]],[2]!COMPROMISOS_2024[[#All],[concatenado]],[2]!COMPROMISOS_2024[[#All],[Total pagado]],"",0)</f>
        <v>#NAME?</v>
      </c>
      <c r="AJ2003" s="56">
        <f>IF(PAA_4[[#This Row],[BOLSA]]=0,0,SUMIFS([2]!COMPROMISOS_2024[[#All],[Total pagado]],[2]!COMPROMISOS_2024[[#All],[Bolsa]],PAA_4[[#This Row],[BOLSA]],[2]!COMPROMISOS_2024[[#All],[rubro]],PAA_4[[#This Row],[RCP-RUBRO]]))</f>
        <v>0</v>
      </c>
      <c r="AK2003" s="47" t="e" cm="1">
        <f t="array" aca="1" ref="AK2003" ca="1">_xlfn.XLOOKUP(PAA_4[[#This Row],[RCP-RUBRO]],[2]!COMPROMISOS_2024[[#All],[concatenado]],[2]!COMPROMISOS_2024[[#All],[Total Comprometido]],"",0)</f>
        <v>#NAME?</v>
      </c>
      <c r="AL2003" s="47">
        <f>IF(PAA_4[[#This Row],[BOLSA]]=0,0,SUMIFS([2]!COMPROMISOS_2024[[#All],[Total Comprometido]],[2]!COMPROMISOS_2024[[#All],[Bolsa]],PAA_4[[#This Row],[BOLSA]],[2]!COMPROMISOS_2024[[#All],[concatenado]],PAA_4[[#This Row],[RCP-RUBRO]]))</f>
        <v>0</v>
      </c>
    </row>
    <row r="2004" spans="1:38" s="19" customFormat="1" ht="31.5" customHeight="1">
      <c r="A2004" s="47">
        <v>1035</v>
      </c>
      <c r="B2004" s="51" t="s">
        <v>2209</v>
      </c>
      <c r="C2004" s="47" t="str">
        <f>VLOOKUP(PAA_4[[#This Row],[PROYECTO (formulado)2]],[2]PROYECTOS!$G$1:$L$32,6,0)</f>
        <v>SUBGERENCIA DE ALTOS LOGROS Y DEPORTE ASOCIADO</v>
      </c>
      <c r="D2004" s="47" t="str">
        <f>+IF(PAA_4[[#This Row],[UNIDAD DE CONTRATACION (formulado)]]="Subgerencia Administrativa y Financiera","FUNCIONAMIENTO","INVERSIÓN")</f>
        <v>INVERSIÓN</v>
      </c>
      <c r="E2004" s="48" t="str">
        <f>VLOOKUP(Q2004,[2]PROYECTOS!$G$1:$K$32,5,0)</f>
        <v>Apoyo y subvención para satisfacer necesidades propias del proceso de preparación y competencia de los Atletas y Para-atletas de alto rendimiento del departamento de Antioquia</v>
      </c>
      <c r="F2004" s="48">
        <f>VLOOKUP(E2004,[2]PROYECTOS!$K$1:$M$32,3,0)</f>
        <v>2024003050085</v>
      </c>
      <c r="G2004" s="67" t="s">
        <v>1750</v>
      </c>
      <c r="H2004" s="49" t="str">
        <f>VLOOKUP(Q2004,[2]PROYECTOS!$V$1:$W$32,2,0)</f>
        <v>050077</v>
      </c>
      <c r="I2004" s="78">
        <v>617338107</v>
      </c>
      <c r="J2004" s="51" t="s">
        <v>2210</v>
      </c>
      <c r="K2004" s="47" t="str">
        <f t="shared" ca="1" si="623"/>
        <v>CONTRATADO</v>
      </c>
      <c r="L2004" s="47" t="s">
        <v>94</v>
      </c>
      <c r="M2004" s="47" t="s">
        <v>161</v>
      </c>
      <c r="N2004" s="52" t="s">
        <v>1751</v>
      </c>
      <c r="O2004" s="51" t="e">
        <f>VLOOKUP(N2004,[2]!RUBROS[#All],3,0)</f>
        <v>#REF!</v>
      </c>
      <c r="P2004" s="53" t="e">
        <f>VLOOKUP(N2004,[2]!RUBROS[#All],2,0)</f>
        <v>#REF!</v>
      </c>
      <c r="Q2004" s="47" t="str">
        <f t="shared" si="624"/>
        <v>85</v>
      </c>
      <c r="R2004" s="47" t="str">
        <f t="shared" si="625"/>
        <v>0-101024</v>
      </c>
      <c r="S2004" s="339">
        <v>105</v>
      </c>
      <c r="T2004" s="63" t="s">
        <v>120</v>
      </c>
      <c r="U2004" s="326" t="e">
        <f ca="1">_xlfn.XLOOKUP(PAA_4[[#This Row],[ITEM]],[2]Contrato!A:A,[2]Contrato!Q:Q,"",0)</f>
        <v>#NAME?</v>
      </c>
      <c r="V2004" s="47" t="s">
        <v>95</v>
      </c>
      <c r="W2004" s="47" t="s">
        <v>203</v>
      </c>
      <c r="X2004" s="47" t="s">
        <v>203</v>
      </c>
      <c r="Y2004" s="55" t="e">
        <f ca="1">_xlfn.XLOOKUP(PAA_4[[#This Row],[ITEM]],[2]Contrato!A:A,[2]Contrato!B:B,"",0)</f>
        <v>#NAME?</v>
      </c>
      <c r="Z2004" s="47" t="e">
        <f ca="1">_xlfn.XLOOKUP(PAA_4[[#This Row],[ITEM]],[2]Contrato!A:A,[2]Contrato!G:G,"",0)</f>
        <v>#NAME?</v>
      </c>
      <c r="AA2004" s="47" t="e">
        <f ca="1">_xlfn.XLOOKUP(PAA_4[[#This Row],[ITEM]],[2]Contrato!A:A,[2]Contrato!T:T,"",0)</f>
        <v>#NAME?</v>
      </c>
      <c r="AB2004" s="55" t="e">
        <f ca="1">+MAX(PAA_4[[#This Row],[Comprometido Contrato]],PAA_4[[#This Row],[Comprometido Bolsa]])</f>
        <v>#NAME?</v>
      </c>
      <c r="AC2004" s="55" t="str">
        <f t="shared" ca="1" si="626"/>
        <v/>
      </c>
      <c r="AD2004" s="55" t="e">
        <f ca="1">IF(PAA_4[[#This Row],[ESTADO (formulado)]]="NO CONTRATADO",0,MAX(PAA_4[[#This Row],[Pago por Contrato]],PAA_4[[#This Row],[Pago por bolsa]]))</f>
        <v>#NAME?</v>
      </c>
      <c r="AE2004" s="55" t="str">
        <f t="shared" ca="1" si="627"/>
        <v/>
      </c>
      <c r="AF2004" s="47" t="e">
        <f t="shared" ca="1" si="628"/>
        <v>#NAME?</v>
      </c>
      <c r="AG2004" s="47">
        <f t="shared" si="629"/>
        <v>52010803</v>
      </c>
      <c r="AH2004" s="54">
        <f>IF(Q2004="22",IF(ISNUMBER(SEARCH("econ",PAA_4[[#This Row],[Actividad3]])),"Económico",IF(ISNUMBER(SEARCH("alim",PAA_4[[#This Row],[Actividad3]])),"Alimentación",IF(ISNUMBER(SEARCH("educ",PAA_4[[#This Row],[Actividad3]])),"Educativo","Técnico"))),0)</f>
        <v>0</v>
      </c>
      <c r="AI2004" s="47" t="e" cm="1">
        <f t="array" aca="1" ref="AI2004" ca="1">_xlfn.XLOOKUP(PAA_4[[#This Row],[RCP-RUBRO]],[2]!COMPROMISOS_2024[[#All],[concatenado]],[2]!COMPROMISOS_2024[[#All],[Total pagado]],"",0)</f>
        <v>#NAME?</v>
      </c>
      <c r="AJ2004" s="56">
        <f>IF(PAA_4[[#This Row],[BOLSA]]=0,0,SUMIFS([2]!COMPROMISOS_2024[[#All],[Total pagado]],[2]!COMPROMISOS_2024[[#All],[Bolsa]],PAA_4[[#This Row],[BOLSA]],[2]!COMPROMISOS_2024[[#All],[rubro]],PAA_4[[#This Row],[RCP-RUBRO]]))</f>
        <v>0</v>
      </c>
      <c r="AK2004" s="47" t="e" cm="1">
        <f t="array" aca="1" ref="AK2004" ca="1">_xlfn.XLOOKUP(PAA_4[[#This Row],[RCP-RUBRO]],[2]!COMPROMISOS_2024[[#All],[concatenado]],[2]!COMPROMISOS_2024[[#All],[Total Comprometido]],"",0)</f>
        <v>#NAME?</v>
      </c>
      <c r="AL2004" s="47">
        <f>IF(PAA_4[[#This Row],[BOLSA]]=0,0,SUMIFS([2]!COMPROMISOS_2024[[#All],[Total Comprometido]],[2]!COMPROMISOS_2024[[#All],[Bolsa]],PAA_4[[#This Row],[BOLSA]],[2]!COMPROMISOS_2024[[#All],[concatenado]],PAA_4[[#This Row],[RCP-RUBRO]]))</f>
        <v>0</v>
      </c>
    </row>
    <row r="2005" spans="1:38" s="19" customFormat="1" ht="31.5" customHeight="1">
      <c r="A2005" s="47">
        <v>1035</v>
      </c>
      <c r="B2005" s="51" t="s">
        <v>2209</v>
      </c>
      <c r="C2005" s="47" t="str">
        <f>VLOOKUP(PAA_4[[#This Row],[PROYECTO (formulado)2]],[2]PROYECTOS!$G$1:$L$32,6,0)</f>
        <v>SUBGERENCIA DE ALTOS LOGROS Y DEPORTE ASOCIADO</v>
      </c>
      <c r="D2005" s="47" t="str">
        <f>+IF(PAA_4[[#This Row],[UNIDAD DE CONTRATACION (formulado)]]="Subgerencia Administrativa y Financiera","FUNCIONAMIENTO","INVERSIÓN")</f>
        <v>INVERSIÓN</v>
      </c>
      <c r="E2005" s="48" t="str">
        <f>VLOOKUP(Q2005,[2]PROYECTOS!$G$1:$K$32,5,0)</f>
        <v>Apoyo y subvención para satisfacer necesidades propias del proceso de preparación y competencia de los Atletas y Para-atletas de alto rendimiento del departamento de Antioquia</v>
      </c>
      <c r="F2005" s="48">
        <f>VLOOKUP(E2005,[2]PROYECTOS!$K$1:$M$32,3,0)</f>
        <v>2024003050085</v>
      </c>
      <c r="G2005" s="67" t="s">
        <v>1750</v>
      </c>
      <c r="H2005" s="49" t="str">
        <f>VLOOKUP(Q2005,[2]PROYECTOS!$V$1:$W$32,2,0)</f>
        <v>050077</v>
      </c>
      <c r="I2005" s="78">
        <v>996494312</v>
      </c>
      <c r="J2005" s="51" t="s">
        <v>2210</v>
      </c>
      <c r="K2005" s="47" t="str">
        <f t="shared" ca="1" si="623"/>
        <v>CONTRATADO</v>
      </c>
      <c r="L2005" s="47" t="s">
        <v>94</v>
      </c>
      <c r="M2005" s="47" t="s">
        <v>161</v>
      </c>
      <c r="N2005" s="52" t="s">
        <v>2212</v>
      </c>
      <c r="O2005" s="51" t="e">
        <f>VLOOKUP(N2005,[2]!RUBROS[#All],3,0)</f>
        <v>#REF!</v>
      </c>
      <c r="P2005" s="53" t="e">
        <f>VLOOKUP(N2005,[2]!RUBROS[#All],2,0)</f>
        <v>#REF!</v>
      </c>
      <c r="Q2005" s="47" t="str">
        <f t="shared" si="624"/>
        <v>85</v>
      </c>
      <c r="R2005" s="47" t="str">
        <f t="shared" si="625"/>
        <v>0-205400</v>
      </c>
      <c r="S2005" s="339">
        <v>105</v>
      </c>
      <c r="T2005" s="63" t="s">
        <v>120</v>
      </c>
      <c r="U2005" s="326" t="e">
        <f ca="1">_xlfn.XLOOKUP(PAA_4[[#This Row],[ITEM]],[2]Contrato!A:A,[2]Contrato!Q:Q,"",0)</f>
        <v>#NAME?</v>
      </c>
      <c r="V2005" s="47" t="s">
        <v>95</v>
      </c>
      <c r="W2005" s="47" t="s">
        <v>203</v>
      </c>
      <c r="X2005" s="47" t="s">
        <v>203</v>
      </c>
      <c r="Y2005" s="55" t="e">
        <f ca="1">_xlfn.XLOOKUP(PAA_4[[#This Row],[ITEM]],[2]Contrato!A:A,[2]Contrato!B:B,"",0)</f>
        <v>#NAME?</v>
      </c>
      <c r="Z2005" s="47" t="e">
        <f ca="1">_xlfn.XLOOKUP(PAA_4[[#This Row],[ITEM]],[2]Contrato!A:A,[2]Contrato!G:G,"",0)</f>
        <v>#NAME?</v>
      </c>
      <c r="AA2005" s="47" t="e">
        <f ca="1">_xlfn.XLOOKUP(PAA_4[[#This Row],[ITEM]],[2]Contrato!A:A,[2]Contrato!T:T,"",0)</f>
        <v>#NAME?</v>
      </c>
      <c r="AB2005" s="55" t="e">
        <f ca="1">+MAX(PAA_4[[#This Row],[Comprometido Contrato]],PAA_4[[#This Row],[Comprometido Bolsa]])</f>
        <v>#NAME?</v>
      </c>
      <c r="AC2005" s="55" t="str">
        <f t="shared" ca="1" si="626"/>
        <v/>
      </c>
      <c r="AD2005" s="55" t="e">
        <f ca="1">IF(PAA_4[[#This Row],[ESTADO (formulado)]]="NO CONTRATADO",0,MAX(PAA_4[[#This Row],[Pago por Contrato]],PAA_4[[#This Row],[Pago por bolsa]]))</f>
        <v>#NAME?</v>
      </c>
      <c r="AE2005" s="55" t="str">
        <f t="shared" ca="1" si="627"/>
        <v/>
      </c>
      <c r="AF2005" s="47" t="e">
        <f t="shared" ca="1" si="628"/>
        <v>#NAME?</v>
      </c>
      <c r="AG2005" s="47">
        <f t="shared" si="629"/>
        <v>52010803</v>
      </c>
      <c r="AH2005" s="54">
        <f>IF(Q2005="22",IF(ISNUMBER(SEARCH("econ",PAA_4[[#This Row],[Actividad3]])),"Económico",IF(ISNUMBER(SEARCH("alim",PAA_4[[#This Row],[Actividad3]])),"Alimentación",IF(ISNUMBER(SEARCH("educ",PAA_4[[#This Row],[Actividad3]])),"Educativo","Técnico"))),0)</f>
        <v>0</v>
      </c>
      <c r="AI2005" s="47" t="e" cm="1">
        <f t="array" aca="1" ref="AI2005" ca="1">_xlfn.XLOOKUP(PAA_4[[#This Row],[RCP-RUBRO]],[2]!COMPROMISOS_2024[[#All],[concatenado]],[2]!COMPROMISOS_2024[[#All],[Total pagado]],"",0)</f>
        <v>#NAME?</v>
      </c>
      <c r="AJ2005" s="56">
        <f>IF(PAA_4[[#This Row],[BOLSA]]=0,0,SUMIFS([2]!COMPROMISOS_2024[[#All],[Total pagado]],[2]!COMPROMISOS_2024[[#All],[Bolsa]],PAA_4[[#This Row],[BOLSA]],[2]!COMPROMISOS_2024[[#All],[rubro]],PAA_4[[#This Row],[RCP-RUBRO]]))</f>
        <v>0</v>
      </c>
      <c r="AK2005" s="47" t="e" cm="1">
        <f t="array" aca="1" ref="AK2005" ca="1">_xlfn.XLOOKUP(PAA_4[[#This Row],[RCP-RUBRO]],[2]!COMPROMISOS_2024[[#All],[concatenado]],[2]!COMPROMISOS_2024[[#All],[Total Comprometido]],"",0)</f>
        <v>#NAME?</v>
      </c>
      <c r="AL2005" s="47">
        <f>IF(PAA_4[[#This Row],[BOLSA]]=0,0,SUMIFS([2]!COMPROMISOS_2024[[#All],[Total Comprometido]],[2]!COMPROMISOS_2024[[#All],[Bolsa]],PAA_4[[#This Row],[BOLSA]],[2]!COMPROMISOS_2024[[#All],[concatenado]],PAA_4[[#This Row],[RCP-RUBRO]]))</f>
        <v>0</v>
      </c>
    </row>
    <row r="2006" spans="1:38" s="19" customFormat="1" ht="31.5" customHeight="1">
      <c r="A2006" s="47" t="s">
        <v>82</v>
      </c>
      <c r="B2006" s="47" t="s">
        <v>42</v>
      </c>
      <c r="C2006" s="47" t="str">
        <f>VLOOKUP(PAA_4[[#This Row],[PROYECTO (formulado)2]],[2]PROYECTOS!$G$1:$L$32,6,0)</f>
        <v>SUBGERENCIA DE ALTOS LOGROS Y DEPORTE ASOCIADO</v>
      </c>
      <c r="D2006" s="47" t="str">
        <f>+IF(PAA_4[[#This Row],[UNIDAD DE CONTRATACION (formulado)]]="Subgerencia Administrativa y Financiera","FUNCIONAMIENTO","INVERSIÓN")</f>
        <v>INVERSIÓN</v>
      </c>
      <c r="E2006" s="48" t="str">
        <f>VLOOKUP(Q2006,[2]PROYECTOS!$G$1:$K$32,5,0)</f>
        <v>Apoyo y subvención para satisfacer necesidades propias del proceso de preparación y competencia de los Atletas y Para-atletas de alto rendimiento del departamento de Antioquia</v>
      </c>
      <c r="F2006" s="48">
        <f>VLOOKUP(E2006,[2]PROYECTOS!$K$1:$M$32,3,0)</f>
        <v>2024003050085</v>
      </c>
      <c r="G2006" s="67" t="s">
        <v>2202</v>
      </c>
      <c r="H2006" s="49" t="str">
        <f>VLOOKUP(Q2006,[2]PROYECTOS!$V$1:$W$32,2,0)</f>
        <v>050077</v>
      </c>
      <c r="I2006" s="78">
        <v>4072896</v>
      </c>
      <c r="J2006" s="51" t="s">
        <v>1503</v>
      </c>
      <c r="K2006" s="47" t="str">
        <f t="shared" ca="1" si="623"/>
        <v>CONTRATADO</v>
      </c>
      <c r="L2006" s="47" t="s">
        <v>44</v>
      </c>
      <c r="M2006" s="47" t="s">
        <v>1236</v>
      </c>
      <c r="N2006" s="52" t="s">
        <v>2213</v>
      </c>
      <c r="O2006" s="51" t="e">
        <f>VLOOKUP(N2006,[2]!RUBROS[#All],3,0)</f>
        <v>#REF!</v>
      </c>
      <c r="P2006" s="53" t="e">
        <f>VLOOKUP(N2006,[2]!RUBROS[#All],2,0)</f>
        <v>#REF!</v>
      </c>
      <c r="Q2006" s="47" t="str">
        <f t="shared" si="624"/>
        <v>85</v>
      </c>
      <c r="R2006" s="47" t="str">
        <f t="shared" si="625"/>
        <v>4-205400</v>
      </c>
      <c r="S2006" s="339" t="s">
        <v>42</v>
      </c>
      <c r="T2006" s="59" t="s">
        <v>42</v>
      </c>
      <c r="U2006" s="326" t="e">
        <f ca="1">_xlfn.XLOOKUP(PAA_4[[#This Row],[ITEM]],[2]Contrato!A:A,[2]Contrato!Q:Q,"",0)</f>
        <v>#NAME?</v>
      </c>
      <c r="V2006" s="47" t="s">
        <v>95</v>
      </c>
      <c r="W2006" s="47" t="s">
        <v>194</v>
      </c>
      <c r="X2006" s="47" t="s">
        <v>203</v>
      </c>
      <c r="Y2006" s="55" t="e">
        <f ca="1">_xlfn.XLOOKUP(PAA_4[[#This Row],[ITEM]],[2]Contrato!A:A,[2]Contrato!B:B,"",0)</f>
        <v>#NAME?</v>
      </c>
      <c r="Z2006" s="47" t="e">
        <f ca="1">_xlfn.XLOOKUP(PAA_4[[#This Row],[ITEM]],[2]Contrato!A:A,[2]Contrato!G:G,"",0)</f>
        <v>#NAME?</v>
      </c>
      <c r="AA2006" s="47" t="e">
        <f ca="1">_xlfn.XLOOKUP(PAA_4[[#This Row],[ITEM]],[2]Contrato!A:A,[2]Contrato!T:T,"",0)</f>
        <v>#NAME?</v>
      </c>
      <c r="AB2006" s="55" t="e">
        <f ca="1">+MAX(PAA_4[[#This Row],[Comprometido Contrato]],PAA_4[[#This Row],[Comprometido Bolsa]])</f>
        <v>#NAME?</v>
      </c>
      <c r="AC2006" s="55" t="str">
        <f t="shared" ca="1" si="626"/>
        <v/>
      </c>
      <c r="AD2006" s="55" t="e">
        <f ca="1">IF(PAA_4[[#This Row],[ESTADO (formulado)]]="NO CONTRATADO",0,MAX(PAA_4[[#This Row],[Pago por Contrato]],PAA_4[[#This Row],[Pago por bolsa]]))</f>
        <v>#NAME?</v>
      </c>
      <c r="AE2006" s="55" t="str">
        <f t="shared" ca="1" si="627"/>
        <v/>
      </c>
      <c r="AF2006" s="47" t="e">
        <f t="shared" ca="1" si="628"/>
        <v>#NAME?</v>
      </c>
      <c r="AG2006" s="47">
        <f t="shared" si="629"/>
        <v>52010803</v>
      </c>
      <c r="AH2006" s="54">
        <f>IF(Q2006="22",IF(ISNUMBER(SEARCH("econ",PAA_4[[#This Row],[Actividad3]])),"Económico",IF(ISNUMBER(SEARCH("alim",PAA_4[[#This Row],[Actividad3]])),"Alimentación",IF(ISNUMBER(SEARCH("educ",PAA_4[[#This Row],[Actividad3]])),"Educativo","Técnico"))),0)</f>
        <v>0</v>
      </c>
      <c r="AI2006" s="47" t="e" cm="1">
        <f t="array" aca="1" ref="AI2006" ca="1">_xlfn.XLOOKUP(PAA_4[[#This Row],[RCP-RUBRO]],[2]!COMPROMISOS_2024[[#All],[concatenado]],[2]!COMPROMISOS_2024[[#All],[Total pagado]],"",0)</f>
        <v>#NAME?</v>
      </c>
      <c r="AJ2006" s="56">
        <f>IF(PAA_4[[#This Row],[BOLSA]]=0,0,SUMIFS([2]!COMPROMISOS_2024[[#All],[Total pagado]],[2]!COMPROMISOS_2024[[#All],[Bolsa]],PAA_4[[#This Row],[BOLSA]],[2]!COMPROMISOS_2024[[#All],[rubro]],PAA_4[[#This Row],[RCP-RUBRO]]))</f>
        <v>0</v>
      </c>
      <c r="AK2006" s="47" t="e" cm="1">
        <f t="array" aca="1" ref="AK2006" ca="1">_xlfn.XLOOKUP(PAA_4[[#This Row],[RCP-RUBRO]],[2]!COMPROMISOS_2024[[#All],[concatenado]],[2]!COMPROMISOS_2024[[#All],[Total Comprometido]],"",0)</f>
        <v>#NAME?</v>
      </c>
      <c r="AL2006" s="47">
        <f>IF(PAA_4[[#This Row],[BOLSA]]=0,0,SUMIFS([2]!COMPROMISOS_2024[[#All],[Total Comprometido]],[2]!COMPROMISOS_2024[[#All],[Bolsa]],PAA_4[[#This Row],[BOLSA]],[2]!COMPROMISOS_2024[[#All],[concatenado]],PAA_4[[#This Row],[RCP-RUBRO]]))</f>
        <v>0</v>
      </c>
    </row>
    <row r="2007" spans="1:38" s="19" customFormat="1" ht="31.5" customHeight="1">
      <c r="A2007" s="47">
        <v>1035</v>
      </c>
      <c r="B2007" s="51" t="s">
        <v>2209</v>
      </c>
      <c r="C2007" s="47" t="str">
        <f>VLOOKUP(PAA_4[[#This Row],[PROYECTO (formulado)2]],[2]PROYECTOS!$G$1:$L$32,6,0)</f>
        <v>SUBGERENCIA DE ALTOS LOGROS Y DEPORTE ASOCIADO</v>
      </c>
      <c r="D2007" s="47" t="str">
        <f>+IF(PAA_4[[#This Row],[UNIDAD DE CONTRATACION (formulado)]]="Subgerencia Administrativa y Financiera","FUNCIONAMIENTO","INVERSIÓN")</f>
        <v>INVERSIÓN</v>
      </c>
      <c r="E2007" s="48" t="str">
        <f>VLOOKUP(Q2007,[2]PROYECTOS!$G$1:$K$32,5,0)</f>
        <v>Apoyo y subvención para satisfacer necesidades propias del proceso de preparación y competencia de los Atletas y Para-atletas de alto rendimiento del departamento de Antioquia</v>
      </c>
      <c r="F2007" s="48">
        <f>VLOOKUP(E2007,[2]PROYECTOS!$K$1:$M$32,3,0)</f>
        <v>2024003050085</v>
      </c>
      <c r="G2007" s="67" t="s">
        <v>1750</v>
      </c>
      <c r="H2007" s="49" t="str">
        <f>VLOOKUP(Q2007,[2]PROYECTOS!$V$1:$W$32,2,0)</f>
        <v>050077</v>
      </c>
      <c r="I2007" s="78">
        <v>1756475107</v>
      </c>
      <c r="J2007" s="51" t="s">
        <v>2210</v>
      </c>
      <c r="K2007" s="47" t="str">
        <f t="shared" ca="1" si="623"/>
        <v>CONTRATADO</v>
      </c>
      <c r="L2007" s="47" t="s">
        <v>94</v>
      </c>
      <c r="M2007" s="47" t="s">
        <v>161</v>
      </c>
      <c r="N2007" s="52" t="s">
        <v>2214</v>
      </c>
      <c r="O2007" s="51" t="e">
        <f>VLOOKUP(N2007,[2]!RUBROS[#All],3,0)</f>
        <v>#REF!</v>
      </c>
      <c r="P2007" s="53" t="e">
        <f>VLOOKUP(N2007,[2]!RUBROS[#All],2,0)</f>
        <v>#REF!</v>
      </c>
      <c r="Q2007" s="47" t="str">
        <f t="shared" si="624"/>
        <v>85</v>
      </c>
      <c r="R2007" s="47" t="str">
        <f t="shared" si="625"/>
        <v>4-101124</v>
      </c>
      <c r="S2007" s="339">
        <v>4</v>
      </c>
      <c r="T2007" s="59" t="s">
        <v>46</v>
      </c>
      <c r="U2007" s="326" t="e">
        <f ca="1">_xlfn.XLOOKUP(PAA_4[[#This Row],[ITEM]],[2]Contrato!A:A,[2]Contrato!Q:Q,"",0)</f>
        <v>#NAME?</v>
      </c>
      <c r="V2007" s="47" t="s">
        <v>95</v>
      </c>
      <c r="W2007" s="47" t="s">
        <v>194</v>
      </c>
      <c r="X2007" s="47" t="s">
        <v>203</v>
      </c>
      <c r="Y2007" s="55" t="e">
        <f ca="1">_xlfn.XLOOKUP(PAA_4[[#This Row],[ITEM]],[2]Contrato!A:A,[2]Contrato!B:B,"",0)</f>
        <v>#NAME?</v>
      </c>
      <c r="Z2007" s="47" t="e">
        <f ca="1">_xlfn.XLOOKUP(PAA_4[[#This Row],[ITEM]],[2]Contrato!A:A,[2]Contrato!G:G,"",0)</f>
        <v>#NAME?</v>
      </c>
      <c r="AA2007" s="47" t="e">
        <f ca="1">_xlfn.XLOOKUP(PAA_4[[#This Row],[ITEM]],[2]Contrato!A:A,[2]Contrato!T:T,"",0)</f>
        <v>#NAME?</v>
      </c>
      <c r="AB2007" s="55" t="e">
        <f ca="1">+MAX(PAA_4[[#This Row],[Comprometido Contrato]],PAA_4[[#This Row],[Comprometido Bolsa]])</f>
        <v>#NAME?</v>
      </c>
      <c r="AC2007" s="55" t="str">
        <f t="shared" ca="1" si="626"/>
        <v/>
      </c>
      <c r="AD2007" s="55" t="e">
        <f ca="1">IF(PAA_4[[#This Row],[ESTADO (formulado)]]="NO CONTRATADO",0,MAX(PAA_4[[#This Row],[Pago por Contrato]],PAA_4[[#This Row],[Pago por bolsa]]))</f>
        <v>#NAME?</v>
      </c>
      <c r="AE2007" s="55" t="str">
        <f t="shared" ca="1" si="627"/>
        <v/>
      </c>
      <c r="AF2007" s="47" t="e">
        <f t="shared" ca="1" si="628"/>
        <v>#NAME?</v>
      </c>
      <c r="AG2007" s="47">
        <f t="shared" si="629"/>
        <v>52010803</v>
      </c>
      <c r="AH2007" s="54">
        <f>IF(Q2007="22",IF(ISNUMBER(SEARCH("econ",PAA_4[[#This Row],[Actividad3]])),"Económico",IF(ISNUMBER(SEARCH("alim",PAA_4[[#This Row],[Actividad3]])),"Alimentación",IF(ISNUMBER(SEARCH("educ",PAA_4[[#This Row],[Actividad3]])),"Educativo","Técnico"))),0)</f>
        <v>0</v>
      </c>
      <c r="AI2007" s="47" t="e" cm="1">
        <f t="array" aca="1" ref="AI2007" ca="1">_xlfn.XLOOKUP(PAA_4[[#This Row],[RCP-RUBRO]],[2]!COMPROMISOS_2024[[#All],[concatenado]],[2]!COMPROMISOS_2024[[#All],[Total pagado]],"",0)</f>
        <v>#NAME?</v>
      </c>
      <c r="AJ2007" s="56">
        <f>IF(PAA_4[[#This Row],[BOLSA]]=0,0,SUMIFS([2]!COMPROMISOS_2024[[#All],[Total pagado]],[2]!COMPROMISOS_2024[[#All],[Bolsa]],PAA_4[[#This Row],[BOLSA]],[2]!COMPROMISOS_2024[[#All],[rubro]],PAA_4[[#This Row],[RCP-RUBRO]]))</f>
        <v>0</v>
      </c>
      <c r="AK2007" s="47" t="e" cm="1">
        <f t="array" aca="1" ref="AK2007" ca="1">_xlfn.XLOOKUP(PAA_4[[#This Row],[RCP-RUBRO]],[2]!COMPROMISOS_2024[[#All],[concatenado]],[2]!COMPROMISOS_2024[[#All],[Total Comprometido]],"",0)</f>
        <v>#NAME?</v>
      </c>
      <c r="AL2007" s="47">
        <f>IF(PAA_4[[#This Row],[BOLSA]]=0,0,SUMIFS([2]!COMPROMISOS_2024[[#All],[Total Comprometido]],[2]!COMPROMISOS_2024[[#All],[Bolsa]],PAA_4[[#This Row],[BOLSA]],[2]!COMPROMISOS_2024[[#All],[concatenado]],PAA_4[[#This Row],[RCP-RUBRO]]))</f>
        <v>0</v>
      </c>
    </row>
    <row r="2008" spans="1:38" s="19" customFormat="1" ht="31.5" customHeight="1">
      <c r="A2008" s="47" t="s">
        <v>82</v>
      </c>
      <c r="B2008" s="47">
        <v>91111603</v>
      </c>
      <c r="C2008" s="47" t="str">
        <f>VLOOKUP(PAA_4[[#This Row],[PROYECTO (formulado)2]],[2]PROYECTOS!$G$1:$L$32,6,0)</f>
        <v>SUBGERENCIA DE ALTOS LOGROS Y DEPORTE ASOCIADO</v>
      </c>
      <c r="D2008" s="47" t="str">
        <f>+IF(PAA_4[[#This Row],[UNIDAD DE CONTRATACION (formulado)]]="Subgerencia Administrativa y Financiera","FUNCIONAMIENTO","INVERSIÓN")</f>
        <v>INVERSIÓN</v>
      </c>
      <c r="E2008" s="48" t="str">
        <f>VLOOKUP(Q2008,[2]PROYECTOS!$G$1:$K$32,5,0)</f>
        <v>Apoyo y subvención para satisfacer necesidades propias del proceso de preparación y competencia de los Atletas y Para-atletas de alto rendimiento del departamento de Antioquia</v>
      </c>
      <c r="F2008" s="48">
        <f>VLOOKUP(E2008,[2]PROYECTOS!$K$1:$M$32,3,0)</f>
        <v>2024003050085</v>
      </c>
      <c r="G2008" s="67" t="s">
        <v>2098</v>
      </c>
      <c r="H2008" s="49" t="str">
        <f>VLOOKUP(Q2008,[2]PROYECTOS!$V$1:$W$32,2,0)</f>
        <v>050077</v>
      </c>
      <c r="I2008" s="78">
        <v>0</v>
      </c>
      <c r="J2008" s="51" t="s">
        <v>2215</v>
      </c>
      <c r="K2008" s="47" t="str">
        <f t="shared" ca="1" si="623"/>
        <v>CONTRATADO</v>
      </c>
      <c r="L2008" s="47" t="s">
        <v>44</v>
      </c>
      <c r="M2008" s="47" t="s">
        <v>1236</v>
      </c>
      <c r="N2008" s="52" t="s">
        <v>2196</v>
      </c>
      <c r="O2008" s="51" t="e">
        <f>VLOOKUP(N2008,[2]!RUBROS[#All],3,0)</f>
        <v>#REF!</v>
      </c>
      <c r="P2008" s="53" t="e">
        <f>VLOOKUP(N2008,[2]!RUBROS[#All],2,0)</f>
        <v>#REF!</v>
      </c>
      <c r="Q2008" s="47" t="str">
        <f t="shared" si="624"/>
        <v>85</v>
      </c>
      <c r="R2008" s="47" t="str">
        <f t="shared" si="625"/>
        <v>0-101024</v>
      </c>
      <c r="S2008" s="339" t="s">
        <v>42</v>
      </c>
      <c r="T2008" s="59" t="s">
        <v>42</v>
      </c>
      <c r="U2008" s="326" t="e">
        <f ca="1">_xlfn.XLOOKUP(PAA_4[[#This Row],[ITEM]],[2]Contrato!A:A,[2]Contrato!Q:Q,"",0)</f>
        <v>#NAME?</v>
      </c>
      <c r="V2008" s="47" t="s">
        <v>95</v>
      </c>
      <c r="W2008" s="47" t="s">
        <v>194</v>
      </c>
      <c r="X2008" s="47" t="s">
        <v>203</v>
      </c>
      <c r="Y2008" s="55" t="e">
        <f ca="1">_xlfn.XLOOKUP(PAA_4[[#This Row],[ITEM]],[2]Contrato!A:A,[2]Contrato!B:B,"",0)</f>
        <v>#NAME?</v>
      </c>
      <c r="Z2008" s="47" t="e">
        <f ca="1">_xlfn.XLOOKUP(PAA_4[[#This Row],[ITEM]],[2]Contrato!A:A,[2]Contrato!G:G,"",0)</f>
        <v>#NAME?</v>
      </c>
      <c r="AA2008" s="47" t="e">
        <f ca="1">_xlfn.XLOOKUP(PAA_4[[#This Row],[ITEM]],[2]Contrato!A:A,[2]Contrato!T:T,"",0)</f>
        <v>#NAME?</v>
      </c>
      <c r="AB2008" s="55" t="e">
        <f ca="1">+MAX(PAA_4[[#This Row],[Comprometido Contrato]],PAA_4[[#This Row],[Comprometido Bolsa]])</f>
        <v>#NAME?</v>
      </c>
      <c r="AC2008" s="55" t="str">
        <f t="shared" ca="1" si="626"/>
        <v/>
      </c>
      <c r="AD2008" s="55" t="e">
        <f ca="1">IF(PAA_4[[#This Row],[ESTADO (formulado)]]="NO CONTRATADO",0,MAX(PAA_4[[#This Row],[Pago por Contrato]],PAA_4[[#This Row],[Pago por bolsa]]))</f>
        <v>#NAME?</v>
      </c>
      <c r="AE2008" s="55" t="str">
        <f t="shared" ca="1" si="627"/>
        <v/>
      </c>
      <c r="AF2008" s="47" t="e">
        <f t="shared" ca="1" si="628"/>
        <v>#NAME?</v>
      </c>
      <c r="AG2008" s="47">
        <f t="shared" si="629"/>
        <v>52010803</v>
      </c>
      <c r="AH2008" s="54">
        <f>IF(Q2008="22",IF(ISNUMBER(SEARCH("econ",PAA_4[[#This Row],[Actividad3]])),"Económico",IF(ISNUMBER(SEARCH("alim",PAA_4[[#This Row],[Actividad3]])),"Alimentación",IF(ISNUMBER(SEARCH("educ",PAA_4[[#This Row],[Actividad3]])),"Educativo","Técnico"))),0)</f>
        <v>0</v>
      </c>
      <c r="AI2008" s="47" t="e" cm="1">
        <f t="array" aca="1" ref="AI2008" ca="1">_xlfn.XLOOKUP(PAA_4[[#This Row],[RCP-RUBRO]],[2]!COMPROMISOS_2024[[#All],[concatenado]],[2]!COMPROMISOS_2024[[#All],[Total pagado]],"",0)</f>
        <v>#NAME?</v>
      </c>
      <c r="AJ2008" s="56">
        <f>IF(PAA_4[[#This Row],[BOLSA]]=0,0,SUMIFS([2]!COMPROMISOS_2024[[#All],[Total pagado]],[2]!COMPROMISOS_2024[[#All],[Bolsa]],PAA_4[[#This Row],[BOLSA]],[2]!COMPROMISOS_2024[[#All],[rubro]],PAA_4[[#This Row],[RCP-RUBRO]]))</f>
        <v>0</v>
      </c>
      <c r="AK2008" s="47" t="e" cm="1">
        <f t="array" aca="1" ref="AK2008" ca="1">_xlfn.XLOOKUP(PAA_4[[#This Row],[RCP-RUBRO]],[2]!COMPROMISOS_2024[[#All],[concatenado]],[2]!COMPROMISOS_2024[[#All],[Total Comprometido]],"",0)</f>
        <v>#NAME?</v>
      </c>
      <c r="AL2008" s="47">
        <f>IF(PAA_4[[#This Row],[BOLSA]]=0,0,SUMIFS([2]!COMPROMISOS_2024[[#All],[Total Comprometido]],[2]!COMPROMISOS_2024[[#All],[Bolsa]],PAA_4[[#This Row],[BOLSA]],[2]!COMPROMISOS_2024[[#All],[concatenado]],PAA_4[[#This Row],[RCP-RUBRO]]))</f>
        <v>0</v>
      </c>
    </row>
    <row r="2009" spans="1:38" s="19" customFormat="1" ht="31.5" customHeight="1">
      <c r="A2009" s="47" t="s">
        <v>82</v>
      </c>
      <c r="B2009" s="47">
        <v>84131600</v>
      </c>
      <c r="C2009" s="47" t="str">
        <f>VLOOKUP(PAA_4[[#This Row],[PROYECTO (formulado)2]],[2]PROYECTOS!$G$1:$L$32,6,0)</f>
        <v>SUBGERENCIA DE ALTOS LOGROS Y DEPORTE ASOCIADO</v>
      </c>
      <c r="D2009" s="47" t="str">
        <f>+IF(PAA_4[[#This Row],[UNIDAD DE CONTRATACION (formulado)]]="Subgerencia Administrativa y Financiera","FUNCIONAMIENTO","INVERSIÓN")</f>
        <v>INVERSIÓN</v>
      </c>
      <c r="E2009" s="48" t="str">
        <f>VLOOKUP(Q2009,[2]PROYECTOS!$G$1:$K$32,5,0)</f>
        <v>Apoyo y subvención para satisfacer necesidades propias del proceso de preparación y competencia de los Atletas y Para-atletas de alto rendimiento del departamento de Antioquia</v>
      </c>
      <c r="F2009" s="48">
        <f>VLOOKUP(E2009,[2]PROYECTOS!$K$1:$M$32,3,0)</f>
        <v>2024003050085</v>
      </c>
      <c r="G2009" s="67" t="s">
        <v>2216</v>
      </c>
      <c r="H2009" s="49" t="str">
        <f>VLOOKUP(Q2009,[2]PROYECTOS!$V$1:$W$32,2,0)</f>
        <v>050077</v>
      </c>
      <c r="I2009" s="78">
        <v>93249366</v>
      </c>
      <c r="J2009" s="51" t="s">
        <v>2217</v>
      </c>
      <c r="K2009" s="47" t="str">
        <f t="shared" ca="1" si="623"/>
        <v>CONTRATADO</v>
      </c>
      <c r="L2009" s="47" t="s">
        <v>94</v>
      </c>
      <c r="M2009" s="47" t="s">
        <v>89</v>
      </c>
      <c r="N2009" s="52" t="s">
        <v>2218</v>
      </c>
      <c r="O2009" s="51" t="e">
        <f>VLOOKUP(N2009,[2]!RUBROS[#All],3,0)</f>
        <v>#REF!</v>
      </c>
      <c r="P2009" s="53" t="e">
        <f>VLOOKUP(N2009,[2]!RUBROS[#All],2,0)</f>
        <v>#REF!</v>
      </c>
      <c r="Q2009" s="47" t="str">
        <f t="shared" si="624"/>
        <v>85</v>
      </c>
      <c r="R2009" s="47" t="str">
        <f t="shared" si="625"/>
        <v>4-101124</v>
      </c>
      <c r="S2009" s="339" t="s">
        <v>42</v>
      </c>
      <c r="T2009" s="59" t="s">
        <v>42</v>
      </c>
      <c r="U2009" s="326" t="e">
        <f ca="1">_xlfn.XLOOKUP(PAA_4[[#This Row],[ITEM]],[2]Contrato!A:A,[2]Contrato!Q:Q,"",0)</f>
        <v>#NAME?</v>
      </c>
      <c r="V2009" s="47" t="s">
        <v>95</v>
      </c>
      <c r="W2009" s="47" t="s">
        <v>194</v>
      </c>
      <c r="X2009" s="47" t="s">
        <v>203</v>
      </c>
      <c r="Y2009" s="55" t="e">
        <f ca="1">_xlfn.XLOOKUP(PAA_4[[#This Row],[ITEM]],[2]Contrato!A:A,[2]Contrato!B:B,"",0)</f>
        <v>#NAME?</v>
      </c>
      <c r="Z2009" s="47" t="e">
        <f ca="1">_xlfn.XLOOKUP(PAA_4[[#This Row],[ITEM]],[2]Contrato!A:A,[2]Contrato!G:G,"",0)</f>
        <v>#NAME?</v>
      </c>
      <c r="AA2009" s="47" t="e">
        <f ca="1">_xlfn.XLOOKUP(PAA_4[[#This Row],[ITEM]],[2]Contrato!A:A,[2]Contrato!T:T,"",0)</f>
        <v>#NAME?</v>
      </c>
      <c r="AB2009" s="55" t="e">
        <f ca="1">+MAX(PAA_4[[#This Row],[Comprometido Contrato]],PAA_4[[#This Row],[Comprometido Bolsa]])</f>
        <v>#NAME?</v>
      </c>
      <c r="AC2009" s="55" t="str">
        <f t="shared" ca="1" si="626"/>
        <v/>
      </c>
      <c r="AD2009" s="55" t="e">
        <f ca="1">IF(PAA_4[[#This Row],[ESTADO (formulado)]]="NO CONTRATADO",0,MAX(PAA_4[[#This Row],[Pago por Contrato]],PAA_4[[#This Row],[Pago por bolsa]]))</f>
        <v>#NAME?</v>
      </c>
      <c r="AE2009" s="55" t="str">
        <f t="shared" ca="1" si="627"/>
        <v/>
      </c>
      <c r="AF2009" s="47" t="e">
        <f t="shared" ca="1" si="628"/>
        <v>#NAME?</v>
      </c>
      <c r="AG2009" s="47">
        <f t="shared" si="629"/>
        <v>52010803</v>
      </c>
      <c r="AH2009" s="54">
        <f>IF(Q2009="22",IF(ISNUMBER(SEARCH("econ",PAA_4[[#This Row],[Actividad3]])),"Económico",IF(ISNUMBER(SEARCH("alim",PAA_4[[#This Row],[Actividad3]])),"Alimentación",IF(ISNUMBER(SEARCH("educ",PAA_4[[#This Row],[Actividad3]])),"Educativo","Técnico"))),0)</f>
        <v>0</v>
      </c>
      <c r="AI2009" s="47" t="e" cm="1">
        <f t="array" aca="1" ref="AI2009" ca="1">_xlfn.XLOOKUP(PAA_4[[#This Row],[RCP-RUBRO]],[2]!COMPROMISOS_2024[[#All],[concatenado]],[2]!COMPROMISOS_2024[[#All],[Total pagado]],"",0)</f>
        <v>#NAME?</v>
      </c>
      <c r="AJ2009" s="56">
        <f>IF(PAA_4[[#This Row],[BOLSA]]=0,0,SUMIFS([2]!COMPROMISOS_2024[[#All],[Total pagado]],[2]!COMPROMISOS_2024[[#All],[Bolsa]],PAA_4[[#This Row],[BOLSA]],[2]!COMPROMISOS_2024[[#All],[rubro]],PAA_4[[#This Row],[RCP-RUBRO]]))</f>
        <v>0</v>
      </c>
      <c r="AK2009" s="47" t="e" cm="1">
        <f t="array" aca="1" ref="AK2009" ca="1">_xlfn.XLOOKUP(PAA_4[[#This Row],[RCP-RUBRO]],[2]!COMPROMISOS_2024[[#All],[concatenado]],[2]!COMPROMISOS_2024[[#All],[Total Comprometido]],"",0)</f>
        <v>#NAME?</v>
      </c>
      <c r="AL2009" s="47">
        <f>IF(PAA_4[[#This Row],[BOLSA]]=0,0,SUMIFS([2]!COMPROMISOS_2024[[#All],[Total Comprometido]],[2]!COMPROMISOS_2024[[#All],[Bolsa]],PAA_4[[#This Row],[BOLSA]],[2]!COMPROMISOS_2024[[#All],[concatenado]],PAA_4[[#This Row],[RCP-RUBRO]]))</f>
        <v>0</v>
      </c>
    </row>
    <row r="2010" spans="1:38" s="19" customFormat="1" ht="31.5" customHeight="1">
      <c r="A2010" s="47" t="s">
        <v>82</v>
      </c>
      <c r="B2010" s="47" t="s">
        <v>42</v>
      </c>
      <c r="C2010" s="47" t="str">
        <f>VLOOKUP(PAA_4[[#This Row],[PROYECTO (formulado)2]],[2]PROYECTOS!$G$1:$L$32,6,0)</f>
        <v>SUBGERENCIA DE ALTOS LOGROS Y DEPORTE ASOCIADO</v>
      </c>
      <c r="D2010" s="47" t="str">
        <f>+IF(PAA_4[[#This Row],[UNIDAD DE CONTRATACION (formulado)]]="Subgerencia Administrativa y Financiera","FUNCIONAMIENTO","INVERSIÓN")</f>
        <v>INVERSIÓN</v>
      </c>
      <c r="E2010" s="48" t="str">
        <f>VLOOKUP(Q2010,[2]PROYECTOS!$G$1:$K$32,5,0)</f>
        <v>Apoyo y subvención para satisfacer necesidades propias del proceso de preparación y competencia de los Atletas y Para-atletas de alto rendimiento del departamento de Antioquia</v>
      </c>
      <c r="F2010" s="48">
        <f>VLOOKUP(E2010,[2]PROYECTOS!$K$1:$M$32,3,0)</f>
        <v>2024003050085</v>
      </c>
      <c r="G2010" s="67" t="s">
        <v>2216</v>
      </c>
      <c r="H2010" s="49" t="str">
        <f>VLOOKUP(Q2010,[2]PROYECTOS!$V$1:$W$32,2,0)</f>
        <v>050077</v>
      </c>
      <c r="I2010" s="78">
        <v>2630137</v>
      </c>
      <c r="J2010" s="51" t="s">
        <v>2132</v>
      </c>
      <c r="K2010" s="47" t="str">
        <f t="shared" ca="1" si="623"/>
        <v>CONTRATADO</v>
      </c>
      <c r="L2010" s="47" t="s">
        <v>42</v>
      </c>
      <c r="M2010" s="51" t="s">
        <v>42</v>
      </c>
      <c r="N2010" s="52" t="s">
        <v>2218</v>
      </c>
      <c r="O2010" s="51" t="e">
        <f>VLOOKUP(N2010,[2]!RUBROS[#All],3,0)</f>
        <v>#REF!</v>
      </c>
      <c r="P2010" s="53" t="e">
        <f>VLOOKUP(N2010,[2]!RUBROS[#All],2,0)</f>
        <v>#REF!</v>
      </c>
      <c r="Q2010" s="47" t="str">
        <f t="shared" si="624"/>
        <v>85</v>
      </c>
      <c r="R2010" s="47" t="str">
        <f t="shared" si="625"/>
        <v>4-101124</v>
      </c>
      <c r="S2010" s="339" t="s">
        <v>42</v>
      </c>
      <c r="T2010" s="339" t="s">
        <v>42</v>
      </c>
      <c r="U2010" s="326" t="e">
        <f ca="1">_xlfn.XLOOKUP(PAA_4[[#This Row],[ITEM]],[2]Contrato!A:A,[2]Contrato!Q:Q,"",0)</f>
        <v>#NAME?</v>
      </c>
      <c r="V2010" s="47" t="s">
        <v>42</v>
      </c>
      <c r="W2010" s="47" t="s">
        <v>42</v>
      </c>
      <c r="X2010" s="47" t="s">
        <v>42</v>
      </c>
      <c r="Y2010" s="55" t="e">
        <f ca="1">_xlfn.XLOOKUP(PAA_4[[#This Row],[ITEM]],[2]Contrato!A:A,[2]Contrato!B:B,"",0)</f>
        <v>#NAME?</v>
      </c>
      <c r="Z2010" s="47" t="e">
        <f ca="1">_xlfn.XLOOKUP(PAA_4[[#This Row],[ITEM]],[2]Contrato!A:A,[2]Contrato!G:G,"",0)</f>
        <v>#NAME?</v>
      </c>
      <c r="AA2010" s="47" t="e">
        <f ca="1">_xlfn.XLOOKUP(PAA_4[[#This Row],[ITEM]],[2]Contrato!A:A,[2]Contrato!T:T,"",0)</f>
        <v>#NAME?</v>
      </c>
      <c r="AB2010" s="55" t="e">
        <f ca="1">+MAX(PAA_4[[#This Row],[Comprometido Contrato]],PAA_4[[#This Row],[Comprometido Bolsa]])</f>
        <v>#NAME?</v>
      </c>
      <c r="AC2010" s="55" t="str">
        <f t="shared" ca="1" si="626"/>
        <v/>
      </c>
      <c r="AD2010" s="55" t="e">
        <f ca="1">IF(PAA_4[[#This Row],[ESTADO (formulado)]]="NO CONTRATADO",0,MAX(PAA_4[[#This Row],[Pago por Contrato]],PAA_4[[#This Row],[Pago por bolsa]]))</f>
        <v>#NAME?</v>
      </c>
      <c r="AE2010" s="55" t="str">
        <f t="shared" ca="1" si="627"/>
        <v/>
      </c>
      <c r="AF2010" s="47" t="e">
        <f t="shared" ca="1" si="628"/>
        <v>#NAME?</v>
      </c>
      <c r="AG2010" s="47">
        <f t="shared" si="629"/>
        <v>52010803</v>
      </c>
      <c r="AH2010" s="54">
        <f>IF(Q2010="22",IF(ISNUMBER(SEARCH("econ",PAA_4[[#This Row],[Actividad3]])),"Económico",IF(ISNUMBER(SEARCH("alim",PAA_4[[#This Row],[Actividad3]])),"Alimentación",IF(ISNUMBER(SEARCH("educ",PAA_4[[#This Row],[Actividad3]])),"Educativo","Técnico"))),0)</f>
        <v>0</v>
      </c>
      <c r="AI2010" s="47" t="e" cm="1">
        <f t="array" aca="1" ref="AI2010" ca="1">_xlfn.XLOOKUP(PAA_4[[#This Row],[RCP-RUBRO]],[2]!COMPROMISOS_2024[[#All],[concatenado]],[2]!COMPROMISOS_2024[[#All],[Total pagado]],"",0)</f>
        <v>#NAME?</v>
      </c>
      <c r="AJ2010" s="56">
        <f>IF(PAA_4[[#This Row],[BOLSA]]=0,0,SUMIFS([2]!COMPROMISOS_2024[[#All],[Total pagado]],[2]!COMPROMISOS_2024[[#All],[Bolsa]],PAA_4[[#This Row],[BOLSA]],[2]!COMPROMISOS_2024[[#All],[rubro]],PAA_4[[#This Row],[RCP-RUBRO]]))</f>
        <v>0</v>
      </c>
      <c r="AK2010" s="47" t="e" cm="1">
        <f t="array" aca="1" ref="AK2010" ca="1">_xlfn.XLOOKUP(PAA_4[[#This Row],[RCP-RUBRO]],[2]!COMPROMISOS_2024[[#All],[concatenado]],[2]!COMPROMISOS_2024[[#All],[Total Comprometido]],"",0)</f>
        <v>#NAME?</v>
      </c>
      <c r="AL2010" s="47">
        <f>IF(PAA_4[[#This Row],[BOLSA]]=0,0,SUMIFS([2]!COMPROMISOS_2024[[#All],[Total Comprometido]],[2]!COMPROMISOS_2024[[#All],[Bolsa]],PAA_4[[#This Row],[BOLSA]],[2]!COMPROMISOS_2024[[#All],[concatenado]],PAA_4[[#This Row],[RCP-RUBRO]]))</f>
        <v>0</v>
      </c>
    </row>
    <row r="2011" spans="1:38" s="19" customFormat="1" ht="31.5" customHeight="1">
      <c r="A2011" s="47">
        <v>1087</v>
      </c>
      <c r="B2011" s="47">
        <v>84131600</v>
      </c>
      <c r="C2011" s="47" t="str">
        <f>VLOOKUP(PAA_4[[#This Row],[PROYECTO (formulado)2]],[2]PROYECTOS!$G$1:$L$32,6,0)</f>
        <v>SUBGERENCIA DE ALTOS LOGROS Y DEPORTE ASOCIADO</v>
      </c>
      <c r="D2011" s="47" t="str">
        <f>+IF(PAA_4[[#This Row],[UNIDAD DE CONTRATACION (formulado)]]="Subgerencia Administrativa y Financiera","FUNCIONAMIENTO","INVERSIÓN")</f>
        <v>INVERSIÓN</v>
      </c>
      <c r="E2011" s="48" t="str">
        <f>VLOOKUP(Q2011,[2]PROYECTOS!$G$1:$K$32,5,0)</f>
        <v>Apoyo y subvención para satisfacer necesidades propias del proceso de preparación y competencia de los Atletas y Para-atletas de alto rendimiento del departamento de Antioquia</v>
      </c>
      <c r="F2011" s="48">
        <f>VLOOKUP(E2011,[2]PROYECTOS!$K$1:$M$32,3,0)</f>
        <v>2024003050085</v>
      </c>
      <c r="G2011" s="67" t="s">
        <v>2216</v>
      </c>
      <c r="H2011" s="49" t="str">
        <f>VLOOKUP(Q2011,[2]PROYECTOS!$V$1:$W$32,2,0)</f>
        <v>050077</v>
      </c>
      <c r="I2011" s="78">
        <f>84164384-2630137</f>
        <v>81534247</v>
      </c>
      <c r="J2011" s="51" t="s">
        <v>2219</v>
      </c>
      <c r="K2011" s="47" t="str">
        <f t="shared" ca="1" si="623"/>
        <v>CONTRATADO</v>
      </c>
      <c r="L2011" s="47" t="s">
        <v>94</v>
      </c>
      <c r="M2011" s="47" t="s">
        <v>89</v>
      </c>
      <c r="N2011" s="52" t="s">
        <v>2218</v>
      </c>
      <c r="O2011" s="51" t="e">
        <f>VLOOKUP(N2011,[2]!RUBROS[#All],3,0)</f>
        <v>#REF!</v>
      </c>
      <c r="P2011" s="53" t="e">
        <f>VLOOKUP(N2011,[2]!RUBROS[#All],2,0)</f>
        <v>#REF!</v>
      </c>
      <c r="Q2011" s="47" t="str">
        <f t="shared" si="624"/>
        <v>85</v>
      </c>
      <c r="R2011" s="47" t="str">
        <f t="shared" si="625"/>
        <v>4-101124</v>
      </c>
      <c r="S2011" s="339">
        <v>64</v>
      </c>
      <c r="T2011" s="63" t="s">
        <v>120</v>
      </c>
      <c r="U2011" s="326" t="e">
        <f ca="1">_xlfn.XLOOKUP(PAA_4[[#This Row],[ITEM]],[2]Contrato!A:A,[2]Contrato!Q:Q,"",0)</f>
        <v>#NAME?</v>
      </c>
      <c r="V2011" s="47" t="s">
        <v>95</v>
      </c>
      <c r="W2011" s="47" t="s">
        <v>194</v>
      </c>
      <c r="X2011" s="47" t="s">
        <v>203</v>
      </c>
      <c r="Y2011" s="55" t="e">
        <f ca="1">_xlfn.XLOOKUP(PAA_4[[#This Row],[ITEM]],[2]Contrato!A:A,[2]Contrato!B:B,"",0)</f>
        <v>#NAME?</v>
      </c>
      <c r="Z2011" s="47" t="e">
        <f ca="1">_xlfn.XLOOKUP(PAA_4[[#This Row],[ITEM]],[2]Contrato!A:A,[2]Contrato!G:G,"",0)</f>
        <v>#NAME?</v>
      </c>
      <c r="AA2011" s="47" t="e">
        <f ca="1">_xlfn.XLOOKUP(PAA_4[[#This Row],[ITEM]],[2]Contrato!A:A,[2]Contrato!T:T,"",0)</f>
        <v>#NAME?</v>
      </c>
      <c r="AB2011" s="55" t="e">
        <f ca="1">+MAX(PAA_4[[#This Row],[Comprometido Contrato]],PAA_4[[#This Row],[Comprometido Bolsa]])</f>
        <v>#NAME?</v>
      </c>
      <c r="AC2011" s="55" t="str">
        <f t="shared" ca="1" si="626"/>
        <v/>
      </c>
      <c r="AD2011" s="55" t="e">
        <f ca="1">IF(PAA_4[[#This Row],[ESTADO (formulado)]]="NO CONTRATADO",0,MAX(PAA_4[[#This Row],[Pago por Contrato]],PAA_4[[#This Row],[Pago por bolsa]]))</f>
        <v>#NAME?</v>
      </c>
      <c r="AE2011" s="55" t="str">
        <f t="shared" ca="1" si="627"/>
        <v/>
      </c>
      <c r="AF2011" s="47" t="e">
        <f t="shared" ca="1" si="628"/>
        <v>#NAME?</v>
      </c>
      <c r="AG2011" s="47">
        <f t="shared" si="629"/>
        <v>52010803</v>
      </c>
      <c r="AH2011" s="54">
        <f>IF(Q2011="22",IF(ISNUMBER(SEARCH("econ",PAA_4[[#This Row],[Actividad3]])),"Económico",IF(ISNUMBER(SEARCH("alim",PAA_4[[#This Row],[Actividad3]])),"Alimentación",IF(ISNUMBER(SEARCH("educ",PAA_4[[#This Row],[Actividad3]])),"Educativo","Técnico"))),0)</f>
        <v>0</v>
      </c>
      <c r="AI2011" s="47" t="e" cm="1">
        <f t="array" aca="1" ref="AI2011" ca="1">_xlfn.XLOOKUP(PAA_4[[#This Row],[RCP-RUBRO]],[2]!COMPROMISOS_2024[[#All],[concatenado]],[2]!COMPROMISOS_2024[[#All],[Total pagado]],"",0)</f>
        <v>#NAME?</v>
      </c>
      <c r="AJ2011" s="56">
        <f>IF(PAA_4[[#This Row],[BOLSA]]=0,0,SUMIFS([2]!COMPROMISOS_2024[[#All],[Total pagado]],[2]!COMPROMISOS_2024[[#All],[Bolsa]],PAA_4[[#This Row],[BOLSA]],[2]!COMPROMISOS_2024[[#All],[rubro]],PAA_4[[#This Row],[RCP-RUBRO]]))</f>
        <v>0</v>
      </c>
      <c r="AK2011" s="47" t="e" cm="1">
        <f t="array" aca="1" ref="AK2011" ca="1">_xlfn.XLOOKUP(PAA_4[[#This Row],[RCP-RUBRO]],[2]!COMPROMISOS_2024[[#All],[concatenado]],[2]!COMPROMISOS_2024[[#All],[Total Comprometido]],"",0)</f>
        <v>#NAME?</v>
      </c>
      <c r="AL2011" s="47">
        <f>IF(PAA_4[[#This Row],[BOLSA]]=0,0,SUMIFS([2]!COMPROMISOS_2024[[#All],[Total Comprometido]],[2]!COMPROMISOS_2024[[#All],[Bolsa]],PAA_4[[#This Row],[BOLSA]],[2]!COMPROMISOS_2024[[#All],[concatenado]],PAA_4[[#This Row],[RCP-RUBRO]]))</f>
        <v>0</v>
      </c>
    </row>
    <row r="2012" spans="1:38" s="19" customFormat="1" ht="31.5" customHeight="1">
      <c r="A2012" s="47">
        <v>1088</v>
      </c>
      <c r="B2012" s="47">
        <v>90141502</v>
      </c>
      <c r="C2012" s="47" t="str">
        <f>VLOOKUP(PAA_4[[#This Row],[PROYECTO (formulado)2]],[2]PROYECTOS!$G$1:$L$32,6,0)</f>
        <v>SUBGERENCIA DE ALTOS LOGROS Y DEPORTE ASOCIADO</v>
      </c>
      <c r="D2012" s="47" t="str">
        <f>+IF(PAA_4[[#This Row],[UNIDAD DE CONTRATACION (formulado)]]="Subgerencia Administrativa y Financiera","FUNCIONAMIENTO","INVERSIÓN")</f>
        <v>INVERSIÓN</v>
      </c>
      <c r="E2012" s="48" t="str">
        <f>VLOOKUP(Q2012,[2]PROYECTOS!$G$1:$K$32,5,0)</f>
        <v>Apoyo económico a las organizaciones deportivas que representan en competencias al departamento de Antioquia</v>
      </c>
      <c r="F2012" s="48">
        <f>VLOOKUP(E2012,[2]PROYECTOS!$K$1:$M$32,3,0)</f>
        <v>2024003050102</v>
      </c>
      <c r="G2012" s="67" t="s">
        <v>1521</v>
      </c>
      <c r="H2012" s="49" t="str">
        <f>VLOOKUP(Q2012,[2]PROYECTOS!$V$1:$W$32,2,0)</f>
        <v>050076</v>
      </c>
      <c r="I2012" s="78">
        <v>300000000</v>
      </c>
      <c r="J2012" s="51" t="s">
        <v>2220</v>
      </c>
      <c r="K2012" s="47" t="str">
        <f t="shared" ca="1" si="623"/>
        <v>CONTRATADO</v>
      </c>
      <c r="L2012" s="47" t="s">
        <v>94</v>
      </c>
      <c r="M2012" s="47" t="s">
        <v>1767</v>
      </c>
      <c r="N2012" s="361" t="s">
        <v>1520</v>
      </c>
      <c r="O2012" s="51" t="e">
        <f>VLOOKUP(N2012,[2]!RUBROS[#All],3,0)</f>
        <v>#REF!</v>
      </c>
      <c r="P2012" s="53" t="e">
        <f>VLOOKUP(N2012,[2]!RUBROS[#All],2,0)</f>
        <v>#REF!</v>
      </c>
      <c r="Q2012" s="47" t="str">
        <f t="shared" si="624"/>
        <v>02</v>
      </c>
      <c r="R2012" s="47" t="str">
        <f t="shared" si="625"/>
        <v>4-101124</v>
      </c>
      <c r="S2012" s="339">
        <v>4</v>
      </c>
      <c r="T2012" s="63" t="s">
        <v>46</v>
      </c>
      <c r="U2012" s="326" t="e">
        <f ca="1">_xlfn.XLOOKUP(PAA_4[[#This Row],[ITEM]],[2]Contrato!A:A,[2]Contrato!Q:Q,"",0)</f>
        <v>#NAME?</v>
      </c>
      <c r="V2012" s="47" t="s">
        <v>95</v>
      </c>
      <c r="W2012" s="47" t="s">
        <v>194</v>
      </c>
      <c r="X2012" s="47" t="s">
        <v>203</v>
      </c>
      <c r="Y2012" s="55" t="e">
        <f ca="1">_xlfn.XLOOKUP(PAA_4[[#This Row],[ITEM]],[2]Contrato!A:A,[2]Contrato!B:B,"",0)</f>
        <v>#NAME?</v>
      </c>
      <c r="Z2012" s="47" t="e">
        <f ca="1">_xlfn.XLOOKUP(PAA_4[[#This Row],[ITEM]],[2]Contrato!A:A,[2]Contrato!G:G,"",0)</f>
        <v>#NAME?</v>
      </c>
      <c r="AA2012" s="47" t="e">
        <f ca="1">_xlfn.XLOOKUP(PAA_4[[#This Row],[ITEM]],[2]Contrato!A:A,[2]Contrato!T:T,"",0)</f>
        <v>#NAME?</v>
      </c>
      <c r="AB2012" s="55" t="e">
        <f ca="1">+MAX(PAA_4[[#This Row],[Comprometido Contrato]],PAA_4[[#This Row],[Comprometido Bolsa]])</f>
        <v>#NAME?</v>
      </c>
      <c r="AC2012" s="55" t="str">
        <f t="shared" ca="1" si="626"/>
        <v/>
      </c>
      <c r="AD2012" s="55" t="e">
        <f ca="1">IF(PAA_4[[#This Row],[ESTADO (formulado)]]="NO CONTRATADO",0,MAX(PAA_4[[#This Row],[Pago por Contrato]],PAA_4[[#This Row],[Pago por bolsa]]))</f>
        <v>#NAME?</v>
      </c>
      <c r="AE2012" s="55" t="str">
        <f t="shared" ca="1" si="627"/>
        <v/>
      </c>
      <c r="AF2012" s="47" t="e">
        <f t="shared" ca="1" si="628"/>
        <v>#NAME?</v>
      </c>
      <c r="AG2012" s="47">
        <f t="shared" si="629"/>
        <v>52010801</v>
      </c>
      <c r="AH2012" s="54">
        <f>IF(Q2012="22",IF(ISNUMBER(SEARCH("econ",PAA_4[[#This Row],[Actividad3]])),"Económico",IF(ISNUMBER(SEARCH("alim",PAA_4[[#This Row],[Actividad3]])),"Alimentación",IF(ISNUMBER(SEARCH("educ",PAA_4[[#This Row],[Actividad3]])),"Educativo","Técnico"))),0)</f>
        <v>0</v>
      </c>
      <c r="AI2012" s="47" t="e" cm="1">
        <f t="array" aca="1" ref="AI2012" ca="1">_xlfn.XLOOKUP(PAA_4[[#This Row],[RCP-RUBRO]],[2]!COMPROMISOS_2024[[#All],[concatenado]],[2]!COMPROMISOS_2024[[#All],[Total pagado]],"",0)</f>
        <v>#NAME?</v>
      </c>
      <c r="AJ2012" s="56">
        <f>IF(PAA_4[[#This Row],[BOLSA]]=0,0,SUMIFS([2]!COMPROMISOS_2024[[#All],[Total pagado]],[2]!COMPROMISOS_2024[[#All],[Bolsa]],PAA_4[[#This Row],[BOLSA]],[2]!COMPROMISOS_2024[[#All],[rubro]],PAA_4[[#This Row],[RCP-RUBRO]]))</f>
        <v>0</v>
      </c>
      <c r="AK2012" s="47" t="e" cm="1">
        <f t="array" aca="1" ref="AK2012" ca="1">_xlfn.XLOOKUP(PAA_4[[#This Row],[RCP-RUBRO]],[2]!COMPROMISOS_2024[[#All],[concatenado]],[2]!COMPROMISOS_2024[[#All],[Total Comprometido]],"",0)</f>
        <v>#NAME?</v>
      </c>
      <c r="AL2012" s="47">
        <f>IF(PAA_4[[#This Row],[BOLSA]]=0,0,SUMIFS([2]!COMPROMISOS_2024[[#All],[Total Comprometido]],[2]!COMPROMISOS_2024[[#All],[Bolsa]],PAA_4[[#This Row],[BOLSA]],[2]!COMPROMISOS_2024[[#All],[concatenado]],PAA_4[[#This Row],[RCP-RUBRO]]))</f>
        <v>0</v>
      </c>
    </row>
    <row r="2013" spans="1:38" s="19" customFormat="1" ht="31.5" customHeight="1">
      <c r="A2013" s="47">
        <v>1089</v>
      </c>
      <c r="B2013" s="47">
        <v>90141502</v>
      </c>
      <c r="C2013" s="47" t="str">
        <f>VLOOKUP(PAA_4[[#This Row],[PROYECTO (formulado)2]],[2]PROYECTOS!$G$1:$L$32,6,0)</f>
        <v>SUBGERENCIA DE ALTOS LOGROS Y DEPORTE ASOCIADO</v>
      </c>
      <c r="D2013" s="47" t="str">
        <f>+IF(PAA_4[[#This Row],[UNIDAD DE CONTRATACION (formulado)]]="Subgerencia Administrativa y Financiera","FUNCIONAMIENTO","INVERSIÓN")</f>
        <v>INVERSIÓN</v>
      </c>
      <c r="E2013" s="48" t="str">
        <f>VLOOKUP(Q2013,[2]PROYECTOS!$G$1:$K$32,5,0)</f>
        <v>Apoyo económico a las organizaciones deportivas que representan en competencias al departamento de Antioquia</v>
      </c>
      <c r="F2013" s="48">
        <f>VLOOKUP(E2013,[2]PROYECTOS!$K$1:$M$32,3,0)</f>
        <v>2024003050102</v>
      </c>
      <c r="G2013" s="67" t="s">
        <v>1521</v>
      </c>
      <c r="H2013" s="49" t="str">
        <f>VLOOKUP(Q2013,[2]PROYECTOS!$V$1:$W$32,2,0)</f>
        <v>050076</v>
      </c>
      <c r="I2013" s="78">
        <v>100000000</v>
      </c>
      <c r="J2013" s="51" t="s">
        <v>2221</v>
      </c>
      <c r="K2013" s="47" t="str">
        <f t="shared" ca="1" si="623"/>
        <v>CONTRATADO</v>
      </c>
      <c r="L2013" s="47" t="s">
        <v>94</v>
      </c>
      <c r="M2013" s="47" t="s">
        <v>1767</v>
      </c>
      <c r="N2013" s="361" t="s">
        <v>1520</v>
      </c>
      <c r="O2013" s="51" t="e">
        <f>VLOOKUP(N2013,[2]!RUBROS[#All],3,0)</f>
        <v>#REF!</v>
      </c>
      <c r="P2013" s="53" t="e">
        <f>VLOOKUP(N2013,[2]!RUBROS[#All],2,0)</f>
        <v>#REF!</v>
      </c>
      <c r="Q2013" s="47" t="str">
        <f t="shared" si="624"/>
        <v>02</v>
      </c>
      <c r="R2013" s="47" t="str">
        <f t="shared" si="625"/>
        <v>4-101124</v>
      </c>
      <c r="S2013" s="339">
        <v>4</v>
      </c>
      <c r="T2013" s="63" t="s">
        <v>46</v>
      </c>
      <c r="U2013" s="326" t="e">
        <f ca="1">_xlfn.XLOOKUP(PAA_4[[#This Row],[ITEM]],[2]Contrato!A:A,[2]Contrato!Q:Q,"",0)</f>
        <v>#NAME?</v>
      </c>
      <c r="V2013" s="47" t="s">
        <v>95</v>
      </c>
      <c r="W2013" s="47" t="s">
        <v>194</v>
      </c>
      <c r="X2013" s="47" t="s">
        <v>203</v>
      </c>
      <c r="Y2013" s="55" t="e">
        <f ca="1">_xlfn.XLOOKUP(PAA_4[[#This Row],[ITEM]],[2]Contrato!A:A,[2]Contrato!B:B,"",0)</f>
        <v>#NAME?</v>
      </c>
      <c r="Z2013" s="47" t="e">
        <f ca="1">_xlfn.XLOOKUP(PAA_4[[#This Row],[ITEM]],[2]Contrato!A:A,[2]Contrato!G:G,"",0)</f>
        <v>#NAME?</v>
      </c>
      <c r="AA2013" s="47" t="e">
        <f ca="1">_xlfn.XLOOKUP(PAA_4[[#This Row],[ITEM]],[2]Contrato!A:A,[2]Contrato!T:T,"",0)</f>
        <v>#NAME?</v>
      </c>
      <c r="AB2013" s="55" t="e">
        <f ca="1">+MAX(PAA_4[[#This Row],[Comprometido Contrato]],PAA_4[[#This Row],[Comprometido Bolsa]])</f>
        <v>#NAME?</v>
      </c>
      <c r="AC2013" s="55" t="str">
        <f t="shared" ca="1" si="626"/>
        <v/>
      </c>
      <c r="AD2013" s="55" t="e">
        <f ca="1">IF(PAA_4[[#This Row],[ESTADO (formulado)]]="NO CONTRATADO",0,MAX(PAA_4[[#This Row],[Pago por Contrato]],PAA_4[[#This Row],[Pago por bolsa]]))</f>
        <v>#NAME?</v>
      </c>
      <c r="AE2013" s="55" t="str">
        <f t="shared" ca="1" si="627"/>
        <v/>
      </c>
      <c r="AF2013" s="47" t="e">
        <f t="shared" ca="1" si="628"/>
        <v>#NAME?</v>
      </c>
      <c r="AG2013" s="47">
        <f t="shared" si="629"/>
        <v>52010801</v>
      </c>
      <c r="AH2013" s="54">
        <f>IF(Q2013="22",IF(ISNUMBER(SEARCH("econ",PAA_4[[#This Row],[Actividad3]])),"Económico",IF(ISNUMBER(SEARCH("alim",PAA_4[[#This Row],[Actividad3]])),"Alimentación",IF(ISNUMBER(SEARCH("educ",PAA_4[[#This Row],[Actividad3]])),"Educativo","Técnico"))),0)</f>
        <v>0</v>
      </c>
      <c r="AI2013" s="47" t="e" cm="1">
        <f t="array" aca="1" ref="AI2013" ca="1">_xlfn.XLOOKUP(PAA_4[[#This Row],[RCP-RUBRO]],[2]!COMPROMISOS_2024[[#All],[concatenado]],[2]!COMPROMISOS_2024[[#All],[Total pagado]],"",0)</f>
        <v>#NAME?</v>
      </c>
      <c r="AJ2013" s="56">
        <f>IF(PAA_4[[#This Row],[BOLSA]]=0,0,SUMIFS([2]!COMPROMISOS_2024[[#All],[Total pagado]],[2]!COMPROMISOS_2024[[#All],[Bolsa]],PAA_4[[#This Row],[BOLSA]],[2]!COMPROMISOS_2024[[#All],[rubro]],PAA_4[[#This Row],[RCP-RUBRO]]))</f>
        <v>0</v>
      </c>
      <c r="AK2013" s="47" t="e" cm="1">
        <f t="array" aca="1" ref="AK2013" ca="1">_xlfn.XLOOKUP(PAA_4[[#This Row],[RCP-RUBRO]],[2]!COMPROMISOS_2024[[#All],[concatenado]],[2]!COMPROMISOS_2024[[#All],[Total Comprometido]],"",0)</f>
        <v>#NAME?</v>
      </c>
      <c r="AL2013" s="47">
        <f>IF(PAA_4[[#This Row],[BOLSA]]=0,0,SUMIFS([2]!COMPROMISOS_2024[[#All],[Total Comprometido]],[2]!COMPROMISOS_2024[[#All],[Bolsa]],PAA_4[[#This Row],[BOLSA]],[2]!COMPROMISOS_2024[[#All],[concatenado]],PAA_4[[#This Row],[RCP-RUBRO]]))</f>
        <v>0</v>
      </c>
    </row>
    <row r="2014" spans="1:38" s="19" customFormat="1" ht="31.5" customHeight="1">
      <c r="A2014" s="47">
        <v>1090</v>
      </c>
      <c r="B2014" s="47">
        <v>90141502</v>
      </c>
      <c r="C2014" s="47" t="str">
        <f>VLOOKUP(PAA_4[[#This Row],[PROYECTO (formulado)2]],[2]PROYECTOS!$G$1:$L$32,6,0)</f>
        <v>SUBGERENCIA DE ALTOS LOGROS Y DEPORTE ASOCIADO</v>
      </c>
      <c r="D2014" s="47" t="str">
        <f>+IF(PAA_4[[#This Row],[UNIDAD DE CONTRATACION (formulado)]]="Subgerencia Administrativa y Financiera","FUNCIONAMIENTO","INVERSIÓN")</f>
        <v>INVERSIÓN</v>
      </c>
      <c r="E2014" s="48" t="str">
        <f>VLOOKUP(Q2014,[2]PROYECTOS!$G$1:$K$32,5,0)</f>
        <v>Apoyo económico a las organizaciones deportivas que representan en competencias al departamento de Antioquia</v>
      </c>
      <c r="F2014" s="48">
        <f>VLOOKUP(E2014,[2]PROYECTOS!$K$1:$M$32,3,0)</f>
        <v>2024003050102</v>
      </c>
      <c r="G2014" s="67" t="s">
        <v>1521</v>
      </c>
      <c r="H2014" s="49" t="str">
        <f>VLOOKUP(Q2014,[2]PROYECTOS!$V$1:$W$32,2,0)</f>
        <v>050076</v>
      </c>
      <c r="I2014" s="78">
        <v>100000000</v>
      </c>
      <c r="J2014" s="51" t="s">
        <v>2222</v>
      </c>
      <c r="K2014" s="47" t="str">
        <f t="shared" ca="1" si="623"/>
        <v>CONTRATADO</v>
      </c>
      <c r="L2014" s="47" t="s">
        <v>94</v>
      </c>
      <c r="M2014" s="47" t="s">
        <v>1767</v>
      </c>
      <c r="N2014" s="361" t="s">
        <v>1520</v>
      </c>
      <c r="O2014" s="51" t="e">
        <f>VLOOKUP(N2014,[2]!RUBROS[#All],3,0)</f>
        <v>#REF!</v>
      </c>
      <c r="P2014" s="53" t="e">
        <f>VLOOKUP(N2014,[2]!RUBROS[#All],2,0)</f>
        <v>#REF!</v>
      </c>
      <c r="Q2014" s="47" t="str">
        <f t="shared" si="624"/>
        <v>02</v>
      </c>
      <c r="R2014" s="47" t="str">
        <f t="shared" si="625"/>
        <v>4-101124</v>
      </c>
      <c r="S2014" s="339">
        <v>4</v>
      </c>
      <c r="T2014" s="63" t="s">
        <v>46</v>
      </c>
      <c r="U2014" s="326" t="e">
        <f ca="1">_xlfn.XLOOKUP(PAA_4[[#This Row],[ITEM]],[2]Contrato!A:A,[2]Contrato!Q:Q,"",0)</f>
        <v>#NAME?</v>
      </c>
      <c r="V2014" s="47" t="s">
        <v>95</v>
      </c>
      <c r="W2014" s="47" t="s">
        <v>194</v>
      </c>
      <c r="X2014" s="47" t="s">
        <v>203</v>
      </c>
      <c r="Y2014" s="55" t="e">
        <f ca="1">_xlfn.XLOOKUP(PAA_4[[#This Row],[ITEM]],[2]Contrato!A:A,[2]Contrato!B:B,"",0)</f>
        <v>#NAME?</v>
      </c>
      <c r="Z2014" s="47" t="e">
        <f ca="1">_xlfn.XLOOKUP(PAA_4[[#This Row],[ITEM]],[2]Contrato!A:A,[2]Contrato!G:G,"",0)</f>
        <v>#NAME?</v>
      </c>
      <c r="AA2014" s="47" t="e">
        <f ca="1">_xlfn.XLOOKUP(PAA_4[[#This Row],[ITEM]],[2]Contrato!A:A,[2]Contrato!T:T,"",0)</f>
        <v>#NAME?</v>
      </c>
      <c r="AB2014" s="55" t="e">
        <f ca="1">+MAX(PAA_4[[#This Row],[Comprometido Contrato]],PAA_4[[#This Row],[Comprometido Bolsa]])</f>
        <v>#NAME?</v>
      </c>
      <c r="AC2014" s="55" t="str">
        <f t="shared" ca="1" si="626"/>
        <v/>
      </c>
      <c r="AD2014" s="55" t="e">
        <f ca="1">IF(PAA_4[[#This Row],[ESTADO (formulado)]]="NO CONTRATADO",0,MAX(PAA_4[[#This Row],[Pago por Contrato]],PAA_4[[#This Row],[Pago por bolsa]]))</f>
        <v>#NAME?</v>
      </c>
      <c r="AE2014" s="55" t="str">
        <f t="shared" ca="1" si="627"/>
        <v/>
      </c>
      <c r="AF2014" s="47" t="e">
        <f t="shared" ca="1" si="628"/>
        <v>#NAME?</v>
      </c>
      <c r="AG2014" s="47">
        <f t="shared" si="629"/>
        <v>52010801</v>
      </c>
      <c r="AH2014" s="54">
        <f>IF(Q2014="22",IF(ISNUMBER(SEARCH("econ",PAA_4[[#This Row],[Actividad3]])),"Económico",IF(ISNUMBER(SEARCH("alim",PAA_4[[#This Row],[Actividad3]])),"Alimentación",IF(ISNUMBER(SEARCH("educ",PAA_4[[#This Row],[Actividad3]])),"Educativo","Técnico"))),0)</f>
        <v>0</v>
      </c>
      <c r="AI2014" s="47" t="e" cm="1">
        <f t="array" aca="1" ref="AI2014" ca="1">_xlfn.XLOOKUP(PAA_4[[#This Row],[RCP-RUBRO]],[2]!COMPROMISOS_2024[[#All],[concatenado]],[2]!COMPROMISOS_2024[[#All],[Total pagado]],"",0)</f>
        <v>#NAME?</v>
      </c>
      <c r="AJ2014" s="56">
        <f>IF(PAA_4[[#This Row],[BOLSA]]=0,0,SUMIFS([2]!COMPROMISOS_2024[[#All],[Total pagado]],[2]!COMPROMISOS_2024[[#All],[Bolsa]],PAA_4[[#This Row],[BOLSA]],[2]!COMPROMISOS_2024[[#All],[rubro]],PAA_4[[#This Row],[RCP-RUBRO]]))</f>
        <v>0</v>
      </c>
      <c r="AK2014" s="47" t="e" cm="1">
        <f t="array" aca="1" ref="AK2014" ca="1">_xlfn.XLOOKUP(PAA_4[[#This Row],[RCP-RUBRO]],[2]!COMPROMISOS_2024[[#All],[concatenado]],[2]!COMPROMISOS_2024[[#All],[Total Comprometido]],"",0)</f>
        <v>#NAME?</v>
      </c>
      <c r="AL2014" s="47">
        <f>IF(PAA_4[[#This Row],[BOLSA]]=0,0,SUMIFS([2]!COMPROMISOS_2024[[#All],[Total Comprometido]],[2]!COMPROMISOS_2024[[#All],[Bolsa]],PAA_4[[#This Row],[BOLSA]],[2]!COMPROMISOS_2024[[#All],[concatenado]],PAA_4[[#This Row],[RCP-RUBRO]]))</f>
        <v>0</v>
      </c>
    </row>
    <row r="2015" spans="1:38" s="19" customFormat="1" ht="31.5" customHeight="1">
      <c r="A2015" s="47">
        <v>1091</v>
      </c>
      <c r="B2015" s="47">
        <v>90141502</v>
      </c>
      <c r="C2015" s="47" t="str">
        <f>VLOOKUP(PAA_4[[#This Row],[PROYECTO (formulado)2]],[2]PROYECTOS!$G$1:$L$32,6,0)</f>
        <v>SUBGERENCIA DE ALTOS LOGROS Y DEPORTE ASOCIADO</v>
      </c>
      <c r="D2015" s="47" t="str">
        <f>+IF(PAA_4[[#This Row],[UNIDAD DE CONTRATACION (formulado)]]="Subgerencia Administrativa y Financiera","FUNCIONAMIENTO","INVERSIÓN")</f>
        <v>INVERSIÓN</v>
      </c>
      <c r="E2015" s="48" t="str">
        <f>VLOOKUP(Q2015,[2]PROYECTOS!$G$1:$K$32,5,0)</f>
        <v>Apoyo económico a las organizaciones deportivas que representan en competencias al departamento de Antioquia</v>
      </c>
      <c r="F2015" s="48">
        <f>VLOOKUP(E2015,[2]PROYECTOS!$K$1:$M$32,3,0)</f>
        <v>2024003050102</v>
      </c>
      <c r="G2015" s="67" t="s">
        <v>1521</v>
      </c>
      <c r="H2015" s="49" t="str">
        <f>VLOOKUP(Q2015,[2]PROYECTOS!$V$1:$W$32,2,0)</f>
        <v>050076</v>
      </c>
      <c r="I2015" s="78">
        <f>68000000-15000000-10600000</f>
        <v>42400000</v>
      </c>
      <c r="J2015" s="51" t="s">
        <v>2223</v>
      </c>
      <c r="K2015" s="47" t="str">
        <f t="shared" ca="1" si="623"/>
        <v>CONTRATADO</v>
      </c>
      <c r="L2015" s="47" t="s">
        <v>94</v>
      </c>
      <c r="M2015" s="47" t="s">
        <v>1767</v>
      </c>
      <c r="N2015" s="361" t="s">
        <v>1520</v>
      </c>
      <c r="O2015" s="51" t="e">
        <f>VLOOKUP(N2015,[2]!RUBROS[#All],3,0)</f>
        <v>#REF!</v>
      </c>
      <c r="P2015" s="53" t="e">
        <f>VLOOKUP(N2015,[2]!RUBROS[#All],2,0)</f>
        <v>#REF!</v>
      </c>
      <c r="Q2015" s="47" t="str">
        <f t="shared" si="624"/>
        <v>02</v>
      </c>
      <c r="R2015" s="47" t="str">
        <f t="shared" si="625"/>
        <v>4-101124</v>
      </c>
      <c r="S2015" s="339">
        <v>100</v>
      </c>
      <c r="T2015" s="63" t="s">
        <v>120</v>
      </c>
      <c r="U2015" s="326" t="e">
        <f ca="1">_xlfn.XLOOKUP(PAA_4[[#This Row],[ITEM]],[2]Contrato!A:A,[2]Contrato!Q:Q,"",0)</f>
        <v>#NAME?</v>
      </c>
      <c r="V2015" s="47" t="s">
        <v>95</v>
      </c>
      <c r="W2015" s="47" t="s">
        <v>194</v>
      </c>
      <c r="X2015" s="47" t="s">
        <v>203</v>
      </c>
      <c r="Y2015" s="55" t="e">
        <f ca="1">_xlfn.XLOOKUP(PAA_4[[#This Row],[ITEM]],[2]Contrato!A:A,[2]Contrato!B:B,"",0)</f>
        <v>#NAME?</v>
      </c>
      <c r="Z2015" s="47" t="e">
        <f ca="1">_xlfn.XLOOKUP(PAA_4[[#This Row],[ITEM]],[2]Contrato!A:A,[2]Contrato!G:G,"",0)</f>
        <v>#NAME?</v>
      </c>
      <c r="AA2015" s="47" t="e">
        <f ca="1">_xlfn.XLOOKUP(PAA_4[[#This Row],[ITEM]],[2]Contrato!A:A,[2]Contrato!T:T,"",0)</f>
        <v>#NAME?</v>
      </c>
      <c r="AB2015" s="55" t="e">
        <f ca="1">+MAX(PAA_4[[#This Row],[Comprometido Contrato]],PAA_4[[#This Row],[Comprometido Bolsa]])</f>
        <v>#NAME?</v>
      </c>
      <c r="AC2015" s="55" t="str">
        <f t="shared" ca="1" si="626"/>
        <v/>
      </c>
      <c r="AD2015" s="55" t="e">
        <f ca="1">IF(PAA_4[[#This Row],[ESTADO (formulado)]]="NO CONTRATADO",0,MAX(PAA_4[[#This Row],[Pago por Contrato]],PAA_4[[#This Row],[Pago por bolsa]]))</f>
        <v>#NAME?</v>
      </c>
      <c r="AE2015" s="55" t="str">
        <f t="shared" ca="1" si="627"/>
        <v/>
      </c>
      <c r="AF2015" s="47" t="e">
        <f t="shared" ca="1" si="628"/>
        <v>#NAME?</v>
      </c>
      <c r="AG2015" s="47">
        <f t="shared" si="629"/>
        <v>52010801</v>
      </c>
      <c r="AH2015" s="54">
        <f>IF(Q2015="22",IF(ISNUMBER(SEARCH("econ",PAA_4[[#This Row],[Actividad3]])),"Económico",IF(ISNUMBER(SEARCH("alim",PAA_4[[#This Row],[Actividad3]])),"Alimentación",IF(ISNUMBER(SEARCH("educ",PAA_4[[#This Row],[Actividad3]])),"Educativo","Técnico"))),0)</f>
        <v>0</v>
      </c>
      <c r="AI2015" s="47" t="e" cm="1">
        <f t="array" aca="1" ref="AI2015" ca="1">_xlfn.XLOOKUP(PAA_4[[#This Row],[RCP-RUBRO]],[2]!COMPROMISOS_2024[[#All],[concatenado]],[2]!COMPROMISOS_2024[[#All],[Total pagado]],"",0)</f>
        <v>#NAME?</v>
      </c>
      <c r="AJ2015" s="56">
        <f>IF(PAA_4[[#This Row],[BOLSA]]=0,0,SUMIFS([2]!COMPROMISOS_2024[[#All],[Total pagado]],[2]!COMPROMISOS_2024[[#All],[Bolsa]],PAA_4[[#This Row],[BOLSA]],[2]!COMPROMISOS_2024[[#All],[rubro]],PAA_4[[#This Row],[RCP-RUBRO]]))</f>
        <v>0</v>
      </c>
      <c r="AK2015" s="47" t="e" cm="1">
        <f t="array" aca="1" ref="AK2015" ca="1">_xlfn.XLOOKUP(PAA_4[[#This Row],[RCP-RUBRO]],[2]!COMPROMISOS_2024[[#All],[concatenado]],[2]!COMPROMISOS_2024[[#All],[Total Comprometido]],"",0)</f>
        <v>#NAME?</v>
      </c>
      <c r="AL2015" s="47">
        <f>IF(PAA_4[[#This Row],[BOLSA]]=0,0,SUMIFS([2]!COMPROMISOS_2024[[#All],[Total Comprometido]],[2]!COMPROMISOS_2024[[#All],[Bolsa]],PAA_4[[#This Row],[BOLSA]],[2]!COMPROMISOS_2024[[#All],[concatenado]],PAA_4[[#This Row],[RCP-RUBRO]]))</f>
        <v>0</v>
      </c>
    </row>
    <row r="2016" spans="1:38" s="19" customFormat="1" ht="31.5" customHeight="1">
      <c r="A2016" s="47">
        <v>1092</v>
      </c>
      <c r="B2016" s="47">
        <v>90141502</v>
      </c>
      <c r="C2016" s="47" t="str">
        <f>VLOOKUP(PAA_4[[#This Row],[PROYECTO (formulado)2]],[2]PROYECTOS!$G$1:$L$32,6,0)</f>
        <v>SUBGERENCIA DE ALTOS LOGROS Y DEPORTE ASOCIADO</v>
      </c>
      <c r="D2016" s="47" t="str">
        <f>+IF(PAA_4[[#This Row],[UNIDAD DE CONTRATACION (formulado)]]="Subgerencia Administrativa y Financiera","FUNCIONAMIENTO","INVERSIÓN")</f>
        <v>INVERSIÓN</v>
      </c>
      <c r="E2016" s="48" t="str">
        <f>VLOOKUP(Q2016,[2]PROYECTOS!$G$1:$K$32,5,0)</f>
        <v>Apoyo económico a las organizaciones deportivas que representan en competencias al departamento de Antioquia</v>
      </c>
      <c r="F2016" s="48">
        <f>VLOOKUP(E2016,[2]PROYECTOS!$K$1:$M$32,3,0)</f>
        <v>2024003050102</v>
      </c>
      <c r="G2016" s="67" t="s">
        <v>1521</v>
      </c>
      <c r="H2016" s="49" t="str">
        <f>VLOOKUP(Q2016,[2]PROYECTOS!$V$1:$W$32,2,0)</f>
        <v>050076</v>
      </c>
      <c r="I2016" s="78">
        <v>40000000</v>
      </c>
      <c r="J2016" s="51" t="s">
        <v>2224</v>
      </c>
      <c r="K2016" s="47" t="str">
        <f t="shared" ca="1" si="623"/>
        <v>CONTRATADO</v>
      </c>
      <c r="L2016" s="47" t="s">
        <v>94</v>
      </c>
      <c r="M2016" s="47" t="s">
        <v>1767</v>
      </c>
      <c r="N2016" s="361" t="s">
        <v>1520</v>
      </c>
      <c r="O2016" s="51" t="e">
        <f>VLOOKUP(N2016,[2]!RUBROS[#All],3,0)</f>
        <v>#REF!</v>
      </c>
      <c r="P2016" s="53" t="e">
        <f>VLOOKUP(N2016,[2]!RUBROS[#All],2,0)</f>
        <v>#REF!</v>
      </c>
      <c r="Q2016" s="47" t="str">
        <f t="shared" si="624"/>
        <v>02</v>
      </c>
      <c r="R2016" s="47" t="str">
        <f t="shared" si="625"/>
        <v>4-101124</v>
      </c>
      <c r="S2016" s="339">
        <v>4</v>
      </c>
      <c r="T2016" s="63" t="s">
        <v>46</v>
      </c>
      <c r="U2016" s="326" t="e">
        <f ca="1">_xlfn.XLOOKUP(PAA_4[[#This Row],[ITEM]],[2]Contrato!A:A,[2]Contrato!Q:Q,"",0)</f>
        <v>#NAME?</v>
      </c>
      <c r="V2016" s="47" t="s">
        <v>95</v>
      </c>
      <c r="W2016" s="47" t="s">
        <v>194</v>
      </c>
      <c r="X2016" s="47" t="s">
        <v>203</v>
      </c>
      <c r="Y2016" s="55" t="e">
        <f ca="1">_xlfn.XLOOKUP(PAA_4[[#This Row],[ITEM]],[2]Contrato!A:A,[2]Contrato!B:B,"",0)</f>
        <v>#NAME?</v>
      </c>
      <c r="Z2016" s="47" t="e">
        <f ca="1">_xlfn.XLOOKUP(PAA_4[[#This Row],[ITEM]],[2]Contrato!A:A,[2]Contrato!G:G,"",0)</f>
        <v>#NAME?</v>
      </c>
      <c r="AA2016" s="47" t="e">
        <f ca="1">_xlfn.XLOOKUP(PAA_4[[#This Row],[ITEM]],[2]Contrato!A:A,[2]Contrato!T:T,"",0)</f>
        <v>#NAME?</v>
      </c>
      <c r="AB2016" s="55" t="e">
        <f ca="1">+MAX(PAA_4[[#This Row],[Comprometido Contrato]],PAA_4[[#This Row],[Comprometido Bolsa]])</f>
        <v>#NAME?</v>
      </c>
      <c r="AC2016" s="55" t="str">
        <f t="shared" ca="1" si="626"/>
        <v/>
      </c>
      <c r="AD2016" s="55" t="e">
        <f ca="1">IF(PAA_4[[#This Row],[ESTADO (formulado)]]="NO CONTRATADO",0,MAX(PAA_4[[#This Row],[Pago por Contrato]],PAA_4[[#This Row],[Pago por bolsa]]))</f>
        <v>#NAME?</v>
      </c>
      <c r="AE2016" s="55" t="str">
        <f t="shared" ca="1" si="627"/>
        <v/>
      </c>
      <c r="AF2016" s="47" t="e">
        <f t="shared" ca="1" si="628"/>
        <v>#NAME?</v>
      </c>
      <c r="AG2016" s="47">
        <f t="shared" si="629"/>
        <v>52010801</v>
      </c>
      <c r="AH2016" s="54">
        <f>IF(Q2016="22",IF(ISNUMBER(SEARCH("econ",PAA_4[[#This Row],[Actividad3]])),"Económico",IF(ISNUMBER(SEARCH("alim",PAA_4[[#This Row],[Actividad3]])),"Alimentación",IF(ISNUMBER(SEARCH("educ",PAA_4[[#This Row],[Actividad3]])),"Educativo","Técnico"))),0)</f>
        <v>0</v>
      </c>
      <c r="AI2016" s="47" t="e" cm="1">
        <f t="array" aca="1" ref="AI2016" ca="1">_xlfn.XLOOKUP(PAA_4[[#This Row],[RCP-RUBRO]],[2]!COMPROMISOS_2024[[#All],[concatenado]],[2]!COMPROMISOS_2024[[#All],[Total pagado]],"",0)</f>
        <v>#NAME?</v>
      </c>
      <c r="AJ2016" s="56">
        <f>IF(PAA_4[[#This Row],[BOLSA]]=0,0,SUMIFS([2]!COMPROMISOS_2024[[#All],[Total pagado]],[2]!COMPROMISOS_2024[[#All],[Bolsa]],PAA_4[[#This Row],[BOLSA]],[2]!COMPROMISOS_2024[[#All],[rubro]],PAA_4[[#This Row],[RCP-RUBRO]]))</f>
        <v>0</v>
      </c>
      <c r="AK2016" s="47" t="e" cm="1">
        <f t="array" aca="1" ref="AK2016" ca="1">_xlfn.XLOOKUP(PAA_4[[#This Row],[RCP-RUBRO]],[2]!COMPROMISOS_2024[[#All],[concatenado]],[2]!COMPROMISOS_2024[[#All],[Total Comprometido]],"",0)</f>
        <v>#NAME?</v>
      </c>
      <c r="AL2016" s="47">
        <f>IF(PAA_4[[#This Row],[BOLSA]]=0,0,SUMIFS([2]!COMPROMISOS_2024[[#All],[Total Comprometido]],[2]!COMPROMISOS_2024[[#All],[Bolsa]],PAA_4[[#This Row],[BOLSA]],[2]!COMPROMISOS_2024[[#All],[concatenado]],PAA_4[[#This Row],[RCP-RUBRO]]))</f>
        <v>0</v>
      </c>
    </row>
    <row r="2017" spans="1:38" s="19" customFormat="1" ht="31.5" customHeight="1">
      <c r="A2017" s="47" t="s">
        <v>82</v>
      </c>
      <c r="B2017" s="47" t="s">
        <v>42</v>
      </c>
      <c r="C2017" s="47" t="str">
        <f>VLOOKUP(PAA_4[[#This Row],[PROYECTO (formulado)2]],[2]PROYECTOS!$G$1:$L$32,6,0)</f>
        <v>SUBGERENCIA DE ALTOS LOGROS Y DEPORTE ASOCIADO</v>
      </c>
      <c r="D2017" s="47" t="str">
        <f>+IF(PAA_4[[#This Row],[UNIDAD DE CONTRATACION (formulado)]]="Subgerencia Administrativa y Financiera","FUNCIONAMIENTO","INVERSIÓN")</f>
        <v>INVERSIÓN</v>
      </c>
      <c r="E2017" s="48" t="str">
        <f>VLOOKUP(Q2017,[2]PROYECTOS!$G$1:$K$32,5,0)</f>
        <v>Apoyo y subvención para satisfacer necesidades propias del proceso de preparación y competencia de los Atletas y Para-atletas de alto rendimiento del departamento de Antioquia</v>
      </c>
      <c r="F2017" s="48">
        <f>VLOOKUP(E2017,[2]PROYECTOS!$K$1:$M$32,3,0)</f>
        <v>2024003050085</v>
      </c>
      <c r="G2017" s="67" t="s">
        <v>2216</v>
      </c>
      <c r="H2017" s="49" t="str">
        <f>VLOOKUP(Q2017,[2]PROYECTOS!$V$1:$W$32,2,0)</f>
        <v>050077</v>
      </c>
      <c r="I2017" s="78">
        <v>145901250</v>
      </c>
      <c r="J2017" s="51" t="s">
        <v>2132</v>
      </c>
      <c r="K2017" s="47" t="str">
        <f t="shared" ca="1" si="623"/>
        <v>CONTRATADO</v>
      </c>
      <c r="L2017" s="47" t="s">
        <v>42</v>
      </c>
      <c r="M2017" s="51" t="s">
        <v>42</v>
      </c>
      <c r="N2017" s="52" t="s">
        <v>2218</v>
      </c>
      <c r="O2017" s="51" t="e">
        <f>VLOOKUP(N2017,[2]!RUBROS[#All],3,0)</f>
        <v>#REF!</v>
      </c>
      <c r="P2017" s="53" t="e">
        <f>VLOOKUP(N2017,[2]!RUBROS[#All],2,0)</f>
        <v>#REF!</v>
      </c>
      <c r="Q2017" s="47" t="str">
        <f t="shared" si="624"/>
        <v>85</v>
      </c>
      <c r="R2017" s="47" t="str">
        <f t="shared" si="625"/>
        <v>4-101124</v>
      </c>
      <c r="S2017" s="339" t="s">
        <v>42</v>
      </c>
      <c r="T2017" s="339" t="s">
        <v>42</v>
      </c>
      <c r="U2017" s="326" t="e">
        <f ca="1">_xlfn.XLOOKUP(PAA_4[[#This Row],[ITEM]],[2]Contrato!A:A,[2]Contrato!Q:Q,"",0)</f>
        <v>#NAME?</v>
      </c>
      <c r="V2017" s="47" t="s">
        <v>42</v>
      </c>
      <c r="W2017" s="47" t="s">
        <v>42</v>
      </c>
      <c r="X2017" s="47" t="s">
        <v>42</v>
      </c>
      <c r="Y2017" s="55" t="e">
        <f ca="1">_xlfn.XLOOKUP(PAA_4[[#This Row],[ITEM]],[2]Contrato!A:A,[2]Contrato!B:B,"",0)</f>
        <v>#NAME?</v>
      </c>
      <c r="Z2017" s="47" t="e">
        <f ca="1">_xlfn.XLOOKUP(PAA_4[[#This Row],[ITEM]],[2]Contrato!A:A,[2]Contrato!G:G,"",0)</f>
        <v>#NAME?</v>
      </c>
      <c r="AA2017" s="47" t="e">
        <f ca="1">_xlfn.XLOOKUP(PAA_4[[#This Row],[ITEM]],[2]Contrato!A:A,[2]Contrato!T:T,"",0)</f>
        <v>#NAME?</v>
      </c>
      <c r="AB2017" s="55" t="e">
        <f ca="1">+MAX(PAA_4[[#This Row],[Comprometido Contrato]],PAA_4[[#This Row],[Comprometido Bolsa]])</f>
        <v>#NAME?</v>
      </c>
      <c r="AC2017" s="55" t="str">
        <f t="shared" ca="1" si="626"/>
        <v/>
      </c>
      <c r="AD2017" s="55" t="e">
        <f ca="1">IF(PAA_4[[#This Row],[ESTADO (formulado)]]="NO CONTRATADO",0,MAX(PAA_4[[#This Row],[Pago por Contrato]],PAA_4[[#This Row],[Pago por bolsa]]))</f>
        <v>#NAME?</v>
      </c>
      <c r="AE2017" s="55" t="str">
        <f t="shared" ca="1" si="627"/>
        <v/>
      </c>
      <c r="AF2017" s="47" t="e">
        <f t="shared" ca="1" si="628"/>
        <v>#NAME?</v>
      </c>
      <c r="AG2017" s="47">
        <f t="shared" si="629"/>
        <v>52010803</v>
      </c>
      <c r="AH2017" s="54">
        <f>IF(Q2017="22",IF(ISNUMBER(SEARCH("econ",PAA_4[[#This Row],[Actividad3]])),"Económico",IF(ISNUMBER(SEARCH("alim",PAA_4[[#This Row],[Actividad3]])),"Alimentación",IF(ISNUMBER(SEARCH("educ",PAA_4[[#This Row],[Actividad3]])),"Educativo","Técnico"))),0)</f>
        <v>0</v>
      </c>
      <c r="AI2017" s="47" t="e" cm="1">
        <f t="array" aca="1" ref="AI2017" ca="1">_xlfn.XLOOKUP(PAA_4[[#This Row],[RCP-RUBRO]],[2]!COMPROMISOS_2024[[#All],[concatenado]],[2]!COMPROMISOS_2024[[#All],[Total pagado]],"",0)</f>
        <v>#NAME?</v>
      </c>
      <c r="AJ2017" s="56">
        <f>IF(PAA_4[[#This Row],[BOLSA]]=0,0,SUMIFS([2]!COMPROMISOS_2024[[#All],[Total pagado]],[2]!COMPROMISOS_2024[[#All],[Bolsa]],PAA_4[[#This Row],[BOLSA]],[2]!COMPROMISOS_2024[[#All],[rubro]],PAA_4[[#This Row],[RCP-RUBRO]]))</f>
        <v>0</v>
      </c>
      <c r="AK2017" s="47" t="e" cm="1">
        <f t="array" aca="1" ref="AK2017" ca="1">_xlfn.XLOOKUP(PAA_4[[#This Row],[RCP-RUBRO]],[2]!COMPROMISOS_2024[[#All],[concatenado]],[2]!COMPROMISOS_2024[[#All],[Total Comprometido]],"",0)</f>
        <v>#NAME?</v>
      </c>
      <c r="AL2017" s="47">
        <f>IF(PAA_4[[#This Row],[BOLSA]]=0,0,SUMIFS([2]!COMPROMISOS_2024[[#All],[Total Comprometido]],[2]!COMPROMISOS_2024[[#All],[Bolsa]],PAA_4[[#This Row],[BOLSA]],[2]!COMPROMISOS_2024[[#All],[concatenado]],PAA_4[[#This Row],[RCP-RUBRO]]))</f>
        <v>0</v>
      </c>
    </row>
    <row r="2018" spans="1:38" s="19" customFormat="1" ht="31.5" customHeight="1">
      <c r="A2018" s="47">
        <v>1037</v>
      </c>
      <c r="B2018" s="47">
        <v>84131600</v>
      </c>
      <c r="C2018" s="47" t="str">
        <f>VLOOKUP(PAA_4[[#This Row],[PROYECTO (formulado)2]],[2]PROYECTOS!$G$1:$L$32,6,0)</f>
        <v>SUBGERENCIA DE ALTOS LOGROS Y DEPORTE ASOCIADO</v>
      </c>
      <c r="D2018" s="47" t="str">
        <f>+IF(PAA_4[[#This Row],[UNIDAD DE CONTRATACION (formulado)]]="Subgerencia Administrativa y Financiera","FUNCIONAMIENTO","INVERSIÓN")</f>
        <v>INVERSIÓN</v>
      </c>
      <c r="E2018" s="48" t="str">
        <f>VLOOKUP(Q2018,[2]PROYECTOS!$G$1:$K$32,5,0)</f>
        <v>Apoyo y subvención para satisfacer necesidades propias del proceso de preparación y competencia de los Atletas y Para-atletas de alto rendimiento del departamento de Antioquia</v>
      </c>
      <c r="F2018" s="48">
        <f>VLOOKUP(E2018,[2]PROYECTOS!$K$1:$M$32,3,0)</f>
        <v>2024003050085</v>
      </c>
      <c r="G2018" s="67" t="s">
        <v>2216</v>
      </c>
      <c r="H2018" s="49" t="str">
        <f>VLOOKUP(Q2018,[2]PROYECTOS!$V$1:$W$32,2,0)</f>
        <v>050077</v>
      </c>
      <c r="I2018" s="78">
        <f>622586250-145901250</f>
        <v>476685000</v>
      </c>
      <c r="J2018" s="51" t="s">
        <v>1412</v>
      </c>
      <c r="K2018" s="47" t="str">
        <f t="shared" ca="1" si="623"/>
        <v>CONTRATADO</v>
      </c>
      <c r="L2018" s="47" t="s">
        <v>94</v>
      </c>
      <c r="M2018" s="47" t="s">
        <v>89</v>
      </c>
      <c r="N2018" s="52" t="s">
        <v>2218</v>
      </c>
      <c r="O2018" s="51" t="e">
        <f>VLOOKUP(N2018,[2]!RUBROS[#All],3,0)</f>
        <v>#REF!</v>
      </c>
      <c r="P2018" s="53" t="e">
        <f>VLOOKUP(N2018,[2]!RUBROS[#All],2,0)</f>
        <v>#REF!</v>
      </c>
      <c r="Q2018" s="47" t="str">
        <f t="shared" si="624"/>
        <v>85</v>
      </c>
      <c r="R2018" s="47" t="str">
        <f t="shared" si="625"/>
        <v>4-101124</v>
      </c>
      <c r="S2018" s="339">
        <v>1</v>
      </c>
      <c r="T2018" s="59" t="s">
        <v>258</v>
      </c>
      <c r="U2018" s="326" t="e">
        <f ca="1">_xlfn.XLOOKUP(PAA_4[[#This Row],[ITEM]],[2]Contrato!A:A,[2]Contrato!Q:Q,"",0)</f>
        <v>#NAME?</v>
      </c>
      <c r="V2018" s="47" t="s">
        <v>95</v>
      </c>
      <c r="W2018" s="47" t="s">
        <v>203</v>
      </c>
      <c r="X2018" s="47" t="s">
        <v>203</v>
      </c>
      <c r="Y2018" s="55" t="e">
        <f ca="1">_xlfn.XLOOKUP(PAA_4[[#This Row],[ITEM]],[2]Contrato!A:A,[2]Contrato!B:B,"",0)</f>
        <v>#NAME?</v>
      </c>
      <c r="Z2018" s="47" t="e">
        <f ca="1">_xlfn.XLOOKUP(PAA_4[[#This Row],[ITEM]],[2]Contrato!A:A,[2]Contrato!G:G,"",0)</f>
        <v>#NAME?</v>
      </c>
      <c r="AA2018" s="47" t="e">
        <f ca="1">_xlfn.XLOOKUP(PAA_4[[#This Row],[ITEM]],[2]Contrato!A:A,[2]Contrato!T:T,"",0)</f>
        <v>#NAME?</v>
      </c>
      <c r="AB2018" s="55" t="e">
        <f ca="1">+MAX(PAA_4[[#This Row],[Comprometido Contrato]],PAA_4[[#This Row],[Comprometido Bolsa]])</f>
        <v>#NAME?</v>
      </c>
      <c r="AC2018" s="55" t="str">
        <f t="shared" ca="1" si="626"/>
        <v/>
      </c>
      <c r="AD2018" s="55" t="e">
        <f ca="1">IF(PAA_4[[#This Row],[ESTADO (formulado)]]="NO CONTRATADO",0,MAX(PAA_4[[#This Row],[Pago por Contrato]],PAA_4[[#This Row],[Pago por bolsa]]))</f>
        <v>#NAME?</v>
      </c>
      <c r="AE2018" s="55" t="str">
        <f t="shared" ca="1" si="627"/>
        <v/>
      </c>
      <c r="AF2018" s="47" t="e">
        <f t="shared" ca="1" si="628"/>
        <v>#NAME?</v>
      </c>
      <c r="AG2018" s="47">
        <f t="shared" si="629"/>
        <v>52010803</v>
      </c>
      <c r="AH2018" s="54">
        <f>IF(Q2018="22",IF(ISNUMBER(SEARCH("econ",PAA_4[[#This Row],[Actividad3]])),"Económico",IF(ISNUMBER(SEARCH("alim",PAA_4[[#This Row],[Actividad3]])),"Alimentación",IF(ISNUMBER(SEARCH("educ",PAA_4[[#This Row],[Actividad3]])),"Educativo","Técnico"))),0)</f>
        <v>0</v>
      </c>
      <c r="AI2018" s="47" t="e" cm="1">
        <f t="array" aca="1" ref="AI2018" ca="1">_xlfn.XLOOKUP(PAA_4[[#This Row],[RCP-RUBRO]],[2]!COMPROMISOS_2024[[#All],[concatenado]],[2]!COMPROMISOS_2024[[#All],[Total pagado]],"",0)</f>
        <v>#NAME?</v>
      </c>
      <c r="AJ2018" s="56">
        <f>IF(PAA_4[[#This Row],[BOLSA]]=0,0,SUMIFS([2]!COMPROMISOS_2024[[#All],[Total pagado]],[2]!COMPROMISOS_2024[[#All],[Bolsa]],PAA_4[[#This Row],[BOLSA]],[2]!COMPROMISOS_2024[[#All],[rubro]],PAA_4[[#This Row],[RCP-RUBRO]]))</f>
        <v>0</v>
      </c>
      <c r="AK2018" s="47" t="e" cm="1">
        <f t="array" aca="1" ref="AK2018" ca="1">_xlfn.XLOOKUP(PAA_4[[#This Row],[RCP-RUBRO]],[2]!COMPROMISOS_2024[[#All],[concatenado]],[2]!COMPROMISOS_2024[[#All],[Total Comprometido]],"",0)</f>
        <v>#NAME?</v>
      </c>
      <c r="AL2018" s="47">
        <f>IF(PAA_4[[#This Row],[BOLSA]]=0,0,SUMIFS([2]!COMPROMISOS_2024[[#All],[Total Comprometido]],[2]!COMPROMISOS_2024[[#All],[Bolsa]],PAA_4[[#This Row],[BOLSA]],[2]!COMPROMISOS_2024[[#All],[concatenado]],PAA_4[[#This Row],[RCP-RUBRO]]))</f>
        <v>0</v>
      </c>
    </row>
    <row r="2019" spans="1:38" s="19" customFormat="1" ht="31.5" customHeight="1">
      <c r="A2019" s="47">
        <v>1035</v>
      </c>
      <c r="B2019" s="51" t="s">
        <v>2209</v>
      </c>
      <c r="C2019" s="47" t="str">
        <f>VLOOKUP(PAA_4[[#This Row],[PROYECTO (formulado)2]],[2]PROYECTOS!$G$1:$L$32,6,0)</f>
        <v>SUBGERENCIA DE ALTOS LOGROS Y DEPORTE ASOCIADO</v>
      </c>
      <c r="D2019" s="47" t="str">
        <f>+IF(PAA_4[[#This Row],[UNIDAD DE CONTRATACION (formulado)]]="Subgerencia Administrativa y Financiera","FUNCIONAMIENTO","INVERSIÓN")</f>
        <v>INVERSIÓN</v>
      </c>
      <c r="E2019" s="48" t="str">
        <f>VLOOKUP(Q2019,[2]PROYECTOS!$G$1:$K$32,5,0)</f>
        <v>Apoyo y subvención para satisfacer necesidades propias del proceso de preparación y competencia de los Atletas y Para-atletas de alto rendimiento del departamento de Antioquia</v>
      </c>
      <c r="F2019" s="48">
        <f>VLOOKUP(E2019,[2]PROYECTOS!$K$1:$M$32,3,0)</f>
        <v>2024003050085</v>
      </c>
      <c r="G2019" s="49" t="s">
        <v>1750</v>
      </c>
      <c r="H2019" s="49" t="str">
        <f>VLOOKUP(Q2019,[2]PROYECTOS!$V$1:$W$32,2,0)</f>
        <v>050077</v>
      </c>
      <c r="I2019" s="78">
        <v>374760614</v>
      </c>
      <c r="J2019" s="51" t="s">
        <v>2210</v>
      </c>
      <c r="K2019" s="47" t="str">
        <f t="shared" ca="1" si="623"/>
        <v>CONTRATADO</v>
      </c>
      <c r="L2019" s="47" t="s">
        <v>94</v>
      </c>
      <c r="M2019" s="47" t="s">
        <v>161</v>
      </c>
      <c r="N2019" s="52" t="s">
        <v>2225</v>
      </c>
      <c r="O2019" s="51" t="e">
        <f>VLOOKUP(N2019,[2]!RUBROS[#All],3,0)</f>
        <v>#REF!</v>
      </c>
      <c r="P2019" s="53" t="e">
        <f>VLOOKUP(N2019,[2]!RUBROS[#All],2,0)</f>
        <v>#REF!</v>
      </c>
      <c r="Q2019" s="47" t="str">
        <f t="shared" si="624"/>
        <v>85</v>
      </c>
      <c r="R2019" s="47" t="str">
        <f t="shared" si="625"/>
        <v>4-205128</v>
      </c>
      <c r="S2019" s="339">
        <v>4</v>
      </c>
      <c r="T2019" s="59" t="s">
        <v>46</v>
      </c>
      <c r="U2019" s="326" t="e">
        <f ca="1">_xlfn.XLOOKUP(PAA_4[[#This Row],[ITEM]],[2]Contrato!A:A,[2]Contrato!Q:Q,"",0)</f>
        <v>#NAME?</v>
      </c>
      <c r="V2019" s="47" t="s">
        <v>95</v>
      </c>
      <c r="W2019" s="47" t="s">
        <v>194</v>
      </c>
      <c r="X2019" s="47" t="s">
        <v>203</v>
      </c>
      <c r="Y2019" s="55" t="e">
        <f ca="1">_xlfn.XLOOKUP(PAA_4[[#This Row],[ITEM]],[2]Contrato!A:A,[2]Contrato!B:B,"",0)</f>
        <v>#NAME?</v>
      </c>
      <c r="Z2019" s="47" t="e">
        <f ca="1">_xlfn.XLOOKUP(PAA_4[[#This Row],[ITEM]],[2]Contrato!A:A,[2]Contrato!G:G,"",0)</f>
        <v>#NAME?</v>
      </c>
      <c r="AA2019" s="47" t="e">
        <f ca="1">_xlfn.XLOOKUP(PAA_4[[#This Row],[ITEM]],[2]Contrato!A:A,[2]Contrato!T:T,"",0)</f>
        <v>#NAME?</v>
      </c>
      <c r="AB2019" s="55" t="e">
        <f ca="1">+MAX(PAA_4[[#This Row],[Comprometido Contrato]],PAA_4[[#This Row],[Comprometido Bolsa]])</f>
        <v>#NAME?</v>
      </c>
      <c r="AC2019" s="55" t="str">
        <f t="shared" ca="1" si="626"/>
        <v/>
      </c>
      <c r="AD2019" s="55" t="e">
        <f ca="1">IF(PAA_4[[#This Row],[ESTADO (formulado)]]="NO CONTRATADO",0,MAX(PAA_4[[#This Row],[Pago por Contrato]],PAA_4[[#This Row],[Pago por bolsa]]))</f>
        <v>#NAME?</v>
      </c>
      <c r="AE2019" s="55" t="str">
        <f t="shared" ca="1" si="627"/>
        <v/>
      </c>
      <c r="AF2019" s="47" t="e">
        <f t="shared" ca="1" si="628"/>
        <v>#NAME?</v>
      </c>
      <c r="AG2019" s="47">
        <f t="shared" si="629"/>
        <v>52010803</v>
      </c>
      <c r="AH2019" s="54">
        <f>IF(Q2019="22",IF(ISNUMBER(SEARCH("econ",PAA_4[[#This Row],[Actividad3]])),"Económico",IF(ISNUMBER(SEARCH("alim",PAA_4[[#This Row],[Actividad3]])),"Alimentación",IF(ISNUMBER(SEARCH("educ",PAA_4[[#This Row],[Actividad3]])),"Educativo","Técnico"))),0)</f>
        <v>0</v>
      </c>
      <c r="AI2019" s="47" t="e" cm="1">
        <f t="array" aca="1" ref="AI2019" ca="1">_xlfn.XLOOKUP(PAA_4[[#This Row],[RCP-RUBRO]],[2]!COMPROMISOS_2024[[#All],[concatenado]],[2]!COMPROMISOS_2024[[#All],[Total pagado]],"",0)</f>
        <v>#NAME?</v>
      </c>
      <c r="AJ2019" s="56">
        <f>IF(PAA_4[[#This Row],[BOLSA]]=0,0,SUMIFS([2]!COMPROMISOS_2024[[#All],[Total pagado]],[2]!COMPROMISOS_2024[[#All],[Bolsa]],PAA_4[[#This Row],[BOLSA]],[2]!COMPROMISOS_2024[[#All],[rubro]],PAA_4[[#This Row],[RCP-RUBRO]]))</f>
        <v>0</v>
      </c>
      <c r="AK2019" s="47" t="e" cm="1">
        <f t="array" aca="1" ref="AK2019" ca="1">_xlfn.XLOOKUP(PAA_4[[#This Row],[RCP-RUBRO]],[2]!COMPROMISOS_2024[[#All],[concatenado]],[2]!COMPROMISOS_2024[[#All],[Total Comprometido]],"",0)</f>
        <v>#NAME?</v>
      </c>
      <c r="AL2019" s="47">
        <f>IF(PAA_4[[#This Row],[BOLSA]]=0,0,SUMIFS([2]!COMPROMISOS_2024[[#All],[Total Comprometido]],[2]!COMPROMISOS_2024[[#All],[Bolsa]],PAA_4[[#This Row],[BOLSA]],[2]!COMPROMISOS_2024[[#All],[concatenado]],PAA_4[[#This Row],[RCP-RUBRO]]))</f>
        <v>0</v>
      </c>
    </row>
    <row r="2020" spans="1:38" s="19" customFormat="1" ht="31.5" customHeight="1">
      <c r="A2020" s="47">
        <v>1208</v>
      </c>
      <c r="B2020" s="51" t="s">
        <v>42</v>
      </c>
      <c r="C2020" s="47" t="str">
        <f>VLOOKUP(PAA_4[[#This Row],[PROYECTO (formulado)2]],[2]PROYECTOS!$G$1:$L$32,6,0)</f>
        <v>SUBGERENCIA DE ALTOS LOGROS Y DEPORTE ASOCIADO</v>
      </c>
      <c r="D2020" s="47" t="str">
        <f>+IF(PAA_4[[#This Row],[UNIDAD DE CONTRATACION (formulado)]]="Subgerencia Administrativa y Financiera","FUNCIONAMIENTO","INVERSIÓN")</f>
        <v>INVERSIÓN</v>
      </c>
      <c r="E2020" s="48" t="str">
        <f>VLOOKUP(Q2020,[2]PROYECTOS!$G$1:$K$32,5,0)</f>
        <v>Apoyo y subvención para satisfacer necesidades propias del proceso de preparación y competencia de los Atletas y Para-atletas de alto rendimiento del departamento de Antioquia</v>
      </c>
      <c r="F2020" s="48">
        <f>VLOOKUP(E2020,[2]PROYECTOS!$K$1:$M$32,3,0)</f>
        <v>2024003050085</v>
      </c>
      <c r="G2020" s="49" t="s">
        <v>1583</v>
      </c>
      <c r="H2020" s="49" t="str">
        <f>VLOOKUP(Q2020,[2]PROYECTOS!$V$1:$W$32,2,0)</f>
        <v>050077</v>
      </c>
      <c r="I2020" s="78">
        <v>0</v>
      </c>
      <c r="J2020" s="51" t="s">
        <v>2226</v>
      </c>
      <c r="K2020" s="47" t="str">
        <f t="shared" ca="1" si="623"/>
        <v>CONTRATADO</v>
      </c>
      <c r="L2020" s="47" t="s">
        <v>94</v>
      </c>
      <c r="M2020" s="47" t="s">
        <v>255</v>
      </c>
      <c r="N2020" s="52" t="s">
        <v>2100</v>
      </c>
      <c r="O2020" s="51" t="e">
        <f>VLOOKUP(N2020,[2]!RUBROS[#All],3,0)</f>
        <v>#REF!</v>
      </c>
      <c r="P2020" s="53" t="e">
        <f>VLOOKUP(N2020,[2]!RUBROS[#All],2,0)</f>
        <v>#REF!</v>
      </c>
      <c r="Q2020" s="47" t="str">
        <f t="shared" si="624"/>
        <v>85</v>
      </c>
      <c r="R2020" s="47" t="str">
        <f t="shared" si="625"/>
        <v>0-101024</v>
      </c>
      <c r="S2020" s="339" t="s">
        <v>42</v>
      </c>
      <c r="T2020" s="339" t="s">
        <v>42</v>
      </c>
      <c r="U2020" s="326" t="e">
        <f ca="1">_xlfn.XLOOKUP(PAA_4[[#This Row],[ITEM]],[2]Contrato!A:A,[2]Contrato!Q:Q,"",0)</f>
        <v>#NAME?</v>
      </c>
      <c r="V2020" s="47" t="s">
        <v>95</v>
      </c>
      <c r="W2020" s="47" t="s">
        <v>203</v>
      </c>
      <c r="X2020" s="47" t="s">
        <v>203</v>
      </c>
      <c r="Y2020" s="55" t="e">
        <f ca="1">_xlfn.XLOOKUP(PAA_4[[#This Row],[ITEM]],[2]Contrato!A:A,[2]Contrato!B:B,"",0)</f>
        <v>#NAME?</v>
      </c>
      <c r="Z2020" s="47" t="e">
        <f ca="1">_xlfn.XLOOKUP(PAA_4[[#This Row],[ITEM]],[2]Contrato!A:A,[2]Contrato!G:G,"",0)</f>
        <v>#NAME?</v>
      </c>
      <c r="AA2020" s="47" t="e">
        <f ca="1">_xlfn.XLOOKUP(PAA_4[[#This Row],[ITEM]],[2]Contrato!A:A,[2]Contrato!T:T,"",0)</f>
        <v>#NAME?</v>
      </c>
      <c r="AB2020" s="55" t="e">
        <f ca="1">+MAX(PAA_4[[#This Row],[Comprometido Contrato]],PAA_4[[#This Row],[Comprometido Bolsa]])</f>
        <v>#NAME?</v>
      </c>
      <c r="AC2020" s="55" t="str">
        <f t="shared" ca="1" si="626"/>
        <v/>
      </c>
      <c r="AD2020" s="55" t="e">
        <f ca="1">IF(PAA_4[[#This Row],[ESTADO (formulado)]]="NO CONTRATADO",0,MAX(PAA_4[[#This Row],[Pago por Contrato]],PAA_4[[#This Row],[Pago por bolsa]]))</f>
        <v>#NAME?</v>
      </c>
      <c r="AE2020" s="55" t="str">
        <f t="shared" ca="1" si="627"/>
        <v/>
      </c>
      <c r="AF2020" s="47" t="e">
        <f t="shared" ca="1" si="628"/>
        <v>#NAME?</v>
      </c>
      <c r="AG2020" s="47">
        <f t="shared" si="629"/>
        <v>52010803</v>
      </c>
      <c r="AH2020" s="54">
        <f>IF(Q2020="22",IF(ISNUMBER(SEARCH("econ",PAA_4[[#This Row],[Actividad3]])),"Económico",IF(ISNUMBER(SEARCH("alim",PAA_4[[#This Row],[Actividad3]])),"Alimentación",IF(ISNUMBER(SEARCH("educ",PAA_4[[#This Row],[Actividad3]])),"Educativo","Técnico"))),0)</f>
        <v>0</v>
      </c>
      <c r="AI2020" s="47" t="e" cm="1">
        <f t="array" aca="1" ref="AI2020" ca="1">_xlfn.XLOOKUP(PAA_4[[#This Row],[RCP-RUBRO]],[2]!COMPROMISOS_2024[[#All],[concatenado]],[2]!COMPROMISOS_2024[[#All],[Total pagado]],"",0)</f>
        <v>#NAME?</v>
      </c>
      <c r="AJ2020" s="56">
        <f>IF(PAA_4[[#This Row],[BOLSA]]=0,0,SUMIFS([2]!COMPROMISOS_2024[[#All],[Total pagado]],[2]!COMPROMISOS_2024[[#All],[Bolsa]],PAA_4[[#This Row],[BOLSA]],[2]!COMPROMISOS_2024[[#All],[rubro]],PAA_4[[#This Row],[RCP-RUBRO]]))</f>
        <v>0</v>
      </c>
      <c r="AK2020" s="47" t="e" cm="1">
        <f t="array" aca="1" ref="AK2020" ca="1">_xlfn.XLOOKUP(PAA_4[[#This Row],[RCP-RUBRO]],[2]!COMPROMISOS_2024[[#All],[concatenado]],[2]!COMPROMISOS_2024[[#All],[Total Comprometido]],"",0)</f>
        <v>#NAME?</v>
      </c>
      <c r="AL2020" s="47">
        <f>IF(PAA_4[[#This Row],[BOLSA]]=0,0,SUMIFS([2]!COMPROMISOS_2024[[#All],[Total Comprometido]],[2]!COMPROMISOS_2024[[#All],[Bolsa]],PAA_4[[#This Row],[BOLSA]],[2]!COMPROMISOS_2024[[#All],[concatenado]],PAA_4[[#This Row],[RCP-RUBRO]]))</f>
        <v>0</v>
      </c>
    </row>
    <row r="2021" spans="1:38" s="19" customFormat="1" ht="31.5" customHeight="1">
      <c r="A2021" s="47">
        <v>1236</v>
      </c>
      <c r="B2021" s="51" t="s">
        <v>1917</v>
      </c>
      <c r="C2021" s="47" t="str">
        <f>VLOOKUP(PAA_4[[#This Row],[PROYECTO (formulado)2]],[2]PROYECTOS!$G$1:$L$32,6,0)</f>
        <v>SUBGERENCIA DE ALTOS LOGROS Y DEPORTE ASOCIADO</v>
      </c>
      <c r="D2021" s="47" t="str">
        <f>+IF(PAA_4[[#This Row],[UNIDAD DE CONTRATACION (formulado)]]="Subgerencia Administrativa y Financiera","FUNCIONAMIENTO","INVERSIÓN")</f>
        <v>INVERSIÓN</v>
      </c>
      <c r="E2021" s="48" t="str">
        <f>VLOOKUP(Q2021,[2]PROYECTOS!$G$1:$K$32,5,0)</f>
        <v>Asesoria médica y de ciencias aplicadas al desarrollo del rendimiento deportivo de atletas y para-atletas de Antioquia</v>
      </c>
      <c r="F2021" s="48">
        <f>VLOOKUP(E2021,[2]PROYECTOS!$K$1:$M$32,3,0)</f>
        <v>2024003050103</v>
      </c>
      <c r="G2021" s="67" t="s">
        <v>2116</v>
      </c>
      <c r="H2021" s="49" t="str">
        <f>VLOOKUP(Q2021,[2]PROYECTOS!$V$1:$W$32,2,0)</f>
        <v>050080</v>
      </c>
      <c r="I2021" s="78">
        <v>2000000000</v>
      </c>
      <c r="J2021" s="51" t="s">
        <v>1919</v>
      </c>
      <c r="K2021" s="47" t="str">
        <f t="shared" ca="1" si="623"/>
        <v>CONTRATADO</v>
      </c>
      <c r="L2021" s="47" t="s">
        <v>94</v>
      </c>
      <c r="M2021" s="47" t="s">
        <v>161</v>
      </c>
      <c r="N2021" s="52" t="s">
        <v>2227</v>
      </c>
      <c r="O2021" s="51" t="e">
        <f>VLOOKUP(N2021,[2]!RUBROS[#All],3,0)</f>
        <v>#REF!</v>
      </c>
      <c r="P2021" s="53" t="e">
        <f>VLOOKUP(N2021,[2]!RUBROS[#All],2,0)</f>
        <v>#REF!</v>
      </c>
      <c r="Q2021" s="47" t="str">
        <f t="shared" si="624"/>
        <v>03</v>
      </c>
      <c r="R2021" s="47" t="str">
        <f t="shared" si="625"/>
        <v>0-101024</v>
      </c>
      <c r="S2021" s="339">
        <v>7</v>
      </c>
      <c r="T2021" s="59" t="s">
        <v>46</v>
      </c>
      <c r="U2021" s="326" t="e">
        <f ca="1">_xlfn.XLOOKUP(PAA_4[[#This Row],[ITEM]],[2]Contrato!A:A,[2]Contrato!Q:Q,"",0)</f>
        <v>#NAME?</v>
      </c>
      <c r="V2021" s="47" t="s">
        <v>95</v>
      </c>
      <c r="W2021" s="47" t="s">
        <v>204</v>
      </c>
      <c r="X2021" s="47" t="s">
        <v>204</v>
      </c>
      <c r="Y2021" s="55" t="e">
        <f ca="1">_xlfn.XLOOKUP(PAA_4[[#This Row],[ITEM]],[2]Contrato!A:A,[2]Contrato!B:B,"",0)</f>
        <v>#NAME?</v>
      </c>
      <c r="Z2021" s="47" t="e">
        <f ca="1">_xlfn.XLOOKUP(PAA_4[[#This Row],[ITEM]],[2]Contrato!A:A,[2]Contrato!G:G,"",0)</f>
        <v>#NAME?</v>
      </c>
      <c r="AA2021" s="47" t="e">
        <f ca="1">_xlfn.XLOOKUP(PAA_4[[#This Row],[ITEM]],[2]Contrato!A:A,[2]Contrato!T:T,"",0)</f>
        <v>#NAME?</v>
      </c>
      <c r="AB2021" s="55" t="e">
        <f ca="1">+MAX(PAA_4[[#This Row],[Comprometido Contrato]],PAA_4[[#This Row],[Comprometido Bolsa]])</f>
        <v>#NAME?</v>
      </c>
      <c r="AC2021" s="55" t="str">
        <f t="shared" ca="1" si="626"/>
        <v/>
      </c>
      <c r="AD2021" s="55" t="e">
        <f ca="1">IF(PAA_4[[#This Row],[ESTADO (formulado)]]="NO CONTRATADO",0,MAX(PAA_4[[#This Row],[Pago por Contrato]],PAA_4[[#This Row],[Pago por bolsa]]))</f>
        <v>#NAME?</v>
      </c>
      <c r="AE2021" s="55" t="str">
        <f t="shared" ca="1" si="627"/>
        <v/>
      </c>
      <c r="AF2021" s="47" t="e">
        <f t="shared" ca="1" si="628"/>
        <v>#NAME?</v>
      </c>
      <c r="AG2021" s="47">
        <f t="shared" si="629"/>
        <v>52010804</v>
      </c>
      <c r="AH2021" s="54">
        <f>IF(Q2021="22",IF(ISNUMBER(SEARCH("econ",PAA_4[[#This Row],[Actividad3]])),"Económico",IF(ISNUMBER(SEARCH("alim",PAA_4[[#This Row],[Actividad3]])),"Alimentación",IF(ISNUMBER(SEARCH("educ",PAA_4[[#This Row],[Actividad3]])),"Educativo","Técnico"))),0)</f>
        <v>0</v>
      </c>
      <c r="AI2021" s="47" t="e" cm="1">
        <f t="array" aca="1" ref="AI2021" ca="1">_xlfn.XLOOKUP(PAA_4[[#This Row],[RCP-RUBRO]],[2]!COMPROMISOS_2024[[#All],[concatenado]],[2]!COMPROMISOS_2024[[#All],[Total pagado]],"",0)</f>
        <v>#NAME?</v>
      </c>
      <c r="AJ2021" s="56">
        <f>IF(PAA_4[[#This Row],[BOLSA]]=0,0,SUMIFS([2]!COMPROMISOS_2024[[#All],[Total pagado]],[2]!COMPROMISOS_2024[[#All],[Bolsa]],PAA_4[[#This Row],[BOLSA]],[2]!COMPROMISOS_2024[[#All],[rubro]],PAA_4[[#This Row],[RCP-RUBRO]]))</f>
        <v>0</v>
      </c>
      <c r="AK2021" s="47" t="e" cm="1">
        <f t="array" aca="1" ref="AK2021" ca="1">_xlfn.XLOOKUP(PAA_4[[#This Row],[RCP-RUBRO]],[2]!COMPROMISOS_2024[[#All],[concatenado]],[2]!COMPROMISOS_2024[[#All],[Total Comprometido]],"",0)</f>
        <v>#NAME?</v>
      </c>
      <c r="AL2021" s="47">
        <f>IF(PAA_4[[#This Row],[BOLSA]]=0,0,SUMIFS([2]!COMPROMISOS_2024[[#All],[Total Comprometido]],[2]!COMPROMISOS_2024[[#All],[Bolsa]],PAA_4[[#This Row],[BOLSA]],[2]!COMPROMISOS_2024[[#All],[concatenado]],PAA_4[[#This Row],[RCP-RUBRO]]))</f>
        <v>0</v>
      </c>
    </row>
    <row r="2022" spans="1:38" s="19" customFormat="1" ht="31.5" customHeight="1">
      <c r="A2022" s="47">
        <v>1285</v>
      </c>
      <c r="B2022" s="51">
        <v>90141502</v>
      </c>
      <c r="C2022" s="47" t="str">
        <f>VLOOKUP(PAA_4[[#This Row],[PROYECTO (formulado)2]],[2]PROYECTOS!$G$1:$L$32,6,0)</f>
        <v>SUBGERENCIA DE ALTOS LOGROS Y DEPORTE ASOCIADO</v>
      </c>
      <c r="D2022" s="47" t="str">
        <f>+IF(PAA_4[[#This Row],[UNIDAD DE CONTRATACION (formulado)]]="Subgerencia Administrativa y Financiera","FUNCIONAMIENTO","INVERSIÓN")</f>
        <v>INVERSIÓN</v>
      </c>
      <c r="E2022" s="48" t="str">
        <f>VLOOKUP(Q2022,[2]PROYECTOS!$G$1:$K$32,5,0)</f>
        <v>Apoyo económico a las organizaciones deportivas que representan en competencias al departamento de Antioquia</v>
      </c>
      <c r="F2022" s="48">
        <f>VLOOKUP(E2022,[2]PROYECTOS!$K$1:$M$32,3,0)</f>
        <v>2024003050102</v>
      </c>
      <c r="G2022" s="67" t="s">
        <v>1521</v>
      </c>
      <c r="H2022" s="49" t="str">
        <f>VLOOKUP(Q2022,[2]PROYECTOS!$V$1:$W$32,2,0)</f>
        <v>050076</v>
      </c>
      <c r="I2022" s="78">
        <v>65000000</v>
      </c>
      <c r="J2022" s="51" t="s">
        <v>2228</v>
      </c>
      <c r="K2022" s="47" t="str">
        <f t="shared" ca="1" si="623"/>
        <v>CONTRATADO</v>
      </c>
      <c r="L2022" s="47" t="s">
        <v>94</v>
      </c>
      <c r="M2022" s="47" t="s">
        <v>1767</v>
      </c>
      <c r="N2022" s="52" t="s">
        <v>1522</v>
      </c>
      <c r="O2022" s="51" t="e">
        <f>VLOOKUP(N2022,[2]!RUBROS[#All],3,0)</f>
        <v>#REF!</v>
      </c>
      <c r="P2022" s="53" t="e">
        <f>VLOOKUP(N2022,[2]!RUBROS[#All],2,0)</f>
        <v>#REF!</v>
      </c>
      <c r="Q2022" s="47" t="str">
        <f t="shared" si="624"/>
        <v>02</v>
      </c>
      <c r="R2022" s="47" t="str">
        <f t="shared" si="625"/>
        <v>0-101024</v>
      </c>
      <c r="S2022" s="339">
        <v>2</v>
      </c>
      <c r="T2022" s="59" t="s">
        <v>46</v>
      </c>
      <c r="U2022" s="326" t="e">
        <f ca="1">_xlfn.XLOOKUP(PAA_4[[#This Row],[ITEM]],[2]Contrato!A:A,[2]Contrato!Q:Q,"",0)</f>
        <v>#NAME?</v>
      </c>
      <c r="V2022" s="47" t="s">
        <v>95</v>
      </c>
      <c r="W2022" s="47" t="s">
        <v>200</v>
      </c>
      <c r="X2022" s="47" t="s">
        <v>200</v>
      </c>
      <c r="Y2022" s="55" t="e">
        <f ca="1">_xlfn.XLOOKUP(PAA_4[[#This Row],[ITEM]],[2]Contrato!A:A,[2]Contrato!B:B,"",0)</f>
        <v>#NAME?</v>
      </c>
      <c r="Z2022" s="47" t="e">
        <f ca="1">_xlfn.XLOOKUP(PAA_4[[#This Row],[ITEM]],[2]Contrato!A:A,[2]Contrato!G:G,"",0)</f>
        <v>#NAME?</v>
      </c>
      <c r="AA2022" s="47" t="e">
        <f ca="1">_xlfn.XLOOKUP(PAA_4[[#This Row],[ITEM]],[2]Contrato!A:A,[2]Contrato!T:T,"",0)</f>
        <v>#NAME?</v>
      </c>
      <c r="AB2022" s="55" t="e">
        <f ca="1">+MAX(PAA_4[[#This Row],[Comprometido Contrato]],PAA_4[[#This Row],[Comprometido Bolsa]])</f>
        <v>#NAME?</v>
      </c>
      <c r="AC2022" s="55" t="str">
        <f t="shared" ca="1" si="626"/>
        <v/>
      </c>
      <c r="AD2022" s="55" t="e">
        <f ca="1">IF(PAA_4[[#This Row],[ESTADO (formulado)]]="NO CONTRATADO",0,MAX(PAA_4[[#This Row],[Pago por Contrato]],PAA_4[[#This Row],[Pago por bolsa]]))</f>
        <v>#NAME?</v>
      </c>
      <c r="AE2022" s="55" t="str">
        <f t="shared" ca="1" si="627"/>
        <v/>
      </c>
      <c r="AF2022" s="47" t="e">
        <f t="shared" ca="1" si="628"/>
        <v>#NAME?</v>
      </c>
      <c r="AG2022" s="47">
        <f t="shared" si="629"/>
        <v>52010801</v>
      </c>
      <c r="AH2022" s="54">
        <f>IF(Q2022="22",IF(ISNUMBER(SEARCH("econ",PAA_4[[#This Row],[Actividad3]])),"Económico",IF(ISNUMBER(SEARCH("alim",PAA_4[[#This Row],[Actividad3]])),"Alimentación",IF(ISNUMBER(SEARCH("educ",PAA_4[[#This Row],[Actividad3]])),"Educativo","Técnico"))),0)</f>
        <v>0</v>
      </c>
      <c r="AI2022" s="47" t="e" cm="1">
        <f t="array" aca="1" ref="AI2022" ca="1">_xlfn.XLOOKUP(PAA_4[[#This Row],[RCP-RUBRO]],[2]!COMPROMISOS_2024[[#All],[concatenado]],[2]!COMPROMISOS_2024[[#All],[Total pagado]],"",0)</f>
        <v>#NAME?</v>
      </c>
      <c r="AJ2022" s="56">
        <f>IF(PAA_4[[#This Row],[BOLSA]]=0,0,SUMIFS([2]!COMPROMISOS_2024[[#All],[Total pagado]],[2]!COMPROMISOS_2024[[#All],[Bolsa]],PAA_4[[#This Row],[BOLSA]],[2]!COMPROMISOS_2024[[#All],[rubro]],PAA_4[[#This Row],[RCP-RUBRO]]))</f>
        <v>0</v>
      </c>
      <c r="AK2022" s="47" t="e" cm="1">
        <f t="array" aca="1" ref="AK2022" ca="1">_xlfn.XLOOKUP(PAA_4[[#This Row],[RCP-RUBRO]],[2]!COMPROMISOS_2024[[#All],[concatenado]],[2]!COMPROMISOS_2024[[#All],[Total Comprometido]],"",0)</f>
        <v>#NAME?</v>
      </c>
      <c r="AL2022" s="47">
        <f>IF(PAA_4[[#This Row],[BOLSA]]=0,0,SUMIFS([2]!COMPROMISOS_2024[[#All],[Total Comprometido]],[2]!COMPROMISOS_2024[[#All],[Bolsa]],PAA_4[[#This Row],[BOLSA]],[2]!COMPROMISOS_2024[[#All],[concatenado]],PAA_4[[#This Row],[RCP-RUBRO]]))</f>
        <v>0</v>
      </c>
    </row>
    <row r="2023" spans="1:38" s="19" customFormat="1" ht="31.5" customHeight="1">
      <c r="A2023" s="47">
        <v>1286</v>
      </c>
      <c r="B2023" s="51">
        <v>90141502</v>
      </c>
      <c r="C2023" s="47" t="str">
        <f>VLOOKUP(PAA_4[[#This Row],[PROYECTO (formulado)2]],[2]PROYECTOS!$G$1:$L$32,6,0)</f>
        <v>SUBGERENCIA DE ALTOS LOGROS Y DEPORTE ASOCIADO</v>
      </c>
      <c r="D2023" s="47" t="str">
        <f>+IF(PAA_4[[#This Row],[UNIDAD DE CONTRATACION (formulado)]]="Subgerencia Administrativa y Financiera","FUNCIONAMIENTO","INVERSIÓN")</f>
        <v>INVERSIÓN</v>
      </c>
      <c r="E2023" s="48" t="str">
        <f>VLOOKUP(Q2023,[2]PROYECTOS!$G$1:$K$32,5,0)</f>
        <v>Apoyo económico a las organizaciones deportivas que representan en competencias al departamento de Antioquia</v>
      </c>
      <c r="F2023" s="48">
        <f>VLOOKUP(E2023,[2]PROYECTOS!$K$1:$M$32,3,0)</f>
        <v>2024003050102</v>
      </c>
      <c r="G2023" s="67" t="s">
        <v>1521</v>
      </c>
      <c r="H2023" s="49" t="str">
        <f>VLOOKUP(Q2023,[2]PROYECTOS!$V$1:$W$32,2,0)</f>
        <v>050076</v>
      </c>
      <c r="I2023" s="78">
        <v>15000000</v>
      </c>
      <c r="J2023" s="51" t="s">
        <v>2229</v>
      </c>
      <c r="K2023" s="47" t="str">
        <f t="shared" ca="1" si="623"/>
        <v>CONTRATADO</v>
      </c>
      <c r="L2023" s="47" t="s">
        <v>94</v>
      </c>
      <c r="M2023" s="47" t="s">
        <v>1767</v>
      </c>
      <c r="N2023" s="52" t="s">
        <v>1522</v>
      </c>
      <c r="O2023" s="51" t="e">
        <f>VLOOKUP(N2023,[2]!RUBROS[#All],3,0)</f>
        <v>#REF!</v>
      </c>
      <c r="P2023" s="53" t="e">
        <f>VLOOKUP(N2023,[2]!RUBROS[#All],2,0)</f>
        <v>#REF!</v>
      </c>
      <c r="Q2023" s="47" t="str">
        <f t="shared" si="624"/>
        <v>02</v>
      </c>
      <c r="R2023" s="47" t="str">
        <f t="shared" si="625"/>
        <v>0-101024</v>
      </c>
      <c r="S2023" s="339">
        <v>2</v>
      </c>
      <c r="T2023" s="59" t="s">
        <v>46</v>
      </c>
      <c r="U2023" s="326" t="e">
        <f ca="1">_xlfn.XLOOKUP(PAA_4[[#This Row],[ITEM]],[2]Contrato!A:A,[2]Contrato!Q:Q,"",0)</f>
        <v>#NAME?</v>
      </c>
      <c r="V2023" s="47" t="s">
        <v>95</v>
      </c>
      <c r="W2023" s="47" t="s">
        <v>200</v>
      </c>
      <c r="X2023" s="47" t="s">
        <v>200</v>
      </c>
      <c r="Y2023" s="55" t="e">
        <f ca="1">_xlfn.XLOOKUP(PAA_4[[#This Row],[ITEM]],[2]Contrato!A:A,[2]Contrato!B:B,"",0)</f>
        <v>#NAME?</v>
      </c>
      <c r="Z2023" s="47" t="e">
        <f ca="1">_xlfn.XLOOKUP(PAA_4[[#This Row],[ITEM]],[2]Contrato!A:A,[2]Contrato!G:G,"",0)</f>
        <v>#NAME?</v>
      </c>
      <c r="AA2023" s="47" t="e">
        <f ca="1">_xlfn.XLOOKUP(PAA_4[[#This Row],[ITEM]],[2]Contrato!A:A,[2]Contrato!T:T,"",0)</f>
        <v>#NAME?</v>
      </c>
      <c r="AB2023" s="55" t="e">
        <f ca="1">+MAX(PAA_4[[#This Row],[Comprometido Contrato]],PAA_4[[#This Row],[Comprometido Bolsa]])</f>
        <v>#NAME?</v>
      </c>
      <c r="AC2023" s="55" t="str">
        <f t="shared" ca="1" si="626"/>
        <v/>
      </c>
      <c r="AD2023" s="55" t="e">
        <f ca="1">IF(PAA_4[[#This Row],[ESTADO (formulado)]]="NO CONTRATADO",0,MAX(PAA_4[[#This Row],[Pago por Contrato]],PAA_4[[#This Row],[Pago por bolsa]]))</f>
        <v>#NAME?</v>
      </c>
      <c r="AE2023" s="55" t="str">
        <f t="shared" ca="1" si="627"/>
        <v/>
      </c>
      <c r="AF2023" s="47" t="e">
        <f t="shared" ca="1" si="628"/>
        <v>#NAME?</v>
      </c>
      <c r="AG2023" s="47">
        <f t="shared" si="629"/>
        <v>52010801</v>
      </c>
      <c r="AH2023" s="54">
        <f>IF(Q2023="22",IF(ISNUMBER(SEARCH("econ",PAA_4[[#This Row],[Actividad3]])),"Económico",IF(ISNUMBER(SEARCH("alim",PAA_4[[#This Row],[Actividad3]])),"Alimentación",IF(ISNUMBER(SEARCH("educ",PAA_4[[#This Row],[Actividad3]])),"Educativo","Técnico"))),0)</f>
        <v>0</v>
      </c>
      <c r="AI2023" s="47" t="e" cm="1">
        <f t="array" aca="1" ref="AI2023" ca="1">_xlfn.XLOOKUP(PAA_4[[#This Row],[RCP-RUBRO]],[2]!COMPROMISOS_2024[[#All],[concatenado]],[2]!COMPROMISOS_2024[[#All],[Total pagado]],"",0)</f>
        <v>#NAME?</v>
      </c>
      <c r="AJ2023" s="56">
        <f>IF(PAA_4[[#This Row],[BOLSA]]=0,0,SUMIFS([2]!COMPROMISOS_2024[[#All],[Total pagado]],[2]!COMPROMISOS_2024[[#All],[Bolsa]],PAA_4[[#This Row],[BOLSA]],[2]!COMPROMISOS_2024[[#All],[rubro]],PAA_4[[#This Row],[RCP-RUBRO]]))</f>
        <v>0</v>
      </c>
      <c r="AK2023" s="47" t="e" cm="1">
        <f t="array" aca="1" ref="AK2023" ca="1">_xlfn.XLOOKUP(PAA_4[[#This Row],[RCP-RUBRO]],[2]!COMPROMISOS_2024[[#All],[concatenado]],[2]!COMPROMISOS_2024[[#All],[Total Comprometido]],"",0)</f>
        <v>#NAME?</v>
      </c>
      <c r="AL2023" s="47">
        <f>IF(PAA_4[[#This Row],[BOLSA]]=0,0,SUMIFS([2]!COMPROMISOS_2024[[#All],[Total Comprometido]],[2]!COMPROMISOS_2024[[#All],[Bolsa]],PAA_4[[#This Row],[BOLSA]],[2]!COMPROMISOS_2024[[#All],[concatenado]],PAA_4[[#This Row],[RCP-RUBRO]]))</f>
        <v>0</v>
      </c>
    </row>
    <row r="2024" spans="1:38" s="19" customFormat="1" ht="31.5" customHeight="1">
      <c r="A2024" s="47">
        <v>1287</v>
      </c>
      <c r="B2024" s="51">
        <v>90141502</v>
      </c>
      <c r="C2024" s="47" t="str">
        <f>VLOOKUP(PAA_4[[#This Row],[PROYECTO (formulado)2]],[2]PROYECTOS!$G$1:$L$32,6,0)</f>
        <v>SUBGERENCIA DE ALTOS LOGROS Y DEPORTE ASOCIADO</v>
      </c>
      <c r="D2024" s="47" t="str">
        <f>+IF(PAA_4[[#This Row],[UNIDAD DE CONTRATACION (formulado)]]="Subgerencia Administrativa y Financiera","FUNCIONAMIENTO","INVERSIÓN")</f>
        <v>INVERSIÓN</v>
      </c>
      <c r="E2024" s="48" t="str">
        <f>VLOOKUP(Q2024,[2]PROYECTOS!$G$1:$K$32,5,0)</f>
        <v>Apoyo económico a las organizaciones deportivas que representan en competencias al departamento de Antioquia</v>
      </c>
      <c r="F2024" s="48">
        <f>VLOOKUP(E2024,[2]PROYECTOS!$K$1:$M$32,3,0)</f>
        <v>2024003050102</v>
      </c>
      <c r="G2024" s="67" t="s">
        <v>1521</v>
      </c>
      <c r="H2024" s="49" t="str">
        <f>VLOOKUP(Q2024,[2]PROYECTOS!$V$1:$W$32,2,0)</f>
        <v>050076</v>
      </c>
      <c r="I2024" s="78">
        <v>25000000</v>
      </c>
      <c r="J2024" s="51" t="s">
        <v>2230</v>
      </c>
      <c r="K2024" s="47" t="str">
        <f t="shared" ca="1" si="623"/>
        <v>CONTRATADO</v>
      </c>
      <c r="L2024" s="47" t="s">
        <v>94</v>
      </c>
      <c r="M2024" s="47" t="s">
        <v>1767</v>
      </c>
      <c r="N2024" s="52" t="s">
        <v>1522</v>
      </c>
      <c r="O2024" s="51" t="e">
        <f>VLOOKUP(N2024,[2]!RUBROS[#All],3,0)</f>
        <v>#REF!</v>
      </c>
      <c r="P2024" s="53" t="e">
        <f>VLOOKUP(N2024,[2]!RUBROS[#All],2,0)</f>
        <v>#REF!</v>
      </c>
      <c r="Q2024" s="47" t="str">
        <f t="shared" si="624"/>
        <v>02</v>
      </c>
      <c r="R2024" s="47" t="str">
        <f t="shared" si="625"/>
        <v>0-101024</v>
      </c>
      <c r="S2024" s="339">
        <v>2</v>
      </c>
      <c r="T2024" s="59" t="s">
        <v>46</v>
      </c>
      <c r="U2024" s="326" t="e">
        <f ca="1">_xlfn.XLOOKUP(PAA_4[[#This Row],[ITEM]],[2]Contrato!A:A,[2]Contrato!Q:Q,"",0)</f>
        <v>#NAME?</v>
      </c>
      <c r="V2024" s="47" t="s">
        <v>95</v>
      </c>
      <c r="W2024" s="47" t="s">
        <v>200</v>
      </c>
      <c r="X2024" s="47" t="s">
        <v>200</v>
      </c>
      <c r="Y2024" s="55" t="e">
        <f ca="1">_xlfn.XLOOKUP(PAA_4[[#This Row],[ITEM]],[2]Contrato!A:A,[2]Contrato!B:B,"",0)</f>
        <v>#NAME?</v>
      </c>
      <c r="Z2024" s="47" t="e">
        <f ca="1">_xlfn.XLOOKUP(PAA_4[[#This Row],[ITEM]],[2]Contrato!A:A,[2]Contrato!G:G,"",0)</f>
        <v>#NAME?</v>
      </c>
      <c r="AA2024" s="47" t="e">
        <f ca="1">_xlfn.XLOOKUP(PAA_4[[#This Row],[ITEM]],[2]Contrato!A:A,[2]Contrato!T:T,"",0)</f>
        <v>#NAME?</v>
      </c>
      <c r="AB2024" s="55" t="e">
        <f ca="1">+MAX(PAA_4[[#This Row],[Comprometido Contrato]],PAA_4[[#This Row],[Comprometido Bolsa]])</f>
        <v>#NAME?</v>
      </c>
      <c r="AC2024" s="55" t="str">
        <f t="shared" ca="1" si="626"/>
        <v/>
      </c>
      <c r="AD2024" s="55" t="e">
        <f ca="1">IF(PAA_4[[#This Row],[ESTADO (formulado)]]="NO CONTRATADO",0,MAX(PAA_4[[#This Row],[Pago por Contrato]],PAA_4[[#This Row],[Pago por bolsa]]))</f>
        <v>#NAME?</v>
      </c>
      <c r="AE2024" s="55" t="str">
        <f t="shared" ca="1" si="627"/>
        <v/>
      </c>
      <c r="AF2024" s="47" t="e">
        <f t="shared" ca="1" si="628"/>
        <v>#NAME?</v>
      </c>
      <c r="AG2024" s="47">
        <f t="shared" si="629"/>
        <v>52010801</v>
      </c>
      <c r="AH2024" s="54">
        <f>IF(Q2024="22",IF(ISNUMBER(SEARCH("econ",PAA_4[[#This Row],[Actividad3]])),"Económico",IF(ISNUMBER(SEARCH("alim",PAA_4[[#This Row],[Actividad3]])),"Alimentación",IF(ISNUMBER(SEARCH("educ",PAA_4[[#This Row],[Actividad3]])),"Educativo","Técnico"))),0)</f>
        <v>0</v>
      </c>
      <c r="AI2024" s="47" t="e" cm="1">
        <f t="array" aca="1" ref="AI2024" ca="1">_xlfn.XLOOKUP(PAA_4[[#This Row],[RCP-RUBRO]],[2]!COMPROMISOS_2024[[#All],[concatenado]],[2]!COMPROMISOS_2024[[#All],[Total pagado]],"",0)</f>
        <v>#NAME?</v>
      </c>
      <c r="AJ2024" s="56">
        <f>IF(PAA_4[[#This Row],[BOLSA]]=0,0,SUMIFS([2]!COMPROMISOS_2024[[#All],[Total pagado]],[2]!COMPROMISOS_2024[[#All],[Bolsa]],PAA_4[[#This Row],[BOLSA]],[2]!COMPROMISOS_2024[[#All],[rubro]],PAA_4[[#This Row],[RCP-RUBRO]]))</f>
        <v>0</v>
      </c>
      <c r="AK2024" s="47" t="e" cm="1">
        <f t="array" aca="1" ref="AK2024" ca="1">_xlfn.XLOOKUP(PAA_4[[#This Row],[RCP-RUBRO]],[2]!COMPROMISOS_2024[[#All],[concatenado]],[2]!COMPROMISOS_2024[[#All],[Total Comprometido]],"",0)</f>
        <v>#NAME?</v>
      </c>
      <c r="AL2024" s="47">
        <f>IF(PAA_4[[#This Row],[BOLSA]]=0,0,SUMIFS([2]!COMPROMISOS_2024[[#All],[Total Comprometido]],[2]!COMPROMISOS_2024[[#All],[Bolsa]],PAA_4[[#This Row],[BOLSA]],[2]!COMPROMISOS_2024[[#All],[concatenado]],PAA_4[[#This Row],[RCP-RUBRO]]))</f>
        <v>0</v>
      </c>
    </row>
    <row r="2025" spans="1:38" s="19" customFormat="1" ht="31.5" customHeight="1">
      <c r="A2025" s="47">
        <v>1288</v>
      </c>
      <c r="B2025" s="51">
        <v>90141502</v>
      </c>
      <c r="C2025" s="47" t="str">
        <f>VLOOKUP(PAA_4[[#This Row],[PROYECTO (formulado)2]],[2]PROYECTOS!$G$1:$L$32,6,0)</f>
        <v>SUBGERENCIA DE ALTOS LOGROS Y DEPORTE ASOCIADO</v>
      </c>
      <c r="D2025" s="47" t="str">
        <f>+IF(PAA_4[[#This Row],[UNIDAD DE CONTRATACION (formulado)]]="Subgerencia Administrativa y Financiera","FUNCIONAMIENTO","INVERSIÓN")</f>
        <v>INVERSIÓN</v>
      </c>
      <c r="E2025" s="48" t="str">
        <f>VLOOKUP(Q2025,[2]PROYECTOS!$G$1:$K$32,5,0)</f>
        <v>Apoyo económico a las organizaciones deportivas que representan en competencias al departamento de Antioquia</v>
      </c>
      <c r="F2025" s="48">
        <f>VLOOKUP(E2025,[2]PROYECTOS!$K$1:$M$32,3,0)</f>
        <v>2024003050102</v>
      </c>
      <c r="G2025" s="67" t="s">
        <v>1521</v>
      </c>
      <c r="H2025" s="49" t="str">
        <f>VLOOKUP(Q2025,[2]PROYECTOS!$V$1:$W$32,2,0)</f>
        <v>050076</v>
      </c>
      <c r="I2025" s="78">
        <v>45000000</v>
      </c>
      <c r="J2025" s="51" t="s">
        <v>2231</v>
      </c>
      <c r="K2025" s="47" t="str">
        <f t="shared" ca="1" si="623"/>
        <v>CONTRATADO</v>
      </c>
      <c r="L2025" s="47" t="s">
        <v>94</v>
      </c>
      <c r="M2025" s="47" t="s">
        <v>1767</v>
      </c>
      <c r="N2025" s="52" t="s">
        <v>1522</v>
      </c>
      <c r="O2025" s="51" t="e">
        <f>VLOOKUP(N2025,[2]!RUBROS[#All],3,0)</f>
        <v>#REF!</v>
      </c>
      <c r="P2025" s="53" t="e">
        <f>VLOOKUP(N2025,[2]!RUBROS[#All],2,0)</f>
        <v>#REF!</v>
      </c>
      <c r="Q2025" s="47" t="str">
        <f t="shared" si="624"/>
        <v>02</v>
      </c>
      <c r="R2025" s="47" t="str">
        <f t="shared" si="625"/>
        <v>0-101024</v>
      </c>
      <c r="S2025" s="339">
        <v>2</v>
      </c>
      <c r="T2025" s="59" t="s">
        <v>46</v>
      </c>
      <c r="U2025" s="326" t="e">
        <f ca="1">_xlfn.XLOOKUP(PAA_4[[#This Row],[ITEM]],[2]Contrato!A:A,[2]Contrato!Q:Q,"",0)</f>
        <v>#NAME?</v>
      </c>
      <c r="V2025" s="47" t="s">
        <v>95</v>
      </c>
      <c r="W2025" s="47" t="s">
        <v>200</v>
      </c>
      <c r="X2025" s="47" t="s">
        <v>200</v>
      </c>
      <c r="Y2025" s="55" t="e">
        <f ca="1">_xlfn.XLOOKUP(PAA_4[[#This Row],[ITEM]],[2]Contrato!A:A,[2]Contrato!B:B,"",0)</f>
        <v>#NAME?</v>
      </c>
      <c r="Z2025" s="47" t="e">
        <f ca="1">_xlfn.XLOOKUP(PAA_4[[#This Row],[ITEM]],[2]Contrato!A:A,[2]Contrato!G:G,"",0)</f>
        <v>#NAME?</v>
      </c>
      <c r="AA2025" s="47" t="e">
        <f ca="1">_xlfn.XLOOKUP(PAA_4[[#This Row],[ITEM]],[2]Contrato!A:A,[2]Contrato!T:T,"",0)</f>
        <v>#NAME?</v>
      </c>
      <c r="AB2025" s="55" t="e">
        <f ca="1">+MAX(PAA_4[[#This Row],[Comprometido Contrato]],PAA_4[[#This Row],[Comprometido Bolsa]])</f>
        <v>#NAME?</v>
      </c>
      <c r="AC2025" s="55" t="str">
        <f t="shared" ca="1" si="626"/>
        <v/>
      </c>
      <c r="AD2025" s="55" t="e">
        <f ca="1">IF(PAA_4[[#This Row],[ESTADO (formulado)]]="NO CONTRATADO",0,MAX(PAA_4[[#This Row],[Pago por Contrato]],PAA_4[[#This Row],[Pago por bolsa]]))</f>
        <v>#NAME?</v>
      </c>
      <c r="AE2025" s="55" t="str">
        <f t="shared" ca="1" si="627"/>
        <v/>
      </c>
      <c r="AF2025" s="47" t="e">
        <f t="shared" ca="1" si="628"/>
        <v>#NAME?</v>
      </c>
      <c r="AG2025" s="47">
        <f t="shared" si="629"/>
        <v>52010801</v>
      </c>
      <c r="AH2025" s="54">
        <f>IF(Q2025="22",IF(ISNUMBER(SEARCH("econ",PAA_4[[#This Row],[Actividad3]])),"Económico",IF(ISNUMBER(SEARCH("alim",PAA_4[[#This Row],[Actividad3]])),"Alimentación",IF(ISNUMBER(SEARCH("educ",PAA_4[[#This Row],[Actividad3]])),"Educativo","Técnico"))),0)</f>
        <v>0</v>
      </c>
      <c r="AI2025" s="47" t="e" cm="1">
        <f t="array" aca="1" ref="AI2025" ca="1">_xlfn.XLOOKUP(PAA_4[[#This Row],[RCP-RUBRO]],[2]!COMPROMISOS_2024[[#All],[concatenado]],[2]!COMPROMISOS_2024[[#All],[Total pagado]],"",0)</f>
        <v>#NAME?</v>
      </c>
      <c r="AJ2025" s="56">
        <f>IF(PAA_4[[#This Row],[BOLSA]]=0,0,SUMIFS([2]!COMPROMISOS_2024[[#All],[Total pagado]],[2]!COMPROMISOS_2024[[#All],[Bolsa]],PAA_4[[#This Row],[BOLSA]],[2]!COMPROMISOS_2024[[#All],[rubro]],PAA_4[[#This Row],[RCP-RUBRO]]))</f>
        <v>0</v>
      </c>
      <c r="AK2025" s="47" t="e" cm="1">
        <f t="array" aca="1" ref="AK2025" ca="1">_xlfn.XLOOKUP(PAA_4[[#This Row],[RCP-RUBRO]],[2]!COMPROMISOS_2024[[#All],[concatenado]],[2]!COMPROMISOS_2024[[#All],[Total Comprometido]],"",0)</f>
        <v>#NAME?</v>
      </c>
      <c r="AL2025" s="47">
        <f>IF(PAA_4[[#This Row],[BOLSA]]=0,0,SUMIFS([2]!COMPROMISOS_2024[[#All],[Total Comprometido]],[2]!COMPROMISOS_2024[[#All],[Bolsa]],PAA_4[[#This Row],[BOLSA]],[2]!COMPROMISOS_2024[[#All],[concatenado]],PAA_4[[#This Row],[RCP-RUBRO]]))</f>
        <v>0</v>
      </c>
    </row>
    <row r="2026" spans="1:38" s="19" customFormat="1" ht="31.5" customHeight="1">
      <c r="A2026" s="47">
        <v>1299</v>
      </c>
      <c r="B2026" s="51">
        <v>90141502</v>
      </c>
      <c r="C2026" s="47" t="str">
        <f>VLOOKUP(PAA_4[[#This Row],[PROYECTO (formulado)2]],[2]PROYECTOS!$G$1:$L$32,6,0)</f>
        <v>SUBGERENCIA DE ALTOS LOGROS Y DEPORTE ASOCIADO</v>
      </c>
      <c r="D2026" s="47" t="str">
        <f>+IF(PAA_4[[#This Row],[UNIDAD DE CONTRATACION (formulado)]]="Subgerencia Administrativa y Financiera","FUNCIONAMIENTO","INVERSIÓN")</f>
        <v>INVERSIÓN</v>
      </c>
      <c r="E2026" s="48" t="str">
        <f>VLOOKUP(Q2026,[2]PROYECTOS!$G$1:$K$32,5,0)</f>
        <v>Apoyo económico a las organizaciones deportivas que representan en competencias al departamento de Antioquia</v>
      </c>
      <c r="F2026" s="48">
        <f>VLOOKUP(E2026,[2]PROYECTOS!$K$1:$M$32,3,0)</f>
        <v>2024003050102</v>
      </c>
      <c r="G2026" s="67" t="s">
        <v>1521</v>
      </c>
      <c r="H2026" s="49" t="str">
        <f>VLOOKUP(Q2026,[2]PROYECTOS!$V$1:$W$32,2,0)</f>
        <v>050076</v>
      </c>
      <c r="I2026" s="78">
        <f>90000000-18000000</f>
        <v>72000000</v>
      </c>
      <c r="J2026" s="51" t="s">
        <v>2232</v>
      </c>
      <c r="K2026" s="47" t="str">
        <f t="shared" ca="1" si="623"/>
        <v>CONTRATADO</v>
      </c>
      <c r="L2026" s="47" t="s">
        <v>94</v>
      </c>
      <c r="M2026" s="47" t="s">
        <v>255</v>
      </c>
      <c r="N2026" s="52" t="s">
        <v>1522</v>
      </c>
      <c r="O2026" s="51" t="e">
        <f>VLOOKUP(N2026,[2]!RUBROS[#All],3,0)</f>
        <v>#REF!</v>
      </c>
      <c r="P2026" s="53" t="e">
        <f>VLOOKUP(N2026,[2]!RUBROS[#All],2,0)</f>
        <v>#REF!</v>
      </c>
      <c r="Q2026" s="47" t="str">
        <f t="shared" si="624"/>
        <v>02</v>
      </c>
      <c r="R2026" s="47" t="str">
        <f t="shared" si="625"/>
        <v>0-101024</v>
      </c>
      <c r="S2026" s="339">
        <v>2</v>
      </c>
      <c r="T2026" s="392" t="s">
        <v>46</v>
      </c>
      <c r="U2026" s="326" t="e">
        <f ca="1">_xlfn.XLOOKUP(PAA_4[[#This Row],[ITEM]],[2]Contrato!A:A,[2]Contrato!Q:Q,"",0)</f>
        <v>#NAME?</v>
      </c>
      <c r="V2026" s="47" t="s">
        <v>95</v>
      </c>
      <c r="W2026" s="47" t="s">
        <v>200</v>
      </c>
      <c r="X2026" s="47" t="s">
        <v>200</v>
      </c>
      <c r="Y2026" s="55" t="e">
        <f ca="1">_xlfn.XLOOKUP(PAA_4[[#This Row],[ITEM]],[2]Contrato!A:A,[2]Contrato!B:B,"",0)</f>
        <v>#NAME?</v>
      </c>
      <c r="Z2026" s="47" t="e">
        <f ca="1">_xlfn.XLOOKUP(PAA_4[[#This Row],[ITEM]],[2]Contrato!A:A,[2]Contrato!G:G,"",0)</f>
        <v>#NAME?</v>
      </c>
      <c r="AA2026" s="47" t="e">
        <f ca="1">_xlfn.XLOOKUP(PAA_4[[#This Row],[ITEM]],[2]Contrato!A:A,[2]Contrato!T:T,"",0)</f>
        <v>#NAME?</v>
      </c>
      <c r="AB2026" s="55" t="e">
        <f ca="1">+MAX(PAA_4[[#This Row],[Comprometido Contrato]],PAA_4[[#This Row],[Comprometido Bolsa]])</f>
        <v>#NAME?</v>
      </c>
      <c r="AC2026" s="55" t="str">
        <f t="shared" ca="1" si="626"/>
        <v/>
      </c>
      <c r="AD2026" s="55" t="e">
        <f ca="1">IF(PAA_4[[#This Row],[ESTADO (formulado)]]="NO CONTRATADO",0,MAX(PAA_4[[#This Row],[Pago por Contrato]],PAA_4[[#This Row],[Pago por bolsa]]))</f>
        <v>#NAME?</v>
      </c>
      <c r="AE2026" s="55" t="str">
        <f t="shared" ca="1" si="627"/>
        <v/>
      </c>
      <c r="AF2026" s="47" t="e">
        <f t="shared" ca="1" si="628"/>
        <v>#NAME?</v>
      </c>
      <c r="AG2026" s="47">
        <f t="shared" si="629"/>
        <v>52010801</v>
      </c>
      <c r="AH2026" s="54">
        <f>IF(Q2026="22",IF(ISNUMBER(SEARCH("econ",PAA_4[[#This Row],[Actividad3]])),"Económico",IF(ISNUMBER(SEARCH("alim",PAA_4[[#This Row],[Actividad3]])),"Alimentación",IF(ISNUMBER(SEARCH("educ",PAA_4[[#This Row],[Actividad3]])),"Educativo","Técnico"))),0)</f>
        <v>0</v>
      </c>
      <c r="AI2026" s="47" t="e" cm="1">
        <f t="array" aca="1" ref="AI2026" ca="1">_xlfn.XLOOKUP(PAA_4[[#This Row],[RCP-RUBRO]],[2]!COMPROMISOS_2024[[#All],[concatenado]],[2]!COMPROMISOS_2024[[#All],[Total pagado]],"",0)</f>
        <v>#NAME?</v>
      </c>
      <c r="AJ2026" s="56">
        <f>IF(PAA_4[[#This Row],[BOLSA]]=0,0,SUMIFS([2]!COMPROMISOS_2024[[#All],[Total pagado]],[2]!COMPROMISOS_2024[[#All],[Bolsa]],PAA_4[[#This Row],[BOLSA]],[2]!COMPROMISOS_2024[[#All],[rubro]],PAA_4[[#This Row],[RCP-RUBRO]]))</f>
        <v>0</v>
      </c>
      <c r="AK2026" s="47" t="e" cm="1">
        <f t="array" aca="1" ref="AK2026" ca="1">_xlfn.XLOOKUP(PAA_4[[#This Row],[RCP-RUBRO]],[2]!COMPROMISOS_2024[[#All],[concatenado]],[2]!COMPROMISOS_2024[[#All],[Total Comprometido]],"",0)</f>
        <v>#NAME?</v>
      </c>
      <c r="AL2026" s="47">
        <f>IF(PAA_4[[#This Row],[BOLSA]]=0,0,SUMIFS([2]!COMPROMISOS_2024[[#All],[Total Comprometido]],[2]!COMPROMISOS_2024[[#All],[Bolsa]],PAA_4[[#This Row],[BOLSA]],[2]!COMPROMISOS_2024[[#All],[concatenado]],PAA_4[[#This Row],[RCP-RUBRO]]))</f>
        <v>0</v>
      </c>
    </row>
    <row r="2027" spans="1:38" s="19" customFormat="1" ht="31.5" customHeight="1">
      <c r="A2027" s="47">
        <v>1297</v>
      </c>
      <c r="B2027" s="51">
        <v>90141502</v>
      </c>
      <c r="C2027" s="47" t="str">
        <f>VLOOKUP(PAA_4[[#This Row],[PROYECTO (formulado)2]],[2]PROYECTOS!$G$1:$L$32,6,0)</f>
        <v>SUBGERENCIA DE ALTOS LOGROS Y DEPORTE ASOCIADO</v>
      </c>
      <c r="D2027" s="47" t="str">
        <f>+IF(PAA_4[[#This Row],[UNIDAD DE CONTRATACION (formulado)]]="Subgerencia Administrativa y Financiera","FUNCIONAMIENTO","INVERSIÓN")</f>
        <v>INVERSIÓN</v>
      </c>
      <c r="E2027" s="48" t="str">
        <f>VLOOKUP(Q2027,[2]PROYECTOS!$G$1:$K$32,5,0)</f>
        <v>Apoyo económico a las organizaciones deportivas que representan en competencias al departamento de Antioquia</v>
      </c>
      <c r="F2027" s="48">
        <f>VLOOKUP(E2027,[2]PROYECTOS!$K$1:$M$32,3,0)</f>
        <v>2024003050102</v>
      </c>
      <c r="G2027" s="67" t="s">
        <v>1521</v>
      </c>
      <c r="H2027" s="49" t="str">
        <f>VLOOKUP(Q2027,[2]PROYECTOS!$V$1:$W$32,2,0)</f>
        <v>050076</v>
      </c>
      <c r="I2027" s="78">
        <f>75126966-6044</f>
        <v>75120922</v>
      </c>
      <c r="J2027" s="51" t="s">
        <v>2233</v>
      </c>
      <c r="K2027" s="47" t="str">
        <f t="shared" ca="1" si="623"/>
        <v>CONTRATADO</v>
      </c>
      <c r="L2027" s="47" t="s">
        <v>2148</v>
      </c>
      <c r="M2027" s="47" t="s">
        <v>255</v>
      </c>
      <c r="N2027" s="52" t="s">
        <v>1522</v>
      </c>
      <c r="O2027" s="51" t="e">
        <f>VLOOKUP(N2027,[2]!RUBROS[#All],3,0)</f>
        <v>#REF!</v>
      </c>
      <c r="P2027" s="53" t="e">
        <f>VLOOKUP(N2027,[2]!RUBROS[#All],2,0)</f>
        <v>#REF!</v>
      </c>
      <c r="Q2027" s="47" t="str">
        <f t="shared" si="624"/>
        <v>02</v>
      </c>
      <c r="R2027" s="47" t="str">
        <f t="shared" si="625"/>
        <v>0-101024</v>
      </c>
      <c r="S2027" s="339">
        <v>2</v>
      </c>
      <c r="T2027" s="63" t="s">
        <v>46</v>
      </c>
      <c r="U2027" s="326" t="e">
        <f ca="1">_xlfn.XLOOKUP(PAA_4[[#This Row],[ITEM]],[2]Contrato!A:A,[2]Contrato!Q:Q,"",0)</f>
        <v>#NAME?</v>
      </c>
      <c r="V2027" s="47" t="s">
        <v>95</v>
      </c>
      <c r="W2027" s="47" t="s">
        <v>200</v>
      </c>
      <c r="X2027" s="47" t="s">
        <v>200</v>
      </c>
      <c r="Y2027" s="55" t="e">
        <f ca="1">_xlfn.XLOOKUP(PAA_4[[#This Row],[ITEM]],[2]Contrato!A:A,[2]Contrato!B:B,"",0)</f>
        <v>#NAME?</v>
      </c>
      <c r="Z2027" s="47" t="e">
        <f ca="1">_xlfn.XLOOKUP(PAA_4[[#This Row],[ITEM]],[2]Contrato!A:A,[2]Contrato!G:G,"",0)</f>
        <v>#NAME?</v>
      </c>
      <c r="AA2027" s="47" t="e">
        <f ca="1">_xlfn.XLOOKUP(PAA_4[[#This Row],[ITEM]],[2]Contrato!A:A,[2]Contrato!T:T,"",0)</f>
        <v>#NAME?</v>
      </c>
      <c r="AB2027" s="55" t="e">
        <f ca="1">+MAX(PAA_4[[#This Row],[Comprometido Contrato]],PAA_4[[#This Row],[Comprometido Bolsa]])</f>
        <v>#NAME?</v>
      </c>
      <c r="AC2027" s="55" t="str">
        <f t="shared" ca="1" si="626"/>
        <v/>
      </c>
      <c r="AD2027" s="55" t="e">
        <f ca="1">IF(PAA_4[[#This Row],[ESTADO (formulado)]]="NO CONTRATADO",0,MAX(PAA_4[[#This Row],[Pago por Contrato]],PAA_4[[#This Row],[Pago por bolsa]]))</f>
        <v>#NAME?</v>
      </c>
      <c r="AE2027" s="55" t="str">
        <f t="shared" ca="1" si="627"/>
        <v/>
      </c>
      <c r="AF2027" s="47" t="e">
        <f t="shared" ca="1" si="628"/>
        <v>#NAME?</v>
      </c>
      <c r="AG2027" s="47">
        <f t="shared" si="629"/>
        <v>52010801</v>
      </c>
      <c r="AH2027" s="54">
        <f>IF(Q2027="22",IF(ISNUMBER(SEARCH("econ",PAA_4[[#This Row],[Actividad3]])),"Económico",IF(ISNUMBER(SEARCH("alim",PAA_4[[#This Row],[Actividad3]])),"Alimentación",IF(ISNUMBER(SEARCH("educ",PAA_4[[#This Row],[Actividad3]])),"Educativo","Técnico"))),0)</f>
        <v>0</v>
      </c>
      <c r="AI2027" s="47" t="e" cm="1">
        <f t="array" aca="1" ref="AI2027" ca="1">_xlfn.XLOOKUP(PAA_4[[#This Row],[RCP-RUBRO]],[2]!COMPROMISOS_2024[[#All],[concatenado]],[2]!COMPROMISOS_2024[[#All],[Total pagado]],"",0)</f>
        <v>#NAME?</v>
      </c>
      <c r="AJ2027" s="56">
        <f>IF(PAA_4[[#This Row],[BOLSA]]=0,0,SUMIFS([2]!COMPROMISOS_2024[[#All],[Total pagado]],[2]!COMPROMISOS_2024[[#All],[Bolsa]],PAA_4[[#This Row],[BOLSA]],[2]!COMPROMISOS_2024[[#All],[rubro]],PAA_4[[#This Row],[RCP-RUBRO]]))</f>
        <v>0</v>
      </c>
      <c r="AK2027" s="47" t="e" cm="1">
        <f t="array" aca="1" ref="AK2027" ca="1">_xlfn.XLOOKUP(PAA_4[[#This Row],[RCP-RUBRO]],[2]!COMPROMISOS_2024[[#All],[concatenado]],[2]!COMPROMISOS_2024[[#All],[Total Comprometido]],"",0)</f>
        <v>#NAME?</v>
      </c>
      <c r="AL2027" s="47">
        <f>IF(PAA_4[[#This Row],[BOLSA]]=0,0,SUMIFS([2]!COMPROMISOS_2024[[#All],[Total Comprometido]],[2]!COMPROMISOS_2024[[#All],[Bolsa]],PAA_4[[#This Row],[BOLSA]],[2]!COMPROMISOS_2024[[#All],[concatenado]],PAA_4[[#This Row],[RCP-RUBRO]]))</f>
        <v>0</v>
      </c>
    </row>
    <row r="2028" spans="1:38" s="19" customFormat="1" ht="31.5" customHeight="1">
      <c r="A2028" s="47">
        <v>1300</v>
      </c>
      <c r="B2028" s="51">
        <v>90141502</v>
      </c>
      <c r="C2028" s="47" t="str">
        <f>VLOOKUP(PAA_4[[#This Row],[PROYECTO (formulado)2]],[2]PROYECTOS!$G$1:$L$32,6,0)</f>
        <v>SUBGERENCIA DE ALTOS LOGROS Y DEPORTE ASOCIADO</v>
      </c>
      <c r="D2028" s="47" t="str">
        <f>+IF(PAA_4[[#This Row],[UNIDAD DE CONTRATACION (formulado)]]="Subgerencia Administrativa y Financiera","FUNCIONAMIENTO","INVERSIÓN")</f>
        <v>INVERSIÓN</v>
      </c>
      <c r="E2028" s="48" t="str">
        <f>VLOOKUP(Q2028,[2]PROYECTOS!$G$1:$K$32,5,0)</f>
        <v>Apoyo económico a las organizaciones deportivas que representan en competencias al departamento de Antioquia</v>
      </c>
      <c r="F2028" s="48">
        <f>VLOOKUP(E2028,[2]PROYECTOS!$K$1:$M$32,3,0)</f>
        <v>2024003050102</v>
      </c>
      <c r="G2028" s="67" t="s">
        <v>1521</v>
      </c>
      <c r="H2028" s="49" t="str">
        <f>VLOOKUP(Q2028,[2]PROYECTOS!$V$1:$W$32,2,0)</f>
        <v>050076</v>
      </c>
      <c r="I2028" s="78">
        <v>60000000</v>
      </c>
      <c r="J2028" s="51" t="s">
        <v>2234</v>
      </c>
      <c r="K2028" s="47" t="str">
        <f t="shared" ca="1" si="623"/>
        <v>CONTRATADO</v>
      </c>
      <c r="L2028" s="47" t="s">
        <v>94</v>
      </c>
      <c r="M2028" s="47" t="s">
        <v>255</v>
      </c>
      <c r="N2028" s="52" t="s">
        <v>1522</v>
      </c>
      <c r="O2028" s="51" t="e">
        <f>VLOOKUP(N2028,[2]!RUBROS[#All],3,0)</f>
        <v>#REF!</v>
      </c>
      <c r="P2028" s="53" t="e">
        <f>VLOOKUP(N2028,[2]!RUBROS[#All],2,0)</f>
        <v>#REF!</v>
      </c>
      <c r="Q2028" s="47" t="str">
        <f t="shared" si="624"/>
        <v>02</v>
      </c>
      <c r="R2028" s="47" t="str">
        <f t="shared" si="625"/>
        <v>0-101024</v>
      </c>
      <c r="S2028" s="339">
        <v>2</v>
      </c>
      <c r="T2028" s="393" t="s">
        <v>46</v>
      </c>
      <c r="U2028" s="326" t="e">
        <f ca="1">_xlfn.XLOOKUP(PAA_4[[#This Row],[ITEM]],[2]Contrato!A:A,[2]Contrato!Q:Q,"",0)</f>
        <v>#NAME?</v>
      </c>
      <c r="V2028" s="47" t="s">
        <v>95</v>
      </c>
      <c r="W2028" s="47" t="s">
        <v>200</v>
      </c>
      <c r="X2028" s="47" t="s">
        <v>200</v>
      </c>
      <c r="Y2028" s="55" t="e">
        <f ca="1">_xlfn.XLOOKUP(PAA_4[[#This Row],[ITEM]],[2]Contrato!A:A,[2]Contrato!B:B,"",0)</f>
        <v>#NAME?</v>
      </c>
      <c r="Z2028" s="47" t="e">
        <f ca="1">_xlfn.XLOOKUP(PAA_4[[#This Row],[ITEM]],[2]Contrato!A:A,[2]Contrato!G:G,"",0)</f>
        <v>#NAME?</v>
      </c>
      <c r="AA2028" s="47" t="e">
        <f ca="1">_xlfn.XLOOKUP(PAA_4[[#This Row],[ITEM]],[2]Contrato!A:A,[2]Contrato!T:T,"",0)</f>
        <v>#NAME?</v>
      </c>
      <c r="AB2028" s="55" t="e">
        <f ca="1">+MAX(PAA_4[[#This Row],[Comprometido Contrato]],PAA_4[[#This Row],[Comprometido Bolsa]])</f>
        <v>#NAME?</v>
      </c>
      <c r="AC2028" s="55" t="str">
        <f t="shared" ca="1" si="626"/>
        <v/>
      </c>
      <c r="AD2028" s="55" t="e">
        <f ca="1">IF(PAA_4[[#This Row],[ESTADO (formulado)]]="NO CONTRATADO",0,MAX(PAA_4[[#This Row],[Pago por Contrato]],PAA_4[[#This Row],[Pago por bolsa]]))</f>
        <v>#NAME?</v>
      </c>
      <c r="AE2028" s="55" t="str">
        <f t="shared" ca="1" si="627"/>
        <v/>
      </c>
      <c r="AF2028" s="47" t="e">
        <f t="shared" ca="1" si="628"/>
        <v>#NAME?</v>
      </c>
      <c r="AG2028" s="47">
        <f t="shared" si="629"/>
        <v>52010801</v>
      </c>
      <c r="AH2028" s="54">
        <f>IF(Q2028="22",IF(ISNUMBER(SEARCH("econ",PAA_4[[#This Row],[Actividad3]])),"Económico",IF(ISNUMBER(SEARCH("alim",PAA_4[[#This Row],[Actividad3]])),"Alimentación",IF(ISNUMBER(SEARCH("educ",PAA_4[[#This Row],[Actividad3]])),"Educativo","Técnico"))),0)</f>
        <v>0</v>
      </c>
      <c r="AI2028" s="47" t="e" cm="1">
        <f t="array" aca="1" ref="AI2028" ca="1">_xlfn.XLOOKUP(PAA_4[[#This Row],[RCP-RUBRO]],[2]!COMPROMISOS_2024[[#All],[concatenado]],[2]!COMPROMISOS_2024[[#All],[Total pagado]],"",0)</f>
        <v>#NAME?</v>
      </c>
      <c r="AJ2028" s="56">
        <f>IF(PAA_4[[#This Row],[BOLSA]]=0,0,SUMIFS([2]!COMPROMISOS_2024[[#All],[Total pagado]],[2]!COMPROMISOS_2024[[#All],[Bolsa]],PAA_4[[#This Row],[BOLSA]],[2]!COMPROMISOS_2024[[#All],[rubro]],PAA_4[[#This Row],[RCP-RUBRO]]))</f>
        <v>0</v>
      </c>
      <c r="AK2028" s="47" t="e" cm="1">
        <f t="array" aca="1" ref="AK2028" ca="1">_xlfn.XLOOKUP(PAA_4[[#This Row],[RCP-RUBRO]],[2]!COMPROMISOS_2024[[#All],[concatenado]],[2]!COMPROMISOS_2024[[#All],[Total Comprometido]],"",0)</f>
        <v>#NAME?</v>
      </c>
      <c r="AL2028" s="47">
        <f>IF(PAA_4[[#This Row],[BOLSA]]=0,0,SUMIFS([2]!COMPROMISOS_2024[[#All],[Total Comprometido]],[2]!COMPROMISOS_2024[[#All],[Bolsa]],PAA_4[[#This Row],[BOLSA]],[2]!COMPROMISOS_2024[[#All],[concatenado]],PAA_4[[#This Row],[RCP-RUBRO]]))</f>
        <v>0</v>
      </c>
    </row>
    <row r="2029" spans="1:38" s="19" customFormat="1" ht="31.5" customHeight="1">
      <c r="A2029" s="47" t="s">
        <v>82</v>
      </c>
      <c r="B2029" s="51">
        <v>90141502</v>
      </c>
      <c r="C2029" s="47" t="str">
        <f>VLOOKUP(PAA_4[[#This Row],[PROYECTO (formulado)2]],[2]PROYECTOS!$G$1:$L$32,6,0)</f>
        <v>SUBGERENCIA DE ALTOS LOGROS Y DEPORTE ASOCIADO</v>
      </c>
      <c r="D2029" s="47" t="str">
        <f>+IF(PAA_4[[#This Row],[UNIDAD DE CONTRATACION (formulado)]]="Subgerencia Administrativa y Financiera","FUNCIONAMIENTO","INVERSIÓN")</f>
        <v>INVERSIÓN</v>
      </c>
      <c r="E2029" s="48" t="str">
        <f>VLOOKUP(Q2029,[2]PROYECTOS!$G$1:$K$32,5,0)</f>
        <v>Apoyo económico a las organizaciones deportivas que representan en competencias al departamento de Antioquia</v>
      </c>
      <c r="F2029" s="48">
        <f>VLOOKUP(E2029,[2]PROYECTOS!$K$1:$M$32,3,0)</f>
        <v>2024003050102</v>
      </c>
      <c r="G2029" s="49" t="s">
        <v>1521</v>
      </c>
      <c r="H2029" s="49" t="str">
        <f>VLOOKUP(Q2029,[2]PROYECTOS!$V$1:$W$32,2,0)</f>
        <v>050076</v>
      </c>
      <c r="I2029" s="78">
        <v>1499873034</v>
      </c>
      <c r="J2029" s="51" t="s">
        <v>2144</v>
      </c>
      <c r="K2029" s="47" t="str">
        <f t="shared" ca="1" si="623"/>
        <v>CONTRATADO</v>
      </c>
      <c r="L2029" s="47" t="s">
        <v>94</v>
      </c>
      <c r="M2029" s="47" t="s">
        <v>42</v>
      </c>
      <c r="N2029" s="52" t="s">
        <v>1522</v>
      </c>
      <c r="O2029" s="51" t="e">
        <f>VLOOKUP(N2029,[2]!RUBROS[#All],3,0)</f>
        <v>#REF!</v>
      </c>
      <c r="P2029" s="53" t="e">
        <f>VLOOKUP(N2029,[2]!RUBROS[#All],2,0)</f>
        <v>#REF!</v>
      </c>
      <c r="Q2029" s="47" t="str">
        <f t="shared" si="624"/>
        <v>02</v>
      </c>
      <c r="R2029" s="47" t="str">
        <f t="shared" si="625"/>
        <v>0-101024</v>
      </c>
      <c r="S2029" s="339">
        <v>2.5</v>
      </c>
      <c r="T2029" s="59" t="s">
        <v>46</v>
      </c>
      <c r="U2029" s="326" t="e">
        <f ca="1">_xlfn.XLOOKUP(PAA_4[[#This Row],[ITEM]],[2]Contrato!A:A,[2]Contrato!Q:Q,"",0)</f>
        <v>#NAME?</v>
      </c>
      <c r="V2029" s="47" t="s">
        <v>95</v>
      </c>
      <c r="W2029" s="47" t="s">
        <v>204</v>
      </c>
      <c r="X2029" s="47" t="s">
        <v>204</v>
      </c>
      <c r="Y2029" s="55" t="e">
        <f ca="1">_xlfn.XLOOKUP(PAA_4[[#This Row],[ITEM]],[2]Contrato!A:A,[2]Contrato!B:B,"",0)</f>
        <v>#NAME?</v>
      </c>
      <c r="Z2029" s="47" t="e">
        <f ca="1">_xlfn.XLOOKUP(PAA_4[[#This Row],[ITEM]],[2]Contrato!A:A,[2]Contrato!G:G,"",0)</f>
        <v>#NAME?</v>
      </c>
      <c r="AA2029" s="47" t="e">
        <f ca="1">_xlfn.XLOOKUP(PAA_4[[#This Row],[ITEM]],[2]Contrato!A:A,[2]Contrato!T:T,"",0)</f>
        <v>#NAME?</v>
      </c>
      <c r="AB2029" s="55" t="e">
        <f ca="1">+MAX(PAA_4[[#This Row],[Comprometido Contrato]],PAA_4[[#This Row],[Comprometido Bolsa]])</f>
        <v>#NAME?</v>
      </c>
      <c r="AC2029" s="55" t="str">
        <f t="shared" ca="1" si="626"/>
        <v/>
      </c>
      <c r="AD2029" s="55" t="e">
        <f ca="1">IF(PAA_4[[#This Row],[ESTADO (formulado)]]="NO CONTRATADO",0,MAX(PAA_4[[#This Row],[Pago por Contrato]],PAA_4[[#This Row],[Pago por bolsa]]))</f>
        <v>#NAME?</v>
      </c>
      <c r="AE2029" s="55" t="str">
        <f t="shared" ca="1" si="627"/>
        <v/>
      </c>
      <c r="AF2029" s="47" t="e">
        <f t="shared" ca="1" si="628"/>
        <v>#NAME?</v>
      </c>
      <c r="AG2029" s="47">
        <f t="shared" si="629"/>
        <v>52010801</v>
      </c>
      <c r="AH2029" s="54">
        <f>IF(Q2029="22",IF(ISNUMBER(SEARCH("econ",PAA_4[[#This Row],[Actividad3]])),"Económico",IF(ISNUMBER(SEARCH("alim",PAA_4[[#This Row],[Actividad3]])),"Alimentación",IF(ISNUMBER(SEARCH("educ",PAA_4[[#This Row],[Actividad3]])),"Educativo","Técnico"))),0)</f>
        <v>0</v>
      </c>
      <c r="AI2029" s="47" t="e" cm="1">
        <f t="array" aca="1" ref="AI2029" ca="1">_xlfn.XLOOKUP(PAA_4[[#This Row],[RCP-RUBRO]],[2]!COMPROMISOS_2024[[#All],[concatenado]],[2]!COMPROMISOS_2024[[#All],[Total pagado]],"",0)</f>
        <v>#NAME?</v>
      </c>
      <c r="AJ2029" s="56">
        <f>IF(PAA_4[[#This Row],[BOLSA]]=0,0,SUMIFS([2]!COMPROMISOS_2024[[#All],[Total pagado]],[2]!COMPROMISOS_2024[[#All],[Bolsa]],PAA_4[[#This Row],[BOLSA]],[2]!COMPROMISOS_2024[[#All],[rubro]],PAA_4[[#This Row],[RCP-RUBRO]]))</f>
        <v>0</v>
      </c>
      <c r="AK2029" s="47" t="e" cm="1">
        <f t="array" aca="1" ref="AK2029" ca="1">_xlfn.XLOOKUP(PAA_4[[#This Row],[RCP-RUBRO]],[2]!COMPROMISOS_2024[[#All],[concatenado]],[2]!COMPROMISOS_2024[[#All],[Total Comprometido]],"",0)</f>
        <v>#NAME?</v>
      </c>
      <c r="AL2029" s="47">
        <f>IF(PAA_4[[#This Row],[BOLSA]]=0,0,SUMIFS([2]!COMPROMISOS_2024[[#All],[Total Comprometido]],[2]!COMPROMISOS_2024[[#All],[Bolsa]],PAA_4[[#This Row],[BOLSA]],[2]!COMPROMISOS_2024[[#All],[concatenado]],PAA_4[[#This Row],[RCP-RUBRO]]))</f>
        <v>0</v>
      </c>
    </row>
    <row r="2030" spans="1:38" s="19" customFormat="1" ht="31.5" customHeight="1">
      <c r="A2030" s="47">
        <v>1312</v>
      </c>
      <c r="B2030" s="51" t="s">
        <v>42</v>
      </c>
      <c r="C2030" s="47" t="str">
        <f>VLOOKUP(PAA_4[[#This Row],[PROYECTO (formulado)2]],[2]PROYECTOS!$G$1:$L$32,6,0)</f>
        <v>SUBGERENCIA DE ALTOS LOGROS Y DEPORTE ASOCIADO</v>
      </c>
      <c r="D2030" s="47" t="str">
        <f>+IF(PAA_4[[#This Row],[UNIDAD DE CONTRATACION (formulado)]]="Subgerencia Administrativa y Financiera","FUNCIONAMIENTO","INVERSIÓN")</f>
        <v>INVERSIÓN</v>
      </c>
      <c r="E2030" s="48" t="str">
        <f>VLOOKUP(Q2030,[2]PROYECTOS!$G$1:$K$32,5,0)</f>
        <v>Apoyo y subvención para satisfacer necesidades propias del proceso de preparación y competencia de los Atletas y Para-atletas de alto rendimiento del departamento de Antioquia</v>
      </c>
      <c r="F2030" s="48">
        <f>VLOOKUP(E2030,[2]PROYECTOS!$K$1:$M$32,3,0)</f>
        <v>2024003050085</v>
      </c>
      <c r="G2030" s="49" t="s">
        <v>1583</v>
      </c>
      <c r="H2030" s="49" t="str">
        <f>VLOOKUP(Q2030,[2]PROYECTOS!$V$1:$W$32,2,0)</f>
        <v>050077</v>
      </c>
      <c r="I2030" s="78">
        <v>3000000</v>
      </c>
      <c r="J2030" s="51" t="s">
        <v>2120</v>
      </c>
      <c r="K2030" s="47" t="str">
        <f t="shared" ca="1" si="623"/>
        <v>CONTRATADO</v>
      </c>
      <c r="L2030" s="47" t="s">
        <v>1236</v>
      </c>
      <c r="M2030" s="47" t="s">
        <v>1236</v>
      </c>
      <c r="N2030" s="52" t="s">
        <v>2100</v>
      </c>
      <c r="O2030" s="51" t="e">
        <f>VLOOKUP(N2030,[2]!RUBROS[#All],3,0)</f>
        <v>#REF!</v>
      </c>
      <c r="P2030" s="53" t="e">
        <f>VLOOKUP(N2030,[2]!RUBROS[#All],2,0)</f>
        <v>#REF!</v>
      </c>
      <c r="Q2030" s="47" t="str">
        <f t="shared" si="624"/>
        <v>85</v>
      </c>
      <c r="R2030" s="47" t="str">
        <f t="shared" si="625"/>
        <v>0-101024</v>
      </c>
      <c r="S2030" s="339">
        <v>40</v>
      </c>
      <c r="T2030" s="63" t="s">
        <v>120</v>
      </c>
      <c r="U2030" s="326" t="e">
        <f ca="1">_xlfn.XLOOKUP(PAA_4[[#This Row],[ITEM]],[2]Contrato!A:A,[2]Contrato!Q:Q,"",0)</f>
        <v>#NAME?</v>
      </c>
      <c r="V2030" s="47" t="s">
        <v>95</v>
      </c>
      <c r="W2030" s="47" t="s">
        <v>200</v>
      </c>
      <c r="X2030" s="47" t="s">
        <v>200</v>
      </c>
      <c r="Y2030" s="55" t="e">
        <f ca="1">_xlfn.XLOOKUP(PAA_4[[#This Row],[ITEM]],[2]Contrato!A:A,[2]Contrato!B:B,"",0)</f>
        <v>#NAME?</v>
      </c>
      <c r="Z2030" s="47" t="e">
        <f ca="1">_xlfn.XLOOKUP(PAA_4[[#This Row],[ITEM]],[2]Contrato!A:A,[2]Contrato!G:G,"",0)</f>
        <v>#NAME?</v>
      </c>
      <c r="AA2030" s="47" t="e">
        <f ca="1">_xlfn.XLOOKUP(PAA_4[[#This Row],[ITEM]],[2]Contrato!A:A,[2]Contrato!T:T,"",0)</f>
        <v>#NAME?</v>
      </c>
      <c r="AB2030" s="55" t="e">
        <f ca="1">+MAX(PAA_4[[#This Row],[Comprometido Contrato]],PAA_4[[#This Row],[Comprometido Bolsa]])</f>
        <v>#NAME?</v>
      </c>
      <c r="AC2030" s="55" t="str">
        <f t="shared" ca="1" si="626"/>
        <v/>
      </c>
      <c r="AD2030" s="55" t="e">
        <f ca="1">IF(PAA_4[[#This Row],[ESTADO (formulado)]]="NO CONTRATADO",0,MAX(PAA_4[[#This Row],[Pago por Contrato]],PAA_4[[#This Row],[Pago por bolsa]]))</f>
        <v>#NAME?</v>
      </c>
      <c r="AE2030" s="55" t="str">
        <f t="shared" ca="1" si="627"/>
        <v/>
      </c>
      <c r="AF2030" s="47" t="e">
        <f t="shared" ca="1" si="628"/>
        <v>#NAME?</v>
      </c>
      <c r="AG2030" s="47">
        <f t="shared" si="629"/>
        <v>52010803</v>
      </c>
      <c r="AH2030" s="54">
        <f>IF(Q2030="22",IF(ISNUMBER(SEARCH("econ",PAA_4[[#This Row],[Actividad3]])),"Económico",IF(ISNUMBER(SEARCH("alim",PAA_4[[#This Row],[Actividad3]])),"Alimentación",IF(ISNUMBER(SEARCH("educ",PAA_4[[#This Row],[Actividad3]])),"Educativo","Técnico"))),0)</f>
        <v>0</v>
      </c>
      <c r="AI2030" s="47" t="e" cm="1">
        <f t="array" aca="1" ref="AI2030" ca="1">_xlfn.XLOOKUP(PAA_4[[#This Row],[RCP-RUBRO]],[2]!COMPROMISOS_2024[[#All],[concatenado]],[2]!COMPROMISOS_2024[[#All],[Total pagado]],"",0)</f>
        <v>#NAME?</v>
      </c>
      <c r="AJ2030" s="56">
        <f>IF(PAA_4[[#This Row],[BOLSA]]=0,0,SUMIFS([2]!COMPROMISOS_2024[[#All],[Total pagado]],[2]!COMPROMISOS_2024[[#All],[Bolsa]],PAA_4[[#This Row],[BOLSA]],[2]!COMPROMISOS_2024[[#All],[rubro]],PAA_4[[#This Row],[RCP-RUBRO]]))</f>
        <v>0</v>
      </c>
      <c r="AK2030" s="47" t="e" cm="1">
        <f t="array" aca="1" ref="AK2030" ca="1">_xlfn.XLOOKUP(PAA_4[[#This Row],[RCP-RUBRO]],[2]!COMPROMISOS_2024[[#All],[concatenado]],[2]!COMPROMISOS_2024[[#All],[Total Comprometido]],"",0)</f>
        <v>#NAME?</v>
      </c>
      <c r="AL2030" s="47">
        <f>IF(PAA_4[[#This Row],[BOLSA]]=0,0,SUMIFS([2]!COMPROMISOS_2024[[#All],[Total Comprometido]],[2]!COMPROMISOS_2024[[#All],[Bolsa]],PAA_4[[#This Row],[BOLSA]],[2]!COMPROMISOS_2024[[#All],[concatenado]],PAA_4[[#This Row],[RCP-RUBRO]]))</f>
        <v>0</v>
      </c>
    </row>
    <row r="2031" spans="1:38" s="19" customFormat="1" ht="31.5" customHeight="1">
      <c r="A2031" s="47">
        <v>1237</v>
      </c>
      <c r="B2031" s="51" t="s">
        <v>2235</v>
      </c>
      <c r="C2031" s="47" t="str">
        <f>VLOOKUP(PAA_4[[#This Row],[PROYECTO (formulado)2]],[2]PROYECTOS!$G$1:$L$32,6,0)</f>
        <v>SUBGERENCIA DE ALTOS LOGROS Y DEPORTE ASOCIADO</v>
      </c>
      <c r="D2031" s="47" t="str">
        <f>+IF(PAA_4[[#This Row],[UNIDAD DE CONTRATACION (formulado)]]="Subgerencia Administrativa y Financiera","FUNCIONAMIENTO","INVERSIÓN")</f>
        <v>INVERSIÓN</v>
      </c>
      <c r="E2031" s="48" t="str">
        <f>VLOOKUP(Q2031,[2]PROYECTOS!$G$1:$K$32,5,0)</f>
        <v>Apoyo y subvención para satisfacer necesidades propias del proceso de preparación y competencia de los Atletas y Para-atletas de alto rendimiento del departamento de Antioquia</v>
      </c>
      <c r="F2031" s="48">
        <f>VLOOKUP(E2031,[2]PROYECTOS!$K$1:$M$32,3,0)</f>
        <v>2024003050085</v>
      </c>
      <c r="G2031" s="49" t="s">
        <v>2236</v>
      </c>
      <c r="H2031" s="49" t="str">
        <f>VLOOKUP(Q2031,[2]PROYECTOS!$V$1:$W$32,2,0)</f>
        <v>050077</v>
      </c>
      <c r="I2031" s="78">
        <v>100000000</v>
      </c>
      <c r="J2031" s="51" t="s">
        <v>2237</v>
      </c>
      <c r="K2031" s="47" t="str">
        <f t="shared" ca="1" si="623"/>
        <v>CONTRATADO</v>
      </c>
      <c r="L2031" s="47" t="s">
        <v>94</v>
      </c>
      <c r="M2031" s="47" t="s">
        <v>2113</v>
      </c>
      <c r="N2031" s="52" t="s">
        <v>2238</v>
      </c>
      <c r="O2031" s="51" t="e">
        <f>VLOOKUP(N2031,[2]!RUBROS[#All],3,0)</f>
        <v>#REF!</v>
      </c>
      <c r="P2031" s="53" t="e">
        <f>VLOOKUP(N2031,[2]!RUBROS[#All],2,0)</f>
        <v>#REF!</v>
      </c>
      <c r="Q2031" s="47" t="str">
        <f t="shared" si="624"/>
        <v>85</v>
      </c>
      <c r="R2031" s="47" t="str">
        <f t="shared" si="625"/>
        <v>0-101024</v>
      </c>
      <c r="S2031" s="339">
        <v>40</v>
      </c>
      <c r="T2031" s="63" t="s">
        <v>120</v>
      </c>
      <c r="U2031" s="326" t="e">
        <f ca="1">_xlfn.XLOOKUP(PAA_4[[#This Row],[ITEM]],[2]Contrato!A:A,[2]Contrato!Q:Q,"",0)</f>
        <v>#NAME?</v>
      </c>
      <c r="V2031" s="47" t="s">
        <v>95</v>
      </c>
      <c r="W2031" s="47" t="s">
        <v>200</v>
      </c>
      <c r="X2031" s="47" t="s">
        <v>200</v>
      </c>
      <c r="Y2031" s="55" t="e">
        <f ca="1">_xlfn.XLOOKUP(PAA_4[[#This Row],[ITEM]],[2]Contrato!A:A,[2]Contrato!B:B,"",0)</f>
        <v>#NAME?</v>
      </c>
      <c r="Z2031" s="47" t="e">
        <f ca="1">_xlfn.XLOOKUP(PAA_4[[#This Row],[ITEM]],[2]Contrato!A:A,[2]Contrato!G:G,"",0)</f>
        <v>#NAME?</v>
      </c>
      <c r="AA2031" s="47" t="e">
        <f ca="1">_xlfn.XLOOKUP(PAA_4[[#This Row],[ITEM]],[2]Contrato!A:A,[2]Contrato!T:T,"",0)</f>
        <v>#NAME?</v>
      </c>
      <c r="AB2031" s="55" t="e">
        <f ca="1">+MAX(PAA_4[[#This Row],[Comprometido Contrato]],PAA_4[[#This Row],[Comprometido Bolsa]])</f>
        <v>#NAME?</v>
      </c>
      <c r="AC2031" s="55" t="str">
        <f t="shared" ca="1" si="626"/>
        <v/>
      </c>
      <c r="AD2031" s="55" t="e">
        <f ca="1">IF(PAA_4[[#This Row],[ESTADO (formulado)]]="NO CONTRATADO",0,MAX(PAA_4[[#This Row],[Pago por Contrato]],PAA_4[[#This Row],[Pago por bolsa]]))</f>
        <v>#NAME?</v>
      </c>
      <c r="AE2031" s="55" t="str">
        <f t="shared" ca="1" si="627"/>
        <v/>
      </c>
      <c r="AF2031" s="47" t="e">
        <f t="shared" ca="1" si="628"/>
        <v>#NAME?</v>
      </c>
      <c r="AG2031" s="47">
        <f t="shared" si="629"/>
        <v>52010803</v>
      </c>
      <c r="AH2031" s="54">
        <f>IF(Q2031="22",IF(ISNUMBER(SEARCH("econ",PAA_4[[#This Row],[Actividad3]])),"Económico",IF(ISNUMBER(SEARCH("alim",PAA_4[[#This Row],[Actividad3]])),"Alimentación",IF(ISNUMBER(SEARCH("educ",PAA_4[[#This Row],[Actividad3]])),"Educativo","Técnico"))),0)</f>
        <v>0</v>
      </c>
      <c r="AI2031" s="47" t="e" cm="1">
        <f t="array" aca="1" ref="AI2031" ca="1">_xlfn.XLOOKUP(PAA_4[[#This Row],[RCP-RUBRO]],[2]!COMPROMISOS_2024[[#All],[concatenado]],[2]!COMPROMISOS_2024[[#All],[Total pagado]],"",0)</f>
        <v>#NAME?</v>
      </c>
      <c r="AJ2031" s="56">
        <f>IF(PAA_4[[#This Row],[BOLSA]]=0,0,SUMIFS([2]!COMPROMISOS_2024[[#All],[Total pagado]],[2]!COMPROMISOS_2024[[#All],[Bolsa]],PAA_4[[#This Row],[BOLSA]],[2]!COMPROMISOS_2024[[#All],[rubro]],PAA_4[[#This Row],[RCP-RUBRO]]))</f>
        <v>0</v>
      </c>
      <c r="AK2031" s="47" t="e" cm="1">
        <f t="array" aca="1" ref="AK2031" ca="1">_xlfn.XLOOKUP(PAA_4[[#This Row],[RCP-RUBRO]],[2]!COMPROMISOS_2024[[#All],[concatenado]],[2]!COMPROMISOS_2024[[#All],[Total Comprometido]],"",0)</f>
        <v>#NAME?</v>
      </c>
      <c r="AL2031" s="47">
        <f>IF(PAA_4[[#This Row],[BOLSA]]=0,0,SUMIFS([2]!COMPROMISOS_2024[[#All],[Total Comprometido]],[2]!COMPROMISOS_2024[[#All],[Bolsa]],PAA_4[[#This Row],[BOLSA]],[2]!COMPROMISOS_2024[[#All],[concatenado]],PAA_4[[#This Row],[RCP-RUBRO]]))</f>
        <v>0</v>
      </c>
    </row>
    <row r="2032" spans="1:38" s="19" customFormat="1" ht="31.5" customHeight="1">
      <c r="A2032" s="47" t="s">
        <v>82</v>
      </c>
      <c r="B2032" s="51" t="s">
        <v>42</v>
      </c>
      <c r="C2032" s="47" t="str">
        <f>VLOOKUP(PAA_4[[#This Row],[PROYECTO (formulado)2]],[2]PROYECTOS!$G$1:$L$32,6,0)</f>
        <v>SUBGERENCIA DE ALTOS LOGROS Y DEPORTE ASOCIADO</v>
      </c>
      <c r="D2032" s="47" t="str">
        <f>+IF(PAA_4[[#This Row],[UNIDAD DE CONTRATACION (formulado)]]="Subgerencia Administrativa y Financiera","FUNCIONAMIENTO","INVERSIÓN")</f>
        <v>INVERSIÓN</v>
      </c>
      <c r="E2032" s="48" t="str">
        <f>VLOOKUP(Q2032,[2]PROYECTOS!$G$1:$K$32,5,0)</f>
        <v>Apoyo y subvención para satisfacer necesidades propias del proceso de preparación y competencia de los Atletas y Para-atletas de alto rendimiento del departamento de Antioquia</v>
      </c>
      <c r="F2032" s="48">
        <f>VLOOKUP(E2032,[2]PROYECTOS!$K$1:$M$32,3,0)</f>
        <v>2024003050085</v>
      </c>
      <c r="G2032" s="49" t="s">
        <v>1583</v>
      </c>
      <c r="H2032" s="49" t="str">
        <f>VLOOKUP(Q2032,[2]PROYECTOS!$V$1:$W$32,2,0)</f>
        <v>050077</v>
      </c>
      <c r="I2032" s="78">
        <v>2664000000</v>
      </c>
      <c r="J2032" s="51" t="s">
        <v>2239</v>
      </c>
      <c r="K2032" s="47" t="str">
        <f t="shared" ca="1" si="623"/>
        <v>CONTRATADO</v>
      </c>
      <c r="L2032" s="47" t="s">
        <v>1236</v>
      </c>
      <c r="M2032" s="47" t="s">
        <v>42</v>
      </c>
      <c r="N2032" s="52" t="s">
        <v>2100</v>
      </c>
      <c r="O2032" s="51" t="e">
        <f>VLOOKUP(N2032,[2]!RUBROS[#All],3,0)</f>
        <v>#REF!</v>
      </c>
      <c r="P2032" s="53" t="e">
        <f>VLOOKUP(N2032,[2]!RUBROS[#All],2,0)</f>
        <v>#REF!</v>
      </c>
      <c r="Q2032" s="47" t="str">
        <f t="shared" si="624"/>
        <v>85</v>
      </c>
      <c r="R2032" s="47" t="str">
        <f t="shared" si="625"/>
        <v>0-101024</v>
      </c>
      <c r="S2032" s="339">
        <v>40</v>
      </c>
      <c r="T2032" s="63" t="s">
        <v>120</v>
      </c>
      <c r="U2032" s="326" t="e">
        <f ca="1">_xlfn.XLOOKUP(PAA_4[[#This Row],[ITEM]],[2]Contrato!A:A,[2]Contrato!Q:Q,"",0)</f>
        <v>#NAME?</v>
      </c>
      <c r="V2032" s="47" t="s">
        <v>95</v>
      </c>
      <c r="W2032" s="47" t="s">
        <v>204</v>
      </c>
      <c r="X2032" s="47" t="s">
        <v>204</v>
      </c>
      <c r="Y2032" s="55" t="e">
        <f ca="1">_xlfn.XLOOKUP(PAA_4[[#This Row],[ITEM]],[2]Contrato!A:A,[2]Contrato!B:B,"",0)</f>
        <v>#NAME?</v>
      </c>
      <c r="Z2032" s="47" t="e">
        <f ca="1">_xlfn.XLOOKUP(PAA_4[[#This Row],[ITEM]],[2]Contrato!A:A,[2]Contrato!G:G,"",0)</f>
        <v>#NAME?</v>
      </c>
      <c r="AA2032" s="47" t="e">
        <f ca="1">_xlfn.XLOOKUP(PAA_4[[#This Row],[ITEM]],[2]Contrato!A:A,[2]Contrato!T:T,"",0)</f>
        <v>#NAME?</v>
      </c>
      <c r="AB2032" s="55" t="e">
        <f ca="1">+MAX(PAA_4[[#This Row],[Comprometido Contrato]],PAA_4[[#This Row],[Comprometido Bolsa]])</f>
        <v>#NAME?</v>
      </c>
      <c r="AC2032" s="55" t="str">
        <f t="shared" ca="1" si="626"/>
        <v/>
      </c>
      <c r="AD2032" s="55" t="e">
        <f ca="1">IF(PAA_4[[#This Row],[ESTADO (formulado)]]="NO CONTRATADO",0,MAX(PAA_4[[#This Row],[Pago por Contrato]],PAA_4[[#This Row],[Pago por bolsa]]))</f>
        <v>#NAME?</v>
      </c>
      <c r="AE2032" s="55" t="str">
        <f t="shared" ca="1" si="627"/>
        <v/>
      </c>
      <c r="AF2032" s="47" t="e">
        <f t="shared" ca="1" si="628"/>
        <v>#NAME?</v>
      </c>
      <c r="AG2032" s="47">
        <f t="shared" si="629"/>
        <v>52010803</v>
      </c>
      <c r="AH2032" s="54">
        <f>IF(Q2032="22",IF(ISNUMBER(SEARCH("econ",PAA_4[[#This Row],[Actividad3]])),"Económico",IF(ISNUMBER(SEARCH("alim",PAA_4[[#This Row],[Actividad3]])),"Alimentación",IF(ISNUMBER(SEARCH("educ",PAA_4[[#This Row],[Actividad3]])),"Educativo","Técnico"))),0)</f>
        <v>0</v>
      </c>
      <c r="AI2032" s="47" t="e" cm="1">
        <f t="array" aca="1" ref="AI2032" ca="1">_xlfn.XLOOKUP(PAA_4[[#This Row],[RCP-RUBRO]],[2]!COMPROMISOS_2024[[#All],[concatenado]],[2]!COMPROMISOS_2024[[#All],[Total pagado]],"",0)</f>
        <v>#NAME?</v>
      </c>
      <c r="AJ2032" s="56">
        <f>IF(PAA_4[[#This Row],[BOLSA]]=0,0,SUMIFS([2]!COMPROMISOS_2024[[#All],[Total pagado]],[2]!COMPROMISOS_2024[[#All],[Bolsa]],PAA_4[[#This Row],[BOLSA]],[2]!COMPROMISOS_2024[[#All],[rubro]],PAA_4[[#This Row],[RCP-RUBRO]]))</f>
        <v>0</v>
      </c>
      <c r="AK2032" s="47" t="e" cm="1">
        <f t="array" aca="1" ref="AK2032" ca="1">_xlfn.XLOOKUP(PAA_4[[#This Row],[RCP-RUBRO]],[2]!COMPROMISOS_2024[[#All],[concatenado]],[2]!COMPROMISOS_2024[[#All],[Total Comprometido]],"",0)</f>
        <v>#NAME?</v>
      </c>
      <c r="AL2032" s="47">
        <f>IF(PAA_4[[#This Row],[BOLSA]]=0,0,SUMIFS([2]!COMPROMISOS_2024[[#All],[Total Comprometido]],[2]!COMPROMISOS_2024[[#All],[Bolsa]],PAA_4[[#This Row],[BOLSA]],[2]!COMPROMISOS_2024[[#All],[concatenado]],PAA_4[[#This Row],[RCP-RUBRO]]))</f>
        <v>0</v>
      </c>
    </row>
    <row r="2033" spans="1:38" s="19" customFormat="1" ht="31.5" customHeight="1">
      <c r="A2033" s="47" t="s">
        <v>82</v>
      </c>
      <c r="B2033" s="51" t="s">
        <v>42</v>
      </c>
      <c r="C2033" s="47" t="str">
        <f>VLOOKUP(PAA_4[[#This Row],[PROYECTO (formulado)2]],[2]PROYECTOS!$G$1:$L$32,6,0)</f>
        <v>SUBGERENCIA DE ALTOS LOGROS Y DEPORTE ASOCIADO</v>
      </c>
      <c r="D2033" s="47" t="str">
        <f>+IF(PAA_4[[#This Row],[UNIDAD DE CONTRATACION (formulado)]]="Subgerencia Administrativa y Financiera","FUNCIONAMIENTO","INVERSIÓN")</f>
        <v>INVERSIÓN</v>
      </c>
      <c r="E2033" s="48" t="str">
        <f>VLOOKUP(Q2033,[2]PROYECTOS!$G$1:$K$32,5,0)</f>
        <v>Apoyo y subvención para satisfacer necesidades propias del proceso de preparación y competencia de los Atletas y Para-atletas de alto rendimiento del departamento de Antioquia</v>
      </c>
      <c r="F2033" s="48">
        <f>VLOOKUP(E2033,[2]PROYECTOS!$K$1:$M$32,3,0)</f>
        <v>2024003050085</v>
      </c>
      <c r="G2033" s="49" t="s">
        <v>2098</v>
      </c>
      <c r="H2033" s="49" t="str">
        <f>VLOOKUP(Q2033,[2]PROYECTOS!$V$1:$W$32,2,0)</f>
        <v>050077</v>
      </c>
      <c r="I2033" s="78">
        <v>200000000</v>
      </c>
      <c r="J2033" s="51" t="s">
        <v>2240</v>
      </c>
      <c r="K2033" s="47" t="str">
        <f t="shared" ca="1" si="623"/>
        <v>CONTRATADO</v>
      </c>
      <c r="L2033" s="47" t="s">
        <v>1236</v>
      </c>
      <c r="M2033" s="47" t="s">
        <v>42</v>
      </c>
      <c r="N2033" s="52" t="s">
        <v>2100</v>
      </c>
      <c r="O2033" s="51" t="e">
        <f>VLOOKUP(N2033,[2]!RUBROS[#All],3,0)</f>
        <v>#REF!</v>
      </c>
      <c r="P2033" s="53" t="e">
        <f>VLOOKUP(N2033,[2]!RUBROS[#All],2,0)</f>
        <v>#REF!</v>
      </c>
      <c r="Q2033" s="47" t="str">
        <f t="shared" si="624"/>
        <v>85</v>
      </c>
      <c r="R2033" s="47" t="str">
        <f t="shared" si="625"/>
        <v>0-101024</v>
      </c>
      <c r="S2033" s="339">
        <v>2.5</v>
      </c>
      <c r="T2033" s="59" t="s">
        <v>46</v>
      </c>
      <c r="U2033" s="326" t="e">
        <f ca="1">_xlfn.XLOOKUP(PAA_4[[#This Row],[ITEM]],[2]Contrato!A:A,[2]Contrato!Q:Q,"",0)</f>
        <v>#NAME?</v>
      </c>
      <c r="V2033" s="47" t="s">
        <v>95</v>
      </c>
      <c r="W2033" s="47" t="s">
        <v>204</v>
      </c>
      <c r="X2033" s="47" t="s">
        <v>204</v>
      </c>
      <c r="Y2033" s="55" t="e">
        <f ca="1">_xlfn.XLOOKUP(PAA_4[[#This Row],[ITEM]],[2]Contrato!A:A,[2]Contrato!B:B,"",0)</f>
        <v>#NAME?</v>
      </c>
      <c r="Z2033" s="47" t="e">
        <f ca="1">_xlfn.XLOOKUP(PAA_4[[#This Row],[ITEM]],[2]Contrato!A:A,[2]Contrato!G:G,"",0)</f>
        <v>#NAME?</v>
      </c>
      <c r="AA2033" s="47" t="e">
        <f ca="1">_xlfn.XLOOKUP(PAA_4[[#This Row],[ITEM]],[2]Contrato!A:A,[2]Contrato!T:T,"",0)</f>
        <v>#NAME?</v>
      </c>
      <c r="AB2033" s="55" t="e">
        <f ca="1">+MAX(PAA_4[[#This Row],[Comprometido Contrato]],PAA_4[[#This Row],[Comprometido Bolsa]])</f>
        <v>#NAME?</v>
      </c>
      <c r="AC2033" s="55" t="str">
        <f t="shared" ca="1" si="626"/>
        <v/>
      </c>
      <c r="AD2033" s="55" t="e">
        <f ca="1">IF(PAA_4[[#This Row],[ESTADO (formulado)]]="NO CONTRATADO",0,MAX(PAA_4[[#This Row],[Pago por Contrato]],PAA_4[[#This Row],[Pago por bolsa]]))</f>
        <v>#NAME?</v>
      </c>
      <c r="AE2033" s="55" t="str">
        <f t="shared" ca="1" si="627"/>
        <v/>
      </c>
      <c r="AF2033" s="47" t="e">
        <f t="shared" ca="1" si="628"/>
        <v>#NAME?</v>
      </c>
      <c r="AG2033" s="47">
        <f t="shared" si="629"/>
        <v>52010803</v>
      </c>
      <c r="AH2033" s="54">
        <f>IF(Q2033="22",IF(ISNUMBER(SEARCH("econ",PAA_4[[#This Row],[Actividad3]])),"Económico",IF(ISNUMBER(SEARCH("alim",PAA_4[[#This Row],[Actividad3]])),"Alimentación",IF(ISNUMBER(SEARCH("educ",PAA_4[[#This Row],[Actividad3]])),"Educativo","Técnico"))),0)</f>
        <v>0</v>
      </c>
      <c r="AI2033" s="47" t="e" cm="1">
        <f t="array" aca="1" ref="AI2033" ca="1">_xlfn.XLOOKUP(PAA_4[[#This Row],[RCP-RUBRO]],[2]!COMPROMISOS_2024[[#All],[concatenado]],[2]!COMPROMISOS_2024[[#All],[Total pagado]],"",0)</f>
        <v>#NAME?</v>
      </c>
      <c r="AJ2033" s="56">
        <f>IF(PAA_4[[#This Row],[BOLSA]]=0,0,SUMIFS([2]!COMPROMISOS_2024[[#All],[Total pagado]],[2]!COMPROMISOS_2024[[#All],[Bolsa]],PAA_4[[#This Row],[BOLSA]],[2]!COMPROMISOS_2024[[#All],[rubro]],PAA_4[[#This Row],[RCP-RUBRO]]))</f>
        <v>0</v>
      </c>
      <c r="AK2033" s="47" t="e" cm="1">
        <f t="array" aca="1" ref="AK2033" ca="1">_xlfn.XLOOKUP(PAA_4[[#This Row],[RCP-RUBRO]],[2]!COMPROMISOS_2024[[#All],[concatenado]],[2]!COMPROMISOS_2024[[#All],[Total Comprometido]],"",0)</f>
        <v>#NAME?</v>
      </c>
      <c r="AL2033" s="47">
        <f>IF(PAA_4[[#This Row],[BOLSA]]=0,0,SUMIFS([2]!COMPROMISOS_2024[[#All],[Total Comprometido]],[2]!COMPROMISOS_2024[[#All],[Bolsa]],PAA_4[[#This Row],[BOLSA]],[2]!COMPROMISOS_2024[[#All],[concatenado]],PAA_4[[#This Row],[RCP-RUBRO]]))</f>
        <v>0</v>
      </c>
    </row>
    <row r="2034" spans="1:38" s="19" customFormat="1" ht="31.5" customHeight="1">
      <c r="A2034" s="47" t="s">
        <v>82</v>
      </c>
      <c r="B2034" s="51" t="s">
        <v>42</v>
      </c>
      <c r="C2034" s="47" t="str">
        <f>VLOOKUP(PAA_4[[#This Row],[PROYECTO (formulado)2]],[2]PROYECTOS!$G$1:$L$32,6,0)</f>
        <v>SUBGERENCIA DE ALTOS LOGROS Y DEPORTE ASOCIADO</v>
      </c>
      <c r="D2034" s="47" t="str">
        <f>+IF(PAA_4[[#This Row],[UNIDAD DE CONTRATACION (formulado)]]="Subgerencia Administrativa y Financiera","FUNCIONAMIENTO","INVERSIÓN")</f>
        <v>INVERSIÓN</v>
      </c>
      <c r="E2034" s="48" t="str">
        <f>VLOOKUP(Q2034,[2]PROYECTOS!$G$1:$K$32,5,0)</f>
        <v>Apoyo y subvención para satisfacer necesidades propias del proceso de preparación y competencia de los Atletas y Para-atletas de alto rendimiento del departamento de Antioquia</v>
      </c>
      <c r="F2034" s="48">
        <f>VLOOKUP(E2034,[2]PROYECTOS!$K$1:$M$32,3,0)</f>
        <v>2024003050085</v>
      </c>
      <c r="G2034" s="49" t="s">
        <v>2202</v>
      </c>
      <c r="H2034" s="49" t="str">
        <f>VLOOKUP(Q2034,[2]PROYECTOS!$V$1:$W$32,2,0)</f>
        <v>050077</v>
      </c>
      <c r="I2034" s="78">
        <v>300000000</v>
      </c>
      <c r="J2034" s="51" t="s">
        <v>2241</v>
      </c>
      <c r="K2034" s="47" t="str">
        <f t="shared" ca="1" si="623"/>
        <v>CONTRATADO</v>
      </c>
      <c r="L2034" s="47" t="s">
        <v>1236</v>
      </c>
      <c r="M2034" s="47" t="s">
        <v>42</v>
      </c>
      <c r="N2034" s="52" t="s">
        <v>2100</v>
      </c>
      <c r="O2034" s="51" t="e">
        <f>VLOOKUP(N2034,[2]!RUBROS[#All],3,0)</f>
        <v>#REF!</v>
      </c>
      <c r="P2034" s="53" t="e">
        <f>VLOOKUP(N2034,[2]!RUBROS[#All],2,0)</f>
        <v>#REF!</v>
      </c>
      <c r="Q2034" s="47" t="str">
        <f t="shared" si="624"/>
        <v>85</v>
      </c>
      <c r="R2034" s="47" t="str">
        <f t="shared" si="625"/>
        <v>0-101024</v>
      </c>
      <c r="S2034" s="339">
        <v>2.5</v>
      </c>
      <c r="T2034" s="59" t="s">
        <v>46</v>
      </c>
      <c r="U2034" s="326" t="e">
        <f ca="1">_xlfn.XLOOKUP(PAA_4[[#This Row],[ITEM]],[2]Contrato!A:A,[2]Contrato!Q:Q,"",0)</f>
        <v>#NAME?</v>
      </c>
      <c r="V2034" s="47" t="s">
        <v>95</v>
      </c>
      <c r="W2034" s="47" t="s">
        <v>204</v>
      </c>
      <c r="X2034" s="47" t="s">
        <v>204</v>
      </c>
      <c r="Y2034" s="55" t="e">
        <f ca="1">_xlfn.XLOOKUP(PAA_4[[#This Row],[ITEM]],[2]Contrato!A:A,[2]Contrato!B:B,"",0)</f>
        <v>#NAME?</v>
      </c>
      <c r="Z2034" s="47" t="e">
        <f ca="1">_xlfn.XLOOKUP(PAA_4[[#This Row],[ITEM]],[2]Contrato!A:A,[2]Contrato!G:G,"",0)</f>
        <v>#NAME?</v>
      </c>
      <c r="AA2034" s="47" t="e">
        <f ca="1">_xlfn.XLOOKUP(PAA_4[[#This Row],[ITEM]],[2]Contrato!A:A,[2]Contrato!T:T,"",0)</f>
        <v>#NAME?</v>
      </c>
      <c r="AB2034" s="55" t="e">
        <f ca="1">+MAX(PAA_4[[#This Row],[Comprometido Contrato]],PAA_4[[#This Row],[Comprometido Bolsa]])</f>
        <v>#NAME?</v>
      </c>
      <c r="AC2034" s="55" t="str">
        <f t="shared" ca="1" si="626"/>
        <v/>
      </c>
      <c r="AD2034" s="55" t="e">
        <f ca="1">IF(PAA_4[[#This Row],[ESTADO (formulado)]]="NO CONTRATADO",0,MAX(PAA_4[[#This Row],[Pago por Contrato]],PAA_4[[#This Row],[Pago por bolsa]]))</f>
        <v>#NAME?</v>
      </c>
      <c r="AE2034" s="55" t="str">
        <f t="shared" ca="1" si="627"/>
        <v/>
      </c>
      <c r="AF2034" s="47" t="e">
        <f t="shared" ca="1" si="628"/>
        <v>#NAME?</v>
      </c>
      <c r="AG2034" s="47">
        <f t="shared" si="629"/>
        <v>52010803</v>
      </c>
      <c r="AH2034" s="54">
        <f>IF(Q2034="22",IF(ISNUMBER(SEARCH("econ",PAA_4[[#This Row],[Actividad3]])),"Económico",IF(ISNUMBER(SEARCH("alim",PAA_4[[#This Row],[Actividad3]])),"Alimentación",IF(ISNUMBER(SEARCH("educ",PAA_4[[#This Row],[Actividad3]])),"Educativo","Técnico"))),0)</f>
        <v>0</v>
      </c>
      <c r="AI2034" s="47" t="e" cm="1">
        <f t="array" aca="1" ref="AI2034" ca="1">_xlfn.XLOOKUP(PAA_4[[#This Row],[RCP-RUBRO]],[2]!COMPROMISOS_2024[[#All],[concatenado]],[2]!COMPROMISOS_2024[[#All],[Total pagado]],"",0)</f>
        <v>#NAME?</v>
      </c>
      <c r="AJ2034" s="56">
        <f>IF(PAA_4[[#This Row],[BOLSA]]=0,0,SUMIFS([2]!COMPROMISOS_2024[[#All],[Total pagado]],[2]!COMPROMISOS_2024[[#All],[Bolsa]],PAA_4[[#This Row],[BOLSA]],[2]!COMPROMISOS_2024[[#All],[rubro]],PAA_4[[#This Row],[RCP-RUBRO]]))</f>
        <v>0</v>
      </c>
      <c r="AK2034" s="47" t="e" cm="1">
        <f t="array" aca="1" ref="AK2034" ca="1">_xlfn.XLOOKUP(PAA_4[[#This Row],[RCP-RUBRO]],[2]!COMPROMISOS_2024[[#All],[concatenado]],[2]!COMPROMISOS_2024[[#All],[Total Comprometido]],"",0)</f>
        <v>#NAME?</v>
      </c>
      <c r="AL2034" s="47">
        <f>IF(PAA_4[[#This Row],[BOLSA]]=0,0,SUMIFS([2]!COMPROMISOS_2024[[#All],[Total Comprometido]],[2]!COMPROMISOS_2024[[#All],[Bolsa]],PAA_4[[#This Row],[BOLSA]],[2]!COMPROMISOS_2024[[#All],[concatenado]],PAA_4[[#This Row],[RCP-RUBRO]]))</f>
        <v>0</v>
      </c>
    </row>
    <row r="2035" spans="1:38" s="19" customFormat="1" ht="31.5" customHeight="1">
      <c r="A2035" s="47" t="s">
        <v>82</v>
      </c>
      <c r="B2035" s="51" t="s">
        <v>42</v>
      </c>
      <c r="C2035" s="47" t="str">
        <f>VLOOKUP(PAA_4[[#This Row],[PROYECTO (formulado)2]],[2]PROYECTOS!$G$1:$L$32,6,0)</f>
        <v>SUBGERENCIA DE ALTOS LOGROS Y DEPORTE ASOCIADO</v>
      </c>
      <c r="D2035" s="47" t="str">
        <f>+IF(PAA_4[[#This Row],[UNIDAD DE CONTRATACION (formulado)]]="Subgerencia Administrativa y Financiera","FUNCIONAMIENTO","INVERSIÓN")</f>
        <v>INVERSIÓN</v>
      </c>
      <c r="E2035" s="48" t="str">
        <f>VLOOKUP(Q2035,[2]PROYECTOS!$G$1:$K$32,5,0)</f>
        <v>Apoyo y subvención para satisfacer necesidades propias del proceso de preparación y competencia de los Atletas y Para-atletas de alto rendimiento del departamento de Antioquia</v>
      </c>
      <c r="F2035" s="48">
        <f>VLOOKUP(E2035,[2]PROYECTOS!$K$1:$M$32,3,0)</f>
        <v>2024003050085</v>
      </c>
      <c r="G2035" s="49" t="s">
        <v>2242</v>
      </c>
      <c r="H2035" s="49" t="str">
        <f>VLOOKUP(Q2035,[2]PROYECTOS!$V$1:$W$32,2,0)</f>
        <v>050077</v>
      </c>
      <c r="I2035" s="78">
        <v>1000000000</v>
      </c>
      <c r="J2035" s="51" t="s">
        <v>2243</v>
      </c>
      <c r="K2035" s="47" t="str">
        <f t="shared" ca="1" si="623"/>
        <v>CONTRATADO</v>
      </c>
      <c r="L2035" s="47" t="s">
        <v>1236</v>
      </c>
      <c r="M2035" s="47" t="s">
        <v>42</v>
      </c>
      <c r="N2035" s="52" t="s">
        <v>2100</v>
      </c>
      <c r="O2035" s="51" t="e">
        <f>VLOOKUP(N2035,[2]!RUBROS[#All],3,0)</f>
        <v>#REF!</v>
      </c>
      <c r="P2035" s="53" t="e">
        <f>VLOOKUP(N2035,[2]!RUBROS[#All],2,0)</f>
        <v>#REF!</v>
      </c>
      <c r="Q2035" s="47" t="str">
        <f t="shared" si="624"/>
        <v>85</v>
      </c>
      <c r="R2035" s="47" t="str">
        <f t="shared" si="625"/>
        <v>0-101024</v>
      </c>
      <c r="S2035" s="339">
        <v>2.5</v>
      </c>
      <c r="T2035" s="59" t="s">
        <v>46</v>
      </c>
      <c r="U2035" s="326" t="e">
        <f ca="1">_xlfn.XLOOKUP(PAA_4[[#This Row],[ITEM]],[2]Contrato!A:A,[2]Contrato!Q:Q,"",0)</f>
        <v>#NAME?</v>
      </c>
      <c r="V2035" s="47" t="s">
        <v>95</v>
      </c>
      <c r="W2035" s="47" t="s">
        <v>204</v>
      </c>
      <c r="X2035" s="47" t="s">
        <v>204</v>
      </c>
      <c r="Y2035" s="55" t="e">
        <f ca="1">_xlfn.XLOOKUP(PAA_4[[#This Row],[ITEM]],[2]Contrato!A:A,[2]Contrato!B:B,"",0)</f>
        <v>#NAME?</v>
      </c>
      <c r="Z2035" s="47" t="e">
        <f ca="1">_xlfn.XLOOKUP(PAA_4[[#This Row],[ITEM]],[2]Contrato!A:A,[2]Contrato!G:G,"",0)</f>
        <v>#NAME?</v>
      </c>
      <c r="AA2035" s="47" t="e">
        <f ca="1">_xlfn.XLOOKUP(PAA_4[[#This Row],[ITEM]],[2]Contrato!A:A,[2]Contrato!T:T,"",0)</f>
        <v>#NAME?</v>
      </c>
      <c r="AB2035" s="55" t="e">
        <f ca="1">+MAX(PAA_4[[#This Row],[Comprometido Contrato]],PAA_4[[#This Row],[Comprometido Bolsa]])</f>
        <v>#NAME?</v>
      </c>
      <c r="AC2035" s="55" t="str">
        <f t="shared" ca="1" si="626"/>
        <v/>
      </c>
      <c r="AD2035" s="55" t="e">
        <f ca="1">IF(PAA_4[[#This Row],[ESTADO (formulado)]]="NO CONTRATADO",0,MAX(PAA_4[[#This Row],[Pago por Contrato]],PAA_4[[#This Row],[Pago por bolsa]]))</f>
        <v>#NAME?</v>
      </c>
      <c r="AE2035" s="55" t="str">
        <f t="shared" ca="1" si="627"/>
        <v/>
      </c>
      <c r="AF2035" s="47" t="e">
        <f t="shared" ca="1" si="628"/>
        <v>#NAME?</v>
      </c>
      <c r="AG2035" s="47">
        <f t="shared" si="629"/>
        <v>52010803</v>
      </c>
      <c r="AH2035" s="54">
        <f>IF(Q2035="22",IF(ISNUMBER(SEARCH("econ",PAA_4[[#This Row],[Actividad3]])),"Económico",IF(ISNUMBER(SEARCH("alim",PAA_4[[#This Row],[Actividad3]])),"Alimentación",IF(ISNUMBER(SEARCH("educ",PAA_4[[#This Row],[Actividad3]])),"Educativo","Técnico"))),0)</f>
        <v>0</v>
      </c>
      <c r="AI2035" s="47" t="e" cm="1">
        <f t="array" aca="1" ref="AI2035" ca="1">_xlfn.XLOOKUP(PAA_4[[#This Row],[RCP-RUBRO]],[2]!COMPROMISOS_2024[[#All],[concatenado]],[2]!COMPROMISOS_2024[[#All],[Total pagado]],"",0)</f>
        <v>#NAME?</v>
      </c>
      <c r="AJ2035" s="56">
        <f>IF(PAA_4[[#This Row],[BOLSA]]=0,0,SUMIFS([2]!COMPROMISOS_2024[[#All],[Total pagado]],[2]!COMPROMISOS_2024[[#All],[Bolsa]],PAA_4[[#This Row],[BOLSA]],[2]!COMPROMISOS_2024[[#All],[rubro]],PAA_4[[#This Row],[RCP-RUBRO]]))</f>
        <v>0</v>
      </c>
      <c r="AK2035" s="47" t="e" cm="1">
        <f t="array" aca="1" ref="AK2035" ca="1">_xlfn.XLOOKUP(PAA_4[[#This Row],[RCP-RUBRO]],[2]!COMPROMISOS_2024[[#All],[concatenado]],[2]!COMPROMISOS_2024[[#All],[Total Comprometido]],"",0)</f>
        <v>#NAME?</v>
      </c>
      <c r="AL2035" s="47">
        <f>IF(PAA_4[[#This Row],[BOLSA]]=0,0,SUMIFS([2]!COMPROMISOS_2024[[#All],[Total Comprometido]],[2]!COMPROMISOS_2024[[#All],[Bolsa]],PAA_4[[#This Row],[BOLSA]],[2]!COMPROMISOS_2024[[#All],[concatenado]],PAA_4[[#This Row],[RCP-RUBRO]]))</f>
        <v>0</v>
      </c>
    </row>
    <row r="2036" spans="1:38" s="19" customFormat="1" ht="31.5" customHeight="1">
      <c r="A2036" s="47" t="s">
        <v>2244</v>
      </c>
      <c r="B2036" s="51" t="s">
        <v>2245</v>
      </c>
      <c r="C2036" s="47" t="str">
        <f>VLOOKUP(PAA_4[[#This Row],[PROYECTO (formulado)2]],[2]PROYECTOS!$G$1:$L$32,6,0)</f>
        <v>SUBGERENCIA DE ALTOS LOGROS Y DEPORTE ASOCIADO</v>
      </c>
      <c r="D2036" s="47" t="str">
        <f>+IF(PAA_4[[#This Row],[UNIDAD DE CONTRATACION (formulado)]]="Subgerencia Administrativa y Financiera","FUNCIONAMIENTO","INVERSIÓN")</f>
        <v>INVERSIÓN</v>
      </c>
      <c r="E2036" s="48" t="str">
        <f>VLOOKUP(Q2036,[2]PROYECTOS!$G$1:$K$32,5,0)</f>
        <v>Apoyo y subvención para satisfacer necesidades propias del proceso de preparación y competencia de los Atletas y Para-atletas de alto rendimiento del departamento de Antioquia</v>
      </c>
      <c r="F2036" s="48">
        <f>VLOOKUP(E2036,[2]PROYECTOS!$K$1:$M$32,3,0)</f>
        <v>2024003050085</v>
      </c>
      <c r="G2036" s="49" t="s">
        <v>1750</v>
      </c>
      <c r="H2036" s="49" t="str">
        <f>VLOOKUP(Q2036,[2]PROYECTOS!$V$1:$W$32,2,0)</f>
        <v>050077</v>
      </c>
      <c r="I2036" s="50">
        <f>4000000000-6813000</f>
        <v>3993187000</v>
      </c>
      <c r="J2036" s="51" t="s">
        <v>2210</v>
      </c>
      <c r="K2036" s="47" t="str">
        <f t="shared" ca="1" si="623"/>
        <v>CONTRATADO</v>
      </c>
      <c r="L2036" s="47" t="s">
        <v>94</v>
      </c>
      <c r="M2036" s="47" t="s">
        <v>161</v>
      </c>
      <c r="N2036" s="52" t="s">
        <v>1751</v>
      </c>
      <c r="O2036" s="51" t="e">
        <f>VLOOKUP(N2036,[2]!RUBROS[#All],3,0)</f>
        <v>#REF!</v>
      </c>
      <c r="P2036" s="53" t="e">
        <f>VLOOKUP(N2036,[2]!RUBROS[#All],2,0)</f>
        <v>#REF!</v>
      </c>
      <c r="Q2036" s="47" t="str">
        <f t="shared" si="624"/>
        <v>85</v>
      </c>
      <c r="R2036" s="47" t="str">
        <f t="shared" si="625"/>
        <v>0-101024</v>
      </c>
      <c r="S2036" s="339">
        <v>2.5</v>
      </c>
      <c r="T2036" s="59" t="s">
        <v>46</v>
      </c>
      <c r="U2036" s="326" t="e">
        <f ca="1">_xlfn.XLOOKUP(PAA_4[[#This Row],[ITEM]],[2]Contrato!A:A,[2]Contrato!Q:Q,"",0)</f>
        <v>#NAME?</v>
      </c>
      <c r="V2036" s="47" t="s">
        <v>95</v>
      </c>
      <c r="W2036" s="47" t="s">
        <v>204</v>
      </c>
      <c r="X2036" s="47" t="s">
        <v>204</v>
      </c>
      <c r="Y2036" s="55" t="e">
        <f ca="1">_xlfn.XLOOKUP(PAA_4[[#This Row],[ITEM]],[2]Contrato!A:A,[2]Contrato!B:B,"",0)</f>
        <v>#NAME?</v>
      </c>
      <c r="Z2036" s="47" t="e">
        <f ca="1">_xlfn.XLOOKUP(PAA_4[[#This Row],[ITEM]],[2]Contrato!A:A,[2]Contrato!G:G,"",0)</f>
        <v>#NAME?</v>
      </c>
      <c r="AA2036" s="47" t="e">
        <f ca="1">_xlfn.XLOOKUP(PAA_4[[#This Row],[ITEM]],[2]Contrato!A:A,[2]Contrato!T:T,"",0)</f>
        <v>#NAME?</v>
      </c>
      <c r="AB2036" s="55" t="e">
        <f ca="1">+MAX(PAA_4[[#This Row],[Comprometido Contrato]],PAA_4[[#This Row],[Comprometido Bolsa]])</f>
        <v>#NAME?</v>
      </c>
      <c r="AC2036" s="55" t="str">
        <f t="shared" ca="1" si="626"/>
        <v/>
      </c>
      <c r="AD2036" s="55" t="e">
        <f ca="1">IF(PAA_4[[#This Row],[ESTADO (formulado)]]="NO CONTRATADO",0,MAX(PAA_4[[#This Row],[Pago por Contrato]],PAA_4[[#This Row],[Pago por bolsa]]))</f>
        <v>#NAME?</v>
      </c>
      <c r="AE2036" s="55" t="str">
        <f t="shared" ca="1" si="627"/>
        <v/>
      </c>
      <c r="AF2036" s="47" t="e">
        <f t="shared" ca="1" si="628"/>
        <v>#NAME?</v>
      </c>
      <c r="AG2036" s="47">
        <f t="shared" si="629"/>
        <v>52010803</v>
      </c>
      <c r="AH2036" s="54">
        <f>IF(Q2036="22",IF(ISNUMBER(SEARCH("econ",PAA_4[[#This Row],[Actividad3]])),"Económico",IF(ISNUMBER(SEARCH("alim",PAA_4[[#This Row],[Actividad3]])),"Alimentación",IF(ISNUMBER(SEARCH("educ",PAA_4[[#This Row],[Actividad3]])),"Educativo","Técnico"))),0)</f>
        <v>0</v>
      </c>
      <c r="AI2036" s="47" t="e" cm="1">
        <f t="array" aca="1" ref="AI2036" ca="1">_xlfn.XLOOKUP(PAA_4[[#This Row],[RCP-RUBRO]],[2]!COMPROMISOS_2024[[#All],[concatenado]],[2]!COMPROMISOS_2024[[#All],[Total pagado]],"",0)</f>
        <v>#NAME?</v>
      </c>
      <c r="AJ2036" s="56">
        <f>IF(PAA_4[[#This Row],[BOLSA]]=0,0,SUMIFS([2]!COMPROMISOS_2024[[#All],[Total pagado]],[2]!COMPROMISOS_2024[[#All],[Bolsa]],PAA_4[[#This Row],[BOLSA]],[2]!COMPROMISOS_2024[[#All],[rubro]],PAA_4[[#This Row],[RCP-RUBRO]]))</f>
        <v>0</v>
      </c>
      <c r="AK2036" s="47" t="e" cm="1">
        <f t="array" aca="1" ref="AK2036" ca="1">_xlfn.XLOOKUP(PAA_4[[#This Row],[RCP-RUBRO]],[2]!COMPROMISOS_2024[[#All],[concatenado]],[2]!COMPROMISOS_2024[[#All],[Total Comprometido]],"",0)</f>
        <v>#NAME?</v>
      </c>
      <c r="AL2036" s="47">
        <f>IF(PAA_4[[#This Row],[BOLSA]]=0,0,SUMIFS([2]!COMPROMISOS_2024[[#All],[Total Comprometido]],[2]!COMPROMISOS_2024[[#All],[Bolsa]],PAA_4[[#This Row],[BOLSA]],[2]!COMPROMISOS_2024[[#All],[concatenado]],PAA_4[[#This Row],[RCP-RUBRO]]))</f>
        <v>0</v>
      </c>
    </row>
    <row r="2037" spans="1:38" s="19" customFormat="1" ht="31.5" customHeight="1">
      <c r="A2037" s="47" t="s">
        <v>82</v>
      </c>
      <c r="B2037" s="51" t="s">
        <v>42</v>
      </c>
      <c r="C2037" s="47" t="str">
        <f>VLOOKUP(PAA_4[[#This Row],[PROYECTO (formulado)2]],[2]PROYECTOS!$G$1:$L$32,6,0)</f>
        <v>SUBGERENCIA DE ALTOS LOGROS Y DEPORTE ASOCIADO</v>
      </c>
      <c r="D2037" s="47" t="str">
        <f>+IF(PAA_4[[#This Row],[UNIDAD DE CONTRATACION (formulado)]]="Subgerencia Administrativa y Financiera","FUNCIONAMIENTO","INVERSIÓN")</f>
        <v>INVERSIÓN</v>
      </c>
      <c r="E2037" s="48" t="str">
        <f>VLOOKUP(Q2037,[2]PROYECTOS!$G$1:$K$32,5,0)</f>
        <v>Apoyo y subvención para satisfacer necesidades propias del proceso de preparación y competencia de los Atletas y Para-atletas de alto rendimiento del departamento de Antioquia</v>
      </c>
      <c r="F2037" s="48">
        <f>VLOOKUP(E2037,[2]PROYECTOS!$K$1:$M$32,3,0)</f>
        <v>2024003050085</v>
      </c>
      <c r="G2037" s="49" t="s">
        <v>2207</v>
      </c>
      <c r="H2037" s="49" t="str">
        <f>VLOOKUP(Q2037,[2]PROYECTOS!$V$1:$W$32,2,0)</f>
        <v>050077</v>
      </c>
      <c r="I2037" s="78">
        <v>470000000</v>
      </c>
      <c r="J2037" s="51" t="s">
        <v>2246</v>
      </c>
      <c r="K2037" s="47" t="str">
        <f t="shared" ca="1" si="623"/>
        <v>CONTRATADO</v>
      </c>
      <c r="L2037" s="47" t="s">
        <v>1236</v>
      </c>
      <c r="M2037" s="47" t="s">
        <v>42</v>
      </c>
      <c r="N2037" s="52" t="s">
        <v>2100</v>
      </c>
      <c r="O2037" s="51" t="e">
        <f>VLOOKUP(N2037,[2]!RUBROS[#All],3,0)</f>
        <v>#REF!</v>
      </c>
      <c r="P2037" s="53" t="e">
        <f>VLOOKUP(N2037,[2]!RUBROS[#All],2,0)</f>
        <v>#REF!</v>
      </c>
      <c r="Q2037" s="47" t="str">
        <f t="shared" si="624"/>
        <v>85</v>
      </c>
      <c r="R2037" s="47" t="str">
        <f t="shared" si="625"/>
        <v>0-101024</v>
      </c>
      <c r="S2037" s="339">
        <v>2.5</v>
      </c>
      <c r="T2037" s="59" t="s">
        <v>46</v>
      </c>
      <c r="U2037" s="326" t="e">
        <f ca="1">_xlfn.XLOOKUP(PAA_4[[#This Row],[ITEM]],[2]Contrato!A:A,[2]Contrato!Q:Q,"",0)</f>
        <v>#NAME?</v>
      </c>
      <c r="V2037" s="47" t="s">
        <v>95</v>
      </c>
      <c r="W2037" s="47" t="s">
        <v>204</v>
      </c>
      <c r="X2037" s="47" t="s">
        <v>204</v>
      </c>
      <c r="Y2037" s="55" t="e">
        <f ca="1">_xlfn.XLOOKUP(PAA_4[[#This Row],[ITEM]],[2]Contrato!A:A,[2]Contrato!B:B,"",0)</f>
        <v>#NAME?</v>
      </c>
      <c r="Z2037" s="47" t="e">
        <f ca="1">_xlfn.XLOOKUP(PAA_4[[#This Row],[ITEM]],[2]Contrato!A:A,[2]Contrato!G:G,"",0)</f>
        <v>#NAME?</v>
      </c>
      <c r="AA2037" s="47" t="e">
        <f ca="1">_xlfn.XLOOKUP(PAA_4[[#This Row],[ITEM]],[2]Contrato!A:A,[2]Contrato!T:T,"",0)</f>
        <v>#NAME?</v>
      </c>
      <c r="AB2037" s="55" t="e">
        <f ca="1">+MAX(PAA_4[[#This Row],[Comprometido Contrato]],PAA_4[[#This Row],[Comprometido Bolsa]])</f>
        <v>#NAME?</v>
      </c>
      <c r="AC2037" s="55" t="str">
        <f t="shared" ca="1" si="626"/>
        <v/>
      </c>
      <c r="AD2037" s="55" t="e">
        <f ca="1">IF(PAA_4[[#This Row],[ESTADO (formulado)]]="NO CONTRATADO",0,MAX(PAA_4[[#This Row],[Pago por Contrato]],PAA_4[[#This Row],[Pago por bolsa]]))</f>
        <v>#NAME?</v>
      </c>
      <c r="AE2037" s="55" t="str">
        <f t="shared" ca="1" si="627"/>
        <v/>
      </c>
      <c r="AF2037" s="47" t="e">
        <f t="shared" ca="1" si="628"/>
        <v>#NAME?</v>
      </c>
      <c r="AG2037" s="47">
        <f t="shared" si="629"/>
        <v>52010803</v>
      </c>
      <c r="AH2037" s="54">
        <f>IF(Q2037="22",IF(ISNUMBER(SEARCH("econ",PAA_4[[#This Row],[Actividad3]])),"Económico",IF(ISNUMBER(SEARCH("alim",PAA_4[[#This Row],[Actividad3]])),"Alimentación",IF(ISNUMBER(SEARCH("educ",PAA_4[[#This Row],[Actividad3]])),"Educativo","Técnico"))),0)</f>
        <v>0</v>
      </c>
      <c r="AI2037" s="47" t="e" cm="1">
        <f t="array" aca="1" ref="AI2037" ca="1">_xlfn.XLOOKUP(PAA_4[[#This Row],[RCP-RUBRO]],[2]!COMPROMISOS_2024[[#All],[concatenado]],[2]!COMPROMISOS_2024[[#All],[Total pagado]],"",0)</f>
        <v>#NAME?</v>
      </c>
      <c r="AJ2037" s="56">
        <f>IF(PAA_4[[#This Row],[BOLSA]]=0,0,SUMIFS([2]!COMPROMISOS_2024[[#All],[Total pagado]],[2]!COMPROMISOS_2024[[#All],[Bolsa]],PAA_4[[#This Row],[BOLSA]],[2]!COMPROMISOS_2024[[#All],[rubro]],PAA_4[[#This Row],[RCP-RUBRO]]))</f>
        <v>0</v>
      </c>
      <c r="AK2037" s="47" t="e" cm="1">
        <f t="array" aca="1" ref="AK2037" ca="1">_xlfn.XLOOKUP(PAA_4[[#This Row],[RCP-RUBRO]],[2]!COMPROMISOS_2024[[#All],[concatenado]],[2]!COMPROMISOS_2024[[#All],[Total Comprometido]],"",0)</f>
        <v>#NAME?</v>
      </c>
      <c r="AL2037" s="47">
        <f>IF(PAA_4[[#This Row],[BOLSA]]=0,0,SUMIFS([2]!COMPROMISOS_2024[[#All],[Total Comprometido]],[2]!COMPROMISOS_2024[[#All],[Bolsa]],PAA_4[[#This Row],[BOLSA]],[2]!COMPROMISOS_2024[[#All],[concatenado]],PAA_4[[#This Row],[RCP-RUBRO]]))</f>
        <v>0</v>
      </c>
    </row>
    <row r="2038" spans="1:38" s="19" customFormat="1" ht="31.5" customHeight="1">
      <c r="A2038" s="47" t="s">
        <v>82</v>
      </c>
      <c r="B2038" s="51" t="s">
        <v>42</v>
      </c>
      <c r="C2038" s="47" t="str">
        <f>VLOOKUP(PAA_4[[#This Row],[PROYECTO (formulado)2]],[2]PROYECTOS!$G$1:$L$32,6,0)</f>
        <v>SUBGERENCIA DE ALTOS LOGROS Y DEPORTE ASOCIADO</v>
      </c>
      <c r="D2038" s="47" t="str">
        <f>+IF(PAA_4[[#This Row],[UNIDAD DE CONTRATACION (formulado)]]="Subgerencia Administrativa y Financiera","FUNCIONAMIENTO","INVERSIÓN")</f>
        <v>INVERSIÓN</v>
      </c>
      <c r="E2038" s="48" t="str">
        <f>VLOOKUP(Q2038,[2]PROYECTOS!$G$1:$K$32,5,0)</f>
        <v>Apoyo y subvención para satisfacer necesidades propias del proceso de preparación y competencia de los Atletas y Para-atletas de alto rendimiento del departamento de Antioquia</v>
      </c>
      <c r="F2038" s="48">
        <f>VLOOKUP(E2038,[2]PROYECTOS!$K$1:$M$32,3,0)</f>
        <v>2024003050085</v>
      </c>
      <c r="G2038" s="49" t="s">
        <v>2207</v>
      </c>
      <c r="H2038" s="49" t="str">
        <f>VLOOKUP(Q2038,[2]PROYECTOS!$V$1:$W$32,2,0)</f>
        <v>050077</v>
      </c>
      <c r="I2038" s="78">
        <v>700000000</v>
      </c>
      <c r="J2038" s="51" t="s">
        <v>2208</v>
      </c>
      <c r="K2038" s="47" t="str">
        <f t="shared" ca="1" si="623"/>
        <v>CONTRATADO</v>
      </c>
      <c r="L2038" s="47" t="s">
        <v>94</v>
      </c>
      <c r="M2038" s="47" t="s">
        <v>42</v>
      </c>
      <c r="N2038" s="52" t="s">
        <v>2100</v>
      </c>
      <c r="O2038" s="51" t="e">
        <f>VLOOKUP(N2038,[2]!RUBROS[#All],3,0)</f>
        <v>#REF!</v>
      </c>
      <c r="P2038" s="53" t="e">
        <f>VLOOKUP(N2038,[2]!RUBROS[#All],2,0)</f>
        <v>#REF!</v>
      </c>
      <c r="Q2038" s="47" t="str">
        <f t="shared" si="624"/>
        <v>85</v>
      </c>
      <c r="R2038" s="47" t="str">
        <f t="shared" si="625"/>
        <v>0-101024</v>
      </c>
      <c r="S2038" s="339">
        <v>2.5</v>
      </c>
      <c r="T2038" s="59" t="s">
        <v>46</v>
      </c>
      <c r="U2038" s="326" t="e">
        <f ca="1">_xlfn.XLOOKUP(PAA_4[[#This Row],[ITEM]],[2]Contrato!A:A,[2]Contrato!Q:Q,"",0)</f>
        <v>#NAME?</v>
      </c>
      <c r="V2038" s="47" t="s">
        <v>95</v>
      </c>
      <c r="W2038" s="47" t="s">
        <v>204</v>
      </c>
      <c r="X2038" s="47" t="s">
        <v>204</v>
      </c>
      <c r="Y2038" s="55" t="e">
        <f ca="1">_xlfn.XLOOKUP(PAA_4[[#This Row],[ITEM]],[2]Contrato!A:A,[2]Contrato!B:B,"",0)</f>
        <v>#NAME?</v>
      </c>
      <c r="Z2038" s="47" t="e">
        <f ca="1">_xlfn.XLOOKUP(PAA_4[[#This Row],[ITEM]],[2]Contrato!A:A,[2]Contrato!G:G,"",0)</f>
        <v>#NAME?</v>
      </c>
      <c r="AA2038" s="47" t="e">
        <f ca="1">_xlfn.XLOOKUP(PAA_4[[#This Row],[ITEM]],[2]Contrato!A:A,[2]Contrato!T:T,"",0)</f>
        <v>#NAME?</v>
      </c>
      <c r="AB2038" s="55" t="e">
        <f ca="1">+MAX(PAA_4[[#This Row],[Comprometido Contrato]],PAA_4[[#This Row],[Comprometido Bolsa]])</f>
        <v>#NAME?</v>
      </c>
      <c r="AC2038" s="55" t="str">
        <f t="shared" ca="1" si="626"/>
        <v/>
      </c>
      <c r="AD2038" s="55" t="e">
        <f ca="1">IF(PAA_4[[#This Row],[ESTADO (formulado)]]="NO CONTRATADO",0,MAX(PAA_4[[#This Row],[Pago por Contrato]],PAA_4[[#This Row],[Pago por bolsa]]))</f>
        <v>#NAME?</v>
      </c>
      <c r="AE2038" s="55" t="str">
        <f t="shared" ca="1" si="627"/>
        <v/>
      </c>
      <c r="AF2038" s="47" t="e">
        <f t="shared" ca="1" si="628"/>
        <v>#NAME?</v>
      </c>
      <c r="AG2038" s="47">
        <f t="shared" si="629"/>
        <v>52010803</v>
      </c>
      <c r="AH2038" s="54">
        <f>IF(Q2038="22",IF(ISNUMBER(SEARCH("econ",PAA_4[[#This Row],[Actividad3]])),"Económico",IF(ISNUMBER(SEARCH("alim",PAA_4[[#This Row],[Actividad3]])),"Alimentación",IF(ISNUMBER(SEARCH("educ",PAA_4[[#This Row],[Actividad3]])),"Educativo","Técnico"))),0)</f>
        <v>0</v>
      </c>
      <c r="AI2038" s="47" t="e" cm="1">
        <f t="array" aca="1" ref="AI2038" ca="1">_xlfn.XLOOKUP(PAA_4[[#This Row],[RCP-RUBRO]],[2]!COMPROMISOS_2024[[#All],[concatenado]],[2]!COMPROMISOS_2024[[#All],[Total pagado]],"",0)</f>
        <v>#NAME?</v>
      </c>
      <c r="AJ2038" s="56">
        <f>IF(PAA_4[[#This Row],[BOLSA]]=0,0,SUMIFS([2]!COMPROMISOS_2024[[#All],[Total pagado]],[2]!COMPROMISOS_2024[[#All],[Bolsa]],PAA_4[[#This Row],[BOLSA]],[2]!COMPROMISOS_2024[[#All],[rubro]],PAA_4[[#This Row],[RCP-RUBRO]]))</f>
        <v>0</v>
      </c>
      <c r="AK2038" s="47" t="e" cm="1">
        <f t="array" aca="1" ref="AK2038" ca="1">_xlfn.XLOOKUP(PAA_4[[#This Row],[RCP-RUBRO]],[2]!COMPROMISOS_2024[[#All],[concatenado]],[2]!COMPROMISOS_2024[[#All],[Total Comprometido]],"",0)</f>
        <v>#NAME?</v>
      </c>
      <c r="AL2038" s="47">
        <f>IF(PAA_4[[#This Row],[BOLSA]]=0,0,SUMIFS([2]!COMPROMISOS_2024[[#All],[Total Comprometido]],[2]!COMPROMISOS_2024[[#All],[Bolsa]],PAA_4[[#This Row],[BOLSA]],[2]!COMPROMISOS_2024[[#All],[concatenado]],PAA_4[[#This Row],[RCP-RUBRO]]))</f>
        <v>0</v>
      </c>
    </row>
    <row r="2039" spans="1:38" s="19" customFormat="1" ht="31.5" customHeight="1">
      <c r="A2039" s="47" t="s">
        <v>82</v>
      </c>
      <c r="B2039" s="47" t="s">
        <v>42</v>
      </c>
      <c r="C2039" s="47" t="str">
        <f>VLOOKUP(PAA_4[[#This Row],[PROYECTO (formulado)2]],[2]PROYECTOS!$G$1:$L$32,6,0)</f>
        <v>SUBGERENCIA DE ALTOS LOGROS Y DEPORTE ASOCIADO</v>
      </c>
      <c r="D2039" s="47" t="str">
        <f>+IF(PAA_4[[#This Row],[UNIDAD DE CONTRATACION (formulado)]]="Subgerencia Administrativa y Financiera","FUNCIONAMIENTO","INVERSIÓN")</f>
        <v>INVERSIÓN</v>
      </c>
      <c r="E2039" s="48" t="str">
        <f>VLOOKUP(Q2039,[2]PROYECTOS!$G$1:$K$32,5,0)</f>
        <v>Apoyo y subvención para satisfacer necesidades propias del proceso de preparación y competencia de los Atletas y Para-atletas de alto rendimiento del departamento de Antioquia</v>
      </c>
      <c r="F2039" s="48">
        <f>VLOOKUP(E2039,[2]PROYECTOS!$K$1:$M$32,3,0)</f>
        <v>2024003050085</v>
      </c>
      <c r="G2039" s="49" t="s">
        <v>2084</v>
      </c>
      <c r="H2039" s="49" t="str">
        <f>VLOOKUP(Q2039,[2]PROYECTOS!$V$1:$W$32,2,0)</f>
        <v>050077</v>
      </c>
      <c r="I2039" s="78">
        <v>15504372</v>
      </c>
      <c r="J2039" s="51" t="s">
        <v>2132</v>
      </c>
      <c r="K2039" s="47" t="str">
        <f t="shared" ca="1" si="623"/>
        <v>CONTRATADO</v>
      </c>
      <c r="L2039" s="47" t="s">
        <v>42</v>
      </c>
      <c r="M2039" s="51" t="s">
        <v>42</v>
      </c>
      <c r="N2039" s="52" t="s">
        <v>2085</v>
      </c>
      <c r="O2039" s="51" t="e">
        <f>VLOOKUP(N2039,[2]!RUBROS[#All],3,0)</f>
        <v>#REF!</v>
      </c>
      <c r="P2039" s="53" t="e">
        <f>VLOOKUP(N2039,[2]!RUBROS[#All],2,0)</f>
        <v>#REF!</v>
      </c>
      <c r="Q2039" s="47" t="str">
        <f t="shared" si="624"/>
        <v>85</v>
      </c>
      <c r="R2039" s="47" t="str">
        <f t="shared" si="625"/>
        <v>4-101124</v>
      </c>
      <c r="S2039" s="339" t="s">
        <v>42</v>
      </c>
      <c r="T2039" s="339" t="s">
        <v>42</v>
      </c>
      <c r="U2039" s="326" t="e">
        <f ca="1">_xlfn.XLOOKUP(PAA_4[[#This Row],[ITEM]],[2]Contrato!A:A,[2]Contrato!Q:Q,"",0)</f>
        <v>#NAME?</v>
      </c>
      <c r="V2039" s="47" t="s">
        <v>42</v>
      </c>
      <c r="W2039" s="47" t="s">
        <v>42</v>
      </c>
      <c r="X2039" s="47" t="s">
        <v>42</v>
      </c>
      <c r="Y2039" s="55" t="e">
        <f ca="1">_xlfn.XLOOKUP(PAA_4[[#This Row],[ITEM]],[2]Contrato!A:A,[2]Contrato!B:B,"",0)</f>
        <v>#NAME?</v>
      </c>
      <c r="Z2039" s="47" t="e">
        <f ca="1">_xlfn.XLOOKUP(PAA_4[[#This Row],[ITEM]],[2]Contrato!A:A,[2]Contrato!G:G,"",0)</f>
        <v>#NAME?</v>
      </c>
      <c r="AA2039" s="47" t="e">
        <f ca="1">_xlfn.XLOOKUP(PAA_4[[#This Row],[ITEM]],[2]Contrato!A:A,[2]Contrato!T:T,"",0)</f>
        <v>#NAME?</v>
      </c>
      <c r="AB2039" s="55" t="e">
        <f ca="1">+MAX(PAA_4[[#This Row],[Comprometido Contrato]],PAA_4[[#This Row],[Comprometido Bolsa]])</f>
        <v>#NAME?</v>
      </c>
      <c r="AC2039" s="55" t="str">
        <f t="shared" ca="1" si="626"/>
        <v/>
      </c>
      <c r="AD2039" s="55" t="e">
        <f ca="1">IF(PAA_4[[#This Row],[ESTADO (formulado)]]="NO CONTRATADO",0,MAX(PAA_4[[#This Row],[Pago por Contrato]],PAA_4[[#This Row],[Pago por bolsa]]))</f>
        <v>#NAME?</v>
      </c>
      <c r="AE2039" s="55" t="str">
        <f t="shared" ca="1" si="627"/>
        <v/>
      </c>
      <c r="AF2039" s="47" t="e">
        <f t="shared" ca="1" si="628"/>
        <v>#NAME?</v>
      </c>
      <c r="AG2039" s="47">
        <f t="shared" si="629"/>
        <v>52010803</v>
      </c>
      <c r="AH2039" s="54">
        <f>IF(Q2039="22",IF(ISNUMBER(SEARCH("econ",PAA_4[[#This Row],[Actividad3]])),"Económico",IF(ISNUMBER(SEARCH("alim",PAA_4[[#This Row],[Actividad3]])),"Alimentación",IF(ISNUMBER(SEARCH("educ",PAA_4[[#This Row],[Actividad3]])),"Educativo","Técnico"))),0)</f>
        <v>0</v>
      </c>
      <c r="AI2039" s="47" t="e" cm="1">
        <f t="array" aca="1" ref="AI2039" ca="1">_xlfn.XLOOKUP(PAA_4[[#This Row],[RCP-RUBRO]],[2]!COMPROMISOS_2024[[#All],[concatenado]],[2]!COMPROMISOS_2024[[#All],[Total pagado]],"",0)</f>
        <v>#NAME?</v>
      </c>
      <c r="AJ2039" s="56">
        <f>IF(PAA_4[[#This Row],[BOLSA]]=0,0,SUMIFS([2]!COMPROMISOS_2024[[#All],[Total pagado]],[2]!COMPROMISOS_2024[[#All],[Bolsa]],PAA_4[[#This Row],[BOLSA]],[2]!COMPROMISOS_2024[[#All],[rubro]],PAA_4[[#This Row],[RCP-RUBRO]]))</f>
        <v>0</v>
      </c>
      <c r="AK2039" s="47" t="e" cm="1">
        <f t="array" aca="1" ref="AK2039" ca="1">_xlfn.XLOOKUP(PAA_4[[#This Row],[RCP-RUBRO]],[2]!COMPROMISOS_2024[[#All],[concatenado]],[2]!COMPROMISOS_2024[[#All],[Total Comprometido]],"",0)</f>
        <v>#NAME?</v>
      </c>
      <c r="AL2039" s="47">
        <f>IF(PAA_4[[#This Row],[BOLSA]]=0,0,SUMIFS([2]!COMPROMISOS_2024[[#All],[Total Comprometido]],[2]!COMPROMISOS_2024[[#All],[Bolsa]],PAA_4[[#This Row],[BOLSA]],[2]!COMPROMISOS_2024[[#All],[concatenado]],PAA_4[[#This Row],[RCP-RUBRO]]))</f>
        <v>0</v>
      </c>
    </row>
    <row r="2040" spans="1:38" s="19" customFormat="1" ht="31.5" customHeight="1">
      <c r="A2040" s="47">
        <v>1039</v>
      </c>
      <c r="B2040" s="47" t="s">
        <v>2247</v>
      </c>
      <c r="C2040" s="47" t="str">
        <f>VLOOKUP(PAA_4[[#This Row],[PROYECTO (formulado)2]],[2]PROYECTOS!$G$1:$L$32,6,0)</f>
        <v>SUBGERENCIA DE ALTOS LOGROS Y DEPORTE ASOCIADO</v>
      </c>
      <c r="D2040" s="47" t="str">
        <f>+IF(PAA_4[[#This Row],[UNIDAD DE CONTRATACION (formulado)]]="Subgerencia Administrativa y Financiera","FUNCIONAMIENTO","INVERSIÓN")</f>
        <v>INVERSIÓN</v>
      </c>
      <c r="E2040" s="48" t="str">
        <f>VLOOKUP(Q2040,[2]PROYECTOS!$G$1:$K$32,5,0)</f>
        <v>Apoyo y subvención para satisfacer necesidades propias del proceso de preparación y competencia de los Atletas y Para-atletas de alto rendimiento del departamento de Antioquia</v>
      </c>
      <c r="F2040" s="48">
        <f>VLOOKUP(E2040,[2]PROYECTOS!$K$1:$M$32,3,0)</f>
        <v>2024003050085</v>
      </c>
      <c r="G2040" s="49" t="s">
        <v>2084</v>
      </c>
      <c r="H2040" s="49" t="str">
        <f>VLOOKUP(Q2040,[2]PROYECTOS!$V$1:$W$32,2,0)</f>
        <v>050077</v>
      </c>
      <c r="I2040" s="78">
        <f>350000000-15504372-15504372</f>
        <v>318991256</v>
      </c>
      <c r="J2040" s="51" t="s">
        <v>2248</v>
      </c>
      <c r="K2040" s="47" t="str">
        <f t="shared" ca="1" si="623"/>
        <v>CONTRATADO</v>
      </c>
      <c r="L2040" s="47" t="s">
        <v>264</v>
      </c>
      <c r="M2040" s="47" t="s">
        <v>2113</v>
      </c>
      <c r="N2040" s="52" t="s">
        <v>2085</v>
      </c>
      <c r="O2040" s="51" t="e">
        <f>VLOOKUP(N2040,[2]!RUBROS[#All],3,0)</f>
        <v>#REF!</v>
      </c>
      <c r="P2040" s="53" t="e">
        <f>VLOOKUP(N2040,[2]!RUBROS[#All],2,0)</f>
        <v>#REF!</v>
      </c>
      <c r="Q2040" s="47" t="str">
        <f t="shared" si="624"/>
        <v>85</v>
      </c>
      <c r="R2040" s="47" t="str">
        <f t="shared" si="625"/>
        <v>4-101124</v>
      </c>
      <c r="S2040" s="339">
        <v>3</v>
      </c>
      <c r="T2040" s="59" t="s">
        <v>46</v>
      </c>
      <c r="U2040" s="326" t="e">
        <f ca="1">_xlfn.XLOOKUP(PAA_4[[#This Row],[ITEM]],[2]Contrato!A:A,[2]Contrato!Q:Q,"",0)</f>
        <v>#NAME?</v>
      </c>
      <c r="V2040" s="47" t="s">
        <v>95</v>
      </c>
      <c r="W2040" s="47" t="s">
        <v>203</v>
      </c>
      <c r="X2040" s="47" t="s">
        <v>203</v>
      </c>
      <c r="Y2040" s="55" t="e">
        <f ca="1">_xlfn.XLOOKUP(PAA_4[[#This Row],[ITEM]],[2]Contrato!A:A,[2]Contrato!B:B,"",0)</f>
        <v>#NAME?</v>
      </c>
      <c r="Z2040" s="47" t="e">
        <f ca="1">_xlfn.XLOOKUP(PAA_4[[#This Row],[ITEM]],[2]Contrato!A:A,[2]Contrato!G:G,"",0)</f>
        <v>#NAME?</v>
      </c>
      <c r="AA2040" s="47" t="e">
        <f ca="1">_xlfn.XLOOKUP(PAA_4[[#This Row],[ITEM]],[2]Contrato!A:A,[2]Contrato!T:T,"",0)</f>
        <v>#NAME?</v>
      </c>
      <c r="AB2040" s="55" t="e">
        <f ca="1">+MAX(PAA_4[[#This Row],[Comprometido Contrato]],PAA_4[[#This Row],[Comprometido Bolsa]])</f>
        <v>#NAME?</v>
      </c>
      <c r="AC2040" s="55" t="str">
        <f t="shared" ca="1" si="626"/>
        <v/>
      </c>
      <c r="AD2040" s="55" t="e">
        <f ca="1">IF(PAA_4[[#This Row],[ESTADO (formulado)]]="NO CONTRATADO",0,MAX(PAA_4[[#This Row],[Pago por Contrato]],PAA_4[[#This Row],[Pago por bolsa]]))</f>
        <v>#NAME?</v>
      </c>
      <c r="AE2040" s="55" t="str">
        <f t="shared" ca="1" si="627"/>
        <v/>
      </c>
      <c r="AF2040" s="47" t="e">
        <f t="shared" ca="1" si="628"/>
        <v>#NAME?</v>
      </c>
      <c r="AG2040" s="47">
        <f t="shared" si="629"/>
        <v>52010803</v>
      </c>
      <c r="AH2040" s="54">
        <f>IF(Q2040="22",IF(ISNUMBER(SEARCH("econ",PAA_4[[#This Row],[Actividad3]])),"Económico",IF(ISNUMBER(SEARCH("alim",PAA_4[[#This Row],[Actividad3]])),"Alimentación",IF(ISNUMBER(SEARCH("educ",PAA_4[[#This Row],[Actividad3]])),"Educativo","Técnico"))),0)</f>
        <v>0</v>
      </c>
      <c r="AI2040" s="47" t="e" cm="1">
        <f t="array" aca="1" ref="AI2040" ca="1">_xlfn.XLOOKUP(PAA_4[[#This Row],[RCP-RUBRO]],[2]!COMPROMISOS_2024[[#All],[concatenado]],[2]!COMPROMISOS_2024[[#All],[Total pagado]],"",0)</f>
        <v>#NAME?</v>
      </c>
      <c r="AJ2040" s="56">
        <f>IF(PAA_4[[#This Row],[BOLSA]]=0,0,SUMIFS([2]!COMPROMISOS_2024[[#All],[Total pagado]],[2]!COMPROMISOS_2024[[#All],[Bolsa]],PAA_4[[#This Row],[BOLSA]],[2]!COMPROMISOS_2024[[#All],[rubro]],PAA_4[[#This Row],[RCP-RUBRO]]))</f>
        <v>0</v>
      </c>
      <c r="AK2040" s="47" t="e" cm="1">
        <f t="array" aca="1" ref="AK2040" ca="1">_xlfn.XLOOKUP(PAA_4[[#This Row],[RCP-RUBRO]],[2]!COMPROMISOS_2024[[#All],[concatenado]],[2]!COMPROMISOS_2024[[#All],[Total Comprometido]],"",0)</f>
        <v>#NAME?</v>
      </c>
      <c r="AL2040" s="47">
        <f>IF(PAA_4[[#This Row],[BOLSA]]=0,0,SUMIFS([2]!COMPROMISOS_2024[[#All],[Total Comprometido]],[2]!COMPROMISOS_2024[[#All],[Bolsa]],PAA_4[[#This Row],[BOLSA]],[2]!COMPROMISOS_2024[[#All],[concatenado]],PAA_4[[#This Row],[RCP-RUBRO]]))</f>
        <v>0</v>
      </c>
    </row>
    <row r="2041" spans="1:38" s="19" customFormat="1" ht="31.5" customHeight="1">
      <c r="A2041" s="47" t="s">
        <v>82</v>
      </c>
      <c r="B2041" s="47">
        <v>72101500</v>
      </c>
      <c r="C2041" s="47" t="str">
        <f>VLOOKUP(PAA_4[[#This Row],[PROYECTO (formulado)2]],[2]PROYECTOS!$G$1:$L$32,6,0)</f>
        <v>SUBGERENCIA ESCENARIOS DEPORTIVOS Y EQUIPAMIENTOS</v>
      </c>
      <c r="D2041" s="47" t="str">
        <f>+IF(PAA_4[[#This Row],[UNIDAD DE CONTRATACION (formulado)]]="Subgerencia Administrativa y Financiera","FUNCIONAMIENTO","INVERSIÓN")</f>
        <v>INVERSIÓN</v>
      </c>
      <c r="E2041" s="48" t="str">
        <f>VLOOKUP(Q2041,[2]PROYECTOS!$G$1:$K$32,5,0)</f>
        <v>MEJORAMIENTO_DE_LA_INFRAESTRUCTURA_DEPORTIVA_Y_RECREATIVA_EN_EL_DEPARTAMENTO_DE_ANTIOQUIA</v>
      </c>
      <c r="F2041" s="48">
        <f>VLOOKUP(E2041,[2]PROYECTOS!$K$1:$M$32,3,0)</f>
        <v>2020003050027</v>
      </c>
      <c r="G2041" s="49" t="s">
        <v>309</v>
      </c>
      <c r="H2041" s="49" t="str">
        <f>VLOOKUP(Q2041,[2]PROYECTOS!$V$1:$W$32,2,0)</f>
        <v>050058</v>
      </c>
      <c r="I2041" s="78">
        <v>0</v>
      </c>
      <c r="J2041" s="51" t="s">
        <v>316</v>
      </c>
      <c r="K2041" s="47" t="str">
        <f t="shared" ca="1" si="623"/>
        <v>CONTRATADO</v>
      </c>
      <c r="L2041" s="47" t="s">
        <v>42</v>
      </c>
      <c r="M2041" s="47" t="s">
        <v>42</v>
      </c>
      <c r="N2041" s="52" t="s">
        <v>308</v>
      </c>
      <c r="O2041" s="51" t="e">
        <f>VLOOKUP(N2041,[2]!RUBROS[#All],3,0)</f>
        <v>#REF!</v>
      </c>
      <c r="P2041" s="53" t="e">
        <f>VLOOKUP(N2041,[2]!RUBROS[#All],2,0)</f>
        <v>#REF!</v>
      </c>
      <c r="Q2041" s="47" t="str">
        <f t="shared" si="624"/>
        <v>64</v>
      </c>
      <c r="R2041" s="47" t="str">
        <f t="shared" si="625"/>
        <v>0-202029</v>
      </c>
      <c r="S2041" s="54">
        <v>5</v>
      </c>
      <c r="T2041" s="63" t="s">
        <v>46</v>
      </c>
      <c r="U2041" s="326" t="e">
        <f ca="1">_xlfn.XLOOKUP(PAA_4[[#This Row],[ITEM]],[2]Contrato!A:A,[2]Contrato!Q:Q,"",0)</f>
        <v>#NAME?</v>
      </c>
      <c r="V2041" s="47" t="s">
        <v>95</v>
      </c>
      <c r="W2041" s="47" t="s">
        <v>193</v>
      </c>
      <c r="X2041" s="47" t="s">
        <v>194</v>
      </c>
      <c r="Y2041" s="55" t="e">
        <f ca="1">_xlfn.XLOOKUP(PAA_4[[#This Row],[ITEM]],[2]Contrato!A:A,[2]Contrato!B:B,"",0)</f>
        <v>#NAME?</v>
      </c>
      <c r="Z2041" s="47" t="e">
        <f ca="1">_xlfn.XLOOKUP(PAA_4[[#This Row],[ITEM]],[2]Contrato!A:A,[2]Contrato!G:G,"",0)</f>
        <v>#NAME?</v>
      </c>
      <c r="AA2041" s="47" t="e">
        <f ca="1">_xlfn.XLOOKUP(PAA_4[[#This Row],[ITEM]],[2]Contrato!A:A,[2]Contrato!T:T,"",0)</f>
        <v>#NAME?</v>
      </c>
      <c r="AB2041" s="55" t="e">
        <f ca="1">+MAX(PAA_4[[#This Row],[Comprometido Contrato]],PAA_4[[#This Row],[Comprometido Bolsa]])</f>
        <v>#NAME?</v>
      </c>
      <c r="AC2041" s="55" t="str">
        <f t="shared" ca="1" si="626"/>
        <v/>
      </c>
      <c r="AD2041" s="55" t="e">
        <f ca="1">IF(PAA_4[[#This Row],[ESTADO (formulado)]]="NO CONTRATADO",0,MAX(PAA_4[[#This Row],[Pago por Contrato]],PAA_4[[#This Row],[Pago por bolsa]]))</f>
        <v>#NAME?</v>
      </c>
      <c r="AE2041" s="55" t="str">
        <f t="shared" ca="1" si="627"/>
        <v/>
      </c>
      <c r="AF2041" s="47" t="e">
        <f t="shared" ca="1" si="628"/>
        <v>#NAME?</v>
      </c>
      <c r="AG2041" s="47">
        <f t="shared" si="629"/>
        <v>43010901</v>
      </c>
      <c r="AH2041" s="54">
        <f>IF(Q2041="22",IF(ISNUMBER(SEARCH("econ",PAA_4[[#This Row],[Actividad3]])),"Económico",IF(ISNUMBER(SEARCH("alim",PAA_4[[#This Row],[Actividad3]])),"Alimentación",IF(ISNUMBER(SEARCH("educ",PAA_4[[#This Row],[Actividad3]])),"Educativo","Técnico"))),0)</f>
        <v>0</v>
      </c>
      <c r="AI2041" s="47" t="e" cm="1">
        <f t="array" aca="1" ref="AI2041" ca="1">_xlfn.XLOOKUP(PAA_4[[#This Row],[RCP-RUBRO]],[2]!COMPROMISOS_2024[[#All],[concatenado]],[2]!COMPROMISOS_2024[[#All],[Total pagado]],"",0)</f>
        <v>#NAME?</v>
      </c>
      <c r="AJ2041" s="56">
        <f>IF(PAA_4[[#This Row],[BOLSA]]=0,0,SUMIFS([2]!COMPROMISOS_2024[[#All],[Total pagado]],[2]!COMPROMISOS_2024[[#All],[Bolsa]],PAA_4[[#This Row],[BOLSA]],[2]!COMPROMISOS_2024[[#All],[rubro]],PAA_4[[#This Row],[RCP-RUBRO]]))</f>
        <v>0</v>
      </c>
      <c r="AK2041" s="47" t="e" cm="1">
        <f t="array" aca="1" ref="AK2041" ca="1">_xlfn.XLOOKUP(PAA_4[[#This Row],[RCP-RUBRO]],[2]!COMPROMISOS_2024[[#All],[concatenado]],[2]!COMPROMISOS_2024[[#All],[Total Comprometido]],"",0)</f>
        <v>#NAME?</v>
      </c>
      <c r="AL2041" s="47">
        <f>IF(PAA_4[[#This Row],[BOLSA]]=0,0,SUMIFS([2]!COMPROMISOS_2024[[#All],[Total Comprometido]],[2]!COMPROMISOS_2024[[#All],[Bolsa]],PAA_4[[#This Row],[BOLSA]],[2]!COMPROMISOS_2024[[#All],[concatenado]],PAA_4[[#This Row],[RCP-RUBRO]]))</f>
        <v>0</v>
      </c>
    </row>
    <row r="2042" spans="1:38" s="19" customFormat="1" ht="31.5" customHeight="1">
      <c r="A2042" s="47" t="s">
        <v>82</v>
      </c>
      <c r="B2042" s="47">
        <v>72101500</v>
      </c>
      <c r="C2042" s="47" t="str">
        <f>VLOOKUP(PAA_4[[#This Row],[PROYECTO (formulado)2]],[2]PROYECTOS!$G$1:$L$32,6,0)</f>
        <v>SUBGERENCIA ESCENARIOS DEPORTIVOS Y EQUIPAMIENTOS</v>
      </c>
      <c r="D2042" s="47" t="str">
        <f>+IF(PAA_4[[#This Row],[UNIDAD DE CONTRATACION (formulado)]]="Subgerencia Administrativa y Financiera","FUNCIONAMIENTO","INVERSIÓN")</f>
        <v>INVERSIÓN</v>
      </c>
      <c r="E2042" s="48" t="str">
        <f>VLOOKUP(Q2042,[2]PROYECTOS!$G$1:$K$32,5,0)</f>
        <v>MEJORAMIENTO_DE_LA_INFRAESTRUCTURA_DEPORTIVA_Y_RECREATIVA_EN_EL_DEPARTAMENTO_DE_ANTIOQUIA</v>
      </c>
      <c r="F2042" s="48">
        <f>VLOOKUP(E2042,[2]PROYECTOS!$K$1:$M$32,3,0)</f>
        <v>2020003050027</v>
      </c>
      <c r="G2042" s="49" t="s">
        <v>2249</v>
      </c>
      <c r="H2042" s="49" t="str">
        <f>VLOOKUP(Q2042,[2]PROYECTOS!$V$1:$W$32,2,0)</f>
        <v>050058</v>
      </c>
      <c r="I2042" s="78">
        <v>0</v>
      </c>
      <c r="J2042" s="51" t="s">
        <v>2250</v>
      </c>
      <c r="K2042" s="47" t="str">
        <f t="shared" ca="1" si="623"/>
        <v>CONTRATADO</v>
      </c>
      <c r="L2042" s="47" t="s">
        <v>94</v>
      </c>
      <c r="M2042" s="47" t="s">
        <v>255</v>
      </c>
      <c r="N2042" s="52" t="s">
        <v>308</v>
      </c>
      <c r="O2042" s="51" t="e">
        <f>VLOOKUP(N2042,[2]!RUBROS[#All],3,0)</f>
        <v>#REF!</v>
      </c>
      <c r="P2042" s="53" t="e">
        <f>VLOOKUP(N2042,[2]!RUBROS[#All],2,0)</f>
        <v>#REF!</v>
      </c>
      <c r="Q2042" s="47" t="str">
        <f t="shared" si="624"/>
        <v>64</v>
      </c>
      <c r="R2042" s="47" t="str">
        <f t="shared" si="625"/>
        <v>0-202029</v>
      </c>
      <c r="S2042" s="54">
        <v>5</v>
      </c>
      <c r="T2042" s="63" t="s">
        <v>46</v>
      </c>
      <c r="U2042" s="326" t="e">
        <f ca="1">_xlfn.XLOOKUP(PAA_4[[#This Row],[ITEM]],[2]Contrato!A:A,[2]Contrato!Q:Q,"",0)</f>
        <v>#NAME?</v>
      </c>
      <c r="V2042" s="47" t="s">
        <v>95</v>
      </c>
      <c r="W2042" s="47" t="s">
        <v>193</v>
      </c>
      <c r="X2042" s="47" t="s">
        <v>193</v>
      </c>
      <c r="Y2042" s="55" t="e">
        <f ca="1">_xlfn.XLOOKUP(PAA_4[[#This Row],[ITEM]],[2]Contrato!A:A,[2]Contrato!B:B,"",0)</f>
        <v>#NAME?</v>
      </c>
      <c r="Z2042" s="47" t="e">
        <f ca="1">_xlfn.XLOOKUP(PAA_4[[#This Row],[ITEM]],[2]Contrato!A:A,[2]Contrato!G:G,"",0)</f>
        <v>#NAME?</v>
      </c>
      <c r="AA2042" s="47" t="e">
        <f ca="1">_xlfn.XLOOKUP(PAA_4[[#This Row],[ITEM]],[2]Contrato!A:A,[2]Contrato!T:T,"",0)</f>
        <v>#NAME?</v>
      </c>
      <c r="AB2042" s="55" t="e">
        <f ca="1">+MAX(PAA_4[[#This Row],[Comprometido Contrato]],PAA_4[[#This Row],[Comprometido Bolsa]])</f>
        <v>#NAME?</v>
      </c>
      <c r="AC2042" s="55" t="str">
        <f t="shared" ca="1" si="626"/>
        <v/>
      </c>
      <c r="AD2042" s="55" t="e">
        <f ca="1">IF(PAA_4[[#This Row],[ESTADO (formulado)]]="NO CONTRATADO",0,MAX(PAA_4[[#This Row],[Pago por Contrato]],PAA_4[[#This Row],[Pago por bolsa]]))</f>
        <v>#NAME?</v>
      </c>
      <c r="AE2042" s="55" t="str">
        <f t="shared" ca="1" si="627"/>
        <v/>
      </c>
      <c r="AF2042" s="47" t="e">
        <f t="shared" ca="1" si="628"/>
        <v>#NAME?</v>
      </c>
      <c r="AG2042" s="47">
        <f t="shared" si="629"/>
        <v>43010901</v>
      </c>
      <c r="AH2042" s="54">
        <f>IF(Q2042="22",IF(ISNUMBER(SEARCH("econ",PAA_4[[#This Row],[Actividad3]])),"Económico",IF(ISNUMBER(SEARCH("alim",PAA_4[[#This Row],[Actividad3]])),"Alimentación",IF(ISNUMBER(SEARCH("educ",PAA_4[[#This Row],[Actividad3]])),"Educativo","Técnico"))),0)</f>
        <v>0</v>
      </c>
      <c r="AI2042" s="47" t="e" cm="1">
        <f t="array" aca="1" ref="AI2042" ca="1">_xlfn.XLOOKUP(PAA_4[[#This Row],[RCP-RUBRO]],[2]!COMPROMISOS_2024[[#All],[concatenado]],[2]!COMPROMISOS_2024[[#All],[Total pagado]],"",0)</f>
        <v>#NAME?</v>
      </c>
      <c r="AJ2042" s="56">
        <f>IF(PAA_4[[#This Row],[BOLSA]]=0,0,SUMIFS([2]!COMPROMISOS_2024[[#All],[Total pagado]],[2]!COMPROMISOS_2024[[#All],[Bolsa]],PAA_4[[#This Row],[BOLSA]],[2]!COMPROMISOS_2024[[#All],[rubro]],PAA_4[[#This Row],[RCP-RUBRO]]))</f>
        <v>0</v>
      </c>
      <c r="AK2042" s="47" t="e" cm="1">
        <f t="array" aca="1" ref="AK2042" ca="1">_xlfn.XLOOKUP(PAA_4[[#This Row],[RCP-RUBRO]],[2]!COMPROMISOS_2024[[#All],[concatenado]],[2]!COMPROMISOS_2024[[#All],[Total Comprometido]],"",0)</f>
        <v>#NAME?</v>
      </c>
      <c r="AL2042" s="47">
        <f>IF(PAA_4[[#This Row],[BOLSA]]=0,0,SUMIFS([2]!COMPROMISOS_2024[[#All],[Total Comprometido]],[2]!COMPROMISOS_2024[[#All],[Bolsa]],PAA_4[[#This Row],[BOLSA]],[2]!COMPROMISOS_2024[[#All],[concatenado]],PAA_4[[#This Row],[RCP-RUBRO]]))</f>
        <v>0</v>
      </c>
    </row>
    <row r="2043" spans="1:38" s="19" customFormat="1" ht="31.5" customHeight="1">
      <c r="A2043" s="47" t="s">
        <v>82</v>
      </c>
      <c r="B2043" s="47" t="s">
        <v>42</v>
      </c>
      <c r="C2043" s="47" t="str">
        <f>VLOOKUP(PAA_4[[#This Row],[PROYECTO (formulado)2]],[2]PROYECTOS!$G$1:$L$32,6,0)</f>
        <v>SUBGERENCIA ESCENARIOS DEPORTIVOS Y EQUIPAMIENTOS</v>
      </c>
      <c r="D2043" s="47" t="str">
        <f>+IF(PAA_4[[#This Row],[UNIDAD DE CONTRATACION (formulado)]]="Subgerencia Administrativa y Financiera","FUNCIONAMIENTO","INVERSIÓN")</f>
        <v>INVERSIÓN</v>
      </c>
      <c r="E2043" s="48" t="str">
        <f>VLOOKUP(Q2043,[2]PROYECTOS!$G$1:$K$32,5,0)</f>
        <v>MEJORAMIENTO_DE_LA_INFRAESTRUCTURA_DEPORTIVA_Y_RECREATIVA_EN_EL_DEPARTAMENTO_DE_ANTIOQUIA</v>
      </c>
      <c r="F2043" s="48">
        <f>VLOOKUP(E2043,[2]PROYECTOS!$K$1:$M$32,3,0)</f>
        <v>2020003050027</v>
      </c>
      <c r="G2043" s="49" t="s">
        <v>2251</v>
      </c>
      <c r="H2043" s="49" t="str">
        <f>VLOOKUP(Q2043,[2]PROYECTOS!$V$1:$W$32,2,0)</f>
        <v>050058</v>
      </c>
      <c r="I2043" s="78">
        <v>0</v>
      </c>
      <c r="J2043" s="51" t="s">
        <v>2252</v>
      </c>
      <c r="K2043" s="47" t="str">
        <f t="shared" ca="1" si="623"/>
        <v>CONTRATADO</v>
      </c>
      <c r="L2043" s="47" t="s">
        <v>42</v>
      </c>
      <c r="M2043" s="47" t="s">
        <v>42</v>
      </c>
      <c r="N2043" s="52" t="s">
        <v>308</v>
      </c>
      <c r="O2043" s="51" t="e">
        <f>VLOOKUP(N2043,[2]!RUBROS[#All],3,0)</f>
        <v>#REF!</v>
      </c>
      <c r="P2043" s="53" t="e">
        <f>VLOOKUP(N2043,[2]!RUBROS[#All],2,0)</f>
        <v>#REF!</v>
      </c>
      <c r="Q2043" s="47" t="str">
        <f t="shared" si="624"/>
        <v>64</v>
      </c>
      <c r="R2043" s="47" t="str">
        <f t="shared" si="625"/>
        <v>0-202029</v>
      </c>
      <c r="S2043" s="54">
        <v>5</v>
      </c>
      <c r="T2043" s="63" t="s">
        <v>46</v>
      </c>
      <c r="U2043" s="326" t="e">
        <f ca="1">_xlfn.XLOOKUP(PAA_4[[#This Row],[ITEM]],[2]Contrato!A:A,[2]Contrato!Q:Q,"",0)</f>
        <v>#NAME?</v>
      </c>
      <c r="V2043" s="47" t="s">
        <v>95</v>
      </c>
      <c r="W2043" s="47" t="s">
        <v>193</v>
      </c>
      <c r="X2043" s="47" t="s">
        <v>194</v>
      </c>
      <c r="Y2043" s="55" t="e">
        <f ca="1">_xlfn.XLOOKUP(PAA_4[[#This Row],[ITEM]],[2]Contrato!A:A,[2]Contrato!B:B,"",0)</f>
        <v>#NAME?</v>
      </c>
      <c r="Z2043" s="47" t="e">
        <f ca="1">_xlfn.XLOOKUP(PAA_4[[#This Row],[ITEM]],[2]Contrato!A:A,[2]Contrato!G:G,"",0)</f>
        <v>#NAME?</v>
      </c>
      <c r="AA2043" s="47" t="e">
        <f ca="1">_xlfn.XLOOKUP(PAA_4[[#This Row],[ITEM]],[2]Contrato!A:A,[2]Contrato!T:T,"",0)</f>
        <v>#NAME?</v>
      </c>
      <c r="AB2043" s="55" t="e">
        <f ca="1">+MAX(PAA_4[[#This Row],[Comprometido Contrato]],PAA_4[[#This Row],[Comprometido Bolsa]])</f>
        <v>#NAME?</v>
      </c>
      <c r="AC2043" s="55" t="str">
        <f t="shared" ca="1" si="626"/>
        <v/>
      </c>
      <c r="AD2043" s="55" t="e">
        <f ca="1">IF(PAA_4[[#This Row],[ESTADO (formulado)]]="NO CONTRATADO",0,MAX(PAA_4[[#This Row],[Pago por Contrato]],PAA_4[[#This Row],[Pago por bolsa]]))</f>
        <v>#NAME?</v>
      </c>
      <c r="AE2043" s="55" t="str">
        <f t="shared" ca="1" si="627"/>
        <v/>
      </c>
      <c r="AF2043" s="47" t="e">
        <f t="shared" ca="1" si="628"/>
        <v>#NAME?</v>
      </c>
      <c r="AG2043" s="47">
        <f t="shared" si="629"/>
        <v>43010901</v>
      </c>
      <c r="AH2043" s="54">
        <f>IF(Q2043="22",IF(ISNUMBER(SEARCH("econ",PAA_4[[#This Row],[Actividad3]])),"Económico",IF(ISNUMBER(SEARCH("alim",PAA_4[[#This Row],[Actividad3]])),"Alimentación",IF(ISNUMBER(SEARCH("educ",PAA_4[[#This Row],[Actividad3]])),"Educativo","Técnico"))),0)</f>
        <v>0</v>
      </c>
      <c r="AI2043" s="47" t="e" cm="1">
        <f t="array" aca="1" ref="AI2043" ca="1">_xlfn.XLOOKUP(PAA_4[[#This Row],[RCP-RUBRO]],[2]!COMPROMISOS_2024[[#All],[concatenado]],[2]!COMPROMISOS_2024[[#All],[Total pagado]],"",0)</f>
        <v>#NAME?</v>
      </c>
      <c r="AJ2043" s="56">
        <f>IF(PAA_4[[#This Row],[BOLSA]]=0,0,SUMIFS([2]!COMPROMISOS_2024[[#All],[Total pagado]],[2]!COMPROMISOS_2024[[#All],[Bolsa]],PAA_4[[#This Row],[BOLSA]],[2]!COMPROMISOS_2024[[#All],[rubro]],PAA_4[[#This Row],[RCP-RUBRO]]))</f>
        <v>0</v>
      </c>
      <c r="AK2043" s="47" t="e" cm="1">
        <f t="array" aca="1" ref="AK2043" ca="1">_xlfn.XLOOKUP(PAA_4[[#This Row],[RCP-RUBRO]],[2]!COMPROMISOS_2024[[#All],[concatenado]],[2]!COMPROMISOS_2024[[#All],[Total Comprometido]],"",0)</f>
        <v>#NAME?</v>
      </c>
      <c r="AL2043" s="47">
        <f>IF(PAA_4[[#This Row],[BOLSA]]=0,0,SUMIFS([2]!COMPROMISOS_2024[[#All],[Total Comprometido]],[2]!COMPROMISOS_2024[[#All],[Bolsa]],PAA_4[[#This Row],[BOLSA]],[2]!COMPROMISOS_2024[[#All],[concatenado]],PAA_4[[#This Row],[RCP-RUBRO]]))</f>
        <v>0</v>
      </c>
    </row>
    <row r="2044" spans="1:38" s="19" customFormat="1" ht="31.5" customHeight="1">
      <c r="A2044" s="47" t="s">
        <v>82</v>
      </c>
      <c r="B2044" s="47" t="s">
        <v>42</v>
      </c>
      <c r="C2044" s="47" t="str">
        <f>VLOOKUP(PAA_4[[#This Row],[PROYECTO (formulado)2]],[2]PROYECTOS!$G$1:$L$32,6,0)</f>
        <v>SUBGERENCIA ESCENARIOS DEPORTIVOS Y EQUIPAMIENTOS</v>
      </c>
      <c r="D2044" s="47" t="str">
        <f>+IF(PAA_4[[#This Row],[UNIDAD DE CONTRATACION (formulado)]]="Subgerencia Administrativa y Financiera","FUNCIONAMIENTO","INVERSIÓN")</f>
        <v>INVERSIÓN</v>
      </c>
      <c r="E2044" s="48" t="str">
        <f>VLOOKUP(Q2044,[2]PROYECTOS!$G$1:$K$32,5,0)</f>
        <v>Mantenimiento, adecuación, mejoras de escenarios deportivos o equipamientos en el departamento de Antioquia</v>
      </c>
      <c r="F2044" s="48">
        <f>VLOOKUP(E2044,[2]PROYECTOS!$K$1:$M$32,3,0)</f>
        <v>2024003050075</v>
      </c>
      <c r="G2044" s="49" t="s">
        <v>1842</v>
      </c>
      <c r="H2044" s="49" t="str">
        <f>VLOOKUP(Q2044,[2]PROYECTOS!$V$1:$W$32,2,0)</f>
        <v>050070</v>
      </c>
      <c r="I2044" s="78">
        <v>0</v>
      </c>
      <c r="J2044" s="51" t="s">
        <v>2253</v>
      </c>
      <c r="K2044" s="47" t="str">
        <f t="shared" ca="1" si="623"/>
        <v>CONTRATADO</v>
      </c>
      <c r="L2044" s="47" t="s">
        <v>42</v>
      </c>
      <c r="M2044" s="47" t="s">
        <v>42</v>
      </c>
      <c r="N2044" s="52" t="s">
        <v>2254</v>
      </c>
      <c r="O2044" s="51" t="e">
        <f>VLOOKUP(N2044,[2]!RUBROS[#All],3,0)</f>
        <v>#REF!</v>
      </c>
      <c r="P2044" s="53" t="e">
        <f>VLOOKUP(N2044,[2]!RUBROS[#All],2,0)</f>
        <v>#REF!</v>
      </c>
      <c r="Q2044" s="47" t="str">
        <f t="shared" si="624"/>
        <v>75</v>
      </c>
      <c r="R2044" s="47" t="str">
        <f t="shared" si="625"/>
        <v>0-205128</v>
      </c>
      <c r="S2044" s="54" t="s">
        <v>42</v>
      </c>
      <c r="T2044" s="54" t="s">
        <v>42</v>
      </c>
      <c r="U2044" s="326" t="e">
        <f ca="1">_xlfn.XLOOKUP(PAA_4[[#This Row],[ITEM]],[2]Contrato!A:A,[2]Contrato!Q:Q,"",0)</f>
        <v>#NAME?</v>
      </c>
      <c r="V2044" s="47" t="s">
        <v>42</v>
      </c>
      <c r="W2044" s="47" t="s">
        <v>42</v>
      </c>
      <c r="X2044" s="47" t="s">
        <v>42</v>
      </c>
      <c r="Y2044" s="55" t="e">
        <f ca="1">_xlfn.XLOOKUP(PAA_4[[#This Row],[ITEM]],[2]Contrato!A:A,[2]Contrato!B:B,"",0)</f>
        <v>#NAME?</v>
      </c>
      <c r="Z2044" s="47" t="e">
        <f ca="1">_xlfn.XLOOKUP(PAA_4[[#This Row],[ITEM]],[2]Contrato!A:A,[2]Contrato!G:G,"",0)</f>
        <v>#NAME?</v>
      </c>
      <c r="AA2044" s="47" t="e">
        <f ca="1">_xlfn.XLOOKUP(PAA_4[[#This Row],[ITEM]],[2]Contrato!A:A,[2]Contrato!T:T,"",0)</f>
        <v>#NAME?</v>
      </c>
      <c r="AB2044" s="55" t="e">
        <f ca="1">+MAX(PAA_4[[#This Row],[Comprometido Contrato]],PAA_4[[#This Row],[Comprometido Bolsa]])</f>
        <v>#NAME?</v>
      </c>
      <c r="AC2044" s="55" t="str">
        <f t="shared" ca="1" si="626"/>
        <v/>
      </c>
      <c r="AD2044" s="55" t="e">
        <f ca="1">IF(PAA_4[[#This Row],[ESTADO (formulado)]]="NO CONTRATADO",0,MAX(PAA_4[[#This Row],[Pago por Contrato]],PAA_4[[#This Row],[Pago por bolsa]]))</f>
        <v>#NAME?</v>
      </c>
      <c r="AE2044" s="55" t="str">
        <f t="shared" ca="1" si="627"/>
        <v/>
      </c>
      <c r="AF2044" s="47" t="e">
        <f t="shared" ca="1" si="628"/>
        <v>#NAME?</v>
      </c>
      <c r="AG2044" s="47">
        <f t="shared" si="629"/>
        <v>52010902</v>
      </c>
      <c r="AH2044" s="54">
        <f>IF(Q2044="22",IF(ISNUMBER(SEARCH("econ",PAA_4[[#This Row],[Actividad3]])),"Económico",IF(ISNUMBER(SEARCH("alim",PAA_4[[#This Row],[Actividad3]])),"Alimentación",IF(ISNUMBER(SEARCH("educ",PAA_4[[#This Row],[Actividad3]])),"Educativo","Técnico"))),0)</f>
        <v>0</v>
      </c>
      <c r="AI2044" s="47" t="e" cm="1">
        <f t="array" aca="1" ref="AI2044" ca="1">_xlfn.XLOOKUP(PAA_4[[#This Row],[RCP-RUBRO]],[2]!COMPROMISOS_2024[[#All],[concatenado]],[2]!COMPROMISOS_2024[[#All],[Total pagado]],"",0)</f>
        <v>#NAME?</v>
      </c>
      <c r="AJ2044" s="56">
        <f>IF(PAA_4[[#This Row],[BOLSA]]=0,0,SUMIFS([2]!COMPROMISOS_2024[[#All],[Total pagado]],[2]!COMPROMISOS_2024[[#All],[Bolsa]],PAA_4[[#This Row],[BOLSA]],[2]!COMPROMISOS_2024[[#All],[rubro]],PAA_4[[#This Row],[RCP-RUBRO]]))</f>
        <v>0</v>
      </c>
      <c r="AK2044" s="47" t="e" cm="1">
        <f t="array" aca="1" ref="AK2044" ca="1">_xlfn.XLOOKUP(PAA_4[[#This Row],[RCP-RUBRO]],[2]!COMPROMISOS_2024[[#All],[concatenado]],[2]!COMPROMISOS_2024[[#All],[Total Comprometido]],"",0)</f>
        <v>#NAME?</v>
      </c>
      <c r="AL2044" s="47">
        <f>IF(PAA_4[[#This Row],[BOLSA]]=0,0,SUMIFS([2]!COMPROMISOS_2024[[#All],[Total Comprometido]],[2]!COMPROMISOS_2024[[#All],[Bolsa]],PAA_4[[#This Row],[BOLSA]],[2]!COMPROMISOS_2024[[#All],[concatenado]],PAA_4[[#This Row],[RCP-RUBRO]]))</f>
        <v>0</v>
      </c>
    </row>
    <row r="2045" spans="1:38" s="19" customFormat="1" ht="31.5" customHeight="1">
      <c r="A2045" s="47">
        <v>1321</v>
      </c>
      <c r="B2045" s="47">
        <v>72101500</v>
      </c>
      <c r="C2045" s="47" t="str">
        <f>VLOOKUP(PAA_4[[#This Row],[PROYECTO (formulado)2]],[2]PROYECTOS!$G$1:$L$32,6,0)</f>
        <v>SUBGERENCIA ESCENARIOS DEPORTIVOS Y EQUIPAMIENTOS</v>
      </c>
      <c r="D2045" s="47" t="str">
        <f>+IF(PAA_4[[#This Row],[UNIDAD DE CONTRATACION (formulado)]]="Subgerencia Administrativa y Financiera","FUNCIONAMIENTO","INVERSIÓN")</f>
        <v>INVERSIÓN</v>
      </c>
      <c r="E2045" s="48" t="str">
        <f>VLOOKUP(Q2045,[2]PROYECTOS!$G$1:$K$32,5,0)</f>
        <v>Mantenimiento, adecuación, mejoras de escenarios deportivos o equipamientos en el departamento de Antioquia</v>
      </c>
      <c r="F2045" s="48">
        <f>VLOOKUP(E2045,[2]PROYECTOS!$K$1:$M$32,3,0)</f>
        <v>2024003050075</v>
      </c>
      <c r="G2045" s="49" t="s">
        <v>1842</v>
      </c>
      <c r="H2045" s="49" t="str">
        <f>VLOOKUP(Q2045,[2]PROYECTOS!$V$1:$W$32,2,0)</f>
        <v>050070</v>
      </c>
      <c r="I2045" s="78">
        <v>357661711</v>
      </c>
      <c r="J2045" s="51" t="s">
        <v>2255</v>
      </c>
      <c r="K2045" s="47" t="str">
        <f t="shared" ca="1" si="623"/>
        <v>CONTRATADO</v>
      </c>
      <c r="L2045" s="47" t="s">
        <v>94</v>
      </c>
      <c r="M2045" s="47" t="s">
        <v>2256</v>
      </c>
      <c r="N2045" s="52" t="s">
        <v>2257</v>
      </c>
      <c r="O2045" s="51" t="e">
        <f>VLOOKUP(N2045,[2]!RUBROS[#All],3,0)</f>
        <v>#REF!</v>
      </c>
      <c r="P2045" s="53" t="e">
        <f>VLOOKUP(N2045,[2]!RUBROS[#All],2,0)</f>
        <v>#REF!</v>
      </c>
      <c r="Q2045" s="47" t="str">
        <f t="shared" si="624"/>
        <v>75</v>
      </c>
      <c r="R2045" s="47" t="str">
        <f t="shared" si="625"/>
        <v>4-202029</v>
      </c>
      <c r="S2045" s="54">
        <v>5</v>
      </c>
      <c r="T2045" s="63" t="s">
        <v>46</v>
      </c>
      <c r="U2045" s="326" t="e">
        <f ca="1">_xlfn.XLOOKUP(PAA_4[[#This Row],[ITEM]],[2]Contrato!A:A,[2]Contrato!Q:Q,"",0)</f>
        <v>#NAME?</v>
      </c>
      <c r="V2045" s="47" t="s">
        <v>95</v>
      </c>
      <c r="W2045" s="47" t="s">
        <v>200</v>
      </c>
      <c r="X2045" s="47" t="s">
        <v>200</v>
      </c>
      <c r="Y2045" s="55" t="e">
        <f ca="1">_xlfn.XLOOKUP(PAA_4[[#This Row],[ITEM]],[2]Contrato!A:A,[2]Contrato!B:B,"",0)</f>
        <v>#NAME?</v>
      </c>
      <c r="Z2045" s="47" t="e">
        <f ca="1">_xlfn.XLOOKUP(PAA_4[[#This Row],[ITEM]],[2]Contrato!A:A,[2]Contrato!G:G,"",0)</f>
        <v>#NAME?</v>
      </c>
      <c r="AA2045" s="47" t="e">
        <f ca="1">_xlfn.XLOOKUP(PAA_4[[#This Row],[ITEM]],[2]Contrato!A:A,[2]Contrato!T:T,"",0)</f>
        <v>#NAME?</v>
      </c>
      <c r="AB2045" s="55" t="e">
        <f ca="1">+MAX(PAA_4[[#This Row],[Comprometido Contrato]],PAA_4[[#This Row],[Comprometido Bolsa]])</f>
        <v>#NAME?</v>
      </c>
      <c r="AC2045" s="55" t="str">
        <f t="shared" ca="1" si="626"/>
        <v/>
      </c>
      <c r="AD2045" s="55" t="e">
        <f ca="1">IF(PAA_4[[#This Row],[ESTADO (formulado)]]="NO CONTRATADO",0,MAX(PAA_4[[#This Row],[Pago por Contrato]],PAA_4[[#This Row],[Pago por bolsa]]))</f>
        <v>#NAME?</v>
      </c>
      <c r="AE2045" s="55" t="str">
        <f t="shared" ca="1" si="627"/>
        <v/>
      </c>
      <c r="AF2045" s="47" t="e">
        <f t="shared" ca="1" si="628"/>
        <v>#NAME?</v>
      </c>
      <c r="AG2045" s="47">
        <f t="shared" si="629"/>
        <v>52010902</v>
      </c>
      <c r="AH2045" s="54">
        <f>IF(Q2045="22",IF(ISNUMBER(SEARCH("econ",PAA_4[[#This Row],[Actividad3]])),"Económico",IF(ISNUMBER(SEARCH("alim",PAA_4[[#This Row],[Actividad3]])),"Alimentación",IF(ISNUMBER(SEARCH("educ",PAA_4[[#This Row],[Actividad3]])),"Educativo","Técnico"))),0)</f>
        <v>0</v>
      </c>
      <c r="AI2045" s="47" t="e" cm="1">
        <f t="array" aca="1" ref="AI2045" ca="1">_xlfn.XLOOKUP(PAA_4[[#This Row],[RCP-RUBRO]],[2]!COMPROMISOS_2024[[#All],[concatenado]],[2]!COMPROMISOS_2024[[#All],[Total pagado]],"",0)</f>
        <v>#NAME?</v>
      </c>
      <c r="AJ2045" s="56">
        <f>IF(PAA_4[[#This Row],[BOLSA]]=0,0,SUMIFS([2]!COMPROMISOS_2024[[#All],[Total pagado]],[2]!COMPROMISOS_2024[[#All],[Bolsa]],PAA_4[[#This Row],[BOLSA]],[2]!COMPROMISOS_2024[[#All],[rubro]],PAA_4[[#This Row],[RCP-RUBRO]]))</f>
        <v>0</v>
      </c>
      <c r="AK2045" s="47" t="e" cm="1">
        <f t="array" aca="1" ref="AK2045" ca="1">_xlfn.XLOOKUP(PAA_4[[#This Row],[RCP-RUBRO]],[2]!COMPROMISOS_2024[[#All],[concatenado]],[2]!COMPROMISOS_2024[[#All],[Total Comprometido]],"",0)</f>
        <v>#NAME?</v>
      </c>
      <c r="AL2045" s="47">
        <f>IF(PAA_4[[#This Row],[BOLSA]]=0,0,SUMIFS([2]!COMPROMISOS_2024[[#All],[Total Comprometido]],[2]!COMPROMISOS_2024[[#All],[Bolsa]],PAA_4[[#This Row],[BOLSA]],[2]!COMPROMISOS_2024[[#All],[concatenado]],PAA_4[[#This Row],[RCP-RUBRO]]))</f>
        <v>0</v>
      </c>
    </row>
    <row r="2046" spans="1:38" s="19" customFormat="1" ht="31.5" customHeight="1">
      <c r="A2046" s="47">
        <v>1322</v>
      </c>
      <c r="B2046" s="47">
        <v>72101500</v>
      </c>
      <c r="C2046" s="47" t="str">
        <f>VLOOKUP(PAA_4[[#This Row],[PROYECTO (formulado)2]],[2]PROYECTOS!$G$1:$L$32,6,0)</f>
        <v>SUBGERENCIA ESCENARIOS DEPORTIVOS Y EQUIPAMIENTOS</v>
      </c>
      <c r="D2046" s="47" t="str">
        <f>+IF(PAA_4[[#This Row],[UNIDAD DE CONTRATACION (formulado)]]="Subgerencia Administrativa y Financiera","FUNCIONAMIENTO","INVERSIÓN")</f>
        <v>INVERSIÓN</v>
      </c>
      <c r="E2046" s="48" t="str">
        <f>VLOOKUP(Q2046,[2]PROYECTOS!$G$1:$K$32,5,0)</f>
        <v>Mantenimiento, adecuación, mejoras de escenarios deportivos o equipamientos en el departamento de Antioquia</v>
      </c>
      <c r="F2046" s="48">
        <f>VLOOKUP(E2046,[2]PROYECTOS!$K$1:$M$32,3,0)</f>
        <v>2024003050075</v>
      </c>
      <c r="G2046" s="49" t="s">
        <v>1842</v>
      </c>
      <c r="H2046" s="49" t="str">
        <f>VLOOKUP(Q2046,[2]PROYECTOS!$V$1:$W$32,2,0)</f>
        <v>050070</v>
      </c>
      <c r="I2046" s="78">
        <v>222996997</v>
      </c>
      <c r="J2046" s="51" t="s">
        <v>2258</v>
      </c>
      <c r="K2046" s="47" t="str">
        <f t="shared" ca="1" si="623"/>
        <v>CONTRATADO</v>
      </c>
      <c r="L2046" s="47" t="s">
        <v>94</v>
      </c>
      <c r="M2046" s="47" t="s">
        <v>2256</v>
      </c>
      <c r="N2046" s="52" t="s">
        <v>2257</v>
      </c>
      <c r="O2046" s="51" t="e">
        <f>VLOOKUP(N2046,[2]!RUBROS[#All],3,0)</f>
        <v>#REF!</v>
      </c>
      <c r="P2046" s="53" t="e">
        <f>VLOOKUP(N2046,[2]!RUBROS[#All],2,0)</f>
        <v>#REF!</v>
      </c>
      <c r="Q2046" s="47" t="str">
        <f t="shared" si="624"/>
        <v>75</v>
      </c>
      <c r="R2046" s="47" t="str">
        <f t="shared" si="625"/>
        <v>4-202029</v>
      </c>
      <c r="S2046" s="54">
        <v>5</v>
      </c>
      <c r="T2046" s="63" t="s">
        <v>46</v>
      </c>
      <c r="U2046" s="326" t="e">
        <f ca="1">_xlfn.XLOOKUP(PAA_4[[#This Row],[ITEM]],[2]Contrato!A:A,[2]Contrato!Q:Q,"",0)</f>
        <v>#NAME?</v>
      </c>
      <c r="V2046" s="47" t="s">
        <v>95</v>
      </c>
      <c r="W2046" s="47" t="s">
        <v>200</v>
      </c>
      <c r="X2046" s="47" t="s">
        <v>200</v>
      </c>
      <c r="Y2046" s="55" t="e">
        <f ca="1">_xlfn.XLOOKUP(PAA_4[[#This Row],[ITEM]],[2]Contrato!A:A,[2]Contrato!B:B,"",0)</f>
        <v>#NAME?</v>
      </c>
      <c r="Z2046" s="47" t="e">
        <f ca="1">_xlfn.XLOOKUP(PAA_4[[#This Row],[ITEM]],[2]Contrato!A:A,[2]Contrato!G:G,"",0)</f>
        <v>#NAME?</v>
      </c>
      <c r="AA2046" s="47" t="e">
        <f ca="1">_xlfn.XLOOKUP(PAA_4[[#This Row],[ITEM]],[2]Contrato!A:A,[2]Contrato!T:T,"",0)</f>
        <v>#NAME?</v>
      </c>
      <c r="AB2046" s="55" t="e">
        <f ca="1">+MAX(PAA_4[[#This Row],[Comprometido Contrato]],PAA_4[[#This Row],[Comprometido Bolsa]])</f>
        <v>#NAME?</v>
      </c>
      <c r="AC2046" s="55" t="str">
        <f t="shared" ca="1" si="626"/>
        <v/>
      </c>
      <c r="AD2046" s="55" t="e">
        <f ca="1">IF(PAA_4[[#This Row],[ESTADO (formulado)]]="NO CONTRATADO",0,MAX(PAA_4[[#This Row],[Pago por Contrato]],PAA_4[[#This Row],[Pago por bolsa]]))</f>
        <v>#NAME?</v>
      </c>
      <c r="AE2046" s="55" t="str">
        <f t="shared" ca="1" si="627"/>
        <v/>
      </c>
      <c r="AF2046" s="47" t="e">
        <f t="shared" ca="1" si="628"/>
        <v>#NAME?</v>
      </c>
      <c r="AG2046" s="47">
        <f t="shared" si="629"/>
        <v>52010902</v>
      </c>
      <c r="AH2046" s="54">
        <f>IF(Q2046="22",IF(ISNUMBER(SEARCH("econ",PAA_4[[#This Row],[Actividad3]])),"Económico",IF(ISNUMBER(SEARCH("alim",PAA_4[[#This Row],[Actividad3]])),"Alimentación",IF(ISNUMBER(SEARCH("educ",PAA_4[[#This Row],[Actividad3]])),"Educativo","Técnico"))),0)</f>
        <v>0</v>
      </c>
      <c r="AI2046" s="47" t="e" cm="1">
        <f t="array" aca="1" ref="AI2046" ca="1">_xlfn.XLOOKUP(PAA_4[[#This Row],[RCP-RUBRO]],[2]!COMPROMISOS_2024[[#All],[concatenado]],[2]!COMPROMISOS_2024[[#All],[Total pagado]],"",0)</f>
        <v>#NAME?</v>
      </c>
      <c r="AJ2046" s="56">
        <f>IF(PAA_4[[#This Row],[BOLSA]]=0,0,SUMIFS([2]!COMPROMISOS_2024[[#All],[Total pagado]],[2]!COMPROMISOS_2024[[#All],[Bolsa]],PAA_4[[#This Row],[BOLSA]],[2]!COMPROMISOS_2024[[#All],[rubro]],PAA_4[[#This Row],[RCP-RUBRO]]))</f>
        <v>0</v>
      </c>
      <c r="AK2046" s="47" t="e" cm="1">
        <f t="array" aca="1" ref="AK2046" ca="1">_xlfn.XLOOKUP(PAA_4[[#This Row],[RCP-RUBRO]],[2]!COMPROMISOS_2024[[#All],[concatenado]],[2]!COMPROMISOS_2024[[#All],[Total Comprometido]],"",0)</f>
        <v>#NAME?</v>
      </c>
      <c r="AL2046" s="47">
        <f>IF(PAA_4[[#This Row],[BOLSA]]=0,0,SUMIFS([2]!COMPROMISOS_2024[[#All],[Total Comprometido]],[2]!COMPROMISOS_2024[[#All],[Bolsa]],PAA_4[[#This Row],[BOLSA]],[2]!COMPROMISOS_2024[[#All],[concatenado]],PAA_4[[#This Row],[RCP-RUBRO]]))</f>
        <v>0</v>
      </c>
    </row>
    <row r="2047" spans="1:38" s="19" customFormat="1" ht="31.5" customHeight="1">
      <c r="A2047" s="47">
        <v>1078</v>
      </c>
      <c r="B2047" s="47">
        <v>72101500</v>
      </c>
      <c r="C2047" s="47" t="str">
        <f>VLOOKUP(PAA_4[[#This Row],[PROYECTO (formulado)2]],[2]PROYECTOS!$G$1:$L$32,6,0)</f>
        <v>SUBGERENCIA ESCENARIOS DEPORTIVOS Y EQUIPAMIENTOS</v>
      </c>
      <c r="D2047" s="47" t="str">
        <f>+IF(PAA_4[[#This Row],[UNIDAD DE CONTRATACION (formulado)]]="Subgerencia Administrativa y Financiera","FUNCIONAMIENTO","INVERSIÓN")</f>
        <v>INVERSIÓN</v>
      </c>
      <c r="E2047" s="48" t="str">
        <f>VLOOKUP(Q2047,[2]PROYECTOS!$G$1:$K$32,5,0)</f>
        <v>Mantenimiento, adecuación, mejoras de escenarios deportivos o equipamientos en el departamento de Antioquia</v>
      </c>
      <c r="F2047" s="48">
        <f>VLOOKUP(E2047,[2]PROYECTOS!$K$1:$M$32,3,0)</f>
        <v>2024003050075</v>
      </c>
      <c r="G2047" s="49" t="s">
        <v>1842</v>
      </c>
      <c r="H2047" s="49" t="str">
        <f>VLOOKUP(Q2047,[2]PROYECTOS!$V$1:$W$32,2,0)</f>
        <v>050070</v>
      </c>
      <c r="I2047" s="78">
        <v>40988086</v>
      </c>
      <c r="J2047" s="51" t="s">
        <v>316</v>
      </c>
      <c r="K2047" s="47" t="str">
        <f t="shared" ca="1" si="623"/>
        <v>CONTRATADO</v>
      </c>
      <c r="L2047" s="47" t="s">
        <v>42</v>
      </c>
      <c r="M2047" s="47" t="s">
        <v>42</v>
      </c>
      <c r="N2047" s="52" t="s">
        <v>2257</v>
      </c>
      <c r="O2047" s="51" t="e">
        <f>VLOOKUP(N2047,[2]!RUBROS[#All],3,0)</f>
        <v>#REF!</v>
      </c>
      <c r="P2047" s="53" t="e">
        <f>VLOOKUP(N2047,[2]!RUBROS[#All],2,0)</f>
        <v>#REF!</v>
      </c>
      <c r="Q2047" s="47" t="str">
        <f t="shared" si="624"/>
        <v>75</v>
      </c>
      <c r="R2047" s="47" t="str">
        <f t="shared" si="625"/>
        <v>4-202029</v>
      </c>
      <c r="S2047" s="54" t="s">
        <v>42</v>
      </c>
      <c r="T2047" s="54" t="s">
        <v>42</v>
      </c>
      <c r="U2047" s="326" t="e">
        <f ca="1">_xlfn.XLOOKUP(PAA_4[[#This Row],[ITEM]],[2]Contrato!A:A,[2]Contrato!Q:Q,"",0)</f>
        <v>#NAME?</v>
      </c>
      <c r="V2047" s="47" t="s">
        <v>42</v>
      </c>
      <c r="W2047" s="47" t="s">
        <v>42</v>
      </c>
      <c r="X2047" s="47" t="s">
        <v>42</v>
      </c>
      <c r="Y2047" s="55" t="e">
        <f ca="1">_xlfn.XLOOKUP(PAA_4[[#This Row],[ITEM]],[2]Contrato!A:A,[2]Contrato!B:B,"",0)</f>
        <v>#NAME?</v>
      </c>
      <c r="Z2047" s="47" t="e">
        <f ca="1">_xlfn.XLOOKUP(PAA_4[[#This Row],[ITEM]],[2]Contrato!A:A,[2]Contrato!G:G,"",0)</f>
        <v>#NAME?</v>
      </c>
      <c r="AA2047" s="47" t="e">
        <f ca="1">_xlfn.XLOOKUP(PAA_4[[#This Row],[ITEM]],[2]Contrato!A:A,[2]Contrato!T:T,"",0)</f>
        <v>#NAME?</v>
      </c>
      <c r="AB2047" s="55" t="e">
        <f ca="1">+MAX(PAA_4[[#This Row],[Comprometido Contrato]],PAA_4[[#This Row],[Comprometido Bolsa]])</f>
        <v>#NAME?</v>
      </c>
      <c r="AC2047" s="55" t="str">
        <f t="shared" ca="1" si="626"/>
        <v/>
      </c>
      <c r="AD2047" s="55" t="e">
        <f ca="1">IF(PAA_4[[#This Row],[ESTADO (formulado)]]="NO CONTRATADO",0,MAX(PAA_4[[#This Row],[Pago por Contrato]],PAA_4[[#This Row],[Pago por bolsa]]))</f>
        <v>#NAME?</v>
      </c>
      <c r="AE2047" s="55" t="str">
        <f t="shared" ca="1" si="627"/>
        <v/>
      </c>
      <c r="AF2047" s="47" t="e">
        <f t="shared" ca="1" si="628"/>
        <v>#NAME?</v>
      </c>
      <c r="AG2047" s="47">
        <f t="shared" si="629"/>
        <v>52010902</v>
      </c>
      <c r="AH2047" s="54">
        <f>IF(Q2047="22",IF(ISNUMBER(SEARCH("econ",PAA_4[[#This Row],[Actividad3]])),"Económico",IF(ISNUMBER(SEARCH("alim",PAA_4[[#This Row],[Actividad3]])),"Alimentación",IF(ISNUMBER(SEARCH("educ",PAA_4[[#This Row],[Actividad3]])),"Educativo","Técnico"))),0)</f>
        <v>0</v>
      </c>
      <c r="AI2047" s="47" t="e" cm="1">
        <f t="array" aca="1" ref="AI2047" ca="1">_xlfn.XLOOKUP(PAA_4[[#This Row],[RCP-RUBRO]],[2]!COMPROMISOS_2024[[#All],[concatenado]],[2]!COMPROMISOS_2024[[#All],[Total pagado]],"",0)</f>
        <v>#NAME?</v>
      </c>
      <c r="AJ2047" s="56">
        <f>IF(PAA_4[[#This Row],[BOLSA]]=0,0,SUMIFS([2]!COMPROMISOS_2024[[#All],[Total pagado]],[2]!COMPROMISOS_2024[[#All],[Bolsa]],PAA_4[[#This Row],[BOLSA]],[2]!COMPROMISOS_2024[[#All],[rubro]],PAA_4[[#This Row],[RCP-RUBRO]]))</f>
        <v>0</v>
      </c>
      <c r="AK2047" s="47" t="e" cm="1">
        <f t="array" aca="1" ref="AK2047" ca="1">_xlfn.XLOOKUP(PAA_4[[#This Row],[RCP-RUBRO]],[2]!COMPROMISOS_2024[[#All],[concatenado]],[2]!COMPROMISOS_2024[[#All],[Total Comprometido]],"",0)</f>
        <v>#NAME?</v>
      </c>
      <c r="AL2047" s="47">
        <f>IF(PAA_4[[#This Row],[BOLSA]]=0,0,SUMIFS([2]!COMPROMISOS_2024[[#All],[Total Comprometido]],[2]!COMPROMISOS_2024[[#All],[Bolsa]],PAA_4[[#This Row],[BOLSA]],[2]!COMPROMISOS_2024[[#All],[concatenado]],PAA_4[[#This Row],[RCP-RUBRO]]))</f>
        <v>0</v>
      </c>
    </row>
    <row r="2048" spans="1:38" s="19" customFormat="1" ht="31.5" customHeight="1">
      <c r="A2048" s="47" t="s">
        <v>82</v>
      </c>
      <c r="B2048" s="47" t="s">
        <v>42</v>
      </c>
      <c r="C2048" s="47" t="str">
        <f>VLOOKUP(PAA_4[[#This Row],[PROYECTO (formulado)2]],[2]PROYECTOS!$G$1:$L$32,6,0)</f>
        <v>SUBGERENCIA ESCENARIOS DEPORTIVOS Y EQUIPAMIENTOS</v>
      </c>
      <c r="D2048" s="47" t="str">
        <f>+IF(PAA_4[[#This Row],[UNIDAD DE CONTRATACION (formulado)]]="Subgerencia Administrativa y Financiera","FUNCIONAMIENTO","INVERSIÓN")</f>
        <v>INVERSIÓN</v>
      </c>
      <c r="E2048" s="48" t="str">
        <f>VLOOKUP(Q2048,[2]PROYECTOS!$G$1:$K$32,5,0)</f>
        <v>Mantenimiento, adecuación, mejoras de escenarios deportivos o equipamientos en el departamento de Antioquia</v>
      </c>
      <c r="F2048" s="48">
        <f>VLOOKUP(E2048,[2]PROYECTOS!$K$1:$M$32,3,0)</f>
        <v>2024003050075</v>
      </c>
      <c r="G2048" s="49" t="s">
        <v>1842</v>
      </c>
      <c r="H2048" s="49" t="str">
        <f>VLOOKUP(Q2048,[2]PROYECTOS!$V$1:$W$32,2,0)</f>
        <v>050070</v>
      </c>
      <c r="I2048" s="78">
        <v>374209826</v>
      </c>
      <c r="J2048" s="51" t="s">
        <v>1809</v>
      </c>
      <c r="K2048" s="47" t="str">
        <f ca="1">IF(ISNONTEXT(Y2048)=TRUE,"CONTRATADO","NO CONTRATADO")</f>
        <v>CONTRATADO</v>
      </c>
      <c r="L2048" s="52" t="s">
        <v>42</v>
      </c>
      <c r="M2048" s="51" t="s">
        <v>42</v>
      </c>
      <c r="N2048" s="52" t="s">
        <v>2259</v>
      </c>
      <c r="O2048" s="51" t="e">
        <f>VLOOKUP(N2048,[2]!RUBROS[#All],3,0)</f>
        <v>#REF!</v>
      </c>
      <c r="P2048" s="53" t="e">
        <f>VLOOKUP(N2048,[2]!RUBROS[#All],2,0)</f>
        <v>#REF!</v>
      </c>
      <c r="Q2048" s="47" t="str">
        <f>+MID(N2048,11,2)</f>
        <v>75</v>
      </c>
      <c r="R2048" s="47" t="str">
        <f>+MID(N2048,14,8)</f>
        <v>0-101024</v>
      </c>
      <c r="S2048" s="54" t="s">
        <v>42</v>
      </c>
      <c r="T2048" s="54" t="s">
        <v>42</v>
      </c>
      <c r="U2048" s="326" t="e">
        <f ca="1">_xlfn.XLOOKUP(PAA_4[[#This Row],[ITEM]],[2]Contrato!A:A,[2]Contrato!Q:Q,"",0)</f>
        <v>#NAME?</v>
      </c>
      <c r="V2048" s="47" t="s">
        <v>42</v>
      </c>
      <c r="W2048" s="47" t="s">
        <v>42</v>
      </c>
      <c r="X2048" s="47" t="s">
        <v>42</v>
      </c>
      <c r="Y2048" s="55" t="e">
        <f ca="1">_xlfn.XLOOKUP(PAA_4[[#This Row],[ITEM]],[2]Contrato!A:A,[2]Contrato!B:B,"",0)</f>
        <v>#NAME?</v>
      </c>
      <c r="Z2048" s="47" t="e">
        <f ca="1">_xlfn.XLOOKUP(PAA_4[[#This Row],[ITEM]],[2]Contrato!A:A,[2]Contrato!G:G,"",0)</f>
        <v>#NAME?</v>
      </c>
      <c r="AA2048" s="47" t="e">
        <f ca="1">_xlfn.XLOOKUP(PAA_4[[#This Row],[ITEM]],[2]Contrato!A:A,[2]Contrato!T:T,"",0)</f>
        <v>#NAME?</v>
      </c>
      <c r="AB2048" s="55" t="e">
        <f ca="1">+MAX(PAA_4[[#This Row],[Comprometido Contrato]],PAA_4[[#This Row],[Comprometido Bolsa]])</f>
        <v>#NAME?</v>
      </c>
      <c r="AC2048" s="55" t="str">
        <f ca="1">IFERROR(I2048-AB2048,"")</f>
        <v/>
      </c>
      <c r="AD2048" s="55" t="e">
        <f ca="1">IF(PAA_4[[#This Row],[ESTADO (formulado)]]="NO CONTRATADO",0,MAX(PAA_4[[#This Row],[Pago por Contrato]],PAA_4[[#This Row],[Pago por bolsa]]))</f>
        <v>#NAME?</v>
      </c>
      <c r="AE2048" s="55" t="str">
        <f ca="1">+IFERROR(AB2048-AD2048,"")</f>
        <v/>
      </c>
      <c r="AF2048" s="47" t="e">
        <f ca="1">+CONCATENATE(AA2048,N2048)</f>
        <v>#NAME?</v>
      </c>
      <c r="AG2048" s="47">
        <f>IFERROR(_xlfn.NUMBERVALUE(MID(G2048,1,8)),"")</f>
        <v>52010902</v>
      </c>
      <c r="AH2048" s="54">
        <f>IF(Q2048="22",IF(ISNUMBER(SEARCH("econ",PAA_4[[#This Row],[Actividad3]])),"Económico",IF(ISNUMBER(SEARCH("alim",PAA_4[[#This Row],[Actividad3]])),"Alimentación",IF(ISNUMBER(SEARCH("educ",PAA_4[[#This Row],[Actividad3]])),"Educativo","Técnico"))),0)</f>
        <v>0</v>
      </c>
      <c r="AI2048" s="47" t="e" cm="1">
        <f t="array" aca="1" ref="AI2048" ca="1">_xlfn.XLOOKUP(PAA_4[[#This Row],[RCP-RUBRO]],[2]!COMPROMISOS_2024[[#All],[concatenado]],[2]!COMPROMISOS_2024[[#All],[Total pagado]],"",0)</f>
        <v>#NAME?</v>
      </c>
      <c r="AJ2048" s="56">
        <f>IF(PAA_4[[#This Row],[BOLSA]]=0,0,SUMIFS([2]!COMPROMISOS_2024[[#All],[Total pagado]],[2]!COMPROMISOS_2024[[#All],[Bolsa]],PAA_4[[#This Row],[BOLSA]],[2]!COMPROMISOS_2024[[#All],[rubro]],PAA_4[[#This Row],[RCP-RUBRO]]))</f>
        <v>0</v>
      </c>
      <c r="AK2048" s="47" t="e" cm="1">
        <f t="array" aca="1" ref="AK2048" ca="1">_xlfn.XLOOKUP(PAA_4[[#This Row],[RCP-RUBRO]],[2]!COMPROMISOS_2024[[#All],[concatenado]],[2]!COMPROMISOS_2024[[#All],[Total Comprometido]],"",0)</f>
        <v>#NAME?</v>
      </c>
      <c r="AL2048" s="47">
        <f>IF(PAA_4[[#This Row],[BOLSA]]=0,0,SUMIFS([2]!COMPROMISOS_2024[[#All],[Total Comprometido]],[2]!COMPROMISOS_2024[[#All],[Bolsa]],PAA_4[[#This Row],[BOLSA]],[2]!COMPROMISOS_2024[[#All],[concatenado]],PAA_4[[#This Row],[RCP-RUBRO]]))</f>
        <v>0</v>
      </c>
    </row>
    <row r="2049" spans="1:38" s="19" customFormat="1" ht="31.5" customHeight="1">
      <c r="A2049" s="47">
        <v>1329</v>
      </c>
      <c r="B2049" s="47">
        <v>72101500</v>
      </c>
      <c r="C2049" s="47" t="str">
        <f>VLOOKUP(PAA_4[[#This Row],[PROYECTO (formulado)2]],[2]PROYECTOS!$G$1:$L$32,6,0)</f>
        <v>SUBGERENCIA ESCENARIOS DEPORTIVOS Y EQUIPAMIENTOS</v>
      </c>
      <c r="D2049" s="47" t="str">
        <f>+IF(PAA_4[[#This Row],[UNIDAD DE CONTRATACION (formulado)]]="Subgerencia Administrativa y Financiera","FUNCIONAMIENTO","INVERSIÓN")</f>
        <v>INVERSIÓN</v>
      </c>
      <c r="E2049" s="48" t="str">
        <f>VLOOKUP(Q2049,[2]PROYECTOS!$G$1:$K$32,5,0)</f>
        <v>Mantenimiento, adecuación, mejoras de escenarios deportivos o equipamientos en el departamento de Antioquia</v>
      </c>
      <c r="F2049" s="48">
        <f>VLOOKUP(E2049,[2]PROYECTOS!$K$1:$M$32,3,0)</f>
        <v>2024003050075</v>
      </c>
      <c r="G2049" s="49" t="s">
        <v>1842</v>
      </c>
      <c r="H2049" s="49" t="str">
        <f>VLOOKUP(Q2049,[2]PROYECTOS!$V$1:$W$32,2,0)</f>
        <v>050070</v>
      </c>
      <c r="I2049" s="78">
        <f>374209826-374209826</f>
        <v>0</v>
      </c>
      <c r="J2049" s="51" t="s">
        <v>2260</v>
      </c>
      <c r="K2049" s="47" t="str">
        <f t="shared" ref="K2049:K2060" ca="1" si="630">IF(ISNONTEXT(Y2049)=TRUE,"CONTRATADO","NO CONTRATADO")</f>
        <v>CONTRATADO</v>
      </c>
      <c r="L2049" s="47" t="s">
        <v>94</v>
      </c>
      <c r="M2049" s="47" t="s">
        <v>255</v>
      </c>
      <c r="N2049" s="52" t="s">
        <v>2259</v>
      </c>
      <c r="O2049" s="51" t="e">
        <f>VLOOKUP(N2049,[2]!RUBROS[#All],3,0)</f>
        <v>#REF!</v>
      </c>
      <c r="P2049" s="53" t="e">
        <f>VLOOKUP(N2049,[2]!RUBROS[#All],2,0)</f>
        <v>#REF!</v>
      </c>
      <c r="Q2049" s="47" t="str">
        <f t="shared" ref="Q2049:Q2060" si="631">+MID(N2049,11,2)</f>
        <v>75</v>
      </c>
      <c r="R2049" s="47" t="str">
        <f t="shared" ref="R2049:R2060" si="632">+MID(N2049,14,8)</f>
        <v>0-101024</v>
      </c>
      <c r="S2049" s="54">
        <v>6</v>
      </c>
      <c r="T2049" s="63" t="s">
        <v>46</v>
      </c>
      <c r="U2049" s="326" t="e">
        <f ca="1">_xlfn.XLOOKUP(PAA_4[[#This Row],[ITEM]],[2]Contrato!A:A,[2]Contrato!Q:Q,"",0)</f>
        <v>#NAME?</v>
      </c>
      <c r="V2049" s="47" t="s">
        <v>95</v>
      </c>
      <c r="W2049" s="47" t="s">
        <v>201</v>
      </c>
      <c r="X2049" s="47" t="s">
        <v>201</v>
      </c>
      <c r="Y2049" s="55" t="e">
        <f ca="1">_xlfn.XLOOKUP(PAA_4[[#This Row],[ITEM]],[2]Contrato!A:A,[2]Contrato!B:B,"",0)</f>
        <v>#NAME?</v>
      </c>
      <c r="Z2049" s="47" t="e">
        <f ca="1">_xlfn.XLOOKUP(PAA_4[[#This Row],[ITEM]],[2]Contrato!A:A,[2]Contrato!G:G,"",0)</f>
        <v>#NAME?</v>
      </c>
      <c r="AA2049" s="47" t="e">
        <f ca="1">_xlfn.XLOOKUP(PAA_4[[#This Row],[ITEM]],[2]Contrato!A:A,[2]Contrato!T:T,"",0)</f>
        <v>#NAME?</v>
      </c>
      <c r="AB2049" s="55" t="e">
        <f ca="1">+MAX(PAA_4[[#This Row],[Comprometido Contrato]],PAA_4[[#This Row],[Comprometido Bolsa]])</f>
        <v>#NAME?</v>
      </c>
      <c r="AC2049" s="55" t="str">
        <f t="shared" ref="AC2049:AC2060" ca="1" si="633">IFERROR(I2049-AB2049,"")</f>
        <v/>
      </c>
      <c r="AD2049" s="55" t="e">
        <f ca="1">IF(PAA_4[[#This Row],[ESTADO (formulado)]]="NO CONTRATADO",0,MAX(PAA_4[[#This Row],[Pago por Contrato]],PAA_4[[#This Row],[Pago por bolsa]]))</f>
        <v>#NAME?</v>
      </c>
      <c r="AE2049" s="55" t="str">
        <f t="shared" ref="AE2049:AE2060" ca="1" si="634">+IFERROR(AB2049-AD2049,"")</f>
        <v/>
      </c>
      <c r="AF2049" s="47" t="e">
        <f t="shared" ref="AF2049:AF2060" ca="1" si="635">+CONCATENATE(AA2049,N2049)</f>
        <v>#NAME?</v>
      </c>
      <c r="AG2049" s="47">
        <f t="shared" ref="AG2049:AG2060" si="636">IFERROR(_xlfn.NUMBERVALUE(MID(G2049,1,8)),"")</f>
        <v>52010902</v>
      </c>
      <c r="AH2049" s="54">
        <f>IF(Q2049="22",IF(ISNUMBER(SEARCH("econ",PAA_4[[#This Row],[Actividad3]])),"Económico",IF(ISNUMBER(SEARCH("alim",PAA_4[[#This Row],[Actividad3]])),"Alimentación",IF(ISNUMBER(SEARCH("educ",PAA_4[[#This Row],[Actividad3]])),"Educativo","Técnico"))),0)</f>
        <v>0</v>
      </c>
      <c r="AI2049" s="47" t="e" cm="1">
        <f t="array" aca="1" ref="AI2049" ca="1">_xlfn.XLOOKUP(PAA_4[[#This Row],[RCP-RUBRO]],[2]!COMPROMISOS_2024[[#All],[concatenado]],[2]!COMPROMISOS_2024[[#All],[Total pagado]],"",0)</f>
        <v>#NAME?</v>
      </c>
      <c r="AJ2049" s="56">
        <f>IF(PAA_4[[#This Row],[BOLSA]]=0,0,SUMIFS([2]!COMPROMISOS_2024[[#All],[Total pagado]],[2]!COMPROMISOS_2024[[#All],[Bolsa]],PAA_4[[#This Row],[BOLSA]],[2]!COMPROMISOS_2024[[#All],[rubro]],PAA_4[[#This Row],[RCP-RUBRO]]))</f>
        <v>0</v>
      </c>
      <c r="AK2049" s="47" t="e" cm="1">
        <f t="array" aca="1" ref="AK2049" ca="1">_xlfn.XLOOKUP(PAA_4[[#This Row],[RCP-RUBRO]],[2]!COMPROMISOS_2024[[#All],[concatenado]],[2]!COMPROMISOS_2024[[#All],[Total Comprometido]],"",0)</f>
        <v>#NAME?</v>
      </c>
      <c r="AL2049" s="47">
        <f>IF(PAA_4[[#This Row],[BOLSA]]=0,0,SUMIFS([2]!COMPROMISOS_2024[[#All],[Total Comprometido]],[2]!COMPROMISOS_2024[[#All],[Bolsa]],PAA_4[[#This Row],[BOLSA]],[2]!COMPROMISOS_2024[[#All],[concatenado]],PAA_4[[#This Row],[RCP-RUBRO]]))</f>
        <v>0</v>
      </c>
    </row>
    <row r="2050" spans="1:38" s="19" customFormat="1" ht="31.5" customHeight="1">
      <c r="A2050" s="47">
        <v>1330</v>
      </c>
      <c r="B2050" s="47">
        <v>72101500</v>
      </c>
      <c r="C2050" s="47" t="str">
        <f>VLOOKUP(PAA_4[[#This Row],[PROYECTO (formulado)2]],[2]PROYECTOS!$G$1:$L$32,6,0)</f>
        <v>SUBGERENCIA ESCENARIOS DEPORTIVOS Y EQUIPAMIENTOS</v>
      </c>
      <c r="D2050" s="47" t="str">
        <f>+IF(PAA_4[[#This Row],[UNIDAD DE CONTRATACION (formulado)]]="Subgerencia Administrativa y Financiera","FUNCIONAMIENTO","INVERSIÓN")</f>
        <v>INVERSIÓN</v>
      </c>
      <c r="E2050" s="48" t="str">
        <f>VLOOKUP(Q2050,[2]PROYECTOS!$G$1:$K$32,5,0)</f>
        <v>Mantenimiento, adecuación, mejoras de escenarios deportivos o equipamientos en el departamento de Antioquia</v>
      </c>
      <c r="F2050" s="48">
        <f>VLOOKUP(E2050,[2]PROYECTOS!$K$1:$M$32,3,0)</f>
        <v>2024003050075</v>
      </c>
      <c r="G2050" s="49" t="s">
        <v>1842</v>
      </c>
      <c r="H2050" s="49" t="str">
        <f>VLOOKUP(Q2050,[2]PROYECTOS!$V$1:$W$32,2,0)</f>
        <v>050070</v>
      </c>
      <c r="I2050" s="78">
        <v>477516210</v>
      </c>
      <c r="J2050" s="51" t="s">
        <v>2261</v>
      </c>
      <c r="K2050" s="47" t="str">
        <f t="shared" ca="1" si="630"/>
        <v>CONTRATADO</v>
      </c>
      <c r="L2050" s="47" t="s">
        <v>94</v>
      </c>
      <c r="M2050" s="47" t="s">
        <v>255</v>
      </c>
      <c r="N2050" s="52" t="s">
        <v>2262</v>
      </c>
      <c r="O2050" s="51" t="e">
        <f>VLOOKUP(N2050,[2]!RUBROS[#All],3,0)</f>
        <v>#REF!</v>
      </c>
      <c r="P2050" s="53" t="e">
        <f>VLOOKUP(N2050,[2]!RUBROS[#All],2,0)</f>
        <v>#REF!</v>
      </c>
      <c r="Q2050" s="47" t="str">
        <f t="shared" si="631"/>
        <v>75</v>
      </c>
      <c r="R2050" s="47" t="str">
        <f t="shared" si="632"/>
        <v>0-205128</v>
      </c>
      <c r="S2050" s="54">
        <v>7</v>
      </c>
      <c r="T2050" s="63" t="s">
        <v>46</v>
      </c>
      <c r="U2050" s="326" t="e">
        <f ca="1">_xlfn.XLOOKUP(PAA_4[[#This Row],[ITEM]],[2]Contrato!A:A,[2]Contrato!Q:Q,"",0)</f>
        <v>#NAME?</v>
      </c>
      <c r="V2050" s="47" t="s">
        <v>95</v>
      </c>
      <c r="W2050" s="47" t="s">
        <v>201</v>
      </c>
      <c r="X2050" s="47" t="s">
        <v>201</v>
      </c>
      <c r="Y2050" s="55" t="e">
        <f ca="1">_xlfn.XLOOKUP(PAA_4[[#This Row],[ITEM]],[2]Contrato!A:A,[2]Contrato!B:B,"",0)</f>
        <v>#NAME?</v>
      </c>
      <c r="Z2050" s="47" t="e">
        <f ca="1">_xlfn.XLOOKUP(PAA_4[[#This Row],[ITEM]],[2]Contrato!A:A,[2]Contrato!G:G,"",0)</f>
        <v>#NAME?</v>
      </c>
      <c r="AA2050" s="47" t="e">
        <f ca="1">_xlfn.XLOOKUP(PAA_4[[#This Row],[ITEM]],[2]Contrato!A:A,[2]Contrato!T:T,"",0)</f>
        <v>#NAME?</v>
      </c>
      <c r="AB2050" s="55" t="e">
        <f ca="1">+MAX(PAA_4[[#This Row],[Comprometido Contrato]],PAA_4[[#This Row],[Comprometido Bolsa]])</f>
        <v>#NAME?</v>
      </c>
      <c r="AC2050" s="55" t="str">
        <f t="shared" ca="1" si="633"/>
        <v/>
      </c>
      <c r="AD2050" s="55" t="e">
        <f ca="1">IF(PAA_4[[#This Row],[ESTADO (formulado)]]="NO CONTRATADO",0,MAX(PAA_4[[#This Row],[Pago por Contrato]],PAA_4[[#This Row],[Pago por bolsa]]))</f>
        <v>#NAME?</v>
      </c>
      <c r="AE2050" s="55" t="str">
        <f t="shared" ca="1" si="634"/>
        <v/>
      </c>
      <c r="AF2050" s="47" t="e">
        <f t="shared" ca="1" si="635"/>
        <v>#NAME?</v>
      </c>
      <c r="AG2050" s="47">
        <f t="shared" si="636"/>
        <v>52010902</v>
      </c>
      <c r="AH2050" s="54">
        <f>IF(Q2050="22",IF(ISNUMBER(SEARCH("econ",PAA_4[[#This Row],[Actividad3]])),"Económico",IF(ISNUMBER(SEARCH("alim",PAA_4[[#This Row],[Actividad3]])),"Alimentación",IF(ISNUMBER(SEARCH("educ",PAA_4[[#This Row],[Actividad3]])),"Educativo","Técnico"))),0)</f>
        <v>0</v>
      </c>
      <c r="AI2050" s="47" t="e" cm="1">
        <f t="array" aca="1" ref="AI2050" ca="1">_xlfn.XLOOKUP(PAA_4[[#This Row],[RCP-RUBRO]],[2]!COMPROMISOS_2024[[#All],[concatenado]],[2]!COMPROMISOS_2024[[#All],[Total pagado]],"",0)</f>
        <v>#NAME?</v>
      </c>
      <c r="AJ2050" s="56">
        <f>IF(PAA_4[[#This Row],[BOLSA]]=0,0,SUMIFS([2]!COMPROMISOS_2024[[#All],[Total pagado]],[2]!COMPROMISOS_2024[[#All],[Bolsa]],PAA_4[[#This Row],[BOLSA]],[2]!COMPROMISOS_2024[[#All],[rubro]],PAA_4[[#This Row],[RCP-RUBRO]]))</f>
        <v>0</v>
      </c>
      <c r="AK2050" s="47" t="e" cm="1">
        <f t="array" aca="1" ref="AK2050" ca="1">_xlfn.XLOOKUP(PAA_4[[#This Row],[RCP-RUBRO]],[2]!COMPROMISOS_2024[[#All],[concatenado]],[2]!COMPROMISOS_2024[[#All],[Total Comprometido]],"",0)</f>
        <v>#NAME?</v>
      </c>
      <c r="AL2050" s="47">
        <f>IF(PAA_4[[#This Row],[BOLSA]]=0,0,SUMIFS([2]!COMPROMISOS_2024[[#All],[Total Comprometido]],[2]!COMPROMISOS_2024[[#All],[Bolsa]],PAA_4[[#This Row],[BOLSA]],[2]!COMPROMISOS_2024[[#All],[concatenado]],PAA_4[[#This Row],[RCP-RUBRO]]))</f>
        <v>0</v>
      </c>
    </row>
    <row r="2051" spans="1:38" s="19" customFormat="1" ht="31.5" customHeight="1">
      <c r="A2051" s="47">
        <v>1330</v>
      </c>
      <c r="B2051" s="47">
        <v>72101500</v>
      </c>
      <c r="C2051" s="47" t="str">
        <f>VLOOKUP(PAA_4[[#This Row],[PROYECTO (formulado)2]],[2]PROYECTOS!$G$1:$L$32,6,0)</f>
        <v>SUBGERENCIA ESCENARIOS DEPORTIVOS Y EQUIPAMIENTOS</v>
      </c>
      <c r="D2051" s="47" t="str">
        <f>+IF(PAA_4[[#This Row],[UNIDAD DE CONTRATACION (formulado)]]="Subgerencia Administrativa y Financiera","FUNCIONAMIENTO","INVERSIÓN")</f>
        <v>INVERSIÓN</v>
      </c>
      <c r="E2051" s="48" t="str">
        <f>VLOOKUP(Q2051,[2]PROYECTOS!$G$1:$K$32,5,0)</f>
        <v>Mantenimiento, adecuación, mejoras de escenarios deportivos o equipamientos en el departamento de Antioquia</v>
      </c>
      <c r="F2051" s="48">
        <f>VLOOKUP(E2051,[2]PROYECTOS!$K$1:$M$32,3,0)</f>
        <v>2024003050075</v>
      </c>
      <c r="G2051" s="49" t="s">
        <v>1842</v>
      </c>
      <c r="H2051" s="49" t="str">
        <f>VLOOKUP(Q2051,[2]PROYECTOS!$V$1:$W$32,2,0)</f>
        <v>050070</v>
      </c>
      <c r="I2051" s="78">
        <v>97949779</v>
      </c>
      <c r="J2051" s="51" t="s">
        <v>2261</v>
      </c>
      <c r="K2051" s="47" t="str">
        <f t="shared" ca="1" si="630"/>
        <v>CONTRATADO</v>
      </c>
      <c r="L2051" s="47" t="s">
        <v>94</v>
      </c>
      <c r="M2051" s="47" t="s">
        <v>255</v>
      </c>
      <c r="N2051" s="52" t="s">
        <v>2259</v>
      </c>
      <c r="O2051" s="51" t="e">
        <f>VLOOKUP(N2051,[2]!RUBROS[#All],3,0)</f>
        <v>#REF!</v>
      </c>
      <c r="P2051" s="53" t="e">
        <f>VLOOKUP(N2051,[2]!RUBROS[#All],2,0)</f>
        <v>#REF!</v>
      </c>
      <c r="Q2051" s="47" t="str">
        <f t="shared" si="631"/>
        <v>75</v>
      </c>
      <c r="R2051" s="47" t="str">
        <f t="shared" si="632"/>
        <v>0-101024</v>
      </c>
      <c r="S2051" s="54">
        <v>7</v>
      </c>
      <c r="T2051" s="63" t="s">
        <v>46</v>
      </c>
      <c r="U2051" s="326" t="e">
        <f ca="1">_xlfn.XLOOKUP(PAA_4[[#This Row],[ITEM]],[2]Contrato!A:A,[2]Contrato!Q:Q,"",0)</f>
        <v>#NAME?</v>
      </c>
      <c r="V2051" s="47" t="s">
        <v>95</v>
      </c>
      <c r="W2051" s="47" t="s">
        <v>201</v>
      </c>
      <c r="X2051" s="47" t="s">
        <v>201</v>
      </c>
      <c r="Y2051" s="55" t="e">
        <f ca="1">_xlfn.XLOOKUP(PAA_4[[#This Row],[ITEM]],[2]Contrato!A:A,[2]Contrato!B:B,"",0)</f>
        <v>#NAME?</v>
      </c>
      <c r="Z2051" s="47" t="e">
        <f ca="1">_xlfn.XLOOKUP(PAA_4[[#This Row],[ITEM]],[2]Contrato!A:A,[2]Contrato!G:G,"",0)</f>
        <v>#NAME?</v>
      </c>
      <c r="AA2051" s="47" t="e">
        <f ca="1">_xlfn.XLOOKUP(PAA_4[[#This Row],[ITEM]],[2]Contrato!A:A,[2]Contrato!T:T,"",0)</f>
        <v>#NAME?</v>
      </c>
      <c r="AB2051" s="55" t="e">
        <f ca="1">+MAX(PAA_4[[#This Row],[Comprometido Contrato]],PAA_4[[#This Row],[Comprometido Bolsa]])</f>
        <v>#NAME?</v>
      </c>
      <c r="AC2051" s="55" t="str">
        <f t="shared" ca="1" si="633"/>
        <v/>
      </c>
      <c r="AD2051" s="55" t="e">
        <f ca="1">IF(PAA_4[[#This Row],[ESTADO (formulado)]]="NO CONTRATADO",0,MAX(PAA_4[[#This Row],[Pago por Contrato]],PAA_4[[#This Row],[Pago por bolsa]]))</f>
        <v>#NAME?</v>
      </c>
      <c r="AE2051" s="55" t="str">
        <f t="shared" ca="1" si="634"/>
        <v/>
      </c>
      <c r="AF2051" s="47" t="e">
        <f t="shared" ca="1" si="635"/>
        <v>#NAME?</v>
      </c>
      <c r="AG2051" s="47">
        <f t="shared" si="636"/>
        <v>52010902</v>
      </c>
      <c r="AH2051" s="54">
        <f>IF(Q2051="22",IF(ISNUMBER(SEARCH("econ",PAA_4[[#This Row],[Actividad3]])),"Económico",IF(ISNUMBER(SEARCH("alim",PAA_4[[#This Row],[Actividad3]])),"Alimentación",IF(ISNUMBER(SEARCH("educ",PAA_4[[#This Row],[Actividad3]])),"Educativo","Técnico"))),0)</f>
        <v>0</v>
      </c>
      <c r="AI2051" s="47" t="e" cm="1">
        <f t="array" aca="1" ref="AI2051" ca="1">_xlfn.XLOOKUP(PAA_4[[#This Row],[RCP-RUBRO]],[2]!COMPROMISOS_2024[[#All],[concatenado]],[2]!COMPROMISOS_2024[[#All],[Total pagado]],"",0)</f>
        <v>#NAME?</v>
      </c>
      <c r="AJ2051" s="56">
        <f>IF(PAA_4[[#This Row],[BOLSA]]=0,0,SUMIFS([2]!COMPROMISOS_2024[[#All],[Total pagado]],[2]!COMPROMISOS_2024[[#All],[Bolsa]],PAA_4[[#This Row],[BOLSA]],[2]!COMPROMISOS_2024[[#All],[rubro]],PAA_4[[#This Row],[RCP-RUBRO]]))</f>
        <v>0</v>
      </c>
      <c r="AK2051" s="47" t="e" cm="1">
        <f t="array" aca="1" ref="AK2051" ca="1">_xlfn.XLOOKUP(PAA_4[[#This Row],[RCP-RUBRO]],[2]!COMPROMISOS_2024[[#All],[concatenado]],[2]!COMPROMISOS_2024[[#All],[Total Comprometido]],"",0)</f>
        <v>#NAME?</v>
      </c>
      <c r="AL2051" s="47">
        <f>IF(PAA_4[[#This Row],[BOLSA]]=0,0,SUMIFS([2]!COMPROMISOS_2024[[#All],[Total Comprometido]],[2]!COMPROMISOS_2024[[#All],[Bolsa]],PAA_4[[#This Row],[BOLSA]],[2]!COMPROMISOS_2024[[#All],[concatenado]],PAA_4[[#This Row],[RCP-RUBRO]]))</f>
        <v>0</v>
      </c>
    </row>
    <row r="2052" spans="1:38" s="19" customFormat="1" ht="31.5" customHeight="1">
      <c r="A2052" s="47">
        <v>1331</v>
      </c>
      <c r="B2052" s="47">
        <v>72101500</v>
      </c>
      <c r="C2052" s="47" t="str">
        <f>VLOOKUP(PAA_4[[#This Row],[PROYECTO (formulado)2]],[2]PROYECTOS!$G$1:$L$32,6,0)</f>
        <v>SUBGERENCIA ESCENARIOS DEPORTIVOS Y EQUIPAMIENTOS</v>
      </c>
      <c r="D2052" s="47" t="str">
        <f>+IF(PAA_4[[#This Row],[UNIDAD DE CONTRATACION (formulado)]]="Subgerencia Administrativa y Financiera","FUNCIONAMIENTO","INVERSIÓN")</f>
        <v>INVERSIÓN</v>
      </c>
      <c r="E2052" s="48" t="str">
        <f>VLOOKUP(Q2052,[2]PROYECTOS!$G$1:$K$32,5,0)</f>
        <v>Mantenimiento, adecuación, mejoras de escenarios deportivos o equipamientos en el departamento de Antioquia</v>
      </c>
      <c r="F2052" s="48">
        <f>VLOOKUP(E2052,[2]PROYECTOS!$K$1:$M$32,3,0)</f>
        <v>2024003050075</v>
      </c>
      <c r="G2052" s="49" t="s">
        <v>1842</v>
      </c>
      <c r="H2052" s="49" t="str">
        <f>VLOOKUP(Q2052,[2]PROYECTOS!$V$1:$W$32,2,0)</f>
        <v>050070</v>
      </c>
      <c r="I2052" s="78">
        <v>298491692</v>
      </c>
      <c r="J2052" s="51" t="s">
        <v>2263</v>
      </c>
      <c r="K2052" s="47" t="str">
        <f t="shared" ca="1" si="630"/>
        <v>CONTRATADO</v>
      </c>
      <c r="L2052" s="47" t="s">
        <v>94</v>
      </c>
      <c r="M2052" s="47" t="s">
        <v>255</v>
      </c>
      <c r="N2052" s="52" t="s">
        <v>2262</v>
      </c>
      <c r="O2052" s="51" t="e">
        <f>VLOOKUP(N2052,[2]!RUBROS[#All],3,0)</f>
        <v>#REF!</v>
      </c>
      <c r="P2052" s="53" t="e">
        <f>VLOOKUP(N2052,[2]!RUBROS[#All],2,0)</f>
        <v>#REF!</v>
      </c>
      <c r="Q2052" s="47" t="str">
        <f t="shared" si="631"/>
        <v>75</v>
      </c>
      <c r="R2052" s="47" t="str">
        <f t="shared" si="632"/>
        <v>0-205128</v>
      </c>
      <c r="S2052" s="54">
        <v>8</v>
      </c>
      <c r="T2052" s="63" t="s">
        <v>46</v>
      </c>
      <c r="U2052" s="326" t="e">
        <f ca="1">_xlfn.XLOOKUP(PAA_4[[#This Row],[ITEM]],[2]Contrato!A:A,[2]Contrato!Q:Q,"",0)</f>
        <v>#NAME?</v>
      </c>
      <c r="V2052" s="47" t="s">
        <v>95</v>
      </c>
      <c r="W2052" s="47" t="s">
        <v>201</v>
      </c>
      <c r="X2052" s="47" t="s">
        <v>201</v>
      </c>
      <c r="Y2052" s="55" t="e">
        <f ca="1">_xlfn.XLOOKUP(PAA_4[[#This Row],[ITEM]],[2]Contrato!A:A,[2]Contrato!B:B,"",0)</f>
        <v>#NAME?</v>
      </c>
      <c r="Z2052" s="47" t="e">
        <f ca="1">_xlfn.XLOOKUP(PAA_4[[#This Row],[ITEM]],[2]Contrato!A:A,[2]Contrato!G:G,"",0)</f>
        <v>#NAME?</v>
      </c>
      <c r="AA2052" s="47" t="e">
        <f ca="1">_xlfn.XLOOKUP(PAA_4[[#This Row],[ITEM]],[2]Contrato!A:A,[2]Contrato!T:T,"",0)</f>
        <v>#NAME?</v>
      </c>
      <c r="AB2052" s="55" t="e">
        <f ca="1">+MAX(PAA_4[[#This Row],[Comprometido Contrato]],PAA_4[[#This Row],[Comprometido Bolsa]])</f>
        <v>#NAME?</v>
      </c>
      <c r="AC2052" s="55" t="str">
        <f t="shared" ca="1" si="633"/>
        <v/>
      </c>
      <c r="AD2052" s="55" t="e">
        <f ca="1">IF(PAA_4[[#This Row],[ESTADO (formulado)]]="NO CONTRATADO",0,MAX(PAA_4[[#This Row],[Pago por Contrato]],PAA_4[[#This Row],[Pago por bolsa]]))</f>
        <v>#NAME?</v>
      </c>
      <c r="AE2052" s="55" t="str">
        <f t="shared" ca="1" si="634"/>
        <v/>
      </c>
      <c r="AF2052" s="47" t="e">
        <f t="shared" ca="1" si="635"/>
        <v>#NAME?</v>
      </c>
      <c r="AG2052" s="47">
        <f t="shared" si="636"/>
        <v>52010902</v>
      </c>
      <c r="AH2052" s="54">
        <f>IF(Q2052="22",IF(ISNUMBER(SEARCH("econ",PAA_4[[#This Row],[Actividad3]])),"Económico",IF(ISNUMBER(SEARCH("alim",PAA_4[[#This Row],[Actividad3]])),"Alimentación",IF(ISNUMBER(SEARCH("educ",PAA_4[[#This Row],[Actividad3]])),"Educativo","Técnico"))),0)</f>
        <v>0</v>
      </c>
      <c r="AI2052" s="47" t="e" cm="1">
        <f t="array" aca="1" ref="AI2052" ca="1">_xlfn.XLOOKUP(PAA_4[[#This Row],[RCP-RUBRO]],[2]!COMPROMISOS_2024[[#All],[concatenado]],[2]!COMPROMISOS_2024[[#All],[Total pagado]],"",0)</f>
        <v>#NAME?</v>
      </c>
      <c r="AJ2052" s="56">
        <f>IF(PAA_4[[#This Row],[BOLSA]]=0,0,SUMIFS([2]!COMPROMISOS_2024[[#All],[Total pagado]],[2]!COMPROMISOS_2024[[#All],[Bolsa]],PAA_4[[#This Row],[BOLSA]],[2]!COMPROMISOS_2024[[#All],[rubro]],PAA_4[[#This Row],[RCP-RUBRO]]))</f>
        <v>0</v>
      </c>
      <c r="AK2052" s="47" t="e" cm="1">
        <f t="array" aca="1" ref="AK2052" ca="1">_xlfn.XLOOKUP(PAA_4[[#This Row],[RCP-RUBRO]],[2]!COMPROMISOS_2024[[#All],[concatenado]],[2]!COMPROMISOS_2024[[#All],[Total Comprometido]],"",0)</f>
        <v>#NAME?</v>
      </c>
      <c r="AL2052" s="47">
        <f>IF(PAA_4[[#This Row],[BOLSA]]=0,0,SUMIFS([2]!COMPROMISOS_2024[[#All],[Total Comprometido]],[2]!COMPROMISOS_2024[[#All],[Bolsa]],PAA_4[[#This Row],[BOLSA]],[2]!COMPROMISOS_2024[[#All],[concatenado]],PAA_4[[#This Row],[RCP-RUBRO]]))</f>
        <v>0</v>
      </c>
    </row>
    <row r="2053" spans="1:38" s="19" customFormat="1" ht="31.5" customHeight="1">
      <c r="A2053" s="47">
        <v>1325</v>
      </c>
      <c r="B2053" s="47">
        <v>72101500</v>
      </c>
      <c r="C2053" s="47" t="str">
        <f>VLOOKUP(PAA_4[[#This Row],[PROYECTO (formulado)2]],[2]PROYECTOS!$G$1:$L$32,6,0)</f>
        <v>SUBGERENCIA ESCENARIOS DEPORTIVOS Y EQUIPAMIENTOS</v>
      </c>
      <c r="D2053" s="47" t="str">
        <f>+IF(PAA_4[[#This Row],[UNIDAD DE CONTRATACION (formulado)]]="Subgerencia Administrativa y Financiera","FUNCIONAMIENTO","INVERSIÓN")</f>
        <v>INVERSIÓN</v>
      </c>
      <c r="E2053" s="48" t="str">
        <f>VLOOKUP(Q2053,[2]PROYECTOS!$G$1:$K$32,5,0)</f>
        <v>Mantenimiento, adecuación, mejoras de escenarios deportivos o equipamientos en el departamento de Antioquia</v>
      </c>
      <c r="F2053" s="48">
        <f>VLOOKUP(E2053,[2]PROYECTOS!$K$1:$M$32,3,0)</f>
        <v>2024003050075</v>
      </c>
      <c r="G2053" s="49" t="s">
        <v>1842</v>
      </c>
      <c r="H2053" s="49" t="str">
        <f>VLOOKUP(Q2053,[2]PROYECTOS!$V$1:$W$32,2,0)</f>
        <v>050070</v>
      </c>
      <c r="I2053" s="78">
        <v>0</v>
      </c>
      <c r="J2053" s="51" t="s">
        <v>316</v>
      </c>
      <c r="K2053" s="47" t="str">
        <f t="shared" ca="1" si="630"/>
        <v>CONTRATADO</v>
      </c>
      <c r="L2053" s="47" t="s">
        <v>94</v>
      </c>
      <c r="M2053" s="47" t="s">
        <v>255</v>
      </c>
      <c r="N2053" s="52" t="s">
        <v>2259</v>
      </c>
      <c r="O2053" s="51" t="e">
        <f>VLOOKUP(N2053,[2]!RUBROS[#All],3,0)</f>
        <v>#REF!</v>
      </c>
      <c r="P2053" s="53" t="e">
        <f>VLOOKUP(N2053,[2]!RUBROS[#All],2,0)</f>
        <v>#REF!</v>
      </c>
      <c r="Q2053" s="47" t="str">
        <f t="shared" si="631"/>
        <v>75</v>
      </c>
      <c r="R2053" s="47" t="str">
        <f t="shared" si="632"/>
        <v>0-101024</v>
      </c>
      <c r="S2053" s="54">
        <v>1</v>
      </c>
      <c r="T2053" s="63" t="s">
        <v>46</v>
      </c>
      <c r="U2053" s="326" t="e">
        <f ca="1">_xlfn.XLOOKUP(PAA_4[[#This Row],[ITEM]],[2]Contrato!A:A,[2]Contrato!Q:Q,"",0)</f>
        <v>#NAME?</v>
      </c>
      <c r="V2053" s="47" t="s">
        <v>95</v>
      </c>
      <c r="W2053" s="47" t="s">
        <v>200</v>
      </c>
      <c r="X2053" s="47" t="s">
        <v>200</v>
      </c>
      <c r="Y2053" s="55" t="e">
        <f ca="1">_xlfn.XLOOKUP(PAA_4[[#This Row],[ITEM]],[2]Contrato!A:A,[2]Contrato!B:B,"",0)</f>
        <v>#NAME?</v>
      </c>
      <c r="Z2053" s="47" t="e">
        <f ca="1">_xlfn.XLOOKUP(PAA_4[[#This Row],[ITEM]],[2]Contrato!A:A,[2]Contrato!G:G,"",0)</f>
        <v>#NAME?</v>
      </c>
      <c r="AA2053" s="47" t="e">
        <f ca="1">_xlfn.XLOOKUP(PAA_4[[#This Row],[ITEM]],[2]Contrato!A:A,[2]Contrato!T:T,"",0)</f>
        <v>#NAME?</v>
      </c>
      <c r="AB2053" s="55" t="e">
        <f ca="1">+MAX(PAA_4[[#This Row],[Comprometido Contrato]],PAA_4[[#This Row],[Comprometido Bolsa]])</f>
        <v>#NAME?</v>
      </c>
      <c r="AC2053" s="55" t="str">
        <f t="shared" ca="1" si="633"/>
        <v/>
      </c>
      <c r="AD2053" s="55" t="e">
        <f ca="1">IF(PAA_4[[#This Row],[ESTADO (formulado)]]="NO CONTRATADO",0,MAX(PAA_4[[#This Row],[Pago por Contrato]],PAA_4[[#This Row],[Pago por bolsa]]))</f>
        <v>#NAME?</v>
      </c>
      <c r="AE2053" s="55" t="str">
        <f t="shared" ca="1" si="634"/>
        <v/>
      </c>
      <c r="AF2053" s="47" t="e">
        <f t="shared" ca="1" si="635"/>
        <v>#NAME?</v>
      </c>
      <c r="AG2053" s="47">
        <f t="shared" si="636"/>
        <v>52010902</v>
      </c>
      <c r="AH2053" s="54">
        <f>IF(Q2053="22",IF(ISNUMBER(SEARCH("econ",PAA_4[[#This Row],[Actividad3]])),"Económico",IF(ISNUMBER(SEARCH("alim",PAA_4[[#This Row],[Actividad3]])),"Alimentación",IF(ISNUMBER(SEARCH("educ",PAA_4[[#This Row],[Actividad3]])),"Educativo","Técnico"))),0)</f>
        <v>0</v>
      </c>
      <c r="AI2053" s="47" t="e" cm="1">
        <f t="array" aca="1" ref="AI2053" ca="1">_xlfn.XLOOKUP(PAA_4[[#This Row],[RCP-RUBRO]],[2]!COMPROMISOS_2024[[#All],[concatenado]],[2]!COMPROMISOS_2024[[#All],[Total pagado]],"",0)</f>
        <v>#NAME?</v>
      </c>
      <c r="AJ2053" s="56">
        <f>IF(PAA_4[[#This Row],[BOLSA]]=0,0,SUMIFS([2]!COMPROMISOS_2024[[#All],[Total pagado]],[2]!COMPROMISOS_2024[[#All],[Bolsa]],PAA_4[[#This Row],[BOLSA]],[2]!COMPROMISOS_2024[[#All],[rubro]],PAA_4[[#This Row],[RCP-RUBRO]]))</f>
        <v>0</v>
      </c>
      <c r="AK2053" s="47" t="e" cm="1">
        <f t="array" aca="1" ref="AK2053" ca="1">_xlfn.XLOOKUP(PAA_4[[#This Row],[RCP-RUBRO]],[2]!COMPROMISOS_2024[[#All],[concatenado]],[2]!COMPROMISOS_2024[[#All],[Total Comprometido]],"",0)</f>
        <v>#NAME?</v>
      </c>
      <c r="AL2053" s="47">
        <f>IF(PAA_4[[#This Row],[BOLSA]]=0,0,SUMIFS([2]!COMPROMISOS_2024[[#All],[Total Comprometido]],[2]!COMPROMISOS_2024[[#All],[Bolsa]],PAA_4[[#This Row],[BOLSA]],[2]!COMPROMISOS_2024[[#All],[concatenado]],PAA_4[[#This Row],[RCP-RUBRO]]))</f>
        <v>0</v>
      </c>
    </row>
    <row r="2054" spans="1:38" s="19" customFormat="1" ht="31.5" customHeight="1">
      <c r="A2054" s="47">
        <v>1079</v>
      </c>
      <c r="B2054" s="47">
        <v>72101500</v>
      </c>
      <c r="C2054" s="47" t="str">
        <f>VLOOKUP(PAA_4[[#This Row],[PROYECTO (formulado)2]],[2]PROYECTOS!$G$1:$L$32,6,0)</f>
        <v>SUBGERENCIA ESCENARIOS DEPORTIVOS Y EQUIPAMIENTOS</v>
      </c>
      <c r="D2054" s="47" t="str">
        <f>+IF(PAA_4[[#This Row],[UNIDAD DE CONTRATACION (formulado)]]="Subgerencia Administrativa y Financiera","FUNCIONAMIENTO","INVERSIÓN")</f>
        <v>INVERSIÓN</v>
      </c>
      <c r="E2054" s="48" t="str">
        <f>VLOOKUP(Q2054,[2]PROYECTOS!$G$1:$K$32,5,0)</f>
        <v>Mantenimiento, adecuación, mejoras de escenarios deportivos o equipamientos en el departamento de Antioquia</v>
      </c>
      <c r="F2054" s="48">
        <f>VLOOKUP(E2054,[2]PROYECTOS!$K$1:$M$32,3,0)</f>
        <v>2024003050075</v>
      </c>
      <c r="G2054" s="49" t="s">
        <v>1842</v>
      </c>
      <c r="H2054" s="49" t="str">
        <f>VLOOKUP(Q2054,[2]PROYECTOS!$V$1:$W$32,2,0)</f>
        <v>050070</v>
      </c>
      <c r="I2054" s="78">
        <v>42142908</v>
      </c>
      <c r="J2054" s="51" t="s">
        <v>316</v>
      </c>
      <c r="K2054" s="47" t="str">
        <f t="shared" ca="1" si="630"/>
        <v>CONTRATADO</v>
      </c>
      <c r="L2054" s="47" t="s">
        <v>42</v>
      </c>
      <c r="M2054" s="47" t="s">
        <v>42</v>
      </c>
      <c r="N2054" s="52" t="s">
        <v>2262</v>
      </c>
      <c r="O2054" s="51" t="e">
        <f>VLOOKUP(N2054,[2]!RUBROS[#All],3,0)</f>
        <v>#REF!</v>
      </c>
      <c r="P2054" s="53" t="e">
        <f>VLOOKUP(N2054,[2]!RUBROS[#All],2,0)</f>
        <v>#REF!</v>
      </c>
      <c r="Q2054" s="47" t="str">
        <f t="shared" si="631"/>
        <v>75</v>
      </c>
      <c r="R2054" s="47" t="str">
        <f t="shared" si="632"/>
        <v>0-205128</v>
      </c>
      <c r="S2054" s="54" t="s">
        <v>42</v>
      </c>
      <c r="T2054" s="54" t="s">
        <v>42</v>
      </c>
      <c r="U2054" s="326" t="e">
        <f ca="1">_xlfn.XLOOKUP(PAA_4[[#This Row],[ITEM]],[2]Contrato!A:A,[2]Contrato!Q:Q,"",0)</f>
        <v>#NAME?</v>
      </c>
      <c r="V2054" s="47" t="s">
        <v>42</v>
      </c>
      <c r="W2054" s="47" t="s">
        <v>42</v>
      </c>
      <c r="X2054" s="47" t="s">
        <v>42</v>
      </c>
      <c r="Y2054" s="55" t="e">
        <f ca="1">_xlfn.XLOOKUP(PAA_4[[#This Row],[ITEM]],[2]Contrato!A:A,[2]Contrato!B:B,"",0)</f>
        <v>#NAME?</v>
      </c>
      <c r="Z2054" s="47" t="e">
        <f ca="1">_xlfn.XLOOKUP(PAA_4[[#This Row],[ITEM]],[2]Contrato!A:A,[2]Contrato!G:G,"",0)</f>
        <v>#NAME?</v>
      </c>
      <c r="AA2054" s="47" t="e">
        <f ca="1">_xlfn.XLOOKUP(PAA_4[[#This Row],[ITEM]],[2]Contrato!A:A,[2]Contrato!T:T,"",0)</f>
        <v>#NAME?</v>
      </c>
      <c r="AB2054" s="55" t="e">
        <f ca="1">+MAX(PAA_4[[#This Row],[Comprometido Contrato]],PAA_4[[#This Row],[Comprometido Bolsa]])</f>
        <v>#NAME?</v>
      </c>
      <c r="AC2054" s="55" t="str">
        <f t="shared" ca="1" si="633"/>
        <v/>
      </c>
      <c r="AD2054" s="55" t="e">
        <f ca="1">IF(PAA_4[[#This Row],[ESTADO (formulado)]]="NO CONTRATADO",0,MAX(PAA_4[[#This Row],[Pago por Contrato]],PAA_4[[#This Row],[Pago por bolsa]]))</f>
        <v>#NAME?</v>
      </c>
      <c r="AE2054" s="55" t="str">
        <f t="shared" ca="1" si="634"/>
        <v/>
      </c>
      <c r="AF2054" s="47" t="e">
        <f t="shared" ca="1" si="635"/>
        <v>#NAME?</v>
      </c>
      <c r="AG2054" s="47">
        <f t="shared" si="636"/>
        <v>52010902</v>
      </c>
      <c r="AH2054" s="54">
        <f>IF(Q2054="22",IF(ISNUMBER(SEARCH("econ",PAA_4[[#This Row],[Actividad3]])),"Económico",IF(ISNUMBER(SEARCH("alim",PAA_4[[#This Row],[Actividad3]])),"Alimentación",IF(ISNUMBER(SEARCH("educ",PAA_4[[#This Row],[Actividad3]])),"Educativo","Técnico"))),0)</f>
        <v>0</v>
      </c>
      <c r="AI2054" s="47" t="e" cm="1">
        <f t="array" aca="1" ref="AI2054" ca="1">_xlfn.XLOOKUP(PAA_4[[#This Row],[RCP-RUBRO]],[2]!COMPROMISOS_2024[[#All],[concatenado]],[2]!COMPROMISOS_2024[[#All],[Total pagado]],"",0)</f>
        <v>#NAME?</v>
      </c>
      <c r="AJ2054" s="56">
        <f>IF(PAA_4[[#This Row],[BOLSA]]=0,0,SUMIFS([2]!COMPROMISOS_2024[[#All],[Total pagado]],[2]!COMPROMISOS_2024[[#All],[Bolsa]],PAA_4[[#This Row],[BOLSA]],[2]!COMPROMISOS_2024[[#All],[rubro]],PAA_4[[#This Row],[RCP-RUBRO]]))</f>
        <v>0</v>
      </c>
      <c r="AK2054" s="47" t="e" cm="1">
        <f t="array" aca="1" ref="AK2054" ca="1">_xlfn.XLOOKUP(PAA_4[[#This Row],[RCP-RUBRO]],[2]!COMPROMISOS_2024[[#All],[concatenado]],[2]!COMPROMISOS_2024[[#All],[Total Comprometido]],"",0)</f>
        <v>#NAME?</v>
      </c>
      <c r="AL2054" s="47">
        <f>IF(PAA_4[[#This Row],[BOLSA]]=0,0,SUMIFS([2]!COMPROMISOS_2024[[#All],[Total Comprometido]],[2]!COMPROMISOS_2024[[#All],[Bolsa]],PAA_4[[#This Row],[BOLSA]],[2]!COMPROMISOS_2024[[#All],[concatenado]],PAA_4[[#This Row],[RCP-RUBRO]]))</f>
        <v>0</v>
      </c>
    </row>
    <row r="2055" spans="1:38" s="19" customFormat="1" ht="31.5" customHeight="1">
      <c r="A2055" s="47">
        <v>1264</v>
      </c>
      <c r="B2055" s="47">
        <v>72101500</v>
      </c>
      <c r="C2055" s="47" t="str">
        <f>VLOOKUP(PAA_4[[#This Row],[PROYECTO (formulado)2]],[2]PROYECTOS!$G$1:$L$32,6,0)</f>
        <v>SUBGERENCIA ESCENARIOS DEPORTIVOS Y EQUIPAMIENTOS</v>
      </c>
      <c r="D2055" s="47" t="str">
        <f>+IF(PAA_4[[#This Row],[UNIDAD DE CONTRATACION (formulado)]]="Subgerencia Administrativa y Financiera","FUNCIONAMIENTO","INVERSIÓN")</f>
        <v>INVERSIÓN</v>
      </c>
      <c r="E2055" s="48" t="str">
        <f>VLOOKUP(Q2055,[2]PROYECTOS!$G$1:$K$32,5,0)</f>
        <v>Mantenimiento, adecuación, mejoras de escenarios deportivos o equipamientos en el departamento de Antioquia</v>
      </c>
      <c r="F2055" s="48">
        <f>VLOOKUP(E2055,[2]PROYECTOS!$K$1:$M$32,3,0)</f>
        <v>2024003050075</v>
      </c>
      <c r="G2055" s="49" t="s">
        <v>1842</v>
      </c>
      <c r="H2055" s="49" t="str">
        <f>VLOOKUP(Q2055,[2]PROYECTOS!$V$1:$W$32,2,0)</f>
        <v>050070</v>
      </c>
      <c r="I2055" s="78">
        <v>367620610</v>
      </c>
      <c r="J2055" s="51" t="s">
        <v>2264</v>
      </c>
      <c r="K2055" s="47" t="str">
        <f t="shared" ca="1" si="630"/>
        <v>CONTRATADO</v>
      </c>
      <c r="L2055" s="47" t="s">
        <v>94</v>
      </c>
      <c r="M2055" s="47" t="s">
        <v>255</v>
      </c>
      <c r="N2055" s="52" t="s">
        <v>2265</v>
      </c>
      <c r="O2055" s="51" t="e">
        <f>VLOOKUP(N2055,[2]!RUBROS[#All],3,0)</f>
        <v>#REF!</v>
      </c>
      <c r="P2055" s="53" t="e">
        <f>VLOOKUP(N2055,[2]!RUBROS[#All],2,0)</f>
        <v>#REF!</v>
      </c>
      <c r="Q2055" s="47" t="str">
        <f t="shared" si="631"/>
        <v>75</v>
      </c>
      <c r="R2055" s="47" t="str">
        <f t="shared" si="632"/>
        <v>0-202029</v>
      </c>
      <c r="S2055" s="54">
        <v>7</v>
      </c>
      <c r="T2055" s="63" t="s">
        <v>46</v>
      </c>
      <c r="U2055" s="326" t="e">
        <f ca="1">_xlfn.XLOOKUP(PAA_4[[#This Row],[ITEM]],[2]Contrato!A:A,[2]Contrato!Q:Q,"",0)</f>
        <v>#NAME?</v>
      </c>
      <c r="V2055" s="47" t="s">
        <v>95</v>
      </c>
      <c r="W2055" s="47" t="s">
        <v>204</v>
      </c>
      <c r="X2055" s="47" t="s">
        <v>204</v>
      </c>
      <c r="Y2055" s="55" t="e">
        <f ca="1">_xlfn.XLOOKUP(PAA_4[[#This Row],[ITEM]],[2]Contrato!A:A,[2]Contrato!B:B,"",0)</f>
        <v>#NAME?</v>
      </c>
      <c r="Z2055" s="47" t="e">
        <f ca="1">_xlfn.XLOOKUP(PAA_4[[#This Row],[ITEM]],[2]Contrato!A:A,[2]Contrato!G:G,"",0)</f>
        <v>#NAME?</v>
      </c>
      <c r="AA2055" s="47" t="e">
        <f ca="1">_xlfn.XLOOKUP(PAA_4[[#This Row],[ITEM]],[2]Contrato!A:A,[2]Contrato!T:T,"",0)</f>
        <v>#NAME?</v>
      </c>
      <c r="AB2055" s="55" t="e">
        <f ca="1">+MAX(PAA_4[[#This Row],[Comprometido Contrato]],PAA_4[[#This Row],[Comprometido Bolsa]])</f>
        <v>#NAME?</v>
      </c>
      <c r="AC2055" s="55" t="str">
        <f t="shared" ca="1" si="633"/>
        <v/>
      </c>
      <c r="AD2055" s="55" t="e">
        <f ca="1">IF(PAA_4[[#This Row],[ESTADO (formulado)]]="NO CONTRATADO",0,MAX(PAA_4[[#This Row],[Pago por Contrato]],PAA_4[[#This Row],[Pago por bolsa]]))</f>
        <v>#NAME?</v>
      </c>
      <c r="AE2055" s="55" t="str">
        <f t="shared" ca="1" si="634"/>
        <v/>
      </c>
      <c r="AF2055" s="47" t="e">
        <f t="shared" ca="1" si="635"/>
        <v>#NAME?</v>
      </c>
      <c r="AG2055" s="47">
        <f t="shared" si="636"/>
        <v>52010902</v>
      </c>
      <c r="AH2055" s="54">
        <f>IF(Q2055="22",IF(ISNUMBER(SEARCH("econ",PAA_4[[#This Row],[Actividad3]])),"Económico",IF(ISNUMBER(SEARCH("alim",PAA_4[[#This Row],[Actividad3]])),"Alimentación",IF(ISNUMBER(SEARCH("educ",PAA_4[[#This Row],[Actividad3]])),"Educativo","Técnico"))),0)</f>
        <v>0</v>
      </c>
      <c r="AI2055" s="47" t="e" cm="1">
        <f t="array" aca="1" ref="AI2055" ca="1">_xlfn.XLOOKUP(PAA_4[[#This Row],[RCP-RUBRO]],[2]!COMPROMISOS_2024[[#All],[concatenado]],[2]!COMPROMISOS_2024[[#All],[Total pagado]],"",0)</f>
        <v>#NAME?</v>
      </c>
      <c r="AJ2055" s="56">
        <f>IF(PAA_4[[#This Row],[BOLSA]]=0,0,SUMIFS([2]!COMPROMISOS_2024[[#All],[Total pagado]],[2]!COMPROMISOS_2024[[#All],[Bolsa]],PAA_4[[#This Row],[BOLSA]],[2]!COMPROMISOS_2024[[#All],[rubro]],PAA_4[[#This Row],[RCP-RUBRO]]))</f>
        <v>0</v>
      </c>
      <c r="AK2055" s="47" t="e" cm="1">
        <f t="array" aca="1" ref="AK2055" ca="1">_xlfn.XLOOKUP(PAA_4[[#This Row],[RCP-RUBRO]],[2]!COMPROMISOS_2024[[#All],[concatenado]],[2]!COMPROMISOS_2024[[#All],[Total Comprometido]],"",0)</f>
        <v>#NAME?</v>
      </c>
      <c r="AL2055" s="47">
        <f>IF(PAA_4[[#This Row],[BOLSA]]=0,0,SUMIFS([2]!COMPROMISOS_2024[[#All],[Total Comprometido]],[2]!COMPROMISOS_2024[[#All],[Bolsa]],PAA_4[[#This Row],[BOLSA]],[2]!COMPROMISOS_2024[[#All],[concatenado]],PAA_4[[#This Row],[RCP-RUBRO]]))</f>
        <v>0</v>
      </c>
    </row>
    <row r="2056" spans="1:38" s="19" customFormat="1" ht="31.5" customHeight="1">
      <c r="A2056" s="47">
        <v>1265</v>
      </c>
      <c r="B2056" s="47">
        <v>72101500</v>
      </c>
      <c r="C2056" s="47" t="str">
        <f>VLOOKUP(PAA_4[[#This Row],[PROYECTO (formulado)2]],[2]PROYECTOS!$G$1:$L$32,6,0)</f>
        <v>SUBGERENCIA ESCENARIOS DEPORTIVOS Y EQUIPAMIENTOS</v>
      </c>
      <c r="D2056" s="47" t="str">
        <f>+IF(PAA_4[[#This Row],[UNIDAD DE CONTRATACION (formulado)]]="Subgerencia Administrativa y Financiera","FUNCIONAMIENTO","INVERSIÓN")</f>
        <v>INVERSIÓN</v>
      </c>
      <c r="E2056" s="48" t="str">
        <f>VLOOKUP(Q2056,[2]PROYECTOS!$G$1:$K$32,5,0)</f>
        <v>Mantenimiento, adecuación, mejoras de escenarios deportivos o equipamientos en el departamento de Antioquia</v>
      </c>
      <c r="F2056" s="48">
        <f>VLOOKUP(E2056,[2]PROYECTOS!$K$1:$M$32,3,0)</f>
        <v>2024003050075</v>
      </c>
      <c r="G2056" s="49" t="s">
        <v>1842</v>
      </c>
      <c r="H2056" s="49" t="str">
        <f>VLOOKUP(Q2056,[2]PROYECTOS!$V$1:$W$32,2,0)</f>
        <v>050070</v>
      </c>
      <c r="I2056" s="78">
        <v>214229264</v>
      </c>
      <c r="J2056" s="51" t="s">
        <v>2266</v>
      </c>
      <c r="K2056" s="47" t="str">
        <f t="shared" ca="1" si="630"/>
        <v>CONTRATADO</v>
      </c>
      <c r="L2056" s="47" t="s">
        <v>94</v>
      </c>
      <c r="M2056" s="47" t="s">
        <v>255</v>
      </c>
      <c r="N2056" s="52" t="s">
        <v>2265</v>
      </c>
      <c r="O2056" s="51" t="e">
        <f>VLOOKUP(N2056,[2]!RUBROS[#All],3,0)</f>
        <v>#REF!</v>
      </c>
      <c r="P2056" s="53" t="e">
        <f>VLOOKUP(N2056,[2]!RUBROS[#All],2,0)</f>
        <v>#REF!</v>
      </c>
      <c r="Q2056" s="47" t="str">
        <f t="shared" si="631"/>
        <v>75</v>
      </c>
      <c r="R2056" s="47" t="str">
        <f t="shared" si="632"/>
        <v>0-202029</v>
      </c>
      <c r="S2056" s="54">
        <v>7</v>
      </c>
      <c r="T2056" s="63" t="s">
        <v>46</v>
      </c>
      <c r="U2056" s="326" t="e">
        <f ca="1">_xlfn.XLOOKUP(PAA_4[[#This Row],[ITEM]],[2]Contrato!A:A,[2]Contrato!Q:Q,"",0)</f>
        <v>#NAME?</v>
      </c>
      <c r="V2056" s="47" t="s">
        <v>95</v>
      </c>
      <c r="W2056" s="47" t="s">
        <v>204</v>
      </c>
      <c r="X2056" s="47" t="s">
        <v>204</v>
      </c>
      <c r="Y2056" s="55" t="e">
        <f ca="1">_xlfn.XLOOKUP(PAA_4[[#This Row],[ITEM]],[2]Contrato!A:A,[2]Contrato!B:B,"",0)</f>
        <v>#NAME?</v>
      </c>
      <c r="Z2056" s="47" t="e">
        <f ca="1">_xlfn.XLOOKUP(PAA_4[[#This Row],[ITEM]],[2]Contrato!A:A,[2]Contrato!G:G,"",0)</f>
        <v>#NAME?</v>
      </c>
      <c r="AA2056" s="47" t="e">
        <f ca="1">_xlfn.XLOOKUP(PAA_4[[#This Row],[ITEM]],[2]Contrato!A:A,[2]Contrato!T:T,"",0)</f>
        <v>#NAME?</v>
      </c>
      <c r="AB2056" s="55" t="e">
        <f ca="1">+MAX(PAA_4[[#This Row],[Comprometido Contrato]],PAA_4[[#This Row],[Comprometido Bolsa]])</f>
        <v>#NAME?</v>
      </c>
      <c r="AC2056" s="55" t="str">
        <f t="shared" ca="1" si="633"/>
        <v/>
      </c>
      <c r="AD2056" s="55" t="e">
        <f ca="1">IF(PAA_4[[#This Row],[ESTADO (formulado)]]="NO CONTRATADO",0,MAX(PAA_4[[#This Row],[Pago por Contrato]],PAA_4[[#This Row],[Pago por bolsa]]))</f>
        <v>#NAME?</v>
      </c>
      <c r="AE2056" s="55" t="str">
        <f t="shared" ca="1" si="634"/>
        <v/>
      </c>
      <c r="AF2056" s="47" t="e">
        <f t="shared" ca="1" si="635"/>
        <v>#NAME?</v>
      </c>
      <c r="AG2056" s="47">
        <f t="shared" si="636"/>
        <v>52010902</v>
      </c>
      <c r="AH2056" s="54">
        <f>IF(Q2056="22",IF(ISNUMBER(SEARCH("econ",PAA_4[[#This Row],[Actividad3]])),"Económico",IF(ISNUMBER(SEARCH("alim",PAA_4[[#This Row],[Actividad3]])),"Alimentación",IF(ISNUMBER(SEARCH("educ",PAA_4[[#This Row],[Actividad3]])),"Educativo","Técnico"))),0)</f>
        <v>0</v>
      </c>
      <c r="AI2056" s="47" t="e" cm="1">
        <f t="array" aca="1" ref="AI2056" ca="1">_xlfn.XLOOKUP(PAA_4[[#This Row],[RCP-RUBRO]],[2]!COMPROMISOS_2024[[#All],[concatenado]],[2]!COMPROMISOS_2024[[#All],[Total pagado]],"",0)</f>
        <v>#NAME?</v>
      </c>
      <c r="AJ2056" s="56">
        <f>IF(PAA_4[[#This Row],[BOLSA]]=0,0,SUMIFS([2]!COMPROMISOS_2024[[#All],[Total pagado]],[2]!COMPROMISOS_2024[[#All],[Bolsa]],PAA_4[[#This Row],[BOLSA]],[2]!COMPROMISOS_2024[[#All],[rubro]],PAA_4[[#This Row],[RCP-RUBRO]]))</f>
        <v>0</v>
      </c>
      <c r="AK2056" s="47" t="e" cm="1">
        <f t="array" aca="1" ref="AK2056" ca="1">_xlfn.XLOOKUP(PAA_4[[#This Row],[RCP-RUBRO]],[2]!COMPROMISOS_2024[[#All],[concatenado]],[2]!COMPROMISOS_2024[[#All],[Total Comprometido]],"",0)</f>
        <v>#NAME?</v>
      </c>
      <c r="AL2056" s="47">
        <f>IF(PAA_4[[#This Row],[BOLSA]]=0,0,SUMIFS([2]!COMPROMISOS_2024[[#All],[Total Comprometido]],[2]!COMPROMISOS_2024[[#All],[Bolsa]],PAA_4[[#This Row],[BOLSA]],[2]!COMPROMISOS_2024[[#All],[concatenado]],PAA_4[[#This Row],[RCP-RUBRO]]))</f>
        <v>0</v>
      </c>
    </row>
    <row r="2057" spans="1:38" s="19" customFormat="1" ht="31.5" customHeight="1">
      <c r="A2057" s="47">
        <v>1266</v>
      </c>
      <c r="B2057" s="47">
        <v>72101500</v>
      </c>
      <c r="C2057" s="47" t="str">
        <f>VLOOKUP(PAA_4[[#This Row],[PROYECTO (formulado)2]],[2]PROYECTOS!$G$1:$L$32,6,0)</f>
        <v>SUBGERENCIA ESCENARIOS DEPORTIVOS Y EQUIPAMIENTOS</v>
      </c>
      <c r="D2057" s="47" t="str">
        <f>+IF(PAA_4[[#This Row],[UNIDAD DE CONTRATACION (formulado)]]="Subgerencia Administrativa y Financiera","FUNCIONAMIENTO","INVERSIÓN")</f>
        <v>INVERSIÓN</v>
      </c>
      <c r="E2057" s="48" t="str">
        <f>VLOOKUP(Q2057,[2]PROYECTOS!$G$1:$K$32,5,0)</f>
        <v>Mantenimiento, adecuación, mejoras de escenarios deportivos o equipamientos en el departamento de Antioquia</v>
      </c>
      <c r="F2057" s="48">
        <f>VLOOKUP(E2057,[2]PROYECTOS!$K$1:$M$32,3,0)</f>
        <v>2024003050075</v>
      </c>
      <c r="G2057" s="49" t="s">
        <v>1842</v>
      </c>
      <c r="H2057" s="49" t="str">
        <f>VLOOKUP(Q2057,[2]PROYECTOS!$V$1:$W$32,2,0)</f>
        <v>050070</v>
      </c>
      <c r="I2057" s="78">
        <v>279332363</v>
      </c>
      <c r="J2057" s="51" t="s">
        <v>2267</v>
      </c>
      <c r="K2057" s="47" t="str">
        <f t="shared" ca="1" si="630"/>
        <v>CONTRATADO</v>
      </c>
      <c r="L2057" s="47" t="s">
        <v>94</v>
      </c>
      <c r="M2057" s="47" t="s">
        <v>255</v>
      </c>
      <c r="N2057" s="52" t="s">
        <v>2265</v>
      </c>
      <c r="O2057" s="51" t="e">
        <f>VLOOKUP(N2057,[2]!RUBROS[#All],3,0)</f>
        <v>#REF!</v>
      </c>
      <c r="P2057" s="53" t="e">
        <f>VLOOKUP(N2057,[2]!RUBROS[#All],2,0)</f>
        <v>#REF!</v>
      </c>
      <c r="Q2057" s="47" t="str">
        <f t="shared" si="631"/>
        <v>75</v>
      </c>
      <c r="R2057" s="47" t="str">
        <f t="shared" si="632"/>
        <v>0-202029</v>
      </c>
      <c r="S2057" s="54">
        <v>7</v>
      </c>
      <c r="T2057" s="63" t="s">
        <v>46</v>
      </c>
      <c r="U2057" s="326" t="e">
        <f ca="1">_xlfn.XLOOKUP(PAA_4[[#This Row],[ITEM]],[2]Contrato!A:A,[2]Contrato!Q:Q,"",0)</f>
        <v>#NAME?</v>
      </c>
      <c r="V2057" s="47" t="s">
        <v>95</v>
      </c>
      <c r="W2057" s="47" t="s">
        <v>204</v>
      </c>
      <c r="X2057" s="47" t="s">
        <v>204</v>
      </c>
      <c r="Y2057" s="55" t="e">
        <f ca="1">_xlfn.XLOOKUP(PAA_4[[#This Row],[ITEM]],[2]Contrato!A:A,[2]Contrato!B:B,"",0)</f>
        <v>#NAME?</v>
      </c>
      <c r="Z2057" s="47" t="e">
        <f ca="1">_xlfn.XLOOKUP(PAA_4[[#This Row],[ITEM]],[2]Contrato!A:A,[2]Contrato!G:G,"",0)</f>
        <v>#NAME?</v>
      </c>
      <c r="AA2057" s="47" t="e">
        <f ca="1">_xlfn.XLOOKUP(PAA_4[[#This Row],[ITEM]],[2]Contrato!A:A,[2]Contrato!T:T,"",0)</f>
        <v>#NAME?</v>
      </c>
      <c r="AB2057" s="55" t="e">
        <f ca="1">+MAX(PAA_4[[#This Row],[Comprometido Contrato]],PAA_4[[#This Row],[Comprometido Bolsa]])</f>
        <v>#NAME?</v>
      </c>
      <c r="AC2057" s="55" t="str">
        <f t="shared" ca="1" si="633"/>
        <v/>
      </c>
      <c r="AD2057" s="55" t="e">
        <f ca="1">IF(PAA_4[[#This Row],[ESTADO (formulado)]]="NO CONTRATADO",0,MAX(PAA_4[[#This Row],[Pago por Contrato]],PAA_4[[#This Row],[Pago por bolsa]]))</f>
        <v>#NAME?</v>
      </c>
      <c r="AE2057" s="55" t="str">
        <f t="shared" ca="1" si="634"/>
        <v/>
      </c>
      <c r="AF2057" s="47" t="e">
        <f t="shared" ca="1" si="635"/>
        <v>#NAME?</v>
      </c>
      <c r="AG2057" s="47">
        <f t="shared" si="636"/>
        <v>52010902</v>
      </c>
      <c r="AH2057" s="54">
        <f>IF(Q2057="22",IF(ISNUMBER(SEARCH("econ",PAA_4[[#This Row],[Actividad3]])),"Económico",IF(ISNUMBER(SEARCH("alim",PAA_4[[#This Row],[Actividad3]])),"Alimentación",IF(ISNUMBER(SEARCH("educ",PAA_4[[#This Row],[Actividad3]])),"Educativo","Técnico"))),0)</f>
        <v>0</v>
      </c>
      <c r="AI2057" s="47" t="e" cm="1">
        <f t="array" aca="1" ref="AI2057" ca="1">_xlfn.XLOOKUP(PAA_4[[#This Row],[RCP-RUBRO]],[2]!COMPROMISOS_2024[[#All],[concatenado]],[2]!COMPROMISOS_2024[[#All],[Total pagado]],"",0)</f>
        <v>#NAME?</v>
      </c>
      <c r="AJ2057" s="56">
        <f>IF(PAA_4[[#This Row],[BOLSA]]=0,0,SUMIFS([2]!COMPROMISOS_2024[[#All],[Total pagado]],[2]!COMPROMISOS_2024[[#All],[Bolsa]],PAA_4[[#This Row],[BOLSA]],[2]!COMPROMISOS_2024[[#All],[rubro]],PAA_4[[#This Row],[RCP-RUBRO]]))</f>
        <v>0</v>
      </c>
      <c r="AK2057" s="47" t="e" cm="1">
        <f t="array" aca="1" ref="AK2057" ca="1">_xlfn.XLOOKUP(PAA_4[[#This Row],[RCP-RUBRO]],[2]!COMPROMISOS_2024[[#All],[concatenado]],[2]!COMPROMISOS_2024[[#All],[Total Comprometido]],"",0)</f>
        <v>#NAME?</v>
      </c>
      <c r="AL2057" s="47">
        <f>IF(PAA_4[[#This Row],[BOLSA]]=0,0,SUMIFS([2]!COMPROMISOS_2024[[#All],[Total Comprometido]],[2]!COMPROMISOS_2024[[#All],[Bolsa]],PAA_4[[#This Row],[BOLSA]],[2]!COMPROMISOS_2024[[#All],[concatenado]],PAA_4[[#This Row],[RCP-RUBRO]]))</f>
        <v>0</v>
      </c>
    </row>
    <row r="2058" spans="1:38" s="19" customFormat="1" ht="31.5" customHeight="1">
      <c r="A2058" s="47">
        <v>1267</v>
      </c>
      <c r="B2058" s="47">
        <v>72101500</v>
      </c>
      <c r="C2058" s="47" t="str">
        <f>VLOOKUP(PAA_4[[#This Row],[PROYECTO (formulado)2]],[2]PROYECTOS!$G$1:$L$32,6,0)</f>
        <v>SUBGERENCIA ESCENARIOS DEPORTIVOS Y EQUIPAMIENTOS</v>
      </c>
      <c r="D2058" s="47" t="str">
        <f>+IF(PAA_4[[#This Row],[UNIDAD DE CONTRATACION (formulado)]]="Subgerencia Administrativa y Financiera","FUNCIONAMIENTO","INVERSIÓN")</f>
        <v>INVERSIÓN</v>
      </c>
      <c r="E2058" s="48" t="str">
        <f>VLOOKUP(Q2058,[2]PROYECTOS!$G$1:$K$32,5,0)</f>
        <v>Mantenimiento, adecuación, mejoras de escenarios deportivos o equipamientos en el departamento de Antioquia</v>
      </c>
      <c r="F2058" s="48">
        <f>VLOOKUP(E2058,[2]PROYECTOS!$K$1:$M$32,3,0)</f>
        <v>2024003050075</v>
      </c>
      <c r="G2058" s="49" t="s">
        <v>1842</v>
      </c>
      <c r="H2058" s="49" t="str">
        <f>VLOOKUP(Q2058,[2]PROYECTOS!$V$1:$W$32,2,0)</f>
        <v>050070</v>
      </c>
      <c r="I2058" s="78">
        <f>220753220+46894274</f>
        <v>267647494</v>
      </c>
      <c r="J2058" s="51" t="s">
        <v>2268</v>
      </c>
      <c r="K2058" s="47" t="str">
        <f t="shared" ca="1" si="630"/>
        <v>CONTRATADO</v>
      </c>
      <c r="L2058" s="47" t="s">
        <v>94</v>
      </c>
      <c r="M2058" s="47" t="s">
        <v>255</v>
      </c>
      <c r="N2058" s="52" t="s">
        <v>2265</v>
      </c>
      <c r="O2058" s="51" t="e">
        <f>VLOOKUP(N2058,[2]!RUBROS[#All],3,0)</f>
        <v>#REF!</v>
      </c>
      <c r="P2058" s="53" t="e">
        <f>VLOOKUP(N2058,[2]!RUBROS[#All],2,0)</f>
        <v>#REF!</v>
      </c>
      <c r="Q2058" s="47" t="str">
        <f t="shared" si="631"/>
        <v>75</v>
      </c>
      <c r="R2058" s="47" t="str">
        <f t="shared" si="632"/>
        <v>0-202029</v>
      </c>
      <c r="S2058" s="54">
        <v>7</v>
      </c>
      <c r="T2058" s="63" t="s">
        <v>46</v>
      </c>
      <c r="U2058" s="326" t="e">
        <f ca="1">_xlfn.XLOOKUP(PAA_4[[#This Row],[ITEM]],[2]Contrato!A:A,[2]Contrato!Q:Q,"",0)</f>
        <v>#NAME?</v>
      </c>
      <c r="V2058" s="47" t="s">
        <v>95</v>
      </c>
      <c r="W2058" s="47" t="s">
        <v>204</v>
      </c>
      <c r="X2058" s="47" t="s">
        <v>204</v>
      </c>
      <c r="Y2058" s="55" t="e">
        <f ca="1">_xlfn.XLOOKUP(PAA_4[[#This Row],[ITEM]],[2]Contrato!A:A,[2]Contrato!B:B,"",0)</f>
        <v>#NAME?</v>
      </c>
      <c r="Z2058" s="47" t="e">
        <f ca="1">_xlfn.XLOOKUP(PAA_4[[#This Row],[ITEM]],[2]Contrato!A:A,[2]Contrato!G:G,"",0)</f>
        <v>#NAME?</v>
      </c>
      <c r="AA2058" s="47" t="e">
        <f ca="1">_xlfn.XLOOKUP(PAA_4[[#This Row],[ITEM]],[2]Contrato!A:A,[2]Contrato!T:T,"",0)</f>
        <v>#NAME?</v>
      </c>
      <c r="AB2058" s="55" t="e">
        <f ca="1">+MAX(PAA_4[[#This Row],[Comprometido Contrato]],PAA_4[[#This Row],[Comprometido Bolsa]])</f>
        <v>#NAME?</v>
      </c>
      <c r="AC2058" s="55" t="str">
        <f t="shared" ca="1" si="633"/>
        <v/>
      </c>
      <c r="AD2058" s="55" t="e">
        <f ca="1">IF(PAA_4[[#This Row],[ESTADO (formulado)]]="NO CONTRATADO",0,MAX(PAA_4[[#This Row],[Pago por Contrato]],PAA_4[[#This Row],[Pago por bolsa]]))</f>
        <v>#NAME?</v>
      </c>
      <c r="AE2058" s="55" t="str">
        <f t="shared" ca="1" si="634"/>
        <v/>
      </c>
      <c r="AF2058" s="47" t="e">
        <f t="shared" ca="1" si="635"/>
        <v>#NAME?</v>
      </c>
      <c r="AG2058" s="47">
        <f t="shared" si="636"/>
        <v>52010902</v>
      </c>
      <c r="AH2058" s="54">
        <f>IF(Q2058="22",IF(ISNUMBER(SEARCH("econ",PAA_4[[#This Row],[Actividad3]])),"Económico",IF(ISNUMBER(SEARCH("alim",PAA_4[[#This Row],[Actividad3]])),"Alimentación",IF(ISNUMBER(SEARCH("educ",PAA_4[[#This Row],[Actividad3]])),"Educativo","Técnico"))),0)</f>
        <v>0</v>
      </c>
      <c r="AI2058" s="47" t="e" cm="1">
        <f t="array" aca="1" ref="AI2058" ca="1">_xlfn.XLOOKUP(PAA_4[[#This Row],[RCP-RUBRO]],[2]!COMPROMISOS_2024[[#All],[concatenado]],[2]!COMPROMISOS_2024[[#All],[Total pagado]],"",0)</f>
        <v>#NAME?</v>
      </c>
      <c r="AJ2058" s="56">
        <f>IF(PAA_4[[#This Row],[BOLSA]]=0,0,SUMIFS([2]!COMPROMISOS_2024[[#All],[Total pagado]],[2]!COMPROMISOS_2024[[#All],[Bolsa]],PAA_4[[#This Row],[BOLSA]],[2]!COMPROMISOS_2024[[#All],[rubro]],PAA_4[[#This Row],[RCP-RUBRO]]))</f>
        <v>0</v>
      </c>
      <c r="AK2058" s="47" t="e" cm="1">
        <f t="array" aca="1" ref="AK2058" ca="1">_xlfn.XLOOKUP(PAA_4[[#This Row],[RCP-RUBRO]],[2]!COMPROMISOS_2024[[#All],[concatenado]],[2]!COMPROMISOS_2024[[#All],[Total Comprometido]],"",0)</f>
        <v>#NAME?</v>
      </c>
      <c r="AL2058" s="47">
        <f>IF(PAA_4[[#This Row],[BOLSA]]=0,0,SUMIFS([2]!COMPROMISOS_2024[[#All],[Total Comprometido]],[2]!COMPROMISOS_2024[[#All],[Bolsa]],PAA_4[[#This Row],[BOLSA]],[2]!COMPROMISOS_2024[[#All],[concatenado]],PAA_4[[#This Row],[RCP-RUBRO]]))</f>
        <v>0</v>
      </c>
    </row>
    <row r="2059" spans="1:38" s="19" customFormat="1" ht="31.5" customHeight="1">
      <c r="A2059" s="47">
        <v>1268</v>
      </c>
      <c r="B2059" s="47">
        <v>72101500</v>
      </c>
      <c r="C2059" s="47" t="str">
        <f>VLOOKUP(PAA_4[[#This Row],[PROYECTO (formulado)2]],[2]PROYECTOS!$G$1:$L$32,6,0)</f>
        <v>SUBGERENCIA ESCENARIOS DEPORTIVOS Y EQUIPAMIENTOS</v>
      </c>
      <c r="D2059" s="47" t="str">
        <f>+IF(PAA_4[[#This Row],[UNIDAD DE CONTRATACION (formulado)]]="Subgerencia Administrativa y Financiera","FUNCIONAMIENTO","INVERSIÓN")</f>
        <v>INVERSIÓN</v>
      </c>
      <c r="E2059" s="48" t="str">
        <f>VLOOKUP(Q2059,[2]PROYECTOS!$G$1:$K$32,5,0)</f>
        <v>Mantenimiento, adecuación, mejoras de escenarios deportivos o equipamientos en el departamento de Antioquia</v>
      </c>
      <c r="F2059" s="48">
        <f>VLOOKUP(E2059,[2]PROYECTOS!$K$1:$M$32,3,0)</f>
        <v>2024003050075</v>
      </c>
      <c r="G2059" s="49" t="s">
        <v>1842</v>
      </c>
      <c r="H2059" s="49" t="str">
        <f>VLOOKUP(Q2059,[2]PROYECTOS!$V$1:$W$32,2,0)</f>
        <v>050070</v>
      </c>
      <c r="I2059" s="78">
        <v>87293729</v>
      </c>
      <c r="J2059" s="51" t="s">
        <v>2269</v>
      </c>
      <c r="K2059" s="47" t="str">
        <f t="shared" ca="1" si="630"/>
        <v>CONTRATADO</v>
      </c>
      <c r="L2059" s="47" t="s">
        <v>94</v>
      </c>
      <c r="M2059" s="47" t="s">
        <v>255</v>
      </c>
      <c r="N2059" s="52" t="s">
        <v>2265</v>
      </c>
      <c r="O2059" s="51" t="e">
        <f>VLOOKUP(N2059,[2]!RUBROS[#All],3,0)</f>
        <v>#REF!</v>
      </c>
      <c r="P2059" s="53" t="e">
        <f>VLOOKUP(N2059,[2]!RUBROS[#All],2,0)</f>
        <v>#REF!</v>
      </c>
      <c r="Q2059" s="47" t="str">
        <f t="shared" si="631"/>
        <v>75</v>
      </c>
      <c r="R2059" s="47" t="str">
        <f t="shared" si="632"/>
        <v>0-202029</v>
      </c>
      <c r="S2059" s="54">
        <v>6</v>
      </c>
      <c r="T2059" s="63" t="s">
        <v>46</v>
      </c>
      <c r="U2059" s="326" t="e">
        <f ca="1">_xlfn.XLOOKUP(PAA_4[[#This Row],[ITEM]],[2]Contrato!A:A,[2]Contrato!Q:Q,"",0)</f>
        <v>#NAME?</v>
      </c>
      <c r="V2059" s="47" t="s">
        <v>95</v>
      </c>
      <c r="W2059" s="47" t="s">
        <v>204</v>
      </c>
      <c r="X2059" s="47" t="s">
        <v>204</v>
      </c>
      <c r="Y2059" s="55" t="e">
        <f ca="1">_xlfn.XLOOKUP(PAA_4[[#This Row],[ITEM]],[2]Contrato!A:A,[2]Contrato!B:B,"",0)</f>
        <v>#NAME?</v>
      </c>
      <c r="Z2059" s="47" t="e">
        <f ca="1">_xlfn.XLOOKUP(PAA_4[[#This Row],[ITEM]],[2]Contrato!A:A,[2]Contrato!G:G,"",0)</f>
        <v>#NAME?</v>
      </c>
      <c r="AA2059" s="47" t="e">
        <f ca="1">_xlfn.XLOOKUP(PAA_4[[#This Row],[ITEM]],[2]Contrato!A:A,[2]Contrato!T:T,"",0)</f>
        <v>#NAME?</v>
      </c>
      <c r="AB2059" s="55" t="e">
        <f ca="1">+MAX(PAA_4[[#This Row],[Comprometido Contrato]],PAA_4[[#This Row],[Comprometido Bolsa]])</f>
        <v>#NAME?</v>
      </c>
      <c r="AC2059" s="55" t="str">
        <f t="shared" ca="1" si="633"/>
        <v/>
      </c>
      <c r="AD2059" s="55" t="e">
        <f ca="1">IF(PAA_4[[#This Row],[ESTADO (formulado)]]="NO CONTRATADO",0,MAX(PAA_4[[#This Row],[Pago por Contrato]],PAA_4[[#This Row],[Pago por bolsa]]))</f>
        <v>#NAME?</v>
      </c>
      <c r="AE2059" s="55" t="str">
        <f t="shared" ca="1" si="634"/>
        <v/>
      </c>
      <c r="AF2059" s="47" t="e">
        <f t="shared" ca="1" si="635"/>
        <v>#NAME?</v>
      </c>
      <c r="AG2059" s="47">
        <f t="shared" si="636"/>
        <v>52010902</v>
      </c>
      <c r="AH2059" s="54">
        <f>IF(Q2059="22",IF(ISNUMBER(SEARCH("econ",PAA_4[[#This Row],[Actividad3]])),"Económico",IF(ISNUMBER(SEARCH("alim",PAA_4[[#This Row],[Actividad3]])),"Alimentación",IF(ISNUMBER(SEARCH("educ",PAA_4[[#This Row],[Actividad3]])),"Educativo","Técnico"))),0)</f>
        <v>0</v>
      </c>
      <c r="AI2059" s="47" t="e" cm="1">
        <f t="array" aca="1" ref="AI2059" ca="1">_xlfn.XLOOKUP(PAA_4[[#This Row],[RCP-RUBRO]],[2]!COMPROMISOS_2024[[#All],[concatenado]],[2]!COMPROMISOS_2024[[#All],[Total pagado]],"",0)</f>
        <v>#NAME?</v>
      </c>
      <c r="AJ2059" s="56">
        <f>IF(PAA_4[[#This Row],[BOLSA]]=0,0,SUMIFS([2]!COMPROMISOS_2024[[#All],[Total pagado]],[2]!COMPROMISOS_2024[[#All],[Bolsa]],PAA_4[[#This Row],[BOLSA]],[2]!COMPROMISOS_2024[[#All],[rubro]],PAA_4[[#This Row],[RCP-RUBRO]]))</f>
        <v>0</v>
      </c>
      <c r="AK2059" s="47" t="e" cm="1">
        <f t="array" aca="1" ref="AK2059" ca="1">_xlfn.XLOOKUP(PAA_4[[#This Row],[RCP-RUBRO]],[2]!COMPROMISOS_2024[[#All],[concatenado]],[2]!COMPROMISOS_2024[[#All],[Total Comprometido]],"",0)</f>
        <v>#NAME?</v>
      </c>
      <c r="AL2059" s="47">
        <f>IF(PAA_4[[#This Row],[BOLSA]]=0,0,SUMIFS([2]!COMPROMISOS_2024[[#All],[Total Comprometido]],[2]!COMPROMISOS_2024[[#All],[Bolsa]],PAA_4[[#This Row],[BOLSA]],[2]!COMPROMISOS_2024[[#All],[concatenado]],PAA_4[[#This Row],[RCP-RUBRO]]))</f>
        <v>0</v>
      </c>
    </row>
    <row r="2060" spans="1:38" s="19" customFormat="1" ht="31.5" customHeight="1">
      <c r="A2060" s="47">
        <v>1269</v>
      </c>
      <c r="B2060" s="47">
        <v>72101500</v>
      </c>
      <c r="C2060" s="47" t="str">
        <f>VLOOKUP(PAA_4[[#This Row],[PROYECTO (formulado)2]],[2]PROYECTOS!$G$1:$L$32,6,0)</f>
        <v>SUBGERENCIA ESCENARIOS DEPORTIVOS Y EQUIPAMIENTOS</v>
      </c>
      <c r="D2060" s="47" t="str">
        <f>+IF(PAA_4[[#This Row],[UNIDAD DE CONTRATACION (formulado)]]="Subgerencia Administrativa y Financiera","FUNCIONAMIENTO","INVERSIÓN")</f>
        <v>INVERSIÓN</v>
      </c>
      <c r="E2060" s="48" t="str">
        <f>VLOOKUP(Q2060,[2]PROYECTOS!$G$1:$K$32,5,0)</f>
        <v>Mantenimiento, adecuación, mejoras de escenarios deportivos o equipamientos en el departamento de Antioquia</v>
      </c>
      <c r="F2060" s="48">
        <f>VLOOKUP(E2060,[2]PROYECTOS!$K$1:$M$32,3,0)</f>
        <v>2024003050075</v>
      </c>
      <c r="G2060" s="49" t="s">
        <v>1842</v>
      </c>
      <c r="H2060" s="49" t="str">
        <f>VLOOKUP(Q2060,[2]PROYECTOS!$V$1:$W$32,2,0)</f>
        <v>050070</v>
      </c>
      <c r="I2060" s="78">
        <v>204503756</v>
      </c>
      <c r="J2060" s="51" t="s">
        <v>2270</v>
      </c>
      <c r="K2060" s="47" t="str">
        <f t="shared" ca="1" si="630"/>
        <v>CONTRATADO</v>
      </c>
      <c r="L2060" s="47" t="s">
        <v>94</v>
      </c>
      <c r="M2060" s="47" t="s">
        <v>255</v>
      </c>
      <c r="N2060" s="52" t="s">
        <v>2265</v>
      </c>
      <c r="O2060" s="51" t="e">
        <f>VLOOKUP(N2060,[2]!RUBROS[#All],3,0)</f>
        <v>#REF!</v>
      </c>
      <c r="P2060" s="53" t="e">
        <f>VLOOKUP(N2060,[2]!RUBROS[#All],2,0)</f>
        <v>#REF!</v>
      </c>
      <c r="Q2060" s="47" t="str">
        <f t="shared" si="631"/>
        <v>75</v>
      </c>
      <c r="R2060" s="47" t="str">
        <f t="shared" si="632"/>
        <v>0-202029</v>
      </c>
      <c r="S2060" s="54">
        <v>6</v>
      </c>
      <c r="T2060" s="63" t="s">
        <v>46</v>
      </c>
      <c r="U2060" s="326" t="e">
        <f ca="1">_xlfn.XLOOKUP(PAA_4[[#This Row],[ITEM]],[2]Contrato!A:A,[2]Contrato!Q:Q,"",0)</f>
        <v>#NAME?</v>
      </c>
      <c r="V2060" s="47" t="s">
        <v>95</v>
      </c>
      <c r="W2060" s="47" t="s">
        <v>204</v>
      </c>
      <c r="X2060" s="47" t="s">
        <v>204</v>
      </c>
      <c r="Y2060" s="55" t="e">
        <f ca="1">_xlfn.XLOOKUP(PAA_4[[#This Row],[ITEM]],[2]Contrato!A:A,[2]Contrato!B:B,"",0)</f>
        <v>#NAME?</v>
      </c>
      <c r="Z2060" s="47" t="e">
        <f ca="1">_xlfn.XLOOKUP(PAA_4[[#This Row],[ITEM]],[2]Contrato!A:A,[2]Contrato!G:G,"",0)</f>
        <v>#NAME?</v>
      </c>
      <c r="AA2060" s="47" t="e">
        <f ca="1">_xlfn.XLOOKUP(PAA_4[[#This Row],[ITEM]],[2]Contrato!A:A,[2]Contrato!T:T,"",0)</f>
        <v>#NAME?</v>
      </c>
      <c r="AB2060" s="55" t="e">
        <f ca="1">+MAX(PAA_4[[#This Row],[Comprometido Contrato]],PAA_4[[#This Row],[Comprometido Bolsa]])</f>
        <v>#NAME?</v>
      </c>
      <c r="AC2060" s="55" t="str">
        <f t="shared" ca="1" si="633"/>
        <v/>
      </c>
      <c r="AD2060" s="55" t="e">
        <f ca="1">IF(PAA_4[[#This Row],[ESTADO (formulado)]]="NO CONTRATADO",0,MAX(PAA_4[[#This Row],[Pago por Contrato]],PAA_4[[#This Row],[Pago por bolsa]]))</f>
        <v>#NAME?</v>
      </c>
      <c r="AE2060" s="55" t="str">
        <f t="shared" ca="1" si="634"/>
        <v/>
      </c>
      <c r="AF2060" s="47" t="e">
        <f t="shared" ca="1" si="635"/>
        <v>#NAME?</v>
      </c>
      <c r="AG2060" s="47">
        <f t="shared" si="636"/>
        <v>52010902</v>
      </c>
      <c r="AH2060" s="54">
        <f>IF(Q2060="22",IF(ISNUMBER(SEARCH("econ",PAA_4[[#This Row],[Actividad3]])),"Económico",IF(ISNUMBER(SEARCH("alim",PAA_4[[#This Row],[Actividad3]])),"Alimentación",IF(ISNUMBER(SEARCH("educ",PAA_4[[#This Row],[Actividad3]])),"Educativo","Técnico"))),0)</f>
        <v>0</v>
      </c>
      <c r="AI2060" s="47" t="e" cm="1">
        <f t="array" aca="1" ref="AI2060" ca="1">_xlfn.XLOOKUP(PAA_4[[#This Row],[RCP-RUBRO]],[2]!COMPROMISOS_2024[[#All],[concatenado]],[2]!COMPROMISOS_2024[[#All],[Total pagado]],"",0)</f>
        <v>#NAME?</v>
      </c>
      <c r="AJ2060" s="56">
        <f>IF(PAA_4[[#This Row],[BOLSA]]=0,0,SUMIFS([2]!COMPROMISOS_2024[[#All],[Total pagado]],[2]!COMPROMISOS_2024[[#All],[Bolsa]],PAA_4[[#This Row],[BOLSA]],[2]!COMPROMISOS_2024[[#All],[rubro]],PAA_4[[#This Row],[RCP-RUBRO]]))</f>
        <v>0</v>
      </c>
      <c r="AK2060" s="47" t="e" cm="1">
        <f t="array" aca="1" ref="AK2060" ca="1">_xlfn.XLOOKUP(PAA_4[[#This Row],[RCP-RUBRO]],[2]!COMPROMISOS_2024[[#All],[concatenado]],[2]!COMPROMISOS_2024[[#All],[Total Comprometido]],"",0)</f>
        <v>#NAME?</v>
      </c>
      <c r="AL2060" s="47">
        <f>IF(PAA_4[[#This Row],[BOLSA]]=0,0,SUMIFS([2]!COMPROMISOS_2024[[#All],[Total Comprometido]],[2]!COMPROMISOS_2024[[#All],[Bolsa]],PAA_4[[#This Row],[BOLSA]],[2]!COMPROMISOS_2024[[#All],[concatenado]],PAA_4[[#This Row],[RCP-RUBRO]]))</f>
        <v>0</v>
      </c>
    </row>
    <row r="2061" spans="1:38" s="19" customFormat="1" ht="31.5" customHeight="1">
      <c r="A2061" s="47" t="s">
        <v>82</v>
      </c>
      <c r="B2061" s="47" t="s">
        <v>42</v>
      </c>
      <c r="C2061" s="47" t="str">
        <f>VLOOKUP(PAA_4[[#This Row],[PROYECTO (formulado)2]],[2]PROYECTOS!$G$1:$L$32,6,0)</f>
        <v>SUBGERENCIA ESCENARIOS DEPORTIVOS Y EQUIPAMIENTOS</v>
      </c>
      <c r="D2061" s="47" t="str">
        <f>+IF(PAA_4[[#This Row],[UNIDAD DE CONTRATACION (formulado)]]="Subgerencia Administrativa y Financiera","FUNCIONAMIENTO","INVERSIÓN")</f>
        <v>INVERSIÓN</v>
      </c>
      <c r="E2061" s="48" t="str">
        <f>VLOOKUP(Q2061,[2]PROYECTOS!$G$1:$K$32,5,0)</f>
        <v>Mantenimiento, adecuación, mejoras de escenarios deportivos o equipamientos en el departamento de Antioquia</v>
      </c>
      <c r="F2061" s="48">
        <f>VLOOKUP(E2061,[2]PROYECTOS!$K$1:$M$32,3,0)</f>
        <v>2024003050075</v>
      </c>
      <c r="G2061" s="49" t="s">
        <v>1842</v>
      </c>
      <c r="H2061" s="49" t="str">
        <f>VLOOKUP(Q2061,[2]PROYECTOS!$V$1:$W$32,2,0)</f>
        <v>050070</v>
      </c>
      <c r="I2061" s="78">
        <v>1873339</v>
      </c>
      <c r="J2061" s="51" t="s">
        <v>1809</v>
      </c>
      <c r="K2061" s="47" t="str">
        <f ca="1">IF(ISNONTEXT(Y2061)=TRUE,"CONTRATADO","NO CONTRATADO")</f>
        <v>CONTRATADO</v>
      </c>
      <c r="L2061" s="52" t="s">
        <v>42</v>
      </c>
      <c r="M2061" s="51" t="s">
        <v>42</v>
      </c>
      <c r="N2061" s="52" t="s">
        <v>2265</v>
      </c>
      <c r="O2061" s="51" t="e">
        <f>VLOOKUP(N2061,[2]!RUBROS[#All],3,0)</f>
        <v>#REF!</v>
      </c>
      <c r="P2061" s="53" t="e">
        <f>VLOOKUP(N2061,[2]!RUBROS[#All],2,0)</f>
        <v>#REF!</v>
      </c>
      <c r="Q2061" s="47" t="str">
        <f>+MID(N2061,11,2)</f>
        <v>75</v>
      </c>
      <c r="R2061" s="47" t="str">
        <f>+MID(N2061,14,8)</f>
        <v>0-202029</v>
      </c>
      <c r="S2061" s="54" t="s">
        <v>42</v>
      </c>
      <c r="T2061" s="54" t="s">
        <v>42</v>
      </c>
      <c r="U2061" s="326" t="e">
        <f ca="1">_xlfn.XLOOKUP(PAA_4[[#This Row],[ITEM]],[2]Contrato!A:A,[2]Contrato!Q:Q,"",0)</f>
        <v>#NAME?</v>
      </c>
      <c r="V2061" s="47" t="s">
        <v>42</v>
      </c>
      <c r="W2061" s="47" t="s">
        <v>42</v>
      </c>
      <c r="X2061" s="47" t="s">
        <v>42</v>
      </c>
      <c r="Y2061" s="55" t="e">
        <f ca="1">_xlfn.XLOOKUP(PAA_4[[#This Row],[ITEM]],[2]Contrato!A:A,[2]Contrato!B:B,"",0)</f>
        <v>#NAME?</v>
      </c>
      <c r="Z2061" s="47" t="e">
        <f ca="1">_xlfn.XLOOKUP(PAA_4[[#This Row],[ITEM]],[2]Contrato!A:A,[2]Contrato!G:G,"",0)</f>
        <v>#NAME?</v>
      </c>
      <c r="AA2061" s="47" t="e">
        <f ca="1">_xlfn.XLOOKUP(PAA_4[[#This Row],[ITEM]],[2]Contrato!A:A,[2]Contrato!T:T,"",0)</f>
        <v>#NAME?</v>
      </c>
      <c r="AB2061" s="55" t="e">
        <f ca="1">+MAX(PAA_4[[#This Row],[Comprometido Contrato]],PAA_4[[#This Row],[Comprometido Bolsa]])</f>
        <v>#NAME?</v>
      </c>
      <c r="AC2061" s="55" t="str">
        <f ca="1">IFERROR(I2061-AB2061,"")</f>
        <v/>
      </c>
      <c r="AD2061" s="55" t="e">
        <f ca="1">IF(PAA_4[[#This Row],[ESTADO (formulado)]]="NO CONTRATADO",0,MAX(PAA_4[[#This Row],[Pago por Contrato]],PAA_4[[#This Row],[Pago por bolsa]]))</f>
        <v>#NAME?</v>
      </c>
      <c r="AE2061" s="55" t="str">
        <f ca="1">+IFERROR(AB2061-AD2061,"")</f>
        <v/>
      </c>
      <c r="AF2061" s="47" t="e">
        <f ca="1">+CONCATENATE(AA2061,N2061)</f>
        <v>#NAME?</v>
      </c>
      <c r="AG2061" s="47">
        <f>IFERROR(_xlfn.NUMBERVALUE(MID(G2061,1,8)),"")</f>
        <v>52010902</v>
      </c>
      <c r="AH2061" s="54">
        <f>IF(Q2061="22",IF(ISNUMBER(SEARCH("econ",PAA_4[[#This Row],[Actividad3]])),"Económico",IF(ISNUMBER(SEARCH("alim",PAA_4[[#This Row],[Actividad3]])),"Alimentación",IF(ISNUMBER(SEARCH("educ",PAA_4[[#This Row],[Actividad3]])),"Educativo","Técnico"))),0)</f>
        <v>0</v>
      </c>
      <c r="AI2061" s="47" t="e" cm="1">
        <f t="array" aca="1" ref="AI2061" ca="1">_xlfn.XLOOKUP(PAA_4[[#This Row],[RCP-RUBRO]],[2]!COMPROMISOS_2024[[#All],[concatenado]],[2]!COMPROMISOS_2024[[#All],[Total pagado]],"",0)</f>
        <v>#NAME?</v>
      </c>
      <c r="AJ2061" s="56">
        <f>IF(PAA_4[[#This Row],[BOLSA]]=0,0,SUMIFS([2]!COMPROMISOS_2024[[#All],[Total pagado]],[2]!COMPROMISOS_2024[[#All],[Bolsa]],PAA_4[[#This Row],[BOLSA]],[2]!COMPROMISOS_2024[[#All],[rubro]],PAA_4[[#This Row],[RCP-RUBRO]]))</f>
        <v>0</v>
      </c>
      <c r="AK2061" s="47" t="e" cm="1">
        <f t="array" aca="1" ref="AK2061" ca="1">_xlfn.XLOOKUP(PAA_4[[#This Row],[RCP-RUBRO]],[2]!COMPROMISOS_2024[[#All],[concatenado]],[2]!COMPROMISOS_2024[[#All],[Total Comprometido]],"",0)</f>
        <v>#NAME?</v>
      </c>
      <c r="AL2061" s="47">
        <f>IF(PAA_4[[#This Row],[BOLSA]]=0,0,SUMIFS([2]!COMPROMISOS_2024[[#All],[Total Comprometido]],[2]!COMPROMISOS_2024[[#All],[Bolsa]],PAA_4[[#This Row],[BOLSA]],[2]!COMPROMISOS_2024[[#All],[concatenado]],PAA_4[[#This Row],[RCP-RUBRO]]))</f>
        <v>0</v>
      </c>
    </row>
    <row r="2062" spans="1:38" s="19" customFormat="1" ht="31.5" customHeight="1">
      <c r="A2062" s="47">
        <v>1270</v>
      </c>
      <c r="B2062" s="47">
        <v>72101500</v>
      </c>
      <c r="C2062" s="47" t="str">
        <f>VLOOKUP(PAA_4[[#This Row],[PROYECTO (formulado)2]],[2]PROYECTOS!$G$1:$L$32,6,0)</f>
        <v>SUBGERENCIA ESCENARIOS DEPORTIVOS Y EQUIPAMIENTOS</v>
      </c>
      <c r="D2062" s="47" t="str">
        <f>+IF(PAA_4[[#This Row],[UNIDAD DE CONTRATACION (formulado)]]="Subgerencia Administrativa y Financiera","FUNCIONAMIENTO","INVERSIÓN")</f>
        <v>INVERSIÓN</v>
      </c>
      <c r="E2062" s="48" t="str">
        <f>VLOOKUP(Q2062,[2]PROYECTOS!$G$1:$K$32,5,0)</f>
        <v>Mantenimiento, adecuación, mejoras de escenarios deportivos o equipamientos en el departamento de Antioquia</v>
      </c>
      <c r="F2062" s="48">
        <f>VLOOKUP(E2062,[2]PROYECTOS!$K$1:$M$32,3,0)</f>
        <v>2024003050075</v>
      </c>
      <c r="G2062" s="49" t="s">
        <v>1842</v>
      </c>
      <c r="H2062" s="49" t="str">
        <f>VLOOKUP(Q2062,[2]PROYECTOS!$V$1:$W$32,2,0)</f>
        <v>050070</v>
      </c>
      <c r="I2062" s="78">
        <f>65304493-1873339</f>
        <v>63431154</v>
      </c>
      <c r="J2062" s="51" t="s">
        <v>2271</v>
      </c>
      <c r="K2062" s="47" t="str">
        <f t="shared" ref="K2062:K2065" ca="1" si="637">IF(ISNONTEXT(Y2062)=TRUE,"CONTRATADO","NO CONTRATADO")</f>
        <v>CONTRATADO</v>
      </c>
      <c r="L2062" s="47" t="s">
        <v>94</v>
      </c>
      <c r="M2062" s="47" t="s">
        <v>255</v>
      </c>
      <c r="N2062" s="52" t="s">
        <v>2265</v>
      </c>
      <c r="O2062" s="51" t="e">
        <f>VLOOKUP(N2062,[2]!RUBROS[#All],3,0)</f>
        <v>#REF!</v>
      </c>
      <c r="P2062" s="53" t="e">
        <f>VLOOKUP(N2062,[2]!RUBROS[#All],2,0)</f>
        <v>#REF!</v>
      </c>
      <c r="Q2062" s="47" t="str">
        <f t="shared" ref="Q2062:Q2065" si="638">+MID(N2062,11,2)</f>
        <v>75</v>
      </c>
      <c r="R2062" s="47" t="str">
        <f t="shared" ref="R2062:R2065" si="639">+MID(N2062,14,8)</f>
        <v>0-202029</v>
      </c>
      <c r="S2062" s="54">
        <v>6</v>
      </c>
      <c r="T2062" s="63" t="s">
        <v>46</v>
      </c>
      <c r="U2062" s="326" t="e">
        <f ca="1">_xlfn.XLOOKUP(PAA_4[[#This Row],[ITEM]],[2]Contrato!A:A,[2]Contrato!Q:Q,"",0)</f>
        <v>#NAME?</v>
      </c>
      <c r="V2062" s="47" t="s">
        <v>95</v>
      </c>
      <c r="W2062" s="47" t="s">
        <v>204</v>
      </c>
      <c r="X2062" s="47" t="s">
        <v>204</v>
      </c>
      <c r="Y2062" s="55" t="e">
        <f ca="1">_xlfn.XLOOKUP(PAA_4[[#This Row],[ITEM]],[2]Contrato!A:A,[2]Contrato!B:B,"",0)</f>
        <v>#NAME?</v>
      </c>
      <c r="Z2062" s="47" t="e">
        <f ca="1">_xlfn.XLOOKUP(PAA_4[[#This Row],[ITEM]],[2]Contrato!A:A,[2]Contrato!G:G,"",0)</f>
        <v>#NAME?</v>
      </c>
      <c r="AA2062" s="47" t="e">
        <f ca="1">_xlfn.XLOOKUP(PAA_4[[#This Row],[ITEM]],[2]Contrato!A:A,[2]Contrato!T:T,"",0)</f>
        <v>#NAME?</v>
      </c>
      <c r="AB2062" s="55" t="e">
        <f ca="1">+MAX(PAA_4[[#This Row],[Comprometido Contrato]],PAA_4[[#This Row],[Comprometido Bolsa]])</f>
        <v>#NAME?</v>
      </c>
      <c r="AC2062" s="55" t="str">
        <f t="shared" ref="AC2062:AC2065" ca="1" si="640">IFERROR(I2062-AB2062,"")</f>
        <v/>
      </c>
      <c r="AD2062" s="55" t="e">
        <f ca="1">IF(PAA_4[[#This Row],[ESTADO (formulado)]]="NO CONTRATADO",0,MAX(PAA_4[[#This Row],[Pago por Contrato]],PAA_4[[#This Row],[Pago por bolsa]]))</f>
        <v>#NAME?</v>
      </c>
      <c r="AE2062" s="55" t="str">
        <f t="shared" ref="AE2062:AE2065" ca="1" si="641">+IFERROR(AB2062-AD2062,"")</f>
        <v/>
      </c>
      <c r="AF2062" s="47" t="e">
        <f t="shared" ref="AF2062:AF2065" ca="1" si="642">+CONCATENATE(AA2062,N2062)</f>
        <v>#NAME?</v>
      </c>
      <c r="AG2062" s="47">
        <f t="shared" ref="AG2062:AG2065" si="643">IFERROR(_xlfn.NUMBERVALUE(MID(G2062,1,8)),"")</f>
        <v>52010902</v>
      </c>
      <c r="AH2062" s="54">
        <f>IF(Q2062="22",IF(ISNUMBER(SEARCH("econ",PAA_4[[#This Row],[Actividad3]])),"Económico",IF(ISNUMBER(SEARCH("alim",PAA_4[[#This Row],[Actividad3]])),"Alimentación",IF(ISNUMBER(SEARCH("educ",PAA_4[[#This Row],[Actividad3]])),"Educativo","Técnico"))),0)</f>
        <v>0</v>
      </c>
      <c r="AI2062" s="47" t="e" cm="1">
        <f t="array" aca="1" ref="AI2062" ca="1">_xlfn.XLOOKUP(PAA_4[[#This Row],[RCP-RUBRO]],[2]!COMPROMISOS_2024[[#All],[concatenado]],[2]!COMPROMISOS_2024[[#All],[Total pagado]],"",0)</f>
        <v>#NAME?</v>
      </c>
      <c r="AJ2062" s="56">
        <f>IF(PAA_4[[#This Row],[BOLSA]]=0,0,SUMIFS([2]!COMPROMISOS_2024[[#All],[Total pagado]],[2]!COMPROMISOS_2024[[#All],[Bolsa]],PAA_4[[#This Row],[BOLSA]],[2]!COMPROMISOS_2024[[#All],[rubro]],PAA_4[[#This Row],[RCP-RUBRO]]))</f>
        <v>0</v>
      </c>
      <c r="AK2062" s="47" t="e" cm="1">
        <f t="array" aca="1" ref="AK2062" ca="1">_xlfn.XLOOKUP(PAA_4[[#This Row],[RCP-RUBRO]],[2]!COMPROMISOS_2024[[#All],[concatenado]],[2]!COMPROMISOS_2024[[#All],[Total Comprometido]],"",0)</f>
        <v>#NAME?</v>
      </c>
      <c r="AL2062" s="47">
        <f>IF(PAA_4[[#This Row],[BOLSA]]=0,0,SUMIFS([2]!COMPROMISOS_2024[[#All],[Total Comprometido]],[2]!COMPROMISOS_2024[[#All],[Bolsa]],PAA_4[[#This Row],[BOLSA]],[2]!COMPROMISOS_2024[[#All],[concatenado]],PAA_4[[#This Row],[RCP-RUBRO]]))</f>
        <v>0</v>
      </c>
    </row>
    <row r="2063" spans="1:38" s="19" customFormat="1" ht="31.5" customHeight="1">
      <c r="A2063" s="47">
        <v>1271</v>
      </c>
      <c r="B2063" s="47">
        <v>72101500</v>
      </c>
      <c r="C2063" s="47" t="str">
        <f>VLOOKUP(PAA_4[[#This Row],[PROYECTO (formulado)2]],[2]PROYECTOS!$G$1:$L$32,6,0)</f>
        <v>SUBGERENCIA ESCENARIOS DEPORTIVOS Y EQUIPAMIENTOS</v>
      </c>
      <c r="D2063" s="47" t="str">
        <f>+IF(PAA_4[[#This Row],[UNIDAD DE CONTRATACION (formulado)]]="Subgerencia Administrativa y Financiera","FUNCIONAMIENTO","INVERSIÓN")</f>
        <v>INVERSIÓN</v>
      </c>
      <c r="E2063" s="48" t="str">
        <f>VLOOKUP(Q2063,[2]PROYECTOS!$G$1:$K$32,5,0)</f>
        <v>Mantenimiento, adecuación, mejoras de escenarios deportivos o equipamientos en el departamento de Antioquia</v>
      </c>
      <c r="F2063" s="48">
        <f>VLOOKUP(E2063,[2]PROYECTOS!$K$1:$M$32,3,0)</f>
        <v>2024003050075</v>
      </c>
      <c r="G2063" s="49" t="s">
        <v>1842</v>
      </c>
      <c r="H2063" s="49" t="str">
        <f>VLOOKUP(Q2063,[2]PROYECTOS!$V$1:$W$32,2,0)</f>
        <v>050070</v>
      </c>
      <c r="I2063" s="78">
        <v>394163348</v>
      </c>
      <c r="J2063" s="51" t="s">
        <v>2272</v>
      </c>
      <c r="K2063" s="47" t="str">
        <f t="shared" ca="1" si="637"/>
        <v>CONTRATADO</v>
      </c>
      <c r="L2063" s="47" t="s">
        <v>94</v>
      </c>
      <c r="M2063" s="47" t="s">
        <v>255</v>
      </c>
      <c r="N2063" s="52" t="s">
        <v>2265</v>
      </c>
      <c r="O2063" s="51" t="e">
        <f>VLOOKUP(N2063,[2]!RUBROS[#All],3,0)</f>
        <v>#REF!</v>
      </c>
      <c r="P2063" s="53" t="e">
        <f>VLOOKUP(N2063,[2]!RUBROS[#All],2,0)</f>
        <v>#REF!</v>
      </c>
      <c r="Q2063" s="47" t="str">
        <f t="shared" si="638"/>
        <v>75</v>
      </c>
      <c r="R2063" s="47" t="str">
        <f t="shared" si="639"/>
        <v>0-202029</v>
      </c>
      <c r="S2063" s="54">
        <v>7</v>
      </c>
      <c r="T2063" s="63" t="s">
        <v>46</v>
      </c>
      <c r="U2063" s="326" t="e">
        <f ca="1">_xlfn.XLOOKUP(PAA_4[[#This Row],[ITEM]],[2]Contrato!A:A,[2]Contrato!Q:Q,"",0)</f>
        <v>#NAME?</v>
      </c>
      <c r="V2063" s="47" t="s">
        <v>95</v>
      </c>
      <c r="W2063" s="47" t="s">
        <v>204</v>
      </c>
      <c r="X2063" s="47" t="s">
        <v>204</v>
      </c>
      <c r="Y2063" s="55" t="e">
        <f ca="1">_xlfn.XLOOKUP(PAA_4[[#This Row],[ITEM]],[2]Contrato!A:A,[2]Contrato!B:B,"",0)</f>
        <v>#NAME?</v>
      </c>
      <c r="Z2063" s="47" t="e">
        <f ca="1">_xlfn.XLOOKUP(PAA_4[[#This Row],[ITEM]],[2]Contrato!A:A,[2]Contrato!G:G,"",0)</f>
        <v>#NAME?</v>
      </c>
      <c r="AA2063" s="47" t="e">
        <f ca="1">_xlfn.XLOOKUP(PAA_4[[#This Row],[ITEM]],[2]Contrato!A:A,[2]Contrato!T:T,"",0)</f>
        <v>#NAME?</v>
      </c>
      <c r="AB2063" s="55" t="e">
        <f ca="1">+MAX(PAA_4[[#This Row],[Comprometido Contrato]],PAA_4[[#This Row],[Comprometido Bolsa]])</f>
        <v>#NAME?</v>
      </c>
      <c r="AC2063" s="55" t="str">
        <f t="shared" ca="1" si="640"/>
        <v/>
      </c>
      <c r="AD2063" s="55" t="e">
        <f ca="1">IF(PAA_4[[#This Row],[ESTADO (formulado)]]="NO CONTRATADO",0,MAX(PAA_4[[#This Row],[Pago por Contrato]],PAA_4[[#This Row],[Pago por bolsa]]))</f>
        <v>#NAME?</v>
      </c>
      <c r="AE2063" s="55" t="str">
        <f t="shared" ca="1" si="641"/>
        <v/>
      </c>
      <c r="AF2063" s="47" t="e">
        <f t="shared" ca="1" si="642"/>
        <v>#NAME?</v>
      </c>
      <c r="AG2063" s="47">
        <f t="shared" si="643"/>
        <v>52010902</v>
      </c>
      <c r="AH2063" s="54">
        <f>IF(Q2063="22",IF(ISNUMBER(SEARCH("econ",PAA_4[[#This Row],[Actividad3]])),"Económico",IF(ISNUMBER(SEARCH("alim",PAA_4[[#This Row],[Actividad3]])),"Alimentación",IF(ISNUMBER(SEARCH("educ",PAA_4[[#This Row],[Actividad3]])),"Educativo","Técnico"))),0)</f>
        <v>0</v>
      </c>
      <c r="AI2063" s="47" t="e" cm="1">
        <f t="array" aca="1" ref="AI2063" ca="1">_xlfn.XLOOKUP(PAA_4[[#This Row],[RCP-RUBRO]],[2]!COMPROMISOS_2024[[#All],[concatenado]],[2]!COMPROMISOS_2024[[#All],[Total pagado]],"",0)</f>
        <v>#NAME?</v>
      </c>
      <c r="AJ2063" s="56">
        <f>IF(PAA_4[[#This Row],[BOLSA]]=0,0,SUMIFS([2]!COMPROMISOS_2024[[#All],[Total pagado]],[2]!COMPROMISOS_2024[[#All],[Bolsa]],PAA_4[[#This Row],[BOLSA]],[2]!COMPROMISOS_2024[[#All],[rubro]],PAA_4[[#This Row],[RCP-RUBRO]]))</f>
        <v>0</v>
      </c>
      <c r="AK2063" s="47" t="e" cm="1">
        <f t="array" aca="1" ref="AK2063" ca="1">_xlfn.XLOOKUP(PAA_4[[#This Row],[RCP-RUBRO]],[2]!COMPROMISOS_2024[[#All],[concatenado]],[2]!COMPROMISOS_2024[[#All],[Total Comprometido]],"",0)</f>
        <v>#NAME?</v>
      </c>
      <c r="AL2063" s="47">
        <f>IF(PAA_4[[#This Row],[BOLSA]]=0,0,SUMIFS([2]!COMPROMISOS_2024[[#All],[Total Comprometido]],[2]!COMPROMISOS_2024[[#All],[Bolsa]],PAA_4[[#This Row],[BOLSA]],[2]!COMPROMISOS_2024[[#All],[concatenado]],PAA_4[[#This Row],[RCP-RUBRO]]))</f>
        <v>0</v>
      </c>
    </row>
    <row r="2064" spans="1:38" s="19" customFormat="1" ht="31.5" customHeight="1">
      <c r="A2064" s="47">
        <v>1272</v>
      </c>
      <c r="B2064" s="47">
        <v>72101500</v>
      </c>
      <c r="C2064" s="47" t="str">
        <f>VLOOKUP(PAA_4[[#This Row],[PROYECTO (formulado)2]],[2]PROYECTOS!$G$1:$L$32,6,0)</f>
        <v>SUBGERENCIA ESCENARIOS DEPORTIVOS Y EQUIPAMIENTOS</v>
      </c>
      <c r="D2064" s="47" t="str">
        <f>+IF(PAA_4[[#This Row],[UNIDAD DE CONTRATACION (formulado)]]="Subgerencia Administrativa y Financiera","FUNCIONAMIENTO","INVERSIÓN")</f>
        <v>INVERSIÓN</v>
      </c>
      <c r="E2064" s="48" t="str">
        <f>VLOOKUP(Q2064,[2]PROYECTOS!$G$1:$K$32,5,0)</f>
        <v>Mantenimiento, adecuación, mejoras de escenarios deportivos o equipamientos en el departamento de Antioquia</v>
      </c>
      <c r="F2064" s="48">
        <f>VLOOKUP(E2064,[2]PROYECTOS!$K$1:$M$32,3,0)</f>
        <v>2024003050075</v>
      </c>
      <c r="G2064" s="49" t="s">
        <v>1842</v>
      </c>
      <c r="H2064" s="49" t="str">
        <f>VLOOKUP(Q2064,[2]PROYECTOS!$V$1:$W$32,2,0)</f>
        <v>050070</v>
      </c>
      <c r="I2064" s="78">
        <v>50000000</v>
      </c>
      <c r="J2064" s="51" t="s">
        <v>2273</v>
      </c>
      <c r="K2064" s="47" t="str">
        <f t="shared" ca="1" si="637"/>
        <v>CONTRATADO</v>
      </c>
      <c r="L2064" s="47" t="s">
        <v>94</v>
      </c>
      <c r="M2064" s="47" t="s">
        <v>255</v>
      </c>
      <c r="N2064" s="52" t="s">
        <v>2262</v>
      </c>
      <c r="O2064" s="51" t="e">
        <f>VLOOKUP(N2064,[2]!RUBROS[#All],3,0)</f>
        <v>#REF!</v>
      </c>
      <c r="P2064" s="53" t="e">
        <f>VLOOKUP(N2064,[2]!RUBROS[#All],2,0)</f>
        <v>#REF!</v>
      </c>
      <c r="Q2064" s="47" t="str">
        <f t="shared" si="638"/>
        <v>75</v>
      </c>
      <c r="R2064" s="47" t="str">
        <f t="shared" si="639"/>
        <v>0-205128</v>
      </c>
      <c r="S2064" s="54">
        <v>6</v>
      </c>
      <c r="T2064" s="63" t="s">
        <v>46</v>
      </c>
      <c r="U2064" s="326" t="e">
        <f ca="1">_xlfn.XLOOKUP(PAA_4[[#This Row],[ITEM]],[2]Contrato!A:A,[2]Contrato!Q:Q,"",0)</f>
        <v>#NAME?</v>
      </c>
      <c r="V2064" s="47" t="s">
        <v>95</v>
      </c>
      <c r="W2064" s="47" t="s">
        <v>200</v>
      </c>
      <c r="X2064" s="47" t="s">
        <v>200</v>
      </c>
      <c r="Y2064" s="55" t="e">
        <f ca="1">_xlfn.XLOOKUP(PAA_4[[#This Row],[ITEM]],[2]Contrato!A:A,[2]Contrato!B:B,"",0)</f>
        <v>#NAME?</v>
      </c>
      <c r="Z2064" s="47" t="e">
        <f ca="1">_xlfn.XLOOKUP(PAA_4[[#This Row],[ITEM]],[2]Contrato!A:A,[2]Contrato!G:G,"",0)</f>
        <v>#NAME?</v>
      </c>
      <c r="AA2064" s="47" t="e">
        <f ca="1">_xlfn.XLOOKUP(PAA_4[[#This Row],[ITEM]],[2]Contrato!A:A,[2]Contrato!T:T,"",0)</f>
        <v>#NAME?</v>
      </c>
      <c r="AB2064" s="55" t="e">
        <f ca="1">+MAX(PAA_4[[#This Row],[Comprometido Contrato]],PAA_4[[#This Row],[Comprometido Bolsa]])</f>
        <v>#NAME?</v>
      </c>
      <c r="AC2064" s="55" t="str">
        <f t="shared" ca="1" si="640"/>
        <v/>
      </c>
      <c r="AD2064" s="55" t="e">
        <f ca="1">IF(PAA_4[[#This Row],[ESTADO (formulado)]]="NO CONTRATADO",0,MAX(PAA_4[[#This Row],[Pago por Contrato]],PAA_4[[#This Row],[Pago por bolsa]]))</f>
        <v>#NAME?</v>
      </c>
      <c r="AE2064" s="55" t="str">
        <f t="shared" ca="1" si="641"/>
        <v/>
      </c>
      <c r="AF2064" s="47" t="e">
        <f t="shared" ca="1" si="642"/>
        <v>#NAME?</v>
      </c>
      <c r="AG2064" s="47">
        <f t="shared" si="643"/>
        <v>52010902</v>
      </c>
      <c r="AH2064" s="54">
        <f>IF(Q2064="22",IF(ISNUMBER(SEARCH("econ",PAA_4[[#This Row],[Actividad3]])),"Económico",IF(ISNUMBER(SEARCH("alim",PAA_4[[#This Row],[Actividad3]])),"Alimentación",IF(ISNUMBER(SEARCH("educ",PAA_4[[#This Row],[Actividad3]])),"Educativo","Técnico"))),0)</f>
        <v>0</v>
      </c>
      <c r="AI2064" s="47" t="e" cm="1">
        <f t="array" aca="1" ref="AI2064" ca="1">_xlfn.XLOOKUP(PAA_4[[#This Row],[RCP-RUBRO]],[2]!COMPROMISOS_2024[[#All],[concatenado]],[2]!COMPROMISOS_2024[[#All],[Total pagado]],"",0)</f>
        <v>#NAME?</v>
      </c>
      <c r="AJ2064" s="56">
        <f>IF(PAA_4[[#This Row],[BOLSA]]=0,0,SUMIFS([2]!COMPROMISOS_2024[[#All],[Total pagado]],[2]!COMPROMISOS_2024[[#All],[Bolsa]],PAA_4[[#This Row],[BOLSA]],[2]!COMPROMISOS_2024[[#All],[rubro]],PAA_4[[#This Row],[RCP-RUBRO]]))</f>
        <v>0</v>
      </c>
      <c r="AK2064" s="47" t="e" cm="1">
        <f t="array" aca="1" ref="AK2064" ca="1">_xlfn.XLOOKUP(PAA_4[[#This Row],[RCP-RUBRO]],[2]!COMPROMISOS_2024[[#All],[concatenado]],[2]!COMPROMISOS_2024[[#All],[Total Comprometido]],"",0)</f>
        <v>#NAME?</v>
      </c>
      <c r="AL2064" s="47">
        <f>IF(PAA_4[[#This Row],[BOLSA]]=0,0,SUMIFS([2]!COMPROMISOS_2024[[#All],[Total Comprometido]],[2]!COMPROMISOS_2024[[#All],[Bolsa]],PAA_4[[#This Row],[BOLSA]],[2]!COMPROMISOS_2024[[#All],[concatenado]],PAA_4[[#This Row],[RCP-RUBRO]]))</f>
        <v>0</v>
      </c>
    </row>
    <row r="2065" spans="1:38" s="19" customFormat="1" ht="31.5" customHeight="1">
      <c r="A2065" s="47">
        <v>1272</v>
      </c>
      <c r="B2065" s="47">
        <v>72101500</v>
      </c>
      <c r="C2065" s="47" t="str">
        <f>VLOOKUP(PAA_4[[#This Row],[PROYECTO (formulado)2]],[2]PROYECTOS!$G$1:$L$32,6,0)</f>
        <v>SUBGERENCIA ESCENARIOS DEPORTIVOS Y EQUIPAMIENTOS</v>
      </c>
      <c r="D2065" s="47" t="str">
        <f>+IF(PAA_4[[#This Row],[UNIDAD DE CONTRATACION (formulado)]]="Subgerencia Administrativa y Financiera","FUNCIONAMIENTO","INVERSIÓN")</f>
        <v>INVERSIÓN</v>
      </c>
      <c r="E2065" s="48" t="str">
        <f>VLOOKUP(Q2065,[2]PROYECTOS!$G$1:$K$32,5,0)</f>
        <v>Mantenimiento, adecuación, mejoras de escenarios deportivos o equipamientos en el departamento de Antioquia</v>
      </c>
      <c r="F2065" s="48">
        <f>VLOOKUP(E2065,[2]PROYECTOS!$K$1:$M$32,3,0)</f>
        <v>2024003050075</v>
      </c>
      <c r="G2065" s="49" t="s">
        <v>1842</v>
      </c>
      <c r="H2065" s="49" t="str">
        <f>VLOOKUP(Q2065,[2]PROYECTOS!$V$1:$W$32,2,0)</f>
        <v>050070</v>
      </c>
      <c r="I2065" s="78">
        <v>341694627</v>
      </c>
      <c r="J2065" s="51" t="s">
        <v>2273</v>
      </c>
      <c r="K2065" s="47" t="str">
        <f t="shared" ca="1" si="637"/>
        <v>CONTRATADO</v>
      </c>
      <c r="L2065" s="47" t="s">
        <v>94</v>
      </c>
      <c r="M2065" s="47" t="s">
        <v>255</v>
      </c>
      <c r="N2065" s="52" t="s">
        <v>2265</v>
      </c>
      <c r="O2065" s="51" t="e">
        <f>VLOOKUP(N2065,[2]!RUBROS[#All],3,0)</f>
        <v>#REF!</v>
      </c>
      <c r="P2065" s="53" t="e">
        <f>VLOOKUP(N2065,[2]!RUBROS[#All],2,0)</f>
        <v>#REF!</v>
      </c>
      <c r="Q2065" s="47" t="str">
        <f t="shared" si="638"/>
        <v>75</v>
      </c>
      <c r="R2065" s="47" t="str">
        <f t="shared" si="639"/>
        <v>0-202029</v>
      </c>
      <c r="S2065" s="54">
        <v>6</v>
      </c>
      <c r="T2065" s="63" t="s">
        <v>46</v>
      </c>
      <c r="U2065" s="326" t="e">
        <f ca="1">_xlfn.XLOOKUP(PAA_4[[#This Row],[ITEM]],[2]Contrato!A:A,[2]Contrato!Q:Q,"",0)</f>
        <v>#NAME?</v>
      </c>
      <c r="V2065" s="47" t="s">
        <v>95</v>
      </c>
      <c r="W2065" s="47" t="s">
        <v>204</v>
      </c>
      <c r="X2065" s="47" t="s">
        <v>204</v>
      </c>
      <c r="Y2065" s="55" t="e">
        <f ca="1">_xlfn.XLOOKUP(PAA_4[[#This Row],[ITEM]],[2]Contrato!A:A,[2]Contrato!B:B,"",0)</f>
        <v>#NAME?</v>
      </c>
      <c r="Z2065" s="47" t="e">
        <f ca="1">_xlfn.XLOOKUP(PAA_4[[#This Row],[ITEM]],[2]Contrato!A:A,[2]Contrato!G:G,"",0)</f>
        <v>#NAME?</v>
      </c>
      <c r="AA2065" s="47" t="e">
        <f ca="1">_xlfn.XLOOKUP(PAA_4[[#This Row],[ITEM]],[2]Contrato!A:A,[2]Contrato!T:T,"",0)</f>
        <v>#NAME?</v>
      </c>
      <c r="AB2065" s="55" t="e">
        <f ca="1">+MAX(PAA_4[[#This Row],[Comprometido Contrato]],PAA_4[[#This Row],[Comprometido Bolsa]])</f>
        <v>#NAME?</v>
      </c>
      <c r="AC2065" s="55" t="str">
        <f t="shared" ca="1" si="640"/>
        <v/>
      </c>
      <c r="AD2065" s="55" t="e">
        <f ca="1">IF(PAA_4[[#This Row],[ESTADO (formulado)]]="NO CONTRATADO",0,MAX(PAA_4[[#This Row],[Pago por Contrato]],PAA_4[[#This Row],[Pago por bolsa]]))</f>
        <v>#NAME?</v>
      </c>
      <c r="AE2065" s="55" t="str">
        <f t="shared" ca="1" si="641"/>
        <v/>
      </c>
      <c r="AF2065" s="47" t="e">
        <f t="shared" ca="1" si="642"/>
        <v>#NAME?</v>
      </c>
      <c r="AG2065" s="47">
        <f t="shared" si="643"/>
        <v>52010902</v>
      </c>
      <c r="AH2065" s="54">
        <f>IF(Q2065="22",IF(ISNUMBER(SEARCH("econ",PAA_4[[#This Row],[Actividad3]])),"Económico",IF(ISNUMBER(SEARCH("alim",PAA_4[[#This Row],[Actividad3]])),"Alimentación",IF(ISNUMBER(SEARCH("educ",PAA_4[[#This Row],[Actividad3]])),"Educativo","Técnico"))),0)</f>
        <v>0</v>
      </c>
      <c r="AI2065" s="47" t="e" cm="1">
        <f t="array" aca="1" ref="AI2065" ca="1">_xlfn.XLOOKUP(PAA_4[[#This Row],[RCP-RUBRO]],[2]!COMPROMISOS_2024[[#All],[concatenado]],[2]!COMPROMISOS_2024[[#All],[Total pagado]],"",0)</f>
        <v>#NAME?</v>
      </c>
      <c r="AJ2065" s="56">
        <f>IF(PAA_4[[#This Row],[BOLSA]]=0,0,SUMIFS([2]!COMPROMISOS_2024[[#All],[Total pagado]],[2]!COMPROMISOS_2024[[#All],[Bolsa]],PAA_4[[#This Row],[BOLSA]],[2]!COMPROMISOS_2024[[#All],[rubro]],PAA_4[[#This Row],[RCP-RUBRO]]))</f>
        <v>0</v>
      </c>
      <c r="AK2065" s="47" t="e" cm="1">
        <f t="array" aca="1" ref="AK2065" ca="1">_xlfn.XLOOKUP(PAA_4[[#This Row],[RCP-RUBRO]],[2]!COMPROMISOS_2024[[#All],[concatenado]],[2]!COMPROMISOS_2024[[#All],[Total Comprometido]],"",0)</f>
        <v>#NAME?</v>
      </c>
      <c r="AL2065" s="47">
        <f>IF(PAA_4[[#This Row],[BOLSA]]=0,0,SUMIFS([2]!COMPROMISOS_2024[[#All],[Total Comprometido]],[2]!COMPROMISOS_2024[[#All],[Bolsa]],PAA_4[[#This Row],[BOLSA]],[2]!COMPROMISOS_2024[[#All],[concatenado]],PAA_4[[#This Row],[RCP-RUBRO]]))</f>
        <v>0</v>
      </c>
    </row>
    <row r="2066" spans="1:38" s="19" customFormat="1" ht="31.5" customHeight="1">
      <c r="A2066" s="47" t="s">
        <v>82</v>
      </c>
      <c r="B2066" s="47" t="s">
        <v>42</v>
      </c>
      <c r="C2066" s="47" t="str">
        <f>VLOOKUP(PAA_4[[#This Row],[PROYECTO (formulado)2]],[2]PROYECTOS!$G$1:$L$32,6,0)</f>
        <v>SUBGERENCIA ESCENARIOS DEPORTIVOS Y EQUIPAMIENTOS</v>
      </c>
      <c r="D2066" s="47" t="str">
        <f>+IF(PAA_4[[#This Row],[UNIDAD DE CONTRATACION (formulado)]]="Subgerencia Administrativa y Financiera","FUNCIONAMIENTO","INVERSIÓN")</f>
        <v>INVERSIÓN</v>
      </c>
      <c r="E2066" s="48" t="str">
        <f>VLOOKUP(Q2066,[2]PROYECTOS!$G$1:$K$32,5,0)</f>
        <v>Mantenimiento, adecuación, mejoras de escenarios deportivos o equipamientos en el departamento de Antioquia</v>
      </c>
      <c r="F2066" s="48">
        <f>VLOOKUP(E2066,[2]PROYECTOS!$K$1:$M$32,3,0)</f>
        <v>2024003050075</v>
      </c>
      <c r="G2066" s="49" t="s">
        <v>1842</v>
      </c>
      <c r="H2066" s="49" t="str">
        <f>VLOOKUP(Q2066,[2]PROYECTOS!$V$1:$W$32,2,0)</f>
        <v>050070</v>
      </c>
      <c r="I2066" s="78">
        <v>13201253</v>
      </c>
      <c r="J2066" s="51" t="s">
        <v>1809</v>
      </c>
      <c r="K2066" s="47" t="str">
        <f ca="1">IF(ISNONTEXT(Y2066)=TRUE,"CONTRATADO","NO CONTRATADO")</f>
        <v>CONTRATADO</v>
      </c>
      <c r="L2066" s="52" t="s">
        <v>42</v>
      </c>
      <c r="M2066" s="51" t="s">
        <v>42</v>
      </c>
      <c r="N2066" s="52" t="s">
        <v>2265</v>
      </c>
      <c r="O2066" s="51" t="e">
        <f>VLOOKUP(N2066,[2]!RUBROS[#All],3,0)</f>
        <v>#REF!</v>
      </c>
      <c r="P2066" s="53" t="e">
        <f>VLOOKUP(N2066,[2]!RUBROS[#All],2,0)</f>
        <v>#REF!</v>
      </c>
      <c r="Q2066" s="47" t="str">
        <f>+MID(N2066,11,2)</f>
        <v>75</v>
      </c>
      <c r="R2066" s="47" t="str">
        <f>+MID(N2066,14,8)</f>
        <v>0-202029</v>
      </c>
      <c r="S2066" s="54" t="s">
        <v>42</v>
      </c>
      <c r="T2066" s="54" t="s">
        <v>42</v>
      </c>
      <c r="U2066" s="326" t="e">
        <f ca="1">_xlfn.XLOOKUP(PAA_4[[#This Row],[ITEM]],[2]Contrato!A:A,[2]Contrato!Q:Q,"",0)</f>
        <v>#NAME?</v>
      </c>
      <c r="V2066" s="47" t="s">
        <v>42</v>
      </c>
      <c r="W2066" s="47" t="s">
        <v>42</v>
      </c>
      <c r="X2066" s="47" t="s">
        <v>42</v>
      </c>
      <c r="Y2066" s="55" t="e">
        <f ca="1">_xlfn.XLOOKUP(PAA_4[[#This Row],[ITEM]],[2]Contrato!A:A,[2]Contrato!B:B,"",0)</f>
        <v>#NAME?</v>
      </c>
      <c r="Z2066" s="47" t="e">
        <f ca="1">_xlfn.XLOOKUP(PAA_4[[#This Row],[ITEM]],[2]Contrato!A:A,[2]Contrato!G:G,"",0)</f>
        <v>#NAME?</v>
      </c>
      <c r="AA2066" s="47" t="e">
        <f ca="1">_xlfn.XLOOKUP(PAA_4[[#This Row],[ITEM]],[2]Contrato!A:A,[2]Contrato!T:T,"",0)</f>
        <v>#NAME?</v>
      </c>
      <c r="AB2066" s="55" t="e">
        <f ca="1">+MAX(PAA_4[[#This Row],[Comprometido Contrato]],PAA_4[[#This Row],[Comprometido Bolsa]])</f>
        <v>#NAME?</v>
      </c>
      <c r="AC2066" s="55" t="str">
        <f ca="1">IFERROR(I2066-AB2066,"")</f>
        <v/>
      </c>
      <c r="AD2066" s="55" t="e">
        <f ca="1">IF(PAA_4[[#This Row],[ESTADO (formulado)]]="NO CONTRATADO",0,MAX(PAA_4[[#This Row],[Pago por Contrato]],PAA_4[[#This Row],[Pago por bolsa]]))</f>
        <v>#NAME?</v>
      </c>
      <c r="AE2066" s="55" t="str">
        <f ca="1">+IFERROR(AB2066-AD2066,"")</f>
        <v/>
      </c>
      <c r="AF2066" s="47" t="e">
        <f ca="1">+CONCATENATE(AA2066,N2066)</f>
        <v>#NAME?</v>
      </c>
      <c r="AG2066" s="47">
        <f>IFERROR(_xlfn.NUMBERVALUE(MID(G2066,1,8)),"")</f>
        <v>52010902</v>
      </c>
      <c r="AH2066" s="54">
        <f>IF(Q2066="22",IF(ISNUMBER(SEARCH("econ",PAA_4[[#This Row],[Actividad3]])),"Económico",IF(ISNUMBER(SEARCH("alim",PAA_4[[#This Row],[Actividad3]])),"Alimentación",IF(ISNUMBER(SEARCH("educ",PAA_4[[#This Row],[Actividad3]])),"Educativo","Técnico"))),0)</f>
        <v>0</v>
      </c>
      <c r="AI2066" s="47" t="e" cm="1">
        <f t="array" aca="1" ref="AI2066" ca="1">_xlfn.XLOOKUP(PAA_4[[#This Row],[RCP-RUBRO]],[2]!COMPROMISOS_2024[[#All],[concatenado]],[2]!COMPROMISOS_2024[[#All],[Total pagado]],"",0)</f>
        <v>#NAME?</v>
      </c>
      <c r="AJ2066" s="56">
        <f>IF(PAA_4[[#This Row],[BOLSA]]=0,0,SUMIFS([2]!COMPROMISOS_2024[[#All],[Total pagado]],[2]!COMPROMISOS_2024[[#All],[Bolsa]],PAA_4[[#This Row],[BOLSA]],[2]!COMPROMISOS_2024[[#All],[rubro]],PAA_4[[#This Row],[RCP-RUBRO]]))</f>
        <v>0</v>
      </c>
      <c r="AK2066" s="47" t="e" cm="1">
        <f t="array" aca="1" ref="AK2066" ca="1">_xlfn.XLOOKUP(PAA_4[[#This Row],[RCP-RUBRO]],[2]!COMPROMISOS_2024[[#All],[concatenado]],[2]!COMPROMISOS_2024[[#All],[Total Comprometido]],"",0)</f>
        <v>#NAME?</v>
      </c>
      <c r="AL2066" s="47">
        <f>IF(PAA_4[[#This Row],[BOLSA]]=0,0,SUMIFS([2]!COMPROMISOS_2024[[#All],[Total Comprometido]],[2]!COMPROMISOS_2024[[#All],[Bolsa]],PAA_4[[#This Row],[BOLSA]],[2]!COMPROMISOS_2024[[#All],[concatenado]],PAA_4[[#This Row],[RCP-RUBRO]]))</f>
        <v>0</v>
      </c>
    </row>
    <row r="2067" spans="1:38" s="19" customFormat="1" ht="31.5" customHeight="1">
      <c r="A2067" s="47">
        <v>1273</v>
      </c>
      <c r="B2067" s="47">
        <v>72101500</v>
      </c>
      <c r="C2067" s="47" t="str">
        <f>VLOOKUP(PAA_4[[#This Row],[PROYECTO (formulado)2]],[2]PROYECTOS!$G$1:$L$32,6,0)</f>
        <v>SUBGERENCIA ESCENARIOS DEPORTIVOS Y EQUIPAMIENTOS</v>
      </c>
      <c r="D2067" s="47" t="str">
        <f>+IF(PAA_4[[#This Row],[UNIDAD DE CONTRATACION (formulado)]]="Subgerencia Administrativa y Financiera","FUNCIONAMIENTO","INVERSIÓN")</f>
        <v>INVERSIÓN</v>
      </c>
      <c r="E2067" s="48" t="str">
        <f>VLOOKUP(Q2067,[2]PROYECTOS!$G$1:$K$32,5,0)</f>
        <v>Mantenimiento, adecuación, mejoras de escenarios deportivos o equipamientos en el departamento de Antioquia</v>
      </c>
      <c r="F2067" s="48">
        <f>VLOOKUP(E2067,[2]PROYECTOS!$K$1:$M$32,3,0)</f>
        <v>2024003050075</v>
      </c>
      <c r="G2067" s="49" t="s">
        <v>1842</v>
      </c>
      <c r="H2067" s="49" t="str">
        <f>VLOOKUP(Q2067,[2]PROYECTOS!$V$1:$W$32,2,0)</f>
        <v>050070</v>
      </c>
      <c r="I2067" s="78">
        <f>144185744-13201253</f>
        <v>130984491</v>
      </c>
      <c r="J2067" s="51" t="s">
        <v>2274</v>
      </c>
      <c r="K2067" s="47" t="str">
        <f t="shared" ref="K2067:K2074" ca="1" si="644">IF(ISNONTEXT(Y2067)=TRUE,"CONTRATADO","NO CONTRATADO")</f>
        <v>CONTRATADO</v>
      </c>
      <c r="L2067" s="47" t="s">
        <v>94</v>
      </c>
      <c r="M2067" s="47" t="s">
        <v>255</v>
      </c>
      <c r="N2067" s="52" t="s">
        <v>2265</v>
      </c>
      <c r="O2067" s="51" t="e">
        <f>VLOOKUP(N2067,[2]!RUBROS[#All],3,0)</f>
        <v>#REF!</v>
      </c>
      <c r="P2067" s="53" t="e">
        <f>VLOOKUP(N2067,[2]!RUBROS[#All],2,0)</f>
        <v>#REF!</v>
      </c>
      <c r="Q2067" s="47" t="str">
        <f t="shared" ref="Q2067:Q2074" si="645">+MID(N2067,11,2)</f>
        <v>75</v>
      </c>
      <c r="R2067" s="47" t="str">
        <f t="shared" ref="R2067:R2074" si="646">+MID(N2067,14,8)</f>
        <v>0-202029</v>
      </c>
      <c r="S2067" s="54">
        <v>7</v>
      </c>
      <c r="T2067" s="63" t="s">
        <v>46</v>
      </c>
      <c r="U2067" s="326" t="e">
        <f ca="1">_xlfn.XLOOKUP(PAA_4[[#This Row],[ITEM]],[2]Contrato!A:A,[2]Contrato!Q:Q,"",0)</f>
        <v>#NAME?</v>
      </c>
      <c r="V2067" s="47" t="s">
        <v>95</v>
      </c>
      <c r="W2067" s="47" t="s">
        <v>204</v>
      </c>
      <c r="X2067" s="47" t="s">
        <v>204</v>
      </c>
      <c r="Y2067" s="55" t="e">
        <f ca="1">_xlfn.XLOOKUP(PAA_4[[#This Row],[ITEM]],[2]Contrato!A:A,[2]Contrato!B:B,"",0)</f>
        <v>#NAME?</v>
      </c>
      <c r="Z2067" s="47" t="e">
        <f ca="1">_xlfn.XLOOKUP(PAA_4[[#This Row],[ITEM]],[2]Contrato!A:A,[2]Contrato!G:G,"",0)</f>
        <v>#NAME?</v>
      </c>
      <c r="AA2067" s="47" t="e">
        <f ca="1">_xlfn.XLOOKUP(PAA_4[[#This Row],[ITEM]],[2]Contrato!A:A,[2]Contrato!T:T,"",0)</f>
        <v>#NAME?</v>
      </c>
      <c r="AB2067" s="55" t="e">
        <f ca="1">+MAX(PAA_4[[#This Row],[Comprometido Contrato]],PAA_4[[#This Row],[Comprometido Bolsa]])</f>
        <v>#NAME?</v>
      </c>
      <c r="AC2067" s="55" t="str">
        <f t="shared" ref="AC2067:AC2074" ca="1" si="647">IFERROR(I2067-AB2067,"")</f>
        <v/>
      </c>
      <c r="AD2067" s="55" t="e">
        <f ca="1">IF(PAA_4[[#This Row],[ESTADO (formulado)]]="NO CONTRATADO",0,MAX(PAA_4[[#This Row],[Pago por Contrato]],PAA_4[[#This Row],[Pago por bolsa]]))</f>
        <v>#NAME?</v>
      </c>
      <c r="AE2067" s="55" t="str">
        <f t="shared" ref="AE2067:AE2074" ca="1" si="648">+IFERROR(AB2067-AD2067,"")</f>
        <v/>
      </c>
      <c r="AF2067" s="47" t="e">
        <f t="shared" ref="AF2067:AF2074" ca="1" si="649">+CONCATENATE(AA2067,N2067)</f>
        <v>#NAME?</v>
      </c>
      <c r="AG2067" s="47">
        <f t="shared" ref="AG2067:AG2074" si="650">IFERROR(_xlfn.NUMBERVALUE(MID(G2067,1,8)),"")</f>
        <v>52010902</v>
      </c>
      <c r="AH2067" s="54">
        <f>IF(Q2067="22",IF(ISNUMBER(SEARCH("econ",PAA_4[[#This Row],[Actividad3]])),"Económico",IF(ISNUMBER(SEARCH("alim",PAA_4[[#This Row],[Actividad3]])),"Alimentación",IF(ISNUMBER(SEARCH("educ",PAA_4[[#This Row],[Actividad3]])),"Educativo","Técnico"))),0)</f>
        <v>0</v>
      </c>
      <c r="AI2067" s="47" t="e" cm="1">
        <f t="array" aca="1" ref="AI2067" ca="1">_xlfn.XLOOKUP(PAA_4[[#This Row],[RCP-RUBRO]],[2]!COMPROMISOS_2024[[#All],[concatenado]],[2]!COMPROMISOS_2024[[#All],[Total pagado]],"",0)</f>
        <v>#NAME?</v>
      </c>
      <c r="AJ2067" s="56">
        <f>IF(PAA_4[[#This Row],[BOLSA]]=0,0,SUMIFS([2]!COMPROMISOS_2024[[#All],[Total pagado]],[2]!COMPROMISOS_2024[[#All],[Bolsa]],PAA_4[[#This Row],[BOLSA]],[2]!COMPROMISOS_2024[[#All],[rubro]],PAA_4[[#This Row],[RCP-RUBRO]]))</f>
        <v>0</v>
      </c>
      <c r="AK2067" s="47" t="e" cm="1">
        <f t="array" aca="1" ref="AK2067" ca="1">_xlfn.XLOOKUP(PAA_4[[#This Row],[RCP-RUBRO]],[2]!COMPROMISOS_2024[[#All],[concatenado]],[2]!COMPROMISOS_2024[[#All],[Total Comprometido]],"",0)</f>
        <v>#NAME?</v>
      </c>
      <c r="AL2067" s="47">
        <f>IF(PAA_4[[#This Row],[BOLSA]]=0,0,SUMIFS([2]!COMPROMISOS_2024[[#All],[Total Comprometido]],[2]!COMPROMISOS_2024[[#All],[Bolsa]],PAA_4[[#This Row],[BOLSA]],[2]!COMPROMISOS_2024[[#All],[concatenado]],PAA_4[[#This Row],[RCP-RUBRO]]))</f>
        <v>0</v>
      </c>
    </row>
    <row r="2068" spans="1:38" s="19" customFormat="1" ht="31.5" customHeight="1">
      <c r="A2068" s="47">
        <v>1274</v>
      </c>
      <c r="B2068" s="47">
        <v>72101500</v>
      </c>
      <c r="C2068" s="47" t="str">
        <f>VLOOKUP(PAA_4[[#This Row],[PROYECTO (formulado)2]],[2]PROYECTOS!$G$1:$L$32,6,0)</f>
        <v>SUBGERENCIA ESCENARIOS DEPORTIVOS Y EQUIPAMIENTOS</v>
      </c>
      <c r="D2068" s="47" t="str">
        <f>+IF(PAA_4[[#This Row],[UNIDAD DE CONTRATACION (formulado)]]="Subgerencia Administrativa y Financiera","FUNCIONAMIENTO","INVERSIÓN")</f>
        <v>INVERSIÓN</v>
      </c>
      <c r="E2068" s="48" t="str">
        <f>VLOOKUP(Q2068,[2]PROYECTOS!$G$1:$K$32,5,0)</f>
        <v>Mantenimiento, adecuación, mejoras de escenarios deportivos o equipamientos en el departamento de Antioquia</v>
      </c>
      <c r="F2068" s="48">
        <f>VLOOKUP(E2068,[2]PROYECTOS!$K$1:$M$32,3,0)</f>
        <v>2024003050075</v>
      </c>
      <c r="G2068" s="49" t="s">
        <v>1842</v>
      </c>
      <c r="H2068" s="49" t="str">
        <f>VLOOKUP(Q2068,[2]PROYECTOS!$V$1:$W$32,2,0)</f>
        <v>050070</v>
      </c>
      <c r="I2068" s="78">
        <v>319921075</v>
      </c>
      <c r="J2068" s="51" t="s">
        <v>2275</v>
      </c>
      <c r="K2068" s="47" t="str">
        <f t="shared" ca="1" si="644"/>
        <v>CONTRATADO</v>
      </c>
      <c r="L2068" s="47" t="s">
        <v>94</v>
      </c>
      <c r="M2068" s="47" t="s">
        <v>255</v>
      </c>
      <c r="N2068" s="52" t="s">
        <v>2265</v>
      </c>
      <c r="O2068" s="51" t="e">
        <f>VLOOKUP(N2068,[2]!RUBROS[#All],3,0)</f>
        <v>#REF!</v>
      </c>
      <c r="P2068" s="53" t="e">
        <f>VLOOKUP(N2068,[2]!RUBROS[#All],2,0)</f>
        <v>#REF!</v>
      </c>
      <c r="Q2068" s="47" t="str">
        <f t="shared" si="645"/>
        <v>75</v>
      </c>
      <c r="R2068" s="47" t="str">
        <f t="shared" si="646"/>
        <v>0-202029</v>
      </c>
      <c r="S2068" s="54">
        <v>7</v>
      </c>
      <c r="T2068" s="63" t="s">
        <v>46</v>
      </c>
      <c r="U2068" s="326" t="e">
        <f ca="1">_xlfn.XLOOKUP(PAA_4[[#This Row],[ITEM]],[2]Contrato!A:A,[2]Contrato!Q:Q,"",0)</f>
        <v>#NAME?</v>
      </c>
      <c r="V2068" s="47" t="s">
        <v>95</v>
      </c>
      <c r="W2068" s="47" t="s">
        <v>204</v>
      </c>
      <c r="X2068" s="47" t="s">
        <v>204</v>
      </c>
      <c r="Y2068" s="55" t="e">
        <f ca="1">_xlfn.XLOOKUP(PAA_4[[#This Row],[ITEM]],[2]Contrato!A:A,[2]Contrato!B:B,"",0)</f>
        <v>#NAME?</v>
      </c>
      <c r="Z2068" s="47" t="e">
        <f ca="1">_xlfn.XLOOKUP(PAA_4[[#This Row],[ITEM]],[2]Contrato!A:A,[2]Contrato!G:G,"",0)</f>
        <v>#NAME?</v>
      </c>
      <c r="AA2068" s="47" t="e">
        <f ca="1">_xlfn.XLOOKUP(PAA_4[[#This Row],[ITEM]],[2]Contrato!A:A,[2]Contrato!T:T,"",0)</f>
        <v>#NAME?</v>
      </c>
      <c r="AB2068" s="55" t="e">
        <f ca="1">+MAX(PAA_4[[#This Row],[Comprometido Contrato]],PAA_4[[#This Row],[Comprometido Bolsa]])</f>
        <v>#NAME?</v>
      </c>
      <c r="AC2068" s="55" t="str">
        <f t="shared" ca="1" si="647"/>
        <v/>
      </c>
      <c r="AD2068" s="55" t="e">
        <f ca="1">IF(PAA_4[[#This Row],[ESTADO (formulado)]]="NO CONTRATADO",0,MAX(PAA_4[[#This Row],[Pago por Contrato]],PAA_4[[#This Row],[Pago por bolsa]]))</f>
        <v>#NAME?</v>
      </c>
      <c r="AE2068" s="55" t="str">
        <f t="shared" ca="1" si="648"/>
        <v/>
      </c>
      <c r="AF2068" s="47" t="e">
        <f t="shared" ca="1" si="649"/>
        <v>#NAME?</v>
      </c>
      <c r="AG2068" s="47">
        <f t="shared" si="650"/>
        <v>52010902</v>
      </c>
      <c r="AH2068" s="54">
        <f>IF(Q2068="22",IF(ISNUMBER(SEARCH("econ",PAA_4[[#This Row],[Actividad3]])),"Económico",IF(ISNUMBER(SEARCH("alim",PAA_4[[#This Row],[Actividad3]])),"Alimentación",IF(ISNUMBER(SEARCH("educ",PAA_4[[#This Row],[Actividad3]])),"Educativo","Técnico"))),0)</f>
        <v>0</v>
      </c>
      <c r="AI2068" s="47" t="e" cm="1">
        <f t="array" aca="1" ref="AI2068" ca="1">_xlfn.XLOOKUP(PAA_4[[#This Row],[RCP-RUBRO]],[2]!COMPROMISOS_2024[[#All],[concatenado]],[2]!COMPROMISOS_2024[[#All],[Total pagado]],"",0)</f>
        <v>#NAME?</v>
      </c>
      <c r="AJ2068" s="56">
        <f>IF(PAA_4[[#This Row],[BOLSA]]=0,0,SUMIFS([2]!COMPROMISOS_2024[[#All],[Total pagado]],[2]!COMPROMISOS_2024[[#All],[Bolsa]],PAA_4[[#This Row],[BOLSA]],[2]!COMPROMISOS_2024[[#All],[rubro]],PAA_4[[#This Row],[RCP-RUBRO]]))</f>
        <v>0</v>
      </c>
      <c r="AK2068" s="47" t="e" cm="1">
        <f t="array" aca="1" ref="AK2068" ca="1">_xlfn.XLOOKUP(PAA_4[[#This Row],[RCP-RUBRO]],[2]!COMPROMISOS_2024[[#All],[concatenado]],[2]!COMPROMISOS_2024[[#All],[Total Comprometido]],"",0)</f>
        <v>#NAME?</v>
      </c>
      <c r="AL2068" s="47">
        <f>IF(PAA_4[[#This Row],[BOLSA]]=0,0,SUMIFS([2]!COMPROMISOS_2024[[#All],[Total Comprometido]],[2]!COMPROMISOS_2024[[#All],[Bolsa]],PAA_4[[#This Row],[BOLSA]],[2]!COMPROMISOS_2024[[#All],[concatenado]],PAA_4[[#This Row],[RCP-RUBRO]]))</f>
        <v>0</v>
      </c>
    </row>
    <row r="2069" spans="1:38" s="19" customFormat="1" ht="31.5" customHeight="1">
      <c r="A2069" s="47">
        <v>1275</v>
      </c>
      <c r="B2069" s="47">
        <v>72101500</v>
      </c>
      <c r="C2069" s="47" t="str">
        <f>VLOOKUP(PAA_4[[#This Row],[PROYECTO (formulado)2]],[2]PROYECTOS!$G$1:$L$32,6,0)</f>
        <v>SUBGERENCIA ESCENARIOS DEPORTIVOS Y EQUIPAMIENTOS</v>
      </c>
      <c r="D2069" s="47" t="str">
        <f>+IF(PAA_4[[#This Row],[UNIDAD DE CONTRATACION (formulado)]]="Subgerencia Administrativa y Financiera","FUNCIONAMIENTO","INVERSIÓN")</f>
        <v>INVERSIÓN</v>
      </c>
      <c r="E2069" s="48" t="str">
        <f>VLOOKUP(Q2069,[2]PROYECTOS!$G$1:$K$32,5,0)</f>
        <v>Mantenimiento, adecuación, mejoras de escenarios deportivos o equipamientos en el departamento de Antioquia</v>
      </c>
      <c r="F2069" s="48">
        <f>VLOOKUP(E2069,[2]PROYECTOS!$K$1:$M$32,3,0)</f>
        <v>2024003050075</v>
      </c>
      <c r="G2069" s="49" t="s">
        <v>1842</v>
      </c>
      <c r="H2069" s="49" t="str">
        <f>VLOOKUP(Q2069,[2]PROYECTOS!$V$1:$W$32,2,0)</f>
        <v>050070</v>
      </c>
      <c r="I2069" s="78">
        <v>95730066</v>
      </c>
      <c r="J2069" s="51" t="s">
        <v>2276</v>
      </c>
      <c r="K2069" s="47" t="str">
        <f t="shared" ca="1" si="644"/>
        <v>CONTRATADO</v>
      </c>
      <c r="L2069" s="47" t="s">
        <v>94</v>
      </c>
      <c r="M2069" s="47" t="s">
        <v>255</v>
      </c>
      <c r="N2069" s="52" t="s">
        <v>2265</v>
      </c>
      <c r="O2069" s="51" t="e">
        <f>VLOOKUP(N2069,[2]!RUBROS[#All],3,0)</f>
        <v>#REF!</v>
      </c>
      <c r="P2069" s="53" t="e">
        <f>VLOOKUP(N2069,[2]!RUBROS[#All],2,0)</f>
        <v>#REF!</v>
      </c>
      <c r="Q2069" s="47" t="str">
        <f t="shared" si="645"/>
        <v>75</v>
      </c>
      <c r="R2069" s="47" t="str">
        <f t="shared" si="646"/>
        <v>0-202029</v>
      </c>
      <c r="S2069" s="54">
        <v>6</v>
      </c>
      <c r="T2069" s="63" t="s">
        <v>46</v>
      </c>
      <c r="U2069" s="326" t="e">
        <f ca="1">_xlfn.XLOOKUP(PAA_4[[#This Row],[ITEM]],[2]Contrato!A:A,[2]Contrato!Q:Q,"",0)</f>
        <v>#NAME?</v>
      </c>
      <c r="V2069" s="47" t="s">
        <v>95</v>
      </c>
      <c r="W2069" s="47" t="s">
        <v>204</v>
      </c>
      <c r="X2069" s="47" t="s">
        <v>204</v>
      </c>
      <c r="Y2069" s="55" t="e">
        <f ca="1">_xlfn.XLOOKUP(PAA_4[[#This Row],[ITEM]],[2]Contrato!A:A,[2]Contrato!B:B,"",0)</f>
        <v>#NAME?</v>
      </c>
      <c r="Z2069" s="47" t="e">
        <f ca="1">_xlfn.XLOOKUP(PAA_4[[#This Row],[ITEM]],[2]Contrato!A:A,[2]Contrato!G:G,"",0)</f>
        <v>#NAME?</v>
      </c>
      <c r="AA2069" s="47" t="e">
        <f ca="1">_xlfn.XLOOKUP(PAA_4[[#This Row],[ITEM]],[2]Contrato!A:A,[2]Contrato!T:T,"",0)</f>
        <v>#NAME?</v>
      </c>
      <c r="AB2069" s="55" t="e">
        <f ca="1">+MAX(PAA_4[[#This Row],[Comprometido Contrato]],PAA_4[[#This Row],[Comprometido Bolsa]])</f>
        <v>#NAME?</v>
      </c>
      <c r="AC2069" s="55" t="str">
        <f t="shared" ca="1" si="647"/>
        <v/>
      </c>
      <c r="AD2069" s="55" t="e">
        <f ca="1">IF(PAA_4[[#This Row],[ESTADO (formulado)]]="NO CONTRATADO",0,MAX(PAA_4[[#This Row],[Pago por Contrato]],PAA_4[[#This Row],[Pago por bolsa]]))</f>
        <v>#NAME?</v>
      </c>
      <c r="AE2069" s="55" t="str">
        <f t="shared" ca="1" si="648"/>
        <v/>
      </c>
      <c r="AF2069" s="47" t="e">
        <f t="shared" ca="1" si="649"/>
        <v>#NAME?</v>
      </c>
      <c r="AG2069" s="47">
        <f t="shared" si="650"/>
        <v>52010902</v>
      </c>
      <c r="AH2069" s="54">
        <f>IF(Q2069="22",IF(ISNUMBER(SEARCH("econ",PAA_4[[#This Row],[Actividad3]])),"Económico",IF(ISNUMBER(SEARCH("alim",PAA_4[[#This Row],[Actividad3]])),"Alimentación",IF(ISNUMBER(SEARCH("educ",PAA_4[[#This Row],[Actividad3]])),"Educativo","Técnico"))),0)</f>
        <v>0</v>
      </c>
      <c r="AI2069" s="47" t="e" cm="1">
        <f t="array" aca="1" ref="AI2069" ca="1">_xlfn.XLOOKUP(PAA_4[[#This Row],[RCP-RUBRO]],[2]!COMPROMISOS_2024[[#All],[concatenado]],[2]!COMPROMISOS_2024[[#All],[Total pagado]],"",0)</f>
        <v>#NAME?</v>
      </c>
      <c r="AJ2069" s="56">
        <f>IF(PAA_4[[#This Row],[BOLSA]]=0,0,SUMIFS([2]!COMPROMISOS_2024[[#All],[Total pagado]],[2]!COMPROMISOS_2024[[#All],[Bolsa]],PAA_4[[#This Row],[BOLSA]],[2]!COMPROMISOS_2024[[#All],[rubro]],PAA_4[[#This Row],[RCP-RUBRO]]))</f>
        <v>0</v>
      </c>
      <c r="AK2069" s="47" t="e" cm="1">
        <f t="array" aca="1" ref="AK2069" ca="1">_xlfn.XLOOKUP(PAA_4[[#This Row],[RCP-RUBRO]],[2]!COMPROMISOS_2024[[#All],[concatenado]],[2]!COMPROMISOS_2024[[#All],[Total Comprometido]],"",0)</f>
        <v>#NAME?</v>
      </c>
      <c r="AL2069" s="47">
        <f>IF(PAA_4[[#This Row],[BOLSA]]=0,0,SUMIFS([2]!COMPROMISOS_2024[[#All],[Total Comprometido]],[2]!COMPROMISOS_2024[[#All],[Bolsa]],PAA_4[[#This Row],[BOLSA]],[2]!COMPROMISOS_2024[[#All],[concatenado]],PAA_4[[#This Row],[RCP-RUBRO]]))</f>
        <v>0</v>
      </c>
    </row>
    <row r="2070" spans="1:38" s="19" customFormat="1" ht="31.5" customHeight="1">
      <c r="A2070" s="47">
        <v>1276</v>
      </c>
      <c r="B2070" s="47">
        <v>72101500</v>
      </c>
      <c r="C2070" s="47" t="str">
        <f>VLOOKUP(PAA_4[[#This Row],[PROYECTO (formulado)2]],[2]PROYECTOS!$G$1:$L$32,6,0)</f>
        <v>SUBGERENCIA ESCENARIOS DEPORTIVOS Y EQUIPAMIENTOS</v>
      </c>
      <c r="D2070" s="47" t="str">
        <f>+IF(PAA_4[[#This Row],[UNIDAD DE CONTRATACION (formulado)]]="Subgerencia Administrativa y Financiera","FUNCIONAMIENTO","INVERSIÓN")</f>
        <v>INVERSIÓN</v>
      </c>
      <c r="E2070" s="48" t="str">
        <f>VLOOKUP(Q2070,[2]PROYECTOS!$G$1:$K$32,5,0)</f>
        <v>Mantenimiento, adecuación, mejoras de escenarios deportivos o equipamientos en el departamento de Antioquia</v>
      </c>
      <c r="F2070" s="48">
        <f>VLOOKUP(E2070,[2]PROYECTOS!$K$1:$M$32,3,0)</f>
        <v>2024003050075</v>
      </c>
      <c r="G2070" s="49" t="s">
        <v>1842</v>
      </c>
      <c r="H2070" s="49" t="str">
        <f>VLOOKUP(Q2070,[2]PROYECTOS!$V$1:$W$32,2,0)</f>
        <v>050070</v>
      </c>
      <c r="I2070" s="78">
        <v>430261925</v>
      </c>
      <c r="J2070" s="51" t="s">
        <v>2277</v>
      </c>
      <c r="K2070" s="47" t="str">
        <f t="shared" ca="1" si="644"/>
        <v>CONTRATADO</v>
      </c>
      <c r="L2070" s="47" t="s">
        <v>94</v>
      </c>
      <c r="M2070" s="47" t="s">
        <v>255</v>
      </c>
      <c r="N2070" s="52" t="s">
        <v>2265</v>
      </c>
      <c r="O2070" s="51" t="e">
        <f>VLOOKUP(N2070,[2]!RUBROS[#All],3,0)</f>
        <v>#REF!</v>
      </c>
      <c r="P2070" s="53" t="e">
        <f>VLOOKUP(N2070,[2]!RUBROS[#All],2,0)</f>
        <v>#REF!</v>
      </c>
      <c r="Q2070" s="47" t="str">
        <f t="shared" si="645"/>
        <v>75</v>
      </c>
      <c r="R2070" s="47" t="str">
        <f t="shared" si="646"/>
        <v>0-202029</v>
      </c>
      <c r="S2070" s="54">
        <v>6</v>
      </c>
      <c r="T2070" s="63" t="s">
        <v>46</v>
      </c>
      <c r="U2070" s="326" t="e">
        <f ca="1">_xlfn.XLOOKUP(PAA_4[[#This Row],[ITEM]],[2]Contrato!A:A,[2]Contrato!Q:Q,"",0)</f>
        <v>#NAME?</v>
      </c>
      <c r="V2070" s="47" t="s">
        <v>95</v>
      </c>
      <c r="W2070" s="47" t="s">
        <v>204</v>
      </c>
      <c r="X2070" s="47" t="s">
        <v>204</v>
      </c>
      <c r="Y2070" s="55" t="e">
        <f ca="1">_xlfn.XLOOKUP(PAA_4[[#This Row],[ITEM]],[2]Contrato!A:A,[2]Contrato!B:B,"",0)</f>
        <v>#NAME?</v>
      </c>
      <c r="Z2070" s="47" t="e">
        <f ca="1">_xlfn.XLOOKUP(PAA_4[[#This Row],[ITEM]],[2]Contrato!A:A,[2]Contrato!G:G,"",0)</f>
        <v>#NAME?</v>
      </c>
      <c r="AA2070" s="47" t="e">
        <f ca="1">_xlfn.XLOOKUP(PAA_4[[#This Row],[ITEM]],[2]Contrato!A:A,[2]Contrato!T:T,"",0)</f>
        <v>#NAME?</v>
      </c>
      <c r="AB2070" s="55" t="e">
        <f ca="1">+MAX(PAA_4[[#This Row],[Comprometido Contrato]],PAA_4[[#This Row],[Comprometido Bolsa]])</f>
        <v>#NAME?</v>
      </c>
      <c r="AC2070" s="55" t="str">
        <f t="shared" ca="1" si="647"/>
        <v/>
      </c>
      <c r="AD2070" s="55" t="e">
        <f ca="1">IF(PAA_4[[#This Row],[ESTADO (formulado)]]="NO CONTRATADO",0,MAX(PAA_4[[#This Row],[Pago por Contrato]],PAA_4[[#This Row],[Pago por bolsa]]))</f>
        <v>#NAME?</v>
      </c>
      <c r="AE2070" s="55" t="str">
        <f t="shared" ca="1" si="648"/>
        <v/>
      </c>
      <c r="AF2070" s="47" t="e">
        <f t="shared" ca="1" si="649"/>
        <v>#NAME?</v>
      </c>
      <c r="AG2070" s="47">
        <f t="shared" si="650"/>
        <v>52010902</v>
      </c>
      <c r="AH2070" s="54">
        <f>IF(Q2070="22",IF(ISNUMBER(SEARCH("econ",PAA_4[[#This Row],[Actividad3]])),"Económico",IF(ISNUMBER(SEARCH("alim",PAA_4[[#This Row],[Actividad3]])),"Alimentación",IF(ISNUMBER(SEARCH("educ",PAA_4[[#This Row],[Actividad3]])),"Educativo","Técnico"))),0)</f>
        <v>0</v>
      </c>
      <c r="AI2070" s="47" t="e" cm="1">
        <f t="array" aca="1" ref="AI2070" ca="1">_xlfn.XLOOKUP(PAA_4[[#This Row],[RCP-RUBRO]],[2]!COMPROMISOS_2024[[#All],[concatenado]],[2]!COMPROMISOS_2024[[#All],[Total pagado]],"",0)</f>
        <v>#NAME?</v>
      </c>
      <c r="AJ2070" s="56">
        <f>IF(PAA_4[[#This Row],[BOLSA]]=0,0,SUMIFS([2]!COMPROMISOS_2024[[#All],[Total pagado]],[2]!COMPROMISOS_2024[[#All],[Bolsa]],PAA_4[[#This Row],[BOLSA]],[2]!COMPROMISOS_2024[[#All],[rubro]],PAA_4[[#This Row],[RCP-RUBRO]]))</f>
        <v>0</v>
      </c>
      <c r="AK2070" s="47" t="e" cm="1">
        <f t="array" aca="1" ref="AK2070" ca="1">_xlfn.XLOOKUP(PAA_4[[#This Row],[RCP-RUBRO]],[2]!COMPROMISOS_2024[[#All],[concatenado]],[2]!COMPROMISOS_2024[[#All],[Total Comprometido]],"",0)</f>
        <v>#NAME?</v>
      </c>
      <c r="AL2070" s="47">
        <f>IF(PAA_4[[#This Row],[BOLSA]]=0,0,SUMIFS([2]!COMPROMISOS_2024[[#All],[Total Comprometido]],[2]!COMPROMISOS_2024[[#All],[Bolsa]],PAA_4[[#This Row],[BOLSA]],[2]!COMPROMISOS_2024[[#All],[concatenado]],PAA_4[[#This Row],[RCP-RUBRO]]))</f>
        <v>0</v>
      </c>
    </row>
    <row r="2071" spans="1:38" s="19" customFormat="1" ht="31.5" customHeight="1">
      <c r="A2071" s="47">
        <v>1277</v>
      </c>
      <c r="B2071" s="47">
        <v>72101500</v>
      </c>
      <c r="C2071" s="47" t="str">
        <f>VLOOKUP(PAA_4[[#This Row],[PROYECTO (formulado)2]],[2]PROYECTOS!$G$1:$L$32,6,0)</f>
        <v>SUBGERENCIA ESCENARIOS DEPORTIVOS Y EQUIPAMIENTOS</v>
      </c>
      <c r="D2071" s="47" t="str">
        <f>+IF(PAA_4[[#This Row],[UNIDAD DE CONTRATACION (formulado)]]="Subgerencia Administrativa y Financiera","FUNCIONAMIENTO","INVERSIÓN")</f>
        <v>INVERSIÓN</v>
      </c>
      <c r="E2071" s="48" t="str">
        <f>VLOOKUP(Q2071,[2]PROYECTOS!$G$1:$K$32,5,0)</f>
        <v>Mantenimiento, adecuación, mejoras de escenarios deportivos o equipamientos en el departamento de Antioquia</v>
      </c>
      <c r="F2071" s="48">
        <f>VLOOKUP(E2071,[2]PROYECTOS!$K$1:$M$32,3,0)</f>
        <v>2024003050075</v>
      </c>
      <c r="G2071" s="49" t="s">
        <v>1842</v>
      </c>
      <c r="H2071" s="49" t="str">
        <f>VLOOKUP(Q2071,[2]PROYECTOS!$V$1:$W$32,2,0)</f>
        <v>050070</v>
      </c>
      <c r="I2071" s="78">
        <v>194112389</v>
      </c>
      <c r="J2071" s="51" t="s">
        <v>2278</v>
      </c>
      <c r="K2071" s="47" t="str">
        <f t="shared" ca="1" si="644"/>
        <v>CONTRATADO</v>
      </c>
      <c r="L2071" s="47" t="s">
        <v>94</v>
      </c>
      <c r="M2071" s="47" t="s">
        <v>255</v>
      </c>
      <c r="N2071" s="52" t="s">
        <v>2265</v>
      </c>
      <c r="O2071" s="51" t="e">
        <f>VLOOKUP(N2071,[2]!RUBROS[#All],3,0)</f>
        <v>#REF!</v>
      </c>
      <c r="P2071" s="53" t="e">
        <f>VLOOKUP(N2071,[2]!RUBROS[#All],2,0)</f>
        <v>#REF!</v>
      </c>
      <c r="Q2071" s="47" t="str">
        <f t="shared" si="645"/>
        <v>75</v>
      </c>
      <c r="R2071" s="47" t="str">
        <f t="shared" si="646"/>
        <v>0-202029</v>
      </c>
      <c r="S2071" s="54">
        <v>6</v>
      </c>
      <c r="T2071" s="63" t="s">
        <v>46</v>
      </c>
      <c r="U2071" s="326" t="e">
        <f ca="1">_xlfn.XLOOKUP(PAA_4[[#This Row],[ITEM]],[2]Contrato!A:A,[2]Contrato!Q:Q,"",0)</f>
        <v>#NAME?</v>
      </c>
      <c r="V2071" s="47" t="s">
        <v>95</v>
      </c>
      <c r="W2071" s="47" t="s">
        <v>204</v>
      </c>
      <c r="X2071" s="47" t="s">
        <v>204</v>
      </c>
      <c r="Y2071" s="55" t="e">
        <f ca="1">_xlfn.XLOOKUP(PAA_4[[#This Row],[ITEM]],[2]Contrato!A:A,[2]Contrato!B:B,"",0)</f>
        <v>#NAME?</v>
      </c>
      <c r="Z2071" s="47" t="e">
        <f ca="1">_xlfn.XLOOKUP(PAA_4[[#This Row],[ITEM]],[2]Contrato!A:A,[2]Contrato!G:G,"",0)</f>
        <v>#NAME?</v>
      </c>
      <c r="AA2071" s="47" t="e">
        <f ca="1">_xlfn.XLOOKUP(PAA_4[[#This Row],[ITEM]],[2]Contrato!A:A,[2]Contrato!T:T,"",0)</f>
        <v>#NAME?</v>
      </c>
      <c r="AB2071" s="55" t="e">
        <f ca="1">+MAX(PAA_4[[#This Row],[Comprometido Contrato]],PAA_4[[#This Row],[Comprometido Bolsa]])</f>
        <v>#NAME?</v>
      </c>
      <c r="AC2071" s="55" t="str">
        <f t="shared" ca="1" si="647"/>
        <v/>
      </c>
      <c r="AD2071" s="55" t="e">
        <f ca="1">IF(PAA_4[[#This Row],[ESTADO (formulado)]]="NO CONTRATADO",0,MAX(PAA_4[[#This Row],[Pago por Contrato]],PAA_4[[#This Row],[Pago por bolsa]]))</f>
        <v>#NAME?</v>
      </c>
      <c r="AE2071" s="55" t="str">
        <f t="shared" ca="1" si="648"/>
        <v/>
      </c>
      <c r="AF2071" s="47" t="e">
        <f t="shared" ca="1" si="649"/>
        <v>#NAME?</v>
      </c>
      <c r="AG2071" s="47">
        <f t="shared" si="650"/>
        <v>52010902</v>
      </c>
      <c r="AH2071" s="54">
        <f>IF(Q2071="22",IF(ISNUMBER(SEARCH("econ",PAA_4[[#This Row],[Actividad3]])),"Económico",IF(ISNUMBER(SEARCH("alim",PAA_4[[#This Row],[Actividad3]])),"Alimentación",IF(ISNUMBER(SEARCH("educ",PAA_4[[#This Row],[Actividad3]])),"Educativo","Técnico"))),0)</f>
        <v>0</v>
      </c>
      <c r="AI2071" s="47" t="e" cm="1">
        <f t="array" aca="1" ref="AI2071" ca="1">_xlfn.XLOOKUP(PAA_4[[#This Row],[RCP-RUBRO]],[2]!COMPROMISOS_2024[[#All],[concatenado]],[2]!COMPROMISOS_2024[[#All],[Total pagado]],"",0)</f>
        <v>#NAME?</v>
      </c>
      <c r="AJ2071" s="56">
        <f>IF(PAA_4[[#This Row],[BOLSA]]=0,0,SUMIFS([2]!COMPROMISOS_2024[[#All],[Total pagado]],[2]!COMPROMISOS_2024[[#All],[Bolsa]],PAA_4[[#This Row],[BOLSA]],[2]!COMPROMISOS_2024[[#All],[rubro]],PAA_4[[#This Row],[RCP-RUBRO]]))</f>
        <v>0</v>
      </c>
      <c r="AK2071" s="47" t="e" cm="1">
        <f t="array" aca="1" ref="AK2071" ca="1">_xlfn.XLOOKUP(PAA_4[[#This Row],[RCP-RUBRO]],[2]!COMPROMISOS_2024[[#All],[concatenado]],[2]!COMPROMISOS_2024[[#All],[Total Comprometido]],"",0)</f>
        <v>#NAME?</v>
      </c>
      <c r="AL2071" s="47">
        <f>IF(PAA_4[[#This Row],[BOLSA]]=0,0,SUMIFS([2]!COMPROMISOS_2024[[#All],[Total Comprometido]],[2]!COMPROMISOS_2024[[#All],[Bolsa]],PAA_4[[#This Row],[BOLSA]],[2]!COMPROMISOS_2024[[#All],[concatenado]],PAA_4[[#This Row],[RCP-RUBRO]]))</f>
        <v>0</v>
      </c>
    </row>
    <row r="2072" spans="1:38" s="19" customFormat="1" ht="31.5" customHeight="1">
      <c r="A2072" s="47">
        <v>1278</v>
      </c>
      <c r="B2072" s="47">
        <v>72101500</v>
      </c>
      <c r="C2072" s="47" t="str">
        <f>VLOOKUP(PAA_4[[#This Row],[PROYECTO (formulado)2]],[2]PROYECTOS!$G$1:$L$32,6,0)</f>
        <v>SUBGERENCIA ESCENARIOS DEPORTIVOS Y EQUIPAMIENTOS</v>
      </c>
      <c r="D2072" s="47" t="str">
        <f>+IF(PAA_4[[#This Row],[UNIDAD DE CONTRATACION (formulado)]]="Subgerencia Administrativa y Financiera","FUNCIONAMIENTO","INVERSIÓN")</f>
        <v>INVERSIÓN</v>
      </c>
      <c r="E2072" s="48" t="str">
        <f>VLOOKUP(Q2072,[2]PROYECTOS!$G$1:$K$32,5,0)</f>
        <v>Mantenimiento, adecuación, mejoras de escenarios deportivos o equipamientos en el departamento de Antioquia</v>
      </c>
      <c r="F2072" s="48">
        <f>VLOOKUP(E2072,[2]PROYECTOS!$K$1:$M$32,3,0)</f>
        <v>2024003050075</v>
      </c>
      <c r="G2072" s="49" t="s">
        <v>1842</v>
      </c>
      <c r="H2072" s="49" t="str">
        <f>VLOOKUP(Q2072,[2]PROYECTOS!$V$1:$W$32,2,0)</f>
        <v>050070</v>
      </c>
      <c r="I2072" s="78">
        <v>147135072</v>
      </c>
      <c r="J2072" s="51" t="s">
        <v>2279</v>
      </c>
      <c r="K2072" s="47" t="str">
        <f t="shared" ca="1" si="644"/>
        <v>CONTRATADO</v>
      </c>
      <c r="L2072" s="47" t="s">
        <v>94</v>
      </c>
      <c r="M2072" s="47" t="s">
        <v>255</v>
      </c>
      <c r="N2072" s="52" t="s">
        <v>2265</v>
      </c>
      <c r="O2072" s="51" t="e">
        <f>VLOOKUP(N2072,[2]!RUBROS[#All],3,0)</f>
        <v>#REF!</v>
      </c>
      <c r="P2072" s="53" t="e">
        <f>VLOOKUP(N2072,[2]!RUBROS[#All],2,0)</f>
        <v>#REF!</v>
      </c>
      <c r="Q2072" s="47" t="str">
        <f t="shared" si="645"/>
        <v>75</v>
      </c>
      <c r="R2072" s="47" t="str">
        <f t="shared" si="646"/>
        <v>0-202029</v>
      </c>
      <c r="S2072" s="54">
        <v>7</v>
      </c>
      <c r="T2072" s="63" t="s">
        <v>46</v>
      </c>
      <c r="U2072" s="326" t="e">
        <f ca="1">_xlfn.XLOOKUP(PAA_4[[#This Row],[ITEM]],[2]Contrato!A:A,[2]Contrato!Q:Q,"",0)</f>
        <v>#NAME?</v>
      </c>
      <c r="V2072" s="47" t="s">
        <v>95</v>
      </c>
      <c r="W2072" s="47" t="s">
        <v>204</v>
      </c>
      <c r="X2072" s="47" t="s">
        <v>204</v>
      </c>
      <c r="Y2072" s="55" t="e">
        <f ca="1">_xlfn.XLOOKUP(PAA_4[[#This Row],[ITEM]],[2]Contrato!A:A,[2]Contrato!B:B,"",0)</f>
        <v>#NAME?</v>
      </c>
      <c r="Z2072" s="47" t="e">
        <f ca="1">_xlfn.XLOOKUP(PAA_4[[#This Row],[ITEM]],[2]Contrato!A:A,[2]Contrato!G:G,"",0)</f>
        <v>#NAME?</v>
      </c>
      <c r="AA2072" s="47" t="e">
        <f ca="1">_xlfn.XLOOKUP(PAA_4[[#This Row],[ITEM]],[2]Contrato!A:A,[2]Contrato!T:T,"",0)</f>
        <v>#NAME?</v>
      </c>
      <c r="AB2072" s="55" t="e">
        <f ca="1">+MAX(PAA_4[[#This Row],[Comprometido Contrato]],PAA_4[[#This Row],[Comprometido Bolsa]])</f>
        <v>#NAME?</v>
      </c>
      <c r="AC2072" s="55" t="str">
        <f t="shared" ca="1" si="647"/>
        <v/>
      </c>
      <c r="AD2072" s="55" t="e">
        <f ca="1">IF(PAA_4[[#This Row],[ESTADO (formulado)]]="NO CONTRATADO",0,MAX(PAA_4[[#This Row],[Pago por Contrato]],PAA_4[[#This Row],[Pago por bolsa]]))</f>
        <v>#NAME?</v>
      </c>
      <c r="AE2072" s="55" t="str">
        <f t="shared" ca="1" si="648"/>
        <v/>
      </c>
      <c r="AF2072" s="47" t="e">
        <f t="shared" ca="1" si="649"/>
        <v>#NAME?</v>
      </c>
      <c r="AG2072" s="47">
        <f t="shared" si="650"/>
        <v>52010902</v>
      </c>
      <c r="AH2072" s="54">
        <f>IF(Q2072="22",IF(ISNUMBER(SEARCH("econ",PAA_4[[#This Row],[Actividad3]])),"Económico",IF(ISNUMBER(SEARCH("alim",PAA_4[[#This Row],[Actividad3]])),"Alimentación",IF(ISNUMBER(SEARCH("educ",PAA_4[[#This Row],[Actividad3]])),"Educativo","Técnico"))),0)</f>
        <v>0</v>
      </c>
      <c r="AI2072" s="47" t="e" cm="1">
        <f t="array" aca="1" ref="AI2072" ca="1">_xlfn.XLOOKUP(PAA_4[[#This Row],[RCP-RUBRO]],[2]!COMPROMISOS_2024[[#All],[concatenado]],[2]!COMPROMISOS_2024[[#All],[Total pagado]],"",0)</f>
        <v>#NAME?</v>
      </c>
      <c r="AJ2072" s="56">
        <f>IF(PAA_4[[#This Row],[BOLSA]]=0,0,SUMIFS([2]!COMPROMISOS_2024[[#All],[Total pagado]],[2]!COMPROMISOS_2024[[#All],[Bolsa]],PAA_4[[#This Row],[BOLSA]],[2]!COMPROMISOS_2024[[#All],[rubro]],PAA_4[[#This Row],[RCP-RUBRO]]))</f>
        <v>0</v>
      </c>
      <c r="AK2072" s="47" t="e" cm="1">
        <f t="array" aca="1" ref="AK2072" ca="1">_xlfn.XLOOKUP(PAA_4[[#This Row],[RCP-RUBRO]],[2]!COMPROMISOS_2024[[#All],[concatenado]],[2]!COMPROMISOS_2024[[#All],[Total Comprometido]],"",0)</f>
        <v>#NAME?</v>
      </c>
      <c r="AL2072" s="47">
        <f>IF(PAA_4[[#This Row],[BOLSA]]=0,0,SUMIFS([2]!COMPROMISOS_2024[[#All],[Total Comprometido]],[2]!COMPROMISOS_2024[[#All],[Bolsa]],PAA_4[[#This Row],[BOLSA]],[2]!COMPROMISOS_2024[[#All],[concatenado]],PAA_4[[#This Row],[RCP-RUBRO]]))</f>
        <v>0</v>
      </c>
    </row>
    <row r="2073" spans="1:38" s="19" customFormat="1" ht="31.5" customHeight="1">
      <c r="A2073" s="47">
        <v>1279</v>
      </c>
      <c r="B2073" s="47">
        <v>72101500</v>
      </c>
      <c r="C2073" s="47" t="str">
        <f>VLOOKUP(PAA_4[[#This Row],[PROYECTO (formulado)2]],[2]PROYECTOS!$G$1:$L$32,6,0)</f>
        <v>SUBGERENCIA ESCENARIOS DEPORTIVOS Y EQUIPAMIENTOS</v>
      </c>
      <c r="D2073" s="47" t="str">
        <f>+IF(PAA_4[[#This Row],[UNIDAD DE CONTRATACION (formulado)]]="Subgerencia Administrativa y Financiera","FUNCIONAMIENTO","INVERSIÓN")</f>
        <v>INVERSIÓN</v>
      </c>
      <c r="E2073" s="48" t="str">
        <f>VLOOKUP(Q2073,[2]PROYECTOS!$G$1:$K$32,5,0)</f>
        <v>Mantenimiento, adecuación, mejoras de escenarios deportivos o equipamientos en el departamento de Antioquia</v>
      </c>
      <c r="F2073" s="48">
        <f>VLOOKUP(E2073,[2]PROYECTOS!$K$1:$M$32,3,0)</f>
        <v>2024003050075</v>
      </c>
      <c r="G2073" s="49" t="s">
        <v>1842</v>
      </c>
      <c r="H2073" s="49" t="str">
        <f>VLOOKUP(Q2073,[2]PROYECTOS!$V$1:$W$32,2,0)</f>
        <v>050070</v>
      </c>
      <c r="I2073" s="78">
        <v>337151589</v>
      </c>
      <c r="J2073" s="51" t="s">
        <v>2280</v>
      </c>
      <c r="K2073" s="47" t="str">
        <f t="shared" ca="1" si="644"/>
        <v>CONTRATADO</v>
      </c>
      <c r="L2073" s="47" t="s">
        <v>94</v>
      </c>
      <c r="M2073" s="47" t="s">
        <v>255</v>
      </c>
      <c r="N2073" s="52" t="s">
        <v>2265</v>
      </c>
      <c r="O2073" s="51" t="e">
        <f>VLOOKUP(N2073,[2]!RUBROS[#All],3,0)</f>
        <v>#REF!</v>
      </c>
      <c r="P2073" s="53" t="e">
        <f>VLOOKUP(N2073,[2]!RUBROS[#All],2,0)</f>
        <v>#REF!</v>
      </c>
      <c r="Q2073" s="47" t="str">
        <f t="shared" si="645"/>
        <v>75</v>
      </c>
      <c r="R2073" s="47" t="str">
        <f t="shared" si="646"/>
        <v>0-202029</v>
      </c>
      <c r="S2073" s="54">
        <v>6</v>
      </c>
      <c r="T2073" s="63" t="s">
        <v>46</v>
      </c>
      <c r="U2073" s="326" t="e">
        <f ca="1">_xlfn.XLOOKUP(PAA_4[[#This Row],[ITEM]],[2]Contrato!A:A,[2]Contrato!Q:Q,"",0)</f>
        <v>#NAME?</v>
      </c>
      <c r="V2073" s="47" t="s">
        <v>95</v>
      </c>
      <c r="W2073" s="47" t="s">
        <v>204</v>
      </c>
      <c r="X2073" s="47" t="s">
        <v>204</v>
      </c>
      <c r="Y2073" s="55" t="e">
        <f ca="1">_xlfn.XLOOKUP(PAA_4[[#This Row],[ITEM]],[2]Contrato!A:A,[2]Contrato!B:B,"",0)</f>
        <v>#NAME?</v>
      </c>
      <c r="Z2073" s="47" t="e">
        <f ca="1">_xlfn.XLOOKUP(PAA_4[[#This Row],[ITEM]],[2]Contrato!A:A,[2]Contrato!G:G,"",0)</f>
        <v>#NAME?</v>
      </c>
      <c r="AA2073" s="47" t="e">
        <f ca="1">_xlfn.XLOOKUP(PAA_4[[#This Row],[ITEM]],[2]Contrato!A:A,[2]Contrato!T:T,"",0)</f>
        <v>#NAME?</v>
      </c>
      <c r="AB2073" s="55" t="e">
        <f ca="1">+MAX(PAA_4[[#This Row],[Comprometido Contrato]],PAA_4[[#This Row],[Comprometido Bolsa]])</f>
        <v>#NAME?</v>
      </c>
      <c r="AC2073" s="55" t="str">
        <f t="shared" ca="1" si="647"/>
        <v/>
      </c>
      <c r="AD2073" s="55" t="e">
        <f ca="1">IF(PAA_4[[#This Row],[ESTADO (formulado)]]="NO CONTRATADO",0,MAX(PAA_4[[#This Row],[Pago por Contrato]],PAA_4[[#This Row],[Pago por bolsa]]))</f>
        <v>#NAME?</v>
      </c>
      <c r="AE2073" s="55" t="str">
        <f t="shared" ca="1" si="648"/>
        <v/>
      </c>
      <c r="AF2073" s="47" t="e">
        <f t="shared" ca="1" si="649"/>
        <v>#NAME?</v>
      </c>
      <c r="AG2073" s="47">
        <f t="shared" si="650"/>
        <v>52010902</v>
      </c>
      <c r="AH2073" s="54">
        <f>IF(Q2073="22",IF(ISNUMBER(SEARCH("econ",PAA_4[[#This Row],[Actividad3]])),"Económico",IF(ISNUMBER(SEARCH("alim",PAA_4[[#This Row],[Actividad3]])),"Alimentación",IF(ISNUMBER(SEARCH("educ",PAA_4[[#This Row],[Actividad3]])),"Educativo","Técnico"))),0)</f>
        <v>0</v>
      </c>
      <c r="AI2073" s="47" t="e" cm="1">
        <f t="array" aca="1" ref="AI2073" ca="1">_xlfn.XLOOKUP(PAA_4[[#This Row],[RCP-RUBRO]],[2]!COMPROMISOS_2024[[#All],[concatenado]],[2]!COMPROMISOS_2024[[#All],[Total pagado]],"",0)</f>
        <v>#NAME?</v>
      </c>
      <c r="AJ2073" s="56">
        <f>IF(PAA_4[[#This Row],[BOLSA]]=0,0,SUMIFS([2]!COMPROMISOS_2024[[#All],[Total pagado]],[2]!COMPROMISOS_2024[[#All],[Bolsa]],PAA_4[[#This Row],[BOLSA]],[2]!COMPROMISOS_2024[[#All],[rubro]],PAA_4[[#This Row],[RCP-RUBRO]]))</f>
        <v>0</v>
      </c>
      <c r="AK2073" s="47" t="e" cm="1">
        <f t="array" aca="1" ref="AK2073" ca="1">_xlfn.XLOOKUP(PAA_4[[#This Row],[RCP-RUBRO]],[2]!COMPROMISOS_2024[[#All],[concatenado]],[2]!COMPROMISOS_2024[[#All],[Total Comprometido]],"",0)</f>
        <v>#NAME?</v>
      </c>
      <c r="AL2073" s="47">
        <f>IF(PAA_4[[#This Row],[BOLSA]]=0,0,SUMIFS([2]!COMPROMISOS_2024[[#All],[Total Comprometido]],[2]!COMPROMISOS_2024[[#All],[Bolsa]],PAA_4[[#This Row],[BOLSA]],[2]!COMPROMISOS_2024[[#All],[concatenado]],PAA_4[[#This Row],[RCP-RUBRO]]))</f>
        <v>0</v>
      </c>
    </row>
    <row r="2074" spans="1:38" s="19" customFormat="1" ht="31.5" customHeight="1">
      <c r="A2074" s="47">
        <v>1280</v>
      </c>
      <c r="B2074" s="47">
        <v>72101500</v>
      </c>
      <c r="C2074" s="47" t="str">
        <f>VLOOKUP(PAA_4[[#This Row],[PROYECTO (formulado)2]],[2]PROYECTOS!$G$1:$L$32,6,0)</f>
        <v>SUBGERENCIA ESCENARIOS DEPORTIVOS Y EQUIPAMIENTOS</v>
      </c>
      <c r="D2074" s="47" t="str">
        <f>+IF(PAA_4[[#This Row],[UNIDAD DE CONTRATACION (formulado)]]="Subgerencia Administrativa y Financiera","FUNCIONAMIENTO","INVERSIÓN")</f>
        <v>INVERSIÓN</v>
      </c>
      <c r="E2074" s="48" t="str">
        <f>VLOOKUP(Q2074,[2]PROYECTOS!$G$1:$K$32,5,0)</f>
        <v>Mantenimiento, adecuación, mejoras de escenarios deportivos o equipamientos en el departamento de Antioquia</v>
      </c>
      <c r="F2074" s="48">
        <f>VLOOKUP(E2074,[2]PROYECTOS!$K$1:$M$32,3,0)</f>
        <v>2024003050075</v>
      </c>
      <c r="G2074" s="49" t="s">
        <v>1842</v>
      </c>
      <c r="H2074" s="49" t="str">
        <f>VLOOKUP(Q2074,[2]PROYECTOS!$V$1:$W$32,2,0)</f>
        <v>050070</v>
      </c>
      <c r="I2074" s="78">
        <v>336598781</v>
      </c>
      <c r="J2074" s="51" t="s">
        <v>2281</v>
      </c>
      <c r="K2074" s="47" t="str">
        <f t="shared" ca="1" si="644"/>
        <v>CONTRATADO</v>
      </c>
      <c r="L2074" s="47" t="s">
        <v>94</v>
      </c>
      <c r="M2074" s="47" t="s">
        <v>255</v>
      </c>
      <c r="N2074" s="52" t="s">
        <v>2265</v>
      </c>
      <c r="O2074" s="51" t="e">
        <f>VLOOKUP(N2074,[2]!RUBROS[#All],3,0)</f>
        <v>#REF!</v>
      </c>
      <c r="P2074" s="53" t="e">
        <f>VLOOKUP(N2074,[2]!RUBROS[#All],2,0)</f>
        <v>#REF!</v>
      </c>
      <c r="Q2074" s="47" t="str">
        <f t="shared" si="645"/>
        <v>75</v>
      </c>
      <c r="R2074" s="47" t="str">
        <f t="shared" si="646"/>
        <v>0-202029</v>
      </c>
      <c r="S2074" s="54">
        <v>7</v>
      </c>
      <c r="T2074" s="63" t="s">
        <v>46</v>
      </c>
      <c r="U2074" s="326" t="e">
        <f ca="1">_xlfn.XLOOKUP(PAA_4[[#This Row],[ITEM]],[2]Contrato!A:A,[2]Contrato!Q:Q,"",0)</f>
        <v>#NAME?</v>
      </c>
      <c r="V2074" s="47" t="s">
        <v>95</v>
      </c>
      <c r="W2074" s="47" t="s">
        <v>204</v>
      </c>
      <c r="X2074" s="47" t="s">
        <v>204</v>
      </c>
      <c r="Y2074" s="55" t="e">
        <f ca="1">_xlfn.XLOOKUP(PAA_4[[#This Row],[ITEM]],[2]Contrato!A:A,[2]Contrato!B:B,"",0)</f>
        <v>#NAME?</v>
      </c>
      <c r="Z2074" s="47" t="e">
        <f ca="1">_xlfn.XLOOKUP(PAA_4[[#This Row],[ITEM]],[2]Contrato!A:A,[2]Contrato!G:G,"",0)</f>
        <v>#NAME?</v>
      </c>
      <c r="AA2074" s="47" t="e">
        <f ca="1">_xlfn.XLOOKUP(PAA_4[[#This Row],[ITEM]],[2]Contrato!A:A,[2]Contrato!T:T,"",0)</f>
        <v>#NAME?</v>
      </c>
      <c r="AB2074" s="55" t="e">
        <f ca="1">+MAX(PAA_4[[#This Row],[Comprometido Contrato]],PAA_4[[#This Row],[Comprometido Bolsa]])</f>
        <v>#NAME?</v>
      </c>
      <c r="AC2074" s="55" t="str">
        <f t="shared" ca="1" si="647"/>
        <v/>
      </c>
      <c r="AD2074" s="55" t="e">
        <f ca="1">IF(PAA_4[[#This Row],[ESTADO (formulado)]]="NO CONTRATADO",0,MAX(PAA_4[[#This Row],[Pago por Contrato]],PAA_4[[#This Row],[Pago por bolsa]]))</f>
        <v>#NAME?</v>
      </c>
      <c r="AE2074" s="55" t="str">
        <f t="shared" ca="1" si="648"/>
        <v/>
      </c>
      <c r="AF2074" s="47" t="e">
        <f t="shared" ca="1" si="649"/>
        <v>#NAME?</v>
      </c>
      <c r="AG2074" s="47">
        <f t="shared" si="650"/>
        <v>52010902</v>
      </c>
      <c r="AH2074" s="54">
        <f>IF(Q2074="22",IF(ISNUMBER(SEARCH("econ",PAA_4[[#This Row],[Actividad3]])),"Económico",IF(ISNUMBER(SEARCH("alim",PAA_4[[#This Row],[Actividad3]])),"Alimentación",IF(ISNUMBER(SEARCH("educ",PAA_4[[#This Row],[Actividad3]])),"Educativo","Técnico"))),0)</f>
        <v>0</v>
      </c>
      <c r="AI2074" s="47" t="e" cm="1">
        <f t="array" aca="1" ref="AI2074" ca="1">_xlfn.XLOOKUP(PAA_4[[#This Row],[RCP-RUBRO]],[2]!COMPROMISOS_2024[[#All],[concatenado]],[2]!COMPROMISOS_2024[[#All],[Total pagado]],"",0)</f>
        <v>#NAME?</v>
      </c>
      <c r="AJ2074" s="56">
        <f>IF(PAA_4[[#This Row],[BOLSA]]=0,0,SUMIFS([2]!COMPROMISOS_2024[[#All],[Total pagado]],[2]!COMPROMISOS_2024[[#All],[Bolsa]],PAA_4[[#This Row],[BOLSA]],[2]!COMPROMISOS_2024[[#All],[rubro]],PAA_4[[#This Row],[RCP-RUBRO]]))</f>
        <v>0</v>
      </c>
      <c r="AK2074" s="47" t="e" cm="1">
        <f t="array" aca="1" ref="AK2074" ca="1">_xlfn.XLOOKUP(PAA_4[[#This Row],[RCP-RUBRO]],[2]!COMPROMISOS_2024[[#All],[concatenado]],[2]!COMPROMISOS_2024[[#All],[Total Comprometido]],"",0)</f>
        <v>#NAME?</v>
      </c>
      <c r="AL2074" s="47">
        <f>IF(PAA_4[[#This Row],[BOLSA]]=0,0,SUMIFS([2]!COMPROMISOS_2024[[#All],[Total Comprometido]],[2]!COMPROMISOS_2024[[#All],[Bolsa]],PAA_4[[#This Row],[BOLSA]],[2]!COMPROMISOS_2024[[#All],[concatenado]],PAA_4[[#This Row],[RCP-RUBRO]]))</f>
        <v>0</v>
      </c>
    </row>
    <row r="2075" spans="1:38" s="19" customFormat="1" ht="31.5" customHeight="1">
      <c r="A2075" s="47" t="s">
        <v>82</v>
      </c>
      <c r="B2075" s="47" t="s">
        <v>42</v>
      </c>
      <c r="C2075" s="47" t="str">
        <f>VLOOKUP(PAA_4[[#This Row],[PROYECTO (formulado)2]],[2]PROYECTOS!$G$1:$L$32,6,0)</f>
        <v>SUBGERENCIA ESCENARIOS DEPORTIVOS Y EQUIPAMIENTOS</v>
      </c>
      <c r="D2075" s="47" t="str">
        <f>+IF(PAA_4[[#This Row],[UNIDAD DE CONTRATACION (formulado)]]="Subgerencia Administrativa y Financiera","FUNCIONAMIENTO","INVERSIÓN")</f>
        <v>INVERSIÓN</v>
      </c>
      <c r="E2075" s="48" t="str">
        <f>VLOOKUP(Q2075,[2]PROYECTOS!$G$1:$K$32,5,0)</f>
        <v>Mantenimiento, adecuación, mejoras de escenarios deportivos o equipamientos en el departamento de Antioquia</v>
      </c>
      <c r="F2075" s="48">
        <f>VLOOKUP(E2075,[2]PROYECTOS!$K$1:$M$32,3,0)</f>
        <v>2024003050075</v>
      </c>
      <c r="G2075" s="49" t="s">
        <v>1842</v>
      </c>
      <c r="H2075" s="49" t="str">
        <f>VLOOKUP(Q2075,[2]PROYECTOS!$V$1:$W$32,2,0)</f>
        <v>050070</v>
      </c>
      <c r="I2075" s="78">
        <v>62584</v>
      </c>
      <c r="J2075" s="51" t="s">
        <v>1809</v>
      </c>
      <c r="K2075" s="47" t="str">
        <f ca="1">IF(ISNONTEXT(Y2075)=TRUE,"CONTRATADO","NO CONTRATADO")</f>
        <v>CONTRATADO</v>
      </c>
      <c r="L2075" s="52" t="s">
        <v>42</v>
      </c>
      <c r="M2075" s="51" t="s">
        <v>42</v>
      </c>
      <c r="N2075" s="52" t="s">
        <v>2265</v>
      </c>
      <c r="O2075" s="51" t="e">
        <f>VLOOKUP(N2075,[2]!RUBROS[#All],3,0)</f>
        <v>#REF!</v>
      </c>
      <c r="P2075" s="53" t="e">
        <f>VLOOKUP(N2075,[2]!RUBROS[#All],2,0)</f>
        <v>#REF!</v>
      </c>
      <c r="Q2075" s="47" t="str">
        <f>+MID(N2075,11,2)</f>
        <v>75</v>
      </c>
      <c r="R2075" s="47" t="str">
        <f>+MID(N2075,14,8)</f>
        <v>0-202029</v>
      </c>
      <c r="S2075" s="54" t="s">
        <v>42</v>
      </c>
      <c r="T2075" s="54" t="s">
        <v>42</v>
      </c>
      <c r="U2075" s="326" t="e">
        <f ca="1">_xlfn.XLOOKUP(PAA_4[[#This Row],[ITEM]],[2]Contrato!A:A,[2]Contrato!Q:Q,"",0)</f>
        <v>#NAME?</v>
      </c>
      <c r="V2075" s="47" t="s">
        <v>42</v>
      </c>
      <c r="W2075" s="47" t="s">
        <v>42</v>
      </c>
      <c r="X2075" s="47" t="s">
        <v>42</v>
      </c>
      <c r="Y2075" s="55" t="e">
        <f ca="1">_xlfn.XLOOKUP(PAA_4[[#This Row],[ITEM]],[2]Contrato!A:A,[2]Contrato!B:B,"",0)</f>
        <v>#NAME?</v>
      </c>
      <c r="Z2075" s="47" t="e">
        <f ca="1">_xlfn.XLOOKUP(PAA_4[[#This Row],[ITEM]],[2]Contrato!A:A,[2]Contrato!G:G,"",0)</f>
        <v>#NAME?</v>
      </c>
      <c r="AA2075" s="47" t="e">
        <f ca="1">_xlfn.XLOOKUP(PAA_4[[#This Row],[ITEM]],[2]Contrato!A:A,[2]Contrato!T:T,"",0)</f>
        <v>#NAME?</v>
      </c>
      <c r="AB2075" s="55" t="e">
        <f ca="1">+MAX(PAA_4[[#This Row],[Comprometido Contrato]],PAA_4[[#This Row],[Comprometido Bolsa]])</f>
        <v>#NAME?</v>
      </c>
      <c r="AC2075" s="55" t="str">
        <f ca="1">IFERROR(I2075-AB2075,"")</f>
        <v/>
      </c>
      <c r="AD2075" s="55" t="e">
        <f ca="1">IF(PAA_4[[#This Row],[ESTADO (formulado)]]="NO CONTRATADO",0,MAX(PAA_4[[#This Row],[Pago por Contrato]],PAA_4[[#This Row],[Pago por bolsa]]))</f>
        <v>#NAME?</v>
      </c>
      <c r="AE2075" s="55" t="str">
        <f ca="1">+IFERROR(AB2075-AD2075,"")</f>
        <v/>
      </c>
      <c r="AF2075" s="47" t="e">
        <f ca="1">+CONCATENATE(AA2075,N2075)</f>
        <v>#NAME?</v>
      </c>
      <c r="AG2075" s="47">
        <f>IFERROR(_xlfn.NUMBERVALUE(MID(G2075,1,8)),"")</f>
        <v>52010902</v>
      </c>
      <c r="AH2075" s="54">
        <f>IF(Q2075="22",IF(ISNUMBER(SEARCH("econ",PAA_4[[#This Row],[Actividad3]])),"Económico",IF(ISNUMBER(SEARCH("alim",PAA_4[[#This Row],[Actividad3]])),"Alimentación",IF(ISNUMBER(SEARCH("educ",PAA_4[[#This Row],[Actividad3]])),"Educativo","Técnico"))),0)</f>
        <v>0</v>
      </c>
      <c r="AI2075" s="47" t="e" cm="1">
        <f t="array" aca="1" ref="AI2075" ca="1">_xlfn.XLOOKUP(PAA_4[[#This Row],[RCP-RUBRO]],[2]!COMPROMISOS_2024[[#All],[concatenado]],[2]!COMPROMISOS_2024[[#All],[Total pagado]],"",0)</f>
        <v>#NAME?</v>
      </c>
      <c r="AJ2075" s="56">
        <f>IF(PAA_4[[#This Row],[BOLSA]]=0,0,SUMIFS([2]!COMPROMISOS_2024[[#All],[Total pagado]],[2]!COMPROMISOS_2024[[#All],[Bolsa]],PAA_4[[#This Row],[BOLSA]],[2]!COMPROMISOS_2024[[#All],[rubro]],PAA_4[[#This Row],[RCP-RUBRO]]))</f>
        <v>0</v>
      </c>
      <c r="AK2075" s="47" t="e" cm="1">
        <f t="array" aca="1" ref="AK2075" ca="1">_xlfn.XLOOKUP(PAA_4[[#This Row],[RCP-RUBRO]],[2]!COMPROMISOS_2024[[#All],[concatenado]],[2]!COMPROMISOS_2024[[#All],[Total Comprometido]],"",0)</f>
        <v>#NAME?</v>
      </c>
      <c r="AL2075" s="47">
        <f>IF(PAA_4[[#This Row],[BOLSA]]=0,0,SUMIFS([2]!COMPROMISOS_2024[[#All],[Total Comprometido]],[2]!COMPROMISOS_2024[[#All],[Bolsa]],PAA_4[[#This Row],[BOLSA]],[2]!COMPROMISOS_2024[[#All],[concatenado]],PAA_4[[#This Row],[RCP-RUBRO]]))</f>
        <v>0</v>
      </c>
    </row>
    <row r="2076" spans="1:38" s="19" customFormat="1" ht="31.5" customHeight="1">
      <c r="A2076" s="47">
        <v>1281</v>
      </c>
      <c r="B2076" s="47">
        <v>72101500</v>
      </c>
      <c r="C2076" s="47" t="str">
        <f>VLOOKUP(PAA_4[[#This Row],[PROYECTO (formulado)2]],[2]PROYECTOS!$G$1:$L$32,6,0)</f>
        <v>SUBGERENCIA ESCENARIOS DEPORTIVOS Y EQUIPAMIENTOS</v>
      </c>
      <c r="D2076" s="47" t="str">
        <f>+IF(PAA_4[[#This Row],[UNIDAD DE CONTRATACION (formulado)]]="Subgerencia Administrativa y Financiera","FUNCIONAMIENTO","INVERSIÓN")</f>
        <v>INVERSIÓN</v>
      </c>
      <c r="E2076" s="48" t="str">
        <f>VLOOKUP(Q2076,[2]PROYECTOS!$G$1:$K$32,5,0)</f>
        <v>Mantenimiento, adecuación, mejoras de escenarios deportivos o equipamientos en el departamento de Antioquia</v>
      </c>
      <c r="F2076" s="48">
        <f>VLOOKUP(E2076,[2]PROYECTOS!$K$1:$M$32,3,0)</f>
        <v>2024003050075</v>
      </c>
      <c r="G2076" s="49" t="s">
        <v>1842</v>
      </c>
      <c r="H2076" s="49" t="str">
        <f>VLOOKUP(Q2076,[2]PROYECTOS!$V$1:$W$32,2,0)</f>
        <v>050070</v>
      </c>
      <c r="I2076" s="78">
        <f>66924662-62584</f>
        <v>66862078</v>
      </c>
      <c r="J2076" s="51" t="s">
        <v>2282</v>
      </c>
      <c r="K2076" s="47" t="str">
        <f t="shared" ref="K2076:K2086" ca="1" si="651">IF(ISNONTEXT(Y2076)=TRUE,"CONTRATADO","NO CONTRATADO")</f>
        <v>CONTRATADO</v>
      </c>
      <c r="L2076" s="47" t="s">
        <v>94</v>
      </c>
      <c r="M2076" s="47" t="s">
        <v>255</v>
      </c>
      <c r="N2076" s="52" t="s">
        <v>2265</v>
      </c>
      <c r="O2076" s="51" t="e">
        <f>VLOOKUP(N2076,[2]!RUBROS[#All],3,0)</f>
        <v>#REF!</v>
      </c>
      <c r="P2076" s="53" t="e">
        <f>VLOOKUP(N2076,[2]!RUBROS[#All],2,0)</f>
        <v>#REF!</v>
      </c>
      <c r="Q2076" s="47" t="str">
        <f t="shared" ref="Q2076:Q2086" si="652">+MID(N2076,11,2)</f>
        <v>75</v>
      </c>
      <c r="R2076" s="47" t="str">
        <f t="shared" ref="R2076:R2086" si="653">+MID(N2076,14,8)</f>
        <v>0-202029</v>
      </c>
      <c r="S2076" s="54">
        <v>6</v>
      </c>
      <c r="T2076" s="63" t="s">
        <v>46</v>
      </c>
      <c r="U2076" s="326" t="e">
        <f ca="1">_xlfn.XLOOKUP(PAA_4[[#This Row],[ITEM]],[2]Contrato!A:A,[2]Contrato!Q:Q,"",0)</f>
        <v>#NAME?</v>
      </c>
      <c r="V2076" s="47" t="s">
        <v>95</v>
      </c>
      <c r="W2076" s="47" t="s">
        <v>204</v>
      </c>
      <c r="X2076" s="47" t="s">
        <v>204</v>
      </c>
      <c r="Y2076" s="55" t="e">
        <f ca="1">_xlfn.XLOOKUP(PAA_4[[#This Row],[ITEM]],[2]Contrato!A:A,[2]Contrato!B:B,"",0)</f>
        <v>#NAME?</v>
      </c>
      <c r="Z2076" s="47" t="e">
        <f ca="1">_xlfn.XLOOKUP(PAA_4[[#This Row],[ITEM]],[2]Contrato!A:A,[2]Contrato!G:G,"",0)</f>
        <v>#NAME?</v>
      </c>
      <c r="AA2076" s="47" t="e">
        <f ca="1">_xlfn.XLOOKUP(PAA_4[[#This Row],[ITEM]],[2]Contrato!A:A,[2]Contrato!T:T,"",0)</f>
        <v>#NAME?</v>
      </c>
      <c r="AB2076" s="55" t="e">
        <f ca="1">+MAX(PAA_4[[#This Row],[Comprometido Contrato]],PAA_4[[#This Row],[Comprometido Bolsa]])</f>
        <v>#NAME?</v>
      </c>
      <c r="AC2076" s="55" t="str">
        <f t="shared" ref="AC2076:AC2086" ca="1" si="654">IFERROR(I2076-AB2076,"")</f>
        <v/>
      </c>
      <c r="AD2076" s="55" t="e">
        <f ca="1">IF(PAA_4[[#This Row],[ESTADO (formulado)]]="NO CONTRATADO",0,MAX(PAA_4[[#This Row],[Pago por Contrato]],PAA_4[[#This Row],[Pago por bolsa]]))</f>
        <v>#NAME?</v>
      </c>
      <c r="AE2076" s="55" t="str">
        <f t="shared" ref="AE2076:AE2086" ca="1" si="655">+IFERROR(AB2076-AD2076,"")</f>
        <v/>
      </c>
      <c r="AF2076" s="47" t="e">
        <f t="shared" ref="AF2076:AF2086" ca="1" si="656">+CONCATENATE(AA2076,N2076)</f>
        <v>#NAME?</v>
      </c>
      <c r="AG2076" s="47">
        <f t="shared" ref="AG2076:AG2086" si="657">IFERROR(_xlfn.NUMBERVALUE(MID(G2076,1,8)),"")</f>
        <v>52010902</v>
      </c>
      <c r="AH2076" s="54">
        <f>IF(Q2076="22",IF(ISNUMBER(SEARCH("econ",PAA_4[[#This Row],[Actividad3]])),"Económico",IF(ISNUMBER(SEARCH("alim",PAA_4[[#This Row],[Actividad3]])),"Alimentación",IF(ISNUMBER(SEARCH("educ",PAA_4[[#This Row],[Actividad3]])),"Educativo","Técnico"))),0)</f>
        <v>0</v>
      </c>
      <c r="AI2076" s="47" t="e" cm="1">
        <f t="array" aca="1" ref="AI2076" ca="1">_xlfn.XLOOKUP(PAA_4[[#This Row],[RCP-RUBRO]],[2]!COMPROMISOS_2024[[#All],[concatenado]],[2]!COMPROMISOS_2024[[#All],[Total pagado]],"",0)</f>
        <v>#NAME?</v>
      </c>
      <c r="AJ2076" s="56">
        <f>IF(PAA_4[[#This Row],[BOLSA]]=0,0,SUMIFS([2]!COMPROMISOS_2024[[#All],[Total pagado]],[2]!COMPROMISOS_2024[[#All],[Bolsa]],PAA_4[[#This Row],[BOLSA]],[2]!COMPROMISOS_2024[[#All],[rubro]],PAA_4[[#This Row],[RCP-RUBRO]]))</f>
        <v>0</v>
      </c>
      <c r="AK2076" s="47" t="e" cm="1">
        <f t="array" aca="1" ref="AK2076" ca="1">_xlfn.XLOOKUP(PAA_4[[#This Row],[RCP-RUBRO]],[2]!COMPROMISOS_2024[[#All],[concatenado]],[2]!COMPROMISOS_2024[[#All],[Total Comprometido]],"",0)</f>
        <v>#NAME?</v>
      </c>
      <c r="AL2076" s="47">
        <f>IF(PAA_4[[#This Row],[BOLSA]]=0,0,SUMIFS([2]!COMPROMISOS_2024[[#All],[Total Comprometido]],[2]!COMPROMISOS_2024[[#All],[Bolsa]],PAA_4[[#This Row],[BOLSA]],[2]!COMPROMISOS_2024[[#All],[concatenado]],PAA_4[[#This Row],[RCP-RUBRO]]))</f>
        <v>0</v>
      </c>
    </row>
    <row r="2077" spans="1:38" s="19" customFormat="1" ht="31.5" customHeight="1">
      <c r="A2077" s="47">
        <v>1282</v>
      </c>
      <c r="B2077" s="47">
        <v>72101500</v>
      </c>
      <c r="C2077" s="47" t="str">
        <f>VLOOKUP(PAA_4[[#This Row],[PROYECTO (formulado)2]],[2]PROYECTOS!$G$1:$L$32,6,0)</f>
        <v>SUBGERENCIA ESCENARIOS DEPORTIVOS Y EQUIPAMIENTOS</v>
      </c>
      <c r="D2077" s="47" t="str">
        <f>+IF(PAA_4[[#This Row],[UNIDAD DE CONTRATACION (formulado)]]="Subgerencia Administrativa y Financiera","FUNCIONAMIENTO","INVERSIÓN")</f>
        <v>INVERSIÓN</v>
      </c>
      <c r="E2077" s="48" t="str">
        <f>VLOOKUP(Q2077,[2]PROYECTOS!$G$1:$K$32,5,0)</f>
        <v>Mantenimiento, adecuación, mejoras de escenarios deportivos o equipamientos en el departamento de Antioquia</v>
      </c>
      <c r="F2077" s="48">
        <f>VLOOKUP(E2077,[2]PROYECTOS!$K$1:$M$32,3,0)</f>
        <v>2024003050075</v>
      </c>
      <c r="G2077" s="49" t="s">
        <v>1842</v>
      </c>
      <c r="H2077" s="49" t="str">
        <f>VLOOKUP(Q2077,[2]PROYECTOS!$V$1:$W$32,2,0)</f>
        <v>050070</v>
      </c>
      <c r="I2077" s="78">
        <v>93734589</v>
      </c>
      <c r="J2077" s="51" t="s">
        <v>2283</v>
      </c>
      <c r="K2077" s="47" t="str">
        <f t="shared" ca="1" si="651"/>
        <v>CONTRATADO</v>
      </c>
      <c r="L2077" s="47" t="s">
        <v>94</v>
      </c>
      <c r="M2077" s="47" t="s">
        <v>255</v>
      </c>
      <c r="N2077" s="52" t="s">
        <v>2265</v>
      </c>
      <c r="O2077" s="51" t="e">
        <f>VLOOKUP(N2077,[2]!RUBROS[#All],3,0)</f>
        <v>#REF!</v>
      </c>
      <c r="P2077" s="53" t="e">
        <f>VLOOKUP(N2077,[2]!RUBROS[#All],2,0)</f>
        <v>#REF!</v>
      </c>
      <c r="Q2077" s="47" t="str">
        <f t="shared" si="652"/>
        <v>75</v>
      </c>
      <c r="R2077" s="47" t="str">
        <f t="shared" si="653"/>
        <v>0-202029</v>
      </c>
      <c r="S2077" s="54">
        <v>6</v>
      </c>
      <c r="T2077" s="63" t="s">
        <v>46</v>
      </c>
      <c r="U2077" s="326" t="e">
        <f ca="1">_xlfn.XLOOKUP(PAA_4[[#This Row],[ITEM]],[2]Contrato!A:A,[2]Contrato!Q:Q,"",0)</f>
        <v>#NAME?</v>
      </c>
      <c r="V2077" s="47" t="s">
        <v>95</v>
      </c>
      <c r="W2077" s="47" t="s">
        <v>204</v>
      </c>
      <c r="X2077" s="47" t="s">
        <v>204</v>
      </c>
      <c r="Y2077" s="55" t="e">
        <f ca="1">_xlfn.XLOOKUP(PAA_4[[#This Row],[ITEM]],[2]Contrato!A:A,[2]Contrato!B:B,"",0)</f>
        <v>#NAME?</v>
      </c>
      <c r="Z2077" s="47" t="e">
        <f ca="1">_xlfn.XLOOKUP(PAA_4[[#This Row],[ITEM]],[2]Contrato!A:A,[2]Contrato!G:G,"",0)</f>
        <v>#NAME?</v>
      </c>
      <c r="AA2077" s="47" t="e">
        <f ca="1">_xlfn.XLOOKUP(PAA_4[[#This Row],[ITEM]],[2]Contrato!A:A,[2]Contrato!T:T,"",0)</f>
        <v>#NAME?</v>
      </c>
      <c r="AB2077" s="55" t="e">
        <f ca="1">+MAX(PAA_4[[#This Row],[Comprometido Contrato]],PAA_4[[#This Row],[Comprometido Bolsa]])</f>
        <v>#NAME?</v>
      </c>
      <c r="AC2077" s="55" t="str">
        <f t="shared" ca="1" si="654"/>
        <v/>
      </c>
      <c r="AD2077" s="55" t="e">
        <f ca="1">IF(PAA_4[[#This Row],[ESTADO (formulado)]]="NO CONTRATADO",0,MAX(PAA_4[[#This Row],[Pago por Contrato]],PAA_4[[#This Row],[Pago por bolsa]]))</f>
        <v>#NAME?</v>
      </c>
      <c r="AE2077" s="55" t="str">
        <f t="shared" ca="1" si="655"/>
        <v/>
      </c>
      <c r="AF2077" s="47" t="e">
        <f t="shared" ca="1" si="656"/>
        <v>#NAME?</v>
      </c>
      <c r="AG2077" s="47">
        <f t="shared" si="657"/>
        <v>52010902</v>
      </c>
      <c r="AH2077" s="54">
        <f>IF(Q2077="22",IF(ISNUMBER(SEARCH("econ",PAA_4[[#This Row],[Actividad3]])),"Económico",IF(ISNUMBER(SEARCH("alim",PAA_4[[#This Row],[Actividad3]])),"Alimentación",IF(ISNUMBER(SEARCH("educ",PAA_4[[#This Row],[Actividad3]])),"Educativo","Técnico"))),0)</f>
        <v>0</v>
      </c>
      <c r="AI2077" s="47" t="e" cm="1">
        <f t="array" aca="1" ref="AI2077" ca="1">_xlfn.XLOOKUP(PAA_4[[#This Row],[RCP-RUBRO]],[2]!COMPROMISOS_2024[[#All],[concatenado]],[2]!COMPROMISOS_2024[[#All],[Total pagado]],"",0)</f>
        <v>#NAME?</v>
      </c>
      <c r="AJ2077" s="56">
        <f>IF(PAA_4[[#This Row],[BOLSA]]=0,0,SUMIFS([2]!COMPROMISOS_2024[[#All],[Total pagado]],[2]!COMPROMISOS_2024[[#All],[Bolsa]],PAA_4[[#This Row],[BOLSA]],[2]!COMPROMISOS_2024[[#All],[rubro]],PAA_4[[#This Row],[RCP-RUBRO]]))</f>
        <v>0</v>
      </c>
      <c r="AK2077" s="47" t="e" cm="1">
        <f t="array" aca="1" ref="AK2077" ca="1">_xlfn.XLOOKUP(PAA_4[[#This Row],[RCP-RUBRO]],[2]!COMPROMISOS_2024[[#All],[concatenado]],[2]!COMPROMISOS_2024[[#All],[Total Comprometido]],"",0)</f>
        <v>#NAME?</v>
      </c>
      <c r="AL2077" s="47">
        <f>IF(PAA_4[[#This Row],[BOLSA]]=0,0,SUMIFS([2]!COMPROMISOS_2024[[#All],[Total Comprometido]],[2]!COMPROMISOS_2024[[#All],[Bolsa]],PAA_4[[#This Row],[BOLSA]],[2]!COMPROMISOS_2024[[#All],[concatenado]],PAA_4[[#This Row],[RCP-RUBRO]]))</f>
        <v>0</v>
      </c>
    </row>
    <row r="2078" spans="1:38" s="19" customFormat="1" ht="31.5" customHeight="1">
      <c r="A2078" s="47">
        <v>1283</v>
      </c>
      <c r="B2078" s="47">
        <v>72101500</v>
      </c>
      <c r="C2078" s="47" t="str">
        <f>VLOOKUP(PAA_4[[#This Row],[PROYECTO (formulado)2]],[2]PROYECTOS!$G$1:$L$32,6,0)</f>
        <v>SUBGERENCIA ESCENARIOS DEPORTIVOS Y EQUIPAMIENTOS</v>
      </c>
      <c r="D2078" s="47" t="str">
        <f>+IF(PAA_4[[#This Row],[UNIDAD DE CONTRATACION (formulado)]]="Subgerencia Administrativa y Financiera","FUNCIONAMIENTO","INVERSIÓN")</f>
        <v>INVERSIÓN</v>
      </c>
      <c r="E2078" s="48" t="str">
        <f>VLOOKUP(Q2078,[2]PROYECTOS!$G$1:$K$32,5,0)</f>
        <v>Mantenimiento, adecuación, mejoras de escenarios deportivos o equipamientos en el departamento de Antioquia</v>
      </c>
      <c r="F2078" s="48">
        <f>VLOOKUP(E2078,[2]PROYECTOS!$K$1:$M$32,3,0)</f>
        <v>2024003050075</v>
      </c>
      <c r="G2078" s="49" t="s">
        <v>1842</v>
      </c>
      <c r="H2078" s="49" t="str">
        <f>VLOOKUP(Q2078,[2]PROYECTOS!$V$1:$W$32,2,0)</f>
        <v>050070</v>
      </c>
      <c r="I2078" s="78">
        <v>188935256</v>
      </c>
      <c r="J2078" s="51" t="s">
        <v>2284</v>
      </c>
      <c r="K2078" s="47" t="str">
        <f t="shared" ca="1" si="651"/>
        <v>CONTRATADO</v>
      </c>
      <c r="L2078" s="47" t="s">
        <v>94</v>
      </c>
      <c r="M2078" s="47" t="s">
        <v>255</v>
      </c>
      <c r="N2078" s="52" t="s">
        <v>2265</v>
      </c>
      <c r="O2078" s="51" t="e">
        <f>VLOOKUP(N2078,[2]!RUBROS[#All],3,0)</f>
        <v>#REF!</v>
      </c>
      <c r="P2078" s="53" t="e">
        <f>VLOOKUP(N2078,[2]!RUBROS[#All],2,0)</f>
        <v>#REF!</v>
      </c>
      <c r="Q2078" s="47" t="str">
        <f t="shared" si="652"/>
        <v>75</v>
      </c>
      <c r="R2078" s="47" t="str">
        <f t="shared" si="653"/>
        <v>0-202029</v>
      </c>
      <c r="S2078" s="54">
        <v>6</v>
      </c>
      <c r="T2078" s="63" t="s">
        <v>46</v>
      </c>
      <c r="U2078" s="326" t="e">
        <f ca="1">_xlfn.XLOOKUP(PAA_4[[#This Row],[ITEM]],[2]Contrato!A:A,[2]Contrato!Q:Q,"",0)</f>
        <v>#NAME?</v>
      </c>
      <c r="V2078" s="47" t="s">
        <v>95</v>
      </c>
      <c r="W2078" s="47" t="s">
        <v>204</v>
      </c>
      <c r="X2078" s="47" t="s">
        <v>204</v>
      </c>
      <c r="Y2078" s="55" t="e">
        <f ca="1">_xlfn.XLOOKUP(PAA_4[[#This Row],[ITEM]],[2]Contrato!A:A,[2]Contrato!B:B,"",0)</f>
        <v>#NAME?</v>
      </c>
      <c r="Z2078" s="47" t="e">
        <f ca="1">_xlfn.XLOOKUP(PAA_4[[#This Row],[ITEM]],[2]Contrato!A:A,[2]Contrato!G:G,"",0)</f>
        <v>#NAME?</v>
      </c>
      <c r="AA2078" s="47" t="e">
        <f ca="1">_xlfn.XLOOKUP(PAA_4[[#This Row],[ITEM]],[2]Contrato!A:A,[2]Contrato!T:T,"",0)</f>
        <v>#NAME?</v>
      </c>
      <c r="AB2078" s="55" t="e">
        <f ca="1">+MAX(PAA_4[[#This Row],[Comprometido Contrato]],PAA_4[[#This Row],[Comprometido Bolsa]])</f>
        <v>#NAME?</v>
      </c>
      <c r="AC2078" s="55" t="str">
        <f t="shared" ca="1" si="654"/>
        <v/>
      </c>
      <c r="AD2078" s="55" t="e">
        <f ca="1">IF(PAA_4[[#This Row],[ESTADO (formulado)]]="NO CONTRATADO",0,MAX(PAA_4[[#This Row],[Pago por Contrato]],PAA_4[[#This Row],[Pago por bolsa]]))</f>
        <v>#NAME?</v>
      </c>
      <c r="AE2078" s="55" t="str">
        <f t="shared" ca="1" si="655"/>
        <v/>
      </c>
      <c r="AF2078" s="47" t="e">
        <f t="shared" ca="1" si="656"/>
        <v>#NAME?</v>
      </c>
      <c r="AG2078" s="47">
        <f t="shared" si="657"/>
        <v>52010902</v>
      </c>
      <c r="AH2078" s="54">
        <f>IF(Q2078="22",IF(ISNUMBER(SEARCH("econ",PAA_4[[#This Row],[Actividad3]])),"Económico",IF(ISNUMBER(SEARCH("alim",PAA_4[[#This Row],[Actividad3]])),"Alimentación",IF(ISNUMBER(SEARCH("educ",PAA_4[[#This Row],[Actividad3]])),"Educativo","Técnico"))),0)</f>
        <v>0</v>
      </c>
      <c r="AI2078" s="47" t="e" cm="1">
        <f t="array" aca="1" ref="AI2078" ca="1">_xlfn.XLOOKUP(PAA_4[[#This Row],[RCP-RUBRO]],[2]!COMPROMISOS_2024[[#All],[concatenado]],[2]!COMPROMISOS_2024[[#All],[Total pagado]],"",0)</f>
        <v>#NAME?</v>
      </c>
      <c r="AJ2078" s="56">
        <f>IF(PAA_4[[#This Row],[BOLSA]]=0,0,SUMIFS([2]!COMPROMISOS_2024[[#All],[Total pagado]],[2]!COMPROMISOS_2024[[#All],[Bolsa]],PAA_4[[#This Row],[BOLSA]],[2]!COMPROMISOS_2024[[#All],[rubro]],PAA_4[[#This Row],[RCP-RUBRO]]))</f>
        <v>0</v>
      </c>
      <c r="AK2078" s="47" t="e" cm="1">
        <f t="array" aca="1" ref="AK2078" ca="1">_xlfn.XLOOKUP(PAA_4[[#This Row],[RCP-RUBRO]],[2]!COMPROMISOS_2024[[#All],[concatenado]],[2]!COMPROMISOS_2024[[#All],[Total Comprometido]],"",0)</f>
        <v>#NAME?</v>
      </c>
      <c r="AL2078" s="47">
        <f>IF(PAA_4[[#This Row],[BOLSA]]=0,0,SUMIFS([2]!COMPROMISOS_2024[[#All],[Total Comprometido]],[2]!COMPROMISOS_2024[[#All],[Bolsa]],PAA_4[[#This Row],[BOLSA]],[2]!COMPROMISOS_2024[[#All],[concatenado]],PAA_4[[#This Row],[RCP-RUBRO]]))</f>
        <v>0</v>
      </c>
    </row>
    <row r="2079" spans="1:38" s="19" customFormat="1" ht="31.5" customHeight="1">
      <c r="A2079" s="47">
        <v>1284</v>
      </c>
      <c r="B2079" s="47">
        <v>72101500</v>
      </c>
      <c r="C2079" s="47" t="str">
        <f>VLOOKUP(PAA_4[[#This Row],[PROYECTO (formulado)2]],[2]PROYECTOS!$G$1:$L$32,6,0)</f>
        <v>SUBGERENCIA ESCENARIOS DEPORTIVOS Y EQUIPAMIENTOS</v>
      </c>
      <c r="D2079" s="47" t="str">
        <f>+IF(PAA_4[[#This Row],[UNIDAD DE CONTRATACION (formulado)]]="Subgerencia Administrativa y Financiera","FUNCIONAMIENTO","INVERSIÓN")</f>
        <v>INVERSIÓN</v>
      </c>
      <c r="E2079" s="48" t="str">
        <f>VLOOKUP(Q2079,[2]PROYECTOS!$G$1:$K$32,5,0)</f>
        <v>Mantenimiento, adecuación, mejoras de escenarios deportivos o equipamientos en el departamento de Antioquia</v>
      </c>
      <c r="F2079" s="48">
        <f>VLOOKUP(E2079,[2]PROYECTOS!$K$1:$M$32,3,0)</f>
        <v>2024003050075</v>
      </c>
      <c r="G2079" s="49" t="s">
        <v>1842</v>
      </c>
      <c r="H2079" s="49" t="str">
        <f>VLOOKUP(Q2079,[2]PROYECTOS!$V$1:$W$32,2,0)</f>
        <v>050070</v>
      </c>
      <c r="I2079" s="78">
        <v>44352903</v>
      </c>
      <c r="J2079" s="51" t="s">
        <v>2285</v>
      </c>
      <c r="K2079" s="47" t="str">
        <f t="shared" ca="1" si="651"/>
        <v>CONTRATADO</v>
      </c>
      <c r="L2079" s="47" t="s">
        <v>94</v>
      </c>
      <c r="M2079" s="47" t="s">
        <v>255</v>
      </c>
      <c r="N2079" s="52" t="s">
        <v>2265</v>
      </c>
      <c r="O2079" s="51" t="e">
        <f>VLOOKUP(N2079,[2]!RUBROS[#All],3,0)</f>
        <v>#REF!</v>
      </c>
      <c r="P2079" s="53" t="e">
        <f>VLOOKUP(N2079,[2]!RUBROS[#All],2,0)</f>
        <v>#REF!</v>
      </c>
      <c r="Q2079" s="47" t="str">
        <f t="shared" si="652"/>
        <v>75</v>
      </c>
      <c r="R2079" s="47" t="str">
        <f t="shared" si="653"/>
        <v>0-202029</v>
      </c>
      <c r="S2079" s="54">
        <v>5</v>
      </c>
      <c r="T2079" s="63" t="s">
        <v>46</v>
      </c>
      <c r="U2079" s="326" t="e">
        <f ca="1">_xlfn.XLOOKUP(PAA_4[[#This Row],[ITEM]],[2]Contrato!A:A,[2]Contrato!Q:Q,"",0)</f>
        <v>#NAME?</v>
      </c>
      <c r="V2079" s="47" t="s">
        <v>95</v>
      </c>
      <c r="W2079" s="47" t="s">
        <v>204</v>
      </c>
      <c r="X2079" s="47" t="s">
        <v>204</v>
      </c>
      <c r="Y2079" s="55" t="e">
        <f ca="1">_xlfn.XLOOKUP(PAA_4[[#This Row],[ITEM]],[2]Contrato!A:A,[2]Contrato!B:B,"",0)</f>
        <v>#NAME?</v>
      </c>
      <c r="Z2079" s="47" t="e">
        <f ca="1">_xlfn.XLOOKUP(PAA_4[[#This Row],[ITEM]],[2]Contrato!A:A,[2]Contrato!G:G,"",0)</f>
        <v>#NAME?</v>
      </c>
      <c r="AA2079" s="47" t="e">
        <f ca="1">_xlfn.XLOOKUP(PAA_4[[#This Row],[ITEM]],[2]Contrato!A:A,[2]Contrato!T:T,"",0)</f>
        <v>#NAME?</v>
      </c>
      <c r="AB2079" s="55" t="e">
        <f ca="1">+MAX(PAA_4[[#This Row],[Comprometido Contrato]],PAA_4[[#This Row],[Comprometido Bolsa]])</f>
        <v>#NAME?</v>
      </c>
      <c r="AC2079" s="55" t="str">
        <f t="shared" ca="1" si="654"/>
        <v/>
      </c>
      <c r="AD2079" s="55" t="e">
        <f ca="1">IF(PAA_4[[#This Row],[ESTADO (formulado)]]="NO CONTRATADO",0,MAX(PAA_4[[#This Row],[Pago por Contrato]],PAA_4[[#This Row],[Pago por bolsa]]))</f>
        <v>#NAME?</v>
      </c>
      <c r="AE2079" s="55" t="str">
        <f t="shared" ca="1" si="655"/>
        <v/>
      </c>
      <c r="AF2079" s="47" t="e">
        <f t="shared" ca="1" si="656"/>
        <v>#NAME?</v>
      </c>
      <c r="AG2079" s="47">
        <f t="shared" si="657"/>
        <v>52010902</v>
      </c>
      <c r="AH2079" s="54">
        <f>IF(Q2079="22",IF(ISNUMBER(SEARCH("econ",PAA_4[[#This Row],[Actividad3]])),"Económico",IF(ISNUMBER(SEARCH("alim",PAA_4[[#This Row],[Actividad3]])),"Alimentación",IF(ISNUMBER(SEARCH("educ",PAA_4[[#This Row],[Actividad3]])),"Educativo","Técnico"))),0)</f>
        <v>0</v>
      </c>
      <c r="AI2079" s="47" t="e" cm="1">
        <f t="array" aca="1" ref="AI2079" ca="1">_xlfn.XLOOKUP(PAA_4[[#This Row],[RCP-RUBRO]],[2]!COMPROMISOS_2024[[#All],[concatenado]],[2]!COMPROMISOS_2024[[#All],[Total pagado]],"",0)</f>
        <v>#NAME?</v>
      </c>
      <c r="AJ2079" s="56">
        <f>IF(PAA_4[[#This Row],[BOLSA]]=0,0,SUMIFS([2]!COMPROMISOS_2024[[#All],[Total pagado]],[2]!COMPROMISOS_2024[[#All],[Bolsa]],PAA_4[[#This Row],[BOLSA]],[2]!COMPROMISOS_2024[[#All],[rubro]],PAA_4[[#This Row],[RCP-RUBRO]]))</f>
        <v>0</v>
      </c>
      <c r="AK2079" s="47" t="e" cm="1">
        <f t="array" aca="1" ref="AK2079" ca="1">_xlfn.XLOOKUP(PAA_4[[#This Row],[RCP-RUBRO]],[2]!COMPROMISOS_2024[[#All],[concatenado]],[2]!COMPROMISOS_2024[[#All],[Total Comprometido]],"",0)</f>
        <v>#NAME?</v>
      </c>
      <c r="AL2079" s="47">
        <f>IF(PAA_4[[#This Row],[BOLSA]]=0,0,SUMIFS([2]!COMPROMISOS_2024[[#All],[Total Comprometido]],[2]!COMPROMISOS_2024[[#All],[Bolsa]],PAA_4[[#This Row],[BOLSA]],[2]!COMPROMISOS_2024[[#All],[concatenado]],PAA_4[[#This Row],[RCP-RUBRO]]))</f>
        <v>0</v>
      </c>
    </row>
    <row r="2080" spans="1:38" s="19" customFormat="1" ht="31.5" customHeight="1">
      <c r="A2080" s="47">
        <v>1315</v>
      </c>
      <c r="B2080" s="47">
        <v>72101500</v>
      </c>
      <c r="C2080" s="47" t="str">
        <f>VLOOKUP(PAA_4[[#This Row],[PROYECTO (formulado)2]],[2]PROYECTOS!$G$1:$L$32,6,0)</f>
        <v>SUBGERENCIA ESCENARIOS DEPORTIVOS Y EQUIPAMIENTOS</v>
      </c>
      <c r="D2080" s="47" t="str">
        <f>+IF(PAA_4[[#This Row],[UNIDAD DE CONTRATACION (formulado)]]="Subgerencia Administrativa y Financiera","FUNCIONAMIENTO","INVERSIÓN")</f>
        <v>INVERSIÓN</v>
      </c>
      <c r="E2080" s="48" t="str">
        <f>VLOOKUP(Q2080,[2]PROYECTOS!$G$1:$K$32,5,0)</f>
        <v>Mantenimiento, adecuación, mejoras de escenarios deportivos o equipamientos en el departamento de Antioquia</v>
      </c>
      <c r="F2080" s="48">
        <f>VLOOKUP(E2080,[2]PROYECTOS!$K$1:$M$32,3,0)</f>
        <v>2024003050075</v>
      </c>
      <c r="G2080" s="49" t="s">
        <v>1842</v>
      </c>
      <c r="H2080" s="49" t="str">
        <f>VLOOKUP(Q2080,[2]PROYECTOS!$V$1:$W$32,2,0)</f>
        <v>050070</v>
      </c>
      <c r="I2080" s="394">
        <v>83128548</v>
      </c>
      <c r="J2080" s="51" t="s">
        <v>2286</v>
      </c>
      <c r="K2080" s="47" t="str">
        <f t="shared" ca="1" si="651"/>
        <v>CONTRATADO</v>
      </c>
      <c r="L2080" s="47" t="s">
        <v>94</v>
      </c>
      <c r="M2080" s="47" t="s">
        <v>1894</v>
      </c>
      <c r="N2080" s="52" t="s">
        <v>2265</v>
      </c>
      <c r="O2080" s="51" t="e">
        <f>VLOOKUP(N2080,[2]!RUBROS[#All],3,0)</f>
        <v>#REF!</v>
      </c>
      <c r="P2080" s="53" t="e">
        <f>VLOOKUP(N2080,[2]!RUBROS[#All],2,0)</f>
        <v>#REF!</v>
      </c>
      <c r="Q2080" s="47" t="str">
        <f t="shared" si="652"/>
        <v>75</v>
      </c>
      <c r="R2080" s="47" t="str">
        <f t="shared" si="653"/>
        <v>0-202029</v>
      </c>
      <c r="S2080" s="54">
        <v>5</v>
      </c>
      <c r="T2080" s="59" t="s">
        <v>46</v>
      </c>
      <c r="U2080" s="326" t="e">
        <f ca="1">_xlfn.XLOOKUP(PAA_4[[#This Row],[ITEM]],[2]Contrato!A:A,[2]Contrato!Q:Q,"",0)</f>
        <v>#NAME?</v>
      </c>
      <c r="V2080" s="47" t="s">
        <v>95</v>
      </c>
      <c r="W2080" s="47" t="s">
        <v>200</v>
      </c>
      <c r="X2080" s="47" t="s">
        <v>200</v>
      </c>
      <c r="Y2080" s="55" t="e">
        <f ca="1">_xlfn.XLOOKUP(PAA_4[[#This Row],[ITEM]],[2]Contrato!A:A,[2]Contrato!B:B,"",0)</f>
        <v>#NAME?</v>
      </c>
      <c r="Z2080" s="47" t="e">
        <f ca="1">_xlfn.XLOOKUP(PAA_4[[#This Row],[ITEM]],[2]Contrato!A:A,[2]Contrato!G:G,"",0)</f>
        <v>#NAME?</v>
      </c>
      <c r="AA2080" s="47" t="e">
        <f ca="1">_xlfn.XLOOKUP(PAA_4[[#This Row],[ITEM]],[2]Contrato!A:A,[2]Contrato!T:T,"",0)</f>
        <v>#NAME?</v>
      </c>
      <c r="AB2080" s="55" t="e">
        <f ca="1">+MAX(PAA_4[[#This Row],[Comprometido Contrato]],PAA_4[[#This Row],[Comprometido Bolsa]])</f>
        <v>#NAME?</v>
      </c>
      <c r="AC2080" s="55" t="str">
        <f t="shared" ca="1" si="654"/>
        <v/>
      </c>
      <c r="AD2080" s="55" t="e">
        <f ca="1">IF(PAA_4[[#This Row],[ESTADO (formulado)]]="NO CONTRATADO",0,MAX(PAA_4[[#This Row],[Pago por Contrato]],PAA_4[[#This Row],[Pago por bolsa]]))</f>
        <v>#NAME?</v>
      </c>
      <c r="AE2080" s="55" t="str">
        <f t="shared" ca="1" si="655"/>
        <v/>
      </c>
      <c r="AF2080" s="47" t="e">
        <f t="shared" ca="1" si="656"/>
        <v>#NAME?</v>
      </c>
      <c r="AG2080" s="47">
        <f t="shared" si="657"/>
        <v>52010902</v>
      </c>
      <c r="AH2080" s="54">
        <f>IF(Q2080="22",IF(ISNUMBER(SEARCH("econ",PAA_4[[#This Row],[Actividad3]])),"Económico",IF(ISNUMBER(SEARCH("alim",PAA_4[[#This Row],[Actividad3]])),"Alimentación",IF(ISNUMBER(SEARCH("educ",PAA_4[[#This Row],[Actividad3]])),"Educativo","Técnico"))),0)</f>
        <v>0</v>
      </c>
      <c r="AI2080" s="47" t="e" cm="1">
        <f t="array" aca="1" ref="AI2080" ca="1">_xlfn.XLOOKUP(PAA_4[[#This Row],[RCP-RUBRO]],[2]!COMPROMISOS_2024[[#All],[concatenado]],[2]!COMPROMISOS_2024[[#All],[Total pagado]],"",0)</f>
        <v>#NAME?</v>
      </c>
      <c r="AJ2080" s="56">
        <f>IF(PAA_4[[#This Row],[BOLSA]]=0,0,SUMIFS([2]!COMPROMISOS_2024[[#All],[Total pagado]],[2]!COMPROMISOS_2024[[#All],[Bolsa]],PAA_4[[#This Row],[BOLSA]],[2]!COMPROMISOS_2024[[#All],[rubro]],PAA_4[[#This Row],[RCP-RUBRO]]))</f>
        <v>0</v>
      </c>
      <c r="AK2080" s="47" t="e" cm="1">
        <f t="array" aca="1" ref="AK2080" ca="1">_xlfn.XLOOKUP(PAA_4[[#This Row],[RCP-RUBRO]],[2]!COMPROMISOS_2024[[#All],[concatenado]],[2]!COMPROMISOS_2024[[#All],[Total Comprometido]],"",0)</f>
        <v>#NAME?</v>
      </c>
      <c r="AL2080" s="47">
        <f>IF(PAA_4[[#This Row],[BOLSA]]=0,0,SUMIFS([2]!COMPROMISOS_2024[[#All],[Total Comprometido]],[2]!COMPROMISOS_2024[[#All],[Bolsa]],PAA_4[[#This Row],[BOLSA]],[2]!COMPROMISOS_2024[[#All],[concatenado]],PAA_4[[#This Row],[RCP-RUBRO]]))</f>
        <v>0</v>
      </c>
    </row>
    <row r="2081" spans="1:38" s="19" customFormat="1" ht="31.5" customHeight="1">
      <c r="A2081" s="47">
        <v>1316</v>
      </c>
      <c r="B2081" s="47">
        <v>72101500</v>
      </c>
      <c r="C2081" s="47" t="str">
        <f>VLOOKUP(PAA_4[[#This Row],[PROYECTO (formulado)2]],[2]PROYECTOS!$G$1:$L$32,6,0)</f>
        <v>SUBGERENCIA ESCENARIOS DEPORTIVOS Y EQUIPAMIENTOS</v>
      </c>
      <c r="D2081" s="47" t="str">
        <f>+IF(PAA_4[[#This Row],[UNIDAD DE CONTRATACION (formulado)]]="Subgerencia Administrativa y Financiera","FUNCIONAMIENTO","INVERSIÓN")</f>
        <v>INVERSIÓN</v>
      </c>
      <c r="E2081" s="48" t="str">
        <f>VLOOKUP(Q2081,[2]PROYECTOS!$G$1:$K$32,5,0)</f>
        <v>Mantenimiento, adecuación, mejoras de escenarios deportivos o equipamientos en el departamento de Antioquia</v>
      </c>
      <c r="F2081" s="48">
        <f>VLOOKUP(E2081,[2]PROYECTOS!$K$1:$M$32,3,0)</f>
        <v>2024003050075</v>
      </c>
      <c r="G2081" s="49" t="s">
        <v>1842</v>
      </c>
      <c r="H2081" s="49" t="str">
        <f>VLOOKUP(Q2081,[2]PROYECTOS!$V$1:$W$32,2,0)</f>
        <v>050070</v>
      </c>
      <c r="I2081" s="394">
        <v>191714122</v>
      </c>
      <c r="J2081" s="51" t="s">
        <v>2287</v>
      </c>
      <c r="K2081" s="47" t="str">
        <f t="shared" ca="1" si="651"/>
        <v>CONTRATADO</v>
      </c>
      <c r="L2081" s="47" t="s">
        <v>94</v>
      </c>
      <c r="M2081" s="47" t="s">
        <v>1894</v>
      </c>
      <c r="N2081" s="52" t="s">
        <v>2265</v>
      </c>
      <c r="O2081" s="51" t="e">
        <f>VLOOKUP(N2081,[2]!RUBROS[#All],3,0)</f>
        <v>#REF!</v>
      </c>
      <c r="P2081" s="53" t="e">
        <f>VLOOKUP(N2081,[2]!RUBROS[#All],2,0)</f>
        <v>#REF!</v>
      </c>
      <c r="Q2081" s="47" t="str">
        <f t="shared" si="652"/>
        <v>75</v>
      </c>
      <c r="R2081" s="47" t="str">
        <f t="shared" si="653"/>
        <v>0-202029</v>
      </c>
      <c r="S2081" s="54">
        <v>6</v>
      </c>
      <c r="T2081" s="59" t="s">
        <v>46</v>
      </c>
      <c r="U2081" s="326" t="e">
        <f ca="1">_xlfn.XLOOKUP(PAA_4[[#This Row],[ITEM]],[2]Contrato!A:A,[2]Contrato!Q:Q,"",0)</f>
        <v>#NAME?</v>
      </c>
      <c r="V2081" s="47" t="s">
        <v>95</v>
      </c>
      <c r="W2081" s="47" t="s">
        <v>200</v>
      </c>
      <c r="X2081" s="47" t="s">
        <v>200</v>
      </c>
      <c r="Y2081" s="55" t="e">
        <f ca="1">_xlfn.XLOOKUP(PAA_4[[#This Row],[ITEM]],[2]Contrato!A:A,[2]Contrato!B:B,"",0)</f>
        <v>#NAME?</v>
      </c>
      <c r="Z2081" s="47" t="e">
        <f ca="1">_xlfn.XLOOKUP(PAA_4[[#This Row],[ITEM]],[2]Contrato!A:A,[2]Contrato!G:G,"",0)</f>
        <v>#NAME?</v>
      </c>
      <c r="AA2081" s="47" t="e">
        <f ca="1">_xlfn.XLOOKUP(PAA_4[[#This Row],[ITEM]],[2]Contrato!A:A,[2]Contrato!T:T,"",0)</f>
        <v>#NAME?</v>
      </c>
      <c r="AB2081" s="55" t="e">
        <f ca="1">+MAX(PAA_4[[#This Row],[Comprometido Contrato]],PAA_4[[#This Row],[Comprometido Bolsa]])</f>
        <v>#NAME?</v>
      </c>
      <c r="AC2081" s="55" t="str">
        <f t="shared" ca="1" si="654"/>
        <v/>
      </c>
      <c r="AD2081" s="55" t="e">
        <f ca="1">IF(PAA_4[[#This Row],[ESTADO (formulado)]]="NO CONTRATADO",0,MAX(PAA_4[[#This Row],[Pago por Contrato]],PAA_4[[#This Row],[Pago por bolsa]]))</f>
        <v>#NAME?</v>
      </c>
      <c r="AE2081" s="55" t="str">
        <f t="shared" ca="1" si="655"/>
        <v/>
      </c>
      <c r="AF2081" s="47" t="e">
        <f t="shared" ca="1" si="656"/>
        <v>#NAME?</v>
      </c>
      <c r="AG2081" s="47">
        <f t="shared" si="657"/>
        <v>52010902</v>
      </c>
      <c r="AH2081" s="54">
        <f>IF(Q2081="22",IF(ISNUMBER(SEARCH("econ",PAA_4[[#This Row],[Actividad3]])),"Económico",IF(ISNUMBER(SEARCH("alim",PAA_4[[#This Row],[Actividad3]])),"Alimentación",IF(ISNUMBER(SEARCH("educ",PAA_4[[#This Row],[Actividad3]])),"Educativo","Técnico"))),0)</f>
        <v>0</v>
      </c>
      <c r="AI2081" s="47" t="e" cm="1">
        <f t="array" aca="1" ref="AI2081" ca="1">_xlfn.XLOOKUP(PAA_4[[#This Row],[RCP-RUBRO]],[2]!COMPROMISOS_2024[[#All],[concatenado]],[2]!COMPROMISOS_2024[[#All],[Total pagado]],"",0)</f>
        <v>#NAME?</v>
      </c>
      <c r="AJ2081" s="56">
        <f>IF(PAA_4[[#This Row],[BOLSA]]=0,0,SUMIFS([2]!COMPROMISOS_2024[[#All],[Total pagado]],[2]!COMPROMISOS_2024[[#All],[Bolsa]],PAA_4[[#This Row],[BOLSA]],[2]!COMPROMISOS_2024[[#All],[rubro]],PAA_4[[#This Row],[RCP-RUBRO]]))</f>
        <v>0</v>
      </c>
      <c r="AK2081" s="47" t="e" cm="1">
        <f t="array" aca="1" ref="AK2081" ca="1">_xlfn.XLOOKUP(PAA_4[[#This Row],[RCP-RUBRO]],[2]!COMPROMISOS_2024[[#All],[concatenado]],[2]!COMPROMISOS_2024[[#All],[Total Comprometido]],"",0)</f>
        <v>#NAME?</v>
      </c>
      <c r="AL2081" s="47">
        <f>IF(PAA_4[[#This Row],[BOLSA]]=0,0,SUMIFS([2]!COMPROMISOS_2024[[#All],[Total Comprometido]],[2]!COMPROMISOS_2024[[#All],[Bolsa]],PAA_4[[#This Row],[BOLSA]],[2]!COMPROMISOS_2024[[#All],[concatenado]],PAA_4[[#This Row],[RCP-RUBRO]]))</f>
        <v>0</v>
      </c>
    </row>
    <row r="2082" spans="1:38" s="19" customFormat="1" ht="31.5" customHeight="1">
      <c r="A2082" s="47">
        <v>1326</v>
      </c>
      <c r="B2082" s="47">
        <v>72101500</v>
      </c>
      <c r="C2082" s="47" t="str">
        <f>VLOOKUP(PAA_4[[#This Row],[PROYECTO (formulado)2]],[2]PROYECTOS!$G$1:$L$32,6,0)</f>
        <v>SUBGERENCIA ESCENARIOS DEPORTIVOS Y EQUIPAMIENTOS</v>
      </c>
      <c r="D2082" s="47" t="str">
        <f>+IF(PAA_4[[#This Row],[UNIDAD DE CONTRATACION (formulado)]]="Subgerencia Administrativa y Financiera","FUNCIONAMIENTO","INVERSIÓN")</f>
        <v>INVERSIÓN</v>
      </c>
      <c r="E2082" s="48" t="str">
        <f>VLOOKUP(Q2082,[2]PROYECTOS!$G$1:$K$32,5,0)</f>
        <v>Mantenimiento, adecuación, mejoras de escenarios deportivos o equipamientos en el departamento de Antioquia</v>
      </c>
      <c r="F2082" s="48">
        <f>VLOOKUP(E2082,[2]PROYECTOS!$K$1:$M$32,3,0)</f>
        <v>2024003050075</v>
      </c>
      <c r="G2082" s="49" t="s">
        <v>1842</v>
      </c>
      <c r="H2082" s="49" t="str">
        <f>VLOOKUP(Q2082,[2]PROYECTOS!$V$1:$W$32,2,0)</f>
        <v>050070</v>
      </c>
      <c r="I2082" s="78">
        <v>396739039</v>
      </c>
      <c r="J2082" s="51" t="s">
        <v>2288</v>
      </c>
      <c r="K2082" s="47" t="str">
        <f t="shared" ca="1" si="651"/>
        <v>CONTRATADO</v>
      </c>
      <c r="L2082" s="47" t="s">
        <v>94</v>
      </c>
      <c r="M2082" s="227" t="s">
        <v>1894</v>
      </c>
      <c r="N2082" s="52" t="s">
        <v>2265</v>
      </c>
      <c r="O2082" s="51" t="e">
        <f>VLOOKUP(N2082,[2]!RUBROS[#All],3,0)</f>
        <v>#REF!</v>
      </c>
      <c r="P2082" s="53" t="e">
        <f>VLOOKUP(N2082,[2]!RUBROS[#All],2,0)</f>
        <v>#REF!</v>
      </c>
      <c r="Q2082" s="47" t="str">
        <f t="shared" si="652"/>
        <v>75</v>
      </c>
      <c r="R2082" s="47" t="str">
        <f t="shared" si="653"/>
        <v>0-202029</v>
      </c>
      <c r="S2082" s="54">
        <v>6</v>
      </c>
      <c r="T2082" s="63" t="s">
        <v>46</v>
      </c>
      <c r="U2082" s="326" t="e">
        <f ca="1">_xlfn.XLOOKUP(PAA_4[[#This Row],[ITEM]],[2]Contrato!A:A,[2]Contrato!Q:Q,"",0)</f>
        <v>#NAME?</v>
      </c>
      <c r="V2082" s="47" t="s">
        <v>95</v>
      </c>
      <c r="W2082" s="47" t="s">
        <v>201</v>
      </c>
      <c r="X2082" s="47" t="s">
        <v>201</v>
      </c>
      <c r="Y2082" s="55" t="e">
        <f ca="1">_xlfn.XLOOKUP(PAA_4[[#This Row],[ITEM]],[2]Contrato!A:A,[2]Contrato!B:B,"",0)</f>
        <v>#NAME?</v>
      </c>
      <c r="Z2082" s="47" t="e">
        <f ca="1">_xlfn.XLOOKUP(PAA_4[[#This Row],[ITEM]],[2]Contrato!A:A,[2]Contrato!G:G,"",0)</f>
        <v>#NAME?</v>
      </c>
      <c r="AA2082" s="47" t="e">
        <f ca="1">_xlfn.XLOOKUP(PAA_4[[#This Row],[ITEM]],[2]Contrato!A:A,[2]Contrato!T:T,"",0)</f>
        <v>#NAME?</v>
      </c>
      <c r="AB2082" s="55" t="e">
        <f ca="1">+MAX(PAA_4[[#This Row],[Comprometido Contrato]],PAA_4[[#This Row],[Comprometido Bolsa]])</f>
        <v>#NAME?</v>
      </c>
      <c r="AC2082" s="55" t="str">
        <f t="shared" ca="1" si="654"/>
        <v/>
      </c>
      <c r="AD2082" s="55" t="e">
        <f ca="1">IF(PAA_4[[#This Row],[ESTADO (formulado)]]="NO CONTRATADO",0,MAX(PAA_4[[#This Row],[Pago por Contrato]],PAA_4[[#This Row],[Pago por bolsa]]))</f>
        <v>#NAME?</v>
      </c>
      <c r="AE2082" s="55" t="str">
        <f t="shared" ca="1" si="655"/>
        <v/>
      </c>
      <c r="AF2082" s="47" t="e">
        <f t="shared" ca="1" si="656"/>
        <v>#NAME?</v>
      </c>
      <c r="AG2082" s="47">
        <f t="shared" si="657"/>
        <v>52010902</v>
      </c>
      <c r="AH2082" s="54">
        <f>IF(Q2082="22",IF(ISNUMBER(SEARCH("econ",PAA_4[[#This Row],[Actividad3]])),"Económico",IF(ISNUMBER(SEARCH("alim",PAA_4[[#This Row],[Actividad3]])),"Alimentación",IF(ISNUMBER(SEARCH("educ",PAA_4[[#This Row],[Actividad3]])),"Educativo","Técnico"))),0)</f>
        <v>0</v>
      </c>
      <c r="AI2082" s="47" t="e" cm="1">
        <f t="array" aca="1" ref="AI2082" ca="1">_xlfn.XLOOKUP(PAA_4[[#This Row],[RCP-RUBRO]],[2]!COMPROMISOS_2024[[#All],[concatenado]],[2]!COMPROMISOS_2024[[#All],[Total pagado]],"",0)</f>
        <v>#NAME?</v>
      </c>
      <c r="AJ2082" s="56">
        <f>IF(PAA_4[[#This Row],[BOLSA]]=0,0,SUMIFS([2]!COMPROMISOS_2024[[#All],[Total pagado]],[2]!COMPROMISOS_2024[[#All],[Bolsa]],PAA_4[[#This Row],[BOLSA]],[2]!COMPROMISOS_2024[[#All],[rubro]],PAA_4[[#This Row],[RCP-RUBRO]]))</f>
        <v>0</v>
      </c>
      <c r="AK2082" s="47" t="e" cm="1">
        <f t="array" aca="1" ref="AK2082" ca="1">_xlfn.XLOOKUP(PAA_4[[#This Row],[RCP-RUBRO]],[2]!COMPROMISOS_2024[[#All],[concatenado]],[2]!COMPROMISOS_2024[[#All],[Total Comprometido]],"",0)</f>
        <v>#NAME?</v>
      </c>
      <c r="AL2082" s="47">
        <f>IF(PAA_4[[#This Row],[BOLSA]]=0,0,SUMIFS([2]!COMPROMISOS_2024[[#All],[Total Comprometido]],[2]!COMPROMISOS_2024[[#All],[Bolsa]],PAA_4[[#This Row],[BOLSA]],[2]!COMPROMISOS_2024[[#All],[concatenado]],PAA_4[[#This Row],[RCP-RUBRO]]))</f>
        <v>0</v>
      </c>
    </row>
    <row r="2083" spans="1:38" s="19" customFormat="1" ht="31.5" customHeight="1">
      <c r="A2083" s="47">
        <v>1327</v>
      </c>
      <c r="B2083" s="47">
        <v>72101500</v>
      </c>
      <c r="C2083" s="47" t="str">
        <f>VLOOKUP(PAA_4[[#This Row],[PROYECTO (formulado)2]],[2]PROYECTOS!$G$1:$L$32,6,0)</f>
        <v>SUBGERENCIA ESCENARIOS DEPORTIVOS Y EQUIPAMIENTOS</v>
      </c>
      <c r="D2083" s="47" t="str">
        <f>+IF(PAA_4[[#This Row],[UNIDAD DE CONTRATACION (formulado)]]="Subgerencia Administrativa y Financiera","FUNCIONAMIENTO","INVERSIÓN")</f>
        <v>INVERSIÓN</v>
      </c>
      <c r="E2083" s="48" t="str">
        <f>VLOOKUP(Q2083,[2]PROYECTOS!$G$1:$K$32,5,0)</f>
        <v>Mantenimiento, adecuación, mejoras de escenarios deportivos o equipamientos en el departamento de Antioquia</v>
      </c>
      <c r="F2083" s="48">
        <f>VLOOKUP(E2083,[2]PROYECTOS!$K$1:$M$32,3,0)</f>
        <v>2024003050075</v>
      </c>
      <c r="G2083" s="49" t="s">
        <v>1842</v>
      </c>
      <c r="H2083" s="49" t="str">
        <f>VLOOKUP(Q2083,[2]PROYECTOS!$V$1:$W$32,2,0)</f>
        <v>050070</v>
      </c>
      <c r="I2083" s="78">
        <v>209171624</v>
      </c>
      <c r="J2083" s="51" t="s">
        <v>2289</v>
      </c>
      <c r="K2083" s="47" t="str">
        <f t="shared" ca="1" si="651"/>
        <v>CONTRATADO</v>
      </c>
      <c r="L2083" s="47" t="s">
        <v>94</v>
      </c>
      <c r="M2083" s="227" t="s">
        <v>1894</v>
      </c>
      <c r="N2083" s="52" t="s">
        <v>2265</v>
      </c>
      <c r="O2083" s="51" t="e">
        <f>VLOOKUP(N2083,[2]!RUBROS[#All],3,0)</f>
        <v>#REF!</v>
      </c>
      <c r="P2083" s="53" t="e">
        <f>VLOOKUP(N2083,[2]!RUBROS[#All],2,0)</f>
        <v>#REF!</v>
      </c>
      <c r="Q2083" s="47" t="str">
        <f t="shared" si="652"/>
        <v>75</v>
      </c>
      <c r="R2083" s="47" t="str">
        <f t="shared" si="653"/>
        <v>0-202029</v>
      </c>
      <c r="S2083" s="54">
        <v>7</v>
      </c>
      <c r="T2083" s="63" t="s">
        <v>46</v>
      </c>
      <c r="U2083" s="326" t="e">
        <f ca="1">_xlfn.XLOOKUP(PAA_4[[#This Row],[ITEM]],[2]Contrato!A:A,[2]Contrato!Q:Q,"",0)</f>
        <v>#NAME?</v>
      </c>
      <c r="V2083" s="47" t="s">
        <v>95</v>
      </c>
      <c r="W2083" s="47" t="s">
        <v>201</v>
      </c>
      <c r="X2083" s="47" t="s">
        <v>201</v>
      </c>
      <c r="Y2083" s="55" t="e">
        <f ca="1">_xlfn.XLOOKUP(PAA_4[[#This Row],[ITEM]],[2]Contrato!A:A,[2]Contrato!B:B,"",0)</f>
        <v>#NAME?</v>
      </c>
      <c r="Z2083" s="47" t="e">
        <f ca="1">_xlfn.XLOOKUP(PAA_4[[#This Row],[ITEM]],[2]Contrato!A:A,[2]Contrato!G:G,"",0)</f>
        <v>#NAME?</v>
      </c>
      <c r="AA2083" s="47" t="e">
        <f ca="1">_xlfn.XLOOKUP(PAA_4[[#This Row],[ITEM]],[2]Contrato!A:A,[2]Contrato!T:T,"",0)</f>
        <v>#NAME?</v>
      </c>
      <c r="AB2083" s="55" t="e">
        <f ca="1">+MAX(PAA_4[[#This Row],[Comprometido Contrato]],PAA_4[[#This Row],[Comprometido Bolsa]])</f>
        <v>#NAME?</v>
      </c>
      <c r="AC2083" s="55" t="str">
        <f t="shared" ca="1" si="654"/>
        <v/>
      </c>
      <c r="AD2083" s="55" t="e">
        <f ca="1">IF(PAA_4[[#This Row],[ESTADO (formulado)]]="NO CONTRATADO",0,MAX(PAA_4[[#This Row],[Pago por Contrato]],PAA_4[[#This Row],[Pago por bolsa]]))</f>
        <v>#NAME?</v>
      </c>
      <c r="AE2083" s="55" t="str">
        <f t="shared" ca="1" si="655"/>
        <v/>
      </c>
      <c r="AF2083" s="47" t="e">
        <f t="shared" ca="1" si="656"/>
        <v>#NAME?</v>
      </c>
      <c r="AG2083" s="47">
        <f t="shared" si="657"/>
        <v>52010902</v>
      </c>
      <c r="AH2083" s="54">
        <f>IF(Q2083="22",IF(ISNUMBER(SEARCH("econ",PAA_4[[#This Row],[Actividad3]])),"Económico",IF(ISNUMBER(SEARCH("alim",PAA_4[[#This Row],[Actividad3]])),"Alimentación",IF(ISNUMBER(SEARCH("educ",PAA_4[[#This Row],[Actividad3]])),"Educativo","Técnico"))),0)</f>
        <v>0</v>
      </c>
      <c r="AI2083" s="47" t="e" cm="1">
        <f t="array" aca="1" ref="AI2083" ca="1">_xlfn.XLOOKUP(PAA_4[[#This Row],[RCP-RUBRO]],[2]!COMPROMISOS_2024[[#All],[concatenado]],[2]!COMPROMISOS_2024[[#All],[Total pagado]],"",0)</f>
        <v>#NAME?</v>
      </c>
      <c r="AJ2083" s="56">
        <f>IF(PAA_4[[#This Row],[BOLSA]]=0,0,SUMIFS([2]!COMPROMISOS_2024[[#All],[Total pagado]],[2]!COMPROMISOS_2024[[#All],[Bolsa]],PAA_4[[#This Row],[BOLSA]],[2]!COMPROMISOS_2024[[#All],[rubro]],PAA_4[[#This Row],[RCP-RUBRO]]))</f>
        <v>0</v>
      </c>
      <c r="AK2083" s="47" t="e" cm="1">
        <f t="array" aca="1" ref="AK2083" ca="1">_xlfn.XLOOKUP(PAA_4[[#This Row],[RCP-RUBRO]],[2]!COMPROMISOS_2024[[#All],[concatenado]],[2]!COMPROMISOS_2024[[#All],[Total Comprometido]],"",0)</f>
        <v>#NAME?</v>
      </c>
      <c r="AL2083" s="47">
        <f>IF(PAA_4[[#This Row],[BOLSA]]=0,0,SUMIFS([2]!COMPROMISOS_2024[[#All],[Total Comprometido]],[2]!COMPROMISOS_2024[[#All],[Bolsa]],PAA_4[[#This Row],[BOLSA]],[2]!COMPROMISOS_2024[[#All],[concatenado]],PAA_4[[#This Row],[RCP-RUBRO]]))</f>
        <v>0</v>
      </c>
    </row>
    <row r="2084" spans="1:38" s="19" customFormat="1" ht="31.5" customHeight="1">
      <c r="A2084" s="47">
        <v>1328</v>
      </c>
      <c r="B2084" s="47">
        <v>72101500</v>
      </c>
      <c r="C2084" s="47" t="str">
        <f>VLOOKUP(PAA_4[[#This Row],[PROYECTO (formulado)2]],[2]PROYECTOS!$G$1:$L$32,6,0)</f>
        <v>SUBGERENCIA ESCENARIOS DEPORTIVOS Y EQUIPAMIENTOS</v>
      </c>
      <c r="D2084" s="47" t="str">
        <f>+IF(PAA_4[[#This Row],[UNIDAD DE CONTRATACION (formulado)]]="Subgerencia Administrativa y Financiera","FUNCIONAMIENTO","INVERSIÓN")</f>
        <v>INVERSIÓN</v>
      </c>
      <c r="E2084" s="48" t="str">
        <f>VLOOKUP(Q2084,[2]PROYECTOS!$G$1:$K$32,5,0)</f>
        <v>Mantenimiento, adecuación, mejoras de escenarios deportivos o equipamientos en el departamento de Antioquia</v>
      </c>
      <c r="F2084" s="48">
        <f>VLOOKUP(E2084,[2]PROYECTOS!$K$1:$M$32,3,0)</f>
        <v>2024003050075</v>
      </c>
      <c r="G2084" s="49" t="s">
        <v>1842</v>
      </c>
      <c r="H2084" s="49" t="str">
        <f>VLOOKUP(Q2084,[2]PROYECTOS!$V$1:$W$32,2,0)</f>
        <v>050070</v>
      </c>
      <c r="I2084" s="78">
        <v>557005173</v>
      </c>
      <c r="J2084" s="51" t="s">
        <v>2290</v>
      </c>
      <c r="K2084" s="47" t="str">
        <f t="shared" ca="1" si="651"/>
        <v>CONTRATADO</v>
      </c>
      <c r="L2084" s="47" t="s">
        <v>94</v>
      </c>
      <c r="M2084" s="227" t="s">
        <v>1894</v>
      </c>
      <c r="N2084" s="52" t="s">
        <v>2265</v>
      </c>
      <c r="O2084" s="51" t="e">
        <f>VLOOKUP(N2084,[2]!RUBROS[#All],3,0)</f>
        <v>#REF!</v>
      </c>
      <c r="P2084" s="53" t="e">
        <f>VLOOKUP(N2084,[2]!RUBROS[#All],2,0)</f>
        <v>#REF!</v>
      </c>
      <c r="Q2084" s="47" t="str">
        <f t="shared" si="652"/>
        <v>75</v>
      </c>
      <c r="R2084" s="47" t="str">
        <f t="shared" si="653"/>
        <v>0-202029</v>
      </c>
      <c r="S2084" s="54">
        <v>8</v>
      </c>
      <c r="T2084" s="63" t="s">
        <v>46</v>
      </c>
      <c r="U2084" s="326" t="e">
        <f ca="1">_xlfn.XLOOKUP(PAA_4[[#This Row],[ITEM]],[2]Contrato!A:A,[2]Contrato!Q:Q,"",0)</f>
        <v>#NAME?</v>
      </c>
      <c r="V2084" s="47" t="s">
        <v>95</v>
      </c>
      <c r="W2084" s="47" t="s">
        <v>201</v>
      </c>
      <c r="X2084" s="47" t="s">
        <v>201</v>
      </c>
      <c r="Y2084" s="55" t="e">
        <f ca="1">_xlfn.XLOOKUP(PAA_4[[#This Row],[ITEM]],[2]Contrato!A:A,[2]Contrato!B:B,"",0)</f>
        <v>#NAME?</v>
      </c>
      <c r="Z2084" s="47" t="e">
        <f ca="1">_xlfn.XLOOKUP(PAA_4[[#This Row],[ITEM]],[2]Contrato!A:A,[2]Contrato!G:G,"",0)</f>
        <v>#NAME?</v>
      </c>
      <c r="AA2084" s="47" t="e">
        <f ca="1">_xlfn.XLOOKUP(PAA_4[[#This Row],[ITEM]],[2]Contrato!A:A,[2]Contrato!T:T,"",0)</f>
        <v>#NAME?</v>
      </c>
      <c r="AB2084" s="55" t="e">
        <f ca="1">+MAX(PAA_4[[#This Row],[Comprometido Contrato]],PAA_4[[#This Row],[Comprometido Bolsa]])</f>
        <v>#NAME?</v>
      </c>
      <c r="AC2084" s="55" t="str">
        <f t="shared" ca="1" si="654"/>
        <v/>
      </c>
      <c r="AD2084" s="55" t="e">
        <f ca="1">IF(PAA_4[[#This Row],[ESTADO (formulado)]]="NO CONTRATADO",0,MAX(PAA_4[[#This Row],[Pago por Contrato]],PAA_4[[#This Row],[Pago por bolsa]]))</f>
        <v>#NAME?</v>
      </c>
      <c r="AE2084" s="55" t="str">
        <f t="shared" ca="1" si="655"/>
        <v/>
      </c>
      <c r="AF2084" s="47" t="e">
        <f t="shared" ca="1" si="656"/>
        <v>#NAME?</v>
      </c>
      <c r="AG2084" s="47">
        <f t="shared" si="657"/>
        <v>52010902</v>
      </c>
      <c r="AH2084" s="54">
        <f>IF(Q2084="22",IF(ISNUMBER(SEARCH("econ",PAA_4[[#This Row],[Actividad3]])),"Económico",IF(ISNUMBER(SEARCH("alim",PAA_4[[#This Row],[Actividad3]])),"Alimentación",IF(ISNUMBER(SEARCH("educ",PAA_4[[#This Row],[Actividad3]])),"Educativo","Técnico"))),0)</f>
        <v>0</v>
      </c>
      <c r="AI2084" s="47" t="e" cm="1">
        <f t="array" aca="1" ref="AI2084" ca="1">_xlfn.XLOOKUP(PAA_4[[#This Row],[RCP-RUBRO]],[2]!COMPROMISOS_2024[[#All],[concatenado]],[2]!COMPROMISOS_2024[[#All],[Total pagado]],"",0)</f>
        <v>#NAME?</v>
      </c>
      <c r="AJ2084" s="56">
        <f>IF(PAA_4[[#This Row],[BOLSA]]=0,0,SUMIFS([2]!COMPROMISOS_2024[[#All],[Total pagado]],[2]!COMPROMISOS_2024[[#All],[Bolsa]],PAA_4[[#This Row],[BOLSA]],[2]!COMPROMISOS_2024[[#All],[rubro]],PAA_4[[#This Row],[RCP-RUBRO]]))</f>
        <v>0</v>
      </c>
      <c r="AK2084" s="47" t="e" cm="1">
        <f t="array" aca="1" ref="AK2084" ca="1">_xlfn.XLOOKUP(PAA_4[[#This Row],[RCP-RUBRO]],[2]!COMPROMISOS_2024[[#All],[concatenado]],[2]!COMPROMISOS_2024[[#All],[Total Comprometido]],"",0)</f>
        <v>#NAME?</v>
      </c>
      <c r="AL2084" s="47">
        <f>IF(PAA_4[[#This Row],[BOLSA]]=0,0,SUMIFS([2]!COMPROMISOS_2024[[#All],[Total Comprometido]],[2]!COMPROMISOS_2024[[#All],[Bolsa]],PAA_4[[#This Row],[BOLSA]],[2]!COMPROMISOS_2024[[#All],[concatenado]],PAA_4[[#This Row],[RCP-RUBRO]]))</f>
        <v>0</v>
      </c>
    </row>
    <row r="2085" spans="1:38" s="19" customFormat="1" ht="31.5" customHeight="1">
      <c r="A2085" s="47">
        <v>1080</v>
      </c>
      <c r="B2085" s="47">
        <v>72101500</v>
      </c>
      <c r="C2085" s="47" t="str">
        <f>VLOOKUP(PAA_4[[#This Row],[PROYECTO (formulado)2]],[2]PROYECTOS!$G$1:$L$32,6,0)</f>
        <v>SUBGERENCIA ESCENARIOS DEPORTIVOS Y EQUIPAMIENTOS</v>
      </c>
      <c r="D2085" s="47" t="str">
        <f>+IF(PAA_4[[#This Row],[UNIDAD DE CONTRATACION (formulado)]]="Subgerencia Administrativa y Financiera","FUNCIONAMIENTO","INVERSIÓN")</f>
        <v>INVERSIÓN</v>
      </c>
      <c r="E2085" s="48" t="str">
        <f>VLOOKUP(Q2085,[2]PROYECTOS!$G$1:$K$32,5,0)</f>
        <v>Mantenimiento, adecuación, mejoras de escenarios deportivos o equipamientos en el departamento de Antioquia</v>
      </c>
      <c r="F2085" s="48">
        <f>VLOOKUP(E2085,[2]PROYECTOS!$K$1:$M$32,3,0)</f>
        <v>2024003050075</v>
      </c>
      <c r="G2085" s="49" t="s">
        <v>1842</v>
      </c>
      <c r="H2085" s="49" t="str">
        <f>VLOOKUP(Q2085,[2]PROYECTOS!$V$1:$W$32,2,0)</f>
        <v>050070</v>
      </c>
      <c r="I2085" s="78">
        <v>272925381</v>
      </c>
      <c r="J2085" s="51" t="s">
        <v>316</v>
      </c>
      <c r="K2085" s="47" t="str">
        <f t="shared" ca="1" si="651"/>
        <v>CONTRATADO</v>
      </c>
      <c r="L2085" s="47" t="s">
        <v>42</v>
      </c>
      <c r="M2085" s="47" t="s">
        <v>42</v>
      </c>
      <c r="N2085" s="52" t="s">
        <v>2265</v>
      </c>
      <c r="O2085" s="51" t="e">
        <f>VLOOKUP(N2085,[2]!RUBROS[#All],3,0)</f>
        <v>#REF!</v>
      </c>
      <c r="P2085" s="53" t="e">
        <f>VLOOKUP(N2085,[2]!RUBROS[#All],2,0)</f>
        <v>#REF!</v>
      </c>
      <c r="Q2085" s="47" t="str">
        <f t="shared" si="652"/>
        <v>75</v>
      </c>
      <c r="R2085" s="47" t="str">
        <f t="shared" si="653"/>
        <v>0-202029</v>
      </c>
      <c r="S2085" s="54" t="s">
        <v>42</v>
      </c>
      <c r="T2085" s="54" t="s">
        <v>42</v>
      </c>
      <c r="U2085" s="326" t="e">
        <f ca="1">_xlfn.XLOOKUP(PAA_4[[#This Row],[ITEM]],[2]Contrato!A:A,[2]Contrato!Q:Q,"",0)</f>
        <v>#NAME?</v>
      </c>
      <c r="V2085" s="47" t="s">
        <v>42</v>
      </c>
      <c r="W2085" s="47" t="s">
        <v>42</v>
      </c>
      <c r="X2085" s="47" t="s">
        <v>42</v>
      </c>
      <c r="Y2085" s="55" t="e">
        <f ca="1">_xlfn.XLOOKUP(PAA_4[[#This Row],[ITEM]],[2]Contrato!A:A,[2]Contrato!B:B,"",0)</f>
        <v>#NAME?</v>
      </c>
      <c r="Z2085" s="47" t="e">
        <f ca="1">_xlfn.XLOOKUP(PAA_4[[#This Row],[ITEM]],[2]Contrato!A:A,[2]Contrato!G:G,"",0)</f>
        <v>#NAME?</v>
      </c>
      <c r="AA2085" s="47" t="e">
        <f ca="1">_xlfn.XLOOKUP(PAA_4[[#This Row],[ITEM]],[2]Contrato!A:A,[2]Contrato!T:T,"",0)</f>
        <v>#NAME?</v>
      </c>
      <c r="AB2085" s="55" t="e">
        <f ca="1">+MAX(PAA_4[[#This Row],[Comprometido Contrato]],PAA_4[[#This Row],[Comprometido Bolsa]])</f>
        <v>#NAME?</v>
      </c>
      <c r="AC2085" s="55" t="str">
        <f t="shared" ca="1" si="654"/>
        <v/>
      </c>
      <c r="AD2085" s="55" t="e">
        <f ca="1">IF(PAA_4[[#This Row],[ESTADO (formulado)]]="NO CONTRATADO",0,MAX(PAA_4[[#This Row],[Pago por Contrato]],PAA_4[[#This Row],[Pago por bolsa]]))</f>
        <v>#NAME?</v>
      </c>
      <c r="AE2085" s="55" t="str">
        <f t="shared" ca="1" si="655"/>
        <v/>
      </c>
      <c r="AF2085" s="47" t="e">
        <f t="shared" ca="1" si="656"/>
        <v>#NAME?</v>
      </c>
      <c r="AG2085" s="47">
        <f t="shared" si="657"/>
        <v>52010902</v>
      </c>
      <c r="AH2085" s="54">
        <f>IF(Q2085="22",IF(ISNUMBER(SEARCH("econ",PAA_4[[#This Row],[Actividad3]])),"Económico",IF(ISNUMBER(SEARCH("alim",PAA_4[[#This Row],[Actividad3]])),"Alimentación",IF(ISNUMBER(SEARCH("educ",PAA_4[[#This Row],[Actividad3]])),"Educativo","Técnico"))),0)</f>
        <v>0</v>
      </c>
      <c r="AI2085" s="47" t="e" cm="1">
        <f t="array" aca="1" ref="AI2085" ca="1">_xlfn.XLOOKUP(PAA_4[[#This Row],[RCP-RUBRO]],[2]!COMPROMISOS_2024[[#All],[concatenado]],[2]!COMPROMISOS_2024[[#All],[Total pagado]],"",0)</f>
        <v>#NAME?</v>
      </c>
      <c r="AJ2085" s="56">
        <f>IF(PAA_4[[#This Row],[BOLSA]]=0,0,SUMIFS([2]!COMPROMISOS_2024[[#All],[Total pagado]],[2]!COMPROMISOS_2024[[#All],[Bolsa]],PAA_4[[#This Row],[BOLSA]],[2]!COMPROMISOS_2024[[#All],[rubro]],PAA_4[[#This Row],[RCP-RUBRO]]))</f>
        <v>0</v>
      </c>
      <c r="AK2085" s="47" t="e" cm="1">
        <f t="array" aca="1" ref="AK2085" ca="1">_xlfn.XLOOKUP(PAA_4[[#This Row],[RCP-RUBRO]],[2]!COMPROMISOS_2024[[#All],[concatenado]],[2]!COMPROMISOS_2024[[#All],[Total Comprometido]],"",0)</f>
        <v>#NAME?</v>
      </c>
      <c r="AL2085" s="47">
        <f>IF(PAA_4[[#This Row],[BOLSA]]=0,0,SUMIFS([2]!COMPROMISOS_2024[[#All],[Total Comprometido]],[2]!COMPROMISOS_2024[[#All],[Bolsa]],PAA_4[[#This Row],[BOLSA]],[2]!COMPROMISOS_2024[[#All],[concatenado]],PAA_4[[#This Row],[RCP-RUBRO]]))</f>
        <v>0</v>
      </c>
    </row>
    <row r="2086" spans="1:38" s="19" customFormat="1" ht="31.5" customHeight="1">
      <c r="A2086" s="47">
        <v>1209</v>
      </c>
      <c r="B2086" s="47">
        <v>72101500</v>
      </c>
      <c r="C2086" s="47" t="str">
        <f>VLOOKUP(PAA_4[[#This Row],[PROYECTO (formulado)2]],[2]PROYECTOS!$G$1:$L$32,6,0)</f>
        <v>SUBGERENCIA ESCENARIOS DEPORTIVOS Y EQUIPAMIENTOS</v>
      </c>
      <c r="D2086" s="47" t="str">
        <f>+IF(PAA_4[[#This Row],[UNIDAD DE CONTRATACION (formulado)]]="Subgerencia Administrativa y Financiera","FUNCIONAMIENTO","INVERSIÓN")</f>
        <v>INVERSIÓN</v>
      </c>
      <c r="E2086" s="48" t="str">
        <f>VLOOKUP(Q2086,[2]PROYECTOS!$G$1:$K$32,5,0)</f>
        <v>MEJORAMIENTO_DE_LA_INFRAESTRUCTURA_DEPORTIVA_Y_RECREATIVA_EN_EL_DEPARTAMENTO_DE_ANTIOQUIA</v>
      </c>
      <c r="F2086" s="48">
        <f>VLOOKUP(E2086,[2]PROYECTOS!$K$1:$M$32,3,0)</f>
        <v>2020003050027</v>
      </c>
      <c r="G2086" s="49" t="s">
        <v>2249</v>
      </c>
      <c r="H2086" s="49" t="str">
        <f>VLOOKUP(Q2086,[2]PROYECTOS!$V$1:$W$32,2,0)</f>
        <v>050058</v>
      </c>
      <c r="I2086" s="78">
        <v>3595273</v>
      </c>
      <c r="J2086" s="51" t="s">
        <v>2291</v>
      </c>
      <c r="K2086" s="47" t="str">
        <f t="shared" ca="1" si="651"/>
        <v>CONTRATADO</v>
      </c>
      <c r="L2086" s="47" t="s">
        <v>78</v>
      </c>
      <c r="M2086" s="47" t="s">
        <v>284</v>
      </c>
      <c r="N2086" s="52" t="s">
        <v>308</v>
      </c>
      <c r="O2086" s="51" t="e">
        <f>VLOOKUP(N2086,[2]!RUBROS[#All],3,0)</f>
        <v>#REF!</v>
      </c>
      <c r="P2086" s="53" t="e">
        <f>VLOOKUP(N2086,[2]!RUBROS[#All],2,0)</f>
        <v>#REF!</v>
      </c>
      <c r="Q2086" s="47" t="str">
        <f t="shared" si="652"/>
        <v>64</v>
      </c>
      <c r="R2086" s="47" t="str">
        <f t="shared" si="653"/>
        <v>0-202029</v>
      </c>
      <c r="S2086" s="54">
        <v>3</v>
      </c>
      <c r="T2086" s="63" t="s">
        <v>46</v>
      </c>
      <c r="U2086" s="326" t="e">
        <f ca="1">_xlfn.XLOOKUP(PAA_4[[#This Row],[ITEM]],[2]Contrato!A:A,[2]Contrato!Q:Q,"",0)</f>
        <v>#NAME?</v>
      </c>
      <c r="V2086" s="47" t="s">
        <v>95</v>
      </c>
      <c r="W2086" s="47" t="s">
        <v>204</v>
      </c>
      <c r="X2086" s="47" t="s">
        <v>204</v>
      </c>
      <c r="Y2086" s="55" t="e">
        <f ca="1">_xlfn.XLOOKUP(PAA_4[[#This Row],[ITEM]],[2]Contrato!A:A,[2]Contrato!B:B,"",0)</f>
        <v>#NAME?</v>
      </c>
      <c r="Z2086" s="47" t="e">
        <f ca="1">_xlfn.XLOOKUP(PAA_4[[#This Row],[ITEM]],[2]Contrato!A:A,[2]Contrato!G:G,"",0)</f>
        <v>#NAME?</v>
      </c>
      <c r="AA2086" s="47" t="e">
        <f ca="1">_xlfn.XLOOKUP(PAA_4[[#This Row],[ITEM]],[2]Contrato!A:A,[2]Contrato!T:T,"",0)</f>
        <v>#NAME?</v>
      </c>
      <c r="AB2086" s="55" t="e">
        <f ca="1">+MAX(PAA_4[[#This Row],[Comprometido Contrato]],PAA_4[[#This Row],[Comprometido Bolsa]])</f>
        <v>#NAME?</v>
      </c>
      <c r="AC2086" s="55" t="str">
        <f t="shared" ca="1" si="654"/>
        <v/>
      </c>
      <c r="AD2086" s="55" t="e">
        <f ca="1">IF(PAA_4[[#This Row],[ESTADO (formulado)]]="NO CONTRATADO",0,MAX(PAA_4[[#This Row],[Pago por Contrato]],PAA_4[[#This Row],[Pago por bolsa]]))</f>
        <v>#NAME?</v>
      </c>
      <c r="AE2086" s="55" t="str">
        <f t="shared" ca="1" si="655"/>
        <v/>
      </c>
      <c r="AF2086" s="47" t="e">
        <f t="shared" ca="1" si="656"/>
        <v>#NAME?</v>
      </c>
      <c r="AG2086" s="47">
        <f t="shared" si="657"/>
        <v>43010901</v>
      </c>
      <c r="AH2086" s="54">
        <f>IF(Q2086="22",IF(ISNUMBER(SEARCH("econ",PAA_4[[#This Row],[Actividad3]])),"Económico",IF(ISNUMBER(SEARCH("alim",PAA_4[[#This Row],[Actividad3]])),"Alimentación",IF(ISNUMBER(SEARCH("educ",PAA_4[[#This Row],[Actividad3]])),"Educativo","Técnico"))),0)</f>
        <v>0</v>
      </c>
      <c r="AI2086" s="47" t="e" cm="1">
        <f t="array" aca="1" ref="AI2086" ca="1">_xlfn.XLOOKUP(PAA_4[[#This Row],[RCP-RUBRO]],[2]!COMPROMISOS_2024[[#All],[concatenado]],[2]!COMPROMISOS_2024[[#All],[Total pagado]],"",0)</f>
        <v>#NAME?</v>
      </c>
      <c r="AJ2086" s="56">
        <f>IF(PAA_4[[#This Row],[BOLSA]]=0,0,SUMIFS([2]!COMPROMISOS_2024[[#All],[Total pagado]],[2]!COMPROMISOS_2024[[#All],[Bolsa]],PAA_4[[#This Row],[BOLSA]],[2]!COMPROMISOS_2024[[#All],[rubro]],PAA_4[[#This Row],[RCP-RUBRO]]))</f>
        <v>0</v>
      </c>
      <c r="AK2086" s="47" t="e" cm="1">
        <f t="array" aca="1" ref="AK2086" ca="1">_xlfn.XLOOKUP(PAA_4[[#This Row],[RCP-RUBRO]],[2]!COMPROMISOS_2024[[#All],[concatenado]],[2]!COMPROMISOS_2024[[#All],[Total Comprometido]],"",0)</f>
        <v>#NAME?</v>
      </c>
      <c r="AL2086" s="47">
        <f>IF(PAA_4[[#This Row],[BOLSA]]=0,0,SUMIFS([2]!COMPROMISOS_2024[[#All],[Total Comprometido]],[2]!COMPROMISOS_2024[[#All],[Bolsa]],PAA_4[[#This Row],[BOLSA]],[2]!COMPROMISOS_2024[[#All],[concatenado]],PAA_4[[#This Row],[RCP-RUBRO]]))</f>
        <v>0</v>
      </c>
    </row>
    <row r="2087" spans="1:38" s="19" customFormat="1" ht="31.5" customHeight="1">
      <c r="A2087" s="47" t="s">
        <v>82</v>
      </c>
      <c r="B2087" s="47" t="s">
        <v>42</v>
      </c>
      <c r="C2087" s="47" t="str">
        <f>VLOOKUP(PAA_4[[#This Row],[PROYECTO (formulado)2]],[2]PROYECTOS!$G$1:$L$32,6,0)</f>
        <v>SUBGERENCIA ESCENARIOS DEPORTIVOS Y EQUIPAMIENTOS</v>
      </c>
      <c r="D2087" s="47" t="str">
        <f>+IF(PAA_4[[#This Row],[UNIDAD DE CONTRATACION (formulado)]]="Subgerencia Administrativa y Financiera","FUNCIONAMIENTO","INVERSIÓN")</f>
        <v>INVERSIÓN</v>
      </c>
      <c r="E2087" s="48" t="str">
        <f>VLOOKUP(Q2087,[2]PROYECTOS!$G$1:$K$32,5,0)</f>
        <v>Mantenimiento, adecuación, mejoras de escenarios deportivos o equipamientos en el departamento de Antioquia</v>
      </c>
      <c r="F2087" s="48">
        <f>VLOOKUP(E2087,[2]PROYECTOS!$K$1:$M$32,3,0)</f>
        <v>2024003050075</v>
      </c>
      <c r="G2087" s="49" t="s">
        <v>1842</v>
      </c>
      <c r="H2087" s="49" t="str">
        <f>VLOOKUP(Q2087,[2]PROYECTOS!$V$1:$W$32,2,0)</f>
        <v>050070</v>
      </c>
      <c r="I2087" s="78">
        <v>1107887</v>
      </c>
      <c r="J2087" s="51" t="s">
        <v>2292</v>
      </c>
      <c r="K2087" s="47" t="str">
        <f ca="1">IF(ISNONTEXT(Y2087)=TRUE,"CONTRATADO","NO CONTRATADO")</f>
        <v>CONTRATADO</v>
      </c>
      <c r="L2087" s="47" t="s">
        <v>42</v>
      </c>
      <c r="M2087" s="47" t="s">
        <v>42</v>
      </c>
      <c r="N2087" s="52" t="s">
        <v>2293</v>
      </c>
      <c r="O2087" s="51" t="e">
        <f>VLOOKUP(N2087,[2]!RUBROS[#All],3,0)</f>
        <v>#REF!</v>
      </c>
      <c r="P2087" s="53" t="e">
        <f>VLOOKUP(N2087,[2]!RUBROS[#All],2,0)</f>
        <v>#REF!</v>
      </c>
      <c r="Q2087" s="47" t="str">
        <f>+MID(N2087,11,2)</f>
        <v>75</v>
      </c>
      <c r="R2087" s="47" t="str">
        <f>+MID(N2087,14,8)</f>
        <v>0-202029</v>
      </c>
      <c r="S2087" s="54" t="s">
        <v>42</v>
      </c>
      <c r="T2087" s="54" t="s">
        <v>42</v>
      </c>
      <c r="U2087" s="326" t="e">
        <f ca="1">_xlfn.XLOOKUP(PAA_4[[#This Row],[ITEM]],[2]Contrato!A:A,[2]Contrato!Q:Q,"",0)</f>
        <v>#NAME?</v>
      </c>
      <c r="V2087" s="47" t="s">
        <v>42</v>
      </c>
      <c r="W2087" s="47" t="s">
        <v>42</v>
      </c>
      <c r="X2087" s="47" t="s">
        <v>42</v>
      </c>
      <c r="Y2087" s="55" t="e">
        <f ca="1">_xlfn.XLOOKUP(PAA_4[[#This Row],[ITEM]],[2]Contrato!A:A,[2]Contrato!B:B,"",0)</f>
        <v>#NAME?</v>
      </c>
      <c r="Z2087" s="47" t="e">
        <f ca="1">_xlfn.XLOOKUP(PAA_4[[#This Row],[ITEM]],[2]Contrato!A:A,[2]Contrato!G:G,"",0)</f>
        <v>#NAME?</v>
      </c>
      <c r="AA2087" s="47" t="e">
        <f ca="1">_xlfn.XLOOKUP(PAA_4[[#This Row],[ITEM]],[2]Contrato!A:A,[2]Contrato!T:T,"",0)</f>
        <v>#NAME?</v>
      </c>
      <c r="AB2087" s="55" t="e">
        <f ca="1">+MAX(PAA_4[[#This Row],[Comprometido Contrato]],PAA_4[[#This Row],[Comprometido Bolsa]])</f>
        <v>#NAME?</v>
      </c>
      <c r="AC2087" s="55" t="str">
        <f ca="1">IFERROR(I2087-AB2087,"")</f>
        <v/>
      </c>
      <c r="AD2087" s="55" t="e">
        <f ca="1">IF(PAA_4[[#This Row],[ESTADO (formulado)]]="NO CONTRATADO",0,MAX(PAA_4[[#This Row],[Pago por Contrato]],PAA_4[[#This Row],[Pago por bolsa]]))</f>
        <v>#NAME?</v>
      </c>
      <c r="AE2087" s="55" t="str">
        <f ca="1">+IFERROR(AB2087-AD2087,"")</f>
        <v/>
      </c>
      <c r="AF2087" s="47" t="e">
        <f ca="1">+CONCATENATE(AA2087,N2087)</f>
        <v>#NAME?</v>
      </c>
      <c r="AG2087" s="47">
        <f>IFERROR(_xlfn.NUMBERVALUE(MID(G2087,1,8)),"")</f>
        <v>52010902</v>
      </c>
      <c r="AH2087" s="54">
        <f>IF(Q2087="22",IF(ISNUMBER(SEARCH("econ",PAA_4[[#This Row],[Actividad3]])),"Económico",IF(ISNUMBER(SEARCH("alim",PAA_4[[#This Row],[Actividad3]])),"Alimentación",IF(ISNUMBER(SEARCH("educ",PAA_4[[#This Row],[Actividad3]])),"Educativo","Técnico"))),0)</f>
        <v>0</v>
      </c>
      <c r="AI2087" s="47" t="e" cm="1">
        <f t="array" aca="1" ref="AI2087" ca="1">_xlfn.XLOOKUP(PAA_4[[#This Row],[RCP-RUBRO]],[2]!COMPROMISOS_2024[[#All],[concatenado]],[2]!COMPROMISOS_2024[[#All],[Total pagado]],"",0)</f>
        <v>#NAME?</v>
      </c>
      <c r="AJ2087" s="56">
        <f>IF(PAA_4[[#This Row],[BOLSA]]=0,0,SUMIFS([2]!COMPROMISOS_2024[[#All],[Total pagado]],[2]!COMPROMISOS_2024[[#All],[Bolsa]],PAA_4[[#This Row],[BOLSA]],[2]!COMPROMISOS_2024[[#All],[rubro]],PAA_4[[#This Row],[RCP-RUBRO]]))</f>
        <v>0</v>
      </c>
      <c r="AK2087" s="47" t="e" cm="1">
        <f t="array" aca="1" ref="AK2087" ca="1">_xlfn.XLOOKUP(PAA_4[[#This Row],[RCP-RUBRO]],[2]!COMPROMISOS_2024[[#All],[concatenado]],[2]!COMPROMISOS_2024[[#All],[Total Comprometido]],"",0)</f>
        <v>#NAME?</v>
      </c>
      <c r="AL2087" s="47">
        <f>IF(PAA_4[[#This Row],[BOLSA]]=0,0,SUMIFS([2]!COMPROMISOS_2024[[#All],[Total Comprometido]],[2]!COMPROMISOS_2024[[#All],[Bolsa]],PAA_4[[#This Row],[BOLSA]],[2]!COMPROMISOS_2024[[#All],[concatenado]],PAA_4[[#This Row],[RCP-RUBRO]]))</f>
        <v>0</v>
      </c>
    </row>
    <row r="2088" spans="1:38" s="19" customFormat="1" ht="31.5" customHeight="1">
      <c r="A2088" s="47" t="s">
        <v>82</v>
      </c>
      <c r="B2088" s="47" t="s">
        <v>42</v>
      </c>
      <c r="C2088" s="47" t="str">
        <f>VLOOKUP(PAA_4[[#This Row],[PROYECTO (formulado)2]],[2]PROYECTOS!$G$1:$L$32,6,0)</f>
        <v>SUBGERENCIA ESCENARIOS DEPORTIVOS Y EQUIPAMIENTOS</v>
      </c>
      <c r="D2088" s="47" t="str">
        <f>+IF(PAA_4[[#This Row],[UNIDAD DE CONTRATACION (formulado)]]="Subgerencia Administrativa y Financiera","FUNCIONAMIENTO","INVERSIÓN")</f>
        <v>INVERSIÓN</v>
      </c>
      <c r="E2088" s="48" t="str">
        <f>VLOOKUP(Q2088,[2]PROYECTOS!$G$1:$K$32,5,0)</f>
        <v>Mantenimiento, adecuación, mejoras de escenarios deportivos o equipamientos en el departamento de Antioquia</v>
      </c>
      <c r="F2088" s="48">
        <f>VLOOKUP(E2088,[2]PROYECTOS!$K$1:$M$32,3,0)</f>
        <v>2024003050075</v>
      </c>
      <c r="G2088" s="49" t="s">
        <v>1842</v>
      </c>
      <c r="H2088" s="49" t="str">
        <f>VLOOKUP(Q2088,[2]PROYECTOS!$V$1:$W$32,2,0)</f>
        <v>050070</v>
      </c>
      <c r="I2088" s="78">
        <v>323945</v>
      </c>
      <c r="J2088" s="51" t="s">
        <v>1809</v>
      </c>
      <c r="K2088" s="47" t="str">
        <f ca="1">IF(ISNONTEXT(Y2088)=TRUE,"CONTRATADO","NO CONTRATADO")</f>
        <v>CONTRATADO</v>
      </c>
      <c r="L2088" s="52" t="s">
        <v>42</v>
      </c>
      <c r="M2088" s="51" t="s">
        <v>42</v>
      </c>
      <c r="N2088" s="52" t="s">
        <v>2293</v>
      </c>
      <c r="O2088" s="51" t="e">
        <f>VLOOKUP(N2088,[2]!RUBROS[#All],3,0)</f>
        <v>#REF!</v>
      </c>
      <c r="P2088" s="53" t="e">
        <f>VLOOKUP(N2088,[2]!RUBROS[#All],2,0)</f>
        <v>#REF!</v>
      </c>
      <c r="Q2088" s="47" t="str">
        <f>+MID(N2088,11,2)</f>
        <v>75</v>
      </c>
      <c r="R2088" s="47" t="str">
        <f>+MID(N2088,14,8)</f>
        <v>0-202029</v>
      </c>
      <c r="S2088" s="54" t="s">
        <v>42</v>
      </c>
      <c r="T2088" s="54" t="s">
        <v>42</v>
      </c>
      <c r="U2088" s="326" t="e">
        <f ca="1">_xlfn.XLOOKUP(PAA_4[[#This Row],[ITEM]],[2]Contrato!A:A,[2]Contrato!Q:Q,"",0)</f>
        <v>#NAME?</v>
      </c>
      <c r="V2088" s="47" t="s">
        <v>42</v>
      </c>
      <c r="W2088" s="47" t="s">
        <v>42</v>
      </c>
      <c r="X2088" s="47" t="s">
        <v>42</v>
      </c>
      <c r="Y2088" s="55" t="e">
        <f ca="1">_xlfn.XLOOKUP(PAA_4[[#This Row],[ITEM]],[2]Contrato!A:A,[2]Contrato!B:B,"",0)</f>
        <v>#NAME?</v>
      </c>
      <c r="Z2088" s="47" t="e">
        <f ca="1">_xlfn.XLOOKUP(PAA_4[[#This Row],[ITEM]],[2]Contrato!A:A,[2]Contrato!G:G,"",0)</f>
        <v>#NAME?</v>
      </c>
      <c r="AA2088" s="47" t="e">
        <f ca="1">_xlfn.XLOOKUP(PAA_4[[#This Row],[ITEM]],[2]Contrato!A:A,[2]Contrato!T:T,"",0)</f>
        <v>#NAME?</v>
      </c>
      <c r="AB2088" s="55" t="e">
        <f ca="1">+MAX(PAA_4[[#This Row],[Comprometido Contrato]],PAA_4[[#This Row],[Comprometido Bolsa]])</f>
        <v>#NAME?</v>
      </c>
      <c r="AC2088" s="55" t="str">
        <f ca="1">IFERROR(I2088-AB2088,"")</f>
        <v/>
      </c>
      <c r="AD2088" s="55" t="e">
        <f ca="1">IF(PAA_4[[#This Row],[ESTADO (formulado)]]="NO CONTRATADO",0,MAX(PAA_4[[#This Row],[Pago por Contrato]],PAA_4[[#This Row],[Pago por bolsa]]))</f>
        <v>#NAME?</v>
      </c>
      <c r="AE2088" s="55" t="str">
        <f ca="1">+IFERROR(AB2088-AD2088,"")</f>
        <v/>
      </c>
      <c r="AF2088" s="47" t="e">
        <f ca="1">+CONCATENATE(AA2088,N2088)</f>
        <v>#NAME?</v>
      </c>
      <c r="AG2088" s="47">
        <f>IFERROR(_xlfn.NUMBERVALUE(MID(G2088,1,8)),"")</f>
        <v>52010902</v>
      </c>
      <c r="AH2088" s="54">
        <f>IF(Q2088="22",IF(ISNUMBER(SEARCH("econ",PAA_4[[#This Row],[Actividad3]])),"Económico",IF(ISNUMBER(SEARCH("alim",PAA_4[[#This Row],[Actividad3]])),"Alimentación",IF(ISNUMBER(SEARCH("educ",PAA_4[[#This Row],[Actividad3]])),"Educativo","Técnico"))),0)</f>
        <v>0</v>
      </c>
      <c r="AI2088" s="47" t="e" cm="1">
        <f t="array" aca="1" ref="AI2088" ca="1">_xlfn.XLOOKUP(PAA_4[[#This Row],[RCP-RUBRO]],[2]!COMPROMISOS_2024[[#All],[concatenado]],[2]!COMPROMISOS_2024[[#All],[Total pagado]],"",0)</f>
        <v>#NAME?</v>
      </c>
      <c r="AJ2088" s="56">
        <f>IF(PAA_4[[#This Row],[BOLSA]]=0,0,SUMIFS([2]!COMPROMISOS_2024[[#All],[Total pagado]],[2]!COMPROMISOS_2024[[#All],[Bolsa]],PAA_4[[#This Row],[BOLSA]],[2]!COMPROMISOS_2024[[#All],[rubro]],PAA_4[[#This Row],[RCP-RUBRO]]))</f>
        <v>0</v>
      </c>
      <c r="AK2088" s="47" t="e" cm="1">
        <f t="array" aca="1" ref="AK2088" ca="1">_xlfn.XLOOKUP(PAA_4[[#This Row],[RCP-RUBRO]],[2]!COMPROMISOS_2024[[#All],[concatenado]],[2]!COMPROMISOS_2024[[#All],[Total Comprometido]],"",0)</f>
        <v>#NAME?</v>
      </c>
      <c r="AL2088" s="47">
        <f>IF(PAA_4[[#This Row],[BOLSA]]=0,0,SUMIFS([2]!COMPROMISOS_2024[[#All],[Total Comprometido]],[2]!COMPROMISOS_2024[[#All],[Bolsa]],PAA_4[[#This Row],[BOLSA]],[2]!COMPROMISOS_2024[[#All],[concatenado]],PAA_4[[#This Row],[RCP-RUBRO]]))</f>
        <v>0</v>
      </c>
    </row>
    <row r="2089" spans="1:38" s="19" customFormat="1" ht="31.5" customHeight="1">
      <c r="A2089" s="47" t="s">
        <v>2294</v>
      </c>
      <c r="B2089" s="47">
        <v>72101500</v>
      </c>
      <c r="C2089" s="47" t="str">
        <f>VLOOKUP(PAA_4[[#This Row],[PROYECTO (formulado)2]],[2]PROYECTOS!$G$1:$L$32,6,0)</f>
        <v>SUBGERENCIA ESCENARIOS DEPORTIVOS Y EQUIPAMIENTOS</v>
      </c>
      <c r="D2089" s="47" t="str">
        <f>+IF(PAA_4[[#This Row],[UNIDAD DE CONTRATACION (formulado)]]="Subgerencia Administrativa y Financiera","FUNCIONAMIENTO","INVERSIÓN")</f>
        <v>INVERSIÓN</v>
      </c>
      <c r="E2089" s="48" t="str">
        <f>VLOOKUP(Q2089,[2]PROYECTOS!$G$1:$K$32,5,0)</f>
        <v>Mantenimiento, adecuación, mejoras de escenarios deportivos o equipamientos en el departamento de Antioquia</v>
      </c>
      <c r="F2089" s="48">
        <f>VLOOKUP(E2089,[2]PROYECTOS!$K$1:$M$32,3,0)</f>
        <v>2024003050075</v>
      </c>
      <c r="G2089" s="49" t="s">
        <v>1842</v>
      </c>
      <c r="H2089" s="49" t="str">
        <f>VLOOKUP(Q2089,[2]PROYECTOS!$V$1:$W$32,2,0)</f>
        <v>050070</v>
      </c>
      <c r="I2089" s="78">
        <f>6000000-1107887-323945</f>
        <v>4568168</v>
      </c>
      <c r="J2089" s="51" t="s">
        <v>2295</v>
      </c>
      <c r="K2089" s="47" t="str">
        <f t="shared" ref="K2089:K2114" ca="1" si="658">IF(ISNONTEXT(Y2089)=TRUE,"CONTRATADO","NO CONTRATADO")</f>
        <v>CONTRATADO</v>
      </c>
      <c r="L2089" s="47" t="s">
        <v>78</v>
      </c>
      <c r="M2089" s="47" t="s">
        <v>284</v>
      </c>
      <c r="N2089" s="52" t="s">
        <v>2293</v>
      </c>
      <c r="O2089" s="51" t="e">
        <f>VLOOKUP(N2089,[2]!RUBROS[#All],3,0)</f>
        <v>#REF!</v>
      </c>
      <c r="P2089" s="53" t="e">
        <f>VLOOKUP(N2089,[2]!RUBROS[#All],2,0)</f>
        <v>#REF!</v>
      </c>
      <c r="Q2089" s="47" t="str">
        <f t="shared" ref="Q2089:Q2114" si="659">+MID(N2089,11,2)</f>
        <v>75</v>
      </c>
      <c r="R2089" s="47" t="str">
        <f t="shared" ref="R2089:R2116" si="660">+MID(N2089,14,8)</f>
        <v>0-202029</v>
      </c>
      <c r="S2089" s="54">
        <v>2</v>
      </c>
      <c r="T2089" s="63" t="s">
        <v>46</v>
      </c>
      <c r="U2089" s="326" t="e">
        <f ca="1">_xlfn.XLOOKUP(PAA_4[[#This Row],[ITEM]],[2]Contrato!A:A,[2]Contrato!Q:Q,"",0)</f>
        <v>#NAME?</v>
      </c>
      <c r="V2089" s="47" t="s">
        <v>95</v>
      </c>
      <c r="W2089" s="47" t="s">
        <v>204</v>
      </c>
      <c r="X2089" s="47" t="s">
        <v>204</v>
      </c>
      <c r="Y2089" s="55" t="e">
        <f ca="1">_xlfn.XLOOKUP(PAA_4[[#This Row],[ITEM]],[2]Contrato!A:A,[2]Contrato!B:B,"",0)</f>
        <v>#NAME?</v>
      </c>
      <c r="Z2089" s="47" t="e">
        <f ca="1">_xlfn.XLOOKUP(PAA_4[[#This Row],[ITEM]],[2]Contrato!A:A,[2]Contrato!G:G,"",0)</f>
        <v>#NAME?</v>
      </c>
      <c r="AA2089" s="47" t="e">
        <f ca="1">_xlfn.XLOOKUP(PAA_4[[#This Row],[ITEM]],[2]Contrato!A:A,[2]Contrato!T:T,"",0)</f>
        <v>#NAME?</v>
      </c>
      <c r="AB2089" s="55" t="e">
        <f ca="1">+MAX(PAA_4[[#This Row],[Comprometido Contrato]],PAA_4[[#This Row],[Comprometido Bolsa]])</f>
        <v>#NAME?</v>
      </c>
      <c r="AC2089" s="55" t="str">
        <f t="shared" ref="AC2089:AC2114" ca="1" si="661">IFERROR(I2089-AB2089,"")</f>
        <v/>
      </c>
      <c r="AD2089" s="55" t="e">
        <f ca="1">IF(PAA_4[[#This Row],[ESTADO (formulado)]]="NO CONTRATADO",0,MAX(PAA_4[[#This Row],[Pago por Contrato]],PAA_4[[#This Row],[Pago por bolsa]]))</f>
        <v>#NAME?</v>
      </c>
      <c r="AE2089" s="55" t="str">
        <f t="shared" ref="AE2089:AE2114" ca="1" si="662">+IFERROR(AB2089-AD2089,"")</f>
        <v/>
      </c>
      <c r="AF2089" s="47" t="e">
        <f t="shared" ref="AF2089:AF2114" ca="1" si="663">+CONCATENATE(AA2089,N2089)</f>
        <v>#NAME?</v>
      </c>
      <c r="AG2089" s="47">
        <f t="shared" ref="AG2089:AG2114" si="664">IFERROR(_xlfn.NUMBERVALUE(MID(G2089,1,8)),"")</f>
        <v>52010902</v>
      </c>
      <c r="AH2089" s="54">
        <f>IF(Q2089="22",IF(ISNUMBER(SEARCH("econ",PAA_4[[#This Row],[Actividad3]])),"Económico",IF(ISNUMBER(SEARCH("alim",PAA_4[[#This Row],[Actividad3]])),"Alimentación",IF(ISNUMBER(SEARCH("educ",PAA_4[[#This Row],[Actividad3]])),"Educativo","Técnico"))),0)</f>
        <v>0</v>
      </c>
      <c r="AI2089" s="47" t="e" cm="1">
        <f t="array" aca="1" ref="AI2089" ca="1">_xlfn.XLOOKUP(PAA_4[[#This Row],[RCP-RUBRO]],[2]!COMPROMISOS_2024[[#All],[concatenado]],[2]!COMPROMISOS_2024[[#All],[Total pagado]],"",0)</f>
        <v>#NAME?</v>
      </c>
      <c r="AJ2089" s="56">
        <f>IF(PAA_4[[#This Row],[BOLSA]]=0,0,SUMIFS([2]!COMPROMISOS_2024[[#All],[Total pagado]],[2]!COMPROMISOS_2024[[#All],[Bolsa]],PAA_4[[#This Row],[BOLSA]],[2]!COMPROMISOS_2024[[#All],[rubro]],PAA_4[[#This Row],[RCP-RUBRO]]))</f>
        <v>0</v>
      </c>
      <c r="AK2089" s="47" t="e" cm="1">
        <f t="array" aca="1" ref="AK2089" ca="1">_xlfn.XLOOKUP(PAA_4[[#This Row],[RCP-RUBRO]],[2]!COMPROMISOS_2024[[#All],[concatenado]],[2]!COMPROMISOS_2024[[#All],[Total Comprometido]],"",0)</f>
        <v>#NAME?</v>
      </c>
      <c r="AL2089" s="47">
        <f>IF(PAA_4[[#This Row],[BOLSA]]=0,0,SUMIFS([2]!COMPROMISOS_2024[[#All],[Total Comprometido]],[2]!COMPROMISOS_2024[[#All],[Bolsa]],PAA_4[[#This Row],[BOLSA]],[2]!COMPROMISOS_2024[[#All],[concatenado]],PAA_4[[#This Row],[RCP-RUBRO]]))</f>
        <v>0</v>
      </c>
    </row>
    <row r="2090" spans="1:38" s="19" customFormat="1" ht="31.5" customHeight="1">
      <c r="A2090" s="47">
        <v>1296</v>
      </c>
      <c r="B2090" s="47">
        <v>72101500</v>
      </c>
      <c r="C2090" s="47" t="str">
        <f>VLOOKUP(PAA_4[[#This Row],[PROYECTO (formulado)2]],[2]PROYECTOS!$G$1:$L$32,6,0)</f>
        <v>SUBGERENCIA ESCENARIOS DEPORTIVOS Y EQUIPAMIENTOS</v>
      </c>
      <c r="D2090" s="47" t="str">
        <f>+IF(PAA_4[[#This Row],[UNIDAD DE CONTRATACION (formulado)]]="Subgerencia Administrativa y Financiera","FUNCIONAMIENTO","INVERSIÓN")</f>
        <v>INVERSIÓN</v>
      </c>
      <c r="E2090" s="48" t="str">
        <f>VLOOKUP(Q2090,[2]PROYECTOS!$G$1:$K$32,5,0)</f>
        <v>Mantenimiento, adecuación, mejoras de escenarios deportivos o equipamientos en el departamento de Antioquia</v>
      </c>
      <c r="F2090" s="48">
        <f>VLOOKUP(E2090,[2]PROYECTOS!$K$1:$M$32,3,0)</f>
        <v>2024003050075</v>
      </c>
      <c r="G2090" s="49" t="s">
        <v>1842</v>
      </c>
      <c r="H2090" s="49" t="str">
        <f>VLOOKUP(Q2090,[2]PROYECTOS!$V$1:$W$32,2,0)</f>
        <v>050070</v>
      </c>
      <c r="I2090" s="78">
        <v>1051040112</v>
      </c>
      <c r="J2090" s="51" t="s">
        <v>2296</v>
      </c>
      <c r="K2090" s="47" t="str">
        <f t="shared" ca="1" si="658"/>
        <v>CONTRATADO</v>
      </c>
      <c r="L2090" s="47" t="s">
        <v>94</v>
      </c>
      <c r="M2090" s="47" t="s">
        <v>161</v>
      </c>
      <c r="N2090" s="52" t="s">
        <v>2293</v>
      </c>
      <c r="O2090" s="51" t="e">
        <f>VLOOKUP(N2090,[2]!RUBROS[#All],3,0)</f>
        <v>#REF!</v>
      </c>
      <c r="P2090" s="53" t="e">
        <f>VLOOKUP(N2090,[2]!RUBROS[#All],2,0)</f>
        <v>#REF!</v>
      </c>
      <c r="Q2090" s="47" t="str">
        <f t="shared" si="659"/>
        <v>75</v>
      </c>
      <c r="R2090" s="47" t="str">
        <f t="shared" si="660"/>
        <v>0-202029</v>
      </c>
      <c r="S2090" s="339">
        <v>8</v>
      </c>
      <c r="T2090" s="63" t="s">
        <v>46</v>
      </c>
      <c r="U2090" s="326" t="e">
        <f ca="1">_xlfn.XLOOKUP(PAA_4[[#This Row],[ITEM]],[2]Contrato!A:A,[2]Contrato!Q:Q,"",0)</f>
        <v>#NAME?</v>
      </c>
      <c r="V2090" s="47" t="s">
        <v>95</v>
      </c>
      <c r="W2090" s="47" t="s">
        <v>200</v>
      </c>
      <c r="X2090" s="47" t="s">
        <v>200</v>
      </c>
      <c r="Y2090" s="55" t="e">
        <f ca="1">_xlfn.XLOOKUP(PAA_4[[#This Row],[ITEM]],[2]Contrato!A:A,[2]Contrato!B:B,"",0)</f>
        <v>#NAME?</v>
      </c>
      <c r="Z2090" s="47" t="e">
        <f ca="1">_xlfn.XLOOKUP(PAA_4[[#This Row],[ITEM]],[2]Contrato!A:A,[2]Contrato!G:G,"",0)</f>
        <v>#NAME?</v>
      </c>
      <c r="AA2090" s="47" t="e">
        <f ca="1">_xlfn.XLOOKUP(PAA_4[[#This Row],[ITEM]],[2]Contrato!A:A,[2]Contrato!T:T,"",0)</f>
        <v>#NAME?</v>
      </c>
      <c r="AB2090" s="55" t="e">
        <f ca="1">+MAX(PAA_4[[#This Row],[Comprometido Contrato]],PAA_4[[#This Row],[Comprometido Bolsa]])</f>
        <v>#NAME?</v>
      </c>
      <c r="AC2090" s="55" t="str">
        <f t="shared" ca="1" si="661"/>
        <v/>
      </c>
      <c r="AD2090" s="55" t="e">
        <f ca="1">IF(PAA_4[[#This Row],[ESTADO (formulado)]]="NO CONTRATADO",0,MAX(PAA_4[[#This Row],[Pago por Contrato]],PAA_4[[#This Row],[Pago por bolsa]]))</f>
        <v>#NAME?</v>
      </c>
      <c r="AE2090" s="55" t="str">
        <f t="shared" ca="1" si="662"/>
        <v/>
      </c>
      <c r="AF2090" s="47" t="e">
        <f t="shared" ca="1" si="663"/>
        <v>#NAME?</v>
      </c>
      <c r="AG2090" s="47">
        <f t="shared" si="664"/>
        <v>52010902</v>
      </c>
      <c r="AH2090" s="54">
        <f>IF(Q2090="22",IF(ISNUMBER(SEARCH("econ",PAA_4[[#This Row],[Actividad3]])),"Económico",IF(ISNUMBER(SEARCH("alim",PAA_4[[#This Row],[Actividad3]])),"Alimentación",IF(ISNUMBER(SEARCH("educ",PAA_4[[#This Row],[Actividad3]])),"Educativo","Técnico"))),0)</f>
        <v>0</v>
      </c>
      <c r="AI2090" s="47" t="e" cm="1">
        <f t="array" aca="1" ref="AI2090" ca="1">_xlfn.XLOOKUP(PAA_4[[#This Row],[RCP-RUBRO]],[2]!COMPROMISOS_2024[[#All],[concatenado]],[2]!COMPROMISOS_2024[[#All],[Total pagado]],"",0)</f>
        <v>#NAME?</v>
      </c>
      <c r="AJ2090" s="56">
        <f>IF(PAA_4[[#This Row],[BOLSA]]=0,0,SUMIFS([2]!COMPROMISOS_2024[[#All],[Total pagado]],[2]!COMPROMISOS_2024[[#All],[Bolsa]],PAA_4[[#This Row],[BOLSA]],[2]!COMPROMISOS_2024[[#All],[rubro]],PAA_4[[#This Row],[RCP-RUBRO]]))</f>
        <v>0</v>
      </c>
      <c r="AK2090" s="47" t="e" cm="1">
        <f t="array" aca="1" ref="AK2090" ca="1">_xlfn.XLOOKUP(PAA_4[[#This Row],[RCP-RUBRO]],[2]!COMPROMISOS_2024[[#All],[concatenado]],[2]!COMPROMISOS_2024[[#All],[Total Comprometido]],"",0)</f>
        <v>#NAME?</v>
      </c>
      <c r="AL2090" s="47">
        <f>IF(PAA_4[[#This Row],[BOLSA]]=0,0,SUMIFS([2]!COMPROMISOS_2024[[#All],[Total Comprometido]],[2]!COMPROMISOS_2024[[#All],[Bolsa]],PAA_4[[#This Row],[BOLSA]],[2]!COMPROMISOS_2024[[#All],[concatenado]],PAA_4[[#This Row],[RCP-RUBRO]]))</f>
        <v>0</v>
      </c>
    </row>
    <row r="2091" spans="1:38" s="19" customFormat="1" ht="31.5" customHeight="1">
      <c r="A2091" s="47">
        <v>1081</v>
      </c>
      <c r="B2091" s="47" t="s">
        <v>42</v>
      </c>
      <c r="C2091" s="47" t="str">
        <f>VLOOKUP(PAA_4[[#This Row],[PROYECTO (formulado)2]],[2]PROYECTOS!$G$1:$L$32,6,0)</f>
        <v>SUBGERENCIA ESCENARIOS DEPORTIVOS Y EQUIPAMIENTOS</v>
      </c>
      <c r="D2091" s="47" t="str">
        <f>+IF(PAA_4[[#This Row],[UNIDAD DE CONTRATACION (formulado)]]="Subgerencia Administrativa y Financiera","FUNCIONAMIENTO","INVERSIÓN")</f>
        <v>INVERSIÓN</v>
      </c>
      <c r="E2091" s="48" t="str">
        <f>VLOOKUP(Q2091,[2]PROYECTOS!$G$1:$K$32,5,0)</f>
        <v>Mantenimiento, adecuación, mejoras de escenarios deportivos o equipamientos en el departamento de Antioquia</v>
      </c>
      <c r="F2091" s="48">
        <f>VLOOKUP(E2091,[2]PROYECTOS!$K$1:$M$32,3,0)</f>
        <v>2024003050075</v>
      </c>
      <c r="G2091" s="49" t="s">
        <v>1842</v>
      </c>
      <c r="H2091" s="49" t="str">
        <f>VLOOKUP(Q2091,[2]PROYECTOS!$V$1:$W$32,2,0)</f>
        <v>050070</v>
      </c>
      <c r="I2091" s="78">
        <v>0</v>
      </c>
      <c r="J2091" s="51" t="s">
        <v>42</v>
      </c>
      <c r="K2091" s="47" t="str">
        <f t="shared" ca="1" si="658"/>
        <v>CONTRATADO</v>
      </c>
      <c r="L2091" s="47" t="s">
        <v>42</v>
      </c>
      <c r="M2091" s="47" t="s">
        <v>42</v>
      </c>
      <c r="N2091" s="52" t="s">
        <v>2293</v>
      </c>
      <c r="O2091" s="51" t="e">
        <f>VLOOKUP(N2091,[2]!RUBROS[#All],3,0)</f>
        <v>#REF!</v>
      </c>
      <c r="P2091" s="53" t="e">
        <f>VLOOKUP(N2091,[2]!RUBROS[#All],2,0)</f>
        <v>#REF!</v>
      </c>
      <c r="Q2091" s="47" t="str">
        <f t="shared" si="659"/>
        <v>75</v>
      </c>
      <c r="R2091" s="47" t="str">
        <f t="shared" si="660"/>
        <v>0-202029</v>
      </c>
      <c r="S2091" s="54" t="s">
        <v>42</v>
      </c>
      <c r="T2091" s="54" t="s">
        <v>42</v>
      </c>
      <c r="U2091" s="326" t="e">
        <f ca="1">_xlfn.XLOOKUP(PAA_4[[#This Row],[ITEM]],[2]Contrato!A:A,[2]Contrato!Q:Q,"",0)</f>
        <v>#NAME?</v>
      </c>
      <c r="V2091" s="47" t="s">
        <v>42</v>
      </c>
      <c r="W2091" s="47" t="s">
        <v>42</v>
      </c>
      <c r="X2091" s="47" t="s">
        <v>42</v>
      </c>
      <c r="Y2091" s="55" t="e">
        <f ca="1">_xlfn.XLOOKUP(PAA_4[[#This Row],[ITEM]],[2]Contrato!A:A,[2]Contrato!B:B,"",0)</f>
        <v>#NAME?</v>
      </c>
      <c r="Z2091" s="47" t="e">
        <f ca="1">_xlfn.XLOOKUP(PAA_4[[#This Row],[ITEM]],[2]Contrato!A:A,[2]Contrato!G:G,"",0)</f>
        <v>#NAME?</v>
      </c>
      <c r="AA2091" s="47" t="e">
        <f ca="1">_xlfn.XLOOKUP(PAA_4[[#This Row],[ITEM]],[2]Contrato!A:A,[2]Contrato!T:T,"",0)</f>
        <v>#NAME?</v>
      </c>
      <c r="AB2091" s="55" t="e">
        <f ca="1">+MAX(PAA_4[[#This Row],[Comprometido Contrato]],PAA_4[[#This Row],[Comprometido Bolsa]])</f>
        <v>#NAME?</v>
      </c>
      <c r="AC2091" s="55" t="str">
        <f t="shared" ca="1" si="661"/>
        <v/>
      </c>
      <c r="AD2091" s="55" t="e">
        <f ca="1">IF(PAA_4[[#This Row],[ESTADO (formulado)]]="NO CONTRATADO",0,MAX(PAA_4[[#This Row],[Pago por Contrato]],PAA_4[[#This Row],[Pago por bolsa]]))</f>
        <v>#NAME?</v>
      </c>
      <c r="AE2091" s="55" t="str">
        <f t="shared" ca="1" si="662"/>
        <v/>
      </c>
      <c r="AF2091" s="47" t="e">
        <f t="shared" ca="1" si="663"/>
        <v>#NAME?</v>
      </c>
      <c r="AG2091" s="47">
        <f t="shared" si="664"/>
        <v>52010902</v>
      </c>
      <c r="AH2091" s="54">
        <f>IF(Q2091="22",IF(ISNUMBER(SEARCH("econ",PAA_4[[#This Row],[Actividad3]])),"Económico",IF(ISNUMBER(SEARCH("alim",PAA_4[[#This Row],[Actividad3]])),"Alimentación",IF(ISNUMBER(SEARCH("educ",PAA_4[[#This Row],[Actividad3]])),"Educativo","Técnico"))),0)</f>
        <v>0</v>
      </c>
      <c r="AI2091" s="47" t="e" cm="1">
        <f t="array" aca="1" ref="AI2091" ca="1">_xlfn.XLOOKUP(PAA_4[[#This Row],[RCP-RUBRO]],[2]!COMPROMISOS_2024[[#All],[concatenado]],[2]!COMPROMISOS_2024[[#All],[Total pagado]],"",0)</f>
        <v>#NAME?</v>
      </c>
      <c r="AJ2091" s="56">
        <f>IF(PAA_4[[#This Row],[BOLSA]]=0,0,SUMIFS([2]!COMPROMISOS_2024[[#All],[Total pagado]],[2]!COMPROMISOS_2024[[#All],[Bolsa]],PAA_4[[#This Row],[BOLSA]],[2]!COMPROMISOS_2024[[#All],[rubro]],PAA_4[[#This Row],[RCP-RUBRO]]))</f>
        <v>0</v>
      </c>
      <c r="AK2091" s="47" t="e" cm="1">
        <f t="array" aca="1" ref="AK2091" ca="1">_xlfn.XLOOKUP(PAA_4[[#This Row],[RCP-RUBRO]],[2]!COMPROMISOS_2024[[#All],[concatenado]],[2]!COMPROMISOS_2024[[#All],[Total Comprometido]],"",0)</f>
        <v>#NAME?</v>
      </c>
      <c r="AL2091" s="47">
        <f>IF(PAA_4[[#This Row],[BOLSA]]=0,0,SUMIFS([2]!COMPROMISOS_2024[[#All],[Total Comprometido]],[2]!COMPROMISOS_2024[[#All],[Bolsa]],PAA_4[[#This Row],[BOLSA]],[2]!COMPROMISOS_2024[[#All],[concatenado]],PAA_4[[#This Row],[RCP-RUBRO]]))</f>
        <v>0</v>
      </c>
    </row>
    <row r="2092" spans="1:38" s="19" customFormat="1" ht="31.5" customHeight="1">
      <c r="A2092" s="47">
        <v>1318</v>
      </c>
      <c r="B2092" s="47">
        <v>72101500</v>
      </c>
      <c r="C2092" s="47" t="str">
        <f>VLOOKUP(PAA_4[[#This Row],[PROYECTO (formulado)2]],[2]PROYECTOS!$G$1:$L$32,6,0)</f>
        <v>SUBGERENCIA ESCENARIOS DEPORTIVOS Y EQUIPAMIENTOS</v>
      </c>
      <c r="D2092" s="47" t="str">
        <f>+IF(PAA_4[[#This Row],[UNIDAD DE CONTRATACION (formulado)]]="Subgerencia Administrativa y Financiera","FUNCIONAMIENTO","INVERSIÓN")</f>
        <v>INVERSIÓN</v>
      </c>
      <c r="E2092" s="48" t="str">
        <f>VLOOKUP(Q2092,[2]PROYECTOS!$G$1:$K$32,5,0)</f>
        <v>Mantenimiento, adecuación, mejoras de escenarios deportivos o equipamientos en el departamento de Antioquia</v>
      </c>
      <c r="F2092" s="48">
        <f>VLOOKUP(E2092,[2]PROYECTOS!$K$1:$M$32,3,0)</f>
        <v>2024003050075</v>
      </c>
      <c r="G2092" s="49" t="s">
        <v>1842</v>
      </c>
      <c r="H2092" s="49" t="str">
        <f>VLOOKUP(Q2092,[2]PROYECTOS!$V$1:$W$32,2,0)</f>
        <v>050070</v>
      </c>
      <c r="I2092" s="78">
        <v>319626397</v>
      </c>
      <c r="J2092" s="51" t="s">
        <v>2297</v>
      </c>
      <c r="K2092" s="47" t="str">
        <f t="shared" ca="1" si="658"/>
        <v>CONTRATADO</v>
      </c>
      <c r="L2092" s="47" t="s">
        <v>94</v>
      </c>
      <c r="M2092" s="47" t="s">
        <v>161</v>
      </c>
      <c r="N2092" s="52" t="s">
        <v>2298</v>
      </c>
      <c r="O2092" s="51" t="e">
        <f>VLOOKUP(N2092,[2]!RUBROS[#All],3,0)</f>
        <v>#REF!</v>
      </c>
      <c r="P2092" s="53" t="e">
        <f>VLOOKUP(N2092,[2]!RUBROS[#All],2,0)</f>
        <v>#REF!</v>
      </c>
      <c r="Q2092" s="47" t="str">
        <f t="shared" si="659"/>
        <v>75</v>
      </c>
      <c r="R2092" s="47" t="str">
        <f t="shared" si="660"/>
        <v>0-205128</v>
      </c>
      <c r="S2092" s="54">
        <v>6</v>
      </c>
      <c r="T2092" s="63" t="s">
        <v>46</v>
      </c>
      <c r="U2092" s="326" t="e">
        <f ca="1">_xlfn.XLOOKUP(PAA_4[[#This Row],[ITEM]],[2]Contrato!A:A,[2]Contrato!Q:Q,"",0)</f>
        <v>#NAME?</v>
      </c>
      <c r="V2092" s="47" t="s">
        <v>95</v>
      </c>
      <c r="W2092" s="47" t="s">
        <v>200</v>
      </c>
      <c r="X2092" s="47" t="s">
        <v>200</v>
      </c>
      <c r="Y2092" s="55" t="e">
        <f ca="1">_xlfn.XLOOKUP(PAA_4[[#This Row],[ITEM]],[2]Contrato!A:A,[2]Contrato!B:B,"",0)</f>
        <v>#NAME?</v>
      </c>
      <c r="Z2092" s="47" t="e">
        <f ca="1">_xlfn.XLOOKUP(PAA_4[[#This Row],[ITEM]],[2]Contrato!A:A,[2]Contrato!G:G,"",0)</f>
        <v>#NAME?</v>
      </c>
      <c r="AA2092" s="47" t="e">
        <f ca="1">_xlfn.XLOOKUP(PAA_4[[#This Row],[ITEM]],[2]Contrato!A:A,[2]Contrato!T:T,"",0)</f>
        <v>#NAME?</v>
      </c>
      <c r="AB2092" s="55" t="e">
        <f ca="1">+MAX(PAA_4[[#This Row],[Comprometido Contrato]],PAA_4[[#This Row],[Comprometido Bolsa]])</f>
        <v>#NAME?</v>
      </c>
      <c r="AC2092" s="55" t="str">
        <f t="shared" ca="1" si="661"/>
        <v/>
      </c>
      <c r="AD2092" s="55" t="e">
        <f ca="1">IF(PAA_4[[#This Row],[ESTADO (formulado)]]="NO CONTRATADO",0,MAX(PAA_4[[#This Row],[Pago por Contrato]],PAA_4[[#This Row],[Pago por bolsa]]))</f>
        <v>#NAME?</v>
      </c>
      <c r="AE2092" s="55" t="str">
        <f t="shared" ca="1" si="662"/>
        <v/>
      </c>
      <c r="AF2092" s="47" t="e">
        <f t="shared" ca="1" si="663"/>
        <v>#NAME?</v>
      </c>
      <c r="AG2092" s="47">
        <f t="shared" si="664"/>
        <v>52010902</v>
      </c>
      <c r="AH2092" s="54">
        <f>IF(Q2092="22",IF(ISNUMBER(SEARCH("econ",PAA_4[[#This Row],[Actividad3]])),"Económico",IF(ISNUMBER(SEARCH("alim",PAA_4[[#This Row],[Actividad3]])),"Alimentación",IF(ISNUMBER(SEARCH("educ",PAA_4[[#This Row],[Actividad3]])),"Educativo","Técnico"))),0)</f>
        <v>0</v>
      </c>
      <c r="AI2092" s="47" t="e" cm="1">
        <f t="array" aca="1" ref="AI2092" ca="1">_xlfn.XLOOKUP(PAA_4[[#This Row],[RCP-RUBRO]],[2]!COMPROMISOS_2024[[#All],[concatenado]],[2]!COMPROMISOS_2024[[#All],[Total pagado]],"",0)</f>
        <v>#NAME?</v>
      </c>
      <c r="AJ2092" s="56">
        <f>IF(PAA_4[[#This Row],[BOLSA]]=0,0,SUMIFS([2]!COMPROMISOS_2024[[#All],[Total pagado]],[2]!COMPROMISOS_2024[[#All],[Bolsa]],PAA_4[[#This Row],[BOLSA]],[2]!COMPROMISOS_2024[[#All],[rubro]],PAA_4[[#This Row],[RCP-RUBRO]]))</f>
        <v>0</v>
      </c>
      <c r="AK2092" s="47" t="e" cm="1">
        <f t="array" aca="1" ref="AK2092" ca="1">_xlfn.XLOOKUP(PAA_4[[#This Row],[RCP-RUBRO]],[2]!COMPROMISOS_2024[[#All],[concatenado]],[2]!COMPROMISOS_2024[[#All],[Total Comprometido]],"",0)</f>
        <v>#NAME?</v>
      </c>
      <c r="AL2092" s="47">
        <f>IF(PAA_4[[#This Row],[BOLSA]]=0,0,SUMIFS([2]!COMPROMISOS_2024[[#All],[Total Comprometido]],[2]!COMPROMISOS_2024[[#All],[Bolsa]],PAA_4[[#This Row],[BOLSA]],[2]!COMPROMISOS_2024[[#All],[concatenado]],PAA_4[[#This Row],[RCP-RUBRO]]))</f>
        <v>0</v>
      </c>
    </row>
    <row r="2093" spans="1:38" s="19" customFormat="1" ht="31.5" customHeight="1">
      <c r="A2093" s="47">
        <v>1082</v>
      </c>
      <c r="B2093" s="47" t="s">
        <v>42</v>
      </c>
      <c r="C2093" s="47" t="str">
        <f>VLOOKUP(PAA_4[[#This Row],[PROYECTO (formulado)2]],[2]PROYECTOS!$G$1:$L$32,6,0)</f>
        <v>SUBGERENCIA ESCENARIOS DEPORTIVOS Y EQUIPAMIENTOS</v>
      </c>
      <c r="D2093" s="47" t="str">
        <f>+IF(PAA_4[[#This Row],[UNIDAD DE CONTRATACION (formulado)]]="Subgerencia Administrativa y Financiera","FUNCIONAMIENTO","INVERSIÓN")</f>
        <v>INVERSIÓN</v>
      </c>
      <c r="E2093" s="48" t="str">
        <f>VLOOKUP(Q2093,[2]PROYECTOS!$G$1:$K$32,5,0)</f>
        <v>Mantenimiento, adecuación, mejoras de escenarios deportivos o equipamientos en el departamento de Antioquia</v>
      </c>
      <c r="F2093" s="48">
        <f>VLOOKUP(E2093,[2]PROYECTOS!$K$1:$M$32,3,0)</f>
        <v>2024003050075</v>
      </c>
      <c r="G2093" s="49" t="s">
        <v>1842</v>
      </c>
      <c r="H2093" s="49" t="str">
        <f>VLOOKUP(Q2093,[2]PROYECTOS!$V$1:$W$32,2,0)</f>
        <v>050070</v>
      </c>
      <c r="I2093" s="78">
        <v>0</v>
      </c>
      <c r="J2093" s="51" t="s">
        <v>42</v>
      </c>
      <c r="K2093" s="47" t="str">
        <f t="shared" ca="1" si="658"/>
        <v>CONTRATADO</v>
      </c>
      <c r="L2093" s="47" t="s">
        <v>42</v>
      </c>
      <c r="M2093" s="47" t="s">
        <v>42</v>
      </c>
      <c r="N2093" s="52" t="s">
        <v>2298</v>
      </c>
      <c r="O2093" s="51" t="e">
        <f>VLOOKUP(N2093,[2]!RUBROS[#All],3,0)</f>
        <v>#REF!</v>
      </c>
      <c r="P2093" s="53" t="e">
        <f>VLOOKUP(N2093,[2]!RUBROS[#All],2,0)</f>
        <v>#REF!</v>
      </c>
      <c r="Q2093" s="47" t="str">
        <f t="shared" si="659"/>
        <v>75</v>
      </c>
      <c r="R2093" s="47" t="str">
        <f t="shared" si="660"/>
        <v>0-205128</v>
      </c>
      <c r="S2093" s="54" t="s">
        <v>42</v>
      </c>
      <c r="T2093" s="54" t="s">
        <v>42</v>
      </c>
      <c r="U2093" s="326" t="e">
        <f ca="1">_xlfn.XLOOKUP(PAA_4[[#This Row],[ITEM]],[2]Contrato!A:A,[2]Contrato!Q:Q,"",0)</f>
        <v>#NAME?</v>
      </c>
      <c r="V2093" s="47" t="s">
        <v>42</v>
      </c>
      <c r="W2093" s="47" t="s">
        <v>42</v>
      </c>
      <c r="X2093" s="47" t="s">
        <v>42</v>
      </c>
      <c r="Y2093" s="55" t="e">
        <f ca="1">_xlfn.XLOOKUP(PAA_4[[#This Row],[ITEM]],[2]Contrato!A:A,[2]Contrato!B:B,"",0)</f>
        <v>#NAME?</v>
      </c>
      <c r="Z2093" s="47" t="e">
        <f ca="1">_xlfn.XLOOKUP(PAA_4[[#This Row],[ITEM]],[2]Contrato!A:A,[2]Contrato!G:G,"",0)</f>
        <v>#NAME?</v>
      </c>
      <c r="AA2093" s="47" t="e">
        <f ca="1">_xlfn.XLOOKUP(PAA_4[[#This Row],[ITEM]],[2]Contrato!A:A,[2]Contrato!T:T,"",0)</f>
        <v>#NAME?</v>
      </c>
      <c r="AB2093" s="55" t="e">
        <f ca="1">+MAX(PAA_4[[#This Row],[Comprometido Contrato]],PAA_4[[#This Row],[Comprometido Bolsa]])</f>
        <v>#NAME?</v>
      </c>
      <c r="AC2093" s="55" t="str">
        <f t="shared" ca="1" si="661"/>
        <v/>
      </c>
      <c r="AD2093" s="55" t="e">
        <f ca="1">IF(PAA_4[[#This Row],[ESTADO (formulado)]]="NO CONTRATADO",0,MAX(PAA_4[[#This Row],[Pago por Contrato]],PAA_4[[#This Row],[Pago por bolsa]]))</f>
        <v>#NAME?</v>
      </c>
      <c r="AE2093" s="55" t="str">
        <f t="shared" ca="1" si="662"/>
        <v/>
      </c>
      <c r="AF2093" s="47" t="e">
        <f t="shared" ca="1" si="663"/>
        <v>#NAME?</v>
      </c>
      <c r="AG2093" s="47">
        <f t="shared" si="664"/>
        <v>52010902</v>
      </c>
      <c r="AH2093" s="54">
        <f>IF(Q2093="22",IF(ISNUMBER(SEARCH("econ",PAA_4[[#This Row],[Actividad3]])),"Económico",IF(ISNUMBER(SEARCH("alim",PAA_4[[#This Row],[Actividad3]])),"Alimentación",IF(ISNUMBER(SEARCH("educ",PAA_4[[#This Row],[Actividad3]])),"Educativo","Técnico"))),0)</f>
        <v>0</v>
      </c>
      <c r="AI2093" s="47" t="e" cm="1">
        <f t="array" aca="1" ref="AI2093" ca="1">_xlfn.XLOOKUP(PAA_4[[#This Row],[RCP-RUBRO]],[2]!COMPROMISOS_2024[[#All],[concatenado]],[2]!COMPROMISOS_2024[[#All],[Total pagado]],"",0)</f>
        <v>#NAME?</v>
      </c>
      <c r="AJ2093" s="56">
        <f>IF(PAA_4[[#This Row],[BOLSA]]=0,0,SUMIFS([2]!COMPROMISOS_2024[[#All],[Total pagado]],[2]!COMPROMISOS_2024[[#All],[Bolsa]],PAA_4[[#This Row],[BOLSA]],[2]!COMPROMISOS_2024[[#All],[rubro]],PAA_4[[#This Row],[RCP-RUBRO]]))</f>
        <v>0</v>
      </c>
      <c r="AK2093" s="47" t="e" cm="1">
        <f t="array" aca="1" ref="AK2093" ca="1">_xlfn.XLOOKUP(PAA_4[[#This Row],[RCP-RUBRO]],[2]!COMPROMISOS_2024[[#All],[concatenado]],[2]!COMPROMISOS_2024[[#All],[Total Comprometido]],"",0)</f>
        <v>#NAME?</v>
      </c>
      <c r="AL2093" s="47">
        <f>IF(PAA_4[[#This Row],[BOLSA]]=0,0,SUMIFS([2]!COMPROMISOS_2024[[#All],[Total Comprometido]],[2]!COMPROMISOS_2024[[#All],[Bolsa]],PAA_4[[#This Row],[BOLSA]],[2]!COMPROMISOS_2024[[#All],[concatenado]],PAA_4[[#This Row],[RCP-RUBRO]]))</f>
        <v>0</v>
      </c>
    </row>
    <row r="2094" spans="1:38" s="19" customFormat="1" ht="31.5" customHeight="1">
      <c r="A2094" s="47">
        <v>1083</v>
      </c>
      <c r="B2094" s="47">
        <v>81112501</v>
      </c>
      <c r="C2094" s="47" t="str">
        <f>VLOOKUP(PAA_4[[#This Row],[PROYECTO (formulado)2]],[2]PROYECTOS!$G$1:$L$32,6,0)</f>
        <v>SUBGERENCIA ESCENARIOS DEPORTIVOS Y EQUIPAMIENTOS</v>
      </c>
      <c r="D2094" s="47" t="str">
        <f>+IF(PAA_4[[#This Row],[UNIDAD DE CONTRATACION (formulado)]]="Subgerencia Administrativa y Financiera","FUNCIONAMIENTO","INVERSIÓN")</f>
        <v>INVERSIÓN</v>
      </c>
      <c r="E2094" s="48" t="str">
        <f>VLOOKUP(Q2094,[2]PROYECTOS!$G$1:$K$32,5,0)</f>
        <v>Mantenimiento, adecuación, mejoras de escenarios deportivos o equipamientos en el departamento de Antioquia</v>
      </c>
      <c r="F2094" s="48">
        <f>VLOOKUP(E2094,[2]PROYECTOS!$K$1:$M$32,3,0)</f>
        <v>2024003050075</v>
      </c>
      <c r="G2094" s="49" t="s">
        <v>1842</v>
      </c>
      <c r="H2094" s="49" t="str">
        <f>VLOOKUP(Q2094,[2]PROYECTOS!$V$1:$W$32,2,0)</f>
        <v>050070</v>
      </c>
      <c r="I2094" s="78">
        <v>16743211</v>
      </c>
      <c r="J2094" s="51" t="s">
        <v>1836</v>
      </c>
      <c r="K2094" s="47" t="str">
        <f t="shared" ca="1" si="658"/>
        <v>CONTRATADO</v>
      </c>
      <c r="L2094" s="47" t="s">
        <v>151</v>
      </c>
      <c r="M2094" s="47" t="s">
        <v>191</v>
      </c>
      <c r="N2094" s="52" t="s">
        <v>2299</v>
      </c>
      <c r="O2094" s="51" t="e">
        <f>VLOOKUP(N2094,[2]!RUBROS[#All],3,0)</f>
        <v>#REF!</v>
      </c>
      <c r="P2094" s="53" t="e">
        <f>VLOOKUP(N2094,[2]!RUBROS[#All],2,0)</f>
        <v>#REF!</v>
      </c>
      <c r="Q2094" s="47" t="str">
        <f t="shared" si="659"/>
        <v>75</v>
      </c>
      <c r="R2094" s="47" t="str">
        <f t="shared" si="660"/>
        <v>0-101024</v>
      </c>
      <c r="S2094" s="54" t="s">
        <v>42</v>
      </c>
      <c r="T2094" s="54" t="s">
        <v>42</v>
      </c>
      <c r="U2094" s="326" t="e">
        <f ca="1">_xlfn.XLOOKUP(PAA_4[[#This Row],[ITEM]],[2]Contrato!A:A,[2]Contrato!Q:Q,"",0)</f>
        <v>#NAME?</v>
      </c>
      <c r="V2094" s="47" t="s">
        <v>42</v>
      </c>
      <c r="W2094" s="47" t="s">
        <v>42</v>
      </c>
      <c r="X2094" s="47" t="s">
        <v>42</v>
      </c>
      <c r="Y2094" s="55" t="e">
        <f ca="1">_xlfn.XLOOKUP(PAA_4[[#This Row],[ITEM]],[2]Contrato!A:A,[2]Contrato!B:B,"",0)</f>
        <v>#NAME?</v>
      </c>
      <c r="Z2094" s="47" t="e">
        <f ca="1">_xlfn.XLOOKUP(PAA_4[[#This Row],[ITEM]],[2]Contrato!A:A,[2]Contrato!G:G,"",0)</f>
        <v>#NAME?</v>
      </c>
      <c r="AA2094" s="47" t="e">
        <f ca="1">_xlfn.XLOOKUP(PAA_4[[#This Row],[ITEM]],[2]Contrato!A:A,[2]Contrato!T:T,"",0)</f>
        <v>#NAME?</v>
      </c>
      <c r="AB2094" s="55" t="e">
        <f ca="1">+MAX(PAA_4[[#This Row],[Comprometido Contrato]],PAA_4[[#This Row],[Comprometido Bolsa]])</f>
        <v>#NAME?</v>
      </c>
      <c r="AC2094" s="55" t="str">
        <f t="shared" ca="1" si="661"/>
        <v/>
      </c>
      <c r="AD2094" s="55" t="e">
        <f ca="1">IF(PAA_4[[#This Row],[ESTADO (formulado)]]="NO CONTRATADO",0,MAX(PAA_4[[#This Row],[Pago por Contrato]],PAA_4[[#This Row],[Pago por bolsa]]))</f>
        <v>#NAME?</v>
      </c>
      <c r="AE2094" s="55" t="str">
        <f t="shared" ca="1" si="662"/>
        <v/>
      </c>
      <c r="AF2094" s="47" t="e">
        <f t="shared" ca="1" si="663"/>
        <v>#NAME?</v>
      </c>
      <c r="AG2094" s="47">
        <f t="shared" si="664"/>
        <v>52010902</v>
      </c>
      <c r="AH2094" s="54">
        <f>IF(Q2094="22",IF(ISNUMBER(SEARCH("econ",PAA_4[[#This Row],[Actividad3]])),"Económico",IF(ISNUMBER(SEARCH("alim",PAA_4[[#This Row],[Actividad3]])),"Alimentación",IF(ISNUMBER(SEARCH("educ",PAA_4[[#This Row],[Actividad3]])),"Educativo","Técnico"))),0)</f>
        <v>0</v>
      </c>
      <c r="AI2094" s="47" t="e" cm="1">
        <f t="array" aca="1" ref="AI2094" ca="1">_xlfn.XLOOKUP(PAA_4[[#This Row],[RCP-RUBRO]],[2]!COMPROMISOS_2024[[#All],[concatenado]],[2]!COMPROMISOS_2024[[#All],[Total pagado]],"",0)</f>
        <v>#NAME?</v>
      </c>
      <c r="AJ2094" s="56">
        <f>IF(PAA_4[[#This Row],[BOLSA]]=0,0,SUMIFS([2]!COMPROMISOS_2024[[#All],[Total pagado]],[2]!COMPROMISOS_2024[[#All],[Bolsa]],PAA_4[[#This Row],[BOLSA]],[2]!COMPROMISOS_2024[[#All],[rubro]],PAA_4[[#This Row],[RCP-RUBRO]]))</f>
        <v>0</v>
      </c>
      <c r="AK2094" s="47" t="e" cm="1">
        <f t="array" aca="1" ref="AK2094" ca="1">_xlfn.XLOOKUP(PAA_4[[#This Row],[RCP-RUBRO]],[2]!COMPROMISOS_2024[[#All],[concatenado]],[2]!COMPROMISOS_2024[[#All],[Total Comprometido]],"",0)</f>
        <v>#NAME?</v>
      </c>
      <c r="AL2094" s="47">
        <f>IF(PAA_4[[#This Row],[BOLSA]]=0,0,SUMIFS([2]!COMPROMISOS_2024[[#All],[Total Comprometido]],[2]!COMPROMISOS_2024[[#All],[Bolsa]],PAA_4[[#This Row],[BOLSA]],[2]!COMPROMISOS_2024[[#All],[concatenado]],PAA_4[[#This Row],[RCP-RUBRO]]))</f>
        <v>0</v>
      </c>
    </row>
    <row r="2095" spans="1:38" s="19" customFormat="1" ht="31.5" customHeight="1">
      <c r="A2095" s="47">
        <v>1084</v>
      </c>
      <c r="B2095" s="47">
        <v>80111808</v>
      </c>
      <c r="C2095" s="47" t="str">
        <f>VLOOKUP(PAA_4[[#This Row],[PROYECTO (formulado)2]],[2]PROYECTOS!$G$1:$L$32,6,0)</f>
        <v>SUBGERENCIA ESCENARIOS DEPORTIVOS Y EQUIPAMIENTOS</v>
      </c>
      <c r="D2095" s="47" t="str">
        <f>+IF(PAA_4[[#This Row],[UNIDAD DE CONTRATACION (formulado)]]="Subgerencia Administrativa y Financiera","FUNCIONAMIENTO","INVERSIÓN")</f>
        <v>INVERSIÓN</v>
      </c>
      <c r="E2095" s="48" t="str">
        <f>VLOOKUP(Q2095,[2]PROYECTOS!$G$1:$K$32,5,0)</f>
        <v>Mantenimiento, adecuación, mejoras de escenarios deportivos o equipamientos en el departamento de Antioquia</v>
      </c>
      <c r="F2095" s="48">
        <f>VLOOKUP(E2095,[2]PROYECTOS!$K$1:$M$32,3,0)</f>
        <v>2024003050075</v>
      </c>
      <c r="G2095" s="49" t="s">
        <v>2300</v>
      </c>
      <c r="H2095" s="49" t="str">
        <f>VLOOKUP(Q2095,[2]PROYECTOS!$V$1:$W$32,2,0)</f>
        <v>050070</v>
      </c>
      <c r="I2095" s="78">
        <v>0</v>
      </c>
      <c r="J2095" s="51" t="s">
        <v>42</v>
      </c>
      <c r="K2095" s="47" t="str">
        <f t="shared" ca="1" si="658"/>
        <v>CONTRATADO</v>
      </c>
      <c r="L2095" s="47" t="s">
        <v>42</v>
      </c>
      <c r="M2095" s="47" t="s">
        <v>42</v>
      </c>
      <c r="N2095" s="52" t="s">
        <v>2301</v>
      </c>
      <c r="O2095" s="51" t="e">
        <f>VLOOKUP(N2095,[2]!RUBROS[#All],3,0)</f>
        <v>#REF!</v>
      </c>
      <c r="P2095" s="53" t="e">
        <f>VLOOKUP(N2095,[2]!RUBROS[#All],2,0)</f>
        <v>#REF!</v>
      </c>
      <c r="Q2095" s="47" t="str">
        <f t="shared" si="659"/>
        <v>75</v>
      </c>
      <c r="R2095" s="47" t="str">
        <f t="shared" si="660"/>
        <v>0-205128</v>
      </c>
      <c r="S2095" s="54" t="s">
        <v>42</v>
      </c>
      <c r="T2095" s="54" t="s">
        <v>42</v>
      </c>
      <c r="U2095" s="326" t="e">
        <f ca="1">_xlfn.XLOOKUP(PAA_4[[#This Row],[ITEM]],[2]Contrato!A:A,[2]Contrato!Q:Q,"",0)</f>
        <v>#NAME?</v>
      </c>
      <c r="V2095" s="47" t="s">
        <v>42</v>
      </c>
      <c r="W2095" s="47" t="s">
        <v>42</v>
      </c>
      <c r="X2095" s="47" t="s">
        <v>42</v>
      </c>
      <c r="Y2095" s="55" t="e">
        <f ca="1">_xlfn.XLOOKUP(PAA_4[[#This Row],[ITEM]],[2]Contrato!A:A,[2]Contrato!B:B,"",0)</f>
        <v>#NAME?</v>
      </c>
      <c r="Z2095" s="47" t="e">
        <f ca="1">_xlfn.XLOOKUP(PAA_4[[#This Row],[ITEM]],[2]Contrato!A:A,[2]Contrato!G:G,"",0)</f>
        <v>#NAME?</v>
      </c>
      <c r="AA2095" s="47" t="e">
        <f ca="1">_xlfn.XLOOKUP(PAA_4[[#This Row],[ITEM]],[2]Contrato!A:A,[2]Contrato!T:T,"",0)</f>
        <v>#NAME?</v>
      </c>
      <c r="AB2095" s="55" t="e">
        <f ca="1">+MAX(PAA_4[[#This Row],[Comprometido Contrato]],PAA_4[[#This Row],[Comprometido Bolsa]])</f>
        <v>#NAME?</v>
      </c>
      <c r="AC2095" s="55" t="str">
        <f t="shared" ca="1" si="661"/>
        <v/>
      </c>
      <c r="AD2095" s="55" t="e">
        <f ca="1">IF(PAA_4[[#This Row],[ESTADO (formulado)]]="NO CONTRATADO",0,MAX(PAA_4[[#This Row],[Pago por Contrato]],PAA_4[[#This Row],[Pago por bolsa]]))</f>
        <v>#NAME?</v>
      </c>
      <c r="AE2095" s="55" t="str">
        <f t="shared" ca="1" si="662"/>
        <v/>
      </c>
      <c r="AF2095" s="47" t="e">
        <f t="shared" ca="1" si="663"/>
        <v>#NAME?</v>
      </c>
      <c r="AG2095" s="47">
        <f t="shared" si="664"/>
        <v>52010902</v>
      </c>
      <c r="AH2095" s="54">
        <f>IF(Q2095="22",IF(ISNUMBER(SEARCH("econ",PAA_4[[#This Row],[Actividad3]])),"Económico",IF(ISNUMBER(SEARCH("alim",PAA_4[[#This Row],[Actividad3]])),"Alimentación",IF(ISNUMBER(SEARCH("educ",PAA_4[[#This Row],[Actividad3]])),"Educativo","Técnico"))),0)</f>
        <v>0</v>
      </c>
      <c r="AI2095" s="47" t="e" cm="1">
        <f t="array" aca="1" ref="AI2095" ca="1">_xlfn.XLOOKUP(PAA_4[[#This Row],[RCP-RUBRO]],[2]!COMPROMISOS_2024[[#All],[concatenado]],[2]!COMPROMISOS_2024[[#All],[Total pagado]],"",0)</f>
        <v>#NAME?</v>
      </c>
      <c r="AJ2095" s="56">
        <f>IF(PAA_4[[#This Row],[BOLSA]]=0,0,SUMIFS([2]!COMPROMISOS_2024[[#All],[Total pagado]],[2]!COMPROMISOS_2024[[#All],[Bolsa]],PAA_4[[#This Row],[BOLSA]],[2]!COMPROMISOS_2024[[#All],[rubro]],PAA_4[[#This Row],[RCP-RUBRO]]))</f>
        <v>0</v>
      </c>
      <c r="AK2095" s="47" t="e" cm="1">
        <f t="array" aca="1" ref="AK2095" ca="1">_xlfn.XLOOKUP(PAA_4[[#This Row],[RCP-RUBRO]],[2]!COMPROMISOS_2024[[#All],[concatenado]],[2]!COMPROMISOS_2024[[#All],[Total Comprometido]],"",0)</f>
        <v>#NAME?</v>
      </c>
      <c r="AL2095" s="47">
        <f>IF(PAA_4[[#This Row],[BOLSA]]=0,0,SUMIFS([2]!COMPROMISOS_2024[[#All],[Total Comprometido]],[2]!COMPROMISOS_2024[[#All],[Bolsa]],PAA_4[[#This Row],[BOLSA]],[2]!COMPROMISOS_2024[[#All],[concatenado]],PAA_4[[#This Row],[RCP-RUBRO]]))</f>
        <v>0</v>
      </c>
    </row>
    <row r="2096" spans="1:38" s="19" customFormat="1" ht="31.5" customHeight="1">
      <c r="A2096" s="47">
        <v>1120</v>
      </c>
      <c r="B2096" s="47">
        <v>80111600</v>
      </c>
      <c r="C2096" s="47" t="str">
        <f>VLOOKUP(PAA_4[[#This Row],[PROYECTO (formulado)2]],[2]PROYECTOS!$G$1:$L$32,6,0)</f>
        <v>SUBGERENCIA ESCENARIOS DEPORTIVOS Y EQUIPAMIENTOS</v>
      </c>
      <c r="D2096" s="47" t="str">
        <f>+IF(PAA_4[[#This Row],[UNIDAD DE CONTRATACION (formulado)]]="Subgerencia Administrativa y Financiera","FUNCIONAMIENTO","INVERSIÓN")</f>
        <v>INVERSIÓN</v>
      </c>
      <c r="E2096" s="48" t="str">
        <f>VLOOKUP(Q2096,[2]PROYECTOS!$G$1:$K$32,5,0)</f>
        <v>Mantenimiento, adecuación, mejoras de escenarios deportivos o equipamientos en el departamento de Antioquia</v>
      </c>
      <c r="F2096" s="48">
        <f>VLOOKUP(E2096,[2]PROYECTOS!$K$1:$M$32,3,0)</f>
        <v>2024003050075</v>
      </c>
      <c r="G2096" s="49" t="s">
        <v>2300</v>
      </c>
      <c r="H2096" s="49" t="str">
        <f>VLOOKUP(Q2096,[2]PROYECTOS!$V$1:$W$32,2,0)</f>
        <v>050070</v>
      </c>
      <c r="I2096" s="78">
        <v>19490730</v>
      </c>
      <c r="J2096" s="51" t="s">
        <v>2302</v>
      </c>
      <c r="K2096" s="47" t="str">
        <f t="shared" ca="1" si="658"/>
        <v>CONTRATADO</v>
      </c>
      <c r="L2096" s="47" t="s">
        <v>78</v>
      </c>
      <c r="M2096" s="47" t="s">
        <v>1297</v>
      </c>
      <c r="N2096" s="52" t="s">
        <v>2303</v>
      </c>
      <c r="O2096" s="51" t="e">
        <f>VLOOKUP(N2096,[2]!RUBROS[#All],3,0)</f>
        <v>#REF!</v>
      </c>
      <c r="P2096" s="53" t="e">
        <f>VLOOKUP(N2096,[2]!RUBROS[#All],2,0)</f>
        <v>#REF!</v>
      </c>
      <c r="Q2096" s="47" t="str">
        <f t="shared" si="659"/>
        <v>75</v>
      </c>
      <c r="R2096" s="47" t="str">
        <f t="shared" si="660"/>
        <v>0-101024</v>
      </c>
      <c r="S2096" s="54">
        <v>3</v>
      </c>
      <c r="T2096" s="54" t="s">
        <v>46</v>
      </c>
      <c r="U2096" s="326" t="e">
        <f ca="1">_xlfn.XLOOKUP(PAA_4[[#This Row],[ITEM]],[2]Contrato!A:A,[2]Contrato!Q:Q,"",0)</f>
        <v>#NAME?</v>
      </c>
      <c r="V2096" s="47" t="s">
        <v>42</v>
      </c>
      <c r="W2096" s="47" t="s">
        <v>203</v>
      </c>
      <c r="X2096" s="47" t="s">
        <v>203</v>
      </c>
      <c r="Y2096" s="55" t="e">
        <f ca="1">_xlfn.XLOOKUP(PAA_4[[#This Row],[ITEM]],[2]Contrato!A:A,[2]Contrato!B:B,"",0)</f>
        <v>#NAME?</v>
      </c>
      <c r="Z2096" s="47" t="e">
        <f ca="1">_xlfn.XLOOKUP(PAA_4[[#This Row],[ITEM]],[2]Contrato!A:A,[2]Contrato!G:G,"",0)</f>
        <v>#NAME?</v>
      </c>
      <c r="AA2096" s="47" t="e">
        <f ca="1">_xlfn.XLOOKUP(PAA_4[[#This Row],[ITEM]],[2]Contrato!A:A,[2]Contrato!T:T,"",0)</f>
        <v>#NAME?</v>
      </c>
      <c r="AB2096" s="55" t="e">
        <f ca="1">+MAX(PAA_4[[#This Row],[Comprometido Contrato]],PAA_4[[#This Row],[Comprometido Bolsa]])</f>
        <v>#NAME?</v>
      </c>
      <c r="AC2096" s="55" t="str">
        <f t="shared" ca="1" si="661"/>
        <v/>
      </c>
      <c r="AD2096" s="55" t="e">
        <f ca="1">IF(PAA_4[[#This Row],[ESTADO (formulado)]]="NO CONTRATADO",0,MAX(PAA_4[[#This Row],[Pago por Contrato]],PAA_4[[#This Row],[Pago por bolsa]]))</f>
        <v>#NAME?</v>
      </c>
      <c r="AE2096" s="55" t="str">
        <f t="shared" ca="1" si="662"/>
        <v/>
      </c>
      <c r="AF2096" s="47" t="e">
        <f t="shared" ca="1" si="663"/>
        <v>#NAME?</v>
      </c>
      <c r="AG2096" s="47">
        <f t="shared" si="664"/>
        <v>52010902</v>
      </c>
      <c r="AH2096" s="54">
        <f>IF(Q2096="22",IF(ISNUMBER(SEARCH("econ",PAA_4[[#This Row],[Actividad3]])),"Económico",IF(ISNUMBER(SEARCH("alim",PAA_4[[#This Row],[Actividad3]])),"Alimentación",IF(ISNUMBER(SEARCH("educ",PAA_4[[#This Row],[Actividad3]])),"Educativo","Técnico"))),0)</f>
        <v>0</v>
      </c>
      <c r="AI2096" s="47" t="e" cm="1">
        <f t="array" aca="1" ref="AI2096" ca="1">_xlfn.XLOOKUP(PAA_4[[#This Row],[RCP-RUBRO]],[2]!COMPROMISOS_2024[[#All],[concatenado]],[2]!COMPROMISOS_2024[[#All],[Total pagado]],"",0)</f>
        <v>#NAME?</v>
      </c>
      <c r="AJ2096" s="56">
        <f>IF(PAA_4[[#This Row],[BOLSA]]=0,0,SUMIFS([2]!COMPROMISOS_2024[[#All],[Total pagado]],[2]!COMPROMISOS_2024[[#All],[Bolsa]],PAA_4[[#This Row],[BOLSA]],[2]!COMPROMISOS_2024[[#All],[rubro]],PAA_4[[#This Row],[RCP-RUBRO]]))</f>
        <v>0</v>
      </c>
      <c r="AK2096" s="47" t="e" cm="1">
        <f t="array" aca="1" ref="AK2096" ca="1">_xlfn.XLOOKUP(PAA_4[[#This Row],[RCP-RUBRO]],[2]!COMPROMISOS_2024[[#All],[concatenado]],[2]!COMPROMISOS_2024[[#All],[Total Comprometido]],"",0)</f>
        <v>#NAME?</v>
      </c>
      <c r="AL2096" s="47">
        <f>IF(PAA_4[[#This Row],[BOLSA]]=0,0,SUMIFS([2]!COMPROMISOS_2024[[#All],[Total Comprometido]],[2]!COMPROMISOS_2024[[#All],[Bolsa]],PAA_4[[#This Row],[BOLSA]],[2]!COMPROMISOS_2024[[#All],[concatenado]],PAA_4[[#This Row],[RCP-RUBRO]]))</f>
        <v>0</v>
      </c>
    </row>
    <row r="2097" spans="1:38" s="19" customFormat="1" ht="31.5" customHeight="1">
      <c r="A2097" s="47">
        <v>1309</v>
      </c>
      <c r="B2097" s="47">
        <v>72101500</v>
      </c>
      <c r="C2097" s="47" t="str">
        <f>VLOOKUP(PAA_4[[#This Row],[PROYECTO (formulado)2]],[2]PROYECTOS!$G$1:$L$32,6,0)</f>
        <v>SUBGERENCIA ESCENARIOS DEPORTIVOS Y EQUIPAMIENTOS</v>
      </c>
      <c r="D2097" s="47" t="str">
        <f>+IF(PAA_4[[#This Row],[UNIDAD DE CONTRATACION (formulado)]]="Subgerencia Administrativa y Financiera","FUNCIONAMIENTO","INVERSIÓN")</f>
        <v>INVERSIÓN</v>
      </c>
      <c r="E2097" s="48" t="str">
        <f>VLOOKUP(Q2097,[2]PROYECTOS!$G$1:$K$32,5,0)</f>
        <v>Mantenimiento, adecuación, mejoras de escenarios deportivos o equipamientos en el departamento de Antioquia</v>
      </c>
      <c r="F2097" s="48">
        <f>VLOOKUP(E2097,[2]PROYECTOS!$K$1:$M$32,3,0)</f>
        <v>2024003050075</v>
      </c>
      <c r="G2097" s="49" t="s">
        <v>2300</v>
      </c>
      <c r="H2097" s="49" t="str">
        <f>VLOOKUP(Q2097,[2]PROYECTOS!$V$1:$W$32,2,0)</f>
        <v>050070</v>
      </c>
      <c r="I2097" s="78">
        <v>7150000</v>
      </c>
      <c r="J2097" s="51" t="s">
        <v>2304</v>
      </c>
      <c r="K2097" s="47" t="str">
        <f t="shared" ca="1" si="658"/>
        <v>CONTRATADO</v>
      </c>
      <c r="L2097" s="47" t="s">
        <v>94</v>
      </c>
      <c r="M2097" s="47" t="s">
        <v>1376</v>
      </c>
      <c r="N2097" s="52" t="s">
        <v>2303</v>
      </c>
      <c r="O2097" s="51" t="e">
        <f>VLOOKUP(N2097,[2]!RUBROS[#All],3,0)</f>
        <v>#REF!</v>
      </c>
      <c r="P2097" s="53" t="e">
        <f>VLOOKUP(N2097,[2]!RUBROS[#All],2,0)</f>
        <v>#REF!</v>
      </c>
      <c r="Q2097" s="47" t="str">
        <f t="shared" si="659"/>
        <v>75</v>
      </c>
      <c r="R2097" s="47" t="str">
        <f t="shared" si="660"/>
        <v>0-101024</v>
      </c>
      <c r="S2097" s="54">
        <v>1</v>
      </c>
      <c r="T2097" s="63" t="s">
        <v>46</v>
      </c>
      <c r="U2097" s="326" t="e">
        <f ca="1">_xlfn.XLOOKUP(PAA_4[[#This Row],[ITEM]],[2]Contrato!A:A,[2]Contrato!Q:Q,"",0)</f>
        <v>#NAME?</v>
      </c>
      <c r="V2097" s="47" t="s">
        <v>95</v>
      </c>
      <c r="W2097" s="47" t="s">
        <v>201</v>
      </c>
      <c r="X2097" s="47" t="s">
        <v>201</v>
      </c>
      <c r="Y2097" s="55" t="e">
        <f ca="1">_xlfn.XLOOKUP(PAA_4[[#This Row],[ITEM]],[2]Contrato!A:A,[2]Contrato!B:B,"",0)</f>
        <v>#NAME?</v>
      </c>
      <c r="Z2097" s="47" t="e">
        <f ca="1">_xlfn.XLOOKUP(PAA_4[[#This Row],[ITEM]],[2]Contrato!A:A,[2]Contrato!G:G,"",0)</f>
        <v>#NAME?</v>
      </c>
      <c r="AA2097" s="47" t="e">
        <f ca="1">_xlfn.XLOOKUP(PAA_4[[#This Row],[ITEM]],[2]Contrato!A:A,[2]Contrato!T:T,"",0)</f>
        <v>#NAME?</v>
      </c>
      <c r="AB2097" s="55" t="e">
        <f ca="1">+MAX(PAA_4[[#This Row],[Comprometido Contrato]],PAA_4[[#This Row],[Comprometido Bolsa]])</f>
        <v>#NAME?</v>
      </c>
      <c r="AC2097" s="55" t="str">
        <f t="shared" ca="1" si="661"/>
        <v/>
      </c>
      <c r="AD2097" s="55" t="e">
        <f ca="1">IF(PAA_4[[#This Row],[ESTADO (formulado)]]="NO CONTRATADO",0,MAX(PAA_4[[#This Row],[Pago por Contrato]],PAA_4[[#This Row],[Pago por bolsa]]))</f>
        <v>#NAME?</v>
      </c>
      <c r="AE2097" s="55" t="str">
        <f t="shared" ca="1" si="662"/>
        <v/>
      </c>
      <c r="AF2097" s="47" t="e">
        <f t="shared" ca="1" si="663"/>
        <v>#NAME?</v>
      </c>
      <c r="AG2097" s="47">
        <f t="shared" si="664"/>
        <v>52010902</v>
      </c>
      <c r="AH2097" s="54">
        <f>IF(Q2097="22",IF(ISNUMBER(SEARCH("econ",PAA_4[[#This Row],[Actividad3]])),"Económico",IF(ISNUMBER(SEARCH("alim",PAA_4[[#This Row],[Actividad3]])),"Alimentación",IF(ISNUMBER(SEARCH("educ",PAA_4[[#This Row],[Actividad3]])),"Educativo","Técnico"))),0)</f>
        <v>0</v>
      </c>
      <c r="AI2097" s="47" t="e" cm="1">
        <f t="array" aca="1" ref="AI2097" ca="1">_xlfn.XLOOKUP(PAA_4[[#This Row],[RCP-RUBRO]],[2]!COMPROMISOS_2024[[#All],[concatenado]],[2]!COMPROMISOS_2024[[#All],[Total pagado]],"",0)</f>
        <v>#NAME?</v>
      </c>
      <c r="AJ2097" s="56">
        <f>IF(PAA_4[[#This Row],[BOLSA]]=0,0,SUMIFS([2]!COMPROMISOS_2024[[#All],[Total pagado]],[2]!COMPROMISOS_2024[[#All],[Bolsa]],PAA_4[[#This Row],[BOLSA]],[2]!COMPROMISOS_2024[[#All],[rubro]],PAA_4[[#This Row],[RCP-RUBRO]]))</f>
        <v>0</v>
      </c>
      <c r="AK2097" s="47" t="e" cm="1">
        <f t="array" aca="1" ref="AK2097" ca="1">_xlfn.XLOOKUP(PAA_4[[#This Row],[RCP-RUBRO]],[2]!COMPROMISOS_2024[[#All],[concatenado]],[2]!COMPROMISOS_2024[[#All],[Total Comprometido]],"",0)</f>
        <v>#NAME?</v>
      </c>
      <c r="AL2097" s="47">
        <f>IF(PAA_4[[#This Row],[BOLSA]]=0,0,SUMIFS([2]!COMPROMISOS_2024[[#All],[Total Comprometido]],[2]!COMPROMISOS_2024[[#All],[Bolsa]],PAA_4[[#This Row],[BOLSA]],[2]!COMPROMISOS_2024[[#All],[concatenado]],PAA_4[[#This Row],[RCP-RUBRO]]))</f>
        <v>0</v>
      </c>
    </row>
    <row r="2098" spans="1:38" s="19" customFormat="1" ht="31.5" customHeight="1">
      <c r="A2098" s="47">
        <v>1310</v>
      </c>
      <c r="B2098" s="47">
        <v>80111600</v>
      </c>
      <c r="C2098" s="47" t="str">
        <f>VLOOKUP(PAA_4[[#This Row],[PROYECTO (formulado)2]],[2]PROYECTOS!$G$1:$L$32,6,0)</f>
        <v>SUBGERENCIA ESCENARIOS DEPORTIVOS Y EQUIPAMIENTOS</v>
      </c>
      <c r="D2098" s="47" t="str">
        <f>+IF(PAA_4[[#This Row],[UNIDAD DE CONTRATACION (formulado)]]="Subgerencia Administrativa y Financiera","FUNCIONAMIENTO","INVERSIÓN")</f>
        <v>INVERSIÓN</v>
      </c>
      <c r="E2098" s="48" t="str">
        <f>VLOOKUP(Q2098,[2]PROYECTOS!$G$1:$K$32,5,0)</f>
        <v>Mantenimiento, adecuación, mejoras de escenarios deportivos o equipamientos en el departamento de Antioquia</v>
      </c>
      <c r="F2098" s="48">
        <f>VLOOKUP(E2098,[2]PROYECTOS!$K$1:$M$32,3,0)</f>
        <v>2024003050075</v>
      </c>
      <c r="G2098" s="49" t="s">
        <v>2300</v>
      </c>
      <c r="H2098" s="49" t="str">
        <f>VLOOKUP(Q2098,[2]PROYECTOS!$V$1:$W$32,2,0)</f>
        <v>050070</v>
      </c>
      <c r="I2098" s="78">
        <v>6196667</v>
      </c>
      <c r="J2098" s="51" t="s">
        <v>2305</v>
      </c>
      <c r="K2098" s="47" t="str">
        <f t="shared" ca="1" si="658"/>
        <v>CONTRATADO</v>
      </c>
      <c r="L2098" s="47" t="s">
        <v>94</v>
      </c>
      <c r="M2098" s="47" t="s">
        <v>1376</v>
      </c>
      <c r="N2098" s="52" t="s">
        <v>2303</v>
      </c>
      <c r="O2098" s="51" t="e">
        <f>VLOOKUP(N2098,[2]!RUBROS[#All],3,0)</f>
        <v>#REF!</v>
      </c>
      <c r="P2098" s="53" t="e">
        <f>VLOOKUP(N2098,[2]!RUBROS[#All],2,0)</f>
        <v>#REF!</v>
      </c>
      <c r="Q2098" s="47" t="str">
        <f t="shared" si="659"/>
        <v>75</v>
      </c>
      <c r="R2098" s="47" t="str">
        <f t="shared" si="660"/>
        <v>0-101024</v>
      </c>
      <c r="S2098" s="54">
        <v>1</v>
      </c>
      <c r="T2098" s="63" t="s">
        <v>46</v>
      </c>
      <c r="U2098" s="326" t="e">
        <f ca="1">_xlfn.XLOOKUP(PAA_4[[#This Row],[ITEM]],[2]Contrato!A:A,[2]Contrato!Q:Q,"",0)</f>
        <v>#NAME?</v>
      </c>
      <c r="V2098" s="47" t="s">
        <v>95</v>
      </c>
      <c r="W2098" s="47" t="s">
        <v>201</v>
      </c>
      <c r="X2098" s="47" t="s">
        <v>201</v>
      </c>
      <c r="Y2098" s="55" t="e">
        <f ca="1">_xlfn.XLOOKUP(PAA_4[[#This Row],[ITEM]],[2]Contrato!A:A,[2]Contrato!B:B,"",0)</f>
        <v>#NAME?</v>
      </c>
      <c r="Z2098" s="47" t="e">
        <f ca="1">_xlfn.XLOOKUP(PAA_4[[#This Row],[ITEM]],[2]Contrato!A:A,[2]Contrato!G:G,"",0)</f>
        <v>#NAME?</v>
      </c>
      <c r="AA2098" s="47" t="e">
        <f ca="1">_xlfn.XLOOKUP(PAA_4[[#This Row],[ITEM]],[2]Contrato!A:A,[2]Contrato!T:T,"",0)</f>
        <v>#NAME?</v>
      </c>
      <c r="AB2098" s="55" t="e">
        <f ca="1">+MAX(PAA_4[[#This Row],[Comprometido Contrato]],PAA_4[[#This Row],[Comprometido Bolsa]])</f>
        <v>#NAME?</v>
      </c>
      <c r="AC2098" s="55" t="str">
        <f t="shared" ca="1" si="661"/>
        <v/>
      </c>
      <c r="AD2098" s="55" t="e">
        <f ca="1">IF(PAA_4[[#This Row],[ESTADO (formulado)]]="NO CONTRATADO",0,MAX(PAA_4[[#This Row],[Pago por Contrato]],PAA_4[[#This Row],[Pago por bolsa]]))</f>
        <v>#NAME?</v>
      </c>
      <c r="AE2098" s="55" t="str">
        <f t="shared" ca="1" si="662"/>
        <v/>
      </c>
      <c r="AF2098" s="47" t="e">
        <f t="shared" ca="1" si="663"/>
        <v>#NAME?</v>
      </c>
      <c r="AG2098" s="47">
        <f t="shared" si="664"/>
        <v>52010902</v>
      </c>
      <c r="AH2098" s="54">
        <f>IF(Q2098="22",IF(ISNUMBER(SEARCH("econ",PAA_4[[#This Row],[Actividad3]])),"Económico",IF(ISNUMBER(SEARCH("alim",PAA_4[[#This Row],[Actividad3]])),"Alimentación",IF(ISNUMBER(SEARCH("educ",PAA_4[[#This Row],[Actividad3]])),"Educativo","Técnico"))),0)</f>
        <v>0</v>
      </c>
      <c r="AI2098" s="47" t="e" cm="1">
        <f t="array" aca="1" ref="AI2098" ca="1">_xlfn.XLOOKUP(PAA_4[[#This Row],[RCP-RUBRO]],[2]!COMPROMISOS_2024[[#All],[concatenado]],[2]!COMPROMISOS_2024[[#All],[Total pagado]],"",0)</f>
        <v>#NAME?</v>
      </c>
      <c r="AJ2098" s="56">
        <f>IF(PAA_4[[#This Row],[BOLSA]]=0,0,SUMIFS([2]!COMPROMISOS_2024[[#All],[Total pagado]],[2]!COMPROMISOS_2024[[#All],[Bolsa]],PAA_4[[#This Row],[BOLSA]],[2]!COMPROMISOS_2024[[#All],[rubro]],PAA_4[[#This Row],[RCP-RUBRO]]))</f>
        <v>0</v>
      </c>
      <c r="AK2098" s="47" t="e" cm="1">
        <f t="array" aca="1" ref="AK2098" ca="1">_xlfn.XLOOKUP(PAA_4[[#This Row],[RCP-RUBRO]],[2]!COMPROMISOS_2024[[#All],[concatenado]],[2]!COMPROMISOS_2024[[#All],[Total Comprometido]],"",0)</f>
        <v>#NAME?</v>
      </c>
      <c r="AL2098" s="47">
        <f>IF(PAA_4[[#This Row],[BOLSA]]=0,0,SUMIFS([2]!COMPROMISOS_2024[[#All],[Total Comprometido]],[2]!COMPROMISOS_2024[[#All],[Bolsa]],PAA_4[[#This Row],[BOLSA]],[2]!COMPROMISOS_2024[[#All],[concatenado]],PAA_4[[#This Row],[RCP-RUBRO]]))</f>
        <v>0</v>
      </c>
    </row>
    <row r="2099" spans="1:38" s="19" customFormat="1" ht="31.5" customHeight="1">
      <c r="A2099" s="47">
        <v>1085</v>
      </c>
      <c r="B2099" s="47">
        <v>80111600</v>
      </c>
      <c r="C2099" s="47" t="str">
        <f>VLOOKUP(PAA_4[[#This Row],[PROYECTO (formulado)2]],[2]PROYECTOS!$G$1:$L$32,6,0)</f>
        <v>SUBGERENCIA ESCENARIOS DEPORTIVOS Y EQUIPAMIENTOS</v>
      </c>
      <c r="D2099" s="47" t="str">
        <f>+IF(PAA_4[[#This Row],[UNIDAD DE CONTRATACION (formulado)]]="Subgerencia Administrativa y Financiera","FUNCIONAMIENTO","INVERSIÓN")</f>
        <v>INVERSIÓN</v>
      </c>
      <c r="E2099" s="48" t="str">
        <f>VLOOKUP(Q2099,[2]PROYECTOS!$G$1:$K$32,5,0)</f>
        <v>Mantenimiento, adecuación, mejoras de escenarios deportivos o equipamientos en el departamento de Antioquia</v>
      </c>
      <c r="F2099" s="48">
        <f>VLOOKUP(E2099,[2]PROYECTOS!$K$1:$M$32,3,0)</f>
        <v>2024003050075</v>
      </c>
      <c r="G2099" s="49" t="s">
        <v>2300</v>
      </c>
      <c r="H2099" s="49" t="str">
        <f>VLOOKUP(Q2099,[2]PROYECTOS!$V$1:$W$32,2,0)</f>
        <v>050070</v>
      </c>
      <c r="I2099" s="78">
        <v>0</v>
      </c>
      <c r="J2099" s="51" t="s">
        <v>42</v>
      </c>
      <c r="K2099" s="47" t="str">
        <f t="shared" ca="1" si="658"/>
        <v>CONTRATADO</v>
      </c>
      <c r="L2099" s="47" t="s">
        <v>42</v>
      </c>
      <c r="M2099" s="47" t="s">
        <v>42</v>
      </c>
      <c r="N2099" s="52" t="s">
        <v>2303</v>
      </c>
      <c r="O2099" s="51" t="e">
        <f>VLOOKUP(N2099,[2]!RUBROS[#All],3,0)</f>
        <v>#REF!</v>
      </c>
      <c r="P2099" s="53" t="e">
        <f>VLOOKUP(N2099,[2]!RUBROS[#All],2,0)</f>
        <v>#REF!</v>
      </c>
      <c r="Q2099" s="47" t="str">
        <f t="shared" si="659"/>
        <v>75</v>
      </c>
      <c r="R2099" s="47" t="str">
        <f t="shared" si="660"/>
        <v>0-101024</v>
      </c>
      <c r="S2099" s="54">
        <v>3</v>
      </c>
      <c r="T2099" s="54" t="s">
        <v>46</v>
      </c>
      <c r="U2099" s="326" t="e">
        <f ca="1">_xlfn.XLOOKUP(PAA_4[[#This Row],[ITEM]],[2]Contrato!A:A,[2]Contrato!Q:Q,"",0)</f>
        <v>#NAME?</v>
      </c>
      <c r="V2099" s="47" t="s">
        <v>42</v>
      </c>
      <c r="W2099" s="47" t="s">
        <v>203</v>
      </c>
      <c r="X2099" s="47" t="s">
        <v>203</v>
      </c>
      <c r="Y2099" s="55" t="e">
        <f ca="1">_xlfn.XLOOKUP(PAA_4[[#This Row],[ITEM]],[2]Contrato!A:A,[2]Contrato!B:B,"",0)</f>
        <v>#NAME?</v>
      </c>
      <c r="Z2099" s="47" t="e">
        <f ca="1">_xlfn.XLOOKUP(PAA_4[[#This Row],[ITEM]],[2]Contrato!A:A,[2]Contrato!G:G,"",0)</f>
        <v>#NAME?</v>
      </c>
      <c r="AA2099" s="47" t="e">
        <f ca="1">_xlfn.XLOOKUP(PAA_4[[#This Row],[ITEM]],[2]Contrato!A:A,[2]Contrato!T:T,"",0)</f>
        <v>#NAME?</v>
      </c>
      <c r="AB2099" s="55" t="e">
        <f ca="1">+MAX(PAA_4[[#This Row],[Comprometido Contrato]],PAA_4[[#This Row],[Comprometido Bolsa]])</f>
        <v>#NAME?</v>
      </c>
      <c r="AC2099" s="55" t="str">
        <f t="shared" ca="1" si="661"/>
        <v/>
      </c>
      <c r="AD2099" s="55" t="e">
        <f ca="1">IF(PAA_4[[#This Row],[ESTADO (formulado)]]="NO CONTRATADO",0,MAX(PAA_4[[#This Row],[Pago por Contrato]],PAA_4[[#This Row],[Pago por bolsa]]))</f>
        <v>#NAME?</v>
      </c>
      <c r="AE2099" s="55" t="str">
        <f t="shared" ca="1" si="662"/>
        <v/>
      </c>
      <c r="AF2099" s="47" t="e">
        <f t="shared" ca="1" si="663"/>
        <v>#NAME?</v>
      </c>
      <c r="AG2099" s="47">
        <f t="shared" si="664"/>
        <v>52010902</v>
      </c>
      <c r="AH2099" s="54">
        <f>IF(Q2099="22",IF(ISNUMBER(SEARCH("econ",PAA_4[[#This Row],[Actividad3]])),"Económico",IF(ISNUMBER(SEARCH("alim",PAA_4[[#This Row],[Actividad3]])),"Alimentación",IF(ISNUMBER(SEARCH("educ",PAA_4[[#This Row],[Actividad3]])),"Educativo","Técnico"))),0)</f>
        <v>0</v>
      </c>
      <c r="AI2099" s="47" t="e" cm="1">
        <f t="array" aca="1" ref="AI2099" ca="1">_xlfn.XLOOKUP(PAA_4[[#This Row],[RCP-RUBRO]],[2]!COMPROMISOS_2024[[#All],[concatenado]],[2]!COMPROMISOS_2024[[#All],[Total pagado]],"",0)</f>
        <v>#NAME?</v>
      </c>
      <c r="AJ2099" s="56">
        <f>IF(PAA_4[[#This Row],[BOLSA]]=0,0,SUMIFS([2]!COMPROMISOS_2024[[#All],[Total pagado]],[2]!COMPROMISOS_2024[[#All],[Bolsa]],PAA_4[[#This Row],[BOLSA]],[2]!COMPROMISOS_2024[[#All],[rubro]],PAA_4[[#This Row],[RCP-RUBRO]]))</f>
        <v>0</v>
      </c>
      <c r="AK2099" s="47" t="e" cm="1">
        <f t="array" aca="1" ref="AK2099" ca="1">_xlfn.XLOOKUP(PAA_4[[#This Row],[RCP-RUBRO]],[2]!COMPROMISOS_2024[[#All],[concatenado]],[2]!COMPROMISOS_2024[[#All],[Total Comprometido]],"",0)</f>
        <v>#NAME?</v>
      </c>
      <c r="AL2099" s="47">
        <f>IF(PAA_4[[#This Row],[BOLSA]]=0,0,SUMIFS([2]!COMPROMISOS_2024[[#All],[Total Comprometido]],[2]!COMPROMISOS_2024[[#All],[Bolsa]],PAA_4[[#This Row],[BOLSA]],[2]!COMPROMISOS_2024[[#All],[concatenado]],PAA_4[[#This Row],[RCP-RUBRO]]))</f>
        <v>0</v>
      </c>
    </row>
    <row r="2100" spans="1:38" s="19" customFormat="1" ht="31.5" customHeight="1">
      <c r="A2100" s="47">
        <v>1086</v>
      </c>
      <c r="B2100" s="47">
        <v>80111808</v>
      </c>
      <c r="C2100" s="47" t="str">
        <f>VLOOKUP(PAA_4[[#This Row],[PROYECTO (formulado)2]],[2]PROYECTOS!$G$1:$L$32,6,0)</f>
        <v>SUBGERENCIA ESCENARIOS DEPORTIVOS Y EQUIPAMIENTOS</v>
      </c>
      <c r="D2100" s="47" t="str">
        <f>+IF(PAA_4[[#This Row],[UNIDAD DE CONTRATACION (formulado)]]="Subgerencia Administrativa y Financiera","FUNCIONAMIENTO","INVERSIÓN")</f>
        <v>INVERSIÓN</v>
      </c>
      <c r="E2100" s="48" t="str">
        <f>VLOOKUP(Q2100,[2]PROYECTOS!$G$1:$K$32,5,0)</f>
        <v>Mantenimiento, adecuación, mejoras de escenarios deportivos o equipamientos en el departamento de Antioquia</v>
      </c>
      <c r="F2100" s="48">
        <f>VLOOKUP(E2100,[2]PROYECTOS!$K$1:$M$32,3,0)</f>
        <v>2024003050075</v>
      </c>
      <c r="G2100" s="49" t="s">
        <v>2300</v>
      </c>
      <c r="H2100" s="49" t="str">
        <f>VLOOKUP(Q2100,[2]PROYECTOS!$V$1:$W$32,2,0)</f>
        <v>050070</v>
      </c>
      <c r="I2100" s="78">
        <v>7372505</v>
      </c>
      <c r="J2100" s="51" t="s">
        <v>1837</v>
      </c>
      <c r="K2100" s="47" t="str">
        <f t="shared" ca="1" si="658"/>
        <v>CONTRATADO</v>
      </c>
      <c r="L2100" s="47" t="s">
        <v>42</v>
      </c>
      <c r="M2100" s="47" t="s">
        <v>42</v>
      </c>
      <c r="N2100" s="52" t="s">
        <v>2306</v>
      </c>
      <c r="O2100" s="51" t="e">
        <f>VLOOKUP(N2100,[2]!RUBROS[#All],3,0)</f>
        <v>#REF!</v>
      </c>
      <c r="P2100" s="53" t="e">
        <f>VLOOKUP(N2100,[2]!RUBROS[#All],2,0)</f>
        <v>#REF!</v>
      </c>
      <c r="Q2100" s="47" t="str">
        <f t="shared" si="659"/>
        <v>75</v>
      </c>
      <c r="R2100" s="47" t="str">
        <f t="shared" si="660"/>
        <v>0-101024</v>
      </c>
      <c r="S2100" s="54" t="s">
        <v>42</v>
      </c>
      <c r="T2100" s="54" t="s">
        <v>42</v>
      </c>
      <c r="U2100" s="326" t="e">
        <f ca="1">_xlfn.XLOOKUP(PAA_4[[#This Row],[ITEM]],[2]Contrato!A:A,[2]Contrato!Q:Q,"",0)</f>
        <v>#NAME?</v>
      </c>
      <c r="V2100" s="47" t="s">
        <v>42</v>
      </c>
      <c r="W2100" s="47" t="s">
        <v>42</v>
      </c>
      <c r="X2100" s="47" t="s">
        <v>42</v>
      </c>
      <c r="Y2100" s="55" t="e">
        <f ca="1">_xlfn.XLOOKUP(PAA_4[[#This Row],[ITEM]],[2]Contrato!A:A,[2]Contrato!B:B,"",0)</f>
        <v>#NAME?</v>
      </c>
      <c r="Z2100" s="47" t="e">
        <f ca="1">_xlfn.XLOOKUP(PAA_4[[#This Row],[ITEM]],[2]Contrato!A:A,[2]Contrato!G:G,"",0)</f>
        <v>#NAME?</v>
      </c>
      <c r="AA2100" s="47" t="e">
        <f ca="1">_xlfn.XLOOKUP(PAA_4[[#This Row],[ITEM]],[2]Contrato!A:A,[2]Contrato!T:T,"",0)</f>
        <v>#NAME?</v>
      </c>
      <c r="AB2100" s="55" t="e">
        <f ca="1">+MAX(PAA_4[[#This Row],[Comprometido Contrato]],PAA_4[[#This Row],[Comprometido Bolsa]])</f>
        <v>#NAME?</v>
      </c>
      <c r="AC2100" s="55" t="str">
        <f t="shared" ca="1" si="661"/>
        <v/>
      </c>
      <c r="AD2100" s="55" t="e">
        <f ca="1">IF(PAA_4[[#This Row],[ESTADO (formulado)]]="NO CONTRATADO",0,MAX(PAA_4[[#This Row],[Pago por Contrato]],PAA_4[[#This Row],[Pago por bolsa]]))</f>
        <v>#NAME?</v>
      </c>
      <c r="AE2100" s="55" t="str">
        <f t="shared" ca="1" si="662"/>
        <v/>
      </c>
      <c r="AF2100" s="47" t="e">
        <f t="shared" ca="1" si="663"/>
        <v>#NAME?</v>
      </c>
      <c r="AG2100" s="47">
        <f t="shared" si="664"/>
        <v>52010902</v>
      </c>
      <c r="AH2100" s="54">
        <f>IF(Q2100="22",IF(ISNUMBER(SEARCH("econ",PAA_4[[#This Row],[Actividad3]])),"Económico",IF(ISNUMBER(SEARCH("alim",PAA_4[[#This Row],[Actividad3]])),"Alimentación",IF(ISNUMBER(SEARCH("educ",PAA_4[[#This Row],[Actividad3]])),"Educativo","Técnico"))),0)</f>
        <v>0</v>
      </c>
      <c r="AI2100" s="47" t="e" cm="1">
        <f t="array" aca="1" ref="AI2100" ca="1">_xlfn.XLOOKUP(PAA_4[[#This Row],[RCP-RUBRO]],[2]!COMPROMISOS_2024[[#All],[concatenado]],[2]!COMPROMISOS_2024[[#All],[Total pagado]],"",0)</f>
        <v>#NAME?</v>
      </c>
      <c r="AJ2100" s="56">
        <f>IF(PAA_4[[#This Row],[BOLSA]]=0,0,SUMIFS([2]!COMPROMISOS_2024[[#All],[Total pagado]],[2]!COMPROMISOS_2024[[#All],[Bolsa]],PAA_4[[#This Row],[BOLSA]],[2]!COMPROMISOS_2024[[#All],[rubro]],PAA_4[[#This Row],[RCP-RUBRO]]))</f>
        <v>0</v>
      </c>
      <c r="AK2100" s="47" t="e" cm="1">
        <f t="array" aca="1" ref="AK2100" ca="1">_xlfn.XLOOKUP(PAA_4[[#This Row],[RCP-RUBRO]],[2]!COMPROMISOS_2024[[#All],[concatenado]],[2]!COMPROMISOS_2024[[#All],[Total Comprometido]],"",0)</f>
        <v>#NAME?</v>
      </c>
      <c r="AL2100" s="47">
        <f>IF(PAA_4[[#This Row],[BOLSA]]=0,0,SUMIFS([2]!COMPROMISOS_2024[[#All],[Total Comprometido]],[2]!COMPROMISOS_2024[[#All],[Bolsa]],PAA_4[[#This Row],[BOLSA]],[2]!COMPROMISOS_2024[[#All],[concatenado]],PAA_4[[#This Row],[RCP-RUBRO]]))</f>
        <v>0</v>
      </c>
    </row>
    <row r="2101" spans="1:38" s="19" customFormat="1" ht="31.5" customHeight="1">
      <c r="A2101" s="47" t="s">
        <v>82</v>
      </c>
      <c r="B2101" s="47">
        <v>72101500</v>
      </c>
      <c r="C2101" s="47" t="str">
        <f>VLOOKUP(PAA_4[[#This Row],[PROYECTO (formulado)2]],[2]PROYECTOS!$G$1:$L$32,6,0)</f>
        <v>SUBGERENCIA ESCENARIOS DEPORTIVOS Y EQUIPAMIENTOS</v>
      </c>
      <c r="D2101" s="47" t="str">
        <f>+IF(PAA_4[[#This Row],[UNIDAD DE CONTRATACION (formulado)]]="Subgerencia Administrativa y Financiera","FUNCIONAMIENTO","INVERSIÓN")</f>
        <v>INVERSIÓN</v>
      </c>
      <c r="E2101" s="48" t="str">
        <f>VLOOKUP(Q2101,[2]PROYECTOS!$G$1:$K$32,5,0)</f>
        <v>MEJORAMIENTO_DE_LA_INFRAESTRUCTURA_DEPORTIVA_Y_RECREATIVA_EN_EL_DEPARTAMENTO_DE_ANTIOQUIA</v>
      </c>
      <c r="F2101" s="48">
        <f>VLOOKUP(E2101,[2]PROYECTOS!$K$1:$M$32,3,0)</f>
        <v>2020003050027</v>
      </c>
      <c r="G2101" s="49" t="s">
        <v>311</v>
      </c>
      <c r="H2101" s="49" t="str">
        <f>VLOOKUP(Q2101,[2]PROYECTOS!$V$1:$W$32,2,0)</f>
        <v>050058</v>
      </c>
      <c r="I2101" s="78">
        <v>0</v>
      </c>
      <c r="J2101" s="51" t="s">
        <v>2307</v>
      </c>
      <c r="K2101" s="47" t="str">
        <f t="shared" ca="1" si="658"/>
        <v>CONTRATADO</v>
      </c>
      <c r="L2101" s="47" t="s">
        <v>42</v>
      </c>
      <c r="M2101" s="47" t="s">
        <v>42</v>
      </c>
      <c r="N2101" s="52" t="s">
        <v>308</v>
      </c>
      <c r="O2101" s="51" t="e">
        <f>VLOOKUP(N2101,[2]!RUBROS[#All],3,0)</f>
        <v>#REF!</v>
      </c>
      <c r="P2101" s="53" t="e">
        <f>VLOOKUP(N2101,[2]!RUBROS[#All],2,0)</f>
        <v>#REF!</v>
      </c>
      <c r="Q2101" s="47" t="str">
        <f t="shared" si="659"/>
        <v>64</v>
      </c>
      <c r="R2101" s="47" t="str">
        <f t="shared" si="660"/>
        <v>0-202029</v>
      </c>
      <c r="S2101" s="54">
        <v>5</v>
      </c>
      <c r="T2101" s="63" t="s">
        <v>46</v>
      </c>
      <c r="U2101" s="326" t="e">
        <f ca="1">_xlfn.XLOOKUP(PAA_4[[#This Row],[ITEM]],[2]Contrato!A:A,[2]Contrato!Q:Q,"",0)</f>
        <v>#NAME?</v>
      </c>
      <c r="V2101" s="47" t="s">
        <v>95</v>
      </c>
      <c r="W2101" s="47" t="s">
        <v>193</v>
      </c>
      <c r="X2101" s="47" t="s">
        <v>194</v>
      </c>
      <c r="Y2101" s="55" t="e">
        <f ca="1">_xlfn.XLOOKUP(PAA_4[[#This Row],[ITEM]],[2]Contrato!A:A,[2]Contrato!B:B,"",0)</f>
        <v>#NAME?</v>
      </c>
      <c r="Z2101" s="47" t="e">
        <f ca="1">_xlfn.XLOOKUP(PAA_4[[#This Row],[ITEM]],[2]Contrato!A:A,[2]Contrato!G:G,"",0)</f>
        <v>#NAME?</v>
      </c>
      <c r="AA2101" s="47" t="e">
        <f ca="1">_xlfn.XLOOKUP(PAA_4[[#This Row],[ITEM]],[2]Contrato!A:A,[2]Contrato!T:T,"",0)</f>
        <v>#NAME?</v>
      </c>
      <c r="AB2101" s="55" t="e">
        <f ca="1">+MAX(PAA_4[[#This Row],[Comprometido Contrato]],PAA_4[[#This Row],[Comprometido Bolsa]])</f>
        <v>#NAME?</v>
      </c>
      <c r="AC2101" s="55" t="str">
        <f t="shared" ca="1" si="661"/>
        <v/>
      </c>
      <c r="AD2101" s="55" t="e">
        <f ca="1">IF(PAA_4[[#This Row],[ESTADO (formulado)]]="NO CONTRATADO",0,MAX(PAA_4[[#This Row],[Pago por Contrato]],PAA_4[[#This Row],[Pago por bolsa]]))</f>
        <v>#NAME?</v>
      </c>
      <c r="AE2101" s="55" t="str">
        <f t="shared" ca="1" si="662"/>
        <v/>
      </c>
      <c r="AF2101" s="47" t="e">
        <f t="shared" ca="1" si="663"/>
        <v>#NAME?</v>
      </c>
      <c r="AG2101" s="47">
        <f t="shared" si="664"/>
        <v>43010901</v>
      </c>
      <c r="AH2101" s="54">
        <f>IF(Q2101="22",IF(ISNUMBER(SEARCH("econ",PAA_4[[#This Row],[Actividad3]])),"Económico",IF(ISNUMBER(SEARCH("alim",PAA_4[[#This Row],[Actividad3]])),"Alimentación",IF(ISNUMBER(SEARCH("educ",PAA_4[[#This Row],[Actividad3]])),"Educativo","Técnico"))),0)</f>
        <v>0</v>
      </c>
      <c r="AI2101" s="47" t="e" cm="1">
        <f t="array" aca="1" ref="AI2101" ca="1">_xlfn.XLOOKUP(PAA_4[[#This Row],[RCP-RUBRO]],[2]!COMPROMISOS_2024[[#All],[concatenado]],[2]!COMPROMISOS_2024[[#All],[Total pagado]],"",0)</f>
        <v>#NAME?</v>
      </c>
      <c r="AJ2101" s="56">
        <f>IF(PAA_4[[#This Row],[BOLSA]]=0,0,SUMIFS([2]!COMPROMISOS_2024[[#All],[Total pagado]],[2]!COMPROMISOS_2024[[#All],[Bolsa]],PAA_4[[#This Row],[BOLSA]],[2]!COMPROMISOS_2024[[#All],[rubro]],PAA_4[[#This Row],[RCP-RUBRO]]))</f>
        <v>0</v>
      </c>
      <c r="AK2101" s="47" t="e" cm="1">
        <f t="array" aca="1" ref="AK2101" ca="1">_xlfn.XLOOKUP(PAA_4[[#This Row],[RCP-RUBRO]],[2]!COMPROMISOS_2024[[#All],[concatenado]],[2]!COMPROMISOS_2024[[#All],[Total Comprometido]],"",0)</f>
        <v>#NAME?</v>
      </c>
      <c r="AL2101" s="47">
        <f>IF(PAA_4[[#This Row],[BOLSA]]=0,0,SUMIFS([2]!COMPROMISOS_2024[[#All],[Total Comprometido]],[2]!COMPROMISOS_2024[[#All],[Bolsa]],PAA_4[[#This Row],[BOLSA]],[2]!COMPROMISOS_2024[[#All],[concatenado]],PAA_4[[#This Row],[RCP-RUBRO]]))</f>
        <v>0</v>
      </c>
    </row>
    <row r="2102" spans="1:38" s="19" customFormat="1" ht="31.5" customHeight="1">
      <c r="A2102" s="47" t="s">
        <v>82</v>
      </c>
      <c r="B2102" s="47">
        <v>80141607</v>
      </c>
      <c r="C2102" s="47" t="str">
        <f>VLOOKUP(PAA_4[[#This Row],[PROYECTO (formulado)2]],[2]PROYECTOS!$G$1:$L$32,6,0)</f>
        <v>SUBGERENCIA DE FOMENTO Y DESARROLLO</v>
      </c>
      <c r="D2102" s="47" t="str">
        <f>+IF(PAA_4[[#This Row],[UNIDAD DE CONTRATACION (formulado)]]="Subgerencia Administrativa y Financiera","FUNCIONAMIENTO","INVERSIÓN")</f>
        <v>INVERSIÓN</v>
      </c>
      <c r="E2102" s="48" t="str">
        <f>VLOOKUP(Q2102,[2]PROYECTOS!$G$1:$K$32,5,0)</f>
        <v>FORTALECIMIENTO_DE_LOS_JUEGOS_DEL_SECTOR_EDUCATIVO_EN_ANTIOQUIA</v>
      </c>
      <c r="F2102" s="48">
        <f>VLOOKUP(E2102,[2]PROYECTOS!$K$1:$M$32,3,0)</f>
        <v>2020003050034</v>
      </c>
      <c r="G2102" s="49" t="s">
        <v>412</v>
      </c>
      <c r="H2102" s="49" t="str">
        <f>VLOOKUP(Q2102,[2]PROYECTOS!$V$1:$W$32,2,0)</f>
        <v>050053</v>
      </c>
      <c r="I2102" s="78">
        <v>0</v>
      </c>
      <c r="J2102" s="51" t="s">
        <v>2308</v>
      </c>
      <c r="K2102" s="47" t="str">
        <f t="shared" ca="1" si="658"/>
        <v>CONTRATADO</v>
      </c>
      <c r="L2102" s="47" t="s">
        <v>42</v>
      </c>
      <c r="M2102" s="47" t="s">
        <v>42</v>
      </c>
      <c r="N2102" s="52" t="s">
        <v>145</v>
      </c>
      <c r="O2102" s="51" t="e">
        <f>VLOOKUP(N2102,[2]!RUBROS[#All],3,0)</f>
        <v>#REF!</v>
      </c>
      <c r="P2102" s="53" t="e">
        <f>VLOOKUP(N2102,[2]!RUBROS[#All],2,0)</f>
        <v>#REF!</v>
      </c>
      <c r="Q2102" s="47" t="str">
        <f t="shared" si="659"/>
        <v>51</v>
      </c>
      <c r="R2102" s="47" t="str">
        <f t="shared" si="660"/>
        <v>0-205400</v>
      </c>
      <c r="S2102" s="54" t="s">
        <v>2309</v>
      </c>
      <c r="T2102" s="63" t="s">
        <v>46</v>
      </c>
      <c r="U2102" s="326" t="e">
        <f ca="1">_xlfn.XLOOKUP(PAA_4[[#This Row],[ITEM]],[2]Contrato!A:A,[2]Contrato!Q:Q,"",0)</f>
        <v>#NAME?</v>
      </c>
      <c r="V2102" s="47" t="s">
        <v>95</v>
      </c>
      <c r="W2102" s="47" t="s">
        <v>154</v>
      </c>
      <c r="X2102" s="47" t="s">
        <v>154</v>
      </c>
      <c r="Y2102" s="55" t="e">
        <f ca="1">_xlfn.XLOOKUP(PAA_4[[#This Row],[ITEM]],[2]Contrato!A:A,[2]Contrato!B:B,"",0)</f>
        <v>#NAME?</v>
      </c>
      <c r="Z2102" s="47" t="e">
        <f ca="1">_xlfn.XLOOKUP(PAA_4[[#This Row],[ITEM]],[2]Contrato!A:A,[2]Contrato!G:G,"",0)</f>
        <v>#NAME?</v>
      </c>
      <c r="AA2102" s="47" t="e">
        <f ca="1">_xlfn.XLOOKUP(PAA_4[[#This Row],[ITEM]],[2]Contrato!A:A,[2]Contrato!T:T,"",0)</f>
        <v>#NAME?</v>
      </c>
      <c r="AB2102" s="55" t="e">
        <f ca="1">+MAX(PAA_4[[#This Row],[Comprometido Contrato]],PAA_4[[#This Row],[Comprometido Bolsa]])</f>
        <v>#NAME?</v>
      </c>
      <c r="AC2102" s="55" t="str">
        <f t="shared" ca="1" si="661"/>
        <v/>
      </c>
      <c r="AD2102" s="55" t="e">
        <f ca="1">IF(PAA_4[[#This Row],[ESTADO (formulado)]]="NO CONTRATADO",0,MAX(PAA_4[[#This Row],[Pago por Contrato]],PAA_4[[#This Row],[Pago por bolsa]]))</f>
        <v>#NAME?</v>
      </c>
      <c r="AE2102" s="55" t="str">
        <f t="shared" ca="1" si="662"/>
        <v/>
      </c>
      <c r="AF2102" s="47" t="e">
        <f t="shared" ca="1" si="663"/>
        <v>#NAME?</v>
      </c>
      <c r="AG2102" s="47">
        <f t="shared" si="664"/>
        <v>44021011</v>
      </c>
      <c r="AH2102" s="54">
        <f>IF(Q2102="22",IF(ISNUMBER(SEARCH("econ",PAA_4[[#This Row],[Actividad3]])),"Económico",IF(ISNUMBER(SEARCH("alim",PAA_4[[#This Row],[Actividad3]])),"Alimentación",IF(ISNUMBER(SEARCH("educ",PAA_4[[#This Row],[Actividad3]])),"Educativo","Técnico"))),0)</f>
        <v>0</v>
      </c>
      <c r="AI2102" s="47" t="e" cm="1">
        <f t="array" aca="1" ref="AI2102" ca="1">_xlfn.XLOOKUP(PAA_4[[#This Row],[RCP-RUBRO]],[2]!COMPROMISOS_2024[[#All],[concatenado]],[2]!COMPROMISOS_2024[[#All],[Total pagado]],"",0)</f>
        <v>#NAME?</v>
      </c>
      <c r="AJ2102" s="56">
        <f>IF(PAA_4[[#This Row],[BOLSA]]=0,0,SUMIFS([2]!COMPROMISOS_2024[[#All],[Total pagado]],[2]!COMPROMISOS_2024[[#All],[Bolsa]],PAA_4[[#This Row],[BOLSA]],[2]!COMPROMISOS_2024[[#All],[rubro]],PAA_4[[#This Row],[RCP-RUBRO]]))</f>
        <v>0</v>
      </c>
      <c r="AK2102" s="47" t="e" cm="1">
        <f t="array" aca="1" ref="AK2102" ca="1">_xlfn.XLOOKUP(PAA_4[[#This Row],[RCP-RUBRO]],[2]!COMPROMISOS_2024[[#All],[concatenado]],[2]!COMPROMISOS_2024[[#All],[Total Comprometido]],"",0)</f>
        <v>#NAME?</v>
      </c>
      <c r="AL2102" s="47">
        <f>IF(PAA_4[[#This Row],[BOLSA]]=0,0,SUMIFS([2]!COMPROMISOS_2024[[#All],[Total Comprometido]],[2]!COMPROMISOS_2024[[#All],[Bolsa]],PAA_4[[#This Row],[BOLSA]],[2]!COMPROMISOS_2024[[#All],[concatenado]],PAA_4[[#This Row],[RCP-RUBRO]]))</f>
        <v>0</v>
      </c>
    </row>
    <row r="2103" spans="1:38" s="19" customFormat="1" ht="31.5" customHeight="1">
      <c r="A2103" s="47" t="s">
        <v>82</v>
      </c>
      <c r="B2103" s="47">
        <v>80141607</v>
      </c>
      <c r="C2103" s="47" t="str">
        <f>VLOOKUP(PAA_4[[#This Row],[PROYECTO (formulado)2]],[2]PROYECTOS!$G$1:$L$32,6,0)</f>
        <v>SUBGERENCIA DE FOMENTO Y DESARROLLO</v>
      </c>
      <c r="D2103" s="47" t="str">
        <f>+IF(PAA_4[[#This Row],[UNIDAD DE CONTRATACION (formulado)]]="Subgerencia Administrativa y Financiera","FUNCIONAMIENTO","INVERSIÓN")</f>
        <v>INVERSIÓN</v>
      </c>
      <c r="E2103" s="48" t="str">
        <f>VLOOKUP(Q2103,[2]PROYECTOS!$G$1:$K$32,5,0)</f>
        <v>FORTALECIMIENTO_DE_LOS_JUEGOS_DEL_SECTOR_EDUCATIVO_EN_ANTIOQUIA</v>
      </c>
      <c r="F2103" s="48">
        <f>VLOOKUP(E2103,[2]PROYECTOS!$K$1:$M$32,3,0)</f>
        <v>2020003050034</v>
      </c>
      <c r="G2103" s="49" t="s">
        <v>412</v>
      </c>
      <c r="H2103" s="49" t="str">
        <f>VLOOKUP(Q2103,[2]PROYECTOS!$V$1:$W$32,2,0)</f>
        <v>050053</v>
      </c>
      <c r="I2103" s="78">
        <v>0</v>
      </c>
      <c r="J2103" s="51" t="s">
        <v>2308</v>
      </c>
      <c r="K2103" s="47" t="str">
        <f t="shared" ca="1" si="658"/>
        <v>CONTRATADO</v>
      </c>
      <c r="L2103" s="47" t="s">
        <v>42</v>
      </c>
      <c r="M2103" s="47" t="s">
        <v>42</v>
      </c>
      <c r="N2103" s="52" t="s">
        <v>1915</v>
      </c>
      <c r="O2103" s="51" t="e">
        <f>VLOOKUP(N2103,[2]!RUBROS[#All],3,0)</f>
        <v>#REF!</v>
      </c>
      <c r="P2103" s="53" t="e">
        <f>VLOOKUP(N2103,[2]!RUBROS[#All],2,0)</f>
        <v>#REF!</v>
      </c>
      <c r="Q2103" s="47" t="str">
        <f t="shared" si="659"/>
        <v>51</v>
      </c>
      <c r="R2103" s="47" t="str">
        <f t="shared" si="660"/>
        <v>0-101024</v>
      </c>
      <c r="S2103" s="54" t="s">
        <v>2309</v>
      </c>
      <c r="T2103" s="63" t="s">
        <v>46</v>
      </c>
      <c r="U2103" s="326" t="e">
        <f ca="1">_xlfn.XLOOKUP(PAA_4[[#This Row],[ITEM]],[2]Contrato!A:A,[2]Contrato!Q:Q,"",0)</f>
        <v>#NAME?</v>
      </c>
      <c r="V2103" s="47" t="s">
        <v>95</v>
      </c>
      <c r="W2103" s="47" t="s">
        <v>154</v>
      </c>
      <c r="X2103" s="47" t="s">
        <v>154</v>
      </c>
      <c r="Y2103" s="55" t="e">
        <f ca="1">_xlfn.XLOOKUP(PAA_4[[#This Row],[ITEM]],[2]Contrato!A:A,[2]Contrato!B:B,"",0)</f>
        <v>#NAME?</v>
      </c>
      <c r="Z2103" s="47" t="e">
        <f ca="1">_xlfn.XLOOKUP(PAA_4[[#This Row],[ITEM]],[2]Contrato!A:A,[2]Contrato!G:G,"",0)</f>
        <v>#NAME?</v>
      </c>
      <c r="AA2103" s="47" t="e">
        <f ca="1">_xlfn.XLOOKUP(PAA_4[[#This Row],[ITEM]],[2]Contrato!A:A,[2]Contrato!T:T,"",0)</f>
        <v>#NAME?</v>
      </c>
      <c r="AB2103" s="55" t="e">
        <f ca="1">+MAX(PAA_4[[#This Row],[Comprometido Contrato]],PAA_4[[#This Row],[Comprometido Bolsa]])</f>
        <v>#NAME?</v>
      </c>
      <c r="AC2103" s="55" t="str">
        <f t="shared" ca="1" si="661"/>
        <v/>
      </c>
      <c r="AD2103" s="55" t="e">
        <f ca="1">IF(PAA_4[[#This Row],[ESTADO (formulado)]]="NO CONTRATADO",0,MAX(PAA_4[[#This Row],[Pago por Contrato]],PAA_4[[#This Row],[Pago por bolsa]]))</f>
        <v>#NAME?</v>
      </c>
      <c r="AE2103" s="55" t="str">
        <f t="shared" ca="1" si="662"/>
        <v/>
      </c>
      <c r="AF2103" s="47" t="e">
        <f t="shared" ca="1" si="663"/>
        <v>#NAME?</v>
      </c>
      <c r="AG2103" s="47">
        <f t="shared" si="664"/>
        <v>44021011</v>
      </c>
      <c r="AH2103" s="54">
        <f>IF(Q2103="22",IF(ISNUMBER(SEARCH("econ",PAA_4[[#This Row],[Actividad3]])),"Económico",IF(ISNUMBER(SEARCH("alim",PAA_4[[#This Row],[Actividad3]])),"Alimentación",IF(ISNUMBER(SEARCH("educ",PAA_4[[#This Row],[Actividad3]])),"Educativo","Técnico"))),0)</f>
        <v>0</v>
      </c>
      <c r="AI2103" s="47" t="e" cm="1">
        <f t="array" aca="1" ref="AI2103" ca="1">_xlfn.XLOOKUP(PAA_4[[#This Row],[RCP-RUBRO]],[2]!COMPROMISOS_2024[[#All],[concatenado]],[2]!COMPROMISOS_2024[[#All],[Total pagado]],"",0)</f>
        <v>#NAME?</v>
      </c>
      <c r="AJ2103" s="56">
        <f>IF(PAA_4[[#This Row],[BOLSA]]=0,0,SUMIFS([2]!COMPROMISOS_2024[[#All],[Total pagado]],[2]!COMPROMISOS_2024[[#All],[Bolsa]],PAA_4[[#This Row],[BOLSA]],[2]!COMPROMISOS_2024[[#All],[rubro]],PAA_4[[#This Row],[RCP-RUBRO]]))</f>
        <v>0</v>
      </c>
      <c r="AK2103" s="47" t="e" cm="1">
        <f t="array" aca="1" ref="AK2103" ca="1">_xlfn.XLOOKUP(PAA_4[[#This Row],[RCP-RUBRO]],[2]!COMPROMISOS_2024[[#All],[concatenado]],[2]!COMPROMISOS_2024[[#All],[Total Comprometido]],"",0)</f>
        <v>#NAME?</v>
      </c>
      <c r="AL2103" s="47">
        <f>IF(PAA_4[[#This Row],[BOLSA]]=0,0,SUMIFS([2]!COMPROMISOS_2024[[#All],[Total Comprometido]],[2]!COMPROMISOS_2024[[#All],[Bolsa]],PAA_4[[#This Row],[BOLSA]],[2]!COMPROMISOS_2024[[#All],[concatenado]],PAA_4[[#This Row],[RCP-RUBRO]]))</f>
        <v>0</v>
      </c>
    </row>
    <row r="2104" spans="1:38" s="19" customFormat="1" ht="31.5" customHeight="1">
      <c r="A2104" s="47" t="s">
        <v>82</v>
      </c>
      <c r="B2104" s="47">
        <v>80141607</v>
      </c>
      <c r="C2104" s="47" t="str">
        <f>VLOOKUP(PAA_4[[#This Row],[PROYECTO (formulado)2]],[2]PROYECTOS!$G$1:$L$32,6,0)</f>
        <v>SUBGERENCIA DE FOMENTO Y DESARROLLO</v>
      </c>
      <c r="D2104" s="47" t="str">
        <f>+IF(PAA_4[[#This Row],[UNIDAD DE CONTRATACION (formulado)]]="Subgerencia Administrativa y Financiera","FUNCIONAMIENTO","INVERSIÓN")</f>
        <v>INVERSIÓN</v>
      </c>
      <c r="E2104" s="48" t="str">
        <f>VLOOKUP(Q2104,[2]PROYECTOS!$G$1:$K$32,5,0)</f>
        <v>FORTALECIMIENTO_DE_LOS_JUEGOS_DEL_SECTOR_EDUCATIVO_EN_ANTIOQUIA</v>
      </c>
      <c r="F2104" s="48">
        <f>VLOOKUP(E2104,[2]PROYECTOS!$K$1:$M$32,3,0)</f>
        <v>2020003050034</v>
      </c>
      <c r="G2104" s="49" t="s">
        <v>413</v>
      </c>
      <c r="H2104" s="49" t="str">
        <f>VLOOKUP(Q2104,[2]PROYECTOS!$V$1:$W$32,2,0)</f>
        <v>050053</v>
      </c>
      <c r="I2104" s="78">
        <v>0</v>
      </c>
      <c r="J2104" s="51" t="s">
        <v>2310</v>
      </c>
      <c r="K2104" s="47" t="str">
        <f t="shared" ca="1" si="658"/>
        <v>CONTRATADO</v>
      </c>
      <c r="L2104" s="47" t="s">
        <v>42</v>
      </c>
      <c r="M2104" s="47" t="s">
        <v>42</v>
      </c>
      <c r="N2104" s="52" t="s">
        <v>145</v>
      </c>
      <c r="O2104" s="51" t="e">
        <f>VLOOKUP(N2104,[2]!RUBROS[#All],3,0)</f>
        <v>#REF!</v>
      </c>
      <c r="P2104" s="53" t="e">
        <f>VLOOKUP(N2104,[2]!RUBROS[#All],2,0)</f>
        <v>#REF!</v>
      </c>
      <c r="Q2104" s="47" t="str">
        <f t="shared" si="659"/>
        <v>51</v>
      </c>
      <c r="R2104" s="47" t="str">
        <f t="shared" si="660"/>
        <v>0-205400</v>
      </c>
      <c r="S2104" s="339" t="s">
        <v>2309</v>
      </c>
      <c r="T2104" s="63" t="s">
        <v>46</v>
      </c>
      <c r="U2104" s="326" t="e">
        <f ca="1">_xlfn.XLOOKUP(PAA_4[[#This Row],[ITEM]],[2]Contrato!A:A,[2]Contrato!Q:Q,"",0)</f>
        <v>#NAME?</v>
      </c>
      <c r="V2104" s="47" t="s">
        <v>95</v>
      </c>
      <c r="W2104" s="47" t="s">
        <v>154</v>
      </c>
      <c r="X2104" s="47" t="s">
        <v>154</v>
      </c>
      <c r="Y2104" s="55" t="e">
        <f ca="1">_xlfn.XLOOKUP(PAA_4[[#This Row],[ITEM]],[2]Contrato!A:A,[2]Contrato!B:B,"",0)</f>
        <v>#NAME?</v>
      </c>
      <c r="Z2104" s="47" t="e">
        <f ca="1">_xlfn.XLOOKUP(PAA_4[[#This Row],[ITEM]],[2]Contrato!A:A,[2]Contrato!G:G,"",0)</f>
        <v>#NAME?</v>
      </c>
      <c r="AA2104" s="47" t="e">
        <f ca="1">_xlfn.XLOOKUP(PAA_4[[#This Row],[ITEM]],[2]Contrato!A:A,[2]Contrato!T:T,"",0)</f>
        <v>#NAME?</v>
      </c>
      <c r="AB2104" s="55" t="e">
        <f ca="1">+MAX(PAA_4[[#This Row],[Comprometido Contrato]],PAA_4[[#This Row],[Comprometido Bolsa]])</f>
        <v>#NAME?</v>
      </c>
      <c r="AC2104" s="55" t="str">
        <f t="shared" ca="1" si="661"/>
        <v/>
      </c>
      <c r="AD2104" s="55" t="e">
        <f ca="1">IF(PAA_4[[#This Row],[ESTADO (formulado)]]="NO CONTRATADO",0,MAX(PAA_4[[#This Row],[Pago por Contrato]],PAA_4[[#This Row],[Pago por bolsa]]))</f>
        <v>#NAME?</v>
      </c>
      <c r="AE2104" s="55" t="str">
        <f t="shared" ca="1" si="662"/>
        <v/>
      </c>
      <c r="AF2104" s="47" t="e">
        <f t="shared" ca="1" si="663"/>
        <v>#NAME?</v>
      </c>
      <c r="AG2104" s="47">
        <f t="shared" si="664"/>
        <v>44021011</v>
      </c>
      <c r="AH2104" s="54">
        <f>IF(Q2104="22",IF(ISNUMBER(SEARCH("econ",PAA_4[[#This Row],[Actividad3]])),"Económico",IF(ISNUMBER(SEARCH("alim",PAA_4[[#This Row],[Actividad3]])),"Alimentación",IF(ISNUMBER(SEARCH("educ",PAA_4[[#This Row],[Actividad3]])),"Educativo","Técnico"))),0)</f>
        <v>0</v>
      </c>
      <c r="AI2104" s="47" t="e" cm="1">
        <f t="array" aca="1" ref="AI2104" ca="1">_xlfn.XLOOKUP(PAA_4[[#This Row],[RCP-RUBRO]],[2]!COMPROMISOS_2024[[#All],[concatenado]],[2]!COMPROMISOS_2024[[#All],[Total pagado]],"",0)</f>
        <v>#NAME?</v>
      </c>
      <c r="AJ2104" s="56">
        <f>IF(PAA_4[[#This Row],[BOLSA]]=0,0,SUMIFS([2]!COMPROMISOS_2024[[#All],[Total pagado]],[2]!COMPROMISOS_2024[[#All],[Bolsa]],PAA_4[[#This Row],[BOLSA]],[2]!COMPROMISOS_2024[[#All],[rubro]],PAA_4[[#This Row],[RCP-RUBRO]]))</f>
        <v>0</v>
      </c>
      <c r="AK2104" s="47" t="e" cm="1">
        <f t="array" aca="1" ref="AK2104" ca="1">_xlfn.XLOOKUP(PAA_4[[#This Row],[RCP-RUBRO]],[2]!COMPROMISOS_2024[[#All],[concatenado]],[2]!COMPROMISOS_2024[[#All],[Total Comprometido]],"",0)</f>
        <v>#NAME?</v>
      </c>
      <c r="AL2104" s="47">
        <f>IF(PAA_4[[#This Row],[BOLSA]]=0,0,SUMIFS([2]!COMPROMISOS_2024[[#All],[Total Comprometido]],[2]!COMPROMISOS_2024[[#All],[Bolsa]],PAA_4[[#This Row],[BOLSA]],[2]!COMPROMISOS_2024[[#All],[concatenado]],PAA_4[[#This Row],[RCP-RUBRO]]))</f>
        <v>0</v>
      </c>
    </row>
    <row r="2105" spans="1:38" s="19" customFormat="1" ht="31.5" customHeight="1">
      <c r="A2105" s="47" t="s">
        <v>82</v>
      </c>
      <c r="B2105" s="47">
        <v>80141607</v>
      </c>
      <c r="C2105" s="47" t="str">
        <f>VLOOKUP(PAA_4[[#This Row],[PROYECTO (formulado)2]],[2]PROYECTOS!$G$1:$L$32,6,0)</f>
        <v>SUBGERENCIA DE FOMENTO Y DESARROLLO</v>
      </c>
      <c r="D2105" s="47" t="str">
        <f>+IF(PAA_4[[#This Row],[UNIDAD DE CONTRATACION (formulado)]]="Subgerencia Administrativa y Financiera","FUNCIONAMIENTO","INVERSIÓN")</f>
        <v>INVERSIÓN</v>
      </c>
      <c r="E2105" s="48" t="str">
        <f>VLOOKUP(Q2105,[2]PROYECTOS!$G$1:$K$32,5,0)</f>
        <v>FORTALECIMIENTO_DE_LOS_JUEGOS_DEL_SECTOR_EDUCATIVO_EN_ANTIOQUIA</v>
      </c>
      <c r="F2105" s="48">
        <f>VLOOKUP(E2105,[2]PROYECTOS!$K$1:$M$32,3,0)</f>
        <v>2020003050034</v>
      </c>
      <c r="G2105" s="49" t="s">
        <v>413</v>
      </c>
      <c r="H2105" s="49" t="str">
        <f>VLOOKUP(Q2105,[2]PROYECTOS!$V$1:$W$32,2,0)</f>
        <v>050053</v>
      </c>
      <c r="I2105" s="78">
        <v>0</v>
      </c>
      <c r="J2105" s="51" t="s">
        <v>446</v>
      </c>
      <c r="K2105" s="47" t="str">
        <f t="shared" ca="1" si="658"/>
        <v>CONTRATADO</v>
      </c>
      <c r="L2105" s="47" t="s">
        <v>42</v>
      </c>
      <c r="M2105" s="47" t="s">
        <v>42</v>
      </c>
      <c r="N2105" s="52" t="s">
        <v>1915</v>
      </c>
      <c r="O2105" s="51" t="e">
        <f>VLOOKUP(N2105,[2]!RUBROS[#All],3,0)</f>
        <v>#REF!</v>
      </c>
      <c r="P2105" s="53" t="e">
        <f>VLOOKUP(N2105,[2]!RUBROS[#All],2,0)</f>
        <v>#REF!</v>
      </c>
      <c r="Q2105" s="47" t="str">
        <f t="shared" si="659"/>
        <v>51</v>
      </c>
      <c r="R2105" s="47" t="str">
        <f t="shared" si="660"/>
        <v>0-101024</v>
      </c>
      <c r="S2105" s="339" t="s">
        <v>2309</v>
      </c>
      <c r="T2105" s="63" t="s">
        <v>46</v>
      </c>
      <c r="U2105" s="326" t="e">
        <f ca="1">_xlfn.XLOOKUP(PAA_4[[#This Row],[ITEM]],[2]Contrato!A:A,[2]Contrato!Q:Q,"",0)</f>
        <v>#NAME?</v>
      </c>
      <c r="V2105" s="47" t="s">
        <v>95</v>
      </c>
      <c r="W2105" s="47" t="s">
        <v>154</v>
      </c>
      <c r="X2105" s="47" t="s">
        <v>154</v>
      </c>
      <c r="Y2105" s="55" t="e">
        <f ca="1">_xlfn.XLOOKUP(PAA_4[[#This Row],[ITEM]],[2]Contrato!A:A,[2]Contrato!B:B,"",0)</f>
        <v>#NAME?</v>
      </c>
      <c r="Z2105" s="47" t="e">
        <f ca="1">_xlfn.XLOOKUP(PAA_4[[#This Row],[ITEM]],[2]Contrato!A:A,[2]Contrato!G:G,"",0)</f>
        <v>#NAME?</v>
      </c>
      <c r="AA2105" s="47" t="e">
        <f ca="1">_xlfn.XLOOKUP(PAA_4[[#This Row],[ITEM]],[2]Contrato!A:A,[2]Contrato!T:T,"",0)</f>
        <v>#NAME?</v>
      </c>
      <c r="AB2105" s="55" t="e">
        <f ca="1">+MAX(PAA_4[[#This Row],[Comprometido Contrato]],PAA_4[[#This Row],[Comprometido Bolsa]])</f>
        <v>#NAME?</v>
      </c>
      <c r="AC2105" s="55" t="str">
        <f t="shared" ca="1" si="661"/>
        <v/>
      </c>
      <c r="AD2105" s="55" t="e">
        <f ca="1">IF(PAA_4[[#This Row],[ESTADO (formulado)]]="NO CONTRATADO",0,MAX(PAA_4[[#This Row],[Pago por Contrato]],PAA_4[[#This Row],[Pago por bolsa]]))</f>
        <v>#NAME?</v>
      </c>
      <c r="AE2105" s="55" t="str">
        <f t="shared" ca="1" si="662"/>
        <v/>
      </c>
      <c r="AF2105" s="47" t="e">
        <f t="shared" ca="1" si="663"/>
        <v>#NAME?</v>
      </c>
      <c r="AG2105" s="47">
        <f t="shared" si="664"/>
        <v>44021011</v>
      </c>
      <c r="AH2105" s="54">
        <f>IF(Q2105="22",IF(ISNUMBER(SEARCH("econ",PAA_4[[#This Row],[Actividad3]])),"Económico",IF(ISNUMBER(SEARCH("alim",PAA_4[[#This Row],[Actividad3]])),"Alimentación",IF(ISNUMBER(SEARCH("educ",PAA_4[[#This Row],[Actividad3]])),"Educativo","Técnico"))),0)</f>
        <v>0</v>
      </c>
      <c r="AI2105" s="47" t="e" cm="1">
        <f t="array" aca="1" ref="AI2105" ca="1">_xlfn.XLOOKUP(PAA_4[[#This Row],[RCP-RUBRO]],[2]!COMPROMISOS_2024[[#All],[concatenado]],[2]!COMPROMISOS_2024[[#All],[Total pagado]],"",0)</f>
        <v>#NAME?</v>
      </c>
      <c r="AJ2105" s="56">
        <f>IF(PAA_4[[#This Row],[BOLSA]]=0,0,SUMIFS([2]!COMPROMISOS_2024[[#All],[Total pagado]],[2]!COMPROMISOS_2024[[#All],[Bolsa]],PAA_4[[#This Row],[BOLSA]],[2]!COMPROMISOS_2024[[#All],[rubro]],PAA_4[[#This Row],[RCP-RUBRO]]))</f>
        <v>0</v>
      </c>
      <c r="AK2105" s="47" t="e" cm="1">
        <f t="array" aca="1" ref="AK2105" ca="1">_xlfn.XLOOKUP(PAA_4[[#This Row],[RCP-RUBRO]],[2]!COMPROMISOS_2024[[#All],[concatenado]],[2]!COMPROMISOS_2024[[#All],[Total Comprometido]],"",0)</f>
        <v>#NAME?</v>
      </c>
      <c r="AL2105" s="47">
        <f>IF(PAA_4[[#This Row],[BOLSA]]=0,0,SUMIFS([2]!COMPROMISOS_2024[[#All],[Total Comprometido]],[2]!COMPROMISOS_2024[[#All],[Bolsa]],PAA_4[[#This Row],[BOLSA]],[2]!COMPROMISOS_2024[[#All],[concatenado]],PAA_4[[#This Row],[RCP-RUBRO]]))</f>
        <v>0</v>
      </c>
    </row>
    <row r="2106" spans="1:38" s="19" customFormat="1" ht="31.5" customHeight="1">
      <c r="A2106" s="47" t="s">
        <v>82</v>
      </c>
      <c r="B2106" s="47">
        <v>80111600</v>
      </c>
      <c r="C2106" s="47" t="str">
        <f>VLOOKUP(PAA_4[[#This Row],[PROYECTO (formulado)2]],[2]PROYECTOS!$G$1:$L$32,6,0)</f>
        <v>SUBGERENCIA DE FOMENTO Y DESARROLLO</v>
      </c>
      <c r="D2106" s="47" t="str">
        <f>+IF(PAA_4[[#This Row],[UNIDAD DE CONTRATACION (formulado)]]="Subgerencia Administrativa y Financiera","FUNCIONAMIENTO","INVERSIÓN")</f>
        <v>INVERSIÓN</v>
      </c>
      <c r="E2106" s="48" t="str">
        <f>VLOOKUP(Q2106,[2]PROYECTOS!$G$1:$K$32,5,0)</f>
        <v>FORTALECIMIENTO_DE_LOS_JUEGOS_DEL_SECTOR_EDUCATIVO_EN_ANTIOQUIA</v>
      </c>
      <c r="F2106" s="48">
        <f>VLOOKUP(E2106,[2]PROYECTOS!$K$1:$M$32,3,0)</f>
        <v>2020003050034</v>
      </c>
      <c r="G2106" s="49" t="s">
        <v>340</v>
      </c>
      <c r="H2106" s="49" t="str">
        <f>VLOOKUP(Q2106,[2]PROYECTOS!$V$1:$W$32,2,0)</f>
        <v>050053</v>
      </c>
      <c r="I2106" s="78">
        <v>0</v>
      </c>
      <c r="J2106" s="51" t="s">
        <v>2311</v>
      </c>
      <c r="K2106" s="47" t="str">
        <f t="shared" ca="1" si="658"/>
        <v>CONTRATADO</v>
      </c>
      <c r="L2106" s="47" t="s">
        <v>42</v>
      </c>
      <c r="M2106" s="47" t="s">
        <v>42</v>
      </c>
      <c r="N2106" s="52" t="s">
        <v>1915</v>
      </c>
      <c r="O2106" s="51" t="e">
        <f>VLOOKUP(N2106,[2]!RUBROS[#All],3,0)</f>
        <v>#REF!</v>
      </c>
      <c r="P2106" s="53" t="e">
        <f>VLOOKUP(N2106,[2]!RUBROS[#All],2,0)</f>
        <v>#REF!</v>
      </c>
      <c r="Q2106" s="47" t="str">
        <f t="shared" si="659"/>
        <v>51</v>
      </c>
      <c r="R2106" s="47" t="str">
        <f t="shared" si="660"/>
        <v>0-101024</v>
      </c>
      <c r="S2106" s="54" t="s">
        <v>2309</v>
      </c>
      <c r="T2106" s="63" t="s">
        <v>46</v>
      </c>
      <c r="U2106" s="326" t="e">
        <f ca="1">_xlfn.XLOOKUP(PAA_4[[#This Row],[ITEM]],[2]Contrato!A:A,[2]Contrato!Q:Q,"",0)</f>
        <v>#NAME?</v>
      </c>
      <c r="V2106" s="47" t="s">
        <v>95</v>
      </c>
      <c r="W2106" s="47" t="s">
        <v>154</v>
      </c>
      <c r="X2106" s="47" t="s">
        <v>154</v>
      </c>
      <c r="Y2106" s="55" t="e">
        <f ca="1">_xlfn.XLOOKUP(PAA_4[[#This Row],[ITEM]],[2]Contrato!A:A,[2]Contrato!B:B,"",0)</f>
        <v>#NAME?</v>
      </c>
      <c r="Z2106" s="47" t="e">
        <f ca="1">_xlfn.XLOOKUP(PAA_4[[#This Row],[ITEM]],[2]Contrato!A:A,[2]Contrato!G:G,"",0)</f>
        <v>#NAME?</v>
      </c>
      <c r="AA2106" s="47" t="e">
        <f ca="1">_xlfn.XLOOKUP(PAA_4[[#This Row],[ITEM]],[2]Contrato!A:A,[2]Contrato!T:T,"",0)</f>
        <v>#NAME?</v>
      </c>
      <c r="AB2106" s="55" t="e">
        <f ca="1">+MAX(PAA_4[[#This Row],[Comprometido Contrato]],PAA_4[[#This Row],[Comprometido Bolsa]])</f>
        <v>#NAME?</v>
      </c>
      <c r="AC2106" s="55" t="str">
        <f t="shared" ca="1" si="661"/>
        <v/>
      </c>
      <c r="AD2106" s="55" t="e">
        <f ca="1">IF(PAA_4[[#This Row],[ESTADO (formulado)]]="NO CONTRATADO",0,MAX(PAA_4[[#This Row],[Pago por Contrato]],PAA_4[[#This Row],[Pago por bolsa]]))</f>
        <v>#NAME?</v>
      </c>
      <c r="AE2106" s="55" t="str">
        <f t="shared" ca="1" si="662"/>
        <v/>
      </c>
      <c r="AF2106" s="47" t="e">
        <f t="shared" ca="1" si="663"/>
        <v>#NAME?</v>
      </c>
      <c r="AG2106" s="47">
        <f t="shared" si="664"/>
        <v>44021011</v>
      </c>
      <c r="AH2106" s="54">
        <f>IF(Q2106="22",IF(ISNUMBER(SEARCH("econ",PAA_4[[#This Row],[Actividad3]])),"Económico",IF(ISNUMBER(SEARCH("alim",PAA_4[[#This Row],[Actividad3]])),"Alimentación",IF(ISNUMBER(SEARCH("educ",PAA_4[[#This Row],[Actividad3]])),"Educativo","Técnico"))),0)</f>
        <v>0</v>
      </c>
      <c r="AI2106" s="47" t="e" cm="1">
        <f t="array" aca="1" ref="AI2106" ca="1">_xlfn.XLOOKUP(PAA_4[[#This Row],[RCP-RUBRO]],[2]!COMPROMISOS_2024[[#All],[concatenado]],[2]!COMPROMISOS_2024[[#All],[Total pagado]],"",0)</f>
        <v>#NAME?</v>
      </c>
      <c r="AJ2106" s="56">
        <f>IF(PAA_4[[#This Row],[BOLSA]]=0,0,SUMIFS([2]!COMPROMISOS_2024[[#All],[Total pagado]],[2]!COMPROMISOS_2024[[#All],[Bolsa]],PAA_4[[#This Row],[BOLSA]],[2]!COMPROMISOS_2024[[#All],[rubro]],PAA_4[[#This Row],[RCP-RUBRO]]))</f>
        <v>0</v>
      </c>
      <c r="AK2106" s="47" t="e" cm="1">
        <f t="array" aca="1" ref="AK2106" ca="1">_xlfn.XLOOKUP(PAA_4[[#This Row],[RCP-RUBRO]],[2]!COMPROMISOS_2024[[#All],[concatenado]],[2]!COMPROMISOS_2024[[#All],[Total Comprometido]],"",0)</f>
        <v>#NAME?</v>
      </c>
      <c r="AL2106" s="47">
        <f>IF(PAA_4[[#This Row],[BOLSA]]=0,0,SUMIFS([2]!COMPROMISOS_2024[[#All],[Total Comprometido]],[2]!COMPROMISOS_2024[[#All],[Bolsa]],PAA_4[[#This Row],[BOLSA]],[2]!COMPROMISOS_2024[[#All],[concatenado]],PAA_4[[#This Row],[RCP-RUBRO]]))</f>
        <v>0</v>
      </c>
    </row>
    <row r="2107" spans="1:38" s="19" customFormat="1" ht="31.5" customHeight="1">
      <c r="A2107" s="47" t="s">
        <v>82</v>
      </c>
      <c r="B2107" s="47">
        <v>80111600</v>
      </c>
      <c r="C2107" s="47" t="str">
        <f>VLOOKUP(PAA_4[[#This Row],[PROYECTO (formulado)2]],[2]PROYECTOS!$G$1:$L$32,6,0)</f>
        <v>SUBGERENCIA DE FOMENTO Y DESARROLLO</v>
      </c>
      <c r="D2107" s="47" t="str">
        <f>+IF(PAA_4[[#This Row],[UNIDAD DE CONTRATACION (formulado)]]="Subgerencia Administrativa y Financiera","FUNCIONAMIENTO","INVERSIÓN")</f>
        <v>INVERSIÓN</v>
      </c>
      <c r="E2107" s="48" t="str">
        <f>VLOOKUP(Q2107,[2]PROYECTOS!$G$1:$K$32,5,0)</f>
        <v>FORTALECIMIENTO_DEL_PROGRAMA_POR_SU_SALUD_MUÉVASE_PUES_EN_LOS_MUNICIPIO_DEL_DEPARTAMENTO_DE_ANTIOQUIA</v>
      </c>
      <c r="F2107" s="48">
        <f>VLOOKUP(E2107,[2]PROYECTOS!$K$1:$M$32,3,0)</f>
        <v>2020003050030</v>
      </c>
      <c r="G2107" s="49" t="s">
        <v>350</v>
      </c>
      <c r="H2107" s="49" t="str">
        <f>VLOOKUP(Q2107,[2]PROYECTOS!$V$1:$W$32,2,0)</f>
        <v>050055</v>
      </c>
      <c r="I2107" s="78">
        <v>0</v>
      </c>
      <c r="J2107" s="51" t="s">
        <v>372</v>
      </c>
      <c r="K2107" s="47" t="str">
        <f t="shared" ca="1" si="658"/>
        <v>CONTRATADO</v>
      </c>
      <c r="L2107" s="47" t="s">
        <v>42</v>
      </c>
      <c r="M2107" s="47" t="s">
        <v>42</v>
      </c>
      <c r="N2107" s="52" t="s">
        <v>352</v>
      </c>
      <c r="O2107" s="51" t="e">
        <f>VLOOKUP(N2107,[2]!RUBROS[#All],3,0)</f>
        <v>#REF!</v>
      </c>
      <c r="P2107" s="53" t="e">
        <f>VLOOKUP(N2107,[2]!RUBROS[#All],2,0)</f>
        <v>#REF!</v>
      </c>
      <c r="Q2107" s="47" t="str">
        <f t="shared" si="659"/>
        <v>45</v>
      </c>
      <c r="R2107" s="47" t="str">
        <f t="shared" si="660"/>
        <v>0-205128</v>
      </c>
      <c r="S2107" s="54" t="s">
        <v>2309</v>
      </c>
      <c r="T2107" s="63" t="s">
        <v>46</v>
      </c>
      <c r="U2107" s="326" t="e">
        <f ca="1">_xlfn.XLOOKUP(PAA_4[[#This Row],[ITEM]],[2]Contrato!A:A,[2]Contrato!Q:Q,"",0)</f>
        <v>#NAME?</v>
      </c>
      <c r="V2107" s="47" t="s">
        <v>95</v>
      </c>
      <c r="W2107" s="47" t="s">
        <v>154</v>
      </c>
      <c r="X2107" s="47" t="s">
        <v>154</v>
      </c>
      <c r="Y2107" s="55" t="e">
        <f ca="1">_xlfn.XLOOKUP(PAA_4[[#This Row],[ITEM]],[2]Contrato!A:A,[2]Contrato!B:B,"",0)</f>
        <v>#NAME?</v>
      </c>
      <c r="Z2107" s="47" t="e">
        <f ca="1">_xlfn.XLOOKUP(PAA_4[[#This Row],[ITEM]],[2]Contrato!A:A,[2]Contrato!G:G,"",0)</f>
        <v>#NAME?</v>
      </c>
      <c r="AA2107" s="47" t="e">
        <f ca="1">_xlfn.XLOOKUP(PAA_4[[#This Row],[ITEM]],[2]Contrato!A:A,[2]Contrato!T:T,"",0)</f>
        <v>#NAME?</v>
      </c>
      <c r="AB2107" s="55" t="e">
        <f ca="1">+MAX(PAA_4[[#This Row],[Comprometido Contrato]],PAA_4[[#This Row],[Comprometido Bolsa]])</f>
        <v>#NAME?</v>
      </c>
      <c r="AC2107" s="55" t="str">
        <f t="shared" ca="1" si="661"/>
        <v/>
      </c>
      <c r="AD2107" s="55" t="e">
        <f ca="1">IF(PAA_4[[#This Row],[ESTADO (formulado)]]="NO CONTRATADO",0,MAX(PAA_4[[#This Row],[Pago por Contrato]],PAA_4[[#This Row],[Pago por bolsa]]))</f>
        <v>#NAME?</v>
      </c>
      <c r="AE2107" s="55" t="str">
        <f t="shared" ca="1" si="662"/>
        <v/>
      </c>
      <c r="AF2107" s="47" t="e">
        <f t="shared" ca="1" si="663"/>
        <v>#NAME?</v>
      </c>
      <c r="AG2107" s="47">
        <f t="shared" si="664"/>
        <v>44021001</v>
      </c>
      <c r="AH2107" s="54">
        <f>IF(Q2107="22",IF(ISNUMBER(SEARCH("econ",PAA_4[[#This Row],[Actividad3]])),"Económico",IF(ISNUMBER(SEARCH("alim",PAA_4[[#This Row],[Actividad3]])),"Alimentación",IF(ISNUMBER(SEARCH("educ",PAA_4[[#This Row],[Actividad3]])),"Educativo","Técnico"))),0)</f>
        <v>0</v>
      </c>
      <c r="AI2107" s="47" t="e" cm="1">
        <f t="array" aca="1" ref="AI2107" ca="1">_xlfn.XLOOKUP(PAA_4[[#This Row],[RCP-RUBRO]],[2]!COMPROMISOS_2024[[#All],[concatenado]],[2]!COMPROMISOS_2024[[#All],[Total pagado]],"",0)</f>
        <v>#NAME?</v>
      </c>
      <c r="AJ2107" s="56">
        <f>IF(PAA_4[[#This Row],[BOLSA]]=0,0,SUMIFS([2]!COMPROMISOS_2024[[#All],[Total pagado]],[2]!COMPROMISOS_2024[[#All],[Bolsa]],PAA_4[[#This Row],[BOLSA]],[2]!COMPROMISOS_2024[[#All],[rubro]],PAA_4[[#This Row],[RCP-RUBRO]]))</f>
        <v>0</v>
      </c>
      <c r="AK2107" s="47" t="e" cm="1">
        <f t="array" aca="1" ref="AK2107" ca="1">_xlfn.XLOOKUP(PAA_4[[#This Row],[RCP-RUBRO]],[2]!COMPROMISOS_2024[[#All],[concatenado]],[2]!COMPROMISOS_2024[[#All],[Total Comprometido]],"",0)</f>
        <v>#NAME?</v>
      </c>
      <c r="AL2107" s="47">
        <f>IF(PAA_4[[#This Row],[BOLSA]]=0,0,SUMIFS([2]!COMPROMISOS_2024[[#All],[Total Comprometido]],[2]!COMPROMISOS_2024[[#All],[Bolsa]],PAA_4[[#This Row],[BOLSA]],[2]!COMPROMISOS_2024[[#All],[concatenado]],PAA_4[[#This Row],[RCP-RUBRO]]))</f>
        <v>0</v>
      </c>
    </row>
    <row r="2108" spans="1:38" s="19" customFormat="1" ht="31.5" customHeight="1">
      <c r="A2108" s="47" t="s">
        <v>82</v>
      </c>
      <c r="B2108" s="47">
        <v>80141607</v>
      </c>
      <c r="C2108" s="47" t="str">
        <f>VLOOKUP(PAA_4[[#This Row],[PROYECTO (formulado)2]],[2]PROYECTOS!$G$1:$L$32,6,0)</f>
        <v>SUBGERENCIA DE FOMENTO Y DESARROLLO</v>
      </c>
      <c r="D2108" s="47" t="str">
        <f>+IF(PAA_4[[#This Row],[UNIDAD DE CONTRATACION (formulado)]]="Subgerencia Administrativa y Financiera","FUNCIONAMIENTO","INVERSIÓN")</f>
        <v>INVERSIÓN</v>
      </c>
      <c r="E2108" s="48" t="str">
        <f>VLOOKUP(Q2108,[2]PROYECTOS!$G$1:$K$32,5,0)</f>
        <v>FORTALECIMIENTO_DE_LOS_PROGRAMAS_RECREATIVOS_EN_LOS_MUNICIPIOS_DEL_DEPARTAMENTO_DE_ANTIOQUIA</v>
      </c>
      <c r="F2108" s="48">
        <f>VLOOKUP(E2108,[2]PROYECTOS!$K$1:$M$32,3,0)</f>
        <v>2020003050031</v>
      </c>
      <c r="G2108" s="49" t="s">
        <v>367</v>
      </c>
      <c r="H2108" s="49" t="str">
        <f>VLOOKUP(Q2108,[2]PROYECTOS!$V$1:$W$32,2,0)</f>
        <v>050064</v>
      </c>
      <c r="I2108" s="50">
        <v>0</v>
      </c>
      <c r="J2108" s="51" t="s">
        <v>2312</v>
      </c>
      <c r="K2108" s="47" t="str">
        <f t="shared" ca="1" si="658"/>
        <v>CONTRATADO</v>
      </c>
      <c r="L2108" s="47" t="s">
        <v>42</v>
      </c>
      <c r="M2108" s="47" t="s">
        <v>42</v>
      </c>
      <c r="N2108" s="52" t="s">
        <v>355</v>
      </c>
      <c r="O2108" s="51" t="e">
        <f>VLOOKUP(N2108,[2]!RUBROS[#All],3,0)</f>
        <v>#REF!</v>
      </c>
      <c r="P2108" s="53" t="e">
        <f>VLOOKUP(N2108,[2]!RUBROS[#All],2,0)</f>
        <v>#REF!</v>
      </c>
      <c r="Q2108" s="47" t="str">
        <f t="shared" si="659"/>
        <v>47</v>
      </c>
      <c r="R2108" s="47" t="str">
        <f t="shared" si="660"/>
        <v>0-205128</v>
      </c>
      <c r="S2108" s="54">
        <v>5</v>
      </c>
      <c r="T2108" s="63" t="s">
        <v>46</v>
      </c>
      <c r="U2108" s="326" t="e">
        <f ca="1">_xlfn.XLOOKUP(PAA_4[[#This Row],[ITEM]],[2]Contrato!A:A,[2]Contrato!Q:Q,"",0)</f>
        <v>#NAME?</v>
      </c>
      <c r="V2108" s="47" t="s">
        <v>95</v>
      </c>
      <c r="W2108" s="47" t="s">
        <v>154</v>
      </c>
      <c r="X2108" s="47" t="s">
        <v>154</v>
      </c>
      <c r="Y2108" s="55" t="e">
        <f ca="1">_xlfn.XLOOKUP(PAA_4[[#This Row],[ITEM]],[2]Contrato!A:A,[2]Contrato!B:B,"",0)</f>
        <v>#NAME?</v>
      </c>
      <c r="Z2108" s="47" t="e">
        <f ca="1">_xlfn.XLOOKUP(PAA_4[[#This Row],[ITEM]],[2]Contrato!A:A,[2]Contrato!G:G,"",0)</f>
        <v>#NAME?</v>
      </c>
      <c r="AA2108" s="47" t="e">
        <f ca="1">_xlfn.XLOOKUP(PAA_4[[#This Row],[ITEM]],[2]Contrato!A:A,[2]Contrato!T:T,"",0)</f>
        <v>#NAME?</v>
      </c>
      <c r="AB2108" s="55" t="e">
        <f ca="1">+MAX(PAA_4[[#This Row],[Comprometido Contrato]],PAA_4[[#This Row],[Comprometido Bolsa]])</f>
        <v>#NAME?</v>
      </c>
      <c r="AC2108" s="55" t="str">
        <f t="shared" ca="1" si="661"/>
        <v/>
      </c>
      <c r="AD2108" s="55" t="e">
        <f ca="1">IF(PAA_4[[#This Row],[ESTADO (formulado)]]="NO CONTRATADO",0,MAX(PAA_4[[#This Row],[Pago por Contrato]],PAA_4[[#This Row],[Pago por bolsa]]))</f>
        <v>#NAME?</v>
      </c>
      <c r="AE2108" s="55" t="str">
        <f t="shared" ca="1" si="662"/>
        <v/>
      </c>
      <c r="AF2108" s="47" t="e">
        <f t="shared" ca="1" si="663"/>
        <v>#NAME?</v>
      </c>
      <c r="AG2108" s="47">
        <f t="shared" si="664"/>
        <v>44021006</v>
      </c>
      <c r="AH2108" s="54">
        <f>IF(Q2108="22",IF(ISNUMBER(SEARCH("econ",PAA_4[[#This Row],[Actividad3]])),"Económico",IF(ISNUMBER(SEARCH("alim",PAA_4[[#This Row],[Actividad3]])),"Alimentación",IF(ISNUMBER(SEARCH("educ",PAA_4[[#This Row],[Actividad3]])),"Educativo","Técnico"))),0)</f>
        <v>0</v>
      </c>
      <c r="AI2108" s="47" t="e" cm="1">
        <f t="array" aca="1" ref="AI2108" ca="1">_xlfn.XLOOKUP(PAA_4[[#This Row],[RCP-RUBRO]],[2]!COMPROMISOS_2024[[#All],[concatenado]],[2]!COMPROMISOS_2024[[#All],[Total pagado]],"",0)</f>
        <v>#NAME?</v>
      </c>
      <c r="AJ2108" s="56">
        <f>IF(PAA_4[[#This Row],[BOLSA]]=0,0,SUMIFS([2]!COMPROMISOS_2024[[#All],[Total pagado]],[2]!COMPROMISOS_2024[[#All],[Bolsa]],PAA_4[[#This Row],[BOLSA]],[2]!COMPROMISOS_2024[[#All],[rubro]],PAA_4[[#This Row],[RCP-RUBRO]]))</f>
        <v>0</v>
      </c>
      <c r="AK2108" s="47" t="e" cm="1">
        <f t="array" aca="1" ref="AK2108" ca="1">_xlfn.XLOOKUP(PAA_4[[#This Row],[RCP-RUBRO]],[2]!COMPROMISOS_2024[[#All],[concatenado]],[2]!COMPROMISOS_2024[[#All],[Total Comprometido]],"",0)</f>
        <v>#NAME?</v>
      </c>
      <c r="AL2108" s="47">
        <f>IF(PAA_4[[#This Row],[BOLSA]]=0,0,SUMIFS([2]!COMPROMISOS_2024[[#All],[Total Comprometido]],[2]!COMPROMISOS_2024[[#All],[Bolsa]],PAA_4[[#This Row],[BOLSA]],[2]!COMPROMISOS_2024[[#All],[concatenado]],PAA_4[[#This Row],[RCP-RUBRO]]))</f>
        <v>0</v>
      </c>
    </row>
    <row r="2109" spans="1:38" s="19" customFormat="1" ht="31.5" customHeight="1">
      <c r="A2109" s="47">
        <v>993</v>
      </c>
      <c r="B2109" s="47">
        <v>86111602</v>
      </c>
      <c r="C2109" s="47" t="str">
        <f>VLOOKUP(PAA_4[[#This Row],[PROYECTO (formulado)2]],[2]PROYECTOS!$G$1:$L$32,6,0)</f>
        <v>SUBGERENCIA DE FOMENTO Y DESARROLLO</v>
      </c>
      <c r="D2109" s="47" t="str">
        <f>+IF(PAA_4[[#This Row],[UNIDAD DE CONTRATACION (formulado)]]="Subgerencia Administrativa y Financiera","FUNCIONAMIENTO","INVERSIÓN")</f>
        <v>INVERSIÓN</v>
      </c>
      <c r="E2109" s="48" t="str">
        <f>VLOOKUP(Q2109,[2]PROYECTOS!$G$1:$K$32,5,0)</f>
        <v>FORTALECIMIENTO_DE_LAS_ESCUELAS_DEPORTIVAS_EN_LOS_MUNICIPIOS_DEL_DEPARTAMENTO_DE_ANTIOQUIA</v>
      </c>
      <c r="F2109" s="48">
        <f>VLOOKUP(E2109,[2]PROYECTOS!$K$1:$M$32,3,0)</f>
        <v>2020003050032</v>
      </c>
      <c r="G2109" s="49" t="s">
        <v>376</v>
      </c>
      <c r="H2109" s="49" t="str">
        <f>VLOOKUP(Q2109,[2]PROYECTOS!$V$1:$W$32,2,0)</f>
        <v>050059</v>
      </c>
      <c r="I2109" s="50">
        <v>0</v>
      </c>
      <c r="J2109" s="51" t="s">
        <v>42</v>
      </c>
      <c r="K2109" s="47" t="str">
        <f t="shared" ca="1" si="658"/>
        <v>CONTRATADO</v>
      </c>
      <c r="L2109" s="47" t="s">
        <v>94</v>
      </c>
      <c r="M2109" s="47" t="s">
        <v>89</v>
      </c>
      <c r="N2109" s="52" t="s">
        <v>1860</v>
      </c>
      <c r="O2109" s="51" t="e">
        <f>VLOOKUP(N2109,[2]!RUBROS[#All],3,0)</f>
        <v>#REF!</v>
      </c>
      <c r="P2109" s="53" t="e">
        <f>VLOOKUP(N2109,[2]!RUBROS[#All],2,0)</f>
        <v>#REF!</v>
      </c>
      <c r="Q2109" s="47" t="str">
        <f t="shared" si="659"/>
        <v>46</v>
      </c>
      <c r="R2109" s="47" t="str">
        <f t="shared" si="660"/>
        <v>0-205400</v>
      </c>
      <c r="S2109" s="54">
        <v>5</v>
      </c>
      <c r="T2109" s="63" t="s">
        <v>46</v>
      </c>
      <c r="U2109" s="326" t="e">
        <f ca="1">_xlfn.XLOOKUP(PAA_4[[#This Row],[ITEM]],[2]Contrato!A:A,[2]Contrato!Q:Q,"",0)</f>
        <v>#NAME?</v>
      </c>
      <c r="V2109" s="47" t="s">
        <v>47</v>
      </c>
      <c r="W2109" s="47" t="s">
        <v>42</v>
      </c>
      <c r="X2109" s="47" t="s">
        <v>42</v>
      </c>
      <c r="Y2109" s="55" t="e">
        <f ca="1">_xlfn.XLOOKUP(PAA_4[[#This Row],[ITEM]],[2]Contrato!A:A,[2]Contrato!B:B,"",0)</f>
        <v>#NAME?</v>
      </c>
      <c r="Z2109" s="47" t="e">
        <f ca="1">_xlfn.XLOOKUP(PAA_4[[#This Row],[ITEM]],[2]Contrato!A:A,[2]Contrato!G:G,"",0)</f>
        <v>#NAME?</v>
      </c>
      <c r="AA2109" s="47" t="e">
        <f ca="1">_xlfn.XLOOKUP(PAA_4[[#This Row],[ITEM]],[2]Contrato!A:A,[2]Contrato!T:T,"",0)</f>
        <v>#NAME?</v>
      </c>
      <c r="AB2109" s="55" t="e">
        <f ca="1">+MAX(PAA_4[[#This Row],[Comprometido Contrato]],PAA_4[[#This Row],[Comprometido Bolsa]])</f>
        <v>#NAME?</v>
      </c>
      <c r="AC2109" s="55" t="str">
        <f t="shared" ca="1" si="661"/>
        <v/>
      </c>
      <c r="AD2109" s="55" t="e">
        <f ca="1">IF(PAA_4[[#This Row],[ESTADO (formulado)]]="NO CONTRATADO",0,MAX(PAA_4[[#This Row],[Pago por Contrato]],PAA_4[[#This Row],[Pago por bolsa]]))</f>
        <v>#NAME?</v>
      </c>
      <c r="AE2109" s="55" t="str">
        <f t="shared" ca="1" si="662"/>
        <v/>
      </c>
      <c r="AF2109" s="47" t="e">
        <f t="shared" ca="1" si="663"/>
        <v>#NAME?</v>
      </c>
      <c r="AG2109" s="47">
        <f t="shared" si="664"/>
        <v>44021007</v>
      </c>
      <c r="AH2109" s="54">
        <f>IF(Q2109="22",IF(ISNUMBER(SEARCH("econ",PAA_4[[#This Row],[Actividad3]])),"Económico",IF(ISNUMBER(SEARCH("alim",PAA_4[[#This Row],[Actividad3]])),"Alimentación",IF(ISNUMBER(SEARCH("educ",PAA_4[[#This Row],[Actividad3]])),"Educativo","Técnico"))),0)</f>
        <v>0</v>
      </c>
      <c r="AI2109" s="47" t="e" cm="1">
        <f t="array" aca="1" ref="AI2109" ca="1">_xlfn.XLOOKUP(PAA_4[[#This Row],[RCP-RUBRO]],[2]!COMPROMISOS_2024[[#All],[concatenado]],[2]!COMPROMISOS_2024[[#All],[Total pagado]],"",0)</f>
        <v>#NAME?</v>
      </c>
      <c r="AJ2109" s="56">
        <f>IF(PAA_4[[#This Row],[BOLSA]]=0,0,SUMIFS([2]!COMPROMISOS_2024[[#All],[Total pagado]],[2]!COMPROMISOS_2024[[#All],[Bolsa]],PAA_4[[#This Row],[BOLSA]],[2]!COMPROMISOS_2024[[#All],[rubro]],PAA_4[[#This Row],[RCP-RUBRO]]))</f>
        <v>0</v>
      </c>
      <c r="AK2109" s="47" t="e" cm="1">
        <f t="array" aca="1" ref="AK2109" ca="1">_xlfn.XLOOKUP(PAA_4[[#This Row],[RCP-RUBRO]],[2]!COMPROMISOS_2024[[#All],[concatenado]],[2]!COMPROMISOS_2024[[#All],[Total Comprometido]],"",0)</f>
        <v>#NAME?</v>
      </c>
      <c r="AL2109" s="47">
        <f>IF(PAA_4[[#This Row],[BOLSA]]=0,0,SUMIFS([2]!COMPROMISOS_2024[[#All],[Total Comprometido]],[2]!COMPROMISOS_2024[[#All],[Bolsa]],PAA_4[[#This Row],[BOLSA]],[2]!COMPROMISOS_2024[[#All],[concatenado]],PAA_4[[#This Row],[RCP-RUBRO]]))</f>
        <v>0</v>
      </c>
    </row>
    <row r="2110" spans="1:38" s="19" customFormat="1" ht="31.5" customHeight="1">
      <c r="A2110" s="47">
        <v>993</v>
      </c>
      <c r="B2110" s="47">
        <v>86111602</v>
      </c>
      <c r="C2110" s="47" t="str">
        <f>VLOOKUP(PAA_4[[#This Row],[PROYECTO (formulado)2]],[2]PROYECTOS!$G$1:$L$32,6,0)</f>
        <v>SUBGERENCIA DE FOMENTO Y DESARROLLO</v>
      </c>
      <c r="D2110" s="47" t="str">
        <f>+IF(PAA_4[[#This Row],[UNIDAD DE CONTRATACION (formulado)]]="Subgerencia Administrativa y Financiera","FUNCIONAMIENTO","INVERSIÓN")</f>
        <v>INVERSIÓN</v>
      </c>
      <c r="E2110" s="48" t="str">
        <f>VLOOKUP(Q2110,[2]PROYECTOS!$G$1:$K$32,5,0)</f>
        <v>FORTALECIMIENTO_DE_LOS_PROGRAMAS_RECREATIVOS_EN_LOS_MUNICIPIOS_DEL_DEPARTAMENTO_DE_ANTIOQUIA</v>
      </c>
      <c r="F2110" s="48">
        <f>VLOOKUP(E2110,[2]PROYECTOS!$K$1:$M$32,3,0)</f>
        <v>2020003050031</v>
      </c>
      <c r="G2110" s="49" t="s">
        <v>353</v>
      </c>
      <c r="H2110" s="49" t="str">
        <f>VLOOKUP(Q2110,[2]PROYECTOS!$V$1:$W$32,2,0)</f>
        <v>050064</v>
      </c>
      <c r="I2110" s="50">
        <v>0</v>
      </c>
      <c r="J2110" s="51" t="s">
        <v>42</v>
      </c>
      <c r="K2110" s="47" t="str">
        <f t="shared" ca="1" si="658"/>
        <v>CONTRATADO</v>
      </c>
      <c r="L2110" s="47" t="s">
        <v>94</v>
      </c>
      <c r="M2110" s="47" t="s">
        <v>89</v>
      </c>
      <c r="N2110" s="52" t="s">
        <v>355</v>
      </c>
      <c r="O2110" s="51" t="e">
        <f>VLOOKUP(N2110,[2]!RUBROS[#All],3,0)</f>
        <v>#REF!</v>
      </c>
      <c r="P2110" s="53" t="e">
        <f>VLOOKUP(N2110,[2]!RUBROS[#All],2,0)</f>
        <v>#REF!</v>
      </c>
      <c r="Q2110" s="47" t="str">
        <f t="shared" si="659"/>
        <v>47</v>
      </c>
      <c r="R2110" s="47" t="str">
        <f t="shared" si="660"/>
        <v>0-205128</v>
      </c>
      <c r="S2110" s="54">
        <v>5</v>
      </c>
      <c r="T2110" s="63" t="s">
        <v>46</v>
      </c>
      <c r="U2110" s="326" t="e">
        <f ca="1">_xlfn.XLOOKUP(PAA_4[[#This Row],[ITEM]],[2]Contrato!A:A,[2]Contrato!Q:Q,"",0)</f>
        <v>#NAME?</v>
      </c>
      <c r="V2110" s="47" t="s">
        <v>47</v>
      </c>
      <c r="W2110" s="47" t="s">
        <v>42</v>
      </c>
      <c r="X2110" s="47" t="s">
        <v>42</v>
      </c>
      <c r="Y2110" s="55" t="e">
        <f ca="1">_xlfn.XLOOKUP(PAA_4[[#This Row],[ITEM]],[2]Contrato!A:A,[2]Contrato!B:B,"",0)</f>
        <v>#NAME?</v>
      </c>
      <c r="Z2110" s="47" t="e">
        <f ca="1">_xlfn.XLOOKUP(PAA_4[[#This Row],[ITEM]],[2]Contrato!A:A,[2]Contrato!G:G,"",0)</f>
        <v>#NAME?</v>
      </c>
      <c r="AA2110" s="47" t="e">
        <f ca="1">_xlfn.XLOOKUP(PAA_4[[#This Row],[ITEM]],[2]Contrato!A:A,[2]Contrato!T:T,"",0)</f>
        <v>#NAME?</v>
      </c>
      <c r="AB2110" s="55" t="e">
        <f ca="1">+MAX(PAA_4[[#This Row],[Comprometido Contrato]],PAA_4[[#This Row],[Comprometido Bolsa]])</f>
        <v>#NAME?</v>
      </c>
      <c r="AC2110" s="55" t="str">
        <f t="shared" ca="1" si="661"/>
        <v/>
      </c>
      <c r="AD2110" s="55" t="e">
        <f ca="1">IF(PAA_4[[#This Row],[ESTADO (formulado)]]="NO CONTRATADO",0,MAX(PAA_4[[#This Row],[Pago por Contrato]],PAA_4[[#This Row],[Pago por bolsa]]))</f>
        <v>#NAME?</v>
      </c>
      <c r="AE2110" s="55" t="str">
        <f t="shared" ca="1" si="662"/>
        <v/>
      </c>
      <c r="AF2110" s="47" t="e">
        <f t="shared" ca="1" si="663"/>
        <v>#NAME?</v>
      </c>
      <c r="AG2110" s="47">
        <f t="shared" si="664"/>
        <v>44021004</v>
      </c>
      <c r="AH2110" s="54">
        <f>IF(Q2110="22",IF(ISNUMBER(SEARCH("econ",PAA_4[[#This Row],[Actividad3]])),"Económico",IF(ISNUMBER(SEARCH("alim",PAA_4[[#This Row],[Actividad3]])),"Alimentación",IF(ISNUMBER(SEARCH("educ",PAA_4[[#This Row],[Actividad3]])),"Educativo","Técnico"))),0)</f>
        <v>0</v>
      </c>
      <c r="AI2110" s="47" t="e" cm="1">
        <f t="array" aca="1" ref="AI2110" ca="1">_xlfn.XLOOKUP(PAA_4[[#This Row],[RCP-RUBRO]],[2]!COMPROMISOS_2024[[#All],[concatenado]],[2]!COMPROMISOS_2024[[#All],[Total pagado]],"",0)</f>
        <v>#NAME?</v>
      </c>
      <c r="AJ2110" s="56">
        <f>IF(PAA_4[[#This Row],[BOLSA]]=0,0,SUMIFS([2]!COMPROMISOS_2024[[#All],[Total pagado]],[2]!COMPROMISOS_2024[[#All],[Bolsa]],PAA_4[[#This Row],[BOLSA]],[2]!COMPROMISOS_2024[[#All],[rubro]],PAA_4[[#This Row],[RCP-RUBRO]]))</f>
        <v>0</v>
      </c>
      <c r="AK2110" s="47" t="e" cm="1">
        <f t="array" aca="1" ref="AK2110" ca="1">_xlfn.XLOOKUP(PAA_4[[#This Row],[RCP-RUBRO]],[2]!COMPROMISOS_2024[[#All],[concatenado]],[2]!COMPROMISOS_2024[[#All],[Total Comprometido]],"",0)</f>
        <v>#NAME?</v>
      </c>
      <c r="AL2110" s="47">
        <f>IF(PAA_4[[#This Row],[BOLSA]]=0,0,SUMIFS([2]!COMPROMISOS_2024[[#All],[Total Comprometido]],[2]!COMPROMISOS_2024[[#All],[Bolsa]],PAA_4[[#This Row],[BOLSA]],[2]!COMPROMISOS_2024[[#All],[concatenado]],PAA_4[[#This Row],[RCP-RUBRO]]))</f>
        <v>0</v>
      </c>
    </row>
    <row r="2111" spans="1:38" s="19" customFormat="1" ht="31.5" customHeight="1">
      <c r="A2111" s="47" t="s">
        <v>82</v>
      </c>
      <c r="B2111" s="47" t="s">
        <v>42</v>
      </c>
      <c r="C2111" s="47" t="str">
        <f>VLOOKUP(PAA_4[[#This Row],[PROYECTO (formulado)2]],[2]PROYECTOS!$G$1:$L$32,6,0)</f>
        <v>SUBGERENCIA DE FOMENTO Y DESARROLLO</v>
      </c>
      <c r="D2111" s="47" t="str">
        <f>+IF(PAA_4[[#This Row],[UNIDAD DE CONTRATACION (formulado)]]="Subgerencia Administrativa y Financiera","FUNCIONAMIENTO","INVERSIÓN")</f>
        <v>INVERSIÓN</v>
      </c>
      <c r="E2111" s="48" t="str">
        <f>VLOOKUP(Q2111,[2]PROYECTOS!$G$1:$K$32,5,0)</f>
        <v>FORTALECIMIENTO_DE_LOS_PROGRAMAS_RECREATIVOS_EN_LOS_MUNICIPIOS_DEL_DEPARTAMENTO_DE_ANTIOQUIA</v>
      </c>
      <c r="F2111" s="48">
        <f>VLOOKUP(E2111,[2]PROYECTOS!$K$1:$M$32,3,0)</f>
        <v>2020003050031</v>
      </c>
      <c r="G2111" s="49" t="s">
        <v>353</v>
      </c>
      <c r="H2111" s="49" t="str">
        <f>VLOOKUP(Q2111,[2]PROYECTOS!$V$1:$W$32,2,0)</f>
        <v>050064</v>
      </c>
      <c r="I2111" s="50">
        <v>2000000</v>
      </c>
      <c r="J2111" s="51" t="s">
        <v>1852</v>
      </c>
      <c r="K2111" s="47" t="str">
        <f t="shared" ca="1" si="658"/>
        <v>CONTRATADO</v>
      </c>
      <c r="L2111" s="47" t="s">
        <v>42</v>
      </c>
      <c r="M2111" s="47" t="s">
        <v>42</v>
      </c>
      <c r="N2111" s="52" t="s">
        <v>355</v>
      </c>
      <c r="O2111" s="51" t="e">
        <f>VLOOKUP(N2111,[2]!RUBROS[#All],3,0)</f>
        <v>#REF!</v>
      </c>
      <c r="P2111" s="53" t="e">
        <f>VLOOKUP(N2111,[2]!RUBROS[#All],2,0)</f>
        <v>#REF!</v>
      </c>
      <c r="Q2111" s="47" t="str">
        <f t="shared" si="659"/>
        <v>47</v>
      </c>
      <c r="R2111" s="47" t="str">
        <f t="shared" si="660"/>
        <v>0-205128</v>
      </c>
      <c r="S2111" s="54" t="s">
        <v>42</v>
      </c>
      <c r="T2111" s="329" t="s">
        <v>42</v>
      </c>
      <c r="U2111" s="326" t="e">
        <f ca="1">_xlfn.XLOOKUP(PAA_4[[#This Row],[ITEM]],[2]Contrato!A:A,[2]Contrato!Q:Q,"",0)</f>
        <v>#NAME?</v>
      </c>
      <c r="V2111" s="54" t="s">
        <v>42</v>
      </c>
      <c r="W2111" s="54" t="s">
        <v>42</v>
      </c>
      <c r="X2111" s="54" t="s">
        <v>42</v>
      </c>
      <c r="Y2111" s="55" t="e">
        <f ca="1">_xlfn.XLOOKUP(PAA_4[[#This Row],[ITEM]],[2]Contrato!A:A,[2]Contrato!B:B,"",0)</f>
        <v>#NAME?</v>
      </c>
      <c r="Z2111" s="47" t="e">
        <f ca="1">_xlfn.XLOOKUP(PAA_4[[#This Row],[ITEM]],[2]Contrato!A:A,[2]Contrato!G:G,"",0)</f>
        <v>#NAME?</v>
      </c>
      <c r="AA2111" s="47" t="e">
        <f ca="1">_xlfn.XLOOKUP(PAA_4[[#This Row],[ITEM]],[2]Contrato!A:A,[2]Contrato!T:T,"",0)</f>
        <v>#NAME?</v>
      </c>
      <c r="AB2111" s="55" t="e">
        <f ca="1">+MAX(PAA_4[[#This Row],[Comprometido Contrato]],PAA_4[[#This Row],[Comprometido Bolsa]])</f>
        <v>#NAME?</v>
      </c>
      <c r="AC2111" s="55" t="str">
        <f t="shared" ca="1" si="661"/>
        <v/>
      </c>
      <c r="AD2111" s="55" t="e">
        <f ca="1">IF(PAA_4[[#This Row],[ESTADO (formulado)]]="NO CONTRATADO",0,MAX(PAA_4[[#This Row],[Pago por Contrato]],PAA_4[[#This Row],[Pago por bolsa]]))</f>
        <v>#NAME?</v>
      </c>
      <c r="AE2111" s="55" t="str">
        <f t="shared" ca="1" si="662"/>
        <v/>
      </c>
      <c r="AF2111" s="47" t="e">
        <f t="shared" ca="1" si="663"/>
        <v>#NAME?</v>
      </c>
      <c r="AG2111" s="47">
        <f t="shared" si="664"/>
        <v>44021004</v>
      </c>
      <c r="AH2111" s="54">
        <f>IF(Q2111="22",IF(ISNUMBER(SEARCH("econ",PAA_4[[#This Row],[Actividad3]])),"Económico",IF(ISNUMBER(SEARCH("alim",PAA_4[[#This Row],[Actividad3]])),"Alimentación",IF(ISNUMBER(SEARCH("educ",PAA_4[[#This Row],[Actividad3]])),"Educativo","Técnico"))),0)</f>
        <v>0</v>
      </c>
      <c r="AI2111" s="47" t="e" cm="1">
        <f t="array" aca="1" ref="AI2111" ca="1">_xlfn.XLOOKUP(PAA_4[[#This Row],[RCP-RUBRO]],[2]!COMPROMISOS_2024[[#All],[concatenado]],[2]!COMPROMISOS_2024[[#All],[Total pagado]],"",0)</f>
        <v>#NAME?</v>
      </c>
      <c r="AJ2111" s="56">
        <f>IF(PAA_4[[#This Row],[BOLSA]]=0,0,SUMIFS([2]!COMPROMISOS_2024[[#All],[Total pagado]],[2]!COMPROMISOS_2024[[#All],[Bolsa]],PAA_4[[#This Row],[BOLSA]],[2]!COMPROMISOS_2024[[#All],[rubro]],PAA_4[[#This Row],[RCP-RUBRO]]))</f>
        <v>0</v>
      </c>
      <c r="AK2111" s="47" t="e" cm="1">
        <f t="array" aca="1" ref="AK2111" ca="1">_xlfn.XLOOKUP(PAA_4[[#This Row],[RCP-RUBRO]],[2]!COMPROMISOS_2024[[#All],[concatenado]],[2]!COMPROMISOS_2024[[#All],[Total Comprometido]],"",0)</f>
        <v>#NAME?</v>
      </c>
      <c r="AL2111" s="47">
        <f>IF(PAA_4[[#This Row],[BOLSA]]=0,0,SUMIFS([2]!COMPROMISOS_2024[[#All],[Total Comprometido]],[2]!COMPROMISOS_2024[[#All],[Bolsa]],PAA_4[[#This Row],[BOLSA]],[2]!COMPROMISOS_2024[[#All],[concatenado]],PAA_4[[#This Row],[RCP-RUBRO]]))</f>
        <v>0</v>
      </c>
    </row>
    <row r="2112" spans="1:38" s="19" customFormat="1" ht="31.5" customHeight="1">
      <c r="A2112" s="47">
        <v>1158</v>
      </c>
      <c r="B2112" s="47">
        <v>80111600</v>
      </c>
      <c r="C2112" s="47" t="str">
        <f>VLOOKUP(PAA_4[[#This Row],[PROYECTO (formulado)2]],[2]PROYECTOS!$G$1:$L$32,6,0)</f>
        <v>SUBGERENCIA DE FOMENTO Y DESARROLLO</v>
      </c>
      <c r="D2112" s="47" t="str">
        <f>+IF(PAA_4[[#This Row],[UNIDAD DE CONTRATACION (formulado)]]="Subgerencia Administrativa y Financiera","FUNCIONAMIENTO","INVERSIÓN")</f>
        <v>INVERSIÓN</v>
      </c>
      <c r="E2112" s="48" t="str">
        <f>VLOOKUP(Q2112,[2]PROYECTOS!$G$1:$K$32,5,0)</f>
        <v>FORTALECIMIENTO_DE_LOS_PROGRAMAS_RECREATIVOS_EN_LOS_MUNICIPIOS_DEL_DEPARTAMENTO_DE_ANTIOQUIA</v>
      </c>
      <c r="F2112" s="48">
        <f>VLOOKUP(E2112,[2]PROYECTOS!$K$1:$M$32,3,0)</f>
        <v>2020003050031</v>
      </c>
      <c r="G2112" s="49" t="s">
        <v>353</v>
      </c>
      <c r="H2112" s="49" t="str">
        <f>VLOOKUP(Q2112,[2]PROYECTOS!$V$1:$W$32,2,0)</f>
        <v>050064</v>
      </c>
      <c r="I2112" s="50">
        <f>11012941-2000000</f>
        <v>9012941</v>
      </c>
      <c r="J2112" s="51" t="s">
        <v>2313</v>
      </c>
      <c r="K2112" s="47" t="str">
        <f t="shared" ca="1" si="658"/>
        <v>CONTRATADO</v>
      </c>
      <c r="L2112" s="47" t="s">
        <v>94</v>
      </c>
      <c r="M2112" s="47" t="s">
        <v>1297</v>
      </c>
      <c r="N2112" s="52" t="s">
        <v>355</v>
      </c>
      <c r="O2112" s="51" t="e">
        <f>VLOOKUP(N2112,[2]!RUBROS[#All],3,0)</f>
        <v>#REF!</v>
      </c>
      <c r="P2112" s="53" t="e">
        <f>VLOOKUP(N2112,[2]!RUBROS[#All],2,0)</f>
        <v>#REF!</v>
      </c>
      <c r="Q2112" s="47" t="str">
        <f t="shared" si="659"/>
        <v>47</v>
      </c>
      <c r="R2112" s="47" t="str">
        <f t="shared" si="660"/>
        <v>0-205128</v>
      </c>
      <c r="S2112" s="54">
        <v>75</v>
      </c>
      <c r="T2112" s="63" t="s">
        <v>120</v>
      </c>
      <c r="U2112" s="326" t="e">
        <f ca="1">_xlfn.XLOOKUP(PAA_4[[#This Row],[ITEM]],[2]Contrato!A:A,[2]Contrato!Q:Q,"",0)</f>
        <v>#NAME?</v>
      </c>
      <c r="V2112" s="47" t="s">
        <v>47</v>
      </c>
      <c r="W2112" s="47" t="s">
        <v>203</v>
      </c>
      <c r="X2112" s="47" t="s">
        <v>203</v>
      </c>
      <c r="Y2112" s="55" t="e">
        <f ca="1">_xlfn.XLOOKUP(PAA_4[[#This Row],[ITEM]],[2]Contrato!A:A,[2]Contrato!B:B,"",0)</f>
        <v>#NAME?</v>
      </c>
      <c r="Z2112" s="47" t="e">
        <f ca="1">_xlfn.XLOOKUP(PAA_4[[#This Row],[ITEM]],[2]Contrato!A:A,[2]Contrato!G:G,"",0)</f>
        <v>#NAME?</v>
      </c>
      <c r="AA2112" s="47" t="e">
        <f ca="1">_xlfn.XLOOKUP(PAA_4[[#This Row],[ITEM]],[2]Contrato!A:A,[2]Contrato!T:T,"",0)</f>
        <v>#NAME?</v>
      </c>
      <c r="AB2112" s="55" t="e">
        <f ca="1">+MAX(PAA_4[[#This Row],[Comprometido Contrato]],PAA_4[[#This Row],[Comprometido Bolsa]])</f>
        <v>#NAME?</v>
      </c>
      <c r="AC2112" s="55" t="str">
        <f t="shared" ca="1" si="661"/>
        <v/>
      </c>
      <c r="AD2112" s="55" t="e">
        <f ca="1">IF(PAA_4[[#This Row],[ESTADO (formulado)]]="NO CONTRATADO",0,MAX(PAA_4[[#This Row],[Pago por Contrato]],PAA_4[[#This Row],[Pago por bolsa]]))</f>
        <v>#NAME?</v>
      </c>
      <c r="AE2112" s="55" t="str">
        <f t="shared" ca="1" si="662"/>
        <v/>
      </c>
      <c r="AF2112" s="47" t="e">
        <f t="shared" ca="1" si="663"/>
        <v>#NAME?</v>
      </c>
      <c r="AG2112" s="47">
        <f t="shared" si="664"/>
        <v>44021004</v>
      </c>
      <c r="AH2112" s="54">
        <f>IF(Q2112="22",IF(ISNUMBER(SEARCH("econ",PAA_4[[#This Row],[Actividad3]])),"Económico",IF(ISNUMBER(SEARCH("alim",PAA_4[[#This Row],[Actividad3]])),"Alimentación",IF(ISNUMBER(SEARCH("educ",PAA_4[[#This Row],[Actividad3]])),"Educativo","Técnico"))),0)</f>
        <v>0</v>
      </c>
      <c r="AI2112" s="47" t="e" cm="1">
        <f t="array" aca="1" ref="AI2112" ca="1">_xlfn.XLOOKUP(PAA_4[[#This Row],[RCP-RUBRO]],[2]!COMPROMISOS_2024[[#All],[concatenado]],[2]!COMPROMISOS_2024[[#All],[Total pagado]],"",0)</f>
        <v>#NAME?</v>
      </c>
      <c r="AJ2112" s="56">
        <f>IF(PAA_4[[#This Row],[BOLSA]]=0,0,SUMIFS([2]!COMPROMISOS_2024[[#All],[Total pagado]],[2]!COMPROMISOS_2024[[#All],[Bolsa]],PAA_4[[#This Row],[BOLSA]],[2]!COMPROMISOS_2024[[#All],[rubro]],PAA_4[[#This Row],[RCP-RUBRO]]))</f>
        <v>0</v>
      </c>
      <c r="AK2112" s="47" t="e" cm="1">
        <f t="array" aca="1" ref="AK2112" ca="1">_xlfn.XLOOKUP(PAA_4[[#This Row],[RCP-RUBRO]],[2]!COMPROMISOS_2024[[#All],[concatenado]],[2]!COMPROMISOS_2024[[#All],[Total Comprometido]],"",0)</f>
        <v>#NAME?</v>
      </c>
      <c r="AL2112" s="47">
        <f>IF(PAA_4[[#This Row],[BOLSA]]=0,0,SUMIFS([2]!COMPROMISOS_2024[[#All],[Total Comprometido]],[2]!COMPROMISOS_2024[[#All],[Bolsa]],PAA_4[[#This Row],[BOLSA]],[2]!COMPROMISOS_2024[[#All],[concatenado]],PAA_4[[#This Row],[RCP-RUBRO]]))</f>
        <v>0</v>
      </c>
    </row>
    <row r="2113" spans="1:38" s="19" customFormat="1" ht="31.5" customHeight="1">
      <c r="A2113" s="47" t="s">
        <v>82</v>
      </c>
      <c r="B2113" s="47" t="s">
        <v>42</v>
      </c>
      <c r="C2113" s="47" t="str">
        <f>VLOOKUP(PAA_4[[#This Row],[PROYECTO (formulado)2]],[2]PROYECTOS!$G$1:$L$32,6,0)</f>
        <v>SUBGERENCIA DE FOMENTO Y DESARROLLO</v>
      </c>
      <c r="D2113" s="47" t="str">
        <f>+IF(PAA_4[[#This Row],[UNIDAD DE CONTRATACION (formulado)]]="Subgerencia Administrativa y Financiera","FUNCIONAMIENTO","INVERSIÓN")</f>
        <v>INVERSIÓN</v>
      </c>
      <c r="E2113" s="48" t="str">
        <f>VLOOKUP(Q2113,[2]PROYECTOS!$G$1:$K$32,5,0)</f>
        <v>FORTALECIMIENTO_DE_LOS_PROGRAMAS_RECREATIVOS_EN_LOS_MUNICIPIOS_DEL_DEPARTAMENTO_DE_ANTIOQUIA</v>
      </c>
      <c r="F2113" s="48">
        <f>VLOOKUP(E2113,[2]PROYECTOS!$K$1:$M$32,3,0)</f>
        <v>2020003050031</v>
      </c>
      <c r="G2113" s="49" t="s">
        <v>353</v>
      </c>
      <c r="H2113" s="49" t="str">
        <f>VLOOKUP(Q2113,[2]PROYECTOS!$V$1:$W$32,2,0)</f>
        <v>050064</v>
      </c>
      <c r="I2113" s="50">
        <v>2000000</v>
      </c>
      <c r="J2113" s="51" t="s">
        <v>1852</v>
      </c>
      <c r="K2113" s="47" t="str">
        <f t="shared" ca="1" si="658"/>
        <v>CONTRATADO</v>
      </c>
      <c r="L2113" s="47" t="s">
        <v>42</v>
      </c>
      <c r="M2113" s="47" t="s">
        <v>42</v>
      </c>
      <c r="N2113" s="52" t="s">
        <v>355</v>
      </c>
      <c r="O2113" s="51" t="e">
        <f>VLOOKUP(N2113,[2]!RUBROS[#All],3,0)</f>
        <v>#REF!</v>
      </c>
      <c r="P2113" s="53" t="e">
        <f>VLOOKUP(N2113,[2]!RUBROS[#All],2,0)</f>
        <v>#REF!</v>
      </c>
      <c r="Q2113" s="47" t="str">
        <f t="shared" si="659"/>
        <v>47</v>
      </c>
      <c r="R2113" s="47" t="str">
        <f t="shared" si="660"/>
        <v>0-205128</v>
      </c>
      <c r="S2113" s="54" t="s">
        <v>42</v>
      </c>
      <c r="T2113" s="329" t="s">
        <v>42</v>
      </c>
      <c r="U2113" s="326" t="e">
        <f ca="1">_xlfn.XLOOKUP(PAA_4[[#This Row],[ITEM]],[2]Contrato!A:A,[2]Contrato!Q:Q,"",0)</f>
        <v>#NAME?</v>
      </c>
      <c r="V2113" s="47" t="s">
        <v>42</v>
      </c>
      <c r="W2113" s="47" t="s">
        <v>42</v>
      </c>
      <c r="X2113" s="47" t="s">
        <v>42</v>
      </c>
      <c r="Y2113" s="55" t="e">
        <f ca="1">_xlfn.XLOOKUP(PAA_4[[#This Row],[ITEM]],[2]Contrato!A:A,[2]Contrato!B:B,"",0)</f>
        <v>#NAME?</v>
      </c>
      <c r="Z2113" s="47" t="e">
        <f ca="1">_xlfn.XLOOKUP(PAA_4[[#This Row],[ITEM]],[2]Contrato!A:A,[2]Contrato!G:G,"",0)</f>
        <v>#NAME?</v>
      </c>
      <c r="AA2113" s="47" t="e">
        <f ca="1">_xlfn.XLOOKUP(PAA_4[[#This Row],[ITEM]],[2]Contrato!A:A,[2]Contrato!T:T,"",0)</f>
        <v>#NAME?</v>
      </c>
      <c r="AB2113" s="55" t="e">
        <f ca="1">+MAX(PAA_4[[#This Row],[Comprometido Contrato]],PAA_4[[#This Row],[Comprometido Bolsa]])</f>
        <v>#NAME?</v>
      </c>
      <c r="AC2113" s="55" t="str">
        <f t="shared" ca="1" si="661"/>
        <v/>
      </c>
      <c r="AD2113" s="55" t="e">
        <f ca="1">IF(PAA_4[[#This Row],[ESTADO (formulado)]]="NO CONTRATADO",0,MAX(PAA_4[[#This Row],[Pago por Contrato]],PAA_4[[#This Row],[Pago por bolsa]]))</f>
        <v>#NAME?</v>
      </c>
      <c r="AE2113" s="55" t="str">
        <f t="shared" ca="1" si="662"/>
        <v/>
      </c>
      <c r="AF2113" s="47" t="e">
        <f t="shared" ca="1" si="663"/>
        <v>#NAME?</v>
      </c>
      <c r="AG2113" s="47">
        <f t="shared" si="664"/>
        <v>44021004</v>
      </c>
      <c r="AH2113" s="54">
        <f>IF(Q2113="22",IF(ISNUMBER(SEARCH("econ",PAA_4[[#This Row],[Actividad3]])),"Económico",IF(ISNUMBER(SEARCH("alim",PAA_4[[#This Row],[Actividad3]])),"Alimentación",IF(ISNUMBER(SEARCH("educ",PAA_4[[#This Row],[Actividad3]])),"Educativo","Técnico"))),0)</f>
        <v>0</v>
      </c>
      <c r="AI2113" s="47" t="e" cm="1">
        <f t="array" aca="1" ref="AI2113" ca="1">_xlfn.XLOOKUP(PAA_4[[#This Row],[RCP-RUBRO]],[2]!COMPROMISOS_2024[[#All],[concatenado]],[2]!COMPROMISOS_2024[[#All],[Total pagado]],"",0)</f>
        <v>#NAME?</v>
      </c>
      <c r="AJ2113" s="56">
        <f>IF(PAA_4[[#This Row],[BOLSA]]=0,0,SUMIFS([2]!COMPROMISOS_2024[[#All],[Total pagado]],[2]!COMPROMISOS_2024[[#All],[Bolsa]],PAA_4[[#This Row],[BOLSA]],[2]!COMPROMISOS_2024[[#All],[rubro]],PAA_4[[#This Row],[RCP-RUBRO]]))</f>
        <v>0</v>
      </c>
      <c r="AK2113" s="47" t="e" cm="1">
        <f t="array" aca="1" ref="AK2113" ca="1">_xlfn.XLOOKUP(PAA_4[[#This Row],[RCP-RUBRO]],[2]!COMPROMISOS_2024[[#All],[concatenado]],[2]!COMPROMISOS_2024[[#All],[Total Comprometido]],"",0)</f>
        <v>#NAME?</v>
      </c>
      <c r="AL2113" s="47">
        <f>IF(PAA_4[[#This Row],[BOLSA]]=0,0,SUMIFS([2]!COMPROMISOS_2024[[#All],[Total Comprometido]],[2]!COMPROMISOS_2024[[#All],[Bolsa]],PAA_4[[#This Row],[BOLSA]],[2]!COMPROMISOS_2024[[#All],[concatenado]],PAA_4[[#This Row],[RCP-RUBRO]]))</f>
        <v>0</v>
      </c>
    </row>
    <row r="2114" spans="1:38" s="19" customFormat="1" ht="31.5" customHeight="1">
      <c r="A2114" s="47">
        <v>1159</v>
      </c>
      <c r="B2114" s="47">
        <v>80111600</v>
      </c>
      <c r="C2114" s="47" t="str">
        <f>VLOOKUP(PAA_4[[#This Row],[PROYECTO (formulado)2]],[2]PROYECTOS!$G$1:$L$32,6,0)</f>
        <v>SUBGERENCIA DE FOMENTO Y DESARROLLO</v>
      </c>
      <c r="D2114" s="47" t="str">
        <f>+IF(PAA_4[[#This Row],[UNIDAD DE CONTRATACION (formulado)]]="Subgerencia Administrativa y Financiera","FUNCIONAMIENTO","INVERSIÓN")</f>
        <v>INVERSIÓN</v>
      </c>
      <c r="E2114" s="48" t="str">
        <f>VLOOKUP(Q2114,[2]PROYECTOS!$G$1:$K$32,5,0)</f>
        <v>FORTALECIMIENTO_DE_LOS_PROGRAMAS_RECREATIVOS_EN_LOS_MUNICIPIOS_DEL_DEPARTAMENTO_DE_ANTIOQUIA</v>
      </c>
      <c r="F2114" s="48">
        <f>VLOOKUP(E2114,[2]PROYECTOS!$K$1:$M$32,3,0)</f>
        <v>2020003050031</v>
      </c>
      <c r="G2114" s="49" t="s">
        <v>353</v>
      </c>
      <c r="H2114" s="49" t="str">
        <f>VLOOKUP(Q2114,[2]PROYECTOS!$V$1:$W$32,2,0)</f>
        <v>050064</v>
      </c>
      <c r="I2114" s="50">
        <f>10787618-2000000</f>
        <v>8787618</v>
      </c>
      <c r="J2114" s="51" t="s">
        <v>2314</v>
      </c>
      <c r="K2114" s="47" t="str">
        <f t="shared" ca="1" si="658"/>
        <v>CONTRATADO</v>
      </c>
      <c r="L2114" s="47" t="s">
        <v>94</v>
      </c>
      <c r="M2114" s="47" t="s">
        <v>1297</v>
      </c>
      <c r="N2114" s="52" t="s">
        <v>355</v>
      </c>
      <c r="O2114" s="51" t="e">
        <f>VLOOKUP(N2114,[2]!RUBROS[#All],3,0)</f>
        <v>#REF!</v>
      </c>
      <c r="P2114" s="53" t="e">
        <f>VLOOKUP(N2114,[2]!RUBROS[#All],2,0)</f>
        <v>#REF!</v>
      </c>
      <c r="Q2114" s="47" t="str">
        <f t="shared" si="659"/>
        <v>47</v>
      </c>
      <c r="R2114" s="47" t="str">
        <f t="shared" si="660"/>
        <v>0-205128</v>
      </c>
      <c r="S2114" s="54">
        <v>75</v>
      </c>
      <c r="T2114" s="63" t="s">
        <v>120</v>
      </c>
      <c r="U2114" s="326" t="e">
        <f ca="1">_xlfn.XLOOKUP(PAA_4[[#This Row],[ITEM]],[2]Contrato!A:A,[2]Contrato!Q:Q,"",0)</f>
        <v>#NAME?</v>
      </c>
      <c r="V2114" s="47" t="s">
        <v>47</v>
      </c>
      <c r="W2114" s="47" t="s">
        <v>203</v>
      </c>
      <c r="X2114" s="47" t="s">
        <v>203</v>
      </c>
      <c r="Y2114" s="55" t="e">
        <f ca="1">_xlfn.XLOOKUP(PAA_4[[#This Row],[ITEM]],[2]Contrato!A:A,[2]Contrato!B:B,"",0)</f>
        <v>#NAME?</v>
      </c>
      <c r="Z2114" s="47" t="e">
        <f ca="1">_xlfn.XLOOKUP(PAA_4[[#This Row],[ITEM]],[2]Contrato!A:A,[2]Contrato!G:G,"",0)</f>
        <v>#NAME?</v>
      </c>
      <c r="AA2114" s="47" t="e">
        <f ca="1">_xlfn.XLOOKUP(PAA_4[[#This Row],[ITEM]],[2]Contrato!A:A,[2]Contrato!T:T,"",0)</f>
        <v>#NAME?</v>
      </c>
      <c r="AB2114" s="55" t="e">
        <f ca="1">+MAX(PAA_4[[#This Row],[Comprometido Contrato]],PAA_4[[#This Row],[Comprometido Bolsa]])</f>
        <v>#NAME?</v>
      </c>
      <c r="AC2114" s="55" t="str">
        <f t="shared" ca="1" si="661"/>
        <v/>
      </c>
      <c r="AD2114" s="55" t="e">
        <f ca="1">IF(PAA_4[[#This Row],[ESTADO (formulado)]]="NO CONTRATADO",0,MAX(PAA_4[[#This Row],[Pago por Contrato]],PAA_4[[#This Row],[Pago por bolsa]]))</f>
        <v>#NAME?</v>
      </c>
      <c r="AE2114" s="55" t="str">
        <f t="shared" ca="1" si="662"/>
        <v/>
      </c>
      <c r="AF2114" s="47" t="e">
        <f t="shared" ca="1" si="663"/>
        <v>#NAME?</v>
      </c>
      <c r="AG2114" s="47">
        <f t="shared" si="664"/>
        <v>44021004</v>
      </c>
      <c r="AH2114" s="54">
        <f>IF(Q2114="22",IF(ISNUMBER(SEARCH("econ",PAA_4[[#This Row],[Actividad3]])),"Económico",IF(ISNUMBER(SEARCH("alim",PAA_4[[#This Row],[Actividad3]])),"Alimentación",IF(ISNUMBER(SEARCH("educ",PAA_4[[#This Row],[Actividad3]])),"Educativo","Técnico"))),0)</f>
        <v>0</v>
      </c>
      <c r="AI2114" s="47" t="e" cm="1">
        <f t="array" aca="1" ref="AI2114" ca="1">_xlfn.XLOOKUP(PAA_4[[#This Row],[RCP-RUBRO]],[2]!COMPROMISOS_2024[[#All],[concatenado]],[2]!COMPROMISOS_2024[[#All],[Total pagado]],"",0)</f>
        <v>#NAME?</v>
      </c>
      <c r="AJ2114" s="56">
        <f>IF(PAA_4[[#This Row],[BOLSA]]=0,0,SUMIFS([2]!COMPROMISOS_2024[[#All],[Total pagado]],[2]!COMPROMISOS_2024[[#All],[Bolsa]],PAA_4[[#This Row],[BOLSA]],[2]!COMPROMISOS_2024[[#All],[rubro]],PAA_4[[#This Row],[RCP-RUBRO]]))</f>
        <v>0</v>
      </c>
      <c r="AK2114" s="47" t="e" cm="1">
        <f t="array" aca="1" ref="AK2114" ca="1">_xlfn.XLOOKUP(PAA_4[[#This Row],[RCP-RUBRO]],[2]!COMPROMISOS_2024[[#All],[concatenado]],[2]!COMPROMISOS_2024[[#All],[Total Comprometido]],"",0)</f>
        <v>#NAME?</v>
      </c>
      <c r="AL2114" s="47">
        <f>IF(PAA_4[[#This Row],[BOLSA]]=0,0,SUMIFS([2]!COMPROMISOS_2024[[#All],[Total Comprometido]],[2]!COMPROMISOS_2024[[#All],[Bolsa]],PAA_4[[#This Row],[BOLSA]],[2]!COMPROMISOS_2024[[#All],[concatenado]],PAA_4[[#This Row],[RCP-RUBRO]]))</f>
        <v>0</v>
      </c>
    </row>
    <row r="2115" spans="1:38" s="19" customFormat="1" ht="31.5" customHeight="1">
      <c r="A2115" s="47" t="s">
        <v>82</v>
      </c>
      <c r="B2115" s="47" t="s">
        <v>42</v>
      </c>
      <c r="C2115" s="47" t="str">
        <f>VLOOKUP(PAA_4[[#This Row],[PROYECTO (formulado)2]],[2]PROYECTOS!$G$1:$L$32,6,0)</f>
        <v>SUBGERENCIA DE FOMENTO Y DESARROLLO</v>
      </c>
      <c r="D2115" s="47" t="str">
        <f>+IF(PAA_4[[#This Row],[UNIDAD DE CONTRATACION (formulado)]]="Subgerencia Administrativa y Financiera","FUNCIONAMIENTO","INVERSIÓN")</f>
        <v>INVERSIÓN</v>
      </c>
      <c r="E2115" s="48" t="str">
        <f>VLOOKUP(Q2115,[2]PROYECTOS!$G$1:$K$32,5,0)</f>
        <v>FORTALECIMIENTO_DE_LOS_PROGRAMAS_RECREATIVOS_EN_LOS_MUNICIPIOS_DEL_DEPARTAMENTO_DE_ANTIOQUIA</v>
      </c>
      <c r="F2115" s="48">
        <f>VLOOKUP(E2115,[2]PROYECTOS!$K$1:$M$32,3,0)</f>
        <v>2020003050031</v>
      </c>
      <c r="G2115" s="49" t="s">
        <v>353</v>
      </c>
      <c r="H2115" s="49" t="str">
        <f>VLOOKUP(Q2115,[2]PROYECTOS!$V$1:$W$32,2,0)</f>
        <v>050064</v>
      </c>
      <c r="I2115" s="50">
        <v>1857043</v>
      </c>
      <c r="J2115" s="51" t="s">
        <v>1368</v>
      </c>
      <c r="K2115" s="47" t="str">
        <f ca="1">IF(ISNONTEXT(Y2115)=TRUE,"CONTRATADO","NO CONTRATADO")</f>
        <v>CONTRATADO</v>
      </c>
      <c r="L2115" s="47" t="s">
        <v>42</v>
      </c>
      <c r="M2115" s="47" t="s">
        <v>42</v>
      </c>
      <c r="N2115" s="52" t="s">
        <v>355</v>
      </c>
      <c r="O2115" s="51" t="e">
        <f>VLOOKUP(N2115,[2]!RUBROS[#All],3,0)</f>
        <v>#REF!</v>
      </c>
      <c r="P2115" s="53" t="e">
        <f>VLOOKUP(N2115,[2]!RUBROS[#All],2,0)</f>
        <v>#REF!</v>
      </c>
      <c r="Q2115" s="47" t="str">
        <f>+MID(N2115,11,2)</f>
        <v>47</v>
      </c>
      <c r="R2115" s="47" t="str">
        <f t="shared" si="660"/>
        <v>0-205128</v>
      </c>
      <c r="S2115" s="54" t="s">
        <v>42</v>
      </c>
      <c r="T2115" s="63" t="s">
        <v>42</v>
      </c>
      <c r="U2115" s="326" t="e">
        <f ca="1">_xlfn.XLOOKUP(PAA_4[[#This Row],[ITEM]],[2]Contrato!A:A,[2]Contrato!Q:Q,"",0)</f>
        <v>#NAME?</v>
      </c>
      <c r="V2115" s="47" t="s">
        <v>47</v>
      </c>
      <c r="W2115" s="47" t="s">
        <v>42</v>
      </c>
      <c r="X2115" s="47" t="s">
        <v>42</v>
      </c>
      <c r="Y2115" s="55" t="e">
        <f ca="1">_xlfn.XLOOKUP(PAA_4[[#This Row],[ITEM]],[2]Contrato!A:A,[2]Contrato!B:B,"",0)</f>
        <v>#NAME?</v>
      </c>
      <c r="Z2115" s="47" t="e">
        <f ca="1">_xlfn.XLOOKUP(PAA_4[[#This Row],[ITEM]],[2]Contrato!A:A,[2]Contrato!G:G,"",0)</f>
        <v>#NAME?</v>
      </c>
      <c r="AA2115" s="47" t="e">
        <f ca="1">_xlfn.XLOOKUP(PAA_4[[#This Row],[ITEM]],[2]Contrato!A:A,[2]Contrato!T:T,"",0)</f>
        <v>#NAME?</v>
      </c>
      <c r="AB2115" s="55" t="e">
        <f ca="1">+MAX(PAA_4[[#This Row],[Comprometido Contrato]],PAA_4[[#This Row],[Comprometido Bolsa]])</f>
        <v>#NAME?</v>
      </c>
      <c r="AC2115" s="55" t="str">
        <f ca="1">IFERROR(I2115-AB2115,"")</f>
        <v/>
      </c>
      <c r="AD2115" s="55" t="e">
        <f ca="1">IF(PAA_4[[#This Row],[ESTADO (formulado)]]="NO CONTRATADO",0,MAX(PAA_4[[#This Row],[Pago por Contrato]],PAA_4[[#This Row],[Pago por bolsa]]))</f>
        <v>#NAME?</v>
      </c>
      <c r="AE2115" s="55" t="str">
        <f ca="1">+IFERROR(AB2115-AD2115,"")</f>
        <v/>
      </c>
      <c r="AF2115" s="47" t="e">
        <f ca="1">+CONCATENATE(AA2115,N2115)</f>
        <v>#NAME?</v>
      </c>
      <c r="AG2115" s="47">
        <f>IFERROR(_xlfn.NUMBERVALUE(MID(G2115,1,8)),"")</f>
        <v>44021004</v>
      </c>
      <c r="AH2115" s="54">
        <f>IF(Q2115="22",IF(ISNUMBER(SEARCH("econ",PAA_4[[#This Row],[Actividad3]])),"Económico",IF(ISNUMBER(SEARCH("alim",PAA_4[[#This Row],[Actividad3]])),"Alimentación",IF(ISNUMBER(SEARCH("educ",PAA_4[[#This Row],[Actividad3]])),"Educativo","Técnico"))),0)</f>
        <v>0</v>
      </c>
      <c r="AI2115" s="47" t="e" cm="1">
        <f t="array" aca="1" ref="AI2115" ca="1">_xlfn.XLOOKUP(PAA_4[[#This Row],[RCP-RUBRO]],[2]!COMPROMISOS_2024[[#All],[concatenado]],[2]!COMPROMISOS_2024[[#All],[Total pagado]],"",0)</f>
        <v>#NAME?</v>
      </c>
      <c r="AJ2115" s="56">
        <f>IF(PAA_4[[#This Row],[BOLSA]]=0,0,SUMIFS([2]!COMPROMISOS_2024[[#All],[Total pagado]],[2]!COMPROMISOS_2024[[#All],[Bolsa]],PAA_4[[#This Row],[BOLSA]],[2]!COMPROMISOS_2024[[#All],[rubro]],PAA_4[[#This Row],[RCP-RUBRO]]))</f>
        <v>0</v>
      </c>
      <c r="AK2115" s="47" t="e" cm="1">
        <f t="array" aca="1" ref="AK2115" ca="1">_xlfn.XLOOKUP(PAA_4[[#This Row],[RCP-RUBRO]],[2]!COMPROMISOS_2024[[#All],[concatenado]],[2]!COMPROMISOS_2024[[#All],[Total Comprometido]],"",0)</f>
        <v>#NAME?</v>
      </c>
      <c r="AL2115" s="47">
        <f>IF(PAA_4[[#This Row],[BOLSA]]=0,0,SUMIFS([2]!COMPROMISOS_2024[[#All],[Total Comprometido]],[2]!COMPROMISOS_2024[[#All],[Bolsa]],PAA_4[[#This Row],[BOLSA]],[2]!COMPROMISOS_2024[[#All],[concatenado]],PAA_4[[#This Row],[RCP-RUBRO]]))</f>
        <v>0</v>
      </c>
    </row>
    <row r="2116" spans="1:38" s="19" customFormat="1" ht="31.5" customHeight="1">
      <c r="A2116" s="47">
        <v>1160</v>
      </c>
      <c r="B2116" s="47">
        <v>80111600</v>
      </c>
      <c r="C2116" s="47" t="str">
        <f>VLOOKUP(PAA_4[[#This Row],[PROYECTO (formulado)2]],[2]PROYECTOS!$G$1:$L$32,6,0)</f>
        <v>SUBGERENCIA DE FOMENTO Y DESARROLLO</v>
      </c>
      <c r="D2116" s="47" t="str">
        <f>+IF(PAA_4[[#This Row],[UNIDAD DE CONTRATACION (formulado)]]="Subgerencia Administrativa y Financiera","FUNCIONAMIENTO","INVERSIÓN")</f>
        <v>INVERSIÓN</v>
      </c>
      <c r="E2116" s="48" t="str">
        <f>VLOOKUP(Q2116,[2]PROYECTOS!$G$1:$K$32,5,0)</f>
        <v>FORTALECIMIENTO_DE_LOS_PROGRAMAS_RECREATIVOS_EN_LOS_MUNICIPIOS_DEL_DEPARTAMENTO_DE_ANTIOQUIA</v>
      </c>
      <c r="F2116" s="48">
        <f>VLOOKUP(E2116,[2]PROYECTOS!$K$1:$M$32,3,0)</f>
        <v>2020003050031</v>
      </c>
      <c r="G2116" s="49" t="s">
        <v>353</v>
      </c>
      <c r="H2116" s="49" t="str">
        <f>VLOOKUP(Q2116,[2]PROYECTOS!$V$1:$W$32,2,0)</f>
        <v>050064</v>
      </c>
      <c r="I2116" s="50">
        <f>12496627-1857043</f>
        <v>10639584</v>
      </c>
      <c r="J2116" s="51" t="s">
        <v>2315</v>
      </c>
      <c r="K2116" s="47" t="str">
        <f t="shared" ref="K2116" ca="1" si="665">IF(ISNONTEXT(Y2116)=TRUE,"CONTRATADO","NO CONTRATADO")</f>
        <v>CONTRATADO</v>
      </c>
      <c r="L2116" s="47" t="s">
        <v>94</v>
      </c>
      <c r="M2116" s="47" t="s">
        <v>1297</v>
      </c>
      <c r="N2116" s="52" t="s">
        <v>355</v>
      </c>
      <c r="O2116" s="51" t="e">
        <f>VLOOKUP(N2116,[2]!RUBROS[#All],3,0)</f>
        <v>#REF!</v>
      </c>
      <c r="P2116" s="53" t="e">
        <f>VLOOKUP(N2116,[2]!RUBROS[#All],2,0)</f>
        <v>#REF!</v>
      </c>
      <c r="Q2116" s="47" t="str">
        <f t="shared" ref="Q2116" si="666">+MID(N2116,11,2)</f>
        <v>47</v>
      </c>
      <c r="R2116" s="47" t="str">
        <f t="shared" si="660"/>
        <v>0-205128</v>
      </c>
      <c r="S2116" s="54">
        <v>75</v>
      </c>
      <c r="T2116" s="63" t="s">
        <v>120</v>
      </c>
      <c r="U2116" s="326" t="e">
        <f ca="1">_xlfn.XLOOKUP(PAA_4[[#This Row],[ITEM]],[2]Contrato!A:A,[2]Contrato!Q:Q,"",0)</f>
        <v>#NAME?</v>
      </c>
      <c r="V2116" s="47" t="s">
        <v>47</v>
      </c>
      <c r="W2116" s="47" t="s">
        <v>203</v>
      </c>
      <c r="X2116" s="47" t="s">
        <v>203</v>
      </c>
      <c r="Y2116" s="55" t="e">
        <f ca="1">_xlfn.XLOOKUP(PAA_4[[#This Row],[ITEM]],[2]Contrato!A:A,[2]Contrato!B:B,"",0)</f>
        <v>#NAME?</v>
      </c>
      <c r="Z2116" s="47" t="e">
        <f ca="1">_xlfn.XLOOKUP(PAA_4[[#This Row],[ITEM]],[2]Contrato!A:A,[2]Contrato!G:G,"",0)</f>
        <v>#NAME?</v>
      </c>
      <c r="AA2116" s="47" t="e">
        <f ca="1">_xlfn.XLOOKUP(PAA_4[[#This Row],[ITEM]],[2]Contrato!A:A,[2]Contrato!T:T,"",0)</f>
        <v>#NAME?</v>
      </c>
      <c r="AB2116" s="55" t="e">
        <f ca="1">+MAX(PAA_4[[#This Row],[Comprometido Contrato]],PAA_4[[#This Row],[Comprometido Bolsa]])</f>
        <v>#NAME?</v>
      </c>
      <c r="AC2116" s="55" t="str">
        <f t="shared" ref="AC2116" ca="1" si="667">IFERROR(I2116-AB2116,"")</f>
        <v/>
      </c>
      <c r="AD2116" s="55" t="e">
        <f ca="1">IF(PAA_4[[#This Row],[ESTADO (formulado)]]="NO CONTRATADO",0,MAX(PAA_4[[#This Row],[Pago por Contrato]],PAA_4[[#This Row],[Pago por bolsa]]))</f>
        <v>#NAME?</v>
      </c>
      <c r="AE2116" s="55" t="str">
        <f t="shared" ref="AE2116" ca="1" si="668">+IFERROR(AB2116-AD2116,"")</f>
        <v/>
      </c>
      <c r="AF2116" s="47" t="e">
        <f t="shared" ref="AF2116" ca="1" si="669">+CONCATENATE(AA2116,N2116)</f>
        <v>#NAME?</v>
      </c>
      <c r="AG2116" s="47">
        <f t="shared" ref="AG2116" si="670">IFERROR(_xlfn.NUMBERVALUE(MID(G2116,1,8)),"")</f>
        <v>44021004</v>
      </c>
      <c r="AH2116" s="54">
        <f>IF(Q2116="22",IF(ISNUMBER(SEARCH("econ",PAA_4[[#This Row],[Actividad3]])),"Económico",IF(ISNUMBER(SEARCH("alim",PAA_4[[#This Row],[Actividad3]])),"Alimentación",IF(ISNUMBER(SEARCH("educ",PAA_4[[#This Row],[Actividad3]])),"Educativo","Técnico"))),0)</f>
        <v>0</v>
      </c>
      <c r="AI2116" s="47" t="e" cm="1">
        <f t="array" aca="1" ref="AI2116" ca="1">_xlfn.XLOOKUP(PAA_4[[#This Row],[RCP-RUBRO]],[2]!COMPROMISOS_2024[[#All],[concatenado]],[2]!COMPROMISOS_2024[[#All],[Total pagado]],"",0)</f>
        <v>#NAME?</v>
      </c>
      <c r="AJ2116" s="56">
        <f>IF(PAA_4[[#This Row],[BOLSA]]=0,0,SUMIFS([2]!COMPROMISOS_2024[[#All],[Total pagado]],[2]!COMPROMISOS_2024[[#All],[Bolsa]],PAA_4[[#This Row],[BOLSA]],[2]!COMPROMISOS_2024[[#All],[rubro]],PAA_4[[#This Row],[RCP-RUBRO]]))</f>
        <v>0</v>
      </c>
      <c r="AK2116" s="47" t="e" cm="1">
        <f t="array" aca="1" ref="AK2116" ca="1">_xlfn.XLOOKUP(PAA_4[[#This Row],[RCP-RUBRO]],[2]!COMPROMISOS_2024[[#All],[concatenado]],[2]!COMPROMISOS_2024[[#All],[Total Comprometido]],"",0)</f>
        <v>#NAME?</v>
      </c>
      <c r="AL2116" s="47">
        <f>IF(PAA_4[[#This Row],[BOLSA]]=0,0,SUMIFS([2]!COMPROMISOS_2024[[#All],[Total Comprometido]],[2]!COMPROMISOS_2024[[#All],[Bolsa]],PAA_4[[#This Row],[BOLSA]],[2]!COMPROMISOS_2024[[#All],[concatenado]],PAA_4[[#This Row],[RCP-RUBRO]]))</f>
        <v>0</v>
      </c>
    </row>
    <row r="2117" spans="1:38" s="19" customFormat="1" ht="31.5" customHeight="1">
      <c r="A2117" s="47" t="s">
        <v>82</v>
      </c>
      <c r="B2117" s="47" t="s">
        <v>42</v>
      </c>
      <c r="C2117" s="47" t="str">
        <f>VLOOKUP(PAA_4[[#This Row],[PROYECTO (formulado)2]],[2]PROYECTOS!$G$1:$L$32,6,0)</f>
        <v>SUBGERENCIA DE FOMENTO Y DESARROLLO</v>
      </c>
      <c r="D2117" s="47" t="str">
        <f>+IF(PAA_4[[#This Row],[UNIDAD DE CONTRATACION (formulado)]]="Subgerencia Administrativa y Financiera","FUNCIONAMIENTO","INVERSIÓN")</f>
        <v>INVERSIÓN</v>
      </c>
      <c r="E2117" s="48" t="str">
        <f>VLOOKUP(Q2117,[2]PROYECTOS!$G$1:$K$32,5,0)</f>
        <v>Desarrollo y promoción del deporte formativo, la recreación y la actividad física en el departamento Antioquia</v>
      </c>
      <c r="F2117" s="48">
        <f>VLOOKUP(E2117,[2]PROYECTOS!$K$1:$M$32,3,0)</f>
        <v>2024003050101</v>
      </c>
      <c r="G2117" s="49" t="s">
        <v>2316</v>
      </c>
      <c r="H2117" s="49" t="str">
        <f>VLOOKUP(Q2117,[2]PROYECTOS!$V$1:$W$32,2,0)</f>
        <v>050075</v>
      </c>
      <c r="I2117" s="50">
        <v>29868</v>
      </c>
      <c r="J2117" s="51" t="s">
        <v>1851</v>
      </c>
      <c r="K2117" s="47" t="str">
        <f ca="1">IF(ISNONTEXT(Y2117)=TRUE,"CONTRATADO","NO CONTRATADO")</f>
        <v>CONTRATADO</v>
      </c>
      <c r="L2117" s="47" t="s">
        <v>42</v>
      </c>
      <c r="M2117" s="47" t="s">
        <v>42</v>
      </c>
      <c r="N2117" s="52" t="s">
        <v>1359</v>
      </c>
      <c r="O2117" s="51" t="e">
        <f>VLOOKUP(N2117,[2]!RUBROS[#All],3,0)</f>
        <v>#REF!</v>
      </c>
      <c r="P2117" s="53" t="e">
        <f>VLOOKUP(N2117,[2]!RUBROS[#All],2,0)</f>
        <v>#REF!</v>
      </c>
      <c r="Q2117" s="47" t="str">
        <f>+MID(N2117,11,2)</f>
        <v>01</v>
      </c>
      <c r="R2117" s="47" t="str">
        <f>+MID(N2117,14,8)</f>
        <v>0-101024</v>
      </c>
      <c r="S2117" s="54" t="s">
        <v>42</v>
      </c>
      <c r="T2117" s="63" t="s">
        <v>42</v>
      </c>
      <c r="U2117" s="326" t="e">
        <f ca="1">_xlfn.XLOOKUP(PAA_4[[#This Row],[ITEM]],[2]Contrato!A:A,[2]Contrato!Q:Q,"",0)</f>
        <v>#NAME?</v>
      </c>
      <c r="V2117" s="47" t="s">
        <v>95</v>
      </c>
      <c r="W2117" s="47" t="s">
        <v>42</v>
      </c>
      <c r="X2117" s="47" t="s">
        <v>42</v>
      </c>
      <c r="Y2117" s="55" t="e">
        <f ca="1">_xlfn.XLOOKUP(PAA_4[[#This Row],[ITEM]],[2]Contrato!A:A,[2]Contrato!B:B,"",0)</f>
        <v>#NAME?</v>
      </c>
      <c r="Z2117" s="47" t="e">
        <f ca="1">_xlfn.XLOOKUP(PAA_4[[#This Row],[ITEM]],[2]Contrato!A:A,[2]Contrato!G:G,"",0)</f>
        <v>#NAME?</v>
      </c>
      <c r="AA2117" s="47" t="e">
        <f ca="1">_xlfn.XLOOKUP(PAA_4[[#This Row],[ITEM]],[2]Contrato!A:A,[2]Contrato!T:T,"",0)</f>
        <v>#NAME?</v>
      </c>
      <c r="AB2117" s="55" t="e">
        <f ca="1">+MAX(PAA_4[[#This Row],[Comprometido Contrato]],PAA_4[[#This Row],[Comprometido Bolsa]])</f>
        <v>#NAME?</v>
      </c>
      <c r="AC2117" s="55" t="str">
        <f ca="1">IFERROR(I2117-AB2117,"")</f>
        <v/>
      </c>
      <c r="AD2117" s="55" t="e">
        <f ca="1">IF(PAA_4[[#This Row],[ESTADO (formulado)]]="NO CONTRATADO",0,MAX(PAA_4[[#This Row],[Pago por Contrato]],PAA_4[[#This Row],[Pago por bolsa]]))</f>
        <v>#NAME?</v>
      </c>
      <c r="AE2117" s="55" t="str">
        <f ca="1">+IFERROR(AB2117-AD2117,"")</f>
        <v/>
      </c>
      <c r="AF2117" s="47" t="e">
        <f ca="1">+CONCATENATE(AA2117,N2117)</f>
        <v>#NAME?</v>
      </c>
      <c r="AG2117" s="47">
        <f>IFERROR(_xlfn.NUMBERVALUE(MID(G2117,1,8)),"")</f>
        <v>52010702</v>
      </c>
      <c r="AH2117" s="54">
        <f>IF(Q2117="22",IF(ISNUMBER(SEARCH("econ",PAA_4[[#This Row],[Actividad3]])),"Económico",IF(ISNUMBER(SEARCH("alim",PAA_4[[#This Row],[Actividad3]])),"Alimentación",IF(ISNUMBER(SEARCH("educ",PAA_4[[#This Row],[Actividad3]])),"Educativo","Técnico"))),0)</f>
        <v>0</v>
      </c>
      <c r="AI2117" s="47" t="e" cm="1">
        <f t="array" aca="1" ref="AI2117" ca="1">_xlfn.XLOOKUP(PAA_4[[#This Row],[RCP-RUBRO]],[2]!COMPROMISOS_2024[[#All],[concatenado]],[2]!COMPROMISOS_2024[[#All],[Total pagado]],"",0)</f>
        <v>#NAME?</v>
      </c>
      <c r="AJ2117" s="56">
        <f>IF(PAA_4[[#This Row],[BOLSA]]=0,0,SUMIFS([2]!COMPROMISOS_2024[[#All],[Total pagado]],[2]!COMPROMISOS_2024[[#All],[Bolsa]],PAA_4[[#This Row],[BOLSA]],[2]!COMPROMISOS_2024[[#All],[rubro]],PAA_4[[#This Row],[RCP-RUBRO]]))</f>
        <v>0</v>
      </c>
      <c r="AK2117" s="47" t="e" cm="1">
        <f t="array" aca="1" ref="AK2117" ca="1">_xlfn.XLOOKUP(PAA_4[[#This Row],[RCP-RUBRO]],[2]!COMPROMISOS_2024[[#All],[concatenado]],[2]!COMPROMISOS_2024[[#All],[Total Comprometido]],"",0)</f>
        <v>#NAME?</v>
      </c>
      <c r="AL2117" s="47">
        <f>IF(PAA_4[[#This Row],[BOLSA]]=0,0,SUMIFS([2]!COMPROMISOS_2024[[#All],[Total Comprometido]],[2]!COMPROMISOS_2024[[#All],[Bolsa]],PAA_4[[#This Row],[BOLSA]],[2]!COMPROMISOS_2024[[#All],[concatenado]],PAA_4[[#This Row],[RCP-RUBRO]]))</f>
        <v>0</v>
      </c>
    </row>
    <row r="2118" spans="1:38" s="19" customFormat="1" ht="31.5" customHeight="1">
      <c r="A2118" s="47">
        <v>1161</v>
      </c>
      <c r="B2118" s="47">
        <v>80111600</v>
      </c>
      <c r="C2118" s="47" t="str">
        <f>VLOOKUP(PAA_4[[#This Row],[PROYECTO (formulado)2]],[2]PROYECTOS!$G$1:$L$32,6,0)</f>
        <v>SUBGERENCIA DE FOMENTO Y DESARROLLO</v>
      </c>
      <c r="D2118" s="47" t="str">
        <f>+IF(PAA_4[[#This Row],[UNIDAD DE CONTRATACION (formulado)]]="Subgerencia Administrativa y Financiera","FUNCIONAMIENTO","INVERSIÓN")</f>
        <v>INVERSIÓN</v>
      </c>
      <c r="E2118" s="48" t="str">
        <f>VLOOKUP(Q2118,[2]PROYECTOS!$G$1:$K$32,5,0)</f>
        <v>Desarrollo y promoción del deporte formativo, la recreación y la actividad física en el departamento Antioquia</v>
      </c>
      <c r="F2118" s="48">
        <f>VLOOKUP(E2118,[2]PROYECTOS!$K$1:$M$32,3,0)</f>
        <v>2024003050101</v>
      </c>
      <c r="G2118" s="49" t="s">
        <v>2316</v>
      </c>
      <c r="H2118" s="49" t="str">
        <f>VLOOKUP(Q2118,[2]PROYECTOS!$V$1:$W$32,2,0)</f>
        <v>050075</v>
      </c>
      <c r="I2118" s="50">
        <f>10860016-29868</f>
        <v>10830148</v>
      </c>
      <c r="J2118" s="51" t="s">
        <v>2317</v>
      </c>
      <c r="K2118" s="47" t="str">
        <f t="shared" ref="K2118" ca="1" si="671">IF(ISNONTEXT(Y2118)=TRUE,"CONTRATADO","NO CONTRATADO")</f>
        <v>CONTRATADO</v>
      </c>
      <c r="L2118" s="47" t="s">
        <v>94</v>
      </c>
      <c r="M2118" s="47" t="s">
        <v>1297</v>
      </c>
      <c r="N2118" s="52" t="s">
        <v>1359</v>
      </c>
      <c r="O2118" s="51" t="e">
        <f>VLOOKUP(N2118,[2]!RUBROS[#All],3,0)</f>
        <v>#REF!</v>
      </c>
      <c r="P2118" s="53" t="e">
        <f>VLOOKUP(N2118,[2]!RUBROS[#All],2,0)</f>
        <v>#REF!</v>
      </c>
      <c r="Q2118" s="47" t="str">
        <f t="shared" ref="Q2118" si="672">+MID(N2118,11,2)</f>
        <v>01</v>
      </c>
      <c r="R2118" s="47" t="str">
        <f t="shared" ref="R2118" si="673">+MID(N2118,14,8)</f>
        <v>0-101024</v>
      </c>
      <c r="S2118" s="54">
        <v>75</v>
      </c>
      <c r="T2118" s="63" t="s">
        <v>120</v>
      </c>
      <c r="U2118" s="326" t="e">
        <f ca="1">_xlfn.XLOOKUP(PAA_4[[#This Row],[ITEM]],[2]Contrato!A:A,[2]Contrato!Q:Q,"",0)</f>
        <v>#NAME?</v>
      </c>
      <c r="V2118" s="47" t="s">
        <v>47</v>
      </c>
      <c r="W2118" s="47" t="s">
        <v>203</v>
      </c>
      <c r="X2118" s="47" t="s">
        <v>203</v>
      </c>
      <c r="Y2118" s="55" t="e">
        <f ca="1">_xlfn.XLOOKUP(PAA_4[[#This Row],[ITEM]],[2]Contrato!A:A,[2]Contrato!B:B,"",0)</f>
        <v>#NAME?</v>
      </c>
      <c r="Z2118" s="47" t="e">
        <f ca="1">_xlfn.XLOOKUP(PAA_4[[#This Row],[ITEM]],[2]Contrato!A:A,[2]Contrato!G:G,"",0)</f>
        <v>#NAME?</v>
      </c>
      <c r="AA2118" s="47" t="e">
        <f ca="1">_xlfn.XLOOKUP(PAA_4[[#This Row],[ITEM]],[2]Contrato!A:A,[2]Contrato!T:T,"",0)</f>
        <v>#NAME?</v>
      </c>
      <c r="AB2118" s="55" t="e">
        <f ca="1">+MAX(PAA_4[[#This Row],[Comprometido Contrato]],PAA_4[[#This Row],[Comprometido Bolsa]])</f>
        <v>#NAME?</v>
      </c>
      <c r="AC2118" s="55" t="str">
        <f t="shared" ref="AC2118" ca="1" si="674">IFERROR(I2118-AB2118,"")</f>
        <v/>
      </c>
      <c r="AD2118" s="55" t="e">
        <f ca="1">IF(PAA_4[[#This Row],[ESTADO (formulado)]]="NO CONTRATADO",0,MAX(PAA_4[[#This Row],[Pago por Contrato]],PAA_4[[#This Row],[Pago por bolsa]]))</f>
        <v>#NAME?</v>
      </c>
      <c r="AE2118" s="55" t="str">
        <f t="shared" ref="AE2118" ca="1" si="675">+IFERROR(AB2118-AD2118,"")</f>
        <v/>
      </c>
      <c r="AF2118" s="47" t="e">
        <f t="shared" ref="AF2118" ca="1" si="676">+CONCATENATE(AA2118,N2118)</f>
        <v>#NAME?</v>
      </c>
      <c r="AG2118" s="47">
        <f t="shared" ref="AG2118" si="677">IFERROR(_xlfn.NUMBERVALUE(MID(G2118,1,8)),"")</f>
        <v>52010702</v>
      </c>
      <c r="AH2118" s="54">
        <f>IF(Q2118="22",IF(ISNUMBER(SEARCH("econ",PAA_4[[#This Row],[Actividad3]])),"Económico",IF(ISNUMBER(SEARCH("alim",PAA_4[[#This Row],[Actividad3]])),"Alimentación",IF(ISNUMBER(SEARCH("educ",PAA_4[[#This Row],[Actividad3]])),"Educativo","Técnico"))),0)</f>
        <v>0</v>
      </c>
      <c r="AI2118" s="47" t="e" cm="1">
        <f t="array" aca="1" ref="AI2118" ca="1">_xlfn.XLOOKUP(PAA_4[[#This Row],[RCP-RUBRO]],[2]!COMPROMISOS_2024[[#All],[concatenado]],[2]!COMPROMISOS_2024[[#All],[Total pagado]],"",0)</f>
        <v>#NAME?</v>
      </c>
      <c r="AJ2118" s="56">
        <f>IF(PAA_4[[#This Row],[BOLSA]]=0,0,SUMIFS([2]!COMPROMISOS_2024[[#All],[Total pagado]],[2]!COMPROMISOS_2024[[#All],[Bolsa]],PAA_4[[#This Row],[BOLSA]],[2]!COMPROMISOS_2024[[#All],[rubro]],PAA_4[[#This Row],[RCP-RUBRO]]))</f>
        <v>0</v>
      </c>
      <c r="AK2118" s="47" t="e" cm="1">
        <f t="array" aca="1" ref="AK2118" ca="1">_xlfn.XLOOKUP(PAA_4[[#This Row],[RCP-RUBRO]],[2]!COMPROMISOS_2024[[#All],[concatenado]],[2]!COMPROMISOS_2024[[#All],[Total Comprometido]],"",0)</f>
        <v>#NAME?</v>
      </c>
      <c r="AL2118" s="47">
        <f>IF(PAA_4[[#This Row],[BOLSA]]=0,0,SUMIFS([2]!COMPROMISOS_2024[[#All],[Total Comprometido]],[2]!COMPROMISOS_2024[[#All],[Bolsa]],PAA_4[[#This Row],[BOLSA]],[2]!COMPROMISOS_2024[[#All],[concatenado]],PAA_4[[#This Row],[RCP-RUBRO]]))</f>
        <v>0</v>
      </c>
    </row>
    <row r="2119" spans="1:38" s="19" customFormat="1" ht="31.5" customHeight="1">
      <c r="A2119" s="47" t="s">
        <v>82</v>
      </c>
      <c r="B2119" s="47" t="s">
        <v>42</v>
      </c>
      <c r="C2119" s="47" t="str">
        <f>VLOOKUP(PAA_4[[#This Row],[PROYECTO (formulado)2]],[2]PROYECTOS!$G$1:$L$32,6,0)</f>
        <v>SUBGERENCIA DE FOMENTO Y DESARROLLO</v>
      </c>
      <c r="D2119" s="47" t="str">
        <f>+IF(PAA_4[[#This Row],[UNIDAD DE CONTRATACION (formulado)]]="Subgerencia Administrativa y Financiera","FUNCIONAMIENTO","INVERSIÓN")</f>
        <v>INVERSIÓN</v>
      </c>
      <c r="E2119" s="48" t="str">
        <f>VLOOKUP(Q2119,[2]PROYECTOS!$G$1:$K$32,5,0)</f>
        <v>Desarrollo y promoción del deporte formativo, la recreación y la actividad física en el departamento Antioquia</v>
      </c>
      <c r="F2119" s="48">
        <f>VLOOKUP(E2119,[2]PROYECTOS!$K$1:$M$32,3,0)</f>
        <v>2024003050101</v>
      </c>
      <c r="G2119" s="49" t="s">
        <v>2316</v>
      </c>
      <c r="H2119" s="49" t="str">
        <f>VLOOKUP(Q2119,[2]PROYECTOS!$V$1:$W$32,2,0)</f>
        <v>050075</v>
      </c>
      <c r="I2119" s="50">
        <v>770697</v>
      </c>
      <c r="J2119" s="51" t="s">
        <v>1851</v>
      </c>
      <c r="K2119" s="47" t="str">
        <f ca="1">IF(ISNONTEXT(Y2119)=TRUE,"CONTRATADO","NO CONTRATADO")</f>
        <v>CONTRATADO</v>
      </c>
      <c r="L2119" s="47" t="s">
        <v>42</v>
      </c>
      <c r="M2119" s="47" t="s">
        <v>42</v>
      </c>
      <c r="N2119" s="52" t="s">
        <v>1359</v>
      </c>
      <c r="O2119" s="51" t="e">
        <f>VLOOKUP(N2119,[2]!RUBROS[#All],3,0)</f>
        <v>#REF!</v>
      </c>
      <c r="P2119" s="53" t="e">
        <f>VLOOKUP(N2119,[2]!RUBROS[#All],2,0)</f>
        <v>#REF!</v>
      </c>
      <c r="Q2119" s="47" t="str">
        <f>+MID(N2119,11,2)</f>
        <v>01</v>
      </c>
      <c r="R2119" s="47" t="str">
        <f>+MID(N2119,14,8)</f>
        <v>0-101024</v>
      </c>
      <c r="S2119" s="54" t="s">
        <v>42</v>
      </c>
      <c r="T2119" s="329" t="s">
        <v>42</v>
      </c>
      <c r="U2119" s="326" t="e">
        <f ca="1">_xlfn.XLOOKUP(PAA_4[[#This Row],[ITEM]],[2]Contrato!A:A,[2]Contrato!Q:Q,"",0)</f>
        <v>#NAME?</v>
      </c>
      <c r="V2119" s="47" t="s">
        <v>95</v>
      </c>
      <c r="W2119" s="47" t="s">
        <v>42</v>
      </c>
      <c r="X2119" s="47" t="s">
        <v>42</v>
      </c>
      <c r="Y2119" s="55" t="e">
        <f ca="1">_xlfn.XLOOKUP(PAA_4[[#This Row],[ITEM]],[2]Contrato!A:A,[2]Contrato!B:B,"",0)</f>
        <v>#NAME?</v>
      </c>
      <c r="Z2119" s="47" t="e">
        <f ca="1">_xlfn.XLOOKUP(PAA_4[[#This Row],[ITEM]],[2]Contrato!A:A,[2]Contrato!G:G,"",0)</f>
        <v>#NAME?</v>
      </c>
      <c r="AA2119" s="47" t="e">
        <f ca="1">_xlfn.XLOOKUP(PAA_4[[#This Row],[ITEM]],[2]Contrato!A:A,[2]Contrato!T:T,"",0)</f>
        <v>#NAME?</v>
      </c>
      <c r="AB2119" s="55" t="e">
        <f ca="1">+MAX(PAA_4[[#This Row],[Comprometido Contrato]],PAA_4[[#This Row],[Comprometido Bolsa]])</f>
        <v>#NAME?</v>
      </c>
      <c r="AC2119" s="55" t="str">
        <f ca="1">IFERROR(I2119-AB2119,"")</f>
        <v/>
      </c>
      <c r="AD2119" s="55" t="e">
        <f ca="1">IF(PAA_4[[#This Row],[ESTADO (formulado)]]="NO CONTRATADO",0,MAX(PAA_4[[#This Row],[Pago por Contrato]],PAA_4[[#This Row],[Pago por bolsa]]))</f>
        <v>#NAME?</v>
      </c>
      <c r="AE2119" s="55" t="str">
        <f ca="1">+IFERROR(AB2119-AD2119,"")</f>
        <v/>
      </c>
      <c r="AF2119" s="47" t="e">
        <f ca="1">+CONCATENATE(AA2119,N2119)</f>
        <v>#NAME?</v>
      </c>
      <c r="AG2119" s="47">
        <f>IFERROR(_xlfn.NUMBERVALUE(MID(G2119,1,8)),"")</f>
        <v>52010702</v>
      </c>
      <c r="AH2119" s="54">
        <f>IF(Q2119="22",IF(ISNUMBER(SEARCH("econ",PAA_4[[#This Row],[Actividad3]])),"Económico",IF(ISNUMBER(SEARCH("alim",PAA_4[[#This Row],[Actividad3]])),"Alimentación",IF(ISNUMBER(SEARCH("educ",PAA_4[[#This Row],[Actividad3]])),"Educativo","Técnico"))),0)</f>
        <v>0</v>
      </c>
      <c r="AI2119" s="47" t="e" cm="1">
        <f t="array" aca="1" ref="AI2119" ca="1">_xlfn.XLOOKUP(PAA_4[[#This Row],[RCP-RUBRO]],[2]!COMPROMISOS_2024[[#All],[concatenado]],[2]!COMPROMISOS_2024[[#All],[Total pagado]],"",0)</f>
        <v>#NAME?</v>
      </c>
      <c r="AJ2119" s="56">
        <f>IF(PAA_4[[#This Row],[BOLSA]]=0,0,SUMIFS([2]!COMPROMISOS_2024[[#All],[Total pagado]],[2]!COMPROMISOS_2024[[#All],[Bolsa]],PAA_4[[#This Row],[BOLSA]],[2]!COMPROMISOS_2024[[#All],[rubro]],PAA_4[[#This Row],[RCP-RUBRO]]))</f>
        <v>0</v>
      </c>
      <c r="AK2119" s="47" t="e" cm="1">
        <f t="array" aca="1" ref="AK2119" ca="1">_xlfn.XLOOKUP(PAA_4[[#This Row],[RCP-RUBRO]],[2]!COMPROMISOS_2024[[#All],[concatenado]],[2]!COMPROMISOS_2024[[#All],[Total Comprometido]],"",0)</f>
        <v>#NAME?</v>
      </c>
      <c r="AL2119" s="47">
        <f>IF(PAA_4[[#This Row],[BOLSA]]=0,0,SUMIFS([2]!COMPROMISOS_2024[[#All],[Total Comprometido]],[2]!COMPROMISOS_2024[[#All],[Bolsa]],PAA_4[[#This Row],[BOLSA]],[2]!COMPROMISOS_2024[[#All],[concatenado]],PAA_4[[#This Row],[RCP-RUBRO]]))</f>
        <v>0</v>
      </c>
    </row>
    <row r="2120" spans="1:38" s="19" customFormat="1" ht="31.5" customHeight="1">
      <c r="A2120" s="47">
        <v>1162</v>
      </c>
      <c r="B2120" s="47">
        <v>80111600</v>
      </c>
      <c r="C2120" s="47" t="str">
        <f>VLOOKUP(PAA_4[[#This Row],[PROYECTO (formulado)2]],[2]PROYECTOS!$G$1:$L$32,6,0)</f>
        <v>SUBGERENCIA DE FOMENTO Y DESARROLLO</v>
      </c>
      <c r="D2120" s="47" t="str">
        <f>+IF(PAA_4[[#This Row],[UNIDAD DE CONTRATACION (formulado)]]="Subgerencia Administrativa y Financiera","FUNCIONAMIENTO","INVERSIÓN")</f>
        <v>INVERSIÓN</v>
      </c>
      <c r="E2120" s="48" t="str">
        <f>VLOOKUP(Q2120,[2]PROYECTOS!$G$1:$K$32,5,0)</f>
        <v>Desarrollo y promoción del deporte formativo, la recreación y la actividad física en el departamento Antioquia</v>
      </c>
      <c r="F2120" s="48">
        <f>VLOOKUP(E2120,[2]PROYECTOS!$K$1:$M$32,3,0)</f>
        <v>2024003050101</v>
      </c>
      <c r="G2120" s="49" t="s">
        <v>2316</v>
      </c>
      <c r="H2120" s="49" t="str">
        <f>VLOOKUP(Q2120,[2]PROYECTOS!$V$1:$W$32,2,0)</f>
        <v>050075</v>
      </c>
      <c r="I2120" s="50">
        <f>16133978-770697</f>
        <v>15363281</v>
      </c>
      <c r="J2120" s="51" t="s">
        <v>2318</v>
      </c>
      <c r="K2120" s="47" t="str">
        <f t="shared" ref="K2120:K2127" ca="1" si="678">IF(ISNONTEXT(Y2120)=TRUE,"CONTRATADO","NO CONTRATADO")</f>
        <v>CONTRATADO</v>
      </c>
      <c r="L2120" s="47" t="s">
        <v>94</v>
      </c>
      <c r="M2120" s="47" t="s">
        <v>1297</v>
      </c>
      <c r="N2120" s="52" t="s">
        <v>1359</v>
      </c>
      <c r="O2120" s="51" t="e">
        <f>VLOOKUP(N2120,[2]!RUBROS[#All],3,0)</f>
        <v>#REF!</v>
      </c>
      <c r="P2120" s="53" t="e">
        <f>VLOOKUP(N2120,[2]!RUBROS[#All],2,0)</f>
        <v>#REF!</v>
      </c>
      <c r="Q2120" s="47" t="str">
        <f t="shared" ref="Q2120:Q2127" si="679">+MID(N2120,11,2)</f>
        <v>01</v>
      </c>
      <c r="R2120" s="47" t="str">
        <f t="shared" ref="R2120:R2154" si="680">+MID(N2120,14,8)</f>
        <v>0-101024</v>
      </c>
      <c r="S2120" s="54">
        <v>75</v>
      </c>
      <c r="T2120" s="63" t="s">
        <v>120</v>
      </c>
      <c r="U2120" s="326" t="e">
        <f ca="1">_xlfn.XLOOKUP(PAA_4[[#This Row],[ITEM]],[2]Contrato!A:A,[2]Contrato!Q:Q,"",0)</f>
        <v>#NAME?</v>
      </c>
      <c r="V2120" s="47" t="s">
        <v>47</v>
      </c>
      <c r="W2120" s="47" t="s">
        <v>203</v>
      </c>
      <c r="X2120" s="47" t="s">
        <v>203</v>
      </c>
      <c r="Y2120" s="55" t="e">
        <f ca="1">_xlfn.XLOOKUP(PAA_4[[#This Row],[ITEM]],[2]Contrato!A:A,[2]Contrato!B:B,"",0)</f>
        <v>#NAME?</v>
      </c>
      <c r="Z2120" s="47" t="e">
        <f ca="1">_xlfn.XLOOKUP(PAA_4[[#This Row],[ITEM]],[2]Contrato!A:A,[2]Contrato!G:G,"",0)</f>
        <v>#NAME?</v>
      </c>
      <c r="AA2120" s="47" t="e">
        <f ca="1">_xlfn.XLOOKUP(PAA_4[[#This Row],[ITEM]],[2]Contrato!A:A,[2]Contrato!T:T,"",0)</f>
        <v>#NAME?</v>
      </c>
      <c r="AB2120" s="55" t="e">
        <f ca="1">+MAX(PAA_4[[#This Row],[Comprometido Contrato]],PAA_4[[#This Row],[Comprometido Bolsa]])</f>
        <v>#NAME?</v>
      </c>
      <c r="AC2120" s="55" t="str">
        <f t="shared" ref="AC2120:AC2127" ca="1" si="681">IFERROR(I2120-AB2120,"")</f>
        <v/>
      </c>
      <c r="AD2120" s="55" t="e">
        <f ca="1">IF(PAA_4[[#This Row],[ESTADO (formulado)]]="NO CONTRATADO",0,MAX(PAA_4[[#This Row],[Pago por Contrato]],PAA_4[[#This Row],[Pago por bolsa]]))</f>
        <v>#NAME?</v>
      </c>
      <c r="AE2120" s="55" t="str">
        <f t="shared" ref="AE2120:AE2127" ca="1" si="682">+IFERROR(AB2120-AD2120,"")</f>
        <v/>
      </c>
      <c r="AF2120" s="47" t="e">
        <f t="shared" ref="AF2120:AF2127" ca="1" si="683">+CONCATENATE(AA2120,N2120)</f>
        <v>#NAME?</v>
      </c>
      <c r="AG2120" s="47">
        <f t="shared" ref="AG2120:AG2127" si="684">IFERROR(_xlfn.NUMBERVALUE(MID(G2120,1,8)),"")</f>
        <v>52010702</v>
      </c>
      <c r="AH2120" s="54">
        <f>IF(Q2120="22",IF(ISNUMBER(SEARCH("econ",PAA_4[[#This Row],[Actividad3]])),"Económico",IF(ISNUMBER(SEARCH("alim",PAA_4[[#This Row],[Actividad3]])),"Alimentación",IF(ISNUMBER(SEARCH("educ",PAA_4[[#This Row],[Actividad3]])),"Educativo","Técnico"))),0)</f>
        <v>0</v>
      </c>
      <c r="AI2120" s="47" t="e" cm="1">
        <f t="array" aca="1" ref="AI2120" ca="1">_xlfn.XLOOKUP(PAA_4[[#This Row],[RCP-RUBRO]],[2]!COMPROMISOS_2024[[#All],[concatenado]],[2]!COMPROMISOS_2024[[#All],[Total pagado]],"",0)</f>
        <v>#NAME?</v>
      </c>
      <c r="AJ2120" s="56">
        <f>IF(PAA_4[[#This Row],[BOLSA]]=0,0,SUMIFS([2]!COMPROMISOS_2024[[#All],[Total pagado]],[2]!COMPROMISOS_2024[[#All],[Bolsa]],PAA_4[[#This Row],[BOLSA]],[2]!COMPROMISOS_2024[[#All],[rubro]],PAA_4[[#This Row],[RCP-RUBRO]]))</f>
        <v>0</v>
      </c>
      <c r="AK2120" s="47" t="e" cm="1">
        <f t="array" aca="1" ref="AK2120" ca="1">_xlfn.XLOOKUP(PAA_4[[#This Row],[RCP-RUBRO]],[2]!COMPROMISOS_2024[[#All],[concatenado]],[2]!COMPROMISOS_2024[[#All],[Total Comprometido]],"",0)</f>
        <v>#NAME?</v>
      </c>
      <c r="AL2120" s="47">
        <f>IF(PAA_4[[#This Row],[BOLSA]]=0,0,SUMIFS([2]!COMPROMISOS_2024[[#All],[Total Comprometido]],[2]!COMPROMISOS_2024[[#All],[Bolsa]],PAA_4[[#This Row],[BOLSA]],[2]!COMPROMISOS_2024[[#All],[concatenado]],PAA_4[[#This Row],[RCP-RUBRO]]))</f>
        <v>0</v>
      </c>
    </row>
    <row r="2121" spans="1:38" s="19" customFormat="1" ht="31.5" customHeight="1">
      <c r="A2121" s="47">
        <v>994</v>
      </c>
      <c r="B2121" s="51" t="s">
        <v>393</v>
      </c>
      <c r="C2121" s="47" t="str">
        <f>VLOOKUP(PAA_4[[#This Row],[PROYECTO (formulado)2]],[2]PROYECTOS!$G$1:$L$32,6,0)</f>
        <v>SUBGERENCIA DE FOMENTO Y DESARROLLO</v>
      </c>
      <c r="D2121" s="47" t="str">
        <f>+IF(PAA_4[[#This Row],[UNIDAD DE CONTRATACION (formulado)]]="Subgerencia Administrativa y Financiera","FUNCIONAMIENTO","INVERSIÓN")</f>
        <v>INVERSIÓN</v>
      </c>
      <c r="E2121" s="48" t="str">
        <f>VLOOKUP(Q2121,[2]PROYECTOS!$G$1:$K$32,5,0)</f>
        <v>FORTALECIMIENTO_DE_LOS_PROGRAMAS_RECREATIVOS_EN_LOS_MUNICIPIOS_DEL_DEPARTAMENTO_DE_ANTIOQUIA</v>
      </c>
      <c r="F2121" s="48">
        <f>VLOOKUP(E2121,[2]PROYECTOS!$K$1:$M$32,3,0)</f>
        <v>2020003050031</v>
      </c>
      <c r="G2121" s="49" t="s">
        <v>367</v>
      </c>
      <c r="H2121" s="49" t="str">
        <f>VLOOKUP(Q2121,[2]PROYECTOS!$V$1:$W$32,2,0)</f>
        <v>050064</v>
      </c>
      <c r="I2121" s="50">
        <v>0</v>
      </c>
      <c r="J2121" s="51" t="s">
        <v>42</v>
      </c>
      <c r="K2121" s="47" t="str">
        <f t="shared" ca="1" si="678"/>
        <v>CONTRATADO</v>
      </c>
      <c r="L2121" s="47" t="s">
        <v>42</v>
      </c>
      <c r="M2121" s="47" t="s">
        <v>42</v>
      </c>
      <c r="N2121" s="52" t="s">
        <v>355</v>
      </c>
      <c r="O2121" s="51" t="e">
        <f>VLOOKUP(N2121,[2]!RUBROS[#All],3,0)</f>
        <v>#REF!</v>
      </c>
      <c r="P2121" s="53" t="e">
        <f>VLOOKUP(N2121,[2]!RUBROS[#All],2,0)</f>
        <v>#REF!</v>
      </c>
      <c r="Q2121" s="47" t="str">
        <f t="shared" si="679"/>
        <v>47</v>
      </c>
      <c r="R2121" s="47" t="str">
        <f t="shared" si="680"/>
        <v>0-205128</v>
      </c>
      <c r="S2121" s="54">
        <v>5</v>
      </c>
      <c r="T2121" s="63" t="s">
        <v>46</v>
      </c>
      <c r="U2121" s="326" t="e">
        <f ca="1">_xlfn.XLOOKUP(PAA_4[[#This Row],[ITEM]],[2]Contrato!A:A,[2]Contrato!Q:Q,"",0)</f>
        <v>#NAME?</v>
      </c>
      <c r="V2121" s="47" t="s">
        <v>47</v>
      </c>
      <c r="W2121" s="47" t="s">
        <v>42</v>
      </c>
      <c r="X2121" s="47" t="s">
        <v>42</v>
      </c>
      <c r="Y2121" s="55" t="e">
        <f ca="1">_xlfn.XLOOKUP(PAA_4[[#This Row],[ITEM]],[2]Contrato!A:A,[2]Contrato!B:B,"",0)</f>
        <v>#NAME?</v>
      </c>
      <c r="Z2121" s="47" t="e">
        <f ca="1">_xlfn.XLOOKUP(PAA_4[[#This Row],[ITEM]],[2]Contrato!A:A,[2]Contrato!G:G,"",0)</f>
        <v>#NAME?</v>
      </c>
      <c r="AA2121" s="47" t="e">
        <f ca="1">_xlfn.XLOOKUP(PAA_4[[#This Row],[ITEM]],[2]Contrato!A:A,[2]Contrato!T:T,"",0)</f>
        <v>#NAME?</v>
      </c>
      <c r="AB2121" s="55" t="e">
        <f ca="1">+MAX(PAA_4[[#This Row],[Comprometido Contrato]],PAA_4[[#This Row],[Comprometido Bolsa]])</f>
        <v>#NAME?</v>
      </c>
      <c r="AC2121" s="55" t="str">
        <f t="shared" ca="1" si="681"/>
        <v/>
      </c>
      <c r="AD2121" s="55" t="e">
        <f ca="1">IF(PAA_4[[#This Row],[ESTADO (formulado)]]="NO CONTRATADO",0,MAX(PAA_4[[#This Row],[Pago por Contrato]],PAA_4[[#This Row],[Pago por bolsa]]))</f>
        <v>#NAME?</v>
      </c>
      <c r="AE2121" s="55" t="str">
        <f t="shared" ca="1" si="682"/>
        <v/>
      </c>
      <c r="AF2121" s="47" t="e">
        <f t="shared" ca="1" si="683"/>
        <v>#NAME?</v>
      </c>
      <c r="AG2121" s="47">
        <f t="shared" si="684"/>
        <v>44021006</v>
      </c>
      <c r="AH2121" s="54">
        <f>IF(Q2121="22",IF(ISNUMBER(SEARCH("econ",PAA_4[[#This Row],[Actividad3]])),"Económico",IF(ISNUMBER(SEARCH("alim",PAA_4[[#This Row],[Actividad3]])),"Alimentación",IF(ISNUMBER(SEARCH("educ",PAA_4[[#This Row],[Actividad3]])),"Educativo","Técnico"))),0)</f>
        <v>0</v>
      </c>
      <c r="AI2121" s="47" t="e" cm="1">
        <f t="array" aca="1" ref="AI2121" ca="1">_xlfn.XLOOKUP(PAA_4[[#This Row],[RCP-RUBRO]],[2]!COMPROMISOS_2024[[#All],[concatenado]],[2]!COMPROMISOS_2024[[#All],[Total pagado]],"",0)</f>
        <v>#NAME?</v>
      </c>
      <c r="AJ2121" s="56">
        <f>IF(PAA_4[[#This Row],[BOLSA]]=0,0,SUMIFS([2]!COMPROMISOS_2024[[#All],[Total pagado]],[2]!COMPROMISOS_2024[[#All],[Bolsa]],PAA_4[[#This Row],[BOLSA]],[2]!COMPROMISOS_2024[[#All],[rubro]],PAA_4[[#This Row],[RCP-RUBRO]]))</f>
        <v>0</v>
      </c>
      <c r="AK2121" s="47" t="e" cm="1">
        <f t="array" aca="1" ref="AK2121" ca="1">_xlfn.XLOOKUP(PAA_4[[#This Row],[RCP-RUBRO]],[2]!COMPROMISOS_2024[[#All],[concatenado]],[2]!COMPROMISOS_2024[[#All],[Total Comprometido]],"",0)</f>
        <v>#NAME?</v>
      </c>
      <c r="AL2121" s="47">
        <f>IF(PAA_4[[#This Row],[BOLSA]]=0,0,SUMIFS([2]!COMPROMISOS_2024[[#All],[Total Comprometido]],[2]!COMPROMISOS_2024[[#All],[Bolsa]],PAA_4[[#This Row],[BOLSA]],[2]!COMPROMISOS_2024[[#All],[concatenado]],PAA_4[[#This Row],[RCP-RUBRO]]))</f>
        <v>0</v>
      </c>
    </row>
    <row r="2122" spans="1:38" s="19" customFormat="1" ht="31.5" customHeight="1">
      <c r="A2122" s="47" t="s">
        <v>82</v>
      </c>
      <c r="B2122" s="47">
        <v>80141607</v>
      </c>
      <c r="C2122" s="47" t="str">
        <f>VLOOKUP(PAA_4[[#This Row],[PROYECTO (formulado)2]],[2]PROYECTOS!$G$1:$L$32,6,0)</f>
        <v>SUBGERENCIA DE FOMENTO Y DESARROLLO</v>
      </c>
      <c r="D2122" s="47" t="str">
        <f>+IF(PAA_4[[#This Row],[UNIDAD DE CONTRATACION (formulado)]]="Subgerencia Administrativa y Financiera","FUNCIONAMIENTO","INVERSIÓN")</f>
        <v>INVERSIÓN</v>
      </c>
      <c r="E2122" s="48" t="str">
        <f>VLOOKUP(Q2122,[2]PROYECTOS!$G$1:$K$32,5,0)</f>
        <v>FORTALECIMIENTO_DE_LAS_ESCUELAS_DEPORTIVAS_EN_LOS_MUNICIPIOS_DEL_DEPARTAMENTO_DE_ANTIOQUIA</v>
      </c>
      <c r="F2122" s="48">
        <f>VLOOKUP(E2122,[2]PROYECTOS!$K$1:$M$32,3,0)</f>
        <v>2020003050032</v>
      </c>
      <c r="G2122" s="49" t="s">
        <v>365</v>
      </c>
      <c r="H2122" s="49" t="str">
        <f>VLOOKUP(Q2122,[2]PROYECTOS!$V$1:$W$32,2,0)</f>
        <v>050059</v>
      </c>
      <c r="I2122" s="50">
        <v>0</v>
      </c>
      <c r="J2122" s="51" t="s">
        <v>375</v>
      </c>
      <c r="K2122" s="47" t="str">
        <f t="shared" ca="1" si="678"/>
        <v>CONTRATADO</v>
      </c>
      <c r="L2122" s="47" t="s">
        <v>42</v>
      </c>
      <c r="M2122" s="47" t="s">
        <v>42</v>
      </c>
      <c r="N2122" s="52" t="s">
        <v>1860</v>
      </c>
      <c r="O2122" s="51" t="e">
        <f>VLOOKUP(N2122,[2]!RUBROS[#All],3,0)</f>
        <v>#REF!</v>
      </c>
      <c r="P2122" s="53" t="e">
        <f>VLOOKUP(N2122,[2]!RUBROS[#All],2,0)</f>
        <v>#REF!</v>
      </c>
      <c r="Q2122" s="47" t="str">
        <f t="shared" si="679"/>
        <v>46</v>
      </c>
      <c r="R2122" s="47" t="str">
        <f t="shared" si="680"/>
        <v>0-205400</v>
      </c>
      <c r="S2122" s="54">
        <v>5</v>
      </c>
      <c r="T2122" s="63" t="s">
        <v>46</v>
      </c>
      <c r="U2122" s="326" t="e">
        <f ca="1">_xlfn.XLOOKUP(PAA_4[[#This Row],[ITEM]],[2]Contrato!A:A,[2]Contrato!Q:Q,"",0)</f>
        <v>#NAME?</v>
      </c>
      <c r="V2122" s="47" t="s">
        <v>47</v>
      </c>
      <c r="W2122" s="47" t="s">
        <v>193</v>
      </c>
      <c r="X2122" s="47" t="s">
        <v>193</v>
      </c>
      <c r="Y2122" s="55" t="e">
        <f ca="1">_xlfn.XLOOKUP(PAA_4[[#This Row],[ITEM]],[2]Contrato!A:A,[2]Contrato!B:B,"",0)</f>
        <v>#NAME?</v>
      </c>
      <c r="Z2122" s="47" t="e">
        <f ca="1">_xlfn.XLOOKUP(PAA_4[[#This Row],[ITEM]],[2]Contrato!A:A,[2]Contrato!G:G,"",0)</f>
        <v>#NAME?</v>
      </c>
      <c r="AA2122" s="47" t="e">
        <f ca="1">_xlfn.XLOOKUP(PAA_4[[#This Row],[ITEM]],[2]Contrato!A:A,[2]Contrato!T:T,"",0)</f>
        <v>#NAME?</v>
      </c>
      <c r="AB2122" s="55" t="e">
        <f ca="1">+MAX(PAA_4[[#This Row],[Comprometido Contrato]],PAA_4[[#This Row],[Comprometido Bolsa]])</f>
        <v>#NAME?</v>
      </c>
      <c r="AC2122" s="55" t="str">
        <f t="shared" ca="1" si="681"/>
        <v/>
      </c>
      <c r="AD2122" s="55" t="e">
        <f ca="1">IF(PAA_4[[#This Row],[ESTADO (formulado)]]="NO CONTRATADO",0,MAX(PAA_4[[#This Row],[Pago por Contrato]],PAA_4[[#This Row],[Pago por bolsa]]))</f>
        <v>#NAME?</v>
      </c>
      <c r="AE2122" s="55" t="str">
        <f t="shared" ca="1" si="682"/>
        <v/>
      </c>
      <c r="AF2122" s="47" t="e">
        <f t="shared" ca="1" si="683"/>
        <v>#NAME?</v>
      </c>
      <c r="AG2122" s="47">
        <f t="shared" si="684"/>
        <v>44021009</v>
      </c>
      <c r="AH2122" s="54">
        <f>IF(Q2122="22",IF(ISNUMBER(SEARCH("econ",PAA_4[[#This Row],[Actividad3]])),"Económico",IF(ISNUMBER(SEARCH("alim",PAA_4[[#This Row],[Actividad3]])),"Alimentación",IF(ISNUMBER(SEARCH("educ",PAA_4[[#This Row],[Actividad3]])),"Educativo","Técnico"))),0)</f>
        <v>0</v>
      </c>
      <c r="AI2122" s="47" t="e" cm="1">
        <f t="array" aca="1" ref="AI2122" ca="1">_xlfn.XLOOKUP(PAA_4[[#This Row],[RCP-RUBRO]],[2]!COMPROMISOS_2024[[#All],[concatenado]],[2]!COMPROMISOS_2024[[#All],[Total pagado]],"",0)</f>
        <v>#NAME?</v>
      </c>
      <c r="AJ2122" s="56">
        <f>IF(PAA_4[[#This Row],[BOLSA]]=0,0,SUMIFS([2]!COMPROMISOS_2024[[#All],[Total pagado]],[2]!COMPROMISOS_2024[[#All],[Bolsa]],PAA_4[[#This Row],[BOLSA]],[2]!COMPROMISOS_2024[[#All],[rubro]],PAA_4[[#This Row],[RCP-RUBRO]]))</f>
        <v>0</v>
      </c>
      <c r="AK2122" s="47" t="e" cm="1">
        <f t="array" aca="1" ref="AK2122" ca="1">_xlfn.XLOOKUP(PAA_4[[#This Row],[RCP-RUBRO]],[2]!COMPROMISOS_2024[[#All],[concatenado]],[2]!COMPROMISOS_2024[[#All],[Total Comprometido]],"",0)</f>
        <v>#NAME?</v>
      </c>
      <c r="AL2122" s="47">
        <f>IF(PAA_4[[#This Row],[BOLSA]]=0,0,SUMIFS([2]!COMPROMISOS_2024[[#All],[Total Comprometido]],[2]!COMPROMISOS_2024[[#All],[Bolsa]],PAA_4[[#This Row],[BOLSA]],[2]!COMPROMISOS_2024[[#All],[concatenado]],PAA_4[[#This Row],[RCP-RUBRO]]))</f>
        <v>0</v>
      </c>
    </row>
    <row r="2123" spans="1:38" s="19" customFormat="1" ht="31.5" customHeight="1">
      <c r="A2123" s="47" t="s">
        <v>82</v>
      </c>
      <c r="B2123" s="47">
        <v>80111600</v>
      </c>
      <c r="C2123" s="47" t="str">
        <f>VLOOKUP(PAA_4[[#This Row],[PROYECTO (formulado)2]],[2]PROYECTOS!$G$1:$L$32,6,0)</f>
        <v>SUBGERENCIA DE FOMENTO Y DESARROLLO</v>
      </c>
      <c r="D2123" s="47" t="str">
        <f>+IF(PAA_4[[#This Row],[UNIDAD DE CONTRATACION (formulado)]]="Subgerencia Administrativa y Financiera","FUNCIONAMIENTO","INVERSIÓN")</f>
        <v>INVERSIÓN</v>
      </c>
      <c r="E2123" s="48" t="str">
        <f>VLOOKUP(Q2123,[2]PROYECTOS!$G$1:$K$32,5,0)</f>
        <v>FORTALECIMIENTO_DE_LAS_ESCUELAS_DEPORTIVAS_EN_LOS_MUNICIPIOS_DEL_DEPARTAMENTO_DE_ANTIOQUIA</v>
      </c>
      <c r="F2123" s="48">
        <f>VLOOKUP(E2123,[2]PROYECTOS!$K$1:$M$32,3,0)</f>
        <v>2020003050032</v>
      </c>
      <c r="G2123" s="49" t="s">
        <v>333</v>
      </c>
      <c r="H2123" s="49" t="str">
        <f>VLOOKUP(Q2123,[2]PROYECTOS!$V$1:$W$32,2,0)</f>
        <v>050059</v>
      </c>
      <c r="I2123" s="78">
        <v>0</v>
      </c>
      <c r="J2123" s="51" t="s">
        <v>377</v>
      </c>
      <c r="K2123" s="47" t="str">
        <f t="shared" ca="1" si="678"/>
        <v>CONTRATADO</v>
      </c>
      <c r="L2123" s="47" t="s">
        <v>42</v>
      </c>
      <c r="M2123" s="47" t="s">
        <v>42</v>
      </c>
      <c r="N2123" s="52" t="s">
        <v>2319</v>
      </c>
      <c r="O2123" s="51" t="e">
        <f>VLOOKUP(N2123,[2]!RUBROS[#All],3,0)</f>
        <v>#REF!</v>
      </c>
      <c r="P2123" s="53" t="e">
        <f>VLOOKUP(N2123,[2]!RUBROS[#All],2,0)</f>
        <v>#REF!</v>
      </c>
      <c r="Q2123" s="47" t="str">
        <f t="shared" si="679"/>
        <v>46</v>
      </c>
      <c r="R2123" s="47" t="str">
        <f t="shared" si="680"/>
        <v>0-101024</v>
      </c>
      <c r="S2123" s="54" t="s">
        <v>2309</v>
      </c>
      <c r="T2123" s="63" t="s">
        <v>46</v>
      </c>
      <c r="U2123" s="326" t="e">
        <f ca="1">_xlfn.XLOOKUP(PAA_4[[#This Row],[ITEM]],[2]Contrato!A:A,[2]Contrato!Q:Q,"",0)</f>
        <v>#NAME?</v>
      </c>
      <c r="V2123" s="47" t="s">
        <v>95</v>
      </c>
      <c r="W2123" s="47" t="s">
        <v>154</v>
      </c>
      <c r="X2123" s="47" t="s">
        <v>154</v>
      </c>
      <c r="Y2123" s="55" t="e">
        <f ca="1">_xlfn.XLOOKUP(PAA_4[[#This Row],[ITEM]],[2]Contrato!A:A,[2]Contrato!B:B,"",0)</f>
        <v>#NAME?</v>
      </c>
      <c r="Z2123" s="47" t="e">
        <f ca="1">_xlfn.XLOOKUP(PAA_4[[#This Row],[ITEM]],[2]Contrato!A:A,[2]Contrato!G:G,"",0)</f>
        <v>#NAME?</v>
      </c>
      <c r="AA2123" s="47" t="e">
        <f ca="1">_xlfn.XLOOKUP(PAA_4[[#This Row],[ITEM]],[2]Contrato!A:A,[2]Contrato!T:T,"",0)</f>
        <v>#NAME?</v>
      </c>
      <c r="AB2123" s="55" t="e">
        <f ca="1">+MAX(PAA_4[[#This Row],[Comprometido Contrato]],PAA_4[[#This Row],[Comprometido Bolsa]])</f>
        <v>#NAME?</v>
      </c>
      <c r="AC2123" s="55" t="str">
        <f t="shared" ca="1" si="681"/>
        <v/>
      </c>
      <c r="AD2123" s="55" t="e">
        <f ca="1">IF(PAA_4[[#This Row],[ESTADO (formulado)]]="NO CONTRATADO",0,MAX(PAA_4[[#This Row],[Pago por Contrato]],PAA_4[[#This Row],[Pago por bolsa]]))</f>
        <v>#NAME?</v>
      </c>
      <c r="AE2123" s="55" t="str">
        <f t="shared" ca="1" si="682"/>
        <v/>
      </c>
      <c r="AF2123" s="47" t="e">
        <f t="shared" ca="1" si="683"/>
        <v>#NAME?</v>
      </c>
      <c r="AG2123" s="47">
        <f t="shared" si="684"/>
        <v>44021007</v>
      </c>
      <c r="AH2123" s="54">
        <f>IF(Q2123="22",IF(ISNUMBER(SEARCH("econ",PAA_4[[#This Row],[Actividad3]])),"Económico",IF(ISNUMBER(SEARCH("alim",PAA_4[[#This Row],[Actividad3]])),"Alimentación",IF(ISNUMBER(SEARCH("educ",PAA_4[[#This Row],[Actividad3]])),"Educativo","Técnico"))),0)</f>
        <v>0</v>
      </c>
      <c r="AI2123" s="47" t="e" cm="1">
        <f t="array" aca="1" ref="AI2123" ca="1">_xlfn.XLOOKUP(PAA_4[[#This Row],[RCP-RUBRO]],[2]!COMPROMISOS_2024[[#All],[concatenado]],[2]!COMPROMISOS_2024[[#All],[Total pagado]],"",0)</f>
        <v>#NAME?</v>
      </c>
      <c r="AJ2123" s="56">
        <f>IF(PAA_4[[#This Row],[BOLSA]]=0,0,SUMIFS([2]!COMPROMISOS_2024[[#All],[Total pagado]],[2]!COMPROMISOS_2024[[#All],[Bolsa]],PAA_4[[#This Row],[BOLSA]],[2]!COMPROMISOS_2024[[#All],[rubro]],PAA_4[[#This Row],[RCP-RUBRO]]))</f>
        <v>0</v>
      </c>
      <c r="AK2123" s="47" t="e" cm="1">
        <f t="array" aca="1" ref="AK2123" ca="1">_xlfn.XLOOKUP(PAA_4[[#This Row],[RCP-RUBRO]],[2]!COMPROMISOS_2024[[#All],[concatenado]],[2]!COMPROMISOS_2024[[#All],[Total Comprometido]],"",0)</f>
        <v>#NAME?</v>
      </c>
      <c r="AL2123" s="47">
        <f>IF(PAA_4[[#This Row],[BOLSA]]=0,0,SUMIFS([2]!COMPROMISOS_2024[[#All],[Total Comprometido]],[2]!COMPROMISOS_2024[[#All],[Bolsa]],PAA_4[[#This Row],[BOLSA]],[2]!COMPROMISOS_2024[[#All],[concatenado]],PAA_4[[#This Row],[RCP-RUBRO]]))</f>
        <v>0</v>
      </c>
    </row>
    <row r="2124" spans="1:38" s="19" customFormat="1" ht="31.5" customHeight="1">
      <c r="A2124" s="47" t="s">
        <v>82</v>
      </c>
      <c r="B2124" s="47">
        <v>80141607</v>
      </c>
      <c r="C2124" s="47" t="str">
        <f>VLOOKUP(PAA_4[[#This Row],[PROYECTO (formulado)2]],[2]PROYECTOS!$G$1:$L$32,6,0)</f>
        <v>SUBGERENCIA DE FOMENTO Y DESARROLLO</v>
      </c>
      <c r="D2124" s="47" t="str">
        <f>+IF(PAA_4[[#This Row],[UNIDAD DE CONTRATACION (formulado)]]="Subgerencia Administrativa y Financiera","FUNCIONAMIENTO","INVERSIÓN")</f>
        <v>INVERSIÓN</v>
      </c>
      <c r="E2124" s="48" t="str">
        <f>VLOOKUP(Q2124,[2]PROYECTOS!$G$1:$K$32,5,0)</f>
        <v>FORTALECIMIENTO_DE_LAS_ESCUELAS_DEPORTIVAS_EN_LOS_MUNICIPIOS_DEL_DEPARTAMENTO_DE_ANTIOQUIA</v>
      </c>
      <c r="F2124" s="48">
        <f>VLOOKUP(E2124,[2]PROYECTOS!$K$1:$M$32,3,0)</f>
        <v>2020003050032</v>
      </c>
      <c r="G2124" s="49" t="s">
        <v>365</v>
      </c>
      <c r="H2124" s="49" t="str">
        <f>VLOOKUP(Q2124,[2]PROYECTOS!$V$1:$W$32,2,0)</f>
        <v>050059</v>
      </c>
      <c r="I2124" s="78">
        <v>0</v>
      </c>
      <c r="J2124" s="51" t="s">
        <v>375</v>
      </c>
      <c r="K2124" s="47" t="str">
        <f t="shared" ca="1" si="678"/>
        <v>CONTRATADO</v>
      </c>
      <c r="L2124" s="47" t="s">
        <v>42</v>
      </c>
      <c r="M2124" s="47" t="s">
        <v>42</v>
      </c>
      <c r="N2124" s="52" t="s">
        <v>2319</v>
      </c>
      <c r="O2124" s="51" t="e">
        <f>VLOOKUP(N2124,[2]!RUBROS[#All],3,0)</f>
        <v>#REF!</v>
      </c>
      <c r="P2124" s="53" t="e">
        <f>VLOOKUP(N2124,[2]!RUBROS[#All],2,0)</f>
        <v>#REF!</v>
      </c>
      <c r="Q2124" s="47" t="str">
        <f t="shared" si="679"/>
        <v>46</v>
      </c>
      <c r="R2124" s="47" t="str">
        <f t="shared" si="680"/>
        <v>0-101024</v>
      </c>
      <c r="S2124" s="54" t="s">
        <v>2309</v>
      </c>
      <c r="T2124" s="63" t="s">
        <v>46</v>
      </c>
      <c r="U2124" s="326" t="e">
        <f ca="1">_xlfn.XLOOKUP(PAA_4[[#This Row],[ITEM]],[2]Contrato!A:A,[2]Contrato!Q:Q,"",0)</f>
        <v>#NAME?</v>
      </c>
      <c r="V2124" s="47" t="s">
        <v>95</v>
      </c>
      <c r="W2124" s="47" t="s">
        <v>154</v>
      </c>
      <c r="X2124" s="47" t="s">
        <v>154</v>
      </c>
      <c r="Y2124" s="55" t="e">
        <f ca="1">_xlfn.XLOOKUP(PAA_4[[#This Row],[ITEM]],[2]Contrato!A:A,[2]Contrato!B:B,"",0)</f>
        <v>#NAME?</v>
      </c>
      <c r="Z2124" s="47" t="e">
        <f ca="1">_xlfn.XLOOKUP(PAA_4[[#This Row],[ITEM]],[2]Contrato!A:A,[2]Contrato!G:G,"",0)</f>
        <v>#NAME?</v>
      </c>
      <c r="AA2124" s="47" t="e">
        <f ca="1">_xlfn.XLOOKUP(PAA_4[[#This Row],[ITEM]],[2]Contrato!A:A,[2]Contrato!T:T,"",0)</f>
        <v>#NAME?</v>
      </c>
      <c r="AB2124" s="55" t="e">
        <f ca="1">+MAX(PAA_4[[#This Row],[Comprometido Contrato]],PAA_4[[#This Row],[Comprometido Bolsa]])</f>
        <v>#NAME?</v>
      </c>
      <c r="AC2124" s="55" t="str">
        <f t="shared" ca="1" si="681"/>
        <v/>
      </c>
      <c r="AD2124" s="55" t="e">
        <f ca="1">IF(PAA_4[[#This Row],[ESTADO (formulado)]]="NO CONTRATADO",0,MAX(PAA_4[[#This Row],[Pago por Contrato]],PAA_4[[#This Row],[Pago por bolsa]]))</f>
        <v>#NAME?</v>
      </c>
      <c r="AE2124" s="55" t="str">
        <f t="shared" ca="1" si="682"/>
        <v/>
      </c>
      <c r="AF2124" s="47" t="e">
        <f t="shared" ca="1" si="683"/>
        <v>#NAME?</v>
      </c>
      <c r="AG2124" s="47">
        <f t="shared" si="684"/>
        <v>44021009</v>
      </c>
      <c r="AH2124" s="54">
        <f>IF(Q2124="22",IF(ISNUMBER(SEARCH("econ",PAA_4[[#This Row],[Actividad3]])),"Económico",IF(ISNUMBER(SEARCH("alim",PAA_4[[#This Row],[Actividad3]])),"Alimentación",IF(ISNUMBER(SEARCH("educ",PAA_4[[#This Row],[Actividad3]])),"Educativo","Técnico"))),0)</f>
        <v>0</v>
      </c>
      <c r="AI2124" s="47" t="e" cm="1">
        <f t="array" aca="1" ref="AI2124" ca="1">_xlfn.XLOOKUP(PAA_4[[#This Row],[RCP-RUBRO]],[2]!COMPROMISOS_2024[[#All],[concatenado]],[2]!COMPROMISOS_2024[[#All],[Total pagado]],"",0)</f>
        <v>#NAME?</v>
      </c>
      <c r="AJ2124" s="56">
        <f>IF(PAA_4[[#This Row],[BOLSA]]=0,0,SUMIFS([2]!COMPROMISOS_2024[[#All],[Total pagado]],[2]!COMPROMISOS_2024[[#All],[Bolsa]],PAA_4[[#This Row],[BOLSA]],[2]!COMPROMISOS_2024[[#All],[rubro]],PAA_4[[#This Row],[RCP-RUBRO]]))</f>
        <v>0</v>
      </c>
      <c r="AK2124" s="47" t="e" cm="1">
        <f t="array" aca="1" ref="AK2124" ca="1">_xlfn.XLOOKUP(PAA_4[[#This Row],[RCP-RUBRO]],[2]!COMPROMISOS_2024[[#All],[concatenado]],[2]!COMPROMISOS_2024[[#All],[Total Comprometido]],"",0)</f>
        <v>#NAME?</v>
      </c>
      <c r="AL2124" s="47">
        <f>IF(PAA_4[[#This Row],[BOLSA]]=0,0,SUMIFS([2]!COMPROMISOS_2024[[#All],[Total Comprometido]],[2]!COMPROMISOS_2024[[#All],[Bolsa]],PAA_4[[#This Row],[BOLSA]],[2]!COMPROMISOS_2024[[#All],[concatenado]],PAA_4[[#This Row],[RCP-RUBRO]]))</f>
        <v>0</v>
      </c>
    </row>
    <row r="2125" spans="1:38" s="19" customFormat="1" ht="31.5" customHeight="1">
      <c r="A2125" s="47" t="s">
        <v>82</v>
      </c>
      <c r="B2125" s="47">
        <v>93141506</v>
      </c>
      <c r="C2125" s="47" t="str">
        <f>VLOOKUP(PAA_4[[#This Row],[PROYECTO (formulado)2]],[2]PROYECTOS!$G$1:$L$32,6,0)</f>
        <v>SUBGERENCIA DE FOMENTO Y DESARROLLO</v>
      </c>
      <c r="D2125" s="47" t="str">
        <f>+IF(PAA_4[[#This Row],[UNIDAD DE CONTRATACION (formulado)]]="Subgerencia Administrativa y Financiera","FUNCIONAMIENTO","INVERSIÓN")</f>
        <v>INVERSIÓN</v>
      </c>
      <c r="E2125" s="48" t="str">
        <f>VLOOKUP(Q2125,[2]PROYECTOS!$G$1:$K$32,5,0)</f>
        <v>FORTALECIMIENTO_DEL_DEPORTE_FORMATIVO_EN_LOS_MUNICIPIOS_DEL_DEPARTAMENTO_DE_ANTIOQUIA</v>
      </c>
      <c r="F2125" s="48">
        <f>VLOOKUP(E2125,[2]PROYECTOS!$K$1:$M$32,3,0)</f>
        <v>2020003050035</v>
      </c>
      <c r="G2125" s="49" t="s">
        <v>450</v>
      </c>
      <c r="H2125" s="49" t="str">
        <f>VLOOKUP(Q2125,[2]PROYECTOS!$V$1:$W$32,2,0)</f>
        <v>050056</v>
      </c>
      <c r="I2125" s="78">
        <v>0</v>
      </c>
      <c r="J2125" s="51" t="s">
        <v>420</v>
      </c>
      <c r="K2125" s="47" t="str">
        <f t="shared" ca="1" si="678"/>
        <v>CONTRATADO</v>
      </c>
      <c r="L2125" s="47" t="s">
        <v>42</v>
      </c>
      <c r="M2125" s="47" t="s">
        <v>42</v>
      </c>
      <c r="N2125" s="52" t="s">
        <v>419</v>
      </c>
      <c r="O2125" s="51" t="e">
        <f>VLOOKUP(N2125,[2]!RUBROS[#All],3,0)</f>
        <v>#REF!</v>
      </c>
      <c r="P2125" s="53" t="e">
        <f>VLOOKUP(N2125,[2]!RUBROS[#All],2,0)</f>
        <v>#REF!</v>
      </c>
      <c r="Q2125" s="47" t="str">
        <f t="shared" si="679"/>
        <v>53</v>
      </c>
      <c r="R2125" s="47" t="str">
        <f t="shared" si="680"/>
        <v>0-205617</v>
      </c>
      <c r="S2125" s="54" t="s">
        <v>2309</v>
      </c>
      <c r="T2125" s="63" t="s">
        <v>46</v>
      </c>
      <c r="U2125" s="326" t="e">
        <f ca="1">_xlfn.XLOOKUP(PAA_4[[#This Row],[ITEM]],[2]Contrato!A:A,[2]Contrato!Q:Q,"",0)</f>
        <v>#NAME?</v>
      </c>
      <c r="V2125" s="47" t="s">
        <v>95</v>
      </c>
      <c r="W2125" s="47" t="s">
        <v>154</v>
      </c>
      <c r="X2125" s="47" t="s">
        <v>154</v>
      </c>
      <c r="Y2125" s="55" t="e">
        <f ca="1">_xlfn.XLOOKUP(PAA_4[[#This Row],[ITEM]],[2]Contrato!A:A,[2]Contrato!B:B,"",0)</f>
        <v>#NAME?</v>
      </c>
      <c r="Z2125" s="47" t="e">
        <f ca="1">_xlfn.XLOOKUP(PAA_4[[#This Row],[ITEM]],[2]Contrato!A:A,[2]Contrato!G:G,"",0)</f>
        <v>#NAME?</v>
      </c>
      <c r="AA2125" s="47" t="e">
        <f ca="1">_xlfn.XLOOKUP(PAA_4[[#This Row],[ITEM]],[2]Contrato!A:A,[2]Contrato!T:T,"",0)</f>
        <v>#NAME?</v>
      </c>
      <c r="AB2125" s="55" t="e">
        <f ca="1">+MAX(PAA_4[[#This Row],[Comprometido Contrato]],PAA_4[[#This Row],[Comprometido Bolsa]])</f>
        <v>#NAME?</v>
      </c>
      <c r="AC2125" s="55" t="str">
        <f t="shared" ca="1" si="681"/>
        <v/>
      </c>
      <c r="AD2125" s="55" t="e">
        <f ca="1">IF(PAA_4[[#This Row],[ESTADO (formulado)]]="NO CONTRATADO",0,MAX(PAA_4[[#This Row],[Pago por Contrato]],PAA_4[[#This Row],[Pago por bolsa]]))</f>
        <v>#NAME?</v>
      </c>
      <c r="AE2125" s="55" t="str">
        <f t="shared" ca="1" si="682"/>
        <v/>
      </c>
      <c r="AF2125" s="47" t="e">
        <f t="shared" ca="1" si="683"/>
        <v>#NAME?</v>
      </c>
      <c r="AG2125" s="47">
        <f t="shared" si="684"/>
        <v>44021007</v>
      </c>
      <c r="AH2125" s="54">
        <f>IF(Q2125="22",IF(ISNUMBER(SEARCH("econ",PAA_4[[#This Row],[Actividad3]])),"Económico",IF(ISNUMBER(SEARCH("alim",PAA_4[[#This Row],[Actividad3]])),"Alimentación",IF(ISNUMBER(SEARCH("educ",PAA_4[[#This Row],[Actividad3]])),"Educativo","Técnico"))),0)</f>
        <v>0</v>
      </c>
      <c r="AI2125" s="47" t="e" cm="1">
        <f t="array" aca="1" ref="AI2125" ca="1">_xlfn.XLOOKUP(PAA_4[[#This Row],[RCP-RUBRO]],[2]!COMPROMISOS_2024[[#All],[concatenado]],[2]!COMPROMISOS_2024[[#All],[Total pagado]],"",0)</f>
        <v>#NAME?</v>
      </c>
      <c r="AJ2125" s="56">
        <f>IF(PAA_4[[#This Row],[BOLSA]]=0,0,SUMIFS([2]!COMPROMISOS_2024[[#All],[Total pagado]],[2]!COMPROMISOS_2024[[#All],[Bolsa]],PAA_4[[#This Row],[BOLSA]],[2]!COMPROMISOS_2024[[#All],[rubro]],PAA_4[[#This Row],[RCP-RUBRO]]))</f>
        <v>0</v>
      </c>
      <c r="AK2125" s="47" t="e" cm="1">
        <f t="array" aca="1" ref="AK2125" ca="1">_xlfn.XLOOKUP(PAA_4[[#This Row],[RCP-RUBRO]],[2]!COMPROMISOS_2024[[#All],[concatenado]],[2]!COMPROMISOS_2024[[#All],[Total Comprometido]],"",0)</f>
        <v>#NAME?</v>
      </c>
      <c r="AL2125" s="47">
        <f>IF(PAA_4[[#This Row],[BOLSA]]=0,0,SUMIFS([2]!COMPROMISOS_2024[[#All],[Total Comprometido]],[2]!COMPROMISOS_2024[[#All],[Bolsa]],PAA_4[[#This Row],[BOLSA]],[2]!COMPROMISOS_2024[[#All],[concatenado]],PAA_4[[#This Row],[RCP-RUBRO]]))</f>
        <v>0</v>
      </c>
    </row>
    <row r="2126" spans="1:38" s="19" customFormat="1" ht="31.5" customHeight="1">
      <c r="A2126" s="47" t="s">
        <v>82</v>
      </c>
      <c r="B2126" s="47" t="s">
        <v>42</v>
      </c>
      <c r="C2126" s="47" t="str">
        <f>VLOOKUP(PAA_4[[#This Row],[PROYECTO (formulado)2]],[2]PROYECTOS!$G$1:$L$32,6,0)</f>
        <v>SUBGERENCIA DE FOMENTO Y DESARROLLO</v>
      </c>
      <c r="D2126" s="47" t="str">
        <f>+IF(PAA_4[[#This Row],[UNIDAD DE CONTRATACION (formulado)]]="Subgerencia Administrativa y Financiera","FUNCIONAMIENTO","INVERSIÓN")</f>
        <v>INVERSIÓN</v>
      </c>
      <c r="E2126" s="48" t="str">
        <f>VLOOKUP(Q2126,[2]PROYECTOS!$G$1:$K$32,5,0)</f>
        <v>Fortalecimiento de los juegos deportivos institucionales en los municipios del departamento de Antioquia</v>
      </c>
      <c r="F2126" s="48">
        <f>VLOOKUP(E2126,[2]PROYECTOS!$K$1:$M$32,3,0)</f>
        <v>2024003050073</v>
      </c>
      <c r="G2126" s="49" t="s">
        <v>1353</v>
      </c>
      <c r="H2126" s="49" t="str">
        <f>VLOOKUP(Q2126,[2]PROYECTOS!$V$1:$W$32,2,0)</f>
        <v>050081</v>
      </c>
      <c r="I2126" s="78">
        <v>45046781</v>
      </c>
      <c r="J2126" s="51" t="s">
        <v>1872</v>
      </c>
      <c r="K2126" s="47" t="str">
        <f t="shared" ca="1" si="678"/>
        <v>CONTRATADO</v>
      </c>
      <c r="L2126" s="47" t="s">
        <v>42</v>
      </c>
      <c r="M2126" s="47" t="s">
        <v>42</v>
      </c>
      <c r="N2126" s="52" t="s">
        <v>2320</v>
      </c>
      <c r="O2126" s="51" t="e">
        <f>VLOOKUP(N2126,[2]!RUBROS[#All],3,0)</f>
        <v>#REF!</v>
      </c>
      <c r="P2126" s="53" t="e">
        <f>VLOOKUP(N2126,[2]!RUBROS[#All],2,0)</f>
        <v>#REF!</v>
      </c>
      <c r="Q2126" s="47" t="str">
        <f t="shared" si="679"/>
        <v>73</v>
      </c>
      <c r="R2126" s="47" t="str">
        <f t="shared" si="680"/>
        <v>0-101024</v>
      </c>
      <c r="S2126" s="54" t="s">
        <v>42</v>
      </c>
      <c r="T2126" s="329" t="s">
        <v>42</v>
      </c>
      <c r="U2126" s="326" t="e">
        <f ca="1">_xlfn.XLOOKUP(PAA_4[[#This Row],[ITEM]],[2]Contrato!A:A,[2]Contrato!Q:Q,"",0)</f>
        <v>#NAME?</v>
      </c>
      <c r="V2126" s="47" t="s">
        <v>42</v>
      </c>
      <c r="W2126" s="64" t="s">
        <v>42</v>
      </c>
      <c r="X2126" s="64" t="s">
        <v>42</v>
      </c>
      <c r="Y2126" s="55" t="e">
        <f ca="1">_xlfn.XLOOKUP(PAA_4[[#This Row],[ITEM]],[2]Contrato!A:A,[2]Contrato!B:B,"",0)</f>
        <v>#NAME?</v>
      </c>
      <c r="Z2126" s="47" t="e">
        <f ca="1">_xlfn.XLOOKUP(PAA_4[[#This Row],[ITEM]],[2]Contrato!A:A,[2]Contrato!G:G,"",0)</f>
        <v>#NAME?</v>
      </c>
      <c r="AA2126" s="47" t="e">
        <f ca="1">_xlfn.XLOOKUP(PAA_4[[#This Row],[ITEM]],[2]Contrato!A:A,[2]Contrato!T:T,"",0)</f>
        <v>#NAME?</v>
      </c>
      <c r="AB2126" s="55" t="e">
        <f ca="1">+MAX(PAA_4[[#This Row],[Comprometido Contrato]],PAA_4[[#This Row],[Comprometido Bolsa]])</f>
        <v>#NAME?</v>
      </c>
      <c r="AC2126" s="55" t="str">
        <f t="shared" ca="1" si="681"/>
        <v/>
      </c>
      <c r="AD2126" s="55" t="e">
        <f ca="1">IF(PAA_4[[#This Row],[ESTADO (formulado)]]="NO CONTRATADO",0,MAX(PAA_4[[#This Row],[Pago por Contrato]],PAA_4[[#This Row],[Pago por bolsa]]))</f>
        <v>#NAME?</v>
      </c>
      <c r="AE2126" s="55" t="str">
        <f t="shared" ca="1" si="682"/>
        <v/>
      </c>
      <c r="AF2126" s="47" t="e">
        <f t="shared" ca="1" si="683"/>
        <v>#NAME?</v>
      </c>
      <c r="AG2126" s="47">
        <f t="shared" si="684"/>
        <v>52010703</v>
      </c>
      <c r="AH2126" s="54">
        <f>IF(Q2126="22",IF(ISNUMBER(SEARCH("econ",PAA_4[[#This Row],[Actividad3]])),"Económico",IF(ISNUMBER(SEARCH("alim",PAA_4[[#This Row],[Actividad3]])),"Alimentación",IF(ISNUMBER(SEARCH("educ",PAA_4[[#This Row],[Actividad3]])),"Educativo","Técnico"))),0)</f>
        <v>0</v>
      </c>
      <c r="AI2126" s="47" t="e" cm="1">
        <f t="array" aca="1" ref="AI2126" ca="1">_xlfn.XLOOKUP(PAA_4[[#This Row],[RCP-RUBRO]],[2]!COMPROMISOS_2024[[#All],[concatenado]],[2]!COMPROMISOS_2024[[#All],[Total pagado]],"",0)</f>
        <v>#NAME?</v>
      </c>
      <c r="AJ2126" s="56">
        <f>IF(PAA_4[[#This Row],[BOLSA]]=0,0,SUMIFS([2]!COMPROMISOS_2024[[#All],[Total pagado]],[2]!COMPROMISOS_2024[[#All],[Bolsa]],PAA_4[[#This Row],[BOLSA]],[2]!COMPROMISOS_2024[[#All],[rubro]],PAA_4[[#This Row],[RCP-RUBRO]]))</f>
        <v>0</v>
      </c>
      <c r="AK2126" s="47" t="e" cm="1">
        <f t="array" aca="1" ref="AK2126" ca="1">_xlfn.XLOOKUP(PAA_4[[#This Row],[RCP-RUBRO]],[2]!COMPROMISOS_2024[[#All],[concatenado]],[2]!COMPROMISOS_2024[[#All],[Total Comprometido]],"",0)</f>
        <v>#NAME?</v>
      </c>
      <c r="AL2126" s="47">
        <f>IF(PAA_4[[#This Row],[BOLSA]]=0,0,SUMIFS([2]!COMPROMISOS_2024[[#All],[Total Comprometido]],[2]!COMPROMISOS_2024[[#All],[Bolsa]],PAA_4[[#This Row],[BOLSA]],[2]!COMPROMISOS_2024[[#All],[concatenado]],PAA_4[[#This Row],[RCP-RUBRO]]))</f>
        <v>0</v>
      </c>
    </row>
    <row r="2127" spans="1:38" s="19" customFormat="1" ht="31.5" customHeight="1">
      <c r="A2127" s="47">
        <v>1214</v>
      </c>
      <c r="B2127" s="47" t="s">
        <v>393</v>
      </c>
      <c r="C2127" s="47" t="str">
        <f>VLOOKUP(PAA_4[[#This Row],[PROYECTO (formulado)2]],[2]PROYECTOS!$G$1:$L$32,6,0)</f>
        <v>SUBGERENCIA DE FOMENTO Y DESARROLLO</v>
      </c>
      <c r="D2127" s="47" t="str">
        <f>+IF(PAA_4[[#This Row],[UNIDAD DE CONTRATACION (formulado)]]="Subgerencia Administrativa y Financiera","FUNCIONAMIENTO","INVERSIÓN")</f>
        <v>INVERSIÓN</v>
      </c>
      <c r="E2127" s="48" t="str">
        <f>VLOOKUP(Q2127,[2]PROYECTOS!$G$1:$K$32,5,0)</f>
        <v>Fortalecimiento de los juegos deportivos institucionales en los municipios del departamento de Antioquia</v>
      </c>
      <c r="F2127" s="48">
        <f>VLOOKUP(E2127,[2]PROYECTOS!$K$1:$M$32,3,0)</f>
        <v>2024003050073</v>
      </c>
      <c r="G2127" s="49" t="s">
        <v>1353</v>
      </c>
      <c r="H2127" s="49" t="str">
        <f>VLOOKUP(Q2127,[2]PROYECTOS!$V$1:$W$32,2,0)</f>
        <v>050081</v>
      </c>
      <c r="I2127" s="78">
        <f>438814288-45046781</f>
        <v>393767507</v>
      </c>
      <c r="J2127" s="51" t="s">
        <v>2321</v>
      </c>
      <c r="K2127" s="47" t="str">
        <f t="shared" ca="1" si="678"/>
        <v>CONTRATADO</v>
      </c>
      <c r="L2127" s="47" t="s">
        <v>94</v>
      </c>
      <c r="M2127" s="47" t="s">
        <v>255</v>
      </c>
      <c r="N2127" s="52" t="s">
        <v>2320</v>
      </c>
      <c r="O2127" s="51" t="e">
        <f>VLOOKUP(N2127,[2]!RUBROS[#All],3,0)</f>
        <v>#REF!</v>
      </c>
      <c r="P2127" s="53" t="e">
        <f>VLOOKUP(N2127,[2]!RUBROS[#All],2,0)</f>
        <v>#REF!</v>
      </c>
      <c r="Q2127" s="47" t="str">
        <f t="shared" si="679"/>
        <v>73</v>
      </c>
      <c r="R2127" s="47" t="str">
        <f t="shared" si="680"/>
        <v>0-101024</v>
      </c>
      <c r="S2127" s="54">
        <v>3</v>
      </c>
      <c r="T2127" s="59" t="s">
        <v>46</v>
      </c>
      <c r="U2127" s="326" t="e">
        <f ca="1">_xlfn.XLOOKUP(PAA_4[[#This Row],[ITEM]],[2]Contrato!A:A,[2]Contrato!Q:Q,"",0)</f>
        <v>#NAME?</v>
      </c>
      <c r="V2127" s="47" t="s">
        <v>95</v>
      </c>
      <c r="W2127" s="47" t="s">
        <v>204</v>
      </c>
      <c r="X2127" s="47" t="s">
        <v>204</v>
      </c>
      <c r="Y2127" s="55" t="e">
        <f ca="1">_xlfn.XLOOKUP(PAA_4[[#This Row],[ITEM]],[2]Contrato!A:A,[2]Contrato!B:B,"",0)</f>
        <v>#NAME?</v>
      </c>
      <c r="Z2127" s="47" t="e">
        <f ca="1">_xlfn.XLOOKUP(PAA_4[[#This Row],[ITEM]],[2]Contrato!A:A,[2]Contrato!G:G,"",0)</f>
        <v>#NAME?</v>
      </c>
      <c r="AA2127" s="47" t="e">
        <f ca="1">_xlfn.XLOOKUP(PAA_4[[#This Row],[ITEM]],[2]Contrato!A:A,[2]Contrato!T:T,"",0)</f>
        <v>#NAME?</v>
      </c>
      <c r="AB2127" s="55" t="e">
        <f ca="1">+MAX(PAA_4[[#This Row],[Comprometido Contrato]],PAA_4[[#This Row],[Comprometido Bolsa]])</f>
        <v>#NAME?</v>
      </c>
      <c r="AC2127" s="55" t="str">
        <f t="shared" ca="1" si="681"/>
        <v/>
      </c>
      <c r="AD2127" s="55" t="e">
        <f ca="1">IF(PAA_4[[#This Row],[ESTADO (formulado)]]="NO CONTRATADO",0,MAX(PAA_4[[#This Row],[Pago por Contrato]],PAA_4[[#This Row],[Pago por bolsa]]))</f>
        <v>#NAME?</v>
      </c>
      <c r="AE2127" s="55" t="str">
        <f t="shared" ca="1" si="682"/>
        <v/>
      </c>
      <c r="AF2127" s="47" t="e">
        <f t="shared" ca="1" si="683"/>
        <v>#NAME?</v>
      </c>
      <c r="AG2127" s="47">
        <f t="shared" si="684"/>
        <v>52010703</v>
      </c>
      <c r="AH2127" s="54">
        <f>IF(Q2127="22",IF(ISNUMBER(SEARCH("econ",PAA_4[[#This Row],[Actividad3]])),"Económico",IF(ISNUMBER(SEARCH("alim",PAA_4[[#This Row],[Actividad3]])),"Alimentación",IF(ISNUMBER(SEARCH("educ",PAA_4[[#This Row],[Actividad3]])),"Educativo","Técnico"))),0)</f>
        <v>0</v>
      </c>
      <c r="AI2127" s="47" t="e" cm="1">
        <f t="array" aca="1" ref="AI2127" ca="1">_xlfn.XLOOKUP(PAA_4[[#This Row],[RCP-RUBRO]],[2]!COMPROMISOS_2024[[#All],[concatenado]],[2]!COMPROMISOS_2024[[#All],[Total pagado]],"",0)</f>
        <v>#NAME?</v>
      </c>
      <c r="AJ2127" s="56">
        <f>IF(PAA_4[[#This Row],[BOLSA]]=0,0,SUMIFS([2]!COMPROMISOS_2024[[#All],[Total pagado]],[2]!COMPROMISOS_2024[[#All],[Bolsa]],PAA_4[[#This Row],[BOLSA]],[2]!COMPROMISOS_2024[[#All],[rubro]],PAA_4[[#This Row],[RCP-RUBRO]]))</f>
        <v>0</v>
      </c>
      <c r="AK2127" s="47" t="e" cm="1">
        <f t="array" aca="1" ref="AK2127" ca="1">_xlfn.XLOOKUP(PAA_4[[#This Row],[RCP-RUBRO]],[2]!COMPROMISOS_2024[[#All],[concatenado]],[2]!COMPROMISOS_2024[[#All],[Total Comprometido]],"",0)</f>
        <v>#NAME?</v>
      </c>
      <c r="AL2127" s="47">
        <f>IF(PAA_4[[#This Row],[BOLSA]]=0,0,SUMIFS([2]!COMPROMISOS_2024[[#All],[Total Comprometido]],[2]!COMPROMISOS_2024[[#All],[Bolsa]],PAA_4[[#This Row],[BOLSA]],[2]!COMPROMISOS_2024[[#All],[concatenado]],PAA_4[[#This Row],[RCP-RUBRO]]))</f>
        <v>0</v>
      </c>
    </row>
    <row r="2128" spans="1:38" s="19" customFormat="1" ht="31.5" customHeight="1">
      <c r="A2128" s="47" t="s">
        <v>82</v>
      </c>
      <c r="B2128" s="47" t="s">
        <v>42</v>
      </c>
      <c r="C2128" s="47" t="str">
        <f>VLOOKUP(PAA_4[[#This Row],[PROYECTO (formulado)2]],[2]PROYECTOS!$G$1:$L$32,6,0)</f>
        <v>SUBGERENCIA DE FOMENTO Y DESARROLLO</v>
      </c>
      <c r="D2128" s="47" t="str">
        <f>+IF(PAA_4[[#This Row],[UNIDAD DE CONTRATACION (formulado)]]="Subgerencia Administrativa y Financiera","FUNCIONAMIENTO","INVERSIÓN")</f>
        <v>INVERSIÓN</v>
      </c>
      <c r="E2128" s="48" t="str">
        <f>VLOOKUP(Q2128,[2]PROYECTOS!$G$1:$K$32,5,0)</f>
        <v>Fortalecimiento de los juegos deportivos institucionales en los municipios del departamento de Antioquia</v>
      </c>
      <c r="F2128" s="48">
        <f>VLOOKUP(E2128,[2]PROYECTOS!$K$1:$M$32,3,0)</f>
        <v>2024003050073</v>
      </c>
      <c r="G2128" s="49" t="s">
        <v>1353</v>
      </c>
      <c r="H2128" s="49" t="str">
        <f>VLOOKUP(Q2128,[2]PROYECTOS!$V$1:$W$32,2,0)</f>
        <v>050081</v>
      </c>
      <c r="I2128" s="78">
        <v>35940955</v>
      </c>
      <c r="J2128" s="51" t="s">
        <v>1354</v>
      </c>
      <c r="K2128" s="47" t="str">
        <f ca="1">IF(ISNONTEXT(Y2128)=TRUE,"CONTRATADO","NO CONTRATADO")</f>
        <v>CONTRATADO</v>
      </c>
      <c r="L2128" s="47" t="s">
        <v>42</v>
      </c>
      <c r="M2128" s="47" t="s">
        <v>42</v>
      </c>
      <c r="N2128" s="52" t="s">
        <v>1366</v>
      </c>
      <c r="O2128" s="51" t="e">
        <f>VLOOKUP(N2128,[2]!RUBROS[#All],3,0)</f>
        <v>#REF!</v>
      </c>
      <c r="P2128" s="53" t="e">
        <f>VLOOKUP(N2128,[2]!RUBROS[#All],2,0)</f>
        <v>#REF!</v>
      </c>
      <c r="Q2128" s="47" t="str">
        <f>+MID(N2128,11,2)</f>
        <v>73</v>
      </c>
      <c r="R2128" s="47" t="str">
        <f t="shared" si="680"/>
        <v>0-205128</v>
      </c>
      <c r="S2128" s="54" t="s">
        <v>42</v>
      </c>
      <c r="T2128" s="63" t="s">
        <v>42</v>
      </c>
      <c r="U2128" s="326" t="e">
        <f ca="1">_xlfn.XLOOKUP(PAA_4[[#This Row],[ITEM]],[2]Contrato!A:A,[2]Contrato!Q:Q,"",0)</f>
        <v>#NAME?</v>
      </c>
      <c r="V2128" s="47" t="s">
        <v>95</v>
      </c>
      <c r="W2128" s="47" t="s">
        <v>42</v>
      </c>
      <c r="X2128" s="47" t="s">
        <v>42</v>
      </c>
      <c r="Y2128" s="55" t="e">
        <f ca="1">_xlfn.XLOOKUP(PAA_4[[#This Row],[ITEM]],[2]Contrato!A:A,[2]Contrato!B:B,"",0)</f>
        <v>#NAME?</v>
      </c>
      <c r="Z2128" s="47" t="e">
        <f ca="1">_xlfn.XLOOKUP(PAA_4[[#This Row],[ITEM]],[2]Contrato!A:A,[2]Contrato!G:G,"",0)</f>
        <v>#NAME?</v>
      </c>
      <c r="AA2128" s="47" t="e">
        <f ca="1">_xlfn.XLOOKUP(PAA_4[[#This Row],[ITEM]],[2]Contrato!A:A,[2]Contrato!T:T,"",0)</f>
        <v>#NAME?</v>
      </c>
      <c r="AB2128" s="55" t="e">
        <f ca="1">+MAX(PAA_4[[#This Row],[Comprometido Contrato]],PAA_4[[#This Row],[Comprometido Bolsa]])</f>
        <v>#NAME?</v>
      </c>
      <c r="AC2128" s="55" t="str">
        <f ca="1">IFERROR(I2128-AB2128,"")</f>
        <v/>
      </c>
      <c r="AD2128" s="55" t="e">
        <f ca="1">IF(PAA_4[[#This Row],[ESTADO (formulado)]]="NO CONTRATADO",0,MAX(PAA_4[[#This Row],[Pago por Contrato]],PAA_4[[#This Row],[Pago por bolsa]]))</f>
        <v>#NAME?</v>
      </c>
      <c r="AE2128" s="55" t="str">
        <f ca="1">+IFERROR(AB2128-AD2128,"")</f>
        <v/>
      </c>
      <c r="AF2128" s="47" t="e">
        <f ca="1">+CONCATENATE(AA2128,N2128)</f>
        <v>#NAME?</v>
      </c>
      <c r="AG2128" s="47">
        <f>IFERROR(_xlfn.NUMBERVALUE(MID(G2128,1,8)),"")</f>
        <v>52010703</v>
      </c>
      <c r="AH2128" s="54">
        <f>IF(Q2128="22",IF(ISNUMBER(SEARCH("econ",PAA_4[[#This Row],[Actividad3]])),"Económico",IF(ISNUMBER(SEARCH("alim",PAA_4[[#This Row],[Actividad3]])),"Alimentación",IF(ISNUMBER(SEARCH("educ",PAA_4[[#This Row],[Actividad3]])),"Educativo","Técnico"))),0)</f>
        <v>0</v>
      </c>
      <c r="AI2128" s="47" t="e" cm="1">
        <f t="array" aca="1" ref="AI2128" ca="1">_xlfn.XLOOKUP(PAA_4[[#This Row],[RCP-RUBRO]],[2]!COMPROMISOS_2024[[#All],[concatenado]],[2]!COMPROMISOS_2024[[#All],[Total pagado]],"",0)</f>
        <v>#NAME?</v>
      </c>
      <c r="AJ2128" s="56">
        <f>IF(PAA_4[[#This Row],[BOLSA]]=0,0,SUMIFS([2]!COMPROMISOS_2024[[#All],[Total pagado]],[2]!COMPROMISOS_2024[[#All],[Bolsa]],PAA_4[[#This Row],[BOLSA]],[2]!COMPROMISOS_2024[[#All],[rubro]],PAA_4[[#This Row],[RCP-RUBRO]]))</f>
        <v>0</v>
      </c>
      <c r="AK2128" s="47" t="e" cm="1">
        <f t="array" aca="1" ref="AK2128" ca="1">_xlfn.XLOOKUP(PAA_4[[#This Row],[RCP-RUBRO]],[2]!COMPROMISOS_2024[[#All],[concatenado]],[2]!COMPROMISOS_2024[[#All],[Total Comprometido]],"",0)</f>
        <v>#NAME?</v>
      </c>
      <c r="AL2128" s="47">
        <f>IF(PAA_4[[#This Row],[BOLSA]]=0,0,SUMIFS([2]!COMPROMISOS_2024[[#All],[Total Comprometido]],[2]!COMPROMISOS_2024[[#All],[Bolsa]],PAA_4[[#This Row],[BOLSA]],[2]!COMPROMISOS_2024[[#All],[concatenado]],PAA_4[[#This Row],[RCP-RUBRO]]))</f>
        <v>0</v>
      </c>
    </row>
    <row r="2129" spans="1:38" s="19" customFormat="1" ht="31.5" customHeight="1">
      <c r="A2129" s="47">
        <v>1215</v>
      </c>
      <c r="B2129" s="51" t="s">
        <v>393</v>
      </c>
      <c r="C2129" s="47" t="str">
        <f>VLOOKUP(PAA_4[[#This Row],[PROYECTO (formulado)2]],[2]PROYECTOS!$G$1:$L$32,6,0)</f>
        <v>SUBGERENCIA DE FOMENTO Y DESARROLLO</v>
      </c>
      <c r="D2129" s="47" t="str">
        <f>+IF(PAA_4[[#This Row],[UNIDAD DE CONTRATACION (formulado)]]="Subgerencia Administrativa y Financiera","FUNCIONAMIENTO","INVERSIÓN")</f>
        <v>INVERSIÓN</v>
      </c>
      <c r="E2129" s="48" t="str">
        <f>VLOOKUP(Q2129,[2]PROYECTOS!$G$1:$K$32,5,0)</f>
        <v>Fortalecimiento de los juegos deportivos institucionales en los municipios del departamento de Antioquia</v>
      </c>
      <c r="F2129" s="48">
        <f>VLOOKUP(E2129,[2]PROYECTOS!$K$1:$M$32,3,0)</f>
        <v>2024003050073</v>
      </c>
      <c r="G2129" s="49" t="s">
        <v>1353</v>
      </c>
      <c r="H2129" s="49" t="str">
        <f>VLOOKUP(Q2129,[2]PROYECTOS!$V$1:$W$32,2,0)</f>
        <v>050081</v>
      </c>
      <c r="I2129" s="78">
        <f>185752289-35940955</f>
        <v>149811334</v>
      </c>
      <c r="J2129" s="51" t="s">
        <v>2322</v>
      </c>
      <c r="K2129" s="47" t="str">
        <f t="shared" ref="K2129:K2131" ca="1" si="685">IF(ISNONTEXT(Y2129)=TRUE,"CONTRATADO","NO CONTRATADO")</f>
        <v>CONTRATADO</v>
      </c>
      <c r="L2129" s="47" t="s">
        <v>94</v>
      </c>
      <c r="M2129" s="47" t="s">
        <v>255</v>
      </c>
      <c r="N2129" s="52" t="s">
        <v>1366</v>
      </c>
      <c r="O2129" s="51" t="e">
        <f>VLOOKUP(N2129,[2]!RUBROS[#All],3,0)</f>
        <v>#REF!</v>
      </c>
      <c r="P2129" s="53" t="e">
        <f>VLOOKUP(N2129,[2]!RUBROS[#All],2,0)</f>
        <v>#REF!</v>
      </c>
      <c r="Q2129" s="47" t="str">
        <f t="shared" ref="Q2129:Q2131" si="686">+MID(N2129,11,2)</f>
        <v>73</v>
      </c>
      <c r="R2129" s="47" t="str">
        <f t="shared" si="680"/>
        <v>0-205128</v>
      </c>
      <c r="S2129" s="54">
        <v>3</v>
      </c>
      <c r="T2129" s="59" t="s">
        <v>46</v>
      </c>
      <c r="U2129" s="326" t="e">
        <f ca="1">_xlfn.XLOOKUP(PAA_4[[#This Row],[ITEM]],[2]Contrato!A:A,[2]Contrato!Q:Q,"",0)</f>
        <v>#NAME?</v>
      </c>
      <c r="V2129" s="47" t="s">
        <v>95</v>
      </c>
      <c r="W2129" s="47" t="s">
        <v>204</v>
      </c>
      <c r="X2129" s="47" t="s">
        <v>204</v>
      </c>
      <c r="Y2129" s="55" t="e">
        <f ca="1">_xlfn.XLOOKUP(PAA_4[[#This Row],[ITEM]],[2]Contrato!A:A,[2]Contrato!B:B,"",0)</f>
        <v>#NAME?</v>
      </c>
      <c r="Z2129" s="47" t="e">
        <f ca="1">_xlfn.XLOOKUP(PAA_4[[#This Row],[ITEM]],[2]Contrato!A:A,[2]Contrato!G:G,"",0)</f>
        <v>#NAME?</v>
      </c>
      <c r="AA2129" s="47" t="e">
        <f ca="1">_xlfn.XLOOKUP(PAA_4[[#This Row],[ITEM]],[2]Contrato!A:A,[2]Contrato!T:T,"",0)</f>
        <v>#NAME?</v>
      </c>
      <c r="AB2129" s="55" t="e">
        <f ca="1">+MAX(PAA_4[[#This Row],[Comprometido Contrato]],PAA_4[[#This Row],[Comprometido Bolsa]])</f>
        <v>#NAME?</v>
      </c>
      <c r="AC2129" s="55" t="str">
        <f t="shared" ref="AC2129:AC2131" ca="1" si="687">IFERROR(I2129-AB2129,"")</f>
        <v/>
      </c>
      <c r="AD2129" s="55" t="e">
        <f ca="1">IF(PAA_4[[#This Row],[ESTADO (formulado)]]="NO CONTRATADO",0,MAX(PAA_4[[#This Row],[Pago por Contrato]],PAA_4[[#This Row],[Pago por bolsa]]))</f>
        <v>#NAME?</v>
      </c>
      <c r="AE2129" s="55" t="str">
        <f t="shared" ref="AE2129:AE2131" ca="1" si="688">+IFERROR(AB2129-AD2129,"")</f>
        <v/>
      </c>
      <c r="AF2129" s="47" t="e">
        <f t="shared" ref="AF2129:AF2131" ca="1" si="689">+CONCATENATE(AA2129,N2129)</f>
        <v>#NAME?</v>
      </c>
      <c r="AG2129" s="47">
        <f t="shared" ref="AG2129:AG2131" si="690">IFERROR(_xlfn.NUMBERVALUE(MID(G2129,1,8)),"")</f>
        <v>52010703</v>
      </c>
      <c r="AH2129" s="54">
        <f>IF(Q2129="22",IF(ISNUMBER(SEARCH("econ",PAA_4[[#This Row],[Actividad3]])),"Económico",IF(ISNUMBER(SEARCH("alim",PAA_4[[#This Row],[Actividad3]])),"Alimentación",IF(ISNUMBER(SEARCH("educ",PAA_4[[#This Row],[Actividad3]])),"Educativo","Técnico"))),0)</f>
        <v>0</v>
      </c>
      <c r="AI2129" s="47" t="e" cm="1">
        <f t="array" aca="1" ref="AI2129" ca="1">_xlfn.XLOOKUP(PAA_4[[#This Row],[RCP-RUBRO]],[2]!COMPROMISOS_2024[[#All],[concatenado]],[2]!COMPROMISOS_2024[[#All],[Total pagado]],"",0)</f>
        <v>#NAME?</v>
      </c>
      <c r="AJ2129" s="56">
        <f>IF(PAA_4[[#This Row],[BOLSA]]=0,0,SUMIFS([2]!COMPROMISOS_2024[[#All],[Total pagado]],[2]!COMPROMISOS_2024[[#All],[Bolsa]],PAA_4[[#This Row],[BOLSA]],[2]!COMPROMISOS_2024[[#All],[rubro]],PAA_4[[#This Row],[RCP-RUBRO]]))</f>
        <v>0</v>
      </c>
      <c r="AK2129" s="47" t="e" cm="1">
        <f t="array" aca="1" ref="AK2129" ca="1">_xlfn.XLOOKUP(PAA_4[[#This Row],[RCP-RUBRO]],[2]!COMPROMISOS_2024[[#All],[concatenado]],[2]!COMPROMISOS_2024[[#All],[Total Comprometido]],"",0)</f>
        <v>#NAME?</v>
      </c>
      <c r="AL2129" s="47">
        <f>IF(PAA_4[[#This Row],[BOLSA]]=0,0,SUMIFS([2]!COMPROMISOS_2024[[#All],[Total Comprometido]],[2]!COMPROMISOS_2024[[#All],[Bolsa]],PAA_4[[#This Row],[BOLSA]],[2]!COMPROMISOS_2024[[#All],[concatenado]],PAA_4[[#This Row],[RCP-RUBRO]]))</f>
        <v>0</v>
      </c>
    </row>
    <row r="2130" spans="1:38" s="19" customFormat="1" ht="31.5" customHeight="1">
      <c r="A2130" s="47">
        <v>1215</v>
      </c>
      <c r="B2130" s="47" t="s">
        <v>393</v>
      </c>
      <c r="C2130" s="47" t="str">
        <f>VLOOKUP(PAA_4[[#This Row],[PROYECTO (formulado)2]],[2]PROYECTOS!$G$1:$L$32,6,0)</f>
        <v>SUBGERENCIA DE FOMENTO Y DESARROLLO</v>
      </c>
      <c r="D2130" s="47" t="str">
        <f>+IF(PAA_4[[#This Row],[UNIDAD DE CONTRATACION (formulado)]]="Subgerencia Administrativa y Financiera","FUNCIONAMIENTO","INVERSIÓN")</f>
        <v>INVERSIÓN</v>
      </c>
      <c r="E2130" s="48" t="str">
        <f>VLOOKUP(Q2130,[2]PROYECTOS!$G$1:$K$32,5,0)</f>
        <v>Fortalecimiento de los juegos deportivos institucionales en los municipios del departamento de Antioquia</v>
      </c>
      <c r="F2130" s="48">
        <f>VLOOKUP(E2130,[2]PROYECTOS!$K$1:$M$32,3,0)</f>
        <v>2024003050073</v>
      </c>
      <c r="G2130" s="49" t="s">
        <v>1353</v>
      </c>
      <c r="H2130" s="49" t="str">
        <f>VLOOKUP(Q2130,[2]PROYECTOS!$V$1:$W$32,2,0)</f>
        <v>050081</v>
      </c>
      <c r="I2130" s="78">
        <v>231185712</v>
      </c>
      <c r="J2130" s="51" t="s">
        <v>2322</v>
      </c>
      <c r="K2130" s="47" t="str">
        <f t="shared" ca="1" si="685"/>
        <v>CONTRATADO</v>
      </c>
      <c r="L2130" s="47" t="s">
        <v>94</v>
      </c>
      <c r="M2130" s="47" t="s">
        <v>255</v>
      </c>
      <c r="N2130" s="52" t="s">
        <v>2320</v>
      </c>
      <c r="O2130" s="51" t="e">
        <f>VLOOKUP(N2130,[2]!RUBROS[#All],3,0)</f>
        <v>#REF!</v>
      </c>
      <c r="P2130" s="53" t="e">
        <f>VLOOKUP(N2130,[2]!RUBROS[#All],2,0)</f>
        <v>#REF!</v>
      </c>
      <c r="Q2130" s="47" t="str">
        <f t="shared" si="686"/>
        <v>73</v>
      </c>
      <c r="R2130" s="47" t="str">
        <f t="shared" si="680"/>
        <v>0-101024</v>
      </c>
      <c r="S2130" s="54">
        <v>3</v>
      </c>
      <c r="T2130" s="59" t="s">
        <v>46</v>
      </c>
      <c r="U2130" s="326" t="e">
        <f ca="1">_xlfn.XLOOKUP(PAA_4[[#This Row],[ITEM]],[2]Contrato!A:A,[2]Contrato!Q:Q,"",0)</f>
        <v>#NAME?</v>
      </c>
      <c r="V2130" s="47" t="s">
        <v>95</v>
      </c>
      <c r="W2130" s="47" t="s">
        <v>204</v>
      </c>
      <c r="X2130" s="47" t="s">
        <v>204</v>
      </c>
      <c r="Y2130" s="55" t="e">
        <f ca="1">_xlfn.XLOOKUP(PAA_4[[#This Row],[ITEM]],[2]Contrato!A:A,[2]Contrato!B:B,"",0)</f>
        <v>#NAME?</v>
      </c>
      <c r="Z2130" s="47" t="e">
        <f ca="1">_xlfn.XLOOKUP(PAA_4[[#This Row],[ITEM]],[2]Contrato!A:A,[2]Contrato!G:G,"",0)</f>
        <v>#NAME?</v>
      </c>
      <c r="AA2130" s="47" t="e">
        <f ca="1">_xlfn.XLOOKUP(PAA_4[[#This Row],[ITEM]],[2]Contrato!A:A,[2]Contrato!T:T,"",0)</f>
        <v>#NAME?</v>
      </c>
      <c r="AB2130" s="55" t="e">
        <f ca="1">+MAX(PAA_4[[#This Row],[Comprometido Contrato]],PAA_4[[#This Row],[Comprometido Bolsa]])</f>
        <v>#NAME?</v>
      </c>
      <c r="AC2130" s="55" t="str">
        <f t="shared" ca="1" si="687"/>
        <v/>
      </c>
      <c r="AD2130" s="55" t="e">
        <f ca="1">IF(PAA_4[[#This Row],[ESTADO (formulado)]]="NO CONTRATADO",0,MAX(PAA_4[[#This Row],[Pago por Contrato]],PAA_4[[#This Row],[Pago por bolsa]]))</f>
        <v>#NAME?</v>
      </c>
      <c r="AE2130" s="55" t="str">
        <f t="shared" ca="1" si="688"/>
        <v/>
      </c>
      <c r="AF2130" s="47" t="e">
        <f t="shared" ca="1" si="689"/>
        <v>#NAME?</v>
      </c>
      <c r="AG2130" s="47">
        <f t="shared" si="690"/>
        <v>52010703</v>
      </c>
      <c r="AH2130" s="54">
        <f>IF(Q2130="22",IF(ISNUMBER(SEARCH("econ",PAA_4[[#This Row],[Actividad3]])),"Económico",IF(ISNUMBER(SEARCH("alim",PAA_4[[#This Row],[Actividad3]])),"Alimentación",IF(ISNUMBER(SEARCH("educ",PAA_4[[#This Row],[Actividad3]])),"Educativo","Técnico"))),0)</f>
        <v>0</v>
      </c>
      <c r="AI2130" s="47" t="e" cm="1">
        <f t="array" aca="1" ref="AI2130" ca="1">_xlfn.XLOOKUP(PAA_4[[#This Row],[RCP-RUBRO]],[2]!COMPROMISOS_2024[[#All],[concatenado]],[2]!COMPROMISOS_2024[[#All],[Total pagado]],"",0)</f>
        <v>#NAME?</v>
      </c>
      <c r="AJ2130" s="56">
        <f>IF(PAA_4[[#This Row],[BOLSA]]=0,0,SUMIFS([2]!COMPROMISOS_2024[[#All],[Total pagado]],[2]!COMPROMISOS_2024[[#All],[Bolsa]],PAA_4[[#This Row],[BOLSA]],[2]!COMPROMISOS_2024[[#All],[rubro]],PAA_4[[#This Row],[RCP-RUBRO]]))</f>
        <v>0</v>
      </c>
      <c r="AK2130" s="47" t="e" cm="1">
        <f t="array" aca="1" ref="AK2130" ca="1">_xlfn.XLOOKUP(PAA_4[[#This Row],[RCP-RUBRO]],[2]!COMPROMISOS_2024[[#All],[concatenado]],[2]!COMPROMISOS_2024[[#All],[Total Comprometido]],"",0)</f>
        <v>#NAME?</v>
      </c>
      <c r="AL2130" s="47">
        <f>IF(PAA_4[[#This Row],[BOLSA]]=0,0,SUMIFS([2]!COMPROMISOS_2024[[#All],[Total Comprometido]],[2]!COMPROMISOS_2024[[#All],[Bolsa]],PAA_4[[#This Row],[BOLSA]],[2]!COMPROMISOS_2024[[#All],[concatenado]],PAA_4[[#This Row],[RCP-RUBRO]]))</f>
        <v>0</v>
      </c>
    </row>
    <row r="2131" spans="1:38" s="19" customFormat="1" ht="31.5" customHeight="1">
      <c r="A2131" s="47">
        <v>1040</v>
      </c>
      <c r="B2131" s="47">
        <v>80141607</v>
      </c>
      <c r="C2131" s="47" t="str">
        <f>VLOOKUP(PAA_4[[#This Row],[PROYECTO (formulado)2]],[2]PROYECTOS!$G$1:$L$32,6,0)</f>
        <v>SUBGERENCIA DE FOMENTO Y DESARROLLO</v>
      </c>
      <c r="D2131" s="47" t="str">
        <f>+IF(PAA_4[[#This Row],[UNIDAD DE CONTRATACION (formulado)]]="Subgerencia Administrativa y Financiera","FUNCIONAMIENTO","INVERSIÓN")</f>
        <v>INVERSIÓN</v>
      </c>
      <c r="E2131" s="48" t="str">
        <f>VLOOKUP(Q2131,[2]PROYECTOS!$G$1:$K$32,5,0)</f>
        <v>Fortalecimiento de los juegos deportivos institucionales en los municipios del departamento de Antioquia</v>
      </c>
      <c r="F2131" s="48">
        <f>VLOOKUP(E2131,[2]PROYECTOS!$K$1:$M$32,3,0)</f>
        <v>2024003050073</v>
      </c>
      <c r="G2131" s="49" t="s">
        <v>1353</v>
      </c>
      <c r="H2131" s="49" t="str">
        <f>VLOOKUP(Q2131,[2]PROYECTOS!$V$1:$W$32,2,0)</f>
        <v>050081</v>
      </c>
      <c r="I2131" s="78">
        <v>0</v>
      </c>
      <c r="J2131" s="51" t="s">
        <v>452</v>
      </c>
      <c r="K2131" s="47" t="str">
        <f t="shared" ca="1" si="685"/>
        <v>CONTRATADO</v>
      </c>
      <c r="L2131" s="47" t="s">
        <v>94</v>
      </c>
      <c r="M2131" s="47" t="s">
        <v>42</v>
      </c>
      <c r="N2131" s="52" t="s">
        <v>1366</v>
      </c>
      <c r="O2131" s="51" t="e">
        <f>VLOOKUP(N2131,[2]!RUBROS[#All],3,0)</f>
        <v>#REF!</v>
      </c>
      <c r="P2131" s="53" t="e">
        <f>VLOOKUP(N2131,[2]!RUBROS[#All],2,0)</f>
        <v>#REF!</v>
      </c>
      <c r="Q2131" s="47" t="str">
        <f t="shared" si="686"/>
        <v>73</v>
      </c>
      <c r="R2131" s="47" t="str">
        <f t="shared" si="680"/>
        <v>0-205128</v>
      </c>
      <c r="S2131" s="54">
        <v>4.5</v>
      </c>
      <c r="T2131" s="59" t="s">
        <v>46</v>
      </c>
      <c r="U2131" s="326" t="e">
        <f ca="1">_xlfn.XLOOKUP(PAA_4[[#This Row],[ITEM]],[2]Contrato!A:A,[2]Contrato!Q:Q,"",0)</f>
        <v>#NAME?</v>
      </c>
      <c r="V2131" s="47" t="s">
        <v>95</v>
      </c>
      <c r="W2131" s="47" t="s">
        <v>194</v>
      </c>
      <c r="X2131" s="47" t="s">
        <v>194</v>
      </c>
      <c r="Y2131" s="55" t="e">
        <f ca="1">_xlfn.XLOOKUP(PAA_4[[#This Row],[ITEM]],[2]Contrato!A:A,[2]Contrato!B:B,"",0)</f>
        <v>#NAME?</v>
      </c>
      <c r="Z2131" s="47" t="e">
        <f ca="1">_xlfn.XLOOKUP(PAA_4[[#This Row],[ITEM]],[2]Contrato!A:A,[2]Contrato!G:G,"",0)</f>
        <v>#NAME?</v>
      </c>
      <c r="AA2131" s="47" t="e">
        <f ca="1">_xlfn.XLOOKUP(PAA_4[[#This Row],[ITEM]],[2]Contrato!A:A,[2]Contrato!T:T,"",0)</f>
        <v>#NAME?</v>
      </c>
      <c r="AB2131" s="55" t="e">
        <f ca="1">+MAX(PAA_4[[#This Row],[Comprometido Contrato]],PAA_4[[#This Row],[Comprometido Bolsa]])</f>
        <v>#NAME?</v>
      </c>
      <c r="AC2131" s="55" t="str">
        <f t="shared" ca="1" si="687"/>
        <v/>
      </c>
      <c r="AD2131" s="55" t="e">
        <f ca="1">IF(PAA_4[[#This Row],[ESTADO (formulado)]]="NO CONTRATADO",0,MAX(PAA_4[[#This Row],[Pago por Contrato]],PAA_4[[#This Row],[Pago por bolsa]]))</f>
        <v>#NAME?</v>
      </c>
      <c r="AE2131" s="55" t="str">
        <f t="shared" ca="1" si="688"/>
        <v/>
      </c>
      <c r="AF2131" s="47" t="e">
        <f t="shared" ca="1" si="689"/>
        <v>#NAME?</v>
      </c>
      <c r="AG2131" s="47">
        <f t="shared" si="690"/>
        <v>52010703</v>
      </c>
      <c r="AH2131" s="54">
        <f>IF(Q2131="22",IF(ISNUMBER(SEARCH("econ",PAA_4[[#This Row],[Actividad3]])),"Económico",IF(ISNUMBER(SEARCH("alim",PAA_4[[#This Row],[Actividad3]])),"Alimentación",IF(ISNUMBER(SEARCH("educ",PAA_4[[#This Row],[Actividad3]])),"Educativo","Técnico"))),0)</f>
        <v>0</v>
      </c>
      <c r="AI2131" s="47" t="e" cm="1">
        <f t="array" aca="1" ref="AI2131" ca="1">_xlfn.XLOOKUP(PAA_4[[#This Row],[RCP-RUBRO]],[2]!COMPROMISOS_2024[[#All],[concatenado]],[2]!COMPROMISOS_2024[[#All],[Total pagado]],"",0)</f>
        <v>#NAME?</v>
      </c>
      <c r="AJ2131" s="56">
        <f>IF(PAA_4[[#This Row],[BOLSA]]=0,0,SUMIFS([2]!COMPROMISOS_2024[[#All],[Total pagado]],[2]!COMPROMISOS_2024[[#All],[Bolsa]],PAA_4[[#This Row],[BOLSA]],[2]!COMPROMISOS_2024[[#All],[rubro]],PAA_4[[#This Row],[RCP-RUBRO]]))</f>
        <v>0</v>
      </c>
      <c r="AK2131" s="47" t="e" cm="1">
        <f t="array" aca="1" ref="AK2131" ca="1">_xlfn.XLOOKUP(PAA_4[[#This Row],[RCP-RUBRO]],[2]!COMPROMISOS_2024[[#All],[concatenado]],[2]!COMPROMISOS_2024[[#All],[Total Comprometido]],"",0)</f>
        <v>#NAME?</v>
      </c>
      <c r="AL2131" s="47">
        <f>IF(PAA_4[[#This Row],[BOLSA]]=0,0,SUMIFS([2]!COMPROMISOS_2024[[#All],[Total Comprometido]],[2]!COMPROMISOS_2024[[#All],[Bolsa]],PAA_4[[#This Row],[BOLSA]],[2]!COMPROMISOS_2024[[#All],[concatenado]],PAA_4[[#This Row],[RCP-RUBRO]]))</f>
        <v>0</v>
      </c>
    </row>
    <row r="2132" spans="1:38" s="19" customFormat="1" ht="31.5" customHeight="1">
      <c r="A2132" s="47" t="s">
        <v>82</v>
      </c>
      <c r="B2132" s="47" t="s">
        <v>42</v>
      </c>
      <c r="C2132" s="47" t="str">
        <f>VLOOKUP(PAA_4[[#This Row],[PROYECTO (formulado)2]],[2]PROYECTOS!$G$1:$L$32,6,0)</f>
        <v>SUBGERENCIA DE FOMENTO Y DESARROLLO</v>
      </c>
      <c r="D2132" s="47" t="str">
        <f>+IF(PAA_4[[#This Row],[UNIDAD DE CONTRATACION (formulado)]]="Subgerencia Administrativa y Financiera","FUNCIONAMIENTO","INVERSIÓN")</f>
        <v>INVERSIÓN</v>
      </c>
      <c r="E2132" s="48" t="str">
        <f>VLOOKUP(Q2132,[2]PROYECTOS!$G$1:$K$32,5,0)</f>
        <v>Fortalecimiento de los juegos deportivos institucionales en los municipios del departamento de Antioquia</v>
      </c>
      <c r="F2132" s="48">
        <f>VLOOKUP(E2132,[2]PROYECTOS!$K$1:$M$32,3,0)</f>
        <v>2024003050073</v>
      </c>
      <c r="G2132" s="49" t="s">
        <v>2323</v>
      </c>
      <c r="H2132" s="49" t="str">
        <f>VLOOKUP(Q2132,[2]PROYECTOS!$V$1:$W$32,2,0)</f>
        <v>050081</v>
      </c>
      <c r="I2132" s="78">
        <v>253797448</v>
      </c>
      <c r="J2132" s="51" t="s">
        <v>2324</v>
      </c>
      <c r="K2132" s="47" t="str">
        <f ca="1">IF(ISNONTEXT(Y2132)=TRUE,"CONTRATADO","NO CONTRATADO")</f>
        <v>CONTRATADO</v>
      </c>
      <c r="L2132" s="47" t="s">
        <v>42</v>
      </c>
      <c r="M2132" s="47" t="s">
        <v>42</v>
      </c>
      <c r="N2132" s="52" t="s">
        <v>2325</v>
      </c>
      <c r="O2132" s="51" t="e">
        <f>VLOOKUP(N2132,[2]!RUBROS[#All],3,0)</f>
        <v>#REF!</v>
      </c>
      <c r="P2132" s="53" t="e">
        <f>VLOOKUP(N2132,[2]!RUBROS[#All],2,0)</f>
        <v>#REF!</v>
      </c>
      <c r="Q2132" s="47" t="str">
        <f>+MID(N2132,11,2)</f>
        <v>73</v>
      </c>
      <c r="R2132" s="47" t="str">
        <f t="shared" si="680"/>
        <v>0-205400</v>
      </c>
      <c r="S2132" s="54" t="s">
        <v>42</v>
      </c>
      <c r="T2132" s="329" t="s">
        <v>42</v>
      </c>
      <c r="U2132" s="326" t="e">
        <f ca="1">_xlfn.XLOOKUP(PAA_4[[#This Row],[ITEM]],[2]Contrato!A:A,[2]Contrato!Q:Q,"",0)</f>
        <v>#NAME?</v>
      </c>
      <c r="V2132" s="47" t="s">
        <v>95</v>
      </c>
      <c r="W2132" s="47" t="s">
        <v>42</v>
      </c>
      <c r="X2132" s="47" t="s">
        <v>42</v>
      </c>
      <c r="Y2132" s="55" t="e">
        <f ca="1">_xlfn.XLOOKUP(PAA_4[[#This Row],[ITEM]],[2]Contrato!A:A,[2]Contrato!B:B,"",0)</f>
        <v>#NAME?</v>
      </c>
      <c r="Z2132" s="47" t="e">
        <f ca="1">_xlfn.XLOOKUP(PAA_4[[#This Row],[ITEM]],[2]Contrato!A:A,[2]Contrato!G:G,"",0)</f>
        <v>#NAME?</v>
      </c>
      <c r="AA2132" s="47" t="e">
        <f ca="1">_xlfn.XLOOKUP(PAA_4[[#This Row],[ITEM]],[2]Contrato!A:A,[2]Contrato!T:T,"",0)</f>
        <v>#NAME?</v>
      </c>
      <c r="AB2132" s="55" t="e">
        <f ca="1">+MAX(PAA_4[[#This Row],[Comprometido Contrato]],PAA_4[[#This Row],[Comprometido Bolsa]])</f>
        <v>#NAME?</v>
      </c>
      <c r="AC2132" s="55" t="str">
        <f ca="1">IFERROR(I2132-AB2132,"")</f>
        <v/>
      </c>
      <c r="AD2132" s="55" t="e">
        <f ca="1">IF(PAA_4[[#This Row],[ESTADO (formulado)]]="NO CONTRATADO",0,MAX(PAA_4[[#This Row],[Pago por Contrato]],PAA_4[[#This Row],[Pago por bolsa]]))</f>
        <v>#NAME?</v>
      </c>
      <c r="AE2132" s="55" t="str">
        <f ca="1">+IFERROR(AB2132-AD2132,"")</f>
        <v/>
      </c>
      <c r="AF2132" s="47" t="e">
        <f ca="1">+CONCATENATE(AA2132,N2132)</f>
        <v>#NAME?</v>
      </c>
      <c r="AG2132" s="47">
        <f>IFERROR(_xlfn.NUMBERVALUE(MID(G2132,1,8)),"")</f>
        <v>52010703</v>
      </c>
      <c r="AH2132" s="54">
        <f>IF(Q2132="22",IF(ISNUMBER(SEARCH("econ",PAA_4[[#This Row],[Actividad3]])),"Económico",IF(ISNUMBER(SEARCH("alim",PAA_4[[#This Row],[Actividad3]])),"Alimentación",IF(ISNUMBER(SEARCH("educ",PAA_4[[#This Row],[Actividad3]])),"Educativo","Técnico"))),0)</f>
        <v>0</v>
      </c>
      <c r="AI2132" s="47" t="e" cm="1">
        <f t="array" aca="1" ref="AI2132" ca="1">_xlfn.XLOOKUP(PAA_4[[#This Row],[RCP-RUBRO]],[2]!COMPROMISOS_2024[[#All],[concatenado]],[2]!COMPROMISOS_2024[[#All],[Total pagado]],"",0)</f>
        <v>#NAME?</v>
      </c>
      <c r="AJ2132" s="56">
        <f>IF(PAA_4[[#This Row],[BOLSA]]=0,0,SUMIFS([2]!COMPROMISOS_2024[[#All],[Total pagado]],[2]!COMPROMISOS_2024[[#All],[Bolsa]],PAA_4[[#This Row],[BOLSA]],[2]!COMPROMISOS_2024[[#All],[rubro]],PAA_4[[#This Row],[RCP-RUBRO]]))</f>
        <v>0</v>
      </c>
      <c r="AK2132" s="47" t="e" cm="1">
        <f t="array" aca="1" ref="AK2132" ca="1">_xlfn.XLOOKUP(PAA_4[[#This Row],[RCP-RUBRO]],[2]!COMPROMISOS_2024[[#All],[concatenado]],[2]!COMPROMISOS_2024[[#All],[Total Comprometido]],"",0)</f>
        <v>#NAME?</v>
      </c>
      <c r="AL2132" s="47">
        <f>IF(PAA_4[[#This Row],[BOLSA]]=0,0,SUMIFS([2]!COMPROMISOS_2024[[#All],[Total Comprometido]],[2]!COMPROMISOS_2024[[#All],[Bolsa]],PAA_4[[#This Row],[BOLSA]],[2]!COMPROMISOS_2024[[#All],[concatenado]],PAA_4[[#This Row],[RCP-RUBRO]]))</f>
        <v>0</v>
      </c>
    </row>
    <row r="2133" spans="1:38" s="19" customFormat="1" ht="31.5" customHeight="1">
      <c r="A2133" s="47">
        <v>1228</v>
      </c>
      <c r="B2133" s="51" t="s">
        <v>2326</v>
      </c>
      <c r="C2133" s="47" t="str">
        <f>VLOOKUP(PAA_4[[#This Row],[PROYECTO (formulado)2]],[2]PROYECTOS!$G$1:$L$32,6,0)</f>
        <v>SUBGERENCIA DE FOMENTO Y DESARROLLO</v>
      </c>
      <c r="D2133" s="47" t="str">
        <f>+IF(PAA_4[[#This Row],[UNIDAD DE CONTRATACION (formulado)]]="Subgerencia Administrativa y Financiera","FUNCIONAMIENTO","INVERSIÓN")</f>
        <v>INVERSIÓN</v>
      </c>
      <c r="E2133" s="48" t="str">
        <f>VLOOKUP(Q2133,[2]PROYECTOS!$G$1:$K$32,5,0)</f>
        <v>Fortalecimiento de los juegos deportivos institucionales en los municipios del departamento de Antioquia</v>
      </c>
      <c r="F2133" s="48">
        <f>VLOOKUP(E2133,[2]PROYECTOS!$K$1:$M$32,3,0)</f>
        <v>2024003050073</v>
      </c>
      <c r="G2133" s="49" t="s">
        <v>2323</v>
      </c>
      <c r="H2133" s="49" t="str">
        <f>VLOOKUP(Q2133,[2]PROYECTOS!$V$1:$W$32,2,0)</f>
        <v>050081</v>
      </c>
      <c r="I2133" s="78">
        <f>2526207734-253797448</f>
        <v>2272410286</v>
      </c>
      <c r="J2133" s="51" t="s">
        <v>2327</v>
      </c>
      <c r="K2133" s="47" t="str">
        <f t="shared" ref="K2133:K2136" ca="1" si="691">IF(ISNONTEXT(Y2133)=TRUE,"CONTRATADO","NO CONTRATADO")</f>
        <v>CONTRATADO</v>
      </c>
      <c r="L2133" s="47" t="s">
        <v>94</v>
      </c>
      <c r="M2133" s="47" t="s">
        <v>161</v>
      </c>
      <c r="N2133" s="52" t="s">
        <v>2325</v>
      </c>
      <c r="O2133" s="51" t="e">
        <f>VLOOKUP(N2133,[2]!RUBROS[#All],3,0)</f>
        <v>#REF!</v>
      </c>
      <c r="P2133" s="53" t="e">
        <f>VLOOKUP(N2133,[2]!RUBROS[#All],2,0)</f>
        <v>#REF!</v>
      </c>
      <c r="Q2133" s="47" t="str">
        <f t="shared" ref="Q2133:Q2136" si="692">+MID(N2133,11,2)</f>
        <v>73</v>
      </c>
      <c r="R2133" s="47" t="str">
        <f t="shared" si="680"/>
        <v>0-205400</v>
      </c>
      <c r="S2133" s="54">
        <v>3</v>
      </c>
      <c r="T2133" s="59" t="s">
        <v>46</v>
      </c>
      <c r="U2133" s="326" t="e">
        <f ca="1">_xlfn.XLOOKUP(PAA_4[[#This Row],[ITEM]],[2]Contrato!A:A,[2]Contrato!Q:Q,"",0)</f>
        <v>#NAME?</v>
      </c>
      <c r="V2133" s="47" t="s">
        <v>95</v>
      </c>
      <c r="W2133" s="47" t="s">
        <v>204</v>
      </c>
      <c r="X2133" s="47" t="s">
        <v>204</v>
      </c>
      <c r="Y2133" s="55" t="e">
        <f ca="1">_xlfn.XLOOKUP(PAA_4[[#This Row],[ITEM]],[2]Contrato!A:A,[2]Contrato!B:B,"",0)</f>
        <v>#NAME?</v>
      </c>
      <c r="Z2133" s="47" t="e">
        <f ca="1">_xlfn.XLOOKUP(PAA_4[[#This Row],[ITEM]],[2]Contrato!A:A,[2]Contrato!G:G,"",0)</f>
        <v>#NAME?</v>
      </c>
      <c r="AA2133" s="47" t="e">
        <f ca="1">_xlfn.XLOOKUP(PAA_4[[#This Row],[ITEM]],[2]Contrato!A:A,[2]Contrato!T:T,"",0)</f>
        <v>#NAME?</v>
      </c>
      <c r="AB2133" s="55" t="e">
        <f ca="1">+MAX(PAA_4[[#This Row],[Comprometido Contrato]],PAA_4[[#This Row],[Comprometido Bolsa]])</f>
        <v>#NAME?</v>
      </c>
      <c r="AC2133" s="55" t="str">
        <f t="shared" ref="AC2133:AC2136" ca="1" si="693">IFERROR(I2133-AB2133,"")</f>
        <v/>
      </c>
      <c r="AD2133" s="55" t="e">
        <f ca="1">IF(PAA_4[[#This Row],[ESTADO (formulado)]]="NO CONTRATADO",0,MAX(PAA_4[[#This Row],[Pago por Contrato]],PAA_4[[#This Row],[Pago por bolsa]]))</f>
        <v>#NAME?</v>
      </c>
      <c r="AE2133" s="55" t="str">
        <f t="shared" ref="AE2133:AE2136" ca="1" si="694">+IFERROR(AB2133-AD2133,"")</f>
        <v/>
      </c>
      <c r="AF2133" s="47" t="e">
        <f t="shared" ref="AF2133:AF2136" ca="1" si="695">+CONCATENATE(AA2133,N2133)</f>
        <v>#NAME?</v>
      </c>
      <c r="AG2133" s="47">
        <f t="shared" ref="AG2133:AG2136" si="696">IFERROR(_xlfn.NUMBERVALUE(MID(G2133,1,8)),"")</f>
        <v>52010703</v>
      </c>
      <c r="AH2133" s="54">
        <f>IF(Q2133="22",IF(ISNUMBER(SEARCH("econ",PAA_4[[#This Row],[Actividad3]])),"Económico",IF(ISNUMBER(SEARCH("alim",PAA_4[[#This Row],[Actividad3]])),"Alimentación",IF(ISNUMBER(SEARCH("educ",PAA_4[[#This Row],[Actividad3]])),"Educativo","Técnico"))),0)</f>
        <v>0</v>
      </c>
      <c r="AI2133" s="47" t="e" cm="1">
        <f t="array" aca="1" ref="AI2133" ca="1">_xlfn.XLOOKUP(PAA_4[[#This Row],[RCP-RUBRO]],[2]!COMPROMISOS_2024[[#All],[concatenado]],[2]!COMPROMISOS_2024[[#All],[Total pagado]],"",0)</f>
        <v>#NAME?</v>
      </c>
      <c r="AJ2133" s="56">
        <f>IF(PAA_4[[#This Row],[BOLSA]]=0,0,SUMIFS([2]!COMPROMISOS_2024[[#All],[Total pagado]],[2]!COMPROMISOS_2024[[#All],[Bolsa]],PAA_4[[#This Row],[BOLSA]],[2]!COMPROMISOS_2024[[#All],[rubro]],PAA_4[[#This Row],[RCP-RUBRO]]))</f>
        <v>0</v>
      </c>
      <c r="AK2133" s="47" t="e" cm="1">
        <f t="array" aca="1" ref="AK2133" ca="1">_xlfn.XLOOKUP(PAA_4[[#This Row],[RCP-RUBRO]],[2]!COMPROMISOS_2024[[#All],[concatenado]],[2]!COMPROMISOS_2024[[#All],[Total Comprometido]],"",0)</f>
        <v>#NAME?</v>
      </c>
      <c r="AL2133" s="47">
        <f>IF(PAA_4[[#This Row],[BOLSA]]=0,0,SUMIFS([2]!COMPROMISOS_2024[[#All],[Total Comprometido]],[2]!COMPROMISOS_2024[[#All],[Bolsa]],PAA_4[[#This Row],[BOLSA]],[2]!COMPROMISOS_2024[[#All],[concatenado]],PAA_4[[#This Row],[RCP-RUBRO]]))</f>
        <v>0</v>
      </c>
    </row>
    <row r="2134" spans="1:38" s="19" customFormat="1" ht="31.5" customHeight="1">
      <c r="A2134" s="47">
        <v>1228</v>
      </c>
      <c r="B2134" s="51" t="s">
        <v>2326</v>
      </c>
      <c r="C2134" s="47" t="str">
        <f>VLOOKUP(PAA_4[[#This Row],[PROYECTO (formulado)2]],[2]PROYECTOS!$G$1:$L$32,6,0)</f>
        <v>SUBGERENCIA DE FOMENTO Y DESARROLLO</v>
      </c>
      <c r="D2134" s="47" t="str">
        <f>+IF(PAA_4[[#This Row],[UNIDAD DE CONTRATACION (formulado)]]="Subgerencia Administrativa y Financiera","FUNCIONAMIENTO","INVERSIÓN")</f>
        <v>INVERSIÓN</v>
      </c>
      <c r="E2134" s="48" t="str">
        <f>VLOOKUP(Q2134,[2]PROYECTOS!$G$1:$K$32,5,0)</f>
        <v>Fortalecimiento de los juegos deportivos institucionales en los municipios del departamento de Antioquia</v>
      </c>
      <c r="F2134" s="48">
        <f>VLOOKUP(E2134,[2]PROYECTOS!$K$1:$M$32,3,0)</f>
        <v>2024003050073</v>
      </c>
      <c r="G2134" s="49" t="s">
        <v>2323</v>
      </c>
      <c r="H2134" s="49" t="str">
        <f>VLOOKUP(Q2134,[2]PROYECTOS!$V$1:$W$32,2,0)</f>
        <v>050081</v>
      </c>
      <c r="I2134" s="78">
        <v>265564182</v>
      </c>
      <c r="J2134" s="51" t="s">
        <v>2327</v>
      </c>
      <c r="K2134" s="47" t="str">
        <f t="shared" ca="1" si="691"/>
        <v>CONTRATADO</v>
      </c>
      <c r="L2134" s="47" t="s">
        <v>94</v>
      </c>
      <c r="M2134" s="47" t="s">
        <v>161</v>
      </c>
      <c r="N2134" s="52" t="s">
        <v>1362</v>
      </c>
      <c r="O2134" s="51" t="e">
        <f>VLOOKUP(N2134,[2]!RUBROS[#All],3,0)</f>
        <v>#REF!</v>
      </c>
      <c r="P2134" s="53" t="e">
        <f>VLOOKUP(N2134,[2]!RUBROS[#All],2,0)</f>
        <v>#REF!</v>
      </c>
      <c r="Q2134" s="47" t="str">
        <f t="shared" si="692"/>
        <v>73</v>
      </c>
      <c r="R2134" s="47" t="str">
        <f t="shared" si="680"/>
        <v>0-101024</v>
      </c>
      <c r="S2134" s="54">
        <v>3</v>
      </c>
      <c r="T2134" s="59" t="s">
        <v>46</v>
      </c>
      <c r="U2134" s="326" t="e">
        <f ca="1">_xlfn.XLOOKUP(PAA_4[[#This Row],[ITEM]],[2]Contrato!A:A,[2]Contrato!Q:Q,"",0)</f>
        <v>#NAME?</v>
      </c>
      <c r="V2134" s="47" t="s">
        <v>95</v>
      </c>
      <c r="W2134" s="47" t="s">
        <v>204</v>
      </c>
      <c r="X2134" s="47" t="s">
        <v>204</v>
      </c>
      <c r="Y2134" s="55" t="e">
        <f ca="1">_xlfn.XLOOKUP(PAA_4[[#This Row],[ITEM]],[2]Contrato!A:A,[2]Contrato!B:B,"",0)</f>
        <v>#NAME?</v>
      </c>
      <c r="Z2134" s="47" t="e">
        <f ca="1">_xlfn.XLOOKUP(PAA_4[[#This Row],[ITEM]],[2]Contrato!A:A,[2]Contrato!G:G,"",0)</f>
        <v>#NAME?</v>
      </c>
      <c r="AA2134" s="47" t="e">
        <f ca="1">_xlfn.XLOOKUP(PAA_4[[#This Row],[ITEM]],[2]Contrato!A:A,[2]Contrato!T:T,"",0)</f>
        <v>#NAME?</v>
      </c>
      <c r="AB2134" s="55" t="e">
        <f ca="1">+MAX(PAA_4[[#This Row],[Comprometido Contrato]],PAA_4[[#This Row],[Comprometido Bolsa]])</f>
        <v>#NAME?</v>
      </c>
      <c r="AC2134" s="55" t="str">
        <f t="shared" ca="1" si="693"/>
        <v/>
      </c>
      <c r="AD2134" s="55" t="e">
        <f ca="1">IF(PAA_4[[#This Row],[ESTADO (formulado)]]="NO CONTRATADO",0,MAX(PAA_4[[#This Row],[Pago por Contrato]],PAA_4[[#This Row],[Pago por bolsa]]))</f>
        <v>#NAME?</v>
      </c>
      <c r="AE2134" s="55" t="str">
        <f t="shared" ca="1" si="694"/>
        <v/>
      </c>
      <c r="AF2134" s="47" t="e">
        <f t="shared" ca="1" si="695"/>
        <v>#NAME?</v>
      </c>
      <c r="AG2134" s="47">
        <f t="shared" si="696"/>
        <v>52010703</v>
      </c>
      <c r="AH2134" s="54">
        <f>IF(Q2134="22",IF(ISNUMBER(SEARCH("econ",PAA_4[[#This Row],[Actividad3]])),"Económico",IF(ISNUMBER(SEARCH("alim",PAA_4[[#This Row],[Actividad3]])),"Alimentación",IF(ISNUMBER(SEARCH("educ",PAA_4[[#This Row],[Actividad3]])),"Educativo","Técnico"))),0)</f>
        <v>0</v>
      </c>
      <c r="AI2134" s="47" t="e" cm="1">
        <f t="array" aca="1" ref="AI2134" ca="1">_xlfn.XLOOKUP(PAA_4[[#This Row],[RCP-RUBRO]],[2]!COMPROMISOS_2024[[#All],[concatenado]],[2]!COMPROMISOS_2024[[#All],[Total pagado]],"",0)</f>
        <v>#NAME?</v>
      </c>
      <c r="AJ2134" s="56">
        <f>IF(PAA_4[[#This Row],[BOLSA]]=0,0,SUMIFS([2]!COMPROMISOS_2024[[#All],[Total pagado]],[2]!COMPROMISOS_2024[[#All],[Bolsa]],PAA_4[[#This Row],[BOLSA]],[2]!COMPROMISOS_2024[[#All],[rubro]],PAA_4[[#This Row],[RCP-RUBRO]]))</f>
        <v>0</v>
      </c>
      <c r="AK2134" s="47" t="e" cm="1">
        <f t="array" aca="1" ref="AK2134" ca="1">_xlfn.XLOOKUP(PAA_4[[#This Row],[RCP-RUBRO]],[2]!COMPROMISOS_2024[[#All],[concatenado]],[2]!COMPROMISOS_2024[[#All],[Total Comprometido]],"",0)</f>
        <v>#NAME?</v>
      </c>
      <c r="AL2134" s="47">
        <f>IF(PAA_4[[#This Row],[BOLSA]]=0,0,SUMIFS([2]!COMPROMISOS_2024[[#All],[Total Comprometido]],[2]!COMPROMISOS_2024[[#All],[Bolsa]],PAA_4[[#This Row],[BOLSA]],[2]!COMPROMISOS_2024[[#All],[concatenado]],PAA_4[[#This Row],[RCP-RUBRO]]))</f>
        <v>0</v>
      </c>
    </row>
    <row r="2135" spans="1:38" s="19" customFormat="1" ht="31.5" customHeight="1">
      <c r="A2135" s="47">
        <v>1229</v>
      </c>
      <c r="B2135" s="47">
        <v>49201600</v>
      </c>
      <c r="C2135" s="47" t="str">
        <f>VLOOKUP(PAA_4[[#This Row],[PROYECTO (formulado)2]],[2]PROYECTOS!$G$1:$L$32,6,0)</f>
        <v>SUBGERENCIA DE FOMENTO Y DESARROLLO</v>
      </c>
      <c r="D2135" s="47" t="str">
        <f>+IF(PAA_4[[#This Row],[UNIDAD DE CONTRATACION (formulado)]]="Subgerencia Administrativa y Financiera","FUNCIONAMIENTO","INVERSIÓN")</f>
        <v>INVERSIÓN</v>
      </c>
      <c r="E2135" s="48" t="str">
        <f>VLOOKUP(Q2135,[2]PROYECTOS!$G$1:$K$32,5,0)</f>
        <v>Cofinanciación de dotación de implementación para el deporte la recreación y a la actividad física en el departamento de Antioquia</v>
      </c>
      <c r="F2135" s="48">
        <f>VLOOKUP(E2135,[2]PROYECTOS!$K$1:$M$32,3,0)</f>
        <v>2024003050074</v>
      </c>
      <c r="G2135" s="49" t="s">
        <v>2328</v>
      </c>
      <c r="H2135" s="49" t="str">
        <f>VLOOKUP(Q2135,[2]PROYECTOS!$V$1:$W$32,2,0)</f>
        <v>050073</v>
      </c>
      <c r="I2135" s="78">
        <v>10242558</v>
      </c>
      <c r="J2135" s="51" t="s">
        <v>2329</v>
      </c>
      <c r="K2135" s="47" t="str">
        <f t="shared" ca="1" si="691"/>
        <v>CONTRATADO</v>
      </c>
      <c r="L2135" s="47" t="s">
        <v>94</v>
      </c>
      <c r="M2135" s="51" t="s">
        <v>2330</v>
      </c>
      <c r="N2135" s="52" t="s">
        <v>2331</v>
      </c>
      <c r="O2135" s="51" t="e">
        <f>VLOOKUP(N2135,[2]!RUBROS[#All],3,0)</f>
        <v>#REF!</v>
      </c>
      <c r="P2135" s="53" t="e">
        <f>VLOOKUP(N2135,[2]!RUBROS[#All],2,0)</f>
        <v>#REF!</v>
      </c>
      <c r="Q2135" s="47" t="str">
        <f t="shared" si="692"/>
        <v>74</v>
      </c>
      <c r="R2135" s="47" t="str">
        <f t="shared" si="680"/>
        <v>0-205128</v>
      </c>
      <c r="S2135" s="54">
        <v>3</v>
      </c>
      <c r="T2135" s="59" t="s">
        <v>46</v>
      </c>
      <c r="U2135" s="326" t="e">
        <f ca="1">_xlfn.XLOOKUP(PAA_4[[#This Row],[ITEM]],[2]Contrato!A:A,[2]Contrato!Q:Q,"",0)</f>
        <v>#NAME?</v>
      </c>
      <c r="V2135" s="47" t="s">
        <v>95</v>
      </c>
      <c r="W2135" s="47" t="s">
        <v>204</v>
      </c>
      <c r="X2135" s="47" t="s">
        <v>204</v>
      </c>
      <c r="Y2135" s="55" t="e">
        <f ca="1">_xlfn.XLOOKUP(PAA_4[[#This Row],[ITEM]],[2]Contrato!A:A,[2]Contrato!B:B,"",0)</f>
        <v>#NAME?</v>
      </c>
      <c r="Z2135" s="47" t="e">
        <f ca="1">_xlfn.XLOOKUP(PAA_4[[#This Row],[ITEM]],[2]Contrato!A:A,[2]Contrato!G:G,"",0)</f>
        <v>#NAME?</v>
      </c>
      <c r="AA2135" s="47" t="e">
        <f ca="1">_xlfn.XLOOKUP(PAA_4[[#This Row],[ITEM]],[2]Contrato!A:A,[2]Contrato!T:T,"",0)</f>
        <v>#NAME?</v>
      </c>
      <c r="AB2135" s="55" t="e">
        <f ca="1">+MAX(PAA_4[[#This Row],[Comprometido Contrato]],PAA_4[[#This Row],[Comprometido Bolsa]])</f>
        <v>#NAME?</v>
      </c>
      <c r="AC2135" s="55" t="str">
        <f t="shared" ca="1" si="693"/>
        <v/>
      </c>
      <c r="AD2135" s="55" t="e">
        <f ca="1">IF(PAA_4[[#This Row],[ESTADO (formulado)]]="NO CONTRATADO",0,MAX(PAA_4[[#This Row],[Pago por Contrato]],PAA_4[[#This Row],[Pago por bolsa]]))</f>
        <v>#NAME?</v>
      </c>
      <c r="AE2135" s="55" t="str">
        <f t="shared" ca="1" si="694"/>
        <v/>
      </c>
      <c r="AF2135" s="47" t="e">
        <f t="shared" ca="1" si="695"/>
        <v>#NAME?</v>
      </c>
      <c r="AG2135" s="47">
        <f t="shared" si="696"/>
        <v>52010701</v>
      </c>
      <c r="AH2135" s="54">
        <f>IF(Q2135="22",IF(ISNUMBER(SEARCH("econ",PAA_4[[#This Row],[Actividad3]])),"Económico",IF(ISNUMBER(SEARCH("alim",PAA_4[[#This Row],[Actividad3]])),"Alimentación",IF(ISNUMBER(SEARCH("educ",PAA_4[[#This Row],[Actividad3]])),"Educativo","Técnico"))),0)</f>
        <v>0</v>
      </c>
      <c r="AI2135" s="47" t="e" cm="1">
        <f t="array" aca="1" ref="AI2135" ca="1">_xlfn.XLOOKUP(PAA_4[[#This Row],[RCP-RUBRO]],[2]!COMPROMISOS_2024[[#All],[concatenado]],[2]!COMPROMISOS_2024[[#All],[Total pagado]],"",0)</f>
        <v>#NAME?</v>
      </c>
      <c r="AJ2135" s="56">
        <f>IF(PAA_4[[#This Row],[BOLSA]]=0,0,SUMIFS([2]!COMPROMISOS_2024[[#All],[Total pagado]],[2]!COMPROMISOS_2024[[#All],[Bolsa]],PAA_4[[#This Row],[BOLSA]],[2]!COMPROMISOS_2024[[#All],[rubro]],PAA_4[[#This Row],[RCP-RUBRO]]))</f>
        <v>0</v>
      </c>
      <c r="AK2135" s="47" t="e" cm="1">
        <f t="array" aca="1" ref="AK2135" ca="1">_xlfn.XLOOKUP(PAA_4[[#This Row],[RCP-RUBRO]],[2]!COMPROMISOS_2024[[#All],[concatenado]],[2]!COMPROMISOS_2024[[#All],[Total Comprometido]],"",0)</f>
        <v>#NAME?</v>
      </c>
      <c r="AL2135" s="47">
        <f>IF(PAA_4[[#This Row],[BOLSA]]=0,0,SUMIFS([2]!COMPROMISOS_2024[[#All],[Total Comprometido]],[2]!COMPROMISOS_2024[[#All],[Bolsa]],PAA_4[[#This Row],[BOLSA]],[2]!COMPROMISOS_2024[[#All],[concatenado]],PAA_4[[#This Row],[RCP-RUBRO]]))</f>
        <v>0</v>
      </c>
    </row>
    <row r="2136" spans="1:38" s="19" customFormat="1" ht="31.5" customHeight="1">
      <c r="A2136" s="47">
        <v>1041</v>
      </c>
      <c r="B2136" s="47">
        <v>49221500</v>
      </c>
      <c r="C2136" s="47" t="str">
        <f>VLOOKUP(PAA_4[[#This Row],[PROYECTO (formulado)2]],[2]PROYECTOS!$G$1:$L$32,6,0)</f>
        <v>SUBGERENCIA DE FOMENTO Y DESARROLLO</v>
      </c>
      <c r="D2136" s="47" t="str">
        <f>+IF(PAA_4[[#This Row],[UNIDAD DE CONTRATACION (formulado)]]="Subgerencia Administrativa y Financiera","FUNCIONAMIENTO","INVERSIÓN")</f>
        <v>INVERSIÓN</v>
      </c>
      <c r="E2136" s="48" t="str">
        <f>VLOOKUP(Q2136,[2]PROYECTOS!$G$1:$K$32,5,0)</f>
        <v>Cofinanciación de dotación de implementación para el deporte la recreación y a la actividad física en el departamento de Antioquia</v>
      </c>
      <c r="F2136" s="48">
        <f>VLOOKUP(E2136,[2]PROYECTOS!$K$1:$M$32,3,0)</f>
        <v>2024003050074</v>
      </c>
      <c r="G2136" s="49" t="s">
        <v>2332</v>
      </c>
      <c r="H2136" s="49" t="str">
        <f>VLOOKUP(Q2136,[2]PROYECTOS!$V$1:$W$32,2,0)</f>
        <v>050073</v>
      </c>
      <c r="I2136" s="78">
        <v>0</v>
      </c>
      <c r="J2136" s="51" t="s">
        <v>42</v>
      </c>
      <c r="K2136" s="47" t="str">
        <f t="shared" ca="1" si="691"/>
        <v>CONTRATADO</v>
      </c>
      <c r="L2136" s="47" t="s">
        <v>264</v>
      </c>
      <c r="M2136" s="47" t="s">
        <v>42</v>
      </c>
      <c r="N2136" s="52" t="s">
        <v>2331</v>
      </c>
      <c r="O2136" s="51" t="e">
        <f>VLOOKUP(N2136,[2]!RUBROS[#All],3,0)</f>
        <v>#REF!</v>
      </c>
      <c r="P2136" s="53" t="e">
        <f>VLOOKUP(N2136,[2]!RUBROS[#All],2,0)</f>
        <v>#REF!</v>
      </c>
      <c r="Q2136" s="47" t="str">
        <f t="shared" si="692"/>
        <v>74</v>
      </c>
      <c r="R2136" s="47" t="str">
        <f t="shared" si="680"/>
        <v>0-205128</v>
      </c>
      <c r="S2136" s="54">
        <v>4.5</v>
      </c>
      <c r="T2136" s="59" t="s">
        <v>46</v>
      </c>
      <c r="U2136" s="326" t="e">
        <f ca="1">_xlfn.XLOOKUP(PAA_4[[#This Row],[ITEM]],[2]Contrato!A:A,[2]Contrato!Q:Q,"",0)</f>
        <v>#NAME?</v>
      </c>
      <c r="V2136" s="47" t="s">
        <v>95</v>
      </c>
      <c r="W2136" s="47" t="s">
        <v>42</v>
      </c>
      <c r="X2136" s="47" t="s">
        <v>42</v>
      </c>
      <c r="Y2136" s="55" t="e">
        <f ca="1">_xlfn.XLOOKUP(PAA_4[[#This Row],[ITEM]],[2]Contrato!A:A,[2]Contrato!B:B,"",0)</f>
        <v>#NAME?</v>
      </c>
      <c r="Z2136" s="47" t="e">
        <f ca="1">_xlfn.XLOOKUP(PAA_4[[#This Row],[ITEM]],[2]Contrato!A:A,[2]Contrato!G:G,"",0)</f>
        <v>#NAME?</v>
      </c>
      <c r="AA2136" s="47" t="e">
        <f ca="1">_xlfn.XLOOKUP(PAA_4[[#This Row],[ITEM]],[2]Contrato!A:A,[2]Contrato!T:T,"",0)</f>
        <v>#NAME?</v>
      </c>
      <c r="AB2136" s="55" t="e">
        <f ca="1">+MAX(PAA_4[[#This Row],[Comprometido Contrato]],PAA_4[[#This Row],[Comprometido Bolsa]])</f>
        <v>#NAME?</v>
      </c>
      <c r="AC2136" s="55" t="str">
        <f t="shared" ca="1" si="693"/>
        <v/>
      </c>
      <c r="AD2136" s="55" t="e">
        <f ca="1">IF(PAA_4[[#This Row],[ESTADO (formulado)]]="NO CONTRATADO",0,MAX(PAA_4[[#This Row],[Pago por Contrato]],PAA_4[[#This Row],[Pago por bolsa]]))</f>
        <v>#NAME?</v>
      </c>
      <c r="AE2136" s="55" t="str">
        <f t="shared" ca="1" si="694"/>
        <v/>
      </c>
      <c r="AF2136" s="47" t="e">
        <f t="shared" ca="1" si="695"/>
        <v>#NAME?</v>
      </c>
      <c r="AG2136" s="47">
        <f t="shared" si="696"/>
        <v>52010701</v>
      </c>
      <c r="AH2136" s="54">
        <f>IF(Q2136="22",IF(ISNUMBER(SEARCH("econ",PAA_4[[#This Row],[Actividad3]])),"Económico",IF(ISNUMBER(SEARCH("alim",PAA_4[[#This Row],[Actividad3]])),"Alimentación",IF(ISNUMBER(SEARCH("educ",PAA_4[[#This Row],[Actividad3]])),"Educativo","Técnico"))),0)</f>
        <v>0</v>
      </c>
      <c r="AI2136" s="47" t="e" cm="1">
        <f t="array" aca="1" ref="AI2136" ca="1">_xlfn.XLOOKUP(PAA_4[[#This Row],[RCP-RUBRO]],[2]!COMPROMISOS_2024[[#All],[concatenado]],[2]!COMPROMISOS_2024[[#All],[Total pagado]],"",0)</f>
        <v>#NAME?</v>
      </c>
      <c r="AJ2136" s="56">
        <f>IF(PAA_4[[#This Row],[BOLSA]]=0,0,SUMIFS([2]!COMPROMISOS_2024[[#All],[Total pagado]],[2]!COMPROMISOS_2024[[#All],[Bolsa]],PAA_4[[#This Row],[BOLSA]],[2]!COMPROMISOS_2024[[#All],[rubro]],PAA_4[[#This Row],[RCP-RUBRO]]))</f>
        <v>0</v>
      </c>
      <c r="AK2136" s="47" t="e" cm="1">
        <f t="array" aca="1" ref="AK2136" ca="1">_xlfn.XLOOKUP(PAA_4[[#This Row],[RCP-RUBRO]],[2]!COMPROMISOS_2024[[#All],[concatenado]],[2]!COMPROMISOS_2024[[#All],[Total Comprometido]],"",0)</f>
        <v>#NAME?</v>
      </c>
      <c r="AL2136" s="47">
        <f>IF(PAA_4[[#This Row],[BOLSA]]=0,0,SUMIFS([2]!COMPROMISOS_2024[[#All],[Total Comprometido]],[2]!COMPROMISOS_2024[[#All],[Bolsa]],PAA_4[[#This Row],[BOLSA]],[2]!COMPROMISOS_2024[[#All],[concatenado]],PAA_4[[#This Row],[RCP-RUBRO]]))</f>
        <v>0</v>
      </c>
    </row>
    <row r="2137" spans="1:38" s="19" customFormat="1" ht="31.5" customHeight="1">
      <c r="A2137" s="47" t="s">
        <v>82</v>
      </c>
      <c r="B2137" s="47" t="s">
        <v>42</v>
      </c>
      <c r="C2137" s="47" t="str">
        <f>VLOOKUP(PAA_4[[#This Row],[PROYECTO (formulado)2]],[2]PROYECTOS!$G$1:$L$32,6,0)</f>
        <v>SUBGERENCIA DE FOMENTO Y DESARROLLO</v>
      </c>
      <c r="D2137" s="47" t="str">
        <f>+IF(PAA_4[[#This Row],[UNIDAD DE CONTRATACION (formulado)]]="Subgerencia Administrativa y Financiera","FUNCIONAMIENTO","INVERSIÓN")</f>
        <v>INVERSIÓN</v>
      </c>
      <c r="E2137" s="48" t="str">
        <f>VLOOKUP(Q2137,[2]PROYECTOS!$G$1:$K$32,5,0)</f>
        <v>Fortalecimiento de los juegos deportivos institucionales en los municipios del departamento de Antioquia</v>
      </c>
      <c r="F2137" s="48">
        <f>VLOOKUP(E2137,[2]PROYECTOS!$K$1:$M$32,3,0)</f>
        <v>2024003050073</v>
      </c>
      <c r="G2137" s="49" t="s">
        <v>1353</v>
      </c>
      <c r="H2137" s="49" t="str">
        <f>VLOOKUP(Q2137,[2]PROYECTOS!$V$1:$W$32,2,0)</f>
        <v>050081</v>
      </c>
      <c r="I2137" s="78">
        <v>24835415</v>
      </c>
      <c r="J2137" s="51" t="s">
        <v>1853</v>
      </c>
      <c r="K2137" s="47" t="str">
        <f ca="1">IF(ISNONTEXT(Y2137)=TRUE,"CONTRATADO","NO CONTRATADO")</f>
        <v>CONTRATADO</v>
      </c>
      <c r="L2137" s="47" t="s">
        <v>42</v>
      </c>
      <c r="M2137" s="47" t="s">
        <v>42</v>
      </c>
      <c r="N2137" s="52" t="s">
        <v>1366</v>
      </c>
      <c r="O2137" s="51" t="e">
        <f>VLOOKUP(N2137,[2]!RUBROS[#All],3,0)</f>
        <v>#REF!</v>
      </c>
      <c r="P2137" s="53" t="e">
        <f>VLOOKUP(N2137,[2]!RUBROS[#All],2,0)</f>
        <v>#REF!</v>
      </c>
      <c r="Q2137" s="47" t="str">
        <f>+MID(N2137,11,2)</f>
        <v>73</v>
      </c>
      <c r="R2137" s="47" t="str">
        <f t="shared" si="680"/>
        <v>0-205128</v>
      </c>
      <c r="S2137" s="54" t="s">
        <v>42</v>
      </c>
      <c r="T2137" s="329" t="s">
        <v>42</v>
      </c>
      <c r="U2137" s="326" t="e">
        <f ca="1">_xlfn.XLOOKUP(PAA_4[[#This Row],[ITEM]],[2]Contrato!A:A,[2]Contrato!Q:Q,"",0)</f>
        <v>#NAME?</v>
      </c>
      <c r="V2137" s="47" t="s">
        <v>95</v>
      </c>
      <c r="W2137" s="47" t="s">
        <v>42</v>
      </c>
      <c r="X2137" s="47" t="s">
        <v>42</v>
      </c>
      <c r="Y2137" s="55" t="e">
        <f ca="1">_xlfn.XLOOKUP(PAA_4[[#This Row],[ITEM]],[2]Contrato!A:A,[2]Contrato!B:B,"",0)</f>
        <v>#NAME?</v>
      </c>
      <c r="Z2137" s="47" t="e">
        <f ca="1">_xlfn.XLOOKUP(PAA_4[[#This Row],[ITEM]],[2]Contrato!A:A,[2]Contrato!G:G,"",0)</f>
        <v>#NAME?</v>
      </c>
      <c r="AA2137" s="47" t="e">
        <f ca="1">_xlfn.XLOOKUP(PAA_4[[#This Row],[ITEM]],[2]Contrato!A:A,[2]Contrato!T:T,"",0)</f>
        <v>#NAME?</v>
      </c>
      <c r="AB2137" s="55" t="e">
        <f ca="1">+MAX(PAA_4[[#This Row],[Comprometido Contrato]],PAA_4[[#This Row],[Comprometido Bolsa]])</f>
        <v>#NAME?</v>
      </c>
      <c r="AC2137" s="55" t="str">
        <f ca="1">IFERROR(I2137-AB2137,"")</f>
        <v/>
      </c>
      <c r="AD2137" s="55" t="e">
        <f ca="1">IF(PAA_4[[#This Row],[ESTADO (formulado)]]="NO CONTRATADO",0,MAX(PAA_4[[#This Row],[Pago por Contrato]],PAA_4[[#This Row],[Pago por bolsa]]))</f>
        <v>#NAME?</v>
      </c>
      <c r="AE2137" s="55" t="str">
        <f ca="1">+IFERROR(AB2137-AD2137,"")</f>
        <v/>
      </c>
      <c r="AF2137" s="47" t="e">
        <f ca="1">+CONCATENATE(AA2137,N2137)</f>
        <v>#NAME?</v>
      </c>
      <c r="AG2137" s="47">
        <f>IFERROR(_xlfn.NUMBERVALUE(MID(G2137,1,8)),"")</f>
        <v>52010703</v>
      </c>
      <c r="AH2137" s="54">
        <f>IF(Q2137="22",IF(ISNUMBER(SEARCH("econ",PAA_4[[#This Row],[Actividad3]])),"Económico",IF(ISNUMBER(SEARCH("alim",PAA_4[[#This Row],[Actividad3]])),"Alimentación",IF(ISNUMBER(SEARCH("educ",PAA_4[[#This Row],[Actividad3]])),"Educativo","Técnico"))),0)</f>
        <v>0</v>
      </c>
      <c r="AI2137" s="47" t="e" cm="1">
        <f t="array" aca="1" ref="AI2137" ca="1">_xlfn.XLOOKUP(PAA_4[[#This Row],[RCP-RUBRO]],[2]!COMPROMISOS_2024[[#All],[concatenado]],[2]!COMPROMISOS_2024[[#All],[Total pagado]],"",0)</f>
        <v>#NAME?</v>
      </c>
      <c r="AJ2137" s="56">
        <f>IF(PAA_4[[#This Row],[BOLSA]]=0,0,SUMIFS([2]!COMPROMISOS_2024[[#All],[Total pagado]],[2]!COMPROMISOS_2024[[#All],[Bolsa]],PAA_4[[#This Row],[BOLSA]],[2]!COMPROMISOS_2024[[#All],[rubro]],PAA_4[[#This Row],[RCP-RUBRO]]))</f>
        <v>0</v>
      </c>
      <c r="AK2137" s="47" t="e" cm="1">
        <f t="array" aca="1" ref="AK2137" ca="1">_xlfn.XLOOKUP(PAA_4[[#This Row],[RCP-RUBRO]],[2]!COMPROMISOS_2024[[#All],[concatenado]],[2]!COMPROMISOS_2024[[#All],[Total Comprometido]],"",0)</f>
        <v>#NAME?</v>
      </c>
      <c r="AL2137" s="47">
        <f>IF(PAA_4[[#This Row],[BOLSA]]=0,0,SUMIFS([2]!COMPROMISOS_2024[[#All],[Total Comprometido]],[2]!COMPROMISOS_2024[[#All],[Bolsa]],PAA_4[[#This Row],[BOLSA]],[2]!COMPROMISOS_2024[[#All],[concatenado]],PAA_4[[#This Row],[RCP-RUBRO]]))</f>
        <v>0</v>
      </c>
    </row>
    <row r="2138" spans="1:38" s="19" customFormat="1" ht="31.5" customHeight="1">
      <c r="A2138" s="47">
        <v>1238</v>
      </c>
      <c r="B2138" s="51" t="s">
        <v>393</v>
      </c>
      <c r="C2138" s="47" t="str">
        <f>VLOOKUP(PAA_4[[#This Row],[PROYECTO (formulado)2]],[2]PROYECTOS!$G$1:$L$32,6,0)</f>
        <v>SUBGERENCIA DE FOMENTO Y DESARROLLO</v>
      </c>
      <c r="D2138" s="47" t="str">
        <f>+IF(PAA_4[[#This Row],[UNIDAD DE CONTRATACION (formulado)]]="Subgerencia Administrativa y Financiera","FUNCIONAMIENTO","INVERSIÓN")</f>
        <v>INVERSIÓN</v>
      </c>
      <c r="E2138" s="48" t="str">
        <f>VLOOKUP(Q2138,[2]PROYECTOS!$G$1:$K$32,5,0)</f>
        <v>Fortalecimiento de los juegos deportivos institucionales en los municipios del departamento de Antioquia</v>
      </c>
      <c r="F2138" s="48">
        <f>VLOOKUP(E2138,[2]PROYECTOS!$K$1:$M$32,3,0)</f>
        <v>2024003050073</v>
      </c>
      <c r="G2138" s="49" t="s">
        <v>1353</v>
      </c>
      <c r="H2138" s="49" t="str">
        <f>VLOOKUP(Q2138,[2]PROYECTOS!$V$1:$W$32,2,0)</f>
        <v>050081</v>
      </c>
      <c r="I2138" s="78">
        <f>530069493-24835415</f>
        <v>505234078</v>
      </c>
      <c r="J2138" s="51" t="s">
        <v>2333</v>
      </c>
      <c r="K2138" s="47" t="str">
        <f t="shared" ref="K2138" ca="1" si="697">IF(ISNONTEXT(Y2138)=TRUE,"CONTRATADO","NO CONTRATADO")</f>
        <v>CONTRATADO</v>
      </c>
      <c r="L2138" s="47" t="s">
        <v>94</v>
      </c>
      <c r="M2138" s="47" t="s">
        <v>255</v>
      </c>
      <c r="N2138" s="52" t="s">
        <v>1366</v>
      </c>
      <c r="O2138" s="51" t="e">
        <f>VLOOKUP(N2138,[2]!RUBROS[#All],3,0)</f>
        <v>#REF!</v>
      </c>
      <c r="P2138" s="53" t="e">
        <f>VLOOKUP(N2138,[2]!RUBROS[#All],2,0)</f>
        <v>#REF!</v>
      </c>
      <c r="Q2138" s="47" t="str">
        <f t="shared" ref="Q2138" si="698">+MID(N2138,11,2)</f>
        <v>73</v>
      </c>
      <c r="R2138" s="47" t="str">
        <f t="shared" si="680"/>
        <v>0-205128</v>
      </c>
      <c r="S2138" s="54">
        <v>2.5</v>
      </c>
      <c r="T2138" s="63" t="s">
        <v>46</v>
      </c>
      <c r="U2138" s="326" t="e">
        <f ca="1">_xlfn.XLOOKUP(PAA_4[[#This Row],[ITEM]],[2]Contrato!A:A,[2]Contrato!Q:Q,"",0)</f>
        <v>#NAME?</v>
      </c>
      <c r="V2138" s="47" t="s">
        <v>95</v>
      </c>
      <c r="W2138" s="47" t="s">
        <v>204</v>
      </c>
      <c r="X2138" s="47" t="s">
        <v>204</v>
      </c>
      <c r="Y2138" s="55" t="e">
        <f ca="1">_xlfn.XLOOKUP(PAA_4[[#This Row],[ITEM]],[2]Contrato!A:A,[2]Contrato!B:B,"",0)</f>
        <v>#NAME?</v>
      </c>
      <c r="Z2138" s="47" t="e">
        <f ca="1">_xlfn.XLOOKUP(PAA_4[[#This Row],[ITEM]],[2]Contrato!A:A,[2]Contrato!G:G,"",0)</f>
        <v>#NAME?</v>
      </c>
      <c r="AA2138" s="47" t="e">
        <f ca="1">_xlfn.XLOOKUP(PAA_4[[#This Row],[ITEM]],[2]Contrato!A:A,[2]Contrato!T:T,"",0)</f>
        <v>#NAME?</v>
      </c>
      <c r="AB2138" s="55" t="e">
        <f ca="1">+MAX(PAA_4[[#This Row],[Comprometido Contrato]],PAA_4[[#This Row],[Comprometido Bolsa]])</f>
        <v>#NAME?</v>
      </c>
      <c r="AC2138" s="55" t="str">
        <f t="shared" ref="AC2138" ca="1" si="699">IFERROR(I2138-AB2138,"")</f>
        <v/>
      </c>
      <c r="AD2138" s="55" t="e">
        <f ca="1">IF(PAA_4[[#This Row],[ESTADO (formulado)]]="NO CONTRATADO",0,MAX(PAA_4[[#This Row],[Pago por Contrato]],PAA_4[[#This Row],[Pago por bolsa]]))</f>
        <v>#NAME?</v>
      </c>
      <c r="AE2138" s="55" t="str">
        <f t="shared" ref="AE2138" ca="1" si="700">+IFERROR(AB2138-AD2138,"")</f>
        <v/>
      </c>
      <c r="AF2138" s="47" t="e">
        <f t="shared" ref="AF2138" ca="1" si="701">+CONCATENATE(AA2138,N2138)</f>
        <v>#NAME?</v>
      </c>
      <c r="AG2138" s="47">
        <f t="shared" ref="AG2138" si="702">IFERROR(_xlfn.NUMBERVALUE(MID(G2138,1,8)),"")</f>
        <v>52010703</v>
      </c>
      <c r="AH2138" s="54">
        <f>IF(Q2138="22",IF(ISNUMBER(SEARCH("econ",PAA_4[[#This Row],[Actividad3]])),"Económico",IF(ISNUMBER(SEARCH("alim",PAA_4[[#This Row],[Actividad3]])),"Alimentación",IF(ISNUMBER(SEARCH("educ",PAA_4[[#This Row],[Actividad3]])),"Educativo","Técnico"))),0)</f>
        <v>0</v>
      </c>
      <c r="AI2138" s="47" t="e" cm="1">
        <f t="array" aca="1" ref="AI2138" ca="1">_xlfn.XLOOKUP(PAA_4[[#This Row],[RCP-RUBRO]],[2]!COMPROMISOS_2024[[#All],[concatenado]],[2]!COMPROMISOS_2024[[#All],[Total pagado]],"",0)</f>
        <v>#NAME?</v>
      </c>
      <c r="AJ2138" s="56">
        <f>IF(PAA_4[[#This Row],[BOLSA]]=0,0,SUMIFS([2]!COMPROMISOS_2024[[#All],[Total pagado]],[2]!COMPROMISOS_2024[[#All],[Bolsa]],PAA_4[[#This Row],[BOLSA]],[2]!COMPROMISOS_2024[[#All],[rubro]],PAA_4[[#This Row],[RCP-RUBRO]]))</f>
        <v>0</v>
      </c>
      <c r="AK2138" s="47" t="e" cm="1">
        <f t="array" aca="1" ref="AK2138" ca="1">_xlfn.XLOOKUP(PAA_4[[#This Row],[RCP-RUBRO]],[2]!COMPROMISOS_2024[[#All],[concatenado]],[2]!COMPROMISOS_2024[[#All],[Total Comprometido]],"",0)</f>
        <v>#NAME?</v>
      </c>
      <c r="AL2138" s="47">
        <f>IF(PAA_4[[#This Row],[BOLSA]]=0,0,SUMIFS([2]!COMPROMISOS_2024[[#All],[Total Comprometido]],[2]!COMPROMISOS_2024[[#All],[Bolsa]],PAA_4[[#This Row],[BOLSA]],[2]!COMPROMISOS_2024[[#All],[concatenado]],PAA_4[[#This Row],[RCP-RUBRO]]))</f>
        <v>0</v>
      </c>
    </row>
    <row r="2139" spans="1:38" s="19" customFormat="1" ht="31.5" customHeight="1">
      <c r="A2139" s="47" t="s">
        <v>82</v>
      </c>
      <c r="B2139" s="51" t="s">
        <v>42</v>
      </c>
      <c r="C2139" s="47" t="str">
        <f>VLOOKUP(PAA_4[[#This Row],[PROYECTO (formulado)2]],[2]PROYECTOS!$G$1:$L$32,6,0)</f>
        <v>SUBGERENCIA DE FOMENTO Y DESARROLLO</v>
      </c>
      <c r="D2139" s="47" t="str">
        <f>+IF(PAA_4[[#This Row],[UNIDAD DE CONTRATACION (formulado)]]="Subgerencia Administrativa y Financiera","FUNCIONAMIENTO","INVERSIÓN")</f>
        <v>INVERSIÓN</v>
      </c>
      <c r="E2139" s="48" t="str">
        <f>VLOOKUP(Q2139,[2]PROYECTOS!$G$1:$K$32,5,0)</f>
        <v>Fortalecimiento de los juegos deportivos institucionales en los municipios del departamento de Antioquia</v>
      </c>
      <c r="F2139" s="48">
        <f>VLOOKUP(E2139,[2]PROYECTOS!$K$1:$M$32,3,0)</f>
        <v>2024003050073</v>
      </c>
      <c r="G2139" s="49" t="s">
        <v>1353</v>
      </c>
      <c r="H2139" s="49" t="str">
        <f>VLOOKUP(Q2139,[2]PROYECTOS!$V$1:$W$32,2,0)</f>
        <v>050081</v>
      </c>
      <c r="I2139" s="78">
        <v>111283743</v>
      </c>
      <c r="J2139" s="51" t="s">
        <v>1354</v>
      </c>
      <c r="K2139" s="47" t="str">
        <f ca="1">IF(ISNONTEXT(Y2139)=TRUE,"CONTRATADO","NO CONTRATADO")</f>
        <v>CONTRATADO</v>
      </c>
      <c r="L2139" s="47" t="s">
        <v>42</v>
      </c>
      <c r="M2139" s="47" t="s">
        <v>42</v>
      </c>
      <c r="N2139" s="52" t="s">
        <v>1366</v>
      </c>
      <c r="O2139" s="51" t="e">
        <f>VLOOKUP(N2139,[2]!RUBROS[#All],3,0)</f>
        <v>#REF!</v>
      </c>
      <c r="P2139" s="53" t="e">
        <f>VLOOKUP(N2139,[2]!RUBROS[#All],2,0)</f>
        <v>#REF!</v>
      </c>
      <c r="Q2139" s="47" t="str">
        <f>+MID(N2139,11,2)</f>
        <v>73</v>
      </c>
      <c r="R2139" s="47" t="str">
        <f t="shared" si="680"/>
        <v>0-205128</v>
      </c>
      <c r="S2139" s="54" t="s">
        <v>42</v>
      </c>
      <c r="T2139" s="329" t="s">
        <v>42</v>
      </c>
      <c r="U2139" s="326" t="e">
        <f ca="1">_xlfn.XLOOKUP(PAA_4[[#This Row],[ITEM]],[2]Contrato!A:A,[2]Contrato!Q:Q,"",0)</f>
        <v>#NAME?</v>
      </c>
      <c r="V2139" s="47" t="s">
        <v>95</v>
      </c>
      <c r="W2139" s="47" t="s">
        <v>42</v>
      </c>
      <c r="X2139" s="47" t="s">
        <v>42</v>
      </c>
      <c r="Y2139" s="55" t="e">
        <f ca="1">_xlfn.XLOOKUP(PAA_4[[#This Row],[ITEM]],[2]Contrato!A:A,[2]Contrato!B:B,"",0)</f>
        <v>#NAME?</v>
      </c>
      <c r="Z2139" s="47" t="e">
        <f ca="1">_xlfn.XLOOKUP(PAA_4[[#This Row],[ITEM]],[2]Contrato!A:A,[2]Contrato!G:G,"",0)</f>
        <v>#NAME?</v>
      </c>
      <c r="AA2139" s="47" t="e">
        <f ca="1">_xlfn.XLOOKUP(PAA_4[[#This Row],[ITEM]],[2]Contrato!A:A,[2]Contrato!T:T,"",0)</f>
        <v>#NAME?</v>
      </c>
      <c r="AB2139" s="55" t="e">
        <f ca="1">+MAX(PAA_4[[#This Row],[Comprometido Contrato]],PAA_4[[#This Row],[Comprometido Bolsa]])</f>
        <v>#NAME?</v>
      </c>
      <c r="AC2139" s="55" t="str">
        <f ca="1">IFERROR(I2139-AB2139,"")</f>
        <v/>
      </c>
      <c r="AD2139" s="55" t="e">
        <f ca="1">IF(PAA_4[[#This Row],[ESTADO (formulado)]]="NO CONTRATADO",0,MAX(PAA_4[[#This Row],[Pago por Contrato]],PAA_4[[#This Row],[Pago por bolsa]]))</f>
        <v>#NAME?</v>
      </c>
      <c r="AE2139" s="55" t="str">
        <f ca="1">+IFERROR(AB2139-AD2139,"")</f>
        <v/>
      </c>
      <c r="AF2139" s="47" t="e">
        <f ca="1">+CONCATENATE(AA2139,N2139)</f>
        <v>#NAME?</v>
      </c>
      <c r="AG2139" s="47">
        <f>IFERROR(_xlfn.NUMBERVALUE(MID(G2139,1,8)),"")</f>
        <v>52010703</v>
      </c>
      <c r="AH2139" s="54">
        <f>IF(Q2139="22",IF(ISNUMBER(SEARCH("econ",PAA_4[[#This Row],[Actividad3]])),"Económico",IF(ISNUMBER(SEARCH("alim",PAA_4[[#This Row],[Actividad3]])),"Alimentación",IF(ISNUMBER(SEARCH("educ",PAA_4[[#This Row],[Actividad3]])),"Educativo","Técnico"))),0)</f>
        <v>0</v>
      </c>
      <c r="AI2139" s="47" t="e" cm="1">
        <f t="array" aca="1" ref="AI2139" ca="1">_xlfn.XLOOKUP(PAA_4[[#This Row],[RCP-RUBRO]],[2]!COMPROMISOS_2024[[#All],[concatenado]],[2]!COMPROMISOS_2024[[#All],[Total pagado]],"",0)</f>
        <v>#NAME?</v>
      </c>
      <c r="AJ2139" s="56">
        <f>IF(PAA_4[[#This Row],[BOLSA]]=0,0,SUMIFS([2]!COMPROMISOS_2024[[#All],[Total pagado]],[2]!COMPROMISOS_2024[[#All],[Bolsa]],PAA_4[[#This Row],[BOLSA]],[2]!COMPROMISOS_2024[[#All],[rubro]],PAA_4[[#This Row],[RCP-RUBRO]]))</f>
        <v>0</v>
      </c>
      <c r="AK2139" s="47" t="e" cm="1">
        <f t="array" aca="1" ref="AK2139" ca="1">_xlfn.XLOOKUP(PAA_4[[#This Row],[RCP-RUBRO]],[2]!COMPROMISOS_2024[[#All],[concatenado]],[2]!COMPROMISOS_2024[[#All],[Total Comprometido]],"",0)</f>
        <v>#NAME?</v>
      </c>
      <c r="AL2139" s="47">
        <f>IF(PAA_4[[#This Row],[BOLSA]]=0,0,SUMIFS([2]!COMPROMISOS_2024[[#All],[Total Comprometido]],[2]!COMPROMISOS_2024[[#All],[Bolsa]],PAA_4[[#This Row],[BOLSA]],[2]!COMPROMISOS_2024[[#All],[concatenado]],PAA_4[[#This Row],[RCP-RUBRO]]))</f>
        <v>0</v>
      </c>
    </row>
    <row r="2140" spans="1:38" s="19" customFormat="1" ht="31.5" customHeight="1">
      <c r="A2140" s="47">
        <v>1239</v>
      </c>
      <c r="B2140" s="51" t="s">
        <v>393</v>
      </c>
      <c r="C2140" s="47" t="str">
        <f>VLOOKUP(PAA_4[[#This Row],[PROYECTO (formulado)2]],[2]PROYECTOS!$G$1:$L$32,6,0)</f>
        <v>SUBGERENCIA DE FOMENTO Y DESARROLLO</v>
      </c>
      <c r="D2140" s="47" t="str">
        <f>+IF(PAA_4[[#This Row],[UNIDAD DE CONTRATACION (formulado)]]="Subgerencia Administrativa y Financiera","FUNCIONAMIENTO","INVERSIÓN")</f>
        <v>INVERSIÓN</v>
      </c>
      <c r="E2140" s="48" t="str">
        <f>VLOOKUP(Q2140,[2]PROYECTOS!$G$1:$K$32,5,0)</f>
        <v>Fortalecimiento de los juegos deportivos institucionales en los municipios del departamento de Antioquia</v>
      </c>
      <c r="F2140" s="48">
        <f>VLOOKUP(E2140,[2]PROYECTOS!$K$1:$M$32,3,0)</f>
        <v>2024003050073</v>
      </c>
      <c r="G2140" s="49" t="s">
        <v>1353</v>
      </c>
      <c r="H2140" s="49" t="str">
        <f>VLOOKUP(Q2140,[2]PROYECTOS!$V$1:$W$32,2,0)</f>
        <v>050081</v>
      </c>
      <c r="I2140" s="78">
        <f>712059324-111283743</f>
        <v>600775581</v>
      </c>
      <c r="J2140" s="51" t="s">
        <v>2334</v>
      </c>
      <c r="K2140" s="47" t="str">
        <f t="shared" ref="K2140" ca="1" si="703">IF(ISNONTEXT(Y2140)=TRUE,"CONTRATADO","NO CONTRATADO")</f>
        <v>CONTRATADO</v>
      </c>
      <c r="L2140" s="47" t="s">
        <v>94</v>
      </c>
      <c r="M2140" s="47" t="s">
        <v>255</v>
      </c>
      <c r="N2140" s="52" t="s">
        <v>1366</v>
      </c>
      <c r="O2140" s="51" t="e">
        <f>VLOOKUP(N2140,[2]!RUBROS[#All],3,0)</f>
        <v>#REF!</v>
      </c>
      <c r="P2140" s="53" t="e">
        <f>VLOOKUP(N2140,[2]!RUBROS[#All],2,0)</f>
        <v>#REF!</v>
      </c>
      <c r="Q2140" s="47" t="str">
        <f t="shared" ref="Q2140" si="704">+MID(N2140,11,2)</f>
        <v>73</v>
      </c>
      <c r="R2140" s="47" t="str">
        <f t="shared" si="680"/>
        <v>0-205128</v>
      </c>
      <c r="S2140" s="54">
        <v>2.5</v>
      </c>
      <c r="T2140" s="63" t="s">
        <v>46</v>
      </c>
      <c r="U2140" s="326" t="e">
        <f ca="1">_xlfn.XLOOKUP(PAA_4[[#This Row],[ITEM]],[2]Contrato!A:A,[2]Contrato!Q:Q,"",0)</f>
        <v>#NAME?</v>
      </c>
      <c r="V2140" s="47" t="s">
        <v>95</v>
      </c>
      <c r="W2140" s="47" t="s">
        <v>204</v>
      </c>
      <c r="X2140" s="47" t="s">
        <v>204</v>
      </c>
      <c r="Y2140" s="55" t="e">
        <f ca="1">_xlfn.XLOOKUP(PAA_4[[#This Row],[ITEM]],[2]Contrato!A:A,[2]Contrato!B:B,"",0)</f>
        <v>#NAME?</v>
      </c>
      <c r="Z2140" s="47" t="e">
        <f ca="1">_xlfn.XLOOKUP(PAA_4[[#This Row],[ITEM]],[2]Contrato!A:A,[2]Contrato!G:G,"",0)</f>
        <v>#NAME?</v>
      </c>
      <c r="AA2140" s="47" t="e">
        <f ca="1">_xlfn.XLOOKUP(PAA_4[[#This Row],[ITEM]],[2]Contrato!A:A,[2]Contrato!T:T,"",0)</f>
        <v>#NAME?</v>
      </c>
      <c r="AB2140" s="55" t="e">
        <f ca="1">+MAX(PAA_4[[#This Row],[Comprometido Contrato]],PAA_4[[#This Row],[Comprometido Bolsa]])</f>
        <v>#NAME?</v>
      </c>
      <c r="AC2140" s="55" t="str">
        <f t="shared" ref="AC2140" ca="1" si="705">IFERROR(I2140-AB2140,"")</f>
        <v/>
      </c>
      <c r="AD2140" s="55" t="e">
        <f ca="1">IF(PAA_4[[#This Row],[ESTADO (formulado)]]="NO CONTRATADO",0,MAX(PAA_4[[#This Row],[Pago por Contrato]],PAA_4[[#This Row],[Pago por bolsa]]))</f>
        <v>#NAME?</v>
      </c>
      <c r="AE2140" s="55" t="str">
        <f t="shared" ref="AE2140" ca="1" si="706">+IFERROR(AB2140-AD2140,"")</f>
        <v/>
      </c>
      <c r="AF2140" s="47" t="e">
        <f t="shared" ref="AF2140" ca="1" si="707">+CONCATENATE(AA2140,N2140)</f>
        <v>#NAME?</v>
      </c>
      <c r="AG2140" s="47">
        <f t="shared" ref="AG2140" si="708">IFERROR(_xlfn.NUMBERVALUE(MID(G2140,1,8)),"")</f>
        <v>52010703</v>
      </c>
      <c r="AH2140" s="54">
        <f>IF(Q2140="22",IF(ISNUMBER(SEARCH("econ",PAA_4[[#This Row],[Actividad3]])),"Económico",IF(ISNUMBER(SEARCH("alim",PAA_4[[#This Row],[Actividad3]])),"Alimentación",IF(ISNUMBER(SEARCH("educ",PAA_4[[#This Row],[Actividad3]])),"Educativo","Técnico"))),0)</f>
        <v>0</v>
      </c>
      <c r="AI2140" s="47" t="e" cm="1">
        <f t="array" aca="1" ref="AI2140" ca="1">_xlfn.XLOOKUP(PAA_4[[#This Row],[RCP-RUBRO]],[2]!COMPROMISOS_2024[[#All],[concatenado]],[2]!COMPROMISOS_2024[[#All],[Total pagado]],"",0)</f>
        <v>#NAME?</v>
      </c>
      <c r="AJ2140" s="56">
        <f>IF(PAA_4[[#This Row],[BOLSA]]=0,0,SUMIFS([2]!COMPROMISOS_2024[[#All],[Total pagado]],[2]!COMPROMISOS_2024[[#All],[Bolsa]],PAA_4[[#This Row],[BOLSA]],[2]!COMPROMISOS_2024[[#All],[rubro]],PAA_4[[#This Row],[RCP-RUBRO]]))</f>
        <v>0</v>
      </c>
      <c r="AK2140" s="47" t="e" cm="1">
        <f t="array" aca="1" ref="AK2140" ca="1">_xlfn.XLOOKUP(PAA_4[[#This Row],[RCP-RUBRO]],[2]!COMPROMISOS_2024[[#All],[concatenado]],[2]!COMPROMISOS_2024[[#All],[Total Comprometido]],"",0)</f>
        <v>#NAME?</v>
      </c>
      <c r="AL2140" s="47">
        <f>IF(PAA_4[[#This Row],[BOLSA]]=0,0,SUMIFS([2]!COMPROMISOS_2024[[#All],[Total Comprometido]],[2]!COMPROMISOS_2024[[#All],[Bolsa]],PAA_4[[#This Row],[BOLSA]],[2]!COMPROMISOS_2024[[#All],[concatenado]],PAA_4[[#This Row],[RCP-RUBRO]]))</f>
        <v>0</v>
      </c>
    </row>
    <row r="2141" spans="1:38" s="19" customFormat="1" ht="31.5" customHeight="1">
      <c r="A2141" s="47" t="s">
        <v>82</v>
      </c>
      <c r="B2141" s="51" t="s">
        <v>42</v>
      </c>
      <c r="C2141" s="47" t="str">
        <f>VLOOKUP(PAA_4[[#This Row],[PROYECTO (formulado)2]],[2]PROYECTOS!$G$1:$L$32,6,0)</f>
        <v>SUBGERENCIA DE FOMENTO Y DESARROLLO</v>
      </c>
      <c r="D2141" s="47" t="str">
        <f>+IF(PAA_4[[#This Row],[UNIDAD DE CONTRATACION (formulado)]]="Subgerencia Administrativa y Financiera","FUNCIONAMIENTO","INVERSIÓN")</f>
        <v>INVERSIÓN</v>
      </c>
      <c r="E2141" s="48" t="str">
        <f>VLOOKUP(Q2141,[2]PROYECTOS!$G$1:$K$32,5,0)</f>
        <v>Fortalecimiento de los juegos deportivos institucionales en los municipios del departamento de Antioquia</v>
      </c>
      <c r="F2141" s="48">
        <f>VLOOKUP(E2141,[2]PROYECTOS!$K$1:$M$32,3,0)</f>
        <v>2024003050073</v>
      </c>
      <c r="G2141" s="49" t="s">
        <v>1353</v>
      </c>
      <c r="H2141" s="49" t="str">
        <f>VLOOKUP(Q2141,[2]PROYECTOS!$V$1:$W$32,2,0)</f>
        <v>050081</v>
      </c>
      <c r="I2141" s="78">
        <v>74386700</v>
      </c>
      <c r="J2141" s="51" t="s">
        <v>1354</v>
      </c>
      <c r="K2141" s="47" t="str">
        <f ca="1">IF(ISNONTEXT(Y2141)=TRUE,"CONTRATADO","NO CONTRATADO")</f>
        <v>CONTRATADO</v>
      </c>
      <c r="L2141" s="47" t="s">
        <v>42</v>
      </c>
      <c r="M2141" s="47" t="s">
        <v>42</v>
      </c>
      <c r="N2141" s="52" t="s">
        <v>1357</v>
      </c>
      <c r="O2141" s="51" t="e">
        <f>VLOOKUP(N2141,[2]!RUBROS[#All],3,0)</f>
        <v>#REF!</v>
      </c>
      <c r="P2141" s="53" t="e">
        <f>VLOOKUP(N2141,[2]!RUBROS[#All],2,0)</f>
        <v>#REF!</v>
      </c>
      <c r="Q2141" s="47" t="str">
        <f>+MID(N2141,11,2)</f>
        <v>73</v>
      </c>
      <c r="R2141" s="47" t="str">
        <f t="shared" si="680"/>
        <v>0-205128</v>
      </c>
      <c r="S2141" s="54" t="s">
        <v>42</v>
      </c>
      <c r="T2141" s="329" t="s">
        <v>42</v>
      </c>
      <c r="U2141" s="326" t="e">
        <f ca="1">_xlfn.XLOOKUP(PAA_4[[#This Row],[ITEM]],[2]Contrato!A:A,[2]Contrato!Q:Q,"",0)</f>
        <v>#NAME?</v>
      </c>
      <c r="V2141" s="47" t="s">
        <v>95</v>
      </c>
      <c r="W2141" s="47" t="s">
        <v>42</v>
      </c>
      <c r="X2141" s="47" t="s">
        <v>42</v>
      </c>
      <c r="Y2141" s="55" t="e">
        <f ca="1">_xlfn.XLOOKUP(PAA_4[[#This Row],[ITEM]],[2]Contrato!A:A,[2]Contrato!B:B,"",0)</f>
        <v>#NAME?</v>
      </c>
      <c r="Z2141" s="47" t="e">
        <f ca="1">_xlfn.XLOOKUP(PAA_4[[#This Row],[ITEM]],[2]Contrato!A:A,[2]Contrato!G:G,"",0)</f>
        <v>#NAME?</v>
      </c>
      <c r="AA2141" s="47" t="e">
        <f ca="1">_xlfn.XLOOKUP(PAA_4[[#This Row],[ITEM]],[2]Contrato!A:A,[2]Contrato!T:T,"",0)</f>
        <v>#NAME?</v>
      </c>
      <c r="AB2141" s="55" t="e">
        <f ca="1">+MAX(PAA_4[[#This Row],[Comprometido Contrato]],PAA_4[[#This Row],[Comprometido Bolsa]])</f>
        <v>#NAME?</v>
      </c>
      <c r="AC2141" s="55" t="str">
        <f ca="1">IFERROR(I2141-AB2141,"")</f>
        <v/>
      </c>
      <c r="AD2141" s="55" t="e">
        <f ca="1">IF(PAA_4[[#This Row],[ESTADO (formulado)]]="NO CONTRATADO",0,MAX(PAA_4[[#This Row],[Pago por Contrato]],PAA_4[[#This Row],[Pago por bolsa]]))</f>
        <v>#NAME?</v>
      </c>
      <c r="AE2141" s="55" t="str">
        <f ca="1">+IFERROR(AB2141-AD2141,"")</f>
        <v/>
      </c>
      <c r="AF2141" s="47" t="e">
        <f ca="1">+CONCATENATE(AA2141,N2141)</f>
        <v>#NAME?</v>
      </c>
      <c r="AG2141" s="47">
        <f>IFERROR(_xlfn.NUMBERVALUE(MID(G2141,1,8)),"")</f>
        <v>52010703</v>
      </c>
      <c r="AH2141" s="54">
        <f>IF(Q2141="22",IF(ISNUMBER(SEARCH("econ",PAA_4[[#This Row],[Actividad3]])),"Económico",IF(ISNUMBER(SEARCH("alim",PAA_4[[#This Row],[Actividad3]])),"Alimentación",IF(ISNUMBER(SEARCH("educ",PAA_4[[#This Row],[Actividad3]])),"Educativo","Técnico"))),0)</f>
        <v>0</v>
      </c>
      <c r="AI2141" s="47" t="e" cm="1">
        <f t="array" aca="1" ref="AI2141" ca="1">_xlfn.XLOOKUP(PAA_4[[#This Row],[RCP-RUBRO]],[2]!COMPROMISOS_2024[[#All],[concatenado]],[2]!COMPROMISOS_2024[[#All],[Total pagado]],"",0)</f>
        <v>#NAME?</v>
      </c>
      <c r="AJ2141" s="56">
        <f>IF(PAA_4[[#This Row],[BOLSA]]=0,0,SUMIFS([2]!COMPROMISOS_2024[[#All],[Total pagado]],[2]!COMPROMISOS_2024[[#All],[Bolsa]],PAA_4[[#This Row],[BOLSA]],[2]!COMPROMISOS_2024[[#All],[rubro]],PAA_4[[#This Row],[RCP-RUBRO]]))</f>
        <v>0</v>
      </c>
      <c r="AK2141" s="47" t="e" cm="1">
        <f t="array" aca="1" ref="AK2141" ca="1">_xlfn.XLOOKUP(PAA_4[[#This Row],[RCP-RUBRO]],[2]!COMPROMISOS_2024[[#All],[concatenado]],[2]!COMPROMISOS_2024[[#All],[Total Comprometido]],"",0)</f>
        <v>#NAME?</v>
      </c>
      <c r="AL2141" s="47">
        <f>IF(PAA_4[[#This Row],[BOLSA]]=0,0,SUMIFS([2]!COMPROMISOS_2024[[#All],[Total Comprometido]],[2]!COMPROMISOS_2024[[#All],[Bolsa]],PAA_4[[#This Row],[BOLSA]],[2]!COMPROMISOS_2024[[#All],[concatenado]],PAA_4[[#This Row],[RCP-RUBRO]]))</f>
        <v>0</v>
      </c>
    </row>
    <row r="2142" spans="1:38" s="19" customFormat="1" ht="31.5" customHeight="1">
      <c r="A2142" s="47">
        <v>1239</v>
      </c>
      <c r="B2142" s="47" t="s">
        <v>393</v>
      </c>
      <c r="C2142" s="47" t="str">
        <f>VLOOKUP(PAA_4[[#This Row],[PROYECTO (formulado)2]],[2]PROYECTOS!$G$1:$L$32,6,0)</f>
        <v>SUBGERENCIA DE FOMENTO Y DESARROLLO</v>
      </c>
      <c r="D2142" s="47" t="str">
        <f>+IF(PAA_4[[#This Row],[UNIDAD DE CONTRATACION (formulado)]]="Subgerencia Administrativa y Financiera","FUNCIONAMIENTO","INVERSIÓN")</f>
        <v>INVERSIÓN</v>
      </c>
      <c r="E2142" s="48" t="str">
        <f>VLOOKUP(Q2142,[2]PROYECTOS!$G$1:$K$32,5,0)</f>
        <v>Fortalecimiento de los juegos deportivos institucionales en los municipios del departamento de Antioquia</v>
      </c>
      <c r="F2142" s="48">
        <f>VLOOKUP(E2142,[2]PROYECTOS!$K$1:$M$32,3,0)</f>
        <v>2024003050073</v>
      </c>
      <c r="G2142" s="49" t="s">
        <v>1353</v>
      </c>
      <c r="H2142" s="49" t="str">
        <f>VLOOKUP(Q2142,[2]PROYECTOS!$V$1:$W$32,2,0)</f>
        <v>050081</v>
      </c>
      <c r="I2142" s="78">
        <f>74386700-74386700</f>
        <v>0</v>
      </c>
      <c r="J2142" s="51" t="s">
        <v>2334</v>
      </c>
      <c r="K2142" s="47" t="str">
        <f t="shared" ref="K2142" ca="1" si="709">IF(ISNONTEXT(Y2142)=TRUE,"CONTRATADO","NO CONTRATADO")</f>
        <v>CONTRATADO</v>
      </c>
      <c r="L2142" s="47" t="s">
        <v>94</v>
      </c>
      <c r="M2142" s="47" t="s">
        <v>255</v>
      </c>
      <c r="N2142" s="52" t="s">
        <v>1357</v>
      </c>
      <c r="O2142" s="51" t="e">
        <f>VLOOKUP(N2142,[2]!RUBROS[#All],3,0)</f>
        <v>#REF!</v>
      </c>
      <c r="P2142" s="53" t="e">
        <f>VLOOKUP(N2142,[2]!RUBROS[#All],2,0)</f>
        <v>#REF!</v>
      </c>
      <c r="Q2142" s="47" t="str">
        <f t="shared" ref="Q2142" si="710">+MID(N2142,11,2)</f>
        <v>73</v>
      </c>
      <c r="R2142" s="47" t="str">
        <f t="shared" si="680"/>
        <v>0-205128</v>
      </c>
      <c r="S2142" s="54">
        <v>2</v>
      </c>
      <c r="T2142" s="63" t="s">
        <v>46</v>
      </c>
      <c r="U2142" s="326" t="e">
        <f ca="1">_xlfn.XLOOKUP(PAA_4[[#This Row],[ITEM]],[2]Contrato!A:A,[2]Contrato!Q:Q,"",0)</f>
        <v>#NAME?</v>
      </c>
      <c r="V2142" s="47" t="s">
        <v>95</v>
      </c>
      <c r="W2142" s="47" t="s">
        <v>204</v>
      </c>
      <c r="X2142" s="47" t="s">
        <v>204</v>
      </c>
      <c r="Y2142" s="55" t="e">
        <f ca="1">_xlfn.XLOOKUP(PAA_4[[#This Row],[ITEM]],[2]Contrato!A:A,[2]Contrato!B:B,"",0)</f>
        <v>#NAME?</v>
      </c>
      <c r="Z2142" s="47" t="e">
        <f ca="1">_xlfn.XLOOKUP(PAA_4[[#This Row],[ITEM]],[2]Contrato!A:A,[2]Contrato!G:G,"",0)</f>
        <v>#NAME?</v>
      </c>
      <c r="AA2142" s="47" t="e">
        <f ca="1">_xlfn.XLOOKUP(PAA_4[[#This Row],[ITEM]],[2]Contrato!A:A,[2]Contrato!T:T,"",0)</f>
        <v>#NAME?</v>
      </c>
      <c r="AB2142" s="55" t="e">
        <f ca="1">+MAX(PAA_4[[#This Row],[Comprometido Contrato]],PAA_4[[#This Row],[Comprometido Bolsa]])</f>
        <v>#NAME?</v>
      </c>
      <c r="AC2142" s="55" t="str">
        <f t="shared" ref="AC2142" ca="1" si="711">IFERROR(I2142-AB2142,"")</f>
        <v/>
      </c>
      <c r="AD2142" s="55" t="e">
        <f ca="1">IF(PAA_4[[#This Row],[ESTADO (formulado)]]="NO CONTRATADO",0,MAX(PAA_4[[#This Row],[Pago por Contrato]],PAA_4[[#This Row],[Pago por bolsa]]))</f>
        <v>#NAME?</v>
      </c>
      <c r="AE2142" s="55" t="str">
        <f t="shared" ref="AE2142" ca="1" si="712">+IFERROR(AB2142-AD2142,"")</f>
        <v/>
      </c>
      <c r="AF2142" s="47" t="e">
        <f t="shared" ref="AF2142" ca="1" si="713">+CONCATENATE(AA2142,N2142)</f>
        <v>#NAME?</v>
      </c>
      <c r="AG2142" s="47">
        <f t="shared" ref="AG2142" si="714">IFERROR(_xlfn.NUMBERVALUE(MID(G2142,1,8)),"")</f>
        <v>52010703</v>
      </c>
      <c r="AH2142" s="54">
        <f>IF(Q2142="22",IF(ISNUMBER(SEARCH("econ",PAA_4[[#This Row],[Actividad3]])),"Económico",IF(ISNUMBER(SEARCH("alim",PAA_4[[#This Row],[Actividad3]])),"Alimentación",IF(ISNUMBER(SEARCH("educ",PAA_4[[#This Row],[Actividad3]])),"Educativo","Técnico"))),0)</f>
        <v>0</v>
      </c>
      <c r="AI2142" s="47" t="e" cm="1">
        <f t="array" aca="1" ref="AI2142" ca="1">_xlfn.XLOOKUP(PAA_4[[#This Row],[RCP-RUBRO]],[2]!COMPROMISOS_2024[[#All],[concatenado]],[2]!COMPROMISOS_2024[[#All],[Total pagado]],"",0)</f>
        <v>#NAME?</v>
      </c>
      <c r="AJ2142" s="56">
        <f>IF(PAA_4[[#This Row],[BOLSA]]=0,0,SUMIFS([2]!COMPROMISOS_2024[[#All],[Total pagado]],[2]!COMPROMISOS_2024[[#All],[Bolsa]],PAA_4[[#This Row],[BOLSA]],[2]!COMPROMISOS_2024[[#All],[rubro]],PAA_4[[#This Row],[RCP-RUBRO]]))</f>
        <v>0</v>
      </c>
      <c r="AK2142" s="47" t="e" cm="1">
        <f t="array" aca="1" ref="AK2142" ca="1">_xlfn.XLOOKUP(PAA_4[[#This Row],[RCP-RUBRO]],[2]!COMPROMISOS_2024[[#All],[concatenado]],[2]!COMPROMISOS_2024[[#All],[Total Comprometido]],"",0)</f>
        <v>#NAME?</v>
      </c>
      <c r="AL2142" s="47">
        <f>IF(PAA_4[[#This Row],[BOLSA]]=0,0,SUMIFS([2]!COMPROMISOS_2024[[#All],[Total Comprometido]],[2]!COMPROMISOS_2024[[#All],[Bolsa]],PAA_4[[#This Row],[BOLSA]],[2]!COMPROMISOS_2024[[#All],[concatenado]],PAA_4[[#This Row],[RCP-RUBRO]]))</f>
        <v>0</v>
      </c>
    </row>
    <row r="2143" spans="1:38" s="19" customFormat="1" ht="31.5" customHeight="1">
      <c r="A2143" s="47" t="s">
        <v>82</v>
      </c>
      <c r="B2143" s="47" t="s">
        <v>42</v>
      </c>
      <c r="C2143" s="47" t="str">
        <f>VLOOKUP(PAA_4[[#This Row],[PROYECTO (formulado)2]],[2]PROYECTOS!$G$1:$L$32,6,0)</f>
        <v>SUBGERENCIA DE FOMENTO Y DESARROLLO</v>
      </c>
      <c r="D2143" s="47" t="str">
        <f>+IF(PAA_4[[#This Row],[UNIDAD DE CONTRATACION (formulado)]]="Subgerencia Administrativa y Financiera","FUNCIONAMIENTO","INVERSIÓN")</f>
        <v>INVERSIÓN</v>
      </c>
      <c r="E2143" s="48" t="str">
        <f>VLOOKUP(Q2143,[2]PROYECTOS!$G$1:$K$32,5,0)</f>
        <v>Fortalecimiento de los juegos deportivos institucionales en los municipios del departamento de Antioquia</v>
      </c>
      <c r="F2143" s="48">
        <f>VLOOKUP(E2143,[2]PROYECTOS!$K$1:$M$32,3,0)</f>
        <v>2024003050073</v>
      </c>
      <c r="G2143" s="49" t="s">
        <v>1353</v>
      </c>
      <c r="H2143" s="49" t="str">
        <f>VLOOKUP(Q2143,[2]PROYECTOS!$V$1:$W$32,2,0)</f>
        <v>050081</v>
      </c>
      <c r="I2143" s="78">
        <v>63178819</v>
      </c>
      <c r="J2143" s="51" t="s">
        <v>1368</v>
      </c>
      <c r="K2143" s="47" t="str">
        <f ca="1">IF(ISNONTEXT(Y2143)=TRUE,"CONTRATADO","NO CONTRATADO")</f>
        <v>CONTRATADO</v>
      </c>
      <c r="L2143" s="47" t="s">
        <v>42</v>
      </c>
      <c r="M2143" s="47" t="s">
        <v>42</v>
      </c>
      <c r="N2143" s="52" t="s">
        <v>1366</v>
      </c>
      <c r="O2143" s="51" t="e">
        <f>VLOOKUP(N2143,[2]!RUBROS[#All],3,0)</f>
        <v>#REF!</v>
      </c>
      <c r="P2143" s="53" t="e">
        <f>VLOOKUP(N2143,[2]!RUBROS[#All],2,0)</f>
        <v>#REF!</v>
      </c>
      <c r="Q2143" s="47" t="str">
        <f>+MID(N2143,11,2)</f>
        <v>73</v>
      </c>
      <c r="R2143" s="47" t="str">
        <f t="shared" si="680"/>
        <v>0-205128</v>
      </c>
      <c r="S2143" s="54" t="s">
        <v>42</v>
      </c>
      <c r="T2143" s="63" t="s">
        <v>42</v>
      </c>
      <c r="U2143" s="326" t="e">
        <f ca="1">_xlfn.XLOOKUP(PAA_4[[#This Row],[ITEM]],[2]Contrato!A:A,[2]Contrato!Q:Q,"",0)</f>
        <v>#NAME?</v>
      </c>
      <c r="V2143" s="47" t="s">
        <v>47</v>
      </c>
      <c r="W2143" s="47" t="s">
        <v>42</v>
      </c>
      <c r="X2143" s="47" t="s">
        <v>42</v>
      </c>
      <c r="Y2143" s="55" t="e">
        <f ca="1">_xlfn.XLOOKUP(PAA_4[[#This Row],[ITEM]],[2]Contrato!A:A,[2]Contrato!B:B,"",0)</f>
        <v>#NAME?</v>
      </c>
      <c r="Z2143" s="47" t="e">
        <f ca="1">_xlfn.XLOOKUP(PAA_4[[#This Row],[ITEM]],[2]Contrato!A:A,[2]Contrato!G:G,"",0)</f>
        <v>#NAME?</v>
      </c>
      <c r="AA2143" s="47" t="e">
        <f ca="1">_xlfn.XLOOKUP(PAA_4[[#This Row],[ITEM]],[2]Contrato!A:A,[2]Contrato!T:T,"",0)</f>
        <v>#NAME?</v>
      </c>
      <c r="AB2143" s="55" t="e">
        <f ca="1">+MAX(PAA_4[[#This Row],[Comprometido Contrato]],PAA_4[[#This Row],[Comprometido Bolsa]])</f>
        <v>#NAME?</v>
      </c>
      <c r="AC2143" s="55" t="str">
        <f ca="1">IFERROR(I2143-AB2143,"")</f>
        <v/>
      </c>
      <c r="AD2143" s="55" t="e">
        <f ca="1">IF(PAA_4[[#This Row],[ESTADO (formulado)]]="NO CONTRATADO",0,MAX(PAA_4[[#This Row],[Pago por Contrato]],PAA_4[[#This Row],[Pago por bolsa]]))</f>
        <v>#NAME?</v>
      </c>
      <c r="AE2143" s="55" t="str">
        <f ca="1">+IFERROR(AB2143-AD2143,"")</f>
        <v/>
      </c>
      <c r="AF2143" s="47" t="e">
        <f ca="1">+CONCATENATE(AA2143,N2143)</f>
        <v>#NAME?</v>
      </c>
      <c r="AG2143" s="47">
        <f>IFERROR(_xlfn.NUMBERVALUE(MID(G2143,1,8)),"")</f>
        <v>52010703</v>
      </c>
      <c r="AH2143" s="54">
        <f>IF(Q2143="22",IF(ISNUMBER(SEARCH("econ",PAA_4[[#This Row],[Actividad3]])),"Económico",IF(ISNUMBER(SEARCH("alim",PAA_4[[#This Row],[Actividad3]])),"Alimentación",IF(ISNUMBER(SEARCH("educ",PAA_4[[#This Row],[Actividad3]])),"Educativo","Técnico"))),0)</f>
        <v>0</v>
      </c>
      <c r="AI2143" s="47" t="e" cm="1">
        <f t="array" aca="1" ref="AI2143" ca="1">_xlfn.XLOOKUP(PAA_4[[#This Row],[RCP-RUBRO]],[2]!COMPROMISOS_2024[[#All],[concatenado]],[2]!COMPROMISOS_2024[[#All],[Total pagado]],"",0)</f>
        <v>#NAME?</v>
      </c>
      <c r="AJ2143" s="56">
        <f>IF(PAA_4[[#This Row],[BOLSA]]=0,0,SUMIFS([2]!COMPROMISOS_2024[[#All],[Total pagado]],[2]!COMPROMISOS_2024[[#All],[Bolsa]],PAA_4[[#This Row],[BOLSA]],[2]!COMPROMISOS_2024[[#All],[rubro]],PAA_4[[#This Row],[RCP-RUBRO]]))</f>
        <v>0</v>
      </c>
      <c r="AK2143" s="47" t="e" cm="1">
        <f t="array" aca="1" ref="AK2143" ca="1">_xlfn.XLOOKUP(PAA_4[[#This Row],[RCP-RUBRO]],[2]!COMPROMISOS_2024[[#All],[concatenado]],[2]!COMPROMISOS_2024[[#All],[Total Comprometido]],"",0)</f>
        <v>#NAME?</v>
      </c>
      <c r="AL2143" s="47">
        <f>IF(PAA_4[[#This Row],[BOLSA]]=0,0,SUMIFS([2]!COMPROMISOS_2024[[#All],[Total Comprometido]],[2]!COMPROMISOS_2024[[#All],[Bolsa]],PAA_4[[#This Row],[BOLSA]],[2]!COMPROMISOS_2024[[#All],[concatenado]],PAA_4[[#This Row],[RCP-RUBRO]]))</f>
        <v>0</v>
      </c>
    </row>
    <row r="2144" spans="1:38" s="19" customFormat="1" ht="31.5" customHeight="1">
      <c r="A2144" s="47">
        <v>1240</v>
      </c>
      <c r="B2144" s="51" t="s">
        <v>393</v>
      </c>
      <c r="C2144" s="47" t="str">
        <f>VLOOKUP(PAA_4[[#This Row],[PROYECTO (formulado)2]],[2]PROYECTOS!$G$1:$L$32,6,0)</f>
        <v>SUBGERENCIA DE FOMENTO Y DESARROLLO</v>
      </c>
      <c r="D2144" s="47" t="str">
        <f>+IF(PAA_4[[#This Row],[UNIDAD DE CONTRATACION (formulado)]]="Subgerencia Administrativa y Financiera","FUNCIONAMIENTO","INVERSIÓN")</f>
        <v>INVERSIÓN</v>
      </c>
      <c r="E2144" s="48" t="str">
        <f>VLOOKUP(Q2144,[2]PROYECTOS!$G$1:$K$32,5,0)</f>
        <v>Fortalecimiento de los juegos deportivos institucionales en los municipios del departamento de Antioquia</v>
      </c>
      <c r="F2144" s="48">
        <f>VLOOKUP(E2144,[2]PROYECTOS!$K$1:$M$32,3,0)</f>
        <v>2024003050073</v>
      </c>
      <c r="G2144" s="49" t="s">
        <v>1353</v>
      </c>
      <c r="H2144" s="49" t="str">
        <f>VLOOKUP(Q2144,[2]PROYECTOS!$V$1:$W$32,2,0)</f>
        <v>050081</v>
      </c>
      <c r="I2144" s="78">
        <f>435335991-63178819</f>
        <v>372157172</v>
      </c>
      <c r="J2144" s="51" t="s">
        <v>2335</v>
      </c>
      <c r="K2144" s="47" t="str">
        <f t="shared" ref="K2144" ca="1" si="715">IF(ISNONTEXT(Y2144)=TRUE,"CONTRATADO","NO CONTRATADO")</f>
        <v>CONTRATADO</v>
      </c>
      <c r="L2144" s="47" t="s">
        <v>94</v>
      </c>
      <c r="M2144" s="47" t="s">
        <v>255</v>
      </c>
      <c r="N2144" s="52" t="s">
        <v>1366</v>
      </c>
      <c r="O2144" s="51" t="e">
        <f>VLOOKUP(N2144,[2]!RUBROS[#All],3,0)</f>
        <v>#REF!</v>
      </c>
      <c r="P2144" s="53" t="e">
        <f>VLOOKUP(N2144,[2]!RUBROS[#All],2,0)</f>
        <v>#REF!</v>
      </c>
      <c r="Q2144" s="47" t="str">
        <f t="shared" ref="Q2144" si="716">+MID(N2144,11,2)</f>
        <v>73</v>
      </c>
      <c r="R2144" s="47" t="str">
        <f t="shared" si="680"/>
        <v>0-205128</v>
      </c>
      <c r="S2144" s="54">
        <v>2.5</v>
      </c>
      <c r="T2144" s="63" t="s">
        <v>46</v>
      </c>
      <c r="U2144" s="326" t="e">
        <f ca="1">_xlfn.XLOOKUP(PAA_4[[#This Row],[ITEM]],[2]Contrato!A:A,[2]Contrato!Q:Q,"",0)</f>
        <v>#NAME?</v>
      </c>
      <c r="V2144" s="47" t="s">
        <v>95</v>
      </c>
      <c r="W2144" s="47" t="s">
        <v>204</v>
      </c>
      <c r="X2144" s="47" t="s">
        <v>204</v>
      </c>
      <c r="Y2144" s="55" t="e">
        <f ca="1">_xlfn.XLOOKUP(PAA_4[[#This Row],[ITEM]],[2]Contrato!A:A,[2]Contrato!B:B,"",0)</f>
        <v>#NAME?</v>
      </c>
      <c r="Z2144" s="47" t="e">
        <f ca="1">_xlfn.XLOOKUP(PAA_4[[#This Row],[ITEM]],[2]Contrato!A:A,[2]Contrato!G:G,"",0)</f>
        <v>#NAME?</v>
      </c>
      <c r="AA2144" s="47" t="e">
        <f ca="1">_xlfn.XLOOKUP(PAA_4[[#This Row],[ITEM]],[2]Contrato!A:A,[2]Contrato!T:T,"",0)</f>
        <v>#NAME?</v>
      </c>
      <c r="AB2144" s="55" t="e">
        <f ca="1">+MAX(PAA_4[[#This Row],[Comprometido Contrato]],PAA_4[[#This Row],[Comprometido Bolsa]])</f>
        <v>#NAME?</v>
      </c>
      <c r="AC2144" s="55" t="str">
        <f t="shared" ref="AC2144" ca="1" si="717">IFERROR(I2144-AB2144,"")</f>
        <v/>
      </c>
      <c r="AD2144" s="55" t="e">
        <f ca="1">IF(PAA_4[[#This Row],[ESTADO (formulado)]]="NO CONTRATADO",0,MAX(PAA_4[[#This Row],[Pago por Contrato]],PAA_4[[#This Row],[Pago por bolsa]]))</f>
        <v>#NAME?</v>
      </c>
      <c r="AE2144" s="55" t="str">
        <f t="shared" ref="AE2144" ca="1" si="718">+IFERROR(AB2144-AD2144,"")</f>
        <v/>
      </c>
      <c r="AF2144" s="47" t="e">
        <f t="shared" ref="AF2144" ca="1" si="719">+CONCATENATE(AA2144,N2144)</f>
        <v>#NAME?</v>
      </c>
      <c r="AG2144" s="47">
        <f t="shared" ref="AG2144" si="720">IFERROR(_xlfn.NUMBERVALUE(MID(G2144,1,8)),"")</f>
        <v>52010703</v>
      </c>
      <c r="AH2144" s="54">
        <f>IF(Q2144="22",IF(ISNUMBER(SEARCH("econ",PAA_4[[#This Row],[Actividad3]])),"Económico",IF(ISNUMBER(SEARCH("alim",PAA_4[[#This Row],[Actividad3]])),"Alimentación",IF(ISNUMBER(SEARCH("educ",PAA_4[[#This Row],[Actividad3]])),"Educativo","Técnico"))),0)</f>
        <v>0</v>
      </c>
      <c r="AI2144" s="47" t="e" cm="1">
        <f t="array" aca="1" ref="AI2144" ca="1">_xlfn.XLOOKUP(PAA_4[[#This Row],[RCP-RUBRO]],[2]!COMPROMISOS_2024[[#All],[concatenado]],[2]!COMPROMISOS_2024[[#All],[Total pagado]],"",0)</f>
        <v>#NAME?</v>
      </c>
      <c r="AJ2144" s="56">
        <f>IF(PAA_4[[#This Row],[BOLSA]]=0,0,SUMIFS([2]!COMPROMISOS_2024[[#All],[Total pagado]],[2]!COMPROMISOS_2024[[#All],[Bolsa]],PAA_4[[#This Row],[BOLSA]],[2]!COMPROMISOS_2024[[#All],[rubro]],PAA_4[[#This Row],[RCP-RUBRO]]))</f>
        <v>0</v>
      </c>
      <c r="AK2144" s="47" t="e" cm="1">
        <f t="array" aca="1" ref="AK2144" ca="1">_xlfn.XLOOKUP(PAA_4[[#This Row],[RCP-RUBRO]],[2]!COMPROMISOS_2024[[#All],[concatenado]],[2]!COMPROMISOS_2024[[#All],[Total Comprometido]],"",0)</f>
        <v>#NAME?</v>
      </c>
      <c r="AL2144" s="47">
        <f>IF(PAA_4[[#This Row],[BOLSA]]=0,0,SUMIFS([2]!COMPROMISOS_2024[[#All],[Total Comprometido]],[2]!COMPROMISOS_2024[[#All],[Bolsa]],PAA_4[[#This Row],[BOLSA]],[2]!COMPROMISOS_2024[[#All],[concatenado]],PAA_4[[#This Row],[RCP-RUBRO]]))</f>
        <v>0</v>
      </c>
    </row>
    <row r="2145" spans="1:38" s="19" customFormat="1" ht="31.5" customHeight="1">
      <c r="A2145" s="47" t="s">
        <v>82</v>
      </c>
      <c r="B2145" s="47" t="s">
        <v>42</v>
      </c>
      <c r="C2145" s="47" t="str">
        <f>VLOOKUP(PAA_4[[#This Row],[PROYECTO (formulado)2]],[2]PROYECTOS!$G$1:$L$32,6,0)</f>
        <v>SUBGERENCIA DE FOMENTO Y DESARROLLO</v>
      </c>
      <c r="D2145" s="47" t="str">
        <f>+IF(PAA_4[[#This Row],[UNIDAD DE CONTRATACION (formulado)]]="Subgerencia Administrativa y Financiera","FUNCIONAMIENTO","INVERSIÓN")</f>
        <v>INVERSIÓN</v>
      </c>
      <c r="E2145" s="48" t="str">
        <f>VLOOKUP(Q2145,[2]PROYECTOS!$G$1:$K$32,5,0)</f>
        <v>Fortalecimiento de los juegos deportivos institucionales en los municipios del departamento de Antioquia</v>
      </c>
      <c r="F2145" s="48">
        <f>VLOOKUP(E2145,[2]PROYECTOS!$K$1:$M$32,3,0)</f>
        <v>2024003050073</v>
      </c>
      <c r="G2145" s="49" t="s">
        <v>1353</v>
      </c>
      <c r="H2145" s="49" t="str">
        <f>VLOOKUP(Q2145,[2]PROYECTOS!$V$1:$W$32,2,0)</f>
        <v>050081</v>
      </c>
      <c r="I2145" s="78">
        <v>2769886</v>
      </c>
      <c r="J2145" s="51" t="s">
        <v>1368</v>
      </c>
      <c r="K2145" s="47" t="str">
        <f ca="1">IF(ISNONTEXT(Y2145)=TRUE,"CONTRATADO","NO CONTRATADO")</f>
        <v>CONTRATADO</v>
      </c>
      <c r="L2145" s="47" t="s">
        <v>42</v>
      </c>
      <c r="M2145" s="47" t="s">
        <v>42</v>
      </c>
      <c r="N2145" s="52" t="s">
        <v>1362</v>
      </c>
      <c r="O2145" s="51" t="e">
        <f>VLOOKUP(N2145,[2]!RUBROS[#All],3,0)</f>
        <v>#REF!</v>
      </c>
      <c r="P2145" s="53" t="e">
        <f>VLOOKUP(N2145,[2]!RUBROS[#All],2,0)</f>
        <v>#REF!</v>
      </c>
      <c r="Q2145" s="47" t="str">
        <f>+MID(N2145,11,2)</f>
        <v>73</v>
      </c>
      <c r="R2145" s="47" t="str">
        <f t="shared" si="680"/>
        <v>0-101024</v>
      </c>
      <c r="S2145" s="54" t="s">
        <v>42</v>
      </c>
      <c r="T2145" s="63" t="s">
        <v>42</v>
      </c>
      <c r="U2145" s="326" t="e">
        <f ca="1">_xlfn.XLOOKUP(PAA_4[[#This Row],[ITEM]],[2]Contrato!A:A,[2]Contrato!Q:Q,"",0)</f>
        <v>#NAME?</v>
      </c>
      <c r="V2145" s="47" t="s">
        <v>47</v>
      </c>
      <c r="W2145" s="47" t="s">
        <v>42</v>
      </c>
      <c r="X2145" s="47" t="s">
        <v>42</v>
      </c>
      <c r="Y2145" s="55" t="e">
        <f ca="1">_xlfn.XLOOKUP(PAA_4[[#This Row],[ITEM]],[2]Contrato!A:A,[2]Contrato!B:B,"",0)</f>
        <v>#NAME?</v>
      </c>
      <c r="Z2145" s="47" t="e">
        <f ca="1">_xlfn.XLOOKUP(PAA_4[[#This Row],[ITEM]],[2]Contrato!A:A,[2]Contrato!G:G,"",0)</f>
        <v>#NAME?</v>
      </c>
      <c r="AA2145" s="47" t="e">
        <f ca="1">_xlfn.XLOOKUP(PAA_4[[#This Row],[ITEM]],[2]Contrato!A:A,[2]Contrato!T:T,"",0)</f>
        <v>#NAME?</v>
      </c>
      <c r="AB2145" s="55" t="e">
        <f ca="1">+MAX(PAA_4[[#This Row],[Comprometido Contrato]],PAA_4[[#This Row],[Comprometido Bolsa]])</f>
        <v>#NAME?</v>
      </c>
      <c r="AC2145" s="55" t="str">
        <f ca="1">IFERROR(I2145-AB2145,"")</f>
        <v/>
      </c>
      <c r="AD2145" s="55" t="e">
        <f ca="1">IF(PAA_4[[#This Row],[ESTADO (formulado)]]="NO CONTRATADO",0,MAX(PAA_4[[#This Row],[Pago por Contrato]],PAA_4[[#This Row],[Pago por bolsa]]))</f>
        <v>#NAME?</v>
      </c>
      <c r="AE2145" s="55" t="str">
        <f ca="1">+IFERROR(AB2145-AD2145,"")</f>
        <v/>
      </c>
      <c r="AF2145" s="47" t="e">
        <f ca="1">+CONCATENATE(AA2145,N2145)</f>
        <v>#NAME?</v>
      </c>
      <c r="AG2145" s="47">
        <f>IFERROR(_xlfn.NUMBERVALUE(MID(G2145,1,8)),"")</f>
        <v>52010703</v>
      </c>
      <c r="AH2145" s="54">
        <f>IF(Q2145="22",IF(ISNUMBER(SEARCH("econ",PAA_4[[#This Row],[Actividad3]])),"Económico",IF(ISNUMBER(SEARCH("alim",PAA_4[[#This Row],[Actividad3]])),"Alimentación",IF(ISNUMBER(SEARCH("educ",PAA_4[[#This Row],[Actividad3]])),"Educativo","Técnico"))),0)</f>
        <v>0</v>
      </c>
      <c r="AI2145" s="47" t="e" cm="1">
        <f t="array" aca="1" ref="AI2145" ca="1">_xlfn.XLOOKUP(PAA_4[[#This Row],[RCP-RUBRO]],[2]!COMPROMISOS_2024[[#All],[concatenado]],[2]!COMPROMISOS_2024[[#All],[Total pagado]],"",0)</f>
        <v>#NAME?</v>
      </c>
      <c r="AJ2145" s="56">
        <f>IF(PAA_4[[#This Row],[BOLSA]]=0,0,SUMIFS([2]!COMPROMISOS_2024[[#All],[Total pagado]],[2]!COMPROMISOS_2024[[#All],[Bolsa]],PAA_4[[#This Row],[BOLSA]],[2]!COMPROMISOS_2024[[#All],[rubro]],PAA_4[[#This Row],[RCP-RUBRO]]))</f>
        <v>0</v>
      </c>
      <c r="AK2145" s="47" t="e" cm="1">
        <f t="array" aca="1" ref="AK2145" ca="1">_xlfn.XLOOKUP(PAA_4[[#This Row],[RCP-RUBRO]],[2]!COMPROMISOS_2024[[#All],[concatenado]],[2]!COMPROMISOS_2024[[#All],[Total Comprometido]],"",0)</f>
        <v>#NAME?</v>
      </c>
      <c r="AL2145" s="47">
        <f>IF(PAA_4[[#This Row],[BOLSA]]=0,0,SUMIFS([2]!COMPROMISOS_2024[[#All],[Total Comprometido]],[2]!COMPROMISOS_2024[[#All],[Bolsa]],PAA_4[[#This Row],[BOLSA]],[2]!COMPROMISOS_2024[[#All],[concatenado]],PAA_4[[#This Row],[RCP-RUBRO]]))</f>
        <v>0</v>
      </c>
    </row>
    <row r="2146" spans="1:38" s="19" customFormat="1" ht="31.5" customHeight="1">
      <c r="A2146" s="47">
        <v>1240</v>
      </c>
      <c r="B2146" s="51" t="s">
        <v>393</v>
      </c>
      <c r="C2146" s="47" t="str">
        <f>VLOOKUP(PAA_4[[#This Row],[PROYECTO (formulado)2]],[2]PROYECTOS!$G$1:$L$32,6,0)</f>
        <v>SUBGERENCIA DE FOMENTO Y DESARROLLO</v>
      </c>
      <c r="D2146" s="47" t="str">
        <f>+IF(PAA_4[[#This Row],[UNIDAD DE CONTRATACION (formulado)]]="Subgerencia Administrativa y Financiera","FUNCIONAMIENTO","INVERSIÓN")</f>
        <v>INVERSIÓN</v>
      </c>
      <c r="E2146" s="48" t="str">
        <f>VLOOKUP(Q2146,[2]PROYECTOS!$G$1:$K$32,5,0)</f>
        <v>Fortalecimiento de los juegos deportivos institucionales en los municipios del departamento de Antioquia</v>
      </c>
      <c r="F2146" s="48">
        <f>VLOOKUP(E2146,[2]PROYECTOS!$K$1:$M$32,3,0)</f>
        <v>2024003050073</v>
      </c>
      <c r="G2146" s="49" t="s">
        <v>1353</v>
      </c>
      <c r="H2146" s="49" t="str">
        <f>VLOOKUP(Q2146,[2]PROYECTOS!$V$1:$W$32,2,0)</f>
        <v>050081</v>
      </c>
      <c r="I2146" s="78">
        <f>11633523-2769886</f>
        <v>8863637</v>
      </c>
      <c r="J2146" s="51" t="s">
        <v>2335</v>
      </c>
      <c r="K2146" s="47" t="str">
        <f t="shared" ref="K2146:K2154" ca="1" si="721">IF(ISNONTEXT(Y2146)=TRUE,"CONTRATADO","NO CONTRATADO")</f>
        <v>CONTRATADO</v>
      </c>
      <c r="L2146" s="47" t="s">
        <v>94</v>
      </c>
      <c r="M2146" s="47" t="s">
        <v>255</v>
      </c>
      <c r="N2146" s="52" t="s">
        <v>1362</v>
      </c>
      <c r="O2146" s="51" t="e">
        <f>VLOOKUP(N2146,[2]!RUBROS[#All],3,0)</f>
        <v>#REF!</v>
      </c>
      <c r="P2146" s="53" t="e">
        <f>VLOOKUP(N2146,[2]!RUBROS[#All],2,0)</f>
        <v>#REF!</v>
      </c>
      <c r="Q2146" s="47" t="str">
        <f t="shared" ref="Q2146:Q2154" si="722">+MID(N2146,11,2)</f>
        <v>73</v>
      </c>
      <c r="R2146" s="47" t="str">
        <f t="shared" si="680"/>
        <v>0-101024</v>
      </c>
      <c r="S2146" s="54">
        <v>2.5</v>
      </c>
      <c r="T2146" s="63" t="s">
        <v>46</v>
      </c>
      <c r="U2146" s="326" t="e">
        <f ca="1">_xlfn.XLOOKUP(PAA_4[[#This Row],[ITEM]],[2]Contrato!A:A,[2]Contrato!Q:Q,"",0)</f>
        <v>#NAME?</v>
      </c>
      <c r="V2146" s="47" t="s">
        <v>95</v>
      </c>
      <c r="W2146" s="47" t="s">
        <v>204</v>
      </c>
      <c r="X2146" s="47" t="s">
        <v>204</v>
      </c>
      <c r="Y2146" s="55" t="e">
        <f ca="1">_xlfn.XLOOKUP(PAA_4[[#This Row],[ITEM]],[2]Contrato!A:A,[2]Contrato!B:B,"",0)</f>
        <v>#NAME?</v>
      </c>
      <c r="Z2146" s="47" t="e">
        <f ca="1">_xlfn.XLOOKUP(PAA_4[[#This Row],[ITEM]],[2]Contrato!A:A,[2]Contrato!G:G,"",0)</f>
        <v>#NAME?</v>
      </c>
      <c r="AA2146" s="47" t="e">
        <f ca="1">_xlfn.XLOOKUP(PAA_4[[#This Row],[ITEM]],[2]Contrato!A:A,[2]Contrato!T:T,"",0)</f>
        <v>#NAME?</v>
      </c>
      <c r="AB2146" s="55" t="e">
        <f ca="1">+MAX(PAA_4[[#This Row],[Comprometido Contrato]],PAA_4[[#This Row],[Comprometido Bolsa]])</f>
        <v>#NAME?</v>
      </c>
      <c r="AC2146" s="55" t="str">
        <f t="shared" ref="AC2146:AC2154" ca="1" si="723">IFERROR(I2146-AB2146,"")</f>
        <v/>
      </c>
      <c r="AD2146" s="55" t="e">
        <f ca="1">IF(PAA_4[[#This Row],[ESTADO (formulado)]]="NO CONTRATADO",0,MAX(PAA_4[[#This Row],[Pago por Contrato]],PAA_4[[#This Row],[Pago por bolsa]]))</f>
        <v>#NAME?</v>
      </c>
      <c r="AE2146" s="55" t="str">
        <f t="shared" ref="AE2146:AE2154" ca="1" si="724">+IFERROR(AB2146-AD2146,"")</f>
        <v/>
      </c>
      <c r="AF2146" s="47" t="e">
        <f t="shared" ref="AF2146:AF2154" ca="1" si="725">+CONCATENATE(AA2146,N2146)</f>
        <v>#NAME?</v>
      </c>
      <c r="AG2146" s="47">
        <f t="shared" ref="AG2146:AG2154" si="726">IFERROR(_xlfn.NUMBERVALUE(MID(G2146,1,8)),"")</f>
        <v>52010703</v>
      </c>
      <c r="AH2146" s="54">
        <f>IF(Q2146="22",IF(ISNUMBER(SEARCH("econ",PAA_4[[#This Row],[Actividad3]])),"Económico",IF(ISNUMBER(SEARCH("alim",PAA_4[[#This Row],[Actividad3]])),"Alimentación",IF(ISNUMBER(SEARCH("educ",PAA_4[[#This Row],[Actividad3]])),"Educativo","Técnico"))),0)</f>
        <v>0</v>
      </c>
      <c r="AI2146" s="47" t="e" cm="1">
        <f t="array" aca="1" ref="AI2146" ca="1">_xlfn.XLOOKUP(PAA_4[[#This Row],[RCP-RUBRO]],[2]!COMPROMISOS_2024[[#All],[concatenado]],[2]!COMPROMISOS_2024[[#All],[Total pagado]],"",0)</f>
        <v>#NAME?</v>
      </c>
      <c r="AJ2146" s="56">
        <f>IF(PAA_4[[#This Row],[BOLSA]]=0,0,SUMIFS([2]!COMPROMISOS_2024[[#All],[Total pagado]],[2]!COMPROMISOS_2024[[#All],[Bolsa]],PAA_4[[#This Row],[BOLSA]],[2]!COMPROMISOS_2024[[#All],[rubro]],PAA_4[[#This Row],[RCP-RUBRO]]))</f>
        <v>0</v>
      </c>
      <c r="AK2146" s="47" t="e" cm="1">
        <f t="array" aca="1" ref="AK2146" ca="1">_xlfn.XLOOKUP(PAA_4[[#This Row],[RCP-RUBRO]],[2]!COMPROMISOS_2024[[#All],[concatenado]],[2]!COMPROMISOS_2024[[#All],[Total Comprometido]],"",0)</f>
        <v>#NAME?</v>
      </c>
      <c r="AL2146" s="47">
        <f>IF(PAA_4[[#This Row],[BOLSA]]=0,0,SUMIFS([2]!COMPROMISOS_2024[[#All],[Total Comprometido]],[2]!COMPROMISOS_2024[[#All],[Bolsa]],PAA_4[[#This Row],[BOLSA]],[2]!COMPROMISOS_2024[[#All],[concatenado]],PAA_4[[#This Row],[RCP-RUBRO]]))</f>
        <v>0</v>
      </c>
    </row>
    <row r="2147" spans="1:38" s="19" customFormat="1" ht="31.5" customHeight="1">
      <c r="A2147" s="47">
        <v>1240</v>
      </c>
      <c r="B2147" s="51" t="s">
        <v>393</v>
      </c>
      <c r="C2147" s="47" t="str">
        <f>VLOOKUP(PAA_4[[#This Row],[PROYECTO (formulado)2]],[2]PROYECTOS!$G$1:$L$32,6,0)</f>
        <v>SUBGERENCIA DE FOMENTO Y DESARROLLO</v>
      </c>
      <c r="D2147" s="47" t="str">
        <f>+IF(PAA_4[[#This Row],[UNIDAD DE CONTRATACION (formulado)]]="Subgerencia Administrativa y Financiera","FUNCIONAMIENTO","INVERSIÓN")</f>
        <v>INVERSIÓN</v>
      </c>
      <c r="E2147" s="48" t="str">
        <f>VLOOKUP(Q2147,[2]PROYECTOS!$G$1:$K$32,5,0)</f>
        <v>Fortalecimiento de los juegos deportivos institucionales en los municipios del departamento de Antioquia</v>
      </c>
      <c r="F2147" s="48">
        <f>VLOOKUP(E2147,[2]PROYECTOS!$K$1:$M$32,3,0)</f>
        <v>2024003050073</v>
      </c>
      <c r="G2147" s="49" t="s">
        <v>1353</v>
      </c>
      <c r="H2147" s="49" t="str">
        <f>VLOOKUP(Q2147,[2]PROYECTOS!$V$1:$W$32,2,0)</f>
        <v>050081</v>
      </c>
      <c r="I2147" s="78">
        <v>41042069</v>
      </c>
      <c r="J2147" s="51" t="s">
        <v>2335</v>
      </c>
      <c r="K2147" s="47" t="str">
        <f t="shared" ca="1" si="721"/>
        <v>CONTRATADO</v>
      </c>
      <c r="L2147" s="47" t="s">
        <v>94</v>
      </c>
      <c r="M2147" s="47" t="s">
        <v>255</v>
      </c>
      <c r="N2147" s="52" t="s">
        <v>1365</v>
      </c>
      <c r="O2147" s="51" t="e">
        <f>VLOOKUP(N2147,[2]!RUBROS[#All],3,0)</f>
        <v>#REF!</v>
      </c>
      <c r="P2147" s="53" t="e">
        <f>VLOOKUP(N2147,[2]!RUBROS[#All],2,0)</f>
        <v>#REF!</v>
      </c>
      <c r="Q2147" s="47" t="str">
        <f t="shared" si="722"/>
        <v>73</v>
      </c>
      <c r="R2147" s="47" t="str">
        <f t="shared" si="680"/>
        <v>4-271130</v>
      </c>
      <c r="S2147" s="54">
        <v>2.5</v>
      </c>
      <c r="T2147" s="63" t="s">
        <v>46</v>
      </c>
      <c r="U2147" s="326" t="e">
        <f ca="1">_xlfn.XLOOKUP(PAA_4[[#This Row],[ITEM]],[2]Contrato!A:A,[2]Contrato!Q:Q,"",0)</f>
        <v>#NAME?</v>
      </c>
      <c r="V2147" s="47" t="s">
        <v>95</v>
      </c>
      <c r="W2147" s="47" t="s">
        <v>204</v>
      </c>
      <c r="X2147" s="47" t="s">
        <v>204</v>
      </c>
      <c r="Y2147" s="55" t="e">
        <f ca="1">_xlfn.XLOOKUP(PAA_4[[#This Row],[ITEM]],[2]Contrato!A:A,[2]Contrato!B:B,"",0)</f>
        <v>#NAME?</v>
      </c>
      <c r="Z2147" s="47" t="e">
        <f ca="1">_xlfn.XLOOKUP(PAA_4[[#This Row],[ITEM]],[2]Contrato!A:A,[2]Contrato!G:G,"",0)</f>
        <v>#NAME?</v>
      </c>
      <c r="AA2147" s="47" t="e">
        <f ca="1">_xlfn.XLOOKUP(PAA_4[[#This Row],[ITEM]],[2]Contrato!A:A,[2]Contrato!T:T,"",0)</f>
        <v>#NAME?</v>
      </c>
      <c r="AB2147" s="55" t="e">
        <f ca="1">+MAX(PAA_4[[#This Row],[Comprometido Contrato]],PAA_4[[#This Row],[Comprometido Bolsa]])</f>
        <v>#NAME?</v>
      </c>
      <c r="AC2147" s="55" t="str">
        <f t="shared" ca="1" si="723"/>
        <v/>
      </c>
      <c r="AD2147" s="55" t="e">
        <f ca="1">IF(PAA_4[[#This Row],[ESTADO (formulado)]]="NO CONTRATADO",0,MAX(PAA_4[[#This Row],[Pago por Contrato]],PAA_4[[#This Row],[Pago por bolsa]]))</f>
        <v>#NAME?</v>
      </c>
      <c r="AE2147" s="55" t="str">
        <f t="shared" ca="1" si="724"/>
        <v/>
      </c>
      <c r="AF2147" s="47" t="e">
        <f t="shared" ca="1" si="725"/>
        <v>#NAME?</v>
      </c>
      <c r="AG2147" s="47">
        <f t="shared" si="726"/>
        <v>52010703</v>
      </c>
      <c r="AH2147" s="54">
        <f>IF(Q2147="22",IF(ISNUMBER(SEARCH("econ",PAA_4[[#This Row],[Actividad3]])),"Económico",IF(ISNUMBER(SEARCH("alim",PAA_4[[#This Row],[Actividad3]])),"Alimentación",IF(ISNUMBER(SEARCH("educ",PAA_4[[#This Row],[Actividad3]])),"Educativo","Técnico"))),0)</f>
        <v>0</v>
      </c>
      <c r="AI2147" s="47" t="e" cm="1">
        <f t="array" aca="1" ref="AI2147" ca="1">_xlfn.XLOOKUP(PAA_4[[#This Row],[RCP-RUBRO]],[2]!COMPROMISOS_2024[[#All],[concatenado]],[2]!COMPROMISOS_2024[[#All],[Total pagado]],"",0)</f>
        <v>#NAME?</v>
      </c>
      <c r="AJ2147" s="56">
        <f>IF(PAA_4[[#This Row],[BOLSA]]=0,0,SUMIFS([2]!COMPROMISOS_2024[[#All],[Total pagado]],[2]!COMPROMISOS_2024[[#All],[Bolsa]],PAA_4[[#This Row],[BOLSA]],[2]!COMPROMISOS_2024[[#All],[rubro]],PAA_4[[#This Row],[RCP-RUBRO]]))</f>
        <v>0</v>
      </c>
      <c r="AK2147" s="47" t="e" cm="1">
        <f t="array" aca="1" ref="AK2147" ca="1">_xlfn.XLOOKUP(PAA_4[[#This Row],[RCP-RUBRO]],[2]!COMPROMISOS_2024[[#All],[concatenado]],[2]!COMPROMISOS_2024[[#All],[Total Comprometido]],"",0)</f>
        <v>#NAME?</v>
      </c>
      <c r="AL2147" s="47">
        <f>IF(PAA_4[[#This Row],[BOLSA]]=0,0,SUMIFS([2]!COMPROMISOS_2024[[#All],[Total Comprometido]],[2]!COMPROMISOS_2024[[#All],[Bolsa]],PAA_4[[#This Row],[BOLSA]],[2]!COMPROMISOS_2024[[#All],[concatenado]],PAA_4[[#This Row],[RCP-RUBRO]]))</f>
        <v>0</v>
      </c>
    </row>
    <row r="2148" spans="1:38" s="19" customFormat="1" ht="31.5" customHeight="1">
      <c r="A2148" s="47">
        <v>1042</v>
      </c>
      <c r="B2148" s="47">
        <v>80141607</v>
      </c>
      <c r="C2148" s="47" t="str">
        <f>VLOOKUP(PAA_4[[#This Row],[PROYECTO (formulado)2]],[2]PROYECTOS!$G$1:$L$32,6,0)</f>
        <v>SUBGERENCIA DE FOMENTO Y DESARROLLO</v>
      </c>
      <c r="D2148" s="47" t="str">
        <f>+IF(PAA_4[[#This Row],[UNIDAD DE CONTRATACION (formulado)]]="Subgerencia Administrativa y Financiera","FUNCIONAMIENTO","INVERSIÓN")</f>
        <v>INVERSIÓN</v>
      </c>
      <c r="E2148" s="48" t="str">
        <f>VLOOKUP(Q2148,[2]PROYECTOS!$G$1:$K$32,5,0)</f>
        <v>Fortalecimiento de los juegos deportivos institucionales en los municipios del departamento de Antioquia</v>
      </c>
      <c r="F2148" s="48">
        <f>VLOOKUP(E2148,[2]PROYECTOS!$K$1:$M$32,3,0)</f>
        <v>2024003050073</v>
      </c>
      <c r="G2148" s="49" t="s">
        <v>1353</v>
      </c>
      <c r="H2148" s="49" t="str">
        <f>VLOOKUP(Q2148,[2]PROYECTOS!$V$1:$W$32,2,0)</f>
        <v>050081</v>
      </c>
      <c r="I2148" s="78">
        <v>0</v>
      </c>
      <c r="J2148" s="51" t="s">
        <v>452</v>
      </c>
      <c r="K2148" s="47" t="str">
        <f t="shared" ca="1" si="721"/>
        <v>CONTRATADO</v>
      </c>
      <c r="L2148" s="47" t="s">
        <v>94</v>
      </c>
      <c r="M2148" s="47" t="s">
        <v>42</v>
      </c>
      <c r="N2148" s="52" t="s">
        <v>1366</v>
      </c>
      <c r="O2148" s="51" t="e">
        <f>VLOOKUP(N2148,[2]!RUBROS[#All],3,0)</f>
        <v>#REF!</v>
      </c>
      <c r="P2148" s="53" t="e">
        <f>VLOOKUP(N2148,[2]!RUBROS[#All],2,0)</f>
        <v>#REF!</v>
      </c>
      <c r="Q2148" s="47" t="str">
        <f t="shared" si="722"/>
        <v>73</v>
      </c>
      <c r="R2148" s="47" t="str">
        <f t="shared" si="680"/>
        <v>0-205128</v>
      </c>
      <c r="S2148" s="54">
        <v>4.5</v>
      </c>
      <c r="T2148" s="59" t="s">
        <v>46</v>
      </c>
      <c r="U2148" s="326" t="e">
        <f ca="1">_xlfn.XLOOKUP(PAA_4[[#This Row],[ITEM]],[2]Contrato!A:A,[2]Contrato!Q:Q,"",0)</f>
        <v>#NAME?</v>
      </c>
      <c r="V2148" s="47" t="s">
        <v>95</v>
      </c>
      <c r="W2148" s="47" t="s">
        <v>194</v>
      </c>
      <c r="X2148" s="47" t="s">
        <v>194</v>
      </c>
      <c r="Y2148" s="55" t="e">
        <f ca="1">_xlfn.XLOOKUP(PAA_4[[#This Row],[ITEM]],[2]Contrato!A:A,[2]Contrato!B:B,"",0)</f>
        <v>#NAME?</v>
      </c>
      <c r="Z2148" s="47" t="e">
        <f ca="1">_xlfn.XLOOKUP(PAA_4[[#This Row],[ITEM]],[2]Contrato!A:A,[2]Contrato!G:G,"",0)</f>
        <v>#NAME?</v>
      </c>
      <c r="AA2148" s="47" t="e">
        <f ca="1">_xlfn.XLOOKUP(PAA_4[[#This Row],[ITEM]],[2]Contrato!A:A,[2]Contrato!T:T,"",0)</f>
        <v>#NAME?</v>
      </c>
      <c r="AB2148" s="55" t="e">
        <f ca="1">+MAX(PAA_4[[#This Row],[Comprometido Contrato]],PAA_4[[#This Row],[Comprometido Bolsa]])</f>
        <v>#NAME?</v>
      </c>
      <c r="AC2148" s="55" t="str">
        <f t="shared" ca="1" si="723"/>
        <v/>
      </c>
      <c r="AD2148" s="55" t="e">
        <f ca="1">IF(PAA_4[[#This Row],[ESTADO (formulado)]]="NO CONTRATADO",0,MAX(PAA_4[[#This Row],[Pago por Contrato]],PAA_4[[#This Row],[Pago por bolsa]]))</f>
        <v>#NAME?</v>
      </c>
      <c r="AE2148" s="55" t="str">
        <f t="shared" ca="1" si="724"/>
        <v/>
      </c>
      <c r="AF2148" s="47" t="e">
        <f t="shared" ca="1" si="725"/>
        <v>#NAME?</v>
      </c>
      <c r="AG2148" s="47">
        <f t="shared" si="726"/>
        <v>52010703</v>
      </c>
      <c r="AH2148" s="54">
        <f>IF(Q2148="22",IF(ISNUMBER(SEARCH("econ",PAA_4[[#This Row],[Actividad3]])),"Económico",IF(ISNUMBER(SEARCH("alim",PAA_4[[#This Row],[Actividad3]])),"Alimentación",IF(ISNUMBER(SEARCH("educ",PAA_4[[#This Row],[Actividad3]])),"Educativo","Técnico"))),0)</f>
        <v>0</v>
      </c>
      <c r="AI2148" s="47" t="e" cm="1">
        <f t="array" aca="1" ref="AI2148" ca="1">_xlfn.XLOOKUP(PAA_4[[#This Row],[RCP-RUBRO]],[2]!COMPROMISOS_2024[[#All],[concatenado]],[2]!COMPROMISOS_2024[[#All],[Total pagado]],"",0)</f>
        <v>#NAME?</v>
      </c>
      <c r="AJ2148" s="56">
        <f>IF(PAA_4[[#This Row],[BOLSA]]=0,0,SUMIFS([2]!COMPROMISOS_2024[[#All],[Total pagado]],[2]!COMPROMISOS_2024[[#All],[Bolsa]],PAA_4[[#This Row],[BOLSA]],[2]!COMPROMISOS_2024[[#All],[rubro]],PAA_4[[#This Row],[RCP-RUBRO]]))</f>
        <v>0</v>
      </c>
      <c r="AK2148" s="47" t="e" cm="1">
        <f t="array" aca="1" ref="AK2148" ca="1">_xlfn.XLOOKUP(PAA_4[[#This Row],[RCP-RUBRO]],[2]!COMPROMISOS_2024[[#All],[concatenado]],[2]!COMPROMISOS_2024[[#All],[Total Comprometido]],"",0)</f>
        <v>#NAME?</v>
      </c>
      <c r="AL2148" s="47">
        <f>IF(PAA_4[[#This Row],[BOLSA]]=0,0,SUMIFS([2]!COMPROMISOS_2024[[#All],[Total Comprometido]],[2]!COMPROMISOS_2024[[#All],[Bolsa]],PAA_4[[#This Row],[BOLSA]],[2]!COMPROMISOS_2024[[#All],[concatenado]],PAA_4[[#This Row],[RCP-RUBRO]]))</f>
        <v>0</v>
      </c>
    </row>
    <row r="2149" spans="1:38" s="19" customFormat="1" ht="31.5" customHeight="1">
      <c r="A2149" s="47" t="s">
        <v>82</v>
      </c>
      <c r="B2149" s="61" t="s">
        <v>42</v>
      </c>
      <c r="C2149" s="47" t="str">
        <f>VLOOKUP(PAA_4[[#This Row],[PROYECTO (formulado)2]],[2]PROYECTOS!$G$1:$L$32,6,0)</f>
        <v>SUBGERENCIA DE FOMENTO Y DESARROLLO</v>
      </c>
      <c r="D2149" s="47" t="str">
        <f>+IF(PAA_4[[#This Row],[UNIDAD DE CONTRATACION (formulado)]]="Subgerencia Administrativa y Financiera","FUNCIONAMIENTO","INVERSIÓN")</f>
        <v>INVERSIÓN</v>
      </c>
      <c r="E2149" s="48" t="str">
        <f>VLOOKUP(Q2149,[2]PROYECTOS!$G$1:$K$32,5,0)</f>
        <v>Fortalecimiento de los juegos deportivos institucionales en los municipios del departamento de Antioquia</v>
      </c>
      <c r="F2149" s="48">
        <f>VLOOKUP(E2149,[2]PROYECTOS!$K$1:$M$32,3,0)</f>
        <v>2024003050073</v>
      </c>
      <c r="G2149" s="49" t="s">
        <v>1353</v>
      </c>
      <c r="H2149" s="49" t="str">
        <f>VLOOKUP(Q2149,[2]PROYECTOS!$V$1:$W$32,2,0)</f>
        <v>050081</v>
      </c>
      <c r="I2149" s="78">
        <v>79287836</v>
      </c>
      <c r="J2149" s="51" t="s">
        <v>1874</v>
      </c>
      <c r="K2149" s="47" t="str">
        <f t="shared" ca="1" si="721"/>
        <v>CONTRATADO</v>
      </c>
      <c r="L2149" s="47" t="s">
        <v>42</v>
      </c>
      <c r="M2149" s="47" t="s">
        <v>42</v>
      </c>
      <c r="N2149" s="52" t="s">
        <v>1363</v>
      </c>
      <c r="O2149" s="51" t="e">
        <f>VLOOKUP(N2149,[2]!RUBROS[#All],3,0)</f>
        <v>#REF!</v>
      </c>
      <c r="P2149" s="53" t="e">
        <f>VLOOKUP(N2149,[2]!RUBROS[#All],2,0)</f>
        <v>#REF!</v>
      </c>
      <c r="Q2149" s="47" t="str">
        <f t="shared" si="722"/>
        <v>73</v>
      </c>
      <c r="R2149" s="47" t="str">
        <f t="shared" si="680"/>
        <v>0-205400</v>
      </c>
      <c r="S2149" s="54" t="s">
        <v>42</v>
      </c>
      <c r="T2149" s="329" t="s">
        <v>42</v>
      </c>
      <c r="U2149" s="326" t="e">
        <f ca="1">_xlfn.XLOOKUP(PAA_4[[#This Row],[ITEM]],[2]Contrato!A:A,[2]Contrato!Q:Q,"",0)</f>
        <v>#NAME?</v>
      </c>
      <c r="V2149" s="47" t="s">
        <v>95</v>
      </c>
      <c r="W2149" s="64" t="s">
        <v>42</v>
      </c>
      <c r="X2149" s="64" t="s">
        <v>42</v>
      </c>
      <c r="Y2149" s="55" t="e">
        <f ca="1">_xlfn.XLOOKUP(PAA_4[[#This Row],[ITEM]],[2]Contrato!A:A,[2]Contrato!B:B,"",0)</f>
        <v>#NAME?</v>
      </c>
      <c r="Z2149" s="47" t="e">
        <f ca="1">_xlfn.XLOOKUP(PAA_4[[#This Row],[ITEM]],[2]Contrato!A:A,[2]Contrato!G:G,"",0)</f>
        <v>#NAME?</v>
      </c>
      <c r="AA2149" s="47" t="e">
        <f ca="1">_xlfn.XLOOKUP(PAA_4[[#This Row],[ITEM]],[2]Contrato!A:A,[2]Contrato!T:T,"",0)</f>
        <v>#NAME?</v>
      </c>
      <c r="AB2149" s="55" t="e">
        <f ca="1">+MAX(PAA_4[[#This Row],[Comprometido Contrato]],PAA_4[[#This Row],[Comprometido Bolsa]])</f>
        <v>#NAME?</v>
      </c>
      <c r="AC2149" s="55" t="str">
        <f t="shared" ca="1" si="723"/>
        <v/>
      </c>
      <c r="AD2149" s="55" t="e">
        <f ca="1">IF(PAA_4[[#This Row],[ESTADO (formulado)]]="NO CONTRATADO",0,MAX(PAA_4[[#This Row],[Pago por Contrato]],PAA_4[[#This Row],[Pago por bolsa]]))</f>
        <v>#NAME?</v>
      </c>
      <c r="AE2149" s="55" t="str">
        <f t="shared" ca="1" si="724"/>
        <v/>
      </c>
      <c r="AF2149" s="47" t="e">
        <f t="shared" ca="1" si="725"/>
        <v>#NAME?</v>
      </c>
      <c r="AG2149" s="47">
        <f t="shared" si="726"/>
        <v>52010703</v>
      </c>
      <c r="AH2149" s="54">
        <f>IF(Q2149="22",IF(ISNUMBER(SEARCH("econ",PAA_4[[#This Row],[Actividad3]])),"Económico",IF(ISNUMBER(SEARCH("alim",PAA_4[[#This Row],[Actividad3]])),"Alimentación",IF(ISNUMBER(SEARCH("educ",PAA_4[[#This Row],[Actividad3]])),"Educativo","Técnico"))),0)</f>
        <v>0</v>
      </c>
      <c r="AI2149" s="47" t="e" cm="1">
        <f t="array" aca="1" ref="AI2149" ca="1">_xlfn.XLOOKUP(PAA_4[[#This Row],[RCP-RUBRO]],[2]!COMPROMISOS_2024[[#All],[concatenado]],[2]!COMPROMISOS_2024[[#All],[Total pagado]],"",0)</f>
        <v>#NAME?</v>
      </c>
      <c r="AJ2149" s="56">
        <f>IF(PAA_4[[#This Row],[BOLSA]]=0,0,SUMIFS([2]!COMPROMISOS_2024[[#All],[Total pagado]],[2]!COMPROMISOS_2024[[#All],[Bolsa]],PAA_4[[#This Row],[BOLSA]],[2]!COMPROMISOS_2024[[#All],[rubro]],PAA_4[[#This Row],[RCP-RUBRO]]))</f>
        <v>0</v>
      </c>
      <c r="AK2149" s="47" t="e" cm="1">
        <f t="array" aca="1" ref="AK2149" ca="1">_xlfn.XLOOKUP(PAA_4[[#This Row],[RCP-RUBRO]],[2]!COMPROMISOS_2024[[#All],[concatenado]],[2]!COMPROMISOS_2024[[#All],[Total Comprometido]],"",0)</f>
        <v>#NAME?</v>
      </c>
      <c r="AL2149" s="47">
        <f>IF(PAA_4[[#This Row],[BOLSA]]=0,0,SUMIFS([2]!COMPROMISOS_2024[[#All],[Total Comprometido]],[2]!COMPROMISOS_2024[[#All],[Bolsa]],PAA_4[[#This Row],[BOLSA]],[2]!COMPROMISOS_2024[[#All],[concatenado]],PAA_4[[#This Row],[RCP-RUBRO]]))</f>
        <v>0</v>
      </c>
    </row>
    <row r="2150" spans="1:38" s="19" customFormat="1" ht="31.5" customHeight="1">
      <c r="A2150" s="47">
        <v>1242</v>
      </c>
      <c r="B2150" s="51" t="s">
        <v>393</v>
      </c>
      <c r="C2150" s="47" t="str">
        <f>VLOOKUP(PAA_4[[#This Row],[PROYECTO (formulado)2]],[2]PROYECTOS!$G$1:$L$32,6,0)</f>
        <v>SUBGERENCIA DE FOMENTO Y DESARROLLO</v>
      </c>
      <c r="D2150" s="47" t="str">
        <f>+IF(PAA_4[[#This Row],[UNIDAD DE CONTRATACION (formulado)]]="Subgerencia Administrativa y Financiera","FUNCIONAMIENTO","INVERSIÓN")</f>
        <v>INVERSIÓN</v>
      </c>
      <c r="E2150" s="48" t="str">
        <f>VLOOKUP(Q2150,[2]PROYECTOS!$G$1:$K$32,5,0)</f>
        <v>Fortalecimiento de los juegos deportivos institucionales en los municipios del departamento de Antioquia</v>
      </c>
      <c r="F2150" s="48">
        <f>VLOOKUP(E2150,[2]PROYECTOS!$K$1:$M$32,3,0)</f>
        <v>2024003050073</v>
      </c>
      <c r="G2150" s="49" t="s">
        <v>1353</v>
      </c>
      <c r="H2150" s="49" t="str">
        <f>VLOOKUP(Q2150,[2]PROYECTOS!$V$1:$W$32,2,0)</f>
        <v>050081</v>
      </c>
      <c r="I2150" s="78">
        <f>492688639-79287836</f>
        <v>413400803</v>
      </c>
      <c r="J2150" s="51" t="s">
        <v>2336</v>
      </c>
      <c r="K2150" s="47" t="str">
        <f t="shared" ca="1" si="721"/>
        <v>CONTRATADO</v>
      </c>
      <c r="L2150" s="47" t="s">
        <v>94</v>
      </c>
      <c r="M2150" s="47" t="s">
        <v>255</v>
      </c>
      <c r="N2150" s="52" t="s">
        <v>1363</v>
      </c>
      <c r="O2150" s="51" t="e">
        <f>VLOOKUP(N2150,[2]!RUBROS[#All],3,0)</f>
        <v>#REF!</v>
      </c>
      <c r="P2150" s="53" t="e">
        <f>VLOOKUP(N2150,[2]!RUBROS[#All],2,0)</f>
        <v>#REF!</v>
      </c>
      <c r="Q2150" s="47" t="str">
        <f t="shared" si="722"/>
        <v>73</v>
      </c>
      <c r="R2150" s="47" t="str">
        <f t="shared" si="680"/>
        <v>0-205400</v>
      </c>
      <c r="S2150" s="54">
        <v>2.5</v>
      </c>
      <c r="T2150" s="63" t="s">
        <v>46</v>
      </c>
      <c r="U2150" s="326" t="e">
        <f ca="1">_xlfn.XLOOKUP(PAA_4[[#This Row],[ITEM]],[2]Contrato!A:A,[2]Contrato!Q:Q,"",0)</f>
        <v>#NAME?</v>
      </c>
      <c r="V2150" s="47" t="s">
        <v>95</v>
      </c>
      <c r="W2150" s="47" t="s">
        <v>204</v>
      </c>
      <c r="X2150" s="47" t="s">
        <v>204</v>
      </c>
      <c r="Y2150" s="55" t="e">
        <f ca="1">_xlfn.XLOOKUP(PAA_4[[#This Row],[ITEM]],[2]Contrato!A:A,[2]Contrato!B:B,"",0)</f>
        <v>#NAME?</v>
      </c>
      <c r="Z2150" s="47" t="e">
        <f ca="1">_xlfn.XLOOKUP(PAA_4[[#This Row],[ITEM]],[2]Contrato!A:A,[2]Contrato!G:G,"",0)</f>
        <v>#NAME?</v>
      </c>
      <c r="AA2150" s="47" t="e">
        <f ca="1">_xlfn.XLOOKUP(PAA_4[[#This Row],[ITEM]],[2]Contrato!A:A,[2]Contrato!T:T,"",0)</f>
        <v>#NAME?</v>
      </c>
      <c r="AB2150" s="55" t="e">
        <f ca="1">+MAX(PAA_4[[#This Row],[Comprometido Contrato]],PAA_4[[#This Row],[Comprometido Bolsa]])</f>
        <v>#NAME?</v>
      </c>
      <c r="AC2150" s="55" t="str">
        <f t="shared" ca="1" si="723"/>
        <v/>
      </c>
      <c r="AD2150" s="55" t="e">
        <f ca="1">IF(PAA_4[[#This Row],[ESTADO (formulado)]]="NO CONTRATADO",0,MAX(PAA_4[[#This Row],[Pago por Contrato]],PAA_4[[#This Row],[Pago por bolsa]]))</f>
        <v>#NAME?</v>
      </c>
      <c r="AE2150" s="55" t="str">
        <f t="shared" ca="1" si="724"/>
        <v/>
      </c>
      <c r="AF2150" s="47" t="e">
        <f t="shared" ca="1" si="725"/>
        <v>#NAME?</v>
      </c>
      <c r="AG2150" s="47">
        <f t="shared" si="726"/>
        <v>52010703</v>
      </c>
      <c r="AH2150" s="54">
        <f>IF(Q2150="22",IF(ISNUMBER(SEARCH("econ",PAA_4[[#This Row],[Actividad3]])),"Económico",IF(ISNUMBER(SEARCH("alim",PAA_4[[#This Row],[Actividad3]])),"Alimentación",IF(ISNUMBER(SEARCH("educ",PAA_4[[#This Row],[Actividad3]])),"Educativo","Técnico"))),0)</f>
        <v>0</v>
      </c>
      <c r="AI2150" s="47" t="e" cm="1">
        <f t="array" aca="1" ref="AI2150" ca="1">_xlfn.XLOOKUP(PAA_4[[#This Row],[RCP-RUBRO]],[2]!COMPROMISOS_2024[[#All],[concatenado]],[2]!COMPROMISOS_2024[[#All],[Total pagado]],"",0)</f>
        <v>#NAME?</v>
      </c>
      <c r="AJ2150" s="56">
        <f>IF(PAA_4[[#This Row],[BOLSA]]=0,0,SUMIFS([2]!COMPROMISOS_2024[[#All],[Total pagado]],[2]!COMPROMISOS_2024[[#All],[Bolsa]],PAA_4[[#This Row],[BOLSA]],[2]!COMPROMISOS_2024[[#All],[rubro]],PAA_4[[#This Row],[RCP-RUBRO]]))</f>
        <v>0</v>
      </c>
      <c r="AK2150" s="47" t="e" cm="1">
        <f t="array" aca="1" ref="AK2150" ca="1">_xlfn.XLOOKUP(PAA_4[[#This Row],[RCP-RUBRO]],[2]!COMPROMISOS_2024[[#All],[concatenado]],[2]!COMPROMISOS_2024[[#All],[Total Comprometido]],"",0)</f>
        <v>#NAME?</v>
      </c>
      <c r="AL2150" s="47">
        <f>IF(PAA_4[[#This Row],[BOLSA]]=0,0,SUMIFS([2]!COMPROMISOS_2024[[#All],[Total Comprometido]],[2]!COMPROMISOS_2024[[#All],[Bolsa]],PAA_4[[#This Row],[BOLSA]],[2]!COMPROMISOS_2024[[#All],[concatenado]],PAA_4[[#This Row],[RCP-RUBRO]]))</f>
        <v>0</v>
      </c>
    </row>
    <row r="2151" spans="1:38" s="19" customFormat="1" ht="31.5" customHeight="1">
      <c r="A2151" s="47">
        <v>1242</v>
      </c>
      <c r="B2151" s="51" t="s">
        <v>393</v>
      </c>
      <c r="C2151" s="47" t="str">
        <f>VLOOKUP(PAA_4[[#This Row],[PROYECTO (formulado)2]],[2]PROYECTOS!$G$1:$L$32,6,0)</f>
        <v>SUBGERENCIA DE FOMENTO Y DESARROLLO</v>
      </c>
      <c r="D2151" s="47" t="str">
        <f>+IF(PAA_4[[#This Row],[UNIDAD DE CONTRATACION (formulado)]]="Subgerencia Administrativa y Financiera","FUNCIONAMIENTO","INVERSIÓN")</f>
        <v>INVERSIÓN</v>
      </c>
      <c r="E2151" s="48" t="str">
        <f>VLOOKUP(Q2151,[2]PROYECTOS!$G$1:$K$32,5,0)</f>
        <v>Fortalecimiento de los juegos deportivos institucionales en los municipios del departamento de Antioquia</v>
      </c>
      <c r="F2151" s="48">
        <f>VLOOKUP(E2151,[2]PROYECTOS!$K$1:$M$32,3,0)</f>
        <v>2024003050073</v>
      </c>
      <c r="G2151" s="49" t="s">
        <v>1353</v>
      </c>
      <c r="H2151" s="49" t="str">
        <f>VLOOKUP(Q2151,[2]PROYECTOS!$V$1:$W$32,2,0)</f>
        <v>050081</v>
      </c>
      <c r="I2151" s="78">
        <v>152253880</v>
      </c>
      <c r="J2151" s="51" t="s">
        <v>2336</v>
      </c>
      <c r="K2151" s="47" t="str">
        <f t="shared" ca="1" si="721"/>
        <v>CONTRATADO</v>
      </c>
      <c r="L2151" s="47" t="s">
        <v>94</v>
      </c>
      <c r="M2151" s="47" t="s">
        <v>255</v>
      </c>
      <c r="N2151" s="52" t="s">
        <v>1357</v>
      </c>
      <c r="O2151" s="51" t="e">
        <f>VLOOKUP(N2151,[2]!RUBROS[#All],3,0)</f>
        <v>#REF!</v>
      </c>
      <c r="P2151" s="53" t="e">
        <f>VLOOKUP(N2151,[2]!RUBROS[#All],2,0)</f>
        <v>#REF!</v>
      </c>
      <c r="Q2151" s="47" t="str">
        <f t="shared" si="722"/>
        <v>73</v>
      </c>
      <c r="R2151" s="47" t="str">
        <f t="shared" si="680"/>
        <v>0-205128</v>
      </c>
      <c r="S2151" s="54">
        <v>2.5</v>
      </c>
      <c r="T2151" s="63" t="s">
        <v>46</v>
      </c>
      <c r="U2151" s="326" t="e">
        <f ca="1">_xlfn.XLOOKUP(PAA_4[[#This Row],[ITEM]],[2]Contrato!A:A,[2]Contrato!Q:Q,"",0)</f>
        <v>#NAME?</v>
      </c>
      <c r="V2151" s="47" t="s">
        <v>95</v>
      </c>
      <c r="W2151" s="47" t="s">
        <v>204</v>
      </c>
      <c r="X2151" s="47" t="s">
        <v>204</v>
      </c>
      <c r="Y2151" s="55" t="e">
        <f ca="1">_xlfn.XLOOKUP(PAA_4[[#This Row],[ITEM]],[2]Contrato!A:A,[2]Contrato!B:B,"",0)</f>
        <v>#NAME?</v>
      </c>
      <c r="Z2151" s="47" t="e">
        <f ca="1">_xlfn.XLOOKUP(PAA_4[[#This Row],[ITEM]],[2]Contrato!A:A,[2]Contrato!G:G,"",0)</f>
        <v>#NAME?</v>
      </c>
      <c r="AA2151" s="47" t="e">
        <f ca="1">_xlfn.XLOOKUP(PAA_4[[#This Row],[ITEM]],[2]Contrato!A:A,[2]Contrato!T:T,"",0)</f>
        <v>#NAME?</v>
      </c>
      <c r="AB2151" s="55" t="e">
        <f ca="1">+MAX(PAA_4[[#This Row],[Comprometido Contrato]],PAA_4[[#This Row],[Comprometido Bolsa]])</f>
        <v>#NAME?</v>
      </c>
      <c r="AC2151" s="55" t="str">
        <f t="shared" ca="1" si="723"/>
        <v/>
      </c>
      <c r="AD2151" s="55" t="e">
        <f ca="1">IF(PAA_4[[#This Row],[ESTADO (formulado)]]="NO CONTRATADO",0,MAX(PAA_4[[#This Row],[Pago por Contrato]],PAA_4[[#This Row],[Pago por bolsa]]))</f>
        <v>#NAME?</v>
      </c>
      <c r="AE2151" s="55" t="str">
        <f t="shared" ca="1" si="724"/>
        <v/>
      </c>
      <c r="AF2151" s="47" t="e">
        <f t="shared" ca="1" si="725"/>
        <v>#NAME?</v>
      </c>
      <c r="AG2151" s="47">
        <f t="shared" si="726"/>
        <v>52010703</v>
      </c>
      <c r="AH2151" s="54">
        <f>IF(Q2151="22",IF(ISNUMBER(SEARCH("econ",PAA_4[[#This Row],[Actividad3]])),"Económico",IF(ISNUMBER(SEARCH("alim",PAA_4[[#This Row],[Actividad3]])),"Alimentación",IF(ISNUMBER(SEARCH("educ",PAA_4[[#This Row],[Actividad3]])),"Educativo","Técnico"))),0)</f>
        <v>0</v>
      </c>
      <c r="AI2151" s="47" t="e" cm="1">
        <f t="array" aca="1" ref="AI2151" ca="1">_xlfn.XLOOKUP(PAA_4[[#This Row],[RCP-RUBRO]],[2]!COMPROMISOS_2024[[#All],[concatenado]],[2]!COMPROMISOS_2024[[#All],[Total pagado]],"",0)</f>
        <v>#NAME?</v>
      </c>
      <c r="AJ2151" s="56">
        <f>IF(PAA_4[[#This Row],[BOLSA]]=0,0,SUMIFS([2]!COMPROMISOS_2024[[#All],[Total pagado]],[2]!COMPROMISOS_2024[[#All],[Bolsa]],PAA_4[[#This Row],[BOLSA]],[2]!COMPROMISOS_2024[[#All],[rubro]],PAA_4[[#This Row],[RCP-RUBRO]]))</f>
        <v>0</v>
      </c>
      <c r="AK2151" s="47" t="e" cm="1">
        <f t="array" aca="1" ref="AK2151" ca="1">_xlfn.XLOOKUP(PAA_4[[#This Row],[RCP-RUBRO]],[2]!COMPROMISOS_2024[[#All],[concatenado]],[2]!COMPROMISOS_2024[[#All],[Total Comprometido]],"",0)</f>
        <v>#NAME?</v>
      </c>
      <c r="AL2151" s="47">
        <f>IF(PAA_4[[#This Row],[BOLSA]]=0,0,SUMIFS([2]!COMPROMISOS_2024[[#All],[Total Comprometido]],[2]!COMPROMISOS_2024[[#All],[Bolsa]],PAA_4[[#This Row],[BOLSA]],[2]!COMPROMISOS_2024[[#All],[concatenado]],PAA_4[[#This Row],[RCP-RUBRO]]))</f>
        <v>0</v>
      </c>
    </row>
    <row r="2152" spans="1:38" s="19" customFormat="1" ht="31.5" customHeight="1">
      <c r="A2152" s="47">
        <v>1242</v>
      </c>
      <c r="B2152" s="51" t="s">
        <v>393</v>
      </c>
      <c r="C2152" s="47" t="str">
        <f>VLOOKUP(PAA_4[[#This Row],[PROYECTO (formulado)2]],[2]PROYECTOS!$G$1:$L$32,6,0)</f>
        <v>SUBGERENCIA DE FOMENTO Y DESARROLLO</v>
      </c>
      <c r="D2152" s="47" t="str">
        <f>+IF(PAA_4[[#This Row],[UNIDAD DE CONTRATACION (formulado)]]="Subgerencia Administrativa y Financiera","FUNCIONAMIENTO","INVERSIÓN")</f>
        <v>INVERSIÓN</v>
      </c>
      <c r="E2152" s="48" t="str">
        <f>VLOOKUP(Q2152,[2]PROYECTOS!$G$1:$K$32,5,0)</f>
        <v>Fortalecimiento de los juegos deportivos institucionales en los municipios del departamento de Antioquia</v>
      </c>
      <c r="F2152" s="48">
        <f>VLOOKUP(E2152,[2]PROYECTOS!$K$1:$M$32,3,0)</f>
        <v>2024003050073</v>
      </c>
      <c r="G2152" s="49" t="s">
        <v>1353</v>
      </c>
      <c r="H2152" s="49" t="str">
        <f>VLOOKUP(Q2152,[2]PROYECTOS!$V$1:$W$32,2,0)</f>
        <v>050081</v>
      </c>
      <c r="I2152" s="78">
        <v>42853755</v>
      </c>
      <c r="J2152" s="51" t="s">
        <v>2336</v>
      </c>
      <c r="K2152" s="47" t="str">
        <f t="shared" ca="1" si="721"/>
        <v>CONTRATADO</v>
      </c>
      <c r="L2152" s="47" t="s">
        <v>94</v>
      </c>
      <c r="M2152" s="47" t="s">
        <v>255</v>
      </c>
      <c r="N2152" s="52" t="s">
        <v>1365</v>
      </c>
      <c r="O2152" s="51" t="e">
        <f>VLOOKUP(N2152,[2]!RUBROS[#All],3,0)</f>
        <v>#REF!</v>
      </c>
      <c r="P2152" s="53" t="e">
        <f>VLOOKUP(N2152,[2]!RUBROS[#All],2,0)</f>
        <v>#REF!</v>
      </c>
      <c r="Q2152" s="47" t="str">
        <f t="shared" si="722"/>
        <v>73</v>
      </c>
      <c r="R2152" s="47" t="str">
        <f t="shared" si="680"/>
        <v>4-271130</v>
      </c>
      <c r="S2152" s="54">
        <v>2.5</v>
      </c>
      <c r="T2152" s="63" t="s">
        <v>46</v>
      </c>
      <c r="U2152" s="326" t="e">
        <f ca="1">_xlfn.XLOOKUP(PAA_4[[#This Row],[ITEM]],[2]Contrato!A:A,[2]Contrato!Q:Q,"",0)</f>
        <v>#NAME?</v>
      </c>
      <c r="V2152" s="47" t="s">
        <v>95</v>
      </c>
      <c r="W2152" s="47" t="s">
        <v>204</v>
      </c>
      <c r="X2152" s="47" t="s">
        <v>204</v>
      </c>
      <c r="Y2152" s="55" t="e">
        <f ca="1">_xlfn.XLOOKUP(PAA_4[[#This Row],[ITEM]],[2]Contrato!A:A,[2]Contrato!B:B,"",0)</f>
        <v>#NAME?</v>
      </c>
      <c r="Z2152" s="47" t="e">
        <f ca="1">_xlfn.XLOOKUP(PAA_4[[#This Row],[ITEM]],[2]Contrato!A:A,[2]Contrato!G:G,"",0)</f>
        <v>#NAME?</v>
      </c>
      <c r="AA2152" s="47" t="e">
        <f ca="1">_xlfn.XLOOKUP(PAA_4[[#This Row],[ITEM]],[2]Contrato!A:A,[2]Contrato!T:T,"",0)</f>
        <v>#NAME?</v>
      </c>
      <c r="AB2152" s="55" t="e">
        <f ca="1">+MAX(PAA_4[[#This Row],[Comprometido Contrato]],PAA_4[[#This Row],[Comprometido Bolsa]])</f>
        <v>#NAME?</v>
      </c>
      <c r="AC2152" s="55" t="str">
        <f t="shared" ca="1" si="723"/>
        <v/>
      </c>
      <c r="AD2152" s="55" t="e">
        <f ca="1">IF(PAA_4[[#This Row],[ESTADO (formulado)]]="NO CONTRATADO",0,MAX(PAA_4[[#This Row],[Pago por Contrato]],PAA_4[[#This Row],[Pago por bolsa]]))</f>
        <v>#NAME?</v>
      </c>
      <c r="AE2152" s="55" t="str">
        <f t="shared" ca="1" si="724"/>
        <v/>
      </c>
      <c r="AF2152" s="47" t="e">
        <f t="shared" ca="1" si="725"/>
        <v>#NAME?</v>
      </c>
      <c r="AG2152" s="47">
        <f t="shared" si="726"/>
        <v>52010703</v>
      </c>
      <c r="AH2152" s="54">
        <f>IF(Q2152="22",IF(ISNUMBER(SEARCH("econ",PAA_4[[#This Row],[Actividad3]])),"Económico",IF(ISNUMBER(SEARCH("alim",PAA_4[[#This Row],[Actividad3]])),"Alimentación",IF(ISNUMBER(SEARCH("educ",PAA_4[[#This Row],[Actividad3]])),"Educativo","Técnico"))),0)</f>
        <v>0</v>
      </c>
      <c r="AI2152" s="47" t="e" cm="1">
        <f t="array" aca="1" ref="AI2152" ca="1">_xlfn.XLOOKUP(PAA_4[[#This Row],[RCP-RUBRO]],[2]!COMPROMISOS_2024[[#All],[concatenado]],[2]!COMPROMISOS_2024[[#All],[Total pagado]],"",0)</f>
        <v>#NAME?</v>
      </c>
      <c r="AJ2152" s="56">
        <f>IF(PAA_4[[#This Row],[BOLSA]]=0,0,SUMIFS([2]!COMPROMISOS_2024[[#All],[Total pagado]],[2]!COMPROMISOS_2024[[#All],[Bolsa]],PAA_4[[#This Row],[BOLSA]],[2]!COMPROMISOS_2024[[#All],[rubro]],PAA_4[[#This Row],[RCP-RUBRO]]))</f>
        <v>0</v>
      </c>
      <c r="AK2152" s="47" t="e" cm="1">
        <f t="array" aca="1" ref="AK2152" ca="1">_xlfn.XLOOKUP(PAA_4[[#This Row],[RCP-RUBRO]],[2]!COMPROMISOS_2024[[#All],[concatenado]],[2]!COMPROMISOS_2024[[#All],[Total Comprometido]],"",0)</f>
        <v>#NAME?</v>
      </c>
      <c r="AL2152" s="47">
        <f>IF(PAA_4[[#This Row],[BOLSA]]=0,0,SUMIFS([2]!COMPROMISOS_2024[[#All],[Total Comprometido]],[2]!COMPROMISOS_2024[[#All],[Bolsa]],PAA_4[[#This Row],[BOLSA]],[2]!COMPROMISOS_2024[[#All],[concatenado]],PAA_4[[#This Row],[RCP-RUBRO]]))</f>
        <v>0</v>
      </c>
    </row>
    <row r="2153" spans="1:38" s="19" customFormat="1" ht="31.5" customHeight="1">
      <c r="A2153" s="47">
        <v>1043</v>
      </c>
      <c r="B2153" s="47">
        <v>80141607</v>
      </c>
      <c r="C2153" s="47" t="str">
        <f>VLOOKUP(PAA_4[[#This Row],[PROYECTO (formulado)2]],[2]PROYECTOS!$G$1:$L$32,6,0)</f>
        <v>SUBGERENCIA DE FOMENTO Y DESARROLLO</v>
      </c>
      <c r="D2153" s="47" t="str">
        <f>+IF(PAA_4[[#This Row],[UNIDAD DE CONTRATACION (formulado)]]="Subgerencia Administrativa y Financiera","FUNCIONAMIENTO","INVERSIÓN")</f>
        <v>INVERSIÓN</v>
      </c>
      <c r="E2153" s="48" t="str">
        <f>VLOOKUP(Q2153,[2]PROYECTOS!$G$1:$K$32,5,0)</f>
        <v>Fortalecimiento de los juegos deportivos institucionales en los municipios del departamento de Antioquia</v>
      </c>
      <c r="F2153" s="48">
        <f>VLOOKUP(E2153,[2]PROYECTOS!$K$1:$M$32,3,0)</f>
        <v>2024003050073</v>
      </c>
      <c r="G2153" s="49" t="s">
        <v>1353</v>
      </c>
      <c r="H2153" s="49" t="str">
        <f>VLOOKUP(Q2153,[2]PROYECTOS!$V$1:$W$32,2,0)</f>
        <v>050081</v>
      </c>
      <c r="I2153" s="78">
        <v>0</v>
      </c>
      <c r="J2153" s="51" t="s">
        <v>452</v>
      </c>
      <c r="K2153" s="47" t="str">
        <f t="shared" ca="1" si="721"/>
        <v>CONTRATADO</v>
      </c>
      <c r="L2153" s="47" t="s">
        <v>94</v>
      </c>
      <c r="M2153" s="47" t="s">
        <v>42</v>
      </c>
      <c r="N2153" s="52" t="s">
        <v>1363</v>
      </c>
      <c r="O2153" s="51" t="e">
        <f>VLOOKUP(N2153,[2]!RUBROS[#All],3,0)</f>
        <v>#REF!</v>
      </c>
      <c r="P2153" s="53" t="e">
        <f>VLOOKUP(N2153,[2]!RUBROS[#All],2,0)</f>
        <v>#REF!</v>
      </c>
      <c r="Q2153" s="47" t="str">
        <f t="shared" si="722"/>
        <v>73</v>
      </c>
      <c r="R2153" s="47" t="str">
        <f t="shared" si="680"/>
        <v>0-205400</v>
      </c>
      <c r="S2153" s="54">
        <v>4.5</v>
      </c>
      <c r="T2153" s="59" t="s">
        <v>46</v>
      </c>
      <c r="U2153" s="326" t="e">
        <f ca="1">_xlfn.XLOOKUP(PAA_4[[#This Row],[ITEM]],[2]Contrato!A:A,[2]Contrato!Q:Q,"",0)</f>
        <v>#NAME?</v>
      </c>
      <c r="V2153" s="47" t="s">
        <v>95</v>
      </c>
      <c r="W2153" s="47" t="s">
        <v>194</v>
      </c>
      <c r="X2153" s="47" t="s">
        <v>194</v>
      </c>
      <c r="Y2153" s="55" t="e">
        <f ca="1">_xlfn.XLOOKUP(PAA_4[[#This Row],[ITEM]],[2]Contrato!A:A,[2]Contrato!B:B,"",0)</f>
        <v>#NAME?</v>
      </c>
      <c r="Z2153" s="47" t="e">
        <f ca="1">_xlfn.XLOOKUP(PAA_4[[#This Row],[ITEM]],[2]Contrato!A:A,[2]Contrato!G:G,"",0)</f>
        <v>#NAME?</v>
      </c>
      <c r="AA2153" s="47" t="e">
        <f ca="1">_xlfn.XLOOKUP(PAA_4[[#This Row],[ITEM]],[2]Contrato!A:A,[2]Contrato!T:T,"",0)</f>
        <v>#NAME?</v>
      </c>
      <c r="AB2153" s="55" t="e">
        <f ca="1">+MAX(PAA_4[[#This Row],[Comprometido Contrato]],PAA_4[[#This Row],[Comprometido Bolsa]])</f>
        <v>#NAME?</v>
      </c>
      <c r="AC2153" s="55" t="str">
        <f t="shared" ca="1" si="723"/>
        <v/>
      </c>
      <c r="AD2153" s="55" t="e">
        <f ca="1">IF(PAA_4[[#This Row],[ESTADO (formulado)]]="NO CONTRATADO",0,MAX(PAA_4[[#This Row],[Pago por Contrato]],PAA_4[[#This Row],[Pago por bolsa]]))</f>
        <v>#NAME?</v>
      </c>
      <c r="AE2153" s="55" t="str">
        <f t="shared" ca="1" si="724"/>
        <v/>
      </c>
      <c r="AF2153" s="47" t="e">
        <f t="shared" ca="1" si="725"/>
        <v>#NAME?</v>
      </c>
      <c r="AG2153" s="47">
        <f t="shared" si="726"/>
        <v>52010703</v>
      </c>
      <c r="AH2153" s="54">
        <f>IF(Q2153="22",IF(ISNUMBER(SEARCH("econ",PAA_4[[#This Row],[Actividad3]])),"Económico",IF(ISNUMBER(SEARCH("alim",PAA_4[[#This Row],[Actividad3]])),"Alimentación",IF(ISNUMBER(SEARCH("educ",PAA_4[[#This Row],[Actividad3]])),"Educativo","Técnico"))),0)</f>
        <v>0</v>
      </c>
      <c r="AI2153" s="47" t="e" cm="1">
        <f t="array" aca="1" ref="AI2153" ca="1">_xlfn.XLOOKUP(PAA_4[[#This Row],[RCP-RUBRO]],[2]!COMPROMISOS_2024[[#All],[concatenado]],[2]!COMPROMISOS_2024[[#All],[Total pagado]],"",0)</f>
        <v>#NAME?</v>
      </c>
      <c r="AJ2153" s="56">
        <f>IF(PAA_4[[#This Row],[BOLSA]]=0,0,SUMIFS([2]!COMPROMISOS_2024[[#All],[Total pagado]],[2]!COMPROMISOS_2024[[#All],[Bolsa]],PAA_4[[#This Row],[BOLSA]],[2]!COMPROMISOS_2024[[#All],[rubro]],PAA_4[[#This Row],[RCP-RUBRO]]))</f>
        <v>0</v>
      </c>
      <c r="AK2153" s="47" t="e" cm="1">
        <f t="array" aca="1" ref="AK2153" ca="1">_xlfn.XLOOKUP(PAA_4[[#This Row],[RCP-RUBRO]],[2]!COMPROMISOS_2024[[#All],[concatenado]],[2]!COMPROMISOS_2024[[#All],[Total Comprometido]],"",0)</f>
        <v>#NAME?</v>
      </c>
      <c r="AL2153" s="47">
        <f>IF(PAA_4[[#This Row],[BOLSA]]=0,0,SUMIFS([2]!COMPROMISOS_2024[[#All],[Total Comprometido]],[2]!COMPROMISOS_2024[[#All],[Bolsa]],PAA_4[[#This Row],[BOLSA]],[2]!COMPROMISOS_2024[[#All],[concatenado]],PAA_4[[#This Row],[RCP-RUBRO]]))</f>
        <v>0</v>
      </c>
    </row>
    <row r="2154" spans="1:38" s="19" customFormat="1" ht="31.5" customHeight="1">
      <c r="A2154" s="47" t="s">
        <v>82</v>
      </c>
      <c r="B2154" s="47" t="s">
        <v>42</v>
      </c>
      <c r="C2154" s="47" t="str">
        <f>VLOOKUP(PAA_4[[#This Row],[PROYECTO (formulado)2]],[2]PROYECTOS!$G$1:$L$32,6,0)</f>
        <v>SUBGERENCIA DE FOMENTO Y DESARROLLO</v>
      </c>
      <c r="D2154" s="47" t="str">
        <f>+IF(PAA_4[[#This Row],[UNIDAD DE CONTRATACION (formulado)]]="Subgerencia Administrativa y Financiera","FUNCIONAMIENTO","INVERSIÓN")</f>
        <v>INVERSIÓN</v>
      </c>
      <c r="E2154" s="48" t="str">
        <f>VLOOKUP(Q2154,[2]PROYECTOS!$G$1:$K$32,5,0)</f>
        <v>Asesoria y acompañamiento institucional para el deporte formativo, la recreación y la actividad física en el departamento de Antioquia</v>
      </c>
      <c r="F2154" s="48">
        <f>VLOOKUP(E2154,[2]PROYECTOS!$K$1:$M$32,3,0)</f>
        <v>2024003050100</v>
      </c>
      <c r="G2154" s="49" t="s">
        <v>2337</v>
      </c>
      <c r="H2154" s="49" t="str">
        <f>VLOOKUP(Q2154,[2]PROYECTOS!$V$1:$W$32,2,0)</f>
        <v>050071</v>
      </c>
      <c r="I2154" s="78">
        <v>0</v>
      </c>
      <c r="J2154" s="51" t="s">
        <v>42</v>
      </c>
      <c r="K2154" s="47" t="str">
        <f t="shared" ca="1" si="721"/>
        <v>CONTRATADO</v>
      </c>
      <c r="L2154" s="47" t="s">
        <v>42</v>
      </c>
      <c r="M2154" s="47" t="s">
        <v>42</v>
      </c>
      <c r="N2154" s="52" t="s">
        <v>2338</v>
      </c>
      <c r="O2154" s="51" t="e">
        <f>VLOOKUP(N2154,[2]!RUBROS[#All],3,0)</f>
        <v>#REF!</v>
      </c>
      <c r="P2154" s="53" t="e">
        <f>VLOOKUP(N2154,[2]!RUBROS[#All],2,0)</f>
        <v>#REF!</v>
      </c>
      <c r="Q2154" s="47" t="str">
        <f t="shared" si="722"/>
        <v>10</v>
      </c>
      <c r="R2154" s="47" t="str">
        <f t="shared" si="680"/>
        <v>0-205400</v>
      </c>
      <c r="S2154" s="47" t="s">
        <v>42</v>
      </c>
      <c r="T2154" s="63" t="s">
        <v>42</v>
      </c>
      <c r="U2154" s="326" t="e">
        <f ca="1">_xlfn.XLOOKUP(PAA_4[[#This Row],[ITEM]],[2]Contrato!A:A,[2]Contrato!Q:Q,"",0)</f>
        <v>#NAME?</v>
      </c>
      <c r="V2154" s="47" t="s">
        <v>42</v>
      </c>
      <c r="W2154" s="47" t="s">
        <v>42</v>
      </c>
      <c r="X2154" s="47" t="s">
        <v>42</v>
      </c>
      <c r="Y2154" s="55" t="e">
        <f ca="1">_xlfn.XLOOKUP(PAA_4[[#This Row],[ITEM]],[2]Contrato!A:A,[2]Contrato!B:B,"",0)</f>
        <v>#NAME?</v>
      </c>
      <c r="Z2154" s="47" t="e">
        <f ca="1">_xlfn.XLOOKUP(PAA_4[[#This Row],[ITEM]],[2]Contrato!A:A,[2]Contrato!G:G,"",0)</f>
        <v>#NAME?</v>
      </c>
      <c r="AA2154" s="47" t="e">
        <f ca="1">_xlfn.XLOOKUP(PAA_4[[#This Row],[ITEM]],[2]Contrato!A:A,[2]Contrato!T:T,"",0)</f>
        <v>#NAME?</v>
      </c>
      <c r="AB2154" s="55" t="e">
        <f ca="1">+MAX(PAA_4[[#This Row],[Comprometido Contrato]],PAA_4[[#This Row],[Comprometido Bolsa]])</f>
        <v>#NAME?</v>
      </c>
      <c r="AC2154" s="55" t="str">
        <f t="shared" ca="1" si="723"/>
        <v/>
      </c>
      <c r="AD2154" s="55" t="e">
        <f ca="1">IF(PAA_4[[#This Row],[ESTADO (formulado)]]="NO CONTRATADO",0,MAX(PAA_4[[#This Row],[Pago por Contrato]],PAA_4[[#This Row],[Pago por bolsa]]))</f>
        <v>#NAME?</v>
      </c>
      <c r="AE2154" s="55" t="str">
        <f t="shared" ca="1" si="724"/>
        <v/>
      </c>
      <c r="AF2154" s="47" t="e">
        <f t="shared" ca="1" si="725"/>
        <v>#NAME?</v>
      </c>
      <c r="AG2154" s="47">
        <f t="shared" si="726"/>
        <v>52010705</v>
      </c>
      <c r="AH2154" s="54">
        <f>IF(Q2154="22",IF(ISNUMBER(SEARCH("econ",PAA_4[[#This Row],[Actividad3]])),"Económico",IF(ISNUMBER(SEARCH("alim",PAA_4[[#This Row],[Actividad3]])),"Alimentación",IF(ISNUMBER(SEARCH("educ",PAA_4[[#This Row],[Actividad3]])),"Educativo","Técnico"))),0)</f>
        <v>0</v>
      </c>
      <c r="AI2154" s="47" t="e" cm="1">
        <f t="array" aca="1" ref="AI2154" ca="1">_xlfn.XLOOKUP(PAA_4[[#This Row],[RCP-RUBRO]],[2]!COMPROMISOS_2024[[#All],[concatenado]],[2]!COMPROMISOS_2024[[#All],[Total pagado]],"",0)</f>
        <v>#NAME?</v>
      </c>
      <c r="AJ2154" s="56">
        <f>IF(PAA_4[[#This Row],[BOLSA]]=0,0,SUMIFS([2]!COMPROMISOS_2024[[#All],[Total pagado]],[2]!COMPROMISOS_2024[[#All],[Bolsa]],PAA_4[[#This Row],[BOLSA]],[2]!COMPROMISOS_2024[[#All],[rubro]],PAA_4[[#This Row],[RCP-RUBRO]]))</f>
        <v>0</v>
      </c>
      <c r="AK2154" s="47" t="e" cm="1">
        <f t="array" aca="1" ref="AK2154" ca="1">_xlfn.XLOOKUP(PAA_4[[#This Row],[RCP-RUBRO]],[2]!COMPROMISOS_2024[[#All],[concatenado]],[2]!COMPROMISOS_2024[[#All],[Total Comprometido]],"",0)</f>
        <v>#NAME?</v>
      </c>
      <c r="AL2154" s="47">
        <f>IF(PAA_4[[#This Row],[BOLSA]]=0,0,SUMIFS([2]!COMPROMISOS_2024[[#All],[Total Comprometido]],[2]!COMPROMISOS_2024[[#All],[Bolsa]],PAA_4[[#This Row],[BOLSA]],[2]!COMPROMISOS_2024[[#All],[concatenado]],PAA_4[[#This Row],[RCP-RUBRO]]))</f>
        <v>0</v>
      </c>
    </row>
    <row r="2155" spans="1:38" s="19" customFormat="1" ht="31.5" customHeight="1">
      <c r="A2155" s="47" t="s">
        <v>82</v>
      </c>
      <c r="B2155" s="47" t="s">
        <v>42</v>
      </c>
      <c r="C2155" s="47" t="str">
        <f>VLOOKUP(PAA_4[[#This Row],[PROYECTO (formulado)2]],[2]PROYECTOS!$G$1:$L$32,6,0)</f>
        <v>SUBGERENCIA DE FOMENTO Y DESARROLLO</v>
      </c>
      <c r="D2155" s="47" t="str">
        <f>+IF(PAA_4[[#This Row],[UNIDAD DE CONTRATACION (formulado)]]="Subgerencia Administrativa y Financiera","FUNCIONAMIENTO","INVERSIÓN")</f>
        <v>INVERSIÓN</v>
      </c>
      <c r="E2155" s="48" t="str">
        <f>VLOOKUP(Q2155,[2]PROYECTOS!$G$1:$K$32,5,0)</f>
        <v>Asesoria y acompañamiento institucional para el deporte formativo, la recreación y la actividad física en el departamento de Antioquia</v>
      </c>
      <c r="F2155" s="48">
        <f>VLOOKUP(E2155,[2]PROYECTOS!$K$1:$M$32,3,0)</f>
        <v>2024003050100</v>
      </c>
      <c r="G2155" s="49" t="s">
        <v>2337</v>
      </c>
      <c r="H2155" s="49" t="str">
        <f>VLOOKUP(Q2155,[2]PROYECTOS!$V$1:$W$32,2,0)</f>
        <v>050071</v>
      </c>
      <c r="I2155" s="78">
        <v>4909055</v>
      </c>
      <c r="J2155" s="51" t="s">
        <v>1851</v>
      </c>
      <c r="K2155" s="47" t="str">
        <f ca="1">IF(ISNONTEXT(Y2155)=TRUE,"CONTRATADO","NO CONTRATADO")</f>
        <v>CONTRATADO</v>
      </c>
      <c r="L2155" s="47" t="s">
        <v>42</v>
      </c>
      <c r="M2155" s="47" t="s">
        <v>42</v>
      </c>
      <c r="N2155" s="52" t="s">
        <v>2338</v>
      </c>
      <c r="O2155" s="51" t="e">
        <f>VLOOKUP(N2155,[2]!RUBROS[#All],3,0)</f>
        <v>#REF!</v>
      </c>
      <c r="P2155" s="53" t="e">
        <f>VLOOKUP(N2155,[2]!RUBROS[#All],2,0)</f>
        <v>#REF!</v>
      </c>
      <c r="Q2155" s="47" t="str">
        <f>+MID(N2155,11,2)</f>
        <v>10</v>
      </c>
      <c r="R2155" s="47" t="str">
        <f>+MID(N2155,14,8)</f>
        <v>0-205400</v>
      </c>
      <c r="S2155" s="54" t="s">
        <v>42</v>
      </c>
      <c r="T2155" s="329" t="s">
        <v>42</v>
      </c>
      <c r="U2155" s="326" t="e">
        <f ca="1">_xlfn.XLOOKUP(PAA_4[[#This Row],[ITEM]],[2]Contrato!A:A,[2]Contrato!Q:Q,"",0)</f>
        <v>#NAME?</v>
      </c>
      <c r="V2155" s="47" t="s">
        <v>95</v>
      </c>
      <c r="W2155" s="47" t="s">
        <v>42</v>
      </c>
      <c r="X2155" s="47" t="s">
        <v>42</v>
      </c>
      <c r="Y2155" s="55" t="e">
        <f ca="1">_xlfn.XLOOKUP(PAA_4[[#This Row],[ITEM]],[2]Contrato!A:A,[2]Contrato!B:B,"",0)</f>
        <v>#NAME?</v>
      </c>
      <c r="Z2155" s="47" t="e">
        <f ca="1">_xlfn.XLOOKUP(PAA_4[[#This Row],[ITEM]],[2]Contrato!A:A,[2]Contrato!G:G,"",0)</f>
        <v>#NAME?</v>
      </c>
      <c r="AA2155" s="47" t="e">
        <f ca="1">_xlfn.XLOOKUP(PAA_4[[#This Row],[ITEM]],[2]Contrato!A:A,[2]Contrato!T:T,"",0)</f>
        <v>#NAME?</v>
      </c>
      <c r="AB2155" s="55" t="e">
        <f ca="1">+MAX(PAA_4[[#This Row],[Comprometido Contrato]],PAA_4[[#This Row],[Comprometido Bolsa]])</f>
        <v>#NAME?</v>
      </c>
      <c r="AC2155" s="55" t="str">
        <f ca="1">IFERROR(I2155-AB2155,"")</f>
        <v/>
      </c>
      <c r="AD2155" s="55" t="e">
        <f ca="1">IF(PAA_4[[#This Row],[ESTADO (formulado)]]="NO CONTRATADO",0,MAX(PAA_4[[#This Row],[Pago por Contrato]],PAA_4[[#This Row],[Pago por bolsa]]))</f>
        <v>#NAME?</v>
      </c>
      <c r="AE2155" s="55" t="str">
        <f ca="1">+IFERROR(AB2155-AD2155,"")</f>
        <v/>
      </c>
      <c r="AF2155" s="47" t="e">
        <f ca="1">+CONCATENATE(AA2155,N2155)</f>
        <v>#NAME?</v>
      </c>
      <c r="AG2155" s="47">
        <f>IFERROR(_xlfn.NUMBERVALUE(MID(G2155,1,8)),"")</f>
        <v>52010705</v>
      </c>
      <c r="AH2155" s="54">
        <f>IF(Q2155="22",IF(ISNUMBER(SEARCH("econ",PAA_4[[#This Row],[Actividad3]])),"Económico",IF(ISNUMBER(SEARCH("alim",PAA_4[[#This Row],[Actividad3]])),"Alimentación",IF(ISNUMBER(SEARCH("educ",PAA_4[[#This Row],[Actividad3]])),"Educativo","Técnico"))),0)</f>
        <v>0</v>
      </c>
      <c r="AI2155" s="47" t="e" cm="1">
        <f t="array" aca="1" ref="AI2155" ca="1">_xlfn.XLOOKUP(PAA_4[[#This Row],[RCP-RUBRO]],[2]!COMPROMISOS_2024[[#All],[concatenado]],[2]!COMPROMISOS_2024[[#All],[Total pagado]],"",0)</f>
        <v>#NAME?</v>
      </c>
      <c r="AJ2155" s="56">
        <f>IF(PAA_4[[#This Row],[BOLSA]]=0,0,SUMIFS([2]!COMPROMISOS_2024[[#All],[Total pagado]],[2]!COMPROMISOS_2024[[#All],[Bolsa]],PAA_4[[#This Row],[BOLSA]],[2]!COMPROMISOS_2024[[#All],[rubro]],PAA_4[[#This Row],[RCP-RUBRO]]))</f>
        <v>0</v>
      </c>
      <c r="AK2155" s="47" t="e" cm="1">
        <f t="array" aca="1" ref="AK2155" ca="1">_xlfn.XLOOKUP(PAA_4[[#This Row],[RCP-RUBRO]],[2]!COMPROMISOS_2024[[#All],[concatenado]],[2]!COMPROMISOS_2024[[#All],[Total Comprometido]],"",0)</f>
        <v>#NAME?</v>
      </c>
      <c r="AL2155" s="47">
        <f>IF(PAA_4[[#This Row],[BOLSA]]=0,0,SUMIFS([2]!COMPROMISOS_2024[[#All],[Total Comprometido]],[2]!COMPROMISOS_2024[[#All],[Bolsa]],PAA_4[[#This Row],[BOLSA]],[2]!COMPROMISOS_2024[[#All],[concatenado]],PAA_4[[#This Row],[RCP-RUBRO]]))</f>
        <v>0</v>
      </c>
    </row>
    <row r="2156" spans="1:38" s="19" customFormat="1" ht="31.5" customHeight="1">
      <c r="A2156" s="47">
        <v>1125</v>
      </c>
      <c r="B2156" s="47">
        <v>80111600</v>
      </c>
      <c r="C2156" s="47" t="str">
        <f>VLOOKUP(PAA_4[[#This Row],[PROYECTO (formulado)2]],[2]PROYECTOS!$G$1:$L$32,6,0)</f>
        <v>SUBGERENCIA DE FOMENTO Y DESARROLLO</v>
      </c>
      <c r="D2156" s="47" t="str">
        <f>+IF(PAA_4[[#This Row],[UNIDAD DE CONTRATACION (formulado)]]="Subgerencia Administrativa y Financiera","FUNCIONAMIENTO","INVERSIÓN")</f>
        <v>INVERSIÓN</v>
      </c>
      <c r="E2156" s="48" t="str">
        <f>VLOOKUP(Q2156,[2]PROYECTOS!$G$1:$K$32,5,0)</f>
        <v>Asesoria y acompañamiento institucional para el deporte formativo, la recreación y la actividad física en el departamento de Antioquia</v>
      </c>
      <c r="F2156" s="48">
        <f>VLOOKUP(E2156,[2]PROYECTOS!$K$1:$M$32,3,0)</f>
        <v>2024003050100</v>
      </c>
      <c r="G2156" s="49" t="s">
        <v>2337</v>
      </c>
      <c r="H2156" s="49" t="str">
        <f>VLOOKUP(Q2156,[2]PROYECTOS!$V$1:$W$32,2,0)</f>
        <v>050071</v>
      </c>
      <c r="I2156" s="78">
        <f>25637243-3000000-4909055</f>
        <v>17728188</v>
      </c>
      <c r="J2156" s="51" t="s">
        <v>2339</v>
      </c>
      <c r="K2156" s="47" t="str">
        <f t="shared" ref="K2156" ca="1" si="727">IF(ISNONTEXT(Y2156)=TRUE,"CONTRATADO","NO CONTRATADO")</f>
        <v>CONTRATADO</v>
      </c>
      <c r="L2156" s="47" t="s">
        <v>94</v>
      </c>
      <c r="M2156" s="51" t="s">
        <v>1297</v>
      </c>
      <c r="N2156" s="52" t="s">
        <v>2338</v>
      </c>
      <c r="O2156" s="51" t="e">
        <f>VLOOKUP(N2156,[2]!RUBROS[#All],3,0)</f>
        <v>#REF!</v>
      </c>
      <c r="P2156" s="53" t="e">
        <f>VLOOKUP(N2156,[2]!RUBROS[#All],2,0)</f>
        <v>#REF!</v>
      </c>
      <c r="Q2156" s="47" t="str">
        <f t="shared" ref="Q2156" si="728">+MID(N2156,11,2)</f>
        <v>10</v>
      </c>
      <c r="R2156" s="47" t="str">
        <f t="shared" ref="R2156" si="729">+MID(N2156,14,8)</f>
        <v>0-205400</v>
      </c>
      <c r="S2156" s="54">
        <v>3</v>
      </c>
      <c r="T2156" s="63" t="s">
        <v>46</v>
      </c>
      <c r="U2156" s="326" t="e">
        <f ca="1">_xlfn.XLOOKUP(PAA_4[[#This Row],[ITEM]],[2]Contrato!A:A,[2]Contrato!Q:Q,"",0)</f>
        <v>#NAME?</v>
      </c>
      <c r="V2156" s="47" t="s">
        <v>95</v>
      </c>
      <c r="W2156" s="47" t="s">
        <v>203</v>
      </c>
      <c r="X2156" s="47" t="s">
        <v>203</v>
      </c>
      <c r="Y2156" s="55" t="e">
        <f ca="1">_xlfn.XLOOKUP(PAA_4[[#This Row],[ITEM]],[2]Contrato!A:A,[2]Contrato!B:B,"",0)</f>
        <v>#NAME?</v>
      </c>
      <c r="Z2156" s="47" t="e">
        <f ca="1">_xlfn.XLOOKUP(PAA_4[[#This Row],[ITEM]],[2]Contrato!A:A,[2]Contrato!G:G,"",0)</f>
        <v>#NAME?</v>
      </c>
      <c r="AA2156" s="47" t="e">
        <f ca="1">_xlfn.XLOOKUP(PAA_4[[#This Row],[ITEM]],[2]Contrato!A:A,[2]Contrato!T:T,"",0)</f>
        <v>#NAME?</v>
      </c>
      <c r="AB2156" s="55" t="e">
        <f ca="1">+MAX(PAA_4[[#This Row],[Comprometido Contrato]],PAA_4[[#This Row],[Comprometido Bolsa]])</f>
        <v>#NAME?</v>
      </c>
      <c r="AC2156" s="55" t="str">
        <f t="shared" ref="AC2156" ca="1" si="730">IFERROR(I2156-AB2156,"")</f>
        <v/>
      </c>
      <c r="AD2156" s="55" t="e">
        <f ca="1">IF(PAA_4[[#This Row],[ESTADO (formulado)]]="NO CONTRATADO",0,MAX(PAA_4[[#This Row],[Pago por Contrato]],PAA_4[[#This Row],[Pago por bolsa]]))</f>
        <v>#NAME?</v>
      </c>
      <c r="AE2156" s="55" t="str">
        <f t="shared" ref="AE2156" ca="1" si="731">+IFERROR(AB2156-AD2156,"")</f>
        <v/>
      </c>
      <c r="AF2156" s="47" t="e">
        <f t="shared" ref="AF2156" ca="1" si="732">+CONCATENATE(AA2156,N2156)</f>
        <v>#NAME?</v>
      </c>
      <c r="AG2156" s="47">
        <f t="shared" ref="AG2156" si="733">IFERROR(_xlfn.NUMBERVALUE(MID(G2156,1,8)),"")</f>
        <v>52010705</v>
      </c>
      <c r="AH2156" s="54">
        <f>IF(Q2156="22",IF(ISNUMBER(SEARCH("econ",PAA_4[[#This Row],[Actividad3]])),"Económico",IF(ISNUMBER(SEARCH("alim",PAA_4[[#This Row],[Actividad3]])),"Alimentación",IF(ISNUMBER(SEARCH("educ",PAA_4[[#This Row],[Actividad3]])),"Educativo","Técnico"))),0)</f>
        <v>0</v>
      </c>
      <c r="AI2156" s="47" t="e" cm="1">
        <f t="array" aca="1" ref="AI2156" ca="1">_xlfn.XLOOKUP(PAA_4[[#This Row],[RCP-RUBRO]],[2]!COMPROMISOS_2024[[#All],[concatenado]],[2]!COMPROMISOS_2024[[#All],[Total pagado]],"",0)</f>
        <v>#NAME?</v>
      </c>
      <c r="AJ2156" s="56">
        <f>IF(PAA_4[[#This Row],[BOLSA]]=0,0,SUMIFS([2]!COMPROMISOS_2024[[#All],[Total pagado]],[2]!COMPROMISOS_2024[[#All],[Bolsa]],PAA_4[[#This Row],[BOLSA]],[2]!COMPROMISOS_2024[[#All],[rubro]],PAA_4[[#This Row],[RCP-RUBRO]]))</f>
        <v>0</v>
      </c>
      <c r="AK2156" s="47" t="e" cm="1">
        <f t="array" aca="1" ref="AK2156" ca="1">_xlfn.XLOOKUP(PAA_4[[#This Row],[RCP-RUBRO]],[2]!COMPROMISOS_2024[[#All],[concatenado]],[2]!COMPROMISOS_2024[[#All],[Total Comprometido]],"",0)</f>
        <v>#NAME?</v>
      </c>
      <c r="AL2156" s="47">
        <f>IF(PAA_4[[#This Row],[BOLSA]]=0,0,SUMIFS([2]!COMPROMISOS_2024[[#All],[Total Comprometido]],[2]!COMPROMISOS_2024[[#All],[Bolsa]],PAA_4[[#This Row],[BOLSA]],[2]!COMPROMISOS_2024[[#All],[concatenado]],PAA_4[[#This Row],[RCP-RUBRO]]))</f>
        <v>0</v>
      </c>
    </row>
    <row r="2157" spans="1:38" s="19" customFormat="1" ht="31.5" customHeight="1">
      <c r="A2157" s="47" t="s">
        <v>82</v>
      </c>
      <c r="B2157" s="47" t="s">
        <v>42</v>
      </c>
      <c r="C2157" s="47" t="str">
        <f>VLOOKUP(PAA_4[[#This Row],[PROYECTO (formulado)2]],[2]PROYECTOS!$G$1:$L$32,6,0)</f>
        <v>SUBGERENCIA DE FOMENTO Y DESARROLLO</v>
      </c>
      <c r="D2157" s="47" t="str">
        <f>+IF(PAA_4[[#This Row],[UNIDAD DE CONTRATACION (formulado)]]="Subgerencia Administrativa y Financiera","FUNCIONAMIENTO","INVERSIÓN")</f>
        <v>INVERSIÓN</v>
      </c>
      <c r="E2157" s="48" t="str">
        <f>VLOOKUP(Q2157,[2]PROYECTOS!$G$1:$K$32,5,0)</f>
        <v>Asesoria y acompañamiento institucional para el deporte formativo, la recreación y la actividad física en el departamento de Antioquia</v>
      </c>
      <c r="F2157" s="48">
        <f>VLOOKUP(E2157,[2]PROYECTOS!$K$1:$M$32,3,0)</f>
        <v>2024003050100</v>
      </c>
      <c r="G2157" s="49" t="s">
        <v>2337</v>
      </c>
      <c r="H2157" s="49" t="str">
        <f>VLOOKUP(Q2157,[2]PROYECTOS!$V$1:$W$32,2,0)</f>
        <v>050071</v>
      </c>
      <c r="I2157" s="78">
        <v>2000001</v>
      </c>
      <c r="J2157" s="51" t="s">
        <v>1851</v>
      </c>
      <c r="K2157" s="47" t="str">
        <f ca="1">IF(ISNONTEXT(Y2157)=TRUE,"CONTRATADO","NO CONTRATADO")</f>
        <v>CONTRATADO</v>
      </c>
      <c r="L2157" s="47" t="s">
        <v>42</v>
      </c>
      <c r="M2157" s="47" t="s">
        <v>42</v>
      </c>
      <c r="N2157" s="52" t="s">
        <v>2338</v>
      </c>
      <c r="O2157" s="51" t="e">
        <f>VLOOKUP(N2157,[2]!RUBROS[#All],3,0)</f>
        <v>#REF!</v>
      </c>
      <c r="P2157" s="53" t="e">
        <f>VLOOKUP(N2157,[2]!RUBROS[#All],2,0)</f>
        <v>#REF!</v>
      </c>
      <c r="Q2157" s="47" t="str">
        <f>+MID(N2157,11,2)</f>
        <v>10</v>
      </c>
      <c r="R2157" s="47" t="str">
        <f>+MID(N2157,14,8)</f>
        <v>0-205400</v>
      </c>
      <c r="S2157" s="54" t="s">
        <v>42</v>
      </c>
      <c r="T2157" s="63" t="s">
        <v>42</v>
      </c>
      <c r="U2157" s="326" t="e">
        <f ca="1">_xlfn.XLOOKUP(PAA_4[[#This Row],[ITEM]],[2]Contrato!A:A,[2]Contrato!Q:Q,"",0)</f>
        <v>#NAME?</v>
      </c>
      <c r="V2157" s="47" t="s">
        <v>95</v>
      </c>
      <c r="W2157" s="47" t="s">
        <v>42</v>
      </c>
      <c r="X2157" s="47" t="s">
        <v>42</v>
      </c>
      <c r="Y2157" s="55" t="e">
        <f ca="1">_xlfn.XLOOKUP(PAA_4[[#This Row],[ITEM]],[2]Contrato!A:A,[2]Contrato!B:B,"",0)</f>
        <v>#NAME?</v>
      </c>
      <c r="Z2157" s="47" t="e">
        <f ca="1">_xlfn.XLOOKUP(PAA_4[[#This Row],[ITEM]],[2]Contrato!A:A,[2]Contrato!G:G,"",0)</f>
        <v>#NAME?</v>
      </c>
      <c r="AA2157" s="47" t="e">
        <f ca="1">_xlfn.XLOOKUP(PAA_4[[#This Row],[ITEM]],[2]Contrato!A:A,[2]Contrato!T:T,"",0)</f>
        <v>#NAME?</v>
      </c>
      <c r="AB2157" s="55" t="e">
        <f ca="1">+MAX(PAA_4[[#This Row],[Comprometido Contrato]],PAA_4[[#This Row],[Comprometido Bolsa]])</f>
        <v>#NAME?</v>
      </c>
      <c r="AC2157" s="55" t="str">
        <f ca="1">IFERROR(I2157-AB2157,"")</f>
        <v/>
      </c>
      <c r="AD2157" s="55" t="e">
        <f ca="1">IF(PAA_4[[#This Row],[ESTADO (formulado)]]="NO CONTRATADO",0,MAX(PAA_4[[#This Row],[Pago por Contrato]],PAA_4[[#This Row],[Pago por bolsa]]))</f>
        <v>#NAME?</v>
      </c>
      <c r="AE2157" s="55" t="str">
        <f ca="1">+IFERROR(AB2157-AD2157,"")</f>
        <v/>
      </c>
      <c r="AF2157" s="47" t="e">
        <f ca="1">+CONCATENATE(AA2157,N2157)</f>
        <v>#NAME?</v>
      </c>
      <c r="AG2157" s="47">
        <f>IFERROR(_xlfn.NUMBERVALUE(MID(G2157,1,8)),"")</f>
        <v>52010705</v>
      </c>
      <c r="AH2157" s="54">
        <f>IF(Q2157="22",IF(ISNUMBER(SEARCH("econ",PAA_4[[#This Row],[Actividad3]])),"Económico",IF(ISNUMBER(SEARCH("alim",PAA_4[[#This Row],[Actividad3]])),"Alimentación",IF(ISNUMBER(SEARCH("educ",PAA_4[[#This Row],[Actividad3]])),"Educativo","Técnico"))),0)</f>
        <v>0</v>
      </c>
      <c r="AI2157" s="47" t="e" cm="1">
        <f t="array" aca="1" ref="AI2157" ca="1">_xlfn.XLOOKUP(PAA_4[[#This Row],[RCP-RUBRO]],[2]!COMPROMISOS_2024[[#All],[concatenado]],[2]!COMPROMISOS_2024[[#All],[Total pagado]],"",0)</f>
        <v>#NAME?</v>
      </c>
      <c r="AJ2157" s="56">
        <f>IF(PAA_4[[#This Row],[BOLSA]]=0,0,SUMIFS([2]!COMPROMISOS_2024[[#All],[Total pagado]],[2]!COMPROMISOS_2024[[#All],[Bolsa]],PAA_4[[#This Row],[BOLSA]],[2]!COMPROMISOS_2024[[#All],[rubro]],PAA_4[[#This Row],[RCP-RUBRO]]))</f>
        <v>0</v>
      </c>
      <c r="AK2157" s="47" t="e" cm="1">
        <f t="array" aca="1" ref="AK2157" ca="1">_xlfn.XLOOKUP(PAA_4[[#This Row],[RCP-RUBRO]],[2]!COMPROMISOS_2024[[#All],[concatenado]],[2]!COMPROMISOS_2024[[#All],[Total Comprometido]],"",0)</f>
        <v>#NAME?</v>
      </c>
      <c r="AL2157" s="47">
        <f>IF(PAA_4[[#This Row],[BOLSA]]=0,0,SUMIFS([2]!COMPROMISOS_2024[[#All],[Total Comprometido]],[2]!COMPROMISOS_2024[[#All],[Bolsa]],PAA_4[[#This Row],[BOLSA]],[2]!COMPROMISOS_2024[[#All],[concatenado]],PAA_4[[#This Row],[RCP-RUBRO]]))</f>
        <v>0</v>
      </c>
    </row>
    <row r="2158" spans="1:38" s="19" customFormat="1" ht="31.5" customHeight="1">
      <c r="A2158" s="47">
        <v>1126</v>
      </c>
      <c r="B2158" s="47">
        <v>80111600</v>
      </c>
      <c r="C2158" s="47" t="str">
        <f>VLOOKUP(PAA_4[[#This Row],[PROYECTO (formulado)2]],[2]PROYECTOS!$G$1:$L$32,6,0)</f>
        <v>SUBGERENCIA DE FOMENTO Y DESARROLLO</v>
      </c>
      <c r="D2158" s="47" t="str">
        <f>+IF(PAA_4[[#This Row],[UNIDAD DE CONTRATACION (formulado)]]="Subgerencia Administrativa y Financiera","FUNCIONAMIENTO","INVERSIÓN")</f>
        <v>INVERSIÓN</v>
      </c>
      <c r="E2158" s="48" t="str">
        <f>VLOOKUP(Q2158,[2]PROYECTOS!$G$1:$K$32,5,0)</f>
        <v>Asesoria y acompañamiento institucional para el deporte formativo, la recreación y la actividad física en el departamento de Antioquia</v>
      </c>
      <c r="F2158" s="48">
        <f>VLOOKUP(E2158,[2]PROYECTOS!$K$1:$M$32,3,0)</f>
        <v>2024003050100</v>
      </c>
      <c r="G2158" s="49" t="s">
        <v>2337</v>
      </c>
      <c r="H2158" s="49" t="str">
        <f>VLOOKUP(Q2158,[2]PROYECTOS!$V$1:$W$32,2,0)</f>
        <v>050071</v>
      </c>
      <c r="I2158" s="78">
        <f>8985780-2000001</f>
        <v>6985779</v>
      </c>
      <c r="J2158" s="51" t="s">
        <v>2340</v>
      </c>
      <c r="K2158" s="47" t="str">
        <f t="shared" ref="K2158:K2159" ca="1" si="734">IF(ISNONTEXT(Y2158)=TRUE,"CONTRATADO","NO CONTRATADO")</f>
        <v>CONTRATADO</v>
      </c>
      <c r="L2158" s="47" t="s">
        <v>94</v>
      </c>
      <c r="M2158" s="51" t="s">
        <v>1297</v>
      </c>
      <c r="N2158" s="52" t="s">
        <v>2338</v>
      </c>
      <c r="O2158" s="51" t="e">
        <f>VLOOKUP(N2158,[2]!RUBROS[#All],3,0)</f>
        <v>#REF!</v>
      </c>
      <c r="P2158" s="53" t="e">
        <f>VLOOKUP(N2158,[2]!RUBROS[#All],2,0)</f>
        <v>#REF!</v>
      </c>
      <c r="Q2158" s="47" t="str">
        <f t="shared" ref="Q2158:Q2159" si="735">+MID(N2158,11,2)</f>
        <v>10</v>
      </c>
      <c r="R2158" s="47" t="str">
        <f t="shared" ref="R2158:R2159" si="736">+MID(N2158,14,8)</f>
        <v>0-205400</v>
      </c>
      <c r="S2158" s="54">
        <v>2</v>
      </c>
      <c r="T2158" s="63" t="s">
        <v>46</v>
      </c>
      <c r="U2158" s="326" t="e">
        <f ca="1">_xlfn.XLOOKUP(PAA_4[[#This Row],[ITEM]],[2]Contrato!A:A,[2]Contrato!Q:Q,"",0)</f>
        <v>#NAME?</v>
      </c>
      <c r="V2158" s="47" t="s">
        <v>95</v>
      </c>
      <c r="W2158" s="47" t="s">
        <v>203</v>
      </c>
      <c r="X2158" s="47" t="s">
        <v>203</v>
      </c>
      <c r="Y2158" s="55" t="e">
        <f ca="1">_xlfn.XLOOKUP(PAA_4[[#This Row],[ITEM]],[2]Contrato!A:A,[2]Contrato!B:B,"",0)</f>
        <v>#NAME?</v>
      </c>
      <c r="Z2158" s="47" t="e">
        <f ca="1">_xlfn.XLOOKUP(PAA_4[[#This Row],[ITEM]],[2]Contrato!A:A,[2]Contrato!G:G,"",0)</f>
        <v>#NAME?</v>
      </c>
      <c r="AA2158" s="47" t="e">
        <f ca="1">_xlfn.XLOOKUP(PAA_4[[#This Row],[ITEM]],[2]Contrato!A:A,[2]Contrato!T:T,"",0)</f>
        <v>#NAME?</v>
      </c>
      <c r="AB2158" s="55" t="e">
        <f ca="1">+MAX(PAA_4[[#This Row],[Comprometido Contrato]],PAA_4[[#This Row],[Comprometido Bolsa]])</f>
        <v>#NAME?</v>
      </c>
      <c r="AC2158" s="55" t="str">
        <f t="shared" ref="AC2158:AC2159" ca="1" si="737">IFERROR(I2158-AB2158,"")</f>
        <v/>
      </c>
      <c r="AD2158" s="55" t="e">
        <f ca="1">IF(PAA_4[[#This Row],[ESTADO (formulado)]]="NO CONTRATADO",0,MAX(PAA_4[[#This Row],[Pago por Contrato]],PAA_4[[#This Row],[Pago por bolsa]]))</f>
        <v>#NAME?</v>
      </c>
      <c r="AE2158" s="55" t="str">
        <f t="shared" ref="AE2158:AE2159" ca="1" si="738">+IFERROR(AB2158-AD2158,"")</f>
        <v/>
      </c>
      <c r="AF2158" s="47" t="e">
        <f t="shared" ref="AF2158:AF2159" ca="1" si="739">+CONCATENATE(AA2158,N2158)</f>
        <v>#NAME?</v>
      </c>
      <c r="AG2158" s="47">
        <f t="shared" ref="AG2158:AG2159" si="740">IFERROR(_xlfn.NUMBERVALUE(MID(G2158,1,8)),"")</f>
        <v>52010705</v>
      </c>
      <c r="AH2158" s="54">
        <f>IF(Q2158="22",IF(ISNUMBER(SEARCH("econ",PAA_4[[#This Row],[Actividad3]])),"Económico",IF(ISNUMBER(SEARCH("alim",PAA_4[[#This Row],[Actividad3]])),"Alimentación",IF(ISNUMBER(SEARCH("educ",PAA_4[[#This Row],[Actividad3]])),"Educativo","Técnico"))),0)</f>
        <v>0</v>
      </c>
      <c r="AI2158" s="47" t="e" cm="1">
        <f t="array" aca="1" ref="AI2158" ca="1">_xlfn.XLOOKUP(PAA_4[[#This Row],[RCP-RUBRO]],[2]!COMPROMISOS_2024[[#All],[concatenado]],[2]!COMPROMISOS_2024[[#All],[Total pagado]],"",0)</f>
        <v>#NAME?</v>
      </c>
      <c r="AJ2158" s="56">
        <f>IF(PAA_4[[#This Row],[BOLSA]]=0,0,SUMIFS([2]!COMPROMISOS_2024[[#All],[Total pagado]],[2]!COMPROMISOS_2024[[#All],[Bolsa]],PAA_4[[#This Row],[BOLSA]],[2]!COMPROMISOS_2024[[#All],[rubro]],PAA_4[[#This Row],[RCP-RUBRO]]))</f>
        <v>0</v>
      </c>
      <c r="AK2158" s="47" t="e" cm="1">
        <f t="array" aca="1" ref="AK2158" ca="1">_xlfn.XLOOKUP(PAA_4[[#This Row],[RCP-RUBRO]],[2]!COMPROMISOS_2024[[#All],[concatenado]],[2]!COMPROMISOS_2024[[#All],[Total Comprometido]],"",0)</f>
        <v>#NAME?</v>
      </c>
      <c r="AL2158" s="47">
        <f>IF(PAA_4[[#This Row],[BOLSA]]=0,0,SUMIFS([2]!COMPROMISOS_2024[[#All],[Total Comprometido]],[2]!COMPROMISOS_2024[[#All],[Bolsa]],PAA_4[[#This Row],[BOLSA]],[2]!COMPROMISOS_2024[[#All],[concatenado]],PAA_4[[#This Row],[RCP-RUBRO]]))</f>
        <v>0</v>
      </c>
    </row>
    <row r="2159" spans="1:38" s="19" customFormat="1" ht="31.5" customHeight="1">
      <c r="A2159" s="47">
        <v>1127</v>
      </c>
      <c r="B2159" s="47">
        <v>80111600</v>
      </c>
      <c r="C2159" s="47" t="str">
        <f>VLOOKUP(PAA_4[[#This Row],[PROYECTO (formulado)2]],[2]PROYECTOS!$G$1:$L$32,6,0)</f>
        <v>SUBGERENCIA DE FOMENTO Y DESARROLLO</v>
      </c>
      <c r="D2159" s="47" t="str">
        <f>+IF(PAA_4[[#This Row],[UNIDAD DE CONTRATACION (formulado)]]="Subgerencia Administrativa y Financiera","FUNCIONAMIENTO","INVERSIÓN")</f>
        <v>INVERSIÓN</v>
      </c>
      <c r="E2159" s="48" t="str">
        <f>VLOOKUP(Q2159,[2]PROYECTOS!$G$1:$K$32,5,0)</f>
        <v>Desarrollo y promoción del deporte formativo, la recreación y la actividad física en el departamento Antioquia</v>
      </c>
      <c r="F2159" s="48">
        <f>VLOOKUP(E2159,[2]PROYECTOS!$K$1:$M$32,3,0)</f>
        <v>2024003050101</v>
      </c>
      <c r="G2159" s="49" t="s">
        <v>2341</v>
      </c>
      <c r="H2159" s="49" t="str">
        <f>VLOOKUP(Q2159,[2]PROYECTOS!$V$1:$W$32,2,0)</f>
        <v>050075</v>
      </c>
      <c r="I2159" s="78">
        <v>24837273</v>
      </c>
      <c r="J2159" s="51" t="s">
        <v>2342</v>
      </c>
      <c r="K2159" s="47" t="str">
        <f t="shared" ca="1" si="734"/>
        <v>CONTRATADO</v>
      </c>
      <c r="L2159" s="47" t="s">
        <v>94</v>
      </c>
      <c r="M2159" s="51" t="s">
        <v>1297</v>
      </c>
      <c r="N2159" s="52" t="s">
        <v>1359</v>
      </c>
      <c r="O2159" s="51" t="e">
        <f>VLOOKUP(N2159,[2]!RUBROS[#All],3,0)</f>
        <v>#REF!</v>
      </c>
      <c r="P2159" s="53" t="e">
        <f>VLOOKUP(N2159,[2]!RUBROS[#All],2,0)</f>
        <v>#REF!</v>
      </c>
      <c r="Q2159" s="47" t="str">
        <f t="shared" si="735"/>
        <v>01</v>
      </c>
      <c r="R2159" s="47" t="str">
        <f t="shared" si="736"/>
        <v>0-101024</v>
      </c>
      <c r="S2159" s="54">
        <v>3</v>
      </c>
      <c r="T2159" s="63" t="s">
        <v>46</v>
      </c>
      <c r="U2159" s="326" t="e">
        <f ca="1">_xlfn.XLOOKUP(PAA_4[[#This Row],[ITEM]],[2]Contrato!A:A,[2]Contrato!Q:Q,"",0)</f>
        <v>#NAME?</v>
      </c>
      <c r="V2159" s="47" t="s">
        <v>95</v>
      </c>
      <c r="W2159" s="47" t="s">
        <v>203</v>
      </c>
      <c r="X2159" s="47" t="s">
        <v>203</v>
      </c>
      <c r="Y2159" s="55" t="e">
        <f ca="1">_xlfn.XLOOKUP(PAA_4[[#This Row],[ITEM]],[2]Contrato!A:A,[2]Contrato!B:B,"",0)</f>
        <v>#NAME?</v>
      </c>
      <c r="Z2159" s="47" t="e">
        <f ca="1">_xlfn.XLOOKUP(PAA_4[[#This Row],[ITEM]],[2]Contrato!A:A,[2]Contrato!G:G,"",0)</f>
        <v>#NAME?</v>
      </c>
      <c r="AA2159" s="47" t="e">
        <f ca="1">_xlfn.XLOOKUP(PAA_4[[#This Row],[ITEM]],[2]Contrato!A:A,[2]Contrato!T:T,"",0)</f>
        <v>#NAME?</v>
      </c>
      <c r="AB2159" s="55" t="e">
        <f ca="1">+MAX(PAA_4[[#This Row],[Comprometido Contrato]],PAA_4[[#This Row],[Comprometido Bolsa]])</f>
        <v>#NAME?</v>
      </c>
      <c r="AC2159" s="55" t="str">
        <f t="shared" ca="1" si="737"/>
        <v/>
      </c>
      <c r="AD2159" s="55" t="e">
        <f ca="1">IF(PAA_4[[#This Row],[ESTADO (formulado)]]="NO CONTRATADO",0,MAX(PAA_4[[#This Row],[Pago por Contrato]],PAA_4[[#This Row],[Pago por bolsa]]))</f>
        <v>#NAME?</v>
      </c>
      <c r="AE2159" s="55" t="str">
        <f t="shared" ca="1" si="738"/>
        <v/>
      </c>
      <c r="AF2159" s="47" t="e">
        <f t="shared" ca="1" si="739"/>
        <v>#NAME?</v>
      </c>
      <c r="AG2159" s="47">
        <f t="shared" si="740"/>
        <v>52010702</v>
      </c>
      <c r="AH2159" s="54">
        <f>IF(Q2159="22",IF(ISNUMBER(SEARCH("econ",PAA_4[[#This Row],[Actividad3]])),"Económico",IF(ISNUMBER(SEARCH("alim",PAA_4[[#This Row],[Actividad3]])),"Alimentación",IF(ISNUMBER(SEARCH("educ",PAA_4[[#This Row],[Actividad3]])),"Educativo","Técnico"))),0)</f>
        <v>0</v>
      </c>
      <c r="AI2159" s="47" t="e" cm="1">
        <f t="array" aca="1" ref="AI2159" ca="1">_xlfn.XLOOKUP(PAA_4[[#This Row],[RCP-RUBRO]],[2]!COMPROMISOS_2024[[#All],[concatenado]],[2]!COMPROMISOS_2024[[#All],[Total pagado]],"",0)</f>
        <v>#NAME?</v>
      </c>
      <c r="AJ2159" s="56">
        <f>IF(PAA_4[[#This Row],[BOLSA]]=0,0,SUMIFS([2]!COMPROMISOS_2024[[#All],[Total pagado]],[2]!COMPROMISOS_2024[[#All],[Bolsa]],PAA_4[[#This Row],[BOLSA]],[2]!COMPROMISOS_2024[[#All],[rubro]],PAA_4[[#This Row],[RCP-RUBRO]]))</f>
        <v>0</v>
      </c>
      <c r="AK2159" s="47" t="e" cm="1">
        <f t="array" aca="1" ref="AK2159" ca="1">_xlfn.XLOOKUP(PAA_4[[#This Row],[RCP-RUBRO]],[2]!COMPROMISOS_2024[[#All],[concatenado]],[2]!COMPROMISOS_2024[[#All],[Total Comprometido]],"",0)</f>
        <v>#NAME?</v>
      </c>
      <c r="AL2159" s="47">
        <f>IF(PAA_4[[#This Row],[BOLSA]]=0,0,SUMIFS([2]!COMPROMISOS_2024[[#All],[Total Comprometido]],[2]!COMPROMISOS_2024[[#All],[Bolsa]],PAA_4[[#This Row],[BOLSA]],[2]!COMPROMISOS_2024[[#All],[concatenado]],PAA_4[[#This Row],[RCP-RUBRO]]))</f>
        <v>0</v>
      </c>
    </row>
    <row r="2160" spans="1:38" s="19" customFormat="1" ht="31.5" customHeight="1">
      <c r="A2160" s="47" t="s">
        <v>82</v>
      </c>
      <c r="B2160" s="47" t="s">
        <v>42</v>
      </c>
      <c r="C2160" s="47" t="str">
        <f>VLOOKUP(PAA_4[[#This Row],[PROYECTO (formulado)2]],[2]PROYECTOS!$G$1:$L$32,6,0)</f>
        <v>SUBGERENCIA DE FOMENTO Y DESARROLLO</v>
      </c>
      <c r="D2160" s="47" t="str">
        <f>+IF(PAA_4[[#This Row],[UNIDAD DE CONTRATACION (formulado)]]="Subgerencia Administrativa y Financiera","FUNCIONAMIENTO","INVERSIÓN")</f>
        <v>INVERSIÓN</v>
      </c>
      <c r="E2160" s="48" t="str">
        <f>VLOOKUP(Q2160,[2]PROYECTOS!$G$1:$K$32,5,0)</f>
        <v>Desarrollo y promoción del deporte formativo, la recreación y la actividad física en el departamento Antioquia</v>
      </c>
      <c r="F2160" s="48">
        <f>VLOOKUP(E2160,[2]PROYECTOS!$K$1:$M$32,3,0)</f>
        <v>2024003050101</v>
      </c>
      <c r="G2160" s="49" t="s">
        <v>2341</v>
      </c>
      <c r="H2160" s="49" t="str">
        <f>VLOOKUP(Q2160,[2]PROYECTOS!$V$1:$W$32,2,0)</f>
        <v>050075</v>
      </c>
      <c r="I2160" s="78">
        <v>25</v>
      </c>
      <c r="J2160" s="51" t="s">
        <v>1851</v>
      </c>
      <c r="K2160" s="47" t="str">
        <f ca="1">IF(ISNONTEXT(Y2160)=TRUE,"CONTRATADO","NO CONTRATADO")</f>
        <v>CONTRATADO</v>
      </c>
      <c r="L2160" s="47" t="s">
        <v>42</v>
      </c>
      <c r="M2160" s="47" t="s">
        <v>42</v>
      </c>
      <c r="N2160" s="52" t="s">
        <v>1359</v>
      </c>
      <c r="O2160" s="51" t="e">
        <f>VLOOKUP(N2160,[2]!RUBROS[#All],3,0)</f>
        <v>#REF!</v>
      </c>
      <c r="P2160" s="53" t="e">
        <f>VLOOKUP(N2160,[2]!RUBROS[#All],2,0)</f>
        <v>#REF!</v>
      </c>
      <c r="Q2160" s="47" t="str">
        <f>+MID(N2160,11,2)</f>
        <v>01</v>
      </c>
      <c r="R2160" s="47" t="str">
        <f>+MID(N2160,14,8)</f>
        <v>0-101024</v>
      </c>
      <c r="S2160" s="54" t="s">
        <v>42</v>
      </c>
      <c r="T2160" s="329" t="s">
        <v>42</v>
      </c>
      <c r="U2160" s="326" t="e">
        <f ca="1">_xlfn.XLOOKUP(PAA_4[[#This Row],[ITEM]],[2]Contrato!A:A,[2]Contrato!Q:Q,"",0)</f>
        <v>#NAME?</v>
      </c>
      <c r="V2160" s="47" t="s">
        <v>95</v>
      </c>
      <c r="W2160" s="47" t="s">
        <v>42</v>
      </c>
      <c r="X2160" s="47" t="s">
        <v>42</v>
      </c>
      <c r="Y2160" s="55" t="e">
        <f ca="1">_xlfn.XLOOKUP(PAA_4[[#This Row],[ITEM]],[2]Contrato!A:A,[2]Contrato!B:B,"",0)</f>
        <v>#NAME?</v>
      </c>
      <c r="Z2160" s="47" t="e">
        <f ca="1">_xlfn.XLOOKUP(PAA_4[[#This Row],[ITEM]],[2]Contrato!A:A,[2]Contrato!G:G,"",0)</f>
        <v>#NAME?</v>
      </c>
      <c r="AA2160" s="47" t="e">
        <f ca="1">_xlfn.XLOOKUP(PAA_4[[#This Row],[ITEM]],[2]Contrato!A:A,[2]Contrato!T:T,"",0)</f>
        <v>#NAME?</v>
      </c>
      <c r="AB2160" s="55" t="e">
        <f ca="1">+MAX(PAA_4[[#This Row],[Comprometido Contrato]],PAA_4[[#This Row],[Comprometido Bolsa]])</f>
        <v>#NAME?</v>
      </c>
      <c r="AC2160" s="55" t="str">
        <f ca="1">IFERROR(I2160-AB2160,"")</f>
        <v/>
      </c>
      <c r="AD2160" s="55" t="e">
        <f ca="1">IF(PAA_4[[#This Row],[ESTADO (formulado)]]="NO CONTRATADO",0,MAX(PAA_4[[#This Row],[Pago por Contrato]],PAA_4[[#This Row],[Pago por bolsa]]))</f>
        <v>#NAME?</v>
      </c>
      <c r="AE2160" s="55" t="str">
        <f ca="1">+IFERROR(AB2160-AD2160,"")</f>
        <v/>
      </c>
      <c r="AF2160" s="47" t="e">
        <f ca="1">+CONCATENATE(AA2160,N2160)</f>
        <v>#NAME?</v>
      </c>
      <c r="AG2160" s="47">
        <f>IFERROR(_xlfn.NUMBERVALUE(MID(G2160,1,8)),"")</f>
        <v>52010702</v>
      </c>
      <c r="AH2160" s="54">
        <f>IF(Q2160="22",IF(ISNUMBER(SEARCH("econ",PAA_4[[#This Row],[Actividad3]])),"Económico",IF(ISNUMBER(SEARCH("alim",PAA_4[[#This Row],[Actividad3]])),"Alimentación",IF(ISNUMBER(SEARCH("educ",PAA_4[[#This Row],[Actividad3]])),"Educativo","Técnico"))),0)</f>
        <v>0</v>
      </c>
      <c r="AI2160" s="47" t="e" cm="1">
        <f t="array" aca="1" ref="AI2160" ca="1">_xlfn.XLOOKUP(PAA_4[[#This Row],[RCP-RUBRO]],[2]!COMPROMISOS_2024[[#All],[concatenado]],[2]!COMPROMISOS_2024[[#All],[Total pagado]],"",0)</f>
        <v>#NAME?</v>
      </c>
      <c r="AJ2160" s="56">
        <f>IF(PAA_4[[#This Row],[BOLSA]]=0,0,SUMIFS([2]!COMPROMISOS_2024[[#All],[Total pagado]],[2]!COMPROMISOS_2024[[#All],[Bolsa]],PAA_4[[#This Row],[BOLSA]],[2]!COMPROMISOS_2024[[#All],[rubro]],PAA_4[[#This Row],[RCP-RUBRO]]))</f>
        <v>0</v>
      </c>
      <c r="AK2160" s="47" t="e" cm="1">
        <f t="array" aca="1" ref="AK2160" ca="1">_xlfn.XLOOKUP(PAA_4[[#This Row],[RCP-RUBRO]],[2]!COMPROMISOS_2024[[#All],[concatenado]],[2]!COMPROMISOS_2024[[#All],[Total Comprometido]],"",0)</f>
        <v>#NAME?</v>
      </c>
      <c r="AL2160" s="47">
        <f>IF(PAA_4[[#This Row],[BOLSA]]=0,0,SUMIFS([2]!COMPROMISOS_2024[[#All],[Total Comprometido]],[2]!COMPROMISOS_2024[[#All],[Bolsa]],PAA_4[[#This Row],[BOLSA]],[2]!COMPROMISOS_2024[[#All],[concatenado]],PAA_4[[#This Row],[RCP-RUBRO]]))</f>
        <v>0</v>
      </c>
    </row>
    <row r="2161" spans="1:38" s="19" customFormat="1" ht="31.5" customHeight="1">
      <c r="A2161" s="47">
        <v>1128</v>
      </c>
      <c r="B2161" s="47">
        <v>80111600</v>
      </c>
      <c r="C2161" s="47" t="str">
        <f>VLOOKUP(PAA_4[[#This Row],[PROYECTO (formulado)2]],[2]PROYECTOS!$G$1:$L$32,6,0)</f>
        <v>SUBGERENCIA DE FOMENTO Y DESARROLLO</v>
      </c>
      <c r="D2161" s="47" t="str">
        <f>+IF(PAA_4[[#This Row],[UNIDAD DE CONTRATACION (formulado)]]="Subgerencia Administrativa y Financiera","FUNCIONAMIENTO","INVERSIÓN")</f>
        <v>INVERSIÓN</v>
      </c>
      <c r="E2161" s="48" t="str">
        <f>VLOOKUP(Q2161,[2]PROYECTOS!$G$1:$K$32,5,0)</f>
        <v>Desarrollo y promoción del deporte formativo, la recreación y la actividad física en el departamento Antioquia</v>
      </c>
      <c r="F2161" s="48">
        <f>VLOOKUP(E2161,[2]PROYECTOS!$K$1:$M$32,3,0)</f>
        <v>2024003050101</v>
      </c>
      <c r="G2161" s="49" t="s">
        <v>2341</v>
      </c>
      <c r="H2161" s="49" t="str">
        <f>VLOOKUP(Q2161,[2]PROYECTOS!$V$1:$W$32,2,0)</f>
        <v>050075</v>
      </c>
      <c r="I2161" s="78">
        <f>23457425-25</f>
        <v>23457400</v>
      </c>
      <c r="J2161" s="51" t="s">
        <v>2343</v>
      </c>
      <c r="K2161" s="47" t="str">
        <f t="shared" ref="K2161:K2168" ca="1" si="741">IF(ISNONTEXT(Y2161)=TRUE,"CONTRATADO","NO CONTRATADO")</f>
        <v>CONTRATADO</v>
      </c>
      <c r="L2161" s="47" t="s">
        <v>94</v>
      </c>
      <c r="M2161" s="51" t="s">
        <v>1297</v>
      </c>
      <c r="N2161" s="52" t="s">
        <v>1359</v>
      </c>
      <c r="O2161" s="51" t="e">
        <f>VLOOKUP(N2161,[2]!RUBROS[#All],3,0)</f>
        <v>#REF!</v>
      </c>
      <c r="P2161" s="53" t="e">
        <f>VLOOKUP(N2161,[2]!RUBROS[#All],2,0)</f>
        <v>#REF!</v>
      </c>
      <c r="Q2161" s="47" t="str">
        <f t="shared" ref="Q2161:Q2168" si="742">+MID(N2161,11,2)</f>
        <v>01</v>
      </c>
      <c r="R2161" s="47" t="str">
        <f t="shared" ref="R2161:R2168" si="743">+MID(N2161,14,8)</f>
        <v>0-101024</v>
      </c>
      <c r="S2161" s="54">
        <v>3</v>
      </c>
      <c r="T2161" s="63" t="s">
        <v>46</v>
      </c>
      <c r="U2161" s="326" t="e">
        <f ca="1">_xlfn.XLOOKUP(PAA_4[[#This Row],[ITEM]],[2]Contrato!A:A,[2]Contrato!Q:Q,"",0)</f>
        <v>#NAME?</v>
      </c>
      <c r="V2161" s="47" t="s">
        <v>95</v>
      </c>
      <c r="W2161" s="47" t="s">
        <v>203</v>
      </c>
      <c r="X2161" s="47" t="s">
        <v>203</v>
      </c>
      <c r="Y2161" s="55" t="e">
        <f ca="1">_xlfn.XLOOKUP(PAA_4[[#This Row],[ITEM]],[2]Contrato!A:A,[2]Contrato!B:B,"",0)</f>
        <v>#NAME?</v>
      </c>
      <c r="Z2161" s="47" t="e">
        <f ca="1">_xlfn.XLOOKUP(PAA_4[[#This Row],[ITEM]],[2]Contrato!A:A,[2]Contrato!G:G,"",0)</f>
        <v>#NAME?</v>
      </c>
      <c r="AA2161" s="47" t="e">
        <f ca="1">_xlfn.XLOOKUP(PAA_4[[#This Row],[ITEM]],[2]Contrato!A:A,[2]Contrato!T:T,"",0)</f>
        <v>#NAME?</v>
      </c>
      <c r="AB2161" s="55" t="e">
        <f ca="1">+MAX(PAA_4[[#This Row],[Comprometido Contrato]],PAA_4[[#This Row],[Comprometido Bolsa]])</f>
        <v>#NAME?</v>
      </c>
      <c r="AC2161" s="55" t="str">
        <f t="shared" ref="AC2161:AC2168" ca="1" si="744">IFERROR(I2161-AB2161,"")</f>
        <v/>
      </c>
      <c r="AD2161" s="55" t="e">
        <f ca="1">IF(PAA_4[[#This Row],[ESTADO (formulado)]]="NO CONTRATADO",0,MAX(PAA_4[[#This Row],[Pago por Contrato]],PAA_4[[#This Row],[Pago por bolsa]]))</f>
        <v>#NAME?</v>
      </c>
      <c r="AE2161" s="55" t="str">
        <f t="shared" ref="AE2161:AE2168" ca="1" si="745">+IFERROR(AB2161-AD2161,"")</f>
        <v/>
      </c>
      <c r="AF2161" s="47" t="e">
        <f t="shared" ref="AF2161:AF2168" ca="1" si="746">+CONCATENATE(AA2161,N2161)</f>
        <v>#NAME?</v>
      </c>
      <c r="AG2161" s="47">
        <f t="shared" ref="AG2161:AG2168" si="747">IFERROR(_xlfn.NUMBERVALUE(MID(G2161,1,8)),"")</f>
        <v>52010702</v>
      </c>
      <c r="AH2161" s="54">
        <f>IF(Q2161="22",IF(ISNUMBER(SEARCH("econ",PAA_4[[#This Row],[Actividad3]])),"Económico",IF(ISNUMBER(SEARCH("alim",PAA_4[[#This Row],[Actividad3]])),"Alimentación",IF(ISNUMBER(SEARCH("educ",PAA_4[[#This Row],[Actividad3]])),"Educativo","Técnico"))),0)</f>
        <v>0</v>
      </c>
      <c r="AI2161" s="47" t="e" cm="1">
        <f t="array" aca="1" ref="AI2161" ca="1">_xlfn.XLOOKUP(PAA_4[[#This Row],[RCP-RUBRO]],[2]!COMPROMISOS_2024[[#All],[concatenado]],[2]!COMPROMISOS_2024[[#All],[Total pagado]],"",0)</f>
        <v>#NAME?</v>
      </c>
      <c r="AJ2161" s="56">
        <f>IF(PAA_4[[#This Row],[BOLSA]]=0,0,SUMIFS([2]!COMPROMISOS_2024[[#All],[Total pagado]],[2]!COMPROMISOS_2024[[#All],[Bolsa]],PAA_4[[#This Row],[BOLSA]],[2]!COMPROMISOS_2024[[#All],[rubro]],PAA_4[[#This Row],[RCP-RUBRO]]))</f>
        <v>0</v>
      </c>
      <c r="AK2161" s="47" t="e" cm="1">
        <f t="array" aca="1" ref="AK2161" ca="1">_xlfn.XLOOKUP(PAA_4[[#This Row],[RCP-RUBRO]],[2]!COMPROMISOS_2024[[#All],[concatenado]],[2]!COMPROMISOS_2024[[#All],[Total Comprometido]],"",0)</f>
        <v>#NAME?</v>
      </c>
      <c r="AL2161" s="47">
        <f>IF(PAA_4[[#This Row],[BOLSA]]=0,0,SUMIFS([2]!COMPROMISOS_2024[[#All],[Total Comprometido]],[2]!COMPROMISOS_2024[[#All],[Bolsa]],PAA_4[[#This Row],[BOLSA]],[2]!COMPROMISOS_2024[[#All],[concatenado]],PAA_4[[#This Row],[RCP-RUBRO]]))</f>
        <v>0</v>
      </c>
    </row>
    <row r="2162" spans="1:38" s="19" customFormat="1" ht="31.5" customHeight="1">
      <c r="A2162" s="47">
        <v>1203</v>
      </c>
      <c r="B2162" s="47">
        <v>86111602</v>
      </c>
      <c r="C2162" s="47" t="str">
        <f>VLOOKUP(PAA_4[[#This Row],[PROYECTO (formulado)2]],[2]PROYECTOS!$G$1:$L$32,6,0)</f>
        <v>SUBGERENCIA DE FOMENTO Y DESARROLLO</v>
      </c>
      <c r="D2162" s="47" t="str">
        <f>+IF(PAA_4[[#This Row],[UNIDAD DE CONTRATACION (formulado)]]="Subgerencia Administrativa y Financiera","FUNCIONAMIENTO","INVERSIÓN")</f>
        <v>INVERSIÓN</v>
      </c>
      <c r="E2162" s="48" t="str">
        <f>VLOOKUP(Q2162,[2]PROYECTOS!$G$1:$K$32,5,0)</f>
        <v>Capacitación para el sector del deporte, la recreación y la actividad física en el Departamento de   Antioquia</v>
      </c>
      <c r="F2162" s="48">
        <f>VLOOKUP(E2162,[2]PROYECTOS!$K$1:$M$32,3,0)</f>
        <v>2024003050072</v>
      </c>
      <c r="G2162" s="49" t="s">
        <v>2344</v>
      </c>
      <c r="H2162" s="49" t="str">
        <f>VLOOKUP(Q2162,[2]PROYECTOS!$V$1:$W$32,2,0)</f>
        <v>050072</v>
      </c>
      <c r="I2162" s="78">
        <v>100000000</v>
      </c>
      <c r="J2162" s="51" t="s">
        <v>2345</v>
      </c>
      <c r="K2162" s="47" t="str">
        <f t="shared" ca="1" si="741"/>
        <v>CONTRATADO</v>
      </c>
      <c r="L2162" s="47" t="s">
        <v>94</v>
      </c>
      <c r="M2162" s="51" t="s">
        <v>255</v>
      </c>
      <c r="N2162" s="52" t="s">
        <v>2346</v>
      </c>
      <c r="O2162" s="51" t="e">
        <f>VLOOKUP(N2162,[2]!RUBROS[#All],3,0)</f>
        <v>#REF!</v>
      </c>
      <c r="P2162" s="53" t="e">
        <f>VLOOKUP(N2162,[2]!RUBROS[#All],2,0)</f>
        <v>#REF!</v>
      </c>
      <c r="Q2162" s="47" t="str">
        <f t="shared" si="742"/>
        <v>72</v>
      </c>
      <c r="R2162" s="47" t="str">
        <f t="shared" si="743"/>
        <v>0-205128</v>
      </c>
      <c r="S2162" s="54">
        <v>75</v>
      </c>
      <c r="T2162" s="63" t="s">
        <v>120</v>
      </c>
      <c r="U2162" s="326" t="e">
        <f ca="1">_xlfn.XLOOKUP(PAA_4[[#This Row],[ITEM]],[2]Contrato!A:A,[2]Contrato!Q:Q,"",0)</f>
        <v>#NAME?</v>
      </c>
      <c r="V2162" s="47" t="s">
        <v>95</v>
      </c>
      <c r="W2162" s="47" t="s">
        <v>203</v>
      </c>
      <c r="X2162" s="47" t="s">
        <v>203</v>
      </c>
      <c r="Y2162" s="55" t="e">
        <f ca="1">_xlfn.XLOOKUP(PAA_4[[#This Row],[ITEM]],[2]Contrato!A:A,[2]Contrato!B:B,"",0)</f>
        <v>#NAME?</v>
      </c>
      <c r="Z2162" s="47" t="e">
        <f ca="1">_xlfn.XLOOKUP(PAA_4[[#This Row],[ITEM]],[2]Contrato!A:A,[2]Contrato!G:G,"",0)</f>
        <v>#NAME?</v>
      </c>
      <c r="AA2162" s="47" t="e">
        <f ca="1">_xlfn.XLOOKUP(PAA_4[[#This Row],[ITEM]],[2]Contrato!A:A,[2]Contrato!T:T,"",0)</f>
        <v>#NAME?</v>
      </c>
      <c r="AB2162" s="55" t="e">
        <f ca="1">+MAX(PAA_4[[#This Row],[Comprometido Contrato]],PAA_4[[#This Row],[Comprometido Bolsa]])</f>
        <v>#NAME?</v>
      </c>
      <c r="AC2162" s="55" t="str">
        <f t="shared" ca="1" si="744"/>
        <v/>
      </c>
      <c r="AD2162" s="55" t="e">
        <f ca="1">IF(PAA_4[[#This Row],[ESTADO (formulado)]]="NO CONTRATADO",0,MAX(PAA_4[[#This Row],[Pago por Contrato]],PAA_4[[#This Row],[Pago por bolsa]]))</f>
        <v>#NAME?</v>
      </c>
      <c r="AE2162" s="55" t="str">
        <f t="shared" ca="1" si="745"/>
        <v/>
      </c>
      <c r="AF2162" s="47" t="e">
        <f t="shared" ca="1" si="746"/>
        <v>#NAME?</v>
      </c>
      <c r="AG2162" s="47">
        <f t="shared" si="747"/>
        <v>52010704</v>
      </c>
      <c r="AH2162" s="54">
        <f>IF(Q2162="22",IF(ISNUMBER(SEARCH("econ",PAA_4[[#This Row],[Actividad3]])),"Económico",IF(ISNUMBER(SEARCH("alim",PAA_4[[#This Row],[Actividad3]])),"Alimentación",IF(ISNUMBER(SEARCH("educ",PAA_4[[#This Row],[Actividad3]])),"Educativo","Técnico"))),0)</f>
        <v>0</v>
      </c>
      <c r="AI2162" s="47" t="e" cm="1">
        <f t="array" aca="1" ref="AI2162" ca="1">_xlfn.XLOOKUP(PAA_4[[#This Row],[RCP-RUBRO]],[2]!COMPROMISOS_2024[[#All],[concatenado]],[2]!COMPROMISOS_2024[[#All],[Total pagado]],"",0)</f>
        <v>#NAME?</v>
      </c>
      <c r="AJ2162" s="56">
        <f>IF(PAA_4[[#This Row],[BOLSA]]=0,0,SUMIFS([2]!COMPROMISOS_2024[[#All],[Total pagado]],[2]!COMPROMISOS_2024[[#All],[Bolsa]],PAA_4[[#This Row],[BOLSA]],[2]!COMPROMISOS_2024[[#All],[rubro]],PAA_4[[#This Row],[RCP-RUBRO]]))</f>
        <v>0</v>
      </c>
      <c r="AK2162" s="47" t="e" cm="1">
        <f t="array" aca="1" ref="AK2162" ca="1">_xlfn.XLOOKUP(PAA_4[[#This Row],[RCP-RUBRO]],[2]!COMPROMISOS_2024[[#All],[concatenado]],[2]!COMPROMISOS_2024[[#All],[Total Comprometido]],"",0)</f>
        <v>#NAME?</v>
      </c>
      <c r="AL2162" s="47">
        <f>IF(PAA_4[[#This Row],[BOLSA]]=0,0,SUMIFS([2]!COMPROMISOS_2024[[#All],[Total Comprometido]],[2]!COMPROMISOS_2024[[#All],[Bolsa]],PAA_4[[#This Row],[BOLSA]],[2]!COMPROMISOS_2024[[#All],[concatenado]],PAA_4[[#This Row],[RCP-RUBRO]]))</f>
        <v>0</v>
      </c>
    </row>
    <row r="2163" spans="1:38" s="19" customFormat="1" ht="31.5" customHeight="1">
      <c r="A2163" s="47">
        <v>1204</v>
      </c>
      <c r="B2163" s="47">
        <v>80111600</v>
      </c>
      <c r="C2163" s="47" t="str">
        <f>VLOOKUP(PAA_4[[#This Row],[PROYECTO (formulado)2]],[2]PROYECTOS!$G$1:$L$32,6,0)</f>
        <v>SUBGERENCIA DE FOMENTO Y DESARROLLO</v>
      </c>
      <c r="D2163" s="47" t="str">
        <f>+IF(PAA_4[[#This Row],[UNIDAD DE CONTRATACION (formulado)]]="Subgerencia Administrativa y Financiera","FUNCIONAMIENTO","INVERSIÓN")</f>
        <v>INVERSIÓN</v>
      </c>
      <c r="E2163" s="48" t="str">
        <f>VLOOKUP(Q2163,[2]PROYECTOS!$G$1:$K$32,5,0)</f>
        <v>Asesoria y acompañamiento institucional para el deporte formativo, la recreación y la actividad física en el departamento de Antioquia</v>
      </c>
      <c r="F2163" s="48">
        <f>VLOOKUP(E2163,[2]PROYECTOS!$K$1:$M$32,3,0)</f>
        <v>2024003050100</v>
      </c>
      <c r="G2163" s="49" t="s">
        <v>2337</v>
      </c>
      <c r="H2163" s="49" t="str">
        <f>VLOOKUP(Q2163,[2]PROYECTOS!$V$1:$W$32,2,0)</f>
        <v>050071</v>
      </c>
      <c r="I2163" s="78">
        <v>5000000</v>
      </c>
      <c r="J2163" s="51" t="s">
        <v>2347</v>
      </c>
      <c r="K2163" s="47" t="str">
        <f t="shared" ca="1" si="741"/>
        <v>CONTRATADO</v>
      </c>
      <c r="L2163" s="47" t="s">
        <v>94</v>
      </c>
      <c r="M2163" s="51" t="s">
        <v>1297</v>
      </c>
      <c r="N2163" s="52" t="s">
        <v>2338</v>
      </c>
      <c r="O2163" s="51" t="e">
        <f>VLOOKUP(N2163,[2]!RUBROS[#All],3,0)</f>
        <v>#REF!</v>
      </c>
      <c r="P2163" s="53" t="e">
        <f>VLOOKUP(N2163,[2]!RUBROS[#All],2,0)</f>
        <v>#REF!</v>
      </c>
      <c r="Q2163" s="47" t="str">
        <f t="shared" si="742"/>
        <v>10</v>
      </c>
      <c r="R2163" s="47" t="str">
        <f t="shared" si="743"/>
        <v>0-205400</v>
      </c>
      <c r="S2163" s="54">
        <v>1</v>
      </c>
      <c r="T2163" s="63" t="s">
        <v>46</v>
      </c>
      <c r="U2163" s="326" t="e">
        <f ca="1">_xlfn.XLOOKUP(PAA_4[[#This Row],[ITEM]],[2]Contrato!A:A,[2]Contrato!Q:Q,"",0)</f>
        <v>#NAME?</v>
      </c>
      <c r="V2163" s="47" t="s">
        <v>95</v>
      </c>
      <c r="W2163" s="47" t="s">
        <v>203</v>
      </c>
      <c r="X2163" s="47" t="s">
        <v>203</v>
      </c>
      <c r="Y2163" s="55" t="e">
        <f ca="1">_xlfn.XLOOKUP(PAA_4[[#This Row],[ITEM]],[2]Contrato!A:A,[2]Contrato!B:B,"",0)</f>
        <v>#NAME?</v>
      </c>
      <c r="Z2163" s="47" t="e">
        <f ca="1">_xlfn.XLOOKUP(PAA_4[[#This Row],[ITEM]],[2]Contrato!A:A,[2]Contrato!G:G,"",0)</f>
        <v>#NAME?</v>
      </c>
      <c r="AA2163" s="47" t="e">
        <f ca="1">_xlfn.XLOOKUP(PAA_4[[#This Row],[ITEM]],[2]Contrato!A:A,[2]Contrato!T:T,"",0)</f>
        <v>#NAME?</v>
      </c>
      <c r="AB2163" s="55" t="e">
        <f ca="1">+MAX(PAA_4[[#This Row],[Comprometido Contrato]],PAA_4[[#This Row],[Comprometido Bolsa]])</f>
        <v>#NAME?</v>
      </c>
      <c r="AC2163" s="55" t="str">
        <f t="shared" ca="1" si="744"/>
        <v/>
      </c>
      <c r="AD2163" s="55" t="e">
        <f ca="1">IF(PAA_4[[#This Row],[ESTADO (formulado)]]="NO CONTRATADO",0,MAX(PAA_4[[#This Row],[Pago por Contrato]],PAA_4[[#This Row],[Pago por bolsa]]))</f>
        <v>#NAME?</v>
      </c>
      <c r="AE2163" s="55" t="str">
        <f t="shared" ca="1" si="745"/>
        <v/>
      </c>
      <c r="AF2163" s="47" t="e">
        <f t="shared" ca="1" si="746"/>
        <v>#NAME?</v>
      </c>
      <c r="AG2163" s="47">
        <f t="shared" si="747"/>
        <v>52010705</v>
      </c>
      <c r="AH2163" s="54">
        <f>IF(Q2163="22",IF(ISNUMBER(SEARCH("econ",PAA_4[[#This Row],[Actividad3]])),"Económico",IF(ISNUMBER(SEARCH("alim",PAA_4[[#This Row],[Actividad3]])),"Alimentación",IF(ISNUMBER(SEARCH("educ",PAA_4[[#This Row],[Actividad3]])),"Educativo","Técnico"))),0)</f>
        <v>0</v>
      </c>
      <c r="AI2163" s="47" t="e" cm="1">
        <f t="array" aca="1" ref="AI2163" ca="1">_xlfn.XLOOKUP(PAA_4[[#This Row],[RCP-RUBRO]],[2]!COMPROMISOS_2024[[#All],[concatenado]],[2]!COMPROMISOS_2024[[#All],[Total pagado]],"",0)</f>
        <v>#NAME?</v>
      </c>
      <c r="AJ2163" s="56">
        <f>IF(PAA_4[[#This Row],[BOLSA]]=0,0,SUMIFS([2]!COMPROMISOS_2024[[#All],[Total pagado]],[2]!COMPROMISOS_2024[[#All],[Bolsa]],PAA_4[[#This Row],[BOLSA]],[2]!COMPROMISOS_2024[[#All],[rubro]],PAA_4[[#This Row],[RCP-RUBRO]]))</f>
        <v>0</v>
      </c>
      <c r="AK2163" s="47" t="e" cm="1">
        <f t="array" aca="1" ref="AK2163" ca="1">_xlfn.XLOOKUP(PAA_4[[#This Row],[RCP-RUBRO]],[2]!COMPROMISOS_2024[[#All],[concatenado]],[2]!COMPROMISOS_2024[[#All],[Total Comprometido]],"",0)</f>
        <v>#NAME?</v>
      </c>
      <c r="AL2163" s="47">
        <f>IF(PAA_4[[#This Row],[BOLSA]]=0,0,SUMIFS([2]!COMPROMISOS_2024[[#All],[Total Comprometido]],[2]!COMPROMISOS_2024[[#All],[Bolsa]],PAA_4[[#This Row],[BOLSA]],[2]!COMPROMISOS_2024[[#All],[concatenado]],PAA_4[[#This Row],[RCP-RUBRO]]))</f>
        <v>0</v>
      </c>
    </row>
    <row r="2164" spans="1:38" s="19" customFormat="1" ht="31.5" customHeight="1">
      <c r="A2164" s="47">
        <v>1204</v>
      </c>
      <c r="B2164" s="47">
        <v>80111600</v>
      </c>
      <c r="C2164" s="47" t="str">
        <f>VLOOKUP(PAA_4[[#This Row],[PROYECTO (formulado)2]],[2]PROYECTOS!$G$1:$L$32,6,0)</f>
        <v>SUBGERENCIA DE FOMENTO Y DESARROLLO</v>
      </c>
      <c r="D2164" s="47" t="str">
        <f>+IF(PAA_4[[#This Row],[UNIDAD DE CONTRATACION (formulado)]]="Subgerencia Administrativa y Financiera","FUNCIONAMIENTO","INVERSIÓN")</f>
        <v>INVERSIÓN</v>
      </c>
      <c r="E2164" s="48" t="str">
        <f>VLOOKUP(Q2164,[2]PROYECTOS!$G$1:$K$32,5,0)</f>
        <v>Desarrollo y promoción del deporte formativo, la recreación y la actividad física en el departamento Antioquia</v>
      </c>
      <c r="F2164" s="48">
        <f>VLOOKUP(E2164,[2]PROYECTOS!$K$1:$M$32,3,0)</f>
        <v>2024003050101</v>
      </c>
      <c r="G2164" s="49" t="s">
        <v>2348</v>
      </c>
      <c r="H2164" s="49" t="str">
        <f>VLOOKUP(Q2164,[2]PROYECTOS!$V$1:$W$32,2,0)</f>
        <v>050075</v>
      </c>
      <c r="I2164" s="78">
        <v>2000000</v>
      </c>
      <c r="J2164" s="51" t="s">
        <v>2347</v>
      </c>
      <c r="K2164" s="47" t="str">
        <f t="shared" ca="1" si="741"/>
        <v>CONTRATADO</v>
      </c>
      <c r="L2164" s="47" t="s">
        <v>94</v>
      </c>
      <c r="M2164" s="51" t="s">
        <v>1297</v>
      </c>
      <c r="N2164" s="52" t="s">
        <v>2349</v>
      </c>
      <c r="O2164" s="51" t="e">
        <f>VLOOKUP(N2164,[2]!RUBROS[#All],3,0)</f>
        <v>#REF!</v>
      </c>
      <c r="P2164" s="53" t="e">
        <f>VLOOKUP(N2164,[2]!RUBROS[#All],2,0)</f>
        <v>#REF!</v>
      </c>
      <c r="Q2164" s="47" t="str">
        <f t="shared" si="742"/>
        <v>01</v>
      </c>
      <c r="R2164" s="47" t="str">
        <f t="shared" si="743"/>
        <v>0-101024</v>
      </c>
      <c r="S2164" s="54">
        <v>1</v>
      </c>
      <c r="T2164" s="63" t="s">
        <v>46</v>
      </c>
      <c r="U2164" s="326" t="e">
        <f ca="1">_xlfn.XLOOKUP(PAA_4[[#This Row],[ITEM]],[2]Contrato!A:A,[2]Contrato!Q:Q,"",0)</f>
        <v>#NAME?</v>
      </c>
      <c r="V2164" s="47" t="s">
        <v>95</v>
      </c>
      <c r="W2164" s="47" t="s">
        <v>203</v>
      </c>
      <c r="X2164" s="47" t="s">
        <v>203</v>
      </c>
      <c r="Y2164" s="55" t="e">
        <f ca="1">_xlfn.XLOOKUP(PAA_4[[#This Row],[ITEM]],[2]Contrato!A:A,[2]Contrato!B:B,"",0)</f>
        <v>#NAME?</v>
      </c>
      <c r="Z2164" s="47" t="e">
        <f ca="1">_xlfn.XLOOKUP(PAA_4[[#This Row],[ITEM]],[2]Contrato!A:A,[2]Contrato!G:G,"",0)</f>
        <v>#NAME?</v>
      </c>
      <c r="AA2164" s="47" t="e">
        <f ca="1">_xlfn.XLOOKUP(PAA_4[[#This Row],[ITEM]],[2]Contrato!A:A,[2]Contrato!T:T,"",0)</f>
        <v>#NAME?</v>
      </c>
      <c r="AB2164" s="55" t="e">
        <f ca="1">+MAX(PAA_4[[#This Row],[Comprometido Contrato]],PAA_4[[#This Row],[Comprometido Bolsa]])</f>
        <v>#NAME?</v>
      </c>
      <c r="AC2164" s="55" t="str">
        <f t="shared" ca="1" si="744"/>
        <v/>
      </c>
      <c r="AD2164" s="55" t="e">
        <f ca="1">IF(PAA_4[[#This Row],[ESTADO (formulado)]]="NO CONTRATADO",0,MAX(PAA_4[[#This Row],[Pago por Contrato]],PAA_4[[#This Row],[Pago por bolsa]]))</f>
        <v>#NAME?</v>
      </c>
      <c r="AE2164" s="55" t="str">
        <f t="shared" ca="1" si="745"/>
        <v/>
      </c>
      <c r="AF2164" s="47" t="e">
        <f t="shared" ca="1" si="746"/>
        <v>#NAME?</v>
      </c>
      <c r="AG2164" s="47">
        <f t="shared" si="747"/>
        <v>52010702</v>
      </c>
      <c r="AH2164" s="54">
        <f>IF(Q2164="22",IF(ISNUMBER(SEARCH("econ",PAA_4[[#This Row],[Actividad3]])),"Económico",IF(ISNUMBER(SEARCH("alim",PAA_4[[#This Row],[Actividad3]])),"Alimentación",IF(ISNUMBER(SEARCH("educ",PAA_4[[#This Row],[Actividad3]])),"Educativo","Técnico"))),0)</f>
        <v>0</v>
      </c>
      <c r="AI2164" s="47" t="e" cm="1">
        <f t="array" aca="1" ref="AI2164" ca="1">_xlfn.XLOOKUP(PAA_4[[#This Row],[RCP-RUBRO]],[2]!COMPROMISOS_2024[[#All],[concatenado]],[2]!COMPROMISOS_2024[[#All],[Total pagado]],"",0)</f>
        <v>#NAME?</v>
      </c>
      <c r="AJ2164" s="56">
        <f>IF(PAA_4[[#This Row],[BOLSA]]=0,0,SUMIFS([2]!COMPROMISOS_2024[[#All],[Total pagado]],[2]!COMPROMISOS_2024[[#All],[Bolsa]],PAA_4[[#This Row],[BOLSA]],[2]!COMPROMISOS_2024[[#All],[rubro]],PAA_4[[#This Row],[RCP-RUBRO]]))</f>
        <v>0</v>
      </c>
      <c r="AK2164" s="47" t="e" cm="1">
        <f t="array" aca="1" ref="AK2164" ca="1">_xlfn.XLOOKUP(PAA_4[[#This Row],[RCP-RUBRO]],[2]!COMPROMISOS_2024[[#All],[concatenado]],[2]!COMPROMISOS_2024[[#All],[Total Comprometido]],"",0)</f>
        <v>#NAME?</v>
      </c>
      <c r="AL2164" s="47">
        <f>IF(PAA_4[[#This Row],[BOLSA]]=0,0,SUMIFS([2]!COMPROMISOS_2024[[#All],[Total Comprometido]],[2]!COMPROMISOS_2024[[#All],[Bolsa]],PAA_4[[#This Row],[BOLSA]],[2]!COMPROMISOS_2024[[#All],[concatenado]],PAA_4[[#This Row],[RCP-RUBRO]]))</f>
        <v>0</v>
      </c>
    </row>
    <row r="2165" spans="1:38" s="19" customFormat="1" ht="31.5" customHeight="1">
      <c r="A2165" s="47">
        <v>1204</v>
      </c>
      <c r="B2165" s="47">
        <v>80111600</v>
      </c>
      <c r="C2165" s="47" t="str">
        <f>VLOOKUP(PAA_4[[#This Row],[PROYECTO (formulado)2]],[2]PROYECTOS!$G$1:$L$32,6,0)</f>
        <v>SUBGERENCIA DE FOMENTO Y DESARROLLO</v>
      </c>
      <c r="D2165" s="47" t="str">
        <f>+IF(PAA_4[[#This Row],[UNIDAD DE CONTRATACION (formulado)]]="Subgerencia Administrativa y Financiera","FUNCIONAMIENTO","INVERSIÓN")</f>
        <v>INVERSIÓN</v>
      </c>
      <c r="E2165" s="48" t="str">
        <f>VLOOKUP(Q2165,[2]PROYECTOS!$G$1:$K$32,5,0)</f>
        <v>Capacitación para el sector del deporte, la recreación y la actividad física en el Departamento de   Antioquia</v>
      </c>
      <c r="F2165" s="48">
        <f>VLOOKUP(E2165,[2]PROYECTOS!$K$1:$M$32,3,0)</f>
        <v>2024003050072</v>
      </c>
      <c r="G2165" s="49" t="s">
        <v>2350</v>
      </c>
      <c r="H2165" s="49" t="str">
        <f>VLOOKUP(Q2165,[2]PROYECTOS!$V$1:$W$32,2,0)</f>
        <v>050072</v>
      </c>
      <c r="I2165" s="78">
        <v>713503</v>
      </c>
      <c r="J2165" s="51" t="s">
        <v>2347</v>
      </c>
      <c r="K2165" s="47" t="str">
        <f t="shared" ca="1" si="741"/>
        <v>CONTRATADO</v>
      </c>
      <c r="L2165" s="47" t="s">
        <v>94</v>
      </c>
      <c r="M2165" s="51" t="s">
        <v>1297</v>
      </c>
      <c r="N2165" s="52" t="s">
        <v>2351</v>
      </c>
      <c r="O2165" s="51" t="e">
        <f>VLOOKUP(N2165,[2]!RUBROS[#All],3,0)</f>
        <v>#REF!</v>
      </c>
      <c r="P2165" s="53" t="e">
        <f>VLOOKUP(N2165,[2]!RUBROS[#All],2,0)</f>
        <v>#REF!</v>
      </c>
      <c r="Q2165" s="47" t="str">
        <f t="shared" si="742"/>
        <v>72</v>
      </c>
      <c r="R2165" s="47" t="str">
        <f t="shared" si="743"/>
        <v>0-205128</v>
      </c>
      <c r="S2165" s="54">
        <v>1</v>
      </c>
      <c r="T2165" s="63" t="s">
        <v>46</v>
      </c>
      <c r="U2165" s="326" t="e">
        <f ca="1">_xlfn.XLOOKUP(PAA_4[[#This Row],[ITEM]],[2]Contrato!A:A,[2]Contrato!Q:Q,"",0)</f>
        <v>#NAME?</v>
      </c>
      <c r="V2165" s="47" t="s">
        <v>95</v>
      </c>
      <c r="W2165" s="47" t="s">
        <v>203</v>
      </c>
      <c r="X2165" s="47" t="s">
        <v>203</v>
      </c>
      <c r="Y2165" s="55" t="e">
        <f ca="1">_xlfn.XLOOKUP(PAA_4[[#This Row],[ITEM]],[2]Contrato!A:A,[2]Contrato!B:B,"",0)</f>
        <v>#NAME?</v>
      </c>
      <c r="Z2165" s="47" t="e">
        <f ca="1">_xlfn.XLOOKUP(PAA_4[[#This Row],[ITEM]],[2]Contrato!A:A,[2]Contrato!G:G,"",0)</f>
        <v>#NAME?</v>
      </c>
      <c r="AA2165" s="47" t="e">
        <f ca="1">_xlfn.XLOOKUP(PAA_4[[#This Row],[ITEM]],[2]Contrato!A:A,[2]Contrato!T:T,"",0)</f>
        <v>#NAME?</v>
      </c>
      <c r="AB2165" s="55" t="e">
        <f ca="1">+MAX(PAA_4[[#This Row],[Comprometido Contrato]],PAA_4[[#This Row],[Comprometido Bolsa]])</f>
        <v>#NAME?</v>
      </c>
      <c r="AC2165" s="55" t="str">
        <f t="shared" ca="1" si="744"/>
        <v/>
      </c>
      <c r="AD2165" s="55" t="e">
        <f ca="1">IF(PAA_4[[#This Row],[ESTADO (formulado)]]="NO CONTRATADO",0,MAX(PAA_4[[#This Row],[Pago por Contrato]],PAA_4[[#This Row],[Pago por bolsa]]))</f>
        <v>#NAME?</v>
      </c>
      <c r="AE2165" s="55" t="str">
        <f t="shared" ca="1" si="745"/>
        <v/>
      </c>
      <c r="AF2165" s="47" t="e">
        <f t="shared" ca="1" si="746"/>
        <v>#NAME?</v>
      </c>
      <c r="AG2165" s="47">
        <f t="shared" si="747"/>
        <v>52010704</v>
      </c>
      <c r="AH2165" s="54">
        <f>IF(Q2165="22",IF(ISNUMBER(SEARCH("econ",PAA_4[[#This Row],[Actividad3]])),"Económico",IF(ISNUMBER(SEARCH("alim",PAA_4[[#This Row],[Actividad3]])),"Alimentación",IF(ISNUMBER(SEARCH("educ",PAA_4[[#This Row],[Actividad3]])),"Educativo","Técnico"))),0)</f>
        <v>0</v>
      </c>
      <c r="AI2165" s="47" t="e" cm="1">
        <f t="array" aca="1" ref="AI2165" ca="1">_xlfn.XLOOKUP(PAA_4[[#This Row],[RCP-RUBRO]],[2]!COMPROMISOS_2024[[#All],[concatenado]],[2]!COMPROMISOS_2024[[#All],[Total pagado]],"",0)</f>
        <v>#NAME?</v>
      </c>
      <c r="AJ2165" s="56">
        <f>IF(PAA_4[[#This Row],[BOLSA]]=0,0,SUMIFS([2]!COMPROMISOS_2024[[#All],[Total pagado]],[2]!COMPROMISOS_2024[[#All],[Bolsa]],PAA_4[[#This Row],[BOLSA]],[2]!COMPROMISOS_2024[[#All],[rubro]],PAA_4[[#This Row],[RCP-RUBRO]]))</f>
        <v>0</v>
      </c>
      <c r="AK2165" s="47" t="e" cm="1">
        <f t="array" aca="1" ref="AK2165" ca="1">_xlfn.XLOOKUP(PAA_4[[#This Row],[RCP-RUBRO]],[2]!COMPROMISOS_2024[[#All],[concatenado]],[2]!COMPROMISOS_2024[[#All],[Total Comprometido]],"",0)</f>
        <v>#NAME?</v>
      </c>
      <c r="AL2165" s="47">
        <f>IF(PAA_4[[#This Row],[BOLSA]]=0,0,SUMIFS([2]!COMPROMISOS_2024[[#All],[Total Comprometido]],[2]!COMPROMISOS_2024[[#All],[Bolsa]],PAA_4[[#This Row],[BOLSA]],[2]!COMPROMISOS_2024[[#All],[concatenado]],PAA_4[[#This Row],[RCP-RUBRO]]))</f>
        <v>0</v>
      </c>
    </row>
    <row r="2166" spans="1:38" s="19" customFormat="1" ht="31.5" customHeight="1">
      <c r="A2166" s="47">
        <v>1204</v>
      </c>
      <c r="B2166" s="47">
        <v>80111600</v>
      </c>
      <c r="C2166" s="47" t="str">
        <f>VLOOKUP(PAA_4[[#This Row],[PROYECTO (formulado)2]],[2]PROYECTOS!$G$1:$L$32,6,0)</f>
        <v>SUBGERENCIA DE FOMENTO Y DESARROLLO</v>
      </c>
      <c r="D2166" s="47" t="str">
        <f>+IF(PAA_4[[#This Row],[UNIDAD DE CONTRATACION (formulado)]]="Subgerencia Administrativa y Financiera","FUNCIONAMIENTO","INVERSIÓN")</f>
        <v>INVERSIÓN</v>
      </c>
      <c r="E2166" s="48" t="str">
        <f>VLOOKUP(Q2166,[2]PROYECTOS!$G$1:$K$32,5,0)</f>
        <v>Fortalecimiento de los juegos deportivos institucionales en los municipios del departamento de Antioquia</v>
      </c>
      <c r="F2166" s="48">
        <f>VLOOKUP(E2166,[2]PROYECTOS!$K$1:$M$32,3,0)</f>
        <v>2024003050073</v>
      </c>
      <c r="G2166" s="49" t="s">
        <v>2352</v>
      </c>
      <c r="H2166" s="49" t="str">
        <f>VLOOKUP(Q2166,[2]PROYECTOS!$V$1:$W$32,2,0)</f>
        <v>050081</v>
      </c>
      <c r="I2166" s="78">
        <v>1000000</v>
      </c>
      <c r="J2166" s="51" t="s">
        <v>2347</v>
      </c>
      <c r="K2166" s="47" t="str">
        <f t="shared" ca="1" si="741"/>
        <v>CONTRATADO</v>
      </c>
      <c r="L2166" s="47" t="s">
        <v>94</v>
      </c>
      <c r="M2166" s="51" t="s">
        <v>1297</v>
      </c>
      <c r="N2166" s="52" t="s">
        <v>2353</v>
      </c>
      <c r="O2166" s="51" t="e">
        <f>VLOOKUP(N2166,[2]!RUBROS[#All],3,0)</f>
        <v>#REF!</v>
      </c>
      <c r="P2166" s="53" t="e">
        <f>VLOOKUP(N2166,[2]!RUBROS[#All],2,0)</f>
        <v>#REF!</v>
      </c>
      <c r="Q2166" s="47" t="str">
        <f t="shared" si="742"/>
        <v>73</v>
      </c>
      <c r="R2166" s="47" t="str">
        <f t="shared" si="743"/>
        <v>0-205128</v>
      </c>
      <c r="S2166" s="54">
        <v>1</v>
      </c>
      <c r="T2166" s="63" t="s">
        <v>46</v>
      </c>
      <c r="U2166" s="326" t="e">
        <f ca="1">_xlfn.XLOOKUP(PAA_4[[#This Row],[ITEM]],[2]Contrato!A:A,[2]Contrato!Q:Q,"",0)</f>
        <v>#NAME?</v>
      </c>
      <c r="V2166" s="47" t="s">
        <v>95</v>
      </c>
      <c r="W2166" s="47" t="s">
        <v>203</v>
      </c>
      <c r="X2166" s="47" t="s">
        <v>203</v>
      </c>
      <c r="Y2166" s="55" t="e">
        <f ca="1">_xlfn.XLOOKUP(PAA_4[[#This Row],[ITEM]],[2]Contrato!A:A,[2]Contrato!B:B,"",0)</f>
        <v>#NAME?</v>
      </c>
      <c r="Z2166" s="47" t="e">
        <f ca="1">_xlfn.XLOOKUP(PAA_4[[#This Row],[ITEM]],[2]Contrato!A:A,[2]Contrato!G:G,"",0)</f>
        <v>#NAME?</v>
      </c>
      <c r="AA2166" s="47" t="e">
        <f ca="1">_xlfn.XLOOKUP(PAA_4[[#This Row],[ITEM]],[2]Contrato!A:A,[2]Contrato!T:T,"",0)</f>
        <v>#NAME?</v>
      </c>
      <c r="AB2166" s="55" t="e">
        <f ca="1">+MAX(PAA_4[[#This Row],[Comprometido Contrato]],PAA_4[[#This Row],[Comprometido Bolsa]])</f>
        <v>#NAME?</v>
      </c>
      <c r="AC2166" s="55" t="str">
        <f t="shared" ca="1" si="744"/>
        <v/>
      </c>
      <c r="AD2166" s="55" t="e">
        <f ca="1">IF(PAA_4[[#This Row],[ESTADO (formulado)]]="NO CONTRATADO",0,MAX(PAA_4[[#This Row],[Pago por Contrato]],PAA_4[[#This Row],[Pago por bolsa]]))</f>
        <v>#NAME?</v>
      </c>
      <c r="AE2166" s="55" t="str">
        <f t="shared" ca="1" si="745"/>
        <v/>
      </c>
      <c r="AF2166" s="47" t="e">
        <f t="shared" ca="1" si="746"/>
        <v>#NAME?</v>
      </c>
      <c r="AG2166" s="47">
        <f t="shared" si="747"/>
        <v>52010703</v>
      </c>
      <c r="AH2166" s="54">
        <f>IF(Q2166="22",IF(ISNUMBER(SEARCH("econ",PAA_4[[#This Row],[Actividad3]])),"Económico",IF(ISNUMBER(SEARCH("alim",PAA_4[[#This Row],[Actividad3]])),"Alimentación",IF(ISNUMBER(SEARCH("educ",PAA_4[[#This Row],[Actividad3]])),"Educativo","Técnico"))),0)</f>
        <v>0</v>
      </c>
      <c r="AI2166" s="47" t="e" cm="1">
        <f t="array" aca="1" ref="AI2166" ca="1">_xlfn.XLOOKUP(PAA_4[[#This Row],[RCP-RUBRO]],[2]!COMPROMISOS_2024[[#All],[concatenado]],[2]!COMPROMISOS_2024[[#All],[Total pagado]],"",0)</f>
        <v>#NAME?</v>
      </c>
      <c r="AJ2166" s="56">
        <f>IF(PAA_4[[#This Row],[BOLSA]]=0,0,SUMIFS([2]!COMPROMISOS_2024[[#All],[Total pagado]],[2]!COMPROMISOS_2024[[#All],[Bolsa]],PAA_4[[#This Row],[BOLSA]],[2]!COMPROMISOS_2024[[#All],[rubro]],PAA_4[[#This Row],[RCP-RUBRO]]))</f>
        <v>0</v>
      </c>
      <c r="AK2166" s="47" t="e" cm="1">
        <f t="array" aca="1" ref="AK2166" ca="1">_xlfn.XLOOKUP(PAA_4[[#This Row],[RCP-RUBRO]],[2]!COMPROMISOS_2024[[#All],[concatenado]],[2]!COMPROMISOS_2024[[#All],[Total Comprometido]],"",0)</f>
        <v>#NAME?</v>
      </c>
      <c r="AL2166" s="47">
        <f>IF(PAA_4[[#This Row],[BOLSA]]=0,0,SUMIFS([2]!COMPROMISOS_2024[[#All],[Total Comprometido]],[2]!COMPROMISOS_2024[[#All],[Bolsa]],PAA_4[[#This Row],[BOLSA]],[2]!COMPROMISOS_2024[[#All],[concatenado]],PAA_4[[#This Row],[RCP-RUBRO]]))</f>
        <v>0</v>
      </c>
    </row>
    <row r="2167" spans="1:38" s="19" customFormat="1" ht="31.5" customHeight="1">
      <c r="A2167" s="47">
        <v>1044</v>
      </c>
      <c r="B2167" s="47">
        <v>80111600</v>
      </c>
      <c r="C2167" s="47" t="str">
        <f>VLOOKUP(PAA_4[[#This Row],[PROYECTO (formulado)2]],[2]PROYECTOS!$G$1:$L$32,6,0)</f>
        <v>SUBGERENCIA DE FOMENTO Y DESARROLLO</v>
      </c>
      <c r="D2167" s="47" t="str">
        <f>+IF(PAA_4[[#This Row],[UNIDAD DE CONTRATACION (formulado)]]="Subgerencia Administrativa y Financiera","FUNCIONAMIENTO","INVERSIÓN")</f>
        <v>INVERSIÓN</v>
      </c>
      <c r="E2167" s="48" t="str">
        <f>VLOOKUP(Q2167,[2]PROYECTOS!$G$1:$K$32,5,0)</f>
        <v>Asesoria y acompañamiento institucional para el deporte formativo, la recreación y la actividad física en el departamento de Antioquia</v>
      </c>
      <c r="F2167" s="48">
        <f>VLOOKUP(E2167,[2]PROYECTOS!$K$1:$M$32,3,0)</f>
        <v>2024003050100</v>
      </c>
      <c r="G2167" s="49" t="s">
        <v>2337</v>
      </c>
      <c r="H2167" s="49" t="str">
        <f>VLOOKUP(Q2167,[2]PROYECTOS!$V$1:$W$32,2,0)</f>
        <v>050071</v>
      </c>
      <c r="I2167" s="78">
        <v>0</v>
      </c>
      <c r="J2167" s="51" t="s">
        <v>42</v>
      </c>
      <c r="K2167" s="47" t="str">
        <f t="shared" ca="1" si="741"/>
        <v>CONTRATADO</v>
      </c>
      <c r="L2167" s="47" t="s">
        <v>94</v>
      </c>
      <c r="M2167" s="47" t="s">
        <v>42</v>
      </c>
      <c r="N2167" s="52" t="s">
        <v>2338</v>
      </c>
      <c r="O2167" s="51" t="e">
        <f>VLOOKUP(N2167,[2]!RUBROS[#All],3,0)</f>
        <v>#REF!</v>
      </c>
      <c r="P2167" s="53" t="e">
        <f>VLOOKUP(N2167,[2]!RUBROS[#All],2,0)</f>
        <v>#REF!</v>
      </c>
      <c r="Q2167" s="47" t="str">
        <f t="shared" si="742"/>
        <v>10</v>
      </c>
      <c r="R2167" s="47" t="str">
        <f t="shared" si="743"/>
        <v>0-205400</v>
      </c>
      <c r="S2167" s="54">
        <v>4.5</v>
      </c>
      <c r="T2167" s="59" t="s">
        <v>46</v>
      </c>
      <c r="U2167" s="326" t="e">
        <f ca="1">_xlfn.XLOOKUP(PAA_4[[#This Row],[ITEM]],[2]Contrato!A:A,[2]Contrato!Q:Q,"",0)</f>
        <v>#NAME?</v>
      </c>
      <c r="V2167" s="47" t="s">
        <v>95</v>
      </c>
      <c r="W2167" s="47" t="s">
        <v>42</v>
      </c>
      <c r="X2167" s="47" t="s">
        <v>42</v>
      </c>
      <c r="Y2167" s="55" t="e">
        <f ca="1">_xlfn.XLOOKUP(PAA_4[[#This Row],[ITEM]],[2]Contrato!A:A,[2]Contrato!B:B,"",0)</f>
        <v>#NAME?</v>
      </c>
      <c r="Z2167" s="47" t="e">
        <f ca="1">_xlfn.XLOOKUP(PAA_4[[#This Row],[ITEM]],[2]Contrato!A:A,[2]Contrato!G:G,"",0)</f>
        <v>#NAME?</v>
      </c>
      <c r="AA2167" s="47" t="e">
        <f ca="1">_xlfn.XLOOKUP(PAA_4[[#This Row],[ITEM]],[2]Contrato!A:A,[2]Contrato!T:T,"",0)</f>
        <v>#NAME?</v>
      </c>
      <c r="AB2167" s="55" t="e">
        <f ca="1">+MAX(PAA_4[[#This Row],[Comprometido Contrato]],PAA_4[[#This Row],[Comprometido Bolsa]])</f>
        <v>#NAME?</v>
      </c>
      <c r="AC2167" s="55" t="str">
        <f t="shared" ca="1" si="744"/>
        <v/>
      </c>
      <c r="AD2167" s="55" t="e">
        <f ca="1">IF(PAA_4[[#This Row],[ESTADO (formulado)]]="NO CONTRATADO",0,MAX(PAA_4[[#This Row],[Pago por Contrato]],PAA_4[[#This Row],[Pago por bolsa]]))</f>
        <v>#NAME?</v>
      </c>
      <c r="AE2167" s="55" t="str">
        <f t="shared" ca="1" si="745"/>
        <v/>
      </c>
      <c r="AF2167" s="47" t="e">
        <f t="shared" ca="1" si="746"/>
        <v>#NAME?</v>
      </c>
      <c r="AG2167" s="47">
        <f t="shared" si="747"/>
        <v>52010705</v>
      </c>
      <c r="AH2167" s="54">
        <f>IF(Q2167="22",IF(ISNUMBER(SEARCH("econ",PAA_4[[#This Row],[Actividad3]])),"Económico",IF(ISNUMBER(SEARCH("alim",PAA_4[[#This Row],[Actividad3]])),"Alimentación",IF(ISNUMBER(SEARCH("educ",PAA_4[[#This Row],[Actividad3]])),"Educativo","Técnico"))),0)</f>
        <v>0</v>
      </c>
      <c r="AI2167" s="47" t="e" cm="1">
        <f t="array" aca="1" ref="AI2167" ca="1">_xlfn.XLOOKUP(PAA_4[[#This Row],[RCP-RUBRO]],[2]!COMPROMISOS_2024[[#All],[concatenado]],[2]!COMPROMISOS_2024[[#All],[Total pagado]],"",0)</f>
        <v>#NAME?</v>
      </c>
      <c r="AJ2167" s="56">
        <f>IF(PAA_4[[#This Row],[BOLSA]]=0,0,SUMIFS([2]!COMPROMISOS_2024[[#All],[Total pagado]],[2]!COMPROMISOS_2024[[#All],[Bolsa]],PAA_4[[#This Row],[BOLSA]],[2]!COMPROMISOS_2024[[#All],[rubro]],PAA_4[[#This Row],[RCP-RUBRO]]))</f>
        <v>0</v>
      </c>
      <c r="AK2167" s="47" t="e" cm="1">
        <f t="array" aca="1" ref="AK2167" ca="1">_xlfn.XLOOKUP(PAA_4[[#This Row],[RCP-RUBRO]],[2]!COMPROMISOS_2024[[#All],[concatenado]],[2]!COMPROMISOS_2024[[#All],[Total Comprometido]],"",0)</f>
        <v>#NAME?</v>
      </c>
      <c r="AL2167" s="47">
        <f>IF(PAA_4[[#This Row],[BOLSA]]=0,0,SUMIFS([2]!COMPROMISOS_2024[[#All],[Total Comprometido]],[2]!COMPROMISOS_2024[[#All],[Bolsa]],PAA_4[[#This Row],[BOLSA]],[2]!COMPROMISOS_2024[[#All],[concatenado]],PAA_4[[#This Row],[RCP-RUBRO]]))</f>
        <v>0</v>
      </c>
    </row>
    <row r="2168" spans="1:38" s="19" customFormat="1" ht="31.5" customHeight="1">
      <c r="A2168" s="47">
        <v>1289</v>
      </c>
      <c r="B2168" s="47">
        <v>80141607</v>
      </c>
      <c r="C2168" s="47" t="str">
        <f>VLOOKUP(PAA_4[[#This Row],[PROYECTO (formulado)2]],[2]PROYECTOS!$G$1:$L$32,6,0)</f>
        <v>SUBGERENCIA DE FOMENTO Y DESARROLLO</v>
      </c>
      <c r="D2168" s="47" t="str">
        <f>+IF(PAA_4[[#This Row],[UNIDAD DE CONTRATACION (formulado)]]="Subgerencia Administrativa y Financiera","FUNCIONAMIENTO","INVERSIÓN")</f>
        <v>INVERSIÓN</v>
      </c>
      <c r="E2168" s="48" t="str">
        <f>VLOOKUP(Q2168,[2]PROYECTOS!$G$1:$K$32,5,0)</f>
        <v>Desarrollo y promoción del deporte formativo, la recreación y la actividad física en el departamento Antioquia</v>
      </c>
      <c r="F2168" s="48">
        <f>VLOOKUP(E2168,[2]PROYECTOS!$K$1:$M$32,3,0)</f>
        <v>2024003050101</v>
      </c>
      <c r="G2168" s="49" t="s">
        <v>2354</v>
      </c>
      <c r="H2168" s="49" t="str">
        <f>VLOOKUP(Q2168,[2]PROYECTOS!$V$1:$W$32,2,0)</f>
        <v>050075</v>
      </c>
      <c r="I2168" s="78">
        <v>50000000</v>
      </c>
      <c r="J2168" s="51" t="s">
        <v>2355</v>
      </c>
      <c r="K2168" s="47" t="str">
        <f t="shared" ca="1" si="741"/>
        <v>CONTRATADO</v>
      </c>
      <c r="L2168" s="47" t="s">
        <v>94</v>
      </c>
      <c r="M2168" s="47" t="s">
        <v>161</v>
      </c>
      <c r="N2168" s="52" t="s">
        <v>1359</v>
      </c>
      <c r="O2168" s="51" t="e">
        <f>VLOOKUP(N2168,[2]!RUBROS[#All],3,0)</f>
        <v>#REF!</v>
      </c>
      <c r="P2168" s="53" t="e">
        <f>VLOOKUP(N2168,[2]!RUBROS[#All],2,0)</f>
        <v>#REF!</v>
      </c>
      <c r="Q2168" s="47" t="str">
        <f t="shared" si="742"/>
        <v>01</v>
      </c>
      <c r="R2168" s="47" t="str">
        <f t="shared" si="743"/>
        <v>0-101024</v>
      </c>
      <c r="S2168" s="54">
        <v>2</v>
      </c>
      <c r="T2168" s="59" t="s">
        <v>46</v>
      </c>
      <c r="U2168" s="326" t="e">
        <f ca="1">_xlfn.XLOOKUP(PAA_4[[#This Row],[ITEM]],[2]Contrato!A:A,[2]Contrato!Q:Q,"",0)</f>
        <v>#NAME?</v>
      </c>
      <c r="V2168" s="47" t="s">
        <v>95</v>
      </c>
      <c r="W2168" s="47" t="s">
        <v>200</v>
      </c>
      <c r="X2168" s="47" t="s">
        <v>200</v>
      </c>
      <c r="Y2168" s="55" t="e">
        <f ca="1">_xlfn.XLOOKUP(PAA_4[[#This Row],[ITEM]],[2]Contrato!A:A,[2]Contrato!B:B,"",0)</f>
        <v>#NAME?</v>
      </c>
      <c r="Z2168" s="47" t="e">
        <f ca="1">_xlfn.XLOOKUP(PAA_4[[#This Row],[ITEM]],[2]Contrato!A:A,[2]Contrato!G:G,"",0)</f>
        <v>#NAME?</v>
      </c>
      <c r="AA2168" s="47" t="e">
        <f ca="1">_xlfn.XLOOKUP(PAA_4[[#This Row],[ITEM]],[2]Contrato!A:A,[2]Contrato!T:T,"",0)</f>
        <v>#NAME?</v>
      </c>
      <c r="AB2168" s="55" t="e">
        <f ca="1">+MAX(PAA_4[[#This Row],[Comprometido Contrato]],PAA_4[[#This Row],[Comprometido Bolsa]])</f>
        <v>#NAME?</v>
      </c>
      <c r="AC2168" s="55" t="str">
        <f t="shared" ca="1" si="744"/>
        <v/>
      </c>
      <c r="AD2168" s="55" t="e">
        <f ca="1">IF(PAA_4[[#This Row],[ESTADO (formulado)]]="NO CONTRATADO",0,MAX(PAA_4[[#This Row],[Pago por Contrato]],PAA_4[[#This Row],[Pago por bolsa]]))</f>
        <v>#NAME?</v>
      </c>
      <c r="AE2168" s="55" t="str">
        <f t="shared" ca="1" si="745"/>
        <v/>
      </c>
      <c r="AF2168" s="47" t="e">
        <f t="shared" ca="1" si="746"/>
        <v>#NAME?</v>
      </c>
      <c r="AG2168" s="47">
        <f t="shared" si="747"/>
        <v>52010702</v>
      </c>
      <c r="AH2168" s="54">
        <f>IF(Q2168="22",IF(ISNUMBER(SEARCH("econ",PAA_4[[#This Row],[Actividad3]])),"Económico",IF(ISNUMBER(SEARCH("alim",PAA_4[[#This Row],[Actividad3]])),"Alimentación",IF(ISNUMBER(SEARCH("educ",PAA_4[[#This Row],[Actividad3]])),"Educativo","Técnico"))),0)</f>
        <v>0</v>
      </c>
      <c r="AI2168" s="47" t="e" cm="1">
        <f t="array" aca="1" ref="AI2168" ca="1">_xlfn.XLOOKUP(PAA_4[[#This Row],[RCP-RUBRO]],[2]!COMPROMISOS_2024[[#All],[concatenado]],[2]!COMPROMISOS_2024[[#All],[Total pagado]],"",0)</f>
        <v>#NAME?</v>
      </c>
      <c r="AJ2168" s="56">
        <f>IF(PAA_4[[#This Row],[BOLSA]]=0,0,SUMIFS([2]!COMPROMISOS_2024[[#All],[Total pagado]],[2]!COMPROMISOS_2024[[#All],[Bolsa]],PAA_4[[#This Row],[BOLSA]],[2]!COMPROMISOS_2024[[#All],[rubro]],PAA_4[[#This Row],[RCP-RUBRO]]))</f>
        <v>0</v>
      </c>
      <c r="AK2168" s="47" t="e" cm="1">
        <f t="array" aca="1" ref="AK2168" ca="1">_xlfn.XLOOKUP(PAA_4[[#This Row],[RCP-RUBRO]],[2]!COMPROMISOS_2024[[#All],[concatenado]],[2]!COMPROMISOS_2024[[#All],[Total Comprometido]],"",0)</f>
        <v>#NAME?</v>
      </c>
      <c r="AL2168" s="47">
        <f>IF(PAA_4[[#This Row],[BOLSA]]=0,0,SUMIFS([2]!COMPROMISOS_2024[[#All],[Total Comprometido]],[2]!COMPROMISOS_2024[[#All],[Bolsa]],PAA_4[[#This Row],[BOLSA]],[2]!COMPROMISOS_2024[[#All],[concatenado]],PAA_4[[#This Row],[RCP-RUBRO]]))</f>
        <v>0</v>
      </c>
    </row>
    <row r="2169" spans="1:38" s="19" customFormat="1" ht="31.5" customHeight="1">
      <c r="A2169" s="47" t="s">
        <v>82</v>
      </c>
      <c r="B2169" s="47" t="s">
        <v>42</v>
      </c>
      <c r="C2169" s="47" t="str">
        <f>VLOOKUP(PAA_4[[#This Row],[PROYECTO (formulado)2]],[2]PROYECTOS!$G$1:$L$32,6,0)</f>
        <v>SUBGERENCIA DE FOMENTO Y DESARROLLO</v>
      </c>
      <c r="D2169" s="47" t="str">
        <f>+IF(PAA_4[[#This Row],[UNIDAD DE CONTRATACION (formulado)]]="Subgerencia Administrativa y Financiera","FUNCIONAMIENTO","INVERSIÓN")</f>
        <v>INVERSIÓN</v>
      </c>
      <c r="E2169" s="48" t="str">
        <f>VLOOKUP(Q2169,[2]PROYECTOS!$G$1:$K$32,5,0)</f>
        <v>Desarrollo y promoción del deporte formativo, la recreación y la actividad física en el departamento Antioquia</v>
      </c>
      <c r="F2169" s="48">
        <f>VLOOKUP(E2169,[2]PROYECTOS!$K$1:$M$32,3,0)</f>
        <v>2024003050101</v>
      </c>
      <c r="G2169" s="49" t="s">
        <v>2354</v>
      </c>
      <c r="H2169" s="49" t="str">
        <f>VLOOKUP(Q2169,[2]PROYECTOS!$V$1:$W$32,2,0)</f>
        <v>050075</v>
      </c>
      <c r="I2169" s="78">
        <v>29220000</v>
      </c>
      <c r="J2169" s="51" t="s">
        <v>1851</v>
      </c>
      <c r="K2169" s="47" t="str">
        <f ca="1">IF(ISNONTEXT(Y2169)=TRUE,"CONTRATADO","NO CONTRATADO")</f>
        <v>CONTRATADO</v>
      </c>
      <c r="L2169" s="47" t="s">
        <v>42</v>
      </c>
      <c r="M2169" s="47" t="s">
        <v>42</v>
      </c>
      <c r="N2169" s="52" t="s">
        <v>1367</v>
      </c>
      <c r="O2169" s="51" t="e">
        <f>VLOOKUP(N2169,[2]!RUBROS[#All],3,0)</f>
        <v>#REF!</v>
      </c>
      <c r="P2169" s="53" t="e">
        <f>VLOOKUP(N2169,[2]!RUBROS[#All],2,0)</f>
        <v>#REF!</v>
      </c>
      <c r="Q2169" s="47" t="str">
        <f>+MID(N2169,11,2)</f>
        <v>01</v>
      </c>
      <c r="R2169" s="47" t="str">
        <f>+MID(N2169,14,8)</f>
        <v>0-205400</v>
      </c>
      <c r="S2169" s="54" t="s">
        <v>42</v>
      </c>
      <c r="T2169" s="329" t="s">
        <v>42</v>
      </c>
      <c r="U2169" s="326" t="e">
        <f ca="1">_xlfn.XLOOKUP(PAA_4[[#This Row],[ITEM]],[2]Contrato!A:A,[2]Contrato!Q:Q,"",0)</f>
        <v>#NAME?</v>
      </c>
      <c r="V2169" s="47" t="s">
        <v>95</v>
      </c>
      <c r="W2169" s="47" t="s">
        <v>42</v>
      </c>
      <c r="X2169" s="47" t="s">
        <v>42</v>
      </c>
      <c r="Y2169" s="55" t="e">
        <f ca="1">_xlfn.XLOOKUP(PAA_4[[#This Row],[ITEM]],[2]Contrato!A:A,[2]Contrato!B:B,"",0)</f>
        <v>#NAME?</v>
      </c>
      <c r="Z2169" s="47" t="e">
        <f ca="1">_xlfn.XLOOKUP(PAA_4[[#This Row],[ITEM]],[2]Contrato!A:A,[2]Contrato!G:G,"",0)</f>
        <v>#NAME?</v>
      </c>
      <c r="AA2169" s="47" t="e">
        <f ca="1">_xlfn.XLOOKUP(PAA_4[[#This Row],[ITEM]],[2]Contrato!A:A,[2]Contrato!T:T,"",0)</f>
        <v>#NAME?</v>
      </c>
      <c r="AB2169" s="55" t="e">
        <f ca="1">+MAX(PAA_4[[#This Row],[Comprometido Contrato]],PAA_4[[#This Row],[Comprometido Bolsa]])</f>
        <v>#NAME?</v>
      </c>
      <c r="AC2169" s="55" t="str">
        <f ca="1">IFERROR(I2169-AB2169,"")</f>
        <v/>
      </c>
      <c r="AD2169" s="55" t="e">
        <f ca="1">IF(PAA_4[[#This Row],[ESTADO (formulado)]]="NO CONTRATADO",0,MAX(PAA_4[[#This Row],[Pago por Contrato]],PAA_4[[#This Row],[Pago por bolsa]]))</f>
        <v>#NAME?</v>
      </c>
      <c r="AE2169" s="55" t="str">
        <f ca="1">+IFERROR(AB2169-AD2169,"")</f>
        <v/>
      </c>
      <c r="AF2169" s="47" t="e">
        <f ca="1">+CONCATENATE(AA2169,N2169)</f>
        <v>#NAME?</v>
      </c>
      <c r="AG2169" s="47">
        <f>IFERROR(_xlfn.NUMBERVALUE(MID(G2169,1,8)),"")</f>
        <v>52010702</v>
      </c>
      <c r="AH2169" s="54">
        <f>IF(Q2169="22",IF(ISNUMBER(SEARCH("econ",PAA_4[[#This Row],[Actividad3]])),"Económico",IF(ISNUMBER(SEARCH("alim",PAA_4[[#This Row],[Actividad3]])),"Alimentación",IF(ISNUMBER(SEARCH("educ",PAA_4[[#This Row],[Actividad3]])),"Educativo","Técnico"))),0)</f>
        <v>0</v>
      </c>
      <c r="AI2169" s="47" t="e" cm="1">
        <f t="array" aca="1" ref="AI2169" ca="1">_xlfn.XLOOKUP(PAA_4[[#This Row],[RCP-RUBRO]],[2]!COMPROMISOS_2024[[#All],[concatenado]],[2]!COMPROMISOS_2024[[#All],[Total pagado]],"",0)</f>
        <v>#NAME?</v>
      </c>
      <c r="AJ2169" s="56">
        <f>IF(PAA_4[[#This Row],[BOLSA]]=0,0,SUMIFS([2]!COMPROMISOS_2024[[#All],[Total pagado]],[2]!COMPROMISOS_2024[[#All],[Bolsa]],PAA_4[[#This Row],[BOLSA]],[2]!COMPROMISOS_2024[[#All],[rubro]],PAA_4[[#This Row],[RCP-RUBRO]]))</f>
        <v>0</v>
      </c>
      <c r="AK2169" s="47" t="e" cm="1">
        <f t="array" aca="1" ref="AK2169" ca="1">_xlfn.XLOOKUP(PAA_4[[#This Row],[RCP-RUBRO]],[2]!COMPROMISOS_2024[[#All],[concatenado]],[2]!COMPROMISOS_2024[[#All],[Total Comprometido]],"",0)</f>
        <v>#NAME?</v>
      </c>
      <c r="AL2169" s="47">
        <f>IF(PAA_4[[#This Row],[BOLSA]]=0,0,SUMIFS([2]!COMPROMISOS_2024[[#All],[Total Comprometido]],[2]!COMPROMISOS_2024[[#All],[Bolsa]],PAA_4[[#This Row],[BOLSA]],[2]!COMPROMISOS_2024[[#All],[concatenado]],PAA_4[[#This Row],[RCP-RUBRO]]))</f>
        <v>0</v>
      </c>
    </row>
    <row r="2170" spans="1:38" s="19" customFormat="1" ht="31.5" customHeight="1">
      <c r="A2170" s="47">
        <v>1289</v>
      </c>
      <c r="B2170" s="47">
        <v>80141607</v>
      </c>
      <c r="C2170" s="47" t="str">
        <f>VLOOKUP(PAA_4[[#This Row],[PROYECTO (formulado)2]],[2]PROYECTOS!$G$1:$L$32,6,0)</f>
        <v>SUBGERENCIA DE FOMENTO Y DESARROLLO</v>
      </c>
      <c r="D2170" s="47" t="str">
        <f>+IF(PAA_4[[#This Row],[UNIDAD DE CONTRATACION (formulado)]]="Subgerencia Administrativa y Financiera","FUNCIONAMIENTO","INVERSIÓN")</f>
        <v>INVERSIÓN</v>
      </c>
      <c r="E2170" s="48" t="str">
        <f>VLOOKUP(Q2170,[2]PROYECTOS!$G$1:$K$32,5,0)</f>
        <v>Desarrollo y promoción del deporte formativo, la recreación y la actividad física en el departamento Antioquia</v>
      </c>
      <c r="F2170" s="48">
        <f>VLOOKUP(E2170,[2]PROYECTOS!$K$1:$M$32,3,0)</f>
        <v>2024003050101</v>
      </c>
      <c r="G2170" s="49" t="s">
        <v>2354</v>
      </c>
      <c r="H2170" s="49" t="str">
        <f>VLOOKUP(Q2170,[2]PROYECTOS!$V$1:$W$32,2,0)</f>
        <v>050075</v>
      </c>
      <c r="I2170" s="78">
        <f>50000000-29220000</f>
        <v>20780000</v>
      </c>
      <c r="J2170" s="51" t="s">
        <v>2355</v>
      </c>
      <c r="K2170" s="47" t="str">
        <f t="shared" ref="K2170:K2217" ca="1" si="748">IF(ISNONTEXT(Y2170)=TRUE,"CONTRATADO","NO CONTRATADO")</f>
        <v>CONTRATADO</v>
      </c>
      <c r="L2170" s="47" t="s">
        <v>94</v>
      </c>
      <c r="M2170" s="47" t="s">
        <v>161</v>
      </c>
      <c r="N2170" s="52" t="s">
        <v>1367</v>
      </c>
      <c r="O2170" s="51" t="e">
        <f>VLOOKUP(N2170,[2]!RUBROS[#All],3,0)</f>
        <v>#REF!</v>
      </c>
      <c r="P2170" s="53" t="e">
        <f>VLOOKUP(N2170,[2]!RUBROS[#All],2,0)</f>
        <v>#REF!</v>
      </c>
      <c r="Q2170" s="47" t="str">
        <f t="shared" ref="Q2170:Q2217" si="749">+MID(N2170,11,2)</f>
        <v>01</v>
      </c>
      <c r="R2170" s="47" t="str">
        <f t="shared" ref="R2170:R2226" si="750">+MID(N2170,14,8)</f>
        <v>0-205400</v>
      </c>
      <c r="S2170" s="54">
        <v>2</v>
      </c>
      <c r="T2170" s="59" t="s">
        <v>46</v>
      </c>
      <c r="U2170" s="326" t="e">
        <f ca="1">_xlfn.XLOOKUP(PAA_4[[#This Row],[ITEM]],[2]Contrato!A:A,[2]Contrato!Q:Q,"",0)</f>
        <v>#NAME?</v>
      </c>
      <c r="V2170" s="47" t="s">
        <v>95</v>
      </c>
      <c r="W2170" s="47" t="s">
        <v>200</v>
      </c>
      <c r="X2170" s="47" t="s">
        <v>200</v>
      </c>
      <c r="Y2170" s="55" t="e">
        <f ca="1">_xlfn.XLOOKUP(PAA_4[[#This Row],[ITEM]],[2]Contrato!A:A,[2]Contrato!B:B,"",0)</f>
        <v>#NAME?</v>
      </c>
      <c r="Z2170" s="47" t="e">
        <f ca="1">_xlfn.XLOOKUP(PAA_4[[#This Row],[ITEM]],[2]Contrato!A:A,[2]Contrato!G:G,"",0)</f>
        <v>#NAME?</v>
      </c>
      <c r="AA2170" s="47" t="e">
        <f ca="1">_xlfn.XLOOKUP(PAA_4[[#This Row],[ITEM]],[2]Contrato!A:A,[2]Contrato!T:T,"",0)</f>
        <v>#NAME?</v>
      </c>
      <c r="AB2170" s="55" t="e">
        <f ca="1">+MAX(PAA_4[[#This Row],[Comprometido Contrato]],PAA_4[[#This Row],[Comprometido Bolsa]])</f>
        <v>#NAME?</v>
      </c>
      <c r="AC2170" s="55" t="str">
        <f t="shared" ref="AC2170:AC2217" ca="1" si="751">IFERROR(I2170-AB2170,"")</f>
        <v/>
      </c>
      <c r="AD2170" s="55" t="e">
        <f ca="1">IF(PAA_4[[#This Row],[ESTADO (formulado)]]="NO CONTRATADO",0,MAX(PAA_4[[#This Row],[Pago por Contrato]],PAA_4[[#This Row],[Pago por bolsa]]))</f>
        <v>#NAME?</v>
      </c>
      <c r="AE2170" s="55" t="str">
        <f t="shared" ref="AE2170:AE2217" ca="1" si="752">+IFERROR(AB2170-AD2170,"")</f>
        <v/>
      </c>
      <c r="AF2170" s="47" t="e">
        <f t="shared" ref="AF2170:AF2217" ca="1" si="753">+CONCATENATE(AA2170,N2170)</f>
        <v>#NAME?</v>
      </c>
      <c r="AG2170" s="47">
        <f t="shared" ref="AG2170:AG2217" si="754">IFERROR(_xlfn.NUMBERVALUE(MID(G2170,1,8)),"")</f>
        <v>52010702</v>
      </c>
      <c r="AH2170" s="54">
        <f>IF(Q2170="22",IF(ISNUMBER(SEARCH("econ",PAA_4[[#This Row],[Actividad3]])),"Económico",IF(ISNUMBER(SEARCH("alim",PAA_4[[#This Row],[Actividad3]])),"Alimentación",IF(ISNUMBER(SEARCH("educ",PAA_4[[#This Row],[Actividad3]])),"Educativo","Técnico"))),0)</f>
        <v>0</v>
      </c>
      <c r="AI2170" s="47" t="e" cm="1">
        <f t="array" aca="1" ref="AI2170" ca="1">_xlfn.XLOOKUP(PAA_4[[#This Row],[RCP-RUBRO]],[2]!COMPROMISOS_2024[[#All],[concatenado]],[2]!COMPROMISOS_2024[[#All],[Total pagado]],"",0)</f>
        <v>#NAME?</v>
      </c>
      <c r="AJ2170" s="56">
        <f>IF(PAA_4[[#This Row],[BOLSA]]=0,0,SUMIFS([2]!COMPROMISOS_2024[[#All],[Total pagado]],[2]!COMPROMISOS_2024[[#All],[Bolsa]],PAA_4[[#This Row],[BOLSA]],[2]!COMPROMISOS_2024[[#All],[rubro]],PAA_4[[#This Row],[RCP-RUBRO]]))</f>
        <v>0</v>
      </c>
      <c r="AK2170" s="47" t="e" cm="1">
        <f t="array" aca="1" ref="AK2170" ca="1">_xlfn.XLOOKUP(PAA_4[[#This Row],[RCP-RUBRO]],[2]!COMPROMISOS_2024[[#All],[concatenado]],[2]!COMPROMISOS_2024[[#All],[Total Comprometido]],"",0)</f>
        <v>#NAME?</v>
      </c>
      <c r="AL2170" s="47">
        <f>IF(PAA_4[[#This Row],[BOLSA]]=0,0,SUMIFS([2]!COMPROMISOS_2024[[#All],[Total Comprometido]],[2]!COMPROMISOS_2024[[#All],[Bolsa]],PAA_4[[#This Row],[BOLSA]],[2]!COMPROMISOS_2024[[#All],[concatenado]],PAA_4[[#This Row],[RCP-RUBRO]]))</f>
        <v>0</v>
      </c>
    </row>
    <row r="2171" spans="1:38" s="19" customFormat="1" ht="31.5" customHeight="1">
      <c r="A2171" s="47">
        <v>1289</v>
      </c>
      <c r="B2171" s="47">
        <v>80141607</v>
      </c>
      <c r="C2171" s="47" t="str">
        <f>VLOOKUP(PAA_4[[#This Row],[PROYECTO (formulado)2]],[2]PROYECTOS!$G$1:$L$32,6,0)</f>
        <v>SUBGERENCIA DE FOMENTO Y DESARROLLO</v>
      </c>
      <c r="D2171" s="47" t="str">
        <f>+IF(PAA_4[[#This Row],[UNIDAD DE CONTRATACION (formulado)]]="Subgerencia Administrativa y Financiera","FUNCIONAMIENTO","INVERSIÓN")</f>
        <v>INVERSIÓN</v>
      </c>
      <c r="E2171" s="48" t="str">
        <f>VLOOKUP(Q2171,[2]PROYECTOS!$G$1:$K$32,5,0)</f>
        <v>Desarrollo y promoción del deporte formativo, la recreación y la actividad física en el departamento Antioquia</v>
      </c>
      <c r="F2171" s="48">
        <f>VLOOKUP(E2171,[2]PROYECTOS!$K$1:$M$32,3,0)</f>
        <v>2024003050101</v>
      </c>
      <c r="G2171" s="49" t="s">
        <v>2354</v>
      </c>
      <c r="H2171" s="49" t="str">
        <f>VLOOKUP(Q2171,[2]PROYECTOS!$V$1:$W$32,2,0)</f>
        <v>050075</v>
      </c>
      <c r="I2171" s="78">
        <v>34860500</v>
      </c>
      <c r="J2171" s="51" t="s">
        <v>2355</v>
      </c>
      <c r="K2171" s="47" t="str">
        <f t="shared" ca="1" si="748"/>
        <v>CONTRATADO</v>
      </c>
      <c r="L2171" s="47" t="s">
        <v>94</v>
      </c>
      <c r="M2171" s="47" t="s">
        <v>161</v>
      </c>
      <c r="N2171" s="52" t="s">
        <v>2356</v>
      </c>
      <c r="O2171" s="51" t="e">
        <f>VLOOKUP(N2171,[2]!RUBROS[#All],3,0)</f>
        <v>#REF!</v>
      </c>
      <c r="P2171" s="53" t="e">
        <f>VLOOKUP(N2171,[2]!RUBROS[#All],2,0)</f>
        <v>#REF!</v>
      </c>
      <c r="Q2171" s="47" t="str">
        <f t="shared" si="749"/>
        <v>01</v>
      </c>
      <c r="R2171" s="47" t="str">
        <f t="shared" si="750"/>
        <v>0-205128</v>
      </c>
      <c r="S2171" s="54">
        <v>2</v>
      </c>
      <c r="T2171" s="59" t="s">
        <v>46</v>
      </c>
      <c r="U2171" s="326" t="e">
        <f ca="1">_xlfn.XLOOKUP(PAA_4[[#This Row],[ITEM]],[2]Contrato!A:A,[2]Contrato!Q:Q,"",0)</f>
        <v>#NAME?</v>
      </c>
      <c r="V2171" s="47" t="s">
        <v>95</v>
      </c>
      <c r="W2171" s="47" t="s">
        <v>200</v>
      </c>
      <c r="X2171" s="47" t="s">
        <v>200</v>
      </c>
      <c r="Y2171" s="55" t="e">
        <f ca="1">_xlfn.XLOOKUP(PAA_4[[#This Row],[ITEM]],[2]Contrato!A:A,[2]Contrato!B:B,"",0)</f>
        <v>#NAME?</v>
      </c>
      <c r="Z2171" s="47" t="e">
        <f ca="1">_xlfn.XLOOKUP(PAA_4[[#This Row],[ITEM]],[2]Contrato!A:A,[2]Contrato!G:G,"",0)</f>
        <v>#NAME?</v>
      </c>
      <c r="AA2171" s="47" t="e">
        <f ca="1">_xlfn.XLOOKUP(PAA_4[[#This Row],[ITEM]],[2]Contrato!A:A,[2]Contrato!T:T,"",0)</f>
        <v>#NAME?</v>
      </c>
      <c r="AB2171" s="55" t="e">
        <f ca="1">+MAX(PAA_4[[#This Row],[Comprometido Contrato]],PAA_4[[#This Row],[Comprometido Bolsa]])</f>
        <v>#NAME?</v>
      </c>
      <c r="AC2171" s="55" t="str">
        <f t="shared" ca="1" si="751"/>
        <v/>
      </c>
      <c r="AD2171" s="55" t="e">
        <f ca="1">IF(PAA_4[[#This Row],[ESTADO (formulado)]]="NO CONTRATADO",0,MAX(PAA_4[[#This Row],[Pago por Contrato]],PAA_4[[#This Row],[Pago por bolsa]]))</f>
        <v>#NAME?</v>
      </c>
      <c r="AE2171" s="55" t="str">
        <f t="shared" ca="1" si="752"/>
        <v/>
      </c>
      <c r="AF2171" s="47" t="e">
        <f t="shared" ca="1" si="753"/>
        <v>#NAME?</v>
      </c>
      <c r="AG2171" s="47">
        <f t="shared" si="754"/>
        <v>52010702</v>
      </c>
      <c r="AH2171" s="54">
        <f>IF(Q2171="22",IF(ISNUMBER(SEARCH("econ",PAA_4[[#This Row],[Actividad3]])),"Económico",IF(ISNUMBER(SEARCH("alim",PAA_4[[#This Row],[Actividad3]])),"Alimentación",IF(ISNUMBER(SEARCH("educ",PAA_4[[#This Row],[Actividad3]])),"Educativo","Técnico"))),0)</f>
        <v>0</v>
      </c>
      <c r="AI2171" s="47" t="e" cm="1">
        <f t="array" aca="1" ref="AI2171" ca="1">_xlfn.XLOOKUP(PAA_4[[#This Row],[RCP-RUBRO]],[2]!COMPROMISOS_2024[[#All],[concatenado]],[2]!COMPROMISOS_2024[[#All],[Total pagado]],"",0)</f>
        <v>#NAME?</v>
      </c>
      <c r="AJ2171" s="56">
        <f>IF(PAA_4[[#This Row],[BOLSA]]=0,0,SUMIFS([2]!COMPROMISOS_2024[[#All],[Total pagado]],[2]!COMPROMISOS_2024[[#All],[Bolsa]],PAA_4[[#This Row],[BOLSA]],[2]!COMPROMISOS_2024[[#All],[rubro]],PAA_4[[#This Row],[RCP-RUBRO]]))</f>
        <v>0</v>
      </c>
      <c r="AK2171" s="47" t="e" cm="1">
        <f t="array" aca="1" ref="AK2171" ca="1">_xlfn.XLOOKUP(PAA_4[[#This Row],[RCP-RUBRO]],[2]!COMPROMISOS_2024[[#All],[concatenado]],[2]!COMPROMISOS_2024[[#All],[Total Comprometido]],"",0)</f>
        <v>#NAME?</v>
      </c>
      <c r="AL2171" s="47">
        <f>IF(PAA_4[[#This Row],[BOLSA]]=0,0,SUMIFS([2]!COMPROMISOS_2024[[#All],[Total Comprometido]],[2]!COMPROMISOS_2024[[#All],[Bolsa]],PAA_4[[#This Row],[BOLSA]],[2]!COMPROMISOS_2024[[#All],[concatenado]],PAA_4[[#This Row],[RCP-RUBRO]]))</f>
        <v>0</v>
      </c>
    </row>
    <row r="2172" spans="1:38" s="19" customFormat="1" ht="31.5" customHeight="1">
      <c r="A2172" s="47">
        <v>1045</v>
      </c>
      <c r="B2172" s="47">
        <v>84101600</v>
      </c>
      <c r="C2172" s="47" t="str">
        <f>VLOOKUP(PAA_4[[#This Row],[PROYECTO (formulado)2]],[2]PROYECTOS!$G$1:$L$32,6,0)</f>
        <v>SUBGERENCIA DE FOMENTO Y DESARROLLO</v>
      </c>
      <c r="D2172" s="47" t="str">
        <f>+IF(PAA_4[[#This Row],[UNIDAD DE CONTRATACION (formulado)]]="Subgerencia Administrativa y Financiera","FUNCIONAMIENTO","INVERSIÓN")</f>
        <v>INVERSIÓN</v>
      </c>
      <c r="E2172" s="48" t="str">
        <f>VLOOKUP(Q2172,[2]PROYECTOS!$G$1:$K$32,5,0)</f>
        <v>Desarrollo y promoción del deporte formativo, la recreación y la actividad física en el departamento Antioquia</v>
      </c>
      <c r="F2172" s="48">
        <f>VLOOKUP(E2172,[2]PROYECTOS!$K$1:$M$32,3,0)</f>
        <v>2024003050101</v>
      </c>
      <c r="G2172" s="49" t="s">
        <v>1358</v>
      </c>
      <c r="H2172" s="49" t="str">
        <f>VLOOKUP(Q2172,[2]PROYECTOS!$V$1:$W$32,2,0)</f>
        <v>050075</v>
      </c>
      <c r="I2172" s="78">
        <v>10000000</v>
      </c>
      <c r="J2172" s="51" t="s">
        <v>2357</v>
      </c>
      <c r="K2172" s="47" t="str">
        <f t="shared" ca="1" si="748"/>
        <v>CONTRATADO</v>
      </c>
      <c r="L2172" s="47" t="s">
        <v>94</v>
      </c>
      <c r="M2172" s="47" t="s">
        <v>255</v>
      </c>
      <c r="N2172" s="52" t="s">
        <v>1359</v>
      </c>
      <c r="O2172" s="51" t="e">
        <f>VLOOKUP(N2172,[2]!RUBROS[#All],3,0)</f>
        <v>#REF!</v>
      </c>
      <c r="P2172" s="53" t="e">
        <f>VLOOKUP(N2172,[2]!RUBROS[#All],2,0)</f>
        <v>#REF!</v>
      </c>
      <c r="Q2172" s="47" t="str">
        <f t="shared" si="749"/>
        <v>01</v>
      </c>
      <c r="R2172" s="47" t="str">
        <f t="shared" si="750"/>
        <v>0-101024</v>
      </c>
      <c r="S2172" s="54">
        <v>2</v>
      </c>
      <c r="T2172" s="59" t="s">
        <v>46</v>
      </c>
      <c r="U2172" s="326" t="e">
        <f ca="1">_xlfn.XLOOKUP(PAA_4[[#This Row],[ITEM]],[2]Contrato!A:A,[2]Contrato!Q:Q,"",0)</f>
        <v>#NAME?</v>
      </c>
      <c r="V2172" s="47" t="s">
        <v>95</v>
      </c>
      <c r="W2172" s="47" t="s">
        <v>200</v>
      </c>
      <c r="X2172" s="47" t="s">
        <v>200</v>
      </c>
      <c r="Y2172" s="55" t="e">
        <f ca="1">_xlfn.XLOOKUP(PAA_4[[#This Row],[ITEM]],[2]Contrato!A:A,[2]Contrato!B:B,"",0)</f>
        <v>#NAME?</v>
      </c>
      <c r="Z2172" s="47" t="e">
        <f ca="1">_xlfn.XLOOKUP(PAA_4[[#This Row],[ITEM]],[2]Contrato!A:A,[2]Contrato!G:G,"",0)</f>
        <v>#NAME?</v>
      </c>
      <c r="AA2172" s="47" t="e">
        <f ca="1">_xlfn.XLOOKUP(PAA_4[[#This Row],[ITEM]],[2]Contrato!A:A,[2]Contrato!T:T,"",0)</f>
        <v>#NAME?</v>
      </c>
      <c r="AB2172" s="55" t="e">
        <f ca="1">+MAX(PAA_4[[#This Row],[Comprometido Contrato]],PAA_4[[#This Row],[Comprometido Bolsa]])</f>
        <v>#NAME?</v>
      </c>
      <c r="AC2172" s="55" t="str">
        <f t="shared" ca="1" si="751"/>
        <v/>
      </c>
      <c r="AD2172" s="55" t="e">
        <f ca="1">IF(PAA_4[[#This Row],[ESTADO (formulado)]]="NO CONTRATADO",0,MAX(PAA_4[[#This Row],[Pago por Contrato]],PAA_4[[#This Row],[Pago por bolsa]]))</f>
        <v>#NAME?</v>
      </c>
      <c r="AE2172" s="55" t="str">
        <f t="shared" ca="1" si="752"/>
        <v/>
      </c>
      <c r="AF2172" s="47" t="e">
        <f t="shared" ca="1" si="753"/>
        <v>#NAME?</v>
      </c>
      <c r="AG2172" s="47">
        <f t="shared" si="754"/>
        <v>52010702</v>
      </c>
      <c r="AH2172" s="54">
        <f>IF(Q2172="22",IF(ISNUMBER(SEARCH("econ",PAA_4[[#This Row],[Actividad3]])),"Económico",IF(ISNUMBER(SEARCH("alim",PAA_4[[#This Row],[Actividad3]])),"Alimentación",IF(ISNUMBER(SEARCH("educ",PAA_4[[#This Row],[Actividad3]])),"Educativo","Técnico"))),0)</f>
        <v>0</v>
      </c>
      <c r="AI2172" s="47" t="e" cm="1">
        <f t="array" aca="1" ref="AI2172" ca="1">_xlfn.XLOOKUP(PAA_4[[#This Row],[RCP-RUBRO]],[2]!COMPROMISOS_2024[[#All],[concatenado]],[2]!COMPROMISOS_2024[[#All],[Total pagado]],"",0)</f>
        <v>#NAME?</v>
      </c>
      <c r="AJ2172" s="56">
        <f>IF(PAA_4[[#This Row],[BOLSA]]=0,0,SUMIFS([2]!COMPROMISOS_2024[[#All],[Total pagado]],[2]!COMPROMISOS_2024[[#All],[Bolsa]],PAA_4[[#This Row],[BOLSA]],[2]!COMPROMISOS_2024[[#All],[rubro]],PAA_4[[#This Row],[RCP-RUBRO]]))</f>
        <v>0</v>
      </c>
      <c r="AK2172" s="47" t="e" cm="1">
        <f t="array" aca="1" ref="AK2172" ca="1">_xlfn.XLOOKUP(PAA_4[[#This Row],[RCP-RUBRO]],[2]!COMPROMISOS_2024[[#All],[concatenado]],[2]!COMPROMISOS_2024[[#All],[Total Comprometido]],"",0)</f>
        <v>#NAME?</v>
      </c>
      <c r="AL2172" s="47">
        <f>IF(PAA_4[[#This Row],[BOLSA]]=0,0,SUMIFS([2]!COMPROMISOS_2024[[#All],[Total Comprometido]],[2]!COMPROMISOS_2024[[#All],[Bolsa]],PAA_4[[#This Row],[BOLSA]],[2]!COMPROMISOS_2024[[#All],[concatenado]],PAA_4[[#This Row],[RCP-RUBRO]]))</f>
        <v>0</v>
      </c>
    </row>
    <row r="2173" spans="1:38" s="19" customFormat="1" ht="31.5" customHeight="1">
      <c r="A2173" s="47">
        <v>1046</v>
      </c>
      <c r="B2173" s="47">
        <v>80141607</v>
      </c>
      <c r="C2173" s="47" t="str">
        <f>VLOOKUP(PAA_4[[#This Row],[PROYECTO (formulado)2]],[2]PROYECTOS!$G$1:$L$32,6,0)</f>
        <v>SUBGERENCIA DE FOMENTO Y DESARROLLO</v>
      </c>
      <c r="D2173" s="47" t="str">
        <f>+IF(PAA_4[[#This Row],[UNIDAD DE CONTRATACION (formulado)]]="Subgerencia Administrativa y Financiera","FUNCIONAMIENTO","INVERSIÓN")</f>
        <v>INVERSIÓN</v>
      </c>
      <c r="E2173" s="48" t="str">
        <f>VLOOKUP(Q2173,[2]PROYECTOS!$G$1:$K$32,5,0)</f>
        <v>Desarrollo y promoción del deporte formativo, la recreación y la actividad física en el departamento Antioquia</v>
      </c>
      <c r="F2173" s="48">
        <f>VLOOKUP(E2173,[2]PROYECTOS!$K$1:$M$32,3,0)</f>
        <v>2024003050101</v>
      </c>
      <c r="G2173" s="49" t="s">
        <v>2341</v>
      </c>
      <c r="H2173" s="49" t="str">
        <f>VLOOKUP(Q2173,[2]PROYECTOS!$V$1:$W$32,2,0)</f>
        <v>050075</v>
      </c>
      <c r="I2173" s="78">
        <v>74711308</v>
      </c>
      <c r="J2173" s="51" t="s">
        <v>2358</v>
      </c>
      <c r="K2173" s="47" t="str">
        <f t="shared" ca="1" si="748"/>
        <v>CONTRATADO</v>
      </c>
      <c r="L2173" s="47" t="s">
        <v>42</v>
      </c>
      <c r="M2173" s="47" t="s">
        <v>42</v>
      </c>
      <c r="N2173" s="52" t="s">
        <v>1359</v>
      </c>
      <c r="O2173" s="51" t="e">
        <f>VLOOKUP(N2173,[2]!RUBROS[#All],3,0)</f>
        <v>#REF!</v>
      </c>
      <c r="P2173" s="53" t="e">
        <f>VLOOKUP(N2173,[2]!RUBROS[#All],2,0)</f>
        <v>#REF!</v>
      </c>
      <c r="Q2173" s="47" t="str">
        <f t="shared" si="749"/>
        <v>01</v>
      </c>
      <c r="R2173" s="47" t="str">
        <f t="shared" si="750"/>
        <v>0-101024</v>
      </c>
      <c r="S2173" s="54">
        <v>4.5</v>
      </c>
      <c r="T2173" s="59" t="s">
        <v>46</v>
      </c>
      <c r="U2173" s="326" t="e">
        <f ca="1">_xlfn.XLOOKUP(PAA_4[[#This Row],[ITEM]],[2]Contrato!A:A,[2]Contrato!Q:Q,"",0)</f>
        <v>#NAME?</v>
      </c>
      <c r="V2173" s="47" t="s">
        <v>95</v>
      </c>
      <c r="W2173" s="47" t="s">
        <v>194</v>
      </c>
      <c r="X2173" s="47" t="s">
        <v>194</v>
      </c>
      <c r="Y2173" s="55" t="e">
        <f ca="1">_xlfn.XLOOKUP(PAA_4[[#This Row],[ITEM]],[2]Contrato!A:A,[2]Contrato!B:B,"",0)</f>
        <v>#NAME?</v>
      </c>
      <c r="Z2173" s="47" t="e">
        <f ca="1">_xlfn.XLOOKUP(PAA_4[[#This Row],[ITEM]],[2]Contrato!A:A,[2]Contrato!G:G,"",0)</f>
        <v>#NAME?</v>
      </c>
      <c r="AA2173" s="47" t="e">
        <f ca="1">_xlfn.XLOOKUP(PAA_4[[#This Row],[ITEM]],[2]Contrato!A:A,[2]Contrato!T:T,"",0)</f>
        <v>#NAME?</v>
      </c>
      <c r="AB2173" s="55" t="e">
        <f ca="1">+MAX(PAA_4[[#This Row],[Comprometido Contrato]],PAA_4[[#This Row],[Comprometido Bolsa]])</f>
        <v>#NAME?</v>
      </c>
      <c r="AC2173" s="55" t="str">
        <f t="shared" ca="1" si="751"/>
        <v/>
      </c>
      <c r="AD2173" s="55" t="e">
        <f ca="1">IF(PAA_4[[#This Row],[ESTADO (formulado)]]="NO CONTRATADO",0,MAX(PAA_4[[#This Row],[Pago por Contrato]],PAA_4[[#This Row],[Pago por bolsa]]))</f>
        <v>#NAME?</v>
      </c>
      <c r="AE2173" s="55" t="str">
        <f t="shared" ca="1" si="752"/>
        <v/>
      </c>
      <c r="AF2173" s="47" t="e">
        <f t="shared" ca="1" si="753"/>
        <v>#NAME?</v>
      </c>
      <c r="AG2173" s="47">
        <f t="shared" si="754"/>
        <v>52010702</v>
      </c>
      <c r="AH2173" s="54">
        <f>IF(Q2173="22",IF(ISNUMBER(SEARCH("econ",PAA_4[[#This Row],[Actividad3]])),"Económico",IF(ISNUMBER(SEARCH("alim",PAA_4[[#This Row],[Actividad3]])),"Alimentación",IF(ISNUMBER(SEARCH("educ",PAA_4[[#This Row],[Actividad3]])),"Educativo","Técnico"))),0)</f>
        <v>0</v>
      </c>
      <c r="AI2173" s="47" t="e" cm="1">
        <f t="array" aca="1" ref="AI2173" ca="1">_xlfn.XLOOKUP(PAA_4[[#This Row],[RCP-RUBRO]],[2]!COMPROMISOS_2024[[#All],[concatenado]],[2]!COMPROMISOS_2024[[#All],[Total pagado]],"",0)</f>
        <v>#NAME?</v>
      </c>
      <c r="AJ2173" s="56">
        <f>IF(PAA_4[[#This Row],[BOLSA]]=0,0,SUMIFS([2]!COMPROMISOS_2024[[#All],[Total pagado]],[2]!COMPROMISOS_2024[[#All],[Bolsa]],PAA_4[[#This Row],[BOLSA]],[2]!COMPROMISOS_2024[[#All],[rubro]],PAA_4[[#This Row],[RCP-RUBRO]]))</f>
        <v>0</v>
      </c>
      <c r="AK2173" s="47" t="e" cm="1">
        <f t="array" aca="1" ref="AK2173" ca="1">_xlfn.XLOOKUP(PAA_4[[#This Row],[RCP-RUBRO]],[2]!COMPROMISOS_2024[[#All],[concatenado]],[2]!COMPROMISOS_2024[[#All],[Total Comprometido]],"",0)</f>
        <v>#NAME?</v>
      </c>
      <c r="AL2173" s="47">
        <f>IF(PAA_4[[#This Row],[BOLSA]]=0,0,SUMIFS([2]!COMPROMISOS_2024[[#All],[Total Comprometido]],[2]!COMPROMISOS_2024[[#All],[Bolsa]],PAA_4[[#This Row],[BOLSA]],[2]!COMPROMISOS_2024[[#All],[concatenado]],PAA_4[[#This Row],[RCP-RUBRO]]))</f>
        <v>0</v>
      </c>
    </row>
    <row r="2174" spans="1:38" s="19" customFormat="1" ht="31.5" customHeight="1">
      <c r="A2174" s="47" t="s">
        <v>82</v>
      </c>
      <c r="B2174" s="47">
        <v>80111600</v>
      </c>
      <c r="C2174" s="47" t="str">
        <f>VLOOKUP(PAA_4[[#This Row],[PROYECTO (formulado)2]],[2]PROYECTOS!$G$1:$L$32,6,0)</f>
        <v>SUBGERENCIA DE FOMENTO Y DESARROLLO</v>
      </c>
      <c r="D2174" s="47" t="str">
        <f>+IF(PAA_4[[#This Row],[UNIDAD DE CONTRATACION (formulado)]]="Subgerencia Administrativa y Financiera","FUNCIONAMIENTO","INVERSIÓN")</f>
        <v>INVERSIÓN</v>
      </c>
      <c r="E2174" s="48" t="str">
        <f>VLOOKUP(Q2174,[2]PROYECTOS!$G$1:$K$32,5,0)</f>
        <v>Desarrollo y promoción del deporte formativo, la recreación y la actividad física en el departamento Antioquia</v>
      </c>
      <c r="F2174" s="48">
        <f>VLOOKUP(E2174,[2]PROYECTOS!$K$1:$M$32,3,0)</f>
        <v>2024003050101</v>
      </c>
      <c r="G2174" s="49" t="s">
        <v>2348</v>
      </c>
      <c r="H2174" s="49" t="str">
        <f>VLOOKUP(Q2174,[2]PROYECTOS!$V$1:$W$32,2,0)</f>
        <v>050075</v>
      </c>
      <c r="I2174" s="78">
        <v>7150000</v>
      </c>
      <c r="J2174" s="51" t="s">
        <v>2359</v>
      </c>
      <c r="K2174" s="47" t="str">
        <f t="shared" ca="1" si="748"/>
        <v>CONTRATADO</v>
      </c>
      <c r="L2174" s="47" t="s">
        <v>94</v>
      </c>
      <c r="M2174" s="47" t="s">
        <v>1297</v>
      </c>
      <c r="N2174" s="52" t="s">
        <v>2349</v>
      </c>
      <c r="O2174" s="51" t="e">
        <f>VLOOKUP(N2174,[2]!RUBROS[#All],3,0)</f>
        <v>#REF!</v>
      </c>
      <c r="P2174" s="53" t="e">
        <f>VLOOKUP(N2174,[2]!RUBROS[#All],2,0)</f>
        <v>#REF!</v>
      </c>
      <c r="Q2174" s="47" t="str">
        <f t="shared" si="749"/>
        <v>01</v>
      </c>
      <c r="R2174" s="47" t="str">
        <f t="shared" si="750"/>
        <v>0-101024</v>
      </c>
      <c r="S2174" s="54">
        <v>1</v>
      </c>
      <c r="T2174" s="63" t="s">
        <v>2360</v>
      </c>
      <c r="U2174" s="326" t="e">
        <f ca="1">_xlfn.XLOOKUP(PAA_4[[#This Row],[ITEM]],[2]Contrato!A:A,[2]Contrato!Q:Q,"",0)</f>
        <v>#NAME?</v>
      </c>
      <c r="V2174" s="47" t="s">
        <v>95</v>
      </c>
      <c r="W2174" s="47" t="s">
        <v>200</v>
      </c>
      <c r="X2174" s="47" t="s">
        <v>200</v>
      </c>
      <c r="Y2174" s="55" t="e">
        <f ca="1">_xlfn.XLOOKUP(PAA_4[[#This Row],[ITEM]],[2]Contrato!A:A,[2]Contrato!B:B,"",0)</f>
        <v>#NAME?</v>
      </c>
      <c r="Z2174" s="47" t="e">
        <f ca="1">_xlfn.XLOOKUP(PAA_4[[#This Row],[ITEM]],[2]Contrato!A:A,[2]Contrato!G:G,"",0)</f>
        <v>#NAME?</v>
      </c>
      <c r="AA2174" s="47" t="e">
        <f ca="1">_xlfn.XLOOKUP(PAA_4[[#This Row],[ITEM]],[2]Contrato!A:A,[2]Contrato!T:T,"",0)</f>
        <v>#NAME?</v>
      </c>
      <c r="AB2174" s="55" t="e">
        <f ca="1">+MAX(PAA_4[[#This Row],[Comprometido Contrato]],PAA_4[[#This Row],[Comprometido Bolsa]])</f>
        <v>#NAME?</v>
      </c>
      <c r="AC2174" s="55" t="str">
        <f t="shared" ca="1" si="751"/>
        <v/>
      </c>
      <c r="AD2174" s="55" t="e">
        <f ca="1">IF(PAA_4[[#This Row],[ESTADO (formulado)]]="NO CONTRATADO",0,MAX(PAA_4[[#This Row],[Pago por Contrato]],PAA_4[[#This Row],[Pago por bolsa]]))</f>
        <v>#NAME?</v>
      </c>
      <c r="AE2174" s="55" t="str">
        <f t="shared" ca="1" si="752"/>
        <v/>
      </c>
      <c r="AF2174" s="47" t="e">
        <f t="shared" ca="1" si="753"/>
        <v>#NAME?</v>
      </c>
      <c r="AG2174" s="47">
        <f t="shared" si="754"/>
        <v>52010702</v>
      </c>
      <c r="AH2174" s="54">
        <f>IF(Q2174="22",IF(ISNUMBER(SEARCH("econ",PAA_4[[#This Row],[Actividad3]])),"Económico",IF(ISNUMBER(SEARCH("alim",PAA_4[[#This Row],[Actividad3]])),"Alimentación",IF(ISNUMBER(SEARCH("educ",PAA_4[[#This Row],[Actividad3]])),"Educativo","Técnico"))),0)</f>
        <v>0</v>
      </c>
      <c r="AI2174" s="47" t="e" cm="1">
        <f t="array" aca="1" ref="AI2174" ca="1">_xlfn.XLOOKUP(PAA_4[[#This Row],[RCP-RUBRO]],[2]!COMPROMISOS_2024[[#All],[concatenado]],[2]!COMPROMISOS_2024[[#All],[Total pagado]],"",0)</f>
        <v>#NAME?</v>
      </c>
      <c r="AJ2174" s="56">
        <f>IF(PAA_4[[#This Row],[BOLSA]]=0,0,SUMIFS([2]!COMPROMISOS_2024[[#All],[Total pagado]],[2]!COMPROMISOS_2024[[#All],[Bolsa]],PAA_4[[#This Row],[BOLSA]],[2]!COMPROMISOS_2024[[#All],[rubro]],PAA_4[[#This Row],[RCP-RUBRO]]))</f>
        <v>0</v>
      </c>
      <c r="AK2174" s="47" t="e" cm="1">
        <f t="array" aca="1" ref="AK2174" ca="1">_xlfn.XLOOKUP(PAA_4[[#This Row],[RCP-RUBRO]],[2]!COMPROMISOS_2024[[#All],[concatenado]],[2]!COMPROMISOS_2024[[#All],[Total Comprometido]],"",0)</f>
        <v>#NAME?</v>
      </c>
      <c r="AL2174" s="47">
        <f>IF(PAA_4[[#This Row],[BOLSA]]=0,0,SUMIFS([2]!COMPROMISOS_2024[[#All],[Total Comprometido]],[2]!COMPROMISOS_2024[[#All],[Bolsa]],PAA_4[[#This Row],[BOLSA]],[2]!COMPROMISOS_2024[[#All],[concatenado]],PAA_4[[#This Row],[RCP-RUBRO]]))</f>
        <v>0</v>
      </c>
    </row>
    <row r="2175" spans="1:38" s="19" customFormat="1" ht="31.5" customHeight="1">
      <c r="A2175" s="47" t="s">
        <v>82</v>
      </c>
      <c r="B2175" s="47">
        <v>80111600</v>
      </c>
      <c r="C2175" s="47" t="str">
        <f>VLOOKUP(PAA_4[[#This Row],[PROYECTO (formulado)2]],[2]PROYECTOS!$G$1:$L$32,6,0)</f>
        <v>SUBGERENCIA DE FOMENTO Y DESARROLLO</v>
      </c>
      <c r="D2175" s="47" t="str">
        <f>+IF(PAA_4[[#This Row],[UNIDAD DE CONTRATACION (formulado)]]="Subgerencia Administrativa y Financiera","FUNCIONAMIENTO","INVERSIÓN")</f>
        <v>INVERSIÓN</v>
      </c>
      <c r="E2175" s="48" t="str">
        <f>VLOOKUP(Q2175,[2]PROYECTOS!$G$1:$K$32,5,0)</f>
        <v>Desarrollo y promoción del deporte formativo, la recreación y la actividad física en el departamento Antioquia</v>
      </c>
      <c r="F2175" s="48">
        <f>VLOOKUP(E2175,[2]PROYECTOS!$K$1:$M$32,3,0)</f>
        <v>2024003050101</v>
      </c>
      <c r="G2175" s="49" t="s">
        <v>2348</v>
      </c>
      <c r="H2175" s="49" t="str">
        <f>VLOOKUP(Q2175,[2]PROYECTOS!$V$1:$W$32,2,0)</f>
        <v>050075</v>
      </c>
      <c r="I2175" s="78">
        <v>7150000</v>
      </c>
      <c r="J2175" s="51" t="s">
        <v>2359</v>
      </c>
      <c r="K2175" s="47" t="str">
        <f t="shared" ca="1" si="748"/>
        <v>CONTRATADO</v>
      </c>
      <c r="L2175" s="47" t="s">
        <v>94</v>
      </c>
      <c r="M2175" s="47" t="s">
        <v>1297</v>
      </c>
      <c r="N2175" s="52" t="s">
        <v>2349</v>
      </c>
      <c r="O2175" s="51" t="e">
        <f>VLOOKUP(N2175,[2]!RUBROS[#All],3,0)</f>
        <v>#REF!</v>
      </c>
      <c r="P2175" s="53" t="e">
        <f>VLOOKUP(N2175,[2]!RUBROS[#All],2,0)</f>
        <v>#REF!</v>
      </c>
      <c r="Q2175" s="47" t="str">
        <f t="shared" si="749"/>
        <v>01</v>
      </c>
      <c r="R2175" s="47" t="str">
        <f t="shared" si="750"/>
        <v>0-101024</v>
      </c>
      <c r="S2175" s="54">
        <v>1</v>
      </c>
      <c r="T2175" s="63" t="s">
        <v>2360</v>
      </c>
      <c r="U2175" s="326" t="e">
        <f ca="1">_xlfn.XLOOKUP(PAA_4[[#This Row],[ITEM]],[2]Contrato!A:A,[2]Contrato!Q:Q,"",0)</f>
        <v>#NAME?</v>
      </c>
      <c r="V2175" s="47" t="s">
        <v>95</v>
      </c>
      <c r="W2175" s="47" t="s">
        <v>200</v>
      </c>
      <c r="X2175" s="47" t="s">
        <v>200</v>
      </c>
      <c r="Y2175" s="55" t="e">
        <f ca="1">_xlfn.XLOOKUP(PAA_4[[#This Row],[ITEM]],[2]Contrato!A:A,[2]Contrato!B:B,"",0)</f>
        <v>#NAME?</v>
      </c>
      <c r="Z2175" s="47" t="e">
        <f ca="1">_xlfn.XLOOKUP(PAA_4[[#This Row],[ITEM]],[2]Contrato!A:A,[2]Contrato!G:G,"",0)</f>
        <v>#NAME?</v>
      </c>
      <c r="AA2175" s="47" t="e">
        <f ca="1">_xlfn.XLOOKUP(PAA_4[[#This Row],[ITEM]],[2]Contrato!A:A,[2]Contrato!T:T,"",0)</f>
        <v>#NAME?</v>
      </c>
      <c r="AB2175" s="55" t="e">
        <f ca="1">+MAX(PAA_4[[#This Row],[Comprometido Contrato]],PAA_4[[#This Row],[Comprometido Bolsa]])</f>
        <v>#NAME?</v>
      </c>
      <c r="AC2175" s="55" t="str">
        <f t="shared" ca="1" si="751"/>
        <v/>
      </c>
      <c r="AD2175" s="55" t="e">
        <f ca="1">IF(PAA_4[[#This Row],[ESTADO (formulado)]]="NO CONTRATADO",0,MAX(PAA_4[[#This Row],[Pago por Contrato]],PAA_4[[#This Row],[Pago por bolsa]]))</f>
        <v>#NAME?</v>
      </c>
      <c r="AE2175" s="55" t="str">
        <f t="shared" ca="1" si="752"/>
        <v/>
      </c>
      <c r="AF2175" s="47" t="e">
        <f t="shared" ca="1" si="753"/>
        <v>#NAME?</v>
      </c>
      <c r="AG2175" s="47">
        <f t="shared" si="754"/>
        <v>52010702</v>
      </c>
      <c r="AH2175" s="54">
        <f>IF(Q2175="22",IF(ISNUMBER(SEARCH("econ",PAA_4[[#This Row],[Actividad3]])),"Económico",IF(ISNUMBER(SEARCH("alim",PAA_4[[#This Row],[Actividad3]])),"Alimentación",IF(ISNUMBER(SEARCH("educ",PAA_4[[#This Row],[Actividad3]])),"Educativo","Técnico"))),0)</f>
        <v>0</v>
      </c>
      <c r="AI2175" s="47" t="e" cm="1">
        <f t="array" aca="1" ref="AI2175" ca="1">_xlfn.XLOOKUP(PAA_4[[#This Row],[RCP-RUBRO]],[2]!COMPROMISOS_2024[[#All],[concatenado]],[2]!COMPROMISOS_2024[[#All],[Total pagado]],"",0)</f>
        <v>#NAME?</v>
      </c>
      <c r="AJ2175" s="56">
        <f>IF(PAA_4[[#This Row],[BOLSA]]=0,0,SUMIFS([2]!COMPROMISOS_2024[[#All],[Total pagado]],[2]!COMPROMISOS_2024[[#All],[Bolsa]],PAA_4[[#This Row],[BOLSA]],[2]!COMPROMISOS_2024[[#All],[rubro]],PAA_4[[#This Row],[RCP-RUBRO]]))</f>
        <v>0</v>
      </c>
      <c r="AK2175" s="47" t="e" cm="1">
        <f t="array" aca="1" ref="AK2175" ca="1">_xlfn.XLOOKUP(PAA_4[[#This Row],[RCP-RUBRO]],[2]!COMPROMISOS_2024[[#All],[concatenado]],[2]!COMPROMISOS_2024[[#All],[Total Comprometido]],"",0)</f>
        <v>#NAME?</v>
      </c>
      <c r="AL2175" s="47">
        <f>IF(PAA_4[[#This Row],[BOLSA]]=0,0,SUMIFS([2]!COMPROMISOS_2024[[#All],[Total Comprometido]],[2]!COMPROMISOS_2024[[#All],[Bolsa]],PAA_4[[#This Row],[BOLSA]],[2]!COMPROMISOS_2024[[#All],[concatenado]],PAA_4[[#This Row],[RCP-RUBRO]]))</f>
        <v>0</v>
      </c>
    </row>
    <row r="2176" spans="1:38" s="19" customFormat="1" ht="31.5" customHeight="1">
      <c r="A2176" s="47">
        <v>1047</v>
      </c>
      <c r="B2176" s="47">
        <v>80111600</v>
      </c>
      <c r="C2176" s="47" t="str">
        <f>VLOOKUP(PAA_4[[#This Row],[PROYECTO (formulado)2]],[2]PROYECTOS!$G$1:$L$32,6,0)</f>
        <v>SUBGERENCIA DE FOMENTO Y DESARROLLO</v>
      </c>
      <c r="D2176" s="47" t="str">
        <f>+IF(PAA_4[[#This Row],[UNIDAD DE CONTRATACION (formulado)]]="Subgerencia Administrativa y Financiera","FUNCIONAMIENTO","INVERSIÓN")</f>
        <v>INVERSIÓN</v>
      </c>
      <c r="E2176" s="48" t="str">
        <f>VLOOKUP(Q2176,[2]PROYECTOS!$G$1:$K$32,5,0)</f>
        <v>Desarrollo y promoción del deporte formativo, la recreación y la actividad física en el departamento Antioquia</v>
      </c>
      <c r="F2176" s="48">
        <f>VLOOKUP(E2176,[2]PROYECTOS!$K$1:$M$32,3,0)</f>
        <v>2024003050101</v>
      </c>
      <c r="G2176" s="49" t="s">
        <v>2348</v>
      </c>
      <c r="H2176" s="49" t="str">
        <f>VLOOKUP(Q2176,[2]PROYECTOS!$V$1:$W$32,2,0)</f>
        <v>050075</v>
      </c>
      <c r="I2176" s="78">
        <v>12185854</v>
      </c>
      <c r="J2176" s="51" t="s">
        <v>2361</v>
      </c>
      <c r="K2176" s="47" t="str">
        <f t="shared" ca="1" si="748"/>
        <v>CONTRATADO</v>
      </c>
      <c r="L2176" s="47" t="s">
        <v>94</v>
      </c>
      <c r="M2176" s="47" t="s">
        <v>42</v>
      </c>
      <c r="N2176" s="52" t="s">
        <v>2349</v>
      </c>
      <c r="O2176" s="51" t="e">
        <f>VLOOKUP(N2176,[2]!RUBROS[#All],3,0)</f>
        <v>#REF!</v>
      </c>
      <c r="P2176" s="53" t="e">
        <f>VLOOKUP(N2176,[2]!RUBROS[#All],2,0)</f>
        <v>#REF!</v>
      </c>
      <c r="Q2176" s="47" t="str">
        <f t="shared" si="749"/>
        <v>01</v>
      </c>
      <c r="R2176" s="47" t="str">
        <f t="shared" si="750"/>
        <v>0-101024</v>
      </c>
      <c r="S2176" s="54">
        <v>4.5</v>
      </c>
      <c r="T2176" s="59" t="s">
        <v>46</v>
      </c>
      <c r="U2176" s="326" t="e">
        <f ca="1">_xlfn.XLOOKUP(PAA_4[[#This Row],[ITEM]],[2]Contrato!A:A,[2]Contrato!Q:Q,"",0)</f>
        <v>#NAME?</v>
      </c>
      <c r="V2176" s="47" t="s">
        <v>95</v>
      </c>
      <c r="W2176" s="47" t="s">
        <v>194</v>
      </c>
      <c r="X2176" s="47" t="s">
        <v>194</v>
      </c>
      <c r="Y2176" s="55" t="e">
        <f ca="1">_xlfn.XLOOKUP(PAA_4[[#This Row],[ITEM]],[2]Contrato!A:A,[2]Contrato!B:B,"",0)</f>
        <v>#NAME?</v>
      </c>
      <c r="Z2176" s="47" t="e">
        <f ca="1">_xlfn.XLOOKUP(PAA_4[[#This Row],[ITEM]],[2]Contrato!A:A,[2]Contrato!G:G,"",0)</f>
        <v>#NAME?</v>
      </c>
      <c r="AA2176" s="47" t="e">
        <f ca="1">_xlfn.XLOOKUP(PAA_4[[#This Row],[ITEM]],[2]Contrato!A:A,[2]Contrato!T:T,"",0)</f>
        <v>#NAME?</v>
      </c>
      <c r="AB2176" s="55" t="e">
        <f ca="1">+MAX(PAA_4[[#This Row],[Comprometido Contrato]],PAA_4[[#This Row],[Comprometido Bolsa]])</f>
        <v>#NAME?</v>
      </c>
      <c r="AC2176" s="55" t="str">
        <f t="shared" ca="1" si="751"/>
        <v/>
      </c>
      <c r="AD2176" s="55" t="e">
        <f ca="1">IF(PAA_4[[#This Row],[ESTADO (formulado)]]="NO CONTRATADO",0,MAX(PAA_4[[#This Row],[Pago por Contrato]],PAA_4[[#This Row],[Pago por bolsa]]))</f>
        <v>#NAME?</v>
      </c>
      <c r="AE2176" s="55" t="str">
        <f t="shared" ca="1" si="752"/>
        <v/>
      </c>
      <c r="AF2176" s="47" t="e">
        <f t="shared" ca="1" si="753"/>
        <v>#NAME?</v>
      </c>
      <c r="AG2176" s="47">
        <f t="shared" si="754"/>
        <v>52010702</v>
      </c>
      <c r="AH2176" s="54">
        <f>IF(Q2176="22",IF(ISNUMBER(SEARCH("econ",PAA_4[[#This Row],[Actividad3]])),"Económico",IF(ISNUMBER(SEARCH("alim",PAA_4[[#This Row],[Actividad3]])),"Alimentación",IF(ISNUMBER(SEARCH("educ",PAA_4[[#This Row],[Actividad3]])),"Educativo","Técnico"))),0)</f>
        <v>0</v>
      </c>
      <c r="AI2176" s="47" t="e" cm="1">
        <f t="array" aca="1" ref="AI2176" ca="1">_xlfn.XLOOKUP(PAA_4[[#This Row],[RCP-RUBRO]],[2]!COMPROMISOS_2024[[#All],[concatenado]],[2]!COMPROMISOS_2024[[#All],[Total pagado]],"",0)</f>
        <v>#NAME?</v>
      </c>
      <c r="AJ2176" s="56">
        <f>IF(PAA_4[[#This Row],[BOLSA]]=0,0,SUMIFS([2]!COMPROMISOS_2024[[#All],[Total pagado]],[2]!COMPROMISOS_2024[[#All],[Bolsa]],PAA_4[[#This Row],[BOLSA]],[2]!COMPROMISOS_2024[[#All],[rubro]],PAA_4[[#This Row],[RCP-RUBRO]]))</f>
        <v>0</v>
      </c>
      <c r="AK2176" s="47" t="e" cm="1">
        <f t="array" aca="1" ref="AK2176" ca="1">_xlfn.XLOOKUP(PAA_4[[#This Row],[RCP-RUBRO]],[2]!COMPROMISOS_2024[[#All],[concatenado]],[2]!COMPROMISOS_2024[[#All],[Total Comprometido]],"",0)</f>
        <v>#NAME?</v>
      </c>
      <c r="AL2176" s="47">
        <f>IF(PAA_4[[#This Row],[BOLSA]]=0,0,SUMIFS([2]!COMPROMISOS_2024[[#All],[Total Comprometido]],[2]!COMPROMISOS_2024[[#All],[Bolsa]],PAA_4[[#This Row],[BOLSA]],[2]!COMPROMISOS_2024[[#All],[concatenado]],PAA_4[[#This Row],[RCP-RUBRO]]))</f>
        <v>0</v>
      </c>
    </row>
    <row r="2177" spans="1:38" s="19" customFormat="1" ht="31.5" customHeight="1">
      <c r="A2177" s="47">
        <v>1048</v>
      </c>
      <c r="B2177" s="47">
        <v>80141607</v>
      </c>
      <c r="C2177" s="47" t="str">
        <f>VLOOKUP(PAA_4[[#This Row],[PROYECTO (formulado)2]],[2]PROYECTOS!$G$1:$L$32,6,0)</f>
        <v>SUBGERENCIA DE FOMENTO Y DESARROLLO</v>
      </c>
      <c r="D2177" s="47" t="str">
        <f>+IF(PAA_4[[#This Row],[UNIDAD DE CONTRATACION (formulado)]]="Subgerencia Administrativa y Financiera","FUNCIONAMIENTO","INVERSIÓN")</f>
        <v>INVERSIÓN</v>
      </c>
      <c r="E2177" s="48" t="str">
        <f>VLOOKUP(Q2177,[2]PROYECTOS!$G$1:$K$32,5,0)</f>
        <v>Fortalecimiento de los juegos deportivos institucionales en los municipios del departamento de Antioquia</v>
      </c>
      <c r="F2177" s="48">
        <f>VLOOKUP(E2177,[2]PROYECTOS!$K$1:$M$32,3,0)</f>
        <v>2024003050073</v>
      </c>
      <c r="G2177" s="49" t="s">
        <v>1353</v>
      </c>
      <c r="H2177" s="49" t="str">
        <f>VLOOKUP(Q2177,[2]PROYECTOS!$V$1:$W$32,2,0)</f>
        <v>050081</v>
      </c>
      <c r="I2177" s="78">
        <v>0</v>
      </c>
      <c r="J2177" s="51" t="s">
        <v>452</v>
      </c>
      <c r="K2177" s="47" t="str">
        <f t="shared" ca="1" si="748"/>
        <v>CONTRATADO</v>
      </c>
      <c r="L2177" s="47" t="s">
        <v>94</v>
      </c>
      <c r="M2177" s="47" t="s">
        <v>42</v>
      </c>
      <c r="N2177" s="52" t="s">
        <v>2320</v>
      </c>
      <c r="O2177" s="51" t="e">
        <f>VLOOKUP(N2177,[2]!RUBROS[#All],3,0)</f>
        <v>#REF!</v>
      </c>
      <c r="P2177" s="53" t="e">
        <f>VLOOKUP(N2177,[2]!RUBROS[#All],2,0)</f>
        <v>#REF!</v>
      </c>
      <c r="Q2177" s="47" t="str">
        <f t="shared" si="749"/>
        <v>73</v>
      </c>
      <c r="R2177" s="47" t="str">
        <f t="shared" si="750"/>
        <v>0-101024</v>
      </c>
      <c r="S2177" s="54">
        <v>4.5</v>
      </c>
      <c r="T2177" s="59" t="s">
        <v>46</v>
      </c>
      <c r="U2177" s="326" t="e">
        <f ca="1">_xlfn.XLOOKUP(PAA_4[[#This Row],[ITEM]],[2]Contrato!A:A,[2]Contrato!Q:Q,"",0)</f>
        <v>#NAME?</v>
      </c>
      <c r="V2177" s="47" t="s">
        <v>95</v>
      </c>
      <c r="W2177" s="47" t="s">
        <v>194</v>
      </c>
      <c r="X2177" s="47" t="s">
        <v>194</v>
      </c>
      <c r="Y2177" s="55" t="e">
        <f ca="1">_xlfn.XLOOKUP(PAA_4[[#This Row],[ITEM]],[2]Contrato!A:A,[2]Contrato!B:B,"",0)</f>
        <v>#NAME?</v>
      </c>
      <c r="Z2177" s="47" t="e">
        <f ca="1">_xlfn.XLOOKUP(PAA_4[[#This Row],[ITEM]],[2]Contrato!A:A,[2]Contrato!G:G,"",0)</f>
        <v>#NAME?</v>
      </c>
      <c r="AA2177" s="47" t="e">
        <f ca="1">_xlfn.XLOOKUP(PAA_4[[#This Row],[ITEM]],[2]Contrato!A:A,[2]Contrato!T:T,"",0)</f>
        <v>#NAME?</v>
      </c>
      <c r="AB2177" s="55" t="e">
        <f ca="1">+MAX(PAA_4[[#This Row],[Comprometido Contrato]],PAA_4[[#This Row],[Comprometido Bolsa]])</f>
        <v>#NAME?</v>
      </c>
      <c r="AC2177" s="55" t="str">
        <f t="shared" ca="1" si="751"/>
        <v/>
      </c>
      <c r="AD2177" s="55" t="e">
        <f ca="1">IF(PAA_4[[#This Row],[ESTADO (formulado)]]="NO CONTRATADO",0,MAX(PAA_4[[#This Row],[Pago por Contrato]],PAA_4[[#This Row],[Pago por bolsa]]))</f>
        <v>#NAME?</v>
      </c>
      <c r="AE2177" s="55" t="str">
        <f t="shared" ca="1" si="752"/>
        <v/>
      </c>
      <c r="AF2177" s="47" t="e">
        <f t="shared" ca="1" si="753"/>
        <v>#NAME?</v>
      </c>
      <c r="AG2177" s="47">
        <f t="shared" si="754"/>
        <v>52010703</v>
      </c>
      <c r="AH2177" s="54">
        <f>IF(Q2177="22",IF(ISNUMBER(SEARCH("econ",PAA_4[[#This Row],[Actividad3]])),"Económico",IF(ISNUMBER(SEARCH("alim",PAA_4[[#This Row],[Actividad3]])),"Alimentación",IF(ISNUMBER(SEARCH("educ",PAA_4[[#This Row],[Actividad3]])),"Educativo","Técnico"))),0)</f>
        <v>0</v>
      </c>
      <c r="AI2177" s="47" t="e" cm="1">
        <f t="array" aca="1" ref="AI2177" ca="1">_xlfn.XLOOKUP(PAA_4[[#This Row],[RCP-RUBRO]],[2]!COMPROMISOS_2024[[#All],[concatenado]],[2]!COMPROMISOS_2024[[#All],[Total pagado]],"",0)</f>
        <v>#NAME?</v>
      </c>
      <c r="AJ2177" s="56">
        <f>IF(PAA_4[[#This Row],[BOLSA]]=0,0,SUMIFS([2]!COMPROMISOS_2024[[#All],[Total pagado]],[2]!COMPROMISOS_2024[[#All],[Bolsa]],PAA_4[[#This Row],[BOLSA]],[2]!COMPROMISOS_2024[[#All],[rubro]],PAA_4[[#This Row],[RCP-RUBRO]]))</f>
        <v>0</v>
      </c>
      <c r="AK2177" s="47" t="e" cm="1">
        <f t="array" aca="1" ref="AK2177" ca="1">_xlfn.XLOOKUP(PAA_4[[#This Row],[RCP-RUBRO]],[2]!COMPROMISOS_2024[[#All],[concatenado]],[2]!COMPROMISOS_2024[[#All],[Total Comprometido]],"",0)</f>
        <v>#NAME?</v>
      </c>
      <c r="AL2177" s="47">
        <f>IF(PAA_4[[#This Row],[BOLSA]]=0,0,SUMIFS([2]!COMPROMISOS_2024[[#All],[Total Comprometido]],[2]!COMPROMISOS_2024[[#All],[Bolsa]],PAA_4[[#This Row],[BOLSA]],[2]!COMPROMISOS_2024[[#All],[concatenado]],PAA_4[[#This Row],[RCP-RUBRO]]))</f>
        <v>0</v>
      </c>
    </row>
    <row r="2178" spans="1:38" s="19" customFormat="1" ht="31.5" customHeight="1">
      <c r="A2178" s="47">
        <v>1049</v>
      </c>
      <c r="B2178" s="47" t="s">
        <v>42</v>
      </c>
      <c r="C2178" s="47" t="str">
        <f>VLOOKUP(PAA_4[[#This Row],[PROYECTO (formulado)2]],[2]PROYECTOS!$G$1:$L$32,6,0)</f>
        <v>SUBGERENCIA DE FOMENTO Y DESARROLLO</v>
      </c>
      <c r="D2178" s="47" t="str">
        <f>+IF(PAA_4[[#This Row],[UNIDAD DE CONTRATACION (formulado)]]="Subgerencia Administrativa y Financiera","FUNCIONAMIENTO","INVERSIÓN")</f>
        <v>INVERSIÓN</v>
      </c>
      <c r="E2178" s="48" t="str">
        <f>VLOOKUP(Q2178,[2]PROYECTOS!$G$1:$K$32,5,0)</f>
        <v>Fortalecimiento de los juegos deportivos institucionales en los municipios del departamento de Antioquia</v>
      </c>
      <c r="F2178" s="48">
        <f>VLOOKUP(E2178,[2]PROYECTOS!$K$1:$M$32,3,0)</f>
        <v>2024003050073</v>
      </c>
      <c r="G2178" s="49" t="s">
        <v>1353</v>
      </c>
      <c r="H2178" s="49" t="str">
        <f>VLOOKUP(Q2178,[2]PROYECTOS!$V$1:$W$32,2,0)</f>
        <v>050081</v>
      </c>
      <c r="I2178" s="78">
        <v>0</v>
      </c>
      <c r="J2178" s="51" t="s">
        <v>42</v>
      </c>
      <c r="K2178" s="47" t="str">
        <f t="shared" ca="1" si="748"/>
        <v>CONTRATADO</v>
      </c>
      <c r="L2178" s="47" t="s">
        <v>94</v>
      </c>
      <c r="M2178" s="47" t="s">
        <v>42</v>
      </c>
      <c r="N2178" s="52" t="s">
        <v>1366</v>
      </c>
      <c r="O2178" s="51" t="e">
        <f>VLOOKUP(N2178,[2]!RUBROS[#All],3,0)</f>
        <v>#REF!</v>
      </c>
      <c r="P2178" s="53" t="e">
        <f>VLOOKUP(N2178,[2]!RUBROS[#All],2,0)</f>
        <v>#REF!</v>
      </c>
      <c r="Q2178" s="47" t="str">
        <f t="shared" si="749"/>
        <v>73</v>
      </c>
      <c r="R2178" s="47" t="str">
        <f t="shared" si="750"/>
        <v>0-205128</v>
      </c>
      <c r="S2178" s="54">
        <v>4.5</v>
      </c>
      <c r="T2178" s="59" t="s">
        <v>46</v>
      </c>
      <c r="U2178" s="326" t="e">
        <f ca="1">_xlfn.XLOOKUP(PAA_4[[#This Row],[ITEM]],[2]Contrato!A:A,[2]Contrato!Q:Q,"",0)</f>
        <v>#NAME?</v>
      </c>
      <c r="V2178" s="47" t="s">
        <v>95</v>
      </c>
      <c r="W2178" s="47" t="s">
        <v>194</v>
      </c>
      <c r="X2178" s="47" t="s">
        <v>194</v>
      </c>
      <c r="Y2178" s="55" t="e">
        <f ca="1">_xlfn.XLOOKUP(PAA_4[[#This Row],[ITEM]],[2]Contrato!A:A,[2]Contrato!B:B,"",0)</f>
        <v>#NAME?</v>
      </c>
      <c r="Z2178" s="47" t="e">
        <f ca="1">_xlfn.XLOOKUP(PAA_4[[#This Row],[ITEM]],[2]Contrato!A:A,[2]Contrato!G:G,"",0)</f>
        <v>#NAME?</v>
      </c>
      <c r="AA2178" s="47" t="e">
        <f ca="1">_xlfn.XLOOKUP(PAA_4[[#This Row],[ITEM]],[2]Contrato!A:A,[2]Contrato!T:T,"",0)</f>
        <v>#NAME?</v>
      </c>
      <c r="AB2178" s="55" t="e">
        <f ca="1">+MAX(PAA_4[[#This Row],[Comprometido Contrato]],PAA_4[[#This Row],[Comprometido Bolsa]])</f>
        <v>#NAME?</v>
      </c>
      <c r="AC2178" s="55" t="str">
        <f t="shared" ca="1" si="751"/>
        <v/>
      </c>
      <c r="AD2178" s="55" t="e">
        <f ca="1">IF(PAA_4[[#This Row],[ESTADO (formulado)]]="NO CONTRATADO",0,MAX(PAA_4[[#This Row],[Pago por Contrato]],PAA_4[[#This Row],[Pago por bolsa]]))</f>
        <v>#NAME?</v>
      </c>
      <c r="AE2178" s="55" t="str">
        <f t="shared" ca="1" si="752"/>
        <v/>
      </c>
      <c r="AF2178" s="47" t="e">
        <f t="shared" ca="1" si="753"/>
        <v>#NAME?</v>
      </c>
      <c r="AG2178" s="47">
        <f t="shared" si="754"/>
        <v>52010703</v>
      </c>
      <c r="AH2178" s="54">
        <f>IF(Q2178="22",IF(ISNUMBER(SEARCH("econ",PAA_4[[#This Row],[Actividad3]])),"Económico",IF(ISNUMBER(SEARCH("alim",PAA_4[[#This Row],[Actividad3]])),"Alimentación",IF(ISNUMBER(SEARCH("educ",PAA_4[[#This Row],[Actividad3]])),"Educativo","Técnico"))),0)</f>
        <v>0</v>
      </c>
      <c r="AI2178" s="47" t="e" cm="1">
        <f t="array" aca="1" ref="AI2178" ca="1">_xlfn.XLOOKUP(PAA_4[[#This Row],[RCP-RUBRO]],[2]!COMPROMISOS_2024[[#All],[concatenado]],[2]!COMPROMISOS_2024[[#All],[Total pagado]],"",0)</f>
        <v>#NAME?</v>
      </c>
      <c r="AJ2178" s="56">
        <f>IF(PAA_4[[#This Row],[BOLSA]]=0,0,SUMIFS([2]!COMPROMISOS_2024[[#All],[Total pagado]],[2]!COMPROMISOS_2024[[#All],[Bolsa]],PAA_4[[#This Row],[BOLSA]],[2]!COMPROMISOS_2024[[#All],[rubro]],PAA_4[[#This Row],[RCP-RUBRO]]))</f>
        <v>0</v>
      </c>
      <c r="AK2178" s="47" t="e" cm="1">
        <f t="array" aca="1" ref="AK2178" ca="1">_xlfn.XLOOKUP(PAA_4[[#This Row],[RCP-RUBRO]],[2]!COMPROMISOS_2024[[#All],[concatenado]],[2]!COMPROMISOS_2024[[#All],[Total Comprometido]],"",0)</f>
        <v>#NAME?</v>
      </c>
      <c r="AL2178" s="47">
        <f>IF(PAA_4[[#This Row],[BOLSA]]=0,0,SUMIFS([2]!COMPROMISOS_2024[[#All],[Total Comprometido]],[2]!COMPROMISOS_2024[[#All],[Bolsa]],PAA_4[[#This Row],[BOLSA]],[2]!COMPROMISOS_2024[[#All],[concatenado]],PAA_4[[#This Row],[RCP-RUBRO]]))</f>
        <v>0</v>
      </c>
    </row>
    <row r="2179" spans="1:38" s="19" customFormat="1" ht="31.5" customHeight="1">
      <c r="A2179" s="47">
        <v>1145</v>
      </c>
      <c r="B2179" s="47">
        <v>86111602</v>
      </c>
      <c r="C2179" s="47" t="str">
        <f>VLOOKUP(PAA_4[[#This Row],[PROYECTO (formulado)2]],[2]PROYECTOS!$G$1:$L$32,6,0)</f>
        <v>SUBGERENCIA DE FOMENTO Y DESARROLLO</v>
      </c>
      <c r="D2179" s="47" t="str">
        <f>+IF(PAA_4[[#This Row],[UNIDAD DE CONTRATACION (formulado)]]="Subgerencia Administrativa y Financiera","FUNCIONAMIENTO","INVERSIÓN")</f>
        <v>INVERSIÓN</v>
      </c>
      <c r="E2179" s="48" t="str">
        <f>VLOOKUP(Q2179,[2]PROYECTOS!$G$1:$K$32,5,0)</f>
        <v>Capacitación para el sector del deporte, la recreación y la actividad física en el Departamento de   Antioquia</v>
      </c>
      <c r="F2179" s="48">
        <f>VLOOKUP(E2179,[2]PROYECTOS!$K$1:$M$32,3,0)</f>
        <v>2024003050072</v>
      </c>
      <c r="G2179" s="49" t="s">
        <v>2344</v>
      </c>
      <c r="H2179" s="49" t="str">
        <f>VLOOKUP(Q2179,[2]PROYECTOS!$V$1:$W$32,2,0)</f>
        <v>050072</v>
      </c>
      <c r="I2179" s="78">
        <v>31300000</v>
      </c>
      <c r="J2179" s="51" t="s">
        <v>2362</v>
      </c>
      <c r="K2179" s="47" t="str">
        <f t="shared" ca="1" si="748"/>
        <v>CONTRATADO</v>
      </c>
      <c r="L2179" s="47" t="s">
        <v>94</v>
      </c>
      <c r="M2179" s="51" t="s">
        <v>2363</v>
      </c>
      <c r="N2179" s="52" t="s">
        <v>2346</v>
      </c>
      <c r="O2179" s="51" t="e">
        <f>VLOOKUP(N2179,[2]!RUBROS[#All],3,0)</f>
        <v>#REF!</v>
      </c>
      <c r="P2179" s="53" t="e">
        <f>VLOOKUP(N2179,[2]!RUBROS[#All],2,0)</f>
        <v>#REF!</v>
      </c>
      <c r="Q2179" s="47" t="str">
        <f t="shared" si="749"/>
        <v>72</v>
      </c>
      <c r="R2179" s="47" t="str">
        <f t="shared" si="750"/>
        <v>0-205128</v>
      </c>
      <c r="S2179" s="54">
        <v>105</v>
      </c>
      <c r="T2179" s="63" t="s">
        <v>120</v>
      </c>
      <c r="U2179" s="326" t="e">
        <f ca="1">_xlfn.XLOOKUP(PAA_4[[#This Row],[ITEM]],[2]Contrato!A:A,[2]Contrato!Q:Q,"",0)</f>
        <v>#NAME?</v>
      </c>
      <c r="V2179" s="47" t="s">
        <v>95</v>
      </c>
      <c r="W2179" s="47" t="s">
        <v>203</v>
      </c>
      <c r="X2179" s="47" t="s">
        <v>203</v>
      </c>
      <c r="Y2179" s="55" t="e">
        <f ca="1">_xlfn.XLOOKUP(PAA_4[[#This Row],[ITEM]],[2]Contrato!A:A,[2]Contrato!B:B,"",0)</f>
        <v>#NAME?</v>
      </c>
      <c r="Z2179" s="47" t="e">
        <f ca="1">_xlfn.XLOOKUP(PAA_4[[#This Row],[ITEM]],[2]Contrato!A:A,[2]Contrato!G:G,"",0)</f>
        <v>#NAME?</v>
      </c>
      <c r="AA2179" s="47" t="e">
        <f ca="1">_xlfn.XLOOKUP(PAA_4[[#This Row],[ITEM]],[2]Contrato!A:A,[2]Contrato!T:T,"",0)</f>
        <v>#NAME?</v>
      </c>
      <c r="AB2179" s="55" t="e">
        <f ca="1">+MAX(PAA_4[[#This Row],[Comprometido Contrato]],PAA_4[[#This Row],[Comprometido Bolsa]])</f>
        <v>#NAME?</v>
      </c>
      <c r="AC2179" s="55" t="str">
        <f t="shared" ca="1" si="751"/>
        <v/>
      </c>
      <c r="AD2179" s="55" t="e">
        <f ca="1">IF(PAA_4[[#This Row],[ESTADO (formulado)]]="NO CONTRATADO",0,MAX(PAA_4[[#This Row],[Pago por Contrato]],PAA_4[[#This Row],[Pago por bolsa]]))</f>
        <v>#NAME?</v>
      </c>
      <c r="AE2179" s="55" t="str">
        <f t="shared" ca="1" si="752"/>
        <v/>
      </c>
      <c r="AF2179" s="47" t="e">
        <f t="shared" ca="1" si="753"/>
        <v>#NAME?</v>
      </c>
      <c r="AG2179" s="47">
        <f t="shared" si="754"/>
        <v>52010704</v>
      </c>
      <c r="AH2179" s="54">
        <f>IF(Q2179="22",IF(ISNUMBER(SEARCH("econ",PAA_4[[#This Row],[Actividad3]])),"Económico",IF(ISNUMBER(SEARCH("alim",PAA_4[[#This Row],[Actividad3]])),"Alimentación",IF(ISNUMBER(SEARCH("educ",PAA_4[[#This Row],[Actividad3]])),"Educativo","Técnico"))),0)</f>
        <v>0</v>
      </c>
      <c r="AI2179" s="47" t="e" cm="1">
        <f t="array" aca="1" ref="AI2179" ca="1">_xlfn.XLOOKUP(PAA_4[[#This Row],[RCP-RUBRO]],[2]!COMPROMISOS_2024[[#All],[concatenado]],[2]!COMPROMISOS_2024[[#All],[Total pagado]],"",0)</f>
        <v>#NAME?</v>
      </c>
      <c r="AJ2179" s="56">
        <f>IF(PAA_4[[#This Row],[BOLSA]]=0,0,SUMIFS([2]!COMPROMISOS_2024[[#All],[Total pagado]],[2]!COMPROMISOS_2024[[#All],[Bolsa]],PAA_4[[#This Row],[BOLSA]],[2]!COMPROMISOS_2024[[#All],[rubro]],PAA_4[[#This Row],[RCP-RUBRO]]))</f>
        <v>0</v>
      </c>
      <c r="AK2179" s="47" t="e" cm="1">
        <f t="array" aca="1" ref="AK2179" ca="1">_xlfn.XLOOKUP(PAA_4[[#This Row],[RCP-RUBRO]],[2]!COMPROMISOS_2024[[#All],[concatenado]],[2]!COMPROMISOS_2024[[#All],[Total Comprometido]],"",0)</f>
        <v>#NAME?</v>
      </c>
      <c r="AL2179" s="47">
        <f>IF(PAA_4[[#This Row],[BOLSA]]=0,0,SUMIFS([2]!COMPROMISOS_2024[[#All],[Total Comprometido]],[2]!COMPROMISOS_2024[[#All],[Bolsa]],PAA_4[[#This Row],[BOLSA]],[2]!COMPROMISOS_2024[[#All],[concatenado]],PAA_4[[#This Row],[RCP-RUBRO]]))</f>
        <v>0</v>
      </c>
    </row>
    <row r="2180" spans="1:38" s="19" customFormat="1" ht="31.5" customHeight="1">
      <c r="A2180" s="47" t="s">
        <v>82</v>
      </c>
      <c r="B2180" s="47" t="s">
        <v>42</v>
      </c>
      <c r="C2180" s="47" t="str">
        <f>VLOOKUP(PAA_4[[#This Row],[PROYECTO (formulado)2]],[2]PROYECTOS!$G$1:$L$32,6,0)</f>
        <v>SUBGERENCIA DE FOMENTO Y DESARROLLO</v>
      </c>
      <c r="D2180" s="47" t="str">
        <f>+IF(PAA_4[[#This Row],[UNIDAD DE CONTRATACION (formulado)]]="Subgerencia Administrativa y Financiera","FUNCIONAMIENTO","INVERSIÓN")</f>
        <v>INVERSIÓN</v>
      </c>
      <c r="E2180" s="48" t="str">
        <f>VLOOKUP(Q2180,[2]PROYECTOS!$G$1:$K$32,5,0)</f>
        <v>Capacitación para el sector del deporte, la recreación y la actividad física en el Departamento de   Antioquia</v>
      </c>
      <c r="F2180" s="48">
        <f>VLOOKUP(E2180,[2]PROYECTOS!$K$1:$M$32,3,0)</f>
        <v>2024003050072</v>
      </c>
      <c r="G2180" s="49" t="s">
        <v>2344</v>
      </c>
      <c r="H2180" s="49" t="str">
        <f>VLOOKUP(Q2180,[2]PROYECTOS!$V$1:$W$32,2,0)</f>
        <v>050072</v>
      </c>
      <c r="I2180" s="78">
        <v>2951640</v>
      </c>
      <c r="J2180" s="51" t="s">
        <v>1852</v>
      </c>
      <c r="K2180" s="47" t="str">
        <f t="shared" ca="1" si="748"/>
        <v>CONTRATADO</v>
      </c>
      <c r="L2180" s="47" t="s">
        <v>42</v>
      </c>
      <c r="M2180" s="51" t="s">
        <v>42</v>
      </c>
      <c r="N2180" s="52" t="s">
        <v>2346</v>
      </c>
      <c r="O2180" s="51" t="e">
        <f>VLOOKUP(N2180,[2]!RUBROS[#All],3,0)</f>
        <v>#REF!</v>
      </c>
      <c r="P2180" s="53" t="e">
        <f>VLOOKUP(N2180,[2]!RUBROS[#All],2,0)</f>
        <v>#REF!</v>
      </c>
      <c r="Q2180" s="47" t="str">
        <f t="shared" si="749"/>
        <v>72</v>
      </c>
      <c r="R2180" s="47" t="str">
        <f t="shared" si="750"/>
        <v>0-205128</v>
      </c>
      <c r="S2180" s="54" t="s">
        <v>42</v>
      </c>
      <c r="T2180" s="329" t="s">
        <v>42</v>
      </c>
      <c r="U2180" s="326" t="e">
        <f ca="1">_xlfn.XLOOKUP(PAA_4[[#This Row],[ITEM]],[2]Contrato!A:A,[2]Contrato!Q:Q,"",0)</f>
        <v>#NAME?</v>
      </c>
      <c r="V2180" s="54" t="s">
        <v>42</v>
      </c>
      <c r="W2180" s="54" t="s">
        <v>42</v>
      </c>
      <c r="X2180" s="54" t="s">
        <v>42</v>
      </c>
      <c r="Y2180" s="55" t="e">
        <f ca="1">_xlfn.XLOOKUP(PAA_4[[#This Row],[ITEM]],[2]Contrato!A:A,[2]Contrato!B:B,"",0)</f>
        <v>#NAME?</v>
      </c>
      <c r="Z2180" s="47" t="e">
        <f ca="1">_xlfn.XLOOKUP(PAA_4[[#This Row],[ITEM]],[2]Contrato!A:A,[2]Contrato!G:G,"",0)</f>
        <v>#NAME?</v>
      </c>
      <c r="AA2180" s="47" t="e">
        <f ca="1">_xlfn.XLOOKUP(PAA_4[[#This Row],[ITEM]],[2]Contrato!A:A,[2]Contrato!T:T,"",0)</f>
        <v>#NAME?</v>
      </c>
      <c r="AB2180" s="55" t="e">
        <f ca="1">+MAX(PAA_4[[#This Row],[Comprometido Contrato]],PAA_4[[#This Row],[Comprometido Bolsa]])</f>
        <v>#NAME?</v>
      </c>
      <c r="AC2180" s="55" t="str">
        <f t="shared" ca="1" si="751"/>
        <v/>
      </c>
      <c r="AD2180" s="55" t="e">
        <f ca="1">IF(PAA_4[[#This Row],[ESTADO (formulado)]]="NO CONTRATADO",0,MAX(PAA_4[[#This Row],[Pago por Contrato]],PAA_4[[#This Row],[Pago por bolsa]]))</f>
        <v>#NAME?</v>
      </c>
      <c r="AE2180" s="55" t="str">
        <f t="shared" ca="1" si="752"/>
        <v/>
      </c>
      <c r="AF2180" s="47" t="e">
        <f t="shared" ca="1" si="753"/>
        <v>#NAME?</v>
      </c>
      <c r="AG2180" s="47">
        <f t="shared" si="754"/>
        <v>52010704</v>
      </c>
      <c r="AH2180" s="54">
        <f>IF(Q2180="22",IF(ISNUMBER(SEARCH("econ",PAA_4[[#This Row],[Actividad3]])),"Económico",IF(ISNUMBER(SEARCH("alim",PAA_4[[#This Row],[Actividad3]])),"Alimentación",IF(ISNUMBER(SEARCH("educ",PAA_4[[#This Row],[Actividad3]])),"Educativo","Técnico"))),0)</f>
        <v>0</v>
      </c>
      <c r="AI2180" s="47" t="e" cm="1">
        <f t="array" aca="1" ref="AI2180" ca="1">_xlfn.XLOOKUP(PAA_4[[#This Row],[RCP-RUBRO]],[2]!COMPROMISOS_2024[[#All],[concatenado]],[2]!COMPROMISOS_2024[[#All],[Total pagado]],"",0)</f>
        <v>#NAME?</v>
      </c>
      <c r="AJ2180" s="56">
        <f>IF(PAA_4[[#This Row],[BOLSA]]=0,0,SUMIFS([2]!COMPROMISOS_2024[[#All],[Total pagado]],[2]!COMPROMISOS_2024[[#All],[Bolsa]],PAA_4[[#This Row],[BOLSA]],[2]!COMPROMISOS_2024[[#All],[rubro]],PAA_4[[#This Row],[RCP-RUBRO]]))</f>
        <v>0</v>
      </c>
      <c r="AK2180" s="47" t="e" cm="1">
        <f t="array" aca="1" ref="AK2180" ca="1">_xlfn.XLOOKUP(PAA_4[[#This Row],[RCP-RUBRO]],[2]!COMPROMISOS_2024[[#All],[concatenado]],[2]!COMPROMISOS_2024[[#All],[Total Comprometido]],"",0)</f>
        <v>#NAME?</v>
      </c>
      <c r="AL2180" s="47">
        <f>IF(PAA_4[[#This Row],[BOLSA]]=0,0,SUMIFS([2]!COMPROMISOS_2024[[#All],[Total Comprometido]],[2]!COMPROMISOS_2024[[#All],[Bolsa]],PAA_4[[#This Row],[BOLSA]],[2]!COMPROMISOS_2024[[#All],[concatenado]],PAA_4[[#This Row],[RCP-RUBRO]]))</f>
        <v>0</v>
      </c>
    </row>
    <row r="2181" spans="1:38" s="19" customFormat="1" ht="31.5" customHeight="1">
      <c r="A2181" s="47">
        <v>1230</v>
      </c>
      <c r="B2181" s="47">
        <v>86111602</v>
      </c>
      <c r="C2181" s="47" t="str">
        <f>VLOOKUP(PAA_4[[#This Row],[PROYECTO (formulado)2]],[2]PROYECTOS!$G$1:$L$32,6,0)</f>
        <v>SUBGERENCIA DE FOMENTO Y DESARROLLO</v>
      </c>
      <c r="D2181" s="47" t="str">
        <f>+IF(PAA_4[[#This Row],[UNIDAD DE CONTRATACION (formulado)]]="Subgerencia Administrativa y Financiera","FUNCIONAMIENTO","INVERSIÓN")</f>
        <v>INVERSIÓN</v>
      </c>
      <c r="E2181" s="48" t="str">
        <f>VLOOKUP(Q2181,[2]PROYECTOS!$G$1:$K$32,5,0)</f>
        <v>Capacitación para el sector del deporte, la recreación y la actividad física en el Departamento de   Antioquia</v>
      </c>
      <c r="F2181" s="48">
        <f>VLOOKUP(E2181,[2]PROYECTOS!$K$1:$M$32,3,0)</f>
        <v>2024003050072</v>
      </c>
      <c r="G2181" s="49" t="s">
        <v>2344</v>
      </c>
      <c r="H2181" s="49" t="str">
        <f>VLOOKUP(Q2181,[2]PROYECTOS!$V$1:$W$32,2,0)</f>
        <v>050072</v>
      </c>
      <c r="I2181" s="78">
        <f>69958224-2951640</f>
        <v>67006584</v>
      </c>
      <c r="J2181" s="51" t="s">
        <v>2364</v>
      </c>
      <c r="K2181" s="47" t="str">
        <f t="shared" ca="1" si="748"/>
        <v>CONTRATADO</v>
      </c>
      <c r="L2181" s="47" t="s">
        <v>94</v>
      </c>
      <c r="M2181" s="51" t="s">
        <v>89</v>
      </c>
      <c r="N2181" s="52" t="s">
        <v>2346</v>
      </c>
      <c r="O2181" s="51" t="e">
        <f>VLOOKUP(N2181,[2]!RUBROS[#All],3,0)</f>
        <v>#REF!</v>
      </c>
      <c r="P2181" s="53" t="e">
        <f>VLOOKUP(N2181,[2]!RUBROS[#All],2,0)</f>
        <v>#REF!</v>
      </c>
      <c r="Q2181" s="47" t="str">
        <f t="shared" si="749"/>
        <v>72</v>
      </c>
      <c r="R2181" s="47" t="str">
        <f t="shared" si="750"/>
        <v>0-205128</v>
      </c>
      <c r="S2181" s="54">
        <v>75</v>
      </c>
      <c r="T2181" s="63" t="s">
        <v>120</v>
      </c>
      <c r="U2181" s="326" t="e">
        <f ca="1">_xlfn.XLOOKUP(PAA_4[[#This Row],[ITEM]],[2]Contrato!A:A,[2]Contrato!Q:Q,"",0)</f>
        <v>#NAME?</v>
      </c>
      <c r="V2181" s="47" t="s">
        <v>95</v>
      </c>
      <c r="W2181" s="47" t="s">
        <v>204</v>
      </c>
      <c r="X2181" s="47" t="s">
        <v>204</v>
      </c>
      <c r="Y2181" s="55" t="e">
        <f ca="1">_xlfn.XLOOKUP(PAA_4[[#This Row],[ITEM]],[2]Contrato!A:A,[2]Contrato!B:B,"",0)</f>
        <v>#NAME?</v>
      </c>
      <c r="Z2181" s="47" t="e">
        <f ca="1">_xlfn.XLOOKUP(PAA_4[[#This Row],[ITEM]],[2]Contrato!A:A,[2]Contrato!G:G,"",0)</f>
        <v>#NAME?</v>
      </c>
      <c r="AA2181" s="47" t="e">
        <f ca="1">_xlfn.XLOOKUP(PAA_4[[#This Row],[ITEM]],[2]Contrato!A:A,[2]Contrato!T:T,"",0)</f>
        <v>#NAME?</v>
      </c>
      <c r="AB2181" s="55" t="e">
        <f ca="1">+MAX(PAA_4[[#This Row],[Comprometido Contrato]],PAA_4[[#This Row],[Comprometido Bolsa]])</f>
        <v>#NAME?</v>
      </c>
      <c r="AC2181" s="55" t="str">
        <f t="shared" ca="1" si="751"/>
        <v/>
      </c>
      <c r="AD2181" s="55" t="e">
        <f ca="1">IF(PAA_4[[#This Row],[ESTADO (formulado)]]="NO CONTRATADO",0,MAX(PAA_4[[#This Row],[Pago por Contrato]],PAA_4[[#This Row],[Pago por bolsa]]))</f>
        <v>#NAME?</v>
      </c>
      <c r="AE2181" s="55" t="str">
        <f t="shared" ca="1" si="752"/>
        <v/>
      </c>
      <c r="AF2181" s="47" t="e">
        <f t="shared" ca="1" si="753"/>
        <v>#NAME?</v>
      </c>
      <c r="AG2181" s="47">
        <f t="shared" si="754"/>
        <v>52010704</v>
      </c>
      <c r="AH2181" s="54">
        <f>IF(Q2181="22",IF(ISNUMBER(SEARCH("econ",PAA_4[[#This Row],[Actividad3]])),"Económico",IF(ISNUMBER(SEARCH("alim",PAA_4[[#This Row],[Actividad3]])),"Alimentación",IF(ISNUMBER(SEARCH("educ",PAA_4[[#This Row],[Actividad3]])),"Educativo","Técnico"))),0)</f>
        <v>0</v>
      </c>
      <c r="AI2181" s="47" t="e" cm="1">
        <f t="array" aca="1" ref="AI2181" ca="1">_xlfn.XLOOKUP(PAA_4[[#This Row],[RCP-RUBRO]],[2]!COMPROMISOS_2024[[#All],[concatenado]],[2]!COMPROMISOS_2024[[#All],[Total pagado]],"",0)</f>
        <v>#NAME?</v>
      </c>
      <c r="AJ2181" s="56">
        <f>IF(PAA_4[[#This Row],[BOLSA]]=0,0,SUMIFS([2]!COMPROMISOS_2024[[#All],[Total pagado]],[2]!COMPROMISOS_2024[[#All],[Bolsa]],PAA_4[[#This Row],[BOLSA]],[2]!COMPROMISOS_2024[[#All],[rubro]],PAA_4[[#This Row],[RCP-RUBRO]]))</f>
        <v>0</v>
      </c>
      <c r="AK2181" s="47" t="e" cm="1">
        <f t="array" aca="1" ref="AK2181" ca="1">_xlfn.XLOOKUP(PAA_4[[#This Row],[RCP-RUBRO]],[2]!COMPROMISOS_2024[[#All],[concatenado]],[2]!COMPROMISOS_2024[[#All],[Total Comprometido]],"",0)</f>
        <v>#NAME?</v>
      </c>
      <c r="AL2181" s="47">
        <f>IF(PAA_4[[#This Row],[BOLSA]]=0,0,SUMIFS([2]!COMPROMISOS_2024[[#All],[Total Comprometido]],[2]!COMPROMISOS_2024[[#All],[Bolsa]],PAA_4[[#This Row],[BOLSA]],[2]!COMPROMISOS_2024[[#All],[concatenado]],PAA_4[[#This Row],[RCP-RUBRO]]))</f>
        <v>0</v>
      </c>
    </row>
    <row r="2182" spans="1:38" s="19" customFormat="1" ht="31.5" customHeight="1">
      <c r="A2182" s="47">
        <v>1235</v>
      </c>
      <c r="B2182" s="47">
        <v>86111602</v>
      </c>
      <c r="C2182" s="47" t="str">
        <f>VLOOKUP(PAA_4[[#This Row],[PROYECTO (formulado)2]],[2]PROYECTOS!$G$1:$L$32,6,0)</f>
        <v>SUBGERENCIA DE FOMENTO Y DESARROLLO</v>
      </c>
      <c r="D2182" s="47" t="str">
        <f>+IF(PAA_4[[#This Row],[UNIDAD DE CONTRATACION (formulado)]]="Subgerencia Administrativa y Financiera","FUNCIONAMIENTO","INVERSIÓN")</f>
        <v>INVERSIÓN</v>
      </c>
      <c r="E2182" s="48" t="str">
        <f>VLOOKUP(Q2182,[2]PROYECTOS!$G$1:$K$32,5,0)</f>
        <v>Capacitación para el sector del deporte, la recreación y la actividad física en el Departamento de   Antioquia</v>
      </c>
      <c r="F2182" s="48">
        <f>VLOOKUP(E2182,[2]PROYECTOS!$K$1:$M$32,3,0)</f>
        <v>2024003050072</v>
      </c>
      <c r="G2182" s="49" t="s">
        <v>2344</v>
      </c>
      <c r="H2182" s="49" t="str">
        <f>VLOOKUP(Q2182,[2]PROYECTOS!$V$1:$W$32,2,0)</f>
        <v>050072</v>
      </c>
      <c r="I2182" s="78">
        <v>14000000</v>
      </c>
      <c r="J2182" s="51" t="s">
        <v>2365</v>
      </c>
      <c r="K2182" s="47" t="str">
        <f t="shared" ca="1" si="748"/>
        <v>CONTRATADO</v>
      </c>
      <c r="L2182" s="47" t="s">
        <v>94</v>
      </c>
      <c r="M2182" s="51" t="s">
        <v>89</v>
      </c>
      <c r="N2182" s="52" t="s">
        <v>2346</v>
      </c>
      <c r="O2182" s="51" t="e">
        <f>VLOOKUP(N2182,[2]!RUBROS[#All],3,0)</f>
        <v>#REF!</v>
      </c>
      <c r="P2182" s="53" t="e">
        <f>VLOOKUP(N2182,[2]!RUBROS[#All],2,0)</f>
        <v>#REF!</v>
      </c>
      <c r="Q2182" s="47" t="str">
        <f t="shared" si="749"/>
        <v>72</v>
      </c>
      <c r="R2182" s="47" t="str">
        <f t="shared" si="750"/>
        <v>0-205128</v>
      </c>
      <c r="S2182" s="54">
        <v>2.5</v>
      </c>
      <c r="T2182" s="63" t="s">
        <v>46</v>
      </c>
      <c r="U2182" s="326" t="e">
        <f ca="1">_xlfn.XLOOKUP(PAA_4[[#This Row],[ITEM]],[2]Contrato!A:A,[2]Contrato!Q:Q,"",0)</f>
        <v>#NAME?</v>
      </c>
      <c r="V2182" s="47" t="s">
        <v>95</v>
      </c>
      <c r="W2182" s="47" t="s">
        <v>204</v>
      </c>
      <c r="X2182" s="47" t="s">
        <v>204</v>
      </c>
      <c r="Y2182" s="55" t="e">
        <f ca="1">_xlfn.XLOOKUP(PAA_4[[#This Row],[ITEM]],[2]Contrato!A:A,[2]Contrato!B:B,"",0)</f>
        <v>#NAME?</v>
      </c>
      <c r="Z2182" s="47" t="e">
        <f ca="1">_xlfn.XLOOKUP(PAA_4[[#This Row],[ITEM]],[2]Contrato!A:A,[2]Contrato!G:G,"",0)</f>
        <v>#NAME?</v>
      </c>
      <c r="AA2182" s="47" t="e">
        <f ca="1">_xlfn.XLOOKUP(PAA_4[[#This Row],[ITEM]],[2]Contrato!A:A,[2]Contrato!T:T,"",0)</f>
        <v>#NAME?</v>
      </c>
      <c r="AB2182" s="55" t="e">
        <f ca="1">+MAX(PAA_4[[#This Row],[Comprometido Contrato]],PAA_4[[#This Row],[Comprometido Bolsa]])</f>
        <v>#NAME?</v>
      </c>
      <c r="AC2182" s="55" t="str">
        <f t="shared" ca="1" si="751"/>
        <v/>
      </c>
      <c r="AD2182" s="55" t="e">
        <f ca="1">IF(PAA_4[[#This Row],[ESTADO (formulado)]]="NO CONTRATADO",0,MAX(PAA_4[[#This Row],[Pago por Contrato]],PAA_4[[#This Row],[Pago por bolsa]]))</f>
        <v>#NAME?</v>
      </c>
      <c r="AE2182" s="55" t="str">
        <f t="shared" ca="1" si="752"/>
        <v/>
      </c>
      <c r="AF2182" s="47" t="e">
        <f t="shared" ca="1" si="753"/>
        <v>#NAME?</v>
      </c>
      <c r="AG2182" s="47">
        <f t="shared" si="754"/>
        <v>52010704</v>
      </c>
      <c r="AH2182" s="54">
        <f>IF(Q2182="22",IF(ISNUMBER(SEARCH("econ",PAA_4[[#This Row],[Actividad3]])),"Económico",IF(ISNUMBER(SEARCH("alim",PAA_4[[#This Row],[Actividad3]])),"Alimentación",IF(ISNUMBER(SEARCH("educ",PAA_4[[#This Row],[Actividad3]])),"Educativo","Técnico"))),0)</f>
        <v>0</v>
      </c>
      <c r="AI2182" s="47" t="e" cm="1">
        <f t="array" aca="1" ref="AI2182" ca="1">_xlfn.XLOOKUP(PAA_4[[#This Row],[RCP-RUBRO]],[2]!COMPROMISOS_2024[[#All],[concatenado]],[2]!COMPROMISOS_2024[[#All],[Total pagado]],"",0)</f>
        <v>#NAME?</v>
      </c>
      <c r="AJ2182" s="56">
        <f>IF(PAA_4[[#This Row],[BOLSA]]=0,0,SUMIFS([2]!COMPROMISOS_2024[[#All],[Total pagado]],[2]!COMPROMISOS_2024[[#All],[Bolsa]],PAA_4[[#This Row],[BOLSA]],[2]!COMPROMISOS_2024[[#All],[rubro]],PAA_4[[#This Row],[RCP-RUBRO]]))</f>
        <v>0</v>
      </c>
      <c r="AK2182" s="47" t="e" cm="1">
        <f t="array" aca="1" ref="AK2182" ca="1">_xlfn.XLOOKUP(PAA_4[[#This Row],[RCP-RUBRO]],[2]!COMPROMISOS_2024[[#All],[concatenado]],[2]!COMPROMISOS_2024[[#All],[Total Comprometido]],"",0)</f>
        <v>#NAME?</v>
      </c>
      <c r="AL2182" s="47">
        <f>IF(PAA_4[[#This Row],[BOLSA]]=0,0,SUMIFS([2]!COMPROMISOS_2024[[#All],[Total Comprometido]],[2]!COMPROMISOS_2024[[#All],[Bolsa]],PAA_4[[#This Row],[BOLSA]],[2]!COMPROMISOS_2024[[#All],[concatenado]],PAA_4[[#This Row],[RCP-RUBRO]]))</f>
        <v>0</v>
      </c>
    </row>
    <row r="2183" spans="1:38" s="19" customFormat="1" ht="31.5" customHeight="1">
      <c r="A2183" s="47">
        <v>1311</v>
      </c>
      <c r="B2183" s="74">
        <v>86111602</v>
      </c>
      <c r="C2183" s="47" t="str">
        <f>VLOOKUP(PAA_4[[#This Row],[PROYECTO (formulado)2]],[2]PROYECTOS!$G$1:$L$32,6,0)</f>
        <v>SUBGERENCIA DE FOMENTO Y DESARROLLO</v>
      </c>
      <c r="D2183" s="47" t="str">
        <f>+IF(PAA_4[[#This Row],[UNIDAD DE CONTRATACION (formulado)]]="Subgerencia Administrativa y Financiera","FUNCIONAMIENTO","INVERSIÓN")</f>
        <v>INVERSIÓN</v>
      </c>
      <c r="E2183" s="48" t="str">
        <f>VLOOKUP(Q2183,[2]PROYECTOS!$G$1:$K$32,5,0)</f>
        <v>Capacitación para el sector del deporte, la recreación y la actividad física en el Departamento de   Antioquia</v>
      </c>
      <c r="F2183" s="48">
        <f>VLOOKUP(E2183,[2]PROYECTOS!$K$1:$M$32,3,0)</f>
        <v>2024003050072</v>
      </c>
      <c r="G2183" s="49" t="s">
        <v>2344</v>
      </c>
      <c r="H2183" s="49" t="str">
        <f>VLOOKUP(Q2183,[2]PROYECTOS!$V$1:$W$32,2,0)</f>
        <v>050072</v>
      </c>
      <c r="I2183" s="78">
        <v>22201000</v>
      </c>
      <c r="J2183" s="51" t="s">
        <v>2366</v>
      </c>
      <c r="K2183" s="47" t="str">
        <f t="shared" ca="1" si="748"/>
        <v>CONTRATADO</v>
      </c>
      <c r="L2183" s="47" t="s">
        <v>94</v>
      </c>
      <c r="M2183" s="51" t="s">
        <v>89</v>
      </c>
      <c r="N2183" s="52" t="s">
        <v>2346</v>
      </c>
      <c r="O2183" s="51" t="e">
        <f>VLOOKUP(N2183,[2]!RUBROS[#All],3,0)</f>
        <v>#REF!</v>
      </c>
      <c r="P2183" s="53" t="e">
        <f>VLOOKUP(N2183,[2]!RUBROS[#All],2,0)</f>
        <v>#REF!</v>
      </c>
      <c r="Q2183" s="47" t="str">
        <f t="shared" si="749"/>
        <v>72</v>
      </c>
      <c r="R2183" s="47" t="str">
        <f t="shared" si="750"/>
        <v>0-205128</v>
      </c>
      <c r="S2183" s="339">
        <v>1</v>
      </c>
      <c r="T2183" s="392" t="s">
        <v>2360</v>
      </c>
      <c r="U2183" s="326" t="e">
        <f ca="1">_xlfn.XLOOKUP(PAA_4[[#This Row],[ITEM]],[2]Contrato!A:A,[2]Contrato!Q:Q,"",0)</f>
        <v>#NAME?</v>
      </c>
      <c r="V2183" s="47" t="s">
        <v>95</v>
      </c>
      <c r="W2183" s="47" t="s">
        <v>200</v>
      </c>
      <c r="X2183" s="47" t="s">
        <v>200</v>
      </c>
      <c r="Y2183" s="55" t="e">
        <f ca="1">_xlfn.XLOOKUP(PAA_4[[#This Row],[ITEM]],[2]Contrato!A:A,[2]Contrato!B:B,"",0)</f>
        <v>#NAME?</v>
      </c>
      <c r="Z2183" s="47" t="e">
        <f ca="1">_xlfn.XLOOKUP(PAA_4[[#This Row],[ITEM]],[2]Contrato!A:A,[2]Contrato!G:G,"",0)</f>
        <v>#NAME?</v>
      </c>
      <c r="AA2183" s="47" t="e">
        <f ca="1">_xlfn.XLOOKUP(PAA_4[[#This Row],[ITEM]],[2]Contrato!A:A,[2]Contrato!T:T,"",0)</f>
        <v>#NAME?</v>
      </c>
      <c r="AB2183" s="55" t="e">
        <f ca="1">+MAX(PAA_4[[#This Row],[Comprometido Contrato]],PAA_4[[#This Row],[Comprometido Bolsa]])</f>
        <v>#NAME?</v>
      </c>
      <c r="AC2183" s="55" t="str">
        <f t="shared" ca="1" si="751"/>
        <v/>
      </c>
      <c r="AD2183" s="55" t="e">
        <f ca="1">IF(PAA_4[[#This Row],[ESTADO (formulado)]]="NO CONTRATADO",0,MAX(PAA_4[[#This Row],[Pago por Contrato]],PAA_4[[#This Row],[Pago por bolsa]]))</f>
        <v>#NAME?</v>
      </c>
      <c r="AE2183" s="55" t="str">
        <f t="shared" ca="1" si="752"/>
        <v/>
      </c>
      <c r="AF2183" s="47" t="e">
        <f t="shared" ca="1" si="753"/>
        <v>#NAME?</v>
      </c>
      <c r="AG2183" s="47">
        <f t="shared" si="754"/>
        <v>52010704</v>
      </c>
      <c r="AH2183" s="54">
        <f>IF(Q2183="22",IF(ISNUMBER(SEARCH("econ",PAA_4[[#This Row],[Actividad3]])),"Económico",IF(ISNUMBER(SEARCH("alim",PAA_4[[#This Row],[Actividad3]])),"Alimentación",IF(ISNUMBER(SEARCH("educ",PAA_4[[#This Row],[Actividad3]])),"Educativo","Técnico"))),0)</f>
        <v>0</v>
      </c>
      <c r="AI2183" s="47" t="e" cm="1">
        <f t="array" aca="1" ref="AI2183" ca="1">_xlfn.XLOOKUP(PAA_4[[#This Row],[RCP-RUBRO]],[2]!COMPROMISOS_2024[[#All],[concatenado]],[2]!COMPROMISOS_2024[[#All],[Total pagado]],"",0)</f>
        <v>#NAME?</v>
      </c>
      <c r="AJ2183" s="56">
        <f>IF(PAA_4[[#This Row],[BOLSA]]=0,0,SUMIFS([2]!COMPROMISOS_2024[[#All],[Total pagado]],[2]!COMPROMISOS_2024[[#All],[Bolsa]],PAA_4[[#This Row],[BOLSA]],[2]!COMPROMISOS_2024[[#All],[rubro]],PAA_4[[#This Row],[RCP-RUBRO]]))</f>
        <v>0</v>
      </c>
      <c r="AK2183" s="47" t="e" cm="1">
        <f t="array" aca="1" ref="AK2183" ca="1">_xlfn.XLOOKUP(PAA_4[[#This Row],[RCP-RUBRO]],[2]!COMPROMISOS_2024[[#All],[concatenado]],[2]!COMPROMISOS_2024[[#All],[Total Comprometido]],"",0)</f>
        <v>#NAME?</v>
      </c>
      <c r="AL2183" s="47">
        <f>IF(PAA_4[[#This Row],[BOLSA]]=0,0,SUMIFS([2]!COMPROMISOS_2024[[#All],[Total Comprometido]],[2]!COMPROMISOS_2024[[#All],[Bolsa]],PAA_4[[#This Row],[BOLSA]],[2]!COMPROMISOS_2024[[#All],[concatenado]],PAA_4[[#This Row],[RCP-RUBRO]]))</f>
        <v>0</v>
      </c>
    </row>
    <row r="2184" spans="1:38" s="19" customFormat="1" ht="31.5" customHeight="1">
      <c r="A2184" s="47">
        <v>1050</v>
      </c>
      <c r="B2184" s="47">
        <v>86111602</v>
      </c>
      <c r="C2184" s="47" t="str">
        <f>VLOOKUP(PAA_4[[#This Row],[PROYECTO (formulado)2]],[2]PROYECTOS!$G$1:$L$32,6,0)</f>
        <v>SUBGERENCIA DE FOMENTO Y DESARROLLO</v>
      </c>
      <c r="D2184" s="47" t="str">
        <f>+IF(PAA_4[[#This Row],[UNIDAD DE CONTRATACION (formulado)]]="Subgerencia Administrativa y Financiera","FUNCIONAMIENTO","INVERSIÓN")</f>
        <v>INVERSIÓN</v>
      </c>
      <c r="E2184" s="48" t="str">
        <f>VLOOKUP(Q2184,[2]PROYECTOS!$G$1:$K$32,5,0)</f>
        <v>Capacitación para el sector del deporte, la recreación y la actividad física en el Departamento de   Antioquia</v>
      </c>
      <c r="F2184" s="48">
        <f>VLOOKUP(E2184,[2]PROYECTOS!$K$1:$M$32,3,0)</f>
        <v>2024003050072</v>
      </c>
      <c r="G2184" s="49" t="s">
        <v>2344</v>
      </c>
      <c r="H2184" s="49" t="str">
        <f>VLOOKUP(Q2184,[2]PROYECTOS!$V$1:$W$32,2,0)</f>
        <v>050072</v>
      </c>
      <c r="I2184" s="78">
        <v>2799000</v>
      </c>
      <c r="J2184" s="51" t="s">
        <v>424</v>
      </c>
      <c r="K2184" s="47" t="str">
        <f t="shared" ca="1" si="748"/>
        <v>CONTRATADO</v>
      </c>
      <c r="L2184" s="47" t="s">
        <v>94</v>
      </c>
      <c r="M2184" s="47" t="s">
        <v>42</v>
      </c>
      <c r="N2184" s="52" t="s">
        <v>2346</v>
      </c>
      <c r="O2184" s="51" t="e">
        <f>VLOOKUP(N2184,[2]!RUBROS[#All],3,0)</f>
        <v>#REF!</v>
      </c>
      <c r="P2184" s="53" t="e">
        <f>VLOOKUP(N2184,[2]!RUBROS[#All],2,0)</f>
        <v>#REF!</v>
      </c>
      <c r="Q2184" s="47" t="str">
        <f t="shared" si="749"/>
        <v>72</v>
      </c>
      <c r="R2184" s="47" t="str">
        <f t="shared" si="750"/>
        <v>0-205128</v>
      </c>
      <c r="S2184" s="54">
        <v>4</v>
      </c>
      <c r="T2184" s="59" t="s">
        <v>46</v>
      </c>
      <c r="U2184" s="326" t="e">
        <f ca="1">_xlfn.XLOOKUP(PAA_4[[#This Row],[ITEM]],[2]Contrato!A:A,[2]Contrato!Q:Q,"",0)</f>
        <v>#NAME?</v>
      </c>
      <c r="V2184" s="47" t="s">
        <v>95</v>
      </c>
      <c r="W2184" s="47" t="s">
        <v>42</v>
      </c>
      <c r="X2184" s="47" t="s">
        <v>42</v>
      </c>
      <c r="Y2184" s="55" t="e">
        <f ca="1">_xlfn.XLOOKUP(PAA_4[[#This Row],[ITEM]],[2]Contrato!A:A,[2]Contrato!B:B,"",0)</f>
        <v>#NAME?</v>
      </c>
      <c r="Z2184" s="47" t="e">
        <f ca="1">_xlfn.XLOOKUP(PAA_4[[#This Row],[ITEM]],[2]Contrato!A:A,[2]Contrato!G:G,"",0)</f>
        <v>#NAME?</v>
      </c>
      <c r="AA2184" s="47" t="e">
        <f ca="1">_xlfn.XLOOKUP(PAA_4[[#This Row],[ITEM]],[2]Contrato!A:A,[2]Contrato!T:T,"",0)</f>
        <v>#NAME?</v>
      </c>
      <c r="AB2184" s="55" t="e">
        <f ca="1">+MAX(PAA_4[[#This Row],[Comprometido Contrato]],PAA_4[[#This Row],[Comprometido Bolsa]])</f>
        <v>#NAME?</v>
      </c>
      <c r="AC2184" s="55" t="str">
        <f t="shared" ca="1" si="751"/>
        <v/>
      </c>
      <c r="AD2184" s="55" t="e">
        <f ca="1">IF(PAA_4[[#This Row],[ESTADO (formulado)]]="NO CONTRATADO",0,MAX(PAA_4[[#This Row],[Pago por Contrato]],PAA_4[[#This Row],[Pago por bolsa]]))</f>
        <v>#NAME?</v>
      </c>
      <c r="AE2184" s="55" t="str">
        <f t="shared" ca="1" si="752"/>
        <v/>
      </c>
      <c r="AF2184" s="47" t="e">
        <f t="shared" ca="1" si="753"/>
        <v>#NAME?</v>
      </c>
      <c r="AG2184" s="47">
        <f t="shared" si="754"/>
        <v>52010704</v>
      </c>
      <c r="AH2184" s="54">
        <f>IF(Q2184="22",IF(ISNUMBER(SEARCH("econ",PAA_4[[#This Row],[Actividad3]])),"Económico",IF(ISNUMBER(SEARCH("alim",PAA_4[[#This Row],[Actividad3]])),"Alimentación",IF(ISNUMBER(SEARCH("educ",PAA_4[[#This Row],[Actividad3]])),"Educativo","Técnico"))),0)</f>
        <v>0</v>
      </c>
      <c r="AI2184" s="47" t="e" cm="1">
        <f t="array" aca="1" ref="AI2184" ca="1">_xlfn.XLOOKUP(PAA_4[[#This Row],[RCP-RUBRO]],[2]!COMPROMISOS_2024[[#All],[concatenado]],[2]!COMPROMISOS_2024[[#All],[Total pagado]],"",0)</f>
        <v>#NAME?</v>
      </c>
      <c r="AJ2184" s="56">
        <f>IF(PAA_4[[#This Row],[BOLSA]]=0,0,SUMIFS([2]!COMPROMISOS_2024[[#All],[Total pagado]],[2]!COMPROMISOS_2024[[#All],[Bolsa]],PAA_4[[#This Row],[BOLSA]],[2]!COMPROMISOS_2024[[#All],[rubro]],PAA_4[[#This Row],[RCP-RUBRO]]))</f>
        <v>0</v>
      </c>
      <c r="AK2184" s="47" t="e" cm="1">
        <f t="array" aca="1" ref="AK2184" ca="1">_xlfn.XLOOKUP(PAA_4[[#This Row],[RCP-RUBRO]],[2]!COMPROMISOS_2024[[#All],[concatenado]],[2]!COMPROMISOS_2024[[#All],[Total Comprometido]],"",0)</f>
        <v>#NAME?</v>
      </c>
      <c r="AL2184" s="47">
        <f>IF(PAA_4[[#This Row],[BOLSA]]=0,0,SUMIFS([2]!COMPROMISOS_2024[[#All],[Total Comprometido]],[2]!COMPROMISOS_2024[[#All],[Bolsa]],PAA_4[[#This Row],[BOLSA]],[2]!COMPROMISOS_2024[[#All],[concatenado]],PAA_4[[#This Row],[RCP-RUBRO]]))</f>
        <v>0</v>
      </c>
    </row>
    <row r="2185" spans="1:38" s="19" customFormat="1" ht="31.5" customHeight="1">
      <c r="A2185" s="47">
        <v>1051</v>
      </c>
      <c r="B2185" s="47">
        <v>80111600</v>
      </c>
      <c r="C2185" s="47" t="str">
        <f>VLOOKUP(PAA_4[[#This Row],[PROYECTO (formulado)2]],[2]PROYECTOS!$G$1:$L$32,6,0)</f>
        <v>SUBGERENCIA DE FOMENTO Y DESARROLLO</v>
      </c>
      <c r="D2185" s="47" t="str">
        <f>+IF(PAA_4[[#This Row],[UNIDAD DE CONTRATACION (formulado)]]="Subgerencia Administrativa y Financiera","FUNCIONAMIENTO","INVERSIÓN")</f>
        <v>INVERSIÓN</v>
      </c>
      <c r="E2185" s="48" t="str">
        <f>VLOOKUP(Q2185,[2]PROYECTOS!$G$1:$K$32,5,0)</f>
        <v>Capacitación para el sector del deporte, la recreación y la actividad física en el Departamento de   Antioquia</v>
      </c>
      <c r="F2185" s="48">
        <f>VLOOKUP(E2185,[2]PROYECTOS!$K$1:$M$32,3,0)</f>
        <v>2024003050072</v>
      </c>
      <c r="G2185" s="49" t="s">
        <v>2350</v>
      </c>
      <c r="H2185" s="49" t="str">
        <f>VLOOKUP(Q2185,[2]PROYECTOS!$V$1:$W$32,2,0)</f>
        <v>050072</v>
      </c>
      <c r="I2185" s="78">
        <v>0</v>
      </c>
      <c r="J2185" s="51" t="s">
        <v>42</v>
      </c>
      <c r="K2185" s="47" t="str">
        <f t="shared" ca="1" si="748"/>
        <v>CONTRATADO</v>
      </c>
      <c r="L2185" s="47" t="s">
        <v>94</v>
      </c>
      <c r="M2185" s="47" t="s">
        <v>42</v>
      </c>
      <c r="N2185" s="52" t="s">
        <v>2351</v>
      </c>
      <c r="O2185" s="51" t="e">
        <f>VLOOKUP(N2185,[2]!RUBROS[#All],3,0)</f>
        <v>#REF!</v>
      </c>
      <c r="P2185" s="53" t="e">
        <f>VLOOKUP(N2185,[2]!RUBROS[#All],2,0)</f>
        <v>#REF!</v>
      </c>
      <c r="Q2185" s="47" t="str">
        <f t="shared" si="749"/>
        <v>72</v>
      </c>
      <c r="R2185" s="47" t="str">
        <f t="shared" si="750"/>
        <v>0-205128</v>
      </c>
      <c r="S2185" s="54">
        <v>4.5</v>
      </c>
      <c r="T2185" s="59" t="s">
        <v>46</v>
      </c>
      <c r="U2185" s="326" t="e">
        <f ca="1">_xlfn.XLOOKUP(PAA_4[[#This Row],[ITEM]],[2]Contrato!A:A,[2]Contrato!Q:Q,"",0)</f>
        <v>#NAME?</v>
      </c>
      <c r="V2185" s="47" t="s">
        <v>95</v>
      </c>
      <c r="W2185" s="47" t="s">
        <v>42</v>
      </c>
      <c r="X2185" s="47" t="s">
        <v>42</v>
      </c>
      <c r="Y2185" s="55" t="e">
        <f ca="1">_xlfn.XLOOKUP(PAA_4[[#This Row],[ITEM]],[2]Contrato!A:A,[2]Contrato!B:B,"",0)</f>
        <v>#NAME?</v>
      </c>
      <c r="Z2185" s="47" t="e">
        <f ca="1">_xlfn.XLOOKUP(PAA_4[[#This Row],[ITEM]],[2]Contrato!A:A,[2]Contrato!G:G,"",0)</f>
        <v>#NAME?</v>
      </c>
      <c r="AA2185" s="47" t="e">
        <f ca="1">_xlfn.XLOOKUP(PAA_4[[#This Row],[ITEM]],[2]Contrato!A:A,[2]Contrato!T:T,"",0)</f>
        <v>#NAME?</v>
      </c>
      <c r="AB2185" s="55" t="e">
        <f ca="1">+MAX(PAA_4[[#This Row],[Comprometido Contrato]],PAA_4[[#This Row],[Comprometido Bolsa]])</f>
        <v>#NAME?</v>
      </c>
      <c r="AC2185" s="55" t="str">
        <f t="shared" ca="1" si="751"/>
        <v/>
      </c>
      <c r="AD2185" s="55" t="e">
        <f ca="1">IF(PAA_4[[#This Row],[ESTADO (formulado)]]="NO CONTRATADO",0,MAX(PAA_4[[#This Row],[Pago por Contrato]],PAA_4[[#This Row],[Pago por bolsa]]))</f>
        <v>#NAME?</v>
      </c>
      <c r="AE2185" s="55" t="str">
        <f t="shared" ca="1" si="752"/>
        <v/>
      </c>
      <c r="AF2185" s="47" t="e">
        <f t="shared" ca="1" si="753"/>
        <v>#NAME?</v>
      </c>
      <c r="AG2185" s="47">
        <f t="shared" si="754"/>
        <v>52010704</v>
      </c>
      <c r="AH2185" s="54">
        <f>IF(Q2185="22",IF(ISNUMBER(SEARCH("econ",PAA_4[[#This Row],[Actividad3]])),"Económico",IF(ISNUMBER(SEARCH("alim",PAA_4[[#This Row],[Actividad3]])),"Alimentación",IF(ISNUMBER(SEARCH("educ",PAA_4[[#This Row],[Actividad3]])),"Educativo","Técnico"))),0)</f>
        <v>0</v>
      </c>
      <c r="AI2185" s="47" t="e" cm="1">
        <f t="array" aca="1" ref="AI2185" ca="1">_xlfn.XLOOKUP(PAA_4[[#This Row],[RCP-RUBRO]],[2]!COMPROMISOS_2024[[#All],[concatenado]],[2]!COMPROMISOS_2024[[#All],[Total pagado]],"",0)</f>
        <v>#NAME?</v>
      </c>
      <c r="AJ2185" s="56">
        <f>IF(PAA_4[[#This Row],[BOLSA]]=0,0,SUMIFS([2]!COMPROMISOS_2024[[#All],[Total pagado]],[2]!COMPROMISOS_2024[[#All],[Bolsa]],PAA_4[[#This Row],[BOLSA]],[2]!COMPROMISOS_2024[[#All],[rubro]],PAA_4[[#This Row],[RCP-RUBRO]]))</f>
        <v>0</v>
      </c>
      <c r="AK2185" s="47" t="e" cm="1">
        <f t="array" aca="1" ref="AK2185" ca="1">_xlfn.XLOOKUP(PAA_4[[#This Row],[RCP-RUBRO]],[2]!COMPROMISOS_2024[[#All],[concatenado]],[2]!COMPROMISOS_2024[[#All],[Total Comprometido]],"",0)</f>
        <v>#NAME?</v>
      </c>
      <c r="AL2185" s="47">
        <f>IF(PAA_4[[#This Row],[BOLSA]]=0,0,SUMIFS([2]!COMPROMISOS_2024[[#All],[Total Comprometido]],[2]!COMPROMISOS_2024[[#All],[Bolsa]],PAA_4[[#This Row],[BOLSA]],[2]!COMPROMISOS_2024[[#All],[concatenado]],PAA_4[[#This Row],[RCP-RUBRO]]))</f>
        <v>0</v>
      </c>
    </row>
    <row r="2186" spans="1:38" s="19" customFormat="1" ht="31.5" customHeight="1">
      <c r="A2186" s="47">
        <v>1131</v>
      </c>
      <c r="B2186" s="51" t="s">
        <v>393</v>
      </c>
      <c r="C2186" s="47" t="str">
        <f>VLOOKUP(PAA_4[[#This Row],[PROYECTO (formulado)2]],[2]PROYECTOS!$G$1:$L$32,6,0)</f>
        <v>SUBGERENCIA DE FOMENTO Y DESARROLLO</v>
      </c>
      <c r="D2186" s="47" t="str">
        <f>+IF(PAA_4[[#This Row],[UNIDAD DE CONTRATACION (formulado)]]="Subgerencia Administrativa y Financiera","FUNCIONAMIENTO","INVERSIÓN")</f>
        <v>INVERSIÓN</v>
      </c>
      <c r="E2186" s="48" t="str">
        <f>VLOOKUP(Q2186,[2]PROYECTOS!$G$1:$K$32,5,0)</f>
        <v>Fortalecimiento de los juegos deportivos institucionales en los municipios del departamento de Antioquia</v>
      </c>
      <c r="F2186" s="48">
        <f>VLOOKUP(E2186,[2]PROYECTOS!$K$1:$M$32,3,0)</f>
        <v>2024003050073</v>
      </c>
      <c r="G2186" s="49" t="s">
        <v>2323</v>
      </c>
      <c r="H2186" s="49" t="str">
        <f>VLOOKUP(Q2186,[2]PROYECTOS!$V$1:$W$32,2,0)</f>
        <v>050081</v>
      </c>
      <c r="I2186" s="78">
        <v>49686508</v>
      </c>
      <c r="J2186" s="51" t="s">
        <v>2367</v>
      </c>
      <c r="K2186" s="47" t="str">
        <f t="shared" ca="1" si="748"/>
        <v>CONTRATADO</v>
      </c>
      <c r="L2186" s="47" t="s">
        <v>94</v>
      </c>
      <c r="M2186" s="47" t="s">
        <v>255</v>
      </c>
      <c r="N2186" s="52" t="s">
        <v>2325</v>
      </c>
      <c r="O2186" s="51" t="e">
        <f>VLOOKUP(N2186,[2]!RUBROS[#All],3,0)</f>
        <v>#REF!</v>
      </c>
      <c r="P2186" s="53" t="e">
        <f>VLOOKUP(N2186,[2]!RUBROS[#All],2,0)</f>
        <v>#REF!</v>
      </c>
      <c r="Q2186" s="47" t="str">
        <f t="shared" si="749"/>
        <v>73</v>
      </c>
      <c r="R2186" s="47" t="str">
        <f t="shared" si="750"/>
        <v>0-205400</v>
      </c>
      <c r="S2186" s="54">
        <v>4</v>
      </c>
      <c r="T2186" s="63" t="s">
        <v>46</v>
      </c>
      <c r="U2186" s="326" t="e">
        <f ca="1">_xlfn.XLOOKUP(PAA_4[[#This Row],[ITEM]],[2]Contrato!A:A,[2]Contrato!Q:Q,"",0)</f>
        <v>#NAME?</v>
      </c>
      <c r="V2186" s="47" t="s">
        <v>95</v>
      </c>
      <c r="W2186" s="47" t="s">
        <v>203</v>
      </c>
      <c r="X2186" s="47" t="s">
        <v>203</v>
      </c>
      <c r="Y2186" s="55" t="e">
        <f ca="1">_xlfn.XLOOKUP(PAA_4[[#This Row],[ITEM]],[2]Contrato!A:A,[2]Contrato!B:B,"",0)</f>
        <v>#NAME?</v>
      </c>
      <c r="Z2186" s="47" t="e">
        <f ca="1">_xlfn.XLOOKUP(PAA_4[[#This Row],[ITEM]],[2]Contrato!A:A,[2]Contrato!G:G,"",0)</f>
        <v>#NAME?</v>
      </c>
      <c r="AA2186" s="47" t="e">
        <f ca="1">_xlfn.XLOOKUP(PAA_4[[#This Row],[ITEM]],[2]Contrato!A:A,[2]Contrato!T:T,"",0)</f>
        <v>#NAME?</v>
      </c>
      <c r="AB2186" s="55" t="e">
        <f ca="1">+MAX(PAA_4[[#This Row],[Comprometido Contrato]],PAA_4[[#This Row],[Comprometido Bolsa]])</f>
        <v>#NAME?</v>
      </c>
      <c r="AC2186" s="55" t="str">
        <f t="shared" ca="1" si="751"/>
        <v/>
      </c>
      <c r="AD2186" s="55" t="e">
        <f ca="1">IF(PAA_4[[#This Row],[ESTADO (formulado)]]="NO CONTRATADO",0,MAX(PAA_4[[#This Row],[Pago por Contrato]],PAA_4[[#This Row],[Pago por bolsa]]))</f>
        <v>#NAME?</v>
      </c>
      <c r="AE2186" s="55" t="str">
        <f t="shared" ca="1" si="752"/>
        <v/>
      </c>
      <c r="AF2186" s="47" t="e">
        <f t="shared" ca="1" si="753"/>
        <v>#NAME?</v>
      </c>
      <c r="AG2186" s="47">
        <f t="shared" si="754"/>
        <v>52010703</v>
      </c>
      <c r="AH2186" s="54">
        <f>IF(Q2186="22",IF(ISNUMBER(SEARCH("econ",PAA_4[[#This Row],[Actividad3]])),"Económico",IF(ISNUMBER(SEARCH("alim",PAA_4[[#This Row],[Actividad3]])),"Alimentación",IF(ISNUMBER(SEARCH("educ",PAA_4[[#This Row],[Actividad3]])),"Educativo","Técnico"))),0)</f>
        <v>0</v>
      </c>
      <c r="AI2186" s="47" t="e" cm="1">
        <f t="array" aca="1" ref="AI2186" ca="1">_xlfn.XLOOKUP(PAA_4[[#This Row],[RCP-RUBRO]],[2]!COMPROMISOS_2024[[#All],[concatenado]],[2]!COMPROMISOS_2024[[#All],[Total pagado]],"",0)</f>
        <v>#NAME?</v>
      </c>
      <c r="AJ2186" s="56">
        <f>IF(PAA_4[[#This Row],[BOLSA]]=0,0,SUMIFS([2]!COMPROMISOS_2024[[#All],[Total pagado]],[2]!COMPROMISOS_2024[[#All],[Bolsa]],PAA_4[[#This Row],[BOLSA]],[2]!COMPROMISOS_2024[[#All],[rubro]],PAA_4[[#This Row],[RCP-RUBRO]]))</f>
        <v>0</v>
      </c>
      <c r="AK2186" s="47" t="e" cm="1">
        <f t="array" aca="1" ref="AK2186" ca="1">_xlfn.XLOOKUP(PAA_4[[#This Row],[RCP-RUBRO]],[2]!COMPROMISOS_2024[[#All],[concatenado]],[2]!COMPROMISOS_2024[[#All],[Total Comprometido]],"",0)</f>
        <v>#NAME?</v>
      </c>
      <c r="AL2186" s="47">
        <f>IF(PAA_4[[#This Row],[BOLSA]]=0,0,SUMIFS([2]!COMPROMISOS_2024[[#All],[Total Comprometido]],[2]!COMPROMISOS_2024[[#All],[Bolsa]],PAA_4[[#This Row],[BOLSA]],[2]!COMPROMISOS_2024[[#All],[concatenado]],PAA_4[[#This Row],[RCP-RUBRO]]))</f>
        <v>0</v>
      </c>
    </row>
    <row r="2187" spans="1:38" s="19" customFormat="1" ht="31.5" customHeight="1">
      <c r="A2187" s="47">
        <v>1131</v>
      </c>
      <c r="B2187" s="51" t="s">
        <v>393</v>
      </c>
      <c r="C2187" s="47" t="str">
        <f>VLOOKUP(PAA_4[[#This Row],[PROYECTO (formulado)2]],[2]PROYECTOS!$G$1:$L$32,6,0)</f>
        <v>SUBGERENCIA DE FOMENTO Y DESARROLLO</v>
      </c>
      <c r="D2187" s="47" t="str">
        <f>+IF(PAA_4[[#This Row],[UNIDAD DE CONTRATACION (formulado)]]="Subgerencia Administrativa y Financiera","FUNCIONAMIENTO","INVERSIÓN")</f>
        <v>INVERSIÓN</v>
      </c>
      <c r="E2187" s="48" t="str">
        <f>VLOOKUP(Q2187,[2]PROYECTOS!$G$1:$K$32,5,0)</f>
        <v>Fortalecimiento de los juegos deportivos institucionales en los municipios del departamento de Antioquia</v>
      </c>
      <c r="F2187" s="48">
        <f>VLOOKUP(E2187,[2]PROYECTOS!$K$1:$M$32,3,0)</f>
        <v>2024003050073</v>
      </c>
      <c r="G2187" s="49" t="s">
        <v>2323</v>
      </c>
      <c r="H2187" s="49" t="str">
        <f>VLOOKUP(Q2187,[2]PROYECTOS!$V$1:$W$32,2,0)</f>
        <v>050081</v>
      </c>
      <c r="I2187" s="78">
        <v>1735800</v>
      </c>
      <c r="J2187" s="51" t="s">
        <v>2368</v>
      </c>
      <c r="K2187" s="47" t="str">
        <f t="shared" ca="1" si="748"/>
        <v>CONTRATADO</v>
      </c>
      <c r="L2187" s="47" t="s">
        <v>94</v>
      </c>
      <c r="M2187" s="47" t="s">
        <v>255</v>
      </c>
      <c r="N2187" s="52" t="s">
        <v>1362</v>
      </c>
      <c r="O2187" s="51" t="e">
        <f>VLOOKUP(N2187,[2]!RUBROS[#All],3,0)</f>
        <v>#REF!</v>
      </c>
      <c r="P2187" s="53" t="e">
        <f>VLOOKUP(N2187,[2]!RUBROS[#All],2,0)</f>
        <v>#REF!</v>
      </c>
      <c r="Q2187" s="47" t="str">
        <f t="shared" si="749"/>
        <v>73</v>
      </c>
      <c r="R2187" s="47" t="str">
        <f t="shared" si="750"/>
        <v>0-101024</v>
      </c>
      <c r="S2187" s="54">
        <v>4</v>
      </c>
      <c r="T2187" s="63" t="s">
        <v>46</v>
      </c>
      <c r="U2187" s="326" t="e">
        <f ca="1">_xlfn.XLOOKUP(PAA_4[[#This Row],[ITEM]],[2]Contrato!A:A,[2]Contrato!Q:Q,"",0)</f>
        <v>#NAME?</v>
      </c>
      <c r="V2187" s="47" t="s">
        <v>95</v>
      </c>
      <c r="W2187" s="47" t="s">
        <v>203</v>
      </c>
      <c r="X2187" s="47" t="s">
        <v>203</v>
      </c>
      <c r="Y2187" s="55" t="e">
        <f ca="1">_xlfn.XLOOKUP(PAA_4[[#This Row],[ITEM]],[2]Contrato!A:A,[2]Contrato!B:B,"",0)</f>
        <v>#NAME?</v>
      </c>
      <c r="Z2187" s="47" t="e">
        <f ca="1">_xlfn.XLOOKUP(PAA_4[[#This Row],[ITEM]],[2]Contrato!A:A,[2]Contrato!G:G,"",0)</f>
        <v>#NAME?</v>
      </c>
      <c r="AA2187" s="47" t="e">
        <f ca="1">_xlfn.XLOOKUP(PAA_4[[#This Row],[ITEM]],[2]Contrato!A:A,[2]Contrato!T:T,"",0)</f>
        <v>#NAME?</v>
      </c>
      <c r="AB2187" s="55" t="e">
        <f ca="1">+MAX(PAA_4[[#This Row],[Comprometido Contrato]],PAA_4[[#This Row],[Comprometido Bolsa]])</f>
        <v>#NAME?</v>
      </c>
      <c r="AC2187" s="55" t="str">
        <f t="shared" ca="1" si="751"/>
        <v/>
      </c>
      <c r="AD2187" s="55" t="e">
        <f ca="1">IF(PAA_4[[#This Row],[ESTADO (formulado)]]="NO CONTRATADO",0,MAX(PAA_4[[#This Row],[Pago por Contrato]],PAA_4[[#This Row],[Pago por bolsa]]))</f>
        <v>#NAME?</v>
      </c>
      <c r="AE2187" s="55" t="str">
        <f t="shared" ca="1" si="752"/>
        <v/>
      </c>
      <c r="AF2187" s="47" t="e">
        <f t="shared" ca="1" si="753"/>
        <v>#NAME?</v>
      </c>
      <c r="AG2187" s="47">
        <f t="shared" si="754"/>
        <v>52010703</v>
      </c>
      <c r="AH2187" s="54">
        <f>IF(Q2187="22",IF(ISNUMBER(SEARCH("econ",PAA_4[[#This Row],[Actividad3]])),"Económico",IF(ISNUMBER(SEARCH("alim",PAA_4[[#This Row],[Actividad3]])),"Alimentación",IF(ISNUMBER(SEARCH("educ",PAA_4[[#This Row],[Actividad3]])),"Educativo","Técnico"))),0)</f>
        <v>0</v>
      </c>
      <c r="AI2187" s="47" t="e" cm="1">
        <f t="array" aca="1" ref="AI2187" ca="1">_xlfn.XLOOKUP(PAA_4[[#This Row],[RCP-RUBRO]],[2]!COMPROMISOS_2024[[#All],[concatenado]],[2]!COMPROMISOS_2024[[#All],[Total pagado]],"",0)</f>
        <v>#NAME?</v>
      </c>
      <c r="AJ2187" s="56">
        <f>IF(PAA_4[[#This Row],[BOLSA]]=0,0,SUMIFS([2]!COMPROMISOS_2024[[#All],[Total pagado]],[2]!COMPROMISOS_2024[[#All],[Bolsa]],PAA_4[[#This Row],[BOLSA]],[2]!COMPROMISOS_2024[[#All],[rubro]],PAA_4[[#This Row],[RCP-RUBRO]]))</f>
        <v>0</v>
      </c>
      <c r="AK2187" s="47" t="e" cm="1">
        <f t="array" aca="1" ref="AK2187" ca="1">_xlfn.XLOOKUP(PAA_4[[#This Row],[RCP-RUBRO]],[2]!COMPROMISOS_2024[[#All],[concatenado]],[2]!COMPROMISOS_2024[[#All],[Total Comprometido]],"",0)</f>
        <v>#NAME?</v>
      </c>
      <c r="AL2187" s="47">
        <f>IF(PAA_4[[#This Row],[BOLSA]]=0,0,SUMIFS([2]!COMPROMISOS_2024[[#All],[Total Comprometido]],[2]!COMPROMISOS_2024[[#All],[Bolsa]],PAA_4[[#This Row],[BOLSA]],[2]!COMPROMISOS_2024[[#All],[concatenado]],PAA_4[[#This Row],[RCP-RUBRO]]))</f>
        <v>0</v>
      </c>
    </row>
    <row r="2188" spans="1:38" s="19" customFormat="1" ht="31.5" customHeight="1">
      <c r="A2188" s="47">
        <v>1132</v>
      </c>
      <c r="B2188" s="51" t="s">
        <v>393</v>
      </c>
      <c r="C2188" s="47" t="str">
        <f>VLOOKUP(PAA_4[[#This Row],[PROYECTO (formulado)2]],[2]PROYECTOS!$G$1:$L$32,6,0)</f>
        <v>SUBGERENCIA DE FOMENTO Y DESARROLLO</v>
      </c>
      <c r="D2188" s="47" t="str">
        <f>+IF(PAA_4[[#This Row],[UNIDAD DE CONTRATACION (formulado)]]="Subgerencia Administrativa y Financiera","FUNCIONAMIENTO","INVERSIÓN")</f>
        <v>INVERSIÓN</v>
      </c>
      <c r="E2188" s="48" t="str">
        <f>VLOOKUP(Q2188,[2]PROYECTOS!$G$1:$K$32,5,0)</f>
        <v>Fortalecimiento de los juegos deportivos institucionales en los municipios del departamento de Antioquia</v>
      </c>
      <c r="F2188" s="48">
        <f>VLOOKUP(E2188,[2]PROYECTOS!$K$1:$M$32,3,0)</f>
        <v>2024003050073</v>
      </c>
      <c r="G2188" s="49" t="s">
        <v>2323</v>
      </c>
      <c r="H2188" s="49" t="str">
        <f>VLOOKUP(Q2188,[2]PROYECTOS!$V$1:$W$32,2,0)</f>
        <v>050081</v>
      </c>
      <c r="I2188" s="78">
        <v>21195758</v>
      </c>
      <c r="J2188" s="51" t="s">
        <v>2369</v>
      </c>
      <c r="K2188" s="47" t="str">
        <f t="shared" ca="1" si="748"/>
        <v>CONTRATADO</v>
      </c>
      <c r="L2188" s="47" t="s">
        <v>94</v>
      </c>
      <c r="M2188" s="47" t="s">
        <v>255</v>
      </c>
      <c r="N2188" s="52" t="s">
        <v>2325</v>
      </c>
      <c r="O2188" s="51" t="e">
        <f>VLOOKUP(N2188,[2]!RUBROS[#All],3,0)</f>
        <v>#REF!</v>
      </c>
      <c r="P2188" s="53" t="e">
        <f>VLOOKUP(N2188,[2]!RUBROS[#All],2,0)</f>
        <v>#REF!</v>
      </c>
      <c r="Q2188" s="47" t="str">
        <f t="shared" si="749"/>
        <v>73</v>
      </c>
      <c r="R2188" s="47" t="str">
        <f t="shared" si="750"/>
        <v>0-205400</v>
      </c>
      <c r="S2188" s="54">
        <v>4</v>
      </c>
      <c r="T2188" s="63" t="s">
        <v>46</v>
      </c>
      <c r="U2188" s="326" t="e">
        <f ca="1">_xlfn.XLOOKUP(PAA_4[[#This Row],[ITEM]],[2]Contrato!A:A,[2]Contrato!Q:Q,"",0)</f>
        <v>#NAME?</v>
      </c>
      <c r="V2188" s="47" t="s">
        <v>95</v>
      </c>
      <c r="W2188" s="47" t="s">
        <v>203</v>
      </c>
      <c r="X2188" s="47" t="s">
        <v>203</v>
      </c>
      <c r="Y2188" s="55" t="e">
        <f ca="1">_xlfn.XLOOKUP(PAA_4[[#This Row],[ITEM]],[2]Contrato!A:A,[2]Contrato!B:B,"",0)</f>
        <v>#NAME?</v>
      </c>
      <c r="Z2188" s="47" t="e">
        <f ca="1">_xlfn.XLOOKUP(PAA_4[[#This Row],[ITEM]],[2]Contrato!A:A,[2]Contrato!G:G,"",0)</f>
        <v>#NAME?</v>
      </c>
      <c r="AA2188" s="47" t="e">
        <f ca="1">_xlfn.XLOOKUP(PAA_4[[#This Row],[ITEM]],[2]Contrato!A:A,[2]Contrato!T:T,"",0)</f>
        <v>#NAME?</v>
      </c>
      <c r="AB2188" s="55" t="e">
        <f ca="1">+MAX(PAA_4[[#This Row],[Comprometido Contrato]],PAA_4[[#This Row],[Comprometido Bolsa]])</f>
        <v>#NAME?</v>
      </c>
      <c r="AC2188" s="55" t="str">
        <f t="shared" ca="1" si="751"/>
        <v/>
      </c>
      <c r="AD2188" s="55" t="e">
        <f ca="1">IF(PAA_4[[#This Row],[ESTADO (formulado)]]="NO CONTRATADO",0,MAX(PAA_4[[#This Row],[Pago por Contrato]],PAA_4[[#This Row],[Pago por bolsa]]))</f>
        <v>#NAME?</v>
      </c>
      <c r="AE2188" s="55" t="str">
        <f t="shared" ca="1" si="752"/>
        <v/>
      </c>
      <c r="AF2188" s="47" t="e">
        <f t="shared" ca="1" si="753"/>
        <v>#NAME?</v>
      </c>
      <c r="AG2188" s="47">
        <f t="shared" si="754"/>
        <v>52010703</v>
      </c>
      <c r="AH2188" s="54">
        <f>IF(Q2188="22",IF(ISNUMBER(SEARCH("econ",PAA_4[[#This Row],[Actividad3]])),"Económico",IF(ISNUMBER(SEARCH("alim",PAA_4[[#This Row],[Actividad3]])),"Alimentación",IF(ISNUMBER(SEARCH("educ",PAA_4[[#This Row],[Actividad3]])),"Educativo","Técnico"))),0)</f>
        <v>0</v>
      </c>
      <c r="AI2188" s="47" t="e" cm="1">
        <f t="array" aca="1" ref="AI2188" ca="1">_xlfn.XLOOKUP(PAA_4[[#This Row],[RCP-RUBRO]],[2]!COMPROMISOS_2024[[#All],[concatenado]],[2]!COMPROMISOS_2024[[#All],[Total pagado]],"",0)</f>
        <v>#NAME?</v>
      </c>
      <c r="AJ2188" s="56">
        <f>IF(PAA_4[[#This Row],[BOLSA]]=0,0,SUMIFS([2]!COMPROMISOS_2024[[#All],[Total pagado]],[2]!COMPROMISOS_2024[[#All],[Bolsa]],PAA_4[[#This Row],[BOLSA]],[2]!COMPROMISOS_2024[[#All],[rubro]],PAA_4[[#This Row],[RCP-RUBRO]]))</f>
        <v>0</v>
      </c>
      <c r="AK2188" s="47" t="e" cm="1">
        <f t="array" aca="1" ref="AK2188" ca="1">_xlfn.XLOOKUP(PAA_4[[#This Row],[RCP-RUBRO]],[2]!COMPROMISOS_2024[[#All],[concatenado]],[2]!COMPROMISOS_2024[[#All],[Total Comprometido]],"",0)</f>
        <v>#NAME?</v>
      </c>
      <c r="AL2188" s="47">
        <f>IF(PAA_4[[#This Row],[BOLSA]]=0,0,SUMIFS([2]!COMPROMISOS_2024[[#All],[Total Comprometido]],[2]!COMPROMISOS_2024[[#All],[Bolsa]],PAA_4[[#This Row],[BOLSA]],[2]!COMPROMISOS_2024[[#All],[concatenado]],PAA_4[[#This Row],[RCP-RUBRO]]))</f>
        <v>0</v>
      </c>
    </row>
    <row r="2189" spans="1:38" s="19" customFormat="1" ht="31.5" customHeight="1">
      <c r="A2189" s="47">
        <v>1132</v>
      </c>
      <c r="B2189" s="51" t="s">
        <v>393</v>
      </c>
      <c r="C2189" s="47" t="str">
        <f>VLOOKUP(PAA_4[[#This Row],[PROYECTO (formulado)2]],[2]PROYECTOS!$G$1:$L$32,6,0)</f>
        <v>SUBGERENCIA DE FOMENTO Y DESARROLLO</v>
      </c>
      <c r="D2189" s="47" t="str">
        <f>+IF(PAA_4[[#This Row],[UNIDAD DE CONTRATACION (formulado)]]="Subgerencia Administrativa y Financiera","FUNCIONAMIENTO","INVERSIÓN")</f>
        <v>INVERSIÓN</v>
      </c>
      <c r="E2189" s="48" t="str">
        <f>VLOOKUP(Q2189,[2]PROYECTOS!$G$1:$K$32,5,0)</f>
        <v>Fortalecimiento de los juegos deportivos institucionales en los municipios del departamento de Antioquia</v>
      </c>
      <c r="F2189" s="48">
        <f>VLOOKUP(E2189,[2]PROYECTOS!$K$1:$M$32,3,0)</f>
        <v>2024003050073</v>
      </c>
      <c r="G2189" s="49" t="s">
        <v>2323</v>
      </c>
      <c r="H2189" s="49" t="str">
        <f>VLOOKUP(Q2189,[2]PROYECTOS!$V$1:$W$32,2,0)</f>
        <v>050081</v>
      </c>
      <c r="I2189" s="78">
        <v>13995961</v>
      </c>
      <c r="J2189" s="51" t="s">
        <v>2370</v>
      </c>
      <c r="K2189" s="47" t="str">
        <f t="shared" ca="1" si="748"/>
        <v>CONTRATADO</v>
      </c>
      <c r="L2189" s="47" t="s">
        <v>94</v>
      </c>
      <c r="M2189" s="47" t="s">
        <v>255</v>
      </c>
      <c r="N2189" s="52" t="s">
        <v>1362</v>
      </c>
      <c r="O2189" s="51" t="e">
        <f>VLOOKUP(N2189,[2]!RUBROS[#All],3,0)</f>
        <v>#REF!</v>
      </c>
      <c r="P2189" s="53" t="e">
        <f>VLOOKUP(N2189,[2]!RUBROS[#All],2,0)</f>
        <v>#REF!</v>
      </c>
      <c r="Q2189" s="47" t="str">
        <f t="shared" si="749"/>
        <v>73</v>
      </c>
      <c r="R2189" s="47" t="str">
        <f t="shared" si="750"/>
        <v>0-101024</v>
      </c>
      <c r="S2189" s="54">
        <v>4</v>
      </c>
      <c r="T2189" s="63" t="s">
        <v>46</v>
      </c>
      <c r="U2189" s="326" t="e">
        <f ca="1">_xlfn.XLOOKUP(PAA_4[[#This Row],[ITEM]],[2]Contrato!A:A,[2]Contrato!Q:Q,"",0)</f>
        <v>#NAME?</v>
      </c>
      <c r="V2189" s="47" t="s">
        <v>95</v>
      </c>
      <c r="W2189" s="47" t="s">
        <v>203</v>
      </c>
      <c r="X2189" s="47" t="s">
        <v>203</v>
      </c>
      <c r="Y2189" s="55" t="e">
        <f ca="1">_xlfn.XLOOKUP(PAA_4[[#This Row],[ITEM]],[2]Contrato!A:A,[2]Contrato!B:B,"",0)</f>
        <v>#NAME?</v>
      </c>
      <c r="Z2189" s="47" t="e">
        <f ca="1">_xlfn.XLOOKUP(PAA_4[[#This Row],[ITEM]],[2]Contrato!A:A,[2]Contrato!G:G,"",0)</f>
        <v>#NAME?</v>
      </c>
      <c r="AA2189" s="47" t="e">
        <f ca="1">_xlfn.XLOOKUP(PAA_4[[#This Row],[ITEM]],[2]Contrato!A:A,[2]Contrato!T:T,"",0)</f>
        <v>#NAME?</v>
      </c>
      <c r="AB2189" s="55" t="e">
        <f ca="1">+MAX(PAA_4[[#This Row],[Comprometido Contrato]],PAA_4[[#This Row],[Comprometido Bolsa]])</f>
        <v>#NAME?</v>
      </c>
      <c r="AC2189" s="55" t="str">
        <f t="shared" ca="1" si="751"/>
        <v/>
      </c>
      <c r="AD2189" s="55" t="e">
        <f ca="1">IF(PAA_4[[#This Row],[ESTADO (formulado)]]="NO CONTRATADO",0,MAX(PAA_4[[#This Row],[Pago por Contrato]],PAA_4[[#This Row],[Pago por bolsa]]))</f>
        <v>#NAME?</v>
      </c>
      <c r="AE2189" s="55" t="str">
        <f t="shared" ca="1" si="752"/>
        <v/>
      </c>
      <c r="AF2189" s="47" t="e">
        <f t="shared" ca="1" si="753"/>
        <v>#NAME?</v>
      </c>
      <c r="AG2189" s="47">
        <f t="shared" si="754"/>
        <v>52010703</v>
      </c>
      <c r="AH2189" s="54">
        <f>IF(Q2189="22",IF(ISNUMBER(SEARCH("econ",PAA_4[[#This Row],[Actividad3]])),"Económico",IF(ISNUMBER(SEARCH("alim",PAA_4[[#This Row],[Actividad3]])),"Alimentación",IF(ISNUMBER(SEARCH("educ",PAA_4[[#This Row],[Actividad3]])),"Educativo","Técnico"))),0)</f>
        <v>0</v>
      </c>
      <c r="AI2189" s="47" t="e" cm="1">
        <f t="array" aca="1" ref="AI2189" ca="1">_xlfn.XLOOKUP(PAA_4[[#This Row],[RCP-RUBRO]],[2]!COMPROMISOS_2024[[#All],[concatenado]],[2]!COMPROMISOS_2024[[#All],[Total pagado]],"",0)</f>
        <v>#NAME?</v>
      </c>
      <c r="AJ2189" s="56">
        <f>IF(PAA_4[[#This Row],[BOLSA]]=0,0,SUMIFS([2]!COMPROMISOS_2024[[#All],[Total pagado]],[2]!COMPROMISOS_2024[[#All],[Bolsa]],PAA_4[[#This Row],[BOLSA]],[2]!COMPROMISOS_2024[[#All],[rubro]],PAA_4[[#This Row],[RCP-RUBRO]]))</f>
        <v>0</v>
      </c>
      <c r="AK2189" s="47" t="e" cm="1">
        <f t="array" aca="1" ref="AK2189" ca="1">_xlfn.XLOOKUP(PAA_4[[#This Row],[RCP-RUBRO]],[2]!COMPROMISOS_2024[[#All],[concatenado]],[2]!COMPROMISOS_2024[[#All],[Total Comprometido]],"",0)</f>
        <v>#NAME?</v>
      </c>
      <c r="AL2189" s="47">
        <f>IF(PAA_4[[#This Row],[BOLSA]]=0,0,SUMIFS([2]!COMPROMISOS_2024[[#All],[Total Comprometido]],[2]!COMPROMISOS_2024[[#All],[Bolsa]],PAA_4[[#This Row],[BOLSA]],[2]!COMPROMISOS_2024[[#All],[concatenado]],PAA_4[[#This Row],[RCP-RUBRO]]))</f>
        <v>0</v>
      </c>
    </row>
    <row r="2190" spans="1:38" s="19" customFormat="1" ht="31.5" customHeight="1">
      <c r="A2190" s="47">
        <v>1133</v>
      </c>
      <c r="B2190" s="47">
        <v>80111600</v>
      </c>
      <c r="C2190" s="47" t="str">
        <f>VLOOKUP(PAA_4[[#This Row],[PROYECTO (formulado)2]],[2]PROYECTOS!$G$1:$L$32,6,0)</f>
        <v>SUBGERENCIA DE FOMENTO Y DESARROLLO</v>
      </c>
      <c r="D2190" s="47" t="str">
        <f>+IF(PAA_4[[#This Row],[UNIDAD DE CONTRATACION (formulado)]]="Subgerencia Administrativa y Financiera","FUNCIONAMIENTO","INVERSIÓN")</f>
        <v>INVERSIÓN</v>
      </c>
      <c r="E2190" s="48" t="str">
        <f>VLOOKUP(Q2190,[2]PROYECTOS!$G$1:$K$32,5,0)</f>
        <v>Capacitación para el sector del deporte, la recreación y la actividad física en el Departamento de   Antioquia</v>
      </c>
      <c r="F2190" s="48">
        <f>VLOOKUP(E2190,[2]PROYECTOS!$K$1:$M$32,3,0)</f>
        <v>2024003050072</v>
      </c>
      <c r="G2190" s="49" t="s">
        <v>2371</v>
      </c>
      <c r="H2190" s="49" t="str">
        <f>VLOOKUP(Q2190,[2]PROYECTOS!$V$1:$W$32,2,0)</f>
        <v>050072</v>
      </c>
      <c r="I2190" s="78">
        <v>19757126</v>
      </c>
      <c r="J2190" s="51" t="s">
        <v>2372</v>
      </c>
      <c r="K2190" s="47" t="str">
        <f t="shared" ca="1" si="748"/>
        <v>CONTRATADO</v>
      </c>
      <c r="L2190" s="47" t="s">
        <v>94</v>
      </c>
      <c r="M2190" s="47" t="s">
        <v>1297</v>
      </c>
      <c r="N2190" s="52" t="s">
        <v>2346</v>
      </c>
      <c r="O2190" s="51" t="e">
        <f>VLOOKUP(N2190,[2]!RUBROS[#All],3,0)</f>
        <v>#REF!</v>
      </c>
      <c r="P2190" s="53" t="e">
        <f>VLOOKUP(N2190,[2]!RUBROS[#All],2,0)</f>
        <v>#REF!</v>
      </c>
      <c r="Q2190" s="47" t="str">
        <f t="shared" si="749"/>
        <v>72</v>
      </c>
      <c r="R2190" s="47" t="str">
        <f t="shared" si="750"/>
        <v>0-205128</v>
      </c>
      <c r="S2190" s="54">
        <v>2.5</v>
      </c>
      <c r="T2190" s="63" t="s">
        <v>46</v>
      </c>
      <c r="U2190" s="326" t="e">
        <f ca="1">_xlfn.XLOOKUP(PAA_4[[#This Row],[ITEM]],[2]Contrato!A:A,[2]Contrato!Q:Q,"",0)</f>
        <v>#NAME?</v>
      </c>
      <c r="V2190" s="47" t="s">
        <v>95</v>
      </c>
      <c r="W2190" s="47" t="s">
        <v>203</v>
      </c>
      <c r="X2190" s="47" t="s">
        <v>203</v>
      </c>
      <c r="Y2190" s="55" t="e">
        <f ca="1">_xlfn.XLOOKUP(PAA_4[[#This Row],[ITEM]],[2]Contrato!A:A,[2]Contrato!B:B,"",0)</f>
        <v>#NAME?</v>
      </c>
      <c r="Z2190" s="47" t="e">
        <f ca="1">_xlfn.XLOOKUP(PAA_4[[#This Row],[ITEM]],[2]Contrato!A:A,[2]Contrato!G:G,"",0)</f>
        <v>#NAME?</v>
      </c>
      <c r="AA2190" s="47" t="e">
        <f ca="1">_xlfn.XLOOKUP(PAA_4[[#This Row],[ITEM]],[2]Contrato!A:A,[2]Contrato!T:T,"",0)</f>
        <v>#NAME?</v>
      </c>
      <c r="AB2190" s="55" t="e">
        <f ca="1">+MAX(PAA_4[[#This Row],[Comprometido Contrato]],PAA_4[[#This Row],[Comprometido Bolsa]])</f>
        <v>#NAME?</v>
      </c>
      <c r="AC2190" s="55" t="str">
        <f t="shared" ca="1" si="751"/>
        <v/>
      </c>
      <c r="AD2190" s="55" t="e">
        <f ca="1">IF(PAA_4[[#This Row],[ESTADO (formulado)]]="NO CONTRATADO",0,MAX(PAA_4[[#This Row],[Pago por Contrato]],PAA_4[[#This Row],[Pago por bolsa]]))</f>
        <v>#NAME?</v>
      </c>
      <c r="AE2190" s="55" t="str">
        <f t="shared" ca="1" si="752"/>
        <v/>
      </c>
      <c r="AF2190" s="47" t="e">
        <f t="shared" ca="1" si="753"/>
        <v>#NAME?</v>
      </c>
      <c r="AG2190" s="47">
        <f t="shared" si="754"/>
        <v>52010704</v>
      </c>
      <c r="AH2190" s="54">
        <f>IF(Q2190="22",IF(ISNUMBER(SEARCH("econ",PAA_4[[#This Row],[Actividad3]])),"Económico",IF(ISNUMBER(SEARCH("alim",PAA_4[[#This Row],[Actividad3]])),"Alimentación",IF(ISNUMBER(SEARCH("educ",PAA_4[[#This Row],[Actividad3]])),"Educativo","Técnico"))),0)</f>
        <v>0</v>
      </c>
      <c r="AI2190" s="47" t="e" cm="1">
        <f t="array" aca="1" ref="AI2190" ca="1">_xlfn.XLOOKUP(PAA_4[[#This Row],[RCP-RUBRO]],[2]!COMPROMISOS_2024[[#All],[concatenado]],[2]!COMPROMISOS_2024[[#All],[Total pagado]],"",0)</f>
        <v>#NAME?</v>
      </c>
      <c r="AJ2190" s="56">
        <f>IF(PAA_4[[#This Row],[BOLSA]]=0,0,SUMIFS([2]!COMPROMISOS_2024[[#All],[Total pagado]],[2]!COMPROMISOS_2024[[#All],[Bolsa]],PAA_4[[#This Row],[BOLSA]],[2]!COMPROMISOS_2024[[#All],[rubro]],PAA_4[[#This Row],[RCP-RUBRO]]))</f>
        <v>0</v>
      </c>
      <c r="AK2190" s="47" t="e" cm="1">
        <f t="array" aca="1" ref="AK2190" ca="1">_xlfn.XLOOKUP(PAA_4[[#This Row],[RCP-RUBRO]],[2]!COMPROMISOS_2024[[#All],[concatenado]],[2]!COMPROMISOS_2024[[#All],[Total Comprometido]],"",0)</f>
        <v>#NAME?</v>
      </c>
      <c r="AL2190" s="47">
        <f>IF(PAA_4[[#This Row],[BOLSA]]=0,0,SUMIFS([2]!COMPROMISOS_2024[[#All],[Total Comprometido]],[2]!COMPROMISOS_2024[[#All],[Bolsa]],PAA_4[[#This Row],[BOLSA]],[2]!COMPROMISOS_2024[[#All],[concatenado]],PAA_4[[#This Row],[RCP-RUBRO]]))</f>
        <v>0</v>
      </c>
    </row>
    <row r="2191" spans="1:38" s="19" customFormat="1" ht="31.5" customHeight="1">
      <c r="A2191" s="47">
        <v>1052</v>
      </c>
      <c r="B2191" s="47">
        <v>80111600</v>
      </c>
      <c r="C2191" s="47" t="str">
        <f>VLOOKUP(PAA_4[[#This Row],[PROYECTO (formulado)2]],[2]PROYECTOS!$G$1:$L$32,6,0)</f>
        <v>SUBGERENCIA DE FOMENTO Y DESARROLLO</v>
      </c>
      <c r="D2191" s="47" t="str">
        <f>+IF(PAA_4[[#This Row],[UNIDAD DE CONTRATACION (formulado)]]="Subgerencia Administrativa y Financiera","FUNCIONAMIENTO","INVERSIÓN")</f>
        <v>INVERSIÓN</v>
      </c>
      <c r="E2191" s="48" t="str">
        <f>VLOOKUP(Q2191,[2]PROYECTOS!$G$1:$K$32,5,0)</f>
        <v>Capacitación para el sector del deporte, la recreación y la actividad física en el Departamento de   Antioquia</v>
      </c>
      <c r="F2191" s="48">
        <f>VLOOKUP(E2191,[2]PROYECTOS!$K$1:$M$32,3,0)</f>
        <v>2024003050072</v>
      </c>
      <c r="G2191" s="49" t="s">
        <v>2371</v>
      </c>
      <c r="H2191" s="49" t="str">
        <f>VLOOKUP(Q2191,[2]PROYECTOS!$V$1:$W$32,2,0)</f>
        <v>050072</v>
      </c>
      <c r="I2191" s="78">
        <v>0</v>
      </c>
      <c r="J2191" s="51" t="s">
        <v>42</v>
      </c>
      <c r="K2191" s="47" t="str">
        <f t="shared" ca="1" si="748"/>
        <v>CONTRATADO</v>
      </c>
      <c r="L2191" s="47" t="s">
        <v>94</v>
      </c>
      <c r="M2191" s="47" t="s">
        <v>42</v>
      </c>
      <c r="N2191" s="52" t="s">
        <v>2346</v>
      </c>
      <c r="O2191" s="51" t="e">
        <f>VLOOKUP(N2191,[2]!RUBROS[#All],3,0)</f>
        <v>#REF!</v>
      </c>
      <c r="P2191" s="53" t="e">
        <f>VLOOKUP(N2191,[2]!RUBROS[#All],2,0)</f>
        <v>#REF!</v>
      </c>
      <c r="Q2191" s="47" t="str">
        <f t="shared" si="749"/>
        <v>72</v>
      </c>
      <c r="R2191" s="47" t="str">
        <f t="shared" si="750"/>
        <v>0-205128</v>
      </c>
      <c r="S2191" s="54">
        <v>4.5</v>
      </c>
      <c r="T2191" s="59" t="s">
        <v>46</v>
      </c>
      <c r="U2191" s="326" t="e">
        <f ca="1">_xlfn.XLOOKUP(PAA_4[[#This Row],[ITEM]],[2]Contrato!A:A,[2]Contrato!Q:Q,"",0)</f>
        <v>#NAME?</v>
      </c>
      <c r="V2191" s="47" t="s">
        <v>95</v>
      </c>
      <c r="W2191" s="47" t="s">
        <v>42</v>
      </c>
      <c r="X2191" s="47" t="s">
        <v>42</v>
      </c>
      <c r="Y2191" s="55" t="e">
        <f ca="1">_xlfn.XLOOKUP(PAA_4[[#This Row],[ITEM]],[2]Contrato!A:A,[2]Contrato!B:B,"",0)</f>
        <v>#NAME?</v>
      </c>
      <c r="Z2191" s="47" t="e">
        <f ca="1">_xlfn.XLOOKUP(PAA_4[[#This Row],[ITEM]],[2]Contrato!A:A,[2]Contrato!G:G,"",0)</f>
        <v>#NAME?</v>
      </c>
      <c r="AA2191" s="47" t="e">
        <f ca="1">_xlfn.XLOOKUP(PAA_4[[#This Row],[ITEM]],[2]Contrato!A:A,[2]Contrato!T:T,"",0)</f>
        <v>#NAME?</v>
      </c>
      <c r="AB2191" s="55" t="e">
        <f ca="1">+MAX(PAA_4[[#This Row],[Comprometido Contrato]],PAA_4[[#This Row],[Comprometido Bolsa]])</f>
        <v>#NAME?</v>
      </c>
      <c r="AC2191" s="55" t="str">
        <f t="shared" ca="1" si="751"/>
        <v/>
      </c>
      <c r="AD2191" s="55" t="e">
        <f ca="1">IF(PAA_4[[#This Row],[ESTADO (formulado)]]="NO CONTRATADO",0,MAX(PAA_4[[#This Row],[Pago por Contrato]],PAA_4[[#This Row],[Pago por bolsa]]))</f>
        <v>#NAME?</v>
      </c>
      <c r="AE2191" s="55" t="str">
        <f t="shared" ca="1" si="752"/>
        <v/>
      </c>
      <c r="AF2191" s="47" t="e">
        <f t="shared" ca="1" si="753"/>
        <v>#NAME?</v>
      </c>
      <c r="AG2191" s="47">
        <f t="shared" si="754"/>
        <v>52010704</v>
      </c>
      <c r="AH2191" s="54">
        <f>IF(Q2191="22",IF(ISNUMBER(SEARCH("econ",PAA_4[[#This Row],[Actividad3]])),"Económico",IF(ISNUMBER(SEARCH("alim",PAA_4[[#This Row],[Actividad3]])),"Alimentación",IF(ISNUMBER(SEARCH("educ",PAA_4[[#This Row],[Actividad3]])),"Educativo","Técnico"))),0)</f>
        <v>0</v>
      </c>
      <c r="AI2191" s="47" t="e" cm="1">
        <f t="array" aca="1" ref="AI2191" ca="1">_xlfn.XLOOKUP(PAA_4[[#This Row],[RCP-RUBRO]],[2]!COMPROMISOS_2024[[#All],[concatenado]],[2]!COMPROMISOS_2024[[#All],[Total pagado]],"",0)</f>
        <v>#NAME?</v>
      </c>
      <c r="AJ2191" s="56">
        <f>IF(PAA_4[[#This Row],[BOLSA]]=0,0,SUMIFS([2]!COMPROMISOS_2024[[#All],[Total pagado]],[2]!COMPROMISOS_2024[[#All],[Bolsa]],PAA_4[[#This Row],[BOLSA]],[2]!COMPROMISOS_2024[[#All],[rubro]],PAA_4[[#This Row],[RCP-RUBRO]]))</f>
        <v>0</v>
      </c>
      <c r="AK2191" s="47" t="e" cm="1">
        <f t="array" aca="1" ref="AK2191" ca="1">_xlfn.XLOOKUP(PAA_4[[#This Row],[RCP-RUBRO]],[2]!COMPROMISOS_2024[[#All],[concatenado]],[2]!COMPROMISOS_2024[[#All],[Total Comprometido]],"",0)</f>
        <v>#NAME?</v>
      </c>
      <c r="AL2191" s="47">
        <f>IF(PAA_4[[#This Row],[BOLSA]]=0,0,SUMIFS([2]!COMPROMISOS_2024[[#All],[Total Comprometido]],[2]!COMPROMISOS_2024[[#All],[Bolsa]],PAA_4[[#This Row],[BOLSA]],[2]!COMPROMISOS_2024[[#All],[concatenado]],PAA_4[[#This Row],[RCP-RUBRO]]))</f>
        <v>0</v>
      </c>
    </row>
    <row r="2192" spans="1:38" s="19" customFormat="1" ht="31.5" customHeight="1">
      <c r="A2192" s="47">
        <v>1053</v>
      </c>
      <c r="B2192" s="47">
        <v>93141506</v>
      </c>
      <c r="C2192" s="47" t="str">
        <f>VLOOKUP(PAA_4[[#This Row],[PROYECTO (formulado)2]],[2]PROYECTOS!$G$1:$L$32,6,0)</f>
        <v>SUBGERENCIA DE FOMENTO Y DESARROLLO</v>
      </c>
      <c r="D2192" s="47" t="str">
        <f>+IF(PAA_4[[#This Row],[UNIDAD DE CONTRATACION (formulado)]]="Subgerencia Administrativa y Financiera","FUNCIONAMIENTO","INVERSIÓN")</f>
        <v>INVERSIÓN</v>
      </c>
      <c r="E2192" s="48" t="str">
        <f>VLOOKUP(Q2192,[2]PROYECTOS!$G$1:$K$32,5,0)</f>
        <v>Asesoria y acompañamiento institucional para el deporte formativo, la recreación y la actividad física en el departamento de Antioquia</v>
      </c>
      <c r="F2192" s="48">
        <f>VLOOKUP(E2192,[2]PROYECTOS!$K$1:$M$32,3,0)</f>
        <v>2024003050100</v>
      </c>
      <c r="G2192" s="49" t="s">
        <v>2373</v>
      </c>
      <c r="H2192" s="49" t="str">
        <f>VLOOKUP(Q2192,[2]PROYECTOS!$V$1:$W$32,2,0)</f>
        <v>050071</v>
      </c>
      <c r="I2192" s="78">
        <v>1458212499</v>
      </c>
      <c r="J2192" s="51" t="s">
        <v>2374</v>
      </c>
      <c r="K2192" s="47" t="str">
        <f t="shared" ca="1" si="748"/>
        <v>CONTRATADO</v>
      </c>
      <c r="L2192" s="47" t="s">
        <v>1236</v>
      </c>
      <c r="M2192" s="47" t="s">
        <v>1236</v>
      </c>
      <c r="N2192" s="52" t="s">
        <v>2375</v>
      </c>
      <c r="O2192" s="51" t="e">
        <f>VLOOKUP(N2192,[2]!RUBROS[#All],3,0)</f>
        <v>#REF!</v>
      </c>
      <c r="P2192" s="53" t="e">
        <f>VLOOKUP(N2192,[2]!RUBROS[#All],2,0)</f>
        <v>#REF!</v>
      </c>
      <c r="Q2192" s="47" t="str">
        <f t="shared" si="749"/>
        <v>10</v>
      </c>
      <c r="R2192" s="47" t="str">
        <f t="shared" si="750"/>
        <v>4-205617</v>
      </c>
      <c r="S2192" s="54">
        <v>2</v>
      </c>
      <c r="T2192" s="59" t="s">
        <v>46</v>
      </c>
      <c r="U2192" s="326" t="e">
        <f ca="1">_xlfn.XLOOKUP(PAA_4[[#This Row],[ITEM]],[2]Contrato!A:A,[2]Contrato!Q:Q,"",0)</f>
        <v>#NAME?</v>
      </c>
      <c r="V2192" s="47" t="s">
        <v>95</v>
      </c>
      <c r="W2192" s="47" t="s">
        <v>204</v>
      </c>
      <c r="X2192" s="47" t="s">
        <v>204</v>
      </c>
      <c r="Y2192" s="55" t="e">
        <f ca="1">_xlfn.XLOOKUP(PAA_4[[#This Row],[ITEM]],[2]Contrato!A:A,[2]Contrato!B:B,"",0)</f>
        <v>#NAME?</v>
      </c>
      <c r="Z2192" s="47" t="e">
        <f ca="1">_xlfn.XLOOKUP(PAA_4[[#This Row],[ITEM]],[2]Contrato!A:A,[2]Contrato!G:G,"",0)</f>
        <v>#NAME?</v>
      </c>
      <c r="AA2192" s="47" t="e">
        <f ca="1">_xlfn.XLOOKUP(PAA_4[[#This Row],[ITEM]],[2]Contrato!A:A,[2]Contrato!T:T,"",0)</f>
        <v>#NAME?</v>
      </c>
      <c r="AB2192" s="55" t="e">
        <f ca="1">+MAX(PAA_4[[#This Row],[Comprometido Contrato]],PAA_4[[#This Row],[Comprometido Bolsa]])</f>
        <v>#NAME?</v>
      </c>
      <c r="AC2192" s="55" t="str">
        <f t="shared" ca="1" si="751"/>
        <v/>
      </c>
      <c r="AD2192" s="55" t="e">
        <f ca="1">IF(PAA_4[[#This Row],[ESTADO (formulado)]]="NO CONTRATADO",0,MAX(PAA_4[[#This Row],[Pago por Contrato]],PAA_4[[#This Row],[Pago por bolsa]]))</f>
        <v>#NAME?</v>
      </c>
      <c r="AE2192" s="55" t="str">
        <f t="shared" ca="1" si="752"/>
        <v/>
      </c>
      <c r="AF2192" s="47" t="e">
        <f t="shared" ca="1" si="753"/>
        <v>#NAME?</v>
      </c>
      <c r="AG2192" s="47">
        <f t="shared" si="754"/>
        <v>52010705</v>
      </c>
      <c r="AH2192" s="54">
        <f>IF(Q2192="22",IF(ISNUMBER(SEARCH("econ",PAA_4[[#This Row],[Actividad3]])),"Económico",IF(ISNUMBER(SEARCH("alim",PAA_4[[#This Row],[Actividad3]])),"Alimentación",IF(ISNUMBER(SEARCH("educ",PAA_4[[#This Row],[Actividad3]])),"Educativo","Técnico"))),0)</f>
        <v>0</v>
      </c>
      <c r="AI2192" s="47" t="e" cm="1">
        <f t="array" aca="1" ref="AI2192" ca="1">_xlfn.XLOOKUP(PAA_4[[#This Row],[RCP-RUBRO]],[2]!COMPROMISOS_2024[[#All],[concatenado]],[2]!COMPROMISOS_2024[[#All],[Total pagado]],"",0)</f>
        <v>#NAME?</v>
      </c>
      <c r="AJ2192" s="56">
        <f>IF(PAA_4[[#This Row],[BOLSA]]=0,0,SUMIFS([2]!COMPROMISOS_2024[[#All],[Total pagado]],[2]!COMPROMISOS_2024[[#All],[Bolsa]],PAA_4[[#This Row],[BOLSA]],[2]!COMPROMISOS_2024[[#All],[rubro]],PAA_4[[#This Row],[RCP-RUBRO]]))</f>
        <v>0</v>
      </c>
      <c r="AK2192" s="47" t="e" cm="1">
        <f t="array" aca="1" ref="AK2192" ca="1">_xlfn.XLOOKUP(PAA_4[[#This Row],[RCP-RUBRO]],[2]!COMPROMISOS_2024[[#All],[concatenado]],[2]!COMPROMISOS_2024[[#All],[Total Comprometido]],"",0)</f>
        <v>#NAME?</v>
      </c>
      <c r="AL2192" s="47">
        <f>IF(PAA_4[[#This Row],[BOLSA]]=0,0,SUMIFS([2]!COMPROMISOS_2024[[#All],[Total Comprometido]],[2]!COMPROMISOS_2024[[#All],[Bolsa]],PAA_4[[#This Row],[BOLSA]],[2]!COMPROMISOS_2024[[#All],[concatenado]],PAA_4[[#This Row],[RCP-RUBRO]]))</f>
        <v>0</v>
      </c>
    </row>
    <row r="2193" spans="1:38" s="19" customFormat="1" ht="31.5" customHeight="1">
      <c r="A2193" s="47" t="s">
        <v>82</v>
      </c>
      <c r="B2193" s="47" t="s">
        <v>42</v>
      </c>
      <c r="C2193" s="47" t="str">
        <f>VLOOKUP(PAA_4[[#This Row],[PROYECTO (formulado)2]],[2]PROYECTOS!$G$1:$L$32,6,0)</f>
        <v>SUBGERENCIA DE FOMENTO Y DESARROLLO</v>
      </c>
      <c r="D2193" s="47" t="str">
        <f>+IF(PAA_4[[#This Row],[UNIDAD DE CONTRATACION (formulado)]]="Subgerencia Administrativa y Financiera","FUNCIONAMIENTO","INVERSIÓN")</f>
        <v>INVERSIÓN</v>
      </c>
      <c r="E2193" s="48" t="str">
        <f>VLOOKUP(Q2193,[2]PROYECTOS!$G$1:$K$32,5,0)</f>
        <v>Asesoria y acompañamiento institucional para el deporte formativo, la recreación y la actividad física en el departamento de Antioquia</v>
      </c>
      <c r="F2193" s="48">
        <f>VLOOKUP(E2193,[2]PROYECTOS!$K$1:$M$32,3,0)</f>
        <v>2024003050100</v>
      </c>
      <c r="G2193" s="49" t="s">
        <v>2373</v>
      </c>
      <c r="H2193" s="49" t="str">
        <f>VLOOKUP(Q2193,[2]PROYECTOS!$V$1:$W$32,2,0)</f>
        <v>050071</v>
      </c>
      <c r="I2193" s="78">
        <v>113579811</v>
      </c>
      <c r="J2193" s="51" t="s">
        <v>1858</v>
      </c>
      <c r="K2193" s="47" t="str">
        <f t="shared" ca="1" si="748"/>
        <v>CONTRATADO</v>
      </c>
      <c r="L2193" s="47" t="s">
        <v>42</v>
      </c>
      <c r="M2193" s="47" t="s">
        <v>42</v>
      </c>
      <c r="N2193" s="52" t="s">
        <v>2376</v>
      </c>
      <c r="O2193" s="51" t="e">
        <f>VLOOKUP(N2193,[2]!RUBROS[#All],3,0)</f>
        <v>#REF!</v>
      </c>
      <c r="P2193" s="53" t="e">
        <f>VLOOKUP(N2193,[2]!RUBROS[#All],2,0)</f>
        <v>#REF!</v>
      </c>
      <c r="Q2193" s="47" t="str">
        <f t="shared" si="749"/>
        <v>10</v>
      </c>
      <c r="R2193" s="47" t="str">
        <f t="shared" si="750"/>
        <v>0-205617</v>
      </c>
      <c r="S2193" s="54">
        <v>2</v>
      </c>
      <c r="T2193" s="63" t="s">
        <v>46</v>
      </c>
      <c r="U2193" s="326" t="e">
        <f ca="1">_xlfn.XLOOKUP(PAA_4[[#This Row],[ITEM]],[2]Contrato!A:A,[2]Contrato!Q:Q,"",0)</f>
        <v>#NAME?</v>
      </c>
      <c r="V2193" s="47" t="s">
        <v>95</v>
      </c>
      <c r="W2193" s="47" t="s">
        <v>203</v>
      </c>
      <c r="X2193" s="47" t="s">
        <v>203</v>
      </c>
      <c r="Y2193" s="55" t="e">
        <f ca="1">_xlfn.XLOOKUP(PAA_4[[#This Row],[ITEM]],[2]Contrato!A:A,[2]Contrato!B:B,"",0)</f>
        <v>#NAME?</v>
      </c>
      <c r="Z2193" s="47" t="e">
        <f ca="1">_xlfn.XLOOKUP(PAA_4[[#This Row],[ITEM]],[2]Contrato!A:A,[2]Contrato!G:G,"",0)</f>
        <v>#NAME?</v>
      </c>
      <c r="AA2193" s="47" t="e">
        <f ca="1">_xlfn.XLOOKUP(PAA_4[[#This Row],[ITEM]],[2]Contrato!A:A,[2]Contrato!T:T,"",0)</f>
        <v>#NAME?</v>
      </c>
      <c r="AB2193" s="55" t="e">
        <f ca="1">+MAX(PAA_4[[#This Row],[Comprometido Contrato]],PAA_4[[#This Row],[Comprometido Bolsa]])</f>
        <v>#NAME?</v>
      </c>
      <c r="AC2193" s="55" t="str">
        <f t="shared" ca="1" si="751"/>
        <v/>
      </c>
      <c r="AD2193" s="55" t="e">
        <f ca="1">IF(PAA_4[[#This Row],[ESTADO (formulado)]]="NO CONTRATADO",0,MAX(PAA_4[[#This Row],[Pago por Contrato]],PAA_4[[#This Row],[Pago por bolsa]]))</f>
        <v>#NAME?</v>
      </c>
      <c r="AE2193" s="55" t="str">
        <f t="shared" ca="1" si="752"/>
        <v/>
      </c>
      <c r="AF2193" s="47" t="e">
        <f t="shared" ca="1" si="753"/>
        <v>#NAME?</v>
      </c>
      <c r="AG2193" s="47">
        <f t="shared" si="754"/>
        <v>52010705</v>
      </c>
      <c r="AH2193" s="54">
        <f>IF(Q2193="22",IF(ISNUMBER(SEARCH("econ",PAA_4[[#This Row],[Actividad3]])),"Económico",IF(ISNUMBER(SEARCH("alim",PAA_4[[#This Row],[Actividad3]])),"Alimentación",IF(ISNUMBER(SEARCH("educ",PAA_4[[#This Row],[Actividad3]])),"Educativo","Técnico"))),0)</f>
        <v>0</v>
      </c>
      <c r="AI2193" s="47" t="e" cm="1">
        <f t="array" aca="1" ref="AI2193" ca="1">_xlfn.XLOOKUP(PAA_4[[#This Row],[RCP-RUBRO]],[2]!COMPROMISOS_2024[[#All],[concatenado]],[2]!COMPROMISOS_2024[[#All],[Total pagado]],"",0)</f>
        <v>#NAME?</v>
      </c>
      <c r="AJ2193" s="56">
        <f>IF(PAA_4[[#This Row],[BOLSA]]=0,0,SUMIFS([2]!COMPROMISOS_2024[[#All],[Total pagado]],[2]!COMPROMISOS_2024[[#All],[Bolsa]],PAA_4[[#This Row],[BOLSA]],[2]!COMPROMISOS_2024[[#All],[rubro]],PAA_4[[#This Row],[RCP-RUBRO]]))</f>
        <v>0</v>
      </c>
      <c r="AK2193" s="47" t="e" cm="1">
        <f t="array" aca="1" ref="AK2193" ca="1">_xlfn.XLOOKUP(PAA_4[[#This Row],[RCP-RUBRO]],[2]!COMPROMISOS_2024[[#All],[concatenado]],[2]!COMPROMISOS_2024[[#All],[Total Comprometido]],"",0)</f>
        <v>#NAME?</v>
      </c>
      <c r="AL2193" s="47">
        <f>IF(PAA_4[[#This Row],[BOLSA]]=0,0,SUMIFS([2]!COMPROMISOS_2024[[#All],[Total Comprometido]],[2]!COMPROMISOS_2024[[#All],[Bolsa]],PAA_4[[#This Row],[BOLSA]],[2]!COMPROMISOS_2024[[#All],[concatenado]],PAA_4[[#This Row],[RCP-RUBRO]]))</f>
        <v>0</v>
      </c>
    </row>
    <row r="2194" spans="1:38" s="19" customFormat="1" ht="31.5" customHeight="1">
      <c r="A2194" s="47">
        <v>1134</v>
      </c>
      <c r="B2194" s="47">
        <v>93141506</v>
      </c>
      <c r="C2194" s="47" t="str">
        <f>VLOOKUP(PAA_4[[#This Row],[PROYECTO (formulado)2]],[2]PROYECTOS!$G$1:$L$32,6,0)</f>
        <v>SUBGERENCIA DE FOMENTO Y DESARROLLO</v>
      </c>
      <c r="D2194" s="47" t="str">
        <f>+IF(PAA_4[[#This Row],[UNIDAD DE CONTRATACION (formulado)]]="Subgerencia Administrativa y Financiera","FUNCIONAMIENTO","INVERSIÓN")</f>
        <v>INVERSIÓN</v>
      </c>
      <c r="E2194" s="48" t="str">
        <f>VLOOKUP(Q2194,[2]PROYECTOS!$G$1:$K$32,5,0)</f>
        <v>Asesoria y acompañamiento institucional para el deporte formativo, la recreación y la actividad física en el departamento de Antioquia</v>
      </c>
      <c r="F2194" s="48">
        <f>VLOOKUP(E2194,[2]PROYECTOS!$K$1:$M$32,3,0)</f>
        <v>2024003050100</v>
      </c>
      <c r="G2194" s="49" t="s">
        <v>2373</v>
      </c>
      <c r="H2194" s="49" t="str">
        <f>VLOOKUP(Q2194,[2]PROYECTOS!$V$1:$W$32,2,0)</f>
        <v>050071</v>
      </c>
      <c r="I2194" s="78">
        <f>4449438758-113579811</f>
        <v>4335858947</v>
      </c>
      <c r="J2194" s="51" t="s">
        <v>2377</v>
      </c>
      <c r="K2194" s="47" t="str">
        <f t="shared" ca="1" si="748"/>
        <v>CONTRATADO</v>
      </c>
      <c r="L2194" s="47" t="s">
        <v>1236</v>
      </c>
      <c r="M2194" s="47" t="s">
        <v>42</v>
      </c>
      <c r="N2194" s="52" t="s">
        <v>2376</v>
      </c>
      <c r="O2194" s="51" t="e">
        <f>VLOOKUP(N2194,[2]!RUBROS[#All],3,0)</f>
        <v>#REF!</v>
      </c>
      <c r="P2194" s="53" t="e">
        <f>VLOOKUP(N2194,[2]!RUBROS[#All],2,0)</f>
        <v>#REF!</v>
      </c>
      <c r="Q2194" s="47" t="str">
        <f t="shared" si="749"/>
        <v>10</v>
      </c>
      <c r="R2194" s="47" t="str">
        <f t="shared" si="750"/>
        <v>0-205617</v>
      </c>
      <c r="S2194" s="54">
        <v>2</v>
      </c>
      <c r="T2194" s="59" t="s">
        <v>46</v>
      </c>
      <c r="U2194" s="326" t="e">
        <f ca="1">_xlfn.XLOOKUP(PAA_4[[#This Row],[ITEM]],[2]Contrato!A:A,[2]Contrato!Q:Q,"",0)</f>
        <v>#NAME?</v>
      </c>
      <c r="V2194" s="47" t="s">
        <v>95</v>
      </c>
      <c r="W2194" s="47" t="s">
        <v>203</v>
      </c>
      <c r="X2194" s="47" t="s">
        <v>203</v>
      </c>
      <c r="Y2194" s="55" t="e">
        <f ca="1">_xlfn.XLOOKUP(PAA_4[[#This Row],[ITEM]],[2]Contrato!A:A,[2]Contrato!B:B,"",0)</f>
        <v>#NAME?</v>
      </c>
      <c r="Z2194" s="47" t="e">
        <f ca="1">_xlfn.XLOOKUP(PAA_4[[#This Row],[ITEM]],[2]Contrato!A:A,[2]Contrato!G:G,"",0)</f>
        <v>#NAME?</v>
      </c>
      <c r="AA2194" s="47" t="e">
        <f ca="1">_xlfn.XLOOKUP(PAA_4[[#This Row],[ITEM]],[2]Contrato!A:A,[2]Contrato!T:T,"",0)</f>
        <v>#NAME?</v>
      </c>
      <c r="AB2194" s="55" t="e">
        <f ca="1">+MAX(PAA_4[[#This Row],[Comprometido Contrato]],PAA_4[[#This Row],[Comprometido Bolsa]])</f>
        <v>#NAME?</v>
      </c>
      <c r="AC2194" s="55" t="str">
        <f t="shared" ca="1" si="751"/>
        <v/>
      </c>
      <c r="AD2194" s="55" t="e">
        <f ca="1">IF(PAA_4[[#This Row],[ESTADO (formulado)]]="NO CONTRATADO",0,MAX(PAA_4[[#This Row],[Pago por Contrato]],PAA_4[[#This Row],[Pago por bolsa]]))</f>
        <v>#NAME?</v>
      </c>
      <c r="AE2194" s="55" t="str">
        <f t="shared" ca="1" si="752"/>
        <v/>
      </c>
      <c r="AF2194" s="47" t="e">
        <f t="shared" ca="1" si="753"/>
        <v>#NAME?</v>
      </c>
      <c r="AG2194" s="47">
        <f t="shared" si="754"/>
        <v>52010705</v>
      </c>
      <c r="AH2194" s="54">
        <f>IF(Q2194="22",IF(ISNUMBER(SEARCH("econ",PAA_4[[#This Row],[Actividad3]])),"Económico",IF(ISNUMBER(SEARCH("alim",PAA_4[[#This Row],[Actividad3]])),"Alimentación",IF(ISNUMBER(SEARCH("educ",PAA_4[[#This Row],[Actividad3]])),"Educativo","Técnico"))),0)</f>
        <v>0</v>
      </c>
      <c r="AI2194" s="47" t="e" cm="1">
        <f t="array" aca="1" ref="AI2194" ca="1">_xlfn.XLOOKUP(PAA_4[[#This Row],[RCP-RUBRO]],[2]!COMPROMISOS_2024[[#All],[concatenado]],[2]!COMPROMISOS_2024[[#All],[Total pagado]],"",0)</f>
        <v>#NAME?</v>
      </c>
      <c r="AJ2194" s="56">
        <f>IF(PAA_4[[#This Row],[BOLSA]]=0,0,SUMIFS([2]!COMPROMISOS_2024[[#All],[Total pagado]],[2]!COMPROMISOS_2024[[#All],[Bolsa]],PAA_4[[#This Row],[BOLSA]],[2]!COMPROMISOS_2024[[#All],[rubro]],PAA_4[[#This Row],[RCP-RUBRO]]))</f>
        <v>0</v>
      </c>
      <c r="AK2194" s="47" t="e" cm="1">
        <f t="array" aca="1" ref="AK2194" ca="1">_xlfn.XLOOKUP(PAA_4[[#This Row],[RCP-RUBRO]],[2]!COMPROMISOS_2024[[#All],[concatenado]],[2]!COMPROMISOS_2024[[#All],[Total Comprometido]],"",0)</f>
        <v>#NAME?</v>
      </c>
      <c r="AL2194" s="47">
        <f>IF(PAA_4[[#This Row],[BOLSA]]=0,0,SUMIFS([2]!COMPROMISOS_2024[[#All],[Total Comprometido]],[2]!COMPROMISOS_2024[[#All],[Bolsa]],PAA_4[[#This Row],[BOLSA]],[2]!COMPROMISOS_2024[[#All],[concatenado]],PAA_4[[#This Row],[RCP-RUBRO]]))</f>
        <v>0</v>
      </c>
    </row>
    <row r="2195" spans="1:38" s="19" customFormat="1" ht="31.5" customHeight="1">
      <c r="A2195" s="47">
        <v>1320</v>
      </c>
      <c r="B2195" s="47">
        <v>93141506</v>
      </c>
      <c r="C2195" s="47" t="str">
        <f>VLOOKUP(PAA_4[[#This Row],[PROYECTO (formulado)2]],[2]PROYECTOS!$G$1:$L$32,6,0)</f>
        <v>SUBGERENCIA DE FOMENTO Y DESARROLLO</v>
      </c>
      <c r="D2195" s="47" t="str">
        <f>+IF(PAA_4[[#This Row],[UNIDAD DE CONTRATACION (formulado)]]="Subgerencia Administrativa y Financiera","FUNCIONAMIENTO","INVERSIÓN")</f>
        <v>INVERSIÓN</v>
      </c>
      <c r="E2195" s="48" t="str">
        <f>VLOOKUP(Q2195,[2]PROYECTOS!$G$1:$K$32,5,0)</f>
        <v>Asesoria y acompañamiento institucional para el deporte formativo, la recreación y la actividad física en el departamento de Antioquia</v>
      </c>
      <c r="F2195" s="48">
        <f>VLOOKUP(E2195,[2]PROYECTOS!$K$1:$M$32,3,0)</f>
        <v>2024003050100</v>
      </c>
      <c r="G2195" s="49" t="s">
        <v>2373</v>
      </c>
      <c r="H2195" s="49" t="str">
        <f>VLOOKUP(Q2195,[2]PROYECTOS!$V$1:$W$32,2,0)</f>
        <v>050071</v>
      </c>
      <c r="I2195" s="78">
        <v>646498217</v>
      </c>
      <c r="J2195" s="51" t="s">
        <v>2378</v>
      </c>
      <c r="K2195" s="47" t="str">
        <f t="shared" ca="1" si="748"/>
        <v>CONTRATADO</v>
      </c>
      <c r="L2195" s="47" t="s">
        <v>1236</v>
      </c>
      <c r="M2195" s="47" t="s">
        <v>1236</v>
      </c>
      <c r="N2195" s="52" t="s">
        <v>2376</v>
      </c>
      <c r="O2195" s="51" t="e">
        <f>VLOOKUP(N2195,[2]!RUBROS[#All],3,0)</f>
        <v>#REF!</v>
      </c>
      <c r="P2195" s="53" t="e">
        <f>VLOOKUP(N2195,[2]!RUBROS[#All],2,0)</f>
        <v>#REF!</v>
      </c>
      <c r="Q2195" s="47" t="str">
        <f t="shared" si="749"/>
        <v>10</v>
      </c>
      <c r="R2195" s="47" t="str">
        <f t="shared" si="750"/>
        <v>0-205617</v>
      </c>
      <c r="S2195" s="54">
        <v>1</v>
      </c>
      <c r="T2195" s="63" t="s">
        <v>46</v>
      </c>
      <c r="U2195" s="326" t="e">
        <f ca="1">_xlfn.XLOOKUP(PAA_4[[#This Row],[ITEM]],[2]Contrato!A:A,[2]Contrato!Q:Q,"",0)</f>
        <v>#NAME?</v>
      </c>
      <c r="V2195" s="47" t="s">
        <v>95</v>
      </c>
      <c r="W2195" s="47" t="s">
        <v>201</v>
      </c>
      <c r="X2195" s="47" t="s">
        <v>201</v>
      </c>
      <c r="Y2195" s="55" t="e">
        <f ca="1">_xlfn.XLOOKUP(PAA_4[[#This Row],[ITEM]],[2]Contrato!A:A,[2]Contrato!B:B,"",0)</f>
        <v>#NAME?</v>
      </c>
      <c r="Z2195" s="47" t="e">
        <f ca="1">_xlfn.XLOOKUP(PAA_4[[#This Row],[ITEM]],[2]Contrato!A:A,[2]Contrato!G:G,"",0)</f>
        <v>#NAME?</v>
      </c>
      <c r="AA2195" s="47" t="e">
        <f ca="1">_xlfn.XLOOKUP(PAA_4[[#This Row],[ITEM]],[2]Contrato!A:A,[2]Contrato!T:T,"",0)</f>
        <v>#NAME?</v>
      </c>
      <c r="AB2195" s="55" t="e">
        <f ca="1">+MAX(PAA_4[[#This Row],[Comprometido Contrato]],PAA_4[[#This Row],[Comprometido Bolsa]])</f>
        <v>#NAME?</v>
      </c>
      <c r="AC2195" s="55" t="str">
        <f t="shared" ca="1" si="751"/>
        <v/>
      </c>
      <c r="AD2195" s="55" t="e">
        <f ca="1">IF(PAA_4[[#This Row],[ESTADO (formulado)]]="NO CONTRATADO",0,MAX(PAA_4[[#This Row],[Pago por Contrato]],PAA_4[[#This Row],[Pago por bolsa]]))</f>
        <v>#NAME?</v>
      </c>
      <c r="AE2195" s="55" t="str">
        <f t="shared" ca="1" si="752"/>
        <v/>
      </c>
      <c r="AF2195" s="47" t="e">
        <f t="shared" ca="1" si="753"/>
        <v>#NAME?</v>
      </c>
      <c r="AG2195" s="47">
        <f t="shared" si="754"/>
        <v>52010705</v>
      </c>
      <c r="AH2195" s="54">
        <f>IF(Q2195="22",IF(ISNUMBER(SEARCH("econ",PAA_4[[#This Row],[Actividad3]])),"Económico",IF(ISNUMBER(SEARCH("alim",PAA_4[[#This Row],[Actividad3]])),"Alimentación",IF(ISNUMBER(SEARCH("educ",PAA_4[[#This Row],[Actividad3]])),"Educativo","Técnico"))),0)</f>
        <v>0</v>
      </c>
      <c r="AI2195" s="47" t="e" cm="1">
        <f t="array" aca="1" ref="AI2195" ca="1">_xlfn.XLOOKUP(PAA_4[[#This Row],[RCP-RUBRO]],[2]!COMPROMISOS_2024[[#All],[concatenado]],[2]!COMPROMISOS_2024[[#All],[Total pagado]],"",0)</f>
        <v>#NAME?</v>
      </c>
      <c r="AJ2195" s="56">
        <f>IF(PAA_4[[#This Row],[BOLSA]]=0,0,SUMIFS([2]!COMPROMISOS_2024[[#All],[Total pagado]],[2]!COMPROMISOS_2024[[#All],[Bolsa]],PAA_4[[#This Row],[BOLSA]],[2]!COMPROMISOS_2024[[#All],[rubro]],PAA_4[[#This Row],[RCP-RUBRO]]))</f>
        <v>0</v>
      </c>
      <c r="AK2195" s="47" t="e" cm="1">
        <f t="array" aca="1" ref="AK2195" ca="1">_xlfn.XLOOKUP(PAA_4[[#This Row],[RCP-RUBRO]],[2]!COMPROMISOS_2024[[#All],[concatenado]],[2]!COMPROMISOS_2024[[#All],[Total Comprometido]],"",0)</f>
        <v>#NAME?</v>
      </c>
      <c r="AL2195" s="47">
        <f>IF(PAA_4[[#This Row],[BOLSA]]=0,0,SUMIFS([2]!COMPROMISOS_2024[[#All],[Total Comprometido]],[2]!COMPROMISOS_2024[[#All],[Bolsa]],PAA_4[[#This Row],[BOLSA]],[2]!COMPROMISOS_2024[[#All],[concatenado]],PAA_4[[#This Row],[RCP-RUBRO]]))</f>
        <v>0</v>
      </c>
    </row>
    <row r="2196" spans="1:38" s="19" customFormat="1" ht="31.5" customHeight="1">
      <c r="A2196" s="47">
        <v>1337</v>
      </c>
      <c r="B2196" s="47">
        <v>93141506</v>
      </c>
      <c r="C2196" s="47" t="str">
        <f>VLOOKUP(PAA_4[[#This Row],[PROYECTO (formulado)2]],[2]PROYECTOS!$G$1:$L$32,6,0)</f>
        <v>SUBGERENCIA DE FOMENTO Y DESARROLLO</v>
      </c>
      <c r="D2196" s="47" t="str">
        <f>+IF(PAA_4[[#This Row],[UNIDAD DE CONTRATACION (formulado)]]="Subgerencia Administrativa y Financiera","FUNCIONAMIENTO","INVERSIÓN")</f>
        <v>INVERSIÓN</v>
      </c>
      <c r="E2196" s="48" t="str">
        <f>VLOOKUP(Q2196,[2]PROYECTOS!$G$1:$K$32,5,0)</f>
        <v>Asesoria y acompañamiento institucional para el deporte formativo, la recreación y la actividad física en el departamento de Antioquia</v>
      </c>
      <c r="F2196" s="48">
        <f>VLOOKUP(E2196,[2]PROYECTOS!$K$1:$M$32,3,0)</f>
        <v>2024003050100</v>
      </c>
      <c r="G2196" s="49" t="s">
        <v>2373</v>
      </c>
      <c r="H2196" s="49" t="str">
        <f>VLOOKUP(Q2196,[2]PROYECTOS!$V$1:$W$32,2,0)</f>
        <v>050071</v>
      </c>
      <c r="I2196" s="78">
        <v>620273545</v>
      </c>
      <c r="J2196" s="51" t="s">
        <v>2379</v>
      </c>
      <c r="K2196" s="47" t="str">
        <f t="shared" ca="1" si="748"/>
        <v>CONTRATADO</v>
      </c>
      <c r="L2196" s="47" t="s">
        <v>1236</v>
      </c>
      <c r="M2196" s="47" t="s">
        <v>42</v>
      </c>
      <c r="N2196" s="52" t="s">
        <v>2376</v>
      </c>
      <c r="O2196" s="51" t="e">
        <f>VLOOKUP(N2196,[2]!RUBROS[#All],3,0)</f>
        <v>#REF!</v>
      </c>
      <c r="P2196" s="53" t="e">
        <f>VLOOKUP(N2196,[2]!RUBROS[#All],2,0)</f>
        <v>#REF!</v>
      </c>
      <c r="Q2196" s="47" t="str">
        <f t="shared" si="749"/>
        <v>10</v>
      </c>
      <c r="R2196" s="47" t="str">
        <f t="shared" si="750"/>
        <v>0-205617</v>
      </c>
      <c r="S2196" s="54">
        <v>15</v>
      </c>
      <c r="T2196" s="63" t="s">
        <v>120</v>
      </c>
      <c r="U2196" s="326" t="e">
        <f ca="1">_xlfn.XLOOKUP(PAA_4[[#This Row],[ITEM]],[2]Contrato!A:A,[2]Contrato!Q:Q,"",0)</f>
        <v>#NAME?</v>
      </c>
      <c r="V2196" s="47" t="s">
        <v>95</v>
      </c>
      <c r="W2196" s="47" t="s">
        <v>201</v>
      </c>
      <c r="X2196" s="47" t="s">
        <v>201</v>
      </c>
      <c r="Y2196" s="55" t="e">
        <f ca="1">_xlfn.XLOOKUP(PAA_4[[#This Row],[ITEM]],[2]Contrato!A:A,[2]Contrato!B:B,"",0)</f>
        <v>#NAME?</v>
      </c>
      <c r="Z2196" s="47" t="e">
        <f ca="1">_xlfn.XLOOKUP(PAA_4[[#This Row],[ITEM]],[2]Contrato!A:A,[2]Contrato!G:G,"",0)</f>
        <v>#NAME?</v>
      </c>
      <c r="AA2196" s="47" t="e">
        <f ca="1">_xlfn.XLOOKUP(PAA_4[[#This Row],[ITEM]],[2]Contrato!A:A,[2]Contrato!T:T,"",0)</f>
        <v>#NAME?</v>
      </c>
      <c r="AB2196" s="55" t="e">
        <f ca="1">+MAX(PAA_4[[#This Row],[Comprometido Contrato]],PAA_4[[#This Row],[Comprometido Bolsa]])</f>
        <v>#NAME?</v>
      </c>
      <c r="AC2196" s="55" t="str">
        <f t="shared" ca="1" si="751"/>
        <v/>
      </c>
      <c r="AD2196" s="55" t="e">
        <f ca="1">IF(PAA_4[[#This Row],[ESTADO (formulado)]]="NO CONTRATADO",0,MAX(PAA_4[[#This Row],[Pago por Contrato]],PAA_4[[#This Row],[Pago por bolsa]]))</f>
        <v>#NAME?</v>
      </c>
      <c r="AE2196" s="55" t="str">
        <f t="shared" ca="1" si="752"/>
        <v/>
      </c>
      <c r="AF2196" s="47" t="e">
        <f t="shared" ca="1" si="753"/>
        <v>#NAME?</v>
      </c>
      <c r="AG2196" s="47">
        <f t="shared" si="754"/>
        <v>52010705</v>
      </c>
      <c r="AH2196" s="54">
        <f>IF(Q2196="22",IF(ISNUMBER(SEARCH("econ",PAA_4[[#This Row],[Actividad3]])),"Económico",IF(ISNUMBER(SEARCH("alim",PAA_4[[#This Row],[Actividad3]])),"Alimentación",IF(ISNUMBER(SEARCH("educ",PAA_4[[#This Row],[Actividad3]])),"Educativo","Técnico"))),0)</f>
        <v>0</v>
      </c>
      <c r="AI2196" s="47" t="e" cm="1">
        <f t="array" aca="1" ref="AI2196" ca="1">_xlfn.XLOOKUP(PAA_4[[#This Row],[RCP-RUBRO]],[2]!COMPROMISOS_2024[[#All],[concatenado]],[2]!COMPROMISOS_2024[[#All],[Total pagado]],"",0)</f>
        <v>#NAME?</v>
      </c>
      <c r="AJ2196" s="56">
        <f>IF(PAA_4[[#This Row],[BOLSA]]=0,0,SUMIFS([2]!COMPROMISOS_2024[[#All],[Total pagado]],[2]!COMPROMISOS_2024[[#All],[Bolsa]],PAA_4[[#This Row],[BOLSA]],[2]!COMPROMISOS_2024[[#All],[rubro]],PAA_4[[#This Row],[RCP-RUBRO]]))</f>
        <v>0</v>
      </c>
      <c r="AK2196" s="47" t="e" cm="1">
        <f t="array" aca="1" ref="AK2196" ca="1">_xlfn.XLOOKUP(PAA_4[[#This Row],[RCP-RUBRO]],[2]!COMPROMISOS_2024[[#All],[concatenado]],[2]!COMPROMISOS_2024[[#All],[Total Comprometido]],"",0)</f>
        <v>#NAME?</v>
      </c>
      <c r="AL2196" s="47">
        <f>IF(PAA_4[[#This Row],[BOLSA]]=0,0,SUMIFS([2]!COMPROMISOS_2024[[#All],[Total Comprometido]],[2]!COMPROMISOS_2024[[#All],[Bolsa]],PAA_4[[#This Row],[BOLSA]],[2]!COMPROMISOS_2024[[#All],[concatenado]],PAA_4[[#This Row],[RCP-RUBRO]]))</f>
        <v>0</v>
      </c>
    </row>
    <row r="2197" spans="1:38" s="19" customFormat="1" ht="31.5" customHeight="1">
      <c r="A2197" s="47">
        <v>1054</v>
      </c>
      <c r="B2197" s="47">
        <v>93141506</v>
      </c>
      <c r="C2197" s="47" t="str">
        <f>VLOOKUP(PAA_4[[#This Row],[PROYECTO (formulado)2]],[2]PROYECTOS!$G$1:$L$32,6,0)</f>
        <v>SUBGERENCIA DE FOMENTO Y DESARROLLO</v>
      </c>
      <c r="D2197" s="47" t="str">
        <f>+IF(PAA_4[[#This Row],[UNIDAD DE CONTRATACION (formulado)]]="Subgerencia Administrativa y Financiera","FUNCIONAMIENTO","INVERSIÓN")</f>
        <v>INVERSIÓN</v>
      </c>
      <c r="E2197" s="48" t="str">
        <f>VLOOKUP(Q2197,[2]PROYECTOS!$G$1:$K$32,5,0)</f>
        <v>Asesoria y acompañamiento institucional para el deporte formativo, la recreación y la actividad física en el departamento de Antioquia</v>
      </c>
      <c r="F2197" s="48">
        <f>VLOOKUP(E2197,[2]PROYECTOS!$K$1:$M$32,3,0)</f>
        <v>2024003050100</v>
      </c>
      <c r="G2197" s="49" t="s">
        <v>2373</v>
      </c>
      <c r="H2197" s="49" t="str">
        <f>VLOOKUP(Q2197,[2]PROYECTOS!$V$1:$W$32,2,0)</f>
        <v>050071</v>
      </c>
      <c r="I2197" s="78">
        <v>309392256</v>
      </c>
      <c r="J2197" s="51" t="s">
        <v>420</v>
      </c>
      <c r="K2197" s="47" t="str">
        <f t="shared" ca="1" si="748"/>
        <v>CONTRATADO</v>
      </c>
      <c r="L2197" s="47" t="s">
        <v>1236</v>
      </c>
      <c r="M2197" s="47" t="s">
        <v>42</v>
      </c>
      <c r="N2197" s="52" t="s">
        <v>2376</v>
      </c>
      <c r="O2197" s="51" t="e">
        <f>VLOOKUP(N2197,[2]!RUBROS[#All],3,0)</f>
        <v>#REF!</v>
      </c>
      <c r="P2197" s="53" t="e">
        <f>VLOOKUP(N2197,[2]!RUBROS[#All],2,0)</f>
        <v>#REF!</v>
      </c>
      <c r="Q2197" s="47" t="str">
        <f t="shared" si="749"/>
        <v>10</v>
      </c>
      <c r="R2197" s="47" t="str">
        <f t="shared" si="750"/>
        <v>0-205617</v>
      </c>
      <c r="S2197" s="54">
        <v>4</v>
      </c>
      <c r="T2197" s="59" t="s">
        <v>46</v>
      </c>
      <c r="U2197" s="326" t="e">
        <f ca="1">_xlfn.XLOOKUP(PAA_4[[#This Row],[ITEM]],[2]Contrato!A:A,[2]Contrato!Q:Q,"",0)</f>
        <v>#NAME?</v>
      </c>
      <c r="V2197" s="47" t="s">
        <v>95</v>
      </c>
      <c r="W2197" s="47" t="s">
        <v>194</v>
      </c>
      <c r="X2197" s="47" t="s">
        <v>194</v>
      </c>
      <c r="Y2197" s="55" t="e">
        <f ca="1">_xlfn.XLOOKUP(PAA_4[[#This Row],[ITEM]],[2]Contrato!A:A,[2]Contrato!B:B,"",0)</f>
        <v>#NAME?</v>
      </c>
      <c r="Z2197" s="47" t="e">
        <f ca="1">_xlfn.XLOOKUP(PAA_4[[#This Row],[ITEM]],[2]Contrato!A:A,[2]Contrato!G:G,"",0)</f>
        <v>#NAME?</v>
      </c>
      <c r="AA2197" s="47" t="e">
        <f ca="1">_xlfn.XLOOKUP(PAA_4[[#This Row],[ITEM]],[2]Contrato!A:A,[2]Contrato!T:T,"",0)</f>
        <v>#NAME?</v>
      </c>
      <c r="AB2197" s="55" t="e">
        <f ca="1">+MAX(PAA_4[[#This Row],[Comprometido Contrato]],PAA_4[[#This Row],[Comprometido Bolsa]])</f>
        <v>#NAME?</v>
      </c>
      <c r="AC2197" s="55" t="str">
        <f t="shared" ca="1" si="751"/>
        <v/>
      </c>
      <c r="AD2197" s="55" t="e">
        <f ca="1">IF(PAA_4[[#This Row],[ESTADO (formulado)]]="NO CONTRATADO",0,MAX(PAA_4[[#This Row],[Pago por Contrato]],PAA_4[[#This Row],[Pago por bolsa]]))</f>
        <v>#NAME?</v>
      </c>
      <c r="AE2197" s="55" t="str">
        <f t="shared" ca="1" si="752"/>
        <v/>
      </c>
      <c r="AF2197" s="47" t="e">
        <f t="shared" ca="1" si="753"/>
        <v>#NAME?</v>
      </c>
      <c r="AG2197" s="47">
        <f t="shared" si="754"/>
        <v>52010705</v>
      </c>
      <c r="AH2197" s="54">
        <f>IF(Q2197="22",IF(ISNUMBER(SEARCH("econ",PAA_4[[#This Row],[Actividad3]])),"Económico",IF(ISNUMBER(SEARCH("alim",PAA_4[[#This Row],[Actividad3]])),"Alimentación",IF(ISNUMBER(SEARCH("educ",PAA_4[[#This Row],[Actividad3]])),"Educativo","Técnico"))),0)</f>
        <v>0</v>
      </c>
      <c r="AI2197" s="47" t="e" cm="1">
        <f t="array" aca="1" ref="AI2197" ca="1">_xlfn.XLOOKUP(PAA_4[[#This Row],[RCP-RUBRO]],[2]!COMPROMISOS_2024[[#All],[concatenado]],[2]!COMPROMISOS_2024[[#All],[Total pagado]],"",0)</f>
        <v>#NAME?</v>
      </c>
      <c r="AJ2197" s="56">
        <f>IF(PAA_4[[#This Row],[BOLSA]]=0,0,SUMIFS([2]!COMPROMISOS_2024[[#All],[Total pagado]],[2]!COMPROMISOS_2024[[#All],[Bolsa]],PAA_4[[#This Row],[BOLSA]],[2]!COMPROMISOS_2024[[#All],[rubro]],PAA_4[[#This Row],[RCP-RUBRO]]))</f>
        <v>0</v>
      </c>
      <c r="AK2197" s="47" t="e" cm="1">
        <f t="array" aca="1" ref="AK2197" ca="1">_xlfn.XLOOKUP(PAA_4[[#This Row],[RCP-RUBRO]],[2]!COMPROMISOS_2024[[#All],[concatenado]],[2]!COMPROMISOS_2024[[#All],[Total Comprometido]],"",0)</f>
        <v>#NAME?</v>
      </c>
      <c r="AL2197" s="47">
        <f>IF(PAA_4[[#This Row],[BOLSA]]=0,0,SUMIFS([2]!COMPROMISOS_2024[[#All],[Total Comprometido]],[2]!COMPROMISOS_2024[[#All],[Bolsa]],PAA_4[[#This Row],[BOLSA]],[2]!COMPROMISOS_2024[[#All],[concatenado]],PAA_4[[#This Row],[RCP-RUBRO]]))</f>
        <v>0</v>
      </c>
    </row>
    <row r="2198" spans="1:38" s="19" customFormat="1" ht="31.5" customHeight="1">
      <c r="A2198" s="47">
        <v>1055</v>
      </c>
      <c r="B2198" s="47">
        <v>80141607</v>
      </c>
      <c r="C2198" s="47" t="str">
        <f>VLOOKUP(PAA_4[[#This Row],[PROYECTO (formulado)2]],[2]PROYECTOS!$G$1:$L$32,6,0)</f>
        <v>SUBGERENCIA DE FOMENTO Y DESARROLLO</v>
      </c>
      <c r="D2198" s="47" t="str">
        <f>+IF(PAA_4[[#This Row],[UNIDAD DE CONTRATACION (formulado)]]="Subgerencia Administrativa y Financiera","FUNCIONAMIENTO","INVERSIÓN")</f>
        <v>INVERSIÓN</v>
      </c>
      <c r="E2198" s="48" t="str">
        <f>VLOOKUP(Q2198,[2]PROYECTOS!$G$1:$K$32,5,0)</f>
        <v>Desarrollo y promoción del deporte formativo, la recreación y la actividad física en el departamento Antioquia</v>
      </c>
      <c r="F2198" s="48">
        <f>VLOOKUP(E2198,[2]PROYECTOS!$K$1:$M$32,3,0)</f>
        <v>2024003050101</v>
      </c>
      <c r="G2198" s="49" t="s">
        <v>2380</v>
      </c>
      <c r="H2198" s="49" t="str">
        <f>VLOOKUP(Q2198,[2]PROYECTOS!$V$1:$W$32,2,0)</f>
        <v>050075</v>
      </c>
      <c r="I2198" s="78">
        <v>10000000</v>
      </c>
      <c r="J2198" s="51" t="s">
        <v>383</v>
      </c>
      <c r="K2198" s="47" t="str">
        <f t="shared" ca="1" si="748"/>
        <v>CONTRATADO</v>
      </c>
      <c r="L2198" s="47" t="s">
        <v>94</v>
      </c>
      <c r="M2198" s="47" t="s">
        <v>42</v>
      </c>
      <c r="N2198" s="52" t="s">
        <v>1367</v>
      </c>
      <c r="O2198" s="51" t="e">
        <f>VLOOKUP(N2198,[2]!RUBROS[#All],3,0)</f>
        <v>#REF!</v>
      </c>
      <c r="P2198" s="53" t="e">
        <f>VLOOKUP(N2198,[2]!RUBROS[#All],2,0)</f>
        <v>#REF!</v>
      </c>
      <c r="Q2198" s="47" t="str">
        <f t="shared" si="749"/>
        <v>01</v>
      </c>
      <c r="R2198" s="47" t="str">
        <f t="shared" si="750"/>
        <v>0-205400</v>
      </c>
      <c r="S2198" s="54">
        <v>4.5</v>
      </c>
      <c r="T2198" s="59" t="s">
        <v>46</v>
      </c>
      <c r="U2198" s="326" t="e">
        <f ca="1">_xlfn.XLOOKUP(PAA_4[[#This Row],[ITEM]],[2]Contrato!A:A,[2]Contrato!Q:Q,"",0)</f>
        <v>#NAME?</v>
      </c>
      <c r="V2198" s="47" t="s">
        <v>95</v>
      </c>
      <c r="W2198" s="47" t="s">
        <v>200</v>
      </c>
      <c r="X2198" s="47" t="s">
        <v>200</v>
      </c>
      <c r="Y2198" s="55" t="e">
        <f ca="1">_xlfn.XLOOKUP(PAA_4[[#This Row],[ITEM]],[2]Contrato!A:A,[2]Contrato!B:B,"",0)</f>
        <v>#NAME?</v>
      </c>
      <c r="Z2198" s="47" t="e">
        <f ca="1">_xlfn.XLOOKUP(PAA_4[[#This Row],[ITEM]],[2]Contrato!A:A,[2]Contrato!G:G,"",0)</f>
        <v>#NAME?</v>
      </c>
      <c r="AA2198" s="47" t="e">
        <f ca="1">_xlfn.XLOOKUP(PAA_4[[#This Row],[ITEM]],[2]Contrato!A:A,[2]Contrato!T:T,"",0)</f>
        <v>#NAME?</v>
      </c>
      <c r="AB2198" s="55" t="e">
        <f ca="1">+MAX(PAA_4[[#This Row],[Comprometido Contrato]],PAA_4[[#This Row],[Comprometido Bolsa]])</f>
        <v>#NAME?</v>
      </c>
      <c r="AC2198" s="55" t="str">
        <f t="shared" ca="1" si="751"/>
        <v/>
      </c>
      <c r="AD2198" s="55" t="e">
        <f ca="1">IF(PAA_4[[#This Row],[ESTADO (formulado)]]="NO CONTRATADO",0,MAX(PAA_4[[#This Row],[Pago por Contrato]],PAA_4[[#This Row],[Pago por bolsa]]))</f>
        <v>#NAME?</v>
      </c>
      <c r="AE2198" s="55" t="str">
        <f t="shared" ca="1" si="752"/>
        <v/>
      </c>
      <c r="AF2198" s="47" t="e">
        <f t="shared" ca="1" si="753"/>
        <v>#NAME?</v>
      </c>
      <c r="AG2198" s="47">
        <f t="shared" si="754"/>
        <v>52010702</v>
      </c>
      <c r="AH2198" s="54">
        <f>IF(Q2198="22",IF(ISNUMBER(SEARCH("econ",PAA_4[[#This Row],[Actividad3]])),"Económico",IF(ISNUMBER(SEARCH("alim",PAA_4[[#This Row],[Actividad3]])),"Alimentación",IF(ISNUMBER(SEARCH("educ",PAA_4[[#This Row],[Actividad3]])),"Educativo","Técnico"))),0)</f>
        <v>0</v>
      </c>
      <c r="AI2198" s="47" t="e" cm="1">
        <f t="array" aca="1" ref="AI2198" ca="1">_xlfn.XLOOKUP(PAA_4[[#This Row],[RCP-RUBRO]],[2]!COMPROMISOS_2024[[#All],[concatenado]],[2]!COMPROMISOS_2024[[#All],[Total pagado]],"",0)</f>
        <v>#NAME?</v>
      </c>
      <c r="AJ2198" s="56">
        <f>IF(PAA_4[[#This Row],[BOLSA]]=0,0,SUMIFS([2]!COMPROMISOS_2024[[#All],[Total pagado]],[2]!COMPROMISOS_2024[[#All],[Bolsa]],PAA_4[[#This Row],[BOLSA]],[2]!COMPROMISOS_2024[[#All],[rubro]],PAA_4[[#This Row],[RCP-RUBRO]]))</f>
        <v>0</v>
      </c>
      <c r="AK2198" s="47" t="e" cm="1">
        <f t="array" aca="1" ref="AK2198" ca="1">_xlfn.XLOOKUP(PAA_4[[#This Row],[RCP-RUBRO]],[2]!COMPROMISOS_2024[[#All],[concatenado]],[2]!COMPROMISOS_2024[[#All],[Total Comprometido]],"",0)</f>
        <v>#NAME?</v>
      </c>
      <c r="AL2198" s="47">
        <f>IF(PAA_4[[#This Row],[BOLSA]]=0,0,SUMIFS([2]!COMPROMISOS_2024[[#All],[Total Comprometido]],[2]!COMPROMISOS_2024[[#All],[Bolsa]],PAA_4[[#This Row],[BOLSA]],[2]!COMPROMISOS_2024[[#All],[concatenado]],PAA_4[[#This Row],[RCP-RUBRO]]))</f>
        <v>0</v>
      </c>
    </row>
    <row r="2199" spans="1:38" s="19" customFormat="1" ht="31.5" customHeight="1">
      <c r="A2199" s="47">
        <v>1291</v>
      </c>
      <c r="B2199" s="51" t="s">
        <v>42</v>
      </c>
      <c r="C2199" s="47" t="str">
        <f>VLOOKUP(PAA_4[[#This Row],[PROYECTO (formulado)2]],[2]PROYECTOS!$G$1:$L$32,6,0)</f>
        <v>SUBGERENCIA DE FOMENTO Y DESARROLLO</v>
      </c>
      <c r="D2199" s="47" t="str">
        <f>+IF(PAA_4[[#This Row],[UNIDAD DE CONTRATACION (formulado)]]="Subgerencia Administrativa y Financiera","FUNCIONAMIENTO","INVERSIÓN")</f>
        <v>INVERSIÓN</v>
      </c>
      <c r="E2199" s="48" t="str">
        <f>VLOOKUP(Q2199,[2]PROYECTOS!$G$1:$K$32,5,0)</f>
        <v>Fortalecimiento de los juegos deportivos institucionales en los municipios del departamento de Antioquia</v>
      </c>
      <c r="F2199" s="48">
        <f>VLOOKUP(E2199,[2]PROYECTOS!$K$1:$M$32,3,0)</f>
        <v>2024003050073</v>
      </c>
      <c r="G2199" s="49" t="s">
        <v>1353</v>
      </c>
      <c r="H2199" s="49" t="str">
        <f>VLOOKUP(Q2199,[2]PROYECTOS!$V$1:$W$32,2,0)</f>
        <v>050081</v>
      </c>
      <c r="I2199" s="78">
        <v>0</v>
      </c>
      <c r="J2199" s="51" t="s">
        <v>42</v>
      </c>
      <c r="K2199" s="47" t="str">
        <f t="shared" ca="1" si="748"/>
        <v>CONTRATADO</v>
      </c>
      <c r="L2199" s="47" t="s">
        <v>94</v>
      </c>
      <c r="M2199" s="47" t="s">
        <v>344</v>
      </c>
      <c r="N2199" s="52" t="s">
        <v>1357</v>
      </c>
      <c r="O2199" s="51" t="e">
        <f>VLOOKUP(N2199,[2]!RUBROS[#All],3,0)</f>
        <v>#REF!</v>
      </c>
      <c r="P2199" s="53" t="e">
        <f>VLOOKUP(N2199,[2]!RUBROS[#All],2,0)</f>
        <v>#REF!</v>
      </c>
      <c r="Q2199" s="47" t="str">
        <f t="shared" si="749"/>
        <v>73</v>
      </c>
      <c r="R2199" s="47" t="str">
        <f t="shared" si="750"/>
        <v>0-205128</v>
      </c>
      <c r="S2199" s="54">
        <v>2</v>
      </c>
      <c r="T2199" s="63" t="s">
        <v>46</v>
      </c>
      <c r="U2199" s="326" t="e">
        <f ca="1">_xlfn.XLOOKUP(PAA_4[[#This Row],[ITEM]],[2]Contrato!A:A,[2]Contrato!Q:Q,"",0)</f>
        <v>#NAME?</v>
      </c>
      <c r="V2199" s="47" t="s">
        <v>95</v>
      </c>
      <c r="W2199" s="47" t="s">
        <v>200</v>
      </c>
      <c r="X2199" s="47" t="s">
        <v>200</v>
      </c>
      <c r="Y2199" s="55" t="e">
        <f ca="1">_xlfn.XLOOKUP(PAA_4[[#This Row],[ITEM]],[2]Contrato!A:A,[2]Contrato!B:B,"",0)</f>
        <v>#NAME?</v>
      </c>
      <c r="Z2199" s="47" t="e">
        <f ca="1">_xlfn.XLOOKUP(PAA_4[[#This Row],[ITEM]],[2]Contrato!A:A,[2]Contrato!G:G,"",0)</f>
        <v>#NAME?</v>
      </c>
      <c r="AA2199" s="47" t="e">
        <f ca="1">_xlfn.XLOOKUP(PAA_4[[#This Row],[ITEM]],[2]Contrato!A:A,[2]Contrato!T:T,"",0)</f>
        <v>#NAME?</v>
      </c>
      <c r="AB2199" s="55" t="e">
        <f ca="1">+MAX(PAA_4[[#This Row],[Comprometido Contrato]],PAA_4[[#This Row],[Comprometido Bolsa]])</f>
        <v>#NAME?</v>
      </c>
      <c r="AC2199" s="55" t="str">
        <f t="shared" ca="1" si="751"/>
        <v/>
      </c>
      <c r="AD2199" s="55" t="e">
        <f ca="1">IF(PAA_4[[#This Row],[ESTADO (formulado)]]="NO CONTRATADO",0,MAX(PAA_4[[#This Row],[Pago por Contrato]],PAA_4[[#This Row],[Pago por bolsa]]))</f>
        <v>#NAME?</v>
      </c>
      <c r="AE2199" s="55" t="str">
        <f t="shared" ca="1" si="752"/>
        <v/>
      </c>
      <c r="AF2199" s="47" t="e">
        <f t="shared" ca="1" si="753"/>
        <v>#NAME?</v>
      </c>
      <c r="AG2199" s="47">
        <f t="shared" si="754"/>
        <v>52010703</v>
      </c>
      <c r="AH2199" s="54">
        <f>IF(Q2199="22",IF(ISNUMBER(SEARCH("econ",PAA_4[[#This Row],[Actividad3]])),"Económico",IF(ISNUMBER(SEARCH("alim",PAA_4[[#This Row],[Actividad3]])),"Alimentación",IF(ISNUMBER(SEARCH("educ",PAA_4[[#This Row],[Actividad3]])),"Educativo","Técnico"))),0)</f>
        <v>0</v>
      </c>
      <c r="AI2199" s="47" t="e" cm="1">
        <f t="array" aca="1" ref="AI2199" ca="1">_xlfn.XLOOKUP(PAA_4[[#This Row],[RCP-RUBRO]],[2]!COMPROMISOS_2024[[#All],[concatenado]],[2]!COMPROMISOS_2024[[#All],[Total pagado]],"",0)</f>
        <v>#NAME?</v>
      </c>
      <c r="AJ2199" s="56">
        <f>IF(PAA_4[[#This Row],[BOLSA]]=0,0,SUMIFS([2]!COMPROMISOS_2024[[#All],[Total pagado]],[2]!COMPROMISOS_2024[[#All],[Bolsa]],PAA_4[[#This Row],[BOLSA]],[2]!COMPROMISOS_2024[[#All],[rubro]],PAA_4[[#This Row],[RCP-RUBRO]]))</f>
        <v>0</v>
      </c>
      <c r="AK2199" s="47" t="e" cm="1">
        <f t="array" aca="1" ref="AK2199" ca="1">_xlfn.XLOOKUP(PAA_4[[#This Row],[RCP-RUBRO]],[2]!COMPROMISOS_2024[[#All],[concatenado]],[2]!COMPROMISOS_2024[[#All],[Total Comprometido]],"",0)</f>
        <v>#NAME?</v>
      </c>
      <c r="AL2199" s="47">
        <f>IF(PAA_4[[#This Row],[BOLSA]]=0,0,SUMIFS([2]!COMPROMISOS_2024[[#All],[Total Comprometido]],[2]!COMPROMISOS_2024[[#All],[Bolsa]],PAA_4[[#This Row],[BOLSA]],[2]!COMPROMISOS_2024[[#All],[concatenado]],PAA_4[[#This Row],[RCP-RUBRO]]))</f>
        <v>0</v>
      </c>
    </row>
    <row r="2200" spans="1:38" s="19" customFormat="1" ht="31.5" customHeight="1">
      <c r="A2200" s="47">
        <v>1056</v>
      </c>
      <c r="B2200" s="47">
        <v>80141607</v>
      </c>
      <c r="C2200" s="47" t="str">
        <f>VLOOKUP(PAA_4[[#This Row],[PROYECTO (formulado)2]],[2]PROYECTOS!$G$1:$L$32,6,0)</f>
        <v>SUBGERENCIA DE FOMENTO Y DESARROLLO</v>
      </c>
      <c r="D2200" s="47" t="str">
        <f>+IF(PAA_4[[#This Row],[UNIDAD DE CONTRATACION (formulado)]]="Subgerencia Administrativa y Financiera","FUNCIONAMIENTO","INVERSIÓN")</f>
        <v>INVERSIÓN</v>
      </c>
      <c r="E2200" s="48" t="str">
        <f>VLOOKUP(Q2200,[2]PROYECTOS!$G$1:$K$32,5,0)</f>
        <v>Fortalecimiento de los juegos deportivos institucionales en los municipios del departamento de Antioquia</v>
      </c>
      <c r="F2200" s="48">
        <f>VLOOKUP(E2200,[2]PROYECTOS!$K$1:$M$32,3,0)</f>
        <v>2024003050073</v>
      </c>
      <c r="G2200" s="49" t="s">
        <v>1353</v>
      </c>
      <c r="H2200" s="49" t="str">
        <f>VLOOKUP(Q2200,[2]PROYECTOS!$V$1:$W$32,2,0)</f>
        <v>050081</v>
      </c>
      <c r="I2200" s="78">
        <v>0</v>
      </c>
      <c r="J2200" s="51" t="s">
        <v>452</v>
      </c>
      <c r="K2200" s="47" t="str">
        <f t="shared" ca="1" si="748"/>
        <v>CONTRATADO</v>
      </c>
      <c r="L2200" s="47" t="s">
        <v>94</v>
      </c>
      <c r="M2200" s="47" t="s">
        <v>42</v>
      </c>
      <c r="N2200" s="52" t="s">
        <v>1363</v>
      </c>
      <c r="O2200" s="51" t="e">
        <f>VLOOKUP(N2200,[2]!RUBROS[#All],3,0)</f>
        <v>#REF!</v>
      </c>
      <c r="P2200" s="53" t="e">
        <f>VLOOKUP(N2200,[2]!RUBROS[#All],2,0)</f>
        <v>#REF!</v>
      </c>
      <c r="Q2200" s="47" t="str">
        <f t="shared" si="749"/>
        <v>73</v>
      </c>
      <c r="R2200" s="47" t="str">
        <f t="shared" si="750"/>
        <v>0-205400</v>
      </c>
      <c r="S2200" s="54">
        <v>4.5</v>
      </c>
      <c r="T2200" s="59" t="s">
        <v>46</v>
      </c>
      <c r="U2200" s="326" t="e">
        <f ca="1">_xlfn.XLOOKUP(PAA_4[[#This Row],[ITEM]],[2]Contrato!A:A,[2]Contrato!Q:Q,"",0)</f>
        <v>#NAME?</v>
      </c>
      <c r="V2200" s="47" t="s">
        <v>95</v>
      </c>
      <c r="W2200" s="47" t="s">
        <v>194</v>
      </c>
      <c r="X2200" s="47" t="s">
        <v>194</v>
      </c>
      <c r="Y2200" s="55" t="e">
        <f ca="1">_xlfn.XLOOKUP(PAA_4[[#This Row],[ITEM]],[2]Contrato!A:A,[2]Contrato!B:B,"",0)</f>
        <v>#NAME?</v>
      </c>
      <c r="Z2200" s="47" t="e">
        <f ca="1">_xlfn.XLOOKUP(PAA_4[[#This Row],[ITEM]],[2]Contrato!A:A,[2]Contrato!G:G,"",0)</f>
        <v>#NAME?</v>
      </c>
      <c r="AA2200" s="47" t="e">
        <f ca="1">_xlfn.XLOOKUP(PAA_4[[#This Row],[ITEM]],[2]Contrato!A:A,[2]Contrato!T:T,"",0)</f>
        <v>#NAME?</v>
      </c>
      <c r="AB2200" s="55" t="e">
        <f ca="1">+MAX(PAA_4[[#This Row],[Comprometido Contrato]],PAA_4[[#This Row],[Comprometido Bolsa]])</f>
        <v>#NAME?</v>
      </c>
      <c r="AC2200" s="55" t="str">
        <f t="shared" ca="1" si="751"/>
        <v/>
      </c>
      <c r="AD2200" s="55" t="e">
        <f ca="1">IF(PAA_4[[#This Row],[ESTADO (formulado)]]="NO CONTRATADO",0,MAX(PAA_4[[#This Row],[Pago por Contrato]],PAA_4[[#This Row],[Pago por bolsa]]))</f>
        <v>#NAME?</v>
      </c>
      <c r="AE2200" s="55" t="str">
        <f t="shared" ca="1" si="752"/>
        <v/>
      </c>
      <c r="AF2200" s="47" t="e">
        <f t="shared" ca="1" si="753"/>
        <v>#NAME?</v>
      </c>
      <c r="AG2200" s="47">
        <f t="shared" si="754"/>
        <v>52010703</v>
      </c>
      <c r="AH2200" s="54">
        <f>IF(Q2200="22",IF(ISNUMBER(SEARCH("econ",PAA_4[[#This Row],[Actividad3]])),"Económico",IF(ISNUMBER(SEARCH("alim",PAA_4[[#This Row],[Actividad3]])),"Alimentación",IF(ISNUMBER(SEARCH("educ",PAA_4[[#This Row],[Actividad3]])),"Educativo","Técnico"))),0)</f>
        <v>0</v>
      </c>
      <c r="AI2200" s="47" t="e" cm="1">
        <f t="array" aca="1" ref="AI2200" ca="1">_xlfn.XLOOKUP(PAA_4[[#This Row],[RCP-RUBRO]],[2]!COMPROMISOS_2024[[#All],[concatenado]],[2]!COMPROMISOS_2024[[#All],[Total pagado]],"",0)</f>
        <v>#NAME?</v>
      </c>
      <c r="AJ2200" s="56">
        <f>IF(PAA_4[[#This Row],[BOLSA]]=0,0,SUMIFS([2]!COMPROMISOS_2024[[#All],[Total pagado]],[2]!COMPROMISOS_2024[[#All],[Bolsa]],PAA_4[[#This Row],[BOLSA]],[2]!COMPROMISOS_2024[[#All],[rubro]],PAA_4[[#This Row],[RCP-RUBRO]]))</f>
        <v>0</v>
      </c>
      <c r="AK2200" s="47" t="e" cm="1">
        <f t="array" aca="1" ref="AK2200" ca="1">_xlfn.XLOOKUP(PAA_4[[#This Row],[RCP-RUBRO]],[2]!COMPROMISOS_2024[[#All],[concatenado]],[2]!COMPROMISOS_2024[[#All],[Total Comprometido]],"",0)</f>
        <v>#NAME?</v>
      </c>
      <c r="AL2200" s="47">
        <f>IF(PAA_4[[#This Row],[BOLSA]]=0,0,SUMIFS([2]!COMPROMISOS_2024[[#All],[Total Comprometido]],[2]!COMPROMISOS_2024[[#All],[Bolsa]],PAA_4[[#This Row],[BOLSA]],[2]!COMPROMISOS_2024[[#All],[concatenado]],PAA_4[[#This Row],[RCP-RUBRO]]))</f>
        <v>0</v>
      </c>
    </row>
    <row r="2201" spans="1:38" s="19" customFormat="1" ht="31.5" customHeight="1">
      <c r="A2201" s="47">
        <v>1057</v>
      </c>
      <c r="B2201" s="47">
        <v>80111600</v>
      </c>
      <c r="C2201" s="47" t="str">
        <f>VLOOKUP(PAA_4[[#This Row],[PROYECTO (formulado)2]],[2]PROYECTOS!$G$1:$L$32,6,0)</f>
        <v>SUBGERENCIA DE FOMENTO Y DESARROLLO</v>
      </c>
      <c r="D2201" s="47" t="str">
        <f>+IF(PAA_4[[#This Row],[UNIDAD DE CONTRATACION (formulado)]]="Subgerencia Administrativa y Financiera","FUNCIONAMIENTO","INVERSIÓN")</f>
        <v>INVERSIÓN</v>
      </c>
      <c r="E2201" s="48" t="str">
        <f>VLOOKUP(Q2201,[2]PROYECTOS!$G$1:$K$32,5,0)</f>
        <v>Desarrollo y promoción del deporte formativo, la recreación y la actividad física en el departamento Antioquia</v>
      </c>
      <c r="F2201" s="48">
        <f>VLOOKUP(E2201,[2]PROYECTOS!$K$1:$M$32,3,0)</f>
        <v>2024003050101</v>
      </c>
      <c r="G2201" s="49" t="s">
        <v>2316</v>
      </c>
      <c r="H2201" s="49" t="str">
        <f>VLOOKUP(Q2201,[2]PROYECTOS!$V$1:$W$32,2,0)</f>
        <v>050075</v>
      </c>
      <c r="I2201" s="78">
        <v>0</v>
      </c>
      <c r="J2201" s="51" t="s">
        <v>42</v>
      </c>
      <c r="K2201" s="47" t="str">
        <f t="shared" ca="1" si="748"/>
        <v>CONTRATADO</v>
      </c>
      <c r="L2201" s="47" t="s">
        <v>94</v>
      </c>
      <c r="M2201" s="47" t="s">
        <v>42</v>
      </c>
      <c r="N2201" s="52" t="s">
        <v>2381</v>
      </c>
      <c r="O2201" s="51" t="e">
        <f>VLOOKUP(N2201,[2]!RUBROS[#All],3,0)</f>
        <v>#REF!</v>
      </c>
      <c r="P2201" s="53" t="e">
        <f>VLOOKUP(N2201,[2]!RUBROS[#All],2,0)</f>
        <v>#REF!</v>
      </c>
      <c r="Q2201" s="47" t="str">
        <f t="shared" si="749"/>
        <v>01</v>
      </c>
      <c r="R2201" s="47" t="str">
        <f t="shared" si="750"/>
        <v>0-205128</v>
      </c>
      <c r="S2201" s="54">
        <v>4.5</v>
      </c>
      <c r="T2201" s="59" t="s">
        <v>46</v>
      </c>
      <c r="U2201" s="326" t="e">
        <f ca="1">_xlfn.XLOOKUP(PAA_4[[#This Row],[ITEM]],[2]Contrato!A:A,[2]Contrato!Q:Q,"",0)</f>
        <v>#NAME?</v>
      </c>
      <c r="V2201" s="47" t="s">
        <v>95</v>
      </c>
      <c r="W2201" s="47" t="s">
        <v>42</v>
      </c>
      <c r="X2201" s="47" t="s">
        <v>42</v>
      </c>
      <c r="Y2201" s="55" t="e">
        <f ca="1">_xlfn.XLOOKUP(PAA_4[[#This Row],[ITEM]],[2]Contrato!A:A,[2]Contrato!B:B,"",0)</f>
        <v>#NAME?</v>
      </c>
      <c r="Z2201" s="47" t="e">
        <f ca="1">_xlfn.XLOOKUP(PAA_4[[#This Row],[ITEM]],[2]Contrato!A:A,[2]Contrato!G:G,"",0)</f>
        <v>#NAME?</v>
      </c>
      <c r="AA2201" s="47" t="e">
        <f ca="1">_xlfn.XLOOKUP(PAA_4[[#This Row],[ITEM]],[2]Contrato!A:A,[2]Contrato!T:T,"",0)</f>
        <v>#NAME?</v>
      </c>
      <c r="AB2201" s="55" t="e">
        <f ca="1">+MAX(PAA_4[[#This Row],[Comprometido Contrato]],PAA_4[[#This Row],[Comprometido Bolsa]])</f>
        <v>#NAME?</v>
      </c>
      <c r="AC2201" s="55" t="str">
        <f t="shared" ca="1" si="751"/>
        <v/>
      </c>
      <c r="AD2201" s="55" t="e">
        <f ca="1">IF(PAA_4[[#This Row],[ESTADO (formulado)]]="NO CONTRATADO",0,MAX(PAA_4[[#This Row],[Pago por Contrato]],PAA_4[[#This Row],[Pago por bolsa]]))</f>
        <v>#NAME?</v>
      </c>
      <c r="AE2201" s="55" t="str">
        <f t="shared" ca="1" si="752"/>
        <v/>
      </c>
      <c r="AF2201" s="47" t="e">
        <f t="shared" ca="1" si="753"/>
        <v>#NAME?</v>
      </c>
      <c r="AG2201" s="47">
        <f t="shared" si="754"/>
        <v>52010702</v>
      </c>
      <c r="AH2201" s="54">
        <f>IF(Q2201="22",IF(ISNUMBER(SEARCH("econ",PAA_4[[#This Row],[Actividad3]])),"Económico",IF(ISNUMBER(SEARCH("alim",PAA_4[[#This Row],[Actividad3]])),"Alimentación",IF(ISNUMBER(SEARCH("educ",PAA_4[[#This Row],[Actividad3]])),"Educativo","Técnico"))),0)</f>
        <v>0</v>
      </c>
      <c r="AI2201" s="47" t="e" cm="1">
        <f t="array" aca="1" ref="AI2201" ca="1">_xlfn.XLOOKUP(PAA_4[[#This Row],[RCP-RUBRO]],[2]!COMPROMISOS_2024[[#All],[concatenado]],[2]!COMPROMISOS_2024[[#All],[Total pagado]],"",0)</f>
        <v>#NAME?</v>
      </c>
      <c r="AJ2201" s="56">
        <f>IF(PAA_4[[#This Row],[BOLSA]]=0,0,SUMIFS([2]!COMPROMISOS_2024[[#All],[Total pagado]],[2]!COMPROMISOS_2024[[#All],[Bolsa]],PAA_4[[#This Row],[BOLSA]],[2]!COMPROMISOS_2024[[#All],[rubro]],PAA_4[[#This Row],[RCP-RUBRO]]))</f>
        <v>0</v>
      </c>
      <c r="AK2201" s="47" t="e" cm="1">
        <f t="array" aca="1" ref="AK2201" ca="1">_xlfn.XLOOKUP(PAA_4[[#This Row],[RCP-RUBRO]],[2]!COMPROMISOS_2024[[#All],[concatenado]],[2]!COMPROMISOS_2024[[#All],[Total Comprometido]],"",0)</f>
        <v>#NAME?</v>
      </c>
      <c r="AL2201" s="47">
        <f>IF(PAA_4[[#This Row],[BOLSA]]=0,0,SUMIFS([2]!COMPROMISOS_2024[[#All],[Total Comprometido]],[2]!COMPROMISOS_2024[[#All],[Bolsa]],PAA_4[[#This Row],[BOLSA]],[2]!COMPROMISOS_2024[[#All],[concatenado]],PAA_4[[#This Row],[RCP-RUBRO]]))</f>
        <v>0</v>
      </c>
    </row>
    <row r="2202" spans="1:38" s="19" customFormat="1" ht="31.5" customHeight="1">
      <c r="A2202" s="47">
        <v>1058</v>
      </c>
      <c r="B2202" s="47">
        <v>80111600</v>
      </c>
      <c r="C2202" s="47" t="str">
        <f>VLOOKUP(PAA_4[[#This Row],[PROYECTO (formulado)2]],[2]PROYECTOS!$G$1:$L$32,6,0)</f>
        <v>SUBGERENCIA DE FOMENTO Y DESARROLLO</v>
      </c>
      <c r="D2202" s="47" t="str">
        <f>+IF(PAA_4[[#This Row],[UNIDAD DE CONTRATACION (formulado)]]="Subgerencia Administrativa y Financiera","FUNCIONAMIENTO","INVERSIÓN")</f>
        <v>INVERSIÓN</v>
      </c>
      <c r="E2202" s="48" t="str">
        <f>VLOOKUP(Q2202,[2]PROYECTOS!$G$1:$K$32,5,0)</f>
        <v>Desarrollo y promoción del deporte formativo, la recreación y la actividad física en el departamento Antioquia</v>
      </c>
      <c r="F2202" s="48">
        <f>VLOOKUP(E2202,[2]PROYECTOS!$K$1:$M$32,3,0)</f>
        <v>2024003050101</v>
      </c>
      <c r="G2202" s="49" t="s">
        <v>2348</v>
      </c>
      <c r="H2202" s="49" t="str">
        <f>VLOOKUP(Q2202,[2]PROYECTOS!$V$1:$W$32,2,0)</f>
        <v>050075</v>
      </c>
      <c r="I2202" s="78">
        <v>0</v>
      </c>
      <c r="J2202" s="51" t="s">
        <v>2382</v>
      </c>
      <c r="K2202" s="47" t="str">
        <f t="shared" ca="1" si="748"/>
        <v>CONTRATADO</v>
      </c>
      <c r="L2202" s="47" t="s">
        <v>94</v>
      </c>
      <c r="M2202" s="47" t="s">
        <v>42</v>
      </c>
      <c r="N2202" s="52" t="s">
        <v>2383</v>
      </c>
      <c r="O2202" s="51" t="e">
        <f>VLOOKUP(N2202,[2]!RUBROS[#All],3,0)</f>
        <v>#REF!</v>
      </c>
      <c r="P2202" s="53" t="e">
        <f>VLOOKUP(N2202,[2]!RUBROS[#All],2,0)</f>
        <v>#REF!</v>
      </c>
      <c r="Q2202" s="47" t="str">
        <f t="shared" si="749"/>
        <v>01</v>
      </c>
      <c r="R2202" s="47" t="str">
        <f t="shared" si="750"/>
        <v>0-205128</v>
      </c>
      <c r="S2202" s="54">
        <v>4.5</v>
      </c>
      <c r="T2202" s="59" t="s">
        <v>46</v>
      </c>
      <c r="U2202" s="326" t="e">
        <f ca="1">_xlfn.XLOOKUP(PAA_4[[#This Row],[ITEM]],[2]Contrato!A:A,[2]Contrato!Q:Q,"",0)</f>
        <v>#NAME?</v>
      </c>
      <c r="V2202" s="47" t="s">
        <v>95</v>
      </c>
      <c r="W2202" s="47" t="s">
        <v>194</v>
      </c>
      <c r="X2202" s="47" t="s">
        <v>194</v>
      </c>
      <c r="Y2202" s="55" t="e">
        <f ca="1">_xlfn.XLOOKUP(PAA_4[[#This Row],[ITEM]],[2]Contrato!A:A,[2]Contrato!B:B,"",0)</f>
        <v>#NAME?</v>
      </c>
      <c r="Z2202" s="47" t="e">
        <f ca="1">_xlfn.XLOOKUP(PAA_4[[#This Row],[ITEM]],[2]Contrato!A:A,[2]Contrato!G:G,"",0)</f>
        <v>#NAME?</v>
      </c>
      <c r="AA2202" s="47" t="e">
        <f ca="1">_xlfn.XLOOKUP(PAA_4[[#This Row],[ITEM]],[2]Contrato!A:A,[2]Contrato!T:T,"",0)</f>
        <v>#NAME?</v>
      </c>
      <c r="AB2202" s="55" t="e">
        <f ca="1">+MAX(PAA_4[[#This Row],[Comprometido Contrato]],PAA_4[[#This Row],[Comprometido Bolsa]])</f>
        <v>#NAME?</v>
      </c>
      <c r="AC2202" s="55" t="str">
        <f t="shared" ca="1" si="751"/>
        <v/>
      </c>
      <c r="AD2202" s="55" t="e">
        <f ca="1">IF(PAA_4[[#This Row],[ESTADO (formulado)]]="NO CONTRATADO",0,MAX(PAA_4[[#This Row],[Pago por Contrato]],PAA_4[[#This Row],[Pago por bolsa]]))</f>
        <v>#NAME?</v>
      </c>
      <c r="AE2202" s="55" t="str">
        <f t="shared" ca="1" si="752"/>
        <v/>
      </c>
      <c r="AF2202" s="47" t="e">
        <f t="shared" ca="1" si="753"/>
        <v>#NAME?</v>
      </c>
      <c r="AG2202" s="47">
        <f t="shared" si="754"/>
        <v>52010702</v>
      </c>
      <c r="AH2202" s="54">
        <f>IF(Q2202="22",IF(ISNUMBER(SEARCH("econ",PAA_4[[#This Row],[Actividad3]])),"Económico",IF(ISNUMBER(SEARCH("alim",PAA_4[[#This Row],[Actividad3]])),"Alimentación",IF(ISNUMBER(SEARCH("educ",PAA_4[[#This Row],[Actividad3]])),"Educativo","Técnico"))),0)</f>
        <v>0</v>
      </c>
      <c r="AI2202" s="47" t="e" cm="1">
        <f t="array" aca="1" ref="AI2202" ca="1">_xlfn.XLOOKUP(PAA_4[[#This Row],[RCP-RUBRO]],[2]!COMPROMISOS_2024[[#All],[concatenado]],[2]!COMPROMISOS_2024[[#All],[Total pagado]],"",0)</f>
        <v>#NAME?</v>
      </c>
      <c r="AJ2202" s="56">
        <f>IF(PAA_4[[#This Row],[BOLSA]]=0,0,SUMIFS([2]!COMPROMISOS_2024[[#All],[Total pagado]],[2]!COMPROMISOS_2024[[#All],[Bolsa]],PAA_4[[#This Row],[BOLSA]],[2]!COMPROMISOS_2024[[#All],[rubro]],PAA_4[[#This Row],[RCP-RUBRO]]))</f>
        <v>0</v>
      </c>
      <c r="AK2202" s="47" t="e" cm="1">
        <f t="array" aca="1" ref="AK2202" ca="1">_xlfn.XLOOKUP(PAA_4[[#This Row],[RCP-RUBRO]],[2]!COMPROMISOS_2024[[#All],[concatenado]],[2]!COMPROMISOS_2024[[#All],[Total Comprometido]],"",0)</f>
        <v>#NAME?</v>
      </c>
      <c r="AL2202" s="47">
        <f>IF(PAA_4[[#This Row],[BOLSA]]=0,0,SUMIFS([2]!COMPROMISOS_2024[[#All],[Total Comprometido]],[2]!COMPROMISOS_2024[[#All],[Bolsa]],PAA_4[[#This Row],[BOLSA]],[2]!COMPROMISOS_2024[[#All],[concatenado]],PAA_4[[#This Row],[RCP-RUBRO]]))</f>
        <v>0</v>
      </c>
    </row>
    <row r="2203" spans="1:38" s="19" customFormat="1" ht="31.5" customHeight="1">
      <c r="A2203" s="47">
        <v>1059</v>
      </c>
      <c r="B2203" s="47">
        <v>80141607</v>
      </c>
      <c r="C2203" s="47" t="str">
        <f>VLOOKUP(PAA_4[[#This Row],[PROYECTO (formulado)2]],[2]PROYECTOS!$G$1:$L$32,6,0)</f>
        <v>SUBGERENCIA DE FOMENTO Y DESARROLLO</v>
      </c>
      <c r="D2203" s="47" t="str">
        <f>+IF(PAA_4[[#This Row],[UNIDAD DE CONTRATACION (formulado)]]="Subgerencia Administrativa y Financiera","FUNCIONAMIENTO","INVERSIÓN")</f>
        <v>INVERSIÓN</v>
      </c>
      <c r="E2203" s="48" t="str">
        <f>VLOOKUP(Q2203,[2]PROYECTOS!$G$1:$K$32,5,0)</f>
        <v>Fortalecimiento de los juegos deportivos institucionales en los municipios del departamento de Antioquia</v>
      </c>
      <c r="F2203" s="48">
        <f>VLOOKUP(E2203,[2]PROYECTOS!$K$1:$M$32,3,0)</f>
        <v>2024003050073</v>
      </c>
      <c r="G2203" s="49" t="s">
        <v>1353</v>
      </c>
      <c r="H2203" s="49" t="str">
        <f>VLOOKUP(Q2203,[2]PROYECTOS!$V$1:$W$32,2,0)</f>
        <v>050081</v>
      </c>
      <c r="I2203" s="78">
        <v>0</v>
      </c>
      <c r="J2203" s="51" t="s">
        <v>452</v>
      </c>
      <c r="K2203" s="47" t="str">
        <f t="shared" ca="1" si="748"/>
        <v>CONTRATADO</v>
      </c>
      <c r="L2203" s="47" t="s">
        <v>94</v>
      </c>
      <c r="M2203" s="47" t="s">
        <v>42</v>
      </c>
      <c r="N2203" s="52" t="s">
        <v>1366</v>
      </c>
      <c r="O2203" s="51" t="e">
        <f>VLOOKUP(N2203,[2]!RUBROS[#All],3,0)</f>
        <v>#REF!</v>
      </c>
      <c r="P2203" s="53" t="e">
        <f>VLOOKUP(N2203,[2]!RUBROS[#All],2,0)</f>
        <v>#REF!</v>
      </c>
      <c r="Q2203" s="47" t="str">
        <f t="shared" si="749"/>
        <v>73</v>
      </c>
      <c r="R2203" s="47" t="str">
        <f t="shared" si="750"/>
        <v>0-205128</v>
      </c>
      <c r="S2203" s="54">
        <v>4.5</v>
      </c>
      <c r="T2203" s="59" t="s">
        <v>46</v>
      </c>
      <c r="U2203" s="326" t="e">
        <f ca="1">_xlfn.XLOOKUP(PAA_4[[#This Row],[ITEM]],[2]Contrato!A:A,[2]Contrato!Q:Q,"",0)</f>
        <v>#NAME?</v>
      </c>
      <c r="V2203" s="47" t="s">
        <v>95</v>
      </c>
      <c r="W2203" s="47" t="s">
        <v>194</v>
      </c>
      <c r="X2203" s="47" t="s">
        <v>194</v>
      </c>
      <c r="Y2203" s="55" t="e">
        <f ca="1">_xlfn.XLOOKUP(PAA_4[[#This Row],[ITEM]],[2]Contrato!A:A,[2]Contrato!B:B,"",0)</f>
        <v>#NAME?</v>
      </c>
      <c r="Z2203" s="47" t="e">
        <f ca="1">_xlfn.XLOOKUP(PAA_4[[#This Row],[ITEM]],[2]Contrato!A:A,[2]Contrato!G:G,"",0)</f>
        <v>#NAME?</v>
      </c>
      <c r="AA2203" s="47" t="e">
        <f ca="1">_xlfn.XLOOKUP(PAA_4[[#This Row],[ITEM]],[2]Contrato!A:A,[2]Contrato!T:T,"",0)</f>
        <v>#NAME?</v>
      </c>
      <c r="AB2203" s="55" t="e">
        <f ca="1">+MAX(PAA_4[[#This Row],[Comprometido Contrato]],PAA_4[[#This Row],[Comprometido Bolsa]])</f>
        <v>#NAME?</v>
      </c>
      <c r="AC2203" s="55" t="str">
        <f t="shared" ca="1" si="751"/>
        <v/>
      </c>
      <c r="AD2203" s="55" t="e">
        <f ca="1">IF(PAA_4[[#This Row],[ESTADO (formulado)]]="NO CONTRATADO",0,MAX(PAA_4[[#This Row],[Pago por Contrato]],PAA_4[[#This Row],[Pago por bolsa]]))</f>
        <v>#NAME?</v>
      </c>
      <c r="AE2203" s="55" t="str">
        <f t="shared" ca="1" si="752"/>
        <v/>
      </c>
      <c r="AF2203" s="47" t="e">
        <f t="shared" ca="1" si="753"/>
        <v>#NAME?</v>
      </c>
      <c r="AG2203" s="47">
        <f t="shared" si="754"/>
        <v>52010703</v>
      </c>
      <c r="AH2203" s="54">
        <f>IF(Q2203="22",IF(ISNUMBER(SEARCH("econ",PAA_4[[#This Row],[Actividad3]])),"Económico",IF(ISNUMBER(SEARCH("alim",PAA_4[[#This Row],[Actividad3]])),"Alimentación",IF(ISNUMBER(SEARCH("educ",PAA_4[[#This Row],[Actividad3]])),"Educativo","Técnico"))),0)</f>
        <v>0</v>
      </c>
      <c r="AI2203" s="47" t="e" cm="1">
        <f t="array" aca="1" ref="AI2203" ca="1">_xlfn.XLOOKUP(PAA_4[[#This Row],[RCP-RUBRO]],[2]!COMPROMISOS_2024[[#All],[concatenado]],[2]!COMPROMISOS_2024[[#All],[Total pagado]],"",0)</f>
        <v>#NAME?</v>
      </c>
      <c r="AJ2203" s="56">
        <f>IF(PAA_4[[#This Row],[BOLSA]]=0,0,SUMIFS([2]!COMPROMISOS_2024[[#All],[Total pagado]],[2]!COMPROMISOS_2024[[#All],[Bolsa]],PAA_4[[#This Row],[BOLSA]],[2]!COMPROMISOS_2024[[#All],[rubro]],PAA_4[[#This Row],[RCP-RUBRO]]))</f>
        <v>0</v>
      </c>
      <c r="AK2203" s="47" t="e" cm="1">
        <f t="array" aca="1" ref="AK2203" ca="1">_xlfn.XLOOKUP(PAA_4[[#This Row],[RCP-RUBRO]],[2]!COMPROMISOS_2024[[#All],[concatenado]],[2]!COMPROMISOS_2024[[#All],[Total Comprometido]],"",0)</f>
        <v>#NAME?</v>
      </c>
      <c r="AL2203" s="47">
        <f>IF(PAA_4[[#This Row],[BOLSA]]=0,0,SUMIFS([2]!COMPROMISOS_2024[[#All],[Total Comprometido]],[2]!COMPROMISOS_2024[[#All],[Bolsa]],PAA_4[[#This Row],[BOLSA]],[2]!COMPROMISOS_2024[[#All],[concatenado]],PAA_4[[#This Row],[RCP-RUBRO]]))</f>
        <v>0</v>
      </c>
    </row>
    <row r="2204" spans="1:38" s="19" customFormat="1" ht="31.5" customHeight="1">
      <c r="A2204" s="47">
        <v>1060</v>
      </c>
      <c r="B2204" s="47">
        <v>80111600</v>
      </c>
      <c r="C2204" s="47" t="str">
        <f>VLOOKUP(PAA_4[[#This Row],[PROYECTO (formulado)2]],[2]PROYECTOS!$G$1:$L$32,6,0)</f>
        <v>SUBGERENCIA DE FOMENTO Y DESARROLLO</v>
      </c>
      <c r="D2204" s="47" t="str">
        <f>+IF(PAA_4[[#This Row],[UNIDAD DE CONTRATACION (formulado)]]="Subgerencia Administrativa y Financiera","FUNCIONAMIENTO","INVERSIÓN")</f>
        <v>INVERSIÓN</v>
      </c>
      <c r="E2204" s="48" t="str">
        <f>VLOOKUP(Q2204,[2]PROYECTOS!$G$1:$K$32,5,0)</f>
        <v>Desarrollo y promoción del deporte formativo, la recreación y la actividad física en el departamento Antioquia</v>
      </c>
      <c r="F2204" s="48">
        <f>VLOOKUP(E2204,[2]PROYECTOS!$K$1:$M$32,3,0)</f>
        <v>2024003050101</v>
      </c>
      <c r="G2204" s="49" t="s">
        <v>2384</v>
      </c>
      <c r="H2204" s="49" t="str">
        <f>VLOOKUP(Q2204,[2]PROYECTOS!$V$1:$W$32,2,0)</f>
        <v>050075</v>
      </c>
      <c r="I2204" s="78">
        <v>0</v>
      </c>
      <c r="J2204" s="51" t="s">
        <v>42</v>
      </c>
      <c r="K2204" s="47" t="str">
        <f t="shared" ca="1" si="748"/>
        <v>CONTRATADO</v>
      </c>
      <c r="L2204" s="47" t="s">
        <v>94</v>
      </c>
      <c r="M2204" s="47" t="s">
        <v>42</v>
      </c>
      <c r="N2204" s="52" t="s">
        <v>2356</v>
      </c>
      <c r="O2204" s="51" t="e">
        <f>VLOOKUP(N2204,[2]!RUBROS[#All],3,0)</f>
        <v>#REF!</v>
      </c>
      <c r="P2204" s="53" t="e">
        <f>VLOOKUP(N2204,[2]!RUBROS[#All],2,0)</f>
        <v>#REF!</v>
      </c>
      <c r="Q2204" s="47" t="str">
        <f t="shared" si="749"/>
        <v>01</v>
      </c>
      <c r="R2204" s="47" t="str">
        <f t="shared" si="750"/>
        <v>0-205128</v>
      </c>
      <c r="S2204" s="54">
        <v>4.5</v>
      </c>
      <c r="T2204" s="59" t="s">
        <v>46</v>
      </c>
      <c r="U2204" s="326" t="e">
        <f ca="1">_xlfn.XLOOKUP(PAA_4[[#This Row],[ITEM]],[2]Contrato!A:A,[2]Contrato!Q:Q,"",0)</f>
        <v>#NAME?</v>
      </c>
      <c r="V2204" s="47" t="s">
        <v>95</v>
      </c>
      <c r="W2204" s="47" t="s">
        <v>42</v>
      </c>
      <c r="X2204" s="47" t="s">
        <v>42</v>
      </c>
      <c r="Y2204" s="55" t="e">
        <f ca="1">_xlfn.XLOOKUP(PAA_4[[#This Row],[ITEM]],[2]Contrato!A:A,[2]Contrato!B:B,"",0)</f>
        <v>#NAME?</v>
      </c>
      <c r="Z2204" s="47" t="e">
        <f ca="1">_xlfn.XLOOKUP(PAA_4[[#This Row],[ITEM]],[2]Contrato!A:A,[2]Contrato!G:G,"",0)</f>
        <v>#NAME?</v>
      </c>
      <c r="AA2204" s="47" t="e">
        <f ca="1">_xlfn.XLOOKUP(PAA_4[[#This Row],[ITEM]],[2]Contrato!A:A,[2]Contrato!T:T,"",0)</f>
        <v>#NAME?</v>
      </c>
      <c r="AB2204" s="55" t="e">
        <f ca="1">+MAX(PAA_4[[#This Row],[Comprometido Contrato]],PAA_4[[#This Row],[Comprometido Bolsa]])</f>
        <v>#NAME?</v>
      </c>
      <c r="AC2204" s="55" t="str">
        <f t="shared" ca="1" si="751"/>
        <v/>
      </c>
      <c r="AD2204" s="55" t="e">
        <f ca="1">IF(PAA_4[[#This Row],[ESTADO (formulado)]]="NO CONTRATADO",0,MAX(PAA_4[[#This Row],[Pago por Contrato]],PAA_4[[#This Row],[Pago por bolsa]]))</f>
        <v>#NAME?</v>
      </c>
      <c r="AE2204" s="55" t="str">
        <f t="shared" ca="1" si="752"/>
        <v/>
      </c>
      <c r="AF2204" s="47" t="e">
        <f t="shared" ca="1" si="753"/>
        <v>#NAME?</v>
      </c>
      <c r="AG2204" s="47">
        <f t="shared" si="754"/>
        <v>52010702</v>
      </c>
      <c r="AH2204" s="54">
        <f>IF(Q2204="22",IF(ISNUMBER(SEARCH("econ",PAA_4[[#This Row],[Actividad3]])),"Económico",IF(ISNUMBER(SEARCH("alim",PAA_4[[#This Row],[Actividad3]])),"Alimentación",IF(ISNUMBER(SEARCH("educ",PAA_4[[#This Row],[Actividad3]])),"Educativo","Técnico"))),0)</f>
        <v>0</v>
      </c>
      <c r="AI2204" s="47" t="e" cm="1">
        <f t="array" aca="1" ref="AI2204" ca="1">_xlfn.XLOOKUP(PAA_4[[#This Row],[RCP-RUBRO]],[2]!COMPROMISOS_2024[[#All],[concatenado]],[2]!COMPROMISOS_2024[[#All],[Total pagado]],"",0)</f>
        <v>#NAME?</v>
      </c>
      <c r="AJ2204" s="56">
        <f>IF(PAA_4[[#This Row],[BOLSA]]=0,0,SUMIFS([2]!COMPROMISOS_2024[[#All],[Total pagado]],[2]!COMPROMISOS_2024[[#All],[Bolsa]],PAA_4[[#This Row],[BOLSA]],[2]!COMPROMISOS_2024[[#All],[rubro]],PAA_4[[#This Row],[RCP-RUBRO]]))</f>
        <v>0</v>
      </c>
      <c r="AK2204" s="47" t="e" cm="1">
        <f t="array" aca="1" ref="AK2204" ca="1">_xlfn.XLOOKUP(PAA_4[[#This Row],[RCP-RUBRO]],[2]!COMPROMISOS_2024[[#All],[concatenado]],[2]!COMPROMISOS_2024[[#All],[Total Comprometido]],"",0)</f>
        <v>#NAME?</v>
      </c>
      <c r="AL2204" s="47">
        <f>IF(PAA_4[[#This Row],[BOLSA]]=0,0,SUMIFS([2]!COMPROMISOS_2024[[#All],[Total Comprometido]],[2]!COMPROMISOS_2024[[#All],[Bolsa]],PAA_4[[#This Row],[BOLSA]],[2]!COMPROMISOS_2024[[#All],[concatenado]],PAA_4[[#This Row],[RCP-RUBRO]]))</f>
        <v>0</v>
      </c>
    </row>
    <row r="2205" spans="1:38" s="19" customFormat="1" ht="31.5" customHeight="1">
      <c r="A2205" s="47">
        <v>1115</v>
      </c>
      <c r="B2205" s="47">
        <v>80141607</v>
      </c>
      <c r="C2205" s="47" t="str">
        <f>VLOOKUP(PAA_4[[#This Row],[PROYECTO (formulado)2]],[2]PROYECTOS!$G$1:$L$32,6,0)</f>
        <v>SUBGERENCIA DE FOMENTO Y DESARROLLO</v>
      </c>
      <c r="D2205" s="47" t="str">
        <f>+IF(PAA_4[[#This Row],[UNIDAD DE CONTRATACION (formulado)]]="Subgerencia Administrativa y Financiera","FUNCIONAMIENTO","INVERSIÓN")</f>
        <v>INVERSIÓN</v>
      </c>
      <c r="E2205" s="48" t="str">
        <f>VLOOKUP(Q2205,[2]PROYECTOS!$G$1:$K$32,5,0)</f>
        <v>Desarrollo y promoción del deporte formativo, la recreación y la actividad física en el departamento Antioquia</v>
      </c>
      <c r="F2205" s="48">
        <f>VLOOKUP(E2205,[2]PROYECTOS!$K$1:$M$32,3,0)</f>
        <v>2024003050101</v>
      </c>
      <c r="G2205" s="49" t="s">
        <v>2385</v>
      </c>
      <c r="H2205" s="49" t="str">
        <f>VLOOKUP(Q2205,[2]PROYECTOS!$V$1:$W$32,2,0)</f>
        <v>050075</v>
      </c>
      <c r="I2205" s="78">
        <v>33717000</v>
      </c>
      <c r="J2205" s="51" t="s">
        <v>1861</v>
      </c>
      <c r="K2205" s="47" t="str">
        <f t="shared" ca="1" si="748"/>
        <v>CONTRATADO</v>
      </c>
      <c r="L2205" s="47" t="s">
        <v>94</v>
      </c>
      <c r="M2205" s="47" t="s">
        <v>255</v>
      </c>
      <c r="N2205" s="52" t="s">
        <v>2356</v>
      </c>
      <c r="O2205" s="51" t="e">
        <f>VLOOKUP(N2205,[2]!RUBROS[#All],3,0)</f>
        <v>#REF!</v>
      </c>
      <c r="P2205" s="53" t="e">
        <f>VLOOKUP(N2205,[2]!RUBROS[#All],2,0)</f>
        <v>#REF!</v>
      </c>
      <c r="Q2205" s="47" t="str">
        <f t="shared" si="749"/>
        <v>01</v>
      </c>
      <c r="R2205" s="47" t="str">
        <f t="shared" si="750"/>
        <v>0-205128</v>
      </c>
      <c r="S2205" s="54">
        <v>4</v>
      </c>
      <c r="T2205" s="63" t="s">
        <v>46</v>
      </c>
      <c r="U2205" s="326" t="e">
        <f ca="1">_xlfn.XLOOKUP(PAA_4[[#This Row],[ITEM]],[2]Contrato!A:A,[2]Contrato!Q:Q,"",0)</f>
        <v>#NAME?</v>
      </c>
      <c r="V2205" s="47" t="s">
        <v>95</v>
      </c>
      <c r="W2205" s="47" t="s">
        <v>194</v>
      </c>
      <c r="X2205" s="47" t="s">
        <v>194</v>
      </c>
      <c r="Y2205" s="55" t="e">
        <f ca="1">_xlfn.XLOOKUP(PAA_4[[#This Row],[ITEM]],[2]Contrato!A:A,[2]Contrato!B:B,"",0)</f>
        <v>#NAME?</v>
      </c>
      <c r="Z2205" s="47" t="e">
        <f ca="1">_xlfn.XLOOKUP(PAA_4[[#This Row],[ITEM]],[2]Contrato!A:A,[2]Contrato!G:G,"",0)</f>
        <v>#NAME?</v>
      </c>
      <c r="AA2205" s="47" t="e">
        <f ca="1">_xlfn.XLOOKUP(PAA_4[[#This Row],[ITEM]],[2]Contrato!A:A,[2]Contrato!T:T,"",0)</f>
        <v>#NAME?</v>
      </c>
      <c r="AB2205" s="55" t="e">
        <f ca="1">+MAX(PAA_4[[#This Row],[Comprometido Contrato]],PAA_4[[#This Row],[Comprometido Bolsa]])</f>
        <v>#NAME?</v>
      </c>
      <c r="AC2205" s="55" t="str">
        <f t="shared" ca="1" si="751"/>
        <v/>
      </c>
      <c r="AD2205" s="55" t="e">
        <f ca="1">IF(PAA_4[[#This Row],[ESTADO (formulado)]]="NO CONTRATADO",0,MAX(PAA_4[[#This Row],[Pago por Contrato]],PAA_4[[#This Row],[Pago por bolsa]]))</f>
        <v>#NAME?</v>
      </c>
      <c r="AE2205" s="55" t="str">
        <f t="shared" ca="1" si="752"/>
        <v/>
      </c>
      <c r="AF2205" s="47" t="e">
        <f t="shared" ca="1" si="753"/>
        <v>#NAME?</v>
      </c>
      <c r="AG2205" s="47">
        <f t="shared" si="754"/>
        <v>52010702</v>
      </c>
      <c r="AH2205" s="54">
        <f>IF(Q2205="22",IF(ISNUMBER(SEARCH("econ",PAA_4[[#This Row],[Actividad3]])),"Económico",IF(ISNUMBER(SEARCH("alim",PAA_4[[#This Row],[Actividad3]])),"Alimentación",IF(ISNUMBER(SEARCH("educ",PAA_4[[#This Row],[Actividad3]])),"Educativo","Técnico"))),0)</f>
        <v>0</v>
      </c>
      <c r="AI2205" s="47" t="e" cm="1">
        <f t="array" aca="1" ref="AI2205" ca="1">_xlfn.XLOOKUP(PAA_4[[#This Row],[RCP-RUBRO]],[2]!COMPROMISOS_2024[[#All],[concatenado]],[2]!COMPROMISOS_2024[[#All],[Total pagado]],"",0)</f>
        <v>#NAME?</v>
      </c>
      <c r="AJ2205" s="56">
        <f>IF(PAA_4[[#This Row],[BOLSA]]=0,0,SUMIFS([2]!COMPROMISOS_2024[[#All],[Total pagado]],[2]!COMPROMISOS_2024[[#All],[Bolsa]],PAA_4[[#This Row],[BOLSA]],[2]!COMPROMISOS_2024[[#All],[rubro]],PAA_4[[#This Row],[RCP-RUBRO]]))</f>
        <v>0</v>
      </c>
      <c r="AK2205" s="47" t="e" cm="1">
        <f t="array" aca="1" ref="AK2205" ca="1">_xlfn.XLOOKUP(PAA_4[[#This Row],[RCP-RUBRO]],[2]!COMPROMISOS_2024[[#All],[concatenado]],[2]!COMPROMISOS_2024[[#All],[Total Comprometido]],"",0)</f>
        <v>#NAME?</v>
      </c>
      <c r="AL2205" s="47">
        <f>IF(PAA_4[[#This Row],[BOLSA]]=0,0,SUMIFS([2]!COMPROMISOS_2024[[#All],[Total Comprometido]],[2]!COMPROMISOS_2024[[#All],[Bolsa]],PAA_4[[#This Row],[BOLSA]],[2]!COMPROMISOS_2024[[#All],[concatenado]],PAA_4[[#This Row],[RCP-RUBRO]]))</f>
        <v>0</v>
      </c>
    </row>
    <row r="2206" spans="1:38" s="19" customFormat="1" ht="31.5" customHeight="1">
      <c r="A2206" s="47" t="s">
        <v>2386</v>
      </c>
      <c r="B2206" s="47">
        <v>80141607</v>
      </c>
      <c r="C2206" s="47" t="str">
        <f>VLOOKUP(PAA_4[[#This Row],[PROYECTO (formulado)2]],[2]PROYECTOS!$G$1:$L$32,6,0)</f>
        <v>SUBGERENCIA DE FOMENTO Y DESARROLLO</v>
      </c>
      <c r="D2206" s="47" t="str">
        <f>+IF(PAA_4[[#This Row],[UNIDAD DE CONTRATACION (formulado)]]="Subgerencia Administrativa y Financiera","FUNCIONAMIENTO","INVERSIÓN")</f>
        <v>INVERSIÓN</v>
      </c>
      <c r="E2206" s="48" t="str">
        <f>VLOOKUP(Q2206,[2]PROYECTOS!$G$1:$K$32,5,0)</f>
        <v>Desarrollo y promoción del deporte formativo, la recreación y la actividad física en el departamento Antioquia</v>
      </c>
      <c r="F2206" s="48">
        <f>VLOOKUP(E2206,[2]PROYECTOS!$K$1:$M$32,3,0)</f>
        <v>2024003050101</v>
      </c>
      <c r="G2206" s="49" t="s">
        <v>2385</v>
      </c>
      <c r="H2206" s="49" t="str">
        <f>VLOOKUP(Q2206,[2]PROYECTOS!$V$1:$W$32,2,0)</f>
        <v>050075</v>
      </c>
      <c r="I2206" s="78">
        <v>18283000</v>
      </c>
      <c r="J2206" s="51" t="s">
        <v>1861</v>
      </c>
      <c r="K2206" s="47" t="str">
        <f t="shared" ca="1" si="748"/>
        <v>CONTRATADO</v>
      </c>
      <c r="L2206" s="47" t="s">
        <v>94</v>
      </c>
      <c r="M2206" s="47" t="s">
        <v>255</v>
      </c>
      <c r="N2206" s="52" t="s">
        <v>2356</v>
      </c>
      <c r="O2206" s="51" t="e">
        <f>VLOOKUP(N2206,[2]!RUBROS[#All],3,0)</f>
        <v>#REF!</v>
      </c>
      <c r="P2206" s="53" t="e">
        <f>VLOOKUP(N2206,[2]!RUBROS[#All],2,0)</f>
        <v>#REF!</v>
      </c>
      <c r="Q2206" s="47" t="str">
        <f t="shared" si="749"/>
        <v>01</v>
      </c>
      <c r="R2206" s="47" t="str">
        <f t="shared" si="750"/>
        <v>0-205128</v>
      </c>
      <c r="S2206" s="54">
        <v>4</v>
      </c>
      <c r="T2206" s="63" t="s">
        <v>46</v>
      </c>
      <c r="U2206" s="326" t="e">
        <f ca="1">_xlfn.XLOOKUP(PAA_4[[#This Row],[ITEM]],[2]Contrato!A:A,[2]Contrato!Q:Q,"",0)</f>
        <v>#NAME?</v>
      </c>
      <c r="V2206" s="47" t="s">
        <v>95</v>
      </c>
      <c r="W2206" s="47" t="s">
        <v>194</v>
      </c>
      <c r="X2206" s="47" t="s">
        <v>194</v>
      </c>
      <c r="Y2206" s="55" t="e">
        <f ca="1">_xlfn.XLOOKUP(PAA_4[[#This Row],[ITEM]],[2]Contrato!A:A,[2]Contrato!B:B,"",0)</f>
        <v>#NAME?</v>
      </c>
      <c r="Z2206" s="47" t="e">
        <f ca="1">_xlfn.XLOOKUP(PAA_4[[#This Row],[ITEM]],[2]Contrato!A:A,[2]Contrato!G:G,"",0)</f>
        <v>#NAME?</v>
      </c>
      <c r="AA2206" s="47" t="e">
        <f ca="1">_xlfn.XLOOKUP(PAA_4[[#This Row],[ITEM]],[2]Contrato!A:A,[2]Contrato!T:T,"",0)</f>
        <v>#NAME?</v>
      </c>
      <c r="AB2206" s="55" t="e">
        <f ca="1">+MAX(PAA_4[[#This Row],[Comprometido Contrato]],PAA_4[[#This Row],[Comprometido Bolsa]])</f>
        <v>#NAME?</v>
      </c>
      <c r="AC2206" s="55" t="str">
        <f t="shared" ca="1" si="751"/>
        <v/>
      </c>
      <c r="AD2206" s="55" t="e">
        <f ca="1">IF(PAA_4[[#This Row],[ESTADO (formulado)]]="NO CONTRATADO",0,MAX(PAA_4[[#This Row],[Pago por Contrato]],PAA_4[[#This Row],[Pago por bolsa]]))</f>
        <v>#NAME?</v>
      </c>
      <c r="AE2206" s="55" t="str">
        <f t="shared" ca="1" si="752"/>
        <v/>
      </c>
      <c r="AF2206" s="47" t="e">
        <f t="shared" ca="1" si="753"/>
        <v>#NAME?</v>
      </c>
      <c r="AG2206" s="47">
        <f t="shared" si="754"/>
        <v>52010702</v>
      </c>
      <c r="AH2206" s="54">
        <f>IF(Q2206="22",IF(ISNUMBER(SEARCH("econ",PAA_4[[#This Row],[Actividad3]])),"Económico",IF(ISNUMBER(SEARCH("alim",PAA_4[[#This Row],[Actividad3]])),"Alimentación",IF(ISNUMBER(SEARCH("educ",PAA_4[[#This Row],[Actividad3]])),"Educativo","Técnico"))),0)</f>
        <v>0</v>
      </c>
      <c r="AI2206" s="47" t="e" cm="1">
        <f t="array" aca="1" ref="AI2206" ca="1">_xlfn.XLOOKUP(PAA_4[[#This Row],[RCP-RUBRO]],[2]!COMPROMISOS_2024[[#All],[concatenado]],[2]!COMPROMISOS_2024[[#All],[Total pagado]],"",0)</f>
        <v>#NAME?</v>
      </c>
      <c r="AJ2206" s="56">
        <f>IF(PAA_4[[#This Row],[BOLSA]]=0,0,SUMIFS([2]!COMPROMISOS_2024[[#All],[Total pagado]],[2]!COMPROMISOS_2024[[#All],[Bolsa]],PAA_4[[#This Row],[BOLSA]],[2]!COMPROMISOS_2024[[#All],[rubro]],PAA_4[[#This Row],[RCP-RUBRO]]))</f>
        <v>0</v>
      </c>
      <c r="AK2206" s="47" t="e" cm="1">
        <f t="array" aca="1" ref="AK2206" ca="1">_xlfn.XLOOKUP(PAA_4[[#This Row],[RCP-RUBRO]],[2]!COMPROMISOS_2024[[#All],[concatenado]],[2]!COMPROMISOS_2024[[#All],[Total Comprometido]],"",0)</f>
        <v>#NAME?</v>
      </c>
      <c r="AL2206" s="47">
        <f>IF(PAA_4[[#This Row],[BOLSA]]=0,0,SUMIFS([2]!COMPROMISOS_2024[[#All],[Total Comprometido]],[2]!COMPROMISOS_2024[[#All],[Bolsa]],PAA_4[[#This Row],[BOLSA]],[2]!COMPROMISOS_2024[[#All],[concatenado]],PAA_4[[#This Row],[RCP-RUBRO]]))</f>
        <v>0</v>
      </c>
    </row>
    <row r="2207" spans="1:38" s="19" customFormat="1" ht="31.5" customHeight="1">
      <c r="A2207" s="47">
        <v>1036</v>
      </c>
      <c r="B2207" s="47">
        <v>80141607</v>
      </c>
      <c r="C2207" s="47" t="str">
        <f>VLOOKUP(PAA_4[[#This Row],[PROYECTO (formulado)2]],[2]PROYECTOS!$G$1:$L$32,6,0)</f>
        <v>SUBGERENCIA DE FOMENTO Y DESARROLLO</v>
      </c>
      <c r="D2207" s="47" t="str">
        <f>+IF(PAA_4[[#This Row],[UNIDAD DE CONTRATACION (formulado)]]="Subgerencia Administrativa y Financiera","FUNCIONAMIENTO","INVERSIÓN")</f>
        <v>INVERSIÓN</v>
      </c>
      <c r="E2207" s="48" t="str">
        <f>VLOOKUP(Q2207,[2]PROYECTOS!$G$1:$K$32,5,0)</f>
        <v>Desarrollo y promoción del deporte formativo, la recreación y la actividad física en el departamento Antioquia</v>
      </c>
      <c r="F2207" s="48">
        <f>VLOOKUP(E2207,[2]PROYECTOS!$K$1:$M$32,3,0)</f>
        <v>2024003050101</v>
      </c>
      <c r="G2207" s="49" t="s">
        <v>2385</v>
      </c>
      <c r="H2207" s="49" t="str">
        <f>VLOOKUP(Q2207,[2]PROYECTOS!$V$1:$W$32,2,0)</f>
        <v>050075</v>
      </c>
      <c r="I2207" s="78">
        <v>35000000</v>
      </c>
      <c r="J2207" s="51" t="s">
        <v>2387</v>
      </c>
      <c r="K2207" s="47" t="str">
        <f t="shared" ca="1" si="748"/>
        <v>CONTRATADO</v>
      </c>
      <c r="L2207" s="47" t="s">
        <v>94</v>
      </c>
      <c r="M2207" s="47" t="s">
        <v>255</v>
      </c>
      <c r="N2207" s="52" t="s">
        <v>2356</v>
      </c>
      <c r="O2207" s="51" t="e">
        <f>VLOOKUP(N2207,[2]!RUBROS[#All],3,0)</f>
        <v>#REF!</v>
      </c>
      <c r="P2207" s="53" t="e">
        <f>VLOOKUP(N2207,[2]!RUBROS[#All],2,0)</f>
        <v>#REF!</v>
      </c>
      <c r="Q2207" s="47" t="str">
        <f t="shared" si="749"/>
        <v>01</v>
      </c>
      <c r="R2207" s="47" t="str">
        <f t="shared" si="750"/>
        <v>0-205128</v>
      </c>
      <c r="S2207" s="54">
        <v>3</v>
      </c>
      <c r="T2207" s="59" t="s">
        <v>46</v>
      </c>
      <c r="U2207" s="326" t="e">
        <f ca="1">_xlfn.XLOOKUP(PAA_4[[#This Row],[ITEM]],[2]Contrato!A:A,[2]Contrato!Q:Q,"",0)</f>
        <v>#NAME?</v>
      </c>
      <c r="V2207" s="47" t="s">
        <v>95</v>
      </c>
      <c r="W2207" s="47" t="s">
        <v>203</v>
      </c>
      <c r="X2207" s="47" t="s">
        <v>203</v>
      </c>
      <c r="Y2207" s="55" t="e">
        <f ca="1">_xlfn.XLOOKUP(PAA_4[[#This Row],[ITEM]],[2]Contrato!A:A,[2]Contrato!B:B,"",0)</f>
        <v>#NAME?</v>
      </c>
      <c r="Z2207" s="47" t="e">
        <f ca="1">_xlfn.XLOOKUP(PAA_4[[#This Row],[ITEM]],[2]Contrato!A:A,[2]Contrato!G:G,"",0)</f>
        <v>#NAME?</v>
      </c>
      <c r="AA2207" s="47" t="e">
        <f ca="1">_xlfn.XLOOKUP(PAA_4[[#This Row],[ITEM]],[2]Contrato!A:A,[2]Contrato!T:T,"",0)</f>
        <v>#NAME?</v>
      </c>
      <c r="AB2207" s="55" t="e">
        <f ca="1">+MAX(PAA_4[[#This Row],[Comprometido Contrato]],PAA_4[[#This Row],[Comprometido Bolsa]])</f>
        <v>#NAME?</v>
      </c>
      <c r="AC2207" s="55" t="str">
        <f t="shared" ca="1" si="751"/>
        <v/>
      </c>
      <c r="AD2207" s="55" t="e">
        <f ca="1">IF(PAA_4[[#This Row],[ESTADO (formulado)]]="NO CONTRATADO",0,MAX(PAA_4[[#This Row],[Pago por Contrato]],PAA_4[[#This Row],[Pago por bolsa]]))</f>
        <v>#NAME?</v>
      </c>
      <c r="AE2207" s="55" t="str">
        <f t="shared" ca="1" si="752"/>
        <v/>
      </c>
      <c r="AF2207" s="47" t="e">
        <f t="shared" ca="1" si="753"/>
        <v>#NAME?</v>
      </c>
      <c r="AG2207" s="47">
        <f t="shared" si="754"/>
        <v>52010702</v>
      </c>
      <c r="AH2207" s="54">
        <f>IF(Q2207="22",IF(ISNUMBER(SEARCH("econ",PAA_4[[#This Row],[Actividad3]])),"Económico",IF(ISNUMBER(SEARCH("alim",PAA_4[[#This Row],[Actividad3]])),"Alimentación",IF(ISNUMBER(SEARCH("educ",PAA_4[[#This Row],[Actividad3]])),"Educativo","Técnico"))),0)</f>
        <v>0</v>
      </c>
      <c r="AI2207" s="47" t="e" cm="1">
        <f t="array" aca="1" ref="AI2207" ca="1">_xlfn.XLOOKUP(PAA_4[[#This Row],[RCP-RUBRO]],[2]!COMPROMISOS_2024[[#All],[concatenado]],[2]!COMPROMISOS_2024[[#All],[Total pagado]],"",0)</f>
        <v>#NAME?</v>
      </c>
      <c r="AJ2207" s="56">
        <f>IF(PAA_4[[#This Row],[BOLSA]]=0,0,SUMIFS([2]!COMPROMISOS_2024[[#All],[Total pagado]],[2]!COMPROMISOS_2024[[#All],[Bolsa]],PAA_4[[#This Row],[BOLSA]],[2]!COMPROMISOS_2024[[#All],[rubro]],PAA_4[[#This Row],[RCP-RUBRO]]))</f>
        <v>0</v>
      </c>
      <c r="AK2207" s="47" t="e" cm="1">
        <f t="array" aca="1" ref="AK2207" ca="1">_xlfn.XLOOKUP(PAA_4[[#This Row],[RCP-RUBRO]],[2]!COMPROMISOS_2024[[#All],[concatenado]],[2]!COMPROMISOS_2024[[#All],[Total Comprometido]],"",0)</f>
        <v>#NAME?</v>
      </c>
      <c r="AL2207" s="47">
        <f>IF(PAA_4[[#This Row],[BOLSA]]=0,0,SUMIFS([2]!COMPROMISOS_2024[[#All],[Total Comprometido]],[2]!COMPROMISOS_2024[[#All],[Bolsa]],PAA_4[[#This Row],[BOLSA]],[2]!COMPROMISOS_2024[[#All],[concatenado]],PAA_4[[#This Row],[RCP-RUBRO]]))</f>
        <v>0</v>
      </c>
    </row>
    <row r="2208" spans="1:38" s="19" customFormat="1" ht="31.5" customHeight="1">
      <c r="A2208" s="47">
        <v>1061</v>
      </c>
      <c r="B2208" s="47">
        <v>80141607</v>
      </c>
      <c r="C2208" s="47" t="str">
        <f>VLOOKUP(PAA_4[[#This Row],[PROYECTO (formulado)2]],[2]PROYECTOS!$G$1:$L$32,6,0)</f>
        <v>SUBGERENCIA DE FOMENTO Y DESARROLLO</v>
      </c>
      <c r="D2208" s="47" t="str">
        <f>+IF(PAA_4[[#This Row],[UNIDAD DE CONTRATACION (formulado)]]="Subgerencia Administrativa y Financiera","FUNCIONAMIENTO","INVERSIÓN")</f>
        <v>INVERSIÓN</v>
      </c>
      <c r="E2208" s="48" t="str">
        <f>VLOOKUP(Q2208,[2]PROYECTOS!$G$1:$K$32,5,0)</f>
        <v>Desarrollo y promoción del deporte formativo, la recreación y la actividad física en el departamento Antioquia</v>
      </c>
      <c r="F2208" s="48">
        <f>VLOOKUP(E2208,[2]PROYECTOS!$K$1:$M$32,3,0)</f>
        <v>2024003050101</v>
      </c>
      <c r="G2208" s="49" t="s">
        <v>2385</v>
      </c>
      <c r="H2208" s="49" t="str">
        <f>VLOOKUP(Q2208,[2]PROYECTOS!$V$1:$W$32,2,0)</f>
        <v>050075</v>
      </c>
      <c r="I2208" s="78">
        <v>28139500</v>
      </c>
      <c r="J2208" s="51" t="s">
        <v>2388</v>
      </c>
      <c r="K2208" s="47" t="str">
        <f t="shared" ca="1" si="748"/>
        <v>CONTRATADO</v>
      </c>
      <c r="L2208" s="47" t="s">
        <v>94</v>
      </c>
      <c r="M2208" s="47" t="s">
        <v>42</v>
      </c>
      <c r="N2208" s="52" t="s">
        <v>2356</v>
      </c>
      <c r="O2208" s="51" t="e">
        <f>VLOOKUP(N2208,[2]!RUBROS[#All],3,0)</f>
        <v>#REF!</v>
      </c>
      <c r="P2208" s="53" t="e">
        <f>VLOOKUP(N2208,[2]!RUBROS[#All],2,0)</f>
        <v>#REF!</v>
      </c>
      <c r="Q2208" s="47" t="str">
        <f t="shared" si="749"/>
        <v>01</v>
      </c>
      <c r="R2208" s="47" t="str">
        <f t="shared" si="750"/>
        <v>0-205128</v>
      </c>
      <c r="S2208" s="54">
        <v>4</v>
      </c>
      <c r="T2208" s="59" t="s">
        <v>46</v>
      </c>
      <c r="U2208" s="326" t="e">
        <f ca="1">_xlfn.XLOOKUP(PAA_4[[#This Row],[ITEM]],[2]Contrato!A:A,[2]Contrato!Q:Q,"",0)</f>
        <v>#NAME?</v>
      </c>
      <c r="V2208" s="47" t="s">
        <v>95</v>
      </c>
      <c r="W2208" s="47" t="s">
        <v>194</v>
      </c>
      <c r="X2208" s="47" t="s">
        <v>194</v>
      </c>
      <c r="Y2208" s="55" t="e">
        <f ca="1">_xlfn.XLOOKUP(PAA_4[[#This Row],[ITEM]],[2]Contrato!A:A,[2]Contrato!B:B,"",0)</f>
        <v>#NAME?</v>
      </c>
      <c r="Z2208" s="47" t="e">
        <f ca="1">_xlfn.XLOOKUP(PAA_4[[#This Row],[ITEM]],[2]Contrato!A:A,[2]Contrato!G:G,"",0)</f>
        <v>#NAME?</v>
      </c>
      <c r="AA2208" s="47" t="e">
        <f ca="1">_xlfn.XLOOKUP(PAA_4[[#This Row],[ITEM]],[2]Contrato!A:A,[2]Contrato!T:T,"",0)</f>
        <v>#NAME?</v>
      </c>
      <c r="AB2208" s="55" t="e">
        <f ca="1">+MAX(PAA_4[[#This Row],[Comprometido Contrato]],PAA_4[[#This Row],[Comprometido Bolsa]])</f>
        <v>#NAME?</v>
      </c>
      <c r="AC2208" s="55" t="str">
        <f t="shared" ca="1" si="751"/>
        <v/>
      </c>
      <c r="AD2208" s="55" t="e">
        <f ca="1">IF(PAA_4[[#This Row],[ESTADO (formulado)]]="NO CONTRATADO",0,MAX(PAA_4[[#This Row],[Pago por Contrato]],PAA_4[[#This Row],[Pago por bolsa]]))</f>
        <v>#NAME?</v>
      </c>
      <c r="AE2208" s="55" t="str">
        <f t="shared" ca="1" si="752"/>
        <v/>
      </c>
      <c r="AF2208" s="47" t="e">
        <f t="shared" ca="1" si="753"/>
        <v>#NAME?</v>
      </c>
      <c r="AG2208" s="47">
        <f t="shared" si="754"/>
        <v>52010702</v>
      </c>
      <c r="AH2208" s="54">
        <f>IF(Q2208="22",IF(ISNUMBER(SEARCH("econ",PAA_4[[#This Row],[Actividad3]])),"Económico",IF(ISNUMBER(SEARCH("alim",PAA_4[[#This Row],[Actividad3]])),"Alimentación",IF(ISNUMBER(SEARCH("educ",PAA_4[[#This Row],[Actividad3]])),"Educativo","Técnico"))),0)</f>
        <v>0</v>
      </c>
      <c r="AI2208" s="47" t="e" cm="1">
        <f t="array" aca="1" ref="AI2208" ca="1">_xlfn.XLOOKUP(PAA_4[[#This Row],[RCP-RUBRO]],[2]!COMPROMISOS_2024[[#All],[concatenado]],[2]!COMPROMISOS_2024[[#All],[Total pagado]],"",0)</f>
        <v>#NAME?</v>
      </c>
      <c r="AJ2208" s="56">
        <f>IF(PAA_4[[#This Row],[BOLSA]]=0,0,SUMIFS([2]!COMPROMISOS_2024[[#All],[Total pagado]],[2]!COMPROMISOS_2024[[#All],[Bolsa]],PAA_4[[#This Row],[BOLSA]],[2]!COMPROMISOS_2024[[#All],[rubro]],PAA_4[[#This Row],[RCP-RUBRO]]))</f>
        <v>0</v>
      </c>
      <c r="AK2208" s="47" t="e" cm="1">
        <f t="array" aca="1" ref="AK2208" ca="1">_xlfn.XLOOKUP(PAA_4[[#This Row],[RCP-RUBRO]],[2]!COMPROMISOS_2024[[#All],[concatenado]],[2]!COMPROMISOS_2024[[#All],[Total Comprometido]],"",0)</f>
        <v>#NAME?</v>
      </c>
      <c r="AL2208" s="47">
        <f>IF(PAA_4[[#This Row],[BOLSA]]=0,0,SUMIFS([2]!COMPROMISOS_2024[[#All],[Total Comprometido]],[2]!COMPROMISOS_2024[[#All],[Bolsa]],PAA_4[[#This Row],[BOLSA]],[2]!COMPROMISOS_2024[[#All],[concatenado]],PAA_4[[#This Row],[RCP-RUBRO]]))</f>
        <v>0</v>
      </c>
    </row>
    <row r="2209" spans="1:38" s="19" customFormat="1" ht="31.5" customHeight="1">
      <c r="A2209" s="47">
        <v>1062</v>
      </c>
      <c r="B2209" s="47">
        <v>80141607</v>
      </c>
      <c r="C2209" s="47" t="str">
        <f>VLOOKUP(PAA_4[[#This Row],[PROYECTO (formulado)2]],[2]PROYECTOS!$G$1:$L$32,6,0)</f>
        <v>SUBGERENCIA DE FOMENTO Y DESARROLLO</v>
      </c>
      <c r="D2209" s="47" t="str">
        <f>+IF(PAA_4[[#This Row],[UNIDAD DE CONTRATACION (formulado)]]="Subgerencia Administrativa y Financiera","FUNCIONAMIENTO","INVERSIÓN")</f>
        <v>INVERSIÓN</v>
      </c>
      <c r="E2209" s="48" t="str">
        <f>VLOOKUP(Q2209,[2]PROYECTOS!$G$1:$K$32,5,0)</f>
        <v>Fortalecimiento de los juegos deportivos institucionales en los municipios del departamento de Antioquia</v>
      </c>
      <c r="F2209" s="48">
        <f>VLOOKUP(E2209,[2]PROYECTOS!$K$1:$M$32,3,0)</f>
        <v>2024003050073</v>
      </c>
      <c r="G2209" s="49" t="s">
        <v>1353</v>
      </c>
      <c r="H2209" s="49" t="str">
        <f>VLOOKUP(Q2209,[2]PROYECTOS!$V$1:$W$32,2,0)</f>
        <v>050081</v>
      </c>
      <c r="I2209" s="78">
        <v>0</v>
      </c>
      <c r="J2209" s="51" t="s">
        <v>452</v>
      </c>
      <c r="K2209" s="47" t="str">
        <f t="shared" ca="1" si="748"/>
        <v>CONTRATADO</v>
      </c>
      <c r="L2209" s="47" t="s">
        <v>94</v>
      </c>
      <c r="M2209" s="47" t="s">
        <v>42</v>
      </c>
      <c r="N2209" s="52" t="s">
        <v>1366</v>
      </c>
      <c r="O2209" s="51" t="e">
        <f>VLOOKUP(N2209,[2]!RUBROS[#All],3,0)</f>
        <v>#REF!</v>
      </c>
      <c r="P2209" s="53" t="e">
        <f>VLOOKUP(N2209,[2]!RUBROS[#All],2,0)</f>
        <v>#REF!</v>
      </c>
      <c r="Q2209" s="47" t="str">
        <f t="shared" si="749"/>
        <v>73</v>
      </c>
      <c r="R2209" s="47" t="str">
        <f t="shared" si="750"/>
        <v>0-205128</v>
      </c>
      <c r="S2209" s="54">
        <v>4.5</v>
      </c>
      <c r="T2209" s="59" t="s">
        <v>46</v>
      </c>
      <c r="U2209" s="326" t="e">
        <f ca="1">_xlfn.XLOOKUP(PAA_4[[#This Row],[ITEM]],[2]Contrato!A:A,[2]Contrato!Q:Q,"",0)</f>
        <v>#NAME?</v>
      </c>
      <c r="V2209" s="47" t="s">
        <v>95</v>
      </c>
      <c r="W2209" s="47" t="s">
        <v>194</v>
      </c>
      <c r="X2209" s="47" t="s">
        <v>194</v>
      </c>
      <c r="Y2209" s="55" t="e">
        <f ca="1">_xlfn.XLOOKUP(PAA_4[[#This Row],[ITEM]],[2]Contrato!A:A,[2]Contrato!B:B,"",0)</f>
        <v>#NAME?</v>
      </c>
      <c r="Z2209" s="47" t="e">
        <f ca="1">_xlfn.XLOOKUP(PAA_4[[#This Row],[ITEM]],[2]Contrato!A:A,[2]Contrato!G:G,"",0)</f>
        <v>#NAME?</v>
      </c>
      <c r="AA2209" s="47" t="e">
        <f ca="1">_xlfn.XLOOKUP(PAA_4[[#This Row],[ITEM]],[2]Contrato!A:A,[2]Contrato!T:T,"",0)</f>
        <v>#NAME?</v>
      </c>
      <c r="AB2209" s="55" t="e">
        <f ca="1">+MAX(PAA_4[[#This Row],[Comprometido Contrato]],PAA_4[[#This Row],[Comprometido Bolsa]])</f>
        <v>#NAME?</v>
      </c>
      <c r="AC2209" s="55" t="str">
        <f t="shared" ca="1" si="751"/>
        <v/>
      </c>
      <c r="AD2209" s="55" t="e">
        <f ca="1">IF(PAA_4[[#This Row],[ESTADO (formulado)]]="NO CONTRATADO",0,MAX(PAA_4[[#This Row],[Pago por Contrato]],PAA_4[[#This Row],[Pago por bolsa]]))</f>
        <v>#NAME?</v>
      </c>
      <c r="AE2209" s="55" t="str">
        <f t="shared" ca="1" si="752"/>
        <v/>
      </c>
      <c r="AF2209" s="47" t="e">
        <f t="shared" ca="1" si="753"/>
        <v>#NAME?</v>
      </c>
      <c r="AG2209" s="47">
        <f t="shared" si="754"/>
        <v>52010703</v>
      </c>
      <c r="AH2209" s="54">
        <f>IF(Q2209="22",IF(ISNUMBER(SEARCH("econ",PAA_4[[#This Row],[Actividad3]])),"Económico",IF(ISNUMBER(SEARCH("alim",PAA_4[[#This Row],[Actividad3]])),"Alimentación",IF(ISNUMBER(SEARCH("educ",PAA_4[[#This Row],[Actividad3]])),"Educativo","Técnico"))),0)</f>
        <v>0</v>
      </c>
      <c r="AI2209" s="47" t="e" cm="1">
        <f t="array" aca="1" ref="AI2209" ca="1">_xlfn.XLOOKUP(PAA_4[[#This Row],[RCP-RUBRO]],[2]!COMPROMISOS_2024[[#All],[concatenado]],[2]!COMPROMISOS_2024[[#All],[Total pagado]],"",0)</f>
        <v>#NAME?</v>
      </c>
      <c r="AJ2209" s="56">
        <f>IF(PAA_4[[#This Row],[BOLSA]]=0,0,SUMIFS([2]!COMPROMISOS_2024[[#All],[Total pagado]],[2]!COMPROMISOS_2024[[#All],[Bolsa]],PAA_4[[#This Row],[BOLSA]],[2]!COMPROMISOS_2024[[#All],[rubro]],PAA_4[[#This Row],[RCP-RUBRO]]))</f>
        <v>0</v>
      </c>
      <c r="AK2209" s="47" t="e" cm="1">
        <f t="array" aca="1" ref="AK2209" ca="1">_xlfn.XLOOKUP(PAA_4[[#This Row],[RCP-RUBRO]],[2]!COMPROMISOS_2024[[#All],[concatenado]],[2]!COMPROMISOS_2024[[#All],[Total Comprometido]],"",0)</f>
        <v>#NAME?</v>
      </c>
      <c r="AL2209" s="47">
        <f>IF(PAA_4[[#This Row],[BOLSA]]=0,0,SUMIFS([2]!COMPROMISOS_2024[[#All],[Total Comprometido]],[2]!COMPROMISOS_2024[[#All],[Bolsa]],PAA_4[[#This Row],[BOLSA]],[2]!COMPROMISOS_2024[[#All],[concatenado]],PAA_4[[#This Row],[RCP-RUBRO]]))</f>
        <v>0</v>
      </c>
    </row>
    <row r="2210" spans="1:38" s="19" customFormat="1" ht="31.5" customHeight="1">
      <c r="A2210" s="47">
        <v>1260</v>
      </c>
      <c r="B2210" s="47">
        <v>80141607</v>
      </c>
      <c r="C2210" s="47" t="str">
        <f>VLOOKUP(PAA_4[[#This Row],[PROYECTO (formulado)2]],[2]PROYECTOS!$G$1:$L$32,6,0)</f>
        <v>SUBGERENCIA DE FOMENTO Y DESARROLLO</v>
      </c>
      <c r="D2210" s="47" t="str">
        <f>+IF(PAA_4[[#This Row],[UNIDAD DE CONTRATACION (formulado)]]="Subgerencia Administrativa y Financiera","FUNCIONAMIENTO","INVERSIÓN")</f>
        <v>INVERSIÓN</v>
      </c>
      <c r="E2210" s="48" t="str">
        <f>VLOOKUP(Q2210,[2]PROYECTOS!$G$1:$K$32,5,0)</f>
        <v>Desarrollo y promoción del deporte formativo, la recreación y la actividad física en el departamento Antioquia</v>
      </c>
      <c r="F2210" s="48">
        <f>VLOOKUP(E2210,[2]PROYECTOS!$K$1:$M$32,3,0)</f>
        <v>2024003050101</v>
      </c>
      <c r="G2210" s="49" t="s">
        <v>2389</v>
      </c>
      <c r="H2210" s="49" t="str">
        <f>VLOOKUP(Q2210,[2]PROYECTOS!$V$1:$W$32,2,0)</f>
        <v>050075</v>
      </c>
      <c r="I2210" s="78">
        <v>700000000</v>
      </c>
      <c r="J2210" s="51" t="s">
        <v>2390</v>
      </c>
      <c r="K2210" s="47" t="str">
        <f t="shared" ca="1" si="748"/>
        <v>CONTRATADO</v>
      </c>
      <c r="L2210" s="47" t="s">
        <v>94</v>
      </c>
      <c r="M2210" s="47" t="s">
        <v>89</v>
      </c>
      <c r="N2210" s="52" t="s">
        <v>2391</v>
      </c>
      <c r="O2210" s="51" t="e">
        <f>VLOOKUP(N2210,[2]!RUBROS[#All],3,0)</f>
        <v>#REF!</v>
      </c>
      <c r="P2210" s="53" t="e">
        <f>VLOOKUP(N2210,[2]!RUBROS[#All],2,0)</f>
        <v>#REF!</v>
      </c>
      <c r="Q2210" s="47" t="str">
        <f t="shared" si="749"/>
        <v>01</v>
      </c>
      <c r="R2210" s="47" t="str">
        <f t="shared" si="750"/>
        <v>0-205128</v>
      </c>
      <c r="S2210" s="54">
        <v>2.5</v>
      </c>
      <c r="T2210" s="59" t="s">
        <v>46</v>
      </c>
      <c r="U2210" s="326" t="e">
        <f ca="1">_xlfn.XLOOKUP(PAA_4[[#This Row],[ITEM]],[2]Contrato!A:A,[2]Contrato!Q:Q,"",0)</f>
        <v>#NAME?</v>
      </c>
      <c r="V2210" s="47" t="s">
        <v>95</v>
      </c>
      <c r="W2210" s="47" t="s">
        <v>204</v>
      </c>
      <c r="X2210" s="47" t="s">
        <v>204</v>
      </c>
      <c r="Y2210" s="55" t="e">
        <f ca="1">_xlfn.XLOOKUP(PAA_4[[#This Row],[ITEM]],[2]Contrato!A:A,[2]Contrato!B:B,"",0)</f>
        <v>#NAME?</v>
      </c>
      <c r="Z2210" s="47" t="e">
        <f ca="1">_xlfn.XLOOKUP(PAA_4[[#This Row],[ITEM]],[2]Contrato!A:A,[2]Contrato!G:G,"",0)</f>
        <v>#NAME?</v>
      </c>
      <c r="AA2210" s="47" t="e">
        <f ca="1">_xlfn.XLOOKUP(PAA_4[[#This Row],[ITEM]],[2]Contrato!A:A,[2]Contrato!T:T,"",0)</f>
        <v>#NAME?</v>
      </c>
      <c r="AB2210" s="55" t="e">
        <f ca="1">+MAX(PAA_4[[#This Row],[Comprometido Contrato]],PAA_4[[#This Row],[Comprometido Bolsa]])</f>
        <v>#NAME?</v>
      </c>
      <c r="AC2210" s="55" t="str">
        <f t="shared" ca="1" si="751"/>
        <v/>
      </c>
      <c r="AD2210" s="55" t="e">
        <f ca="1">IF(PAA_4[[#This Row],[ESTADO (formulado)]]="NO CONTRATADO",0,MAX(PAA_4[[#This Row],[Pago por Contrato]],PAA_4[[#This Row],[Pago por bolsa]]))</f>
        <v>#NAME?</v>
      </c>
      <c r="AE2210" s="55" t="str">
        <f t="shared" ca="1" si="752"/>
        <v/>
      </c>
      <c r="AF2210" s="47" t="e">
        <f t="shared" ca="1" si="753"/>
        <v>#NAME?</v>
      </c>
      <c r="AG2210" s="47">
        <f t="shared" si="754"/>
        <v>52010702</v>
      </c>
      <c r="AH2210" s="54">
        <f>IF(Q2210="22",IF(ISNUMBER(SEARCH("econ",PAA_4[[#This Row],[Actividad3]])),"Económico",IF(ISNUMBER(SEARCH("alim",PAA_4[[#This Row],[Actividad3]])),"Alimentación",IF(ISNUMBER(SEARCH("educ",PAA_4[[#This Row],[Actividad3]])),"Educativo","Técnico"))),0)</f>
        <v>0</v>
      </c>
      <c r="AI2210" s="47" t="e" cm="1">
        <f t="array" aca="1" ref="AI2210" ca="1">_xlfn.XLOOKUP(PAA_4[[#This Row],[RCP-RUBRO]],[2]!COMPROMISOS_2024[[#All],[concatenado]],[2]!COMPROMISOS_2024[[#All],[Total pagado]],"",0)</f>
        <v>#NAME?</v>
      </c>
      <c r="AJ2210" s="56">
        <f>IF(PAA_4[[#This Row],[BOLSA]]=0,0,SUMIFS([2]!COMPROMISOS_2024[[#All],[Total pagado]],[2]!COMPROMISOS_2024[[#All],[Bolsa]],PAA_4[[#This Row],[BOLSA]],[2]!COMPROMISOS_2024[[#All],[rubro]],PAA_4[[#This Row],[RCP-RUBRO]]))</f>
        <v>0</v>
      </c>
      <c r="AK2210" s="47" t="e" cm="1">
        <f t="array" aca="1" ref="AK2210" ca="1">_xlfn.XLOOKUP(PAA_4[[#This Row],[RCP-RUBRO]],[2]!COMPROMISOS_2024[[#All],[concatenado]],[2]!COMPROMISOS_2024[[#All],[Total Comprometido]],"",0)</f>
        <v>#NAME?</v>
      </c>
      <c r="AL2210" s="47">
        <f>IF(PAA_4[[#This Row],[BOLSA]]=0,0,SUMIFS([2]!COMPROMISOS_2024[[#All],[Total Comprometido]],[2]!COMPROMISOS_2024[[#All],[Bolsa]],PAA_4[[#This Row],[BOLSA]],[2]!COMPROMISOS_2024[[#All],[concatenado]],PAA_4[[#This Row],[RCP-RUBRO]]))</f>
        <v>0</v>
      </c>
    </row>
    <row r="2211" spans="1:38" s="19" customFormat="1" ht="31.5" customHeight="1">
      <c r="A2211" s="47">
        <v>1063</v>
      </c>
      <c r="B2211" s="47">
        <v>80141607</v>
      </c>
      <c r="C2211" s="47" t="str">
        <f>VLOOKUP(PAA_4[[#This Row],[PROYECTO (formulado)2]],[2]PROYECTOS!$G$1:$L$32,6,0)</f>
        <v>SUBGERENCIA DE FOMENTO Y DESARROLLO</v>
      </c>
      <c r="D2211" s="47" t="str">
        <f>+IF(PAA_4[[#This Row],[UNIDAD DE CONTRATACION (formulado)]]="Subgerencia Administrativa y Financiera","FUNCIONAMIENTO","INVERSIÓN")</f>
        <v>INVERSIÓN</v>
      </c>
      <c r="E2211" s="48" t="str">
        <f>VLOOKUP(Q2211,[2]PROYECTOS!$G$1:$K$32,5,0)</f>
        <v>Desarrollo y promoción del deporte formativo, la recreación y la actividad física en el departamento Antioquia</v>
      </c>
      <c r="F2211" s="48">
        <f>VLOOKUP(E2211,[2]PROYECTOS!$K$1:$M$32,3,0)</f>
        <v>2024003050101</v>
      </c>
      <c r="G2211" s="49" t="s">
        <v>2389</v>
      </c>
      <c r="H2211" s="49" t="str">
        <f>VLOOKUP(Q2211,[2]PROYECTOS!$V$1:$W$32,2,0)</f>
        <v>050075</v>
      </c>
      <c r="I2211" s="78">
        <v>1664634548</v>
      </c>
      <c r="J2211" s="51" t="s">
        <v>443</v>
      </c>
      <c r="K2211" s="47" t="str">
        <f t="shared" ca="1" si="748"/>
        <v>CONTRATADO</v>
      </c>
      <c r="L2211" s="47" t="s">
        <v>94</v>
      </c>
      <c r="M2211" s="47" t="s">
        <v>42</v>
      </c>
      <c r="N2211" s="52" t="s">
        <v>2391</v>
      </c>
      <c r="O2211" s="51" t="e">
        <f>VLOOKUP(N2211,[2]!RUBROS[#All],3,0)</f>
        <v>#REF!</v>
      </c>
      <c r="P2211" s="53" t="e">
        <f>VLOOKUP(N2211,[2]!RUBROS[#All],2,0)</f>
        <v>#REF!</v>
      </c>
      <c r="Q2211" s="47" t="str">
        <f t="shared" si="749"/>
        <v>01</v>
      </c>
      <c r="R2211" s="47" t="str">
        <f t="shared" si="750"/>
        <v>0-205128</v>
      </c>
      <c r="S2211" s="54">
        <v>2.5</v>
      </c>
      <c r="T2211" s="59" t="s">
        <v>46</v>
      </c>
      <c r="U2211" s="326" t="e">
        <f ca="1">_xlfn.XLOOKUP(PAA_4[[#This Row],[ITEM]],[2]Contrato!A:A,[2]Contrato!Q:Q,"",0)</f>
        <v>#NAME?</v>
      </c>
      <c r="V2211" s="47" t="s">
        <v>95</v>
      </c>
      <c r="W2211" s="47" t="s">
        <v>204</v>
      </c>
      <c r="X2211" s="47" t="s">
        <v>204</v>
      </c>
      <c r="Y2211" s="55" t="e">
        <f ca="1">_xlfn.XLOOKUP(PAA_4[[#This Row],[ITEM]],[2]Contrato!A:A,[2]Contrato!B:B,"",0)</f>
        <v>#NAME?</v>
      </c>
      <c r="Z2211" s="47" t="e">
        <f ca="1">_xlfn.XLOOKUP(PAA_4[[#This Row],[ITEM]],[2]Contrato!A:A,[2]Contrato!G:G,"",0)</f>
        <v>#NAME?</v>
      </c>
      <c r="AA2211" s="47" t="e">
        <f ca="1">_xlfn.XLOOKUP(PAA_4[[#This Row],[ITEM]],[2]Contrato!A:A,[2]Contrato!T:T,"",0)</f>
        <v>#NAME?</v>
      </c>
      <c r="AB2211" s="55" t="e">
        <f ca="1">+MAX(PAA_4[[#This Row],[Comprometido Contrato]],PAA_4[[#This Row],[Comprometido Bolsa]])</f>
        <v>#NAME?</v>
      </c>
      <c r="AC2211" s="55" t="str">
        <f t="shared" ca="1" si="751"/>
        <v/>
      </c>
      <c r="AD2211" s="55" t="e">
        <f ca="1">IF(PAA_4[[#This Row],[ESTADO (formulado)]]="NO CONTRATADO",0,MAX(PAA_4[[#This Row],[Pago por Contrato]],PAA_4[[#This Row],[Pago por bolsa]]))</f>
        <v>#NAME?</v>
      </c>
      <c r="AE2211" s="55" t="str">
        <f t="shared" ca="1" si="752"/>
        <v/>
      </c>
      <c r="AF2211" s="47" t="e">
        <f t="shared" ca="1" si="753"/>
        <v>#NAME?</v>
      </c>
      <c r="AG2211" s="47">
        <f t="shared" si="754"/>
        <v>52010702</v>
      </c>
      <c r="AH2211" s="54">
        <f>IF(Q2211="22",IF(ISNUMBER(SEARCH("econ",PAA_4[[#This Row],[Actividad3]])),"Económico",IF(ISNUMBER(SEARCH("alim",PAA_4[[#This Row],[Actividad3]])),"Alimentación",IF(ISNUMBER(SEARCH("educ",PAA_4[[#This Row],[Actividad3]])),"Educativo","Técnico"))),0)</f>
        <v>0</v>
      </c>
      <c r="AI2211" s="47" t="e" cm="1">
        <f t="array" aca="1" ref="AI2211" ca="1">_xlfn.XLOOKUP(PAA_4[[#This Row],[RCP-RUBRO]],[2]!COMPROMISOS_2024[[#All],[concatenado]],[2]!COMPROMISOS_2024[[#All],[Total pagado]],"",0)</f>
        <v>#NAME?</v>
      </c>
      <c r="AJ2211" s="56">
        <f>IF(PAA_4[[#This Row],[BOLSA]]=0,0,SUMIFS([2]!COMPROMISOS_2024[[#All],[Total pagado]],[2]!COMPROMISOS_2024[[#All],[Bolsa]],PAA_4[[#This Row],[BOLSA]],[2]!COMPROMISOS_2024[[#All],[rubro]],PAA_4[[#This Row],[RCP-RUBRO]]))</f>
        <v>0</v>
      </c>
      <c r="AK2211" s="47" t="e" cm="1">
        <f t="array" aca="1" ref="AK2211" ca="1">_xlfn.XLOOKUP(PAA_4[[#This Row],[RCP-RUBRO]],[2]!COMPROMISOS_2024[[#All],[concatenado]],[2]!COMPROMISOS_2024[[#All],[Total Comprometido]],"",0)</f>
        <v>#NAME?</v>
      </c>
      <c r="AL2211" s="47">
        <f>IF(PAA_4[[#This Row],[BOLSA]]=0,0,SUMIFS([2]!COMPROMISOS_2024[[#All],[Total Comprometido]],[2]!COMPROMISOS_2024[[#All],[Bolsa]],PAA_4[[#This Row],[BOLSA]],[2]!COMPROMISOS_2024[[#All],[concatenado]],PAA_4[[#This Row],[RCP-RUBRO]]))</f>
        <v>0</v>
      </c>
    </row>
    <row r="2212" spans="1:38" s="19" customFormat="1" ht="31.5" customHeight="1">
      <c r="A2212" s="47">
        <v>1063</v>
      </c>
      <c r="B2212" s="47">
        <v>80141607</v>
      </c>
      <c r="C2212" s="47" t="str">
        <f>VLOOKUP(PAA_4[[#This Row],[PROYECTO (formulado)2]],[2]PROYECTOS!$G$1:$L$32,6,0)</f>
        <v>SUBGERENCIA DE FOMENTO Y DESARROLLO</v>
      </c>
      <c r="D2212" s="47" t="str">
        <f>+IF(PAA_4[[#This Row],[UNIDAD DE CONTRATACION (formulado)]]="Subgerencia Administrativa y Financiera","FUNCIONAMIENTO","INVERSIÓN")</f>
        <v>INVERSIÓN</v>
      </c>
      <c r="E2212" s="48" t="str">
        <f>VLOOKUP(Q2212,[2]PROYECTOS!$G$1:$K$32,5,0)</f>
        <v>Desarrollo y promoción del deporte formativo, la recreación y la actividad física en el departamento Antioquia</v>
      </c>
      <c r="F2212" s="48">
        <f>VLOOKUP(E2212,[2]PROYECTOS!$K$1:$M$32,3,0)</f>
        <v>2024003050101</v>
      </c>
      <c r="G2212" s="49" t="s">
        <v>2389</v>
      </c>
      <c r="H2212" s="49" t="str">
        <f>VLOOKUP(Q2212,[2]PROYECTOS!$V$1:$W$32,2,0)</f>
        <v>050075</v>
      </c>
      <c r="I2212" s="78">
        <v>188308719</v>
      </c>
      <c r="J2212" s="51" t="s">
        <v>443</v>
      </c>
      <c r="K2212" s="47" t="str">
        <f t="shared" ca="1" si="748"/>
        <v>CONTRATADO</v>
      </c>
      <c r="L2212" s="47" t="s">
        <v>94</v>
      </c>
      <c r="M2212" s="47" t="s">
        <v>42</v>
      </c>
      <c r="N2212" s="52" t="s">
        <v>2392</v>
      </c>
      <c r="O2212" s="51" t="e">
        <f>VLOOKUP(N2212,[2]!RUBROS[#All],3,0)</f>
        <v>#REF!</v>
      </c>
      <c r="P2212" s="53" t="e">
        <f>VLOOKUP(N2212,[2]!RUBROS[#All],2,0)</f>
        <v>#REF!</v>
      </c>
      <c r="Q2212" s="47" t="str">
        <f t="shared" si="749"/>
        <v>01</v>
      </c>
      <c r="R2212" s="47" t="str">
        <f t="shared" si="750"/>
        <v>4-205128</v>
      </c>
      <c r="S2212" s="54">
        <v>4.5</v>
      </c>
      <c r="T2212" s="59" t="s">
        <v>46</v>
      </c>
      <c r="U2212" s="326" t="e">
        <f ca="1">_xlfn.XLOOKUP(PAA_4[[#This Row],[ITEM]],[2]Contrato!A:A,[2]Contrato!Q:Q,"",0)</f>
        <v>#NAME?</v>
      </c>
      <c r="V2212" s="47" t="s">
        <v>95</v>
      </c>
      <c r="W2212" s="47" t="s">
        <v>194</v>
      </c>
      <c r="X2212" s="47" t="s">
        <v>194</v>
      </c>
      <c r="Y2212" s="55" t="e">
        <f ca="1">_xlfn.XLOOKUP(PAA_4[[#This Row],[ITEM]],[2]Contrato!A:A,[2]Contrato!B:B,"",0)</f>
        <v>#NAME?</v>
      </c>
      <c r="Z2212" s="47" t="e">
        <f ca="1">_xlfn.XLOOKUP(PAA_4[[#This Row],[ITEM]],[2]Contrato!A:A,[2]Contrato!G:G,"",0)</f>
        <v>#NAME?</v>
      </c>
      <c r="AA2212" s="47" t="e">
        <f ca="1">_xlfn.XLOOKUP(PAA_4[[#This Row],[ITEM]],[2]Contrato!A:A,[2]Contrato!T:T,"",0)</f>
        <v>#NAME?</v>
      </c>
      <c r="AB2212" s="55" t="e">
        <f ca="1">+MAX(PAA_4[[#This Row],[Comprometido Contrato]],PAA_4[[#This Row],[Comprometido Bolsa]])</f>
        <v>#NAME?</v>
      </c>
      <c r="AC2212" s="55" t="str">
        <f t="shared" ca="1" si="751"/>
        <v/>
      </c>
      <c r="AD2212" s="55" t="e">
        <f ca="1">IF(PAA_4[[#This Row],[ESTADO (formulado)]]="NO CONTRATADO",0,MAX(PAA_4[[#This Row],[Pago por Contrato]],PAA_4[[#This Row],[Pago por bolsa]]))</f>
        <v>#NAME?</v>
      </c>
      <c r="AE2212" s="55" t="str">
        <f t="shared" ca="1" si="752"/>
        <v/>
      </c>
      <c r="AF2212" s="47" t="e">
        <f t="shared" ca="1" si="753"/>
        <v>#NAME?</v>
      </c>
      <c r="AG2212" s="47">
        <f t="shared" si="754"/>
        <v>52010702</v>
      </c>
      <c r="AH2212" s="54">
        <f>IF(Q2212="22",IF(ISNUMBER(SEARCH("econ",PAA_4[[#This Row],[Actividad3]])),"Económico",IF(ISNUMBER(SEARCH("alim",PAA_4[[#This Row],[Actividad3]])),"Alimentación",IF(ISNUMBER(SEARCH("educ",PAA_4[[#This Row],[Actividad3]])),"Educativo","Técnico"))),0)</f>
        <v>0</v>
      </c>
      <c r="AI2212" s="47" t="e" cm="1">
        <f t="array" aca="1" ref="AI2212" ca="1">_xlfn.XLOOKUP(PAA_4[[#This Row],[RCP-RUBRO]],[2]!COMPROMISOS_2024[[#All],[concatenado]],[2]!COMPROMISOS_2024[[#All],[Total pagado]],"",0)</f>
        <v>#NAME?</v>
      </c>
      <c r="AJ2212" s="56">
        <f>IF(PAA_4[[#This Row],[BOLSA]]=0,0,SUMIFS([2]!COMPROMISOS_2024[[#All],[Total pagado]],[2]!COMPROMISOS_2024[[#All],[Bolsa]],PAA_4[[#This Row],[BOLSA]],[2]!COMPROMISOS_2024[[#All],[rubro]],PAA_4[[#This Row],[RCP-RUBRO]]))</f>
        <v>0</v>
      </c>
      <c r="AK2212" s="47" t="e" cm="1">
        <f t="array" aca="1" ref="AK2212" ca="1">_xlfn.XLOOKUP(PAA_4[[#This Row],[RCP-RUBRO]],[2]!COMPROMISOS_2024[[#All],[concatenado]],[2]!COMPROMISOS_2024[[#All],[Total Comprometido]],"",0)</f>
        <v>#NAME?</v>
      </c>
      <c r="AL2212" s="47">
        <f>IF(PAA_4[[#This Row],[BOLSA]]=0,0,SUMIFS([2]!COMPROMISOS_2024[[#All],[Total Comprometido]],[2]!COMPROMISOS_2024[[#All],[Bolsa]],PAA_4[[#This Row],[BOLSA]],[2]!COMPROMISOS_2024[[#All],[concatenado]],PAA_4[[#This Row],[RCP-RUBRO]]))</f>
        <v>0</v>
      </c>
    </row>
    <row r="2213" spans="1:38" s="19" customFormat="1" ht="31.5" customHeight="1">
      <c r="A2213" s="47">
        <v>1064</v>
      </c>
      <c r="B2213" s="47">
        <v>80111600</v>
      </c>
      <c r="C2213" s="47" t="str">
        <f>VLOOKUP(PAA_4[[#This Row],[PROYECTO (formulado)2]],[2]PROYECTOS!$G$1:$L$32,6,0)</f>
        <v>SUBGERENCIA DE FOMENTO Y DESARROLLO</v>
      </c>
      <c r="D2213" s="47" t="str">
        <f>+IF(PAA_4[[#This Row],[UNIDAD DE CONTRATACION (formulado)]]="Subgerencia Administrativa y Financiera","FUNCIONAMIENTO","INVERSIÓN")</f>
        <v>INVERSIÓN</v>
      </c>
      <c r="E2213" s="48" t="str">
        <f>VLOOKUP(Q2213,[2]PROYECTOS!$G$1:$K$32,5,0)</f>
        <v>Desarrollo y promoción del deporte formativo, la recreación y la actividad física en el departamento Antioquia</v>
      </c>
      <c r="F2213" s="48">
        <f>VLOOKUP(E2213,[2]PROYECTOS!$K$1:$M$32,3,0)</f>
        <v>2024003050101</v>
      </c>
      <c r="G2213" s="49" t="s">
        <v>2348</v>
      </c>
      <c r="H2213" s="49" t="str">
        <f>VLOOKUP(Q2213,[2]PROYECTOS!$V$1:$W$32,2,0)</f>
        <v>050075</v>
      </c>
      <c r="I2213" s="78">
        <v>0</v>
      </c>
      <c r="J2213" s="51" t="s">
        <v>2393</v>
      </c>
      <c r="K2213" s="47" t="str">
        <f t="shared" ca="1" si="748"/>
        <v>CONTRATADO</v>
      </c>
      <c r="L2213" s="47" t="s">
        <v>94</v>
      </c>
      <c r="M2213" s="47" t="s">
        <v>42</v>
      </c>
      <c r="N2213" s="52" t="s">
        <v>2394</v>
      </c>
      <c r="O2213" s="51" t="e">
        <f>VLOOKUP(N2213,[2]!RUBROS[#All],3,0)</f>
        <v>#REF!</v>
      </c>
      <c r="P2213" s="53" t="e">
        <f>VLOOKUP(N2213,[2]!RUBROS[#All],2,0)</f>
        <v>#REF!</v>
      </c>
      <c r="Q2213" s="47" t="str">
        <f t="shared" si="749"/>
        <v>01</v>
      </c>
      <c r="R2213" s="47" t="str">
        <f t="shared" si="750"/>
        <v>0-205128</v>
      </c>
      <c r="S2213" s="54">
        <v>4.5</v>
      </c>
      <c r="T2213" s="59" t="s">
        <v>46</v>
      </c>
      <c r="U2213" s="326" t="e">
        <f ca="1">_xlfn.XLOOKUP(PAA_4[[#This Row],[ITEM]],[2]Contrato!A:A,[2]Contrato!Q:Q,"",0)</f>
        <v>#NAME?</v>
      </c>
      <c r="V2213" s="47" t="s">
        <v>95</v>
      </c>
      <c r="W2213" s="47" t="s">
        <v>194</v>
      </c>
      <c r="X2213" s="47" t="s">
        <v>194</v>
      </c>
      <c r="Y2213" s="55" t="e">
        <f ca="1">_xlfn.XLOOKUP(PAA_4[[#This Row],[ITEM]],[2]Contrato!A:A,[2]Contrato!B:B,"",0)</f>
        <v>#NAME?</v>
      </c>
      <c r="Z2213" s="47" t="e">
        <f ca="1">_xlfn.XLOOKUP(PAA_4[[#This Row],[ITEM]],[2]Contrato!A:A,[2]Contrato!G:G,"",0)</f>
        <v>#NAME?</v>
      </c>
      <c r="AA2213" s="47" t="e">
        <f ca="1">_xlfn.XLOOKUP(PAA_4[[#This Row],[ITEM]],[2]Contrato!A:A,[2]Contrato!T:T,"",0)</f>
        <v>#NAME?</v>
      </c>
      <c r="AB2213" s="55" t="e">
        <f ca="1">+MAX(PAA_4[[#This Row],[Comprometido Contrato]],PAA_4[[#This Row],[Comprometido Bolsa]])</f>
        <v>#NAME?</v>
      </c>
      <c r="AC2213" s="55" t="str">
        <f t="shared" ca="1" si="751"/>
        <v/>
      </c>
      <c r="AD2213" s="55" t="e">
        <f ca="1">IF(PAA_4[[#This Row],[ESTADO (formulado)]]="NO CONTRATADO",0,MAX(PAA_4[[#This Row],[Pago por Contrato]],PAA_4[[#This Row],[Pago por bolsa]]))</f>
        <v>#NAME?</v>
      </c>
      <c r="AE2213" s="55" t="str">
        <f t="shared" ca="1" si="752"/>
        <v/>
      </c>
      <c r="AF2213" s="47" t="e">
        <f t="shared" ca="1" si="753"/>
        <v>#NAME?</v>
      </c>
      <c r="AG2213" s="47">
        <f t="shared" si="754"/>
        <v>52010702</v>
      </c>
      <c r="AH2213" s="54">
        <f>IF(Q2213="22",IF(ISNUMBER(SEARCH("econ",PAA_4[[#This Row],[Actividad3]])),"Económico",IF(ISNUMBER(SEARCH("alim",PAA_4[[#This Row],[Actividad3]])),"Alimentación",IF(ISNUMBER(SEARCH("educ",PAA_4[[#This Row],[Actividad3]])),"Educativo","Técnico"))),0)</f>
        <v>0</v>
      </c>
      <c r="AI2213" s="47" t="e" cm="1">
        <f t="array" aca="1" ref="AI2213" ca="1">_xlfn.XLOOKUP(PAA_4[[#This Row],[RCP-RUBRO]],[2]!COMPROMISOS_2024[[#All],[concatenado]],[2]!COMPROMISOS_2024[[#All],[Total pagado]],"",0)</f>
        <v>#NAME?</v>
      </c>
      <c r="AJ2213" s="56">
        <f>IF(PAA_4[[#This Row],[BOLSA]]=0,0,SUMIFS([2]!COMPROMISOS_2024[[#All],[Total pagado]],[2]!COMPROMISOS_2024[[#All],[Bolsa]],PAA_4[[#This Row],[BOLSA]],[2]!COMPROMISOS_2024[[#All],[rubro]],PAA_4[[#This Row],[RCP-RUBRO]]))</f>
        <v>0</v>
      </c>
      <c r="AK2213" s="47" t="e" cm="1">
        <f t="array" aca="1" ref="AK2213" ca="1">_xlfn.XLOOKUP(PAA_4[[#This Row],[RCP-RUBRO]],[2]!COMPROMISOS_2024[[#All],[concatenado]],[2]!COMPROMISOS_2024[[#All],[Total Comprometido]],"",0)</f>
        <v>#NAME?</v>
      </c>
      <c r="AL2213" s="47">
        <f>IF(PAA_4[[#This Row],[BOLSA]]=0,0,SUMIFS([2]!COMPROMISOS_2024[[#All],[Total Comprometido]],[2]!COMPROMISOS_2024[[#All],[Bolsa]],PAA_4[[#This Row],[BOLSA]],[2]!COMPROMISOS_2024[[#All],[concatenado]],PAA_4[[#This Row],[RCP-RUBRO]]))</f>
        <v>0</v>
      </c>
    </row>
    <row r="2214" spans="1:38" s="377" customFormat="1" ht="31.5" customHeight="1">
      <c r="A2214" s="47">
        <v>1065</v>
      </c>
      <c r="B2214" s="47" t="s">
        <v>42</v>
      </c>
      <c r="C2214" s="47" t="str">
        <f>VLOOKUP(PAA_4[[#This Row],[PROYECTO (formulado)2]],[2]PROYECTOS!$G$1:$L$32,6,0)</f>
        <v>SUBGERENCIA DE FOMENTO Y DESARROLLO</v>
      </c>
      <c r="D2214" s="47" t="str">
        <f>+IF(PAA_4[[#This Row],[UNIDAD DE CONTRATACION (formulado)]]="Subgerencia Administrativa y Financiera","FUNCIONAMIENTO","INVERSIÓN")</f>
        <v>INVERSIÓN</v>
      </c>
      <c r="E2214" s="48" t="str">
        <f>VLOOKUP(Q2214,[2]PROYECTOS!$G$1:$K$32,5,0)</f>
        <v>Fortalecimiento de los juegos deportivos institucionales en los municipios del departamento de Antioquia</v>
      </c>
      <c r="F2214" s="48">
        <f>VLOOKUP(E2214,[2]PROYECTOS!$K$1:$M$32,3,0)</f>
        <v>2024003050073</v>
      </c>
      <c r="G2214" s="49" t="s">
        <v>2395</v>
      </c>
      <c r="H2214" s="49" t="str">
        <f>VLOOKUP(Q2214,[2]PROYECTOS!$V$1:$W$32,2,0)</f>
        <v>050081</v>
      </c>
      <c r="I2214" s="78">
        <v>0</v>
      </c>
      <c r="J2214" s="51" t="s">
        <v>344</v>
      </c>
      <c r="K2214" s="47" t="str">
        <f t="shared" ca="1" si="748"/>
        <v>CONTRATADO</v>
      </c>
      <c r="L2214" s="47" t="s">
        <v>42</v>
      </c>
      <c r="M2214" s="47" t="s">
        <v>42</v>
      </c>
      <c r="N2214" s="52" t="s">
        <v>2396</v>
      </c>
      <c r="O2214" s="51" t="e">
        <f>VLOOKUP(N2214,[2]!RUBROS[#All],3,0)</f>
        <v>#REF!</v>
      </c>
      <c r="P2214" s="53" t="e">
        <f>VLOOKUP(N2214,[2]!RUBROS[#All],2,0)</f>
        <v>#REF!</v>
      </c>
      <c r="Q2214" s="47" t="str">
        <f t="shared" si="749"/>
        <v>73</v>
      </c>
      <c r="R2214" s="47" t="str">
        <f t="shared" si="750"/>
        <v>0-205128</v>
      </c>
      <c r="S2214" s="54" t="s">
        <v>42</v>
      </c>
      <c r="T2214" s="59" t="s">
        <v>42</v>
      </c>
      <c r="U2214" s="326" t="e">
        <f ca="1">_xlfn.XLOOKUP(PAA_4[[#This Row],[ITEM]],[2]Contrato!A:A,[2]Contrato!Q:Q,"",0)</f>
        <v>#NAME?</v>
      </c>
      <c r="V2214" s="47" t="s">
        <v>95</v>
      </c>
      <c r="W2214" s="47" t="s">
        <v>42</v>
      </c>
      <c r="X2214" s="47" t="s">
        <v>42</v>
      </c>
      <c r="Y2214" s="55" t="e">
        <f ca="1">_xlfn.XLOOKUP(PAA_4[[#This Row],[ITEM]],[2]Contrato!A:A,[2]Contrato!B:B,"",0)</f>
        <v>#NAME?</v>
      </c>
      <c r="Z2214" s="47" t="e">
        <f ca="1">_xlfn.XLOOKUP(PAA_4[[#This Row],[ITEM]],[2]Contrato!A:A,[2]Contrato!G:G,"",0)</f>
        <v>#NAME?</v>
      </c>
      <c r="AA2214" s="47" t="e">
        <f ca="1">_xlfn.XLOOKUP(PAA_4[[#This Row],[ITEM]],[2]Contrato!A:A,[2]Contrato!T:T,"",0)</f>
        <v>#NAME?</v>
      </c>
      <c r="AB2214" s="55" t="e">
        <f ca="1">+MAX(PAA_4[[#This Row],[Comprometido Contrato]],PAA_4[[#This Row],[Comprometido Bolsa]])</f>
        <v>#NAME?</v>
      </c>
      <c r="AC2214" s="55" t="str">
        <f t="shared" ca="1" si="751"/>
        <v/>
      </c>
      <c r="AD2214" s="55" t="e">
        <f ca="1">IF(PAA_4[[#This Row],[ESTADO (formulado)]]="NO CONTRATADO",0,MAX(PAA_4[[#This Row],[Pago por Contrato]],PAA_4[[#This Row],[Pago por bolsa]]))</f>
        <v>#NAME?</v>
      </c>
      <c r="AE2214" s="55" t="str">
        <f t="shared" ca="1" si="752"/>
        <v/>
      </c>
      <c r="AF2214" s="47" t="e">
        <f t="shared" ca="1" si="753"/>
        <v>#NAME?</v>
      </c>
      <c r="AG2214" s="47">
        <f t="shared" si="754"/>
        <v>52010703</v>
      </c>
      <c r="AH2214" s="54">
        <f>IF(Q2214="22",IF(ISNUMBER(SEARCH("econ",PAA_4[[#This Row],[Actividad3]])),"Económico",IF(ISNUMBER(SEARCH("alim",PAA_4[[#This Row],[Actividad3]])),"Alimentación",IF(ISNUMBER(SEARCH("educ",PAA_4[[#This Row],[Actividad3]])),"Educativo","Técnico"))),0)</f>
        <v>0</v>
      </c>
      <c r="AI2214" s="47" t="e" cm="1">
        <f t="array" aca="1" ref="AI2214" ca="1">_xlfn.XLOOKUP(PAA_4[[#This Row],[RCP-RUBRO]],[2]!COMPROMISOS_2024[[#All],[concatenado]],[2]!COMPROMISOS_2024[[#All],[Total pagado]],"",0)</f>
        <v>#NAME?</v>
      </c>
      <c r="AJ2214" s="56">
        <f>IF(PAA_4[[#This Row],[BOLSA]]=0,0,SUMIFS([2]!COMPROMISOS_2024[[#All],[Total pagado]],[2]!COMPROMISOS_2024[[#All],[Bolsa]],PAA_4[[#This Row],[BOLSA]],[2]!COMPROMISOS_2024[[#All],[rubro]],PAA_4[[#This Row],[RCP-RUBRO]]))</f>
        <v>0</v>
      </c>
      <c r="AK2214" s="47" t="e" cm="1">
        <f t="array" aca="1" ref="AK2214" ca="1">_xlfn.XLOOKUP(PAA_4[[#This Row],[RCP-RUBRO]],[2]!COMPROMISOS_2024[[#All],[concatenado]],[2]!COMPROMISOS_2024[[#All],[Total Comprometido]],"",0)</f>
        <v>#NAME?</v>
      </c>
      <c r="AL2214" s="47">
        <f>IF(PAA_4[[#This Row],[BOLSA]]=0,0,SUMIFS([2]!COMPROMISOS_2024[[#All],[Total Comprometido]],[2]!COMPROMISOS_2024[[#All],[Bolsa]],PAA_4[[#This Row],[BOLSA]],[2]!COMPROMISOS_2024[[#All],[concatenado]],PAA_4[[#This Row],[RCP-RUBRO]]))</f>
        <v>0</v>
      </c>
    </row>
    <row r="2215" spans="1:38" s="19" customFormat="1" ht="31.5" customHeight="1">
      <c r="A2215" s="47">
        <v>1066</v>
      </c>
      <c r="B2215" s="47">
        <v>80141607</v>
      </c>
      <c r="C2215" s="47" t="str">
        <f>VLOOKUP(PAA_4[[#This Row],[PROYECTO (formulado)2]],[2]PROYECTOS!$G$1:$L$32,6,0)</f>
        <v>SUBGERENCIA DE FOMENTO Y DESARROLLO</v>
      </c>
      <c r="D2215" s="47" t="str">
        <f>+IF(PAA_4[[#This Row],[UNIDAD DE CONTRATACION (formulado)]]="Subgerencia Administrativa y Financiera","FUNCIONAMIENTO","INVERSIÓN")</f>
        <v>INVERSIÓN</v>
      </c>
      <c r="E2215" s="48" t="str">
        <f>VLOOKUP(Q2215,[2]PROYECTOS!$G$1:$K$32,5,0)</f>
        <v>Fortalecimiento de los juegos deportivos institucionales en los municipios del departamento de Antioquia</v>
      </c>
      <c r="F2215" s="48">
        <f>VLOOKUP(E2215,[2]PROYECTOS!$K$1:$M$32,3,0)</f>
        <v>2024003050073</v>
      </c>
      <c r="G2215" s="49" t="s">
        <v>2323</v>
      </c>
      <c r="H2215" s="49" t="str">
        <f>VLOOKUP(Q2215,[2]PROYECTOS!$V$1:$W$32,2,0)</f>
        <v>050081</v>
      </c>
      <c r="I2215" s="78">
        <v>0</v>
      </c>
      <c r="J2215" s="51" t="s">
        <v>446</v>
      </c>
      <c r="K2215" s="47" t="str">
        <f t="shared" ca="1" si="748"/>
        <v>CONTRATADO</v>
      </c>
      <c r="L2215" s="47" t="s">
        <v>94</v>
      </c>
      <c r="M2215" s="47" t="s">
        <v>42</v>
      </c>
      <c r="N2215" s="52" t="s">
        <v>1364</v>
      </c>
      <c r="O2215" s="51" t="e">
        <f>VLOOKUP(N2215,[2]!RUBROS[#All],3,0)</f>
        <v>#REF!</v>
      </c>
      <c r="P2215" s="53" t="e">
        <f>VLOOKUP(N2215,[2]!RUBROS[#All],2,0)</f>
        <v>#REF!</v>
      </c>
      <c r="Q2215" s="47" t="str">
        <f t="shared" si="749"/>
        <v>73</v>
      </c>
      <c r="R2215" s="47" t="str">
        <f t="shared" si="750"/>
        <v>4-205400</v>
      </c>
      <c r="S2215" s="54">
        <v>4.5</v>
      </c>
      <c r="T2215" s="59" t="s">
        <v>46</v>
      </c>
      <c r="U2215" s="326" t="e">
        <f ca="1">_xlfn.XLOOKUP(PAA_4[[#This Row],[ITEM]],[2]Contrato!A:A,[2]Contrato!Q:Q,"",0)</f>
        <v>#NAME?</v>
      </c>
      <c r="V2215" s="47" t="s">
        <v>95</v>
      </c>
      <c r="W2215" s="47" t="s">
        <v>194</v>
      </c>
      <c r="X2215" s="47" t="s">
        <v>194</v>
      </c>
      <c r="Y2215" s="55" t="e">
        <f ca="1">_xlfn.XLOOKUP(PAA_4[[#This Row],[ITEM]],[2]Contrato!A:A,[2]Contrato!B:B,"",0)</f>
        <v>#NAME?</v>
      </c>
      <c r="Z2215" s="47" t="e">
        <f ca="1">_xlfn.XLOOKUP(PAA_4[[#This Row],[ITEM]],[2]Contrato!A:A,[2]Contrato!G:G,"",0)</f>
        <v>#NAME?</v>
      </c>
      <c r="AA2215" s="47" t="e">
        <f ca="1">_xlfn.XLOOKUP(PAA_4[[#This Row],[ITEM]],[2]Contrato!A:A,[2]Contrato!T:T,"",0)</f>
        <v>#NAME?</v>
      </c>
      <c r="AB2215" s="55" t="e">
        <f ca="1">+MAX(PAA_4[[#This Row],[Comprometido Contrato]],PAA_4[[#This Row],[Comprometido Bolsa]])</f>
        <v>#NAME?</v>
      </c>
      <c r="AC2215" s="55" t="str">
        <f t="shared" ca="1" si="751"/>
        <v/>
      </c>
      <c r="AD2215" s="55" t="e">
        <f ca="1">IF(PAA_4[[#This Row],[ESTADO (formulado)]]="NO CONTRATADO",0,MAX(PAA_4[[#This Row],[Pago por Contrato]],PAA_4[[#This Row],[Pago por bolsa]]))</f>
        <v>#NAME?</v>
      </c>
      <c r="AE2215" s="55" t="str">
        <f t="shared" ca="1" si="752"/>
        <v/>
      </c>
      <c r="AF2215" s="47" t="e">
        <f t="shared" ca="1" si="753"/>
        <v>#NAME?</v>
      </c>
      <c r="AG2215" s="47">
        <f t="shared" si="754"/>
        <v>52010703</v>
      </c>
      <c r="AH2215" s="54">
        <f>IF(Q2215="22",IF(ISNUMBER(SEARCH("econ",PAA_4[[#This Row],[Actividad3]])),"Económico",IF(ISNUMBER(SEARCH("alim",PAA_4[[#This Row],[Actividad3]])),"Alimentación",IF(ISNUMBER(SEARCH("educ",PAA_4[[#This Row],[Actividad3]])),"Educativo","Técnico"))),0)</f>
        <v>0</v>
      </c>
      <c r="AI2215" s="47" t="e" cm="1">
        <f t="array" aca="1" ref="AI2215" ca="1">_xlfn.XLOOKUP(PAA_4[[#This Row],[RCP-RUBRO]],[2]!COMPROMISOS_2024[[#All],[concatenado]],[2]!COMPROMISOS_2024[[#All],[Total pagado]],"",0)</f>
        <v>#NAME?</v>
      </c>
      <c r="AJ2215" s="56">
        <f>IF(PAA_4[[#This Row],[BOLSA]]=0,0,SUMIFS([2]!COMPROMISOS_2024[[#All],[Total pagado]],[2]!COMPROMISOS_2024[[#All],[Bolsa]],PAA_4[[#This Row],[BOLSA]],[2]!COMPROMISOS_2024[[#All],[rubro]],PAA_4[[#This Row],[RCP-RUBRO]]))</f>
        <v>0</v>
      </c>
      <c r="AK2215" s="47" t="e" cm="1">
        <f t="array" aca="1" ref="AK2215" ca="1">_xlfn.XLOOKUP(PAA_4[[#This Row],[RCP-RUBRO]],[2]!COMPROMISOS_2024[[#All],[concatenado]],[2]!COMPROMISOS_2024[[#All],[Total Comprometido]],"",0)</f>
        <v>#NAME?</v>
      </c>
      <c r="AL2215" s="47">
        <f>IF(PAA_4[[#This Row],[BOLSA]]=0,0,SUMIFS([2]!COMPROMISOS_2024[[#All],[Total Comprometido]],[2]!COMPROMISOS_2024[[#All],[Bolsa]],PAA_4[[#This Row],[BOLSA]],[2]!COMPROMISOS_2024[[#All],[concatenado]],PAA_4[[#This Row],[RCP-RUBRO]]))</f>
        <v>0</v>
      </c>
    </row>
    <row r="2216" spans="1:38" s="19" customFormat="1" ht="31.5" customHeight="1">
      <c r="A2216" s="47">
        <v>1067</v>
      </c>
      <c r="B2216" s="47">
        <v>80141607</v>
      </c>
      <c r="C2216" s="47" t="str">
        <f>VLOOKUP(PAA_4[[#This Row],[PROYECTO (formulado)2]],[2]PROYECTOS!$G$1:$L$32,6,0)</f>
        <v>SUBGERENCIA DE FOMENTO Y DESARROLLO</v>
      </c>
      <c r="D2216" s="47" t="str">
        <f>+IF(PAA_4[[#This Row],[UNIDAD DE CONTRATACION (formulado)]]="Subgerencia Administrativa y Financiera","FUNCIONAMIENTO","INVERSIÓN")</f>
        <v>INVERSIÓN</v>
      </c>
      <c r="E2216" s="48" t="str">
        <f>VLOOKUP(Q2216,[2]PROYECTOS!$G$1:$K$32,5,0)</f>
        <v>Fortalecimiento de los juegos deportivos institucionales en los municipios del departamento de Antioquia</v>
      </c>
      <c r="F2216" s="48">
        <f>VLOOKUP(E2216,[2]PROYECTOS!$K$1:$M$32,3,0)</f>
        <v>2024003050073</v>
      </c>
      <c r="G2216" s="49" t="s">
        <v>2323</v>
      </c>
      <c r="H2216" s="49" t="str">
        <f>VLOOKUP(Q2216,[2]PROYECTOS!$V$1:$W$32,2,0)</f>
        <v>050081</v>
      </c>
      <c r="I2216" s="78">
        <v>0</v>
      </c>
      <c r="J2216" s="51" t="s">
        <v>446</v>
      </c>
      <c r="K2216" s="47" t="str">
        <f t="shared" ca="1" si="748"/>
        <v>CONTRATADO</v>
      </c>
      <c r="L2216" s="47" t="s">
        <v>94</v>
      </c>
      <c r="M2216" s="47" t="s">
        <v>42</v>
      </c>
      <c r="N2216" s="52" t="s">
        <v>2325</v>
      </c>
      <c r="O2216" s="51" t="e">
        <f>VLOOKUP(N2216,[2]!RUBROS[#All],3,0)</f>
        <v>#REF!</v>
      </c>
      <c r="P2216" s="53" t="e">
        <f>VLOOKUP(N2216,[2]!RUBROS[#All],2,0)</f>
        <v>#REF!</v>
      </c>
      <c r="Q2216" s="47" t="str">
        <f t="shared" si="749"/>
        <v>73</v>
      </c>
      <c r="R2216" s="47" t="str">
        <f t="shared" si="750"/>
        <v>0-205400</v>
      </c>
      <c r="S2216" s="54">
        <v>4.5</v>
      </c>
      <c r="T2216" s="59" t="s">
        <v>46</v>
      </c>
      <c r="U2216" s="326" t="e">
        <f ca="1">_xlfn.XLOOKUP(PAA_4[[#This Row],[ITEM]],[2]Contrato!A:A,[2]Contrato!Q:Q,"",0)</f>
        <v>#NAME?</v>
      </c>
      <c r="V2216" s="47" t="s">
        <v>95</v>
      </c>
      <c r="W2216" s="47" t="s">
        <v>194</v>
      </c>
      <c r="X2216" s="47" t="s">
        <v>194</v>
      </c>
      <c r="Y2216" s="55" t="e">
        <f ca="1">_xlfn.XLOOKUP(PAA_4[[#This Row],[ITEM]],[2]Contrato!A:A,[2]Contrato!B:B,"",0)</f>
        <v>#NAME?</v>
      </c>
      <c r="Z2216" s="47" t="e">
        <f ca="1">_xlfn.XLOOKUP(PAA_4[[#This Row],[ITEM]],[2]Contrato!A:A,[2]Contrato!G:G,"",0)</f>
        <v>#NAME?</v>
      </c>
      <c r="AA2216" s="47" t="e">
        <f ca="1">_xlfn.XLOOKUP(PAA_4[[#This Row],[ITEM]],[2]Contrato!A:A,[2]Contrato!T:T,"",0)</f>
        <v>#NAME?</v>
      </c>
      <c r="AB2216" s="55" t="e">
        <f ca="1">+MAX(PAA_4[[#This Row],[Comprometido Contrato]],PAA_4[[#This Row],[Comprometido Bolsa]])</f>
        <v>#NAME?</v>
      </c>
      <c r="AC2216" s="55" t="str">
        <f t="shared" ca="1" si="751"/>
        <v/>
      </c>
      <c r="AD2216" s="55" t="e">
        <f ca="1">IF(PAA_4[[#This Row],[ESTADO (formulado)]]="NO CONTRATADO",0,MAX(PAA_4[[#This Row],[Pago por Contrato]],PAA_4[[#This Row],[Pago por bolsa]]))</f>
        <v>#NAME?</v>
      </c>
      <c r="AE2216" s="55" t="str">
        <f t="shared" ca="1" si="752"/>
        <v/>
      </c>
      <c r="AF2216" s="47" t="e">
        <f t="shared" ca="1" si="753"/>
        <v>#NAME?</v>
      </c>
      <c r="AG2216" s="47">
        <f t="shared" si="754"/>
        <v>52010703</v>
      </c>
      <c r="AH2216" s="54">
        <f>IF(Q2216="22",IF(ISNUMBER(SEARCH("econ",PAA_4[[#This Row],[Actividad3]])),"Económico",IF(ISNUMBER(SEARCH("alim",PAA_4[[#This Row],[Actividad3]])),"Alimentación",IF(ISNUMBER(SEARCH("educ",PAA_4[[#This Row],[Actividad3]])),"Educativo","Técnico"))),0)</f>
        <v>0</v>
      </c>
      <c r="AI2216" s="47" t="e" cm="1">
        <f t="array" aca="1" ref="AI2216" ca="1">_xlfn.XLOOKUP(PAA_4[[#This Row],[RCP-RUBRO]],[2]!COMPROMISOS_2024[[#All],[concatenado]],[2]!COMPROMISOS_2024[[#All],[Total pagado]],"",0)</f>
        <v>#NAME?</v>
      </c>
      <c r="AJ2216" s="56">
        <f>IF(PAA_4[[#This Row],[BOLSA]]=0,0,SUMIFS([2]!COMPROMISOS_2024[[#All],[Total pagado]],[2]!COMPROMISOS_2024[[#All],[Bolsa]],PAA_4[[#This Row],[BOLSA]],[2]!COMPROMISOS_2024[[#All],[rubro]],PAA_4[[#This Row],[RCP-RUBRO]]))</f>
        <v>0</v>
      </c>
      <c r="AK2216" s="47" t="e" cm="1">
        <f t="array" aca="1" ref="AK2216" ca="1">_xlfn.XLOOKUP(PAA_4[[#This Row],[RCP-RUBRO]],[2]!COMPROMISOS_2024[[#All],[concatenado]],[2]!COMPROMISOS_2024[[#All],[Total Comprometido]],"",0)</f>
        <v>#NAME?</v>
      </c>
      <c r="AL2216" s="47">
        <f>IF(PAA_4[[#This Row],[BOLSA]]=0,0,SUMIFS([2]!COMPROMISOS_2024[[#All],[Total Comprometido]],[2]!COMPROMISOS_2024[[#All],[Bolsa]],PAA_4[[#This Row],[BOLSA]],[2]!COMPROMISOS_2024[[#All],[concatenado]],PAA_4[[#This Row],[RCP-RUBRO]]))</f>
        <v>0</v>
      </c>
    </row>
    <row r="2217" spans="1:38" s="19" customFormat="1" ht="31.5" customHeight="1">
      <c r="A2217" s="47">
        <v>1157</v>
      </c>
      <c r="B2217" s="47">
        <v>80141607</v>
      </c>
      <c r="C2217" s="47" t="str">
        <f>VLOOKUP(PAA_4[[#This Row],[PROYECTO (formulado)2]],[2]PROYECTOS!$G$1:$L$32,6,0)</f>
        <v>SUBGERENCIA DE FOMENTO Y DESARROLLO</v>
      </c>
      <c r="D2217" s="47" t="str">
        <f>+IF(PAA_4[[#This Row],[UNIDAD DE CONTRATACION (formulado)]]="Subgerencia Administrativa y Financiera","FUNCIONAMIENTO","INVERSIÓN")</f>
        <v>INVERSIÓN</v>
      </c>
      <c r="E2217" s="48" t="str">
        <f>VLOOKUP(Q2217,[2]PROYECTOS!$G$1:$K$32,5,0)</f>
        <v>Fortalecimiento de los juegos deportivos institucionales en los municipios del departamento de Antioquia</v>
      </c>
      <c r="F2217" s="48">
        <f>VLOOKUP(E2217,[2]PROYECTOS!$K$1:$M$32,3,0)</f>
        <v>2024003050073</v>
      </c>
      <c r="G2217" s="49" t="s">
        <v>2323</v>
      </c>
      <c r="H2217" s="49" t="str">
        <f>VLOOKUP(Q2217,[2]PROYECTOS!$V$1:$W$32,2,0)</f>
        <v>050081</v>
      </c>
      <c r="I2217" s="78">
        <v>29938825</v>
      </c>
      <c r="J2217" s="51" t="s">
        <v>2397</v>
      </c>
      <c r="K2217" s="47" t="str">
        <f t="shared" ca="1" si="748"/>
        <v>CONTRATADO</v>
      </c>
      <c r="L2217" s="47" t="s">
        <v>94</v>
      </c>
      <c r="M2217" s="47" t="s">
        <v>161</v>
      </c>
      <c r="N2217" s="52" t="s">
        <v>2325</v>
      </c>
      <c r="O2217" s="51" t="e">
        <f>VLOOKUP(N2217,[2]!RUBROS[#All],3,0)</f>
        <v>#REF!</v>
      </c>
      <c r="P2217" s="53" t="e">
        <f>VLOOKUP(N2217,[2]!RUBROS[#All],2,0)</f>
        <v>#REF!</v>
      </c>
      <c r="Q2217" s="47" t="str">
        <f t="shared" si="749"/>
        <v>73</v>
      </c>
      <c r="R2217" s="47" t="str">
        <f t="shared" si="750"/>
        <v>0-205400</v>
      </c>
      <c r="S2217" s="54">
        <v>105</v>
      </c>
      <c r="T2217" s="63" t="s">
        <v>120</v>
      </c>
      <c r="U2217" s="326" t="e">
        <f ca="1">_xlfn.XLOOKUP(PAA_4[[#This Row],[ITEM]],[2]Contrato!A:A,[2]Contrato!Q:Q,"",0)</f>
        <v>#NAME?</v>
      </c>
      <c r="V2217" s="47" t="s">
        <v>95</v>
      </c>
      <c r="W2217" s="47" t="s">
        <v>203</v>
      </c>
      <c r="X2217" s="47" t="s">
        <v>203</v>
      </c>
      <c r="Y2217" s="55" t="e">
        <f ca="1">_xlfn.XLOOKUP(PAA_4[[#This Row],[ITEM]],[2]Contrato!A:A,[2]Contrato!B:B,"",0)</f>
        <v>#NAME?</v>
      </c>
      <c r="Z2217" s="47" t="e">
        <f ca="1">_xlfn.XLOOKUP(PAA_4[[#This Row],[ITEM]],[2]Contrato!A:A,[2]Contrato!G:G,"",0)</f>
        <v>#NAME?</v>
      </c>
      <c r="AA2217" s="47" t="e">
        <f ca="1">_xlfn.XLOOKUP(PAA_4[[#This Row],[ITEM]],[2]Contrato!A:A,[2]Contrato!T:T,"",0)</f>
        <v>#NAME?</v>
      </c>
      <c r="AB2217" s="55" t="e">
        <f ca="1">+MAX(PAA_4[[#This Row],[Comprometido Contrato]],PAA_4[[#This Row],[Comprometido Bolsa]])</f>
        <v>#NAME?</v>
      </c>
      <c r="AC2217" s="55" t="str">
        <f t="shared" ca="1" si="751"/>
        <v/>
      </c>
      <c r="AD2217" s="55" t="e">
        <f ca="1">IF(PAA_4[[#This Row],[ESTADO (formulado)]]="NO CONTRATADO",0,MAX(PAA_4[[#This Row],[Pago por Contrato]],PAA_4[[#This Row],[Pago por bolsa]]))</f>
        <v>#NAME?</v>
      </c>
      <c r="AE2217" s="55" t="str">
        <f t="shared" ca="1" si="752"/>
        <v/>
      </c>
      <c r="AF2217" s="47" t="e">
        <f t="shared" ca="1" si="753"/>
        <v>#NAME?</v>
      </c>
      <c r="AG2217" s="47">
        <f t="shared" si="754"/>
        <v>52010703</v>
      </c>
      <c r="AH2217" s="54">
        <f>IF(Q2217="22",IF(ISNUMBER(SEARCH("econ",PAA_4[[#This Row],[Actividad3]])),"Económico",IF(ISNUMBER(SEARCH("alim",PAA_4[[#This Row],[Actividad3]])),"Alimentación",IF(ISNUMBER(SEARCH("educ",PAA_4[[#This Row],[Actividad3]])),"Educativo","Técnico"))),0)</f>
        <v>0</v>
      </c>
      <c r="AI2217" s="47" t="e" cm="1">
        <f t="array" aca="1" ref="AI2217" ca="1">_xlfn.XLOOKUP(PAA_4[[#This Row],[RCP-RUBRO]],[2]!COMPROMISOS_2024[[#All],[concatenado]],[2]!COMPROMISOS_2024[[#All],[Total pagado]],"",0)</f>
        <v>#NAME?</v>
      </c>
      <c r="AJ2217" s="56">
        <f>IF(PAA_4[[#This Row],[BOLSA]]=0,0,SUMIFS([2]!COMPROMISOS_2024[[#All],[Total pagado]],[2]!COMPROMISOS_2024[[#All],[Bolsa]],PAA_4[[#This Row],[BOLSA]],[2]!COMPROMISOS_2024[[#All],[rubro]],PAA_4[[#This Row],[RCP-RUBRO]]))</f>
        <v>0</v>
      </c>
      <c r="AK2217" s="47" t="e" cm="1">
        <f t="array" aca="1" ref="AK2217" ca="1">_xlfn.XLOOKUP(PAA_4[[#This Row],[RCP-RUBRO]],[2]!COMPROMISOS_2024[[#All],[concatenado]],[2]!COMPROMISOS_2024[[#All],[Total Comprometido]],"",0)</f>
        <v>#NAME?</v>
      </c>
      <c r="AL2217" s="47">
        <f>IF(PAA_4[[#This Row],[BOLSA]]=0,0,SUMIFS([2]!COMPROMISOS_2024[[#All],[Total Comprometido]],[2]!COMPROMISOS_2024[[#All],[Bolsa]],PAA_4[[#This Row],[BOLSA]],[2]!COMPROMISOS_2024[[#All],[concatenado]],PAA_4[[#This Row],[RCP-RUBRO]]))</f>
        <v>0</v>
      </c>
    </row>
    <row r="2218" spans="1:38" s="19" customFormat="1" ht="31.5" customHeight="1">
      <c r="A2218" s="47" t="s">
        <v>82</v>
      </c>
      <c r="B2218" s="47" t="s">
        <v>42</v>
      </c>
      <c r="C2218" s="47" t="str">
        <f>VLOOKUP(PAA_4[[#This Row],[PROYECTO (formulado)2]],[2]PROYECTOS!$G$1:$L$32,6,0)</f>
        <v>SUBGERENCIA DE FOMENTO Y DESARROLLO</v>
      </c>
      <c r="D2218" s="47" t="str">
        <f>+IF(PAA_4[[#This Row],[UNIDAD DE CONTRATACION (formulado)]]="Subgerencia Administrativa y Financiera","FUNCIONAMIENTO","INVERSIÓN")</f>
        <v>INVERSIÓN</v>
      </c>
      <c r="E2218" s="48" t="str">
        <f>VLOOKUP(Q2218,[2]PROYECTOS!$G$1:$K$32,5,0)</f>
        <v>Fortalecimiento de los juegos deportivos institucionales en los municipios del departamento de Antioquia</v>
      </c>
      <c r="F2218" s="48">
        <f>VLOOKUP(E2218,[2]PROYECTOS!$K$1:$M$32,3,0)</f>
        <v>2024003050073</v>
      </c>
      <c r="G2218" s="49" t="s">
        <v>2323</v>
      </c>
      <c r="H2218" s="49" t="str">
        <f>VLOOKUP(Q2218,[2]PROYECTOS!$V$1:$W$32,2,0)</f>
        <v>050081</v>
      </c>
      <c r="I2218" s="78">
        <v>1321067</v>
      </c>
      <c r="J2218" s="51" t="s">
        <v>1354</v>
      </c>
      <c r="K2218" s="47" t="str">
        <f ca="1">IF(ISNONTEXT(Y2218)=TRUE,"CONTRATADO","NO CONTRATADO")</f>
        <v>CONTRATADO</v>
      </c>
      <c r="L2218" s="47" t="s">
        <v>42</v>
      </c>
      <c r="M2218" s="47" t="s">
        <v>42</v>
      </c>
      <c r="N2218" s="52" t="s">
        <v>1362</v>
      </c>
      <c r="O2218" s="51" t="e">
        <f>VLOOKUP(N2218,[2]!RUBROS[#All],3,0)</f>
        <v>#REF!</v>
      </c>
      <c r="P2218" s="53" t="e">
        <f>VLOOKUP(N2218,[2]!RUBROS[#All],2,0)</f>
        <v>#REF!</v>
      </c>
      <c r="Q2218" s="47" t="str">
        <f>+MID(N2218,11,2)</f>
        <v>73</v>
      </c>
      <c r="R2218" s="47" t="str">
        <f t="shared" si="750"/>
        <v>0-101024</v>
      </c>
      <c r="S2218" s="54" t="s">
        <v>42</v>
      </c>
      <c r="T2218" s="329" t="s">
        <v>42</v>
      </c>
      <c r="U2218" s="326" t="e">
        <f ca="1">_xlfn.XLOOKUP(PAA_4[[#This Row],[ITEM]],[2]Contrato!A:A,[2]Contrato!Q:Q,"",0)</f>
        <v>#NAME?</v>
      </c>
      <c r="V2218" s="47" t="s">
        <v>95</v>
      </c>
      <c r="W2218" s="47" t="s">
        <v>42</v>
      </c>
      <c r="X2218" s="47" t="s">
        <v>42</v>
      </c>
      <c r="Y2218" s="55" t="e">
        <f ca="1">_xlfn.XLOOKUP(PAA_4[[#This Row],[ITEM]],[2]Contrato!A:A,[2]Contrato!B:B,"",0)</f>
        <v>#NAME?</v>
      </c>
      <c r="Z2218" s="47" t="e">
        <f ca="1">_xlfn.XLOOKUP(PAA_4[[#This Row],[ITEM]],[2]Contrato!A:A,[2]Contrato!G:G,"",0)</f>
        <v>#NAME?</v>
      </c>
      <c r="AA2218" s="47" t="e">
        <f ca="1">_xlfn.XLOOKUP(PAA_4[[#This Row],[ITEM]],[2]Contrato!A:A,[2]Contrato!T:T,"",0)</f>
        <v>#NAME?</v>
      </c>
      <c r="AB2218" s="55" t="e">
        <f ca="1">+MAX(PAA_4[[#This Row],[Comprometido Contrato]],PAA_4[[#This Row],[Comprometido Bolsa]])</f>
        <v>#NAME?</v>
      </c>
      <c r="AC2218" s="55" t="str">
        <f ca="1">IFERROR(I2218-AB2218,"")</f>
        <v/>
      </c>
      <c r="AD2218" s="55" t="e">
        <f ca="1">IF(PAA_4[[#This Row],[ESTADO (formulado)]]="NO CONTRATADO",0,MAX(PAA_4[[#This Row],[Pago por Contrato]],PAA_4[[#This Row],[Pago por bolsa]]))</f>
        <v>#NAME?</v>
      </c>
      <c r="AE2218" s="55" t="str">
        <f ca="1">+IFERROR(AB2218-AD2218,"")</f>
        <v/>
      </c>
      <c r="AF2218" s="47" t="e">
        <f ca="1">+CONCATENATE(AA2218,N2218)</f>
        <v>#NAME?</v>
      </c>
      <c r="AG2218" s="47">
        <f>IFERROR(_xlfn.NUMBERVALUE(MID(G2218,1,8)),"")</f>
        <v>52010703</v>
      </c>
      <c r="AH2218" s="54">
        <f>IF(Q2218="22",IF(ISNUMBER(SEARCH("econ",PAA_4[[#This Row],[Actividad3]])),"Económico",IF(ISNUMBER(SEARCH("alim",PAA_4[[#This Row],[Actividad3]])),"Alimentación",IF(ISNUMBER(SEARCH("educ",PAA_4[[#This Row],[Actividad3]])),"Educativo","Técnico"))),0)</f>
        <v>0</v>
      </c>
      <c r="AI2218" s="47" t="e" cm="1">
        <f t="array" aca="1" ref="AI2218" ca="1">_xlfn.XLOOKUP(PAA_4[[#This Row],[RCP-RUBRO]],[2]!COMPROMISOS_2024[[#All],[concatenado]],[2]!COMPROMISOS_2024[[#All],[Total pagado]],"",0)</f>
        <v>#NAME?</v>
      </c>
      <c r="AJ2218" s="56">
        <f>IF(PAA_4[[#This Row],[BOLSA]]=0,0,SUMIFS([2]!COMPROMISOS_2024[[#All],[Total pagado]],[2]!COMPROMISOS_2024[[#All],[Bolsa]],PAA_4[[#This Row],[BOLSA]],[2]!COMPROMISOS_2024[[#All],[rubro]],PAA_4[[#This Row],[RCP-RUBRO]]))</f>
        <v>0</v>
      </c>
      <c r="AK2218" s="47" t="e" cm="1">
        <f t="array" aca="1" ref="AK2218" ca="1">_xlfn.XLOOKUP(PAA_4[[#This Row],[RCP-RUBRO]],[2]!COMPROMISOS_2024[[#All],[concatenado]],[2]!COMPROMISOS_2024[[#All],[Total Comprometido]],"",0)</f>
        <v>#NAME?</v>
      </c>
      <c r="AL2218" s="47">
        <f>IF(PAA_4[[#This Row],[BOLSA]]=0,0,SUMIFS([2]!COMPROMISOS_2024[[#All],[Total Comprometido]],[2]!COMPROMISOS_2024[[#All],[Bolsa]],PAA_4[[#This Row],[BOLSA]],[2]!COMPROMISOS_2024[[#All],[concatenado]],PAA_4[[#This Row],[RCP-RUBRO]]))</f>
        <v>0</v>
      </c>
    </row>
    <row r="2219" spans="1:38" s="19" customFormat="1" ht="31.5" customHeight="1">
      <c r="A2219" s="47">
        <v>1157</v>
      </c>
      <c r="B2219" s="47">
        <v>80141607</v>
      </c>
      <c r="C2219" s="47" t="str">
        <f>VLOOKUP(PAA_4[[#This Row],[PROYECTO (formulado)2]],[2]PROYECTOS!$G$1:$L$32,6,0)</f>
        <v>SUBGERENCIA DE FOMENTO Y DESARROLLO</v>
      </c>
      <c r="D2219" s="47" t="str">
        <f>+IF(PAA_4[[#This Row],[UNIDAD DE CONTRATACION (formulado)]]="Subgerencia Administrativa y Financiera","FUNCIONAMIENTO","INVERSIÓN")</f>
        <v>INVERSIÓN</v>
      </c>
      <c r="E2219" s="48" t="str">
        <f>VLOOKUP(Q2219,[2]PROYECTOS!$G$1:$K$32,5,0)</f>
        <v>Fortalecimiento de los juegos deportivos institucionales en los municipios del departamento de Antioquia</v>
      </c>
      <c r="F2219" s="48">
        <f>VLOOKUP(E2219,[2]PROYECTOS!$K$1:$M$32,3,0)</f>
        <v>2024003050073</v>
      </c>
      <c r="G2219" s="49" t="s">
        <v>2323</v>
      </c>
      <c r="H2219" s="49" t="str">
        <f>VLOOKUP(Q2219,[2]PROYECTOS!$V$1:$W$32,2,0)</f>
        <v>050081</v>
      </c>
      <c r="I2219" s="78">
        <f>98964624-1321067</f>
        <v>97643557</v>
      </c>
      <c r="J2219" s="51" t="s">
        <v>2398</v>
      </c>
      <c r="K2219" s="47" t="str">
        <f t="shared" ref="K2219:K2226" ca="1" si="755">IF(ISNONTEXT(Y2219)=TRUE,"CONTRATADO","NO CONTRATADO")</f>
        <v>CONTRATADO</v>
      </c>
      <c r="L2219" s="47" t="s">
        <v>94</v>
      </c>
      <c r="M2219" s="47" t="s">
        <v>161</v>
      </c>
      <c r="N2219" s="52" t="s">
        <v>1362</v>
      </c>
      <c r="O2219" s="51" t="e">
        <f>VLOOKUP(N2219,[2]!RUBROS[#All],3,0)</f>
        <v>#REF!</v>
      </c>
      <c r="P2219" s="53" t="e">
        <f>VLOOKUP(N2219,[2]!RUBROS[#All],2,0)</f>
        <v>#REF!</v>
      </c>
      <c r="Q2219" s="47" t="str">
        <f t="shared" ref="Q2219:Q2226" si="756">+MID(N2219,11,2)</f>
        <v>73</v>
      </c>
      <c r="R2219" s="47" t="str">
        <f t="shared" si="750"/>
        <v>0-101024</v>
      </c>
      <c r="S2219" s="54">
        <v>105</v>
      </c>
      <c r="T2219" s="63" t="s">
        <v>120</v>
      </c>
      <c r="U2219" s="326" t="e">
        <f ca="1">_xlfn.XLOOKUP(PAA_4[[#This Row],[ITEM]],[2]Contrato!A:A,[2]Contrato!Q:Q,"",0)</f>
        <v>#NAME?</v>
      </c>
      <c r="V2219" s="47" t="s">
        <v>95</v>
      </c>
      <c r="W2219" s="47" t="s">
        <v>203</v>
      </c>
      <c r="X2219" s="47" t="s">
        <v>203</v>
      </c>
      <c r="Y2219" s="55" t="e">
        <f ca="1">_xlfn.XLOOKUP(PAA_4[[#This Row],[ITEM]],[2]Contrato!A:A,[2]Contrato!B:B,"",0)</f>
        <v>#NAME?</v>
      </c>
      <c r="Z2219" s="47" t="e">
        <f ca="1">_xlfn.XLOOKUP(PAA_4[[#This Row],[ITEM]],[2]Contrato!A:A,[2]Contrato!G:G,"",0)</f>
        <v>#NAME?</v>
      </c>
      <c r="AA2219" s="47" t="e">
        <f ca="1">_xlfn.XLOOKUP(PAA_4[[#This Row],[ITEM]],[2]Contrato!A:A,[2]Contrato!T:T,"",0)</f>
        <v>#NAME?</v>
      </c>
      <c r="AB2219" s="55" t="e">
        <f ca="1">+MAX(PAA_4[[#This Row],[Comprometido Contrato]],PAA_4[[#This Row],[Comprometido Bolsa]])</f>
        <v>#NAME?</v>
      </c>
      <c r="AC2219" s="55" t="str">
        <f t="shared" ref="AC2219:AC2226" ca="1" si="757">IFERROR(I2219-AB2219,"")</f>
        <v/>
      </c>
      <c r="AD2219" s="55" t="e">
        <f ca="1">IF(PAA_4[[#This Row],[ESTADO (formulado)]]="NO CONTRATADO",0,MAX(PAA_4[[#This Row],[Pago por Contrato]],PAA_4[[#This Row],[Pago por bolsa]]))</f>
        <v>#NAME?</v>
      </c>
      <c r="AE2219" s="55" t="str">
        <f t="shared" ref="AE2219:AE2226" ca="1" si="758">+IFERROR(AB2219-AD2219,"")</f>
        <v/>
      </c>
      <c r="AF2219" s="47" t="e">
        <f t="shared" ref="AF2219:AF2226" ca="1" si="759">+CONCATENATE(AA2219,N2219)</f>
        <v>#NAME?</v>
      </c>
      <c r="AG2219" s="47">
        <f t="shared" ref="AG2219:AG2226" si="760">IFERROR(_xlfn.NUMBERVALUE(MID(G2219,1,8)),"")</f>
        <v>52010703</v>
      </c>
      <c r="AH2219" s="54">
        <f>IF(Q2219="22",IF(ISNUMBER(SEARCH("econ",PAA_4[[#This Row],[Actividad3]])),"Económico",IF(ISNUMBER(SEARCH("alim",PAA_4[[#This Row],[Actividad3]])),"Alimentación",IF(ISNUMBER(SEARCH("educ",PAA_4[[#This Row],[Actividad3]])),"Educativo","Técnico"))),0)</f>
        <v>0</v>
      </c>
      <c r="AI2219" s="47" t="e" cm="1">
        <f t="array" aca="1" ref="AI2219" ca="1">_xlfn.XLOOKUP(PAA_4[[#This Row],[RCP-RUBRO]],[2]!COMPROMISOS_2024[[#All],[concatenado]],[2]!COMPROMISOS_2024[[#All],[Total pagado]],"",0)</f>
        <v>#NAME?</v>
      </c>
      <c r="AJ2219" s="56">
        <f>IF(PAA_4[[#This Row],[BOLSA]]=0,0,SUMIFS([2]!COMPROMISOS_2024[[#All],[Total pagado]],[2]!COMPROMISOS_2024[[#All],[Bolsa]],PAA_4[[#This Row],[BOLSA]],[2]!COMPROMISOS_2024[[#All],[rubro]],PAA_4[[#This Row],[RCP-RUBRO]]))</f>
        <v>0</v>
      </c>
      <c r="AK2219" s="47" t="e" cm="1">
        <f t="array" aca="1" ref="AK2219" ca="1">_xlfn.XLOOKUP(PAA_4[[#This Row],[RCP-RUBRO]],[2]!COMPROMISOS_2024[[#All],[concatenado]],[2]!COMPROMISOS_2024[[#All],[Total Comprometido]],"",0)</f>
        <v>#NAME?</v>
      </c>
      <c r="AL2219" s="47">
        <f>IF(PAA_4[[#This Row],[BOLSA]]=0,0,SUMIFS([2]!COMPROMISOS_2024[[#All],[Total Comprometido]],[2]!COMPROMISOS_2024[[#All],[Bolsa]],PAA_4[[#This Row],[BOLSA]],[2]!COMPROMISOS_2024[[#All],[concatenado]],PAA_4[[#This Row],[RCP-RUBRO]]))</f>
        <v>0</v>
      </c>
    </row>
    <row r="2220" spans="1:38" s="19" customFormat="1" ht="31.5" customHeight="1">
      <c r="A2220" s="47">
        <v>1068</v>
      </c>
      <c r="B2220" s="47">
        <v>80141607</v>
      </c>
      <c r="C2220" s="47" t="str">
        <f>VLOOKUP(PAA_4[[#This Row],[PROYECTO (formulado)2]],[2]PROYECTOS!$G$1:$L$32,6,0)</f>
        <v>SUBGERENCIA DE FOMENTO Y DESARROLLO</v>
      </c>
      <c r="D2220" s="47" t="str">
        <f>+IF(PAA_4[[#This Row],[UNIDAD DE CONTRATACION (formulado)]]="Subgerencia Administrativa y Financiera","FUNCIONAMIENTO","INVERSIÓN")</f>
        <v>INVERSIÓN</v>
      </c>
      <c r="E2220" s="48" t="str">
        <f>VLOOKUP(Q2220,[2]PROYECTOS!$G$1:$K$32,5,0)</f>
        <v>Fortalecimiento de los juegos deportivos institucionales en los municipios del departamento de Antioquia</v>
      </c>
      <c r="F2220" s="48">
        <f>VLOOKUP(E2220,[2]PROYECTOS!$K$1:$M$32,3,0)</f>
        <v>2024003050073</v>
      </c>
      <c r="G2220" s="49" t="s">
        <v>2323</v>
      </c>
      <c r="H2220" s="49" t="str">
        <f>VLOOKUP(Q2220,[2]PROYECTOS!$V$1:$W$32,2,0)</f>
        <v>050081</v>
      </c>
      <c r="I2220" s="78">
        <v>0</v>
      </c>
      <c r="J2220" s="51" t="s">
        <v>2310</v>
      </c>
      <c r="K2220" s="47" t="str">
        <f t="shared" ca="1" si="755"/>
        <v>CONTRATADO</v>
      </c>
      <c r="L2220" s="47" t="s">
        <v>94</v>
      </c>
      <c r="M2220" s="47" t="s">
        <v>42</v>
      </c>
      <c r="N2220" s="52" t="s">
        <v>2325</v>
      </c>
      <c r="O2220" s="51" t="e">
        <f>VLOOKUP(N2220,[2]!RUBROS[#All],3,0)</f>
        <v>#REF!</v>
      </c>
      <c r="P2220" s="53" t="e">
        <f>VLOOKUP(N2220,[2]!RUBROS[#All],2,0)</f>
        <v>#REF!</v>
      </c>
      <c r="Q2220" s="47" t="str">
        <f t="shared" si="756"/>
        <v>73</v>
      </c>
      <c r="R2220" s="47" t="str">
        <f t="shared" si="750"/>
        <v>0-205400</v>
      </c>
      <c r="S2220" s="54">
        <v>4.5</v>
      </c>
      <c r="T2220" s="59" t="s">
        <v>46</v>
      </c>
      <c r="U2220" s="326" t="e">
        <f ca="1">_xlfn.XLOOKUP(PAA_4[[#This Row],[ITEM]],[2]Contrato!A:A,[2]Contrato!Q:Q,"",0)</f>
        <v>#NAME?</v>
      </c>
      <c r="V2220" s="47" t="s">
        <v>95</v>
      </c>
      <c r="W2220" s="47" t="s">
        <v>194</v>
      </c>
      <c r="X2220" s="47" t="s">
        <v>194</v>
      </c>
      <c r="Y2220" s="55" t="e">
        <f ca="1">_xlfn.XLOOKUP(PAA_4[[#This Row],[ITEM]],[2]Contrato!A:A,[2]Contrato!B:B,"",0)</f>
        <v>#NAME?</v>
      </c>
      <c r="Z2220" s="47" t="e">
        <f ca="1">_xlfn.XLOOKUP(PAA_4[[#This Row],[ITEM]],[2]Contrato!A:A,[2]Contrato!G:G,"",0)</f>
        <v>#NAME?</v>
      </c>
      <c r="AA2220" s="47" t="e">
        <f ca="1">_xlfn.XLOOKUP(PAA_4[[#This Row],[ITEM]],[2]Contrato!A:A,[2]Contrato!T:T,"",0)</f>
        <v>#NAME?</v>
      </c>
      <c r="AB2220" s="55" t="e">
        <f ca="1">+MAX(PAA_4[[#This Row],[Comprometido Contrato]],PAA_4[[#This Row],[Comprometido Bolsa]])</f>
        <v>#NAME?</v>
      </c>
      <c r="AC2220" s="55" t="str">
        <f t="shared" ca="1" si="757"/>
        <v/>
      </c>
      <c r="AD2220" s="55" t="e">
        <f ca="1">IF(PAA_4[[#This Row],[ESTADO (formulado)]]="NO CONTRATADO",0,MAX(PAA_4[[#This Row],[Pago por Contrato]],PAA_4[[#This Row],[Pago por bolsa]]))</f>
        <v>#NAME?</v>
      </c>
      <c r="AE2220" s="55" t="str">
        <f t="shared" ca="1" si="758"/>
        <v/>
      </c>
      <c r="AF2220" s="47" t="e">
        <f t="shared" ca="1" si="759"/>
        <v>#NAME?</v>
      </c>
      <c r="AG2220" s="47">
        <f t="shared" si="760"/>
        <v>52010703</v>
      </c>
      <c r="AH2220" s="54">
        <f>IF(Q2220="22",IF(ISNUMBER(SEARCH("econ",PAA_4[[#This Row],[Actividad3]])),"Económico",IF(ISNUMBER(SEARCH("alim",PAA_4[[#This Row],[Actividad3]])),"Alimentación",IF(ISNUMBER(SEARCH("educ",PAA_4[[#This Row],[Actividad3]])),"Educativo","Técnico"))),0)</f>
        <v>0</v>
      </c>
      <c r="AI2220" s="47" t="e" cm="1">
        <f t="array" aca="1" ref="AI2220" ca="1">_xlfn.XLOOKUP(PAA_4[[#This Row],[RCP-RUBRO]],[2]!COMPROMISOS_2024[[#All],[concatenado]],[2]!COMPROMISOS_2024[[#All],[Total pagado]],"",0)</f>
        <v>#NAME?</v>
      </c>
      <c r="AJ2220" s="56">
        <f>IF(PAA_4[[#This Row],[BOLSA]]=0,0,SUMIFS([2]!COMPROMISOS_2024[[#All],[Total pagado]],[2]!COMPROMISOS_2024[[#All],[Bolsa]],PAA_4[[#This Row],[BOLSA]],[2]!COMPROMISOS_2024[[#All],[rubro]],PAA_4[[#This Row],[RCP-RUBRO]]))</f>
        <v>0</v>
      </c>
      <c r="AK2220" s="47" t="e" cm="1">
        <f t="array" aca="1" ref="AK2220" ca="1">_xlfn.XLOOKUP(PAA_4[[#This Row],[RCP-RUBRO]],[2]!COMPROMISOS_2024[[#All],[concatenado]],[2]!COMPROMISOS_2024[[#All],[Total Comprometido]],"",0)</f>
        <v>#NAME?</v>
      </c>
      <c r="AL2220" s="47">
        <f>IF(PAA_4[[#This Row],[BOLSA]]=0,0,SUMIFS([2]!COMPROMISOS_2024[[#All],[Total Comprometido]],[2]!COMPROMISOS_2024[[#All],[Bolsa]],PAA_4[[#This Row],[BOLSA]],[2]!COMPROMISOS_2024[[#All],[concatenado]],PAA_4[[#This Row],[RCP-RUBRO]]))</f>
        <v>0</v>
      </c>
    </row>
    <row r="2221" spans="1:38" s="19" customFormat="1" ht="31.5" customHeight="1">
      <c r="A2221" s="47">
        <v>1069</v>
      </c>
      <c r="B2221" s="47">
        <v>80111600</v>
      </c>
      <c r="C2221" s="47" t="str">
        <f>VLOOKUP(PAA_4[[#This Row],[PROYECTO (formulado)2]],[2]PROYECTOS!$G$1:$L$32,6,0)</f>
        <v>SUBGERENCIA DE FOMENTO Y DESARROLLO</v>
      </c>
      <c r="D2221" s="47" t="str">
        <f>+IF(PAA_4[[#This Row],[UNIDAD DE CONTRATACION (formulado)]]="Subgerencia Administrativa y Financiera","FUNCIONAMIENTO","INVERSIÓN")</f>
        <v>INVERSIÓN</v>
      </c>
      <c r="E2221" s="48" t="str">
        <f>VLOOKUP(Q2221,[2]PROYECTOS!$G$1:$K$32,5,0)</f>
        <v>Fortalecimiento de los juegos deportivos institucionales en los municipios del departamento de Antioquia</v>
      </c>
      <c r="F2221" s="48">
        <f>VLOOKUP(E2221,[2]PROYECTOS!$K$1:$M$32,3,0)</f>
        <v>2024003050073</v>
      </c>
      <c r="G2221" s="49" t="s">
        <v>2399</v>
      </c>
      <c r="H2221" s="49" t="str">
        <f>VLOOKUP(Q2221,[2]PROYECTOS!$V$1:$W$32,2,0)</f>
        <v>050081</v>
      </c>
      <c r="I2221" s="78">
        <v>0</v>
      </c>
      <c r="J2221" s="51" t="s">
        <v>2400</v>
      </c>
      <c r="K2221" s="47" t="str">
        <f t="shared" ca="1" si="755"/>
        <v>CONTRATADO</v>
      </c>
      <c r="L2221" s="47" t="s">
        <v>94</v>
      </c>
      <c r="M2221" s="47" t="s">
        <v>42</v>
      </c>
      <c r="N2221" s="52" t="s">
        <v>2325</v>
      </c>
      <c r="O2221" s="51" t="e">
        <f>VLOOKUP(N2221,[2]!RUBROS[#All],3,0)</f>
        <v>#REF!</v>
      </c>
      <c r="P2221" s="53" t="e">
        <f>VLOOKUP(N2221,[2]!RUBROS[#All],2,0)</f>
        <v>#REF!</v>
      </c>
      <c r="Q2221" s="47" t="str">
        <f t="shared" si="756"/>
        <v>73</v>
      </c>
      <c r="R2221" s="47" t="str">
        <f t="shared" si="750"/>
        <v>0-205400</v>
      </c>
      <c r="S2221" s="54">
        <v>4.5</v>
      </c>
      <c r="T2221" s="59" t="s">
        <v>46</v>
      </c>
      <c r="U2221" s="326" t="e">
        <f ca="1">_xlfn.XLOOKUP(PAA_4[[#This Row],[ITEM]],[2]Contrato!A:A,[2]Contrato!Q:Q,"",0)</f>
        <v>#NAME?</v>
      </c>
      <c r="V2221" s="47" t="s">
        <v>95</v>
      </c>
      <c r="W2221" s="47" t="s">
        <v>194</v>
      </c>
      <c r="X2221" s="47" t="s">
        <v>194</v>
      </c>
      <c r="Y2221" s="55" t="e">
        <f ca="1">_xlfn.XLOOKUP(PAA_4[[#This Row],[ITEM]],[2]Contrato!A:A,[2]Contrato!B:B,"",0)</f>
        <v>#NAME?</v>
      </c>
      <c r="Z2221" s="47" t="e">
        <f ca="1">_xlfn.XLOOKUP(PAA_4[[#This Row],[ITEM]],[2]Contrato!A:A,[2]Contrato!G:G,"",0)</f>
        <v>#NAME?</v>
      </c>
      <c r="AA2221" s="47" t="e">
        <f ca="1">_xlfn.XLOOKUP(PAA_4[[#This Row],[ITEM]],[2]Contrato!A:A,[2]Contrato!T:T,"",0)</f>
        <v>#NAME?</v>
      </c>
      <c r="AB2221" s="55" t="e">
        <f ca="1">+MAX(PAA_4[[#This Row],[Comprometido Contrato]],PAA_4[[#This Row],[Comprometido Bolsa]])</f>
        <v>#NAME?</v>
      </c>
      <c r="AC2221" s="55" t="str">
        <f t="shared" ca="1" si="757"/>
        <v/>
      </c>
      <c r="AD2221" s="55" t="e">
        <f ca="1">IF(PAA_4[[#This Row],[ESTADO (formulado)]]="NO CONTRATADO",0,MAX(PAA_4[[#This Row],[Pago por Contrato]],PAA_4[[#This Row],[Pago por bolsa]]))</f>
        <v>#NAME?</v>
      </c>
      <c r="AE2221" s="55" t="str">
        <f t="shared" ca="1" si="758"/>
        <v/>
      </c>
      <c r="AF2221" s="47" t="e">
        <f t="shared" ca="1" si="759"/>
        <v>#NAME?</v>
      </c>
      <c r="AG2221" s="47">
        <f t="shared" si="760"/>
        <v>52010703</v>
      </c>
      <c r="AH2221" s="54">
        <f>IF(Q2221="22",IF(ISNUMBER(SEARCH("econ",PAA_4[[#This Row],[Actividad3]])),"Económico",IF(ISNUMBER(SEARCH("alim",PAA_4[[#This Row],[Actividad3]])),"Alimentación",IF(ISNUMBER(SEARCH("educ",PAA_4[[#This Row],[Actividad3]])),"Educativo","Técnico"))),0)</f>
        <v>0</v>
      </c>
      <c r="AI2221" s="47" t="e" cm="1">
        <f t="array" aca="1" ref="AI2221" ca="1">_xlfn.XLOOKUP(PAA_4[[#This Row],[RCP-RUBRO]],[2]!COMPROMISOS_2024[[#All],[concatenado]],[2]!COMPROMISOS_2024[[#All],[Total pagado]],"",0)</f>
        <v>#NAME?</v>
      </c>
      <c r="AJ2221" s="56">
        <f>IF(PAA_4[[#This Row],[BOLSA]]=0,0,SUMIFS([2]!COMPROMISOS_2024[[#All],[Total pagado]],[2]!COMPROMISOS_2024[[#All],[Bolsa]],PAA_4[[#This Row],[BOLSA]],[2]!COMPROMISOS_2024[[#All],[rubro]],PAA_4[[#This Row],[RCP-RUBRO]]))</f>
        <v>0</v>
      </c>
      <c r="AK2221" s="47" t="e" cm="1">
        <f t="array" aca="1" ref="AK2221" ca="1">_xlfn.XLOOKUP(PAA_4[[#This Row],[RCP-RUBRO]],[2]!COMPROMISOS_2024[[#All],[concatenado]],[2]!COMPROMISOS_2024[[#All],[Total Comprometido]],"",0)</f>
        <v>#NAME?</v>
      </c>
      <c r="AL2221" s="47">
        <f>IF(PAA_4[[#This Row],[BOLSA]]=0,0,SUMIFS([2]!COMPROMISOS_2024[[#All],[Total Comprometido]],[2]!COMPROMISOS_2024[[#All],[Bolsa]],PAA_4[[#This Row],[BOLSA]],[2]!COMPROMISOS_2024[[#All],[concatenado]],PAA_4[[#This Row],[RCP-RUBRO]]))</f>
        <v>0</v>
      </c>
    </row>
    <row r="2222" spans="1:38" s="19" customFormat="1" ht="31.5" customHeight="1">
      <c r="A2222" s="47">
        <v>1070</v>
      </c>
      <c r="B2222" s="47">
        <v>80111600</v>
      </c>
      <c r="C2222" s="47" t="str">
        <f>VLOOKUP(PAA_4[[#This Row],[PROYECTO (formulado)2]],[2]PROYECTOS!$G$1:$L$32,6,0)</f>
        <v>SUBGERENCIA DE FOMENTO Y DESARROLLO</v>
      </c>
      <c r="D2222" s="47" t="str">
        <f>+IF(PAA_4[[#This Row],[UNIDAD DE CONTRATACION (formulado)]]="Subgerencia Administrativa y Financiera","FUNCIONAMIENTO","INVERSIÓN")</f>
        <v>INVERSIÓN</v>
      </c>
      <c r="E2222" s="48" t="str">
        <f>VLOOKUP(Q2222,[2]PROYECTOS!$G$1:$K$32,5,0)</f>
        <v>Fortalecimiento de los juegos deportivos institucionales en los municipios del departamento de Antioquia</v>
      </c>
      <c r="F2222" s="48">
        <f>VLOOKUP(E2222,[2]PROYECTOS!$K$1:$M$32,3,0)</f>
        <v>2024003050073</v>
      </c>
      <c r="G2222" s="49" t="s">
        <v>2399</v>
      </c>
      <c r="H2222" s="49" t="str">
        <f>VLOOKUP(Q2222,[2]PROYECTOS!$V$1:$W$32,2,0)</f>
        <v>050081</v>
      </c>
      <c r="I2222" s="78">
        <v>0</v>
      </c>
      <c r="J2222" s="51" t="s">
        <v>42</v>
      </c>
      <c r="K2222" s="47" t="str">
        <f t="shared" ca="1" si="755"/>
        <v>CONTRATADO</v>
      </c>
      <c r="L2222" s="47" t="s">
        <v>94</v>
      </c>
      <c r="M2222" s="47" t="s">
        <v>42</v>
      </c>
      <c r="N2222" s="52" t="s">
        <v>1357</v>
      </c>
      <c r="O2222" s="51" t="e">
        <f>VLOOKUP(N2222,[2]!RUBROS[#All],3,0)</f>
        <v>#REF!</v>
      </c>
      <c r="P2222" s="53" t="e">
        <f>VLOOKUP(N2222,[2]!RUBROS[#All],2,0)</f>
        <v>#REF!</v>
      </c>
      <c r="Q2222" s="47" t="str">
        <f t="shared" si="756"/>
        <v>73</v>
      </c>
      <c r="R2222" s="47" t="str">
        <f t="shared" si="750"/>
        <v>0-205128</v>
      </c>
      <c r="S2222" s="54">
        <v>4.5</v>
      </c>
      <c r="T2222" s="59" t="s">
        <v>46</v>
      </c>
      <c r="U2222" s="326" t="e">
        <f ca="1">_xlfn.XLOOKUP(PAA_4[[#This Row],[ITEM]],[2]Contrato!A:A,[2]Contrato!Q:Q,"",0)</f>
        <v>#NAME?</v>
      </c>
      <c r="V2222" s="47" t="s">
        <v>95</v>
      </c>
      <c r="W2222" s="47" t="s">
        <v>194</v>
      </c>
      <c r="X2222" s="47" t="s">
        <v>194</v>
      </c>
      <c r="Y2222" s="55" t="e">
        <f ca="1">_xlfn.XLOOKUP(PAA_4[[#This Row],[ITEM]],[2]Contrato!A:A,[2]Contrato!B:B,"",0)</f>
        <v>#NAME?</v>
      </c>
      <c r="Z2222" s="47" t="e">
        <f ca="1">_xlfn.XLOOKUP(PAA_4[[#This Row],[ITEM]],[2]Contrato!A:A,[2]Contrato!G:G,"",0)</f>
        <v>#NAME?</v>
      </c>
      <c r="AA2222" s="47" t="e">
        <f ca="1">_xlfn.XLOOKUP(PAA_4[[#This Row],[ITEM]],[2]Contrato!A:A,[2]Contrato!T:T,"",0)</f>
        <v>#NAME?</v>
      </c>
      <c r="AB2222" s="55" t="e">
        <f ca="1">+MAX(PAA_4[[#This Row],[Comprometido Contrato]],PAA_4[[#This Row],[Comprometido Bolsa]])</f>
        <v>#NAME?</v>
      </c>
      <c r="AC2222" s="55" t="str">
        <f t="shared" ca="1" si="757"/>
        <v/>
      </c>
      <c r="AD2222" s="55" t="e">
        <f ca="1">IF(PAA_4[[#This Row],[ESTADO (formulado)]]="NO CONTRATADO",0,MAX(PAA_4[[#This Row],[Pago por Contrato]],PAA_4[[#This Row],[Pago por bolsa]]))</f>
        <v>#NAME?</v>
      </c>
      <c r="AE2222" s="55" t="str">
        <f t="shared" ca="1" si="758"/>
        <v/>
      </c>
      <c r="AF2222" s="47" t="e">
        <f t="shared" ca="1" si="759"/>
        <v>#NAME?</v>
      </c>
      <c r="AG2222" s="47">
        <f t="shared" si="760"/>
        <v>52010703</v>
      </c>
      <c r="AH2222" s="54">
        <f>IF(Q2222="22",IF(ISNUMBER(SEARCH("econ",PAA_4[[#This Row],[Actividad3]])),"Económico",IF(ISNUMBER(SEARCH("alim",PAA_4[[#This Row],[Actividad3]])),"Alimentación",IF(ISNUMBER(SEARCH("educ",PAA_4[[#This Row],[Actividad3]])),"Educativo","Técnico"))),0)</f>
        <v>0</v>
      </c>
      <c r="AI2222" s="47" t="e" cm="1">
        <f t="array" aca="1" ref="AI2222" ca="1">_xlfn.XLOOKUP(PAA_4[[#This Row],[RCP-RUBRO]],[2]!COMPROMISOS_2024[[#All],[concatenado]],[2]!COMPROMISOS_2024[[#All],[Total pagado]],"",0)</f>
        <v>#NAME?</v>
      </c>
      <c r="AJ2222" s="56">
        <f>IF(PAA_4[[#This Row],[BOLSA]]=0,0,SUMIFS([2]!COMPROMISOS_2024[[#All],[Total pagado]],[2]!COMPROMISOS_2024[[#All],[Bolsa]],PAA_4[[#This Row],[BOLSA]],[2]!COMPROMISOS_2024[[#All],[rubro]],PAA_4[[#This Row],[RCP-RUBRO]]))</f>
        <v>0</v>
      </c>
      <c r="AK2222" s="47" t="e" cm="1">
        <f t="array" aca="1" ref="AK2222" ca="1">_xlfn.XLOOKUP(PAA_4[[#This Row],[RCP-RUBRO]],[2]!COMPROMISOS_2024[[#All],[concatenado]],[2]!COMPROMISOS_2024[[#All],[Total Comprometido]],"",0)</f>
        <v>#NAME?</v>
      </c>
      <c r="AL2222" s="47">
        <f>IF(PAA_4[[#This Row],[BOLSA]]=0,0,SUMIFS([2]!COMPROMISOS_2024[[#All],[Total Comprometido]],[2]!COMPROMISOS_2024[[#All],[Bolsa]],PAA_4[[#This Row],[BOLSA]],[2]!COMPROMISOS_2024[[#All],[concatenado]],PAA_4[[#This Row],[RCP-RUBRO]]))</f>
        <v>0</v>
      </c>
    </row>
    <row r="2223" spans="1:38" s="19" customFormat="1" ht="31.5" customHeight="1">
      <c r="A2223" s="47">
        <v>1071</v>
      </c>
      <c r="B2223" s="47">
        <v>80141607</v>
      </c>
      <c r="C2223" s="47" t="str">
        <f>VLOOKUP(PAA_4[[#This Row],[PROYECTO (formulado)2]],[2]PROYECTOS!$G$1:$L$32,6,0)</f>
        <v>SUBGERENCIA DE FOMENTO Y DESARROLLO</v>
      </c>
      <c r="D2223" s="47" t="str">
        <f>+IF(PAA_4[[#This Row],[UNIDAD DE CONTRATACION (formulado)]]="Subgerencia Administrativa y Financiera","FUNCIONAMIENTO","INVERSIÓN")</f>
        <v>INVERSIÓN</v>
      </c>
      <c r="E2223" s="48" t="str">
        <f>VLOOKUP(Q2223,[2]PROYECTOS!$G$1:$K$32,5,0)</f>
        <v>Fortalecimiento de los juegos deportivos institucionales en los municipios del departamento de Antioquia</v>
      </c>
      <c r="F2223" s="48">
        <f>VLOOKUP(E2223,[2]PROYECTOS!$K$1:$M$32,3,0)</f>
        <v>2024003050073</v>
      </c>
      <c r="G2223" s="49" t="s">
        <v>2323</v>
      </c>
      <c r="H2223" s="49" t="str">
        <f>VLOOKUP(Q2223,[2]PROYECTOS!$V$1:$W$32,2,0)</f>
        <v>050081</v>
      </c>
      <c r="I2223" s="78">
        <v>0</v>
      </c>
      <c r="J2223" s="51" t="s">
        <v>446</v>
      </c>
      <c r="K2223" s="47" t="str">
        <f t="shared" ca="1" si="755"/>
        <v>CONTRATADO</v>
      </c>
      <c r="L2223" s="47" t="s">
        <v>94</v>
      </c>
      <c r="M2223" s="47" t="s">
        <v>42</v>
      </c>
      <c r="N2223" s="52" t="s">
        <v>1362</v>
      </c>
      <c r="O2223" s="51" t="e">
        <f>VLOOKUP(N2223,[2]!RUBROS[#All],3,0)</f>
        <v>#REF!</v>
      </c>
      <c r="P2223" s="53" t="e">
        <f>VLOOKUP(N2223,[2]!RUBROS[#All],2,0)</f>
        <v>#REF!</v>
      </c>
      <c r="Q2223" s="47" t="str">
        <f t="shared" si="756"/>
        <v>73</v>
      </c>
      <c r="R2223" s="47" t="str">
        <f t="shared" si="750"/>
        <v>0-101024</v>
      </c>
      <c r="S2223" s="54">
        <v>4.5</v>
      </c>
      <c r="T2223" s="59" t="s">
        <v>46</v>
      </c>
      <c r="U2223" s="326" t="e">
        <f ca="1">_xlfn.XLOOKUP(PAA_4[[#This Row],[ITEM]],[2]Contrato!A:A,[2]Contrato!Q:Q,"",0)</f>
        <v>#NAME?</v>
      </c>
      <c r="V2223" s="47" t="s">
        <v>95</v>
      </c>
      <c r="W2223" s="47" t="s">
        <v>194</v>
      </c>
      <c r="X2223" s="47" t="s">
        <v>194</v>
      </c>
      <c r="Y2223" s="55" t="e">
        <f ca="1">_xlfn.XLOOKUP(PAA_4[[#This Row],[ITEM]],[2]Contrato!A:A,[2]Contrato!B:B,"",0)</f>
        <v>#NAME?</v>
      </c>
      <c r="Z2223" s="47" t="e">
        <f ca="1">_xlfn.XLOOKUP(PAA_4[[#This Row],[ITEM]],[2]Contrato!A:A,[2]Contrato!G:G,"",0)</f>
        <v>#NAME?</v>
      </c>
      <c r="AA2223" s="47" t="e">
        <f ca="1">_xlfn.XLOOKUP(PAA_4[[#This Row],[ITEM]],[2]Contrato!A:A,[2]Contrato!T:T,"",0)</f>
        <v>#NAME?</v>
      </c>
      <c r="AB2223" s="55" t="e">
        <f ca="1">+MAX(PAA_4[[#This Row],[Comprometido Contrato]],PAA_4[[#This Row],[Comprometido Bolsa]])</f>
        <v>#NAME?</v>
      </c>
      <c r="AC2223" s="55" t="str">
        <f t="shared" ca="1" si="757"/>
        <v/>
      </c>
      <c r="AD2223" s="55" t="e">
        <f ca="1">IF(PAA_4[[#This Row],[ESTADO (formulado)]]="NO CONTRATADO",0,MAX(PAA_4[[#This Row],[Pago por Contrato]],PAA_4[[#This Row],[Pago por bolsa]]))</f>
        <v>#NAME?</v>
      </c>
      <c r="AE2223" s="55" t="str">
        <f t="shared" ca="1" si="758"/>
        <v/>
      </c>
      <c r="AF2223" s="47" t="e">
        <f t="shared" ca="1" si="759"/>
        <v>#NAME?</v>
      </c>
      <c r="AG2223" s="47">
        <f t="shared" si="760"/>
        <v>52010703</v>
      </c>
      <c r="AH2223" s="54">
        <f>IF(Q2223="22",IF(ISNUMBER(SEARCH("econ",PAA_4[[#This Row],[Actividad3]])),"Económico",IF(ISNUMBER(SEARCH("alim",PAA_4[[#This Row],[Actividad3]])),"Alimentación",IF(ISNUMBER(SEARCH("educ",PAA_4[[#This Row],[Actividad3]])),"Educativo","Técnico"))),0)</f>
        <v>0</v>
      </c>
      <c r="AI2223" s="47" t="e" cm="1">
        <f t="array" aca="1" ref="AI2223" ca="1">_xlfn.XLOOKUP(PAA_4[[#This Row],[RCP-RUBRO]],[2]!COMPROMISOS_2024[[#All],[concatenado]],[2]!COMPROMISOS_2024[[#All],[Total pagado]],"",0)</f>
        <v>#NAME?</v>
      </c>
      <c r="AJ2223" s="56">
        <f>IF(PAA_4[[#This Row],[BOLSA]]=0,0,SUMIFS([2]!COMPROMISOS_2024[[#All],[Total pagado]],[2]!COMPROMISOS_2024[[#All],[Bolsa]],PAA_4[[#This Row],[BOLSA]],[2]!COMPROMISOS_2024[[#All],[rubro]],PAA_4[[#This Row],[RCP-RUBRO]]))</f>
        <v>0</v>
      </c>
      <c r="AK2223" s="47" t="e" cm="1">
        <f t="array" aca="1" ref="AK2223" ca="1">_xlfn.XLOOKUP(PAA_4[[#This Row],[RCP-RUBRO]],[2]!COMPROMISOS_2024[[#All],[concatenado]],[2]!COMPROMISOS_2024[[#All],[Total Comprometido]],"",0)</f>
        <v>#NAME?</v>
      </c>
      <c r="AL2223" s="47">
        <f>IF(PAA_4[[#This Row],[BOLSA]]=0,0,SUMIFS([2]!COMPROMISOS_2024[[#All],[Total Comprometido]],[2]!COMPROMISOS_2024[[#All],[Bolsa]],PAA_4[[#This Row],[BOLSA]],[2]!COMPROMISOS_2024[[#All],[concatenado]],PAA_4[[#This Row],[RCP-RUBRO]]))</f>
        <v>0</v>
      </c>
    </row>
    <row r="2224" spans="1:38" s="377" customFormat="1" ht="31.5" customHeight="1">
      <c r="A2224" s="47">
        <v>1072</v>
      </c>
      <c r="B2224" s="47" t="s">
        <v>42</v>
      </c>
      <c r="C2224" s="47" t="str">
        <f>VLOOKUP(PAA_4[[#This Row],[PROYECTO (formulado)2]],[2]PROYECTOS!$G$1:$L$32,6,0)</f>
        <v>SUBGERENCIA DE FOMENTO Y DESARROLLO</v>
      </c>
      <c r="D2224" s="47" t="str">
        <f>+IF(PAA_4[[#This Row],[UNIDAD DE CONTRATACION (formulado)]]="Subgerencia Administrativa y Financiera","FUNCIONAMIENTO","INVERSIÓN")</f>
        <v>INVERSIÓN</v>
      </c>
      <c r="E2224" s="48" t="str">
        <f>VLOOKUP(Q2224,[2]PROYECTOS!$G$1:$K$32,5,0)</f>
        <v>Fortalecimiento de los juegos deportivos institucionales en los municipios del departamento de Antioquia</v>
      </c>
      <c r="F2224" s="48">
        <f>VLOOKUP(E2224,[2]PROYECTOS!$K$1:$M$32,3,0)</f>
        <v>2024003050073</v>
      </c>
      <c r="G2224" s="49" t="s">
        <v>2352</v>
      </c>
      <c r="H2224" s="49" t="str">
        <f>VLOOKUP(Q2224,[2]PROYECTOS!$V$1:$W$32,2,0)</f>
        <v>050081</v>
      </c>
      <c r="I2224" s="78">
        <v>0</v>
      </c>
      <c r="J2224" s="51" t="s">
        <v>344</v>
      </c>
      <c r="K2224" s="47" t="str">
        <f t="shared" ca="1" si="755"/>
        <v>CONTRATADO</v>
      </c>
      <c r="L2224" s="47" t="s">
        <v>42</v>
      </c>
      <c r="M2224" s="47" t="s">
        <v>42</v>
      </c>
      <c r="N2224" s="52" t="s">
        <v>2353</v>
      </c>
      <c r="O2224" s="51" t="e">
        <f>VLOOKUP(N2224,[2]!RUBROS[#All],3,0)</f>
        <v>#REF!</v>
      </c>
      <c r="P2224" s="53" t="e">
        <f>VLOOKUP(N2224,[2]!RUBROS[#All],2,0)</f>
        <v>#REF!</v>
      </c>
      <c r="Q2224" s="47" t="str">
        <f t="shared" si="756"/>
        <v>73</v>
      </c>
      <c r="R2224" s="47" t="str">
        <f t="shared" si="750"/>
        <v>0-205128</v>
      </c>
      <c r="S2224" s="54" t="s">
        <v>42</v>
      </c>
      <c r="T2224" s="59" t="s">
        <v>42</v>
      </c>
      <c r="U2224" s="326" t="e">
        <f ca="1">_xlfn.XLOOKUP(PAA_4[[#This Row],[ITEM]],[2]Contrato!A:A,[2]Contrato!Q:Q,"",0)</f>
        <v>#NAME?</v>
      </c>
      <c r="V2224" s="47" t="s">
        <v>95</v>
      </c>
      <c r="W2224" s="47" t="s">
        <v>42</v>
      </c>
      <c r="X2224" s="47" t="s">
        <v>42</v>
      </c>
      <c r="Y2224" s="55" t="e">
        <f ca="1">_xlfn.XLOOKUP(PAA_4[[#This Row],[ITEM]],[2]Contrato!A:A,[2]Contrato!B:B,"",0)</f>
        <v>#NAME?</v>
      </c>
      <c r="Z2224" s="47" t="e">
        <f ca="1">_xlfn.XLOOKUP(PAA_4[[#This Row],[ITEM]],[2]Contrato!A:A,[2]Contrato!G:G,"",0)</f>
        <v>#NAME?</v>
      </c>
      <c r="AA2224" s="47" t="e">
        <f ca="1">_xlfn.XLOOKUP(PAA_4[[#This Row],[ITEM]],[2]Contrato!A:A,[2]Contrato!T:T,"",0)</f>
        <v>#NAME?</v>
      </c>
      <c r="AB2224" s="55" t="e">
        <f ca="1">+MAX(PAA_4[[#This Row],[Comprometido Contrato]],PAA_4[[#This Row],[Comprometido Bolsa]])</f>
        <v>#NAME?</v>
      </c>
      <c r="AC2224" s="55" t="str">
        <f t="shared" ca="1" si="757"/>
        <v/>
      </c>
      <c r="AD2224" s="55" t="e">
        <f ca="1">IF(PAA_4[[#This Row],[ESTADO (formulado)]]="NO CONTRATADO",0,MAX(PAA_4[[#This Row],[Pago por Contrato]],PAA_4[[#This Row],[Pago por bolsa]]))</f>
        <v>#NAME?</v>
      </c>
      <c r="AE2224" s="55" t="str">
        <f t="shared" ca="1" si="758"/>
        <v/>
      </c>
      <c r="AF2224" s="47" t="e">
        <f t="shared" ca="1" si="759"/>
        <v>#NAME?</v>
      </c>
      <c r="AG2224" s="47">
        <f t="shared" si="760"/>
        <v>52010703</v>
      </c>
      <c r="AH2224" s="54">
        <f>IF(Q2224="22",IF(ISNUMBER(SEARCH("econ",PAA_4[[#This Row],[Actividad3]])),"Económico",IF(ISNUMBER(SEARCH("alim",PAA_4[[#This Row],[Actividad3]])),"Alimentación",IF(ISNUMBER(SEARCH("educ",PAA_4[[#This Row],[Actividad3]])),"Educativo","Técnico"))),0)</f>
        <v>0</v>
      </c>
      <c r="AI2224" s="47" t="e" cm="1">
        <f t="array" aca="1" ref="AI2224" ca="1">_xlfn.XLOOKUP(PAA_4[[#This Row],[RCP-RUBRO]],[2]!COMPROMISOS_2024[[#All],[concatenado]],[2]!COMPROMISOS_2024[[#All],[Total pagado]],"",0)</f>
        <v>#NAME?</v>
      </c>
      <c r="AJ2224" s="56">
        <f>IF(PAA_4[[#This Row],[BOLSA]]=0,0,SUMIFS([2]!COMPROMISOS_2024[[#All],[Total pagado]],[2]!COMPROMISOS_2024[[#All],[Bolsa]],PAA_4[[#This Row],[BOLSA]],[2]!COMPROMISOS_2024[[#All],[rubro]],PAA_4[[#This Row],[RCP-RUBRO]]))</f>
        <v>0</v>
      </c>
      <c r="AK2224" s="47" t="e" cm="1">
        <f t="array" aca="1" ref="AK2224" ca="1">_xlfn.XLOOKUP(PAA_4[[#This Row],[RCP-RUBRO]],[2]!COMPROMISOS_2024[[#All],[concatenado]],[2]!COMPROMISOS_2024[[#All],[Total Comprometido]],"",0)</f>
        <v>#NAME?</v>
      </c>
      <c r="AL2224" s="47">
        <f>IF(PAA_4[[#This Row],[BOLSA]]=0,0,SUMIFS([2]!COMPROMISOS_2024[[#All],[Total Comprometido]],[2]!COMPROMISOS_2024[[#All],[Bolsa]],PAA_4[[#This Row],[BOLSA]],[2]!COMPROMISOS_2024[[#All],[concatenado]],PAA_4[[#This Row],[RCP-RUBRO]]))</f>
        <v>0</v>
      </c>
    </row>
    <row r="2225" spans="1:38" s="377" customFormat="1" ht="31.5" customHeight="1">
      <c r="A2225" s="47">
        <v>1073</v>
      </c>
      <c r="B2225" s="47" t="s">
        <v>42</v>
      </c>
      <c r="C2225" s="47" t="str">
        <f>VLOOKUP(PAA_4[[#This Row],[PROYECTO (formulado)2]],[2]PROYECTOS!$G$1:$L$32,6,0)</f>
        <v>SUBGERENCIA DE FOMENTO Y DESARROLLO</v>
      </c>
      <c r="D2225" s="47" t="str">
        <f>+IF(PAA_4[[#This Row],[UNIDAD DE CONTRATACION (formulado)]]="Subgerencia Administrativa y Financiera","FUNCIONAMIENTO","INVERSIÓN")</f>
        <v>INVERSIÓN</v>
      </c>
      <c r="E2225" s="48" t="str">
        <f>VLOOKUP(Q2225,[2]PROYECTOS!$G$1:$K$32,5,0)</f>
        <v>Fortalecimiento de los juegos deportivos institucionales en los municipios del departamento de Antioquia</v>
      </c>
      <c r="F2225" s="48">
        <f>VLOOKUP(E2225,[2]PROYECTOS!$K$1:$M$32,3,0)</f>
        <v>2024003050073</v>
      </c>
      <c r="G2225" s="49" t="s">
        <v>2352</v>
      </c>
      <c r="H2225" s="49" t="str">
        <f>VLOOKUP(Q2225,[2]PROYECTOS!$V$1:$W$32,2,0)</f>
        <v>050081</v>
      </c>
      <c r="I2225" s="78">
        <v>0</v>
      </c>
      <c r="J2225" s="51" t="s">
        <v>344</v>
      </c>
      <c r="K2225" s="47" t="str">
        <f t="shared" ca="1" si="755"/>
        <v>CONTRATADO</v>
      </c>
      <c r="L2225" s="47" t="s">
        <v>42</v>
      </c>
      <c r="M2225" s="47" t="s">
        <v>42</v>
      </c>
      <c r="N2225" s="52" t="s">
        <v>2353</v>
      </c>
      <c r="O2225" s="51" t="e">
        <f>VLOOKUP(N2225,[2]!RUBROS[#All],3,0)</f>
        <v>#REF!</v>
      </c>
      <c r="P2225" s="53" t="e">
        <f>VLOOKUP(N2225,[2]!RUBROS[#All],2,0)</f>
        <v>#REF!</v>
      </c>
      <c r="Q2225" s="47" t="str">
        <f t="shared" si="756"/>
        <v>73</v>
      </c>
      <c r="R2225" s="47" t="str">
        <f t="shared" si="750"/>
        <v>0-205128</v>
      </c>
      <c r="S2225" s="54" t="s">
        <v>42</v>
      </c>
      <c r="T2225" s="59" t="s">
        <v>42</v>
      </c>
      <c r="U2225" s="326" t="e">
        <f ca="1">_xlfn.XLOOKUP(PAA_4[[#This Row],[ITEM]],[2]Contrato!A:A,[2]Contrato!Q:Q,"",0)</f>
        <v>#NAME?</v>
      </c>
      <c r="V2225" s="47" t="s">
        <v>95</v>
      </c>
      <c r="W2225" s="47" t="s">
        <v>42</v>
      </c>
      <c r="X2225" s="47" t="s">
        <v>42</v>
      </c>
      <c r="Y2225" s="55" t="e">
        <f ca="1">_xlfn.XLOOKUP(PAA_4[[#This Row],[ITEM]],[2]Contrato!A:A,[2]Contrato!B:B,"",0)</f>
        <v>#NAME?</v>
      </c>
      <c r="Z2225" s="47" t="e">
        <f ca="1">_xlfn.XLOOKUP(PAA_4[[#This Row],[ITEM]],[2]Contrato!A:A,[2]Contrato!G:G,"",0)</f>
        <v>#NAME?</v>
      </c>
      <c r="AA2225" s="47" t="e">
        <f ca="1">_xlfn.XLOOKUP(PAA_4[[#This Row],[ITEM]],[2]Contrato!A:A,[2]Contrato!T:T,"",0)</f>
        <v>#NAME?</v>
      </c>
      <c r="AB2225" s="55" t="e">
        <f ca="1">+MAX(PAA_4[[#This Row],[Comprometido Contrato]],PAA_4[[#This Row],[Comprometido Bolsa]])</f>
        <v>#NAME?</v>
      </c>
      <c r="AC2225" s="55" t="str">
        <f t="shared" ca="1" si="757"/>
        <v/>
      </c>
      <c r="AD2225" s="55" t="e">
        <f ca="1">IF(PAA_4[[#This Row],[ESTADO (formulado)]]="NO CONTRATADO",0,MAX(PAA_4[[#This Row],[Pago por Contrato]],PAA_4[[#This Row],[Pago por bolsa]]))</f>
        <v>#NAME?</v>
      </c>
      <c r="AE2225" s="55" t="str">
        <f t="shared" ca="1" si="758"/>
        <v/>
      </c>
      <c r="AF2225" s="47" t="e">
        <f t="shared" ca="1" si="759"/>
        <v>#NAME?</v>
      </c>
      <c r="AG2225" s="47">
        <f t="shared" si="760"/>
        <v>52010703</v>
      </c>
      <c r="AH2225" s="54">
        <f>IF(Q2225="22",IF(ISNUMBER(SEARCH("econ",PAA_4[[#This Row],[Actividad3]])),"Económico",IF(ISNUMBER(SEARCH("alim",PAA_4[[#This Row],[Actividad3]])),"Alimentación",IF(ISNUMBER(SEARCH("educ",PAA_4[[#This Row],[Actividad3]])),"Educativo","Técnico"))),0)</f>
        <v>0</v>
      </c>
      <c r="AI2225" s="47" t="e" cm="1">
        <f t="array" aca="1" ref="AI2225" ca="1">_xlfn.XLOOKUP(PAA_4[[#This Row],[RCP-RUBRO]],[2]!COMPROMISOS_2024[[#All],[concatenado]],[2]!COMPROMISOS_2024[[#All],[Total pagado]],"",0)</f>
        <v>#NAME?</v>
      </c>
      <c r="AJ2225" s="56">
        <f>IF(PAA_4[[#This Row],[BOLSA]]=0,0,SUMIFS([2]!COMPROMISOS_2024[[#All],[Total pagado]],[2]!COMPROMISOS_2024[[#All],[Bolsa]],PAA_4[[#This Row],[BOLSA]],[2]!COMPROMISOS_2024[[#All],[rubro]],PAA_4[[#This Row],[RCP-RUBRO]]))</f>
        <v>0</v>
      </c>
      <c r="AK2225" s="47" t="e" cm="1">
        <f t="array" aca="1" ref="AK2225" ca="1">_xlfn.XLOOKUP(PAA_4[[#This Row],[RCP-RUBRO]],[2]!COMPROMISOS_2024[[#All],[concatenado]],[2]!COMPROMISOS_2024[[#All],[Total Comprometido]],"",0)</f>
        <v>#NAME?</v>
      </c>
      <c r="AL2225" s="47">
        <f>IF(PAA_4[[#This Row],[BOLSA]]=0,0,SUMIFS([2]!COMPROMISOS_2024[[#All],[Total Comprometido]],[2]!COMPROMISOS_2024[[#All],[Bolsa]],PAA_4[[#This Row],[BOLSA]],[2]!COMPROMISOS_2024[[#All],[concatenado]],PAA_4[[#This Row],[RCP-RUBRO]]))</f>
        <v>0</v>
      </c>
    </row>
    <row r="2226" spans="1:38" s="19" customFormat="1" ht="31.5" customHeight="1">
      <c r="A2226" s="47">
        <v>1137</v>
      </c>
      <c r="B2226" s="47" t="s">
        <v>42</v>
      </c>
      <c r="C2226" s="47" t="str">
        <f>VLOOKUP(PAA_4[[#This Row],[PROYECTO (formulado)2]],[2]PROYECTOS!$G$1:$L$32,6,0)</f>
        <v>SUBGERENCIA DE FOMENTO Y DESARROLLO</v>
      </c>
      <c r="D2226" s="47" t="str">
        <f>+IF(PAA_4[[#This Row],[UNIDAD DE CONTRATACION (formulado)]]="Subgerencia Administrativa y Financiera","FUNCIONAMIENTO","INVERSIÓN")</f>
        <v>INVERSIÓN</v>
      </c>
      <c r="E2226" s="48" t="str">
        <f>VLOOKUP(Q2226,[2]PROYECTOS!$G$1:$K$32,5,0)</f>
        <v>Fortalecimiento de los juegos deportivos institucionales en los municipios del departamento de Antioquia</v>
      </c>
      <c r="F2226" s="48">
        <f>VLOOKUP(E2226,[2]PROYECTOS!$K$1:$M$32,3,0)</f>
        <v>2024003050073</v>
      </c>
      <c r="G2226" s="49" t="s">
        <v>2399</v>
      </c>
      <c r="H2226" s="49" t="str">
        <f>VLOOKUP(Q2226,[2]PROYECTOS!$V$1:$W$32,2,0)</f>
        <v>050081</v>
      </c>
      <c r="I2226" s="78">
        <v>0</v>
      </c>
      <c r="J2226" s="51" t="s">
        <v>42</v>
      </c>
      <c r="K2226" s="47" t="str">
        <f t="shared" ca="1" si="755"/>
        <v>CONTRATADO</v>
      </c>
      <c r="L2226" s="47" t="s">
        <v>78</v>
      </c>
      <c r="M2226" s="47" t="s">
        <v>1297</v>
      </c>
      <c r="N2226" s="52" t="s">
        <v>1357</v>
      </c>
      <c r="O2226" s="51" t="e">
        <f>VLOOKUP(N2226,[2]!RUBROS[#All],3,0)</f>
        <v>#REF!</v>
      </c>
      <c r="P2226" s="53" t="e">
        <f>VLOOKUP(N2226,[2]!RUBROS[#All],2,0)</f>
        <v>#REF!</v>
      </c>
      <c r="Q2226" s="47" t="str">
        <f t="shared" si="756"/>
        <v>73</v>
      </c>
      <c r="R2226" s="47" t="str">
        <f t="shared" si="750"/>
        <v>0-205128</v>
      </c>
      <c r="S2226" s="54">
        <v>3</v>
      </c>
      <c r="T2226" s="63" t="s">
        <v>46</v>
      </c>
      <c r="U2226" s="326" t="e">
        <f ca="1">_xlfn.XLOOKUP(PAA_4[[#This Row],[ITEM]],[2]Contrato!A:A,[2]Contrato!Q:Q,"",0)</f>
        <v>#NAME?</v>
      </c>
      <c r="V2226" s="47" t="s">
        <v>95</v>
      </c>
      <c r="W2226" s="47" t="s">
        <v>203</v>
      </c>
      <c r="X2226" s="47" t="s">
        <v>203</v>
      </c>
      <c r="Y2226" s="55" t="e">
        <f ca="1">_xlfn.XLOOKUP(PAA_4[[#This Row],[ITEM]],[2]Contrato!A:A,[2]Contrato!B:B,"",0)</f>
        <v>#NAME?</v>
      </c>
      <c r="Z2226" s="47" t="e">
        <f ca="1">_xlfn.XLOOKUP(PAA_4[[#This Row],[ITEM]],[2]Contrato!A:A,[2]Contrato!G:G,"",0)</f>
        <v>#NAME?</v>
      </c>
      <c r="AA2226" s="47" t="e">
        <f ca="1">_xlfn.XLOOKUP(PAA_4[[#This Row],[ITEM]],[2]Contrato!A:A,[2]Contrato!T:T,"",0)</f>
        <v>#NAME?</v>
      </c>
      <c r="AB2226" s="55" t="e">
        <f ca="1">+MAX(PAA_4[[#This Row],[Comprometido Contrato]],PAA_4[[#This Row],[Comprometido Bolsa]])</f>
        <v>#NAME?</v>
      </c>
      <c r="AC2226" s="55" t="str">
        <f t="shared" ca="1" si="757"/>
        <v/>
      </c>
      <c r="AD2226" s="55" t="e">
        <f ca="1">IF(PAA_4[[#This Row],[ESTADO (formulado)]]="NO CONTRATADO",0,MAX(PAA_4[[#This Row],[Pago por Contrato]],PAA_4[[#This Row],[Pago por bolsa]]))</f>
        <v>#NAME?</v>
      </c>
      <c r="AE2226" s="55" t="str">
        <f t="shared" ca="1" si="758"/>
        <v/>
      </c>
      <c r="AF2226" s="47" t="e">
        <f t="shared" ca="1" si="759"/>
        <v>#NAME?</v>
      </c>
      <c r="AG2226" s="47">
        <f t="shared" si="760"/>
        <v>52010703</v>
      </c>
      <c r="AH2226" s="54">
        <f>IF(Q2226="22",IF(ISNUMBER(SEARCH("econ",PAA_4[[#This Row],[Actividad3]])),"Económico",IF(ISNUMBER(SEARCH("alim",PAA_4[[#This Row],[Actividad3]])),"Alimentación",IF(ISNUMBER(SEARCH("educ",PAA_4[[#This Row],[Actividad3]])),"Educativo","Técnico"))),0)</f>
        <v>0</v>
      </c>
      <c r="AI2226" s="47" t="e" cm="1">
        <f t="array" aca="1" ref="AI2226" ca="1">_xlfn.XLOOKUP(PAA_4[[#This Row],[RCP-RUBRO]],[2]!COMPROMISOS_2024[[#All],[concatenado]],[2]!COMPROMISOS_2024[[#All],[Total pagado]],"",0)</f>
        <v>#NAME?</v>
      </c>
      <c r="AJ2226" s="56">
        <f>IF(PAA_4[[#This Row],[BOLSA]]=0,0,SUMIFS([2]!COMPROMISOS_2024[[#All],[Total pagado]],[2]!COMPROMISOS_2024[[#All],[Bolsa]],PAA_4[[#This Row],[BOLSA]],[2]!COMPROMISOS_2024[[#All],[rubro]],PAA_4[[#This Row],[RCP-RUBRO]]))</f>
        <v>0</v>
      </c>
      <c r="AK2226" s="47" t="e" cm="1">
        <f t="array" aca="1" ref="AK2226" ca="1">_xlfn.XLOOKUP(PAA_4[[#This Row],[RCP-RUBRO]],[2]!COMPROMISOS_2024[[#All],[concatenado]],[2]!COMPROMISOS_2024[[#All],[Total Comprometido]],"",0)</f>
        <v>#NAME?</v>
      </c>
      <c r="AL2226" s="47">
        <f>IF(PAA_4[[#This Row],[BOLSA]]=0,0,SUMIFS([2]!COMPROMISOS_2024[[#All],[Total Comprometido]],[2]!COMPROMISOS_2024[[#All],[Bolsa]],PAA_4[[#This Row],[BOLSA]],[2]!COMPROMISOS_2024[[#All],[concatenado]],PAA_4[[#This Row],[RCP-RUBRO]]))</f>
        <v>0</v>
      </c>
    </row>
    <row r="2227" spans="1:38" s="19" customFormat="1" ht="31.5" customHeight="1">
      <c r="A2227" s="47" t="s">
        <v>82</v>
      </c>
      <c r="B2227" s="47" t="s">
        <v>42</v>
      </c>
      <c r="C2227" s="47" t="str">
        <f>VLOOKUP(PAA_4[[#This Row],[PROYECTO (formulado)2]],[2]PROYECTOS!$G$1:$L$32,6,0)</f>
        <v>SUBGERENCIA DE FOMENTO Y DESARROLLO</v>
      </c>
      <c r="D2227" s="47" t="str">
        <f>+IF(PAA_4[[#This Row],[UNIDAD DE CONTRATACION (formulado)]]="Subgerencia Administrativa y Financiera","FUNCIONAMIENTO","INVERSIÓN")</f>
        <v>INVERSIÓN</v>
      </c>
      <c r="E2227" s="48" t="str">
        <f>VLOOKUP(Q2227,[2]PROYECTOS!$G$1:$K$32,5,0)</f>
        <v>Fortalecimiento de los juegos deportivos institucionales en los municipios del departamento de Antioquia</v>
      </c>
      <c r="F2227" s="48">
        <f>VLOOKUP(E2227,[2]PROYECTOS!$K$1:$M$32,3,0)</f>
        <v>2024003050073</v>
      </c>
      <c r="G2227" s="49" t="s">
        <v>2399</v>
      </c>
      <c r="H2227" s="49" t="str">
        <f>VLOOKUP(Q2227,[2]PROYECTOS!$V$1:$W$32,2,0)</f>
        <v>050081</v>
      </c>
      <c r="I2227" s="78">
        <v>848049</v>
      </c>
      <c r="J2227" s="51" t="s">
        <v>1851</v>
      </c>
      <c r="K2227" s="47" t="str">
        <f ca="1">IF(ISNONTEXT(Y2227)=TRUE,"CONTRATADO","NO CONTRATADO")</f>
        <v>CONTRATADO</v>
      </c>
      <c r="L2227" s="47" t="s">
        <v>42</v>
      </c>
      <c r="M2227" s="47" t="s">
        <v>42</v>
      </c>
      <c r="N2227" s="52" t="s">
        <v>1357</v>
      </c>
      <c r="O2227" s="51" t="e">
        <f>VLOOKUP(N2227,[2]!RUBROS[#All],3,0)</f>
        <v>#REF!</v>
      </c>
      <c r="P2227" s="53" t="e">
        <f>VLOOKUP(N2227,[2]!RUBROS[#All],2,0)</f>
        <v>#REF!</v>
      </c>
      <c r="Q2227" s="47" t="str">
        <f>+MID(N2227,11,2)</f>
        <v>73</v>
      </c>
      <c r="R2227" s="47" t="str">
        <f>+MID(N2227,14,8)</f>
        <v>0-205128</v>
      </c>
      <c r="S2227" s="54" t="s">
        <v>42</v>
      </c>
      <c r="T2227" s="63" t="s">
        <v>42</v>
      </c>
      <c r="U2227" s="326" t="e">
        <f ca="1">_xlfn.XLOOKUP(PAA_4[[#This Row],[ITEM]],[2]Contrato!A:A,[2]Contrato!Q:Q,"",0)</f>
        <v>#NAME?</v>
      </c>
      <c r="V2227" s="47" t="s">
        <v>95</v>
      </c>
      <c r="W2227" s="47" t="s">
        <v>42</v>
      </c>
      <c r="X2227" s="47" t="s">
        <v>42</v>
      </c>
      <c r="Y2227" s="55" t="e">
        <f ca="1">_xlfn.XLOOKUP(PAA_4[[#This Row],[ITEM]],[2]Contrato!A:A,[2]Contrato!B:B,"",0)</f>
        <v>#NAME?</v>
      </c>
      <c r="Z2227" s="47" t="e">
        <f ca="1">_xlfn.XLOOKUP(PAA_4[[#This Row],[ITEM]],[2]Contrato!A:A,[2]Contrato!G:G,"",0)</f>
        <v>#NAME?</v>
      </c>
      <c r="AA2227" s="47" t="e">
        <f ca="1">_xlfn.XLOOKUP(PAA_4[[#This Row],[ITEM]],[2]Contrato!A:A,[2]Contrato!T:T,"",0)</f>
        <v>#NAME?</v>
      </c>
      <c r="AB2227" s="55" t="e">
        <f ca="1">+MAX(PAA_4[[#This Row],[Comprometido Contrato]],PAA_4[[#This Row],[Comprometido Bolsa]])</f>
        <v>#NAME?</v>
      </c>
      <c r="AC2227" s="55" t="str">
        <f ca="1">IFERROR(I2227-AB2227,"")</f>
        <v/>
      </c>
      <c r="AD2227" s="55" t="e">
        <f ca="1">IF(PAA_4[[#This Row],[ESTADO (formulado)]]="NO CONTRATADO",0,MAX(PAA_4[[#This Row],[Pago por Contrato]],PAA_4[[#This Row],[Pago por bolsa]]))</f>
        <v>#NAME?</v>
      </c>
      <c r="AE2227" s="55" t="str">
        <f ca="1">+IFERROR(AB2227-AD2227,"")</f>
        <v/>
      </c>
      <c r="AF2227" s="47" t="e">
        <f ca="1">+CONCATENATE(AA2227,N2227)</f>
        <v>#NAME?</v>
      </c>
      <c r="AG2227" s="47">
        <f>IFERROR(_xlfn.NUMBERVALUE(MID(G2227,1,8)),"")</f>
        <v>52010703</v>
      </c>
      <c r="AH2227" s="54">
        <f>IF(Q2227="22",IF(ISNUMBER(SEARCH("econ",PAA_4[[#This Row],[Actividad3]])),"Económico",IF(ISNUMBER(SEARCH("alim",PAA_4[[#This Row],[Actividad3]])),"Alimentación",IF(ISNUMBER(SEARCH("educ",PAA_4[[#This Row],[Actividad3]])),"Educativo","Técnico"))),0)</f>
        <v>0</v>
      </c>
      <c r="AI2227" s="47" t="e" cm="1">
        <f t="array" aca="1" ref="AI2227" ca="1">_xlfn.XLOOKUP(PAA_4[[#This Row],[RCP-RUBRO]],[2]!COMPROMISOS_2024[[#All],[concatenado]],[2]!COMPROMISOS_2024[[#All],[Total pagado]],"",0)</f>
        <v>#NAME?</v>
      </c>
      <c r="AJ2227" s="56">
        <f>IF(PAA_4[[#This Row],[BOLSA]]=0,0,SUMIFS([2]!COMPROMISOS_2024[[#All],[Total pagado]],[2]!COMPROMISOS_2024[[#All],[Bolsa]],PAA_4[[#This Row],[BOLSA]],[2]!COMPROMISOS_2024[[#All],[rubro]],PAA_4[[#This Row],[RCP-RUBRO]]))</f>
        <v>0</v>
      </c>
      <c r="AK2227" s="47" t="e" cm="1">
        <f t="array" aca="1" ref="AK2227" ca="1">_xlfn.XLOOKUP(PAA_4[[#This Row],[RCP-RUBRO]],[2]!COMPROMISOS_2024[[#All],[concatenado]],[2]!COMPROMISOS_2024[[#All],[Total Comprometido]],"",0)</f>
        <v>#NAME?</v>
      </c>
      <c r="AL2227" s="47">
        <f>IF(PAA_4[[#This Row],[BOLSA]]=0,0,SUMIFS([2]!COMPROMISOS_2024[[#All],[Total Comprometido]],[2]!COMPROMISOS_2024[[#All],[Bolsa]],PAA_4[[#This Row],[BOLSA]],[2]!COMPROMISOS_2024[[#All],[concatenado]],PAA_4[[#This Row],[RCP-RUBRO]]))</f>
        <v>0</v>
      </c>
    </row>
    <row r="2228" spans="1:38" s="19" customFormat="1" ht="31.5" customHeight="1">
      <c r="A2228" s="47">
        <v>1138</v>
      </c>
      <c r="B2228" s="47">
        <v>80111600</v>
      </c>
      <c r="C2228" s="47" t="str">
        <f>VLOOKUP(PAA_4[[#This Row],[PROYECTO (formulado)2]],[2]PROYECTOS!$G$1:$L$32,6,0)</f>
        <v>SUBGERENCIA DE FOMENTO Y DESARROLLO</v>
      </c>
      <c r="D2228" s="47" t="str">
        <f>+IF(PAA_4[[#This Row],[UNIDAD DE CONTRATACION (formulado)]]="Subgerencia Administrativa y Financiera","FUNCIONAMIENTO","INVERSIÓN")</f>
        <v>INVERSIÓN</v>
      </c>
      <c r="E2228" s="48" t="str">
        <f>VLOOKUP(Q2228,[2]PROYECTOS!$G$1:$K$32,5,0)</f>
        <v>Fortalecimiento de los juegos deportivos institucionales en los municipios del departamento de Antioquia</v>
      </c>
      <c r="F2228" s="48">
        <f>VLOOKUP(E2228,[2]PROYECTOS!$K$1:$M$32,3,0)</f>
        <v>2024003050073</v>
      </c>
      <c r="G2228" s="49" t="s">
        <v>2399</v>
      </c>
      <c r="H2228" s="49" t="str">
        <f>VLOOKUP(Q2228,[2]PROYECTOS!$V$1:$W$32,2,0)</f>
        <v>050081</v>
      </c>
      <c r="I2228" s="78">
        <f>28049335-848049</f>
        <v>27201286</v>
      </c>
      <c r="J2228" s="51" t="s">
        <v>2401</v>
      </c>
      <c r="K2228" s="47" t="str">
        <f t="shared" ref="K2228" ca="1" si="761">IF(ISNONTEXT(Y2228)=TRUE,"CONTRATADO","NO CONTRATADO")</f>
        <v>CONTRATADO</v>
      </c>
      <c r="L2228" s="47" t="s">
        <v>78</v>
      </c>
      <c r="M2228" s="47" t="s">
        <v>1297</v>
      </c>
      <c r="N2228" s="52" t="s">
        <v>1357</v>
      </c>
      <c r="O2228" s="51" t="e">
        <f>VLOOKUP(N2228,[2]!RUBROS[#All],3,0)</f>
        <v>#REF!</v>
      </c>
      <c r="P2228" s="53" t="e">
        <f>VLOOKUP(N2228,[2]!RUBROS[#All],2,0)</f>
        <v>#REF!</v>
      </c>
      <c r="Q2228" s="47" t="str">
        <f t="shared" ref="Q2228" si="762">+MID(N2228,11,2)</f>
        <v>73</v>
      </c>
      <c r="R2228" s="47" t="str">
        <f t="shared" ref="R2228" si="763">+MID(N2228,14,8)</f>
        <v>0-205128</v>
      </c>
      <c r="S2228" s="54">
        <v>3</v>
      </c>
      <c r="T2228" s="63" t="s">
        <v>46</v>
      </c>
      <c r="U2228" s="326" t="e">
        <f ca="1">_xlfn.XLOOKUP(PAA_4[[#This Row],[ITEM]],[2]Contrato!A:A,[2]Contrato!Q:Q,"",0)</f>
        <v>#NAME?</v>
      </c>
      <c r="V2228" s="47" t="s">
        <v>95</v>
      </c>
      <c r="W2228" s="47" t="s">
        <v>203</v>
      </c>
      <c r="X2228" s="47" t="s">
        <v>203</v>
      </c>
      <c r="Y2228" s="55" t="e">
        <f ca="1">_xlfn.XLOOKUP(PAA_4[[#This Row],[ITEM]],[2]Contrato!A:A,[2]Contrato!B:B,"",0)</f>
        <v>#NAME?</v>
      </c>
      <c r="Z2228" s="47" t="e">
        <f ca="1">_xlfn.XLOOKUP(PAA_4[[#This Row],[ITEM]],[2]Contrato!A:A,[2]Contrato!G:G,"",0)</f>
        <v>#NAME?</v>
      </c>
      <c r="AA2228" s="47" t="e">
        <f ca="1">_xlfn.XLOOKUP(PAA_4[[#This Row],[ITEM]],[2]Contrato!A:A,[2]Contrato!T:T,"",0)</f>
        <v>#NAME?</v>
      </c>
      <c r="AB2228" s="55" t="e">
        <f ca="1">+MAX(PAA_4[[#This Row],[Comprometido Contrato]],PAA_4[[#This Row],[Comprometido Bolsa]])</f>
        <v>#NAME?</v>
      </c>
      <c r="AC2228" s="55" t="str">
        <f t="shared" ref="AC2228" ca="1" si="764">IFERROR(I2228-AB2228,"")</f>
        <v/>
      </c>
      <c r="AD2228" s="55" t="e">
        <f ca="1">IF(PAA_4[[#This Row],[ESTADO (formulado)]]="NO CONTRATADO",0,MAX(PAA_4[[#This Row],[Pago por Contrato]],PAA_4[[#This Row],[Pago por bolsa]]))</f>
        <v>#NAME?</v>
      </c>
      <c r="AE2228" s="55" t="str">
        <f t="shared" ref="AE2228" ca="1" si="765">+IFERROR(AB2228-AD2228,"")</f>
        <v/>
      </c>
      <c r="AF2228" s="47" t="e">
        <f t="shared" ref="AF2228" ca="1" si="766">+CONCATENATE(AA2228,N2228)</f>
        <v>#NAME?</v>
      </c>
      <c r="AG2228" s="47">
        <f t="shared" ref="AG2228" si="767">IFERROR(_xlfn.NUMBERVALUE(MID(G2228,1,8)),"")</f>
        <v>52010703</v>
      </c>
      <c r="AH2228" s="54">
        <f>IF(Q2228="22",IF(ISNUMBER(SEARCH("econ",PAA_4[[#This Row],[Actividad3]])),"Económico",IF(ISNUMBER(SEARCH("alim",PAA_4[[#This Row],[Actividad3]])),"Alimentación",IF(ISNUMBER(SEARCH("educ",PAA_4[[#This Row],[Actividad3]])),"Educativo","Técnico"))),0)</f>
        <v>0</v>
      </c>
      <c r="AI2228" s="47" t="e" cm="1">
        <f t="array" aca="1" ref="AI2228" ca="1">_xlfn.XLOOKUP(PAA_4[[#This Row],[RCP-RUBRO]],[2]!COMPROMISOS_2024[[#All],[concatenado]],[2]!COMPROMISOS_2024[[#All],[Total pagado]],"",0)</f>
        <v>#NAME?</v>
      </c>
      <c r="AJ2228" s="56">
        <f>IF(PAA_4[[#This Row],[BOLSA]]=0,0,SUMIFS([2]!COMPROMISOS_2024[[#All],[Total pagado]],[2]!COMPROMISOS_2024[[#All],[Bolsa]],PAA_4[[#This Row],[BOLSA]],[2]!COMPROMISOS_2024[[#All],[rubro]],PAA_4[[#This Row],[RCP-RUBRO]]))</f>
        <v>0</v>
      </c>
      <c r="AK2228" s="47" t="e" cm="1">
        <f t="array" aca="1" ref="AK2228" ca="1">_xlfn.XLOOKUP(PAA_4[[#This Row],[RCP-RUBRO]],[2]!COMPROMISOS_2024[[#All],[concatenado]],[2]!COMPROMISOS_2024[[#All],[Total Comprometido]],"",0)</f>
        <v>#NAME?</v>
      </c>
      <c r="AL2228" s="47">
        <f>IF(PAA_4[[#This Row],[BOLSA]]=0,0,SUMIFS([2]!COMPROMISOS_2024[[#All],[Total Comprometido]],[2]!COMPROMISOS_2024[[#All],[Bolsa]],PAA_4[[#This Row],[BOLSA]],[2]!COMPROMISOS_2024[[#All],[concatenado]],PAA_4[[#This Row],[RCP-RUBRO]]))</f>
        <v>0</v>
      </c>
    </row>
    <row r="2229" spans="1:38" s="19" customFormat="1" ht="31.5" customHeight="1">
      <c r="A2229" s="47" t="s">
        <v>82</v>
      </c>
      <c r="B2229" s="47" t="s">
        <v>42</v>
      </c>
      <c r="C2229" s="47" t="str">
        <f>VLOOKUP(PAA_4[[#This Row],[PROYECTO (formulado)2]],[2]PROYECTOS!$G$1:$L$32,6,0)</f>
        <v>SUBGERENCIA DE FOMENTO Y DESARROLLO</v>
      </c>
      <c r="D2229" s="47" t="str">
        <f>+IF(PAA_4[[#This Row],[UNIDAD DE CONTRATACION (formulado)]]="Subgerencia Administrativa y Financiera","FUNCIONAMIENTO","INVERSIÓN")</f>
        <v>INVERSIÓN</v>
      </c>
      <c r="E2229" s="48" t="str">
        <f>VLOOKUP(Q2229,[2]PROYECTOS!$G$1:$K$32,5,0)</f>
        <v>Fortalecimiento de los juegos deportivos institucionales en los municipios del departamento de Antioquia</v>
      </c>
      <c r="F2229" s="48">
        <f>VLOOKUP(E2229,[2]PROYECTOS!$K$1:$M$32,3,0)</f>
        <v>2024003050073</v>
      </c>
      <c r="G2229" s="49" t="s">
        <v>2399</v>
      </c>
      <c r="H2229" s="49" t="str">
        <f>VLOOKUP(Q2229,[2]PROYECTOS!$V$1:$W$32,2,0)</f>
        <v>050081</v>
      </c>
      <c r="I2229" s="78">
        <v>2414284</v>
      </c>
      <c r="J2229" s="51" t="s">
        <v>1851</v>
      </c>
      <c r="K2229" s="47" t="str">
        <f ca="1">IF(ISNONTEXT(Y2229)=TRUE,"CONTRATADO","NO CONTRATADO")</f>
        <v>CONTRATADO</v>
      </c>
      <c r="L2229" s="47" t="s">
        <v>42</v>
      </c>
      <c r="M2229" s="47" t="s">
        <v>42</v>
      </c>
      <c r="N2229" s="52" t="s">
        <v>1357</v>
      </c>
      <c r="O2229" s="51" t="e">
        <f>VLOOKUP(N2229,[2]!RUBROS[#All],3,0)</f>
        <v>#REF!</v>
      </c>
      <c r="P2229" s="53" t="e">
        <f>VLOOKUP(N2229,[2]!RUBROS[#All],2,0)</f>
        <v>#REF!</v>
      </c>
      <c r="Q2229" s="47" t="str">
        <f>+MID(N2229,11,2)</f>
        <v>73</v>
      </c>
      <c r="R2229" s="47" t="str">
        <f>+MID(N2229,14,8)</f>
        <v>0-205128</v>
      </c>
      <c r="S2229" s="54" t="s">
        <v>42</v>
      </c>
      <c r="T2229" s="63" t="s">
        <v>42</v>
      </c>
      <c r="U2229" s="326" t="e">
        <f ca="1">_xlfn.XLOOKUP(PAA_4[[#This Row],[ITEM]],[2]Contrato!A:A,[2]Contrato!Q:Q,"",0)</f>
        <v>#NAME?</v>
      </c>
      <c r="V2229" s="47" t="s">
        <v>95</v>
      </c>
      <c r="W2229" s="47" t="s">
        <v>42</v>
      </c>
      <c r="X2229" s="47" t="s">
        <v>42</v>
      </c>
      <c r="Y2229" s="55" t="e">
        <f ca="1">_xlfn.XLOOKUP(PAA_4[[#This Row],[ITEM]],[2]Contrato!A:A,[2]Contrato!B:B,"",0)</f>
        <v>#NAME?</v>
      </c>
      <c r="Z2229" s="47" t="e">
        <f ca="1">_xlfn.XLOOKUP(PAA_4[[#This Row],[ITEM]],[2]Contrato!A:A,[2]Contrato!G:G,"",0)</f>
        <v>#NAME?</v>
      </c>
      <c r="AA2229" s="47" t="e">
        <f ca="1">_xlfn.XLOOKUP(PAA_4[[#This Row],[ITEM]],[2]Contrato!A:A,[2]Contrato!T:T,"",0)</f>
        <v>#NAME?</v>
      </c>
      <c r="AB2229" s="55" t="e">
        <f ca="1">+MAX(PAA_4[[#This Row],[Comprometido Contrato]],PAA_4[[#This Row],[Comprometido Bolsa]])</f>
        <v>#NAME?</v>
      </c>
      <c r="AC2229" s="55" t="str">
        <f ca="1">IFERROR(I2229-AB2229,"")</f>
        <v/>
      </c>
      <c r="AD2229" s="55" t="e">
        <f ca="1">IF(PAA_4[[#This Row],[ESTADO (formulado)]]="NO CONTRATADO",0,MAX(PAA_4[[#This Row],[Pago por Contrato]],PAA_4[[#This Row],[Pago por bolsa]]))</f>
        <v>#NAME?</v>
      </c>
      <c r="AE2229" s="55" t="str">
        <f ca="1">+IFERROR(AB2229-AD2229,"")</f>
        <v/>
      </c>
      <c r="AF2229" s="47" t="e">
        <f ca="1">+CONCATENATE(AA2229,N2229)</f>
        <v>#NAME?</v>
      </c>
      <c r="AG2229" s="47">
        <f>IFERROR(_xlfn.NUMBERVALUE(MID(G2229,1,8)),"")</f>
        <v>52010703</v>
      </c>
      <c r="AH2229" s="54">
        <f>IF(Q2229="22",IF(ISNUMBER(SEARCH("econ",PAA_4[[#This Row],[Actividad3]])),"Económico",IF(ISNUMBER(SEARCH("alim",PAA_4[[#This Row],[Actividad3]])),"Alimentación",IF(ISNUMBER(SEARCH("educ",PAA_4[[#This Row],[Actividad3]])),"Educativo","Técnico"))),0)</f>
        <v>0</v>
      </c>
      <c r="AI2229" s="47" t="e" cm="1">
        <f t="array" aca="1" ref="AI2229" ca="1">_xlfn.XLOOKUP(PAA_4[[#This Row],[RCP-RUBRO]],[2]!COMPROMISOS_2024[[#All],[concatenado]],[2]!COMPROMISOS_2024[[#All],[Total pagado]],"",0)</f>
        <v>#NAME?</v>
      </c>
      <c r="AJ2229" s="56">
        <f>IF(PAA_4[[#This Row],[BOLSA]]=0,0,SUMIFS([2]!COMPROMISOS_2024[[#All],[Total pagado]],[2]!COMPROMISOS_2024[[#All],[Bolsa]],PAA_4[[#This Row],[BOLSA]],[2]!COMPROMISOS_2024[[#All],[rubro]],PAA_4[[#This Row],[RCP-RUBRO]]))</f>
        <v>0</v>
      </c>
      <c r="AK2229" s="47" t="e" cm="1">
        <f t="array" aca="1" ref="AK2229" ca="1">_xlfn.XLOOKUP(PAA_4[[#This Row],[RCP-RUBRO]],[2]!COMPROMISOS_2024[[#All],[concatenado]],[2]!COMPROMISOS_2024[[#All],[Total Comprometido]],"",0)</f>
        <v>#NAME?</v>
      </c>
      <c r="AL2229" s="47">
        <f>IF(PAA_4[[#This Row],[BOLSA]]=0,0,SUMIFS([2]!COMPROMISOS_2024[[#All],[Total Comprometido]],[2]!COMPROMISOS_2024[[#All],[Bolsa]],PAA_4[[#This Row],[BOLSA]],[2]!COMPROMISOS_2024[[#All],[concatenado]],PAA_4[[#This Row],[RCP-RUBRO]]))</f>
        <v>0</v>
      </c>
    </row>
    <row r="2230" spans="1:38" s="19" customFormat="1" ht="31.5" customHeight="1">
      <c r="A2230" s="47">
        <v>1139</v>
      </c>
      <c r="B2230" s="47">
        <v>80111600</v>
      </c>
      <c r="C2230" s="47" t="str">
        <f>VLOOKUP(PAA_4[[#This Row],[PROYECTO (formulado)2]],[2]PROYECTOS!$G$1:$L$32,6,0)</f>
        <v>SUBGERENCIA DE FOMENTO Y DESARROLLO</v>
      </c>
      <c r="D2230" s="47" t="str">
        <f>+IF(PAA_4[[#This Row],[UNIDAD DE CONTRATACION (formulado)]]="Subgerencia Administrativa y Financiera","FUNCIONAMIENTO","INVERSIÓN")</f>
        <v>INVERSIÓN</v>
      </c>
      <c r="E2230" s="48" t="str">
        <f>VLOOKUP(Q2230,[2]PROYECTOS!$G$1:$K$32,5,0)</f>
        <v>Fortalecimiento de los juegos deportivos institucionales en los municipios del departamento de Antioquia</v>
      </c>
      <c r="F2230" s="48">
        <f>VLOOKUP(E2230,[2]PROYECTOS!$K$1:$M$32,3,0)</f>
        <v>2024003050073</v>
      </c>
      <c r="G2230" s="49" t="s">
        <v>2399</v>
      </c>
      <c r="H2230" s="49" t="str">
        <f>VLOOKUP(Q2230,[2]PROYECTOS!$V$1:$W$32,2,0)</f>
        <v>050081</v>
      </c>
      <c r="I2230" s="78">
        <f>25985611-2414284</f>
        <v>23571327</v>
      </c>
      <c r="J2230" s="51" t="s">
        <v>2402</v>
      </c>
      <c r="K2230" s="47" t="str">
        <f t="shared" ref="K2230:K2231" ca="1" si="768">IF(ISNONTEXT(Y2230)=TRUE,"CONTRATADO","NO CONTRATADO")</f>
        <v>CONTRATADO</v>
      </c>
      <c r="L2230" s="47" t="s">
        <v>78</v>
      </c>
      <c r="M2230" s="47" t="s">
        <v>1297</v>
      </c>
      <c r="N2230" s="52" t="s">
        <v>1357</v>
      </c>
      <c r="O2230" s="51" t="e">
        <f>VLOOKUP(N2230,[2]!RUBROS[#All],3,0)</f>
        <v>#REF!</v>
      </c>
      <c r="P2230" s="53" t="e">
        <f>VLOOKUP(N2230,[2]!RUBROS[#All],2,0)</f>
        <v>#REF!</v>
      </c>
      <c r="Q2230" s="47" t="str">
        <f t="shared" ref="Q2230:Q2231" si="769">+MID(N2230,11,2)</f>
        <v>73</v>
      </c>
      <c r="R2230" s="47" t="str">
        <f t="shared" ref="R2230:R2231" si="770">+MID(N2230,14,8)</f>
        <v>0-205128</v>
      </c>
      <c r="S2230" s="54">
        <v>75</v>
      </c>
      <c r="T2230" s="63" t="s">
        <v>120</v>
      </c>
      <c r="U2230" s="326" t="e">
        <f ca="1">_xlfn.XLOOKUP(PAA_4[[#This Row],[ITEM]],[2]Contrato!A:A,[2]Contrato!Q:Q,"",0)</f>
        <v>#NAME?</v>
      </c>
      <c r="V2230" s="47" t="s">
        <v>95</v>
      </c>
      <c r="W2230" s="47" t="s">
        <v>203</v>
      </c>
      <c r="X2230" s="47" t="s">
        <v>203</v>
      </c>
      <c r="Y2230" s="55" t="e">
        <f ca="1">_xlfn.XLOOKUP(PAA_4[[#This Row],[ITEM]],[2]Contrato!A:A,[2]Contrato!B:B,"",0)</f>
        <v>#NAME?</v>
      </c>
      <c r="Z2230" s="47" t="e">
        <f ca="1">_xlfn.XLOOKUP(PAA_4[[#This Row],[ITEM]],[2]Contrato!A:A,[2]Contrato!G:G,"",0)</f>
        <v>#NAME?</v>
      </c>
      <c r="AA2230" s="47" t="e">
        <f ca="1">_xlfn.XLOOKUP(PAA_4[[#This Row],[ITEM]],[2]Contrato!A:A,[2]Contrato!T:T,"",0)</f>
        <v>#NAME?</v>
      </c>
      <c r="AB2230" s="55" t="e">
        <f ca="1">+MAX(PAA_4[[#This Row],[Comprometido Contrato]],PAA_4[[#This Row],[Comprometido Bolsa]])</f>
        <v>#NAME?</v>
      </c>
      <c r="AC2230" s="55" t="str">
        <f t="shared" ref="AC2230:AC2231" ca="1" si="771">IFERROR(I2230-AB2230,"")</f>
        <v/>
      </c>
      <c r="AD2230" s="55" t="e">
        <f ca="1">IF(PAA_4[[#This Row],[ESTADO (formulado)]]="NO CONTRATADO",0,MAX(PAA_4[[#This Row],[Pago por Contrato]],PAA_4[[#This Row],[Pago por bolsa]]))</f>
        <v>#NAME?</v>
      </c>
      <c r="AE2230" s="55" t="str">
        <f t="shared" ref="AE2230:AE2231" ca="1" si="772">+IFERROR(AB2230-AD2230,"")</f>
        <v/>
      </c>
      <c r="AF2230" s="47" t="e">
        <f t="shared" ref="AF2230:AF2231" ca="1" si="773">+CONCATENATE(AA2230,N2230)</f>
        <v>#NAME?</v>
      </c>
      <c r="AG2230" s="47">
        <f t="shared" ref="AG2230:AG2231" si="774">IFERROR(_xlfn.NUMBERVALUE(MID(G2230,1,8)),"")</f>
        <v>52010703</v>
      </c>
      <c r="AH2230" s="54">
        <f>IF(Q2230="22",IF(ISNUMBER(SEARCH("econ",PAA_4[[#This Row],[Actividad3]])),"Económico",IF(ISNUMBER(SEARCH("alim",PAA_4[[#This Row],[Actividad3]])),"Alimentación",IF(ISNUMBER(SEARCH("educ",PAA_4[[#This Row],[Actividad3]])),"Educativo","Técnico"))),0)</f>
        <v>0</v>
      </c>
      <c r="AI2230" s="47" t="e" cm="1">
        <f t="array" aca="1" ref="AI2230" ca="1">_xlfn.XLOOKUP(PAA_4[[#This Row],[RCP-RUBRO]],[2]!COMPROMISOS_2024[[#All],[concatenado]],[2]!COMPROMISOS_2024[[#All],[Total pagado]],"",0)</f>
        <v>#NAME?</v>
      </c>
      <c r="AJ2230" s="56">
        <f>IF(PAA_4[[#This Row],[BOLSA]]=0,0,SUMIFS([2]!COMPROMISOS_2024[[#All],[Total pagado]],[2]!COMPROMISOS_2024[[#All],[Bolsa]],PAA_4[[#This Row],[BOLSA]],[2]!COMPROMISOS_2024[[#All],[rubro]],PAA_4[[#This Row],[RCP-RUBRO]]))</f>
        <v>0</v>
      </c>
      <c r="AK2230" s="47" t="e" cm="1">
        <f t="array" aca="1" ref="AK2230" ca="1">_xlfn.XLOOKUP(PAA_4[[#This Row],[RCP-RUBRO]],[2]!COMPROMISOS_2024[[#All],[concatenado]],[2]!COMPROMISOS_2024[[#All],[Total Comprometido]],"",0)</f>
        <v>#NAME?</v>
      </c>
      <c r="AL2230" s="47">
        <f>IF(PAA_4[[#This Row],[BOLSA]]=0,0,SUMIFS([2]!COMPROMISOS_2024[[#All],[Total Comprometido]],[2]!COMPROMISOS_2024[[#All],[Bolsa]],PAA_4[[#This Row],[BOLSA]],[2]!COMPROMISOS_2024[[#All],[concatenado]],PAA_4[[#This Row],[RCP-RUBRO]]))</f>
        <v>0</v>
      </c>
    </row>
    <row r="2231" spans="1:38" s="19" customFormat="1" ht="31.5" customHeight="1">
      <c r="A2231" s="47">
        <v>1140</v>
      </c>
      <c r="B2231" s="47">
        <v>80111600</v>
      </c>
      <c r="C2231" s="47" t="str">
        <f>VLOOKUP(PAA_4[[#This Row],[PROYECTO (formulado)2]],[2]PROYECTOS!$G$1:$L$32,6,0)</f>
        <v>SUBGERENCIA DE FOMENTO Y DESARROLLO</v>
      </c>
      <c r="D2231" s="47" t="str">
        <f>+IF(PAA_4[[#This Row],[UNIDAD DE CONTRATACION (formulado)]]="Subgerencia Administrativa y Financiera","FUNCIONAMIENTO","INVERSIÓN")</f>
        <v>INVERSIÓN</v>
      </c>
      <c r="E2231" s="48" t="str">
        <f>VLOOKUP(Q2231,[2]PROYECTOS!$G$1:$K$32,5,0)</f>
        <v>Fortalecimiento de los juegos deportivos institucionales en los municipios del departamento de Antioquia</v>
      </c>
      <c r="F2231" s="48">
        <f>VLOOKUP(E2231,[2]PROYECTOS!$K$1:$M$32,3,0)</f>
        <v>2024003050073</v>
      </c>
      <c r="G2231" s="49" t="s">
        <v>2399</v>
      </c>
      <c r="H2231" s="49" t="str">
        <f>VLOOKUP(Q2231,[2]PROYECTOS!$V$1:$W$32,2,0)</f>
        <v>050081</v>
      </c>
      <c r="I2231" s="78">
        <v>25527005</v>
      </c>
      <c r="J2231" s="51" t="s">
        <v>2403</v>
      </c>
      <c r="K2231" s="47" t="str">
        <f t="shared" ca="1" si="768"/>
        <v>CONTRATADO</v>
      </c>
      <c r="L2231" s="47" t="s">
        <v>78</v>
      </c>
      <c r="M2231" s="47" t="s">
        <v>1297</v>
      </c>
      <c r="N2231" s="52" t="s">
        <v>1357</v>
      </c>
      <c r="O2231" s="51" t="e">
        <f>VLOOKUP(N2231,[2]!RUBROS[#All],3,0)</f>
        <v>#REF!</v>
      </c>
      <c r="P2231" s="53" t="e">
        <f>VLOOKUP(N2231,[2]!RUBROS[#All],2,0)</f>
        <v>#REF!</v>
      </c>
      <c r="Q2231" s="47" t="str">
        <f t="shared" si="769"/>
        <v>73</v>
      </c>
      <c r="R2231" s="47" t="str">
        <f t="shared" si="770"/>
        <v>0-205128</v>
      </c>
      <c r="S2231" s="54">
        <v>75</v>
      </c>
      <c r="T2231" s="63" t="s">
        <v>120</v>
      </c>
      <c r="U2231" s="326" t="e">
        <f ca="1">_xlfn.XLOOKUP(PAA_4[[#This Row],[ITEM]],[2]Contrato!A:A,[2]Contrato!Q:Q,"",0)</f>
        <v>#NAME?</v>
      </c>
      <c r="V2231" s="47" t="s">
        <v>95</v>
      </c>
      <c r="W2231" s="47" t="s">
        <v>203</v>
      </c>
      <c r="X2231" s="47" t="s">
        <v>203</v>
      </c>
      <c r="Y2231" s="55" t="e">
        <f ca="1">_xlfn.XLOOKUP(PAA_4[[#This Row],[ITEM]],[2]Contrato!A:A,[2]Contrato!B:B,"",0)</f>
        <v>#NAME?</v>
      </c>
      <c r="Z2231" s="47" t="e">
        <f ca="1">_xlfn.XLOOKUP(PAA_4[[#This Row],[ITEM]],[2]Contrato!A:A,[2]Contrato!G:G,"",0)</f>
        <v>#NAME?</v>
      </c>
      <c r="AA2231" s="47" t="e">
        <f ca="1">_xlfn.XLOOKUP(PAA_4[[#This Row],[ITEM]],[2]Contrato!A:A,[2]Contrato!T:T,"",0)</f>
        <v>#NAME?</v>
      </c>
      <c r="AB2231" s="55" t="e">
        <f ca="1">+MAX(PAA_4[[#This Row],[Comprometido Contrato]],PAA_4[[#This Row],[Comprometido Bolsa]])</f>
        <v>#NAME?</v>
      </c>
      <c r="AC2231" s="55" t="str">
        <f t="shared" ca="1" si="771"/>
        <v/>
      </c>
      <c r="AD2231" s="55" t="e">
        <f ca="1">IF(PAA_4[[#This Row],[ESTADO (formulado)]]="NO CONTRATADO",0,MAX(PAA_4[[#This Row],[Pago por Contrato]],PAA_4[[#This Row],[Pago por bolsa]]))</f>
        <v>#NAME?</v>
      </c>
      <c r="AE2231" s="55" t="str">
        <f t="shared" ca="1" si="772"/>
        <v/>
      </c>
      <c r="AF2231" s="47" t="e">
        <f t="shared" ca="1" si="773"/>
        <v>#NAME?</v>
      </c>
      <c r="AG2231" s="47">
        <f t="shared" si="774"/>
        <v>52010703</v>
      </c>
      <c r="AH2231" s="54">
        <f>IF(Q2231="22",IF(ISNUMBER(SEARCH("econ",PAA_4[[#This Row],[Actividad3]])),"Económico",IF(ISNUMBER(SEARCH("alim",PAA_4[[#This Row],[Actividad3]])),"Alimentación",IF(ISNUMBER(SEARCH("educ",PAA_4[[#This Row],[Actividad3]])),"Educativo","Técnico"))),0)</f>
        <v>0</v>
      </c>
      <c r="AI2231" s="47" t="e" cm="1">
        <f t="array" aca="1" ref="AI2231" ca="1">_xlfn.XLOOKUP(PAA_4[[#This Row],[RCP-RUBRO]],[2]!COMPROMISOS_2024[[#All],[concatenado]],[2]!COMPROMISOS_2024[[#All],[Total pagado]],"",0)</f>
        <v>#NAME?</v>
      </c>
      <c r="AJ2231" s="56">
        <f>IF(PAA_4[[#This Row],[BOLSA]]=0,0,SUMIFS([2]!COMPROMISOS_2024[[#All],[Total pagado]],[2]!COMPROMISOS_2024[[#All],[Bolsa]],PAA_4[[#This Row],[BOLSA]],[2]!COMPROMISOS_2024[[#All],[rubro]],PAA_4[[#This Row],[RCP-RUBRO]]))</f>
        <v>0</v>
      </c>
      <c r="AK2231" s="47" t="e" cm="1">
        <f t="array" aca="1" ref="AK2231" ca="1">_xlfn.XLOOKUP(PAA_4[[#This Row],[RCP-RUBRO]],[2]!COMPROMISOS_2024[[#All],[concatenado]],[2]!COMPROMISOS_2024[[#All],[Total Comprometido]],"",0)</f>
        <v>#NAME?</v>
      </c>
      <c r="AL2231" s="47">
        <f>IF(PAA_4[[#This Row],[BOLSA]]=0,0,SUMIFS([2]!COMPROMISOS_2024[[#All],[Total Comprometido]],[2]!COMPROMISOS_2024[[#All],[Bolsa]],PAA_4[[#This Row],[BOLSA]],[2]!COMPROMISOS_2024[[#All],[concatenado]],PAA_4[[#This Row],[RCP-RUBRO]]))</f>
        <v>0</v>
      </c>
    </row>
    <row r="2232" spans="1:38" s="19" customFormat="1" ht="31.5" customHeight="1">
      <c r="A2232" s="47" t="s">
        <v>82</v>
      </c>
      <c r="B2232" s="47" t="s">
        <v>42</v>
      </c>
      <c r="C2232" s="47" t="str">
        <f>VLOOKUP(PAA_4[[#This Row],[PROYECTO (formulado)2]],[2]PROYECTOS!$G$1:$L$32,6,0)</f>
        <v>SUBGERENCIA DE FOMENTO Y DESARROLLO</v>
      </c>
      <c r="D2232" s="47" t="str">
        <f>+IF(PAA_4[[#This Row],[UNIDAD DE CONTRATACION (formulado)]]="Subgerencia Administrativa y Financiera","FUNCIONAMIENTO","INVERSIÓN")</f>
        <v>INVERSIÓN</v>
      </c>
      <c r="E2232" s="48" t="str">
        <f>VLOOKUP(Q2232,[2]PROYECTOS!$G$1:$K$32,5,0)</f>
        <v>Fortalecimiento de los juegos deportivos institucionales en los municipios del departamento de Antioquia</v>
      </c>
      <c r="F2232" s="48">
        <f>VLOOKUP(E2232,[2]PROYECTOS!$K$1:$M$32,3,0)</f>
        <v>2024003050073</v>
      </c>
      <c r="G2232" s="49" t="s">
        <v>2399</v>
      </c>
      <c r="H2232" s="49" t="str">
        <f>VLOOKUP(Q2232,[2]PROYECTOS!$V$1:$W$32,2,0)</f>
        <v>050081</v>
      </c>
      <c r="I2232" s="78">
        <v>5811379</v>
      </c>
      <c r="J2232" s="51" t="s">
        <v>1851</v>
      </c>
      <c r="K2232" s="47" t="str">
        <f ca="1">IF(ISNONTEXT(Y2232)=TRUE,"CONTRATADO","NO CONTRATADO")</f>
        <v>CONTRATADO</v>
      </c>
      <c r="L2232" s="47" t="s">
        <v>42</v>
      </c>
      <c r="M2232" s="47" t="s">
        <v>42</v>
      </c>
      <c r="N2232" s="52" t="s">
        <v>1357</v>
      </c>
      <c r="O2232" s="51" t="e">
        <f>VLOOKUP(N2232,[2]!RUBROS[#All],3,0)</f>
        <v>#REF!</v>
      </c>
      <c r="P2232" s="53" t="e">
        <f>VLOOKUP(N2232,[2]!RUBROS[#All],2,0)</f>
        <v>#REF!</v>
      </c>
      <c r="Q2232" s="47" t="str">
        <f>+MID(N2232,11,2)</f>
        <v>73</v>
      </c>
      <c r="R2232" s="47" t="str">
        <f>+MID(N2232,14,8)</f>
        <v>0-205128</v>
      </c>
      <c r="S2232" s="54" t="s">
        <v>42</v>
      </c>
      <c r="T2232" s="63" t="s">
        <v>42</v>
      </c>
      <c r="U2232" s="326" t="e">
        <f ca="1">_xlfn.XLOOKUP(PAA_4[[#This Row],[ITEM]],[2]Contrato!A:A,[2]Contrato!Q:Q,"",0)</f>
        <v>#NAME?</v>
      </c>
      <c r="V2232" s="47" t="s">
        <v>95</v>
      </c>
      <c r="W2232" s="47" t="s">
        <v>42</v>
      </c>
      <c r="X2232" s="47" t="s">
        <v>42</v>
      </c>
      <c r="Y2232" s="55" t="e">
        <f ca="1">_xlfn.XLOOKUP(PAA_4[[#This Row],[ITEM]],[2]Contrato!A:A,[2]Contrato!B:B,"",0)</f>
        <v>#NAME?</v>
      </c>
      <c r="Z2232" s="47" t="e">
        <f ca="1">_xlfn.XLOOKUP(PAA_4[[#This Row],[ITEM]],[2]Contrato!A:A,[2]Contrato!G:G,"",0)</f>
        <v>#NAME?</v>
      </c>
      <c r="AA2232" s="47" t="e">
        <f ca="1">_xlfn.XLOOKUP(PAA_4[[#This Row],[ITEM]],[2]Contrato!A:A,[2]Contrato!T:T,"",0)</f>
        <v>#NAME?</v>
      </c>
      <c r="AB2232" s="55" t="e">
        <f ca="1">+MAX(PAA_4[[#This Row],[Comprometido Contrato]],PAA_4[[#This Row],[Comprometido Bolsa]])</f>
        <v>#NAME?</v>
      </c>
      <c r="AC2232" s="55" t="str">
        <f ca="1">IFERROR(I2232-AB2232,"")</f>
        <v/>
      </c>
      <c r="AD2232" s="55" t="e">
        <f ca="1">IF(PAA_4[[#This Row],[ESTADO (formulado)]]="NO CONTRATADO",0,MAX(PAA_4[[#This Row],[Pago por Contrato]],PAA_4[[#This Row],[Pago por bolsa]]))</f>
        <v>#NAME?</v>
      </c>
      <c r="AE2232" s="55" t="str">
        <f ca="1">+IFERROR(AB2232-AD2232,"")</f>
        <v/>
      </c>
      <c r="AF2232" s="47" t="e">
        <f ca="1">+CONCATENATE(AA2232,N2232)</f>
        <v>#NAME?</v>
      </c>
      <c r="AG2232" s="47">
        <f>IFERROR(_xlfn.NUMBERVALUE(MID(G2232,1,8)),"")</f>
        <v>52010703</v>
      </c>
      <c r="AH2232" s="54">
        <f>IF(Q2232="22",IF(ISNUMBER(SEARCH("econ",PAA_4[[#This Row],[Actividad3]])),"Económico",IF(ISNUMBER(SEARCH("alim",PAA_4[[#This Row],[Actividad3]])),"Alimentación",IF(ISNUMBER(SEARCH("educ",PAA_4[[#This Row],[Actividad3]])),"Educativo","Técnico"))),0)</f>
        <v>0</v>
      </c>
      <c r="AI2232" s="47" t="e" cm="1">
        <f t="array" aca="1" ref="AI2232" ca="1">_xlfn.XLOOKUP(PAA_4[[#This Row],[RCP-RUBRO]],[2]!COMPROMISOS_2024[[#All],[concatenado]],[2]!COMPROMISOS_2024[[#All],[Total pagado]],"",0)</f>
        <v>#NAME?</v>
      </c>
      <c r="AJ2232" s="56">
        <f>IF(PAA_4[[#This Row],[BOLSA]]=0,0,SUMIFS([2]!COMPROMISOS_2024[[#All],[Total pagado]],[2]!COMPROMISOS_2024[[#All],[Bolsa]],PAA_4[[#This Row],[BOLSA]],[2]!COMPROMISOS_2024[[#All],[rubro]],PAA_4[[#This Row],[RCP-RUBRO]]))</f>
        <v>0</v>
      </c>
      <c r="AK2232" s="47" t="e" cm="1">
        <f t="array" aca="1" ref="AK2232" ca="1">_xlfn.XLOOKUP(PAA_4[[#This Row],[RCP-RUBRO]],[2]!COMPROMISOS_2024[[#All],[concatenado]],[2]!COMPROMISOS_2024[[#All],[Total Comprometido]],"",0)</f>
        <v>#NAME?</v>
      </c>
      <c r="AL2232" s="47">
        <f>IF(PAA_4[[#This Row],[BOLSA]]=0,0,SUMIFS([2]!COMPROMISOS_2024[[#All],[Total Comprometido]],[2]!COMPROMISOS_2024[[#All],[Bolsa]],PAA_4[[#This Row],[BOLSA]],[2]!COMPROMISOS_2024[[#All],[concatenado]],PAA_4[[#This Row],[RCP-RUBRO]]))</f>
        <v>0</v>
      </c>
    </row>
    <row r="2233" spans="1:38" s="19" customFormat="1" ht="31.5" customHeight="1">
      <c r="A2233" s="47">
        <v>1141</v>
      </c>
      <c r="B2233" s="47">
        <v>80111600</v>
      </c>
      <c r="C2233" s="47" t="str">
        <f>VLOOKUP(PAA_4[[#This Row],[PROYECTO (formulado)2]],[2]PROYECTOS!$G$1:$L$32,6,0)</f>
        <v>SUBGERENCIA DE FOMENTO Y DESARROLLO</v>
      </c>
      <c r="D2233" s="47" t="str">
        <f>+IF(PAA_4[[#This Row],[UNIDAD DE CONTRATACION (formulado)]]="Subgerencia Administrativa y Financiera","FUNCIONAMIENTO","INVERSIÓN")</f>
        <v>INVERSIÓN</v>
      </c>
      <c r="E2233" s="48" t="str">
        <f>VLOOKUP(Q2233,[2]PROYECTOS!$G$1:$K$32,5,0)</f>
        <v>Fortalecimiento de los juegos deportivos institucionales en los municipios del departamento de Antioquia</v>
      </c>
      <c r="F2233" s="48">
        <f>VLOOKUP(E2233,[2]PROYECTOS!$K$1:$M$32,3,0)</f>
        <v>2024003050073</v>
      </c>
      <c r="G2233" s="49" t="s">
        <v>2399</v>
      </c>
      <c r="H2233" s="49" t="str">
        <f>VLOOKUP(Q2233,[2]PROYECTOS!$V$1:$W$32,2,0)</f>
        <v>050081</v>
      </c>
      <c r="I2233" s="78">
        <f>21739097-5811379</f>
        <v>15927718</v>
      </c>
      <c r="J2233" s="51" t="s">
        <v>2404</v>
      </c>
      <c r="K2233" s="47" t="str">
        <f t="shared" ref="K2233" ca="1" si="775">IF(ISNONTEXT(Y2233)=TRUE,"CONTRATADO","NO CONTRATADO")</f>
        <v>CONTRATADO</v>
      </c>
      <c r="L2233" s="47" t="s">
        <v>78</v>
      </c>
      <c r="M2233" s="47" t="s">
        <v>1297</v>
      </c>
      <c r="N2233" s="52" t="s">
        <v>1357</v>
      </c>
      <c r="O2233" s="51" t="e">
        <f>VLOOKUP(N2233,[2]!RUBROS[#All],3,0)</f>
        <v>#REF!</v>
      </c>
      <c r="P2233" s="53" t="e">
        <f>VLOOKUP(N2233,[2]!RUBROS[#All],2,0)</f>
        <v>#REF!</v>
      </c>
      <c r="Q2233" s="47" t="str">
        <f t="shared" ref="Q2233" si="776">+MID(N2233,11,2)</f>
        <v>73</v>
      </c>
      <c r="R2233" s="47" t="str">
        <f t="shared" ref="R2233:R2235" si="777">+MID(N2233,14,8)</f>
        <v>0-205128</v>
      </c>
      <c r="S2233" s="54">
        <v>75</v>
      </c>
      <c r="T2233" s="63" t="s">
        <v>120</v>
      </c>
      <c r="U2233" s="326" t="e">
        <f ca="1">_xlfn.XLOOKUP(PAA_4[[#This Row],[ITEM]],[2]Contrato!A:A,[2]Contrato!Q:Q,"",0)</f>
        <v>#NAME?</v>
      </c>
      <c r="V2233" s="47" t="s">
        <v>95</v>
      </c>
      <c r="W2233" s="47" t="s">
        <v>203</v>
      </c>
      <c r="X2233" s="47" t="s">
        <v>203</v>
      </c>
      <c r="Y2233" s="55" t="e">
        <f ca="1">_xlfn.XLOOKUP(PAA_4[[#This Row],[ITEM]],[2]Contrato!A:A,[2]Contrato!B:B,"",0)</f>
        <v>#NAME?</v>
      </c>
      <c r="Z2233" s="47" t="e">
        <f ca="1">_xlfn.XLOOKUP(PAA_4[[#This Row],[ITEM]],[2]Contrato!A:A,[2]Contrato!G:G,"",0)</f>
        <v>#NAME?</v>
      </c>
      <c r="AA2233" s="47" t="e">
        <f ca="1">_xlfn.XLOOKUP(PAA_4[[#This Row],[ITEM]],[2]Contrato!A:A,[2]Contrato!T:T,"",0)</f>
        <v>#NAME?</v>
      </c>
      <c r="AB2233" s="55" t="e">
        <f ca="1">+MAX(PAA_4[[#This Row],[Comprometido Contrato]],PAA_4[[#This Row],[Comprometido Bolsa]])</f>
        <v>#NAME?</v>
      </c>
      <c r="AC2233" s="55" t="str">
        <f t="shared" ref="AC2233" ca="1" si="778">IFERROR(I2233-AB2233,"")</f>
        <v/>
      </c>
      <c r="AD2233" s="55" t="e">
        <f ca="1">IF(PAA_4[[#This Row],[ESTADO (formulado)]]="NO CONTRATADO",0,MAX(PAA_4[[#This Row],[Pago por Contrato]],PAA_4[[#This Row],[Pago por bolsa]]))</f>
        <v>#NAME?</v>
      </c>
      <c r="AE2233" s="55" t="str">
        <f t="shared" ref="AE2233" ca="1" si="779">+IFERROR(AB2233-AD2233,"")</f>
        <v/>
      </c>
      <c r="AF2233" s="47" t="e">
        <f t="shared" ref="AF2233" ca="1" si="780">+CONCATENATE(AA2233,N2233)</f>
        <v>#NAME?</v>
      </c>
      <c r="AG2233" s="47">
        <f t="shared" ref="AG2233" si="781">IFERROR(_xlfn.NUMBERVALUE(MID(G2233,1,8)),"")</f>
        <v>52010703</v>
      </c>
      <c r="AH2233" s="54">
        <f>IF(Q2233="22",IF(ISNUMBER(SEARCH("econ",PAA_4[[#This Row],[Actividad3]])),"Económico",IF(ISNUMBER(SEARCH("alim",PAA_4[[#This Row],[Actividad3]])),"Alimentación",IF(ISNUMBER(SEARCH("educ",PAA_4[[#This Row],[Actividad3]])),"Educativo","Técnico"))),0)</f>
        <v>0</v>
      </c>
      <c r="AI2233" s="47" t="e" cm="1">
        <f t="array" aca="1" ref="AI2233" ca="1">_xlfn.XLOOKUP(PAA_4[[#This Row],[RCP-RUBRO]],[2]!COMPROMISOS_2024[[#All],[concatenado]],[2]!COMPROMISOS_2024[[#All],[Total pagado]],"",0)</f>
        <v>#NAME?</v>
      </c>
      <c r="AJ2233" s="56">
        <f>IF(PAA_4[[#This Row],[BOLSA]]=0,0,SUMIFS([2]!COMPROMISOS_2024[[#All],[Total pagado]],[2]!COMPROMISOS_2024[[#All],[Bolsa]],PAA_4[[#This Row],[BOLSA]],[2]!COMPROMISOS_2024[[#All],[rubro]],PAA_4[[#This Row],[RCP-RUBRO]]))</f>
        <v>0</v>
      </c>
      <c r="AK2233" s="47" t="e" cm="1">
        <f t="array" aca="1" ref="AK2233" ca="1">_xlfn.XLOOKUP(PAA_4[[#This Row],[RCP-RUBRO]],[2]!COMPROMISOS_2024[[#All],[concatenado]],[2]!COMPROMISOS_2024[[#All],[Total Comprometido]],"",0)</f>
        <v>#NAME?</v>
      </c>
      <c r="AL2233" s="47">
        <f>IF(PAA_4[[#This Row],[BOLSA]]=0,0,SUMIFS([2]!COMPROMISOS_2024[[#All],[Total Comprometido]],[2]!COMPROMISOS_2024[[#All],[Bolsa]],PAA_4[[#This Row],[BOLSA]],[2]!COMPROMISOS_2024[[#All],[concatenado]],PAA_4[[#This Row],[RCP-RUBRO]]))</f>
        <v>0</v>
      </c>
    </row>
    <row r="2234" spans="1:38" s="19" customFormat="1" ht="31.5" customHeight="1">
      <c r="A2234" s="47" t="s">
        <v>82</v>
      </c>
      <c r="B2234" s="47" t="s">
        <v>42</v>
      </c>
      <c r="C2234" s="47" t="str">
        <f>VLOOKUP(PAA_4[[#This Row],[PROYECTO (formulado)2]],[2]PROYECTOS!$G$1:$L$32,6,0)</f>
        <v>SUBGERENCIA DE FOMENTO Y DESARROLLO</v>
      </c>
      <c r="D2234" s="47" t="str">
        <f>+IF(PAA_4[[#This Row],[UNIDAD DE CONTRATACION (formulado)]]="Subgerencia Administrativa y Financiera","FUNCIONAMIENTO","INVERSIÓN")</f>
        <v>INVERSIÓN</v>
      </c>
      <c r="E2234" s="48" t="str">
        <f>VLOOKUP(Q2234,[2]PROYECTOS!$G$1:$K$32,5,0)</f>
        <v>Fortalecimiento de los juegos deportivos institucionales en los municipios del departamento de Antioquia</v>
      </c>
      <c r="F2234" s="48">
        <f>VLOOKUP(E2234,[2]PROYECTOS!$K$1:$M$32,3,0)</f>
        <v>2024003050073</v>
      </c>
      <c r="G2234" s="49" t="s">
        <v>2399</v>
      </c>
      <c r="H2234" s="49" t="str">
        <f>VLOOKUP(Q2234,[2]PROYECTOS!$V$1:$W$32,2,0)</f>
        <v>050081</v>
      </c>
      <c r="I2234" s="78">
        <v>1899443</v>
      </c>
      <c r="J2234" s="51" t="s">
        <v>1368</v>
      </c>
      <c r="K2234" s="47" t="str">
        <f ca="1">IF(ISNONTEXT(Y2234)=TRUE,"CONTRATADO","NO CONTRATADO")</f>
        <v>CONTRATADO</v>
      </c>
      <c r="L2234" s="47" t="s">
        <v>42</v>
      </c>
      <c r="M2234" s="47" t="s">
        <v>42</v>
      </c>
      <c r="N2234" s="52" t="s">
        <v>1357</v>
      </c>
      <c r="O2234" s="51" t="e">
        <f>VLOOKUP(N2234,[2]!RUBROS[#All],3,0)</f>
        <v>#REF!</v>
      </c>
      <c r="P2234" s="53" t="e">
        <f>VLOOKUP(N2234,[2]!RUBROS[#All],2,0)</f>
        <v>#REF!</v>
      </c>
      <c r="Q2234" s="47" t="str">
        <f>+MID(N2234,11,2)</f>
        <v>73</v>
      </c>
      <c r="R2234" s="47" t="str">
        <f t="shared" si="777"/>
        <v>0-205128</v>
      </c>
      <c r="S2234" s="54" t="s">
        <v>42</v>
      </c>
      <c r="T2234" s="63" t="s">
        <v>42</v>
      </c>
      <c r="U2234" s="326" t="e">
        <f ca="1">_xlfn.XLOOKUP(PAA_4[[#This Row],[ITEM]],[2]Contrato!A:A,[2]Contrato!Q:Q,"",0)</f>
        <v>#NAME?</v>
      </c>
      <c r="V2234" s="47" t="s">
        <v>47</v>
      </c>
      <c r="W2234" s="47" t="s">
        <v>42</v>
      </c>
      <c r="X2234" s="47" t="s">
        <v>42</v>
      </c>
      <c r="Y2234" s="55" t="e">
        <f ca="1">_xlfn.XLOOKUP(PAA_4[[#This Row],[ITEM]],[2]Contrato!A:A,[2]Contrato!B:B,"",0)</f>
        <v>#NAME?</v>
      </c>
      <c r="Z2234" s="47" t="e">
        <f ca="1">_xlfn.XLOOKUP(PAA_4[[#This Row],[ITEM]],[2]Contrato!A:A,[2]Contrato!G:G,"",0)</f>
        <v>#NAME?</v>
      </c>
      <c r="AA2234" s="47" t="e">
        <f ca="1">_xlfn.XLOOKUP(PAA_4[[#This Row],[ITEM]],[2]Contrato!A:A,[2]Contrato!T:T,"",0)</f>
        <v>#NAME?</v>
      </c>
      <c r="AB2234" s="55" t="e">
        <f ca="1">+MAX(PAA_4[[#This Row],[Comprometido Contrato]],PAA_4[[#This Row],[Comprometido Bolsa]])</f>
        <v>#NAME?</v>
      </c>
      <c r="AC2234" s="55" t="str">
        <f ca="1">IFERROR(I2234-AB2234,"")</f>
        <v/>
      </c>
      <c r="AD2234" s="55" t="e">
        <f ca="1">IF(PAA_4[[#This Row],[ESTADO (formulado)]]="NO CONTRATADO",0,MAX(PAA_4[[#This Row],[Pago por Contrato]],PAA_4[[#This Row],[Pago por bolsa]]))</f>
        <v>#NAME?</v>
      </c>
      <c r="AE2234" s="55" t="str">
        <f ca="1">+IFERROR(AB2234-AD2234,"")</f>
        <v/>
      </c>
      <c r="AF2234" s="47" t="e">
        <f ca="1">+CONCATENATE(AA2234,N2234)</f>
        <v>#NAME?</v>
      </c>
      <c r="AG2234" s="47">
        <f>IFERROR(_xlfn.NUMBERVALUE(MID(G2234,1,8)),"")</f>
        <v>52010703</v>
      </c>
      <c r="AH2234" s="54">
        <f>IF(Q2234="22",IF(ISNUMBER(SEARCH("econ",PAA_4[[#This Row],[Actividad3]])),"Económico",IF(ISNUMBER(SEARCH("alim",PAA_4[[#This Row],[Actividad3]])),"Alimentación",IF(ISNUMBER(SEARCH("educ",PAA_4[[#This Row],[Actividad3]])),"Educativo","Técnico"))),0)</f>
        <v>0</v>
      </c>
      <c r="AI2234" s="47" t="e" cm="1">
        <f t="array" aca="1" ref="AI2234" ca="1">_xlfn.XLOOKUP(PAA_4[[#This Row],[RCP-RUBRO]],[2]!COMPROMISOS_2024[[#All],[concatenado]],[2]!COMPROMISOS_2024[[#All],[Total pagado]],"",0)</f>
        <v>#NAME?</v>
      </c>
      <c r="AJ2234" s="56">
        <f>IF(PAA_4[[#This Row],[BOLSA]]=0,0,SUMIFS([2]!COMPROMISOS_2024[[#All],[Total pagado]],[2]!COMPROMISOS_2024[[#All],[Bolsa]],PAA_4[[#This Row],[BOLSA]],[2]!COMPROMISOS_2024[[#All],[rubro]],PAA_4[[#This Row],[RCP-RUBRO]]))</f>
        <v>0</v>
      </c>
      <c r="AK2234" s="47" t="e" cm="1">
        <f t="array" aca="1" ref="AK2234" ca="1">_xlfn.XLOOKUP(PAA_4[[#This Row],[RCP-RUBRO]],[2]!COMPROMISOS_2024[[#All],[concatenado]],[2]!COMPROMISOS_2024[[#All],[Total Comprometido]],"",0)</f>
        <v>#NAME?</v>
      </c>
      <c r="AL2234" s="47">
        <f>IF(PAA_4[[#This Row],[BOLSA]]=0,0,SUMIFS([2]!COMPROMISOS_2024[[#All],[Total Comprometido]],[2]!COMPROMISOS_2024[[#All],[Bolsa]],PAA_4[[#This Row],[BOLSA]],[2]!COMPROMISOS_2024[[#All],[concatenado]],PAA_4[[#This Row],[RCP-RUBRO]]))</f>
        <v>0</v>
      </c>
    </row>
    <row r="2235" spans="1:38" s="19" customFormat="1" ht="31.5" customHeight="1">
      <c r="A2235" s="47">
        <v>1142</v>
      </c>
      <c r="B2235" s="47">
        <v>80111600</v>
      </c>
      <c r="C2235" s="47" t="str">
        <f>VLOOKUP(PAA_4[[#This Row],[PROYECTO (formulado)2]],[2]PROYECTOS!$G$1:$L$32,6,0)</f>
        <v>SUBGERENCIA DE FOMENTO Y DESARROLLO</v>
      </c>
      <c r="D2235" s="47" t="str">
        <f>+IF(PAA_4[[#This Row],[UNIDAD DE CONTRATACION (formulado)]]="Subgerencia Administrativa y Financiera","FUNCIONAMIENTO","INVERSIÓN")</f>
        <v>INVERSIÓN</v>
      </c>
      <c r="E2235" s="48" t="str">
        <f>VLOOKUP(Q2235,[2]PROYECTOS!$G$1:$K$32,5,0)</f>
        <v>Fortalecimiento de los juegos deportivos institucionales en los municipios del departamento de Antioquia</v>
      </c>
      <c r="F2235" s="48">
        <f>VLOOKUP(E2235,[2]PROYECTOS!$K$1:$M$32,3,0)</f>
        <v>2024003050073</v>
      </c>
      <c r="G2235" s="49" t="s">
        <v>2399</v>
      </c>
      <c r="H2235" s="49" t="str">
        <f>VLOOKUP(Q2235,[2]PROYECTOS!$V$1:$W$32,2,0)</f>
        <v>050081</v>
      </c>
      <c r="I2235" s="78">
        <f>16694438-1899443</f>
        <v>14794995</v>
      </c>
      <c r="J2235" s="51" t="s">
        <v>2405</v>
      </c>
      <c r="K2235" s="47" t="str">
        <f t="shared" ref="K2235" ca="1" si="782">IF(ISNONTEXT(Y2235)=TRUE,"CONTRATADO","NO CONTRATADO")</f>
        <v>CONTRATADO</v>
      </c>
      <c r="L2235" s="47" t="s">
        <v>78</v>
      </c>
      <c r="M2235" s="47" t="s">
        <v>1297</v>
      </c>
      <c r="N2235" s="52" t="s">
        <v>1357</v>
      </c>
      <c r="O2235" s="51" t="e">
        <f>VLOOKUP(N2235,[2]!RUBROS[#All],3,0)</f>
        <v>#REF!</v>
      </c>
      <c r="P2235" s="53" t="e">
        <f>VLOOKUP(N2235,[2]!RUBROS[#All],2,0)</f>
        <v>#REF!</v>
      </c>
      <c r="Q2235" s="47" t="str">
        <f t="shared" ref="Q2235" si="783">+MID(N2235,11,2)</f>
        <v>73</v>
      </c>
      <c r="R2235" s="47" t="str">
        <f t="shared" si="777"/>
        <v>0-205128</v>
      </c>
      <c r="S2235" s="54">
        <v>45</v>
      </c>
      <c r="T2235" s="63" t="s">
        <v>120</v>
      </c>
      <c r="U2235" s="326" t="e">
        <f ca="1">_xlfn.XLOOKUP(PAA_4[[#This Row],[ITEM]],[2]Contrato!A:A,[2]Contrato!Q:Q,"",0)</f>
        <v>#NAME?</v>
      </c>
      <c r="V2235" s="47" t="s">
        <v>95</v>
      </c>
      <c r="W2235" s="47" t="s">
        <v>204</v>
      </c>
      <c r="X2235" s="47" t="s">
        <v>204</v>
      </c>
      <c r="Y2235" s="55" t="e">
        <f ca="1">_xlfn.XLOOKUP(PAA_4[[#This Row],[ITEM]],[2]Contrato!A:A,[2]Contrato!B:B,"",0)</f>
        <v>#NAME?</v>
      </c>
      <c r="Z2235" s="47" t="e">
        <f ca="1">_xlfn.XLOOKUP(PAA_4[[#This Row],[ITEM]],[2]Contrato!A:A,[2]Contrato!G:G,"",0)</f>
        <v>#NAME?</v>
      </c>
      <c r="AA2235" s="47" t="e">
        <f ca="1">_xlfn.XLOOKUP(PAA_4[[#This Row],[ITEM]],[2]Contrato!A:A,[2]Contrato!T:T,"",0)</f>
        <v>#NAME?</v>
      </c>
      <c r="AB2235" s="55" t="e">
        <f ca="1">+MAX(PAA_4[[#This Row],[Comprometido Contrato]],PAA_4[[#This Row],[Comprometido Bolsa]])</f>
        <v>#NAME?</v>
      </c>
      <c r="AC2235" s="55" t="str">
        <f t="shared" ref="AC2235" ca="1" si="784">IFERROR(I2235-AB2235,"")</f>
        <v/>
      </c>
      <c r="AD2235" s="55" t="e">
        <f ca="1">IF(PAA_4[[#This Row],[ESTADO (formulado)]]="NO CONTRATADO",0,MAX(PAA_4[[#This Row],[Pago por Contrato]],PAA_4[[#This Row],[Pago por bolsa]]))</f>
        <v>#NAME?</v>
      </c>
      <c r="AE2235" s="55" t="str">
        <f t="shared" ref="AE2235" ca="1" si="785">+IFERROR(AB2235-AD2235,"")</f>
        <v/>
      </c>
      <c r="AF2235" s="47" t="e">
        <f t="shared" ref="AF2235" ca="1" si="786">+CONCATENATE(AA2235,N2235)</f>
        <v>#NAME?</v>
      </c>
      <c r="AG2235" s="47">
        <f t="shared" ref="AG2235" si="787">IFERROR(_xlfn.NUMBERVALUE(MID(G2235,1,8)),"")</f>
        <v>52010703</v>
      </c>
      <c r="AH2235" s="54">
        <f>IF(Q2235="22",IF(ISNUMBER(SEARCH("econ",PAA_4[[#This Row],[Actividad3]])),"Económico",IF(ISNUMBER(SEARCH("alim",PAA_4[[#This Row],[Actividad3]])),"Alimentación",IF(ISNUMBER(SEARCH("educ",PAA_4[[#This Row],[Actividad3]])),"Educativo","Técnico"))),0)</f>
        <v>0</v>
      </c>
      <c r="AI2235" s="47" t="e" cm="1">
        <f t="array" aca="1" ref="AI2235" ca="1">_xlfn.XLOOKUP(PAA_4[[#This Row],[RCP-RUBRO]],[2]!COMPROMISOS_2024[[#All],[concatenado]],[2]!COMPROMISOS_2024[[#All],[Total pagado]],"",0)</f>
        <v>#NAME?</v>
      </c>
      <c r="AJ2235" s="56">
        <f>IF(PAA_4[[#This Row],[BOLSA]]=0,0,SUMIFS([2]!COMPROMISOS_2024[[#All],[Total pagado]],[2]!COMPROMISOS_2024[[#All],[Bolsa]],PAA_4[[#This Row],[BOLSA]],[2]!COMPROMISOS_2024[[#All],[rubro]],PAA_4[[#This Row],[RCP-RUBRO]]))</f>
        <v>0</v>
      </c>
      <c r="AK2235" s="47" t="e" cm="1">
        <f t="array" aca="1" ref="AK2235" ca="1">_xlfn.XLOOKUP(PAA_4[[#This Row],[RCP-RUBRO]],[2]!COMPROMISOS_2024[[#All],[concatenado]],[2]!COMPROMISOS_2024[[#All],[Total Comprometido]],"",0)</f>
        <v>#NAME?</v>
      </c>
      <c r="AL2235" s="47">
        <f>IF(PAA_4[[#This Row],[BOLSA]]=0,0,SUMIFS([2]!COMPROMISOS_2024[[#All],[Total Comprometido]],[2]!COMPROMISOS_2024[[#All],[Bolsa]],PAA_4[[#This Row],[BOLSA]],[2]!COMPROMISOS_2024[[#All],[concatenado]],PAA_4[[#This Row],[RCP-RUBRO]]))</f>
        <v>0</v>
      </c>
    </row>
    <row r="2236" spans="1:38" s="19" customFormat="1" ht="31.5" customHeight="1">
      <c r="A2236" s="47" t="s">
        <v>82</v>
      </c>
      <c r="B2236" s="47" t="s">
        <v>42</v>
      </c>
      <c r="C2236" s="47" t="str">
        <f>VLOOKUP(PAA_4[[#This Row],[PROYECTO (formulado)2]],[2]PROYECTOS!$G$1:$L$32,6,0)</f>
        <v>SUBGERENCIA DE FOMENTO Y DESARROLLO</v>
      </c>
      <c r="D2236" s="47" t="str">
        <f>+IF(PAA_4[[#This Row],[UNIDAD DE CONTRATACION (formulado)]]="Subgerencia Administrativa y Financiera","FUNCIONAMIENTO","INVERSIÓN")</f>
        <v>INVERSIÓN</v>
      </c>
      <c r="E2236" s="48" t="str">
        <f>VLOOKUP(Q2236,[2]PROYECTOS!$G$1:$K$32,5,0)</f>
        <v>Fortalecimiento de los juegos deportivos institucionales en los municipios del departamento de Antioquia</v>
      </c>
      <c r="F2236" s="48">
        <f>VLOOKUP(E2236,[2]PROYECTOS!$K$1:$M$32,3,0)</f>
        <v>2024003050073</v>
      </c>
      <c r="G2236" s="49" t="s">
        <v>2399</v>
      </c>
      <c r="H2236" s="49" t="str">
        <f>VLOOKUP(Q2236,[2]PROYECTOS!$V$1:$W$32,2,0)</f>
        <v>050081</v>
      </c>
      <c r="I2236" s="78">
        <v>299934</v>
      </c>
      <c r="J2236" s="51" t="s">
        <v>1851</v>
      </c>
      <c r="K2236" s="47" t="str">
        <f ca="1">IF(ISNONTEXT(Y2236)=TRUE,"CONTRATADO","NO CONTRATADO")</f>
        <v>CONTRATADO</v>
      </c>
      <c r="L2236" s="47" t="s">
        <v>42</v>
      </c>
      <c r="M2236" s="47" t="s">
        <v>42</v>
      </c>
      <c r="N2236" s="52" t="s">
        <v>1357</v>
      </c>
      <c r="O2236" s="51" t="e">
        <f>VLOOKUP(N2236,[2]!RUBROS[#All],3,0)</f>
        <v>#REF!</v>
      </c>
      <c r="P2236" s="53" t="e">
        <f>VLOOKUP(N2236,[2]!RUBROS[#All],2,0)</f>
        <v>#REF!</v>
      </c>
      <c r="Q2236" s="47" t="str">
        <f>+MID(N2236,11,2)</f>
        <v>73</v>
      </c>
      <c r="R2236" s="47" t="str">
        <f>+MID(N2236,14,8)</f>
        <v>0-205128</v>
      </c>
      <c r="S2236" s="54" t="s">
        <v>42</v>
      </c>
      <c r="T2236" s="63" t="s">
        <v>42</v>
      </c>
      <c r="U2236" s="326" t="e">
        <f ca="1">_xlfn.XLOOKUP(PAA_4[[#This Row],[ITEM]],[2]Contrato!A:A,[2]Contrato!Q:Q,"",0)</f>
        <v>#NAME?</v>
      </c>
      <c r="V2236" s="47" t="s">
        <v>95</v>
      </c>
      <c r="W2236" s="47" t="s">
        <v>42</v>
      </c>
      <c r="X2236" s="47" t="s">
        <v>42</v>
      </c>
      <c r="Y2236" s="55" t="e">
        <f ca="1">_xlfn.XLOOKUP(PAA_4[[#This Row],[ITEM]],[2]Contrato!A:A,[2]Contrato!B:B,"",0)</f>
        <v>#NAME?</v>
      </c>
      <c r="Z2236" s="47" t="e">
        <f ca="1">_xlfn.XLOOKUP(PAA_4[[#This Row],[ITEM]],[2]Contrato!A:A,[2]Contrato!G:G,"",0)</f>
        <v>#NAME?</v>
      </c>
      <c r="AA2236" s="47" t="e">
        <f ca="1">_xlfn.XLOOKUP(PAA_4[[#This Row],[ITEM]],[2]Contrato!A:A,[2]Contrato!T:T,"",0)</f>
        <v>#NAME?</v>
      </c>
      <c r="AB2236" s="55" t="e">
        <f ca="1">+MAX(PAA_4[[#This Row],[Comprometido Contrato]],PAA_4[[#This Row],[Comprometido Bolsa]])</f>
        <v>#NAME?</v>
      </c>
      <c r="AC2236" s="55" t="str">
        <f ca="1">IFERROR(I2236-AB2236,"")</f>
        <v/>
      </c>
      <c r="AD2236" s="55" t="e">
        <f ca="1">IF(PAA_4[[#This Row],[ESTADO (formulado)]]="NO CONTRATADO",0,MAX(PAA_4[[#This Row],[Pago por Contrato]],PAA_4[[#This Row],[Pago por bolsa]]))</f>
        <v>#NAME?</v>
      </c>
      <c r="AE2236" s="55" t="str">
        <f ca="1">+IFERROR(AB2236-AD2236,"")</f>
        <v/>
      </c>
      <c r="AF2236" s="47" t="e">
        <f ca="1">+CONCATENATE(AA2236,N2236)</f>
        <v>#NAME?</v>
      </c>
      <c r="AG2236" s="47">
        <f>IFERROR(_xlfn.NUMBERVALUE(MID(G2236,1,8)),"")</f>
        <v>52010703</v>
      </c>
      <c r="AH2236" s="54">
        <f>IF(Q2236="22",IF(ISNUMBER(SEARCH("econ",PAA_4[[#This Row],[Actividad3]])),"Económico",IF(ISNUMBER(SEARCH("alim",PAA_4[[#This Row],[Actividad3]])),"Alimentación",IF(ISNUMBER(SEARCH("educ",PAA_4[[#This Row],[Actividad3]])),"Educativo","Técnico"))),0)</f>
        <v>0</v>
      </c>
      <c r="AI2236" s="47" t="e" cm="1">
        <f t="array" aca="1" ref="AI2236" ca="1">_xlfn.XLOOKUP(PAA_4[[#This Row],[RCP-RUBRO]],[2]!COMPROMISOS_2024[[#All],[concatenado]],[2]!COMPROMISOS_2024[[#All],[Total pagado]],"",0)</f>
        <v>#NAME?</v>
      </c>
      <c r="AJ2236" s="56">
        <f>IF(PAA_4[[#This Row],[BOLSA]]=0,0,SUMIFS([2]!COMPROMISOS_2024[[#All],[Total pagado]],[2]!COMPROMISOS_2024[[#All],[Bolsa]],PAA_4[[#This Row],[BOLSA]],[2]!COMPROMISOS_2024[[#All],[rubro]],PAA_4[[#This Row],[RCP-RUBRO]]))</f>
        <v>0</v>
      </c>
      <c r="AK2236" s="47" t="e" cm="1">
        <f t="array" aca="1" ref="AK2236" ca="1">_xlfn.XLOOKUP(PAA_4[[#This Row],[RCP-RUBRO]],[2]!COMPROMISOS_2024[[#All],[concatenado]],[2]!COMPROMISOS_2024[[#All],[Total Comprometido]],"",0)</f>
        <v>#NAME?</v>
      </c>
      <c r="AL2236" s="47">
        <f>IF(PAA_4[[#This Row],[BOLSA]]=0,0,SUMIFS([2]!COMPROMISOS_2024[[#All],[Total Comprometido]],[2]!COMPROMISOS_2024[[#All],[Bolsa]],PAA_4[[#This Row],[BOLSA]],[2]!COMPROMISOS_2024[[#All],[concatenado]],PAA_4[[#This Row],[RCP-RUBRO]]))</f>
        <v>0</v>
      </c>
    </row>
    <row r="2237" spans="1:38" s="19" customFormat="1" ht="31.5" customHeight="1">
      <c r="A2237" s="47">
        <v>1143</v>
      </c>
      <c r="B2237" s="47">
        <v>80111600</v>
      </c>
      <c r="C2237" s="47" t="str">
        <f>VLOOKUP(PAA_4[[#This Row],[PROYECTO (formulado)2]],[2]PROYECTOS!$G$1:$L$32,6,0)</f>
        <v>SUBGERENCIA DE FOMENTO Y DESARROLLO</v>
      </c>
      <c r="D2237" s="47" t="str">
        <f>+IF(PAA_4[[#This Row],[UNIDAD DE CONTRATACION (formulado)]]="Subgerencia Administrativa y Financiera","FUNCIONAMIENTO","INVERSIÓN")</f>
        <v>INVERSIÓN</v>
      </c>
      <c r="E2237" s="48" t="str">
        <f>VLOOKUP(Q2237,[2]PROYECTOS!$G$1:$K$32,5,0)</f>
        <v>Fortalecimiento de los juegos deportivos institucionales en los municipios del departamento de Antioquia</v>
      </c>
      <c r="F2237" s="48">
        <f>VLOOKUP(E2237,[2]PROYECTOS!$K$1:$M$32,3,0)</f>
        <v>2024003050073</v>
      </c>
      <c r="G2237" s="49" t="s">
        <v>2399</v>
      </c>
      <c r="H2237" s="49" t="str">
        <f>VLOOKUP(Q2237,[2]PROYECTOS!$V$1:$W$32,2,0)</f>
        <v>050081</v>
      </c>
      <c r="I2237" s="78">
        <f>16923740-299934</f>
        <v>16623806</v>
      </c>
      <c r="J2237" s="51" t="s">
        <v>2406</v>
      </c>
      <c r="K2237" s="47" t="str">
        <f t="shared" ref="K2237" ca="1" si="788">IF(ISNONTEXT(Y2237)=TRUE,"CONTRATADO","NO CONTRATADO")</f>
        <v>CONTRATADO</v>
      </c>
      <c r="L2237" s="47" t="s">
        <v>78</v>
      </c>
      <c r="M2237" s="47" t="s">
        <v>1297</v>
      </c>
      <c r="N2237" s="52" t="s">
        <v>1357</v>
      </c>
      <c r="O2237" s="51" t="e">
        <f>VLOOKUP(N2237,[2]!RUBROS[#All],3,0)</f>
        <v>#REF!</v>
      </c>
      <c r="P2237" s="53" t="e">
        <f>VLOOKUP(N2237,[2]!RUBROS[#All],2,0)</f>
        <v>#REF!</v>
      </c>
      <c r="Q2237" s="47" t="str">
        <f t="shared" ref="Q2237" si="789">+MID(N2237,11,2)</f>
        <v>73</v>
      </c>
      <c r="R2237" s="47" t="str">
        <f t="shared" ref="R2237" si="790">+MID(N2237,14,8)</f>
        <v>0-205128</v>
      </c>
      <c r="S2237" s="54">
        <v>45</v>
      </c>
      <c r="T2237" s="63" t="s">
        <v>120</v>
      </c>
      <c r="U2237" s="326" t="e">
        <f ca="1">_xlfn.XLOOKUP(PAA_4[[#This Row],[ITEM]],[2]Contrato!A:A,[2]Contrato!Q:Q,"",0)</f>
        <v>#NAME?</v>
      </c>
      <c r="V2237" s="47" t="s">
        <v>95</v>
      </c>
      <c r="W2237" s="47" t="s">
        <v>204</v>
      </c>
      <c r="X2237" s="47" t="s">
        <v>204</v>
      </c>
      <c r="Y2237" s="55" t="e">
        <f ca="1">_xlfn.XLOOKUP(PAA_4[[#This Row],[ITEM]],[2]Contrato!A:A,[2]Contrato!B:B,"",0)</f>
        <v>#NAME?</v>
      </c>
      <c r="Z2237" s="47" t="e">
        <f ca="1">_xlfn.XLOOKUP(PAA_4[[#This Row],[ITEM]],[2]Contrato!A:A,[2]Contrato!G:G,"",0)</f>
        <v>#NAME?</v>
      </c>
      <c r="AA2237" s="47" t="e">
        <f ca="1">_xlfn.XLOOKUP(PAA_4[[#This Row],[ITEM]],[2]Contrato!A:A,[2]Contrato!T:T,"",0)</f>
        <v>#NAME?</v>
      </c>
      <c r="AB2237" s="55" t="e">
        <f ca="1">+MAX(PAA_4[[#This Row],[Comprometido Contrato]],PAA_4[[#This Row],[Comprometido Bolsa]])</f>
        <v>#NAME?</v>
      </c>
      <c r="AC2237" s="55" t="str">
        <f t="shared" ref="AC2237" ca="1" si="791">IFERROR(I2237-AB2237,"")</f>
        <v/>
      </c>
      <c r="AD2237" s="55" t="e">
        <f ca="1">IF(PAA_4[[#This Row],[ESTADO (formulado)]]="NO CONTRATADO",0,MAX(PAA_4[[#This Row],[Pago por Contrato]],PAA_4[[#This Row],[Pago por bolsa]]))</f>
        <v>#NAME?</v>
      </c>
      <c r="AE2237" s="55" t="str">
        <f t="shared" ref="AE2237" ca="1" si="792">+IFERROR(AB2237-AD2237,"")</f>
        <v/>
      </c>
      <c r="AF2237" s="47" t="e">
        <f t="shared" ref="AF2237" ca="1" si="793">+CONCATENATE(AA2237,N2237)</f>
        <v>#NAME?</v>
      </c>
      <c r="AG2237" s="47">
        <f t="shared" ref="AG2237" si="794">IFERROR(_xlfn.NUMBERVALUE(MID(G2237,1,8)),"")</f>
        <v>52010703</v>
      </c>
      <c r="AH2237" s="54">
        <f>IF(Q2237="22",IF(ISNUMBER(SEARCH("econ",PAA_4[[#This Row],[Actividad3]])),"Económico",IF(ISNUMBER(SEARCH("alim",PAA_4[[#This Row],[Actividad3]])),"Alimentación",IF(ISNUMBER(SEARCH("educ",PAA_4[[#This Row],[Actividad3]])),"Educativo","Técnico"))),0)</f>
        <v>0</v>
      </c>
      <c r="AI2237" s="47" t="e" cm="1">
        <f t="array" aca="1" ref="AI2237" ca="1">_xlfn.XLOOKUP(PAA_4[[#This Row],[RCP-RUBRO]],[2]!COMPROMISOS_2024[[#All],[concatenado]],[2]!COMPROMISOS_2024[[#All],[Total pagado]],"",0)</f>
        <v>#NAME?</v>
      </c>
      <c r="AJ2237" s="56">
        <f>IF(PAA_4[[#This Row],[BOLSA]]=0,0,SUMIFS([2]!COMPROMISOS_2024[[#All],[Total pagado]],[2]!COMPROMISOS_2024[[#All],[Bolsa]],PAA_4[[#This Row],[BOLSA]],[2]!COMPROMISOS_2024[[#All],[rubro]],PAA_4[[#This Row],[RCP-RUBRO]]))</f>
        <v>0</v>
      </c>
      <c r="AK2237" s="47" t="e" cm="1">
        <f t="array" aca="1" ref="AK2237" ca="1">_xlfn.XLOOKUP(PAA_4[[#This Row],[RCP-RUBRO]],[2]!COMPROMISOS_2024[[#All],[concatenado]],[2]!COMPROMISOS_2024[[#All],[Total Comprometido]],"",0)</f>
        <v>#NAME?</v>
      </c>
      <c r="AL2237" s="47">
        <f>IF(PAA_4[[#This Row],[BOLSA]]=0,0,SUMIFS([2]!COMPROMISOS_2024[[#All],[Total Comprometido]],[2]!COMPROMISOS_2024[[#All],[Bolsa]],PAA_4[[#This Row],[BOLSA]],[2]!COMPROMISOS_2024[[#All],[concatenado]],PAA_4[[#This Row],[RCP-RUBRO]]))</f>
        <v>0</v>
      </c>
    </row>
    <row r="2238" spans="1:38" s="19" customFormat="1" ht="31.5" customHeight="1">
      <c r="A2238" s="47" t="s">
        <v>82</v>
      </c>
      <c r="B2238" s="47" t="s">
        <v>42</v>
      </c>
      <c r="C2238" s="47" t="str">
        <f>VLOOKUP(PAA_4[[#This Row],[PROYECTO (formulado)2]],[2]PROYECTOS!$G$1:$L$32,6,0)</f>
        <v>SUBGERENCIA DE FOMENTO Y DESARROLLO</v>
      </c>
      <c r="D2238" s="47" t="str">
        <f>+IF(PAA_4[[#This Row],[UNIDAD DE CONTRATACION (formulado)]]="Subgerencia Administrativa y Financiera","FUNCIONAMIENTO","INVERSIÓN")</f>
        <v>INVERSIÓN</v>
      </c>
      <c r="E2238" s="48" t="str">
        <f>VLOOKUP(Q2238,[2]PROYECTOS!$G$1:$K$32,5,0)</f>
        <v>Fortalecimiento de los juegos deportivos institucionales en los municipios del departamento de Antioquia</v>
      </c>
      <c r="F2238" s="48">
        <f>VLOOKUP(E2238,[2]PROYECTOS!$K$1:$M$32,3,0)</f>
        <v>2024003050073</v>
      </c>
      <c r="G2238" s="49" t="s">
        <v>2399</v>
      </c>
      <c r="H2238" s="49" t="str">
        <f>VLOOKUP(Q2238,[2]PROYECTOS!$V$1:$W$32,2,0)</f>
        <v>050081</v>
      </c>
      <c r="I2238" s="78">
        <v>2309225</v>
      </c>
      <c r="J2238" s="51" t="s">
        <v>1851</v>
      </c>
      <c r="K2238" s="47" t="str">
        <f ca="1">IF(ISNONTEXT(Y2238)=TRUE,"CONTRATADO","NO CONTRATADO")</f>
        <v>CONTRATADO</v>
      </c>
      <c r="L2238" s="47" t="s">
        <v>42</v>
      </c>
      <c r="M2238" s="47" t="s">
        <v>42</v>
      </c>
      <c r="N2238" s="52" t="s">
        <v>1357</v>
      </c>
      <c r="O2238" s="51" t="e">
        <f>VLOOKUP(N2238,[2]!RUBROS[#All],3,0)</f>
        <v>#REF!</v>
      </c>
      <c r="P2238" s="53" t="e">
        <f>VLOOKUP(N2238,[2]!RUBROS[#All],2,0)</f>
        <v>#REF!</v>
      </c>
      <c r="Q2238" s="47" t="str">
        <f>+MID(N2238,11,2)</f>
        <v>73</v>
      </c>
      <c r="R2238" s="47" t="str">
        <f>+MID(N2238,14,8)</f>
        <v>0-205128</v>
      </c>
      <c r="S2238" s="54" t="s">
        <v>42</v>
      </c>
      <c r="T2238" s="63" t="s">
        <v>42</v>
      </c>
      <c r="U2238" s="326" t="e">
        <f ca="1">_xlfn.XLOOKUP(PAA_4[[#This Row],[ITEM]],[2]Contrato!A:A,[2]Contrato!Q:Q,"",0)</f>
        <v>#NAME?</v>
      </c>
      <c r="V2238" s="47" t="s">
        <v>95</v>
      </c>
      <c r="W2238" s="47" t="s">
        <v>42</v>
      </c>
      <c r="X2238" s="47" t="s">
        <v>42</v>
      </c>
      <c r="Y2238" s="55" t="e">
        <f ca="1">_xlfn.XLOOKUP(PAA_4[[#This Row],[ITEM]],[2]Contrato!A:A,[2]Contrato!B:B,"",0)</f>
        <v>#NAME?</v>
      </c>
      <c r="Z2238" s="47" t="e">
        <f ca="1">_xlfn.XLOOKUP(PAA_4[[#This Row],[ITEM]],[2]Contrato!A:A,[2]Contrato!G:G,"",0)</f>
        <v>#NAME?</v>
      </c>
      <c r="AA2238" s="47" t="e">
        <f ca="1">_xlfn.XLOOKUP(PAA_4[[#This Row],[ITEM]],[2]Contrato!A:A,[2]Contrato!T:T,"",0)</f>
        <v>#NAME?</v>
      </c>
      <c r="AB2238" s="55" t="e">
        <f ca="1">+MAX(PAA_4[[#This Row],[Comprometido Contrato]],PAA_4[[#This Row],[Comprometido Bolsa]])</f>
        <v>#NAME?</v>
      </c>
      <c r="AC2238" s="55" t="str">
        <f ca="1">IFERROR(I2238-AB2238,"")</f>
        <v/>
      </c>
      <c r="AD2238" s="55" t="e">
        <f ca="1">IF(PAA_4[[#This Row],[ESTADO (formulado)]]="NO CONTRATADO",0,MAX(PAA_4[[#This Row],[Pago por Contrato]],PAA_4[[#This Row],[Pago por bolsa]]))</f>
        <v>#NAME?</v>
      </c>
      <c r="AE2238" s="55" t="str">
        <f ca="1">+IFERROR(AB2238-AD2238,"")</f>
        <v/>
      </c>
      <c r="AF2238" s="47" t="e">
        <f ca="1">+CONCATENATE(AA2238,N2238)</f>
        <v>#NAME?</v>
      </c>
      <c r="AG2238" s="47">
        <f>IFERROR(_xlfn.NUMBERVALUE(MID(G2238,1,8)),"")</f>
        <v>52010703</v>
      </c>
      <c r="AH2238" s="54">
        <f>IF(Q2238="22",IF(ISNUMBER(SEARCH("econ",PAA_4[[#This Row],[Actividad3]])),"Económico",IF(ISNUMBER(SEARCH("alim",PAA_4[[#This Row],[Actividad3]])),"Alimentación",IF(ISNUMBER(SEARCH("educ",PAA_4[[#This Row],[Actividad3]])),"Educativo","Técnico"))),0)</f>
        <v>0</v>
      </c>
      <c r="AI2238" s="47" t="e" cm="1">
        <f t="array" aca="1" ref="AI2238" ca="1">_xlfn.XLOOKUP(PAA_4[[#This Row],[RCP-RUBRO]],[2]!COMPROMISOS_2024[[#All],[concatenado]],[2]!COMPROMISOS_2024[[#All],[Total pagado]],"",0)</f>
        <v>#NAME?</v>
      </c>
      <c r="AJ2238" s="56">
        <f>IF(PAA_4[[#This Row],[BOLSA]]=0,0,SUMIFS([2]!COMPROMISOS_2024[[#All],[Total pagado]],[2]!COMPROMISOS_2024[[#All],[Bolsa]],PAA_4[[#This Row],[BOLSA]],[2]!COMPROMISOS_2024[[#All],[rubro]],PAA_4[[#This Row],[RCP-RUBRO]]))</f>
        <v>0</v>
      </c>
      <c r="AK2238" s="47" t="e" cm="1">
        <f t="array" aca="1" ref="AK2238" ca="1">_xlfn.XLOOKUP(PAA_4[[#This Row],[RCP-RUBRO]],[2]!COMPROMISOS_2024[[#All],[concatenado]],[2]!COMPROMISOS_2024[[#All],[Total Comprometido]],"",0)</f>
        <v>#NAME?</v>
      </c>
      <c r="AL2238" s="47">
        <f>IF(PAA_4[[#This Row],[BOLSA]]=0,0,SUMIFS([2]!COMPROMISOS_2024[[#All],[Total Comprometido]],[2]!COMPROMISOS_2024[[#All],[Bolsa]],PAA_4[[#This Row],[BOLSA]],[2]!COMPROMISOS_2024[[#All],[concatenado]],PAA_4[[#This Row],[RCP-RUBRO]]))</f>
        <v>0</v>
      </c>
    </row>
    <row r="2239" spans="1:38" s="19" customFormat="1" ht="31.5" customHeight="1">
      <c r="A2239" s="47">
        <v>1144</v>
      </c>
      <c r="B2239" s="47">
        <v>80111600</v>
      </c>
      <c r="C2239" s="47" t="str">
        <f>VLOOKUP(PAA_4[[#This Row],[PROYECTO (formulado)2]],[2]PROYECTOS!$G$1:$L$32,6,0)</f>
        <v>SUBGERENCIA DE FOMENTO Y DESARROLLO</v>
      </c>
      <c r="D2239" s="47" t="str">
        <f>+IF(PAA_4[[#This Row],[UNIDAD DE CONTRATACION (formulado)]]="Subgerencia Administrativa y Financiera","FUNCIONAMIENTO","INVERSIÓN")</f>
        <v>INVERSIÓN</v>
      </c>
      <c r="E2239" s="48" t="str">
        <f>VLOOKUP(Q2239,[2]PROYECTOS!$G$1:$K$32,5,0)</f>
        <v>Fortalecimiento de los juegos deportivos institucionales en los municipios del departamento de Antioquia</v>
      </c>
      <c r="F2239" s="48">
        <f>VLOOKUP(E2239,[2]PROYECTOS!$K$1:$M$32,3,0)</f>
        <v>2024003050073</v>
      </c>
      <c r="G2239" s="49" t="s">
        <v>2399</v>
      </c>
      <c r="H2239" s="49" t="str">
        <f>VLOOKUP(Q2239,[2]PROYECTOS!$V$1:$W$32,2,0)</f>
        <v>050081</v>
      </c>
      <c r="I2239" s="78">
        <f>10846223-2309225</f>
        <v>8536998</v>
      </c>
      <c r="J2239" s="51" t="s">
        <v>2407</v>
      </c>
      <c r="K2239" s="47" t="str">
        <f t="shared" ref="K2239" ca="1" si="795">IF(ISNONTEXT(Y2239)=TRUE,"CONTRATADO","NO CONTRATADO")</f>
        <v>CONTRATADO</v>
      </c>
      <c r="L2239" s="47" t="s">
        <v>78</v>
      </c>
      <c r="M2239" s="47" t="s">
        <v>1297</v>
      </c>
      <c r="N2239" s="52" t="s">
        <v>1357</v>
      </c>
      <c r="O2239" s="51" t="e">
        <f>VLOOKUP(N2239,[2]!RUBROS[#All],3,0)</f>
        <v>#REF!</v>
      </c>
      <c r="P2239" s="53" t="e">
        <f>VLOOKUP(N2239,[2]!RUBROS[#All],2,0)</f>
        <v>#REF!</v>
      </c>
      <c r="Q2239" s="47" t="str">
        <f t="shared" ref="Q2239" si="796">+MID(N2239,11,2)</f>
        <v>73</v>
      </c>
      <c r="R2239" s="47" t="str">
        <f t="shared" ref="R2239" si="797">+MID(N2239,14,8)</f>
        <v>0-205128</v>
      </c>
      <c r="S2239" s="54">
        <v>45</v>
      </c>
      <c r="T2239" s="63" t="s">
        <v>120</v>
      </c>
      <c r="U2239" s="326" t="e">
        <f ca="1">_xlfn.XLOOKUP(PAA_4[[#This Row],[ITEM]],[2]Contrato!A:A,[2]Contrato!Q:Q,"",0)</f>
        <v>#NAME?</v>
      </c>
      <c r="V2239" s="47" t="s">
        <v>95</v>
      </c>
      <c r="W2239" s="47" t="s">
        <v>204</v>
      </c>
      <c r="X2239" s="47" t="s">
        <v>204</v>
      </c>
      <c r="Y2239" s="55" t="e">
        <f ca="1">_xlfn.XLOOKUP(PAA_4[[#This Row],[ITEM]],[2]Contrato!A:A,[2]Contrato!B:B,"",0)</f>
        <v>#NAME?</v>
      </c>
      <c r="Z2239" s="47" t="e">
        <f ca="1">_xlfn.XLOOKUP(PAA_4[[#This Row],[ITEM]],[2]Contrato!A:A,[2]Contrato!G:G,"",0)</f>
        <v>#NAME?</v>
      </c>
      <c r="AA2239" s="47" t="e">
        <f ca="1">_xlfn.XLOOKUP(PAA_4[[#This Row],[ITEM]],[2]Contrato!A:A,[2]Contrato!T:T,"",0)</f>
        <v>#NAME?</v>
      </c>
      <c r="AB2239" s="55" t="e">
        <f ca="1">+MAX(PAA_4[[#This Row],[Comprometido Contrato]],PAA_4[[#This Row],[Comprometido Bolsa]])</f>
        <v>#NAME?</v>
      </c>
      <c r="AC2239" s="55" t="str">
        <f t="shared" ref="AC2239" ca="1" si="798">IFERROR(I2239-AB2239,"")</f>
        <v/>
      </c>
      <c r="AD2239" s="55" t="e">
        <f ca="1">IF(PAA_4[[#This Row],[ESTADO (formulado)]]="NO CONTRATADO",0,MAX(PAA_4[[#This Row],[Pago por Contrato]],PAA_4[[#This Row],[Pago por bolsa]]))</f>
        <v>#NAME?</v>
      </c>
      <c r="AE2239" s="55" t="str">
        <f t="shared" ref="AE2239" ca="1" si="799">+IFERROR(AB2239-AD2239,"")</f>
        <v/>
      </c>
      <c r="AF2239" s="47" t="e">
        <f t="shared" ref="AF2239" ca="1" si="800">+CONCATENATE(AA2239,N2239)</f>
        <v>#NAME?</v>
      </c>
      <c r="AG2239" s="47">
        <f t="shared" ref="AG2239" si="801">IFERROR(_xlfn.NUMBERVALUE(MID(G2239,1,8)),"")</f>
        <v>52010703</v>
      </c>
      <c r="AH2239" s="54">
        <f>IF(Q2239="22",IF(ISNUMBER(SEARCH("econ",PAA_4[[#This Row],[Actividad3]])),"Económico",IF(ISNUMBER(SEARCH("alim",PAA_4[[#This Row],[Actividad3]])),"Alimentación",IF(ISNUMBER(SEARCH("educ",PAA_4[[#This Row],[Actividad3]])),"Educativo","Técnico"))),0)</f>
        <v>0</v>
      </c>
      <c r="AI2239" s="47" t="e" cm="1">
        <f t="array" aca="1" ref="AI2239" ca="1">_xlfn.XLOOKUP(PAA_4[[#This Row],[RCP-RUBRO]],[2]!COMPROMISOS_2024[[#All],[concatenado]],[2]!COMPROMISOS_2024[[#All],[Total pagado]],"",0)</f>
        <v>#NAME?</v>
      </c>
      <c r="AJ2239" s="56">
        <f>IF(PAA_4[[#This Row],[BOLSA]]=0,0,SUMIFS([2]!COMPROMISOS_2024[[#All],[Total pagado]],[2]!COMPROMISOS_2024[[#All],[Bolsa]],PAA_4[[#This Row],[BOLSA]],[2]!COMPROMISOS_2024[[#All],[rubro]],PAA_4[[#This Row],[RCP-RUBRO]]))</f>
        <v>0</v>
      </c>
      <c r="AK2239" s="47" t="e" cm="1">
        <f t="array" aca="1" ref="AK2239" ca="1">_xlfn.XLOOKUP(PAA_4[[#This Row],[RCP-RUBRO]],[2]!COMPROMISOS_2024[[#All],[concatenado]],[2]!COMPROMISOS_2024[[#All],[Total Comprometido]],"",0)</f>
        <v>#NAME?</v>
      </c>
      <c r="AL2239" s="47">
        <f>IF(PAA_4[[#This Row],[BOLSA]]=0,0,SUMIFS([2]!COMPROMISOS_2024[[#All],[Total Comprometido]],[2]!COMPROMISOS_2024[[#All],[Bolsa]],PAA_4[[#This Row],[BOLSA]],[2]!COMPROMISOS_2024[[#All],[concatenado]],PAA_4[[#This Row],[RCP-RUBRO]]))</f>
        <v>0</v>
      </c>
    </row>
    <row r="2240" spans="1:38" s="19" customFormat="1" ht="31.5" customHeight="1">
      <c r="A2240" s="47" t="s">
        <v>82</v>
      </c>
      <c r="B2240" s="47" t="s">
        <v>42</v>
      </c>
      <c r="C2240" s="47" t="str">
        <f>VLOOKUP(PAA_4[[#This Row],[PROYECTO (formulado)2]],[2]PROYECTOS!$G$1:$L$32,6,0)</f>
        <v>SUBGERENCIA DE FOMENTO Y DESARROLLO</v>
      </c>
      <c r="D2240" s="47" t="str">
        <f>+IF(PAA_4[[#This Row],[UNIDAD DE CONTRATACION (formulado)]]="Subgerencia Administrativa y Financiera","FUNCIONAMIENTO","INVERSIÓN")</f>
        <v>INVERSIÓN</v>
      </c>
      <c r="E2240" s="48" t="str">
        <f>VLOOKUP(Q2240,[2]PROYECTOS!$G$1:$K$32,5,0)</f>
        <v>Fortalecimiento de los juegos deportivos institucionales en los municipios del departamento de Antioquia</v>
      </c>
      <c r="F2240" s="48">
        <f>VLOOKUP(E2240,[2]PROYECTOS!$K$1:$M$32,3,0)</f>
        <v>2024003050073</v>
      </c>
      <c r="G2240" s="49" t="s">
        <v>2399</v>
      </c>
      <c r="H2240" s="49" t="str">
        <f>VLOOKUP(Q2240,[2]PROYECTOS!$V$1:$W$32,2,0)</f>
        <v>050081</v>
      </c>
      <c r="I2240" s="78">
        <v>532946</v>
      </c>
      <c r="J2240" s="51" t="s">
        <v>1851</v>
      </c>
      <c r="K2240" s="47" t="str">
        <f ca="1">IF(ISNONTEXT(Y2240)=TRUE,"CONTRATADO","NO CONTRATADO")</f>
        <v>CONTRATADO</v>
      </c>
      <c r="L2240" s="47" t="s">
        <v>42</v>
      </c>
      <c r="M2240" s="47" t="s">
        <v>42</v>
      </c>
      <c r="N2240" s="52" t="s">
        <v>1357</v>
      </c>
      <c r="O2240" s="51" t="e">
        <f>VLOOKUP(N2240,[2]!RUBROS[#All],3,0)</f>
        <v>#REF!</v>
      </c>
      <c r="P2240" s="53" t="e">
        <f>VLOOKUP(N2240,[2]!RUBROS[#All],2,0)</f>
        <v>#REF!</v>
      </c>
      <c r="Q2240" s="47" t="str">
        <f>+MID(N2240,11,2)</f>
        <v>73</v>
      </c>
      <c r="R2240" s="47" t="str">
        <f>+MID(N2240,14,8)</f>
        <v>0-205128</v>
      </c>
      <c r="S2240" s="54" t="s">
        <v>42</v>
      </c>
      <c r="T2240" s="329" t="s">
        <v>42</v>
      </c>
      <c r="U2240" s="326" t="e">
        <f ca="1">_xlfn.XLOOKUP(PAA_4[[#This Row],[ITEM]],[2]Contrato!A:A,[2]Contrato!Q:Q,"",0)</f>
        <v>#NAME?</v>
      </c>
      <c r="V2240" s="47" t="s">
        <v>95</v>
      </c>
      <c r="W2240" s="47" t="s">
        <v>42</v>
      </c>
      <c r="X2240" s="47" t="s">
        <v>42</v>
      </c>
      <c r="Y2240" s="55" t="e">
        <f ca="1">_xlfn.XLOOKUP(PAA_4[[#This Row],[ITEM]],[2]Contrato!A:A,[2]Contrato!B:B,"",0)</f>
        <v>#NAME?</v>
      </c>
      <c r="Z2240" s="47" t="e">
        <f ca="1">_xlfn.XLOOKUP(PAA_4[[#This Row],[ITEM]],[2]Contrato!A:A,[2]Contrato!G:G,"",0)</f>
        <v>#NAME?</v>
      </c>
      <c r="AA2240" s="47" t="e">
        <f ca="1">_xlfn.XLOOKUP(PAA_4[[#This Row],[ITEM]],[2]Contrato!A:A,[2]Contrato!T:T,"",0)</f>
        <v>#NAME?</v>
      </c>
      <c r="AB2240" s="55" t="e">
        <f ca="1">+MAX(PAA_4[[#This Row],[Comprometido Contrato]],PAA_4[[#This Row],[Comprometido Bolsa]])</f>
        <v>#NAME?</v>
      </c>
      <c r="AC2240" s="55" t="str">
        <f ca="1">IFERROR(I2240-AB2240,"")</f>
        <v/>
      </c>
      <c r="AD2240" s="55" t="e">
        <f ca="1">IF(PAA_4[[#This Row],[ESTADO (formulado)]]="NO CONTRATADO",0,MAX(PAA_4[[#This Row],[Pago por Contrato]],PAA_4[[#This Row],[Pago por bolsa]]))</f>
        <v>#NAME?</v>
      </c>
      <c r="AE2240" s="55" t="str">
        <f ca="1">+IFERROR(AB2240-AD2240,"")</f>
        <v/>
      </c>
      <c r="AF2240" s="47" t="e">
        <f ca="1">+CONCATENATE(AA2240,N2240)</f>
        <v>#NAME?</v>
      </c>
      <c r="AG2240" s="47">
        <f>IFERROR(_xlfn.NUMBERVALUE(MID(G2240,1,8)),"")</f>
        <v>52010703</v>
      </c>
      <c r="AH2240" s="54">
        <f>IF(Q2240="22",IF(ISNUMBER(SEARCH("econ",PAA_4[[#This Row],[Actividad3]])),"Económico",IF(ISNUMBER(SEARCH("alim",PAA_4[[#This Row],[Actividad3]])),"Alimentación",IF(ISNUMBER(SEARCH("educ",PAA_4[[#This Row],[Actividad3]])),"Educativo","Técnico"))),0)</f>
        <v>0</v>
      </c>
      <c r="AI2240" s="47" t="e" cm="1">
        <f t="array" aca="1" ref="AI2240" ca="1">_xlfn.XLOOKUP(PAA_4[[#This Row],[RCP-RUBRO]],[2]!COMPROMISOS_2024[[#All],[concatenado]],[2]!COMPROMISOS_2024[[#All],[Total pagado]],"",0)</f>
        <v>#NAME?</v>
      </c>
      <c r="AJ2240" s="56">
        <f>IF(PAA_4[[#This Row],[BOLSA]]=0,0,SUMIFS([2]!COMPROMISOS_2024[[#All],[Total pagado]],[2]!COMPROMISOS_2024[[#All],[Bolsa]],PAA_4[[#This Row],[BOLSA]],[2]!COMPROMISOS_2024[[#All],[rubro]],PAA_4[[#This Row],[RCP-RUBRO]]))</f>
        <v>0</v>
      </c>
      <c r="AK2240" s="47" t="e" cm="1">
        <f t="array" aca="1" ref="AK2240" ca="1">_xlfn.XLOOKUP(PAA_4[[#This Row],[RCP-RUBRO]],[2]!COMPROMISOS_2024[[#All],[concatenado]],[2]!COMPROMISOS_2024[[#All],[Total Comprometido]],"",0)</f>
        <v>#NAME?</v>
      </c>
      <c r="AL2240" s="47">
        <f>IF(PAA_4[[#This Row],[BOLSA]]=0,0,SUMIFS([2]!COMPROMISOS_2024[[#All],[Total Comprometido]],[2]!COMPROMISOS_2024[[#All],[Bolsa]],PAA_4[[#This Row],[BOLSA]],[2]!COMPROMISOS_2024[[#All],[concatenado]],PAA_4[[#This Row],[RCP-RUBRO]]))</f>
        <v>0</v>
      </c>
    </row>
    <row r="2241" spans="1:38" s="19" customFormat="1" ht="31.5" customHeight="1">
      <c r="A2241" s="47">
        <v>1253</v>
      </c>
      <c r="B2241" s="47">
        <v>80111600</v>
      </c>
      <c r="C2241" s="47" t="str">
        <f>VLOOKUP(PAA_4[[#This Row],[PROYECTO (formulado)2]],[2]PROYECTOS!$G$1:$L$32,6,0)</f>
        <v>SUBGERENCIA DE FOMENTO Y DESARROLLO</v>
      </c>
      <c r="D2241" s="47" t="str">
        <f>+IF(PAA_4[[#This Row],[UNIDAD DE CONTRATACION (formulado)]]="Subgerencia Administrativa y Financiera","FUNCIONAMIENTO","INVERSIÓN")</f>
        <v>INVERSIÓN</v>
      </c>
      <c r="E2241" s="48" t="str">
        <f>VLOOKUP(Q2241,[2]PROYECTOS!$G$1:$K$32,5,0)</f>
        <v>Fortalecimiento de los juegos deportivos institucionales en los municipios del departamento de Antioquia</v>
      </c>
      <c r="F2241" s="48">
        <f>VLOOKUP(E2241,[2]PROYECTOS!$K$1:$M$32,3,0)</f>
        <v>2024003050073</v>
      </c>
      <c r="G2241" s="49" t="s">
        <v>2399</v>
      </c>
      <c r="H2241" s="49" t="str">
        <f>VLOOKUP(Q2241,[2]PROYECTOS!$V$1:$W$32,2,0)</f>
        <v>050081</v>
      </c>
      <c r="I2241" s="78">
        <f>16900000-532946</f>
        <v>16367054</v>
      </c>
      <c r="J2241" s="51" t="s">
        <v>2408</v>
      </c>
      <c r="K2241" s="47" t="str">
        <f t="shared" ref="K2241:K2243" ca="1" si="802">IF(ISNONTEXT(Y2241)=TRUE,"CONTRATADO","NO CONTRATADO")</f>
        <v>CONTRATADO</v>
      </c>
      <c r="L2241" s="47" t="s">
        <v>94</v>
      </c>
      <c r="M2241" s="47" t="s">
        <v>1297</v>
      </c>
      <c r="N2241" s="52" t="s">
        <v>1357</v>
      </c>
      <c r="O2241" s="51" t="e">
        <f>VLOOKUP(N2241,[2]!RUBROS[#All],3,0)</f>
        <v>#REF!</v>
      </c>
      <c r="P2241" s="53" t="e">
        <f>VLOOKUP(N2241,[2]!RUBROS[#All],2,0)</f>
        <v>#REF!</v>
      </c>
      <c r="Q2241" s="47" t="str">
        <f t="shared" ref="Q2241:Q2243" si="803">+MID(N2241,11,2)</f>
        <v>73</v>
      </c>
      <c r="R2241" s="47" t="str">
        <f t="shared" ref="R2241:R2248" si="804">+MID(N2241,14,8)</f>
        <v>0-205128</v>
      </c>
      <c r="S2241" s="54">
        <v>2</v>
      </c>
      <c r="T2241" s="59" t="s">
        <v>46</v>
      </c>
      <c r="U2241" s="326" t="e">
        <f ca="1">_xlfn.XLOOKUP(PAA_4[[#This Row],[ITEM]],[2]Contrato!A:A,[2]Contrato!Q:Q,"",0)</f>
        <v>#NAME?</v>
      </c>
      <c r="V2241" s="47" t="s">
        <v>95</v>
      </c>
      <c r="W2241" s="47" t="s">
        <v>204</v>
      </c>
      <c r="X2241" s="47" t="s">
        <v>204</v>
      </c>
      <c r="Y2241" s="55" t="e">
        <f ca="1">_xlfn.XLOOKUP(PAA_4[[#This Row],[ITEM]],[2]Contrato!A:A,[2]Contrato!B:B,"",0)</f>
        <v>#NAME?</v>
      </c>
      <c r="Z2241" s="47" t="e">
        <f ca="1">_xlfn.XLOOKUP(PAA_4[[#This Row],[ITEM]],[2]Contrato!A:A,[2]Contrato!G:G,"",0)</f>
        <v>#NAME?</v>
      </c>
      <c r="AA2241" s="47" t="e">
        <f ca="1">_xlfn.XLOOKUP(PAA_4[[#This Row],[ITEM]],[2]Contrato!A:A,[2]Contrato!T:T,"",0)</f>
        <v>#NAME?</v>
      </c>
      <c r="AB2241" s="55" t="e">
        <f ca="1">+MAX(PAA_4[[#This Row],[Comprometido Contrato]],PAA_4[[#This Row],[Comprometido Bolsa]])</f>
        <v>#NAME?</v>
      </c>
      <c r="AC2241" s="55" t="str">
        <f t="shared" ref="AC2241:AC2243" ca="1" si="805">IFERROR(I2241-AB2241,"")</f>
        <v/>
      </c>
      <c r="AD2241" s="55" t="e">
        <f ca="1">IF(PAA_4[[#This Row],[ESTADO (formulado)]]="NO CONTRATADO",0,MAX(PAA_4[[#This Row],[Pago por Contrato]],PAA_4[[#This Row],[Pago por bolsa]]))</f>
        <v>#NAME?</v>
      </c>
      <c r="AE2241" s="55" t="str">
        <f t="shared" ref="AE2241:AE2243" ca="1" si="806">+IFERROR(AB2241-AD2241,"")</f>
        <v/>
      </c>
      <c r="AF2241" s="47" t="e">
        <f t="shared" ref="AF2241:AF2243" ca="1" si="807">+CONCATENATE(AA2241,N2241)</f>
        <v>#NAME?</v>
      </c>
      <c r="AG2241" s="47">
        <f t="shared" ref="AG2241:AG2243" si="808">IFERROR(_xlfn.NUMBERVALUE(MID(G2241,1,8)),"")</f>
        <v>52010703</v>
      </c>
      <c r="AH2241" s="54">
        <f>IF(Q2241="22",IF(ISNUMBER(SEARCH("econ",PAA_4[[#This Row],[Actividad3]])),"Económico",IF(ISNUMBER(SEARCH("alim",PAA_4[[#This Row],[Actividad3]])),"Alimentación",IF(ISNUMBER(SEARCH("educ",PAA_4[[#This Row],[Actividad3]])),"Educativo","Técnico"))),0)</f>
        <v>0</v>
      </c>
      <c r="AI2241" s="47" t="e" cm="1">
        <f t="array" aca="1" ref="AI2241" ca="1">_xlfn.XLOOKUP(PAA_4[[#This Row],[RCP-RUBRO]],[2]!COMPROMISOS_2024[[#All],[concatenado]],[2]!COMPROMISOS_2024[[#All],[Total pagado]],"",0)</f>
        <v>#NAME?</v>
      </c>
      <c r="AJ2241" s="56">
        <f>IF(PAA_4[[#This Row],[BOLSA]]=0,0,SUMIFS([2]!COMPROMISOS_2024[[#All],[Total pagado]],[2]!COMPROMISOS_2024[[#All],[Bolsa]],PAA_4[[#This Row],[BOLSA]],[2]!COMPROMISOS_2024[[#All],[rubro]],PAA_4[[#This Row],[RCP-RUBRO]]))</f>
        <v>0</v>
      </c>
      <c r="AK2241" s="47" t="e" cm="1">
        <f t="array" aca="1" ref="AK2241" ca="1">_xlfn.XLOOKUP(PAA_4[[#This Row],[RCP-RUBRO]],[2]!COMPROMISOS_2024[[#All],[concatenado]],[2]!COMPROMISOS_2024[[#All],[Total Comprometido]],"",0)</f>
        <v>#NAME?</v>
      </c>
      <c r="AL2241" s="47">
        <f>IF(PAA_4[[#This Row],[BOLSA]]=0,0,SUMIFS([2]!COMPROMISOS_2024[[#All],[Total Comprometido]],[2]!COMPROMISOS_2024[[#All],[Bolsa]],PAA_4[[#This Row],[BOLSA]],[2]!COMPROMISOS_2024[[#All],[concatenado]],PAA_4[[#This Row],[RCP-RUBRO]]))</f>
        <v>0</v>
      </c>
    </row>
    <row r="2242" spans="1:38" s="19" customFormat="1" ht="31.5" customHeight="1">
      <c r="A2242" s="47">
        <v>1074</v>
      </c>
      <c r="B2242" s="47" t="s">
        <v>42</v>
      </c>
      <c r="C2242" s="47" t="str">
        <f>VLOOKUP(PAA_4[[#This Row],[PROYECTO (formulado)2]],[2]PROYECTOS!$G$1:$L$32,6,0)</f>
        <v>SUBGERENCIA DE FOMENTO Y DESARROLLO</v>
      </c>
      <c r="D2242" s="47" t="str">
        <f>+IF(PAA_4[[#This Row],[UNIDAD DE CONTRATACION (formulado)]]="Subgerencia Administrativa y Financiera","FUNCIONAMIENTO","INVERSIÓN")</f>
        <v>INVERSIÓN</v>
      </c>
      <c r="E2242" s="48" t="str">
        <f>VLOOKUP(Q2242,[2]PROYECTOS!$G$1:$K$32,5,0)</f>
        <v>Fortalecimiento de los juegos deportivos institucionales en los municipios del departamento de Antioquia</v>
      </c>
      <c r="F2242" s="48">
        <f>VLOOKUP(E2242,[2]PROYECTOS!$K$1:$M$32,3,0)</f>
        <v>2024003050073</v>
      </c>
      <c r="G2242" s="49" t="s">
        <v>2399</v>
      </c>
      <c r="H2242" s="49" t="str">
        <f>VLOOKUP(Q2242,[2]PROYECTOS!$V$1:$W$32,2,0)</f>
        <v>050081</v>
      </c>
      <c r="I2242" s="78">
        <v>0</v>
      </c>
      <c r="J2242" s="51" t="s">
        <v>42</v>
      </c>
      <c r="K2242" s="47" t="str">
        <f t="shared" ca="1" si="802"/>
        <v>CONTRATADO</v>
      </c>
      <c r="L2242" s="47" t="s">
        <v>94</v>
      </c>
      <c r="M2242" s="47" t="s">
        <v>42</v>
      </c>
      <c r="N2242" s="52" t="s">
        <v>1357</v>
      </c>
      <c r="O2242" s="51" t="e">
        <f>VLOOKUP(N2242,[2]!RUBROS[#All],3,0)</f>
        <v>#REF!</v>
      </c>
      <c r="P2242" s="53" t="e">
        <f>VLOOKUP(N2242,[2]!RUBROS[#All],2,0)</f>
        <v>#REF!</v>
      </c>
      <c r="Q2242" s="47" t="str">
        <f t="shared" si="803"/>
        <v>73</v>
      </c>
      <c r="R2242" s="47" t="str">
        <f t="shared" si="804"/>
        <v>0-205128</v>
      </c>
      <c r="S2242" s="54">
        <v>4.5</v>
      </c>
      <c r="T2242" s="59" t="s">
        <v>46</v>
      </c>
      <c r="U2242" s="326" t="e">
        <f ca="1">_xlfn.XLOOKUP(PAA_4[[#This Row],[ITEM]],[2]Contrato!A:A,[2]Contrato!Q:Q,"",0)</f>
        <v>#NAME?</v>
      </c>
      <c r="V2242" s="47" t="s">
        <v>95</v>
      </c>
      <c r="W2242" s="47" t="s">
        <v>194</v>
      </c>
      <c r="X2242" s="47" t="s">
        <v>194</v>
      </c>
      <c r="Y2242" s="55" t="e">
        <f ca="1">_xlfn.XLOOKUP(PAA_4[[#This Row],[ITEM]],[2]Contrato!A:A,[2]Contrato!B:B,"",0)</f>
        <v>#NAME?</v>
      </c>
      <c r="Z2242" s="47" t="e">
        <f ca="1">_xlfn.XLOOKUP(PAA_4[[#This Row],[ITEM]],[2]Contrato!A:A,[2]Contrato!G:G,"",0)</f>
        <v>#NAME?</v>
      </c>
      <c r="AA2242" s="47" t="e">
        <f ca="1">_xlfn.XLOOKUP(PAA_4[[#This Row],[ITEM]],[2]Contrato!A:A,[2]Contrato!T:T,"",0)</f>
        <v>#NAME?</v>
      </c>
      <c r="AB2242" s="55" t="e">
        <f ca="1">+MAX(PAA_4[[#This Row],[Comprometido Contrato]],PAA_4[[#This Row],[Comprometido Bolsa]])</f>
        <v>#NAME?</v>
      </c>
      <c r="AC2242" s="55" t="str">
        <f t="shared" ca="1" si="805"/>
        <v/>
      </c>
      <c r="AD2242" s="55" t="e">
        <f ca="1">IF(PAA_4[[#This Row],[ESTADO (formulado)]]="NO CONTRATADO",0,MAX(PAA_4[[#This Row],[Pago por Contrato]],PAA_4[[#This Row],[Pago por bolsa]]))</f>
        <v>#NAME?</v>
      </c>
      <c r="AE2242" s="55" t="str">
        <f t="shared" ca="1" si="806"/>
        <v/>
      </c>
      <c r="AF2242" s="47" t="e">
        <f t="shared" ca="1" si="807"/>
        <v>#NAME?</v>
      </c>
      <c r="AG2242" s="47">
        <f t="shared" si="808"/>
        <v>52010703</v>
      </c>
      <c r="AH2242" s="54">
        <f>IF(Q2242="22",IF(ISNUMBER(SEARCH("econ",PAA_4[[#This Row],[Actividad3]])),"Económico",IF(ISNUMBER(SEARCH("alim",PAA_4[[#This Row],[Actividad3]])),"Alimentación",IF(ISNUMBER(SEARCH("educ",PAA_4[[#This Row],[Actividad3]])),"Educativo","Técnico"))),0)</f>
        <v>0</v>
      </c>
      <c r="AI2242" s="47" t="e" cm="1">
        <f t="array" aca="1" ref="AI2242" ca="1">_xlfn.XLOOKUP(PAA_4[[#This Row],[RCP-RUBRO]],[2]!COMPROMISOS_2024[[#All],[concatenado]],[2]!COMPROMISOS_2024[[#All],[Total pagado]],"",0)</f>
        <v>#NAME?</v>
      </c>
      <c r="AJ2242" s="56">
        <f>IF(PAA_4[[#This Row],[BOLSA]]=0,0,SUMIFS([2]!COMPROMISOS_2024[[#All],[Total pagado]],[2]!COMPROMISOS_2024[[#All],[Bolsa]],PAA_4[[#This Row],[BOLSA]],[2]!COMPROMISOS_2024[[#All],[rubro]],PAA_4[[#This Row],[RCP-RUBRO]]))</f>
        <v>0</v>
      </c>
      <c r="AK2242" s="47" t="e" cm="1">
        <f t="array" aca="1" ref="AK2242" ca="1">_xlfn.XLOOKUP(PAA_4[[#This Row],[RCP-RUBRO]],[2]!COMPROMISOS_2024[[#All],[concatenado]],[2]!COMPROMISOS_2024[[#All],[Total Comprometido]],"",0)</f>
        <v>#NAME?</v>
      </c>
      <c r="AL2242" s="47">
        <f>IF(PAA_4[[#This Row],[BOLSA]]=0,0,SUMIFS([2]!COMPROMISOS_2024[[#All],[Total Comprometido]],[2]!COMPROMISOS_2024[[#All],[Bolsa]],PAA_4[[#This Row],[BOLSA]],[2]!COMPROMISOS_2024[[#All],[concatenado]],PAA_4[[#This Row],[RCP-RUBRO]]))</f>
        <v>0</v>
      </c>
    </row>
    <row r="2243" spans="1:38" s="19" customFormat="1" ht="31.5" customHeight="1">
      <c r="A2243" s="47" t="s">
        <v>82</v>
      </c>
      <c r="B2243" s="47" t="s">
        <v>42</v>
      </c>
      <c r="C2243" s="47" t="str">
        <f>VLOOKUP(PAA_4[[#This Row],[PROYECTO (formulado)2]],[2]PROYECTOS!$G$1:$L$32,6,0)</f>
        <v>SUBGERENCIA DE FOMENTO Y DESARROLLO</v>
      </c>
      <c r="D2243" s="47" t="str">
        <f>+IF(PAA_4[[#This Row],[UNIDAD DE CONTRATACION (formulado)]]="Subgerencia Administrativa y Financiera","FUNCIONAMIENTO","INVERSIÓN")</f>
        <v>INVERSIÓN</v>
      </c>
      <c r="E2243" s="48" t="str">
        <f>VLOOKUP(Q2243,[2]PROYECTOS!$G$1:$K$32,5,0)</f>
        <v>Capacitación para el sector del deporte, la recreación y la actividad física en el Departamento de   Antioquia</v>
      </c>
      <c r="F2243" s="48">
        <f>VLOOKUP(E2243,[2]PROYECTOS!$K$1:$M$32,3,0)</f>
        <v>2024003050072</v>
      </c>
      <c r="G2243" s="49" t="s">
        <v>2371</v>
      </c>
      <c r="H2243" s="49" t="str">
        <f>VLOOKUP(Q2243,[2]PROYECTOS!$V$1:$W$32,2,0)</f>
        <v>050072</v>
      </c>
      <c r="I2243" s="78">
        <v>0</v>
      </c>
      <c r="J2243" s="51" t="s">
        <v>42</v>
      </c>
      <c r="K2243" s="47" t="str">
        <f t="shared" ca="1" si="802"/>
        <v>CONTRATADO</v>
      </c>
      <c r="L2243" s="47" t="s">
        <v>42</v>
      </c>
      <c r="M2243" s="47" t="s">
        <v>42</v>
      </c>
      <c r="N2243" s="52" t="s">
        <v>2346</v>
      </c>
      <c r="O2243" s="51" t="e">
        <f>VLOOKUP(N2243,[2]!RUBROS[#All],3,0)</f>
        <v>#REF!</v>
      </c>
      <c r="P2243" s="53" t="e">
        <f>VLOOKUP(N2243,[2]!RUBROS[#All],2,0)</f>
        <v>#REF!</v>
      </c>
      <c r="Q2243" s="47" t="str">
        <f t="shared" si="803"/>
        <v>72</v>
      </c>
      <c r="R2243" s="47" t="str">
        <f t="shared" si="804"/>
        <v>0-205128</v>
      </c>
      <c r="S2243" s="47" t="s">
        <v>42</v>
      </c>
      <c r="T2243" s="63" t="s">
        <v>42</v>
      </c>
      <c r="U2243" s="326" t="e">
        <f ca="1">_xlfn.XLOOKUP(PAA_4[[#This Row],[ITEM]],[2]Contrato!A:A,[2]Contrato!Q:Q,"",0)</f>
        <v>#NAME?</v>
      </c>
      <c r="V2243" s="47" t="s">
        <v>42</v>
      </c>
      <c r="W2243" s="47" t="s">
        <v>42</v>
      </c>
      <c r="X2243" s="47" t="s">
        <v>42</v>
      </c>
      <c r="Y2243" s="55" t="e">
        <f ca="1">_xlfn.XLOOKUP(PAA_4[[#This Row],[ITEM]],[2]Contrato!A:A,[2]Contrato!B:B,"",0)</f>
        <v>#NAME?</v>
      </c>
      <c r="Z2243" s="47" t="e">
        <f ca="1">_xlfn.XLOOKUP(PAA_4[[#This Row],[ITEM]],[2]Contrato!A:A,[2]Contrato!G:G,"",0)</f>
        <v>#NAME?</v>
      </c>
      <c r="AA2243" s="47" t="e">
        <f ca="1">_xlfn.XLOOKUP(PAA_4[[#This Row],[ITEM]],[2]Contrato!A:A,[2]Contrato!T:T,"",0)</f>
        <v>#NAME?</v>
      </c>
      <c r="AB2243" s="55" t="e">
        <f ca="1">+MAX(PAA_4[[#This Row],[Comprometido Contrato]],PAA_4[[#This Row],[Comprometido Bolsa]])</f>
        <v>#NAME?</v>
      </c>
      <c r="AC2243" s="55" t="str">
        <f t="shared" ca="1" si="805"/>
        <v/>
      </c>
      <c r="AD2243" s="55" t="e">
        <f ca="1">IF(PAA_4[[#This Row],[ESTADO (formulado)]]="NO CONTRATADO",0,MAX(PAA_4[[#This Row],[Pago por Contrato]],PAA_4[[#This Row],[Pago por bolsa]]))</f>
        <v>#NAME?</v>
      </c>
      <c r="AE2243" s="55" t="str">
        <f t="shared" ca="1" si="806"/>
        <v/>
      </c>
      <c r="AF2243" s="47" t="e">
        <f t="shared" ca="1" si="807"/>
        <v>#NAME?</v>
      </c>
      <c r="AG2243" s="47">
        <f t="shared" si="808"/>
        <v>52010704</v>
      </c>
      <c r="AH2243" s="54">
        <f>IF(Q2243="22",IF(ISNUMBER(SEARCH("econ",PAA_4[[#This Row],[Actividad3]])),"Económico",IF(ISNUMBER(SEARCH("alim",PAA_4[[#This Row],[Actividad3]])),"Alimentación",IF(ISNUMBER(SEARCH("educ",PAA_4[[#This Row],[Actividad3]])),"Educativo","Técnico"))),0)</f>
        <v>0</v>
      </c>
      <c r="AI2243" s="47" t="e" cm="1">
        <f t="array" aca="1" ref="AI2243" ca="1">_xlfn.XLOOKUP(PAA_4[[#This Row],[RCP-RUBRO]],[2]!COMPROMISOS_2024[[#All],[concatenado]],[2]!COMPROMISOS_2024[[#All],[Total pagado]],"",0)</f>
        <v>#NAME?</v>
      </c>
      <c r="AJ2243" s="56">
        <f>IF(PAA_4[[#This Row],[BOLSA]]=0,0,SUMIFS([2]!COMPROMISOS_2024[[#All],[Total pagado]],[2]!COMPROMISOS_2024[[#All],[Bolsa]],PAA_4[[#This Row],[BOLSA]],[2]!COMPROMISOS_2024[[#All],[rubro]],PAA_4[[#This Row],[RCP-RUBRO]]))</f>
        <v>0</v>
      </c>
      <c r="AK2243" s="47" t="e" cm="1">
        <f t="array" aca="1" ref="AK2243" ca="1">_xlfn.XLOOKUP(PAA_4[[#This Row],[RCP-RUBRO]],[2]!COMPROMISOS_2024[[#All],[concatenado]],[2]!COMPROMISOS_2024[[#All],[Total Comprometido]],"",0)</f>
        <v>#NAME?</v>
      </c>
      <c r="AL2243" s="47">
        <f>IF(PAA_4[[#This Row],[BOLSA]]=0,0,SUMIFS([2]!COMPROMISOS_2024[[#All],[Total Comprometido]],[2]!COMPROMISOS_2024[[#All],[Bolsa]],PAA_4[[#This Row],[BOLSA]],[2]!COMPROMISOS_2024[[#All],[concatenado]],PAA_4[[#This Row],[RCP-RUBRO]]))</f>
        <v>0</v>
      </c>
    </row>
    <row r="2244" spans="1:38" s="19" customFormat="1" ht="31.5" customHeight="1">
      <c r="A2244" s="47" t="s">
        <v>82</v>
      </c>
      <c r="B2244" s="51" t="s">
        <v>42</v>
      </c>
      <c r="C2244" s="47" t="str">
        <f>VLOOKUP(PAA_4[[#This Row],[PROYECTO (formulado)2]],[2]PROYECTOS!$G$1:$L$32,6,0)</f>
        <v>SUBGERENCIA DE FOMENTO Y DESARROLLO</v>
      </c>
      <c r="D2244" s="47" t="str">
        <f>+IF(PAA_4[[#This Row],[UNIDAD DE CONTRATACION (formulado)]]="Subgerencia Administrativa y Financiera","FUNCIONAMIENTO","INVERSIÓN")</f>
        <v>INVERSIÓN</v>
      </c>
      <c r="E2244" s="48" t="str">
        <f>VLOOKUP(Q2244,[2]PROYECTOS!$G$1:$K$32,5,0)</f>
        <v>Capacitación para el sector del deporte, la recreación y la actividad física en el Departamento de   Antioquia</v>
      </c>
      <c r="F2244" s="48">
        <f>VLOOKUP(E2244,[2]PROYECTOS!$K$1:$M$32,3,0)</f>
        <v>2024003050072</v>
      </c>
      <c r="G2244" s="49" t="s">
        <v>2371</v>
      </c>
      <c r="H2244" s="49" t="str">
        <f>VLOOKUP(Q2244,[2]PROYECTOS!$V$1:$W$32,2,0)</f>
        <v>050072</v>
      </c>
      <c r="I2244" s="50">
        <v>2816667</v>
      </c>
      <c r="J2244" s="340" t="s">
        <v>1785</v>
      </c>
      <c r="K2244" s="47" t="str">
        <f ca="1">IF(ISNONTEXT(Y2244)=TRUE,"CONTRATADO","NO CONTRATADO")</f>
        <v>CONTRATADO</v>
      </c>
      <c r="L2244" s="351" t="s">
        <v>42</v>
      </c>
      <c r="M2244" s="65" t="s">
        <v>42</v>
      </c>
      <c r="N2244" s="52" t="s">
        <v>2346</v>
      </c>
      <c r="O2244" s="51" t="e">
        <f>VLOOKUP(N2244,[2]!RUBROS[#All],3,0)</f>
        <v>#REF!</v>
      </c>
      <c r="P2244" s="53" t="e">
        <f>VLOOKUP(N2244,[2]!RUBROS[#All],2,0)</f>
        <v>#REF!</v>
      </c>
      <c r="Q2244" s="47" t="str">
        <f>+MID(N2244,11,2)</f>
        <v>72</v>
      </c>
      <c r="R2244" s="47" t="str">
        <f t="shared" si="804"/>
        <v>0-205128</v>
      </c>
      <c r="S2244" s="342" t="s">
        <v>42</v>
      </c>
      <c r="T2244" s="360" t="s">
        <v>42</v>
      </c>
      <c r="U2244" s="326" t="e">
        <f ca="1">_xlfn.XLOOKUP(PAA_4[[#This Row],[ITEM]],[2]Contrato!A:A,[2]Contrato!Q:Q,"",0)</f>
        <v>#NAME?</v>
      </c>
      <c r="V2244" s="47" t="s">
        <v>95</v>
      </c>
      <c r="W2244" s="343" t="s">
        <v>42</v>
      </c>
      <c r="X2244" s="343" t="s">
        <v>42</v>
      </c>
      <c r="Y2244" s="55" t="e">
        <f ca="1">_xlfn.XLOOKUP(PAA_4[[#This Row],[ITEM]],[2]Contrato!A:A,[2]Contrato!B:B,"",0)</f>
        <v>#NAME?</v>
      </c>
      <c r="Z2244" s="47" t="e">
        <f ca="1">_xlfn.XLOOKUP(PAA_4[[#This Row],[ITEM]],[2]Contrato!A:A,[2]Contrato!G:G,"",0)</f>
        <v>#NAME?</v>
      </c>
      <c r="AA2244" s="47" t="e">
        <f ca="1">_xlfn.XLOOKUP(PAA_4[[#This Row],[ITEM]],[2]Contrato!A:A,[2]Contrato!T:T,"",0)</f>
        <v>#NAME?</v>
      </c>
      <c r="AB2244" s="55" t="e">
        <f ca="1">+MAX(PAA_4[[#This Row],[Comprometido Contrato]],PAA_4[[#This Row],[Comprometido Bolsa]])</f>
        <v>#NAME?</v>
      </c>
      <c r="AC2244" s="55" t="str">
        <f ca="1">IFERROR(I2244-AB2244,"")</f>
        <v/>
      </c>
      <c r="AD2244" s="55" t="e">
        <f ca="1">IF(PAA_4[[#This Row],[ESTADO (formulado)]]="NO CONTRATADO",0,MAX(PAA_4[[#This Row],[Pago por Contrato]],PAA_4[[#This Row],[Pago por bolsa]]))</f>
        <v>#NAME?</v>
      </c>
      <c r="AE2244" s="55" t="str">
        <f ca="1">+IFERROR(AB2244-AD2244,"")</f>
        <v/>
      </c>
      <c r="AF2244" s="47" t="e">
        <f ca="1">+CONCATENATE(AA2244,N2244)</f>
        <v>#NAME?</v>
      </c>
      <c r="AG2244" s="47">
        <f>IFERROR(_xlfn.NUMBERVALUE(MID(G2244,1,8)),"")</f>
        <v>52010704</v>
      </c>
      <c r="AH2244" s="54">
        <f>IF(Q2244="22",IF(ISNUMBER(SEARCH("econ",PAA_4[[#This Row],[Actividad3]])),"Económico",IF(ISNUMBER(SEARCH("alim",PAA_4[[#This Row],[Actividad3]])),"Alimentación",IF(ISNUMBER(SEARCH("educ",PAA_4[[#This Row],[Actividad3]])),"Educativo","Técnico"))),0)</f>
        <v>0</v>
      </c>
      <c r="AI2244" s="47" t="e" cm="1">
        <f t="array" aca="1" ref="AI2244" ca="1">_xlfn.XLOOKUP(PAA_4[[#This Row],[RCP-RUBRO]],[2]!COMPROMISOS_2024[[#All],[concatenado]],[2]!COMPROMISOS_2024[[#All],[Total pagado]],"",0)</f>
        <v>#NAME?</v>
      </c>
      <c r="AJ2244" s="56">
        <f>IF(PAA_4[[#This Row],[BOLSA]]=0,0,SUMIFS([2]!COMPROMISOS_2024[[#All],[Total pagado]],[2]!COMPROMISOS_2024[[#All],[Bolsa]],PAA_4[[#This Row],[BOLSA]],[2]!COMPROMISOS_2024[[#All],[rubro]],PAA_4[[#This Row],[RCP-RUBRO]]))</f>
        <v>0</v>
      </c>
      <c r="AK2244" s="47" t="e" cm="1">
        <f t="array" aca="1" ref="AK2244" ca="1">_xlfn.XLOOKUP(PAA_4[[#This Row],[RCP-RUBRO]],[2]!COMPROMISOS_2024[[#All],[concatenado]],[2]!COMPROMISOS_2024[[#All],[Total Comprometido]],"",0)</f>
        <v>#NAME?</v>
      </c>
      <c r="AL2244" s="47">
        <f>IF(PAA_4[[#This Row],[BOLSA]]=0,0,SUMIFS([2]!COMPROMISOS_2024[[#All],[Total Comprometido]],[2]!COMPROMISOS_2024[[#All],[Bolsa]],PAA_4[[#This Row],[BOLSA]],[2]!COMPROMISOS_2024[[#All],[concatenado]],PAA_4[[#This Row],[RCP-RUBRO]]))</f>
        <v>0</v>
      </c>
    </row>
    <row r="2245" spans="1:38" s="19" customFormat="1" ht="31.5" customHeight="1">
      <c r="A2245" s="47">
        <v>1102</v>
      </c>
      <c r="B2245" s="47">
        <v>80111600</v>
      </c>
      <c r="C2245" s="47" t="str">
        <f>VLOOKUP(PAA_4[[#This Row],[PROYECTO (formulado)2]],[2]PROYECTOS!$G$1:$L$32,6,0)</f>
        <v>SUBGERENCIA DE FOMENTO Y DESARROLLO</v>
      </c>
      <c r="D2245" s="47" t="str">
        <f>+IF(PAA_4[[#This Row],[UNIDAD DE CONTRATACION (formulado)]]="Subgerencia Administrativa y Financiera","FUNCIONAMIENTO","INVERSIÓN")</f>
        <v>INVERSIÓN</v>
      </c>
      <c r="E2245" s="48" t="str">
        <f>VLOOKUP(Q2245,[2]PROYECTOS!$G$1:$K$32,5,0)</f>
        <v>Capacitación para el sector del deporte, la recreación y la actividad física en el Departamento de   Antioquia</v>
      </c>
      <c r="F2245" s="48">
        <f>VLOOKUP(E2245,[2]PROYECTOS!$K$1:$M$32,3,0)</f>
        <v>2024003050072</v>
      </c>
      <c r="G2245" s="49" t="s">
        <v>2371</v>
      </c>
      <c r="H2245" s="49" t="str">
        <f>VLOOKUP(Q2245,[2]PROYECTOS!$V$1:$W$32,2,0)</f>
        <v>050072</v>
      </c>
      <c r="I2245" s="78">
        <f>35490000-3943333-2816667</f>
        <v>28730000</v>
      </c>
      <c r="J2245" s="51" t="s">
        <v>2409</v>
      </c>
      <c r="K2245" s="47" t="str">
        <f t="shared" ref="K2245:K2248" ca="1" si="809">IF(ISNONTEXT(Y2245)=TRUE,"CONTRATADO","NO CONTRATADO")</f>
        <v>CONTRATADO</v>
      </c>
      <c r="L2245" s="47" t="s">
        <v>94</v>
      </c>
      <c r="M2245" s="366" t="s">
        <v>1297</v>
      </c>
      <c r="N2245" s="52" t="s">
        <v>2346</v>
      </c>
      <c r="O2245" s="51" t="e">
        <f>VLOOKUP(N2245,[2]!RUBROS[#All],3,0)</f>
        <v>#REF!</v>
      </c>
      <c r="P2245" s="53" t="e">
        <f>VLOOKUP(N2245,[2]!RUBROS[#All],2,0)</f>
        <v>#REF!</v>
      </c>
      <c r="Q2245" s="47" t="str">
        <f t="shared" ref="Q2245:Q2248" si="810">+MID(N2245,11,2)</f>
        <v>72</v>
      </c>
      <c r="R2245" s="47" t="str">
        <f t="shared" si="804"/>
        <v>0-205128</v>
      </c>
      <c r="S2245" s="54">
        <v>4</v>
      </c>
      <c r="T2245" s="59" t="s">
        <v>46</v>
      </c>
      <c r="U2245" s="326" t="e">
        <f ca="1">_xlfn.XLOOKUP(PAA_4[[#This Row],[ITEM]],[2]Contrato!A:A,[2]Contrato!Q:Q,"",0)</f>
        <v>#NAME?</v>
      </c>
      <c r="V2245" s="47" t="s">
        <v>95</v>
      </c>
      <c r="W2245" s="47" t="s">
        <v>203</v>
      </c>
      <c r="X2245" s="47" t="s">
        <v>203</v>
      </c>
      <c r="Y2245" s="55" t="e">
        <f ca="1">_xlfn.XLOOKUP(PAA_4[[#This Row],[ITEM]],[2]Contrato!A:A,[2]Contrato!B:B,"",0)</f>
        <v>#NAME?</v>
      </c>
      <c r="Z2245" s="47" t="e">
        <f ca="1">_xlfn.XLOOKUP(PAA_4[[#This Row],[ITEM]],[2]Contrato!A:A,[2]Contrato!G:G,"",0)</f>
        <v>#NAME?</v>
      </c>
      <c r="AA2245" s="47" t="e">
        <f ca="1">_xlfn.XLOOKUP(PAA_4[[#This Row],[ITEM]],[2]Contrato!A:A,[2]Contrato!T:T,"",0)</f>
        <v>#NAME?</v>
      </c>
      <c r="AB2245" s="55" t="e">
        <f ca="1">+MAX(PAA_4[[#This Row],[Comprometido Contrato]],PAA_4[[#This Row],[Comprometido Bolsa]])</f>
        <v>#NAME?</v>
      </c>
      <c r="AC2245" s="55" t="str">
        <f t="shared" ref="AC2245:AC2248" ca="1" si="811">IFERROR(I2245-AB2245,"")</f>
        <v/>
      </c>
      <c r="AD2245" s="55" t="e">
        <f ca="1">IF(PAA_4[[#This Row],[ESTADO (formulado)]]="NO CONTRATADO",0,MAX(PAA_4[[#This Row],[Pago por Contrato]],PAA_4[[#This Row],[Pago por bolsa]]))</f>
        <v>#NAME?</v>
      </c>
      <c r="AE2245" s="55" t="str">
        <f t="shared" ref="AE2245:AE2248" ca="1" si="812">+IFERROR(AB2245-AD2245,"")</f>
        <v/>
      </c>
      <c r="AF2245" s="47" t="e">
        <f t="shared" ref="AF2245:AF2248" ca="1" si="813">+CONCATENATE(AA2245,N2245)</f>
        <v>#NAME?</v>
      </c>
      <c r="AG2245" s="47">
        <f t="shared" ref="AG2245:AG2248" si="814">IFERROR(_xlfn.NUMBERVALUE(MID(G2245,1,8)),"")</f>
        <v>52010704</v>
      </c>
      <c r="AH2245" s="54">
        <f>IF(Q2245="22",IF(ISNUMBER(SEARCH("econ",PAA_4[[#This Row],[Actividad3]])),"Económico",IF(ISNUMBER(SEARCH("alim",PAA_4[[#This Row],[Actividad3]])),"Alimentación",IF(ISNUMBER(SEARCH("educ",PAA_4[[#This Row],[Actividad3]])),"Educativo","Técnico"))),0)</f>
        <v>0</v>
      </c>
      <c r="AI2245" s="47" t="e" cm="1">
        <f t="array" aca="1" ref="AI2245" ca="1">_xlfn.XLOOKUP(PAA_4[[#This Row],[RCP-RUBRO]],[2]!COMPROMISOS_2024[[#All],[concatenado]],[2]!COMPROMISOS_2024[[#All],[Total pagado]],"",0)</f>
        <v>#NAME?</v>
      </c>
      <c r="AJ2245" s="56">
        <f>IF(PAA_4[[#This Row],[BOLSA]]=0,0,SUMIFS([2]!COMPROMISOS_2024[[#All],[Total pagado]],[2]!COMPROMISOS_2024[[#All],[Bolsa]],PAA_4[[#This Row],[BOLSA]],[2]!COMPROMISOS_2024[[#All],[rubro]],PAA_4[[#This Row],[RCP-RUBRO]]))</f>
        <v>0</v>
      </c>
      <c r="AK2245" s="47" t="e" cm="1">
        <f t="array" aca="1" ref="AK2245" ca="1">_xlfn.XLOOKUP(PAA_4[[#This Row],[RCP-RUBRO]],[2]!COMPROMISOS_2024[[#All],[concatenado]],[2]!COMPROMISOS_2024[[#All],[Total Comprometido]],"",0)</f>
        <v>#NAME?</v>
      </c>
      <c r="AL2245" s="47">
        <f>IF(PAA_4[[#This Row],[BOLSA]]=0,0,SUMIFS([2]!COMPROMISOS_2024[[#All],[Total Comprometido]],[2]!COMPROMISOS_2024[[#All],[Bolsa]],PAA_4[[#This Row],[BOLSA]],[2]!COMPROMISOS_2024[[#All],[concatenado]],PAA_4[[#This Row],[RCP-RUBRO]]))</f>
        <v>0</v>
      </c>
    </row>
    <row r="2246" spans="1:38" s="19" customFormat="1" ht="31.5" customHeight="1">
      <c r="A2246" s="47" t="s">
        <v>82</v>
      </c>
      <c r="B2246" s="47" t="s">
        <v>42</v>
      </c>
      <c r="C2246" s="47" t="str">
        <f>VLOOKUP(PAA_4[[#This Row],[PROYECTO (formulado)2]],[2]PROYECTOS!$G$1:$L$32,6,0)</f>
        <v>SUBGERENCIA DE FOMENTO Y DESARROLLO</v>
      </c>
      <c r="D2246" s="47" t="str">
        <f>+IF(PAA_4[[#This Row],[UNIDAD DE CONTRATACION (formulado)]]="Subgerencia Administrativa y Financiera","FUNCIONAMIENTO","INVERSIÓN")</f>
        <v>INVERSIÓN</v>
      </c>
      <c r="E2246" s="48" t="str">
        <f>VLOOKUP(Q2246,[2]PROYECTOS!$G$1:$K$32,5,0)</f>
        <v>Fortalecimiento de los juegos deportivos institucionales en los municipios del departamento de Antioquia</v>
      </c>
      <c r="F2246" s="48">
        <f>VLOOKUP(E2246,[2]PROYECTOS!$K$1:$M$32,3,0)</f>
        <v>2024003050073</v>
      </c>
      <c r="G2246" s="49" t="s">
        <v>2399</v>
      </c>
      <c r="H2246" s="49" t="str">
        <f>VLOOKUP(Q2246,[2]PROYECTOS!$V$1:$W$32,2,0)</f>
        <v>050081</v>
      </c>
      <c r="I2246" s="78">
        <v>0</v>
      </c>
      <c r="J2246" s="51" t="s">
        <v>42</v>
      </c>
      <c r="K2246" s="47" t="str">
        <f t="shared" ca="1" si="809"/>
        <v>CONTRATADO</v>
      </c>
      <c r="L2246" s="47" t="s">
        <v>42</v>
      </c>
      <c r="M2246" s="366" t="s">
        <v>42</v>
      </c>
      <c r="N2246" s="52" t="s">
        <v>1357</v>
      </c>
      <c r="O2246" s="51" t="e">
        <f>VLOOKUP(N2246,[2]!RUBROS[#All],3,0)</f>
        <v>#REF!</v>
      </c>
      <c r="P2246" s="53" t="e">
        <f>VLOOKUP(N2246,[2]!RUBROS[#All],2,0)</f>
        <v>#REF!</v>
      </c>
      <c r="Q2246" s="47" t="str">
        <f t="shared" si="810"/>
        <v>73</v>
      </c>
      <c r="R2246" s="47" t="str">
        <f t="shared" si="804"/>
        <v>0-205128</v>
      </c>
      <c r="S2246" s="47" t="s">
        <v>42</v>
      </c>
      <c r="T2246" s="63" t="s">
        <v>42</v>
      </c>
      <c r="U2246" s="326" t="e">
        <f ca="1">_xlfn.XLOOKUP(PAA_4[[#This Row],[ITEM]],[2]Contrato!A:A,[2]Contrato!Q:Q,"",0)</f>
        <v>#NAME?</v>
      </c>
      <c r="V2246" s="47" t="s">
        <v>42</v>
      </c>
      <c r="W2246" s="47" t="s">
        <v>42</v>
      </c>
      <c r="X2246" s="47" t="s">
        <v>42</v>
      </c>
      <c r="Y2246" s="55" t="e">
        <f ca="1">_xlfn.XLOOKUP(PAA_4[[#This Row],[ITEM]],[2]Contrato!A:A,[2]Contrato!B:B,"",0)</f>
        <v>#NAME?</v>
      </c>
      <c r="Z2246" s="47" t="e">
        <f ca="1">_xlfn.XLOOKUP(PAA_4[[#This Row],[ITEM]],[2]Contrato!A:A,[2]Contrato!G:G,"",0)</f>
        <v>#NAME?</v>
      </c>
      <c r="AA2246" s="47" t="e">
        <f ca="1">_xlfn.XLOOKUP(PAA_4[[#This Row],[ITEM]],[2]Contrato!A:A,[2]Contrato!T:T,"",0)</f>
        <v>#NAME?</v>
      </c>
      <c r="AB2246" s="55" t="e">
        <f ca="1">+MAX(PAA_4[[#This Row],[Comprometido Contrato]],PAA_4[[#This Row],[Comprometido Bolsa]])</f>
        <v>#NAME?</v>
      </c>
      <c r="AC2246" s="55" t="str">
        <f t="shared" ca="1" si="811"/>
        <v/>
      </c>
      <c r="AD2246" s="55" t="e">
        <f ca="1">IF(PAA_4[[#This Row],[ESTADO (formulado)]]="NO CONTRATADO",0,MAX(PAA_4[[#This Row],[Pago por Contrato]],PAA_4[[#This Row],[Pago por bolsa]]))</f>
        <v>#NAME?</v>
      </c>
      <c r="AE2246" s="55" t="str">
        <f t="shared" ca="1" si="812"/>
        <v/>
      </c>
      <c r="AF2246" s="47" t="e">
        <f t="shared" ca="1" si="813"/>
        <v>#NAME?</v>
      </c>
      <c r="AG2246" s="47">
        <f t="shared" si="814"/>
        <v>52010703</v>
      </c>
      <c r="AH2246" s="54">
        <f>IF(Q2246="22",IF(ISNUMBER(SEARCH("econ",PAA_4[[#This Row],[Actividad3]])),"Económico",IF(ISNUMBER(SEARCH("alim",PAA_4[[#This Row],[Actividad3]])),"Alimentación",IF(ISNUMBER(SEARCH("educ",PAA_4[[#This Row],[Actividad3]])),"Educativo","Técnico"))),0)</f>
        <v>0</v>
      </c>
      <c r="AI2246" s="47" t="e" cm="1">
        <f t="array" aca="1" ref="AI2246" ca="1">_xlfn.XLOOKUP(PAA_4[[#This Row],[RCP-RUBRO]],[2]!COMPROMISOS_2024[[#All],[concatenado]],[2]!COMPROMISOS_2024[[#All],[Total pagado]],"",0)</f>
        <v>#NAME?</v>
      </c>
      <c r="AJ2246" s="56">
        <f>IF(PAA_4[[#This Row],[BOLSA]]=0,0,SUMIFS([2]!COMPROMISOS_2024[[#All],[Total pagado]],[2]!COMPROMISOS_2024[[#All],[Bolsa]],PAA_4[[#This Row],[BOLSA]],[2]!COMPROMISOS_2024[[#All],[rubro]],PAA_4[[#This Row],[RCP-RUBRO]]))</f>
        <v>0</v>
      </c>
      <c r="AK2246" s="47" t="e" cm="1">
        <f t="array" aca="1" ref="AK2246" ca="1">_xlfn.XLOOKUP(PAA_4[[#This Row],[RCP-RUBRO]],[2]!COMPROMISOS_2024[[#All],[concatenado]],[2]!COMPROMISOS_2024[[#All],[Total Comprometido]],"",0)</f>
        <v>#NAME?</v>
      </c>
      <c r="AL2246" s="47">
        <f>IF(PAA_4[[#This Row],[BOLSA]]=0,0,SUMIFS([2]!COMPROMISOS_2024[[#All],[Total Comprometido]],[2]!COMPROMISOS_2024[[#All],[Bolsa]],PAA_4[[#This Row],[BOLSA]],[2]!COMPROMISOS_2024[[#All],[concatenado]],PAA_4[[#This Row],[RCP-RUBRO]]))</f>
        <v>0</v>
      </c>
    </row>
    <row r="2247" spans="1:38" s="19" customFormat="1" ht="31.5" customHeight="1">
      <c r="A2247" s="47">
        <v>1103</v>
      </c>
      <c r="B2247" s="47">
        <v>80111600</v>
      </c>
      <c r="C2247" s="47" t="str">
        <f>VLOOKUP(PAA_4[[#This Row],[PROYECTO (formulado)2]],[2]PROYECTOS!$G$1:$L$32,6,0)</f>
        <v>SUBGERENCIA DE FOMENTO Y DESARROLLO</v>
      </c>
      <c r="D2247" s="47" t="str">
        <f>+IF(PAA_4[[#This Row],[UNIDAD DE CONTRATACION (formulado)]]="Subgerencia Administrativa y Financiera","FUNCIONAMIENTO","INVERSIÓN")</f>
        <v>INVERSIÓN</v>
      </c>
      <c r="E2247" s="48" t="str">
        <f>VLOOKUP(Q2247,[2]PROYECTOS!$G$1:$K$32,5,0)</f>
        <v>Fortalecimiento de los juegos deportivos institucionales en los municipios del departamento de Antioquia</v>
      </c>
      <c r="F2247" s="48">
        <f>VLOOKUP(E2247,[2]PROYECTOS!$K$1:$M$32,3,0)</f>
        <v>2024003050073</v>
      </c>
      <c r="G2247" s="49" t="s">
        <v>2399</v>
      </c>
      <c r="H2247" s="49" t="str">
        <f>VLOOKUP(Q2247,[2]PROYECTOS!$V$1:$W$32,2,0)</f>
        <v>050081</v>
      </c>
      <c r="I2247" s="78">
        <f>43095000-7735000</f>
        <v>35360000</v>
      </c>
      <c r="J2247" s="51" t="s">
        <v>2410</v>
      </c>
      <c r="K2247" s="47" t="str">
        <f t="shared" ca="1" si="809"/>
        <v>CONTRATADO</v>
      </c>
      <c r="L2247" s="47" t="s">
        <v>94</v>
      </c>
      <c r="M2247" s="366" t="s">
        <v>1297</v>
      </c>
      <c r="N2247" s="52" t="s">
        <v>1357</v>
      </c>
      <c r="O2247" s="51" t="e">
        <f>VLOOKUP(N2247,[2]!RUBROS[#All],3,0)</f>
        <v>#REF!</v>
      </c>
      <c r="P2247" s="53" t="e">
        <f>VLOOKUP(N2247,[2]!RUBROS[#All],2,0)</f>
        <v>#REF!</v>
      </c>
      <c r="Q2247" s="47" t="str">
        <f t="shared" si="810"/>
        <v>73</v>
      </c>
      <c r="R2247" s="47" t="str">
        <f t="shared" si="804"/>
        <v>0-205128</v>
      </c>
      <c r="S2247" s="54">
        <v>4</v>
      </c>
      <c r="T2247" s="59" t="s">
        <v>46</v>
      </c>
      <c r="U2247" s="326" t="e">
        <f ca="1">_xlfn.XLOOKUP(PAA_4[[#This Row],[ITEM]],[2]Contrato!A:A,[2]Contrato!Q:Q,"",0)</f>
        <v>#NAME?</v>
      </c>
      <c r="V2247" s="47" t="s">
        <v>95</v>
      </c>
      <c r="W2247" s="47" t="s">
        <v>203</v>
      </c>
      <c r="X2247" s="47" t="s">
        <v>203</v>
      </c>
      <c r="Y2247" s="55" t="e">
        <f ca="1">_xlfn.XLOOKUP(PAA_4[[#This Row],[ITEM]],[2]Contrato!A:A,[2]Contrato!B:B,"",0)</f>
        <v>#NAME?</v>
      </c>
      <c r="Z2247" s="47" t="e">
        <f ca="1">_xlfn.XLOOKUP(PAA_4[[#This Row],[ITEM]],[2]Contrato!A:A,[2]Contrato!G:G,"",0)</f>
        <v>#NAME?</v>
      </c>
      <c r="AA2247" s="47" t="e">
        <f ca="1">_xlfn.XLOOKUP(PAA_4[[#This Row],[ITEM]],[2]Contrato!A:A,[2]Contrato!T:T,"",0)</f>
        <v>#NAME?</v>
      </c>
      <c r="AB2247" s="55" t="e">
        <f ca="1">+MAX(PAA_4[[#This Row],[Comprometido Contrato]],PAA_4[[#This Row],[Comprometido Bolsa]])</f>
        <v>#NAME?</v>
      </c>
      <c r="AC2247" s="55" t="str">
        <f t="shared" ca="1" si="811"/>
        <v/>
      </c>
      <c r="AD2247" s="55" t="e">
        <f ca="1">IF(PAA_4[[#This Row],[ESTADO (formulado)]]="NO CONTRATADO",0,MAX(PAA_4[[#This Row],[Pago por Contrato]],PAA_4[[#This Row],[Pago por bolsa]]))</f>
        <v>#NAME?</v>
      </c>
      <c r="AE2247" s="55" t="str">
        <f t="shared" ca="1" si="812"/>
        <v/>
      </c>
      <c r="AF2247" s="47" t="e">
        <f t="shared" ca="1" si="813"/>
        <v>#NAME?</v>
      </c>
      <c r="AG2247" s="47">
        <f t="shared" si="814"/>
        <v>52010703</v>
      </c>
      <c r="AH2247" s="54">
        <f>IF(Q2247="22",IF(ISNUMBER(SEARCH("econ",PAA_4[[#This Row],[Actividad3]])),"Económico",IF(ISNUMBER(SEARCH("alim",PAA_4[[#This Row],[Actividad3]])),"Alimentación",IF(ISNUMBER(SEARCH("educ",PAA_4[[#This Row],[Actividad3]])),"Educativo","Técnico"))),0)</f>
        <v>0</v>
      </c>
      <c r="AI2247" s="47" t="e" cm="1">
        <f t="array" aca="1" ref="AI2247" ca="1">_xlfn.XLOOKUP(PAA_4[[#This Row],[RCP-RUBRO]],[2]!COMPROMISOS_2024[[#All],[concatenado]],[2]!COMPROMISOS_2024[[#All],[Total pagado]],"",0)</f>
        <v>#NAME?</v>
      </c>
      <c r="AJ2247" s="56">
        <f>IF(PAA_4[[#This Row],[BOLSA]]=0,0,SUMIFS([2]!COMPROMISOS_2024[[#All],[Total pagado]],[2]!COMPROMISOS_2024[[#All],[Bolsa]],PAA_4[[#This Row],[BOLSA]],[2]!COMPROMISOS_2024[[#All],[rubro]],PAA_4[[#This Row],[RCP-RUBRO]]))</f>
        <v>0</v>
      </c>
      <c r="AK2247" s="47" t="e" cm="1">
        <f t="array" aca="1" ref="AK2247" ca="1">_xlfn.XLOOKUP(PAA_4[[#This Row],[RCP-RUBRO]],[2]!COMPROMISOS_2024[[#All],[concatenado]],[2]!COMPROMISOS_2024[[#All],[Total Comprometido]],"",0)</f>
        <v>#NAME?</v>
      </c>
      <c r="AL2247" s="47">
        <f>IF(PAA_4[[#This Row],[BOLSA]]=0,0,SUMIFS([2]!COMPROMISOS_2024[[#All],[Total Comprometido]],[2]!COMPROMISOS_2024[[#All],[Bolsa]],PAA_4[[#This Row],[BOLSA]],[2]!COMPROMISOS_2024[[#All],[concatenado]],PAA_4[[#This Row],[RCP-RUBRO]]))</f>
        <v>0</v>
      </c>
    </row>
    <row r="2248" spans="1:38" s="19" customFormat="1" ht="31.5" customHeight="1">
      <c r="A2248" s="47" t="s">
        <v>82</v>
      </c>
      <c r="B2248" s="47" t="s">
        <v>42</v>
      </c>
      <c r="C2248" s="47" t="str">
        <f>VLOOKUP(PAA_4[[#This Row],[PROYECTO (formulado)2]],[2]PROYECTOS!$G$1:$L$32,6,0)</f>
        <v>SUBGERENCIA DE FOMENTO Y DESARROLLO</v>
      </c>
      <c r="D2248" s="47" t="str">
        <f>+IF(PAA_4[[#This Row],[UNIDAD DE CONTRATACION (formulado)]]="Subgerencia Administrativa y Financiera","FUNCIONAMIENTO","INVERSIÓN")</f>
        <v>INVERSIÓN</v>
      </c>
      <c r="E2248" s="48" t="str">
        <f>VLOOKUP(Q2248,[2]PROYECTOS!$G$1:$K$32,5,0)</f>
        <v>Fortalecimiento de los juegos deportivos institucionales en los municipios del departamento de Antioquia</v>
      </c>
      <c r="F2248" s="48">
        <f>VLOOKUP(E2248,[2]PROYECTOS!$K$1:$M$32,3,0)</f>
        <v>2024003050073</v>
      </c>
      <c r="G2248" s="49" t="s">
        <v>2399</v>
      </c>
      <c r="H2248" s="49" t="str">
        <f>VLOOKUP(Q2248,[2]PROYECTOS!$V$1:$W$32,2,0)</f>
        <v>050081</v>
      </c>
      <c r="I2248" s="78">
        <v>0</v>
      </c>
      <c r="J2248" s="51" t="s">
        <v>42</v>
      </c>
      <c r="K2248" s="47" t="str">
        <f t="shared" ca="1" si="809"/>
        <v>CONTRATADO</v>
      </c>
      <c r="L2248" s="47" t="s">
        <v>42</v>
      </c>
      <c r="M2248" s="366" t="s">
        <v>42</v>
      </c>
      <c r="N2248" s="52" t="s">
        <v>1357</v>
      </c>
      <c r="O2248" s="51" t="e">
        <f>VLOOKUP(N2248,[2]!RUBROS[#All],3,0)</f>
        <v>#REF!</v>
      </c>
      <c r="P2248" s="53" t="e">
        <f>VLOOKUP(N2248,[2]!RUBROS[#All],2,0)</f>
        <v>#REF!</v>
      </c>
      <c r="Q2248" s="47" t="str">
        <f t="shared" si="810"/>
        <v>73</v>
      </c>
      <c r="R2248" s="47" t="str">
        <f t="shared" si="804"/>
        <v>0-205128</v>
      </c>
      <c r="S2248" s="47" t="s">
        <v>42</v>
      </c>
      <c r="T2248" s="63" t="s">
        <v>42</v>
      </c>
      <c r="U2248" s="326" t="e">
        <f ca="1">_xlfn.XLOOKUP(PAA_4[[#This Row],[ITEM]],[2]Contrato!A:A,[2]Contrato!Q:Q,"",0)</f>
        <v>#NAME?</v>
      </c>
      <c r="V2248" s="47" t="s">
        <v>42</v>
      </c>
      <c r="W2248" s="47" t="s">
        <v>42</v>
      </c>
      <c r="X2248" s="47" t="s">
        <v>42</v>
      </c>
      <c r="Y2248" s="55" t="e">
        <f ca="1">_xlfn.XLOOKUP(PAA_4[[#This Row],[ITEM]],[2]Contrato!A:A,[2]Contrato!B:B,"",0)</f>
        <v>#NAME?</v>
      </c>
      <c r="Z2248" s="47" t="e">
        <f ca="1">_xlfn.XLOOKUP(PAA_4[[#This Row],[ITEM]],[2]Contrato!A:A,[2]Contrato!G:G,"",0)</f>
        <v>#NAME?</v>
      </c>
      <c r="AA2248" s="47" t="e">
        <f ca="1">_xlfn.XLOOKUP(PAA_4[[#This Row],[ITEM]],[2]Contrato!A:A,[2]Contrato!T:T,"",0)</f>
        <v>#NAME?</v>
      </c>
      <c r="AB2248" s="55" t="e">
        <f ca="1">+MAX(PAA_4[[#This Row],[Comprometido Contrato]],PAA_4[[#This Row],[Comprometido Bolsa]])</f>
        <v>#NAME?</v>
      </c>
      <c r="AC2248" s="55" t="str">
        <f t="shared" ca="1" si="811"/>
        <v/>
      </c>
      <c r="AD2248" s="55" t="e">
        <f ca="1">IF(PAA_4[[#This Row],[ESTADO (formulado)]]="NO CONTRATADO",0,MAX(PAA_4[[#This Row],[Pago por Contrato]],PAA_4[[#This Row],[Pago por bolsa]]))</f>
        <v>#NAME?</v>
      </c>
      <c r="AE2248" s="55" t="str">
        <f t="shared" ca="1" si="812"/>
        <v/>
      </c>
      <c r="AF2248" s="47" t="e">
        <f t="shared" ca="1" si="813"/>
        <v>#NAME?</v>
      </c>
      <c r="AG2248" s="47">
        <f t="shared" si="814"/>
        <v>52010703</v>
      </c>
      <c r="AH2248" s="54">
        <f>IF(Q2248="22",IF(ISNUMBER(SEARCH("econ",PAA_4[[#This Row],[Actividad3]])),"Económico",IF(ISNUMBER(SEARCH("alim",PAA_4[[#This Row],[Actividad3]])),"Alimentación",IF(ISNUMBER(SEARCH("educ",PAA_4[[#This Row],[Actividad3]])),"Educativo","Técnico"))),0)</f>
        <v>0</v>
      </c>
      <c r="AI2248" s="47" t="e" cm="1">
        <f t="array" aca="1" ref="AI2248" ca="1">_xlfn.XLOOKUP(PAA_4[[#This Row],[RCP-RUBRO]],[2]!COMPROMISOS_2024[[#All],[concatenado]],[2]!COMPROMISOS_2024[[#All],[Total pagado]],"",0)</f>
        <v>#NAME?</v>
      </c>
      <c r="AJ2248" s="56">
        <f>IF(PAA_4[[#This Row],[BOLSA]]=0,0,SUMIFS([2]!COMPROMISOS_2024[[#All],[Total pagado]],[2]!COMPROMISOS_2024[[#All],[Bolsa]],PAA_4[[#This Row],[BOLSA]],[2]!COMPROMISOS_2024[[#All],[rubro]],PAA_4[[#This Row],[RCP-RUBRO]]))</f>
        <v>0</v>
      </c>
      <c r="AK2248" s="47" t="e" cm="1">
        <f t="array" aca="1" ref="AK2248" ca="1">_xlfn.XLOOKUP(PAA_4[[#This Row],[RCP-RUBRO]],[2]!COMPROMISOS_2024[[#All],[concatenado]],[2]!COMPROMISOS_2024[[#All],[Total Comprometido]],"",0)</f>
        <v>#NAME?</v>
      </c>
      <c r="AL2248" s="47">
        <f>IF(PAA_4[[#This Row],[BOLSA]]=0,0,SUMIFS([2]!COMPROMISOS_2024[[#All],[Total Comprometido]],[2]!COMPROMISOS_2024[[#All],[Bolsa]],PAA_4[[#This Row],[BOLSA]],[2]!COMPROMISOS_2024[[#All],[concatenado]],PAA_4[[#This Row],[RCP-RUBRO]]))</f>
        <v>0</v>
      </c>
    </row>
    <row r="2249" spans="1:38" s="19" customFormat="1" ht="31.5" customHeight="1">
      <c r="A2249" s="47" t="s">
        <v>82</v>
      </c>
      <c r="B2249" s="47" t="s">
        <v>42</v>
      </c>
      <c r="C2249" s="47" t="str">
        <f>VLOOKUP(PAA_4[[#This Row],[PROYECTO (formulado)2]],[2]PROYECTOS!$G$1:$L$32,6,0)</f>
        <v>SUBGERENCIA DE FOMENTO Y DESARROLLO</v>
      </c>
      <c r="D2249" s="47" t="str">
        <f>+IF(PAA_4[[#This Row],[UNIDAD DE CONTRATACION (formulado)]]="Subgerencia Administrativa y Financiera","FUNCIONAMIENTO","INVERSIÓN")</f>
        <v>INVERSIÓN</v>
      </c>
      <c r="E2249" s="48" t="str">
        <f>VLOOKUP(Q2249,[2]PROYECTOS!$G$1:$K$32,5,0)</f>
        <v>Fortalecimiento de los juegos deportivos institucionales en los municipios del departamento de Antioquia</v>
      </c>
      <c r="F2249" s="48">
        <f>VLOOKUP(E2249,[2]PROYECTOS!$K$1:$M$32,3,0)</f>
        <v>2024003050073</v>
      </c>
      <c r="G2249" s="49" t="s">
        <v>2399</v>
      </c>
      <c r="H2249" s="49" t="str">
        <f>VLOOKUP(Q2249,[2]PROYECTOS!$V$1:$W$32,2,0)</f>
        <v>050081</v>
      </c>
      <c r="I2249" s="78">
        <v>1733333</v>
      </c>
      <c r="J2249" s="51" t="s">
        <v>1851</v>
      </c>
      <c r="K2249" s="47" t="str">
        <f ca="1">IF(ISNONTEXT(Y2249)=TRUE,"CONTRATADO","NO CONTRATADO")</f>
        <v>CONTRATADO</v>
      </c>
      <c r="L2249" s="47" t="s">
        <v>42</v>
      </c>
      <c r="M2249" s="47" t="s">
        <v>42</v>
      </c>
      <c r="N2249" s="52" t="s">
        <v>1357</v>
      </c>
      <c r="O2249" s="51" t="e">
        <f>VLOOKUP(N2249,[2]!RUBROS[#All],3,0)</f>
        <v>#REF!</v>
      </c>
      <c r="P2249" s="53" t="e">
        <f>VLOOKUP(N2249,[2]!RUBROS[#All],2,0)</f>
        <v>#REF!</v>
      </c>
      <c r="Q2249" s="47" t="str">
        <f>+MID(N2249,11,2)</f>
        <v>73</v>
      </c>
      <c r="R2249" s="47" t="str">
        <f>+MID(N2249,14,8)</f>
        <v>0-205128</v>
      </c>
      <c r="S2249" s="54" t="s">
        <v>42</v>
      </c>
      <c r="T2249" s="63" t="s">
        <v>42</v>
      </c>
      <c r="U2249" s="326" t="e">
        <f ca="1">_xlfn.XLOOKUP(PAA_4[[#This Row],[ITEM]],[2]Contrato!A:A,[2]Contrato!Q:Q,"",0)</f>
        <v>#NAME?</v>
      </c>
      <c r="V2249" s="47" t="s">
        <v>95</v>
      </c>
      <c r="W2249" s="47" t="s">
        <v>42</v>
      </c>
      <c r="X2249" s="47" t="s">
        <v>42</v>
      </c>
      <c r="Y2249" s="55" t="e">
        <f ca="1">_xlfn.XLOOKUP(PAA_4[[#This Row],[ITEM]],[2]Contrato!A:A,[2]Contrato!B:B,"",0)</f>
        <v>#NAME?</v>
      </c>
      <c r="Z2249" s="47" t="e">
        <f ca="1">_xlfn.XLOOKUP(PAA_4[[#This Row],[ITEM]],[2]Contrato!A:A,[2]Contrato!G:G,"",0)</f>
        <v>#NAME?</v>
      </c>
      <c r="AA2249" s="47" t="e">
        <f ca="1">_xlfn.XLOOKUP(PAA_4[[#This Row],[ITEM]],[2]Contrato!A:A,[2]Contrato!T:T,"",0)</f>
        <v>#NAME?</v>
      </c>
      <c r="AB2249" s="55" t="e">
        <f ca="1">+MAX(PAA_4[[#This Row],[Comprometido Contrato]],PAA_4[[#This Row],[Comprometido Bolsa]])</f>
        <v>#NAME?</v>
      </c>
      <c r="AC2249" s="55" t="str">
        <f ca="1">IFERROR(I2249-AB2249,"")</f>
        <v/>
      </c>
      <c r="AD2249" s="55" t="e">
        <f ca="1">IF(PAA_4[[#This Row],[ESTADO (formulado)]]="NO CONTRATADO",0,MAX(PAA_4[[#This Row],[Pago por Contrato]],PAA_4[[#This Row],[Pago por bolsa]]))</f>
        <v>#NAME?</v>
      </c>
      <c r="AE2249" s="55" t="str">
        <f ca="1">+IFERROR(AB2249-AD2249,"")</f>
        <v/>
      </c>
      <c r="AF2249" s="47" t="e">
        <f ca="1">+CONCATENATE(AA2249,N2249)</f>
        <v>#NAME?</v>
      </c>
      <c r="AG2249" s="47">
        <f>IFERROR(_xlfn.NUMBERVALUE(MID(G2249,1,8)),"")</f>
        <v>52010703</v>
      </c>
      <c r="AH2249" s="54">
        <f>IF(Q2249="22",IF(ISNUMBER(SEARCH("econ",PAA_4[[#This Row],[Actividad3]])),"Económico",IF(ISNUMBER(SEARCH("alim",PAA_4[[#This Row],[Actividad3]])),"Alimentación",IF(ISNUMBER(SEARCH("educ",PAA_4[[#This Row],[Actividad3]])),"Educativo","Técnico"))),0)</f>
        <v>0</v>
      </c>
      <c r="AI2249" s="47" t="e" cm="1">
        <f t="array" aca="1" ref="AI2249" ca="1">_xlfn.XLOOKUP(PAA_4[[#This Row],[RCP-RUBRO]],[2]!COMPROMISOS_2024[[#All],[concatenado]],[2]!COMPROMISOS_2024[[#All],[Total pagado]],"",0)</f>
        <v>#NAME?</v>
      </c>
      <c r="AJ2249" s="56">
        <f>IF(PAA_4[[#This Row],[BOLSA]]=0,0,SUMIFS([2]!COMPROMISOS_2024[[#All],[Total pagado]],[2]!COMPROMISOS_2024[[#All],[Bolsa]],PAA_4[[#This Row],[BOLSA]],[2]!COMPROMISOS_2024[[#All],[rubro]],PAA_4[[#This Row],[RCP-RUBRO]]))</f>
        <v>0</v>
      </c>
      <c r="AK2249" s="47" t="e" cm="1">
        <f t="array" aca="1" ref="AK2249" ca="1">_xlfn.XLOOKUP(PAA_4[[#This Row],[RCP-RUBRO]],[2]!COMPROMISOS_2024[[#All],[concatenado]],[2]!COMPROMISOS_2024[[#All],[Total Comprometido]],"",0)</f>
        <v>#NAME?</v>
      </c>
      <c r="AL2249" s="47">
        <f>IF(PAA_4[[#This Row],[BOLSA]]=0,0,SUMIFS([2]!COMPROMISOS_2024[[#All],[Total Comprometido]],[2]!COMPROMISOS_2024[[#All],[Bolsa]],PAA_4[[#This Row],[BOLSA]],[2]!COMPROMISOS_2024[[#All],[concatenado]],PAA_4[[#This Row],[RCP-RUBRO]]))</f>
        <v>0</v>
      </c>
    </row>
    <row r="2250" spans="1:38" s="19" customFormat="1" ht="31.5" customHeight="1">
      <c r="A2250" s="47">
        <v>1104</v>
      </c>
      <c r="B2250" s="47">
        <v>80111600</v>
      </c>
      <c r="C2250" s="47" t="str">
        <f>VLOOKUP(PAA_4[[#This Row],[PROYECTO (formulado)2]],[2]PROYECTOS!$G$1:$L$32,6,0)</f>
        <v>SUBGERENCIA DE FOMENTO Y DESARROLLO</v>
      </c>
      <c r="D2250" s="47" t="str">
        <f>+IF(PAA_4[[#This Row],[UNIDAD DE CONTRATACION (formulado)]]="Subgerencia Administrativa y Financiera","FUNCIONAMIENTO","INVERSIÓN")</f>
        <v>INVERSIÓN</v>
      </c>
      <c r="E2250" s="48" t="str">
        <f>VLOOKUP(Q2250,[2]PROYECTOS!$G$1:$K$32,5,0)</f>
        <v>Fortalecimiento de los juegos deportivos institucionales en los municipios del departamento de Antioquia</v>
      </c>
      <c r="F2250" s="48">
        <f>VLOOKUP(E2250,[2]PROYECTOS!$K$1:$M$32,3,0)</f>
        <v>2024003050073</v>
      </c>
      <c r="G2250" s="49" t="s">
        <v>2399</v>
      </c>
      <c r="H2250" s="49" t="str">
        <f>VLOOKUP(Q2250,[2]PROYECTOS!$V$1:$W$32,2,0)</f>
        <v>050081</v>
      </c>
      <c r="I2250" s="78">
        <f>20280000-866667-1733333</f>
        <v>17680000</v>
      </c>
      <c r="J2250" s="51" t="s">
        <v>2411</v>
      </c>
      <c r="K2250" s="47" t="str">
        <f t="shared" ref="K2250:K2256" ca="1" si="815">IF(ISNONTEXT(Y2250)=TRUE,"CONTRATADO","NO CONTRATADO")</f>
        <v>CONTRATADO</v>
      </c>
      <c r="L2250" s="47" t="s">
        <v>94</v>
      </c>
      <c r="M2250" s="366" t="s">
        <v>1297</v>
      </c>
      <c r="N2250" s="52" t="s">
        <v>1357</v>
      </c>
      <c r="O2250" s="51" t="e">
        <f>VLOOKUP(N2250,[2]!RUBROS[#All],3,0)</f>
        <v>#REF!</v>
      </c>
      <c r="P2250" s="53" t="e">
        <f>VLOOKUP(N2250,[2]!RUBROS[#All],2,0)</f>
        <v>#REF!</v>
      </c>
      <c r="Q2250" s="47" t="str">
        <f t="shared" ref="Q2250:Q2256" si="816">+MID(N2250,11,2)</f>
        <v>73</v>
      </c>
      <c r="R2250" s="47" t="str">
        <f t="shared" ref="R2250:R2256" si="817">+MID(N2250,14,8)</f>
        <v>0-205128</v>
      </c>
      <c r="S2250" s="54">
        <v>4</v>
      </c>
      <c r="T2250" s="59" t="s">
        <v>46</v>
      </c>
      <c r="U2250" s="326" t="e">
        <f ca="1">_xlfn.XLOOKUP(PAA_4[[#This Row],[ITEM]],[2]Contrato!A:A,[2]Contrato!Q:Q,"",0)</f>
        <v>#NAME?</v>
      </c>
      <c r="V2250" s="47" t="s">
        <v>95</v>
      </c>
      <c r="W2250" s="47" t="s">
        <v>203</v>
      </c>
      <c r="X2250" s="47" t="s">
        <v>203</v>
      </c>
      <c r="Y2250" s="55" t="e">
        <f ca="1">_xlfn.XLOOKUP(PAA_4[[#This Row],[ITEM]],[2]Contrato!A:A,[2]Contrato!B:B,"",0)</f>
        <v>#NAME?</v>
      </c>
      <c r="Z2250" s="47" t="e">
        <f ca="1">_xlfn.XLOOKUP(PAA_4[[#This Row],[ITEM]],[2]Contrato!A:A,[2]Contrato!G:G,"",0)</f>
        <v>#NAME?</v>
      </c>
      <c r="AA2250" s="47" t="e">
        <f ca="1">_xlfn.XLOOKUP(PAA_4[[#This Row],[ITEM]],[2]Contrato!A:A,[2]Contrato!T:T,"",0)</f>
        <v>#NAME?</v>
      </c>
      <c r="AB2250" s="55" t="e">
        <f ca="1">+MAX(PAA_4[[#This Row],[Comprometido Contrato]],PAA_4[[#This Row],[Comprometido Bolsa]])</f>
        <v>#NAME?</v>
      </c>
      <c r="AC2250" s="55" t="str">
        <f t="shared" ref="AC2250:AC2256" ca="1" si="818">IFERROR(I2250-AB2250,"")</f>
        <v/>
      </c>
      <c r="AD2250" s="55" t="e">
        <f ca="1">IF(PAA_4[[#This Row],[ESTADO (formulado)]]="NO CONTRATADO",0,MAX(PAA_4[[#This Row],[Pago por Contrato]],PAA_4[[#This Row],[Pago por bolsa]]))</f>
        <v>#NAME?</v>
      </c>
      <c r="AE2250" s="55" t="str">
        <f t="shared" ref="AE2250:AE2256" ca="1" si="819">+IFERROR(AB2250-AD2250,"")</f>
        <v/>
      </c>
      <c r="AF2250" s="47" t="e">
        <f t="shared" ref="AF2250:AF2256" ca="1" si="820">+CONCATENATE(AA2250,N2250)</f>
        <v>#NAME?</v>
      </c>
      <c r="AG2250" s="47">
        <f t="shared" ref="AG2250:AG2256" si="821">IFERROR(_xlfn.NUMBERVALUE(MID(G2250,1,8)),"")</f>
        <v>52010703</v>
      </c>
      <c r="AH2250" s="54">
        <f>IF(Q2250="22",IF(ISNUMBER(SEARCH("econ",PAA_4[[#This Row],[Actividad3]])),"Económico",IF(ISNUMBER(SEARCH("alim",PAA_4[[#This Row],[Actividad3]])),"Alimentación",IF(ISNUMBER(SEARCH("educ",PAA_4[[#This Row],[Actividad3]])),"Educativo","Técnico"))),0)</f>
        <v>0</v>
      </c>
      <c r="AI2250" s="47" t="e" cm="1">
        <f t="array" aca="1" ref="AI2250" ca="1">_xlfn.XLOOKUP(PAA_4[[#This Row],[RCP-RUBRO]],[2]!COMPROMISOS_2024[[#All],[concatenado]],[2]!COMPROMISOS_2024[[#All],[Total pagado]],"",0)</f>
        <v>#NAME?</v>
      </c>
      <c r="AJ2250" s="56">
        <f>IF(PAA_4[[#This Row],[BOLSA]]=0,0,SUMIFS([2]!COMPROMISOS_2024[[#All],[Total pagado]],[2]!COMPROMISOS_2024[[#All],[Bolsa]],PAA_4[[#This Row],[BOLSA]],[2]!COMPROMISOS_2024[[#All],[rubro]],PAA_4[[#This Row],[RCP-RUBRO]]))</f>
        <v>0</v>
      </c>
      <c r="AK2250" s="47" t="e" cm="1">
        <f t="array" aca="1" ref="AK2250" ca="1">_xlfn.XLOOKUP(PAA_4[[#This Row],[RCP-RUBRO]],[2]!COMPROMISOS_2024[[#All],[concatenado]],[2]!COMPROMISOS_2024[[#All],[Total Comprometido]],"",0)</f>
        <v>#NAME?</v>
      </c>
      <c r="AL2250" s="47">
        <f>IF(PAA_4[[#This Row],[BOLSA]]=0,0,SUMIFS([2]!COMPROMISOS_2024[[#All],[Total Comprometido]],[2]!COMPROMISOS_2024[[#All],[Bolsa]],PAA_4[[#This Row],[BOLSA]],[2]!COMPROMISOS_2024[[#All],[concatenado]],PAA_4[[#This Row],[RCP-RUBRO]]))</f>
        <v>0</v>
      </c>
    </row>
    <row r="2251" spans="1:38" s="19" customFormat="1" ht="31.5" customHeight="1">
      <c r="A2251" s="47">
        <v>1105</v>
      </c>
      <c r="B2251" s="47">
        <v>80111600</v>
      </c>
      <c r="C2251" s="47" t="str">
        <f>VLOOKUP(PAA_4[[#This Row],[PROYECTO (formulado)2]],[2]PROYECTOS!$G$1:$L$32,6,0)</f>
        <v>SUBGERENCIA DE FOMENTO Y DESARROLLO</v>
      </c>
      <c r="D2251" s="47" t="str">
        <f>+IF(PAA_4[[#This Row],[UNIDAD DE CONTRATACION (formulado)]]="Subgerencia Administrativa y Financiera","FUNCIONAMIENTO","INVERSIÓN")</f>
        <v>INVERSIÓN</v>
      </c>
      <c r="E2251" s="48" t="str">
        <f>VLOOKUP(Q2251,[2]PROYECTOS!$G$1:$K$32,5,0)</f>
        <v>Desarrollo y promoción del deporte formativo, la recreación y la actividad física en el departamento Antioquia</v>
      </c>
      <c r="F2251" s="48">
        <f>VLOOKUP(E2251,[2]PROYECTOS!$K$1:$M$32,3,0)</f>
        <v>2024003050101</v>
      </c>
      <c r="G2251" s="49" t="s">
        <v>2384</v>
      </c>
      <c r="H2251" s="49" t="str">
        <f>VLOOKUP(Q2251,[2]PROYECTOS!$V$1:$W$32,2,0)</f>
        <v>050075</v>
      </c>
      <c r="I2251" s="78">
        <v>0</v>
      </c>
      <c r="J2251" s="51" t="s">
        <v>42</v>
      </c>
      <c r="K2251" s="47" t="str">
        <f t="shared" ca="1" si="815"/>
        <v>CONTRATADO</v>
      </c>
      <c r="L2251" s="47" t="s">
        <v>94</v>
      </c>
      <c r="M2251" s="366" t="s">
        <v>1297</v>
      </c>
      <c r="N2251" s="52" t="s">
        <v>2356</v>
      </c>
      <c r="O2251" s="51" t="e">
        <f>VLOOKUP(N2251,[2]!RUBROS[#All],3,0)</f>
        <v>#REF!</v>
      </c>
      <c r="P2251" s="53" t="e">
        <f>VLOOKUP(N2251,[2]!RUBROS[#All],2,0)</f>
        <v>#REF!</v>
      </c>
      <c r="Q2251" s="47" t="str">
        <f t="shared" si="816"/>
        <v>01</v>
      </c>
      <c r="R2251" s="47" t="str">
        <f t="shared" si="817"/>
        <v>0-205128</v>
      </c>
      <c r="S2251" s="54">
        <v>4</v>
      </c>
      <c r="T2251" s="59" t="s">
        <v>46</v>
      </c>
      <c r="U2251" s="326" t="e">
        <f ca="1">_xlfn.XLOOKUP(PAA_4[[#This Row],[ITEM]],[2]Contrato!A:A,[2]Contrato!Q:Q,"",0)</f>
        <v>#NAME?</v>
      </c>
      <c r="V2251" s="47" t="s">
        <v>95</v>
      </c>
      <c r="W2251" s="47" t="s">
        <v>42</v>
      </c>
      <c r="X2251" s="47" t="s">
        <v>42</v>
      </c>
      <c r="Y2251" s="55" t="e">
        <f ca="1">_xlfn.XLOOKUP(PAA_4[[#This Row],[ITEM]],[2]Contrato!A:A,[2]Contrato!B:B,"",0)</f>
        <v>#NAME?</v>
      </c>
      <c r="Z2251" s="47" t="e">
        <f ca="1">_xlfn.XLOOKUP(PAA_4[[#This Row],[ITEM]],[2]Contrato!A:A,[2]Contrato!G:G,"",0)</f>
        <v>#NAME?</v>
      </c>
      <c r="AA2251" s="47" t="e">
        <f ca="1">_xlfn.XLOOKUP(PAA_4[[#This Row],[ITEM]],[2]Contrato!A:A,[2]Contrato!T:T,"",0)</f>
        <v>#NAME?</v>
      </c>
      <c r="AB2251" s="55" t="e">
        <f ca="1">+MAX(PAA_4[[#This Row],[Comprometido Contrato]],PAA_4[[#This Row],[Comprometido Bolsa]])</f>
        <v>#NAME?</v>
      </c>
      <c r="AC2251" s="55" t="str">
        <f t="shared" ca="1" si="818"/>
        <v/>
      </c>
      <c r="AD2251" s="55" t="e">
        <f ca="1">IF(PAA_4[[#This Row],[ESTADO (formulado)]]="NO CONTRATADO",0,MAX(PAA_4[[#This Row],[Pago por Contrato]],PAA_4[[#This Row],[Pago por bolsa]]))</f>
        <v>#NAME?</v>
      </c>
      <c r="AE2251" s="55" t="str">
        <f t="shared" ca="1" si="819"/>
        <v/>
      </c>
      <c r="AF2251" s="47" t="e">
        <f t="shared" ca="1" si="820"/>
        <v>#NAME?</v>
      </c>
      <c r="AG2251" s="47">
        <f t="shared" si="821"/>
        <v>52010702</v>
      </c>
      <c r="AH2251" s="54">
        <f>IF(Q2251="22",IF(ISNUMBER(SEARCH("econ",PAA_4[[#This Row],[Actividad3]])),"Económico",IF(ISNUMBER(SEARCH("alim",PAA_4[[#This Row],[Actividad3]])),"Alimentación",IF(ISNUMBER(SEARCH("educ",PAA_4[[#This Row],[Actividad3]])),"Educativo","Técnico"))),0)</f>
        <v>0</v>
      </c>
      <c r="AI2251" s="47" t="e" cm="1">
        <f t="array" aca="1" ref="AI2251" ca="1">_xlfn.XLOOKUP(PAA_4[[#This Row],[RCP-RUBRO]],[2]!COMPROMISOS_2024[[#All],[concatenado]],[2]!COMPROMISOS_2024[[#All],[Total pagado]],"",0)</f>
        <v>#NAME?</v>
      </c>
      <c r="AJ2251" s="56">
        <f>IF(PAA_4[[#This Row],[BOLSA]]=0,0,SUMIFS([2]!COMPROMISOS_2024[[#All],[Total pagado]],[2]!COMPROMISOS_2024[[#All],[Bolsa]],PAA_4[[#This Row],[BOLSA]],[2]!COMPROMISOS_2024[[#All],[rubro]],PAA_4[[#This Row],[RCP-RUBRO]]))</f>
        <v>0</v>
      </c>
      <c r="AK2251" s="47" t="e" cm="1">
        <f t="array" aca="1" ref="AK2251" ca="1">_xlfn.XLOOKUP(PAA_4[[#This Row],[RCP-RUBRO]],[2]!COMPROMISOS_2024[[#All],[concatenado]],[2]!COMPROMISOS_2024[[#All],[Total Comprometido]],"",0)</f>
        <v>#NAME?</v>
      </c>
      <c r="AL2251" s="47">
        <f>IF(PAA_4[[#This Row],[BOLSA]]=0,0,SUMIFS([2]!COMPROMISOS_2024[[#All],[Total Comprometido]],[2]!COMPROMISOS_2024[[#All],[Bolsa]],PAA_4[[#This Row],[BOLSA]],[2]!COMPROMISOS_2024[[#All],[concatenado]],PAA_4[[#This Row],[RCP-RUBRO]]))</f>
        <v>0</v>
      </c>
    </row>
    <row r="2252" spans="1:38" s="19" customFormat="1" ht="31.5" customHeight="1">
      <c r="A2252" s="47">
        <v>1106</v>
      </c>
      <c r="B2252" s="47">
        <v>80111600</v>
      </c>
      <c r="C2252" s="47" t="str">
        <f>VLOOKUP(PAA_4[[#This Row],[PROYECTO (formulado)2]],[2]PROYECTOS!$G$1:$L$32,6,0)</f>
        <v>SUBGERENCIA DE FOMENTO Y DESARROLLO</v>
      </c>
      <c r="D2252" s="47" t="str">
        <f>+IF(PAA_4[[#This Row],[UNIDAD DE CONTRATACION (formulado)]]="Subgerencia Administrativa y Financiera","FUNCIONAMIENTO","INVERSIÓN")</f>
        <v>INVERSIÓN</v>
      </c>
      <c r="E2252" s="48" t="str">
        <f>VLOOKUP(Q2252,[2]PROYECTOS!$G$1:$K$32,5,0)</f>
        <v>Desarrollo y promoción del deporte formativo, la recreación y la actividad física en el departamento Antioquia</v>
      </c>
      <c r="F2252" s="48">
        <f>VLOOKUP(E2252,[2]PROYECTOS!$K$1:$M$32,3,0)</f>
        <v>2024003050101</v>
      </c>
      <c r="G2252" s="49" t="s">
        <v>2348</v>
      </c>
      <c r="H2252" s="49" t="str">
        <f>VLOOKUP(Q2252,[2]PROYECTOS!$V$1:$W$32,2,0)</f>
        <v>050075</v>
      </c>
      <c r="I2252" s="78">
        <v>1514146</v>
      </c>
      <c r="J2252" s="51" t="s">
        <v>2412</v>
      </c>
      <c r="K2252" s="47" t="str">
        <f t="shared" ca="1" si="815"/>
        <v>CONTRATADO</v>
      </c>
      <c r="L2252" s="47" t="s">
        <v>94</v>
      </c>
      <c r="M2252" s="366" t="s">
        <v>1297</v>
      </c>
      <c r="N2252" s="52" t="s">
        <v>2349</v>
      </c>
      <c r="O2252" s="51" t="e">
        <f>VLOOKUP(N2252,[2]!RUBROS[#All],3,0)</f>
        <v>#REF!</v>
      </c>
      <c r="P2252" s="53" t="e">
        <f>VLOOKUP(N2252,[2]!RUBROS[#All],2,0)</f>
        <v>#REF!</v>
      </c>
      <c r="Q2252" s="47" t="str">
        <f t="shared" si="816"/>
        <v>01</v>
      </c>
      <c r="R2252" s="47" t="str">
        <f t="shared" si="817"/>
        <v>0-101024</v>
      </c>
      <c r="S2252" s="54">
        <v>4</v>
      </c>
      <c r="T2252" s="59" t="s">
        <v>46</v>
      </c>
      <c r="U2252" s="326" t="e">
        <f ca="1">_xlfn.XLOOKUP(PAA_4[[#This Row],[ITEM]],[2]Contrato!A:A,[2]Contrato!Q:Q,"",0)</f>
        <v>#NAME?</v>
      </c>
      <c r="V2252" s="47" t="s">
        <v>95</v>
      </c>
      <c r="W2252" s="47" t="s">
        <v>203</v>
      </c>
      <c r="X2252" s="47" t="s">
        <v>203</v>
      </c>
      <c r="Y2252" s="55" t="e">
        <f ca="1">_xlfn.XLOOKUP(PAA_4[[#This Row],[ITEM]],[2]Contrato!A:A,[2]Contrato!B:B,"",0)</f>
        <v>#NAME?</v>
      </c>
      <c r="Z2252" s="47" t="e">
        <f ca="1">_xlfn.XLOOKUP(PAA_4[[#This Row],[ITEM]],[2]Contrato!A:A,[2]Contrato!G:G,"",0)</f>
        <v>#NAME?</v>
      </c>
      <c r="AA2252" s="47" t="e">
        <f ca="1">_xlfn.XLOOKUP(PAA_4[[#This Row],[ITEM]],[2]Contrato!A:A,[2]Contrato!T:T,"",0)</f>
        <v>#NAME?</v>
      </c>
      <c r="AB2252" s="55" t="e">
        <f ca="1">+MAX(PAA_4[[#This Row],[Comprometido Contrato]],PAA_4[[#This Row],[Comprometido Bolsa]])</f>
        <v>#NAME?</v>
      </c>
      <c r="AC2252" s="55" t="str">
        <f t="shared" ca="1" si="818"/>
        <v/>
      </c>
      <c r="AD2252" s="55" t="e">
        <f ca="1">IF(PAA_4[[#This Row],[ESTADO (formulado)]]="NO CONTRATADO",0,MAX(PAA_4[[#This Row],[Pago por Contrato]],PAA_4[[#This Row],[Pago por bolsa]]))</f>
        <v>#NAME?</v>
      </c>
      <c r="AE2252" s="55" t="str">
        <f t="shared" ca="1" si="819"/>
        <v/>
      </c>
      <c r="AF2252" s="47" t="e">
        <f t="shared" ca="1" si="820"/>
        <v>#NAME?</v>
      </c>
      <c r="AG2252" s="47">
        <f t="shared" si="821"/>
        <v>52010702</v>
      </c>
      <c r="AH2252" s="54">
        <f>IF(Q2252="22",IF(ISNUMBER(SEARCH("econ",PAA_4[[#This Row],[Actividad3]])),"Económico",IF(ISNUMBER(SEARCH("alim",PAA_4[[#This Row],[Actividad3]])),"Alimentación",IF(ISNUMBER(SEARCH("educ",PAA_4[[#This Row],[Actividad3]])),"Educativo","Técnico"))),0)</f>
        <v>0</v>
      </c>
      <c r="AI2252" s="47" t="e" cm="1">
        <f t="array" aca="1" ref="AI2252" ca="1">_xlfn.XLOOKUP(PAA_4[[#This Row],[RCP-RUBRO]],[2]!COMPROMISOS_2024[[#All],[concatenado]],[2]!COMPROMISOS_2024[[#All],[Total pagado]],"",0)</f>
        <v>#NAME?</v>
      </c>
      <c r="AJ2252" s="56">
        <f>IF(PAA_4[[#This Row],[BOLSA]]=0,0,SUMIFS([2]!COMPROMISOS_2024[[#All],[Total pagado]],[2]!COMPROMISOS_2024[[#All],[Bolsa]],PAA_4[[#This Row],[BOLSA]],[2]!COMPROMISOS_2024[[#All],[rubro]],PAA_4[[#This Row],[RCP-RUBRO]]))</f>
        <v>0</v>
      </c>
      <c r="AK2252" s="47" t="e" cm="1">
        <f t="array" aca="1" ref="AK2252" ca="1">_xlfn.XLOOKUP(PAA_4[[#This Row],[RCP-RUBRO]],[2]!COMPROMISOS_2024[[#All],[concatenado]],[2]!COMPROMISOS_2024[[#All],[Total Comprometido]],"",0)</f>
        <v>#NAME?</v>
      </c>
      <c r="AL2252" s="47">
        <f>IF(PAA_4[[#This Row],[BOLSA]]=0,0,SUMIFS([2]!COMPROMISOS_2024[[#All],[Total Comprometido]],[2]!COMPROMISOS_2024[[#All],[Bolsa]],PAA_4[[#This Row],[BOLSA]],[2]!COMPROMISOS_2024[[#All],[concatenado]],PAA_4[[#This Row],[RCP-RUBRO]]))</f>
        <v>0</v>
      </c>
    </row>
    <row r="2253" spans="1:38" s="19" customFormat="1" ht="31.5" customHeight="1">
      <c r="A2253" s="47">
        <v>1106</v>
      </c>
      <c r="B2253" s="47">
        <v>80111600</v>
      </c>
      <c r="C2253" s="47" t="str">
        <f>VLOOKUP(PAA_4[[#This Row],[PROYECTO (formulado)2]],[2]PROYECTOS!$G$1:$L$32,6,0)</f>
        <v>SUBGERENCIA DE FOMENTO Y DESARROLLO</v>
      </c>
      <c r="D2253" s="47" t="str">
        <f>+IF(PAA_4[[#This Row],[UNIDAD DE CONTRATACION (formulado)]]="Subgerencia Administrativa y Financiera","FUNCIONAMIENTO","INVERSIÓN")</f>
        <v>INVERSIÓN</v>
      </c>
      <c r="E2253" s="48" t="str">
        <f>VLOOKUP(Q2253,[2]PROYECTOS!$G$1:$K$32,5,0)</f>
        <v>Capacitación para el sector del deporte, la recreación y la actividad física en el Departamento de   Antioquia</v>
      </c>
      <c r="F2253" s="48">
        <f>VLOOKUP(E2253,[2]PROYECTOS!$K$1:$M$32,3,0)</f>
        <v>2024003050072</v>
      </c>
      <c r="G2253" s="49" t="s">
        <v>2350</v>
      </c>
      <c r="H2253" s="49" t="str">
        <f>VLOOKUP(Q2253,[2]PROYECTOS!$V$1:$W$32,2,0)</f>
        <v>050072</v>
      </c>
      <c r="I2253" s="78">
        <v>1830728</v>
      </c>
      <c r="J2253" s="51" t="s">
        <v>2412</v>
      </c>
      <c r="K2253" s="47" t="str">
        <f t="shared" ca="1" si="815"/>
        <v>CONTRATADO</v>
      </c>
      <c r="L2253" s="47" t="s">
        <v>94</v>
      </c>
      <c r="M2253" s="366" t="s">
        <v>1297</v>
      </c>
      <c r="N2253" s="52" t="s">
        <v>2351</v>
      </c>
      <c r="O2253" s="51" t="e">
        <f>VLOOKUP(N2253,[2]!RUBROS[#All],3,0)</f>
        <v>#REF!</v>
      </c>
      <c r="P2253" s="53" t="e">
        <f>VLOOKUP(N2253,[2]!RUBROS[#All],2,0)</f>
        <v>#REF!</v>
      </c>
      <c r="Q2253" s="47" t="str">
        <f t="shared" si="816"/>
        <v>72</v>
      </c>
      <c r="R2253" s="47" t="str">
        <f t="shared" si="817"/>
        <v>0-205128</v>
      </c>
      <c r="S2253" s="54">
        <v>4</v>
      </c>
      <c r="T2253" s="59" t="s">
        <v>46</v>
      </c>
      <c r="U2253" s="326" t="e">
        <f ca="1">_xlfn.XLOOKUP(PAA_4[[#This Row],[ITEM]],[2]Contrato!A:A,[2]Contrato!Q:Q,"",0)</f>
        <v>#NAME?</v>
      </c>
      <c r="V2253" s="47" t="s">
        <v>95</v>
      </c>
      <c r="W2253" s="47" t="s">
        <v>203</v>
      </c>
      <c r="X2253" s="47" t="s">
        <v>203</v>
      </c>
      <c r="Y2253" s="55" t="e">
        <f ca="1">_xlfn.XLOOKUP(PAA_4[[#This Row],[ITEM]],[2]Contrato!A:A,[2]Contrato!B:B,"",0)</f>
        <v>#NAME?</v>
      </c>
      <c r="Z2253" s="47" t="e">
        <f ca="1">_xlfn.XLOOKUP(PAA_4[[#This Row],[ITEM]],[2]Contrato!A:A,[2]Contrato!G:G,"",0)</f>
        <v>#NAME?</v>
      </c>
      <c r="AA2253" s="47" t="e">
        <f ca="1">_xlfn.XLOOKUP(PAA_4[[#This Row],[ITEM]],[2]Contrato!A:A,[2]Contrato!T:T,"",0)</f>
        <v>#NAME?</v>
      </c>
      <c r="AB2253" s="55" t="e">
        <f ca="1">+MAX(PAA_4[[#This Row],[Comprometido Contrato]],PAA_4[[#This Row],[Comprometido Bolsa]])</f>
        <v>#NAME?</v>
      </c>
      <c r="AC2253" s="55" t="str">
        <f t="shared" ca="1" si="818"/>
        <v/>
      </c>
      <c r="AD2253" s="55" t="e">
        <f ca="1">IF(PAA_4[[#This Row],[ESTADO (formulado)]]="NO CONTRATADO",0,MAX(PAA_4[[#This Row],[Pago por Contrato]],PAA_4[[#This Row],[Pago por bolsa]]))</f>
        <v>#NAME?</v>
      </c>
      <c r="AE2253" s="55" t="str">
        <f t="shared" ca="1" si="819"/>
        <v/>
      </c>
      <c r="AF2253" s="47" t="e">
        <f t="shared" ca="1" si="820"/>
        <v>#NAME?</v>
      </c>
      <c r="AG2253" s="47">
        <f t="shared" si="821"/>
        <v>52010704</v>
      </c>
      <c r="AH2253" s="54">
        <f>IF(Q2253="22",IF(ISNUMBER(SEARCH("econ",PAA_4[[#This Row],[Actividad3]])),"Económico",IF(ISNUMBER(SEARCH("alim",PAA_4[[#This Row],[Actividad3]])),"Alimentación",IF(ISNUMBER(SEARCH("educ",PAA_4[[#This Row],[Actividad3]])),"Educativo","Técnico"))),0)</f>
        <v>0</v>
      </c>
      <c r="AI2253" s="47" t="e" cm="1">
        <f t="array" aca="1" ref="AI2253" ca="1">_xlfn.XLOOKUP(PAA_4[[#This Row],[RCP-RUBRO]],[2]!COMPROMISOS_2024[[#All],[concatenado]],[2]!COMPROMISOS_2024[[#All],[Total pagado]],"",0)</f>
        <v>#NAME?</v>
      </c>
      <c r="AJ2253" s="56">
        <f>IF(PAA_4[[#This Row],[BOLSA]]=0,0,SUMIFS([2]!COMPROMISOS_2024[[#All],[Total pagado]],[2]!COMPROMISOS_2024[[#All],[Bolsa]],PAA_4[[#This Row],[BOLSA]],[2]!COMPROMISOS_2024[[#All],[rubro]],PAA_4[[#This Row],[RCP-RUBRO]]))</f>
        <v>0</v>
      </c>
      <c r="AK2253" s="47" t="e" cm="1">
        <f t="array" aca="1" ref="AK2253" ca="1">_xlfn.XLOOKUP(PAA_4[[#This Row],[RCP-RUBRO]],[2]!COMPROMISOS_2024[[#All],[concatenado]],[2]!COMPROMISOS_2024[[#All],[Total Comprometido]],"",0)</f>
        <v>#NAME?</v>
      </c>
      <c r="AL2253" s="47">
        <f>IF(PAA_4[[#This Row],[BOLSA]]=0,0,SUMIFS([2]!COMPROMISOS_2024[[#All],[Total Comprometido]],[2]!COMPROMISOS_2024[[#All],[Bolsa]],PAA_4[[#This Row],[BOLSA]],[2]!COMPROMISOS_2024[[#All],[concatenado]],PAA_4[[#This Row],[RCP-RUBRO]]))</f>
        <v>0</v>
      </c>
    </row>
    <row r="2254" spans="1:38" s="19" customFormat="1" ht="31.5" customHeight="1">
      <c r="A2254" s="47">
        <v>1106</v>
      </c>
      <c r="B2254" s="47">
        <v>80111600</v>
      </c>
      <c r="C2254" s="47" t="str">
        <f>VLOOKUP(PAA_4[[#This Row],[PROYECTO (formulado)2]],[2]PROYECTOS!$G$1:$L$32,6,0)</f>
        <v>SUBGERENCIA DE FOMENTO Y DESARROLLO</v>
      </c>
      <c r="D2254" s="47" t="str">
        <f>+IF(PAA_4[[#This Row],[UNIDAD DE CONTRATACION (formulado)]]="Subgerencia Administrativa y Financiera","FUNCIONAMIENTO","INVERSIÓN")</f>
        <v>INVERSIÓN</v>
      </c>
      <c r="E2254" s="48" t="str">
        <f>VLOOKUP(Q2254,[2]PROYECTOS!$G$1:$K$32,5,0)</f>
        <v>Desarrollo y promoción del deporte formativo, la recreación y la actividad física en el departamento Antioquia</v>
      </c>
      <c r="F2254" s="48">
        <f>VLOOKUP(E2254,[2]PROYECTOS!$K$1:$M$32,3,0)</f>
        <v>2024003050101</v>
      </c>
      <c r="G2254" s="49" t="s">
        <v>2348</v>
      </c>
      <c r="H2254" s="49" t="str">
        <f>VLOOKUP(Q2254,[2]PROYECTOS!$V$1:$W$32,2,0)</f>
        <v>050075</v>
      </c>
      <c r="I2254" s="78">
        <v>6690610</v>
      </c>
      <c r="J2254" s="51" t="s">
        <v>2412</v>
      </c>
      <c r="K2254" s="47" t="str">
        <f t="shared" ca="1" si="815"/>
        <v>CONTRATADO</v>
      </c>
      <c r="L2254" s="47" t="s">
        <v>94</v>
      </c>
      <c r="M2254" s="366" t="s">
        <v>1297</v>
      </c>
      <c r="N2254" s="52" t="s">
        <v>2383</v>
      </c>
      <c r="O2254" s="51" t="e">
        <f>VLOOKUP(N2254,[2]!RUBROS[#All],3,0)</f>
        <v>#REF!</v>
      </c>
      <c r="P2254" s="53" t="e">
        <f>VLOOKUP(N2254,[2]!RUBROS[#All],2,0)</f>
        <v>#REF!</v>
      </c>
      <c r="Q2254" s="47" t="str">
        <f t="shared" si="816"/>
        <v>01</v>
      </c>
      <c r="R2254" s="47" t="str">
        <f t="shared" si="817"/>
        <v>0-205128</v>
      </c>
      <c r="S2254" s="54">
        <v>4</v>
      </c>
      <c r="T2254" s="59" t="s">
        <v>46</v>
      </c>
      <c r="U2254" s="326" t="e">
        <f ca="1">_xlfn.XLOOKUP(PAA_4[[#This Row],[ITEM]],[2]Contrato!A:A,[2]Contrato!Q:Q,"",0)</f>
        <v>#NAME?</v>
      </c>
      <c r="V2254" s="47" t="s">
        <v>95</v>
      </c>
      <c r="W2254" s="47" t="s">
        <v>203</v>
      </c>
      <c r="X2254" s="47" t="s">
        <v>203</v>
      </c>
      <c r="Y2254" s="55" t="e">
        <f ca="1">_xlfn.XLOOKUP(PAA_4[[#This Row],[ITEM]],[2]Contrato!A:A,[2]Contrato!B:B,"",0)</f>
        <v>#NAME?</v>
      </c>
      <c r="Z2254" s="47" t="e">
        <f ca="1">_xlfn.XLOOKUP(PAA_4[[#This Row],[ITEM]],[2]Contrato!A:A,[2]Contrato!G:G,"",0)</f>
        <v>#NAME?</v>
      </c>
      <c r="AA2254" s="47" t="e">
        <f ca="1">_xlfn.XLOOKUP(PAA_4[[#This Row],[ITEM]],[2]Contrato!A:A,[2]Contrato!T:T,"",0)</f>
        <v>#NAME?</v>
      </c>
      <c r="AB2254" s="55" t="e">
        <f ca="1">+MAX(PAA_4[[#This Row],[Comprometido Contrato]],PAA_4[[#This Row],[Comprometido Bolsa]])</f>
        <v>#NAME?</v>
      </c>
      <c r="AC2254" s="55" t="str">
        <f t="shared" ca="1" si="818"/>
        <v/>
      </c>
      <c r="AD2254" s="55" t="e">
        <f ca="1">IF(PAA_4[[#This Row],[ESTADO (formulado)]]="NO CONTRATADO",0,MAX(PAA_4[[#This Row],[Pago por Contrato]],PAA_4[[#This Row],[Pago por bolsa]]))</f>
        <v>#NAME?</v>
      </c>
      <c r="AE2254" s="55" t="str">
        <f t="shared" ca="1" si="819"/>
        <v/>
      </c>
      <c r="AF2254" s="47" t="e">
        <f t="shared" ca="1" si="820"/>
        <v>#NAME?</v>
      </c>
      <c r="AG2254" s="47">
        <f t="shared" si="821"/>
        <v>52010702</v>
      </c>
      <c r="AH2254" s="54">
        <f>IF(Q2254="22",IF(ISNUMBER(SEARCH("econ",PAA_4[[#This Row],[Actividad3]])),"Económico",IF(ISNUMBER(SEARCH("alim",PAA_4[[#This Row],[Actividad3]])),"Alimentación",IF(ISNUMBER(SEARCH("educ",PAA_4[[#This Row],[Actividad3]])),"Educativo","Técnico"))),0)</f>
        <v>0</v>
      </c>
      <c r="AI2254" s="47" t="e" cm="1">
        <f t="array" aca="1" ref="AI2254" ca="1">_xlfn.XLOOKUP(PAA_4[[#This Row],[RCP-RUBRO]],[2]!COMPROMISOS_2024[[#All],[concatenado]],[2]!COMPROMISOS_2024[[#All],[Total pagado]],"",0)</f>
        <v>#NAME?</v>
      </c>
      <c r="AJ2254" s="56">
        <f>IF(PAA_4[[#This Row],[BOLSA]]=0,0,SUMIFS([2]!COMPROMISOS_2024[[#All],[Total pagado]],[2]!COMPROMISOS_2024[[#All],[Bolsa]],PAA_4[[#This Row],[BOLSA]],[2]!COMPROMISOS_2024[[#All],[rubro]],PAA_4[[#This Row],[RCP-RUBRO]]))</f>
        <v>0</v>
      </c>
      <c r="AK2254" s="47" t="e" cm="1">
        <f t="array" aca="1" ref="AK2254" ca="1">_xlfn.XLOOKUP(PAA_4[[#This Row],[RCP-RUBRO]],[2]!COMPROMISOS_2024[[#All],[concatenado]],[2]!COMPROMISOS_2024[[#All],[Total Comprometido]],"",0)</f>
        <v>#NAME?</v>
      </c>
      <c r="AL2254" s="47">
        <f>IF(PAA_4[[#This Row],[BOLSA]]=0,0,SUMIFS([2]!COMPROMISOS_2024[[#All],[Total Comprometido]],[2]!COMPROMISOS_2024[[#All],[Bolsa]],PAA_4[[#This Row],[BOLSA]],[2]!COMPROMISOS_2024[[#All],[concatenado]],PAA_4[[#This Row],[RCP-RUBRO]]))</f>
        <v>0</v>
      </c>
    </row>
    <row r="2255" spans="1:38" s="19" customFormat="1" ht="31.5" customHeight="1">
      <c r="A2255" s="47">
        <v>1106</v>
      </c>
      <c r="B2255" s="47">
        <v>80111600</v>
      </c>
      <c r="C2255" s="47" t="str">
        <f>VLOOKUP(PAA_4[[#This Row],[PROYECTO (formulado)2]],[2]PROYECTOS!$G$1:$L$32,6,0)</f>
        <v>SUBGERENCIA DE FOMENTO Y DESARROLLO</v>
      </c>
      <c r="D2255" s="47" t="str">
        <f>+IF(PAA_4[[#This Row],[UNIDAD DE CONTRATACION (formulado)]]="Subgerencia Administrativa y Financiera","FUNCIONAMIENTO","INVERSIÓN")</f>
        <v>INVERSIÓN</v>
      </c>
      <c r="E2255" s="48" t="str">
        <f>VLOOKUP(Q2255,[2]PROYECTOS!$G$1:$K$32,5,0)</f>
        <v>Desarrollo y promoción del deporte formativo, la recreación y la actividad física en el departamento Antioquia</v>
      </c>
      <c r="F2255" s="48">
        <f>VLOOKUP(E2255,[2]PROYECTOS!$K$1:$M$32,3,0)</f>
        <v>2024003050101</v>
      </c>
      <c r="G2255" s="49" t="s">
        <v>2348</v>
      </c>
      <c r="H2255" s="49" t="str">
        <f>VLOOKUP(Q2255,[2]PROYECTOS!$V$1:$W$32,2,0)</f>
        <v>050075</v>
      </c>
      <c r="I2255" s="78">
        <v>6950627</v>
      </c>
      <c r="J2255" s="51" t="s">
        <v>2412</v>
      </c>
      <c r="K2255" s="47" t="str">
        <f t="shared" ca="1" si="815"/>
        <v>CONTRATADO</v>
      </c>
      <c r="L2255" s="47" t="s">
        <v>94</v>
      </c>
      <c r="M2255" s="366" t="s">
        <v>1297</v>
      </c>
      <c r="N2255" s="52" t="s">
        <v>2394</v>
      </c>
      <c r="O2255" s="51" t="e">
        <f>VLOOKUP(N2255,[2]!RUBROS[#All],3,0)</f>
        <v>#REF!</v>
      </c>
      <c r="P2255" s="53" t="e">
        <f>VLOOKUP(N2255,[2]!RUBROS[#All],2,0)</f>
        <v>#REF!</v>
      </c>
      <c r="Q2255" s="47" t="str">
        <f t="shared" si="816"/>
        <v>01</v>
      </c>
      <c r="R2255" s="47" t="str">
        <f t="shared" si="817"/>
        <v>0-205128</v>
      </c>
      <c r="S2255" s="54">
        <v>4</v>
      </c>
      <c r="T2255" s="59" t="s">
        <v>46</v>
      </c>
      <c r="U2255" s="326" t="e">
        <f ca="1">_xlfn.XLOOKUP(PAA_4[[#This Row],[ITEM]],[2]Contrato!A:A,[2]Contrato!Q:Q,"",0)</f>
        <v>#NAME?</v>
      </c>
      <c r="V2255" s="47" t="s">
        <v>95</v>
      </c>
      <c r="W2255" s="47" t="s">
        <v>203</v>
      </c>
      <c r="X2255" s="47" t="s">
        <v>203</v>
      </c>
      <c r="Y2255" s="55" t="e">
        <f ca="1">_xlfn.XLOOKUP(PAA_4[[#This Row],[ITEM]],[2]Contrato!A:A,[2]Contrato!B:B,"",0)</f>
        <v>#NAME?</v>
      </c>
      <c r="Z2255" s="47" t="e">
        <f ca="1">_xlfn.XLOOKUP(PAA_4[[#This Row],[ITEM]],[2]Contrato!A:A,[2]Contrato!G:G,"",0)</f>
        <v>#NAME?</v>
      </c>
      <c r="AA2255" s="47" t="e">
        <f ca="1">_xlfn.XLOOKUP(PAA_4[[#This Row],[ITEM]],[2]Contrato!A:A,[2]Contrato!T:T,"",0)</f>
        <v>#NAME?</v>
      </c>
      <c r="AB2255" s="55" t="e">
        <f ca="1">+MAX(PAA_4[[#This Row],[Comprometido Contrato]],PAA_4[[#This Row],[Comprometido Bolsa]])</f>
        <v>#NAME?</v>
      </c>
      <c r="AC2255" s="55" t="str">
        <f t="shared" ca="1" si="818"/>
        <v/>
      </c>
      <c r="AD2255" s="55" t="e">
        <f ca="1">IF(PAA_4[[#This Row],[ESTADO (formulado)]]="NO CONTRATADO",0,MAX(PAA_4[[#This Row],[Pago por Contrato]],PAA_4[[#This Row],[Pago por bolsa]]))</f>
        <v>#NAME?</v>
      </c>
      <c r="AE2255" s="55" t="str">
        <f t="shared" ca="1" si="819"/>
        <v/>
      </c>
      <c r="AF2255" s="47" t="e">
        <f t="shared" ca="1" si="820"/>
        <v>#NAME?</v>
      </c>
      <c r="AG2255" s="47">
        <f t="shared" si="821"/>
        <v>52010702</v>
      </c>
      <c r="AH2255" s="54">
        <f>IF(Q2255="22",IF(ISNUMBER(SEARCH("econ",PAA_4[[#This Row],[Actividad3]])),"Económico",IF(ISNUMBER(SEARCH("alim",PAA_4[[#This Row],[Actividad3]])),"Alimentación",IF(ISNUMBER(SEARCH("educ",PAA_4[[#This Row],[Actividad3]])),"Educativo","Técnico"))),0)</f>
        <v>0</v>
      </c>
      <c r="AI2255" s="47" t="e" cm="1">
        <f t="array" aca="1" ref="AI2255" ca="1">_xlfn.XLOOKUP(PAA_4[[#This Row],[RCP-RUBRO]],[2]!COMPROMISOS_2024[[#All],[concatenado]],[2]!COMPROMISOS_2024[[#All],[Total pagado]],"",0)</f>
        <v>#NAME?</v>
      </c>
      <c r="AJ2255" s="56">
        <f>IF(PAA_4[[#This Row],[BOLSA]]=0,0,SUMIFS([2]!COMPROMISOS_2024[[#All],[Total pagado]],[2]!COMPROMISOS_2024[[#All],[Bolsa]],PAA_4[[#This Row],[BOLSA]],[2]!COMPROMISOS_2024[[#All],[rubro]],PAA_4[[#This Row],[RCP-RUBRO]]))</f>
        <v>0</v>
      </c>
      <c r="AK2255" s="47" t="e" cm="1">
        <f t="array" aca="1" ref="AK2255" ca="1">_xlfn.XLOOKUP(PAA_4[[#This Row],[RCP-RUBRO]],[2]!COMPROMISOS_2024[[#All],[concatenado]],[2]!COMPROMISOS_2024[[#All],[Total Comprometido]],"",0)</f>
        <v>#NAME?</v>
      </c>
      <c r="AL2255" s="47">
        <f>IF(PAA_4[[#This Row],[BOLSA]]=0,0,SUMIFS([2]!COMPROMISOS_2024[[#All],[Total Comprometido]],[2]!COMPROMISOS_2024[[#All],[Bolsa]],PAA_4[[#This Row],[BOLSA]],[2]!COMPROMISOS_2024[[#All],[concatenado]],PAA_4[[#This Row],[RCP-RUBRO]]))</f>
        <v>0</v>
      </c>
    </row>
    <row r="2256" spans="1:38" s="377" customFormat="1" ht="31.5" customHeight="1">
      <c r="A2256" s="47" t="s">
        <v>82</v>
      </c>
      <c r="B2256" s="47" t="s">
        <v>42</v>
      </c>
      <c r="C2256" s="47" t="str">
        <f>VLOOKUP(PAA_4[[#This Row],[PROYECTO (formulado)2]],[2]PROYECTOS!$G$1:$L$32,6,0)</f>
        <v>SUBGERENCIA DE FOMENTO Y DESARROLLO</v>
      </c>
      <c r="D2256" s="47" t="str">
        <f>+IF(PAA_4[[#This Row],[UNIDAD DE CONTRATACION (formulado)]]="Subgerencia Administrativa y Financiera","FUNCIONAMIENTO","INVERSIÓN")</f>
        <v>INVERSIÓN</v>
      </c>
      <c r="E2256" s="48" t="str">
        <f>VLOOKUP(Q2256,[2]PROYECTOS!$G$1:$K$32,5,0)</f>
        <v>Fortalecimiento de los juegos deportivos institucionales en los municipios del departamento de Antioquia</v>
      </c>
      <c r="F2256" s="48">
        <f>VLOOKUP(E2256,[2]PROYECTOS!$K$1:$M$32,3,0)</f>
        <v>2024003050073</v>
      </c>
      <c r="G2256" s="49" t="s">
        <v>2352</v>
      </c>
      <c r="H2256" s="49" t="str">
        <f>VLOOKUP(Q2256,[2]PROYECTOS!$V$1:$W$32,2,0)</f>
        <v>050081</v>
      </c>
      <c r="I2256" s="78">
        <v>0</v>
      </c>
      <c r="J2256" s="51" t="s">
        <v>344</v>
      </c>
      <c r="K2256" s="47" t="str">
        <f t="shared" ca="1" si="815"/>
        <v>CONTRATADO</v>
      </c>
      <c r="L2256" s="47" t="s">
        <v>42</v>
      </c>
      <c r="M2256" s="366" t="s">
        <v>42</v>
      </c>
      <c r="N2256" s="52" t="s">
        <v>2353</v>
      </c>
      <c r="O2256" s="51" t="e">
        <f>VLOOKUP(N2256,[2]!RUBROS[#All],3,0)</f>
        <v>#REF!</v>
      </c>
      <c r="P2256" s="53" t="e">
        <f>VLOOKUP(N2256,[2]!RUBROS[#All],2,0)</f>
        <v>#REF!</v>
      </c>
      <c r="Q2256" s="47" t="str">
        <f t="shared" si="816"/>
        <v>73</v>
      </c>
      <c r="R2256" s="47" t="str">
        <f t="shared" si="817"/>
        <v>0-205128</v>
      </c>
      <c r="S2256" s="47" t="s">
        <v>42</v>
      </c>
      <c r="T2256" s="63" t="s">
        <v>42</v>
      </c>
      <c r="U2256" s="326" t="e">
        <f ca="1">_xlfn.XLOOKUP(PAA_4[[#This Row],[ITEM]],[2]Contrato!A:A,[2]Contrato!Q:Q,"",0)</f>
        <v>#NAME?</v>
      </c>
      <c r="V2256" s="47" t="s">
        <v>42</v>
      </c>
      <c r="W2256" s="47" t="s">
        <v>42</v>
      </c>
      <c r="X2256" s="47" t="s">
        <v>42</v>
      </c>
      <c r="Y2256" s="55" t="e">
        <f ca="1">_xlfn.XLOOKUP(PAA_4[[#This Row],[ITEM]],[2]Contrato!A:A,[2]Contrato!B:B,"",0)</f>
        <v>#NAME?</v>
      </c>
      <c r="Z2256" s="47" t="e">
        <f ca="1">_xlfn.XLOOKUP(PAA_4[[#This Row],[ITEM]],[2]Contrato!A:A,[2]Contrato!G:G,"",0)</f>
        <v>#NAME?</v>
      </c>
      <c r="AA2256" s="47" t="e">
        <f ca="1">_xlfn.XLOOKUP(PAA_4[[#This Row],[ITEM]],[2]Contrato!A:A,[2]Contrato!T:T,"",0)</f>
        <v>#NAME?</v>
      </c>
      <c r="AB2256" s="55" t="e">
        <f ca="1">+MAX(PAA_4[[#This Row],[Comprometido Contrato]],PAA_4[[#This Row],[Comprometido Bolsa]])</f>
        <v>#NAME?</v>
      </c>
      <c r="AC2256" s="55" t="str">
        <f t="shared" ca="1" si="818"/>
        <v/>
      </c>
      <c r="AD2256" s="55" t="e">
        <f ca="1">IF(PAA_4[[#This Row],[ESTADO (formulado)]]="NO CONTRATADO",0,MAX(PAA_4[[#This Row],[Pago por Contrato]],PAA_4[[#This Row],[Pago por bolsa]]))</f>
        <v>#NAME?</v>
      </c>
      <c r="AE2256" s="55" t="str">
        <f t="shared" ca="1" si="819"/>
        <v/>
      </c>
      <c r="AF2256" s="47" t="e">
        <f t="shared" ca="1" si="820"/>
        <v>#NAME?</v>
      </c>
      <c r="AG2256" s="47">
        <f t="shared" si="821"/>
        <v>52010703</v>
      </c>
      <c r="AH2256" s="54">
        <f>IF(Q2256="22",IF(ISNUMBER(SEARCH("econ",PAA_4[[#This Row],[Actividad3]])),"Económico",IF(ISNUMBER(SEARCH("alim",PAA_4[[#This Row],[Actividad3]])),"Alimentación",IF(ISNUMBER(SEARCH("educ",PAA_4[[#This Row],[Actividad3]])),"Educativo","Técnico"))),0)</f>
        <v>0</v>
      </c>
      <c r="AI2256" s="47" t="e" cm="1">
        <f t="array" aca="1" ref="AI2256" ca="1">_xlfn.XLOOKUP(PAA_4[[#This Row],[RCP-RUBRO]],[2]!COMPROMISOS_2024[[#All],[concatenado]],[2]!COMPROMISOS_2024[[#All],[Total pagado]],"",0)</f>
        <v>#NAME?</v>
      </c>
      <c r="AJ2256" s="56">
        <f>IF(PAA_4[[#This Row],[BOLSA]]=0,0,SUMIFS([2]!COMPROMISOS_2024[[#All],[Total pagado]],[2]!COMPROMISOS_2024[[#All],[Bolsa]],PAA_4[[#This Row],[BOLSA]],[2]!COMPROMISOS_2024[[#All],[rubro]],PAA_4[[#This Row],[RCP-RUBRO]]))</f>
        <v>0</v>
      </c>
      <c r="AK2256" s="47" t="e" cm="1">
        <f t="array" aca="1" ref="AK2256" ca="1">_xlfn.XLOOKUP(PAA_4[[#This Row],[RCP-RUBRO]],[2]!COMPROMISOS_2024[[#All],[concatenado]],[2]!COMPROMISOS_2024[[#All],[Total Comprometido]],"",0)</f>
        <v>#NAME?</v>
      </c>
      <c r="AL2256" s="47">
        <f>IF(PAA_4[[#This Row],[BOLSA]]=0,0,SUMIFS([2]!COMPROMISOS_2024[[#All],[Total Comprometido]],[2]!COMPROMISOS_2024[[#All],[Bolsa]],PAA_4[[#This Row],[BOLSA]],[2]!COMPROMISOS_2024[[#All],[concatenado]],PAA_4[[#This Row],[RCP-RUBRO]]))</f>
        <v>0</v>
      </c>
    </row>
    <row r="2257" spans="1:38" s="377" customFormat="1" ht="31.5" customHeight="1">
      <c r="A2257" s="47" t="s">
        <v>82</v>
      </c>
      <c r="B2257" s="47" t="s">
        <v>42</v>
      </c>
      <c r="C2257" s="47" t="str">
        <f>VLOOKUP(PAA_4[[#This Row],[PROYECTO (formulado)2]],[2]PROYECTOS!$G$1:$L$32,6,0)</f>
        <v>SUBGERENCIA DE FOMENTO Y DESARROLLO</v>
      </c>
      <c r="D2257" s="47" t="str">
        <f>+IF(PAA_4[[#This Row],[UNIDAD DE CONTRATACION (formulado)]]="Subgerencia Administrativa y Financiera","FUNCIONAMIENTO","INVERSIÓN")</f>
        <v>INVERSIÓN</v>
      </c>
      <c r="E2257" s="48" t="str">
        <f>VLOOKUP(Q2257,[2]PROYECTOS!$G$1:$K$32,5,0)</f>
        <v>Fortalecimiento de los juegos deportivos institucionales en los municipios del departamento de Antioquia</v>
      </c>
      <c r="F2257" s="48">
        <f>VLOOKUP(E2257,[2]PROYECTOS!$K$1:$M$32,3,0)</f>
        <v>2024003050073</v>
      </c>
      <c r="G2257" s="49" t="s">
        <v>2352</v>
      </c>
      <c r="H2257" s="49" t="str">
        <f>VLOOKUP(Q2257,[2]PROYECTOS!$V$1:$W$32,2,0)</f>
        <v>050081</v>
      </c>
      <c r="I2257" s="78">
        <v>606966</v>
      </c>
      <c r="J2257" s="51" t="s">
        <v>1851</v>
      </c>
      <c r="K2257" s="47" t="str">
        <f ca="1">IF(ISNONTEXT(Y2257)=TRUE,"CONTRATADO","NO CONTRATADO")</f>
        <v>CONTRATADO</v>
      </c>
      <c r="L2257" s="47" t="s">
        <v>42</v>
      </c>
      <c r="M2257" s="47" t="s">
        <v>42</v>
      </c>
      <c r="N2257" s="52" t="s">
        <v>2353</v>
      </c>
      <c r="O2257" s="51" t="e">
        <f>VLOOKUP(N2257,[2]!RUBROS[#All],3,0)</f>
        <v>#REF!</v>
      </c>
      <c r="P2257" s="53" t="e">
        <f>VLOOKUP(N2257,[2]!RUBROS[#All],2,0)</f>
        <v>#REF!</v>
      </c>
      <c r="Q2257" s="47" t="str">
        <f>+MID(N2257,11,2)</f>
        <v>73</v>
      </c>
      <c r="R2257" s="47" t="str">
        <f>+MID(N2257,14,8)</f>
        <v>0-205128</v>
      </c>
      <c r="S2257" s="54" t="s">
        <v>42</v>
      </c>
      <c r="T2257" s="63" t="s">
        <v>42</v>
      </c>
      <c r="U2257" s="326" t="e">
        <f ca="1">_xlfn.XLOOKUP(PAA_4[[#This Row],[ITEM]],[2]Contrato!A:A,[2]Contrato!Q:Q,"",0)</f>
        <v>#NAME?</v>
      </c>
      <c r="V2257" s="47" t="s">
        <v>95</v>
      </c>
      <c r="W2257" s="47" t="s">
        <v>42</v>
      </c>
      <c r="X2257" s="47" t="s">
        <v>42</v>
      </c>
      <c r="Y2257" s="55" t="e">
        <f ca="1">_xlfn.XLOOKUP(PAA_4[[#This Row],[ITEM]],[2]Contrato!A:A,[2]Contrato!B:B,"",0)</f>
        <v>#NAME?</v>
      </c>
      <c r="Z2257" s="47" t="e">
        <f ca="1">_xlfn.XLOOKUP(PAA_4[[#This Row],[ITEM]],[2]Contrato!A:A,[2]Contrato!G:G,"",0)</f>
        <v>#NAME?</v>
      </c>
      <c r="AA2257" s="47" t="e">
        <f ca="1">_xlfn.XLOOKUP(PAA_4[[#This Row],[ITEM]],[2]Contrato!A:A,[2]Contrato!T:T,"",0)</f>
        <v>#NAME?</v>
      </c>
      <c r="AB2257" s="55" t="e">
        <f ca="1">+MAX(PAA_4[[#This Row],[Comprometido Contrato]],PAA_4[[#This Row],[Comprometido Bolsa]])</f>
        <v>#NAME?</v>
      </c>
      <c r="AC2257" s="55" t="str">
        <f ca="1">IFERROR(I2257-AB2257,"")</f>
        <v/>
      </c>
      <c r="AD2257" s="55" t="e">
        <f ca="1">IF(PAA_4[[#This Row],[ESTADO (formulado)]]="NO CONTRATADO",0,MAX(PAA_4[[#This Row],[Pago por Contrato]],PAA_4[[#This Row],[Pago por bolsa]]))</f>
        <v>#NAME?</v>
      </c>
      <c r="AE2257" s="55" t="str">
        <f ca="1">+IFERROR(AB2257-AD2257,"")</f>
        <v/>
      </c>
      <c r="AF2257" s="47" t="e">
        <f ca="1">+CONCATENATE(AA2257,N2257)</f>
        <v>#NAME?</v>
      </c>
      <c r="AG2257" s="47">
        <f>IFERROR(_xlfn.NUMBERVALUE(MID(G2257,1,8)),"")</f>
        <v>52010703</v>
      </c>
      <c r="AH2257" s="54">
        <f>IF(Q2257="22",IF(ISNUMBER(SEARCH("econ",PAA_4[[#This Row],[Actividad3]])),"Económico",IF(ISNUMBER(SEARCH("alim",PAA_4[[#This Row],[Actividad3]])),"Alimentación",IF(ISNUMBER(SEARCH("educ",PAA_4[[#This Row],[Actividad3]])),"Educativo","Técnico"))),0)</f>
        <v>0</v>
      </c>
      <c r="AI2257" s="47" t="e" cm="1">
        <f t="array" aca="1" ref="AI2257" ca="1">_xlfn.XLOOKUP(PAA_4[[#This Row],[RCP-RUBRO]],[2]!COMPROMISOS_2024[[#All],[concatenado]],[2]!COMPROMISOS_2024[[#All],[Total pagado]],"",0)</f>
        <v>#NAME?</v>
      </c>
      <c r="AJ2257" s="56">
        <f>IF(PAA_4[[#This Row],[BOLSA]]=0,0,SUMIFS([2]!COMPROMISOS_2024[[#All],[Total pagado]],[2]!COMPROMISOS_2024[[#All],[Bolsa]],PAA_4[[#This Row],[BOLSA]],[2]!COMPROMISOS_2024[[#All],[rubro]],PAA_4[[#This Row],[RCP-RUBRO]]))</f>
        <v>0</v>
      </c>
      <c r="AK2257" s="47" t="e" cm="1">
        <f t="array" aca="1" ref="AK2257" ca="1">_xlfn.XLOOKUP(PAA_4[[#This Row],[RCP-RUBRO]],[2]!COMPROMISOS_2024[[#All],[concatenado]],[2]!COMPROMISOS_2024[[#All],[Total Comprometido]],"",0)</f>
        <v>#NAME?</v>
      </c>
      <c r="AL2257" s="47">
        <f>IF(PAA_4[[#This Row],[BOLSA]]=0,0,SUMIFS([2]!COMPROMISOS_2024[[#All],[Total Comprometido]],[2]!COMPROMISOS_2024[[#All],[Bolsa]],PAA_4[[#This Row],[BOLSA]],[2]!COMPROMISOS_2024[[#All],[concatenado]],PAA_4[[#This Row],[RCP-RUBRO]]))</f>
        <v>0</v>
      </c>
    </row>
    <row r="2258" spans="1:38" s="19" customFormat="1" ht="31.5" customHeight="1">
      <c r="A2258" s="47">
        <v>1106</v>
      </c>
      <c r="B2258" s="47">
        <v>80111600</v>
      </c>
      <c r="C2258" s="47" t="str">
        <f>VLOOKUP(PAA_4[[#This Row],[PROYECTO (formulado)2]],[2]PROYECTOS!$G$1:$L$32,6,0)</f>
        <v>SUBGERENCIA DE FOMENTO Y DESARROLLO</v>
      </c>
      <c r="D2258" s="47" t="str">
        <f>+IF(PAA_4[[#This Row],[UNIDAD DE CONTRATACION (formulado)]]="Subgerencia Administrativa y Financiera","FUNCIONAMIENTO","INVERSIÓN")</f>
        <v>INVERSIÓN</v>
      </c>
      <c r="E2258" s="48" t="str">
        <f>VLOOKUP(Q2258,[2]PROYECTOS!$G$1:$K$32,5,0)</f>
        <v>Fortalecimiento de los juegos deportivos institucionales en los municipios del departamento de Antioquia</v>
      </c>
      <c r="F2258" s="48">
        <f>VLOOKUP(E2258,[2]PROYECTOS!$K$1:$M$32,3,0)</f>
        <v>2024003050073</v>
      </c>
      <c r="G2258" s="49" t="s">
        <v>2352</v>
      </c>
      <c r="H2258" s="49" t="str">
        <f>VLOOKUP(Q2258,[2]PROYECTOS!$V$1:$W$32,2,0)</f>
        <v>050081</v>
      </c>
      <c r="I2258" s="78">
        <f>19466503-5208981-606966</f>
        <v>13650556</v>
      </c>
      <c r="J2258" s="51" t="s">
        <v>2412</v>
      </c>
      <c r="K2258" s="47" t="str">
        <f t="shared" ref="K2258:K2265" ca="1" si="822">IF(ISNONTEXT(Y2258)=TRUE,"CONTRATADO","NO CONTRATADO")</f>
        <v>CONTRATADO</v>
      </c>
      <c r="L2258" s="47" t="s">
        <v>94</v>
      </c>
      <c r="M2258" s="366" t="s">
        <v>1297</v>
      </c>
      <c r="N2258" s="52" t="s">
        <v>2353</v>
      </c>
      <c r="O2258" s="51" t="e">
        <f>VLOOKUP(N2258,[2]!RUBROS[#All],3,0)</f>
        <v>#REF!</v>
      </c>
      <c r="P2258" s="53" t="e">
        <f>VLOOKUP(N2258,[2]!RUBROS[#All],2,0)</f>
        <v>#REF!</v>
      </c>
      <c r="Q2258" s="47" t="str">
        <f t="shared" ref="Q2258:Q2265" si="823">+MID(N2258,11,2)</f>
        <v>73</v>
      </c>
      <c r="R2258" s="47" t="str">
        <f t="shared" ref="R2258:R2265" si="824">+MID(N2258,14,8)</f>
        <v>0-205128</v>
      </c>
      <c r="S2258" s="54">
        <v>4</v>
      </c>
      <c r="T2258" s="59" t="s">
        <v>46</v>
      </c>
      <c r="U2258" s="326" t="e">
        <f ca="1">_xlfn.XLOOKUP(PAA_4[[#This Row],[ITEM]],[2]Contrato!A:A,[2]Contrato!Q:Q,"",0)</f>
        <v>#NAME?</v>
      </c>
      <c r="V2258" s="47" t="s">
        <v>95</v>
      </c>
      <c r="W2258" s="47" t="s">
        <v>203</v>
      </c>
      <c r="X2258" s="47" t="s">
        <v>203</v>
      </c>
      <c r="Y2258" s="55" t="e">
        <f ca="1">_xlfn.XLOOKUP(PAA_4[[#This Row],[ITEM]],[2]Contrato!A:A,[2]Contrato!B:B,"",0)</f>
        <v>#NAME?</v>
      </c>
      <c r="Z2258" s="47" t="e">
        <f ca="1">_xlfn.XLOOKUP(PAA_4[[#This Row],[ITEM]],[2]Contrato!A:A,[2]Contrato!G:G,"",0)</f>
        <v>#NAME?</v>
      </c>
      <c r="AA2258" s="47" t="e">
        <f ca="1">_xlfn.XLOOKUP(PAA_4[[#This Row],[ITEM]],[2]Contrato!A:A,[2]Contrato!T:T,"",0)</f>
        <v>#NAME?</v>
      </c>
      <c r="AB2258" s="55" t="e">
        <f ca="1">+MAX(PAA_4[[#This Row],[Comprometido Contrato]],PAA_4[[#This Row],[Comprometido Bolsa]])</f>
        <v>#NAME?</v>
      </c>
      <c r="AC2258" s="55" t="str">
        <f t="shared" ref="AC2258:AC2265" ca="1" si="825">IFERROR(I2258-AB2258,"")</f>
        <v/>
      </c>
      <c r="AD2258" s="55" t="e">
        <f ca="1">IF(PAA_4[[#This Row],[ESTADO (formulado)]]="NO CONTRATADO",0,MAX(PAA_4[[#This Row],[Pago por Contrato]],PAA_4[[#This Row],[Pago por bolsa]]))</f>
        <v>#NAME?</v>
      </c>
      <c r="AE2258" s="55" t="str">
        <f t="shared" ref="AE2258:AE2265" ca="1" si="826">+IFERROR(AB2258-AD2258,"")</f>
        <v/>
      </c>
      <c r="AF2258" s="47" t="e">
        <f t="shared" ref="AF2258:AF2265" ca="1" si="827">+CONCATENATE(AA2258,N2258)</f>
        <v>#NAME?</v>
      </c>
      <c r="AG2258" s="47">
        <f t="shared" ref="AG2258:AG2265" si="828">IFERROR(_xlfn.NUMBERVALUE(MID(G2258,1,8)),"")</f>
        <v>52010703</v>
      </c>
      <c r="AH2258" s="54">
        <f>IF(Q2258="22",IF(ISNUMBER(SEARCH("econ",PAA_4[[#This Row],[Actividad3]])),"Económico",IF(ISNUMBER(SEARCH("alim",PAA_4[[#This Row],[Actividad3]])),"Alimentación",IF(ISNUMBER(SEARCH("educ",PAA_4[[#This Row],[Actividad3]])),"Educativo","Técnico"))),0)</f>
        <v>0</v>
      </c>
      <c r="AI2258" s="47" t="e" cm="1">
        <f t="array" aca="1" ref="AI2258" ca="1">_xlfn.XLOOKUP(PAA_4[[#This Row],[RCP-RUBRO]],[2]!COMPROMISOS_2024[[#All],[concatenado]],[2]!COMPROMISOS_2024[[#All],[Total pagado]],"",0)</f>
        <v>#NAME?</v>
      </c>
      <c r="AJ2258" s="56">
        <f>IF(PAA_4[[#This Row],[BOLSA]]=0,0,SUMIFS([2]!COMPROMISOS_2024[[#All],[Total pagado]],[2]!COMPROMISOS_2024[[#All],[Bolsa]],PAA_4[[#This Row],[BOLSA]],[2]!COMPROMISOS_2024[[#All],[rubro]],PAA_4[[#This Row],[RCP-RUBRO]]))</f>
        <v>0</v>
      </c>
      <c r="AK2258" s="47" t="e" cm="1">
        <f t="array" aca="1" ref="AK2258" ca="1">_xlfn.XLOOKUP(PAA_4[[#This Row],[RCP-RUBRO]],[2]!COMPROMISOS_2024[[#All],[concatenado]],[2]!COMPROMISOS_2024[[#All],[Total Comprometido]],"",0)</f>
        <v>#NAME?</v>
      </c>
      <c r="AL2258" s="47">
        <f>IF(PAA_4[[#This Row],[BOLSA]]=0,0,SUMIFS([2]!COMPROMISOS_2024[[#All],[Total Comprometido]],[2]!COMPROMISOS_2024[[#All],[Bolsa]],PAA_4[[#This Row],[BOLSA]],[2]!COMPROMISOS_2024[[#All],[concatenado]],PAA_4[[#This Row],[RCP-RUBRO]]))</f>
        <v>0</v>
      </c>
    </row>
    <row r="2259" spans="1:38" s="19" customFormat="1" ht="31.5" customHeight="1">
      <c r="A2259" s="47">
        <v>1107</v>
      </c>
      <c r="B2259" s="47">
        <v>80111600</v>
      </c>
      <c r="C2259" s="47" t="str">
        <f>VLOOKUP(PAA_4[[#This Row],[PROYECTO (formulado)2]],[2]PROYECTOS!$G$1:$L$32,6,0)</f>
        <v>SUBGERENCIA DE FOMENTO Y DESARROLLO</v>
      </c>
      <c r="D2259" s="47" t="str">
        <f>+IF(PAA_4[[#This Row],[UNIDAD DE CONTRATACION (formulado)]]="Subgerencia Administrativa y Financiera","FUNCIONAMIENTO","INVERSIÓN")</f>
        <v>INVERSIÓN</v>
      </c>
      <c r="E2259" s="48" t="str">
        <f>VLOOKUP(Q2259,[2]PROYECTOS!$G$1:$K$32,5,0)</f>
        <v>Desarrollo y promoción del deporte formativo, la recreación y la actividad física en el departamento Antioquia</v>
      </c>
      <c r="F2259" s="48">
        <f>VLOOKUP(E2259,[2]PROYECTOS!$K$1:$M$32,3,0)</f>
        <v>2024003050101</v>
      </c>
      <c r="G2259" s="49" t="s">
        <v>2316</v>
      </c>
      <c r="H2259" s="49" t="str">
        <f>VLOOKUP(Q2259,[2]PROYECTOS!$V$1:$W$32,2,0)</f>
        <v>050075</v>
      </c>
      <c r="I2259" s="78">
        <v>0</v>
      </c>
      <c r="J2259" s="51" t="s">
        <v>42</v>
      </c>
      <c r="K2259" s="47" t="str">
        <f t="shared" ca="1" si="822"/>
        <v>CONTRATADO</v>
      </c>
      <c r="L2259" s="47" t="s">
        <v>78</v>
      </c>
      <c r="M2259" s="47" t="s">
        <v>1297</v>
      </c>
      <c r="N2259" s="52" t="s">
        <v>1367</v>
      </c>
      <c r="O2259" s="51" t="e">
        <f>VLOOKUP(N2259,[2]!RUBROS[#All],3,0)</f>
        <v>#REF!</v>
      </c>
      <c r="P2259" s="53" t="e">
        <f>VLOOKUP(N2259,[2]!RUBROS[#All],2,0)</f>
        <v>#REF!</v>
      </c>
      <c r="Q2259" s="47" t="str">
        <f t="shared" si="823"/>
        <v>01</v>
      </c>
      <c r="R2259" s="47" t="str">
        <f t="shared" si="824"/>
        <v>0-205400</v>
      </c>
      <c r="S2259" s="54">
        <v>4</v>
      </c>
      <c r="T2259" s="59" t="s">
        <v>46</v>
      </c>
      <c r="U2259" s="326" t="e">
        <f ca="1">_xlfn.XLOOKUP(PAA_4[[#This Row],[ITEM]],[2]Contrato!A:A,[2]Contrato!Q:Q,"",0)</f>
        <v>#NAME?</v>
      </c>
      <c r="V2259" s="47" t="s">
        <v>95</v>
      </c>
      <c r="W2259" s="47" t="s">
        <v>42</v>
      </c>
      <c r="X2259" s="47" t="s">
        <v>42</v>
      </c>
      <c r="Y2259" s="55" t="e">
        <f ca="1">_xlfn.XLOOKUP(PAA_4[[#This Row],[ITEM]],[2]Contrato!A:A,[2]Contrato!B:B,"",0)</f>
        <v>#NAME?</v>
      </c>
      <c r="Z2259" s="47" t="e">
        <f ca="1">_xlfn.XLOOKUP(PAA_4[[#This Row],[ITEM]],[2]Contrato!A:A,[2]Contrato!G:G,"",0)</f>
        <v>#NAME?</v>
      </c>
      <c r="AA2259" s="47" t="e">
        <f ca="1">_xlfn.XLOOKUP(PAA_4[[#This Row],[ITEM]],[2]Contrato!A:A,[2]Contrato!T:T,"",0)</f>
        <v>#NAME?</v>
      </c>
      <c r="AB2259" s="55" t="e">
        <f ca="1">+MAX(PAA_4[[#This Row],[Comprometido Contrato]],PAA_4[[#This Row],[Comprometido Bolsa]])</f>
        <v>#NAME?</v>
      </c>
      <c r="AC2259" s="55" t="str">
        <f t="shared" ca="1" si="825"/>
        <v/>
      </c>
      <c r="AD2259" s="55" t="e">
        <f ca="1">IF(PAA_4[[#This Row],[ESTADO (formulado)]]="NO CONTRATADO",0,MAX(PAA_4[[#This Row],[Pago por Contrato]],PAA_4[[#This Row],[Pago por bolsa]]))</f>
        <v>#NAME?</v>
      </c>
      <c r="AE2259" s="55" t="str">
        <f t="shared" ca="1" si="826"/>
        <v/>
      </c>
      <c r="AF2259" s="47" t="e">
        <f t="shared" ca="1" si="827"/>
        <v>#NAME?</v>
      </c>
      <c r="AG2259" s="47">
        <f t="shared" si="828"/>
        <v>52010702</v>
      </c>
      <c r="AH2259" s="54">
        <f>IF(Q2259="22",IF(ISNUMBER(SEARCH("econ",PAA_4[[#This Row],[Actividad3]])),"Económico",IF(ISNUMBER(SEARCH("alim",PAA_4[[#This Row],[Actividad3]])),"Alimentación",IF(ISNUMBER(SEARCH("educ",PAA_4[[#This Row],[Actividad3]])),"Educativo","Técnico"))),0)</f>
        <v>0</v>
      </c>
      <c r="AI2259" s="47" t="e" cm="1">
        <f t="array" aca="1" ref="AI2259" ca="1">_xlfn.XLOOKUP(PAA_4[[#This Row],[RCP-RUBRO]],[2]!COMPROMISOS_2024[[#All],[concatenado]],[2]!COMPROMISOS_2024[[#All],[Total pagado]],"",0)</f>
        <v>#NAME?</v>
      </c>
      <c r="AJ2259" s="56">
        <f>IF(PAA_4[[#This Row],[BOLSA]]=0,0,SUMIFS([2]!COMPROMISOS_2024[[#All],[Total pagado]],[2]!COMPROMISOS_2024[[#All],[Bolsa]],PAA_4[[#This Row],[BOLSA]],[2]!COMPROMISOS_2024[[#All],[rubro]],PAA_4[[#This Row],[RCP-RUBRO]]))</f>
        <v>0</v>
      </c>
      <c r="AK2259" s="47" t="e" cm="1">
        <f t="array" aca="1" ref="AK2259" ca="1">_xlfn.XLOOKUP(PAA_4[[#This Row],[RCP-RUBRO]],[2]!COMPROMISOS_2024[[#All],[concatenado]],[2]!COMPROMISOS_2024[[#All],[Total Comprometido]],"",0)</f>
        <v>#NAME?</v>
      </c>
      <c r="AL2259" s="47">
        <f>IF(PAA_4[[#This Row],[BOLSA]]=0,0,SUMIFS([2]!COMPROMISOS_2024[[#All],[Total Comprometido]],[2]!COMPROMISOS_2024[[#All],[Bolsa]],PAA_4[[#This Row],[BOLSA]],[2]!COMPROMISOS_2024[[#All],[concatenado]],PAA_4[[#This Row],[RCP-RUBRO]]))</f>
        <v>0</v>
      </c>
    </row>
    <row r="2260" spans="1:38" s="19" customFormat="1" ht="31.5" customHeight="1">
      <c r="A2260" s="47">
        <v>1108</v>
      </c>
      <c r="B2260" s="47">
        <v>80111600</v>
      </c>
      <c r="C2260" s="47" t="str">
        <f>VLOOKUP(PAA_4[[#This Row],[PROYECTO (formulado)2]],[2]PROYECTOS!$G$1:$L$32,6,0)</f>
        <v>SUBGERENCIA DE FOMENTO Y DESARROLLO</v>
      </c>
      <c r="D2260" s="47" t="str">
        <f>+IF(PAA_4[[#This Row],[UNIDAD DE CONTRATACION (formulado)]]="Subgerencia Administrativa y Financiera","FUNCIONAMIENTO","INVERSIÓN")</f>
        <v>INVERSIÓN</v>
      </c>
      <c r="E2260" s="48" t="str">
        <f>VLOOKUP(Q2260,[2]PROYECTOS!$G$1:$K$32,5,0)</f>
        <v>Desarrollo y promoción del deporte formativo, la recreación y la actividad física en el departamento Antioquia</v>
      </c>
      <c r="F2260" s="48">
        <f>VLOOKUP(E2260,[2]PROYECTOS!$K$1:$M$32,3,0)</f>
        <v>2024003050101</v>
      </c>
      <c r="G2260" s="49" t="s">
        <v>2316</v>
      </c>
      <c r="H2260" s="49" t="str">
        <f>VLOOKUP(Q2260,[2]PROYECTOS!$V$1:$W$32,2,0)</f>
        <v>050075</v>
      </c>
      <c r="I2260" s="78">
        <v>0</v>
      </c>
      <c r="J2260" s="51" t="s">
        <v>42</v>
      </c>
      <c r="K2260" s="47" t="str">
        <f t="shared" ca="1" si="822"/>
        <v>CONTRATADO</v>
      </c>
      <c r="L2260" s="47" t="s">
        <v>78</v>
      </c>
      <c r="M2260" s="47" t="s">
        <v>1297</v>
      </c>
      <c r="N2260" s="52" t="s">
        <v>1367</v>
      </c>
      <c r="O2260" s="51" t="e">
        <f>VLOOKUP(N2260,[2]!RUBROS[#All],3,0)</f>
        <v>#REF!</v>
      </c>
      <c r="P2260" s="53" t="e">
        <f>VLOOKUP(N2260,[2]!RUBROS[#All],2,0)</f>
        <v>#REF!</v>
      </c>
      <c r="Q2260" s="47" t="str">
        <f t="shared" si="823"/>
        <v>01</v>
      </c>
      <c r="R2260" s="47" t="str">
        <f t="shared" si="824"/>
        <v>0-205400</v>
      </c>
      <c r="S2260" s="54">
        <v>4</v>
      </c>
      <c r="T2260" s="59" t="s">
        <v>46</v>
      </c>
      <c r="U2260" s="326" t="e">
        <f ca="1">_xlfn.XLOOKUP(PAA_4[[#This Row],[ITEM]],[2]Contrato!A:A,[2]Contrato!Q:Q,"",0)</f>
        <v>#NAME?</v>
      </c>
      <c r="V2260" s="47" t="s">
        <v>95</v>
      </c>
      <c r="W2260" s="47" t="s">
        <v>42</v>
      </c>
      <c r="X2260" s="47" t="s">
        <v>42</v>
      </c>
      <c r="Y2260" s="55" t="e">
        <f ca="1">_xlfn.XLOOKUP(PAA_4[[#This Row],[ITEM]],[2]Contrato!A:A,[2]Contrato!B:B,"",0)</f>
        <v>#NAME?</v>
      </c>
      <c r="Z2260" s="47" t="e">
        <f ca="1">_xlfn.XLOOKUP(PAA_4[[#This Row],[ITEM]],[2]Contrato!A:A,[2]Contrato!G:G,"",0)</f>
        <v>#NAME?</v>
      </c>
      <c r="AA2260" s="47" t="e">
        <f ca="1">_xlfn.XLOOKUP(PAA_4[[#This Row],[ITEM]],[2]Contrato!A:A,[2]Contrato!T:T,"",0)</f>
        <v>#NAME?</v>
      </c>
      <c r="AB2260" s="55" t="e">
        <f ca="1">+MAX(PAA_4[[#This Row],[Comprometido Contrato]],PAA_4[[#This Row],[Comprometido Bolsa]])</f>
        <v>#NAME?</v>
      </c>
      <c r="AC2260" s="55" t="str">
        <f t="shared" ca="1" si="825"/>
        <v/>
      </c>
      <c r="AD2260" s="55" t="e">
        <f ca="1">IF(PAA_4[[#This Row],[ESTADO (formulado)]]="NO CONTRATADO",0,MAX(PAA_4[[#This Row],[Pago por Contrato]],PAA_4[[#This Row],[Pago por bolsa]]))</f>
        <v>#NAME?</v>
      </c>
      <c r="AE2260" s="55" t="str">
        <f t="shared" ca="1" si="826"/>
        <v/>
      </c>
      <c r="AF2260" s="47" t="e">
        <f t="shared" ca="1" si="827"/>
        <v>#NAME?</v>
      </c>
      <c r="AG2260" s="47">
        <f t="shared" si="828"/>
        <v>52010702</v>
      </c>
      <c r="AH2260" s="54">
        <f>IF(Q2260="22",IF(ISNUMBER(SEARCH("econ",PAA_4[[#This Row],[Actividad3]])),"Económico",IF(ISNUMBER(SEARCH("alim",PAA_4[[#This Row],[Actividad3]])),"Alimentación",IF(ISNUMBER(SEARCH("educ",PAA_4[[#This Row],[Actividad3]])),"Educativo","Técnico"))),0)</f>
        <v>0</v>
      </c>
      <c r="AI2260" s="47" t="e" cm="1">
        <f t="array" aca="1" ref="AI2260" ca="1">_xlfn.XLOOKUP(PAA_4[[#This Row],[RCP-RUBRO]],[2]!COMPROMISOS_2024[[#All],[concatenado]],[2]!COMPROMISOS_2024[[#All],[Total pagado]],"",0)</f>
        <v>#NAME?</v>
      </c>
      <c r="AJ2260" s="56">
        <f>IF(PAA_4[[#This Row],[BOLSA]]=0,0,SUMIFS([2]!COMPROMISOS_2024[[#All],[Total pagado]],[2]!COMPROMISOS_2024[[#All],[Bolsa]],PAA_4[[#This Row],[BOLSA]],[2]!COMPROMISOS_2024[[#All],[rubro]],PAA_4[[#This Row],[RCP-RUBRO]]))</f>
        <v>0</v>
      </c>
      <c r="AK2260" s="47" t="e" cm="1">
        <f t="array" aca="1" ref="AK2260" ca="1">_xlfn.XLOOKUP(PAA_4[[#This Row],[RCP-RUBRO]],[2]!COMPROMISOS_2024[[#All],[concatenado]],[2]!COMPROMISOS_2024[[#All],[Total Comprometido]],"",0)</f>
        <v>#NAME?</v>
      </c>
      <c r="AL2260" s="47">
        <f>IF(PAA_4[[#This Row],[BOLSA]]=0,0,SUMIFS([2]!COMPROMISOS_2024[[#All],[Total Comprometido]],[2]!COMPROMISOS_2024[[#All],[Bolsa]],PAA_4[[#This Row],[BOLSA]],[2]!COMPROMISOS_2024[[#All],[concatenado]],PAA_4[[#This Row],[RCP-RUBRO]]))</f>
        <v>0</v>
      </c>
    </row>
    <row r="2261" spans="1:38" s="19" customFormat="1" ht="31.5" customHeight="1">
      <c r="A2261" s="47">
        <v>1109</v>
      </c>
      <c r="B2261" s="47">
        <v>80111600</v>
      </c>
      <c r="C2261" s="47" t="str">
        <f>VLOOKUP(PAA_4[[#This Row],[PROYECTO (formulado)2]],[2]PROYECTOS!$G$1:$L$32,6,0)</f>
        <v>SUBGERENCIA DE FOMENTO Y DESARROLLO</v>
      </c>
      <c r="D2261" s="47" t="str">
        <f>+IF(PAA_4[[#This Row],[UNIDAD DE CONTRATACION (formulado)]]="Subgerencia Administrativa y Financiera","FUNCIONAMIENTO","INVERSIÓN")</f>
        <v>INVERSIÓN</v>
      </c>
      <c r="E2261" s="48" t="str">
        <f>VLOOKUP(Q2261,[2]PROYECTOS!$G$1:$K$32,5,0)</f>
        <v>Desarrollo y promoción del deporte formativo, la recreación y la actividad física en el departamento Antioquia</v>
      </c>
      <c r="F2261" s="48">
        <f>VLOOKUP(E2261,[2]PROYECTOS!$K$1:$M$32,3,0)</f>
        <v>2024003050101</v>
      </c>
      <c r="G2261" s="49" t="s">
        <v>2316</v>
      </c>
      <c r="H2261" s="49" t="str">
        <f>VLOOKUP(Q2261,[2]PROYECTOS!$V$1:$W$32,2,0)</f>
        <v>050075</v>
      </c>
      <c r="I2261" s="78">
        <v>0</v>
      </c>
      <c r="J2261" s="51" t="s">
        <v>42</v>
      </c>
      <c r="K2261" s="47" t="str">
        <f t="shared" ca="1" si="822"/>
        <v>CONTRATADO</v>
      </c>
      <c r="L2261" s="47" t="s">
        <v>78</v>
      </c>
      <c r="M2261" s="47" t="s">
        <v>1297</v>
      </c>
      <c r="N2261" s="52" t="s">
        <v>1367</v>
      </c>
      <c r="O2261" s="51" t="e">
        <f>VLOOKUP(N2261,[2]!RUBROS[#All],3,0)</f>
        <v>#REF!</v>
      </c>
      <c r="P2261" s="53" t="e">
        <f>VLOOKUP(N2261,[2]!RUBROS[#All],2,0)</f>
        <v>#REF!</v>
      </c>
      <c r="Q2261" s="47" t="str">
        <f t="shared" si="823"/>
        <v>01</v>
      </c>
      <c r="R2261" s="47" t="str">
        <f t="shared" si="824"/>
        <v>0-205400</v>
      </c>
      <c r="S2261" s="54">
        <v>4</v>
      </c>
      <c r="T2261" s="59" t="s">
        <v>46</v>
      </c>
      <c r="U2261" s="326" t="e">
        <f ca="1">_xlfn.XLOOKUP(PAA_4[[#This Row],[ITEM]],[2]Contrato!A:A,[2]Contrato!Q:Q,"",0)</f>
        <v>#NAME?</v>
      </c>
      <c r="V2261" s="47" t="s">
        <v>95</v>
      </c>
      <c r="W2261" s="47" t="s">
        <v>42</v>
      </c>
      <c r="X2261" s="47" t="s">
        <v>42</v>
      </c>
      <c r="Y2261" s="55" t="e">
        <f ca="1">_xlfn.XLOOKUP(PAA_4[[#This Row],[ITEM]],[2]Contrato!A:A,[2]Contrato!B:B,"",0)</f>
        <v>#NAME?</v>
      </c>
      <c r="Z2261" s="47" t="e">
        <f ca="1">_xlfn.XLOOKUP(PAA_4[[#This Row],[ITEM]],[2]Contrato!A:A,[2]Contrato!G:G,"",0)</f>
        <v>#NAME?</v>
      </c>
      <c r="AA2261" s="47" t="e">
        <f ca="1">_xlfn.XLOOKUP(PAA_4[[#This Row],[ITEM]],[2]Contrato!A:A,[2]Contrato!T:T,"",0)</f>
        <v>#NAME?</v>
      </c>
      <c r="AB2261" s="55" t="e">
        <f ca="1">+MAX(PAA_4[[#This Row],[Comprometido Contrato]],PAA_4[[#This Row],[Comprometido Bolsa]])</f>
        <v>#NAME?</v>
      </c>
      <c r="AC2261" s="55" t="str">
        <f t="shared" ca="1" si="825"/>
        <v/>
      </c>
      <c r="AD2261" s="55" t="e">
        <f ca="1">IF(PAA_4[[#This Row],[ESTADO (formulado)]]="NO CONTRATADO",0,MAX(PAA_4[[#This Row],[Pago por Contrato]],PAA_4[[#This Row],[Pago por bolsa]]))</f>
        <v>#NAME?</v>
      </c>
      <c r="AE2261" s="55" t="str">
        <f t="shared" ca="1" si="826"/>
        <v/>
      </c>
      <c r="AF2261" s="47" t="e">
        <f t="shared" ca="1" si="827"/>
        <v>#NAME?</v>
      </c>
      <c r="AG2261" s="47">
        <f t="shared" si="828"/>
        <v>52010702</v>
      </c>
      <c r="AH2261" s="54">
        <f>IF(Q2261="22",IF(ISNUMBER(SEARCH("econ",PAA_4[[#This Row],[Actividad3]])),"Económico",IF(ISNUMBER(SEARCH("alim",PAA_4[[#This Row],[Actividad3]])),"Alimentación",IF(ISNUMBER(SEARCH("educ",PAA_4[[#This Row],[Actividad3]])),"Educativo","Técnico"))),0)</f>
        <v>0</v>
      </c>
      <c r="AI2261" s="47" t="e" cm="1">
        <f t="array" aca="1" ref="AI2261" ca="1">_xlfn.XLOOKUP(PAA_4[[#This Row],[RCP-RUBRO]],[2]!COMPROMISOS_2024[[#All],[concatenado]],[2]!COMPROMISOS_2024[[#All],[Total pagado]],"",0)</f>
        <v>#NAME?</v>
      </c>
      <c r="AJ2261" s="56">
        <f>IF(PAA_4[[#This Row],[BOLSA]]=0,0,SUMIFS([2]!COMPROMISOS_2024[[#All],[Total pagado]],[2]!COMPROMISOS_2024[[#All],[Bolsa]],PAA_4[[#This Row],[BOLSA]],[2]!COMPROMISOS_2024[[#All],[rubro]],PAA_4[[#This Row],[RCP-RUBRO]]))</f>
        <v>0</v>
      </c>
      <c r="AK2261" s="47" t="e" cm="1">
        <f t="array" aca="1" ref="AK2261" ca="1">_xlfn.XLOOKUP(PAA_4[[#This Row],[RCP-RUBRO]],[2]!COMPROMISOS_2024[[#All],[concatenado]],[2]!COMPROMISOS_2024[[#All],[Total Comprometido]],"",0)</f>
        <v>#NAME?</v>
      </c>
      <c r="AL2261" s="47">
        <f>IF(PAA_4[[#This Row],[BOLSA]]=0,0,SUMIFS([2]!COMPROMISOS_2024[[#All],[Total Comprometido]],[2]!COMPROMISOS_2024[[#All],[Bolsa]],PAA_4[[#This Row],[BOLSA]],[2]!COMPROMISOS_2024[[#All],[concatenado]],PAA_4[[#This Row],[RCP-RUBRO]]))</f>
        <v>0</v>
      </c>
    </row>
    <row r="2262" spans="1:38" s="19" customFormat="1" ht="31.5" customHeight="1">
      <c r="A2262" s="47">
        <v>1110</v>
      </c>
      <c r="B2262" s="47">
        <v>80111600</v>
      </c>
      <c r="C2262" s="47" t="str">
        <f>VLOOKUP(PAA_4[[#This Row],[PROYECTO (formulado)2]],[2]PROYECTOS!$G$1:$L$32,6,0)</f>
        <v>SUBGERENCIA DE FOMENTO Y DESARROLLO</v>
      </c>
      <c r="D2262" s="47" t="str">
        <f>+IF(PAA_4[[#This Row],[UNIDAD DE CONTRATACION (formulado)]]="Subgerencia Administrativa y Financiera","FUNCIONAMIENTO","INVERSIÓN")</f>
        <v>INVERSIÓN</v>
      </c>
      <c r="E2262" s="48" t="str">
        <f>VLOOKUP(Q2262,[2]PROYECTOS!$G$1:$K$32,5,0)</f>
        <v>Desarrollo y promoción del deporte formativo, la recreación y la actividad física en el departamento Antioquia</v>
      </c>
      <c r="F2262" s="48">
        <f>VLOOKUP(E2262,[2]PROYECTOS!$K$1:$M$32,3,0)</f>
        <v>2024003050101</v>
      </c>
      <c r="G2262" s="49" t="s">
        <v>2316</v>
      </c>
      <c r="H2262" s="49" t="str">
        <f>VLOOKUP(Q2262,[2]PROYECTOS!$V$1:$W$32,2,0)</f>
        <v>050075</v>
      </c>
      <c r="I2262" s="78">
        <v>0</v>
      </c>
      <c r="J2262" s="51" t="s">
        <v>42</v>
      </c>
      <c r="K2262" s="47" t="str">
        <f t="shared" ca="1" si="822"/>
        <v>CONTRATADO</v>
      </c>
      <c r="L2262" s="47" t="s">
        <v>78</v>
      </c>
      <c r="M2262" s="47" t="s">
        <v>1297</v>
      </c>
      <c r="N2262" s="52" t="s">
        <v>1367</v>
      </c>
      <c r="O2262" s="51" t="e">
        <f>VLOOKUP(N2262,[2]!RUBROS[#All],3,0)</f>
        <v>#REF!</v>
      </c>
      <c r="P2262" s="53" t="e">
        <f>VLOOKUP(N2262,[2]!RUBROS[#All],2,0)</f>
        <v>#REF!</v>
      </c>
      <c r="Q2262" s="47" t="str">
        <f t="shared" si="823"/>
        <v>01</v>
      </c>
      <c r="R2262" s="47" t="str">
        <f t="shared" si="824"/>
        <v>0-205400</v>
      </c>
      <c r="S2262" s="54">
        <v>4</v>
      </c>
      <c r="T2262" s="59" t="s">
        <v>46</v>
      </c>
      <c r="U2262" s="326" t="e">
        <f ca="1">_xlfn.XLOOKUP(PAA_4[[#This Row],[ITEM]],[2]Contrato!A:A,[2]Contrato!Q:Q,"",0)</f>
        <v>#NAME?</v>
      </c>
      <c r="V2262" s="47" t="s">
        <v>95</v>
      </c>
      <c r="W2262" s="47" t="s">
        <v>42</v>
      </c>
      <c r="X2262" s="47" t="s">
        <v>42</v>
      </c>
      <c r="Y2262" s="55" t="e">
        <f ca="1">_xlfn.XLOOKUP(PAA_4[[#This Row],[ITEM]],[2]Contrato!A:A,[2]Contrato!B:B,"",0)</f>
        <v>#NAME?</v>
      </c>
      <c r="Z2262" s="47" t="e">
        <f ca="1">_xlfn.XLOOKUP(PAA_4[[#This Row],[ITEM]],[2]Contrato!A:A,[2]Contrato!G:G,"",0)</f>
        <v>#NAME?</v>
      </c>
      <c r="AA2262" s="47" t="e">
        <f ca="1">_xlfn.XLOOKUP(PAA_4[[#This Row],[ITEM]],[2]Contrato!A:A,[2]Contrato!T:T,"",0)</f>
        <v>#NAME?</v>
      </c>
      <c r="AB2262" s="55" t="e">
        <f ca="1">+MAX(PAA_4[[#This Row],[Comprometido Contrato]],PAA_4[[#This Row],[Comprometido Bolsa]])</f>
        <v>#NAME?</v>
      </c>
      <c r="AC2262" s="55" t="str">
        <f t="shared" ca="1" si="825"/>
        <v/>
      </c>
      <c r="AD2262" s="55" t="e">
        <f ca="1">IF(PAA_4[[#This Row],[ESTADO (formulado)]]="NO CONTRATADO",0,MAX(PAA_4[[#This Row],[Pago por Contrato]],PAA_4[[#This Row],[Pago por bolsa]]))</f>
        <v>#NAME?</v>
      </c>
      <c r="AE2262" s="55" t="str">
        <f t="shared" ca="1" si="826"/>
        <v/>
      </c>
      <c r="AF2262" s="47" t="e">
        <f t="shared" ca="1" si="827"/>
        <v>#NAME?</v>
      </c>
      <c r="AG2262" s="47">
        <f t="shared" si="828"/>
        <v>52010702</v>
      </c>
      <c r="AH2262" s="54">
        <f>IF(Q2262="22",IF(ISNUMBER(SEARCH("econ",PAA_4[[#This Row],[Actividad3]])),"Económico",IF(ISNUMBER(SEARCH("alim",PAA_4[[#This Row],[Actividad3]])),"Alimentación",IF(ISNUMBER(SEARCH("educ",PAA_4[[#This Row],[Actividad3]])),"Educativo","Técnico"))),0)</f>
        <v>0</v>
      </c>
      <c r="AI2262" s="47" t="e" cm="1">
        <f t="array" aca="1" ref="AI2262" ca="1">_xlfn.XLOOKUP(PAA_4[[#This Row],[RCP-RUBRO]],[2]!COMPROMISOS_2024[[#All],[concatenado]],[2]!COMPROMISOS_2024[[#All],[Total pagado]],"",0)</f>
        <v>#NAME?</v>
      </c>
      <c r="AJ2262" s="56">
        <f>IF(PAA_4[[#This Row],[BOLSA]]=0,0,SUMIFS([2]!COMPROMISOS_2024[[#All],[Total pagado]],[2]!COMPROMISOS_2024[[#All],[Bolsa]],PAA_4[[#This Row],[BOLSA]],[2]!COMPROMISOS_2024[[#All],[rubro]],PAA_4[[#This Row],[RCP-RUBRO]]))</f>
        <v>0</v>
      </c>
      <c r="AK2262" s="47" t="e" cm="1">
        <f t="array" aca="1" ref="AK2262" ca="1">_xlfn.XLOOKUP(PAA_4[[#This Row],[RCP-RUBRO]],[2]!COMPROMISOS_2024[[#All],[concatenado]],[2]!COMPROMISOS_2024[[#All],[Total Comprometido]],"",0)</f>
        <v>#NAME?</v>
      </c>
      <c r="AL2262" s="47">
        <f>IF(PAA_4[[#This Row],[BOLSA]]=0,0,SUMIFS([2]!COMPROMISOS_2024[[#All],[Total Comprometido]],[2]!COMPROMISOS_2024[[#All],[Bolsa]],PAA_4[[#This Row],[BOLSA]],[2]!COMPROMISOS_2024[[#All],[concatenado]],PAA_4[[#This Row],[RCP-RUBRO]]))</f>
        <v>0</v>
      </c>
    </row>
    <row r="2263" spans="1:38" s="19" customFormat="1" ht="31.5" customHeight="1">
      <c r="A2263" s="47">
        <v>1111</v>
      </c>
      <c r="B2263" s="47">
        <v>80111600</v>
      </c>
      <c r="C2263" s="47" t="str">
        <f>VLOOKUP(PAA_4[[#This Row],[PROYECTO (formulado)2]],[2]PROYECTOS!$G$1:$L$32,6,0)</f>
        <v>SUBGERENCIA DE FOMENTO Y DESARROLLO</v>
      </c>
      <c r="D2263" s="47" t="str">
        <f>+IF(PAA_4[[#This Row],[UNIDAD DE CONTRATACION (formulado)]]="Subgerencia Administrativa y Financiera","FUNCIONAMIENTO","INVERSIÓN")</f>
        <v>INVERSIÓN</v>
      </c>
      <c r="E2263" s="48" t="str">
        <f>VLOOKUP(Q2263,[2]PROYECTOS!$G$1:$K$32,5,0)</f>
        <v>Desarrollo y promoción del deporte formativo, la recreación y la actividad física en el departamento Antioquia</v>
      </c>
      <c r="F2263" s="48">
        <f>VLOOKUP(E2263,[2]PROYECTOS!$K$1:$M$32,3,0)</f>
        <v>2024003050101</v>
      </c>
      <c r="G2263" s="49" t="s">
        <v>2316</v>
      </c>
      <c r="H2263" s="49" t="str">
        <f>VLOOKUP(Q2263,[2]PROYECTOS!$V$1:$W$32,2,0)</f>
        <v>050075</v>
      </c>
      <c r="I2263" s="78">
        <v>0</v>
      </c>
      <c r="J2263" s="51" t="s">
        <v>42</v>
      </c>
      <c r="K2263" s="47" t="str">
        <f t="shared" ca="1" si="822"/>
        <v>CONTRATADO</v>
      </c>
      <c r="L2263" s="47" t="s">
        <v>78</v>
      </c>
      <c r="M2263" s="47" t="s">
        <v>1297</v>
      </c>
      <c r="N2263" s="52" t="s">
        <v>1367</v>
      </c>
      <c r="O2263" s="51" t="e">
        <f>VLOOKUP(N2263,[2]!RUBROS[#All],3,0)</f>
        <v>#REF!</v>
      </c>
      <c r="P2263" s="53" t="e">
        <f>VLOOKUP(N2263,[2]!RUBROS[#All],2,0)</f>
        <v>#REF!</v>
      </c>
      <c r="Q2263" s="47" t="str">
        <f t="shared" si="823"/>
        <v>01</v>
      </c>
      <c r="R2263" s="47" t="str">
        <f t="shared" si="824"/>
        <v>0-205400</v>
      </c>
      <c r="S2263" s="54">
        <v>4</v>
      </c>
      <c r="T2263" s="59" t="s">
        <v>46</v>
      </c>
      <c r="U2263" s="326" t="e">
        <f ca="1">_xlfn.XLOOKUP(PAA_4[[#This Row],[ITEM]],[2]Contrato!A:A,[2]Contrato!Q:Q,"",0)</f>
        <v>#NAME?</v>
      </c>
      <c r="V2263" s="47" t="s">
        <v>95</v>
      </c>
      <c r="W2263" s="47" t="s">
        <v>42</v>
      </c>
      <c r="X2263" s="47" t="s">
        <v>42</v>
      </c>
      <c r="Y2263" s="55" t="e">
        <f ca="1">_xlfn.XLOOKUP(PAA_4[[#This Row],[ITEM]],[2]Contrato!A:A,[2]Contrato!B:B,"",0)</f>
        <v>#NAME?</v>
      </c>
      <c r="Z2263" s="47" t="e">
        <f ca="1">_xlfn.XLOOKUP(PAA_4[[#This Row],[ITEM]],[2]Contrato!A:A,[2]Contrato!G:G,"",0)</f>
        <v>#NAME?</v>
      </c>
      <c r="AA2263" s="47" t="e">
        <f ca="1">_xlfn.XLOOKUP(PAA_4[[#This Row],[ITEM]],[2]Contrato!A:A,[2]Contrato!T:T,"",0)</f>
        <v>#NAME?</v>
      </c>
      <c r="AB2263" s="55" t="e">
        <f ca="1">+MAX(PAA_4[[#This Row],[Comprometido Contrato]],PAA_4[[#This Row],[Comprometido Bolsa]])</f>
        <v>#NAME?</v>
      </c>
      <c r="AC2263" s="55" t="str">
        <f t="shared" ca="1" si="825"/>
        <v/>
      </c>
      <c r="AD2263" s="55" t="e">
        <f ca="1">IF(PAA_4[[#This Row],[ESTADO (formulado)]]="NO CONTRATADO",0,MAX(PAA_4[[#This Row],[Pago por Contrato]],PAA_4[[#This Row],[Pago por bolsa]]))</f>
        <v>#NAME?</v>
      </c>
      <c r="AE2263" s="55" t="str">
        <f t="shared" ca="1" si="826"/>
        <v/>
      </c>
      <c r="AF2263" s="47" t="e">
        <f t="shared" ca="1" si="827"/>
        <v>#NAME?</v>
      </c>
      <c r="AG2263" s="47">
        <f t="shared" si="828"/>
        <v>52010702</v>
      </c>
      <c r="AH2263" s="54">
        <f>IF(Q2263="22",IF(ISNUMBER(SEARCH("econ",PAA_4[[#This Row],[Actividad3]])),"Económico",IF(ISNUMBER(SEARCH("alim",PAA_4[[#This Row],[Actividad3]])),"Alimentación",IF(ISNUMBER(SEARCH("educ",PAA_4[[#This Row],[Actividad3]])),"Educativo","Técnico"))),0)</f>
        <v>0</v>
      </c>
      <c r="AI2263" s="47" t="e" cm="1">
        <f t="array" aca="1" ref="AI2263" ca="1">_xlfn.XLOOKUP(PAA_4[[#This Row],[RCP-RUBRO]],[2]!COMPROMISOS_2024[[#All],[concatenado]],[2]!COMPROMISOS_2024[[#All],[Total pagado]],"",0)</f>
        <v>#NAME?</v>
      </c>
      <c r="AJ2263" s="56">
        <f>IF(PAA_4[[#This Row],[BOLSA]]=0,0,SUMIFS([2]!COMPROMISOS_2024[[#All],[Total pagado]],[2]!COMPROMISOS_2024[[#All],[Bolsa]],PAA_4[[#This Row],[BOLSA]],[2]!COMPROMISOS_2024[[#All],[rubro]],PAA_4[[#This Row],[RCP-RUBRO]]))</f>
        <v>0</v>
      </c>
      <c r="AK2263" s="47" t="e" cm="1">
        <f t="array" aca="1" ref="AK2263" ca="1">_xlfn.XLOOKUP(PAA_4[[#This Row],[RCP-RUBRO]],[2]!COMPROMISOS_2024[[#All],[concatenado]],[2]!COMPROMISOS_2024[[#All],[Total Comprometido]],"",0)</f>
        <v>#NAME?</v>
      </c>
      <c r="AL2263" s="47">
        <f>IF(PAA_4[[#This Row],[BOLSA]]=0,0,SUMIFS([2]!COMPROMISOS_2024[[#All],[Total Comprometido]],[2]!COMPROMISOS_2024[[#All],[Bolsa]],PAA_4[[#This Row],[BOLSA]],[2]!COMPROMISOS_2024[[#All],[concatenado]],PAA_4[[#This Row],[RCP-RUBRO]]))</f>
        <v>0</v>
      </c>
    </row>
    <row r="2264" spans="1:38" s="19" customFormat="1" ht="31.5" customHeight="1">
      <c r="A2264" s="47" t="s">
        <v>82</v>
      </c>
      <c r="B2264" s="47" t="s">
        <v>42</v>
      </c>
      <c r="C2264" s="47" t="str">
        <f>VLOOKUP(PAA_4[[#This Row],[PROYECTO (formulado)2]],[2]PROYECTOS!$G$1:$L$32,6,0)</f>
        <v>SUBGERENCIA DE FOMENTO Y DESARROLLO</v>
      </c>
      <c r="D2264" s="47" t="str">
        <f>+IF(PAA_4[[#This Row],[UNIDAD DE CONTRATACION (formulado)]]="Subgerencia Administrativa y Financiera","FUNCIONAMIENTO","INVERSIÓN")</f>
        <v>INVERSIÓN</v>
      </c>
      <c r="E2264" s="48" t="str">
        <f>VLOOKUP(Q2264,[2]PROYECTOS!$G$1:$K$32,5,0)</f>
        <v>Desarrollo y promoción del deporte formativo, la recreación y la actividad física en el departamento Antioquia</v>
      </c>
      <c r="F2264" s="48">
        <f>VLOOKUP(E2264,[2]PROYECTOS!$K$1:$M$32,3,0)</f>
        <v>2024003050101</v>
      </c>
      <c r="G2264" s="49" t="s">
        <v>2384</v>
      </c>
      <c r="H2264" s="49" t="str">
        <f>VLOOKUP(Q2264,[2]PROYECTOS!$V$1:$W$32,2,0)</f>
        <v>050075</v>
      </c>
      <c r="I2264" s="78">
        <v>10001</v>
      </c>
      <c r="J2264" s="51" t="s">
        <v>1852</v>
      </c>
      <c r="K2264" s="47" t="str">
        <f t="shared" ca="1" si="822"/>
        <v>CONTRATADO</v>
      </c>
      <c r="L2264" s="47" t="s">
        <v>42</v>
      </c>
      <c r="M2264" s="47" t="s">
        <v>42</v>
      </c>
      <c r="N2264" s="52" t="s">
        <v>2356</v>
      </c>
      <c r="O2264" s="51" t="e">
        <f>VLOOKUP(N2264,[2]!RUBROS[#All],3,0)</f>
        <v>#REF!</v>
      </c>
      <c r="P2264" s="53" t="e">
        <f>VLOOKUP(N2264,[2]!RUBROS[#All],2,0)</f>
        <v>#REF!</v>
      </c>
      <c r="Q2264" s="47" t="str">
        <f t="shared" si="823"/>
        <v>01</v>
      </c>
      <c r="R2264" s="47" t="str">
        <f t="shared" si="824"/>
        <v>0-205128</v>
      </c>
      <c r="S2264" s="54" t="s">
        <v>42</v>
      </c>
      <c r="T2264" s="329" t="s">
        <v>42</v>
      </c>
      <c r="U2264" s="326" t="e">
        <f ca="1">_xlfn.XLOOKUP(PAA_4[[#This Row],[ITEM]],[2]Contrato!A:A,[2]Contrato!Q:Q,"",0)</f>
        <v>#NAME?</v>
      </c>
      <c r="V2264" s="54" t="s">
        <v>42</v>
      </c>
      <c r="W2264" s="54" t="s">
        <v>42</v>
      </c>
      <c r="X2264" s="54" t="s">
        <v>42</v>
      </c>
      <c r="Y2264" s="55" t="e">
        <f ca="1">_xlfn.XLOOKUP(PAA_4[[#This Row],[ITEM]],[2]Contrato!A:A,[2]Contrato!B:B,"",0)</f>
        <v>#NAME?</v>
      </c>
      <c r="Z2264" s="47" t="e">
        <f ca="1">_xlfn.XLOOKUP(PAA_4[[#This Row],[ITEM]],[2]Contrato!A:A,[2]Contrato!G:G,"",0)</f>
        <v>#NAME?</v>
      </c>
      <c r="AA2264" s="47" t="e">
        <f ca="1">_xlfn.XLOOKUP(PAA_4[[#This Row],[ITEM]],[2]Contrato!A:A,[2]Contrato!T:T,"",0)</f>
        <v>#NAME?</v>
      </c>
      <c r="AB2264" s="55" t="e">
        <f ca="1">+MAX(PAA_4[[#This Row],[Comprometido Contrato]],PAA_4[[#This Row],[Comprometido Bolsa]])</f>
        <v>#NAME?</v>
      </c>
      <c r="AC2264" s="55" t="str">
        <f t="shared" ca="1" si="825"/>
        <v/>
      </c>
      <c r="AD2264" s="55" t="e">
        <f ca="1">IF(PAA_4[[#This Row],[ESTADO (formulado)]]="NO CONTRATADO",0,MAX(PAA_4[[#This Row],[Pago por Contrato]],PAA_4[[#This Row],[Pago por bolsa]]))</f>
        <v>#NAME?</v>
      </c>
      <c r="AE2264" s="55" t="str">
        <f t="shared" ca="1" si="826"/>
        <v/>
      </c>
      <c r="AF2264" s="47" t="e">
        <f t="shared" ca="1" si="827"/>
        <v>#NAME?</v>
      </c>
      <c r="AG2264" s="47">
        <f t="shared" si="828"/>
        <v>52010702</v>
      </c>
      <c r="AH2264" s="54">
        <f>IF(Q2264="22",IF(ISNUMBER(SEARCH("econ",PAA_4[[#This Row],[Actividad3]])),"Económico",IF(ISNUMBER(SEARCH("alim",PAA_4[[#This Row],[Actividad3]])),"Alimentación",IF(ISNUMBER(SEARCH("educ",PAA_4[[#This Row],[Actividad3]])),"Educativo","Técnico"))),0)</f>
        <v>0</v>
      </c>
      <c r="AI2264" s="47" t="e" cm="1">
        <f t="array" aca="1" ref="AI2264" ca="1">_xlfn.XLOOKUP(PAA_4[[#This Row],[RCP-RUBRO]],[2]!COMPROMISOS_2024[[#All],[concatenado]],[2]!COMPROMISOS_2024[[#All],[Total pagado]],"",0)</f>
        <v>#NAME?</v>
      </c>
      <c r="AJ2264" s="56">
        <f>IF(PAA_4[[#This Row],[BOLSA]]=0,0,SUMIFS([2]!COMPROMISOS_2024[[#All],[Total pagado]],[2]!COMPROMISOS_2024[[#All],[Bolsa]],PAA_4[[#This Row],[BOLSA]],[2]!COMPROMISOS_2024[[#All],[rubro]],PAA_4[[#This Row],[RCP-RUBRO]]))</f>
        <v>0</v>
      </c>
      <c r="AK2264" s="47" t="e" cm="1">
        <f t="array" aca="1" ref="AK2264" ca="1">_xlfn.XLOOKUP(PAA_4[[#This Row],[RCP-RUBRO]],[2]!COMPROMISOS_2024[[#All],[concatenado]],[2]!COMPROMISOS_2024[[#All],[Total Comprometido]],"",0)</f>
        <v>#NAME?</v>
      </c>
      <c r="AL2264" s="47">
        <f>IF(PAA_4[[#This Row],[BOLSA]]=0,0,SUMIFS([2]!COMPROMISOS_2024[[#All],[Total Comprometido]],[2]!COMPROMISOS_2024[[#All],[Bolsa]],PAA_4[[#This Row],[BOLSA]],[2]!COMPROMISOS_2024[[#All],[concatenado]],PAA_4[[#This Row],[RCP-RUBRO]]))</f>
        <v>0</v>
      </c>
    </row>
    <row r="2265" spans="1:38" s="19" customFormat="1" ht="31.5" customHeight="1">
      <c r="A2265" s="47">
        <v>1112</v>
      </c>
      <c r="B2265" s="47">
        <v>80111600</v>
      </c>
      <c r="C2265" s="47" t="str">
        <f>VLOOKUP(PAA_4[[#This Row],[PROYECTO (formulado)2]],[2]PROYECTOS!$G$1:$L$32,6,0)</f>
        <v>SUBGERENCIA DE FOMENTO Y DESARROLLO</v>
      </c>
      <c r="D2265" s="47" t="str">
        <f>+IF(PAA_4[[#This Row],[UNIDAD DE CONTRATACION (formulado)]]="Subgerencia Administrativa y Financiera","FUNCIONAMIENTO","INVERSIÓN")</f>
        <v>INVERSIÓN</v>
      </c>
      <c r="E2265" s="48" t="str">
        <f>VLOOKUP(Q2265,[2]PROYECTOS!$G$1:$K$32,5,0)</f>
        <v>Desarrollo y promoción del deporte formativo, la recreación y la actividad física en el departamento Antioquia</v>
      </c>
      <c r="F2265" s="48">
        <f>VLOOKUP(E2265,[2]PROYECTOS!$K$1:$M$32,3,0)</f>
        <v>2024003050101</v>
      </c>
      <c r="G2265" s="49" t="s">
        <v>2384</v>
      </c>
      <c r="H2265" s="49" t="str">
        <f>VLOOKUP(Q2265,[2]PROYECTOS!$V$1:$W$32,2,0)</f>
        <v>050075</v>
      </c>
      <c r="I2265" s="78">
        <f>24637243-10001</f>
        <v>24627242</v>
      </c>
      <c r="J2265" s="51" t="s">
        <v>2413</v>
      </c>
      <c r="K2265" s="47" t="str">
        <f t="shared" ca="1" si="822"/>
        <v>CONTRATADO</v>
      </c>
      <c r="L2265" s="47" t="s">
        <v>78</v>
      </c>
      <c r="M2265" s="47" t="s">
        <v>1297</v>
      </c>
      <c r="N2265" s="52" t="s">
        <v>2356</v>
      </c>
      <c r="O2265" s="51" t="e">
        <f>VLOOKUP(N2265,[2]!RUBROS[#All],3,0)</f>
        <v>#REF!</v>
      </c>
      <c r="P2265" s="53" t="e">
        <f>VLOOKUP(N2265,[2]!RUBROS[#All],2,0)</f>
        <v>#REF!</v>
      </c>
      <c r="Q2265" s="47" t="str">
        <f t="shared" si="823"/>
        <v>01</v>
      </c>
      <c r="R2265" s="47" t="str">
        <f t="shared" si="824"/>
        <v>0-205128</v>
      </c>
      <c r="S2265" s="54">
        <v>4</v>
      </c>
      <c r="T2265" s="59" t="s">
        <v>46</v>
      </c>
      <c r="U2265" s="326" t="e">
        <f ca="1">_xlfn.XLOOKUP(PAA_4[[#This Row],[ITEM]],[2]Contrato!A:A,[2]Contrato!Q:Q,"",0)</f>
        <v>#NAME?</v>
      </c>
      <c r="V2265" s="47" t="s">
        <v>95</v>
      </c>
      <c r="W2265" s="47" t="s">
        <v>203</v>
      </c>
      <c r="X2265" s="47" t="s">
        <v>203</v>
      </c>
      <c r="Y2265" s="55" t="e">
        <f ca="1">_xlfn.XLOOKUP(PAA_4[[#This Row],[ITEM]],[2]Contrato!A:A,[2]Contrato!B:B,"",0)</f>
        <v>#NAME?</v>
      </c>
      <c r="Z2265" s="47" t="e">
        <f ca="1">_xlfn.XLOOKUP(PAA_4[[#This Row],[ITEM]],[2]Contrato!A:A,[2]Contrato!G:G,"",0)</f>
        <v>#NAME?</v>
      </c>
      <c r="AA2265" s="47" t="e">
        <f ca="1">_xlfn.XLOOKUP(PAA_4[[#This Row],[ITEM]],[2]Contrato!A:A,[2]Contrato!T:T,"",0)</f>
        <v>#NAME?</v>
      </c>
      <c r="AB2265" s="55" t="e">
        <f ca="1">+MAX(PAA_4[[#This Row],[Comprometido Contrato]],PAA_4[[#This Row],[Comprometido Bolsa]])</f>
        <v>#NAME?</v>
      </c>
      <c r="AC2265" s="55" t="str">
        <f t="shared" ca="1" si="825"/>
        <v/>
      </c>
      <c r="AD2265" s="55" t="e">
        <f ca="1">IF(PAA_4[[#This Row],[ESTADO (formulado)]]="NO CONTRATADO",0,MAX(PAA_4[[#This Row],[Pago por Contrato]],PAA_4[[#This Row],[Pago por bolsa]]))</f>
        <v>#NAME?</v>
      </c>
      <c r="AE2265" s="55" t="str">
        <f t="shared" ca="1" si="826"/>
        <v/>
      </c>
      <c r="AF2265" s="47" t="e">
        <f t="shared" ca="1" si="827"/>
        <v>#NAME?</v>
      </c>
      <c r="AG2265" s="47">
        <f t="shared" si="828"/>
        <v>52010702</v>
      </c>
      <c r="AH2265" s="54">
        <f>IF(Q2265="22",IF(ISNUMBER(SEARCH("econ",PAA_4[[#This Row],[Actividad3]])),"Económico",IF(ISNUMBER(SEARCH("alim",PAA_4[[#This Row],[Actividad3]])),"Alimentación",IF(ISNUMBER(SEARCH("educ",PAA_4[[#This Row],[Actividad3]])),"Educativo","Técnico"))),0)</f>
        <v>0</v>
      </c>
      <c r="AI2265" s="47" t="e" cm="1">
        <f t="array" aca="1" ref="AI2265" ca="1">_xlfn.XLOOKUP(PAA_4[[#This Row],[RCP-RUBRO]],[2]!COMPROMISOS_2024[[#All],[concatenado]],[2]!COMPROMISOS_2024[[#All],[Total pagado]],"",0)</f>
        <v>#NAME?</v>
      </c>
      <c r="AJ2265" s="56">
        <f>IF(PAA_4[[#This Row],[BOLSA]]=0,0,SUMIFS([2]!COMPROMISOS_2024[[#All],[Total pagado]],[2]!COMPROMISOS_2024[[#All],[Bolsa]],PAA_4[[#This Row],[BOLSA]],[2]!COMPROMISOS_2024[[#All],[rubro]],PAA_4[[#This Row],[RCP-RUBRO]]))</f>
        <v>0</v>
      </c>
      <c r="AK2265" s="47" t="e" cm="1">
        <f t="array" aca="1" ref="AK2265" ca="1">_xlfn.XLOOKUP(PAA_4[[#This Row],[RCP-RUBRO]],[2]!COMPROMISOS_2024[[#All],[concatenado]],[2]!COMPROMISOS_2024[[#All],[Total Comprometido]],"",0)</f>
        <v>#NAME?</v>
      </c>
      <c r="AL2265" s="47">
        <f>IF(PAA_4[[#This Row],[BOLSA]]=0,0,SUMIFS([2]!COMPROMISOS_2024[[#All],[Total Comprometido]],[2]!COMPROMISOS_2024[[#All],[Bolsa]],PAA_4[[#This Row],[BOLSA]],[2]!COMPROMISOS_2024[[#All],[concatenado]],PAA_4[[#This Row],[RCP-RUBRO]]))</f>
        <v>0</v>
      </c>
    </row>
    <row r="2266" spans="1:38" s="19" customFormat="1" ht="31.5" customHeight="1">
      <c r="A2266" s="47" t="s">
        <v>82</v>
      </c>
      <c r="B2266" s="47" t="s">
        <v>42</v>
      </c>
      <c r="C2266" s="47" t="str">
        <f>VLOOKUP(PAA_4[[#This Row],[PROYECTO (formulado)2]],[2]PROYECTOS!$G$1:$L$32,6,0)</f>
        <v>SUBGERENCIA DE FOMENTO Y DESARROLLO</v>
      </c>
      <c r="D2266" s="47" t="str">
        <f>+IF(PAA_4[[#This Row],[UNIDAD DE CONTRATACION (formulado)]]="Subgerencia Administrativa y Financiera","FUNCIONAMIENTO","INVERSIÓN")</f>
        <v>INVERSIÓN</v>
      </c>
      <c r="E2266" s="48" t="str">
        <f>VLOOKUP(Q2266,[2]PROYECTOS!$G$1:$K$32,5,0)</f>
        <v>Desarrollo y promoción del deporte formativo, la recreación y la actividad física en el departamento Antioquia</v>
      </c>
      <c r="F2266" s="48">
        <f>VLOOKUP(E2266,[2]PROYECTOS!$K$1:$M$32,3,0)</f>
        <v>2024003050101</v>
      </c>
      <c r="G2266" s="49" t="s">
        <v>2384</v>
      </c>
      <c r="H2266" s="49" t="str">
        <f>VLOOKUP(Q2266,[2]PROYECTOS!$V$1:$W$32,2,0)</f>
        <v>050075</v>
      </c>
      <c r="I2266" s="78">
        <v>1194700</v>
      </c>
      <c r="J2266" s="51" t="s">
        <v>1851</v>
      </c>
      <c r="K2266" s="47" t="str">
        <f ca="1">IF(ISNONTEXT(Y2266)=TRUE,"CONTRATADO","NO CONTRATADO")</f>
        <v>CONTRATADO</v>
      </c>
      <c r="L2266" s="47" t="s">
        <v>42</v>
      </c>
      <c r="M2266" s="47" t="s">
        <v>42</v>
      </c>
      <c r="N2266" s="52" t="s">
        <v>2356</v>
      </c>
      <c r="O2266" s="51" t="e">
        <f>VLOOKUP(N2266,[2]!RUBROS[#All],3,0)</f>
        <v>#REF!</v>
      </c>
      <c r="P2266" s="53" t="e">
        <f>VLOOKUP(N2266,[2]!RUBROS[#All],2,0)</f>
        <v>#REF!</v>
      </c>
      <c r="Q2266" s="47" t="str">
        <f>+MID(N2266,11,2)</f>
        <v>01</v>
      </c>
      <c r="R2266" s="47" t="str">
        <f>+MID(N2266,14,8)</f>
        <v>0-205128</v>
      </c>
      <c r="S2266" s="54" t="s">
        <v>42</v>
      </c>
      <c r="T2266" s="329" t="s">
        <v>42</v>
      </c>
      <c r="U2266" s="326" t="e">
        <f ca="1">_xlfn.XLOOKUP(PAA_4[[#This Row],[ITEM]],[2]Contrato!A:A,[2]Contrato!Q:Q,"",0)</f>
        <v>#NAME?</v>
      </c>
      <c r="V2266" s="47" t="s">
        <v>95</v>
      </c>
      <c r="W2266" s="47" t="s">
        <v>42</v>
      </c>
      <c r="X2266" s="47" t="s">
        <v>42</v>
      </c>
      <c r="Y2266" s="55" t="e">
        <f ca="1">_xlfn.XLOOKUP(PAA_4[[#This Row],[ITEM]],[2]Contrato!A:A,[2]Contrato!B:B,"",0)</f>
        <v>#NAME?</v>
      </c>
      <c r="Z2266" s="47" t="e">
        <f ca="1">_xlfn.XLOOKUP(PAA_4[[#This Row],[ITEM]],[2]Contrato!A:A,[2]Contrato!G:G,"",0)</f>
        <v>#NAME?</v>
      </c>
      <c r="AA2266" s="47" t="e">
        <f ca="1">_xlfn.XLOOKUP(PAA_4[[#This Row],[ITEM]],[2]Contrato!A:A,[2]Contrato!T:T,"",0)</f>
        <v>#NAME?</v>
      </c>
      <c r="AB2266" s="55" t="e">
        <f ca="1">+MAX(PAA_4[[#This Row],[Comprometido Contrato]],PAA_4[[#This Row],[Comprometido Bolsa]])</f>
        <v>#NAME?</v>
      </c>
      <c r="AC2266" s="55" t="str">
        <f ca="1">IFERROR(I2266-AB2266,"")</f>
        <v/>
      </c>
      <c r="AD2266" s="55" t="e">
        <f ca="1">IF(PAA_4[[#This Row],[ESTADO (formulado)]]="NO CONTRATADO",0,MAX(PAA_4[[#This Row],[Pago por Contrato]],PAA_4[[#This Row],[Pago por bolsa]]))</f>
        <v>#NAME?</v>
      </c>
      <c r="AE2266" s="55" t="str">
        <f ca="1">+IFERROR(AB2266-AD2266,"")</f>
        <v/>
      </c>
      <c r="AF2266" s="47" t="e">
        <f ca="1">+CONCATENATE(AA2266,N2266)</f>
        <v>#NAME?</v>
      </c>
      <c r="AG2266" s="47">
        <f>IFERROR(_xlfn.NUMBERVALUE(MID(G2266,1,8)),"")</f>
        <v>52010702</v>
      </c>
      <c r="AH2266" s="54">
        <f>IF(Q2266="22",IF(ISNUMBER(SEARCH("econ",PAA_4[[#This Row],[Actividad3]])),"Económico",IF(ISNUMBER(SEARCH("alim",PAA_4[[#This Row],[Actividad3]])),"Alimentación",IF(ISNUMBER(SEARCH("educ",PAA_4[[#This Row],[Actividad3]])),"Educativo","Técnico"))),0)</f>
        <v>0</v>
      </c>
      <c r="AI2266" s="47" t="e" cm="1">
        <f t="array" aca="1" ref="AI2266" ca="1">_xlfn.XLOOKUP(PAA_4[[#This Row],[RCP-RUBRO]],[2]!COMPROMISOS_2024[[#All],[concatenado]],[2]!COMPROMISOS_2024[[#All],[Total pagado]],"",0)</f>
        <v>#NAME?</v>
      </c>
      <c r="AJ2266" s="56">
        <f>IF(PAA_4[[#This Row],[BOLSA]]=0,0,SUMIFS([2]!COMPROMISOS_2024[[#All],[Total pagado]],[2]!COMPROMISOS_2024[[#All],[Bolsa]],PAA_4[[#This Row],[BOLSA]],[2]!COMPROMISOS_2024[[#All],[rubro]],PAA_4[[#This Row],[RCP-RUBRO]]))</f>
        <v>0</v>
      </c>
      <c r="AK2266" s="47" t="e" cm="1">
        <f t="array" aca="1" ref="AK2266" ca="1">_xlfn.XLOOKUP(PAA_4[[#This Row],[RCP-RUBRO]],[2]!COMPROMISOS_2024[[#All],[concatenado]],[2]!COMPROMISOS_2024[[#All],[Total Comprometido]],"",0)</f>
        <v>#NAME?</v>
      </c>
      <c r="AL2266" s="47">
        <f>IF(PAA_4[[#This Row],[BOLSA]]=0,0,SUMIFS([2]!COMPROMISOS_2024[[#All],[Total Comprometido]],[2]!COMPROMISOS_2024[[#All],[Bolsa]],PAA_4[[#This Row],[BOLSA]],[2]!COMPROMISOS_2024[[#All],[concatenado]],PAA_4[[#This Row],[RCP-RUBRO]]))</f>
        <v>0</v>
      </c>
    </row>
    <row r="2267" spans="1:38" s="19" customFormat="1" ht="31.5" customHeight="1">
      <c r="A2267" s="47">
        <v>1113</v>
      </c>
      <c r="B2267" s="47">
        <v>80111600</v>
      </c>
      <c r="C2267" s="47" t="str">
        <f>VLOOKUP(PAA_4[[#This Row],[PROYECTO (formulado)2]],[2]PROYECTOS!$G$1:$L$32,6,0)</f>
        <v>SUBGERENCIA DE FOMENTO Y DESARROLLO</v>
      </c>
      <c r="D2267" s="47" t="str">
        <f>+IF(PAA_4[[#This Row],[UNIDAD DE CONTRATACION (formulado)]]="Subgerencia Administrativa y Financiera","FUNCIONAMIENTO","INVERSIÓN")</f>
        <v>INVERSIÓN</v>
      </c>
      <c r="E2267" s="48" t="str">
        <f>VLOOKUP(Q2267,[2]PROYECTOS!$G$1:$K$32,5,0)</f>
        <v>Desarrollo y promoción del deporte formativo, la recreación y la actividad física en el departamento Antioquia</v>
      </c>
      <c r="F2267" s="48">
        <f>VLOOKUP(E2267,[2]PROYECTOS!$K$1:$M$32,3,0)</f>
        <v>2024003050101</v>
      </c>
      <c r="G2267" s="49" t="s">
        <v>2384</v>
      </c>
      <c r="H2267" s="49" t="str">
        <f>VLOOKUP(Q2267,[2]PROYECTOS!$V$1:$W$32,2,0)</f>
        <v>050075</v>
      </c>
      <c r="I2267" s="78">
        <f>16070254-1194700</f>
        <v>14875554</v>
      </c>
      <c r="J2267" s="51" t="s">
        <v>2414</v>
      </c>
      <c r="K2267" s="47" t="str">
        <f t="shared" ref="K2267:K2275" ca="1" si="829">IF(ISNONTEXT(Y2267)=TRUE,"CONTRATADO","NO CONTRATADO")</f>
        <v>CONTRATADO</v>
      </c>
      <c r="L2267" s="47" t="s">
        <v>78</v>
      </c>
      <c r="M2267" s="47" t="s">
        <v>1297</v>
      </c>
      <c r="N2267" s="52" t="s">
        <v>2356</v>
      </c>
      <c r="O2267" s="51" t="e">
        <f>VLOOKUP(N2267,[2]!RUBROS[#All],3,0)</f>
        <v>#REF!</v>
      </c>
      <c r="P2267" s="53" t="e">
        <f>VLOOKUP(N2267,[2]!RUBROS[#All],2,0)</f>
        <v>#REF!</v>
      </c>
      <c r="Q2267" s="47" t="str">
        <f t="shared" ref="Q2267:Q2275" si="830">+MID(N2267,11,2)</f>
        <v>01</v>
      </c>
      <c r="R2267" s="47" t="str">
        <f t="shared" ref="R2267:R2290" si="831">+MID(N2267,14,8)</f>
        <v>0-205128</v>
      </c>
      <c r="S2267" s="54">
        <v>4</v>
      </c>
      <c r="T2267" s="59" t="s">
        <v>46</v>
      </c>
      <c r="U2267" s="326" t="e">
        <f ca="1">_xlfn.XLOOKUP(PAA_4[[#This Row],[ITEM]],[2]Contrato!A:A,[2]Contrato!Q:Q,"",0)</f>
        <v>#NAME?</v>
      </c>
      <c r="V2267" s="47" t="s">
        <v>95</v>
      </c>
      <c r="W2267" s="47" t="s">
        <v>203</v>
      </c>
      <c r="X2267" s="47" t="s">
        <v>203</v>
      </c>
      <c r="Y2267" s="55" t="e">
        <f ca="1">_xlfn.XLOOKUP(PAA_4[[#This Row],[ITEM]],[2]Contrato!A:A,[2]Contrato!B:B,"",0)</f>
        <v>#NAME?</v>
      </c>
      <c r="Z2267" s="47" t="e">
        <f ca="1">_xlfn.XLOOKUP(PAA_4[[#This Row],[ITEM]],[2]Contrato!A:A,[2]Contrato!G:G,"",0)</f>
        <v>#NAME?</v>
      </c>
      <c r="AA2267" s="47" t="e">
        <f ca="1">_xlfn.XLOOKUP(PAA_4[[#This Row],[ITEM]],[2]Contrato!A:A,[2]Contrato!T:T,"",0)</f>
        <v>#NAME?</v>
      </c>
      <c r="AB2267" s="55" t="e">
        <f ca="1">+MAX(PAA_4[[#This Row],[Comprometido Contrato]],PAA_4[[#This Row],[Comprometido Bolsa]])</f>
        <v>#NAME?</v>
      </c>
      <c r="AC2267" s="55" t="str">
        <f t="shared" ref="AC2267:AC2275" ca="1" si="832">IFERROR(I2267-AB2267,"")</f>
        <v/>
      </c>
      <c r="AD2267" s="55" t="e">
        <f ca="1">IF(PAA_4[[#This Row],[ESTADO (formulado)]]="NO CONTRATADO",0,MAX(PAA_4[[#This Row],[Pago por Contrato]],PAA_4[[#This Row],[Pago por bolsa]]))</f>
        <v>#NAME?</v>
      </c>
      <c r="AE2267" s="55" t="str">
        <f t="shared" ref="AE2267:AE2275" ca="1" si="833">+IFERROR(AB2267-AD2267,"")</f>
        <v/>
      </c>
      <c r="AF2267" s="47" t="e">
        <f t="shared" ref="AF2267:AF2275" ca="1" si="834">+CONCATENATE(AA2267,N2267)</f>
        <v>#NAME?</v>
      </c>
      <c r="AG2267" s="47">
        <f t="shared" ref="AG2267:AG2275" si="835">IFERROR(_xlfn.NUMBERVALUE(MID(G2267,1,8)),"")</f>
        <v>52010702</v>
      </c>
      <c r="AH2267" s="54">
        <f>IF(Q2267="22",IF(ISNUMBER(SEARCH("econ",PAA_4[[#This Row],[Actividad3]])),"Económico",IF(ISNUMBER(SEARCH("alim",PAA_4[[#This Row],[Actividad3]])),"Alimentación",IF(ISNUMBER(SEARCH("educ",PAA_4[[#This Row],[Actividad3]])),"Educativo","Técnico"))),0)</f>
        <v>0</v>
      </c>
      <c r="AI2267" s="47" t="e" cm="1">
        <f t="array" aca="1" ref="AI2267" ca="1">_xlfn.XLOOKUP(PAA_4[[#This Row],[RCP-RUBRO]],[2]!COMPROMISOS_2024[[#All],[concatenado]],[2]!COMPROMISOS_2024[[#All],[Total pagado]],"",0)</f>
        <v>#NAME?</v>
      </c>
      <c r="AJ2267" s="56">
        <f>IF(PAA_4[[#This Row],[BOLSA]]=0,0,SUMIFS([2]!COMPROMISOS_2024[[#All],[Total pagado]],[2]!COMPROMISOS_2024[[#All],[Bolsa]],PAA_4[[#This Row],[BOLSA]],[2]!COMPROMISOS_2024[[#All],[rubro]],PAA_4[[#This Row],[RCP-RUBRO]]))</f>
        <v>0</v>
      </c>
      <c r="AK2267" s="47" t="e" cm="1">
        <f t="array" aca="1" ref="AK2267" ca="1">_xlfn.XLOOKUP(PAA_4[[#This Row],[RCP-RUBRO]],[2]!COMPROMISOS_2024[[#All],[concatenado]],[2]!COMPROMISOS_2024[[#All],[Total Comprometido]],"",0)</f>
        <v>#NAME?</v>
      </c>
      <c r="AL2267" s="47">
        <f>IF(PAA_4[[#This Row],[BOLSA]]=0,0,SUMIFS([2]!COMPROMISOS_2024[[#All],[Total Comprometido]],[2]!COMPROMISOS_2024[[#All],[Bolsa]],PAA_4[[#This Row],[BOLSA]],[2]!COMPROMISOS_2024[[#All],[concatenado]],PAA_4[[#This Row],[RCP-RUBRO]]))</f>
        <v>0</v>
      </c>
    </row>
    <row r="2268" spans="1:38" s="19" customFormat="1" ht="31.5" customHeight="1">
      <c r="A2268" s="47" t="s">
        <v>82</v>
      </c>
      <c r="B2268" s="47" t="s">
        <v>42</v>
      </c>
      <c r="C2268" s="47" t="str">
        <f>VLOOKUP(PAA_4[[#This Row],[PROYECTO (formulado)2]],[2]PROYECTOS!$G$1:$L$32,6,0)</f>
        <v>SUBGERENCIA DE FOMENTO Y DESARROLLO</v>
      </c>
      <c r="D2268" s="47" t="str">
        <f>+IF(PAA_4[[#This Row],[UNIDAD DE CONTRATACION (formulado)]]="Subgerencia Administrativa y Financiera","FUNCIONAMIENTO","INVERSIÓN")</f>
        <v>INVERSIÓN</v>
      </c>
      <c r="E2268" s="48" t="str">
        <f>VLOOKUP(Q2268,[2]PROYECTOS!$G$1:$K$32,5,0)</f>
        <v>Desarrollo y promoción del deporte formativo, la recreación y la actividad física en el departamento Antioquia</v>
      </c>
      <c r="F2268" s="48">
        <f>VLOOKUP(E2268,[2]PROYECTOS!$K$1:$M$32,3,0)</f>
        <v>2024003050101</v>
      </c>
      <c r="G2268" s="49" t="s">
        <v>2384</v>
      </c>
      <c r="H2268" s="49" t="str">
        <f>VLOOKUP(Q2268,[2]PROYECTOS!$V$1:$W$32,2,0)</f>
        <v>050075</v>
      </c>
      <c r="I2268" s="78">
        <v>2942854</v>
      </c>
      <c r="J2268" s="51" t="s">
        <v>1872</v>
      </c>
      <c r="K2268" s="47" t="str">
        <f t="shared" ca="1" si="829"/>
        <v>CONTRATADO</v>
      </c>
      <c r="L2268" s="47" t="s">
        <v>42</v>
      </c>
      <c r="M2268" s="47" t="s">
        <v>42</v>
      </c>
      <c r="N2268" s="52" t="s">
        <v>2356</v>
      </c>
      <c r="O2268" s="51" t="e">
        <f>VLOOKUP(N2268,[2]!RUBROS[#All],3,0)</f>
        <v>#REF!</v>
      </c>
      <c r="P2268" s="53" t="e">
        <f>VLOOKUP(N2268,[2]!RUBROS[#All],2,0)</f>
        <v>#REF!</v>
      </c>
      <c r="Q2268" s="47" t="str">
        <f t="shared" si="830"/>
        <v>01</v>
      </c>
      <c r="R2268" s="47" t="str">
        <f t="shared" si="831"/>
        <v>0-205128</v>
      </c>
      <c r="S2268" s="54" t="s">
        <v>42</v>
      </c>
      <c r="T2268" s="329" t="s">
        <v>42</v>
      </c>
      <c r="U2268" s="326" t="e">
        <f ca="1">_xlfn.XLOOKUP(PAA_4[[#This Row],[ITEM]],[2]Contrato!A:A,[2]Contrato!Q:Q,"",0)</f>
        <v>#NAME?</v>
      </c>
      <c r="V2268" s="47" t="s">
        <v>42</v>
      </c>
      <c r="W2268" s="64" t="s">
        <v>42</v>
      </c>
      <c r="X2268" s="64" t="s">
        <v>42</v>
      </c>
      <c r="Y2268" s="55" t="e">
        <f ca="1">_xlfn.XLOOKUP(PAA_4[[#This Row],[ITEM]],[2]Contrato!A:A,[2]Contrato!B:B,"",0)</f>
        <v>#NAME?</v>
      </c>
      <c r="Z2268" s="47" t="e">
        <f ca="1">_xlfn.XLOOKUP(PAA_4[[#This Row],[ITEM]],[2]Contrato!A:A,[2]Contrato!G:G,"",0)</f>
        <v>#NAME?</v>
      </c>
      <c r="AA2268" s="47" t="e">
        <f ca="1">_xlfn.XLOOKUP(PAA_4[[#This Row],[ITEM]],[2]Contrato!A:A,[2]Contrato!T:T,"",0)</f>
        <v>#NAME?</v>
      </c>
      <c r="AB2268" s="55" t="e">
        <f ca="1">+MAX(PAA_4[[#This Row],[Comprometido Contrato]],PAA_4[[#This Row],[Comprometido Bolsa]])</f>
        <v>#NAME?</v>
      </c>
      <c r="AC2268" s="55" t="str">
        <f t="shared" ca="1" si="832"/>
        <v/>
      </c>
      <c r="AD2268" s="55" t="e">
        <f ca="1">IF(PAA_4[[#This Row],[ESTADO (formulado)]]="NO CONTRATADO",0,MAX(PAA_4[[#This Row],[Pago por Contrato]],PAA_4[[#This Row],[Pago por bolsa]]))</f>
        <v>#NAME?</v>
      </c>
      <c r="AE2268" s="55" t="str">
        <f t="shared" ca="1" si="833"/>
        <v/>
      </c>
      <c r="AF2268" s="47" t="e">
        <f t="shared" ca="1" si="834"/>
        <v>#NAME?</v>
      </c>
      <c r="AG2268" s="47">
        <f t="shared" si="835"/>
        <v>52010702</v>
      </c>
      <c r="AH2268" s="54">
        <f>IF(Q2268="22",IF(ISNUMBER(SEARCH("econ",PAA_4[[#This Row],[Actividad3]])),"Económico",IF(ISNUMBER(SEARCH("alim",PAA_4[[#This Row],[Actividad3]])),"Alimentación",IF(ISNUMBER(SEARCH("educ",PAA_4[[#This Row],[Actividad3]])),"Educativo","Técnico"))),0)</f>
        <v>0</v>
      </c>
      <c r="AI2268" s="47" t="e" cm="1">
        <f t="array" aca="1" ref="AI2268" ca="1">_xlfn.XLOOKUP(PAA_4[[#This Row],[RCP-RUBRO]],[2]!COMPROMISOS_2024[[#All],[concatenado]],[2]!COMPROMISOS_2024[[#All],[Total pagado]],"",0)</f>
        <v>#NAME?</v>
      </c>
      <c r="AJ2268" s="56">
        <f>IF(PAA_4[[#This Row],[BOLSA]]=0,0,SUMIFS([2]!COMPROMISOS_2024[[#All],[Total pagado]],[2]!COMPROMISOS_2024[[#All],[Bolsa]],PAA_4[[#This Row],[BOLSA]],[2]!COMPROMISOS_2024[[#All],[rubro]],PAA_4[[#This Row],[RCP-RUBRO]]))</f>
        <v>0</v>
      </c>
      <c r="AK2268" s="47" t="e" cm="1">
        <f t="array" aca="1" ref="AK2268" ca="1">_xlfn.XLOOKUP(PAA_4[[#This Row],[RCP-RUBRO]],[2]!COMPROMISOS_2024[[#All],[concatenado]],[2]!COMPROMISOS_2024[[#All],[Total Comprometido]],"",0)</f>
        <v>#NAME?</v>
      </c>
      <c r="AL2268" s="47">
        <f>IF(PAA_4[[#This Row],[BOLSA]]=0,0,SUMIFS([2]!COMPROMISOS_2024[[#All],[Total Comprometido]],[2]!COMPROMISOS_2024[[#All],[Bolsa]],PAA_4[[#This Row],[BOLSA]],[2]!COMPROMISOS_2024[[#All],[concatenado]],PAA_4[[#This Row],[RCP-RUBRO]]))</f>
        <v>0</v>
      </c>
    </row>
    <row r="2269" spans="1:38" s="19" customFormat="1" ht="31.5" customHeight="1">
      <c r="A2269" s="47">
        <v>1114</v>
      </c>
      <c r="B2269" s="47">
        <v>80111600</v>
      </c>
      <c r="C2269" s="47" t="str">
        <f>VLOOKUP(PAA_4[[#This Row],[PROYECTO (formulado)2]],[2]PROYECTOS!$G$1:$L$32,6,0)</f>
        <v>SUBGERENCIA DE FOMENTO Y DESARROLLO</v>
      </c>
      <c r="D2269" s="47" t="str">
        <f>+IF(PAA_4[[#This Row],[UNIDAD DE CONTRATACION (formulado)]]="Subgerencia Administrativa y Financiera","FUNCIONAMIENTO","INVERSIÓN")</f>
        <v>INVERSIÓN</v>
      </c>
      <c r="E2269" s="48" t="str">
        <f>VLOOKUP(Q2269,[2]PROYECTOS!$G$1:$K$32,5,0)</f>
        <v>Desarrollo y promoción del deporte formativo, la recreación y la actividad física en el departamento Antioquia</v>
      </c>
      <c r="F2269" s="48">
        <f>VLOOKUP(E2269,[2]PROYECTOS!$K$1:$M$32,3,0)</f>
        <v>2024003050101</v>
      </c>
      <c r="G2269" s="49" t="s">
        <v>2384</v>
      </c>
      <c r="H2269" s="49" t="str">
        <f>VLOOKUP(Q2269,[2]PROYECTOS!$V$1:$W$32,2,0)</f>
        <v>050075</v>
      </c>
      <c r="I2269" s="78">
        <f>21968400-2942854</f>
        <v>19025546</v>
      </c>
      <c r="J2269" s="51" t="s">
        <v>2415</v>
      </c>
      <c r="K2269" s="47" t="str">
        <f t="shared" ca="1" si="829"/>
        <v>CONTRATADO</v>
      </c>
      <c r="L2269" s="47" t="s">
        <v>78</v>
      </c>
      <c r="M2269" s="47" t="s">
        <v>1297</v>
      </c>
      <c r="N2269" s="52" t="s">
        <v>2356</v>
      </c>
      <c r="O2269" s="51" t="e">
        <f>VLOOKUP(N2269,[2]!RUBROS[#All],3,0)</f>
        <v>#REF!</v>
      </c>
      <c r="P2269" s="53" t="e">
        <f>VLOOKUP(N2269,[2]!RUBROS[#All],2,0)</f>
        <v>#REF!</v>
      </c>
      <c r="Q2269" s="47" t="str">
        <f t="shared" si="830"/>
        <v>01</v>
      </c>
      <c r="R2269" s="47" t="str">
        <f t="shared" si="831"/>
        <v>0-205128</v>
      </c>
      <c r="S2269" s="54">
        <v>4</v>
      </c>
      <c r="T2269" s="59" t="s">
        <v>46</v>
      </c>
      <c r="U2269" s="326" t="e">
        <f ca="1">_xlfn.XLOOKUP(PAA_4[[#This Row],[ITEM]],[2]Contrato!A:A,[2]Contrato!Q:Q,"",0)</f>
        <v>#NAME?</v>
      </c>
      <c r="V2269" s="47" t="s">
        <v>95</v>
      </c>
      <c r="W2269" s="47" t="s">
        <v>203</v>
      </c>
      <c r="X2269" s="47" t="s">
        <v>203</v>
      </c>
      <c r="Y2269" s="55" t="e">
        <f ca="1">_xlfn.XLOOKUP(PAA_4[[#This Row],[ITEM]],[2]Contrato!A:A,[2]Contrato!B:B,"",0)</f>
        <v>#NAME?</v>
      </c>
      <c r="Z2269" s="47" t="e">
        <f ca="1">_xlfn.XLOOKUP(PAA_4[[#This Row],[ITEM]],[2]Contrato!A:A,[2]Contrato!G:G,"",0)</f>
        <v>#NAME?</v>
      </c>
      <c r="AA2269" s="47" t="e">
        <f ca="1">_xlfn.XLOOKUP(PAA_4[[#This Row],[ITEM]],[2]Contrato!A:A,[2]Contrato!T:T,"",0)</f>
        <v>#NAME?</v>
      </c>
      <c r="AB2269" s="55" t="e">
        <f ca="1">+MAX(PAA_4[[#This Row],[Comprometido Contrato]],PAA_4[[#This Row],[Comprometido Bolsa]])</f>
        <v>#NAME?</v>
      </c>
      <c r="AC2269" s="55" t="str">
        <f t="shared" ca="1" si="832"/>
        <v/>
      </c>
      <c r="AD2269" s="55" t="e">
        <f ca="1">IF(PAA_4[[#This Row],[ESTADO (formulado)]]="NO CONTRATADO",0,MAX(PAA_4[[#This Row],[Pago por Contrato]],PAA_4[[#This Row],[Pago por bolsa]]))</f>
        <v>#NAME?</v>
      </c>
      <c r="AE2269" s="55" t="str">
        <f t="shared" ca="1" si="833"/>
        <v/>
      </c>
      <c r="AF2269" s="47" t="e">
        <f t="shared" ca="1" si="834"/>
        <v>#NAME?</v>
      </c>
      <c r="AG2269" s="47">
        <f t="shared" si="835"/>
        <v>52010702</v>
      </c>
      <c r="AH2269" s="54">
        <f>IF(Q2269="22",IF(ISNUMBER(SEARCH("econ",PAA_4[[#This Row],[Actividad3]])),"Económico",IF(ISNUMBER(SEARCH("alim",PAA_4[[#This Row],[Actividad3]])),"Alimentación",IF(ISNUMBER(SEARCH("educ",PAA_4[[#This Row],[Actividad3]])),"Educativo","Técnico"))),0)</f>
        <v>0</v>
      </c>
      <c r="AI2269" s="47" t="e" cm="1">
        <f t="array" aca="1" ref="AI2269" ca="1">_xlfn.XLOOKUP(PAA_4[[#This Row],[RCP-RUBRO]],[2]!COMPROMISOS_2024[[#All],[concatenado]],[2]!COMPROMISOS_2024[[#All],[Total pagado]],"",0)</f>
        <v>#NAME?</v>
      </c>
      <c r="AJ2269" s="56">
        <f>IF(PAA_4[[#This Row],[BOLSA]]=0,0,SUMIFS([2]!COMPROMISOS_2024[[#All],[Total pagado]],[2]!COMPROMISOS_2024[[#All],[Bolsa]],PAA_4[[#This Row],[BOLSA]],[2]!COMPROMISOS_2024[[#All],[rubro]],PAA_4[[#This Row],[RCP-RUBRO]]))</f>
        <v>0</v>
      </c>
      <c r="AK2269" s="47" t="e" cm="1">
        <f t="array" aca="1" ref="AK2269" ca="1">_xlfn.XLOOKUP(PAA_4[[#This Row],[RCP-RUBRO]],[2]!COMPROMISOS_2024[[#All],[concatenado]],[2]!COMPROMISOS_2024[[#All],[Total Comprometido]],"",0)</f>
        <v>#NAME?</v>
      </c>
      <c r="AL2269" s="47">
        <f>IF(PAA_4[[#This Row],[BOLSA]]=0,0,SUMIFS([2]!COMPROMISOS_2024[[#All],[Total Comprometido]],[2]!COMPROMISOS_2024[[#All],[Bolsa]],PAA_4[[#This Row],[BOLSA]],[2]!COMPROMISOS_2024[[#All],[concatenado]],PAA_4[[#This Row],[RCP-RUBRO]]))</f>
        <v>0</v>
      </c>
    </row>
    <row r="2270" spans="1:38" s="19" customFormat="1" ht="31.5" customHeight="1">
      <c r="A2270" s="47">
        <v>1075</v>
      </c>
      <c r="B2270" s="47">
        <v>80141607</v>
      </c>
      <c r="C2270" s="47" t="str">
        <f>VLOOKUP(PAA_4[[#This Row],[PROYECTO (formulado)2]],[2]PROYECTOS!$G$1:$L$32,6,0)</f>
        <v>SUBGERENCIA DE FOMENTO Y DESARROLLO</v>
      </c>
      <c r="D2270" s="47" t="str">
        <f>+IF(PAA_4[[#This Row],[UNIDAD DE CONTRATACION (formulado)]]="Subgerencia Administrativa y Financiera","FUNCIONAMIENTO","INVERSIÓN")</f>
        <v>INVERSIÓN</v>
      </c>
      <c r="E2270" s="48" t="str">
        <f>VLOOKUP(Q2270,[2]PROYECTOS!$G$1:$K$32,5,0)</f>
        <v>Fortalecimiento de los juegos deportivos institucionales en los municipios del departamento de Antioquia</v>
      </c>
      <c r="F2270" s="48">
        <f>VLOOKUP(E2270,[2]PROYECTOS!$K$1:$M$32,3,0)</f>
        <v>2024003050073</v>
      </c>
      <c r="G2270" s="49" t="s">
        <v>1353</v>
      </c>
      <c r="H2270" s="49" t="str">
        <f>VLOOKUP(Q2270,[2]PROYECTOS!$V$1:$W$32,2,0)</f>
        <v>050081</v>
      </c>
      <c r="I2270" s="78">
        <v>0</v>
      </c>
      <c r="J2270" s="51" t="s">
        <v>452</v>
      </c>
      <c r="K2270" s="47" t="str">
        <f t="shared" ca="1" si="829"/>
        <v>CONTRATADO</v>
      </c>
      <c r="L2270" s="47" t="s">
        <v>94</v>
      </c>
      <c r="M2270" s="47" t="s">
        <v>42</v>
      </c>
      <c r="N2270" s="52" t="s">
        <v>1357</v>
      </c>
      <c r="O2270" s="51" t="e">
        <f>VLOOKUP(N2270,[2]!RUBROS[#All],3,0)</f>
        <v>#REF!</v>
      </c>
      <c r="P2270" s="53" t="e">
        <f>VLOOKUP(N2270,[2]!RUBROS[#All],2,0)</f>
        <v>#REF!</v>
      </c>
      <c r="Q2270" s="47" t="str">
        <f t="shared" si="830"/>
        <v>73</v>
      </c>
      <c r="R2270" s="47" t="str">
        <f t="shared" si="831"/>
        <v>0-205128</v>
      </c>
      <c r="S2270" s="54">
        <v>4.5</v>
      </c>
      <c r="T2270" s="59" t="s">
        <v>46</v>
      </c>
      <c r="U2270" s="326" t="e">
        <f ca="1">_xlfn.XLOOKUP(PAA_4[[#This Row],[ITEM]],[2]Contrato!A:A,[2]Contrato!Q:Q,"",0)</f>
        <v>#NAME?</v>
      </c>
      <c r="V2270" s="47" t="s">
        <v>95</v>
      </c>
      <c r="W2270" s="47" t="s">
        <v>194</v>
      </c>
      <c r="X2270" s="47" t="s">
        <v>194</v>
      </c>
      <c r="Y2270" s="55" t="e">
        <f ca="1">_xlfn.XLOOKUP(PAA_4[[#This Row],[ITEM]],[2]Contrato!A:A,[2]Contrato!B:B,"",0)</f>
        <v>#NAME?</v>
      </c>
      <c r="Z2270" s="47" t="e">
        <f ca="1">_xlfn.XLOOKUP(PAA_4[[#This Row],[ITEM]],[2]Contrato!A:A,[2]Contrato!G:G,"",0)</f>
        <v>#NAME?</v>
      </c>
      <c r="AA2270" s="47" t="e">
        <f ca="1">_xlfn.XLOOKUP(PAA_4[[#This Row],[ITEM]],[2]Contrato!A:A,[2]Contrato!T:T,"",0)</f>
        <v>#NAME?</v>
      </c>
      <c r="AB2270" s="55" t="e">
        <f ca="1">+MAX(PAA_4[[#This Row],[Comprometido Contrato]],PAA_4[[#This Row],[Comprometido Bolsa]])</f>
        <v>#NAME?</v>
      </c>
      <c r="AC2270" s="55" t="str">
        <f t="shared" ca="1" si="832"/>
        <v/>
      </c>
      <c r="AD2270" s="55" t="e">
        <f ca="1">IF(PAA_4[[#This Row],[ESTADO (formulado)]]="NO CONTRATADO",0,MAX(PAA_4[[#This Row],[Pago por Contrato]],PAA_4[[#This Row],[Pago por bolsa]]))</f>
        <v>#NAME?</v>
      </c>
      <c r="AE2270" s="55" t="str">
        <f t="shared" ca="1" si="833"/>
        <v/>
      </c>
      <c r="AF2270" s="47" t="e">
        <f t="shared" ca="1" si="834"/>
        <v>#NAME?</v>
      </c>
      <c r="AG2270" s="47">
        <f t="shared" si="835"/>
        <v>52010703</v>
      </c>
      <c r="AH2270" s="54">
        <f>IF(Q2270="22",IF(ISNUMBER(SEARCH("econ",PAA_4[[#This Row],[Actividad3]])),"Económico",IF(ISNUMBER(SEARCH("alim",PAA_4[[#This Row],[Actividad3]])),"Alimentación",IF(ISNUMBER(SEARCH("educ",PAA_4[[#This Row],[Actividad3]])),"Educativo","Técnico"))),0)</f>
        <v>0</v>
      </c>
      <c r="AI2270" s="47" t="e" cm="1">
        <f t="array" aca="1" ref="AI2270" ca="1">_xlfn.XLOOKUP(PAA_4[[#This Row],[RCP-RUBRO]],[2]!COMPROMISOS_2024[[#All],[concatenado]],[2]!COMPROMISOS_2024[[#All],[Total pagado]],"",0)</f>
        <v>#NAME?</v>
      </c>
      <c r="AJ2270" s="56">
        <f>IF(PAA_4[[#This Row],[BOLSA]]=0,0,SUMIFS([2]!COMPROMISOS_2024[[#All],[Total pagado]],[2]!COMPROMISOS_2024[[#All],[Bolsa]],PAA_4[[#This Row],[BOLSA]],[2]!COMPROMISOS_2024[[#All],[rubro]],PAA_4[[#This Row],[RCP-RUBRO]]))</f>
        <v>0</v>
      </c>
      <c r="AK2270" s="47" t="e" cm="1">
        <f t="array" aca="1" ref="AK2270" ca="1">_xlfn.XLOOKUP(PAA_4[[#This Row],[RCP-RUBRO]],[2]!COMPROMISOS_2024[[#All],[concatenado]],[2]!COMPROMISOS_2024[[#All],[Total Comprometido]],"",0)</f>
        <v>#NAME?</v>
      </c>
      <c r="AL2270" s="47">
        <f>IF(PAA_4[[#This Row],[BOLSA]]=0,0,SUMIFS([2]!COMPROMISOS_2024[[#All],[Total Comprometido]],[2]!COMPROMISOS_2024[[#All],[Bolsa]],PAA_4[[#This Row],[BOLSA]],[2]!COMPROMISOS_2024[[#All],[concatenado]],PAA_4[[#This Row],[RCP-RUBRO]]))</f>
        <v>0</v>
      </c>
    </row>
    <row r="2271" spans="1:38" s="19" customFormat="1" ht="31.5" customHeight="1">
      <c r="A2271" s="47">
        <v>1076</v>
      </c>
      <c r="B2271" s="47">
        <v>80141607</v>
      </c>
      <c r="C2271" s="47" t="str">
        <f>VLOOKUP(PAA_4[[#This Row],[PROYECTO (formulado)2]],[2]PROYECTOS!$G$1:$L$32,6,0)</f>
        <v>SUBGERENCIA DE FOMENTO Y DESARROLLO</v>
      </c>
      <c r="D2271" s="47" t="str">
        <f>+IF(PAA_4[[#This Row],[UNIDAD DE CONTRATACION (formulado)]]="Subgerencia Administrativa y Financiera","FUNCIONAMIENTO","INVERSIÓN")</f>
        <v>INVERSIÓN</v>
      </c>
      <c r="E2271" s="48" t="str">
        <f>VLOOKUP(Q2271,[2]PROYECTOS!$G$1:$K$32,5,0)</f>
        <v>Fortalecimiento de los juegos deportivos institucionales en los municipios del departamento de Antioquia</v>
      </c>
      <c r="F2271" s="48">
        <f>VLOOKUP(E2271,[2]PROYECTOS!$K$1:$M$32,3,0)</f>
        <v>2024003050073</v>
      </c>
      <c r="G2271" s="49" t="s">
        <v>1353</v>
      </c>
      <c r="H2271" s="49" t="str">
        <f>VLOOKUP(Q2271,[2]PROYECTOS!$V$1:$W$32,2,0)</f>
        <v>050081</v>
      </c>
      <c r="I2271" s="78">
        <v>0</v>
      </c>
      <c r="J2271" s="51" t="s">
        <v>452</v>
      </c>
      <c r="K2271" s="47" t="str">
        <f t="shared" ca="1" si="829"/>
        <v>CONTRATADO</v>
      </c>
      <c r="L2271" s="47" t="s">
        <v>94</v>
      </c>
      <c r="M2271" s="47" t="s">
        <v>42</v>
      </c>
      <c r="N2271" s="52" t="s">
        <v>1365</v>
      </c>
      <c r="O2271" s="51" t="e">
        <f>VLOOKUP(N2271,[2]!RUBROS[#All],3,0)</f>
        <v>#REF!</v>
      </c>
      <c r="P2271" s="53" t="e">
        <f>VLOOKUP(N2271,[2]!RUBROS[#All],2,0)</f>
        <v>#REF!</v>
      </c>
      <c r="Q2271" s="47" t="str">
        <f t="shared" si="830"/>
        <v>73</v>
      </c>
      <c r="R2271" s="47" t="str">
        <f t="shared" si="831"/>
        <v>4-271130</v>
      </c>
      <c r="S2271" s="54">
        <v>4.5</v>
      </c>
      <c r="T2271" s="59" t="s">
        <v>46</v>
      </c>
      <c r="U2271" s="326" t="e">
        <f ca="1">_xlfn.XLOOKUP(PAA_4[[#This Row],[ITEM]],[2]Contrato!A:A,[2]Contrato!Q:Q,"",0)</f>
        <v>#NAME?</v>
      </c>
      <c r="V2271" s="47" t="s">
        <v>95</v>
      </c>
      <c r="W2271" s="47" t="s">
        <v>194</v>
      </c>
      <c r="X2271" s="47" t="s">
        <v>194</v>
      </c>
      <c r="Y2271" s="55" t="e">
        <f ca="1">_xlfn.XLOOKUP(PAA_4[[#This Row],[ITEM]],[2]Contrato!A:A,[2]Contrato!B:B,"",0)</f>
        <v>#NAME?</v>
      </c>
      <c r="Z2271" s="47" t="e">
        <f ca="1">_xlfn.XLOOKUP(PAA_4[[#This Row],[ITEM]],[2]Contrato!A:A,[2]Contrato!G:G,"",0)</f>
        <v>#NAME?</v>
      </c>
      <c r="AA2271" s="47" t="e">
        <f ca="1">_xlfn.XLOOKUP(PAA_4[[#This Row],[ITEM]],[2]Contrato!A:A,[2]Contrato!T:T,"",0)</f>
        <v>#NAME?</v>
      </c>
      <c r="AB2271" s="55" t="e">
        <f ca="1">+MAX(PAA_4[[#This Row],[Comprometido Contrato]],PAA_4[[#This Row],[Comprometido Bolsa]])</f>
        <v>#NAME?</v>
      </c>
      <c r="AC2271" s="55" t="str">
        <f t="shared" ca="1" si="832"/>
        <v/>
      </c>
      <c r="AD2271" s="55" t="e">
        <f ca="1">IF(PAA_4[[#This Row],[ESTADO (formulado)]]="NO CONTRATADO",0,MAX(PAA_4[[#This Row],[Pago por Contrato]],PAA_4[[#This Row],[Pago por bolsa]]))</f>
        <v>#NAME?</v>
      </c>
      <c r="AE2271" s="55" t="str">
        <f t="shared" ca="1" si="833"/>
        <v/>
      </c>
      <c r="AF2271" s="47" t="e">
        <f t="shared" ca="1" si="834"/>
        <v>#NAME?</v>
      </c>
      <c r="AG2271" s="47">
        <f t="shared" si="835"/>
        <v>52010703</v>
      </c>
      <c r="AH2271" s="54">
        <f>IF(Q2271="22",IF(ISNUMBER(SEARCH("econ",PAA_4[[#This Row],[Actividad3]])),"Económico",IF(ISNUMBER(SEARCH("alim",PAA_4[[#This Row],[Actividad3]])),"Alimentación",IF(ISNUMBER(SEARCH("educ",PAA_4[[#This Row],[Actividad3]])),"Educativo","Técnico"))),0)</f>
        <v>0</v>
      </c>
      <c r="AI2271" s="47" t="e" cm="1">
        <f t="array" aca="1" ref="AI2271" ca="1">_xlfn.XLOOKUP(PAA_4[[#This Row],[RCP-RUBRO]],[2]!COMPROMISOS_2024[[#All],[concatenado]],[2]!COMPROMISOS_2024[[#All],[Total pagado]],"",0)</f>
        <v>#NAME?</v>
      </c>
      <c r="AJ2271" s="56">
        <f>IF(PAA_4[[#This Row],[BOLSA]]=0,0,SUMIFS([2]!COMPROMISOS_2024[[#All],[Total pagado]],[2]!COMPROMISOS_2024[[#All],[Bolsa]],PAA_4[[#This Row],[BOLSA]],[2]!COMPROMISOS_2024[[#All],[rubro]],PAA_4[[#This Row],[RCP-RUBRO]]))</f>
        <v>0</v>
      </c>
      <c r="AK2271" s="47" t="e" cm="1">
        <f t="array" aca="1" ref="AK2271" ca="1">_xlfn.XLOOKUP(PAA_4[[#This Row],[RCP-RUBRO]],[2]!COMPROMISOS_2024[[#All],[concatenado]],[2]!COMPROMISOS_2024[[#All],[Total Comprometido]],"",0)</f>
        <v>#NAME?</v>
      </c>
      <c r="AL2271" s="47">
        <f>IF(PAA_4[[#This Row],[BOLSA]]=0,0,SUMIFS([2]!COMPROMISOS_2024[[#All],[Total Comprometido]],[2]!COMPROMISOS_2024[[#All],[Bolsa]],PAA_4[[#This Row],[BOLSA]],[2]!COMPROMISOS_2024[[#All],[concatenado]],PAA_4[[#This Row],[RCP-RUBRO]]))</f>
        <v>0</v>
      </c>
    </row>
    <row r="2272" spans="1:38" s="19" customFormat="1" ht="31.5" customHeight="1">
      <c r="A2272" s="47">
        <v>1200</v>
      </c>
      <c r="B2272" s="47" t="s">
        <v>393</v>
      </c>
      <c r="C2272" s="47" t="str">
        <f>VLOOKUP(PAA_4[[#This Row],[PROYECTO (formulado)2]],[2]PROYECTOS!$G$1:$L$32,6,0)</f>
        <v>SUBGERENCIA DE FOMENTO Y DESARROLLO</v>
      </c>
      <c r="D2272" s="47" t="str">
        <f>+IF(PAA_4[[#This Row],[UNIDAD DE CONTRATACION (formulado)]]="Subgerencia Administrativa y Financiera","FUNCIONAMIENTO","INVERSIÓN")</f>
        <v>INVERSIÓN</v>
      </c>
      <c r="E2272" s="48" t="str">
        <f>VLOOKUP(Q2272,[2]PROYECTOS!$G$1:$K$32,5,0)</f>
        <v>Fortalecimiento de los juegos deportivos institucionales en los municipios del departamento de Antioquia</v>
      </c>
      <c r="F2272" s="48">
        <f>VLOOKUP(E2272,[2]PROYECTOS!$K$1:$M$32,3,0)</f>
        <v>2024003050073</v>
      </c>
      <c r="G2272" s="49" t="s">
        <v>2323</v>
      </c>
      <c r="H2272" s="49" t="str">
        <f>VLOOKUP(Q2272,[2]PROYECTOS!$V$1:$W$32,2,0)</f>
        <v>050081</v>
      </c>
      <c r="I2272" s="78">
        <v>30214841</v>
      </c>
      <c r="J2272" s="51" t="s">
        <v>2416</v>
      </c>
      <c r="K2272" s="47" t="str">
        <f t="shared" ca="1" si="829"/>
        <v>CONTRATADO</v>
      </c>
      <c r="L2272" s="47" t="s">
        <v>94</v>
      </c>
      <c r="M2272" s="47" t="s">
        <v>255</v>
      </c>
      <c r="N2272" s="52" t="s">
        <v>1364</v>
      </c>
      <c r="O2272" s="51" t="e">
        <f>VLOOKUP(N2272,[2]!RUBROS[#All],3,0)</f>
        <v>#REF!</v>
      </c>
      <c r="P2272" s="53" t="e">
        <f>VLOOKUP(N2272,[2]!RUBROS[#All],2,0)</f>
        <v>#REF!</v>
      </c>
      <c r="Q2272" s="47" t="str">
        <f t="shared" si="830"/>
        <v>73</v>
      </c>
      <c r="R2272" s="47" t="str">
        <f t="shared" si="831"/>
        <v>4-205400</v>
      </c>
      <c r="S2272" s="54">
        <v>3.5</v>
      </c>
      <c r="T2272" s="59" t="s">
        <v>46</v>
      </c>
      <c r="U2272" s="326" t="e">
        <f ca="1">_xlfn.XLOOKUP(PAA_4[[#This Row],[ITEM]],[2]Contrato!A:A,[2]Contrato!Q:Q,"",0)</f>
        <v>#NAME?</v>
      </c>
      <c r="V2272" s="47" t="s">
        <v>95</v>
      </c>
      <c r="W2272" s="47" t="s">
        <v>203</v>
      </c>
      <c r="X2272" s="47" t="s">
        <v>203</v>
      </c>
      <c r="Y2272" s="55" t="e">
        <f ca="1">_xlfn.XLOOKUP(PAA_4[[#This Row],[ITEM]],[2]Contrato!A:A,[2]Contrato!B:B,"",0)</f>
        <v>#NAME?</v>
      </c>
      <c r="Z2272" s="47" t="e">
        <f ca="1">_xlfn.XLOOKUP(PAA_4[[#This Row],[ITEM]],[2]Contrato!A:A,[2]Contrato!G:G,"",0)</f>
        <v>#NAME?</v>
      </c>
      <c r="AA2272" s="47" t="e">
        <f ca="1">_xlfn.XLOOKUP(PAA_4[[#This Row],[ITEM]],[2]Contrato!A:A,[2]Contrato!T:T,"",0)</f>
        <v>#NAME?</v>
      </c>
      <c r="AB2272" s="55" t="e">
        <f ca="1">+MAX(PAA_4[[#This Row],[Comprometido Contrato]],PAA_4[[#This Row],[Comprometido Bolsa]])</f>
        <v>#NAME?</v>
      </c>
      <c r="AC2272" s="55" t="str">
        <f t="shared" ca="1" si="832"/>
        <v/>
      </c>
      <c r="AD2272" s="55" t="e">
        <f ca="1">IF(PAA_4[[#This Row],[ESTADO (formulado)]]="NO CONTRATADO",0,MAX(PAA_4[[#This Row],[Pago por Contrato]],PAA_4[[#This Row],[Pago por bolsa]]))</f>
        <v>#NAME?</v>
      </c>
      <c r="AE2272" s="55" t="str">
        <f t="shared" ca="1" si="833"/>
        <v/>
      </c>
      <c r="AF2272" s="47" t="e">
        <f t="shared" ca="1" si="834"/>
        <v>#NAME?</v>
      </c>
      <c r="AG2272" s="47">
        <f t="shared" si="835"/>
        <v>52010703</v>
      </c>
      <c r="AH2272" s="54">
        <f>IF(Q2272="22",IF(ISNUMBER(SEARCH("econ",PAA_4[[#This Row],[Actividad3]])),"Económico",IF(ISNUMBER(SEARCH("alim",PAA_4[[#This Row],[Actividad3]])),"Alimentación",IF(ISNUMBER(SEARCH("educ",PAA_4[[#This Row],[Actividad3]])),"Educativo","Técnico"))),0)</f>
        <v>0</v>
      </c>
      <c r="AI2272" s="47" t="e" cm="1">
        <f t="array" aca="1" ref="AI2272" ca="1">_xlfn.XLOOKUP(PAA_4[[#This Row],[RCP-RUBRO]],[2]!COMPROMISOS_2024[[#All],[concatenado]],[2]!COMPROMISOS_2024[[#All],[Total pagado]],"",0)</f>
        <v>#NAME?</v>
      </c>
      <c r="AJ2272" s="56">
        <f>IF(PAA_4[[#This Row],[BOLSA]]=0,0,SUMIFS([2]!COMPROMISOS_2024[[#All],[Total pagado]],[2]!COMPROMISOS_2024[[#All],[Bolsa]],PAA_4[[#This Row],[BOLSA]],[2]!COMPROMISOS_2024[[#All],[rubro]],PAA_4[[#This Row],[RCP-RUBRO]]))</f>
        <v>0</v>
      </c>
      <c r="AK2272" s="47" t="e" cm="1">
        <f t="array" aca="1" ref="AK2272" ca="1">_xlfn.XLOOKUP(PAA_4[[#This Row],[RCP-RUBRO]],[2]!COMPROMISOS_2024[[#All],[concatenado]],[2]!COMPROMISOS_2024[[#All],[Total Comprometido]],"",0)</f>
        <v>#NAME?</v>
      </c>
      <c r="AL2272" s="47">
        <f>IF(PAA_4[[#This Row],[BOLSA]]=0,0,SUMIFS([2]!COMPROMISOS_2024[[#All],[Total Comprometido]],[2]!COMPROMISOS_2024[[#All],[Bolsa]],PAA_4[[#This Row],[BOLSA]],[2]!COMPROMISOS_2024[[#All],[concatenado]],PAA_4[[#This Row],[RCP-RUBRO]]))</f>
        <v>0</v>
      </c>
    </row>
    <row r="2273" spans="1:38" s="19" customFormat="1" ht="31.5" customHeight="1">
      <c r="A2273" s="47">
        <v>1200</v>
      </c>
      <c r="B2273" s="47" t="s">
        <v>393</v>
      </c>
      <c r="C2273" s="47" t="str">
        <f>VLOOKUP(PAA_4[[#This Row],[PROYECTO (formulado)2]],[2]PROYECTOS!$G$1:$L$32,6,0)</f>
        <v>SUBGERENCIA DE FOMENTO Y DESARROLLO</v>
      </c>
      <c r="D2273" s="47" t="str">
        <f>+IF(PAA_4[[#This Row],[UNIDAD DE CONTRATACION (formulado)]]="Subgerencia Administrativa y Financiera","FUNCIONAMIENTO","INVERSIÓN")</f>
        <v>INVERSIÓN</v>
      </c>
      <c r="E2273" s="48" t="str">
        <f>VLOOKUP(Q2273,[2]PROYECTOS!$G$1:$K$32,5,0)</f>
        <v>Fortalecimiento de los juegos deportivos institucionales en los municipios del departamento de Antioquia</v>
      </c>
      <c r="F2273" s="48">
        <f>VLOOKUP(E2273,[2]PROYECTOS!$K$1:$M$32,3,0)</f>
        <v>2024003050073</v>
      </c>
      <c r="G2273" s="49" t="s">
        <v>2323</v>
      </c>
      <c r="H2273" s="49" t="str">
        <f>VLOOKUP(Q2273,[2]PROYECTOS!$V$1:$W$32,2,0)</f>
        <v>050081</v>
      </c>
      <c r="I2273" s="78">
        <v>1050086900</v>
      </c>
      <c r="J2273" s="51" t="s">
        <v>2416</v>
      </c>
      <c r="K2273" s="47" t="str">
        <f t="shared" ca="1" si="829"/>
        <v>CONTRATADO</v>
      </c>
      <c r="L2273" s="47" t="s">
        <v>94</v>
      </c>
      <c r="M2273" s="47" t="s">
        <v>255</v>
      </c>
      <c r="N2273" s="52" t="s">
        <v>1362</v>
      </c>
      <c r="O2273" s="51" t="e">
        <f>VLOOKUP(N2273,[2]!RUBROS[#All],3,0)</f>
        <v>#REF!</v>
      </c>
      <c r="P2273" s="53" t="e">
        <f>VLOOKUP(N2273,[2]!RUBROS[#All],2,0)</f>
        <v>#REF!</v>
      </c>
      <c r="Q2273" s="47" t="str">
        <f t="shared" si="830"/>
        <v>73</v>
      </c>
      <c r="R2273" s="47" t="str">
        <f t="shared" si="831"/>
        <v>0-101024</v>
      </c>
      <c r="S2273" s="54">
        <v>3.5</v>
      </c>
      <c r="T2273" s="59" t="s">
        <v>46</v>
      </c>
      <c r="U2273" s="326" t="e">
        <f ca="1">_xlfn.XLOOKUP(PAA_4[[#This Row],[ITEM]],[2]Contrato!A:A,[2]Contrato!Q:Q,"",0)</f>
        <v>#NAME?</v>
      </c>
      <c r="V2273" s="47" t="s">
        <v>95</v>
      </c>
      <c r="W2273" s="47" t="s">
        <v>203</v>
      </c>
      <c r="X2273" s="47" t="s">
        <v>203</v>
      </c>
      <c r="Y2273" s="55" t="e">
        <f ca="1">_xlfn.XLOOKUP(PAA_4[[#This Row],[ITEM]],[2]Contrato!A:A,[2]Contrato!B:B,"",0)</f>
        <v>#NAME?</v>
      </c>
      <c r="Z2273" s="47" t="e">
        <f ca="1">_xlfn.XLOOKUP(PAA_4[[#This Row],[ITEM]],[2]Contrato!A:A,[2]Contrato!G:G,"",0)</f>
        <v>#NAME?</v>
      </c>
      <c r="AA2273" s="47" t="e">
        <f ca="1">_xlfn.XLOOKUP(PAA_4[[#This Row],[ITEM]],[2]Contrato!A:A,[2]Contrato!T:T,"",0)</f>
        <v>#NAME?</v>
      </c>
      <c r="AB2273" s="55" t="e">
        <f ca="1">+MAX(PAA_4[[#This Row],[Comprometido Contrato]],PAA_4[[#This Row],[Comprometido Bolsa]])</f>
        <v>#NAME?</v>
      </c>
      <c r="AC2273" s="55" t="str">
        <f t="shared" ca="1" si="832"/>
        <v/>
      </c>
      <c r="AD2273" s="55" t="e">
        <f ca="1">IF(PAA_4[[#This Row],[ESTADO (formulado)]]="NO CONTRATADO",0,MAX(PAA_4[[#This Row],[Pago por Contrato]],PAA_4[[#This Row],[Pago por bolsa]]))</f>
        <v>#NAME?</v>
      </c>
      <c r="AE2273" s="55" t="str">
        <f t="shared" ca="1" si="833"/>
        <v/>
      </c>
      <c r="AF2273" s="47" t="e">
        <f t="shared" ca="1" si="834"/>
        <v>#NAME?</v>
      </c>
      <c r="AG2273" s="47">
        <f t="shared" si="835"/>
        <v>52010703</v>
      </c>
      <c r="AH2273" s="54">
        <f>IF(Q2273="22",IF(ISNUMBER(SEARCH("econ",PAA_4[[#This Row],[Actividad3]])),"Económico",IF(ISNUMBER(SEARCH("alim",PAA_4[[#This Row],[Actividad3]])),"Alimentación",IF(ISNUMBER(SEARCH("educ",PAA_4[[#This Row],[Actividad3]])),"Educativo","Técnico"))),0)</f>
        <v>0</v>
      </c>
      <c r="AI2273" s="47" t="e" cm="1">
        <f t="array" aca="1" ref="AI2273" ca="1">_xlfn.XLOOKUP(PAA_4[[#This Row],[RCP-RUBRO]],[2]!COMPROMISOS_2024[[#All],[concatenado]],[2]!COMPROMISOS_2024[[#All],[Total pagado]],"",0)</f>
        <v>#NAME?</v>
      </c>
      <c r="AJ2273" s="56">
        <f>IF(PAA_4[[#This Row],[BOLSA]]=0,0,SUMIFS([2]!COMPROMISOS_2024[[#All],[Total pagado]],[2]!COMPROMISOS_2024[[#All],[Bolsa]],PAA_4[[#This Row],[BOLSA]],[2]!COMPROMISOS_2024[[#All],[rubro]],PAA_4[[#This Row],[RCP-RUBRO]]))</f>
        <v>0</v>
      </c>
      <c r="AK2273" s="47" t="e" cm="1">
        <f t="array" aca="1" ref="AK2273" ca="1">_xlfn.XLOOKUP(PAA_4[[#This Row],[RCP-RUBRO]],[2]!COMPROMISOS_2024[[#All],[concatenado]],[2]!COMPROMISOS_2024[[#All],[Total Comprometido]],"",0)</f>
        <v>#NAME?</v>
      </c>
      <c r="AL2273" s="47">
        <f>IF(PAA_4[[#This Row],[BOLSA]]=0,0,SUMIFS([2]!COMPROMISOS_2024[[#All],[Total Comprometido]],[2]!COMPROMISOS_2024[[#All],[Bolsa]],PAA_4[[#This Row],[BOLSA]],[2]!COMPROMISOS_2024[[#All],[concatenado]],PAA_4[[#This Row],[RCP-RUBRO]]))</f>
        <v>0</v>
      </c>
    </row>
    <row r="2274" spans="1:38" s="19" customFormat="1" ht="31.5" customHeight="1">
      <c r="A2274" s="47" t="s">
        <v>82</v>
      </c>
      <c r="B2274" s="47" t="s">
        <v>42</v>
      </c>
      <c r="C2274" s="47" t="str">
        <f>VLOOKUP(PAA_4[[#This Row],[PROYECTO (formulado)2]],[2]PROYECTOS!$G$1:$L$32,6,0)</f>
        <v>SUBGERENCIA DE FOMENTO Y DESARROLLO</v>
      </c>
      <c r="D2274" s="47" t="str">
        <f>+IF(PAA_4[[#This Row],[UNIDAD DE CONTRATACION (formulado)]]="Subgerencia Administrativa y Financiera","FUNCIONAMIENTO","INVERSIÓN")</f>
        <v>INVERSIÓN</v>
      </c>
      <c r="E2274" s="48" t="str">
        <f>VLOOKUP(Q2274,[2]PROYECTOS!$G$1:$K$32,5,0)</f>
        <v>Fortalecimiento de los juegos deportivos institucionales en los municipios del departamento de Antioquia</v>
      </c>
      <c r="F2274" s="48">
        <f>VLOOKUP(E2274,[2]PROYECTOS!$K$1:$M$32,3,0)</f>
        <v>2024003050073</v>
      </c>
      <c r="G2274" s="49" t="s">
        <v>2323</v>
      </c>
      <c r="H2274" s="49" t="str">
        <f>VLOOKUP(Q2274,[2]PROYECTOS!$V$1:$W$32,2,0)</f>
        <v>050081</v>
      </c>
      <c r="I2274" s="78">
        <v>546013453</v>
      </c>
      <c r="J2274" s="51" t="s">
        <v>2417</v>
      </c>
      <c r="K2274" s="47" t="str">
        <f t="shared" ca="1" si="829"/>
        <v>CONTRATADO</v>
      </c>
      <c r="L2274" s="47" t="s">
        <v>42</v>
      </c>
      <c r="M2274" s="47" t="s">
        <v>42</v>
      </c>
      <c r="N2274" s="52" t="s">
        <v>2325</v>
      </c>
      <c r="O2274" s="51" t="e">
        <f>VLOOKUP(N2274,[2]!RUBROS[#All],3,0)</f>
        <v>#REF!</v>
      </c>
      <c r="P2274" s="53" t="e">
        <f>VLOOKUP(N2274,[2]!RUBROS[#All],2,0)</f>
        <v>#REF!</v>
      </c>
      <c r="Q2274" s="47" t="str">
        <f t="shared" si="830"/>
        <v>73</v>
      </c>
      <c r="R2274" s="47" t="str">
        <f t="shared" si="831"/>
        <v>0-205400</v>
      </c>
      <c r="S2274" s="54" t="s">
        <v>42</v>
      </c>
      <c r="T2274" s="63" t="s">
        <v>42</v>
      </c>
      <c r="U2274" s="326" t="e">
        <f ca="1">_xlfn.XLOOKUP(PAA_4[[#This Row],[ITEM]],[2]Contrato!A:A,[2]Contrato!Q:Q,"",0)</f>
        <v>#NAME?</v>
      </c>
      <c r="V2274" s="47" t="s">
        <v>42</v>
      </c>
      <c r="W2274" s="47" t="s">
        <v>42</v>
      </c>
      <c r="X2274" s="47" t="s">
        <v>42</v>
      </c>
      <c r="Y2274" s="55" t="e">
        <f ca="1">_xlfn.XLOOKUP(PAA_4[[#This Row],[ITEM]],[2]Contrato!A:A,[2]Contrato!B:B,"",0)</f>
        <v>#NAME?</v>
      </c>
      <c r="Z2274" s="47" t="e">
        <f ca="1">_xlfn.XLOOKUP(PAA_4[[#This Row],[ITEM]],[2]Contrato!A:A,[2]Contrato!G:G,"",0)</f>
        <v>#NAME?</v>
      </c>
      <c r="AA2274" s="47" t="e">
        <f ca="1">_xlfn.XLOOKUP(PAA_4[[#This Row],[ITEM]],[2]Contrato!A:A,[2]Contrato!T:T,"",0)</f>
        <v>#NAME?</v>
      </c>
      <c r="AB2274" s="55" t="e">
        <f ca="1">+MAX(PAA_4[[#This Row],[Comprometido Contrato]],PAA_4[[#This Row],[Comprometido Bolsa]])</f>
        <v>#NAME?</v>
      </c>
      <c r="AC2274" s="55" t="str">
        <f t="shared" ca="1" si="832"/>
        <v/>
      </c>
      <c r="AD2274" s="55" t="e">
        <f ca="1">IF(PAA_4[[#This Row],[ESTADO (formulado)]]="NO CONTRATADO",0,MAX(PAA_4[[#This Row],[Pago por Contrato]],PAA_4[[#This Row],[Pago por bolsa]]))</f>
        <v>#NAME?</v>
      </c>
      <c r="AE2274" s="55" t="str">
        <f t="shared" ca="1" si="833"/>
        <v/>
      </c>
      <c r="AF2274" s="47" t="e">
        <f t="shared" ca="1" si="834"/>
        <v>#NAME?</v>
      </c>
      <c r="AG2274" s="47">
        <f t="shared" si="835"/>
        <v>52010703</v>
      </c>
      <c r="AH2274" s="54">
        <f>IF(Q2274="22",IF(ISNUMBER(SEARCH("econ",PAA_4[[#This Row],[Actividad3]])),"Económico",IF(ISNUMBER(SEARCH("alim",PAA_4[[#This Row],[Actividad3]])),"Alimentación",IF(ISNUMBER(SEARCH("educ",PAA_4[[#This Row],[Actividad3]])),"Educativo","Técnico"))),0)</f>
        <v>0</v>
      </c>
      <c r="AI2274" s="47" t="e" cm="1">
        <f t="array" aca="1" ref="AI2274" ca="1">_xlfn.XLOOKUP(PAA_4[[#This Row],[RCP-RUBRO]],[2]!COMPROMISOS_2024[[#All],[concatenado]],[2]!COMPROMISOS_2024[[#All],[Total pagado]],"",0)</f>
        <v>#NAME?</v>
      </c>
      <c r="AJ2274" s="56">
        <f>IF(PAA_4[[#This Row],[BOLSA]]=0,0,SUMIFS([2]!COMPROMISOS_2024[[#All],[Total pagado]],[2]!COMPROMISOS_2024[[#All],[Bolsa]],PAA_4[[#This Row],[BOLSA]],[2]!COMPROMISOS_2024[[#All],[rubro]],PAA_4[[#This Row],[RCP-RUBRO]]))</f>
        <v>0</v>
      </c>
      <c r="AK2274" s="47" t="e" cm="1">
        <f t="array" aca="1" ref="AK2274" ca="1">_xlfn.XLOOKUP(PAA_4[[#This Row],[RCP-RUBRO]],[2]!COMPROMISOS_2024[[#All],[concatenado]],[2]!COMPROMISOS_2024[[#All],[Total Comprometido]],"",0)</f>
        <v>#NAME?</v>
      </c>
      <c r="AL2274" s="47">
        <f>IF(PAA_4[[#This Row],[BOLSA]]=0,0,SUMIFS([2]!COMPROMISOS_2024[[#All],[Total Comprometido]],[2]!COMPROMISOS_2024[[#All],[Bolsa]],PAA_4[[#This Row],[BOLSA]],[2]!COMPROMISOS_2024[[#All],[concatenado]],PAA_4[[#This Row],[RCP-RUBRO]]))</f>
        <v>0</v>
      </c>
    </row>
    <row r="2275" spans="1:38" s="19" customFormat="1" ht="31.5" customHeight="1">
      <c r="A2275" s="47">
        <v>1200</v>
      </c>
      <c r="B2275" s="47" t="s">
        <v>393</v>
      </c>
      <c r="C2275" s="47" t="str">
        <f>VLOOKUP(PAA_4[[#This Row],[PROYECTO (formulado)2]],[2]PROYECTOS!$G$1:$L$32,6,0)</f>
        <v>SUBGERENCIA DE FOMENTO Y DESARROLLO</v>
      </c>
      <c r="D2275" s="47" t="str">
        <f>+IF(PAA_4[[#This Row],[UNIDAD DE CONTRATACION (formulado)]]="Subgerencia Administrativa y Financiera","FUNCIONAMIENTO","INVERSIÓN")</f>
        <v>INVERSIÓN</v>
      </c>
      <c r="E2275" s="48" t="str">
        <f>VLOOKUP(Q2275,[2]PROYECTOS!$G$1:$K$32,5,0)</f>
        <v>Fortalecimiento de los juegos deportivos institucionales en los municipios del departamento de Antioquia</v>
      </c>
      <c r="F2275" s="48">
        <f>VLOOKUP(E2275,[2]PROYECTOS!$K$1:$M$32,3,0)</f>
        <v>2024003050073</v>
      </c>
      <c r="G2275" s="49" t="s">
        <v>2323</v>
      </c>
      <c r="H2275" s="49" t="str">
        <f>VLOOKUP(Q2275,[2]PROYECTOS!$V$1:$W$32,2,0)</f>
        <v>050081</v>
      </c>
      <c r="I2275" s="78">
        <f>1172633044-546013453</f>
        <v>626619591</v>
      </c>
      <c r="J2275" s="51" t="s">
        <v>2418</v>
      </c>
      <c r="K2275" s="47" t="str">
        <f t="shared" ca="1" si="829"/>
        <v>CONTRATADO</v>
      </c>
      <c r="L2275" s="47" t="s">
        <v>94</v>
      </c>
      <c r="M2275" s="47" t="s">
        <v>255</v>
      </c>
      <c r="N2275" s="52" t="s">
        <v>2325</v>
      </c>
      <c r="O2275" s="51" t="e">
        <f>VLOOKUP(N2275,[2]!RUBROS[#All],3,0)</f>
        <v>#REF!</v>
      </c>
      <c r="P2275" s="53" t="e">
        <f>VLOOKUP(N2275,[2]!RUBROS[#All],2,0)</f>
        <v>#REF!</v>
      </c>
      <c r="Q2275" s="47" t="str">
        <f t="shared" si="830"/>
        <v>73</v>
      </c>
      <c r="R2275" s="47" t="str">
        <f t="shared" si="831"/>
        <v>0-205400</v>
      </c>
      <c r="S2275" s="54">
        <v>3.5</v>
      </c>
      <c r="T2275" s="59" t="s">
        <v>46</v>
      </c>
      <c r="U2275" s="326" t="e">
        <f ca="1">_xlfn.XLOOKUP(PAA_4[[#This Row],[ITEM]],[2]Contrato!A:A,[2]Contrato!Q:Q,"",0)</f>
        <v>#NAME?</v>
      </c>
      <c r="V2275" s="47" t="s">
        <v>95</v>
      </c>
      <c r="W2275" s="47" t="s">
        <v>203</v>
      </c>
      <c r="X2275" s="47" t="s">
        <v>203</v>
      </c>
      <c r="Y2275" s="55" t="e">
        <f ca="1">_xlfn.XLOOKUP(PAA_4[[#This Row],[ITEM]],[2]Contrato!A:A,[2]Contrato!B:B,"",0)</f>
        <v>#NAME?</v>
      </c>
      <c r="Z2275" s="47" t="e">
        <f ca="1">_xlfn.XLOOKUP(PAA_4[[#This Row],[ITEM]],[2]Contrato!A:A,[2]Contrato!G:G,"",0)</f>
        <v>#NAME?</v>
      </c>
      <c r="AA2275" s="47" t="e">
        <f ca="1">_xlfn.XLOOKUP(PAA_4[[#This Row],[ITEM]],[2]Contrato!A:A,[2]Contrato!T:T,"",0)</f>
        <v>#NAME?</v>
      </c>
      <c r="AB2275" s="55" t="e">
        <f ca="1">+MAX(PAA_4[[#This Row],[Comprometido Contrato]],PAA_4[[#This Row],[Comprometido Bolsa]])</f>
        <v>#NAME?</v>
      </c>
      <c r="AC2275" s="55" t="str">
        <f t="shared" ca="1" si="832"/>
        <v/>
      </c>
      <c r="AD2275" s="55" t="e">
        <f ca="1">IF(PAA_4[[#This Row],[ESTADO (formulado)]]="NO CONTRATADO",0,MAX(PAA_4[[#This Row],[Pago por Contrato]],PAA_4[[#This Row],[Pago por bolsa]]))</f>
        <v>#NAME?</v>
      </c>
      <c r="AE2275" s="55" t="str">
        <f t="shared" ca="1" si="833"/>
        <v/>
      </c>
      <c r="AF2275" s="47" t="e">
        <f t="shared" ca="1" si="834"/>
        <v>#NAME?</v>
      </c>
      <c r="AG2275" s="47">
        <f t="shared" si="835"/>
        <v>52010703</v>
      </c>
      <c r="AH2275" s="54">
        <f>IF(Q2275="22",IF(ISNUMBER(SEARCH("econ",PAA_4[[#This Row],[Actividad3]])),"Económico",IF(ISNUMBER(SEARCH("alim",PAA_4[[#This Row],[Actividad3]])),"Alimentación",IF(ISNUMBER(SEARCH("educ",PAA_4[[#This Row],[Actividad3]])),"Educativo","Técnico"))),0)</f>
        <v>0</v>
      </c>
      <c r="AI2275" s="47" t="e" cm="1">
        <f t="array" aca="1" ref="AI2275" ca="1">_xlfn.XLOOKUP(PAA_4[[#This Row],[RCP-RUBRO]],[2]!COMPROMISOS_2024[[#All],[concatenado]],[2]!COMPROMISOS_2024[[#All],[Total pagado]],"",0)</f>
        <v>#NAME?</v>
      </c>
      <c r="AJ2275" s="56">
        <f>IF(PAA_4[[#This Row],[BOLSA]]=0,0,SUMIFS([2]!COMPROMISOS_2024[[#All],[Total pagado]],[2]!COMPROMISOS_2024[[#All],[Bolsa]],PAA_4[[#This Row],[BOLSA]],[2]!COMPROMISOS_2024[[#All],[rubro]],PAA_4[[#This Row],[RCP-RUBRO]]))</f>
        <v>0</v>
      </c>
      <c r="AK2275" s="47" t="e" cm="1">
        <f t="array" aca="1" ref="AK2275" ca="1">_xlfn.XLOOKUP(PAA_4[[#This Row],[RCP-RUBRO]],[2]!COMPROMISOS_2024[[#All],[concatenado]],[2]!COMPROMISOS_2024[[#All],[Total Comprometido]],"",0)</f>
        <v>#NAME?</v>
      </c>
      <c r="AL2275" s="47">
        <f>IF(PAA_4[[#This Row],[BOLSA]]=0,0,SUMIFS([2]!COMPROMISOS_2024[[#All],[Total Comprometido]],[2]!COMPROMISOS_2024[[#All],[Bolsa]],PAA_4[[#This Row],[BOLSA]],[2]!COMPROMISOS_2024[[#All],[concatenado]],PAA_4[[#This Row],[RCP-RUBRO]]))</f>
        <v>0</v>
      </c>
    </row>
    <row r="2276" spans="1:38" s="19" customFormat="1" ht="31.5" customHeight="1">
      <c r="A2276" s="47" t="s">
        <v>82</v>
      </c>
      <c r="B2276" s="47" t="s">
        <v>42</v>
      </c>
      <c r="C2276" s="47" t="str">
        <f>VLOOKUP(PAA_4[[#This Row],[PROYECTO (formulado)2]],[2]PROYECTOS!$G$1:$L$32,6,0)</f>
        <v>SUBGERENCIA DE FOMENTO Y DESARROLLO</v>
      </c>
      <c r="D2276" s="47" t="str">
        <f>+IF(PAA_4[[#This Row],[UNIDAD DE CONTRATACION (formulado)]]="Subgerencia Administrativa y Financiera","FUNCIONAMIENTO","INVERSIÓN")</f>
        <v>INVERSIÓN</v>
      </c>
      <c r="E2276" s="48" t="str">
        <f>VLOOKUP(Q2276,[2]PROYECTOS!$G$1:$K$32,5,0)</f>
        <v>Fortalecimiento de los juegos deportivos institucionales en los municipios del departamento de Antioquia</v>
      </c>
      <c r="F2276" s="48">
        <f>VLOOKUP(E2276,[2]PROYECTOS!$K$1:$M$32,3,0)</f>
        <v>2024003050073</v>
      </c>
      <c r="G2276" s="49" t="s">
        <v>2323</v>
      </c>
      <c r="H2276" s="49" t="str">
        <f>VLOOKUP(Q2276,[2]PROYECTOS!$V$1:$W$32,2,0)</f>
        <v>050081</v>
      </c>
      <c r="I2276" s="78">
        <v>292632946</v>
      </c>
      <c r="J2276" s="51" t="s">
        <v>1354</v>
      </c>
      <c r="K2276" s="47" t="str">
        <f ca="1">IF(ISNONTEXT(Y2276)=TRUE,"CONTRATADO","NO CONTRATADO")</f>
        <v>CONTRATADO</v>
      </c>
      <c r="L2276" s="47" t="s">
        <v>42</v>
      </c>
      <c r="M2276" s="47" t="s">
        <v>42</v>
      </c>
      <c r="N2276" s="52" t="s">
        <v>1362</v>
      </c>
      <c r="O2276" s="51" t="e">
        <f>VLOOKUP(N2276,[2]!RUBROS[#All],3,0)</f>
        <v>#REF!</v>
      </c>
      <c r="P2276" s="53" t="e">
        <f>VLOOKUP(N2276,[2]!RUBROS[#All],2,0)</f>
        <v>#REF!</v>
      </c>
      <c r="Q2276" s="47" t="str">
        <f>+MID(N2276,11,2)</f>
        <v>73</v>
      </c>
      <c r="R2276" s="47" t="str">
        <f t="shared" si="831"/>
        <v>0-101024</v>
      </c>
      <c r="S2276" s="54" t="s">
        <v>42</v>
      </c>
      <c r="T2276" s="329" t="s">
        <v>42</v>
      </c>
      <c r="U2276" s="326" t="e">
        <f ca="1">_xlfn.XLOOKUP(PAA_4[[#This Row],[ITEM]],[2]Contrato!A:A,[2]Contrato!Q:Q,"",0)</f>
        <v>#NAME?</v>
      </c>
      <c r="V2276" s="47" t="s">
        <v>95</v>
      </c>
      <c r="W2276" s="47" t="s">
        <v>42</v>
      </c>
      <c r="X2276" s="47" t="s">
        <v>42</v>
      </c>
      <c r="Y2276" s="55" t="e">
        <f ca="1">_xlfn.XLOOKUP(PAA_4[[#This Row],[ITEM]],[2]Contrato!A:A,[2]Contrato!B:B,"",0)</f>
        <v>#NAME?</v>
      </c>
      <c r="Z2276" s="47" t="e">
        <f ca="1">_xlfn.XLOOKUP(PAA_4[[#This Row],[ITEM]],[2]Contrato!A:A,[2]Contrato!G:G,"",0)</f>
        <v>#NAME?</v>
      </c>
      <c r="AA2276" s="47" t="e">
        <f ca="1">_xlfn.XLOOKUP(PAA_4[[#This Row],[ITEM]],[2]Contrato!A:A,[2]Contrato!T:T,"",0)</f>
        <v>#NAME?</v>
      </c>
      <c r="AB2276" s="55" t="e">
        <f ca="1">+MAX(PAA_4[[#This Row],[Comprometido Contrato]],PAA_4[[#This Row],[Comprometido Bolsa]])</f>
        <v>#NAME?</v>
      </c>
      <c r="AC2276" s="55" t="str">
        <f ca="1">IFERROR(I2276-AB2276,"")</f>
        <v/>
      </c>
      <c r="AD2276" s="55" t="e">
        <f ca="1">IF(PAA_4[[#This Row],[ESTADO (formulado)]]="NO CONTRATADO",0,MAX(PAA_4[[#This Row],[Pago por Contrato]],PAA_4[[#This Row],[Pago por bolsa]]))</f>
        <v>#NAME?</v>
      </c>
      <c r="AE2276" s="55" t="str">
        <f ca="1">+IFERROR(AB2276-AD2276,"")</f>
        <v/>
      </c>
      <c r="AF2276" s="47" t="e">
        <f ca="1">+CONCATENATE(AA2276,N2276)</f>
        <v>#NAME?</v>
      </c>
      <c r="AG2276" s="47">
        <f>IFERROR(_xlfn.NUMBERVALUE(MID(G2276,1,8)),"")</f>
        <v>52010703</v>
      </c>
      <c r="AH2276" s="54">
        <f>IF(Q2276="22",IF(ISNUMBER(SEARCH("econ",PAA_4[[#This Row],[Actividad3]])),"Económico",IF(ISNUMBER(SEARCH("alim",PAA_4[[#This Row],[Actividad3]])),"Alimentación",IF(ISNUMBER(SEARCH("educ",PAA_4[[#This Row],[Actividad3]])),"Educativo","Técnico"))),0)</f>
        <v>0</v>
      </c>
      <c r="AI2276" s="47" t="e" cm="1">
        <f t="array" aca="1" ref="AI2276" ca="1">_xlfn.XLOOKUP(PAA_4[[#This Row],[RCP-RUBRO]],[2]!COMPROMISOS_2024[[#All],[concatenado]],[2]!COMPROMISOS_2024[[#All],[Total pagado]],"",0)</f>
        <v>#NAME?</v>
      </c>
      <c r="AJ2276" s="56">
        <f>IF(PAA_4[[#This Row],[BOLSA]]=0,0,SUMIFS([2]!COMPROMISOS_2024[[#All],[Total pagado]],[2]!COMPROMISOS_2024[[#All],[Bolsa]],PAA_4[[#This Row],[BOLSA]],[2]!COMPROMISOS_2024[[#All],[rubro]],PAA_4[[#This Row],[RCP-RUBRO]]))</f>
        <v>0</v>
      </c>
      <c r="AK2276" s="47" t="e" cm="1">
        <f t="array" aca="1" ref="AK2276" ca="1">_xlfn.XLOOKUP(PAA_4[[#This Row],[RCP-RUBRO]],[2]!COMPROMISOS_2024[[#All],[concatenado]],[2]!COMPROMISOS_2024[[#All],[Total Comprometido]],"",0)</f>
        <v>#NAME?</v>
      </c>
      <c r="AL2276" s="47">
        <f>IF(PAA_4[[#This Row],[BOLSA]]=0,0,SUMIFS([2]!COMPROMISOS_2024[[#All],[Total Comprometido]],[2]!COMPROMISOS_2024[[#All],[Bolsa]],PAA_4[[#This Row],[BOLSA]],[2]!COMPROMISOS_2024[[#All],[concatenado]],PAA_4[[#This Row],[RCP-RUBRO]]))</f>
        <v>0</v>
      </c>
    </row>
    <row r="2277" spans="1:38" s="19" customFormat="1" ht="31.5" customHeight="1">
      <c r="A2277" s="47">
        <v>1201</v>
      </c>
      <c r="B2277" s="47" t="s">
        <v>393</v>
      </c>
      <c r="C2277" s="47" t="str">
        <f>VLOOKUP(PAA_4[[#This Row],[PROYECTO (formulado)2]],[2]PROYECTOS!$G$1:$L$32,6,0)</f>
        <v>SUBGERENCIA DE FOMENTO Y DESARROLLO</v>
      </c>
      <c r="D2277" s="47" t="str">
        <f>+IF(PAA_4[[#This Row],[UNIDAD DE CONTRATACION (formulado)]]="Subgerencia Administrativa y Financiera","FUNCIONAMIENTO","INVERSIÓN")</f>
        <v>INVERSIÓN</v>
      </c>
      <c r="E2277" s="48" t="str">
        <f>VLOOKUP(Q2277,[2]PROYECTOS!$G$1:$K$32,5,0)</f>
        <v>Fortalecimiento de los juegos deportivos institucionales en los municipios del departamento de Antioquia</v>
      </c>
      <c r="F2277" s="48">
        <f>VLOOKUP(E2277,[2]PROYECTOS!$K$1:$M$32,3,0)</f>
        <v>2024003050073</v>
      </c>
      <c r="G2277" s="49" t="s">
        <v>2323</v>
      </c>
      <c r="H2277" s="49" t="str">
        <f>VLOOKUP(Q2277,[2]PROYECTOS!$V$1:$W$32,2,0)</f>
        <v>050081</v>
      </c>
      <c r="I2277" s="78">
        <f>1134455325-292632946</f>
        <v>841822379</v>
      </c>
      <c r="J2277" s="51" t="s">
        <v>2419</v>
      </c>
      <c r="K2277" s="47" t="str">
        <f t="shared" ref="K2277:K2279" ca="1" si="836">IF(ISNONTEXT(Y2277)=TRUE,"CONTRATADO","NO CONTRATADO")</f>
        <v>CONTRATADO</v>
      </c>
      <c r="L2277" s="47" t="s">
        <v>94</v>
      </c>
      <c r="M2277" s="47" t="s">
        <v>255</v>
      </c>
      <c r="N2277" s="52" t="s">
        <v>1362</v>
      </c>
      <c r="O2277" s="51" t="e">
        <f>VLOOKUP(N2277,[2]!RUBROS[#All],3,0)</f>
        <v>#REF!</v>
      </c>
      <c r="P2277" s="53" t="e">
        <f>VLOOKUP(N2277,[2]!RUBROS[#All],2,0)</f>
        <v>#REF!</v>
      </c>
      <c r="Q2277" s="47" t="str">
        <f t="shared" ref="Q2277:Q2279" si="837">+MID(N2277,11,2)</f>
        <v>73</v>
      </c>
      <c r="R2277" s="47" t="str">
        <f t="shared" si="831"/>
        <v>0-101024</v>
      </c>
      <c r="S2277" s="54">
        <v>3.5</v>
      </c>
      <c r="T2277" s="59" t="s">
        <v>46</v>
      </c>
      <c r="U2277" s="326" t="e">
        <f ca="1">_xlfn.XLOOKUP(PAA_4[[#This Row],[ITEM]],[2]Contrato!A:A,[2]Contrato!Q:Q,"",0)</f>
        <v>#NAME?</v>
      </c>
      <c r="V2277" s="47" t="s">
        <v>95</v>
      </c>
      <c r="W2277" s="47" t="s">
        <v>203</v>
      </c>
      <c r="X2277" s="47" t="s">
        <v>203</v>
      </c>
      <c r="Y2277" s="55" t="e">
        <f ca="1">_xlfn.XLOOKUP(PAA_4[[#This Row],[ITEM]],[2]Contrato!A:A,[2]Contrato!B:B,"",0)</f>
        <v>#NAME?</v>
      </c>
      <c r="Z2277" s="47" t="e">
        <f ca="1">_xlfn.XLOOKUP(PAA_4[[#This Row],[ITEM]],[2]Contrato!A:A,[2]Contrato!G:G,"",0)</f>
        <v>#NAME?</v>
      </c>
      <c r="AA2277" s="47" t="e">
        <f ca="1">_xlfn.XLOOKUP(PAA_4[[#This Row],[ITEM]],[2]Contrato!A:A,[2]Contrato!T:T,"",0)</f>
        <v>#NAME?</v>
      </c>
      <c r="AB2277" s="55" t="e">
        <f ca="1">+MAX(PAA_4[[#This Row],[Comprometido Contrato]],PAA_4[[#This Row],[Comprometido Bolsa]])</f>
        <v>#NAME?</v>
      </c>
      <c r="AC2277" s="55" t="str">
        <f t="shared" ref="AC2277:AC2279" ca="1" si="838">IFERROR(I2277-AB2277,"")</f>
        <v/>
      </c>
      <c r="AD2277" s="55" t="e">
        <f ca="1">IF(PAA_4[[#This Row],[ESTADO (formulado)]]="NO CONTRATADO",0,MAX(PAA_4[[#This Row],[Pago por Contrato]],PAA_4[[#This Row],[Pago por bolsa]]))</f>
        <v>#NAME?</v>
      </c>
      <c r="AE2277" s="55" t="str">
        <f t="shared" ref="AE2277:AE2279" ca="1" si="839">+IFERROR(AB2277-AD2277,"")</f>
        <v/>
      </c>
      <c r="AF2277" s="47" t="e">
        <f t="shared" ref="AF2277:AF2279" ca="1" si="840">+CONCATENATE(AA2277,N2277)</f>
        <v>#NAME?</v>
      </c>
      <c r="AG2277" s="47">
        <f t="shared" ref="AG2277:AG2279" si="841">IFERROR(_xlfn.NUMBERVALUE(MID(G2277,1,8)),"")</f>
        <v>52010703</v>
      </c>
      <c r="AH2277" s="54">
        <f>IF(Q2277="22",IF(ISNUMBER(SEARCH("econ",PAA_4[[#This Row],[Actividad3]])),"Económico",IF(ISNUMBER(SEARCH("alim",PAA_4[[#This Row],[Actividad3]])),"Alimentación",IF(ISNUMBER(SEARCH("educ",PAA_4[[#This Row],[Actividad3]])),"Educativo","Técnico"))),0)</f>
        <v>0</v>
      </c>
      <c r="AI2277" s="47" t="e" cm="1">
        <f t="array" aca="1" ref="AI2277" ca="1">_xlfn.XLOOKUP(PAA_4[[#This Row],[RCP-RUBRO]],[2]!COMPROMISOS_2024[[#All],[concatenado]],[2]!COMPROMISOS_2024[[#All],[Total pagado]],"",0)</f>
        <v>#NAME?</v>
      </c>
      <c r="AJ2277" s="56">
        <f>IF(PAA_4[[#This Row],[BOLSA]]=0,0,SUMIFS([2]!COMPROMISOS_2024[[#All],[Total pagado]],[2]!COMPROMISOS_2024[[#All],[Bolsa]],PAA_4[[#This Row],[BOLSA]],[2]!COMPROMISOS_2024[[#All],[rubro]],PAA_4[[#This Row],[RCP-RUBRO]]))</f>
        <v>0</v>
      </c>
      <c r="AK2277" s="47" t="e" cm="1">
        <f t="array" aca="1" ref="AK2277" ca="1">_xlfn.XLOOKUP(PAA_4[[#This Row],[RCP-RUBRO]],[2]!COMPROMISOS_2024[[#All],[concatenado]],[2]!COMPROMISOS_2024[[#All],[Total Comprometido]],"",0)</f>
        <v>#NAME?</v>
      </c>
      <c r="AL2277" s="47">
        <f>IF(PAA_4[[#This Row],[BOLSA]]=0,0,SUMIFS([2]!COMPROMISOS_2024[[#All],[Total Comprometido]],[2]!COMPROMISOS_2024[[#All],[Bolsa]],PAA_4[[#This Row],[BOLSA]],[2]!COMPROMISOS_2024[[#All],[concatenado]],PAA_4[[#This Row],[RCP-RUBRO]]))</f>
        <v>0</v>
      </c>
    </row>
    <row r="2278" spans="1:38" s="19" customFormat="1" ht="31.5" customHeight="1">
      <c r="A2278" s="47">
        <v>1201</v>
      </c>
      <c r="B2278" s="47" t="s">
        <v>393</v>
      </c>
      <c r="C2278" s="47" t="str">
        <f>VLOOKUP(PAA_4[[#This Row],[PROYECTO (formulado)2]],[2]PROYECTOS!$G$1:$L$32,6,0)</f>
        <v>SUBGERENCIA DE FOMENTO Y DESARROLLO</v>
      </c>
      <c r="D2278" s="47" t="str">
        <f>+IF(PAA_4[[#This Row],[UNIDAD DE CONTRATACION (formulado)]]="Subgerencia Administrativa y Financiera","FUNCIONAMIENTO","INVERSIÓN")</f>
        <v>INVERSIÓN</v>
      </c>
      <c r="E2278" s="48" t="str">
        <f>VLOOKUP(Q2278,[2]PROYECTOS!$G$1:$K$32,5,0)</f>
        <v>Fortalecimiento de los juegos deportivos institucionales en los municipios del departamento de Antioquia</v>
      </c>
      <c r="F2278" s="48">
        <f>VLOOKUP(E2278,[2]PROYECTOS!$K$1:$M$32,3,0)</f>
        <v>2024003050073</v>
      </c>
      <c r="G2278" s="49" t="s">
        <v>2323</v>
      </c>
      <c r="H2278" s="49" t="str">
        <f>VLOOKUP(Q2278,[2]PROYECTOS!$V$1:$W$32,2,0)</f>
        <v>050081</v>
      </c>
      <c r="I2278" s="78">
        <v>320785384</v>
      </c>
      <c r="J2278" s="51" t="s">
        <v>2420</v>
      </c>
      <c r="K2278" s="47" t="str">
        <f t="shared" ca="1" si="836"/>
        <v>CONTRATADO</v>
      </c>
      <c r="L2278" s="47" t="s">
        <v>94</v>
      </c>
      <c r="M2278" s="47" t="s">
        <v>255</v>
      </c>
      <c r="N2278" s="52" t="s">
        <v>2325</v>
      </c>
      <c r="O2278" s="51" t="e">
        <f>VLOOKUP(N2278,[2]!RUBROS[#All],3,0)</f>
        <v>#REF!</v>
      </c>
      <c r="P2278" s="53" t="e">
        <f>VLOOKUP(N2278,[2]!RUBROS[#All],2,0)</f>
        <v>#REF!</v>
      </c>
      <c r="Q2278" s="47" t="str">
        <f t="shared" si="837"/>
        <v>73</v>
      </c>
      <c r="R2278" s="47" t="str">
        <f t="shared" si="831"/>
        <v>0-205400</v>
      </c>
      <c r="S2278" s="54">
        <v>3.5</v>
      </c>
      <c r="T2278" s="59" t="s">
        <v>46</v>
      </c>
      <c r="U2278" s="326" t="e">
        <f ca="1">_xlfn.XLOOKUP(PAA_4[[#This Row],[ITEM]],[2]Contrato!A:A,[2]Contrato!Q:Q,"",0)</f>
        <v>#NAME?</v>
      </c>
      <c r="V2278" s="47" t="s">
        <v>95</v>
      </c>
      <c r="W2278" s="47" t="s">
        <v>203</v>
      </c>
      <c r="X2278" s="47" t="s">
        <v>203</v>
      </c>
      <c r="Y2278" s="55" t="e">
        <f ca="1">_xlfn.XLOOKUP(PAA_4[[#This Row],[ITEM]],[2]Contrato!A:A,[2]Contrato!B:B,"",0)</f>
        <v>#NAME?</v>
      </c>
      <c r="Z2278" s="47" t="e">
        <f ca="1">_xlfn.XLOOKUP(PAA_4[[#This Row],[ITEM]],[2]Contrato!A:A,[2]Contrato!G:G,"",0)</f>
        <v>#NAME?</v>
      </c>
      <c r="AA2278" s="47" t="e">
        <f ca="1">_xlfn.XLOOKUP(PAA_4[[#This Row],[ITEM]],[2]Contrato!A:A,[2]Contrato!T:T,"",0)</f>
        <v>#NAME?</v>
      </c>
      <c r="AB2278" s="55" t="e">
        <f ca="1">+MAX(PAA_4[[#This Row],[Comprometido Contrato]],PAA_4[[#This Row],[Comprometido Bolsa]])</f>
        <v>#NAME?</v>
      </c>
      <c r="AC2278" s="55" t="str">
        <f t="shared" ca="1" si="838"/>
        <v/>
      </c>
      <c r="AD2278" s="55" t="e">
        <f ca="1">IF(PAA_4[[#This Row],[ESTADO (formulado)]]="NO CONTRATADO",0,MAX(PAA_4[[#This Row],[Pago por Contrato]],PAA_4[[#This Row],[Pago por bolsa]]))</f>
        <v>#NAME?</v>
      </c>
      <c r="AE2278" s="55" t="str">
        <f t="shared" ca="1" si="839"/>
        <v/>
      </c>
      <c r="AF2278" s="47" t="e">
        <f t="shared" ca="1" si="840"/>
        <v>#NAME?</v>
      </c>
      <c r="AG2278" s="47">
        <f t="shared" si="841"/>
        <v>52010703</v>
      </c>
      <c r="AH2278" s="54">
        <f>IF(Q2278="22",IF(ISNUMBER(SEARCH("econ",PAA_4[[#This Row],[Actividad3]])),"Económico",IF(ISNUMBER(SEARCH("alim",PAA_4[[#This Row],[Actividad3]])),"Alimentación",IF(ISNUMBER(SEARCH("educ",PAA_4[[#This Row],[Actividad3]])),"Educativo","Técnico"))),0)</f>
        <v>0</v>
      </c>
      <c r="AI2278" s="47" t="e" cm="1">
        <f t="array" aca="1" ref="AI2278" ca="1">_xlfn.XLOOKUP(PAA_4[[#This Row],[RCP-RUBRO]],[2]!COMPROMISOS_2024[[#All],[concatenado]],[2]!COMPROMISOS_2024[[#All],[Total pagado]],"",0)</f>
        <v>#NAME?</v>
      </c>
      <c r="AJ2278" s="56">
        <f>IF(PAA_4[[#This Row],[BOLSA]]=0,0,SUMIFS([2]!COMPROMISOS_2024[[#All],[Total pagado]],[2]!COMPROMISOS_2024[[#All],[Bolsa]],PAA_4[[#This Row],[BOLSA]],[2]!COMPROMISOS_2024[[#All],[rubro]],PAA_4[[#This Row],[RCP-RUBRO]]))</f>
        <v>0</v>
      </c>
      <c r="AK2278" s="47" t="e" cm="1">
        <f t="array" aca="1" ref="AK2278" ca="1">_xlfn.XLOOKUP(PAA_4[[#This Row],[RCP-RUBRO]],[2]!COMPROMISOS_2024[[#All],[concatenado]],[2]!COMPROMISOS_2024[[#All],[Total Comprometido]],"",0)</f>
        <v>#NAME?</v>
      </c>
      <c r="AL2278" s="47">
        <f>IF(PAA_4[[#This Row],[BOLSA]]=0,0,SUMIFS([2]!COMPROMISOS_2024[[#All],[Total Comprometido]],[2]!COMPROMISOS_2024[[#All],[Bolsa]],PAA_4[[#This Row],[BOLSA]],[2]!COMPROMISOS_2024[[#All],[concatenado]],PAA_4[[#This Row],[RCP-RUBRO]]))</f>
        <v>0</v>
      </c>
    </row>
    <row r="2279" spans="1:38" s="19" customFormat="1" ht="31.5" customHeight="1">
      <c r="A2279" s="47">
        <v>1077</v>
      </c>
      <c r="B2279" s="47" t="s">
        <v>42</v>
      </c>
      <c r="C2279" s="47" t="str">
        <f>VLOOKUP(PAA_4[[#This Row],[PROYECTO (formulado)2]],[2]PROYECTOS!$G$1:$L$32,6,0)</f>
        <v>SUBGERENCIA DE FOMENTO Y DESARROLLO</v>
      </c>
      <c r="D2279" s="47" t="str">
        <f>+IF(PAA_4[[#This Row],[UNIDAD DE CONTRATACION (formulado)]]="Subgerencia Administrativa y Financiera","FUNCIONAMIENTO","INVERSIÓN")</f>
        <v>INVERSIÓN</v>
      </c>
      <c r="E2279" s="48" t="str">
        <f>VLOOKUP(Q2279,[2]PROYECTOS!$G$1:$K$32,5,0)</f>
        <v>Fortalecimiento de los juegos deportivos institucionales en los municipios del departamento de Antioquia</v>
      </c>
      <c r="F2279" s="48">
        <f>VLOOKUP(E2279,[2]PROYECTOS!$K$1:$M$32,3,0)</f>
        <v>2024003050073</v>
      </c>
      <c r="G2279" s="49" t="s">
        <v>1353</v>
      </c>
      <c r="H2279" s="49" t="str">
        <f>VLOOKUP(Q2279,[2]PROYECTOS!$V$1:$W$32,2,0)</f>
        <v>050081</v>
      </c>
      <c r="I2279" s="78">
        <v>0</v>
      </c>
      <c r="J2279" s="51" t="s">
        <v>42</v>
      </c>
      <c r="K2279" s="47" t="str">
        <f t="shared" ca="1" si="836"/>
        <v>CONTRATADO</v>
      </c>
      <c r="L2279" s="47" t="s">
        <v>94</v>
      </c>
      <c r="M2279" s="47" t="s">
        <v>42</v>
      </c>
      <c r="N2279" s="52" t="s">
        <v>1362</v>
      </c>
      <c r="O2279" s="51" t="e">
        <f>VLOOKUP(N2279,[2]!RUBROS[#All],3,0)</f>
        <v>#REF!</v>
      </c>
      <c r="P2279" s="53" t="e">
        <f>VLOOKUP(N2279,[2]!RUBROS[#All],2,0)</f>
        <v>#REF!</v>
      </c>
      <c r="Q2279" s="47" t="str">
        <f t="shared" si="837"/>
        <v>73</v>
      </c>
      <c r="R2279" s="47" t="str">
        <f t="shared" si="831"/>
        <v>0-101024</v>
      </c>
      <c r="S2279" s="54">
        <v>4.5</v>
      </c>
      <c r="T2279" s="59" t="s">
        <v>46</v>
      </c>
      <c r="U2279" s="326" t="e">
        <f ca="1">_xlfn.XLOOKUP(PAA_4[[#This Row],[ITEM]],[2]Contrato!A:A,[2]Contrato!Q:Q,"",0)</f>
        <v>#NAME?</v>
      </c>
      <c r="V2279" s="47" t="s">
        <v>95</v>
      </c>
      <c r="W2279" s="47" t="s">
        <v>194</v>
      </c>
      <c r="X2279" s="47" t="s">
        <v>194</v>
      </c>
      <c r="Y2279" s="55" t="e">
        <f ca="1">_xlfn.XLOOKUP(PAA_4[[#This Row],[ITEM]],[2]Contrato!A:A,[2]Contrato!B:B,"",0)</f>
        <v>#NAME?</v>
      </c>
      <c r="Z2279" s="47" t="e">
        <f ca="1">_xlfn.XLOOKUP(PAA_4[[#This Row],[ITEM]],[2]Contrato!A:A,[2]Contrato!G:G,"",0)</f>
        <v>#NAME?</v>
      </c>
      <c r="AA2279" s="47" t="e">
        <f ca="1">_xlfn.XLOOKUP(PAA_4[[#This Row],[ITEM]],[2]Contrato!A:A,[2]Contrato!T:T,"",0)</f>
        <v>#NAME?</v>
      </c>
      <c r="AB2279" s="55" t="e">
        <f ca="1">+MAX(PAA_4[[#This Row],[Comprometido Contrato]],PAA_4[[#This Row],[Comprometido Bolsa]])</f>
        <v>#NAME?</v>
      </c>
      <c r="AC2279" s="55" t="str">
        <f t="shared" ca="1" si="838"/>
        <v/>
      </c>
      <c r="AD2279" s="55" t="e">
        <f ca="1">IF(PAA_4[[#This Row],[ESTADO (formulado)]]="NO CONTRATADO",0,MAX(PAA_4[[#This Row],[Pago por Contrato]],PAA_4[[#This Row],[Pago por bolsa]]))</f>
        <v>#NAME?</v>
      </c>
      <c r="AE2279" s="55" t="str">
        <f t="shared" ca="1" si="839"/>
        <v/>
      </c>
      <c r="AF2279" s="47" t="e">
        <f t="shared" ca="1" si="840"/>
        <v>#NAME?</v>
      </c>
      <c r="AG2279" s="47">
        <f t="shared" si="841"/>
        <v>52010703</v>
      </c>
      <c r="AH2279" s="54">
        <f>IF(Q2279="22",IF(ISNUMBER(SEARCH("econ",PAA_4[[#This Row],[Actividad3]])),"Económico",IF(ISNUMBER(SEARCH("alim",PAA_4[[#This Row],[Actividad3]])),"Alimentación",IF(ISNUMBER(SEARCH("educ",PAA_4[[#This Row],[Actividad3]])),"Educativo","Técnico"))),0)</f>
        <v>0</v>
      </c>
      <c r="AI2279" s="47" t="e" cm="1">
        <f t="array" aca="1" ref="AI2279" ca="1">_xlfn.XLOOKUP(PAA_4[[#This Row],[RCP-RUBRO]],[2]!COMPROMISOS_2024[[#All],[concatenado]],[2]!COMPROMISOS_2024[[#All],[Total pagado]],"",0)</f>
        <v>#NAME?</v>
      </c>
      <c r="AJ2279" s="56">
        <f>IF(PAA_4[[#This Row],[BOLSA]]=0,0,SUMIFS([2]!COMPROMISOS_2024[[#All],[Total pagado]],[2]!COMPROMISOS_2024[[#All],[Bolsa]],PAA_4[[#This Row],[BOLSA]],[2]!COMPROMISOS_2024[[#All],[rubro]],PAA_4[[#This Row],[RCP-RUBRO]]))</f>
        <v>0</v>
      </c>
      <c r="AK2279" s="47" t="e" cm="1">
        <f t="array" aca="1" ref="AK2279" ca="1">_xlfn.XLOOKUP(PAA_4[[#This Row],[RCP-RUBRO]],[2]!COMPROMISOS_2024[[#All],[concatenado]],[2]!COMPROMISOS_2024[[#All],[Total Comprometido]],"",0)</f>
        <v>#NAME?</v>
      </c>
      <c r="AL2279" s="47">
        <f>IF(PAA_4[[#This Row],[BOLSA]]=0,0,SUMIFS([2]!COMPROMISOS_2024[[#All],[Total Comprometido]],[2]!COMPROMISOS_2024[[#All],[Bolsa]],PAA_4[[#This Row],[BOLSA]],[2]!COMPROMISOS_2024[[#All],[concatenado]],PAA_4[[#This Row],[RCP-RUBRO]]))</f>
        <v>0</v>
      </c>
    </row>
    <row r="2280" spans="1:38" s="19" customFormat="1" ht="31.5" customHeight="1">
      <c r="A2280" s="47" t="s">
        <v>82</v>
      </c>
      <c r="B2280" s="47" t="s">
        <v>42</v>
      </c>
      <c r="C2280" s="47" t="str">
        <f>VLOOKUP(PAA_4[[#This Row],[PROYECTO (formulado)2]],[2]PROYECTOS!$G$1:$L$32,6,0)</f>
        <v>SUBGERENCIA DE FOMENTO Y DESARROLLO</v>
      </c>
      <c r="D2280" s="47" t="str">
        <f>+IF(PAA_4[[#This Row],[UNIDAD DE CONTRATACION (formulado)]]="Subgerencia Administrativa y Financiera","FUNCIONAMIENTO","INVERSIÓN")</f>
        <v>INVERSIÓN</v>
      </c>
      <c r="E2280" s="48" t="str">
        <f>VLOOKUP(Q2280,[2]PROYECTOS!$G$1:$K$32,5,0)</f>
        <v>Fortalecimiento de los juegos deportivos institucionales en los municipios del departamento de Antioquia</v>
      </c>
      <c r="F2280" s="48">
        <f>VLOOKUP(E2280,[2]PROYECTOS!$K$1:$M$32,3,0)</f>
        <v>2024003050073</v>
      </c>
      <c r="G2280" s="49" t="s">
        <v>1353</v>
      </c>
      <c r="H2280" s="49" t="str">
        <f>VLOOKUP(Q2280,[2]PROYECTOS!$V$1:$W$32,2,0)</f>
        <v>050081</v>
      </c>
      <c r="I2280" s="78">
        <v>0</v>
      </c>
      <c r="J2280" s="51" t="s">
        <v>1354</v>
      </c>
      <c r="K2280" s="47" t="str">
        <f ca="1">IF(ISNONTEXT(Y2280)=TRUE,"CONTRATADO","NO CONTRATADO")</f>
        <v>CONTRATADO</v>
      </c>
      <c r="L2280" s="47" t="s">
        <v>42</v>
      </c>
      <c r="M2280" s="47" t="s">
        <v>42</v>
      </c>
      <c r="N2280" s="52" t="s">
        <v>1355</v>
      </c>
      <c r="O2280" s="51" t="e">
        <f>VLOOKUP(N2280,[2]!RUBROS[#All],3,0)</f>
        <v>#REF!</v>
      </c>
      <c r="P2280" s="53" t="e">
        <f>VLOOKUP(N2280,[2]!RUBROS[#All],2,0)</f>
        <v>#REF!</v>
      </c>
      <c r="Q2280" s="47" t="str">
        <f>+MID(N2280,11,2)</f>
        <v>73</v>
      </c>
      <c r="R2280" s="47" t="str">
        <f t="shared" si="831"/>
        <v>0-492231</v>
      </c>
      <c r="S2280" s="54" t="s">
        <v>42</v>
      </c>
      <c r="T2280" s="329" t="s">
        <v>42</v>
      </c>
      <c r="U2280" s="326" t="e">
        <f ca="1">_xlfn.XLOOKUP(PAA_4[[#This Row],[ITEM]],[2]Contrato!A:A,[2]Contrato!Q:Q,"",0)</f>
        <v>#NAME?</v>
      </c>
      <c r="V2280" s="47" t="s">
        <v>95</v>
      </c>
      <c r="W2280" s="47" t="s">
        <v>42</v>
      </c>
      <c r="X2280" s="47" t="s">
        <v>42</v>
      </c>
      <c r="Y2280" s="55" t="e">
        <f ca="1">_xlfn.XLOOKUP(PAA_4[[#This Row],[ITEM]],[2]Contrato!A:A,[2]Contrato!B:B,"",0)</f>
        <v>#NAME?</v>
      </c>
      <c r="Z2280" s="47" t="e">
        <f ca="1">_xlfn.XLOOKUP(PAA_4[[#This Row],[ITEM]],[2]Contrato!A:A,[2]Contrato!G:G,"",0)</f>
        <v>#NAME?</v>
      </c>
      <c r="AA2280" s="47" t="e">
        <f ca="1">_xlfn.XLOOKUP(PAA_4[[#This Row],[ITEM]],[2]Contrato!A:A,[2]Contrato!T:T,"",0)</f>
        <v>#NAME?</v>
      </c>
      <c r="AB2280" s="55" t="e">
        <f ca="1">+MAX(PAA_4[[#This Row],[Comprometido Contrato]],PAA_4[[#This Row],[Comprometido Bolsa]])</f>
        <v>#NAME?</v>
      </c>
      <c r="AC2280" s="55" t="str">
        <f ca="1">IFERROR(I2280-AB2280,"")</f>
        <v/>
      </c>
      <c r="AD2280" s="55" t="e">
        <f ca="1">IF(PAA_4[[#This Row],[ESTADO (formulado)]]="NO CONTRATADO",0,MAX(PAA_4[[#This Row],[Pago por Contrato]],PAA_4[[#This Row],[Pago por bolsa]]))</f>
        <v>#NAME?</v>
      </c>
      <c r="AE2280" s="55" t="str">
        <f ca="1">+IFERROR(AB2280-AD2280,"")</f>
        <v/>
      </c>
      <c r="AF2280" s="47" t="e">
        <f ca="1">+CONCATENATE(AA2280,N2280)</f>
        <v>#NAME?</v>
      </c>
      <c r="AG2280" s="47">
        <f>IFERROR(_xlfn.NUMBERVALUE(MID(G2280,1,8)),"")</f>
        <v>52010703</v>
      </c>
      <c r="AH2280" s="54">
        <f>IF(Q2280="22",IF(ISNUMBER(SEARCH("econ",PAA_4[[#This Row],[Actividad3]])),"Económico",IF(ISNUMBER(SEARCH("alim",PAA_4[[#This Row],[Actividad3]])),"Alimentación",IF(ISNUMBER(SEARCH("educ",PAA_4[[#This Row],[Actividad3]])),"Educativo","Técnico"))),0)</f>
        <v>0</v>
      </c>
      <c r="AI2280" s="47" t="e" cm="1">
        <f t="array" aca="1" ref="AI2280" ca="1">_xlfn.XLOOKUP(PAA_4[[#This Row],[RCP-RUBRO]],[2]!COMPROMISOS_2024[[#All],[concatenado]],[2]!COMPROMISOS_2024[[#All],[Total pagado]],"",0)</f>
        <v>#NAME?</v>
      </c>
      <c r="AJ2280" s="56">
        <f>IF(PAA_4[[#This Row],[BOLSA]]=0,0,SUMIFS([2]!COMPROMISOS_2024[[#All],[Total pagado]],[2]!COMPROMISOS_2024[[#All],[Bolsa]],PAA_4[[#This Row],[BOLSA]],[2]!COMPROMISOS_2024[[#All],[rubro]],PAA_4[[#This Row],[RCP-RUBRO]]))</f>
        <v>0</v>
      </c>
      <c r="AK2280" s="47" t="e" cm="1">
        <f t="array" aca="1" ref="AK2280" ca="1">_xlfn.XLOOKUP(PAA_4[[#This Row],[RCP-RUBRO]],[2]!COMPROMISOS_2024[[#All],[concatenado]],[2]!COMPROMISOS_2024[[#All],[Total Comprometido]],"",0)</f>
        <v>#NAME?</v>
      </c>
      <c r="AL2280" s="47">
        <f>IF(PAA_4[[#This Row],[BOLSA]]=0,0,SUMIFS([2]!COMPROMISOS_2024[[#All],[Total Comprometido]],[2]!COMPROMISOS_2024[[#All],[Bolsa]],PAA_4[[#This Row],[BOLSA]],[2]!COMPROMISOS_2024[[#All],[concatenado]],PAA_4[[#This Row],[RCP-RUBRO]]))</f>
        <v>0</v>
      </c>
    </row>
    <row r="2281" spans="1:38" s="19" customFormat="1" ht="31.5" customHeight="1">
      <c r="A2281" s="47">
        <v>1292</v>
      </c>
      <c r="B2281" s="51" t="s">
        <v>2421</v>
      </c>
      <c r="C2281" s="47" t="str">
        <f>VLOOKUP(PAA_4[[#This Row],[PROYECTO (formulado)2]],[2]PROYECTOS!$G$1:$L$32,6,0)</f>
        <v>SUBGERENCIA DE FOMENTO Y DESARROLLO</v>
      </c>
      <c r="D2281" s="47" t="str">
        <f>+IF(PAA_4[[#This Row],[UNIDAD DE CONTRATACION (formulado)]]="Subgerencia Administrativa y Financiera","FUNCIONAMIENTO","INVERSIÓN")</f>
        <v>INVERSIÓN</v>
      </c>
      <c r="E2281" s="48" t="str">
        <f>VLOOKUP(Q2281,[2]PROYECTOS!$G$1:$K$32,5,0)</f>
        <v>Fortalecimiento de los juegos deportivos institucionales en los municipios del departamento de Antioquia</v>
      </c>
      <c r="F2281" s="48">
        <f>VLOOKUP(E2281,[2]PROYECTOS!$K$1:$M$32,3,0)</f>
        <v>2024003050073</v>
      </c>
      <c r="G2281" s="49" t="s">
        <v>1353</v>
      </c>
      <c r="H2281" s="49" t="str">
        <f>VLOOKUP(Q2281,[2]PROYECTOS!$V$1:$W$32,2,0)</f>
        <v>050081</v>
      </c>
      <c r="I2281" s="78">
        <f>428629018-20410906</f>
        <v>408218112</v>
      </c>
      <c r="J2281" s="51" t="s">
        <v>2422</v>
      </c>
      <c r="K2281" s="47" t="str">
        <f t="shared" ref="K2281:K2290" ca="1" si="842">IF(ISNONTEXT(Y2281)=TRUE,"CONTRATADO","NO CONTRATADO")</f>
        <v>CONTRATADO</v>
      </c>
      <c r="L2281" s="47" t="s">
        <v>94</v>
      </c>
      <c r="M2281" s="47" t="s">
        <v>255</v>
      </c>
      <c r="N2281" s="52" t="s">
        <v>1355</v>
      </c>
      <c r="O2281" s="51" t="e">
        <f>VLOOKUP(N2281,[2]!RUBROS[#All],3,0)</f>
        <v>#REF!</v>
      </c>
      <c r="P2281" s="53" t="e">
        <f>VLOOKUP(N2281,[2]!RUBROS[#All],2,0)</f>
        <v>#REF!</v>
      </c>
      <c r="Q2281" s="47" t="str">
        <f t="shared" ref="Q2281:Q2290" si="843">+MID(N2281,11,2)</f>
        <v>73</v>
      </c>
      <c r="R2281" s="47" t="str">
        <f t="shared" si="831"/>
        <v>0-492231</v>
      </c>
      <c r="S2281" s="54">
        <v>2</v>
      </c>
      <c r="T2281" s="59" t="s">
        <v>46</v>
      </c>
      <c r="U2281" s="326" t="e">
        <f ca="1">_xlfn.XLOOKUP(PAA_4[[#This Row],[ITEM]],[2]Contrato!A:A,[2]Contrato!Q:Q,"",0)</f>
        <v>#NAME?</v>
      </c>
      <c r="V2281" s="47" t="s">
        <v>95</v>
      </c>
      <c r="W2281" s="47" t="s">
        <v>200</v>
      </c>
      <c r="X2281" s="47" t="s">
        <v>200</v>
      </c>
      <c r="Y2281" s="55" t="e">
        <f ca="1">_xlfn.XLOOKUP(PAA_4[[#This Row],[ITEM]],[2]Contrato!A:A,[2]Contrato!B:B,"",0)</f>
        <v>#NAME?</v>
      </c>
      <c r="Z2281" s="47" t="e">
        <f ca="1">_xlfn.XLOOKUP(PAA_4[[#This Row],[ITEM]],[2]Contrato!A:A,[2]Contrato!G:G,"",0)</f>
        <v>#NAME?</v>
      </c>
      <c r="AA2281" s="47" t="e">
        <f ca="1">_xlfn.XLOOKUP(PAA_4[[#This Row],[ITEM]],[2]Contrato!A:A,[2]Contrato!T:T,"",0)</f>
        <v>#NAME?</v>
      </c>
      <c r="AB2281" s="55" t="e">
        <f ca="1">+MAX(PAA_4[[#This Row],[Comprometido Contrato]],PAA_4[[#This Row],[Comprometido Bolsa]])</f>
        <v>#NAME?</v>
      </c>
      <c r="AC2281" s="55" t="str">
        <f t="shared" ref="AC2281:AC2290" ca="1" si="844">IFERROR(I2281-AB2281,"")</f>
        <v/>
      </c>
      <c r="AD2281" s="55" t="e">
        <f ca="1">IF(PAA_4[[#This Row],[ESTADO (formulado)]]="NO CONTRATADO",0,MAX(PAA_4[[#This Row],[Pago por Contrato]],PAA_4[[#This Row],[Pago por bolsa]]))</f>
        <v>#NAME?</v>
      </c>
      <c r="AE2281" s="55" t="str">
        <f t="shared" ref="AE2281:AE2290" ca="1" si="845">+IFERROR(AB2281-AD2281,"")</f>
        <v/>
      </c>
      <c r="AF2281" s="47" t="e">
        <f t="shared" ref="AF2281:AF2290" ca="1" si="846">+CONCATENATE(AA2281,N2281)</f>
        <v>#NAME?</v>
      </c>
      <c r="AG2281" s="47">
        <f t="shared" ref="AG2281:AG2290" si="847">IFERROR(_xlfn.NUMBERVALUE(MID(G2281,1,8)),"")</f>
        <v>52010703</v>
      </c>
      <c r="AH2281" s="54">
        <f>IF(Q2281="22",IF(ISNUMBER(SEARCH("econ",PAA_4[[#This Row],[Actividad3]])),"Económico",IF(ISNUMBER(SEARCH("alim",PAA_4[[#This Row],[Actividad3]])),"Alimentación",IF(ISNUMBER(SEARCH("educ",PAA_4[[#This Row],[Actividad3]])),"Educativo","Técnico"))),0)</f>
        <v>0</v>
      </c>
      <c r="AI2281" s="47" t="e" cm="1">
        <f t="array" aca="1" ref="AI2281" ca="1">_xlfn.XLOOKUP(PAA_4[[#This Row],[RCP-RUBRO]],[2]!COMPROMISOS_2024[[#All],[concatenado]],[2]!COMPROMISOS_2024[[#All],[Total pagado]],"",0)</f>
        <v>#NAME?</v>
      </c>
      <c r="AJ2281" s="56">
        <f>IF(PAA_4[[#This Row],[BOLSA]]=0,0,SUMIFS([2]!COMPROMISOS_2024[[#All],[Total pagado]],[2]!COMPROMISOS_2024[[#All],[Bolsa]],PAA_4[[#This Row],[BOLSA]],[2]!COMPROMISOS_2024[[#All],[rubro]],PAA_4[[#This Row],[RCP-RUBRO]]))</f>
        <v>0</v>
      </c>
      <c r="AK2281" s="47" t="e" cm="1">
        <f t="array" aca="1" ref="AK2281" ca="1">_xlfn.XLOOKUP(PAA_4[[#This Row],[RCP-RUBRO]],[2]!COMPROMISOS_2024[[#All],[concatenado]],[2]!COMPROMISOS_2024[[#All],[Total Comprometido]],"",0)</f>
        <v>#NAME?</v>
      </c>
      <c r="AL2281" s="47">
        <f>IF(PAA_4[[#This Row],[BOLSA]]=0,0,SUMIFS([2]!COMPROMISOS_2024[[#All],[Total Comprometido]],[2]!COMPROMISOS_2024[[#All],[Bolsa]],PAA_4[[#This Row],[BOLSA]],[2]!COMPROMISOS_2024[[#All],[concatenado]],PAA_4[[#This Row],[RCP-RUBRO]]))</f>
        <v>0</v>
      </c>
    </row>
    <row r="2282" spans="1:38" s="19" customFormat="1" ht="31.5" customHeight="1">
      <c r="A2282" s="47">
        <v>1339</v>
      </c>
      <c r="B2282" s="51" t="s">
        <v>42</v>
      </c>
      <c r="C2282" s="47" t="str">
        <f>VLOOKUP(PAA_4[[#This Row],[PROYECTO (formulado)2]],[2]PROYECTOS!$G$1:$L$32,6,0)</f>
        <v>SUBGERENCIA DE FOMENTO Y DESARROLLO</v>
      </c>
      <c r="D2282" s="47" t="str">
        <f>+IF(PAA_4[[#This Row],[UNIDAD DE CONTRATACION (formulado)]]="Subgerencia Administrativa y Financiera","FUNCIONAMIENTO","INVERSIÓN")</f>
        <v>INVERSIÓN</v>
      </c>
      <c r="E2282" s="48" t="str">
        <f>VLOOKUP(Q2282,[2]PROYECTOS!$G$1:$K$32,5,0)</f>
        <v>Fortalecimiento de los juegos deportivos institucionales en los municipios del departamento de Antioquia</v>
      </c>
      <c r="F2282" s="48">
        <f>VLOOKUP(E2282,[2]PROYECTOS!$K$1:$M$32,3,0)</f>
        <v>2024003050073</v>
      </c>
      <c r="G2282" s="49" t="s">
        <v>1353</v>
      </c>
      <c r="H2282" s="49" t="str">
        <f>VLOOKUP(Q2282,[2]PROYECTOS!$V$1:$W$32,2,0)</f>
        <v>050081</v>
      </c>
      <c r="I2282" s="78">
        <v>504261683</v>
      </c>
      <c r="J2282" s="51" t="s">
        <v>2423</v>
      </c>
      <c r="K2282" s="47" t="str">
        <f t="shared" ca="1" si="842"/>
        <v>CONTRATADO</v>
      </c>
      <c r="L2282" s="47" t="s">
        <v>94</v>
      </c>
      <c r="M2282" s="47" t="s">
        <v>161</v>
      </c>
      <c r="N2282" s="52" t="s">
        <v>1355</v>
      </c>
      <c r="O2282" s="51" t="e">
        <f>VLOOKUP(N2282,[2]!RUBROS[#All],3,0)</f>
        <v>#REF!</v>
      </c>
      <c r="P2282" s="53" t="e">
        <f>VLOOKUP(N2282,[2]!RUBROS[#All],2,0)</f>
        <v>#REF!</v>
      </c>
      <c r="Q2282" s="47" t="str">
        <f t="shared" si="843"/>
        <v>73</v>
      </c>
      <c r="R2282" s="47" t="str">
        <f t="shared" si="831"/>
        <v>0-492231</v>
      </c>
      <c r="S2282" s="54">
        <v>1</v>
      </c>
      <c r="T2282" s="59" t="s">
        <v>46</v>
      </c>
      <c r="U2282" s="326" t="e">
        <f ca="1">_xlfn.XLOOKUP(PAA_4[[#This Row],[ITEM]],[2]Contrato!A:A,[2]Contrato!Q:Q,"",0)</f>
        <v>#NAME?</v>
      </c>
      <c r="V2282" s="47" t="s">
        <v>95</v>
      </c>
      <c r="W2282" s="47" t="s">
        <v>200</v>
      </c>
      <c r="X2282" s="47" t="s">
        <v>200</v>
      </c>
      <c r="Y2282" s="55" t="e">
        <f ca="1">_xlfn.XLOOKUP(PAA_4[[#This Row],[ITEM]],[2]Contrato!A:A,[2]Contrato!B:B,"",0)</f>
        <v>#NAME?</v>
      </c>
      <c r="Z2282" s="47" t="e">
        <f ca="1">_xlfn.XLOOKUP(PAA_4[[#This Row],[ITEM]],[2]Contrato!A:A,[2]Contrato!G:G,"",0)</f>
        <v>#NAME?</v>
      </c>
      <c r="AA2282" s="47" t="e">
        <f ca="1">_xlfn.XLOOKUP(PAA_4[[#This Row],[ITEM]],[2]Contrato!A:A,[2]Contrato!T:T,"",0)</f>
        <v>#NAME?</v>
      </c>
      <c r="AB2282" s="55" t="e">
        <f ca="1">+MAX(PAA_4[[#This Row],[Comprometido Contrato]],PAA_4[[#This Row],[Comprometido Bolsa]])</f>
        <v>#NAME?</v>
      </c>
      <c r="AC2282" s="55" t="str">
        <f t="shared" ca="1" si="844"/>
        <v/>
      </c>
      <c r="AD2282" s="55" t="e">
        <f ca="1">IF(PAA_4[[#This Row],[ESTADO (formulado)]]="NO CONTRATADO",0,MAX(PAA_4[[#This Row],[Pago por Contrato]],PAA_4[[#This Row],[Pago por bolsa]]))</f>
        <v>#NAME?</v>
      </c>
      <c r="AE2282" s="55" t="str">
        <f t="shared" ca="1" si="845"/>
        <v/>
      </c>
      <c r="AF2282" s="47" t="e">
        <f t="shared" ca="1" si="846"/>
        <v>#NAME?</v>
      </c>
      <c r="AG2282" s="47">
        <f t="shared" si="847"/>
        <v>52010703</v>
      </c>
      <c r="AH2282" s="54">
        <f>IF(Q2282="22",IF(ISNUMBER(SEARCH("econ",PAA_4[[#This Row],[Actividad3]])),"Económico",IF(ISNUMBER(SEARCH("alim",PAA_4[[#This Row],[Actividad3]])),"Alimentación",IF(ISNUMBER(SEARCH("educ",PAA_4[[#This Row],[Actividad3]])),"Educativo","Técnico"))),0)</f>
        <v>0</v>
      </c>
      <c r="AI2282" s="47" t="e" cm="1">
        <f t="array" aca="1" ref="AI2282" ca="1">_xlfn.XLOOKUP(PAA_4[[#This Row],[RCP-RUBRO]],[2]!COMPROMISOS_2024[[#All],[concatenado]],[2]!COMPROMISOS_2024[[#All],[Total pagado]],"",0)</f>
        <v>#NAME?</v>
      </c>
      <c r="AJ2282" s="56">
        <f>IF(PAA_4[[#This Row],[BOLSA]]=0,0,SUMIFS([2]!COMPROMISOS_2024[[#All],[Total pagado]],[2]!COMPROMISOS_2024[[#All],[Bolsa]],PAA_4[[#This Row],[BOLSA]],[2]!COMPROMISOS_2024[[#All],[rubro]],PAA_4[[#This Row],[RCP-RUBRO]]))</f>
        <v>0</v>
      </c>
      <c r="AK2282" s="47" t="e" cm="1">
        <f t="array" aca="1" ref="AK2282" ca="1">_xlfn.XLOOKUP(PAA_4[[#This Row],[RCP-RUBRO]],[2]!COMPROMISOS_2024[[#All],[concatenado]],[2]!COMPROMISOS_2024[[#All],[Total Comprometido]],"",0)</f>
        <v>#NAME?</v>
      </c>
      <c r="AL2282" s="47">
        <f>IF(PAA_4[[#This Row],[BOLSA]]=0,0,SUMIFS([2]!COMPROMISOS_2024[[#All],[Total Comprometido]],[2]!COMPROMISOS_2024[[#All],[Bolsa]],PAA_4[[#This Row],[BOLSA]],[2]!COMPROMISOS_2024[[#All],[concatenado]],PAA_4[[#This Row],[RCP-RUBRO]]))</f>
        <v>0</v>
      </c>
    </row>
    <row r="2283" spans="1:38" s="19" customFormat="1" ht="31.5" customHeight="1">
      <c r="A2283" s="47">
        <v>1254</v>
      </c>
      <c r="B2283" s="47">
        <v>90121500</v>
      </c>
      <c r="C2283" s="47" t="str">
        <f>VLOOKUP(PAA_4[[#This Row],[PROYECTO (formulado)2]],[2]PROYECTOS!$G$1:$L$32,6,0)</f>
        <v>SUBGERENCIA ADMINISTRATIVA Y FINANCIERA</v>
      </c>
      <c r="D2283" s="47" t="str">
        <f>+IF(PAA_4[[#This Row],[UNIDAD DE CONTRATACION (formulado)]]="Subgerencia Administrativa y Financiera","FUNCIONAMIENTO","INVERSIÓN")</f>
        <v>FUNCIONAMIENTO</v>
      </c>
      <c r="E2283" s="48" t="str">
        <f>VLOOKUP(Q2283,[2]PROYECTOS!$G$1:$K$32,5,0)</f>
        <v>FUNCIONAMIENTO</v>
      </c>
      <c r="F2283" s="48">
        <f>VLOOKUP(E2283,[2]PROYECTOS!$K$1:$M$32,3,0)</f>
        <v>999999</v>
      </c>
      <c r="G2283" s="49" t="s">
        <v>43</v>
      </c>
      <c r="H2283" s="49">
        <f>VLOOKUP(Q2283,[2]PROYECTOS!$V$1:$W$32,2,0)</f>
        <v>999999</v>
      </c>
      <c r="I2283" s="78">
        <f>50000000-15335448</f>
        <v>34664552</v>
      </c>
      <c r="J2283" s="51" t="s">
        <v>2424</v>
      </c>
      <c r="K2283" s="47" t="str">
        <f t="shared" ca="1" si="842"/>
        <v>CONTRATADO</v>
      </c>
      <c r="L2283" s="47" t="s">
        <v>78</v>
      </c>
      <c r="M2283" s="47" t="s">
        <v>89</v>
      </c>
      <c r="N2283" s="52" t="s">
        <v>1283</v>
      </c>
      <c r="O2283" s="51" t="e">
        <f>VLOOKUP(N2283,[2]!RUBROS[#All],3,0)</f>
        <v>#REF!</v>
      </c>
      <c r="P2283" s="53" t="e">
        <f>VLOOKUP(N2283,[2]!RUBROS[#All],2,0)</f>
        <v>#REF!</v>
      </c>
      <c r="Q2283" s="47" t="str">
        <f t="shared" si="843"/>
        <v>00</v>
      </c>
      <c r="R2283" s="47" t="str">
        <f t="shared" si="831"/>
        <v>0-101024</v>
      </c>
      <c r="S2283" s="54" t="s">
        <v>42</v>
      </c>
      <c r="T2283" s="57" t="s">
        <v>42</v>
      </c>
      <c r="U2283" s="326" t="e">
        <f ca="1">_xlfn.XLOOKUP(PAA_4[[#This Row],[ITEM]],[2]Contrato!A:A,[2]Contrato!Q:Q,"",0)</f>
        <v>#NAME?</v>
      </c>
      <c r="V2283" s="47" t="s">
        <v>47</v>
      </c>
      <c r="W2283" s="47" t="s">
        <v>204</v>
      </c>
      <c r="X2283" s="47" t="s">
        <v>204</v>
      </c>
      <c r="Y2283" s="55" t="e">
        <f ca="1">_xlfn.XLOOKUP(PAA_4[[#This Row],[ITEM]],[2]Contrato!A:A,[2]Contrato!B:B,"",0)</f>
        <v>#NAME?</v>
      </c>
      <c r="Z2283" s="47" t="e">
        <f ca="1">_xlfn.XLOOKUP(PAA_4[[#This Row],[ITEM]],[2]Contrato!A:A,[2]Contrato!G:G,"",0)</f>
        <v>#NAME?</v>
      </c>
      <c r="AA2283" s="47" t="e">
        <f ca="1">_xlfn.XLOOKUP(PAA_4[[#This Row],[ITEM]],[2]Contrato!A:A,[2]Contrato!T:T,"",0)</f>
        <v>#NAME?</v>
      </c>
      <c r="AB2283" s="55" t="e">
        <f ca="1">+MAX(PAA_4[[#This Row],[Comprometido Contrato]],PAA_4[[#This Row],[Comprometido Bolsa]])</f>
        <v>#NAME?</v>
      </c>
      <c r="AC2283" s="55" t="str">
        <f t="shared" ca="1" si="844"/>
        <v/>
      </c>
      <c r="AD2283" s="55" t="e">
        <f ca="1">IF(PAA_4[[#This Row],[ESTADO (formulado)]]="NO CONTRATADO",0,MAX(PAA_4[[#This Row],[Pago por Contrato]],PAA_4[[#This Row],[Pago por bolsa]]))</f>
        <v>#NAME?</v>
      </c>
      <c r="AE2283" s="55" t="str">
        <f t="shared" ca="1" si="845"/>
        <v/>
      </c>
      <c r="AF2283" s="47" t="e">
        <f t="shared" ca="1" si="846"/>
        <v>#NAME?</v>
      </c>
      <c r="AG2283" s="47" t="str">
        <f t="shared" si="847"/>
        <v/>
      </c>
      <c r="AH2283" s="54">
        <f>IF(Q2283="22",IF(ISNUMBER(SEARCH("econ",PAA_4[[#This Row],[Actividad3]])),"Económico",IF(ISNUMBER(SEARCH("alim",PAA_4[[#This Row],[Actividad3]])),"Alimentación",IF(ISNUMBER(SEARCH("educ",PAA_4[[#This Row],[Actividad3]])),"Educativo","Técnico"))),0)</f>
        <v>0</v>
      </c>
      <c r="AI2283" s="47" t="e" cm="1">
        <f t="array" aca="1" ref="AI2283" ca="1">_xlfn.XLOOKUP(PAA_4[[#This Row],[RCP-RUBRO]],[2]!COMPROMISOS_2024[[#All],[concatenado]],[2]!COMPROMISOS_2024[[#All],[Total pagado]],"",0)</f>
        <v>#NAME?</v>
      </c>
      <c r="AJ2283" s="56">
        <f>IF(PAA_4[[#This Row],[BOLSA]]=0,0,SUMIFS([2]!COMPROMISOS_2024[[#All],[Total pagado]],[2]!COMPROMISOS_2024[[#All],[Bolsa]],PAA_4[[#This Row],[BOLSA]],[2]!COMPROMISOS_2024[[#All],[rubro]],PAA_4[[#This Row],[RCP-RUBRO]]))</f>
        <v>0</v>
      </c>
      <c r="AK2283" s="47" t="e" cm="1">
        <f t="array" aca="1" ref="AK2283" ca="1">_xlfn.XLOOKUP(PAA_4[[#This Row],[RCP-RUBRO]],[2]!COMPROMISOS_2024[[#All],[concatenado]],[2]!COMPROMISOS_2024[[#All],[Total Comprometido]],"",0)</f>
        <v>#NAME?</v>
      </c>
      <c r="AL2283" s="47">
        <f>IF(PAA_4[[#This Row],[BOLSA]]=0,0,SUMIFS([2]!COMPROMISOS_2024[[#All],[Total Comprometido]],[2]!COMPROMISOS_2024[[#All],[Bolsa]],PAA_4[[#This Row],[BOLSA]],[2]!COMPROMISOS_2024[[#All],[concatenado]],PAA_4[[#This Row],[RCP-RUBRO]]))</f>
        <v>0</v>
      </c>
    </row>
    <row r="2284" spans="1:38" s="19" customFormat="1" ht="31.5" customHeight="1">
      <c r="A2284" s="47" t="s">
        <v>82</v>
      </c>
      <c r="B2284" s="47" t="s">
        <v>42</v>
      </c>
      <c r="C2284" s="47" t="str">
        <f>VLOOKUP(PAA_4[[#This Row],[PROYECTO (formulado)2]],[2]PROYECTOS!$G$1:$L$32,6,0)</f>
        <v>SUBGERENCIA ADMINISTRATIVA Y FINANCIERA</v>
      </c>
      <c r="D2284" s="47" t="str">
        <f>+IF(PAA_4[[#This Row],[UNIDAD DE CONTRATACION (formulado)]]="Subgerencia Administrativa y Financiera","FUNCIONAMIENTO","INVERSIÓN")</f>
        <v>FUNCIONAMIENTO</v>
      </c>
      <c r="E2284" s="48" t="str">
        <f>VLOOKUP(Q2284,[2]PROYECTOS!$G$1:$K$32,5,0)</f>
        <v>FUNCIONAMIENTO</v>
      </c>
      <c r="F2284" s="48">
        <f>VLOOKUP(E2284,[2]PROYECTOS!$K$1:$M$32,3,0)</f>
        <v>999999</v>
      </c>
      <c r="G2284" s="49" t="s">
        <v>43</v>
      </c>
      <c r="H2284" s="49">
        <f>VLOOKUP(Q2284,[2]PROYECTOS!$V$1:$W$32,2,0)</f>
        <v>999999</v>
      </c>
      <c r="I2284" s="78">
        <v>0</v>
      </c>
      <c r="J2284" s="51" t="s">
        <v>2425</v>
      </c>
      <c r="K2284" s="47" t="str">
        <f t="shared" ca="1" si="842"/>
        <v>CONTRATADO</v>
      </c>
      <c r="L2284" s="47" t="s">
        <v>42</v>
      </c>
      <c r="M2284" s="47" t="s">
        <v>42</v>
      </c>
      <c r="N2284" s="52" t="s">
        <v>1283</v>
      </c>
      <c r="O2284" s="51" t="e">
        <f>VLOOKUP(N2284,[2]!RUBROS[#All],3,0)</f>
        <v>#REF!</v>
      </c>
      <c r="P2284" s="53" t="e">
        <f>VLOOKUP(N2284,[2]!RUBROS[#All],2,0)</f>
        <v>#REF!</v>
      </c>
      <c r="Q2284" s="47" t="str">
        <f t="shared" si="843"/>
        <v>00</v>
      </c>
      <c r="R2284" s="47" t="str">
        <f t="shared" si="831"/>
        <v>0-101024</v>
      </c>
      <c r="S2284" s="54" t="s">
        <v>42</v>
      </c>
      <c r="T2284" s="329" t="s">
        <v>42</v>
      </c>
      <c r="U2284" s="326" t="e">
        <f ca="1">_xlfn.XLOOKUP(PAA_4[[#This Row],[ITEM]],[2]Contrato!A:A,[2]Contrato!Q:Q,"",0)</f>
        <v>#NAME?</v>
      </c>
      <c r="V2284" s="47" t="s">
        <v>47</v>
      </c>
      <c r="W2284" s="47" t="s">
        <v>42</v>
      </c>
      <c r="X2284" s="47" t="s">
        <v>42</v>
      </c>
      <c r="Y2284" s="55" t="e">
        <f ca="1">_xlfn.XLOOKUP(PAA_4[[#This Row],[ITEM]],[2]Contrato!A:A,[2]Contrato!B:B,"",0)</f>
        <v>#NAME?</v>
      </c>
      <c r="Z2284" s="47" t="e">
        <f ca="1">_xlfn.XLOOKUP(PAA_4[[#This Row],[ITEM]],[2]Contrato!A:A,[2]Contrato!G:G,"",0)</f>
        <v>#NAME?</v>
      </c>
      <c r="AA2284" s="47" t="e">
        <f ca="1">_xlfn.XLOOKUP(PAA_4[[#This Row],[ITEM]],[2]Contrato!A:A,[2]Contrato!T:T,"",0)</f>
        <v>#NAME?</v>
      </c>
      <c r="AB2284" s="55" t="e">
        <f ca="1">+MAX(PAA_4[[#This Row],[Comprometido Contrato]],PAA_4[[#This Row],[Comprometido Bolsa]])</f>
        <v>#NAME?</v>
      </c>
      <c r="AC2284" s="55" t="str">
        <f t="shared" ca="1" si="844"/>
        <v/>
      </c>
      <c r="AD2284" s="55" t="e">
        <f ca="1">IF(PAA_4[[#This Row],[ESTADO (formulado)]]="NO CONTRATADO",0,MAX(PAA_4[[#This Row],[Pago por Contrato]],PAA_4[[#This Row],[Pago por bolsa]]))</f>
        <v>#NAME?</v>
      </c>
      <c r="AE2284" s="55" t="str">
        <f t="shared" ca="1" si="845"/>
        <v/>
      </c>
      <c r="AF2284" s="47" t="e">
        <f t="shared" ca="1" si="846"/>
        <v>#NAME?</v>
      </c>
      <c r="AG2284" s="47" t="str">
        <f t="shared" si="847"/>
        <v/>
      </c>
      <c r="AH2284" s="54">
        <f>IF(Q2284="22",IF(ISNUMBER(SEARCH("econ",PAA_4[[#This Row],[Actividad3]])),"Económico",IF(ISNUMBER(SEARCH("alim",PAA_4[[#This Row],[Actividad3]])),"Alimentación",IF(ISNUMBER(SEARCH("educ",PAA_4[[#This Row],[Actividad3]])),"Educativo","Técnico"))),0)</f>
        <v>0</v>
      </c>
      <c r="AI2284" s="47" t="e" cm="1">
        <f t="array" aca="1" ref="AI2284" ca="1">_xlfn.XLOOKUP(PAA_4[[#This Row],[RCP-RUBRO]],[2]!COMPROMISOS_2024[[#All],[concatenado]],[2]!COMPROMISOS_2024[[#All],[Total pagado]],"",0)</f>
        <v>#NAME?</v>
      </c>
      <c r="AJ2284" s="56">
        <f>IF(PAA_4[[#This Row],[BOLSA]]=0,0,SUMIFS([2]!COMPROMISOS_2024[[#All],[Total pagado]],[2]!COMPROMISOS_2024[[#All],[Bolsa]],PAA_4[[#This Row],[BOLSA]],[2]!COMPROMISOS_2024[[#All],[rubro]],PAA_4[[#This Row],[RCP-RUBRO]]))</f>
        <v>0</v>
      </c>
      <c r="AK2284" s="47" t="e" cm="1">
        <f t="array" aca="1" ref="AK2284" ca="1">_xlfn.XLOOKUP(PAA_4[[#This Row],[RCP-RUBRO]],[2]!COMPROMISOS_2024[[#All],[concatenado]],[2]!COMPROMISOS_2024[[#All],[Total Comprometido]],"",0)</f>
        <v>#NAME?</v>
      </c>
      <c r="AL2284" s="47">
        <f>IF(PAA_4[[#This Row],[BOLSA]]=0,0,SUMIFS([2]!COMPROMISOS_2024[[#All],[Total Comprometido]],[2]!COMPROMISOS_2024[[#All],[Bolsa]],PAA_4[[#This Row],[BOLSA]],[2]!COMPROMISOS_2024[[#All],[concatenado]],PAA_4[[#This Row],[RCP-RUBRO]]))</f>
        <v>0</v>
      </c>
    </row>
    <row r="2285" spans="1:38" s="19" customFormat="1" ht="31.5" customHeight="1">
      <c r="A2285" s="47">
        <v>1255</v>
      </c>
      <c r="B2285" s="47">
        <v>80161500</v>
      </c>
      <c r="C2285" s="47" t="str">
        <f>VLOOKUP(PAA_4[[#This Row],[PROYECTO (formulado)2]],[2]PROYECTOS!$G$1:$L$32,6,0)</f>
        <v>SUBGERENCIA ADMINISTRATIVA Y FINANCIERA</v>
      </c>
      <c r="D2285" s="47" t="str">
        <f>+IF(PAA_4[[#This Row],[UNIDAD DE CONTRATACION (formulado)]]="Subgerencia Administrativa y Financiera","FUNCIONAMIENTO","INVERSIÓN")</f>
        <v>FUNCIONAMIENTO</v>
      </c>
      <c r="E2285" s="48" t="str">
        <f>VLOOKUP(Q2285,[2]PROYECTOS!$G$1:$K$32,5,0)</f>
        <v>FUNCIONAMIENTO</v>
      </c>
      <c r="F2285" s="48">
        <f>VLOOKUP(E2285,[2]PROYECTOS!$K$1:$M$32,3,0)</f>
        <v>999999</v>
      </c>
      <c r="G2285" s="49" t="s">
        <v>43</v>
      </c>
      <c r="H2285" s="49">
        <f>VLOOKUP(Q2285,[2]PROYECTOS!$V$1:$W$32,2,0)</f>
        <v>999999</v>
      </c>
      <c r="I2285" s="78">
        <f>9100000-2600000-1191667</f>
        <v>5308333</v>
      </c>
      <c r="J2285" s="51" t="s">
        <v>2426</v>
      </c>
      <c r="K2285" s="47" t="str">
        <f t="shared" ca="1" si="842"/>
        <v>CONTRATADO</v>
      </c>
      <c r="L2285" s="47" t="s">
        <v>94</v>
      </c>
      <c r="M2285" s="47" t="s">
        <v>1297</v>
      </c>
      <c r="N2285" s="52" t="s">
        <v>1283</v>
      </c>
      <c r="O2285" s="51" t="e">
        <f>VLOOKUP(N2285,[2]!RUBROS[#All],3,0)</f>
        <v>#REF!</v>
      </c>
      <c r="P2285" s="53" t="e">
        <f>VLOOKUP(N2285,[2]!RUBROS[#All],2,0)</f>
        <v>#REF!</v>
      </c>
      <c r="Q2285" s="47" t="str">
        <f t="shared" si="843"/>
        <v>00</v>
      </c>
      <c r="R2285" s="47" t="str">
        <f t="shared" si="831"/>
        <v>0-101024</v>
      </c>
      <c r="S2285" s="54">
        <v>2</v>
      </c>
      <c r="T2285" s="57" t="s">
        <v>46</v>
      </c>
      <c r="U2285" s="326" t="e">
        <f ca="1">_xlfn.XLOOKUP(PAA_4[[#This Row],[ITEM]],[2]Contrato!A:A,[2]Contrato!Q:Q,"",0)</f>
        <v>#NAME?</v>
      </c>
      <c r="V2285" s="47" t="s">
        <v>47</v>
      </c>
      <c r="W2285" s="47" t="s">
        <v>204</v>
      </c>
      <c r="X2285" s="47" t="s">
        <v>204</v>
      </c>
      <c r="Y2285" s="55" t="e">
        <f ca="1">_xlfn.XLOOKUP(PAA_4[[#This Row],[ITEM]],[2]Contrato!A:A,[2]Contrato!B:B,"",0)</f>
        <v>#NAME?</v>
      </c>
      <c r="Z2285" s="47" t="e">
        <f ca="1">_xlfn.XLOOKUP(PAA_4[[#This Row],[ITEM]],[2]Contrato!A:A,[2]Contrato!G:G,"",0)</f>
        <v>#NAME?</v>
      </c>
      <c r="AA2285" s="47" t="e">
        <f ca="1">_xlfn.XLOOKUP(PAA_4[[#This Row],[ITEM]],[2]Contrato!A:A,[2]Contrato!T:T,"",0)</f>
        <v>#NAME?</v>
      </c>
      <c r="AB2285" s="55" t="e">
        <f ca="1">+MAX(PAA_4[[#This Row],[Comprometido Contrato]],PAA_4[[#This Row],[Comprometido Bolsa]])</f>
        <v>#NAME?</v>
      </c>
      <c r="AC2285" s="55" t="str">
        <f t="shared" ca="1" si="844"/>
        <v/>
      </c>
      <c r="AD2285" s="55" t="e">
        <f ca="1">IF(PAA_4[[#This Row],[ESTADO (formulado)]]="NO CONTRATADO",0,MAX(PAA_4[[#This Row],[Pago por Contrato]],PAA_4[[#This Row],[Pago por bolsa]]))</f>
        <v>#NAME?</v>
      </c>
      <c r="AE2285" s="55" t="str">
        <f t="shared" ca="1" si="845"/>
        <v/>
      </c>
      <c r="AF2285" s="47" t="e">
        <f t="shared" ca="1" si="846"/>
        <v>#NAME?</v>
      </c>
      <c r="AG2285" s="47" t="str">
        <f t="shared" si="847"/>
        <v/>
      </c>
      <c r="AH2285" s="54">
        <f>IF(Q2285="22",IF(ISNUMBER(SEARCH("econ",PAA_4[[#This Row],[Actividad3]])),"Económico",IF(ISNUMBER(SEARCH("alim",PAA_4[[#This Row],[Actividad3]])),"Alimentación",IF(ISNUMBER(SEARCH("educ",PAA_4[[#This Row],[Actividad3]])),"Educativo","Técnico"))),0)</f>
        <v>0</v>
      </c>
      <c r="AI2285" s="47" t="e" cm="1">
        <f t="array" aca="1" ref="AI2285" ca="1">_xlfn.XLOOKUP(PAA_4[[#This Row],[RCP-RUBRO]],[2]!COMPROMISOS_2024[[#All],[concatenado]],[2]!COMPROMISOS_2024[[#All],[Total pagado]],"",0)</f>
        <v>#NAME?</v>
      </c>
      <c r="AJ2285" s="56">
        <f>IF(PAA_4[[#This Row],[BOLSA]]=0,0,SUMIFS([2]!COMPROMISOS_2024[[#All],[Total pagado]],[2]!COMPROMISOS_2024[[#All],[Bolsa]],PAA_4[[#This Row],[BOLSA]],[2]!COMPROMISOS_2024[[#All],[rubro]],PAA_4[[#This Row],[RCP-RUBRO]]))</f>
        <v>0</v>
      </c>
      <c r="AK2285" s="47" t="e" cm="1">
        <f t="array" aca="1" ref="AK2285" ca="1">_xlfn.XLOOKUP(PAA_4[[#This Row],[RCP-RUBRO]],[2]!COMPROMISOS_2024[[#All],[concatenado]],[2]!COMPROMISOS_2024[[#All],[Total Comprometido]],"",0)</f>
        <v>#NAME?</v>
      </c>
      <c r="AL2285" s="47">
        <f>IF(PAA_4[[#This Row],[BOLSA]]=0,0,SUMIFS([2]!COMPROMISOS_2024[[#All],[Total Comprometido]],[2]!COMPROMISOS_2024[[#All],[Bolsa]],PAA_4[[#This Row],[BOLSA]],[2]!COMPROMISOS_2024[[#All],[concatenado]],PAA_4[[#This Row],[RCP-RUBRO]]))</f>
        <v>0</v>
      </c>
    </row>
    <row r="2286" spans="1:38" s="19" customFormat="1" ht="31.5" customHeight="1">
      <c r="A2286" s="47">
        <v>1256</v>
      </c>
      <c r="B2286" s="47" t="s">
        <v>42</v>
      </c>
      <c r="C2286" s="47" t="str">
        <f>VLOOKUP(PAA_4[[#This Row],[PROYECTO (formulado)2]],[2]PROYECTOS!$G$1:$L$32,6,0)</f>
        <v>SUBGERENCIA ADMINISTRATIVA Y FINANCIERA</v>
      </c>
      <c r="D2286" s="47" t="str">
        <f>+IF(PAA_4[[#This Row],[UNIDAD DE CONTRATACION (formulado)]]="Subgerencia Administrativa y Financiera","FUNCIONAMIENTO","INVERSIÓN")</f>
        <v>FUNCIONAMIENTO</v>
      </c>
      <c r="E2286" s="48" t="str">
        <f>VLOOKUP(Q2286,[2]PROYECTOS!$G$1:$K$32,5,0)</f>
        <v>FUNCIONAMIENTO</v>
      </c>
      <c r="F2286" s="48">
        <f>VLOOKUP(E2286,[2]PROYECTOS!$K$1:$M$32,3,0)</f>
        <v>999999</v>
      </c>
      <c r="G2286" s="49" t="s">
        <v>43</v>
      </c>
      <c r="H2286" s="49">
        <f>VLOOKUP(Q2286,[2]PROYECTOS!$V$1:$W$32,2,0)</f>
        <v>999999</v>
      </c>
      <c r="I2286" s="78">
        <v>43000</v>
      </c>
      <c r="J2286" s="51" t="s">
        <v>2427</v>
      </c>
      <c r="K2286" s="47" t="str">
        <f t="shared" ca="1" si="842"/>
        <v>CONTRATADO</v>
      </c>
      <c r="L2286" s="47" t="s">
        <v>44</v>
      </c>
      <c r="M2286" s="47" t="s">
        <v>1236</v>
      </c>
      <c r="N2286" s="52" t="s">
        <v>2428</v>
      </c>
      <c r="O2286" s="51" t="e">
        <f>VLOOKUP(N2286,[2]!RUBROS[#All],3,0)</f>
        <v>#REF!</v>
      </c>
      <c r="P2286" s="53" t="e">
        <f>VLOOKUP(N2286,[2]!RUBROS[#All],2,0)</f>
        <v>#REF!</v>
      </c>
      <c r="Q2286" s="47" t="str">
        <f t="shared" si="843"/>
        <v>00</v>
      </c>
      <c r="R2286" s="47" t="str">
        <f t="shared" si="831"/>
        <v>0-101024</v>
      </c>
      <c r="S2286" s="54" t="s">
        <v>42</v>
      </c>
      <c r="T2286" s="57" t="s">
        <v>42</v>
      </c>
      <c r="U2286" s="326" t="e">
        <f ca="1">_xlfn.XLOOKUP(PAA_4[[#This Row],[ITEM]],[2]Contrato!A:A,[2]Contrato!Q:Q,"",0)</f>
        <v>#NAME?</v>
      </c>
      <c r="V2286" s="47" t="s">
        <v>47</v>
      </c>
      <c r="W2286" s="47" t="s">
        <v>204</v>
      </c>
      <c r="X2286" s="47" t="s">
        <v>204</v>
      </c>
      <c r="Y2286" s="55" t="e">
        <f ca="1">_xlfn.XLOOKUP(PAA_4[[#This Row],[ITEM]],[2]Contrato!A:A,[2]Contrato!B:B,"",0)</f>
        <v>#NAME?</v>
      </c>
      <c r="Z2286" s="47" t="e">
        <f ca="1">_xlfn.XLOOKUP(PAA_4[[#This Row],[ITEM]],[2]Contrato!A:A,[2]Contrato!G:G,"",0)</f>
        <v>#NAME?</v>
      </c>
      <c r="AA2286" s="47" t="e">
        <f ca="1">_xlfn.XLOOKUP(PAA_4[[#This Row],[ITEM]],[2]Contrato!A:A,[2]Contrato!T:T,"",0)</f>
        <v>#NAME?</v>
      </c>
      <c r="AB2286" s="55" t="e">
        <f ca="1">+MAX(PAA_4[[#This Row],[Comprometido Contrato]],PAA_4[[#This Row],[Comprometido Bolsa]])</f>
        <v>#NAME?</v>
      </c>
      <c r="AC2286" s="55" t="str">
        <f t="shared" ca="1" si="844"/>
        <v/>
      </c>
      <c r="AD2286" s="55" t="e">
        <f ca="1">IF(PAA_4[[#This Row],[ESTADO (formulado)]]="NO CONTRATADO",0,MAX(PAA_4[[#This Row],[Pago por Contrato]],PAA_4[[#This Row],[Pago por bolsa]]))</f>
        <v>#NAME?</v>
      </c>
      <c r="AE2286" s="55" t="str">
        <f t="shared" ca="1" si="845"/>
        <v/>
      </c>
      <c r="AF2286" s="47" t="e">
        <f t="shared" ca="1" si="846"/>
        <v>#NAME?</v>
      </c>
      <c r="AG2286" s="47" t="str">
        <f t="shared" si="847"/>
        <v/>
      </c>
      <c r="AH2286" s="54">
        <f>IF(Q2286="22",IF(ISNUMBER(SEARCH("econ",PAA_4[[#This Row],[Actividad3]])),"Económico",IF(ISNUMBER(SEARCH("alim",PAA_4[[#This Row],[Actividad3]])),"Alimentación",IF(ISNUMBER(SEARCH("educ",PAA_4[[#This Row],[Actividad3]])),"Educativo","Técnico"))),0)</f>
        <v>0</v>
      </c>
      <c r="AI2286" s="47" t="e" cm="1">
        <f t="array" aca="1" ref="AI2286" ca="1">_xlfn.XLOOKUP(PAA_4[[#This Row],[RCP-RUBRO]],[2]!COMPROMISOS_2024[[#All],[concatenado]],[2]!COMPROMISOS_2024[[#All],[Total pagado]],"",0)</f>
        <v>#NAME?</v>
      </c>
      <c r="AJ2286" s="56">
        <f>IF(PAA_4[[#This Row],[BOLSA]]=0,0,SUMIFS([2]!COMPROMISOS_2024[[#All],[Total pagado]],[2]!COMPROMISOS_2024[[#All],[Bolsa]],PAA_4[[#This Row],[BOLSA]],[2]!COMPROMISOS_2024[[#All],[rubro]],PAA_4[[#This Row],[RCP-RUBRO]]))</f>
        <v>0</v>
      </c>
      <c r="AK2286" s="47" t="e" cm="1">
        <f t="array" aca="1" ref="AK2286" ca="1">_xlfn.XLOOKUP(PAA_4[[#This Row],[RCP-RUBRO]],[2]!COMPROMISOS_2024[[#All],[concatenado]],[2]!COMPROMISOS_2024[[#All],[Total Comprometido]],"",0)</f>
        <v>#NAME?</v>
      </c>
      <c r="AL2286" s="47">
        <f>IF(PAA_4[[#This Row],[BOLSA]]=0,0,SUMIFS([2]!COMPROMISOS_2024[[#All],[Total Comprometido]],[2]!COMPROMISOS_2024[[#All],[Bolsa]],PAA_4[[#This Row],[BOLSA]],[2]!COMPROMISOS_2024[[#All],[concatenado]],PAA_4[[#This Row],[RCP-RUBRO]]))</f>
        <v>0</v>
      </c>
    </row>
    <row r="2287" spans="1:38" s="19" customFormat="1" ht="31.5" customHeight="1">
      <c r="A2287" s="47">
        <v>1211</v>
      </c>
      <c r="B2287" s="47">
        <v>80131500</v>
      </c>
      <c r="C2287" s="47" t="str">
        <f>VLOOKUP(PAA_4[[#This Row],[PROYECTO (formulado)2]],[2]PROYECTOS!$G$1:$L$32,6,0)</f>
        <v>SUBGERENCIA ADMINISTRATIVA Y FINANCIERA</v>
      </c>
      <c r="D2287" s="47" t="str">
        <f>+IF(PAA_4[[#This Row],[UNIDAD DE CONTRATACION (formulado)]]="Subgerencia Administrativa y Financiera","FUNCIONAMIENTO","INVERSIÓN")</f>
        <v>FUNCIONAMIENTO</v>
      </c>
      <c r="E2287" s="48" t="str">
        <f>VLOOKUP(Q2287,[2]PROYECTOS!$G$1:$K$32,5,0)</f>
        <v>FUNCIONAMIENTO</v>
      </c>
      <c r="F2287" s="48">
        <f>VLOOKUP(E2287,[2]PROYECTOS!$K$1:$M$32,3,0)</f>
        <v>999999</v>
      </c>
      <c r="G2287" s="49" t="s">
        <v>43</v>
      </c>
      <c r="H2287" s="49">
        <f>VLOOKUP(Q2287,[2]PROYECTOS!$V$1:$W$32,2,0)</f>
        <v>999999</v>
      </c>
      <c r="I2287" s="78">
        <v>0</v>
      </c>
      <c r="J2287" s="51" t="s">
        <v>2429</v>
      </c>
      <c r="K2287" s="47" t="str">
        <f t="shared" ca="1" si="842"/>
        <v>CONTRATADO</v>
      </c>
      <c r="L2287" s="47"/>
      <c r="M2287" s="47"/>
      <c r="N2287" s="52" t="s">
        <v>90</v>
      </c>
      <c r="O2287" s="51" t="e">
        <f>VLOOKUP(N2287,[2]!RUBROS[#All],3,0)</f>
        <v>#REF!</v>
      </c>
      <c r="P2287" s="53" t="e">
        <f>VLOOKUP(N2287,[2]!RUBROS[#All],2,0)</f>
        <v>#REF!</v>
      </c>
      <c r="Q2287" s="47" t="str">
        <f t="shared" si="843"/>
        <v>00</v>
      </c>
      <c r="R2287" s="47" t="str">
        <f t="shared" si="831"/>
        <v>0-205616</v>
      </c>
      <c r="S2287" s="54">
        <v>24</v>
      </c>
      <c r="T2287" s="63" t="s">
        <v>46</v>
      </c>
      <c r="U2287" s="326" t="e">
        <f ca="1">_xlfn.XLOOKUP(PAA_4[[#This Row],[ITEM]],[2]Contrato!A:A,[2]Contrato!Q:Q,"",0)</f>
        <v>#NAME?</v>
      </c>
      <c r="V2287" s="47" t="s">
        <v>95</v>
      </c>
      <c r="W2287" s="47" t="s">
        <v>203</v>
      </c>
      <c r="X2287" s="47" t="s">
        <v>203</v>
      </c>
      <c r="Y2287" s="55" t="e">
        <f ca="1">_xlfn.XLOOKUP(PAA_4[[#This Row],[ITEM]],[2]Contrato!A:A,[2]Contrato!B:B,"",0)</f>
        <v>#NAME?</v>
      </c>
      <c r="Z2287" s="47" t="e">
        <f ca="1">_xlfn.XLOOKUP(PAA_4[[#This Row],[ITEM]],[2]Contrato!A:A,[2]Contrato!G:G,"",0)</f>
        <v>#NAME?</v>
      </c>
      <c r="AA2287" s="47" t="e">
        <f ca="1">_xlfn.XLOOKUP(PAA_4[[#This Row],[ITEM]],[2]Contrato!A:A,[2]Contrato!T:T,"",0)</f>
        <v>#NAME?</v>
      </c>
      <c r="AB2287" s="55" t="e">
        <f ca="1">+MAX(PAA_4[[#This Row],[Comprometido Contrato]],PAA_4[[#This Row],[Comprometido Bolsa]])</f>
        <v>#NAME?</v>
      </c>
      <c r="AC2287" s="55" t="str">
        <f t="shared" ca="1" si="844"/>
        <v/>
      </c>
      <c r="AD2287" s="55" t="e">
        <f ca="1">IF(PAA_4[[#This Row],[ESTADO (formulado)]]="NO CONTRATADO",0,MAX(PAA_4[[#This Row],[Pago por Contrato]],PAA_4[[#This Row],[Pago por bolsa]]))</f>
        <v>#NAME?</v>
      </c>
      <c r="AE2287" s="55" t="str">
        <f t="shared" ca="1" si="845"/>
        <v/>
      </c>
      <c r="AF2287" s="47" t="e">
        <f t="shared" ca="1" si="846"/>
        <v>#NAME?</v>
      </c>
      <c r="AG2287" s="47" t="str">
        <f t="shared" si="847"/>
        <v/>
      </c>
      <c r="AH2287" s="54">
        <f>IF(Q2287="22",IF(ISNUMBER(SEARCH("econ",PAA_4[[#This Row],[Actividad3]])),"Económico",IF(ISNUMBER(SEARCH("alim",PAA_4[[#This Row],[Actividad3]])),"Alimentación",IF(ISNUMBER(SEARCH("educ",PAA_4[[#This Row],[Actividad3]])),"Educativo","Técnico"))),0)</f>
        <v>0</v>
      </c>
      <c r="AI2287" s="47" t="e" cm="1">
        <f t="array" aca="1" ref="AI2287" ca="1">_xlfn.XLOOKUP(PAA_4[[#This Row],[RCP-RUBRO]],[2]!COMPROMISOS_2024[[#All],[concatenado]],[2]!COMPROMISOS_2024[[#All],[Total pagado]],"",0)</f>
        <v>#NAME?</v>
      </c>
      <c r="AJ2287" s="56">
        <f>IF(PAA_4[[#This Row],[BOLSA]]=0,0,SUMIFS([2]!COMPROMISOS_2024[[#All],[Total pagado]],[2]!COMPROMISOS_2024[[#All],[Bolsa]],PAA_4[[#This Row],[BOLSA]],[2]!COMPROMISOS_2024[[#All],[rubro]],PAA_4[[#This Row],[RCP-RUBRO]]))</f>
        <v>0</v>
      </c>
      <c r="AK2287" s="47" t="e" cm="1">
        <f t="array" aca="1" ref="AK2287" ca="1">_xlfn.XLOOKUP(PAA_4[[#This Row],[RCP-RUBRO]],[2]!COMPROMISOS_2024[[#All],[concatenado]],[2]!COMPROMISOS_2024[[#All],[Total Comprometido]],"",0)</f>
        <v>#NAME?</v>
      </c>
      <c r="AL2287" s="47">
        <f>IF(PAA_4[[#This Row],[BOLSA]]=0,0,SUMIFS([2]!COMPROMISOS_2024[[#All],[Total Comprometido]],[2]!COMPROMISOS_2024[[#All],[Bolsa]],PAA_4[[#This Row],[BOLSA]],[2]!COMPROMISOS_2024[[#All],[concatenado]],PAA_4[[#This Row],[RCP-RUBRO]]))</f>
        <v>0</v>
      </c>
    </row>
    <row r="2288" spans="1:38" s="19" customFormat="1" ht="31.5" customHeight="1">
      <c r="A2288" s="47" t="s">
        <v>82</v>
      </c>
      <c r="B2288" s="47" t="s">
        <v>2057</v>
      </c>
      <c r="C2288" s="47" t="str">
        <f>VLOOKUP(PAA_4[[#This Row],[PROYECTO (formulado)2]],[2]PROYECTOS!$G$1:$L$32,6,0)</f>
        <v>SUBGERENCIA ADMINISTRATIVA Y FINANCIERA</v>
      </c>
      <c r="D2288" s="47" t="str">
        <f>+IF(PAA_4[[#This Row],[UNIDAD DE CONTRATACION (formulado)]]="Subgerencia Administrativa y Financiera","FUNCIONAMIENTO","INVERSIÓN")</f>
        <v>FUNCIONAMIENTO</v>
      </c>
      <c r="E2288" s="48" t="str">
        <f>VLOOKUP(Q2288,[2]PROYECTOS!$G$1:$K$32,5,0)</f>
        <v>Fortalecimiento de los sistemas de información y la gestión estratégica para el deporte, la recreación y la actividad física de Antioquia</v>
      </c>
      <c r="F2288" s="48">
        <f>VLOOKUP(E2288,[2]PROYECTOS!$K$1:$M$32,3,0)</f>
        <v>2024003050077</v>
      </c>
      <c r="G2288" s="49" t="s">
        <v>2046</v>
      </c>
      <c r="H2288" s="49" t="str">
        <f>VLOOKUP(Q2288,[2]PROYECTOS!$V$1:$W$32,2,0)</f>
        <v>220387</v>
      </c>
      <c r="I2288" s="78">
        <v>1500000000</v>
      </c>
      <c r="J2288" s="51" t="s">
        <v>2430</v>
      </c>
      <c r="K2288" s="47" t="str">
        <f t="shared" ca="1" si="842"/>
        <v>CONTRATADO</v>
      </c>
      <c r="L2288" s="47" t="s">
        <v>94</v>
      </c>
      <c r="M2288" s="47" t="s">
        <v>42</v>
      </c>
      <c r="N2288" s="52" t="s">
        <v>2050</v>
      </c>
      <c r="O2288" s="51" t="e">
        <f>VLOOKUP(N2288,[2]!RUBROS[#All],3,0)</f>
        <v>#REF!</v>
      </c>
      <c r="P2288" s="53" t="e">
        <f>VLOOKUP(N2288,[2]!RUBROS[#All],2,0)</f>
        <v>#REF!</v>
      </c>
      <c r="Q2288" s="47" t="str">
        <f t="shared" si="843"/>
        <v>77</v>
      </c>
      <c r="R2288" s="47" t="str">
        <f t="shared" si="831"/>
        <v>0-271130</v>
      </c>
      <c r="S2288" s="54">
        <v>1</v>
      </c>
      <c r="T2288" s="63" t="s">
        <v>2360</v>
      </c>
      <c r="U2288" s="326" t="e">
        <f ca="1">_xlfn.XLOOKUP(PAA_4[[#This Row],[ITEM]],[2]Contrato!A:A,[2]Contrato!Q:Q,"",0)</f>
        <v>#NAME?</v>
      </c>
      <c r="V2288" s="47" t="s">
        <v>95</v>
      </c>
      <c r="W2288" s="47" t="s">
        <v>42</v>
      </c>
      <c r="X2288" s="47" t="s">
        <v>42</v>
      </c>
      <c r="Y2288" s="55" t="e">
        <f ca="1">_xlfn.XLOOKUP(PAA_4[[#This Row],[ITEM]],[2]Contrato!A:A,[2]Contrato!B:B,"",0)</f>
        <v>#NAME?</v>
      </c>
      <c r="Z2288" s="47" t="e">
        <f ca="1">_xlfn.XLOOKUP(PAA_4[[#This Row],[ITEM]],[2]Contrato!A:A,[2]Contrato!G:G,"",0)</f>
        <v>#NAME?</v>
      </c>
      <c r="AA2288" s="47" t="e">
        <f ca="1">_xlfn.XLOOKUP(PAA_4[[#This Row],[ITEM]],[2]Contrato!A:A,[2]Contrato!T:T,"",0)</f>
        <v>#NAME?</v>
      </c>
      <c r="AB2288" s="55" t="e">
        <f ca="1">+MAX(PAA_4[[#This Row],[Comprometido Contrato]],PAA_4[[#This Row],[Comprometido Bolsa]])</f>
        <v>#NAME?</v>
      </c>
      <c r="AC2288" s="55" t="str">
        <f t="shared" ca="1" si="844"/>
        <v/>
      </c>
      <c r="AD2288" s="55" t="e">
        <f ca="1">IF(PAA_4[[#This Row],[ESTADO (formulado)]]="NO CONTRATADO",0,MAX(PAA_4[[#This Row],[Pago por Contrato]],PAA_4[[#This Row],[Pago por bolsa]]))</f>
        <v>#NAME?</v>
      </c>
      <c r="AE2288" s="55" t="str">
        <f t="shared" ca="1" si="845"/>
        <v/>
      </c>
      <c r="AF2288" s="47" t="e">
        <f t="shared" ca="1" si="846"/>
        <v>#NAME?</v>
      </c>
      <c r="AG2288" s="47">
        <f t="shared" si="847"/>
        <v>52011001</v>
      </c>
      <c r="AH2288" s="54">
        <f>IF(Q2288="22",IF(ISNUMBER(SEARCH("econ",PAA_4[[#This Row],[Actividad3]])),"Económico",IF(ISNUMBER(SEARCH("alim",PAA_4[[#This Row],[Actividad3]])),"Alimentación",IF(ISNUMBER(SEARCH("educ",PAA_4[[#This Row],[Actividad3]])),"Educativo","Técnico"))),0)</f>
        <v>0</v>
      </c>
      <c r="AI2288" s="47" t="e" cm="1">
        <f t="array" aca="1" ref="AI2288" ca="1">_xlfn.XLOOKUP(PAA_4[[#This Row],[RCP-RUBRO]],[2]!COMPROMISOS_2024[[#All],[concatenado]],[2]!COMPROMISOS_2024[[#All],[Total pagado]],"",0)</f>
        <v>#NAME?</v>
      </c>
      <c r="AJ2288" s="56">
        <f>IF(PAA_4[[#This Row],[BOLSA]]=0,0,SUMIFS([2]!COMPROMISOS_2024[[#All],[Total pagado]],[2]!COMPROMISOS_2024[[#All],[Bolsa]],PAA_4[[#This Row],[BOLSA]],[2]!COMPROMISOS_2024[[#All],[rubro]],PAA_4[[#This Row],[RCP-RUBRO]]))</f>
        <v>0</v>
      </c>
      <c r="AK2288" s="47" t="e" cm="1">
        <f t="array" aca="1" ref="AK2288" ca="1">_xlfn.XLOOKUP(PAA_4[[#This Row],[RCP-RUBRO]],[2]!COMPROMISOS_2024[[#All],[concatenado]],[2]!COMPROMISOS_2024[[#All],[Total Comprometido]],"",0)</f>
        <v>#NAME?</v>
      </c>
      <c r="AL2288" s="47">
        <f>IF(PAA_4[[#This Row],[BOLSA]]=0,0,SUMIFS([2]!COMPROMISOS_2024[[#All],[Total Comprometido]],[2]!COMPROMISOS_2024[[#All],[Bolsa]],PAA_4[[#This Row],[BOLSA]],[2]!COMPROMISOS_2024[[#All],[concatenado]],PAA_4[[#This Row],[RCP-RUBRO]]))</f>
        <v>0</v>
      </c>
    </row>
    <row r="2289" spans="1:38" s="19" customFormat="1" ht="31.5" customHeight="1">
      <c r="A2289" s="47" t="s">
        <v>82</v>
      </c>
      <c r="B2289" s="51" t="s">
        <v>393</v>
      </c>
      <c r="C2289" s="47" t="str">
        <f>VLOOKUP(PAA_4[[#This Row],[PROYECTO (formulado)2]],[2]PROYECTOS!$G$1:$L$32,6,0)</f>
        <v>SUBGERENCIA DE FOMENTO Y DESARROLLO</v>
      </c>
      <c r="D2289" s="47" t="str">
        <f>+IF(PAA_4[[#This Row],[UNIDAD DE CONTRATACION (formulado)]]="Subgerencia Administrativa y Financiera","FUNCIONAMIENTO","INVERSIÓN")</f>
        <v>INVERSIÓN</v>
      </c>
      <c r="E2289" s="48" t="str">
        <f>VLOOKUP(Q2289,[2]PROYECTOS!$G$1:$K$32,5,0)</f>
        <v>Fortalecimiento de los juegos deportivos institucionales en los municipios del departamento de Antioquia</v>
      </c>
      <c r="F2289" s="48">
        <f>VLOOKUP(E2289,[2]PROYECTOS!$K$1:$M$32,3,0)</f>
        <v>2024003050073</v>
      </c>
      <c r="G2289" s="49" t="s">
        <v>1353</v>
      </c>
      <c r="H2289" s="49" t="str">
        <f>VLOOKUP(Q2289,[2]PROYECTOS!$V$1:$W$32,2,0)</f>
        <v>050081</v>
      </c>
      <c r="I2289" s="78">
        <v>947858131</v>
      </c>
      <c r="J2289" s="51" t="s">
        <v>452</v>
      </c>
      <c r="K2289" s="47" t="str">
        <f t="shared" ca="1" si="842"/>
        <v>CONTRATADO</v>
      </c>
      <c r="L2289" s="47" t="s">
        <v>42</v>
      </c>
      <c r="M2289" s="47" t="s">
        <v>42</v>
      </c>
      <c r="N2289" s="52" t="s">
        <v>2431</v>
      </c>
      <c r="O2289" s="51" t="e">
        <f>VLOOKUP(N2289,[2]!RUBROS[#All],3,0)</f>
        <v>#REF!</v>
      </c>
      <c r="P2289" s="53" t="e">
        <f>VLOOKUP(N2289,[2]!RUBROS[#All],2,0)</f>
        <v>#REF!</v>
      </c>
      <c r="Q2289" s="47" t="str">
        <f t="shared" si="843"/>
        <v>73</v>
      </c>
      <c r="R2289" s="47" t="str">
        <f t="shared" si="831"/>
        <v>0-271130</v>
      </c>
      <c r="S2289" s="54" t="s">
        <v>42</v>
      </c>
      <c r="T2289" s="329" t="s">
        <v>42</v>
      </c>
      <c r="U2289" s="326" t="e">
        <f ca="1">_xlfn.XLOOKUP(PAA_4[[#This Row],[ITEM]],[2]Contrato!A:A,[2]Contrato!Q:Q,"",0)</f>
        <v>#NAME?</v>
      </c>
      <c r="V2289" s="47" t="s">
        <v>42</v>
      </c>
      <c r="W2289" s="47" t="s">
        <v>42</v>
      </c>
      <c r="X2289" s="47" t="s">
        <v>42</v>
      </c>
      <c r="Y2289" s="55" t="e">
        <f ca="1">_xlfn.XLOOKUP(PAA_4[[#This Row],[ITEM]],[2]Contrato!A:A,[2]Contrato!B:B,"",0)</f>
        <v>#NAME?</v>
      </c>
      <c r="Z2289" s="47" t="e">
        <f ca="1">_xlfn.XLOOKUP(PAA_4[[#This Row],[ITEM]],[2]Contrato!A:A,[2]Contrato!G:G,"",0)</f>
        <v>#NAME?</v>
      </c>
      <c r="AA2289" s="47" t="e">
        <f ca="1">_xlfn.XLOOKUP(PAA_4[[#This Row],[ITEM]],[2]Contrato!A:A,[2]Contrato!T:T,"",0)</f>
        <v>#NAME?</v>
      </c>
      <c r="AB2289" s="55" t="e">
        <f ca="1">+MAX(PAA_4[[#This Row],[Comprometido Contrato]],PAA_4[[#This Row],[Comprometido Bolsa]])</f>
        <v>#NAME?</v>
      </c>
      <c r="AC2289" s="55" t="str">
        <f t="shared" ca="1" si="844"/>
        <v/>
      </c>
      <c r="AD2289" s="55" t="e">
        <f ca="1">IF(PAA_4[[#This Row],[ESTADO (formulado)]]="NO CONTRATADO",0,MAX(PAA_4[[#This Row],[Pago por Contrato]],PAA_4[[#This Row],[Pago por bolsa]]))</f>
        <v>#NAME?</v>
      </c>
      <c r="AE2289" s="55" t="str">
        <f t="shared" ca="1" si="845"/>
        <v/>
      </c>
      <c r="AF2289" s="47" t="e">
        <f t="shared" ca="1" si="846"/>
        <v>#NAME?</v>
      </c>
      <c r="AG2289" s="47">
        <f t="shared" si="847"/>
        <v>52010703</v>
      </c>
      <c r="AH2289" s="54">
        <f>IF(Q2289="22",IF(ISNUMBER(SEARCH("econ",PAA_4[[#This Row],[Actividad3]])),"Económico",IF(ISNUMBER(SEARCH("alim",PAA_4[[#This Row],[Actividad3]])),"Alimentación",IF(ISNUMBER(SEARCH("educ",PAA_4[[#This Row],[Actividad3]])),"Educativo","Técnico"))),0)</f>
        <v>0</v>
      </c>
      <c r="AI2289" s="47" t="e" cm="1">
        <f t="array" aca="1" ref="AI2289" ca="1">_xlfn.XLOOKUP(PAA_4[[#This Row],[RCP-RUBRO]],[2]!COMPROMISOS_2024[[#All],[concatenado]],[2]!COMPROMISOS_2024[[#All],[Total pagado]],"",0)</f>
        <v>#NAME?</v>
      </c>
      <c r="AJ2289" s="56">
        <f>IF(PAA_4[[#This Row],[BOLSA]]=0,0,SUMIFS([2]!COMPROMISOS_2024[[#All],[Total pagado]],[2]!COMPROMISOS_2024[[#All],[Bolsa]],PAA_4[[#This Row],[BOLSA]],[2]!COMPROMISOS_2024[[#All],[rubro]],PAA_4[[#This Row],[RCP-RUBRO]]))</f>
        <v>0</v>
      </c>
      <c r="AK2289" s="47" t="e" cm="1">
        <f t="array" aca="1" ref="AK2289" ca="1">_xlfn.XLOOKUP(PAA_4[[#This Row],[RCP-RUBRO]],[2]!COMPROMISOS_2024[[#All],[concatenado]],[2]!COMPROMISOS_2024[[#All],[Total Comprometido]],"",0)</f>
        <v>#NAME?</v>
      </c>
      <c r="AL2289" s="47">
        <f>IF(PAA_4[[#This Row],[BOLSA]]=0,0,SUMIFS([2]!COMPROMISOS_2024[[#All],[Total Comprometido]],[2]!COMPROMISOS_2024[[#All],[Bolsa]],PAA_4[[#This Row],[BOLSA]],[2]!COMPROMISOS_2024[[#All],[concatenado]],PAA_4[[#This Row],[RCP-RUBRO]]))</f>
        <v>0</v>
      </c>
    </row>
    <row r="2290" spans="1:38" s="19" customFormat="1" ht="31.5" customHeight="1">
      <c r="A2290" s="47" t="s">
        <v>82</v>
      </c>
      <c r="B2290" s="47">
        <v>80141607</v>
      </c>
      <c r="C2290" s="47" t="str">
        <f>VLOOKUP(PAA_4[[#This Row],[PROYECTO (formulado)2]],[2]PROYECTOS!$G$1:$L$32,6,0)</f>
        <v>SUBGERENCIA DE FOMENTO Y DESARROLLO</v>
      </c>
      <c r="D2290" s="47" t="str">
        <f>+IF(PAA_4[[#This Row],[UNIDAD DE CONTRATACION (formulado)]]="Subgerencia Administrativa y Financiera","FUNCIONAMIENTO","INVERSIÓN")</f>
        <v>INVERSIÓN</v>
      </c>
      <c r="E2290" s="48" t="str">
        <f>VLOOKUP(Q2290,[2]PROYECTOS!$G$1:$K$32,5,0)</f>
        <v>FORTALECIMIENTO_DE_LOS_JUEGOS_DEL_SECTOR_SOCIAL_COMUNITARIO_EN_LOS_MUNICIPIOS_DEL_DEPARTAMENTO_DE_ANTIOQU</v>
      </c>
      <c r="F2290" s="48">
        <f>VLOOKUP(E2290,[2]PROYECTOS!$K$1:$M$32,3,0)</f>
        <v>2020003050033</v>
      </c>
      <c r="G2290" s="49" t="s">
        <v>411</v>
      </c>
      <c r="H2290" s="49" t="str">
        <f>VLOOKUP(Q2290,[2]PROYECTOS!$V$1:$W$32,2,0)</f>
        <v>050057</v>
      </c>
      <c r="I2290" s="78">
        <v>0</v>
      </c>
      <c r="J2290" s="51" t="s">
        <v>452</v>
      </c>
      <c r="K2290" s="47" t="str">
        <f t="shared" ca="1" si="842"/>
        <v>CONTRATADO</v>
      </c>
      <c r="L2290" s="47" t="s">
        <v>42</v>
      </c>
      <c r="M2290" s="47" t="s">
        <v>42</v>
      </c>
      <c r="N2290" s="52" t="s">
        <v>2432</v>
      </c>
      <c r="O2290" s="51" t="e">
        <f>VLOOKUP(N2290,[2]!RUBROS[#All],3,0)</f>
        <v>#REF!</v>
      </c>
      <c r="P2290" s="53" t="e">
        <f>VLOOKUP(N2290,[2]!RUBROS[#All],2,0)</f>
        <v>#REF!</v>
      </c>
      <c r="Q2290" s="47" t="str">
        <f t="shared" si="843"/>
        <v>50</v>
      </c>
      <c r="R2290" s="47" t="str">
        <f t="shared" si="831"/>
        <v>0-101024</v>
      </c>
      <c r="S2290" s="54" t="s">
        <v>2309</v>
      </c>
      <c r="T2290" s="63" t="s">
        <v>46</v>
      </c>
      <c r="U2290" s="326" t="e">
        <f ca="1">_xlfn.XLOOKUP(PAA_4[[#This Row],[ITEM]],[2]Contrato!A:A,[2]Contrato!Q:Q,"",0)</f>
        <v>#NAME?</v>
      </c>
      <c r="V2290" s="47" t="s">
        <v>95</v>
      </c>
      <c r="W2290" s="47" t="s">
        <v>154</v>
      </c>
      <c r="X2290" s="47" t="s">
        <v>154</v>
      </c>
      <c r="Y2290" s="55" t="e">
        <f ca="1">_xlfn.XLOOKUP(PAA_4[[#This Row],[ITEM]],[2]Contrato!A:A,[2]Contrato!B:B,"",0)</f>
        <v>#NAME?</v>
      </c>
      <c r="Z2290" s="47" t="e">
        <f ca="1">_xlfn.XLOOKUP(PAA_4[[#This Row],[ITEM]],[2]Contrato!A:A,[2]Contrato!G:G,"",0)</f>
        <v>#NAME?</v>
      </c>
      <c r="AA2290" s="47" t="e">
        <f ca="1">_xlfn.XLOOKUP(PAA_4[[#This Row],[ITEM]],[2]Contrato!A:A,[2]Contrato!T:T,"",0)</f>
        <v>#NAME?</v>
      </c>
      <c r="AB2290" s="55" t="e">
        <f ca="1">+MAX(PAA_4[[#This Row],[Comprometido Contrato]],PAA_4[[#This Row],[Comprometido Bolsa]])</f>
        <v>#NAME?</v>
      </c>
      <c r="AC2290" s="55" t="str">
        <f t="shared" ca="1" si="844"/>
        <v/>
      </c>
      <c r="AD2290" s="55" t="e">
        <f ca="1">IF(PAA_4[[#This Row],[ESTADO (formulado)]]="NO CONTRATADO",0,MAX(PAA_4[[#This Row],[Pago por Contrato]],PAA_4[[#This Row],[Pago por bolsa]]))</f>
        <v>#NAME?</v>
      </c>
      <c r="AE2290" s="55" t="str">
        <f t="shared" ca="1" si="845"/>
        <v/>
      </c>
      <c r="AF2290" s="47" t="e">
        <f t="shared" ca="1" si="846"/>
        <v>#NAME?</v>
      </c>
      <c r="AG2290" s="47">
        <f t="shared" si="847"/>
        <v>44021010</v>
      </c>
      <c r="AH2290" s="54">
        <f>IF(Q2290="22",IF(ISNUMBER(SEARCH("econ",PAA_4[[#This Row],[Actividad3]])),"Económico",IF(ISNUMBER(SEARCH("alim",PAA_4[[#This Row],[Actividad3]])),"Alimentación",IF(ISNUMBER(SEARCH("educ",PAA_4[[#This Row],[Actividad3]])),"Educativo","Técnico"))),0)</f>
        <v>0</v>
      </c>
      <c r="AI2290" s="47" t="e" cm="1">
        <f t="array" aca="1" ref="AI2290" ca="1">_xlfn.XLOOKUP(PAA_4[[#This Row],[RCP-RUBRO]],[2]!COMPROMISOS_2024[[#All],[concatenado]],[2]!COMPROMISOS_2024[[#All],[Total pagado]],"",0)</f>
        <v>#NAME?</v>
      </c>
      <c r="AJ2290" s="56">
        <f>IF(PAA_4[[#This Row],[BOLSA]]=0,0,SUMIFS([2]!COMPROMISOS_2024[[#All],[Total pagado]],[2]!COMPROMISOS_2024[[#All],[Bolsa]],PAA_4[[#This Row],[BOLSA]],[2]!COMPROMISOS_2024[[#All],[rubro]],PAA_4[[#This Row],[RCP-RUBRO]]))</f>
        <v>0</v>
      </c>
      <c r="AK2290" s="47" t="e" cm="1">
        <f t="array" aca="1" ref="AK2290" ca="1">_xlfn.XLOOKUP(PAA_4[[#This Row],[RCP-RUBRO]],[2]!COMPROMISOS_2024[[#All],[concatenado]],[2]!COMPROMISOS_2024[[#All],[Total Comprometido]],"",0)</f>
        <v>#NAME?</v>
      </c>
      <c r="AL2290" s="47">
        <f>IF(PAA_4[[#This Row],[BOLSA]]=0,0,SUMIFS([2]!COMPROMISOS_2024[[#All],[Total Comprometido]],[2]!COMPROMISOS_2024[[#All],[Bolsa]],PAA_4[[#This Row],[BOLSA]],[2]!COMPROMISOS_2024[[#All],[concatenado]],PAA_4[[#This Row],[RCP-RUBRO]]))</f>
        <v>0</v>
      </c>
    </row>
    <row r="2291" spans="1:38">
      <c r="A2291" s="80"/>
      <c r="B2291" s="80"/>
      <c r="C2291" s="80"/>
      <c r="D2291" s="80"/>
      <c r="E2291" s="81"/>
      <c r="F2291" s="81"/>
      <c r="G2291" s="31"/>
      <c r="H2291" s="82"/>
      <c r="I2291" s="395"/>
      <c r="J2291" s="84"/>
      <c r="K2291" s="80"/>
      <c r="L2291" s="80"/>
      <c r="M2291" s="80"/>
      <c r="N2291" s="85"/>
      <c r="O2291" s="84"/>
      <c r="P2291" s="86"/>
      <c r="Q2291" s="80"/>
      <c r="R2291" s="80"/>
      <c r="T2291" s="19"/>
      <c r="U2291" s="396"/>
      <c r="V2291" s="86"/>
      <c r="W2291" s="86"/>
      <c r="X2291" s="86"/>
      <c r="Y2291" s="88"/>
      <c r="Z2291" s="80"/>
      <c r="AA2291" s="80"/>
      <c r="AB2291" s="88"/>
      <c r="AC2291" s="88"/>
      <c r="AD2291" s="88"/>
      <c r="AE2291" s="88"/>
      <c r="AF2291" s="80"/>
      <c r="AG2291" s="80"/>
    </row>
    <row r="2292" spans="1:38">
      <c r="A2292" s="80"/>
      <c r="B2292" s="80"/>
      <c r="C2292" s="80"/>
      <c r="D2292" s="80"/>
      <c r="E2292" s="81"/>
      <c r="F2292" s="81"/>
      <c r="G2292" s="31"/>
      <c r="H2292" s="82"/>
      <c r="I2292" s="397"/>
      <c r="J2292" s="398"/>
      <c r="K2292" s="80"/>
      <c r="L2292" s="399"/>
      <c r="M2292" s="80"/>
      <c r="N2292" s="85"/>
      <c r="O2292" s="84"/>
      <c r="P2292" s="86"/>
      <c r="Q2292" s="80"/>
      <c r="R2292" s="80"/>
      <c r="T2292" s="19"/>
      <c r="U2292" s="396"/>
      <c r="V2292" s="86"/>
      <c r="W2292" s="86"/>
      <c r="X2292" s="86"/>
      <c r="Y2292" s="88"/>
      <c r="Z2292" s="80"/>
      <c r="AA2292" s="80"/>
      <c r="AB2292" s="88"/>
      <c r="AC2292" s="88"/>
      <c r="AD2292" s="88"/>
      <c r="AE2292" s="88"/>
      <c r="AF2292" s="80"/>
      <c r="AG2292" s="80"/>
    </row>
    <row r="2293" spans="1:38" ht="18" customHeight="1">
      <c r="A2293" s="80"/>
      <c r="B2293" s="80"/>
      <c r="C2293" s="80"/>
      <c r="D2293" s="80"/>
      <c r="E2293" s="81"/>
      <c r="F2293" s="81"/>
      <c r="G2293" s="31"/>
      <c r="H2293" s="82"/>
      <c r="I2293" s="83"/>
      <c r="J2293" s="84"/>
      <c r="K2293" s="80"/>
      <c r="L2293" s="80"/>
      <c r="M2293" s="80"/>
      <c r="N2293" s="85"/>
      <c r="O2293" s="84"/>
      <c r="P2293" s="86"/>
      <c r="Q2293" s="80"/>
      <c r="R2293" s="80"/>
      <c r="T2293" s="19"/>
      <c r="U2293" s="396"/>
      <c r="V2293" s="86"/>
      <c r="W2293" s="86"/>
      <c r="X2293" s="86"/>
      <c r="Y2293" s="88"/>
      <c r="Z2293" s="80"/>
      <c r="AA2293" s="80"/>
      <c r="AB2293" s="88"/>
      <c r="AC2293" s="88"/>
      <c r="AD2293" s="88"/>
      <c r="AE2293" s="88"/>
      <c r="AF2293" s="80"/>
      <c r="AG2293" s="80"/>
    </row>
    <row r="2294" spans="1:38">
      <c r="A2294" s="80"/>
      <c r="B2294" s="80"/>
      <c r="C2294" s="80"/>
      <c r="D2294" s="80"/>
      <c r="E2294" s="81"/>
      <c r="F2294" s="81"/>
      <c r="G2294" s="31"/>
      <c r="H2294" s="82"/>
      <c r="I2294" s="83"/>
      <c r="J2294" s="84"/>
      <c r="K2294" s="80"/>
      <c r="L2294" s="400"/>
      <c r="M2294" s="80"/>
      <c r="N2294" s="85"/>
      <c r="O2294" s="84"/>
      <c r="P2294" s="86"/>
      <c r="Q2294" s="80"/>
      <c r="R2294" s="80"/>
      <c r="T2294" s="19"/>
      <c r="U2294" s="396"/>
      <c r="V2294" s="86"/>
      <c r="W2294" s="86"/>
      <c r="X2294" s="86"/>
      <c r="Y2294" s="88"/>
      <c r="Z2294" s="80"/>
      <c r="AA2294" s="80"/>
      <c r="AB2294" s="88"/>
      <c r="AC2294" s="88"/>
      <c r="AD2294" s="88"/>
      <c r="AE2294" s="88"/>
      <c r="AF2294" s="80"/>
      <c r="AG2294" s="80"/>
    </row>
    <row r="2295" spans="1:38">
      <c r="A2295" s="80"/>
      <c r="B2295" s="80"/>
      <c r="C2295" s="80"/>
      <c r="D2295" s="80"/>
      <c r="E2295" s="81"/>
      <c r="F2295" s="81"/>
      <c r="G2295" s="31"/>
      <c r="H2295" s="82"/>
      <c r="I2295" s="83"/>
      <c r="J2295" s="84"/>
      <c r="K2295" s="80"/>
      <c r="L2295" s="80"/>
      <c r="M2295" s="80"/>
      <c r="N2295" s="85"/>
      <c r="O2295" s="84"/>
      <c r="P2295" s="86"/>
      <c r="Q2295" s="80"/>
      <c r="R2295" s="80"/>
      <c r="T2295" s="19"/>
      <c r="U2295" s="396"/>
      <c r="V2295" s="86"/>
      <c r="W2295" s="86"/>
      <c r="X2295" s="86"/>
      <c r="Y2295" s="88"/>
      <c r="Z2295" s="80"/>
      <c r="AA2295" s="80"/>
      <c r="AB2295" s="88"/>
      <c r="AC2295" s="88"/>
      <c r="AD2295" s="88"/>
      <c r="AE2295" s="88"/>
      <c r="AF2295" s="80"/>
      <c r="AG2295" s="80"/>
    </row>
    <row r="2296" spans="1:38">
      <c r="A2296" s="80"/>
      <c r="B2296" s="80"/>
      <c r="C2296" s="80"/>
      <c r="D2296" s="80"/>
      <c r="E2296" s="81"/>
      <c r="F2296" s="81"/>
      <c r="G2296" s="31"/>
      <c r="H2296" s="82"/>
      <c r="I2296" s="401"/>
      <c r="J2296" s="84"/>
      <c r="K2296" s="80"/>
      <c r="L2296" s="80"/>
      <c r="M2296" s="80"/>
      <c r="N2296" s="85"/>
      <c r="O2296" s="84"/>
      <c r="P2296" s="86"/>
      <c r="Q2296" s="80"/>
      <c r="R2296" s="80"/>
      <c r="T2296" s="19"/>
      <c r="U2296" s="396"/>
      <c r="V2296" s="86"/>
      <c r="W2296" s="86"/>
      <c r="X2296" s="86"/>
      <c r="Y2296" s="88"/>
      <c r="Z2296" s="80"/>
      <c r="AA2296" s="80"/>
      <c r="AB2296" s="88"/>
      <c r="AC2296" s="88"/>
      <c r="AD2296" s="88"/>
      <c r="AE2296" s="88"/>
      <c r="AF2296" s="80"/>
      <c r="AG2296" s="80"/>
    </row>
    <row r="2297" spans="1:38">
      <c r="A2297" s="80"/>
      <c r="B2297" s="80"/>
      <c r="C2297" s="80"/>
      <c r="D2297" s="80"/>
      <c r="E2297" s="81"/>
      <c r="F2297" s="81"/>
      <c r="G2297" s="31"/>
      <c r="H2297" s="82"/>
      <c r="I2297" s="402"/>
      <c r="J2297" s="84"/>
      <c r="K2297" s="80"/>
      <c r="L2297" s="80"/>
      <c r="M2297" s="80"/>
      <c r="N2297" s="85"/>
      <c r="O2297" s="84"/>
      <c r="P2297" s="86"/>
      <c r="Q2297" s="80"/>
      <c r="R2297" s="80"/>
      <c r="T2297" s="19"/>
      <c r="U2297" s="396"/>
      <c r="V2297" s="86"/>
      <c r="W2297" s="86"/>
      <c r="X2297" s="86"/>
      <c r="Y2297" s="88"/>
      <c r="Z2297" s="403"/>
      <c r="AA2297" s="80"/>
      <c r="AB2297" s="88"/>
      <c r="AC2297" s="88"/>
      <c r="AD2297" s="88"/>
      <c r="AE2297" s="88"/>
      <c r="AF2297" s="80"/>
      <c r="AG2297" s="80"/>
    </row>
    <row r="2298" spans="1:38">
      <c r="A2298" s="80"/>
      <c r="B2298" s="80"/>
      <c r="C2298" s="80"/>
      <c r="D2298" s="80"/>
      <c r="E2298" s="81"/>
      <c r="F2298" s="81"/>
      <c r="G2298" s="31"/>
      <c r="H2298" s="82"/>
      <c r="I2298" s="404"/>
      <c r="J2298" s="84"/>
      <c r="K2298" s="80"/>
      <c r="L2298" s="80"/>
      <c r="M2298" s="80"/>
      <c r="N2298" s="85"/>
      <c r="O2298" s="84"/>
      <c r="P2298" s="86"/>
      <c r="Q2298" s="80"/>
      <c r="R2298" s="80"/>
      <c r="T2298" s="19"/>
      <c r="U2298" s="396"/>
      <c r="V2298" s="86"/>
      <c r="W2298" s="86"/>
      <c r="X2298" s="86"/>
      <c r="Y2298" s="88"/>
      <c r="Z2298" s="405"/>
      <c r="AA2298" s="80"/>
      <c r="AB2298" s="88"/>
      <c r="AC2298" s="88"/>
      <c r="AD2298" s="88"/>
      <c r="AE2298" s="88"/>
      <c r="AF2298" s="80"/>
      <c r="AG2298" s="80"/>
    </row>
    <row r="2299" spans="1:38">
      <c r="A2299" s="80"/>
      <c r="B2299" s="80"/>
      <c r="C2299" s="80"/>
      <c r="D2299" s="80"/>
      <c r="E2299" s="81"/>
      <c r="F2299" s="81"/>
      <c r="G2299" s="31"/>
      <c r="H2299" s="82"/>
      <c r="I2299" s="404"/>
      <c r="J2299" s="84"/>
      <c r="K2299" s="80"/>
      <c r="L2299" s="80"/>
      <c r="M2299" s="80"/>
      <c r="N2299" s="85"/>
      <c r="O2299" s="84"/>
      <c r="P2299" s="86"/>
      <c r="Q2299" s="80"/>
      <c r="R2299" s="80"/>
      <c r="T2299" s="19"/>
      <c r="U2299" s="396"/>
      <c r="V2299" s="86"/>
      <c r="W2299" s="86"/>
      <c r="X2299" s="86"/>
      <c r="Y2299" s="88"/>
      <c r="Z2299" s="405"/>
      <c r="AA2299" s="80"/>
      <c r="AB2299" s="88"/>
      <c r="AC2299" s="88"/>
      <c r="AD2299" s="88"/>
      <c r="AE2299" s="88"/>
      <c r="AF2299" s="80"/>
      <c r="AG2299" s="80"/>
    </row>
    <row r="2300" spans="1:38">
      <c r="F2300" s="92" t="s">
        <v>2433</v>
      </c>
    </row>
    <row r="2302" spans="1:38">
      <c r="E2302" s="81"/>
      <c r="F2302" s="81"/>
    </row>
  </sheetData>
  <protectedRanges>
    <protectedRange sqref="J399" name="Rango2_1_16_1_2_1_1"/>
    <protectedRange sqref="J400" name="Rango2_1_16_1_2_1_2"/>
    <protectedRange sqref="J413" name="Rango2_1_16_1_2_1"/>
    <protectedRange sqref="J966:J977 J979 J813:J865 J867:J964" name="Rango2_1_16_1_2_1_3"/>
    <protectedRange sqref="J541" name="Rango2_1_16_1_2_1_4"/>
    <protectedRange sqref="J542" name="Rango2_1_16_1_2_1_5"/>
    <protectedRange sqref="J543" name="Rango2_1_16_1_2_1_6"/>
    <protectedRange sqref="J544" name="Rango2_1_16_1_2_1_7"/>
    <protectedRange sqref="J545" name="Rango2_1_16_1_2_1_8"/>
  </protectedRanges>
  <autoFilter ref="Y2:Y5"/>
  <mergeCells count="1">
    <mergeCell ref="A1:C4"/>
  </mergeCells>
  <dataValidations count="3">
    <dataValidation type="list" allowBlank="1" showInputMessage="1" showErrorMessage="1" sqref="G1756">
      <formula1>"+INDIRECTO($F$6)"</formula1>
    </dataValidation>
    <dataValidation type="list" allowBlank="1" showInputMessage="1" showErrorMessage="1" sqref="G1486:G1488 G176:G221 G2283:G2289 G2107 G1192:G1482 G1503 G1553 G1551 G1813 G1790:G1791 G442:G483 G167:G174 G2019:G2020 G1807:G1810 G546:G695 G2087:G2100 G1061:G1180 G2029:G2040 G2043:G2085 G1500 G509:G540 G280:G414 G231:G276 G6:G165">
      <formula1>INDIRECT(E6)</formula1>
    </dataValidation>
    <dataValidation type="list" allowBlank="1" showInputMessage="1" showErrorMessage="1" sqref="C5">
      <formula1>#REF!</formula1>
    </dataValidation>
  </dataValidations>
  <pageMargins left="0.7" right="0.7" top="0.75" bottom="0.75" header="0.3" footer="0.3"/>
  <pageSetup paperSize="5" scale="88" fitToWidth="0" orientation="landscape"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B945"/>
  <sheetViews>
    <sheetView zoomScale="115" zoomScaleNormal="115" workbookViewId="0">
      <pane xSplit="2" ySplit="1" topLeftCell="C913" activePane="bottomRight" state="frozen"/>
      <selection pane="topRight" activeCell="C1" sqref="C1"/>
      <selection pane="bottomLeft" activeCell="A2" sqref="A2"/>
      <selection pane="bottomRight" activeCell="B918" sqref="B918"/>
    </sheetView>
  </sheetViews>
  <sheetFormatPr baseColWidth="10" defaultColWidth="9.125" defaultRowHeight="34.5" customHeight="1"/>
  <cols>
    <col min="1" max="1" width="12.75" style="151" customWidth="1"/>
    <col min="2" max="2" width="12.75" style="156" customWidth="1"/>
    <col min="3" max="3" width="49.375" style="315" customWidth="1"/>
    <col min="4" max="4" width="31.75" style="189" customWidth="1"/>
    <col min="5" max="5" width="28.25" style="173" customWidth="1"/>
    <col min="6" max="6" width="35" style="189" bestFit="1" customWidth="1"/>
    <col min="7" max="7" width="43.125" style="300" customWidth="1"/>
    <col min="8" max="8" width="17.875" style="151" bestFit="1" customWidth="1"/>
    <col min="9" max="9" width="22.25" style="312" bestFit="1" customWidth="1"/>
    <col min="10" max="10" width="25.25" style="312" customWidth="1"/>
    <col min="11" max="11" width="32.625" style="151" customWidth="1"/>
    <col min="12" max="12" width="11.625" style="316" bestFit="1" customWidth="1"/>
    <col min="13" max="13" width="25.625" style="317" customWidth="1"/>
    <col min="14" max="14" width="18.75" style="318" customWidth="1"/>
    <col min="15" max="15" width="26.875" style="317" customWidth="1"/>
    <col min="16" max="16" width="26" style="319" customWidth="1"/>
    <col min="17" max="17" width="9.125" style="313" customWidth="1"/>
    <col min="18" max="18" width="25.25" style="151" customWidth="1"/>
    <col min="19" max="19" width="20.625" style="312" bestFit="1" customWidth="1"/>
    <col min="20" max="20" width="9.125" style="151" customWidth="1"/>
    <col min="21" max="21" width="19.125" style="152" bestFit="1" customWidth="1"/>
    <col min="22" max="22" width="17.25" style="532" bestFit="1" customWidth="1"/>
    <col min="23" max="23" width="16.875" style="320" bestFit="1" customWidth="1"/>
    <col min="24" max="24" width="22.25" style="173" customWidth="1"/>
    <col min="25" max="25" width="16.625" style="321" bestFit="1" customWidth="1"/>
    <col min="26" max="26" width="19.875" style="209" bestFit="1" customWidth="1"/>
    <col min="27" max="27" width="131.875" style="300" customWidth="1"/>
    <col min="28" max="29" width="9.125" style="173" customWidth="1"/>
    <col min="30" max="30" width="18.25" style="314" customWidth="1"/>
    <col min="31" max="34" width="9.125" style="151" customWidth="1"/>
    <col min="35" max="35" width="20.625" style="152" customWidth="1"/>
    <col min="36" max="36" width="9.125" style="151" customWidth="1"/>
    <col min="37" max="37" width="9.125" style="151"/>
    <col min="38" max="38" width="23.25" style="151" bestFit="1" customWidth="1"/>
    <col min="39" max="39" width="12.75" style="151" customWidth="1"/>
    <col min="40" max="40" width="23.75" style="151" bestFit="1" customWidth="1"/>
    <col min="41" max="16384" width="9.125" style="151"/>
  </cols>
  <sheetData>
    <row r="1" spans="1:43" s="156" customFormat="1" ht="34.5" customHeight="1">
      <c r="A1" s="100" t="s">
        <v>454</v>
      </c>
      <c r="B1" s="101" t="s">
        <v>455</v>
      </c>
      <c r="C1" s="102" t="s">
        <v>456</v>
      </c>
      <c r="D1" s="102" t="s">
        <v>457</v>
      </c>
      <c r="E1" s="102" t="s">
        <v>458</v>
      </c>
      <c r="F1" s="102" t="s">
        <v>459</v>
      </c>
      <c r="G1" s="103" t="s">
        <v>29</v>
      </c>
      <c r="H1" s="104" t="s">
        <v>460</v>
      </c>
      <c r="I1" s="105" t="s">
        <v>461</v>
      </c>
      <c r="J1" s="105" t="s">
        <v>462</v>
      </c>
      <c r="K1" s="106" t="s">
        <v>463</v>
      </c>
      <c r="L1" s="107" t="s">
        <v>464</v>
      </c>
      <c r="M1" s="108" t="s">
        <v>465</v>
      </c>
      <c r="N1" s="108" t="s">
        <v>466</v>
      </c>
      <c r="O1" s="108" t="s">
        <v>467</v>
      </c>
      <c r="P1" s="108" t="s">
        <v>468</v>
      </c>
      <c r="Q1" s="109" t="s">
        <v>469</v>
      </c>
      <c r="R1" s="110" t="s">
        <v>470</v>
      </c>
      <c r="S1" s="111" t="s">
        <v>471</v>
      </c>
      <c r="T1" s="110" t="s">
        <v>472</v>
      </c>
      <c r="U1" s="112" t="s">
        <v>473</v>
      </c>
      <c r="V1" s="113" t="s">
        <v>474</v>
      </c>
      <c r="W1" s="114" t="s">
        <v>475</v>
      </c>
      <c r="X1" s="114" t="s">
        <v>476</v>
      </c>
      <c r="Y1" s="115" t="s">
        <v>477</v>
      </c>
      <c r="Z1" s="408" t="s">
        <v>478</v>
      </c>
      <c r="AA1" s="116" t="s">
        <v>479</v>
      </c>
      <c r="AB1" s="114" t="s">
        <v>480</v>
      </c>
      <c r="AC1" s="114" t="s">
        <v>481</v>
      </c>
      <c r="AD1" s="117" t="s">
        <v>482</v>
      </c>
      <c r="AE1" s="118" t="s">
        <v>483</v>
      </c>
      <c r="AF1" s="119" t="s">
        <v>484</v>
      </c>
      <c r="AG1" s="120" t="s">
        <v>485</v>
      </c>
      <c r="AH1" s="121" t="s">
        <v>486</v>
      </c>
      <c r="AI1" s="122" t="s">
        <v>487</v>
      </c>
      <c r="AJ1" s="122" t="s">
        <v>488</v>
      </c>
      <c r="AK1" s="122" t="s">
        <v>489</v>
      </c>
      <c r="AL1" s="123" t="s">
        <v>490</v>
      </c>
      <c r="AM1" s="123" t="s">
        <v>491</v>
      </c>
      <c r="AN1" s="121" t="s">
        <v>492</v>
      </c>
      <c r="AO1" s="123" t="s">
        <v>2434</v>
      </c>
      <c r="AP1" s="123" t="s">
        <v>2435</v>
      </c>
      <c r="AQ1" s="409" t="s">
        <v>2436</v>
      </c>
    </row>
    <row r="2" spans="1:43" s="156" customFormat="1" ht="34.5" customHeight="1">
      <c r="A2" s="125">
        <v>35</v>
      </c>
      <c r="B2" s="124">
        <v>5522020</v>
      </c>
      <c r="C2" s="162" t="s">
        <v>2437</v>
      </c>
      <c r="D2" s="126" t="s">
        <v>493</v>
      </c>
      <c r="E2" s="127" t="s">
        <v>78</v>
      </c>
      <c r="F2" s="157" t="s">
        <v>494</v>
      </c>
      <c r="G2" s="159" t="s">
        <v>495</v>
      </c>
      <c r="H2" s="410">
        <v>890984761</v>
      </c>
      <c r="I2" s="411" t="s">
        <v>42</v>
      </c>
      <c r="J2" s="412">
        <v>364613158</v>
      </c>
      <c r="K2" s="413" t="s">
        <v>2438</v>
      </c>
      <c r="L2" s="414" t="s">
        <v>496</v>
      </c>
      <c r="M2" s="134" t="s">
        <v>497</v>
      </c>
      <c r="N2" s="133" t="e" cm="1">
        <f t="array" aca="1" ref="N2" ca="1">_xlfn.XLOOKUP(Contrato5[[#This Row],[SUPERVISOR TITULAR]],[2]!PERSONAL_ACTIVO_2024[[#All],[Nombre completo]],[2]!PERSONAL_ACTIVO_2024[[#All],[Documento identidad]],"",0)</f>
        <v>#NAME?</v>
      </c>
      <c r="O2" s="134" t="s">
        <v>498</v>
      </c>
      <c r="P2" s="135" t="e" cm="1">
        <f t="array" aca="1" ref="P2" ca="1">_xlfn.XLOOKUP(Contrato5[[#This Row],[SUPERVISOR SUPLENTE ]],[2]!PERSONAL_ACTIVO_2024[[#All],[Nombre completo]],[2]!PERSONAL_ACTIVO_2024[[#All],[Documento identidad]],"",0)</f>
        <v>#NAME?</v>
      </c>
      <c r="Q2" s="136">
        <v>309</v>
      </c>
      <c r="R2" s="137" t="e" cm="1">
        <f t="array" aca="1" ref="R2" ca="1">_xlfn.XLOOKUP(Contrato5[[#This Row],[CDP]],[2]!DISPONIBILIDADES_2024[[#All],[consecutivo]],[2]!DISPONIBILIDADES_2024[[#All],[fecha_aprobacion]],"",0)</f>
        <v>#NAME?</v>
      </c>
      <c r="S2" s="138" t="e">
        <f>SUMIF([2]!DISPONIBILIDADES_2024[[#All],[consecutivo]],Contrato5[[#This Row],[CDP]],[2]!DISPONIBILIDADES_2024[[#All],[valor_total_rubro]])</f>
        <v>#REF!</v>
      </c>
      <c r="T2" s="139" t="e" cm="1">
        <f t="array" aca="1" ref="T2" ca="1">_xlfn.XLOOKUP(Contrato5[[#This Row],[CONTRATO]]&amp;Contrato5[[#This Row],[CDP]],[2]!Corr_Contr_CDP[[#All],[CONTRATO-CDP]],[2]!Corr_Contr_CDP[[#All],[CRP]],_xlfn.XLOOKUP(Contrato5[[#This Row],[CDP]],[2]!COMPROMISOS_2024[[#All],[disponibilidad]],[2]!COMPROMISOS_2024[[#All],[consecutivo]],"",0),0)</f>
        <v>#NAME?</v>
      </c>
      <c r="U2" s="140" t="e" cm="1">
        <f t="array" aca="1" ref="U2" ca="1">+_xlfn.XLOOKUP(Contrato5[[#This Row],[RCP]],[2]!COMPROMISOS_2024[[#All],[consecutivo]],[2]!COMPROMISOS_2024[[#All],[fecha_aprobacion]],"",0)</f>
        <v>#NAME?</v>
      </c>
      <c r="V2" s="141" t="e">
        <f ca="1">SUMIF([2]!COMPROMISOS_2024[[#All],[consecutivo]],Contrato5[[#This Row],[RCP]],[2]!COMPROMISOS_2024[[#All],[valor_total]])</f>
        <v>#REF!</v>
      </c>
      <c r="W2" s="415">
        <v>44699</v>
      </c>
      <c r="X2" s="415">
        <v>44708</v>
      </c>
      <c r="Y2" s="143">
        <v>44699</v>
      </c>
      <c r="Z2" s="262">
        <v>44926</v>
      </c>
      <c r="AA2" s="416" t="s">
        <v>2439</v>
      </c>
      <c r="AB2" s="142" t="s">
        <v>2440</v>
      </c>
      <c r="AC2" s="145"/>
      <c r="AD2" s="146"/>
      <c r="AE2" s="147" t="s">
        <v>2441</v>
      </c>
      <c r="AF2" s="148" t="str">
        <f>TEXT(LEFT(Contrato5[[#This Row],[CONTRATO]],3),"0")</f>
        <v>552</v>
      </c>
      <c r="AG2" s="148" t="str">
        <f>IF(LEN(Contrato5[[#This Row],[Contrato2]])=3,Contrato5[[#This Row],[Contrato2]],TEXT(Contrato5[[#This Row],[Contrato2]],"000"))</f>
        <v>552</v>
      </c>
      <c r="AH2" s="149">
        <f ca="1">IFERROR(_xlfn.DAYS(Contrato5[[#This Row],[Fecha Proyectada liquidación]],TODAY())/30,"")</f>
        <v>-23.733333333333334</v>
      </c>
      <c r="AI2" s="150">
        <f>+Contrato5[[#This Row],[FECHA TERMINACIÓN ]]+120</f>
        <v>45046</v>
      </c>
      <c r="AJ2" s="151"/>
      <c r="AK2" s="152" t="str">
        <f ca="1">IF(Contrato5[[#This Row],[FECHA TERMINACIÓN ]]&lt;TODAY(), "Terminado",IF(ISNUMBER(Contrato5[[#This Row],[Fecha Real de liquiidación ]]),"Liquidado",IF(Contrato5[[#This Row],[FECHA TERMINACIÓN ]]&gt;=TODAY(),"En ejecución","")))</f>
        <v>Terminado</v>
      </c>
      <c r="AL2" s="153" t="e">
        <f ca="1">SUMIF([2]!COMPROMISOS_2024[[#All],[consecutivo]],Contrato5[[#This Row],[RCP]],[2]!COMPROMISOS_2024[[#All],[Total pagado]])</f>
        <v>#REF!</v>
      </c>
      <c r="AM2" s="154">
        <f ca="1">IFERROR(Contrato5[[#This Row],[Pagos]]/Contrato5[[#This Row],[VALOR CONTRATO]],0)</f>
        <v>0</v>
      </c>
      <c r="AN2" s="155" t="e">
        <f ca="1">+Contrato5[[#This Row],[VALOR CONTRATO]]-Contrato5[[#This Row],[Pagos]]</f>
        <v>#REF!</v>
      </c>
      <c r="AO2" s="156" t="e" cm="1">
        <f t="array" aca="1" ref="AO2" ca="1">_xlfn.XLOOKUP(Contrato5[[#This Row],[DOCUMENTO ]],[2]!PERSONAL_ACTIVO_2024[[#All],[Documento identidad]],[2]!PERSONAL_ACTIVO_2024[[#All],[Mail ]],0,0)</f>
        <v>#NAME?</v>
      </c>
      <c r="AP2" s="156" t="e" cm="1">
        <f t="array" aca="1" ref="AP2" ca="1">_xlfn.XLOOKUP(Contrato5[[#This Row],[DOCUMENTO]],[2]!PERSONAL_ACTIVO_2024[[#All],[Documento identidad]],[2]!PERSONAL_ACTIVO_2024[[#All],[Mail ]],0,0)</f>
        <v>#NAME?</v>
      </c>
      <c r="AQ2" s="156" cm="1">
        <f t="array" aca="1" ref="AQ2" ca="1">IF(ISBLANK(Contrato5[[#This Row],[DEPENDENCIA ]]),0,IFERROR(_xlfn.XLOOKUP(Contrato5[[#This Row],[DEPENDENCIA ]],[2]!PERSONAL_ACTIVO_2024[[#All],[Dependencia]],[2]!PERSONAL_ACTIVO_2024[[#All],[Mail ]],0,0),0))</f>
        <v>0</v>
      </c>
    </row>
    <row r="3" spans="1:43" s="156" customFormat="1" ht="34.5" customHeight="1">
      <c r="A3" s="147">
        <v>790</v>
      </c>
      <c r="B3" s="124">
        <v>5522020</v>
      </c>
      <c r="C3" s="162" t="s">
        <v>1386</v>
      </c>
      <c r="D3" s="126" t="s">
        <v>493</v>
      </c>
      <c r="E3" s="127" t="s">
        <v>78</v>
      </c>
      <c r="F3" s="128" t="s">
        <v>494</v>
      </c>
      <c r="G3" s="129" t="s">
        <v>495</v>
      </c>
      <c r="H3" s="417">
        <v>890984761</v>
      </c>
      <c r="I3" s="418" t="s">
        <v>42</v>
      </c>
      <c r="J3" s="419">
        <v>441507417</v>
      </c>
      <c r="K3" s="131" t="s">
        <v>2442</v>
      </c>
      <c r="L3" s="420" t="s">
        <v>2443</v>
      </c>
      <c r="M3" s="134" t="s">
        <v>498</v>
      </c>
      <c r="N3" s="133" t="e" cm="1">
        <f t="array" aca="1" ref="N3" ca="1">_xlfn.XLOOKUP(Contrato5[[#This Row],[SUPERVISOR TITULAR]],[2]!PERSONAL_ACTIVO_2024[[#All],[Nombre completo]],[2]!PERSONAL_ACTIVO_2024[[#All],[Documento identidad]],"",0)</f>
        <v>#NAME?</v>
      </c>
      <c r="O3" s="134" t="s">
        <v>497</v>
      </c>
      <c r="P3" s="135" t="e" cm="1">
        <f t="array" aca="1" ref="P3" ca="1">_xlfn.XLOOKUP(Contrato5[[#This Row],[SUPERVISOR SUPLENTE ]],[2]!PERSONAL_ACTIVO_2024[[#All],[Nombre completo]],[2]!PERSONAL_ACTIVO_2024[[#All],[Documento identidad]],"",0)</f>
        <v>#NAME?</v>
      </c>
      <c r="Q3" s="136">
        <v>577</v>
      </c>
      <c r="R3" s="137" t="e" cm="1">
        <f t="array" aca="1" ref="R3" ca="1">_xlfn.XLOOKUP(Contrato5[[#This Row],[CDP]],[2]!DISPONIBILIDADES_2024[[#All],[consecutivo]],[2]!DISPONIBILIDADES_2024[[#All],[fecha_aprobacion]],"",0)</f>
        <v>#NAME?</v>
      </c>
      <c r="S3" s="138" t="e">
        <f>SUMIF([2]!DISPONIBILIDADES_2024[[#All],[consecutivo]],Contrato5[[#This Row],[CDP]],[2]!DISPONIBILIDADES_2024[[#All],[valor_total_rubro]])</f>
        <v>#REF!</v>
      </c>
      <c r="T3" s="139" t="e" cm="1">
        <f t="array" aca="1" ref="T3" ca="1">_xlfn.XLOOKUP(Contrato5[[#This Row],[CONTRATO]]&amp;Contrato5[[#This Row],[CDP]],[2]!Corr_Contr_CDP[[#All],[CONTRATO-CDP]],[2]!Corr_Contr_CDP[[#All],[CRP]],_xlfn.XLOOKUP(Contrato5[[#This Row],[CDP]],[2]!COMPROMISOS_2024[[#All],[disponibilidad]],[2]!COMPROMISOS_2024[[#All],[consecutivo]],"",0),0)</f>
        <v>#NAME?</v>
      </c>
      <c r="U3" s="140" t="e" cm="1">
        <f t="array" aca="1" ref="U3" ca="1">+_xlfn.XLOOKUP(Contrato5[[#This Row],[RCP]],[2]!COMPROMISOS_2024[[#All],[consecutivo]],[2]!COMPROMISOS_2024[[#All],[fecha_aprobacion]],"",0)</f>
        <v>#NAME?</v>
      </c>
      <c r="V3" s="141" t="e">
        <f ca="1">SUMIF([2]!COMPROMISOS_2024[[#All],[consecutivo]],Contrato5[[#This Row],[RCP]],[2]!COMPROMISOS_2024[[#All],[valor_total]])</f>
        <v>#REF!</v>
      </c>
      <c r="W3" s="415">
        <v>45483</v>
      </c>
      <c r="X3" s="415">
        <v>45488</v>
      </c>
      <c r="Y3" s="143">
        <v>45488</v>
      </c>
      <c r="Z3" s="262">
        <v>45626</v>
      </c>
      <c r="AA3" s="144"/>
      <c r="AB3" s="142" t="s">
        <v>2444</v>
      </c>
      <c r="AC3" s="145"/>
      <c r="AD3" s="421"/>
      <c r="AE3" s="147" t="s">
        <v>2441</v>
      </c>
      <c r="AF3" s="148" t="str">
        <f>TEXT(LEFT(Contrato5[[#This Row],[CONTRATO]],3),"0")</f>
        <v>552</v>
      </c>
      <c r="AG3" s="148" t="str">
        <f>IF(LEN(Contrato5[[#This Row],[Contrato2]])=3,Contrato5[[#This Row],[Contrato2]],TEXT(Contrato5[[#This Row],[Contrato2]],"000"))</f>
        <v>552</v>
      </c>
      <c r="AH3" s="149">
        <f ca="1">IFERROR(_xlfn.DAYS(Contrato5[[#This Row],[Fecha Proyectada liquidación]],TODAY())/30,"")</f>
        <v>-0.4</v>
      </c>
      <c r="AI3" s="150">
        <f>+Contrato5[[#This Row],[FECHA TERMINACIÓN ]]+120</f>
        <v>45746</v>
      </c>
      <c r="AJ3" s="151"/>
      <c r="AK3" s="152" t="str">
        <f ca="1">IF(Contrato5[[#This Row],[FECHA TERMINACIÓN ]]&lt;TODAY(), "Terminado",IF(ISNUMBER(Contrato5[[#This Row],[Fecha Real de liquiidación ]]),"Liquidado",IF(Contrato5[[#This Row],[FECHA TERMINACIÓN ]]&gt;=TODAY(),"En ejecución","")))</f>
        <v>Terminado</v>
      </c>
      <c r="AL3" s="153" t="e">
        <f ca="1">SUMIF([2]!COMPROMISOS_2024[[#All],[consecutivo]],Contrato5[[#This Row],[RCP]],[2]!COMPROMISOS_2024[[#All],[Total pagado]])</f>
        <v>#REF!</v>
      </c>
      <c r="AM3" s="154">
        <f ca="1">IFERROR(Contrato5[[#This Row],[Pagos]]/Contrato5[[#This Row],[VALOR CONTRATO]],0)</f>
        <v>0</v>
      </c>
      <c r="AN3" s="155" t="e">
        <f ca="1">+Contrato5[[#This Row],[VALOR CONTRATO]]-Contrato5[[#This Row],[Pagos]]</f>
        <v>#REF!</v>
      </c>
      <c r="AO3" s="156" t="e" cm="1">
        <f t="array" aca="1" ref="AO3" ca="1">_xlfn.XLOOKUP(Contrato5[[#This Row],[DOCUMENTO ]],[2]!PERSONAL_ACTIVO_2024[[#All],[Documento identidad]],[2]!PERSONAL_ACTIVO_2024[[#All],[Mail ]],0,0)</f>
        <v>#NAME?</v>
      </c>
      <c r="AP3" s="156" t="e" cm="1">
        <f t="array" aca="1" ref="AP3" ca="1">_xlfn.XLOOKUP(Contrato5[[#This Row],[DOCUMENTO]],[2]!PERSONAL_ACTIVO_2024[[#All],[Documento identidad]],[2]!PERSONAL_ACTIVO_2024[[#All],[Mail ]],0,0)</f>
        <v>#NAME?</v>
      </c>
      <c r="AQ3" s="156" cm="1">
        <f t="array" aca="1" ref="AQ3" ca="1">IF(ISBLANK(Contrato5[[#This Row],[DEPENDENCIA ]]),0,IFERROR(_xlfn.XLOOKUP(Contrato5[[#This Row],[DEPENDENCIA ]],[2]!PERSONAL_ACTIVO_2024[[#All],[Dependencia]],[2]!PERSONAL_ACTIVO_2024[[#All],[Mail ]],0,0),0))</f>
        <v>0</v>
      </c>
    </row>
    <row r="4" spans="1:43" s="156" customFormat="1" ht="34.5" customHeight="1">
      <c r="A4" s="147">
        <v>1262</v>
      </c>
      <c r="B4" s="124">
        <v>5522020</v>
      </c>
      <c r="C4" s="162" t="s">
        <v>1282</v>
      </c>
      <c r="D4" s="126" t="s">
        <v>493</v>
      </c>
      <c r="E4" s="127" t="s">
        <v>78</v>
      </c>
      <c r="F4" s="128" t="s">
        <v>494</v>
      </c>
      <c r="G4" s="129" t="s">
        <v>495</v>
      </c>
      <c r="H4" s="417">
        <v>890984761</v>
      </c>
      <c r="I4" s="418" t="s">
        <v>42</v>
      </c>
      <c r="J4" s="130">
        <v>97372909</v>
      </c>
      <c r="K4" s="147"/>
      <c r="L4" s="132" t="s">
        <v>2445</v>
      </c>
      <c r="M4" s="134" t="s">
        <v>498</v>
      </c>
      <c r="N4" s="133" t="e" cm="1">
        <f t="array" aca="1" ref="N4" ca="1">_xlfn.XLOOKUP(Contrato5[[#This Row],[SUPERVISOR TITULAR]],[2]!PERSONAL_ACTIVO_2024[[#All],[Nombre completo]],[2]!PERSONAL_ACTIVO_2024[[#All],[Documento identidad]],"",0)</f>
        <v>#NAME?</v>
      </c>
      <c r="O4" s="134" t="s">
        <v>497</v>
      </c>
      <c r="P4" s="135" t="e" cm="1">
        <f t="array" aca="1" ref="P4" ca="1">_xlfn.XLOOKUP(Contrato5[[#This Row],[SUPERVISOR SUPLENTE ]],[2]!PERSONAL_ACTIVO_2024[[#All],[Nombre completo]],[2]!PERSONAL_ACTIVO_2024[[#All],[Documento identidad]],"",0)</f>
        <v>#NAME?</v>
      </c>
      <c r="Q4" s="136">
        <v>1150</v>
      </c>
      <c r="R4" s="137" t="e" cm="1">
        <f t="array" aca="1" ref="R4" ca="1">_xlfn.XLOOKUP(Contrato5[[#This Row],[CDP]],[2]!DISPONIBILIDADES_2024[[#All],[consecutivo]],[2]!DISPONIBILIDADES_2024[[#All],[fecha_aprobacion]],"",0)</f>
        <v>#NAME?</v>
      </c>
      <c r="S4" s="138" t="e">
        <f>SUMIF([2]!DISPONIBILIDADES_2024[[#All],[consecutivo]],Contrato5[[#This Row],[CDP]],[2]!DISPONIBILIDADES_2024[[#All],[valor_total_rubro]])</f>
        <v>#REF!</v>
      </c>
      <c r="T4" s="139" t="e" cm="1">
        <f t="array" aca="1" ref="T4" ca="1">_xlfn.XLOOKUP(Contrato5[[#This Row],[CONTRATO]]&amp;Contrato5[[#This Row],[CDP]],[2]!Corr_Contr_CDP[[#All],[CONTRATO-CDP]],[2]!Corr_Contr_CDP[[#All],[CRP]],_xlfn.XLOOKUP(Contrato5[[#This Row],[CDP]],[2]!COMPROMISOS_2024[[#All],[disponibilidad]],[2]!COMPROMISOS_2024[[#All],[consecutivo]],"",0),0)</f>
        <v>#NAME?</v>
      </c>
      <c r="U4" s="140" t="e" cm="1">
        <f t="array" aca="1" ref="U4" ca="1">+_xlfn.XLOOKUP(Contrato5[[#This Row],[RCP]],[2]!COMPROMISOS_2024[[#All],[consecutivo]],[2]!COMPROMISOS_2024[[#All],[fecha_aprobacion]],"",0)</f>
        <v>#NAME?</v>
      </c>
      <c r="V4" s="141" t="e">
        <f ca="1">SUMIF([2]!COMPROMISOS_2024[[#All],[consecutivo]],Contrato5[[#This Row],[RCP]],[2]!COMPROMISOS_2024[[#All],[valor_total]])</f>
        <v>#REF!</v>
      </c>
      <c r="W4" s="422"/>
      <c r="X4" s="415"/>
      <c r="Y4" s="143">
        <v>45642</v>
      </c>
      <c r="Z4" s="262">
        <v>45657</v>
      </c>
      <c r="AA4" s="144"/>
      <c r="AB4" s="142" t="s">
        <v>2446</v>
      </c>
      <c r="AC4" s="145"/>
      <c r="AD4" s="421"/>
      <c r="AE4" s="147" t="s">
        <v>2441</v>
      </c>
      <c r="AF4" s="148" t="str">
        <f>TEXT(LEFT(Contrato5[[#This Row],[CONTRATO]],3),"0")</f>
        <v>552</v>
      </c>
      <c r="AG4" s="148" t="str">
        <f>IF(LEN(Contrato5[[#This Row],[Contrato2]])=3,Contrato5[[#This Row],[Contrato2]],TEXT(Contrato5[[#This Row],[Contrato2]],"000"))</f>
        <v>552</v>
      </c>
      <c r="AH4" s="149">
        <f ca="1">IFERROR(_xlfn.DAYS(Contrato5[[#This Row],[Fecha Proyectada liquidación]],TODAY())/30,"")</f>
        <v>0.6333333333333333</v>
      </c>
      <c r="AI4" s="150">
        <f>+Contrato5[[#This Row],[FECHA TERMINACIÓN ]]+120</f>
        <v>45777</v>
      </c>
      <c r="AJ4" s="151"/>
      <c r="AK4" s="152" t="str">
        <f ca="1">IF(Contrato5[[#This Row],[FECHA TERMINACIÓN ]]&lt;TODAY(), "Terminado",IF(ISNUMBER(Contrato5[[#This Row],[Fecha Real de liquiidación ]]),"Liquidado",IF(Contrato5[[#This Row],[FECHA TERMINACIÓN ]]&gt;=TODAY(),"En ejecución","")))</f>
        <v>Terminado</v>
      </c>
      <c r="AL4" s="153" t="e">
        <f ca="1">SUMIF([2]!COMPROMISOS_2024[[#All],[consecutivo]],Contrato5[[#This Row],[RCP]],[2]!COMPROMISOS_2024[[#All],[Total pagado]])</f>
        <v>#REF!</v>
      </c>
      <c r="AM4" s="154">
        <f ca="1">IFERROR(Contrato5[[#This Row],[Pagos]]/Contrato5[[#This Row],[VALOR CONTRATO]],0)</f>
        <v>0</v>
      </c>
      <c r="AN4" s="155" t="e">
        <f ca="1">+Contrato5[[#This Row],[VALOR CONTRATO]]-Contrato5[[#This Row],[Pagos]]</f>
        <v>#REF!</v>
      </c>
      <c r="AO4" s="156" t="e" cm="1">
        <f t="array" aca="1" ref="AO4" ca="1">_xlfn.XLOOKUP(Contrato5[[#This Row],[DOCUMENTO ]],[2]!PERSONAL_ACTIVO_2024[[#All],[Documento identidad]],[2]!PERSONAL_ACTIVO_2024[[#All],[Mail ]],0,0)</f>
        <v>#NAME?</v>
      </c>
      <c r="AP4" s="156" t="e" cm="1">
        <f t="array" aca="1" ref="AP4" ca="1">_xlfn.XLOOKUP(Contrato5[[#This Row],[DOCUMENTO]],[2]!PERSONAL_ACTIVO_2024[[#All],[Documento identidad]],[2]!PERSONAL_ACTIVO_2024[[#All],[Mail ]],0,0)</f>
        <v>#NAME?</v>
      </c>
      <c r="AQ4" s="156" cm="1">
        <f t="array" aca="1" ref="AQ4" ca="1">IF(ISBLANK(Contrato5[[#This Row],[DEPENDENCIA ]]),0,IFERROR(_xlfn.XLOOKUP(Contrato5[[#This Row],[DEPENDENCIA ]],[2]!PERSONAL_ACTIVO_2024[[#All],[Dependencia]],[2]!PERSONAL_ACTIVO_2024[[#All],[Mail ]],0,0),0))</f>
        <v>0</v>
      </c>
    </row>
    <row r="5" spans="1:43" s="156" customFormat="1" ht="34.5" customHeight="1">
      <c r="A5" s="147" t="s">
        <v>1324</v>
      </c>
      <c r="B5" s="124">
        <v>5522020</v>
      </c>
      <c r="C5" s="162" t="s">
        <v>1282</v>
      </c>
      <c r="D5" s="126" t="s">
        <v>493</v>
      </c>
      <c r="E5" s="127" t="s">
        <v>78</v>
      </c>
      <c r="F5" s="128" t="s">
        <v>494</v>
      </c>
      <c r="G5" s="129" t="s">
        <v>495</v>
      </c>
      <c r="H5" s="417">
        <v>890984761</v>
      </c>
      <c r="I5" s="418" t="s">
        <v>42</v>
      </c>
      <c r="J5" s="130">
        <v>27820832</v>
      </c>
      <c r="K5" s="147"/>
      <c r="L5" s="132" t="s">
        <v>2445</v>
      </c>
      <c r="M5" s="134" t="s">
        <v>498</v>
      </c>
      <c r="N5" s="133" t="e" cm="1">
        <f t="array" aca="1" ref="N5" ca="1">_xlfn.XLOOKUP(Contrato5[[#This Row],[SUPERVISOR TITULAR]],[2]!PERSONAL_ACTIVO_2024[[#All],[Nombre completo]],[2]!PERSONAL_ACTIVO_2024[[#All],[Documento identidad]],"",0)</f>
        <v>#NAME?</v>
      </c>
      <c r="O5" s="134" t="s">
        <v>497</v>
      </c>
      <c r="P5" s="135" t="e" cm="1">
        <f t="array" aca="1" ref="P5" ca="1">_xlfn.XLOOKUP(Contrato5[[#This Row],[SUPERVISOR SUPLENTE ]],[2]!PERSONAL_ACTIVO_2024[[#All],[Nombre completo]],[2]!PERSONAL_ACTIVO_2024[[#All],[Documento identidad]],"",0)</f>
        <v>#NAME?</v>
      </c>
      <c r="Q5" s="136">
        <v>1168</v>
      </c>
      <c r="R5" s="137" t="e" cm="1">
        <f t="array" aca="1" ref="R5" ca="1">_xlfn.XLOOKUP(Contrato5[[#This Row],[CDP]],[2]!DISPONIBILIDADES_2024[[#All],[consecutivo]],[2]!DISPONIBILIDADES_2024[[#All],[fecha_aprobacion]],"",0)</f>
        <v>#NAME?</v>
      </c>
      <c r="S5" s="138" t="e">
        <f>SUMIF([2]!DISPONIBILIDADES_2024[[#All],[consecutivo]],Contrato5[[#This Row],[CDP]],[2]!DISPONIBILIDADES_2024[[#All],[valor_total_rubro]])</f>
        <v>#REF!</v>
      </c>
      <c r="T5" s="139" t="e" cm="1">
        <f t="array" aca="1" ref="T5" ca="1">_xlfn.XLOOKUP(Contrato5[[#This Row],[CONTRATO]]&amp;Contrato5[[#This Row],[CDP]],[2]!Corr_Contr_CDP[[#All],[CONTRATO-CDP]],[2]!Corr_Contr_CDP[[#All],[CRP]],_xlfn.XLOOKUP(Contrato5[[#This Row],[CDP]],[2]!COMPROMISOS_2024[[#All],[disponibilidad]],[2]!COMPROMISOS_2024[[#All],[consecutivo]],"",0),0)</f>
        <v>#NAME?</v>
      </c>
      <c r="U5" s="140" t="e" cm="1">
        <f t="array" aca="1" ref="U5" ca="1">+_xlfn.XLOOKUP(Contrato5[[#This Row],[RCP]],[2]!COMPROMISOS_2024[[#All],[consecutivo]],[2]!COMPROMISOS_2024[[#All],[fecha_aprobacion]],"",0)</f>
        <v>#NAME?</v>
      </c>
      <c r="V5" s="141" t="e">
        <f ca="1">SUMIF([2]!COMPROMISOS_2024[[#All],[consecutivo]],Contrato5[[#This Row],[RCP]],[2]!COMPROMISOS_2024[[#All],[valor_total]])</f>
        <v>#REF!</v>
      </c>
      <c r="W5" s="422"/>
      <c r="X5" s="415"/>
      <c r="Y5" s="143">
        <v>45642</v>
      </c>
      <c r="Z5" s="262">
        <v>45657</v>
      </c>
      <c r="AA5" s="144"/>
      <c r="AB5" s="142" t="s">
        <v>2446</v>
      </c>
      <c r="AC5" s="145"/>
      <c r="AD5" s="421"/>
      <c r="AE5" s="147" t="s">
        <v>2441</v>
      </c>
      <c r="AF5" s="148" t="str">
        <f>TEXT(LEFT(Contrato5[[#This Row],[CONTRATO]],3),"0")</f>
        <v>552</v>
      </c>
      <c r="AG5" s="148" t="str">
        <f>IF(LEN(Contrato5[[#This Row],[Contrato2]])=3,Contrato5[[#This Row],[Contrato2]],TEXT(Contrato5[[#This Row],[Contrato2]],"000"))</f>
        <v>552</v>
      </c>
      <c r="AH5" s="149">
        <f ca="1">IFERROR(_xlfn.DAYS(Contrato5[[#This Row],[Fecha Proyectada liquidación]],TODAY())/30,"")</f>
        <v>0.6333333333333333</v>
      </c>
      <c r="AI5" s="150">
        <f>+Contrato5[[#This Row],[FECHA TERMINACIÓN ]]+120</f>
        <v>45777</v>
      </c>
      <c r="AJ5" s="151"/>
      <c r="AK5" s="152" t="str">
        <f ca="1">IF(Contrato5[[#This Row],[FECHA TERMINACIÓN ]]&lt;TODAY(), "Terminado",IF(ISNUMBER(Contrato5[[#This Row],[Fecha Real de liquiidación ]]),"Liquidado",IF(Contrato5[[#This Row],[FECHA TERMINACIÓN ]]&gt;=TODAY(),"En ejecución","")))</f>
        <v>Terminado</v>
      </c>
      <c r="AL5" s="153" t="e">
        <f ca="1">SUMIF([2]!COMPROMISOS_2024[[#All],[consecutivo]],Contrato5[[#This Row],[RCP]],[2]!COMPROMISOS_2024[[#All],[Total pagado]])</f>
        <v>#REF!</v>
      </c>
      <c r="AM5" s="154">
        <f ca="1">IFERROR(Contrato5[[#This Row],[Pagos]]/Contrato5[[#This Row],[VALOR CONTRATO]],0)</f>
        <v>0</v>
      </c>
      <c r="AN5" s="155" t="e">
        <f ca="1">+Contrato5[[#This Row],[VALOR CONTRATO]]-Contrato5[[#This Row],[Pagos]]</f>
        <v>#REF!</v>
      </c>
      <c r="AO5" s="156" t="e" cm="1">
        <f t="array" aca="1" ref="AO5" ca="1">_xlfn.XLOOKUP(Contrato5[[#This Row],[DOCUMENTO ]],[2]!PERSONAL_ACTIVO_2024[[#All],[Documento identidad]],[2]!PERSONAL_ACTIVO_2024[[#All],[Mail ]],0,0)</f>
        <v>#NAME?</v>
      </c>
      <c r="AP5" s="156" t="e" cm="1">
        <f t="array" aca="1" ref="AP5" ca="1">_xlfn.XLOOKUP(Contrato5[[#This Row],[DOCUMENTO]],[2]!PERSONAL_ACTIVO_2024[[#All],[Documento identidad]],[2]!PERSONAL_ACTIVO_2024[[#All],[Mail ]],0,0)</f>
        <v>#NAME?</v>
      </c>
      <c r="AQ5" s="156" cm="1">
        <f t="array" aca="1" ref="AQ5" ca="1">IF(ISBLANK(Contrato5[[#This Row],[DEPENDENCIA ]]),0,IFERROR(_xlfn.XLOOKUP(Contrato5[[#This Row],[DEPENDENCIA ]],[2]!PERSONAL_ACTIVO_2024[[#All],[Dependencia]],[2]!PERSONAL_ACTIVO_2024[[#All],[Mail ]],0,0),0))</f>
        <v>0</v>
      </c>
    </row>
    <row r="6" spans="1:43" s="156" customFormat="1" ht="34.5" customHeight="1">
      <c r="A6" s="125">
        <v>588</v>
      </c>
      <c r="B6" s="124">
        <v>4422021</v>
      </c>
      <c r="C6" s="162" t="s">
        <v>2447</v>
      </c>
      <c r="D6" s="126" t="s">
        <v>493</v>
      </c>
      <c r="E6" s="127" t="s">
        <v>78</v>
      </c>
      <c r="F6" s="157" t="s">
        <v>494</v>
      </c>
      <c r="G6" s="159" t="s">
        <v>499</v>
      </c>
      <c r="H6" s="410">
        <v>811044253</v>
      </c>
      <c r="I6" s="411" t="s">
        <v>42</v>
      </c>
      <c r="J6" s="412">
        <v>90224532</v>
      </c>
      <c r="K6" s="413" t="s">
        <v>2448</v>
      </c>
      <c r="L6" s="414" t="s">
        <v>496</v>
      </c>
      <c r="M6" s="134" t="s">
        <v>497</v>
      </c>
      <c r="N6" s="133" t="e" cm="1">
        <f t="array" aca="1" ref="N6" ca="1">_xlfn.XLOOKUP(Contrato5[[#This Row],[SUPERVISOR TITULAR]],[2]!PERSONAL_ACTIVO_2024[[#All],[Nombre completo]],[2]!PERSONAL_ACTIVO_2024[[#All],[Documento identidad]],"",0)</f>
        <v>#NAME?</v>
      </c>
      <c r="O6" s="134" t="s">
        <v>498</v>
      </c>
      <c r="P6" s="135" t="e" cm="1">
        <f t="array" aca="1" ref="P6" ca="1">_xlfn.XLOOKUP(Contrato5[[#This Row],[SUPERVISOR SUPLENTE ]],[2]!PERSONAL_ACTIVO_2024[[#All],[Nombre completo]],[2]!PERSONAL_ACTIVO_2024[[#All],[Documento identidad]],"",0)</f>
        <v>#NAME?</v>
      </c>
      <c r="Q6" s="136">
        <v>308</v>
      </c>
      <c r="R6" s="137" t="e" cm="1">
        <f t="array" aca="1" ref="R6" ca="1">_xlfn.XLOOKUP(Contrato5[[#This Row],[CDP]],[2]!DISPONIBILIDADES_2024[[#All],[consecutivo]],[2]!DISPONIBILIDADES_2024[[#All],[fecha_aprobacion]],"",0)</f>
        <v>#NAME?</v>
      </c>
      <c r="S6" s="138" t="e">
        <f>SUMIF([2]!DISPONIBILIDADES_2024[[#All],[consecutivo]],Contrato5[[#This Row],[CDP]],[2]!DISPONIBILIDADES_2024[[#All],[valor_total_rubro]])</f>
        <v>#REF!</v>
      </c>
      <c r="T6" s="139" t="e" cm="1">
        <f t="array" aca="1" ref="T6" ca="1">_xlfn.XLOOKUP(Contrato5[[#This Row],[CONTRATO]]&amp;Contrato5[[#This Row],[CDP]],[2]!Corr_Contr_CDP[[#All],[CONTRATO-CDP]],[2]!Corr_Contr_CDP[[#All],[CRP]],_xlfn.XLOOKUP(Contrato5[[#This Row],[CDP]],[2]!COMPROMISOS_2024[[#All],[disponibilidad]],[2]!COMPROMISOS_2024[[#All],[consecutivo]],"",0),0)</f>
        <v>#NAME?</v>
      </c>
      <c r="U6" s="140" t="e" cm="1">
        <f t="array" aca="1" ref="U6" ca="1">+_xlfn.XLOOKUP(Contrato5[[#This Row],[RCP]],[2]!COMPROMISOS_2024[[#All],[consecutivo]],[2]!COMPROMISOS_2024[[#All],[fecha_aprobacion]],"",0)</f>
        <v>#NAME?</v>
      </c>
      <c r="V6" s="141" t="e">
        <f ca="1">SUMIF([2]!COMPROMISOS_2024[[#All],[consecutivo]],Contrato5[[#This Row],[RCP]],[2]!COMPROMISOS_2024[[#All],[valor_total]])</f>
        <v>#REF!</v>
      </c>
      <c r="W6" s="415">
        <v>45373</v>
      </c>
      <c r="X6" s="415">
        <v>45385</v>
      </c>
      <c r="Y6" s="143">
        <v>45383</v>
      </c>
      <c r="Z6" s="262">
        <v>45443</v>
      </c>
      <c r="AA6" s="423" t="s">
        <v>2449</v>
      </c>
      <c r="AB6" s="142" t="s">
        <v>500</v>
      </c>
      <c r="AC6" s="145"/>
      <c r="AD6" s="146"/>
      <c r="AE6" s="147" t="s">
        <v>2441</v>
      </c>
      <c r="AF6" s="148" t="str">
        <f>TEXT(LEFT(Contrato5[[#This Row],[CONTRATO]],3),"0")</f>
        <v>442</v>
      </c>
      <c r="AG6" s="148" t="str">
        <f>IF(LEN(Contrato5[[#This Row],[Contrato2]])=3,Contrato5[[#This Row],[Contrato2]],TEXT(Contrato5[[#This Row],[Contrato2]],"000"))</f>
        <v>442</v>
      </c>
      <c r="AH6" s="149">
        <f ca="1">IFERROR(_xlfn.DAYS(Contrato5[[#This Row],[Fecha Proyectada liquidación]],TODAY())/30,"")</f>
        <v>-6.5</v>
      </c>
      <c r="AI6" s="150">
        <f>+Contrato5[[#This Row],[FECHA TERMINACIÓN ]]+120</f>
        <v>45563</v>
      </c>
      <c r="AJ6" s="151"/>
      <c r="AK6" s="152" t="str">
        <f ca="1">IF(Contrato5[[#This Row],[FECHA TERMINACIÓN ]]&lt;TODAY(), "Terminado",IF(ISNUMBER(Contrato5[[#This Row],[Fecha Real de liquiidación ]]),"Liquidado",IF(Contrato5[[#This Row],[FECHA TERMINACIÓN ]]&gt;=TODAY(),"En ejecución","")))</f>
        <v>Terminado</v>
      </c>
      <c r="AL6" s="153" t="e">
        <f ca="1">SUMIF([2]!COMPROMISOS_2024[[#All],[consecutivo]],Contrato5[[#This Row],[RCP]],[2]!COMPROMISOS_2024[[#All],[Total pagado]])</f>
        <v>#REF!</v>
      </c>
      <c r="AM6" s="154">
        <f ca="1">IFERROR(Contrato5[[#This Row],[Pagos]]/Contrato5[[#This Row],[VALOR CONTRATO]],0)</f>
        <v>0</v>
      </c>
      <c r="AN6" s="155" t="e">
        <f ca="1">+Contrato5[[#This Row],[VALOR CONTRATO]]-Contrato5[[#This Row],[Pagos]]</f>
        <v>#REF!</v>
      </c>
      <c r="AO6" s="156" t="e" cm="1">
        <f t="array" aca="1" ref="AO6" ca="1">_xlfn.XLOOKUP(Contrato5[[#This Row],[DOCUMENTO ]],[2]!PERSONAL_ACTIVO_2024[[#All],[Documento identidad]],[2]!PERSONAL_ACTIVO_2024[[#All],[Mail ]],0,0)</f>
        <v>#NAME?</v>
      </c>
      <c r="AP6" s="156" t="e" cm="1">
        <f t="array" aca="1" ref="AP6" ca="1">_xlfn.XLOOKUP(Contrato5[[#This Row],[DOCUMENTO]],[2]!PERSONAL_ACTIVO_2024[[#All],[Documento identidad]],[2]!PERSONAL_ACTIVO_2024[[#All],[Mail ]],0,0)</f>
        <v>#NAME?</v>
      </c>
      <c r="AQ6" s="156" cm="1">
        <f t="array" aca="1" ref="AQ6" ca="1">IF(ISBLANK(Contrato5[[#This Row],[DEPENDENCIA ]]),0,IFERROR(_xlfn.XLOOKUP(Contrato5[[#This Row],[DEPENDENCIA ]],[2]!PERSONAL_ACTIVO_2024[[#All],[Dependencia]],[2]!PERSONAL_ACTIVO_2024[[#All],[Mail ]],0,0),0))</f>
        <v>0</v>
      </c>
    </row>
    <row r="7" spans="1:43" s="156" customFormat="1" ht="34.5" customHeight="1">
      <c r="A7" s="125">
        <v>673</v>
      </c>
      <c r="B7" s="124">
        <v>4242023</v>
      </c>
      <c r="C7" s="162" t="s">
        <v>1333</v>
      </c>
      <c r="D7" s="126" t="s">
        <v>493</v>
      </c>
      <c r="E7" s="127" t="s">
        <v>78</v>
      </c>
      <c r="F7" s="157" t="s">
        <v>494</v>
      </c>
      <c r="G7" s="159" t="s">
        <v>501</v>
      </c>
      <c r="H7" s="410">
        <v>800126785</v>
      </c>
      <c r="I7" s="411" t="s">
        <v>42</v>
      </c>
      <c r="J7" s="412">
        <v>1582000</v>
      </c>
      <c r="K7" s="131" t="s">
        <v>2450</v>
      </c>
      <c r="L7" s="414"/>
      <c r="M7" s="134" t="s">
        <v>502</v>
      </c>
      <c r="N7" s="133" t="e" cm="1">
        <f t="array" aca="1" ref="N7" ca="1">_xlfn.XLOOKUP(Contrato5[[#This Row],[SUPERVISOR TITULAR]],[2]!PERSONAL_ACTIVO_2024[[#All],[Nombre completo]],[2]!PERSONAL_ACTIVO_2024[[#All],[Documento identidad]],"",0)</f>
        <v>#NAME?</v>
      </c>
      <c r="O7" s="134" t="s">
        <v>503</v>
      </c>
      <c r="P7" s="135" t="e" cm="1">
        <f t="array" aca="1" ref="P7" ca="1">_xlfn.XLOOKUP(Contrato5[[#This Row],[SUPERVISOR SUPLENTE ]],[2]!PERSONAL_ACTIVO_2024[[#All],[Nombre completo]],[2]!PERSONAL_ACTIVO_2024[[#All],[Documento identidad]],"",0)</f>
        <v>#NAME?</v>
      </c>
      <c r="Q7" s="136">
        <v>442</v>
      </c>
      <c r="R7" s="137" t="e" cm="1">
        <f t="array" aca="1" ref="R7" ca="1">_xlfn.XLOOKUP(Contrato5[[#This Row],[CDP]],[2]!DISPONIBILIDADES_2024[[#All],[consecutivo]],[2]!DISPONIBILIDADES_2024[[#All],[fecha_aprobacion]],"",0)</f>
        <v>#NAME?</v>
      </c>
      <c r="S7" s="138" t="e">
        <f>SUMIF([2]!DISPONIBILIDADES_2024[[#All],[consecutivo]],Contrato5[[#This Row],[CDP]],[2]!DISPONIBILIDADES_2024[[#All],[valor_total_rubro]])</f>
        <v>#REF!</v>
      </c>
      <c r="T7" s="139" t="e" cm="1">
        <f t="array" aca="1" ref="T7" ca="1">_xlfn.XLOOKUP(Contrato5[[#This Row],[CONTRATO]]&amp;Contrato5[[#This Row],[CDP]],[2]!Corr_Contr_CDP[[#All],[CONTRATO-CDP]],[2]!Corr_Contr_CDP[[#All],[CRP]],_xlfn.XLOOKUP(Contrato5[[#This Row],[CDP]],[2]!COMPROMISOS_2024[[#All],[disponibilidad]],[2]!COMPROMISOS_2024[[#All],[consecutivo]],"",0),0)</f>
        <v>#NAME?</v>
      </c>
      <c r="U7" s="140" t="e" cm="1">
        <f t="array" aca="1" ref="U7" ca="1">+_xlfn.XLOOKUP(Contrato5[[#This Row],[RCP]],[2]!COMPROMISOS_2024[[#All],[consecutivo]],[2]!COMPROMISOS_2024[[#All],[fecha_aprobacion]],"",0)</f>
        <v>#NAME?</v>
      </c>
      <c r="V7" s="141" t="e">
        <f ca="1">SUMIF([2]!COMPROMISOS_2024[[#All],[consecutivo]],Contrato5[[#This Row],[RCP]],[2]!COMPROMISOS_2024[[#All],[valor_total]])</f>
        <v>#REF!</v>
      </c>
      <c r="W7" s="415">
        <v>45405</v>
      </c>
      <c r="X7" s="415">
        <v>45041</v>
      </c>
      <c r="Y7" s="143">
        <v>45407</v>
      </c>
      <c r="Z7" s="262">
        <v>45467</v>
      </c>
      <c r="AA7" s="423" t="s">
        <v>2451</v>
      </c>
      <c r="AB7" s="142" t="s">
        <v>500</v>
      </c>
      <c r="AC7" s="145"/>
      <c r="AD7" s="146"/>
      <c r="AE7" s="147" t="s">
        <v>523</v>
      </c>
      <c r="AF7" s="148" t="str">
        <f>TEXT(LEFT(Contrato5[[#This Row],[CONTRATO]],3),"0")</f>
        <v>424</v>
      </c>
      <c r="AG7" s="148" t="str">
        <f>IF(LEN(Contrato5[[#This Row],[Contrato2]])=3,Contrato5[[#This Row],[Contrato2]],TEXT(Contrato5[[#This Row],[Contrato2]],"000"))</f>
        <v>424</v>
      </c>
      <c r="AH7" s="149">
        <f ca="1">IFERROR(_xlfn.DAYS(Contrato5[[#This Row],[Fecha Proyectada liquidación]],TODAY())/30,"")</f>
        <v>-5.7</v>
      </c>
      <c r="AI7" s="150">
        <f>+Contrato5[[#This Row],[FECHA TERMINACIÓN ]]+120</f>
        <v>45587</v>
      </c>
      <c r="AJ7" s="151"/>
      <c r="AK7" s="152" t="str">
        <f ca="1">IF(Contrato5[[#This Row],[FECHA TERMINACIÓN ]]&lt;TODAY(), "Terminado",IF(ISNUMBER(Contrato5[[#This Row],[Fecha Real de liquiidación ]]),"Liquidado",IF(Contrato5[[#This Row],[FECHA TERMINACIÓN ]]&gt;=TODAY(),"En ejecución","")))</f>
        <v>Terminado</v>
      </c>
      <c r="AL7" s="153" t="e">
        <f ca="1">SUMIF([2]!COMPROMISOS_2024[[#All],[consecutivo]],Contrato5[[#This Row],[RCP]],[2]!COMPROMISOS_2024[[#All],[Total pagado]])</f>
        <v>#REF!</v>
      </c>
      <c r="AM7" s="154">
        <f ca="1">IFERROR(Contrato5[[#This Row],[Pagos]]/Contrato5[[#This Row],[VALOR CONTRATO]],0)</f>
        <v>0</v>
      </c>
      <c r="AN7" s="155" t="e">
        <f ca="1">+Contrato5[[#This Row],[VALOR CONTRATO]]-Contrato5[[#This Row],[Pagos]]</f>
        <v>#REF!</v>
      </c>
      <c r="AO7" s="156" t="e" cm="1">
        <f t="array" aca="1" ref="AO7" ca="1">_xlfn.XLOOKUP(Contrato5[[#This Row],[DOCUMENTO ]],[2]!PERSONAL_ACTIVO_2024[[#All],[Documento identidad]],[2]!PERSONAL_ACTIVO_2024[[#All],[Mail ]],0,0)</f>
        <v>#NAME?</v>
      </c>
      <c r="AP7" s="156" t="e" cm="1">
        <f t="array" aca="1" ref="AP7" ca="1">_xlfn.XLOOKUP(Contrato5[[#This Row],[DOCUMENTO]],[2]!PERSONAL_ACTIVO_2024[[#All],[Documento identidad]],[2]!PERSONAL_ACTIVO_2024[[#All],[Mail ]],0,0)</f>
        <v>#NAME?</v>
      </c>
      <c r="AQ7" s="156" cm="1">
        <f t="array" aca="1" ref="AQ7" ca="1">IF(ISBLANK(Contrato5[[#This Row],[DEPENDENCIA ]]),0,IFERROR(_xlfn.XLOOKUP(Contrato5[[#This Row],[DEPENDENCIA ]],[2]!PERSONAL_ACTIVO_2024[[#All],[Dependencia]],[2]!PERSONAL_ACTIVO_2024[[#All],[Mail ]],0,0),0))</f>
        <v>0</v>
      </c>
    </row>
    <row r="8" spans="1:43" s="156" customFormat="1" ht="34.5" customHeight="1">
      <c r="A8" s="125">
        <v>653</v>
      </c>
      <c r="B8" s="124">
        <v>3572023</v>
      </c>
      <c r="C8" s="162" t="s">
        <v>1383</v>
      </c>
      <c r="D8" s="126" t="s">
        <v>493</v>
      </c>
      <c r="E8" s="127" t="s">
        <v>78</v>
      </c>
      <c r="F8" s="157" t="s">
        <v>494</v>
      </c>
      <c r="G8" s="159" t="s">
        <v>504</v>
      </c>
      <c r="H8" s="410">
        <v>891700037</v>
      </c>
      <c r="I8" s="411" t="s">
        <v>42</v>
      </c>
      <c r="J8" s="412">
        <v>187763569</v>
      </c>
      <c r="K8" s="413" t="s">
        <v>42</v>
      </c>
      <c r="L8" s="414"/>
      <c r="M8" s="134" t="s">
        <v>505</v>
      </c>
      <c r="N8" s="133" t="e" cm="1">
        <f t="array" aca="1" ref="N8" ca="1">_xlfn.XLOOKUP(Contrato5[[#This Row],[SUPERVISOR TITULAR]],[2]!PERSONAL_ACTIVO_2024[[#All],[Nombre completo]],[2]!PERSONAL_ACTIVO_2024[[#All],[Documento identidad]],"",0)</f>
        <v>#NAME?</v>
      </c>
      <c r="O8" s="134" t="s">
        <v>498</v>
      </c>
      <c r="P8" s="135" t="e" cm="1">
        <f t="array" aca="1" ref="P8" ca="1">_xlfn.XLOOKUP(Contrato5[[#This Row],[SUPERVISOR SUPLENTE ]],[2]!PERSONAL_ACTIVO_2024[[#All],[Nombre completo]],[2]!PERSONAL_ACTIVO_2024[[#All],[Documento identidad]],"",0)</f>
        <v>#NAME?</v>
      </c>
      <c r="Q8" s="136">
        <v>424</v>
      </c>
      <c r="R8" s="137" t="e" cm="1">
        <f t="array" aca="1" ref="R8" ca="1">_xlfn.XLOOKUP(Contrato5[[#This Row],[CDP]],[2]!DISPONIBILIDADES_2024[[#All],[consecutivo]],[2]!DISPONIBILIDADES_2024[[#All],[fecha_aprobacion]],"",0)</f>
        <v>#NAME?</v>
      </c>
      <c r="S8" s="138" t="e">
        <f>SUMIF([2]!DISPONIBILIDADES_2024[[#All],[consecutivo]],Contrato5[[#This Row],[CDP]],[2]!DISPONIBILIDADES_2024[[#All],[valor_total_rubro]])</f>
        <v>#REF!</v>
      </c>
      <c r="T8" s="139" t="e" cm="1">
        <f t="array" aca="1" ref="T8" ca="1">_xlfn.XLOOKUP(Contrato5[[#This Row],[CONTRATO]]&amp;Contrato5[[#This Row],[CDP]],[2]!Corr_Contr_CDP[[#All],[CONTRATO-CDP]],[2]!Corr_Contr_CDP[[#All],[CRP]],_xlfn.XLOOKUP(Contrato5[[#This Row],[CDP]],[2]!COMPROMISOS_2024[[#All],[disponibilidad]],[2]!COMPROMISOS_2024[[#All],[consecutivo]],"",0),0)</f>
        <v>#NAME?</v>
      </c>
      <c r="U8" s="140" t="e" cm="1">
        <f t="array" aca="1" ref="U8" ca="1">+_xlfn.XLOOKUP(Contrato5[[#This Row],[RCP]],[2]!COMPROMISOS_2024[[#All],[consecutivo]],[2]!COMPROMISOS_2024[[#All],[fecha_aprobacion]],"",0)</f>
        <v>#NAME?</v>
      </c>
      <c r="V8" s="141" t="e">
        <f ca="1">SUMIF([2]!COMPROMISOS_2024[[#All],[consecutivo]],Contrato5[[#This Row],[RCP]],[2]!COMPROMISOS_2024[[#All],[valor_total]])</f>
        <v>#REF!</v>
      </c>
      <c r="W8" s="415">
        <v>45419</v>
      </c>
      <c r="X8" s="415">
        <v>45443</v>
      </c>
      <c r="Y8" s="143">
        <v>45421</v>
      </c>
      <c r="Z8" s="262">
        <v>45554</v>
      </c>
      <c r="AA8" s="424" t="s">
        <v>2452</v>
      </c>
      <c r="AB8" s="142" t="s">
        <v>2453</v>
      </c>
      <c r="AC8" s="145" t="s">
        <v>523</v>
      </c>
      <c r="AD8" s="425">
        <v>202000004365</v>
      </c>
      <c r="AE8" s="147" t="s">
        <v>523</v>
      </c>
      <c r="AF8" s="148" t="str">
        <f>TEXT(LEFT(Contrato5[[#This Row],[CONTRATO]],3),"0")</f>
        <v>357</v>
      </c>
      <c r="AG8" s="148" t="str">
        <f>IF(LEN(Contrato5[[#This Row],[Contrato2]])=3,Contrato5[[#This Row],[Contrato2]],TEXT(Contrato5[[#This Row],[Contrato2]],"000"))</f>
        <v>357</v>
      </c>
      <c r="AH8" s="149">
        <f ca="1">IFERROR(_xlfn.DAYS(Contrato5[[#This Row],[Fecha Proyectada liquidación]],TODAY())/30,"")</f>
        <v>-2.8</v>
      </c>
      <c r="AI8" s="150">
        <f>+Contrato5[[#This Row],[FECHA TERMINACIÓN ]]+120</f>
        <v>45674</v>
      </c>
      <c r="AJ8" s="151"/>
      <c r="AK8" s="152" t="str">
        <f ca="1">IF(Contrato5[[#This Row],[FECHA TERMINACIÓN ]]&lt;TODAY(), "Terminado",IF(ISNUMBER(Contrato5[[#This Row],[Fecha Real de liquiidación ]]),"Liquidado",IF(Contrato5[[#This Row],[FECHA TERMINACIÓN ]]&gt;=TODAY(),"En ejecución","")))</f>
        <v>Terminado</v>
      </c>
      <c r="AL8" s="153" t="e">
        <f ca="1">SUMIF([2]!COMPROMISOS_2024[[#All],[consecutivo]],Contrato5[[#This Row],[RCP]],[2]!COMPROMISOS_2024[[#All],[Total pagado]])</f>
        <v>#REF!</v>
      </c>
      <c r="AM8" s="154">
        <f ca="1">IFERROR(Contrato5[[#This Row],[Pagos]]/Contrato5[[#This Row],[VALOR CONTRATO]],0)</f>
        <v>0</v>
      </c>
      <c r="AN8" s="155" t="e">
        <f ca="1">+Contrato5[[#This Row],[VALOR CONTRATO]]-Contrato5[[#This Row],[Pagos]]</f>
        <v>#REF!</v>
      </c>
      <c r="AO8" s="156" t="e" cm="1">
        <f t="array" aca="1" ref="AO8" ca="1">_xlfn.XLOOKUP(Contrato5[[#This Row],[DOCUMENTO ]],[2]!PERSONAL_ACTIVO_2024[[#All],[Documento identidad]],[2]!PERSONAL_ACTIVO_2024[[#All],[Mail ]],0,0)</f>
        <v>#NAME?</v>
      </c>
      <c r="AP8" s="156" t="e" cm="1">
        <f t="array" aca="1" ref="AP8" ca="1">_xlfn.XLOOKUP(Contrato5[[#This Row],[DOCUMENTO]],[2]!PERSONAL_ACTIVO_2024[[#All],[Documento identidad]],[2]!PERSONAL_ACTIVO_2024[[#All],[Mail ]],0,0)</f>
        <v>#NAME?</v>
      </c>
      <c r="AQ8" s="156" cm="1">
        <f t="array" aca="1" ref="AQ8" ca="1">IF(ISBLANK(Contrato5[[#This Row],[DEPENDENCIA ]]),0,IFERROR(_xlfn.XLOOKUP(Contrato5[[#This Row],[DEPENDENCIA ]],[2]!PERSONAL_ACTIVO_2024[[#All],[Dependencia]],[2]!PERSONAL_ACTIVO_2024[[#All],[Mail ]],0,0),0))</f>
        <v>0</v>
      </c>
    </row>
    <row r="9" spans="1:43" s="156" customFormat="1" ht="34.5" customHeight="1">
      <c r="A9" s="147">
        <v>999</v>
      </c>
      <c r="B9" s="124">
        <v>3572023</v>
      </c>
      <c r="C9" s="162" t="s">
        <v>1419</v>
      </c>
      <c r="D9" s="126" t="s">
        <v>493</v>
      </c>
      <c r="E9" s="127" t="s">
        <v>78</v>
      </c>
      <c r="F9" s="157" t="s">
        <v>494</v>
      </c>
      <c r="G9" s="159" t="s">
        <v>504</v>
      </c>
      <c r="H9" s="410">
        <v>891700037</v>
      </c>
      <c r="I9" s="411" t="s">
        <v>42</v>
      </c>
      <c r="J9" s="412">
        <v>86548204</v>
      </c>
      <c r="K9" s="413" t="s">
        <v>42</v>
      </c>
      <c r="L9" s="414" t="s">
        <v>2454</v>
      </c>
      <c r="M9" s="134" t="s">
        <v>505</v>
      </c>
      <c r="N9" s="133" t="e" cm="1">
        <f t="array" aca="1" ref="N9" ca="1">_xlfn.XLOOKUP(Contrato5[[#This Row],[SUPERVISOR TITULAR]],[2]!PERSONAL_ACTIVO_2024[[#All],[Nombre completo]],[2]!PERSONAL_ACTIVO_2024[[#All],[Documento identidad]],"",0)</f>
        <v>#NAME?</v>
      </c>
      <c r="O9" s="134" t="s">
        <v>498</v>
      </c>
      <c r="P9" s="135" t="e" cm="1">
        <f t="array" aca="1" ref="P9" ca="1">_xlfn.XLOOKUP(Contrato5[[#This Row],[SUPERVISOR SUPLENTE ]],[2]!PERSONAL_ACTIVO_2024[[#All],[Nombre completo]],[2]!PERSONAL_ACTIVO_2024[[#All],[Documento identidad]],"",0)</f>
        <v>#NAME?</v>
      </c>
      <c r="Q9" s="136">
        <v>906</v>
      </c>
      <c r="R9" s="137" t="e" cm="1">
        <f t="array" aca="1" ref="R9" ca="1">_xlfn.XLOOKUP(Contrato5[[#This Row],[CDP]],[2]!DISPONIBILIDADES_2024[[#All],[consecutivo]],[2]!DISPONIBILIDADES_2024[[#All],[fecha_aprobacion]],"",0)</f>
        <v>#NAME?</v>
      </c>
      <c r="S9" s="138" t="e">
        <f>SUMIF([2]!DISPONIBILIDADES_2024[[#All],[consecutivo]],Contrato5[[#This Row],[CDP]],[2]!DISPONIBILIDADES_2024[[#All],[valor_total_rubro]])</f>
        <v>#REF!</v>
      </c>
      <c r="T9" s="139" t="e" cm="1">
        <f t="array" aca="1" ref="T9" ca="1">_xlfn.XLOOKUP(Contrato5[[#This Row],[CONTRATO]]&amp;Contrato5[[#This Row],[CDP]],[2]!Corr_Contr_CDP[[#All],[CONTRATO-CDP]],[2]!Corr_Contr_CDP[[#All],[CRP]],_xlfn.XLOOKUP(Contrato5[[#This Row],[CDP]],[2]!COMPROMISOS_2024[[#All],[disponibilidad]],[2]!COMPROMISOS_2024[[#All],[consecutivo]],"",0),0)</f>
        <v>#NAME?</v>
      </c>
      <c r="U9" s="140" t="e" cm="1">
        <f t="array" aca="1" ref="U9" ca="1">+_xlfn.XLOOKUP(Contrato5[[#This Row],[RCP]],[2]!COMPROMISOS_2024[[#All],[consecutivo]],[2]!COMPROMISOS_2024[[#All],[fecha_aprobacion]],"",0)</f>
        <v>#NAME?</v>
      </c>
      <c r="V9" s="141" t="e">
        <f ca="1">SUMIF([2]!COMPROMISOS_2024[[#All],[consecutivo]],Contrato5[[#This Row],[RCP]],[2]!COMPROMISOS_2024[[#All],[valor_total]])</f>
        <v>#REF!</v>
      </c>
      <c r="W9" s="415">
        <v>45553</v>
      </c>
      <c r="X9" s="415">
        <v>45636</v>
      </c>
      <c r="Y9" s="143">
        <v>45555</v>
      </c>
      <c r="Z9" s="262">
        <v>45618</v>
      </c>
      <c r="AA9" s="424" t="s">
        <v>2452</v>
      </c>
      <c r="AB9" s="142" t="s">
        <v>500</v>
      </c>
      <c r="AC9" s="145" t="s">
        <v>523</v>
      </c>
      <c r="AD9" s="425">
        <v>202000004365</v>
      </c>
      <c r="AE9" s="147" t="s">
        <v>523</v>
      </c>
      <c r="AF9" s="148" t="str">
        <f>TEXT(LEFT(Contrato5[[#This Row],[CONTRATO]],3),"0")</f>
        <v>357</v>
      </c>
      <c r="AG9" s="148" t="str">
        <f>IF(LEN(Contrato5[[#This Row],[Contrato2]])=3,Contrato5[[#This Row],[Contrato2]],TEXT(Contrato5[[#This Row],[Contrato2]],"000"))</f>
        <v>357</v>
      </c>
      <c r="AH9" s="149">
        <f ca="1">IFERROR(_xlfn.DAYS(Contrato5[[#This Row],[Fecha Proyectada liquidación]],TODAY())/30,"")</f>
        <v>-0.66666666666666663</v>
      </c>
      <c r="AI9" s="150">
        <f>+Contrato5[[#This Row],[FECHA TERMINACIÓN ]]+120</f>
        <v>45738</v>
      </c>
      <c r="AJ9" s="151"/>
      <c r="AK9" s="152" t="str">
        <f ca="1">IF(Contrato5[[#This Row],[FECHA TERMINACIÓN ]]&lt;TODAY(), "Terminado",IF(ISNUMBER(Contrato5[[#This Row],[Fecha Real de liquiidación ]]),"Liquidado",IF(Contrato5[[#This Row],[FECHA TERMINACIÓN ]]&gt;=TODAY(),"En ejecución","")))</f>
        <v>Terminado</v>
      </c>
      <c r="AL9" s="153" t="e">
        <f ca="1">SUMIF([2]!COMPROMISOS_2024[[#All],[consecutivo]],Contrato5[[#This Row],[RCP]],[2]!COMPROMISOS_2024[[#All],[Total pagado]])</f>
        <v>#REF!</v>
      </c>
      <c r="AM9" s="154">
        <f ca="1">IFERROR(Contrato5[[#This Row],[Pagos]]/Contrato5[[#This Row],[VALOR CONTRATO]],0)</f>
        <v>0</v>
      </c>
      <c r="AN9" s="155" t="e">
        <f ca="1">+Contrato5[[#This Row],[VALOR CONTRATO]]-Contrato5[[#This Row],[Pagos]]</f>
        <v>#REF!</v>
      </c>
      <c r="AO9" s="156" t="e" cm="1">
        <f t="array" aca="1" ref="AO9" ca="1">_xlfn.XLOOKUP(Contrato5[[#This Row],[DOCUMENTO ]],[2]!PERSONAL_ACTIVO_2024[[#All],[Documento identidad]],[2]!PERSONAL_ACTIVO_2024[[#All],[Mail ]],0,0)</f>
        <v>#NAME?</v>
      </c>
      <c r="AP9" s="156" t="e" cm="1">
        <f t="array" aca="1" ref="AP9" ca="1">_xlfn.XLOOKUP(Contrato5[[#This Row],[DOCUMENTO]],[2]!PERSONAL_ACTIVO_2024[[#All],[Documento identidad]],[2]!PERSONAL_ACTIVO_2024[[#All],[Mail ]],0,0)</f>
        <v>#NAME?</v>
      </c>
      <c r="AQ9" s="156" cm="1">
        <f t="array" aca="1" ref="AQ9" ca="1">IF(ISBLANK(Contrato5[[#This Row],[DEPENDENCIA ]]),0,IFERROR(_xlfn.XLOOKUP(Contrato5[[#This Row],[DEPENDENCIA ]],[2]!PERSONAL_ACTIVO_2024[[#All],[Dependencia]],[2]!PERSONAL_ACTIVO_2024[[#All],[Mail ]],0,0),0))</f>
        <v>0</v>
      </c>
    </row>
    <row r="10" spans="1:43" s="156" customFormat="1" ht="34.5" customHeight="1">
      <c r="A10" s="125">
        <v>652</v>
      </c>
      <c r="B10" s="124">
        <v>5442022</v>
      </c>
      <c r="C10" s="162" t="s">
        <v>2455</v>
      </c>
      <c r="D10" s="126" t="s">
        <v>493</v>
      </c>
      <c r="E10" s="127" t="s">
        <v>78</v>
      </c>
      <c r="F10" s="157" t="s">
        <v>494</v>
      </c>
      <c r="G10" s="159" t="s">
        <v>506</v>
      </c>
      <c r="H10" s="410">
        <v>860011153</v>
      </c>
      <c r="I10" s="411" t="s">
        <v>42</v>
      </c>
      <c r="J10" s="412">
        <v>5041544</v>
      </c>
      <c r="K10" s="413" t="s">
        <v>42</v>
      </c>
      <c r="L10" s="414" t="s">
        <v>507</v>
      </c>
      <c r="M10" s="134" t="s">
        <v>503</v>
      </c>
      <c r="N10" s="133" t="e" cm="1">
        <f t="array" aca="1" ref="N10" ca="1">_xlfn.XLOOKUP(Contrato5[[#This Row],[SUPERVISOR TITULAR]],[2]!PERSONAL_ACTIVO_2024[[#All],[Nombre completo]],[2]!PERSONAL_ACTIVO_2024[[#All],[Documento identidad]],"",0)</f>
        <v>#NAME?</v>
      </c>
      <c r="O10" s="134"/>
      <c r="P10" s="135" t="e" cm="1">
        <f t="array" aca="1" ref="P10" ca="1">_xlfn.XLOOKUP(Contrato5[[#This Row],[SUPERVISOR SUPLENTE ]],[2]!PERSONAL_ACTIVO_2024[[#All],[Nombre completo]],[2]!PERSONAL_ACTIVO_2024[[#All],[Documento identidad]],"",0)</f>
        <v>#NAME?</v>
      </c>
      <c r="Q10" s="136">
        <v>418</v>
      </c>
      <c r="R10" s="137" t="e" cm="1">
        <f t="array" aca="1" ref="R10" ca="1">_xlfn.XLOOKUP(Contrato5[[#This Row],[CDP]],[2]!DISPONIBILIDADES_2024[[#All],[consecutivo]],[2]!DISPONIBILIDADES_2024[[#All],[fecha_aprobacion]],"",0)</f>
        <v>#NAME?</v>
      </c>
      <c r="S10" s="138" t="e">
        <f>SUMIF([2]!DISPONIBILIDADES_2024[[#All],[consecutivo]],Contrato5[[#This Row],[CDP]],[2]!DISPONIBILIDADES_2024[[#All],[valor_total_rubro]])</f>
        <v>#REF!</v>
      </c>
      <c r="T10" s="139" t="e" cm="1">
        <f t="array" aca="1" ref="T10" ca="1">_xlfn.XLOOKUP(Contrato5[[#This Row],[CONTRATO]]&amp;Contrato5[[#This Row],[CDP]],[2]!Corr_Contr_CDP[[#All],[CONTRATO-CDP]],[2]!Corr_Contr_CDP[[#All],[CRP]],_xlfn.XLOOKUP(Contrato5[[#This Row],[CDP]],[2]!COMPROMISOS_2024[[#All],[disponibilidad]],[2]!COMPROMISOS_2024[[#All],[consecutivo]],"",0),0)</f>
        <v>#NAME?</v>
      </c>
      <c r="U10" s="140" t="e" cm="1">
        <f t="array" aca="1" ref="U10" ca="1">+_xlfn.XLOOKUP(Contrato5[[#This Row],[RCP]],[2]!COMPROMISOS_2024[[#All],[consecutivo]],[2]!COMPROMISOS_2024[[#All],[fecha_aprobacion]],"",0)</f>
        <v>#NAME?</v>
      </c>
      <c r="V10" s="141" t="e">
        <f ca="1">SUMIF([2]!COMPROMISOS_2024[[#All],[consecutivo]],Contrato5[[#This Row],[RCP]],[2]!COMPROMISOS_2024[[#All],[valor_total]])</f>
        <v>#REF!</v>
      </c>
      <c r="W10" s="415">
        <v>45419</v>
      </c>
      <c r="X10" s="415"/>
      <c r="Y10" s="143">
        <v>45422</v>
      </c>
      <c r="Z10" s="262">
        <v>45554</v>
      </c>
      <c r="AA10" s="423" t="s">
        <v>2456</v>
      </c>
      <c r="AB10" s="142" t="s">
        <v>2457</v>
      </c>
      <c r="AC10" s="145"/>
      <c r="AD10" s="146"/>
      <c r="AE10" s="147" t="s">
        <v>2441</v>
      </c>
      <c r="AF10" s="148" t="str">
        <f>TEXT(LEFT(Contrato5[[#This Row],[CONTRATO]],3),"0")</f>
        <v>544</v>
      </c>
      <c r="AG10" s="148" t="str">
        <f>IF(LEN(Contrato5[[#This Row],[Contrato2]])=3,Contrato5[[#This Row],[Contrato2]],TEXT(Contrato5[[#This Row],[Contrato2]],"000"))</f>
        <v>544</v>
      </c>
      <c r="AH10" s="149">
        <f ca="1">IFERROR(_xlfn.DAYS(Contrato5[[#This Row],[Fecha Proyectada liquidación]],TODAY())/30,"")</f>
        <v>-2.8</v>
      </c>
      <c r="AI10" s="150">
        <f>+Contrato5[[#This Row],[FECHA TERMINACIÓN ]]+120</f>
        <v>45674</v>
      </c>
      <c r="AJ10" s="151"/>
      <c r="AK10" s="152" t="str">
        <f ca="1">IF(Contrato5[[#This Row],[FECHA TERMINACIÓN ]]&lt;TODAY(), "Terminado",IF(ISNUMBER(Contrato5[[#This Row],[Fecha Real de liquiidación ]]),"Liquidado",IF(Contrato5[[#This Row],[FECHA TERMINACIÓN ]]&gt;=TODAY(),"En ejecución","")))</f>
        <v>Terminado</v>
      </c>
      <c r="AL10" s="153" t="e">
        <f ca="1">SUMIF([2]!COMPROMISOS_2024[[#All],[consecutivo]],Contrato5[[#This Row],[RCP]],[2]!COMPROMISOS_2024[[#All],[Total pagado]])</f>
        <v>#REF!</v>
      </c>
      <c r="AM10" s="154">
        <f ca="1">IFERROR(Contrato5[[#This Row],[Pagos]]/Contrato5[[#This Row],[VALOR CONTRATO]],0)</f>
        <v>0</v>
      </c>
      <c r="AN10" s="155" t="e">
        <f ca="1">+Contrato5[[#This Row],[VALOR CONTRATO]]-Contrato5[[#This Row],[Pagos]]</f>
        <v>#REF!</v>
      </c>
      <c r="AO10" s="156" t="e" cm="1">
        <f t="array" aca="1" ref="AO10" ca="1">_xlfn.XLOOKUP(Contrato5[[#This Row],[DOCUMENTO ]],[2]!PERSONAL_ACTIVO_2024[[#All],[Documento identidad]],[2]!PERSONAL_ACTIVO_2024[[#All],[Mail ]],0,0)</f>
        <v>#NAME?</v>
      </c>
      <c r="AP10" s="156" t="e" cm="1">
        <f t="array" aca="1" ref="AP10" ca="1">_xlfn.XLOOKUP(Contrato5[[#This Row],[DOCUMENTO]],[2]!PERSONAL_ACTIVO_2024[[#All],[Documento identidad]],[2]!PERSONAL_ACTIVO_2024[[#All],[Mail ]],0,0)</f>
        <v>#NAME?</v>
      </c>
      <c r="AQ10" s="156" cm="1">
        <f t="array" aca="1" ref="AQ10" ca="1">IF(ISBLANK(Contrato5[[#This Row],[DEPENDENCIA ]]),0,IFERROR(_xlfn.XLOOKUP(Contrato5[[#This Row],[DEPENDENCIA ]],[2]!PERSONAL_ACTIVO_2024[[#All],[Dependencia]],[2]!PERSONAL_ACTIVO_2024[[#All],[Mail ]],0,0),0))</f>
        <v>0</v>
      </c>
    </row>
    <row r="11" spans="1:43" s="156" customFormat="1" ht="34.5" customHeight="1">
      <c r="A11" s="147">
        <v>1000</v>
      </c>
      <c r="B11" s="124">
        <v>5442022</v>
      </c>
      <c r="C11" s="162" t="s">
        <v>1422</v>
      </c>
      <c r="D11" s="126" t="s">
        <v>493</v>
      </c>
      <c r="E11" s="127" t="s">
        <v>78</v>
      </c>
      <c r="F11" s="157" t="s">
        <v>494</v>
      </c>
      <c r="G11" s="159" t="s">
        <v>506</v>
      </c>
      <c r="H11" s="410">
        <v>860011153</v>
      </c>
      <c r="I11" s="411" t="s">
        <v>42</v>
      </c>
      <c r="J11" s="412" t="s">
        <v>2458</v>
      </c>
      <c r="K11" s="413" t="s">
        <v>42</v>
      </c>
      <c r="L11" s="414" t="s">
        <v>2454</v>
      </c>
      <c r="M11" s="134" t="s">
        <v>503</v>
      </c>
      <c r="N11" s="133" t="e" cm="1">
        <f t="array" aca="1" ref="N11" ca="1">_xlfn.XLOOKUP(Contrato5[[#This Row],[SUPERVISOR TITULAR]],[2]!PERSONAL_ACTIVO_2024[[#All],[Nombre completo]],[2]!PERSONAL_ACTIVO_2024[[#All],[Documento identidad]],"",0)</f>
        <v>#NAME?</v>
      </c>
      <c r="O11" s="134"/>
      <c r="P11" s="135" t="e" cm="1">
        <f t="array" aca="1" ref="P11" ca="1">_xlfn.XLOOKUP(Contrato5[[#This Row],[SUPERVISOR SUPLENTE ]],[2]!PERSONAL_ACTIVO_2024[[#All],[Nombre completo]],[2]!PERSONAL_ACTIVO_2024[[#All],[Documento identidad]],"",0)</f>
        <v>#NAME?</v>
      </c>
      <c r="Q11" s="136">
        <v>836</v>
      </c>
      <c r="R11" s="137" t="e" cm="1">
        <f t="array" aca="1" ref="R11" ca="1">_xlfn.XLOOKUP(Contrato5[[#This Row],[CDP]],[2]!DISPONIBILIDADES_2024[[#All],[consecutivo]],[2]!DISPONIBILIDADES_2024[[#All],[fecha_aprobacion]],"",0)</f>
        <v>#NAME?</v>
      </c>
      <c r="S11" s="138" t="e">
        <f>SUMIF([2]!DISPONIBILIDADES_2024[[#All],[consecutivo]],Contrato5[[#This Row],[CDP]],[2]!DISPONIBILIDADES_2024[[#All],[valor_total_rubro]])</f>
        <v>#REF!</v>
      </c>
      <c r="T11" s="139" t="e" cm="1">
        <f t="array" aca="1" ref="T11" ca="1">_xlfn.XLOOKUP(Contrato5[[#This Row],[CONTRATO]]&amp;Contrato5[[#This Row],[CDP]],[2]!Corr_Contr_CDP[[#All],[CONTRATO-CDP]],[2]!Corr_Contr_CDP[[#All],[CRP]],_xlfn.XLOOKUP(Contrato5[[#This Row],[CDP]],[2]!COMPROMISOS_2024[[#All],[disponibilidad]],[2]!COMPROMISOS_2024[[#All],[consecutivo]],"",0),0)</f>
        <v>#NAME?</v>
      </c>
      <c r="U11" s="140" t="e" cm="1">
        <f t="array" aca="1" ref="U11" ca="1">+_xlfn.XLOOKUP(Contrato5[[#This Row],[RCP]],[2]!COMPROMISOS_2024[[#All],[consecutivo]],[2]!COMPROMISOS_2024[[#All],[fecha_aprobacion]],"",0)</f>
        <v>#NAME?</v>
      </c>
      <c r="V11" s="141" t="e">
        <f ca="1">SUMIF([2]!COMPROMISOS_2024[[#All],[consecutivo]],Contrato5[[#This Row],[RCP]],[2]!COMPROMISOS_2024[[#All],[valor_total]])</f>
        <v>#REF!</v>
      </c>
      <c r="W11" s="426">
        <v>45552</v>
      </c>
      <c r="X11" s="426">
        <v>45552</v>
      </c>
      <c r="Y11" s="143">
        <v>45555</v>
      </c>
      <c r="Z11" s="262">
        <v>45617</v>
      </c>
      <c r="AA11" s="423" t="s">
        <v>2456</v>
      </c>
      <c r="AB11" s="142" t="s">
        <v>878</v>
      </c>
      <c r="AC11" s="145"/>
      <c r="AD11" s="146"/>
      <c r="AE11" s="147" t="s">
        <v>2441</v>
      </c>
      <c r="AF11" s="148" t="str">
        <f>TEXT(LEFT(Contrato5[[#This Row],[CONTRATO]],3),"0")</f>
        <v>544</v>
      </c>
      <c r="AG11" s="148" t="str">
        <f>IF(LEN(Contrato5[[#This Row],[Contrato2]])=3,Contrato5[[#This Row],[Contrato2]],TEXT(Contrato5[[#This Row],[Contrato2]],"000"))</f>
        <v>544</v>
      </c>
      <c r="AH11" s="149">
        <f ca="1">IFERROR(_xlfn.DAYS(Contrato5[[#This Row],[Fecha Proyectada liquidación]],TODAY())/30,"")</f>
        <v>-0.7</v>
      </c>
      <c r="AI11" s="150">
        <f>+Contrato5[[#This Row],[FECHA TERMINACIÓN ]]+120</f>
        <v>45737</v>
      </c>
      <c r="AJ11" s="151"/>
      <c r="AK11" s="152" t="str">
        <f ca="1">IF(Contrato5[[#This Row],[FECHA TERMINACIÓN ]]&lt;TODAY(), "Terminado",IF(ISNUMBER(Contrato5[[#This Row],[Fecha Real de liquiidación ]]),"Liquidado",IF(Contrato5[[#This Row],[FECHA TERMINACIÓN ]]&gt;=TODAY(),"En ejecución","")))</f>
        <v>Terminado</v>
      </c>
      <c r="AL11" s="153" t="e">
        <f ca="1">SUMIF([2]!COMPROMISOS_2024[[#All],[consecutivo]],Contrato5[[#This Row],[RCP]],[2]!COMPROMISOS_2024[[#All],[Total pagado]])</f>
        <v>#REF!</v>
      </c>
      <c r="AM11" s="154">
        <f ca="1">IFERROR(Contrato5[[#This Row],[Pagos]]/Contrato5[[#This Row],[VALOR CONTRATO]],0)</f>
        <v>0</v>
      </c>
      <c r="AN11" s="155" t="e">
        <f ca="1">+Contrato5[[#This Row],[VALOR CONTRATO]]-Contrato5[[#This Row],[Pagos]]</f>
        <v>#REF!</v>
      </c>
      <c r="AO11" s="156" t="e" cm="1">
        <f t="array" aca="1" ref="AO11" ca="1">_xlfn.XLOOKUP(Contrato5[[#This Row],[DOCUMENTO ]],[2]!PERSONAL_ACTIVO_2024[[#All],[Documento identidad]],[2]!PERSONAL_ACTIVO_2024[[#All],[Mail ]],0,0)</f>
        <v>#NAME?</v>
      </c>
      <c r="AP11" s="156" t="e" cm="1">
        <f t="array" aca="1" ref="AP11" ca="1">_xlfn.XLOOKUP(Contrato5[[#This Row],[DOCUMENTO]],[2]!PERSONAL_ACTIVO_2024[[#All],[Documento identidad]],[2]!PERSONAL_ACTIVO_2024[[#All],[Mail ]],0,0)</f>
        <v>#NAME?</v>
      </c>
      <c r="AQ11" s="156" cm="1">
        <f t="array" aca="1" ref="AQ11" ca="1">IF(ISBLANK(Contrato5[[#This Row],[DEPENDENCIA ]]),0,IFERROR(_xlfn.XLOOKUP(Contrato5[[#This Row],[DEPENDENCIA ]],[2]!PERSONAL_ACTIVO_2024[[#All],[Dependencia]],[2]!PERSONAL_ACTIVO_2024[[#All],[Mail ]],0,0),0))</f>
        <v>0</v>
      </c>
    </row>
    <row r="12" spans="1:43" s="156" customFormat="1" ht="34.5" customHeight="1">
      <c r="A12" s="125">
        <v>651</v>
      </c>
      <c r="B12" s="124">
        <v>5142022</v>
      </c>
      <c r="C12" s="162" t="s">
        <v>1378</v>
      </c>
      <c r="D12" s="126" t="s">
        <v>493</v>
      </c>
      <c r="E12" s="127" t="s">
        <v>78</v>
      </c>
      <c r="F12" s="157" t="s">
        <v>494</v>
      </c>
      <c r="G12" s="159" t="s">
        <v>508</v>
      </c>
      <c r="H12" s="410">
        <v>860524654</v>
      </c>
      <c r="I12" s="411" t="s">
        <v>42</v>
      </c>
      <c r="J12" s="412">
        <v>6118142</v>
      </c>
      <c r="K12" s="413" t="s">
        <v>42</v>
      </c>
      <c r="L12" s="414" t="s">
        <v>507</v>
      </c>
      <c r="M12" s="134" t="s">
        <v>503</v>
      </c>
      <c r="N12" s="133" t="e" cm="1">
        <f t="array" aca="1" ref="N12" ca="1">_xlfn.XLOOKUP(Contrato5[[#This Row],[SUPERVISOR TITULAR]],[2]!PERSONAL_ACTIVO_2024[[#All],[Nombre completo]],[2]!PERSONAL_ACTIVO_2024[[#All],[Documento identidad]],"",0)</f>
        <v>#NAME?</v>
      </c>
      <c r="O12" s="134"/>
      <c r="P12" s="135" t="e" cm="1">
        <f t="array" aca="1" ref="P12" ca="1">_xlfn.XLOOKUP(Contrato5[[#This Row],[SUPERVISOR SUPLENTE ]],[2]!PERSONAL_ACTIVO_2024[[#All],[Nombre completo]],[2]!PERSONAL_ACTIVO_2024[[#All],[Documento identidad]],"",0)</f>
        <v>#NAME?</v>
      </c>
      <c r="Q12" s="136">
        <v>417</v>
      </c>
      <c r="R12" s="137" t="e" cm="1">
        <f t="array" aca="1" ref="R12" ca="1">_xlfn.XLOOKUP(Contrato5[[#This Row],[CDP]],[2]!DISPONIBILIDADES_2024[[#All],[consecutivo]],[2]!DISPONIBILIDADES_2024[[#All],[fecha_aprobacion]],"",0)</f>
        <v>#NAME?</v>
      </c>
      <c r="S12" s="138" t="e">
        <f>SUMIF([2]!DISPONIBILIDADES_2024[[#All],[consecutivo]],Contrato5[[#This Row],[CDP]],[2]!DISPONIBILIDADES_2024[[#All],[valor_total_rubro]])</f>
        <v>#REF!</v>
      </c>
      <c r="T12" s="139" t="e" cm="1">
        <f t="array" aca="1" ref="T12" ca="1">_xlfn.XLOOKUP(Contrato5[[#This Row],[CONTRATO]]&amp;Contrato5[[#This Row],[CDP]],[2]!Corr_Contr_CDP[[#All],[CONTRATO-CDP]],[2]!Corr_Contr_CDP[[#All],[CRP]],_xlfn.XLOOKUP(Contrato5[[#This Row],[CDP]],[2]!COMPROMISOS_2024[[#All],[disponibilidad]],[2]!COMPROMISOS_2024[[#All],[consecutivo]],"",0),0)</f>
        <v>#NAME?</v>
      </c>
      <c r="U12" s="140" t="e" cm="1">
        <f t="array" aca="1" ref="U12" ca="1">+_xlfn.XLOOKUP(Contrato5[[#This Row],[RCP]],[2]!COMPROMISOS_2024[[#All],[consecutivo]],[2]!COMPROMISOS_2024[[#All],[fecha_aprobacion]],"",0)</f>
        <v>#NAME?</v>
      </c>
      <c r="V12" s="141" t="e">
        <f ca="1">SUMIF([2]!COMPROMISOS_2024[[#All],[consecutivo]],Contrato5[[#This Row],[RCP]],[2]!COMPROMISOS_2024[[#All],[valor_total]])</f>
        <v>#REF!</v>
      </c>
      <c r="W12" s="229">
        <v>45419</v>
      </c>
      <c r="X12" s="415"/>
      <c r="Y12" s="143">
        <v>45422</v>
      </c>
      <c r="Z12" s="262">
        <v>45554</v>
      </c>
      <c r="AA12" s="423" t="s">
        <v>2459</v>
      </c>
      <c r="AB12" s="142" t="s">
        <v>509</v>
      </c>
      <c r="AC12" s="145"/>
      <c r="AD12" s="146"/>
      <c r="AE12" s="147" t="s">
        <v>2441</v>
      </c>
      <c r="AF12" s="148" t="str">
        <f>TEXT(LEFT(Contrato5[[#This Row],[CONTRATO]],3),"0")</f>
        <v>514</v>
      </c>
      <c r="AG12" s="148" t="str">
        <f>IF(LEN(Contrato5[[#This Row],[Contrato2]])=3,Contrato5[[#This Row],[Contrato2]],TEXT(Contrato5[[#This Row],[Contrato2]],"000"))</f>
        <v>514</v>
      </c>
      <c r="AH12" s="149">
        <f ca="1">IFERROR(_xlfn.DAYS(Contrato5[[#This Row],[Fecha Proyectada liquidación]],TODAY())/30,"")</f>
        <v>-2.8</v>
      </c>
      <c r="AI12" s="150">
        <f>+Contrato5[[#This Row],[FECHA TERMINACIÓN ]]+120</f>
        <v>45674</v>
      </c>
      <c r="AJ12" s="151"/>
      <c r="AK12" s="152" t="str">
        <f ca="1">IF(Contrato5[[#This Row],[FECHA TERMINACIÓN ]]&lt;TODAY(), "Terminado",IF(ISNUMBER(Contrato5[[#This Row],[Fecha Real de liquiidación ]]),"Liquidado",IF(Contrato5[[#This Row],[FECHA TERMINACIÓN ]]&gt;=TODAY(),"En ejecución","")))</f>
        <v>Terminado</v>
      </c>
      <c r="AL12" s="153" t="e">
        <f ca="1">SUMIF([2]!COMPROMISOS_2024[[#All],[consecutivo]],Contrato5[[#This Row],[RCP]],[2]!COMPROMISOS_2024[[#All],[Total pagado]])</f>
        <v>#REF!</v>
      </c>
      <c r="AM12" s="154">
        <f ca="1">IFERROR(Contrato5[[#This Row],[Pagos]]/Contrato5[[#This Row],[VALOR CONTRATO]],0)</f>
        <v>0</v>
      </c>
      <c r="AN12" s="155" t="e">
        <f ca="1">+Contrato5[[#This Row],[VALOR CONTRATO]]-Contrato5[[#This Row],[Pagos]]</f>
        <v>#REF!</v>
      </c>
      <c r="AO12" s="156" t="e" cm="1">
        <f t="array" aca="1" ref="AO12" ca="1">_xlfn.XLOOKUP(Contrato5[[#This Row],[DOCUMENTO ]],[2]!PERSONAL_ACTIVO_2024[[#All],[Documento identidad]],[2]!PERSONAL_ACTIVO_2024[[#All],[Mail ]],0,0)</f>
        <v>#NAME?</v>
      </c>
      <c r="AP12" s="156" t="e" cm="1">
        <f t="array" aca="1" ref="AP12" ca="1">_xlfn.XLOOKUP(Contrato5[[#This Row],[DOCUMENTO]],[2]!PERSONAL_ACTIVO_2024[[#All],[Documento identidad]],[2]!PERSONAL_ACTIVO_2024[[#All],[Mail ]],0,0)</f>
        <v>#NAME?</v>
      </c>
      <c r="AQ12" s="156" cm="1">
        <f t="array" aca="1" ref="AQ12" ca="1">IF(ISBLANK(Contrato5[[#This Row],[DEPENDENCIA ]]),0,IFERROR(_xlfn.XLOOKUP(Contrato5[[#This Row],[DEPENDENCIA ]],[2]!PERSONAL_ACTIVO_2024[[#All],[Dependencia]],[2]!PERSONAL_ACTIVO_2024[[#All],[Mail ]],0,0),0))</f>
        <v>0</v>
      </c>
    </row>
    <row r="13" spans="1:43" s="156" customFormat="1" ht="34.5" customHeight="1">
      <c r="A13" s="147">
        <v>1001</v>
      </c>
      <c r="B13" s="124">
        <v>5142022</v>
      </c>
      <c r="C13" s="162" t="s">
        <v>1423</v>
      </c>
      <c r="D13" s="126" t="s">
        <v>493</v>
      </c>
      <c r="E13" s="127" t="s">
        <v>78</v>
      </c>
      <c r="F13" s="157" t="s">
        <v>494</v>
      </c>
      <c r="G13" s="159" t="s">
        <v>508</v>
      </c>
      <c r="H13" s="410">
        <v>860524654</v>
      </c>
      <c r="I13" s="411" t="s">
        <v>42</v>
      </c>
      <c r="J13" s="412">
        <v>2830722</v>
      </c>
      <c r="K13" s="413" t="s">
        <v>42</v>
      </c>
      <c r="L13" s="414" t="s">
        <v>2454</v>
      </c>
      <c r="M13" s="134" t="s">
        <v>503</v>
      </c>
      <c r="N13" s="133" t="e" cm="1">
        <f t="array" aca="1" ref="N13" ca="1">_xlfn.XLOOKUP(Contrato5[[#This Row],[SUPERVISOR TITULAR]],[2]!PERSONAL_ACTIVO_2024[[#All],[Nombre completo]],[2]!PERSONAL_ACTIVO_2024[[#All],[Documento identidad]],"",0)</f>
        <v>#NAME?</v>
      </c>
      <c r="O13" s="134"/>
      <c r="P13" s="135" t="e" cm="1">
        <f t="array" aca="1" ref="P13" ca="1">_xlfn.XLOOKUP(Contrato5[[#This Row],[SUPERVISOR SUPLENTE ]],[2]!PERSONAL_ACTIVO_2024[[#All],[Nombre completo]],[2]!PERSONAL_ACTIVO_2024[[#All],[Documento identidad]],"",0)</f>
        <v>#NAME?</v>
      </c>
      <c r="Q13" s="136">
        <v>834</v>
      </c>
      <c r="R13" s="137" t="e" cm="1">
        <f t="array" aca="1" ref="R13" ca="1">_xlfn.XLOOKUP(Contrato5[[#This Row],[CDP]],[2]!DISPONIBILIDADES_2024[[#All],[consecutivo]],[2]!DISPONIBILIDADES_2024[[#All],[fecha_aprobacion]],"",0)</f>
        <v>#NAME?</v>
      </c>
      <c r="S13" s="138" t="e">
        <f>SUMIF([2]!DISPONIBILIDADES_2024[[#All],[consecutivo]],Contrato5[[#This Row],[CDP]],[2]!DISPONIBILIDADES_2024[[#All],[valor_total_rubro]])</f>
        <v>#REF!</v>
      </c>
      <c r="T13" s="139" t="e" cm="1">
        <f t="array" aca="1" ref="T13" ca="1">_xlfn.XLOOKUP(Contrato5[[#This Row],[CONTRATO]]&amp;Contrato5[[#This Row],[CDP]],[2]!Corr_Contr_CDP[[#All],[CONTRATO-CDP]],[2]!Corr_Contr_CDP[[#All],[CRP]],_xlfn.XLOOKUP(Contrato5[[#This Row],[CDP]],[2]!COMPROMISOS_2024[[#All],[disponibilidad]],[2]!COMPROMISOS_2024[[#All],[consecutivo]],"",0),0)</f>
        <v>#NAME?</v>
      </c>
      <c r="U13" s="140" t="e" cm="1">
        <f t="array" aca="1" ref="U13" ca="1">+_xlfn.XLOOKUP(Contrato5[[#This Row],[RCP]],[2]!COMPROMISOS_2024[[#All],[consecutivo]],[2]!COMPROMISOS_2024[[#All],[fecha_aprobacion]],"",0)</f>
        <v>#NAME?</v>
      </c>
      <c r="V13" s="141" t="e">
        <f ca="1">SUMIF([2]!COMPROMISOS_2024[[#All],[consecutivo]],Contrato5[[#This Row],[RCP]],[2]!COMPROMISOS_2024[[#All],[valor_total]])</f>
        <v>#REF!</v>
      </c>
      <c r="W13" s="426">
        <v>45552</v>
      </c>
      <c r="X13" s="426">
        <v>45552</v>
      </c>
      <c r="Y13" s="143" t="s">
        <v>2460</v>
      </c>
      <c r="Z13" s="262">
        <v>45617</v>
      </c>
      <c r="AA13" s="423" t="s">
        <v>2459</v>
      </c>
      <c r="AB13" s="142" t="s">
        <v>878</v>
      </c>
      <c r="AC13" s="145"/>
      <c r="AD13" s="146"/>
      <c r="AE13" s="147" t="s">
        <v>2441</v>
      </c>
      <c r="AF13" s="148" t="str">
        <f>TEXT(LEFT(Contrato5[[#This Row],[CONTRATO]],3),"0")</f>
        <v>514</v>
      </c>
      <c r="AG13" s="148" t="str">
        <f>IF(LEN(Contrato5[[#This Row],[Contrato2]])=3,Contrato5[[#This Row],[Contrato2]],TEXT(Contrato5[[#This Row],[Contrato2]],"000"))</f>
        <v>514</v>
      </c>
      <c r="AH13" s="149">
        <f ca="1">IFERROR(_xlfn.DAYS(Contrato5[[#This Row],[Fecha Proyectada liquidación]],TODAY())/30,"")</f>
        <v>-0.7</v>
      </c>
      <c r="AI13" s="150">
        <f>+Contrato5[[#This Row],[FECHA TERMINACIÓN ]]+120</f>
        <v>45737</v>
      </c>
      <c r="AJ13" s="151"/>
      <c r="AK13" s="152" t="str">
        <f ca="1">IF(Contrato5[[#This Row],[FECHA TERMINACIÓN ]]&lt;TODAY(), "Terminado",IF(ISNUMBER(Contrato5[[#This Row],[Fecha Real de liquiidación ]]),"Liquidado",IF(Contrato5[[#This Row],[FECHA TERMINACIÓN ]]&gt;=TODAY(),"En ejecución","")))</f>
        <v>Terminado</v>
      </c>
      <c r="AL13" s="153" t="e">
        <f ca="1">SUMIF([2]!COMPROMISOS_2024[[#All],[consecutivo]],Contrato5[[#This Row],[RCP]],[2]!COMPROMISOS_2024[[#All],[Total pagado]])</f>
        <v>#REF!</v>
      </c>
      <c r="AM13" s="154">
        <f ca="1">IFERROR(Contrato5[[#This Row],[Pagos]]/Contrato5[[#This Row],[VALOR CONTRATO]],0)</f>
        <v>0</v>
      </c>
      <c r="AN13" s="155" t="e">
        <f ca="1">+Contrato5[[#This Row],[VALOR CONTRATO]]-Contrato5[[#This Row],[Pagos]]</f>
        <v>#REF!</v>
      </c>
      <c r="AO13" s="156" t="e" cm="1">
        <f t="array" aca="1" ref="AO13" ca="1">_xlfn.XLOOKUP(Contrato5[[#This Row],[DOCUMENTO ]],[2]!PERSONAL_ACTIVO_2024[[#All],[Documento identidad]],[2]!PERSONAL_ACTIVO_2024[[#All],[Mail ]],0,0)</f>
        <v>#NAME?</v>
      </c>
      <c r="AP13" s="156" t="e" cm="1">
        <f t="array" aca="1" ref="AP13" ca="1">_xlfn.XLOOKUP(Contrato5[[#This Row],[DOCUMENTO]],[2]!PERSONAL_ACTIVO_2024[[#All],[Documento identidad]],[2]!PERSONAL_ACTIVO_2024[[#All],[Mail ]],0,0)</f>
        <v>#NAME?</v>
      </c>
      <c r="AQ13" s="156" cm="1">
        <f t="array" aca="1" ref="AQ13" ca="1">IF(ISBLANK(Contrato5[[#This Row],[DEPENDENCIA ]]),0,IFERROR(_xlfn.XLOOKUP(Contrato5[[#This Row],[DEPENDENCIA ]],[2]!PERSONAL_ACTIVO_2024[[#All],[Dependencia]],[2]!PERSONAL_ACTIVO_2024[[#All],[Mail ]],0,0),0))</f>
        <v>0</v>
      </c>
    </row>
    <row r="14" spans="1:43" s="156" customFormat="1" ht="34.5" customHeight="1">
      <c r="A14" s="125">
        <v>680</v>
      </c>
      <c r="B14" s="124">
        <v>8822023</v>
      </c>
      <c r="C14" s="162" t="s">
        <v>1847</v>
      </c>
      <c r="D14" s="227" t="s">
        <v>510</v>
      </c>
      <c r="E14" s="127" t="s">
        <v>78</v>
      </c>
      <c r="F14" s="128" t="s">
        <v>511</v>
      </c>
      <c r="G14" s="159" t="s">
        <v>512</v>
      </c>
      <c r="H14" s="410">
        <v>811003979</v>
      </c>
      <c r="I14" s="411" t="s">
        <v>42</v>
      </c>
      <c r="J14" s="412">
        <v>35768419</v>
      </c>
      <c r="K14" s="413" t="s">
        <v>42</v>
      </c>
      <c r="L14" s="414" t="s">
        <v>513</v>
      </c>
      <c r="M14" s="134" t="s">
        <v>514</v>
      </c>
      <c r="N14" s="133" t="e" cm="1">
        <f t="array" aca="1" ref="N14" ca="1">_xlfn.XLOOKUP(Contrato5[[#This Row],[SUPERVISOR TITULAR]],[2]!PERSONAL_ACTIVO_2024[[#All],[Nombre completo]],[2]!PERSONAL_ACTIVO_2024[[#All],[Documento identidad]],"",0)</f>
        <v>#NAME?</v>
      </c>
      <c r="O14" s="134"/>
      <c r="P14" s="135" t="e" cm="1">
        <f t="array" aca="1" ref="P14" ca="1">_xlfn.XLOOKUP(Contrato5[[#This Row],[SUPERVISOR SUPLENTE ]],[2]!PERSONAL_ACTIVO_2024[[#All],[Nombre completo]],[2]!PERSONAL_ACTIVO_2024[[#All],[Documento identidad]],"",0)</f>
        <v>#NAME?</v>
      </c>
      <c r="Q14" s="136">
        <v>467</v>
      </c>
      <c r="R14" s="137" t="e" cm="1">
        <f t="array" aca="1" ref="R14" ca="1">_xlfn.XLOOKUP(Contrato5[[#This Row],[CDP]],[2]!DISPONIBILIDADES_2024[[#All],[consecutivo]],[2]!DISPONIBILIDADES_2024[[#All],[fecha_aprobacion]],"",0)</f>
        <v>#NAME?</v>
      </c>
      <c r="S14" s="138" t="e">
        <f>SUMIF([2]!DISPONIBILIDADES_2024[[#All],[consecutivo]],Contrato5[[#This Row],[CDP]],[2]!DISPONIBILIDADES_2024[[#All],[valor_total_rubro]])</f>
        <v>#REF!</v>
      </c>
      <c r="T14" s="139" t="e" cm="1">
        <f t="array" aca="1" ref="T14" ca="1">_xlfn.XLOOKUP(Contrato5[[#This Row],[CONTRATO]]&amp;Contrato5[[#This Row],[CDP]],[2]!Corr_Contr_CDP[[#All],[CONTRATO-CDP]],[2]!Corr_Contr_CDP[[#All],[CRP]],_xlfn.XLOOKUP(Contrato5[[#This Row],[CDP]],[2]!COMPROMISOS_2024[[#All],[disponibilidad]],[2]!COMPROMISOS_2024[[#All],[consecutivo]],"",0),0)</f>
        <v>#NAME?</v>
      </c>
      <c r="U14" s="140" t="e" cm="1">
        <f t="array" aca="1" ref="U14" ca="1">+_xlfn.XLOOKUP(Contrato5[[#This Row],[RCP]],[2]!COMPROMISOS_2024[[#All],[consecutivo]],[2]!COMPROMISOS_2024[[#All],[fecha_aprobacion]],"",0)</f>
        <v>#NAME?</v>
      </c>
      <c r="V14" s="141" t="e">
        <f ca="1">SUMIF([2]!COMPROMISOS_2024[[#All],[consecutivo]],Contrato5[[#This Row],[RCP]],[2]!COMPROMISOS_2024[[#All],[valor_total]])</f>
        <v>#REF!</v>
      </c>
      <c r="W14" s="415">
        <v>45422</v>
      </c>
      <c r="X14" s="415"/>
      <c r="Y14" s="143">
        <v>45426</v>
      </c>
      <c r="Z14" s="262">
        <v>45486</v>
      </c>
      <c r="AA14" s="423" t="s">
        <v>2461</v>
      </c>
      <c r="AB14" s="142" t="s">
        <v>500</v>
      </c>
      <c r="AC14" s="145"/>
      <c r="AD14" s="146"/>
      <c r="AE14" s="147" t="s">
        <v>523</v>
      </c>
      <c r="AF14" s="148" t="str">
        <f>TEXT(LEFT(Contrato5[[#This Row],[CONTRATO]],3),"0")</f>
        <v>882</v>
      </c>
      <c r="AG14" s="148" t="str">
        <f>IF(LEN(Contrato5[[#This Row],[Contrato2]])=3,Contrato5[[#This Row],[Contrato2]],TEXT(Contrato5[[#This Row],[Contrato2]],"000"))</f>
        <v>882</v>
      </c>
      <c r="AH14" s="149">
        <f ca="1">IFERROR(_xlfn.DAYS(Contrato5[[#This Row],[Fecha Proyectada liquidación]],TODAY())/30,"")</f>
        <v>-5.0666666666666664</v>
      </c>
      <c r="AI14" s="150">
        <f>+Contrato5[[#This Row],[FECHA TERMINACIÓN ]]+120</f>
        <v>45606</v>
      </c>
      <c r="AJ14" s="151"/>
      <c r="AK14" s="152" t="str">
        <f ca="1">IF(Contrato5[[#This Row],[FECHA TERMINACIÓN ]]&lt;TODAY(), "Terminado",IF(ISNUMBER(Contrato5[[#This Row],[Fecha Real de liquiidación ]]),"Liquidado",IF(Contrato5[[#This Row],[FECHA TERMINACIÓN ]]&gt;=TODAY(),"En ejecución","")))</f>
        <v>Terminado</v>
      </c>
      <c r="AL14" s="153" t="e">
        <f ca="1">SUMIF([2]!COMPROMISOS_2024[[#All],[consecutivo]],Contrato5[[#This Row],[RCP]],[2]!COMPROMISOS_2024[[#All],[Total pagado]])</f>
        <v>#REF!</v>
      </c>
      <c r="AM14" s="154">
        <f ca="1">IFERROR(Contrato5[[#This Row],[Pagos]]/Contrato5[[#This Row],[VALOR CONTRATO]],0)</f>
        <v>0</v>
      </c>
      <c r="AN14" s="155" t="e">
        <f ca="1">+Contrato5[[#This Row],[VALOR CONTRATO]]-Contrato5[[#This Row],[Pagos]]</f>
        <v>#REF!</v>
      </c>
      <c r="AO14" s="156" t="e" cm="1">
        <f t="array" aca="1" ref="AO14" ca="1">_xlfn.XLOOKUP(Contrato5[[#This Row],[DOCUMENTO ]],[2]!PERSONAL_ACTIVO_2024[[#All],[Documento identidad]],[2]!PERSONAL_ACTIVO_2024[[#All],[Mail ]],0,0)</f>
        <v>#NAME?</v>
      </c>
      <c r="AP14" s="156" t="e" cm="1">
        <f t="array" aca="1" ref="AP14" ca="1">_xlfn.XLOOKUP(Contrato5[[#This Row],[DOCUMENTO]],[2]!PERSONAL_ACTIVO_2024[[#All],[Documento identidad]],[2]!PERSONAL_ACTIVO_2024[[#All],[Mail ]],0,0)</f>
        <v>#NAME?</v>
      </c>
      <c r="AQ14" s="156" cm="1">
        <f t="array" aca="1" ref="AQ14" ca="1">IF(ISBLANK(Contrato5[[#This Row],[DEPENDENCIA ]]),0,IFERROR(_xlfn.XLOOKUP(Contrato5[[#This Row],[DEPENDENCIA ]],[2]!PERSONAL_ACTIVO_2024[[#All],[Dependencia]],[2]!PERSONAL_ACTIVO_2024[[#All],[Mail ]],0,0),0))</f>
        <v>0</v>
      </c>
    </row>
    <row r="15" spans="1:43" s="156" customFormat="1" ht="34.5" customHeight="1">
      <c r="A15" s="147">
        <v>1209</v>
      </c>
      <c r="B15" s="124">
        <v>8822023</v>
      </c>
      <c r="C15" s="162" t="s">
        <v>2291</v>
      </c>
      <c r="D15" s="227" t="s">
        <v>510</v>
      </c>
      <c r="E15" s="127" t="s">
        <v>78</v>
      </c>
      <c r="F15" s="128" t="s">
        <v>511</v>
      </c>
      <c r="G15" s="159" t="s">
        <v>512</v>
      </c>
      <c r="H15" s="410">
        <v>811003979</v>
      </c>
      <c r="I15" s="411" t="s">
        <v>42</v>
      </c>
      <c r="J15" s="412">
        <v>3595273</v>
      </c>
      <c r="K15" s="413"/>
      <c r="L15" s="414" t="s">
        <v>2462</v>
      </c>
      <c r="M15" s="134" t="s">
        <v>514</v>
      </c>
      <c r="N15" s="133" t="e" cm="1">
        <f t="array" aca="1" ref="N15" ca="1">_xlfn.XLOOKUP(Contrato5[[#This Row],[SUPERVISOR TITULAR]],[2]!PERSONAL_ACTIVO_2024[[#All],[Nombre completo]],[2]!PERSONAL_ACTIVO_2024[[#All],[Documento identidad]],"",0)</f>
        <v>#NAME?</v>
      </c>
      <c r="O15" s="134"/>
      <c r="P15" s="135" t="e" cm="1">
        <f t="array" aca="1" ref="P15" ca="1">_xlfn.XLOOKUP(Contrato5[[#This Row],[SUPERVISOR SUPLENTE ]],[2]!PERSONAL_ACTIVO_2024[[#All],[Nombre completo]],[2]!PERSONAL_ACTIVO_2024[[#All],[Documento identidad]],"",0)</f>
        <v>#NAME?</v>
      </c>
      <c r="Q15" s="427">
        <v>1032</v>
      </c>
      <c r="R15" s="137" t="e" cm="1">
        <f t="array" aca="1" ref="R15" ca="1">_xlfn.XLOOKUP(Contrato5[[#This Row],[CDP]],[2]!DISPONIBILIDADES_2024[[#All],[consecutivo]],[2]!DISPONIBILIDADES_2024[[#All],[fecha_aprobacion]],"",0)</f>
        <v>#NAME?</v>
      </c>
      <c r="S15" s="138" t="e">
        <f>SUMIF([2]!DISPONIBILIDADES_2024[[#All],[consecutivo]],Contrato5[[#This Row],[CDP]],[2]!DISPONIBILIDADES_2024[[#All],[valor_total_rubro]])</f>
        <v>#REF!</v>
      </c>
      <c r="T15" s="139" t="e" cm="1">
        <f t="array" aca="1" ref="T15" ca="1">_xlfn.XLOOKUP(Contrato5[[#This Row],[CONTRATO]]&amp;Contrato5[[#This Row],[CDP]],[2]!Corr_Contr_CDP[[#All],[CONTRATO-CDP]],[2]!Corr_Contr_CDP[[#All],[CRP]],_xlfn.XLOOKUP(Contrato5[[#This Row],[CDP]],[2]!COMPROMISOS_2024[[#All],[disponibilidad]],[2]!COMPROMISOS_2024[[#All],[consecutivo]],"",0),0)</f>
        <v>#NAME?</v>
      </c>
      <c r="U15" s="140" t="e" cm="1">
        <f t="array" aca="1" ref="U15" ca="1">+_xlfn.XLOOKUP(Contrato5[[#This Row],[RCP]],[2]!COMPROMISOS_2024[[#All],[consecutivo]],[2]!COMPROMISOS_2024[[#All],[fecha_aprobacion]],"",0)</f>
        <v>#NAME?</v>
      </c>
      <c r="V15" s="141" t="e">
        <f ca="1">SUMIF([2]!COMPROMISOS_2024[[#All],[consecutivo]],Contrato5[[#This Row],[RCP]],[2]!COMPROMISOS_2024[[#All],[valor_total]])</f>
        <v>#REF!</v>
      </c>
      <c r="W15" s="415">
        <v>45569</v>
      </c>
      <c r="X15" s="415">
        <v>45588</v>
      </c>
      <c r="Y15" s="143">
        <v>45514</v>
      </c>
      <c r="Z15" s="262">
        <v>45529</v>
      </c>
      <c r="AA15" s="423" t="s">
        <v>2461</v>
      </c>
      <c r="AB15" s="142" t="s">
        <v>2446</v>
      </c>
      <c r="AC15" s="145"/>
      <c r="AD15" s="421"/>
      <c r="AE15" s="147" t="s">
        <v>523</v>
      </c>
      <c r="AF15" s="148" t="str">
        <f>TEXT(LEFT(Contrato5[[#This Row],[CONTRATO]],3),"0")</f>
        <v>882</v>
      </c>
      <c r="AG15" s="148" t="str">
        <f>IF(LEN(Contrato5[[#This Row],[Contrato2]])=3,Contrato5[[#This Row],[Contrato2]],TEXT(Contrato5[[#This Row],[Contrato2]],"000"))</f>
        <v>882</v>
      </c>
      <c r="AH15" s="149">
        <f ca="1">IFERROR(_xlfn.DAYS(Contrato5[[#This Row],[Fecha Proyectada liquidación]],TODAY())/30,"")</f>
        <v>-3.6333333333333333</v>
      </c>
      <c r="AI15" s="150">
        <f>+Contrato5[[#This Row],[FECHA TERMINACIÓN ]]+120</f>
        <v>45649</v>
      </c>
      <c r="AJ15" s="151"/>
      <c r="AK15" s="152" t="str">
        <f ca="1">IF(Contrato5[[#This Row],[FECHA TERMINACIÓN ]]&lt;TODAY(), "Terminado",IF(ISNUMBER(Contrato5[[#This Row],[Fecha Real de liquiidación ]]),"Liquidado",IF(Contrato5[[#This Row],[FECHA TERMINACIÓN ]]&gt;=TODAY(),"En ejecución","")))</f>
        <v>Terminado</v>
      </c>
      <c r="AL15" s="153" t="e">
        <f ca="1">SUMIF([2]!COMPROMISOS_2024[[#All],[consecutivo]],Contrato5[[#This Row],[RCP]],[2]!COMPROMISOS_2024[[#All],[Total pagado]])</f>
        <v>#REF!</v>
      </c>
      <c r="AM15" s="154">
        <f ca="1">IFERROR(Contrato5[[#This Row],[Pagos]]/Contrato5[[#This Row],[VALOR CONTRATO]],0)</f>
        <v>0</v>
      </c>
      <c r="AN15" s="155" t="e">
        <f ca="1">+Contrato5[[#This Row],[VALOR CONTRATO]]-Contrato5[[#This Row],[Pagos]]</f>
        <v>#REF!</v>
      </c>
      <c r="AO15" s="156" t="e" cm="1">
        <f t="array" aca="1" ref="AO15" ca="1">_xlfn.XLOOKUP(Contrato5[[#This Row],[DOCUMENTO ]],[2]!PERSONAL_ACTIVO_2024[[#All],[Documento identidad]],[2]!PERSONAL_ACTIVO_2024[[#All],[Mail ]],0,0)</f>
        <v>#NAME?</v>
      </c>
      <c r="AP15" s="156" t="e" cm="1">
        <f t="array" aca="1" ref="AP15" ca="1">_xlfn.XLOOKUP(Contrato5[[#This Row],[DOCUMENTO]],[2]!PERSONAL_ACTIVO_2024[[#All],[Documento identidad]],[2]!PERSONAL_ACTIVO_2024[[#All],[Mail ]],0,0)</f>
        <v>#NAME?</v>
      </c>
      <c r="AQ15" s="156" cm="1">
        <f t="array" aca="1" ref="AQ15" ca="1">IF(ISBLANK(Contrato5[[#This Row],[DEPENDENCIA ]]),0,IFERROR(_xlfn.XLOOKUP(Contrato5[[#This Row],[DEPENDENCIA ]],[2]!PERSONAL_ACTIVO_2024[[#All],[Dependencia]],[2]!PERSONAL_ACTIVO_2024[[#All],[Mail ]],0,0),0))</f>
        <v>0</v>
      </c>
    </row>
    <row r="16" spans="1:43" s="156" customFormat="1" ht="34.5" customHeight="1">
      <c r="A16" s="147" t="s">
        <v>2294</v>
      </c>
      <c r="B16" s="124">
        <v>8822023</v>
      </c>
      <c r="C16" s="162" t="s">
        <v>2291</v>
      </c>
      <c r="D16" s="227" t="s">
        <v>510</v>
      </c>
      <c r="E16" s="127" t="s">
        <v>78</v>
      </c>
      <c r="F16" s="128" t="s">
        <v>511</v>
      </c>
      <c r="G16" s="159" t="s">
        <v>512</v>
      </c>
      <c r="H16" s="410">
        <v>811003979</v>
      </c>
      <c r="I16" s="411" t="s">
        <v>42</v>
      </c>
      <c r="J16" s="412">
        <v>5676055</v>
      </c>
      <c r="K16" s="413"/>
      <c r="L16" s="414" t="s">
        <v>2462</v>
      </c>
      <c r="M16" s="134" t="s">
        <v>514</v>
      </c>
      <c r="N16" s="133" t="e" cm="1">
        <f t="array" aca="1" ref="N16" ca="1">_xlfn.XLOOKUP(Contrato5[[#This Row],[SUPERVISOR TITULAR]],[2]!PERSONAL_ACTIVO_2024[[#All],[Nombre completo]],[2]!PERSONAL_ACTIVO_2024[[#All],[Documento identidad]],"",0)</f>
        <v>#NAME?</v>
      </c>
      <c r="O16" s="134"/>
      <c r="P16" s="135" t="e" cm="1">
        <f t="array" aca="1" ref="P16" ca="1">_xlfn.XLOOKUP(Contrato5[[#This Row],[SUPERVISOR SUPLENTE ]],[2]!PERSONAL_ACTIVO_2024[[#All],[Nombre completo]],[2]!PERSONAL_ACTIVO_2024[[#All],[Documento identidad]],"",0)</f>
        <v>#NAME?</v>
      </c>
      <c r="Q16" s="136">
        <v>1023</v>
      </c>
      <c r="R16" s="137" t="e" cm="1">
        <f t="array" aca="1" ref="R16" ca="1">_xlfn.XLOOKUP(Contrato5[[#This Row],[CDP]],[2]!DISPONIBILIDADES_2024[[#All],[consecutivo]],[2]!DISPONIBILIDADES_2024[[#All],[fecha_aprobacion]],"",0)</f>
        <v>#NAME?</v>
      </c>
      <c r="S16" s="138" t="e">
        <f>SUMIF([2]!DISPONIBILIDADES_2024[[#All],[consecutivo]],Contrato5[[#This Row],[CDP]],[2]!DISPONIBILIDADES_2024[[#All],[valor_total_rubro]])</f>
        <v>#REF!</v>
      </c>
      <c r="T16" s="139" t="e" cm="1">
        <f t="array" aca="1" ref="T16" ca="1">_xlfn.XLOOKUP(Contrato5[[#This Row],[CONTRATO]]&amp;Contrato5[[#This Row],[CDP]],[2]!Corr_Contr_CDP[[#All],[CONTRATO-CDP]],[2]!Corr_Contr_CDP[[#All],[CRP]],_xlfn.XLOOKUP(Contrato5[[#This Row],[CDP]],[2]!COMPROMISOS_2024[[#All],[disponibilidad]],[2]!COMPROMISOS_2024[[#All],[consecutivo]],"",0),0)</f>
        <v>#NAME?</v>
      </c>
      <c r="U16" s="140" t="e" cm="1">
        <f t="array" aca="1" ref="U16" ca="1">+_xlfn.XLOOKUP(Contrato5[[#This Row],[RCP]],[2]!COMPROMISOS_2024[[#All],[consecutivo]],[2]!COMPROMISOS_2024[[#All],[fecha_aprobacion]],"",0)</f>
        <v>#NAME?</v>
      </c>
      <c r="V16" s="141" t="e">
        <f ca="1">SUMIF([2]!COMPROMISOS_2024[[#All],[consecutivo]],Contrato5[[#This Row],[RCP]],[2]!COMPROMISOS_2024[[#All],[valor_total]])</f>
        <v>#REF!</v>
      </c>
      <c r="W16" s="415">
        <v>45569</v>
      </c>
      <c r="X16" s="415">
        <v>45588</v>
      </c>
      <c r="Y16" s="143">
        <v>45514</v>
      </c>
      <c r="Z16" s="262">
        <v>45529</v>
      </c>
      <c r="AA16" s="423" t="s">
        <v>2461</v>
      </c>
      <c r="AB16" s="142" t="s">
        <v>2446</v>
      </c>
      <c r="AC16" s="145"/>
      <c r="AD16" s="421"/>
      <c r="AE16" s="147" t="s">
        <v>523</v>
      </c>
      <c r="AF16" s="148" t="str">
        <f>TEXT(LEFT(Contrato5[[#This Row],[CONTRATO]],3),"0")</f>
        <v>882</v>
      </c>
      <c r="AG16" s="148" t="str">
        <f>IF(LEN(Contrato5[[#This Row],[Contrato2]])=3,Contrato5[[#This Row],[Contrato2]],TEXT(Contrato5[[#This Row],[Contrato2]],"000"))</f>
        <v>882</v>
      </c>
      <c r="AH16" s="149">
        <f ca="1">IFERROR(_xlfn.DAYS(Contrato5[[#This Row],[Fecha Proyectada liquidación]],TODAY())/30,"")</f>
        <v>-3.6333333333333333</v>
      </c>
      <c r="AI16" s="150">
        <f>+Contrato5[[#This Row],[FECHA TERMINACIÓN ]]+120</f>
        <v>45649</v>
      </c>
      <c r="AJ16" s="151"/>
      <c r="AK16" s="152" t="str">
        <f ca="1">IF(Contrato5[[#This Row],[FECHA TERMINACIÓN ]]&lt;TODAY(), "Terminado",IF(ISNUMBER(Contrato5[[#This Row],[Fecha Real de liquiidación ]]),"Liquidado",IF(Contrato5[[#This Row],[FECHA TERMINACIÓN ]]&gt;=TODAY(),"En ejecución","")))</f>
        <v>Terminado</v>
      </c>
      <c r="AL16" s="153" t="e">
        <f ca="1">SUMIF([2]!COMPROMISOS_2024[[#All],[consecutivo]],Contrato5[[#This Row],[RCP]],[2]!COMPROMISOS_2024[[#All],[Total pagado]])</f>
        <v>#REF!</v>
      </c>
      <c r="AM16" s="154">
        <f ca="1">IFERROR(Contrato5[[#This Row],[Pagos]]/Contrato5[[#This Row],[VALOR CONTRATO]],0)</f>
        <v>0</v>
      </c>
      <c r="AN16" s="155" t="e">
        <f ca="1">+Contrato5[[#This Row],[VALOR CONTRATO]]-Contrato5[[#This Row],[Pagos]]</f>
        <v>#REF!</v>
      </c>
      <c r="AO16" s="156" t="e" cm="1">
        <f t="array" aca="1" ref="AO16" ca="1">_xlfn.XLOOKUP(Contrato5[[#This Row],[DOCUMENTO ]],[2]!PERSONAL_ACTIVO_2024[[#All],[Documento identidad]],[2]!PERSONAL_ACTIVO_2024[[#All],[Mail ]],0,0)</f>
        <v>#NAME?</v>
      </c>
      <c r="AP16" s="156" t="e" cm="1">
        <f t="array" aca="1" ref="AP16" ca="1">_xlfn.XLOOKUP(Contrato5[[#This Row],[DOCUMENTO]],[2]!PERSONAL_ACTIVO_2024[[#All],[Documento identidad]],[2]!PERSONAL_ACTIVO_2024[[#All],[Mail ]],0,0)</f>
        <v>#NAME?</v>
      </c>
      <c r="AQ16" s="156" cm="1">
        <f t="array" aca="1" ref="AQ16" ca="1">IF(ISBLANK(Contrato5[[#This Row],[DEPENDENCIA ]]),0,IFERROR(_xlfn.XLOOKUP(Contrato5[[#This Row],[DEPENDENCIA ]],[2]!PERSONAL_ACTIVO_2024[[#All],[Dependencia]],[2]!PERSONAL_ACTIVO_2024[[#All],[Mail ]],0,0),0))</f>
        <v>0</v>
      </c>
    </row>
    <row r="17" spans="1:43" s="156" customFormat="1" ht="34.5" customHeight="1">
      <c r="A17" s="428"/>
      <c r="B17" s="429">
        <v>5072022</v>
      </c>
      <c r="C17" s="162" t="s">
        <v>2463</v>
      </c>
      <c r="D17" s="430" t="s">
        <v>493</v>
      </c>
      <c r="E17" s="127" t="s">
        <v>78</v>
      </c>
      <c r="F17" s="157" t="s">
        <v>494</v>
      </c>
      <c r="G17" s="431" t="s">
        <v>2464</v>
      </c>
      <c r="H17" s="432">
        <v>860007738</v>
      </c>
      <c r="I17" s="433">
        <v>0</v>
      </c>
      <c r="J17" s="434">
        <v>0</v>
      </c>
      <c r="K17" s="413" t="s">
        <v>42</v>
      </c>
      <c r="L17" s="435" t="s">
        <v>2465</v>
      </c>
      <c r="M17" s="134" t="s">
        <v>498</v>
      </c>
      <c r="N17" s="133" t="e" cm="1">
        <f t="array" aca="1" ref="N17" ca="1">_xlfn.XLOOKUP(Contrato5[[#This Row],[SUPERVISOR TITULAR]],[2]!PERSONAL_ACTIVO_2024[[#All],[Nombre completo]],[2]!PERSONAL_ACTIVO_2024[[#All],[Documento identidad]],"",0)</f>
        <v>#NAME?</v>
      </c>
      <c r="O17" s="134" t="s">
        <v>497</v>
      </c>
      <c r="P17" s="135" t="e" cm="1">
        <f t="array" aca="1" ref="P17" ca="1">_xlfn.XLOOKUP(Contrato5[[#This Row],[SUPERVISOR SUPLENTE ]],[2]!PERSONAL_ACTIVO_2024[[#All],[Nombre completo]],[2]!PERSONAL_ACTIVO_2024[[#All],[Documento identidad]],"",0)</f>
        <v>#NAME?</v>
      </c>
      <c r="Q17" s="136" t="s">
        <v>42</v>
      </c>
      <c r="R17" s="137" t="e" cm="1">
        <f t="array" aca="1" ref="R17" ca="1">_xlfn.XLOOKUP(Contrato5[[#This Row],[CDP]],[2]!DISPONIBILIDADES_2024[[#All],[consecutivo]],[2]!DISPONIBILIDADES_2024[[#All],[fecha_aprobacion]],"",0)</f>
        <v>#NAME?</v>
      </c>
      <c r="S17" s="138" t="e">
        <f>SUMIF([2]!DISPONIBILIDADES_2024[[#All],[consecutivo]],Contrato5[[#This Row],[CDP]],[2]!DISPONIBILIDADES_2024[[#All],[valor_total_rubro]])</f>
        <v>#REF!</v>
      </c>
      <c r="T17" s="139" t="e" cm="1">
        <f t="array" aca="1" ref="T17" ca="1">_xlfn.XLOOKUP(Contrato5[[#This Row],[CONTRATO]]&amp;Contrato5[[#This Row],[CDP]],[2]!Corr_Contr_CDP[[#All],[CONTRATO-CDP]],[2]!Corr_Contr_CDP[[#All],[CRP]],_xlfn.XLOOKUP(Contrato5[[#This Row],[CDP]],[2]!COMPROMISOS_2024[[#All],[disponibilidad]],[2]!COMPROMISOS_2024[[#All],[consecutivo]],"",0),0)</f>
        <v>#NAME?</v>
      </c>
      <c r="U17" s="140" t="e" cm="1">
        <f t="array" aca="1" ref="U17" ca="1">+_xlfn.XLOOKUP(Contrato5[[#This Row],[RCP]],[2]!COMPROMISOS_2024[[#All],[consecutivo]],[2]!COMPROMISOS_2024[[#All],[fecha_aprobacion]],"",0)</f>
        <v>#NAME?</v>
      </c>
      <c r="V17" s="141" t="e">
        <f ca="1">SUMIF([2]!COMPROMISOS_2024[[#All],[consecutivo]],Contrato5[[#This Row],[RCP]],[2]!COMPROMISOS_2024[[#All],[valor_total]])</f>
        <v>#REF!</v>
      </c>
      <c r="W17" s="415">
        <v>44804</v>
      </c>
      <c r="X17" s="415"/>
      <c r="Y17" s="143">
        <v>44804</v>
      </c>
      <c r="Z17" s="262">
        <v>46752</v>
      </c>
      <c r="AA17" s="144"/>
      <c r="AB17" s="142"/>
      <c r="AC17" s="145"/>
      <c r="AD17" s="146"/>
      <c r="AE17" s="147"/>
      <c r="AF17" s="148" t="str">
        <f>TEXT(LEFT(Contrato5[[#This Row],[CONTRATO]],3),"0")</f>
        <v>507</v>
      </c>
      <c r="AG17" s="148" t="str">
        <f>IF(LEN(Contrato5[[#This Row],[Contrato2]])=3,Contrato5[[#This Row],[Contrato2]],TEXT(Contrato5[[#This Row],[Contrato2]],"000"))</f>
        <v>507</v>
      </c>
      <c r="AH17" s="149">
        <f ca="1">IFERROR(_xlfn.DAYS(Contrato5[[#This Row],[Fecha Proyectada liquidación]],TODAY())/30,"")</f>
        <v>37.133333333333333</v>
      </c>
      <c r="AI17" s="150">
        <f>+Contrato5[[#This Row],[FECHA TERMINACIÓN ]]+120</f>
        <v>46872</v>
      </c>
      <c r="AJ17" s="151"/>
      <c r="AK17" s="152" t="str">
        <f ca="1">IF(Contrato5[[#This Row],[FECHA TERMINACIÓN ]]&lt;TODAY(), "Terminado",IF(ISNUMBER(Contrato5[[#This Row],[Fecha Real de liquiidación ]]),"Liquidado",IF(Contrato5[[#This Row],[FECHA TERMINACIÓN ]]&gt;=TODAY(),"En ejecución","")))</f>
        <v>En ejecución</v>
      </c>
      <c r="AL17" s="153" t="e">
        <f ca="1">SUMIF([2]!COMPROMISOS_2024[[#All],[consecutivo]],Contrato5[[#This Row],[RCP]],[2]!COMPROMISOS_2024[[#All],[Total pagado]])</f>
        <v>#REF!</v>
      </c>
      <c r="AM17" s="154">
        <f ca="1">IFERROR(Contrato5[[#This Row],[Pagos]]/Contrato5[[#This Row],[VALOR CONTRATO]],0)</f>
        <v>0</v>
      </c>
      <c r="AN17" s="155" t="e">
        <f ca="1">+Contrato5[[#This Row],[VALOR CONTRATO]]-Contrato5[[#This Row],[Pagos]]</f>
        <v>#REF!</v>
      </c>
      <c r="AO17" s="156" t="e" cm="1">
        <f t="array" aca="1" ref="AO17" ca="1">_xlfn.XLOOKUP(Contrato5[[#This Row],[DOCUMENTO ]],[2]!PERSONAL_ACTIVO_2024[[#All],[Documento identidad]],[2]!PERSONAL_ACTIVO_2024[[#All],[Mail ]],0,0)</f>
        <v>#NAME?</v>
      </c>
      <c r="AP17" s="156" t="e" cm="1">
        <f t="array" aca="1" ref="AP17" ca="1">_xlfn.XLOOKUP(Contrato5[[#This Row],[DOCUMENTO]],[2]!PERSONAL_ACTIVO_2024[[#All],[Documento identidad]],[2]!PERSONAL_ACTIVO_2024[[#All],[Mail ]],0,0)</f>
        <v>#NAME?</v>
      </c>
      <c r="AQ17" s="156" cm="1">
        <f t="array" aca="1" ref="AQ17" ca="1">IF(ISBLANK(Contrato5[[#This Row],[DEPENDENCIA ]]),0,IFERROR(_xlfn.XLOOKUP(Contrato5[[#This Row],[DEPENDENCIA ]],[2]!PERSONAL_ACTIVO_2024[[#All],[Dependencia]],[2]!PERSONAL_ACTIVO_2024[[#All],[Mail ]],0,0),0))</f>
        <v>0</v>
      </c>
    </row>
    <row r="18" spans="1:43" ht="34.5" customHeight="1">
      <c r="A18" s="125"/>
      <c r="B18" s="124">
        <v>4112023</v>
      </c>
      <c r="C18" s="162" t="s">
        <v>2466</v>
      </c>
      <c r="D18" s="227" t="s">
        <v>510</v>
      </c>
      <c r="E18" s="172" t="s">
        <v>94</v>
      </c>
      <c r="F18" s="227" t="s">
        <v>255</v>
      </c>
      <c r="G18" s="281" t="s">
        <v>2467</v>
      </c>
      <c r="H18" s="436">
        <v>890985354</v>
      </c>
      <c r="I18" s="273" t="s">
        <v>2468</v>
      </c>
      <c r="J18" s="437" t="s">
        <v>2468</v>
      </c>
      <c r="K18" s="413" t="s">
        <v>42</v>
      </c>
      <c r="L18" s="438" t="s">
        <v>2469</v>
      </c>
      <c r="M18" s="194"/>
      <c r="N18" s="177" t="e" cm="1">
        <f t="array" aca="1" ref="N18" ca="1">_xlfn.XLOOKUP(Contrato5[[#This Row],[SUPERVISOR TITULAR]],[2]!PERSONAL_ACTIVO_2024[[#All],[Nombre completo]],[2]!PERSONAL_ACTIVO_2024[[#All],[Documento identidad]],"",0)</f>
        <v>#NAME?</v>
      </c>
      <c r="O18" s="194"/>
      <c r="P18" s="196" t="e" cm="1">
        <f t="array" aca="1" ref="P18" ca="1">_xlfn.XLOOKUP(Contrato5[[#This Row],[SUPERVISOR SUPLENTE ]],[2]!PERSONAL_ACTIVO_2024[[#All],[Nombre completo]],[2]!PERSONAL_ACTIVO_2024[[#All],[Documento identidad]],"",0)</f>
        <v>#NAME?</v>
      </c>
      <c r="Q18" s="170" t="s">
        <v>42</v>
      </c>
      <c r="R18" s="137" t="e" cm="1">
        <f t="array" aca="1" ref="R18" ca="1">_xlfn.XLOOKUP(Contrato5[[#This Row],[CDP]],[2]!DISPONIBILIDADES_2024[[#All],[consecutivo]],[2]!DISPONIBILIDADES_2024[[#All],[fecha_aprobacion]],"",0)</f>
        <v>#NAME?</v>
      </c>
      <c r="S18" s="138" t="e">
        <f>SUMIF([2]!DISPONIBILIDADES_2024[[#All],[consecutivo]],Contrato5[[#This Row],[CDP]],[2]!DISPONIBILIDADES_2024[[#All],[valor_total_rubro]])</f>
        <v>#REF!</v>
      </c>
      <c r="T18" s="139" t="e" cm="1">
        <f t="array" aca="1" ref="T18" ca="1">_xlfn.XLOOKUP(Contrato5[[#This Row],[CONTRATO]]&amp;Contrato5[[#This Row],[CDP]],[2]!Corr_Contr_CDP[[#All],[CONTRATO-CDP]],[2]!Corr_Contr_CDP[[#All],[CRP]],_xlfn.XLOOKUP(Contrato5[[#This Row],[CDP]],[2]!COMPROMISOS_2024[[#All],[disponibilidad]],[2]!COMPROMISOS_2024[[#All],[consecutivo]],"",0),0)</f>
        <v>#NAME?</v>
      </c>
      <c r="U18" s="140" t="e" cm="1">
        <f t="array" aca="1" ref="U18" ca="1">+_xlfn.XLOOKUP(Contrato5[[#This Row],[RCP]],[2]!COMPROMISOS_2024[[#All],[consecutivo]],[2]!COMPROMISOS_2024[[#All],[fecha_aprobacion]],"",0)</f>
        <v>#NAME?</v>
      </c>
      <c r="V18" s="141" t="e">
        <f ca="1">SUMIF([2]!COMPROMISOS_2024[[#All],[consecutivo]],Contrato5[[#This Row],[RCP]],[2]!COMPROMISOS_2024[[#All],[valor_total]])</f>
        <v>#REF!</v>
      </c>
      <c r="W18" s="415"/>
      <c r="X18" s="415"/>
      <c r="Y18" s="143" t="e">
        <f ca="1">+LEFT(_xlfn.XLOOKUP(Contrato5[[#This Row],[CONTRATO3DIG]],[2]SECOP_II!AE:AE,[2]SECOP_II!F:F,"",0),10)</f>
        <v>#NAME?</v>
      </c>
      <c r="Z18" s="262"/>
      <c r="AA18" s="183"/>
      <c r="AB18" s="280"/>
      <c r="AC18" s="280"/>
      <c r="AD18" s="211"/>
      <c r="AE18" s="147"/>
      <c r="AF18" s="148" t="str">
        <f>TEXT(LEFT(Contrato5[[#This Row],[CONTRATO]],3),"0")</f>
        <v>411</v>
      </c>
      <c r="AG18" s="148" t="str">
        <f>IF(LEN(Contrato5[[#This Row],[Contrato2]])=3,Contrato5[[#This Row],[Contrato2]],TEXT(Contrato5[[#This Row],[Contrato2]],"000"))</f>
        <v>411</v>
      </c>
      <c r="AH18" s="149">
        <f ca="1">IFERROR(_xlfn.DAYS(Contrato5[[#This Row],[Fecha Proyectada liquidación]],TODAY())/30,"")</f>
        <v>-1521.2666666666667</v>
      </c>
      <c r="AI18" s="150">
        <f>+Contrato5[[#This Row],[FECHA TERMINACIÓN ]]+120</f>
        <v>120</v>
      </c>
      <c r="AJ18" s="147"/>
      <c r="AK18" s="152" t="str">
        <f ca="1">IF(Contrato5[[#This Row],[FECHA TERMINACIÓN ]]&lt;TODAY(), "Terminado",IF(ISNUMBER(Contrato5[[#This Row],[Fecha Real de liquiidación ]]),"Liquidado",IF(Contrato5[[#This Row],[FECHA TERMINACIÓN ]]&gt;=TODAY(),"En ejecución","")))</f>
        <v>Terminado</v>
      </c>
      <c r="AL18" s="153" t="e">
        <f ca="1">SUMIF([2]!COMPROMISOS_2024[[#All],[consecutivo]],Contrato5[[#This Row],[RCP]],[2]!COMPROMISOS_2024[[#All],[Total pagado]])</f>
        <v>#REF!</v>
      </c>
      <c r="AM18" s="154">
        <f ca="1">IFERROR(Contrato5[[#This Row],[Pagos]]/Contrato5[[#This Row],[VALOR CONTRATO]],0)</f>
        <v>0</v>
      </c>
      <c r="AN18" s="198" t="e">
        <f ca="1">+Contrato5[[#This Row],[VALOR CONTRATO]]-Contrato5[[#This Row],[Pagos]]</f>
        <v>#VALUE!</v>
      </c>
      <c r="AO18" s="147" t="e" cm="1">
        <f t="array" aca="1" ref="AO18" ca="1">_xlfn.XLOOKUP(Contrato5[[#This Row],[DOCUMENTO ]],[2]!PERSONAL_ACTIVO_2024[[#All],[Documento identidad]],[2]!PERSONAL_ACTIVO_2024[[#All],[Mail ]],0,0)</f>
        <v>#NAME?</v>
      </c>
      <c r="AP18" s="147" t="e" cm="1">
        <f t="array" aca="1" ref="AP18" ca="1">_xlfn.XLOOKUP(Contrato5[[#This Row],[DOCUMENTO]],[2]!PERSONAL_ACTIVO_2024[[#All],[Documento identidad]],[2]!PERSONAL_ACTIVO_2024[[#All],[Mail ]],0,0)</f>
        <v>#NAME?</v>
      </c>
      <c r="AQ18" s="439" cm="1">
        <f t="array" aca="1" ref="AQ18" ca="1">IF(ISBLANK(Contrato5[[#This Row],[DEPENDENCIA ]]),0,IFERROR(_xlfn.XLOOKUP(Contrato5[[#This Row],[DEPENDENCIA ]],[2]!PERSONAL_ACTIVO_2024[[#All],[Dependencia]],[2]!PERSONAL_ACTIVO_2024[[#All],[Mail ]],0,0),0))</f>
        <v>0</v>
      </c>
    </row>
    <row r="19" spans="1:43" ht="34.5" customHeight="1">
      <c r="A19" s="125"/>
      <c r="B19" s="124">
        <v>3952023</v>
      </c>
      <c r="C19" s="162" t="s">
        <v>2470</v>
      </c>
      <c r="D19" s="227" t="s">
        <v>510</v>
      </c>
      <c r="E19" s="440" t="s">
        <v>2148</v>
      </c>
      <c r="F19" s="227" t="s">
        <v>255</v>
      </c>
      <c r="G19" s="281" t="s">
        <v>2471</v>
      </c>
      <c r="H19" s="436">
        <v>890983728</v>
      </c>
      <c r="I19" s="273" t="s">
        <v>344</v>
      </c>
      <c r="J19" s="437">
        <v>1590887222</v>
      </c>
      <c r="K19" s="131" t="s">
        <v>2472</v>
      </c>
      <c r="L19" s="438" t="s">
        <v>2473</v>
      </c>
      <c r="M19" s="194" t="s">
        <v>514</v>
      </c>
      <c r="N19" s="177" t="e" cm="1">
        <f t="array" aca="1" ref="N19" ca="1">_xlfn.XLOOKUP(Contrato5[[#This Row],[SUPERVISOR TITULAR]],[2]!PERSONAL_ACTIVO_2024[[#All],[Nombre completo]],[2]!PERSONAL_ACTIVO_2024[[#All],[Documento identidad]],"",0)</f>
        <v>#NAME?</v>
      </c>
      <c r="O19" s="194"/>
      <c r="P19" s="196" t="e" cm="1">
        <f t="array" aca="1" ref="P19" ca="1">_xlfn.XLOOKUP(Contrato5[[#This Row],[SUPERVISOR SUPLENTE ]],[2]!PERSONAL_ACTIVO_2024[[#All],[Nombre completo]],[2]!PERSONAL_ACTIVO_2024[[#All],[Documento identidad]],"",0)</f>
        <v>#NAME?</v>
      </c>
      <c r="Q19" s="170"/>
      <c r="R19" s="137" t="e" cm="1">
        <f t="array" aca="1" ref="R19" ca="1">_xlfn.XLOOKUP(Contrato5[[#This Row],[CDP]],[2]!DISPONIBILIDADES_2024[[#All],[consecutivo]],[2]!DISPONIBILIDADES_2024[[#All],[fecha_aprobacion]],"",0)</f>
        <v>#NAME?</v>
      </c>
      <c r="S19" s="138" t="e">
        <f>SUMIF([2]!DISPONIBILIDADES_2024[[#All],[consecutivo]],Contrato5[[#This Row],[CDP]],[2]!DISPONIBILIDADES_2024[[#All],[valor_total_rubro]])</f>
        <v>#REF!</v>
      </c>
      <c r="T19" s="139" t="e" cm="1">
        <f t="array" aca="1" ref="T19" ca="1">_xlfn.XLOOKUP(Contrato5[[#This Row],[CONTRATO]]&amp;Contrato5[[#This Row],[CDP]],[2]!Corr_Contr_CDP[[#All],[CONTRATO-CDP]],[2]!Corr_Contr_CDP[[#All],[CRP]],_xlfn.XLOOKUP(Contrato5[[#This Row],[CDP]],[2]!COMPROMISOS_2024[[#All],[disponibilidad]],[2]!COMPROMISOS_2024[[#All],[consecutivo]],"",0),0)</f>
        <v>#NAME?</v>
      </c>
      <c r="U19" s="140" t="e" cm="1">
        <f t="array" aca="1" ref="U19" ca="1">+_xlfn.XLOOKUP(Contrato5[[#This Row],[RCP]],[2]!COMPROMISOS_2024[[#All],[consecutivo]],[2]!COMPROMISOS_2024[[#All],[fecha_aprobacion]],"",0)</f>
        <v>#NAME?</v>
      </c>
      <c r="V19" s="141" t="e">
        <f ca="1">SUMIF([2]!COMPROMISOS_2024[[#All],[consecutivo]],Contrato5[[#This Row],[RCP]],[2]!COMPROMISOS_2024[[#All],[valor_total]])</f>
        <v>#REF!</v>
      </c>
      <c r="W19" s="415"/>
      <c r="X19" s="415"/>
      <c r="Y19" s="143" t="e">
        <f ca="1">+LEFT(_xlfn.XLOOKUP(Contrato5[[#This Row],[CONTRATO3DIG]],[2]SECOP_II!AE:AE,[2]SECOP_II!F:F,"",0),10)</f>
        <v>#NAME?</v>
      </c>
      <c r="Z19" s="262"/>
      <c r="AA19" s="183"/>
      <c r="AB19" s="172"/>
      <c r="AC19" s="172"/>
      <c r="AD19" s="211"/>
      <c r="AE19" s="147"/>
      <c r="AF19" s="148" t="str">
        <f>TEXT(LEFT(Contrato5[[#This Row],[CONTRATO]],3),"0")</f>
        <v>395</v>
      </c>
      <c r="AG19" s="148" t="str">
        <f>IF(LEN(Contrato5[[#This Row],[Contrato2]])=3,Contrato5[[#This Row],[Contrato2]],TEXT(Contrato5[[#This Row],[Contrato2]],"000"))</f>
        <v>395</v>
      </c>
      <c r="AH19" s="149">
        <f ca="1">IFERROR(_xlfn.DAYS(Contrato5[[#This Row],[Fecha Proyectada liquidación]],TODAY())/30,"")</f>
        <v>-1521.2666666666667</v>
      </c>
      <c r="AI19" s="150">
        <f>+Contrato5[[#This Row],[FECHA TERMINACIÓN ]]+120</f>
        <v>120</v>
      </c>
      <c r="AJ19" s="147"/>
      <c r="AK19" s="152" t="str">
        <f ca="1">IF(Contrato5[[#This Row],[FECHA TERMINACIÓN ]]&lt;TODAY(), "Terminado",IF(ISNUMBER(Contrato5[[#This Row],[Fecha Real de liquiidación ]]),"Liquidado",IF(Contrato5[[#This Row],[FECHA TERMINACIÓN ]]&gt;=TODAY(),"En ejecución","")))</f>
        <v>Terminado</v>
      </c>
      <c r="AL19" s="153" t="e">
        <f ca="1">SUMIF([2]!COMPROMISOS_2024[[#All],[consecutivo]],Contrato5[[#This Row],[RCP]],[2]!COMPROMISOS_2024[[#All],[Total pagado]])</f>
        <v>#REF!</v>
      </c>
      <c r="AM19" s="154">
        <f ca="1">IFERROR(Contrato5[[#This Row],[Pagos]]/Contrato5[[#This Row],[VALOR CONTRATO]],0)</f>
        <v>0</v>
      </c>
      <c r="AN19" s="198" t="e">
        <f ca="1">+Contrato5[[#This Row],[VALOR CONTRATO]]-Contrato5[[#This Row],[Pagos]]</f>
        <v>#REF!</v>
      </c>
      <c r="AO19" s="147" t="e" cm="1">
        <f t="array" aca="1" ref="AO19" ca="1">_xlfn.XLOOKUP(Contrato5[[#This Row],[DOCUMENTO ]],[2]!PERSONAL_ACTIVO_2024[[#All],[Documento identidad]],[2]!PERSONAL_ACTIVO_2024[[#All],[Mail ]],0,0)</f>
        <v>#NAME?</v>
      </c>
      <c r="AP19" s="147" t="e" cm="1">
        <f t="array" aca="1" ref="AP19" ca="1">_xlfn.XLOOKUP(Contrato5[[#This Row],[DOCUMENTO]],[2]!PERSONAL_ACTIVO_2024[[#All],[Documento identidad]],[2]!PERSONAL_ACTIVO_2024[[#All],[Mail ]],0,0)</f>
        <v>#NAME?</v>
      </c>
      <c r="AQ19" s="439" cm="1">
        <f t="array" aca="1" ref="AQ19" ca="1">IF(ISBLANK(Contrato5[[#This Row],[DEPENDENCIA ]]),0,IFERROR(_xlfn.XLOOKUP(Contrato5[[#This Row],[DEPENDENCIA ]],[2]!PERSONAL_ACTIVO_2024[[#All],[Dependencia]],[2]!PERSONAL_ACTIVO_2024[[#All],[Mail ]],0,0),0))</f>
        <v>0</v>
      </c>
    </row>
    <row r="20" spans="1:43" ht="34.5" customHeight="1">
      <c r="A20" s="147">
        <v>1087</v>
      </c>
      <c r="B20" s="124">
        <v>8062023</v>
      </c>
      <c r="C20" s="162" t="s">
        <v>2219</v>
      </c>
      <c r="D20" s="227" t="s">
        <v>583</v>
      </c>
      <c r="E20" s="127" t="s">
        <v>78</v>
      </c>
      <c r="F20" s="157" t="s">
        <v>494</v>
      </c>
      <c r="G20" s="441" t="s">
        <v>504</v>
      </c>
      <c r="H20" s="442">
        <v>891700037</v>
      </c>
      <c r="I20" s="273" t="s">
        <v>344</v>
      </c>
      <c r="J20" s="437">
        <v>81534247</v>
      </c>
      <c r="K20" s="413" t="s">
        <v>42</v>
      </c>
      <c r="L20" s="438" t="s">
        <v>2454</v>
      </c>
      <c r="M20" s="194" t="s">
        <v>646</v>
      </c>
      <c r="N20" s="195">
        <v>43575980.700000003</v>
      </c>
      <c r="O20" s="194" t="s">
        <v>600</v>
      </c>
      <c r="P20" s="135">
        <v>3507696.4</v>
      </c>
      <c r="Q20" s="170">
        <v>876</v>
      </c>
      <c r="R20" s="137" t="e" cm="1">
        <f t="array" aca="1" ref="R20" ca="1">_xlfn.XLOOKUP(Contrato5[[#This Row],[CDP]],[2]!DISPONIBILIDADES_2024[[#All],[consecutivo]],[2]!DISPONIBILIDADES_2024[[#All],[fecha_aprobacion]],"",0)</f>
        <v>#NAME?</v>
      </c>
      <c r="S20" s="138" t="e">
        <f>SUMIF([2]!DISPONIBILIDADES_2024[[#All],[consecutivo]],Contrato5[[#This Row],[CDP]],[2]!DISPONIBILIDADES_2024[[#All],[valor_total_rubro]])</f>
        <v>#REF!</v>
      </c>
      <c r="T20" s="139" t="e" cm="1">
        <f t="array" aca="1" ref="T20" ca="1">_xlfn.XLOOKUP(Contrato5[[#This Row],[CONTRATO]]&amp;Contrato5[[#This Row],[CDP]],[2]!Corr_Contr_CDP[[#All],[CONTRATO-CDP]],[2]!Corr_Contr_CDP[[#All],[CRP]],_xlfn.XLOOKUP(Contrato5[[#This Row],[CDP]],[2]!COMPROMISOS_2024[[#All],[disponibilidad]],[2]!COMPROMISOS_2024[[#All],[consecutivo]],"",0),0)</f>
        <v>#NAME?</v>
      </c>
      <c r="U20" s="140" t="e" cm="1">
        <f t="array" aca="1" ref="U20" ca="1">+_xlfn.XLOOKUP(Contrato5[[#This Row],[RCP]],[2]!COMPROMISOS_2024[[#All],[consecutivo]],[2]!COMPROMISOS_2024[[#All],[fecha_aprobacion]],"",0)</f>
        <v>#NAME?</v>
      </c>
      <c r="V20" s="141" t="e">
        <f ca="1">SUMIF([2]!COMPROMISOS_2024[[#All],[consecutivo]],Contrato5[[#This Row],[RCP]],[2]!COMPROMISOS_2024[[#All],[valor_total]])</f>
        <v>#REF!</v>
      </c>
      <c r="W20" s="415">
        <v>45553</v>
      </c>
      <c r="X20" s="415">
        <v>45562</v>
      </c>
      <c r="Y20" s="143">
        <v>45555</v>
      </c>
      <c r="Z20" s="262">
        <v>45618</v>
      </c>
      <c r="AA20" s="225" t="s">
        <v>2474</v>
      </c>
      <c r="AB20" s="172" t="s">
        <v>2475</v>
      </c>
      <c r="AC20" s="127"/>
      <c r="AD20" s="211"/>
      <c r="AE20" s="147" t="s">
        <v>523</v>
      </c>
      <c r="AF20" s="148" t="str">
        <f>TEXT(LEFT(Contrato5[[#This Row],[CONTRATO]],3),"0")</f>
        <v>806</v>
      </c>
      <c r="AG20" s="148" t="str">
        <f>IF(LEN(Contrato5[[#This Row],[Contrato2]])=3,Contrato5[[#This Row],[Contrato2]],TEXT(Contrato5[[#This Row],[Contrato2]],"000"))</f>
        <v>806</v>
      </c>
      <c r="AH20" s="149">
        <f ca="1">IFERROR(_xlfn.DAYS(Contrato5[[#This Row],[Fecha Proyectada liquidación]],TODAY())/30,"")</f>
        <v>-0.66666666666666663</v>
      </c>
      <c r="AI20" s="150">
        <f>+Contrato5[[#This Row],[FECHA TERMINACIÓN ]]+120</f>
        <v>45738</v>
      </c>
      <c r="AK20" s="152" t="str">
        <f ca="1">IF(Contrato5[[#This Row],[FECHA TERMINACIÓN ]]&lt;TODAY(), "Terminado",IF(ISNUMBER(Contrato5[[#This Row],[Fecha Real de liquiidación ]]),"Liquidado",IF(Contrato5[[#This Row],[FECHA TERMINACIÓN ]]&gt;=TODAY(),"En ejecución","")))</f>
        <v>Terminado</v>
      </c>
      <c r="AL20" s="153" t="e">
        <f ca="1">SUMIF([2]!COMPROMISOS_2024[[#All],[consecutivo]],Contrato5[[#This Row],[RCP]],[2]!COMPROMISOS_2024[[#All],[Total pagado]])</f>
        <v>#REF!</v>
      </c>
      <c r="AM20" s="154">
        <f ca="1">IFERROR(Contrato5[[#This Row],[Pagos]]/Contrato5[[#This Row],[VALOR CONTRATO]],0)</f>
        <v>0</v>
      </c>
      <c r="AN20" s="175" t="e">
        <f ca="1">+Contrato5[[#This Row],[VALOR CONTRATO]]-Contrato5[[#This Row],[Pagos]]</f>
        <v>#REF!</v>
      </c>
      <c r="AO20" s="151" t="e" cm="1">
        <f t="array" aca="1" ref="AO20" ca="1">_xlfn.XLOOKUP(Contrato5[[#This Row],[DOCUMENTO ]],[2]!PERSONAL_ACTIVO_2024[[#All],[Documento identidad]],[2]!PERSONAL_ACTIVO_2024[[#All],[Mail ]],0,0)</f>
        <v>#NAME?</v>
      </c>
      <c r="AP20" s="151" t="e" cm="1">
        <f t="array" aca="1" ref="AP20" ca="1">_xlfn.XLOOKUP(Contrato5[[#This Row],[DOCUMENTO]],[2]!PERSONAL_ACTIVO_2024[[#All],[Documento identidad]],[2]!PERSONAL_ACTIVO_2024[[#All],[Mail ]],0,0)</f>
        <v>#NAME?</v>
      </c>
      <c r="AQ20" s="151" cm="1">
        <f t="array" aca="1" ref="AQ20" ca="1">IF(ISBLANK(Contrato5[[#This Row],[DEPENDENCIA ]]),0,IFERROR(_xlfn.XLOOKUP(Contrato5[[#This Row],[DEPENDENCIA ]],[2]!PERSONAL_ACTIVO_2024[[#All],[Dependencia]],[2]!PERSONAL_ACTIVO_2024[[#All],[Mail ]],0,0),0))</f>
        <v>0</v>
      </c>
    </row>
    <row r="21" spans="1:43" ht="34.5" customHeight="1">
      <c r="A21" s="147">
        <v>1329</v>
      </c>
      <c r="B21" s="124">
        <v>6532023</v>
      </c>
      <c r="C21" s="162" t="s">
        <v>2260</v>
      </c>
      <c r="D21" s="227" t="s">
        <v>510</v>
      </c>
      <c r="E21" s="127" t="s">
        <v>78</v>
      </c>
      <c r="F21" s="128" t="s">
        <v>255</v>
      </c>
      <c r="G21" s="441" t="s">
        <v>2476</v>
      </c>
      <c r="H21" s="443">
        <v>890981868</v>
      </c>
      <c r="I21" s="273" t="s">
        <v>344</v>
      </c>
      <c r="J21" s="188">
        <v>374209826</v>
      </c>
      <c r="K21" s="413"/>
      <c r="L21" s="166" t="s">
        <v>2477</v>
      </c>
      <c r="M21" s="194"/>
      <c r="N21" s="195" t="e" cm="1">
        <f t="array" aca="1" ref="N21" ca="1">_xlfn.XLOOKUP(Contrato5[[#This Row],[SUPERVISOR TITULAR]],[2]!PERSONAL_ACTIVO_2024[[#All],[Nombre completo]],[2]!PERSONAL_ACTIVO_2024[[#All],[Documento identidad]],"",0)</f>
        <v>#NAME?</v>
      </c>
      <c r="O21" s="194"/>
      <c r="P21" s="135" t="e" cm="1">
        <f t="array" aca="1" ref="P21" ca="1">_xlfn.XLOOKUP(Contrato5[[#This Row],[SUPERVISOR SUPLENTE ]],[2]!PERSONAL_ACTIVO_2024[[#All],[Nombre completo]],[2]!PERSONAL_ACTIVO_2024[[#All],[Documento identidad]],"",0)</f>
        <v>#NAME?</v>
      </c>
      <c r="Q21" s="170">
        <v>1219</v>
      </c>
      <c r="R21" s="137" t="e" cm="1">
        <f t="array" aca="1" ref="R21" ca="1">_xlfn.XLOOKUP(Contrato5[[#This Row],[CDP]],[2]!DISPONIBILIDADES_2024[[#All],[consecutivo]],[2]!DISPONIBILIDADES_2024[[#All],[fecha_aprobacion]],"",0)</f>
        <v>#NAME?</v>
      </c>
      <c r="S21" s="138" t="e">
        <f>SUMIF([2]!DISPONIBILIDADES_2024[[#All],[consecutivo]],Contrato5[[#This Row],[CDP]],[2]!DISPONIBILIDADES_2024[[#All],[valor_total_rubro]])</f>
        <v>#REF!</v>
      </c>
      <c r="T21" s="139" t="e" cm="1">
        <f t="array" aca="1" ref="T21" ca="1">_xlfn.XLOOKUP(Contrato5[[#This Row],[CONTRATO]]&amp;Contrato5[[#This Row],[CDP]],[2]!Corr_Contr_CDP[[#All],[CONTRATO-CDP]],[2]!Corr_Contr_CDP[[#All],[CRP]],_xlfn.XLOOKUP(Contrato5[[#This Row],[CDP]],[2]!COMPROMISOS_2024[[#All],[disponibilidad]],[2]!COMPROMISOS_2024[[#All],[consecutivo]],"",0),0)</f>
        <v>#NAME?</v>
      </c>
      <c r="U21" s="140" t="e" cm="1">
        <f t="array" aca="1" ref="U21" ca="1">+_xlfn.XLOOKUP(Contrato5[[#This Row],[RCP]],[2]!COMPROMISOS_2024[[#All],[consecutivo]],[2]!COMPROMISOS_2024[[#All],[fecha_aprobacion]],"",0)</f>
        <v>#NAME?</v>
      </c>
      <c r="V21" s="141" t="e">
        <f ca="1">SUMIF([2]!COMPROMISOS_2024[[#All],[consecutivo]],Contrato5[[#This Row],[RCP]],[2]!COMPROMISOS_2024[[#All],[valor_total]])</f>
        <v>#REF!</v>
      </c>
      <c r="W21" s="422"/>
      <c r="X21" s="415"/>
      <c r="Y21" s="143" t="e">
        <f ca="1">+LEFT(_xlfn.XLOOKUP(Contrato5[[#This Row],[CONTRATO3DIG]],[2]SECOP_II!AE:AE,[2]SECOP_II!F:F,"",0),10)</f>
        <v>#NAME?</v>
      </c>
      <c r="Z21" s="262">
        <v>45767</v>
      </c>
      <c r="AA21" s="225"/>
      <c r="AB21" s="172"/>
      <c r="AC21" s="127"/>
      <c r="AD21" s="211"/>
      <c r="AE21" s="147"/>
      <c r="AF21" s="148" t="str">
        <f>TEXT(LEFT(Contrato5[[#This Row],[CONTRATO]],3),"0")</f>
        <v>653</v>
      </c>
      <c r="AG21" s="148" t="str">
        <f>IF(LEN(Contrato5[[#This Row],[Contrato2]])=3,Contrato5[[#This Row],[Contrato2]],TEXT(Contrato5[[#This Row],[Contrato2]],"000"))</f>
        <v>653</v>
      </c>
      <c r="AH21" s="149">
        <f ca="1">IFERROR(_xlfn.DAYS(Contrato5[[#This Row],[Fecha Proyectada liquidación]],TODAY())/30,"")</f>
        <v>4.3</v>
      </c>
      <c r="AI21" s="150">
        <f>+Contrato5[[#This Row],[FECHA TERMINACIÓN ]]+120</f>
        <v>45887</v>
      </c>
      <c r="AK21" s="152" t="str">
        <f ca="1">IF(Contrato5[[#This Row],[FECHA TERMINACIÓN ]]&lt;TODAY(), "Terminado",IF(ISNUMBER(Contrato5[[#This Row],[Fecha Real de liquiidación ]]),"Liquidado",IF(Contrato5[[#This Row],[FECHA TERMINACIÓN ]]&gt;=TODAY(),"En ejecución","")))</f>
        <v>En ejecución</v>
      </c>
      <c r="AL21" s="153" t="e">
        <f ca="1">SUMIF([2]!COMPROMISOS_2024[[#All],[consecutivo]],Contrato5[[#This Row],[RCP]],[2]!COMPROMISOS_2024[[#All],[Total pagado]])</f>
        <v>#REF!</v>
      </c>
      <c r="AM21" s="154">
        <f ca="1">IFERROR(Contrato5[[#This Row],[Pagos]]/Contrato5[[#This Row],[VALOR CONTRATO]],0)</f>
        <v>0</v>
      </c>
      <c r="AN21" s="175" t="e">
        <f ca="1">+Contrato5[[#This Row],[VALOR CONTRATO]]-Contrato5[[#This Row],[Pagos]]</f>
        <v>#REF!</v>
      </c>
      <c r="AO21" s="151" t="e" cm="1">
        <f t="array" aca="1" ref="AO21" ca="1">_xlfn.XLOOKUP(Contrato5[[#This Row],[DOCUMENTO ]],[2]!PERSONAL_ACTIVO_2024[[#All],[Documento identidad]],[2]!PERSONAL_ACTIVO_2024[[#All],[Mail ]],0,0)</f>
        <v>#NAME?</v>
      </c>
      <c r="AP21" s="151" t="e" cm="1">
        <f t="array" aca="1" ref="AP21" ca="1">_xlfn.XLOOKUP(Contrato5[[#This Row],[DOCUMENTO]],[2]!PERSONAL_ACTIVO_2024[[#All],[Documento identidad]],[2]!PERSONAL_ACTIVO_2024[[#All],[Mail ]],0,0)</f>
        <v>#NAME?</v>
      </c>
      <c r="AQ21" s="151" cm="1">
        <f t="array" aca="1" ref="AQ21" ca="1">IF(ISBLANK(Contrato5[[#This Row],[DEPENDENCIA ]]),0,IFERROR(_xlfn.XLOOKUP(Contrato5[[#This Row],[DEPENDENCIA ]],[2]!PERSONAL_ACTIVO_2024[[#All],[Dependencia]],[2]!PERSONAL_ACTIVO_2024[[#All],[Mail ]],0,0),0))</f>
        <v>0</v>
      </c>
    </row>
    <row r="22" spans="1:43" ht="34.5" customHeight="1">
      <c r="A22" s="125">
        <v>498</v>
      </c>
      <c r="B22" s="124">
        <v>1</v>
      </c>
      <c r="C22" s="162" t="s">
        <v>2478</v>
      </c>
      <c r="D22" s="126" t="s">
        <v>515</v>
      </c>
      <c r="E22" s="172" t="s">
        <v>94</v>
      </c>
      <c r="F22" s="163" t="s">
        <v>161</v>
      </c>
      <c r="G22" s="164" t="s">
        <v>516</v>
      </c>
      <c r="H22" s="444">
        <v>901437957</v>
      </c>
      <c r="I22" s="309" t="s">
        <v>42</v>
      </c>
      <c r="J22" s="445">
        <v>148646441</v>
      </c>
      <c r="K22" s="131" t="s">
        <v>517</v>
      </c>
      <c r="L22" s="438" t="s">
        <v>518</v>
      </c>
      <c r="M22" s="178" t="s">
        <v>519</v>
      </c>
      <c r="N22" s="167" t="e" cm="1">
        <f t="array" aca="1" ref="N22" ca="1">_xlfn.XLOOKUP(Contrato5[[#This Row],[SUPERVISOR TITULAR]],[2]!PERSONAL_ACTIVO_2024[[#All],[Nombre completo]],[2]!PERSONAL_ACTIVO_2024[[#All],[Documento identidad]],"",0)</f>
        <v>#NAME?</v>
      </c>
      <c r="O22" s="168" t="s">
        <v>520</v>
      </c>
      <c r="P22" s="169" t="e" cm="1">
        <f t="array" aca="1" ref="P22" ca="1">_xlfn.XLOOKUP(Contrato5[[#This Row],[SUPERVISOR SUPLENTE ]],[2]!PERSONAL_ACTIVO_2024[[#All],[Nombre completo]],[2]!PERSONAL_ACTIVO_2024[[#All],[Documento identidad]],"",0)</f>
        <v>#NAME?</v>
      </c>
      <c r="Q22" s="170">
        <v>1</v>
      </c>
      <c r="R22" s="137" t="e" cm="1">
        <f t="array" aca="1" ref="R22" ca="1">_xlfn.XLOOKUP(Contrato5[[#This Row],[CDP]],[2]!DISPONIBILIDADES_2024[[#All],[consecutivo]],[2]!DISPONIBILIDADES_2024[[#All],[fecha_aprobacion]],"",0)</f>
        <v>#NAME?</v>
      </c>
      <c r="S22" s="138" t="e">
        <f>SUMIF([2]!DISPONIBILIDADES_2024[[#All],[consecutivo]],Contrato5[[#This Row],[CDP]],[2]!DISPONIBILIDADES_2024[[#All],[valor_total_rubro]])</f>
        <v>#REF!</v>
      </c>
      <c r="T22" s="139" t="e" cm="1">
        <f t="array" aca="1" ref="T22" ca="1">_xlfn.XLOOKUP(Contrato5[[#This Row],[CONTRATO]]&amp;Contrato5[[#This Row],[CDP]],[2]!Corr_Contr_CDP[[#All],[CONTRATO-CDP]],[2]!Corr_Contr_CDP[[#All],[CRP]],_xlfn.XLOOKUP(Contrato5[[#This Row],[CDP]],[2]!COMPROMISOS_2024[[#All],[disponibilidad]],[2]!COMPROMISOS_2024[[#All],[consecutivo]],"",0),0)</f>
        <v>#NAME?</v>
      </c>
      <c r="U22" s="140" t="e" cm="1">
        <f t="array" aca="1" ref="U22" ca="1">+_xlfn.XLOOKUP(Contrato5[[#This Row],[RCP]],[2]!COMPROMISOS_2024[[#All],[consecutivo]],[2]!COMPROMISOS_2024[[#All],[fecha_aprobacion]],"",0)</f>
        <v>#NAME?</v>
      </c>
      <c r="V22" s="141" t="e">
        <f ca="1">SUMIF([2]!COMPROMISOS_2024[[#All],[consecutivo]],Contrato5[[#This Row],[RCP]],[2]!COMPROMISOS_2024[[#All],[valor_total]])</f>
        <v>#REF!</v>
      </c>
      <c r="W22" s="415">
        <v>45302</v>
      </c>
      <c r="X22" s="415">
        <v>45302</v>
      </c>
      <c r="Y22" s="143">
        <v>45302</v>
      </c>
      <c r="Z22" s="262">
        <v>45313</v>
      </c>
      <c r="AA22" s="171" t="s">
        <v>521</v>
      </c>
      <c r="AB22" s="172" t="s">
        <v>522</v>
      </c>
      <c r="AD22" s="174">
        <v>202000003452</v>
      </c>
      <c r="AE22" s="147" t="s">
        <v>523</v>
      </c>
      <c r="AF22" s="148" t="str">
        <f>TEXT(LEFT(Contrato5[[#This Row],[CONTRATO]],3),"0")</f>
        <v>1</v>
      </c>
      <c r="AG22" s="148" t="str">
        <f>IF(LEN(Contrato5[[#This Row],[Contrato2]])=3,Contrato5[[#This Row],[Contrato2]],TEXT(Contrato5[[#This Row],[Contrato2]],"000"))</f>
        <v>001</v>
      </c>
      <c r="AH22" s="149">
        <f ca="1">IFERROR(_xlfn.DAYS(Contrato5[[#This Row],[Fecha Proyectada liquidación]],TODAY())/30,"")</f>
        <v>-10.833333333333334</v>
      </c>
      <c r="AI22" s="150">
        <f>+Contrato5[[#This Row],[FECHA TERMINACIÓN ]]+120</f>
        <v>45433</v>
      </c>
      <c r="AJ22" s="152"/>
      <c r="AK22" s="152" t="str">
        <f ca="1">IF(Contrato5[[#This Row],[FECHA TERMINACIÓN ]]&lt;TODAY(), "Terminado",IF(ISNUMBER(Contrato5[[#This Row],[Fecha Real de liquiidación ]]),"Liquidado",IF(Contrato5[[#This Row],[FECHA TERMINACIÓN ]]&gt;=TODAY(),"En ejecución","")))</f>
        <v>Terminado</v>
      </c>
      <c r="AL22" s="153" t="e">
        <f ca="1">SUMIF([2]!COMPROMISOS_2024[[#All],[consecutivo]],Contrato5[[#This Row],[RCP]],[2]!COMPROMISOS_2024[[#All],[Total pagado]])</f>
        <v>#REF!</v>
      </c>
      <c r="AM22" s="154">
        <f ca="1">IFERROR(Contrato5[[#This Row],[Pagos]]/Contrato5[[#This Row],[VALOR CONTRATO]],0)</f>
        <v>0</v>
      </c>
      <c r="AN22" s="175" t="e">
        <f ca="1">+Contrato5[[#This Row],[VALOR CONTRATO]]-Contrato5[[#This Row],[Pagos]]</f>
        <v>#REF!</v>
      </c>
      <c r="AO22" s="151" t="e" cm="1">
        <f t="array" aca="1" ref="AO22" ca="1">_xlfn.XLOOKUP(Contrato5[[#This Row],[DOCUMENTO ]],[2]!PERSONAL_ACTIVO_2024[[#All],[Documento identidad]],[2]!PERSONAL_ACTIVO_2024[[#All],[Mail ]],0,0)</f>
        <v>#NAME?</v>
      </c>
      <c r="AP22" s="151" t="e" cm="1">
        <f t="array" aca="1" ref="AP22" ca="1">_xlfn.XLOOKUP(Contrato5[[#This Row],[DOCUMENTO]],[2]!PERSONAL_ACTIVO_2024[[#All],[Documento identidad]],[2]!PERSONAL_ACTIVO_2024[[#All],[Mail ]],0,0)</f>
        <v>#NAME?</v>
      </c>
      <c r="AQ22" s="151" cm="1">
        <f t="array" aca="1" ref="AQ22" ca="1">IF(ISBLANK(Contrato5[[#This Row],[DEPENDENCIA ]]),0,IFERROR(_xlfn.XLOOKUP(Contrato5[[#This Row],[DEPENDENCIA ]],[2]!PERSONAL_ACTIVO_2024[[#All],[Dependencia]],[2]!PERSONAL_ACTIVO_2024[[#All],[Mail ]],0,0),0))</f>
        <v>0</v>
      </c>
    </row>
    <row r="23" spans="1:43" ht="34.5" customHeight="1">
      <c r="A23" s="125">
        <v>508</v>
      </c>
      <c r="B23" s="124">
        <v>2</v>
      </c>
      <c r="C23" s="162" t="s">
        <v>2479</v>
      </c>
      <c r="D23" s="126" t="s">
        <v>493</v>
      </c>
      <c r="E23" s="172" t="s">
        <v>94</v>
      </c>
      <c r="F23" s="163" t="s">
        <v>1376</v>
      </c>
      <c r="G23" s="176" t="s">
        <v>524</v>
      </c>
      <c r="H23" s="444">
        <v>901116798</v>
      </c>
      <c r="I23" s="309">
        <v>12327993</v>
      </c>
      <c r="J23" s="445">
        <v>36983979</v>
      </c>
      <c r="K23" s="131" t="s">
        <v>42</v>
      </c>
      <c r="L23" s="438" t="s">
        <v>525</v>
      </c>
      <c r="M23" s="178" t="s">
        <v>526</v>
      </c>
      <c r="N23" s="177" t="e" cm="1">
        <f t="array" aca="1" ref="N23" ca="1">_xlfn.XLOOKUP(Contrato5[[#This Row],[SUPERVISOR TITULAR]],[2]!PERSONAL_ACTIVO_2024[[#All],[Nombre completo]],[2]!PERSONAL_ACTIVO_2024[[#All],[Documento identidad]],"",0)</f>
        <v>#NAME?</v>
      </c>
      <c r="O23" s="178" t="s">
        <v>2480</v>
      </c>
      <c r="P23" s="169" t="e" cm="1">
        <f t="array" aca="1" ref="P23" ca="1">_xlfn.XLOOKUP(Contrato5[[#This Row],[SUPERVISOR SUPLENTE ]],[2]!PERSONAL_ACTIVO_2024[[#All],[Nombre completo]],[2]!PERSONAL_ACTIVO_2024[[#All],[Documento identidad]],"",0)</f>
        <v>#NAME?</v>
      </c>
      <c r="Q23" s="170">
        <v>9</v>
      </c>
      <c r="R23" s="137" t="e" cm="1">
        <f t="array" aca="1" ref="R23" ca="1">_xlfn.XLOOKUP(Contrato5[[#This Row],[CDP]],[2]!DISPONIBILIDADES_2024[[#All],[consecutivo]],[2]!DISPONIBILIDADES_2024[[#All],[fecha_aprobacion]],"",0)</f>
        <v>#NAME?</v>
      </c>
      <c r="S23" s="138" t="e">
        <f>SUMIF([2]!DISPONIBILIDADES_2024[[#All],[consecutivo]],Contrato5[[#This Row],[CDP]],[2]!DISPONIBILIDADES_2024[[#All],[valor_total_rubro]])</f>
        <v>#REF!</v>
      </c>
      <c r="T23" s="139" t="e" cm="1">
        <f t="array" aca="1" ref="T23" ca="1">_xlfn.XLOOKUP(Contrato5[[#This Row],[CONTRATO]]&amp;Contrato5[[#This Row],[CDP]],[2]!Corr_Contr_CDP[[#All],[CONTRATO-CDP]],[2]!Corr_Contr_CDP[[#All],[CRP]],_xlfn.XLOOKUP(Contrato5[[#This Row],[CDP]],[2]!COMPROMISOS_2024[[#All],[disponibilidad]],[2]!COMPROMISOS_2024[[#All],[consecutivo]],"",0),0)</f>
        <v>#NAME?</v>
      </c>
      <c r="U23" s="140" t="e" cm="1">
        <f t="array" aca="1" ref="U23" ca="1">+_xlfn.XLOOKUP(Contrato5[[#This Row],[RCP]],[2]!COMPROMISOS_2024[[#All],[consecutivo]],[2]!COMPROMISOS_2024[[#All],[fecha_aprobacion]],"",0)</f>
        <v>#NAME?</v>
      </c>
      <c r="V23" s="141" t="e">
        <f ca="1">SUMIF([2]!COMPROMISOS_2024[[#All],[consecutivo]],Contrato5[[#This Row],[RCP]],[2]!COMPROMISOS_2024[[#All],[valor_total]])</f>
        <v>#REF!</v>
      </c>
      <c r="W23" s="415">
        <v>45309</v>
      </c>
      <c r="X23" s="415">
        <v>45309</v>
      </c>
      <c r="Y23" s="143">
        <v>45309</v>
      </c>
      <c r="Z23" s="262">
        <v>45399</v>
      </c>
      <c r="AA23" s="171" t="s">
        <v>528</v>
      </c>
      <c r="AB23" s="172" t="s">
        <v>529</v>
      </c>
      <c r="AD23" s="179">
        <v>202000003463</v>
      </c>
      <c r="AE23" s="147" t="s">
        <v>523</v>
      </c>
      <c r="AF23" s="148" t="str">
        <f>TEXT(LEFT(Contrato5[[#This Row],[CONTRATO]],3),"0")</f>
        <v>2</v>
      </c>
      <c r="AG23" s="148" t="str">
        <f>IF(LEN(Contrato5[[#This Row],[Contrato2]])=3,Contrato5[[#This Row],[Contrato2]],TEXT(Contrato5[[#This Row],[Contrato2]],"000"))</f>
        <v>002</v>
      </c>
      <c r="AH23" s="149">
        <f ca="1">IFERROR(_xlfn.DAYS(Contrato5[[#This Row],[Fecha Proyectada liquidación]],TODAY())/30,"")</f>
        <v>-7.9666666666666668</v>
      </c>
      <c r="AI23" s="150">
        <f>+Contrato5[[#This Row],[FECHA TERMINACIÓN ]]+120</f>
        <v>45519</v>
      </c>
      <c r="AK23" s="152" t="str">
        <f ca="1">IF(Contrato5[[#This Row],[FECHA TERMINACIÓN ]]&lt;TODAY(), "Terminado",IF(ISNUMBER(Contrato5[[#This Row],[Fecha Real de liquiidación ]]),"Liquidado",IF(Contrato5[[#This Row],[FECHA TERMINACIÓN ]]&gt;=TODAY(),"En ejecución","")))</f>
        <v>Terminado</v>
      </c>
      <c r="AL23" s="153" t="e">
        <f ca="1">SUMIF([2]!COMPROMISOS_2024[[#All],[consecutivo]],Contrato5[[#This Row],[RCP]],[2]!COMPROMISOS_2024[[#All],[Total pagado]])</f>
        <v>#REF!</v>
      </c>
      <c r="AM23" s="154">
        <f ca="1">IFERROR(Contrato5[[#This Row],[Pagos]]/Contrato5[[#This Row],[VALOR CONTRATO]],0)</f>
        <v>0</v>
      </c>
      <c r="AN23" s="175" t="e">
        <f ca="1">+Contrato5[[#This Row],[VALOR CONTRATO]]-Contrato5[[#This Row],[Pagos]]</f>
        <v>#REF!</v>
      </c>
      <c r="AO23" s="151" t="e" cm="1">
        <f t="array" aca="1" ref="AO23" ca="1">_xlfn.XLOOKUP(Contrato5[[#This Row],[DOCUMENTO ]],[2]!PERSONAL_ACTIVO_2024[[#All],[Documento identidad]],[2]!PERSONAL_ACTIVO_2024[[#All],[Mail ]],0,0)</f>
        <v>#NAME?</v>
      </c>
      <c r="AP23" s="151" t="e" cm="1">
        <f t="array" aca="1" ref="AP23" ca="1">_xlfn.XLOOKUP(Contrato5[[#This Row],[DOCUMENTO]],[2]!PERSONAL_ACTIVO_2024[[#All],[Documento identidad]],[2]!PERSONAL_ACTIVO_2024[[#All],[Mail ]],0,0)</f>
        <v>#NAME?</v>
      </c>
      <c r="AQ23" s="151" cm="1">
        <f t="array" aca="1" ref="AQ23" ca="1">IF(ISBLANK(Contrato5[[#This Row],[DEPENDENCIA ]]),0,IFERROR(_xlfn.XLOOKUP(Contrato5[[#This Row],[DEPENDENCIA ]],[2]!PERSONAL_ACTIVO_2024[[#All],[Dependencia]],[2]!PERSONAL_ACTIVO_2024[[#All],[Mail ]],0,0),0))</f>
        <v>0</v>
      </c>
    </row>
    <row r="24" spans="1:43" ht="34.5" customHeight="1">
      <c r="A24" s="125">
        <v>505</v>
      </c>
      <c r="B24" s="124">
        <v>3</v>
      </c>
      <c r="C24" s="162" t="s">
        <v>1345</v>
      </c>
      <c r="D24" s="126" t="s">
        <v>493</v>
      </c>
      <c r="E24" s="172" t="s">
        <v>94</v>
      </c>
      <c r="F24" s="163" t="s">
        <v>1376</v>
      </c>
      <c r="G24" s="176" t="s">
        <v>530</v>
      </c>
      <c r="H24" s="444">
        <v>43676890</v>
      </c>
      <c r="I24" s="309">
        <v>3986061</v>
      </c>
      <c r="J24" s="445">
        <v>11958183</v>
      </c>
      <c r="K24" s="147" t="s">
        <v>42</v>
      </c>
      <c r="L24" s="438" t="s">
        <v>42</v>
      </c>
      <c r="M24" s="178" t="s">
        <v>2481</v>
      </c>
      <c r="N24" s="177" t="e" cm="1">
        <f t="array" aca="1" ref="N24" ca="1">_xlfn.XLOOKUP(Contrato5[[#This Row],[SUPERVISOR TITULAR]],[2]!PERSONAL_ACTIVO_2024[[#All],[Nombre completo]],[2]!PERSONAL_ACTIVO_2024[[#All],[Documento identidad]],"",0)</f>
        <v>#NAME?</v>
      </c>
      <c r="O24" s="168" t="s">
        <v>532</v>
      </c>
      <c r="P24" s="169" t="e" cm="1">
        <f t="array" aca="1" ref="P24" ca="1">_xlfn.XLOOKUP(Contrato5[[#This Row],[SUPERVISOR SUPLENTE ]],[2]!PERSONAL_ACTIVO_2024[[#All],[Nombre completo]],[2]!PERSONAL_ACTIVO_2024[[#All],[Documento identidad]],"",0)</f>
        <v>#NAME?</v>
      </c>
      <c r="Q24" s="170">
        <v>18</v>
      </c>
      <c r="R24" s="137" t="e" cm="1">
        <f t="array" aca="1" ref="R24" ca="1">_xlfn.XLOOKUP(Contrato5[[#This Row],[CDP]],[2]!DISPONIBILIDADES_2024[[#All],[consecutivo]],[2]!DISPONIBILIDADES_2024[[#All],[fecha_aprobacion]],"",0)</f>
        <v>#NAME?</v>
      </c>
      <c r="S24" s="138" t="e">
        <f>SUMIF([2]!DISPONIBILIDADES_2024[[#All],[consecutivo]],Contrato5[[#This Row],[CDP]],[2]!DISPONIBILIDADES_2024[[#All],[valor_total_rubro]])</f>
        <v>#REF!</v>
      </c>
      <c r="T24" s="139" t="e" cm="1">
        <f t="array" aca="1" ref="T24" ca="1">_xlfn.XLOOKUP(Contrato5[[#This Row],[CONTRATO]]&amp;Contrato5[[#This Row],[CDP]],[2]!Corr_Contr_CDP[[#All],[CONTRATO-CDP]],[2]!Corr_Contr_CDP[[#All],[CRP]],_xlfn.XLOOKUP(Contrato5[[#This Row],[CDP]],[2]!COMPROMISOS_2024[[#All],[disponibilidad]],[2]!COMPROMISOS_2024[[#All],[consecutivo]],"",0),0)</f>
        <v>#NAME?</v>
      </c>
      <c r="U24" s="140" t="e" cm="1">
        <f t="array" aca="1" ref="U24" ca="1">+_xlfn.XLOOKUP(Contrato5[[#This Row],[RCP]],[2]!COMPROMISOS_2024[[#All],[consecutivo]],[2]!COMPROMISOS_2024[[#All],[fecha_aprobacion]],"",0)</f>
        <v>#NAME?</v>
      </c>
      <c r="V24" s="141" t="e">
        <f ca="1">SUMIF([2]!COMPROMISOS_2024[[#All],[consecutivo]],Contrato5[[#This Row],[RCP]],[2]!COMPROMISOS_2024[[#All],[valor_total]])</f>
        <v>#REF!</v>
      </c>
      <c r="W24" s="415">
        <v>45309</v>
      </c>
      <c r="X24" s="415">
        <v>45310</v>
      </c>
      <c r="Y24" s="143">
        <v>45309</v>
      </c>
      <c r="Z24" s="262">
        <v>45400</v>
      </c>
      <c r="AA24" s="446" t="s">
        <v>533</v>
      </c>
      <c r="AB24" s="172" t="s">
        <v>529</v>
      </c>
      <c r="AD24" s="180">
        <v>202000003464</v>
      </c>
      <c r="AE24" s="147" t="s">
        <v>523</v>
      </c>
      <c r="AF24" s="148" t="str">
        <f>TEXT(LEFT(Contrato5[[#This Row],[CONTRATO]],3),"0")</f>
        <v>3</v>
      </c>
      <c r="AG24" s="148" t="str">
        <f>IF(LEN(Contrato5[[#This Row],[Contrato2]])=3,Contrato5[[#This Row],[Contrato2]],TEXT(Contrato5[[#This Row],[Contrato2]],"000"))</f>
        <v>003</v>
      </c>
      <c r="AH24" s="149">
        <f ca="1">IFERROR(_xlfn.DAYS(Contrato5[[#This Row],[Fecha Proyectada liquidación]],TODAY())/30,"")</f>
        <v>-7.9333333333333336</v>
      </c>
      <c r="AI24" s="150">
        <f>+Contrato5[[#This Row],[FECHA TERMINACIÓN ]]+120</f>
        <v>45520</v>
      </c>
      <c r="AK24" s="152" t="str">
        <f ca="1">IF(Contrato5[[#This Row],[FECHA TERMINACIÓN ]]&lt;TODAY(), "Terminado",IF(ISNUMBER(Contrato5[[#This Row],[Fecha Real de liquiidación ]]),"Liquidado",IF(Contrato5[[#This Row],[FECHA TERMINACIÓN ]]&gt;=TODAY(),"En ejecución","")))</f>
        <v>Terminado</v>
      </c>
      <c r="AL24" s="153" t="e">
        <f ca="1">SUMIF([2]!COMPROMISOS_2024[[#All],[consecutivo]],Contrato5[[#This Row],[RCP]],[2]!COMPROMISOS_2024[[#All],[Total pagado]])</f>
        <v>#REF!</v>
      </c>
      <c r="AM24" s="154">
        <f ca="1">IFERROR(Contrato5[[#This Row],[Pagos]]/Contrato5[[#This Row],[VALOR CONTRATO]],0)</f>
        <v>0</v>
      </c>
      <c r="AN24" s="175" t="e">
        <f ca="1">+Contrato5[[#This Row],[VALOR CONTRATO]]-Contrato5[[#This Row],[Pagos]]</f>
        <v>#REF!</v>
      </c>
      <c r="AO24" s="151" t="e" cm="1">
        <f t="array" aca="1" ref="AO24" ca="1">_xlfn.XLOOKUP(Contrato5[[#This Row],[DOCUMENTO ]],[2]!PERSONAL_ACTIVO_2024[[#All],[Documento identidad]],[2]!PERSONAL_ACTIVO_2024[[#All],[Mail ]],0,0)</f>
        <v>#NAME?</v>
      </c>
      <c r="AP24" s="151" t="e" cm="1">
        <f t="array" aca="1" ref="AP24" ca="1">_xlfn.XLOOKUP(Contrato5[[#This Row],[DOCUMENTO]],[2]!PERSONAL_ACTIVO_2024[[#All],[Documento identidad]],[2]!PERSONAL_ACTIVO_2024[[#All],[Mail ]],0,0)</f>
        <v>#NAME?</v>
      </c>
      <c r="AQ24" s="151" cm="1">
        <f t="array" aca="1" ref="AQ24" ca="1">IF(ISBLANK(Contrato5[[#This Row],[DEPENDENCIA ]]),0,IFERROR(_xlfn.XLOOKUP(Contrato5[[#This Row],[DEPENDENCIA ]],[2]!PERSONAL_ACTIVO_2024[[#All],[Dependencia]],[2]!PERSONAL_ACTIVO_2024[[#All],[Mail ]],0,0),0))</f>
        <v>0</v>
      </c>
    </row>
    <row r="25" spans="1:43" ht="34.5" customHeight="1">
      <c r="A25" s="125">
        <v>501</v>
      </c>
      <c r="B25" s="124">
        <v>4</v>
      </c>
      <c r="C25" s="162" t="s">
        <v>2482</v>
      </c>
      <c r="D25" s="126" t="s">
        <v>493</v>
      </c>
      <c r="E25" s="172" t="s">
        <v>94</v>
      </c>
      <c r="F25" s="163" t="s">
        <v>1376</v>
      </c>
      <c r="G25" s="176" t="s">
        <v>534</v>
      </c>
      <c r="H25" s="444">
        <v>32242025</v>
      </c>
      <c r="I25" s="309">
        <v>6879081</v>
      </c>
      <c r="J25" s="445">
        <v>20637243</v>
      </c>
      <c r="K25" s="131" t="s">
        <v>42</v>
      </c>
      <c r="L25" s="438" t="s">
        <v>42</v>
      </c>
      <c r="M25" s="168" t="s">
        <v>497</v>
      </c>
      <c r="N25" s="177" t="e" cm="1">
        <f t="array" aca="1" ref="N25" ca="1">_xlfn.XLOOKUP(Contrato5[[#This Row],[SUPERVISOR TITULAR]],[2]!PERSONAL_ACTIVO_2024[[#All],[Nombre completo]],[2]!PERSONAL_ACTIVO_2024[[#All],[Documento identidad]],"",0)</f>
        <v>#NAME?</v>
      </c>
      <c r="O25" s="168" t="s">
        <v>498</v>
      </c>
      <c r="P25" s="169" t="e" cm="1">
        <f t="array" aca="1" ref="P25" ca="1">_xlfn.XLOOKUP(Contrato5[[#This Row],[SUPERVISOR SUPLENTE ]],[2]!PERSONAL_ACTIVO_2024[[#All],[Nombre completo]],[2]!PERSONAL_ACTIVO_2024[[#All],[Documento identidad]],"",0)</f>
        <v>#NAME?</v>
      </c>
      <c r="Q25" s="170">
        <v>16</v>
      </c>
      <c r="R25" s="137" t="e" cm="1">
        <f t="array" aca="1" ref="R25" ca="1">_xlfn.XLOOKUP(Contrato5[[#This Row],[CDP]],[2]!DISPONIBILIDADES_2024[[#All],[consecutivo]],[2]!DISPONIBILIDADES_2024[[#All],[fecha_aprobacion]],"",0)</f>
        <v>#NAME?</v>
      </c>
      <c r="S25" s="138" t="e">
        <f>SUMIF([2]!DISPONIBILIDADES_2024[[#All],[consecutivo]],Contrato5[[#This Row],[CDP]],[2]!DISPONIBILIDADES_2024[[#All],[valor_total_rubro]])</f>
        <v>#REF!</v>
      </c>
      <c r="T25" s="139" t="e" cm="1">
        <f t="array" aca="1" ref="T25" ca="1">_xlfn.XLOOKUP(Contrato5[[#This Row],[CONTRATO]]&amp;Contrato5[[#This Row],[CDP]],[2]!Corr_Contr_CDP[[#All],[CONTRATO-CDP]],[2]!Corr_Contr_CDP[[#All],[CRP]],_xlfn.XLOOKUP(Contrato5[[#This Row],[CDP]],[2]!COMPROMISOS_2024[[#All],[disponibilidad]],[2]!COMPROMISOS_2024[[#All],[consecutivo]],"",0),0)</f>
        <v>#NAME?</v>
      </c>
      <c r="U25" s="140" t="e" cm="1">
        <f t="array" aca="1" ref="U25" ca="1">+_xlfn.XLOOKUP(Contrato5[[#This Row],[RCP]],[2]!COMPROMISOS_2024[[#All],[consecutivo]],[2]!COMPROMISOS_2024[[#All],[fecha_aprobacion]],"",0)</f>
        <v>#NAME?</v>
      </c>
      <c r="V25" s="141" t="e">
        <f ca="1">SUMIF([2]!COMPROMISOS_2024[[#All],[consecutivo]],Contrato5[[#This Row],[RCP]],[2]!COMPROMISOS_2024[[#All],[valor_total]])</f>
        <v>#REF!</v>
      </c>
      <c r="W25" s="415">
        <v>45309</v>
      </c>
      <c r="X25" s="415">
        <v>45310</v>
      </c>
      <c r="Y25" s="143">
        <v>45310</v>
      </c>
      <c r="Z25" s="262">
        <v>45400</v>
      </c>
      <c r="AA25" s="446" t="s">
        <v>535</v>
      </c>
      <c r="AB25" s="172" t="s">
        <v>529</v>
      </c>
      <c r="AD25" s="179">
        <v>202000003465</v>
      </c>
      <c r="AE25" s="147" t="s">
        <v>523</v>
      </c>
      <c r="AF25" s="148" t="str">
        <f>TEXT(LEFT(Contrato5[[#This Row],[CONTRATO]],3),"0")</f>
        <v>4</v>
      </c>
      <c r="AG25" s="148" t="str">
        <f>IF(LEN(Contrato5[[#This Row],[Contrato2]])=3,Contrato5[[#This Row],[Contrato2]],TEXT(Contrato5[[#This Row],[Contrato2]],"000"))</f>
        <v>004</v>
      </c>
      <c r="AH25" s="149">
        <f ca="1">IFERROR(_xlfn.DAYS(Contrato5[[#This Row],[Fecha Proyectada liquidación]],TODAY())/30,"")</f>
        <v>-7.9333333333333336</v>
      </c>
      <c r="AI25" s="150">
        <f>+Contrato5[[#This Row],[FECHA TERMINACIÓN ]]+120</f>
        <v>45520</v>
      </c>
      <c r="AK25" s="152" t="str">
        <f ca="1">IF(Contrato5[[#This Row],[FECHA TERMINACIÓN ]]&lt;TODAY(), "Terminado",IF(ISNUMBER(Contrato5[[#This Row],[Fecha Real de liquiidación ]]),"Liquidado",IF(Contrato5[[#This Row],[FECHA TERMINACIÓN ]]&gt;=TODAY(),"En ejecución","")))</f>
        <v>Terminado</v>
      </c>
      <c r="AL25" s="153" t="e">
        <f ca="1">SUMIF([2]!COMPROMISOS_2024[[#All],[consecutivo]],Contrato5[[#This Row],[RCP]],[2]!COMPROMISOS_2024[[#All],[Total pagado]])</f>
        <v>#REF!</v>
      </c>
      <c r="AM25" s="154">
        <f ca="1">IFERROR(Contrato5[[#This Row],[Pagos]]/Contrato5[[#This Row],[VALOR CONTRATO]],0)</f>
        <v>0</v>
      </c>
      <c r="AN25" s="175" t="e">
        <f ca="1">+Contrato5[[#This Row],[VALOR CONTRATO]]-Contrato5[[#This Row],[Pagos]]</f>
        <v>#REF!</v>
      </c>
      <c r="AO25" s="151" t="e" cm="1">
        <f t="array" aca="1" ref="AO25" ca="1">_xlfn.XLOOKUP(Contrato5[[#This Row],[DOCUMENTO ]],[2]!PERSONAL_ACTIVO_2024[[#All],[Documento identidad]],[2]!PERSONAL_ACTIVO_2024[[#All],[Mail ]],0,0)</f>
        <v>#NAME?</v>
      </c>
      <c r="AP25" s="151" t="e" cm="1">
        <f t="array" aca="1" ref="AP25" ca="1">_xlfn.XLOOKUP(Contrato5[[#This Row],[DOCUMENTO]],[2]!PERSONAL_ACTIVO_2024[[#All],[Documento identidad]],[2]!PERSONAL_ACTIVO_2024[[#All],[Mail ]],0,0)</f>
        <v>#NAME?</v>
      </c>
      <c r="AQ25" s="151" cm="1">
        <f t="array" aca="1" ref="AQ25" ca="1">IF(ISBLANK(Contrato5[[#This Row],[DEPENDENCIA ]]),0,IFERROR(_xlfn.XLOOKUP(Contrato5[[#This Row],[DEPENDENCIA ]],[2]!PERSONAL_ACTIVO_2024[[#All],[Dependencia]],[2]!PERSONAL_ACTIVO_2024[[#All],[Mail ]],0,0),0))</f>
        <v>0</v>
      </c>
    </row>
    <row r="26" spans="1:43" ht="34.5" customHeight="1">
      <c r="A26" s="125">
        <v>41</v>
      </c>
      <c r="B26" s="124">
        <v>5</v>
      </c>
      <c r="C26" s="162" t="s">
        <v>2483</v>
      </c>
      <c r="D26" s="126" t="s">
        <v>536</v>
      </c>
      <c r="E26" s="172" t="s">
        <v>94</v>
      </c>
      <c r="F26" s="163" t="s">
        <v>1376</v>
      </c>
      <c r="G26" s="176" t="s">
        <v>537</v>
      </c>
      <c r="H26" s="444">
        <v>43160439</v>
      </c>
      <c r="I26" s="309">
        <v>10359658</v>
      </c>
      <c r="J26" s="445">
        <v>31078974</v>
      </c>
      <c r="K26" s="147" t="s">
        <v>42</v>
      </c>
      <c r="L26" s="438" t="s">
        <v>42</v>
      </c>
      <c r="M26" s="168" t="s">
        <v>538</v>
      </c>
      <c r="N26" s="177" t="e" cm="1">
        <f t="array" aca="1" ref="N26" ca="1">_xlfn.XLOOKUP(Contrato5[[#This Row],[SUPERVISOR TITULAR]],[2]!PERSONAL_ACTIVO_2024[[#All],[Nombre completo]],[2]!PERSONAL_ACTIVO_2024[[#All],[Documento identidad]],"",0)</f>
        <v>#NAME?</v>
      </c>
      <c r="O26" s="168" t="s">
        <v>539</v>
      </c>
      <c r="P26" s="169" t="e" cm="1">
        <f t="array" aca="1" ref="P26" ca="1">_xlfn.XLOOKUP(Contrato5[[#This Row],[SUPERVISOR SUPLENTE ]],[2]!PERSONAL_ACTIVO_2024[[#All],[Nombre completo]],[2]!PERSONAL_ACTIVO_2024[[#All],[Documento identidad]],"",0)</f>
        <v>#NAME?</v>
      </c>
      <c r="Q26" s="170">
        <v>11</v>
      </c>
      <c r="R26" s="137" t="e" cm="1">
        <f t="array" aca="1" ref="R26" ca="1">_xlfn.XLOOKUP(Contrato5[[#This Row],[CDP]],[2]!DISPONIBILIDADES_2024[[#All],[consecutivo]],[2]!DISPONIBILIDADES_2024[[#All],[fecha_aprobacion]],"",0)</f>
        <v>#NAME?</v>
      </c>
      <c r="S26" s="138" t="e">
        <f>SUMIF([2]!DISPONIBILIDADES_2024[[#All],[consecutivo]],Contrato5[[#This Row],[CDP]],[2]!DISPONIBILIDADES_2024[[#All],[valor_total_rubro]])</f>
        <v>#REF!</v>
      </c>
      <c r="T26" s="139" t="e" cm="1">
        <f t="array" aca="1" ref="T26" ca="1">_xlfn.XLOOKUP(Contrato5[[#This Row],[CONTRATO]]&amp;Contrato5[[#This Row],[CDP]],[2]!Corr_Contr_CDP[[#All],[CONTRATO-CDP]],[2]!Corr_Contr_CDP[[#All],[CRP]],_xlfn.XLOOKUP(Contrato5[[#This Row],[CDP]],[2]!COMPROMISOS_2024[[#All],[disponibilidad]],[2]!COMPROMISOS_2024[[#All],[consecutivo]],"",0),0)</f>
        <v>#NAME?</v>
      </c>
      <c r="U26" s="140" t="e" cm="1">
        <f t="array" aca="1" ref="U26" ca="1">+_xlfn.XLOOKUP(Contrato5[[#This Row],[RCP]],[2]!COMPROMISOS_2024[[#All],[consecutivo]],[2]!COMPROMISOS_2024[[#All],[fecha_aprobacion]],"",0)</f>
        <v>#NAME?</v>
      </c>
      <c r="V26" s="141" t="e">
        <f ca="1">SUMIF([2]!COMPROMISOS_2024[[#All],[consecutivo]],Contrato5[[#This Row],[RCP]],[2]!COMPROMISOS_2024[[#All],[valor_total]])</f>
        <v>#REF!</v>
      </c>
      <c r="W26" s="415">
        <v>45309</v>
      </c>
      <c r="X26" s="415">
        <v>45309</v>
      </c>
      <c r="Y26" s="143">
        <v>45309</v>
      </c>
      <c r="Z26" s="262">
        <v>45345</v>
      </c>
      <c r="AA26" s="446" t="s">
        <v>540</v>
      </c>
      <c r="AB26" s="172" t="s">
        <v>529</v>
      </c>
      <c r="AD26" s="180">
        <v>202000003466</v>
      </c>
      <c r="AE26" s="147" t="s">
        <v>523</v>
      </c>
      <c r="AF26" s="148" t="str">
        <f>TEXT(LEFT(Contrato5[[#This Row],[CONTRATO]],3),"0")</f>
        <v>5</v>
      </c>
      <c r="AG26" s="148" t="str">
        <f>IF(LEN(Contrato5[[#This Row],[Contrato2]])=3,Contrato5[[#This Row],[Contrato2]],TEXT(Contrato5[[#This Row],[Contrato2]],"000"))</f>
        <v>005</v>
      </c>
      <c r="AH26" s="149">
        <f ca="1">IFERROR(_xlfn.DAYS(Contrato5[[#This Row],[Fecha Proyectada liquidación]],TODAY())/30,"")</f>
        <v>-9.7666666666666675</v>
      </c>
      <c r="AI26" s="150">
        <f>+Contrato5[[#This Row],[FECHA TERMINACIÓN ]]+120</f>
        <v>45465</v>
      </c>
      <c r="AJ26" s="152">
        <v>45345</v>
      </c>
      <c r="AK26" s="152" t="str">
        <f ca="1">IF(Contrato5[[#This Row],[FECHA TERMINACIÓN ]]&lt;TODAY(), "Terminado",IF(ISNUMBER(Contrato5[[#This Row],[Fecha Real de liquiidación ]]),"Liquidado",IF(Contrato5[[#This Row],[FECHA TERMINACIÓN ]]&gt;=TODAY(),"En ejecución","")))</f>
        <v>Terminado</v>
      </c>
      <c r="AL26" s="153" t="e">
        <f ca="1">SUMIF([2]!COMPROMISOS_2024[[#All],[consecutivo]],Contrato5[[#This Row],[RCP]],[2]!COMPROMISOS_2024[[#All],[Total pagado]])</f>
        <v>#REF!</v>
      </c>
      <c r="AM26" s="154">
        <f ca="1">IFERROR(Contrato5[[#This Row],[Pagos]]/Contrato5[[#This Row],[VALOR CONTRATO]],0)</f>
        <v>0</v>
      </c>
      <c r="AN26" s="175" t="e">
        <f ca="1">+Contrato5[[#This Row],[VALOR CONTRATO]]-Contrato5[[#This Row],[Pagos]]</f>
        <v>#REF!</v>
      </c>
      <c r="AO26" s="151" t="e" cm="1">
        <f t="array" aca="1" ref="AO26" ca="1">_xlfn.XLOOKUP(Contrato5[[#This Row],[DOCUMENTO ]],[2]!PERSONAL_ACTIVO_2024[[#All],[Documento identidad]],[2]!PERSONAL_ACTIVO_2024[[#All],[Mail ]],0,0)</f>
        <v>#NAME?</v>
      </c>
      <c r="AP26" s="151" t="e" cm="1">
        <f t="array" aca="1" ref="AP26" ca="1">_xlfn.XLOOKUP(Contrato5[[#This Row],[DOCUMENTO]],[2]!PERSONAL_ACTIVO_2024[[#All],[Documento identidad]],[2]!PERSONAL_ACTIVO_2024[[#All],[Mail ]],0,0)</f>
        <v>#NAME?</v>
      </c>
      <c r="AQ26" s="151" cm="1">
        <f t="array" aca="1" ref="AQ26" ca="1">IF(ISBLANK(Contrato5[[#This Row],[DEPENDENCIA ]]),0,IFERROR(_xlfn.XLOOKUP(Contrato5[[#This Row],[DEPENDENCIA ]],[2]!PERSONAL_ACTIVO_2024[[#All],[Dependencia]],[2]!PERSONAL_ACTIVO_2024[[#All],[Mail ]],0,0),0))</f>
        <v>0</v>
      </c>
    </row>
    <row r="27" spans="1:43" ht="34.5" customHeight="1">
      <c r="A27" s="125">
        <v>42</v>
      </c>
      <c r="B27" s="124">
        <v>6</v>
      </c>
      <c r="C27" s="162" t="s">
        <v>2484</v>
      </c>
      <c r="D27" s="126" t="s">
        <v>536</v>
      </c>
      <c r="E27" s="172" t="s">
        <v>94</v>
      </c>
      <c r="F27" s="163" t="s">
        <v>1376</v>
      </c>
      <c r="G27" s="176" t="s">
        <v>541</v>
      </c>
      <c r="H27" s="447">
        <v>1128430986</v>
      </c>
      <c r="I27" s="448">
        <v>9346824</v>
      </c>
      <c r="J27" s="449">
        <v>28040472</v>
      </c>
      <c r="K27" s="131" t="s">
        <v>42</v>
      </c>
      <c r="L27" s="450" t="s">
        <v>42</v>
      </c>
      <c r="M27" s="168" t="s">
        <v>539</v>
      </c>
      <c r="N27" s="177" t="e" cm="1">
        <f t="array" aca="1" ref="N27" ca="1">_xlfn.XLOOKUP(Contrato5[[#This Row],[SUPERVISOR TITULAR]],[2]!PERSONAL_ACTIVO_2024[[#All],[Nombre completo]],[2]!PERSONAL_ACTIVO_2024[[#All],[Documento identidad]],"",0)</f>
        <v>#NAME?</v>
      </c>
      <c r="O27" s="168" t="s">
        <v>538</v>
      </c>
      <c r="P27" s="181" t="e" cm="1">
        <f t="array" aca="1" ref="P27" ca="1">_xlfn.XLOOKUP(Contrato5[[#This Row],[SUPERVISOR SUPLENTE ]],[2]!PERSONAL_ACTIVO_2024[[#All],[Nombre completo]],[2]!PERSONAL_ACTIVO_2024[[#All],[Documento identidad]],"",0)</f>
        <v>#NAME?</v>
      </c>
      <c r="Q27" s="182">
        <v>10</v>
      </c>
      <c r="R27" s="137" t="e" cm="1">
        <f t="array" aca="1" ref="R27" ca="1">_xlfn.XLOOKUP(Contrato5[[#This Row],[CDP]],[2]!DISPONIBILIDADES_2024[[#All],[consecutivo]],[2]!DISPONIBILIDADES_2024[[#All],[fecha_aprobacion]],"",0)</f>
        <v>#NAME?</v>
      </c>
      <c r="S27" s="138" t="e">
        <f>SUMIF([2]!DISPONIBILIDADES_2024[[#All],[consecutivo]],Contrato5[[#This Row],[CDP]],[2]!DISPONIBILIDADES_2024[[#All],[valor_total_rubro]])</f>
        <v>#REF!</v>
      </c>
      <c r="T27" s="139" t="e" cm="1">
        <f t="array" aca="1" ref="T27" ca="1">_xlfn.XLOOKUP(Contrato5[[#This Row],[CONTRATO]]&amp;Contrato5[[#This Row],[CDP]],[2]!Corr_Contr_CDP[[#All],[CONTRATO-CDP]],[2]!Corr_Contr_CDP[[#All],[CRP]],_xlfn.XLOOKUP(Contrato5[[#This Row],[CDP]],[2]!COMPROMISOS_2024[[#All],[disponibilidad]],[2]!COMPROMISOS_2024[[#All],[consecutivo]],"",0),0)</f>
        <v>#NAME?</v>
      </c>
      <c r="U27" s="140" t="e" cm="1">
        <f t="array" aca="1" ref="U27" ca="1">+_xlfn.XLOOKUP(Contrato5[[#This Row],[RCP]],[2]!COMPROMISOS_2024[[#All],[consecutivo]],[2]!COMPROMISOS_2024[[#All],[fecha_aprobacion]],"",0)</f>
        <v>#NAME?</v>
      </c>
      <c r="V27" s="141" t="e">
        <f ca="1">SUMIF([2]!COMPROMISOS_2024[[#All],[consecutivo]],Contrato5[[#This Row],[RCP]],[2]!COMPROMISOS_2024[[#All],[valor_total]])</f>
        <v>#REF!</v>
      </c>
      <c r="W27" s="415">
        <v>45309</v>
      </c>
      <c r="X27" s="415">
        <v>45309</v>
      </c>
      <c r="Y27" s="143">
        <v>45309</v>
      </c>
      <c r="Z27" s="262">
        <v>45399</v>
      </c>
      <c r="AA27" s="183" t="s">
        <v>542</v>
      </c>
      <c r="AB27" s="127" t="s">
        <v>529</v>
      </c>
      <c r="AD27" s="179">
        <v>202000003467</v>
      </c>
      <c r="AE27" s="125" t="s">
        <v>523</v>
      </c>
      <c r="AF27" s="148" t="str">
        <f>TEXT(LEFT(Contrato5[[#This Row],[CONTRATO]],3),"0")</f>
        <v>6</v>
      </c>
      <c r="AG27" s="148" t="str">
        <f>IF(LEN(Contrato5[[#This Row],[Contrato2]])=3,Contrato5[[#This Row],[Contrato2]],TEXT(Contrato5[[#This Row],[Contrato2]],"000"))</f>
        <v>006</v>
      </c>
      <c r="AH27" s="149">
        <f ca="1">IFERROR(_xlfn.DAYS(Contrato5[[#This Row],[Fecha Proyectada liquidación]],TODAY())/30,"")</f>
        <v>-7.9666666666666668</v>
      </c>
      <c r="AI27" s="150">
        <f>+Contrato5[[#This Row],[FECHA TERMINACIÓN ]]+120</f>
        <v>45519</v>
      </c>
      <c r="AK27" s="152" t="str">
        <f ca="1">IF(Contrato5[[#This Row],[FECHA TERMINACIÓN ]]&lt;TODAY(), "Terminado",IF(ISNUMBER(Contrato5[[#This Row],[Fecha Real de liquiidación ]]),"Liquidado",IF(Contrato5[[#This Row],[FECHA TERMINACIÓN ]]&gt;=TODAY(),"En ejecución","")))</f>
        <v>Terminado</v>
      </c>
      <c r="AL27" s="153" t="e">
        <f ca="1">SUMIF([2]!COMPROMISOS_2024[[#All],[consecutivo]],Contrato5[[#This Row],[RCP]],[2]!COMPROMISOS_2024[[#All],[Total pagado]])</f>
        <v>#REF!</v>
      </c>
      <c r="AM27" s="154">
        <f ca="1">IFERROR(Contrato5[[#This Row],[Pagos]]/Contrato5[[#This Row],[VALOR CONTRATO]],0)</f>
        <v>0</v>
      </c>
      <c r="AN27" s="175" t="e">
        <f ca="1">+Contrato5[[#This Row],[VALOR CONTRATO]]-Contrato5[[#This Row],[Pagos]]</f>
        <v>#REF!</v>
      </c>
      <c r="AO27" s="184" t="e" cm="1">
        <f t="array" aca="1" ref="AO27" ca="1">_xlfn.XLOOKUP(Contrato5[[#This Row],[DOCUMENTO ]],[2]!PERSONAL_ACTIVO_2024[[#All],[Documento identidad]],[2]!PERSONAL_ACTIVO_2024[[#All],[Mail ]],0,0)</f>
        <v>#NAME?</v>
      </c>
      <c r="AP27" s="151" t="e" cm="1">
        <f t="array" aca="1" ref="AP27" ca="1">_xlfn.XLOOKUP(Contrato5[[#This Row],[DOCUMENTO]],[2]!PERSONAL_ACTIVO_2024[[#All],[Documento identidad]],[2]!PERSONAL_ACTIVO_2024[[#All],[Mail ]],0,0)</f>
        <v>#NAME?</v>
      </c>
      <c r="AQ27" s="151" cm="1">
        <f t="array" aca="1" ref="AQ27" ca="1">IF(ISBLANK(Contrato5[[#This Row],[DEPENDENCIA ]]),0,IFERROR(_xlfn.XLOOKUP(Contrato5[[#This Row],[DEPENDENCIA ]],[2]!PERSONAL_ACTIVO_2024[[#All],[Dependencia]],[2]!PERSONAL_ACTIVO_2024[[#All],[Mail ]],0,0),0))</f>
        <v>0</v>
      </c>
    </row>
    <row r="28" spans="1:43" ht="34.5" customHeight="1">
      <c r="A28" s="125">
        <v>379</v>
      </c>
      <c r="B28" s="124">
        <v>7</v>
      </c>
      <c r="C28" s="162" t="s">
        <v>330</v>
      </c>
      <c r="D28" s="128" t="s">
        <v>515</v>
      </c>
      <c r="E28" s="172" t="s">
        <v>94</v>
      </c>
      <c r="F28" s="163" t="s">
        <v>1376</v>
      </c>
      <c r="G28" s="158" t="s">
        <v>543</v>
      </c>
      <c r="H28" s="451">
        <v>1017208914</v>
      </c>
      <c r="I28" s="448">
        <v>7690469</v>
      </c>
      <c r="J28" s="452">
        <v>23071407</v>
      </c>
      <c r="K28" s="131" t="s">
        <v>42</v>
      </c>
      <c r="L28" s="450" t="s">
        <v>42</v>
      </c>
      <c r="M28" s="178" t="s">
        <v>544</v>
      </c>
      <c r="N28" s="177" t="e" cm="1">
        <f t="array" aca="1" ref="N28" ca="1">_xlfn.XLOOKUP(Contrato5[[#This Row],[SUPERVISOR TITULAR]],[2]!PERSONAL_ACTIVO_2024[[#All],[Nombre completo]],[2]!PERSONAL_ACTIVO_2024[[#All],[Documento identidad]],"",0)</f>
        <v>#NAME?</v>
      </c>
      <c r="O28" s="168" t="s">
        <v>545</v>
      </c>
      <c r="P28" s="185" t="e" cm="1">
        <f t="array" aca="1" ref="P28" ca="1">_xlfn.XLOOKUP(Contrato5[[#This Row],[SUPERVISOR SUPLENTE ]],[2]!PERSONAL_ACTIVO_2024[[#All],[Nombre completo]],[2]!PERSONAL_ACTIVO_2024[[#All],[Documento identidad]],"",0)</f>
        <v>#NAME?</v>
      </c>
      <c r="Q28" s="186">
        <v>35</v>
      </c>
      <c r="R28" s="137" t="e" cm="1">
        <f t="array" aca="1" ref="R28" ca="1">_xlfn.XLOOKUP(Contrato5[[#This Row],[CDP]],[2]!DISPONIBILIDADES_2024[[#All],[consecutivo]],[2]!DISPONIBILIDADES_2024[[#All],[fecha_aprobacion]],"",0)</f>
        <v>#NAME?</v>
      </c>
      <c r="S28" s="138" t="e">
        <f>SUMIF([2]!DISPONIBILIDADES_2024[[#All],[consecutivo]],Contrato5[[#This Row],[CDP]],[2]!DISPONIBILIDADES_2024[[#All],[valor_total_rubro]])</f>
        <v>#REF!</v>
      </c>
      <c r="T28" s="139" t="e" cm="1">
        <f t="array" aca="1" ref="T28" ca="1">_xlfn.XLOOKUP(Contrato5[[#This Row],[CONTRATO]]&amp;Contrato5[[#This Row],[CDP]],[2]!Corr_Contr_CDP[[#All],[CONTRATO-CDP]],[2]!Corr_Contr_CDP[[#All],[CRP]],_xlfn.XLOOKUP(Contrato5[[#This Row],[CDP]],[2]!COMPROMISOS_2024[[#All],[disponibilidad]],[2]!COMPROMISOS_2024[[#All],[consecutivo]],"",0),0)</f>
        <v>#NAME?</v>
      </c>
      <c r="U28" s="140" t="e" cm="1">
        <f t="array" aca="1" ref="U28" ca="1">+_xlfn.XLOOKUP(Contrato5[[#This Row],[RCP]],[2]!COMPROMISOS_2024[[#All],[consecutivo]],[2]!COMPROMISOS_2024[[#All],[fecha_aprobacion]],"",0)</f>
        <v>#NAME?</v>
      </c>
      <c r="V28" s="141" t="e">
        <f ca="1">SUMIF([2]!COMPROMISOS_2024[[#All],[consecutivo]],Contrato5[[#This Row],[RCP]],[2]!COMPROMISOS_2024[[#All],[valor_total]])</f>
        <v>#REF!</v>
      </c>
      <c r="W28" s="415">
        <v>45310</v>
      </c>
      <c r="X28" s="415">
        <v>45310</v>
      </c>
      <c r="Y28" s="143">
        <v>45313</v>
      </c>
      <c r="Z28" s="262">
        <v>45403</v>
      </c>
      <c r="AA28" s="446" t="s">
        <v>546</v>
      </c>
      <c r="AB28" s="127" t="s">
        <v>529</v>
      </c>
      <c r="AD28" s="180">
        <v>202000003468</v>
      </c>
      <c r="AE28" s="125" t="s">
        <v>523</v>
      </c>
      <c r="AF28" s="148" t="str">
        <f>TEXT(LEFT(Contrato5[[#This Row],[CONTRATO]],3),"0")</f>
        <v>7</v>
      </c>
      <c r="AG28" s="148" t="str">
        <f>IF(LEN(Contrato5[[#This Row],[Contrato2]])=3,Contrato5[[#This Row],[Contrato2]],TEXT(Contrato5[[#This Row],[Contrato2]],"000"))</f>
        <v>007</v>
      </c>
      <c r="AH28" s="149">
        <f ca="1">IFERROR(_xlfn.DAYS(Contrato5[[#This Row],[Fecha Proyectada liquidación]],TODAY())/30,"")</f>
        <v>-7.833333333333333</v>
      </c>
      <c r="AI28" s="150">
        <f>+Contrato5[[#This Row],[FECHA TERMINACIÓN ]]+120</f>
        <v>45523</v>
      </c>
      <c r="AK28" s="152" t="str">
        <f ca="1">IF(Contrato5[[#This Row],[FECHA TERMINACIÓN ]]&lt;TODAY(), "Terminado",IF(ISNUMBER(Contrato5[[#This Row],[Fecha Real de liquiidación ]]),"Liquidado",IF(Contrato5[[#This Row],[FECHA TERMINACIÓN ]]&gt;=TODAY(),"En ejecución","")))</f>
        <v>Terminado</v>
      </c>
      <c r="AL28" s="153" t="e">
        <f ca="1">SUMIF([2]!COMPROMISOS_2024[[#All],[consecutivo]],Contrato5[[#This Row],[RCP]],[2]!COMPROMISOS_2024[[#All],[Total pagado]])</f>
        <v>#REF!</v>
      </c>
      <c r="AM28" s="154">
        <f ca="1">IFERROR(Contrato5[[#This Row],[Pagos]]/Contrato5[[#This Row],[VALOR CONTRATO]],0)</f>
        <v>0</v>
      </c>
      <c r="AN28" s="175" t="e">
        <f ca="1">+Contrato5[[#This Row],[VALOR CONTRATO]]-Contrato5[[#This Row],[Pagos]]</f>
        <v>#REF!</v>
      </c>
      <c r="AO28" s="151" t="e" cm="1">
        <f t="array" aca="1" ref="AO28" ca="1">_xlfn.XLOOKUP(Contrato5[[#This Row],[DOCUMENTO ]],[2]!PERSONAL_ACTIVO_2024[[#All],[Documento identidad]],[2]!PERSONAL_ACTIVO_2024[[#All],[Mail ]],0,0)</f>
        <v>#NAME?</v>
      </c>
      <c r="AP28" s="151" t="e" cm="1">
        <f t="array" aca="1" ref="AP28" ca="1">_xlfn.XLOOKUP(Contrato5[[#This Row],[DOCUMENTO]],[2]!PERSONAL_ACTIVO_2024[[#All],[Documento identidad]],[2]!PERSONAL_ACTIVO_2024[[#All],[Mail ]],0,0)</f>
        <v>#NAME?</v>
      </c>
      <c r="AQ28" s="151" cm="1">
        <f t="array" aca="1" ref="AQ28" ca="1">IF(ISBLANK(Contrato5[[#This Row],[DEPENDENCIA ]]),0,IFERROR(_xlfn.XLOOKUP(Contrato5[[#This Row],[DEPENDENCIA ]],[2]!PERSONAL_ACTIVO_2024[[#All],[Dependencia]],[2]!PERSONAL_ACTIVO_2024[[#All],[Mail ]],0,0),0))</f>
        <v>0</v>
      </c>
    </row>
    <row r="29" spans="1:43" ht="34.5" customHeight="1">
      <c r="A29" s="125">
        <v>380</v>
      </c>
      <c r="B29" s="124">
        <v>8</v>
      </c>
      <c r="C29" s="162" t="s">
        <v>547</v>
      </c>
      <c r="D29" s="128" t="s">
        <v>515</v>
      </c>
      <c r="E29" s="172" t="s">
        <v>94</v>
      </c>
      <c r="F29" s="163" t="s">
        <v>1376</v>
      </c>
      <c r="G29" s="176" t="s">
        <v>548</v>
      </c>
      <c r="H29" s="453">
        <v>1128276230</v>
      </c>
      <c r="I29" s="448">
        <v>7690469</v>
      </c>
      <c r="J29" s="452">
        <v>23071407</v>
      </c>
      <c r="K29" s="147" t="s">
        <v>42</v>
      </c>
      <c r="L29" s="450" t="s">
        <v>42</v>
      </c>
      <c r="M29" s="178" t="s">
        <v>549</v>
      </c>
      <c r="N29" s="177" t="e" cm="1">
        <f t="array" aca="1" ref="N29" ca="1">_xlfn.XLOOKUP(Contrato5[[#This Row],[SUPERVISOR TITULAR]],[2]!PERSONAL_ACTIVO_2024[[#All],[Nombre completo]],[2]!PERSONAL_ACTIVO_2024[[#All],[Documento identidad]],"",0)</f>
        <v>#NAME?</v>
      </c>
      <c r="O29" s="178" t="s">
        <v>550</v>
      </c>
      <c r="P29" s="181" t="e" cm="1">
        <f t="array" aca="1" ref="P29" ca="1">_xlfn.XLOOKUP(Contrato5[[#This Row],[SUPERVISOR SUPLENTE ]],[2]!PERSONAL_ACTIVO_2024[[#All],[Nombre completo]],[2]!PERSONAL_ACTIVO_2024[[#All],[Documento identidad]],"",0)</f>
        <v>#NAME?</v>
      </c>
      <c r="Q29" s="182">
        <v>33</v>
      </c>
      <c r="R29" s="137" t="e" cm="1">
        <f t="array" aca="1" ref="R29" ca="1">_xlfn.XLOOKUP(Contrato5[[#This Row],[CDP]],[2]!DISPONIBILIDADES_2024[[#All],[consecutivo]],[2]!DISPONIBILIDADES_2024[[#All],[fecha_aprobacion]],"",0)</f>
        <v>#NAME?</v>
      </c>
      <c r="S29" s="138" t="e">
        <f>SUMIF([2]!DISPONIBILIDADES_2024[[#All],[consecutivo]],Contrato5[[#This Row],[CDP]],[2]!DISPONIBILIDADES_2024[[#All],[valor_total_rubro]])</f>
        <v>#REF!</v>
      </c>
      <c r="T29" s="139" t="e" cm="1">
        <f t="array" aca="1" ref="T29" ca="1">_xlfn.XLOOKUP(Contrato5[[#This Row],[CONTRATO]]&amp;Contrato5[[#This Row],[CDP]],[2]!Corr_Contr_CDP[[#All],[CONTRATO-CDP]],[2]!Corr_Contr_CDP[[#All],[CRP]],_xlfn.XLOOKUP(Contrato5[[#This Row],[CDP]],[2]!COMPROMISOS_2024[[#All],[disponibilidad]],[2]!COMPROMISOS_2024[[#All],[consecutivo]],"",0),0)</f>
        <v>#NAME?</v>
      </c>
      <c r="U29" s="140" t="e" cm="1">
        <f t="array" aca="1" ref="U29" ca="1">+_xlfn.XLOOKUP(Contrato5[[#This Row],[RCP]],[2]!COMPROMISOS_2024[[#All],[consecutivo]],[2]!COMPROMISOS_2024[[#All],[fecha_aprobacion]],"",0)</f>
        <v>#NAME?</v>
      </c>
      <c r="V29" s="141" t="e">
        <f ca="1">SUMIF([2]!COMPROMISOS_2024[[#All],[consecutivo]],Contrato5[[#This Row],[RCP]],[2]!COMPROMISOS_2024[[#All],[valor_total]])</f>
        <v>#REF!</v>
      </c>
      <c r="W29" s="415">
        <v>45310</v>
      </c>
      <c r="X29" s="415">
        <v>45310</v>
      </c>
      <c r="Y29" s="143">
        <v>45313</v>
      </c>
      <c r="Z29" s="262">
        <v>45403</v>
      </c>
      <c r="AA29" s="183" t="s">
        <v>551</v>
      </c>
      <c r="AB29" s="127" t="s">
        <v>529</v>
      </c>
      <c r="AD29" s="179">
        <v>202000003469</v>
      </c>
      <c r="AE29" s="125" t="s">
        <v>523</v>
      </c>
      <c r="AF29" s="148" t="str">
        <f>TEXT(LEFT(Contrato5[[#This Row],[CONTRATO]],3),"0")</f>
        <v>8</v>
      </c>
      <c r="AG29" s="148" t="str">
        <f>IF(LEN(Contrato5[[#This Row],[Contrato2]])=3,Contrato5[[#This Row],[Contrato2]],TEXT(Contrato5[[#This Row],[Contrato2]],"000"))</f>
        <v>008</v>
      </c>
      <c r="AH29" s="149">
        <f ca="1">IFERROR(_xlfn.DAYS(Contrato5[[#This Row],[Fecha Proyectada liquidación]],TODAY())/30,"")</f>
        <v>-7.833333333333333</v>
      </c>
      <c r="AI29" s="150">
        <f>+Contrato5[[#This Row],[FECHA TERMINACIÓN ]]+120</f>
        <v>45523</v>
      </c>
      <c r="AK29" s="152" t="str">
        <f ca="1">IF(Contrato5[[#This Row],[FECHA TERMINACIÓN ]]&lt;TODAY(), "Terminado",IF(ISNUMBER(Contrato5[[#This Row],[Fecha Real de liquiidación ]]),"Liquidado",IF(Contrato5[[#This Row],[FECHA TERMINACIÓN ]]&gt;=TODAY(),"En ejecución","")))</f>
        <v>Terminado</v>
      </c>
      <c r="AL29" s="153" t="e">
        <f ca="1">SUMIF([2]!COMPROMISOS_2024[[#All],[consecutivo]],Contrato5[[#This Row],[RCP]],[2]!COMPROMISOS_2024[[#All],[Total pagado]])</f>
        <v>#REF!</v>
      </c>
      <c r="AM29" s="154">
        <f ca="1">IFERROR(Contrato5[[#This Row],[Pagos]]/Contrato5[[#This Row],[VALOR CONTRATO]],0)</f>
        <v>0</v>
      </c>
      <c r="AN29" s="175" t="e">
        <f ca="1">+Contrato5[[#This Row],[VALOR CONTRATO]]-Contrato5[[#This Row],[Pagos]]</f>
        <v>#REF!</v>
      </c>
      <c r="AO29" s="151" t="e" cm="1">
        <f t="array" aca="1" ref="AO29" ca="1">_xlfn.XLOOKUP(Contrato5[[#This Row],[DOCUMENTO ]],[2]!PERSONAL_ACTIVO_2024[[#All],[Documento identidad]],[2]!PERSONAL_ACTIVO_2024[[#All],[Mail ]],0,0)</f>
        <v>#NAME?</v>
      </c>
      <c r="AP29" s="151" t="e" cm="1">
        <f t="array" aca="1" ref="AP29" ca="1">_xlfn.XLOOKUP(Contrato5[[#This Row],[DOCUMENTO]],[2]!PERSONAL_ACTIVO_2024[[#All],[Documento identidad]],[2]!PERSONAL_ACTIVO_2024[[#All],[Mail ]],0,0)</f>
        <v>#NAME?</v>
      </c>
      <c r="AQ29" s="151" cm="1">
        <f t="array" aca="1" ref="AQ29" ca="1">IF(ISBLANK(Contrato5[[#This Row],[DEPENDENCIA ]]),0,IFERROR(_xlfn.XLOOKUP(Contrato5[[#This Row],[DEPENDENCIA ]],[2]!PERSONAL_ACTIVO_2024[[#All],[Dependencia]],[2]!PERSONAL_ACTIVO_2024[[#All],[Mail ]],0,0),0))</f>
        <v>0</v>
      </c>
    </row>
    <row r="30" spans="1:43" ht="34.5" customHeight="1">
      <c r="A30" s="125">
        <v>378</v>
      </c>
      <c r="B30" s="124">
        <v>9</v>
      </c>
      <c r="C30" s="162" t="s">
        <v>328</v>
      </c>
      <c r="D30" s="128" t="s">
        <v>515</v>
      </c>
      <c r="E30" s="172" t="s">
        <v>94</v>
      </c>
      <c r="F30" s="163" t="s">
        <v>1376</v>
      </c>
      <c r="G30" s="176" t="s">
        <v>552</v>
      </c>
      <c r="H30" s="453">
        <v>1039451091</v>
      </c>
      <c r="I30" s="273">
        <v>6879081</v>
      </c>
      <c r="J30" s="449">
        <v>20637243</v>
      </c>
      <c r="K30" s="147" t="s">
        <v>42</v>
      </c>
      <c r="L30" s="438" t="s">
        <v>42</v>
      </c>
      <c r="M30" s="178" t="s">
        <v>549</v>
      </c>
      <c r="N30" s="177" t="e" cm="1">
        <f t="array" aca="1" ref="N30" ca="1">_xlfn.XLOOKUP(Contrato5[[#This Row],[SUPERVISOR TITULAR]],[2]!PERSONAL_ACTIVO_2024[[#All],[Nombre completo]],[2]!PERSONAL_ACTIVO_2024[[#All],[Documento identidad]],"",0)</f>
        <v>#NAME?</v>
      </c>
      <c r="O30" s="178" t="s">
        <v>550</v>
      </c>
      <c r="P30" s="181" t="e" cm="1">
        <f t="array" aca="1" ref="P30" ca="1">_xlfn.XLOOKUP(Contrato5[[#This Row],[SUPERVISOR SUPLENTE ]],[2]!PERSONAL_ACTIVO_2024[[#All],[Nombre completo]],[2]!PERSONAL_ACTIVO_2024[[#All],[Documento identidad]],"",0)</f>
        <v>#NAME?</v>
      </c>
      <c r="Q30" s="182">
        <v>32</v>
      </c>
      <c r="R30" s="137" t="e" cm="1">
        <f t="array" aca="1" ref="R30" ca="1">_xlfn.XLOOKUP(Contrato5[[#This Row],[CDP]],[2]!DISPONIBILIDADES_2024[[#All],[consecutivo]],[2]!DISPONIBILIDADES_2024[[#All],[fecha_aprobacion]],"",0)</f>
        <v>#NAME?</v>
      </c>
      <c r="S30" s="138" t="e">
        <f>SUMIF([2]!DISPONIBILIDADES_2024[[#All],[consecutivo]],Contrato5[[#This Row],[CDP]],[2]!DISPONIBILIDADES_2024[[#All],[valor_total_rubro]])</f>
        <v>#REF!</v>
      </c>
      <c r="T30" s="139" t="e" cm="1">
        <f t="array" aca="1" ref="T30" ca="1">_xlfn.XLOOKUP(Contrato5[[#This Row],[CONTRATO]]&amp;Contrato5[[#This Row],[CDP]],[2]!Corr_Contr_CDP[[#All],[CONTRATO-CDP]],[2]!Corr_Contr_CDP[[#All],[CRP]],_xlfn.XLOOKUP(Contrato5[[#This Row],[CDP]],[2]!COMPROMISOS_2024[[#All],[disponibilidad]],[2]!COMPROMISOS_2024[[#All],[consecutivo]],"",0),0)</f>
        <v>#NAME?</v>
      </c>
      <c r="U30" s="140" t="e" cm="1">
        <f t="array" aca="1" ref="U30" ca="1">+_xlfn.XLOOKUP(Contrato5[[#This Row],[RCP]],[2]!COMPROMISOS_2024[[#All],[consecutivo]],[2]!COMPROMISOS_2024[[#All],[fecha_aprobacion]],"",0)</f>
        <v>#NAME?</v>
      </c>
      <c r="V30" s="141" t="e">
        <f ca="1">SUMIF([2]!COMPROMISOS_2024[[#All],[consecutivo]],Contrato5[[#This Row],[RCP]],[2]!COMPROMISOS_2024[[#All],[valor_total]])</f>
        <v>#REF!</v>
      </c>
      <c r="W30" s="415">
        <v>45314</v>
      </c>
      <c r="X30" s="415">
        <v>45314</v>
      </c>
      <c r="Y30" s="143">
        <v>45315</v>
      </c>
      <c r="Z30" s="262">
        <v>45405</v>
      </c>
      <c r="AA30" s="183" t="s">
        <v>553</v>
      </c>
      <c r="AB30" s="127" t="s">
        <v>529</v>
      </c>
      <c r="AD30" s="180">
        <v>202000003470</v>
      </c>
      <c r="AE30" s="125" t="s">
        <v>523</v>
      </c>
      <c r="AF30" s="148" t="str">
        <f>TEXT(LEFT(Contrato5[[#This Row],[CONTRATO]],3),"0")</f>
        <v>9</v>
      </c>
      <c r="AG30" s="148" t="str">
        <f>IF(LEN(Contrato5[[#This Row],[Contrato2]])=3,Contrato5[[#This Row],[Contrato2]],TEXT(Contrato5[[#This Row],[Contrato2]],"000"))</f>
        <v>009</v>
      </c>
      <c r="AH30" s="149">
        <f ca="1">IFERROR(_xlfn.DAYS(Contrato5[[#This Row],[Fecha Proyectada liquidación]],TODAY())/30,"")</f>
        <v>-7.7666666666666666</v>
      </c>
      <c r="AI30" s="150">
        <f>+Contrato5[[#This Row],[FECHA TERMINACIÓN ]]+120</f>
        <v>45525</v>
      </c>
      <c r="AK30" s="152" t="str">
        <f ca="1">IF(Contrato5[[#This Row],[FECHA TERMINACIÓN ]]&lt;TODAY(), "Terminado",IF(ISNUMBER(Contrato5[[#This Row],[Fecha Real de liquiidación ]]),"Liquidado",IF(Contrato5[[#This Row],[FECHA TERMINACIÓN ]]&gt;=TODAY(),"En ejecución","")))</f>
        <v>Terminado</v>
      </c>
      <c r="AL30" s="153" t="e">
        <f ca="1">SUMIF([2]!COMPROMISOS_2024[[#All],[consecutivo]],Contrato5[[#This Row],[RCP]],[2]!COMPROMISOS_2024[[#All],[Total pagado]])</f>
        <v>#REF!</v>
      </c>
      <c r="AM30" s="154">
        <f ca="1">IFERROR(Contrato5[[#This Row],[Pagos]]/Contrato5[[#This Row],[VALOR CONTRATO]],0)</f>
        <v>0</v>
      </c>
      <c r="AN30" s="175" t="e">
        <f ca="1">+Contrato5[[#This Row],[VALOR CONTRATO]]-Contrato5[[#This Row],[Pagos]]</f>
        <v>#REF!</v>
      </c>
      <c r="AO30" s="151" t="e" cm="1">
        <f t="array" aca="1" ref="AO30" ca="1">_xlfn.XLOOKUP(Contrato5[[#This Row],[DOCUMENTO ]],[2]!PERSONAL_ACTIVO_2024[[#All],[Documento identidad]],[2]!PERSONAL_ACTIVO_2024[[#All],[Mail ]],0,0)</f>
        <v>#NAME?</v>
      </c>
      <c r="AP30" s="151" t="e" cm="1">
        <f t="array" aca="1" ref="AP30" ca="1">_xlfn.XLOOKUP(Contrato5[[#This Row],[DOCUMENTO]],[2]!PERSONAL_ACTIVO_2024[[#All],[Documento identidad]],[2]!PERSONAL_ACTIVO_2024[[#All],[Mail ]],0,0)</f>
        <v>#NAME?</v>
      </c>
      <c r="AQ30" s="151" cm="1">
        <f t="array" aca="1" ref="AQ30" ca="1">IF(ISBLANK(Contrato5[[#This Row],[DEPENDENCIA ]]),0,IFERROR(_xlfn.XLOOKUP(Contrato5[[#This Row],[DEPENDENCIA ]],[2]!PERSONAL_ACTIVO_2024[[#All],[Dependencia]],[2]!PERSONAL_ACTIVO_2024[[#All],[Mail ]],0,0),0))</f>
        <v>0</v>
      </c>
    </row>
    <row r="31" spans="1:43" ht="34.5" customHeight="1">
      <c r="A31" s="125">
        <v>499</v>
      </c>
      <c r="B31" s="124">
        <v>10</v>
      </c>
      <c r="C31" s="162" t="s">
        <v>2485</v>
      </c>
      <c r="D31" s="126" t="s">
        <v>493</v>
      </c>
      <c r="E31" s="172" t="s">
        <v>94</v>
      </c>
      <c r="F31" s="163" t="s">
        <v>1376</v>
      </c>
      <c r="G31" s="176" t="s">
        <v>554</v>
      </c>
      <c r="H31" s="453">
        <v>8409278</v>
      </c>
      <c r="I31" s="309">
        <v>3986061</v>
      </c>
      <c r="J31" s="449">
        <v>11958183</v>
      </c>
      <c r="K31" s="147" t="s">
        <v>42</v>
      </c>
      <c r="L31" s="454" t="s">
        <v>42</v>
      </c>
      <c r="M31" s="178" t="s">
        <v>497</v>
      </c>
      <c r="N31" s="177" t="e" cm="1">
        <f t="array" aca="1" ref="N31" ca="1">_xlfn.XLOOKUP(Contrato5[[#This Row],[SUPERVISOR TITULAR]],[2]!PERSONAL_ACTIVO_2024[[#All],[Nombre completo]],[2]!PERSONAL_ACTIVO_2024[[#All],[Documento identidad]],"",0)</f>
        <v>#NAME?</v>
      </c>
      <c r="O31" s="178" t="s">
        <v>2486</v>
      </c>
      <c r="P31" s="181" t="e" cm="1">
        <f t="array" aca="1" ref="P31" ca="1">_xlfn.XLOOKUP(Contrato5[[#This Row],[SUPERVISOR SUPLENTE ]],[2]!PERSONAL_ACTIVO_2024[[#All],[Nombre completo]],[2]!PERSONAL_ACTIVO_2024[[#All],[Documento identidad]],"",0)</f>
        <v>#NAME?</v>
      </c>
      <c r="Q31" s="182">
        <v>15</v>
      </c>
      <c r="R31" s="137" t="e" cm="1">
        <f t="array" aca="1" ref="R31" ca="1">_xlfn.XLOOKUP(Contrato5[[#This Row],[CDP]],[2]!DISPONIBILIDADES_2024[[#All],[consecutivo]],[2]!DISPONIBILIDADES_2024[[#All],[fecha_aprobacion]],"",0)</f>
        <v>#NAME?</v>
      </c>
      <c r="S31" s="138" t="e">
        <f>SUMIF([2]!DISPONIBILIDADES_2024[[#All],[consecutivo]],Contrato5[[#This Row],[CDP]],[2]!DISPONIBILIDADES_2024[[#All],[valor_total_rubro]])</f>
        <v>#REF!</v>
      </c>
      <c r="T31" s="139" t="e" cm="1">
        <f t="array" aca="1" ref="T31" ca="1">_xlfn.XLOOKUP(Contrato5[[#This Row],[CONTRATO]]&amp;Contrato5[[#This Row],[CDP]],[2]!Corr_Contr_CDP[[#All],[CONTRATO-CDP]],[2]!Corr_Contr_CDP[[#All],[CRP]],_xlfn.XLOOKUP(Contrato5[[#This Row],[CDP]],[2]!COMPROMISOS_2024[[#All],[disponibilidad]],[2]!COMPROMISOS_2024[[#All],[consecutivo]],"",0),0)</f>
        <v>#NAME?</v>
      </c>
      <c r="U31" s="140" t="e" cm="1">
        <f t="array" aca="1" ref="U31" ca="1">+_xlfn.XLOOKUP(Contrato5[[#This Row],[RCP]],[2]!COMPROMISOS_2024[[#All],[consecutivo]],[2]!COMPROMISOS_2024[[#All],[fecha_aprobacion]],"",0)</f>
        <v>#NAME?</v>
      </c>
      <c r="V31" s="141" t="e">
        <f ca="1">SUMIF([2]!COMPROMISOS_2024[[#All],[consecutivo]],Contrato5[[#This Row],[RCP]],[2]!COMPROMISOS_2024[[#All],[valor_total]])</f>
        <v>#REF!</v>
      </c>
      <c r="W31" s="415">
        <v>45314</v>
      </c>
      <c r="X31" s="415">
        <v>45314</v>
      </c>
      <c r="Y31" s="143">
        <v>45312</v>
      </c>
      <c r="Z31" s="262">
        <v>45405</v>
      </c>
      <c r="AA31" s="183" t="s">
        <v>555</v>
      </c>
      <c r="AB31" s="127" t="s">
        <v>529</v>
      </c>
      <c r="AD31" s="179">
        <v>202000003472</v>
      </c>
      <c r="AE31" s="125" t="s">
        <v>523</v>
      </c>
      <c r="AF31" s="148" t="str">
        <f>TEXT(LEFT(Contrato5[[#This Row],[CONTRATO]],3),"0")</f>
        <v>10</v>
      </c>
      <c r="AG31" s="148" t="str">
        <f>IF(LEN(Contrato5[[#This Row],[Contrato2]])=3,Contrato5[[#This Row],[Contrato2]],TEXT(Contrato5[[#This Row],[Contrato2]],"000"))</f>
        <v>010</v>
      </c>
      <c r="AH31" s="149">
        <f ca="1">IFERROR(_xlfn.DAYS(Contrato5[[#This Row],[Fecha Proyectada liquidación]],TODAY())/30,"")</f>
        <v>-7.7666666666666666</v>
      </c>
      <c r="AI31" s="150">
        <f>+Contrato5[[#This Row],[FECHA TERMINACIÓN ]]+120</f>
        <v>45525</v>
      </c>
      <c r="AK31" s="152" t="str">
        <f ca="1">IF(Contrato5[[#This Row],[FECHA TERMINACIÓN ]]&lt;TODAY(), "Terminado",IF(ISNUMBER(Contrato5[[#This Row],[Fecha Real de liquiidación ]]),"Liquidado",IF(Contrato5[[#This Row],[FECHA TERMINACIÓN ]]&gt;=TODAY(),"En ejecución","")))</f>
        <v>Terminado</v>
      </c>
      <c r="AL31" s="153" t="e">
        <f ca="1">SUMIF([2]!COMPROMISOS_2024[[#All],[consecutivo]],Contrato5[[#This Row],[RCP]],[2]!COMPROMISOS_2024[[#All],[Total pagado]])</f>
        <v>#REF!</v>
      </c>
      <c r="AM31" s="154">
        <f ca="1">IFERROR(Contrato5[[#This Row],[Pagos]]/Contrato5[[#This Row],[VALOR CONTRATO]],0)</f>
        <v>0</v>
      </c>
      <c r="AN31" s="175" t="e">
        <f ca="1">+Contrato5[[#This Row],[VALOR CONTRATO]]-Contrato5[[#This Row],[Pagos]]</f>
        <v>#REF!</v>
      </c>
      <c r="AO31" s="151" t="e" cm="1">
        <f t="array" aca="1" ref="AO31" ca="1">_xlfn.XLOOKUP(Contrato5[[#This Row],[DOCUMENTO ]],[2]!PERSONAL_ACTIVO_2024[[#All],[Documento identidad]],[2]!PERSONAL_ACTIVO_2024[[#All],[Mail ]],0,0)</f>
        <v>#NAME?</v>
      </c>
      <c r="AP31" s="151" t="e" cm="1">
        <f t="array" aca="1" ref="AP31" ca="1">_xlfn.XLOOKUP(Contrato5[[#This Row],[DOCUMENTO]],[2]!PERSONAL_ACTIVO_2024[[#All],[Documento identidad]],[2]!PERSONAL_ACTIVO_2024[[#All],[Mail ]],0,0)</f>
        <v>#NAME?</v>
      </c>
      <c r="AQ31" s="151" cm="1">
        <f t="array" aca="1" ref="AQ31" ca="1">IF(ISBLANK(Contrato5[[#This Row],[DEPENDENCIA ]]),0,IFERROR(_xlfn.XLOOKUP(Contrato5[[#This Row],[DEPENDENCIA ]],[2]!PERSONAL_ACTIVO_2024[[#All],[Dependencia]],[2]!PERSONAL_ACTIVO_2024[[#All],[Mail ]],0,0),0))</f>
        <v>0</v>
      </c>
    </row>
    <row r="32" spans="1:43" ht="34.5" customHeight="1">
      <c r="A32" s="125">
        <v>54</v>
      </c>
      <c r="B32" s="124">
        <v>11</v>
      </c>
      <c r="C32" s="162" t="s">
        <v>1481</v>
      </c>
      <c r="D32" s="126" t="s">
        <v>556</v>
      </c>
      <c r="E32" s="172" t="s">
        <v>94</v>
      </c>
      <c r="F32" s="163" t="s">
        <v>161</v>
      </c>
      <c r="G32" s="176" t="s">
        <v>557</v>
      </c>
      <c r="H32" s="453">
        <v>900092385</v>
      </c>
      <c r="I32" s="269" t="s">
        <v>42</v>
      </c>
      <c r="J32" s="449">
        <v>268406537</v>
      </c>
      <c r="K32" s="147" t="s">
        <v>42</v>
      </c>
      <c r="L32" s="454" t="s">
        <v>558</v>
      </c>
      <c r="M32" s="178" t="s">
        <v>559</v>
      </c>
      <c r="N32" s="177" t="e" cm="1">
        <f t="array" aca="1" ref="N32" ca="1">_xlfn.XLOOKUP(Contrato5[[#This Row],[SUPERVISOR TITULAR]],[2]!PERSONAL_ACTIVO_2024[[#All],[Nombre completo]],[2]!PERSONAL_ACTIVO_2024[[#All],[Documento identidad]],"",0)</f>
        <v>#NAME?</v>
      </c>
      <c r="O32" s="178" t="s">
        <v>2487</v>
      </c>
      <c r="P32" s="181" t="e" cm="1">
        <f t="array" aca="1" ref="P32" ca="1">_xlfn.XLOOKUP(Contrato5[[#This Row],[SUPERVISOR SUPLENTE ]],[2]!PERSONAL_ACTIVO_2024[[#All],[Nombre completo]],[2]!PERSONAL_ACTIVO_2024[[#All],[Documento identidad]],"",0)</f>
        <v>#NAME?</v>
      </c>
      <c r="Q32" s="182">
        <v>2</v>
      </c>
      <c r="R32" s="137" t="e" cm="1">
        <f t="array" aca="1" ref="R32" ca="1">_xlfn.XLOOKUP(Contrato5[[#This Row],[CDP]],[2]!DISPONIBILIDADES_2024[[#All],[consecutivo]],[2]!DISPONIBILIDADES_2024[[#All],[fecha_aprobacion]],"",0)</f>
        <v>#NAME?</v>
      </c>
      <c r="S32" s="138" t="e">
        <f>SUMIF([2]!DISPONIBILIDADES_2024[[#All],[consecutivo]],Contrato5[[#This Row],[CDP]],[2]!DISPONIBILIDADES_2024[[#All],[valor_total_rubro]])</f>
        <v>#REF!</v>
      </c>
      <c r="T32" s="139" t="e" cm="1">
        <f t="array" aca="1" ref="T32" ca="1">_xlfn.XLOOKUP(Contrato5[[#This Row],[CONTRATO]]&amp;Contrato5[[#This Row],[CDP]],[2]!Corr_Contr_CDP[[#All],[CONTRATO-CDP]],[2]!Corr_Contr_CDP[[#All],[CRP]],_xlfn.XLOOKUP(Contrato5[[#This Row],[CDP]],[2]!COMPROMISOS_2024[[#All],[disponibilidad]],[2]!COMPROMISOS_2024[[#All],[consecutivo]],"",0),0)</f>
        <v>#NAME?</v>
      </c>
      <c r="U32" s="140" t="e" cm="1">
        <f t="array" aca="1" ref="U32" ca="1">+_xlfn.XLOOKUP(Contrato5[[#This Row],[RCP]],[2]!COMPROMISOS_2024[[#All],[consecutivo]],[2]!COMPROMISOS_2024[[#All],[fecha_aprobacion]],"",0)</f>
        <v>#NAME?</v>
      </c>
      <c r="V32" s="141" t="e">
        <f ca="1">SUMIF([2]!COMPROMISOS_2024[[#All],[consecutivo]],Contrato5[[#This Row],[RCP]],[2]!COMPROMISOS_2024[[#All],[valor_total]])</f>
        <v>#REF!</v>
      </c>
      <c r="W32" s="415">
        <v>45317</v>
      </c>
      <c r="X32" s="415">
        <v>45321</v>
      </c>
      <c r="Y32" s="143">
        <v>45321</v>
      </c>
      <c r="Z32" s="262">
        <v>45524</v>
      </c>
      <c r="AA32" s="183" t="s">
        <v>561</v>
      </c>
      <c r="AB32" s="126" t="s">
        <v>562</v>
      </c>
      <c r="AC32" s="189"/>
      <c r="AD32" s="180">
        <v>202000003473</v>
      </c>
      <c r="AE32" s="125" t="s">
        <v>523</v>
      </c>
      <c r="AF32" s="148" t="str">
        <f>TEXT(LEFT(Contrato5[[#This Row],[CONTRATO]],3),"0")</f>
        <v>11</v>
      </c>
      <c r="AG32" s="148" t="str">
        <f>IF(LEN(Contrato5[[#This Row],[Contrato2]])=3,Contrato5[[#This Row],[Contrato2]],TEXT(Contrato5[[#This Row],[Contrato2]],"000"))</f>
        <v>011</v>
      </c>
      <c r="AH32" s="149">
        <f ca="1">IFERROR(_xlfn.DAYS(Contrato5[[#This Row],[Fecha Proyectada liquidación]],TODAY())/30,"")</f>
        <v>-3.8</v>
      </c>
      <c r="AI32" s="150">
        <f>+Contrato5[[#This Row],[FECHA TERMINACIÓN ]]+120</f>
        <v>45644</v>
      </c>
      <c r="AK32" s="152" t="str">
        <f ca="1">IF(Contrato5[[#This Row],[FECHA TERMINACIÓN ]]&lt;TODAY(), "Terminado",IF(ISNUMBER(Contrato5[[#This Row],[Fecha Real de liquiidación ]]),"Liquidado",IF(Contrato5[[#This Row],[FECHA TERMINACIÓN ]]&gt;=TODAY(),"En ejecución","")))</f>
        <v>Terminado</v>
      </c>
      <c r="AL32" s="153" t="e">
        <f ca="1">SUMIF([2]!COMPROMISOS_2024[[#All],[consecutivo]],Contrato5[[#This Row],[RCP]],[2]!COMPROMISOS_2024[[#All],[Total pagado]])</f>
        <v>#REF!</v>
      </c>
      <c r="AM32" s="154">
        <f ca="1">IFERROR(Contrato5[[#This Row],[Pagos]]/Contrato5[[#This Row],[VALOR CONTRATO]],0)</f>
        <v>0</v>
      </c>
      <c r="AN32" s="175" t="e">
        <f ca="1">+Contrato5[[#This Row],[VALOR CONTRATO]]-Contrato5[[#This Row],[Pagos]]</f>
        <v>#REF!</v>
      </c>
      <c r="AO32" s="151" t="e" cm="1">
        <f t="array" aca="1" ref="AO32" ca="1">_xlfn.XLOOKUP(Contrato5[[#This Row],[DOCUMENTO ]],[2]!PERSONAL_ACTIVO_2024[[#All],[Documento identidad]],[2]!PERSONAL_ACTIVO_2024[[#All],[Mail ]],0,0)</f>
        <v>#NAME?</v>
      </c>
      <c r="AP32" s="151" t="e" cm="1">
        <f t="array" aca="1" ref="AP32" ca="1">_xlfn.XLOOKUP(Contrato5[[#This Row],[DOCUMENTO]],[2]!PERSONAL_ACTIVO_2024[[#All],[Documento identidad]],[2]!PERSONAL_ACTIVO_2024[[#All],[Mail ]],0,0)</f>
        <v>#NAME?</v>
      </c>
      <c r="AQ32" s="151" cm="1">
        <f t="array" aca="1" ref="AQ32" ca="1">IF(ISBLANK(Contrato5[[#This Row],[DEPENDENCIA ]]),0,IFERROR(_xlfn.XLOOKUP(Contrato5[[#This Row],[DEPENDENCIA ]],[2]!PERSONAL_ACTIVO_2024[[#All],[Dependencia]],[2]!PERSONAL_ACTIVO_2024[[#All],[Mail ]],0,0),0))</f>
        <v>0</v>
      </c>
    </row>
    <row r="33" spans="1:43" ht="34.5" customHeight="1">
      <c r="A33" s="125">
        <v>343</v>
      </c>
      <c r="B33" s="124">
        <v>12</v>
      </c>
      <c r="C33" s="162" t="s">
        <v>2488</v>
      </c>
      <c r="D33" s="128" t="s">
        <v>510</v>
      </c>
      <c r="E33" s="172" t="s">
        <v>94</v>
      </c>
      <c r="F33" s="163" t="s">
        <v>1376</v>
      </c>
      <c r="G33" s="190" t="s">
        <v>563</v>
      </c>
      <c r="H33" s="447">
        <v>3377434</v>
      </c>
      <c r="I33" s="455">
        <v>7690469</v>
      </c>
      <c r="J33" s="456">
        <v>23071407</v>
      </c>
      <c r="K33" s="147" t="s">
        <v>42</v>
      </c>
      <c r="L33" s="438" t="s">
        <v>42</v>
      </c>
      <c r="M33" s="178" t="s">
        <v>564</v>
      </c>
      <c r="N33" s="177" t="e" cm="1">
        <f t="array" aca="1" ref="N33" ca="1">_xlfn.XLOOKUP(Contrato5[[#This Row],[SUPERVISOR TITULAR]],[2]!PERSONAL_ACTIVO_2024[[#All],[Nombre completo]],[2]!PERSONAL_ACTIVO_2024[[#All],[Documento identidad]],"",0)</f>
        <v>#NAME?</v>
      </c>
      <c r="O33" s="168" t="s">
        <v>565</v>
      </c>
      <c r="P33" s="185" t="e" cm="1">
        <f t="array" aca="1" ref="P33" ca="1">_xlfn.XLOOKUP(Contrato5[[#This Row],[SUPERVISOR SUPLENTE ]],[2]!PERSONAL_ACTIVO_2024[[#All],[Nombre completo]],[2]!PERSONAL_ACTIVO_2024[[#All],[Documento identidad]],"",0)</f>
        <v>#NAME?</v>
      </c>
      <c r="Q33" s="186">
        <v>24</v>
      </c>
      <c r="R33" s="137" t="e" cm="1">
        <f t="array" aca="1" ref="R33" ca="1">_xlfn.XLOOKUP(Contrato5[[#This Row],[CDP]],[2]!DISPONIBILIDADES_2024[[#All],[consecutivo]],[2]!DISPONIBILIDADES_2024[[#All],[fecha_aprobacion]],"",0)</f>
        <v>#NAME?</v>
      </c>
      <c r="S33" s="138" t="e">
        <f>SUMIF([2]!DISPONIBILIDADES_2024[[#All],[consecutivo]],Contrato5[[#This Row],[CDP]],[2]!DISPONIBILIDADES_2024[[#All],[valor_total_rubro]])</f>
        <v>#REF!</v>
      </c>
      <c r="T33" s="139" t="e" cm="1">
        <f t="array" aca="1" ref="T33" ca="1">_xlfn.XLOOKUP(Contrato5[[#This Row],[CONTRATO]]&amp;Contrato5[[#This Row],[CDP]],[2]!Corr_Contr_CDP[[#All],[CONTRATO-CDP]],[2]!Corr_Contr_CDP[[#All],[CRP]],_xlfn.XLOOKUP(Contrato5[[#This Row],[CDP]],[2]!COMPROMISOS_2024[[#All],[disponibilidad]],[2]!COMPROMISOS_2024[[#All],[consecutivo]],"",0),0)</f>
        <v>#NAME?</v>
      </c>
      <c r="U33" s="140" t="e" cm="1">
        <f t="array" aca="1" ref="U33" ca="1">+_xlfn.XLOOKUP(Contrato5[[#This Row],[RCP]],[2]!COMPROMISOS_2024[[#All],[consecutivo]],[2]!COMPROMISOS_2024[[#All],[fecha_aprobacion]],"",0)</f>
        <v>#NAME?</v>
      </c>
      <c r="V33" s="141" t="e">
        <f ca="1">SUMIF([2]!COMPROMISOS_2024[[#All],[consecutivo]],Contrato5[[#This Row],[RCP]],[2]!COMPROMISOS_2024[[#All],[valor_total]])</f>
        <v>#REF!</v>
      </c>
      <c r="W33" s="415">
        <v>45315</v>
      </c>
      <c r="X33" s="415">
        <v>45316</v>
      </c>
      <c r="Y33" s="143">
        <v>45316</v>
      </c>
      <c r="Z33" s="262">
        <v>45404</v>
      </c>
      <c r="AA33" s="183" t="s">
        <v>566</v>
      </c>
      <c r="AB33" s="127" t="s">
        <v>529</v>
      </c>
      <c r="AD33" s="179">
        <v>202000003474</v>
      </c>
      <c r="AE33" s="125" t="s">
        <v>523</v>
      </c>
      <c r="AF33" s="148" t="str">
        <f>TEXT(LEFT(Contrato5[[#This Row],[CONTRATO]],3),"0")</f>
        <v>12</v>
      </c>
      <c r="AG33" s="148" t="str">
        <f>IF(LEN(Contrato5[[#This Row],[Contrato2]])=3,Contrato5[[#This Row],[Contrato2]],TEXT(Contrato5[[#This Row],[Contrato2]],"000"))</f>
        <v>012</v>
      </c>
      <c r="AH33" s="149">
        <f ca="1">IFERROR(_xlfn.DAYS(Contrato5[[#This Row],[Fecha Proyectada liquidación]],TODAY())/30,"")</f>
        <v>-7.8</v>
      </c>
      <c r="AI33" s="150">
        <f>+Contrato5[[#This Row],[FECHA TERMINACIÓN ]]+120</f>
        <v>45524</v>
      </c>
      <c r="AK33" s="152" t="str">
        <f ca="1">IF(Contrato5[[#This Row],[FECHA TERMINACIÓN ]]&lt;TODAY(), "Terminado",IF(ISNUMBER(Contrato5[[#This Row],[Fecha Real de liquiidación ]]),"Liquidado",IF(Contrato5[[#This Row],[FECHA TERMINACIÓN ]]&gt;=TODAY(),"En ejecución","")))</f>
        <v>Terminado</v>
      </c>
      <c r="AL33" s="153" t="e">
        <f ca="1">SUMIF([2]!COMPROMISOS_2024[[#All],[consecutivo]],Contrato5[[#This Row],[RCP]],[2]!COMPROMISOS_2024[[#All],[Total pagado]])</f>
        <v>#REF!</v>
      </c>
      <c r="AM33" s="154">
        <f ca="1">IFERROR(Contrato5[[#This Row],[Pagos]]/Contrato5[[#This Row],[VALOR CONTRATO]],0)</f>
        <v>0</v>
      </c>
      <c r="AN33" s="175" t="e">
        <f ca="1">+Contrato5[[#This Row],[VALOR CONTRATO]]-Contrato5[[#This Row],[Pagos]]</f>
        <v>#REF!</v>
      </c>
      <c r="AO33" s="151" t="e" cm="1">
        <f t="array" aca="1" ref="AO33" ca="1">_xlfn.XLOOKUP(Contrato5[[#This Row],[DOCUMENTO ]],[2]!PERSONAL_ACTIVO_2024[[#All],[Documento identidad]],[2]!PERSONAL_ACTIVO_2024[[#All],[Mail ]],0,0)</f>
        <v>#NAME?</v>
      </c>
      <c r="AP33" s="151" t="e" cm="1">
        <f t="array" aca="1" ref="AP33" ca="1">_xlfn.XLOOKUP(Contrato5[[#This Row],[DOCUMENTO]],[2]!PERSONAL_ACTIVO_2024[[#All],[Documento identidad]],[2]!PERSONAL_ACTIVO_2024[[#All],[Mail ]],0,0)</f>
        <v>#NAME?</v>
      </c>
      <c r="AQ33" s="151" cm="1">
        <f t="array" aca="1" ref="AQ33" ca="1">IF(ISBLANK(Contrato5[[#This Row],[DEPENDENCIA ]]),0,IFERROR(_xlfn.XLOOKUP(Contrato5[[#This Row],[DEPENDENCIA ]],[2]!PERSONAL_ACTIVO_2024[[#All],[Dependencia]],[2]!PERSONAL_ACTIVO_2024[[#All],[Mail ]],0,0),0))</f>
        <v>0</v>
      </c>
    </row>
    <row r="34" spans="1:43" ht="34.5" customHeight="1">
      <c r="A34" s="125">
        <v>504</v>
      </c>
      <c r="B34" s="124">
        <v>13</v>
      </c>
      <c r="C34" s="162" t="s">
        <v>132</v>
      </c>
      <c r="D34" s="126" t="s">
        <v>493</v>
      </c>
      <c r="E34" s="172" t="s">
        <v>94</v>
      </c>
      <c r="F34" s="163" t="s">
        <v>1376</v>
      </c>
      <c r="G34" s="190" t="s">
        <v>567</v>
      </c>
      <c r="H34" s="447">
        <v>1039050471</v>
      </c>
      <c r="I34" s="455">
        <v>4171510</v>
      </c>
      <c r="J34" s="456">
        <v>12514530</v>
      </c>
      <c r="K34" s="147" t="s">
        <v>42</v>
      </c>
      <c r="L34" s="438" t="s">
        <v>42</v>
      </c>
      <c r="M34" s="178" t="s">
        <v>568</v>
      </c>
      <c r="N34" s="177" t="e" cm="1">
        <f t="array" aca="1" ref="N34" ca="1">_xlfn.XLOOKUP(Contrato5[[#This Row],[SUPERVISOR TITULAR]],[2]!PERSONAL_ACTIVO_2024[[#All],[Nombre completo]],[2]!PERSONAL_ACTIVO_2024[[#All],[Documento identidad]],"",0)</f>
        <v>#NAME?</v>
      </c>
      <c r="O34" s="168" t="s">
        <v>2489</v>
      </c>
      <c r="P34" s="185" t="e" cm="1">
        <f t="array" aca="1" ref="P34" ca="1">_xlfn.XLOOKUP(Contrato5[[#This Row],[SUPERVISOR SUPLENTE ]],[2]!PERSONAL_ACTIVO_2024[[#All],[Nombre completo]],[2]!PERSONAL_ACTIVO_2024[[#All],[Documento identidad]],"",0)</f>
        <v>#NAME?</v>
      </c>
      <c r="Q34" s="186">
        <v>6</v>
      </c>
      <c r="R34" s="137" t="e" cm="1">
        <f t="array" aca="1" ref="R34" ca="1">_xlfn.XLOOKUP(Contrato5[[#This Row],[CDP]],[2]!DISPONIBILIDADES_2024[[#All],[consecutivo]],[2]!DISPONIBILIDADES_2024[[#All],[fecha_aprobacion]],"",0)</f>
        <v>#NAME?</v>
      </c>
      <c r="S34" s="138" t="e">
        <f>SUMIF([2]!DISPONIBILIDADES_2024[[#All],[consecutivo]],Contrato5[[#This Row],[CDP]],[2]!DISPONIBILIDADES_2024[[#All],[valor_total_rubro]])</f>
        <v>#REF!</v>
      </c>
      <c r="T34" s="139" t="e" cm="1">
        <f t="array" aca="1" ref="T34" ca="1">_xlfn.XLOOKUP(Contrato5[[#This Row],[CONTRATO]]&amp;Contrato5[[#This Row],[CDP]],[2]!Corr_Contr_CDP[[#All],[CONTRATO-CDP]],[2]!Corr_Contr_CDP[[#All],[CRP]],_xlfn.XLOOKUP(Contrato5[[#This Row],[CDP]],[2]!COMPROMISOS_2024[[#All],[disponibilidad]],[2]!COMPROMISOS_2024[[#All],[consecutivo]],"",0),0)</f>
        <v>#NAME?</v>
      </c>
      <c r="U34" s="140" t="e" cm="1">
        <f t="array" aca="1" ref="U34" ca="1">+_xlfn.XLOOKUP(Contrato5[[#This Row],[RCP]],[2]!COMPROMISOS_2024[[#All],[consecutivo]],[2]!COMPROMISOS_2024[[#All],[fecha_aprobacion]],"",0)</f>
        <v>#NAME?</v>
      </c>
      <c r="V34" s="141" t="e">
        <f ca="1">SUMIF([2]!COMPROMISOS_2024[[#All],[consecutivo]],Contrato5[[#This Row],[RCP]],[2]!COMPROMISOS_2024[[#All],[valor_total]])</f>
        <v>#REF!</v>
      </c>
      <c r="W34" s="415">
        <v>45315</v>
      </c>
      <c r="X34" s="415">
        <v>45315</v>
      </c>
      <c r="Y34" s="143">
        <v>45316</v>
      </c>
      <c r="Z34" s="262">
        <v>45406</v>
      </c>
      <c r="AA34" s="183" t="s">
        <v>570</v>
      </c>
      <c r="AB34" s="127" t="s">
        <v>529</v>
      </c>
      <c r="AD34" s="180">
        <v>202000003477</v>
      </c>
      <c r="AE34" s="125" t="s">
        <v>523</v>
      </c>
      <c r="AF34" s="148" t="str">
        <f>TEXT(LEFT(Contrato5[[#This Row],[CONTRATO]],3),"0")</f>
        <v>13</v>
      </c>
      <c r="AG34" s="148" t="str">
        <f>IF(LEN(Contrato5[[#This Row],[Contrato2]])=3,Contrato5[[#This Row],[Contrato2]],TEXT(Contrato5[[#This Row],[Contrato2]],"000"))</f>
        <v>013</v>
      </c>
      <c r="AH34" s="149">
        <f ca="1">IFERROR(_xlfn.DAYS(Contrato5[[#This Row],[Fecha Proyectada liquidación]],TODAY())/30,"")</f>
        <v>-7.7333333333333334</v>
      </c>
      <c r="AI34" s="150">
        <f>+Contrato5[[#This Row],[FECHA TERMINACIÓN ]]+120</f>
        <v>45526</v>
      </c>
      <c r="AK34" s="152" t="str">
        <f ca="1">IF(Contrato5[[#This Row],[FECHA TERMINACIÓN ]]&lt;TODAY(), "Terminado",IF(ISNUMBER(Contrato5[[#This Row],[Fecha Real de liquiidación ]]),"Liquidado",IF(Contrato5[[#This Row],[FECHA TERMINACIÓN ]]&gt;=TODAY(),"En ejecución","")))</f>
        <v>Terminado</v>
      </c>
      <c r="AL34" s="153" t="e">
        <f ca="1">SUMIF([2]!COMPROMISOS_2024[[#All],[consecutivo]],Contrato5[[#This Row],[RCP]],[2]!COMPROMISOS_2024[[#All],[Total pagado]])</f>
        <v>#REF!</v>
      </c>
      <c r="AM34" s="154">
        <f ca="1">IFERROR(Contrato5[[#This Row],[Pagos]]/Contrato5[[#This Row],[VALOR CONTRATO]],0)</f>
        <v>0</v>
      </c>
      <c r="AN34" s="175" t="e">
        <f ca="1">+Contrato5[[#This Row],[VALOR CONTRATO]]-Contrato5[[#This Row],[Pagos]]</f>
        <v>#REF!</v>
      </c>
      <c r="AO34" s="151" t="e" cm="1">
        <f t="array" aca="1" ref="AO34" ca="1">_xlfn.XLOOKUP(Contrato5[[#This Row],[DOCUMENTO ]],[2]!PERSONAL_ACTIVO_2024[[#All],[Documento identidad]],[2]!PERSONAL_ACTIVO_2024[[#All],[Mail ]],0,0)</f>
        <v>#NAME?</v>
      </c>
      <c r="AP34" s="151" t="e" cm="1">
        <f t="array" aca="1" ref="AP34" ca="1">_xlfn.XLOOKUP(Contrato5[[#This Row],[DOCUMENTO]],[2]!PERSONAL_ACTIVO_2024[[#All],[Documento identidad]],[2]!PERSONAL_ACTIVO_2024[[#All],[Mail ]],0,0)</f>
        <v>#NAME?</v>
      </c>
      <c r="AQ34" s="151" cm="1">
        <f t="array" aca="1" ref="AQ34" ca="1">IF(ISBLANK(Contrato5[[#This Row],[DEPENDENCIA ]]),0,IFERROR(_xlfn.XLOOKUP(Contrato5[[#This Row],[DEPENDENCIA ]],[2]!PERSONAL_ACTIVO_2024[[#All],[Dependencia]],[2]!PERSONAL_ACTIVO_2024[[#All],[Mail ]],0,0),0))</f>
        <v>0</v>
      </c>
    </row>
    <row r="35" spans="1:43" ht="34.5" customHeight="1">
      <c r="A35" s="125">
        <v>507</v>
      </c>
      <c r="B35" s="124">
        <v>14</v>
      </c>
      <c r="C35" s="162" t="s">
        <v>132</v>
      </c>
      <c r="D35" s="126" t="s">
        <v>493</v>
      </c>
      <c r="E35" s="172" t="s">
        <v>94</v>
      </c>
      <c r="F35" s="163" t="s">
        <v>1376</v>
      </c>
      <c r="G35" s="190" t="s">
        <v>571</v>
      </c>
      <c r="H35" s="447">
        <v>43063996</v>
      </c>
      <c r="I35" s="455">
        <v>4171510</v>
      </c>
      <c r="J35" s="456">
        <v>12514530</v>
      </c>
      <c r="K35" s="132" t="s">
        <v>42</v>
      </c>
      <c r="L35" s="438" t="s">
        <v>42</v>
      </c>
      <c r="M35" s="178" t="s">
        <v>568</v>
      </c>
      <c r="N35" s="177" t="e" cm="1">
        <f t="array" aca="1" ref="N35" ca="1">_xlfn.XLOOKUP(Contrato5[[#This Row],[SUPERVISOR TITULAR]],[2]!PERSONAL_ACTIVO_2024[[#All],[Nombre completo]],[2]!PERSONAL_ACTIVO_2024[[#All],[Documento identidad]],"",0)</f>
        <v>#NAME?</v>
      </c>
      <c r="O35" s="168" t="s">
        <v>2489</v>
      </c>
      <c r="P35" s="185" t="e" cm="1">
        <f t="array" aca="1" ref="P35" ca="1">_xlfn.XLOOKUP(Contrato5[[#This Row],[SUPERVISOR SUPLENTE ]],[2]!PERSONAL_ACTIVO_2024[[#All],[Nombre completo]],[2]!PERSONAL_ACTIVO_2024[[#All],[Documento identidad]],"",0)</f>
        <v>#NAME?</v>
      </c>
      <c r="Q35" s="182">
        <v>8</v>
      </c>
      <c r="R35" s="137" t="e" cm="1">
        <f t="array" aca="1" ref="R35" ca="1">_xlfn.XLOOKUP(Contrato5[[#This Row],[CDP]],[2]!DISPONIBILIDADES_2024[[#All],[consecutivo]],[2]!DISPONIBILIDADES_2024[[#All],[fecha_aprobacion]],"",0)</f>
        <v>#NAME?</v>
      </c>
      <c r="S35" s="138" t="e">
        <f>SUMIF([2]!DISPONIBILIDADES_2024[[#All],[consecutivo]],Contrato5[[#This Row],[CDP]],[2]!DISPONIBILIDADES_2024[[#All],[valor_total_rubro]])</f>
        <v>#REF!</v>
      </c>
      <c r="T35" s="139" t="e" cm="1">
        <f t="array" aca="1" ref="T35" ca="1">_xlfn.XLOOKUP(Contrato5[[#This Row],[CONTRATO]]&amp;Contrato5[[#This Row],[CDP]],[2]!Corr_Contr_CDP[[#All],[CONTRATO-CDP]],[2]!Corr_Contr_CDP[[#All],[CRP]],_xlfn.XLOOKUP(Contrato5[[#This Row],[CDP]],[2]!COMPROMISOS_2024[[#All],[disponibilidad]],[2]!COMPROMISOS_2024[[#All],[consecutivo]],"",0),0)</f>
        <v>#NAME?</v>
      </c>
      <c r="U35" s="140" t="e" cm="1">
        <f t="array" aca="1" ref="U35" ca="1">+_xlfn.XLOOKUP(Contrato5[[#This Row],[RCP]],[2]!COMPROMISOS_2024[[#All],[consecutivo]],[2]!COMPROMISOS_2024[[#All],[fecha_aprobacion]],"",0)</f>
        <v>#NAME?</v>
      </c>
      <c r="V35" s="141" t="e">
        <f ca="1">SUMIF([2]!COMPROMISOS_2024[[#All],[consecutivo]],Contrato5[[#This Row],[RCP]],[2]!COMPROMISOS_2024[[#All],[valor_total]])</f>
        <v>#REF!</v>
      </c>
      <c r="W35" s="415">
        <v>45314</v>
      </c>
      <c r="X35" s="415">
        <v>45314</v>
      </c>
      <c r="Y35" s="143">
        <v>45315</v>
      </c>
      <c r="Z35" s="262">
        <v>45404</v>
      </c>
      <c r="AA35" s="183" t="s">
        <v>572</v>
      </c>
      <c r="AB35" s="127" t="s">
        <v>529</v>
      </c>
      <c r="AD35" s="179">
        <v>202000003478</v>
      </c>
      <c r="AE35" s="125" t="s">
        <v>523</v>
      </c>
      <c r="AF35" s="148" t="str">
        <f>TEXT(LEFT(Contrato5[[#This Row],[CONTRATO]],3),"0")</f>
        <v>14</v>
      </c>
      <c r="AG35" s="148" t="str">
        <f>IF(LEN(Contrato5[[#This Row],[Contrato2]])=3,Contrato5[[#This Row],[Contrato2]],TEXT(Contrato5[[#This Row],[Contrato2]],"000"))</f>
        <v>014</v>
      </c>
      <c r="AH35" s="149">
        <f ca="1">IFERROR(_xlfn.DAYS(Contrato5[[#This Row],[Fecha Proyectada liquidación]],TODAY())/30,"")</f>
        <v>-7.8</v>
      </c>
      <c r="AI35" s="150">
        <f>+Contrato5[[#This Row],[FECHA TERMINACIÓN ]]+120</f>
        <v>45524</v>
      </c>
      <c r="AK35" s="152" t="str">
        <f ca="1">IF(Contrato5[[#This Row],[FECHA TERMINACIÓN ]]&lt;TODAY(), "Terminado",IF(ISNUMBER(Contrato5[[#This Row],[Fecha Real de liquiidación ]]),"Liquidado",IF(Contrato5[[#This Row],[FECHA TERMINACIÓN ]]&gt;=TODAY(),"En ejecución","")))</f>
        <v>Terminado</v>
      </c>
      <c r="AL35" s="153" t="e">
        <f ca="1">SUMIF([2]!COMPROMISOS_2024[[#All],[consecutivo]],Contrato5[[#This Row],[RCP]],[2]!COMPROMISOS_2024[[#All],[Total pagado]])</f>
        <v>#REF!</v>
      </c>
      <c r="AM35" s="154">
        <f ca="1">IFERROR(Contrato5[[#This Row],[Pagos]]/Contrato5[[#This Row],[VALOR CONTRATO]],0)</f>
        <v>0</v>
      </c>
      <c r="AN35" s="175" t="e">
        <f ca="1">+Contrato5[[#This Row],[VALOR CONTRATO]]-Contrato5[[#This Row],[Pagos]]</f>
        <v>#REF!</v>
      </c>
      <c r="AO35" s="151" t="e" cm="1">
        <f t="array" aca="1" ref="AO35" ca="1">_xlfn.XLOOKUP(Contrato5[[#This Row],[DOCUMENTO ]],[2]!PERSONAL_ACTIVO_2024[[#All],[Documento identidad]],[2]!PERSONAL_ACTIVO_2024[[#All],[Mail ]],0,0)</f>
        <v>#NAME?</v>
      </c>
      <c r="AP35" s="151" t="e" cm="1">
        <f t="array" aca="1" ref="AP35" ca="1">_xlfn.XLOOKUP(Contrato5[[#This Row],[DOCUMENTO]],[2]!PERSONAL_ACTIVO_2024[[#All],[Documento identidad]],[2]!PERSONAL_ACTIVO_2024[[#All],[Mail ]],0,0)</f>
        <v>#NAME?</v>
      </c>
      <c r="AQ35" s="151" cm="1">
        <f t="array" aca="1" ref="AQ35" ca="1">IF(ISBLANK(Contrato5[[#This Row],[DEPENDENCIA ]]),0,IFERROR(_xlfn.XLOOKUP(Contrato5[[#This Row],[DEPENDENCIA ]],[2]!PERSONAL_ACTIVO_2024[[#All],[Dependencia]],[2]!PERSONAL_ACTIVO_2024[[#All],[Mail ]],0,0),0))</f>
        <v>0</v>
      </c>
    </row>
    <row r="36" spans="1:43" ht="34.5" customHeight="1">
      <c r="A36" s="125">
        <v>381</v>
      </c>
      <c r="B36" s="124">
        <v>15</v>
      </c>
      <c r="C36" s="162" t="s">
        <v>2490</v>
      </c>
      <c r="D36" s="128" t="s">
        <v>515</v>
      </c>
      <c r="E36" s="172" t="s">
        <v>94</v>
      </c>
      <c r="F36" s="163" t="s">
        <v>1376</v>
      </c>
      <c r="G36" s="190" t="s">
        <v>573</v>
      </c>
      <c r="H36" s="447">
        <v>1017165383</v>
      </c>
      <c r="I36" s="455">
        <v>6879081</v>
      </c>
      <c r="J36" s="456">
        <v>20673243</v>
      </c>
      <c r="K36" s="166" t="s">
        <v>42</v>
      </c>
      <c r="L36" s="438" t="s">
        <v>42</v>
      </c>
      <c r="M36" s="178" t="s">
        <v>520</v>
      </c>
      <c r="N36" s="177" t="e" cm="1">
        <f t="array" aca="1" ref="N36" ca="1">_xlfn.XLOOKUP(Contrato5[[#This Row],[SUPERVISOR TITULAR]],[2]!PERSONAL_ACTIVO_2024[[#All],[Nombre completo]],[2]!PERSONAL_ACTIVO_2024[[#All],[Documento identidad]],"",0)</f>
        <v>#NAME?</v>
      </c>
      <c r="O36" s="178" t="s">
        <v>574</v>
      </c>
      <c r="P36" s="181" t="e" cm="1">
        <f t="array" aca="1" ref="P36" ca="1">_xlfn.XLOOKUP(Contrato5[[#This Row],[SUPERVISOR SUPLENTE ]],[2]!PERSONAL_ACTIVO_2024[[#All],[Nombre completo]],[2]!PERSONAL_ACTIVO_2024[[#All],[Documento identidad]],"",0)</f>
        <v>#NAME?</v>
      </c>
      <c r="Q36" s="182">
        <v>34</v>
      </c>
      <c r="R36" s="137" t="e" cm="1">
        <f t="array" aca="1" ref="R36" ca="1">_xlfn.XLOOKUP(Contrato5[[#This Row],[CDP]],[2]!DISPONIBILIDADES_2024[[#All],[consecutivo]],[2]!DISPONIBILIDADES_2024[[#All],[fecha_aprobacion]],"",0)</f>
        <v>#NAME?</v>
      </c>
      <c r="S36" s="138" t="e">
        <f>SUMIF([2]!DISPONIBILIDADES_2024[[#All],[consecutivo]],Contrato5[[#This Row],[CDP]],[2]!DISPONIBILIDADES_2024[[#All],[valor_total_rubro]])</f>
        <v>#REF!</v>
      </c>
      <c r="T36" s="139" t="e" cm="1">
        <f t="array" aca="1" ref="T36" ca="1">_xlfn.XLOOKUP(Contrato5[[#This Row],[CONTRATO]]&amp;Contrato5[[#This Row],[CDP]],[2]!Corr_Contr_CDP[[#All],[CONTRATO-CDP]],[2]!Corr_Contr_CDP[[#All],[CRP]],_xlfn.XLOOKUP(Contrato5[[#This Row],[CDP]],[2]!COMPROMISOS_2024[[#All],[disponibilidad]],[2]!COMPROMISOS_2024[[#All],[consecutivo]],"",0),0)</f>
        <v>#NAME?</v>
      </c>
      <c r="U36" s="140" t="e" cm="1">
        <f t="array" aca="1" ref="U36" ca="1">+_xlfn.XLOOKUP(Contrato5[[#This Row],[RCP]],[2]!COMPROMISOS_2024[[#All],[consecutivo]],[2]!COMPROMISOS_2024[[#All],[fecha_aprobacion]],"",0)</f>
        <v>#NAME?</v>
      </c>
      <c r="V36" s="141" t="e">
        <f ca="1">SUMIF([2]!COMPROMISOS_2024[[#All],[consecutivo]],Contrato5[[#This Row],[RCP]],[2]!COMPROMISOS_2024[[#All],[valor_total]])</f>
        <v>#REF!</v>
      </c>
      <c r="W36" s="415">
        <v>45314</v>
      </c>
      <c r="X36" s="415">
        <v>45314</v>
      </c>
      <c r="Y36" s="143">
        <v>45315</v>
      </c>
      <c r="Z36" s="262">
        <v>45405</v>
      </c>
      <c r="AA36" s="446" t="s">
        <v>575</v>
      </c>
      <c r="AB36" s="127" t="s">
        <v>529</v>
      </c>
      <c r="AD36" s="180">
        <v>202000003479</v>
      </c>
      <c r="AE36" s="125" t="s">
        <v>523</v>
      </c>
      <c r="AF36" s="148" t="str">
        <f>TEXT(LEFT(Contrato5[[#This Row],[CONTRATO]],3),"0")</f>
        <v>15</v>
      </c>
      <c r="AG36" s="148" t="str">
        <f>IF(LEN(Contrato5[[#This Row],[Contrato2]])=3,Contrato5[[#This Row],[Contrato2]],TEXT(Contrato5[[#This Row],[Contrato2]],"000"))</f>
        <v>015</v>
      </c>
      <c r="AH36" s="149">
        <f ca="1">IFERROR(_xlfn.DAYS(Contrato5[[#This Row],[Fecha Proyectada liquidación]],TODAY())/30,"")</f>
        <v>-7.7666666666666666</v>
      </c>
      <c r="AI36" s="150">
        <f>+Contrato5[[#This Row],[FECHA TERMINACIÓN ]]+120</f>
        <v>45525</v>
      </c>
      <c r="AK36" s="152" t="str">
        <f ca="1">IF(Contrato5[[#This Row],[FECHA TERMINACIÓN ]]&lt;TODAY(), "Terminado",IF(ISNUMBER(Contrato5[[#This Row],[Fecha Real de liquiidación ]]),"Liquidado",IF(Contrato5[[#This Row],[FECHA TERMINACIÓN ]]&gt;=TODAY(),"En ejecución","")))</f>
        <v>Terminado</v>
      </c>
      <c r="AL36" s="153" t="e">
        <f ca="1">SUMIF([2]!COMPROMISOS_2024[[#All],[consecutivo]],Contrato5[[#This Row],[RCP]],[2]!COMPROMISOS_2024[[#All],[Total pagado]])</f>
        <v>#REF!</v>
      </c>
      <c r="AM36" s="154">
        <f ca="1">IFERROR(Contrato5[[#This Row],[Pagos]]/Contrato5[[#This Row],[VALOR CONTRATO]],0)</f>
        <v>0</v>
      </c>
      <c r="AN36" s="175" t="e">
        <f ca="1">+Contrato5[[#This Row],[VALOR CONTRATO]]-Contrato5[[#This Row],[Pagos]]</f>
        <v>#REF!</v>
      </c>
      <c r="AO36" s="151" t="e" cm="1">
        <f t="array" aca="1" ref="AO36" ca="1">_xlfn.XLOOKUP(Contrato5[[#This Row],[DOCUMENTO ]],[2]!PERSONAL_ACTIVO_2024[[#All],[Documento identidad]],[2]!PERSONAL_ACTIVO_2024[[#All],[Mail ]],0,0)</f>
        <v>#NAME?</v>
      </c>
      <c r="AP36" s="151" t="e" cm="1">
        <f t="array" aca="1" ref="AP36" ca="1">_xlfn.XLOOKUP(Contrato5[[#This Row],[DOCUMENTO]],[2]!PERSONAL_ACTIVO_2024[[#All],[Documento identidad]],[2]!PERSONAL_ACTIVO_2024[[#All],[Mail ]],0,0)</f>
        <v>#NAME?</v>
      </c>
      <c r="AQ36" s="151" cm="1">
        <f t="array" aca="1" ref="AQ36" ca="1">IF(ISBLANK(Contrato5[[#This Row],[DEPENDENCIA ]]),0,IFERROR(_xlfn.XLOOKUP(Contrato5[[#This Row],[DEPENDENCIA ]],[2]!PERSONAL_ACTIVO_2024[[#All],[Dependencia]],[2]!PERSONAL_ACTIVO_2024[[#All],[Mail ]],0,0),0))</f>
        <v>0</v>
      </c>
    </row>
    <row r="37" spans="1:43" ht="34.5" customHeight="1">
      <c r="A37" s="125">
        <v>506</v>
      </c>
      <c r="B37" s="124">
        <v>16</v>
      </c>
      <c r="C37" s="162" t="s">
        <v>2491</v>
      </c>
      <c r="D37" s="126" t="s">
        <v>493</v>
      </c>
      <c r="E37" s="172" t="s">
        <v>94</v>
      </c>
      <c r="F37" s="163" t="s">
        <v>1376</v>
      </c>
      <c r="G37" s="190" t="s">
        <v>576</v>
      </c>
      <c r="H37" s="447">
        <v>43528421</v>
      </c>
      <c r="I37" s="455">
        <v>6879081</v>
      </c>
      <c r="J37" s="456">
        <v>20673243</v>
      </c>
      <c r="K37" s="166" t="s">
        <v>42</v>
      </c>
      <c r="L37" s="438" t="s">
        <v>42</v>
      </c>
      <c r="M37" s="178" t="s">
        <v>532</v>
      </c>
      <c r="N37" s="192" t="e" cm="1">
        <f t="array" aca="1" ref="N37" ca="1">_xlfn.XLOOKUP(Contrato5[[#This Row],[SUPERVISOR TITULAR]],[2]!PERSONAL_ACTIVO_2024[[#All],[Nombre completo]],[2]!PERSONAL_ACTIVO_2024[[#All],[Documento identidad]],"",0)</f>
        <v>#NAME?</v>
      </c>
      <c r="O37" s="178" t="s">
        <v>577</v>
      </c>
      <c r="P37" s="181" t="e" cm="1">
        <f t="array" aca="1" ref="P37" ca="1">_xlfn.XLOOKUP(Contrato5[[#This Row],[SUPERVISOR SUPLENTE ]],[2]!PERSONAL_ACTIVO_2024[[#All],[Nombre completo]],[2]!PERSONAL_ACTIVO_2024[[#All],[Documento identidad]],"",0)</f>
        <v>#NAME?</v>
      </c>
      <c r="Q37" s="182">
        <v>5</v>
      </c>
      <c r="R37" s="137" t="e" cm="1">
        <f t="array" aca="1" ref="R37" ca="1">_xlfn.XLOOKUP(Contrato5[[#This Row],[CDP]],[2]!DISPONIBILIDADES_2024[[#All],[consecutivo]],[2]!DISPONIBILIDADES_2024[[#All],[fecha_aprobacion]],"",0)</f>
        <v>#NAME?</v>
      </c>
      <c r="S37" s="138" t="e">
        <f>SUMIF([2]!DISPONIBILIDADES_2024[[#All],[consecutivo]],Contrato5[[#This Row],[CDP]],[2]!DISPONIBILIDADES_2024[[#All],[valor_total_rubro]])</f>
        <v>#REF!</v>
      </c>
      <c r="T37" s="139" t="e" cm="1">
        <f t="array" aca="1" ref="T37" ca="1">_xlfn.XLOOKUP(Contrato5[[#This Row],[CONTRATO]]&amp;Contrato5[[#This Row],[CDP]],[2]!Corr_Contr_CDP[[#All],[CONTRATO-CDP]],[2]!Corr_Contr_CDP[[#All],[CRP]],_xlfn.XLOOKUP(Contrato5[[#This Row],[CDP]],[2]!COMPROMISOS_2024[[#All],[disponibilidad]],[2]!COMPROMISOS_2024[[#All],[consecutivo]],"",0),0)</f>
        <v>#NAME?</v>
      </c>
      <c r="U37" s="140" t="e" cm="1">
        <f t="array" aca="1" ref="U37" ca="1">+_xlfn.XLOOKUP(Contrato5[[#This Row],[RCP]],[2]!COMPROMISOS_2024[[#All],[consecutivo]],[2]!COMPROMISOS_2024[[#All],[fecha_aprobacion]],"",0)</f>
        <v>#NAME?</v>
      </c>
      <c r="V37" s="141" t="e">
        <f ca="1">SUMIF([2]!COMPROMISOS_2024[[#All],[consecutivo]],Contrato5[[#This Row],[RCP]],[2]!COMPROMISOS_2024[[#All],[valor_total]])</f>
        <v>#REF!</v>
      </c>
      <c r="W37" s="415">
        <v>45314</v>
      </c>
      <c r="X37" s="415">
        <v>45315</v>
      </c>
      <c r="Y37" s="143">
        <v>45315</v>
      </c>
      <c r="Z37" s="262">
        <v>45405</v>
      </c>
      <c r="AA37" s="193" t="s">
        <v>578</v>
      </c>
      <c r="AB37" s="127" t="s">
        <v>529</v>
      </c>
      <c r="AD37" s="179">
        <v>202000003481</v>
      </c>
      <c r="AE37" s="125" t="s">
        <v>523</v>
      </c>
      <c r="AF37" s="148" t="str">
        <f>TEXT(LEFT(Contrato5[[#This Row],[CONTRATO]],3),"0")</f>
        <v>16</v>
      </c>
      <c r="AG37" s="148" t="str">
        <f>IF(LEN(Contrato5[[#This Row],[Contrato2]])=3,Contrato5[[#This Row],[Contrato2]],TEXT(Contrato5[[#This Row],[Contrato2]],"000"))</f>
        <v>016</v>
      </c>
      <c r="AH37" s="149">
        <f ca="1">IFERROR(_xlfn.DAYS(Contrato5[[#This Row],[Fecha Proyectada liquidación]],TODAY())/30,"")</f>
        <v>-7.7666666666666666</v>
      </c>
      <c r="AI37" s="150">
        <f>+Contrato5[[#This Row],[FECHA TERMINACIÓN ]]+120</f>
        <v>45525</v>
      </c>
      <c r="AK37" s="152" t="str">
        <f ca="1">IF(Contrato5[[#This Row],[FECHA TERMINACIÓN ]]&lt;TODAY(), "Terminado",IF(ISNUMBER(Contrato5[[#This Row],[Fecha Real de liquiidación ]]),"Liquidado",IF(Contrato5[[#This Row],[FECHA TERMINACIÓN ]]&gt;=TODAY(),"En ejecución","")))</f>
        <v>Terminado</v>
      </c>
      <c r="AL37" s="153" t="e">
        <f ca="1">SUMIF([2]!COMPROMISOS_2024[[#All],[consecutivo]],Contrato5[[#This Row],[RCP]],[2]!COMPROMISOS_2024[[#All],[Total pagado]])</f>
        <v>#REF!</v>
      </c>
      <c r="AM37" s="154">
        <f ca="1">IFERROR(Contrato5[[#This Row],[Pagos]]/Contrato5[[#This Row],[VALOR CONTRATO]],0)</f>
        <v>0</v>
      </c>
      <c r="AN37" s="175" t="e">
        <f ca="1">+Contrato5[[#This Row],[VALOR CONTRATO]]-Contrato5[[#This Row],[Pagos]]</f>
        <v>#REF!</v>
      </c>
      <c r="AO37" s="151" t="e" cm="1">
        <f t="array" aca="1" ref="AO37" ca="1">_xlfn.XLOOKUP(Contrato5[[#This Row],[DOCUMENTO ]],[2]!PERSONAL_ACTIVO_2024[[#All],[Documento identidad]],[2]!PERSONAL_ACTIVO_2024[[#All],[Mail ]],0,0)</f>
        <v>#NAME?</v>
      </c>
      <c r="AP37" s="151" t="e" cm="1">
        <f t="array" aca="1" ref="AP37" ca="1">_xlfn.XLOOKUP(Contrato5[[#This Row],[DOCUMENTO]],[2]!PERSONAL_ACTIVO_2024[[#All],[Documento identidad]],[2]!PERSONAL_ACTIVO_2024[[#All],[Mail ]],0,0)</f>
        <v>#NAME?</v>
      </c>
      <c r="AQ37" s="151" cm="1">
        <f t="array" aca="1" ref="AQ37" ca="1">IF(ISBLANK(Contrato5[[#This Row],[DEPENDENCIA ]]),0,IFERROR(_xlfn.XLOOKUP(Contrato5[[#This Row],[DEPENDENCIA ]],[2]!PERSONAL_ACTIVO_2024[[#All],[Dependencia]],[2]!PERSONAL_ACTIVO_2024[[#All],[Mail ]],0,0),0))</f>
        <v>0</v>
      </c>
    </row>
    <row r="38" spans="1:43" ht="34.5" customHeight="1">
      <c r="A38" s="125">
        <v>502</v>
      </c>
      <c r="B38" s="124">
        <v>17</v>
      </c>
      <c r="C38" s="162" t="s">
        <v>2492</v>
      </c>
      <c r="D38" s="126" t="s">
        <v>493</v>
      </c>
      <c r="E38" s="172" t="s">
        <v>94</v>
      </c>
      <c r="F38" s="163" t="s">
        <v>1376</v>
      </c>
      <c r="G38" s="190" t="s">
        <v>579</v>
      </c>
      <c r="H38" s="447">
        <v>43282381</v>
      </c>
      <c r="I38" s="455">
        <v>9346824</v>
      </c>
      <c r="J38" s="456">
        <v>28040472</v>
      </c>
      <c r="K38" s="132" t="s">
        <v>42</v>
      </c>
      <c r="L38" s="438" t="s">
        <v>42</v>
      </c>
      <c r="M38" s="178" t="s">
        <v>580</v>
      </c>
      <c r="N38" s="177" t="e" cm="1">
        <f t="array" aca="1" ref="N38" ca="1">_xlfn.XLOOKUP(Contrato5[[#This Row],[SUPERVISOR TITULAR]],[2]!PERSONAL_ACTIVO_2024[[#All],[Nombre completo]],[2]!PERSONAL_ACTIVO_2024[[#All],[Documento identidad]],"",0)</f>
        <v>#NAME?</v>
      </c>
      <c r="O38" s="168" t="s">
        <v>565</v>
      </c>
      <c r="P38" s="185" t="e" cm="1">
        <f t="array" aca="1" ref="P38" ca="1">_xlfn.XLOOKUP(Contrato5[[#This Row],[SUPERVISOR SUPLENTE ]],[2]!PERSONAL_ACTIVO_2024[[#All],[Nombre completo]],[2]!PERSONAL_ACTIVO_2024[[#All],[Documento identidad]],"",0)</f>
        <v>#NAME?</v>
      </c>
      <c r="Q38" s="186">
        <v>17</v>
      </c>
      <c r="R38" s="137" t="e" cm="1">
        <f t="array" aca="1" ref="R38" ca="1">_xlfn.XLOOKUP(Contrato5[[#This Row],[CDP]],[2]!DISPONIBILIDADES_2024[[#All],[consecutivo]],[2]!DISPONIBILIDADES_2024[[#All],[fecha_aprobacion]],"",0)</f>
        <v>#NAME?</v>
      </c>
      <c r="S38" s="138" t="e">
        <f>SUMIF([2]!DISPONIBILIDADES_2024[[#All],[consecutivo]],Contrato5[[#This Row],[CDP]],[2]!DISPONIBILIDADES_2024[[#All],[valor_total_rubro]])</f>
        <v>#REF!</v>
      </c>
      <c r="T38" s="139" t="e" cm="1">
        <f t="array" aca="1" ref="T38" ca="1">_xlfn.XLOOKUP(Contrato5[[#This Row],[CONTRATO]]&amp;Contrato5[[#This Row],[CDP]],[2]!Corr_Contr_CDP[[#All],[CONTRATO-CDP]],[2]!Corr_Contr_CDP[[#All],[CRP]],_xlfn.XLOOKUP(Contrato5[[#This Row],[CDP]],[2]!COMPROMISOS_2024[[#All],[disponibilidad]],[2]!COMPROMISOS_2024[[#All],[consecutivo]],"",0),0)</f>
        <v>#NAME?</v>
      </c>
      <c r="U38" s="140" t="e" cm="1">
        <f t="array" aca="1" ref="U38" ca="1">+_xlfn.XLOOKUP(Contrato5[[#This Row],[RCP]],[2]!COMPROMISOS_2024[[#All],[consecutivo]],[2]!COMPROMISOS_2024[[#All],[fecha_aprobacion]],"",0)</f>
        <v>#NAME?</v>
      </c>
      <c r="V38" s="141" t="e">
        <f ca="1">SUMIF([2]!COMPROMISOS_2024[[#All],[consecutivo]],Contrato5[[#This Row],[RCP]],[2]!COMPROMISOS_2024[[#All],[valor_total]])</f>
        <v>#REF!</v>
      </c>
      <c r="W38" s="415">
        <v>45314</v>
      </c>
      <c r="X38" s="415">
        <v>45315</v>
      </c>
      <c r="Y38" s="143">
        <v>45315</v>
      </c>
      <c r="Z38" s="262">
        <v>45351</v>
      </c>
      <c r="AA38" s="193" t="s">
        <v>581</v>
      </c>
      <c r="AB38" s="127" t="s">
        <v>529</v>
      </c>
      <c r="AD38" s="180">
        <v>202000003484</v>
      </c>
      <c r="AE38" s="125" t="s">
        <v>523</v>
      </c>
      <c r="AF38" s="148" t="str">
        <f>TEXT(LEFT(Contrato5[[#This Row],[CONTRATO]],3),"0")</f>
        <v>17</v>
      </c>
      <c r="AG38" s="148" t="str">
        <f>IF(LEN(Contrato5[[#This Row],[Contrato2]])=3,Contrato5[[#This Row],[Contrato2]],TEXT(Contrato5[[#This Row],[Contrato2]],"000"))</f>
        <v>017</v>
      </c>
      <c r="AH38" s="149">
        <f ca="1">IFERROR(_xlfn.DAYS(Contrato5[[#This Row],[Fecha Proyectada liquidación]],TODAY())/30,"")</f>
        <v>-9.5666666666666664</v>
      </c>
      <c r="AI38" s="150">
        <f>+Contrato5[[#This Row],[FECHA TERMINACIÓN ]]+120</f>
        <v>45471</v>
      </c>
      <c r="AJ38" s="152">
        <v>45351</v>
      </c>
      <c r="AK38" s="152" t="str">
        <f ca="1">IF(Contrato5[[#This Row],[FECHA TERMINACIÓN ]]&lt;TODAY(), "Terminado",IF(ISNUMBER(Contrato5[[#This Row],[Fecha Real de liquiidación ]]),"Liquidado",IF(Contrato5[[#This Row],[FECHA TERMINACIÓN ]]&gt;=TODAY(),"En ejecución","")))</f>
        <v>Terminado</v>
      </c>
      <c r="AL38" s="153" t="e">
        <f ca="1">SUMIF([2]!COMPROMISOS_2024[[#All],[consecutivo]],Contrato5[[#This Row],[RCP]],[2]!COMPROMISOS_2024[[#All],[Total pagado]])</f>
        <v>#REF!</v>
      </c>
      <c r="AM38" s="154">
        <f ca="1">IFERROR(Contrato5[[#This Row],[Pagos]]/Contrato5[[#This Row],[VALOR CONTRATO]],0)</f>
        <v>0</v>
      </c>
      <c r="AN38" s="175" t="e">
        <f ca="1">+Contrato5[[#This Row],[VALOR CONTRATO]]-Contrato5[[#This Row],[Pagos]]</f>
        <v>#REF!</v>
      </c>
      <c r="AO38" s="151" t="e" cm="1">
        <f t="array" aca="1" ref="AO38" ca="1">_xlfn.XLOOKUP(Contrato5[[#This Row],[DOCUMENTO ]],[2]!PERSONAL_ACTIVO_2024[[#All],[Documento identidad]],[2]!PERSONAL_ACTIVO_2024[[#All],[Mail ]],0,0)</f>
        <v>#NAME?</v>
      </c>
      <c r="AP38" s="151" t="e" cm="1">
        <f t="array" aca="1" ref="AP38" ca="1">_xlfn.XLOOKUP(Contrato5[[#This Row],[DOCUMENTO]],[2]!PERSONAL_ACTIVO_2024[[#All],[Documento identidad]],[2]!PERSONAL_ACTIVO_2024[[#All],[Mail ]],0,0)</f>
        <v>#NAME?</v>
      </c>
      <c r="AQ38" s="151" cm="1">
        <f t="array" aca="1" ref="AQ38" ca="1">IF(ISBLANK(Contrato5[[#This Row],[DEPENDENCIA ]]),0,IFERROR(_xlfn.XLOOKUP(Contrato5[[#This Row],[DEPENDENCIA ]],[2]!PERSONAL_ACTIVO_2024[[#All],[Dependencia]],[2]!PERSONAL_ACTIVO_2024[[#All],[Mail ]],0,0),0))</f>
        <v>0</v>
      </c>
    </row>
    <row r="39" spans="1:43" ht="34.5" customHeight="1">
      <c r="A39" s="125">
        <v>322</v>
      </c>
      <c r="B39" s="124">
        <v>18</v>
      </c>
      <c r="C39" s="162" t="s">
        <v>582</v>
      </c>
      <c r="D39" s="126" t="s">
        <v>583</v>
      </c>
      <c r="E39" s="172" t="s">
        <v>94</v>
      </c>
      <c r="F39" s="163" t="s">
        <v>1376</v>
      </c>
      <c r="G39" s="190" t="s">
        <v>584</v>
      </c>
      <c r="H39" s="447">
        <v>1037577309</v>
      </c>
      <c r="I39" s="455">
        <v>9346824</v>
      </c>
      <c r="J39" s="456">
        <v>28040472</v>
      </c>
      <c r="K39" s="166" t="s">
        <v>42</v>
      </c>
      <c r="L39" s="438" t="s">
        <v>42</v>
      </c>
      <c r="M39" s="194" t="s">
        <v>585</v>
      </c>
      <c r="N39" s="192" t="e" cm="1">
        <f t="array" aca="1" ref="N39" ca="1">_xlfn.XLOOKUP(Contrato5[[#This Row],[SUPERVISOR TITULAR]],[2]!PERSONAL_ACTIVO_2024[[#All],[Nombre completo]],[2]!PERSONAL_ACTIVO_2024[[#All],[Documento identidad]],"",0)</f>
        <v>#NAME?</v>
      </c>
      <c r="O39" s="178" t="s">
        <v>586</v>
      </c>
      <c r="P39" s="181" t="e" cm="1">
        <f t="array" aca="1" ref="P39" ca="1">_xlfn.XLOOKUP(Contrato5[[#This Row],[SUPERVISOR SUPLENTE ]],[2]!PERSONAL_ACTIVO_2024[[#All],[Nombre completo]],[2]!PERSONAL_ACTIVO_2024[[#All],[Documento identidad]],"",0)</f>
        <v>#NAME?</v>
      </c>
      <c r="Q39" s="182">
        <v>38</v>
      </c>
      <c r="R39" s="137" t="e" cm="1">
        <f t="array" aca="1" ref="R39" ca="1">_xlfn.XLOOKUP(Contrato5[[#This Row],[CDP]],[2]!DISPONIBILIDADES_2024[[#All],[consecutivo]],[2]!DISPONIBILIDADES_2024[[#All],[fecha_aprobacion]],"",0)</f>
        <v>#NAME?</v>
      </c>
      <c r="S39" s="138" t="e">
        <f>SUMIF([2]!DISPONIBILIDADES_2024[[#All],[consecutivo]],Contrato5[[#This Row],[CDP]],[2]!DISPONIBILIDADES_2024[[#All],[valor_total_rubro]])</f>
        <v>#REF!</v>
      </c>
      <c r="T39" s="139" t="e" cm="1">
        <f t="array" aca="1" ref="T39" ca="1">_xlfn.XLOOKUP(Contrato5[[#This Row],[CONTRATO]]&amp;Contrato5[[#This Row],[CDP]],[2]!Corr_Contr_CDP[[#All],[CONTRATO-CDP]],[2]!Corr_Contr_CDP[[#All],[CRP]],_xlfn.XLOOKUP(Contrato5[[#This Row],[CDP]],[2]!COMPROMISOS_2024[[#All],[disponibilidad]],[2]!COMPROMISOS_2024[[#All],[consecutivo]],"",0),0)</f>
        <v>#NAME?</v>
      </c>
      <c r="U39" s="140" t="e" cm="1">
        <f t="array" aca="1" ref="U39" ca="1">+_xlfn.XLOOKUP(Contrato5[[#This Row],[RCP]],[2]!COMPROMISOS_2024[[#All],[consecutivo]],[2]!COMPROMISOS_2024[[#All],[fecha_aprobacion]],"",0)</f>
        <v>#NAME?</v>
      </c>
      <c r="V39" s="141" t="e">
        <f ca="1">SUMIF([2]!COMPROMISOS_2024[[#All],[consecutivo]],Contrato5[[#This Row],[RCP]],[2]!COMPROMISOS_2024[[#All],[valor_total]])</f>
        <v>#REF!</v>
      </c>
      <c r="W39" s="415">
        <v>45314</v>
      </c>
      <c r="X39" s="415">
        <v>45314</v>
      </c>
      <c r="Y39" s="143">
        <v>45314</v>
      </c>
      <c r="Z39" s="262">
        <v>45404</v>
      </c>
      <c r="AA39" s="193" t="s">
        <v>587</v>
      </c>
      <c r="AB39" s="127" t="s">
        <v>529</v>
      </c>
      <c r="AD39" s="179">
        <v>202000003486</v>
      </c>
      <c r="AE39" s="125" t="s">
        <v>523</v>
      </c>
      <c r="AF39" s="148" t="str">
        <f>TEXT(LEFT(Contrato5[[#This Row],[CONTRATO]],3),"0")</f>
        <v>18</v>
      </c>
      <c r="AG39" s="148" t="str">
        <f>IF(LEN(Contrato5[[#This Row],[Contrato2]])=3,Contrato5[[#This Row],[Contrato2]],TEXT(Contrato5[[#This Row],[Contrato2]],"000"))</f>
        <v>018</v>
      </c>
      <c r="AH39" s="149">
        <f ca="1">IFERROR(_xlfn.DAYS(Contrato5[[#This Row],[Fecha Proyectada liquidación]],TODAY())/30,"")</f>
        <v>-7.8</v>
      </c>
      <c r="AI39" s="150">
        <f>+Contrato5[[#This Row],[FECHA TERMINACIÓN ]]+120</f>
        <v>45524</v>
      </c>
      <c r="AK39" s="152" t="str">
        <f ca="1">IF(Contrato5[[#This Row],[FECHA TERMINACIÓN ]]&lt;TODAY(), "Terminado",IF(ISNUMBER(Contrato5[[#This Row],[Fecha Real de liquiidación ]]),"Liquidado",IF(Contrato5[[#This Row],[FECHA TERMINACIÓN ]]&gt;=TODAY(),"En ejecución","")))</f>
        <v>Terminado</v>
      </c>
      <c r="AL39" s="153" t="e">
        <f ca="1">SUMIF([2]!COMPROMISOS_2024[[#All],[consecutivo]],Contrato5[[#This Row],[RCP]],[2]!COMPROMISOS_2024[[#All],[Total pagado]])</f>
        <v>#REF!</v>
      </c>
      <c r="AM39" s="154">
        <f ca="1">IFERROR(Contrato5[[#This Row],[Pagos]]/Contrato5[[#This Row],[VALOR CONTRATO]],0)</f>
        <v>0</v>
      </c>
      <c r="AN39" s="175" t="e">
        <f ca="1">+Contrato5[[#This Row],[VALOR CONTRATO]]-Contrato5[[#This Row],[Pagos]]</f>
        <v>#REF!</v>
      </c>
      <c r="AO39" s="151" t="e" cm="1">
        <f t="array" aca="1" ref="AO39" ca="1">_xlfn.XLOOKUP(Contrato5[[#This Row],[DOCUMENTO ]],[2]!PERSONAL_ACTIVO_2024[[#All],[Documento identidad]],[2]!PERSONAL_ACTIVO_2024[[#All],[Mail ]],0,0)</f>
        <v>#NAME?</v>
      </c>
      <c r="AP39" s="151" t="e" cm="1">
        <f t="array" aca="1" ref="AP39" ca="1">_xlfn.XLOOKUP(Contrato5[[#This Row],[DOCUMENTO]],[2]!PERSONAL_ACTIVO_2024[[#All],[Documento identidad]],[2]!PERSONAL_ACTIVO_2024[[#All],[Mail ]],0,0)</f>
        <v>#NAME?</v>
      </c>
      <c r="AQ39" s="151" cm="1">
        <f t="array" aca="1" ref="AQ39" ca="1">IF(ISBLANK(Contrato5[[#This Row],[DEPENDENCIA ]]),0,IFERROR(_xlfn.XLOOKUP(Contrato5[[#This Row],[DEPENDENCIA ]],[2]!PERSONAL_ACTIVO_2024[[#All],[Dependencia]],[2]!PERSONAL_ACTIVO_2024[[#All],[Mail ]],0,0),0))</f>
        <v>0</v>
      </c>
    </row>
    <row r="40" spans="1:43" ht="34.5" customHeight="1">
      <c r="A40" s="125">
        <v>321</v>
      </c>
      <c r="B40" s="124">
        <v>19</v>
      </c>
      <c r="C40" s="162" t="s">
        <v>2493</v>
      </c>
      <c r="D40" s="126" t="s">
        <v>583</v>
      </c>
      <c r="E40" s="172" t="s">
        <v>94</v>
      </c>
      <c r="F40" s="163" t="s">
        <v>1376</v>
      </c>
      <c r="G40" s="190" t="s">
        <v>588</v>
      </c>
      <c r="H40" s="447">
        <v>32209970</v>
      </c>
      <c r="I40" s="455">
        <v>9346824</v>
      </c>
      <c r="J40" s="456">
        <v>28040472</v>
      </c>
      <c r="K40" s="166" t="s">
        <v>42</v>
      </c>
      <c r="L40" s="438" t="s">
        <v>42</v>
      </c>
      <c r="M40" s="194" t="s">
        <v>585</v>
      </c>
      <c r="N40" s="195" t="e" cm="1">
        <f t="array" aca="1" ref="N40" ca="1">_xlfn.XLOOKUP(Contrato5[[#This Row],[SUPERVISOR TITULAR]],[2]!PERSONAL_ACTIVO_2024[[#All],[Nombre completo]],[2]!PERSONAL_ACTIVO_2024[[#All],[Documento identidad]],"",0)</f>
        <v>#NAME?</v>
      </c>
      <c r="O40" s="178" t="s">
        <v>589</v>
      </c>
      <c r="P40" s="196" t="e" cm="1">
        <f t="array" aca="1" ref="P40" ca="1">_xlfn.XLOOKUP(Contrato5[[#This Row],[SUPERVISOR SUPLENTE ]],[2]!PERSONAL_ACTIVO_2024[[#All],[Nombre completo]],[2]!PERSONAL_ACTIVO_2024[[#All],[Documento identidad]],"",0)</f>
        <v>#NAME?</v>
      </c>
      <c r="Q40" s="170">
        <v>19</v>
      </c>
      <c r="R40" s="137" t="e" cm="1">
        <f t="array" aca="1" ref="R40" ca="1">_xlfn.XLOOKUP(Contrato5[[#This Row],[CDP]],[2]!DISPONIBILIDADES_2024[[#All],[consecutivo]],[2]!DISPONIBILIDADES_2024[[#All],[fecha_aprobacion]],"",0)</f>
        <v>#NAME?</v>
      </c>
      <c r="S40" s="138" t="e">
        <f>SUMIF([2]!DISPONIBILIDADES_2024[[#All],[consecutivo]],Contrato5[[#This Row],[CDP]],[2]!DISPONIBILIDADES_2024[[#All],[valor_total_rubro]])</f>
        <v>#REF!</v>
      </c>
      <c r="T40" s="139" t="e" cm="1">
        <f t="array" aca="1" ref="T40" ca="1">_xlfn.XLOOKUP(Contrato5[[#This Row],[CONTRATO]]&amp;Contrato5[[#This Row],[CDP]],[2]!Corr_Contr_CDP[[#All],[CONTRATO-CDP]],[2]!Corr_Contr_CDP[[#All],[CRP]],_xlfn.XLOOKUP(Contrato5[[#This Row],[CDP]],[2]!COMPROMISOS_2024[[#All],[disponibilidad]],[2]!COMPROMISOS_2024[[#All],[consecutivo]],"",0),0)</f>
        <v>#NAME?</v>
      </c>
      <c r="U40" s="140" t="e" cm="1">
        <f t="array" aca="1" ref="U40" ca="1">+_xlfn.XLOOKUP(Contrato5[[#This Row],[RCP]],[2]!COMPROMISOS_2024[[#All],[consecutivo]],[2]!COMPROMISOS_2024[[#All],[fecha_aprobacion]],"",0)</f>
        <v>#NAME?</v>
      </c>
      <c r="V40" s="141" t="e">
        <f ca="1">SUMIF([2]!COMPROMISOS_2024[[#All],[consecutivo]],Contrato5[[#This Row],[RCP]],[2]!COMPROMISOS_2024[[#All],[valor_total]])</f>
        <v>#REF!</v>
      </c>
      <c r="W40" s="415">
        <v>45314</v>
      </c>
      <c r="X40" s="415">
        <v>45314</v>
      </c>
      <c r="Y40" s="143">
        <v>45316</v>
      </c>
      <c r="Z40" s="262">
        <v>45406</v>
      </c>
      <c r="AA40" s="183" t="s">
        <v>590</v>
      </c>
      <c r="AB40" s="127" t="s">
        <v>529</v>
      </c>
      <c r="AD40" s="180">
        <v>202000003487</v>
      </c>
      <c r="AE40" s="131" t="s">
        <v>523</v>
      </c>
      <c r="AF40" s="148" t="str">
        <f>TEXT(LEFT(Contrato5[[#This Row],[CONTRATO]],3),"0")</f>
        <v>19</v>
      </c>
      <c r="AG40" s="148" t="str">
        <f>IF(LEN(Contrato5[[#This Row],[Contrato2]])=3,Contrato5[[#This Row],[Contrato2]],TEXT(Contrato5[[#This Row],[Contrato2]],"000"))</f>
        <v>019</v>
      </c>
      <c r="AH40" s="149">
        <f ca="1">IFERROR(_xlfn.DAYS(Contrato5[[#This Row],[Fecha Proyectada liquidación]],TODAY())/30,"")</f>
        <v>-7.7333333333333334</v>
      </c>
      <c r="AI40" s="150">
        <f>+Contrato5[[#This Row],[FECHA TERMINACIÓN ]]+120</f>
        <v>45526</v>
      </c>
      <c r="AJ40" s="197"/>
      <c r="AK40" s="152" t="str">
        <f ca="1">IF(Contrato5[[#This Row],[FECHA TERMINACIÓN ]]&lt;TODAY(), "Terminado",IF(ISNUMBER(Contrato5[[#This Row],[Fecha Real de liquiidación ]]),"Liquidado",IF(Contrato5[[#This Row],[FECHA TERMINACIÓN ]]&gt;=TODAY(),"En ejecución","")))</f>
        <v>Terminado</v>
      </c>
      <c r="AL40" s="153" t="e">
        <f ca="1">SUMIF([2]!COMPROMISOS_2024[[#All],[consecutivo]],Contrato5[[#This Row],[RCP]],[2]!COMPROMISOS_2024[[#All],[Total pagado]])</f>
        <v>#REF!</v>
      </c>
      <c r="AM40" s="154">
        <f ca="1">IFERROR(Contrato5[[#This Row],[Pagos]]/Contrato5[[#This Row],[VALOR CONTRATO]],0)</f>
        <v>0</v>
      </c>
      <c r="AN40" s="198" t="e">
        <f ca="1">+Contrato5[[#This Row],[VALOR CONTRATO]]-Contrato5[[#This Row],[Pagos]]</f>
        <v>#REF!</v>
      </c>
      <c r="AO40" s="147" t="e" cm="1">
        <f t="array" aca="1" ref="AO40" ca="1">_xlfn.XLOOKUP(Contrato5[[#This Row],[DOCUMENTO ]],[2]!PERSONAL_ACTIVO_2024[[#All],[Documento identidad]],[2]!PERSONAL_ACTIVO_2024[[#All],[Mail ]],0,0)</f>
        <v>#NAME?</v>
      </c>
      <c r="AP40" s="147" t="e" cm="1">
        <f t="array" aca="1" ref="AP40" ca="1">_xlfn.XLOOKUP(Contrato5[[#This Row],[DOCUMENTO]],[2]!PERSONAL_ACTIVO_2024[[#All],[Documento identidad]],[2]!PERSONAL_ACTIVO_2024[[#All],[Mail ]],0,0)</f>
        <v>#NAME?</v>
      </c>
      <c r="AQ40" s="439" cm="1">
        <f t="array" aca="1" ref="AQ40" ca="1">IF(ISBLANK(Contrato5[[#This Row],[DEPENDENCIA ]]),0,IFERROR(_xlfn.XLOOKUP(Contrato5[[#This Row],[DEPENDENCIA ]],[2]!PERSONAL_ACTIVO_2024[[#All],[Dependencia]],[2]!PERSONAL_ACTIVO_2024[[#All],[Mail ]],0,0),0))</f>
        <v>0</v>
      </c>
    </row>
    <row r="41" spans="1:43" ht="34.5" customHeight="1">
      <c r="A41" s="125">
        <v>327</v>
      </c>
      <c r="B41" s="124">
        <v>20</v>
      </c>
      <c r="C41" s="162" t="s">
        <v>2494</v>
      </c>
      <c r="D41" s="126" t="s">
        <v>583</v>
      </c>
      <c r="E41" s="172" t="s">
        <v>94</v>
      </c>
      <c r="F41" s="163" t="s">
        <v>1376</v>
      </c>
      <c r="G41" s="190" t="s">
        <v>591</v>
      </c>
      <c r="H41" s="447">
        <v>1039453965</v>
      </c>
      <c r="I41" s="455">
        <v>9346824</v>
      </c>
      <c r="J41" s="456">
        <v>28040472</v>
      </c>
      <c r="K41" s="166" t="s">
        <v>42</v>
      </c>
      <c r="L41" s="438" t="s">
        <v>42</v>
      </c>
      <c r="M41" s="194" t="s">
        <v>585</v>
      </c>
      <c r="N41" s="177" t="e" cm="1">
        <f t="array" aca="1" ref="N41" ca="1">_xlfn.XLOOKUP(Contrato5[[#This Row],[SUPERVISOR TITULAR]],[2]!PERSONAL_ACTIVO_2024[[#All],[Nombre completo]],[2]!PERSONAL_ACTIVO_2024[[#All],[Documento identidad]],"",0)</f>
        <v>#NAME?</v>
      </c>
      <c r="O41" s="178" t="s">
        <v>2495</v>
      </c>
      <c r="P41" s="196" t="e" cm="1">
        <f t="array" aca="1" ref="P41" ca="1">_xlfn.XLOOKUP(Contrato5[[#This Row],[SUPERVISOR SUPLENTE ]],[2]!PERSONAL_ACTIVO_2024[[#All],[Nombre completo]],[2]!PERSONAL_ACTIVO_2024[[#All],[Documento identidad]],"",0)</f>
        <v>#NAME?</v>
      </c>
      <c r="Q41" s="170">
        <v>20</v>
      </c>
      <c r="R41" s="137" t="e" cm="1">
        <f t="array" aca="1" ref="R41" ca="1">_xlfn.XLOOKUP(Contrato5[[#This Row],[CDP]],[2]!DISPONIBILIDADES_2024[[#All],[consecutivo]],[2]!DISPONIBILIDADES_2024[[#All],[fecha_aprobacion]],"",0)</f>
        <v>#NAME?</v>
      </c>
      <c r="S41" s="138" t="e">
        <f>SUMIF([2]!DISPONIBILIDADES_2024[[#All],[consecutivo]],Contrato5[[#This Row],[CDP]],[2]!DISPONIBILIDADES_2024[[#All],[valor_total_rubro]])</f>
        <v>#REF!</v>
      </c>
      <c r="T41" s="139" t="e" cm="1">
        <f t="array" aca="1" ref="T41" ca="1">_xlfn.XLOOKUP(Contrato5[[#This Row],[CONTRATO]]&amp;Contrato5[[#This Row],[CDP]],[2]!Corr_Contr_CDP[[#All],[CONTRATO-CDP]],[2]!Corr_Contr_CDP[[#All],[CRP]],_xlfn.XLOOKUP(Contrato5[[#This Row],[CDP]],[2]!COMPROMISOS_2024[[#All],[disponibilidad]],[2]!COMPROMISOS_2024[[#All],[consecutivo]],"",0),0)</f>
        <v>#NAME?</v>
      </c>
      <c r="U41" s="140" t="e" cm="1">
        <f t="array" aca="1" ref="U41" ca="1">+_xlfn.XLOOKUP(Contrato5[[#This Row],[RCP]],[2]!COMPROMISOS_2024[[#All],[consecutivo]],[2]!COMPROMISOS_2024[[#All],[fecha_aprobacion]],"",0)</f>
        <v>#NAME?</v>
      </c>
      <c r="V41" s="141" t="e">
        <f ca="1">SUMIF([2]!COMPROMISOS_2024[[#All],[consecutivo]],Contrato5[[#This Row],[RCP]],[2]!COMPROMISOS_2024[[#All],[valor_total]])</f>
        <v>#REF!</v>
      </c>
      <c r="W41" s="415">
        <v>45315</v>
      </c>
      <c r="X41" s="415">
        <v>45316</v>
      </c>
      <c r="Y41" s="143">
        <v>45317</v>
      </c>
      <c r="Z41" s="262">
        <v>45407</v>
      </c>
      <c r="AA41" s="183" t="s">
        <v>593</v>
      </c>
      <c r="AB41" s="127" t="s">
        <v>529</v>
      </c>
      <c r="AD41" s="179">
        <v>202000003488</v>
      </c>
      <c r="AE41" s="147" t="s">
        <v>523</v>
      </c>
      <c r="AF41" s="148" t="str">
        <f>TEXT(LEFT(Contrato5[[#This Row],[CONTRATO]],3),"0")</f>
        <v>20</v>
      </c>
      <c r="AG41" s="148" t="str">
        <f>IF(LEN(Contrato5[[#This Row],[Contrato2]])=3,Contrato5[[#This Row],[Contrato2]],TEXT(Contrato5[[#This Row],[Contrato2]],"000"))</f>
        <v>020</v>
      </c>
      <c r="AH41" s="149">
        <f ca="1">IFERROR(_xlfn.DAYS(Contrato5[[#This Row],[Fecha Proyectada liquidación]],TODAY())/30,"")</f>
        <v>-7.7</v>
      </c>
      <c r="AI41" s="150">
        <f>+Contrato5[[#This Row],[FECHA TERMINACIÓN ]]+120</f>
        <v>45527</v>
      </c>
      <c r="AJ41" s="199"/>
      <c r="AK41" s="152" t="str">
        <f ca="1">IF(Contrato5[[#This Row],[FECHA TERMINACIÓN ]]&lt;TODAY(), "Terminado",IF(ISNUMBER(Contrato5[[#This Row],[Fecha Real de liquiidación ]]),"Liquidado",IF(Contrato5[[#This Row],[FECHA TERMINACIÓN ]]&gt;=TODAY(),"En ejecución","")))</f>
        <v>Terminado</v>
      </c>
      <c r="AL41" s="153" t="e">
        <f ca="1">SUMIF([2]!COMPROMISOS_2024[[#All],[consecutivo]],Contrato5[[#This Row],[RCP]],[2]!COMPROMISOS_2024[[#All],[Total pagado]])</f>
        <v>#REF!</v>
      </c>
      <c r="AM41" s="154">
        <f ca="1">IFERROR(Contrato5[[#This Row],[Pagos]]/Contrato5[[#This Row],[VALOR CONTRATO]],0)</f>
        <v>0</v>
      </c>
      <c r="AN41" s="198" t="e">
        <f ca="1">+Contrato5[[#This Row],[VALOR CONTRATO]]-Contrato5[[#This Row],[Pagos]]</f>
        <v>#REF!</v>
      </c>
      <c r="AO41" s="147" t="e" cm="1">
        <f t="array" aca="1" ref="AO41" ca="1">_xlfn.XLOOKUP(Contrato5[[#This Row],[DOCUMENTO ]],[2]!PERSONAL_ACTIVO_2024[[#All],[Documento identidad]],[2]!PERSONAL_ACTIVO_2024[[#All],[Mail ]],0,0)</f>
        <v>#NAME?</v>
      </c>
      <c r="AP41" s="147" t="e" cm="1">
        <f t="array" aca="1" ref="AP41" ca="1">_xlfn.XLOOKUP(Contrato5[[#This Row],[DOCUMENTO]],[2]!PERSONAL_ACTIVO_2024[[#All],[Documento identidad]],[2]!PERSONAL_ACTIVO_2024[[#All],[Mail ]],0,0)</f>
        <v>#NAME?</v>
      </c>
      <c r="AQ41" s="439" cm="1">
        <f t="array" aca="1" ref="AQ41" ca="1">IF(ISBLANK(Contrato5[[#This Row],[DEPENDENCIA ]]),0,IFERROR(_xlfn.XLOOKUP(Contrato5[[#This Row],[DEPENDENCIA ]],[2]!PERSONAL_ACTIVO_2024[[#All],[Dependencia]],[2]!PERSONAL_ACTIVO_2024[[#All],[Mail ]],0,0),0))</f>
        <v>0</v>
      </c>
    </row>
    <row r="42" spans="1:43" ht="34.5" customHeight="1">
      <c r="A42" s="125">
        <v>503</v>
      </c>
      <c r="B42" s="124">
        <v>21</v>
      </c>
      <c r="C42" s="162" t="s">
        <v>2496</v>
      </c>
      <c r="D42" s="126" t="s">
        <v>493</v>
      </c>
      <c r="E42" s="172" t="s">
        <v>94</v>
      </c>
      <c r="F42" s="163" t="s">
        <v>1376</v>
      </c>
      <c r="G42" s="190" t="s">
        <v>594</v>
      </c>
      <c r="H42" s="447">
        <v>42676131</v>
      </c>
      <c r="I42" s="455">
        <v>6879081</v>
      </c>
      <c r="J42" s="456">
        <v>20637243</v>
      </c>
      <c r="K42" s="166" t="s">
        <v>42</v>
      </c>
      <c r="L42" s="438" t="s">
        <v>42</v>
      </c>
      <c r="M42" s="194" t="s">
        <v>580</v>
      </c>
      <c r="N42" s="177" t="e" cm="1">
        <f t="array" aca="1" ref="N42" ca="1">_xlfn.XLOOKUP(Contrato5[[#This Row],[SUPERVISOR TITULAR]],[2]!PERSONAL_ACTIVO_2024[[#All],[Nombre completo]],[2]!PERSONAL_ACTIVO_2024[[#All],[Documento identidad]],"",0)</f>
        <v>#NAME?</v>
      </c>
      <c r="O42" s="194" t="s">
        <v>565</v>
      </c>
      <c r="P42" s="196" t="e" cm="1">
        <f t="array" aca="1" ref="P42" ca="1">_xlfn.XLOOKUP(Contrato5[[#This Row],[SUPERVISOR SUPLENTE ]],[2]!PERSONAL_ACTIVO_2024[[#All],[Nombre completo]],[2]!PERSONAL_ACTIVO_2024[[#All],[Documento identidad]],"",0)</f>
        <v>#NAME?</v>
      </c>
      <c r="Q42" s="170">
        <v>7</v>
      </c>
      <c r="R42" s="137" t="e" cm="1">
        <f t="array" aca="1" ref="R42" ca="1">_xlfn.XLOOKUP(Contrato5[[#This Row],[CDP]],[2]!DISPONIBILIDADES_2024[[#All],[consecutivo]],[2]!DISPONIBILIDADES_2024[[#All],[fecha_aprobacion]],"",0)</f>
        <v>#NAME?</v>
      </c>
      <c r="S42" s="138" t="e">
        <f>SUMIF([2]!DISPONIBILIDADES_2024[[#All],[consecutivo]],Contrato5[[#This Row],[CDP]],[2]!DISPONIBILIDADES_2024[[#All],[valor_total_rubro]])</f>
        <v>#REF!</v>
      </c>
      <c r="T42" s="139" t="e" cm="1">
        <f t="array" aca="1" ref="T42" ca="1">_xlfn.XLOOKUP(Contrato5[[#This Row],[CONTRATO]]&amp;Contrato5[[#This Row],[CDP]],[2]!Corr_Contr_CDP[[#All],[CONTRATO-CDP]],[2]!Corr_Contr_CDP[[#All],[CRP]],_xlfn.XLOOKUP(Contrato5[[#This Row],[CDP]],[2]!COMPROMISOS_2024[[#All],[disponibilidad]],[2]!COMPROMISOS_2024[[#All],[consecutivo]],"",0),0)</f>
        <v>#NAME?</v>
      </c>
      <c r="U42" s="140" t="e" cm="1">
        <f t="array" aca="1" ref="U42" ca="1">+_xlfn.XLOOKUP(Contrato5[[#This Row],[RCP]],[2]!COMPROMISOS_2024[[#All],[consecutivo]],[2]!COMPROMISOS_2024[[#All],[fecha_aprobacion]],"",0)</f>
        <v>#NAME?</v>
      </c>
      <c r="V42" s="141" t="e">
        <f ca="1">SUMIF([2]!COMPROMISOS_2024[[#All],[consecutivo]],Contrato5[[#This Row],[RCP]],[2]!COMPROMISOS_2024[[#All],[valor_total]])</f>
        <v>#REF!</v>
      </c>
      <c r="W42" s="415">
        <v>45315</v>
      </c>
      <c r="X42" s="415">
        <v>45315</v>
      </c>
      <c r="Y42" s="143">
        <v>45315</v>
      </c>
      <c r="Z42" s="262">
        <v>45405</v>
      </c>
      <c r="AA42" s="183" t="s">
        <v>595</v>
      </c>
      <c r="AB42" s="127" t="s">
        <v>529</v>
      </c>
      <c r="AD42" s="180">
        <v>202000003489</v>
      </c>
      <c r="AE42" s="147" t="s">
        <v>523</v>
      </c>
      <c r="AF42" s="148" t="str">
        <f>TEXT(LEFT(Contrato5[[#This Row],[CONTRATO]],3),"0")</f>
        <v>21</v>
      </c>
      <c r="AG42" s="148" t="str">
        <f>IF(LEN(Contrato5[[#This Row],[Contrato2]])=3,Contrato5[[#This Row],[Contrato2]],TEXT(Contrato5[[#This Row],[Contrato2]],"000"))</f>
        <v>021</v>
      </c>
      <c r="AH42" s="149">
        <f ca="1">IFERROR(_xlfn.DAYS(Contrato5[[#This Row],[Fecha Proyectada liquidación]],TODAY())/30,"")</f>
        <v>-7.7666666666666666</v>
      </c>
      <c r="AI42" s="150">
        <f>+Contrato5[[#This Row],[FECHA TERMINACIÓN ]]+120</f>
        <v>45525</v>
      </c>
      <c r="AK42" s="152" t="str">
        <f ca="1">IF(Contrato5[[#This Row],[FECHA TERMINACIÓN ]]&lt;TODAY(), "Terminado",IF(ISNUMBER(Contrato5[[#This Row],[Fecha Real de liquiidación ]]),"Liquidado",IF(Contrato5[[#This Row],[FECHA TERMINACIÓN ]]&gt;=TODAY(),"En ejecución","")))</f>
        <v>Terminado</v>
      </c>
      <c r="AL42" s="153" t="e">
        <f ca="1">SUMIF([2]!COMPROMISOS_2024[[#All],[consecutivo]],Contrato5[[#This Row],[RCP]],[2]!COMPROMISOS_2024[[#All],[Total pagado]])</f>
        <v>#REF!</v>
      </c>
      <c r="AM42" s="154">
        <f ca="1">IFERROR(Contrato5[[#This Row],[Pagos]]/Contrato5[[#This Row],[VALOR CONTRATO]],0)</f>
        <v>0</v>
      </c>
      <c r="AN42" s="175" t="e">
        <f ca="1">+Contrato5[[#This Row],[VALOR CONTRATO]]-Contrato5[[#This Row],[Pagos]]</f>
        <v>#REF!</v>
      </c>
      <c r="AO42" s="151" t="e" cm="1">
        <f t="array" aca="1" ref="AO42" ca="1">_xlfn.XLOOKUP(Contrato5[[#This Row],[DOCUMENTO ]],[2]!PERSONAL_ACTIVO_2024[[#All],[Documento identidad]],[2]!PERSONAL_ACTIVO_2024[[#All],[Mail ]],0,0)</f>
        <v>#NAME?</v>
      </c>
      <c r="AP42" s="151" t="e" cm="1">
        <f t="array" aca="1" ref="AP42" ca="1">_xlfn.XLOOKUP(Contrato5[[#This Row],[DOCUMENTO]],[2]!PERSONAL_ACTIVO_2024[[#All],[Documento identidad]],[2]!PERSONAL_ACTIVO_2024[[#All],[Mail ]],0,0)</f>
        <v>#NAME?</v>
      </c>
      <c r="AQ42" s="151" cm="1">
        <f t="array" aca="1" ref="AQ42" ca="1">IF(ISBLANK(Contrato5[[#This Row],[DEPENDENCIA ]]),0,IFERROR(_xlfn.XLOOKUP(Contrato5[[#This Row],[DEPENDENCIA ]],[2]!PERSONAL_ACTIVO_2024[[#All],[Dependencia]],[2]!PERSONAL_ACTIVO_2024[[#All],[Mail ]],0,0),0))</f>
        <v>0</v>
      </c>
    </row>
    <row r="43" spans="1:43" ht="34.5" customHeight="1">
      <c r="A43" s="125">
        <v>359</v>
      </c>
      <c r="B43" s="124">
        <v>22</v>
      </c>
      <c r="C43" s="162" t="s">
        <v>2497</v>
      </c>
      <c r="D43" s="128" t="s">
        <v>510</v>
      </c>
      <c r="E43" s="172" t="s">
        <v>94</v>
      </c>
      <c r="F43" s="163" t="s">
        <v>1376</v>
      </c>
      <c r="G43" s="190" t="s">
        <v>596</v>
      </c>
      <c r="H43" s="447">
        <v>98564999</v>
      </c>
      <c r="I43" s="455">
        <v>28040472</v>
      </c>
      <c r="J43" s="456">
        <v>28040472</v>
      </c>
      <c r="K43" s="166" t="s">
        <v>42</v>
      </c>
      <c r="L43" s="438" t="s">
        <v>42</v>
      </c>
      <c r="M43" s="194" t="s">
        <v>597</v>
      </c>
      <c r="N43" s="177" t="e" cm="1">
        <f t="array" aca="1" ref="N43" ca="1">_xlfn.XLOOKUP(Contrato5[[#This Row],[SUPERVISOR TITULAR]],[2]!PERSONAL_ACTIVO_2024[[#All],[Nombre completo]],[2]!PERSONAL_ACTIVO_2024[[#All],[Documento identidad]],"",0)</f>
        <v>#NAME?</v>
      </c>
      <c r="O43" s="194" t="s">
        <v>564</v>
      </c>
      <c r="P43" s="196" t="e" cm="1">
        <f t="array" aca="1" ref="P43" ca="1">_xlfn.XLOOKUP(Contrato5[[#This Row],[SUPERVISOR SUPLENTE ]],[2]!PERSONAL_ACTIVO_2024[[#All],[Nombre completo]],[2]!PERSONAL_ACTIVO_2024[[#All],[Documento identidad]],"",0)</f>
        <v>#NAME?</v>
      </c>
      <c r="Q43" s="170">
        <v>37</v>
      </c>
      <c r="R43" s="137" t="e" cm="1">
        <f t="array" aca="1" ref="R43" ca="1">_xlfn.XLOOKUP(Contrato5[[#This Row],[CDP]],[2]!DISPONIBILIDADES_2024[[#All],[consecutivo]],[2]!DISPONIBILIDADES_2024[[#All],[fecha_aprobacion]],"",0)</f>
        <v>#NAME?</v>
      </c>
      <c r="S43" s="138" t="e">
        <f>SUMIF([2]!DISPONIBILIDADES_2024[[#All],[consecutivo]],Contrato5[[#This Row],[CDP]],[2]!DISPONIBILIDADES_2024[[#All],[valor_total_rubro]])</f>
        <v>#REF!</v>
      </c>
      <c r="T43" s="139" t="e" cm="1">
        <f t="array" aca="1" ref="T43" ca="1">_xlfn.XLOOKUP(Contrato5[[#This Row],[CONTRATO]]&amp;Contrato5[[#This Row],[CDP]],[2]!Corr_Contr_CDP[[#All],[CONTRATO-CDP]],[2]!Corr_Contr_CDP[[#All],[CRP]],_xlfn.XLOOKUP(Contrato5[[#This Row],[CDP]],[2]!COMPROMISOS_2024[[#All],[disponibilidad]],[2]!COMPROMISOS_2024[[#All],[consecutivo]],"",0),0)</f>
        <v>#NAME?</v>
      </c>
      <c r="U43" s="140" t="e" cm="1">
        <f t="array" aca="1" ref="U43" ca="1">+_xlfn.XLOOKUP(Contrato5[[#This Row],[RCP]],[2]!COMPROMISOS_2024[[#All],[consecutivo]],[2]!COMPROMISOS_2024[[#All],[fecha_aprobacion]],"",0)</f>
        <v>#NAME?</v>
      </c>
      <c r="V43" s="141" t="e">
        <f ca="1">SUMIF([2]!COMPROMISOS_2024[[#All],[consecutivo]],Contrato5[[#This Row],[RCP]],[2]!COMPROMISOS_2024[[#All],[valor_total]])</f>
        <v>#REF!</v>
      </c>
      <c r="W43" s="415">
        <v>45315</v>
      </c>
      <c r="X43" s="415">
        <v>45315</v>
      </c>
      <c r="Y43" s="143">
        <v>45315</v>
      </c>
      <c r="Z43" s="262">
        <v>45405</v>
      </c>
      <c r="AA43" s="183" t="s">
        <v>598</v>
      </c>
      <c r="AB43" s="127" t="s">
        <v>529</v>
      </c>
      <c r="AD43" s="179">
        <v>202000003490</v>
      </c>
      <c r="AE43" s="147" t="s">
        <v>523</v>
      </c>
      <c r="AF43" s="148" t="str">
        <f>TEXT(LEFT(Contrato5[[#This Row],[CONTRATO]],3),"0")</f>
        <v>22</v>
      </c>
      <c r="AG43" s="148" t="str">
        <f>IF(LEN(Contrato5[[#This Row],[Contrato2]])=3,Contrato5[[#This Row],[Contrato2]],TEXT(Contrato5[[#This Row],[Contrato2]],"000"))</f>
        <v>022</v>
      </c>
      <c r="AH43" s="149">
        <f ca="1">IFERROR(_xlfn.DAYS(Contrato5[[#This Row],[Fecha Proyectada liquidación]],TODAY())/30,"")</f>
        <v>-7.7666666666666666</v>
      </c>
      <c r="AI43" s="150">
        <f>+Contrato5[[#This Row],[FECHA TERMINACIÓN ]]+120</f>
        <v>45525</v>
      </c>
      <c r="AK43" s="152" t="str">
        <f ca="1">IF(Contrato5[[#This Row],[FECHA TERMINACIÓN ]]&lt;TODAY(), "Terminado",IF(ISNUMBER(Contrato5[[#This Row],[Fecha Real de liquiidación ]]),"Liquidado",IF(Contrato5[[#This Row],[FECHA TERMINACIÓN ]]&gt;=TODAY(),"En ejecución","")))</f>
        <v>Terminado</v>
      </c>
      <c r="AL43" s="153" t="e">
        <f ca="1">SUMIF([2]!COMPROMISOS_2024[[#All],[consecutivo]],Contrato5[[#This Row],[RCP]],[2]!COMPROMISOS_2024[[#All],[Total pagado]])</f>
        <v>#REF!</v>
      </c>
      <c r="AM43" s="154">
        <f ca="1">IFERROR(Contrato5[[#This Row],[Pagos]]/Contrato5[[#This Row],[VALOR CONTRATO]],0)</f>
        <v>0</v>
      </c>
      <c r="AN43" s="175" t="e">
        <f ca="1">+Contrato5[[#This Row],[VALOR CONTRATO]]-Contrato5[[#This Row],[Pagos]]</f>
        <v>#REF!</v>
      </c>
      <c r="AO43" s="151" t="e" cm="1">
        <f t="array" aca="1" ref="AO43" ca="1">_xlfn.XLOOKUP(Contrato5[[#This Row],[DOCUMENTO ]],[2]!PERSONAL_ACTIVO_2024[[#All],[Documento identidad]],[2]!PERSONAL_ACTIVO_2024[[#All],[Mail ]],0,0)</f>
        <v>#NAME?</v>
      </c>
      <c r="AP43" s="151" t="e" cm="1">
        <f t="array" aca="1" ref="AP43" ca="1">_xlfn.XLOOKUP(Contrato5[[#This Row],[DOCUMENTO]],[2]!PERSONAL_ACTIVO_2024[[#All],[Documento identidad]],[2]!PERSONAL_ACTIVO_2024[[#All],[Mail ]],0,0)</f>
        <v>#NAME?</v>
      </c>
      <c r="AQ43" s="151" cm="1">
        <f t="array" aca="1" ref="AQ43" ca="1">IF(ISBLANK(Contrato5[[#This Row],[DEPENDENCIA ]]),0,IFERROR(_xlfn.XLOOKUP(Contrato5[[#This Row],[DEPENDENCIA ]],[2]!PERSONAL_ACTIVO_2024[[#All],[Dependencia]],[2]!PERSONAL_ACTIVO_2024[[#All],[Mail ]],0,0),0))</f>
        <v>0</v>
      </c>
    </row>
    <row r="44" spans="1:43" ht="34.5" customHeight="1">
      <c r="A44" s="125">
        <v>131</v>
      </c>
      <c r="B44" s="124">
        <v>23</v>
      </c>
      <c r="C44" s="162" t="s">
        <v>2498</v>
      </c>
      <c r="D44" s="126" t="s">
        <v>583</v>
      </c>
      <c r="E44" s="172" t="s">
        <v>94</v>
      </c>
      <c r="F44" s="163" t="s">
        <v>1376</v>
      </c>
      <c r="G44" s="190" t="s">
        <v>599</v>
      </c>
      <c r="H44" s="447">
        <v>8104231</v>
      </c>
      <c r="I44" s="455">
        <v>28040472</v>
      </c>
      <c r="J44" s="456">
        <v>28040472</v>
      </c>
      <c r="K44" s="166" t="s">
        <v>42</v>
      </c>
      <c r="L44" s="438" t="s">
        <v>42</v>
      </c>
      <c r="M44" s="194" t="s">
        <v>600</v>
      </c>
      <c r="N44" s="177" t="e" cm="1">
        <f t="array" aca="1" ref="N44" ca="1">_xlfn.XLOOKUP(Contrato5[[#This Row],[SUPERVISOR TITULAR]],[2]!PERSONAL_ACTIVO_2024[[#All],[Nombre completo]],[2]!PERSONAL_ACTIVO_2024[[#All],[Documento identidad]],"",0)</f>
        <v>#NAME?</v>
      </c>
      <c r="O44" s="194" t="s">
        <v>2495</v>
      </c>
      <c r="P44" s="196" t="e" cm="1">
        <f t="array" aca="1" ref="P44" ca="1">_xlfn.XLOOKUP(Contrato5[[#This Row],[SUPERVISOR SUPLENTE ]],[2]!PERSONAL_ACTIVO_2024[[#All],[Nombre completo]],[2]!PERSONAL_ACTIVO_2024[[#All],[Documento identidad]],"",0)</f>
        <v>#NAME?</v>
      </c>
      <c r="Q44" s="170">
        <v>21</v>
      </c>
      <c r="R44" s="137" t="e" cm="1">
        <f t="array" aca="1" ref="R44" ca="1">_xlfn.XLOOKUP(Contrato5[[#This Row],[CDP]],[2]!DISPONIBILIDADES_2024[[#All],[consecutivo]],[2]!DISPONIBILIDADES_2024[[#All],[fecha_aprobacion]],"",0)</f>
        <v>#NAME?</v>
      </c>
      <c r="S44" s="138" t="e">
        <f>SUMIF([2]!DISPONIBILIDADES_2024[[#All],[consecutivo]],Contrato5[[#This Row],[CDP]],[2]!DISPONIBILIDADES_2024[[#All],[valor_total_rubro]])</f>
        <v>#REF!</v>
      </c>
      <c r="T44" s="139" t="e" cm="1">
        <f t="array" aca="1" ref="T44" ca="1">_xlfn.XLOOKUP(Contrato5[[#This Row],[CONTRATO]]&amp;Contrato5[[#This Row],[CDP]],[2]!Corr_Contr_CDP[[#All],[CONTRATO-CDP]],[2]!Corr_Contr_CDP[[#All],[CRP]],_xlfn.XLOOKUP(Contrato5[[#This Row],[CDP]],[2]!COMPROMISOS_2024[[#All],[disponibilidad]],[2]!COMPROMISOS_2024[[#All],[consecutivo]],"",0),0)</f>
        <v>#NAME?</v>
      </c>
      <c r="U44" s="140" t="e" cm="1">
        <f t="array" aca="1" ref="U44" ca="1">+_xlfn.XLOOKUP(Contrato5[[#This Row],[RCP]],[2]!COMPROMISOS_2024[[#All],[consecutivo]],[2]!COMPROMISOS_2024[[#All],[fecha_aprobacion]],"",0)</f>
        <v>#NAME?</v>
      </c>
      <c r="V44" s="141" t="e">
        <f ca="1">SUMIF([2]!COMPROMISOS_2024[[#All],[consecutivo]],Contrato5[[#This Row],[RCP]],[2]!COMPROMISOS_2024[[#All],[valor_total]])</f>
        <v>#REF!</v>
      </c>
      <c r="W44" s="415">
        <v>45316</v>
      </c>
      <c r="X44" s="415">
        <v>45317</v>
      </c>
      <c r="Y44" s="143">
        <v>45317</v>
      </c>
      <c r="Z44" s="262">
        <v>45407</v>
      </c>
      <c r="AA44" s="183" t="s">
        <v>601</v>
      </c>
      <c r="AB44" s="127" t="s">
        <v>529</v>
      </c>
      <c r="AD44" s="180">
        <v>202000003491</v>
      </c>
      <c r="AE44" s="147" t="s">
        <v>523</v>
      </c>
      <c r="AF44" s="148" t="str">
        <f>TEXT(LEFT(Contrato5[[#This Row],[CONTRATO]],3),"0")</f>
        <v>23</v>
      </c>
      <c r="AG44" s="148" t="str">
        <f>IF(LEN(Contrato5[[#This Row],[Contrato2]])=3,Contrato5[[#This Row],[Contrato2]],TEXT(Contrato5[[#This Row],[Contrato2]],"000"))</f>
        <v>023</v>
      </c>
      <c r="AH44" s="149">
        <f ca="1">IFERROR(_xlfn.DAYS(Contrato5[[#This Row],[Fecha Proyectada liquidación]],TODAY())/30,"")</f>
        <v>-7.7</v>
      </c>
      <c r="AI44" s="150">
        <f>+Contrato5[[#This Row],[FECHA TERMINACIÓN ]]+120</f>
        <v>45527</v>
      </c>
      <c r="AJ44" s="147"/>
      <c r="AK44" s="152" t="str">
        <f ca="1">IF(Contrato5[[#This Row],[FECHA TERMINACIÓN ]]&lt;TODAY(), "Terminado",IF(ISNUMBER(Contrato5[[#This Row],[Fecha Real de liquiidación ]]),"Liquidado",IF(Contrato5[[#This Row],[FECHA TERMINACIÓN ]]&gt;=TODAY(),"En ejecución","")))</f>
        <v>Terminado</v>
      </c>
      <c r="AL44" s="153" t="e">
        <f ca="1">SUMIF([2]!COMPROMISOS_2024[[#All],[consecutivo]],Contrato5[[#This Row],[RCP]],[2]!COMPROMISOS_2024[[#All],[Total pagado]])</f>
        <v>#REF!</v>
      </c>
      <c r="AM44" s="154">
        <f ca="1">IFERROR(Contrato5[[#This Row],[Pagos]]/Contrato5[[#This Row],[VALOR CONTRATO]],0)</f>
        <v>0</v>
      </c>
      <c r="AN44" s="198" t="e">
        <f ca="1">+Contrato5[[#This Row],[VALOR CONTRATO]]-Contrato5[[#This Row],[Pagos]]</f>
        <v>#REF!</v>
      </c>
      <c r="AO44" s="147" t="e" cm="1">
        <f t="array" aca="1" ref="AO44" ca="1">_xlfn.XLOOKUP(Contrato5[[#This Row],[DOCUMENTO ]],[2]!PERSONAL_ACTIVO_2024[[#All],[Documento identidad]],[2]!PERSONAL_ACTIVO_2024[[#All],[Mail ]],0,0)</f>
        <v>#NAME?</v>
      </c>
      <c r="AP44" s="147" t="e" cm="1">
        <f t="array" aca="1" ref="AP44" ca="1">_xlfn.XLOOKUP(Contrato5[[#This Row],[DOCUMENTO]],[2]!PERSONAL_ACTIVO_2024[[#All],[Documento identidad]],[2]!PERSONAL_ACTIVO_2024[[#All],[Mail ]],0,0)</f>
        <v>#NAME?</v>
      </c>
      <c r="AQ44" s="439" cm="1">
        <f t="array" aca="1" ref="AQ44" ca="1">IF(ISBLANK(Contrato5[[#This Row],[DEPENDENCIA ]]),0,IFERROR(_xlfn.XLOOKUP(Contrato5[[#This Row],[DEPENDENCIA ]],[2]!PERSONAL_ACTIVO_2024[[#All],[Dependencia]],[2]!PERSONAL_ACTIVO_2024[[#All],[Mail ]],0,0),0))</f>
        <v>0</v>
      </c>
    </row>
    <row r="45" spans="1:43" ht="34.5" customHeight="1">
      <c r="A45" s="125">
        <v>61</v>
      </c>
      <c r="B45" s="124">
        <v>24</v>
      </c>
      <c r="C45" s="162" t="s">
        <v>2499</v>
      </c>
      <c r="D45" s="126" t="s">
        <v>602</v>
      </c>
      <c r="E45" s="172" t="s">
        <v>94</v>
      </c>
      <c r="F45" s="163" t="s">
        <v>1376</v>
      </c>
      <c r="G45" s="190" t="s">
        <v>603</v>
      </c>
      <c r="H45" s="447">
        <v>43182812</v>
      </c>
      <c r="I45" s="455">
        <v>6879081</v>
      </c>
      <c r="J45" s="456">
        <v>20637243</v>
      </c>
      <c r="K45" s="166" t="s">
        <v>42</v>
      </c>
      <c r="L45" s="438" t="s">
        <v>42</v>
      </c>
      <c r="M45" s="194" t="s">
        <v>604</v>
      </c>
      <c r="N45" s="177" t="e" cm="1">
        <f t="array" aca="1" ref="N45" ca="1">_xlfn.XLOOKUP(Contrato5[[#This Row],[SUPERVISOR TITULAR]],[2]!PERSONAL_ACTIVO_2024[[#All],[Nombre completo]],[2]!PERSONAL_ACTIVO_2024[[#All],[Documento identidad]],"",0)</f>
        <v>#NAME?</v>
      </c>
      <c r="O45" s="194" t="s">
        <v>605</v>
      </c>
      <c r="P45" s="196" t="e" cm="1">
        <f t="array" aca="1" ref="P45" ca="1">_xlfn.XLOOKUP(Contrato5[[#This Row],[SUPERVISOR SUPLENTE ]],[2]!PERSONAL_ACTIVO_2024[[#All],[Nombre completo]],[2]!PERSONAL_ACTIVO_2024[[#All],[Documento identidad]],"",0)</f>
        <v>#NAME?</v>
      </c>
      <c r="Q45" s="170">
        <v>29</v>
      </c>
      <c r="R45" s="137" t="e" cm="1">
        <f t="array" aca="1" ref="R45" ca="1">_xlfn.XLOOKUP(Contrato5[[#This Row],[CDP]],[2]!DISPONIBILIDADES_2024[[#All],[consecutivo]],[2]!DISPONIBILIDADES_2024[[#All],[fecha_aprobacion]],"",0)</f>
        <v>#NAME?</v>
      </c>
      <c r="S45" s="138" t="e">
        <f>SUMIF([2]!DISPONIBILIDADES_2024[[#All],[consecutivo]],Contrato5[[#This Row],[CDP]],[2]!DISPONIBILIDADES_2024[[#All],[valor_total_rubro]])</f>
        <v>#REF!</v>
      </c>
      <c r="T45" s="139" t="e" cm="1">
        <f t="array" aca="1" ref="T45" ca="1">_xlfn.XLOOKUP(Contrato5[[#This Row],[CONTRATO]]&amp;Contrato5[[#This Row],[CDP]],[2]!Corr_Contr_CDP[[#All],[CONTRATO-CDP]],[2]!Corr_Contr_CDP[[#All],[CRP]],_xlfn.XLOOKUP(Contrato5[[#This Row],[CDP]],[2]!COMPROMISOS_2024[[#All],[disponibilidad]],[2]!COMPROMISOS_2024[[#All],[consecutivo]],"",0),0)</f>
        <v>#NAME?</v>
      </c>
      <c r="U45" s="140" t="e" cm="1">
        <f t="array" aca="1" ref="U45" ca="1">+_xlfn.XLOOKUP(Contrato5[[#This Row],[RCP]],[2]!COMPROMISOS_2024[[#All],[consecutivo]],[2]!COMPROMISOS_2024[[#All],[fecha_aprobacion]],"",0)</f>
        <v>#NAME?</v>
      </c>
      <c r="V45" s="141" t="e">
        <f ca="1">SUMIF([2]!COMPROMISOS_2024[[#All],[consecutivo]],Contrato5[[#This Row],[RCP]],[2]!COMPROMISOS_2024[[#All],[valor_total]])</f>
        <v>#REF!</v>
      </c>
      <c r="W45" s="415">
        <v>45317</v>
      </c>
      <c r="X45" s="415">
        <v>45317</v>
      </c>
      <c r="Y45" s="143">
        <v>45317</v>
      </c>
      <c r="Z45" s="262">
        <v>45407</v>
      </c>
      <c r="AA45" s="171" t="s">
        <v>606</v>
      </c>
      <c r="AB45" s="127" t="s">
        <v>529</v>
      </c>
      <c r="AD45" s="201">
        <v>202000003494</v>
      </c>
      <c r="AE45" s="147" t="s">
        <v>523</v>
      </c>
      <c r="AF45" s="148" t="str">
        <f>TEXT(LEFT(Contrato5[[#This Row],[CONTRATO]],3),"0")</f>
        <v>24</v>
      </c>
      <c r="AG45" s="148" t="str">
        <f>IF(LEN(Contrato5[[#This Row],[Contrato2]])=3,Contrato5[[#This Row],[Contrato2]],TEXT(Contrato5[[#This Row],[Contrato2]],"000"))</f>
        <v>024</v>
      </c>
      <c r="AH45" s="149">
        <f ca="1">IFERROR(_xlfn.DAYS(Contrato5[[#This Row],[Fecha Proyectada liquidación]],TODAY())/30,"")</f>
        <v>-7.7</v>
      </c>
      <c r="AI45" s="150">
        <f>+Contrato5[[#This Row],[FECHA TERMINACIÓN ]]+120</f>
        <v>45527</v>
      </c>
      <c r="AJ45" s="147"/>
      <c r="AK45" s="152" t="str">
        <f ca="1">IF(Contrato5[[#This Row],[FECHA TERMINACIÓN ]]&lt;TODAY(), "Terminado",IF(ISNUMBER(Contrato5[[#This Row],[Fecha Real de liquiidación ]]),"Liquidado",IF(Contrato5[[#This Row],[FECHA TERMINACIÓN ]]&gt;=TODAY(),"En ejecución","")))</f>
        <v>Terminado</v>
      </c>
      <c r="AL45" s="153" t="e">
        <f ca="1">SUMIF([2]!COMPROMISOS_2024[[#All],[consecutivo]],Contrato5[[#This Row],[RCP]],[2]!COMPROMISOS_2024[[#All],[Total pagado]])</f>
        <v>#REF!</v>
      </c>
      <c r="AM45" s="154">
        <f ca="1">IFERROR(Contrato5[[#This Row],[Pagos]]/Contrato5[[#This Row],[VALOR CONTRATO]],0)</f>
        <v>0</v>
      </c>
      <c r="AN45" s="198" t="e">
        <f ca="1">+Contrato5[[#This Row],[VALOR CONTRATO]]-Contrato5[[#This Row],[Pagos]]</f>
        <v>#REF!</v>
      </c>
      <c r="AO45" s="147" t="e" cm="1">
        <f t="array" aca="1" ref="AO45" ca="1">_xlfn.XLOOKUP(Contrato5[[#This Row],[DOCUMENTO ]],[2]!PERSONAL_ACTIVO_2024[[#All],[Documento identidad]],[2]!PERSONAL_ACTIVO_2024[[#All],[Mail ]],0,0)</f>
        <v>#NAME?</v>
      </c>
      <c r="AP45" s="147" t="e" cm="1">
        <f t="array" aca="1" ref="AP45" ca="1">_xlfn.XLOOKUP(Contrato5[[#This Row],[DOCUMENTO]],[2]!PERSONAL_ACTIVO_2024[[#All],[Documento identidad]],[2]!PERSONAL_ACTIVO_2024[[#All],[Mail ]],0,0)</f>
        <v>#NAME?</v>
      </c>
      <c r="AQ45" s="439" cm="1">
        <f t="array" aca="1" ref="AQ45" ca="1">IF(ISBLANK(Contrato5[[#This Row],[DEPENDENCIA ]]),0,IFERROR(_xlfn.XLOOKUP(Contrato5[[#This Row],[DEPENDENCIA ]],[2]!PERSONAL_ACTIVO_2024[[#All],[Dependencia]],[2]!PERSONAL_ACTIVO_2024[[#All],[Mail ]],0,0),0))</f>
        <v>0</v>
      </c>
    </row>
    <row r="46" spans="1:43" ht="34.5" customHeight="1">
      <c r="A46" s="125">
        <v>636</v>
      </c>
      <c r="B46" s="124">
        <v>24</v>
      </c>
      <c r="C46" s="162" t="s">
        <v>1540</v>
      </c>
      <c r="D46" s="126" t="s">
        <v>602</v>
      </c>
      <c r="E46" s="128" t="s">
        <v>78</v>
      </c>
      <c r="F46" s="163" t="s">
        <v>1376</v>
      </c>
      <c r="G46" s="190" t="s">
        <v>603</v>
      </c>
      <c r="H46" s="447">
        <v>43182812</v>
      </c>
      <c r="I46" s="455">
        <v>6879081</v>
      </c>
      <c r="J46" s="456">
        <v>10318622</v>
      </c>
      <c r="K46" s="202" t="s">
        <v>607</v>
      </c>
      <c r="L46" s="438" t="s">
        <v>608</v>
      </c>
      <c r="M46" s="194" t="s">
        <v>604</v>
      </c>
      <c r="N46" s="195" t="e" cm="1">
        <f t="array" aca="1" ref="N46" ca="1">_xlfn.XLOOKUP(Contrato5[[#This Row],[SUPERVISOR TITULAR]],[2]!PERSONAL_ACTIVO_2024[[#All],[Nombre completo]],[2]!PERSONAL_ACTIVO_2024[[#All],[Documento identidad]],"",0)</f>
        <v>#NAME?</v>
      </c>
      <c r="O46" s="194" t="s">
        <v>605</v>
      </c>
      <c r="P46" s="135" t="e" cm="1">
        <f t="array" aca="1" ref="P46" ca="1">_xlfn.XLOOKUP(Contrato5[[#This Row],[SUPERVISOR SUPLENTE ]],[2]!PERSONAL_ACTIVO_2024[[#All],[Nombre completo]],[2]!PERSONAL_ACTIVO_2024[[#All],[Documento identidad]],"",0)</f>
        <v>#NAME?</v>
      </c>
      <c r="Q46" s="170">
        <v>395</v>
      </c>
      <c r="R46" s="137" t="e" cm="1">
        <f t="array" aca="1" ref="R46" ca="1">_xlfn.XLOOKUP(Contrato5[[#This Row],[CDP]],[2]!DISPONIBILIDADES_2024[[#All],[consecutivo]],[2]!DISPONIBILIDADES_2024[[#All],[fecha_aprobacion]],"",0)</f>
        <v>#NAME?</v>
      </c>
      <c r="S46" s="138" t="e">
        <f>SUMIF([2]!DISPONIBILIDADES_2024[[#All],[consecutivo]],Contrato5[[#This Row],[CDP]],[2]!DISPONIBILIDADES_2024[[#All],[valor_total_rubro]])</f>
        <v>#REF!</v>
      </c>
      <c r="T46" s="139" t="e" cm="1">
        <f t="array" aca="1" ref="T46" ca="1">_xlfn.XLOOKUP(Contrato5[[#This Row],[CONTRATO]]&amp;Contrato5[[#This Row],[CDP]],[2]!Corr_Contr_CDP[[#All],[CONTRATO-CDP]],[2]!Corr_Contr_CDP[[#All],[CRP]],_xlfn.XLOOKUP(Contrato5[[#This Row],[CDP]],[2]!COMPROMISOS_2024[[#All],[disponibilidad]],[2]!COMPROMISOS_2024[[#All],[consecutivo]],"",0),0)</f>
        <v>#NAME?</v>
      </c>
      <c r="U46" s="140" t="e" cm="1">
        <f t="array" aca="1" ref="U46" ca="1">+_xlfn.XLOOKUP(Contrato5[[#This Row],[RCP]],[2]!COMPROMISOS_2024[[#All],[consecutivo]],[2]!COMPROMISOS_2024[[#All],[fecha_aprobacion]],"",0)</f>
        <v>#NAME?</v>
      </c>
      <c r="V46" s="141" t="e">
        <f ca="1">SUMIF([2]!COMPROMISOS_2024[[#All],[consecutivo]],Contrato5[[#This Row],[RCP]],[2]!COMPROMISOS_2024[[#All],[valor_total]])</f>
        <v>#REF!</v>
      </c>
      <c r="W46" s="415">
        <v>45401</v>
      </c>
      <c r="X46" s="415">
        <v>45405</v>
      </c>
      <c r="Y46" s="143">
        <v>45408</v>
      </c>
      <c r="Z46" s="262">
        <v>45453</v>
      </c>
      <c r="AA46" s="183" t="s">
        <v>606</v>
      </c>
      <c r="AB46" s="172" t="s">
        <v>2500</v>
      </c>
      <c r="AC46" s="127"/>
      <c r="AD46" s="204"/>
      <c r="AE46" s="147"/>
      <c r="AF46" s="148" t="str">
        <f>TEXT(LEFT(Contrato5[[#This Row],[CONTRATO]],3),"0")</f>
        <v>24</v>
      </c>
      <c r="AG46" s="148" t="str">
        <f>IF(LEN(Contrato5[[#This Row],[Contrato2]])=3,Contrato5[[#This Row],[Contrato2]],TEXT(Contrato5[[#This Row],[Contrato2]],"000"))</f>
        <v>024</v>
      </c>
      <c r="AH46" s="149">
        <f ca="1">IFERROR(_xlfn.DAYS(Contrato5[[#This Row],[Fecha Proyectada liquidación]],TODAY())/30,"")</f>
        <v>-6.166666666666667</v>
      </c>
      <c r="AI46" s="150">
        <f>+Contrato5[[#This Row],[FECHA TERMINACIÓN ]]+120</f>
        <v>45573</v>
      </c>
      <c r="AK46" s="152" t="str">
        <f ca="1">IF(Contrato5[[#This Row],[FECHA TERMINACIÓN ]]&lt;TODAY(), "Terminado",IF(ISNUMBER(Contrato5[[#This Row],[Fecha Real de liquiidación ]]),"Liquidado",IF(Contrato5[[#This Row],[FECHA TERMINACIÓN ]]&gt;=TODAY(),"En ejecución","")))</f>
        <v>Terminado</v>
      </c>
      <c r="AL46" s="153" t="e">
        <f ca="1">SUMIF([2]!COMPROMISOS_2024[[#All],[consecutivo]],Contrato5[[#This Row],[RCP]],[2]!COMPROMISOS_2024[[#All],[Total pagado]])</f>
        <v>#REF!</v>
      </c>
      <c r="AM46" s="154">
        <f ca="1">IFERROR(Contrato5[[#This Row],[Pagos]]/Contrato5[[#This Row],[VALOR CONTRATO]],0)</f>
        <v>0</v>
      </c>
      <c r="AN46" s="175" t="e">
        <f ca="1">+Contrato5[[#This Row],[VALOR CONTRATO]]-Contrato5[[#This Row],[Pagos]]</f>
        <v>#REF!</v>
      </c>
      <c r="AO46" s="151" t="e" cm="1">
        <f t="array" aca="1" ref="AO46" ca="1">_xlfn.XLOOKUP(Contrato5[[#This Row],[DOCUMENTO ]],[2]!PERSONAL_ACTIVO_2024[[#All],[Documento identidad]],[2]!PERSONAL_ACTIVO_2024[[#All],[Mail ]],0,0)</f>
        <v>#NAME?</v>
      </c>
      <c r="AP46" s="151" t="e" cm="1">
        <f t="array" aca="1" ref="AP46" ca="1">_xlfn.XLOOKUP(Contrato5[[#This Row],[DOCUMENTO]],[2]!PERSONAL_ACTIVO_2024[[#All],[Documento identidad]],[2]!PERSONAL_ACTIVO_2024[[#All],[Mail ]],0,0)</f>
        <v>#NAME?</v>
      </c>
      <c r="AQ46" s="151" cm="1">
        <f t="array" aca="1" ref="AQ46" ca="1">IF(ISBLANK(Contrato5[[#This Row],[DEPENDENCIA ]]),0,IFERROR(_xlfn.XLOOKUP(Contrato5[[#This Row],[DEPENDENCIA ]],[2]!PERSONAL_ACTIVO_2024[[#All],[Dependencia]],[2]!PERSONAL_ACTIVO_2024[[#All],[Mail ]],0,0),0))</f>
        <v>0</v>
      </c>
    </row>
    <row r="47" spans="1:43" ht="34.5" customHeight="1">
      <c r="A47" s="125">
        <v>64</v>
      </c>
      <c r="B47" s="124">
        <v>25</v>
      </c>
      <c r="C47" s="162" t="s">
        <v>2501</v>
      </c>
      <c r="D47" s="126" t="s">
        <v>602</v>
      </c>
      <c r="E47" s="172" t="s">
        <v>94</v>
      </c>
      <c r="F47" s="163" t="s">
        <v>1376</v>
      </c>
      <c r="G47" s="190" t="s">
        <v>609</v>
      </c>
      <c r="H47" s="447">
        <v>1040181548</v>
      </c>
      <c r="I47" s="455">
        <v>7690469</v>
      </c>
      <c r="J47" s="456">
        <v>23071407</v>
      </c>
      <c r="K47" s="166" t="s">
        <v>42</v>
      </c>
      <c r="L47" s="438" t="s">
        <v>42</v>
      </c>
      <c r="M47" s="178" t="s">
        <v>610</v>
      </c>
      <c r="N47" s="177" t="e" cm="1">
        <f t="array" aca="1" ref="N47" ca="1">_xlfn.XLOOKUP(Contrato5[[#This Row],[SUPERVISOR TITULAR]],[2]!PERSONAL_ACTIVO_2024[[#All],[Nombre completo]],[2]!PERSONAL_ACTIVO_2024[[#All],[Documento identidad]],"",0)</f>
        <v>#NAME?</v>
      </c>
      <c r="O47" s="194" t="s">
        <v>605</v>
      </c>
      <c r="P47" s="185" t="e" cm="1">
        <f t="array" aca="1" ref="P47" ca="1">_xlfn.XLOOKUP(Contrato5[[#This Row],[SUPERVISOR SUPLENTE ]],[2]!PERSONAL_ACTIVO_2024[[#All],[Nombre completo]],[2]!PERSONAL_ACTIVO_2024[[#All],[Documento identidad]],"",0)</f>
        <v>#NAME?</v>
      </c>
      <c r="Q47" s="182">
        <v>31</v>
      </c>
      <c r="R47" s="137" t="e" cm="1">
        <f t="array" aca="1" ref="R47" ca="1">_xlfn.XLOOKUP(Contrato5[[#This Row],[CDP]],[2]!DISPONIBILIDADES_2024[[#All],[consecutivo]],[2]!DISPONIBILIDADES_2024[[#All],[fecha_aprobacion]],"",0)</f>
        <v>#NAME?</v>
      </c>
      <c r="S47" s="138" t="e">
        <f>SUMIF([2]!DISPONIBILIDADES_2024[[#All],[consecutivo]],Contrato5[[#This Row],[CDP]],[2]!DISPONIBILIDADES_2024[[#All],[valor_total_rubro]])</f>
        <v>#REF!</v>
      </c>
      <c r="T47" s="139" t="e" cm="1">
        <f t="array" aca="1" ref="T47" ca="1">_xlfn.XLOOKUP(Contrato5[[#This Row],[CONTRATO]]&amp;Contrato5[[#This Row],[CDP]],[2]!Corr_Contr_CDP[[#All],[CONTRATO-CDP]],[2]!Corr_Contr_CDP[[#All],[CRP]],_xlfn.XLOOKUP(Contrato5[[#This Row],[CDP]],[2]!COMPROMISOS_2024[[#All],[disponibilidad]],[2]!COMPROMISOS_2024[[#All],[consecutivo]],"",0),0)</f>
        <v>#NAME?</v>
      </c>
      <c r="U47" s="140" t="e" cm="1">
        <f t="array" aca="1" ref="U47" ca="1">+_xlfn.XLOOKUP(Contrato5[[#This Row],[RCP]],[2]!COMPROMISOS_2024[[#All],[consecutivo]],[2]!COMPROMISOS_2024[[#All],[fecha_aprobacion]],"",0)</f>
        <v>#NAME?</v>
      </c>
      <c r="V47" s="141" t="e">
        <f ca="1">SUMIF([2]!COMPROMISOS_2024[[#All],[consecutivo]],Contrato5[[#This Row],[RCP]],[2]!COMPROMISOS_2024[[#All],[valor_total]])</f>
        <v>#REF!</v>
      </c>
      <c r="W47" s="415">
        <v>45317</v>
      </c>
      <c r="X47" s="415">
        <v>45317</v>
      </c>
      <c r="Y47" s="143">
        <v>45317</v>
      </c>
      <c r="Z47" s="262">
        <v>45407</v>
      </c>
      <c r="AA47" s="205" t="s">
        <v>611</v>
      </c>
      <c r="AB47" s="127" t="s">
        <v>529</v>
      </c>
      <c r="AD47" s="206">
        <v>202000003495</v>
      </c>
      <c r="AE47" s="125" t="s">
        <v>523</v>
      </c>
      <c r="AF47" s="148" t="str">
        <f>TEXT(LEFT(Contrato5[[#This Row],[CONTRATO]],3),"0")</f>
        <v>25</v>
      </c>
      <c r="AG47" s="148" t="str">
        <f>IF(LEN(Contrato5[[#This Row],[Contrato2]])=3,Contrato5[[#This Row],[Contrato2]],TEXT(Contrato5[[#This Row],[Contrato2]],"000"))</f>
        <v>025</v>
      </c>
      <c r="AH47" s="149">
        <f ca="1">IFERROR(_xlfn.DAYS(Contrato5[[#This Row],[Fecha Proyectada liquidación]],TODAY())/30,"")</f>
        <v>-7.7</v>
      </c>
      <c r="AI47" s="150">
        <f>+Contrato5[[#This Row],[FECHA TERMINACIÓN ]]+120</f>
        <v>45527</v>
      </c>
      <c r="AK47" s="152" t="str">
        <f ca="1">IF(Contrato5[[#This Row],[FECHA TERMINACIÓN ]]&lt;TODAY(), "Terminado",IF(ISNUMBER(Contrato5[[#This Row],[Fecha Real de liquiidación ]]),"Liquidado",IF(Contrato5[[#This Row],[FECHA TERMINACIÓN ]]&gt;=TODAY(),"En ejecución","")))</f>
        <v>Terminado</v>
      </c>
      <c r="AL47" s="153" t="e">
        <f ca="1">SUMIF([2]!COMPROMISOS_2024[[#All],[consecutivo]],Contrato5[[#This Row],[RCP]],[2]!COMPROMISOS_2024[[#All],[Total pagado]])</f>
        <v>#REF!</v>
      </c>
      <c r="AM47" s="154">
        <f ca="1">IFERROR(Contrato5[[#This Row],[Pagos]]/Contrato5[[#This Row],[VALOR CONTRATO]],0)</f>
        <v>0</v>
      </c>
      <c r="AN47" s="175" t="e">
        <f ca="1">+Contrato5[[#This Row],[VALOR CONTRATO]]-Contrato5[[#This Row],[Pagos]]</f>
        <v>#REF!</v>
      </c>
      <c r="AO47" s="151" t="e" cm="1">
        <f t="array" aca="1" ref="AO47" ca="1">_xlfn.XLOOKUP(Contrato5[[#This Row],[DOCUMENTO ]],[2]!PERSONAL_ACTIVO_2024[[#All],[Documento identidad]],[2]!PERSONAL_ACTIVO_2024[[#All],[Mail ]],0,0)</f>
        <v>#NAME?</v>
      </c>
      <c r="AP47" s="151" t="e" cm="1">
        <f t="array" aca="1" ref="AP47" ca="1">_xlfn.XLOOKUP(Contrato5[[#This Row],[DOCUMENTO]],[2]!PERSONAL_ACTIVO_2024[[#All],[Documento identidad]],[2]!PERSONAL_ACTIVO_2024[[#All],[Mail ]],0,0)</f>
        <v>#NAME?</v>
      </c>
      <c r="AQ47" s="151" cm="1">
        <f t="array" aca="1" ref="AQ47" ca="1">IF(ISBLANK(Contrato5[[#This Row],[DEPENDENCIA ]]),0,IFERROR(_xlfn.XLOOKUP(Contrato5[[#This Row],[DEPENDENCIA ]],[2]!PERSONAL_ACTIVO_2024[[#All],[Dependencia]],[2]!PERSONAL_ACTIVO_2024[[#All],[Mail ]],0,0),0))</f>
        <v>0</v>
      </c>
    </row>
    <row r="48" spans="1:43" ht="34.5" customHeight="1">
      <c r="A48" s="125">
        <v>637</v>
      </c>
      <c r="B48" s="124">
        <v>25</v>
      </c>
      <c r="C48" s="162" t="s">
        <v>1541</v>
      </c>
      <c r="D48" s="126" t="s">
        <v>602</v>
      </c>
      <c r="E48" s="128" t="s">
        <v>78</v>
      </c>
      <c r="F48" s="163" t="s">
        <v>1376</v>
      </c>
      <c r="G48" s="190" t="s">
        <v>609</v>
      </c>
      <c r="H48" s="447">
        <v>1040181548</v>
      </c>
      <c r="I48" s="455">
        <v>7690469</v>
      </c>
      <c r="J48" s="456">
        <v>11535704</v>
      </c>
      <c r="K48" s="202" t="s">
        <v>607</v>
      </c>
      <c r="L48" s="438" t="s">
        <v>608</v>
      </c>
      <c r="M48" s="178" t="s">
        <v>610</v>
      </c>
      <c r="N48" s="195" t="e" cm="1">
        <f t="array" aca="1" ref="N48" ca="1">_xlfn.XLOOKUP(Contrato5[[#This Row],[SUPERVISOR TITULAR]],[2]!PERSONAL_ACTIVO_2024[[#All],[Nombre completo]],[2]!PERSONAL_ACTIVO_2024[[#All],[Documento identidad]],"",0)</f>
        <v>#NAME?</v>
      </c>
      <c r="O48" s="194" t="s">
        <v>605</v>
      </c>
      <c r="P48" s="135" t="e" cm="1">
        <f t="array" aca="1" ref="P48" ca="1">_xlfn.XLOOKUP(Contrato5[[#This Row],[SUPERVISOR SUPLENTE ]],[2]!PERSONAL_ACTIVO_2024[[#All],[Nombre completo]],[2]!PERSONAL_ACTIVO_2024[[#All],[Documento identidad]],"",0)</f>
        <v>#NAME?</v>
      </c>
      <c r="Q48" s="170">
        <v>398</v>
      </c>
      <c r="R48" s="137" t="e" cm="1">
        <f t="array" aca="1" ref="R48" ca="1">_xlfn.XLOOKUP(Contrato5[[#This Row],[CDP]],[2]!DISPONIBILIDADES_2024[[#All],[consecutivo]],[2]!DISPONIBILIDADES_2024[[#All],[fecha_aprobacion]],"",0)</f>
        <v>#NAME?</v>
      </c>
      <c r="S48" s="138" t="e">
        <f>SUMIF([2]!DISPONIBILIDADES_2024[[#All],[consecutivo]],Contrato5[[#This Row],[CDP]],[2]!DISPONIBILIDADES_2024[[#All],[valor_total_rubro]])</f>
        <v>#REF!</v>
      </c>
      <c r="T48" s="139" t="e" cm="1">
        <f t="array" aca="1" ref="T48" ca="1">_xlfn.XLOOKUP(Contrato5[[#This Row],[CONTRATO]]&amp;Contrato5[[#This Row],[CDP]],[2]!Corr_Contr_CDP[[#All],[CONTRATO-CDP]],[2]!Corr_Contr_CDP[[#All],[CRP]],_xlfn.XLOOKUP(Contrato5[[#This Row],[CDP]],[2]!COMPROMISOS_2024[[#All],[disponibilidad]],[2]!COMPROMISOS_2024[[#All],[consecutivo]],"",0),0)</f>
        <v>#NAME?</v>
      </c>
      <c r="U48" s="140" t="e" cm="1">
        <f t="array" aca="1" ref="U48" ca="1">+_xlfn.XLOOKUP(Contrato5[[#This Row],[RCP]],[2]!COMPROMISOS_2024[[#All],[consecutivo]],[2]!COMPROMISOS_2024[[#All],[fecha_aprobacion]],"",0)</f>
        <v>#NAME?</v>
      </c>
      <c r="V48" s="141" t="e">
        <f ca="1">SUMIF([2]!COMPROMISOS_2024[[#All],[consecutivo]],Contrato5[[#This Row],[RCP]],[2]!COMPROMISOS_2024[[#All],[valor_total]])</f>
        <v>#REF!</v>
      </c>
      <c r="W48" s="415">
        <v>45401</v>
      </c>
      <c r="X48" s="415">
        <v>45405</v>
      </c>
      <c r="Y48" s="143">
        <v>45408</v>
      </c>
      <c r="Z48" s="262">
        <v>45453</v>
      </c>
      <c r="AA48" s="183" t="s">
        <v>611</v>
      </c>
      <c r="AB48" s="172" t="s">
        <v>2500</v>
      </c>
      <c r="AC48" s="127"/>
      <c r="AD48" s="207"/>
      <c r="AE48" s="147"/>
      <c r="AF48" s="148" t="str">
        <f>TEXT(LEFT(Contrato5[[#This Row],[CONTRATO]],3),"0")</f>
        <v>25</v>
      </c>
      <c r="AG48" s="148" t="str">
        <f>IF(LEN(Contrato5[[#This Row],[Contrato2]])=3,Contrato5[[#This Row],[Contrato2]],TEXT(Contrato5[[#This Row],[Contrato2]],"000"))</f>
        <v>025</v>
      </c>
      <c r="AH48" s="149">
        <f ca="1">IFERROR(_xlfn.DAYS(Contrato5[[#This Row],[Fecha Proyectada liquidación]],TODAY())/30,"")</f>
        <v>-6.166666666666667</v>
      </c>
      <c r="AI48" s="150">
        <f>+Contrato5[[#This Row],[FECHA TERMINACIÓN ]]+120</f>
        <v>45573</v>
      </c>
      <c r="AK48" s="152" t="str">
        <f ca="1">IF(Contrato5[[#This Row],[FECHA TERMINACIÓN ]]&lt;TODAY(), "Terminado",IF(ISNUMBER(Contrato5[[#This Row],[Fecha Real de liquiidación ]]),"Liquidado",IF(Contrato5[[#This Row],[FECHA TERMINACIÓN ]]&gt;=TODAY(),"En ejecución","")))</f>
        <v>Terminado</v>
      </c>
      <c r="AL48" s="153" t="e">
        <f ca="1">SUMIF([2]!COMPROMISOS_2024[[#All],[consecutivo]],Contrato5[[#This Row],[RCP]],[2]!COMPROMISOS_2024[[#All],[Total pagado]])</f>
        <v>#REF!</v>
      </c>
      <c r="AM48" s="154">
        <f ca="1">IFERROR(Contrato5[[#This Row],[Pagos]]/Contrato5[[#This Row],[VALOR CONTRATO]],0)</f>
        <v>0</v>
      </c>
      <c r="AN48" s="175" t="e">
        <f ca="1">+Contrato5[[#This Row],[VALOR CONTRATO]]-Contrato5[[#This Row],[Pagos]]</f>
        <v>#REF!</v>
      </c>
      <c r="AO48" s="151" t="e" cm="1">
        <f t="array" aca="1" ref="AO48" ca="1">_xlfn.XLOOKUP(Contrato5[[#This Row],[DOCUMENTO ]],[2]!PERSONAL_ACTIVO_2024[[#All],[Documento identidad]],[2]!PERSONAL_ACTIVO_2024[[#All],[Mail ]],0,0)</f>
        <v>#NAME?</v>
      </c>
      <c r="AP48" s="151" t="e" cm="1">
        <f t="array" aca="1" ref="AP48" ca="1">_xlfn.XLOOKUP(Contrato5[[#This Row],[DOCUMENTO]],[2]!PERSONAL_ACTIVO_2024[[#All],[Documento identidad]],[2]!PERSONAL_ACTIVO_2024[[#All],[Mail ]],0,0)</f>
        <v>#NAME?</v>
      </c>
      <c r="AQ48" s="151" cm="1">
        <f t="array" aca="1" ref="AQ48" ca="1">IF(ISBLANK(Contrato5[[#This Row],[DEPENDENCIA ]]),0,IFERROR(_xlfn.XLOOKUP(Contrato5[[#This Row],[DEPENDENCIA ]],[2]!PERSONAL_ACTIVO_2024[[#All],[Dependencia]],[2]!PERSONAL_ACTIVO_2024[[#All],[Mail ]],0,0),0))</f>
        <v>0</v>
      </c>
    </row>
    <row r="49" spans="1:43" ht="34.5" customHeight="1">
      <c r="A49" s="125">
        <v>59</v>
      </c>
      <c r="B49" s="124">
        <v>26</v>
      </c>
      <c r="C49" s="162" t="s">
        <v>2502</v>
      </c>
      <c r="D49" s="126" t="s">
        <v>602</v>
      </c>
      <c r="E49" s="172" t="s">
        <v>94</v>
      </c>
      <c r="F49" s="163" t="s">
        <v>1376</v>
      </c>
      <c r="G49" s="190" t="s">
        <v>612</v>
      </c>
      <c r="H49" s="447">
        <v>15534920</v>
      </c>
      <c r="I49" s="455">
        <v>6879081</v>
      </c>
      <c r="J49" s="456">
        <v>20637243</v>
      </c>
      <c r="K49" s="166" t="s">
        <v>42</v>
      </c>
      <c r="L49" s="438" t="s">
        <v>42</v>
      </c>
      <c r="M49" s="194" t="s">
        <v>613</v>
      </c>
      <c r="N49" s="177" t="e" cm="1">
        <f t="array" aca="1" ref="N49" ca="1">_xlfn.XLOOKUP(Contrato5[[#This Row],[SUPERVISOR TITULAR]],[2]!PERSONAL_ACTIVO_2024[[#All],[Nombre completo]],[2]!PERSONAL_ACTIVO_2024[[#All],[Documento identidad]],"",0)</f>
        <v>#NAME?</v>
      </c>
      <c r="O49" s="194" t="s">
        <v>605</v>
      </c>
      <c r="P49" s="196" t="e" cm="1">
        <f t="array" aca="1" ref="P49" ca="1">_xlfn.XLOOKUP(Contrato5[[#This Row],[SUPERVISOR SUPLENTE ]],[2]!PERSONAL_ACTIVO_2024[[#All],[Nombre completo]],[2]!PERSONAL_ACTIVO_2024[[#All],[Documento identidad]],"",0)</f>
        <v>#NAME?</v>
      </c>
      <c r="Q49" s="208">
        <v>28</v>
      </c>
      <c r="R49" s="137" t="e" cm="1">
        <f t="array" aca="1" ref="R49" ca="1">_xlfn.XLOOKUP(Contrato5[[#This Row],[CDP]],[2]!DISPONIBILIDADES_2024[[#All],[consecutivo]],[2]!DISPONIBILIDADES_2024[[#All],[fecha_aprobacion]],"",0)</f>
        <v>#NAME?</v>
      </c>
      <c r="S49" s="138" t="e">
        <f>SUMIF([2]!DISPONIBILIDADES_2024[[#All],[consecutivo]],Contrato5[[#This Row],[CDP]],[2]!DISPONIBILIDADES_2024[[#All],[valor_total_rubro]])</f>
        <v>#REF!</v>
      </c>
      <c r="T49" s="139" t="e" cm="1">
        <f t="array" aca="1" ref="T49" ca="1">_xlfn.XLOOKUP(Contrato5[[#This Row],[CONTRATO]]&amp;Contrato5[[#This Row],[CDP]],[2]!Corr_Contr_CDP[[#All],[CONTRATO-CDP]],[2]!Corr_Contr_CDP[[#All],[CRP]],_xlfn.XLOOKUP(Contrato5[[#This Row],[CDP]],[2]!COMPROMISOS_2024[[#All],[disponibilidad]],[2]!COMPROMISOS_2024[[#All],[consecutivo]],"",0),0)</f>
        <v>#NAME?</v>
      </c>
      <c r="U49" s="140" t="e" cm="1">
        <f t="array" aca="1" ref="U49" ca="1">+_xlfn.XLOOKUP(Contrato5[[#This Row],[RCP]],[2]!COMPROMISOS_2024[[#All],[consecutivo]],[2]!COMPROMISOS_2024[[#All],[fecha_aprobacion]],"",0)</f>
        <v>#NAME?</v>
      </c>
      <c r="V49" s="141" t="e">
        <f ca="1">SUMIF([2]!COMPROMISOS_2024[[#All],[consecutivo]],Contrato5[[#This Row],[RCP]],[2]!COMPROMISOS_2024[[#All],[valor_total]])</f>
        <v>#REF!</v>
      </c>
      <c r="W49" s="415">
        <v>45317</v>
      </c>
      <c r="X49" s="415">
        <v>45317</v>
      </c>
      <c r="Y49" s="143">
        <v>45317</v>
      </c>
      <c r="Z49" s="262">
        <v>45407</v>
      </c>
      <c r="AA49" s="171" t="s">
        <v>614</v>
      </c>
      <c r="AB49" s="161" t="s">
        <v>529</v>
      </c>
      <c r="AC49" s="209"/>
      <c r="AD49" s="210">
        <v>202000003496</v>
      </c>
      <c r="AE49" s="147" t="s">
        <v>523</v>
      </c>
      <c r="AF49" s="148" t="str">
        <f>TEXT(LEFT(Contrato5[[#This Row],[CONTRATO]],3),"0")</f>
        <v>26</v>
      </c>
      <c r="AG49" s="148" t="str">
        <f>IF(LEN(Contrato5[[#This Row],[Contrato2]])=3,Contrato5[[#This Row],[Contrato2]],TEXT(Contrato5[[#This Row],[Contrato2]],"000"))</f>
        <v>026</v>
      </c>
      <c r="AH49" s="149">
        <f ca="1">IFERROR(_xlfn.DAYS(Contrato5[[#This Row],[Fecha Proyectada liquidación]],TODAY())/30,"")</f>
        <v>-7.7</v>
      </c>
      <c r="AI49" s="150">
        <f>+Contrato5[[#This Row],[FECHA TERMINACIÓN ]]+120</f>
        <v>45527</v>
      </c>
      <c r="AK49" s="152" t="str">
        <f ca="1">IF(Contrato5[[#This Row],[FECHA TERMINACIÓN ]]&lt;TODAY(), "Terminado",IF(ISNUMBER(Contrato5[[#This Row],[Fecha Real de liquiidación ]]),"Liquidado",IF(Contrato5[[#This Row],[FECHA TERMINACIÓN ]]&gt;=TODAY(),"En ejecución","")))</f>
        <v>Terminado</v>
      </c>
      <c r="AL49" s="153" t="e">
        <f ca="1">SUMIF([2]!COMPROMISOS_2024[[#All],[consecutivo]],Contrato5[[#This Row],[RCP]],[2]!COMPROMISOS_2024[[#All],[Total pagado]])</f>
        <v>#REF!</v>
      </c>
      <c r="AM49" s="154">
        <f ca="1">IFERROR(Contrato5[[#This Row],[Pagos]]/Contrato5[[#This Row],[VALOR CONTRATO]],0)</f>
        <v>0</v>
      </c>
      <c r="AN49" s="175" t="e">
        <f ca="1">+Contrato5[[#This Row],[VALOR CONTRATO]]-Contrato5[[#This Row],[Pagos]]</f>
        <v>#REF!</v>
      </c>
      <c r="AO49" s="151" t="e" cm="1">
        <f t="array" aca="1" ref="AO49" ca="1">_xlfn.XLOOKUP(Contrato5[[#This Row],[DOCUMENTO ]],[2]!PERSONAL_ACTIVO_2024[[#All],[Documento identidad]],[2]!PERSONAL_ACTIVO_2024[[#All],[Mail ]],0,0)</f>
        <v>#NAME?</v>
      </c>
      <c r="AP49" s="151" t="e" cm="1">
        <f t="array" aca="1" ref="AP49" ca="1">_xlfn.XLOOKUP(Contrato5[[#This Row],[DOCUMENTO]],[2]!PERSONAL_ACTIVO_2024[[#All],[Documento identidad]],[2]!PERSONAL_ACTIVO_2024[[#All],[Mail ]],0,0)</f>
        <v>#NAME?</v>
      </c>
      <c r="AQ49" s="151" cm="1">
        <f t="array" aca="1" ref="AQ49" ca="1">IF(ISBLANK(Contrato5[[#This Row],[DEPENDENCIA ]]),0,IFERROR(_xlfn.XLOOKUP(Contrato5[[#This Row],[DEPENDENCIA ]],[2]!PERSONAL_ACTIVO_2024[[#All],[Dependencia]],[2]!PERSONAL_ACTIVO_2024[[#All],[Mail ]],0,0),0))</f>
        <v>0</v>
      </c>
    </row>
    <row r="50" spans="1:43" ht="34.5" customHeight="1">
      <c r="A50" s="125">
        <v>635</v>
      </c>
      <c r="B50" s="124">
        <v>26</v>
      </c>
      <c r="C50" s="162" t="s">
        <v>2503</v>
      </c>
      <c r="D50" s="126" t="s">
        <v>602</v>
      </c>
      <c r="E50" s="128" t="s">
        <v>78</v>
      </c>
      <c r="F50" s="163" t="s">
        <v>1376</v>
      </c>
      <c r="G50" s="190" t="s">
        <v>612</v>
      </c>
      <c r="H50" s="447">
        <v>15534920</v>
      </c>
      <c r="I50" s="455">
        <v>6879081</v>
      </c>
      <c r="J50" s="456">
        <v>10318622</v>
      </c>
      <c r="K50" s="202" t="s">
        <v>607</v>
      </c>
      <c r="L50" s="438" t="s">
        <v>608</v>
      </c>
      <c r="M50" s="194" t="s">
        <v>613</v>
      </c>
      <c r="N50" s="195" t="e" cm="1">
        <f t="array" aca="1" ref="N50" ca="1">_xlfn.XLOOKUP(Contrato5[[#This Row],[SUPERVISOR TITULAR]],[2]!PERSONAL_ACTIVO_2024[[#All],[Nombre completo]],[2]!PERSONAL_ACTIVO_2024[[#All],[Documento identidad]],"",0)</f>
        <v>#NAME?</v>
      </c>
      <c r="O50" s="194" t="s">
        <v>605</v>
      </c>
      <c r="P50" s="135" t="e" cm="1">
        <f t="array" aca="1" ref="P50" ca="1">_xlfn.XLOOKUP(Contrato5[[#This Row],[SUPERVISOR SUPLENTE ]],[2]!PERSONAL_ACTIVO_2024[[#All],[Nombre completo]],[2]!PERSONAL_ACTIVO_2024[[#All],[Documento identidad]],"",0)</f>
        <v>#NAME?</v>
      </c>
      <c r="Q50" s="170">
        <v>399</v>
      </c>
      <c r="R50" s="137" t="e" cm="1">
        <f t="array" aca="1" ref="R50" ca="1">_xlfn.XLOOKUP(Contrato5[[#This Row],[CDP]],[2]!DISPONIBILIDADES_2024[[#All],[consecutivo]],[2]!DISPONIBILIDADES_2024[[#All],[fecha_aprobacion]],"",0)</f>
        <v>#NAME?</v>
      </c>
      <c r="S50" s="138" t="e">
        <f>SUMIF([2]!DISPONIBILIDADES_2024[[#All],[consecutivo]],Contrato5[[#This Row],[CDP]],[2]!DISPONIBILIDADES_2024[[#All],[valor_total_rubro]])</f>
        <v>#REF!</v>
      </c>
      <c r="T50" s="139" t="e" cm="1">
        <f t="array" aca="1" ref="T50" ca="1">_xlfn.XLOOKUP(Contrato5[[#This Row],[CONTRATO]]&amp;Contrato5[[#This Row],[CDP]],[2]!Corr_Contr_CDP[[#All],[CONTRATO-CDP]],[2]!Corr_Contr_CDP[[#All],[CRP]],_xlfn.XLOOKUP(Contrato5[[#This Row],[CDP]],[2]!COMPROMISOS_2024[[#All],[disponibilidad]],[2]!COMPROMISOS_2024[[#All],[consecutivo]],"",0),0)</f>
        <v>#NAME?</v>
      </c>
      <c r="U50" s="140" t="e" cm="1">
        <f t="array" aca="1" ref="U50" ca="1">+_xlfn.XLOOKUP(Contrato5[[#This Row],[RCP]],[2]!COMPROMISOS_2024[[#All],[consecutivo]],[2]!COMPROMISOS_2024[[#All],[fecha_aprobacion]],"",0)</f>
        <v>#NAME?</v>
      </c>
      <c r="V50" s="141" t="e">
        <f ca="1">SUMIF([2]!COMPROMISOS_2024[[#All],[consecutivo]],Contrato5[[#This Row],[RCP]],[2]!COMPROMISOS_2024[[#All],[valor_total]])</f>
        <v>#REF!</v>
      </c>
      <c r="W50" s="415">
        <v>45400</v>
      </c>
      <c r="X50" s="415">
        <v>45404</v>
      </c>
      <c r="Y50" s="143">
        <v>45408</v>
      </c>
      <c r="Z50" s="262">
        <v>45453</v>
      </c>
      <c r="AA50" s="183" t="s">
        <v>614</v>
      </c>
      <c r="AB50" s="161" t="s">
        <v>2500</v>
      </c>
      <c r="AC50" s="187"/>
      <c r="AD50" s="211"/>
      <c r="AE50" s="147"/>
      <c r="AF50" s="148" t="str">
        <f>TEXT(LEFT(Contrato5[[#This Row],[CONTRATO]],3),"0")</f>
        <v>26</v>
      </c>
      <c r="AG50" s="148" t="str">
        <f>IF(LEN(Contrato5[[#This Row],[Contrato2]])=3,Contrato5[[#This Row],[Contrato2]],TEXT(Contrato5[[#This Row],[Contrato2]],"000"))</f>
        <v>026</v>
      </c>
      <c r="AH50" s="149">
        <f ca="1">IFERROR(_xlfn.DAYS(Contrato5[[#This Row],[Fecha Proyectada liquidación]],TODAY())/30,"")</f>
        <v>-6.166666666666667</v>
      </c>
      <c r="AI50" s="150">
        <f>+Contrato5[[#This Row],[FECHA TERMINACIÓN ]]+120</f>
        <v>45573</v>
      </c>
      <c r="AK50" s="152" t="str">
        <f ca="1">IF(Contrato5[[#This Row],[FECHA TERMINACIÓN ]]&lt;TODAY(), "Terminado",IF(ISNUMBER(Contrato5[[#This Row],[Fecha Real de liquiidación ]]),"Liquidado",IF(Contrato5[[#This Row],[FECHA TERMINACIÓN ]]&gt;=TODAY(),"En ejecución","")))</f>
        <v>Terminado</v>
      </c>
      <c r="AL50" s="153" t="e">
        <f ca="1">SUMIF([2]!COMPROMISOS_2024[[#All],[consecutivo]],Contrato5[[#This Row],[RCP]],[2]!COMPROMISOS_2024[[#All],[Total pagado]])</f>
        <v>#REF!</v>
      </c>
      <c r="AM50" s="154">
        <f ca="1">IFERROR(Contrato5[[#This Row],[Pagos]]/Contrato5[[#This Row],[VALOR CONTRATO]],0)</f>
        <v>0</v>
      </c>
      <c r="AN50" s="175" t="e">
        <f ca="1">+Contrato5[[#This Row],[VALOR CONTRATO]]-Contrato5[[#This Row],[Pagos]]</f>
        <v>#REF!</v>
      </c>
      <c r="AO50" s="151" t="e" cm="1">
        <f t="array" aca="1" ref="AO50" ca="1">_xlfn.XLOOKUP(Contrato5[[#This Row],[DOCUMENTO ]],[2]!PERSONAL_ACTIVO_2024[[#All],[Documento identidad]],[2]!PERSONAL_ACTIVO_2024[[#All],[Mail ]],0,0)</f>
        <v>#NAME?</v>
      </c>
      <c r="AP50" s="151" t="e" cm="1">
        <f t="array" aca="1" ref="AP50" ca="1">_xlfn.XLOOKUP(Contrato5[[#This Row],[DOCUMENTO]],[2]!PERSONAL_ACTIVO_2024[[#All],[Documento identidad]],[2]!PERSONAL_ACTIVO_2024[[#All],[Mail ]],0,0)</f>
        <v>#NAME?</v>
      </c>
      <c r="AQ50" s="151" cm="1">
        <f t="array" aca="1" ref="AQ50" ca="1">IF(ISBLANK(Contrato5[[#This Row],[DEPENDENCIA ]]),0,IFERROR(_xlfn.XLOOKUP(Contrato5[[#This Row],[DEPENDENCIA ]],[2]!PERSONAL_ACTIVO_2024[[#All],[Dependencia]],[2]!PERSONAL_ACTIVO_2024[[#All],[Mail ]],0,0),0))</f>
        <v>0</v>
      </c>
    </row>
    <row r="51" spans="1:43" ht="34.5" customHeight="1">
      <c r="A51" s="125">
        <v>53</v>
      </c>
      <c r="B51" s="124">
        <v>27</v>
      </c>
      <c r="C51" s="162" t="s">
        <v>1475</v>
      </c>
      <c r="D51" s="227" t="s">
        <v>556</v>
      </c>
      <c r="E51" s="172" t="s">
        <v>94</v>
      </c>
      <c r="F51" s="163" t="s">
        <v>494</v>
      </c>
      <c r="G51" s="190" t="s">
        <v>615</v>
      </c>
      <c r="H51" s="447">
        <v>800167494</v>
      </c>
      <c r="I51" s="455" t="s">
        <v>42</v>
      </c>
      <c r="J51" s="456">
        <v>143188561</v>
      </c>
      <c r="K51" s="212" t="s">
        <v>42</v>
      </c>
      <c r="L51" s="438" t="s">
        <v>616</v>
      </c>
      <c r="M51" s="194" t="s">
        <v>2504</v>
      </c>
      <c r="N51" s="177" t="e" cm="1">
        <f t="array" aca="1" ref="N51" ca="1">_xlfn.XLOOKUP(Contrato5[[#This Row],[SUPERVISOR TITULAR]],[2]!PERSONAL_ACTIVO_2024[[#All],[Nombre completo]],[2]!PERSONAL_ACTIVO_2024[[#All],[Documento identidad]],"",0)</f>
        <v>#NAME?</v>
      </c>
      <c r="O51" s="194" t="s">
        <v>560</v>
      </c>
      <c r="P51" s="196" t="e" cm="1">
        <f t="array" aca="1" ref="P51" ca="1">_xlfn.XLOOKUP(Contrato5[[#This Row],[SUPERVISOR SUPLENTE ]],[2]!PERSONAL_ACTIVO_2024[[#All],[Nombre completo]],[2]!PERSONAL_ACTIVO_2024[[#All],[Documento identidad]],"",0)</f>
        <v>#NAME?</v>
      </c>
      <c r="Q51" s="208">
        <v>36</v>
      </c>
      <c r="R51" s="137" t="e" cm="1">
        <f t="array" aca="1" ref="R51" ca="1">_xlfn.XLOOKUP(Contrato5[[#This Row],[CDP]],[2]!DISPONIBILIDADES_2024[[#All],[consecutivo]],[2]!DISPONIBILIDADES_2024[[#All],[fecha_aprobacion]],"",0)</f>
        <v>#NAME?</v>
      </c>
      <c r="S51" s="138" t="e">
        <f>SUMIF([2]!DISPONIBILIDADES_2024[[#All],[consecutivo]],Contrato5[[#This Row],[CDP]],[2]!DISPONIBILIDADES_2024[[#All],[valor_total_rubro]])</f>
        <v>#REF!</v>
      </c>
      <c r="T51" s="139" t="e" cm="1">
        <f t="array" aca="1" ref="T51" ca="1">_xlfn.XLOOKUP(Contrato5[[#This Row],[CONTRATO]]&amp;Contrato5[[#This Row],[CDP]],[2]!Corr_Contr_CDP[[#All],[CONTRATO-CDP]],[2]!Corr_Contr_CDP[[#All],[CRP]],_xlfn.XLOOKUP(Contrato5[[#This Row],[CDP]],[2]!COMPROMISOS_2024[[#All],[disponibilidad]],[2]!COMPROMISOS_2024[[#All],[consecutivo]],"",0),0)</f>
        <v>#NAME?</v>
      </c>
      <c r="U51" s="140" t="e" cm="1">
        <f t="array" aca="1" ref="U51" ca="1">+_xlfn.XLOOKUP(Contrato5[[#This Row],[RCP]],[2]!COMPROMISOS_2024[[#All],[consecutivo]],[2]!COMPROMISOS_2024[[#All],[fecha_aprobacion]],"",0)</f>
        <v>#NAME?</v>
      </c>
      <c r="V51" s="141" t="e">
        <f ca="1">SUMIF([2]!COMPROMISOS_2024[[#All],[consecutivo]],Contrato5[[#This Row],[RCP]],[2]!COMPROMISOS_2024[[#All],[valor_total]])</f>
        <v>#REF!</v>
      </c>
      <c r="W51" s="415">
        <v>45323</v>
      </c>
      <c r="X51" s="415">
        <v>45323</v>
      </c>
      <c r="Y51" s="143">
        <v>45323</v>
      </c>
      <c r="Z51" s="262">
        <v>45535</v>
      </c>
      <c r="AA51" s="213" t="s">
        <v>617</v>
      </c>
      <c r="AB51" s="161" t="s">
        <v>618</v>
      </c>
      <c r="AC51" s="209"/>
      <c r="AD51" s="214">
        <v>202000003497</v>
      </c>
      <c r="AE51" s="147" t="s">
        <v>523</v>
      </c>
      <c r="AF51" s="148" t="str">
        <f>TEXT(LEFT(Contrato5[[#This Row],[CONTRATO]],3),"0")</f>
        <v>27</v>
      </c>
      <c r="AG51" s="148" t="str">
        <f>IF(LEN(Contrato5[[#This Row],[Contrato2]])=3,Contrato5[[#This Row],[Contrato2]],TEXT(Contrato5[[#This Row],[Contrato2]],"000"))</f>
        <v>027</v>
      </c>
      <c r="AH51" s="149">
        <f ca="1">IFERROR(_xlfn.DAYS(Contrato5[[#This Row],[Fecha Proyectada liquidación]],TODAY())/30,"")</f>
        <v>-3.4333333333333331</v>
      </c>
      <c r="AI51" s="150">
        <f>+Contrato5[[#This Row],[FECHA TERMINACIÓN ]]+120</f>
        <v>45655</v>
      </c>
      <c r="AK51" s="152" t="str">
        <f ca="1">IF(Contrato5[[#This Row],[FECHA TERMINACIÓN ]]&lt;TODAY(), "Terminado",IF(ISNUMBER(Contrato5[[#This Row],[Fecha Real de liquiidación ]]),"Liquidado",IF(Contrato5[[#This Row],[FECHA TERMINACIÓN ]]&gt;=TODAY(),"En ejecución","")))</f>
        <v>Terminado</v>
      </c>
      <c r="AL51" s="153" t="e">
        <f ca="1">SUMIF([2]!COMPROMISOS_2024[[#All],[consecutivo]],Contrato5[[#This Row],[RCP]],[2]!COMPROMISOS_2024[[#All],[Total pagado]])</f>
        <v>#REF!</v>
      </c>
      <c r="AM51" s="154">
        <f ca="1">IFERROR(Contrato5[[#This Row],[Pagos]]/Contrato5[[#This Row],[VALOR CONTRATO]],0)</f>
        <v>0</v>
      </c>
      <c r="AN51" s="175" t="e">
        <f ca="1">+Contrato5[[#This Row],[VALOR CONTRATO]]-Contrato5[[#This Row],[Pagos]]</f>
        <v>#REF!</v>
      </c>
      <c r="AO51" s="151" t="e" cm="1">
        <f t="array" aca="1" ref="AO51" ca="1">_xlfn.XLOOKUP(Contrato5[[#This Row],[DOCUMENTO ]],[2]!PERSONAL_ACTIVO_2024[[#All],[Documento identidad]],[2]!PERSONAL_ACTIVO_2024[[#All],[Mail ]],0,0)</f>
        <v>#NAME?</v>
      </c>
      <c r="AP51" s="151" t="e" cm="1">
        <f t="array" aca="1" ref="AP51" ca="1">_xlfn.XLOOKUP(Contrato5[[#This Row],[DOCUMENTO]],[2]!PERSONAL_ACTIVO_2024[[#All],[Documento identidad]],[2]!PERSONAL_ACTIVO_2024[[#All],[Mail ]],0,0)</f>
        <v>#NAME?</v>
      </c>
      <c r="AQ51" s="151" cm="1">
        <f t="array" aca="1" ref="AQ51" ca="1">IF(ISBLANK(Contrato5[[#This Row],[DEPENDENCIA ]]),0,IFERROR(_xlfn.XLOOKUP(Contrato5[[#This Row],[DEPENDENCIA ]],[2]!PERSONAL_ACTIVO_2024[[#All],[Dependencia]],[2]!PERSONAL_ACTIVO_2024[[#All],[Mail ]],0,0),0))</f>
        <v>0</v>
      </c>
    </row>
    <row r="52" spans="1:43" ht="34.5" customHeight="1">
      <c r="A52" s="125">
        <v>69</v>
      </c>
      <c r="B52" s="124">
        <v>28</v>
      </c>
      <c r="C52" s="162" t="s">
        <v>2505</v>
      </c>
      <c r="D52" s="126" t="s">
        <v>602</v>
      </c>
      <c r="E52" s="172" t="s">
        <v>94</v>
      </c>
      <c r="F52" s="163" t="s">
        <v>1376</v>
      </c>
      <c r="G52" s="190" t="s">
        <v>619</v>
      </c>
      <c r="H52" s="447">
        <v>39424784</v>
      </c>
      <c r="I52" s="455">
        <v>4191468</v>
      </c>
      <c r="J52" s="456">
        <v>12574404</v>
      </c>
      <c r="K52" s="166" t="s">
        <v>42</v>
      </c>
      <c r="L52" s="438" t="s">
        <v>42</v>
      </c>
      <c r="M52" s="194" t="s">
        <v>605</v>
      </c>
      <c r="N52" s="177" t="e" cm="1">
        <f t="array" aca="1" ref="N52" ca="1">_xlfn.XLOOKUP(Contrato5[[#This Row],[SUPERVISOR TITULAR]],[2]!PERSONAL_ACTIVO_2024[[#All],[Nombre completo]],[2]!PERSONAL_ACTIVO_2024[[#All],[Documento identidad]],"",0)</f>
        <v>#NAME?</v>
      </c>
      <c r="O52" s="194" t="s">
        <v>604</v>
      </c>
      <c r="P52" s="196" t="e" cm="1">
        <f t="array" aca="1" ref="P52" ca="1">_xlfn.XLOOKUP(Contrato5[[#This Row],[SUPERVISOR SUPLENTE ]],[2]!PERSONAL_ACTIVO_2024[[#All],[Nombre completo]],[2]!PERSONAL_ACTIVO_2024[[#All],[Documento identidad]],"",0)</f>
        <v>#NAME?</v>
      </c>
      <c r="Q52" s="208">
        <v>30</v>
      </c>
      <c r="R52" s="137" t="e" cm="1">
        <f t="array" aca="1" ref="R52" ca="1">_xlfn.XLOOKUP(Contrato5[[#This Row],[CDP]],[2]!DISPONIBILIDADES_2024[[#All],[consecutivo]],[2]!DISPONIBILIDADES_2024[[#All],[fecha_aprobacion]],"",0)</f>
        <v>#NAME?</v>
      </c>
      <c r="S52" s="138" t="e">
        <f>SUMIF([2]!DISPONIBILIDADES_2024[[#All],[consecutivo]],Contrato5[[#This Row],[CDP]],[2]!DISPONIBILIDADES_2024[[#All],[valor_total_rubro]])</f>
        <v>#REF!</v>
      </c>
      <c r="T52" s="139" t="e" cm="1">
        <f t="array" aca="1" ref="T52" ca="1">_xlfn.XLOOKUP(Contrato5[[#This Row],[CONTRATO]]&amp;Contrato5[[#This Row],[CDP]],[2]!Corr_Contr_CDP[[#All],[CONTRATO-CDP]],[2]!Corr_Contr_CDP[[#All],[CRP]],_xlfn.XLOOKUP(Contrato5[[#This Row],[CDP]],[2]!COMPROMISOS_2024[[#All],[disponibilidad]],[2]!COMPROMISOS_2024[[#All],[consecutivo]],"",0),0)</f>
        <v>#NAME?</v>
      </c>
      <c r="U52" s="140" t="e" cm="1">
        <f t="array" aca="1" ref="U52" ca="1">+_xlfn.XLOOKUP(Contrato5[[#This Row],[RCP]],[2]!COMPROMISOS_2024[[#All],[consecutivo]],[2]!COMPROMISOS_2024[[#All],[fecha_aprobacion]],"",0)</f>
        <v>#NAME?</v>
      </c>
      <c r="V52" s="141" t="e">
        <f ca="1">SUMIF([2]!COMPROMISOS_2024[[#All],[consecutivo]],Contrato5[[#This Row],[RCP]],[2]!COMPROMISOS_2024[[#All],[valor_total]])</f>
        <v>#REF!</v>
      </c>
      <c r="W52" s="415">
        <v>45323</v>
      </c>
      <c r="X52" s="415">
        <v>45323</v>
      </c>
      <c r="Y52" s="143">
        <v>45323</v>
      </c>
      <c r="Z52" s="262">
        <v>45412</v>
      </c>
      <c r="AA52" s="213" t="s">
        <v>620</v>
      </c>
      <c r="AB52" s="161" t="s">
        <v>529</v>
      </c>
      <c r="AC52" s="209"/>
      <c r="AD52" s="214">
        <v>202000003498</v>
      </c>
      <c r="AE52" s="147" t="s">
        <v>523</v>
      </c>
      <c r="AF52" s="148" t="str">
        <f>TEXT(LEFT(Contrato5[[#This Row],[CONTRATO]],3),"0")</f>
        <v>28</v>
      </c>
      <c r="AG52" s="148" t="str">
        <f>IF(LEN(Contrato5[[#This Row],[Contrato2]])=3,Contrato5[[#This Row],[Contrato2]],TEXT(Contrato5[[#This Row],[Contrato2]],"000"))</f>
        <v>028</v>
      </c>
      <c r="AH52" s="149">
        <f ca="1">IFERROR(_xlfn.DAYS(Contrato5[[#This Row],[Fecha Proyectada liquidación]],TODAY())/30,"")</f>
        <v>-7.5333333333333332</v>
      </c>
      <c r="AI52" s="150">
        <f>+Contrato5[[#This Row],[FECHA TERMINACIÓN ]]+120</f>
        <v>45532</v>
      </c>
      <c r="AK52" s="152" t="str">
        <f ca="1">IF(Contrato5[[#This Row],[FECHA TERMINACIÓN ]]&lt;TODAY(), "Terminado",IF(ISNUMBER(Contrato5[[#This Row],[Fecha Real de liquiidación ]]),"Liquidado",IF(Contrato5[[#This Row],[FECHA TERMINACIÓN ]]&gt;=TODAY(),"En ejecución","")))</f>
        <v>Terminado</v>
      </c>
      <c r="AL52" s="153" t="e">
        <f ca="1">SUMIF([2]!COMPROMISOS_2024[[#All],[consecutivo]],Contrato5[[#This Row],[RCP]],[2]!COMPROMISOS_2024[[#All],[Total pagado]])</f>
        <v>#REF!</v>
      </c>
      <c r="AM52" s="154">
        <f ca="1">IFERROR(Contrato5[[#This Row],[Pagos]]/Contrato5[[#This Row],[VALOR CONTRATO]],0)</f>
        <v>0</v>
      </c>
      <c r="AN52" s="175" t="e">
        <f ca="1">+Contrato5[[#This Row],[VALOR CONTRATO]]-Contrato5[[#This Row],[Pagos]]</f>
        <v>#REF!</v>
      </c>
      <c r="AO52" s="151" t="e" cm="1">
        <f t="array" aca="1" ref="AO52" ca="1">_xlfn.XLOOKUP(Contrato5[[#This Row],[DOCUMENTO ]],[2]!PERSONAL_ACTIVO_2024[[#All],[Documento identidad]],[2]!PERSONAL_ACTIVO_2024[[#All],[Mail ]],0,0)</f>
        <v>#NAME?</v>
      </c>
      <c r="AP52" s="151" t="e" cm="1">
        <f t="array" aca="1" ref="AP52" ca="1">_xlfn.XLOOKUP(Contrato5[[#This Row],[DOCUMENTO]],[2]!PERSONAL_ACTIVO_2024[[#All],[Documento identidad]],[2]!PERSONAL_ACTIVO_2024[[#All],[Mail ]],0,0)</f>
        <v>#NAME?</v>
      </c>
      <c r="AQ52" s="151" cm="1">
        <f t="array" aca="1" ref="AQ52" ca="1">IF(ISBLANK(Contrato5[[#This Row],[DEPENDENCIA ]]),0,IFERROR(_xlfn.XLOOKUP(Contrato5[[#This Row],[DEPENDENCIA ]],[2]!PERSONAL_ACTIVO_2024[[#All],[Dependencia]],[2]!PERSONAL_ACTIVO_2024[[#All],[Mail ]],0,0),0))</f>
        <v>0</v>
      </c>
    </row>
    <row r="53" spans="1:43" ht="34.5" customHeight="1">
      <c r="A53" s="125">
        <v>638</v>
      </c>
      <c r="B53" s="124">
        <v>28</v>
      </c>
      <c r="C53" s="162" t="s">
        <v>2505</v>
      </c>
      <c r="D53" s="126" t="s">
        <v>602</v>
      </c>
      <c r="E53" s="128" t="s">
        <v>78</v>
      </c>
      <c r="F53" s="163" t="s">
        <v>1376</v>
      </c>
      <c r="G53" s="190" t="s">
        <v>619</v>
      </c>
      <c r="H53" s="447">
        <v>39424784</v>
      </c>
      <c r="I53" s="455">
        <v>4191468</v>
      </c>
      <c r="J53" s="456">
        <v>6287202</v>
      </c>
      <c r="K53" s="202" t="s">
        <v>607</v>
      </c>
      <c r="L53" s="438" t="s">
        <v>608</v>
      </c>
      <c r="M53" s="194" t="s">
        <v>605</v>
      </c>
      <c r="N53" s="195" t="e" cm="1">
        <f t="array" aca="1" ref="N53" ca="1">_xlfn.XLOOKUP(Contrato5[[#This Row],[SUPERVISOR TITULAR]],[2]!PERSONAL_ACTIVO_2024[[#All],[Nombre completo]],[2]!PERSONAL_ACTIVO_2024[[#All],[Documento identidad]],"",0)</f>
        <v>#NAME?</v>
      </c>
      <c r="O53" s="194" t="s">
        <v>559</v>
      </c>
      <c r="P53" s="135" t="e" cm="1">
        <f t="array" aca="1" ref="P53" ca="1">_xlfn.XLOOKUP(Contrato5[[#This Row],[SUPERVISOR SUPLENTE ]],[2]!PERSONAL_ACTIVO_2024[[#All],[Nombre completo]],[2]!PERSONAL_ACTIVO_2024[[#All],[Documento identidad]],"",0)</f>
        <v>#NAME?</v>
      </c>
      <c r="Q53" s="170">
        <v>396</v>
      </c>
      <c r="R53" s="137" t="e" cm="1">
        <f t="array" aca="1" ref="R53" ca="1">_xlfn.XLOOKUP(Contrato5[[#This Row],[CDP]],[2]!DISPONIBILIDADES_2024[[#All],[consecutivo]],[2]!DISPONIBILIDADES_2024[[#All],[fecha_aprobacion]],"",0)</f>
        <v>#NAME?</v>
      </c>
      <c r="S53" s="138" t="e">
        <f>SUMIF([2]!DISPONIBILIDADES_2024[[#All],[consecutivo]],Contrato5[[#This Row],[CDP]],[2]!DISPONIBILIDADES_2024[[#All],[valor_total_rubro]])</f>
        <v>#REF!</v>
      </c>
      <c r="T53" s="139" t="e" cm="1">
        <f t="array" aca="1" ref="T53" ca="1">_xlfn.XLOOKUP(Contrato5[[#This Row],[CONTRATO]]&amp;Contrato5[[#This Row],[CDP]],[2]!Corr_Contr_CDP[[#All],[CONTRATO-CDP]],[2]!Corr_Contr_CDP[[#All],[CRP]],_xlfn.XLOOKUP(Contrato5[[#This Row],[CDP]],[2]!COMPROMISOS_2024[[#All],[disponibilidad]],[2]!COMPROMISOS_2024[[#All],[consecutivo]],"",0),0)</f>
        <v>#NAME?</v>
      </c>
      <c r="U53" s="140" t="e" cm="1">
        <f t="array" aca="1" ref="U53" ca="1">+_xlfn.XLOOKUP(Contrato5[[#This Row],[RCP]],[2]!COMPROMISOS_2024[[#All],[consecutivo]],[2]!COMPROMISOS_2024[[#All],[fecha_aprobacion]],"",0)</f>
        <v>#NAME?</v>
      </c>
      <c r="V53" s="141" t="e">
        <f ca="1">SUMIF([2]!COMPROMISOS_2024[[#All],[consecutivo]],Contrato5[[#This Row],[RCP]],[2]!COMPROMISOS_2024[[#All],[valor_total]])</f>
        <v>#REF!</v>
      </c>
      <c r="W53" s="415">
        <v>45401</v>
      </c>
      <c r="X53" s="415">
        <v>45405</v>
      </c>
      <c r="Y53" s="143">
        <v>45413</v>
      </c>
      <c r="Z53" s="262">
        <v>45458</v>
      </c>
      <c r="AA53" s="183" t="s">
        <v>2506</v>
      </c>
      <c r="AB53" s="161" t="s">
        <v>2500</v>
      </c>
      <c r="AC53" s="187"/>
      <c r="AD53" s="211"/>
      <c r="AE53" s="147"/>
      <c r="AF53" s="148" t="str">
        <f>TEXT(LEFT(Contrato5[[#This Row],[CONTRATO]],3),"0")</f>
        <v>28</v>
      </c>
      <c r="AG53" s="148" t="str">
        <f>IF(LEN(Contrato5[[#This Row],[Contrato2]])=3,Contrato5[[#This Row],[Contrato2]],TEXT(Contrato5[[#This Row],[Contrato2]],"000"))</f>
        <v>028</v>
      </c>
      <c r="AH53" s="149">
        <f ca="1">IFERROR(_xlfn.DAYS(Contrato5[[#This Row],[Fecha Proyectada liquidación]],TODAY())/30,"")</f>
        <v>-6</v>
      </c>
      <c r="AI53" s="150">
        <f>+Contrato5[[#This Row],[FECHA TERMINACIÓN ]]+120</f>
        <v>45578</v>
      </c>
      <c r="AK53" s="152" t="str">
        <f ca="1">IF(Contrato5[[#This Row],[FECHA TERMINACIÓN ]]&lt;TODAY(), "Terminado",IF(ISNUMBER(Contrato5[[#This Row],[Fecha Real de liquiidación ]]),"Liquidado",IF(Contrato5[[#This Row],[FECHA TERMINACIÓN ]]&gt;=TODAY(),"En ejecución","")))</f>
        <v>Terminado</v>
      </c>
      <c r="AL53" s="153" t="e">
        <f ca="1">SUMIF([2]!COMPROMISOS_2024[[#All],[consecutivo]],Contrato5[[#This Row],[RCP]],[2]!COMPROMISOS_2024[[#All],[Total pagado]])</f>
        <v>#REF!</v>
      </c>
      <c r="AM53" s="154">
        <f ca="1">IFERROR(Contrato5[[#This Row],[Pagos]]/Contrato5[[#This Row],[VALOR CONTRATO]],0)</f>
        <v>0</v>
      </c>
      <c r="AN53" s="175" t="e">
        <f ca="1">+Contrato5[[#This Row],[VALOR CONTRATO]]-Contrato5[[#This Row],[Pagos]]</f>
        <v>#REF!</v>
      </c>
      <c r="AO53" s="151" t="e" cm="1">
        <f t="array" aca="1" ref="AO53" ca="1">_xlfn.XLOOKUP(Contrato5[[#This Row],[DOCUMENTO ]],[2]!PERSONAL_ACTIVO_2024[[#All],[Documento identidad]],[2]!PERSONAL_ACTIVO_2024[[#All],[Mail ]],0,0)</f>
        <v>#NAME?</v>
      </c>
      <c r="AP53" s="151" t="e" cm="1">
        <f t="array" aca="1" ref="AP53" ca="1">_xlfn.XLOOKUP(Contrato5[[#This Row],[DOCUMENTO]],[2]!PERSONAL_ACTIVO_2024[[#All],[Documento identidad]],[2]!PERSONAL_ACTIVO_2024[[#All],[Mail ]],0,0)</f>
        <v>#NAME?</v>
      </c>
      <c r="AQ53" s="151" cm="1">
        <f t="array" aca="1" ref="AQ53" ca="1">IF(ISBLANK(Contrato5[[#This Row],[DEPENDENCIA ]]),0,IFERROR(_xlfn.XLOOKUP(Contrato5[[#This Row],[DEPENDENCIA ]],[2]!PERSONAL_ACTIVO_2024[[#All],[Dependencia]],[2]!PERSONAL_ACTIVO_2024[[#All],[Mail ]],0,0),0))</f>
        <v>0</v>
      </c>
    </row>
    <row r="54" spans="1:43" ht="34.5" customHeight="1">
      <c r="A54" s="125">
        <v>500</v>
      </c>
      <c r="B54" s="124">
        <v>29</v>
      </c>
      <c r="C54" s="162" t="s">
        <v>2507</v>
      </c>
      <c r="D54" s="457" t="s">
        <v>493</v>
      </c>
      <c r="E54" s="172" t="s">
        <v>94</v>
      </c>
      <c r="F54" s="163" t="s">
        <v>1376</v>
      </c>
      <c r="G54" s="190" t="s">
        <v>621</v>
      </c>
      <c r="H54" s="447">
        <v>1037594705</v>
      </c>
      <c r="I54" s="455">
        <v>3379853</v>
      </c>
      <c r="J54" s="456">
        <v>10139559</v>
      </c>
      <c r="K54" s="166" t="s">
        <v>42</v>
      </c>
      <c r="L54" s="438" t="s">
        <v>42</v>
      </c>
      <c r="M54" s="194" t="s">
        <v>497</v>
      </c>
      <c r="N54" s="177" t="e" cm="1">
        <f t="array" aca="1" ref="N54" ca="1">_xlfn.XLOOKUP(Contrato5[[#This Row],[SUPERVISOR TITULAR]],[2]!PERSONAL_ACTIVO_2024[[#All],[Nombre completo]],[2]!PERSONAL_ACTIVO_2024[[#All],[Documento identidad]],"",0)</f>
        <v>#NAME?</v>
      </c>
      <c r="O54" s="194" t="s">
        <v>498</v>
      </c>
      <c r="P54" s="196" t="e" cm="1">
        <f t="array" aca="1" ref="P54" ca="1">_xlfn.XLOOKUP(Contrato5[[#This Row],[SUPERVISOR SUPLENTE ]],[2]!PERSONAL_ACTIVO_2024[[#All],[Nombre completo]],[2]!PERSONAL_ACTIVO_2024[[#All],[Documento identidad]],"",0)</f>
        <v>#NAME?</v>
      </c>
      <c r="Q54" s="208">
        <v>14</v>
      </c>
      <c r="R54" s="137" t="e" cm="1">
        <f t="array" aca="1" ref="R54" ca="1">_xlfn.XLOOKUP(Contrato5[[#This Row],[CDP]],[2]!DISPONIBILIDADES_2024[[#All],[consecutivo]],[2]!DISPONIBILIDADES_2024[[#All],[fecha_aprobacion]],"",0)</f>
        <v>#NAME?</v>
      </c>
      <c r="S54" s="138" t="e">
        <f>SUMIF([2]!DISPONIBILIDADES_2024[[#All],[consecutivo]],Contrato5[[#This Row],[CDP]],[2]!DISPONIBILIDADES_2024[[#All],[valor_total_rubro]])</f>
        <v>#REF!</v>
      </c>
      <c r="T54" s="139" t="e" cm="1">
        <f t="array" aca="1" ref="T54" ca="1">_xlfn.XLOOKUP(Contrato5[[#This Row],[CONTRATO]]&amp;Contrato5[[#This Row],[CDP]],[2]!Corr_Contr_CDP[[#All],[CONTRATO-CDP]],[2]!Corr_Contr_CDP[[#All],[CRP]],_xlfn.XLOOKUP(Contrato5[[#This Row],[CDP]],[2]!COMPROMISOS_2024[[#All],[disponibilidad]],[2]!COMPROMISOS_2024[[#All],[consecutivo]],"",0),0)</f>
        <v>#NAME?</v>
      </c>
      <c r="U54" s="140" t="e" cm="1">
        <f t="array" aca="1" ref="U54" ca="1">+_xlfn.XLOOKUP(Contrato5[[#This Row],[RCP]],[2]!COMPROMISOS_2024[[#All],[consecutivo]],[2]!COMPROMISOS_2024[[#All],[fecha_aprobacion]],"",0)</f>
        <v>#NAME?</v>
      </c>
      <c r="V54" s="141" t="e">
        <f ca="1">SUMIF([2]!COMPROMISOS_2024[[#All],[consecutivo]],Contrato5[[#This Row],[RCP]],[2]!COMPROMISOS_2024[[#All],[valor_total]])</f>
        <v>#REF!</v>
      </c>
      <c r="W54" s="415">
        <v>45323</v>
      </c>
      <c r="X54" s="415">
        <v>45323</v>
      </c>
      <c r="Y54" s="143">
        <v>45323</v>
      </c>
      <c r="Z54" s="262">
        <v>45412</v>
      </c>
      <c r="AA54" s="213" t="s">
        <v>622</v>
      </c>
      <c r="AB54" s="161" t="s">
        <v>529</v>
      </c>
      <c r="AC54" s="209"/>
      <c r="AD54" s="210">
        <v>202000003499</v>
      </c>
      <c r="AE54" s="147" t="s">
        <v>523</v>
      </c>
      <c r="AF54" s="148" t="str">
        <f>TEXT(LEFT(Contrato5[[#This Row],[CONTRATO]],3),"0")</f>
        <v>29</v>
      </c>
      <c r="AG54" s="148" t="str">
        <f>IF(LEN(Contrato5[[#This Row],[Contrato2]])=3,Contrato5[[#This Row],[Contrato2]],TEXT(Contrato5[[#This Row],[Contrato2]],"000"))</f>
        <v>029</v>
      </c>
      <c r="AH54" s="149">
        <f ca="1">IFERROR(_xlfn.DAYS(Contrato5[[#This Row],[Fecha Proyectada liquidación]],TODAY())/30,"")</f>
        <v>-7.5333333333333332</v>
      </c>
      <c r="AI54" s="150">
        <f>+Contrato5[[#This Row],[FECHA TERMINACIÓN ]]+120</f>
        <v>45532</v>
      </c>
      <c r="AK54" s="152" t="str">
        <f ca="1">IF(Contrato5[[#This Row],[FECHA TERMINACIÓN ]]&lt;TODAY(), "Terminado",IF(ISNUMBER(Contrato5[[#This Row],[Fecha Real de liquiidación ]]),"Liquidado",IF(Contrato5[[#This Row],[FECHA TERMINACIÓN ]]&gt;=TODAY(),"En ejecución","")))</f>
        <v>Terminado</v>
      </c>
      <c r="AL54" s="153" t="e">
        <f ca="1">SUMIF([2]!COMPROMISOS_2024[[#All],[consecutivo]],Contrato5[[#This Row],[RCP]],[2]!COMPROMISOS_2024[[#All],[Total pagado]])</f>
        <v>#REF!</v>
      </c>
      <c r="AM54" s="154">
        <f ca="1">IFERROR(Contrato5[[#This Row],[Pagos]]/Contrato5[[#This Row],[VALOR CONTRATO]],0)</f>
        <v>0</v>
      </c>
      <c r="AN54" s="175" t="e">
        <f ca="1">+Contrato5[[#This Row],[VALOR CONTRATO]]-Contrato5[[#This Row],[Pagos]]</f>
        <v>#REF!</v>
      </c>
      <c r="AO54" s="151" t="e" cm="1">
        <f t="array" aca="1" ref="AO54" ca="1">_xlfn.XLOOKUP(Contrato5[[#This Row],[DOCUMENTO ]],[2]!PERSONAL_ACTIVO_2024[[#All],[Documento identidad]],[2]!PERSONAL_ACTIVO_2024[[#All],[Mail ]],0,0)</f>
        <v>#NAME?</v>
      </c>
      <c r="AP54" s="151" t="e" cm="1">
        <f t="array" aca="1" ref="AP54" ca="1">_xlfn.XLOOKUP(Contrato5[[#This Row],[DOCUMENTO]],[2]!PERSONAL_ACTIVO_2024[[#All],[Documento identidad]],[2]!PERSONAL_ACTIVO_2024[[#All],[Mail ]],0,0)</f>
        <v>#NAME?</v>
      </c>
      <c r="AQ54" s="151" cm="1">
        <f t="array" aca="1" ref="AQ54" ca="1">IF(ISBLANK(Contrato5[[#This Row],[DEPENDENCIA ]]),0,IFERROR(_xlfn.XLOOKUP(Contrato5[[#This Row],[DEPENDENCIA ]],[2]!PERSONAL_ACTIVO_2024[[#All],[Dependencia]],[2]!PERSONAL_ACTIVO_2024[[#All],[Mail ]],0,0),0))</f>
        <v>0</v>
      </c>
    </row>
    <row r="55" spans="1:43" ht="34.5" customHeight="1">
      <c r="A55" s="125">
        <v>38</v>
      </c>
      <c r="B55" s="124">
        <v>30</v>
      </c>
      <c r="C55" s="162" t="s">
        <v>2508</v>
      </c>
      <c r="D55" s="227" t="s">
        <v>623</v>
      </c>
      <c r="E55" s="128" t="s">
        <v>94</v>
      </c>
      <c r="F55" s="163" t="s">
        <v>1376</v>
      </c>
      <c r="G55" s="190" t="s">
        <v>624</v>
      </c>
      <c r="H55" s="447">
        <v>1007111277</v>
      </c>
      <c r="I55" s="455">
        <v>6879081</v>
      </c>
      <c r="J55" s="456">
        <v>81368469</v>
      </c>
      <c r="K55" s="131" t="s">
        <v>625</v>
      </c>
      <c r="L55" s="438" t="s">
        <v>42</v>
      </c>
      <c r="M55" s="194" t="s">
        <v>969</v>
      </c>
      <c r="N55" s="177" t="e" cm="1">
        <f t="array" aca="1" ref="N55" ca="1">_xlfn.XLOOKUP(Contrato5[[#This Row],[SUPERVISOR TITULAR]],[2]!PERSONAL_ACTIVO_2024[[#All],[Nombre completo]],[2]!PERSONAL_ACTIVO_2024[[#All],[Documento identidad]],"",0)</f>
        <v>#NAME?</v>
      </c>
      <c r="O55" s="194" t="s">
        <v>626</v>
      </c>
      <c r="P55" s="196" t="e" cm="1">
        <f t="array" aca="1" ref="P55" ca="1">_xlfn.XLOOKUP(Contrato5[[#This Row],[SUPERVISOR SUPLENTE ]],[2]!PERSONAL_ACTIVO_2024[[#All],[Nombre completo]],[2]!PERSONAL_ACTIVO_2024[[#All],[Documento identidad]],"",0)</f>
        <v>#NAME?</v>
      </c>
      <c r="Q55" s="208">
        <v>45</v>
      </c>
      <c r="R55" s="137" t="e" cm="1">
        <f t="array" aca="1" ref="R55" ca="1">_xlfn.XLOOKUP(Contrato5[[#This Row],[CDP]],[2]!DISPONIBILIDADES_2024[[#All],[consecutivo]],[2]!DISPONIBILIDADES_2024[[#All],[fecha_aprobacion]],"",0)</f>
        <v>#NAME?</v>
      </c>
      <c r="S55" s="138" t="e">
        <f>SUMIF([2]!DISPONIBILIDADES_2024[[#All],[consecutivo]],Contrato5[[#This Row],[CDP]],[2]!DISPONIBILIDADES_2024[[#All],[valor_total_rubro]])</f>
        <v>#REF!</v>
      </c>
      <c r="T55" s="139" t="e" cm="1">
        <f t="array" aca="1" ref="T55" ca="1">_xlfn.XLOOKUP(Contrato5[[#This Row],[CONTRATO]]&amp;Contrato5[[#This Row],[CDP]],[2]!Corr_Contr_CDP[[#All],[CONTRATO-CDP]],[2]!Corr_Contr_CDP[[#All],[CRP]],_xlfn.XLOOKUP(Contrato5[[#This Row],[CDP]],[2]!COMPROMISOS_2024[[#All],[disponibilidad]],[2]!COMPROMISOS_2024[[#All],[consecutivo]],"",0),0)</f>
        <v>#NAME?</v>
      </c>
      <c r="U55" s="140" t="e" cm="1">
        <f t="array" aca="1" ref="U55" ca="1">+_xlfn.XLOOKUP(Contrato5[[#This Row],[RCP]],[2]!COMPROMISOS_2024[[#All],[consecutivo]],[2]!COMPROMISOS_2024[[#All],[fecha_aprobacion]],"",0)</f>
        <v>#NAME?</v>
      </c>
      <c r="V55" s="141" t="e">
        <f ca="1">SUMIF([2]!COMPROMISOS_2024[[#All],[consecutivo]],Contrato5[[#This Row],[RCP]],[2]!COMPROMISOS_2024[[#All],[valor_total]])</f>
        <v>#REF!</v>
      </c>
      <c r="W55" s="415">
        <v>45322</v>
      </c>
      <c r="X55" s="415">
        <v>45322</v>
      </c>
      <c r="Y55" s="143">
        <v>45322</v>
      </c>
      <c r="Z55" s="262">
        <v>45656</v>
      </c>
      <c r="AA55" s="171" t="s">
        <v>627</v>
      </c>
      <c r="AB55" s="161" t="s">
        <v>628</v>
      </c>
      <c r="AC55" s="209"/>
      <c r="AD55" s="210">
        <v>202000003502</v>
      </c>
      <c r="AE55" s="147" t="s">
        <v>523</v>
      </c>
      <c r="AF55" s="148" t="str">
        <f>TEXT(LEFT(Contrato5[[#This Row],[CONTRATO]],3),"0")</f>
        <v>30</v>
      </c>
      <c r="AG55" s="148" t="str">
        <f>IF(LEN(Contrato5[[#This Row],[Contrato2]])=3,Contrato5[[#This Row],[Contrato2]],TEXT(Contrato5[[#This Row],[Contrato2]],"000"))</f>
        <v>030</v>
      </c>
      <c r="AH55" s="149">
        <f ca="1">IFERROR(_xlfn.DAYS(Contrato5[[#This Row],[Fecha Proyectada liquidación]],TODAY())/30,"")</f>
        <v>0.6</v>
      </c>
      <c r="AI55" s="150">
        <f>+Contrato5[[#This Row],[FECHA TERMINACIÓN ]]+120</f>
        <v>45776</v>
      </c>
      <c r="AK55" s="152" t="str">
        <f ca="1">IF(Contrato5[[#This Row],[FECHA TERMINACIÓN ]]&lt;TODAY(), "Terminado",IF(ISNUMBER(Contrato5[[#This Row],[Fecha Real de liquiidación ]]),"Liquidado",IF(Contrato5[[#This Row],[FECHA TERMINACIÓN ]]&gt;=TODAY(),"En ejecución","")))</f>
        <v>Terminado</v>
      </c>
      <c r="AL55" s="153" t="e">
        <f ca="1">SUMIF([2]!COMPROMISOS_2024[[#All],[consecutivo]],Contrato5[[#This Row],[RCP]],[2]!COMPROMISOS_2024[[#All],[Total pagado]])</f>
        <v>#REF!</v>
      </c>
      <c r="AM55" s="154">
        <f ca="1">IFERROR(Contrato5[[#This Row],[Pagos]]/Contrato5[[#This Row],[VALOR CONTRATO]],0)</f>
        <v>0</v>
      </c>
      <c r="AN55" s="175" t="e">
        <f ca="1">+Contrato5[[#This Row],[VALOR CONTRATO]]-Contrato5[[#This Row],[Pagos]]</f>
        <v>#REF!</v>
      </c>
      <c r="AO55" s="151" t="e" cm="1">
        <f t="array" aca="1" ref="AO55" ca="1">_xlfn.XLOOKUP(Contrato5[[#This Row],[DOCUMENTO ]],[2]!PERSONAL_ACTIVO_2024[[#All],[Documento identidad]],[2]!PERSONAL_ACTIVO_2024[[#All],[Mail ]],0,0)</f>
        <v>#NAME?</v>
      </c>
      <c r="AP55" s="151" t="e" cm="1">
        <f t="array" aca="1" ref="AP55" ca="1">_xlfn.XLOOKUP(Contrato5[[#This Row],[DOCUMENTO]],[2]!PERSONAL_ACTIVO_2024[[#All],[Documento identidad]],[2]!PERSONAL_ACTIVO_2024[[#All],[Mail ]],0,0)</f>
        <v>#NAME?</v>
      </c>
      <c r="AQ55" s="151" cm="1">
        <f t="array" aca="1" ref="AQ55" ca="1">IF(ISBLANK(Contrato5[[#This Row],[DEPENDENCIA ]]),0,IFERROR(_xlfn.XLOOKUP(Contrato5[[#This Row],[DEPENDENCIA ]],[2]!PERSONAL_ACTIVO_2024[[#All],[Dependencia]],[2]!PERSONAL_ACTIVO_2024[[#All],[Mail ]],0,0),0))</f>
        <v>0</v>
      </c>
    </row>
    <row r="56" spans="1:43" ht="34.5" customHeight="1">
      <c r="A56" s="125">
        <v>326</v>
      </c>
      <c r="B56" s="124">
        <v>31</v>
      </c>
      <c r="C56" s="162" t="s">
        <v>1695</v>
      </c>
      <c r="D56" s="126" t="s">
        <v>583</v>
      </c>
      <c r="E56" s="128" t="s">
        <v>94</v>
      </c>
      <c r="F56" s="163" t="s">
        <v>1376</v>
      </c>
      <c r="G56" s="190" t="s">
        <v>629</v>
      </c>
      <c r="H56" s="447">
        <v>1017126471</v>
      </c>
      <c r="I56" s="455">
        <v>3986061</v>
      </c>
      <c r="J56" s="456">
        <v>11958183</v>
      </c>
      <c r="K56" s="166" t="s">
        <v>42</v>
      </c>
      <c r="L56" s="438" t="s">
        <v>42</v>
      </c>
      <c r="M56" s="194" t="s">
        <v>497</v>
      </c>
      <c r="N56" s="177" t="e" cm="1">
        <f t="array" aca="1" ref="N56" ca="1">_xlfn.XLOOKUP(Contrato5[[#This Row],[SUPERVISOR TITULAR]],[2]!PERSONAL_ACTIVO_2024[[#All],[Nombre completo]],[2]!PERSONAL_ACTIVO_2024[[#All],[Documento identidad]],"",0)</f>
        <v>#NAME?</v>
      </c>
      <c r="O56" s="194" t="s">
        <v>2486</v>
      </c>
      <c r="P56" s="196" t="e" cm="1">
        <f t="array" aca="1" ref="P56" ca="1">_xlfn.XLOOKUP(Contrato5[[#This Row],[SUPERVISOR SUPLENTE ]],[2]!PERSONAL_ACTIVO_2024[[#All],[Nombre completo]],[2]!PERSONAL_ACTIVO_2024[[#All],[Documento identidad]],"",0)</f>
        <v>#NAME?</v>
      </c>
      <c r="Q56" s="208">
        <v>43</v>
      </c>
      <c r="R56" s="137" t="e" cm="1">
        <f t="array" aca="1" ref="R56" ca="1">_xlfn.XLOOKUP(Contrato5[[#This Row],[CDP]],[2]!DISPONIBILIDADES_2024[[#All],[consecutivo]],[2]!DISPONIBILIDADES_2024[[#All],[fecha_aprobacion]],"",0)</f>
        <v>#NAME?</v>
      </c>
      <c r="S56" s="138" t="e">
        <f>SUMIF([2]!DISPONIBILIDADES_2024[[#All],[consecutivo]],Contrato5[[#This Row],[CDP]],[2]!DISPONIBILIDADES_2024[[#All],[valor_total_rubro]])</f>
        <v>#REF!</v>
      </c>
      <c r="T56" s="139" t="e" cm="1">
        <f t="array" aca="1" ref="T56" ca="1">_xlfn.XLOOKUP(Contrato5[[#This Row],[CONTRATO]]&amp;Contrato5[[#This Row],[CDP]],[2]!Corr_Contr_CDP[[#All],[CONTRATO-CDP]],[2]!Corr_Contr_CDP[[#All],[CRP]],_xlfn.XLOOKUP(Contrato5[[#This Row],[CDP]],[2]!COMPROMISOS_2024[[#All],[disponibilidad]],[2]!COMPROMISOS_2024[[#All],[consecutivo]],"",0),0)</f>
        <v>#NAME?</v>
      </c>
      <c r="U56" s="140" t="e" cm="1">
        <f t="array" aca="1" ref="U56" ca="1">+_xlfn.XLOOKUP(Contrato5[[#This Row],[RCP]],[2]!COMPROMISOS_2024[[#All],[consecutivo]],[2]!COMPROMISOS_2024[[#All],[fecha_aprobacion]],"",0)</f>
        <v>#NAME?</v>
      </c>
      <c r="V56" s="141" t="e">
        <f ca="1">SUMIF([2]!COMPROMISOS_2024[[#All],[consecutivo]],Contrato5[[#This Row],[RCP]],[2]!COMPROMISOS_2024[[#All],[valor_total]])</f>
        <v>#REF!</v>
      </c>
      <c r="W56" s="415">
        <v>45323</v>
      </c>
      <c r="X56" s="415">
        <v>45323</v>
      </c>
      <c r="Y56" s="143">
        <v>45323</v>
      </c>
      <c r="Z56" s="262">
        <v>45412</v>
      </c>
      <c r="AA56" s="213" t="s">
        <v>630</v>
      </c>
      <c r="AB56" s="161" t="s">
        <v>529</v>
      </c>
      <c r="AC56" s="209"/>
      <c r="AD56" s="210">
        <v>202000003504</v>
      </c>
      <c r="AE56" s="147" t="s">
        <v>523</v>
      </c>
      <c r="AF56" s="148" t="str">
        <f>TEXT(LEFT(Contrato5[[#This Row],[CONTRATO]],3),"0")</f>
        <v>31</v>
      </c>
      <c r="AG56" s="148" t="str">
        <f>IF(LEN(Contrato5[[#This Row],[Contrato2]])=3,Contrato5[[#This Row],[Contrato2]],TEXT(Contrato5[[#This Row],[Contrato2]],"000"))</f>
        <v>031</v>
      </c>
      <c r="AH56" s="149">
        <f ca="1">IFERROR(_xlfn.DAYS(Contrato5[[#This Row],[Fecha Proyectada liquidación]],TODAY())/30,"")</f>
        <v>-7.5333333333333332</v>
      </c>
      <c r="AI56" s="150">
        <f>+Contrato5[[#This Row],[FECHA TERMINACIÓN ]]+120</f>
        <v>45532</v>
      </c>
      <c r="AK56" s="152" t="str">
        <f ca="1">IF(Contrato5[[#This Row],[FECHA TERMINACIÓN ]]&lt;TODAY(), "Terminado",IF(ISNUMBER(Contrato5[[#This Row],[Fecha Real de liquiidación ]]),"Liquidado",IF(Contrato5[[#This Row],[FECHA TERMINACIÓN ]]&gt;=TODAY(),"En ejecución","")))</f>
        <v>Terminado</v>
      </c>
      <c r="AL56" s="153" t="e">
        <f ca="1">SUMIF([2]!COMPROMISOS_2024[[#All],[consecutivo]],Contrato5[[#This Row],[RCP]],[2]!COMPROMISOS_2024[[#All],[Total pagado]])</f>
        <v>#REF!</v>
      </c>
      <c r="AM56" s="154">
        <f ca="1">IFERROR(Contrato5[[#This Row],[Pagos]]/Contrato5[[#This Row],[VALOR CONTRATO]],0)</f>
        <v>0</v>
      </c>
      <c r="AN56" s="175" t="e">
        <f ca="1">+Contrato5[[#This Row],[VALOR CONTRATO]]-Contrato5[[#This Row],[Pagos]]</f>
        <v>#REF!</v>
      </c>
      <c r="AO56" s="151" t="e" cm="1">
        <f t="array" aca="1" ref="AO56" ca="1">_xlfn.XLOOKUP(Contrato5[[#This Row],[DOCUMENTO ]],[2]!PERSONAL_ACTIVO_2024[[#All],[Documento identidad]],[2]!PERSONAL_ACTIVO_2024[[#All],[Mail ]],0,0)</f>
        <v>#NAME?</v>
      </c>
      <c r="AP56" s="151" t="e" cm="1">
        <f t="array" aca="1" ref="AP56" ca="1">_xlfn.XLOOKUP(Contrato5[[#This Row],[DOCUMENTO]],[2]!PERSONAL_ACTIVO_2024[[#All],[Documento identidad]],[2]!PERSONAL_ACTIVO_2024[[#All],[Mail ]],0,0)</f>
        <v>#NAME?</v>
      </c>
      <c r="AQ56" s="151" cm="1">
        <f t="array" aca="1" ref="AQ56" ca="1">IF(ISBLANK(Contrato5[[#This Row],[DEPENDENCIA ]]),0,IFERROR(_xlfn.XLOOKUP(Contrato5[[#This Row],[DEPENDENCIA ]],[2]!PERSONAL_ACTIVO_2024[[#All],[Dependencia]],[2]!PERSONAL_ACTIVO_2024[[#All],[Mail ]],0,0),0))</f>
        <v>0</v>
      </c>
    </row>
    <row r="57" spans="1:43" ht="34.5" customHeight="1">
      <c r="A57" s="125">
        <v>55</v>
      </c>
      <c r="B57" s="124">
        <v>32</v>
      </c>
      <c r="C57" s="162" t="s">
        <v>2509</v>
      </c>
      <c r="D57" s="227" t="s">
        <v>631</v>
      </c>
      <c r="E57" s="128" t="s">
        <v>94</v>
      </c>
      <c r="F57" s="163" t="s">
        <v>494</v>
      </c>
      <c r="G57" s="190" t="s">
        <v>632</v>
      </c>
      <c r="H57" s="447">
        <v>800240660</v>
      </c>
      <c r="I57" s="455" t="s">
        <v>42</v>
      </c>
      <c r="J57" s="456">
        <v>46782627</v>
      </c>
      <c r="K57" s="166" t="s">
        <v>42</v>
      </c>
      <c r="L57" s="438" t="s">
        <v>633</v>
      </c>
      <c r="M57" s="194" t="s">
        <v>559</v>
      </c>
      <c r="N57" s="177" t="e" cm="1">
        <f t="array" aca="1" ref="N57" ca="1">_xlfn.XLOOKUP(Contrato5[[#This Row],[SUPERVISOR TITULAR]],[2]!PERSONAL_ACTIVO_2024[[#All],[Nombre completo]],[2]!PERSONAL_ACTIVO_2024[[#All],[Documento identidad]],"",0)</f>
        <v>#NAME?</v>
      </c>
      <c r="O57" s="194" t="s">
        <v>634</v>
      </c>
      <c r="P57" s="196" t="e" cm="1">
        <f t="array" aca="1" ref="P57" ca="1">_xlfn.XLOOKUP(Contrato5[[#This Row],[SUPERVISOR SUPLENTE ]],[2]!PERSONAL_ACTIVO_2024[[#All],[Nombre completo]],[2]!PERSONAL_ACTIVO_2024[[#All],[Documento identidad]],"",0)</f>
        <v>#NAME?</v>
      </c>
      <c r="Q57" s="208">
        <v>13</v>
      </c>
      <c r="R57" s="137" t="e" cm="1">
        <f t="array" aca="1" ref="R57" ca="1">_xlfn.XLOOKUP(Contrato5[[#This Row],[CDP]],[2]!DISPONIBILIDADES_2024[[#All],[consecutivo]],[2]!DISPONIBILIDADES_2024[[#All],[fecha_aprobacion]],"",0)</f>
        <v>#NAME?</v>
      </c>
      <c r="S57" s="138" t="e">
        <f>SUMIF([2]!DISPONIBILIDADES_2024[[#All],[consecutivo]],Contrato5[[#This Row],[CDP]],[2]!DISPONIBILIDADES_2024[[#All],[valor_total_rubro]])</f>
        <v>#REF!</v>
      </c>
      <c r="T57" s="139" t="e" cm="1">
        <f t="array" aca="1" ref="T57" ca="1">_xlfn.XLOOKUP(Contrato5[[#This Row],[CONTRATO]]&amp;Contrato5[[#This Row],[CDP]],[2]!Corr_Contr_CDP[[#All],[CONTRATO-CDP]],[2]!Corr_Contr_CDP[[#All],[CRP]],_xlfn.XLOOKUP(Contrato5[[#This Row],[CDP]],[2]!COMPROMISOS_2024[[#All],[disponibilidad]],[2]!COMPROMISOS_2024[[#All],[consecutivo]],"",0),0)</f>
        <v>#NAME?</v>
      </c>
      <c r="U57" s="140" t="e" cm="1">
        <f t="array" aca="1" ref="U57" ca="1">+_xlfn.XLOOKUP(Contrato5[[#This Row],[RCP]],[2]!COMPROMISOS_2024[[#All],[consecutivo]],[2]!COMPROMISOS_2024[[#All],[fecha_aprobacion]],"",0)</f>
        <v>#NAME?</v>
      </c>
      <c r="V57" s="141" t="e">
        <f ca="1">SUMIF([2]!COMPROMISOS_2024[[#All],[consecutivo]],Contrato5[[#This Row],[RCP]],[2]!COMPROMISOS_2024[[#All],[valor_total]])</f>
        <v>#REF!</v>
      </c>
      <c r="W57" s="415">
        <v>45334</v>
      </c>
      <c r="X57" s="415">
        <v>45334</v>
      </c>
      <c r="Y57" s="143">
        <v>45335</v>
      </c>
      <c r="Z57" s="262">
        <v>45657</v>
      </c>
      <c r="AA57" s="213" t="s">
        <v>635</v>
      </c>
      <c r="AB57" s="161" t="s">
        <v>636</v>
      </c>
      <c r="AC57" s="209"/>
      <c r="AD57" s="210">
        <v>202000003505</v>
      </c>
      <c r="AE57" s="147" t="s">
        <v>523</v>
      </c>
      <c r="AF57" s="148" t="str">
        <f>TEXT(LEFT(Contrato5[[#This Row],[CONTRATO]],3),"0")</f>
        <v>32</v>
      </c>
      <c r="AG57" s="148" t="str">
        <f>IF(LEN(Contrato5[[#This Row],[Contrato2]])=3,Contrato5[[#This Row],[Contrato2]],TEXT(Contrato5[[#This Row],[Contrato2]],"000"))</f>
        <v>032</v>
      </c>
      <c r="AH57" s="149">
        <f ca="1">IFERROR(_xlfn.DAYS(Contrato5[[#This Row],[Fecha Proyectada liquidación]],TODAY())/30,"")</f>
        <v>0.6333333333333333</v>
      </c>
      <c r="AI57" s="150">
        <f>+Contrato5[[#This Row],[FECHA TERMINACIÓN ]]+120</f>
        <v>45777</v>
      </c>
      <c r="AK57" s="152" t="str">
        <f ca="1">IF(Contrato5[[#This Row],[FECHA TERMINACIÓN ]]&lt;TODAY(), "Terminado",IF(ISNUMBER(Contrato5[[#This Row],[Fecha Real de liquiidación ]]),"Liquidado",IF(Contrato5[[#This Row],[FECHA TERMINACIÓN ]]&gt;=TODAY(),"En ejecución","")))</f>
        <v>Terminado</v>
      </c>
      <c r="AL57" s="153" t="e">
        <f ca="1">SUMIF([2]!COMPROMISOS_2024[[#All],[consecutivo]],Contrato5[[#This Row],[RCP]],[2]!COMPROMISOS_2024[[#All],[Total pagado]])</f>
        <v>#REF!</v>
      </c>
      <c r="AM57" s="154">
        <f ca="1">IFERROR(Contrato5[[#This Row],[Pagos]]/Contrato5[[#This Row],[VALOR CONTRATO]],0)</f>
        <v>0</v>
      </c>
      <c r="AN57" s="175" t="e">
        <f ca="1">+Contrato5[[#This Row],[VALOR CONTRATO]]-Contrato5[[#This Row],[Pagos]]</f>
        <v>#REF!</v>
      </c>
      <c r="AO57" s="151" t="e" cm="1">
        <f t="array" aca="1" ref="AO57" ca="1">_xlfn.XLOOKUP(Contrato5[[#This Row],[DOCUMENTO ]],[2]!PERSONAL_ACTIVO_2024[[#All],[Documento identidad]],[2]!PERSONAL_ACTIVO_2024[[#All],[Mail ]],0,0)</f>
        <v>#NAME?</v>
      </c>
      <c r="AP57" s="151" t="e" cm="1">
        <f t="array" aca="1" ref="AP57" ca="1">_xlfn.XLOOKUP(Contrato5[[#This Row],[DOCUMENTO]],[2]!PERSONAL_ACTIVO_2024[[#All],[Documento identidad]],[2]!PERSONAL_ACTIVO_2024[[#All],[Mail ]],0,0)</f>
        <v>#NAME?</v>
      </c>
      <c r="AQ57" s="151" cm="1">
        <f t="array" aca="1" ref="AQ57" ca="1">IF(ISBLANK(Contrato5[[#This Row],[DEPENDENCIA ]]),0,IFERROR(_xlfn.XLOOKUP(Contrato5[[#This Row],[DEPENDENCIA ]],[2]!PERSONAL_ACTIVO_2024[[#All],[Dependencia]],[2]!PERSONAL_ACTIVO_2024[[#All],[Mail ]],0,0),0))</f>
        <v>0</v>
      </c>
    </row>
    <row r="58" spans="1:43" ht="34.5" customHeight="1">
      <c r="A58" s="125">
        <v>325</v>
      </c>
      <c r="B58" s="124">
        <v>33</v>
      </c>
      <c r="C58" s="162" t="s">
        <v>637</v>
      </c>
      <c r="D58" s="227" t="s">
        <v>583</v>
      </c>
      <c r="E58" s="128" t="s">
        <v>94</v>
      </c>
      <c r="F58" s="163" t="s">
        <v>1376</v>
      </c>
      <c r="G58" s="190" t="s">
        <v>638</v>
      </c>
      <c r="H58" s="447">
        <v>1048017635</v>
      </c>
      <c r="I58" s="455">
        <v>6879081</v>
      </c>
      <c r="J58" s="456">
        <v>41274486</v>
      </c>
      <c r="K58" s="166" t="s">
        <v>42</v>
      </c>
      <c r="L58" s="438" t="s">
        <v>42</v>
      </c>
      <c r="M58" s="194" t="s">
        <v>585</v>
      </c>
      <c r="N58" s="177" t="e" cm="1">
        <f t="array" aca="1" ref="N58" ca="1">_xlfn.XLOOKUP(Contrato5[[#This Row],[SUPERVISOR TITULAR]],[2]!PERSONAL_ACTIVO_2024[[#All],[Nombre completo]],[2]!PERSONAL_ACTIVO_2024[[#All],[Documento identidad]],"",0)</f>
        <v>#NAME?</v>
      </c>
      <c r="O58" s="194" t="s">
        <v>589</v>
      </c>
      <c r="P58" s="196" t="e" cm="1">
        <f t="array" aca="1" ref="P58" ca="1">_xlfn.XLOOKUP(Contrato5[[#This Row],[SUPERVISOR SUPLENTE ]],[2]!PERSONAL_ACTIVO_2024[[#All],[Nombre completo]],[2]!PERSONAL_ACTIVO_2024[[#All],[Documento identidad]],"",0)</f>
        <v>#NAME?</v>
      </c>
      <c r="Q58" s="208">
        <v>61</v>
      </c>
      <c r="R58" s="137" t="e" cm="1">
        <f t="array" aca="1" ref="R58" ca="1">_xlfn.XLOOKUP(Contrato5[[#This Row],[CDP]],[2]!DISPONIBILIDADES_2024[[#All],[consecutivo]],[2]!DISPONIBILIDADES_2024[[#All],[fecha_aprobacion]],"",0)</f>
        <v>#NAME?</v>
      </c>
      <c r="S58" s="138" t="e">
        <f>SUMIF([2]!DISPONIBILIDADES_2024[[#All],[consecutivo]],Contrato5[[#This Row],[CDP]],[2]!DISPONIBILIDADES_2024[[#All],[valor_total_rubro]])</f>
        <v>#REF!</v>
      </c>
      <c r="T58" s="139" t="e" cm="1">
        <f t="array" aca="1" ref="T58" ca="1">_xlfn.XLOOKUP(Contrato5[[#This Row],[CONTRATO]]&amp;Contrato5[[#This Row],[CDP]],[2]!Corr_Contr_CDP[[#All],[CONTRATO-CDP]],[2]!Corr_Contr_CDP[[#All],[CRP]],_xlfn.XLOOKUP(Contrato5[[#This Row],[CDP]],[2]!COMPROMISOS_2024[[#All],[disponibilidad]],[2]!COMPROMISOS_2024[[#All],[consecutivo]],"",0),0)</f>
        <v>#NAME?</v>
      </c>
      <c r="U58" s="140" t="e" cm="1">
        <f t="array" aca="1" ref="U58" ca="1">+_xlfn.XLOOKUP(Contrato5[[#This Row],[RCP]],[2]!COMPROMISOS_2024[[#All],[consecutivo]],[2]!COMPROMISOS_2024[[#All],[fecha_aprobacion]],"",0)</f>
        <v>#NAME?</v>
      </c>
      <c r="V58" s="141" t="e">
        <f ca="1">SUMIF([2]!COMPROMISOS_2024[[#All],[consecutivo]],Contrato5[[#This Row],[RCP]],[2]!COMPROMISOS_2024[[#All],[valor_total]])</f>
        <v>#REF!</v>
      </c>
      <c r="W58" s="415">
        <v>45331</v>
      </c>
      <c r="X58" s="415">
        <v>45334</v>
      </c>
      <c r="Y58" s="143">
        <v>45334</v>
      </c>
      <c r="Z58" s="262">
        <v>45515</v>
      </c>
      <c r="AA58" s="183" t="s">
        <v>639</v>
      </c>
      <c r="AB58" s="161" t="s">
        <v>640</v>
      </c>
      <c r="AC58" s="161"/>
      <c r="AD58" s="206">
        <v>202000003512</v>
      </c>
      <c r="AE58" s="147" t="s">
        <v>523</v>
      </c>
      <c r="AF58" s="148" t="str">
        <f>TEXT(LEFT(Contrato5[[#This Row],[CONTRATO]],3),"0")</f>
        <v>33</v>
      </c>
      <c r="AG58" s="148" t="str">
        <f>IF(LEN(Contrato5[[#This Row],[Contrato2]])=3,Contrato5[[#This Row],[Contrato2]],TEXT(Contrato5[[#This Row],[Contrato2]],"000"))</f>
        <v>033</v>
      </c>
      <c r="AH58" s="149">
        <f ca="1">IFERROR(_xlfn.DAYS(Contrato5[[#This Row],[Fecha Proyectada liquidación]],TODAY())/30,"")</f>
        <v>-4.0999999999999996</v>
      </c>
      <c r="AI58" s="150">
        <f>+Contrato5[[#This Row],[FECHA TERMINACIÓN ]]+120</f>
        <v>45635</v>
      </c>
      <c r="AK58" s="152" t="str">
        <f ca="1">IF(Contrato5[[#This Row],[FECHA TERMINACIÓN ]]&lt;TODAY(), "Terminado",IF(ISNUMBER(Contrato5[[#This Row],[Fecha Real de liquiidación ]]),"Liquidado",IF(Contrato5[[#This Row],[FECHA TERMINACIÓN ]]&gt;=TODAY(),"En ejecución","")))</f>
        <v>Terminado</v>
      </c>
      <c r="AL58" s="153" t="e">
        <f ca="1">SUMIF([2]!COMPROMISOS_2024[[#All],[consecutivo]],Contrato5[[#This Row],[RCP]],[2]!COMPROMISOS_2024[[#All],[Total pagado]])</f>
        <v>#REF!</v>
      </c>
      <c r="AM58" s="154">
        <f ca="1">IFERROR(Contrato5[[#This Row],[Pagos]]/Contrato5[[#This Row],[VALOR CONTRATO]],0)</f>
        <v>0</v>
      </c>
      <c r="AN58" s="175" t="e">
        <f ca="1">+Contrato5[[#This Row],[VALOR CONTRATO]]-Contrato5[[#This Row],[Pagos]]</f>
        <v>#REF!</v>
      </c>
      <c r="AO58" s="151" t="e" cm="1">
        <f t="array" aca="1" ref="AO58" ca="1">_xlfn.XLOOKUP(Contrato5[[#This Row],[DOCUMENTO ]],[2]!PERSONAL_ACTIVO_2024[[#All],[Documento identidad]],[2]!PERSONAL_ACTIVO_2024[[#All],[Mail ]],0,0)</f>
        <v>#NAME?</v>
      </c>
      <c r="AP58" s="151" t="e" cm="1">
        <f t="array" aca="1" ref="AP58" ca="1">_xlfn.XLOOKUP(Contrato5[[#This Row],[DOCUMENTO]],[2]!PERSONAL_ACTIVO_2024[[#All],[Documento identidad]],[2]!PERSONAL_ACTIVO_2024[[#All],[Mail ]],0,0)</f>
        <v>#NAME?</v>
      </c>
      <c r="AQ58" s="151" cm="1">
        <f t="array" aca="1" ref="AQ58" ca="1">IF(ISBLANK(Contrato5[[#This Row],[DEPENDENCIA ]]),0,IFERROR(_xlfn.XLOOKUP(Contrato5[[#This Row],[DEPENDENCIA ]],[2]!PERSONAL_ACTIVO_2024[[#All],[Dependencia]],[2]!PERSONAL_ACTIVO_2024[[#All],[Mail ]],0,0),0))</f>
        <v>0</v>
      </c>
    </row>
    <row r="59" spans="1:43" ht="34.5" customHeight="1">
      <c r="A59" s="125">
        <v>323</v>
      </c>
      <c r="B59" s="124">
        <v>34</v>
      </c>
      <c r="C59" s="162" t="s">
        <v>641</v>
      </c>
      <c r="D59" s="227" t="s">
        <v>583</v>
      </c>
      <c r="E59" s="128" t="s">
        <v>94</v>
      </c>
      <c r="F59" s="163" t="s">
        <v>1376</v>
      </c>
      <c r="G59" s="281" t="s">
        <v>2510</v>
      </c>
      <c r="H59" s="447">
        <v>1127802529</v>
      </c>
      <c r="I59" s="455">
        <v>6879081</v>
      </c>
      <c r="J59" s="456">
        <v>41274486</v>
      </c>
      <c r="K59" s="166" t="s">
        <v>42</v>
      </c>
      <c r="L59" s="438" t="s">
        <v>42</v>
      </c>
      <c r="M59" s="194" t="s">
        <v>586</v>
      </c>
      <c r="N59" s="177" t="e" cm="1">
        <f t="array" aca="1" ref="N59" ca="1">_xlfn.XLOOKUP(Contrato5[[#This Row],[SUPERVISOR TITULAR]],[2]!PERSONAL_ACTIVO_2024[[#All],[Nombre completo]],[2]!PERSONAL_ACTIVO_2024[[#All],[Documento identidad]],"",0)</f>
        <v>#NAME?</v>
      </c>
      <c r="O59" s="194" t="s">
        <v>589</v>
      </c>
      <c r="P59" s="196" t="e" cm="1">
        <f t="array" aca="1" ref="P59" ca="1">_xlfn.XLOOKUP(Contrato5[[#This Row],[SUPERVISOR SUPLENTE ]],[2]!PERSONAL_ACTIVO_2024[[#All],[Nombre completo]],[2]!PERSONAL_ACTIVO_2024[[#All],[Documento identidad]],"",0)</f>
        <v>#NAME?</v>
      </c>
      <c r="Q59" s="208">
        <v>60</v>
      </c>
      <c r="R59" s="137" t="e" cm="1">
        <f t="array" aca="1" ref="R59" ca="1">_xlfn.XLOOKUP(Contrato5[[#This Row],[CDP]],[2]!DISPONIBILIDADES_2024[[#All],[consecutivo]],[2]!DISPONIBILIDADES_2024[[#All],[fecha_aprobacion]],"",0)</f>
        <v>#NAME?</v>
      </c>
      <c r="S59" s="138" t="e">
        <f>SUMIF([2]!DISPONIBILIDADES_2024[[#All],[consecutivo]],Contrato5[[#This Row],[CDP]],[2]!DISPONIBILIDADES_2024[[#All],[valor_total_rubro]])</f>
        <v>#REF!</v>
      </c>
      <c r="T59" s="139" t="e" cm="1">
        <f t="array" aca="1" ref="T59" ca="1">_xlfn.XLOOKUP(Contrato5[[#This Row],[CONTRATO]]&amp;Contrato5[[#This Row],[CDP]],[2]!Corr_Contr_CDP[[#All],[CONTRATO-CDP]],[2]!Corr_Contr_CDP[[#All],[CRP]],_xlfn.XLOOKUP(Contrato5[[#This Row],[CDP]],[2]!COMPROMISOS_2024[[#All],[disponibilidad]],[2]!COMPROMISOS_2024[[#All],[consecutivo]],"",0),0)</f>
        <v>#NAME?</v>
      </c>
      <c r="U59" s="140" t="e" cm="1">
        <f t="array" aca="1" ref="U59" ca="1">+_xlfn.XLOOKUP(Contrato5[[#This Row],[RCP]],[2]!COMPROMISOS_2024[[#All],[consecutivo]],[2]!COMPROMISOS_2024[[#All],[fecha_aprobacion]],"",0)</f>
        <v>#NAME?</v>
      </c>
      <c r="V59" s="141" t="e">
        <f ca="1">SUMIF([2]!COMPROMISOS_2024[[#All],[consecutivo]],Contrato5[[#This Row],[RCP]],[2]!COMPROMISOS_2024[[#All],[valor_total]])</f>
        <v>#REF!</v>
      </c>
      <c r="W59" s="415">
        <v>45334</v>
      </c>
      <c r="X59" s="415">
        <v>45334</v>
      </c>
      <c r="Y59" s="143">
        <v>45334</v>
      </c>
      <c r="Z59" s="262">
        <v>45515</v>
      </c>
      <c r="AA59" s="183" t="s">
        <v>642</v>
      </c>
      <c r="AB59" s="161" t="s">
        <v>640</v>
      </c>
      <c r="AC59" s="161"/>
      <c r="AD59" s="210">
        <v>202000003514</v>
      </c>
      <c r="AE59" s="147" t="s">
        <v>523</v>
      </c>
      <c r="AF59" s="148" t="str">
        <f>TEXT(LEFT(Contrato5[[#This Row],[CONTRATO]],3),"0")</f>
        <v>34</v>
      </c>
      <c r="AG59" s="148" t="str">
        <f>IF(LEN(Contrato5[[#This Row],[Contrato2]])=3,Contrato5[[#This Row],[Contrato2]],TEXT(Contrato5[[#This Row],[Contrato2]],"000"))</f>
        <v>034</v>
      </c>
      <c r="AH59" s="149">
        <f ca="1">IFERROR(_xlfn.DAYS(Contrato5[[#This Row],[Fecha Proyectada liquidación]],TODAY())/30,"")</f>
        <v>-4.0999999999999996</v>
      </c>
      <c r="AI59" s="150">
        <f>+Contrato5[[#This Row],[FECHA TERMINACIÓN ]]+120</f>
        <v>45635</v>
      </c>
      <c r="AK59" s="152" t="str">
        <f ca="1">IF(Contrato5[[#This Row],[FECHA TERMINACIÓN ]]&lt;TODAY(), "Terminado",IF(ISNUMBER(Contrato5[[#This Row],[Fecha Real de liquiidación ]]),"Liquidado",IF(Contrato5[[#This Row],[FECHA TERMINACIÓN ]]&gt;=TODAY(),"En ejecución","")))</f>
        <v>Terminado</v>
      </c>
      <c r="AL59" s="153" t="e">
        <f ca="1">SUMIF([2]!COMPROMISOS_2024[[#All],[consecutivo]],Contrato5[[#This Row],[RCP]],[2]!COMPROMISOS_2024[[#All],[Total pagado]])</f>
        <v>#REF!</v>
      </c>
      <c r="AM59" s="154">
        <f ca="1">IFERROR(Contrato5[[#This Row],[Pagos]]/Contrato5[[#This Row],[VALOR CONTRATO]],0)</f>
        <v>0</v>
      </c>
      <c r="AN59" s="175" t="e">
        <f ca="1">+Contrato5[[#This Row],[VALOR CONTRATO]]-Contrato5[[#This Row],[Pagos]]</f>
        <v>#REF!</v>
      </c>
      <c r="AO59" s="151" t="e" cm="1">
        <f t="array" aca="1" ref="AO59" ca="1">_xlfn.XLOOKUP(Contrato5[[#This Row],[DOCUMENTO ]],[2]!PERSONAL_ACTIVO_2024[[#All],[Documento identidad]],[2]!PERSONAL_ACTIVO_2024[[#All],[Mail ]],0,0)</f>
        <v>#NAME?</v>
      </c>
      <c r="AP59" s="151" t="e" cm="1">
        <f t="array" aca="1" ref="AP59" ca="1">_xlfn.XLOOKUP(Contrato5[[#This Row],[DOCUMENTO]],[2]!PERSONAL_ACTIVO_2024[[#All],[Documento identidad]],[2]!PERSONAL_ACTIVO_2024[[#All],[Mail ]],0,0)</f>
        <v>#NAME?</v>
      </c>
      <c r="AQ59" s="151" cm="1">
        <f t="array" aca="1" ref="AQ59" ca="1">IF(ISBLANK(Contrato5[[#This Row],[DEPENDENCIA ]]),0,IFERROR(_xlfn.XLOOKUP(Contrato5[[#This Row],[DEPENDENCIA ]],[2]!PERSONAL_ACTIVO_2024[[#All],[Dependencia]],[2]!PERSONAL_ACTIVO_2024[[#All],[Mail ]],0,0),0))</f>
        <v>0</v>
      </c>
    </row>
    <row r="60" spans="1:43" ht="34.5" customHeight="1">
      <c r="A60" s="125">
        <v>523</v>
      </c>
      <c r="B60" s="124">
        <v>35</v>
      </c>
      <c r="C60" s="162" t="s">
        <v>643</v>
      </c>
      <c r="D60" s="227" t="s">
        <v>583</v>
      </c>
      <c r="E60" s="128" t="s">
        <v>94</v>
      </c>
      <c r="F60" s="163" t="s">
        <v>1376</v>
      </c>
      <c r="G60" s="190" t="s">
        <v>644</v>
      </c>
      <c r="H60" s="447">
        <v>1001478996</v>
      </c>
      <c r="I60" s="455">
        <v>3379853</v>
      </c>
      <c r="J60" s="456">
        <v>20279118</v>
      </c>
      <c r="K60" s="147" t="s">
        <v>42</v>
      </c>
      <c r="L60" s="438" t="s">
        <v>42</v>
      </c>
      <c r="M60" s="194" t="s">
        <v>645</v>
      </c>
      <c r="N60" s="177" t="e" cm="1">
        <f t="array" aca="1" ref="N60" ca="1">_xlfn.XLOOKUP(Contrato5[[#This Row],[SUPERVISOR TITULAR]],[2]!PERSONAL_ACTIVO_2024[[#All],[Nombre completo]],[2]!PERSONAL_ACTIVO_2024[[#All],[Documento identidad]],"",0)</f>
        <v>#NAME?</v>
      </c>
      <c r="O60" s="194" t="s">
        <v>646</v>
      </c>
      <c r="P60" s="196" t="e" cm="1">
        <f t="array" aca="1" ref="P60" ca="1">_xlfn.XLOOKUP(Contrato5[[#This Row],[SUPERVISOR SUPLENTE ]],[2]!PERSONAL_ACTIVO_2024[[#All],[Nombre completo]],[2]!PERSONAL_ACTIVO_2024[[#All],[Documento identidad]],"",0)</f>
        <v>#NAME?</v>
      </c>
      <c r="Q60" s="208">
        <v>199</v>
      </c>
      <c r="R60" s="137" t="e" cm="1">
        <f t="array" aca="1" ref="R60" ca="1">_xlfn.XLOOKUP(Contrato5[[#This Row],[CDP]],[2]!DISPONIBILIDADES_2024[[#All],[consecutivo]],[2]!DISPONIBILIDADES_2024[[#All],[fecha_aprobacion]],"",0)</f>
        <v>#NAME?</v>
      </c>
      <c r="S60" s="138" t="e">
        <f>SUMIF([2]!DISPONIBILIDADES_2024[[#All],[consecutivo]],Contrato5[[#This Row],[CDP]],[2]!DISPONIBILIDADES_2024[[#All],[valor_total_rubro]])</f>
        <v>#REF!</v>
      </c>
      <c r="T60" s="139" t="e" cm="1">
        <f t="array" aca="1" ref="T60" ca="1">_xlfn.XLOOKUP(Contrato5[[#This Row],[CONTRATO]]&amp;Contrato5[[#This Row],[CDP]],[2]!Corr_Contr_CDP[[#All],[CONTRATO-CDP]],[2]!Corr_Contr_CDP[[#All],[CRP]],_xlfn.XLOOKUP(Contrato5[[#This Row],[CDP]],[2]!COMPROMISOS_2024[[#All],[disponibilidad]],[2]!COMPROMISOS_2024[[#All],[consecutivo]],"",0),0)</f>
        <v>#NAME?</v>
      </c>
      <c r="U60" s="140" t="e" cm="1">
        <f t="array" aca="1" ref="U60" ca="1">+_xlfn.XLOOKUP(Contrato5[[#This Row],[RCP]],[2]!COMPROMISOS_2024[[#All],[consecutivo]],[2]!COMPROMISOS_2024[[#All],[fecha_aprobacion]],"",0)</f>
        <v>#NAME?</v>
      </c>
      <c r="V60" s="141" t="e">
        <f ca="1">SUMIF([2]!COMPROMISOS_2024[[#All],[consecutivo]],Contrato5[[#This Row],[RCP]],[2]!COMPROMISOS_2024[[#All],[valor_total]])</f>
        <v>#REF!</v>
      </c>
      <c r="W60" s="415">
        <v>45331</v>
      </c>
      <c r="X60" s="415">
        <v>45334</v>
      </c>
      <c r="Y60" s="143">
        <v>45334</v>
      </c>
      <c r="Z60" s="262">
        <v>45515</v>
      </c>
      <c r="AA60" s="183" t="s">
        <v>647</v>
      </c>
      <c r="AB60" s="161" t="s">
        <v>640</v>
      </c>
      <c r="AC60" s="161"/>
      <c r="AD60" s="210">
        <v>202000003592</v>
      </c>
      <c r="AE60" s="147" t="s">
        <v>523</v>
      </c>
      <c r="AF60" s="148" t="str">
        <f>TEXT(LEFT(Contrato5[[#This Row],[CONTRATO]],3),"0")</f>
        <v>35</v>
      </c>
      <c r="AG60" s="148" t="str">
        <f>IF(LEN(Contrato5[[#This Row],[Contrato2]])=3,Contrato5[[#This Row],[Contrato2]],TEXT(Contrato5[[#This Row],[Contrato2]],"000"))</f>
        <v>035</v>
      </c>
      <c r="AH60" s="149">
        <f ca="1">IFERROR(_xlfn.DAYS(Contrato5[[#This Row],[Fecha Proyectada liquidación]],TODAY())/30,"")</f>
        <v>-4.0999999999999996</v>
      </c>
      <c r="AI60" s="150">
        <f>+Contrato5[[#This Row],[FECHA TERMINACIÓN ]]+120</f>
        <v>45635</v>
      </c>
      <c r="AK60" s="152" t="str">
        <f ca="1">IF(Contrato5[[#This Row],[FECHA TERMINACIÓN ]]&lt;TODAY(), "Terminado",IF(ISNUMBER(Contrato5[[#This Row],[Fecha Real de liquiidación ]]),"Liquidado",IF(Contrato5[[#This Row],[FECHA TERMINACIÓN ]]&gt;=TODAY(),"En ejecución","")))</f>
        <v>Terminado</v>
      </c>
      <c r="AL60" s="153" t="e">
        <f ca="1">SUMIF([2]!COMPROMISOS_2024[[#All],[consecutivo]],Contrato5[[#This Row],[RCP]],[2]!COMPROMISOS_2024[[#All],[Total pagado]])</f>
        <v>#REF!</v>
      </c>
      <c r="AM60" s="154">
        <f ca="1">IFERROR(Contrato5[[#This Row],[Pagos]]/Contrato5[[#This Row],[VALOR CONTRATO]],0)</f>
        <v>0</v>
      </c>
      <c r="AN60" s="175" t="e">
        <f ca="1">+Contrato5[[#This Row],[VALOR CONTRATO]]-Contrato5[[#This Row],[Pagos]]</f>
        <v>#REF!</v>
      </c>
      <c r="AO60" s="151" t="e" cm="1">
        <f t="array" aca="1" ref="AO60" ca="1">_xlfn.XLOOKUP(Contrato5[[#This Row],[DOCUMENTO ]],[2]!PERSONAL_ACTIVO_2024[[#All],[Documento identidad]],[2]!PERSONAL_ACTIVO_2024[[#All],[Mail ]],0,0)</f>
        <v>#NAME?</v>
      </c>
      <c r="AP60" s="151" t="e" cm="1">
        <f t="array" aca="1" ref="AP60" ca="1">_xlfn.XLOOKUP(Contrato5[[#This Row],[DOCUMENTO]],[2]!PERSONAL_ACTIVO_2024[[#All],[Documento identidad]],[2]!PERSONAL_ACTIVO_2024[[#All],[Mail ]],0,0)</f>
        <v>#NAME?</v>
      </c>
      <c r="AQ60" s="151" cm="1">
        <f t="array" aca="1" ref="AQ60" ca="1">IF(ISBLANK(Contrato5[[#This Row],[DEPENDENCIA ]]),0,IFERROR(_xlfn.XLOOKUP(Contrato5[[#This Row],[DEPENDENCIA ]],[2]!PERSONAL_ACTIVO_2024[[#All],[Dependencia]],[2]!PERSONAL_ACTIVO_2024[[#All],[Mail ]],0,0),0))</f>
        <v>0</v>
      </c>
    </row>
    <row r="61" spans="1:43" ht="34.5" customHeight="1">
      <c r="A61" s="125">
        <v>524</v>
      </c>
      <c r="B61" s="124">
        <v>36</v>
      </c>
      <c r="C61" s="162" t="s">
        <v>648</v>
      </c>
      <c r="D61" s="227" t="s">
        <v>583</v>
      </c>
      <c r="E61" s="128" t="s">
        <v>94</v>
      </c>
      <c r="F61" s="163" t="s">
        <v>1376</v>
      </c>
      <c r="G61" s="190" t="s">
        <v>2511</v>
      </c>
      <c r="H61" s="447">
        <v>1001248974</v>
      </c>
      <c r="I61" s="455">
        <v>4171510</v>
      </c>
      <c r="J61" s="456">
        <v>25029060</v>
      </c>
      <c r="K61" s="147" t="s">
        <v>42</v>
      </c>
      <c r="L61" s="438" t="s">
        <v>42</v>
      </c>
      <c r="M61" s="194" t="s">
        <v>585</v>
      </c>
      <c r="N61" s="177" t="e" cm="1">
        <f t="array" aca="1" ref="N61" ca="1">_xlfn.XLOOKUP(Contrato5[[#This Row],[SUPERVISOR TITULAR]],[2]!PERSONAL_ACTIVO_2024[[#All],[Nombre completo]],[2]!PERSONAL_ACTIVO_2024[[#All],[Documento identidad]],"",0)</f>
        <v>#NAME?</v>
      </c>
      <c r="O61" s="194" t="s">
        <v>600</v>
      </c>
      <c r="P61" s="196" t="e" cm="1">
        <f t="array" aca="1" ref="P61" ca="1">_xlfn.XLOOKUP(Contrato5[[#This Row],[SUPERVISOR SUPLENTE ]],[2]!PERSONAL_ACTIVO_2024[[#All],[Nombre completo]],[2]!PERSONAL_ACTIVO_2024[[#All],[Documento identidad]],"",0)</f>
        <v>#NAME?</v>
      </c>
      <c r="Q61" s="208">
        <v>207</v>
      </c>
      <c r="R61" s="137" t="e" cm="1">
        <f t="array" aca="1" ref="R61" ca="1">_xlfn.XLOOKUP(Contrato5[[#This Row],[CDP]],[2]!DISPONIBILIDADES_2024[[#All],[consecutivo]],[2]!DISPONIBILIDADES_2024[[#All],[fecha_aprobacion]],"",0)</f>
        <v>#NAME?</v>
      </c>
      <c r="S61" s="138" t="e">
        <f>SUMIF([2]!DISPONIBILIDADES_2024[[#All],[consecutivo]],Contrato5[[#This Row],[CDP]],[2]!DISPONIBILIDADES_2024[[#All],[valor_total_rubro]])</f>
        <v>#REF!</v>
      </c>
      <c r="T61" s="139" t="e" cm="1">
        <f t="array" aca="1" ref="T61" ca="1">_xlfn.XLOOKUP(Contrato5[[#This Row],[CONTRATO]]&amp;Contrato5[[#This Row],[CDP]],[2]!Corr_Contr_CDP[[#All],[CONTRATO-CDP]],[2]!Corr_Contr_CDP[[#All],[CRP]],_xlfn.XLOOKUP(Contrato5[[#This Row],[CDP]],[2]!COMPROMISOS_2024[[#All],[disponibilidad]],[2]!COMPROMISOS_2024[[#All],[consecutivo]],"",0),0)</f>
        <v>#NAME?</v>
      </c>
      <c r="U61" s="140" t="e" cm="1">
        <f t="array" aca="1" ref="U61" ca="1">+_xlfn.XLOOKUP(Contrato5[[#This Row],[RCP]],[2]!COMPROMISOS_2024[[#All],[consecutivo]],[2]!COMPROMISOS_2024[[#All],[fecha_aprobacion]],"",0)</f>
        <v>#NAME?</v>
      </c>
      <c r="V61" s="141" t="e">
        <f ca="1">SUMIF([2]!COMPROMISOS_2024[[#All],[consecutivo]],Contrato5[[#This Row],[RCP]],[2]!COMPROMISOS_2024[[#All],[valor_total]])</f>
        <v>#REF!</v>
      </c>
      <c r="W61" s="415">
        <v>45324</v>
      </c>
      <c r="X61" s="415">
        <v>45334</v>
      </c>
      <c r="Y61" s="143">
        <v>45334</v>
      </c>
      <c r="Z61" s="262">
        <v>45515</v>
      </c>
      <c r="AA61" s="183" t="s">
        <v>649</v>
      </c>
      <c r="AB61" s="161" t="s">
        <v>640</v>
      </c>
      <c r="AC61" s="161"/>
      <c r="AD61" s="210">
        <v>202000003594</v>
      </c>
      <c r="AE61" s="147" t="s">
        <v>523</v>
      </c>
      <c r="AF61" s="148" t="str">
        <f>TEXT(LEFT(Contrato5[[#This Row],[CONTRATO]],3),"0")</f>
        <v>36</v>
      </c>
      <c r="AG61" s="148" t="str">
        <f>IF(LEN(Contrato5[[#This Row],[Contrato2]])=3,Contrato5[[#This Row],[Contrato2]],TEXT(Contrato5[[#This Row],[Contrato2]],"000"))</f>
        <v>036</v>
      </c>
      <c r="AH61" s="149">
        <f ca="1">IFERROR(_xlfn.DAYS(Contrato5[[#This Row],[Fecha Proyectada liquidación]],TODAY())/30,"")</f>
        <v>-4.0999999999999996</v>
      </c>
      <c r="AI61" s="150">
        <f>+Contrato5[[#This Row],[FECHA TERMINACIÓN ]]+120</f>
        <v>45635</v>
      </c>
      <c r="AK61" s="152" t="str">
        <f ca="1">IF(Contrato5[[#This Row],[FECHA TERMINACIÓN ]]&lt;TODAY(), "Terminado",IF(ISNUMBER(Contrato5[[#This Row],[Fecha Real de liquiidación ]]),"Liquidado",IF(Contrato5[[#This Row],[FECHA TERMINACIÓN ]]&gt;=TODAY(),"En ejecución","")))</f>
        <v>Terminado</v>
      </c>
      <c r="AL61" s="153" t="e">
        <f ca="1">SUMIF([2]!COMPROMISOS_2024[[#All],[consecutivo]],Contrato5[[#This Row],[RCP]],[2]!COMPROMISOS_2024[[#All],[Total pagado]])</f>
        <v>#REF!</v>
      </c>
      <c r="AM61" s="154">
        <f ca="1">IFERROR(Contrato5[[#This Row],[Pagos]]/Contrato5[[#This Row],[VALOR CONTRATO]],0)</f>
        <v>0</v>
      </c>
      <c r="AN61" s="175" t="e">
        <f ca="1">+Contrato5[[#This Row],[VALOR CONTRATO]]-Contrato5[[#This Row],[Pagos]]</f>
        <v>#REF!</v>
      </c>
      <c r="AO61" s="151" t="e" cm="1">
        <f t="array" aca="1" ref="AO61" ca="1">_xlfn.XLOOKUP(Contrato5[[#This Row],[DOCUMENTO ]],[2]!PERSONAL_ACTIVO_2024[[#All],[Documento identidad]],[2]!PERSONAL_ACTIVO_2024[[#All],[Mail ]],0,0)</f>
        <v>#NAME?</v>
      </c>
      <c r="AP61" s="151" t="e" cm="1">
        <f t="array" aca="1" ref="AP61" ca="1">_xlfn.XLOOKUP(Contrato5[[#This Row],[DOCUMENTO]],[2]!PERSONAL_ACTIVO_2024[[#All],[Documento identidad]],[2]!PERSONAL_ACTIVO_2024[[#All],[Mail ]],0,0)</f>
        <v>#NAME?</v>
      </c>
      <c r="AQ61" s="151" cm="1">
        <f t="array" aca="1" ref="AQ61" ca="1">IF(ISBLANK(Contrato5[[#This Row],[DEPENDENCIA ]]),0,IFERROR(_xlfn.XLOOKUP(Contrato5[[#This Row],[DEPENDENCIA ]],[2]!PERSONAL_ACTIVO_2024[[#All],[Dependencia]],[2]!PERSONAL_ACTIVO_2024[[#All],[Mail ]],0,0),0))</f>
        <v>0</v>
      </c>
    </row>
    <row r="62" spans="1:43" ht="34.5" customHeight="1">
      <c r="A62" s="125">
        <v>133</v>
      </c>
      <c r="B62" s="124">
        <v>37</v>
      </c>
      <c r="C62" s="162" t="s">
        <v>1553</v>
      </c>
      <c r="D62" s="227" t="s">
        <v>583</v>
      </c>
      <c r="E62" s="128" t="s">
        <v>94</v>
      </c>
      <c r="F62" s="163" t="s">
        <v>1376</v>
      </c>
      <c r="G62" s="190" t="s">
        <v>650</v>
      </c>
      <c r="H62" s="447">
        <v>15511044</v>
      </c>
      <c r="I62" s="455">
        <v>6920169</v>
      </c>
      <c r="J62" s="456">
        <v>41521014</v>
      </c>
      <c r="K62" s="166" t="s">
        <v>42</v>
      </c>
      <c r="L62" s="438" t="s">
        <v>42</v>
      </c>
      <c r="M62" s="194" t="s">
        <v>592</v>
      </c>
      <c r="N62" s="177" t="e" cm="1">
        <f t="array" aca="1" ref="N62" ca="1">_xlfn.XLOOKUP(Contrato5[[#This Row],[SUPERVISOR TITULAR]],[2]!PERSONAL_ACTIVO_2024[[#All],[Nombre completo]],[2]!PERSONAL_ACTIVO_2024[[#All],[Documento identidad]],"",0)</f>
        <v>#NAME?</v>
      </c>
      <c r="O62" s="194" t="s">
        <v>600</v>
      </c>
      <c r="P62" s="196" t="e" cm="1">
        <f t="array" aca="1" ref="P62" ca="1">_xlfn.XLOOKUP(Contrato5[[#This Row],[SUPERVISOR SUPLENTE ]],[2]!PERSONAL_ACTIVO_2024[[#All],[Nombre completo]],[2]!PERSONAL_ACTIVO_2024[[#All],[Documento identidad]],"",0)</f>
        <v>#NAME?</v>
      </c>
      <c r="Q62" s="208">
        <v>62</v>
      </c>
      <c r="R62" s="137" t="e" cm="1">
        <f t="array" aca="1" ref="R62" ca="1">_xlfn.XLOOKUP(Contrato5[[#This Row],[CDP]],[2]!DISPONIBILIDADES_2024[[#All],[consecutivo]],[2]!DISPONIBILIDADES_2024[[#All],[fecha_aprobacion]],"",0)</f>
        <v>#NAME?</v>
      </c>
      <c r="S62" s="138" t="e">
        <f>SUMIF([2]!DISPONIBILIDADES_2024[[#All],[consecutivo]],Contrato5[[#This Row],[CDP]],[2]!DISPONIBILIDADES_2024[[#All],[valor_total_rubro]])</f>
        <v>#REF!</v>
      </c>
      <c r="T62" s="139" t="e" cm="1">
        <f t="array" aca="1" ref="T62" ca="1">_xlfn.XLOOKUP(Contrato5[[#This Row],[CONTRATO]]&amp;Contrato5[[#This Row],[CDP]],[2]!Corr_Contr_CDP[[#All],[CONTRATO-CDP]],[2]!Corr_Contr_CDP[[#All],[CRP]],_xlfn.XLOOKUP(Contrato5[[#This Row],[CDP]],[2]!COMPROMISOS_2024[[#All],[disponibilidad]],[2]!COMPROMISOS_2024[[#All],[consecutivo]],"",0),0)</f>
        <v>#NAME?</v>
      </c>
      <c r="U62" s="140" t="e" cm="1">
        <f t="array" aca="1" ref="U62" ca="1">+_xlfn.XLOOKUP(Contrato5[[#This Row],[RCP]],[2]!COMPROMISOS_2024[[#All],[consecutivo]],[2]!COMPROMISOS_2024[[#All],[fecha_aprobacion]],"",0)</f>
        <v>#NAME?</v>
      </c>
      <c r="V62" s="141" t="e">
        <f ca="1">SUMIF([2]!COMPROMISOS_2024[[#All],[consecutivo]],Contrato5[[#This Row],[RCP]],[2]!COMPROMISOS_2024[[#All],[valor_total]])</f>
        <v>#REF!</v>
      </c>
      <c r="W62" s="415">
        <v>45336</v>
      </c>
      <c r="X62" s="415">
        <v>45338</v>
      </c>
      <c r="Y62" s="143">
        <v>45338</v>
      </c>
      <c r="Z62" s="262">
        <v>45519</v>
      </c>
      <c r="AA62" s="183" t="s">
        <v>651</v>
      </c>
      <c r="AB62" s="161" t="s">
        <v>640</v>
      </c>
      <c r="AC62" s="161"/>
      <c r="AD62" s="210">
        <v>202000003597</v>
      </c>
      <c r="AE62" s="147" t="s">
        <v>523</v>
      </c>
      <c r="AF62" s="148" t="str">
        <f>TEXT(LEFT(Contrato5[[#This Row],[CONTRATO]],3),"0")</f>
        <v>37</v>
      </c>
      <c r="AG62" s="148" t="str">
        <f>IF(LEN(Contrato5[[#This Row],[Contrato2]])=3,Contrato5[[#This Row],[Contrato2]],TEXT(Contrato5[[#This Row],[Contrato2]],"000"))</f>
        <v>037</v>
      </c>
      <c r="AH62" s="149">
        <f ca="1">IFERROR(_xlfn.DAYS(Contrato5[[#This Row],[Fecha Proyectada liquidación]],TODAY())/30,"")</f>
        <v>-3.9666666666666668</v>
      </c>
      <c r="AI62" s="150">
        <f>+Contrato5[[#This Row],[FECHA TERMINACIÓN ]]+120</f>
        <v>45639</v>
      </c>
      <c r="AK62" s="152" t="str">
        <f ca="1">IF(Contrato5[[#This Row],[FECHA TERMINACIÓN ]]&lt;TODAY(), "Terminado",IF(ISNUMBER(Contrato5[[#This Row],[Fecha Real de liquiidación ]]),"Liquidado",IF(Contrato5[[#This Row],[FECHA TERMINACIÓN ]]&gt;=TODAY(),"En ejecución","")))</f>
        <v>Terminado</v>
      </c>
      <c r="AL62" s="153" t="e">
        <f ca="1">SUMIF([2]!COMPROMISOS_2024[[#All],[consecutivo]],Contrato5[[#This Row],[RCP]],[2]!COMPROMISOS_2024[[#All],[Total pagado]])</f>
        <v>#REF!</v>
      </c>
      <c r="AM62" s="154">
        <f ca="1">IFERROR(Contrato5[[#This Row],[Pagos]]/Contrato5[[#This Row],[VALOR CONTRATO]],0)</f>
        <v>0</v>
      </c>
      <c r="AN62" s="175" t="e">
        <f ca="1">+Contrato5[[#This Row],[VALOR CONTRATO]]-Contrato5[[#This Row],[Pagos]]</f>
        <v>#REF!</v>
      </c>
      <c r="AO62" s="151" t="e" cm="1">
        <f t="array" aca="1" ref="AO62" ca="1">_xlfn.XLOOKUP(Contrato5[[#This Row],[DOCUMENTO ]],[2]!PERSONAL_ACTIVO_2024[[#All],[Documento identidad]],[2]!PERSONAL_ACTIVO_2024[[#All],[Mail ]],0,0)</f>
        <v>#NAME?</v>
      </c>
      <c r="AP62" s="151" t="e" cm="1">
        <f t="array" aca="1" ref="AP62" ca="1">_xlfn.XLOOKUP(Contrato5[[#This Row],[DOCUMENTO]],[2]!PERSONAL_ACTIVO_2024[[#All],[Documento identidad]],[2]!PERSONAL_ACTIVO_2024[[#All],[Mail ]],0,0)</f>
        <v>#NAME?</v>
      </c>
      <c r="AQ62" s="151" cm="1">
        <f t="array" aca="1" ref="AQ62" ca="1">IF(ISBLANK(Contrato5[[#This Row],[DEPENDENCIA ]]),0,IFERROR(_xlfn.XLOOKUP(Contrato5[[#This Row],[DEPENDENCIA ]],[2]!PERSONAL_ACTIVO_2024[[#All],[Dependencia]],[2]!PERSONAL_ACTIVO_2024[[#All],[Mail ]],0,0),0))</f>
        <v>0</v>
      </c>
    </row>
    <row r="63" spans="1:43" ht="34.5" customHeight="1">
      <c r="A63" s="125">
        <v>134</v>
      </c>
      <c r="B63" s="124">
        <v>38</v>
      </c>
      <c r="C63" s="162" t="s">
        <v>1554</v>
      </c>
      <c r="D63" s="227" t="s">
        <v>583</v>
      </c>
      <c r="E63" s="128" t="s">
        <v>94</v>
      </c>
      <c r="F63" s="163" t="s">
        <v>1376</v>
      </c>
      <c r="G63" s="190" t="s">
        <v>652</v>
      </c>
      <c r="H63" s="447">
        <v>94537978</v>
      </c>
      <c r="I63" s="455">
        <v>5931149</v>
      </c>
      <c r="J63" s="456">
        <v>35586894</v>
      </c>
      <c r="K63" s="166" t="s">
        <v>42</v>
      </c>
      <c r="L63" s="438" t="s">
        <v>42</v>
      </c>
      <c r="M63" s="194" t="s">
        <v>592</v>
      </c>
      <c r="N63" s="177" t="e" cm="1">
        <f t="array" aca="1" ref="N63" ca="1">_xlfn.XLOOKUP(Contrato5[[#This Row],[SUPERVISOR TITULAR]],[2]!PERSONAL_ACTIVO_2024[[#All],[Nombre completo]],[2]!PERSONAL_ACTIVO_2024[[#All],[Documento identidad]],"",0)</f>
        <v>#NAME?</v>
      </c>
      <c r="O63" s="194" t="s">
        <v>600</v>
      </c>
      <c r="P63" s="196" t="e" cm="1">
        <f t="array" aca="1" ref="P63" ca="1">_xlfn.XLOOKUP(Contrato5[[#This Row],[SUPERVISOR SUPLENTE ]],[2]!PERSONAL_ACTIVO_2024[[#All],[Nombre completo]],[2]!PERSONAL_ACTIVO_2024[[#All],[Documento identidad]],"",0)</f>
        <v>#NAME?</v>
      </c>
      <c r="Q63" s="208">
        <v>63</v>
      </c>
      <c r="R63" s="137" t="e" cm="1">
        <f t="array" aca="1" ref="R63" ca="1">_xlfn.XLOOKUP(Contrato5[[#This Row],[CDP]],[2]!DISPONIBILIDADES_2024[[#All],[consecutivo]],[2]!DISPONIBILIDADES_2024[[#All],[fecha_aprobacion]],"",0)</f>
        <v>#NAME?</v>
      </c>
      <c r="S63" s="138" t="e">
        <f>SUMIF([2]!DISPONIBILIDADES_2024[[#All],[consecutivo]],Contrato5[[#This Row],[CDP]],[2]!DISPONIBILIDADES_2024[[#All],[valor_total_rubro]])</f>
        <v>#REF!</v>
      </c>
      <c r="T63" s="139" t="e" cm="1">
        <f t="array" aca="1" ref="T63" ca="1">_xlfn.XLOOKUP(Contrato5[[#This Row],[CONTRATO]]&amp;Contrato5[[#This Row],[CDP]],[2]!Corr_Contr_CDP[[#All],[CONTRATO-CDP]],[2]!Corr_Contr_CDP[[#All],[CRP]],_xlfn.XLOOKUP(Contrato5[[#This Row],[CDP]],[2]!COMPROMISOS_2024[[#All],[disponibilidad]],[2]!COMPROMISOS_2024[[#All],[consecutivo]],"",0),0)</f>
        <v>#NAME?</v>
      </c>
      <c r="U63" s="140" t="e" cm="1">
        <f t="array" aca="1" ref="U63" ca="1">+_xlfn.XLOOKUP(Contrato5[[#This Row],[RCP]],[2]!COMPROMISOS_2024[[#All],[consecutivo]],[2]!COMPROMISOS_2024[[#All],[fecha_aprobacion]],"",0)</f>
        <v>#NAME?</v>
      </c>
      <c r="V63" s="141" t="e">
        <f ca="1">SUMIF([2]!COMPROMISOS_2024[[#All],[consecutivo]],Contrato5[[#This Row],[RCP]],[2]!COMPROMISOS_2024[[#All],[valor_total]])</f>
        <v>#REF!</v>
      </c>
      <c r="W63" s="415">
        <v>45336</v>
      </c>
      <c r="X63" s="415">
        <v>45337</v>
      </c>
      <c r="Y63" s="143">
        <v>45338</v>
      </c>
      <c r="Z63" s="262">
        <v>45519</v>
      </c>
      <c r="AA63" s="171" t="s">
        <v>653</v>
      </c>
      <c r="AB63" s="161" t="s">
        <v>640</v>
      </c>
      <c r="AC63" s="161"/>
      <c r="AD63" s="210">
        <v>202000003598</v>
      </c>
      <c r="AE63" s="147" t="s">
        <v>523</v>
      </c>
      <c r="AF63" s="148" t="str">
        <f>TEXT(LEFT(Contrato5[[#This Row],[CONTRATO]],3),"0")</f>
        <v>38</v>
      </c>
      <c r="AG63" s="148" t="str">
        <f>IF(LEN(Contrato5[[#This Row],[Contrato2]])=3,Contrato5[[#This Row],[Contrato2]],TEXT(Contrato5[[#This Row],[Contrato2]],"000"))</f>
        <v>038</v>
      </c>
      <c r="AH63" s="149">
        <f ca="1">IFERROR(_xlfn.DAYS(Contrato5[[#This Row],[Fecha Proyectada liquidación]],TODAY())/30,"")</f>
        <v>-3.9666666666666668</v>
      </c>
      <c r="AI63" s="150">
        <f>+Contrato5[[#This Row],[FECHA TERMINACIÓN ]]+120</f>
        <v>45639</v>
      </c>
      <c r="AJ63" s="147"/>
      <c r="AK63" s="152" t="str">
        <f ca="1">IF(Contrato5[[#This Row],[FECHA TERMINACIÓN ]]&lt;TODAY(), "Terminado",IF(ISNUMBER(Contrato5[[#This Row],[Fecha Real de liquiidación ]]),"Liquidado",IF(Contrato5[[#This Row],[FECHA TERMINACIÓN ]]&gt;=TODAY(),"En ejecución","")))</f>
        <v>Terminado</v>
      </c>
      <c r="AL63" s="153" t="e">
        <f ca="1">SUMIF([2]!COMPROMISOS_2024[[#All],[consecutivo]],Contrato5[[#This Row],[RCP]],[2]!COMPROMISOS_2024[[#All],[Total pagado]])</f>
        <v>#REF!</v>
      </c>
      <c r="AM63" s="154">
        <f ca="1">IFERROR(Contrato5[[#This Row],[Pagos]]/Contrato5[[#This Row],[VALOR CONTRATO]],0)</f>
        <v>0</v>
      </c>
      <c r="AN63" s="198" t="e">
        <f ca="1">+Contrato5[[#This Row],[VALOR CONTRATO]]-Contrato5[[#This Row],[Pagos]]</f>
        <v>#REF!</v>
      </c>
      <c r="AO63" s="147" t="e" cm="1">
        <f t="array" aca="1" ref="AO63" ca="1">_xlfn.XLOOKUP(Contrato5[[#This Row],[DOCUMENTO ]],[2]!PERSONAL_ACTIVO_2024[[#All],[Documento identidad]],[2]!PERSONAL_ACTIVO_2024[[#All],[Mail ]],0,0)</f>
        <v>#NAME?</v>
      </c>
      <c r="AP63" s="147" t="e" cm="1">
        <f t="array" aca="1" ref="AP63" ca="1">_xlfn.XLOOKUP(Contrato5[[#This Row],[DOCUMENTO]],[2]!PERSONAL_ACTIVO_2024[[#All],[Documento identidad]],[2]!PERSONAL_ACTIVO_2024[[#All],[Mail ]],0,0)</f>
        <v>#NAME?</v>
      </c>
      <c r="AQ63" s="439" cm="1">
        <f t="array" aca="1" ref="AQ63" ca="1">IF(ISBLANK(Contrato5[[#This Row],[DEPENDENCIA ]]),0,IFERROR(_xlfn.XLOOKUP(Contrato5[[#This Row],[DEPENDENCIA ]],[2]!PERSONAL_ACTIVO_2024[[#All],[Dependencia]],[2]!PERSONAL_ACTIVO_2024[[#All],[Mail ]],0,0),0))</f>
        <v>0</v>
      </c>
    </row>
    <row r="64" spans="1:43" ht="34.5" customHeight="1">
      <c r="A64" s="125">
        <v>135</v>
      </c>
      <c r="B64" s="124">
        <v>39</v>
      </c>
      <c r="C64" s="162" t="s">
        <v>1555</v>
      </c>
      <c r="D64" s="227" t="s">
        <v>583</v>
      </c>
      <c r="E64" s="128" t="s">
        <v>94</v>
      </c>
      <c r="F64" s="163" t="s">
        <v>1376</v>
      </c>
      <c r="G64" s="190" t="s">
        <v>654</v>
      </c>
      <c r="H64" s="447">
        <v>71313409</v>
      </c>
      <c r="I64" s="455">
        <v>4908936</v>
      </c>
      <c r="J64" s="456">
        <v>29453616</v>
      </c>
      <c r="K64" s="166" t="s">
        <v>42</v>
      </c>
      <c r="L64" s="438" t="s">
        <v>42</v>
      </c>
      <c r="M64" s="194" t="s">
        <v>592</v>
      </c>
      <c r="N64" s="177" t="e" cm="1">
        <f t="array" aca="1" ref="N64" ca="1">_xlfn.XLOOKUP(Contrato5[[#This Row],[SUPERVISOR TITULAR]],[2]!PERSONAL_ACTIVO_2024[[#All],[Nombre completo]],[2]!PERSONAL_ACTIVO_2024[[#All],[Documento identidad]],"",0)</f>
        <v>#NAME?</v>
      </c>
      <c r="O64" s="194" t="s">
        <v>600</v>
      </c>
      <c r="P64" s="196" t="e" cm="1">
        <f t="array" aca="1" ref="P64" ca="1">_xlfn.XLOOKUP(Contrato5[[#This Row],[SUPERVISOR SUPLENTE ]],[2]!PERSONAL_ACTIVO_2024[[#All],[Nombre completo]],[2]!PERSONAL_ACTIVO_2024[[#All],[Documento identidad]],"",0)</f>
        <v>#NAME?</v>
      </c>
      <c r="Q64" s="208">
        <v>64</v>
      </c>
      <c r="R64" s="137" t="e" cm="1">
        <f t="array" aca="1" ref="R64" ca="1">_xlfn.XLOOKUP(Contrato5[[#This Row],[CDP]],[2]!DISPONIBILIDADES_2024[[#All],[consecutivo]],[2]!DISPONIBILIDADES_2024[[#All],[fecha_aprobacion]],"",0)</f>
        <v>#NAME?</v>
      </c>
      <c r="S64" s="138" t="e">
        <f>SUMIF([2]!DISPONIBILIDADES_2024[[#All],[consecutivo]],Contrato5[[#This Row],[CDP]],[2]!DISPONIBILIDADES_2024[[#All],[valor_total_rubro]])</f>
        <v>#REF!</v>
      </c>
      <c r="T64" s="139" t="e" cm="1">
        <f t="array" aca="1" ref="T64" ca="1">_xlfn.XLOOKUP(Contrato5[[#This Row],[CONTRATO]]&amp;Contrato5[[#This Row],[CDP]],[2]!Corr_Contr_CDP[[#All],[CONTRATO-CDP]],[2]!Corr_Contr_CDP[[#All],[CRP]],_xlfn.XLOOKUP(Contrato5[[#This Row],[CDP]],[2]!COMPROMISOS_2024[[#All],[disponibilidad]],[2]!COMPROMISOS_2024[[#All],[consecutivo]],"",0),0)</f>
        <v>#NAME?</v>
      </c>
      <c r="U64" s="140" t="e" cm="1">
        <f t="array" aca="1" ref="U64" ca="1">+_xlfn.XLOOKUP(Contrato5[[#This Row],[RCP]],[2]!COMPROMISOS_2024[[#All],[consecutivo]],[2]!COMPROMISOS_2024[[#All],[fecha_aprobacion]],"",0)</f>
        <v>#NAME?</v>
      </c>
      <c r="V64" s="141" t="e">
        <f ca="1">SUMIF([2]!COMPROMISOS_2024[[#All],[consecutivo]],Contrato5[[#This Row],[RCP]],[2]!COMPROMISOS_2024[[#All],[valor_total]])</f>
        <v>#REF!</v>
      </c>
      <c r="W64" s="415">
        <v>45336</v>
      </c>
      <c r="X64" s="415">
        <v>45338</v>
      </c>
      <c r="Y64" s="143">
        <v>45338</v>
      </c>
      <c r="Z64" s="262">
        <v>45519</v>
      </c>
      <c r="AA64" s="183" t="s">
        <v>651</v>
      </c>
      <c r="AB64" s="161" t="s">
        <v>640</v>
      </c>
      <c r="AC64" s="161"/>
      <c r="AD64" s="210">
        <v>202000003599</v>
      </c>
      <c r="AE64" s="147" t="s">
        <v>523</v>
      </c>
      <c r="AF64" s="148" t="str">
        <f>TEXT(LEFT(Contrato5[[#This Row],[CONTRATO]],3),"0")</f>
        <v>39</v>
      </c>
      <c r="AG64" s="148" t="str">
        <f>IF(LEN(Contrato5[[#This Row],[Contrato2]])=3,Contrato5[[#This Row],[Contrato2]],TEXT(Contrato5[[#This Row],[Contrato2]],"000"))</f>
        <v>039</v>
      </c>
      <c r="AH64" s="149">
        <f ca="1">IFERROR(_xlfn.DAYS(Contrato5[[#This Row],[Fecha Proyectada liquidación]],TODAY())/30,"")</f>
        <v>-3.9666666666666668</v>
      </c>
      <c r="AI64" s="150">
        <f>+Contrato5[[#This Row],[FECHA TERMINACIÓN ]]+120</f>
        <v>45639</v>
      </c>
      <c r="AJ64" s="147"/>
      <c r="AK64" s="152" t="str">
        <f ca="1">IF(Contrato5[[#This Row],[FECHA TERMINACIÓN ]]&lt;TODAY(), "Terminado",IF(ISNUMBER(Contrato5[[#This Row],[Fecha Real de liquiidación ]]),"Liquidado",IF(Contrato5[[#This Row],[FECHA TERMINACIÓN ]]&gt;=TODAY(),"En ejecución","")))</f>
        <v>Terminado</v>
      </c>
      <c r="AL64" s="153" t="e">
        <f ca="1">SUMIF([2]!COMPROMISOS_2024[[#All],[consecutivo]],Contrato5[[#This Row],[RCP]],[2]!COMPROMISOS_2024[[#All],[Total pagado]])</f>
        <v>#REF!</v>
      </c>
      <c r="AM64" s="154">
        <f ca="1">IFERROR(Contrato5[[#This Row],[Pagos]]/Contrato5[[#This Row],[VALOR CONTRATO]],0)</f>
        <v>0</v>
      </c>
      <c r="AN64" s="198" t="e">
        <f ca="1">+Contrato5[[#This Row],[VALOR CONTRATO]]-Contrato5[[#This Row],[Pagos]]</f>
        <v>#REF!</v>
      </c>
      <c r="AO64" s="147" t="e" cm="1">
        <f t="array" aca="1" ref="AO64" ca="1">_xlfn.XLOOKUP(Contrato5[[#This Row],[DOCUMENTO ]],[2]!PERSONAL_ACTIVO_2024[[#All],[Documento identidad]],[2]!PERSONAL_ACTIVO_2024[[#All],[Mail ]],0,0)</f>
        <v>#NAME?</v>
      </c>
      <c r="AP64" s="147" t="e" cm="1">
        <f t="array" aca="1" ref="AP64" ca="1">_xlfn.XLOOKUP(Contrato5[[#This Row],[DOCUMENTO]],[2]!PERSONAL_ACTIVO_2024[[#All],[Documento identidad]],[2]!PERSONAL_ACTIVO_2024[[#All],[Mail ]],0,0)</f>
        <v>#NAME?</v>
      </c>
      <c r="AQ64" s="439" cm="1">
        <f t="array" aca="1" ref="AQ64" ca="1">IF(ISBLANK(Contrato5[[#This Row],[DEPENDENCIA ]]),0,IFERROR(_xlfn.XLOOKUP(Contrato5[[#This Row],[DEPENDENCIA ]],[2]!PERSONAL_ACTIVO_2024[[#All],[Dependencia]],[2]!PERSONAL_ACTIVO_2024[[#All],[Mail ]],0,0),0))</f>
        <v>0</v>
      </c>
    </row>
    <row r="65" spans="1:43" ht="34.5" customHeight="1">
      <c r="A65" s="125">
        <v>136</v>
      </c>
      <c r="B65" s="124">
        <v>40</v>
      </c>
      <c r="C65" s="162" t="s">
        <v>1556</v>
      </c>
      <c r="D65" s="227" t="s">
        <v>583</v>
      </c>
      <c r="E65" s="128" t="s">
        <v>94</v>
      </c>
      <c r="F65" s="163" t="s">
        <v>1376</v>
      </c>
      <c r="G65" s="190" t="s">
        <v>655</v>
      </c>
      <c r="H65" s="447">
        <v>71279580</v>
      </c>
      <c r="I65" s="455">
        <v>2574842</v>
      </c>
      <c r="J65" s="456">
        <v>15449052</v>
      </c>
      <c r="K65" s="166" t="s">
        <v>42</v>
      </c>
      <c r="L65" s="438" t="s">
        <v>42</v>
      </c>
      <c r="M65" s="194" t="s">
        <v>592</v>
      </c>
      <c r="N65" s="177" t="e" cm="1">
        <f t="array" aca="1" ref="N65" ca="1">_xlfn.XLOOKUP(Contrato5[[#This Row],[SUPERVISOR TITULAR]],[2]!PERSONAL_ACTIVO_2024[[#All],[Nombre completo]],[2]!PERSONAL_ACTIVO_2024[[#All],[Documento identidad]],"",0)</f>
        <v>#NAME?</v>
      </c>
      <c r="O65" s="194" t="s">
        <v>600</v>
      </c>
      <c r="P65" s="196" t="e" cm="1">
        <f t="array" aca="1" ref="P65" ca="1">_xlfn.XLOOKUP(Contrato5[[#This Row],[SUPERVISOR SUPLENTE ]],[2]!PERSONAL_ACTIVO_2024[[#All],[Nombre completo]],[2]!PERSONAL_ACTIVO_2024[[#All],[Documento identidad]],"",0)</f>
        <v>#NAME?</v>
      </c>
      <c r="Q65" s="208">
        <v>65</v>
      </c>
      <c r="R65" s="137" t="e" cm="1">
        <f t="array" aca="1" ref="R65" ca="1">_xlfn.XLOOKUP(Contrato5[[#This Row],[CDP]],[2]!DISPONIBILIDADES_2024[[#All],[consecutivo]],[2]!DISPONIBILIDADES_2024[[#All],[fecha_aprobacion]],"",0)</f>
        <v>#NAME?</v>
      </c>
      <c r="S65" s="138" t="e">
        <f>SUMIF([2]!DISPONIBILIDADES_2024[[#All],[consecutivo]],Contrato5[[#This Row],[CDP]],[2]!DISPONIBILIDADES_2024[[#All],[valor_total_rubro]])</f>
        <v>#REF!</v>
      </c>
      <c r="T65" s="139" t="e" cm="1">
        <f t="array" aca="1" ref="T65" ca="1">_xlfn.XLOOKUP(Contrato5[[#This Row],[CONTRATO]]&amp;Contrato5[[#This Row],[CDP]],[2]!Corr_Contr_CDP[[#All],[CONTRATO-CDP]],[2]!Corr_Contr_CDP[[#All],[CRP]],_xlfn.XLOOKUP(Contrato5[[#This Row],[CDP]],[2]!COMPROMISOS_2024[[#All],[disponibilidad]],[2]!COMPROMISOS_2024[[#All],[consecutivo]],"",0),0)</f>
        <v>#NAME?</v>
      </c>
      <c r="U65" s="140" t="e" cm="1">
        <f t="array" aca="1" ref="U65" ca="1">+_xlfn.XLOOKUP(Contrato5[[#This Row],[RCP]],[2]!COMPROMISOS_2024[[#All],[consecutivo]],[2]!COMPROMISOS_2024[[#All],[fecha_aprobacion]],"",0)</f>
        <v>#NAME?</v>
      </c>
      <c r="V65" s="141" t="e">
        <f ca="1">SUMIF([2]!COMPROMISOS_2024[[#All],[consecutivo]],Contrato5[[#This Row],[RCP]],[2]!COMPROMISOS_2024[[#All],[valor_total]])</f>
        <v>#REF!</v>
      </c>
      <c r="W65" s="415">
        <v>45336</v>
      </c>
      <c r="X65" s="415">
        <v>45337</v>
      </c>
      <c r="Y65" s="143">
        <v>45338</v>
      </c>
      <c r="Z65" s="262">
        <v>45519</v>
      </c>
      <c r="AA65" s="171" t="s">
        <v>653</v>
      </c>
      <c r="AB65" s="161" t="s">
        <v>640</v>
      </c>
      <c r="AC65" s="161"/>
      <c r="AD65" s="210">
        <v>202000003600</v>
      </c>
      <c r="AE65" s="147" t="s">
        <v>523</v>
      </c>
      <c r="AF65" s="148" t="str">
        <f>TEXT(LEFT(Contrato5[[#This Row],[CONTRATO]],3),"0")</f>
        <v>40</v>
      </c>
      <c r="AG65" s="148" t="str">
        <f>IF(LEN(Contrato5[[#This Row],[Contrato2]])=3,Contrato5[[#This Row],[Contrato2]],TEXT(Contrato5[[#This Row],[Contrato2]],"000"))</f>
        <v>040</v>
      </c>
      <c r="AH65" s="149">
        <f ca="1">IFERROR(_xlfn.DAYS(Contrato5[[#This Row],[Fecha Proyectada liquidación]],TODAY())/30,"")</f>
        <v>-3.9666666666666668</v>
      </c>
      <c r="AI65" s="150">
        <f>+Contrato5[[#This Row],[FECHA TERMINACIÓN ]]+120</f>
        <v>45639</v>
      </c>
      <c r="AJ65" s="147"/>
      <c r="AK65" s="152" t="str">
        <f ca="1">IF(Contrato5[[#This Row],[FECHA TERMINACIÓN ]]&lt;TODAY(), "Terminado",IF(ISNUMBER(Contrato5[[#This Row],[Fecha Real de liquiidación ]]),"Liquidado",IF(Contrato5[[#This Row],[FECHA TERMINACIÓN ]]&gt;=TODAY(),"En ejecución","")))</f>
        <v>Terminado</v>
      </c>
      <c r="AL65" s="153" t="e">
        <f ca="1">SUMIF([2]!COMPROMISOS_2024[[#All],[consecutivo]],Contrato5[[#This Row],[RCP]],[2]!COMPROMISOS_2024[[#All],[Total pagado]])</f>
        <v>#REF!</v>
      </c>
      <c r="AM65" s="154">
        <f ca="1">IFERROR(Contrato5[[#This Row],[Pagos]]/Contrato5[[#This Row],[VALOR CONTRATO]],0)</f>
        <v>0</v>
      </c>
      <c r="AN65" s="198" t="e">
        <f ca="1">+Contrato5[[#This Row],[VALOR CONTRATO]]-Contrato5[[#This Row],[Pagos]]</f>
        <v>#REF!</v>
      </c>
      <c r="AO65" s="147" t="e" cm="1">
        <f t="array" aca="1" ref="AO65" ca="1">_xlfn.XLOOKUP(Contrato5[[#This Row],[DOCUMENTO ]],[2]!PERSONAL_ACTIVO_2024[[#All],[Documento identidad]],[2]!PERSONAL_ACTIVO_2024[[#All],[Mail ]],0,0)</f>
        <v>#NAME?</v>
      </c>
      <c r="AP65" s="147" t="e" cm="1">
        <f t="array" aca="1" ref="AP65" ca="1">_xlfn.XLOOKUP(Contrato5[[#This Row],[DOCUMENTO]],[2]!PERSONAL_ACTIVO_2024[[#All],[Documento identidad]],[2]!PERSONAL_ACTIVO_2024[[#All],[Mail ]],0,0)</f>
        <v>#NAME?</v>
      </c>
      <c r="AQ65" s="439" cm="1">
        <f t="array" aca="1" ref="AQ65" ca="1">IF(ISBLANK(Contrato5[[#This Row],[DEPENDENCIA ]]),0,IFERROR(_xlfn.XLOOKUP(Contrato5[[#This Row],[DEPENDENCIA ]],[2]!PERSONAL_ACTIVO_2024[[#All],[Dependencia]],[2]!PERSONAL_ACTIVO_2024[[#All],[Mail ]],0,0),0))</f>
        <v>0</v>
      </c>
    </row>
    <row r="66" spans="1:43" ht="34.5" customHeight="1">
      <c r="A66" s="125">
        <v>137</v>
      </c>
      <c r="B66" s="124">
        <v>41</v>
      </c>
      <c r="C66" s="162" t="s">
        <v>1557</v>
      </c>
      <c r="D66" s="227" t="s">
        <v>583</v>
      </c>
      <c r="E66" s="128" t="s">
        <v>94</v>
      </c>
      <c r="F66" s="163" t="s">
        <v>1376</v>
      </c>
      <c r="G66" s="190" t="s">
        <v>656</v>
      </c>
      <c r="H66" s="447">
        <v>43809808</v>
      </c>
      <c r="I66" s="455">
        <v>5931149</v>
      </c>
      <c r="J66" s="456">
        <v>35586894</v>
      </c>
      <c r="K66" s="166" t="s">
        <v>42</v>
      </c>
      <c r="L66" s="438" t="s">
        <v>42</v>
      </c>
      <c r="M66" s="194" t="s">
        <v>592</v>
      </c>
      <c r="N66" s="177" t="e" cm="1">
        <f t="array" aca="1" ref="N66" ca="1">_xlfn.XLOOKUP(Contrato5[[#This Row],[SUPERVISOR TITULAR]],[2]!PERSONAL_ACTIVO_2024[[#All],[Nombre completo]],[2]!PERSONAL_ACTIVO_2024[[#All],[Documento identidad]],"",0)</f>
        <v>#NAME?</v>
      </c>
      <c r="O66" s="194" t="s">
        <v>600</v>
      </c>
      <c r="P66" s="196" t="e" cm="1">
        <f t="array" aca="1" ref="P66" ca="1">_xlfn.XLOOKUP(Contrato5[[#This Row],[SUPERVISOR SUPLENTE ]],[2]!PERSONAL_ACTIVO_2024[[#All],[Nombre completo]],[2]!PERSONAL_ACTIVO_2024[[#All],[Documento identidad]],"",0)</f>
        <v>#NAME?</v>
      </c>
      <c r="Q66" s="170">
        <v>66</v>
      </c>
      <c r="R66" s="137" t="e" cm="1">
        <f t="array" aca="1" ref="R66" ca="1">_xlfn.XLOOKUP(Contrato5[[#This Row],[CDP]],[2]!DISPONIBILIDADES_2024[[#All],[consecutivo]],[2]!DISPONIBILIDADES_2024[[#All],[fecha_aprobacion]],"",0)</f>
        <v>#NAME?</v>
      </c>
      <c r="S66" s="138" t="e">
        <f>SUMIF([2]!DISPONIBILIDADES_2024[[#All],[consecutivo]],Contrato5[[#This Row],[CDP]],[2]!DISPONIBILIDADES_2024[[#All],[valor_total_rubro]])</f>
        <v>#REF!</v>
      </c>
      <c r="T66" s="139" t="e" cm="1">
        <f t="array" aca="1" ref="T66" ca="1">_xlfn.XLOOKUP(Contrato5[[#This Row],[CONTRATO]]&amp;Contrato5[[#This Row],[CDP]],[2]!Corr_Contr_CDP[[#All],[CONTRATO-CDP]],[2]!Corr_Contr_CDP[[#All],[CRP]],_xlfn.XLOOKUP(Contrato5[[#This Row],[CDP]],[2]!COMPROMISOS_2024[[#All],[disponibilidad]],[2]!COMPROMISOS_2024[[#All],[consecutivo]],"",0),0)</f>
        <v>#NAME?</v>
      </c>
      <c r="U66" s="140" t="e" cm="1">
        <f t="array" aca="1" ref="U66" ca="1">+_xlfn.XLOOKUP(Contrato5[[#This Row],[RCP]],[2]!COMPROMISOS_2024[[#All],[consecutivo]],[2]!COMPROMISOS_2024[[#All],[fecha_aprobacion]],"",0)</f>
        <v>#NAME?</v>
      </c>
      <c r="V66" s="141" t="e">
        <f ca="1">SUMIF([2]!COMPROMISOS_2024[[#All],[consecutivo]],Contrato5[[#This Row],[RCP]],[2]!COMPROMISOS_2024[[#All],[valor_total]])</f>
        <v>#REF!</v>
      </c>
      <c r="W66" s="415">
        <v>45336</v>
      </c>
      <c r="X66" s="415">
        <v>45338</v>
      </c>
      <c r="Y66" s="143">
        <v>45338</v>
      </c>
      <c r="Z66" s="262">
        <v>45519</v>
      </c>
      <c r="AA66" s="183" t="s">
        <v>651</v>
      </c>
      <c r="AB66" s="161" t="s">
        <v>640</v>
      </c>
      <c r="AC66" s="161"/>
      <c r="AD66" s="210">
        <v>202000003601</v>
      </c>
      <c r="AE66" s="147" t="s">
        <v>523</v>
      </c>
      <c r="AF66" s="148" t="str">
        <f>TEXT(LEFT(Contrato5[[#This Row],[CONTRATO]],3),"0")</f>
        <v>41</v>
      </c>
      <c r="AG66" s="148" t="str">
        <f>IF(LEN(Contrato5[[#This Row],[Contrato2]])=3,Contrato5[[#This Row],[Contrato2]],TEXT(Contrato5[[#This Row],[Contrato2]],"000"))</f>
        <v>041</v>
      </c>
      <c r="AH66" s="149">
        <f ca="1">IFERROR(_xlfn.DAYS(Contrato5[[#This Row],[Fecha Proyectada liquidación]],TODAY())/30,"")</f>
        <v>-3.9666666666666668</v>
      </c>
      <c r="AI66" s="150">
        <f>+Contrato5[[#This Row],[FECHA TERMINACIÓN ]]+120</f>
        <v>45639</v>
      </c>
      <c r="AJ66" s="147"/>
      <c r="AK66" s="152" t="str">
        <f ca="1">IF(Contrato5[[#This Row],[FECHA TERMINACIÓN ]]&lt;TODAY(), "Terminado",IF(ISNUMBER(Contrato5[[#This Row],[Fecha Real de liquiidación ]]),"Liquidado",IF(Contrato5[[#This Row],[FECHA TERMINACIÓN ]]&gt;=TODAY(),"En ejecución","")))</f>
        <v>Terminado</v>
      </c>
      <c r="AL66" s="153" t="e">
        <f ca="1">SUMIF([2]!COMPROMISOS_2024[[#All],[consecutivo]],Contrato5[[#This Row],[RCP]],[2]!COMPROMISOS_2024[[#All],[Total pagado]])</f>
        <v>#REF!</v>
      </c>
      <c r="AM66" s="154">
        <f ca="1">IFERROR(Contrato5[[#This Row],[Pagos]]/Contrato5[[#This Row],[VALOR CONTRATO]],0)</f>
        <v>0</v>
      </c>
      <c r="AN66" s="198" t="e">
        <f ca="1">+Contrato5[[#This Row],[VALOR CONTRATO]]-Contrato5[[#This Row],[Pagos]]</f>
        <v>#REF!</v>
      </c>
      <c r="AO66" s="147" t="e" cm="1">
        <f t="array" aca="1" ref="AO66" ca="1">_xlfn.XLOOKUP(Contrato5[[#This Row],[DOCUMENTO ]],[2]!PERSONAL_ACTIVO_2024[[#All],[Documento identidad]],[2]!PERSONAL_ACTIVO_2024[[#All],[Mail ]],0,0)</f>
        <v>#NAME?</v>
      </c>
      <c r="AP66" s="147" t="e" cm="1">
        <f t="array" aca="1" ref="AP66" ca="1">_xlfn.XLOOKUP(Contrato5[[#This Row],[DOCUMENTO]],[2]!PERSONAL_ACTIVO_2024[[#All],[Documento identidad]],[2]!PERSONAL_ACTIVO_2024[[#All],[Mail ]],0,0)</f>
        <v>#NAME?</v>
      </c>
      <c r="AQ66" s="439" cm="1">
        <f t="array" aca="1" ref="AQ66" ca="1">IF(ISBLANK(Contrato5[[#This Row],[DEPENDENCIA ]]),0,IFERROR(_xlfn.XLOOKUP(Contrato5[[#This Row],[DEPENDENCIA ]],[2]!PERSONAL_ACTIVO_2024[[#All],[Dependencia]],[2]!PERSONAL_ACTIVO_2024[[#All],[Mail ]],0,0),0))</f>
        <v>0</v>
      </c>
    </row>
    <row r="67" spans="1:43" ht="34.5" customHeight="1">
      <c r="A67" s="125">
        <v>138</v>
      </c>
      <c r="B67" s="124">
        <v>42</v>
      </c>
      <c r="C67" s="162" t="s">
        <v>1558</v>
      </c>
      <c r="D67" s="227" t="s">
        <v>583</v>
      </c>
      <c r="E67" s="128" t="s">
        <v>94</v>
      </c>
      <c r="F67" s="163" t="s">
        <v>1376</v>
      </c>
      <c r="G67" s="190" t="s">
        <v>657</v>
      </c>
      <c r="H67" s="447">
        <v>1017224696</v>
      </c>
      <c r="I67" s="455">
        <v>3952382</v>
      </c>
      <c r="J67" s="456">
        <v>23714292</v>
      </c>
      <c r="K67" s="166" t="s">
        <v>42</v>
      </c>
      <c r="L67" s="438" t="s">
        <v>42</v>
      </c>
      <c r="M67" s="194" t="s">
        <v>592</v>
      </c>
      <c r="N67" s="177" t="e" cm="1">
        <f t="array" aca="1" ref="N67" ca="1">_xlfn.XLOOKUP(Contrato5[[#This Row],[SUPERVISOR TITULAR]],[2]!PERSONAL_ACTIVO_2024[[#All],[Nombre completo]],[2]!PERSONAL_ACTIVO_2024[[#All],[Documento identidad]],"",0)</f>
        <v>#NAME?</v>
      </c>
      <c r="O67" s="194" t="s">
        <v>600</v>
      </c>
      <c r="P67" s="196" t="e" cm="1">
        <f t="array" aca="1" ref="P67" ca="1">_xlfn.XLOOKUP(Contrato5[[#This Row],[SUPERVISOR SUPLENTE ]],[2]!PERSONAL_ACTIVO_2024[[#All],[Nombre completo]],[2]!PERSONAL_ACTIVO_2024[[#All],[Documento identidad]],"",0)</f>
        <v>#NAME?</v>
      </c>
      <c r="Q67" s="208">
        <v>67</v>
      </c>
      <c r="R67" s="137" t="e" cm="1">
        <f t="array" aca="1" ref="R67" ca="1">_xlfn.XLOOKUP(Contrato5[[#This Row],[CDP]],[2]!DISPONIBILIDADES_2024[[#All],[consecutivo]],[2]!DISPONIBILIDADES_2024[[#All],[fecha_aprobacion]],"",0)</f>
        <v>#NAME?</v>
      </c>
      <c r="S67" s="138" t="e">
        <f>SUMIF([2]!DISPONIBILIDADES_2024[[#All],[consecutivo]],Contrato5[[#This Row],[CDP]],[2]!DISPONIBILIDADES_2024[[#All],[valor_total_rubro]])</f>
        <v>#REF!</v>
      </c>
      <c r="T67" s="139" t="e" cm="1">
        <f t="array" aca="1" ref="T67" ca="1">_xlfn.XLOOKUP(Contrato5[[#This Row],[CONTRATO]]&amp;Contrato5[[#This Row],[CDP]],[2]!Corr_Contr_CDP[[#All],[CONTRATO-CDP]],[2]!Corr_Contr_CDP[[#All],[CRP]],_xlfn.XLOOKUP(Contrato5[[#This Row],[CDP]],[2]!COMPROMISOS_2024[[#All],[disponibilidad]],[2]!COMPROMISOS_2024[[#All],[consecutivo]],"",0),0)</f>
        <v>#NAME?</v>
      </c>
      <c r="U67" s="140" t="e" cm="1">
        <f t="array" aca="1" ref="U67" ca="1">+_xlfn.XLOOKUP(Contrato5[[#This Row],[RCP]],[2]!COMPROMISOS_2024[[#All],[consecutivo]],[2]!COMPROMISOS_2024[[#All],[fecha_aprobacion]],"",0)</f>
        <v>#NAME?</v>
      </c>
      <c r="V67" s="141" t="e">
        <f ca="1">SUMIF([2]!COMPROMISOS_2024[[#All],[consecutivo]],Contrato5[[#This Row],[RCP]],[2]!COMPROMISOS_2024[[#All],[valor_total]])</f>
        <v>#REF!</v>
      </c>
      <c r="W67" s="415">
        <v>45336</v>
      </c>
      <c r="X67" s="415">
        <v>45337</v>
      </c>
      <c r="Y67" s="143">
        <v>45338</v>
      </c>
      <c r="Z67" s="262">
        <v>45519</v>
      </c>
      <c r="AA67" s="171" t="s">
        <v>653</v>
      </c>
      <c r="AB67" s="161" t="s">
        <v>640</v>
      </c>
      <c r="AC67" s="161"/>
      <c r="AD67" s="210">
        <v>202000003602</v>
      </c>
      <c r="AE67" s="147" t="s">
        <v>523</v>
      </c>
      <c r="AF67" s="148" t="str">
        <f>TEXT(LEFT(Contrato5[[#This Row],[CONTRATO]],3),"0")</f>
        <v>42</v>
      </c>
      <c r="AG67" s="148" t="str">
        <f>IF(LEN(Contrato5[[#This Row],[Contrato2]])=3,Contrato5[[#This Row],[Contrato2]],TEXT(Contrato5[[#This Row],[Contrato2]],"000"))</f>
        <v>042</v>
      </c>
      <c r="AH67" s="149">
        <f ca="1">IFERROR(_xlfn.DAYS(Contrato5[[#This Row],[Fecha Proyectada liquidación]],TODAY())/30,"")</f>
        <v>-3.9666666666666668</v>
      </c>
      <c r="AI67" s="150">
        <f>+Contrato5[[#This Row],[FECHA TERMINACIÓN ]]+120</f>
        <v>45639</v>
      </c>
      <c r="AJ67" s="147"/>
      <c r="AK67" s="152" t="str">
        <f ca="1">IF(Contrato5[[#This Row],[FECHA TERMINACIÓN ]]&lt;TODAY(), "Terminado",IF(ISNUMBER(Contrato5[[#This Row],[Fecha Real de liquiidación ]]),"Liquidado",IF(Contrato5[[#This Row],[FECHA TERMINACIÓN ]]&gt;=TODAY(),"En ejecución","")))</f>
        <v>Terminado</v>
      </c>
      <c r="AL67" s="153" t="e">
        <f ca="1">SUMIF([2]!COMPROMISOS_2024[[#All],[consecutivo]],Contrato5[[#This Row],[RCP]],[2]!COMPROMISOS_2024[[#All],[Total pagado]])</f>
        <v>#REF!</v>
      </c>
      <c r="AM67" s="154">
        <f ca="1">IFERROR(Contrato5[[#This Row],[Pagos]]/Contrato5[[#This Row],[VALOR CONTRATO]],0)</f>
        <v>0</v>
      </c>
      <c r="AN67" s="198" t="e">
        <f ca="1">+Contrato5[[#This Row],[VALOR CONTRATO]]-Contrato5[[#This Row],[Pagos]]</f>
        <v>#REF!</v>
      </c>
      <c r="AO67" s="147" t="e" cm="1">
        <f t="array" aca="1" ref="AO67" ca="1">_xlfn.XLOOKUP(Contrato5[[#This Row],[DOCUMENTO ]],[2]!PERSONAL_ACTIVO_2024[[#All],[Documento identidad]],[2]!PERSONAL_ACTIVO_2024[[#All],[Mail ]],0,0)</f>
        <v>#NAME?</v>
      </c>
      <c r="AP67" s="147" t="e" cm="1">
        <f t="array" aca="1" ref="AP67" ca="1">_xlfn.XLOOKUP(Contrato5[[#This Row],[DOCUMENTO]],[2]!PERSONAL_ACTIVO_2024[[#All],[Documento identidad]],[2]!PERSONAL_ACTIVO_2024[[#All],[Mail ]],0,0)</f>
        <v>#NAME?</v>
      </c>
      <c r="AQ67" s="439" cm="1">
        <f t="array" aca="1" ref="AQ67" ca="1">IF(ISBLANK(Contrato5[[#This Row],[DEPENDENCIA ]]),0,IFERROR(_xlfn.XLOOKUP(Contrato5[[#This Row],[DEPENDENCIA ]],[2]!PERSONAL_ACTIVO_2024[[#All],[Dependencia]],[2]!PERSONAL_ACTIVO_2024[[#All],[Mail ]],0,0),0))</f>
        <v>0</v>
      </c>
    </row>
    <row r="68" spans="1:43" ht="34.5" customHeight="1">
      <c r="A68" s="125">
        <v>139</v>
      </c>
      <c r="B68" s="124">
        <v>43</v>
      </c>
      <c r="C68" s="162" t="s">
        <v>1559</v>
      </c>
      <c r="D68" s="227" t="s">
        <v>583</v>
      </c>
      <c r="E68" s="128" t="s">
        <v>94</v>
      </c>
      <c r="F68" s="163" t="s">
        <v>1376</v>
      </c>
      <c r="G68" s="190" t="s">
        <v>658</v>
      </c>
      <c r="H68" s="447">
        <v>21526783</v>
      </c>
      <c r="I68" s="455">
        <v>5931149</v>
      </c>
      <c r="J68" s="456">
        <v>35586894</v>
      </c>
      <c r="K68" s="166" t="s">
        <v>42</v>
      </c>
      <c r="L68" s="438" t="s">
        <v>42</v>
      </c>
      <c r="M68" s="194" t="s">
        <v>592</v>
      </c>
      <c r="N68" s="177" t="e" cm="1">
        <f t="array" aca="1" ref="N68" ca="1">_xlfn.XLOOKUP(Contrato5[[#This Row],[SUPERVISOR TITULAR]],[2]!PERSONAL_ACTIVO_2024[[#All],[Nombre completo]],[2]!PERSONAL_ACTIVO_2024[[#All],[Documento identidad]],"",0)</f>
        <v>#NAME?</v>
      </c>
      <c r="O68" s="194" t="s">
        <v>600</v>
      </c>
      <c r="P68" s="196" t="e" cm="1">
        <f t="array" aca="1" ref="P68" ca="1">_xlfn.XLOOKUP(Contrato5[[#This Row],[SUPERVISOR SUPLENTE ]],[2]!PERSONAL_ACTIVO_2024[[#All],[Nombre completo]],[2]!PERSONAL_ACTIVO_2024[[#All],[Documento identidad]],"",0)</f>
        <v>#NAME?</v>
      </c>
      <c r="Q68" s="208">
        <v>68</v>
      </c>
      <c r="R68" s="137" t="e" cm="1">
        <f t="array" aca="1" ref="R68" ca="1">_xlfn.XLOOKUP(Contrato5[[#This Row],[CDP]],[2]!DISPONIBILIDADES_2024[[#All],[consecutivo]],[2]!DISPONIBILIDADES_2024[[#All],[fecha_aprobacion]],"",0)</f>
        <v>#NAME?</v>
      </c>
      <c r="S68" s="138" t="e">
        <f>SUMIF([2]!DISPONIBILIDADES_2024[[#All],[consecutivo]],Contrato5[[#This Row],[CDP]],[2]!DISPONIBILIDADES_2024[[#All],[valor_total_rubro]])</f>
        <v>#REF!</v>
      </c>
      <c r="T68" s="139" t="e" cm="1">
        <f t="array" aca="1" ref="T68" ca="1">_xlfn.XLOOKUP(Contrato5[[#This Row],[CONTRATO]]&amp;Contrato5[[#This Row],[CDP]],[2]!Corr_Contr_CDP[[#All],[CONTRATO-CDP]],[2]!Corr_Contr_CDP[[#All],[CRP]],_xlfn.XLOOKUP(Contrato5[[#This Row],[CDP]],[2]!COMPROMISOS_2024[[#All],[disponibilidad]],[2]!COMPROMISOS_2024[[#All],[consecutivo]],"",0),0)</f>
        <v>#NAME?</v>
      </c>
      <c r="U68" s="140" t="e" cm="1">
        <f t="array" aca="1" ref="U68" ca="1">+_xlfn.XLOOKUP(Contrato5[[#This Row],[RCP]],[2]!COMPROMISOS_2024[[#All],[consecutivo]],[2]!COMPROMISOS_2024[[#All],[fecha_aprobacion]],"",0)</f>
        <v>#NAME?</v>
      </c>
      <c r="V68" s="141" t="e">
        <f ca="1">SUMIF([2]!COMPROMISOS_2024[[#All],[consecutivo]],Contrato5[[#This Row],[RCP]],[2]!COMPROMISOS_2024[[#All],[valor_total]])</f>
        <v>#REF!</v>
      </c>
      <c r="W68" s="415">
        <v>45337</v>
      </c>
      <c r="X68" s="415">
        <v>45338</v>
      </c>
      <c r="Y68" s="143">
        <v>45338</v>
      </c>
      <c r="Z68" s="262">
        <v>45519</v>
      </c>
      <c r="AA68" s="183" t="s">
        <v>651</v>
      </c>
      <c r="AB68" s="161" t="s">
        <v>640</v>
      </c>
      <c r="AC68" s="161"/>
      <c r="AD68" s="210">
        <v>202000003603</v>
      </c>
      <c r="AE68" s="147" t="s">
        <v>523</v>
      </c>
      <c r="AF68" s="148" t="str">
        <f>TEXT(LEFT(Contrato5[[#This Row],[CONTRATO]],3),"0")</f>
        <v>43</v>
      </c>
      <c r="AG68" s="148" t="str">
        <f>IF(LEN(Contrato5[[#This Row],[Contrato2]])=3,Contrato5[[#This Row],[Contrato2]],TEXT(Contrato5[[#This Row],[Contrato2]],"000"))</f>
        <v>043</v>
      </c>
      <c r="AH68" s="149">
        <f ca="1">IFERROR(_xlfn.DAYS(Contrato5[[#This Row],[Fecha Proyectada liquidación]],TODAY())/30,"")</f>
        <v>-3.9666666666666668</v>
      </c>
      <c r="AI68" s="150">
        <f>+Contrato5[[#This Row],[FECHA TERMINACIÓN ]]+120</f>
        <v>45639</v>
      </c>
      <c r="AJ68" s="147"/>
      <c r="AK68" s="152" t="str">
        <f ca="1">IF(Contrato5[[#This Row],[FECHA TERMINACIÓN ]]&lt;TODAY(), "Terminado",IF(ISNUMBER(Contrato5[[#This Row],[Fecha Real de liquiidación ]]),"Liquidado",IF(Contrato5[[#This Row],[FECHA TERMINACIÓN ]]&gt;=TODAY(),"En ejecución","")))</f>
        <v>Terminado</v>
      </c>
      <c r="AL68" s="153" t="e">
        <f ca="1">SUMIF([2]!COMPROMISOS_2024[[#All],[consecutivo]],Contrato5[[#This Row],[RCP]],[2]!COMPROMISOS_2024[[#All],[Total pagado]])</f>
        <v>#REF!</v>
      </c>
      <c r="AM68" s="154">
        <f ca="1">IFERROR(Contrato5[[#This Row],[Pagos]]/Contrato5[[#This Row],[VALOR CONTRATO]],0)</f>
        <v>0</v>
      </c>
      <c r="AN68" s="198" t="e">
        <f ca="1">+Contrato5[[#This Row],[VALOR CONTRATO]]-Contrato5[[#This Row],[Pagos]]</f>
        <v>#REF!</v>
      </c>
      <c r="AO68" s="147" t="e" cm="1">
        <f t="array" aca="1" ref="AO68" ca="1">_xlfn.XLOOKUP(Contrato5[[#This Row],[DOCUMENTO ]],[2]!PERSONAL_ACTIVO_2024[[#All],[Documento identidad]],[2]!PERSONAL_ACTIVO_2024[[#All],[Mail ]],0,0)</f>
        <v>#NAME?</v>
      </c>
      <c r="AP68" s="147" t="e" cm="1">
        <f t="array" aca="1" ref="AP68" ca="1">_xlfn.XLOOKUP(Contrato5[[#This Row],[DOCUMENTO]],[2]!PERSONAL_ACTIVO_2024[[#All],[Documento identidad]],[2]!PERSONAL_ACTIVO_2024[[#All],[Mail ]],0,0)</f>
        <v>#NAME?</v>
      </c>
      <c r="AQ68" s="439" cm="1">
        <f t="array" aca="1" ref="AQ68" ca="1">IF(ISBLANK(Contrato5[[#This Row],[DEPENDENCIA ]]),0,IFERROR(_xlfn.XLOOKUP(Contrato5[[#This Row],[DEPENDENCIA ]],[2]!PERSONAL_ACTIVO_2024[[#All],[Dependencia]],[2]!PERSONAL_ACTIVO_2024[[#All],[Mail ]],0,0),0))</f>
        <v>0</v>
      </c>
    </row>
    <row r="69" spans="1:43" ht="34.5" customHeight="1">
      <c r="A69" s="125">
        <v>140</v>
      </c>
      <c r="B69" s="124">
        <v>44</v>
      </c>
      <c r="C69" s="162" t="s">
        <v>1560</v>
      </c>
      <c r="D69" s="227" t="s">
        <v>583</v>
      </c>
      <c r="E69" s="128" t="s">
        <v>94</v>
      </c>
      <c r="F69" s="163" t="s">
        <v>1376</v>
      </c>
      <c r="G69" s="190" t="s">
        <v>659</v>
      </c>
      <c r="H69" s="447">
        <v>1214734553</v>
      </c>
      <c r="I69" s="455">
        <v>2574842</v>
      </c>
      <c r="J69" s="456">
        <v>15449052</v>
      </c>
      <c r="K69" s="166" t="s">
        <v>42</v>
      </c>
      <c r="L69" s="438" t="s">
        <v>42</v>
      </c>
      <c r="M69" s="194" t="s">
        <v>592</v>
      </c>
      <c r="N69" s="177" t="e" cm="1">
        <f t="array" aca="1" ref="N69" ca="1">_xlfn.XLOOKUP(Contrato5[[#This Row],[SUPERVISOR TITULAR]],[2]!PERSONAL_ACTIVO_2024[[#All],[Nombre completo]],[2]!PERSONAL_ACTIVO_2024[[#All],[Documento identidad]],"",0)</f>
        <v>#NAME?</v>
      </c>
      <c r="O69" s="194" t="s">
        <v>600</v>
      </c>
      <c r="P69" s="196" t="e" cm="1">
        <f t="array" aca="1" ref="P69" ca="1">_xlfn.XLOOKUP(Contrato5[[#This Row],[SUPERVISOR SUPLENTE ]],[2]!PERSONAL_ACTIVO_2024[[#All],[Nombre completo]],[2]!PERSONAL_ACTIVO_2024[[#All],[Documento identidad]],"",0)</f>
        <v>#NAME?</v>
      </c>
      <c r="Q69" s="208">
        <v>69</v>
      </c>
      <c r="R69" s="137" t="e" cm="1">
        <f t="array" aca="1" ref="R69" ca="1">_xlfn.XLOOKUP(Contrato5[[#This Row],[CDP]],[2]!DISPONIBILIDADES_2024[[#All],[consecutivo]],[2]!DISPONIBILIDADES_2024[[#All],[fecha_aprobacion]],"",0)</f>
        <v>#NAME?</v>
      </c>
      <c r="S69" s="138" t="e">
        <f>SUMIF([2]!DISPONIBILIDADES_2024[[#All],[consecutivo]],Contrato5[[#This Row],[CDP]],[2]!DISPONIBILIDADES_2024[[#All],[valor_total_rubro]])</f>
        <v>#REF!</v>
      </c>
      <c r="T69" s="139" t="e" cm="1">
        <f t="array" aca="1" ref="T69" ca="1">_xlfn.XLOOKUP(Contrato5[[#This Row],[CONTRATO]]&amp;Contrato5[[#This Row],[CDP]],[2]!Corr_Contr_CDP[[#All],[CONTRATO-CDP]],[2]!Corr_Contr_CDP[[#All],[CRP]],_xlfn.XLOOKUP(Contrato5[[#This Row],[CDP]],[2]!COMPROMISOS_2024[[#All],[disponibilidad]],[2]!COMPROMISOS_2024[[#All],[consecutivo]],"",0),0)</f>
        <v>#NAME?</v>
      </c>
      <c r="U69" s="140" t="e" cm="1">
        <f t="array" aca="1" ref="U69" ca="1">+_xlfn.XLOOKUP(Contrato5[[#This Row],[RCP]],[2]!COMPROMISOS_2024[[#All],[consecutivo]],[2]!COMPROMISOS_2024[[#All],[fecha_aprobacion]],"",0)</f>
        <v>#NAME?</v>
      </c>
      <c r="V69" s="141" t="e">
        <f ca="1">SUMIF([2]!COMPROMISOS_2024[[#All],[consecutivo]],Contrato5[[#This Row],[RCP]],[2]!COMPROMISOS_2024[[#All],[valor_total]])</f>
        <v>#REF!</v>
      </c>
      <c r="W69" s="415">
        <v>45336</v>
      </c>
      <c r="X69" s="415">
        <v>45337</v>
      </c>
      <c r="Y69" s="143">
        <v>45338</v>
      </c>
      <c r="Z69" s="262">
        <v>45519</v>
      </c>
      <c r="AA69" s="171" t="s">
        <v>653</v>
      </c>
      <c r="AB69" s="161" t="s">
        <v>640</v>
      </c>
      <c r="AC69" s="161"/>
      <c r="AD69" s="210">
        <v>202000003604</v>
      </c>
      <c r="AE69" s="147" t="s">
        <v>523</v>
      </c>
      <c r="AF69" s="148" t="str">
        <f>TEXT(LEFT(Contrato5[[#This Row],[CONTRATO]],3),"0")</f>
        <v>44</v>
      </c>
      <c r="AG69" s="148" t="str">
        <f>IF(LEN(Contrato5[[#This Row],[Contrato2]])=3,Contrato5[[#This Row],[Contrato2]],TEXT(Contrato5[[#This Row],[Contrato2]],"000"))</f>
        <v>044</v>
      </c>
      <c r="AH69" s="149">
        <f ca="1">IFERROR(_xlfn.DAYS(Contrato5[[#This Row],[Fecha Proyectada liquidación]],TODAY())/30,"")</f>
        <v>-3.9666666666666668</v>
      </c>
      <c r="AI69" s="150">
        <f>+Contrato5[[#This Row],[FECHA TERMINACIÓN ]]+120</f>
        <v>45639</v>
      </c>
      <c r="AJ69" s="147"/>
      <c r="AK69" s="152" t="str">
        <f ca="1">IF(Contrato5[[#This Row],[FECHA TERMINACIÓN ]]&lt;TODAY(), "Terminado",IF(ISNUMBER(Contrato5[[#This Row],[Fecha Real de liquiidación ]]),"Liquidado",IF(Contrato5[[#This Row],[FECHA TERMINACIÓN ]]&gt;=TODAY(),"En ejecución","")))</f>
        <v>Terminado</v>
      </c>
      <c r="AL69" s="153" t="e">
        <f ca="1">SUMIF([2]!COMPROMISOS_2024[[#All],[consecutivo]],Contrato5[[#This Row],[RCP]],[2]!COMPROMISOS_2024[[#All],[Total pagado]])</f>
        <v>#REF!</v>
      </c>
      <c r="AM69" s="154">
        <f ca="1">IFERROR(Contrato5[[#This Row],[Pagos]]/Contrato5[[#This Row],[VALOR CONTRATO]],0)</f>
        <v>0</v>
      </c>
      <c r="AN69" s="198" t="e">
        <f ca="1">+Contrato5[[#This Row],[VALOR CONTRATO]]-Contrato5[[#This Row],[Pagos]]</f>
        <v>#REF!</v>
      </c>
      <c r="AO69" s="147" t="e" cm="1">
        <f t="array" aca="1" ref="AO69" ca="1">_xlfn.XLOOKUP(Contrato5[[#This Row],[DOCUMENTO ]],[2]!PERSONAL_ACTIVO_2024[[#All],[Documento identidad]],[2]!PERSONAL_ACTIVO_2024[[#All],[Mail ]],0,0)</f>
        <v>#NAME?</v>
      </c>
      <c r="AP69" s="147" t="e" cm="1">
        <f t="array" aca="1" ref="AP69" ca="1">_xlfn.XLOOKUP(Contrato5[[#This Row],[DOCUMENTO]],[2]!PERSONAL_ACTIVO_2024[[#All],[Documento identidad]],[2]!PERSONAL_ACTIVO_2024[[#All],[Mail ]],0,0)</f>
        <v>#NAME?</v>
      </c>
      <c r="AQ69" s="439" cm="1">
        <f t="array" aca="1" ref="AQ69" ca="1">IF(ISBLANK(Contrato5[[#This Row],[DEPENDENCIA ]]),0,IFERROR(_xlfn.XLOOKUP(Contrato5[[#This Row],[DEPENDENCIA ]],[2]!PERSONAL_ACTIVO_2024[[#All],[Dependencia]],[2]!PERSONAL_ACTIVO_2024[[#All],[Mail ]],0,0),0))</f>
        <v>0</v>
      </c>
    </row>
    <row r="70" spans="1:43" ht="34.5" customHeight="1">
      <c r="A70" s="125">
        <v>141</v>
      </c>
      <c r="B70" s="124">
        <v>45</v>
      </c>
      <c r="C70" s="162" t="s">
        <v>1561</v>
      </c>
      <c r="D70" s="227" t="s">
        <v>583</v>
      </c>
      <c r="E70" s="128" t="s">
        <v>94</v>
      </c>
      <c r="F70" s="163" t="s">
        <v>1376</v>
      </c>
      <c r="G70" s="190" t="s">
        <v>660</v>
      </c>
      <c r="H70" s="447">
        <v>98521638</v>
      </c>
      <c r="I70" s="455">
        <v>4908936</v>
      </c>
      <c r="J70" s="456">
        <v>29453616</v>
      </c>
      <c r="K70" s="166" t="s">
        <v>42</v>
      </c>
      <c r="L70" s="438" t="s">
        <v>42</v>
      </c>
      <c r="M70" s="194" t="s">
        <v>592</v>
      </c>
      <c r="N70" s="177" t="e" cm="1">
        <f t="array" aca="1" ref="N70" ca="1">_xlfn.XLOOKUP(Contrato5[[#This Row],[SUPERVISOR TITULAR]],[2]!PERSONAL_ACTIVO_2024[[#All],[Nombre completo]],[2]!PERSONAL_ACTIVO_2024[[#All],[Documento identidad]],"",0)</f>
        <v>#NAME?</v>
      </c>
      <c r="O70" s="194" t="s">
        <v>600</v>
      </c>
      <c r="P70" s="196" t="e" cm="1">
        <f t="array" aca="1" ref="P70" ca="1">_xlfn.XLOOKUP(Contrato5[[#This Row],[SUPERVISOR SUPLENTE ]],[2]!PERSONAL_ACTIVO_2024[[#All],[Nombre completo]],[2]!PERSONAL_ACTIVO_2024[[#All],[Documento identidad]],"",0)</f>
        <v>#NAME?</v>
      </c>
      <c r="Q70" s="208">
        <v>70</v>
      </c>
      <c r="R70" s="137" t="e" cm="1">
        <f t="array" aca="1" ref="R70" ca="1">_xlfn.XLOOKUP(Contrato5[[#This Row],[CDP]],[2]!DISPONIBILIDADES_2024[[#All],[consecutivo]],[2]!DISPONIBILIDADES_2024[[#All],[fecha_aprobacion]],"",0)</f>
        <v>#NAME?</v>
      </c>
      <c r="S70" s="138" t="e">
        <f>SUMIF([2]!DISPONIBILIDADES_2024[[#All],[consecutivo]],Contrato5[[#This Row],[CDP]],[2]!DISPONIBILIDADES_2024[[#All],[valor_total_rubro]])</f>
        <v>#REF!</v>
      </c>
      <c r="T70" s="139" t="e" cm="1">
        <f t="array" aca="1" ref="T70" ca="1">_xlfn.XLOOKUP(Contrato5[[#This Row],[CONTRATO]]&amp;Contrato5[[#This Row],[CDP]],[2]!Corr_Contr_CDP[[#All],[CONTRATO-CDP]],[2]!Corr_Contr_CDP[[#All],[CRP]],_xlfn.XLOOKUP(Contrato5[[#This Row],[CDP]],[2]!COMPROMISOS_2024[[#All],[disponibilidad]],[2]!COMPROMISOS_2024[[#All],[consecutivo]],"",0),0)</f>
        <v>#NAME?</v>
      </c>
      <c r="U70" s="140" t="e" cm="1">
        <f t="array" aca="1" ref="U70" ca="1">+_xlfn.XLOOKUP(Contrato5[[#This Row],[RCP]],[2]!COMPROMISOS_2024[[#All],[consecutivo]],[2]!COMPROMISOS_2024[[#All],[fecha_aprobacion]],"",0)</f>
        <v>#NAME?</v>
      </c>
      <c r="V70" s="141" t="e">
        <f ca="1">SUMIF([2]!COMPROMISOS_2024[[#All],[consecutivo]],Contrato5[[#This Row],[RCP]],[2]!COMPROMISOS_2024[[#All],[valor_total]])</f>
        <v>#REF!</v>
      </c>
      <c r="W70" s="415">
        <v>45336</v>
      </c>
      <c r="X70" s="415">
        <v>45338</v>
      </c>
      <c r="Y70" s="143">
        <v>45338</v>
      </c>
      <c r="Z70" s="262">
        <v>45519</v>
      </c>
      <c r="AA70" s="183" t="s">
        <v>651</v>
      </c>
      <c r="AB70" s="161" t="s">
        <v>640</v>
      </c>
      <c r="AC70" s="161"/>
      <c r="AD70" s="211">
        <v>202000003606</v>
      </c>
      <c r="AE70" s="147" t="s">
        <v>523</v>
      </c>
      <c r="AF70" s="148" t="str">
        <f>TEXT(LEFT(Contrato5[[#This Row],[CONTRATO]],3),"0")</f>
        <v>45</v>
      </c>
      <c r="AG70" s="148" t="str">
        <f>IF(LEN(Contrato5[[#This Row],[Contrato2]])=3,Contrato5[[#This Row],[Contrato2]],TEXT(Contrato5[[#This Row],[Contrato2]],"000"))</f>
        <v>045</v>
      </c>
      <c r="AH70" s="149">
        <f ca="1">IFERROR(_xlfn.DAYS(Contrato5[[#This Row],[Fecha Proyectada liquidación]],TODAY())/30,"")</f>
        <v>-3.9666666666666668</v>
      </c>
      <c r="AI70" s="150">
        <f>+Contrato5[[#This Row],[FECHA TERMINACIÓN ]]+120</f>
        <v>45639</v>
      </c>
      <c r="AJ70" s="147"/>
      <c r="AK70" s="152" t="str">
        <f ca="1">IF(Contrato5[[#This Row],[FECHA TERMINACIÓN ]]&lt;TODAY(), "Terminado",IF(ISNUMBER(Contrato5[[#This Row],[Fecha Real de liquiidación ]]),"Liquidado",IF(Contrato5[[#This Row],[FECHA TERMINACIÓN ]]&gt;=TODAY(),"En ejecución","")))</f>
        <v>Terminado</v>
      </c>
      <c r="AL70" s="153" t="e">
        <f ca="1">SUMIF([2]!COMPROMISOS_2024[[#All],[consecutivo]],Contrato5[[#This Row],[RCP]],[2]!COMPROMISOS_2024[[#All],[Total pagado]])</f>
        <v>#REF!</v>
      </c>
      <c r="AM70" s="154">
        <f ca="1">IFERROR(Contrato5[[#This Row],[Pagos]]/Contrato5[[#This Row],[VALOR CONTRATO]],0)</f>
        <v>0</v>
      </c>
      <c r="AN70" s="198" t="e">
        <f ca="1">+Contrato5[[#This Row],[VALOR CONTRATO]]-Contrato5[[#This Row],[Pagos]]</f>
        <v>#REF!</v>
      </c>
      <c r="AO70" s="147" t="e" cm="1">
        <f t="array" aca="1" ref="AO70" ca="1">_xlfn.XLOOKUP(Contrato5[[#This Row],[DOCUMENTO ]],[2]!PERSONAL_ACTIVO_2024[[#All],[Documento identidad]],[2]!PERSONAL_ACTIVO_2024[[#All],[Mail ]],0,0)</f>
        <v>#NAME?</v>
      </c>
      <c r="AP70" s="147" t="e" cm="1">
        <f t="array" aca="1" ref="AP70" ca="1">_xlfn.XLOOKUP(Contrato5[[#This Row],[DOCUMENTO]],[2]!PERSONAL_ACTIVO_2024[[#All],[Documento identidad]],[2]!PERSONAL_ACTIVO_2024[[#All],[Mail ]],0,0)</f>
        <v>#NAME?</v>
      </c>
      <c r="AQ70" s="439" cm="1">
        <f t="array" aca="1" ref="AQ70" ca="1">IF(ISBLANK(Contrato5[[#This Row],[DEPENDENCIA ]]),0,IFERROR(_xlfn.XLOOKUP(Contrato5[[#This Row],[DEPENDENCIA ]],[2]!PERSONAL_ACTIVO_2024[[#All],[Dependencia]],[2]!PERSONAL_ACTIVO_2024[[#All],[Mail ]],0,0),0))</f>
        <v>0</v>
      </c>
    </row>
    <row r="71" spans="1:43" ht="34.5" customHeight="1">
      <c r="A71" s="125">
        <v>142</v>
      </c>
      <c r="B71" s="124">
        <v>46</v>
      </c>
      <c r="C71" s="162" t="s">
        <v>2512</v>
      </c>
      <c r="D71" s="227" t="s">
        <v>583</v>
      </c>
      <c r="E71" s="128" t="s">
        <v>94</v>
      </c>
      <c r="F71" s="163" t="s">
        <v>1376</v>
      </c>
      <c r="G71" s="190" t="s">
        <v>661</v>
      </c>
      <c r="H71" s="447">
        <v>71775672</v>
      </c>
      <c r="I71" s="455">
        <v>4908936</v>
      </c>
      <c r="J71" s="456">
        <v>29453616</v>
      </c>
      <c r="K71" s="166" t="s">
        <v>42</v>
      </c>
      <c r="L71" s="438" t="s">
        <v>42</v>
      </c>
      <c r="M71" s="194" t="s">
        <v>592</v>
      </c>
      <c r="N71" s="177" t="e" cm="1">
        <f t="array" aca="1" ref="N71" ca="1">_xlfn.XLOOKUP(Contrato5[[#This Row],[SUPERVISOR TITULAR]],[2]!PERSONAL_ACTIVO_2024[[#All],[Nombre completo]],[2]!PERSONAL_ACTIVO_2024[[#All],[Documento identidad]],"",0)</f>
        <v>#NAME?</v>
      </c>
      <c r="O71" s="194" t="s">
        <v>600</v>
      </c>
      <c r="P71" s="196" t="e" cm="1">
        <f t="array" aca="1" ref="P71" ca="1">_xlfn.XLOOKUP(Contrato5[[#This Row],[SUPERVISOR SUPLENTE ]],[2]!PERSONAL_ACTIVO_2024[[#All],[Nombre completo]],[2]!PERSONAL_ACTIVO_2024[[#All],[Documento identidad]],"",0)</f>
        <v>#NAME?</v>
      </c>
      <c r="Q71" s="208">
        <v>71</v>
      </c>
      <c r="R71" s="137" t="e" cm="1">
        <f t="array" aca="1" ref="R71" ca="1">_xlfn.XLOOKUP(Contrato5[[#This Row],[CDP]],[2]!DISPONIBILIDADES_2024[[#All],[consecutivo]],[2]!DISPONIBILIDADES_2024[[#All],[fecha_aprobacion]],"",0)</f>
        <v>#NAME?</v>
      </c>
      <c r="S71" s="138" t="e">
        <f>SUMIF([2]!DISPONIBILIDADES_2024[[#All],[consecutivo]],Contrato5[[#This Row],[CDP]],[2]!DISPONIBILIDADES_2024[[#All],[valor_total_rubro]])</f>
        <v>#REF!</v>
      </c>
      <c r="T71" s="139" t="e" cm="1">
        <f t="array" aca="1" ref="T71" ca="1">_xlfn.XLOOKUP(Contrato5[[#This Row],[CONTRATO]]&amp;Contrato5[[#This Row],[CDP]],[2]!Corr_Contr_CDP[[#All],[CONTRATO-CDP]],[2]!Corr_Contr_CDP[[#All],[CRP]],_xlfn.XLOOKUP(Contrato5[[#This Row],[CDP]],[2]!COMPROMISOS_2024[[#All],[disponibilidad]],[2]!COMPROMISOS_2024[[#All],[consecutivo]],"",0),0)</f>
        <v>#NAME?</v>
      </c>
      <c r="U71" s="140" t="e" cm="1">
        <f t="array" aca="1" ref="U71" ca="1">+_xlfn.XLOOKUP(Contrato5[[#This Row],[RCP]],[2]!COMPROMISOS_2024[[#All],[consecutivo]],[2]!COMPROMISOS_2024[[#All],[fecha_aprobacion]],"",0)</f>
        <v>#NAME?</v>
      </c>
      <c r="V71" s="141" t="e">
        <f ca="1">SUMIF([2]!COMPROMISOS_2024[[#All],[consecutivo]],Contrato5[[#This Row],[RCP]],[2]!COMPROMISOS_2024[[#All],[valor_total]])</f>
        <v>#REF!</v>
      </c>
      <c r="W71" s="415">
        <v>45336</v>
      </c>
      <c r="X71" s="415">
        <v>45338</v>
      </c>
      <c r="Y71" s="143">
        <v>45338</v>
      </c>
      <c r="Z71" s="262">
        <v>45519</v>
      </c>
      <c r="AA71" s="183" t="s">
        <v>651</v>
      </c>
      <c r="AB71" s="161" t="s">
        <v>640</v>
      </c>
      <c r="AC71" s="217"/>
      <c r="AD71" s="211">
        <v>202000003607</v>
      </c>
      <c r="AE71" s="147" t="s">
        <v>523</v>
      </c>
      <c r="AF71" s="148" t="str">
        <f>TEXT(LEFT(Contrato5[[#This Row],[CONTRATO]],3),"0")</f>
        <v>46</v>
      </c>
      <c r="AG71" s="148" t="str">
        <f>IF(LEN(Contrato5[[#This Row],[Contrato2]])=3,Contrato5[[#This Row],[Contrato2]],TEXT(Contrato5[[#This Row],[Contrato2]],"000"))</f>
        <v>046</v>
      </c>
      <c r="AH71" s="149">
        <f ca="1">IFERROR(_xlfn.DAYS(Contrato5[[#This Row],[Fecha Proyectada liquidación]],TODAY())/30,"")</f>
        <v>-3.9666666666666668</v>
      </c>
      <c r="AI71" s="150">
        <f>+Contrato5[[#This Row],[FECHA TERMINACIÓN ]]+120</f>
        <v>45639</v>
      </c>
      <c r="AJ71" s="147"/>
      <c r="AK71" s="152" t="str">
        <f ca="1">IF(Contrato5[[#This Row],[FECHA TERMINACIÓN ]]&lt;TODAY(), "Terminado",IF(ISNUMBER(Contrato5[[#This Row],[Fecha Real de liquiidación ]]),"Liquidado",IF(Contrato5[[#This Row],[FECHA TERMINACIÓN ]]&gt;=TODAY(),"En ejecución","")))</f>
        <v>Terminado</v>
      </c>
      <c r="AL71" s="153" t="e">
        <f ca="1">SUMIF([2]!COMPROMISOS_2024[[#All],[consecutivo]],Contrato5[[#This Row],[RCP]],[2]!COMPROMISOS_2024[[#All],[Total pagado]])</f>
        <v>#REF!</v>
      </c>
      <c r="AM71" s="154">
        <f ca="1">IFERROR(Contrato5[[#This Row],[Pagos]]/Contrato5[[#This Row],[VALOR CONTRATO]],0)</f>
        <v>0</v>
      </c>
      <c r="AN71" s="198" t="e">
        <f ca="1">+Contrato5[[#This Row],[VALOR CONTRATO]]-Contrato5[[#This Row],[Pagos]]</f>
        <v>#REF!</v>
      </c>
      <c r="AO71" s="147" t="e" cm="1">
        <f t="array" aca="1" ref="AO71" ca="1">_xlfn.XLOOKUP(Contrato5[[#This Row],[DOCUMENTO ]],[2]!PERSONAL_ACTIVO_2024[[#All],[Documento identidad]],[2]!PERSONAL_ACTIVO_2024[[#All],[Mail ]],0,0)</f>
        <v>#NAME?</v>
      </c>
      <c r="AP71" s="147" t="e" cm="1">
        <f t="array" aca="1" ref="AP71" ca="1">_xlfn.XLOOKUP(Contrato5[[#This Row],[DOCUMENTO]],[2]!PERSONAL_ACTIVO_2024[[#All],[Documento identidad]],[2]!PERSONAL_ACTIVO_2024[[#All],[Mail ]],0,0)</f>
        <v>#NAME?</v>
      </c>
      <c r="AQ71" s="439" cm="1">
        <f t="array" aca="1" ref="AQ71" ca="1">IF(ISBLANK(Contrato5[[#This Row],[DEPENDENCIA ]]),0,IFERROR(_xlfn.XLOOKUP(Contrato5[[#This Row],[DEPENDENCIA ]],[2]!PERSONAL_ACTIVO_2024[[#All],[Dependencia]],[2]!PERSONAL_ACTIVO_2024[[#All],[Mail ]],0,0),0))</f>
        <v>0</v>
      </c>
    </row>
    <row r="72" spans="1:43" ht="34.5" customHeight="1">
      <c r="A72" s="125">
        <v>143</v>
      </c>
      <c r="B72" s="124">
        <v>47</v>
      </c>
      <c r="C72" s="162" t="s">
        <v>2513</v>
      </c>
      <c r="D72" s="227" t="s">
        <v>583</v>
      </c>
      <c r="E72" s="128" t="s">
        <v>94</v>
      </c>
      <c r="F72" s="163" t="s">
        <v>1376</v>
      </c>
      <c r="G72" s="190" t="s">
        <v>662</v>
      </c>
      <c r="H72" s="447">
        <v>71714204</v>
      </c>
      <c r="I72" s="455">
        <v>4908936</v>
      </c>
      <c r="J72" s="456">
        <v>29453616</v>
      </c>
      <c r="K72" s="166" t="s">
        <v>42</v>
      </c>
      <c r="L72" s="438" t="s">
        <v>42</v>
      </c>
      <c r="M72" s="194" t="s">
        <v>592</v>
      </c>
      <c r="N72" s="177" t="e" cm="1">
        <f t="array" aca="1" ref="N72" ca="1">_xlfn.XLOOKUP(Contrato5[[#This Row],[SUPERVISOR TITULAR]],[2]!PERSONAL_ACTIVO_2024[[#All],[Nombre completo]],[2]!PERSONAL_ACTIVO_2024[[#All],[Documento identidad]],"",0)</f>
        <v>#NAME?</v>
      </c>
      <c r="O72" s="194" t="s">
        <v>600</v>
      </c>
      <c r="P72" s="196" t="e" cm="1">
        <f t="array" aca="1" ref="P72" ca="1">_xlfn.XLOOKUP(Contrato5[[#This Row],[SUPERVISOR SUPLENTE ]],[2]!PERSONAL_ACTIVO_2024[[#All],[Nombre completo]],[2]!PERSONAL_ACTIVO_2024[[#All],[Documento identidad]],"",0)</f>
        <v>#NAME?</v>
      </c>
      <c r="Q72" s="208">
        <v>72</v>
      </c>
      <c r="R72" s="137" t="e" cm="1">
        <f t="array" aca="1" ref="R72" ca="1">_xlfn.XLOOKUP(Contrato5[[#This Row],[CDP]],[2]!DISPONIBILIDADES_2024[[#All],[consecutivo]],[2]!DISPONIBILIDADES_2024[[#All],[fecha_aprobacion]],"",0)</f>
        <v>#NAME?</v>
      </c>
      <c r="S72" s="138" t="e">
        <f>SUMIF([2]!DISPONIBILIDADES_2024[[#All],[consecutivo]],Contrato5[[#This Row],[CDP]],[2]!DISPONIBILIDADES_2024[[#All],[valor_total_rubro]])</f>
        <v>#REF!</v>
      </c>
      <c r="T72" s="139" t="e" cm="1">
        <f t="array" aca="1" ref="T72" ca="1">_xlfn.XLOOKUP(Contrato5[[#This Row],[CONTRATO]]&amp;Contrato5[[#This Row],[CDP]],[2]!Corr_Contr_CDP[[#All],[CONTRATO-CDP]],[2]!Corr_Contr_CDP[[#All],[CRP]],_xlfn.XLOOKUP(Contrato5[[#This Row],[CDP]],[2]!COMPROMISOS_2024[[#All],[disponibilidad]],[2]!COMPROMISOS_2024[[#All],[consecutivo]],"",0),0)</f>
        <v>#NAME?</v>
      </c>
      <c r="U72" s="140" t="e" cm="1">
        <f t="array" aca="1" ref="U72" ca="1">+_xlfn.XLOOKUP(Contrato5[[#This Row],[RCP]],[2]!COMPROMISOS_2024[[#All],[consecutivo]],[2]!COMPROMISOS_2024[[#All],[fecha_aprobacion]],"",0)</f>
        <v>#NAME?</v>
      </c>
      <c r="V72" s="141" t="e">
        <f ca="1">SUMIF([2]!COMPROMISOS_2024[[#All],[consecutivo]],Contrato5[[#This Row],[RCP]],[2]!COMPROMISOS_2024[[#All],[valor_total]])</f>
        <v>#REF!</v>
      </c>
      <c r="W72" s="415">
        <v>45337</v>
      </c>
      <c r="X72" s="415">
        <v>45338</v>
      </c>
      <c r="Y72" s="143">
        <v>45338</v>
      </c>
      <c r="Z72" s="262">
        <v>45519</v>
      </c>
      <c r="AA72" s="183" t="s">
        <v>651</v>
      </c>
      <c r="AB72" s="161" t="s">
        <v>640</v>
      </c>
      <c r="AC72" s="161"/>
      <c r="AD72" s="218">
        <v>202000003608</v>
      </c>
      <c r="AE72" s="147" t="s">
        <v>523</v>
      </c>
      <c r="AF72" s="148" t="str">
        <f>TEXT(LEFT(Contrato5[[#This Row],[CONTRATO]],3),"0")</f>
        <v>47</v>
      </c>
      <c r="AG72" s="148" t="str">
        <f>IF(LEN(Contrato5[[#This Row],[Contrato2]])=3,Contrato5[[#This Row],[Contrato2]],TEXT(Contrato5[[#This Row],[Contrato2]],"000"))</f>
        <v>047</v>
      </c>
      <c r="AH72" s="149">
        <f ca="1">IFERROR(_xlfn.DAYS(Contrato5[[#This Row],[Fecha Proyectada liquidación]],TODAY())/30,"")</f>
        <v>-3.9666666666666668</v>
      </c>
      <c r="AI72" s="150">
        <f>+Contrato5[[#This Row],[FECHA TERMINACIÓN ]]+120</f>
        <v>45639</v>
      </c>
      <c r="AJ72" s="147"/>
      <c r="AK72" s="152" t="str">
        <f ca="1">IF(Contrato5[[#This Row],[FECHA TERMINACIÓN ]]&lt;TODAY(), "Terminado",IF(ISNUMBER(Contrato5[[#This Row],[Fecha Real de liquiidación ]]),"Liquidado",IF(Contrato5[[#This Row],[FECHA TERMINACIÓN ]]&gt;=TODAY(),"En ejecución","")))</f>
        <v>Terminado</v>
      </c>
      <c r="AL72" s="153" t="e">
        <f ca="1">SUMIF([2]!COMPROMISOS_2024[[#All],[consecutivo]],Contrato5[[#This Row],[RCP]],[2]!COMPROMISOS_2024[[#All],[Total pagado]])</f>
        <v>#REF!</v>
      </c>
      <c r="AM72" s="154">
        <f ca="1">IFERROR(Contrato5[[#This Row],[Pagos]]/Contrato5[[#This Row],[VALOR CONTRATO]],0)</f>
        <v>0</v>
      </c>
      <c r="AN72" s="198" t="e">
        <f ca="1">+Contrato5[[#This Row],[VALOR CONTRATO]]-Contrato5[[#This Row],[Pagos]]</f>
        <v>#REF!</v>
      </c>
      <c r="AO72" s="147" t="e" cm="1">
        <f t="array" aca="1" ref="AO72" ca="1">_xlfn.XLOOKUP(Contrato5[[#This Row],[DOCUMENTO ]],[2]!PERSONAL_ACTIVO_2024[[#All],[Documento identidad]],[2]!PERSONAL_ACTIVO_2024[[#All],[Mail ]],0,0)</f>
        <v>#NAME?</v>
      </c>
      <c r="AP72" s="147" t="e" cm="1">
        <f t="array" aca="1" ref="AP72" ca="1">_xlfn.XLOOKUP(Contrato5[[#This Row],[DOCUMENTO]],[2]!PERSONAL_ACTIVO_2024[[#All],[Documento identidad]],[2]!PERSONAL_ACTIVO_2024[[#All],[Mail ]],0,0)</f>
        <v>#NAME?</v>
      </c>
      <c r="AQ72" s="439" cm="1">
        <f t="array" aca="1" ref="AQ72" ca="1">IF(ISBLANK(Contrato5[[#This Row],[DEPENDENCIA ]]),0,IFERROR(_xlfn.XLOOKUP(Contrato5[[#This Row],[DEPENDENCIA ]],[2]!PERSONAL_ACTIVO_2024[[#All],[Dependencia]],[2]!PERSONAL_ACTIVO_2024[[#All],[Mail ]],0,0),0))</f>
        <v>0</v>
      </c>
    </row>
    <row r="73" spans="1:43" ht="34.5" customHeight="1">
      <c r="A73" s="125">
        <v>144</v>
      </c>
      <c r="B73" s="124">
        <v>48</v>
      </c>
      <c r="C73" s="162" t="s">
        <v>2514</v>
      </c>
      <c r="D73" s="227" t="s">
        <v>583</v>
      </c>
      <c r="E73" s="128" t="s">
        <v>94</v>
      </c>
      <c r="F73" s="163" t="s">
        <v>1376</v>
      </c>
      <c r="G73" s="190" t="s">
        <v>663</v>
      </c>
      <c r="H73" s="447">
        <v>70564744</v>
      </c>
      <c r="I73" s="455">
        <v>4908936</v>
      </c>
      <c r="J73" s="456">
        <v>29453616</v>
      </c>
      <c r="K73" s="166" t="s">
        <v>42</v>
      </c>
      <c r="L73" s="438" t="s">
        <v>42</v>
      </c>
      <c r="M73" s="194" t="s">
        <v>592</v>
      </c>
      <c r="N73" s="177" t="e" cm="1">
        <f t="array" aca="1" ref="N73" ca="1">_xlfn.XLOOKUP(Contrato5[[#This Row],[SUPERVISOR TITULAR]],[2]!PERSONAL_ACTIVO_2024[[#All],[Nombre completo]],[2]!PERSONAL_ACTIVO_2024[[#All],[Documento identidad]],"",0)</f>
        <v>#NAME?</v>
      </c>
      <c r="O73" s="194" t="s">
        <v>600</v>
      </c>
      <c r="P73" s="196" t="e" cm="1">
        <f t="array" aca="1" ref="P73" ca="1">_xlfn.XLOOKUP(Contrato5[[#This Row],[SUPERVISOR SUPLENTE ]],[2]!PERSONAL_ACTIVO_2024[[#All],[Nombre completo]],[2]!PERSONAL_ACTIVO_2024[[#All],[Documento identidad]],"",0)</f>
        <v>#NAME?</v>
      </c>
      <c r="Q73" s="208">
        <v>73</v>
      </c>
      <c r="R73" s="137" t="e" cm="1">
        <f t="array" aca="1" ref="R73" ca="1">_xlfn.XLOOKUP(Contrato5[[#This Row],[CDP]],[2]!DISPONIBILIDADES_2024[[#All],[consecutivo]],[2]!DISPONIBILIDADES_2024[[#All],[fecha_aprobacion]],"",0)</f>
        <v>#NAME?</v>
      </c>
      <c r="S73" s="138" t="e">
        <f>SUMIF([2]!DISPONIBILIDADES_2024[[#All],[consecutivo]],Contrato5[[#This Row],[CDP]],[2]!DISPONIBILIDADES_2024[[#All],[valor_total_rubro]])</f>
        <v>#REF!</v>
      </c>
      <c r="T73" s="139" t="e" cm="1">
        <f t="array" aca="1" ref="T73" ca="1">_xlfn.XLOOKUP(Contrato5[[#This Row],[CONTRATO]]&amp;Contrato5[[#This Row],[CDP]],[2]!Corr_Contr_CDP[[#All],[CONTRATO-CDP]],[2]!Corr_Contr_CDP[[#All],[CRP]],_xlfn.XLOOKUP(Contrato5[[#This Row],[CDP]],[2]!COMPROMISOS_2024[[#All],[disponibilidad]],[2]!COMPROMISOS_2024[[#All],[consecutivo]],"",0),0)</f>
        <v>#NAME?</v>
      </c>
      <c r="U73" s="140" t="e" cm="1">
        <f t="array" aca="1" ref="U73" ca="1">+_xlfn.XLOOKUP(Contrato5[[#This Row],[RCP]],[2]!COMPROMISOS_2024[[#All],[consecutivo]],[2]!COMPROMISOS_2024[[#All],[fecha_aprobacion]],"",0)</f>
        <v>#NAME?</v>
      </c>
      <c r="V73" s="141" t="e">
        <f ca="1">SUMIF([2]!COMPROMISOS_2024[[#All],[consecutivo]],Contrato5[[#This Row],[RCP]],[2]!COMPROMISOS_2024[[#All],[valor_total]])</f>
        <v>#REF!</v>
      </c>
      <c r="W73" s="415">
        <v>45336</v>
      </c>
      <c r="X73" s="415">
        <v>45338</v>
      </c>
      <c r="Y73" s="143">
        <v>45338</v>
      </c>
      <c r="Z73" s="262">
        <v>45519</v>
      </c>
      <c r="AA73" s="171" t="s">
        <v>653</v>
      </c>
      <c r="AB73" s="161" t="s">
        <v>640</v>
      </c>
      <c r="AC73" s="161"/>
      <c r="AD73" s="218">
        <v>202000003611</v>
      </c>
      <c r="AE73" s="147" t="s">
        <v>523</v>
      </c>
      <c r="AF73" s="148" t="str">
        <f>TEXT(LEFT(Contrato5[[#This Row],[CONTRATO]],3),"0")</f>
        <v>48</v>
      </c>
      <c r="AG73" s="148" t="str">
        <f>IF(LEN(Contrato5[[#This Row],[Contrato2]])=3,Contrato5[[#This Row],[Contrato2]],TEXT(Contrato5[[#This Row],[Contrato2]],"000"))</f>
        <v>048</v>
      </c>
      <c r="AH73" s="149">
        <f ca="1">IFERROR(_xlfn.DAYS(Contrato5[[#This Row],[Fecha Proyectada liquidación]],TODAY())/30,"")</f>
        <v>-3.9666666666666668</v>
      </c>
      <c r="AI73" s="150">
        <f>+Contrato5[[#This Row],[FECHA TERMINACIÓN ]]+120</f>
        <v>45639</v>
      </c>
      <c r="AJ73" s="147"/>
      <c r="AK73" s="152" t="str">
        <f ca="1">IF(Contrato5[[#This Row],[FECHA TERMINACIÓN ]]&lt;TODAY(), "Terminado",IF(ISNUMBER(Contrato5[[#This Row],[Fecha Real de liquiidación ]]),"Liquidado",IF(Contrato5[[#This Row],[FECHA TERMINACIÓN ]]&gt;=TODAY(),"En ejecución","")))</f>
        <v>Terminado</v>
      </c>
      <c r="AL73" s="153" t="e">
        <f ca="1">SUMIF([2]!COMPROMISOS_2024[[#All],[consecutivo]],Contrato5[[#This Row],[RCP]],[2]!COMPROMISOS_2024[[#All],[Total pagado]])</f>
        <v>#REF!</v>
      </c>
      <c r="AM73" s="154">
        <f ca="1">IFERROR(Contrato5[[#This Row],[Pagos]]/Contrato5[[#This Row],[VALOR CONTRATO]],0)</f>
        <v>0</v>
      </c>
      <c r="AN73" s="198" t="e">
        <f ca="1">+Contrato5[[#This Row],[VALOR CONTRATO]]-Contrato5[[#This Row],[Pagos]]</f>
        <v>#REF!</v>
      </c>
      <c r="AO73" s="147" t="e" cm="1">
        <f t="array" aca="1" ref="AO73" ca="1">_xlfn.XLOOKUP(Contrato5[[#This Row],[DOCUMENTO ]],[2]!PERSONAL_ACTIVO_2024[[#All],[Documento identidad]],[2]!PERSONAL_ACTIVO_2024[[#All],[Mail ]],0,0)</f>
        <v>#NAME?</v>
      </c>
      <c r="AP73" s="147" t="e" cm="1">
        <f t="array" aca="1" ref="AP73" ca="1">_xlfn.XLOOKUP(Contrato5[[#This Row],[DOCUMENTO]],[2]!PERSONAL_ACTIVO_2024[[#All],[Documento identidad]],[2]!PERSONAL_ACTIVO_2024[[#All],[Mail ]],0,0)</f>
        <v>#NAME?</v>
      </c>
      <c r="AQ73" s="439" cm="1">
        <f t="array" aca="1" ref="AQ73" ca="1">IF(ISBLANK(Contrato5[[#This Row],[DEPENDENCIA ]]),0,IFERROR(_xlfn.XLOOKUP(Contrato5[[#This Row],[DEPENDENCIA ]],[2]!PERSONAL_ACTIVO_2024[[#All],[Dependencia]],[2]!PERSONAL_ACTIVO_2024[[#All],[Mail ]],0,0),0))</f>
        <v>0</v>
      </c>
    </row>
    <row r="74" spans="1:43" ht="34.5" customHeight="1">
      <c r="A74" s="125">
        <v>145</v>
      </c>
      <c r="B74" s="124">
        <v>49</v>
      </c>
      <c r="C74" s="162" t="s">
        <v>2515</v>
      </c>
      <c r="D74" s="227" t="s">
        <v>583</v>
      </c>
      <c r="E74" s="128" t="s">
        <v>94</v>
      </c>
      <c r="F74" s="163" t="s">
        <v>1376</v>
      </c>
      <c r="G74" s="190" t="s">
        <v>664</v>
      </c>
      <c r="H74" s="447">
        <v>1065894539</v>
      </c>
      <c r="I74" s="455">
        <v>4908936</v>
      </c>
      <c r="J74" s="456">
        <v>29453616</v>
      </c>
      <c r="K74" s="166" t="s">
        <v>42</v>
      </c>
      <c r="L74" s="438" t="s">
        <v>42</v>
      </c>
      <c r="M74" s="194" t="s">
        <v>592</v>
      </c>
      <c r="N74" s="177" t="e" cm="1">
        <f t="array" aca="1" ref="N74" ca="1">_xlfn.XLOOKUP(Contrato5[[#This Row],[SUPERVISOR TITULAR]],[2]!PERSONAL_ACTIVO_2024[[#All],[Nombre completo]],[2]!PERSONAL_ACTIVO_2024[[#All],[Documento identidad]],"",0)</f>
        <v>#NAME?</v>
      </c>
      <c r="O74" s="194" t="s">
        <v>600</v>
      </c>
      <c r="P74" s="196" t="e" cm="1">
        <f t="array" aca="1" ref="P74" ca="1">_xlfn.XLOOKUP(Contrato5[[#This Row],[SUPERVISOR SUPLENTE ]],[2]!PERSONAL_ACTIVO_2024[[#All],[Nombre completo]],[2]!PERSONAL_ACTIVO_2024[[#All],[Documento identidad]],"",0)</f>
        <v>#NAME?</v>
      </c>
      <c r="Q74" s="208">
        <v>74</v>
      </c>
      <c r="R74" s="137" t="e" cm="1">
        <f t="array" aca="1" ref="R74" ca="1">_xlfn.XLOOKUP(Contrato5[[#This Row],[CDP]],[2]!DISPONIBILIDADES_2024[[#All],[consecutivo]],[2]!DISPONIBILIDADES_2024[[#All],[fecha_aprobacion]],"",0)</f>
        <v>#NAME?</v>
      </c>
      <c r="S74" s="138" t="e">
        <f>SUMIF([2]!DISPONIBILIDADES_2024[[#All],[consecutivo]],Contrato5[[#This Row],[CDP]],[2]!DISPONIBILIDADES_2024[[#All],[valor_total_rubro]])</f>
        <v>#REF!</v>
      </c>
      <c r="T74" s="139" t="e" cm="1">
        <f t="array" aca="1" ref="T74" ca="1">_xlfn.XLOOKUP(Contrato5[[#This Row],[CONTRATO]]&amp;Contrato5[[#This Row],[CDP]],[2]!Corr_Contr_CDP[[#All],[CONTRATO-CDP]],[2]!Corr_Contr_CDP[[#All],[CRP]],_xlfn.XLOOKUP(Contrato5[[#This Row],[CDP]],[2]!COMPROMISOS_2024[[#All],[disponibilidad]],[2]!COMPROMISOS_2024[[#All],[consecutivo]],"",0),0)</f>
        <v>#NAME?</v>
      </c>
      <c r="U74" s="140" t="e" cm="1">
        <f t="array" aca="1" ref="U74" ca="1">+_xlfn.XLOOKUP(Contrato5[[#This Row],[RCP]],[2]!COMPROMISOS_2024[[#All],[consecutivo]],[2]!COMPROMISOS_2024[[#All],[fecha_aprobacion]],"",0)</f>
        <v>#NAME?</v>
      </c>
      <c r="V74" s="141" t="e">
        <f ca="1">SUMIF([2]!COMPROMISOS_2024[[#All],[consecutivo]],Contrato5[[#This Row],[RCP]],[2]!COMPROMISOS_2024[[#All],[valor_total]])</f>
        <v>#REF!</v>
      </c>
      <c r="W74" s="415">
        <v>45336</v>
      </c>
      <c r="X74" s="415">
        <v>45337</v>
      </c>
      <c r="Y74" s="143">
        <v>45338</v>
      </c>
      <c r="Z74" s="262">
        <v>45519</v>
      </c>
      <c r="AA74" s="171" t="s">
        <v>653</v>
      </c>
      <c r="AB74" s="161" t="s">
        <v>640</v>
      </c>
      <c r="AC74" s="161"/>
      <c r="AD74" s="211">
        <v>202000003613</v>
      </c>
      <c r="AE74" s="147" t="s">
        <v>523</v>
      </c>
      <c r="AF74" s="148" t="str">
        <f>TEXT(LEFT(Contrato5[[#This Row],[CONTRATO]],3),"0")</f>
        <v>49</v>
      </c>
      <c r="AG74" s="148" t="str">
        <f>IF(LEN(Contrato5[[#This Row],[Contrato2]])=3,Contrato5[[#This Row],[Contrato2]],TEXT(Contrato5[[#This Row],[Contrato2]],"000"))</f>
        <v>049</v>
      </c>
      <c r="AH74" s="149">
        <f ca="1">IFERROR(_xlfn.DAYS(Contrato5[[#This Row],[Fecha Proyectada liquidación]],TODAY())/30,"")</f>
        <v>-3.9666666666666668</v>
      </c>
      <c r="AI74" s="150">
        <f>+Contrato5[[#This Row],[FECHA TERMINACIÓN ]]+120</f>
        <v>45639</v>
      </c>
      <c r="AJ74" s="147"/>
      <c r="AK74" s="152" t="str">
        <f ca="1">IF(Contrato5[[#This Row],[FECHA TERMINACIÓN ]]&lt;TODAY(), "Terminado",IF(ISNUMBER(Contrato5[[#This Row],[Fecha Real de liquiidación ]]),"Liquidado",IF(Contrato5[[#This Row],[FECHA TERMINACIÓN ]]&gt;=TODAY(),"En ejecución","")))</f>
        <v>Terminado</v>
      </c>
      <c r="AL74" s="153" t="e">
        <f ca="1">SUMIF([2]!COMPROMISOS_2024[[#All],[consecutivo]],Contrato5[[#This Row],[RCP]],[2]!COMPROMISOS_2024[[#All],[Total pagado]])</f>
        <v>#REF!</v>
      </c>
      <c r="AM74" s="154">
        <f ca="1">IFERROR(Contrato5[[#This Row],[Pagos]]/Contrato5[[#This Row],[VALOR CONTRATO]],0)</f>
        <v>0</v>
      </c>
      <c r="AN74" s="198" t="e">
        <f ca="1">+Contrato5[[#This Row],[VALOR CONTRATO]]-Contrato5[[#This Row],[Pagos]]</f>
        <v>#REF!</v>
      </c>
      <c r="AO74" s="147" t="e" cm="1">
        <f t="array" aca="1" ref="AO74" ca="1">_xlfn.XLOOKUP(Contrato5[[#This Row],[DOCUMENTO ]],[2]!PERSONAL_ACTIVO_2024[[#All],[Documento identidad]],[2]!PERSONAL_ACTIVO_2024[[#All],[Mail ]],0,0)</f>
        <v>#NAME?</v>
      </c>
      <c r="AP74" s="147" t="e" cm="1">
        <f t="array" aca="1" ref="AP74" ca="1">_xlfn.XLOOKUP(Contrato5[[#This Row],[DOCUMENTO]],[2]!PERSONAL_ACTIVO_2024[[#All],[Documento identidad]],[2]!PERSONAL_ACTIVO_2024[[#All],[Mail ]],0,0)</f>
        <v>#NAME?</v>
      </c>
      <c r="AQ74" s="439" cm="1">
        <f t="array" aca="1" ref="AQ74" ca="1">IF(ISBLANK(Contrato5[[#This Row],[DEPENDENCIA ]]),0,IFERROR(_xlfn.XLOOKUP(Contrato5[[#This Row],[DEPENDENCIA ]],[2]!PERSONAL_ACTIVO_2024[[#All],[Dependencia]],[2]!PERSONAL_ACTIVO_2024[[#All],[Mail ]],0,0),0))</f>
        <v>0</v>
      </c>
    </row>
    <row r="75" spans="1:43" ht="34.5" customHeight="1">
      <c r="A75" s="125">
        <v>146</v>
      </c>
      <c r="B75" s="124">
        <v>50</v>
      </c>
      <c r="C75" s="162" t="s">
        <v>1566</v>
      </c>
      <c r="D75" s="227" t="s">
        <v>583</v>
      </c>
      <c r="E75" s="128" t="s">
        <v>94</v>
      </c>
      <c r="F75" s="163" t="s">
        <v>1376</v>
      </c>
      <c r="G75" s="190" t="s">
        <v>665</v>
      </c>
      <c r="H75" s="447">
        <v>98588501</v>
      </c>
      <c r="I75" s="455">
        <v>4908936</v>
      </c>
      <c r="J75" s="456">
        <v>29453616</v>
      </c>
      <c r="K75" s="166" t="s">
        <v>42</v>
      </c>
      <c r="L75" s="438" t="s">
        <v>42</v>
      </c>
      <c r="M75" s="194" t="s">
        <v>586</v>
      </c>
      <c r="N75" s="177" t="e" cm="1">
        <f t="array" aca="1" ref="N75" ca="1">_xlfn.XLOOKUP(Contrato5[[#This Row],[SUPERVISOR TITULAR]],[2]!PERSONAL_ACTIVO_2024[[#All],[Nombre completo]],[2]!PERSONAL_ACTIVO_2024[[#All],[Documento identidad]],"",0)</f>
        <v>#NAME?</v>
      </c>
      <c r="O75" s="194" t="s">
        <v>589</v>
      </c>
      <c r="P75" s="196" t="e" cm="1">
        <f t="array" aca="1" ref="P75" ca="1">_xlfn.XLOOKUP(Contrato5[[#This Row],[SUPERVISOR SUPLENTE ]],[2]!PERSONAL_ACTIVO_2024[[#All],[Nombre completo]],[2]!PERSONAL_ACTIVO_2024[[#All],[Documento identidad]],"",0)</f>
        <v>#NAME?</v>
      </c>
      <c r="Q75" s="208">
        <v>75</v>
      </c>
      <c r="R75" s="137" t="e" cm="1">
        <f t="array" aca="1" ref="R75" ca="1">_xlfn.XLOOKUP(Contrato5[[#This Row],[CDP]],[2]!DISPONIBILIDADES_2024[[#All],[consecutivo]],[2]!DISPONIBILIDADES_2024[[#All],[fecha_aprobacion]],"",0)</f>
        <v>#NAME?</v>
      </c>
      <c r="S75" s="138" t="e">
        <f>SUMIF([2]!DISPONIBILIDADES_2024[[#All],[consecutivo]],Contrato5[[#This Row],[CDP]],[2]!DISPONIBILIDADES_2024[[#All],[valor_total_rubro]])</f>
        <v>#REF!</v>
      </c>
      <c r="T75" s="139" t="e" cm="1">
        <f t="array" aca="1" ref="T75" ca="1">_xlfn.XLOOKUP(Contrato5[[#This Row],[CONTRATO]]&amp;Contrato5[[#This Row],[CDP]],[2]!Corr_Contr_CDP[[#All],[CONTRATO-CDP]],[2]!Corr_Contr_CDP[[#All],[CRP]],_xlfn.XLOOKUP(Contrato5[[#This Row],[CDP]],[2]!COMPROMISOS_2024[[#All],[disponibilidad]],[2]!COMPROMISOS_2024[[#All],[consecutivo]],"",0),0)</f>
        <v>#NAME?</v>
      </c>
      <c r="U75" s="140" t="e" cm="1">
        <f t="array" aca="1" ref="U75" ca="1">+_xlfn.XLOOKUP(Contrato5[[#This Row],[RCP]],[2]!COMPROMISOS_2024[[#All],[consecutivo]],[2]!COMPROMISOS_2024[[#All],[fecha_aprobacion]],"",0)</f>
        <v>#NAME?</v>
      </c>
      <c r="V75" s="141" t="e">
        <f ca="1">SUMIF([2]!COMPROMISOS_2024[[#All],[consecutivo]],Contrato5[[#This Row],[RCP]],[2]!COMPROMISOS_2024[[#All],[valor_total]])</f>
        <v>#REF!</v>
      </c>
      <c r="W75" s="415">
        <v>45337</v>
      </c>
      <c r="X75" s="415">
        <v>45338</v>
      </c>
      <c r="Y75" s="143">
        <v>45338</v>
      </c>
      <c r="Z75" s="262">
        <v>45519</v>
      </c>
      <c r="AA75" s="183" t="s">
        <v>651</v>
      </c>
      <c r="AB75" s="161" t="s">
        <v>640</v>
      </c>
      <c r="AC75" s="161"/>
      <c r="AD75" s="211">
        <v>202000003614</v>
      </c>
      <c r="AE75" s="147" t="s">
        <v>523</v>
      </c>
      <c r="AF75" s="148" t="str">
        <f>TEXT(LEFT(Contrato5[[#This Row],[CONTRATO]],3),"0")</f>
        <v>50</v>
      </c>
      <c r="AG75" s="148" t="str">
        <f>IF(LEN(Contrato5[[#This Row],[Contrato2]])=3,Contrato5[[#This Row],[Contrato2]],TEXT(Contrato5[[#This Row],[Contrato2]],"000"))</f>
        <v>050</v>
      </c>
      <c r="AH75" s="149">
        <f ca="1">IFERROR(_xlfn.DAYS(Contrato5[[#This Row],[Fecha Proyectada liquidación]],TODAY())/30,"")</f>
        <v>-3.9666666666666668</v>
      </c>
      <c r="AI75" s="150">
        <f>+Contrato5[[#This Row],[FECHA TERMINACIÓN ]]+120</f>
        <v>45639</v>
      </c>
      <c r="AJ75" s="147"/>
      <c r="AK75" s="152" t="str">
        <f ca="1">IF(Contrato5[[#This Row],[FECHA TERMINACIÓN ]]&lt;TODAY(), "Terminado",IF(ISNUMBER(Contrato5[[#This Row],[Fecha Real de liquiidación ]]),"Liquidado",IF(Contrato5[[#This Row],[FECHA TERMINACIÓN ]]&gt;=TODAY(),"En ejecución","")))</f>
        <v>Terminado</v>
      </c>
      <c r="AL75" s="153" t="e">
        <f ca="1">SUMIF([2]!COMPROMISOS_2024[[#All],[consecutivo]],Contrato5[[#This Row],[RCP]],[2]!COMPROMISOS_2024[[#All],[Total pagado]])</f>
        <v>#REF!</v>
      </c>
      <c r="AM75" s="154">
        <f ca="1">IFERROR(Contrato5[[#This Row],[Pagos]]/Contrato5[[#This Row],[VALOR CONTRATO]],0)</f>
        <v>0</v>
      </c>
      <c r="AN75" s="198" t="e">
        <f ca="1">+Contrato5[[#This Row],[VALOR CONTRATO]]-Contrato5[[#This Row],[Pagos]]</f>
        <v>#REF!</v>
      </c>
      <c r="AO75" s="147" t="e" cm="1">
        <f t="array" aca="1" ref="AO75" ca="1">_xlfn.XLOOKUP(Contrato5[[#This Row],[DOCUMENTO ]],[2]!PERSONAL_ACTIVO_2024[[#All],[Documento identidad]],[2]!PERSONAL_ACTIVO_2024[[#All],[Mail ]],0,0)</f>
        <v>#NAME?</v>
      </c>
      <c r="AP75" s="147" t="e" cm="1">
        <f t="array" aca="1" ref="AP75" ca="1">_xlfn.XLOOKUP(Contrato5[[#This Row],[DOCUMENTO]],[2]!PERSONAL_ACTIVO_2024[[#All],[Documento identidad]],[2]!PERSONAL_ACTIVO_2024[[#All],[Mail ]],0,0)</f>
        <v>#NAME?</v>
      </c>
      <c r="AQ75" s="439" cm="1">
        <f t="array" aca="1" ref="AQ75" ca="1">IF(ISBLANK(Contrato5[[#This Row],[DEPENDENCIA ]]),0,IFERROR(_xlfn.XLOOKUP(Contrato5[[#This Row],[DEPENDENCIA ]],[2]!PERSONAL_ACTIVO_2024[[#All],[Dependencia]],[2]!PERSONAL_ACTIVO_2024[[#All],[Mail ]],0,0),0))</f>
        <v>0</v>
      </c>
    </row>
    <row r="76" spans="1:43" ht="34.5" customHeight="1">
      <c r="A76" s="125">
        <v>147</v>
      </c>
      <c r="B76" s="124">
        <v>51</v>
      </c>
      <c r="C76" s="162" t="s">
        <v>1567</v>
      </c>
      <c r="D76" s="227" t="s">
        <v>583</v>
      </c>
      <c r="E76" s="128" t="s">
        <v>94</v>
      </c>
      <c r="F76" s="163" t="s">
        <v>1376</v>
      </c>
      <c r="G76" s="190" t="s">
        <v>666</v>
      </c>
      <c r="H76" s="447">
        <v>1036638220</v>
      </c>
      <c r="I76" s="455">
        <v>4908936</v>
      </c>
      <c r="J76" s="456">
        <v>29453616</v>
      </c>
      <c r="K76" s="166" t="s">
        <v>42</v>
      </c>
      <c r="L76" s="438" t="s">
        <v>42</v>
      </c>
      <c r="M76" s="194" t="s">
        <v>586</v>
      </c>
      <c r="N76" s="177" t="e" cm="1">
        <f t="array" aca="1" ref="N76" ca="1">_xlfn.XLOOKUP(Contrato5[[#This Row],[SUPERVISOR TITULAR]],[2]!PERSONAL_ACTIVO_2024[[#All],[Nombre completo]],[2]!PERSONAL_ACTIVO_2024[[#All],[Documento identidad]],"",0)</f>
        <v>#NAME?</v>
      </c>
      <c r="O76" s="194" t="s">
        <v>589</v>
      </c>
      <c r="P76" s="196" t="e" cm="1">
        <f t="array" aca="1" ref="P76" ca="1">_xlfn.XLOOKUP(Contrato5[[#This Row],[SUPERVISOR SUPLENTE ]],[2]!PERSONAL_ACTIVO_2024[[#All],[Nombre completo]],[2]!PERSONAL_ACTIVO_2024[[#All],[Documento identidad]],"",0)</f>
        <v>#NAME?</v>
      </c>
      <c r="Q76" s="208">
        <v>76</v>
      </c>
      <c r="R76" s="137" t="e" cm="1">
        <f t="array" aca="1" ref="R76" ca="1">_xlfn.XLOOKUP(Contrato5[[#This Row],[CDP]],[2]!DISPONIBILIDADES_2024[[#All],[consecutivo]],[2]!DISPONIBILIDADES_2024[[#All],[fecha_aprobacion]],"",0)</f>
        <v>#NAME?</v>
      </c>
      <c r="S76" s="138" t="e">
        <f>SUMIF([2]!DISPONIBILIDADES_2024[[#All],[consecutivo]],Contrato5[[#This Row],[CDP]],[2]!DISPONIBILIDADES_2024[[#All],[valor_total_rubro]])</f>
        <v>#REF!</v>
      </c>
      <c r="T76" s="139" t="e" cm="1">
        <f t="array" aca="1" ref="T76" ca="1">_xlfn.XLOOKUP(Contrato5[[#This Row],[CONTRATO]]&amp;Contrato5[[#This Row],[CDP]],[2]!Corr_Contr_CDP[[#All],[CONTRATO-CDP]],[2]!Corr_Contr_CDP[[#All],[CRP]],_xlfn.XLOOKUP(Contrato5[[#This Row],[CDP]],[2]!COMPROMISOS_2024[[#All],[disponibilidad]],[2]!COMPROMISOS_2024[[#All],[consecutivo]],"",0),0)</f>
        <v>#NAME?</v>
      </c>
      <c r="U76" s="140" t="e" cm="1">
        <f t="array" aca="1" ref="U76" ca="1">+_xlfn.XLOOKUP(Contrato5[[#This Row],[RCP]],[2]!COMPROMISOS_2024[[#All],[consecutivo]],[2]!COMPROMISOS_2024[[#All],[fecha_aprobacion]],"",0)</f>
        <v>#NAME?</v>
      </c>
      <c r="V76" s="141" t="e">
        <f ca="1">SUMIF([2]!COMPROMISOS_2024[[#All],[consecutivo]],Contrato5[[#This Row],[RCP]],[2]!COMPROMISOS_2024[[#All],[valor_total]])</f>
        <v>#REF!</v>
      </c>
      <c r="W76" s="415">
        <v>45336</v>
      </c>
      <c r="X76" s="415">
        <v>45338</v>
      </c>
      <c r="Y76" s="143">
        <v>45338</v>
      </c>
      <c r="Z76" s="262">
        <v>45519</v>
      </c>
      <c r="AA76" s="183" t="s">
        <v>653</v>
      </c>
      <c r="AB76" s="161" t="s">
        <v>640</v>
      </c>
      <c r="AC76" s="161"/>
      <c r="AD76" s="211">
        <v>202000003615</v>
      </c>
      <c r="AE76" s="147" t="s">
        <v>523</v>
      </c>
      <c r="AF76" s="148" t="str">
        <f>TEXT(LEFT(Contrato5[[#This Row],[CONTRATO]],3),"0")</f>
        <v>51</v>
      </c>
      <c r="AG76" s="148" t="str">
        <f>IF(LEN(Contrato5[[#This Row],[Contrato2]])=3,Contrato5[[#This Row],[Contrato2]],TEXT(Contrato5[[#This Row],[Contrato2]],"000"))</f>
        <v>051</v>
      </c>
      <c r="AH76" s="149">
        <f ca="1">IFERROR(_xlfn.DAYS(Contrato5[[#This Row],[Fecha Proyectada liquidación]],TODAY())/30,"")</f>
        <v>-3.9666666666666668</v>
      </c>
      <c r="AI76" s="150">
        <f>+Contrato5[[#This Row],[FECHA TERMINACIÓN ]]+120</f>
        <v>45639</v>
      </c>
      <c r="AJ76" s="147"/>
      <c r="AK76" s="152" t="str">
        <f ca="1">IF(Contrato5[[#This Row],[FECHA TERMINACIÓN ]]&lt;TODAY(), "Terminado",IF(ISNUMBER(Contrato5[[#This Row],[Fecha Real de liquiidación ]]),"Liquidado",IF(Contrato5[[#This Row],[FECHA TERMINACIÓN ]]&gt;=TODAY(),"En ejecución","")))</f>
        <v>Terminado</v>
      </c>
      <c r="AL76" s="153" t="e">
        <f ca="1">SUMIF([2]!COMPROMISOS_2024[[#All],[consecutivo]],Contrato5[[#This Row],[RCP]],[2]!COMPROMISOS_2024[[#All],[Total pagado]])</f>
        <v>#REF!</v>
      </c>
      <c r="AM76" s="154">
        <f ca="1">IFERROR(Contrato5[[#This Row],[Pagos]]/Contrato5[[#This Row],[VALOR CONTRATO]],0)</f>
        <v>0</v>
      </c>
      <c r="AN76" s="198" t="e">
        <f ca="1">+Contrato5[[#This Row],[VALOR CONTRATO]]-Contrato5[[#This Row],[Pagos]]</f>
        <v>#REF!</v>
      </c>
      <c r="AO76" s="147" t="e" cm="1">
        <f t="array" aca="1" ref="AO76" ca="1">_xlfn.XLOOKUP(Contrato5[[#This Row],[DOCUMENTO ]],[2]!PERSONAL_ACTIVO_2024[[#All],[Documento identidad]],[2]!PERSONAL_ACTIVO_2024[[#All],[Mail ]],0,0)</f>
        <v>#NAME?</v>
      </c>
      <c r="AP76" s="147" t="e" cm="1">
        <f t="array" aca="1" ref="AP76" ca="1">_xlfn.XLOOKUP(Contrato5[[#This Row],[DOCUMENTO]],[2]!PERSONAL_ACTIVO_2024[[#All],[Documento identidad]],[2]!PERSONAL_ACTIVO_2024[[#All],[Mail ]],0,0)</f>
        <v>#NAME?</v>
      </c>
      <c r="AQ76" s="439" cm="1">
        <f t="array" aca="1" ref="AQ76" ca="1">IF(ISBLANK(Contrato5[[#This Row],[DEPENDENCIA ]]),0,IFERROR(_xlfn.XLOOKUP(Contrato5[[#This Row],[DEPENDENCIA ]],[2]!PERSONAL_ACTIVO_2024[[#All],[Dependencia]],[2]!PERSONAL_ACTIVO_2024[[#All],[Mail ]],0,0),0))</f>
        <v>0</v>
      </c>
    </row>
    <row r="77" spans="1:43" ht="34.5" customHeight="1">
      <c r="A77" s="125">
        <v>148</v>
      </c>
      <c r="B77" s="124">
        <v>52</v>
      </c>
      <c r="C77" s="162" t="s">
        <v>1568</v>
      </c>
      <c r="D77" s="227" t="s">
        <v>583</v>
      </c>
      <c r="E77" s="128" t="s">
        <v>94</v>
      </c>
      <c r="F77" s="163" t="s">
        <v>1376</v>
      </c>
      <c r="G77" s="190" t="s">
        <v>667</v>
      </c>
      <c r="H77" s="447">
        <v>1152456582</v>
      </c>
      <c r="I77" s="455">
        <v>3952382</v>
      </c>
      <c r="J77" s="456">
        <v>23714292</v>
      </c>
      <c r="K77" s="166" t="s">
        <v>42</v>
      </c>
      <c r="L77" s="438" t="s">
        <v>42</v>
      </c>
      <c r="M77" s="194" t="s">
        <v>586</v>
      </c>
      <c r="N77" s="177" t="e" cm="1">
        <f t="array" aca="1" ref="N77" ca="1">_xlfn.XLOOKUP(Contrato5[[#This Row],[SUPERVISOR TITULAR]],[2]!PERSONAL_ACTIVO_2024[[#All],[Nombre completo]],[2]!PERSONAL_ACTIVO_2024[[#All],[Documento identidad]],"",0)</f>
        <v>#NAME?</v>
      </c>
      <c r="O77" s="194" t="s">
        <v>589</v>
      </c>
      <c r="P77" s="196" t="e" cm="1">
        <f t="array" aca="1" ref="P77" ca="1">_xlfn.XLOOKUP(Contrato5[[#This Row],[SUPERVISOR SUPLENTE ]],[2]!PERSONAL_ACTIVO_2024[[#All],[Nombre completo]],[2]!PERSONAL_ACTIVO_2024[[#All],[Documento identidad]],"",0)</f>
        <v>#NAME?</v>
      </c>
      <c r="Q77" s="208">
        <v>77</v>
      </c>
      <c r="R77" s="137" t="e" cm="1">
        <f t="array" aca="1" ref="R77" ca="1">_xlfn.XLOOKUP(Contrato5[[#This Row],[CDP]],[2]!DISPONIBILIDADES_2024[[#All],[consecutivo]],[2]!DISPONIBILIDADES_2024[[#All],[fecha_aprobacion]],"",0)</f>
        <v>#NAME?</v>
      </c>
      <c r="S77" s="138" t="e">
        <f>SUMIF([2]!DISPONIBILIDADES_2024[[#All],[consecutivo]],Contrato5[[#This Row],[CDP]],[2]!DISPONIBILIDADES_2024[[#All],[valor_total_rubro]])</f>
        <v>#REF!</v>
      </c>
      <c r="T77" s="139" t="e" cm="1">
        <f t="array" aca="1" ref="T77" ca="1">_xlfn.XLOOKUP(Contrato5[[#This Row],[CONTRATO]]&amp;Contrato5[[#This Row],[CDP]],[2]!Corr_Contr_CDP[[#All],[CONTRATO-CDP]],[2]!Corr_Contr_CDP[[#All],[CRP]],_xlfn.XLOOKUP(Contrato5[[#This Row],[CDP]],[2]!COMPROMISOS_2024[[#All],[disponibilidad]],[2]!COMPROMISOS_2024[[#All],[consecutivo]],"",0),0)</f>
        <v>#NAME?</v>
      </c>
      <c r="U77" s="140" t="e" cm="1">
        <f t="array" aca="1" ref="U77" ca="1">+_xlfn.XLOOKUP(Contrato5[[#This Row],[RCP]],[2]!COMPROMISOS_2024[[#All],[consecutivo]],[2]!COMPROMISOS_2024[[#All],[fecha_aprobacion]],"",0)</f>
        <v>#NAME?</v>
      </c>
      <c r="V77" s="141" t="e">
        <f ca="1">SUMIF([2]!COMPROMISOS_2024[[#All],[consecutivo]],Contrato5[[#This Row],[RCP]],[2]!COMPROMISOS_2024[[#All],[valor_total]])</f>
        <v>#REF!</v>
      </c>
      <c r="W77" s="415">
        <v>45336</v>
      </c>
      <c r="X77" s="415">
        <v>45338</v>
      </c>
      <c r="Y77" s="143">
        <v>45338</v>
      </c>
      <c r="Z77" s="262">
        <v>45519</v>
      </c>
      <c r="AA77" s="171" t="s">
        <v>653</v>
      </c>
      <c r="AB77" s="161" t="s">
        <v>640</v>
      </c>
      <c r="AC77" s="161"/>
      <c r="AD77" s="211">
        <v>202000003616</v>
      </c>
      <c r="AE77" s="147" t="s">
        <v>523</v>
      </c>
      <c r="AF77" s="148" t="str">
        <f>TEXT(LEFT(Contrato5[[#This Row],[CONTRATO]],3),"0")</f>
        <v>52</v>
      </c>
      <c r="AG77" s="148" t="str">
        <f>IF(LEN(Contrato5[[#This Row],[Contrato2]])=3,Contrato5[[#This Row],[Contrato2]],TEXT(Contrato5[[#This Row],[Contrato2]],"000"))</f>
        <v>052</v>
      </c>
      <c r="AH77" s="149">
        <f ca="1">IFERROR(_xlfn.DAYS(Contrato5[[#This Row],[Fecha Proyectada liquidación]],TODAY())/30,"")</f>
        <v>-3.9666666666666668</v>
      </c>
      <c r="AI77" s="150">
        <f>+Contrato5[[#This Row],[FECHA TERMINACIÓN ]]+120</f>
        <v>45639</v>
      </c>
      <c r="AJ77" s="147"/>
      <c r="AK77" s="152" t="str">
        <f ca="1">IF(Contrato5[[#This Row],[FECHA TERMINACIÓN ]]&lt;TODAY(), "Terminado",IF(ISNUMBER(Contrato5[[#This Row],[Fecha Real de liquiidación ]]),"Liquidado",IF(Contrato5[[#This Row],[FECHA TERMINACIÓN ]]&gt;=TODAY(),"En ejecución","")))</f>
        <v>Terminado</v>
      </c>
      <c r="AL77" s="153" t="e">
        <f ca="1">SUMIF([2]!COMPROMISOS_2024[[#All],[consecutivo]],Contrato5[[#This Row],[RCP]],[2]!COMPROMISOS_2024[[#All],[Total pagado]])</f>
        <v>#REF!</v>
      </c>
      <c r="AM77" s="154">
        <f ca="1">IFERROR(Contrato5[[#This Row],[Pagos]]/Contrato5[[#This Row],[VALOR CONTRATO]],0)</f>
        <v>0</v>
      </c>
      <c r="AN77" s="198" t="e">
        <f ca="1">+Contrato5[[#This Row],[VALOR CONTRATO]]-Contrato5[[#This Row],[Pagos]]</f>
        <v>#REF!</v>
      </c>
      <c r="AO77" s="147" t="e" cm="1">
        <f t="array" aca="1" ref="AO77" ca="1">_xlfn.XLOOKUP(Contrato5[[#This Row],[DOCUMENTO ]],[2]!PERSONAL_ACTIVO_2024[[#All],[Documento identidad]],[2]!PERSONAL_ACTIVO_2024[[#All],[Mail ]],0,0)</f>
        <v>#NAME?</v>
      </c>
      <c r="AP77" s="147" t="e" cm="1">
        <f t="array" aca="1" ref="AP77" ca="1">_xlfn.XLOOKUP(Contrato5[[#This Row],[DOCUMENTO]],[2]!PERSONAL_ACTIVO_2024[[#All],[Documento identidad]],[2]!PERSONAL_ACTIVO_2024[[#All],[Mail ]],0,0)</f>
        <v>#NAME?</v>
      </c>
      <c r="AQ77" s="439" cm="1">
        <f t="array" aca="1" ref="AQ77" ca="1">IF(ISBLANK(Contrato5[[#This Row],[DEPENDENCIA ]]),0,IFERROR(_xlfn.XLOOKUP(Contrato5[[#This Row],[DEPENDENCIA ]],[2]!PERSONAL_ACTIVO_2024[[#All],[Dependencia]],[2]!PERSONAL_ACTIVO_2024[[#All],[Mail ]],0,0),0))</f>
        <v>0</v>
      </c>
    </row>
    <row r="78" spans="1:43" ht="34.5" customHeight="1">
      <c r="A78" s="125">
        <v>149</v>
      </c>
      <c r="B78" s="124">
        <v>53</v>
      </c>
      <c r="C78" s="162" t="s">
        <v>1569</v>
      </c>
      <c r="D78" s="227" t="s">
        <v>583</v>
      </c>
      <c r="E78" s="128" t="s">
        <v>94</v>
      </c>
      <c r="F78" s="163" t="s">
        <v>1376</v>
      </c>
      <c r="G78" s="190" t="s">
        <v>668</v>
      </c>
      <c r="H78" s="447">
        <v>1036603305</v>
      </c>
      <c r="I78" s="455">
        <v>4908936</v>
      </c>
      <c r="J78" s="456">
        <v>29453616</v>
      </c>
      <c r="K78" s="166" t="s">
        <v>42</v>
      </c>
      <c r="L78" s="438" t="s">
        <v>42</v>
      </c>
      <c r="M78" s="194" t="s">
        <v>586</v>
      </c>
      <c r="N78" s="177" t="e" cm="1">
        <f t="array" aca="1" ref="N78" ca="1">_xlfn.XLOOKUP(Contrato5[[#This Row],[SUPERVISOR TITULAR]],[2]!PERSONAL_ACTIVO_2024[[#All],[Nombre completo]],[2]!PERSONAL_ACTIVO_2024[[#All],[Documento identidad]],"",0)</f>
        <v>#NAME?</v>
      </c>
      <c r="O78" s="194" t="s">
        <v>589</v>
      </c>
      <c r="P78" s="196" t="e" cm="1">
        <f t="array" aca="1" ref="P78" ca="1">_xlfn.XLOOKUP(Contrato5[[#This Row],[SUPERVISOR SUPLENTE ]],[2]!PERSONAL_ACTIVO_2024[[#All],[Nombre completo]],[2]!PERSONAL_ACTIVO_2024[[#All],[Documento identidad]],"",0)</f>
        <v>#NAME?</v>
      </c>
      <c r="Q78" s="208">
        <v>78</v>
      </c>
      <c r="R78" s="137" t="e" cm="1">
        <f t="array" aca="1" ref="R78" ca="1">_xlfn.XLOOKUP(Contrato5[[#This Row],[CDP]],[2]!DISPONIBILIDADES_2024[[#All],[consecutivo]],[2]!DISPONIBILIDADES_2024[[#All],[fecha_aprobacion]],"",0)</f>
        <v>#NAME?</v>
      </c>
      <c r="S78" s="138" t="e">
        <f>SUMIF([2]!DISPONIBILIDADES_2024[[#All],[consecutivo]],Contrato5[[#This Row],[CDP]],[2]!DISPONIBILIDADES_2024[[#All],[valor_total_rubro]])</f>
        <v>#REF!</v>
      </c>
      <c r="T78" s="139" t="e" cm="1">
        <f t="array" aca="1" ref="T78" ca="1">_xlfn.XLOOKUP(Contrato5[[#This Row],[CONTRATO]]&amp;Contrato5[[#This Row],[CDP]],[2]!Corr_Contr_CDP[[#All],[CONTRATO-CDP]],[2]!Corr_Contr_CDP[[#All],[CRP]],_xlfn.XLOOKUP(Contrato5[[#This Row],[CDP]],[2]!COMPROMISOS_2024[[#All],[disponibilidad]],[2]!COMPROMISOS_2024[[#All],[consecutivo]],"",0),0)</f>
        <v>#NAME?</v>
      </c>
      <c r="U78" s="140" t="e" cm="1">
        <f t="array" aca="1" ref="U78" ca="1">+_xlfn.XLOOKUP(Contrato5[[#This Row],[RCP]],[2]!COMPROMISOS_2024[[#All],[consecutivo]],[2]!COMPROMISOS_2024[[#All],[fecha_aprobacion]],"",0)</f>
        <v>#NAME?</v>
      </c>
      <c r="V78" s="141" t="e">
        <f ca="1">SUMIF([2]!COMPROMISOS_2024[[#All],[consecutivo]],Contrato5[[#This Row],[RCP]],[2]!COMPROMISOS_2024[[#All],[valor_total]])</f>
        <v>#REF!</v>
      </c>
      <c r="W78" s="415">
        <v>45336</v>
      </c>
      <c r="X78" s="415">
        <v>45338</v>
      </c>
      <c r="Y78" s="143">
        <v>45338</v>
      </c>
      <c r="Z78" s="262">
        <v>45519</v>
      </c>
      <c r="AA78" s="183" t="s">
        <v>651</v>
      </c>
      <c r="AB78" s="161" t="s">
        <v>640</v>
      </c>
      <c r="AC78" s="161"/>
      <c r="AD78" s="211">
        <v>202000003617</v>
      </c>
      <c r="AE78" s="147" t="s">
        <v>523</v>
      </c>
      <c r="AF78" s="148" t="str">
        <f>TEXT(LEFT(Contrato5[[#This Row],[CONTRATO]],3),"0")</f>
        <v>53</v>
      </c>
      <c r="AG78" s="148" t="str">
        <f>IF(LEN(Contrato5[[#This Row],[Contrato2]])=3,Contrato5[[#This Row],[Contrato2]],TEXT(Contrato5[[#This Row],[Contrato2]],"000"))</f>
        <v>053</v>
      </c>
      <c r="AH78" s="149">
        <f ca="1">IFERROR(_xlfn.DAYS(Contrato5[[#This Row],[Fecha Proyectada liquidación]],TODAY())/30,"")</f>
        <v>-3.9666666666666668</v>
      </c>
      <c r="AI78" s="150">
        <f>+Contrato5[[#This Row],[FECHA TERMINACIÓN ]]+120</f>
        <v>45639</v>
      </c>
      <c r="AJ78" s="147"/>
      <c r="AK78" s="152" t="str">
        <f ca="1">IF(Contrato5[[#This Row],[FECHA TERMINACIÓN ]]&lt;TODAY(), "Terminado",IF(ISNUMBER(Contrato5[[#This Row],[Fecha Real de liquiidación ]]),"Liquidado",IF(Contrato5[[#This Row],[FECHA TERMINACIÓN ]]&gt;=TODAY(),"En ejecución","")))</f>
        <v>Terminado</v>
      </c>
      <c r="AL78" s="153" t="e">
        <f ca="1">SUMIF([2]!COMPROMISOS_2024[[#All],[consecutivo]],Contrato5[[#This Row],[RCP]],[2]!COMPROMISOS_2024[[#All],[Total pagado]])</f>
        <v>#REF!</v>
      </c>
      <c r="AM78" s="154">
        <f ca="1">IFERROR(Contrato5[[#This Row],[Pagos]]/Contrato5[[#This Row],[VALOR CONTRATO]],0)</f>
        <v>0</v>
      </c>
      <c r="AN78" s="198" t="e">
        <f ca="1">+Contrato5[[#This Row],[VALOR CONTRATO]]-Contrato5[[#This Row],[Pagos]]</f>
        <v>#REF!</v>
      </c>
      <c r="AO78" s="147" t="e" cm="1">
        <f t="array" aca="1" ref="AO78" ca="1">_xlfn.XLOOKUP(Contrato5[[#This Row],[DOCUMENTO ]],[2]!PERSONAL_ACTIVO_2024[[#All],[Documento identidad]],[2]!PERSONAL_ACTIVO_2024[[#All],[Mail ]],0,0)</f>
        <v>#NAME?</v>
      </c>
      <c r="AP78" s="147" t="e" cm="1">
        <f t="array" aca="1" ref="AP78" ca="1">_xlfn.XLOOKUP(Contrato5[[#This Row],[DOCUMENTO]],[2]!PERSONAL_ACTIVO_2024[[#All],[Documento identidad]],[2]!PERSONAL_ACTIVO_2024[[#All],[Mail ]],0,0)</f>
        <v>#NAME?</v>
      </c>
      <c r="AQ78" s="439" cm="1">
        <f t="array" aca="1" ref="AQ78" ca="1">IF(ISBLANK(Contrato5[[#This Row],[DEPENDENCIA ]]),0,IFERROR(_xlfn.XLOOKUP(Contrato5[[#This Row],[DEPENDENCIA ]],[2]!PERSONAL_ACTIVO_2024[[#All],[Dependencia]],[2]!PERSONAL_ACTIVO_2024[[#All],[Mail ]],0,0),0))</f>
        <v>0</v>
      </c>
    </row>
    <row r="79" spans="1:43" ht="34.5" customHeight="1">
      <c r="A79" s="125">
        <v>150</v>
      </c>
      <c r="B79" s="124">
        <v>54</v>
      </c>
      <c r="C79" s="162" t="s">
        <v>1570</v>
      </c>
      <c r="D79" s="227" t="s">
        <v>583</v>
      </c>
      <c r="E79" s="128" t="s">
        <v>94</v>
      </c>
      <c r="F79" s="163" t="s">
        <v>1376</v>
      </c>
      <c r="G79" s="190" t="s">
        <v>669</v>
      </c>
      <c r="H79" s="447">
        <v>3391900</v>
      </c>
      <c r="I79" s="455">
        <v>3952382</v>
      </c>
      <c r="J79" s="456">
        <v>23714292</v>
      </c>
      <c r="K79" s="166" t="s">
        <v>42</v>
      </c>
      <c r="L79" s="438" t="s">
        <v>42</v>
      </c>
      <c r="M79" s="194" t="s">
        <v>586</v>
      </c>
      <c r="N79" s="177" t="e" cm="1">
        <f t="array" aca="1" ref="N79" ca="1">_xlfn.XLOOKUP(Contrato5[[#This Row],[SUPERVISOR TITULAR]],[2]!PERSONAL_ACTIVO_2024[[#All],[Nombre completo]],[2]!PERSONAL_ACTIVO_2024[[#All],[Documento identidad]],"",0)</f>
        <v>#NAME?</v>
      </c>
      <c r="O79" s="194" t="s">
        <v>589</v>
      </c>
      <c r="P79" s="196" t="e" cm="1">
        <f t="array" aca="1" ref="P79" ca="1">_xlfn.XLOOKUP(Contrato5[[#This Row],[SUPERVISOR SUPLENTE ]],[2]!PERSONAL_ACTIVO_2024[[#All],[Nombre completo]],[2]!PERSONAL_ACTIVO_2024[[#All],[Documento identidad]],"",0)</f>
        <v>#NAME?</v>
      </c>
      <c r="Q79" s="208">
        <v>79</v>
      </c>
      <c r="R79" s="137" t="e" cm="1">
        <f t="array" aca="1" ref="R79" ca="1">_xlfn.XLOOKUP(Contrato5[[#This Row],[CDP]],[2]!DISPONIBILIDADES_2024[[#All],[consecutivo]],[2]!DISPONIBILIDADES_2024[[#All],[fecha_aprobacion]],"",0)</f>
        <v>#NAME?</v>
      </c>
      <c r="S79" s="138" t="e">
        <f>SUMIF([2]!DISPONIBILIDADES_2024[[#All],[consecutivo]],Contrato5[[#This Row],[CDP]],[2]!DISPONIBILIDADES_2024[[#All],[valor_total_rubro]])</f>
        <v>#REF!</v>
      </c>
      <c r="T79" s="139" t="e" cm="1">
        <f t="array" aca="1" ref="T79" ca="1">_xlfn.XLOOKUP(Contrato5[[#This Row],[CONTRATO]]&amp;Contrato5[[#This Row],[CDP]],[2]!Corr_Contr_CDP[[#All],[CONTRATO-CDP]],[2]!Corr_Contr_CDP[[#All],[CRP]],_xlfn.XLOOKUP(Contrato5[[#This Row],[CDP]],[2]!COMPROMISOS_2024[[#All],[disponibilidad]],[2]!COMPROMISOS_2024[[#All],[consecutivo]],"",0),0)</f>
        <v>#NAME?</v>
      </c>
      <c r="U79" s="140" t="e" cm="1">
        <f t="array" aca="1" ref="U79" ca="1">+_xlfn.XLOOKUP(Contrato5[[#This Row],[RCP]],[2]!COMPROMISOS_2024[[#All],[consecutivo]],[2]!COMPROMISOS_2024[[#All],[fecha_aprobacion]],"",0)</f>
        <v>#NAME?</v>
      </c>
      <c r="V79" s="141" t="e">
        <f ca="1">SUMIF([2]!COMPROMISOS_2024[[#All],[consecutivo]],Contrato5[[#This Row],[RCP]],[2]!COMPROMISOS_2024[[#All],[valor_total]])</f>
        <v>#REF!</v>
      </c>
      <c r="W79" s="415">
        <v>45336</v>
      </c>
      <c r="X79" s="415">
        <v>45337</v>
      </c>
      <c r="Y79" s="143">
        <v>45338</v>
      </c>
      <c r="Z79" s="262">
        <v>45519</v>
      </c>
      <c r="AA79" s="219" t="s">
        <v>670</v>
      </c>
      <c r="AB79" s="161" t="s">
        <v>640</v>
      </c>
      <c r="AC79" s="161"/>
      <c r="AD79" s="211">
        <v>202000003618</v>
      </c>
      <c r="AE79" s="147" t="s">
        <v>523</v>
      </c>
      <c r="AF79" s="148" t="str">
        <f>TEXT(LEFT(Contrato5[[#This Row],[CONTRATO]],3),"0")</f>
        <v>54</v>
      </c>
      <c r="AG79" s="148" t="str">
        <f>IF(LEN(Contrato5[[#This Row],[Contrato2]])=3,Contrato5[[#This Row],[Contrato2]],TEXT(Contrato5[[#This Row],[Contrato2]],"000"))</f>
        <v>054</v>
      </c>
      <c r="AH79" s="149">
        <f ca="1">IFERROR(_xlfn.DAYS(Contrato5[[#This Row],[Fecha Proyectada liquidación]],TODAY())/30,"")</f>
        <v>-3.9666666666666668</v>
      </c>
      <c r="AI79" s="150">
        <f>+Contrato5[[#This Row],[FECHA TERMINACIÓN ]]+120</f>
        <v>45639</v>
      </c>
      <c r="AJ79" s="147"/>
      <c r="AK79" s="152" t="str">
        <f ca="1">IF(Contrato5[[#This Row],[FECHA TERMINACIÓN ]]&lt;TODAY(), "Terminado",IF(ISNUMBER(Contrato5[[#This Row],[Fecha Real de liquiidación ]]),"Liquidado",IF(Contrato5[[#This Row],[FECHA TERMINACIÓN ]]&gt;=TODAY(),"En ejecución","")))</f>
        <v>Terminado</v>
      </c>
      <c r="AL79" s="153" t="e">
        <f ca="1">SUMIF([2]!COMPROMISOS_2024[[#All],[consecutivo]],Contrato5[[#This Row],[RCP]],[2]!COMPROMISOS_2024[[#All],[Total pagado]])</f>
        <v>#REF!</v>
      </c>
      <c r="AM79" s="154">
        <f ca="1">IFERROR(Contrato5[[#This Row],[Pagos]]/Contrato5[[#This Row],[VALOR CONTRATO]],0)</f>
        <v>0</v>
      </c>
      <c r="AN79" s="198" t="e">
        <f ca="1">+Contrato5[[#This Row],[VALOR CONTRATO]]-Contrato5[[#This Row],[Pagos]]</f>
        <v>#REF!</v>
      </c>
      <c r="AO79" s="147" t="e" cm="1">
        <f t="array" aca="1" ref="AO79" ca="1">_xlfn.XLOOKUP(Contrato5[[#This Row],[DOCUMENTO ]],[2]!PERSONAL_ACTIVO_2024[[#All],[Documento identidad]],[2]!PERSONAL_ACTIVO_2024[[#All],[Mail ]],0,0)</f>
        <v>#NAME?</v>
      </c>
      <c r="AP79" s="147" t="e" cm="1">
        <f t="array" aca="1" ref="AP79" ca="1">_xlfn.XLOOKUP(Contrato5[[#This Row],[DOCUMENTO]],[2]!PERSONAL_ACTIVO_2024[[#All],[Documento identidad]],[2]!PERSONAL_ACTIVO_2024[[#All],[Mail ]],0,0)</f>
        <v>#NAME?</v>
      </c>
      <c r="AQ79" s="439" cm="1">
        <f t="array" aca="1" ref="AQ79" ca="1">IF(ISBLANK(Contrato5[[#This Row],[DEPENDENCIA ]]),0,IFERROR(_xlfn.XLOOKUP(Contrato5[[#This Row],[DEPENDENCIA ]],[2]!PERSONAL_ACTIVO_2024[[#All],[Dependencia]],[2]!PERSONAL_ACTIVO_2024[[#All],[Mail ]],0,0),0))</f>
        <v>0</v>
      </c>
    </row>
    <row r="80" spans="1:43" ht="34.5" customHeight="1">
      <c r="A80" s="125">
        <v>151</v>
      </c>
      <c r="B80" s="124">
        <v>55</v>
      </c>
      <c r="C80" s="162" t="s">
        <v>1571</v>
      </c>
      <c r="D80" s="227" t="s">
        <v>583</v>
      </c>
      <c r="E80" s="128" t="s">
        <v>94</v>
      </c>
      <c r="F80" s="163" t="s">
        <v>1376</v>
      </c>
      <c r="G80" s="190" t="s">
        <v>671</v>
      </c>
      <c r="H80" s="447">
        <v>98554081</v>
      </c>
      <c r="I80" s="455">
        <v>7908765</v>
      </c>
      <c r="J80" s="456">
        <v>47452590</v>
      </c>
      <c r="K80" s="166" t="s">
        <v>42</v>
      </c>
      <c r="L80" s="438" t="s">
        <v>42</v>
      </c>
      <c r="M80" s="194" t="s">
        <v>586</v>
      </c>
      <c r="N80" s="177" t="e" cm="1">
        <f t="array" aca="1" ref="N80" ca="1">_xlfn.XLOOKUP(Contrato5[[#This Row],[SUPERVISOR TITULAR]],[2]!PERSONAL_ACTIVO_2024[[#All],[Nombre completo]],[2]!PERSONAL_ACTIVO_2024[[#All],[Documento identidad]],"",0)</f>
        <v>#NAME?</v>
      </c>
      <c r="O80" s="194" t="s">
        <v>589</v>
      </c>
      <c r="P80" s="196" t="e" cm="1">
        <f t="array" aca="1" ref="P80" ca="1">_xlfn.XLOOKUP(Contrato5[[#This Row],[SUPERVISOR SUPLENTE ]],[2]!PERSONAL_ACTIVO_2024[[#All],[Nombre completo]],[2]!PERSONAL_ACTIVO_2024[[#All],[Documento identidad]],"",0)</f>
        <v>#NAME?</v>
      </c>
      <c r="Q80" s="208">
        <v>80</v>
      </c>
      <c r="R80" s="137" t="e" cm="1">
        <f t="array" aca="1" ref="R80" ca="1">_xlfn.XLOOKUP(Contrato5[[#This Row],[CDP]],[2]!DISPONIBILIDADES_2024[[#All],[consecutivo]],[2]!DISPONIBILIDADES_2024[[#All],[fecha_aprobacion]],"",0)</f>
        <v>#NAME?</v>
      </c>
      <c r="S80" s="138" t="e">
        <f>SUMIF([2]!DISPONIBILIDADES_2024[[#All],[consecutivo]],Contrato5[[#This Row],[CDP]],[2]!DISPONIBILIDADES_2024[[#All],[valor_total_rubro]])</f>
        <v>#REF!</v>
      </c>
      <c r="T80" s="139" t="e" cm="1">
        <f t="array" aca="1" ref="T80" ca="1">_xlfn.XLOOKUP(Contrato5[[#This Row],[CONTRATO]]&amp;Contrato5[[#This Row],[CDP]],[2]!Corr_Contr_CDP[[#All],[CONTRATO-CDP]],[2]!Corr_Contr_CDP[[#All],[CRP]],_xlfn.XLOOKUP(Contrato5[[#This Row],[CDP]],[2]!COMPROMISOS_2024[[#All],[disponibilidad]],[2]!COMPROMISOS_2024[[#All],[consecutivo]],"",0),0)</f>
        <v>#NAME?</v>
      </c>
      <c r="U80" s="140" t="e" cm="1">
        <f t="array" aca="1" ref="U80" ca="1">+_xlfn.XLOOKUP(Contrato5[[#This Row],[RCP]],[2]!COMPROMISOS_2024[[#All],[consecutivo]],[2]!COMPROMISOS_2024[[#All],[fecha_aprobacion]],"",0)</f>
        <v>#NAME?</v>
      </c>
      <c r="V80" s="141" t="e">
        <f ca="1">SUMIF([2]!COMPROMISOS_2024[[#All],[consecutivo]],Contrato5[[#This Row],[RCP]],[2]!COMPROMISOS_2024[[#All],[valor_total]])</f>
        <v>#REF!</v>
      </c>
      <c r="W80" s="415">
        <v>45336</v>
      </c>
      <c r="X80" s="415">
        <v>45338</v>
      </c>
      <c r="Y80" s="143">
        <v>45338</v>
      </c>
      <c r="Z80" s="262">
        <v>45519</v>
      </c>
      <c r="AA80" s="183" t="s">
        <v>651</v>
      </c>
      <c r="AB80" s="161" t="s">
        <v>640</v>
      </c>
      <c r="AC80" s="161"/>
      <c r="AD80" s="211">
        <v>202000003619</v>
      </c>
      <c r="AE80" s="147" t="s">
        <v>523</v>
      </c>
      <c r="AF80" s="148" t="str">
        <f>TEXT(LEFT(Contrato5[[#This Row],[CONTRATO]],3),"0")</f>
        <v>55</v>
      </c>
      <c r="AG80" s="148" t="str">
        <f>IF(LEN(Contrato5[[#This Row],[Contrato2]])=3,Contrato5[[#This Row],[Contrato2]],TEXT(Contrato5[[#This Row],[Contrato2]],"000"))</f>
        <v>055</v>
      </c>
      <c r="AH80" s="149">
        <f ca="1">IFERROR(_xlfn.DAYS(Contrato5[[#This Row],[Fecha Proyectada liquidación]],TODAY())/30,"")</f>
        <v>-3.9666666666666668</v>
      </c>
      <c r="AI80" s="150">
        <f>+Contrato5[[#This Row],[FECHA TERMINACIÓN ]]+120</f>
        <v>45639</v>
      </c>
      <c r="AJ80" s="147"/>
      <c r="AK80" s="152" t="str">
        <f ca="1">IF(Contrato5[[#This Row],[FECHA TERMINACIÓN ]]&lt;TODAY(), "Terminado",IF(ISNUMBER(Contrato5[[#This Row],[Fecha Real de liquiidación ]]),"Liquidado",IF(Contrato5[[#This Row],[FECHA TERMINACIÓN ]]&gt;=TODAY(),"En ejecución","")))</f>
        <v>Terminado</v>
      </c>
      <c r="AL80" s="153" t="e">
        <f ca="1">SUMIF([2]!COMPROMISOS_2024[[#All],[consecutivo]],Contrato5[[#This Row],[RCP]],[2]!COMPROMISOS_2024[[#All],[Total pagado]])</f>
        <v>#REF!</v>
      </c>
      <c r="AM80" s="154">
        <f ca="1">IFERROR(Contrato5[[#This Row],[Pagos]]/Contrato5[[#This Row],[VALOR CONTRATO]],0)</f>
        <v>0</v>
      </c>
      <c r="AN80" s="198" t="e">
        <f ca="1">+Contrato5[[#This Row],[VALOR CONTRATO]]-Contrato5[[#This Row],[Pagos]]</f>
        <v>#REF!</v>
      </c>
      <c r="AO80" s="147" t="e" cm="1">
        <f t="array" aca="1" ref="AO80" ca="1">_xlfn.XLOOKUP(Contrato5[[#This Row],[DOCUMENTO ]],[2]!PERSONAL_ACTIVO_2024[[#All],[Documento identidad]],[2]!PERSONAL_ACTIVO_2024[[#All],[Mail ]],0,0)</f>
        <v>#NAME?</v>
      </c>
      <c r="AP80" s="147" t="e" cm="1">
        <f t="array" aca="1" ref="AP80" ca="1">_xlfn.XLOOKUP(Contrato5[[#This Row],[DOCUMENTO]],[2]!PERSONAL_ACTIVO_2024[[#All],[Documento identidad]],[2]!PERSONAL_ACTIVO_2024[[#All],[Mail ]],0,0)</f>
        <v>#NAME?</v>
      </c>
      <c r="AQ80" s="439" cm="1">
        <f t="array" aca="1" ref="AQ80" ca="1">IF(ISBLANK(Contrato5[[#This Row],[DEPENDENCIA ]]),0,IFERROR(_xlfn.XLOOKUP(Contrato5[[#This Row],[DEPENDENCIA ]],[2]!PERSONAL_ACTIVO_2024[[#All],[Dependencia]],[2]!PERSONAL_ACTIVO_2024[[#All],[Mail ]],0,0),0))</f>
        <v>0</v>
      </c>
    </row>
    <row r="81" spans="1:43" ht="34.5" customHeight="1">
      <c r="A81" s="125">
        <v>152</v>
      </c>
      <c r="B81" s="124">
        <v>56</v>
      </c>
      <c r="C81" s="162" t="s">
        <v>1572</v>
      </c>
      <c r="D81" s="227" t="s">
        <v>583</v>
      </c>
      <c r="E81" s="128" t="s">
        <v>94</v>
      </c>
      <c r="F81" s="163" t="s">
        <v>1376</v>
      </c>
      <c r="G81" s="190" t="s">
        <v>672</v>
      </c>
      <c r="H81" s="447">
        <v>71263460</v>
      </c>
      <c r="I81" s="455">
        <v>3952382</v>
      </c>
      <c r="J81" s="456">
        <v>23714292</v>
      </c>
      <c r="K81" s="166" t="s">
        <v>42</v>
      </c>
      <c r="L81" s="438" t="s">
        <v>42</v>
      </c>
      <c r="M81" s="194" t="s">
        <v>592</v>
      </c>
      <c r="N81" s="177" t="e" cm="1">
        <f t="array" aca="1" ref="N81" ca="1">_xlfn.XLOOKUP(Contrato5[[#This Row],[SUPERVISOR TITULAR]],[2]!PERSONAL_ACTIVO_2024[[#All],[Nombre completo]],[2]!PERSONAL_ACTIVO_2024[[#All],[Documento identidad]],"",0)</f>
        <v>#NAME?</v>
      </c>
      <c r="O81" s="194" t="s">
        <v>600</v>
      </c>
      <c r="P81" s="196" t="e" cm="1">
        <f t="array" aca="1" ref="P81" ca="1">_xlfn.XLOOKUP(Contrato5[[#This Row],[SUPERVISOR SUPLENTE ]],[2]!PERSONAL_ACTIVO_2024[[#All],[Nombre completo]],[2]!PERSONAL_ACTIVO_2024[[#All],[Documento identidad]],"",0)</f>
        <v>#NAME?</v>
      </c>
      <c r="Q81" s="208">
        <v>81</v>
      </c>
      <c r="R81" s="137" t="e" cm="1">
        <f t="array" aca="1" ref="R81" ca="1">_xlfn.XLOOKUP(Contrato5[[#This Row],[CDP]],[2]!DISPONIBILIDADES_2024[[#All],[consecutivo]],[2]!DISPONIBILIDADES_2024[[#All],[fecha_aprobacion]],"",0)</f>
        <v>#NAME?</v>
      </c>
      <c r="S81" s="138" t="e">
        <f>SUMIF([2]!DISPONIBILIDADES_2024[[#All],[consecutivo]],Contrato5[[#This Row],[CDP]],[2]!DISPONIBILIDADES_2024[[#All],[valor_total_rubro]])</f>
        <v>#REF!</v>
      </c>
      <c r="T81" s="139" t="e" cm="1">
        <f t="array" aca="1" ref="T81" ca="1">_xlfn.XLOOKUP(Contrato5[[#This Row],[CONTRATO]]&amp;Contrato5[[#This Row],[CDP]],[2]!Corr_Contr_CDP[[#All],[CONTRATO-CDP]],[2]!Corr_Contr_CDP[[#All],[CRP]],_xlfn.XLOOKUP(Contrato5[[#This Row],[CDP]],[2]!COMPROMISOS_2024[[#All],[disponibilidad]],[2]!COMPROMISOS_2024[[#All],[consecutivo]],"",0),0)</f>
        <v>#NAME?</v>
      </c>
      <c r="U81" s="140" t="e" cm="1">
        <f t="array" aca="1" ref="U81" ca="1">+_xlfn.XLOOKUP(Contrato5[[#This Row],[RCP]],[2]!COMPROMISOS_2024[[#All],[consecutivo]],[2]!COMPROMISOS_2024[[#All],[fecha_aprobacion]],"",0)</f>
        <v>#NAME?</v>
      </c>
      <c r="V81" s="141" t="e">
        <f ca="1">SUMIF([2]!COMPROMISOS_2024[[#All],[consecutivo]],Contrato5[[#This Row],[RCP]],[2]!COMPROMISOS_2024[[#All],[valor_total]])</f>
        <v>#REF!</v>
      </c>
      <c r="W81" s="415">
        <v>45336</v>
      </c>
      <c r="X81" s="415">
        <v>45338</v>
      </c>
      <c r="Y81" s="143">
        <v>45338</v>
      </c>
      <c r="Z81" s="262">
        <v>45519</v>
      </c>
      <c r="AA81" s="220" t="s">
        <v>653</v>
      </c>
      <c r="AB81" s="161" t="s">
        <v>640</v>
      </c>
      <c r="AC81" s="161"/>
      <c r="AD81" s="221">
        <v>202000003620</v>
      </c>
      <c r="AE81" s="147" t="s">
        <v>523</v>
      </c>
      <c r="AF81" s="148" t="str">
        <f>TEXT(LEFT(Contrato5[[#This Row],[CONTRATO]],3),"0")</f>
        <v>56</v>
      </c>
      <c r="AG81" s="148" t="str">
        <f>IF(LEN(Contrato5[[#This Row],[Contrato2]])=3,Contrato5[[#This Row],[Contrato2]],TEXT(Contrato5[[#This Row],[Contrato2]],"000"))</f>
        <v>056</v>
      </c>
      <c r="AH81" s="149">
        <f ca="1">IFERROR(_xlfn.DAYS(Contrato5[[#This Row],[Fecha Proyectada liquidación]],TODAY())/30,"")</f>
        <v>-3.9666666666666668</v>
      </c>
      <c r="AI81" s="150">
        <f>+Contrato5[[#This Row],[FECHA TERMINACIÓN ]]+120</f>
        <v>45639</v>
      </c>
      <c r="AJ81" s="147"/>
      <c r="AK81" s="152" t="str">
        <f ca="1">IF(Contrato5[[#This Row],[FECHA TERMINACIÓN ]]&lt;TODAY(), "Terminado",IF(ISNUMBER(Contrato5[[#This Row],[Fecha Real de liquiidación ]]),"Liquidado",IF(Contrato5[[#This Row],[FECHA TERMINACIÓN ]]&gt;=TODAY(),"En ejecución","")))</f>
        <v>Terminado</v>
      </c>
      <c r="AL81" s="153" t="e">
        <f ca="1">SUMIF([2]!COMPROMISOS_2024[[#All],[consecutivo]],Contrato5[[#This Row],[RCP]],[2]!COMPROMISOS_2024[[#All],[Total pagado]])</f>
        <v>#REF!</v>
      </c>
      <c r="AM81" s="154">
        <f ca="1">IFERROR(Contrato5[[#This Row],[Pagos]]/Contrato5[[#This Row],[VALOR CONTRATO]],0)</f>
        <v>0</v>
      </c>
      <c r="AN81" s="198" t="e">
        <f ca="1">+Contrato5[[#This Row],[VALOR CONTRATO]]-Contrato5[[#This Row],[Pagos]]</f>
        <v>#REF!</v>
      </c>
      <c r="AO81" s="147" t="e" cm="1">
        <f t="array" aca="1" ref="AO81" ca="1">_xlfn.XLOOKUP(Contrato5[[#This Row],[DOCUMENTO ]],[2]!PERSONAL_ACTIVO_2024[[#All],[Documento identidad]],[2]!PERSONAL_ACTIVO_2024[[#All],[Mail ]],0,0)</f>
        <v>#NAME?</v>
      </c>
      <c r="AP81" s="147" t="e" cm="1">
        <f t="array" aca="1" ref="AP81" ca="1">_xlfn.XLOOKUP(Contrato5[[#This Row],[DOCUMENTO]],[2]!PERSONAL_ACTIVO_2024[[#All],[Documento identidad]],[2]!PERSONAL_ACTIVO_2024[[#All],[Mail ]],0,0)</f>
        <v>#NAME?</v>
      </c>
      <c r="AQ81" s="439" cm="1">
        <f t="array" aca="1" ref="AQ81" ca="1">IF(ISBLANK(Contrato5[[#This Row],[DEPENDENCIA ]]),0,IFERROR(_xlfn.XLOOKUP(Contrato5[[#This Row],[DEPENDENCIA ]],[2]!PERSONAL_ACTIVO_2024[[#All],[Dependencia]],[2]!PERSONAL_ACTIVO_2024[[#All],[Mail ]],0,0),0))</f>
        <v>0</v>
      </c>
    </row>
    <row r="82" spans="1:43" ht="34.5" customHeight="1">
      <c r="A82" s="125">
        <v>153</v>
      </c>
      <c r="B82" s="124">
        <v>57</v>
      </c>
      <c r="C82" s="162" t="s">
        <v>1573</v>
      </c>
      <c r="D82" s="227" t="s">
        <v>583</v>
      </c>
      <c r="E82" s="128" t="s">
        <v>94</v>
      </c>
      <c r="F82" s="163" t="s">
        <v>1376</v>
      </c>
      <c r="G82" s="190" t="s">
        <v>673</v>
      </c>
      <c r="H82" s="447">
        <v>70908694</v>
      </c>
      <c r="I82" s="455">
        <v>5931149</v>
      </c>
      <c r="J82" s="456">
        <v>35586894</v>
      </c>
      <c r="K82" s="166" t="s">
        <v>42</v>
      </c>
      <c r="L82" s="438" t="s">
        <v>42</v>
      </c>
      <c r="M82" s="194" t="s">
        <v>592</v>
      </c>
      <c r="N82" s="177" t="e" cm="1">
        <f t="array" aca="1" ref="N82" ca="1">_xlfn.XLOOKUP(Contrato5[[#This Row],[SUPERVISOR TITULAR]],[2]!PERSONAL_ACTIVO_2024[[#All],[Nombre completo]],[2]!PERSONAL_ACTIVO_2024[[#All],[Documento identidad]],"",0)</f>
        <v>#NAME?</v>
      </c>
      <c r="O82" s="194" t="s">
        <v>600</v>
      </c>
      <c r="P82" s="196" t="e" cm="1">
        <f t="array" aca="1" ref="P82" ca="1">_xlfn.XLOOKUP(Contrato5[[#This Row],[SUPERVISOR SUPLENTE ]],[2]!PERSONAL_ACTIVO_2024[[#All],[Nombre completo]],[2]!PERSONAL_ACTIVO_2024[[#All],[Documento identidad]],"",0)</f>
        <v>#NAME?</v>
      </c>
      <c r="Q82" s="208">
        <v>82</v>
      </c>
      <c r="R82" s="137" t="e" cm="1">
        <f t="array" aca="1" ref="R82" ca="1">_xlfn.XLOOKUP(Contrato5[[#This Row],[CDP]],[2]!DISPONIBILIDADES_2024[[#All],[consecutivo]],[2]!DISPONIBILIDADES_2024[[#All],[fecha_aprobacion]],"",0)</f>
        <v>#NAME?</v>
      </c>
      <c r="S82" s="138" t="e">
        <f>SUMIF([2]!DISPONIBILIDADES_2024[[#All],[consecutivo]],Contrato5[[#This Row],[CDP]],[2]!DISPONIBILIDADES_2024[[#All],[valor_total_rubro]])</f>
        <v>#REF!</v>
      </c>
      <c r="T82" s="139" t="e" cm="1">
        <f t="array" aca="1" ref="T82" ca="1">_xlfn.XLOOKUP(Contrato5[[#This Row],[CONTRATO]]&amp;Contrato5[[#This Row],[CDP]],[2]!Corr_Contr_CDP[[#All],[CONTRATO-CDP]],[2]!Corr_Contr_CDP[[#All],[CRP]],_xlfn.XLOOKUP(Contrato5[[#This Row],[CDP]],[2]!COMPROMISOS_2024[[#All],[disponibilidad]],[2]!COMPROMISOS_2024[[#All],[consecutivo]],"",0),0)</f>
        <v>#NAME?</v>
      </c>
      <c r="U82" s="140" t="e" cm="1">
        <f t="array" aca="1" ref="U82" ca="1">+_xlfn.XLOOKUP(Contrato5[[#This Row],[RCP]],[2]!COMPROMISOS_2024[[#All],[consecutivo]],[2]!COMPROMISOS_2024[[#All],[fecha_aprobacion]],"",0)</f>
        <v>#NAME?</v>
      </c>
      <c r="V82" s="141" t="e">
        <f ca="1">SUMIF([2]!COMPROMISOS_2024[[#All],[consecutivo]],Contrato5[[#This Row],[RCP]],[2]!COMPROMISOS_2024[[#All],[valor_total]])</f>
        <v>#REF!</v>
      </c>
      <c r="W82" s="415">
        <v>45336</v>
      </c>
      <c r="X82" s="415">
        <v>45337</v>
      </c>
      <c r="Y82" s="143">
        <v>45338</v>
      </c>
      <c r="Z82" s="262">
        <v>45519</v>
      </c>
      <c r="AA82" s="171" t="s">
        <v>653</v>
      </c>
      <c r="AB82" s="161" t="s">
        <v>640</v>
      </c>
      <c r="AC82" s="161"/>
      <c r="AD82" s="221">
        <v>202000003622</v>
      </c>
      <c r="AE82" s="147" t="s">
        <v>523</v>
      </c>
      <c r="AF82" s="148" t="str">
        <f>TEXT(LEFT(Contrato5[[#This Row],[CONTRATO]],3),"0")</f>
        <v>57</v>
      </c>
      <c r="AG82" s="148" t="str">
        <f>IF(LEN(Contrato5[[#This Row],[Contrato2]])=3,Contrato5[[#This Row],[Contrato2]],TEXT(Contrato5[[#This Row],[Contrato2]],"000"))</f>
        <v>057</v>
      </c>
      <c r="AH82" s="149">
        <f ca="1">IFERROR(_xlfn.DAYS(Contrato5[[#This Row],[Fecha Proyectada liquidación]],TODAY())/30,"")</f>
        <v>-3.9666666666666668</v>
      </c>
      <c r="AI82" s="150">
        <f>+Contrato5[[#This Row],[FECHA TERMINACIÓN ]]+120</f>
        <v>45639</v>
      </c>
      <c r="AJ82" s="147"/>
      <c r="AK82" s="152" t="str">
        <f ca="1">IF(Contrato5[[#This Row],[FECHA TERMINACIÓN ]]&lt;TODAY(), "Terminado",IF(ISNUMBER(Contrato5[[#This Row],[Fecha Real de liquiidación ]]),"Liquidado",IF(Contrato5[[#This Row],[FECHA TERMINACIÓN ]]&gt;=TODAY(),"En ejecución","")))</f>
        <v>Terminado</v>
      </c>
      <c r="AL82" s="153" t="e">
        <f ca="1">SUMIF([2]!COMPROMISOS_2024[[#All],[consecutivo]],Contrato5[[#This Row],[RCP]],[2]!COMPROMISOS_2024[[#All],[Total pagado]])</f>
        <v>#REF!</v>
      </c>
      <c r="AM82" s="154">
        <f ca="1">IFERROR(Contrato5[[#This Row],[Pagos]]/Contrato5[[#This Row],[VALOR CONTRATO]],0)</f>
        <v>0</v>
      </c>
      <c r="AN82" s="198" t="e">
        <f ca="1">+Contrato5[[#This Row],[VALOR CONTRATO]]-Contrato5[[#This Row],[Pagos]]</f>
        <v>#REF!</v>
      </c>
      <c r="AO82" s="147" t="e" cm="1">
        <f t="array" aca="1" ref="AO82" ca="1">_xlfn.XLOOKUP(Contrato5[[#This Row],[DOCUMENTO ]],[2]!PERSONAL_ACTIVO_2024[[#All],[Documento identidad]],[2]!PERSONAL_ACTIVO_2024[[#All],[Mail ]],0,0)</f>
        <v>#NAME?</v>
      </c>
      <c r="AP82" s="147" t="e" cm="1">
        <f t="array" aca="1" ref="AP82" ca="1">_xlfn.XLOOKUP(Contrato5[[#This Row],[DOCUMENTO]],[2]!PERSONAL_ACTIVO_2024[[#All],[Documento identidad]],[2]!PERSONAL_ACTIVO_2024[[#All],[Mail ]],0,0)</f>
        <v>#NAME?</v>
      </c>
      <c r="AQ82" s="439" cm="1">
        <f t="array" aca="1" ref="AQ82" ca="1">IF(ISBLANK(Contrato5[[#This Row],[DEPENDENCIA ]]),0,IFERROR(_xlfn.XLOOKUP(Contrato5[[#This Row],[DEPENDENCIA ]],[2]!PERSONAL_ACTIVO_2024[[#All],[Dependencia]],[2]!PERSONAL_ACTIVO_2024[[#All],[Mail ]],0,0),0))</f>
        <v>0</v>
      </c>
    </row>
    <row r="83" spans="1:43" ht="34.5" customHeight="1">
      <c r="A83" s="125">
        <v>154</v>
      </c>
      <c r="B83" s="124">
        <v>58</v>
      </c>
      <c r="C83" s="162" t="s">
        <v>1572</v>
      </c>
      <c r="D83" s="227" t="s">
        <v>583</v>
      </c>
      <c r="E83" s="128" t="s">
        <v>94</v>
      </c>
      <c r="F83" s="163" t="s">
        <v>1376</v>
      </c>
      <c r="G83" s="190" t="s">
        <v>674</v>
      </c>
      <c r="H83" s="447">
        <v>83356171</v>
      </c>
      <c r="I83" s="455">
        <v>2574842</v>
      </c>
      <c r="J83" s="456">
        <v>15449052</v>
      </c>
      <c r="K83" s="166" t="s">
        <v>42</v>
      </c>
      <c r="L83" s="438" t="s">
        <v>42</v>
      </c>
      <c r="M83" s="194" t="s">
        <v>592</v>
      </c>
      <c r="N83" s="177" t="e" cm="1">
        <f t="array" aca="1" ref="N83" ca="1">_xlfn.XLOOKUP(Contrato5[[#This Row],[SUPERVISOR TITULAR]],[2]!PERSONAL_ACTIVO_2024[[#All],[Nombre completo]],[2]!PERSONAL_ACTIVO_2024[[#All],[Documento identidad]],"",0)</f>
        <v>#NAME?</v>
      </c>
      <c r="O83" s="194" t="s">
        <v>600</v>
      </c>
      <c r="P83" s="196" t="e" cm="1">
        <f t="array" aca="1" ref="P83" ca="1">_xlfn.XLOOKUP(Contrato5[[#This Row],[SUPERVISOR SUPLENTE ]],[2]!PERSONAL_ACTIVO_2024[[#All],[Nombre completo]],[2]!PERSONAL_ACTIVO_2024[[#All],[Documento identidad]],"",0)</f>
        <v>#NAME?</v>
      </c>
      <c r="Q83" s="208">
        <v>83</v>
      </c>
      <c r="R83" s="137" t="e" cm="1">
        <f t="array" aca="1" ref="R83" ca="1">_xlfn.XLOOKUP(Contrato5[[#This Row],[CDP]],[2]!DISPONIBILIDADES_2024[[#All],[consecutivo]],[2]!DISPONIBILIDADES_2024[[#All],[fecha_aprobacion]],"",0)</f>
        <v>#NAME?</v>
      </c>
      <c r="S83" s="138" t="e">
        <f>SUMIF([2]!DISPONIBILIDADES_2024[[#All],[consecutivo]],Contrato5[[#This Row],[CDP]],[2]!DISPONIBILIDADES_2024[[#All],[valor_total_rubro]])</f>
        <v>#REF!</v>
      </c>
      <c r="T83" s="139" t="e" cm="1">
        <f t="array" aca="1" ref="T83" ca="1">_xlfn.XLOOKUP(Contrato5[[#This Row],[CONTRATO]]&amp;Contrato5[[#This Row],[CDP]],[2]!Corr_Contr_CDP[[#All],[CONTRATO-CDP]],[2]!Corr_Contr_CDP[[#All],[CRP]],_xlfn.XLOOKUP(Contrato5[[#This Row],[CDP]],[2]!COMPROMISOS_2024[[#All],[disponibilidad]],[2]!COMPROMISOS_2024[[#All],[consecutivo]],"",0),0)</f>
        <v>#NAME?</v>
      </c>
      <c r="U83" s="140" t="e" cm="1">
        <f t="array" aca="1" ref="U83" ca="1">+_xlfn.XLOOKUP(Contrato5[[#This Row],[RCP]],[2]!COMPROMISOS_2024[[#All],[consecutivo]],[2]!COMPROMISOS_2024[[#All],[fecha_aprobacion]],"",0)</f>
        <v>#NAME?</v>
      </c>
      <c r="V83" s="141" t="e">
        <f ca="1">SUMIF([2]!COMPROMISOS_2024[[#All],[consecutivo]],Contrato5[[#This Row],[RCP]],[2]!COMPROMISOS_2024[[#All],[valor_total]])</f>
        <v>#REF!</v>
      </c>
      <c r="W83" s="415">
        <v>45336</v>
      </c>
      <c r="X83" s="415">
        <v>45338</v>
      </c>
      <c r="Y83" s="143">
        <v>45338</v>
      </c>
      <c r="Z83" s="262">
        <v>45519</v>
      </c>
      <c r="AA83" s="171" t="s">
        <v>653</v>
      </c>
      <c r="AB83" s="161" t="s">
        <v>640</v>
      </c>
      <c r="AC83" s="161"/>
      <c r="AD83" s="211">
        <v>202000003626</v>
      </c>
      <c r="AE83" s="147" t="s">
        <v>523</v>
      </c>
      <c r="AF83" s="148" t="str">
        <f>TEXT(LEFT(Contrato5[[#This Row],[CONTRATO]],3),"0")</f>
        <v>58</v>
      </c>
      <c r="AG83" s="148" t="str">
        <f>IF(LEN(Contrato5[[#This Row],[Contrato2]])=3,Contrato5[[#This Row],[Contrato2]],TEXT(Contrato5[[#This Row],[Contrato2]],"000"))</f>
        <v>058</v>
      </c>
      <c r="AH83" s="149">
        <f ca="1">IFERROR(_xlfn.DAYS(Contrato5[[#This Row],[Fecha Proyectada liquidación]],TODAY())/30,"")</f>
        <v>-3.9666666666666668</v>
      </c>
      <c r="AI83" s="150">
        <f>+Contrato5[[#This Row],[FECHA TERMINACIÓN ]]+120</f>
        <v>45639</v>
      </c>
      <c r="AJ83" s="147"/>
      <c r="AK83" s="152" t="str">
        <f ca="1">IF(Contrato5[[#This Row],[FECHA TERMINACIÓN ]]&lt;TODAY(), "Terminado",IF(ISNUMBER(Contrato5[[#This Row],[Fecha Real de liquiidación ]]),"Liquidado",IF(Contrato5[[#This Row],[FECHA TERMINACIÓN ]]&gt;=TODAY(),"En ejecución","")))</f>
        <v>Terminado</v>
      </c>
      <c r="AL83" s="153" t="e">
        <f ca="1">SUMIF([2]!COMPROMISOS_2024[[#All],[consecutivo]],Contrato5[[#This Row],[RCP]],[2]!COMPROMISOS_2024[[#All],[Total pagado]])</f>
        <v>#REF!</v>
      </c>
      <c r="AM83" s="154">
        <f ca="1">IFERROR(Contrato5[[#This Row],[Pagos]]/Contrato5[[#This Row],[VALOR CONTRATO]],0)</f>
        <v>0</v>
      </c>
      <c r="AN83" s="198" t="e">
        <f ca="1">+Contrato5[[#This Row],[VALOR CONTRATO]]-Contrato5[[#This Row],[Pagos]]</f>
        <v>#REF!</v>
      </c>
      <c r="AO83" s="147" t="e" cm="1">
        <f t="array" aca="1" ref="AO83" ca="1">_xlfn.XLOOKUP(Contrato5[[#This Row],[DOCUMENTO ]],[2]!PERSONAL_ACTIVO_2024[[#All],[Documento identidad]],[2]!PERSONAL_ACTIVO_2024[[#All],[Mail ]],0,0)</f>
        <v>#NAME?</v>
      </c>
      <c r="AP83" s="147" t="e" cm="1">
        <f t="array" aca="1" ref="AP83" ca="1">_xlfn.XLOOKUP(Contrato5[[#This Row],[DOCUMENTO]],[2]!PERSONAL_ACTIVO_2024[[#All],[Documento identidad]],[2]!PERSONAL_ACTIVO_2024[[#All],[Mail ]],0,0)</f>
        <v>#NAME?</v>
      </c>
      <c r="AQ83" s="439" cm="1">
        <f t="array" aca="1" ref="AQ83" ca="1">IF(ISBLANK(Contrato5[[#This Row],[DEPENDENCIA ]]),0,IFERROR(_xlfn.XLOOKUP(Contrato5[[#This Row],[DEPENDENCIA ]],[2]!PERSONAL_ACTIVO_2024[[#All],[Dependencia]],[2]!PERSONAL_ACTIVO_2024[[#All],[Mail ]],0,0),0))</f>
        <v>0</v>
      </c>
    </row>
    <row r="84" spans="1:43" ht="34.5" customHeight="1">
      <c r="A84" s="125">
        <v>155</v>
      </c>
      <c r="B84" s="124">
        <v>59</v>
      </c>
      <c r="C84" s="162" t="s">
        <v>1574</v>
      </c>
      <c r="D84" s="227" t="s">
        <v>583</v>
      </c>
      <c r="E84" s="128" t="s">
        <v>94</v>
      </c>
      <c r="F84" s="163" t="s">
        <v>1376</v>
      </c>
      <c r="G84" s="190" t="s">
        <v>675</v>
      </c>
      <c r="H84" s="447">
        <v>21533036</v>
      </c>
      <c r="I84" s="455">
        <v>4908936</v>
      </c>
      <c r="J84" s="456">
        <v>29453616</v>
      </c>
      <c r="K84" s="166" t="s">
        <v>42</v>
      </c>
      <c r="L84" s="438" t="s">
        <v>42</v>
      </c>
      <c r="M84" s="194" t="s">
        <v>592</v>
      </c>
      <c r="N84" s="177" t="e" cm="1">
        <f t="array" aca="1" ref="N84" ca="1">_xlfn.XLOOKUP(Contrato5[[#This Row],[SUPERVISOR TITULAR]],[2]!PERSONAL_ACTIVO_2024[[#All],[Nombre completo]],[2]!PERSONAL_ACTIVO_2024[[#All],[Documento identidad]],"",0)</f>
        <v>#NAME?</v>
      </c>
      <c r="O84" s="194" t="s">
        <v>600</v>
      </c>
      <c r="P84" s="196" t="e" cm="1">
        <f t="array" aca="1" ref="P84" ca="1">_xlfn.XLOOKUP(Contrato5[[#This Row],[SUPERVISOR SUPLENTE ]],[2]!PERSONAL_ACTIVO_2024[[#All],[Nombre completo]],[2]!PERSONAL_ACTIVO_2024[[#All],[Documento identidad]],"",0)</f>
        <v>#NAME?</v>
      </c>
      <c r="Q84" s="208">
        <v>84</v>
      </c>
      <c r="R84" s="137" t="e" cm="1">
        <f t="array" aca="1" ref="R84" ca="1">_xlfn.XLOOKUP(Contrato5[[#This Row],[CDP]],[2]!DISPONIBILIDADES_2024[[#All],[consecutivo]],[2]!DISPONIBILIDADES_2024[[#All],[fecha_aprobacion]],"",0)</f>
        <v>#NAME?</v>
      </c>
      <c r="S84" s="138" t="e">
        <f>SUMIF([2]!DISPONIBILIDADES_2024[[#All],[consecutivo]],Contrato5[[#This Row],[CDP]],[2]!DISPONIBILIDADES_2024[[#All],[valor_total_rubro]])</f>
        <v>#REF!</v>
      </c>
      <c r="T84" s="139" t="e" cm="1">
        <f t="array" aca="1" ref="T84" ca="1">_xlfn.XLOOKUP(Contrato5[[#This Row],[CONTRATO]]&amp;Contrato5[[#This Row],[CDP]],[2]!Corr_Contr_CDP[[#All],[CONTRATO-CDP]],[2]!Corr_Contr_CDP[[#All],[CRP]],_xlfn.XLOOKUP(Contrato5[[#This Row],[CDP]],[2]!COMPROMISOS_2024[[#All],[disponibilidad]],[2]!COMPROMISOS_2024[[#All],[consecutivo]],"",0),0)</f>
        <v>#NAME?</v>
      </c>
      <c r="U84" s="140" t="e" cm="1">
        <f t="array" aca="1" ref="U84" ca="1">+_xlfn.XLOOKUP(Contrato5[[#This Row],[RCP]],[2]!COMPROMISOS_2024[[#All],[consecutivo]],[2]!COMPROMISOS_2024[[#All],[fecha_aprobacion]],"",0)</f>
        <v>#NAME?</v>
      </c>
      <c r="V84" s="141" t="e">
        <f ca="1">SUMIF([2]!COMPROMISOS_2024[[#All],[consecutivo]],Contrato5[[#This Row],[RCP]],[2]!COMPROMISOS_2024[[#All],[valor_total]])</f>
        <v>#REF!</v>
      </c>
      <c r="W84" s="415">
        <v>45337</v>
      </c>
      <c r="X84" s="415">
        <v>45337</v>
      </c>
      <c r="Y84" s="143">
        <v>45338</v>
      </c>
      <c r="Z84" s="262">
        <v>45519</v>
      </c>
      <c r="AA84" s="183" t="s">
        <v>651</v>
      </c>
      <c r="AB84" s="161" t="s">
        <v>640</v>
      </c>
      <c r="AC84" s="161"/>
      <c r="AD84" s="211">
        <v>202000003627</v>
      </c>
      <c r="AE84" s="147" t="s">
        <v>523</v>
      </c>
      <c r="AF84" s="148" t="str">
        <f>TEXT(LEFT(Contrato5[[#This Row],[CONTRATO]],3),"0")</f>
        <v>59</v>
      </c>
      <c r="AG84" s="148" t="str">
        <f>IF(LEN(Contrato5[[#This Row],[Contrato2]])=3,Contrato5[[#This Row],[Contrato2]],TEXT(Contrato5[[#This Row],[Contrato2]],"000"))</f>
        <v>059</v>
      </c>
      <c r="AH84" s="149">
        <f ca="1">IFERROR(_xlfn.DAYS(Contrato5[[#This Row],[Fecha Proyectada liquidación]],TODAY())/30,"")</f>
        <v>-3.9666666666666668</v>
      </c>
      <c r="AI84" s="150">
        <f>+Contrato5[[#This Row],[FECHA TERMINACIÓN ]]+120</f>
        <v>45639</v>
      </c>
      <c r="AJ84" s="147"/>
      <c r="AK84" s="152" t="str">
        <f ca="1">IF(Contrato5[[#This Row],[FECHA TERMINACIÓN ]]&lt;TODAY(), "Terminado",IF(ISNUMBER(Contrato5[[#This Row],[Fecha Real de liquiidación ]]),"Liquidado",IF(Contrato5[[#This Row],[FECHA TERMINACIÓN ]]&gt;=TODAY(),"En ejecución","")))</f>
        <v>Terminado</v>
      </c>
      <c r="AL84" s="153" t="e">
        <f ca="1">SUMIF([2]!COMPROMISOS_2024[[#All],[consecutivo]],Contrato5[[#This Row],[RCP]],[2]!COMPROMISOS_2024[[#All],[Total pagado]])</f>
        <v>#REF!</v>
      </c>
      <c r="AM84" s="154">
        <f ca="1">IFERROR(Contrato5[[#This Row],[Pagos]]/Contrato5[[#This Row],[VALOR CONTRATO]],0)</f>
        <v>0</v>
      </c>
      <c r="AN84" s="198" t="e">
        <f ca="1">+Contrato5[[#This Row],[VALOR CONTRATO]]-Contrato5[[#This Row],[Pagos]]</f>
        <v>#REF!</v>
      </c>
      <c r="AO84" s="147" t="e" cm="1">
        <f t="array" aca="1" ref="AO84" ca="1">_xlfn.XLOOKUP(Contrato5[[#This Row],[DOCUMENTO ]],[2]!PERSONAL_ACTIVO_2024[[#All],[Documento identidad]],[2]!PERSONAL_ACTIVO_2024[[#All],[Mail ]],0,0)</f>
        <v>#NAME?</v>
      </c>
      <c r="AP84" s="147" t="e" cm="1">
        <f t="array" aca="1" ref="AP84" ca="1">_xlfn.XLOOKUP(Contrato5[[#This Row],[DOCUMENTO]],[2]!PERSONAL_ACTIVO_2024[[#All],[Documento identidad]],[2]!PERSONAL_ACTIVO_2024[[#All],[Mail ]],0,0)</f>
        <v>#NAME?</v>
      </c>
      <c r="AQ84" s="439" cm="1">
        <f t="array" aca="1" ref="AQ84" ca="1">IF(ISBLANK(Contrato5[[#This Row],[DEPENDENCIA ]]),0,IFERROR(_xlfn.XLOOKUP(Contrato5[[#This Row],[DEPENDENCIA ]],[2]!PERSONAL_ACTIVO_2024[[#All],[Dependencia]],[2]!PERSONAL_ACTIVO_2024[[#All],[Mail ]],0,0),0))</f>
        <v>0</v>
      </c>
    </row>
    <row r="85" spans="1:43" ht="34.5" customHeight="1">
      <c r="A85" s="125">
        <v>156</v>
      </c>
      <c r="B85" s="124">
        <v>60</v>
      </c>
      <c r="C85" s="162" t="s">
        <v>1575</v>
      </c>
      <c r="D85" s="227" t="s">
        <v>583</v>
      </c>
      <c r="E85" s="128" t="s">
        <v>94</v>
      </c>
      <c r="F85" s="163" t="s">
        <v>1376</v>
      </c>
      <c r="G85" s="190" t="s">
        <v>676</v>
      </c>
      <c r="H85" s="447">
        <v>1026137307</v>
      </c>
      <c r="I85" s="455">
        <v>5931149</v>
      </c>
      <c r="J85" s="456">
        <v>35586894</v>
      </c>
      <c r="K85" s="166" t="s">
        <v>42</v>
      </c>
      <c r="L85" s="438" t="s">
        <v>42</v>
      </c>
      <c r="M85" s="194" t="s">
        <v>589</v>
      </c>
      <c r="N85" s="177" t="e" cm="1">
        <f t="array" aca="1" ref="N85" ca="1">_xlfn.XLOOKUP(Contrato5[[#This Row],[SUPERVISOR TITULAR]],[2]!PERSONAL_ACTIVO_2024[[#All],[Nombre completo]],[2]!PERSONAL_ACTIVO_2024[[#All],[Documento identidad]],"",0)</f>
        <v>#NAME?</v>
      </c>
      <c r="O85" s="194" t="s">
        <v>586</v>
      </c>
      <c r="P85" s="196" t="e" cm="1">
        <f t="array" aca="1" ref="P85" ca="1">_xlfn.XLOOKUP(Contrato5[[#This Row],[SUPERVISOR SUPLENTE ]],[2]!PERSONAL_ACTIVO_2024[[#All],[Nombre completo]],[2]!PERSONAL_ACTIVO_2024[[#All],[Documento identidad]],"",0)</f>
        <v>#NAME?</v>
      </c>
      <c r="Q85" s="208">
        <v>85</v>
      </c>
      <c r="R85" s="137" t="e" cm="1">
        <f t="array" aca="1" ref="R85" ca="1">_xlfn.XLOOKUP(Contrato5[[#This Row],[CDP]],[2]!DISPONIBILIDADES_2024[[#All],[consecutivo]],[2]!DISPONIBILIDADES_2024[[#All],[fecha_aprobacion]],"",0)</f>
        <v>#NAME?</v>
      </c>
      <c r="S85" s="138" t="e">
        <f>SUMIF([2]!DISPONIBILIDADES_2024[[#All],[consecutivo]],Contrato5[[#This Row],[CDP]],[2]!DISPONIBILIDADES_2024[[#All],[valor_total_rubro]])</f>
        <v>#REF!</v>
      </c>
      <c r="T85" s="139" t="e" cm="1">
        <f t="array" aca="1" ref="T85" ca="1">_xlfn.XLOOKUP(Contrato5[[#This Row],[CONTRATO]]&amp;Contrato5[[#This Row],[CDP]],[2]!Corr_Contr_CDP[[#All],[CONTRATO-CDP]],[2]!Corr_Contr_CDP[[#All],[CRP]],_xlfn.XLOOKUP(Contrato5[[#This Row],[CDP]],[2]!COMPROMISOS_2024[[#All],[disponibilidad]],[2]!COMPROMISOS_2024[[#All],[consecutivo]],"",0),0)</f>
        <v>#NAME?</v>
      </c>
      <c r="U85" s="140" t="e" cm="1">
        <f t="array" aca="1" ref="U85" ca="1">+_xlfn.XLOOKUP(Contrato5[[#This Row],[RCP]],[2]!COMPROMISOS_2024[[#All],[consecutivo]],[2]!COMPROMISOS_2024[[#All],[fecha_aprobacion]],"",0)</f>
        <v>#NAME?</v>
      </c>
      <c r="V85" s="141" t="e">
        <f ca="1">SUMIF([2]!COMPROMISOS_2024[[#All],[consecutivo]],Contrato5[[#This Row],[RCP]],[2]!COMPROMISOS_2024[[#All],[valor_total]])</f>
        <v>#REF!</v>
      </c>
      <c r="W85" s="415">
        <v>45337</v>
      </c>
      <c r="X85" s="415">
        <v>45337</v>
      </c>
      <c r="Y85" s="143">
        <v>45338</v>
      </c>
      <c r="Z85" s="262">
        <v>45519</v>
      </c>
      <c r="AA85" s="171" t="s">
        <v>651</v>
      </c>
      <c r="AB85" s="161" t="s">
        <v>640</v>
      </c>
      <c r="AC85" s="161"/>
      <c r="AD85" s="211">
        <v>202000003629</v>
      </c>
      <c r="AE85" s="147" t="s">
        <v>523</v>
      </c>
      <c r="AF85" s="148" t="str">
        <f>TEXT(LEFT(Contrato5[[#This Row],[CONTRATO]],3),"0")</f>
        <v>60</v>
      </c>
      <c r="AG85" s="148" t="str">
        <f>IF(LEN(Contrato5[[#This Row],[Contrato2]])=3,Contrato5[[#This Row],[Contrato2]],TEXT(Contrato5[[#This Row],[Contrato2]],"000"))</f>
        <v>060</v>
      </c>
      <c r="AH85" s="149">
        <f ca="1">IFERROR(_xlfn.DAYS(Contrato5[[#This Row],[Fecha Proyectada liquidación]],TODAY())/30,"")</f>
        <v>-3.9666666666666668</v>
      </c>
      <c r="AI85" s="150">
        <f>+Contrato5[[#This Row],[FECHA TERMINACIÓN ]]+120</f>
        <v>45639</v>
      </c>
      <c r="AJ85" s="147"/>
      <c r="AK85" s="152" t="str">
        <f ca="1">IF(Contrato5[[#This Row],[FECHA TERMINACIÓN ]]&lt;TODAY(), "Terminado",IF(ISNUMBER(Contrato5[[#This Row],[Fecha Real de liquiidación ]]),"Liquidado",IF(Contrato5[[#This Row],[FECHA TERMINACIÓN ]]&gt;=TODAY(),"En ejecución","")))</f>
        <v>Terminado</v>
      </c>
      <c r="AL85" s="153" t="e">
        <f ca="1">SUMIF([2]!COMPROMISOS_2024[[#All],[consecutivo]],Contrato5[[#This Row],[RCP]],[2]!COMPROMISOS_2024[[#All],[Total pagado]])</f>
        <v>#REF!</v>
      </c>
      <c r="AM85" s="154">
        <f ca="1">IFERROR(Contrato5[[#This Row],[Pagos]]/Contrato5[[#This Row],[VALOR CONTRATO]],0)</f>
        <v>0</v>
      </c>
      <c r="AN85" s="198" t="e">
        <f ca="1">+Contrato5[[#This Row],[VALOR CONTRATO]]-Contrato5[[#This Row],[Pagos]]</f>
        <v>#REF!</v>
      </c>
      <c r="AO85" s="147" t="e" cm="1">
        <f t="array" aca="1" ref="AO85" ca="1">_xlfn.XLOOKUP(Contrato5[[#This Row],[DOCUMENTO ]],[2]!PERSONAL_ACTIVO_2024[[#All],[Documento identidad]],[2]!PERSONAL_ACTIVO_2024[[#All],[Mail ]],0,0)</f>
        <v>#NAME?</v>
      </c>
      <c r="AP85" s="147" t="e" cm="1">
        <f t="array" aca="1" ref="AP85" ca="1">_xlfn.XLOOKUP(Contrato5[[#This Row],[DOCUMENTO]],[2]!PERSONAL_ACTIVO_2024[[#All],[Documento identidad]],[2]!PERSONAL_ACTIVO_2024[[#All],[Mail ]],0,0)</f>
        <v>#NAME?</v>
      </c>
      <c r="AQ85" s="439" cm="1">
        <f t="array" aca="1" ref="AQ85" ca="1">IF(ISBLANK(Contrato5[[#This Row],[DEPENDENCIA ]]),0,IFERROR(_xlfn.XLOOKUP(Contrato5[[#This Row],[DEPENDENCIA ]],[2]!PERSONAL_ACTIVO_2024[[#All],[Dependencia]],[2]!PERSONAL_ACTIVO_2024[[#All],[Mail ]],0,0),0))</f>
        <v>0</v>
      </c>
    </row>
    <row r="86" spans="1:43" ht="34.5" customHeight="1">
      <c r="A86" s="125">
        <v>157</v>
      </c>
      <c r="B86" s="124">
        <v>61</v>
      </c>
      <c r="C86" s="162" t="s">
        <v>1576</v>
      </c>
      <c r="D86" s="227" t="s">
        <v>583</v>
      </c>
      <c r="E86" s="128" t="s">
        <v>94</v>
      </c>
      <c r="F86" s="163" t="s">
        <v>1376</v>
      </c>
      <c r="G86" s="190" t="s">
        <v>677</v>
      </c>
      <c r="H86" s="447">
        <v>98575572</v>
      </c>
      <c r="I86" s="455">
        <v>3952382</v>
      </c>
      <c r="J86" s="456">
        <v>23714292</v>
      </c>
      <c r="K86" s="166" t="s">
        <v>42</v>
      </c>
      <c r="L86" s="438" t="s">
        <v>42</v>
      </c>
      <c r="M86" s="194" t="s">
        <v>589</v>
      </c>
      <c r="N86" s="177" t="e" cm="1">
        <f t="array" aca="1" ref="N86" ca="1">_xlfn.XLOOKUP(Contrato5[[#This Row],[SUPERVISOR TITULAR]],[2]!PERSONAL_ACTIVO_2024[[#All],[Nombre completo]],[2]!PERSONAL_ACTIVO_2024[[#All],[Documento identidad]],"",0)</f>
        <v>#NAME?</v>
      </c>
      <c r="O86" s="194" t="s">
        <v>586</v>
      </c>
      <c r="P86" s="196" t="e" cm="1">
        <f t="array" aca="1" ref="P86" ca="1">_xlfn.XLOOKUP(Contrato5[[#This Row],[SUPERVISOR SUPLENTE ]],[2]!PERSONAL_ACTIVO_2024[[#All],[Nombre completo]],[2]!PERSONAL_ACTIVO_2024[[#All],[Documento identidad]],"",0)</f>
        <v>#NAME?</v>
      </c>
      <c r="Q86" s="208">
        <v>86</v>
      </c>
      <c r="R86" s="137" t="e" cm="1">
        <f t="array" aca="1" ref="R86" ca="1">_xlfn.XLOOKUP(Contrato5[[#This Row],[CDP]],[2]!DISPONIBILIDADES_2024[[#All],[consecutivo]],[2]!DISPONIBILIDADES_2024[[#All],[fecha_aprobacion]],"",0)</f>
        <v>#NAME?</v>
      </c>
      <c r="S86" s="138" t="e">
        <f>SUMIF([2]!DISPONIBILIDADES_2024[[#All],[consecutivo]],Contrato5[[#This Row],[CDP]],[2]!DISPONIBILIDADES_2024[[#All],[valor_total_rubro]])</f>
        <v>#REF!</v>
      </c>
      <c r="T86" s="139" t="e" cm="1">
        <f t="array" aca="1" ref="T86" ca="1">_xlfn.XLOOKUP(Contrato5[[#This Row],[CONTRATO]]&amp;Contrato5[[#This Row],[CDP]],[2]!Corr_Contr_CDP[[#All],[CONTRATO-CDP]],[2]!Corr_Contr_CDP[[#All],[CRP]],_xlfn.XLOOKUP(Contrato5[[#This Row],[CDP]],[2]!COMPROMISOS_2024[[#All],[disponibilidad]],[2]!COMPROMISOS_2024[[#All],[consecutivo]],"",0),0)</f>
        <v>#NAME?</v>
      </c>
      <c r="U86" s="140" t="e" cm="1">
        <f t="array" aca="1" ref="U86" ca="1">+_xlfn.XLOOKUP(Contrato5[[#This Row],[RCP]],[2]!COMPROMISOS_2024[[#All],[consecutivo]],[2]!COMPROMISOS_2024[[#All],[fecha_aprobacion]],"",0)</f>
        <v>#NAME?</v>
      </c>
      <c r="V86" s="141" t="e">
        <f ca="1">SUMIF([2]!COMPROMISOS_2024[[#All],[consecutivo]],Contrato5[[#This Row],[RCP]],[2]!COMPROMISOS_2024[[#All],[valor_total]])</f>
        <v>#REF!</v>
      </c>
      <c r="W86" s="415">
        <v>45337</v>
      </c>
      <c r="X86" s="415">
        <v>45338</v>
      </c>
      <c r="Y86" s="143">
        <v>45338</v>
      </c>
      <c r="Z86" s="262">
        <v>45519</v>
      </c>
      <c r="AA86" s="171" t="s">
        <v>651</v>
      </c>
      <c r="AB86" s="161" t="s">
        <v>640</v>
      </c>
      <c r="AC86" s="161"/>
      <c r="AD86" s="211">
        <v>202000003630</v>
      </c>
      <c r="AE86" s="147" t="s">
        <v>523</v>
      </c>
      <c r="AF86" s="148" t="str">
        <f>TEXT(LEFT(Contrato5[[#This Row],[CONTRATO]],3),"0")</f>
        <v>61</v>
      </c>
      <c r="AG86" s="148" t="str">
        <f>IF(LEN(Contrato5[[#This Row],[Contrato2]])=3,Contrato5[[#This Row],[Contrato2]],TEXT(Contrato5[[#This Row],[Contrato2]],"000"))</f>
        <v>061</v>
      </c>
      <c r="AH86" s="149">
        <f ca="1">IFERROR(_xlfn.DAYS(Contrato5[[#This Row],[Fecha Proyectada liquidación]],TODAY())/30,"")</f>
        <v>-3.9666666666666668</v>
      </c>
      <c r="AI86" s="150">
        <f>+Contrato5[[#This Row],[FECHA TERMINACIÓN ]]+120</f>
        <v>45639</v>
      </c>
      <c r="AJ86" s="147"/>
      <c r="AK86" s="152" t="str">
        <f ca="1">IF(Contrato5[[#This Row],[FECHA TERMINACIÓN ]]&lt;TODAY(), "Terminado",IF(ISNUMBER(Contrato5[[#This Row],[Fecha Real de liquiidación ]]),"Liquidado",IF(Contrato5[[#This Row],[FECHA TERMINACIÓN ]]&gt;=TODAY(),"En ejecución","")))</f>
        <v>Terminado</v>
      </c>
      <c r="AL86" s="153" t="e">
        <f ca="1">SUMIF([2]!COMPROMISOS_2024[[#All],[consecutivo]],Contrato5[[#This Row],[RCP]],[2]!COMPROMISOS_2024[[#All],[Total pagado]])</f>
        <v>#REF!</v>
      </c>
      <c r="AM86" s="154">
        <f ca="1">IFERROR(Contrato5[[#This Row],[Pagos]]/Contrato5[[#This Row],[VALOR CONTRATO]],0)</f>
        <v>0</v>
      </c>
      <c r="AN86" s="198" t="e">
        <f ca="1">+Contrato5[[#This Row],[VALOR CONTRATO]]-Contrato5[[#This Row],[Pagos]]</f>
        <v>#REF!</v>
      </c>
      <c r="AO86" s="147" t="e" cm="1">
        <f t="array" aca="1" ref="AO86" ca="1">_xlfn.XLOOKUP(Contrato5[[#This Row],[DOCUMENTO ]],[2]!PERSONAL_ACTIVO_2024[[#All],[Documento identidad]],[2]!PERSONAL_ACTIVO_2024[[#All],[Mail ]],0,0)</f>
        <v>#NAME?</v>
      </c>
      <c r="AP86" s="147" t="e" cm="1">
        <f t="array" aca="1" ref="AP86" ca="1">_xlfn.XLOOKUP(Contrato5[[#This Row],[DOCUMENTO]],[2]!PERSONAL_ACTIVO_2024[[#All],[Documento identidad]],[2]!PERSONAL_ACTIVO_2024[[#All],[Mail ]],0,0)</f>
        <v>#NAME?</v>
      </c>
      <c r="AQ86" s="439" cm="1">
        <f t="array" aca="1" ref="AQ86" ca="1">IF(ISBLANK(Contrato5[[#This Row],[DEPENDENCIA ]]),0,IFERROR(_xlfn.XLOOKUP(Contrato5[[#This Row],[DEPENDENCIA ]],[2]!PERSONAL_ACTIVO_2024[[#All],[Dependencia]],[2]!PERSONAL_ACTIVO_2024[[#All],[Mail ]],0,0),0))</f>
        <v>0</v>
      </c>
    </row>
    <row r="87" spans="1:43" ht="34.5" customHeight="1">
      <c r="A87" s="125">
        <v>158</v>
      </c>
      <c r="B87" s="124">
        <v>62</v>
      </c>
      <c r="C87" s="162" t="s">
        <v>1577</v>
      </c>
      <c r="D87" s="227" t="s">
        <v>583</v>
      </c>
      <c r="E87" s="128" t="s">
        <v>94</v>
      </c>
      <c r="F87" s="163" t="s">
        <v>1376</v>
      </c>
      <c r="G87" s="190" t="s">
        <v>678</v>
      </c>
      <c r="H87" s="447">
        <v>71734412</v>
      </c>
      <c r="I87" s="455">
        <v>3952382</v>
      </c>
      <c r="J87" s="456">
        <v>23714292</v>
      </c>
      <c r="K87" s="166" t="s">
        <v>42</v>
      </c>
      <c r="L87" s="438" t="s">
        <v>42</v>
      </c>
      <c r="M87" s="194" t="s">
        <v>589</v>
      </c>
      <c r="N87" s="177" t="e" cm="1">
        <f t="array" aca="1" ref="N87" ca="1">_xlfn.XLOOKUP(Contrato5[[#This Row],[SUPERVISOR TITULAR]],[2]!PERSONAL_ACTIVO_2024[[#All],[Nombre completo]],[2]!PERSONAL_ACTIVO_2024[[#All],[Documento identidad]],"",0)</f>
        <v>#NAME?</v>
      </c>
      <c r="O87" s="194" t="s">
        <v>586</v>
      </c>
      <c r="P87" s="196" t="e" cm="1">
        <f t="array" aca="1" ref="P87" ca="1">_xlfn.XLOOKUP(Contrato5[[#This Row],[SUPERVISOR SUPLENTE ]],[2]!PERSONAL_ACTIVO_2024[[#All],[Nombre completo]],[2]!PERSONAL_ACTIVO_2024[[#All],[Documento identidad]],"",0)</f>
        <v>#NAME?</v>
      </c>
      <c r="Q87" s="208">
        <v>87</v>
      </c>
      <c r="R87" s="137" t="e" cm="1">
        <f t="array" aca="1" ref="R87" ca="1">_xlfn.XLOOKUP(Contrato5[[#This Row],[CDP]],[2]!DISPONIBILIDADES_2024[[#All],[consecutivo]],[2]!DISPONIBILIDADES_2024[[#All],[fecha_aprobacion]],"",0)</f>
        <v>#NAME?</v>
      </c>
      <c r="S87" s="138" t="e">
        <f>SUMIF([2]!DISPONIBILIDADES_2024[[#All],[consecutivo]],Contrato5[[#This Row],[CDP]],[2]!DISPONIBILIDADES_2024[[#All],[valor_total_rubro]])</f>
        <v>#REF!</v>
      </c>
      <c r="T87" s="139" t="e" cm="1">
        <f t="array" aca="1" ref="T87" ca="1">_xlfn.XLOOKUP(Contrato5[[#This Row],[CONTRATO]]&amp;Contrato5[[#This Row],[CDP]],[2]!Corr_Contr_CDP[[#All],[CONTRATO-CDP]],[2]!Corr_Contr_CDP[[#All],[CRP]],_xlfn.XLOOKUP(Contrato5[[#This Row],[CDP]],[2]!COMPROMISOS_2024[[#All],[disponibilidad]],[2]!COMPROMISOS_2024[[#All],[consecutivo]],"",0),0)</f>
        <v>#NAME?</v>
      </c>
      <c r="U87" s="140" t="e" cm="1">
        <f t="array" aca="1" ref="U87" ca="1">+_xlfn.XLOOKUP(Contrato5[[#This Row],[RCP]],[2]!COMPROMISOS_2024[[#All],[consecutivo]],[2]!COMPROMISOS_2024[[#All],[fecha_aprobacion]],"",0)</f>
        <v>#NAME?</v>
      </c>
      <c r="V87" s="141" t="e">
        <f ca="1">SUMIF([2]!COMPROMISOS_2024[[#All],[consecutivo]],Contrato5[[#This Row],[RCP]],[2]!COMPROMISOS_2024[[#All],[valor_total]])</f>
        <v>#REF!</v>
      </c>
      <c r="W87" s="415">
        <v>45337</v>
      </c>
      <c r="X87" s="415">
        <v>45338</v>
      </c>
      <c r="Y87" s="143">
        <v>45338</v>
      </c>
      <c r="Z87" s="262">
        <v>45519</v>
      </c>
      <c r="AA87" s="171" t="s">
        <v>651</v>
      </c>
      <c r="AB87" s="161" t="s">
        <v>640</v>
      </c>
      <c r="AC87" s="161"/>
      <c r="AD87" s="211">
        <v>202000003631</v>
      </c>
      <c r="AE87" s="147" t="s">
        <v>523</v>
      </c>
      <c r="AF87" s="148" t="str">
        <f>TEXT(LEFT(Contrato5[[#This Row],[CONTRATO]],3),"0")</f>
        <v>62</v>
      </c>
      <c r="AG87" s="148" t="str">
        <f>IF(LEN(Contrato5[[#This Row],[Contrato2]])=3,Contrato5[[#This Row],[Contrato2]],TEXT(Contrato5[[#This Row],[Contrato2]],"000"))</f>
        <v>062</v>
      </c>
      <c r="AH87" s="149">
        <f ca="1">IFERROR(_xlfn.DAYS(Contrato5[[#This Row],[Fecha Proyectada liquidación]],TODAY())/30,"")</f>
        <v>-3.9666666666666668</v>
      </c>
      <c r="AI87" s="150">
        <f>+Contrato5[[#This Row],[FECHA TERMINACIÓN ]]+120</f>
        <v>45639</v>
      </c>
      <c r="AJ87" s="147"/>
      <c r="AK87" s="152" t="str">
        <f ca="1">IF(Contrato5[[#This Row],[FECHA TERMINACIÓN ]]&lt;TODAY(), "Terminado",IF(ISNUMBER(Contrato5[[#This Row],[Fecha Real de liquiidación ]]),"Liquidado",IF(Contrato5[[#This Row],[FECHA TERMINACIÓN ]]&gt;=TODAY(),"En ejecución","")))</f>
        <v>Terminado</v>
      </c>
      <c r="AL87" s="153" t="e">
        <f ca="1">SUMIF([2]!COMPROMISOS_2024[[#All],[consecutivo]],Contrato5[[#This Row],[RCP]],[2]!COMPROMISOS_2024[[#All],[Total pagado]])</f>
        <v>#REF!</v>
      </c>
      <c r="AM87" s="154">
        <f ca="1">IFERROR(Contrato5[[#This Row],[Pagos]]/Contrato5[[#This Row],[VALOR CONTRATO]],0)</f>
        <v>0</v>
      </c>
      <c r="AN87" s="198" t="e">
        <f ca="1">+Contrato5[[#This Row],[VALOR CONTRATO]]-Contrato5[[#This Row],[Pagos]]</f>
        <v>#REF!</v>
      </c>
      <c r="AO87" s="147" t="e" cm="1">
        <f t="array" aca="1" ref="AO87" ca="1">_xlfn.XLOOKUP(Contrato5[[#This Row],[DOCUMENTO ]],[2]!PERSONAL_ACTIVO_2024[[#All],[Documento identidad]],[2]!PERSONAL_ACTIVO_2024[[#All],[Mail ]],0,0)</f>
        <v>#NAME?</v>
      </c>
      <c r="AP87" s="147" t="e" cm="1">
        <f t="array" aca="1" ref="AP87" ca="1">_xlfn.XLOOKUP(Contrato5[[#This Row],[DOCUMENTO]],[2]!PERSONAL_ACTIVO_2024[[#All],[Documento identidad]],[2]!PERSONAL_ACTIVO_2024[[#All],[Mail ]],0,0)</f>
        <v>#NAME?</v>
      </c>
      <c r="AQ87" s="439" cm="1">
        <f t="array" aca="1" ref="AQ87" ca="1">IF(ISBLANK(Contrato5[[#This Row],[DEPENDENCIA ]]),0,IFERROR(_xlfn.XLOOKUP(Contrato5[[#This Row],[DEPENDENCIA ]],[2]!PERSONAL_ACTIVO_2024[[#All],[Dependencia]],[2]!PERSONAL_ACTIVO_2024[[#All],[Mail ]],0,0),0))</f>
        <v>0</v>
      </c>
    </row>
    <row r="88" spans="1:43" ht="34.5" customHeight="1">
      <c r="A88" s="125">
        <v>159</v>
      </c>
      <c r="B88" s="124">
        <v>63</v>
      </c>
      <c r="C88" s="162" t="s">
        <v>1578</v>
      </c>
      <c r="D88" s="227" t="s">
        <v>583</v>
      </c>
      <c r="E88" s="128" t="s">
        <v>94</v>
      </c>
      <c r="F88" s="163" t="s">
        <v>1376</v>
      </c>
      <c r="G88" s="190" t="s">
        <v>679</v>
      </c>
      <c r="H88" s="447">
        <v>43209715</v>
      </c>
      <c r="I88" s="455">
        <v>3952382</v>
      </c>
      <c r="J88" s="456">
        <v>23714292</v>
      </c>
      <c r="K88" s="166" t="s">
        <v>42</v>
      </c>
      <c r="L88" s="438" t="s">
        <v>42</v>
      </c>
      <c r="M88" s="194" t="s">
        <v>589</v>
      </c>
      <c r="N88" s="177" t="e" cm="1">
        <f t="array" aca="1" ref="N88" ca="1">_xlfn.XLOOKUP(Contrato5[[#This Row],[SUPERVISOR TITULAR]],[2]!PERSONAL_ACTIVO_2024[[#All],[Nombre completo]],[2]!PERSONAL_ACTIVO_2024[[#All],[Documento identidad]],"",0)</f>
        <v>#NAME?</v>
      </c>
      <c r="O88" s="194" t="s">
        <v>586</v>
      </c>
      <c r="P88" s="196" t="e" cm="1">
        <f t="array" aca="1" ref="P88" ca="1">_xlfn.XLOOKUP(Contrato5[[#This Row],[SUPERVISOR SUPLENTE ]],[2]!PERSONAL_ACTIVO_2024[[#All],[Nombre completo]],[2]!PERSONAL_ACTIVO_2024[[#All],[Documento identidad]],"",0)</f>
        <v>#NAME?</v>
      </c>
      <c r="Q88" s="208">
        <v>88</v>
      </c>
      <c r="R88" s="137" t="e" cm="1">
        <f t="array" aca="1" ref="R88" ca="1">_xlfn.XLOOKUP(Contrato5[[#This Row],[CDP]],[2]!DISPONIBILIDADES_2024[[#All],[consecutivo]],[2]!DISPONIBILIDADES_2024[[#All],[fecha_aprobacion]],"",0)</f>
        <v>#NAME?</v>
      </c>
      <c r="S88" s="138" t="e">
        <f>SUMIF([2]!DISPONIBILIDADES_2024[[#All],[consecutivo]],Contrato5[[#This Row],[CDP]],[2]!DISPONIBILIDADES_2024[[#All],[valor_total_rubro]])</f>
        <v>#REF!</v>
      </c>
      <c r="T88" s="139" t="e" cm="1">
        <f t="array" aca="1" ref="T88" ca="1">_xlfn.XLOOKUP(Contrato5[[#This Row],[CONTRATO]]&amp;Contrato5[[#This Row],[CDP]],[2]!Corr_Contr_CDP[[#All],[CONTRATO-CDP]],[2]!Corr_Contr_CDP[[#All],[CRP]],_xlfn.XLOOKUP(Contrato5[[#This Row],[CDP]],[2]!COMPROMISOS_2024[[#All],[disponibilidad]],[2]!COMPROMISOS_2024[[#All],[consecutivo]],"",0),0)</f>
        <v>#NAME?</v>
      </c>
      <c r="U88" s="140" t="e" cm="1">
        <f t="array" aca="1" ref="U88" ca="1">+_xlfn.XLOOKUP(Contrato5[[#This Row],[RCP]],[2]!COMPROMISOS_2024[[#All],[consecutivo]],[2]!COMPROMISOS_2024[[#All],[fecha_aprobacion]],"",0)</f>
        <v>#NAME?</v>
      </c>
      <c r="V88" s="141" t="e">
        <f ca="1">SUMIF([2]!COMPROMISOS_2024[[#All],[consecutivo]],Contrato5[[#This Row],[RCP]],[2]!COMPROMISOS_2024[[#All],[valor_total]])</f>
        <v>#REF!</v>
      </c>
      <c r="W88" s="415">
        <v>45337</v>
      </c>
      <c r="X88" s="415">
        <v>45338</v>
      </c>
      <c r="Y88" s="143">
        <v>45338</v>
      </c>
      <c r="Z88" s="262">
        <v>45519</v>
      </c>
      <c r="AA88" s="171" t="s">
        <v>651</v>
      </c>
      <c r="AB88" s="161" t="s">
        <v>640</v>
      </c>
      <c r="AC88" s="161"/>
      <c r="AD88" s="211">
        <v>202000003636</v>
      </c>
      <c r="AE88" s="147" t="s">
        <v>523</v>
      </c>
      <c r="AF88" s="148" t="str">
        <f>TEXT(LEFT(Contrato5[[#This Row],[CONTRATO]],3),"0")</f>
        <v>63</v>
      </c>
      <c r="AG88" s="148" t="str">
        <f>IF(LEN(Contrato5[[#This Row],[Contrato2]])=3,Contrato5[[#This Row],[Contrato2]],TEXT(Contrato5[[#This Row],[Contrato2]],"000"))</f>
        <v>063</v>
      </c>
      <c r="AH88" s="149">
        <f ca="1">IFERROR(_xlfn.DAYS(Contrato5[[#This Row],[Fecha Proyectada liquidación]],TODAY())/30,"")</f>
        <v>-3.9666666666666668</v>
      </c>
      <c r="AI88" s="150">
        <f>+Contrato5[[#This Row],[FECHA TERMINACIÓN ]]+120</f>
        <v>45639</v>
      </c>
      <c r="AJ88" s="147"/>
      <c r="AK88" s="152" t="str">
        <f ca="1">IF(Contrato5[[#This Row],[FECHA TERMINACIÓN ]]&lt;TODAY(), "Terminado",IF(ISNUMBER(Contrato5[[#This Row],[Fecha Real de liquiidación ]]),"Liquidado",IF(Contrato5[[#This Row],[FECHA TERMINACIÓN ]]&gt;=TODAY(),"En ejecución","")))</f>
        <v>Terminado</v>
      </c>
      <c r="AL88" s="153" t="e">
        <f ca="1">SUMIF([2]!COMPROMISOS_2024[[#All],[consecutivo]],Contrato5[[#This Row],[RCP]],[2]!COMPROMISOS_2024[[#All],[Total pagado]])</f>
        <v>#REF!</v>
      </c>
      <c r="AM88" s="154">
        <f ca="1">IFERROR(Contrato5[[#This Row],[Pagos]]/Contrato5[[#This Row],[VALOR CONTRATO]],0)</f>
        <v>0</v>
      </c>
      <c r="AN88" s="198" t="e">
        <f ca="1">+Contrato5[[#This Row],[VALOR CONTRATO]]-Contrato5[[#This Row],[Pagos]]</f>
        <v>#REF!</v>
      </c>
      <c r="AO88" s="147" t="e" cm="1">
        <f t="array" aca="1" ref="AO88" ca="1">_xlfn.XLOOKUP(Contrato5[[#This Row],[DOCUMENTO ]],[2]!PERSONAL_ACTIVO_2024[[#All],[Documento identidad]],[2]!PERSONAL_ACTIVO_2024[[#All],[Mail ]],0,0)</f>
        <v>#NAME?</v>
      </c>
      <c r="AP88" s="147" t="e" cm="1">
        <f t="array" aca="1" ref="AP88" ca="1">_xlfn.XLOOKUP(Contrato5[[#This Row],[DOCUMENTO]],[2]!PERSONAL_ACTIVO_2024[[#All],[Documento identidad]],[2]!PERSONAL_ACTIVO_2024[[#All],[Mail ]],0,0)</f>
        <v>#NAME?</v>
      </c>
      <c r="AQ88" s="439" cm="1">
        <f t="array" aca="1" ref="AQ88" ca="1">IF(ISBLANK(Contrato5[[#This Row],[DEPENDENCIA ]]),0,IFERROR(_xlfn.XLOOKUP(Contrato5[[#This Row],[DEPENDENCIA ]],[2]!PERSONAL_ACTIVO_2024[[#All],[Dependencia]],[2]!PERSONAL_ACTIVO_2024[[#All],[Mail ]],0,0),0))</f>
        <v>0</v>
      </c>
    </row>
    <row r="89" spans="1:43" ht="34.5" customHeight="1">
      <c r="A89" s="125">
        <v>160</v>
      </c>
      <c r="B89" s="124">
        <v>64</v>
      </c>
      <c r="C89" s="162" t="s">
        <v>1579</v>
      </c>
      <c r="D89" s="227" t="s">
        <v>583</v>
      </c>
      <c r="E89" s="128" t="s">
        <v>94</v>
      </c>
      <c r="F89" s="163" t="s">
        <v>1376</v>
      </c>
      <c r="G89" s="190" t="s">
        <v>680</v>
      </c>
      <c r="H89" s="447">
        <v>1037600702</v>
      </c>
      <c r="I89" s="455">
        <v>3952382</v>
      </c>
      <c r="J89" s="456">
        <v>23714292</v>
      </c>
      <c r="K89" s="166" t="s">
        <v>42</v>
      </c>
      <c r="L89" s="438" t="s">
        <v>42</v>
      </c>
      <c r="M89" s="194" t="s">
        <v>589</v>
      </c>
      <c r="N89" s="177" t="e" cm="1">
        <f t="array" aca="1" ref="N89" ca="1">_xlfn.XLOOKUP(Contrato5[[#This Row],[SUPERVISOR TITULAR]],[2]!PERSONAL_ACTIVO_2024[[#All],[Nombre completo]],[2]!PERSONAL_ACTIVO_2024[[#All],[Documento identidad]],"",0)</f>
        <v>#NAME?</v>
      </c>
      <c r="O89" s="194" t="s">
        <v>586</v>
      </c>
      <c r="P89" s="196" t="e" cm="1">
        <f t="array" aca="1" ref="P89" ca="1">_xlfn.XLOOKUP(Contrato5[[#This Row],[SUPERVISOR SUPLENTE ]],[2]!PERSONAL_ACTIVO_2024[[#All],[Nombre completo]],[2]!PERSONAL_ACTIVO_2024[[#All],[Documento identidad]],"",0)</f>
        <v>#NAME?</v>
      </c>
      <c r="Q89" s="208">
        <v>89</v>
      </c>
      <c r="R89" s="137" t="e" cm="1">
        <f t="array" aca="1" ref="R89" ca="1">_xlfn.XLOOKUP(Contrato5[[#This Row],[CDP]],[2]!DISPONIBILIDADES_2024[[#All],[consecutivo]],[2]!DISPONIBILIDADES_2024[[#All],[fecha_aprobacion]],"",0)</f>
        <v>#NAME?</v>
      </c>
      <c r="S89" s="138" t="e">
        <f>SUMIF([2]!DISPONIBILIDADES_2024[[#All],[consecutivo]],Contrato5[[#This Row],[CDP]],[2]!DISPONIBILIDADES_2024[[#All],[valor_total_rubro]])</f>
        <v>#REF!</v>
      </c>
      <c r="T89" s="139" t="e" cm="1">
        <f t="array" aca="1" ref="T89" ca="1">_xlfn.XLOOKUP(Contrato5[[#This Row],[CONTRATO]]&amp;Contrato5[[#This Row],[CDP]],[2]!Corr_Contr_CDP[[#All],[CONTRATO-CDP]],[2]!Corr_Contr_CDP[[#All],[CRP]],_xlfn.XLOOKUP(Contrato5[[#This Row],[CDP]],[2]!COMPROMISOS_2024[[#All],[disponibilidad]],[2]!COMPROMISOS_2024[[#All],[consecutivo]],"",0),0)</f>
        <v>#NAME?</v>
      </c>
      <c r="U89" s="140" t="e" cm="1">
        <f t="array" aca="1" ref="U89" ca="1">+_xlfn.XLOOKUP(Contrato5[[#This Row],[RCP]],[2]!COMPROMISOS_2024[[#All],[consecutivo]],[2]!COMPROMISOS_2024[[#All],[fecha_aprobacion]],"",0)</f>
        <v>#NAME?</v>
      </c>
      <c r="V89" s="141" t="e">
        <f ca="1">SUMIF([2]!COMPROMISOS_2024[[#All],[consecutivo]],Contrato5[[#This Row],[RCP]],[2]!COMPROMISOS_2024[[#All],[valor_total]])</f>
        <v>#REF!</v>
      </c>
      <c r="W89" s="415">
        <v>45337</v>
      </c>
      <c r="X89" s="415">
        <v>45338</v>
      </c>
      <c r="Y89" s="143">
        <v>45341</v>
      </c>
      <c r="Z89" s="262">
        <v>45519</v>
      </c>
      <c r="AA89" s="171" t="s">
        <v>651</v>
      </c>
      <c r="AB89" s="161" t="s">
        <v>640</v>
      </c>
      <c r="AC89" s="161"/>
      <c r="AD89" s="211">
        <v>202000003637</v>
      </c>
      <c r="AE89" s="147" t="s">
        <v>523</v>
      </c>
      <c r="AF89" s="148" t="str">
        <f>TEXT(LEFT(Contrato5[[#This Row],[CONTRATO]],3),"0")</f>
        <v>64</v>
      </c>
      <c r="AG89" s="148" t="str">
        <f>IF(LEN(Contrato5[[#This Row],[Contrato2]])=3,Contrato5[[#This Row],[Contrato2]],TEXT(Contrato5[[#This Row],[Contrato2]],"000"))</f>
        <v>064</v>
      </c>
      <c r="AH89" s="149">
        <f ca="1">IFERROR(_xlfn.DAYS(Contrato5[[#This Row],[Fecha Proyectada liquidación]],TODAY())/30,"")</f>
        <v>-3.9666666666666668</v>
      </c>
      <c r="AI89" s="150">
        <f>+Contrato5[[#This Row],[FECHA TERMINACIÓN ]]+120</f>
        <v>45639</v>
      </c>
      <c r="AJ89" s="147"/>
      <c r="AK89" s="152" t="str">
        <f ca="1">IF(Contrato5[[#This Row],[FECHA TERMINACIÓN ]]&lt;TODAY(), "Terminado",IF(ISNUMBER(Contrato5[[#This Row],[Fecha Real de liquiidación ]]),"Liquidado",IF(Contrato5[[#This Row],[FECHA TERMINACIÓN ]]&gt;=TODAY(),"En ejecución","")))</f>
        <v>Terminado</v>
      </c>
      <c r="AL89" s="153" t="e">
        <f ca="1">SUMIF([2]!COMPROMISOS_2024[[#All],[consecutivo]],Contrato5[[#This Row],[RCP]],[2]!COMPROMISOS_2024[[#All],[Total pagado]])</f>
        <v>#REF!</v>
      </c>
      <c r="AM89" s="154">
        <f ca="1">IFERROR(Contrato5[[#This Row],[Pagos]]/Contrato5[[#This Row],[VALOR CONTRATO]],0)</f>
        <v>0</v>
      </c>
      <c r="AN89" s="198" t="e">
        <f ca="1">+Contrato5[[#This Row],[VALOR CONTRATO]]-Contrato5[[#This Row],[Pagos]]</f>
        <v>#REF!</v>
      </c>
      <c r="AO89" s="147" t="e" cm="1">
        <f t="array" aca="1" ref="AO89" ca="1">_xlfn.XLOOKUP(Contrato5[[#This Row],[DOCUMENTO ]],[2]!PERSONAL_ACTIVO_2024[[#All],[Documento identidad]],[2]!PERSONAL_ACTIVO_2024[[#All],[Mail ]],0,0)</f>
        <v>#NAME?</v>
      </c>
      <c r="AP89" s="147" t="e" cm="1">
        <f t="array" aca="1" ref="AP89" ca="1">_xlfn.XLOOKUP(Contrato5[[#This Row],[DOCUMENTO]],[2]!PERSONAL_ACTIVO_2024[[#All],[Documento identidad]],[2]!PERSONAL_ACTIVO_2024[[#All],[Mail ]],0,0)</f>
        <v>#NAME?</v>
      </c>
      <c r="AQ89" s="439" cm="1">
        <f t="array" aca="1" ref="AQ89" ca="1">IF(ISBLANK(Contrato5[[#This Row],[DEPENDENCIA ]]),0,IFERROR(_xlfn.XLOOKUP(Contrato5[[#This Row],[DEPENDENCIA ]],[2]!PERSONAL_ACTIVO_2024[[#All],[Dependencia]],[2]!PERSONAL_ACTIVO_2024[[#All],[Mail ]],0,0),0))</f>
        <v>0</v>
      </c>
    </row>
    <row r="90" spans="1:43" ht="34.5" customHeight="1">
      <c r="A90" s="125">
        <v>161</v>
      </c>
      <c r="B90" s="124">
        <v>65</v>
      </c>
      <c r="C90" s="162" t="s">
        <v>1580</v>
      </c>
      <c r="D90" s="227" t="s">
        <v>583</v>
      </c>
      <c r="E90" s="128" t="s">
        <v>94</v>
      </c>
      <c r="F90" s="163" t="s">
        <v>1376</v>
      </c>
      <c r="G90" s="190" t="s">
        <v>681</v>
      </c>
      <c r="H90" s="447">
        <v>1027966747</v>
      </c>
      <c r="I90" s="455">
        <v>4908936</v>
      </c>
      <c r="J90" s="456">
        <v>29453616</v>
      </c>
      <c r="K90" s="166" t="s">
        <v>42</v>
      </c>
      <c r="L90" s="438" t="s">
        <v>42</v>
      </c>
      <c r="M90" s="194" t="s">
        <v>589</v>
      </c>
      <c r="N90" s="177" t="e" cm="1">
        <f t="array" aca="1" ref="N90" ca="1">_xlfn.XLOOKUP(Contrato5[[#This Row],[SUPERVISOR TITULAR]],[2]!PERSONAL_ACTIVO_2024[[#All],[Nombre completo]],[2]!PERSONAL_ACTIVO_2024[[#All],[Documento identidad]],"",0)</f>
        <v>#NAME?</v>
      </c>
      <c r="O90" s="194" t="s">
        <v>586</v>
      </c>
      <c r="P90" s="196" t="e" cm="1">
        <f t="array" aca="1" ref="P90" ca="1">_xlfn.XLOOKUP(Contrato5[[#This Row],[SUPERVISOR SUPLENTE ]],[2]!PERSONAL_ACTIVO_2024[[#All],[Nombre completo]],[2]!PERSONAL_ACTIVO_2024[[#All],[Documento identidad]],"",0)</f>
        <v>#NAME?</v>
      </c>
      <c r="Q90" s="208">
        <v>90</v>
      </c>
      <c r="R90" s="137" t="e" cm="1">
        <f t="array" aca="1" ref="R90" ca="1">_xlfn.XLOOKUP(Contrato5[[#This Row],[CDP]],[2]!DISPONIBILIDADES_2024[[#All],[consecutivo]],[2]!DISPONIBILIDADES_2024[[#All],[fecha_aprobacion]],"",0)</f>
        <v>#NAME?</v>
      </c>
      <c r="S90" s="138" t="e">
        <f>SUMIF([2]!DISPONIBILIDADES_2024[[#All],[consecutivo]],Contrato5[[#This Row],[CDP]],[2]!DISPONIBILIDADES_2024[[#All],[valor_total_rubro]])</f>
        <v>#REF!</v>
      </c>
      <c r="T90" s="139" t="e" cm="1">
        <f t="array" aca="1" ref="T90" ca="1">_xlfn.XLOOKUP(Contrato5[[#This Row],[CONTRATO]]&amp;Contrato5[[#This Row],[CDP]],[2]!Corr_Contr_CDP[[#All],[CONTRATO-CDP]],[2]!Corr_Contr_CDP[[#All],[CRP]],_xlfn.XLOOKUP(Contrato5[[#This Row],[CDP]],[2]!COMPROMISOS_2024[[#All],[disponibilidad]],[2]!COMPROMISOS_2024[[#All],[consecutivo]],"",0),0)</f>
        <v>#NAME?</v>
      </c>
      <c r="U90" s="140" t="e" cm="1">
        <f t="array" aca="1" ref="U90" ca="1">+_xlfn.XLOOKUP(Contrato5[[#This Row],[RCP]],[2]!COMPROMISOS_2024[[#All],[consecutivo]],[2]!COMPROMISOS_2024[[#All],[fecha_aprobacion]],"",0)</f>
        <v>#NAME?</v>
      </c>
      <c r="V90" s="141" t="e">
        <f ca="1">SUMIF([2]!COMPROMISOS_2024[[#All],[consecutivo]],Contrato5[[#This Row],[RCP]],[2]!COMPROMISOS_2024[[#All],[valor_total]])</f>
        <v>#REF!</v>
      </c>
      <c r="W90" s="415">
        <v>45336</v>
      </c>
      <c r="X90" s="415">
        <v>45337</v>
      </c>
      <c r="Y90" s="143">
        <v>45338</v>
      </c>
      <c r="Z90" s="262">
        <v>45519</v>
      </c>
      <c r="AA90" s="171" t="s">
        <v>653</v>
      </c>
      <c r="AB90" s="161" t="s">
        <v>640</v>
      </c>
      <c r="AC90" s="161"/>
      <c r="AD90" s="211">
        <v>202000003638</v>
      </c>
      <c r="AE90" s="147" t="s">
        <v>523</v>
      </c>
      <c r="AF90" s="148" t="str">
        <f>TEXT(LEFT(Contrato5[[#This Row],[CONTRATO]],3),"0")</f>
        <v>65</v>
      </c>
      <c r="AG90" s="148" t="str">
        <f>IF(LEN(Contrato5[[#This Row],[Contrato2]])=3,Contrato5[[#This Row],[Contrato2]],TEXT(Contrato5[[#This Row],[Contrato2]],"000"))</f>
        <v>065</v>
      </c>
      <c r="AH90" s="149">
        <f ca="1">IFERROR(_xlfn.DAYS(Contrato5[[#This Row],[Fecha Proyectada liquidación]],TODAY())/30,"")</f>
        <v>-3.9666666666666668</v>
      </c>
      <c r="AI90" s="150">
        <f>+Contrato5[[#This Row],[FECHA TERMINACIÓN ]]+120</f>
        <v>45639</v>
      </c>
      <c r="AJ90" s="147"/>
      <c r="AK90" s="152" t="str">
        <f ca="1">IF(Contrato5[[#This Row],[FECHA TERMINACIÓN ]]&lt;TODAY(), "Terminado",IF(ISNUMBER(Contrato5[[#This Row],[Fecha Real de liquiidación ]]),"Liquidado",IF(Contrato5[[#This Row],[FECHA TERMINACIÓN ]]&gt;=TODAY(),"En ejecución","")))</f>
        <v>Terminado</v>
      </c>
      <c r="AL90" s="153" t="e">
        <f ca="1">SUMIF([2]!COMPROMISOS_2024[[#All],[consecutivo]],Contrato5[[#This Row],[RCP]],[2]!COMPROMISOS_2024[[#All],[Total pagado]])</f>
        <v>#REF!</v>
      </c>
      <c r="AM90" s="154">
        <f ca="1">IFERROR(Contrato5[[#This Row],[Pagos]]/Contrato5[[#This Row],[VALOR CONTRATO]],0)</f>
        <v>0</v>
      </c>
      <c r="AN90" s="198" t="e">
        <f ca="1">+Contrato5[[#This Row],[VALOR CONTRATO]]-Contrato5[[#This Row],[Pagos]]</f>
        <v>#REF!</v>
      </c>
      <c r="AO90" s="147" t="e" cm="1">
        <f t="array" aca="1" ref="AO90" ca="1">_xlfn.XLOOKUP(Contrato5[[#This Row],[DOCUMENTO ]],[2]!PERSONAL_ACTIVO_2024[[#All],[Documento identidad]],[2]!PERSONAL_ACTIVO_2024[[#All],[Mail ]],0,0)</f>
        <v>#NAME?</v>
      </c>
      <c r="AP90" s="147" t="e" cm="1">
        <f t="array" aca="1" ref="AP90" ca="1">_xlfn.XLOOKUP(Contrato5[[#This Row],[DOCUMENTO]],[2]!PERSONAL_ACTIVO_2024[[#All],[Documento identidad]],[2]!PERSONAL_ACTIVO_2024[[#All],[Mail ]],0,0)</f>
        <v>#NAME?</v>
      </c>
      <c r="AQ90" s="439" cm="1">
        <f t="array" aca="1" ref="AQ90" ca="1">IF(ISBLANK(Contrato5[[#This Row],[DEPENDENCIA ]]),0,IFERROR(_xlfn.XLOOKUP(Contrato5[[#This Row],[DEPENDENCIA ]],[2]!PERSONAL_ACTIVO_2024[[#All],[Dependencia]],[2]!PERSONAL_ACTIVO_2024[[#All],[Mail ]],0,0),0))</f>
        <v>0</v>
      </c>
    </row>
    <row r="91" spans="1:43" ht="34.5" customHeight="1">
      <c r="A91" s="125">
        <v>162</v>
      </c>
      <c r="B91" s="124">
        <v>66</v>
      </c>
      <c r="C91" s="162" t="s">
        <v>1581</v>
      </c>
      <c r="D91" s="227" t="s">
        <v>583</v>
      </c>
      <c r="E91" s="128" t="s">
        <v>94</v>
      </c>
      <c r="F91" s="163" t="s">
        <v>1376</v>
      </c>
      <c r="G91" s="190" t="s">
        <v>682</v>
      </c>
      <c r="H91" s="447">
        <v>71744403</v>
      </c>
      <c r="I91" s="455">
        <v>3952382</v>
      </c>
      <c r="J91" s="456">
        <v>23714292</v>
      </c>
      <c r="K91" s="166" t="s">
        <v>42</v>
      </c>
      <c r="L91" s="438" t="s">
        <v>42</v>
      </c>
      <c r="M91" s="194" t="s">
        <v>589</v>
      </c>
      <c r="N91" s="177" t="e" cm="1">
        <f t="array" aca="1" ref="N91" ca="1">_xlfn.XLOOKUP(Contrato5[[#This Row],[SUPERVISOR TITULAR]],[2]!PERSONAL_ACTIVO_2024[[#All],[Nombre completo]],[2]!PERSONAL_ACTIVO_2024[[#All],[Documento identidad]],"",0)</f>
        <v>#NAME?</v>
      </c>
      <c r="O91" s="194" t="s">
        <v>586</v>
      </c>
      <c r="P91" s="196" t="e" cm="1">
        <f t="array" aca="1" ref="P91" ca="1">_xlfn.XLOOKUP(Contrato5[[#This Row],[SUPERVISOR SUPLENTE ]],[2]!PERSONAL_ACTIVO_2024[[#All],[Nombre completo]],[2]!PERSONAL_ACTIVO_2024[[#All],[Documento identidad]],"",0)</f>
        <v>#NAME?</v>
      </c>
      <c r="Q91" s="208">
        <v>91</v>
      </c>
      <c r="R91" s="137" t="e" cm="1">
        <f t="array" aca="1" ref="R91" ca="1">_xlfn.XLOOKUP(Contrato5[[#This Row],[CDP]],[2]!DISPONIBILIDADES_2024[[#All],[consecutivo]],[2]!DISPONIBILIDADES_2024[[#All],[fecha_aprobacion]],"",0)</f>
        <v>#NAME?</v>
      </c>
      <c r="S91" s="138" t="e">
        <f>SUMIF([2]!DISPONIBILIDADES_2024[[#All],[consecutivo]],Contrato5[[#This Row],[CDP]],[2]!DISPONIBILIDADES_2024[[#All],[valor_total_rubro]])</f>
        <v>#REF!</v>
      </c>
      <c r="T91" s="139" t="e" cm="1">
        <f t="array" aca="1" ref="T91" ca="1">_xlfn.XLOOKUP(Contrato5[[#This Row],[CONTRATO]]&amp;Contrato5[[#This Row],[CDP]],[2]!Corr_Contr_CDP[[#All],[CONTRATO-CDP]],[2]!Corr_Contr_CDP[[#All],[CRP]],_xlfn.XLOOKUP(Contrato5[[#This Row],[CDP]],[2]!COMPROMISOS_2024[[#All],[disponibilidad]],[2]!COMPROMISOS_2024[[#All],[consecutivo]],"",0),0)</f>
        <v>#NAME?</v>
      </c>
      <c r="U91" s="140" t="e" cm="1">
        <f t="array" aca="1" ref="U91" ca="1">+_xlfn.XLOOKUP(Contrato5[[#This Row],[RCP]],[2]!COMPROMISOS_2024[[#All],[consecutivo]],[2]!COMPROMISOS_2024[[#All],[fecha_aprobacion]],"",0)</f>
        <v>#NAME?</v>
      </c>
      <c r="V91" s="141" t="e">
        <f ca="1">SUMIF([2]!COMPROMISOS_2024[[#All],[consecutivo]],Contrato5[[#This Row],[RCP]],[2]!COMPROMISOS_2024[[#All],[valor_total]])</f>
        <v>#REF!</v>
      </c>
      <c r="W91" s="415">
        <v>45337</v>
      </c>
      <c r="X91" s="415">
        <v>45338</v>
      </c>
      <c r="Y91" s="143">
        <v>45338</v>
      </c>
      <c r="Z91" s="262">
        <v>45519</v>
      </c>
      <c r="AA91" s="171" t="s">
        <v>651</v>
      </c>
      <c r="AB91" s="161" t="s">
        <v>640</v>
      </c>
      <c r="AC91" s="161"/>
      <c r="AD91" s="211">
        <v>202000003639</v>
      </c>
      <c r="AE91" s="147" t="s">
        <v>523</v>
      </c>
      <c r="AF91" s="148" t="str">
        <f>TEXT(LEFT(Contrato5[[#This Row],[CONTRATO]],3),"0")</f>
        <v>66</v>
      </c>
      <c r="AG91" s="148" t="str">
        <f>IF(LEN(Contrato5[[#This Row],[Contrato2]])=3,Contrato5[[#This Row],[Contrato2]],TEXT(Contrato5[[#This Row],[Contrato2]],"000"))</f>
        <v>066</v>
      </c>
      <c r="AH91" s="149">
        <f ca="1">IFERROR(_xlfn.DAYS(Contrato5[[#This Row],[Fecha Proyectada liquidación]],TODAY())/30,"")</f>
        <v>-3.9666666666666668</v>
      </c>
      <c r="AI91" s="150">
        <f>+Contrato5[[#This Row],[FECHA TERMINACIÓN ]]+120</f>
        <v>45639</v>
      </c>
      <c r="AJ91" s="147"/>
      <c r="AK91" s="152" t="str">
        <f ca="1">IF(Contrato5[[#This Row],[FECHA TERMINACIÓN ]]&lt;TODAY(), "Terminado",IF(ISNUMBER(Contrato5[[#This Row],[Fecha Real de liquiidación ]]),"Liquidado",IF(Contrato5[[#This Row],[FECHA TERMINACIÓN ]]&gt;=TODAY(),"En ejecución","")))</f>
        <v>Terminado</v>
      </c>
      <c r="AL91" s="153" t="e">
        <f ca="1">SUMIF([2]!COMPROMISOS_2024[[#All],[consecutivo]],Contrato5[[#This Row],[RCP]],[2]!COMPROMISOS_2024[[#All],[Total pagado]])</f>
        <v>#REF!</v>
      </c>
      <c r="AM91" s="154">
        <f ca="1">IFERROR(Contrato5[[#This Row],[Pagos]]/Contrato5[[#This Row],[VALOR CONTRATO]],0)</f>
        <v>0</v>
      </c>
      <c r="AN91" s="198" t="e">
        <f ca="1">+Contrato5[[#This Row],[VALOR CONTRATO]]-Contrato5[[#This Row],[Pagos]]</f>
        <v>#REF!</v>
      </c>
      <c r="AO91" s="147" t="e" cm="1">
        <f t="array" aca="1" ref="AO91" ca="1">_xlfn.XLOOKUP(Contrato5[[#This Row],[DOCUMENTO ]],[2]!PERSONAL_ACTIVO_2024[[#All],[Documento identidad]],[2]!PERSONAL_ACTIVO_2024[[#All],[Mail ]],0,0)</f>
        <v>#NAME?</v>
      </c>
      <c r="AP91" s="147" t="e" cm="1">
        <f t="array" aca="1" ref="AP91" ca="1">_xlfn.XLOOKUP(Contrato5[[#This Row],[DOCUMENTO]],[2]!PERSONAL_ACTIVO_2024[[#All],[Documento identidad]],[2]!PERSONAL_ACTIVO_2024[[#All],[Mail ]],0,0)</f>
        <v>#NAME?</v>
      </c>
      <c r="AQ91" s="439" cm="1">
        <f t="array" aca="1" ref="AQ91" ca="1">IF(ISBLANK(Contrato5[[#This Row],[DEPENDENCIA ]]),0,IFERROR(_xlfn.XLOOKUP(Contrato5[[#This Row],[DEPENDENCIA ]],[2]!PERSONAL_ACTIVO_2024[[#All],[Dependencia]],[2]!PERSONAL_ACTIVO_2024[[#All],[Mail ]],0,0),0))</f>
        <v>0</v>
      </c>
    </row>
    <row r="92" spans="1:43" ht="34.5" customHeight="1">
      <c r="A92" s="125">
        <v>163</v>
      </c>
      <c r="B92" s="124">
        <v>67</v>
      </c>
      <c r="C92" s="162" t="s">
        <v>1582</v>
      </c>
      <c r="D92" s="227" t="s">
        <v>583</v>
      </c>
      <c r="E92" s="128" t="s">
        <v>94</v>
      </c>
      <c r="F92" s="163" t="s">
        <v>1376</v>
      </c>
      <c r="G92" s="190" t="s">
        <v>683</v>
      </c>
      <c r="H92" s="447">
        <v>1035222143</v>
      </c>
      <c r="I92" s="455">
        <v>3952382</v>
      </c>
      <c r="J92" s="456">
        <v>23714292</v>
      </c>
      <c r="K92" s="166" t="s">
        <v>42</v>
      </c>
      <c r="L92" s="438" t="s">
        <v>42</v>
      </c>
      <c r="M92" s="194" t="s">
        <v>589</v>
      </c>
      <c r="N92" s="177" t="e" cm="1">
        <f t="array" aca="1" ref="N92" ca="1">_xlfn.XLOOKUP(Contrato5[[#This Row],[SUPERVISOR TITULAR]],[2]!PERSONAL_ACTIVO_2024[[#All],[Nombre completo]],[2]!PERSONAL_ACTIVO_2024[[#All],[Documento identidad]],"",0)</f>
        <v>#NAME?</v>
      </c>
      <c r="O92" s="194" t="s">
        <v>586</v>
      </c>
      <c r="P92" s="196" t="e" cm="1">
        <f t="array" aca="1" ref="P92" ca="1">_xlfn.XLOOKUP(Contrato5[[#This Row],[SUPERVISOR SUPLENTE ]],[2]!PERSONAL_ACTIVO_2024[[#All],[Nombre completo]],[2]!PERSONAL_ACTIVO_2024[[#All],[Documento identidad]],"",0)</f>
        <v>#NAME?</v>
      </c>
      <c r="Q92" s="222">
        <v>92</v>
      </c>
      <c r="R92" s="137" t="e" cm="1">
        <f t="array" aca="1" ref="R92" ca="1">_xlfn.XLOOKUP(Contrato5[[#This Row],[CDP]],[2]!DISPONIBILIDADES_2024[[#All],[consecutivo]],[2]!DISPONIBILIDADES_2024[[#All],[fecha_aprobacion]],"",0)</f>
        <v>#NAME?</v>
      </c>
      <c r="S92" s="138" t="e">
        <f>SUMIF([2]!DISPONIBILIDADES_2024[[#All],[consecutivo]],Contrato5[[#This Row],[CDP]],[2]!DISPONIBILIDADES_2024[[#All],[valor_total_rubro]])</f>
        <v>#REF!</v>
      </c>
      <c r="T92" s="139" t="e" cm="1">
        <f t="array" aca="1" ref="T92" ca="1">_xlfn.XLOOKUP(Contrato5[[#This Row],[CONTRATO]]&amp;Contrato5[[#This Row],[CDP]],[2]!Corr_Contr_CDP[[#All],[CONTRATO-CDP]],[2]!Corr_Contr_CDP[[#All],[CRP]],_xlfn.XLOOKUP(Contrato5[[#This Row],[CDP]],[2]!COMPROMISOS_2024[[#All],[disponibilidad]],[2]!COMPROMISOS_2024[[#All],[consecutivo]],"",0),0)</f>
        <v>#NAME?</v>
      </c>
      <c r="U92" s="140" t="e" cm="1">
        <f t="array" aca="1" ref="U92" ca="1">+_xlfn.XLOOKUP(Contrato5[[#This Row],[RCP]],[2]!COMPROMISOS_2024[[#All],[consecutivo]],[2]!COMPROMISOS_2024[[#All],[fecha_aprobacion]],"",0)</f>
        <v>#NAME?</v>
      </c>
      <c r="V92" s="141" t="e">
        <f ca="1">SUMIF([2]!COMPROMISOS_2024[[#All],[consecutivo]],Contrato5[[#This Row],[RCP]],[2]!COMPROMISOS_2024[[#All],[valor_total]])</f>
        <v>#REF!</v>
      </c>
      <c r="W92" s="415">
        <v>45337</v>
      </c>
      <c r="X92" s="415">
        <v>45338</v>
      </c>
      <c r="Y92" s="143">
        <v>45341</v>
      </c>
      <c r="Z92" s="262">
        <v>45519</v>
      </c>
      <c r="AA92" s="171" t="s">
        <v>651</v>
      </c>
      <c r="AB92" s="161" t="s">
        <v>640</v>
      </c>
      <c r="AC92" s="161"/>
      <c r="AD92" s="211">
        <v>202000003640</v>
      </c>
      <c r="AE92" s="147" t="s">
        <v>523</v>
      </c>
      <c r="AF92" s="148" t="str">
        <f>TEXT(LEFT(Contrato5[[#This Row],[CONTRATO]],3),"0")</f>
        <v>67</v>
      </c>
      <c r="AG92" s="148" t="str">
        <f>IF(LEN(Contrato5[[#This Row],[Contrato2]])=3,Contrato5[[#This Row],[Contrato2]],TEXT(Contrato5[[#This Row],[Contrato2]],"000"))</f>
        <v>067</v>
      </c>
      <c r="AH92" s="149">
        <f ca="1">IFERROR(_xlfn.DAYS(Contrato5[[#This Row],[Fecha Proyectada liquidación]],TODAY())/30,"")</f>
        <v>-3.9666666666666668</v>
      </c>
      <c r="AI92" s="150">
        <f>+Contrato5[[#This Row],[FECHA TERMINACIÓN ]]+120</f>
        <v>45639</v>
      </c>
      <c r="AJ92" s="147"/>
      <c r="AK92" s="152" t="str">
        <f ca="1">IF(Contrato5[[#This Row],[FECHA TERMINACIÓN ]]&lt;TODAY(), "Terminado",IF(ISNUMBER(Contrato5[[#This Row],[Fecha Real de liquiidación ]]),"Liquidado",IF(Contrato5[[#This Row],[FECHA TERMINACIÓN ]]&gt;=TODAY(),"En ejecución","")))</f>
        <v>Terminado</v>
      </c>
      <c r="AL92" s="153" t="e">
        <f ca="1">SUMIF([2]!COMPROMISOS_2024[[#All],[consecutivo]],Contrato5[[#This Row],[RCP]],[2]!COMPROMISOS_2024[[#All],[Total pagado]])</f>
        <v>#REF!</v>
      </c>
      <c r="AM92" s="154">
        <f ca="1">IFERROR(Contrato5[[#This Row],[Pagos]]/Contrato5[[#This Row],[VALOR CONTRATO]],0)</f>
        <v>0</v>
      </c>
      <c r="AN92" s="198" t="e">
        <f ca="1">+Contrato5[[#This Row],[VALOR CONTRATO]]-Contrato5[[#This Row],[Pagos]]</f>
        <v>#REF!</v>
      </c>
      <c r="AO92" s="147" t="e" cm="1">
        <f t="array" aca="1" ref="AO92" ca="1">_xlfn.XLOOKUP(Contrato5[[#This Row],[DOCUMENTO ]],[2]!PERSONAL_ACTIVO_2024[[#All],[Documento identidad]],[2]!PERSONAL_ACTIVO_2024[[#All],[Mail ]],0,0)</f>
        <v>#NAME?</v>
      </c>
      <c r="AP92" s="147" t="e" cm="1">
        <f t="array" aca="1" ref="AP92" ca="1">_xlfn.XLOOKUP(Contrato5[[#This Row],[DOCUMENTO]],[2]!PERSONAL_ACTIVO_2024[[#All],[Documento identidad]],[2]!PERSONAL_ACTIVO_2024[[#All],[Mail ]],0,0)</f>
        <v>#NAME?</v>
      </c>
      <c r="AQ92" s="439" cm="1">
        <f t="array" aca="1" ref="AQ92" ca="1">IF(ISBLANK(Contrato5[[#This Row],[DEPENDENCIA ]]),0,IFERROR(_xlfn.XLOOKUP(Contrato5[[#This Row],[DEPENDENCIA ]],[2]!PERSONAL_ACTIVO_2024[[#All],[Dependencia]],[2]!PERSONAL_ACTIVO_2024[[#All],[Mail ]],0,0),0))</f>
        <v>0</v>
      </c>
    </row>
    <row r="93" spans="1:43" ht="34.5" customHeight="1">
      <c r="A93" s="125">
        <v>164</v>
      </c>
      <c r="B93" s="124">
        <v>68</v>
      </c>
      <c r="C93" s="162" t="s">
        <v>1587</v>
      </c>
      <c r="D93" s="227" t="s">
        <v>583</v>
      </c>
      <c r="E93" s="128" t="s">
        <v>94</v>
      </c>
      <c r="F93" s="163" t="s">
        <v>1376</v>
      </c>
      <c r="G93" s="190" t="s">
        <v>684</v>
      </c>
      <c r="H93" s="447">
        <v>1017210292</v>
      </c>
      <c r="I93" s="455">
        <v>3952382</v>
      </c>
      <c r="J93" s="456">
        <v>23714292</v>
      </c>
      <c r="K93" s="166" t="s">
        <v>42</v>
      </c>
      <c r="L93" s="438" t="s">
        <v>42</v>
      </c>
      <c r="M93" s="194" t="s">
        <v>592</v>
      </c>
      <c r="N93" s="177" t="e" cm="1">
        <f t="array" aca="1" ref="N93" ca="1">_xlfn.XLOOKUP(Contrato5[[#This Row],[SUPERVISOR TITULAR]],[2]!PERSONAL_ACTIVO_2024[[#All],[Nombre completo]],[2]!PERSONAL_ACTIVO_2024[[#All],[Documento identidad]],"",0)</f>
        <v>#NAME?</v>
      </c>
      <c r="O93" s="194" t="s">
        <v>600</v>
      </c>
      <c r="P93" s="196" t="e" cm="1">
        <f t="array" aca="1" ref="P93" ca="1">_xlfn.XLOOKUP(Contrato5[[#This Row],[SUPERVISOR SUPLENTE ]],[2]!PERSONAL_ACTIVO_2024[[#All],[Nombre completo]],[2]!PERSONAL_ACTIVO_2024[[#All],[Documento identidad]],"",0)</f>
        <v>#NAME?</v>
      </c>
      <c r="Q93" s="222">
        <v>93</v>
      </c>
      <c r="R93" s="137" t="e" cm="1">
        <f t="array" aca="1" ref="R93" ca="1">_xlfn.XLOOKUP(Contrato5[[#This Row],[CDP]],[2]!DISPONIBILIDADES_2024[[#All],[consecutivo]],[2]!DISPONIBILIDADES_2024[[#All],[fecha_aprobacion]],"",0)</f>
        <v>#NAME?</v>
      </c>
      <c r="S93" s="138" t="e">
        <f>SUMIF([2]!DISPONIBILIDADES_2024[[#All],[consecutivo]],Contrato5[[#This Row],[CDP]],[2]!DISPONIBILIDADES_2024[[#All],[valor_total_rubro]])</f>
        <v>#REF!</v>
      </c>
      <c r="T93" s="139" t="e" cm="1">
        <f t="array" aca="1" ref="T93" ca="1">_xlfn.XLOOKUP(Contrato5[[#This Row],[CONTRATO]]&amp;Contrato5[[#This Row],[CDP]],[2]!Corr_Contr_CDP[[#All],[CONTRATO-CDP]],[2]!Corr_Contr_CDP[[#All],[CRP]],_xlfn.XLOOKUP(Contrato5[[#This Row],[CDP]],[2]!COMPROMISOS_2024[[#All],[disponibilidad]],[2]!COMPROMISOS_2024[[#All],[consecutivo]],"",0),0)</f>
        <v>#NAME?</v>
      </c>
      <c r="U93" s="140" t="e" cm="1">
        <f t="array" aca="1" ref="U93" ca="1">+_xlfn.XLOOKUP(Contrato5[[#This Row],[RCP]],[2]!COMPROMISOS_2024[[#All],[consecutivo]],[2]!COMPROMISOS_2024[[#All],[fecha_aprobacion]],"",0)</f>
        <v>#NAME?</v>
      </c>
      <c r="V93" s="141" t="e">
        <f ca="1">SUMIF([2]!COMPROMISOS_2024[[#All],[consecutivo]],Contrato5[[#This Row],[RCP]],[2]!COMPROMISOS_2024[[#All],[valor_total]])</f>
        <v>#REF!</v>
      </c>
      <c r="W93" s="415">
        <v>45337</v>
      </c>
      <c r="X93" s="415">
        <v>45338</v>
      </c>
      <c r="Y93" s="143">
        <v>45338</v>
      </c>
      <c r="Z93" s="262">
        <v>45519</v>
      </c>
      <c r="AA93" s="183" t="s">
        <v>651</v>
      </c>
      <c r="AB93" s="223" t="s">
        <v>640</v>
      </c>
      <c r="AC93" s="223"/>
      <c r="AD93" s="211">
        <v>202000003641</v>
      </c>
      <c r="AE93" s="147" t="s">
        <v>523</v>
      </c>
      <c r="AF93" s="148" t="str">
        <f>TEXT(LEFT(Contrato5[[#This Row],[CONTRATO]],3),"0")</f>
        <v>68</v>
      </c>
      <c r="AG93" s="148" t="str">
        <f>IF(LEN(Contrato5[[#This Row],[Contrato2]])=3,Contrato5[[#This Row],[Contrato2]],TEXT(Contrato5[[#This Row],[Contrato2]],"000"))</f>
        <v>068</v>
      </c>
      <c r="AH93" s="149">
        <f ca="1">IFERROR(_xlfn.DAYS(Contrato5[[#This Row],[Fecha Proyectada liquidación]],TODAY())/30,"")</f>
        <v>-3.9666666666666668</v>
      </c>
      <c r="AI93" s="150">
        <f>+Contrato5[[#This Row],[FECHA TERMINACIÓN ]]+120</f>
        <v>45639</v>
      </c>
      <c r="AJ93" s="147"/>
      <c r="AK93" s="152" t="str">
        <f ca="1">IF(Contrato5[[#This Row],[FECHA TERMINACIÓN ]]&lt;TODAY(), "Terminado",IF(ISNUMBER(Contrato5[[#This Row],[Fecha Real de liquiidación ]]),"Liquidado",IF(Contrato5[[#This Row],[FECHA TERMINACIÓN ]]&gt;=TODAY(),"En ejecución","")))</f>
        <v>Terminado</v>
      </c>
      <c r="AL93" s="153" t="e">
        <f ca="1">SUMIF([2]!COMPROMISOS_2024[[#All],[consecutivo]],Contrato5[[#This Row],[RCP]],[2]!COMPROMISOS_2024[[#All],[Total pagado]])</f>
        <v>#REF!</v>
      </c>
      <c r="AM93" s="154">
        <f ca="1">IFERROR(Contrato5[[#This Row],[Pagos]]/Contrato5[[#This Row],[VALOR CONTRATO]],0)</f>
        <v>0</v>
      </c>
      <c r="AN93" s="198" t="e">
        <f ca="1">+Contrato5[[#This Row],[VALOR CONTRATO]]-Contrato5[[#This Row],[Pagos]]</f>
        <v>#REF!</v>
      </c>
      <c r="AO93" s="147" t="e" cm="1">
        <f t="array" aca="1" ref="AO93" ca="1">_xlfn.XLOOKUP(Contrato5[[#This Row],[DOCUMENTO ]],[2]!PERSONAL_ACTIVO_2024[[#All],[Documento identidad]],[2]!PERSONAL_ACTIVO_2024[[#All],[Mail ]],0,0)</f>
        <v>#NAME?</v>
      </c>
      <c r="AP93" s="147" t="e" cm="1">
        <f t="array" aca="1" ref="AP93" ca="1">_xlfn.XLOOKUP(Contrato5[[#This Row],[DOCUMENTO]],[2]!PERSONAL_ACTIVO_2024[[#All],[Documento identidad]],[2]!PERSONAL_ACTIVO_2024[[#All],[Mail ]],0,0)</f>
        <v>#NAME?</v>
      </c>
      <c r="AQ93" s="439" cm="1">
        <f t="array" aca="1" ref="AQ93" ca="1">IF(ISBLANK(Contrato5[[#This Row],[DEPENDENCIA ]]),0,IFERROR(_xlfn.XLOOKUP(Contrato5[[#This Row],[DEPENDENCIA ]],[2]!PERSONAL_ACTIVO_2024[[#All],[Dependencia]],[2]!PERSONAL_ACTIVO_2024[[#All],[Mail ]],0,0),0))</f>
        <v>0</v>
      </c>
    </row>
    <row r="94" spans="1:43" ht="34.5" customHeight="1">
      <c r="A94" s="125">
        <v>166</v>
      </c>
      <c r="B94" s="124">
        <v>69</v>
      </c>
      <c r="C94" s="162" t="s">
        <v>1590</v>
      </c>
      <c r="D94" s="227" t="s">
        <v>583</v>
      </c>
      <c r="E94" s="128" t="s">
        <v>94</v>
      </c>
      <c r="F94" s="163" t="s">
        <v>1376</v>
      </c>
      <c r="G94" s="190" t="s">
        <v>685</v>
      </c>
      <c r="H94" s="447">
        <v>1036397644</v>
      </c>
      <c r="I94" s="455">
        <v>5931149</v>
      </c>
      <c r="J94" s="456">
        <v>20759022</v>
      </c>
      <c r="K94" s="166" t="s">
        <v>42</v>
      </c>
      <c r="L94" s="438" t="s">
        <v>42</v>
      </c>
      <c r="M94" s="194" t="s">
        <v>592</v>
      </c>
      <c r="N94" s="177" t="e" cm="1">
        <f t="array" aca="1" ref="N94" ca="1">_xlfn.XLOOKUP(Contrato5[[#This Row],[SUPERVISOR TITULAR]],[2]!PERSONAL_ACTIVO_2024[[#All],[Nombre completo]],[2]!PERSONAL_ACTIVO_2024[[#All],[Documento identidad]],"",0)</f>
        <v>#NAME?</v>
      </c>
      <c r="O94" s="194" t="s">
        <v>600</v>
      </c>
      <c r="P94" s="196" t="e" cm="1">
        <f t="array" aca="1" ref="P94" ca="1">_xlfn.XLOOKUP(Contrato5[[#This Row],[SUPERVISOR SUPLENTE ]],[2]!PERSONAL_ACTIVO_2024[[#All],[Nombre completo]],[2]!PERSONAL_ACTIVO_2024[[#All],[Documento identidad]],"",0)</f>
        <v>#NAME?</v>
      </c>
      <c r="Q94" s="208">
        <v>95</v>
      </c>
      <c r="R94" s="137" t="e" cm="1">
        <f t="array" aca="1" ref="R94" ca="1">_xlfn.XLOOKUP(Contrato5[[#This Row],[CDP]],[2]!DISPONIBILIDADES_2024[[#All],[consecutivo]],[2]!DISPONIBILIDADES_2024[[#All],[fecha_aprobacion]],"",0)</f>
        <v>#NAME?</v>
      </c>
      <c r="S94" s="138" t="e">
        <f>SUMIF([2]!DISPONIBILIDADES_2024[[#All],[consecutivo]],Contrato5[[#This Row],[CDP]],[2]!DISPONIBILIDADES_2024[[#All],[valor_total_rubro]])</f>
        <v>#REF!</v>
      </c>
      <c r="T94" s="139" t="e" cm="1">
        <f t="array" aca="1" ref="T94" ca="1">_xlfn.XLOOKUP(Contrato5[[#This Row],[CONTRATO]]&amp;Contrato5[[#This Row],[CDP]],[2]!Corr_Contr_CDP[[#All],[CONTRATO-CDP]],[2]!Corr_Contr_CDP[[#All],[CRP]],_xlfn.XLOOKUP(Contrato5[[#This Row],[CDP]],[2]!COMPROMISOS_2024[[#All],[disponibilidad]],[2]!COMPROMISOS_2024[[#All],[consecutivo]],"",0),0)</f>
        <v>#NAME?</v>
      </c>
      <c r="U94" s="140" t="e" cm="1">
        <f t="array" aca="1" ref="U94" ca="1">+_xlfn.XLOOKUP(Contrato5[[#This Row],[RCP]],[2]!COMPROMISOS_2024[[#All],[consecutivo]],[2]!COMPROMISOS_2024[[#All],[fecha_aprobacion]],"",0)</f>
        <v>#NAME?</v>
      </c>
      <c r="V94" s="141" t="e">
        <f ca="1">SUMIF([2]!COMPROMISOS_2024[[#All],[consecutivo]],Contrato5[[#This Row],[RCP]],[2]!COMPROMISOS_2024[[#All],[valor_total]])</f>
        <v>#REF!</v>
      </c>
      <c r="W94" s="415">
        <v>45336</v>
      </c>
      <c r="X94" s="415">
        <v>45338</v>
      </c>
      <c r="Y94" s="143">
        <v>45338</v>
      </c>
      <c r="Z94" s="262">
        <v>45519</v>
      </c>
      <c r="AA94" s="183" t="s">
        <v>651</v>
      </c>
      <c r="AB94" s="161" t="s">
        <v>686</v>
      </c>
      <c r="AC94" s="161"/>
      <c r="AD94" s="211">
        <v>202000003642</v>
      </c>
      <c r="AE94" s="147" t="s">
        <v>523</v>
      </c>
      <c r="AF94" s="148" t="str">
        <f>TEXT(LEFT(Contrato5[[#This Row],[CONTRATO]],3),"0")</f>
        <v>69</v>
      </c>
      <c r="AG94" s="148" t="str">
        <f>IF(LEN(Contrato5[[#This Row],[Contrato2]])=3,Contrato5[[#This Row],[Contrato2]],TEXT(Contrato5[[#This Row],[Contrato2]],"000"))</f>
        <v>069</v>
      </c>
      <c r="AH94" s="149">
        <f ca="1">IFERROR(_xlfn.DAYS(Contrato5[[#This Row],[Fecha Proyectada liquidación]],TODAY())/30,"")</f>
        <v>-3.9666666666666668</v>
      </c>
      <c r="AI94" s="150">
        <f>+Contrato5[[#This Row],[FECHA TERMINACIÓN ]]+120</f>
        <v>45639</v>
      </c>
      <c r="AJ94" s="147"/>
      <c r="AK94" s="152" t="str">
        <f ca="1">IF(Contrato5[[#This Row],[FECHA TERMINACIÓN ]]&lt;TODAY(), "Terminado",IF(ISNUMBER(Contrato5[[#This Row],[Fecha Real de liquiidación ]]),"Liquidado",IF(Contrato5[[#This Row],[FECHA TERMINACIÓN ]]&gt;=TODAY(),"En ejecución","")))</f>
        <v>Terminado</v>
      </c>
      <c r="AL94" s="153" t="e">
        <f ca="1">SUMIF([2]!COMPROMISOS_2024[[#All],[consecutivo]],Contrato5[[#This Row],[RCP]],[2]!COMPROMISOS_2024[[#All],[Total pagado]])</f>
        <v>#REF!</v>
      </c>
      <c r="AM94" s="154">
        <f ca="1">IFERROR(Contrato5[[#This Row],[Pagos]]/Contrato5[[#This Row],[VALOR CONTRATO]],0)</f>
        <v>0</v>
      </c>
      <c r="AN94" s="198" t="e">
        <f ca="1">+Contrato5[[#This Row],[VALOR CONTRATO]]-Contrato5[[#This Row],[Pagos]]</f>
        <v>#REF!</v>
      </c>
      <c r="AO94" s="147" t="e" cm="1">
        <f t="array" aca="1" ref="AO94" ca="1">_xlfn.XLOOKUP(Contrato5[[#This Row],[DOCUMENTO ]],[2]!PERSONAL_ACTIVO_2024[[#All],[Documento identidad]],[2]!PERSONAL_ACTIVO_2024[[#All],[Mail ]],0,0)</f>
        <v>#NAME?</v>
      </c>
      <c r="AP94" s="147" t="e" cm="1">
        <f t="array" aca="1" ref="AP94" ca="1">_xlfn.XLOOKUP(Contrato5[[#This Row],[DOCUMENTO]],[2]!PERSONAL_ACTIVO_2024[[#All],[Documento identidad]],[2]!PERSONAL_ACTIVO_2024[[#All],[Mail ]],0,0)</f>
        <v>#NAME?</v>
      </c>
      <c r="AQ94" s="439" cm="1">
        <f t="array" aca="1" ref="AQ94" ca="1">IF(ISBLANK(Contrato5[[#This Row],[DEPENDENCIA ]]),0,IFERROR(_xlfn.XLOOKUP(Contrato5[[#This Row],[DEPENDENCIA ]],[2]!PERSONAL_ACTIVO_2024[[#All],[Dependencia]],[2]!PERSONAL_ACTIVO_2024[[#All],[Mail ]],0,0),0))</f>
        <v>0</v>
      </c>
    </row>
    <row r="95" spans="1:43" ht="34.5" customHeight="1">
      <c r="A95" s="147" t="s">
        <v>1589</v>
      </c>
      <c r="B95" s="124" t="s">
        <v>2516</v>
      </c>
      <c r="C95" s="162" t="s">
        <v>1590</v>
      </c>
      <c r="D95" s="227" t="s">
        <v>583</v>
      </c>
      <c r="E95" s="128" t="s">
        <v>94</v>
      </c>
      <c r="F95" s="163" t="s">
        <v>1376</v>
      </c>
      <c r="G95" s="190" t="s">
        <v>687</v>
      </c>
      <c r="H95" s="447">
        <v>71773738</v>
      </c>
      <c r="I95" s="455">
        <v>5931149</v>
      </c>
      <c r="J95" s="456">
        <v>14827872</v>
      </c>
      <c r="K95" s="202" t="s">
        <v>688</v>
      </c>
      <c r="L95" s="438" t="s">
        <v>689</v>
      </c>
      <c r="M95" s="194" t="s">
        <v>592</v>
      </c>
      <c r="N95" s="195" t="e" cm="1">
        <f t="array" aca="1" ref="N95" ca="1">_xlfn.XLOOKUP(Contrato5[[#This Row],[SUPERVISOR TITULAR]],[2]!PERSONAL_ACTIVO_2024[[#All],[Nombre completo]],[2]!PERSONAL_ACTIVO_2024[[#All],[Documento identidad]],"",0)</f>
        <v>#NAME?</v>
      </c>
      <c r="O95" s="194" t="s">
        <v>600</v>
      </c>
      <c r="P95" s="135" t="e" cm="1">
        <f t="array" aca="1" ref="P95" ca="1">_xlfn.XLOOKUP(Contrato5[[#This Row],[SUPERVISOR SUPLENTE ]],[2]!PERSONAL_ACTIVO_2024[[#All],[Nombre completo]],[2]!PERSONAL_ACTIVO_2024[[#All],[Documento identidad]],"",0)</f>
        <v>#NAME?</v>
      </c>
      <c r="Q95" s="208">
        <v>95</v>
      </c>
      <c r="R95" s="137" t="e" cm="1">
        <f t="array" aca="1" ref="R95" ca="1">_xlfn.XLOOKUP(Contrato5[[#This Row],[CDP]],[2]!DISPONIBILIDADES_2024[[#All],[consecutivo]],[2]!DISPONIBILIDADES_2024[[#All],[fecha_aprobacion]],"",0)</f>
        <v>#NAME?</v>
      </c>
      <c r="S95" s="138" t="e">
        <f>SUMIF([2]!DISPONIBILIDADES_2024[[#All],[consecutivo]],Contrato5[[#This Row],[CDP]],[2]!DISPONIBILIDADES_2024[[#All],[valor_total_rubro]])</f>
        <v>#REF!</v>
      </c>
      <c r="T95" s="139" t="e" cm="1">
        <f t="array" aca="1" ref="T95" ca="1">_xlfn.XLOOKUP(Contrato5[[#This Row],[CONTRATO]]&amp;Contrato5[[#This Row],[CDP]],[2]!Corr_Contr_CDP[[#All],[CONTRATO-CDP]],[2]!Corr_Contr_CDP[[#All],[CRP]],_xlfn.XLOOKUP(Contrato5[[#This Row],[CDP]],[2]!COMPROMISOS_2024[[#All],[disponibilidad]],[2]!COMPROMISOS_2024[[#All],[consecutivo]],"",0),0)</f>
        <v>#NAME?</v>
      </c>
      <c r="U95" s="140" t="e" cm="1">
        <f t="array" aca="1" ref="U95" ca="1">+_xlfn.XLOOKUP(Contrato5[[#This Row],[RCP]],[2]!COMPROMISOS_2024[[#All],[consecutivo]],[2]!COMPROMISOS_2024[[#All],[fecha_aprobacion]],"",0)</f>
        <v>#NAME?</v>
      </c>
      <c r="V95" s="141" t="e">
        <f ca="1">SUMIF([2]!COMPROMISOS_2024[[#All],[consecutivo]],Contrato5[[#This Row],[RCP]],[2]!COMPROMISOS_2024[[#All],[valor_total]])</f>
        <v>#REF!</v>
      </c>
      <c r="W95" s="415">
        <v>45442</v>
      </c>
      <c r="X95" s="415" t="s">
        <v>1045</v>
      </c>
      <c r="Y95" s="143">
        <v>45338</v>
      </c>
      <c r="Z95" s="262">
        <v>45519</v>
      </c>
      <c r="AA95" s="225"/>
      <c r="AB95" s="226" t="s">
        <v>690</v>
      </c>
      <c r="AC95" s="187"/>
      <c r="AD95" s="211"/>
      <c r="AE95" s="147"/>
      <c r="AF95" s="148" t="str">
        <f>TEXT(LEFT(Contrato5[[#This Row],[CONTRATO]],3),"0")</f>
        <v>69A</v>
      </c>
      <c r="AG95" s="148" t="str">
        <f>IF(LEN(Contrato5[[#This Row],[Contrato2]])=3,Contrato5[[#This Row],[Contrato2]],TEXT(Contrato5[[#This Row],[Contrato2]],"000"))</f>
        <v>69A</v>
      </c>
      <c r="AH95" s="149">
        <f ca="1">IFERROR(_xlfn.DAYS(Contrato5[[#This Row],[Fecha Proyectada liquidación]],TODAY())/30,"")</f>
        <v>-3.9666666666666668</v>
      </c>
      <c r="AI95" s="150">
        <f>+Contrato5[[#This Row],[FECHA TERMINACIÓN ]]+120</f>
        <v>45639</v>
      </c>
      <c r="AJ95" s="147"/>
      <c r="AK95" s="152" t="str">
        <f ca="1">IF(Contrato5[[#This Row],[FECHA TERMINACIÓN ]]&lt;TODAY(), "Terminado",IF(ISNUMBER(Contrato5[[#This Row],[Fecha Real de liquiidación ]]),"Liquidado",IF(Contrato5[[#This Row],[FECHA TERMINACIÓN ]]&gt;=TODAY(),"En ejecución","")))</f>
        <v>Terminado</v>
      </c>
      <c r="AL95" s="153" t="e">
        <f ca="1">SUMIF([2]!COMPROMISOS_2024[[#All],[consecutivo]],Contrato5[[#This Row],[RCP]],[2]!COMPROMISOS_2024[[#All],[Total pagado]])</f>
        <v>#REF!</v>
      </c>
      <c r="AM95" s="154">
        <f ca="1">IFERROR(Contrato5[[#This Row],[Pagos]]/Contrato5[[#This Row],[VALOR CONTRATO]],0)</f>
        <v>0</v>
      </c>
      <c r="AN95" s="198" t="e">
        <f ca="1">+Contrato5[[#This Row],[VALOR CONTRATO]]-Contrato5[[#This Row],[Pagos]]</f>
        <v>#REF!</v>
      </c>
      <c r="AO95" s="147" t="e" cm="1">
        <f t="array" aca="1" ref="AO95" ca="1">_xlfn.XLOOKUP(Contrato5[[#This Row],[DOCUMENTO ]],[2]!PERSONAL_ACTIVO_2024[[#All],[Documento identidad]],[2]!PERSONAL_ACTIVO_2024[[#All],[Mail ]],0,0)</f>
        <v>#NAME?</v>
      </c>
      <c r="AP95" s="147" t="e" cm="1">
        <f t="array" aca="1" ref="AP95" ca="1">_xlfn.XLOOKUP(Contrato5[[#This Row],[DOCUMENTO]],[2]!PERSONAL_ACTIVO_2024[[#All],[Documento identidad]],[2]!PERSONAL_ACTIVO_2024[[#All],[Mail ]],0,0)</f>
        <v>#NAME?</v>
      </c>
      <c r="AQ95" s="439" cm="1">
        <f t="array" aca="1" ref="AQ95" ca="1">IF(ISBLANK(Contrato5[[#This Row],[DEPENDENCIA ]]),0,IFERROR(_xlfn.XLOOKUP(Contrato5[[#This Row],[DEPENDENCIA ]],[2]!PERSONAL_ACTIVO_2024[[#All],[Dependencia]],[2]!PERSONAL_ACTIVO_2024[[#All],[Mail ]],0,0),0))</f>
        <v>0</v>
      </c>
    </row>
    <row r="96" spans="1:43" ht="34.5" customHeight="1">
      <c r="A96" s="125">
        <v>167</v>
      </c>
      <c r="B96" s="124">
        <v>70</v>
      </c>
      <c r="C96" s="162" t="s">
        <v>2517</v>
      </c>
      <c r="D96" s="227" t="s">
        <v>583</v>
      </c>
      <c r="E96" s="128" t="s">
        <v>94</v>
      </c>
      <c r="F96" s="163" t="s">
        <v>1376</v>
      </c>
      <c r="G96" s="190" t="s">
        <v>691</v>
      </c>
      <c r="H96" s="447">
        <v>1017274008</v>
      </c>
      <c r="I96" s="455">
        <v>2574842</v>
      </c>
      <c r="J96" s="456">
        <v>15449052</v>
      </c>
      <c r="K96" s="166" t="s">
        <v>42</v>
      </c>
      <c r="L96" s="438" t="s">
        <v>42</v>
      </c>
      <c r="M96" s="194" t="s">
        <v>592</v>
      </c>
      <c r="N96" s="177" t="e" cm="1">
        <f t="array" aca="1" ref="N96" ca="1">_xlfn.XLOOKUP(Contrato5[[#This Row],[SUPERVISOR TITULAR]],[2]!PERSONAL_ACTIVO_2024[[#All],[Nombre completo]],[2]!PERSONAL_ACTIVO_2024[[#All],[Documento identidad]],"",0)</f>
        <v>#NAME?</v>
      </c>
      <c r="O96" s="194" t="s">
        <v>600</v>
      </c>
      <c r="P96" s="196" t="e" cm="1">
        <f t="array" aca="1" ref="P96" ca="1">_xlfn.XLOOKUP(Contrato5[[#This Row],[SUPERVISOR SUPLENTE ]],[2]!PERSONAL_ACTIVO_2024[[#All],[Nombre completo]],[2]!PERSONAL_ACTIVO_2024[[#All],[Documento identidad]],"",0)</f>
        <v>#NAME?</v>
      </c>
      <c r="Q96" s="208">
        <v>96</v>
      </c>
      <c r="R96" s="137" t="e" cm="1">
        <f t="array" aca="1" ref="R96" ca="1">_xlfn.XLOOKUP(Contrato5[[#This Row],[CDP]],[2]!DISPONIBILIDADES_2024[[#All],[consecutivo]],[2]!DISPONIBILIDADES_2024[[#All],[fecha_aprobacion]],"",0)</f>
        <v>#NAME?</v>
      </c>
      <c r="S96" s="138" t="e">
        <f>SUMIF([2]!DISPONIBILIDADES_2024[[#All],[consecutivo]],Contrato5[[#This Row],[CDP]],[2]!DISPONIBILIDADES_2024[[#All],[valor_total_rubro]])</f>
        <v>#REF!</v>
      </c>
      <c r="T96" s="139" t="e" cm="1">
        <f t="array" aca="1" ref="T96" ca="1">_xlfn.XLOOKUP(Contrato5[[#This Row],[CONTRATO]]&amp;Contrato5[[#This Row],[CDP]],[2]!Corr_Contr_CDP[[#All],[CONTRATO-CDP]],[2]!Corr_Contr_CDP[[#All],[CRP]],_xlfn.XLOOKUP(Contrato5[[#This Row],[CDP]],[2]!COMPROMISOS_2024[[#All],[disponibilidad]],[2]!COMPROMISOS_2024[[#All],[consecutivo]],"",0),0)</f>
        <v>#NAME?</v>
      </c>
      <c r="U96" s="140" t="e" cm="1">
        <f t="array" aca="1" ref="U96" ca="1">+_xlfn.XLOOKUP(Contrato5[[#This Row],[RCP]],[2]!COMPROMISOS_2024[[#All],[consecutivo]],[2]!COMPROMISOS_2024[[#All],[fecha_aprobacion]],"",0)</f>
        <v>#NAME?</v>
      </c>
      <c r="V96" s="141" t="e">
        <f ca="1">SUMIF([2]!COMPROMISOS_2024[[#All],[consecutivo]],Contrato5[[#This Row],[RCP]],[2]!COMPROMISOS_2024[[#All],[valor_total]])</f>
        <v>#REF!</v>
      </c>
      <c r="W96" s="415">
        <v>45336</v>
      </c>
      <c r="X96" s="415">
        <v>45337</v>
      </c>
      <c r="Y96" s="143">
        <v>45338</v>
      </c>
      <c r="Z96" s="262">
        <v>45519</v>
      </c>
      <c r="AA96" s="171" t="s">
        <v>653</v>
      </c>
      <c r="AB96" s="161" t="s">
        <v>640</v>
      </c>
      <c r="AC96" s="161"/>
      <c r="AD96" s="211">
        <v>202000003643</v>
      </c>
      <c r="AE96" s="147" t="s">
        <v>523</v>
      </c>
      <c r="AF96" s="148" t="str">
        <f>TEXT(LEFT(Contrato5[[#This Row],[CONTRATO]],3),"0")</f>
        <v>70</v>
      </c>
      <c r="AG96" s="148" t="str">
        <f>IF(LEN(Contrato5[[#This Row],[Contrato2]])=3,Contrato5[[#This Row],[Contrato2]],TEXT(Contrato5[[#This Row],[Contrato2]],"000"))</f>
        <v>070</v>
      </c>
      <c r="AH96" s="149">
        <f ca="1">IFERROR(_xlfn.DAYS(Contrato5[[#This Row],[Fecha Proyectada liquidación]],TODAY())/30,"")</f>
        <v>-3.9666666666666668</v>
      </c>
      <c r="AI96" s="150">
        <f>+Contrato5[[#This Row],[FECHA TERMINACIÓN ]]+120</f>
        <v>45639</v>
      </c>
      <c r="AJ96" s="147"/>
      <c r="AK96" s="152" t="str">
        <f ca="1">IF(Contrato5[[#This Row],[FECHA TERMINACIÓN ]]&lt;TODAY(), "Terminado",IF(ISNUMBER(Contrato5[[#This Row],[Fecha Real de liquiidación ]]),"Liquidado",IF(Contrato5[[#This Row],[FECHA TERMINACIÓN ]]&gt;=TODAY(),"En ejecución","")))</f>
        <v>Terminado</v>
      </c>
      <c r="AL96" s="153" t="e">
        <f ca="1">SUMIF([2]!COMPROMISOS_2024[[#All],[consecutivo]],Contrato5[[#This Row],[RCP]],[2]!COMPROMISOS_2024[[#All],[Total pagado]])</f>
        <v>#REF!</v>
      </c>
      <c r="AM96" s="154">
        <f ca="1">IFERROR(Contrato5[[#This Row],[Pagos]]/Contrato5[[#This Row],[VALOR CONTRATO]],0)</f>
        <v>0</v>
      </c>
      <c r="AN96" s="198" t="e">
        <f ca="1">+Contrato5[[#This Row],[VALOR CONTRATO]]-Contrato5[[#This Row],[Pagos]]</f>
        <v>#REF!</v>
      </c>
      <c r="AO96" s="147" t="e" cm="1">
        <f t="array" aca="1" ref="AO96" ca="1">_xlfn.XLOOKUP(Contrato5[[#This Row],[DOCUMENTO ]],[2]!PERSONAL_ACTIVO_2024[[#All],[Documento identidad]],[2]!PERSONAL_ACTIVO_2024[[#All],[Mail ]],0,0)</f>
        <v>#NAME?</v>
      </c>
      <c r="AP96" s="147" t="e" cm="1">
        <f t="array" aca="1" ref="AP96" ca="1">_xlfn.XLOOKUP(Contrato5[[#This Row],[DOCUMENTO]],[2]!PERSONAL_ACTIVO_2024[[#All],[Documento identidad]],[2]!PERSONAL_ACTIVO_2024[[#All],[Mail ]],0,0)</f>
        <v>#NAME?</v>
      </c>
      <c r="AQ96" s="439" cm="1">
        <f t="array" aca="1" ref="AQ96" ca="1">IF(ISBLANK(Contrato5[[#This Row],[DEPENDENCIA ]]),0,IFERROR(_xlfn.XLOOKUP(Contrato5[[#This Row],[DEPENDENCIA ]],[2]!PERSONAL_ACTIVO_2024[[#All],[Dependencia]],[2]!PERSONAL_ACTIVO_2024[[#All],[Mail ]],0,0),0))</f>
        <v>0</v>
      </c>
    </row>
    <row r="97" spans="1:43" ht="34.5" customHeight="1">
      <c r="A97" s="125">
        <v>168</v>
      </c>
      <c r="B97" s="124">
        <v>71</v>
      </c>
      <c r="C97" s="162" t="s">
        <v>1592</v>
      </c>
      <c r="D97" s="227" t="s">
        <v>583</v>
      </c>
      <c r="E97" s="128" t="s">
        <v>94</v>
      </c>
      <c r="F97" s="163" t="s">
        <v>1376</v>
      </c>
      <c r="G97" s="190" t="s">
        <v>692</v>
      </c>
      <c r="H97" s="447">
        <v>1056308283</v>
      </c>
      <c r="I97" s="455">
        <v>2574842</v>
      </c>
      <c r="J97" s="456">
        <v>15449052</v>
      </c>
      <c r="K97" s="166" t="s">
        <v>42</v>
      </c>
      <c r="L97" s="438" t="s">
        <v>42</v>
      </c>
      <c r="M97" s="194" t="s">
        <v>592</v>
      </c>
      <c r="N97" s="177" t="e" cm="1">
        <f t="array" aca="1" ref="N97" ca="1">_xlfn.XLOOKUP(Contrato5[[#This Row],[SUPERVISOR TITULAR]],[2]!PERSONAL_ACTIVO_2024[[#All],[Nombre completo]],[2]!PERSONAL_ACTIVO_2024[[#All],[Documento identidad]],"",0)</f>
        <v>#NAME?</v>
      </c>
      <c r="O97" s="194" t="s">
        <v>600</v>
      </c>
      <c r="P97" s="196" t="e" cm="1">
        <f t="array" aca="1" ref="P97" ca="1">_xlfn.XLOOKUP(Contrato5[[#This Row],[SUPERVISOR SUPLENTE ]],[2]!PERSONAL_ACTIVO_2024[[#All],[Nombre completo]],[2]!PERSONAL_ACTIVO_2024[[#All],[Documento identidad]],"",0)</f>
        <v>#NAME?</v>
      </c>
      <c r="Q97" s="208">
        <v>97</v>
      </c>
      <c r="R97" s="137" t="e" cm="1">
        <f t="array" aca="1" ref="R97" ca="1">_xlfn.XLOOKUP(Contrato5[[#This Row],[CDP]],[2]!DISPONIBILIDADES_2024[[#All],[consecutivo]],[2]!DISPONIBILIDADES_2024[[#All],[fecha_aprobacion]],"",0)</f>
        <v>#NAME?</v>
      </c>
      <c r="S97" s="138" t="e">
        <f>SUMIF([2]!DISPONIBILIDADES_2024[[#All],[consecutivo]],Contrato5[[#This Row],[CDP]],[2]!DISPONIBILIDADES_2024[[#All],[valor_total_rubro]])</f>
        <v>#REF!</v>
      </c>
      <c r="T97" s="139" t="e" cm="1">
        <f t="array" aca="1" ref="T97" ca="1">_xlfn.XLOOKUP(Contrato5[[#This Row],[CONTRATO]]&amp;Contrato5[[#This Row],[CDP]],[2]!Corr_Contr_CDP[[#All],[CONTRATO-CDP]],[2]!Corr_Contr_CDP[[#All],[CRP]],_xlfn.XLOOKUP(Contrato5[[#This Row],[CDP]],[2]!COMPROMISOS_2024[[#All],[disponibilidad]],[2]!COMPROMISOS_2024[[#All],[consecutivo]],"",0),0)</f>
        <v>#NAME?</v>
      </c>
      <c r="U97" s="140" t="e" cm="1">
        <f t="array" aca="1" ref="U97" ca="1">+_xlfn.XLOOKUP(Contrato5[[#This Row],[RCP]],[2]!COMPROMISOS_2024[[#All],[consecutivo]],[2]!COMPROMISOS_2024[[#All],[fecha_aprobacion]],"",0)</f>
        <v>#NAME?</v>
      </c>
      <c r="V97" s="141" t="e">
        <f ca="1">SUMIF([2]!COMPROMISOS_2024[[#All],[consecutivo]],Contrato5[[#This Row],[RCP]],[2]!COMPROMISOS_2024[[#All],[valor_total]])</f>
        <v>#REF!</v>
      </c>
      <c r="W97" s="415">
        <v>45336</v>
      </c>
      <c r="X97" s="415">
        <v>45338</v>
      </c>
      <c r="Y97" s="143">
        <v>45338</v>
      </c>
      <c r="Z97" s="262">
        <v>45519</v>
      </c>
      <c r="AA97" s="171" t="s">
        <v>653</v>
      </c>
      <c r="AB97" s="161" t="s">
        <v>640</v>
      </c>
      <c r="AC97" s="161"/>
      <c r="AD97" s="211">
        <v>202000003644</v>
      </c>
      <c r="AE97" s="147" t="s">
        <v>523</v>
      </c>
      <c r="AF97" s="148" t="str">
        <f>TEXT(LEFT(Contrato5[[#This Row],[CONTRATO]],3),"0")</f>
        <v>71</v>
      </c>
      <c r="AG97" s="148" t="str">
        <f>IF(LEN(Contrato5[[#This Row],[Contrato2]])=3,Contrato5[[#This Row],[Contrato2]],TEXT(Contrato5[[#This Row],[Contrato2]],"000"))</f>
        <v>071</v>
      </c>
      <c r="AH97" s="149">
        <f ca="1">IFERROR(_xlfn.DAYS(Contrato5[[#This Row],[Fecha Proyectada liquidación]],TODAY())/30,"")</f>
        <v>-3.9666666666666668</v>
      </c>
      <c r="AI97" s="150">
        <f>+Contrato5[[#This Row],[FECHA TERMINACIÓN ]]+120</f>
        <v>45639</v>
      </c>
      <c r="AJ97" s="147"/>
      <c r="AK97" s="152" t="str">
        <f ca="1">IF(Contrato5[[#This Row],[FECHA TERMINACIÓN ]]&lt;TODAY(), "Terminado",IF(ISNUMBER(Contrato5[[#This Row],[Fecha Real de liquiidación ]]),"Liquidado",IF(Contrato5[[#This Row],[FECHA TERMINACIÓN ]]&gt;=TODAY(),"En ejecución","")))</f>
        <v>Terminado</v>
      </c>
      <c r="AL97" s="153" t="e">
        <f ca="1">SUMIF([2]!COMPROMISOS_2024[[#All],[consecutivo]],Contrato5[[#This Row],[RCP]],[2]!COMPROMISOS_2024[[#All],[Total pagado]])</f>
        <v>#REF!</v>
      </c>
      <c r="AM97" s="154">
        <f ca="1">IFERROR(Contrato5[[#This Row],[Pagos]]/Contrato5[[#This Row],[VALOR CONTRATO]],0)</f>
        <v>0</v>
      </c>
      <c r="AN97" s="198" t="e">
        <f ca="1">+Contrato5[[#This Row],[VALOR CONTRATO]]-Contrato5[[#This Row],[Pagos]]</f>
        <v>#REF!</v>
      </c>
      <c r="AO97" s="147" t="e" cm="1">
        <f t="array" aca="1" ref="AO97" ca="1">_xlfn.XLOOKUP(Contrato5[[#This Row],[DOCUMENTO ]],[2]!PERSONAL_ACTIVO_2024[[#All],[Documento identidad]],[2]!PERSONAL_ACTIVO_2024[[#All],[Mail ]],0,0)</f>
        <v>#NAME?</v>
      </c>
      <c r="AP97" s="147" t="e" cm="1">
        <f t="array" aca="1" ref="AP97" ca="1">_xlfn.XLOOKUP(Contrato5[[#This Row],[DOCUMENTO]],[2]!PERSONAL_ACTIVO_2024[[#All],[Documento identidad]],[2]!PERSONAL_ACTIVO_2024[[#All],[Mail ]],0,0)</f>
        <v>#NAME?</v>
      </c>
      <c r="AQ97" s="439" cm="1">
        <f t="array" aca="1" ref="AQ97" ca="1">IF(ISBLANK(Contrato5[[#This Row],[DEPENDENCIA ]]),0,IFERROR(_xlfn.XLOOKUP(Contrato5[[#This Row],[DEPENDENCIA ]],[2]!PERSONAL_ACTIVO_2024[[#All],[Dependencia]],[2]!PERSONAL_ACTIVO_2024[[#All],[Mail ]],0,0),0))</f>
        <v>0</v>
      </c>
    </row>
    <row r="98" spans="1:43" ht="34.5" customHeight="1">
      <c r="A98" s="125">
        <v>169</v>
      </c>
      <c r="B98" s="124">
        <v>72</v>
      </c>
      <c r="C98" s="162" t="s">
        <v>1593</v>
      </c>
      <c r="D98" s="227" t="s">
        <v>583</v>
      </c>
      <c r="E98" s="128" t="s">
        <v>94</v>
      </c>
      <c r="F98" s="163" t="s">
        <v>1376</v>
      </c>
      <c r="G98" s="190" t="s">
        <v>693</v>
      </c>
      <c r="H98" s="447">
        <v>1020470234</v>
      </c>
      <c r="I98" s="455">
        <v>4908936</v>
      </c>
      <c r="J98" s="456">
        <v>29453616</v>
      </c>
      <c r="K98" s="166" t="s">
        <v>42</v>
      </c>
      <c r="L98" s="438" t="s">
        <v>42</v>
      </c>
      <c r="M98" s="194" t="s">
        <v>592</v>
      </c>
      <c r="N98" s="177" t="e" cm="1">
        <f t="array" aca="1" ref="N98" ca="1">_xlfn.XLOOKUP(Contrato5[[#This Row],[SUPERVISOR TITULAR]],[2]!PERSONAL_ACTIVO_2024[[#All],[Nombre completo]],[2]!PERSONAL_ACTIVO_2024[[#All],[Documento identidad]],"",0)</f>
        <v>#NAME?</v>
      </c>
      <c r="O98" s="194" t="s">
        <v>600</v>
      </c>
      <c r="P98" s="196" t="e" cm="1">
        <f t="array" aca="1" ref="P98" ca="1">_xlfn.XLOOKUP(Contrato5[[#This Row],[SUPERVISOR SUPLENTE ]],[2]!PERSONAL_ACTIVO_2024[[#All],[Nombre completo]],[2]!PERSONAL_ACTIVO_2024[[#All],[Documento identidad]],"",0)</f>
        <v>#NAME?</v>
      </c>
      <c r="Q98" s="208">
        <v>98</v>
      </c>
      <c r="R98" s="137" t="e" cm="1">
        <f t="array" aca="1" ref="R98" ca="1">_xlfn.XLOOKUP(Contrato5[[#This Row],[CDP]],[2]!DISPONIBILIDADES_2024[[#All],[consecutivo]],[2]!DISPONIBILIDADES_2024[[#All],[fecha_aprobacion]],"",0)</f>
        <v>#NAME?</v>
      </c>
      <c r="S98" s="138" t="e">
        <f>SUMIF([2]!DISPONIBILIDADES_2024[[#All],[consecutivo]],Contrato5[[#This Row],[CDP]],[2]!DISPONIBILIDADES_2024[[#All],[valor_total_rubro]])</f>
        <v>#REF!</v>
      </c>
      <c r="T98" s="139" t="e" cm="1">
        <f t="array" aca="1" ref="T98" ca="1">_xlfn.XLOOKUP(Contrato5[[#This Row],[CONTRATO]]&amp;Contrato5[[#This Row],[CDP]],[2]!Corr_Contr_CDP[[#All],[CONTRATO-CDP]],[2]!Corr_Contr_CDP[[#All],[CRP]],_xlfn.XLOOKUP(Contrato5[[#This Row],[CDP]],[2]!COMPROMISOS_2024[[#All],[disponibilidad]],[2]!COMPROMISOS_2024[[#All],[consecutivo]],"",0),0)</f>
        <v>#NAME?</v>
      </c>
      <c r="U98" s="140" t="e" cm="1">
        <f t="array" aca="1" ref="U98" ca="1">+_xlfn.XLOOKUP(Contrato5[[#This Row],[RCP]],[2]!COMPROMISOS_2024[[#All],[consecutivo]],[2]!COMPROMISOS_2024[[#All],[fecha_aprobacion]],"",0)</f>
        <v>#NAME?</v>
      </c>
      <c r="V98" s="141" t="e">
        <f ca="1">SUMIF([2]!COMPROMISOS_2024[[#All],[consecutivo]],Contrato5[[#This Row],[RCP]],[2]!COMPROMISOS_2024[[#All],[valor_total]])</f>
        <v>#REF!</v>
      </c>
      <c r="W98" s="415">
        <v>45337</v>
      </c>
      <c r="X98" s="415">
        <v>45338</v>
      </c>
      <c r="Y98" s="143">
        <v>45338</v>
      </c>
      <c r="Z98" s="262">
        <v>45519</v>
      </c>
      <c r="AA98" s="183" t="s">
        <v>651</v>
      </c>
      <c r="AB98" s="161" t="s">
        <v>640</v>
      </c>
      <c r="AC98" s="161"/>
      <c r="AD98" s="211">
        <v>202000003646</v>
      </c>
      <c r="AE98" s="147" t="s">
        <v>523</v>
      </c>
      <c r="AF98" s="148" t="str">
        <f>TEXT(LEFT(Contrato5[[#This Row],[CONTRATO]],3),"0")</f>
        <v>72</v>
      </c>
      <c r="AG98" s="148" t="str">
        <f>IF(LEN(Contrato5[[#This Row],[Contrato2]])=3,Contrato5[[#This Row],[Contrato2]],TEXT(Contrato5[[#This Row],[Contrato2]],"000"))</f>
        <v>072</v>
      </c>
      <c r="AH98" s="149">
        <f ca="1">IFERROR(_xlfn.DAYS(Contrato5[[#This Row],[Fecha Proyectada liquidación]],TODAY())/30,"")</f>
        <v>-3.9666666666666668</v>
      </c>
      <c r="AI98" s="150">
        <f>+Contrato5[[#This Row],[FECHA TERMINACIÓN ]]+120</f>
        <v>45639</v>
      </c>
      <c r="AJ98" s="147"/>
      <c r="AK98" s="152" t="str">
        <f ca="1">IF(Contrato5[[#This Row],[FECHA TERMINACIÓN ]]&lt;TODAY(), "Terminado",IF(ISNUMBER(Contrato5[[#This Row],[Fecha Real de liquiidación ]]),"Liquidado",IF(Contrato5[[#This Row],[FECHA TERMINACIÓN ]]&gt;=TODAY(),"En ejecución","")))</f>
        <v>Terminado</v>
      </c>
      <c r="AL98" s="153" t="e">
        <f ca="1">SUMIF([2]!COMPROMISOS_2024[[#All],[consecutivo]],Contrato5[[#This Row],[RCP]],[2]!COMPROMISOS_2024[[#All],[Total pagado]])</f>
        <v>#REF!</v>
      </c>
      <c r="AM98" s="154">
        <f ca="1">IFERROR(Contrato5[[#This Row],[Pagos]]/Contrato5[[#This Row],[VALOR CONTRATO]],0)</f>
        <v>0</v>
      </c>
      <c r="AN98" s="198" t="e">
        <f ca="1">+Contrato5[[#This Row],[VALOR CONTRATO]]-Contrato5[[#This Row],[Pagos]]</f>
        <v>#REF!</v>
      </c>
      <c r="AO98" s="147" t="e" cm="1">
        <f t="array" aca="1" ref="AO98" ca="1">_xlfn.XLOOKUP(Contrato5[[#This Row],[DOCUMENTO ]],[2]!PERSONAL_ACTIVO_2024[[#All],[Documento identidad]],[2]!PERSONAL_ACTIVO_2024[[#All],[Mail ]],0,0)</f>
        <v>#NAME?</v>
      </c>
      <c r="AP98" s="147" t="e" cm="1">
        <f t="array" aca="1" ref="AP98" ca="1">_xlfn.XLOOKUP(Contrato5[[#This Row],[DOCUMENTO]],[2]!PERSONAL_ACTIVO_2024[[#All],[Documento identidad]],[2]!PERSONAL_ACTIVO_2024[[#All],[Mail ]],0,0)</f>
        <v>#NAME?</v>
      </c>
      <c r="AQ98" s="439" cm="1">
        <f t="array" aca="1" ref="AQ98" ca="1">IF(ISBLANK(Contrato5[[#This Row],[DEPENDENCIA ]]),0,IFERROR(_xlfn.XLOOKUP(Contrato5[[#This Row],[DEPENDENCIA ]],[2]!PERSONAL_ACTIVO_2024[[#All],[Dependencia]],[2]!PERSONAL_ACTIVO_2024[[#All],[Mail ]],0,0),0))</f>
        <v>0</v>
      </c>
    </row>
    <row r="99" spans="1:43" ht="34.5" customHeight="1">
      <c r="A99" s="125">
        <v>170</v>
      </c>
      <c r="B99" s="124">
        <v>73</v>
      </c>
      <c r="C99" s="162" t="s">
        <v>1594</v>
      </c>
      <c r="D99" s="227" t="s">
        <v>583</v>
      </c>
      <c r="E99" s="128" t="s">
        <v>94</v>
      </c>
      <c r="F99" s="163" t="s">
        <v>1376</v>
      </c>
      <c r="G99" s="190" t="s">
        <v>694</v>
      </c>
      <c r="H99" s="447">
        <v>8439119</v>
      </c>
      <c r="I99" s="455">
        <v>5931149</v>
      </c>
      <c r="J99" s="456">
        <v>35586894</v>
      </c>
      <c r="K99" s="166" t="s">
        <v>42</v>
      </c>
      <c r="L99" s="438" t="s">
        <v>42</v>
      </c>
      <c r="M99" s="194" t="s">
        <v>592</v>
      </c>
      <c r="N99" s="177" t="e" cm="1">
        <f t="array" aca="1" ref="N99" ca="1">_xlfn.XLOOKUP(Contrato5[[#This Row],[SUPERVISOR TITULAR]],[2]!PERSONAL_ACTIVO_2024[[#All],[Nombre completo]],[2]!PERSONAL_ACTIVO_2024[[#All],[Documento identidad]],"",0)</f>
        <v>#NAME?</v>
      </c>
      <c r="O99" s="194" t="s">
        <v>600</v>
      </c>
      <c r="P99" s="196" t="e" cm="1">
        <f t="array" aca="1" ref="P99" ca="1">_xlfn.XLOOKUP(Contrato5[[#This Row],[SUPERVISOR SUPLENTE ]],[2]!PERSONAL_ACTIVO_2024[[#All],[Nombre completo]],[2]!PERSONAL_ACTIVO_2024[[#All],[Documento identidad]],"",0)</f>
        <v>#NAME?</v>
      </c>
      <c r="Q99" s="208">
        <v>99</v>
      </c>
      <c r="R99" s="137" t="e" cm="1">
        <f t="array" aca="1" ref="R99" ca="1">_xlfn.XLOOKUP(Contrato5[[#This Row],[CDP]],[2]!DISPONIBILIDADES_2024[[#All],[consecutivo]],[2]!DISPONIBILIDADES_2024[[#All],[fecha_aprobacion]],"",0)</f>
        <v>#NAME?</v>
      </c>
      <c r="S99" s="138" t="e">
        <f>SUMIF([2]!DISPONIBILIDADES_2024[[#All],[consecutivo]],Contrato5[[#This Row],[CDP]],[2]!DISPONIBILIDADES_2024[[#All],[valor_total_rubro]])</f>
        <v>#REF!</v>
      </c>
      <c r="T99" s="139" t="e" cm="1">
        <f t="array" aca="1" ref="T99" ca="1">_xlfn.XLOOKUP(Contrato5[[#This Row],[CONTRATO]]&amp;Contrato5[[#This Row],[CDP]],[2]!Corr_Contr_CDP[[#All],[CONTRATO-CDP]],[2]!Corr_Contr_CDP[[#All],[CRP]],_xlfn.XLOOKUP(Contrato5[[#This Row],[CDP]],[2]!COMPROMISOS_2024[[#All],[disponibilidad]],[2]!COMPROMISOS_2024[[#All],[consecutivo]],"",0),0)</f>
        <v>#NAME?</v>
      </c>
      <c r="U99" s="140" t="e" cm="1">
        <f t="array" aca="1" ref="U99" ca="1">+_xlfn.XLOOKUP(Contrato5[[#This Row],[RCP]],[2]!COMPROMISOS_2024[[#All],[consecutivo]],[2]!COMPROMISOS_2024[[#All],[fecha_aprobacion]],"",0)</f>
        <v>#NAME?</v>
      </c>
      <c r="V99" s="141" t="e">
        <f ca="1">SUMIF([2]!COMPROMISOS_2024[[#All],[consecutivo]],Contrato5[[#This Row],[RCP]],[2]!COMPROMISOS_2024[[#All],[valor_total]])</f>
        <v>#REF!</v>
      </c>
      <c r="W99" s="415">
        <v>45337</v>
      </c>
      <c r="X99" s="415">
        <v>45338</v>
      </c>
      <c r="Y99" s="143">
        <v>45338</v>
      </c>
      <c r="Z99" s="262">
        <v>45519</v>
      </c>
      <c r="AA99" s="183" t="s">
        <v>651</v>
      </c>
      <c r="AB99" s="161" t="s">
        <v>640</v>
      </c>
      <c r="AC99" s="161"/>
      <c r="AD99" s="211">
        <v>202000003648</v>
      </c>
      <c r="AE99" s="147" t="s">
        <v>523</v>
      </c>
      <c r="AF99" s="148" t="str">
        <f>TEXT(LEFT(Contrato5[[#This Row],[CONTRATO]],3),"0")</f>
        <v>73</v>
      </c>
      <c r="AG99" s="148" t="str">
        <f>IF(LEN(Contrato5[[#This Row],[Contrato2]])=3,Contrato5[[#This Row],[Contrato2]],TEXT(Contrato5[[#This Row],[Contrato2]],"000"))</f>
        <v>073</v>
      </c>
      <c r="AH99" s="149">
        <f ca="1">IFERROR(_xlfn.DAYS(Contrato5[[#This Row],[Fecha Proyectada liquidación]],TODAY())/30,"")</f>
        <v>-3.9666666666666668</v>
      </c>
      <c r="AI99" s="150">
        <f>+Contrato5[[#This Row],[FECHA TERMINACIÓN ]]+120</f>
        <v>45639</v>
      </c>
      <c r="AJ99" s="147"/>
      <c r="AK99" s="152" t="str">
        <f ca="1">IF(Contrato5[[#This Row],[FECHA TERMINACIÓN ]]&lt;TODAY(), "Terminado",IF(ISNUMBER(Contrato5[[#This Row],[Fecha Real de liquiidación ]]),"Liquidado",IF(Contrato5[[#This Row],[FECHA TERMINACIÓN ]]&gt;=TODAY(),"En ejecución","")))</f>
        <v>Terminado</v>
      </c>
      <c r="AL99" s="153" t="e">
        <f ca="1">SUMIF([2]!COMPROMISOS_2024[[#All],[consecutivo]],Contrato5[[#This Row],[RCP]],[2]!COMPROMISOS_2024[[#All],[Total pagado]])</f>
        <v>#REF!</v>
      </c>
      <c r="AM99" s="154">
        <f ca="1">IFERROR(Contrato5[[#This Row],[Pagos]]/Contrato5[[#This Row],[VALOR CONTRATO]],0)</f>
        <v>0</v>
      </c>
      <c r="AN99" s="198" t="e">
        <f ca="1">+Contrato5[[#This Row],[VALOR CONTRATO]]-Contrato5[[#This Row],[Pagos]]</f>
        <v>#REF!</v>
      </c>
      <c r="AO99" s="147" t="e" cm="1">
        <f t="array" aca="1" ref="AO99" ca="1">_xlfn.XLOOKUP(Contrato5[[#This Row],[DOCUMENTO ]],[2]!PERSONAL_ACTIVO_2024[[#All],[Documento identidad]],[2]!PERSONAL_ACTIVO_2024[[#All],[Mail ]],0,0)</f>
        <v>#NAME?</v>
      </c>
      <c r="AP99" s="147" t="e" cm="1">
        <f t="array" aca="1" ref="AP99" ca="1">_xlfn.XLOOKUP(Contrato5[[#This Row],[DOCUMENTO]],[2]!PERSONAL_ACTIVO_2024[[#All],[Documento identidad]],[2]!PERSONAL_ACTIVO_2024[[#All],[Mail ]],0,0)</f>
        <v>#NAME?</v>
      </c>
      <c r="AQ99" s="439" cm="1">
        <f t="array" aca="1" ref="AQ99" ca="1">IF(ISBLANK(Contrato5[[#This Row],[DEPENDENCIA ]]),0,IFERROR(_xlfn.XLOOKUP(Contrato5[[#This Row],[DEPENDENCIA ]],[2]!PERSONAL_ACTIVO_2024[[#All],[Dependencia]],[2]!PERSONAL_ACTIVO_2024[[#All],[Mail ]],0,0),0))</f>
        <v>0</v>
      </c>
    </row>
    <row r="100" spans="1:43" ht="34.5" customHeight="1">
      <c r="A100" s="125">
        <v>171</v>
      </c>
      <c r="B100" s="124">
        <v>74</v>
      </c>
      <c r="C100" s="162" t="s">
        <v>1595</v>
      </c>
      <c r="D100" s="227" t="s">
        <v>583</v>
      </c>
      <c r="E100" s="128" t="s">
        <v>94</v>
      </c>
      <c r="F100" s="163" t="s">
        <v>1376</v>
      </c>
      <c r="G100" s="190" t="s">
        <v>695</v>
      </c>
      <c r="H100" s="447">
        <v>1037595831</v>
      </c>
      <c r="I100" s="455">
        <v>3952382</v>
      </c>
      <c r="J100" s="456">
        <v>23714292</v>
      </c>
      <c r="K100" s="166" t="s">
        <v>42</v>
      </c>
      <c r="L100" s="438" t="s">
        <v>42</v>
      </c>
      <c r="M100" s="194" t="s">
        <v>592</v>
      </c>
      <c r="N100" s="177" t="e" cm="1">
        <f t="array" aca="1" ref="N100" ca="1">_xlfn.XLOOKUP(Contrato5[[#This Row],[SUPERVISOR TITULAR]],[2]!PERSONAL_ACTIVO_2024[[#All],[Nombre completo]],[2]!PERSONAL_ACTIVO_2024[[#All],[Documento identidad]],"",0)</f>
        <v>#NAME?</v>
      </c>
      <c r="O100" s="194" t="s">
        <v>600</v>
      </c>
      <c r="P100" s="196" t="e" cm="1">
        <f t="array" aca="1" ref="P100" ca="1">_xlfn.XLOOKUP(Contrato5[[#This Row],[SUPERVISOR SUPLENTE ]],[2]!PERSONAL_ACTIVO_2024[[#All],[Nombre completo]],[2]!PERSONAL_ACTIVO_2024[[#All],[Documento identidad]],"",0)</f>
        <v>#NAME?</v>
      </c>
      <c r="Q100" s="208">
        <v>100</v>
      </c>
      <c r="R100" s="137" t="e" cm="1">
        <f t="array" aca="1" ref="R100" ca="1">_xlfn.XLOOKUP(Contrato5[[#This Row],[CDP]],[2]!DISPONIBILIDADES_2024[[#All],[consecutivo]],[2]!DISPONIBILIDADES_2024[[#All],[fecha_aprobacion]],"",0)</f>
        <v>#NAME?</v>
      </c>
      <c r="S100" s="138" t="e">
        <f>SUMIF([2]!DISPONIBILIDADES_2024[[#All],[consecutivo]],Contrato5[[#This Row],[CDP]],[2]!DISPONIBILIDADES_2024[[#All],[valor_total_rubro]])</f>
        <v>#REF!</v>
      </c>
      <c r="T100" s="139" t="e" cm="1">
        <f t="array" aca="1" ref="T100" ca="1">_xlfn.XLOOKUP(Contrato5[[#This Row],[CONTRATO]]&amp;Contrato5[[#This Row],[CDP]],[2]!Corr_Contr_CDP[[#All],[CONTRATO-CDP]],[2]!Corr_Contr_CDP[[#All],[CRP]],_xlfn.XLOOKUP(Contrato5[[#This Row],[CDP]],[2]!COMPROMISOS_2024[[#All],[disponibilidad]],[2]!COMPROMISOS_2024[[#All],[consecutivo]],"",0),0)</f>
        <v>#NAME?</v>
      </c>
      <c r="U100" s="140" t="e" cm="1">
        <f t="array" aca="1" ref="U100" ca="1">+_xlfn.XLOOKUP(Contrato5[[#This Row],[RCP]],[2]!COMPROMISOS_2024[[#All],[consecutivo]],[2]!COMPROMISOS_2024[[#All],[fecha_aprobacion]],"",0)</f>
        <v>#NAME?</v>
      </c>
      <c r="V100" s="141" t="e">
        <f ca="1">SUMIF([2]!COMPROMISOS_2024[[#All],[consecutivo]],Contrato5[[#This Row],[RCP]],[2]!COMPROMISOS_2024[[#All],[valor_total]])</f>
        <v>#REF!</v>
      </c>
      <c r="W100" s="415">
        <v>45336</v>
      </c>
      <c r="X100" s="415">
        <v>45337</v>
      </c>
      <c r="Y100" s="143">
        <v>45338</v>
      </c>
      <c r="Z100" s="262">
        <v>45519</v>
      </c>
      <c r="AA100" s="171" t="s">
        <v>653</v>
      </c>
      <c r="AB100" s="161" t="s">
        <v>640</v>
      </c>
      <c r="AC100" s="161"/>
      <c r="AD100" s="211">
        <v>202000003651</v>
      </c>
      <c r="AE100" s="147" t="s">
        <v>523</v>
      </c>
      <c r="AF100" s="148" t="str">
        <f>TEXT(LEFT(Contrato5[[#This Row],[CONTRATO]],3),"0")</f>
        <v>74</v>
      </c>
      <c r="AG100" s="148" t="str">
        <f>IF(LEN(Contrato5[[#This Row],[Contrato2]])=3,Contrato5[[#This Row],[Contrato2]],TEXT(Contrato5[[#This Row],[Contrato2]],"000"))</f>
        <v>074</v>
      </c>
      <c r="AH100" s="149">
        <f ca="1">IFERROR(_xlfn.DAYS(Contrato5[[#This Row],[Fecha Proyectada liquidación]],TODAY())/30,"")</f>
        <v>-3.9666666666666668</v>
      </c>
      <c r="AI100" s="150">
        <f>+Contrato5[[#This Row],[FECHA TERMINACIÓN ]]+120</f>
        <v>45639</v>
      </c>
      <c r="AJ100" s="147"/>
      <c r="AK100" s="152" t="str">
        <f ca="1">IF(Contrato5[[#This Row],[FECHA TERMINACIÓN ]]&lt;TODAY(), "Terminado",IF(ISNUMBER(Contrato5[[#This Row],[Fecha Real de liquiidación ]]),"Liquidado",IF(Contrato5[[#This Row],[FECHA TERMINACIÓN ]]&gt;=TODAY(),"En ejecución","")))</f>
        <v>Terminado</v>
      </c>
      <c r="AL100" s="153" t="e">
        <f ca="1">SUMIF([2]!COMPROMISOS_2024[[#All],[consecutivo]],Contrato5[[#This Row],[RCP]],[2]!COMPROMISOS_2024[[#All],[Total pagado]])</f>
        <v>#REF!</v>
      </c>
      <c r="AM100" s="154">
        <f ca="1">IFERROR(Contrato5[[#This Row],[Pagos]]/Contrato5[[#This Row],[VALOR CONTRATO]],0)</f>
        <v>0</v>
      </c>
      <c r="AN100" s="198" t="e">
        <f ca="1">+Contrato5[[#This Row],[VALOR CONTRATO]]-Contrato5[[#This Row],[Pagos]]</f>
        <v>#REF!</v>
      </c>
      <c r="AO100" s="147" t="e" cm="1">
        <f t="array" aca="1" ref="AO100" ca="1">_xlfn.XLOOKUP(Contrato5[[#This Row],[DOCUMENTO ]],[2]!PERSONAL_ACTIVO_2024[[#All],[Documento identidad]],[2]!PERSONAL_ACTIVO_2024[[#All],[Mail ]],0,0)</f>
        <v>#NAME?</v>
      </c>
      <c r="AP100" s="147" t="e" cm="1">
        <f t="array" aca="1" ref="AP100" ca="1">_xlfn.XLOOKUP(Contrato5[[#This Row],[DOCUMENTO]],[2]!PERSONAL_ACTIVO_2024[[#All],[Documento identidad]],[2]!PERSONAL_ACTIVO_2024[[#All],[Mail ]],0,0)</f>
        <v>#NAME?</v>
      </c>
      <c r="AQ100" s="439" cm="1">
        <f t="array" aca="1" ref="AQ100" ca="1">IF(ISBLANK(Contrato5[[#This Row],[DEPENDENCIA ]]),0,IFERROR(_xlfn.XLOOKUP(Contrato5[[#This Row],[DEPENDENCIA ]],[2]!PERSONAL_ACTIVO_2024[[#All],[Dependencia]],[2]!PERSONAL_ACTIVO_2024[[#All],[Mail ]],0,0),0))</f>
        <v>0</v>
      </c>
    </row>
    <row r="101" spans="1:43" ht="34.5" customHeight="1">
      <c r="A101" s="125">
        <v>172</v>
      </c>
      <c r="B101" s="124">
        <v>75</v>
      </c>
      <c r="C101" s="162" t="s">
        <v>1596</v>
      </c>
      <c r="D101" s="227" t="s">
        <v>583</v>
      </c>
      <c r="E101" s="128" t="s">
        <v>94</v>
      </c>
      <c r="F101" s="163" t="s">
        <v>1376</v>
      </c>
      <c r="G101" s="190" t="s">
        <v>696</v>
      </c>
      <c r="H101" s="447">
        <v>71254179</v>
      </c>
      <c r="I101" s="455">
        <v>5931149</v>
      </c>
      <c r="J101" s="456">
        <v>35586894</v>
      </c>
      <c r="K101" s="166" t="s">
        <v>42</v>
      </c>
      <c r="L101" s="438" t="s">
        <v>42</v>
      </c>
      <c r="M101" s="194" t="s">
        <v>592</v>
      </c>
      <c r="N101" s="177" t="e" cm="1">
        <f t="array" aca="1" ref="N101" ca="1">_xlfn.XLOOKUP(Contrato5[[#This Row],[SUPERVISOR TITULAR]],[2]!PERSONAL_ACTIVO_2024[[#All],[Nombre completo]],[2]!PERSONAL_ACTIVO_2024[[#All],[Documento identidad]],"",0)</f>
        <v>#NAME?</v>
      </c>
      <c r="O101" s="194" t="s">
        <v>600</v>
      </c>
      <c r="P101" s="196" t="e" cm="1">
        <f t="array" aca="1" ref="P101" ca="1">_xlfn.XLOOKUP(Contrato5[[#This Row],[SUPERVISOR SUPLENTE ]],[2]!PERSONAL_ACTIVO_2024[[#All],[Nombre completo]],[2]!PERSONAL_ACTIVO_2024[[#All],[Documento identidad]],"",0)</f>
        <v>#NAME?</v>
      </c>
      <c r="Q101" s="208">
        <v>101</v>
      </c>
      <c r="R101" s="137" t="e" cm="1">
        <f t="array" aca="1" ref="R101" ca="1">_xlfn.XLOOKUP(Contrato5[[#This Row],[CDP]],[2]!DISPONIBILIDADES_2024[[#All],[consecutivo]],[2]!DISPONIBILIDADES_2024[[#All],[fecha_aprobacion]],"",0)</f>
        <v>#NAME?</v>
      </c>
      <c r="S101" s="138" t="e">
        <f>SUMIF([2]!DISPONIBILIDADES_2024[[#All],[consecutivo]],Contrato5[[#This Row],[CDP]],[2]!DISPONIBILIDADES_2024[[#All],[valor_total_rubro]])</f>
        <v>#REF!</v>
      </c>
      <c r="T101" s="139" t="e" cm="1">
        <f t="array" aca="1" ref="T101" ca="1">_xlfn.XLOOKUP(Contrato5[[#This Row],[CONTRATO]]&amp;Contrato5[[#This Row],[CDP]],[2]!Corr_Contr_CDP[[#All],[CONTRATO-CDP]],[2]!Corr_Contr_CDP[[#All],[CRP]],_xlfn.XLOOKUP(Contrato5[[#This Row],[CDP]],[2]!COMPROMISOS_2024[[#All],[disponibilidad]],[2]!COMPROMISOS_2024[[#All],[consecutivo]],"",0),0)</f>
        <v>#NAME?</v>
      </c>
      <c r="U101" s="140" t="e" cm="1">
        <f t="array" aca="1" ref="U101" ca="1">+_xlfn.XLOOKUP(Contrato5[[#This Row],[RCP]],[2]!COMPROMISOS_2024[[#All],[consecutivo]],[2]!COMPROMISOS_2024[[#All],[fecha_aprobacion]],"",0)</f>
        <v>#NAME?</v>
      </c>
      <c r="V101" s="141" t="e">
        <f ca="1">SUMIF([2]!COMPROMISOS_2024[[#All],[consecutivo]],Contrato5[[#This Row],[RCP]],[2]!COMPROMISOS_2024[[#All],[valor_total]])</f>
        <v>#REF!</v>
      </c>
      <c r="W101" s="415">
        <v>45337</v>
      </c>
      <c r="X101" s="415">
        <v>45337</v>
      </c>
      <c r="Y101" s="143">
        <v>45338</v>
      </c>
      <c r="Z101" s="262">
        <v>45519</v>
      </c>
      <c r="AA101" s="171" t="s">
        <v>653</v>
      </c>
      <c r="AB101" s="161" t="s">
        <v>640</v>
      </c>
      <c r="AC101" s="161"/>
      <c r="AD101" s="211">
        <v>202000003653</v>
      </c>
      <c r="AE101" s="147" t="s">
        <v>523</v>
      </c>
      <c r="AF101" s="148" t="str">
        <f>TEXT(LEFT(Contrato5[[#This Row],[CONTRATO]],3),"0")</f>
        <v>75</v>
      </c>
      <c r="AG101" s="148" t="str">
        <f>IF(LEN(Contrato5[[#This Row],[Contrato2]])=3,Contrato5[[#This Row],[Contrato2]],TEXT(Contrato5[[#This Row],[Contrato2]],"000"))</f>
        <v>075</v>
      </c>
      <c r="AH101" s="149">
        <f ca="1">IFERROR(_xlfn.DAYS(Contrato5[[#This Row],[Fecha Proyectada liquidación]],TODAY())/30,"")</f>
        <v>-3.9666666666666668</v>
      </c>
      <c r="AI101" s="150">
        <f>+Contrato5[[#This Row],[FECHA TERMINACIÓN ]]+120</f>
        <v>45639</v>
      </c>
      <c r="AJ101" s="147"/>
      <c r="AK101" s="152" t="str">
        <f ca="1">IF(Contrato5[[#This Row],[FECHA TERMINACIÓN ]]&lt;TODAY(), "Terminado",IF(ISNUMBER(Contrato5[[#This Row],[Fecha Real de liquiidación ]]),"Liquidado",IF(Contrato5[[#This Row],[FECHA TERMINACIÓN ]]&gt;=TODAY(),"En ejecución","")))</f>
        <v>Terminado</v>
      </c>
      <c r="AL101" s="153" t="e">
        <f ca="1">SUMIF([2]!COMPROMISOS_2024[[#All],[consecutivo]],Contrato5[[#This Row],[RCP]],[2]!COMPROMISOS_2024[[#All],[Total pagado]])</f>
        <v>#REF!</v>
      </c>
      <c r="AM101" s="154">
        <f ca="1">IFERROR(Contrato5[[#This Row],[Pagos]]/Contrato5[[#This Row],[VALOR CONTRATO]],0)</f>
        <v>0</v>
      </c>
      <c r="AN101" s="198" t="e">
        <f ca="1">+Contrato5[[#This Row],[VALOR CONTRATO]]-Contrato5[[#This Row],[Pagos]]</f>
        <v>#REF!</v>
      </c>
      <c r="AO101" s="147" t="e" cm="1">
        <f t="array" aca="1" ref="AO101" ca="1">_xlfn.XLOOKUP(Contrato5[[#This Row],[DOCUMENTO ]],[2]!PERSONAL_ACTIVO_2024[[#All],[Documento identidad]],[2]!PERSONAL_ACTIVO_2024[[#All],[Mail ]],0,0)</f>
        <v>#NAME?</v>
      </c>
      <c r="AP101" s="147" t="e" cm="1">
        <f t="array" aca="1" ref="AP101" ca="1">_xlfn.XLOOKUP(Contrato5[[#This Row],[DOCUMENTO]],[2]!PERSONAL_ACTIVO_2024[[#All],[Documento identidad]],[2]!PERSONAL_ACTIVO_2024[[#All],[Mail ]],0,0)</f>
        <v>#NAME?</v>
      </c>
      <c r="AQ101" s="439" cm="1">
        <f t="array" aca="1" ref="AQ101" ca="1">IF(ISBLANK(Contrato5[[#This Row],[DEPENDENCIA ]]),0,IFERROR(_xlfn.XLOOKUP(Contrato5[[#This Row],[DEPENDENCIA ]],[2]!PERSONAL_ACTIVO_2024[[#All],[Dependencia]],[2]!PERSONAL_ACTIVO_2024[[#All],[Mail ]],0,0),0))</f>
        <v>0</v>
      </c>
    </row>
    <row r="102" spans="1:43" ht="34.5" customHeight="1">
      <c r="A102" s="125">
        <v>173</v>
      </c>
      <c r="B102" s="124">
        <v>76</v>
      </c>
      <c r="C102" s="162" t="s">
        <v>1597</v>
      </c>
      <c r="D102" s="227" t="s">
        <v>583</v>
      </c>
      <c r="E102" s="128" t="s">
        <v>94</v>
      </c>
      <c r="F102" s="163" t="s">
        <v>1376</v>
      </c>
      <c r="G102" s="190" t="s">
        <v>697</v>
      </c>
      <c r="H102" s="447">
        <v>8395754</v>
      </c>
      <c r="I102" s="455">
        <v>7908765</v>
      </c>
      <c r="J102" s="456">
        <v>47452590</v>
      </c>
      <c r="K102" s="166" t="s">
        <v>42</v>
      </c>
      <c r="L102" s="438" t="s">
        <v>42</v>
      </c>
      <c r="M102" s="194" t="s">
        <v>592</v>
      </c>
      <c r="N102" s="177" t="e" cm="1">
        <f t="array" aca="1" ref="N102" ca="1">_xlfn.XLOOKUP(Contrato5[[#This Row],[SUPERVISOR TITULAR]],[2]!PERSONAL_ACTIVO_2024[[#All],[Nombre completo]],[2]!PERSONAL_ACTIVO_2024[[#All],[Documento identidad]],"",0)</f>
        <v>#NAME?</v>
      </c>
      <c r="O102" s="194" t="s">
        <v>600</v>
      </c>
      <c r="P102" s="196" t="e" cm="1">
        <f t="array" aca="1" ref="P102" ca="1">_xlfn.XLOOKUP(Contrato5[[#This Row],[SUPERVISOR SUPLENTE ]],[2]!PERSONAL_ACTIVO_2024[[#All],[Nombre completo]],[2]!PERSONAL_ACTIVO_2024[[#All],[Documento identidad]],"",0)</f>
        <v>#NAME?</v>
      </c>
      <c r="Q102" s="208">
        <v>102</v>
      </c>
      <c r="R102" s="137" t="e" cm="1">
        <f t="array" aca="1" ref="R102" ca="1">_xlfn.XLOOKUP(Contrato5[[#This Row],[CDP]],[2]!DISPONIBILIDADES_2024[[#All],[consecutivo]],[2]!DISPONIBILIDADES_2024[[#All],[fecha_aprobacion]],"",0)</f>
        <v>#NAME?</v>
      </c>
      <c r="S102" s="138" t="e">
        <f>SUMIF([2]!DISPONIBILIDADES_2024[[#All],[consecutivo]],Contrato5[[#This Row],[CDP]],[2]!DISPONIBILIDADES_2024[[#All],[valor_total_rubro]])</f>
        <v>#REF!</v>
      </c>
      <c r="T102" s="139" t="e" cm="1">
        <f t="array" aca="1" ref="T102" ca="1">_xlfn.XLOOKUP(Contrato5[[#This Row],[CONTRATO]]&amp;Contrato5[[#This Row],[CDP]],[2]!Corr_Contr_CDP[[#All],[CONTRATO-CDP]],[2]!Corr_Contr_CDP[[#All],[CRP]],_xlfn.XLOOKUP(Contrato5[[#This Row],[CDP]],[2]!COMPROMISOS_2024[[#All],[disponibilidad]],[2]!COMPROMISOS_2024[[#All],[consecutivo]],"",0),0)</f>
        <v>#NAME?</v>
      </c>
      <c r="U102" s="140" t="e" cm="1">
        <f t="array" aca="1" ref="U102" ca="1">+_xlfn.XLOOKUP(Contrato5[[#This Row],[RCP]],[2]!COMPROMISOS_2024[[#All],[consecutivo]],[2]!COMPROMISOS_2024[[#All],[fecha_aprobacion]],"",0)</f>
        <v>#NAME?</v>
      </c>
      <c r="V102" s="141" t="e">
        <f ca="1">SUMIF([2]!COMPROMISOS_2024[[#All],[consecutivo]],Contrato5[[#This Row],[RCP]],[2]!COMPROMISOS_2024[[#All],[valor_total]])</f>
        <v>#REF!</v>
      </c>
      <c r="W102" s="415">
        <v>45336</v>
      </c>
      <c r="X102" s="415">
        <v>45338</v>
      </c>
      <c r="Y102" s="143">
        <v>45338</v>
      </c>
      <c r="Z102" s="262">
        <v>45519</v>
      </c>
      <c r="AA102" s="183" t="s">
        <v>651</v>
      </c>
      <c r="AB102" s="161" t="s">
        <v>640</v>
      </c>
      <c r="AC102" s="161"/>
      <c r="AD102" s="211">
        <v>202000003657</v>
      </c>
      <c r="AE102" s="147" t="s">
        <v>523</v>
      </c>
      <c r="AF102" s="148" t="str">
        <f>TEXT(LEFT(Contrato5[[#This Row],[CONTRATO]],3),"0")</f>
        <v>76</v>
      </c>
      <c r="AG102" s="148" t="str">
        <f>IF(LEN(Contrato5[[#This Row],[Contrato2]])=3,Contrato5[[#This Row],[Contrato2]],TEXT(Contrato5[[#This Row],[Contrato2]],"000"))</f>
        <v>076</v>
      </c>
      <c r="AH102" s="149">
        <f ca="1">IFERROR(_xlfn.DAYS(Contrato5[[#This Row],[Fecha Proyectada liquidación]],TODAY())/30,"")</f>
        <v>-3.9666666666666668</v>
      </c>
      <c r="AI102" s="150">
        <f>+Contrato5[[#This Row],[FECHA TERMINACIÓN ]]+120</f>
        <v>45639</v>
      </c>
      <c r="AJ102" s="147"/>
      <c r="AK102" s="152" t="str">
        <f ca="1">IF(Contrato5[[#This Row],[FECHA TERMINACIÓN ]]&lt;TODAY(), "Terminado",IF(ISNUMBER(Contrato5[[#This Row],[Fecha Real de liquiidación ]]),"Liquidado",IF(Contrato5[[#This Row],[FECHA TERMINACIÓN ]]&gt;=TODAY(),"En ejecución","")))</f>
        <v>Terminado</v>
      </c>
      <c r="AL102" s="153" t="e">
        <f ca="1">SUMIF([2]!COMPROMISOS_2024[[#All],[consecutivo]],Contrato5[[#This Row],[RCP]],[2]!COMPROMISOS_2024[[#All],[Total pagado]])</f>
        <v>#REF!</v>
      </c>
      <c r="AM102" s="154">
        <f ca="1">IFERROR(Contrato5[[#This Row],[Pagos]]/Contrato5[[#This Row],[VALOR CONTRATO]],0)</f>
        <v>0</v>
      </c>
      <c r="AN102" s="198" t="e">
        <f ca="1">+Contrato5[[#This Row],[VALOR CONTRATO]]-Contrato5[[#This Row],[Pagos]]</f>
        <v>#REF!</v>
      </c>
      <c r="AO102" s="147" t="e" cm="1">
        <f t="array" aca="1" ref="AO102" ca="1">_xlfn.XLOOKUP(Contrato5[[#This Row],[DOCUMENTO ]],[2]!PERSONAL_ACTIVO_2024[[#All],[Documento identidad]],[2]!PERSONAL_ACTIVO_2024[[#All],[Mail ]],0,0)</f>
        <v>#NAME?</v>
      </c>
      <c r="AP102" s="147" t="e" cm="1">
        <f t="array" aca="1" ref="AP102" ca="1">_xlfn.XLOOKUP(Contrato5[[#This Row],[DOCUMENTO]],[2]!PERSONAL_ACTIVO_2024[[#All],[Documento identidad]],[2]!PERSONAL_ACTIVO_2024[[#All],[Mail ]],0,0)</f>
        <v>#NAME?</v>
      </c>
      <c r="AQ102" s="439" cm="1">
        <f t="array" aca="1" ref="AQ102" ca="1">IF(ISBLANK(Contrato5[[#This Row],[DEPENDENCIA ]]),0,IFERROR(_xlfn.XLOOKUP(Contrato5[[#This Row],[DEPENDENCIA ]],[2]!PERSONAL_ACTIVO_2024[[#All],[Dependencia]],[2]!PERSONAL_ACTIVO_2024[[#All],[Mail ]],0,0),0))</f>
        <v>0</v>
      </c>
    </row>
    <row r="103" spans="1:43" ht="34.5" customHeight="1">
      <c r="A103" s="125">
        <v>174</v>
      </c>
      <c r="B103" s="124">
        <v>77</v>
      </c>
      <c r="C103" s="162" t="s">
        <v>1598</v>
      </c>
      <c r="D103" s="227" t="s">
        <v>583</v>
      </c>
      <c r="E103" s="128" t="s">
        <v>94</v>
      </c>
      <c r="F103" s="163" t="s">
        <v>1376</v>
      </c>
      <c r="G103" s="190" t="s">
        <v>698</v>
      </c>
      <c r="H103" s="447">
        <v>32294449</v>
      </c>
      <c r="I103" s="455">
        <v>4908936</v>
      </c>
      <c r="J103" s="456">
        <v>29453616</v>
      </c>
      <c r="K103" s="166" t="s">
        <v>42</v>
      </c>
      <c r="L103" s="438" t="s">
        <v>42</v>
      </c>
      <c r="M103" s="194" t="s">
        <v>592</v>
      </c>
      <c r="N103" s="177" t="e" cm="1">
        <f t="array" aca="1" ref="N103" ca="1">_xlfn.XLOOKUP(Contrato5[[#This Row],[SUPERVISOR TITULAR]],[2]!PERSONAL_ACTIVO_2024[[#All],[Nombre completo]],[2]!PERSONAL_ACTIVO_2024[[#All],[Documento identidad]],"",0)</f>
        <v>#NAME?</v>
      </c>
      <c r="O103" s="194" t="s">
        <v>600</v>
      </c>
      <c r="P103" s="196" t="e" cm="1">
        <f t="array" aca="1" ref="P103" ca="1">_xlfn.XLOOKUP(Contrato5[[#This Row],[SUPERVISOR SUPLENTE ]],[2]!PERSONAL_ACTIVO_2024[[#All],[Nombre completo]],[2]!PERSONAL_ACTIVO_2024[[#All],[Documento identidad]],"",0)</f>
        <v>#NAME?</v>
      </c>
      <c r="Q103" s="208">
        <v>103</v>
      </c>
      <c r="R103" s="137" t="e" cm="1">
        <f t="array" aca="1" ref="R103" ca="1">_xlfn.XLOOKUP(Contrato5[[#This Row],[CDP]],[2]!DISPONIBILIDADES_2024[[#All],[consecutivo]],[2]!DISPONIBILIDADES_2024[[#All],[fecha_aprobacion]],"",0)</f>
        <v>#NAME?</v>
      </c>
      <c r="S103" s="138" t="e">
        <f>SUMIF([2]!DISPONIBILIDADES_2024[[#All],[consecutivo]],Contrato5[[#This Row],[CDP]],[2]!DISPONIBILIDADES_2024[[#All],[valor_total_rubro]])</f>
        <v>#REF!</v>
      </c>
      <c r="T103" s="139" t="e" cm="1">
        <f t="array" aca="1" ref="T103" ca="1">_xlfn.XLOOKUP(Contrato5[[#This Row],[CONTRATO]]&amp;Contrato5[[#This Row],[CDP]],[2]!Corr_Contr_CDP[[#All],[CONTRATO-CDP]],[2]!Corr_Contr_CDP[[#All],[CRP]],_xlfn.XLOOKUP(Contrato5[[#This Row],[CDP]],[2]!COMPROMISOS_2024[[#All],[disponibilidad]],[2]!COMPROMISOS_2024[[#All],[consecutivo]],"",0),0)</f>
        <v>#NAME?</v>
      </c>
      <c r="U103" s="140" t="e" cm="1">
        <f t="array" aca="1" ref="U103" ca="1">+_xlfn.XLOOKUP(Contrato5[[#This Row],[RCP]],[2]!COMPROMISOS_2024[[#All],[consecutivo]],[2]!COMPROMISOS_2024[[#All],[fecha_aprobacion]],"",0)</f>
        <v>#NAME?</v>
      </c>
      <c r="V103" s="141" t="e">
        <f ca="1">SUMIF([2]!COMPROMISOS_2024[[#All],[consecutivo]],Contrato5[[#This Row],[RCP]],[2]!COMPROMISOS_2024[[#All],[valor_total]])</f>
        <v>#REF!</v>
      </c>
      <c r="W103" s="415">
        <v>45337</v>
      </c>
      <c r="X103" s="415">
        <v>45338</v>
      </c>
      <c r="Y103" s="143">
        <v>45338</v>
      </c>
      <c r="Z103" s="262">
        <v>45519</v>
      </c>
      <c r="AA103" s="183" t="s">
        <v>651</v>
      </c>
      <c r="AB103" s="161" t="s">
        <v>640</v>
      </c>
      <c r="AC103" s="161"/>
      <c r="AD103" s="211">
        <v>202000003658</v>
      </c>
      <c r="AE103" s="147" t="s">
        <v>523</v>
      </c>
      <c r="AF103" s="148" t="str">
        <f>TEXT(LEFT(Contrato5[[#This Row],[CONTRATO]],3),"0")</f>
        <v>77</v>
      </c>
      <c r="AG103" s="148" t="str">
        <f>IF(LEN(Contrato5[[#This Row],[Contrato2]])=3,Contrato5[[#This Row],[Contrato2]],TEXT(Contrato5[[#This Row],[Contrato2]],"000"))</f>
        <v>077</v>
      </c>
      <c r="AH103" s="149">
        <f ca="1">IFERROR(_xlfn.DAYS(Contrato5[[#This Row],[Fecha Proyectada liquidación]],TODAY())/30,"")</f>
        <v>-3.9666666666666668</v>
      </c>
      <c r="AI103" s="150">
        <f>+Contrato5[[#This Row],[FECHA TERMINACIÓN ]]+120</f>
        <v>45639</v>
      </c>
      <c r="AJ103" s="147"/>
      <c r="AK103" s="152" t="str">
        <f ca="1">IF(Contrato5[[#This Row],[FECHA TERMINACIÓN ]]&lt;TODAY(), "Terminado",IF(ISNUMBER(Contrato5[[#This Row],[Fecha Real de liquiidación ]]),"Liquidado",IF(Contrato5[[#This Row],[FECHA TERMINACIÓN ]]&gt;=TODAY(),"En ejecución","")))</f>
        <v>Terminado</v>
      </c>
      <c r="AL103" s="153" t="e">
        <f ca="1">SUMIF([2]!COMPROMISOS_2024[[#All],[consecutivo]],Contrato5[[#This Row],[RCP]],[2]!COMPROMISOS_2024[[#All],[Total pagado]])</f>
        <v>#REF!</v>
      </c>
      <c r="AM103" s="154">
        <f ca="1">IFERROR(Contrato5[[#This Row],[Pagos]]/Contrato5[[#This Row],[VALOR CONTRATO]],0)</f>
        <v>0</v>
      </c>
      <c r="AN103" s="198" t="e">
        <f ca="1">+Contrato5[[#This Row],[VALOR CONTRATO]]-Contrato5[[#This Row],[Pagos]]</f>
        <v>#REF!</v>
      </c>
      <c r="AO103" s="147" t="e" cm="1">
        <f t="array" aca="1" ref="AO103" ca="1">_xlfn.XLOOKUP(Contrato5[[#This Row],[DOCUMENTO ]],[2]!PERSONAL_ACTIVO_2024[[#All],[Documento identidad]],[2]!PERSONAL_ACTIVO_2024[[#All],[Mail ]],0,0)</f>
        <v>#NAME?</v>
      </c>
      <c r="AP103" s="147" t="e" cm="1">
        <f t="array" aca="1" ref="AP103" ca="1">_xlfn.XLOOKUP(Contrato5[[#This Row],[DOCUMENTO]],[2]!PERSONAL_ACTIVO_2024[[#All],[Documento identidad]],[2]!PERSONAL_ACTIVO_2024[[#All],[Mail ]],0,0)</f>
        <v>#NAME?</v>
      </c>
      <c r="AQ103" s="439" cm="1">
        <f t="array" aca="1" ref="AQ103" ca="1">IF(ISBLANK(Contrato5[[#This Row],[DEPENDENCIA ]]),0,IFERROR(_xlfn.XLOOKUP(Contrato5[[#This Row],[DEPENDENCIA ]],[2]!PERSONAL_ACTIVO_2024[[#All],[Dependencia]],[2]!PERSONAL_ACTIVO_2024[[#All],[Mail ]],0,0),0))</f>
        <v>0</v>
      </c>
    </row>
    <row r="104" spans="1:43" ht="34.5" customHeight="1">
      <c r="A104" s="125">
        <v>175</v>
      </c>
      <c r="B104" s="124">
        <v>78</v>
      </c>
      <c r="C104" s="162" t="s">
        <v>1599</v>
      </c>
      <c r="D104" s="227" t="s">
        <v>583</v>
      </c>
      <c r="E104" s="128" t="s">
        <v>94</v>
      </c>
      <c r="F104" s="163" t="s">
        <v>1376</v>
      </c>
      <c r="G104" s="190" t="s">
        <v>699</v>
      </c>
      <c r="H104" s="447">
        <v>70128720</v>
      </c>
      <c r="I104" s="455">
        <v>9212989</v>
      </c>
      <c r="J104" s="456">
        <v>55277934</v>
      </c>
      <c r="K104" s="166" t="s">
        <v>42</v>
      </c>
      <c r="L104" s="438" t="s">
        <v>42</v>
      </c>
      <c r="M104" s="194" t="s">
        <v>592</v>
      </c>
      <c r="N104" s="177" t="e" cm="1">
        <f t="array" aca="1" ref="N104" ca="1">_xlfn.XLOOKUP(Contrato5[[#This Row],[SUPERVISOR TITULAR]],[2]!PERSONAL_ACTIVO_2024[[#All],[Nombre completo]],[2]!PERSONAL_ACTIVO_2024[[#All],[Documento identidad]],"",0)</f>
        <v>#NAME?</v>
      </c>
      <c r="O104" s="194" t="s">
        <v>600</v>
      </c>
      <c r="P104" s="196" t="e" cm="1">
        <f t="array" aca="1" ref="P104" ca="1">_xlfn.XLOOKUP(Contrato5[[#This Row],[SUPERVISOR SUPLENTE ]],[2]!PERSONAL_ACTIVO_2024[[#All],[Nombre completo]],[2]!PERSONAL_ACTIVO_2024[[#All],[Documento identidad]],"",0)</f>
        <v>#NAME?</v>
      </c>
      <c r="Q104" s="208">
        <v>104</v>
      </c>
      <c r="R104" s="137" t="e" cm="1">
        <f t="array" aca="1" ref="R104" ca="1">_xlfn.XLOOKUP(Contrato5[[#This Row],[CDP]],[2]!DISPONIBILIDADES_2024[[#All],[consecutivo]],[2]!DISPONIBILIDADES_2024[[#All],[fecha_aprobacion]],"",0)</f>
        <v>#NAME?</v>
      </c>
      <c r="S104" s="138" t="e">
        <f>SUMIF([2]!DISPONIBILIDADES_2024[[#All],[consecutivo]],Contrato5[[#This Row],[CDP]],[2]!DISPONIBILIDADES_2024[[#All],[valor_total_rubro]])</f>
        <v>#REF!</v>
      </c>
      <c r="T104" s="139" t="e" cm="1">
        <f t="array" aca="1" ref="T104" ca="1">_xlfn.XLOOKUP(Contrato5[[#This Row],[CONTRATO]]&amp;Contrato5[[#This Row],[CDP]],[2]!Corr_Contr_CDP[[#All],[CONTRATO-CDP]],[2]!Corr_Contr_CDP[[#All],[CRP]],_xlfn.XLOOKUP(Contrato5[[#This Row],[CDP]],[2]!COMPROMISOS_2024[[#All],[disponibilidad]],[2]!COMPROMISOS_2024[[#All],[consecutivo]],"",0),0)</f>
        <v>#NAME?</v>
      </c>
      <c r="U104" s="140" t="e" cm="1">
        <f t="array" aca="1" ref="U104" ca="1">+_xlfn.XLOOKUP(Contrato5[[#This Row],[RCP]],[2]!COMPROMISOS_2024[[#All],[consecutivo]],[2]!COMPROMISOS_2024[[#All],[fecha_aprobacion]],"",0)</f>
        <v>#NAME?</v>
      </c>
      <c r="V104" s="141" t="e">
        <f ca="1">SUMIF([2]!COMPROMISOS_2024[[#All],[consecutivo]],Contrato5[[#This Row],[RCP]],[2]!COMPROMISOS_2024[[#All],[valor_total]])</f>
        <v>#REF!</v>
      </c>
      <c r="W104" s="415">
        <v>45337</v>
      </c>
      <c r="X104" s="415">
        <v>45338</v>
      </c>
      <c r="Y104" s="143">
        <v>45338</v>
      </c>
      <c r="Z104" s="262">
        <v>45519</v>
      </c>
      <c r="AA104" s="183" t="s">
        <v>651</v>
      </c>
      <c r="AB104" s="161" t="s">
        <v>640</v>
      </c>
      <c r="AC104" s="161"/>
      <c r="AD104" s="211">
        <v>202000003660</v>
      </c>
      <c r="AE104" s="147" t="s">
        <v>523</v>
      </c>
      <c r="AF104" s="148" t="str">
        <f>TEXT(LEFT(Contrato5[[#This Row],[CONTRATO]],3),"0")</f>
        <v>78</v>
      </c>
      <c r="AG104" s="148" t="str">
        <f>IF(LEN(Contrato5[[#This Row],[Contrato2]])=3,Contrato5[[#This Row],[Contrato2]],TEXT(Contrato5[[#This Row],[Contrato2]],"000"))</f>
        <v>078</v>
      </c>
      <c r="AH104" s="149">
        <f ca="1">IFERROR(_xlfn.DAYS(Contrato5[[#This Row],[Fecha Proyectada liquidación]],TODAY())/30,"")</f>
        <v>-3.9666666666666668</v>
      </c>
      <c r="AI104" s="150">
        <f>+Contrato5[[#This Row],[FECHA TERMINACIÓN ]]+120</f>
        <v>45639</v>
      </c>
      <c r="AJ104" s="147"/>
      <c r="AK104" s="152" t="str">
        <f ca="1">IF(Contrato5[[#This Row],[FECHA TERMINACIÓN ]]&lt;TODAY(), "Terminado",IF(ISNUMBER(Contrato5[[#This Row],[Fecha Real de liquiidación ]]),"Liquidado",IF(Contrato5[[#This Row],[FECHA TERMINACIÓN ]]&gt;=TODAY(),"En ejecución","")))</f>
        <v>Terminado</v>
      </c>
      <c r="AL104" s="153" t="e">
        <f ca="1">SUMIF([2]!COMPROMISOS_2024[[#All],[consecutivo]],Contrato5[[#This Row],[RCP]],[2]!COMPROMISOS_2024[[#All],[Total pagado]])</f>
        <v>#REF!</v>
      </c>
      <c r="AM104" s="154">
        <f ca="1">IFERROR(Contrato5[[#This Row],[Pagos]]/Contrato5[[#This Row],[VALOR CONTRATO]],0)</f>
        <v>0</v>
      </c>
      <c r="AN104" s="198" t="e">
        <f ca="1">+Contrato5[[#This Row],[VALOR CONTRATO]]-Contrato5[[#This Row],[Pagos]]</f>
        <v>#REF!</v>
      </c>
      <c r="AO104" s="147" t="e" cm="1">
        <f t="array" aca="1" ref="AO104" ca="1">_xlfn.XLOOKUP(Contrato5[[#This Row],[DOCUMENTO ]],[2]!PERSONAL_ACTIVO_2024[[#All],[Documento identidad]],[2]!PERSONAL_ACTIVO_2024[[#All],[Mail ]],0,0)</f>
        <v>#NAME?</v>
      </c>
      <c r="AP104" s="147" t="e" cm="1">
        <f t="array" aca="1" ref="AP104" ca="1">_xlfn.XLOOKUP(Contrato5[[#This Row],[DOCUMENTO]],[2]!PERSONAL_ACTIVO_2024[[#All],[Documento identidad]],[2]!PERSONAL_ACTIVO_2024[[#All],[Mail ]],0,0)</f>
        <v>#NAME?</v>
      </c>
      <c r="AQ104" s="439" cm="1">
        <f t="array" aca="1" ref="AQ104" ca="1">IF(ISBLANK(Contrato5[[#This Row],[DEPENDENCIA ]]),0,IFERROR(_xlfn.XLOOKUP(Contrato5[[#This Row],[DEPENDENCIA ]],[2]!PERSONAL_ACTIVO_2024[[#All],[Dependencia]],[2]!PERSONAL_ACTIVO_2024[[#All],[Mail ]],0,0),0))</f>
        <v>0</v>
      </c>
    </row>
    <row r="105" spans="1:43" ht="34.5" customHeight="1">
      <c r="A105" s="125">
        <v>176</v>
      </c>
      <c r="B105" s="124">
        <v>79</v>
      </c>
      <c r="C105" s="162" t="s">
        <v>1600</v>
      </c>
      <c r="D105" s="227" t="s">
        <v>583</v>
      </c>
      <c r="E105" s="128" t="s">
        <v>94</v>
      </c>
      <c r="F105" s="163" t="s">
        <v>1376</v>
      </c>
      <c r="G105" s="190" t="s">
        <v>700</v>
      </c>
      <c r="H105" s="447">
        <v>2000009732</v>
      </c>
      <c r="I105" s="455">
        <v>7908765</v>
      </c>
      <c r="J105" s="456">
        <v>47452590</v>
      </c>
      <c r="K105" s="166" t="s">
        <v>42</v>
      </c>
      <c r="L105" s="438" t="s">
        <v>42</v>
      </c>
      <c r="M105" s="194" t="s">
        <v>592</v>
      </c>
      <c r="N105" s="177" t="e" cm="1">
        <f t="array" aca="1" ref="N105" ca="1">_xlfn.XLOOKUP(Contrato5[[#This Row],[SUPERVISOR TITULAR]],[2]!PERSONAL_ACTIVO_2024[[#All],[Nombre completo]],[2]!PERSONAL_ACTIVO_2024[[#All],[Documento identidad]],"",0)</f>
        <v>#NAME?</v>
      </c>
      <c r="O105" s="194" t="s">
        <v>600</v>
      </c>
      <c r="P105" s="196" t="e" cm="1">
        <f t="array" aca="1" ref="P105" ca="1">_xlfn.XLOOKUP(Contrato5[[#This Row],[SUPERVISOR SUPLENTE ]],[2]!PERSONAL_ACTIVO_2024[[#All],[Nombre completo]],[2]!PERSONAL_ACTIVO_2024[[#All],[Documento identidad]],"",0)</f>
        <v>#NAME?</v>
      </c>
      <c r="Q105" s="208">
        <v>105</v>
      </c>
      <c r="R105" s="137" t="e" cm="1">
        <f t="array" aca="1" ref="R105" ca="1">_xlfn.XLOOKUP(Contrato5[[#This Row],[CDP]],[2]!DISPONIBILIDADES_2024[[#All],[consecutivo]],[2]!DISPONIBILIDADES_2024[[#All],[fecha_aprobacion]],"",0)</f>
        <v>#NAME?</v>
      </c>
      <c r="S105" s="138" t="e">
        <f>SUMIF([2]!DISPONIBILIDADES_2024[[#All],[consecutivo]],Contrato5[[#This Row],[CDP]],[2]!DISPONIBILIDADES_2024[[#All],[valor_total_rubro]])</f>
        <v>#REF!</v>
      </c>
      <c r="T105" s="139" t="e" cm="1">
        <f t="array" aca="1" ref="T105" ca="1">_xlfn.XLOOKUP(Contrato5[[#This Row],[CONTRATO]]&amp;Contrato5[[#This Row],[CDP]],[2]!Corr_Contr_CDP[[#All],[CONTRATO-CDP]],[2]!Corr_Contr_CDP[[#All],[CRP]],_xlfn.XLOOKUP(Contrato5[[#This Row],[CDP]],[2]!COMPROMISOS_2024[[#All],[disponibilidad]],[2]!COMPROMISOS_2024[[#All],[consecutivo]],"",0),0)</f>
        <v>#NAME?</v>
      </c>
      <c r="U105" s="140" t="e" cm="1">
        <f t="array" aca="1" ref="U105" ca="1">+_xlfn.XLOOKUP(Contrato5[[#This Row],[RCP]],[2]!COMPROMISOS_2024[[#All],[consecutivo]],[2]!COMPROMISOS_2024[[#All],[fecha_aprobacion]],"",0)</f>
        <v>#NAME?</v>
      </c>
      <c r="V105" s="141" t="e">
        <f ca="1">SUMIF([2]!COMPROMISOS_2024[[#All],[consecutivo]],Contrato5[[#This Row],[RCP]],[2]!COMPROMISOS_2024[[#All],[valor_total]])</f>
        <v>#REF!</v>
      </c>
      <c r="W105" s="415">
        <v>45337</v>
      </c>
      <c r="X105" s="415">
        <v>45338</v>
      </c>
      <c r="Y105" s="143">
        <v>45338</v>
      </c>
      <c r="Z105" s="262">
        <v>45519</v>
      </c>
      <c r="AA105" s="171" t="s">
        <v>651</v>
      </c>
      <c r="AB105" s="161" t="s">
        <v>640</v>
      </c>
      <c r="AC105" s="161"/>
      <c r="AD105" s="211">
        <v>202000003661</v>
      </c>
      <c r="AE105" s="147" t="s">
        <v>523</v>
      </c>
      <c r="AF105" s="148" t="str">
        <f>TEXT(LEFT(Contrato5[[#This Row],[CONTRATO]],3),"0")</f>
        <v>79</v>
      </c>
      <c r="AG105" s="148" t="str">
        <f>IF(LEN(Contrato5[[#This Row],[Contrato2]])=3,Contrato5[[#This Row],[Contrato2]],TEXT(Contrato5[[#This Row],[Contrato2]],"000"))</f>
        <v>079</v>
      </c>
      <c r="AH105" s="149">
        <f ca="1">IFERROR(_xlfn.DAYS(Contrato5[[#This Row],[Fecha Proyectada liquidación]],TODAY())/30,"")</f>
        <v>-3.9666666666666668</v>
      </c>
      <c r="AI105" s="150">
        <f>+Contrato5[[#This Row],[FECHA TERMINACIÓN ]]+120</f>
        <v>45639</v>
      </c>
      <c r="AJ105" s="147"/>
      <c r="AK105" s="152" t="str">
        <f ca="1">IF(Contrato5[[#This Row],[FECHA TERMINACIÓN ]]&lt;TODAY(), "Terminado",IF(ISNUMBER(Contrato5[[#This Row],[Fecha Real de liquiidación ]]),"Liquidado",IF(Contrato5[[#This Row],[FECHA TERMINACIÓN ]]&gt;=TODAY(),"En ejecución","")))</f>
        <v>Terminado</v>
      </c>
      <c r="AL105" s="153" t="e">
        <f ca="1">SUMIF([2]!COMPROMISOS_2024[[#All],[consecutivo]],Contrato5[[#This Row],[RCP]],[2]!COMPROMISOS_2024[[#All],[Total pagado]])</f>
        <v>#REF!</v>
      </c>
      <c r="AM105" s="154">
        <f ca="1">IFERROR(Contrato5[[#This Row],[Pagos]]/Contrato5[[#This Row],[VALOR CONTRATO]],0)</f>
        <v>0</v>
      </c>
      <c r="AN105" s="198" t="e">
        <f ca="1">+Contrato5[[#This Row],[VALOR CONTRATO]]-Contrato5[[#This Row],[Pagos]]</f>
        <v>#REF!</v>
      </c>
      <c r="AO105" s="147" t="e" cm="1">
        <f t="array" aca="1" ref="AO105" ca="1">_xlfn.XLOOKUP(Contrato5[[#This Row],[DOCUMENTO ]],[2]!PERSONAL_ACTIVO_2024[[#All],[Documento identidad]],[2]!PERSONAL_ACTIVO_2024[[#All],[Mail ]],0,0)</f>
        <v>#NAME?</v>
      </c>
      <c r="AP105" s="147" t="e" cm="1">
        <f t="array" aca="1" ref="AP105" ca="1">_xlfn.XLOOKUP(Contrato5[[#This Row],[DOCUMENTO]],[2]!PERSONAL_ACTIVO_2024[[#All],[Documento identidad]],[2]!PERSONAL_ACTIVO_2024[[#All],[Mail ]],0,0)</f>
        <v>#NAME?</v>
      </c>
      <c r="AQ105" s="439" cm="1">
        <f t="array" aca="1" ref="AQ105" ca="1">IF(ISBLANK(Contrato5[[#This Row],[DEPENDENCIA ]]),0,IFERROR(_xlfn.XLOOKUP(Contrato5[[#This Row],[DEPENDENCIA ]],[2]!PERSONAL_ACTIVO_2024[[#All],[Dependencia]],[2]!PERSONAL_ACTIVO_2024[[#All],[Mail ]],0,0),0))</f>
        <v>0</v>
      </c>
    </row>
    <row r="106" spans="1:43" ht="34.5" customHeight="1">
      <c r="A106" s="125">
        <v>177</v>
      </c>
      <c r="B106" s="124">
        <v>80</v>
      </c>
      <c r="C106" s="162" t="s">
        <v>1601</v>
      </c>
      <c r="D106" s="227" t="s">
        <v>583</v>
      </c>
      <c r="E106" s="128" t="s">
        <v>94</v>
      </c>
      <c r="F106" s="163" t="s">
        <v>1376</v>
      </c>
      <c r="G106" s="190" t="s">
        <v>701</v>
      </c>
      <c r="H106" s="447">
        <v>71338359</v>
      </c>
      <c r="I106" s="455">
        <v>4908936</v>
      </c>
      <c r="J106" s="456">
        <v>29453616</v>
      </c>
      <c r="K106" s="166" t="s">
        <v>42</v>
      </c>
      <c r="L106" s="438" t="s">
        <v>42</v>
      </c>
      <c r="M106" s="194" t="s">
        <v>592</v>
      </c>
      <c r="N106" s="177" t="e" cm="1">
        <f t="array" aca="1" ref="N106" ca="1">_xlfn.XLOOKUP(Contrato5[[#This Row],[SUPERVISOR TITULAR]],[2]!PERSONAL_ACTIVO_2024[[#All],[Nombre completo]],[2]!PERSONAL_ACTIVO_2024[[#All],[Documento identidad]],"",0)</f>
        <v>#NAME?</v>
      </c>
      <c r="O106" s="194" t="s">
        <v>600</v>
      </c>
      <c r="P106" s="196" t="e" cm="1">
        <f t="array" aca="1" ref="P106" ca="1">_xlfn.XLOOKUP(Contrato5[[#This Row],[SUPERVISOR SUPLENTE ]],[2]!PERSONAL_ACTIVO_2024[[#All],[Nombre completo]],[2]!PERSONAL_ACTIVO_2024[[#All],[Documento identidad]],"",0)</f>
        <v>#NAME?</v>
      </c>
      <c r="Q106" s="208">
        <v>106</v>
      </c>
      <c r="R106" s="137" t="e" cm="1">
        <f t="array" aca="1" ref="R106" ca="1">_xlfn.XLOOKUP(Contrato5[[#This Row],[CDP]],[2]!DISPONIBILIDADES_2024[[#All],[consecutivo]],[2]!DISPONIBILIDADES_2024[[#All],[fecha_aprobacion]],"",0)</f>
        <v>#NAME?</v>
      </c>
      <c r="S106" s="138" t="e">
        <f>SUMIF([2]!DISPONIBILIDADES_2024[[#All],[consecutivo]],Contrato5[[#This Row],[CDP]],[2]!DISPONIBILIDADES_2024[[#All],[valor_total_rubro]])</f>
        <v>#REF!</v>
      </c>
      <c r="T106" s="139" t="e" cm="1">
        <f t="array" aca="1" ref="T106" ca="1">_xlfn.XLOOKUP(Contrato5[[#This Row],[CONTRATO]]&amp;Contrato5[[#This Row],[CDP]],[2]!Corr_Contr_CDP[[#All],[CONTRATO-CDP]],[2]!Corr_Contr_CDP[[#All],[CRP]],_xlfn.XLOOKUP(Contrato5[[#This Row],[CDP]],[2]!COMPROMISOS_2024[[#All],[disponibilidad]],[2]!COMPROMISOS_2024[[#All],[consecutivo]],"",0),0)</f>
        <v>#NAME?</v>
      </c>
      <c r="U106" s="140" t="e" cm="1">
        <f t="array" aca="1" ref="U106" ca="1">+_xlfn.XLOOKUP(Contrato5[[#This Row],[RCP]],[2]!COMPROMISOS_2024[[#All],[consecutivo]],[2]!COMPROMISOS_2024[[#All],[fecha_aprobacion]],"",0)</f>
        <v>#NAME?</v>
      </c>
      <c r="V106" s="141" t="e">
        <f ca="1">SUMIF([2]!COMPROMISOS_2024[[#All],[consecutivo]],Contrato5[[#This Row],[RCP]],[2]!COMPROMISOS_2024[[#All],[valor_total]])</f>
        <v>#REF!</v>
      </c>
      <c r="W106" s="415">
        <v>45336</v>
      </c>
      <c r="X106" s="415">
        <v>45338</v>
      </c>
      <c r="Y106" s="143">
        <v>45338</v>
      </c>
      <c r="Z106" s="262">
        <v>45519</v>
      </c>
      <c r="AA106" s="171" t="s">
        <v>651</v>
      </c>
      <c r="AB106" s="161" t="s">
        <v>640</v>
      </c>
      <c r="AC106" s="161"/>
      <c r="AD106" s="211">
        <v>202000003663</v>
      </c>
      <c r="AE106" s="147" t="s">
        <v>523</v>
      </c>
      <c r="AF106" s="148" t="str">
        <f>TEXT(LEFT(Contrato5[[#This Row],[CONTRATO]],3),"0")</f>
        <v>80</v>
      </c>
      <c r="AG106" s="148" t="str">
        <f>IF(LEN(Contrato5[[#This Row],[Contrato2]])=3,Contrato5[[#This Row],[Contrato2]],TEXT(Contrato5[[#This Row],[Contrato2]],"000"))</f>
        <v>080</v>
      </c>
      <c r="AH106" s="149">
        <f ca="1">IFERROR(_xlfn.DAYS(Contrato5[[#This Row],[Fecha Proyectada liquidación]],TODAY())/30,"")</f>
        <v>-3.9666666666666668</v>
      </c>
      <c r="AI106" s="150">
        <f>+Contrato5[[#This Row],[FECHA TERMINACIÓN ]]+120</f>
        <v>45639</v>
      </c>
      <c r="AJ106" s="147"/>
      <c r="AK106" s="152" t="str">
        <f ca="1">IF(Contrato5[[#This Row],[FECHA TERMINACIÓN ]]&lt;TODAY(), "Terminado",IF(ISNUMBER(Contrato5[[#This Row],[Fecha Real de liquiidación ]]),"Liquidado",IF(Contrato5[[#This Row],[FECHA TERMINACIÓN ]]&gt;=TODAY(),"En ejecución","")))</f>
        <v>Terminado</v>
      </c>
      <c r="AL106" s="153" t="e">
        <f ca="1">SUMIF([2]!COMPROMISOS_2024[[#All],[consecutivo]],Contrato5[[#This Row],[RCP]],[2]!COMPROMISOS_2024[[#All],[Total pagado]])</f>
        <v>#REF!</v>
      </c>
      <c r="AM106" s="154">
        <f ca="1">IFERROR(Contrato5[[#This Row],[Pagos]]/Contrato5[[#This Row],[VALOR CONTRATO]],0)</f>
        <v>0</v>
      </c>
      <c r="AN106" s="198" t="e">
        <f ca="1">+Contrato5[[#This Row],[VALOR CONTRATO]]-Contrato5[[#This Row],[Pagos]]</f>
        <v>#REF!</v>
      </c>
      <c r="AO106" s="147" t="e" cm="1">
        <f t="array" aca="1" ref="AO106" ca="1">_xlfn.XLOOKUP(Contrato5[[#This Row],[DOCUMENTO ]],[2]!PERSONAL_ACTIVO_2024[[#All],[Documento identidad]],[2]!PERSONAL_ACTIVO_2024[[#All],[Mail ]],0,0)</f>
        <v>#NAME?</v>
      </c>
      <c r="AP106" s="147" t="e" cm="1">
        <f t="array" aca="1" ref="AP106" ca="1">_xlfn.XLOOKUP(Contrato5[[#This Row],[DOCUMENTO]],[2]!PERSONAL_ACTIVO_2024[[#All],[Documento identidad]],[2]!PERSONAL_ACTIVO_2024[[#All],[Mail ]],0,0)</f>
        <v>#NAME?</v>
      </c>
      <c r="AQ106" s="439" cm="1">
        <f t="array" aca="1" ref="AQ106" ca="1">IF(ISBLANK(Contrato5[[#This Row],[DEPENDENCIA ]]),0,IFERROR(_xlfn.XLOOKUP(Contrato5[[#This Row],[DEPENDENCIA ]],[2]!PERSONAL_ACTIVO_2024[[#All],[Dependencia]],[2]!PERSONAL_ACTIVO_2024[[#All],[Mail ]],0,0),0))</f>
        <v>0</v>
      </c>
    </row>
    <row r="107" spans="1:43" ht="34.5" customHeight="1">
      <c r="A107" s="125">
        <v>178</v>
      </c>
      <c r="B107" s="124">
        <v>81</v>
      </c>
      <c r="C107" s="162" t="s">
        <v>1602</v>
      </c>
      <c r="D107" s="227" t="s">
        <v>583</v>
      </c>
      <c r="E107" s="128" t="s">
        <v>94</v>
      </c>
      <c r="F107" s="163" t="s">
        <v>1376</v>
      </c>
      <c r="G107" s="190" t="s">
        <v>702</v>
      </c>
      <c r="H107" s="447">
        <v>16225228</v>
      </c>
      <c r="I107" s="455">
        <v>4908936</v>
      </c>
      <c r="J107" s="456">
        <v>29453616</v>
      </c>
      <c r="K107" s="166" t="s">
        <v>42</v>
      </c>
      <c r="L107" s="438" t="s">
        <v>42</v>
      </c>
      <c r="M107" s="194" t="s">
        <v>592</v>
      </c>
      <c r="N107" s="177" t="e" cm="1">
        <f t="array" aca="1" ref="N107" ca="1">_xlfn.XLOOKUP(Contrato5[[#This Row],[SUPERVISOR TITULAR]],[2]!PERSONAL_ACTIVO_2024[[#All],[Nombre completo]],[2]!PERSONAL_ACTIVO_2024[[#All],[Documento identidad]],"",0)</f>
        <v>#NAME?</v>
      </c>
      <c r="O107" s="194" t="s">
        <v>600</v>
      </c>
      <c r="P107" s="196" t="e" cm="1">
        <f t="array" aca="1" ref="P107" ca="1">_xlfn.XLOOKUP(Contrato5[[#This Row],[SUPERVISOR SUPLENTE ]],[2]!PERSONAL_ACTIVO_2024[[#All],[Nombre completo]],[2]!PERSONAL_ACTIVO_2024[[#All],[Documento identidad]],"",0)</f>
        <v>#NAME?</v>
      </c>
      <c r="Q107" s="208">
        <v>107</v>
      </c>
      <c r="R107" s="137" t="e" cm="1">
        <f t="array" aca="1" ref="R107" ca="1">_xlfn.XLOOKUP(Contrato5[[#This Row],[CDP]],[2]!DISPONIBILIDADES_2024[[#All],[consecutivo]],[2]!DISPONIBILIDADES_2024[[#All],[fecha_aprobacion]],"",0)</f>
        <v>#NAME?</v>
      </c>
      <c r="S107" s="138" t="e">
        <f>SUMIF([2]!DISPONIBILIDADES_2024[[#All],[consecutivo]],Contrato5[[#This Row],[CDP]],[2]!DISPONIBILIDADES_2024[[#All],[valor_total_rubro]])</f>
        <v>#REF!</v>
      </c>
      <c r="T107" s="139" t="e" cm="1">
        <f t="array" aca="1" ref="T107" ca="1">_xlfn.XLOOKUP(Contrato5[[#This Row],[CONTRATO]]&amp;Contrato5[[#This Row],[CDP]],[2]!Corr_Contr_CDP[[#All],[CONTRATO-CDP]],[2]!Corr_Contr_CDP[[#All],[CRP]],_xlfn.XLOOKUP(Contrato5[[#This Row],[CDP]],[2]!COMPROMISOS_2024[[#All],[disponibilidad]],[2]!COMPROMISOS_2024[[#All],[consecutivo]],"",0),0)</f>
        <v>#NAME?</v>
      </c>
      <c r="U107" s="140" t="e" cm="1">
        <f t="array" aca="1" ref="U107" ca="1">+_xlfn.XLOOKUP(Contrato5[[#This Row],[RCP]],[2]!COMPROMISOS_2024[[#All],[consecutivo]],[2]!COMPROMISOS_2024[[#All],[fecha_aprobacion]],"",0)</f>
        <v>#NAME?</v>
      </c>
      <c r="V107" s="141" t="e">
        <f ca="1">SUMIF([2]!COMPROMISOS_2024[[#All],[consecutivo]],Contrato5[[#This Row],[RCP]],[2]!COMPROMISOS_2024[[#All],[valor_total]])</f>
        <v>#REF!</v>
      </c>
      <c r="W107" s="415">
        <v>45336</v>
      </c>
      <c r="X107" s="415">
        <v>45338</v>
      </c>
      <c r="Y107" s="143">
        <v>45338</v>
      </c>
      <c r="Z107" s="262">
        <v>45519</v>
      </c>
      <c r="AA107" s="171" t="s">
        <v>651</v>
      </c>
      <c r="AB107" s="161" t="s">
        <v>640</v>
      </c>
      <c r="AC107" s="161"/>
      <c r="AD107" s="211">
        <v>202000003674</v>
      </c>
      <c r="AE107" s="147" t="s">
        <v>523</v>
      </c>
      <c r="AF107" s="148" t="str">
        <f>TEXT(LEFT(Contrato5[[#This Row],[CONTRATO]],3),"0")</f>
        <v>81</v>
      </c>
      <c r="AG107" s="148" t="str">
        <f>IF(LEN(Contrato5[[#This Row],[Contrato2]])=3,Contrato5[[#This Row],[Contrato2]],TEXT(Contrato5[[#This Row],[Contrato2]],"000"))</f>
        <v>081</v>
      </c>
      <c r="AH107" s="149">
        <f ca="1">IFERROR(_xlfn.DAYS(Contrato5[[#This Row],[Fecha Proyectada liquidación]],TODAY())/30,"")</f>
        <v>-3.9666666666666668</v>
      </c>
      <c r="AI107" s="150">
        <f>+Contrato5[[#This Row],[FECHA TERMINACIÓN ]]+120</f>
        <v>45639</v>
      </c>
      <c r="AJ107" s="147"/>
      <c r="AK107" s="152" t="str">
        <f ca="1">IF(Contrato5[[#This Row],[FECHA TERMINACIÓN ]]&lt;TODAY(), "Terminado",IF(ISNUMBER(Contrato5[[#This Row],[Fecha Real de liquiidación ]]),"Liquidado",IF(Contrato5[[#This Row],[FECHA TERMINACIÓN ]]&gt;=TODAY(),"En ejecución","")))</f>
        <v>Terminado</v>
      </c>
      <c r="AL107" s="153" t="e">
        <f ca="1">SUMIF([2]!COMPROMISOS_2024[[#All],[consecutivo]],Contrato5[[#This Row],[RCP]],[2]!COMPROMISOS_2024[[#All],[Total pagado]])</f>
        <v>#REF!</v>
      </c>
      <c r="AM107" s="154">
        <f ca="1">IFERROR(Contrato5[[#This Row],[Pagos]]/Contrato5[[#This Row],[VALOR CONTRATO]],0)</f>
        <v>0</v>
      </c>
      <c r="AN107" s="198" t="e">
        <f ca="1">+Contrato5[[#This Row],[VALOR CONTRATO]]-Contrato5[[#This Row],[Pagos]]</f>
        <v>#REF!</v>
      </c>
      <c r="AO107" s="147" t="e" cm="1">
        <f t="array" aca="1" ref="AO107" ca="1">_xlfn.XLOOKUP(Contrato5[[#This Row],[DOCUMENTO ]],[2]!PERSONAL_ACTIVO_2024[[#All],[Documento identidad]],[2]!PERSONAL_ACTIVO_2024[[#All],[Mail ]],0,0)</f>
        <v>#NAME?</v>
      </c>
      <c r="AP107" s="147" t="e" cm="1">
        <f t="array" aca="1" ref="AP107" ca="1">_xlfn.XLOOKUP(Contrato5[[#This Row],[DOCUMENTO]],[2]!PERSONAL_ACTIVO_2024[[#All],[Documento identidad]],[2]!PERSONAL_ACTIVO_2024[[#All],[Mail ]],0,0)</f>
        <v>#NAME?</v>
      </c>
      <c r="AQ107" s="439" cm="1">
        <f t="array" aca="1" ref="AQ107" ca="1">IF(ISBLANK(Contrato5[[#This Row],[DEPENDENCIA ]]),0,IFERROR(_xlfn.XLOOKUP(Contrato5[[#This Row],[DEPENDENCIA ]],[2]!PERSONAL_ACTIVO_2024[[#All],[Dependencia]],[2]!PERSONAL_ACTIVO_2024[[#All],[Mail ]],0,0),0))</f>
        <v>0</v>
      </c>
    </row>
    <row r="108" spans="1:43" ht="34.5" customHeight="1">
      <c r="A108" s="125">
        <v>179</v>
      </c>
      <c r="B108" s="124">
        <v>82</v>
      </c>
      <c r="C108" s="162" t="s">
        <v>1603</v>
      </c>
      <c r="D108" s="227" t="s">
        <v>583</v>
      </c>
      <c r="E108" s="128" t="s">
        <v>94</v>
      </c>
      <c r="F108" s="163" t="s">
        <v>1376</v>
      </c>
      <c r="G108" s="190" t="s">
        <v>703</v>
      </c>
      <c r="H108" s="447">
        <v>1128478578</v>
      </c>
      <c r="I108" s="455">
        <v>2574842</v>
      </c>
      <c r="J108" s="456">
        <v>15449052</v>
      </c>
      <c r="K108" s="166" t="s">
        <v>42</v>
      </c>
      <c r="L108" s="438" t="s">
        <v>42</v>
      </c>
      <c r="M108" s="194" t="s">
        <v>592</v>
      </c>
      <c r="N108" s="177" t="e" cm="1">
        <f t="array" aca="1" ref="N108" ca="1">_xlfn.XLOOKUP(Contrato5[[#This Row],[SUPERVISOR TITULAR]],[2]!PERSONAL_ACTIVO_2024[[#All],[Nombre completo]],[2]!PERSONAL_ACTIVO_2024[[#All],[Documento identidad]],"",0)</f>
        <v>#NAME?</v>
      </c>
      <c r="O108" s="194" t="s">
        <v>600</v>
      </c>
      <c r="P108" s="196" t="e" cm="1">
        <f t="array" aca="1" ref="P108" ca="1">_xlfn.XLOOKUP(Contrato5[[#This Row],[SUPERVISOR SUPLENTE ]],[2]!PERSONAL_ACTIVO_2024[[#All],[Nombre completo]],[2]!PERSONAL_ACTIVO_2024[[#All],[Documento identidad]],"",0)</f>
        <v>#NAME?</v>
      </c>
      <c r="Q108" s="208">
        <v>108</v>
      </c>
      <c r="R108" s="137" t="e" cm="1">
        <f t="array" aca="1" ref="R108" ca="1">_xlfn.XLOOKUP(Contrato5[[#This Row],[CDP]],[2]!DISPONIBILIDADES_2024[[#All],[consecutivo]],[2]!DISPONIBILIDADES_2024[[#All],[fecha_aprobacion]],"",0)</f>
        <v>#NAME?</v>
      </c>
      <c r="S108" s="138" t="e">
        <f>SUMIF([2]!DISPONIBILIDADES_2024[[#All],[consecutivo]],Contrato5[[#This Row],[CDP]],[2]!DISPONIBILIDADES_2024[[#All],[valor_total_rubro]])</f>
        <v>#REF!</v>
      </c>
      <c r="T108" s="139" t="e" cm="1">
        <f t="array" aca="1" ref="T108" ca="1">_xlfn.XLOOKUP(Contrato5[[#This Row],[CONTRATO]]&amp;Contrato5[[#This Row],[CDP]],[2]!Corr_Contr_CDP[[#All],[CONTRATO-CDP]],[2]!Corr_Contr_CDP[[#All],[CRP]],_xlfn.XLOOKUP(Contrato5[[#This Row],[CDP]],[2]!COMPROMISOS_2024[[#All],[disponibilidad]],[2]!COMPROMISOS_2024[[#All],[consecutivo]],"",0),0)</f>
        <v>#NAME?</v>
      </c>
      <c r="U108" s="140" t="e" cm="1">
        <f t="array" aca="1" ref="U108" ca="1">+_xlfn.XLOOKUP(Contrato5[[#This Row],[RCP]],[2]!COMPROMISOS_2024[[#All],[consecutivo]],[2]!COMPROMISOS_2024[[#All],[fecha_aprobacion]],"",0)</f>
        <v>#NAME?</v>
      </c>
      <c r="V108" s="141" t="e">
        <f ca="1">SUMIF([2]!COMPROMISOS_2024[[#All],[consecutivo]],Contrato5[[#This Row],[RCP]],[2]!COMPROMISOS_2024[[#All],[valor_total]])</f>
        <v>#REF!</v>
      </c>
      <c r="W108" s="415">
        <v>45337</v>
      </c>
      <c r="X108" s="415">
        <v>45338</v>
      </c>
      <c r="Y108" s="143">
        <v>45338</v>
      </c>
      <c r="Z108" s="262">
        <v>45519</v>
      </c>
      <c r="AA108" s="171" t="s">
        <v>653</v>
      </c>
      <c r="AB108" s="161" t="s">
        <v>640</v>
      </c>
      <c r="AC108" s="161"/>
      <c r="AD108" s="211">
        <v>202000003676</v>
      </c>
      <c r="AE108" s="147" t="s">
        <v>523</v>
      </c>
      <c r="AF108" s="148" t="str">
        <f>TEXT(LEFT(Contrato5[[#This Row],[CONTRATO]],3),"0")</f>
        <v>82</v>
      </c>
      <c r="AG108" s="148" t="str">
        <f>IF(LEN(Contrato5[[#This Row],[Contrato2]])=3,Contrato5[[#This Row],[Contrato2]],TEXT(Contrato5[[#This Row],[Contrato2]],"000"))</f>
        <v>082</v>
      </c>
      <c r="AH108" s="149">
        <f ca="1">IFERROR(_xlfn.DAYS(Contrato5[[#This Row],[Fecha Proyectada liquidación]],TODAY())/30,"")</f>
        <v>-3.9666666666666668</v>
      </c>
      <c r="AI108" s="150">
        <f>+Contrato5[[#This Row],[FECHA TERMINACIÓN ]]+120</f>
        <v>45639</v>
      </c>
      <c r="AJ108" s="147"/>
      <c r="AK108" s="152" t="str">
        <f ca="1">IF(Contrato5[[#This Row],[FECHA TERMINACIÓN ]]&lt;TODAY(), "Terminado",IF(ISNUMBER(Contrato5[[#This Row],[Fecha Real de liquiidación ]]),"Liquidado",IF(Contrato5[[#This Row],[FECHA TERMINACIÓN ]]&gt;=TODAY(),"En ejecución","")))</f>
        <v>Terminado</v>
      </c>
      <c r="AL108" s="153" t="e">
        <f ca="1">SUMIF([2]!COMPROMISOS_2024[[#All],[consecutivo]],Contrato5[[#This Row],[RCP]],[2]!COMPROMISOS_2024[[#All],[Total pagado]])</f>
        <v>#REF!</v>
      </c>
      <c r="AM108" s="154">
        <f ca="1">IFERROR(Contrato5[[#This Row],[Pagos]]/Contrato5[[#This Row],[VALOR CONTRATO]],0)</f>
        <v>0</v>
      </c>
      <c r="AN108" s="198" t="e">
        <f ca="1">+Contrato5[[#This Row],[VALOR CONTRATO]]-Contrato5[[#This Row],[Pagos]]</f>
        <v>#REF!</v>
      </c>
      <c r="AO108" s="147" t="e" cm="1">
        <f t="array" aca="1" ref="AO108" ca="1">_xlfn.XLOOKUP(Contrato5[[#This Row],[DOCUMENTO ]],[2]!PERSONAL_ACTIVO_2024[[#All],[Documento identidad]],[2]!PERSONAL_ACTIVO_2024[[#All],[Mail ]],0,0)</f>
        <v>#NAME?</v>
      </c>
      <c r="AP108" s="147" t="e" cm="1">
        <f t="array" aca="1" ref="AP108" ca="1">_xlfn.XLOOKUP(Contrato5[[#This Row],[DOCUMENTO]],[2]!PERSONAL_ACTIVO_2024[[#All],[Documento identidad]],[2]!PERSONAL_ACTIVO_2024[[#All],[Mail ]],0,0)</f>
        <v>#NAME?</v>
      </c>
      <c r="AQ108" s="439" cm="1">
        <f t="array" aca="1" ref="AQ108" ca="1">IF(ISBLANK(Contrato5[[#This Row],[DEPENDENCIA ]]),0,IFERROR(_xlfn.XLOOKUP(Contrato5[[#This Row],[DEPENDENCIA ]],[2]!PERSONAL_ACTIVO_2024[[#All],[Dependencia]],[2]!PERSONAL_ACTIVO_2024[[#All],[Mail ]],0,0),0))</f>
        <v>0</v>
      </c>
    </row>
    <row r="109" spans="1:43" ht="34.5" customHeight="1">
      <c r="A109" s="125">
        <v>180</v>
      </c>
      <c r="B109" s="124">
        <v>83</v>
      </c>
      <c r="C109" s="162" t="s">
        <v>1604</v>
      </c>
      <c r="D109" s="227" t="s">
        <v>583</v>
      </c>
      <c r="E109" s="128" t="s">
        <v>94</v>
      </c>
      <c r="F109" s="163" t="s">
        <v>1376</v>
      </c>
      <c r="G109" s="190" t="s">
        <v>704</v>
      </c>
      <c r="H109" s="447">
        <v>70328845</v>
      </c>
      <c r="I109" s="455">
        <v>3952382</v>
      </c>
      <c r="J109" s="456">
        <v>23714292</v>
      </c>
      <c r="K109" s="166" t="s">
        <v>42</v>
      </c>
      <c r="L109" s="438" t="s">
        <v>42</v>
      </c>
      <c r="M109" s="194" t="s">
        <v>592</v>
      </c>
      <c r="N109" s="177" t="e" cm="1">
        <f t="array" aca="1" ref="N109" ca="1">_xlfn.XLOOKUP(Contrato5[[#This Row],[SUPERVISOR TITULAR]],[2]!PERSONAL_ACTIVO_2024[[#All],[Nombre completo]],[2]!PERSONAL_ACTIVO_2024[[#All],[Documento identidad]],"",0)</f>
        <v>#NAME?</v>
      </c>
      <c r="O109" s="194" t="s">
        <v>600</v>
      </c>
      <c r="P109" s="196" t="e" cm="1">
        <f t="array" aca="1" ref="P109" ca="1">_xlfn.XLOOKUP(Contrato5[[#This Row],[SUPERVISOR SUPLENTE ]],[2]!PERSONAL_ACTIVO_2024[[#All],[Nombre completo]],[2]!PERSONAL_ACTIVO_2024[[#All],[Documento identidad]],"",0)</f>
        <v>#NAME?</v>
      </c>
      <c r="Q109" s="208">
        <v>109</v>
      </c>
      <c r="R109" s="137" t="e" cm="1">
        <f t="array" aca="1" ref="R109" ca="1">_xlfn.XLOOKUP(Contrato5[[#This Row],[CDP]],[2]!DISPONIBILIDADES_2024[[#All],[consecutivo]],[2]!DISPONIBILIDADES_2024[[#All],[fecha_aprobacion]],"",0)</f>
        <v>#NAME?</v>
      </c>
      <c r="S109" s="138" t="e">
        <f>SUMIF([2]!DISPONIBILIDADES_2024[[#All],[consecutivo]],Contrato5[[#This Row],[CDP]],[2]!DISPONIBILIDADES_2024[[#All],[valor_total_rubro]])</f>
        <v>#REF!</v>
      </c>
      <c r="T109" s="139" t="e" cm="1">
        <f t="array" aca="1" ref="T109" ca="1">_xlfn.XLOOKUP(Contrato5[[#This Row],[CONTRATO]]&amp;Contrato5[[#This Row],[CDP]],[2]!Corr_Contr_CDP[[#All],[CONTRATO-CDP]],[2]!Corr_Contr_CDP[[#All],[CRP]],_xlfn.XLOOKUP(Contrato5[[#This Row],[CDP]],[2]!COMPROMISOS_2024[[#All],[disponibilidad]],[2]!COMPROMISOS_2024[[#All],[consecutivo]],"",0),0)</f>
        <v>#NAME?</v>
      </c>
      <c r="U109" s="140" t="e" cm="1">
        <f t="array" aca="1" ref="U109" ca="1">+_xlfn.XLOOKUP(Contrato5[[#This Row],[RCP]],[2]!COMPROMISOS_2024[[#All],[consecutivo]],[2]!COMPROMISOS_2024[[#All],[fecha_aprobacion]],"",0)</f>
        <v>#NAME?</v>
      </c>
      <c r="V109" s="141" t="e">
        <f ca="1">SUMIF([2]!COMPROMISOS_2024[[#All],[consecutivo]],Contrato5[[#This Row],[RCP]],[2]!COMPROMISOS_2024[[#All],[valor_total]])</f>
        <v>#REF!</v>
      </c>
      <c r="W109" s="415">
        <v>45337</v>
      </c>
      <c r="X109" s="415">
        <v>45337</v>
      </c>
      <c r="Y109" s="143">
        <v>45338</v>
      </c>
      <c r="Z109" s="262">
        <v>45519</v>
      </c>
      <c r="AA109" s="171" t="s">
        <v>653</v>
      </c>
      <c r="AB109" s="161" t="s">
        <v>640</v>
      </c>
      <c r="AC109" s="161"/>
      <c r="AD109" s="211">
        <v>202000003679</v>
      </c>
      <c r="AE109" s="147" t="s">
        <v>523</v>
      </c>
      <c r="AF109" s="148" t="str">
        <f>TEXT(LEFT(Contrato5[[#This Row],[CONTRATO]],3),"0")</f>
        <v>83</v>
      </c>
      <c r="AG109" s="148" t="str">
        <f>IF(LEN(Contrato5[[#This Row],[Contrato2]])=3,Contrato5[[#This Row],[Contrato2]],TEXT(Contrato5[[#This Row],[Contrato2]],"000"))</f>
        <v>083</v>
      </c>
      <c r="AH109" s="149">
        <f ca="1">IFERROR(_xlfn.DAYS(Contrato5[[#This Row],[Fecha Proyectada liquidación]],TODAY())/30,"")</f>
        <v>-3.9666666666666668</v>
      </c>
      <c r="AI109" s="150">
        <f>+Contrato5[[#This Row],[FECHA TERMINACIÓN ]]+120</f>
        <v>45639</v>
      </c>
      <c r="AJ109" s="147"/>
      <c r="AK109" s="152" t="str">
        <f ca="1">IF(Contrato5[[#This Row],[FECHA TERMINACIÓN ]]&lt;TODAY(), "Terminado",IF(ISNUMBER(Contrato5[[#This Row],[Fecha Real de liquiidación ]]),"Liquidado",IF(Contrato5[[#This Row],[FECHA TERMINACIÓN ]]&gt;=TODAY(),"En ejecución","")))</f>
        <v>Terminado</v>
      </c>
      <c r="AL109" s="153" t="e">
        <f ca="1">SUMIF([2]!COMPROMISOS_2024[[#All],[consecutivo]],Contrato5[[#This Row],[RCP]],[2]!COMPROMISOS_2024[[#All],[Total pagado]])</f>
        <v>#REF!</v>
      </c>
      <c r="AM109" s="154">
        <f ca="1">IFERROR(Contrato5[[#This Row],[Pagos]]/Contrato5[[#This Row],[VALOR CONTRATO]],0)</f>
        <v>0</v>
      </c>
      <c r="AN109" s="198" t="e">
        <f ca="1">+Contrato5[[#This Row],[VALOR CONTRATO]]-Contrato5[[#This Row],[Pagos]]</f>
        <v>#REF!</v>
      </c>
      <c r="AO109" s="147" t="e" cm="1">
        <f t="array" aca="1" ref="AO109" ca="1">_xlfn.XLOOKUP(Contrato5[[#This Row],[DOCUMENTO ]],[2]!PERSONAL_ACTIVO_2024[[#All],[Documento identidad]],[2]!PERSONAL_ACTIVO_2024[[#All],[Mail ]],0,0)</f>
        <v>#NAME?</v>
      </c>
      <c r="AP109" s="147" t="e" cm="1">
        <f t="array" aca="1" ref="AP109" ca="1">_xlfn.XLOOKUP(Contrato5[[#This Row],[DOCUMENTO]],[2]!PERSONAL_ACTIVO_2024[[#All],[Documento identidad]],[2]!PERSONAL_ACTIVO_2024[[#All],[Mail ]],0,0)</f>
        <v>#NAME?</v>
      </c>
      <c r="AQ109" s="439" cm="1">
        <f t="array" aca="1" ref="AQ109" ca="1">IF(ISBLANK(Contrato5[[#This Row],[DEPENDENCIA ]]),0,IFERROR(_xlfn.XLOOKUP(Contrato5[[#This Row],[DEPENDENCIA ]],[2]!PERSONAL_ACTIVO_2024[[#All],[Dependencia]],[2]!PERSONAL_ACTIVO_2024[[#All],[Mail ]],0,0),0))</f>
        <v>0</v>
      </c>
    </row>
    <row r="110" spans="1:43" ht="34.5" customHeight="1">
      <c r="A110" s="125">
        <v>181</v>
      </c>
      <c r="B110" s="124">
        <v>84</v>
      </c>
      <c r="C110" s="162" t="s">
        <v>2518</v>
      </c>
      <c r="D110" s="227" t="s">
        <v>583</v>
      </c>
      <c r="E110" s="128" t="s">
        <v>94</v>
      </c>
      <c r="F110" s="163" t="s">
        <v>1376</v>
      </c>
      <c r="G110" s="190" t="s">
        <v>705</v>
      </c>
      <c r="H110" s="447">
        <v>1112471865</v>
      </c>
      <c r="I110" s="455">
        <v>5931149</v>
      </c>
      <c r="J110" s="456">
        <v>35586894</v>
      </c>
      <c r="K110" s="166" t="s">
        <v>42</v>
      </c>
      <c r="L110" s="438" t="s">
        <v>42</v>
      </c>
      <c r="M110" s="194" t="s">
        <v>589</v>
      </c>
      <c r="N110" s="177" t="e" cm="1">
        <f t="array" aca="1" ref="N110" ca="1">_xlfn.XLOOKUP(Contrato5[[#This Row],[SUPERVISOR TITULAR]],[2]!PERSONAL_ACTIVO_2024[[#All],[Nombre completo]],[2]!PERSONAL_ACTIVO_2024[[#All],[Documento identidad]],"",0)</f>
        <v>#NAME?</v>
      </c>
      <c r="O110" s="194" t="s">
        <v>586</v>
      </c>
      <c r="P110" s="196" t="e" cm="1">
        <f t="array" aca="1" ref="P110" ca="1">_xlfn.XLOOKUP(Contrato5[[#This Row],[SUPERVISOR SUPLENTE ]],[2]!PERSONAL_ACTIVO_2024[[#All],[Nombre completo]],[2]!PERSONAL_ACTIVO_2024[[#All],[Documento identidad]],"",0)</f>
        <v>#NAME?</v>
      </c>
      <c r="Q110" s="208">
        <v>110</v>
      </c>
      <c r="R110" s="137" t="e" cm="1">
        <f t="array" aca="1" ref="R110" ca="1">_xlfn.XLOOKUP(Contrato5[[#This Row],[CDP]],[2]!DISPONIBILIDADES_2024[[#All],[consecutivo]],[2]!DISPONIBILIDADES_2024[[#All],[fecha_aprobacion]],"",0)</f>
        <v>#NAME?</v>
      </c>
      <c r="S110" s="138" t="e">
        <f>SUMIF([2]!DISPONIBILIDADES_2024[[#All],[consecutivo]],Contrato5[[#This Row],[CDP]],[2]!DISPONIBILIDADES_2024[[#All],[valor_total_rubro]])</f>
        <v>#REF!</v>
      </c>
      <c r="T110" s="139" t="e" cm="1">
        <f t="array" aca="1" ref="T110" ca="1">_xlfn.XLOOKUP(Contrato5[[#This Row],[CONTRATO]]&amp;Contrato5[[#This Row],[CDP]],[2]!Corr_Contr_CDP[[#All],[CONTRATO-CDP]],[2]!Corr_Contr_CDP[[#All],[CRP]],_xlfn.XLOOKUP(Contrato5[[#This Row],[CDP]],[2]!COMPROMISOS_2024[[#All],[disponibilidad]],[2]!COMPROMISOS_2024[[#All],[consecutivo]],"",0),0)</f>
        <v>#NAME?</v>
      </c>
      <c r="U110" s="140" t="e" cm="1">
        <f t="array" aca="1" ref="U110" ca="1">+_xlfn.XLOOKUP(Contrato5[[#This Row],[RCP]],[2]!COMPROMISOS_2024[[#All],[consecutivo]],[2]!COMPROMISOS_2024[[#All],[fecha_aprobacion]],"",0)</f>
        <v>#NAME?</v>
      </c>
      <c r="V110" s="141" t="e">
        <f ca="1">SUMIF([2]!COMPROMISOS_2024[[#All],[consecutivo]],Contrato5[[#This Row],[RCP]],[2]!COMPROMISOS_2024[[#All],[valor_total]])</f>
        <v>#REF!</v>
      </c>
      <c r="W110" s="415">
        <v>45336</v>
      </c>
      <c r="X110" s="415">
        <v>45338</v>
      </c>
      <c r="Y110" s="143">
        <v>45338</v>
      </c>
      <c r="Z110" s="262">
        <v>45519</v>
      </c>
      <c r="AA110" s="171" t="s">
        <v>651</v>
      </c>
      <c r="AB110" s="161" t="s">
        <v>640</v>
      </c>
      <c r="AC110" s="161"/>
      <c r="AD110" s="211">
        <v>202000003680</v>
      </c>
      <c r="AE110" s="147" t="s">
        <v>523</v>
      </c>
      <c r="AF110" s="148" t="str">
        <f>TEXT(LEFT(Contrato5[[#This Row],[CONTRATO]],3),"0")</f>
        <v>84</v>
      </c>
      <c r="AG110" s="148" t="str">
        <f>IF(LEN(Contrato5[[#This Row],[Contrato2]])=3,Contrato5[[#This Row],[Contrato2]],TEXT(Contrato5[[#This Row],[Contrato2]],"000"))</f>
        <v>084</v>
      </c>
      <c r="AH110" s="149">
        <f ca="1">IFERROR(_xlfn.DAYS(Contrato5[[#This Row],[Fecha Proyectada liquidación]],TODAY())/30,"")</f>
        <v>-3.9666666666666668</v>
      </c>
      <c r="AI110" s="150">
        <f>+Contrato5[[#This Row],[FECHA TERMINACIÓN ]]+120</f>
        <v>45639</v>
      </c>
      <c r="AJ110" s="147"/>
      <c r="AK110" s="152" t="str">
        <f ca="1">IF(Contrato5[[#This Row],[FECHA TERMINACIÓN ]]&lt;TODAY(), "Terminado",IF(ISNUMBER(Contrato5[[#This Row],[Fecha Real de liquiidación ]]),"Liquidado",IF(Contrato5[[#This Row],[FECHA TERMINACIÓN ]]&gt;=TODAY(),"En ejecución","")))</f>
        <v>Terminado</v>
      </c>
      <c r="AL110" s="153" t="e">
        <f ca="1">SUMIF([2]!COMPROMISOS_2024[[#All],[consecutivo]],Contrato5[[#This Row],[RCP]],[2]!COMPROMISOS_2024[[#All],[Total pagado]])</f>
        <v>#REF!</v>
      </c>
      <c r="AM110" s="154">
        <f ca="1">IFERROR(Contrato5[[#This Row],[Pagos]]/Contrato5[[#This Row],[VALOR CONTRATO]],0)</f>
        <v>0</v>
      </c>
      <c r="AN110" s="198" t="e">
        <f ca="1">+Contrato5[[#This Row],[VALOR CONTRATO]]-Contrato5[[#This Row],[Pagos]]</f>
        <v>#REF!</v>
      </c>
      <c r="AO110" s="147" t="e" cm="1">
        <f t="array" aca="1" ref="AO110" ca="1">_xlfn.XLOOKUP(Contrato5[[#This Row],[DOCUMENTO ]],[2]!PERSONAL_ACTIVO_2024[[#All],[Documento identidad]],[2]!PERSONAL_ACTIVO_2024[[#All],[Mail ]],0,0)</f>
        <v>#NAME?</v>
      </c>
      <c r="AP110" s="147" t="e" cm="1">
        <f t="array" aca="1" ref="AP110" ca="1">_xlfn.XLOOKUP(Contrato5[[#This Row],[DOCUMENTO]],[2]!PERSONAL_ACTIVO_2024[[#All],[Documento identidad]],[2]!PERSONAL_ACTIVO_2024[[#All],[Mail ]],0,0)</f>
        <v>#NAME?</v>
      </c>
      <c r="AQ110" s="439" cm="1">
        <f t="array" aca="1" ref="AQ110" ca="1">IF(ISBLANK(Contrato5[[#This Row],[DEPENDENCIA ]]),0,IFERROR(_xlfn.XLOOKUP(Contrato5[[#This Row],[DEPENDENCIA ]],[2]!PERSONAL_ACTIVO_2024[[#All],[Dependencia]],[2]!PERSONAL_ACTIVO_2024[[#All],[Mail ]],0,0),0))</f>
        <v>0</v>
      </c>
    </row>
    <row r="111" spans="1:43" ht="34.5" customHeight="1">
      <c r="A111" s="125">
        <v>182</v>
      </c>
      <c r="B111" s="124">
        <v>85</v>
      </c>
      <c r="C111" s="162" t="s">
        <v>2519</v>
      </c>
      <c r="D111" s="227" t="s">
        <v>583</v>
      </c>
      <c r="E111" s="128" t="s">
        <v>94</v>
      </c>
      <c r="F111" s="163" t="s">
        <v>1376</v>
      </c>
      <c r="G111" s="190" t="s">
        <v>706</v>
      </c>
      <c r="H111" s="447">
        <v>700148202</v>
      </c>
      <c r="I111" s="455">
        <v>4908936</v>
      </c>
      <c r="J111" s="456">
        <v>29453616</v>
      </c>
      <c r="K111" s="166" t="s">
        <v>42</v>
      </c>
      <c r="L111" s="438" t="s">
        <v>42</v>
      </c>
      <c r="M111" s="194" t="s">
        <v>589</v>
      </c>
      <c r="N111" s="177" t="e" cm="1">
        <f t="array" aca="1" ref="N111" ca="1">_xlfn.XLOOKUP(Contrato5[[#This Row],[SUPERVISOR TITULAR]],[2]!PERSONAL_ACTIVO_2024[[#All],[Nombre completo]],[2]!PERSONAL_ACTIVO_2024[[#All],[Documento identidad]],"",0)</f>
        <v>#NAME?</v>
      </c>
      <c r="O111" s="194" t="s">
        <v>586</v>
      </c>
      <c r="P111" s="196" t="e" cm="1">
        <f t="array" aca="1" ref="P111" ca="1">_xlfn.XLOOKUP(Contrato5[[#This Row],[SUPERVISOR SUPLENTE ]],[2]!PERSONAL_ACTIVO_2024[[#All],[Nombre completo]],[2]!PERSONAL_ACTIVO_2024[[#All],[Documento identidad]],"",0)</f>
        <v>#NAME?</v>
      </c>
      <c r="Q111" s="208">
        <v>111</v>
      </c>
      <c r="R111" s="137" t="e" cm="1">
        <f t="array" aca="1" ref="R111" ca="1">_xlfn.XLOOKUP(Contrato5[[#This Row],[CDP]],[2]!DISPONIBILIDADES_2024[[#All],[consecutivo]],[2]!DISPONIBILIDADES_2024[[#All],[fecha_aprobacion]],"",0)</f>
        <v>#NAME?</v>
      </c>
      <c r="S111" s="138" t="e">
        <f>SUMIF([2]!DISPONIBILIDADES_2024[[#All],[consecutivo]],Contrato5[[#This Row],[CDP]],[2]!DISPONIBILIDADES_2024[[#All],[valor_total_rubro]])</f>
        <v>#REF!</v>
      </c>
      <c r="T111" s="139" t="e" cm="1">
        <f t="array" aca="1" ref="T111" ca="1">_xlfn.XLOOKUP(Contrato5[[#This Row],[CONTRATO]]&amp;Contrato5[[#This Row],[CDP]],[2]!Corr_Contr_CDP[[#All],[CONTRATO-CDP]],[2]!Corr_Contr_CDP[[#All],[CRP]],_xlfn.XLOOKUP(Contrato5[[#This Row],[CDP]],[2]!COMPROMISOS_2024[[#All],[disponibilidad]],[2]!COMPROMISOS_2024[[#All],[consecutivo]],"",0),0)</f>
        <v>#NAME?</v>
      </c>
      <c r="U111" s="140" t="e" cm="1">
        <f t="array" aca="1" ref="U111" ca="1">+_xlfn.XLOOKUP(Contrato5[[#This Row],[RCP]],[2]!COMPROMISOS_2024[[#All],[consecutivo]],[2]!COMPROMISOS_2024[[#All],[fecha_aprobacion]],"",0)</f>
        <v>#NAME?</v>
      </c>
      <c r="V111" s="141" t="e">
        <f ca="1">SUMIF([2]!COMPROMISOS_2024[[#All],[consecutivo]],Contrato5[[#This Row],[RCP]],[2]!COMPROMISOS_2024[[#All],[valor_total]])</f>
        <v>#REF!</v>
      </c>
      <c r="W111" s="415">
        <v>45337</v>
      </c>
      <c r="X111" s="415">
        <v>45338</v>
      </c>
      <c r="Y111" s="143">
        <v>45338</v>
      </c>
      <c r="Z111" s="262">
        <v>45519</v>
      </c>
      <c r="AA111" s="171" t="s">
        <v>651</v>
      </c>
      <c r="AB111" s="161" t="s">
        <v>640</v>
      </c>
      <c r="AC111" s="161"/>
      <c r="AD111" s="211">
        <v>202000003681</v>
      </c>
      <c r="AE111" s="147" t="s">
        <v>523</v>
      </c>
      <c r="AF111" s="148" t="str">
        <f>TEXT(LEFT(Contrato5[[#This Row],[CONTRATO]],3),"0")</f>
        <v>85</v>
      </c>
      <c r="AG111" s="148" t="str">
        <f>IF(LEN(Contrato5[[#This Row],[Contrato2]])=3,Contrato5[[#This Row],[Contrato2]],TEXT(Contrato5[[#This Row],[Contrato2]],"000"))</f>
        <v>085</v>
      </c>
      <c r="AH111" s="149">
        <f ca="1">IFERROR(_xlfn.DAYS(Contrato5[[#This Row],[Fecha Proyectada liquidación]],TODAY())/30,"")</f>
        <v>-3.9666666666666668</v>
      </c>
      <c r="AI111" s="150">
        <f>+Contrato5[[#This Row],[FECHA TERMINACIÓN ]]+120</f>
        <v>45639</v>
      </c>
      <c r="AJ111" s="147"/>
      <c r="AK111" s="152" t="str">
        <f ca="1">IF(Contrato5[[#This Row],[FECHA TERMINACIÓN ]]&lt;TODAY(), "Terminado",IF(ISNUMBER(Contrato5[[#This Row],[Fecha Real de liquiidación ]]),"Liquidado",IF(Contrato5[[#This Row],[FECHA TERMINACIÓN ]]&gt;=TODAY(),"En ejecución","")))</f>
        <v>Terminado</v>
      </c>
      <c r="AL111" s="153" t="e">
        <f ca="1">SUMIF([2]!COMPROMISOS_2024[[#All],[consecutivo]],Contrato5[[#This Row],[RCP]],[2]!COMPROMISOS_2024[[#All],[Total pagado]])</f>
        <v>#REF!</v>
      </c>
      <c r="AM111" s="154">
        <f ca="1">IFERROR(Contrato5[[#This Row],[Pagos]]/Contrato5[[#This Row],[VALOR CONTRATO]],0)</f>
        <v>0</v>
      </c>
      <c r="AN111" s="198" t="e">
        <f ca="1">+Contrato5[[#This Row],[VALOR CONTRATO]]-Contrato5[[#This Row],[Pagos]]</f>
        <v>#REF!</v>
      </c>
      <c r="AO111" s="147" t="e" cm="1">
        <f t="array" aca="1" ref="AO111" ca="1">_xlfn.XLOOKUP(Contrato5[[#This Row],[DOCUMENTO ]],[2]!PERSONAL_ACTIVO_2024[[#All],[Documento identidad]],[2]!PERSONAL_ACTIVO_2024[[#All],[Mail ]],0,0)</f>
        <v>#NAME?</v>
      </c>
      <c r="AP111" s="147" t="e" cm="1">
        <f t="array" aca="1" ref="AP111" ca="1">_xlfn.XLOOKUP(Contrato5[[#This Row],[DOCUMENTO]],[2]!PERSONAL_ACTIVO_2024[[#All],[Documento identidad]],[2]!PERSONAL_ACTIVO_2024[[#All],[Mail ]],0,0)</f>
        <v>#NAME?</v>
      </c>
      <c r="AQ111" s="439" cm="1">
        <f t="array" aca="1" ref="AQ111" ca="1">IF(ISBLANK(Contrato5[[#This Row],[DEPENDENCIA ]]),0,IFERROR(_xlfn.XLOOKUP(Contrato5[[#This Row],[DEPENDENCIA ]],[2]!PERSONAL_ACTIVO_2024[[#All],[Dependencia]],[2]!PERSONAL_ACTIVO_2024[[#All],[Mail ]],0,0),0))</f>
        <v>0</v>
      </c>
    </row>
    <row r="112" spans="1:43" ht="34.5" customHeight="1">
      <c r="A112" s="125">
        <v>183</v>
      </c>
      <c r="B112" s="124">
        <v>86</v>
      </c>
      <c r="C112" s="162" t="s">
        <v>2520</v>
      </c>
      <c r="D112" s="227" t="s">
        <v>583</v>
      </c>
      <c r="E112" s="128" t="s">
        <v>94</v>
      </c>
      <c r="F112" s="163" t="s">
        <v>1376</v>
      </c>
      <c r="G112" s="190" t="s">
        <v>707</v>
      </c>
      <c r="H112" s="447">
        <v>16708074</v>
      </c>
      <c r="I112" s="455">
        <v>4908936</v>
      </c>
      <c r="J112" s="456">
        <v>29453616</v>
      </c>
      <c r="K112" s="166" t="s">
        <v>42</v>
      </c>
      <c r="L112" s="438" t="s">
        <v>42</v>
      </c>
      <c r="M112" s="194" t="s">
        <v>589</v>
      </c>
      <c r="N112" s="177" t="e" cm="1">
        <f t="array" aca="1" ref="N112" ca="1">_xlfn.XLOOKUP(Contrato5[[#This Row],[SUPERVISOR TITULAR]],[2]!PERSONAL_ACTIVO_2024[[#All],[Nombre completo]],[2]!PERSONAL_ACTIVO_2024[[#All],[Documento identidad]],"",0)</f>
        <v>#NAME?</v>
      </c>
      <c r="O112" s="194" t="s">
        <v>586</v>
      </c>
      <c r="P112" s="196" t="e" cm="1">
        <f t="array" aca="1" ref="P112" ca="1">_xlfn.XLOOKUP(Contrato5[[#This Row],[SUPERVISOR SUPLENTE ]],[2]!PERSONAL_ACTIVO_2024[[#All],[Nombre completo]],[2]!PERSONAL_ACTIVO_2024[[#All],[Documento identidad]],"",0)</f>
        <v>#NAME?</v>
      </c>
      <c r="Q112" s="208">
        <v>112</v>
      </c>
      <c r="R112" s="137" t="e" cm="1">
        <f t="array" aca="1" ref="R112" ca="1">_xlfn.XLOOKUP(Contrato5[[#This Row],[CDP]],[2]!DISPONIBILIDADES_2024[[#All],[consecutivo]],[2]!DISPONIBILIDADES_2024[[#All],[fecha_aprobacion]],"",0)</f>
        <v>#NAME?</v>
      </c>
      <c r="S112" s="138" t="e">
        <f>SUMIF([2]!DISPONIBILIDADES_2024[[#All],[consecutivo]],Contrato5[[#This Row],[CDP]],[2]!DISPONIBILIDADES_2024[[#All],[valor_total_rubro]])</f>
        <v>#REF!</v>
      </c>
      <c r="T112" s="139" t="e" cm="1">
        <f t="array" aca="1" ref="T112" ca="1">_xlfn.XLOOKUP(Contrato5[[#This Row],[CONTRATO]]&amp;Contrato5[[#This Row],[CDP]],[2]!Corr_Contr_CDP[[#All],[CONTRATO-CDP]],[2]!Corr_Contr_CDP[[#All],[CRP]],_xlfn.XLOOKUP(Contrato5[[#This Row],[CDP]],[2]!COMPROMISOS_2024[[#All],[disponibilidad]],[2]!COMPROMISOS_2024[[#All],[consecutivo]],"",0),0)</f>
        <v>#NAME?</v>
      </c>
      <c r="U112" s="140" t="e" cm="1">
        <f t="array" aca="1" ref="U112" ca="1">+_xlfn.XLOOKUP(Contrato5[[#This Row],[RCP]],[2]!COMPROMISOS_2024[[#All],[consecutivo]],[2]!COMPROMISOS_2024[[#All],[fecha_aprobacion]],"",0)</f>
        <v>#NAME?</v>
      </c>
      <c r="V112" s="141" t="e">
        <f ca="1">SUMIF([2]!COMPROMISOS_2024[[#All],[consecutivo]],Contrato5[[#This Row],[RCP]],[2]!COMPROMISOS_2024[[#All],[valor_total]])</f>
        <v>#REF!</v>
      </c>
      <c r="W112" s="415">
        <v>45337</v>
      </c>
      <c r="X112" s="415">
        <v>45338</v>
      </c>
      <c r="Y112" s="143">
        <v>45338</v>
      </c>
      <c r="Z112" s="262">
        <v>45519</v>
      </c>
      <c r="AA112" s="171" t="s">
        <v>651</v>
      </c>
      <c r="AB112" s="161" t="s">
        <v>640</v>
      </c>
      <c r="AC112" s="161"/>
      <c r="AD112" s="211">
        <v>202000003682</v>
      </c>
      <c r="AE112" s="147" t="s">
        <v>523</v>
      </c>
      <c r="AF112" s="148" t="str">
        <f>TEXT(LEFT(Contrato5[[#This Row],[CONTRATO]],3),"0")</f>
        <v>86</v>
      </c>
      <c r="AG112" s="148" t="str">
        <f>IF(LEN(Contrato5[[#This Row],[Contrato2]])=3,Contrato5[[#This Row],[Contrato2]],TEXT(Contrato5[[#This Row],[Contrato2]],"000"))</f>
        <v>086</v>
      </c>
      <c r="AH112" s="149">
        <f ca="1">IFERROR(_xlfn.DAYS(Contrato5[[#This Row],[Fecha Proyectada liquidación]],TODAY())/30,"")</f>
        <v>-3.9666666666666668</v>
      </c>
      <c r="AI112" s="150">
        <f>+Contrato5[[#This Row],[FECHA TERMINACIÓN ]]+120</f>
        <v>45639</v>
      </c>
      <c r="AJ112" s="147"/>
      <c r="AK112" s="152" t="str">
        <f ca="1">IF(Contrato5[[#This Row],[FECHA TERMINACIÓN ]]&lt;TODAY(), "Terminado",IF(ISNUMBER(Contrato5[[#This Row],[Fecha Real de liquiidación ]]),"Liquidado",IF(Contrato5[[#This Row],[FECHA TERMINACIÓN ]]&gt;=TODAY(),"En ejecución","")))</f>
        <v>Terminado</v>
      </c>
      <c r="AL112" s="153" t="e">
        <f ca="1">SUMIF([2]!COMPROMISOS_2024[[#All],[consecutivo]],Contrato5[[#This Row],[RCP]],[2]!COMPROMISOS_2024[[#All],[Total pagado]])</f>
        <v>#REF!</v>
      </c>
      <c r="AM112" s="154">
        <f ca="1">IFERROR(Contrato5[[#This Row],[Pagos]]/Contrato5[[#This Row],[VALOR CONTRATO]],0)</f>
        <v>0</v>
      </c>
      <c r="AN112" s="198" t="e">
        <f ca="1">+Contrato5[[#This Row],[VALOR CONTRATO]]-Contrato5[[#This Row],[Pagos]]</f>
        <v>#REF!</v>
      </c>
      <c r="AO112" s="147" t="e" cm="1">
        <f t="array" aca="1" ref="AO112" ca="1">_xlfn.XLOOKUP(Contrato5[[#This Row],[DOCUMENTO ]],[2]!PERSONAL_ACTIVO_2024[[#All],[Documento identidad]],[2]!PERSONAL_ACTIVO_2024[[#All],[Mail ]],0,0)</f>
        <v>#NAME?</v>
      </c>
      <c r="AP112" s="147" t="e" cm="1">
        <f t="array" aca="1" ref="AP112" ca="1">_xlfn.XLOOKUP(Contrato5[[#This Row],[DOCUMENTO]],[2]!PERSONAL_ACTIVO_2024[[#All],[Documento identidad]],[2]!PERSONAL_ACTIVO_2024[[#All],[Mail ]],0,0)</f>
        <v>#NAME?</v>
      </c>
      <c r="AQ112" s="439" cm="1">
        <f t="array" aca="1" ref="AQ112" ca="1">IF(ISBLANK(Contrato5[[#This Row],[DEPENDENCIA ]]),0,IFERROR(_xlfn.XLOOKUP(Contrato5[[#This Row],[DEPENDENCIA ]],[2]!PERSONAL_ACTIVO_2024[[#All],[Dependencia]],[2]!PERSONAL_ACTIVO_2024[[#All],[Mail ]],0,0),0))</f>
        <v>0</v>
      </c>
    </row>
    <row r="113" spans="1:43" ht="34.5" customHeight="1">
      <c r="A113" s="125">
        <v>184</v>
      </c>
      <c r="B113" s="124">
        <v>87</v>
      </c>
      <c r="C113" s="162" t="s">
        <v>2521</v>
      </c>
      <c r="D113" s="227" t="s">
        <v>583</v>
      </c>
      <c r="E113" s="128" t="s">
        <v>94</v>
      </c>
      <c r="F113" s="163" t="s">
        <v>1376</v>
      </c>
      <c r="G113" s="190" t="s">
        <v>708</v>
      </c>
      <c r="H113" s="447">
        <v>1128269668</v>
      </c>
      <c r="I113" s="455">
        <v>4908936</v>
      </c>
      <c r="J113" s="456">
        <v>29453616</v>
      </c>
      <c r="K113" s="166" t="s">
        <v>42</v>
      </c>
      <c r="L113" s="438" t="s">
        <v>42</v>
      </c>
      <c r="M113" s="194" t="s">
        <v>589</v>
      </c>
      <c r="N113" s="177" t="e" cm="1">
        <f t="array" aca="1" ref="N113" ca="1">_xlfn.XLOOKUP(Contrato5[[#This Row],[SUPERVISOR TITULAR]],[2]!PERSONAL_ACTIVO_2024[[#All],[Nombre completo]],[2]!PERSONAL_ACTIVO_2024[[#All],[Documento identidad]],"",0)</f>
        <v>#NAME?</v>
      </c>
      <c r="O113" s="194" t="s">
        <v>586</v>
      </c>
      <c r="P113" s="196" t="e" cm="1">
        <f t="array" aca="1" ref="P113" ca="1">_xlfn.XLOOKUP(Contrato5[[#This Row],[SUPERVISOR SUPLENTE ]],[2]!PERSONAL_ACTIVO_2024[[#All],[Nombre completo]],[2]!PERSONAL_ACTIVO_2024[[#All],[Documento identidad]],"",0)</f>
        <v>#NAME?</v>
      </c>
      <c r="Q113" s="208">
        <v>113</v>
      </c>
      <c r="R113" s="137" t="e" cm="1">
        <f t="array" aca="1" ref="R113" ca="1">_xlfn.XLOOKUP(Contrato5[[#This Row],[CDP]],[2]!DISPONIBILIDADES_2024[[#All],[consecutivo]],[2]!DISPONIBILIDADES_2024[[#All],[fecha_aprobacion]],"",0)</f>
        <v>#NAME?</v>
      </c>
      <c r="S113" s="138" t="e">
        <f>SUMIF([2]!DISPONIBILIDADES_2024[[#All],[consecutivo]],Contrato5[[#This Row],[CDP]],[2]!DISPONIBILIDADES_2024[[#All],[valor_total_rubro]])</f>
        <v>#REF!</v>
      </c>
      <c r="T113" s="139" t="e" cm="1">
        <f t="array" aca="1" ref="T113" ca="1">_xlfn.XLOOKUP(Contrato5[[#This Row],[CONTRATO]]&amp;Contrato5[[#This Row],[CDP]],[2]!Corr_Contr_CDP[[#All],[CONTRATO-CDP]],[2]!Corr_Contr_CDP[[#All],[CRP]],_xlfn.XLOOKUP(Contrato5[[#This Row],[CDP]],[2]!COMPROMISOS_2024[[#All],[disponibilidad]],[2]!COMPROMISOS_2024[[#All],[consecutivo]],"",0),0)</f>
        <v>#NAME?</v>
      </c>
      <c r="U113" s="140" t="e" cm="1">
        <f t="array" aca="1" ref="U113" ca="1">+_xlfn.XLOOKUP(Contrato5[[#This Row],[RCP]],[2]!COMPROMISOS_2024[[#All],[consecutivo]],[2]!COMPROMISOS_2024[[#All],[fecha_aprobacion]],"",0)</f>
        <v>#NAME?</v>
      </c>
      <c r="V113" s="141" t="e">
        <f ca="1">SUMIF([2]!COMPROMISOS_2024[[#All],[consecutivo]],Contrato5[[#This Row],[RCP]],[2]!COMPROMISOS_2024[[#All],[valor_total]])</f>
        <v>#REF!</v>
      </c>
      <c r="W113" s="415">
        <v>45336</v>
      </c>
      <c r="X113" s="415">
        <v>45338</v>
      </c>
      <c r="Y113" s="143">
        <v>45338</v>
      </c>
      <c r="Z113" s="262">
        <v>45519</v>
      </c>
      <c r="AA113" s="171" t="s">
        <v>651</v>
      </c>
      <c r="AB113" s="161" t="s">
        <v>640</v>
      </c>
      <c r="AC113" s="161"/>
      <c r="AD113" s="211">
        <v>202000003683</v>
      </c>
      <c r="AE113" s="147" t="s">
        <v>523</v>
      </c>
      <c r="AF113" s="148" t="str">
        <f>TEXT(LEFT(Contrato5[[#This Row],[CONTRATO]],3),"0")</f>
        <v>87</v>
      </c>
      <c r="AG113" s="148" t="str">
        <f>IF(LEN(Contrato5[[#This Row],[Contrato2]])=3,Contrato5[[#This Row],[Contrato2]],TEXT(Contrato5[[#This Row],[Contrato2]],"000"))</f>
        <v>087</v>
      </c>
      <c r="AH113" s="149">
        <f ca="1">IFERROR(_xlfn.DAYS(Contrato5[[#This Row],[Fecha Proyectada liquidación]],TODAY())/30,"")</f>
        <v>-3.9666666666666668</v>
      </c>
      <c r="AI113" s="150">
        <f>+Contrato5[[#This Row],[FECHA TERMINACIÓN ]]+120</f>
        <v>45639</v>
      </c>
      <c r="AJ113" s="147"/>
      <c r="AK113" s="152" t="str">
        <f ca="1">IF(Contrato5[[#This Row],[FECHA TERMINACIÓN ]]&lt;TODAY(), "Terminado",IF(ISNUMBER(Contrato5[[#This Row],[Fecha Real de liquiidación ]]),"Liquidado",IF(Contrato5[[#This Row],[FECHA TERMINACIÓN ]]&gt;=TODAY(),"En ejecución","")))</f>
        <v>Terminado</v>
      </c>
      <c r="AL113" s="153" t="e">
        <f ca="1">SUMIF([2]!COMPROMISOS_2024[[#All],[consecutivo]],Contrato5[[#This Row],[RCP]],[2]!COMPROMISOS_2024[[#All],[Total pagado]])</f>
        <v>#REF!</v>
      </c>
      <c r="AM113" s="154">
        <f ca="1">IFERROR(Contrato5[[#This Row],[Pagos]]/Contrato5[[#This Row],[VALOR CONTRATO]],0)</f>
        <v>0</v>
      </c>
      <c r="AN113" s="198" t="e">
        <f ca="1">+Contrato5[[#This Row],[VALOR CONTRATO]]-Contrato5[[#This Row],[Pagos]]</f>
        <v>#REF!</v>
      </c>
      <c r="AO113" s="147" t="e" cm="1">
        <f t="array" aca="1" ref="AO113" ca="1">_xlfn.XLOOKUP(Contrato5[[#This Row],[DOCUMENTO ]],[2]!PERSONAL_ACTIVO_2024[[#All],[Documento identidad]],[2]!PERSONAL_ACTIVO_2024[[#All],[Mail ]],0,0)</f>
        <v>#NAME?</v>
      </c>
      <c r="AP113" s="147" t="e" cm="1">
        <f t="array" aca="1" ref="AP113" ca="1">_xlfn.XLOOKUP(Contrato5[[#This Row],[DOCUMENTO]],[2]!PERSONAL_ACTIVO_2024[[#All],[Documento identidad]],[2]!PERSONAL_ACTIVO_2024[[#All],[Mail ]],0,0)</f>
        <v>#NAME?</v>
      </c>
      <c r="AQ113" s="439" cm="1">
        <f t="array" aca="1" ref="AQ113" ca="1">IF(ISBLANK(Contrato5[[#This Row],[DEPENDENCIA ]]),0,IFERROR(_xlfn.XLOOKUP(Contrato5[[#This Row],[DEPENDENCIA ]],[2]!PERSONAL_ACTIVO_2024[[#All],[Dependencia]],[2]!PERSONAL_ACTIVO_2024[[#All],[Mail ]],0,0),0))</f>
        <v>0</v>
      </c>
    </row>
    <row r="114" spans="1:43" ht="34.5" customHeight="1">
      <c r="A114" s="125">
        <v>185</v>
      </c>
      <c r="B114" s="124">
        <v>88</v>
      </c>
      <c r="C114" s="162" t="s">
        <v>2522</v>
      </c>
      <c r="D114" s="227" t="s">
        <v>583</v>
      </c>
      <c r="E114" s="128" t="s">
        <v>94</v>
      </c>
      <c r="F114" s="163" t="s">
        <v>1376</v>
      </c>
      <c r="G114" s="190" t="s">
        <v>709</v>
      </c>
      <c r="H114" s="447">
        <v>1128276428</v>
      </c>
      <c r="I114" s="455">
        <v>3952382</v>
      </c>
      <c r="J114" s="456">
        <v>23714292</v>
      </c>
      <c r="K114" s="166" t="s">
        <v>42</v>
      </c>
      <c r="L114" s="438" t="s">
        <v>42</v>
      </c>
      <c r="M114" s="194" t="s">
        <v>589</v>
      </c>
      <c r="N114" s="177" t="e" cm="1">
        <f t="array" aca="1" ref="N114" ca="1">_xlfn.XLOOKUP(Contrato5[[#This Row],[SUPERVISOR TITULAR]],[2]!PERSONAL_ACTIVO_2024[[#All],[Nombre completo]],[2]!PERSONAL_ACTIVO_2024[[#All],[Documento identidad]],"",0)</f>
        <v>#NAME?</v>
      </c>
      <c r="O114" s="194" t="s">
        <v>586</v>
      </c>
      <c r="P114" s="196" t="e" cm="1">
        <f t="array" aca="1" ref="P114" ca="1">_xlfn.XLOOKUP(Contrato5[[#This Row],[SUPERVISOR SUPLENTE ]],[2]!PERSONAL_ACTIVO_2024[[#All],[Nombre completo]],[2]!PERSONAL_ACTIVO_2024[[#All],[Documento identidad]],"",0)</f>
        <v>#NAME?</v>
      </c>
      <c r="Q114" s="208">
        <v>114</v>
      </c>
      <c r="R114" s="137" t="e" cm="1">
        <f t="array" aca="1" ref="R114" ca="1">_xlfn.XLOOKUP(Contrato5[[#This Row],[CDP]],[2]!DISPONIBILIDADES_2024[[#All],[consecutivo]],[2]!DISPONIBILIDADES_2024[[#All],[fecha_aprobacion]],"",0)</f>
        <v>#NAME?</v>
      </c>
      <c r="S114" s="138" t="e">
        <f>SUMIF([2]!DISPONIBILIDADES_2024[[#All],[consecutivo]],Contrato5[[#This Row],[CDP]],[2]!DISPONIBILIDADES_2024[[#All],[valor_total_rubro]])</f>
        <v>#REF!</v>
      </c>
      <c r="T114" s="139" t="e" cm="1">
        <f t="array" aca="1" ref="T114" ca="1">_xlfn.XLOOKUP(Contrato5[[#This Row],[CONTRATO]]&amp;Contrato5[[#This Row],[CDP]],[2]!Corr_Contr_CDP[[#All],[CONTRATO-CDP]],[2]!Corr_Contr_CDP[[#All],[CRP]],_xlfn.XLOOKUP(Contrato5[[#This Row],[CDP]],[2]!COMPROMISOS_2024[[#All],[disponibilidad]],[2]!COMPROMISOS_2024[[#All],[consecutivo]],"",0),0)</f>
        <v>#NAME?</v>
      </c>
      <c r="U114" s="140" t="e" cm="1">
        <f t="array" aca="1" ref="U114" ca="1">+_xlfn.XLOOKUP(Contrato5[[#This Row],[RCP]],[2]!COMPROMISOS_2024[[#All],[consecutivo]],[2]!COMPROMISOS_2024[[#All],[fecha_aprobacion]],"",0)</f>
        <v>#NAME?</v>
      </c>
      <c r="V114" s="141" t="e">
        <f ca="1">SUMIF([2]!COMPROMISOS_2024[[#All],[consecutivo]],Contrato5[[#This Row],[RCP]],[2]!COMPROMISOS_2024[[#All],[valor_total]])</f>
        <v>#REF!</v>
      </c>
      <c r="W114" s="415">
        <v>45336</v>
      </c>
      <c r="X114" s="415">
        <v>45338</v>
      </c>
      <c r="Y114" s="143">
        <v>45338</v>
      </c>
      <c r="Z114" s="262">
        <v>45519</v>
      </c>
      <c r="AA114" s="171" t="s">
        <v>651</v>
      </c>
      <c r="AB114" s="161" t="s">
        <v>640</v>
      </c>
      <c r="AC114" s="161"/>
      <c r="AD114" s="211">
        <v>202000003684</v>
      </c>
      <c r="AE114" s="147" t="s">
        <v>523</v>
      </c>
      <c r="AF114" s="148" t="str">
        <f>TEXT(LEFT(Contrato5[[#This Row],[CONTRATO]],3),"0")</f>
        <v>88</v>
      </c>
      <c r="AG114" s="148" t="str">
        <f>IF(LEN(Contrato5[[#This Row],[Contrato2]])=3,Contrato5[[#This Row],[Contrato2]],TEXT(Contrato5[[#This Row],[Contrato2]],"000"))</f>
        <v>088</v>
      </c>
      <c r="AH114" s="149">
        <f ca="1">IFERROR(_xlfn.DAYS(Contrato5[[#This Row],[Fecha Proyectada liquidación]],TODAY())/30,"")</f>
        <v>-3.9666666666666668</v>
      </c>
      <c r="AI114" s="150">
        <f>+Contrato5[[#This Row],[FECHA TERMINACIÓN ]]+120</f>
        <v>45639</v>
      </c>
      <c r="AJ114" s="147"/>
      <c r="AK114" s="152" t="str">
        <f ca="1">IF(Contrato5[[#This Row],[FECHA TERMINACIÓN ]]&lt;TODAY(), "Terminado",IF(ISNUMBER(Contrato5[[#This Row],[Fecha Real de liquiidación ]]),"Liquidado",IF(Contrato5[[#This Row],[FECHA TERMINACIÓN ]]&gt;=TODAY(),"En ejecución","")))</f>
        <v>Terminado</v>
      </c>
      <c r="AL114" s="153" t="e">
        <f ca="1">SUMIF([2]!COMPROMISOS_2024[[#All],[consecutivo]],Contrato5[[#This Row],[RCP]],[2]!COMPROMISOS_2024[[#All],[Total pagado]])</f>
        <v>#REF!</v>
      </c>
      <c r="AM114" s="154">
        <f ca="1">IFERROR(Contrato5[[#This Row],[Pagos]]/Contrato5[[#This Row],[VALOR CONTRATO]],0)</f>
        <v>0</v>
      </c>
      <c r="AN114" s="198" t="e">
        <f ca="1">+Contrato5[[#This Row],[VALOR CONTRATO]]-Contrato5[[#This Row],[Pagos]]</f>
        <v>#REF!</v>
      </c>
      <c r="AO114" s="147" t="e" cm="1">
        <f t="array" aca="1" ref="AO114" ca="1">_xlfn.XLOOKUP(Contrato5[[#This Row],[DOCUMENTO ]],[2]!PERSONAL_ACTIVO_2024[[#All],[Documento identidad]],[2]!PERSONAL_ACTIVO_2024[[#All],[Mail ]],0,0)</f>
        <v>#NAME?</v>
      </c>
      <c r="AP114" s="147" t="e" cm="1">
        <f t="array" aca="1" ref="AP114" ca="1">_xlfn.XLOOKUP(Contrato5[[#This Row],[DOCUMENTO]],[2]!PERSONAL_ACTIVO_2024[[#All],[Documento identidad]],[2]!PERSONAL_ACTIVO_2024[[#All],[Mail ]],0,0)</f>
        <v>#NAME?</v>
      </c>
      <c r="AQ114" s="439" cm="1">
        <f t="array" aca="1" ref="AQ114" ca="1">IF(ISBLANK(Contrato5[[#This Row],[DEPENDENCIA ]]),0,IFERROR(_xlfn.XLOOKUP(Contrato5[[#This Row],[DEPENDENCIA ]],[2]!PERSONAL_ACTIVO_2024[[#All],[Dependencia]],[2]!PERSONAL_ACTIVO_2024[[#All],[Mail ]],0,0),0))</f>
        <v>0</v>
      </c>
    </row>
    <row r="115" spans="1:43" ht="34.5" customHeight="1">
      <c r="A115" s="125">
        <v>186</v>
      </c>
      <c r="B115" s="124">
        <v>89</v>
      </c>
      <c r="C115" s="162" t="s">
        <v>2523</v>
      </c>
      <c r="D115" s="227" t="s">
        <v>583</v>
      </c>
      <c r="E115" s="128" t="s">
        <v>94</v>
      </c>
      <c r="F115" s="163" t="s">
        <v>1376</v>
      </c>
      <c r="G115" s="190" t="s">
        <v>710</v>
      </c>
      <c r="H115" s="447">
        <v>1128280663</v>
      </c>
      <c r="I115" s="455">
        <v>3952382</v>
      </c>
      <c r="J115" s="456">
        <v>23714292</v>
      </c>
      <c r="K115" s="166" t="s">
        <v>42</v>
      </c>
      <c r="L115" s="438" t="s">
        <v>42</v>
      </c>
      <c r="M115" s="194" t="s">
        <v>589</v>
      </c>
      <c r="N115" s="177" t="e" cm="1">
        <f t="array" aca="1" ref="N115" ca="1">_xlfn.XLOOKUP(Contrato5[[#This Row],[SUPERVISOR TITULAR]],[2]!PERSONAL_ACTIVO_2024[[#All],[Nombre completo]],[2]!PERSONAL_ACTIVO_2024[[#All],[Documento identidad]],"",0)</f>
        <v>#NAME?</v>
      </c>
      <c r="O115" s="194" t="s">
        <v>586</v>
      </c>
      <c r="P115" s="196" t="e" cm="1">
        <f t="array" aca="1" ref="P115" ca="1">_xlfn.XLOOKUP(Contrato5[[#This Row],[SUPERVISOR SUPLENTE ]],[2]!PERSONAL_ACTIVO_2024[[#All],[Nombre completo]],[2]!PERSONAL_ACTIVO_2024[[#All],[Documento identidad]],"",0)</f>
        <v>#NAME?</v>
      </c>
      <c r="Q115" s="208">
        <v>115</v>
      </c>
      <c r="R115" s="137" t="e" cm="1">
        <f t="array" aca="1" ref="R115" ca="1">_xlfn.XLOOKUP(Contrato5[[#This Row],[CDP]],[2]!DISPONIBILIDADES_2024[[#All],[consecutivo]],[2]!DISPONIBILIDADES_2024[[#All],[fecha_aprobacion]],"",0)</f>
        <v>#NAME?</v>
      </c>
      <c r="S115" s="138" t="e">
        <f>SUMIF([2]!DISPONIBILIDADES_2024[[#All],[consecutivo]],Contrato5[[#This Row],[CDP]],[2]!DISPONIBILIDADES_2024[[#All],[valor_total_rubro]])</f>
        <v>#REF!</v>
      </c>
      <c r="T115" s="139" t="e" cm="1">
        <f t="array" aca="1" ref="T115" ca="1">_xlfn.XLOOKUP(Contrato5[[#This Row],[CONTRATO]]&amp;Contrato5[[#This Row],[CDP]],[2]!Corr_Contr_CDP[[#All],[CONTRATO-CDP]],[2]!Corr_Contr_CDP[[#All],[CRP]],_xlfn.XLOOKUP(Contrato5[[#This Row],[CDP]],[2]!COMPROMISOS_2024[[#All],[disponibilidad]],[2]!COMPROMISOS_2024[[#All],[consecutivo]],"",0),0)</f>
        <v>#NAME?</v>
      </c>
      <c r="U115" s="140" t="e" cm="1">
        <f t="array" aca="1" ref="U115" ca="1">+_xlfn.XLOOKUP(Contrato5[[#This Row],[RCP]],[2]!COMPROMISOS_2024[[#All],[consecutivo]],[2]!COMPROMISOS_2024[[#All],[fecha_aprobacion]],"",0)</f>
        <v>#NAME?</v>
      </c>
      <c r="V115" s="141" t="e">
        <f ca="1">SUMIF([2]!COMPROMISOS_2024[[#All],[consecutivo]],Contrato5[[#This Row],[RCP]],[2]!COMPROMISOS_2024[[#All],[valor_total]])</f>
        <v>#REF!</v>
      </c>
      <c r="W115" s="415">
        <v>45337</v>
      </c>
      <c r="X115" s="415">
        <v>45338</v>
      </c>
      <c r="Y115" s="143">
        <v>45338</v>
      </c>
      <c r="Z115" s="262">
        <v>45519</v>
      </c>
      <c r="AA115" s="171" t="s">
        <v>711</v>
      </c>
      <c r="AB115" s="161" t="s">
        <v>640</v>
      </c>
      <c r="AC115" s="161"/>
      <c r="AD115" s="211">
        <v>202000003685</v>
      </c>
      <c r="AE115" s="147" t="s">
        <v>523</v>
      </c>
      <c r="AF115" s="148" t="str">
        <f>TEXT(LEFT(Contrato5[[#This Row],[CONTRATO]],3),"0")</f>
        <v>89</v>
      </c>
      <c r="AG115" s="148" t="str">
        <f>IF(LEN(Contrato5[[#This Row],[Contrato2]])=3,Contrato5[[#This Row],[Contrato2]],TEXT(Contrato5[[#This Row],[Contrato2]],"000"))</f>
        <v>089</v>
      </c>
      <c r="AH115" s="149">
        <f ca="1">IFERROR(_xlfn.DAYS(Contrato5[[#This Row],[Fecha Proyectada liquidación]],TODAY())/30,"")</f>
        <v>-3.9666666666666668</v>
      </c>
      <c r="AI115" s="150">
        <f>+Contrato5[[#This Row],[FECHA TERMINACIÓN ]]+120</f>
        <v>45639</v>
      </c>
      <c r="AJ115" s="147"/>
      <c r="AK115" s="152" t="str">
        <f ca="1">IF(Contrato5[[#This Row],[FECHA TERMINACIÓN ]]&lt;TODAY(), "Terminado",IF(ISNUMBER(Contrato5[[#This Row],[Fecha Real de liquiidación ]]),"Liquidado",IF(Contrato5[[#This Row],[FECHA TERMINACIÓN ]]&gt;=TODAY(),"En ejecución","")))</f>
        <v>Terminado</v>
      </c>
      <c r="AL115" s="153" t="e">
        <f ca="1">SUMIF([2]!COMPROMISOS_2024[[#All],[consecutivo]],Contrato5[[#This Row],[RCP]],[2]!COMPROMISOS_2024[[#All],[Total pagado]])</f>
        <v>#REF!</v>
      </c>
      <c r="AM115" s="154">
        <f ca="1">IFERROR(Contrato5[[#This Row],[Pagos]]/Contrato5[[#This Row],[VALOR CONTRATO]],0)</f>
        <v>0</v>
      </c>
      <c r="AN115" s="198" t="e">
        <f ca="1">+Contrato5[[#This Row],[VALOR CONTRATO]]-Contrato5[[#This Row],[Pagos]]</f>
        <v>#REF!</v>
      </c>
      <c r="AO115" s="147" t="e" cm="1">
        <f t="array" aca="1" ref="AO115" ca="1">_xlfn.XLOOKUP(Contrato5[[#This Row],[DOCUMENTO ]],[2]!PERSONAL_ACTIVO_2024[[#All],[Documento identidad]],[2]!PERSONAL_ACTIVO_2024[[#All],[Mail ]],0,0)</f>
        <v>#NAME?</v>
      </c>
      <c r="AP115" s="147" t="e" cm="1">
        <f t="array" aca="1" ref="AP115" ca="1">_xlfn.XLOOKUP(Contrato5[[#This Row],[DOCUMENTO]],[2]!PERSONAL_ACTIVO_2024[[#All],[Documento identidad]],[2]!PERSONAL_ACTIVO_2024[[#All],[Mail ]],0,0)</f>
        <v>#NAME?</v>
      </c>
      <c r="AQ115" s="439" cm="1">
        <f t="array" aca="1" ref="AQ115" ca="1">IF(ISBLANK(Contrato5[[#This Row],[DEPENDENCIA ]]),0,IFERROR(_xlfn.XLOOKUP(Contrato5[[#This Row],[DEPENDENCIA ]],[2]!PERSONAL_ACTIVO_2024[[#All],[Dependencia]],[2]!PERSONAL_ACTIVO_2024[[#All],[Mail ]],0,0),0))</f>
        <v>0</v>
      </c>
    </row>
    <row r="116" spans="1:43" ht="34.5" customHeight="1">
      <c r="A116" s="125">
        <v>187</v>
      </c>
      <c r="B116" s="124">
        <v>90</v>
      </c>
      <c r="C116" s="162" t="s">
        <v>1611</v>
      </c>
      <c r="D116" s="227" t="s">
        <v>583</v>
      </c>
      <c r="E116" s="128" t="s">
        <v>94</v>
      </c>
      <c r="F116" s="163" t="s">
        <v>1376</v>
      </c>
      <c r="G116" s="190" t="s">
        <v>712</v>
      </c>
      <c r="H116" s="447">
        <v>71315062</v>
      </c>
      <c r="I116" s="455">
        <v>3952382</v>
      </c>
      <c r="J116" s="456">
        <v>23714292</v>
      </c>
      <c r="K116" s="166" t="s">
        <v>42</v>
      </c>
      <c r="L116" s="438" t="s">
        <v>42</v>
      </c>
      <c r="M116" s="194" t="s">
        <v>589</v>
      </c>
      <c r="N116" s="177" t="e" cm="1">
        <f t="array" aca="1" ref="N116" ca="1">_xlfn.XLOOKUP(Contrato5[[#This Row],[SUPERVISOR TITULAR]],[2]!PERSONAL_ACTIVO_2024[[#All],[Nombre completo]],[2]!PERSONAL_ACTIVO_2024[[#All],[Documento identidad]],"",0)</f>
        <v>#NAME?</v>
      </c>
      <c r="O116" s="194" t="s">
        <v>586</v>
      </c>
      <c r="P116" s="196" t="e" cm="1">
        <f t="array" aca="1" ref="P116" ca="1">_xlfn.XLOOKUP(Contrato5[[#This Row],[SUPERVISOR SUPLENTE ]],[2]!PERSONAL_ACTIVO_2024[[#All],[Nombre completo]],[2]!PERSONAL_ACTIVO_2024[[#All],[Documento identidad]],"",0)</f>
        <v>#NAME?</v>
      </c>
      <c r="Q116" s="208">
        <v>116</v>
      </c>
      <c r="R116" s="137" t="e" cm="1">
        <f t="array" aca="1" ref="R116" ca="1">_xlfn.XLOOKUP(Contrato5[[#This Row],[CDP]],[2]!DISPONIBILIDADES_2024[[#All],[consecutivo]],[2]!DISPONIBILIDADES_2024[[#All],[fecha_aprobacion]],"",0)</f>
        <v>#NAME?</v>
      </c>
      <c r="S116" s="138" t="e">
        <f>SUMIF([2]!DISPONIBILIDADES_2024[[#All],[consecutivo]],Contrato5[[#This Row],[CDP]],[2]!DISPONIBILIDADES_2024[[#All],[valor_total_rubro]])</f>
        <v>#REF!</v>
      </c>
      <c r="T116" s="139" t="e" cm="1">
        <f t="array" aca="1" ref="T116" ca="1">_xlfn.XLOOKUP(Contrato5[[#This Row],[CONTRATO]]&amp;Contrato5[[#This Row],[CDP]],[2]!Corr_Contr_CDP[[#All],[CONTRATO-CDP]],[2]!Corr_Contr_CDP[[#All],[CRP]],_xlfn.XLOOKUP(Contrato5[[#This Row],[CDP]],[2]!COMPROMISOS_2024[[#All],[disponibilidad]],[2]!COMPROMISOS_2024[[#All],[consecutivo]],"",0),0)</f>
        <v>#NAME?</v>
      </c>
      <c r="U116" s="140" t="e" cm="1">
        <f t="array" aca="1" ref="U116" ca="1">+_xlfn.XLOOKUP(Contrato5[[#This Row],[RCP]],[2]!COMPROMISOS_2024[[#All],[consecutivo]],[2]!COMPROMISOS_2024[[#All],[fecha_aprobacion]],"",0)</f>
        <v>#NAME?</v>
      </c>
      <c r="V116" s="141" t="e">
        <f ca="1">SUMIF([2]!COMPROMISOS_2024[[#All],[consecutivo]],Contrato5[[#This Row],[RCP]],[2]!COMPROMISOS_2024[[#All],[valor_total]])</f>
        <v>#REF!</v>
      </c>
      <c r="W116" s="415">
        <v>45336</v>
      </c>
      <c r="X116" s="415">
        <v>45338</v>
      </c>
      <c r="Y116" s="143">
        <v>45338</v>
      </c>
      <c r="Z116" s="262">
        <v>45519</v>
      </c>
      <c r="AA116" s="171" t="s">
        <v>651</v>
      </c>
      <c r="AB116" s="161" t="s">
        <v>640</v>
      </c>
      <c r="AC116" s="161"/>
      <c r="AD116" s="211">
        <v>202000003686</v>
      </c>
      <c r="AE116" s="147" t="s">
        <v>523</v>
      </c>
      <c r="AF116" s="148" t="str">
        <f>TEXT(LEFT(Contrato5[[#This Row],[CONTRATO]],3),"0")</f>
        <v>90</v>
      </c>
      <c r="AG116" s="148" t="str">
        <f>IF(LEN(Contrato5[[#This Row],[Contrato2]])=3,Contrato5[[#This Row],[Contrato2]],TEXT(Contrato5[[#This Row],[Contrato2]],"000"))</f>
        <v>090</v>
      </c>
      <c r="AH116" s="149">
        <f ca="1">IFERROR(_xlfn.DAYS(Contrato5[[#This Row],[Fecha Proyectada liquidación]],TODAY())/30,"")</f>
        <v>-3.9666666666666668</v>
      </c>
      <c r="AI116" s="150">
        <f>+Contrato5[[#This Row],[FECHA TERMINACIÓN ]]+120</f>
        <v>45639</v>
      </c>
      <c r="AJ116" s="147"/>
      <c r="AK116" s="152" t="str">
        <f ca="1">IF(Contrato5[[#This Row],[FECHA TERMINACIÓN ]]&lt;TODAY(), "Terminado",IF(ISNUMBER(Contrato5[[#This Row],[Fecha Real de liquiidación ]]),"Liquidado",IF(Contrato5[[#This Row],[FECHA TERMINACIÓN ]]&gt;=TODAY(),"En ejecución","")))</f>
        <v>Terminado</v>
      </c>
      <c r="AL116" s="153" t="e">
        <f ca="1">SUMIF([2]!COMPROMISOS_2024[[#All],[consecutivo]],Contrato5[[#This Row],[RCP]],[2]!COMPROMISOS_2024[[#All],[Total pagado]])</f>
        <v>#REF!</v>
      </c>
      <c r="AM116" s="154">
        <f ca="1">IFERROR(Contrato5[[#This Row],[Pagos]]/Contrato5[[#This Row],[VALOR CONTRATO]],0)</f>
        <v>0</v>
      </c>
      <c r="AN116" s="198" t="e">
        <f ca="1">+Contrato5[[#This Row],[VALOR CONTRATO]]-Contrato5[[#This Row],[Pagos]]</f>
        <v>#REF!</v>
      </c>
      <c r="AO116" s="147" t="e" cm="1">
        <f t="array" aca="1" ref="AO116" ca="1">_xlfn.XLOOKUP(Contrato5[[#This Row],[DOCUMENTO ]],[2]!PERSONAL_ACTIVO_2024[[#All],[Documento identidad]],[2]!PERSONAL_ACTIVO_2024[[#All],[Mail ]],0,0)</f>
        <v>#NAME?</v>
      </c>
      <c r="AP116" s="147" t="e" cm="1">
        <f t="array" aca="1" ref="AP116" ca="1">_xlfn.XLOOKUP(Contrato5[[#This Row],[DOCUMENTO]],[2]!PERSONAL_ACTIVO_2024[[#All],[Documento identidad]],[2]!PERSONAL_ACTIVO_2024[[#All],[Mail ]],0,0)</f>
        <v>#NAME?</v>
      </c>
      <c r="AQ116" s="439" cm="1">
        <f t="array" aca="1" ref="AQ116" ca="1">IF(ISBLANK(Contrato5[[#This Row],[DEPENDENCIA ]]),0,IFERROR(_xlfn.XLOOKUP(Contrato5[[#This Row],[DEPENDENCIA ]],[2]!PERSONAL_ACTIVO_2024[[#All],[Dependencia]],[2]!PERSONAL_ACTIVO_2024[[#All],[Mail ]],0,0),0))</f>
        <v>0</v>
      </c>
    </row>
    <row r="117" spans="1:43" ht="34.5" customHeight="1">
      <c r="A117" s="125">
        <v>188</v>
      </c>
      <c r="B117" s="124">
        <v>91</v>
      </c>
      <c r="C117" s="162" t="s">
        <v>2524</v>
      </c>
      <c r="D117" s="227" t="s">
        <v>583</v>
      </c>
      <c r="E117" s="128" t="s">
        <v>94</v>
      </c>
      <c r="F117" s="163" t="s">
        <v>1376</v>
      </c>
      <c r="G117" s="190" t="s">
        <v>713</v>
      </c>
      <c r="H117" s="447">
        <v>71378071</v>
      </c>
      <c r="I117" s="455">
        <v>5931149</v>
      </c>
      <c r="J117" s="456">
        <v>35586894</v>
      </c>
      <c r="K117" s="166" t="s">
        <v>42</v>
      </c>
      <c r="L117" s="438" t="s">
        <v>42</v>
      </c>
      <c r="M117" s="194" t="s">
        <v>589</v>
      </c>
      <c r="N117" s="177" t="e" cm="1">
        <f t="array" aca="1" ref="N117" ca="1">_xlfn.XLOOKUP(Contrato5[[#This Row],[SUPERVISOR TITULAR]],[2]!PERSONAL_ACTIVO_2024[[#All],[Nombre completo]],[2]!PERSONAL_ACTIVO_2024[[#All],[Documento identidad]],"",0)</f>
        <v>#NAME?</v>
      </c>
      <c r="O117" s="194" t="s">
        <v>586</v>
      </c>
      <c r="P117" s="196" t="e" cm="1">
        <f t="array" aca="1" ref="P117" ca="1">_xlfn.XLOOKUP(Contrato5[[#This Row],[SUPERVISOR SUPLENTE ]],[2]!PERSONAL_ACTIVO_2024[[#All],[Nombre completo]],[2]!PERSONAL_ACTIVO_2024[[#All],[Documento identidad]],"",0)</f>
        <v>#NAME?</v>
      </c>
      <c r="Q117" s="208">
        <v>131</v>
      </c>
      <c r="R117" s="137" t="e" cm="1">
        <f t="array" aca="1" ref="R117" ca="1">_xlfn.XLOOKUP(Contrato5[[#This Row],[CDP]],[2]!DISPONIBILIDADES_2024[[#All],[consecutivo]],[2]!DISPONIBILIDADES_2024[[#All],[fecha_aprobacion]],"",0)</f>
        <v>#NAME?</v>
      </c>
      <c r="S117" s="138" t="e">
        <f>SUMIF([2]!DISPONIBILIDADES_2024[[#All],[consecutivo]],Contrato5[[#This Row],[CDP]],[2]!DISPONIBILIDADES_2024[[#All],[valor_total_rubro]])</f>
        <v>#REF!</v>
      </c>
      <c r="T117" s="139" t="e" cm="1">
        <f t="array" aca="1" ref="T117" ca="1">_xlfn.XLOOKUP(Contrato5[[#This Row],[CONTRATO]]&amp;Contrato5[[#This Row],[CDP]],[2]!Corr_Contr_CDP[[#All],[CONTRATO-CDP]],[2]!Corr_Contr_CDP[[#All],[CRP]],_xlfn.XLOOKUP(Contrato5[[#This Row],[CDP]],[2]!COMPROMISOS_2024[[#All],[disponibilidad]],[2]!COMPROMISOS_2024[[#All],[consecutivo]],"",0),0)</f>
        <v>#NAME?</v>
      </c>
      <c r="U117" s="140" t="e" cm="1">
        <f t="array" aca="1" ref="U117" ca="1">+_xlfn.XLOOKUP(Contrato5[[#This Row],[RCP]],[2]!COMPROMISOS_2024[[#All],[consecutivo]],[2]!COMPROMISOS_2024[[#All],[fecha_aprobacion]],"",0)</f>
        <v>#NAME?</v>
      </c>
      <c r="V117" s="141" t="e">
        <f ca="1">SUMIF([2]!COMPROMISOS_2024[[#All],[consecutivo]],Contrato5[[#This Row],[RCP]],[2]!COMPROMISOS_2024[[#All],[valor_total]])</f>
        <v>#REF!</v>
      </c>
      <c r="W117" s="415">
        <v>45336</v>
      </c>
      <c r="X117" s="415">
        <v>45338</v>
      </c>
      <c r="Y117" s="143">
        <v>45338</v>
      </c>
      <c r="Z117" s="262">
        <v>45519</v>
      </c>
      <c r="AA117" s="171" t="s">
        <v>651</v>
      </c>
      <c r="AB117" s="161" t="s">
        <v>640</v>
      </c>
      <c r="AC117" s="161"/>
      <c r="AD117" s="211">
        <v>202000003687</v>
      </c>
      <c r="AE117" s="147" t="s">
        <v>523</v>
      </c>
      <c r="AF117" s="148" t="str">
        <f>TEXT(LEFT(Contrato5[[#This Row],[CONTRATO]],3),"0")</f>
        <v>91</v>
      </c>
      <c r="AG117" s="148" t="str">
        <f>IF(LEN(Contrato5[[#This Row],[Contrato2]])=3,Contrato5[[#This Row],[Contrato2]],TEXT(Contrato5[[#This Row],[Contrato2]],"000"))</f>
        <v>091</v>
      </c>
      <c r="AH117" s="149">
        <f ca="1">IFERROR(_xlfn.DAYS(Contrato5[[#This Row],[Fecha Proyectada liquidación]],TODAY())/30,"")</f>
        <v>-3.9666666666666668</v>
      </c>
      <c r="AI117" s="150">
        <f>+Contrato5[[#This Row],[FECHA TERMINACIÓN ]]+120</f>
        <v>45639</v>
      </c>
      <c r="AJ117" s="147"/>
      <c r="AK117" s="152" t="str">
        <f ca="1">IF(Contrato5[[#This Row],[FECHA TERMINACIÓN ]]&lt;TODAY(), "Terminado",IF(ISNUMBER(Contrato5[[#This Row],[Fecha Real de liquiidación ]]),"Liquidado",IF(Contrato5[[#This Row],[FECHA TERMINACIÓN ]]&gt;=TODAY(),"En ejecución","")))</f>
        <v>Terminado</v>
      </c>
      <c r="AL117" s="153" t="e">
        <f ca="1">SUMIF([2]!COMPROMISOS_2024[[#All],[consecutivo]],Contrato5[[#This Row],[RCP]],[2]!COMPROMISOS_2024[[#All],[Total pagado]])</f>
        <v>#REF!</v>
      </c>
      <c r="AM117" s="154">
        <f ca="1">IFERROR(Contrato5[[#This Row],[Pagos]]/Contrato5[[#This Row],[VALOR CONTRATO]],0)</f>
        <v>0</v>
      </c>
      <c r="AN117" s="198" t="e">
        <f ca="1">+Contrato5[[#This Row],[VALOR CONTRATO]]-Contrato5[[#This Row],[Pagos]]</f>
        <v>#REF!</v>
      </c>
      <c r="AO117" s="147" t="e" cm="1">
        <f t="array" aca="1" ref="AO117" ca="1">_xlfn.XLOOKUP(Contrato5[[#This Row],[DOCUMENTO ]],[2]!PERSONAL_ACTIVO_2024[[#All],[Documento identidad]],[2]!PERSONAL_ACTIVO_2024[[#All],[Mail ]],0,0)</f>
        <v>#NAME?</v>
      </c>
      <c r="AP117" s="147" t="e" cm="1">
        <f t="array" aca="1" ref="AP117" ca="1">_xlfn.XLOOKUP(Contrato5[[#This Row],[DOCUMENTO]],[2]!PERSONAL_ACTIVO_2024[[#All],[Documento identidad]],[2]!PERSONAL_ACTIVO_2024[[#All],[Mail ]],0,0)</f>
        <v>#NAME?</v>
      </c>
      <c r="AQ117" s="439" cm="1">
        <f t="array" aca="1" ref="AQ117" ca="1">IF(ISBLANK(Contrato5[[#This Row],[DEPENDENCIA ]]),0,IFERROR(_xlfn.XLOOKUP(Contrato5[[#This Row],[DEPENDENCIA ]],[2]!PERSONAL_ACTIVO_2024[[#All],[Dependencia]],[2]!PERSONAL_ACTIVO_2024[[#All],[Mail ]],0,0),0))</f>
        <v>0</v>
      </c>
    </row>
    <row r="118" spans="1:43" ht="34.5" customHeight="1">
      <c r="A118" s="125">
        <v>189</v>
      </c>
      <c r="B118" s="124">
        <v>92</v>
      </c>
      <c r="C118" s="162" t="s">
        <v>2525</v>
      </c>
      <c r="D118" s="227" t="s">
        <v>583</v>
      </c>
      <c r="E118" s="128" t="s">
        <v>94</v>
      </c>
      <c r="F118" s="163" t="s">
        <v>1376</v>
      </c>
      <c r="G118" s="190" t="s">
        <v>714</v>
      </c>
      <c r="H118" s="447">
        <v>15368469</v>
      </c>
      <c r="I118" s="455">
        <v>7908765</v>
      </c>
      <c r="J118" s="456">
        <v>47452590</v>
      </c>
      <c r="K118" s="166" t="s">
        <v>42</v>
      </c>
      <c r="L118" s="438" t="s">
        <v>42</v>
      </c>
      <c r="M118" s="194" t="s">
        <v>589</v>
      </c>
      <c r="N118" s="177" t="e" cm="1">
        <f t="array" aca="1" ref="N118" ca="1">_xlfn.XLOOKUP(Contrato5[[#This Row],[SUPERVISOR TITULAR]],[2]!PERSONAL_ACTIVO_2024[[#All],[Nombre completo]],[2]!PERSONAL_ACTIVO_2024[[#All],[Documento identidad]],"",0)</f>
        <v>#NAME?</v>
      </c>
      <c r="O118" s="194" t="s">
        <v>586</v>
      </c>
      <c r="P118" s="196" t="e" cm="1">
        <f t="array" aca="1" ref="P118" ca="1">_xlfn.XLOOKUP(Contrato5[[#This Row],[SUPERVISOR SUPLENTE ]],[2]!PERSONAL_ACTIVO_2024[[#All],[Nombre completo]],[2]!PERSONAL_ACTIVO_2024[[#All],[Documento identidad]],"",0)</f>
        <v>#NAME?</v>
      </c>
      <c r="Q118" s="208">
        <v>117</v>
      </c>
      <c r="R118" s="137" t="e" cm="1">
        <f t="array" aca="1" ref="R118" ca="1">_xlfn.XLOOKUP(Contrato5[[#This Row],[CDP]],[2]!DISPONIBILIDADES_2024[[#All],[consecutivo]],[2]!DISPONIBILIDADES_2024[[#All],[fecha_aprobacion]],"",0)</f>
        <v>#NAME?</v>
      </c>
      <c r="S118" s="138" t="e">
        <f>SUMIF([2]!DISPONIBILIDADES_2024[[#All],[consecutivo]],Contrato5[[#This Row],[CDP]],[2]!DISPONIBILIDADES_2024[[#All],[valor_total_rubro]])</f>
        <v>#REF!</v>
      </c>
      <c r="T118" s="139" t="e" cm="1">
        <f t="array" aca="1" ref="T118" ca="1">_xlfn.XLOOKUP(Contrato5[[#This Row],[CONTRATO]]&amp;Contrato5[[#This Row],[CDP]],[2]!Corr_Contr_CDP[[#All],[CONTRATO-CDP]],[2]!Corr_Contr_CDP[[#All],[CRP]],_xlfn.XLOOKUP(Contrato5[[#This Row],[CDP]],[2]!COMPROMISOS_2024[[#All],[disponibilidad]],[2]!COMPROMISOS_2024[[#All],[consecutivo]],"",0),0)</f>
        <v>#NAME?</v>
      </c>
      <c r="U118" s="140" t="e" cm="1">
        <f t="array" aca="1" ref="U118" ca="1">+_xlfn.XLOOKUP(Contrato5[[#This Row],[RCP]],[2]!COMPROMISOS_2024[[#All],[consecutivo]],[2]!COMPROMISOS_2024[[#All],[fecha_aprobacion]],"",0)</f>
        <v>#NAME?</v>
      </c>
      <c r="V118" s="141" t="e">
        <f ca="1">SUMIF([2]!COMPROMISOS_2024[[#All],[consecutivo]],Contrato5[[#This Row],[RCP]],[2]!COMPROMISOS_2024[[#All],[valor_total]])</f>
        <v>#REF!</v>
      </c>
      <c r="W118" s="415">
        <v>45336</v>
      </c>
      <c r="X118" s="415">
        <v>45338</v>
      </c>
      <c r="Y118" s="143">
        <v>45338</v>
      </c>
      <c r="Z118" s="262">
        <v>45519</v>
      </c>
      <c r="AA118" s="183" t="s">
        <v>651</v>
      </c>
      <c r="AB118" s="161" t="s">
        <v>640</v>
      </c>
      <c r="AC118" s="161"/>
      <c r="AD118" s="211">
        <v>202000003688</v>
      </c>
      <c r="AE118" s="147" t="s">
        <v>523</v>
      </c>
      <c r="AF118" s="148" t="str">
        <f>TEXT(LEFT(Contrato5[[#This Row],[CONTRATO]],3),"0")</f>
        <v>92</v>
      </c>
      <c r="AG118" s="148" t="str">
        <f>IF(LEN(Contrato5[[#This Row],[Contrato2]])=3,Contrato5[[#This Row],[Contrato2]],TEXT(Contrato5[[#This Row],[Contrato2]],"000"))</f>
        <v>092</v>
      </c>
      <c r="AH118" s="149">
        <f ca="1">IFERROR(_xlfn.DAYS(Contrato5[[#This Row],[Fecha Proyectada liquidación]],TODAY())/30,"")</f>
        <v>-3.9666666666666668</v>
      </c>
      <c r="AI118" s="150">
        <f>+Contrato5[[#This Row],[FECHA TERMINACIÓN ]]+120</f>
        <v>45639</v>
      </c>
      <c r="AJ118" s="147"/>
      <c r="AK118" s="152" t="str">
        <f ca="1">IF(Contrato5[[#This Row],[FECHA TERMINACIÓN ]]&lt;TODAY(), "Terminado",IF(ISNUMBER(Contrato5[[#This Row],[Fecha Real de liquiidación ]]),"Liquidado",IF(Contrato5[[#This Row],[FECHA TERMINACIÓN ]]&gt;=TODAY(),"En ejecución","")))</f>
        <v>Terminado</v>
      </c>
      <c r="AL118" s="153" t="e">
        <f ca="1">SUMIF([2]!COMPROMISOS_2024[[#All],[consecutivo]],Contrato5[[#This Row],[RCP]],[2]!COMPROMISOS_2024[[#All],[Total pagado]])</f>
        <v>#REF!</v>
      </c>
      <c r="AM118" s="154">
        <f ca="1">IFERROR(Contrato5[[#This Row],[Pagos]]/Contrato5[[#This Row],[VALOR CONTRATO]],0)</f>
        <v>0</v>
      </c>
      <c r="AN118" s="198" t="e">
        <f ca="1">+Contrato5[[#This Row],[VALOR CONTRATO]]-Contrato5[[#This Row],[Pagos]]</f>
        <v>#REF!</v>
      </c>
      <c r="AO118" s="147" t="e" cm="1">
        <f t="array" aca="1" ref="AO118" ca="1">_xlfn.XLOOKUP(Contrato5[[#This Row],[DOCUMENTO ]],[2]!PERSONAL_ACTIVO_2024[[#All],[Documento identidad]],[2]!PERSONAL_ACTIVO_2024[[#All],[Mail ]],0,0)</f>
        <v>#NAME?</v>
      </c>
      <c r="AP118" s="147" t="e" cm="1">
        <f t="array" aca="1" ref="AP118" ca="1">_xlfn.XLOOKUP(Contrato5[[#This Row],[DOCUMENTO]],[2]!PERSONAL_ACTIVO_2024[[#All],[Documento identidad]],[2]!PERSONAL_ACTIVO_2024[[#All],[Mail ]],0,0)</f>
        <v>#NAME?</v>
      </c>
      <c r="AQ118" s="439" cm="1">
        <f t="array" aca="1" ref="AQ118" ca="1">IF(ISBLANK(Contrato5[[#This Row],[DEPENDENCIA ]]),0,IFERROR(_xlfn.XLOOKUP(Contrato5[[#This Row],[DEPENDENCIA ]],[2]!PERSONAL_ACTIVO_2024[[#All],[Dependencia]],[2]!PERSONAL_ACTIVO_2024[[#All],[Mail ]],0,0),0))</f>
        <v>0</v>
      </c>
    </row>
    <row r="119" spans="1:43" ht="34.5" customHeight="1">
      <c r="A119" s="125">
        <v>190</v>
      </c>
      <c r="B119" s="124">
        <v>93</v>
      </c>
      <c r="C119" s="162" t="s">
        <v>1614</v>
      </c>
      <c r="D119" s="227" t="s">
        <v>583</v>
      </c>
      <c r="E119" s="128" t="s">
        <v>94</v>
      </c>
      <c r="F119" s="163" t="s">
        <v>1376</v>
      </c>
      <c r="G119" s="190" t="s">
        <v>715</v>
      </c>
      <c r="H119" s="447">
        <v>70527132</v>
      </c>
      <c r="I119" s="455">
        <v>4908936</v>
      </c>
      <c r="J119" s="456">
        <v>29453616</v>
      </c>
      <c r="K119" s="166" t="s">
        <v>42</v>
      </c>
      <c r="L119" s="438" t="s">
        <v>42</v>
      </c>
      <c r="M119" s="194" t="s">
        <v>589</v>
      </c>
      <c r="N119" s="177" t="e" cm="1">
        <f t="array" aca="1" ref="N119" ca="1">_xlfn.XLOOKUP(Contrato5[[#This Row],[SUPERVISOR TITULAR]],[2]!PERSONAL_ACTIVO_2024[[#All],[Nombre completo]],[2]!PERSONAL_ACTIVO_2024[[#All],[Documento identidad]],"",0)</f>
        <v>#NAME?</v>
      </c>
      <c r="O119" s="194" t="s">
        <v>586</v>
      </c>
      <c r="P119" s="196" t="e" cm="1">
        <f t="array" aca="1" ref="P119" ca="1">_xlfn.XLOOKUP(Contrato5[[#This Row],[SUPERVISOR SUPLENTE ]],[2]!PERSONAL_ACTIVO_2024[[#All],[Nombre completo]],[2]!PERSONAL_ACTIVO_2024[[#All],[Documento identidad]],"",0)</f>
        <v>#NAME?</v>
      </c>
      <c r="Q119" s="208">
        <v>118</v>
      </c>
      <c r="R119" s="137" t="e" cm="1">
        <f t="array" aca="1" ref="R119" ca="1">_xlfn.XLOOKUP(Contrato5[[#This Row],[CDP]],[2]!DISPONIBILIDADES_2024[[#All],[consecutivo]],[2]!DISPONIBILIDADES_2024[[#All],[fecha_aprobacion]],"",0)</f>
        <v>#NAME?</v>
      </c>
      <c r="S119" s="138" t="e">
        <f>SUMIF([2]!DISPONIBILIDADES_2024[[#All],[consecutivo]],Contrato5[[#This Row],[CDP]],[2]!DISPONIBILIDADES_2024[[#All],[valor_total_rubro]])</f>
        <v>#REF!</v>
      </c>
      <c r="T119" s="139" t="e" cm="1">
        <f t="array" aca="1" ref="T119" ca="1">_xlfn.XLOOKUP(Contrato5[[#This Row],[CONTRATO]]&amp;Contrato5[[#This Row],[CDP]],[2]!Corr_Contr_CDP[[#All],[CONTRATO-CDP]],[2]!Corr_Contr_CDP[[#All],[CRP]],_xlfn.XLOOKUP(Contrato5[[#This Row],[CDP]],[2]!COMPROMISOS_2024[[#All],[disponibilidad]],[2]!COMPROMISOS_2024[[#All],[consecutivo]],"",0),0)</f>
        <v>#NAME?</v>
      </c>
      <c r="U119" s="140" t="e" cm="1">
        <f t="array" aca="1" ref="U119" ca="1">+_xlfn.XLOOKUP(Contrato5[[#This Row],[RCP]],[2]!COMPROMISOS_2024[[#All],[consecutivo]],[2]!COMPROMISOS_2024[[#All],[fecha_aprobacion]],"",0)</f>
        <v>#NAME?</v>
      </c>
      <c r="V119" s="141" t="e">
        <f ca="1">SUMIF([2]!COMPROMISOS_2024[[#All],[consecutivo]],Contrato5[[#This Row],[RCP]],[2]!COMPROMISOS_2024[[#All],[valor_total]])</f>
        <v>#REF!</v>
      </c>
      <c r="W119" s="415">
        <v>45337</v>
      </c>
      <c r="X119" s="415">
        <v>45338</v>
      </c>
      <c r="Y119" s="143">
        <v>45338</v>
      </c>
      <c r="Z119" s="262">
        <v>45519</v>
      </c>
      <c r="AA119" s="219" t="s">
        <v>670</v>
      </c>
      <c r="AB119" s="161" t="s">
        <v>640</v>
      </c>
      <c r="AC119" s="161"/>
      <c r="AD119" s="211">
        <v>202000003689</v>
      </c>
      <c r="AE119" s="147" t="s">
        <v>523</v>
      </c>
      <c r="AF119" s="148" t="str">
        <f>TEXT(LEFT(Contrato5[[#This Row],[CONTRATO]],3),"0")</f>
        <v>93</v>
      </c>
      <c r="AG119" s="148" t="str">
        <f>IF(LEN(Contrato5[[#This Row],[Contrato2]])=3,Contrato5[[#This Row],[Contrato2]],TEXT(Contrato5[[#This Row],[Contrato2]],"000"))</f>
        <v>093</v>
      </c>
      <c r="AH119" s="149">
        <f ca="1">IFERROR(_xlfn.DAYS(Contrato5[[#This Row],[Fecha Proyectada liquidación]],TODAY())/30,"")</f>
        <v>-3.9666666666666668</v>
      </c>
      <c r="AI119" s="150">
        <f>+Contrato5[[#This Row],[FECHA TERMINACIÓN ]]+120</f>
        <v>45639</v>
      </c>
      <c r="AJ119" s="147"/>
      <c r="AK119" s="152" t="str">
        <f ca="1">IF(Contrato5[[#This Row],[FECHA TERMINACIÓN ]]&lt;TODAY(), "Terminado",IF(ISNUMBER(Contrato5[[#This Row],[Fecha Real de liquiidación ]]),"Liquidado",IF(Contrato5[[#This Row],[FECHA TERMINACIÓN ]]&gt;=TODAY(),"En ejecución","")))</f>
        <v>Terminado</v>
      </c>
      <c r="AL119" s="153" t="e">
        <f ca="1">SUMIF([2]!COMPROMISOS_2024[[#All],[consecutivo]],Contrato5[[#This Row],[RCP]],[2]!COMPROMISOS_2024[[#All],[Total pagado]])</f>
        <v>#REF!</v>
      </c>
      <c r="AM119" s="154">
        <f ca="1">IFERROR(Contrato5[[#This Row],[Pagos]]/Contrato5[[#This Row],[VALOR CONTRATO]],0)</f>
        <v>0</v>
      </c>
      <c r="AN119" s="198" t="e">
        <f ca="1">+Contrato5[[#This Row],[VALOR CONTRATO]]-Contrato5[[#This Row],[Pagos]]</f>
        <v>#REF!</v>
      </c>
      <c r="AO119" s="147" t="e" cm="1">
        <f t="array" aca="1" ref="AO119" ca="1">_xlfn.XLOOKUP(Contrato5[[#This Row],[DOCUMENTO ]],[2]!PERSONAL_ACTIVO_2024[[#All],[Documento identidad]],[2]!PERSONAL_ACTIVO_2024[[#All],[Mail ]],0,0)</f>
        <v>#NAME?</v>
      </c>
      <c r="AP119" s="147" t="e" cm="1">
        <f t="array" aca="1" ref="AP119" ca="1">_xlfn.XLOOKUP(Contrato5[[#This Row],[DOCUMENTO]],[2]!PERSONAL_ACTIVO_2024[[#All],[Documento identidad]],[2]!PERSONAL_ACTIVO_2024[[#All],[Mail ]],0,0)</f>
        <v>#NAME?</v>
      </c>
      <c r="AQ119" s="439" cm="1">
        <f t="array" aca="1" ref="AQ119" ca="1">IF(ISBLANK(Contrato5[[#This Row],[DEPENDENCIA ]]),0,IFERROR(_xlfn.XLOOKUP(Contrato5[[#This Row],[DEPENDENCIA ]],[2]!PERSONAL_ACTIVO_2024[[#All],[Dependencia]],[2]!PERSONAL_ACTIVO_2024[[#All],[Mail ]],0,0),0))</f>
        <v>0</v>
      </c>
    </row>
    <row r="120" spans="1:43" ht="34.5" customHeight="1">
      <c r="A120" s="125">
        <v>191</v>
      </c>
      <c r="B120" s="124">
        <v>94</v>
      </c>
      <c r="C120" s="162" t="s">
        <v>1615</v>
      </c>
      <c r="D120" s="227" t="s">
        <v>583</v>
      </c>
      <c r="E120" s="128" t="s">
        <v>94</v>
      </c>
      <c r="F120" s="163" t="s">
        <v>1376</v>
      </c>
      <c r="G120" s="190" t="s">
        <v>716</v>
      </c>
      <c r="H120" s="447">
        <v>8323922</v>
      </c>
      <c r="I120" s="455">
        <v>4908936</v>
      </c>
      <c r="J120" s="456">
        <v>29453616</v>
      </c>
      <c r="K120" s="166" t="s">
        <v>42</v>
      </c>
      <c r="L120" s="438" t="s">
        <v>42</v>
      </c>
      <c r="M120" s="194" t="s">
        <v>589</v>
      </c>
      <c r="N120" s="177" t="e" cm="1">
        <f t="array" aca="1" ref="N120" ca="1">_xlfn.XLOOKUP(Contrato5[[#This Row],[SUPERVISOR TITULAR]],[2]!PERSONAL_ACTIVO_2024[[#All],[Nombre completo]],[2]!PERSONAL_ACTIVO_2024[[#All],[Documento identidad]],"",0)</f>
        <v>#NAME?</v>
      </c>
      <c r="O120" s="194" t="s">
        <v>586</v>
      </c>
      <c r="P120" s="196" t="e" cm="1">
        <f t="array" aca="1" ref="P120" ca="1">_xlfn.XLOOKUP(Contrato5[[#This Row],[SUPERVISOR SUPLENTE ]],[2]!PERSONAL_ACTIVO_2024[[#All],[Nombre completo]],[2]!PERSONAL_ACTIVO_2024[[#All],[Documento identidad]],"",0)</f>
        <v>#NAME?</v>
      </c>
      <c r="Q120" s="208">
        <v>119</v>
      </c>
      <c r="R120" s="137" t="e" cm="1">
        <f t="array" aca="1" ref="R120" ca="1">_xlfn.XLOOKUP(Contrato5[[#This Row],[CDP]],[2]!DISPONIBILIDADES_2024[[#All],[consecutivo]],[2]!DISPONIBILIDADES_2024[[#All],[fecha_aprobacion]],"",0)</f>
        <v>#NAME?</v>
      </c>
      <c r="S120" s="138" t="e">
        <f>SUMIF([2]!DISPONIBILIDADES_2024[[#All],[consecutivo]],Contrato5[[#This Row],[CDP]],[2]!DISPONIBILIDADES_2024[[#All],[valor_total_rubro]])</f>
        <v>#REF!</v>
      </c>
      <c r="T120" s="139" t="e" cm="1">
        <f t="array" aca="1" ref="T120" ca="1">_xlfn.XLOOKUP(Contrato5[[#This Row],[CONTRATO]]&amp;Contrato5[[#This Row],[CDP]],[2]!Corr_Contr_CDP[[#All],[CONTRATO-CDP]],[2]!Corr_Contr_CDP[[#All],[CRP]],_xlfn.XLOOKUP(Contrato5[[#This Row],[CDP]],[2]!COMPROMISOS_2024[[#All],[disponibilidad]],[2]!COMPROMISOS_2024[[#All],[consecutivo]],"",0),0)</f>
        <v>#NAME?</v>
      </c>
      <c r="U120" s="140" t="e" cm="1">
        <f t="array" aca="1" ref="U120" ca="1">+_xlfn.XLOOKUP(Contrato5[[#This Row],[RCP]],[2]!COMPROMISOS_2024[[#All],[consecutivo]],[2]!COMPROMISOS_2024[[#All],[fecha_aprobacion]],"",0)</f>
        <v>#NAME?</v>
      </c>
      <c r="V120" s="141" t="e">
        <f ca="1">SUMIF([2]!COMPROMISOS_2024[[#All],[consecutivo]],Contrato5[[#This Row],[RCP]],[2]!COMPROMISOS_2024[[#All],[valor_total]])</f>
        <v>#REF!</v>
      </c>
      <c r="W120" s="415">
        <v>45337</v>
      </c>
      <c r="X120" s="415">
        <v>45337</v>
      </c>
      <c r="Y120" s="143">
        <v>45338</v>
      </c>
      <c r="Z120" s="262">
        <v>45519</v>
      </c>
      <c r="AA120" s="171" t="s">
        <v>653</v>
      </c>
      <c r="AB120" s="161" t="s">
        <v>640</v>
      </c>
      <c r="AC120" s="161"/>
      <c r="AD120" s="211">
        <v>202000003690</v>
      </c>
      <c r="AE120" s="147" t="s">
        <v>523</v>
      </c>
      <c r="AF120" s="148" t="str">
        <f>TEXT(LEFT(Contrato5[[#This Row],[CONTRATO]],3),"0")</f>
        <v>94</v>
      </c>
      <c r="AG120" s="148" t="str">
        <f>IF(LEN(Contrato5[[#This Row],[Contrato2]])=3,Contrato5[[#This Row],[Contrato2]],TEXT(Contrato5[[#This Row],[Contrato2]],"000"))</f>
        <v>094</v>
      </c>
      <c r="AH120" s="149">
        <f ca="1">IFERROR(_xlfn.DAYS(Contrato5[[#This Row],[Fecha Proyectada liquidación]],TODAY())/30,"")</f>
        <v>-3.9666666666666668</v>
      </c>
      <c r="AI120" s="150">
        <f>+Contrato5[[#This Row],[FECHA TERMINACIÓN ]]+120</f>
        <v>45639</v>
      </c>
      <c r="AJ120" s="147"/>
      <c r="AK120" s="152" t="str">
        <f ca="1">IF(Contrato5[[#This Row],[FECHA TERMINACIÓN ]]&lt;TODAY(), "Terminado",IF(ISNUMBER(Contrato5[[#This Row],[Fecha Real de liquiidación ]]),"Liquidado",IF(Contrato5[[#This Row],[FECHA TERMINACIÓN ]]&gt;=TODAY(),"En ejecución","")))</f>
        <v>Terminado</v>
      </c>
      <c r="AL120" s="153" t="e">
        <f ca="1">SUMIF([2]!COMPROMISOS_2024[[#All],[consecutivo]],Contrato5[[#This Row],[RCP]],[2]!COMPROMISOS_2024[[#All],[Total pagado]])</f>
        <v>#REF!</v>
      </c>
      <c r="AM120" s="154">
        <f ca="1">IFERROR(Contrato5[[#This Row],[Pagos]]/Contrato5[[#This Row],[VALOR CONTRATO]],0)</f>
        <v>0</v>
      </c>
      <c r="AN120" s="198" t="e">
        <f ca="1">+Contrato5[[#This Row],[VALOR CONTRATO]]-Contrato5[[#This Row],[Pagos]]</f>
        <v>#REF!</v>
      </c>
      <c r="AO120" s="147" t="e" cm="1">
        <f t="array" aca="1" ref="AO120" ca="1">_xlfn.XLOOKUP(Contrato5[[#This Row],[DOCUMENTO ]],[2]!PERSONAL_ACTIVO_2024[[#All],[Documento identidad]],[2]!PERSONAL_ACTIVO_2024[[#All],[Mail ]],0,0)</f>
        <v>#NAME?</v>
      </c>
      <c r="AP120" s="147" t="e" cm="1">
        <f t="array" aca="1" ref="AP120" ca="1">_xlfn.XLOOKUP(Contrato5[[#This Row],[DOCUMENTO]],[2]!PERSONAL_ACTIVO_2024[[#All],[Documento identidad]],[2]!PERSONAL_ACTIVO_2024[[#All],[Mail ]],0,0)</f>
        <v>#NAME?</v>
      </c>
      <c r="AQ120" s="439" cm="1">
        <f t="array" aca="1" ref="AQ120" ca="1">IF(ISBLANK(Contrato5[[#This Row],[DEPENDENCIA ]]),0,IFERROR(_xlfn.XLOOKUP(Contrato5[[#This Row],[DEPENDENCIA ]],[2]!PERSONAL_ACTIVO_2024[[#All],[Dependencia]],[2]!PERSONAL_ACTIVO_2024[[#All],[Mail ]],0,0),0))</f>
        <v>0</v>
      </c>
    </row>
    <row r="121" spans="1:43" ht="34.5" customHeight="1">
      <c r="A121" s="125">
        <v>192</v>
      </c>
      <c r="B121" s="124">
        <v>95</v>
      </c>
      <c r="C121" s="162" t="s">
        <v>1616</v>
      </c>
      <c r="D121" s="227" t="s">
        <v>583</v>
      </c>
      <c r="E121" s="128" t="s">
        <v>94</v>
      </c>
      <c r="F121" s="163" t="s">
        <v>1376</v>
      </c>
      <c r="G121" s="190" t="s">
        <v>717</v>
      </c>
      <c r="H121" s="447">
        <v>1017163203</v>
      </c>
      <c r="I121" s="455">
        <v>4908936</v>
      </c>
      <c r="J121" s="456">
        <v>29453616</v>
      </c>
      <c r="K121" s="166" t="s">
        <v>42</v>
      </c>
      <c r="L121" s="438" t="s">
        <v>42</v>
      </c>
      <c r="M121" s="194" t="s">
        <v>600</v>
      </c>
      <c r="N121" s="177" t="e" cm="1">
        <f t="array" aca="1" ref="N121" ca="1">_xlfn.XLOOKUP(Contrato5[[#This Row],[SUPERVISOR TITULAR]],[2]!PERSONAL_ACTIVO_2024[[#All],[Nombre completo]],[2]!PERSONAL_ACTIVO_2024[[#All],[Documento identidad]],"",0)</f>
        <v>#NAME?</v>
      </c>
      <c r="O121" s="194" t="s">
        <v>2495</v>
      </c>
      <c r="P121" s="196" t="e" cm="1">
        <f t="array" aca="1" ref="P121" ca="1">_xlfn.XLOOKUP(Contrato5[[#This Row],[SUPERVISOR SUPLENTE ]],[2]!PERSONAL_ACTIVO_2024[[#All],[Nombre completo]],[2]!PERSONAL_ACTIVO_2024[[#All],[Documento identidad]],"",0)</f>
        <v>#NAME?</v>
      </c>
      <c r="Q121" s="208">
        <v>120</v>
      </c>
      <c r="R121" s="137" t="e" cm="1">
        <f t="array" aca="1" ref="R121" ca="1">_xlfn.XLOOKUP(Contrato5[[#This Row],[CDP]],[2]!DISPONIBILIDADES_2024[[#All],[consecutivo]],[2]!DISPONIBILIDADES_2024[[#All],[fecha_aprobacion]],"",0)</f>
        <v>#NAME?</v>
      </c>
      <c r="S121" s="138" t="e">
        <f>SUMIF([2]!DISPONIBILIDADES_2024[[#All],[consecutivo]],Contrato5[[#This Row],[CDP]],[2]!DISPONIBILIDADES_2024[[#All],[valor_total_rubro]])</f>
        <v>#REF!</v>
      </c>
      <c r="T121" s="139" t="e" cm="1">
        <f t="array" aca="1" ref="T121" ca="1">_xlfn.XLOOKUP(Contrato5[[#This Row],[CONTRATO]]&amp;Contrato5[[#This Row],[CDP]],[2]!Corr_Contr_CDP[[#All],[CONTRATO-CDP]],[2]!Corr_Contr_CDP[[#All],[CRP]],_xlfn.XLOOKUP(Contrato5[[#This Row],[CDP]],[2]!COMPROMISOS_2024[[#All],[disponibilidad]],[2]!COMPROMISOS_2024[[#All],[consecutivo]],"",0),0)</f>
        <v>#NAME?</v>
      </c>
      <c r="U121" s="140" t="e" cm="1">
        <f t="array" aca="1" ref="U121" ca="1">+_xlfn.XLOOKUP(Contrato5[[#This Row],[RCP]],[2]!COMPROMISOS_2024[[#All],[consecutivo]],[2]!COMPROMISOS_2024[[#All],[fecha_aprobacion]],"",0)</f>
        <v>#NAME?</v>
      </c>
      <c r="V121" s="141" t="e">
        <f ca="1">SUMIF([2]!COMPROMISOS_2024[[#All],[consecutivo]],Contrato5[[#This Row],[RCP]],[2]!COMPROMISOS_2024[[#All],[valor_total]])</f>
        <v>#REF!</v>
      </c>
      <c r="W121" s="415">
        <v>45337</v>
      </c>
      <c r="X121" s="415">
        <v>45337</v>
      </c>
      <c r="Y121" s="143">
        <v>45338</v>
      </c>
      <c r="Z121" s="262">
        <v>45519</v>
      </c>
      <c r="AA121" s="171" t="s">
        <v>653</v>
      </c>
      <c r="AB121" s="161" t="s">
        <v>640</v>
      </c>
      <c r="AC121" s="161"/>
      <c r="AD121" s="211">
        <v>202000003691</v>
      </c>
      <c r="AE121" s="147" t="s">
        <v>523</v>
      </c>
      <c r="AF121" s="148" t="str">
        <f>TEXT(LEFT(Contrato5[[#This Row],[CONTRATO]],3),"0")</f>
        <v>95</v>
      </c>
      <c r="AG121" s="148" t="str">
        <f>IF(LEN(Contrato5[[#This Row],[Contrato2]])=3,Contrato5[[#This Row],[Contrato2]],TEXT(Contrato5[[#This Row],[Contrato2]],"000"))</f>
        <v>095</v>
      </c>
      <c r="AH121" s="149">
        <f ca="1">IFERROR(_xlfn.DAYS(Contrato5[[#This Row],[Fecha Proyectada liquidación]],TODAY())/30,"")</f>
        <v>-3.9666666666666668</v>
      </c>
      <c r="AI121" s="150">
        <f>+Contrato5[[#This Row],[FECHA TERMINACIÓN ]]+120</f>
        <v>45639</v>
      </c>
      <c r="AJ121" s="147"/>
      <c r="AK121" s="152" t="str">
        <f ca="1">IF(Contrato5[[#This Row],[FECHA TERMINACIÓN ]]&lt;TODAY(), "Terminado",IF(ISNUMBER(Contrato5[[#This Row],[Fecha Real de liquiidación ]]),"Liquidado",IF(Contrato5[[#This Row],[FECHA TERMINACIÓN ]]&gt;=TODAY(),"En ejecución","")))</f>
        <v>Terminado</v>
      </c>
      <c r="AL121" s="153" t="e">
        <f ca="1">SUMIF([2]!COMPROMISOS_2024[[#All],[consecutivo]],Contrato5[[#This Row],[RCP]],[2]!COMPROMISOS_2024[[#All],[Total pagado]])</f>
        <v>#REF!</v>
      </c>
      <c r="AM121" s="154">
        <f ca="1">IFERROR(Contrato5[[#This Row],[Pagos]]/Contrato5[[#This Row],[VALOR CONTRATO]],0)</f>
        <v>0</v>
      </c>
      <c r="AN121" s="198" t="e">
        <f ca="1">+Contrato5[[#This Row],[VALOR CONTRATO]]-Contrato5[[#This Row],[Pagos]]</f>
        <v>#REF!</v>
      </c>
      <c r="AO121" s="147" t="e" cm="1">
        <f t="array" aca="1" ref="AO121" ca="1">_xlfn.XLOOKUP(Contrato5[[#This Row],[DOCUMENTO ]],[2]!PERSONAL_ACTIVO_2024[[#All],[Documento identidad]],[2]!PERSONAL_ACTIVO_2024[[#All],[Mail ]],0,0)</f>
        <v>#NAME?</v>
      </c>
      <c r="AP121" s="147" t="e" cm="1">
        <f t="array" aca="1" ref="AP121" ca="1">_xlfn.XLOOKUP(Contrato5[[#This Row],[DOCUMENTO]],[2]!PERSONAL_ACTIVO_2024[[#All],[Documento identidad]],[2]!PERSONAL_ACTIVO_2024[[#All],[Mail ]],0,0)</f>
        <v>#NAME?</v>
      </c>
      <c r="AQ121" s="439" cm="1">
        <f t="array" aca="1" ref="AQ121" ca="1">IF(ISBLANK(Contrato5[[#This Row],[DEPENDENCIA ]]),0,IFERROR(_xlfn.XLOOKUP(Contrato5[[#This Row],[DEPENDENCIA ]],[2]!PERSONAL_ACTIVO_2024[[#All],[Dependencia]],[2]!PERSONAL_ACTIVO_2024[[#All],[Mail ]],0,0),0))</f>
        <v>0</v>
      </c>
    </row>
    <row r="122" spans="1:43" ht="34.5" customHeight="1">
      <c r="A122" s="125">
        <v>193</v>
      </c>
      <c r="B122" s="124">
        <v>96</v>
      </c>
      <c r="C122" s="162" t="s">
        <v>1617</v>
      </c>
      <c r="D122" s="227" t="s">
        <v>583</v>
      </c>
      <c r="E122" s="128" t="s">
        <v>94</v>
      </c>
      <c r="F122" s="163" t="s">
        <v>1376</v>
      </c>
      <c r="G122" s="190" t="s">
        <v>718</v>
      </c>
      <c r="H122" s="447">
        <v>635014</v>
      </c>
      <c r="I122" s="455">
        <v>5931149</v>
      </c>
      <c r="J122" s="456">
        <v>35586894</v>
      </c>
      <c r="K122" s="166" t="s">
        <v>42</v>
      </c>
      <c r="L122" s="438" t="s">
        <v>42</v>
      </c>
      <c r="M122" s="194" t="s">
        <v>600</v>
      </c>
      <c r="N122" s="177" t="e" cm="1">
        <f t="array" aca="1" ref="N122" ca="1">_xlfn.XLOOKUP(Contrato5[[#This Row],[SUPERVISOR TITULAR]],[2]!PERSONAL_ACTIVO_2024[[#All],[Nombre completo]],[2]!PERSONAL_ACTIVO_2024[[#All],[Documento identidad]],"",0)</f>
        <v>#NAME?</v>
      </c>
      <c r="O122" s="194" t="s">
        <v>2495</v>
      </c>
      <c r="P122" s="196" t="e" cm="1">
        <f t="array" aca="1" ref="P122" ca="1">_xlfn.XLOOKUP(Contrato5[[#This Row],[SUPERVISOR SUPLENTE ]],[2]!PERSONAL_ACTIVO_2024[[#All],[Nombre completo]],[2]!PERSONAL_ACTIVO_2024[[#All],[Documento identidad]],"",0)</f>
        <v>#NAME?</v>
      </c>
      <c r="Q122" s="208">
        <v>121</v>
      </c>
      <c r="R122" s="137" t="e" cm="1">
        <f t="array" aca="1" ref="R122" ca="1">_xlfn.XLOOKUP(Contrato5[[#This Row],[CDP]],[2]!DISPONIBILIDADES_2024[[#All],[consecutivo]],[2]!DISPONIBILIDADES_2024[[#All],[fecha_aprobacion]],"",0)</f>
        <v>#NAME?</v>
      </c>
      <c r="S122" s="138" t="e">
        <f>SUMIF([2]!DISPONIBILIDADES_2024[[#All],[consecutivo]],Contrato5[[#This Row],[CDP]],[2]!DISPONIBILIDADES_2024[[#All],[valor_total_rubro]])</f>
        <v>#REF!</v>
      </c>
      <c r="T122" s="139" t="e" cm="1">
        <f t="array" aca="1" ref="T122" ca="1">_xlfn.XLOOKUP(Contrato5[[#This Row],[CONTRATO]]&amp;Contrato5[[#This Row],[CDP]],[2]!Corr_Contr_CDP[[#All],[CONTRATO-CDP]],[2]!Corr_Contr_CDP[[#All],[CRP]],_xlfn.XLOOKUP(Contrato5[[#This Row],[CDP]],[2]!COMPROMISOS_2024[[#All],[disponibilidad]],[2]!COMPROMISOS_2024[[#All],[consecutivo]],"",0),0)</f>
        <v>#NAME?</v>
      </c>
      <c r="U122" s="140" t="e" cm="1">
        <f t="array" aca="1" ref="U122" ca="1">+_xlfn.XLOOKUP(Contrato5[[#This Row],[RCP]],[2]!COMPROMISOS_2024[[#All],[consecutivo]],[2]!COMPROMISOS_2024[[#All],[fecha_aprobacion]],"",0)</f>
        <v>#NAME?</v>
      </c>
      <c r="V122" s="141" t="e">
        <f ca="1">SUMIF([2]!COMPROMISOS_2024[[#All],[consecutivo]],Contrato5[[#This Row],[RCP]],[2]!COMPROMISOS_2024[[#All],[valor_total]])</f>
        <v>#REF!</v>
      </c>
      <c r="W122" s="415">
        <v>45337</v>
      </c>
      <c r="X122" s="415">
        <v>45337</v>
      </c>
      <c r="Y122" s="143">
        <v>45338</v>
      </c>
      <c r="Z122" s="262">
        <v>45519</v>
      </c>
      <c r="AA122" s="171" t="s">
        <v>711</v>
      </c>
      <c r="AB122" s="161" t="s">
        <v>640</v>
      </c>
      <c r="AC122" s="161"/>
      <c r="AD122" s="211">
        <v>202000003692</v>
      </c>
      <c r="AE122" s="147" t="s">
        <v>523</v>
      </c>
      <c r="AF122" s="148" t="str">
        <f>TEXT(LEFT(Contrato5[[#This Row],[CONTRATO]],3),"0")</f>
        <v>96</v>
      </c>
      <c r="AG122" s="148" t="str">
        <f>IF(LEN(Contrato5[[#This Row],[Contrato2]])=3,Contrato5[[#This Row],[Contrato2]],TEXT(Contrato5[[#This Row],[Contrato2]],"000"))</f>
        <v>096</v>
      </c>
      <c r="AH122" s="149">
        <f ca="1">IFERROR(_xlfn.DAYS(Contrato5[[#This Row],[Fecha Proyectada liquidación]],TODAY())/30,"")</f>
        <v>-3.9666666666666668</v>
      </c>
      <c r="AI122" s="150">
        <f>+Contrato5[[#This Row],[FECHA TERMINACIÓN ]]+120</f>
        <v>45639</v>
      </c>
      <c r="AJ122" s="147"/>
      <c r="AK122" s="152" t="str">
        <f ca="1">IF(Contrato5[[#This Row],[FECHA TERMINACIÓN ]]&lt;TODAY(), "Terminado",IF(ISNUMBER(Contrato5[[#This Row],[Fecha Real de liquiidación ]]),"Liquidado",IF(Contrato5[[#This Row],[FECHA TERMINACIÓN ]]&gt;=TODAY(),"En ejecución","")))</f>
        <v>Terminado</v>
      </c>
      <c r="AL122" s="153" t="e">
        <f ca="1">SUMIF([2]!COMPROMISOS_2024[[#All],[consecutivo]],Contrato5[[#This Row],[RCP]],[2]!COMPROMISOS_2024[[#All],[Total pagado]])</f>
        <v>#REF!</v>
      </c>
      <c r="AM122" s="154">
        <f ca="1">IFERROR(Contrato5[[#This Row],[Pagos]]/Contrato5[[#This Row],[VALOR CONTRATO]],0)</f>
        <v>0</v>
      </c>
      <c r="AN122" s="198" t="e">
        <f ca="1">+Contrato5[[#This Row],[VALOR CONTRATO]]-Contrato5[[#This Row],[Pagos]]</f>
        <v>#REF!</v>
      </c>
      <c r="AO122" s="147" t="e" cm="1">
        <f t="array" aca="1" ref="AO122" ca="1">_xlfn.XLOOKUP(Contrato5[[#This Row],[DOCUMENTO ]],[2]!PERSONAL_ACTIVO_2024[[#All],[Documento identidad]],[2]!PERSONAL_ACTIVO_2024[[#All],[Mail ]],0,0)</f>
        <v>#NAME?</v>
      </c>
      <c r="AP122" s="147" t="e" cm="1">
        <f t="array" aca="1" ref="AP122" ca="1">_xlfn.XLOOKUP(Contrato5[[#This Row],[DOCUMENTO]],[2]!PERSONAL_ACTIVO_2024[[#All],[Documento identidad]],[2]!PERSONAL_ACTIVO_2024[[#All],[Mail ]],0,0)</f>
        <v>#NAME?</v>
      </c>
      <c r="AQ122" s="439" cm="1">
        <f t="array" aca="1" ref="AQ122" ca="1">IF(ISBLANK(Contrato5[[#This Row],[DEPENDENCIA ]]),0,IFERROR(_xlfn.XLOOKUP(Contrato5[[#This Row],[DEPENDENCIA ]],[2]!PERSONAL_ACTIVO_2024[[#All],[Dependencia]],[2]!PERSONAL_ACTIVO_2024[[#All],[Mail ]],0,0),0))</f>
        <v>0</v>
      </c>
    </row>
    <row r="123" spans="1:43" ht="34.5" customHeight="1">
      <c r="A123" s="125">
        <v>194</v>
      </c>
      <c r="B123" s="124">
        <v>97</v>
      </c>
      <c r="C123" s="162" t="s">
        <v>1618</v>
      </c>
      <c r="D123" s="227" t="s">
        <v>583</v>
      </c>
      <c r="E123" s="128" t="s">
        <v>94</v>
      </c>
      <c r="F123" s="163" t="s">
        <v>1376</v>
      </c>
      <c r="G123" s="190" t="s">
        <v>719</v>
      </c>
      <c r="H123" s="447">
        <v>1152440541</v>
      </c>
      <c r="I123" s="455">
        <v>5931149</v>
      </c>
      <c r="J123" s="456">
        <v>35586894</v>
      </c>
      <c r="K123" s="166" t="s">
        <v>42</v>
      </c>
      <c r="L123" s="438" t="s">
        <v>42</v>
      </c>
      <c r="M123" s="194" t="s">
        <v>600</v>
      </c>
      <c r="N123" s="177" t="e" cm="1">
        <f t="array" aca="1" ref="N123" ca="1">_xlfn.XLOOKUP(Contrato5[[#This Row],[SUPERVISOR TITULAR]],[2]!PERSONAL_ACTIVO_2024[[#All],[Nombre completo]],[2]!PERSONAL_ACTIVO_2024[[#All],[Documento identidad]],"",0)</f>
        <v>#NAME?</v>
      </c>
      <c r="O123" s="194" t="s">
        <v>2495</v>
      </c>
      <c r="P123" s="196" t="e" cm="1">
        <f t="array" aca="1" ref="P123" ca="1">_xlfn.XLOOKUP(Contrato5[[#This Row],[SUPERVISOR SUPLENTE ]],[2]!PERSONAL_ACTIVO_2024[[#All],[Nombre completo]],[2]!PERSONAL_ACTIVO_2024[[#All],[Documento identidad]],"",0)</f>
        <v>#NAME?</v>
      </c>
      <c r="Q123" s="208">
        <v>122</v>
      </c>
      <c r="R123" s="137" t="e" cm="1">
        <f t="array" aca="1" ref="R123" ca="1">_xlfn.XLOOKUP(Contrato5[[#This Row],[CDP]],[2]!DISPONIBILIDADES_2024[[#All],[consecutivo]],[2]!DISPONIBILIDADES_2024[[#All],[fecha_aprobacion]],"",0)</f>
        <v>#NAME?</v>
      </c>
      <c r="S123" s="138" t="e">
        <f>SUMIF([2]!DISPONIBILIDADES_2024[[#All],[consecutivo]],Contrato5[[#This Row],[CDP]],[2]!DISPONIBILIDADES_2024[[#All],[valor_total_rubro]])</f>
        <v>#REF!</v>
      </c>
      <c r="T123" s="139" t="e" cm="1">
        <f t="array" aca="1" ref="T123" ca="1">_xlfn.XLOOKUP(Contrato5[[#This Row],[CONTRATO]]&amp;Contrato5[[#This Row],[CDP]],[2]!Corr_Contr_CDP[[#All],[CONTRATO-CDP]],[2]!Corr_Contr_CDP[[#All],[CRP]],_xlfn.XLOOKUP(Contrato5[[#This Row],[CDP]],[2]!COMPROMISOS_2024[[#All],[disponibilidad]],[2]!COMPROMISOS_2024[[#All],[consecutivo]],"",0),0)</f>
        <v>#NAME?</v>
      </c>
      <c r="U123" s="140" t="e" cm="1">
        <f t="array" aca="1" ref="U123" ca="1">+_xlfn.XLOOKUP(Contrato5[[#This Row],[RCP]],[2]!COMPROMISOS_2024[[#All],[consecutivo]],[2]!COMPROMISOS_2024[[#All],[fecha_aprobacion]],"",0)</f>
        <v>#NAME?</v>
      </c>
      <c r="V123" s="141" t="e">
        <f ca="1">SUMIF([2]!COMPROMISOS_2024[[#All],[consecutivo]],Contrato5[[#This Row],[RCP]],[2]!COMPROMISOS_2024[[#All],[valor_total]])</f>
        <v>#REF!</v>
      </c>
      <c r="W123" s="415">
        <v>45336</v>
      </c>
      <c r="X123" s="415">
        <v>45338</v>
      </c>
      <c r="Y123" s="143">
        <v>45338</v>
      </c>
      <c r="Z123" s="262">
        <v>45519</v>
      </c>
      <c r="AA123" s="171" t="s">
        <v>651</v>
      </c>
      <c r="AB123" s="161" t="s">
        <v>640</v>
      </c>
      <c r="AC123" s="161"/>
      <c r="AD123" s="211">
        <v>202000003693</v>
      </c>
      <c r="AE123" s="147" t="s">
        <v>523</v>
      </c>
      <c r="AF123" s="148" t="str">
        <f>TEXT(LEFT(Contrato5[[#This Row],[CONTRATO]],3),"0")</f>
        <v>97</v>
      </c>
      <c r="AG123" s="148" t="str">
        <f>IF(LEN(Contrato5[[#This Row],[Contrato2]])=3,Contrato5[[#This Row],[Contrato2]],TEXT(Contrato5[[#This Row],[Contrato2]],"000"))</f>
        <v>097</v>
      </c>
      <c r="AH123" s="149">
        <f ca="1">IFERROR(_xlfn.DAYS(Contrato5[[#This Row],[Fecha Proyectada liquidación]],TODAY())/30,"")</f>
        <v>-3.9666666666666668</v>
      </c>
      <c r="AI123" s="150">
        <f>+Contrato5[[#This Row],[FECHA TERMINACIÓN ]]+120</f>
        <v>45639</v>
      </c>
      <c r="AJ123" s="147"/>
      <c r="AK123" s="152" t="str">
        <f ca="1">IF(Contrato5[[#This Row],[FECHA TERMINACIÓN ]]&lt;TODAY(), "Terminado",IF(ISNUMBER(Contrato5[[#This Row],[Fecha Real de liquiidación ]]),"Liquidado",IF(Contrato5[[#This Row],[FECHA TERMINACIÓN ]]&gt;=TODAY(),"En ejecución","")))</f>
        <v>Terminado</v>
      </c>
      <c r="AL123" s="153" t="e">
        <f ca="1">SUMIF([2]!COMPROMISOS_2024[[#All],[consecutivo]],Contrato5[[#This Row],[RCP]],[2]!COMPROMISOS_2024[[#All],[Total pagado]])</f>
        <v>#REF!</v>
      </c>
      <c r="AM123" s="154">
        <f ca="1">IFERROR(Contrato5[[#This Row],[Pagos]]/Contrato5[[#This Row],[VALOR CONTRATO]],0)</f>
        <v>0</v>
      </c>
      <c r="AN123" s="198" t="e">
        <f ca="1">+Contrato5[[#This Row],[VALOR CONTRATO]]-Contrato5[[#This Row],[Pagos]]</f>
        <v>#REF!</v>
      </c>
      <c r="AO123" s="147" t="e" cm="1">
        <f t="array" aca="1" ref="AO123" ca="1">_xlfn.XLOOKUP(Contrato5[[#This Row],[DOCUMENTO ]],[2]!PERSONAL_ACTIVO_2024[[#All],[Documento identidad]],[2]!PERSONAL_ACTIVO_2024[[#All],[Mail ]],0,0)</f>
        <v>#NAME?</v>
      </c>
      <c r="AP123" s="147" t="e" cm="1">
        <f t="array" aca="1" ref="AP123" ca="1">_xlfn.XLOOKUP(Contrato5[[#This Row],[DOCUMENTO]],[2]!PERSONAL_ACTIVO_2024[[#All],[Documento identidad]],[2]!PERSONAL_ACTIVO_2024[[#All],[Mail ]],0,0)</f>
        <v>#NAME?</v>
      </c>
      <c r="AQ123" s="439" cm="1">
        <f t="array" aca="1" ref="AQ123" ca="1">IF(ISBLANK(Contrato5[[#This Row],[DEPENDENCIA ]]),0,IFERROR(_xlfn.XLOOKUP(Contrato5[[#This Row],[DEPENDENCIA ]],[2]!PERSONAL_ACTIVO_2024[[#All],[Dependencia]],[2]!PERSONAL_ACTIVO_2024[[#All],[Mail ]],0,0),0))</f>
        <v>0</v>
      </c>
    </row>
    <row r="124" spans="1:43" ht="34.5" customHeight="1">
      <c r="A124" s="125">
        <v>195</v>
      </c>
      <c r="B124" s="124">
        <v>98</v>
      </c>
      <c r="C124" s="162" t="s">
        <v>1619</v>
      </c>
      <c r="D124" s="227" t="s">
        <v>583</v>
      </c>
      <c r="E124" s="128" t="s">
        <v>94</v>
      </c>
      <c r="F124" s="163" t="s">
        <v>1376</v>
      </c>
      <c r="G124" s="190" t="s">
        <v>720</v>
      </c>
      <c r="H124" s="447">
        <v>43113989</v>
      </c>
      <c r="I124" s="455">
        <v>2574842</v>
      </c>
      <c r="J124" s="456">
        <v>15449052</v>
      </c>
      <c r="K124" s="166" t="s">
        <v>42</v>
      </c>
      <c r="L124" s="438" t="s">
        <v>42</v>
      </c>
      <c r="M124" s="194" t="s">
        <v>600</v>
      </c>
      <c r="N124" s="177" t="e" cm="1">
        <f t="array" aca="1" ref="N124" ca="1">_xlfn.XLOOKUP(Contrato5[[#This Row],[SUPERVISOR TITULAR]],[2]!PERSONAL_ACTIVO_2024[[#All],[Nombre completo]],[2]!PERSONAL_ACTIVO_2024[[#All],[Documento identidad]],"",0)</f>
        <v>#NAME?</v>
      </c>
      <c r="O124" s="194" t="s">
        <v>2495</v>
      </c>
      <c r="P124" s="196" t="e" cm="1">
        <f t="array" aca="1" ref="P124" ca="1">_xlfn.XLOOKUP(Contrato5[[#This Row],[SUPERVISOR SUPLENTE ]],[2]!PERSONAL_ACTIVO_2024[[#All],[Nombre completo]],[2]!PERSONAL_ACTIVO_2024[[#All],[Documento identidad]],"",0)</f>
        <v>#NAME?</v>
      </c>
      <c r="Q124" s="208">
        <v>123</v>
      </c>
      <c r="R124" s="137" t="e" cm="1">
        <f t="array" aca="1" ref="R124" ca="1">_xlfn.XLOOKUP(Contrato5[[#This Row],[CDP]],[2]!DISPONIBILIDADES_2024[[#All],[consecutivo]],[2]!DISPONIBILIDADES_2024[[#All],[fecha_aprobacion]],"",0)</f>
        <v>#NAME?</v>
      </c>
      <c r="S124" s="138" t="e">
        <f>SUMIF([2]!DISPONIBILIDADES_2024[[#All],[consecutivo]],Contrato5[[#This Row],[CDP]],[2]!DISPONIBILIDADES_2024[[#All],[valor_total_rubro]])</f>
        <v>#REF!</v>
      </c>
      <c r="T124" s="139" t="e" cm="1">
        <f t="array" aca="1" ref="T124" ca="1">_xlfn.XLOOKUP(Contrato5[[#This Row],[CONTRATO]]&amp;Contrato5[[#This Row],[CDP]],[2]!Corr_Contr_CDP[[#All],[CONTRATO-CDP]],[2]!Corr_Contr_CDP[[#All],[CRP]],_xlfn.XLOOKUP(Contrato5[[#This Row],[CDP]],[2]!COMPROMISOS_2024[[#All],[disponibilidad]],[2]!COMPROMISOS_2024[[#All],[consecutivo]],"",0),0)</f>
        <v>#NAME?</v>
      </c>
      <c r="U124" s="140" t="e" cm="1">
        <f t="array" aca="1" ref="U124" ca="1">+_xlfn.XLOOKUP(Contrato5[[#This Row],[RCP]],[2]!COMPROMISOS_2024[[#All],[consecutivo]],[2]!COMPROMISOS_2024[[#All],[fecha_aprobacion]],"",0)</f>
        <v>#NAME?</v>
      </c>
      <c r="V124" s="141" t="e">
        <f ca="1">SUMIF([2]!COMPROMISOS_2024[[#All],[consecutivo]],Contrato5[[#This Row],[RCP]],[2]!COMPROMISOS_2024[[#All],[valor_total]])</f>
        <v>#REF!</v>
      </c>
      <c r="W124" s="415">
        <v>45336</v>
      </c>
      <c r="X124" s="415">
        <v>45337</v>
      </c>
      <c r="Y124" s="143">
        <v>45338</v>
      </c>
      <c r="Z124" s="262">
        <v>45519</v>
      </c>
      <c r="AA124" s="228" t="s">
        <v>670</v>
      </c>
      <c r="AB124" s="161" t="s">
        <v>640</v>
      </c>
      <c r="AC124" s="161"/>
      <c r="AD124" s="211">
        <v>202000003694</v>
      </c>
      <c r="AE124" s="147" t="s">
        <v>523</v>
      </c>
      <c r="AF124" s="148" t="str">
        <f>TEXT(LEFT(Contrato5[[#This Row],[CONTRATO]],3),"0")</f>
        <v>98</v>
      </c>
      <c r="AG124" s="148" t="str">
        <f>IF(LEN(Contrato5[[#This Row],[Contrato2]])=3,Contrato5[[#This Row],[Contrato2]],TEXT(Contrato5[[#This Row],[Contrato2]],"000"))</f>
        <v>098</v>
      </c>
      <c r="AH124" s="149">
        <f ca="1">IFERROR(_xlfn.DAYS(Contrato5[[#This Row],[Fecha Proyectada liquidación]],TODAY())/30,"")</f>
        <v>-3.9666666666666668</v>
      </c>
      <c r="AI124" s="150">
        <f>+Contrato5[[#This Row],[FECHA TERMINACIÓN ]]+120</f>
        <v>45639</v>
      </c>
      <c r="AJ124" s="147"/>
      <c r="AK124" s="152" t="str">
        <f ca="1">IF(Contrato5[[#This Row],[FECHA TERMINACIÓN ]]&lt;TODAY(), "Terminado",IF(ISNUMBER(Contrato5[[#This Row],[Fecha Real de liquiidación ]]),"Liquidado",IF(Contrato5[[#This Row],[FECHA TERMINACIÓN ]]&gt;=TODAY(),"En ejecución","")))</f>
        <v>Terminado</v>
      </c>
      <c r="AL124" s="153" t="e">
        <f ca="1">SUMIF([2]!COMPROMISOS_2024[[#All],[consecutivo]],Contrato5[[#This Row],[RCP]],[2]!COMPROMISOS_2024[[#All],[Total pagado]])</f>
        <v>#REF!</v>
      </c>
      <c r="AM124" s="154">
        <f ca="1">IFERROR(Contrato5[[#This Row],[Pagos]]/Contrato5[[#This Row],[VALOR CONTRATO]],0)</f>
        <v>0</v>
      </c>
      <c r="AN124" s="198" t="e">
        <f ca="1">+Contrato5[[#This Row],[VALOR CONTRATO]]-Contrato5[[#This Row],[Pagos]]</f>
        <v>#REF!</v>
      </c>
      <c r="AO124" s="147" t="e" cm="1">
        <f t="array" aca="1" ref="AO124" ca="1">_xlfn.XLOOKUP(Contrato5[[#This Row],[DOCUMENTO ]],[2]!PERSONAL_ACTIVO_2024[[#All],[Documento identidad]],[2]!PERSONAL_ACTIVO_2024[[#All],[Mail ]],0,0)</f>
        <v>#NAME?</v>
      </c>
      <c r="AP124" s="147" t="e" cm="1">
        <f t="array" aca="1" ref="AP124" ca="1">_xlfn.XLOOKUP(Contrato5[[#This Row],[DOCUMENTO]],[2]!PERSONAL_ACTIVO_2024[[#All],[Documento identidad]],[2]!PERSONAL_ACTIVO_2024[[#All],[Mail ]],0,0)</f>
        <v>#NAME?</v>
      </c>
      <c r="AQ124" s="439" cm="1">
        <f t="array" aca="1" ref="AQ124" ca="1">IF(ISBLANK(Contrato5[[#This Row],[DEPENDENCIA ]]),0,IFERROR(_xlfn.XLOOKUP(Contrato5[[#This Row],[DEPENDENCIA ]],[2]!PERSONAL_ACTIVO_2024[[#All],[Dependencia]],[2]!PERSONAL_ACTIVO_2024[[#All],[Mail ]],0,0),0))</f>
        <v>0</v>
      </c>
    </row>
    <row r="125" spans="1:43" ht="34.5" customHeight="1">
      <c r="A125" s="125">
        <v>196</v>
      </c>
      <c r="B125" s="124">
        <v>99</v>
      </c>
      <c r="C125" s="162" t="s">
        <v>1620</v>
      </c>
      <c r="D125" s="227" t="s">
        <v>583</v>
      </c>
      <c r="E125" s="128" t="s">
        <v>94</v>
      </c>
      <c r="F125" s="163" t="s">
        <v>1376</v>
      </c>
      <c r="G125" s="190" t="s">
        <v>721</v>
      </c>
      <c r="H125" s="447">
        <v>1037578887</v>
      </c>
      <c r="I125" s="455">
        <v>3952382</v>
      </c>
      <c r="J125" s="456">
        <v>23714292</v>
      </c>
      <c r="K125" s="166" t="s">
        <v>42</v>
      </c>
      <c r="L125" s="438" t="s">
        <v>42</v>
      </c>
      <c r="M125" s="194" t="s">
        <v>600</v>
      </c>
      <c r="N125" s="177" t="e" cm="1">
        <f t="array" aca="1" ref="N125" ca="1">_xlfn.XLOOKUP(Contrato5[[#This Row],[SUPERVISOR TITULAR]],[2]!PERSONAL_ACTIVO_2024[[#All],[Nombre completo]],[2]!PERSONAL_ACTIVO_2024[[#All],[Documento identidad]],"",0)</f>
        <v>#NAME?</v>
      </c>
      <c r="O125" s="194" t="s">
        <v>2495</v>
      </c>
      <c r="P125" s="196" t="e" cm="1">
        <f t="array" aca="1" ref="P125" ca="1">_xlfn.XLOOKUP(Contrato5[[#This Row],[SUPERVISOR SUPLENTE ]],[2]!PERSONAL_ACTIVO_2024[[#All],[Nombre completo]],[2]!PERSONAL_ACTIVO_2024[[#All],[Documento identidad]],"",0)</f>
        <v>#NAME?</v>
      </c>
      <c r="Q125" s="208">
        <v>124</v>
      </c>
      <c r="R125" s="137" t="e" cm="1">
        <f t="array" aca="1" ref="R125" ca="1">_xlfn.XLOOKUP(Contrato5[[#This Row],[CDP]],[2]!DISPONIBILIDADES_2024[[#All],[consecutivo]],[2]!DISPONIBILIDADES_2024[[#All],[fecha_aprobacion]],"",0)</f>
        <v>#NAME?</v>
      </c>
      <c r="S125" s="138" t="e">
        <f>SUMIF([2]!DISPONIBILIDADES_2024[[#All],[consecutivo]],Contrato5[[#This Row],[CDP]],[2]!DISPONIBILIDADES_2024[[#All],[valor_total_rubro]])</f>
        <v>#REF!</v>
      </c>
      <c r="T125" s="139" t="e" cm="1">
        <f t="array" aca="1" ref="T125" ca="1">_xlfn.XLOOKUP(Contrato5[[#This Row],[CONTRATO]]&amp;Contrato5[[#This Row],[CDP]],[2]!Corr_Contr_CDP[[#All],[CONTRATO-CDP]],[2]!Corr_Contr_CDP[[#All],[CRP]],_xlfn.XLOOKUP(Contrato5[[#This Row],[CDP]],[2]!COMPROMISOS_2024[[#All],[disponibilidad]],[2]!COMPROMISOS_2024[[#All],[consecutivo]],"",0),0)</f>
        <v>#NAME?</v>
      </c>
      <c r="U125" s="140" t="e" cm="1">
        <f t="array" aca="1" ref="U125" ca="1">+_xlfn.XLOOKUP(Contrato5[[#This Row],[RCP]],[2]!COMPROMISOS_2024[[#All],[consecutivo]],[2]!COMPROMISOS_2024[[#All],[fecha_aprobacion]],"",0)</f>
        <v>#NAME?</v>
      </c>
      <c r="V125" s="141" t="e">
        <f ca="1">SUMIF([2]!COMPROMISOS_2024[[#All],[consecutivo]],Contrato5[[#This Row],[RCP]],[2]!COMPROMISOS_2024[[#All],[valor_total]])</f>
        <v>#REF!</v>
      </c>
      <c r="W125" s="415">
        <v>45337</v>
      </c>
      <c r="X125" s="415">
        <v>45337</v>
      </c>
      <c r="Y125" s="143">
        <v>45338</v>
      </c>
      <c r="Z125" s="262">
        <v>45519</v>
      </c>
      <c r="AA125" s="171" t="s">
        <v>653</v>
      </c>
      <c r="AB125" s="161" t="s">
        <v>640</v>
      </c>
      <c r="AC125" s="161"/>
      <c r="AD125" s="211">
        <v>202000003695</v>
      </c>
      <c r="AE125" s="147" t="s">
        <v>523</v>
      </c>
      <c r="AF125" s="148" t="str">
        <f>TEXT(LEFT(Contrato5[[#This Row],[CONTRATO]],3),"0")</f>
        <v>99</v>
      </c>
      <c r="AG125" s="148" t="str">
        <f>IF(LEN(Contrato5[[#This Row],[Contrato2]])=3,Contrato5[[#This Row],[Contrato2]],TEXT(Contrato5[[#This Row],[Contrato2]],"000"))</f>
        <v>099</v>
      </c>
      <c r="AH125" s="149">
        <f ca="1">IFERROR(_xlfn.DAYS(Contrato5[[#This Row],[Fecha Proyectada liquidación]],TODAY())/30,"")</f>
        <v>-3.9666666666666668</v>
      </c>
      <c r="AI125" s="150">
        <f>+Contrato5[[#This Row],[FECHA TERMINACIÓN ]]+120</f>
        <v>45639</v>
      </c>
      <c r="AJ125" s="147"/>
      <c r="AK125" s="152" t="str">
        <f ca="1">IF(Contrato5[[#This Row],[FECHA TERMINACIÓN ]]&lt;TODAY(), "Terminado",IF(ISNUMBER(Contrato5[[#This Row],[Fecha Real de liquiidación ]]),"Liquidado",IF(Contrato5[[#This Row],[FECHA TERMINACIÓN ]]&gt;=TODAY(),"En ejecución","")))</f>
        <v>Terminado</v>
      </c>
      <c r="AL125" s="153" t="e">
        <f ca="1">SUMIF([2]!COMPROMISOS_2024[[#All],[consecutivo]],Contrato5[[#This Row],[RCP]],[2]!COMPROMISOS_2024[[#All],[Total pagado]])</f>
        <v>#REF!</v>
      </c>
      <c r="AM125" s="154">
        <f ca="1">IFERROR(Contrato5[[#This Row],[Pagos]]/Contrato5[[#This Row],[VALOR CONTRATO]],0)</f>
        <v>0</v>
      </c>
      <c r="AN125" s="198" t="e">
        <f ca="1">+Contrato5[[#This Row],[VALOR CONTRATO]]-Contrato5[[#This Row],[Pagos]]</f>
        <v>#REF!</v>
      </c>
      <c r="AO125" s="147" t="e" cm="1">
        <f t="array" aca="1" ref="AO125" ca="1">_xlfn.XLOOKUP(Contrato5[[#This Row],[DOCUMENTO ]],[2]!PERSONAL_ACTIVO_2024[[#All],[Documento identidad]],[2]!PERSONAL_ACTIVO_2024[[#All],[Mail ]],0,0)</f>
        <v>#NAME?</v>
      </c>
      <c r="AP125" s="147" t="e" cm="1">
        <f t="array" aca="1" ref="AP125" ca="1">_xlfn.XLOOKUP(Contrato5[[#This Row],[DOCUMENTO]],[2]!PERSONAL_ACTIVO_2024[[#All],[Documento identidad]],[2]!PERSONAL_ACTIVO_2024[[#All],[Mail ]],0,0)</f>
        <v>#NAME?</v>
      </c>
      <c r="AQ125" s="439" cm="1">
        <f t="array" aca="1" ref="AQ125" ca="1">IF(ISBLANK(Contrato5[[#This Row],[DEPENDENCIA ]]),0,IFERROR(_xlfn.XLOOKUP(Contrato5[[#This Row],[DEPENDENCIA ]],[2]!PERSONAL_ACTIVO_2024[[#All],[Dependencia]],[2]!PERSONAL_ACTIVO_2024[[#All],[Mail ]],0,0),0))</f>
        <v>0</v>
      </c>
    </row>
    <row r="126" spans="1:43" ht="34.5" customHeight="1">
      <c r="A126" s="125">
        <v>197</v>
      </c>
      <c r="B126" s="124">
        <v>100</v>
      </c>
      <c r="C126" s="162" t="s">
        <v>1621</v>
      </c>
      <c r="D126" s="227" t="s">
        <v>583</v>
      </c>
      <c r="E126" s="128" t="s">
        <v>94</v>
      </c>
      <c r="F126" s="163" t="s">
        <v>1376</v>
      </c>
      <c r="G126" s="190" t="s">
        <v>722</v>
      </c>
      <c r="H126" s="447">
        <v>1035429696</v>
      </c>
      <c r="I126" s="455">
        <v>2574842</v>
      </c>
      <c r="J126" s="456">
        <v>15449052</v>
      </c>
      <c r="K126" s="131" t="s">
        <v>42</v>
      </c>
      <c r="L126" s="438" t="s">
        <v>42</v>
      </c>
      <c r="M126" s="194" t="s">
        <v>600</v>
      </c>
      <c r="N126" s="177" t="e" cm="1">
        <f t="array" aca="1" ref="N126" ca="1">_xlfn.XLOOKUP(Contrato5[[#This Row],[SUPERVISOR TITULAR]],[2]!PERSONAL_ACTIVO_2024[[#All],[Nombre completo]],[2]!PERSONAL_ACTIVO_2024[[#All],[Documento identidad]],"",0)</f>
        <v>#NAME?</v>
      </c>
      <c r="O126" s="194" t="s">
        <v>2495</v>
      </c>
      <c r="P126" s="196" t="e" cm="1">
        <f t="array" aca="1" ref="P126" ca="1">_xlfn.XLOOKUP(Contrato5[[#This Row],[SUPERVISOR SUPLENTE ]],[2]!PERSONAL_ACTIVO_2024[[#All],[Nombre completo]],[2]!PERSONAL_ACTIVO_2024[[#All],[Documento identidad]],"",0)</f>
        <v>#NAME?</v>
      </c>
      <c r="Q126" s="208">
        <v>125</v>
      </c>
      <c r="R126" s="137" t="e" cm="1">
        <f t="array" aca="1" ref="R126" ca="1">_xlfn.XLOOKUP(Contrato5[[#This Row],[CDP]],[2]!DISPONIBILIDADES_2024[[#All],[consecutivo]],[2]!DISPONIBILIDADES_2024[[#All],[fecha_aprobacion]],"",0)</f>
        <v>#NAME?</v>
      </c>
      <c r="S126" s="138" t="e">
        <f>SUMIF([2]!DISPONIBILIDADES_2024[[#All],[consecutivo]],Contrato5[[#This Row],[CDP]],[2]!DISPONIBILIDADES_2024[[#All],[valor_total_rubro]])</f>
        <v>#REF!</v>
      </c>
      <c r="T126" s="139" t="e" cm="1">
        <f t="array" aca="1" ref="T126" ca="1">_xlfn.XLOOKUP(Contrato5[[#This Row],[CONTRATO]]&amp;Contrato5[[#This Row],[CDP]],[2]!Corr_Contr_CDP[[#All],[CONTRATO-CDP]],[2]!Corr_Contr_CDP[[#All],[CRP]],_xlfn.XLOOKUP(Contrato5[[#This Row],[CDP]],[2]!COMPROMISOS_2024[[#All],[disponibilidad]],[2]!COMPROMISOS_2024[[#All],[consecutivo]],"",0),0)</f>
        <v>#NAME?</v>
      </c>
      <c r="U126" s="140" t="e" cm="1">
        <f t="array" aca="1" ref="U126" ca="1">+_xlfn.XLOOKUP(Contrato5[[#This Row],[RCP]],[2]!COMPROMISOS_2024[[#All],[consecutivo]],[2]!COMPROMISOS_2024[[#All],[fecha_aprobacion]],"",0)</f>
        <v>#NAME?</v>
      </c>
      <c r="V126" s="141" t="e">
        <f ca="1">SUMIF([2]!COMPROMISOS_2024[[#All],[consecutivo]],Contrato5[[#This Row],[RCP]],[2]!COMPROMISOS_2024[[#All],[valor_total]])</f>
        <v>#REF!</v>
      </c>
      <c r="W126" s="415">
        <v>45337</v>
      </c>
      <c r="X126" s="415">
        <v>45337</v>
      </c>
      <c r="Y126" s="143">
        <v>45338</v>
      </c>
      <c r="Z126" s="262">
        <v>45519</v>
      </c>
      <c r="AA126" s="171" t="s">
        <v>711</v>
      </c>
      <c r="AB126" s="161" t="s">
        <v>640</v>
      </c>
      <c r="AC126" s="161"/>
      <c r="AD126" s="211">
        <v>202000003696</v>
      </c>
      <c r="AE126" s="147" t="s">
        <v>523</v>
      </c>
      <c r="AF126" s="148" t="str">
        <f>TEXT(LEFT(Contrato5[[#This Row],[CONTRATO]],3),"0")</f>
        <v>100</v>
      </c>
      <c r="AG126" s="148" t="str">
        <f>IF(LEN(Contrato5[[#This Row],[Contrato2]])=3,Contrato5[[#This Row],[Contrato2]],TEXT(Contrato5[[#This Row],[Contrato2]],"000"))</f>
        <v>100</v>
      </c>
      <c r="AH126" s="149">
        <f ca="1">IFERROR(_xlfn.DAYS(Contrato5[[#This Row],[Fecha Proyectada liquidación]],TODAY())/30,"")</f>
        <v>-3.9666666666666668</v>
      </c>
      <c r="AI126" s="150">
        <f>+Contrato5[[#This Row],[FECHA TERMINACIÓN ]]+120</f>
        <v>45639</v>
      </c>
      <c r="AJ126" s="147"/>
      <c r="AK126" s="152" t="str">
        <f ca="1">IF(Contrato5[[#This Row],[FECHA TERMINACIÓN ]]&lt;TODAY(), "Terminado",IF(ISNUMBER(Contrato5[[#This Row],[Fecha Real de liquiidación ]]),"Liquidado",IF(Contrato5[[#This Row],[FECHA TERMINACIÓN ]]&gt;=TODAY(),"En ejecución","")))</f>
        <v>Terminado</v>
      </c>
      <c r="AL126" s="153" t="e">
        <f ca="1">SUMIF([2]!COMPROMISOS_2024[[#All],[consecutivo]],Contrato5[[#This Row],[RCP]],[2]!COMPROMISOS_2024[[#All],[Total pagado]])</f>
        <v>#REF!</v>
      </c>
      <c r="AM126" s="154">
        <f ca="1">IFERROR(Contrato5[[#This Row],[Pagos]]/Contrato5[[#This Row],[VALOR CONTRATO]],0)</f>
        <v>0</v>
      </c>
      <c r="AN126" s="198" t="e">
        <f ca="1">+Contrato5[[#This Row],[VALOR CONTRATO]]-Contrato5[[#This Row],[Pagos]]</f>
        <v>#REF!</v>
      </c>
      <c r="AO126" s="147" t="e" cm="1">
        <f t="array" aca="1" ref="AO126" ca="1">_xlfn.XLOOKUP(Contrato5[[#This Row],[DOCUMENTO ]],[2]!PERSONAL_ACTIVO_2024[[#All],[Documento identidad]],[2]!PERSONAL_ACTIVO_2024[[#All],[Mail ]],0,0)</f>
        <v>#NAME?</v>
      </c>
      <c r="AP126" s="147" t="e" cm="1">
        <f t="array" aca="1" ref="AP126" ca="1">_xlfn.XLOOKUP(Contrato5[[#This Row],[DOCUMENTO]],[2]!PERSONAL_ACTIVO_2024[[#All],[Documento identidad]],[2]!PERSONAL_ACTIVO_2024[[#All],[Mail ]],0,0)</f>
        <v>#NAME?</v>
      </c>
      <c r="AQ126" s="439" cm="1">
        <f t="array" aca="1" ref="AQ126" ca="1">IF(ISBLANK(Contrato5[[#This Row],[DEPENDENCIA ]]),0,IFERROR(_xlfn.XLOOKUP(Contrato5[[#This Row],[DEPENDENCIA ]],[2]!PERSONAL_ACTIVO_2024[[#All],[Dependencia]],[2]!PERSONAL_ACTIVO_2024[[#All],[Mail ]],0,0),0))</f>
        <v>0</v>
      </c>
    </row>
    <row r="127" spans="1:43" ht="34.5" customHeight="1">
      <c r="A127" s="125">
        <v>198</v>
      </c>
      <c r="B127" s="124">
        <v>101</v>
      </c>
      <c r="C127" s="162" t="s">
        <v>1622</v>
      </c>
      <c r="D127" s="227" t="s">
        <v>583</v>
      </c>
      <c r="E127" s="128" t="s">
        <v>94</v>
      </c>
      <c r="F127" s="163" t="s">
        <v>1376</v>
      </c>
      <c r="G127" s="190" t="s">
        <v>723</v>
      </c>
      <c r="H127" s="447">
        <v>3474237</v>
      </c>
      <c r="I127" s="455">
        <v>7908765</v>
      </c>
      <c r="J127" s="456">
        <v>47452590</v>
      </c>
      <c r="K127" s="166" t="s">
        <v>42</v>
      </c>
      <c r="L127" s="438" t="s">
        <v>42</v>
      </c>
      <c r="M127" s="194" t="s">
        <v>600</v>
      </c>
      <c r="N127" s="177" t="e" cm="1">
        <f t="array" aca="1" ref="N127" ca="1">_xlfn.XLOOKUP(Contrato5[[#This Row],[SUPERVISOR TITULAR]],[2]!PERSONAL_ACTIVO_2024[[#All],[Nombre completo]],[2]!PERSONAL_ACTIVO_2024[[#All],[Documento identidad]],"",0)</f>
        <v>#NAME?</v>
      </c>
      <c r="O127" s="194" t="s">
        <v>2495</v>
      </c>
      <c r="P127" s="196" t="e" cm="1">
        <f t="array" aca="1" ref="P127" ca="1">_xlfn.XLOOKUP(Contrato5[[#This Row],[SUPERVISOR SUPLENTE ]],[2]!PERSONAL_ACTIVO_2024[[#All],[Nombre completo]],[2]!PERSONAL_ACTIVO_2024[[#All],[Documento identidad]],"",0)</f>
        <v>#NAME?</v>
      </c>
      <c r="Q127" s="208">
        <v>126</v>
      </c>
      <c r="R127" s="137" t="e" cm="1">
        <f t="array" aca="1" ref="R127" ca="1">_xlfn.XLOOKUP(Contrato5[[#This Row],[CDP]],[2]!DISPONIBILIDADES_2024[[#All],[consecutivo]],[2]!DISPONIBILIDADES_2024[[#All],[fecha_aprobacion]],"",0)</f>
        <v>#NAME?</v>
      </c>
      <c r="S127" s="138" t="e">
        <f>SUMIF([2]!DISPONIBILIDADES_2024[[#All],[consecutivo]],Contrato5[[#This Row],[CDP]],[2]!DISPONIBILIDADES_2024[[#All],[valor_total_rubro]])</f>
        <v>#REF!</v>
      </c>
      <c r="T127" s="139" t="e" cm="1">
        <f t="array" aca="1" ref="T127" ca="1">_xlfn.XLOOKUP(Contrato5[[#This Row],[CONTRATO]]&amp;Contrato5[[#This Row],[CDP]],[2]!Corr_Contr_CDP[[#All],[CONTRATO-CDP]],[2]!Corr_Contr_CDP[[#All],[CRP]],_xlfn.XLOOKUP(Contrato5[[#This Row],[CDP]],[2]!COMPROMISOS_2024[[#All],[disponibilidad]],[2]!COMPROMISOS_2024[[#All],[consecutivo]],"",0),0)</f>
        <v>#NAME?</v>
      </c>
      <c r="U127" s="140" t="e" cm="1">
        <f t="array" aca="1" ref="U127" ca="1">+_xlfn.XLOOKUP(Contrato5[[#This Row],[RCP]],[2]!COMPROMISOS_2024[[#All],[consecutivo]],[2]!COMPROMISOS_2024[[#All],[fecha_aprobacion]],"",0)</f>
        <v>#NAME?</v>
      </c>
      <c r="V127" s="141" t="e">
        <f ca="1">SUMIF([2]!COMPROMISOS_2024[[#All],[consecutivo]],Contrato5[[#This Row],[RCP]],[2]!COMPROMISOS_2024[[#All],[valor_total]])</f>
        <v>#REF!</v>
      </c>
      <c r="W127" s="415">
        <v>45338</v>
      </c>
      <c r="X127" s="415">
        <v>45338</v>
      </c>
      <c r="Y127" s="143">
        <v>45338</v>
      </c>
      <c r="Z127" s="262">
        <v>45519</v>
      </c>
      <c r="AA127" s="171" t="s">
        <v>651</v>
      </c>
      <c r="AB127" s="161" t="s">
        <v>640</v>
      </c>
      <c r="AC127" s="161"/>
      <c r="AD127" s="211">
        <v>202000003697</v>
      </c>
      <c r="AE127" s="147"/>
      <c r="AF127" s="148" t="str">
        <f>TEXT(LEFT(Contrato5[[#This Row],[CONTRATO]],3),"0")</f>
        <v>101</v>
      </c>
      <c r="AG127" s="148" t="str">
        <f>IF(LEN(Contrato5[[#This Row],[Contrato2]])=3,Contrato5[[#This Row],[Contrato2]],TEXT(Contrato5[[#This Row],[Contrato2]],"000"))</f>
        <v>101</v>
      </c>
      <c r="AH127" s="149">
        <f ca="1">IFERROR(_xlfn.DAYS(Contrato5[[#This Row],[Fecha Proyectada liquidación]],TODAY())/30,"")</f>
        <v>-3.9666666666666668</v>
      </c>
      <c r="AI127" s="150">
        <f>+Contrato5[[#This Row],[FECHA TERMINACIÓN ]]+120</f>
        <v>45639</v>
      </c>
      <c r="AJ127" s="147"/>
      <c r="AK127" s="152" t="str">
        <f ca="1">IF(Contrato5[[#This Row],[FECHA TERMINACIÓN ]]&lt;TODAY(), "Terminado",IF(ISNUMBER(Contrato5[[#This Row],[Fecha Real de liquiidación ]]),"Liquidado",IF(Contrato5[[#This Row],[FECHA TERMINACIÓN ]]&gt;=TODAY(),"En ejecución","")))</f>
        <v>Terminado</v>
      </c>
      <c r="AL127" s="153" t="e">
        <f ca="1">SUMIF([2]!COMPROMISOS_2024[[#All],[consecutivo]],Contrato5[[#This Row],[RCP]],[2]!COMPROMISOS_2024[[#All],[Total pagado]])</f>
        <v>#REF!</v>
      </c>
      <c r="AM127" s="154">
        <f ca="1">IFERROR(Contrato5[[#This Row],[Pagos]]/Contrato5[[#This Row],[VALOR CONTRATO]],0)</f>
        <v>0</v>
      </c>
      <c r="AN127" s="198" t="e">
        <f ca="1">+Contrato5[[#This Row],[VALOR CONTRATO]]-Contrato5[[#This Row],[Pagos]]</f>
        <v>#REF!</v>
      </c>
      <c r="AO127" s="147" t="e" cm="1">
        <f t="array" aca="1" ref="AO127" ca="1">_xlfn.XLOOKUP(Contrato5[[#This Row],[DOCUMENTO ]],[2]!PERSONAL_ACTIVO_2024[[#All],[Documento identidad]],[2]!PERSONAL_ACTIVO_2024[[#All],[Mail ]],0,0)</f>
        <v>#NAME?</v>
      </c>
      <c r="AP127" s="147" t="e" cm="1">
        <f t="array" aca="1" ref="AP127" ca="1">_xlfn.XLOOKUP(Contrato5[[#This Row],[DOCUMENTO]],[2]!PERSONAL_ACTIVO_2024[[#All],[Documento identidad]],[2]!PERSONAL_ACTIVO_2024[[#All],[Mail ]],0,0)</f>
        <v>#NAME?</v>
      </c>
      <c r="AQ127" s="439" cm="1">
        <f t="array" aca="1" ref="AQ127" ca="1">IF(ISBLANK(Contrato5[[#This Row],[DEPENDENCIA ]]),0,IFERROR(_xlfn.XLOOKUP(Contrato5[[#This Row],[DEPENDENCIA ]],[2]!PERSONAL_ACTIVO_2024[[#All],[Dependencia]],[2]!PERSONAL_ACTIVO_2024[[#All],[Mail ]],0,0),0))</f>
        <v>0</v>
      </c>
    </row>
    <row r="128" spans="1:43" ht="34.5" customHeight="1">
      <c r="A128" s="125">
        <v>199</v>
      </c>
      <c r="B128" s="124">
        <v>102</v>
      </c>
      <c r="C128" s="162" t="s">
        <v>2526</v>
      </c>
      <c r="D128" s="227" t="s">
        <v>583</v>
      </c>
      <c r="E128" s="128" t="s">
        <v>94</v>
      </c>
      <c r="F128" s="163" t="s">
        <v>1376</v>
      </c>
      <c r="G128" s="190" t="s">
        <v>724</v>
      </c>
      <c r="H128" s="447">
        <v>15302841</v>
      </c>
      <c r="I128" s="455">
        <v>6920169</v>
      </c>
      <c r="J128" s="456">
        <v>41521014</v>
      </c>
      <c r="K128" s="166" t="s">
        <v>42</v>
      </c>
      <c r="L128" s="438" t="s">
        <v>42</v>
      </c>
      <c r="M128" s="194" t="s">
        <v>600</v>
      </c>
      <c r="N128" s="177" t="e" cm="1">
        <f t="array" aca="1" ref="N128" ca="1">_xlfn.XLOOKUP(Contrato5[[#This Row],[SUPERVISOR TITULAR]],[2]!PERSONAL_ACTIVO_2024[[#All],[Nombre completo]],[2]!PERSONAL_ACTIVO_2024[[#All],[Documento identidad]],"",0)</f>
        <v>#NAME?</v>
      </c>
      <c r="O128" s="194" t="s">
        <v>2495</v>
      </c>
      <c r="P128" s="196" t="e" cm="1">
        <f t="array" aca="1" ref="P128" ca="1">_xlfn.XLOOKUP(Contrato5[[#This Row],[SUPERVISOR SUPLENTE ]],[2]!PERSONAL_ACTIVO_2024[[#All],[Nombre completo]],[2]!PERSONAL_ACTIVO_2024[[#All],[Documento identidad]],"",0)</f>
        <v>#NAME?</v>
      </c>
      <c r="Q128" s="208">
        <v>127</v>
      </c>
      <c r="R128" s="137" t="e" cm="1">
        <f t="array" aca="1" ref="R128" ca="1">_xlfn.XLOOKUP(Contrato5[[#This Row],[CDP]],[2]!DISPONIBILIDADES_2024[[#All],[consecutivo]],[2]!DISPONIBILIDADES_2024[[#All],[fecha_aprobacion]],"",0)</f>
        <v>#NAME?</v>
      </c>
      <c r="S128" s="138" t="e">
        <f>SUMIF([2]!DISPONIBILIDADES_2024[[#All],[consecutivo]],Contrato5[[#This Row],[CDP]],[2]!DISPONIBILIDADES_2024[[#All],[valor_total_rubro]])</f>
        <v>#REF!</v>
      </c>
      <c r="T128" s="139" t="e" cm="1">
        <f t="array" aca="1" ref="T128" ca="1">_xlfn.XLOOKUP(Contrato5[[#This Row],[CONTRATO]]&amp;Contrato5[[#This Row],[CDP]],[2]!Corr_Contr_CDP[[#All],[CONTRATO-CDP]],[2]!Corr_Contr_CDP[[#All],[CRP]],_xlfn.XLOOKUP(Contrato5[[#This Row],[CDP]],[2]!COMPROMISOS_2024[[#All],[disponibilidad]],[2]!COMPROMISOS_2024[[#All],[consecutivo]],"",0),0)</f>
        <v>#NAME?</v>
      </c>
      <c r="U128" s="140" t="e" cm="1">
        <f t="array" aca="1" ref="U128" ca="1">+_xlfn.XLOOKUP(Contrato5[[#This Row],[RCP]],[2]!COMPROMISOS_2024[[#All],[consecutivo]],[2]!COMPROMISOS_2024[[#All],[fecha_aprobacion]],"",0)</f>
        <v>#NAME?</v>
      </c>
      <c r="V128" s="141" t="e">
        <f ca="1">SUMIF([2]!COMPROMISOS_2024[[#All],[consecutivo]],Contrato5[[#This Row],[RCP]],[2]!COMPROMISOS_2024[[#All],[valor_total]])</f>
        <v>#REF!</v>
      </c>
      <c r="W128" s="415">
        <v>45337</v>
      </c>
      <c r="X128" s="415">
        <v>45338</v>
      </c>
      <c r="Y128" s="143">
        <v>45338</v>
      </c>
      <c r="Z128" s="262">
        <v>45519</v>
      </c>
      <c r="AA128" s="171" t="s">
        <v>651</v>
      </c>
      <c r="AB128" s="161" t="s">
        <v>640</v>
      </c>
      <c r="AC128" s="161"/>
      <c r="AD128" s="211">
        <v>202000003698</v>
      </c>
      <c r="AE128" s="147" t="s">
        <v>523</v>
      </c>
      <c r="AF128" s="148" t="str">
        <f>TEXT(LEFT(Contrato5[[#This Row],[CONTRATO]],3),"0")</f>
        <v>102</v>
      </c>
      <c r="AG128" s="148" t="str">
        <f>IF(LEN(Contrato5[[#This Row],[Contrato2]])=3,Contrato5[[#This Row],[Contrato2]],TEXT(Contrato5[[#This Row],[Contrato2]],"000"))</f>
        <v>102</v>
      </c>
      <c r="AH128" s="149">
        <f ca="1">IFERROR(_xlfn.DAYS(Contrato5[[#This Row],[Fecha Proyectada liquidación]],TODAY())/30,"")</f>
        <v>-3.9666666666666668</v>
      </c>
      <c r="AI128" s="150">
        <f>+Contrato5[[#This Row],[FECHA TERMINACIÓN ]]+120</f>
        <v>45639</v>
      </c>
      <c r="AJ128" s="147"/>
      <c r="AK128" s="152" t="str">
        <f ca="1">IF(Contrato5[[#This Row],[FECHA TERMINACIÓN ]]&lt;TODAY(), "Terminado",IF(ISNUMBER(Contrato5[[#This Row],[Fecha Real de liquiidación ]]),"Liquidado",IF(Contrato5[[#This Row],[FECHA TERMINACIÓN ]]&gt;=TODAY(),"En ejecución","")))</f>
        <v>Terminado</v>
      </c>
      <c r="AL128" s="153" t="e">
        <f ca="1">SUMIF([2]!COMPROMISOS_2024[[#All],[consecutivo]],Contrato5[[#This Row],[RCP]],[2]!COMPROMISOS_2024[[#All],[Total pagado]])</f>
        <v>#REF!</v>
      </c>
      <c r="AM128" s="154">
        <f ca="1">IFERROR(Contrato5[[#This Row],[Pagos]]/Contrato5[[#This Row],[VALOR CONTRATO]],0)</f>
        <v>0</v>
      </c>
      <c r="AN128" s="198" t="e">
        <f ca="1">+Contrato5[[#This Row],[VALOR CONTRATO]]-Contrato5[[#This Row],[Pagos]]</f>
        <v>#REF!</v>
      </c>
      <c r="AO128" s="147" t="e" cm="1">
        <f t="array" aca="1" ref="AO128" ca="1">_xlfn.XLOOKUP(Contrato5[[#This Row],[DOCUMENTO ]],[2]!PERSONAL_ACTIVO_2024[[#All],[Documento identidad]],[2]!PERSONAL_ACTIVO_2024[[#All],[Mail ]],0,0)</f>
        <v>#NAME?</v>
      </c>
      <c r="AP128" s="147" t="e" cm="1">
        <f t="array" aca="1" ref="AP128" ca="1">_xlfn.XLOOKUP(Contrato5[[#This Row],[DOCUMENTO]],[2]!PERSONAL_ACTIVO_2024[[#All],[Documento identidad]],[2]!PERSONAL_ACTIVO_2024[[#All],[Mail ]],0,0)</f>
        <v>#NAME?</v>
      </c>
      <c r="AQ128" s="439" cm="1">
        <f t="array" aca="1" ref="AQ128" ca="1">IF(ISBLANK(Contrato5[[#This Row],[DEPENDENCIA ]]),0,IFERROR(_xlfn.XLOOKUP(Contrato5[[#This Row],[DEPENDENCIA ]],[2]!PERSONAL_ACTIVO_2024[[#All],[Dependencia]],[2]!PERSONAL_ACTIVO_2024[[#All],[Mail ]],0,0),0))</f>
        <v>0</v>
      </c>
    </row>
    <row r="129" spans="1:43" ht="34.5" customHeight="1">
      <c r="A129" s="125">
        <v>200</v>
      </c>
      <c r="B129" s="124">
        <v>103</v>
      </c>
      <c r="C129" s="162" t="s">
        <v>1624</v>
      </c>
      <c r="D129" s="227" t="s">
        <v>583</v>
      </c>
      <c r="E129" s="128" t="s">
        <v>94</v>
      </c>
      <c r="F129" s="163" t="s">
        <v>1376</v>
      </c>
      <c r="G129" s="190" t="s">
        <v>725</v>
      </c>
      <c r="H129" s="447">
        <v>1036622309</v>
      </c>
      <c r="I129" s="455">
        <v>4908936</v>
      </c>
      <c r="J129" s="456">
        <v>29453616</v>
      </c>
      <c r="K129" s="166" t="s">
        <v>42</v>
      </c>
      <c r="L129" s="438" t="s">
        <v>42</v>
      </c>
      <c r="M129" s="194" t="s">
        <v>600</v>
      </c>
      <c r="N129" s="177" t="e" cm="1">
        <f t="array" aca="1" ref="N129" ca="1">_xlfn.XLOOKUP(Contrato5[[#This Row],[SUPERVISOR TITULAR]],[2]!PERSONAL_ACTIVO_2024[[#All],[Nombre completo]],[2]!PERSONAL_ACTIVO_2024[[#All],[Documento identidad]],"",0)</f>
        <v>#NAME?</v>
      </c>
      <c r="O129" s="194" t="s">
        <v>2495</v>
      </c>
      <c r="P129" s="196" t="e" cm="1">
        <f t="array" aca="1" ref="P129" ca="1">_xlfn.XLOOKUP(Contrato5[[#This Row],[SUPERVISOR SUPLENTE ]],[2]!PERSONAL_ACTIVO_2024[[#All],[Nombre completo]],[2]!PERSONAL_ACTIVO_2024[[#All],[Documento identidad]],"",0)</f>
        <v>#NAME?</v>
      </c>
      <c r="Q129" s="208">
        <v>128</v>
      </c>
      <c r="R129" s="137" t="e" cm="1">
        <f t="array" aca="1" ref="R129" ca="1">_xlfn.XLOOKUP(Contrato5[[#This Row],[CDP]],[2]!DISPONIBILIDADES_2024[[#All],[consecutivo]],[2]!DISPONIBILIDADES_2024[[#All],[fecha_aprobacion]],"",0)</f>
        <v>#NAME?</v>
      </c>
      <c r="S129" s="138" t="e">
        <f>SUMIF([2]!DISPONIBILIDADES_2024[[#All],[consecutivo]],Contrato5[[#This Row],[CDP]],[2]!DISPONIBILIDADES_2024[[#All],[valor_total_rubro]])</f>
        <v>#REF!</v>
      </c>
      <c r="T129" s="139" t="e" cm="1">
        <f t="array" aca="1" ref="T129" ca="1">_xlfn.XLOOKUP(Contrato5[[#This Row],[CONTRATO]]&amp;Contrato5[[#This Row],[CDP]],[2]!Corr_Contr_CDP[[#All],[CONTRATO-CDP]],[2]!Corr_Contr_CDP[[#All],[CRP]],_xlfn.XLOOKUP(Contrato5[[#This Row],[CDP]],[2]!COMPROMISOS_2024[[#All],[disponibilidad]],[2]!COMPROMISOS_2024[[#All],[consecutivo]],"",0),0)</f>
        <v>#NAME?</v>
      </c>
      <c r="U129" s="140" t="e" cm="1">
        <f t="array" aca="1" ref="U129" ca="1">+_xlfn.XLOOKUP(Contrato5[[#This Row],[RCP]],[2]!COMPROMISOS_2024[[#All],[consecutivo]],[2]!COMPROMISOS_2024[[#All],[fecha_aprobacion]],"",0)</f>
        <v>#NAME?</v>
      </c>
      <c r="V129" s="141" t="e">
        <f ca="1">SUMIF([2]!COMPROMISOS_2024[[#All],[consecutivo]],Contrato5[[#This Row],[RCP]],[2]!COMPROMISOS_2024[[#All],[valor_total]])</f>
        <v>#REF!</v>
      </c>
      <c r="W129" s="415">
        <v>45337</v>
      </c>
      <c r="X129" s="415">
        <v>45338</v>
      </c>
      <c r="Y129" s="143">
        <v>45338</v>
      </c>
      <c r="Z129" s="262">
        <v>45519</v>
      </c>
      <c r="AA129" s="171" t="s">
        <v>651</v>
      </c>
      <c r="AB129" s="161" t="s">
        <v>640</v>
      </c>
      <c r="AC129" s="161"/>
      <c r="AD129" s="211">
        <v>202000003699</v>
      </c>
      <c r="AE129" s="147" t="s">
        <v>523</v>
      </c>
      <c r="AF129" s="148" t="str">
        <f>TEXT(LEFT(Contrato5[[#This Row],[CONTRATO]],3),"0")</f>
        <v>103</v>
      </c>
      <c r="AG129" s="148" t="str">
        <f>IF(LEN(Contrato5[[#This Row],[Contrato2]])=3,Contrato5[[#This Row],[Contrato2]],TEXT(Contrato5[[#This Row],[Contrato2]],"000"))</f>
        <v>103</v>
      </c>
      <c r="AH129" s="149">
        <f ca="1">IFERROR(_xlfn.DAYS(Contrato5[[#This Row],[Fecha Proyectada liquidación]],TODAY())/30,"")</f>
        <v>-3.9666666666666668</v>
      </c>
      <c r="AI129" s="150">
        <f>+Contrato5[[#This Row],[FECHA TERMINACIÓN ]]+120</f>
        <v>45639</v>
      </c>
      <c r="AJ129" s="147"/>
      <c r="AK129" s="152" t="str">
        <f ca="1">IF(Contrato5[[#This Row],[FECHA TERMINACIÓN ]]&lt;TODAY(), "Terminado",IF(ISNUMBER(Contrato5[[#This Row],[Fecha Real de liquiidación ]]),"Liquidado",IF(Contrato5[[#This Row],[FECHA TERMINACIÓN ]]&gt;=TODAY(),"En ejecución","")))</f>
        <v>Terminado</v>
      </c>
      <c r="AL129" s="153" t="e">
        <f ca="1">SUMIF([2]!COMPROMISOS_2024[[#All],[consecutivo]],Contrato5[[#This Row],[RCP]],[2]!COMPROMISOS_2024[[#All],[Total pagado]])</f>
        <v>#REF!</v>
      </c>
      <c r="AM129" s="154">
        <f ca="1">IFERROR(Contrato5[[#This Row],[Pagos]]/Contrato5[[#This Row],[VALOR CONTRATO]],0)</f>
        <v>0</v>
      </c>
      <c r="AN129" s="198" t="e">
        <f ca="1">+Contrato5[[#This Row],[VALOR CONTRATO]]-Contrato5[[#This Row],[Pagos]]</f>
        <v>#REF!</v>
      </c>
      <c r="AO129" s="147" t="e" cm="1">
        <f t="array" aca="1" ref="AO129" ca="1">_xlfn.XLOOKUP(Contrato5[[#This Row],[DOCUMENTO ]],[2]!PERSONAL_ACTIVO_2024[[#All],[Documento identidad]],[2]!PERSONAL_ACTIVO_2024[[#All],[Mail ]],0,0)</f>
        <v>#NAME?</v>
      </c>
      <c r="AP129" s="147" t="e" cm="1">
        <f t="array" aca="1" ref="AP129" ca="1">_xlfn.XLOOKUP(Contrato5[[#This Row],[DOCUMENTO]],[2]!PERSONAL_ACTIVO_2024[[#All],[Documento identidad]],[2]!PERSONAL_ACTIVO_2024[[#All],[Mail ]],0,0)</f>
        <v>#NAME?</v>
      </c>
      <c r="AQ129" s="439" cm="1">
        <f t="array" aca="1" ref="AQ129" ca="1">IF(ISBLANK(Contrato5[[#This Row],[DEPENDENCIA ]]),0,IFERROR(_xlfn.XLOOKUP(Contrato5[[#This Row],[DEPENDENCIA ]],[2]!PERSONAL_ACTIVO_2024[[#All],[Dependencia]],[2]!PERSONAL_ACTIVO_2024[[#All],[Mail ]],0,0),0))</f>
        <v>0</v>
      </c>
    </row>
    <row r="130" spans="1:43" ht="34.5" customHeight="1">
      <c r="A130" s="125">
        <v>201</v>
      </c>
      <c r="B130" s="124">
        <v>104</v>
      </c>
      <c r="C130" s="162" t="s">
        <v>1625</v>
      </c>
      <c r="D130" s="227" t="s">
        <v>583</v>
      </c>
      <c r="E130" s="128" t="s">
        <v>94</v>
      </c>
      <c r="F130" s="163" t="s">
        <v>1376</v>
      </c>
      <c r="G130" s="190" t="s">
        <v>726</v>
      </c>
      <c r="H130" s="447">
        <v>1146434793</v>
      </c>
      <c r="I130" s="455">
        <v>3952382</v>
      </c>
      <c r="J130" s="456">
        <v>23714292</v>
      </c>
      <c r="K130" s="166" t="s">
        <v>42</v>
      </c>
      <c r="L130" s="438" t="s">
        <v>42</v>
      </c>
      <c r="M130" s="194" t="s">
        <v>589</v>
      </c>
      <c r="N130" s="177" t="e" cm="1">
        <f t="array" aca="1" ref="N130" ca="1">_xlfn.XLOOKUP(Contrato5[[#This Row],[SUPERVISOR TITULAR]],[2]!PERSONAL_ACTIVO_2024[[#All],[Nombre completo]],[2]!PERSONAL_ACTIVO_2024[[#All],[Documento identidad]],"",0)</f>
        <v>#NAME?</v>
      </c>
      <c r="O130" s="194" t="s">
        <v>586</v>
      </c>
      <c r="P130" s="196" t="e" cm="1">
        <f t="array" aca="1" ref="P130" ca="1">_xlfn.XLOOKUP(Contrato5[[#This Row],[SUPERVISOR SUPLENTE ]],[2]!PERSONAL_ACTIVO_2024[[#All],[Nombre completo]],[2]!PERSONAL_ACTIVO_2024[[#All],[Documento identidad]],"",0)</f>
        <v>#NAME?</v>
      </c>
      <c r="Q130" s="208">
        <v>129</v>
      </c>
      <c r="R130" s="137" t="e" cm="1">
        <f t="array" aca="1" ref="R130" ca="1">_xlfn.XLOOKUP(Contrato5[[#This Row],[CDP]],[2]!DISPONIBILIDADES_2024[[#All],[consecutivo]],[2]!DISPONIBILIDADES_2024[[#All],[fecha_aprobacion]],"",0)</f>
        <v>#NAME?</v>
      </c>
      <c r="S130" s="138" t="e">
        <f>SUMIF([2]!DISPONIBILIDADES_2024[[#All],[consecutivo]],Contrato5[[#This Row],[CDP]],[2]!DISPONIBILIDADES_2024[[#All],[valor_total_rubro]])</f>
        <v>#REF!</v>
      </c>
      <c r="T130" s="139" t="e" cm="1">
        <f t="array" aca="1" ref="T130" ca="1">_xlfn.XLOOKUP(Contrato5[[#This Row],[CONTRATO]]&amp;Contrato5[[#This Row],[CDP]],[2]!Corr_Contr_CDP[[#All],[CONTRATO-CDP]],[2]!Corr_Contr_CDP[[#All],[CRP]],_xlfn.XLOOKUP(Contrato5[[#This Row],[CDP]],[2]!COMPROMISOS_2024[[#All],[disponibilidad]],[2]!COMPROMISOS_2024[[#All],[consecutivo]],"",0),0)</f>
        <v>#NAME?</v>
      </c>
      <c r="U130" s="140" t="e" cm="1">
        <f t="array" aca="1" ref="U130" ca="1">+_xlfn.XLOOKUP(Contrato5[[#This Row],[RCP]],[2]!COMPROMISOS_2024[[#All],[consecutivo]],[2]!COMPROMISOS_2024[[#All],[fecha_aprobacion]],"",0)</f>
        <v>#NAME?</v>
      </c>
      <c r="V130" s="141" t="e">
        <f ca="1">SUMIF([2]!COMPROMISOS_2024[[#All],[consecutivo]],Contrato5[[#This Row],[RCP]],[2]!COMPROMISOS_2024[[#All],[valor_total]])</f>
        <v>#REF!</v>
      </c>
      <c r="W130" s="415">
        <v>45337</v>
      </c>
      <c r="X130" s="415">
        <v>45338</v>
      </c>
      <c r="Y130" s="143">
        <v>45338</v>
      </c>
      <c r="Z130" s="262">
        <v>45519</v>
      </c>
      <c r="AA130" s="230" t="s">
        <v>651</v>
      </c>
      <c r="AB130" s="161" t="s">
        <v>640</v>
      </c>
      <c r="AC130" s="161"/>
      <c r="AD130" s="211">
        <v>202000003700</v>
      </c>
      <c r="AE130" s="147" t="s">
        <v>523</v>
      </c>
      <c r="AF130" s="148" t="str">
        <f>TEXT(LEFT(Contrato5[[#This Row],[CONTRATO]],3),"0")</f>
        <v>104</v>
      </c>
      <c r="AG130" s="148" t="str">
        <f>IF(LEN(Contrato5[[#This Row],[Contrato2]])=3,Contrato5[[#This Row],[Contrato2]],TEXT(Contrato5[[#This Row],[Contrato2]],"000"))</f>
        <v>104</v>
      </c>
      <c r="AH130" s="149">
        <f ca="1">IFERROR(_xlfn.DAYS(Contrato5[[#This Row],[Fecha Proyectada liquidación]],TODAY())/30,"")</f>
        <v>-3.9666666666666668</v>
      </c>
      <c r="AI130" s="150">
        <f>+Contrato5[[#This Row],[FECHA TERMINACIÓN ]]+120</f>
        <v>45639</v>
      </c>
      <c r="AJ130" s="147"/>
      <c r="AK130" s="152" t="str">
        <f ca="1">IF(Contrato5[[#This Row],[FECHA TERMINACIÓN ]]&lt;TODAY(), "Terminado",IF(ISNUMBER(Contrato5[[#This Row],[Fecha Real de liquiidación ]]),"Liquidado",IF(Contrato5[[#This Row],[FECHA TERMINACIÓN ]]&gt;=TODAY(),"En ejecución","")))</f>
        <v>Terminado</v>
      </c>
      <c r="AL130" s="153" t="e">
        <f ca="1">SUMIF([2]!COMPROMISOS_2024[[#All],[consecutivo]],Contrato5[[#This Row],[RCP]],[2]!COMPROMISOS_2024[[#All],[Total pagado]])</f>
        <v>#REF!</v>
      </c>
      <c r="AM130" s="154">
        <f ca="1">IFERROR(Contrato5[[#This Row],[Pagos]]/Contrato5[[#This Row],[VALOR CONTRATO]],0)</f>
        <v>0</v>
      </c>
      <c r="AN130" s="198" t="e">
        <f ca="1">+Contrato5[[#This Row],[VALOR CONTRATO]]-Contrato5[[#This Row],[Pagos]]</f>
        <v>#REF!</v>
      </c>
      <c r="AO130" s="147" t="e" cm="1">
        <f t="array" aca="1" ref="AO130" ca="1">_xlfn.XLOOKUP(Contrato5[[#This Row],[DOCUMENTO ]],[2]!PERSONAL_ACTIVO_2024[[#All],[Documento identidad]],[2]!PERSONAL_ACTIVO_2024[[#All],[Mail ]],0,0)</f>
        <v>#NAME?</v>
      </c>
      <c r="AP130" s="147" t="e" cm="1">
        <f t="array" aca="1" ref="AP130" ca="1">_xlfn.XLOOKUP(Contrato5[[#This Row],[DOCUMENTO]],[2]!PERSONAL_ACTIVO_2024[[#All],[Documento identidad]],[2]!PERSONAL_ACTIVO_2024[[#All],[Mail ]],0,0)</f>
        <v>#NAME?</v>
      </c>
      <c r="AQ130" s="439" cm="1">
        <f t="array" aca="1" ref="AQ130" ca="1">IF(ISBLANK(Contrato5[[#This Row],[DEPENDENCIA ]]),0,IFERROR(_xlfn.XLOOKUP(Contrato5[[#This Row],[DEPENDENCIA ]],[2]!PERSONAL_ACTIVO_2024[[#All],[Dependencia]],[2]!PERSONAL_ACTIVO_2024[[#All],[Mail ]],0,0),0))</f>
        <v>0</v>
      </c>
    </row>
    <row r="131" spans="1:43" ht="34.5" customHeight="1">
      <c r="A131" s="125">
        <v>202</v>
      </c>
      <c r="B131" s="124">
        <v>105</v>
      </c>
      <c r="C131" s="162" t="s">
        <v>1626</v>
      </c>
      <c r="D131" s="227" t="s">
        <v>583</v>
      </c>
      <c r="E131" s="128" t="s">
        <v>94</v>
      </c>
      <c r="F131" s="163" t="s">
        <v>1376</v>
      </c>
      <c r="G131" s="190" t="s">
        <v>727</v>
      </c>
      <c r="H131" s="447">
        <v>1203364</v>
      </c>
      <c r="I131" s="455">
        <v>7908765</v>
      </c>
      <c r="J131" s="456">
        <v>18453785</v>
      </c>
      <c r="K131" s="212" t="s">
        <v>728</v>
      </c>
      <c r="L131" s="438" t="s">
        <v>42</v>
      </c>
      <c r="M131" s="194" t="s">
        <v>589</v>
      </c>
      <c r="N131" s="177" t="e" cm="1">
        <f t="array" aca="1" ref="N131" ca="1">_xlfn.XLOOKUP(Contrato5[[#This Row],[SUPERVISOR TITULAR]],[2]!PERSONAL_ACTIVO_2024[[#All],[Nombre completo]],[2]!PERSONAL_ACTIVO_2024[[#All],[Documento identidad]],"",0)</f>
        <v>#NAME?</v>
      </c>
      <c r="O131" s="194" t="s">
        <v>586</v>
      </c>
      <c r="P131" s="196" t="e" cm="1">
        <f t="array" aca="1" ref="P131" ca="1">_xlfn.XLOOKUP(Contrato5[[#This Row],[SUPERVISOR SUPLENTE ]],[2]!PERSONAL_ACTIVO_2024[[#All],[Nombre completo]],[2]!PERSONAL_ACTIVO_2024[[#All],[Documento identidad]],"",0)</f>
        <v>#NAME?</v>
      </c>
      <c r="Q131" s="208">
        <v>130</v>
      </c>
      <c r="R131" s="137" t="e" cm="1">
        <f t="array" aca="1" ref="R131" ca="1">_xlfn.XLOOKUP(Contrato5[[#This Row],[CDP]],[2]!DISPONIBILIDADES_2024[[#All],[consecutivo]],[2]!DISPONIBILIDADES_2024[[#All],[fecha_aprobacion]],"",0)</f>
        <v>#NAME?</v>
      </c>
      <c r="S131" s="138" t="e">
        <f>SUMIF([2]!DISPONIBILIDADES_2024[[#All],[consecutivo]],Contrato5[[#This Row],[CDP]],[2]!DISPONIBILIDADES_2024[[#All],[valor_total_rubro]])</f>
        <v>#REF!</v>
      </c>
      <c r="T131" s="139" t="e" cm="1">
        <f t="array" aca="1" ref="T131" ca="1">_xlfn.XLOOKUP(Contrato5[[#This Row],[CONTRATO]]&amp;Contrato5[[#This Row],[CDP]],[2]!Corr_Contr_CDP[[#All],[CONTRATO-CDP]],[2]!Corr_Contr_CDP[[#All],[CRP]],_xlfn.XLOOKUP(Contrato5[[#This Row],[CDP]],[2]!COMPROMISOS_2024[[#All],[disponibilidad]],[2]!COMPROMISOS_2024[[#All],[consecutivo]],"",0),0)</f>
        <v>#NAME?</v>
      </c>
      <c r="U131" s="140" t="e" cm="1">
        <f t="array" aca="1" ref="U131" ca="1">+_xlfn.XLOOKUP(Contrato5[[#This Row],[RCP]],[2]!COMPROMISOS_2024[[#All],[consecutivo]],[2]!COMPROMISOS_2024[[#All],[fecha_aprobacion]],"",0)</f>
        <v>#NAME?</v>
      </c>
      <c r="V131" s="141" t="e">
        <f ca="1">SUMIF([2]!COMPROMISOS_2024[[#All],[consecutivo]],Contrato5[[#This Row],[RCP]],[2]!COMPROMISOS_2024[[#All],[valor_total]])</f>
        <v>#REF!</v>
      </c>
      <c r="W131" s="415">
        <v>45337</v>
      </c>
      <c r="X131" s="415">
        <v>45338</v>
      </c>
      <c r="Y131" s="143">
        <v>45338</v>
      </c>
      <c r="Z131" s="262">
        <v>45519</v>
      </c>
      <c r="AA131" s="171" t="s">
        <v>651</v>
      </c>
      <c r="AB131" s="161" t="s">
        <v>729</v>
      </c>
      <c r="AC131" s="161"/>
      <c r="AD131" s="211">
        <v>202000003701</v>
      </c>
      <c r="AE131" s="147" t="s">
        <v>523</v>
      </c>
      <c r="AF131" s="148" t="str">
        <f>TEXT(LEFT(Contrato5[[#This Row],[CONTRATO]],3),"0")</f>
        <v>105</v>
      </c>
      <c r="AG131" s="148" t="str">
        <f>IF(LEN(Contrato5[[#This Row],[Contrato2]])=3,Contrato5[[#This Row],[Contrato2]],TEXT(Contrato5[[#This Row],[Contrato2]],"000"))</f>
        <v>105</v>
      </c>
      <c r="AH131" s="149">
        <f ca="1">IFERROR(_xlfn.DAYS(Contrato5[[#This Row],[Fecha Proyectada liquidación]],TODAY())/30,"")</f>
        <v>-3.9666666666666668</v>
      </c>
      <c r="AI131" s="150">
        <f>+Contrato5[[#This Row],[FECHA TERMINACIÓN ]]+120</f>
        <v>45639</v>
      </c>
      <c r="AJ131" s="147"/>
      <c r="AK131" s="152" t="str">
        <f ca="1">IF(Contrato5[[#This Row],[FECHA TERMINACIÓN ]]&lt;TODAY(), "Terminado",IF(ISNUMBER(Contrato5[[#This Row],[Fecha Real de liquiidación ]]),"Liquidado",IF(Contrato5[[#This Row],[FECHA TERMINACIÓN ]]&gt;=TODAY(),"En ejecución","")))</f>
        <v>Terminado</v>
      </c>
      <c r="AL131" s="153" t="e">
        <f ca="1">SUMIF([2]!COMPROMISOS_2024[[#All],[consecutivo]],Contrato5[[#This Row],[RCP]],[2]!COMPROMISOS_2024[[#All],[Total pagado]])</f>
        <v>#REF!</v>
      </c>
      <c r="AM131" s="154">
        <f ca="1">IFERROR(Contrato5[[#This Row],[Pagos]]/Contrato5[[#This Row],[VALOR CONTRATO]],0)</f>
        <v>0</v>
      </c>
      <c r="AN131" s="198" t="e">
        <f ca="1">+Contrato5[[#This Row],[VALOR CONTRATO]]-Contrato5[[#This Row],[Pagos]]</f>
        <v>#REF!</v>
      </c>
      <c r="AO131" s="147" t="e" cm="1">
        <f t="array" aca="1" ref="AO131" ca="1">_xlfn.XLOOKUP(Contrato5[[#This Row],[DOCUMENTO ]],[2]!PERSONAL_ACTIVO_2024[[#All],[Documento identidad]],[2]!PERSONAL_ACTIVO_2024[[#All],[Mail ]],0,0)</f>
        <v>#NAME?</v>
      </c>
      <c r="AP131" s="147" t="e" cm="1">
        <f t="array" aca="1" ref="AP131" ca="1">_xlfn.XLOOKUP(Contrato5[[#This Row],[DOCUMENTO]],[2]!PERSONAL_ACTIVO_2024[[#All],[Documento identidad]],[2]!PERSONAL_ACTIVO_2024[[#All],[Mail ]],0,0)</f>
        <v>#NAME?</v>
      </c>
      <c r="AQ131" s="439" cm="1">
        <f t="array" aca="1" ref="AQ131" ca="1">IF(ISBLANK(Contrato5[[#This Row],[DEPENDENCIA ]]),0,IFERROR(_xlfn.XLOOKUP(Contrato5[[#This Row],[DEPENDENCIA ]],[2]!PERSONAL_ACTIVO_2024[[#All],[Dependencia]],[2]!PERSONAL_ACTIVO_2024[[#All],[Mail ]],0,0),0))</f>
        <v>0</v>
      </c>
    </row>
    <row r="132" spans="1:43" ht="34.5" customHeight="1">
      <c r="A132" s="125">
        <v>203</v>
      </c>
      <c r="B132" s="124">
        <v>106</v>
      </c>
      <c r="C132" s="162" t="s">
        <v>1627</v>
      </c>
      <c r="D132" s="227" t="s">
        <v>583</v>
      </c>
      <c r="E132" s="128" t="s">
        <v>94</v>
      </c>
      <c r="F132" s="163" t="s">
        <v>1376</v>
      </c>
      <c r="G132" s="190" t="s">
        <v>730</v>
      </c>
      <c r="H132" s="447">
        <v>1128401285</v>
      </c>
      <c r="I132" s="455">
        <v>2574842</v>
      </c>
      <c r="J132" s="456">
        <v>15449052</v>
      </c>
      <c r="K132" s="166" t="s">
        <v>42</v>
      </c>
      <c r="L132" s="438" t="s">
        <v>42</v>
      </c>
      <c r="M132" s="194" t="s">
        <v>589</v>
      </c>
      <c r="N132" s="177" t="e" cm="1">
        <f t="array" aca="1" ref="N132" ca="1">_xlfn.XLOOKUP(Contrato5[[#This Row],[SUPERVISOR TITULAR]],[2]!PERSONAL_ACTIVO_2024[[#All],[Nombre completo]],[2]!PERSONAL_ACTIVO_2024[[#All],[Documento identidad]],"",0)</f>
        <v>#NAME?</v>
      </c>
      <c r="O132" s="194" t="s">
        <v>586</v>
      </c>
      <c r="P132" s="196" t="e" cm="1">
        <f t="array" aca="1" ref="P132" ca="1">_xlfn.XLOOKUP(Contrato5[[#This Row],[SUPERVISOR SUPLENTE ]],[2]!PERSONAL_ACTIVO_2024[[#All],[Nombre completo]],[2]!PERSONAL_ACTIVO_2024[[#All],[Documento identidad]],"",0)</f>
        <v>#NAME?</v>
      </c>
      <c r="Q132" s="208">
        <v>132</v>
      </c>
      <c r="R132" s="137" t="e" cm="1">
        <f t="array" aca="1" ref="R132" ca="1">_xlfn.XLOOKUP(Contrato5[[#This Row],[CDP]],[2]!DISPONIBILIDADES_2024[[#All],[consecutivo]],[2]!DISPONIBILIDADES_2024[[#All],[fecha_aprobacion]],"",0)</f>
        <v>#NAME?</v>
      </c>
      <c r="S132" s="138" t="e">
        <f>SUMIF([2]!DISPONIBILIDADES_2024[[#All],[consecutivo]],Contrato5[[#This Row],[CDP]],[2]!DISPONIBILIDADES_2024[[#All],[valor_total_rubro]])</f>
        <v>#REF!</v>
      </c>
      <c r="T132" s="139" t="e" cm="1">
        <f t="array" aca="1" ref="T132" ca="1">_xlfn.XLOOKUP(Contrato5[[#This Row],[CONTRATO]]&amp;Contrato5[[#This Row],[CDP]],[2]!Corr_Contr_CDP[[#All],[CONTRATO-CDP]],[2]!Corr_Contr_CDP[[#All],[CRP]],_xlfn.XLOOKUP(Contrato5[[#This Row],[CDP]],[2]!COMPROMISOS_2024[[#All],[disponibilidad]],[2]!COMPROMISOS_2024[[#All],[consecutivo]],"",0),0)</f>
        <v>#NAME?</v>
      </c>
      <c r="U132" s="140" t="e" cm="1">
        <f t="array" aca="1" ref="U132" ca="1">+_xlfn.XLOOKUP(Contrato5[[#This Row],[RCP]],[2]!COMPROMISOS_2024[[#All],[consecutivo]],[2]!COMPROMISOS_2024[[#All],[fecha_aprobacion]],"",0)</f>
        <v>#NAME?</v>
      </c>
      <c r="V132" s="141" t="e">
        <f ca="1">SUMIF([2]!COMPROMISOS_2024[[#All],[consecutivo]],Contrato5[[#This Row],[RCP]],[2]!COMPROMISOS_2024[[#All],[valor_total]])</f>
        <v>#REF!</v>
      </c>
      <c r="W132" s="415">
        <v>45337</v>
      </c>
      <c r="X132" s="415">
        <v>45338</v>
      </c>
      <c r="Y132" s="143">
        <v>45338</v>
      </c>
      <c r="Z132" s="262">
        <v>45519</v>
      </c>
      <c r="AA132" s="171" t="s">
        <v>651</v>
      </c>
      <c r="AB132" s="161" t="s">
        <v>640</v>
      </c>
      <c r="AC132" s="161"/>
      <c r="AD132" s="211">
        <v>202000003702</v>
      </c>
      <c r="AE132" s="147" t="s">
        <v>523</v>
      </c>
      <c r="AF132" s="148" t="str">
        <f>TEXT(LEFT(Contrato5[[#This Row],[CONTRATO]],3),"0")</f>
        <v>106</v>
      </c>
      <c r="AG132" s="148" t="str">
        <f>IF(LEN(Contrato5[[#This Row],[Contrato2]])=3,Contrato5[[#This Row],[Contrato2]],TEXT(Contrato5[[#This Row],[Contrato2]],"000"))</f>
        <v>106</v>
      </c>
      <c r="AH132" s="149">
        <f ca="1">IFERROR(_xlfn.DAYS(Contrato5[[#This Row],[Fecha Proyectada liquidación]],TODAY())/30,"")</f>
        <v>-3.9666666666666668</v>
      </c>
      <c r="AI132" s="150">
        <f>+Contrato5[[#This Row],[FECHA TERMINACIÓN ]]+120</f>
        <v>45639</v>
      </c>
      <c r="AJ132" s="147"/>
      <c r="AK132" s="152" t="str">
        <f ca="1">IF(Contrato5[[#This Row],[FECHA TERMINACIÓN ]]&lt;TODAY(), "Terminado",IF(ISNUMBER(Contrato5[[#This Row],[Fecha Real de liquiidación ]]),"Liquidado",IF(Contrato5[[#This Row],[FECHA TERMINACIÓN ]]&gt;=TODAY(),"En ejecución","")))</f>
        <v>Terminado</v>
      </c>
      <c r="AL132" s="153" t="e">
        <f ca="1">SUMIF([2]!COMPROMISOS_2024[[#All],[consecutivo]],Contrato5[[#This Row],[RCP]],[2]!COMPROMISOS_2024[[#All],[Total pagado]])</f>
        <v>#REF!</v>
      </c>
      <c r="AM132" s="154">
        <f ca="1">IFERROR(Contrato5[[#This Row],[Pagos]]/Contrato5[[#This Row],[VALOR CONTRATO]],0)</f>
        <v>0</v>
      </c>
      <c r="AN132" s="198" t="e">
        <f ca="1">+Contrato5[[#This Row],[VALOR CONTRATO]]-Contrato5[[#This Row],[Pagos]]</f>
        <v>#REF!</v>
      </c>
      <c r="AO132" s="147" t="e" cm="1">
        <f t="array" aca="1" ref="AO132" ca="1">_xlfn.XLOOKUP(Contrato5[[#This Row],[DOCUMENTO ]],[2]!PERSONAL_ACTIVO_2024[[#All],[Documento identidad]],[2]!PERSONAL_ACTIVO_2024[[#All],[Mail ]],0,0)</f>
        <v>#NAME?</v>
      </c>
      <c r="AP132" s="147" t="e" cm="1">
        <f t="array" aca="1" ref="AP132" ca="1">_xlfn.XLOOKUP(Contrato5[[#This Row],[DOCUMENTO]],[2]!PERSONAL_ACTIVO_2024[[#All],[Documento identidad]],[2]!PERSONAL_ACTIVO_2024[[#All],[Mail ]],0,0)</f>
        <v>#NAME?</v>
      </c>
      <c r="AQ132" s="439" cm="1">
        <f t="array" aca="1" ref="AQ132" ca="1">IF(ISBLANK(Contrato5[[#This Row],[DEPENDENCIA ]]),0,IFERROR(_xlfn.XLOOKUP(Contrato5[[#This Row],[DEPENDENCIA ]],[2]!PERSONAL_ACTIVO_2024[[#All],[Dependencia]],[2]!PERSONAL_ACTIVO_2024[[#All],[Mail ]],0,0),0))</f>
        <v>0</v>
      </c>
    </row>
    <row r="133" spans="1:43" ht="34.5" customHeight="1">
      <c r="A133" s="125">
        <v>204</v>
      </c>
      <c r="B133" s="124">
        <v>107</v>
      </c>
      <c r="C133" s="162" t="s">
        <v>1628</v>
      </c>
      <c r="D133" s="227" t="s">
        <v>583</v>
      </c>
      <c r="E133" s="128" t="s">
        <v>94</v>
      </c>
      <c r="F133" s="163" t="s">
        <v>1376</v>
      </c>
      <c r="G133" s="190" t="s">
        <v>731</v>
      </c>
      <c r="H133" s="447">
        <v>1007239999</v>
      </c>
      <c r="I133" s="455">
        <v>2574842</v>
      </c>
      <c r="J133" s="456">
        <v>15449052</v>
      </c>
      <c r="K133" s="166" t="s">
        <v>42</v>
      </c>
      <c r="L133" s="438" t="s">
        <v>42</v>
      </c>
      <c r="M133" s="194" t="s">
        <v>589</v>
      </c>
      <c r="N133" s="177" t="e" cm="1">
        <f t="array" aca="1" ref="N133" ca="1">_xlfn.XLOOKUP(Contrato5[[#This Row],[SUPERVISOR TITULAR]],[2]!PERSONAL_ACTIVO_2024[[#All],[Nombre completo]],[2]!PERSONAL_ACTIVO_2024[[#All],[Documento identidad]],"",0)</f>
        <v>#NAME?</v>
      </c>
      <c r="O133" s="194" t="s">
        <v>586</v>
      </c>
      <c r="P133" s="196" t="e" cm="1">
        <f t="array" aca="1" ref="P133" ca="1">_xlfn.XLOOKUP(Contrato5[[#This Row],[SUPERVISOR SUPLENTE ]],[2]!PERSONAL_ACTIVO_2024[[#All],[Nombre completo]],[2]!PERSONAL_ACTIVO_2024[[#All],[Documento identidad]],"",0)</f>
        <v>#NAME?</v>
      </c>
      <c r="Q133" s="208">
        <v>133</v>
      </c>
      <c r="R133" s="137" t="e" cm="1">
        <f t="array" aca="1" ref="R133" ca="1">_xlfn.XLOOKUP(Contrato5[[#This Row],[CDP]],[2]!DISPONIBILIDADES_2024[[#All],[consecutivo]],[2]!DISPONIBILIDADES_2024[[#All],[fecha_aprobacion]],"",0)</f>
        <v>#NAME?</v>
      </c>
      <c r="S133" s="138" t="e">
        <f>SUMIF([2]!DISPONIBILIDADES_2024[[#All],[consecutivo]],Contrato5[[#This Row],[CDP]],[2]!DISPONIBILIDADES_2024[[#All],[valor_total_rubro]])</f>
        <v>#REF!</v>
      </c>
      <c r="T133" s="139" t="e" cm="1">
        <f t="array" aca="1" ref="T133" ca="1">_xlfn.XLOOKUP(Contrato5[[#This Row],[CONTRATO]]&amp;Contrato5[[#This Row],[CDP]],[2]!Corr_Contr_CDP[[#All],[CONTRATO-CDP]],[2]!Corr_Contr_CDP[[#All],[CRP]],_xlfn.XLOOKUP(Contrato5[[#This Row],[CDP]],[2]!COMPROMISOS_2024[[#All],[disponibilidad]],[2]!COMPROMISOS_2024[[#All],[consecutivo]],"",0),0)</f>
        <v>#NAME?</v>
      </c>
      <c r="U133" s="140" t="e" cm="1">
        <f t="array" aca="1" ref="U133" ca="1">+_xlfn.XLOOKUP(Contrato5[[#This Row],[RCP]],[2]!COMPROMISOS_2024[[#All],[consecutivo]],[2]!COMPROMISOS_2024[[#All],[fecha_aprobacion]],"",0)</f>
        <v>#NAME?</v>
      </c>
      <c r="V133" s="141" t="e">
        <f ca="1">SUMIF([2]!COMPROMISOS_2024[[#All],[consecutivo]],Contrato5[[#This Row],[RCP]],[2]!COMPROMISOS_2024[[#All],[valor_total]])</f>
        <v>#REF!</v>
      </c>
      <c r="W133" s="415">
        <v>45336</v>
      </c>
      <c r="X133" s="415">
        <v>45337</v>
      </c>
      <c r="Y133" s="143">
        <v>45338</v>
      </c>
      <c r="Z133" s="262">
        <v>45519</v>
      </c>
      <c r="AA133" s="171" t="s">
        <v>653</v>
      </c>
      <c r="AB133" s="161" t="s">
        <v>640</v>
      </c>
      <c r="AC133" s="161"/>
      <c r="AD133" s="211">
        <v>202000003703</v>
      </c>
      <c r="AE133" s="147" t="s">
        <v>523</v>
      </c>
      <c r="AF133" s="148" t="str">
        <f>TEXT(LEFT(Contrato5[[#This Row],[CONTRATO]],3),"0")</f>
        <v>107</v>
      </c>
      <c r="AG133" s="148" t="str">
        <f>IF(LEN(Contrato5[[#This Row],[Contrato2]])=3,Contrato5[[#This Row],[Contrato2]],TEXT(Contrato5[[#This Row],[Contrato2]],"000"))</f>
        <v>107</v>
      </c>
      <c r="AH133" s="149">
        <f ca="1">IFERROR(_xlfn.DAYS(Contrato5[[#This Row],[Fecha Proyectada liquidación]],TODAY())/30,"")</f>
        <v>-3.9666666666666668</v>
      </c>
      <c r="AI133" s="150">
        <f>+Contrato5[[#This Row],[FECHA TERMINACIÓN ]]+120</f>
        <v>45639</v>
      </c>
      <c r="AJ133" s="147"/>
      <c r="AK133" s="152" t="str">
        <f ca="1">IF(Contrato5[[#This Row],[FECHA TERMINACIÓN ]]&lt;TODAY(), "Terminado",IF(ISNUMBER(Contrato5[[#This Row],[Fecha Real de liquiidación ]]),"Liquidado",IF(Contrato5[[#This Row],[FECHA TERMINACIÓN ]]&gt;=TODAY(),"En ejecución","")))</f>
        <v>Terminado</v>
      </c>
      <c r="AL133" s="153" t="e">
        <f ca="1">SUMIF([2]!COMPROMISOS_2024[[#All],[consecutivo]],Contrato5[[#This Row],[RCP]],[2]!COMPROMISOS_2024[[#All],[Total pagado]])</f>
        <v>#REF!</v>
      </c>
      <c r="AM133" s="154">
        <f ca="1">IFERROR(Contrato5[[#This Row],[Pagos]]/Contrato5[[#This Row],[VALOR CONTRATO]],0)</f>
        <v>0</v>
      </c>
      <c r="AN133" s="198" t="e">
        <f ca="1">+Contrato5[[#This Row],[VALOR CONTRATO]]-Contrato5[[#This Row],[Pagos]]</f>
        <v>#REF!</v>
      </c>
      <c r="AO133" s="147" t="e" cm="1">
        <f t="array" aca="1" ref="AO133" ca="1">_xlfn.XLOOKUP(Contrato5[[#This Row],[DOCUMENTO ]],[2]!PERSONAL_ACTIVO_2024[[#All],[Documento identidad]],[2]!PERSONAL_ACTIVO_2024[[#All],[Mail ]],0,0)</f>
        <v>#NAME?</v>
      </c>
      <c r="AP133" s="147" t="e" cm="1">
        <f t="array" aca="1" ref="AP133" ca="1">_xlfn.XLOOKUP(Contrato5[[#This Row],[DOCUMENTO]],[2]!PERSONAL_ACTIVO_2024[[#All],[Documento identidad]],[2]!PERSONAL_ACTIVO_2024[[#All],[Mail ]],0,0)</f>
        <v>#NAME?</v>
      </c>
      <c r="AQ133" s="439" cm="1">
        <f t="array" aca="1" ref="AQ133" ca="1">IF(ISBLANK(Contrato5[[#This Row],[DEPENDENCIA ]]),0,IFERROR(_xlfn.XLOOKUP(Contrato5[[#This Row],[DEPENDENCIA ]],[2]!PERSONAL_ACTIVO_2024[[#All],[Dependencia]],[2]!PERSONAL_ACTIVO_2024[[#All],[Mail ]],0,0),0))</f>
        <v>0</v>
      </c>
    </row>
    <row r="134" spans="1:43" ht="34.5" customHeight="1">
      <c r="A134" s="125">
        <v>206</v>
      </c>
      <c r="B134" s="124">
        <v>108</v>
      </c>
      <c r="C134" s="162" t="s">
        <v>1630</v>
      </c>
      <c r="D134" s="227" t="s">
        <v>583</v>
      </c>
      <c r="E134" s="128" t="s">
        <v>94</v>
      </c>
      <c r="F134" s="163" t="s">
        <v>1376</v>
      </c>
      <c r="G134" s="190" t="s">
        <v>732</v>
      </c>
      <c r="H134" s="447">
        <v>1017230955</v>
      </c>
      <c r="I134" s="455">
        <v>2574842</v>
      </c>
      <c r="J134" s="456">
        <v>15449052</v>
      </c>
      <c r="K134" s="166" t="s">
        <v>42</v>
      </c>
      <c r="L134" s="438" t="s">
        <v>42</v>
      </c>
      <c r="M134" s="194" t="s">
        <v>586</v>
      </c>
      <c r="N134" s="177" t="e" cm="1">
        <f t="array" aca="1" ref="N134" ca="1">_xlfn.XLOOKUP(Contrato5[[#This Row],[SUPERVISOR TITULAR]],[2]!PERSONAL_ACTIVO_2024[[#All],[Nombre completo]],[2]!PERSONAL_ACTIVO_2024[[#All],[Documento identidad]],"",0)</f>
        <v>#NAME?</v>
      </c>
      <c r="O134" s="194" t="s">
        <v>589</v>
      </c>
      <c r="P134" s="196" t="e" cm="1">
        <f t="array" aca="1" ref="P134" ca="1">_xlfn.XLOOKUP(Contrato5[[#This Row],[SUPERVISOR SUPLENTE ]],[2]!PERSONAL_ACTIVO_2024[[#All],[Nombre completo]],[2]!PERSONAL_ACTIVO_2024[[#All],[Documento identidad]],"",0)</f>
        <v>#NAME?</v>
      </c>
      <c r="Q134" s="208">
        <v>135</v>
      </c>
      <c r="R134" s="137" t="e" cm="1">
        <f t="array" aca="1" ref="R134" ca="1">_xlfn.XLOOKUP(Contrato5[[#This Row],[CDP]],[2]!DISPONIBILIDADES_2024[[#All],[consecutivo]],[2]!DISPONIBILIDADES_2024[[#All],[fecha_aprobacion]],"",0)</f>
        <v>#NAME?</v>
      </c>
      <c r="S134" s="138" t="e">
        <f>SUMIF([2]!DISPONIBILIDADES_2024[[#All],[consecutivo]],Contrato5[[#This Row],[CDP]],[2]!DISPONIBILIDADES_2024[[#All],[valor_total_rubro]])</f>
        <v>#REF!</v>
      </c>
      <c r="T134" s="139" t="e" cm="1">
        <f t="array" aca="1" ref="T134" ca="1">_xlfn.XLOOKUP(Contrato5[[#This Row],[CONTRATO]]&amp;Contrato5[[#This Row],[CDP]],[2]!Corr_Contr_CDP[[#All],[CONTRATO-CDP]],[2]!Corr_Contr_CDP[[#All],[CRP]],_xlfn.XLOOKUP(Contrato5[[#This Row],[CDP]],[2]!COMPROMISOS_2024[[#All],[disponibilidad]],[2]!COMPROMISOS_2024[[#All],[consecutivo]],"",0),0)</f>
        <v>#NAME?</v>
      </c>
      <c r="U134" s="140" t="e" cm="1">
        <f t="array" aca="1" ref="U134" ca="1">+_xlfn.XLOOKUP(Contrato5[[#This Row],[RCP]],[2]!COMPROMISOS_2024[[#All],[consecutivo]],[2]!COMPROMISOS_2024[[#All],[fecha_aprobacion]],"",0)</f>
        <v>#NAME?</v>
      </c>
      <c r="V134" s="141" t="e">
        <f ca="1">SUMIF([2]!COMPROMISOS_2024[[#All],[consecutivo]],Contrato5[[#This Row],[RCP]],[2]!COMPROMISOS_2024[[#All],[valor_total]])</f>
        <v>#REF!</v>
      </c>
      <c r="W134" s="415">
        <v>45336</v>
      </c>
      <c r="X134" s="415">
        <v>45337</v>
      </c>
      <c r="Y134" s="143">
        <v>45338</v>
      </c>
      <c r="Z134" s="262">
        <v>45519</v>
      </c>
      <c r="AA134" s="171" t="s">
        <v>653</v>
      </c>
      <c r="AB134" s="161" t="s">
        <v>640</v>
      </c>
      <c r="AC134" s="161"/>
      <c r="AD134" s="211">
        <v>202000003705</v>
      </c>
      <c r="AE134" s="147" t="s">
        <v>523</v>
      </c>
      <c r="AF134" s="148" t="str">
        <f>TEXT(LEFT(Contrato5[[#This Row],[CONTRATO]],3),"0")</f>
        <v>108</v>
      </c>
      <c r="AG134" s="148" t="str">
        <f>IF(LEN(Contrato5[[#This Row],[Contrato2]])=3,Contrato5[[#This Row],[Contrato2]],TEXT(Contrato5[[#This Row],[Contrato2]],"000"))</f>
        <v>108</v>
      </c>
      <c r="AH134" s="149">
        <f ca="1">IFERROR(_xlfn.DAYS(Contrato5[[#This Row],[Fecha Proyectada liquidación]],TODAY())/30,"")</f>
        <v>-3.9666666666666668</v>
      </c>
      <c r="AI134" s="150">
        <f>+Contrato5[[#This Row],[FECHA TERMINACIÓN ]]+120</f>
        <v>45639</v>
      </c>
      <c r="AJ134" s="147"/>
      <c r="AK134" s="152" t="str">
        <f ca="1">IF(Contrato5[[#This Row],[FECHA TERMINACIÓN ]]&lt;TODAY(), "Terminado",IF(ISNUMBER(Contrato5[[#This Row],[Fecha Real de liquiidación ]]),"Liquidado",IF(Contrato5[[#This Row],[FECHA TERMINACIÓN ]]&gt;=TODAY(),"En ejecución","")))</f>
        <v>Terminado</v>
      </c>
      <c r="AL134" s="153" t="e">
        <f ca="1">SUMIF([2]!COMPROMISOS_2024[[#All],[consecutivo]],Contrato5[[#This Row],[RCP]],[2]!COMPROMISOS_2024[[#All],[Total pagado]])</f>
        <v>#REF!</v>
      </c>
      <c r="AM134" s="154">
        <f ca="1">IFERROR(Contrato5[[#This Row],[Pagos]]/Contrato5[[#This Row],[VALOR CONTRATO]],0)</f>
        <v>0</v>
      </c>
      <c r="AN134" s="198" t="e">
        <f ca="1">+Contrato5[[#This Row],[VALOR CONTRATO]]-Contrato5[[#This Row],[Pagos]]</f>
        <v>#REF!</v>
      </c>
      <c r="AO134" s="147" t="e" cm="1">
        <f t="array" aca="1" ref="AO134" ca="1">_xlfn.XLOOKUP(Contrato5[[#This Row],[DOCUMENTO ]],[2]!PERSONAL_ACTIVO_2024[[#All],[Documento identidad]],[2]!PERSONAL_ACTIVO_2024[[#All],[Mail ]],0,0)</f>
        <v>#NAME?</v>
      </c>
      <c r="AP134" s="147" t="e" cm="1">
        <f t="array" aca="1" ref="AP134" ca="1">_xlfn.XLOOKUP(Contrato5[[#This Row],[DOCUMENTO]],[2]!PERSONAL_ACTIVO_2024[[#All],[Documento identidad]],[2]!PERSONAL_ACTIVO_2024[[#All],[Mail ]],0,0)</f>
        <v>#NAME?</v>
      </c>
      <c r="AQ134" s="439" cm="1">
        <f t="array" aca="1" ref="AQ134" ca="1">IF(ISBLANK(Contrato5[[#This Row],[DEPENDENCIA ]]),0,IFERROR(_xlfn.XLOOKUP(Contrato5[[#This Row],[DEPENDENCIA ]],[2]!PERSONAL_ACTIVO_2024[[#All],[Dependencia]],[2]!PERSONAL_ACTIVO_2024[[#All],[Mail ]],0,0),0))</f>
        <v>0</v>
      </c>
    </row>
    <row r="135" spans="1:43" ht="34.5" customHeight="1">
      <c r="A135" s="125">
        <v>207</v>
      </c>
      <c r="B135" s="124">
        <v>109</v>
      </c>
      <c r="C135" s="162" t="s">
        <v>2527</v>
      </c>
      <c r="D135" s="227" t="s">
        <v>583</v>
      </c>
      <c r="E135" s="128" t="s">
        <v>94</v>
      </c>
      <c r="F135" s="163" t="s">
        <v>1376</v>
      </c>
      <c r="G135" s="190" t="s">
        <v>733</v>
      </c>
      <c r="H135" s="447">
        <v>1038410802</v>
      </c>
      <c r="I135" s="455">
        <v>3952382</v>
      </c>
      <c r="J135" s="456">
        <v>23714292</v>
      </c>
      <c r="K135" s="166" t="s">
        <v>42</v>
      </c>
      <c r="L135" s="438" t="s">
        <v>42</v>
      </c>
      <c r="M135" s="194" t="s">
        <v>586</v>
      </c>
      <c r="N135" s="177" t="e" cm="1">
        <f t="array" aca="1" ref="N135" ca="1">_xlfn.XLOOKUP(Contrato5[[#This Row],[SUPERVISOR TITULAR]],[2]!PERSONAL_ACTIVO_2024[[#All],[Nombre completo]],[2]!PERSONAL_ACTIVO_2024[[#All],[Documento identidad]],"",0)</f>
        <v>#NAME?</v>
      </c>
      <c r="O135" s="194" t="s">
        <v>589</v>
      </c>
      <c r="P135" s="196" t="e" cm="1">
        <f t="array" aca="1" ref="P135" ca="1">_xlfn.XLOOKUP(Contrato5[[#This Row],[SUPERVISOR SUPLENTE ]],[2]!PERSONAL_ACTIVO_2024[[#All],[Nombre completo]],[2]!PERSONAL_ACTIVO_2024[[#All],[Documento identidad]],"",0)</f>
        <v>#NAME?</v>
      </c>
      <c r="Q135" s="208">
        <v>136</v>
      </c>
      <c r="R135" s="137" t="e" cm="1">
        <f t="array" aca="1" ref="R135" ca="1">_xlfn.XLOOKUP(Contrato5[[#This Row],[CDP]],[2]!DISPONIBILIDADES_2024[[#All],[consecutivo]],[2]!DISPONIBILIDADES_2024[[#All],[fecha_aprobacion]],"",0)</f>
        <v>#NAME?</v>
      </c>
      <c r="S135" s="138" t="e">
        <f>SUMIF([2]!DISPONIBILIDADES_2024[[#All],[consecutivo]],Contrato5[[#This Row],[CDP]],[2]!DISPONIBILIDADES_2024[[#All],[valor_total_rubro]])</f>
        <v>#REF!</v>
      </c>
      <c r="T135" s="139" t="e" cm="1">
        <f t="array" aca="1" ref="T135" ca="1">_xlfn.XLOOKUP(Contrato5[[#This Row],[CONTRATO]]&amp;Contrato5[[#This Row],[CDP]],[2]!Corr_Contr_CDP[[#All],[CONTRATO-CDP]],[2]!Corr_Contr_CDP[[#All],[CRP]],_xlfn.XLOOKUP(Contrato5[[#This Row],[CDP]],[2]!COMPROMISOS_2024[[#All],[disponibilidad]],[2]!COMPROMISOS_2024[[#All],[consecutivo]],"",0),0)</f>
        <v>#NAME?</v>
      </c>
      <c r="U135" s="140" t="e" cm="1">
        <f t="array" aca="1" ref="U135" ca="1">+_xlfn.XLOOKUP(Contrato5[[#This Row],[RCP]],[2]!COMPROMISOS_2024[[#All],[consecutivo]],[2]!COMPROMISOS_2024[[#All],[fecha_aprobacion]],"",0)</f>
        <v>#NAME?</v>
      </c>
      <c r="V135" s="141" t="e">
        <f ca="1">SUMIF([2]!COMPROMISOS_2024[[#All],[consecutivo]],Contrato5[[#This Row],[RCP]],[2]!COMPROMISOS_2024[[#All],[valor_total]])</f>
        <v>#REF!</v>
      </c>
      <c r="W135" s="415">
        <v>45337</v>
      </c>
      <c r="X135" s="415">
        <v>45338</v>
      </c>
      <c r="Y135" s="143">
        <v>45338</v>
      </c>
      <c r="Z135" s="262">
        <v>45519</v>
      </c>
      <c r="AA135" s="183" t="s">
        <v>651</v>
      </c>
      <c r="AB135" s="161" t="s">
        <v>640</v>
      </c>
      <c r="AC135" s="161"/>
      <c r="AD135" s="211">
        <v>202000003706</v>
      </c>
      <c r="AE135" s="147" t="s">
        <v>523</v>
      </c>
      <c r="AF135" s="148" t="str">
        <f>TEXT(LEFT(Contrato5[[#This Row],[CONTRATO]],3),"0")</f>
        <v>109</v>
      </c>
      <c r="AG135" s="148" t="str">
        <f>IF(LEN(Contrato5[[#This Row],[Contrato2]])=3,Contrato5[[#This Row],[Contrato2]],TEXT(Contrato5[[#This Row],[Contrato2]],"000"))</f>
        <v>109</v>
      </c>
      <c r="AH135" s="149">
        <f ca="1">IFERROR(_xlfn.DAYS(Contrato5[[#This Row],[Fecha Proyectada liquidación]],TODAY())/30,"")</f>
        <v>-3.9666666666666668</v>
      </c>
      <c r="AI135" s="150">
        <f>+Contrato5[[#This Row],[FECHA TERMINACIÓN ]]+120</f>
        <v>45639</v>
      </c>
      <c r="AJ135" s="147"/>
      <c r="AK135" s="152" t="str">
        <f ca="1">IF(Contrato5[[#This Row],[FECHA TERMINACIÓN ]]&lt;TODAY(), "Terminado",IF(ISNUMBER(Contrato5[[#This Row],[Fecha Real de liquiidación ]]),"Liquidado",IF(Contrato5[[#This Row],[FECHA TERMINACIÓN ]]&gt;=TODAY(),"En ejecución","")))</f>
        <v>Terminado</v>
      </c>
      <c r="AL135" s="153" t="e">
        <f ca="1">SUMIF([2]!COMPROMISOS_2024[[#All],[consecutivo]],Contrato5[[#This Row],[RCP]],[2]!COMPROMISOS_2024[[#All],[Total pagado]])</f>
        <v>#REF!</v>
      </c>
      <c r="AM135" s="154">
        <f ca="1">IFERROR(Contrato5[[#This Row],[Pagos]]/Contrato5[[#This Row],[VALOR CONTRATO]],0)</f>
        <v>0</v>
      </c>
      <c r="AN135" s="198" t="e">
        <f ca="1">+Contrato5[[#This Row],[VALOR CONTRATO]]-Contrato5[[#This Row],[Pagos]]</f>
        <v>#REF!</v>
      </c>
      <c r="AO135" s="147" t="e" cm="1">
        <f t="array" aca="1" ref="AO135" ca="1">_xlfn.XLOOKUP(Contrato5[[#This Row],[DOCUMENTO ]],[2]!PERSONAL_ACTIVO_2024[[#All],[Documento identidad]],[2]!PERSONAL_ACTIVO_2024[[#All],[Mail ]],0,0)</f>
        <v>#NAME?</v>
      </c>
      <c r="AP135" s="147" t="e" cm="1">
        <f t="array" aca="1" ref="AP135" ca="1">_xlfn.XLOOKUP(Contrato5[[#This Row],[DOCUMENTO]],[2]!PERSONAL_ACTIVO_2024[[#All],[Documento identidad]],[2]!PERSONAL_ACTIVO_2024[[#All],[Mail ]],0,0)</f>
        <v>#NAME?</v>
      </c>
      <c r="AQ135" s="439" cm="1">
        <f t="array" aca="1" ref="AQ135" ca="1">IF(ISBLANK(Contrato5[[#This Row],[DEPENDENCIA ]]),0,IFERROR(_xlfn.XLOOKUP(Contrato5[[#This Row],[DEPENDENCIA ]],[2]!PERSONAL_ACTIVO_2024[[#All],[Dependencia]],[2]!PERSONAL_ACTIVO_2024[[#All],[Mail ]],0,0),0))</f>
        <v>0</v>
      </c>
    </row>
    <row r="136" spans="1:43" ht="34.5" customHeight="1">
      <c r="A136" s="125">
        <v>208</v>
      </c>
      <c r="B136" s="124">
        <v>110</v>
      </c>
      <c r="C136" s="162" t="s">
        <v>2528</v>
      </c>
      <c r="D136" s="227" t="s">
        <v>583</v>
      </c>
      <c r="E136" s="128" t="s">
        <v>94</v>
      </c>
      <c r="F136" s="163" t="s">
        <v>1376</v>
      </c>
      <c r="G136" s="190" t="s">
        <v>734</v>
      </c>
      <c r="H136" s="447">
        <v>71276076</v>
      </c>
      <c r="I136" s="455">
        <v>4908936</v>
      </c>
      <c r="J136" s="456">
        <v>29453616</v>
      </c>
      <c r="K136" s="166" t="s">
        <v>42</v>
      </c>
      <c r="L136" s="438" t="s">
        <v>42</v>
      </c>
      <c r="M136" s="194" t="s">
        <v>586</v>
      </c>
      <c r="N136" s="177" t="e" cm="1">
        <f t="array" aca="1" ref="N136" ca="1">_xlfn.XLOOKUP(Contrato5[[#This Row],[SUPERVISOR TITULAR]],[2]!PERSONAL_ACTIVO_2024[[#All],[Nombre completo]],[2]!PERSONAL_ACTIVO_2024[[#All],[Documento identidad]],"",0)</f>
        <v>#NAME?</v>
      </c>
      <c r="O136" s="194" t="s">
        <v>589</v>
      </c>
      <c r="P136" s="196" t="e" cm="1">
        <f t="array" aca="1" ref="P136" ca="1">_xlfn.XLOOKUP(Contrato5[[#This Row],[SUPERVISOR SUPLENTE ]],[2]!PERSONAL_ACTIVO_2024[[#All],[Nombre completo]],[2]!PERSONAL_ACTIVO_2024[[#All],[Documento identidad]],"",0)</f>
        <v>#NAME?</v>
      </c>
      <c r="Q136" s="208">
        <v>137</v>
      </c>
      <c r="R136" s="137" t="e" cm="1">
        <f t="array" aca="1" ref="R136" ca="1">_xlfn.XLOOKUP(Contrato5[[#This Row],[CDP]],[2]!DISPONIBILIDADES_2024[[#All],[consecutivo]],[2]!DISPONIBILIDADES_2024[[#All],[fecha_aprobacion]],"",0)</f>
        <v>#NAME?</v>
      </c>
      <c r="S136" s="138" t="e">
        <f>SUMIF([2]!DISPONIBILIDADES_2024[[#All],[consecutivo]],Contrato5[[#This Row],[CDP]],[2]!DISPONIBILIDADES_2024[[#All],[valor_total_rubro]])</f>
        <v>#REF!</v>
      </c>
      <c r="T136" s="139" t="e" cm="1">
        <f t="array" aca="1" ref="T136" ca="1">_xlfn.XLOOKUP(Contrato5[[#This Row],[CONTRATO]]&amp;Contrato5[[#This Row],[CDP]],[2]!Corr_Contr_CDP[[#All],[CONTRATO-CDP]],[2]!Corr_Contr_CDP[[#All],[CRP]],_xlfn.XLOOKUP(Contrato5[[#This Row],[CDP]],[2]!COMPROMISOS_2024[[#All],[disponibilidad]],[2]!COMPROMISOS_2024[[#All],[consecutivo]],"",0),0)</f>
        <v>#NAME?</v>
      </c>
      <c r="U136" s="140" t="e" cm="1">
        <f t="array" aca="1" ref="U136" ca="1">+_xlfn.XLOOKUP(Contrato5[[#This Row],[RCP]],[2]!COMPROMISOS_2024[[#All],[consecutivo]],[2]!COMPROMISOS_2024[[#All],[fecha_aprobacion]],"",0)</f>
        <v>#NAME?</v>
      </c>
      <c r="V136" s="141" t="e">
        <f ca="1">SUMIF([2]!COMPROMISOS_2024[[#All],[consecutivo]],Contrato5[[#This Row],[RCP]],[2]!COMPROMISOS_2024[[#All],[valor_total]])</f>
        <v>#REF!</v>
      </c>
      <c r="W136" s="415">
        <v>45337</v>
      </c>
      <c r="X136" s="415">
        <v>45338</v>
      </c>
      <c r="Y136" s="143">
        <v>45338</v>
      </c>
      <c r="Z136" s="262">
        <v>45519</v>
      </c>
      <c r="AA136" s="183" t="s">
        <v>651</v>
      </c>
      <c r="AB136" s="161" t="s">
        <v>640</v>
      </c>
      <c r="AC136" s="161"/>
      <c r="AD136" s="211">
        <v>202000003707</v>
      </c>
      <c r="AE136" s="147" t="s">
        <v>523</v>
      </c>
      <c r="AF136" s="148" t="str">
        <f>TEXT(LEFT(Contrato5[[#This Row],[CONTRATO]],3),"0")</f>
        <v>110</v>
      </c>
      <c r="AG136" s="148" t="str">
        <f>IF(LEN(Contrato5[[#This Row],[Contrato2]])=3,Contrato5[[#This Row],[Contrato2]],TEXT(Contrato5[[#This Row],[Contrato2]],"000"))</f>
        <v>110</v>
      </c>
      <c r="AH136" s="149">
        <f ca="1">IFERROR(_xlfn.DAYS(Contrato5[[#This Row],[Fecha Proyectada liquidación]],TODAY())/30,"")</f>
        <v>-3.9666666666666668</v>
      </c>
      <c r="AI136" s="150">
        <f>+Contrato5[[#This Row],[FECHA TERMINACIÓN ]]+120</f>
        <v>45639</v>
      </c>
      <c r="AJ136" s="147"/>
      <c r="AK136" s="152" t="str">
        <f ca="1">IF(Contrato5[[#This Row],[FECHA TERMINACIÓN ]]&lt;TODAY(), "Terminado",IF(ISNUMBER(Contrato5[[#This Row],[Fecha Real de liquiidación ]]),"Liquidado",IF(Contrato5[[#This Row],[FECHA TERMINACIÓN ]]&gt;=TODAY(),"En ejecución","")))</f>
        <v>Terminado</v>
      </c>
      <c r="AL136" s="153" t="e">
        <f ca="1">SUMIF([2]!COMPROMISOS_2024[[#All],[consecutivo]],Contrato5[[#This Row],[RCP]],[2]!COMPROMISOS_2024[[#All],[Total pagado]])</f>
        <v>#REF!</v>
      </c>
      <c r="AM136" s="154">
        <f ca="1">IFERROR(Contrato5[[#This Row],[Pagos]]/Contrato5[[#This Row],[VALOR CONTRATO]],0)</f>
        <v>0</v>
      </c>
      <c r="AN136" s="198" t="e">
        <f ca="1">+Contrato5[[#This Row],[VALOR CONTRATO]]-Contrato5[[#This Row],[Pagos]]</f>
        <v>#REF!</v>
      </c>
      <c r="AO136" s="147" t="e" cm="1">
        <f t="array" aca="1" ref="AO136" ca="1">_xlfn.XLOOKUP(Contrato5[[#This Row],[DOCUMENTO ]],[2]!PERSONAL_ACTIVO_2024[[#All],[Documento identidad]],[2]!PERSONAL_ACTIVO_2024[[#All],[Mail ]],0,0)</f>
        <v>#NAME?</v>
      </c>
      <c r="AP136" s="147" t="e" cm="1">
        <f t="array" aca="1" ref="AP136" ca="1">_xlfn.XLOOKUP(Contrato5[[#This Row],[DOCUMENTO]],[2]!PERSONAL_ACTIVO_2024[[#All],[Documento identidad]],[2]!PERSONAL_ACTIVO_2024[[#All],[Mail ]],0,0)</f>
        <v>#NAME?</v>
      </c>
      <c r="AQ136" s="439" cm="1">
        <f t="array" aca="1" ref="AQ136" ca="1">IF(ISBLANK(Contrato5[[#This Row],[DEPENDENCIA ]]),0,IFERROR(_xlfn.XLOOKUP(Contrato5[[#This Row],[DEPENDENCIA ]],[2]!PERSONAL_ACTIVO_2024[[#All],[Dependencia]],[2]!PERSONAL_ACTIVO_2024[[#All],[Mail ]],0,0),0))</f>
        <v>0</v>
      </c>
    </row>
    <row r="137" spans="1:43" ht="34.5" customHeight="1">
      <c r="A137" s="125">
        <v>210</v>
      </c>
      <c r="B137" s="124">
        <v>111</v>
      </c>
      <c r="C137" s="162" t="s">
        <v>1633</v>
      </c>
      <c r="D137" s="227" t="s">
        <v>583</v>
      </c>
      <c r="E137" s="128" t="s">
        <v>94</v>
      </c>
      <c r="F137" s="163" t="s">
        <v>1376</v>
      </c>
      <c r="G137" s="190" t="s">
        <v>735</v>
      </c>
      <c r="H137" s="447">
        <v>1037649671</v>
      </c>
      <c r="I137" s="455">
        <v>2574842</v>
      </c>
      <c r="J137" s="456">
        <v>15449052</v>
      </c>
      <c r="K137" s="166" t="s">
        <v>42</v>
      </c>
      <c r="L137" s="438" t="s">
        <v>42</v>
      </c>
      <c r="M137" s="194" t="s">
        <v>589</v>
      </c>
      <c r="N137" s="177" t="e" cm="1">
        <f t="array" aca="1" ref="N137" ca="1">_xlfn.XLOOKUP(Contrato5[[#This Row],[SUPERVISOR TITULAR]],[2]!PERSONAL_ACTIVO_2024[[#All],[Nombre completo]],[2]!PERSONAL_ACTIVO_2024[[#All],[Documento identidad]],"",0)</f>
        <v>#NAME?</v>
      </c>
      <c r="O137" s="194" t="s">
        <v>586</v>
      </c>
      <c r="P137" s="196" t="e" cm="1">
        <f t="array" aca="1" ref="P137" ca="1">_xlfn.XLOOKUP(Contrato5[[#This Row],[SUPERVISOR SUPLENTE ]],[2]!PERSONAL_ACTIVO_2024[[#All],[Nombre completo]],[2]!PERSONAL_ACTIVO_2024[[#All],[Documento identidad]],"",0)</f>
        <v>#NAME?</v>
      </c>
      <c r="Q137" s="208">
        <v>138</v>
      </c>
      <c r="R137" s="137" t="e" cm="1">
        <f t="array" aca="1" ref="R137" ca="1">_xlfn.XLOOKUP(Contrato5[[#This Row],[CDP]],[2]!DISPONIBILIDADES_2024[[#All],[consecutivo]],[2]!DISPONIBILIDADES_2024[[#All],[fecha_aprobacion]],"",0)</f>
        <v>#NAME?</v>
      </c>
      <c r="S137" s="138" t="e">
        <f>SUMIF([2]!DISPONIBILIDADES_2024[[#All],[consecutivo]],Contrato5[[#This Row],[CDP]],[2]!DISPONIBILIDADES_2024[[#All],[valor_total_rubro]])</f>
        <v>#REF!</v>
      </c>
      <c r="T137" s="139" t="e" cm="1">
        <f t="array" aca="1" ref="T137" ca="1">_xlfn.XLOOKUP(Contrato5[[#This Row],[CONTRATO]]&amp;Contrato5[[#This Row],[CDP]],[2]!Corr_Contr_CDP[[#All],[CONTRATO-CDP]],[2]!Corr_Contr_CDP[[#All],[CRP]],_xlfn.XLOOKUP(Contrato5[[#This Row],[CDP]],[2]!COMPROMISOS_2024[[#All],[disponibilidad]],[2]!COMPROMISOS_2024[[#All],[consecutivo]],"",0),0)</f>
        <v>#NAME?</v>
      </c>
      <c r="U137" s="140" t="e" cm="1">
        <f t="array" aca="1" ref="U137" ca="1">+_xlfn.XLOOKUP(Contrato5[[#This Row],[RCP]],[2]!COMPROMISOS_2024[[#All],[consecutivo]],[2]!COMPROMISOS_2024[[#All],[fecha_aprobacion]],"",0)</f>
        <v>#NAME?</v>
      </c>
      <c r="V137" s="141" t="e">
        <f ca="1">SUMIF([2]!COMPROMISOS_2024[[#All],[consecutivo]],Contrato5[[#This Row],[RCP]],[2]!COMPROMISOS_2024[[#All],[valor_total]])</f>
        <v>#REF!</v>
      </c>
      <c r="W137" s="415">
        <v>45337</v>
      </c>
      <c r="X137" s="415">
        <v>45338</v>
      </c>
      <c r="Y137" s="143">
        <v>45338</v>
      </c>
      <c r="Z137" s="262">
        <v>45519</v>
      </c>
      <c r="AA137" s="171" t="s">
        <v>651</v>
      </c>
      <c r="AB137" s="161" t="s">
        <v>640</v>
      </c>
      <c r="AC137" s="161"/>
      <c r="AD137" s="211">
        <v>202000003709</v>
      </c>
      <c r="AE137" s="147" t="s">
        <v>523</v>
      </c>
      <c r="AF137" s="148" t="str">
        <f>TEXT(LEFT(Contrato5[[#This Row],[CONTRATO]],3),"0")</f>
        <v>111</v>
      </c>
      <c r="AG137" s="148" t="str">
        <f>IF(LEN(Contrato5[[#This Row],[Contrato2]])=3,Contrato5[[#This Row],[Contrato2]],TEXT(Contrato5[[#This Row],[Contrato2]],"000"))</f>
        <v>111</v>
      </c>
      <c r="AH137" s="149">
        <f ca="1">IFERROR(_xlfn.DAYS(Contrato5[[#This Row],[Fecha Proyectada liquidación]],TODAY())/30,"")</f>
        <v>-3.9666666666666668</v>
      </c>
      <c r="AI137" s="150">
        <f>+Contrato5[[#This Row],[FECHA TERMINACIÓN ]]+120</f>
        <v>45639</v>
      </c>
      <c r="AJ137" s="147"/>
      <c r="AK137" s="152" t="str">
        <f ca="1">IF(Contrato5[[#This Row],[FECHA TERMINACIÓN ]]&lt;TODAY(), "Terminado",IF(ISNUMBER(Contrato5[[#This Row],[Fecha Real de liquiidación ]]),"Liquidado",IF(Contrato5[[#This Row],[FECHA TERMINACIÓN ]]&gt;=TODAY(),"En ejecución","")))</f>
        <v>Terminado</v>
      </c>
      <c r="AL137" s="153" t="e">
        <f ca="1">SUMIF([2]!COMPROMISOS_2024[[#All],[consecutivo]],Contrato5[[#This Row],[RCP]],[2]!COMPROMISOS_2024[[#All],[Total pagado]])</f>
        <v>#REF!</v>
      </c>
      <c r="AM137" s="154">
        <f ca="1">IFERROR(Contrato5[[#This Row],[Pagos]]/Contrato5[[#This Row],[VALOR CONTRATO]],0)</f>
        <v>0</v>
      </c>
      <c r="AN137" s="198" t="e">
        <f ca="1">+Contrato5[[#This Row],[VALOR CONTRATO]]-Contrato5[[#This Row],[Pagos]]</f>
        <v>#REF!</v>
      </c>
      <c r="AO137" s="147" t="e" cm="1">
        <f t="array" aca="1" ref="AO137" ca="1">_xlfn.XLOOKUP(Contrato5[[#This Row],[DOCUMENTO ]],[2]!PERSONAL_ACTIVO_2024[[#All],[Documento identidad]],[2]!PERSONAL_ACTIVO_2024[[#All],[Mail ]],0,0)</f>
        <v>#NAME?</v>
      </c>
      <c r="AP137" s="147" t="e" cm="1">
        <f t="array" aca="1" ref="AP137" ca="1">_xlfn.XLOOKUP(Contrato5[[#This Row],[DOCUMENTO]],[2]!PERSONAL_ACTIVO_2024[[#All],[Documento identidad]],[2]!PERSONAL_ACTIVO_2024[[#All],[Mail ]],0,0)</f>
        <v>#NAME?</v>
      </c>
      <c r="AQ137" s="439" cm="1">
        <f t="array" aca="1" ref="AQ137" ca="1">IF(ISBLANK(Contrato5[[#This Row],[DEPENDENCIA ]]),0,IFERROR(_xlfn.XLOOKUP(Contrato5[[#This Row],[DEPENDENCIA ]],[2]!PERSONAL_ACTIVO_2024[[#All],[Dependencia]],[2]!PERSONAL_ACTIVO_2024[[#All],[Mail ]],0,0),0))</f>
        <v>0</v>
      </c>
    </row>
    <row r="138" spans="1:43" ht="34.5" customHeight="1">
      <c r="A138" s="125">
        <v>212</v>
      </c>
      <c r="B138" s="124">
        <v>112</v>
      </c>
      <c r="C138" s="162" t="s">
        <v>1635</v>
      </c>
      <c r="D138" s="227" t="s">
        <v>583</v>
      </c>
      <c r="E138" s="128" t="s">
        <v>94</v>
      </c>
      <c r="F138" s="163" t="s">
        <v>1376</v>
      </c>
      <c r="G138" s="190" t="s">
        <v>736</v>
      </c>
      <c r="H138" s="447">
        <v>1143326398</v>
      </c>
      <c r="I138" s="455">
        <v>3952382</v>
      </c>
      <c r="J138" s="456">
        <v>23714292</v>
      </c>
      <c r="K138" s="166" t="s">
        <v>42</v>
      </c>
      <c r="L138" s="438" t="s">
        <v>42</v>
      </c>
      <c r="M138" s="194" t="s">
        <v>586</v>
      </c>
      <c r="N138" s="177" t="e" cm="1">
        <f t="array" aca="1" ref="N138" ca="1">_xlfn.XLOOKUP(Contrato5[[#This Row],[SUPERVISOR TITULAR]],[2]!PERSONAL_ACTIVO_2024[[#All],[Nombre completo]],[2]!PERSONAL_ACTIVO_2024[[#All],[Documento identidad]],"",0)</f>
        <v>#NAME?</v>
      </c>
      <c r="O138" s="194" t="s">
        <v>589</v>
      </c>
      <c r="P138" s="196" t="e" cm="1">
        <f t="array" aca="1" ref="P138" ca="1">_xlfn.XLOOKUP(Contrato5[[#This Row],[SUPERVISOR SUPLENTE ]],[2]!PERSONAL_ACTIVO_2024[[#All],[Nombre completo]],[2]!PERSONAL_ACTIVO_2024[[#All],[Documento identidad]],"",0)</f>
        <v>#NAME?</v>
      </c>
      <c r="Q138" s="208">
        <v>140</v>
      </c>
      <c r="R138" s="137" t="e" cm="1">
        <f t="array" aca="1" ref="R138" ca="1">_xlfn.XLOOKUP(Contrato5[[#This Row],[CDP]],[2]!DISPONIBILIDADES_2024[[#All],[consecutivo]],[2]!DISPONIBILIDADES_2024[[#All],[fecha_aprobacion]],"",0)</f>
        <v>#NAME?</v>
      </c>
      <c r="S138" s="138" t="e">
        <f>SUMIF([2]!DISPONIBILIDADES_2024[[#All],[consecutivo]],Contrato5[[#This Row],[CDP]],[2]!DISPONIBILIDADES_2024[[#All],[valor_total_rubro]])</f>
        <v>#REF!</v>
      </c>
      <c r="T138" s="139" t="e" cm="1">
        <f t="array" aca="1" ref="T138" ca="1">_xlfn.XLOOKUP(Contrato5[[#This Row],[CONTRATO]]&amp;Contrato5[[#This Row],[CDP]],[2]!Corr_Contr_CDP[[#All],[CONTRATO-CDP]],[2]!Corr_Contr_CDP[[#All],[CRP]],_xlfn.XLOOKUP(Contrato5[[#This Row],[CDP]],[2]!COMPROMISOS_2024[[#All],[disponibilidad]],[2]!COMPROMISOS_2024[[#All],[consecutivo]],"",0),0)</f>
        <v>#NAME?</v>
      </c>
      <c r="U138" s="140" t="e" cm="1">
        <f t="array" aca="1" ref="U138" ca="1">+_xlfn.XLOOKUP(Contrato5[[#This Row],[RCP]],[2]!COMPROMISOS_2024[[#All],[consecutivo]],[2]!COMPROMISOS_2024[[#All],[fecha_aprobacion]],"",0)</f>
        <v>#NAME?</v>
      </c>
      <c r="V138" s="141" t="e">
        <f ca="1">SUMIF([2]!COMPROMISOS_2024[[#All],[consecutivo]],Contrato5[[#This Row],[RCP]],[2]!COMPROMISOS_2024[[#All],[valor_total]])</f>
        <v>#REF!</v>
      </c>
      <c r="W138" s="415">
        <v>45337</v>
      </c>
      <c r="X138" s="415">
        <v>45338</v>
      </c>
      <c r="Y138" s="143">
        <v>45338</v>
      </c>
      <c r="Z138" s="262">
        <v>45519</v>
      </c>
      <c r="AA138" s="183" t="s">
        <v>651</v>
      </c>
      <c r="AB138" s="161" t="s">
        <v>640</v>
      </c>
      <c r="AC138" s="161"/>
      <c r="AD138" s="221">
        <v>202000003710</v>
      </c>
      <c r="AE138" s="147" t="s">
        <v>523</v>
      </c>
      <c r="AF138" s="148" t="str">
        <f>TEXT(LEFT(Contrato5[[#This Row],[CONTRATO]],3),"0")</f>
        <v>112</v>
      </c>
      <c r="AG138" s="148" t="str">
        <f>IF(LEN(Contrato5[[#This Row],[Contrato2]])=3,Contrato5[[#This Row],[Contrato2]],TEXT(Contrato5[[#This Row],[Contrato2]],"000"))</f>
        <v>112</v>
      </c>
      <c r="AH138" s="149">
        <f ca="1">IFERROR(_xlfn.DAYS(Contrato5[[#This Row],[Fecha Proyectada liquidación]],TODAY())/30,"")</f>
        <v>-3.9666666666666668</v>
      </c>
      <c r="AI138" s="150">
        <f>+Contrato5[[#This Row],[FECHA TERMINACIÓN ]]+120</f>
        <v>45639</v>
      </c>
      <c r="AJ138" s="147"/>
      <c r="AK138" s="152" t="str">
        <f ca="1">IF(Contrato5[[#This Row],[FECHA TERMINACIÓN ]]&lt;TODAY(), "Terminado",IF(ISNUMBER(Contrato5[[#This Row],[Fecha Real de liquiidación ]]),"Liquidado",IF(Contrato5[[#This Row],[FECHA TERMINACIÓN ]]&gt;=TODAY(),"En ejecución","")))</f>
        <v>Terminado</v>
      </c>
      <c r="AL138" s="153" t="e">
        <f ca="1">SUMIF([2]!COMPROMISOS_2024[[#All],[consecutivo]],Contrato5[[#This Row],[RCP]],[2]!COMPROMISOS_2024[[#All],[Total pagado]])</f>
        <v>#REF!</v>
      </c>
      <c r="AM138" s="154">
        <f ca="1">IFERROR(Contrato5[[#This Row],[Pagos]]/Contrato5[[#This Row],[VALOR CONTRATO]],0)</f>
        <v>0</v>
      </c>
      <c r="AN138" s="198" t="e">
        <f ca="1">+Contrato5[[#This Row],[VALOR CONTRATO]]-Contrato5[[#This Row],[Pagos]]</f>
        <v>#REF!</v>
      </c>
      <c r="AO138" s="147" t="e" cm="1">
        <f t="array" aca="1" ref="AO138" ca="1">_xlfn.XLOOKUP(Contrato5[[#This Row],[DOCUMENTO ]],[2]!PERSONAL_ACTIVO_2024[[#All],[Documento identidad]],[2]!PERSONAL_ACTIVO_2024[[#All],[Mail ]],0,0)</f>
        <v>#NAME?</v>
      </c>
      <c r="AP138" s="147" t="e" cm="1">
        <f t="array" aca="1" ref="AP138" ca="1">_xlfn.XLOOKUP(Contrato5[[#This Row],[DOCUMENTO]],[2]!PERSONAL_ACTIVO_2024[[#All],[Documento identidad]],[2]!PERSONAL_ACTIVO_2024[[#All],[Mail ]],0,0)</f>
        <v>#NAME?</v>
      </c>
      <c r="AQ138" s="439" cm="1">
        <f t="array" aca="1" ref="AQ138" ca="1">IF(ISBLANK(Contrato5[[#This Row],[DEPENDENCIA ]]),0,IFERROR(_xlfn.XLOOKUP(Contrato5[[#This Row],[DEPENDENCIA ]],[2]!PERSONAL_ACTIVO_2024[[#All],[Dependencia]],[2]!PERSONAL_ACTIVO_2024[[#All],[Mail ]],0,0),0))</f>
        <v>0</v>
      </c>
    </row>
    <row r="139" spans="1:43" ht="34.5" customHeight="1">
      <c r="A139" s="125">
        <v>213</v>
      </c>
      <c r="B139" s="124">
        <v>113</v>
      </c>
      <c r="C139" s="162" t="s">
        <v>1636</v>
      </c>
      <c r="D139" s="227" t="s">
        <v>583</v>
      </c>
      <c r="E139" s="128" t="s">
        <v>94</v>
      </c>
      <c r="F139" s="163" t="s">
        <v>1376</v>
      </c>
      <c r="G139" s="190" t="s">
        <v>737</v>
      </c>
      <c r="H139" s="447">
        <v>71716048</v>
      </c>
      <c r="I139" s="455">
        <v>5931149</v>
      </c>
      <c r="J139" s="456">
        <v>35586894</v>
      </c>
      <c r="K139" s="166" t="s">
        <v>42</v>
      </c>
      <c r="L139" s="438" t="s">
        <v>42</v>
      </c>
      <c r="M139" s="194" t="s">
        <v>600</v>
      </c>
      <c r="N139" s="177" t="e" cm="1">
        <f t="array" aca="1" ref="N139" ca="1">_xlfn.XLOOKUP(Contrato5[[#This Row],[SUPERVISOR TITULAR]],[2]!PERSONAL_ACTIVO_2024[[#All],[Nombre completo]],[2]!PERSONAL_ACTIVO_2024[[#All],[Documento identidad]],"",0)</f>
        <v>#NAME?</v>
      </c>
      <c r="O139" s="194" t="s">
        <v>2495</v>
      </c>
      <c r="P139" s="196" t="e" cm="1">
        <f t="array" aca="1" ref="P139" ca="1">_xlfn.XLOOKUP(Contrato5[[#This Row],[SUPERVISOR SUPLENTE ]],[2]!PERSONAL_ACTIVO_2024[[#All],[Nombre completo]],[2]!PERSONAL_ACTIVO_2024[[#All],[Documento identidad]],"",0)</f>
        <v>#NAME?</v>
      </c>
      <c r="Q139" s="208">
        <v>141</v>
      </c>
      <c r="R139" s="137" t="e" cm="1">
        <f t="array" aca="1" ref="R139" ca="1">_xlfn.XLOOKUP(Contrato5[[#This Row],[CDP]],[2]!DISPONIBILIDADES_2024[[#All],[consecutivo]],[2]!DISPONIBILIDADES_2024[[#All],[fecha_aprobacion]],"",0)</f>
        <v>#NAME?</v>
      </c>
      <c r="S139" s="138" t="e">
        <f>SUMIF([2]!DISPONIBILIDADES_2024[[#All],[consecutivo]],Contrato5[[#This Row],[CDP]],[2]!DISPONIBILIDADES_2024[[#All],[valor_total_rubro]])</f>
        <v>#REF!</v>
      </c>
      <c r="T139" s="139" t="e" cm="1">
        <f t="array" aca="1" ref="T139" ca="1">_xlfn.XLOOKUP(Contrato5[[#This Row],[CONTRATO]]&amp;Contrato5[[#This Row],[CDP]],[2]!Corr_Contr_CDP[[#All],[CONTRATO-CDP]],[2]!Corr_Contr_CDP[[#All],[CRP]],_xlfn.XLOOKUP(Contrato5[[#This Row],[CDP]],[2]!COMPROMISOS_2024[[#All],[disponibilidad]],[2]!COMPROMISOS_2024[[#All],[consecutivo]],"",0),0)</f>
        <v>#NAME?</v>
      </c>
      <c r="U139" s="140" t="e" cm="1">
        <f t="array" aca="1" ref="U139" ca="1">+_xlfn.XLOOKUP(Contrato5[[#This Row],[RCP]],[2]!COMPROMISOS_2024[[#All],[consecutivo]],[2]!COMPROMISOS_2024[[#All],[fecha_aprobacion]],"",0)</f>
        <v>#NAME?</v>
      </c>
      <c r="V139" s="141" t="e">
        <f ca="1">SUMIF([2]!COMPROMISOS_2024[[#All],[consecutivo]],Contrato5[[#This Row],[RCP]],[2]!COMPROMISOS_2024[[#All],[valor_total]])</f>
        <v>#REF!</v>
      </c>
      <c r="W139" s="415">
        <v>45336</v>
      </c>
      <c r="X139" s="415">
        <v>45337</v>
      </c>
      <c r="Y139" s="143">
        <v>45338</v>
      </c>
      <c r="Z139" s="262">
        <v>45519</v>
      </c>
      <c r="AA139" s="171" t="s">
        <v>653</v>
      </c>
      <c r="AB139" s="161" t="s">
        <v>640</v>
      </c>
      <c r="AC139" s="161"/>
      <c r="AD139" s="211">
        <v>202000003711</v>
      </c>
      <c r="AE139" s="147" t="s">
        <v>523</v>
      </c>
      <c r="AF139" s="148" t="str">
        <f>TEXT(LEFT(Contrato5[[#This Row],[CONTRATO]],3),"0")</f>
        <v>113</v>
      </c>
      <c r="AG139" s="148" t="str">
        <f>IF(LEN(Contrato5[[#This Row],[Contrato2]])=3,Contrato5[[#This Row],[Contrato2]],TEXT(Contrato5[[#This Row],[Contrato2]],"000"))</f>
        <v>113</v>
      </c>
      <c r="AH139" s="149">
        <f ca="1">IFERROR(_xlfn.DAYS(Contrato5[[#This Row],[Fecha Proyectada liquidación]],TODAY())/30,"")</f>
        <v>-3.9666666666666668</v>
      </c>
      <c r="AI139" s="150">
        <f>+Contrato5[[#This Row],[FECHA TERMINACIÓN ]]+120</f>
        <v>45639</v>
      </c>
      <c r="AJ139" s="147"/>
      <c r="AK139" s="152" t="str">
        <f ca="1">IF(Contrato5[[#This Row],[FECHA TERMINACIÓN ]]&lt;TODAY(), "Terminado",IF(ISNUMBER(Contrato5[[#This Row],[Fecha Real de liquiidación ]]),"Liquidado",IF(Contrato5[[#This Row],[FECHA TERMINACIÓN ]]&gt;=TODAY(),"En ejecución","")))</f>
        <v>Terminado</v>
      </c>
      <c r="AL139" s="153" t="e">
        <f ca="1">SUMIF([2]!COMPROMISOS_2024[[#All],[consecutivo]],Contrato5[[#This Row],[RCP]],[2]!COMPROMISOS_2024[[#All],[Total pagado]])</f>
        <v>#REF!</v>
      </c>
      <c r="AM139" s="154">
        <f ca="1">IFERROR(Contrato5[[#This Row],[Pagos]]/Contrato5[[#This Row],[VALOR CONTRATO]],0)</f>
        <v>0</v>
      </c>
      <c r="AN139" s="198" t="e">
        <f ca="1">+Contrato5[[#This Row],[VALOR CONTRATO]]-Contrato5[[#This Row],[Pagos]]</f>
        <v>#REF!</v>
      </c>
      <c r="AO139" s="147" t="e" cm="1">
        <f t="array" aca="1" ref="AO139" ca="1">_xlfn.XLOOKUP(Contrato5[[#This Row],[DOCUMENTO ]],[2]!PERSONAL_ACTIVO_2024[[#All],[Documento identidad]],[2]!PERSONAL_ACTIVO_2024[[#All],[Mail ]],0,0)</f>
        <v>#NAME?</v>
      </c>
      <c r="AP139" s="147" t="e" cm="1">
        <f t="array" aca="1" ref="AP139" ca="1">_xlfn.XLOOKUP(Contrato5[[#This Row],[DOCUMENTO]],[2]!PERSONAL_ACTIVO_2024[[#All],[Documento identidad]],[2]!PERSONAL_ACTIVO_2024[[#All],[Mail ]],0,0)</f>
        <v>#NAME?</v>
      </c>
      <c r="AQ139" s="439" cm="1">
        <f t="array" aca="1" ref="AQ139" ca="1">IF(ISBLANK(Contrato5[[#This Row],[DEPENDENCIA ]]),0,IFERROR(_xlfn.XLOOKUP(Contrato5[[#This Row],[DEPENDENCIA ]],[2]!PERSONAL_ACTIVO_2024[[#All],[Dependencia]],[2]!PERSONAL_ACTIVO_2024[[#All],[Mail ]],0,0),0))</f>
        <v>0</v>
      </c>
    </row>
    <row r="140" spans="1:43" ht="34.5" customHeight="1">
      <c r="A140" s="125">
        <v>214</v>
      </c>
      <c r="B140" s="124">
        <v>114</v>
      </c>
      <c r="C140" s="162" t="s">
        <v>1637</v>
      </c>
      <c r="D140" s="227" t="s">
        <v>583</v>
      </c>
      <c r="E140" s="128" t="s">
        <v>94</v>
      </c>
      <c r="F140" s="163" t="s">
        <v>1376</v>
      </c>
      <c r="G140" s="190" t="s">
        <v>738</v>
      </c>
      <c r="H140" s="447">
        <v>1027945251</v>
      </c>
      <c r="I140" s="455">
        <v>6920169</v>
      </c>
      <c r="J140" s="456">
        <v>41521014</v>
      </c>
      <c r="K140" s="166" t="s">
        <v>42</v>
      </c>
      <c r="L140" s="438" t="s">
        <v>42</v>
      </c>
      <c r="M140" s="194" t="s">
        <v>600</v>
      </c>
      <c r="N140" s="177" t="e" cm="1">
        <f t="array" aca="1" ref="N140" ca="1">_xlfn.XLOOKUP(Contrato5[[#This Row],[SUPERVISOR TITULAR]],[2]!PERSONAL_ACTIVO_2024[[#All],[Nombre completo]],[2]!PERSONAL_ACTIVO_2024[[#All],[Documento identidad]],"",0)</f>
        <v>#NAME?</v>
      </c>
      <c r="O140" s="194" t="s">
        <v>2495</v>
      </c>
      <c r="P140" s="196" t="e" cm="1">
        <f t="array" aca="1" ref="P140" ca="1">_xlfn.XLOOKUP(Contrato5[[#This Row],[SUPERVISOR SUPLENTE ]],[2]!PERSONAL_ACTIVO_2024[[#All],[Nombre completo]],[2]!PERSONAL_ACTIVO_2024[[#All],[Documento identidad]],"",0)</f>
        <v>#NAME?</v>
      </c>
      <c r="Q140" s="208">
        <v>142</v>
      </c>
      <c r="R140" s="137" t="e" cm="1">
        <f t="array" aca="1" ref="R140" ca="1">_xlfn.XLOOKUP(Contrato5[[#This Row],[CDP]],[2]!DISPONIBILIDADES_2024[[#All],[consecutivo]],[2]!DISPONIBILIDADES_2024[[#All],[fecha_aprobacion]],"",0)</f>
        <v>#NAME?</v>
      </c>
      <c r="S140" s="138" t="e">
        <f>SUMIF([2]!DISPONIBILIDADES_2024[[#All],[consecutivo]],Contrato5[[#This Row],[CDP]],[2]!DISPONIBILIDADES_2024[[#All],[valor_total_rubro]])</f>
        <v>#REF!</v>
      </c>
      <c r="T140" s="139" t="e" cm="1">
        <f t="array" aca="1" ref="T140" ca="1">_xlfn.XLOOKUP(Contrato5[[#This Row],[CONTRATO]]&amp;Contrato5[[#This Row],[CDP]],[2]!Corr_Contr_CDP[[#All],[CONTRATO-CDP]],[2]!Corr_Contr_CDP[[#All],[CRP]],_xlfn.XLOOKUP(Contrato5[[#This Row],[CDP]],[2]!COMPROMISOS_2024[[#All],[disponibilidad]],[2]!COMPROMISOS_2024[[#All],[consecutivo]],"",0),0)</f>
        <v>#NAME?</v>
      </c>
      <c r="U140" s="140" t="e" cm="1">
        <f t="array" aca="1" ref="U140" ca="1">+_xlfn.XLOOKUP(Contrato5[[#This Row],[RCP]],[2]!COMPROMISOS_2024[[#All],[consecutivo]],[2]!COMPROMISOS_2024[[#All],[fecha_aprobacion]],"",0)</f>
        <v>#NAME?</v>
      </c>
      <c r="V140" s="141" t="e">
        <f ca="1">SUMIF([2]!COMPROMISOS_2024[[#All],[consecutivo]],Contrato5[[#This Row],[RCP]],[2]!COMPROMISOS_2024[[#All],[valor_total]])</f>
        <v>#REF!</v>
      </c>
      <c r="W140" s="415">
        <v>45336</v>
      </c>
      <c r="X140" s="415">
        <v>45343</v>
      </c>
      <c r="Y140" s="143">
        <v>45338</v>
      </c>
      <c r="Z140" s="262">
        <v>45519</v>
      </c>
      <c r="AA140" s="171" t="s">
        <v>651</v>
      </c>
      <c r="AB140" s="161" t="s">
        <v>640</v>
      </c>
      <c r="AC140" s="161"/>
      <c r="AD140" s="211">
        <v>202000003713</v>
      </c>
      <c r="AE140" s="147" t="s">
        <v>523</v>
      </c>
      <c r="AF140" s="148" t="str">
        <f>TEXT(LEFT(Contrato5[[#This Row],[CONTRATO]],3),"0")</f>
        <v>114</v>
      </c>
      <c r="AG140" s="148" t="str">
        <f>IF(LEN(Contrato5[[#This Row],[Contrato2]])=3,Contrato5[[#This Row],[Contrato2]],TEXT(Contrato5[[#This Row],[Contrato2]],"000"))</f>
        <v>114</v>
      </c>
      <c r="AH140" s="149">
        <f ca="1">IFERROR(_xlfn.DAYS(Contrato5[[#This Row],[Fecha Proyectada liquidación]],TODAY())/30,"")</f>
        <v>-3.9666666666666668</v>
      </c>
      <c r="AI140" s="150">
        <f>+Contrato5[[#This Row],[FECHA TERMINACIÓN ]]+120</f>
        <v>45639</v>
      </c>
      <c r="AJ140" s="147"/>
      <c r="AK140" s="152" t="str">
        <f ca="1">IF(Contrato5[[#This Row],[FECHA TERMINACIÓN ]]&lt;TODAY(), "Terminado",IF(ISNUMBER(Contrato5[[#This Row],[Fecha Real de liquiidación ]]),"Liquidado",IF(Contrato5[[#This Row],[FECHA TERMINACIÓN ]]&gt;=TODAY(),"En ejecución","")))</f>
        <v>Terminado</v>
      </c>
      <c r="AL140" s="153" t="e">
        <f ca="1">SUMIF([2]!COMPROMISOS_2024[[#All],[consecutivo]],Contrato5[[#This Row],[RCP]],[2]!COMPROMISOS_2024[[#All],[Total pagado]])</f>
        <v>#REF!</v>
      </c>
      <c r="AM140" s="154">
        <f ca="1">IFERROR(Contrato5[[#This Row],[Pagos]]/Contrato5[[#This Row],[VALOR CONTRATO]],0)</f>
        <v>0</v>
      </c>
      <c r="AN140" s="198" t="e">
        <f ca="1">+Contrato5[[#This Row],[VALOR CONTRATO]]-Contrato5[[#This Row],[Pagos]]</f>
        <v>#REF!</v>
      </c>
      <c r="AO140" s="147" t="e" cm="1">
        <f t="array" aca="1" ref="AO140" ca="1">_xlfn.XLOOKUP(Contrato5[[#This Row],[DOCUMENTO ]],[2]!PERSONAL_ACTIVO_2024[[#All],[Documento identidad]],[2]!PERSONAL_ACTIVO_2024[[#All],[Mail ]],0,0)</f>
        <v>#NAME?</v>
      </c>
      <c r="AP140" s="147" t="e" cm="1">
        <f t="array" aca="1" ref="AP140" ca="1">_xlfn.XLOOKUP(Contrato5[[#This Row],[DOCUMENTO]],[2]!PERSONAL_ACTIVO_2024[[#All],[Documento identidad]],[2]!PERSONAL_ACTIVO_2024[[#All],[Mail ]],0,0)</f>
        <v>#NAME?</v>
      </c>
      <c r="AQ140" s="439" cm="1">
        <f t="array" aca="1" ref="AQ140" ca="1">IF(ISBLANK(Contrato5[[#This Row],[DEPENDENCIA ]]),0,IFERROR(_xlfn.XLOOKUP(Contrato5[[#This Row],[DEPENDENCIA ]],[2]!PERSONAL_ACTIVO_2024[[#All],[Dependencia]],[2]!PERSONAL_ACTIVO_2024[[#All],[Mail ]],0,0),0))</f>
        <v>0</v>
      </c>
    </row>
    <row r="141" spans="1:43" ht="34.5" customHeight="1">
      <c r="A141" s="125">
        <v>215</v>
      </c>
      <c r="B141" s="124">
        <v>115</v>
      </c>
      <c r="C141" s="162" t="s">
        <v>1638</v>
      </c>
      <c r="D141" s="227" t="s">
        <v>583</v>
      </c>
      <c r="E141" s="128" t="s">
        <v>94</v>
      </c>
      <c r="F141" s="163" t="s">
        <v>1376</v>
      </c>
      <c r="G141" s="190" t="s">
        <v>739</v>
      </c>
      <c r="H141" s="447">
        <v>8163337</v>
      </c>
      <c r="I141" s="455">
        <v>4908936</v>
      </c>
      <c r="J141" s="456">
        <v>29453616</v>
      </c>
      <c r="K141" s="166" t="s">
        <v>42</v>
      </c>
      <c r="L141" s="438" t="s">
        <v>42</v>
      </c>
      <c r="M141" s="194" t="s">
        <v>600</v>
      </c>
      <c r="N141" s="177" t="e" cm="1">
        <f t="array" aca="1" ref="N141" ca="1">_xlfn.XLOOKUP(Contrato5[[#This Row],[SUPERVISOR TITULAR]],[2]!PERSONAL_ACTIVO_2024[[#All],[Nombre completo]],[2]!PERSONAL_ACTIVO_2024[[#All],[Documento identidad]],"",0)</f>
        <v>#NAME?</v>
      </c>
      <c r="O141" s="194" t="s">
        <v>2495</v>
      </c>
      <c r="P141" s="196" t="e" cm="1">
        <f t="array" aca="1" ref="P141" ca="1">_xlfn.XLOOKUP(Contrato5[[#This Row],[SUPERVISOR SUPLENTE ]],[2]!PERSONAL_ACTIVO_2024[[#All],[Nombre completo]],[2]!PERSONAL_ACTIVO_2024[[#All],[Documento identidad]],"",0)</f>
        <v>#NAME?</v>
      </c>
      <c r="Q141" s="208">
        <v>143</v>
      </c>
      <c r="R141" s="137" t="e" cm="1">
        <f t="array" aca="1" ref="R141" ca="1">_xlfn.XLOOKUP(Contrato5[[#This Row],[CDP]],[2]!DISPONIBILIDADES_2024[[#All],[consecutivo]],[2]!DISPONIBILIDADES_2024[[#All],[fecha_aprobacion]],"",0)</f>
        <v>#NAME?</v>
      </c>
      <c r="S141" s="138" t="e">
        <f>SUMIF([2]!DISPONIBILIDADES_2024[[#All],[consecutivo]],Contrato5[[#This Row],[CDP]],[2]!DISPONIBILIDADES_2024[[#All],[valor_total_rubro]])</f>
        <v>#REF!</v>
      </c>
      <c r="T141" s="139" t="e" cm="1">
        <f t="array" aca="1" ref="T141" ca="1">_xlfn.XLOOKUP(Contrato5[[#This Row],[CONTRATO]]&amp;Contrato5[[#This Row],[CDP]],[2]!Corr_Contr_CDP[[#All],[CONTRATO-CDP]],[2]!Corr_Contr_CDP[[#All],[CRP]],_xlfn.XLOOKUP(Contrato5[[#This Row],[CDP]],[2]!COMPROMISOS_2024[[#All],[disponibilidad]],[2]!COMPROMISOS_2024[[#All],[consecutivo]],"",0),0)</f>
        <v>#NAME?</v>
      </c>
      <c r="U141" s="140" t="e" cm="1">
        <f t="array" aca="1" ref="U141" ca="1">+_xlfn.XLOOKUP(Contrato5[[#This Row],[RCP]],[2]!COMPROMISOS_2024[[#All],[consecutivo]],[2]!COMPROMISOS_2024[[#All],[fecha_aprobacion]],"",0)</f>
        <v>#NAME?</v>
      </c>
      <c r="V141" s="141" t="e">
        <f ca="1">SUMIF([2]!COMPROMISOS_2024[[#All],[consecutivo]],Contrato5[[#This Row],[RCP]],[2]!COMPROMISOS_2024[[#All],[valor_total]])</f>
        <v>#REF!</v>
      </c>
      <c r="W141" s="415">
        <v>45337</v>
      </c>
      <c r="X141" s="415">
        <v>45338</v>
      </c>
      <c r="Y141" s="143">
        <v>45338</v>
      </c>
      <c r="Z141" s="262">
        <v>45519</v>
      </c>
      <c r="AA141" s="171" t="s">
        <v>653</v>
      </c>
      <c r="AB141" s="161" t="s">
        <v>640</v>
      </c>
      <c r="AC141" s="161"/>
      <c r="AD141" s="211">
        <v>202000003715</v>
      </c>
      <c r="AE141" s="147" t="s">
        <v>523</v>
      </c>
      <c r="AF141" s="148" t="str">
        <f>TEXT(LEFT(Contrato5[[#This Row],[CONTRATO]],3),"0")</f>
        <v>115</v>
      </c>
      <c r="AG141" s="148" t="str">
        <f>IF(LEN(Contrato5[[#This Row],[Contrato2]])=3,Contrato5[[#This Row],[Contrato2]],TEXT(Contrato5[[#This Row],[Contrato2]],"000"))</f>
        <v>115</v>
      </c>
      <c r="AH141" s="149">
        <f ca="1">IFERROR(_xlfn.DAYS(Contrato5[[#This Row],[Fecha Proyectada liquidación]],TODAY())/30,"")</f>
        <v>-3.9666666666666668</v>
      </c>
      <c r="AI141" s="150">
        <f>+Contrato5[[#This Row],[FECHA TERMINACIÓN ]]+120</f>
        <v>45639</v>
      </c>
      <c r="AJ141" s="147"/>
      <c r="AK141" s="152" t="str">
        <f ca="1">IF(Contrato5[[#This Row],[FECHA TERMINACIÓN ]]&lt;TODAY(), "Terminado",IF(ISNUMBER(Contrato5[[#This Row],[Fecha Real de liquiidación ]]),"Liquidado",IF(Contrato5[[#This Row],[FECHA TERMINACIÓN ]]&gt;=TODAY(),"En ejecución","")))</f>
        <v>Terminado</v>
      </c>
      <c r="AL141" s="153" t="e">
        <f ca="1">SUMIF([2]!COMPROMISOS_2024[[#All],[consecutivo]],Contrato5[[#This Row],[RCP]],[2]!COMPROMISOS_2024[[#All],[Total pagado]])</f>
        <v>#REF!</v>
      </c>
      <c r="AM141" s="154">
        <f ca="1">IFERROR(Contrato5[[#This Row],[Pagos]]/Contrato5[[#This Row],[VALOR CONTRATO]],0)</f>
        <v>0</v>
      </c>
      <c r="AN141" s="198" t="e">
        <f ca="1">+Contrato5[[#This Row],[VALOR CONTRATO]]-Contrato5[[#This Row],[Pagos]]</f>
        <v>#REF!</v>
      </c>
      <c r="AO141" s="147" t="e" cm="1">
        <f t="array" aca="1" ref="AO141" ca="1">_xlfn.XLOOKUP(Contrato5[[#This Row],[DOCUMENTO ]],[2]!PERSONAL_ACTIVO_2024[[#All],[Documento identidad]],[2]!PERSONAL_ACTIVO_2024[[#All],[Mail ]],0,0)</f>
        <v>#NAME?</v>
      </c>
      <c r="AP141" s="147" t="e" cm="1">
        <f t="array" aca="1" ref="AP141" ca="1">_xlfn.XLOOKUP(Contrato5[[#This Row],[DOCUMENTO]],[2]!PERSONAL_ACTIVO_2024[[#All],[Documento identidad]],[2]!PERSONAL_ACTIVO_2024[[#All],[Mail ]],0,0)</f>
        <v>#NAME?</v>
      </c>
      <c r="AQ141" s="439" cm="1">
        <f t="array" aca="1" ref="AQ141" ca="1">IF(ISBLANK(Contrato5[[#This Row],[DEPENDENCIA ]]),0,IFERROR(_xlfn.XLOOKUP(Contrato5[[#This Row],[DEPENDENCIA ]],[2]!PERSONAL_ACTIVO_2024[[#All],[Dependencia]],[2]!PERSONAL_ACTIVO_2024[[#All],[Mail ]],0,0),0))</f>
        <v>0</v>
      </c>
    </row>
    <row r="142" spans="1:43" ht="34.5" customHeight="1">
      <c r="A142" s="125">
        <v>216</v>
      </c>
      <c r="B142" s="124">
        <v>116</v>
      </c>
      <c r="C142" s="162" t="s">
        <v>2529</v>
      </c>
      <c r="D142" s="227" t="s">
        <v>583</v>
      </c>
      <c r="E142" s="128" t="s">
        <v>94</v>
      </c>
      <c r="F142" s="163" t="s">
        <v>1376</v>
      </c>
      <c r="G142" s="190" t="s">
        <v>740</v>
      </c>
      <c r="H142" s="447">
        <v>43811085</v>
      </c>
      <c r="I142" s="455">
        <v>5931149</v>
      </c>
      <c r="J142" s="456">
        <v>35586894</v>
      </c>
      <c r="K142" s="166" t="s">
        <v>42</v>
      </c>
      <c r="L142" s="438" t="s">
        <v>42</v>
      </c>
      <c r="M142" s="194" t="s">
        <v>600</v>
      </c>
      <c r="N142" s="177" t="e" cm="1">
        <f t="array" aca="1" ref="N142" ca="1">_xlfn.XLOOKUP(Contrato5[[#This Row],[SUPERVISOR TITULAR]],[2]!PERSONAL_ACTIVO_2024[[#All],[Nombre completo]],[2]!PERSONAL_ACTIVO_2024[[#All],[Documento identidad]],"",0)</f>
        <v>#NAME?</v>
      </c>
      <c r="O142" s="194" t="s">
        <v>2495</v>
      </c>
      <c r="P142" s="196" t="e" cm="1">
        <f t="array" aca="1" ref="P142" ca="1">_xlfn.XLOOKUP(Contrato5[[#This Row],[SUPERVISOR SUPLENTE ]],[2]!PERSONAL_ACTIVO_2024[[#All],[Nombre completo]],[2]!PERSONAL_ACTIVO_2024[[#All],[Documento identidad]],"",0)</f>
        <v>#NAME?</v>
      </c>
      <c r="Q142" s="208">
        <v>144</v>
      </c>
      <c r="R142" s="137" t="e" cm="1">
        <f t="array" aca="1" ref="R142" ca="1">_xlfn.XLOOKUP(Contrato5[[#This Row],[CDP]],[2]!DISPONIBILIDADES_2024[[#All],[consecutivo]],[2]!DISPONIBILIDADES_2024[[#All],[fecha_aprobacion]],"",0)</f>
        <v>#NAME?</v>
      </c>
      <c r="S142" s="138" t="e">
        <f>SUMIF([2]!DISPONIBILIDADES_2024[[#All],[consecutivo]],Contrato5[[#This Row],[CDP]],[2]!DISPONIBILIDADES_2024[[#All],[valor_total_rubro]])</f>
        <v>#REF!</v>
      </c>
      <c r="T142" s="139" t="e" cm="1">
        <f t="array" aca="1" ref="T142" ca="1">_xlfn.XLOOKUP(Contrato5[[#This Row],[CONTRATO]]&amp;Contrato5[[#This Row],[CDP]],[2]!Corr_Contr_CDP[[#All],[CONTRATO-CDP]],[2]!Corr_Contr_CDP[[#All],[CRP]],_xlfn.XLOOKUP(Contrato5[[#This Row],[CDP]],[2]!COMPROMISOS_2024[[#All],[disponibilidad]],[2]!COMPROMISOS_2024[[#All],[consecutivo]],"",0),0)</f>
        <v>#NAME?</v>
      </c>
      <c r="U142" s="140" t="e" cm="1">
        <f t="array" aca="1" ref="U142" ca="1">+_xlfn.XLOOKUP(Contrato5[[#This Row],[RCP]],[2]!COMPROMISOS_2024[[#All],[consecutivo]],[2]!COMPROMISOS_2024[[#All],[fecha_aprobacion]],"",0)</f>
        <v>#NAME?</v>
      </c>
      <c r="V142" s="141" t="e">
        <f ca="1">SUMIF([2]!COMPROMISOS_2024[[#All],[consecutivo]],Contrato5[[#This Row],[RCP]],[2]!COMPROMISOS_2024[[#All],[valor_total]])</f>
        <v>#REF!</v>
      </c>
      <c r="W142" s="415">
        <v>45337</v>
      </c>
      <c r="X142" s="415">
        <v>45337</v>
      </c>
      <c r="Y142" s="143">
        <v>45338</v>
      </c>
      <c r="Z142" s="262">
        <v>45519</v>
      </c>
      <c r="AA142" s="171" t="s">
        <v>653</v>
      </c>
      <c r="AB142" s="161" t="s">
        <v>640</v>
      </c>
      <c r="AC142" s="161"/>
      <c r="AD142" s="211">
        <v>202000003716</v>
      </c>
      <c r="AE142" s="147" t="s">
        <v>523</v>
      </c>
      <c r="AF142" s="148" t="str">
        <f>TEXT(LEFT(Contrato5[[#This Row],[CONTRATO]],3),"0")</f>
        <v>116</v>
      </c>
      <c r="AG142" s="148" t="str">
        <f>IF(LEN(Contrato5[[#This Row],[Contrato2]])=3,Contrato5[[#This Row],[Contrato2]],TEXT(Contrato5[[#This Row],[Contrato2]],"000"))</f>
        <v>116</v>
      </c>
      <c r="AH142" s="149">
        <f ca="1">IFERROR(_xlfn.DAYS(Contrato5[[#This Row],[Fecha Proyectada liquidación]],TODAY())/30,"")</f>
        <v>-3.9666666666666668</v>
      </c>
      <c r="AI142" s="150">
        <f>+Contrato5[[#This Row],[FECHA TERMINACIÓN ]]+120</f>
        <v>45639</v>
      </c>
      <c r="AJ142" s="147"/>
      <c r="AK142" s="152" t="str">
        <f ca="1">IF(Contrato5[[#This Row],[FECHA TERMINACIÓN ]]&lt;TODAY(), "Terminado",IF(ISNUMBER(Contrato5[[#This Row],[Fecha Real de liquiidación ]]),"Liquidado",IF(Contrato5[[#This Row],[FECHA TERMINACIÓN ]]&gt;=TODAY(),"En ejecución","")))</f>
        <v>Terminado</v>
      </c>
      <c r="AL142" s="153" t="e">
        <f ca="1">SUMIF([2]!COMPROMISOS_2024[[#All],[consecutivo]],Contrato5[[#This Row],[RCP]],[2]!COMPROMISOS_2024[[#All],[Total pagado]])</f>
        <v>#REF!</v>
      </c>
      <c r="AM142" s="154">
        <f ca="1">IFERROR(Contrato5[[#This Row],[Pagos]]/Contrato5[[#This Row],[VALOR CONTRATO]],0)</f>
        <v>0</v>
      </c>
      <c r="AN142" s="198" t="e">
        <f ca="1">+Contrato5[[#This Row],[VALOR CONTRATO]]-Contrato5[[#This Row],[Pagos]]</f>
        <v>#REF!</v>
      </c>
      <c r="AO142" s="147" t="e" cm="1">
        <f t="array" aca="1" ref="AO142" ca="1">_xlfn.XLOOKUP(Contrato5[[#This Row],[DOCUMENTO ]],[2]!PERSONAL_ACTIVO_2024[[#All],[Documento identidad]],[2]!PERSONAL_ACTIVO_2024[[#All],[Mail ]],0,0)</f>
        <v>#NAME?</v>
      </c>
      <c r="AP142" s="147" t="e" cm="1">
        <f t="array" aca="1" ref="AP142" ca="1">_xlfn.XLOOKUP(Contrato5[[#This Row],[DOCUMENTO]],[2]!PERSONAL_ACTIVO_2024[[#All],[Documento identidad]],[2]!PERSONAL_ACTIVO_2024[[#All],[Mail ]],0,0)</f>
        <v>#NAME?</v>
      </c>
      <c r="AQ142" s="439" cm="1">
        <f t="array" aca="1" ref="AQ142" ca="1">IF(ISBLANK(Contrato5[[#This Row],[DEPENDENCIA ]]),0,IFERROR(_xlfn.XLOOKUP(Contrato5[[#This Row],[DEPENDENCIA ]],[2]!PERSONAL_ACTIVO_2024[[#All],[Dependencia]],[2]!PERSONAL_ACTIVO_2024[[#All],[Mail ]],0,0),0))</f>
        <v>0</v>
      </c>
    </row>
    <row r="143" spans="1:43" ht="34.5" customHeight="1">
      <c r="A143" s="125">
        <v>217</v>
      </c>
      <c r="B143" s="124">
        <v>117</v>
      </c>
      <c r="C143" s="162" t="s">
        <v>1640</v>
      </c>
      <c r="D143" s="227" t="s">
        <v>583</v>
      </c>
      <c r="E143" s="128" t="s">
        <v>94</v>
      </c>
      <c r="F143" s="163" t="s">
        <v>1376</v>
      </c>
      <c r="G143" s="190" t="s">
        <v>741</v>
      </c>
      <c r="H143" s="447">
        <v>1128420951</v>
      </c>
      <c r="I143" s="455">
        <v>3952382</v>
      </c>
      <c r="J143" s="456">
        <v>23714292</v>
      </c>
      <c r="K143" s="166" t="s">
        <v>42</v>
      </c>
      <c r="L143" s="438" t="s">
        <v>42</v>
      </c>
      <c r="M143" s="194" t="s">
        <v>586</v>
      </c>
      <c r="N143" s="177" t="e" cm="1">
        <f t="array" aca="1" ref="N143" ca="1">_xlfn.XLOOKUP(Contrato5[[#This Row],[SUPERVISOR TITULAR]],[2]!PERSONAL_ACTIVO_2024[[#All],[Nombre completo]],[2]!PERSONAL_ACTIVO_2024[[#All],[Documento identidad]],"",0)</f>
        <v>#NAME?</v>
      </c>
      <c r="O143" s="194" t="s">
        <v>589</v>
      </c>
      <c r="P143" s="196" t="e" cm="1">
        <f t="array" aca="1" ref="P143" ca="1">_xlfn.XLOOKUP(Contrato5[[#This Row],[SUPERVISOR SUPLENTE ]],[2]!PERSONAL_ACTIVO_2024[[#All],[Nombre completo]],[2]!PERSONAL_ACTIVO_2024[[#All],[Documento identidad]],"",0)</f>
        <v>#NAME?</v>
      </c>
      <c r="Q143" s="208">
        <v>145</v>
      </c>
      <c r="R143" s="137" t="e" cm="1">
        <f t="array" aca="1" ref="R143" ca="1">_xlfn.XLOOKUP(Contrato5[[#This Row],[CDP]],[2]!DISPONIBILIDADES_2024[[#All],[consecutivo]],[2]!DISPONIBILIDADES_2024[[#All],[fecha_aprobacion]],"",0)</f>
        <v>#NAME?</v>
      </c>
      <c r="S143" s="138" t="e">
        <f>SUMIF([2]!DISPONIBILIDADES_2024[[#All],[consecutivo]],Contrato5[[#This Row],[CDP]],[2]!DISPONIBILIDADES_2024[[#All],[valor_total_rubro]])</f>
        <v>#REF!</v>
      </c>
      <c r="T143" s="139" t="e" cm="1">
        <f t="array" aca="1" ref="T143" ca="1">_xlfn.XLOOKUP(Contrato5[[#This Row],[CONTRATO]]&amp;Contrato5[[#This Row],[CDP]],[2]!Corr_Contr_CDP[[#All],[CONTRATO-CDP]],[2]!Corr_Contr_CDP[[#All],[CRP]],_xlfn.XLOOKUP(Contrato5[[#This Row],[CDP]],[2]!COMPROMISOS_2024[[#All],[disponibilidad]],[2]!COMPROMISOS_2024[[#All],[consecutivo]],"",0),0)</f>
        <v>#NAME?</v>
      </c>
      <c r="U143" s="140" t="e" cm="1">
        <f t="array" aca="1" ref="U143" ca="1">+_xlfn.XLOOKUP(Contrato5[[#This Row],[RCP]],[2]!COMPROMISOS_2024[[#All],[consecutivo]],[2]!COMPROMISOS_2024[[#All],[fecha_aprobacion]],"",0)</f>
        <v>#NAME?</v>
      </c>
      <c r="V143" s="141" t="e">
        <f ca="1">SUMIF([2]!COMPROMISOS_2024[[#All],[consecutivo]],Contrato5[[#This Row],[RCP]],[2]!COMPROMISOS_2024[[#All],[valor_total]])</f>
        <v>#REF!</v>
      </c>
      <c r="W143" s="415">
        <v>45338</v>
      </c>
      <c r="X143" s="415">
        <v>45338</v>
      </c>
      <c r="Y143" s="143">
        <v>45338</v>
      </c>
      <c r="Z143" s="262">
        <v>45519</v>
      </c>
      <c r="AA143" s="171" t="s">
        <v>653</v>
      </c>
      <c r="AB143" s="161" t="s">
        <v>640</v>
      </c>
      <c r="AC143" s="161"/>
      <c r="AD143" s="211">
        <v>202000003722</v>
      </c>
      <c r="AE143" s="147" t="s">
        <v>523</v>
      </c>
      <c r="AF143" s="148" t="str">
        <f>TEXT(LEFT(Contrato5[[#This Row],[CONTRATO]],3),"0")</f>
        <v>117</v>
      </c>
      <c r="AG143" s="148" t="str">
        <f>IF(LEN(Contrato5[[#This Row],[Contrato2]])=3,Contrato5[[#This Row],[Contrato2]],TEXT(Contrato5[[#This Row],[Contrato2]],"000"))</f>
        <v>117</v>
      </c>
      <c r="AH143" s="149">
        <f ca="1">IFERROR(_xlfn.DAYS(Contrato5[[#This Row],[Fecha Proyectada liquidación]],TODAY())/30,"")</f>
        <v>-3.9666666666666668</v>
      </c>
      <c r="AI143" s="150">
        <f>+Contrato5[[#This Row],[FECHA TERMINACIÓN ]]+120</f>
        <v>45639</v>
      </c>
      <c r="AJ143" s="147"/>
      <c r="AK143" s="152" t="str">
        <f ca="1">IF(Contrato5[[#This Row],[FECHA TERMINACIÓN ]]&lt;TODAY(), "Terminado",IF(ISNUMBER(Contrato5[[#This Row],[Fecha Real de liquiidación ]]),"Liquidado",IF(Contrato5[[#This Row],[FECHA TERMINACIÓN ]]&gt;=TODAY(),"En ejecución","")))</f>
        <v>Terminado</v>
      </c>
      <c r="AL143" s="153" t="e">
        <f ca="1">SUMIF([2]!COMPROMISOS_2024[[#All],[consecutivo]],Contrato5[[#This Row],[RCP]],[2]!COMPROMISOS_2024[[#All],[Total pagado]])</f>
        <v>#REF!</v>
      </c>
      <c r="AM143" s="154">
        <f ca="1">IFERROR(Contrato5[[#This Row],[Pagos]]/Contrato5[[#This Row],[VALOR CONTRATO]],0)</f>
        <v>0</v>
      </c>
      <c r="AN143" s="198" t="e">
        <f ca="1">+Contrato5[[#This Row],[VALOR CONTRATO]]-Contrato5[[#This Row],[Pagos]]</f>
        <v>#REF!</v>
      </c>
      <c r="AO143" s="147" t="e" cm="1">
        <f t="array" aca="1" ref="AO143" ca="1">_xlfn.XLOOKUP(Contrato5[[#This Row],[DOCUMENTO ]],[2]!PERSONAL_ACTIVO_2024[[#All],[Documento identidad]],[2]!PERSONAL_ACTIVO_2024[[#All],[Mail ]],0,0)</f>
        <v>#NAME?</v>
      </c>
      <c r="AP143" s="147" t="e" cm="1">
        <f t="array" aca="1" ref="AP143" ca="1">_xlfn.XLOOKUP(Contrato5[[#This Row],[DOCUMENTO]],[2]!PERSONAL_ACTIVO_2024[[#All],[Documento identidad]],[2]!PERSONAL_ACTIVO_2024[[#All],[Mail ]],0,0)</f>
        <v>#NAME?</v>
      </c>
      <c r="AQ143" s="439" cm="1">
        <f t="array" aca="1" ref="AQ143" ca="1">IF(ISBLANK(Contrato5[[#This Row],[DEPENDENCIA ]]),0,IFERROR(_xlfn.XLOOKUP(Contrato5[[#This Row],[DEPENDENCIA ]],[2]!PERSONAL_ACTIVO_2024[[#All],[Dependencia]],[2]!PERSONAL_ACTIVO_2024[[#All],[Mail ]],0,0),0))</f>
        <v>0</v>
      </c>
    </row>
    <row r="144" spans="1:43" ht="34.5" customHeight="1">
      <c r="A144" s="125">
        <v>218</v>
      </c>
      <c r="B144" s="124">
        <v>118</v>
      </c>
      <c r="C144" s="162" t="s">
        <v>1641</v>
      </c>
      <c r="D144" s="227" t="s">
        <v>583</v>
      </c>
      <c r="E144" s="128" t="s">
        <v>94</v>
      </c>
      <c r="F144" s="163" t="s">
        <v>1376</v>
      </c>
      <c r="G144" s="190" t="s">
        <v>742</v>
      </c>
      <c r="H144" s="447">
        <v>1047449090</v>
      </c>
      <c r="I144" s="455">
        <v>3952382</v>
      </c>
      <c r="J144" s="456">
        <v>23714292</v>
      </c>
      <c r="K144" s="166" t="s">
        <v>42</v>
      </c>
      <c r="L144" s="438" t="s">
        <v>42</v>
      </c>
      <c r="M144" s="194" t="s">
        <v>586</v>
      </c>
      <c r="N144" s="177" t="e" cm="1">
        <f t="array" aca="1" ref="N144" ca="1">_xlfn.XLOOKUP(Contrato5[[#This Row],[SUPERVISOR TITULAR]],[2]!PERSONAL_ACTIVO_2024[[#All],[Nombre completo]],[2]!PERSONAL_ACTIVO_2024[[#All],[Documento identidad]],"",0)</f>
        <v>#NAME?</v>
      </c>
      <c r="O144" s="194" t="s">
        <v>589</v>
      </c>
      <c r="P144" s="196" t="e" cm="1">
        <f t="array" aca="1" ref="P144" ca="1">_xlfn.XLOOKUP(Contrato5[[#This Row],[SUPERVISOR SUPLENTE ]],[2]!PERSONAL_ACTIVO_2024[[#All],[Nombre completo]],[2]!PERSONAL_ACTIVO_2024[[#All],[Documento identidad]],"",0)</f>
        <v>#NAME?</v>
      </c>
      <c r="Q144" s="208">
        <v>146</v>
      </c>
      <c r="R144" s="137" t="e" cm="1">
        <f t="array" aca="1" ref="R144" ca="1">_xlfn.XLOOKUP(Contrato5[[#This Row],[CDP]],[2]!DISPONIBILIDADES_2024[[#All],[consecutivo]],[2]!DISPONIBILIDADES_2024[[#All],[fecha_aprobacion]],"",0)</f>
        <v>#NAME?</v>
      </c>
      <c r="S144" s="138" t="e">
        <f>SUMIF([2]!DISPONIBILIDADES_2024[[#All],[consecutivo]],Contrato5[[#This Row],[CDP]],[2]!DISPONIBILIDADES_2024[[#All],[valor_total_rubro]])</f>
        <v>#REF!</v>
      </c>
      <c r="T144" s="139" t="e" cm="1">
        <f t="array" aca="1" ref="T144" ca="1">_xlfn.XLOOKUP(Contrato5[[#This Row],[CONTRATO]]&amp;Contrato5[[#This Row],[CDP]],[2]!Corr_Contr_CDP[[#All],[CONTRATO-CDP]],[2]!Corr_Contr_CDP[[#All],[CRP]],_xlfn.XLOOKUP(Contrato5[[#This Row],[CDP]],[2]!COMPROMISOS_2024[[#All],[disponibilidad]],[2]!COMPROMISOS_2024[[#All],[consecutivo]],"",0),0)</f>
        <v>#NAME?</v>
      </c>
      <c r="U144" s="140" t="e" cm="1">
        <f t="array" aca="1" ref="U144" ca="1">+_xlfn.XLOOKUP(Contrato5[[#This Row],[RCP]],[2]!COMPROMISOS_2024[[#All],[consecutivo]],[2]!COMPROMISOS_2024[[#All],[fecha_aprobacion]],"",0)</f>
        <v>#NAME?</v>
      </c>
      <c r="V144" s="141" t="e">
        <f ca="1">SUMIF([2]!COMPROMISOS_2024[[#All],[consecutivo]],Contrato5[[#This Row],[RCP]],[2]!COMPROMISOS_2024[[#All],[valor_total]])</f>
        <v>#REF!</v>
      </c>
      <c r="W144" s="415">
        <v>45337</v>
      </c>
      <c r="X144" s="415">
        <v>45338</v>
      </c>
      <c r="Y144" s="143">
        <v>45338</v>
      </c>
      <c r="Z144" s="262">
        <v>45519</v>
      </c>
      <c r="AA144" s="183" t="s">
        <v>651</v>
      </c>
      <c r="AB144" s="161" t="s">
        <v>640</v>
      </c>
      <c r="AC144" s="161"/>
      <c r="AD144" s="211">
        <v>202000003724</v>
      </c>
      <c r="AE144" s="147" t="s">
        <v>523</v>
      </c>
      <c r="AF144" s="148" t="str">
        <f>TEXT(LEFT(Contrato5[[#This Row],[CONTRATO]],3),"0")</f>
        <v>118</v>
      </c>
      <c r="AG144" s="148" t="str">
        <f>IF(LEN(Contrato5[[#This Row],[Contrato2]])=3,Contrato5[[#This Row],[Contrato2]],TEXT(Contrato5[[#This Row],[Contrato2]],"000"))</f>
        <v>118</v>
      </c>
      <c r="AH144" s="149">
        <f ca="1">IFERROR(_xlfn.DAYS(Contrato5[[#This Row],[Fecha Proyectada liquidación]],TODAY())/30,"")</f>
        <v>-3.9666666666666668</v>
      </c>
      <c r="AI144" s="150">
        <f>+Contrato5[[#This Row],[FECHA TERMINACIÓN ]]+120</f>
        <v>45639</v>
      </c>
      <c r="AJ144" s="147"/>
      <c r="AK144" s="152" t="str">
        <f ca="1">IF(Contrato5[[#This Row],[FECHA TERMINACIÓN ]]&lt;TODAY(), "Terminado",IF(ISNUMBER(Contrato5[[#This Row],[Fecha Real de liquiidación ]]),"Liquidado",IF(Contrato5[[#This Row],[FECHA TERMINACIÓN ]]&gt;=TODAY(),"En ejecución","")))</f>
        <v>Terminado</v>
      </c>
      <c r="AL144" s="153" t="e">
        <f ca="1">SUMIF([2]!COMPROMISOS_2024[[#All],[consecutivo]],Contrato5[[#This Row],[RCP]],[2]!COMPROMISOS_2024[[#All],[Total pagado]])</f>
        <v>#REF!</v>
      </c>
      <c r="AM144" s="154">
        <f ca="1">IFERROR(Contrato5[[#This Row],[Pagos]]/Contrato5[[#This Row],[VALOR CONTRATO]],0)</f>
        <v>0</v>
      </c>
      <c r="AN144" s="198" t="e">
        <f ca="1">+Contrato5[[#This Row],[VALOR CONTRATO]]-Contrato5[[#This Row],[Pagos]]</f>
        <v>#REF!</v>
      </c>
      <c r="AO144" s="147" t="e" cm="1">
        <f t="array" aca="1" ref="AO144" ca="1">_xlfn.XLOOKUP(Contrato5[[#This Row],[DOCUMENTO ]],[2]!PERSONAL_ACTIVO_2024[[#All],[Documento identidad]],[2]!PERSONAL_ACTIVO_2024[[#All],[Mail ]],0,0)</f>
        <v>#NAME?</v>
      </c>
      <c r="AP144" s="147" t="e" cm="1">
        <f t="array" aca="1" ref="AP144" ca="1">_xlfn.XLOOKUP(Contrato5[[#This Row],[DOCUMENTO]],[2]!PERSONAL_ACTIVO_2024[[#All],[Documento identidad]],[2]!PERSONAL_ACTIVO_2024[[#All],[Mail ]],0,0)</f>
        <v>#NAME?</v>
      </c>
      <c r="AQ144" s="439" cm="1">
        <f t="array" aca="1" ref="AQ144" ca="1">IF(ISBLANK(Contrato5[[#This Row],[DEPENDENCIA ]]),0,IFERROR(_xlfn.XLOOKUP(Contrato5[[#This Row],[DEPENDENCIA ]],[2]!PERSONAL_ACTIVO_2024[[#All],[Dependencia]],[2]!PERSONAL_ACTIVO_2024[[#All],[Mail ]],0,0),0))</f>
        <v>0</v>
      </c>
    </row>
    <row r="145" spans="1:43" ht="34.5" customHeight="1">
      <c r="A145" s="125">
        <v>219</v>
      </c>
      <c r="B145" s="124">
        <v>119</v>
      </c>
      <c r="C145" s="162" t="s">
        <v>1642</v>
      </c>
      <c r="D145" s="227" t="s">
        <v>583</v>
      </c>
      <c r="E145" s="128" t="s">
        <v>94</v>
      </c>
      <c r="F145" s="163" t="s">
        <v>1376</v>
      </c>
      <c r="G145" s="190" t="s">
        <v>743</v>
      </c>
      <c r="H145" s="447">
        <v>15483073</v>
      </c>
      <c r="I145" s="455">
        <v>5931149</v>
      </c>
      <c r="J145" s="456">
        <v>35586894</v>
      </c>
      <c r="K145" s="166" t="s">
        <v>42</v>
      </c>
      <c r="L145" s="438" t="s">
        <v>42</v>
      </c>
      <c r="M145" s="194" t="s">
        <v>600</v>
      </c>
      <c r="N145" s="177" t="e" cm="1">
        <f t="array" aca="1" ref="N145" ca="1">_xlfn.XLOOKUP(Contrato5[[#This Row],[SUPERVISOR TITULAR]],[2]!PERSONAL_ACTIVO_2024[[#All],[Nombre completo]],[2]!PERSONAL_ACTIVO_2024[[#All],[Documento identidad]],"",0)</f>
        <v>#NAME?</v>
      </c>
      <c r="O145" s="194" t="s">
        <v>2495</v>
      </c>
      <c r="P145" s="196" t="e" cm="1">
        <f t="array" aca="1" ref="P145" ca="1">_xlfn.XLOOKUP(Contrato5[[#This Row],[SUPERVISOR SUPLENTE ]],[2]!PERSONAL_ACTIVO_2024[[#All],[Nombre completo]],[2]!PERSONAL_ACTIVO_2024[[#All],[Documento identidad]],"",0)</f>
        <v>#NAME?</v>
      </c>
      <c r="Q145" s="208">
        <v>147</v>
      </c>
      <c r="R145" s="137" t="e" cm="1">
        <f t="array" aca="1" ref="R145" ca="1">_xlfn.XLOOKUP(Contrato5[[#This Row],[CDP]],[2]!DISPONIBILIDADES_2024[[#All],[consecutivo]],[2]!DISPONIBILIDADES_2024[[#All],[fecha_aprobacion]],"",0)</f>
        <v>#NAME?</v>
      </c>
      <c r="S145" s="138" t="e">
        <f>SUMIF([2]!DISPONIBILIDADES_2024[[#All],[consecutivo]],Contrato5[[#This Row],[CDP]],[2]!DISPONIBILIDADES_2024[[#All],[valor_total_rubro]])</f>
        <v>#REF!</v>
      </c>
      <c r="T145" s="139" t="e" cm="1">
        <f t="array" aca="1" ref="T145" ca="1">_xlfn.XLOOKUP(Contrato5[[#This Row],[CONTRATO]]&amp;Contrato5[[#This Row],[CDP]],[2]!Corr_Contr_CDP[[#All],[CONTRATO-CDP]],[2]!Corr_Contr_CDP[[#All],[CRP]],_xlfn.XLOOKUP(Contrato5[[#This Row],[CDP]],[2]!COMPROMISOS_2024[[#All],[disponibilidad]],[2]!COMPROMISOS_2024[[#All],[consecutivo]],"",0),0)</f>
        <v>#NAME?</v>
      </c>
      <c r="U145" s="140" t="e" cm="1">
        <f t="array" aca="1" ref="U145" ca="1">+_xlfn.XLOOKUP(Contrato5[[#This Row],[RCP]],[2]!COMPROMISOS_2024[[#All],[consecutivo]],[2]!COMPROMISOS_2024[[#All],[fecha_aprobacion]],"",0)</f>
        <v>#NAME?</v>
      </c>
      <c r="V145" s="141" t="e">
        <f ca="1">SUMIF([2]!COMPROMISOS_2024[[#All],[consecutivo]],Contrato5[[#This Row],[RCP]],[2]!COMPROMISOS_2024[[#All],[valor_total]])</f>
        <v>#REF!</v>
      </c>
      <c r="W145" s="415">
        <v>45337</v>
      </c>
      <c r="X145" s="415">
        <v>45338</v>
      </c>
      <c r="Y145" s="143">
        <v>45338</v>
      </c>
      <c r="Z145" s="262">
        <v>45519</v>
      </c>
      <c r="AA145" s="171" t="s">
        <v>651</v>
      </c>
      <c r="AB145" s="161" t="s">
        <v>640</v>
      </c>
      <c r="AC145" s="161"/>
      <c r="AD145" s="211">
        <v>202000003725</v>
      </c>
      <c r="AE145" s="147" t="s">
        <v>523</v>
      </c>
      <c r="AF145" s="148" t="str">
        <f>TEXT(LEFT(Contrato5[[#This Row],[CONTRATO]],3),"0")</f>
        <v>119</v>
      </c>
      <c r="AG145" s="148" t="str">
        <f>IF(LEN(Contrato5[[#This Row],[Contrato2]])=3,Contrato5[[#This Row],[Contrato2]],TEXT(Contrato5[[#This Row],[Contrato2]],"000"))</f>
        <v>119</v>
      </c>
      <c r="AH145" s="149">
        <f ca="1">IFERROR(_xlfn.DAYS(Contrato5[[#This Row],[Fecha Proyectada liquidación]],TODAY())/30,"")</f>
        <v>-3.9666666666666668</v>
      </c>
      <c r="AI145" s="150">
        <f>+Contrato5[[#This Row],[FECHA TERMINACIÓN ]]+120</f>
        <v>45639</v>
      </c>
      <c r="AJ145" s="147"/>
      <c r="AK145" s="152" t="str">
        <f ca="1">IF(Contrato5[[#This Row],[FECHA TERMINACIÓN ]]&lt;TODAY(), "Terminado",IF(ISNUMBER(Contrato5[[#This Row],[Fecha Real de liquiidación ]]),"Liquidado",IF(Contrato5[[#This Row],[FECHA TERMINACIÓN ]]&gt;=TODAY(),"En ejecución","")))</f>
        <v>Terminado</v>
      </c>
      <c r="AL145" s="153" t="e">
        <f ca="1">SUMIF([2]!COMPROMISOS_2024[[#All],[consecutivo]],Contrato5[[#This Row],[RCP]],[2]!COMPROMISOS_2024[[#All],[Total pagado]])</f>
        <v>#REF!</v>
      </c>
      <c r="AM145" s="154">
        <f ca="1">IFERROR(Contrato5[[#This Row],[Pagos]]/Contrato5[[#This Row],[VALOR CONTRATO]],0)</f>
        <v>0</v>
      </c>
      <c r="AN145" s="198" t="e">
        <f ca="1">+Contrato5[[#This Row],[VALOR CONTRATO]]-Contrato5[[#This Row],[Pagos]]</f>
        <v>#REF!</v>
      </c>
      <c r="AO145" s="147" t="e" cm="1">
        <f t="array" aca="1" ref="AO145" ca="1">_xlfn.XLOOKUP(Contrato5[[#This Row],[DOCUMENTO ]],[2]!PERSONAL_ACTIVO_2024[[#All],[Documento identidad]],[2]!PERSONAL_ACTIVO_2024[[#All],[Mail ]],0,0)</f>
        <v>#NAME?</v>
      </c>
      <c r="AP145" s="147" t="e" cm="1">
        <f t="array" aca="1" ref="AP145" ca="1">_xlfn.XLOOKUP(Contrato5[[#This Row],[DOCUMENTO]],[2]!PERSONAL_ACTIVO_2024[[#All],[Documento identidad]],[2]!PERSONAL_ACTIVO_2024[[#All],[Mail ]],0,0)</f>
        <v>#NAME?</v>
      </c>
      <c r="AQ145" s="439" cm="1">
        <f t="array" aca="1" ref="AQ145" ca="1">IF(ISBLANK(Contrato5[[#This Row],[DEPENDENCIA ]]),0,IFERROR(_xlfn.XLOOKUP(Contrato5[[#This Row],[DEPENDENCIA ]],[2]!PERSONAL_ACTIVO_2024[[#All],[Dependencia]],[2]!PERSONAL_ACTIVO_2024[[#All],[Mail ]],0,0),0))</f>
        <v>0</v>
      </c>
    </row>
    <row r="146" spans="1:43" ht="34.5" customHeight="1">
      <c r="A146" s="125">
        <v>220</v>
      </c>
      <c r="B146" s="124">
        <v>120</v>
      </c>
      <c r="C146" s="162" t="s">
        <v>2530</v>
      </c>
      <c r="D146" s="227" t="s">
        <v>583</v>
      </c>
      <c r="E146" s="128" t="s">
        <v>94</v>
      </c>
      <c r="F146" s="163" t="s">
        <v>1376</v>
      </c>
      <c r="G146" s="190" t="s">
        <v>744</v>
      </c>
      <c r="H146" s="447">
        <v>98632774</v>
      </c>
      <c r="I146" s="455">
        <v>4908936</v>
      </c>
      <c r="J146" s="456">
        <v>29453616</v>
      </c>
      <c r="K146" s="166" t="s">
        <v>42</v>
      </c>
      <c r="L146" s="438" t="s">
        <v>42</v>
      </c>
      <c r="M146" s="194" t="s">
        <v>600</v>
      </c>
      <c r="N146" s="177" t="e" cm="1">
        <f t="array" aca="1" ref="N146" ca="1">_xlfn.XLOOKUP(Contrato5[[#This Row],[SUPERVISOR TITULAR]],[2]!PERSONAL_ACTIVO_2024[[#All],[Nombre completo]],[2]!PERSONAL_ACTIVO_2024[[#All],[Documento identidad]],"",0)</f>
        <v>#NAME?</v>
      </c>
      <c r="O146" s="194" t="s">
        <v>2495</v>
      </c>
      <c r="P146" s="196" t="e" cm="1">
        <f t="array" aca="1" ref="P146" ca="1">_xlfn.XLOOKUP(Contrato5[[#This Row],[SUPERVISOR SUPLENTE ]],[2]!PERSONAL_ACTIVO_2024[[#All],[Nombre completo]],[2]!PERSONAL_ACTIVO_2024[[#All],[Documento identidad]],"",0)</f>
        <v>#NAME?</v>
      </c>
      <c r="Q146" s="170">
        <v>148</v>
      </c>
      <c r="R146" s="137" t="e" cm="1">
        <f t="array" aca="1" ref="R146" ca="1">_xlfn.XLOOKUP(Contrato5[[#This Row],[CDP]],[2]!DISPONIBILIDADES_2024[[#All],[consecutivo]],[2]!DISPONIBILIDADES_2024[[#All],[fecha_aprobacion]],"",0)</f>
        <v>#NAME?</v>
      </c>
      <c r="S146" s="138" t="e">
        <f>SUMIF([2]!DISPONIBILIDADES_2024[[#All],[consecutivo]],Contrato5[[#This Row],[CDP]],[2]!DISPONIBILIDADES_2024[[#All],[valor_total_rubro]])</f>
        <v>#REF!</v>
      </c>
      <c r="T146" s="139" t="e" cm="1">
        <f t="array" aca="1" ref="T146" ca="1">_xlfn.XLOOKUP(Contrato5[[#This Row],[CONTRATO]]&amp;Contrato5[[#This Row],[CDP]],[2]!Corr_Contr_CDP[[#All],[CONTRATO-CDP]],[2]!Corr_Contr_CDP[[#All],[CRP]],_xlfn.XLOOKUP(Contrato5[[#This Row],[CDP]],[2]!COMPROMISOS_2024[[#All],[disponibilidad]],[2]!COMPROMISOS_2024[[#All],[consecutivo]],"",0),0)</f>
        <v>#NAME?</v>
      </c>
      <c r="U146" s="140" t="e" cm="1">
        <f t="array" aca="1" ref="U146" ca="1">+_xlfn.XLOOKUP(Contrato5[[#This Row],[RCP]],[2]!COMPROMISOS_2024[[#All],[consecutivo]],[2]!COMPROMISOS_2024[[#All],[fecha_aprobacion]],"",0)</f>
        <v>#NAME?</v>
      </c>
      <c r="V146" s="141" t="e">
        <f ca="1">SUMIF([2]!COMPROMISOS_2024[[#All],[consecutivo]],Contrato5[[#This Row],[RCP]],[2]!COMPROMISOS_2024[[#All],[valor_total]])</f>
        <v>#REF!</v>
      </c>
      <c r="W146" s="415">
        <v>45337</v>
      </c>
      <c r="X146" s="415">
        <v>45338</v>
      </c>
      <c r="Y146" s="143">
        <v>45338</v>
      </c>
      <c r="Z146" s="262">
        <v>45519</v>
      </c>
      <c r="AA146" s="171" t="s">
        <v>653</v>
      </c>
      <c r="AB146" s="161" t="s">
        <v>640</v>
      </c>
      <c r="AC146" s="161"/>
      <c r="AD146" s="211">
        <v>202000003726</v>
      </c>
      <c r="AE146" s="147" t="s">
        <v>523</v>
      </c>
      <c r="AF146" s="148" t="str">
        <f>TEXT(LEFT(Contrato5[[#This Row],[CONTRATO]],3),"0")</f>
        <v>120</v>
      </c>
      <c r="AG146" s="148" t="str">
        <f>IF(LEN(Contrato5[[#This Row],[Contrato2]])=3,Contrato5[[#This Row],[Contrato2]],TEXT(Contrato5[[#This Row],[Contrato2]],"000"))</f>
        <v>120</v>
      </c>
      <c r="AH146" s="149">
        <f ca="1">IFERROR(_xlfn.DAYS(Contrato5[[#This Row],[Fecha Proyectada liquidación]],TODAY())/30,"")</f>
        <v>-3.9666666666666668</v>
      </c>
      <c r="AI146" s="150">
        <f>+Contrato5[[#This Row],[FECHA TERMINACIÓN ]]+120</f>
        <v>45639</v>
      </c>
      <c r="AJ146" s="147"/>
      <c r="AK146" s="152" t="str">
        <f ca="1">IF(Contrato5[[#This Row],[FECHA TERMINACIÓN ]]&lt;TODAY(), "Terminado",IF(ISNUMBER(Contrato5[[#This Row],[Fecha Real de liquiidación ]]),"Liquidado",IF(Contrato5[[#This Row],[FECHA TERMINACIÓN ]]&gt;=TODAY(),"En ejecución","")))</f>
        <v>Terminado</v>
      </c>
      <c r="AL146" s="153" t="e">
        <f ca="1">SUMIF([2]!COMPROMISOS_2024[[#All],[consecutivo]],Contrato5[[#This Row],[RCP]],[2]!COMPROMISOS_2024[[#All],[Total pagado]])</f>
        <v>#REF!</v>
      </c>
      <c r="AM146" s="154">
        <f ca="1">IFERROR(Contrato5[[#This Row],[Pagos]]/Contrato5[[#This Row],[VALOR CONTRATO]],0)</f>
        <v>0</v>
      </c>
      <c r="AN146" s="198" t="e">
        <f ca="1">+Contrato5[[#This Row],[VALOR CONTRATO]]-Contrato5[[#This Row],[Pagos]]</f>
        <v>#REF!</v>
      </c>
      <c r="AO146" s="147" t="e" cm="1">
        <f t="array" aca="1" ref="AO146" ca="1">_xlfn.XLOOKUP(Contrato5[[#This Row],[DOCUMENTO ]],[2]!PERSONAL_ACTIVO_2024[[#All],[Documento identidad]],[2]!PERSONAL_ACTIVO_2024[[#All],[Mail ]],0,0)</f>
        <v>#NAME?</v>
      </c>
      <c r="AP146" s="147" t="e" cm="1">
        <f t="array" aca="1" ref="AP146" ca="1">_xlfn.XLOOKUP(Contrato5[[#This Row],[DOCUMENTO]],[2]!PERSONAL_ACTIVO_2024[[#All],[Documento identidad]],[2]!PERSONAL_ACTIVO_2024[[#All],[Mail ]],0,0)</f>
        <v>#NAME?</v>
      </c>
      <c r="AQ146" s="439" cm="1">
        <f t="array" aca="1" ref="AQ146" ca="1">IF(ISBLANK(Contrato5[[#This Row],[DEPENDENCIA ]]),0,IFERROR(_xlfn.XLOOKUP(Contrato5[[#This Row],[DEPENDENCIA ]],[2]!PERSONAL_ACTIVO_2024[[#All],[Dependencia]],[2]!PERSONAL_ACTIVO_2024[[#All],[Mail ]],0,0),0))</f>
        <v>0</v>
      </c>
    </row>
    <row r="147" spans="1:43" ht="34.5" customHeight="1">
      <c r="A147" s="125">
        <v>221</v>
      </c>
      <c r="B147" s="124">
        <v>121</v>
      </c>
      <c r="C147" s="162" t="s">
        <v>1644</v>
      </c>
      <c r="D147" s="227" t="s">
        <v>583</v>
      </c>
      <c r="E147" s="128" t="s">
        <v>94</v>
      </c>
      <c r="F147" s="163" t="s">
        <v>1376</v>
      </c>
      <c r="G147" s="190" t="s">
        <v>745</v>
      </c>
      <c r="H147" s="447">
        <v>3402168</v>
      </c>
      <c r="I147" s="455">
        <v>5931149</v>
      </c>
      <c r="J147" s="456">
        <v>35586894</v>
      </c>
      <c r="K147" s="166" t="s">
        <v>42</v>
      </c>
      <c r="L147" s="438" t="s">
        <v>42</v>
      </c>
      <c r="M147" s="194" t="s">
        <v>600</v>
      </c>
      <c r="N147" s="177" t="e" cm="1">
        <f t="array" aca="1" ref="N147" ca="1">_xlfn.XLOOKUP(Contrato5[[#This Row],[SUPERVISOR TITULAR]],[2]!PERSONAL_ACTIVO_2024[[#All],[Nombre completo]],[2]!PERSONAL_ACTIVO_2024[[#All],[Documento identidad]],"",0)</f>
        <v>#NAME?</v>
      </c>
      <c r="O147" s="194" t="s">
        <v>2495</v>
      </c>
      <c r="P147" s="196" t="e" cm="1">
        <f t="array" aca="1" ref="P147" ca="1">_xlfn.XLOOKUP(Contrato5[[#This Row],[SUPERVISOR SUPLENTE ]],[2]!PERSONAL_ACTIVO_2024[[#All],[Nombre completo]],[2]!PERSONAL_ACTIVO_2024[[#All],[Documento identidad]],"",0)</f>
        <v>#NAME?</v>
      </c>
      <c r="Q147" s="208">
        <v>149</v>
      </c>
      <c r="R147" s="137" t="e" cm="1">
        <f t="array" aca="1" ref="R147" ca="1">_xlfn.XLOOKUP(Contrato5[[#This Row],[CDP]],[2]!DISPONIBILIDADES_2024[[#All],[consecutivo]],[2]!DISPONIBILIDADES_2024[[#All],[fecha_aprobacion]],"",0)</f>
        <v>#NAME?</v>
      </c>
      <c r="S147" s="138" t="e">
        <f>SUMIF([2]!DISPONIBILIDADES_2024[[#All],[consecutivo]],Contrato5[[#This Row],[CDP]],[2]!DISPONIBILIDADES_2024[[#All],[valor_total_rubro]])</f>
        <v>#REF!</v>
      </c>
      <c r="T147" s="139" t="e" cm="1">
        <f t="array" aca="1" ref="T147" ca="1">_xlfn.XLOOKUP(Contrato5[[#This Row],[CONTRATO]]&amp;Contrato5[[#This Row],[CDP]],[2]!Corr_Contr_CDP[[#All],[CONTRATO-CDP]],[2]!Corr_Contr_CDP[[#All],[CRP]],_xlfn.XLOOKUP(Contrato5[[#This Row],[CDP]],[2]!COMPROMISOS_2024[[#All],[disponibilidad]],[2]!COMPROMISOS_2024[[#All],[consecutivo]],"",0),0)</f>
        <v>#NAME?</v>
      </c>
      <c r="U147" s="140" t="e" cm="1">
        <f t="array" aca="1" ref="U147" ca="1">+_xlfn.XLOOKUP(Contrato5[[#This Row],[RCP]],[2]!COMPROMISOS_2024[[#All],[consecutivo]],[2]!COMPROMISOS_2024[[#All],[fecha_aprobacion]],"",0)</f>
        <v>#NAME?</v>
      </c>
      <c r="V147" s="141" t="e">
        <f ca="1">SUMIF([2]!COMPROMISOS_2024[[#All],[consecutivo]],Contrato5[[#This Row],[RCP]],[2]!COMPROMISOS_2024[[#All],[valor_total]])</f>
        <v>#REF!</v>
      </c>
      <c r="W147" s="415">
        <v>45337</v>
      </c>
      <c r="X147" s="415">
        <v>45338</v>
      </c>
      <c r="Y147" s="143">
        <v>45338</v>
      </c>
      <c r="Z147" s="262">
        <v>45519</v>
      </c>
      <c r="AA147" s="171" t="s">
        <v>651</v>
      </c>
      <c r="AB147" s="161" t="s">
        <v>640</v>
      </c>
      <c r="AC147" s="161"/>
      <c r="AD147" s="211">
        <v>202000003727</v>
      </c>
      <c r="AE147" s="147" t="s">
        <v>523</v>
      </c>
      <c r="AF147" s="148" t="str">
        <f>TEXT(LEFT(Contrato5[[#This Row],[CONTRATO]],3),"0")</f>
        <v>121</v>
      </c>
      <c r="AG147" s="148" t="str">
        <f>IF(LEN(Contrato5[[#This Row],[Contrato2]])=3,Contrato5[[#This Row],[Contrato2]],TEXT(Contrato5[[#This Row],[Contrato2]],"000"))</f>
        <v>121</v>
      </c>
      <c r="AH147" s="149">
        <f ca="1">IFERROR(_xlfn.DAYS(Contrato5[[#This Row],[Fecha Proyectada liquidación]],TODAY())/30,"")</f>
        <v>-3.9666666666666668</v>
      </c>
      <c r="AI147" s="150">
        <f>+Contrato5[[#This Row],[FECHA TERMINACIÓN ]]+120</f>
        <v>45639</v>
      </c>
      <c r="AJ147" s="147"/>
      <c r="AK147" s="152" t="str">
        <f ca="1">IF(Contrato5[[#This Row],[FECHA TERMINACIÓN ]]&lt;TODAY(), "Terminado",IF(ISNUMBER(Contrato5[[#This Row],[Fecha Real de liquiidación ]]),"Liquidado",IF(Contrato5[[#This Row],[FECHA TERMINACIÓN ]]&gt;=TODAY(),"En ejecución","")))</f>
        <v>Terminado</v>
      </c>
      <c r="AL147" s="153" t="e">
        <f ca="1">SUMIF([2]!COMPROMISOS_2024[[#All],[consecutivo]],Contrato5[[#This Row],[RCP]],[2]!COMPROMISOS_2024[[#All],[Total pagado]])</f>
        <v>#REF!</v>
      </c>
      <c r="AM147" s="154">
        <f ca="1">IFERROR(Contrato5[[#This Row],[Pagos]]/Contrato5[[#This Row],[VALOR CONTRATO]],0)</f>
        <v>0</v>
      </c>
      <c r="AN147" s="198" t="e">
        <f ca="1">+Contrato5[[#This Row],[VALOR CONTRATO]]-Contrato5[[#This Row],[Pagos]]</f>
        <v>#REF!</v>
      </c>
      <c r="AO147" s="147" t="e" cm="1">
        <f t="array" aca="1" ref="AO147" ca="1">_xlfn.XLOOKUP(Contrato5[[#This Row],[DOCUMENTO ]],[2]!PERSONAL_ACTIVO_2024[[#All],[Documento identidad]],[2]!PERSONAL_ACTIVO_2024[[#All],[Mail ]],0,0)</f>
        <v>#NAME?</v>
      </c>
      <c r="AP147" s="147" t="e" cm="1">
        <f t="array" aca="1" ref="AP147" ca="1">_xlfn.XLOOKUP(Contrato5[[#This Row],[DOCUMENTO]],[2]!PERSONAL_ACTIVO_2024[[#All],[Documento identidad]],[2]!PERSONAL_ACTIVO_2024[[#All],[Mail ]],0,0)</f>
        <v>#NAME?</v>
      </c>
      <c r="AQ147" s="439" cm="1">
        <f t="array" aca="1" ref="AQ147" ca="1">IF(ISBLANK(Contrato5[[#This Row],[DEPENDENCIA ]]),0,IFERROR(_xlfn.XLOOKUP(Contrato5[[#This Row],[DEPENDENCIA ]],[2]!PERSONAL_ACTIVO_2024[[#All],[Dependencia]],[2]!PERSONAL_ACTIVO_2024[[#All],[Mail ]],0,0),0))</f>
        <v>0</v>
      </c>
    </row>
    <row r="148" spans="1:43" ht="34.5" customHeight="1">
      <c r="A148" s="125">
        <v>222</v>
      </c>
      <c r="B148" s="124">
        <v>122</v>
      </c>
      <c r="C148" s="162" t="s">
        <v>1645</v>
      </c>
      <c r="D148" s="227" t="s">
        <v>583</v>
      </c>
      <c r="E148" s="128" t="s">
        <v>94</v>
      </c>
      <c r="F148" s="163" t="s">
        <v>1376</v>
      </c>
      <c r="G148" s="190" t="s">
        <v>746</v>
      </c>
      <c r="H148" s="447">
        <v>98534661</v>
      </c>
      <c r="I148" s="455">
        <v>7908765</v>
      </c>
      <c r="J148" s="456">
        <v>47452590</v>
      </c>
      <c r="K148" s="166" t="s">
        <v>42</v>
      </c>
      <c r="L148" s="438" t="s">
        <v>42</v>
      </c>
      <c r="M148" s="194" t="s">
        <v>600</v>
      </c>
      <c r="N148" s="177" t="e" cm="1">
        <f t="array" aca="1" ref="N148" ca="1">_xlfn.XLOOKUP(Contrato5[[#This Row],[SUPERVISOR TITULAR]],[2]!PERSONAL_ACTIVO_2024[[#All],[Nombre completo]],[2]!PERSONAL_ACTIVO_2024[[#All],[Documento identidad]],"",0)</f>
        <v>#NAME?</v>
      </c>
      <c r="O148" s="194" t="s">
        <v>2495</v>
      </c>
      <c r="P148" s="196" t="e" cm="1">
        <f t="array" aca="1" ref="P148" ca="1">_xlfn.XLOOKUP(Contrato5[[#This Row],[SUPERVISOR SUPLENTE ]],[2]!PERSONAL_ACTIVO_2024[[#All],[Nombre completo]],[2]!PERSONAL_ACTIVO_2024[[#All],[Documento identidad]],"",0)</f>
        <v>#NAME?</v>
      </c>
      <c r="Q148" s="208">
        <v>150</v>
      </c>
      <c r="R148" s="137" t="e" cm="1">
        <f t="array" aca="1" ref="R148" ca="1">_xlfn.XLOOKUP(Contrato5[[#This Row],[CDP]],[2]!DISPONIBILIDADES_2024[[#All],[consecutivo]],[2]!DISPONIBILIDADES_2024[[#All],[fecha_aprobacion]],"",0)</f>
        <v>#NAME?</v>
      </c>
      <c r="S148" s="138" t="e">
        <f>SUMIF([2]!DISPONIBILIDADES_2024[[#All],[consecutivo]],Contrato5[[#This Row],[CDP]],[2]!DISPONIBILIDADES_2024[[#All],[valor_total_rubro]])</f>
        <v>#REF!</v>
      </c>
      <c r="T148" s="139" t="e" cm="1">
        <f t="array" aca="1" ref="T148" ca="1">_xlfn.XLOOKUP(Contrato5[[#This Row],[CONTRATO]]&amp;Contrato5[[#This Row],[CDP]],[2]!Corr_Contr_CDP[[#All],[CONTRATO-CDP]],[2]!Corr_Contr_CDP[[#All],[CRP]],_xlfn.XLOOKUP(Contrato5[[#This Row],[CDP]],[2]!COMPROMISOS_2024[[#All],[disponibilidad]],[2]!COMPROMISOS_2024[[#All],[consecutivo]],"",0),0)</f>
        <v>#NAME?</v>
      </c>
      <c r="U148" s="140" t="e" cm="1">
        <f t="array" aca="1" ref="U148" ca="1">+_xlfn.XLOOKUP(Contrato5[[#This Row],[RCP]],[2]!COMPROMISOS_2024[[#All],[consecutivo]],[2]!COMPROMISOS_2024[[#All],[fecha_aprobacion]],"",0)</f>
        <v>#NAME?</v>
      </c>
      <c r="V148" s="141" t="e">
        <f ca="1">SUMIF([2]!COMPROMISOS_2024[[#All],[consecutivo]],Contrato5[[#This Row],[RCP]],[2]!COMPROMISOS_2024[[#All],[valor_total]])</f>
        <v>#REF!</v>
      </c>
      <c r="W148" s="415">
        <v>45337</v>
      </c>
      <c r="X148" s="415">
        <v>45338</v>
      </c>
      <c r="Y148" s="143">
        <v>45338</v>
      </c>
      <c r="Z148" s="262">
        <v>45519</v>
      </c>
      <c r="AA148" s="171" t="s">
        <v>651</v>
      </c>
      <c r="AB148" s="161" t="s">
        <v>640</v>
      </c>
      <c r="AC148" s="161"/>
      <c r="AD148" s="211">
        <v>202000003728</v>
      </c>
      <c r="AE148" s="147" t="s">
        <v>523</v>
      </c>
      <c r="AF148" s="148" t="str">
        <f>TEXT(LEFT(Contrato5[[#This Row],[CONTRATO]],3),"0")</f>
        <v>122</v>
      </c>
      <c r="AG148" s="148" t="str">
        <f>IF(LEN(Contrato5[[#This Row],[Contrato2]])=3,Contrato5[[#This Row],[Contrato2]],TEXT(Contrato5[[#This Row],[Contrato2]],"000"))</f>
        <v>122</v>
      </c>
      <c r="AH148" s="149">
        <f ca="1">IFERROR(_xlfn.DAYS(Contrato5[[#This Row],[Fecha Proyectada liquidación]],TODAY())/30,"")</f>
        <v>-3.9666666666666668</v>
      </c>
      <c r="AI148" s="150">
        <f>+Contrato5[[#This Row],[FECHA TERMINACIÓN ]]+120</f>
        <v>45639</v>
      </c>
      <c r="AJ148" s="147"/>
      <c r="AK148" s="152" t="str">
        <f ca="1">IF(Contrato5[[#This Row],[FECHA TERMINACIÓN ]]&lt;TODAY(), "Terminado",IF(ISNUMBER(Contrato5[[#This Row],[Fecha Real de liquiidación ]]),"Liquidado",IF(Contrato5[[#This Row],[FECHA TERMINACIÓN ]]&gt;=TODAY(),"En ejecución","")))</f>
        <v>Terminado</v>
      </c>
      <c r="AL148" s="153" t="e">
        <f ca="1">SUMIF([2]!COMPROMISOS_2024[[#All],[consecutivo]],Contrato5[[#This Row],[RCP]],[2]!COMPROMISOS_2024[[#All],[Total pagado]])</f>
        <v>#REF!</v>
      </c>
      <c r="AM148" s="154">
        <f ca="1">IFERROR(Contrato5[[#This Row],[Pagos]]/Contrato5[[#This Row],[VALOR CONTRATO]],0)</f>
        <v>0</v>
      </c>
      <c r="AN148" s="198" t="e">
        <f ca="1">+Contrato5[[#This Row],[VALOR CONTRATO]]-Contrato5[[#This Row],[Pagos]]</f>
        <v>#REF!</v>
      </c>
      <c r="AO148" s="147" t="e" cm="1">
        <f t="array" aca="1" ref="AO148" ca="1">_xlfn.XLOOKUP(Contrato5[[#This Row],[DOCUMENTO ]],[2]!PERSONAL_ACTIVO_2024[[#All],[Documento identidad]],[2]!PERSONAL_ACTIVO_2024[[#All],[Mail ]],0,0)</f>
        <v>#NAME?</v>
      </c>
      <c r="AP148" s="147" t="e" cm="1">
        <f t="array" aca="1" ref="AP148" ca="1">_xlfn.XLOOKUP(Contrato5[[#This Row],[DOCUMENTO]],[2]!PERSONAL_ACTIVO_2024[[#All],[Documento identidad]],[2]!PERSONAL_ACTIVO_2024[[#All],[Mail ]],0,0)</f>
        <v>#NAME?</v>
      </c>
      <c r="AQ148" s="439" cm="1">
        <f t="array" aca="1" ref="AQ148" ca="1">IF(ISBLANK(Contrato5[[#This Row],[DEPENDENCIA ]]),0,IFERROR(_xlfn.XLOOKUP(Contrato5[[#This Row],[DEPENDENCIA ]],[2]!PERSONAL_ACTIVO_2024[[#All],[Dependencia]],[2]!PERSONAL_ACTIVO_2024[[#All],[Mail ]],0,0),0))</f>
        <v>0</v>
      </c>
    </row>
    <row r="149" spans="1:43" ht="34.5" customHeight="1">
      <c r="A149" s="125">
        <v>223</v>
      </c>
      <c r="B149" s="124">
        <v>123</v>
      </c>
      <c r="C149" s="162" t="s">
        <v>1646</v>
      </c>
      <c r="D149" s="227" t="s">
        <v>583</v>
      </c>
      <c r="E149" s="128" t="s">
        <v>94</v>
      </c>
      <c r="F149" s="163" t="s">
        <v>1376</v>
      </c>
      <c r="G149" s="190" t="s">
        <v>747</v>
      </c>
      <c r="H149" s="447">
        <v>70810561</v>
      </c>
      <c r="I149" s="455">
        <v>7908765</v>
      </c>
      <c r="J149" s="456">
        <v>47452590</v>
      </c>
      <c r="K149" s="166" t="s">
        <v>42</v>
      </c>
      <c r="L149" s="438" t="s">
        <v>42</v>
      </c>
      <c r="M149" s="194" t="s">
        <v>600</v>
      </c>
      <c r="N149" s="177" t="e" cm="1">
        <f t="array" aca="1" ref="N149" ca="1">_xlfn.XLOOKUP(Contrato5[[#This Row],[SUPERVISOR TITULAR]],[2]!PERSONAL_ACTIVO_2024[[#All],[Nombre completo]],[2]!PERSONAL_ACTIVO_2024[[#All],[Documento identidad]],"",0)</f>
        <v>#NAME?</v>
      </c>
      <c r="O149" s="194" t="s">
        <v>2495</v>
      </c>
      <c r="P149" s="196" t="e" cm="1">
        <f t="array" aca="1" ref="P149" ca="1">_xlfn.XLOOKUP(Contrato5[[#This Row],[SUPERVISOR SUPLENTE ]],[2]!PERSONAL_ACTIVO_2024[[#All],[Nombre completo]],[2]!PERSONAL_ACTIVO_2024[[#All],[Documento identidad]],"",0)</f>
        <v>#NAME?</v>
      </c>
      <c r="Q149" s="208">
        <v>151</v>
      </c>
      <c r="R149" s="137" t="e" cm="1">
        <f t="array" aca="1" ref="R149" ca="1">_xlfn.XLOOKUP(Contrato5[[#This Row],[CDP]],[2]!DISPONIBILIDADES_2024[[#All],[consecutivo]],[2]!DISPONIBILIDADES_2024[[#All],[fecha_aprobacion]],"",0)</f>
        <v>#NAME?</v>
      </c>
      <c r="S149" s="138" t="e">
        <f>SUMIF([2]!DISPONIBILIDADES_2024[[#All],[consecutivo]],Contrato5[[#This Row],[CDP]],[2]!DISPONIBILIDADES_2024[[#All],[valor_total_rubro]])</f>
        <v>#REF!</v>
      </c>
      <c r="T149" s="139" t="e" cm="1">
        <f t="array" aca="1" ref="T149" ca="1">_xlfn.XLOOKUP(Contrato5[[#This Row],[CONTRATO]]&amp;Contrato5[[#This Row],[CDP]],[2]!Corr_Contr_CDP[[#All],[CONTRATO-CDP]],[2]!Corr_Contr_CDP[[#All],[CRP]],_xlfn.XLOOKUP(Contrato5[[#This Row],[CDP]],[2]!COMPROMISOS_2024[[#All],[disponibilidad]],[2]!COMPROMISOS_2024[[#All],[consecutivo]],"",0),0)</f>
        <v>#NAME?</v>
      </c>
      <c r="U149" s="140" t="e" cm="1">
        <f t="array" aca="1" ref="U149" ca="1">+_xlfn.XLOOKUP(Contrato5[[#This Row],[RCP]],[2]!COMPROMISOS_2024[[#All],[consecutivo]],[2]!COMPROMISOS_2024[[#All],[fecha_aprobacion]],"",0)</f>
        <v>#NAME?</v>
      </c>
      <c r="V149" s="141" t="e">
        <f ca="1">SUMIF([2]!COMPROMISOS_2024[[#All],[consecutivo]],Contrato5[[#This Row],[RCP]],[2]!COMPROMISOS_2024[[#All],[valor_total]])</f>
        <v>#REF!</v>
      </c>
      <c r="W149" s="415">
        <v>45337</v>
      </c>
      <c r="X149" s="415">
        <v>45338</v>
      </c>
      <c r="Y149" s="143">
        <v>45338</v>
      </c>
      <c r="Z149" s="262">
        <v>45519</v>
      </c>
      <c r="AA149" s="171" t="s">
        <v>651</v>
      </c>
      <c r="AB149" s="161" t="s">
        <v>640</v>
      </c>
      <c r="AC149" s="161"/>
      <c r="AD149" s="211">
        <v>202000003729</v>
      </c>
      <c r="AE149" s="147" t="s">
        <v>523</v>
      </c>
      <c r="AF149" s="148" t="str">
        <f>TEXT(LEFT(Contrato5[[#This Row],[CONTRATO]],3),"0")</f>
        <v>123</v>
      </c>
      <c r="AG149" s="148" t="str">
        <f>IF(LEN(Contrato5[[#This Row],[Contrato2]])=3,Contrato5[[#This Row],[Contrato2]],TEXT(Contrato5[[#This Row],[Contrato2]],"000"))</f>
        <v>123</v>
      </c>
      <c r="AH149" s="149">
        <f ca="1">IFERROR(_xlfn.DAYS(Contrato5[[#This Row],[Fecha Proyectada liquidación]],TODAY())/30,"")</f>
        <v>-3.9666666666666668</v>
      </c>
      <c r="AI149" s="150">
        <f>+Contrato5[[#This Row],[FECHA TERMINACIÓN ]]+120</f>
        <v>45639</v>
      </c>
      <c r="AJ149" s="147"/>
      <c r="AK149" s="152" t="str">
        <f ca="1">IF(Contrato5[[#This Row],[FECHA TERMINACIÓN ]]&lt;TODAY(), "Terminado",IF(ISNUMBER(Contrato5[[#This Row],[Fecha Real de liquiidación ]]),"Liquidado",IF(Contrato5[[#This Row],[FECHA TERMINACIÓN ]]&gt;=TODAY(),"En ejecución","")))</f>
        <v>Terminado</v>
      </c>
      <c r="AL149" s="153" t="e">
        <f ca="1">SUMIF([2]!COMPROMISOS_2024[[#All],[consecutivo]],Contrato5[[#This Row],[RCP]],[2]!COMPROMISOS_2024[[#All],[Total pagado]])</f>
        <v>#REF!</v>
      </c>
      <c r="AM149" s="154">
        <f ca="1">IFERROR(Contrato5[[#This Row],[Pagos]]/Contrato5[[#This Row],[VALOR CONTRATO]],0)</f>
        <v>0</v>
      </c>
      <c r="AN149" s="198" t="e">
        <f ca="1">+Contrato5[[#This Row],[VALOR CONTRATO]]-Contrato5[[#This Row],[Pagos]]</f>
        <v>#REF!</v>
      </c>
      <c r="AO149" s="147" t="e" cm="1">
        <f t="array" aca="1" ref="AO149" ca="1">_xlfn.XLOOKUP(Contrato5[[#This Row],[DOCUMENTO ]],[2]!PERSONAL_ACTIVO_2024[[#All],[Documento identidad]],[2]!PERSONAL_ACTIVO_2024[[#All],[Mail ]],0,0)</f>
        <v>#NAME?</v>
      </c>
      <c r="AP149" s="147" t="e" cm="1">
        <f t="array" aca="1" ref="AP149" ca="1">_xlfn.XLOOKUP(Contrato5[[#This Row],[DOCUMENTO]],[2]!PERSONAL_ACTIVO_2024[[#All],[Documento identidad]],[2]!PERSONAL_ACTIVO_2024[[#All],[Mail ]],0,0)</f>
        <v>#NAME?</v>
      </c>
      <c r="AQ149" s="439" cm="1">
        <f t="array" aca="1" ref="AQ149" ca="1">IF(ISBLANK(Contrato5[[#This Row],[DEPENDENCIA ]]),0,IFERROR(_xlfn.XLOOKUP(Contrato5[[#This Row],[DEPENDENCIA ]],[2]!PERSONAL_ACTIVO_2024[[#All],[Dependencia]],[2]!PERSONAL_ACTIVO_2024[[#All],[Mail ]],0,0),0))</f>
        <v>0</v>
      </c>
    </row>
    <row r="150" spans="1:43" ht="34.5" customHeight="1">
      <c r="A150" s="125">
        <v>224</v>
      </c>
      <c r="B150" s="124">
        <v>124</v>
      </c>
      <c r="C150" s="162" t="s">
        <v>1647</v>
      </c>
      <c r="D150" s="227" t="s">
        <v>583</v>
      </c>
      <c r="E150" s="128" t="s">
        <v>94</v>
      </c>
      <c r="F150" s="163" t="s">
        <v>1376</v>
      </c>
      <c r="G150" s="190" t="s">
        <v>748</v>
      </c>
      <c r="H150" s="447">
        <v>98628015</v>
      </c>
      <c r="I150" s="455">
        <v>3952382</v>
      </c>
      <c r="J150" s="456">
        <v>23714292</v>
      </c>
      <c r="K150" s="166" t="s">
        <v>42</v>
      </c>
      <c r="L150" s="438" t="s">
        <v>42</v>
      </c>
      <c r="M150" s="194" t="s">
        <v>589</v>
      </c>
      <c r="N150" s="192" t="e" cm="1">
        <f t="array" aca="1" ref="N150" ca="1">_xlfn.XLOOKUP(Contrato5[[#This Row],[SUPERVISOR TITULAR]],[2]!PERSONAL_ACTIVO_2024[[#All],[Nombre completo]],[2]!PERSONAL_ACTIVO_2024[[#All],[Documento identidad]],"",0)</f>
        <v>#NAME?</v>
      </c>
      <c r="O150" s="194" t="s">
        <v>586</v>
      </c>
      <c r="P150" s="196" t="e" cm="1">
        <f t="array" aca="1" ref="P150" ca="1">_xlfn.XLOOKUP(Contrato5[[#This Row],[SUPERVISOR SUPLENTE ]],[2]!PERSONAL_ACTIVO_2024[[#All],[Nombre completo]],[2]!PERSONAL_ACTIVO_2024[[#All],[Documento identidad]],"",0)</f>
        <v>#NAME?</v>
      </c>
      <c r="Q150" s="208">
        <v>152</v>
      </c>
      <c r="R150" s="137" t="e" cm="1">
        <f t="array" aca="1" ref="R150" ca="1">_xlfn.XLOOKUP(Contrato5[[#This Row],[CDP]],[2]!DISPONIBILIDADES_2024[[#All],[consecutivo]],[2]!DISPONIBILIDADES_2024[[#All],[fecha_aprobacion]],"",0)</f>
        <v>#NAME?</v>
      </c>
      <c r="S150" s="138" t="e">
        <f>SUMIF([2]!DISPONIBILIDADES_2024[[#All],[consecutivo]],Contrato5[[#This Row],[CDP]],[2]!DISPONIBILIDADES_2024[[#All],[valor_total_rubro]])</f>
        <v>#REF!</v>
      </c>
      <c r="T150" s="139" t="e" cm="1">
        <f t="array" aca="1" ref="T150" ca="1">_xlfn.XLOOKUP(Contrato5[[#This Row],[CONTRATO]]&amp;Contrato5[[#This Row],[CDP]],[2]!Corr_Contr_CDP[[#All],[CONTRATO-CDP]],[2]!Corr_Contr_CDP[[#All],[CRP]],_xlfn.XLOOKUP(Contrato5[[#This Row],[CDP]],[2]!COMPROMISOS_2024[[#All],[disponibilidad]],[2]!COMPROMISOS_2024[[#All],[consecutivo]],"",0),0)</f>
        <v>#NAME?</v>
      </c>
      <c r="U150" s="140" t="e" cm="1">
        <f t="array" aca="1" ref="U150" ca="1">+_xlfn.XLOOKUP(Contrato5[[#This Row],[RCP]],[2]!COMPROMISOS_2024[[#All],[consecutivo]],[2]!COMPROMISOS_2024[[#All],[fecha_aprobacion]],"",0)</f>
        <v>#NAME?</v>
      </c>
      <c r="V150" s="141" t="e">
        <f ca="1">SUMIF([2]!COMPROMISOS_2024[[#All],[consecutivo]],Contrato5[[#This Row],[RCP]],[2]!COMPROMISOS_2024[[#All],[valor_total]])</f>
        <v>#REF!</v>
      </c>
      <c r="W150" s="415">
        <v>45337</v>
      </c>
      <c r="X150" s="415">
        <v>45337</v>
      </c>
      <c r="Y150" s="143">
        <v>45338</v>
      </c>
      <c r="Z150" s="262">
        <v>45519</v>
      </c>
      <c r="AA150" s="171" t="s">
        <v>651</v>
      </c>
      <c r="AB150" s="161" t="s">
        <v>640</v>
      </c>
      <c r="AC150" s="161"/>
      <c r="AD150" s="211">
        <v>202000003730</v>
      </c>
      <c r="AE150" s="147" t="s">
        <v>523</v>
      </c>
      <c r="AF150" s="148" t="str">
        <f>TEXT(LEFT(Contrato5[[#This Row],[CONTRATO]],3),"0")</f>
        <v>124</v>
      </c>
      <c r="AG150" s="148" t="str">
        <f>IF(LEN(Contrato5[[#This Row],[Contrato2]])=3,Contrato5[[#This Row],[Contrato2]],TEXT(Contrato5[[#This Row],[Contrato2]],"000"))</f>
        <v>124</v>
      </c>
      <c r="AH150" s="149">
        <f ca="1">IFERROR(_xlfn.DAYS(Contrato5[[#This Row],[Fecha Proyectada liquidación]],TODAY())/30,"")</f>
        <v>-3.9666666666666668</v>
      </c>
      <c r="AI150" s="150">
        <f>+Contrato5[[#This Row],[FECHA TERMINACIÓN ]]+120</f>
        <v>45639</v>
      </c>
      <c r="AJ150" s="147"/>
      <c r="AK150" s="152" t="str">
        <f ca="1">IF(Contrato5[[#This Row],[FECHA TERMINACIÓN ]]&lt;TODAY(), "Terminado",IF(ISNUMBER(Contrato5[[#This Row],[Fecha Real de liquiidación ]]),"Liquidado",IF(Contrato5[[#This Row],[FECHA TERMINACIÓN ]]&gt;=TODAY(),"En ejecución","")))</f>
        <v>Terminado</v>
      </c>
      <c r="AL150" s="153" t="e">
        <f ca="1">SUMIF([2]!COMPROMISOS_2024[[#All],[consecutivo]],Contrato5[[#This Row],[RCP]],[2]!COMPROMISOS_2024[[#All],[Total pagado]])</f>
        <v>#REF!</v>
      </c>
      <c r="AM150" s="154">
        <f ca="1">IFERROR(Contrato5[[#This Row],[Pagos]]/Contrato5[[#This Row],[VALOR CONTRATO]],0)</f>
        <v>0</v>
      </c>
      <c r="AN150" s="198" t="e">
        <f ca="1">+Contrato5[[#This Row],[VALOR CONTRATO]]-Contrato5[[#This Row],[Pagos]]</f>
        <v>#REF!</v>
      </c>
      <c r="AO150" s="147" t="e" cm="1">
        <f t="array" aca="1" ref="AO150" ca="1">_xlfn.XLOOKUP(Contrato5[[#This Row],[DOCUMENTO ]],[2]!PERSONAL_ACTIVO_2024[[#All],[Documento identidad]],[2]!PERSONAL_ACTIVO_2024[[#All],[Mail ]],0,0)</f>
        <v>#NAME?</v>
      </c>
      <c r="AP150" s="147" t="e" cm="1">
        <f t="array" aca="1" ref="AP150" ca="1">_xlfn.XLOOKUP(Contrato5[[#This Row],[DOCUMENTO]],[2]!PERSONAL_ACTIVO_2024[[#All],[Documento identidad]],[2]!PERSONAL_ACTIVO_2024[[#All],[Mail ]],0,0)</f>
        <v>#NAME?</v>
      </c>
      <c r="AQ150" s="439" cm="1">
        <f t="array" aca="1" ref="AQ150" ca="1">IF(ISBLANK(Contrato5[[#This Row],[DEPENDENCIA ]]),0,IFERROR(_xlfn.XLOOKUP(Contrato5[[#This Row],[DEPENDENCIA ]],[2]!PERSONAL_ACTIVO_2024[[#All],[Dependencia]],[2]!PERSONAL_ACTIVO_2024[[#All],[Mail ]],0,0),0))</f>
        <v>0</v>
      </c>
    </row>
    <row r="151" spans="1:43" ht="34.5" customHeight="1">
      <c r="A151" s="125">
        <v>225</v>
      </c>
      <c r="B151" s="124">
        <v>125</v>
      </c>
      <c r="C151" s="162" t="s">
        <v>1648</v>
      </c>
      <c r="D151" s="227" t="s">
        <v>583</v>
      </c>
      <c r="E151" s="128" t="s">
        <v>94</v>
      </c>
      <c r="F151" s="163" t="s">
        <v>1376</v>
      </c>
      <c r="G151" s="190" t="s">
        <v>749</v>
      </c>
      <c r="H151" s="447">
        <v>43834689</v>
      </c>
      <c r="I151" s="455">
        <v>3952382</v>
      </c>
      <c r="J151" s="456">
        <v>23714292</v>
      </c>
      <c r="K151" s="166" t="s">
        <v>42</v>
      </c>
      <c r="L151" s="438" t="s">
        <v>42</v>
      </c>
      <c r="M151" s="194" t="s">
        <v>589</v>
      </c>
      <c r="N151" s="192" t="e" cm="1">
        <f t="array" aca="1" ref="N151" ca="1">_xlfn.XLOOKUP(Contrato5[[#This Row],[SUPERVISOR TITULAR]],[2]!PERSONAL_ACTIVO_2024[[#All],[Nombre completo]],[2]!PERSONAL_ACTIVO_2024[[#All],[Documento identidad]],"",0)</f>
        <v>#NAME?</v>
      </c>
      <c r="O151" s="194" t="s">
        <v>586</v>
      </c>
      <c r="P151" s="196" t="e" cm="1">
        <f t="array" aca="1" ref="P151" ca="1">_xlfn.XLOOKUP(Contrato5[[#This Row],[SUPERVISOR SUPLENTE ]],[2]!PERSONAL_ACTIVO_2024[[#All],[Nombre completo]],[2]!PERSONAL_ACTIVO_2024[[#All],[Documento identidad]],"",0)</f>
        <v>#NAME?</v>
      </c>
      <c r="Q151" s="208">
        <v>153</v>
      </c>
      <c r="R151" s="137" t="e" cm="1">
        <f t="array" aca="1" ref="R151" ca="1">_xlfn.XLOOKUP(Contrato5[[#This Row],[CDP]],[2]!DISPONIBILIDADES_2024[[#All],[consecutivo]],[2]!DISPONIBILIDADES_2024[[#All],[fecha_aprobacion]],"",0)</f>
        <v>#NAME?</v>
      </c>
      <c r="S151" s="138" t="e">
        <f>SUMIF([2]!DISPONIBILIDADES_2024[[#All],[consecutivo]],Contrato5[[#This Row],[CDP]],[2]!DISPONIBILIDADES_2024[[#All],[valor_total_rubro]])</f>
        <v>#REF!</v>
      </c>
      <c r="T151" s="139" t="e" cm="1">
        <f t="array" aca="1" ref="T151" ca="1">_xlfn.XLOOKUP(Contrato5[[#This Row],[CONTRATO]]&amp;Contrato5[[#This Row],[CDP]],[2]!Corr_Contr_CDP[[#All],[CONTRATO-CDP]],[2]!Corr_Contr_CDP[[#All],[CRP]],_xlfn.XLOOKUP(Contrato5[[#This Row],[CDP]],[2]!COMPROMISOS_2024[[#All],[disponibilidad]],[2]!COMPROMISOS_2024[[#All],[consecutivo]],"",0),0)</f>
        <v>#NAME?</v>
      </c>
      <c r="U151" s="140" t="e" cm="1">
        <f t="array" aca="1" ref="U151" ca="1">+_xlfn.XLOOKUP(Contrato5[[#This Row],[RCP]],[2]!COMPROMISOS_2024[[#All],[consecutivo]],[2]!COMPROMISOS_2024[[#All],[fecha_aprobacion]],"",0)</f>
        <v>#NAME?</v>
      </c>
      <c r="V151" s="141" t="e">
        <f ca="1">SUMIF([2]!COMPROMISOS_2024[[#All],[consecutivo]],Contrato5[[#This Row],[RCP]],[2]!COMPROMISOS_2024[[#All],[valor_total]])</f>
        <v>#REF!</v>
      </c>
      <c r="W151" s="415">
        <v>45337</v>
      </c>
      <c r="X151" s="415">
        <v>45338</v>
      </c>
      <c r="Y151" s="143">
        <v>45338</v>
      </c>
      <c r="Z151" s="262">
        <v>45519</v>
      </c>
      <c r="AA151" s="183" t="s">
        <v>651</v>
      </c>
      <c r="AB151" s="161" t="s">
        <v>640</v>
      </c>
      <c r="AC151" s="161"/>
      <c r="AD151" s="211">
        <v>202000003731</v>
      </c>
      <c r="AE151" s="147" t="s">
        <v>523</v>
      </c>
      <c r="AF151" s="148" t="str">
        <f>TEXT(LEFT(Contrato5[[#This Row],[CONTRATO]],3),"0")</f>
        <v>125</v>
      </c>
      <c r="AG151" s="148" t="str">
        <f>IF(LEN(Contrato5[[#This Row],[Contrato2]])=3,Contrato5[[#This Row],[Contrato2]],TEXT(Contrato5[[#This Row],[Contrato2]],"000"))</f>
        <v>125</v>
      </c>
      <c r="AH151" s="149">
        <f ca="1">IFERROR(_xlfn.DAYS(Contrato5[[#This Row],[Fecha Proyectada liquidación]],TODAY())/30,"")</f>
        <v>-3.9666666666666668</v>
      </c>
      <c r="AI151" s="150">
        <f>+Contrato5[[#This Row],[FECHA TERMINACIÓN ]]+120</f>
        <v>45639</v>
      </c>
      <c r="AJ151" s="147"/>
      <c r="AK151" s="152" t="str">
        <f ca="1">IF(Contrato5[[#This Row],[FECHA TERMINACIÓN ]]&lt;TODAY(), "Terminado",IF(ISNUMBER(Contrato5[[#This Row],[Fecha Real de liquiidación ]]),"Liquidado",IF(Contrato5[[#This Row],[FECHA TERMINACIÓN ]]&gt;=TODAY(),"En ejecución","")))</f>
        <v>Terminado</v>
      </c>
      <c r="AL151" s="153" t="e">
        <f ca="1">SUMIF([2]!COMPROMISOS_2024[[#All],[consecutivo]],Contrato5[[#This Row],[RCP]],[2]!COMPROMISOS_2024[[#All],[Total pagado]])</f>
        <v>#REF!</v>
      </c>
      <c r="AM151" s="154">
        <f ca="1">IFERROR(Contrato5[[#This Row],[Pagos]]/Contrato5[[#This Row],[VALOR CONTRATO]],0)</f>
        <v>0</v>
      </c>
      <c r="AN151" s="198" t="e">
        <f ca="1">+Contrato5[[#This Row],[VALOR CONTRATO]]-Contrato5[[#This Row],[Pagos]]</f>
        <v>#REF!</v>
      </c>
      <c r="AO151" s="147" t="e" cm="1">
        <f t="array" aca="1" ref="AO151" ca="1">_xlfn.XLOOKUP(Contrato5[[#This Row],[DOCUMENTO ]],[2]!PERSONAL_ACTIVO_2024[[#All],[Documento identidad]],[2]!PERSONAL_ACTIVO_2024[[#All],[Mail ]],0,0)</f>
        <v>#NAME?</v>
      </c>
      <c r="AP151" s="147" t="e" cm="1">
        <f t="array" aca="1" ref="AP151" ca="1">_xlfn.XLOOKUP(Contrato5[[#This Row],[DOCUMENTO]],[2]!PERSONAL_ACTIVO_2024[[#All],[Documento identidad]],[2]!PERSONAL_ACTIVO_2024[[#All],[Mail ]],0,0)</f>
        <v>#NAME?</v>
      </c>
      <c r="AQ151" s="439" cm="1">
        <f t="array" aca="1" ref="AQ151" ca="1">IF(ISBLANK(Contrato5[[#This Row],[DEPENDENCIA ]]),0,IFERROR(_xlfn.XLOOKUP(Contrato5[[#This Row],[DEPENDENCIA ]],[2]!PERSONAL_ACTIVO_2024[[#All],[Dependencia]],[2]!PERSONAL_ACTIVO_2024[[#All],[Mail ]],0,0),0))</f>
        <v>0</v>
      </c>
    </row>
    <row r="152" spans="1:43" ht="34.5" customHeight="1">
      <c r="A152" s="125">
        <v>226</v>
      </c>
      <c r="B152" s="124">
        <v>126</v>
      </c>
      <c r="C152" s="162" t="s">
        <v>1649</v>
      </c>
      <c r="D152" s="227" t="s">
        <v>583</v>
      </c>
      <c r="E152" s="128" t="s">
        <v>94</v>
      </c>
      <c r="F152" s="163" t="s">
        <v>1376</v>
      </c>
      <c r="G152" s="190" t="s">
        <v>750</v>
      </c>
      <c r="H152" s="447">
        <v>71216330</v>
      </c>
      <c r="I152" s="455">
        <v>4908936</v>
      </c>
      <c r="J152" s="456">
        <v>29453616</v>
      </c>
      <c r="K152" s="166" t="s">
        <v>42</v>
      </c>
      <c r="L152" s="438" t="s">
        <v>42</v>
      </c>
      <c r="M152" s="194" t="s">
        <v>589</v>
      </c>
      <c r="N152" s="192" t="e" cm="1">
        <f t="array" aca="1" ref="N152" ca="1">_xlfn.XLOOKUP(Contrato5[[#This Row],[SUPERVISOR TITULAR]],[2]!PERSONAL_ACTIVO_2024[[#All],[Nombre completo]],[2]!PERSONAL_ACTIVO_2024[[#All],[Documento identidad]],"",0)</f>
        <v>#NAME?</v>
      </c>
      <c r="O152" s="194" t="s">
        <v>586</v>
      </c>
      <c r="P152" s="196" t="e" cm="1">
        <f t="array" aca="1" ref="P152" ca="1">_xlfn.XLOOKUP(Contrato5[[#This Row],[SUPERVISOR SUPLENTE ]],[2]!PERSONAL_ACTIVO_2024[[#All],[Nombre completo]],[2]!PERSONAL_ACTIVO_2024[[#All],[Documento identidad]],"",0)</f>
        <v>#NAME?</v>
      </c>
      <c r="Q152" s="208">
        <v>154</v>
      </c>
      <c r="R152" s="137" t="e" cm="1">
        <f t="array" aca="1" ref="R152" ca="1">_xlfn.XLOOKUP(Contrato5[[#This Row],[CDP]],[2]!DISPONIBILIDADES_2024[[#All],[consecutivo]],[2]!DISPONIBILIDADES_2024[[#All],[fecha_aprobacion]],"",0)</f>
        <v>#NAME?</v>
      </c>
      <c r="S152" s="138" t="e">
        <f>SUMIF([2]!DISPONIBILIDADES_2024[[#All],[consecutivo]],Contrato5[[#This Row],[CDP]],[2]!DISPONIBILIDADES_2024[[#All],[valor_total_rubro]])</f>
        <v>#REF!</v>
      </c>
      <c r="T152" s="139" t="e" cm="1">
        <f t="array" aca="1" ref="T152" ca="1">_xlfn.XLOOKUP(Contrato5[[#This Row],[CONTRATO]]&amp;Contrato5[[#This Row],[CDP]],[2]!Corr_Contr_CDP[[#All],[CONTRATO-CDP]],[2]!Corr_Contr_CDP[[#All],[CRP]],_xlfn.XLOOKUP(Contrato5[[#This Row],[CDP]],[2]!COMPROMISOS_2024[[#All],[disponibilidad]],[2]!COMPROMISOS_2024[[#All],[consecutivo]],"",0),0)</f>
        <v>#NAME?</v>
      </c>
      <c r="U152" s="140" t="e" cm="1">
        <f t="array" aca="1" ref="U152" ca="1">+_xlfn.XLOOKUP(Contrato5[[#This Row],[RCP]],[2]!COMPROMISOS_2024[[#All],[consecutivo]],[2]!COMPROMISOS_2024[[#All],[fecha_aprobacion]],"",0)</f>
        <v>#NAME?</v>
      </c>
      <c r="V152" s="141" t="e">
        <f ca="1">SUMIF([2]!COMPROMISOS_2024[[#All],[consecutivo]],Contrato5[[#This Row],[RCP]],[2]!COMPROMISOS_2024[[#All],[valor_total]])</f>
        <v>#REF!</v>
      </c>
      <c r="W152" s="415">
        <v>45337</v>
      </c>
      <c r="X152" s="415">
        <v>45338</v>
      </c>
      <c r="Y152" s="143">
        <v>45338</v>
      </c>
      <c r="Z152" s="262">
        <v>45519</v>
      </c>
      <c r="AA152" s="183" t="s">
        <v>651</v>
      </c>
      <c r="AB152" s="161" t="s">
        <v>640</v>
      </c>
      <c r="AC152" s="161"/>
      <c r="AD152" s="211">
        <v>202000003732</v>
      </c>
      <c r="AE152" s="147" t="s">
        <v>523</v>
      </c>
      <c r="AF152" s="148" t="str">
        <f>TEXT(LEFT(Contrato5[[#This Row],[CONTRATO]],3),"0")</f>
        <v>126</v>
      </c>
      <c r="AG152" s="148" t="str">
        <f>IF(LEN(Contrato5[[#This Row],[Contrato2]])=3,Contrato5[[#This Row],[Contrato2]],TEXT(Contrato5[[#This Row],[Contrato2]],"000"))</f>
        <v>126</v>
      </c>
      <c r="AH152" s="149">
        <f ca="1">IFERROR(_xlfn.DAYS(Contrato5[[#This Row],[Fecha Proyectada liquidación]],TODAY())/30,"")</f>
        <v>-3.9666666666666668</v>
      </c>
      <c r="AI152" s="150">
        <f>+Contrato5[[#This Row],[FECHA TERMINACIÓN ]]+120</f>
        <v>45639</v>
      </c>
      <c r="AJ152" s="147"/>
      <c r="AK152" s="152" t="str">
        <f ca="1">IF(Contrato5[[#This Row],[FECHA TERMINACIÓN ]]&lt;TODAY(), "Terminado",IF(ISNUMBER(Contrato5[[#This Row],[Fecha Real de liquiidación ]]),"Liquidado",IF(Contrato5[[#This Row],[FECHA TERMINACIÓN ]]&gt;=TODAY(),"En ejecución","")))</f>
        <v>Terminado</v>
      </c>
      <c r="AL152" s="153" t="e">
        <f ca="1">SUMIF([2]!COMPROMISOS_2024[[#All],[consecutivo]],Contrato5[[#This Row],[RCP]],[2]!COMPROMISOS_2024[[#All],[Total pagado]])</f>
        <v>#REF!</v>
      </c>
      <c r="AM152" s="154">
        <f ca="1">IFERROR(Contrato5[[#This Row],[Pagos]]/Contrato5[[#This Row],[VALOR CONTRATO]],0)</f>
        <v>0</v>
      </c>
      <c r="AN152" s="198" t="e">
        <f ca="1">+Contrato5[[#This Row],[VALOR CONTRATO]]-Contrato5[[#This Row],[Pagos]]</f>
        <v>#REF!</v>
      </c>
      <c r="AO152" s="147" t="e" cm="1">
        <f t="array" aca="1" ref="AO152" ca="1">_xlfn.XLOOKUP(Contrato5[[#This Row],[DOCUMENTO ]],[2]!PERSONAL_ACTIVO_2024[[#All],[Documento identidad]],[2]!PERSONAL_ACTIVO_2024[[#All],[Mail ]],0,0)</f>
        <v>#NAME?</v>
      </c>
      <c r="AP152" s="147" t="e" cm="1">
        <f t="array" aca="1" ref="AP152" ca="1">_xlfn.XLOOKUP(Contrato5[[#This Row],[DOCUMENTO]],[2]!PERSONAL_ACTIVO_2024[[#All],[Documento identidad]],[2]!PERSONAL_ACTIVO_2024[[#All],[Mail ]],0,0)</f>
        <v>#NAME?</v>
      </c>
      <c r="AQ152" s="439" cm="1">
        <f t="array" aca="1" ref="AQ152" ca="1">IF(ISBLANK(Contrato5[[#This Row],[DEPENDENCIA ]]),0,IFERROR(_xlfn.XLOOKUP(Contrato5[[#This Row],[DEPENDENCIA ]],[2]!PERSONAL_ACTIVO_2024[[#All],[Dependencia]],[2]!PERSONAL_ACTIVO_2024[[#All],[Mail ]],0,0),0))</f>
        <v>0</v>
      </c>
    </row>
    <row r="153" spans="1:43" ht="34.5" customHeight="1">
      <c r="A153" s="125">
        <v>227</v>
      </c>
      <c r="B153" s="124">
        <v>127</v>
      </c>
      <c r="C153" s="162" t="s">
        <v>1650</v>
      </c>
      <c r="D153" s="227" t="s">
        <v>583</v>
      </c>
      <c r="E153" s="128" t="s">
        <v>94</v>
      </c>
      <c r="F153" s="163" t="s">
        <v>1376</v>
      </c>
      <c r="G153" s="190" t="s">
        <v>751</v>
      </c>
      <c r="H153" s="447">
        <v>6892057</v>
      </c>
      <c r="I153" s="455">
        <v>4908936</v>
      </c>
      <c r="J153" s="456">
        <v>29453616</v>
      </c>
      <c r="K153" s="166" t="s">
        <v>42</v>
      </c>
      <c r="L153" s="438" t="s">
        <v>42</v>
      </c>
      <c r="M153" s="194" t="s">
        <v>586</v>
      </c>
      <c r="N153" s="177" t="e" cm="1">
        <f t="array" aca="1" ref="N153" ca="1">_xlfn.XLOOKUP(Contrato5[[#This Row],[SUPERVISOR TITULAR]],[2]!PERSONAL_ACTIVO_2024[[#All],[Nombre completo]],[2]!PERSONAL_ACTIVO_2024[[#All],[Documento identidad]],"",0)</f>
        <v>#NAME?</v>
      </c>
      <c r="O153" s="194" t="s">
        <v>589</v>
      </c>
      <c r="P153" s="196" t="e" cm="1">
        <f t="array" aca="1" ref="P153" ca="1">_xlfn.XLOOKUP(Contrato5[[#This Row],[SUPERVISOR SUPLENTE ]],[2]!PERSONAL_ACTIVO_2024[[#All],[Nombre completo]],[2]!PERSONAL_ACTIVO_2024[[#All],[Documento identidad]],"",0)</f>
        <v>#NAME?</v>
      </c>
      <c r="Q153" s="208">
        <v>155</v>
      </c>
      <c r="R153" s="137" t="e" cm="1">
        <f t="array" aca="1" ref="R153" ca="1">_xlfn.XLOOKUP(Contrato5[[#This Row],[CDP]],[2]!DISPONIBILIDADES_2024[[#All],[consecutivo]],[2]!DISPONIBILIDADES_2024[[#All],[fecha_aprobacion]],"",0)</f>
        <v>#NAME?</v>
      </c>
      <c r="S153" s="138" t="e">
        <f>SUMIF([2]!DISPONIBILIDADES_2024[[#All],[consecutivo]],Contrato5[[#This Row],[CDP]],[2]!DISPONIBILIDADES_2024[[#All],[valor_total_rubro]])</f>
        <v>#REF!</v>
      </c>
      <c r="T153" s="139" t="e" cm="1">
        <f t="array" aca="1" ref="T153" ca="1">_xlfn.XLOOKUP(Contrato5[[#This Row],[CONTRATO]]&amp;Contrato5[[#This Row],[CDP]],[2]!Corr_Contr_CDP[[#All],[CONTRATO-CDP]],[2]!Corr_Contr_CDP[[#All],[CRP]],_xlfn.XLOOKUP(Contrato5[[#This Row],[CDP]],[2]!COMPROMISOS_2024[[#All],[disponibilidad]],[2]!COMPROMISOS_2024[[#All],[consecutivo]],"",0),0)</f>
        <v>#NAME?</v>
      </c>
      <c r="U153" s="140" t="e" cm="1">
        <f t="array" aca="1" ref="U153" ca="1">+_xlfn.XLOOKUP(Contrato5[[#This Row],[RCP]],[2]!COMPROMISOS_2024[[#All],[consecutivo]],[2]!COMPROMISOS_2024[[#All],[fecha_aprobacion]],"",0)</f>
        <v>#NAME?</v>
      </c>
      <c r="V153" s="141" t="e">
        <f ca="1">SUMIF([2]!COMPROMISOS_2024[[#All],[consecutivo]],Contrato5[[#This Row],[RCP]],[2]!COMPROMISOS_2024[[#All],[valor_total]])</f>
        <v>#REF!</v>
      </c>
      <c r="W153" s="415">
        <v>45337</v>
      </c>
      <c r="X153" s="415">
        <v>45338</v>
      </c>
      <c r="Y153" s="143">
        <v>45338</v>
      </c>
      <c r="Z153" s="262">
        <v>45519</v>
      </c>
      <c r="AA153" s="171" t="s">
        <v>651</v>
      </c>
      <c r="AB153" s="161" t="s">
        <v>640</v>
      </c>
      <c r="AC153" s="161"/>
      <c r="AD153" s="211">
        <v>202000003733</v>
      </c>
      <c r="AE153" s="147" t="s">
        <v>523</v>
      </c>
      <c r="AF153" s="148" t="str">
        <f>TEXT(LEFT(Contrato5[[#This Row],[CONTRATO]],3),"0")</f>
        <v>127</v>
      </c>
      <c r="AG153" s="148" t="str">
        <f>IF(LEN(Contrato5[[#This Row],[Contrato2]])=3,Contrato5[[#This Row],[Contrato2]],TEXT(Contrato5[[#This Row],[Contrato2]],"000"))</f>
        <v>127</v>
      </c>
      <c r="AH153" s="149">
        <f ca="1">IFERROR(_xlfn.DAYS(Contrato5[[#This Row],[Fecha Proyectada liquidación]],TODAY())/30,"")</f>
        <v>-3.9666666666666668</v>
      </c>
      <c r="AI153" s="150">
        <f>+Contrato5[[#This Row],[FECHA TERMINACIÓN ]]+120</f>
        <v>45639</v>
      </c>
      <c r="AJ153" s="147"/>
      <c r="AK153" s="152" t="str">
        <f ca="1">IF(Contrato5[[#This Row],[FECHA TERMINACIÓN ]]&lt;TODAY(), "Terminado",IF(ISNUMBER(Contrato5[[#This Row],[Fecha Real de liquiidación ]]),"Liquidado",IF(Contrato5[[#This Row],[FECHA TERMINACIÓN ]]&gt;=TODAY(),"En ejecución","")))</f>
        <v>Terminado</v>
      </c>
      <c r="AL153" s="153" t="e">
        <f ca="1">SUMIF([2]!COMPROMISOS_2024[[#All],[consecutivo]],Contrato5[[#This Row],[RCP]],[2]!COMPROMISOS_2024[[#All],[Total pagado]])</f>
        <v>#REF!</v>
      </c>
      <c r="AM153" s="154">
        <f ca="1">IFERROR(Contrato5[[#This Row],[Pagos]]/Contrato5[[#This Row],[VALOR CONTRATO]],0)</f>
        <v>0</v>
      </c>
      <c r="AN153" s="198" t="e">
        <f ca="1">+Contrato5[[#This Row],[VALOR CONTRATO]]-Contrato5[[#This Row],[Pagos]]</f>
        <v>#REF!</v>
      </c>
      <c r="AO153" s="147" t="e" cm="1">
        <f t="array" aca="1" ref="AO153" ca="1">_xlfn.XLOOKUP(Contrato5[[#This Row],[DOCUMENTO ]],[2]!PERSONAL_ACTIVO_2024[[#All],[Documento identidad]],[2]!PERSONAL_ACTIVO_2024[[#All],[Mail ]],0,0)</f>
        <v>#NAME?</v>
      </c>
      <c r="AP153" s="147" t="e" cm="1">
        <f t="array" aca="1" ref="AP153" ca="1">_xlfn.XLOOKUP(Contrato5[[#This Row],[DOCUMENTO]],[2]!PERSONAL_ACTIVO_2024[[#All],[Documento identidad]],[2]!PERSONAL_ACTIVO_2024[[#All],[Mail ]],0,0)</f>
        <v>#NAME?</v>
      </c>
      <c r="AQ153" s="439" cm="1">
        <f t="array" aca="1" ref="AQ153" ca="1">IF(ISBLANK(Contrato5[[#This Row],[DEPENDENCIA ]]),0,IFERROR(_xlfn.XLOOKUP(Contrato5[[#This Row],[DEPENDENCIA ]],[2]!PERSONAL_ACTIVO_2024[[#All],[Dependencia]],[2]!PERSONAL_ACTIVO_2024[[#All],[Mail ]],0,0),0))</f>
        <v>0</v>
      </c>
    </row>
    <row r="154" spans="1:43" ht="34.5" customHeight="1">
      <c r="A154" s="125">
        <v>228</v>
      </c>
      <c r="B154" s="124">
        <v>128</v>
      </c>
      <c r="C154" s="162" t="s">
        <v>1651</v>
      </c>
      <c r="D154" s="227" t="s">
        <v>583</v>
      </c>
      <c r="E154" s="128" t="s">
        <v>94</v>
      </c>
      <c r="F154" s="163" t="s">
        <v>1376</v>
      </c>
      <c r="G154" s="190" t="s">
        <v>752</v>
      </c>
      <c r="H154" s="447">
        <v>43918828</v>
      </c>
      <c r="I154" s="455">
        <v>6920169</v>
      </c>
      <c r="J154" s="456">
        <v>41521014</v>
      </c>
      <c r="K154" s="166" t="s">
        <v>42</v>
      </c>
      <c r="L154" s="438" t="s">
        <v>42</v>
      </c>
      <c r="M154" s="194" t="s">
        <v>600</v>
      </c>
      <c r="N154" s="177" t="e" cm="1">
        <f t="array" aca="1" ref="N154" ca="1">_xlfn.XLOOKUP(Contrato5[[#This Row],[SUPERVISOR TITULAR]],[2]!PERSONAL_ACTIVO_2024[[#All],[Nombre completo]],[2]!PERSONAL_ACTIVO_2024[[#All],[Documento identidad]],"",0)</f>
        <v>#NAME?</v>
      </c>
      <c r="O154" s="194" t="s">
        <v>2495</v>
      </c>
      <c r="P154" s="196" t="e" cm="1">
        <f t="array" aca="1" ref="P154" ca="1">_xlfn.XLOOKUP(Contrato5[[#This Row],[SUPERVISOR SUPLENTE ]],[2]!PERSONAL_ACTIVO_2024[[#All],[Nombre completo]],[2]!PERSONAL_ACTIVO_2024[[#All],[Documento identidad]],"",0)</f>
        <v>#NAME?</v>
      </c>
      <c r="Q154" s="208">
        <v>156</v>
      </c>
      <c r="R154" s="137" t="e" cm="1">
        <f t="array" aca="1" ref="R154" ca="1">_xlfn.XLOOKUP(Contrato5[[#This Row],[CDP]],[2]!DISPONIBILIDADES_2024[[#All],[consecutivo]],[2]!DISPONIBILIDADES_2024[[#All],[fecha_aprobacion]],"",0)</f>
        <v>#NAME?</v>
      </c>
      <c r="S154" s="138" t="e">
        <f>SUMIF([2]!DISPONIBILIDADES_2024[[#All],[consecutivo]],Contrato5[[#This Row],[CDP]],[2]!DISPONIBILIDADES_2024[[#All],[valor_total_rubro]])</f>
        <v>#REF!</v>
      </c>
      <c r="T154" s="139" t="e" cm="1">
        <f t="array" aca="1" ref="T154" ca="1">_xlfn.XLOOKUP(Contrato5[[#This Row],[CONTRATO]]&amp;Contrato5[[#This Row],[CDP]],[2]!Corr_Contr_CDP[[#All],[CONTRATO-CDP]],[2]!Corr_Contr_CDP[[#All],[CRP]],_xlfn.XLOOKUP(Contrato5[[#This Row],[CDP]],[2]!COMPROMISOS_2024[[#All],[disponibilidad]],[2]!COMPROMISOS_2024[[#All],[consecutivo]],"",0),0)</f>
        <v>#NAME?</v>
      </c>
      <c r="U154" s="140" t="e" cm="1">
        <f t="array" aca="1" ref="U154" ca="1">+_xlfn.XLOOKUP(Contrato5[[#This Row],[RCP]],[2]!COMPROMISOS_2024[[#All],[consecutivo]],[2]!COMPROMISOS_2024[[#All],[fecha_aprobacion]],"",0)</f>
        <v>#NAME?</v>
      </c>
      <c r="V154" s="141" t="e">
        <f ca="1">SUMIF([2]!COMPROMISOS_2024[[#All],[consecutivo]],Contrato5[[#This Row],[RCP]],[2]!COMPROMISOS_2024[[#All],[valor_total]])</f>
        <v>#REF!</v>
      </c>
      <c r="W154" s="415">
        <v>45337</v>
      </c>
      <c r="X154" s="415">
        <v>45338</v>
      </c>
      <c r="Y154" s="143">
        <v>45338</v>
      </c>
      <c r="Z154" s="262">
        <v>45519</v>
      </c>
      <c r="AA154" s="171" t="s">
        <v>651</v>
      </c>
      <c r="AB154" s="161" t="s">
        <v>640</v>
      </c>
      <c r="AC154" s="161"/>
      <c r="AD154" s="211">
        <v>202000003734</v>
      </c>
      <c r="AE154" s="147" t="s">
        <v>523</v>
      </c>
      <c r="AF154" s="148" t="str">
        <f>TEXT(LEFT(Contrato5[[#This Row],[CONTRATO]],3),"0")</f>
        <v>128</v>
      </c>
      <c r="AG154" s="148" t="str">
        <f>IF(LEN(Contrato5[[#This Row],[Contrato2]])=3,Contrato5[[#This Row],[Contrato2]],TEXT(Contrato5[[#This Row],[Contrato2]],"000"))</f>
        <v>128</v>
      </c>
      <c r="AH154" s="149">
        <f ca="1">IFERROR(_xlfn.DAYS(Contrato5[[#This Row],[Fecha Proyectada liquidación]],TODAY())/30,"")</f>
        <v>-3.9666666666666668</v>
      </c>
      <c r="AI154" s="150">
        <f>+Contrato5[[#This Row],[FECHA TERMINACIÓN ]]+120</f>
        <v>45639</v>
      </c>
      <c r="AJ154" s="147"/>
      <c r="AK154" s="152" t="str">
        <f ca="1">IF(Contrato5[[#This Row],[FECHA TERMINACIÓN ]]&lt;TODAY(), "Terminado",IF(ISNUMBER(Contrato5[[#This Row],[Fecha Real de liquiidación ]]),"Liquidado",IF(Contrato5[[#This Row],[FECHA TERMINACIÓN ]]&gt;=TODAY(),"En ejecución","")))</f>
        <v>Terminado</v>
      </c>
      <c r="AL154" s="153" t="e">
        <f ca="1">SUMIF([2]!COMPROMISOS_2024[[#All],[consecutivo]],Contrato5[[#This Row],[RCP]],[2]!COMPROMISOS_2024[[#All],[Total pagado]])</f>
        <v>#REF!</v>
      </c>
      <c r="AM154" s="154">
        <f ca="1">IFERROR(Contrato5[[#This Row],[Pagos]]/Contrato5[[#This Row],[VALOR CONTRATO]],0)</f>
        <v>0</v>
      </c>
      <c r="AN154" s="198" t="e">
        <f ca="1">+Contrato5[[#This Row],[VALOR CONTRATO]]-Contrato5[[#This Row],[Pagos]]</f>
        <v>#REF!</v>
      </c>
      <c r="AO154" s="147" t="e" cm="1">
        <f t="array" aca="1" ref="AO154" ca="1">_xlfn.XLOOKUP(Contrato5[[#This Row],[DOCUMENTO ]],[2]!PERSONAL_ACTIVO_2024[[#All],[Documento identidad]],[2]!PERSONAL_ACTIVO_2024[[#All],[Mail ]],0,0)</f>
        <v>#NAME?</v>
      </c>
      <c r="AP154" s="147" t="e" cm="1">
        <f t="array" aca="1" ref="AP154" ca="1">_xlfn.XLOOKUP(Contrato5[[#This Row],[DOCUMENTO]],[2]!PERSONAL_ACTIVO_2024[[#All],[Documento identidad]],[2]!PERSONAL_ACTIVO_2024[[#All],[Mail ]],0,0)</f>
        <v>#NAME?</v>
      </c>
      <c r="AQ154" s="439" cm="1">
        <f t="array" aca="1" ref="AQ154" ca="1">IF(ISBLANK(Contrato5[[#This Row],[DEPENDENCIA ]]),0,IFERROR(_xlfn.XLOOKUP(Contrato5[[#This Row],[DEPENDENCIA ]],[2]!PERSONAL_ACTIVO_2024[[#All],[Dependencia]],[2]!PERSONAL_ACTIVO_2024[[#All],[Mail ]],0,0),0))</f>
        <v>0</v>
      </c>
    </row>
    <row r="155" spans="1:43" ht="34.5" customHeight="1">
      <c r="A155" s="125">
        <v>229</v>
      </c>
      <c r="B155" s="124">
        <v>129</v>
      </c>
      <c r="C155" s="162" t="s">
        <v>1652</v>
      </c>
      <c r="D155" s="227" t="s">
        <v>583</v>
      </c>
      <c r="E155" s="128" t="s">
        <v>94</v>
      </c>
      <c r="F155" s="163" t="s">
        <v>1376</v>
      </c>
      <c r="G155" s="190" t="s">
        <v>753</v>
      </c>
      <c r="H155" s="447">
        <v>98530582</v>
      </c>
      <c r="I155" s="455">
        <v>3952382</v>
      </c>
      <c r="J155" s="456">
        <v>23714292</v>
      </c>
      <c r="K155" s="166" t="s">
        <v>42</v>
      </c>
      <c r="L155" s="438" t="s">
        <v>42</v>
      </c>
      <c r="M155" s="194" t="s">
        <v>586</v>
      </c>
      <c r="N155" s="177" t="e" cm="1">
        <f t="array" aca="1" ref="N155" ca="1">_xlfn.XLOOKUP(Contrato5[[#This Row],[SUPERVISOR TITULAR]],[2]!PERSONAL_ACTIVO_2024[[#All],[Nombre completo]],[2]!PERSONAL_ACTIVO_2024[[#All],[Documento identidad]],"",0)</f>
        <v>#NAME?</v>
      </c>
      <c r="O155" s="194" t="s">
        <v>589</v>
      </c>
      <c r="P155" s="196" t="e" cm="1">
        <f t="array" aca="1" ref="P155" ca="1">_xlfn.XLOOKUP(Contrato5[[#This Row],[SUPERVISOR SUPLENTE ]],[2]!PERSONAL_ACTIVO_2024[[#All],[Nombre completo]],[2]!PERSONAL_ACTIVO_2024[[#All],[Documento identidad]],"",0)</f>
        <v>#NAME?</v>
      </c>
      <c r="Q155" s="208">
        <v>157</v>
      </c>
      <c r="R155" s="137" t="e" cm="1">
        <f t="array" aca="1" ref="R155" ca="1">_xlfn.XLOOKUP(Contrato5[[#This Row],[CDP]],[2]!DISPONIBILIDADES_2024[[#All],[consecutivo]],[2]!DISPONIBILIDADES_2024[[#All],[fecha_aprobacion]],"",0)</f>
        <v>#NAME?</v>
      </c>
      <c r="S155" s="138" t="e">
        <f>SUMIF([2]!DISPONIBILIDADES_2024[[#All],[consecutivo]],Contrato5[[#This Row],[CDP]],[2]!DISPONIBILIDADES_2024[[#All],[valor_total_rubro]])</f>
        <v>#REF!</v>
      </c>
      <c r="T155" s="139" t="e" cm="1">
        <f t="array" aca="1" ref="T155" ca="1">_xlfn.XLOOKUP(Contrato5[[#This Row],[CONTRATO]]&amp;Contrato5[[#This Row],[CDP]],[2]!Corr_Contr_CDP[[#All],[CONTRATO-CDP]],[2]!Corr_Contr_CDP[[#All],[CRP]],_xlfn.XLOOKUP(Contrato5[[#This Row],[CDP]],[2]!COMPROMISOS_2024[[#All],[disponibilidad]],[2]!COMPROMISOS_2024[[#All],[consecutivo]],"",0),0)</f>
        <v>#NAME?</v>
      </c>
      <c r="U155" s="140" t="e" cm="1">
        <f t="array" aca="1" ref="U155" ca="1">+_xlfn.XLOOKUP(Contrato5[[#This Row],[RCP]],[2]!COMPROMISOS_2024[[#All],[consecutivo]],[2]!COMPROMISOS_2024[[#All],[fecha_aprobacion]],"",0)</f>
        <v>#NAME?</v>
      </c>
      <c r="V155" s="141" t="e">
        <f ca="1">SUMIF([2]!COMPROMISOS_2024[[#All],[consecutivo]],Contrato5[[#This Row],[RCP]],[2]!COMPROMISOS_2024[[#All],[valor_total]])</f>
        <v>#REF!</v>
      </c>
      <c r="W155" s="415">
        <v>45337</v>
      </c>
      <c r="X155" s="415">
        <v>45338</v>
      </c>
      <c r="Y155" s="143">
        <v>45338</v>
      </c>
      <c r="Z155" s="262">
        <v>45519</v>
      </c>
      <c r="AA155" s="171" t="s">
        <v>651</v>
      </c>
      <c r="AB155" s="161" t="s">
        <v>640</v>
      </c>
      <c r="AC155" s="161"/>
      <c r="AD155" s="211">
        <v>202000003735</v>
      </c>
      <c r="AE155" s="147" t="s">
        <v>523</v>
      </c>
      <c r="AF155" s="148" t="str">
        <f>TEXT(LEFT(Contrato5[[#This Row],[CONTRATO]],3),"0")</f>
        <v>129</v>
      </c>
      <c r="AG155" s="148" t="str">
        <f>IF(LEN(Contrato5[[#This Row],[Contrato2]])=3,Contrato5[[#This Row],[Contrato2]],TEXT(Contrato5[[#This Row],[Contrato2]],"000"))</f>
        <v>129</v>
      </c>
      <c r="AH155" s="149">
        <f ca="1">IFERROR(_xlfn.DAYS(Contrato5[[#This Row],[Fecha Proyectada liquidación]],TODAY())/30,"")</f>
        <v>-3.9666666666666668</v>
      </c>
      <c r="AI155" s="150">
        <f>+Contrato5[[#This Row],[FECHA TERMINACIÓN ]]+120</f>
        <v>45639</v>
      </c>
      <c r="AJ155" s="147"/>
      <c r="AK155" s="152" t="str">
        <f ca="1">IF(Contrato5[[#This Row],[FECHA TERMINACIÓN ]]&lt;TODAY(), "Terminado",IF(ISNUMBER(Contrato5[[#This Row],[Fecha Real de liquiidación ]]),"Liquidado",IF(Contrato5[[#This Row],[FECHA TERMINACIÓN ]]&gt;=TODAY(),"En ejecución","")))</f>
        <v>Terminado</v>
      </c>
      <c r="AL155" s="153" t="e">
        <f ca="1">SUMIF([2]!COMPROMISOS_2024[[#All],[consecutivo]],Contrato5[[#This Row],[RCP]],[2]!COMPROMISOS_2024[[#All],[Total pagado]])</f>
        <v>#REF!</v>
      </c>
      <c r="AM155" s="154">
        <f ca="1">IFERROR(Contrato5[[#This Row],[Pagos]]/Contrato5[[#This Row],[VALOR CONTRATO]],0)</f>
        <v>0</v>
      </c>
      <c r="AN155" s="198" t="e">
        <f ca="1">+Contrato5[[#This Row],[VALOR CONTRATO]]-Contrato5[[#This Row],[Pagos]]</f>
        <v>#REF!</v>
      </c>
      <c r="AO155" s="147" t="e" cm="1">
        <f t="array" aca="1" ref="AO155" ca="1">_xlfn.XLOOKUP(Contrato5[[#This Row],[DOCUMENTO ]],[2]!PERSONAL_ACTIVO_2024[[#All],[Documento identidad]],[2]!PERSONAL_ACTIVO_2024[[#All],[Mail ]],0,0)</f>
        <v>#NAME?</v>
      </c>
      <c r="AP155" s="147" t="e" cm="1">
        <f t="array" aca="1" ref="AP155" ca="1">_xlfn.XLOOKUP(Contrato5[[#This Row],[DOCUMENTO]],[2]!PERSONAL_ACTIVO_2024[[#All],[Documento identidad]],[2]!PERSONAL_ACTIVO_2024[[#All],[Mail ]],0,0)</f>
        <v>#NAME?</v>
      </c>
      <c r="AQ155" s="439" cm="1">
        <f t="array" aca="1" ref="AQ155" ca="1">IF(ISBLANK(Contrato5[[#This Row],[DEPENDENCIA ]]),0,IFERROR(_xlfn.XLOOKUP(Contrato5[[#This Row],[DEPENDENCIA ]],[2]!PERSONAL_ACTIVO_2024[[#All],[Dependencia]],[2]!PERSONAL_ACTIVO_2024[[#All],[Mail ]],0,0),0))</f>
        <v>0</v>
      </c>
    </row>
    <row r="156" spans="1:43" ht="34.5" customHeight="1">
      <c r="A156" s="125">
        <v>232</v>
      </c>
      <c r="B156" s="124">
        <v>130</v>
      </c>
      <c r="C156" s="162" t="s">
        <v>1654</v>
      </c>
      <c r="D156" s="227" t="s">
        <v>583</v>
      </c>
      <c r="E156" s="128" t="s">
        <v>94</v>
      </c>
      <c r="F156" s="163" t="s">
        <v>1376</v>
      </c>
      <c r="G156" s="190" t="s">
        <v>754</v>
      </c>
      <c r="H156" s="447">
        <v>78688947</v>
      </c>
      <c r="I156" s="455">
        <v>2574842</v>
      </c>
      <c r="J156" s="456">
        <v>15449052</v>
      </c>
      <c r="K156" s="166" t="s">
        <v>42</v>
      </c>
      <c r="L156" s="438" t="s">
        <v>42</v>
      </c>
      <c r="M156" s="194" t="s">
        <v>586</v>
      </c>
      <c r="N156" s="177" t="e" cm="1">
        <f t="array" aca="1" ref="N156" ca="1">_xlfn.XLOOKUP(Contrato5[[#This Row],[SUPERVISOR TITULAR]],[2]!PERSONAL_ACTIVO_2024[[#All],[Nombre completo]],[2]!PERSONAL_ACTIVO_2024[[#All],[Documento identidad]],"",0)</f>
        <v>#NAME?</v>
      </c>
      <c r="O156" s="194" t="s">
        <v>589</v>
      </c>
      <c r="P156" s="196" t="e" cm="1">
        <f t="array" aca="1" ref="P156" ca="1">_xlfn.XLOOKUP(Contrato5[[#This Row],[SUPERVISOR SUPLENTE ]],[2]!PERSONAL_ACTIVO_2024[[#All],[Nombre completo]],[2]!PERSONAL_ACTIVO_2024[[#All],[Documento identidad]],"",0)</f>
        <v>#NAME?</v>
      </c>
      <c r="Q156" s="208">
        <v>160</v>
      </c>
      <c r="R156" s="137" t="e" cm="1">
        <f t="array" aca="1" ref="R156" ca="1">_xlfn.XLOOKUP(Contrato5[[#This Row],[CDP]],[2]!DISPONIBILIDADES_2024[[#All],[consecutivo]],[2]!DISPONIBILIDADES_2024[[#All],[fecha_aprobacion]],"",0)</f>
        <v>#NAME?</v>
      </c>
      <c r="S156" s="138" t="e">
        <f>SUMIF([2]!DISPONIBILIDADES_2024[[#All],[consecutivo]],Contrato5[[#This Row],[CDP]],[2]!DISPONIBILIDADES_2024[[#All],[valor_total_rubro]])</f>
        <v>#REF!</v>
      </c>
      <c r="T156" s="139" t="e" cm="1">
        <f t="array" aca="1" ref="T156" ca="1">_xlfn.XLOOKUP(Contrato5[[#This Row],[CONTRATO]]&amp;Contrato5[[#This Row],[CDP]],[2]!Corr_Contr_CDP[[#All],[CONTRATO-CDP]],[2]!Corr_Contr_CDP[[#All],[CRP]],_xlfn.XLOOKUP(Contrato5[[#This Row],[CDP]],[2]!COMPROMISOS_2024[[#All],[disponibilidad]],[2]!COMPROMISOS_2024[[#All],[consecutivo]],"",0),0)</f>
        <v>#NAME?</v>
      </c>
      <c r="U156" s="140" t="e" cm="1">
        <f t="array" aca="1" ref="U156" ca="1">+_xlfn.XLOOKUP(Contrato5[[#This Row],[RCP]],[2]!COMPROMISOS_2024[[#All],[consecutivo]],[2]!COMPROMISOS_2024[[#All],[fecha_aprobacion]],"",0)</f>
        <v>#NAME?</v>
      </c>
      <c r="V156" s="141" t="e">
        <f ca="1">SUMIF([2]!COMPROMISOS_2024[[#All],[consecutivo]],Contrato5[[#This Row],[RCP]],[2]!COMPROMISOS_2024[[#All],[valor_total]])</f>
        <v>#REF!</v>
      </c>
      <c r="W156" s="415">
        <v>45337</v>
      </c>
      <c r="X156" s="415">
        <v>45337</v>
      </c>
      <c r="Y156" s="143">
        <v>45338</v>
      </c>
      <c r="Z156" s="262">
        <v>45519</v>
      </c>
      <c r="AA156" s="171" t="s">
        <v>653</v>
      </c>
      <c r="AB156" s="161" t="s">
        <v>640</v>
      </c>
      <c r="AC156" s="161"/>
      <c r="AD156" s="211">
        <v>202000003736</v>
      </c>
      <c r="AE156" s="147" t="s">
        <v>523</v>
      </c>
      <c r="AF156" s="148" t="str">
        <f>TEXT(LEFT(Contrato5[[#This Row],[CONTRATO]],3),"0")</f>
        <v>130</v>
      </c>
      <c r="AG156" s="148" t="str">
        <f>IF(LEN(Contrato5[[#This Row],[Contrato2]])=3,Contrato5[[#This Row],[Contrato2]],TEXT(Contrato5[[#This Row],[Contrato2]],"000"))</f>
        <v>130</v>
      </c>
      <c r="AH156" s="149">
        <f ca="1">IFERROR(_xlfn.DAYS(Contrato5[[#This Row],[Fecha Proyectada liquidación]],TODAY())/30,"")</f>
        <v>-3.9666666666666668</v>
      </c>
      <c r="AI156" s="150">
        <f>+Contrato5[[#This Row],[FECHA TERMINACIÓN ]]+120</f>
        <v>45639</v>
      </c>
      <c r="AJ156" s="147"/>
      <c r="AK156" s="152" t="str">
        <f ca="1">IF(Contrato5[[#This Row],[FECHA TERMINACIÓN ]]&lt;TODAY(), "Terminado",IF(ISNUMBER(Contrato5[[#This Row],[Fecha Real de liquiidación ]]),"Liquidado",IF(Contrato5[[#This Row],[FECHA TERMINACIÓN ]]&gt;=TODAY(),"En ejecución","")))</f>
        <v>Terminado</v>
      </c>
      <c r="AL156" s="153" t="e">
        <f ca="1">SUMIF([2]!COMPROMISOS_2024[[#All],[consecutivo]],Contrato5[[#This Row],[RCP]],[2]!COMPROMISOS_2024[[#All],[Total pagado]])</f>
        <v>#REF!</v>
      </c>
      <c r="AM156" s="154">
        <f ca="1">IFERROR(Contrato5[[#This Row],[Pagos]]/Contrato5[[#This Row],[VALOR CONTRATO]],0)</f>
        <v>0</v>
      </c>
      <c r="AN156" s="198" t="e">
        <f ca="1">+Contrato5[[#This Row],[VALOR CONTRATO]]-Contrato5[[#This Row],[Pagos]]</f>
        <v>#REF!</v>
      </c>
      <c r="AO156" s="147" t="e" cm="1">
        <f t="array" aca="1" ref="AO156" ca="1">_xlfn.XLOOKUP(Contrato5[[#This Row],[DOCUMENTO ]],[2]!PERSONAL_ACTIVO_2024[[#All],[Documento identidad]],[2]!PERSONAL_ACTIVO_2024[[#All],[Mail ]],0,0)</f>
        <v>#NAME?</v>
      </c>
      <c r="AP156" s="147" t="e" cm="1">
        <f t="array" aca="1" ref="AP156" ca="1">_xlfn.XLOOKUP(Contrato5[[#This Row],[DOCUMENTO]],[2]!PERSONAL_ACTIVO_2024[[#All],[Documento identidad]],[2]!PERSONAL_ACTIVO_2024[[#All],[Mail ]],0,0)</f>
        <v>#NAME?</v>
      </c>
      <c r="AQ156" s="439" cm="1">
        <f t="array" aca="1" ref="AQ156" ca="1">IF(ISBLANK(Contrato5[[#This Row],[DEPENDENCIA ]]),0,IFERROR(_xlfn.XLOOKUP(Contrato5[[#This Row],[DEPENDENCIA ]],[2]!PERSONAL_ACTIVO_2024[[#All],[Dependencia]],[2]!PERSONAL_ACTIVO_2024[[#All],[Mail ]],0,0),0))</f>
        <v>0</v>
      </c>
    </row>
    <row r="157" spans="1:43" ht="34.5" customHeight="1">
      <c r="A157" s="125">
        <v>233</v>
      </c>
      <c r="B157" s="124">
        <v>131</v>
      </c>
      <c r="C157" s="162" t="s">
        <v>1655</v>
      </c>
      <c r="D157" s="227" t="s">
        <v>583</v>
      </c>
      <c r="E157" s="128" t="s">
        <v>94</v>
      </c>
      <c r="F157" s="163" t="s">
        <v>1376</v>
      </c>
      <c r="G157" s="190" t="s">
        <v>755</v>
      </c>
      <c r="H157" s="447">
        <v>1037582162</v>
      </c>
      <c r="I157" s="455">
        <v>3952382</v>
      </c>
      <c r="J157" s="456">
        <v>23714292</v>
      </c>
      <c r="K157" s="166" t="s">
        <v>42</v>
      </c>
      <c r="L157" s="438" t="s">
        <v>42</v>
      </c>
      <c r="M157" s="194" t="s">
        <v>589</v>
      </c>
      <c r="N157" s="192" t="e" cm="1">
        <f t="array" aca="1" ref="N157" ca="1">_xlfn.XLOOKUP(Contrato5[[#This Row],[SUPERVISOR TITULAR]],[2]!PERSONAL_ACTIVO_2024[[#All],[Nombre completo]],[2]!PERSONAL_ACTIVO_2024[[#All],[Documento identidad]],"",0)</f>
        <v>#NAME?</v>
      </c>
      <c r="O157" s="194" t="s">
        <v>586</v>
      </c>
      <c r="P157" s="196" t="e" cm="1">
        <f t="array" aca="1" ref="P157" ca="1">_xlfn.XLOOKUP(Contrato5[[#This Row],[SUPERVISOR SUPLENTE ]],[2]!PERSONAL_ACTIVO_2024[[#All],[Nombre completo]],[2]!PERSONAL_ACTIVO_2024[[#All],[Documento identidad]],"",0)</f>
        <v>#NAME?</v>
      </c>
      <c r="Q157" s="208">
        <v>161</v>
      </c>
      <c r="R157" s="137" t="e" cm="1">
        <f t="array" aca="1" ref="R157" ca="1">_xlfn.XLOOKUP(Contrato5[[#This Row],[CDP]],[2]!DISPONIBILIDADES_2024[[#All],[consecutivo]],[2]!DISPONIBILIDADES_2024[[#All],[fecha_aprobacion]],"",0)</f>
        <v>#NAME?</v>
      </c>
      <c r="S157" s="138" t="e">
        <f>SUMIF([2]!DISPONIBILIDADES_2024[[#All],[consecutivo]],Contrato5[[#This Row],[CDP]],[2]!DISPONIBILIDADES_2024[[#All],[valor_total_rubro]])</f>
        <v>#REF!</v>
      </c>
      <c r="T157" s="139" t="e" cm="1">
        <f t="array" aca="1" ref="T157" ca="1">_xlfn.XLOOKUP(Contrato5[[#This Row],[CONTRATO]]&amp;Contrato5[[#This Row],[CDP]],[2]!Corr_Contr_CDP[[#All],[CONTRATO-CDP]],[2]!Corr_Contr_CDP[[#All],[CRP]],_xlfn.XLOOKUP(Contrato5[[#This Row],[CDP]],[2]!COMPROMISOS_2024[[#All],[disponibilidad]],[2]!COMPROMISOS_2024[[#All],[consecutivo]],"",0),0)</f>
        <v>#NAME?</v>
      </c>
      <c r="U157" s="140" t="e" cm="1">
        <f t="array" aca="1" ref="U157" ca="1">+_xlfn.XLOOKUP(Contrato5[[#This Row],[RCP]],[2]!COMPROMISOS_2024[[#All],[consecutivo]],[2]!COMPROMISOS_2024[[#All],[fecha_aprobacion]],"",0)</f>
        <v>#NAME?</v>
      </c>
      <c r="V157" s="141" t="e">
        <f ca="1">SUMIF([2]!COMPROMISOS_2024[[#All],[consecutivo]],Contrato5[[#This Row],[RCP]],[2]!COMPROMISOS_2024[[#All],[valor_total]])</f>
        <v>#REF!</v>
      </c>
      <c r="W157" s="415">
        <v>45337</v>
      </c>
      <c r="X157" s="415">
        <v>45338</v>
      </c>
      <c r="Y157" s="143">
        <v>45338</v>
      </c>
      <c r="Z157" s="262">
        <v>45519</v>
      </c>
      <c r="AA157" s="183" t="s">
        <v>651</v>
      </c>
      <c r="AB157" s="161" t="s">
        <v>640</v>
      </c>
      <c r="AC157" s="161"/>
      <c r="AD157" s="211">
        <v>202000003741</v>
      </c>
      <c r="AE157" s="147" t="s">
        <v>523</v>
      </c>
      <c r="AF157" s="148" t="str">
        <f>TEXT(LEFT(Contrato5[[#This Row],[CONTRATO]],3),"0")</f>
        <v>131</v>
      </c>
      <c r="AG157" s="148" t="str">
        <f>IF(LEN(Contrato5[[#This Row],[Contrato2]])=3,Contrato5[[#This Row],[Contrato2]],TEXT(Contrato5[[#This Row],[Contrato2]],"000"))</f>
        <v>131</v>
      </c>
      <c r="AH157" s="149">
        <f ca="1">IFERROR(_xlfn.DAYS(Contrato5[[#This Row],[Fecha Proyectada liquidación]],TODAY())/30,"")</f>
        <v>-3.9666666666666668</v>
      </c>
      <c r="AI157" s="150">
        <f>+Contrato5[[#This Row],[FECHA TERMINACIÓN ]]+120</f>
        <v>45639</v>
      </c>
      <c r="AJ157" s="147"/>
      <c r="AK157" s="152" t="str">
        <f ca="1">IF(Contrato5[[#This Row],[FECHA TERMINACIÓN ]]&lt;TODAY(), "Terminado",IF(ISNUMBER(Contrato5[[#This Row],[Fecha Real de liquiidación ]]),"Liquidado",IF(Contrato5[[#This Row],[FECHA TERMINACIÓN ]]&gt;=TODAY(),"En ejecución","")))</f>
        <v>Terminado</v>
      </c>
      <c r="AL157" s="153" t="e">
        <f ca="1">SUMIF([2]!COMPROMISOS_2024[[#All],[consecutivo]],Contrato5[[#This Row],[RCP]],[2]!COMPROMISOS_2024[[#All],[Total pagado]])</f>
        <v>#REF!</v>
      </c>
      <c r="AM157" s="154">
        <f ca="1">IFERROR(Contrato5[[#This Row],[Pagos]]/Contrato5[[#This Row],[VALOR CONTRATO]],0)</f>
        <v>0</v>
      </c>
      <c r="AN157" s="198" t="e">
        <f ca="1">+Contrato5[[#This Row],[VALOR CONTRATO]]-Contrato5[[#This Row],[Pagos]]</f>
        <v>#REF!</v>
      </c>
      <c r="AO157" s="147" t="e" cm="1">
        <f t="array" aca="1" ref="AO157" ca="1">_xlfn.XLOOKUP(Contrato5[[#This Row],[DOCUMENTO ]],[2]!PERSONAL_ACTIVO_2024[[#All],[Documento identidad]],[2]!PERSONAL_ACTIVO_2024[[#All],[Mail ]],0,0)</f>
        <v>#NAME?</v>
      </c>
      <c r="AP157" s="147" t="e" cm="1">
        <f t="array" aca="1" ref="AP157" ca="1">_xlfn.XLOOKUP(Contrato5[[#This Row],[DOCUMENTO]],[2]!PERSONAL_ACTIVO_2024[[#All],[Documento identidad]],[2]!PERSONAL_ACTIVO_2024[[#All],[Mail ]],0,0)</f>
        <v>#NAME?</v>
      </c>
      <c r="AQ157" s="439" cm="1">
        <f t="array" aca="1" ref="AQ157" ca="1">IF(ISBLANK(Contrato5[[#This Row],[DEPENDENCIA ]]),0,IFERROR(_xlfn.XLOOKUP(Contrato5[[#This Row],[DEPENDENCIA ]],[2]!PERSONAL_ACTIVO_2024[[#All],[Dependencia]],[2]!PERSONAL_ACTIVO_2024[[#All],[Mail ]],0,0),0))</f>
        <v>0</v>
      </c>
    </row>
    <row r="158" spans="1:43" ht="34.5" customHeight="1">
      <c r="A158" s="125">
        <v>234</v>
      </c>
      <c r="B158" s="124">
        <v>132</v>
      </c>
      <c r="C158" s="162" t="s">
        <v>1656</v>
      </c>
      <c r="D158" s="227" t="s">
        <v>583</v>
      </c>
      <c r="E158" s="128" t="s">
        <v>94</v>
      </c>
      <c r="F158" s="163" t="s">
        <v>1376</v>
      </c>
      <c r="G158" s="190" t="s">
        <v>756</v>
      </c>
      <c r="H158" s="447">
        <v>1001497203</v>
      </c>
      <c r="I158" s="455">
        <v>2574842</v>
      </c>
      <c r="J158" s="456">
        <v>15449052</v>
      </c>
      <c r="K158" s="166" t="s">
        <v>42</v>
      </c>
      <c r="L158" s="438" t="s">
        <v>42</v>
      </c>
      <c r="M158" s="194" t="s">
        <v>600</v>
      </c>
      <c r="N158" s="177" t="e" cm="1">
        <f t="array" aca="1" ref="N158" ca="1">_xlfn.XLOOKUP(Contrato5[[#This Row],[SUPERVISOR TITULAR]],[2]!PERSONAL_ACTIVO_2024[[#All],[Nombre completo]],[2]!PERSONAL_ACTIVO_2024[[#All],[Documento identidad]],"",0)</f>
        <v>#NAME?</v>
      </c>
      <c r="O158" s="194" t="s">
        <v>2495</v>
      </c>
      <c r="P158" s="196" t="e" cm="1">
        <f t="array" aca="1" ref="P158" ca="1">_xlfn.XLOOKUP(Contrato5[[#This Row],[SUPERVISOR SUPLENTE ]],[2]!PERSONAL_ACTIVO_2024[[#All],[Nombre completo]],[2]!PERSONAL_ACTIVO_2024[[#All],[Documento identidad]],"",0)</f>
        <v>#NAME?</v>
      </c>
      <c r="Q158" s="208">
        <v>162</v>
      </c>
      <c r="R158" s="137" t="e" cm="1">
        <f t="array" aca="1" ref="R158" ca="1">_xlfn.XLOOKUP(Contrato5[[#This Row],[CDP]],[2]!DISPONIBILIDADES_2024[[#All],[consecutivo]],[2]!DISPONIBILIDADES_2024[[#All],[fecha_aprobacion]],"",0)</f>
        <v>#NAME?</v>
      </c>
      <c r="S158" s="138" t="e">
        <f>SUMIF([2]!DISPONIBILIDADES_2024[[#All],[consecutivo]],Contrato5[[#This Row],[CDP]],[2]!DISPONIBILIDADES_2024[[#All],[valor_total_rubro]])</f>
        <v>#REF!</v>
      </c>
      <c r="T158" s="139" t="e" cm="1">
        <f t="array" aca="1" ref="T158" ca="1">_xlfn.XLOOKUP(Contrato5[[#This Row],[CONTRATO]]&amp;Contrato5[[#This Row],[CDP]],[2]!Corr_Contr_CDP[[#All],[CONTRATO-CDP]],[2]!Corr_Contr_CDP[[#All],[CRP]],_xlfn.XLOOKUP(Contrato5[[#This Row],[CDP]],[2]!COMPROMISOS_2024[[#All],[disponibilidad]],[2]!COMPROMISOS_2024[[#All],[consecutivo]],"",0),0)</f>
        <v>#NAME?</v>
      </c>
      <c r="U158" s="140" t="e" cm="1">
        <f t="array" aca="1" ref="U158" ca="1">+_xlfn.XLOOKUP(Contrato5[[#This Row],[RCP]],[2]!COMPROMISOS_2024[[#All],[consecutivo]],[2]!COMPROMISOS_2024[[#All],[fecha_aprobacion]],"",0)</f>
        <v>#NAME?</v>
      </c>
      <c r="V158" s="141" t="e">
        <f ca="1">SUMIF([2]!COMPROMISOS_2024[[#All],[consecutivo]],Contrato5[[#This Row],[RCP]],[2]!COMPROMISOS_2024[[#All],[valor_total]])</f>
        <v>#REF!</v>
      </c>
      <c r="W158" s="415">
        <v>45337</v>
      </c>
      <c r="X158" s="415">
        <v>45337</v>
      </c>
      <c r="Y158" s="143">
        <v>45338</v>
      </c>
      <c r="Z158" s="262">
        <v>45519</v>
      </c>
      <c r="AA158" s="171" t="s">
        <v>653</v>
      </c>
      <c r="AB158" s="161" t="s">
        <v>640</v>
      </c>
      <c r="AC158" s="161"/>
      <c r="AD158" s="211">
        <v>202000003742</v>
      </c>
      <c r="AE158" s="147" t="s">
        <v>523</v>
      </c>
      <c r="AF158" s="148" t="str">
        <f>TEXT(LEFT(Contrato5[[#This Row],[CONTRATO]],3),"0")</f>
        <v>132</v>
      </c>
      <c r="AG158" s="148" t="str">
        <f>IF(LEN(Contrato5[[#This Row],[Contrato2]])=3,Contrato5[[#This Row],[Contrato2]],TEXT(Contrato5[[#This Row],[Contrato2]],"000"))</f>
        <v>132</v>
      </c>
      <c r="AH158" s="149">
        <f ca="1">IFERROR(_xlfn.DAYS(Contrato5[[#This Row],[Fecha Proyectada liquidación]],TODAY())/30,"")</f>
        <v>-3.9666666666666668</v>
      </c>
      <c r="AI158" s="150">
        <f>+Contrato5[[#This Row],[FECHA TERMINACIÓN ]]+120</f>
        <v>45639</v>
      </c>
      <c r="AJ158" s="147"/>
      <c r="AK158" s="152" t="str">
        <f ca="1">IF(Contrato5[[#This Row],[FECHA TERMINACIÓN ]]&lt;TODAY(), "Terminado",IF(ISNUMBER(Contrato5[[#This Row],[Fecha Real de liquiidación ]]),"Liquidado",IF(Contrato5[[#This Row],[FECHA TERMINACIÓN ]]&gt;=TODAY(),"En ejecución","")))</f>
        <v>Terminado</v>
      </c>
      <c r="AL158" s="153" t="e">
        <f ca="1">SUMIF([2]!COMPROMISOS_2024[[#All],[consecutivo]],Contrato5[[#This Row],[RCP]],[2]!COMPROMISOS_2024[[#All],[Total pagado]])</f>
        <v>#REF!</v>
      </c>
      <c r="AM158" s="154">
        <f ca="1">IFERROR(Contrato5[[#This Row],[Pagos]]/Contrato5[[#This Row],[VALOR CONTRATO]],0)</f>
        <v>0</v>
      </c>
      <c r="AN158" s="198" t="e">
        <f ca="1">+Contrato5[[#This Row],[VALOR CONTRATO]]-Contrato5[[#This Row],[Pagos]]</f>
        <v>#REF!</v>
      </c>
      <c r="AO158" s="147" t="e" cm="1">
        <f t="array" aca="1" ref="AO158" ca="1">_xlfn.XLOOKUP(Contrato5[[#This Row],[DOCUMENTO ]],[2]!PERSONAL_ACTIVO_2024[[#All],[Documento identidad]],[2]!PERSONAL_ACTIVO_2024[[#All],[Mail ]],0,0)</f>
        <v>#NAME?</v>
      </c>
      <c r="AP158" s="147" t="e" cm="1">
        <f t="array" aca="1" ref="AP158" ca="1">_xlfn.XLOOKUP(Contrato5[[#This Row],[DOCUMENTO]],[2]!PERSONAL_ACTIVO_2024[[#All],[Documento identidad]],[2]!PERSONAL_ACTIVO_2024[[#All],[Mail ]],0,0)</f>
        <v>#NAME?</v>
      </c>
      <c r="AQ158" s="439" cm="1">
        <f t="array" aca="1" ref="AQ158" ca="1">IF(ISBLANK(Contrato5[[#This Row],[DEPENDENCIA ]]),0,IFERROR(_xlfn.XLOOKUP(Contrato5[[#This Row],[DEPENDENCIA ]],[2]!PERSONAL_ACTIVO_2024[[#All],[Dependencia]],[2]!PERSONAL_ACTIVO_2024[[#All],[Mail ]],0,0),0))</f>
        <v>0</v>
      </c>
    </row>
    <row r="159" spans="1:43" ht="34.5" customHeight="1">
      <c r="A159" s="125">
        <v>235</v>
      </c>
      <c r="B159" s="124">
        <v>133</v>
      </c>
      <c r="C159" s="162" t="s">
        <v>1657</v>
      </c>
      <c r="D159" s="227" t="s">
        <v>583</v>
      </c>
      <c r="E159" s="128" t="s">
        <v>94</v>
      </c>
      <c r="F159" s="163" t="s">
        <v>1376</v>
      </c>
      <c r="G159" s="190" t="s">
        <v>757</v>
      </c>
      <c r="H159" s="447">
        <v>71334771</v>
      </c>
      <c r="I159" s="455">
        <v>2574842</v>
      </c>
      <c r="J159" s="456">
        <v>15449052</v>
      </c>
      <c r="K159" s="166" t="s">
        <v>42</v>
      </c>
      <c r="L159" s="438" t="s">
        <v>42</v>
      </c>
      <c r="M159" s="194" t="s">
        <v>600</v>
      </c>
      <c r="N159" s="177" t="e" cm="1">
        <f t="array" aca="1" ref="N159" ca="1">_xlfn.XLOOKUP(Contrato5[[#This Row],[SUPERVISOR TITULAR]],[2]!PERSONAL_ACTIVO_2024[[#All],[Nombre completo]],[2]!PERSONAL_ACTIVO_2024[[#All],[Documento identidad]],"",0)</f>
        <v>#NAME?</v>
      </c>
      <c r="O159" s="194" t="s">
        <v>2495</v>
      </c>
      <c r="P159" s="196" t="e" cm="1">
        <f t="array" aca="1" ref="P159" ca="1">_xlfn.XLOOKUP(Contrato5[[#This Row],[SUPERVISOR SUPLENTE ]],[2]!PERSONAL_ACTIVO_2024[[#All],[Nombre completo]],[2]!PERSONAL_ACTIVO_2024[[#All],[Documento identidad]],"",0)</f>
        <v>#NAME?</v>
      </c>
      <c r="Q159" s="208">
        <v>163</v>
      </c>
      <c r="R159" s="137" t="e" cm="1">
        <f t="array" aca="1" ref="R159" ca="1">_xlfn.XLOOKUP(Contrato5[[#This Row],[CDP]],[2]!DISPONIBILIDADES_2024[[#All],[consecutivo]],[2]!DISPONIBILIDADES_2024[[#All],[fecha_aprobacion]],"",0)</f>
        <v>#NAME?</v>
      </c>
      <c r="S159" s="138" t="e">
        <f>SUMIF([2]!DISPONIBILIDADES_2024[[#All],[consecutivo]],Contrato5[[#This Row],[CDP]],[2]!DISPONIBILIDADES_2024[[#All],[valor_total_rubro]])</f>
        <v>#REF!</v>
      </c>
      <c r="T159" s="139" t="e" cm="1">
        <f t="array" aca="1" ref="T159" ca="1">_xlfn.XLOOKUP(Contrato5[[#This Row],[CONTRATO]]&amp;Contrato5[[#This Row],[CDP]],[2]!Corr_Contr_CDP[[#All],[CONTRATO-CDP]],[2]!Corr_Contr_CDP[[#All],[CRP]],_xlfn.XLOOKUP(Contrato5[[#This Row],[CDP]],[2]!COMPROMISOS_2024[[#All],[disponibilidad]],[2]!COMPROMISOS_2024[[#All],[consecutivo]],"",0),0)</f>
        <v>#NAME?</v>
      </c>
      <c r="U159" s="140" t="e" cm="1">
        <f t="array" aca="1" ref="U159" ca="1">+_xlfn.XLOOKUP(Contrato5[[#This Row],[RCP]],[2]!COMPROMISOS_2024[[#All],[consecutivo]],[2]!COMPROMISOS_2024[[#All],[fecha_aprobacion]],"",0)</f>
        <v>#NAME?</v>
      </c>
      <c r="V159" s="141" t="e">
        <f ca="1">SUMIF([2]!COMPROMISOS_2024[[#All],[consecutivo]],Contrato5[[#This Row],[RCP]],[2]!COMPROMISOS_2024[[#All],[valor_total]])</f>
        <v>#REF!</v>
      </c>
      <c r="W159" s="415">
        <v>45337</v>
      </c>
      <c r="X159" s="415">
        <v>45338</v>
      </c>
      <c r="Y159" s="143">
        <v>45338</v>
      </c>
      <c r="Z159" s="262">
        <v>45519</v>
      </c>
      <c r="AA159" s="231" t="s">
        <v>758</v>
      </c>
      <c r="AB159" s="161" t="s">
        <v>640</v>
      </c>
      <c r="AC159" s="161"/>
      <c r="AD159" s="211">
        <v>202000003743</v>
      </c>
      <c r="AE159" s="147" t="s">
        <v>523</v>
      </c>
      <c r="AF159" s="148" t="str">
        <f>TEXT(LEFT(Contrato5[[#This Row],[CONTRATO]],3),"0")</f>
        <v>133</v>
      </c>
      <c r="AG159" s="148" t="str">
        <f>IF(LEN(Contrato5[[#This Row],[Contrato2]])=3,Contrato5[[#This Row],[Contrato2]],TEXT(Contrato5[[#This Row],[Contrato2]],"000"))</f>
        <v>133</v>
      </c>
      <c r="AH159" s="149">
        <f ca="1">IFERROR(_xlfn.DAYS(Contrato5[[#This Row],[Fecha Proyectada liquidación]],TODAY())/30,"")</f>
        <v>-3.9666666666666668</v>
      </c>
      <c r="AI159" s="150">
        <f>+Contrato5[[#This Row],[FECHA TERMINACIÓN ]]+120</f>
        <v>45639</v>
      </c>
      <c r="AJ159" s="147"/>
      <c r="AK159" s="152" t="str">
        <f ca="1">IF(Contrato5[[#This Row],[FECHA TERMINACIÓN ]]&lt;TODAY(), "Terminado",IF(ISNUMBER(Contrato5[[#This Row],[Fecha Real de liquiidación ]]),"Liquidado",IF(Contrato5[[#This Row],[FECHA TERMINACIÓN ]]&gt;=TODAY(),"En ejecución","")))</f>
        <v>Terminado</v>
      </c>
      <c r="AL159" s="153" t="e">
        <f ca="1">SUMIF([2]!COMPROMISOS_2024[[#All],[consecutivo]],Contrato5[[#This Row],[RCP]],[2]!COMPROMISOS_2024[[#All],[Total pagado]])</f>
        <v>#REF!</v>
      </c>
      <c r="AM159" s="154">
        <f ca="1">IFERROR(Contrato5[[#This Row],[Pagos]]/Contrato5[[#This Row],[VALOR CONTRATO]],0)</f>
        <v>0</v>
      </c>
      <c r="AN159" s="198" t="e">
        <f ca="1">+Contrato5[[#This Row],[VALOR CONTRATO]]-Contrato5[[#This Row],[Pagos]]</f>
        <v>#REF!</v>
      </c>
      <c r="AO159" s="147" t="e" cm="1">
        <f t="array" aca="1" ref="AO159" ca="1">_xlfn.XLOOKUP(Contrato5[[#This Row],[DOCUMENTO ]],[2]!PERSONAL_ACTIVO_2024[[#All],[Documento identidad]],[2]!PERSONAL_ACTIVO_2024[[#All],[Mail ]],0,0)</f>
        <v>#NAME?</v>
      </c>
      <c r="AP159" s="147" t="e" cm="1">
        <f t="array" aca="1" ref="AP159" ca="1">_xlfn.XLOOKUP(Contrato5[[#This Row],[DOCUMENTO]],[2]!PERSONAL_ACTIVO_2024[[#All],[Documento identidad]],[2]!PERSONAL_ACTIVO_2024[[#All],[Mail ]],0,0)</f>
        <v>#NAME?</v>
      </c>
      <c r="AQ159" s="439" cm="1">
        <f t="array" aca="1" ref="AQ159" ca="1">IF(ISBLANK(Contrato5[[#This Row],[DEPENDENCIA ]]),0,IFERROR(_xlfn.XLOOKUP(Contrato5[[#This Row],[DEPENDENCIA ]],[2]!PERSONAL_ACTIVO_2024[[#All],[Dependencia]],[2]!PERSONAL_ACTIVO_2024[[#All],[Mail ]],0,0),0))</f>
        <v>0</v>
      </c>
    </row>
    <row r="160" spans="1:43" ht="34.5" customHeight="1">
      <c r="A160" s="125">
        <v>236</v>
      </c>
      <c r="B160" s="124">
        <v>134</v>
      </c>
      <c r="C160" s="162" t="s">
        <v>1658</v>
      </c>
      <c r="D160" s="227" t="s">
        <v>583</v>
      </c>
      <c r="E160" s="128" t="s">
        <v>94</v>
      </c>
      <c r="F160" s="163" t="s">
        <v>1376</v>
      </c>
      <c r="G160" s="190" t="s">
        <v>759</v>
      </c>
      <c r="H160" s="447">
        <v>98551148</v>
      </c>
      <c r="I160" s="455">
        <v>5931149</v>
      </c>
      <c r="J160" s="456">
        <v>35586894</v>
      </c>
      <c r="K160" s="166" t="s">
        <v>42</v>
      </c>
      <c r="L160" s="438" t="s">
        <v>42</v>
      </c>
      <c r="M160" s="194" t="s">
        <v>586</v>
      </c>
      <c r="N160" s="177" t="e" cm="1">
        <f t="array" aca="1" ref="N160" ca="1">_xlfn.XLOOKUP(Contrato5[[#This Row],[SUPERVISOR TITULAR]],[2]!PERSONAL_ACTIVO_2024[[#All],[Nombre completo]],[2]!PERSONAL_ACTIVO_2024[[#All],[Documento identidad]],"",0)</f>
        <v>#NAME?</v>
      </c>
      <c r="O160" s="194" t="s">
        <v>589</v>
      </c>
      <c r="P160" s="196" t="e" cm="1">
        <f t="array" aca="1" ref="P160" ca="1">_xlfn.XLOOKUP(Contrato5[[#This Row],[SUPERVISOR SUPLENTE ]],[2]!PERSONAL_ACTIVO_2024[[#All],[Nombre completo]],[2]!PERSONAL_ACTIVO_2024[[#All],[Documento identidad]],"",0)</f>
        <v>#NAME?</v>
      </c>
      <c r="Q160" s="208">
        <v>164</v>
      </c>
      <c r="R160" s="137" t="e" cm="1">
        <f t="array" aca="1" ref="R160" ca="1">_xlfn.XLOOKUP(Contrato5[[#This Row],[CDP]],[2]!DISPONIBILIDADES_2024[[#All],[consecutivo]],[2]!DISPONIBILIDADES_2024[[#All],[fecha_aprobacion]],"",0)</f>
        <v>#NAME?</v>
      </c>
      <c r="S160" s="138" t="e">
        <f>SUMIF([2]!DISPONIBILIDADES_2024[[#All],[consecutivo]],Contrato5[[#This Row],[CDP]],[2]!DISPONIBILIDADES_2024[[#All],[valor_total_rubro]])</f>
        <v>#REF!</v>
      </c>
      <c r="T160" s="139" t="e" cm="1">
        <f t="array" aca="1" ref="T160" ca="1">_xlfn.XLOOKUP(Contrato5[[#This Row],[CONTRATO]]&amp;Contrato5[[#This Row],[CDP]],[2]!Corr_Contr_CDP[[#All],[CONTRATO-CDP]],[2]!Corr_Contr_CDP[[#All],[CRP]],_xlfn.XLOOKUP(Contrato5[[#This Row],[CDP]],[2]!COMPROMISOS_2024[[#All],[disponibilidad]],[2]!COMPROMISOS_2024[[#All],[consecutivo]],"",0),0)</f>
        <v>#NAME?</v>
      </c>
      <c r="U160" s="140" t="e" cm="1">
        <f t="array" aca="1" ref="U160" ca="1">+_xlfn.XLOOKUP(Contrato5[[#This Row],[RCP]],[2]!COMPROMISOS_2024[[#All],[consecutivo]],[2]!COMPROMISOS_2024[[#All],[fecha_aprobacion]],"",0)</f>
        <v>#NAME?</v>
      </c>
      <c r="V160" s="141" t="e">
        <f ca="1">SUMIF([2]!COMPROMISOS_2024[[#All],[consecutivo]],Contrato5[[#This Row],[RCP]],[2]!COMPROMISOS_2024[[#All],[valor_total]])</f>
        <v>#REF!</v>
      </c>
      <c r="W160" s="415">
        <v>45337</v>
      </c>
      <c r="X160" s="415">
        <v>45338</v>
      </c>
      <c r="Y160" s="143">
        <v>45338</v>
      </c>
      <c r="Z160" s="262">
        <v>45519</v>
      </c>
      <c r="AA160" s="171" t="s">
        <v>651</v>
      </c>
      <c r="AB160" s="161" t="s">
        <v>640</v>
      </c>
      <c r="AC160" s="161"/>
      <c r="AD160" s="211">
        <v>202000003744</v>
      </c>
      <c r="AE160" s="147" t="s">
        <v>523</v>
      </c>
      <c r="AF160" s="148" t="str">
        <f>TEXT(LEFT(Contrato5[[#This Row],[CONTRATO]],3),"0")</f>
        <v>134</v>
      </c>
      <c r="AG160" s="148" t="str">
        <f>IF(LEN(Contrato5[[#This Row],[Contrato2]])=3,Contrato5[[#This Row],[Contrato2]],TEXT(Contrato5[[#This Row],[Contrato2]],"000"))</f>
        <v>134</v>
      </c>
      <c r="AH160" s="149">
        <f ca="1">IFERROR(_xlfn.DAYS(Contrato5[[#This Row],[Fecha Proyectada liquidación]],TODAY())/30,"")</f>
        <v>-3.9666666666666668</v>
      </c>
      <c r="AI160" s="150">
        <f>+Contrato5[[#This Row],[FECHA TERMINACIÓN ]]+120</f>
        <v>45639</v>
      </c>
      <c r="AJ160" s="147"/>
      <c r="AK160" s="152" t="str">
        <f ca="1">IF(Contrato5[[#This Row],[FECHA TERMINACIÓN ]]&lt;TODAY(), "Terminado",IF(ISNUMBER(Contrato5[[#This Row],[Fecha Real de liquiidación ]]),"Liquidado",IF(Contrato5[[#This Row],[FECHA TERMINACIÓN ]]&gt;=TODAY(),"En ejecución","")))</f>
        <v>Terminado</v>
      </c>
      <c r="AL160" s="153" t="e">
        <f ca="1">SUMIF([2]!COMPROMISOS_2024[[#All],[consecutivo]],Contrato5[[#This Row],[RCP]],[2]!COMPROMISOS_2024[[#All],[Total pagado]])</f>
        <v>#REF!</v>
      </c>
      <c r="AM160" s="154">
        <f ca="1">IFERROR(Contrato5[[#This Row],[Pagos]]/Contrato5[[#This Row],[VALOR CONTRATO]],0)</f>
        <v>0</v>
      </c>
      <c r="AN160" s="198" t="e">
        <f ca="1">+Contrato5[[#This Row],[VALOR CONTRATO]]-Contrato5[[#This Row],[Pagos]]</f>
        <v>#REF!</v>
      </c>
      <c r="AO160" s="147" t="e" cm="1">
        <f t="array" aca="1" ref="AO160" ca="1">_xlfn.XLOOKUP(Contrato5[[#This Row],[DOCUMENTO ]],[2]!PERSONAL_ACTIVO_2024[[#All],[Documento identidad]],[2]!PERSONAL_ACTIVO_2024[[#All],[Mail ]],0,0)</f>
        <v>#NAME?</v>
      </c>
      <c r="AP160" s="147" t="e" cm="1">
        <f t="array" aca="1" ref="AP160" ca="1">_xlfn.XLOOKUP(Contrato5[[#This Row],[DOCUMENTO]],[2]!PERSONAL_ACTIVO_2024[[#All],[Documento identidad]],[2]!PERSONAL_ACTIVO_2024[[#All],[Mail ]],0,0)</f>
        <v>#NAME?</v>
      </c>
      <c r="AQ160" s="439" cm="1">
        <f t="array" aca="1" ref="AQ160" ca="1">IF(ISBLANK(Contrato5[[#This Row],[DEPENDENCIA ]]),0,IFERROR(_xlfn.XLOOKUP(Contrato5[[#This Row],[DEPENDENCIA ]],[2]!PERSONAL_ACTIVO_2024[[#All],[Dependencia]],[2]!PERSONAL_ACTIVO_2024[[#All],[Mail ]],0,0),0))</f>
        <v>0</v>
      </c>
    </row>
    <row r="161" spans="1:43" ht="34.5" customHeight="1">
      <c r="A161" s="125">
        <v>237</v>
      </c>
      <c r="B161" s="124">
        <v>135</v>
      </c>
      <c r="C161" s="162" t="s">
        <v>1659</v>
      </c>
      <c r="D161" s="227" t="s">
        <v>583</v>
      </c>
      <c r="E161" s="128" t="s">
        <v>94</v>
      </c>
      <c r="F161" s="163" t="s">
        <v>1376</v>
      </c>
      <c r="G161" s="190" t="s">
        <v>760</v>
      </c>
      <c r="H161" s="447">
        <v>1000653897</v>
      </c>
      <c r="I161" s="455">
        <v>2574842</v>
      </c>
      <c r="J161" s="456">
        <v>15449052</v>
      </c>
      <c r="K161" s="166" t="s">
        <v>42</v>
      </c>
      <c r="L161" s="438" t="s">
        <v>42</v>
      </c>
      <c r="M161" s="194" t="s">
        <v>586</v>
      </c>
      <c r="N161" s="177" t="e" cm="1">
        <f t="array" aca="1" ref="N161" ca="1">_xlfn.XLOOKUP(Contrato5[[#This Row],[SUPERVISOR TITULAR]],[2]!PERSONAL_ACTIVO_2024[[#All],[Nombre completo]],[2]!PERSONAL_ACTIVO_2024[[#All],[Documento identidad]],"",0)</f>
        <v>#NAME?</v>
      </c>
      <c r="O161" s="194" t="s">
        <v>589</v>
      </c>
      <c r="P161" s="196" t="e" cm="1">
        <f t="array" aca="1" ref="P161" ca="1">_xlfn.XLOOKUP(Contrato5[[#This Row],[SUPERVISOR SUPLENTE ]],[2]!PERSONAL_ACTIVO_2024[[#All],[Nombre completo]],[2]!PERSONAL_ACTIVO_2024[[#All],[Documento identidad]],"",0)</f>
        <v>#NAME?</v>
      </c>
      <c r="Q161" s="208">
        <v>165</v>
      </c>
      <c r="R161" s="137" t="e" cm="1">
        <f t="array" aca="1" ref="R161" ca="1">_xlfn.XLOOKUP(Contrato5[[#This Row],[CDP]],[2]!DISPONIBILIDADES_2024[[#All],[consecutivo]],[2]!DISPONIBILIDADES_2024[[#All],[fecha_aprobacion]],"",0)</f>
        <v>#NAME?</v>
      </c>
      <c r="S161" s="138" t="e">
        <f>SUMIF([2]!DISPONIBILIDADES_2024[[#All],[consecutivo]],Contrato5[[#This Row],[CDP]],[2]!DISPONIBILIDADES_2024[[#All],[valor_total_rubro]])</f>
        <v>#REF!</v>
      </c>
      <c r="T161" s="139" t="e" cm="1">
        <f t="array" aca="1" ref="T161" ca="1">_xlfn.XLOOKUP(Contrato5[[#This Row],[CONTRATO]]&amp;Contrato5[[#This Row],[CDP]],[2]!Corr_Contr_CDP[[#All],[CONTRATO-CDP]],[2]!Corr_Contr_CDP[[#All],[CRP]],_xlfn.XLOOKUP(Contrato5[[#This Row],[CDP]],[2]!COMPROMISOS_2024[[#All],[disponibilidad]],[2]!COMPROMISOS_2024[[#All],[consecutivo]],"",0),0)</f>
        <v>#NAME?</v>
      </c>
      <c r="U161" s="140" t="e" cm="1">
        <f t="array" aca="1" ref="U161" ca="1">+_xlfn.XLOOKUP(Contrato5[[#This Row],[RCP]],[2]!COMPROMISOS_2024[[#All],[consecutivo]],[2]!COMPROMISOS_2024[[#All],[fecha_aprobacion]],"",0)</f>
        <v>#NAME?</v>
      </c>
      <c r="V161" s="141" t="e">
        <f ca="1">SUMIF([2]!COMPROMISOS_2024[[#All],[consecutivo]],Contrato5[[#This Row],[RCP]],[2]!COMPROMISOS_2024[[#All],[valor_total]])</f>
        <v>#REF!</v>
      </c>
      <c r="W161" s="415">
        <v>45337</v>
      </c>
      <c r="X161" s="415">
        <v>45337</v>
      </c>
      <c r="Y161" s="143">
        <v>45338</v>
      </c>
      <c r="Z161" s="262">
        <v>45519</v>
      </c>
      <c r="AA161" s="171" t="s">
        <v>653</v>
      </c>
      <c r="AB161" s="161" t="s">
        <v>640</v>
      </c>
      <c r="AC161" s="161"/>
      <c r="AD161" s="211">
        <v>202000003745</v>
      </c>
      <c r="AE161" s="147" t="s">
        <v>523</v>
      </c>
      <c r="AF161" s="148" t="str">
        <f>TEXT(LEFT(Contrato5[[#This Row],[CONTRATO]],3),"0")</f>
        <v>135</v>
      </c>
      <c r="AG161" s="148" t="str">
        <f>IF(LEN(Contrato5[[#This Row],[Contrato2]])=3,Contrato5[[#This Row],[Contrato2]],TEXT(Contrato5[[#This Row],[Contrato2]],"000"))</f>
        <v>135</v>
      </c>
      <c r="AH161" s="149">
        <f ca="1">IFERROR(_xlfn.DAYS(Contrato5[[#This Row],[Fecha Proyectada liquidación]],TODAY())/30,"")</f>
        <v>-3.9666666666666668</v>
      </c>
      <c r="AI161" s="150">
        <f>+Contrato5[[#This Row],[FECHA TERMINACIÓN ]]+120</f>
        <v>45639</v>
      </c>
      <c r="AJ161" s="147"/>
      <c r="AK161" s="152" t="str">
        <f ca="1">IF(Contrato5[[#This Row],[FECHA TERMINACIÓN ]]&lt;TODAY(), "Terminado",IF(ISNUMBER(Contrato5[[#This Row],[Fecha Real de liquiidación ]]),"Liquidado",IF(Contrato5[[#This Row],[FECHA TERMINACIÓN ]]&gt;=TODAY(),"En ejecución","")))</f>
        <v>Terminado</v>
      </c>
      <c r="AL161" s="153" t="e">
        <f ca="1">SUMIF([2]!COMPROMISOS_2024[[#All],[consecutivo]],Contrato5[[#This Row],[RCP]],[2]!COMPROMISOS_2024[[#All],[Total pagado]])</f>
        <v>#REF!</v>
      </c>
      <c r="AM161" s="154">
        <f ca="1">IFERROR(Contrato5[[#This Row],[Pagos]]/Contrato5[[#This Row],[VALOR CONTRATO]],0)</f>
        <v>0</v>
      </c>
      <c r="AN161" s="198" t="e">
        <f ca="1">+Contrato5[[#This Row],[VALOR CONTRATO]]-Contrato5[[#This Row],[Pagos]]</f>
        <v>#REF!</v>
      </c>
      <c r="AO161" s="147" t="e" cm="1">
        <f t="array" aca="1" ref="AO161" ca="1">_xlfn.XLOOKUP(Contrato5[[#This Row],[DOCUMENTO ]],[2]!PERSONAL_ACTIVO_2024[[#All],[Documento identidad]],[2]!PERSONAL_ACTIVO_2024[[#All],[Mail ]],0,0)</f>
        <v>#NAME?</v>
      </c>
      <c r="AP161" s="147" t="e" cm="1">
        <f t="array" aca="1" ref="AP161" ca="1">_xlfn.XLOOKUP(Contrato5[[#This Row],[DOCUMENTO]],[2]!PERSONAL_ACTIVO_2024[[#All],[Documento identidad]],[2]!PERSONAL_ACTIVO_2024[[#All],[Mail ]],0,0)</f>
        <v>#NAME?</v>
      </c>
      <c r="AQ161" s="439" cm="1">
        <f t="array" aca="1" ref="AQ161" ca="1">IF(ISBLANK(Contrato5[[#This Row],[DEPENDENCIA ]]),0,IFERROR(_xlfn.XLOOKUP(Contrato5[[#This Row],[DEPENDENCIA ]],[2]!PERSONAL_ACTIVO_2024[[#All],[Dependencia]],[2]!PERSONAL_ACTIVO_2024[[#All],[Mail ]],0,0),0))</f>
        <v>0</v>
      </c>
    </row>
    <row r="162" spans="1:43" ht="34.5" customHeight="1">
      <c r="A162" s="125">
        <v>238</v>
      </c>
      <c r="B162" s="124">
        <v>136</v>
      </c>
      <c r="C162" s="162" t="s">
        <v>1660</v>
      </c>
      <c r="D162" s="227" t="s">
        <v>583</v>
      </c>
      <c r="E162" s="128" t="s">
        <v>94</v>
      </c>
      <c r="F162" s="163" t="s">
        <v>1376</v>
      </c>
      <c r="G162" s="190" t="s">
        <v>761</v>
      </c>
      <c r="H162" s="447">
        <v>71737394</v>
      </c>
      <c r="I162" s="455">
        <v>4908936</v>
      </c>
      <c r="J162" s="456">
        <v>29453616</v>
      </c>
      <c r="K162" s="166" t="s">
        <v>42</v>
      </c>
      <c r="L162" s="438" t="s">
        <v>42</v>
      </c>
      <c r="M162" s="194" t="s">
        <v>586</v>
      </c>
      <c r="N162" s="177" t="e" cm="1">
        <f t="array" aca="1" ref="N162" ca="1">_xlfn.XLOOKUP(Contrato5[[#This Row],[SUPERVISOR TITULAR]],[2]!PERSONAL_ACTIVO_2024[[#All],[Nombre completo]],[2]!PERSONAL_ACTIVO_2024[[#All],[Documento identidad]],"",0)</f>
        <v>#NAME?</v>
      </c>
      <c r="O162" s="194" t="s">
        <v>589</v>
      </c>
      <c r="P162" s="196" t="e" cm="1">
        <f t="array" aca="1" ref="P162" ca="1">_xlfn.XLOOKUP(Contrato5[[#This Row],[SUPERVISOR SUPLENTE ]],[2]!PERSONAL_ACTIVO_2024[[#All],[Nombre completo]],[2]!PERSONAL_ACTIVO_2024[[#All],[Documento identidad]],"",0)</f>
        <v>#NAME?</v>
      </c>
      <c r="Q162" s="208">
        <v>166</v>
      </c>
      <c r="R162" s="137" t="e" cm="1">
        <f t="array" aca="1" ref="R162" ca="1">_xlfn.XLOOKUP(Contrato5[[#This Row],[CDP]],[2]!DISPONIBILIDADES_2024[[#All],[consecutivo]],[2]!DISPONIBILIDADES_2024[[#All],[fecha_aprobacion]],"",0)</f>
        <v>#NAME?</v>
      </c>
      <c r="S162" s="138" t="e">
        <f>SUMIF([2]!DISPONIBILIDADES_2024[[#All],[consecutivo]],Contrato5[[#This Row],[CDP]],[2]!DISPONIBILIDADES_2024[[#All],[valor_total_rubro]])</f>
        <v>#REF!</v>
      </c>
      <c r="T162" s="139" t="e" cm="1">
        <f t="array" aca="1" ref="T162" ca="1">_xlfn.XLOOKUP(Contrato5[[#This Row],[CONTRATO]]&amp;Contrato5[[#This Row],[CDP]],[2]!Corr_Contr_CDP[[#All],[CONTRATO-CDP]],[2]!Corr_Contr_CDP[[#All],[CRP]],_xlfn.XLOOKUP(Contrato5[[#This Row],[CDP]],[2]!COMPROMISOS_2024[[#All],[disponibilidad]],[2]!COMPROMISOS_2024[[#All],[consecutivo]],"",0),0)</f>
        <v>#NAME?</v>
      </c>
      <c r="U162" s="140" t="e" cm="1">
        <f t="array" aca="1" ref="U162" ca="1">+_xlfn.XLOOKUP(Contrato5[[#This Row],[RCP]],[2]!COMPROMISOS_2024[[#All],[consecutivo]],[2]!COMPROMISOS_2024[[#All],[fecha_aprobacion]],"",0)</f>
        <v>#NAME?</v>
      </c>
      <c r="V162" s="141" t="e">
        <f ca="1">SUMIF([2]!COMPROMISOS_2024[[#All],[consecutivo]],Contrato5[[#This Row],[RCP]],[2]!COMPROMISOS_2024[[#All],[valor_total]])</f>
        <v>#REF!</v>
      </c>
      <c r="W162" s="415">
        <v>45337</v>
      </c>
      <c r="X162" s="415">
        <v>45337</v>
      </c>
      <c r="Y162" s="143">
        <v>45338</v>
      </c>
      <c r="Z162" s="262">
        <v>45519</v>
      </c>
      <c r="AA162" s="171" t="s">
        <v>651</v>
      </c>
      <c r="AB162" s="161" t="s">
        <v>640</v>
      </c>
      <c r="AC162" s="161"/>
      <c r="AD162" s="211">
        <v>202000003746</v>
      </c>
      <c r="AE162" s="147" t="s">
        <v>523</v>
      </c>
      <c r="AF162" s="148" t="str">
        <f>TEXT(LEFT(Contrato5[[#This Row],[CONTRATO]],3),"0")</f>
        <v>136</v>
      </c>
      <c r="AG162" s="148" t="str">
        <f>IF(LEN(Contrato5[[#This Row],[Contrato2]])=3,Contrato5[[#This Row],[Contrato2]],TEXT(Contrato5[[#This Row],[Contrato2]],"000"))</f>
        <v>136</v>
      </c>
      <c r="AH162" s="149">
        <f ca="1">IFERROR(_xlfn.DAYS(Contrato5[[#This Row],[Fecha Proyectada liquidación]],TODAY())/30,"")</f>
        <v>-3.9666666666666668</v>
      </c>
      <c r="AI162" s="150">
        <f>+Contrato5[[#This Row],[FECHA TERMINACIÓN ]]+120</f>
        <v>45639</v>
      </c>
      <c r="AJ162" s="147"/>
      <c r="AK162" s="152" t="str">
        <f ca="1">IF(Contrato5[[#This Row],[FECHA TERMINACIÓN ]]&lt;TODAY(), "Terminado",IF(ISNUMBER(Contrato5[[#This Row],[Fecha Real de liquiidación ]]),"Liquidado",IF(Contrato5[[#This Row],[FECHA TERMINACIÓN ]]&gt;=TODAY(),"En ejecución","")))</f>
        <v>Terminado</v>
      </c>
      <c r="AL162" s="153" t="e">
        <f ca="1">SUMIF([2]!COMPROMISOS_2024[[#All],[consecutivo]],Contrato5[[#This Row],[RCP]],[2]!COMPROMISOS_2024[[#All],[Total pagado]])</f>
        <v>#REF!</v>
      </c>
      <c r="AM162" s="154">
        <f ca="1">IFERROR(Contrato5[[#This Row],[Pagos]]/Contrato5[[#This Row],[VALOR CONTRATO]],0)</f>
        <v>0</v>
      </c>
      <c r="AN162" s="198" t="e">
        <f ca="1">+Contrato5[[#This Row],[VALOR CONTRATO]]-Contrato5[[#This Row],[Pagos]]</f>
        <v>#REF!</v>
      </c>
      <c r="AO162" s="147" t="e" cm="1">
        <f t="array" aca="1" ref="AO162" ca="1">_xlfn.XLOOKUP(Contrato5[[#This Row],[DOCUMENTO ]],[2]!PERSONAL_ACTIVO_2024[[#All],[Documento identidad]],[2]!PERSONAL_ACTIVO_2024[[#All],[Mail ]],0,0)</f>
        <v>#NAME?</v>
      </c>
      <c r="AP162" s="147" t="e" cm="1">
        <f t="array" aca="1" ref="AP162" ca="1">_xlfn.XLOOKUP(Contrato5[[#This Row],[DOCUMENTO]],[2]!PERSONAL_ACTIVO_2024[[#All],[Documento identidad]],[2]!PERSONAL_ACTIVO_2024[[#All],[Mail ]],0,0)</f>
        <v>#NAME?</v>
      </c>
      <c r="AQ162" s="439" cm="1">
        <f t="array" aca="1" ref="AQ162" ca="1">IF(ISBLANK(Contrato5[[#This Row],[DEPENDENCIA ]]),0,IFERROR(_xlfn.XLOOKUP(Contrato5[[#This Row],[DEPENDENCIA ]],[2]!PERSONAL_ACTIVO_2024[[#All],[Dependencia]],[2]!PERSONAL_ACTIVO_2024[[#All],[Mail ]],0,0),0))</f>
        <v>0</v>
      </c>
    </row>
    <row r="163" spans="1:43" ht="34.5" customHeight="1">
      <c r="A163" s="125">
        <v>240</v>
      </c>
      <c r="B163" s="124">
        <v>137</v>
      </c>
      <c r="C163" s="162" t="s">
        <v>1661</v>
      </c>
      <c r="D163" s="227" t="s">
        <v>583</v>
      </c>
      <c r="E163" s="128" t="s">
        <v>94</v>
      </c>
      <c r="F163" s="163" t="s">
        <v>1376</v>
      </c>
      <c r="G163" s="190" t="s">
        <v>762</v>
      </c>
      <c r="H163" s="447">
        <v>71383229</v>
      </c>
      <c r="I163" s="455">
        <v>3952382</v>
      </c>
      <c r="J163" s="456">
        <v>23714292</v>
      </c>
      <c r="K163" s="166" t="s">
        <v>42</v>
      </c>
      <c r="L163" s="438" t="s">
        <v>42</v>
      </c>
      <c r="M163" s="194" t="s">
        <v>586</v>
      </c>
      <c r="N163" s="177" t="e" cm="1">
        <f t="array" aca="1" ref="N163" ca="1">_xlfn.XLOOKUP(Contrato5[[#This Row],[SUPERVISOR TITULAR]],[2]!PERSONAL_ACTIVO_2024[[#All],[Nombre completo]],[2]!PERSONAL_ACTIVO_2024[[#All],[Documento identidad]],"",0)</f>
        <v>#NAME?</v>
      </c>
      <c r="O163" s="194" t="s">
        <v>589</v>
      </c>
      <c r="P163" s="196" t="e" cm="1">
        <f t="array" aca="1" ref="P163" ca="1">_xlfn.XLOOKUP(Contrato5[[#This Row],[SUPERVISOR SUPLENTE ]],[2]!PERSONAL_ACTIVO_2024[[#All],[Nombre completo]],[2]!PERSONAL_ACTIVO_2024[[#All],[Documento identidad]],"",0)</f>
        <v>#NAME?</v>
      </c>
      <c r="Q163" s="208">
        <v>168</v>
      </c>
      <c r="R163" s="137" t="e" cm="1">
        <f t="array" aca="1" ref="R163" ca="1">_xlfn.XLOOKUP(Contrato5[[#This Row],[CDP]],[2]!DISPONIBILIDADES_2024[[#All],[consecutivo]],[2]!DISPONIBILIDADES_2024[[#All],[fecha_aprobacion]],"",0)</f>
        <v>#NAME?</v>
      </c>
      <c r="S163" s="138" t="e">
        <f>SUMIF([2]!DISPONIBILIDADES_2024[[#All],[consecutivo]],Contrato5[[#This Row],[CDP]],[2]!DISPONIBILIDADES_2024[[#All],[valor_total_rubro]])</f>
        <v>#REF!</v>
      </c>
      <c r="T163" s="139" t="e" cm="1">
        <f t="array" aca="1" ref="T163" ca="1">_xlfn.XLOOKUP(Contrato5[[#This Row],[CONTRATO]]&amp;Contrato5[[#This Row],[CDP]],[2]!Corr_Contr_CDP[[#All],[CONTRATO-CDP]],[2]!Corr_Contr_CDP[[#All],[CRP]],_xlfn.XLOOKUP(Contrato5[[#This Row],[CDP]],[2]!COMPROMISOS_2024[[#All],[disponibilidad]],[2]!COMPROMISOS_2024[[#All],[consecutivo]],"",0),0)</f>
        <v>#NAME?</v>
      </c>
      <c r="U163" s="140" t="e" cm="1">
        <f t="array" aca="1" ref="U163" ca="1">+_xlfn.XLOOKUP(Contrato5[[#This Row],[RCP]],[2]!COMPROMISOS_2024[[#All],[consecutivo]],[2]!COMPROMISOS_2024[[#All],[fecha_aprobacion]],"",0)</f>
        <v>#NAME?</v>
      </c>
      <c r="V163" s="141" t="e">
        <f ca="1">SUMIF([2]!COMPROMISOS_2024[[#All],[consecutivo]],Contrato5[[#This Row],[RCP]],[2]!COMPROMISOS_2024[[#All],[valor_total]])</f>
        <v>#REF!</v>
      </c>
      <c r="W163" s="415">
        <v>45337</v>
      </c>
      <c r="X163" s="415">
        <v>45338</v>
      </c>
      <c r="Y163" s="143">
        <v>45338</v>
      </c>
      <c r="Z163" s="262">
        <v>45519</v>
      </c>
      <c r="AA163" s="171" t="s">
        <v>651</v>
      </c>
      <c r="AB163" s="161" t="s">
        <v>640</v>
      </c>
      <c r="AC163" s="161"/>
      <c r="AD163" s="221">
        <v>202000003748</v>
      </c>
      <c r="AE163" s="147" t="s">
        <v>523</v>
      </c>
      <c r="AF163" s="148" t="str">
        <f>TEXT(LEFT(Contrato5[[#This Row],[CONTRATO]],3),"0")</f>
        <v>137</v>
      </c>
      <c r="AG163" s="148" t="str">
        <f>IF(LEN(Contrato5[[#This Row],[Contrato2]])=3,Contrato5[[#This Row],[Contrato2]],TEXT(Contrato5[[#This Row],[Contrato2]],"000"))</f>
        <v>137</v>
      </c>
      <c r="AH163" s="149">
        <f ca="1">IFERROR(_xlfn.DAYS(Contrato5[[#This Row],[Fecha Proyectada liquidación]],TODAY())/30,"")</f>
        <v>-3.9666666666666668</v>
      </c>
      <c r="AI163" s="150">
        <f>+Contrato5[[#This Row],[FECHA TERMINACIÓN ]]+120</f>
        <v>45639</v>
      </c>
      <c r="AJ163" s="147"/>
      <c r="AK163" s="152" t="str">
        <f ca="1">IF(Contrato5[[#This Row],[FECHA TERMINACIÓN ]]&lt;TODAY(), "Terminado",IF(ISNUMBER(Contrato5[[#This Row],[Fecha Real de liquiidación ]]),"Liquidado",IF(Contrato5[[#This Row],[FECHA TERMINACIÓN ]]&gt;=TODAY(),"En ejecución","")))</f>
        <v>Terminado</v>
      </c>
      <c r="AL163" s="153" t="e">
        <f ca="1">SUMIF([2]!COMPROMISOS_2024[[#All],[consecutivo]],Contrato5[[#This Row],[RCP]],[2]!COMPROMISOS_2024[[#All],[Total pagado]])</f>
        <v>#REF!</v>
      </c>
      <c r="AM163" s="154">
        <f ca="1">IFERROR(Contrato5[[#This Row],[Pagos]]/Contrato5[[#This Row],[VALOR CONTRATO]],0)</f>
        <v>0</v>
      </c>
      <c r="AN163" s="198" t="e">
        <f ca="1">+Contrato5[[#This Row],[VALOR CONTRATO]]-Contrato5[[#This Row],[Pagos]]</f>
        <v>#REF!</v>
      </c>
      <c r="AO163" s="147" t="e" cm="1">
        <f t="array" aca="1" ref="AO163" ca="1">_xlfn.XLOOKUP(Contrato5[[#This Row],[DOCUMENTO ]],[2]!PERSONAL_ACTIVO_2024[[#All],[Documento identidad]],[2]!PERSONAL_ACTIVO_2024[[#All],[Mail ]],0,0)</f>
        <v>#NAME?</v>
      </c>
      <c r="AP163" s="147" t="e" cm="1">
        <f t="array" aca="1" ref="AP163" ca="1">_xlfn.XLOOKUP(Contrato5[[#This Row],[DOCUMENTO]],[2]!PERSONAL_ACTIVO_2024[[#All],[Documento identidad]],[2]!PERSONAL_ACTIVO_2024[[#All],[Mail ]],0,0)</f>
        <v>#NAME?</v>
      </c>
      <c r="AQ163" s="439" cm="1">
        <f t="array" aca="1" ref="AQ163" ca="1">IF(ISBLANK(Contrato5[[#This Row],[DEPENDENCIA ]]),0,IFERROR(_xlfn.XLOOKUP(Contrato5[[#This Row],[DEPENDENCIA ]],[2]!PERSONAL_ACTIVO_2024[[#All],[Dependencia]],[2]!PERSONAL_ACTIVO_2024[[#All],[Mail ]],0,0),0))</f>
        <v>0</v>
      </c>
    </row>
    <row r="164" spans="1:43" ht="34.5" customHeight="1">
      <c r="A164" s="125">
        <v>241</v>
      </c>
      <c r="B164" s="124">
        <v>138</v>
      </c>
      <c r="C164" s="162" t="s">
        <v>1662</v>
      </c>
      <c r="D164" s="227" t="s">
        <v>583</v>
      </c>
      <c r="E164" s="128" t="s">
        <v>94</v>
      </c>
      <c r="F164" s="163" t="s">
        <v>1376</v>
      </c>
      <c r="G164" s="190" t="s">
        <v>763</v>
      </c>
      <c r="H164" s="447">
        <v>91203031</v>
      </c>
      <c r="I164" s="455">
        <v>3952382</v>
      </c>
      <c r="J164" s="456">
        <v>23714292</v>
      </c>
      <c r="K164" s="166" t="s">
        <v>42</v>
      </c>
      <c r="L164" s="438" t="s">
        <v>42</v>
      </c>
      <c r="M164" s="194" t="s">
        <v>586</v>
      </c>
      <c r="N164" s="177" t="e" cm="1">
        <f t="array" aca="1" ref="N164" ca="1">_xlfn.XLOOKUP(Contrato5[[#This Row],[SUPERVISOR TITULAR]],[2]!PERSONAL_ACTIVO_2024[[#All],[Nombre completo]],[2]!PERSONAL_ACTIVO_2024[[#All],[Documento identidad]],"",0)</f>
        <v>#NAME?</v>
      </c>
      <c r="O164" s="194" t="s">
        <v>589</v>
      </c>
      <c r="P164" s="196" t="e" cm="1">
        <f t="array" aca="1" ref="P164" ca="1">_xlfn.XLOOKUP(Contrato5[[#This Row],[SUPERVISOR SUPLENTE ]],[2]!PERSONAL_ACTIVO_2024[[#All],[Nombre completo]],[2]!PERSONAL_ACTIVO_2024[[#All],[Documento identidad]],"",0)</f>
        <v>#NAME?</v>
      </c>
      <c r="Q164" s="208">
        <v>169</v>
      </c>
      <c r="R164" s="137" t="e" cm="1">
        <f t="array" aca="1" ref="R164" ca="1">_xlfn.XLOOKUP(Contrato5[[#This Row],[CDP]],[2]!DISPONIBILIDADES_2024[[#All],[consecutivo]],[2]!DISPONIBILIDADES_2024[[#All],[fecha_aprobacion]],"",0)</f>
        <v>#NAME?</v>
      </c>
      <c r="S164" s="138" t="e">
        <f>SUMIF([2]!DISPONIBILIDADES_2024[[#All],[consecutivo]],Contrato5[[#This Row],[CDP]],[2]!DISPONIBILIDADES_2024[[#All],[valor_total_rubro]])</f>
        <v>#REF!</v>
      </c>
      <c r="T164" s="139" t="e" cm="1">
        <f t="array" aca="1" ref="T164" ca="1">_xlfn.XLOOKUP(Contrato5[[#This Row],[CONTRATO]]&amp;Contrato5[[#This Row],[CDP]],[2]!Corr_Contr_CDP[[#All],[CONTRATO-CDP]],[2]!Corr_Contr_CDP[[#All],[CRP]],_xlfn.XLOOKUP(Contrato5[[#This Row],[CDP]],[2]!COMPROMISOS_2024[[#All],[disponibilidad]],[2]!COMPROMISOS_2024[[#All],[consecutivo]],"",0),0)</f>
        <v>#NAME?</v>
      </c>
      <c r="U164" s="140" t="e" cm="1">
        <f t="array" aca="1" ref="U164" ca="1">+_xlfn.XLOOKUP(Contrato5[[#This Row],[RCP]],[2]!COMPROMISOS_2024[[#All],[consecutivo]],[2]!COMPROMISOS_2024[[#All],[fecha_aprobacion]],"",0)</f>
        <v>#NAME?</v>
      </c>
      <c r="V164" s="141" t="e">
        <f ca="1">SUMIF([2]!COMPROMISOS_2024[[#All],[consecutivo]],Contrato5[[#This Row],[RCP]],[2]!COMPROMISOS_2024[[#All],[valor_total]])</f>
        <v>#REF!</v>
      </c>
      <c r="W164" s="415">
        <v>45337</v>
      </c>
      <c r="X164" s="415">
        <v>45337</v>
      </c>
      <c r="Y164" s="143">
        <v>45338</v>
      </c>
      <c r="Z164" s="262">
        <v>45519</v>
      </c>
      <c r="AA164" s="171" t="s">
        <v>651</v>
      </c>
      <c r="AB164" s="161" t="s">
        <v>640</v>
      </c>
      <c r="AC164" s="161"/>
      <c r="AD164" s="211">
        <v>202000003749</v>
      </c>
      <c r="AE164" s="147" t="s">
        <v>523</v>
      </c>
      <c r="AF164" s="148" t="str">
        <f>TEXT(LEFT(Contrato5[[#This Row],[CONTRATO]],3),"0")</f>
        <v>138</v>
      </c>
      <c r="AG164" s="148" t="str">
        <f>IF(LEN(Contrato5[[#This Row],[Contrato2]])=3,Contrato5[[#This Row],[Contrato2]],TEXT(Contrato5[[#This Row],[Contrato2]],"000"))</f>
        <v>138</v>
      </c>
      <c r="AH164" s="149">
        <f ca="1">IFERROR(_xlfn.DAYS(Contrato5[[#This Row],[Fecha Proyectada liquidación]],TODAY())/30,"")</f>
        <v>-3.9666666666666668</v>
      </c>
      <c r="AI164" s="150">
        <f>+Contrato5[[#This Row],[FECHA TERMINACIÓN ]]+120</f>
        <v>45639</v>
      </c>
      <c r="AJ164" s="147"/>
      <c r="AK164" s="152" t="str">
        <f ca="1">IF(Contrato5[[#This Row],[FECHA TERMINACIÓN ]]&lt;TODAY(), "Terminado",IF(ISNUMBER(Contrato5[[#This Row],[Fecha Real de liquiidación ]]),"Liquidado",IF(Contrato5[[#This Row],[FECHA TERMINACIÓN ]]&gt;=TODAY(),"En ejecución","")))</f>
        <v>Terminado</v>
      </c>
      <c r="AL164" s="153" t="e">
        <f ca="1">SUMIF([2]!COMPROMISOS_2024[[#All],[consecutivo]],Contrato5[[#This Row],[RCP]],[2]!COMPROMISOS_2024[[#All],[Total pagado]])</f>
        <v>#REF!</v>
      </c>
      <c r="AM164" s="154">
        <f ca="1">IFERROR(Contrato5[[#This Row],[Pagos]]/Contrato5[[#This Row],[VALOR CONTRATO]],0)</f>
        <v>0</v>
      </c>
      <c r="AN164" s="198" t="e">
        <f ca="1">+Contrato5[[#This Row],[VALOR CONTRATO]]-Contrato5[[#This Row],[Pagos]]</f>
        <v>#REF!</v>
      </c>
      <c r="AO164" s="147" t="e" cm="1">
        <f t="array" aca="1" ref="AO164" ca="1">_xlfn.XLOOKUP(Contrato5[[#This Row],[DOCUMENTO ]],[2]!PERSONAL_ACTIVO_2024[[#All],[Documento identidad]],[2]!PERSONAL_ACTIVO_2024[[#All],[Mail ]],0,0)</f>
        <v>#NAME?</v>
      </c>
      <c r="AP164" s="147" t="e" cm="1">
        <f t="array" aca="1" ref="AP164" ca="1">_xlfn.XLOOKUP(Contrato5[[#This Row],[DOCUMENTO]],[2]!PERSONAL_ACTIVO_2024[[#All],[Documento identidad]],[2]!PERSONAL_ACTIVO_2024[[#All],[Mail ]],0,0)</f>
        <v>#NAME?</v>
      </c>
      <c r="AQ164" s="439" cm="1">
        <f t="array" aca="1" ref="AQ164" ca="1">IF(ISBLANK(Contrato5[[#This Row],[DEPENDENCIA ]]),0,IFERROR(_xlfn.XLOOKUP(Contrato5[[#This Row],[DEPENDENCIA ]],[2]!PERSONAL_ACTIVO_2024[[#All],[Dependencia]],[2]!PERSONAL_ACTIVO_2024[[#All],[Mail ]],0,0),0))</f>
        <v>0</v>
      </c>
    </row>
    <row r="165" spans="1:43" ht="34.5" customHeight="1">
      <c r="A165" s="125">
        <v>242</v>
      </c>
      <c r="B165" s="124">
        <v>139</v>
      </c>
      <c r="C165" s="162" t="s">
        <v>1663</v>
      </c>
      <c r="D165" s="227" t="s">
        <v>583</v>
      </c>
      <c r="E165" s="128" t="s">
        <v>94</v>
      </c>
      <c r="F165" s="163" t="s">
        <v>1376</v>
      </c>
      <c r="G165" s="190" t="s">
        <v>764</v>
      </c>
      <c r="H165" s="447">
        <v>78296925</v>
      </c>
      <c r="I165" s="455">
        <v>3952382</v>
      </c>
      <c r="J165" s="456">
        <v>23714292</v>
      </c>
      <c r="K165" s="166" t="s">
        <v>42</v>
      </c>
      <c r="L165" s="438" t="s">
        <v>42</v>
      </c>
      <c r="M165" s="194" t="s">
        <v>586</v>
      </c>
      <c r="N165" s="177" t="e" cm="1">
        <f t="array" aca="1" ref="N165" ca="1">_xlfn.XLOOKUP(Contrato5[[#This Row],[SUPERVISOR TITULAR]],[2]!PERSONAL_ACTIVO_2024[[#All],[Nombre completo]],[2]!PERSONAL_ACTIVO_2024[[#All],[Documento identidad]],"",0)</f>
        <v>#NAME?</v>
      </c>
      <c r="O165" s="194" t="s">
        <v>589</v>
      </c>
      <c r="P165" s="196" t="e" cm="1">
        <f t="array" aca="1" ref="P165" ca="1">_xlfn.XLOOKUP(Contrato5[[#This Row],[SUPERVISOR SUPLENTE ]],[2]!PERSONAL_ACTIVO_2024[[#All],[Nombre completo]],[2]!PERSONAL_ACTIVO_2024[[#All],[Documento identidad]],"",0)</f>
        <v>#NAME?</v>
      </c>
      <c r="Q165" s="208">
        <v>170</v>
      </c>
      <c r="R165" s="137" t="e" cm="1">
        <f t="array" aca="1" ref="R165" ca="1">_xlfn.XLOOKUP(Contrato5[[#This Row],[CDP]],[2]!DISPONIBILIDADES_2024[[#All],[consecutivo]],[2]!DISPONIBILIDADES_2024[[#All],[fecha_aprobacion]],"",0)</f>
        <v>#NAME?</v>
      </c>
      <c r="S165" s="138" t="e">
        <f>SUMIF([2]!DISPONIBILIDADES_2024[[#All],[consecutivo]],Contrato5[[#This Row],[CDP]],[2]!DISPONIBILIDADES_2024[[#All],[valor_total_rubro]])</f>
        <v>#REF!</v>
      </c>
      <c r="T165" s="139" t="e" cm="1">
        <f t="array" aca="1" ref="T165" ca="1">_xlfn.XLOOKUP(Contrato5[[#This Row],[CONTRATO]]&amp;Contrato5[[#This Row],[CDP]],[2]!Corr_Contr_CDP[[#All],[CONTRATO-CDP]],[2]!Corr_Contr_CDP[[#All],[CRP]],_xlfn.XLOOKUP(Contrato5[[#This Row],[CDP]],[2]!COMPROMISOS_2024[[#All],[disponibilidad]],[2]!COMPROMISOS_2024[[#All],[consecutivo]],"",0),0)</f>
        <v>#NAME?</v>
      </c>
      <c r="U165" s="140" t="e" cm="1">
        <f t="array" aca="1" ref="U165" ca="1">+_xlfn.XLOOKUP(Contrato5[[#This Row],[RCP]],[2]!COMPROMISOS_2024[[#All],[consecutivo]],[2]!COMPROMISOS_2024[[#All],[fecha_aprobacion]],"",0)</f>
        <v>#NAME?</v>
      </c>
      <c r="V165" s="141" t="e">
        <f ca="1">SUMIF([2]!COMPROMISOS_2024[[#All],[consecutivo]],Contrato5[[#This Row],[RCP]],[2]!COMPROMISOS_2024[[#All],[valor_total]])</f>
        <v>#REF!</v>
      </c>
      <c r="W165" s="415">
        <v>45337</v>
      </c>
      <c r="X165" s="415">
        <v>45338</v>
      </c>
      <c r="Y165" s="143">
        <v>45338</v>
      </c>
      <c r="Z165" s="262">
        <v>45519</v>
      </c>
      <c r="AA165" s="171" t="s">
        <v>651</v>
      </c>
      <c r="AB165" s="161" t="s">
        <v>640</v>
      </c>
      <c r="AC165" s="161"/>
      <c r="AD165" s="211">
        <v>202000003750</v>
      </c>
      <c r="AE165" s="147" t="s">
        <v>523</v>
      </c>
      <c r="AF165" s="148" t="str">
        <f>TEXT(LEFT(Contrato5[[#This Row],[CONTRATO]],3),"0")</f>
        <v>139</v>
      </c>
      <c r="AG165" s="148" t="str">
        <f>IF(LEN(Contrato5[[#This Row],[Contrato2]])=3,Contrato5[[#This Row],[Contrato2]],TEXT(Contrato5[[#This Row],[Contrato2]],"000"))</f>
        <v>139</v>
      </c>
      <c r="AH165" s="149">
        <f ca="1">IFERROR(_xlfn.DAYS(Contrato5[[#This Row],[Fecha Proyectada liquidación]],TODAY())/30,"")</f>
        <v>-3.9666666666666668</v>
      </c>
      <c r="AI165" s="150">
        <f>+Contrato5[[#This Row],[FECHA TERMINACIÓN ]]+120</f>
        <v>45639</v>
      </c>
      <c r="AJ165" s="147"/>
      <c r="AK165" s="152" t="str">
        <f ca="1">IF(Contrato5[[#This Row],[FECHA TERMINACIÓN ]]&lt;TODAY(), "Terminado",IF(ISNUMBER(Contrato5[[#This Row],[Fecha Real de liquiidación ]]),"Liquidado",IF(Contrato5[[#This Row],[FECHA TERMINACIÓN ]]&gt;=TODAY(),"En ejecución","")))</f>
        <v>Terminado</v>
      </c>
      <c r="AL165" s="153" t="e">
        <f ca="1">SUMIF([2]!COMPROMISOS_2024[[#All],[consecutivo]],Contrato5[[#This Row],[RCP]],[2]!COMPROMISOS_2024[[#All],[Total pagado]])</f>
        <v>#REF!</v>
      </c>
      <c r="AM165" s="154">
        <f ca="1">IFERROR(Contrato5[[#This Row],[Pagos]]/Contrato5[[#This Row],[VALOR CONTRATO]],0)</f>
        <v>0</v>
      </c>
      <c r="AN165" s="198" t="e">
        <f ca="1">+Contrato5[[#This Row],[VALOR CONTRATO]]-Contrato5[[#This Row],[Pagos]]</f>
        <v>#REF!</v>
      </c>
      <c r="AO165" s="147" t="e" cm="1">
        <f t="array" aca="1" ref="AO165" ca="1">_xlfn.XLOOKUP(Contrato5[[#This Row],[DOCUMENTO ]],[2]!PERSONAL_ACTIVO_2024[[#All],[Documento identidad]],[2]!PERSONAL_ACTIVO_2024[[#All],[Mail ]],0,0)</f>
        <v>#NAME?</v>
      </c>
      <c r="AP165" s="147" t="e" cm="1">
        <f t="array" aca="1" ref="AP165" ca="1">_xlfn.XLOOKUP(Contrato5[[#This Row],[DOCUMENTO]],[2]!PERSONAL_ACTIVO_2024[[#All],[Documento identidad]],[2]!PERSONAL_ACTIVO_2024[[#All],[Mail ]],0,0)</f>
        <v>#NAME?</v>
      </c>
      <c r="AQ165" s="439" cm="1">
        <f t="array" aca="1" ref="AQ165" ca="1">IF(ISBLANK(Contrato5[[#This Row],[DEPENDENCIA ]]),0,IFERROR(_xlfn.XLOOKUP(Contrato5[[#This Row],[DEPENDENCIA ]],[2]!PERSONAL_ACTIVO_2024[[#All],[Dependencia]],[2]!PERSONAL_ACTIVO_2024[[#All],[Mail ]],0,0),0))</f>
        <v>0</v>
      </c>
    </row>
    <row r="166" spans="1:43" ht="34.5" customHeight="1">
      <c r="A166" s="125">
        <v>243</v>
      </c>
      <c r="B166" s="124">
        <v>140</v>
      </c>
      <c r="C166" s="162" t="s">
        <v>1665</v>
      </c>
      <c r="D166" s="227" t="s">
        <v>583</v>
      </c>
      <c r="E166" s="128" t="s">
        <v>94</v>
      </c>
      <c r="F166" s="163" t="s">
        <v>1376</v>
      </c>
      <c r="G166" s="190" t="s">
        <v>765</v>
      </c>
      <c r="H166" s="447">
        <v>98558934</v>
      </c>
      <c r="I166" s="455">
        <v>7908765</v>
      </c>
      <c r="J166" s="456">
        <v>47452590</v>
      </c>
      <c r="K166" s="212" t="s">
        <v>42</v>
      </c>
      <c r="L166" s="438" t="s">
        <v>42</v>
      </c>
      <c r="M166" s="194" t="s">
        <v>592</v>
      </c>
      <c r="N166" s="177" t="e" cm="1">
        <f t="array" aca="1" ref="N166" ca="1">_xlfn.XLOOKUP(Contrato5[[#This Row],[SUPERVISOR TITULAR]],[2]!PERSONAL_ACTIVO_2024[[#All],[Nombre completo]],[2]!PERSONAL_ACTIVO_2024[[#All],[Documento identidad]],"",0)</f>
        <v>#NAME?</v>
      </c>
      <c r="O166" s="194" t="s">
        <v>600</v>
      </c>
      <c r="P166" s="196" t="e" cm="1">
        <f t="array" aca="1" ref="P166" ca="1">_xlfn.XLOOKUP(Contrato5[[#This Row],[SUPERVISOR SUPLENTE ]],[2]!PERSONAL_ACTIVO_2024[[#All],[Nombre completo]],[2]!PERSONAL_ACTIVO_2024[[#All],[Documento identidad]],"",0)</f>
        <v>#NAME?</v>
      </c>
      <c r="Q166" s="208">
        <v>171</v>
      </c>
      <c r="R166" s="137" t="e" cm="1">
        <f t="array" aca="1" ref="R166" ca="1">_xlfn.XLOOKUP(Contrato5[[#This Row],[CDP]],[2]!DISPONIBILIDADES_2024[[#All],[consecutivo]],[2]!DISPONIBILIDADES_2024[[#All],[fecha_aprobacion]],"",0)</f>
        <v>#NAME?</v>
      </c>
      <c r="S166" s="138" t="e">
        <f>SUMIF([2]!DISPONIBILIDADES_2024[[#All],[consecutivo]],Contrato5[[#This Row],[CDP]],[2]!DISPONIBILIDADES_2024[[#All],[valor_total_rubro]])</f>
        <v>#REF!</v>
      </c>
      <c r="T166" s="139" t="e" cm="1">
        <f t="array" aca="1" ref="T166" ca="1">_xlfn.XLOOKUP(Contrato5[[#This Row],[CONTRATO]]&amp;Contrato5[[#This Row],[CDP]],[2]!Corr_Contr_CDP[[#All],[CONTRATO-CDP]],[2]!Corr_Contr_CDP[[#All],[CRP]],_xlfn.XLOOKUP(Contrato5[[#This Row],[CDP]],[2]!COMPROMISOS_2024[[#All],[disponibilidad]],[2]!COMPROMISOS_2024[[#All],[consecutivo]],"",0),0)</f>
        <v>#NAME?</v>
      </c>
      <c r="U166" s="140" t="e" cm="1">
        <f t="array" aca="1" ref="U166" ca="1">+_xlfn.XLOOKUP(Contrato5[[#This Row],[RCP]],[2]!COMPROMISOS_2024[[#All],[consecutivo]],[2]!COMPROMISOS_2024[[#All],[fecha_aprobacion]],"",0)</f>
        <v>#NAME?</v>
      </c>
      <c r="V166" s="141" t="e">
        <f ca="1">SUMIF([2]!COMPROMISOS_2024[[#All],[consecutivo]],Contrato5[[#This Row],[RCP]],[2]!COMPROMISOS_2024[[#All],[valor_total]])</f>
        <v>#REF!</v>
      </c>
      <c r="W166" s="415">
        <v>45337</v>
      </c>
      <c r="X166" s="415">
        <v>45338</v>
      </c>
      <c r="Y166" s="143">
        <v>45338</v>
      </c>
      <c r="Z166" s="262">
        <v>45519</v>
      </c>
      <c r="AA166" s="171" t="s">
        <v>651</v>
      </c>
      <c r="AB166" s="161" t="s">
        <v>640</v>
      </c>
      <c r="AC166" s="161"/>
      <c r="AD166" s="211">
        <v>202000003751</v>
      </c>
      <c r="AE166" s="147" t="s">
        <v>523</v>
      </c>
      <c r="AF166" s="148" t="str">
        <f>TEXT(LEFT(Contrato5[[#This Row],[CONTRATO]],3),"0")</f>
        <v>140</v>
      </c>
      <c r="AG166" s="148" t="str">
        <f>IF(LEN(Contrato5[[#This Row],[Contrato2]])=3,Contrato5[[#This Row],[Contrato2]],TEXT(Contrato5[[#This Row],[Contrato2]],"000"))</f>
        <v>140</v>
      </c>
      <c r="AH166" s="149">
        <f ca="1">IFERROR(_xlfn.DAYS(Contrato5[[#This Row],[Fecha Proyectada liquidación]],TODAY())/30,"")</f>
        <v>-3.9666666666666668</v>
      </c>
      <c r="AI166" s="150">
        <f>+Contrato5[[#This Row],[FECHA TERMINACIÓN ]]+120</f>
        <v>45639</v>
      </c>
      <c r="AJ166" s="147"/>
      <c r="AK166" s="152" t="str">
        <f ca="1">IF(Contrato5[[#This Row],[FECHA TERMINACIÓN ]]&lt;TODAY(), "Terminado",IF(ISNUMBER(Contrato5[[#This Row],[Fecha Real de liquiidación ]]),"Liquidado",IF(Contrato5[[#This Row],[FECHA TERMINACIÓN ]]&gt;=TODAY(),"En ejecución","")))</f>
        <v>Terminado</v>
      </c>
      <c r="AL166" s="153" t="e">
        <f ca="1">SUMIF([2]!COMPROMISOS_2024[[#All],[consecutivo]],Contrato5[[#This Row],[RCP]],[2]!COMPROMISOS_2024[[#All],[Total pagado]])</f>
        <v>#REF!</v>
      </c>
      <c r="AM166" s="154">
        <f ca="1">IFERROR(Contrato5[[#This Row],[Pagos]]/Contrato5[[#This Row],[VALOR CONTRATO]],0)</f>
        <v>0</v>
      </c>
      <c r="AN166" s="198" t="e">
        <f ca="1">+Contrato5[[#This Row],[VALOR CONTRATO]]-Contrato5[[#This Row],[Pagos]]</f>
        <v>#REF!</v>
      </c>
      <c r="AO166" s="147" t="e" cm="1">
        <f t="array" aca="1" ref="AO166" ca="1">_xlfn.XLOOKUP(Contrato5[[#This Row],[DOCUMENTO ]],[2]!PERSONAL_ACTIVO_2024[[#All],[Documento identidad]],[2]!PERSONAL_ACTIVO_2024[[#All],[Mail ]],0,0)</f>
        <v>#NAME?</v>
      </c>
      <c r="AP166" s="147" t="e" cm="1">
        <f t="array" aca="1" ref="AP166" ca="1">_xlfn.XLOOKUP(Contrato5[[#This Row],[DOCUMENTO]],[2]!PERSONAL_ACTIVO_2024[[#All],[Documento identidad]],[2]!PERSONAL_ACTIVO_2024[[#All],[Mail ]],0,0)</f>
        <v>#NAME?</v>
      </c>
      <c r="AQ166" s="439" cm="1">
        <f t="array" aca="1" ref="AQ166" ca="1">IF(ISBLANK(Contrato5[[#This Row],[DEPENDENCIA ]]),0,IFERROR(_xlfn.XLOOKUP(Contrato5[[#This Row],[DEPENDENCIA ]],[2]!PERSONAL_ACTIVO_2024[[#All],[Dependencia]],[2]!PERSONAL_ACTIVO_2024[[#All],[Mail ]],0,0),0))</f>
        <v>0</v>
      </c>
    </row>
    <row r="167" spans="1:43" ht="34.5" customHeight="1">
      <c r="A167" s="125">
        <v>244</v>
      </c>
      <c r="B167" s="124">
        <v>141</v>
      </c>
      <c r="C167" s="162" t="s">
        <v>1666</v>
      </c>
      <c r="D167" s="227" t="s">
        <v>583</v>
      </c>
      <c r="E167" s="128" t="s">
        <v>94</v>
      </c>
      <c r="F167" s="163" t="s">
        <v>1376</v>
      </c>
      <c r="G167" s="190" t="s">
        <v>766</v>
      </c>
      <c r="H167" s="447">
        <v>52152664</v>
      </c>
      <c r="I167" s="455">
        <v>5931149</v>
      </c>
      <c r="J167" s="456">
        <v>35586894</v>
      </c>
      <c r="K167" s="166" t="s">
        <v>42</v>
      </c>
      <c r="L167" s="438" t="s">
        <v>42</v>
      </c>
      <c r="M167" s="194" t="s">
        <v>592</v>
      </c>
      <c r="N167" s="177" t="e" cm="1">
        <f t="array" aca="1" ref="N167" ca="1">_xlfn.XLOOKUP(Contrato5[[#This Row],[SUPERVISOR TITULAR]],[2]!PERSONAL_ACTIVO_2024[[#All],[Nombre completo]],[2]!PERSONAL_ACTIVO_2024[[#All],[Documento identidad]],"",0)</f>
        <v>#NAME?</v>
      </c>
      <c r="O167" s="194" t="s">
        <v>600</v>
      </c>
      <c r="P167" s="196" t="e" cm="1">
        <f t="array" aca="1" ref="P167" ca="1">_xlfn.XLOOKUP(Contrato5[[#This Row],[SUPERVISOR SUPLENTE ]],[2]!PERSONAL_ACTIVO_2024[[#All],[Nombre completo]],[2]!PERSONAL_ACTIVO_2024[[#All],[Documento identidad]],"",0)</f>
        <v>#NAME?</v>
      </c>
      <c r="Q167" s="208">
        <v>172</v>
      </c>
      <c r="R167" s="137" t="e" cm="1">
        <f t="array" aca="1" ref="R167" ca="1">_xlfn.XLOOKUP(Contrato5[[#This Row],[CDP]],[2]!DISPONIBILIDADES_2024[[#All],[consecutivo]],[2]!DISPONIBILIDADES_2024[[#All],[fecha_aprobacion]],"",0)</f>
        <v>#NAME?</v>
      </c>
      <c r="S167" s="138" t="e">
        <f>SUMIF([2]!DISPONIBILIDADES_2024[[#All],[consecutivo]],Contrato5[[#This Row],[CDP]],[2]!DISPONIBILIDADES_2024[[#All],[valor_total_rubro]])</f>
        <v>#REF!</v>
      </c>
      <c r="T167" s="139" t="e" cm="1">
        <f t="array" aca="1" ref="T167" ca="1">_xlfn.XLOOKUP(Contrato5[[#This Row],[CONTRATO]]&amp;Contrato5[[#This Row],[CDP]],[2]!Corr_Contr_CDP[[#All],[CONTRATO-CDP]],[2]!Corr_Contr_CDP[[#All],[CRP]],_xlfn.XLOOKUP(Contrato5[[#This Row],[CDP]],[2]!COMPROMISOS_2024[[#All],[disponibilidad]],[2]!COMPROMISOS_2024[[#All],[consecutivo]],"",0),0)</f>
        <v>#NAME?</v>
      </c>
      <c r="U167" s="140" t="e" cm="1">
        <f t="array" aca="1" ref="U167" ca="1">+_xlfn.XLOOKUP(Contrato5[[#This Row],[RCP]],[2]!COMPROMISOS_2024[[#All],[consecutivo]],[2]!COMPROMISOS_2024[[#All],[fecha_aprobacion]],"",0)</f>
        <v>#NAME?</v>
      </c>
      <c r="V167" s="141" t="e">
        <f ca="1">SUMIF([2]!COMPROMISOS_2024[[#All],[consecutivo]],Contrato5[[#This Row],[RCP]],[2]!COMPROMISOS_2024[[#All],[valor_total]])</f>
        <v>#REF!</v>
      </c>
      <c r="W167" s="415">
        <v>45338</v>
      </c>
      <c r="X167" s="415">
        <v>45338</v>
      </c>
      <c r="Y167" s="143">
        <v>45338</v>
      </c>
      <c r="Z167" s="262">
        <v>45519</v>
      </c>
      <c r="AA167" s="171" t="s">
        <v>651</v>
      </c>
      <c r="AB167" s="161" t="s">
        <v>640</v>
      </c>
      <c r="AC167" s="161"/>
      <c r="AD167" s="211">
        <v>202000003752</v>
      </c>
      <c r="AE167" s="147" t="s">
        <v>523</v>
      </c>
      <c r="AF167" s="148" t="str">
        <f>TEXT(LEFT(Contrato5[[#This Row],[CONTRATO]],3),"0")</f>
        <v>141</v>
      </c>
      <c r="AG167" s="148" t="str">
        <f>IF(LEN(Contrato5[[#This Row],[Contrato2]])=3,Contrato5[[#This Row],[Contrato2]],TEXT(Contrato5[[#This Row],[Contrato2]],"000"))</f>
        <v>141</v>
      </c>
      <c r="AH167" s="149">
        <f ca="1">IFERROR(_xlfn.DAYS(Contrato5[[#This Row],[Fecha Proyectada liquidación]],TODAY())/30,"")</f>
        <v>-3.9666666666666668</v>
      </c>
      <c r="AI167" s="150">
        <f>+Contrato5[[#This Row],[FECHA TERMINACIÓN ]]+120</f>
        <v>45639</v>
      </c>
      <c r="AJ167" s="147"/>
      <c r="AK167" s="152" t="str">
        <f ca="1">IF(Contrato5[[#This Row],[FECHA TERMINACIÓN ]]&lt;TODAY(), "Terminado",IF(ISNUMBER(Contrato5[[#This Row],[Fecha Real de liquiidación ]]),"Liquidado",IF(Contrato5[[#This Row],[FECHA TERMINACIÓN ]]&gt;=TODAY(),"En ejecución","")))</f>
        <v>Terminado</v>
      </c>
      <c r="AL167" s="153" t="e">
        <f ca="1">SUMIF([2]!COMPROMISOS_2024[[#All],[consecutivo]],Contrato5[[#This Row],[RCP]],[2]!COMPROMISOS_2024[[#All],[Total pagado]])</f>
        <v>#REF!</v>
      </c>
      <c r="AM167" s="154">
        <f ca="1">IFERROR(Contrato5[[#This Row],[Pagos]]/Contrato5[[#This Row],[VALOR CONTRATO]],0)</f>
        <v>0</v>
      </c>
      <c r="AN167" s="198" t="e">
        <f ca="1">+Contrato5[[#This Row],[VALOR CONTRATO]]-Contrato5[[#This Row],[Pagos]]</f>
        <v>#REF!</v>
      </c>
      <c r="AO167" s="147" t="e" cm="1">
        <f t="array" aca="1" ref="AO167" ca="1">_xlfn.XLOOKUP(Contrato5[[#This Row],[DOCUMENTO ]],[2]!PERSONAL_ACTIVO_2024[[#All],[Documento identidad]],[2]!PERSONAL_ACTIVO_2024[[#All],[Mail ]],0,0)</f>
        <v>#NAME?</v>
      </c>
      <c r="AP167" s="147" t="e" cm="1">
        <f t="array" aca="1" ref="AP167" ca="1">_xlfn.XLOOKUP(Contrato5[[#This Row],[DOCUMENTO]],[2]!PERSONAL_ACTIVO_2024[[#All],[Documento identidad]],[2]!PERSONAL_ACTIVO_2024[[#All],[Mail ]],0,0)</f>
        <v>#NAME?</v>
      </c>
      <c r="AQ167" s="439" cm="1">
        <f t="array" aca="1" ref="AQ167" ca="1">IF(ISBLANK(Contrato5[[#This Row],[DEPENDENCIA ]]),0,IFERROR(_xlfn.XLOOKUP(Contrato5[[#This Row],[DEPENDENCIA ]],[2]!PERSONAL_ACTIVO_2024[[#All],[Dependencia]],[2]!PERSONAL_ACTIVO_2024[[#All],[Mail ]],0,0),0))</f>
        <v>0</v>
      </c>
    </row>
    <row r="168" spans="1:43" ht="34.5" customHeight="1">
      <c r="A168" s="125">
        <v>245</v>
      </c>
      <c r="B168" s="124">
        <v>142</v>
      </c>
      <c r="C168" s="162" t="s">
        <v>2531</v>
      </c>
      <c r="D168" s="227" t="s">
        <v>583</v>
      </c>
      <c r="E168" s="128" t="s">
        <v>94</v>
      </c>
      <c r="F168" s="163" t="s">
        <v>1376</v>
      </c>
      <c r="G168" s="190" t="s">
        <v>767</v>
      </c>
      <c r="H168" s="447">
        <v>523298</v>
      </c>
      <c r="I168" s="455">
        <v>5931149</v>
      </c>
      <c r="J168" s="456">
        <v>35586894</v>
      </c>
      <c r="K168" s="166" t="s">
        <v>42</v>
      </c>
      <c r="L168" s="438" t="s">
        <v>42</v>
      </c>
      <c r="M168" s="194" t="s">
        <v>592</v>
      </c>
      <c r="N168" s="177" t="e" cm="1">
        <f t="array" aca="1" ref="N168" ca="1">_xlfn.XLOOKUP(Contrato5[[#This Row],[SUPERVISOR TITULAR]],[2]!PERSONAL_ACTIVO_2024[[#All],[Nombre completo]],[2]!PERSONAL_ACTIVO_2024[[#All],[Documento identidad]],"",0)</f>
        <v>#NAME?</v>
      </c>
      <c r="O168" s="194" t="s">
        <v>600</v>
      </c>
      <c r="P168" s="196" t="e" cm="1">
        <f t="array" aca="1" ref="P168" ca="1">_xlfn.XLOOKUP(Contrato5[[#This Row],[SUPERVISOR SUPLENTE ]],[2]!PERSONAL_ACTIVO_2024[[#All],[Nombre completo]],[2]!PERSONAL_ACTIVO_2024[[#All],[Documento identidad]],"",0)</f>
        <v>#NAME?</v>
      </c>
      <c r="Q168" s="208">
        <v>173</v>
      </c>
      <c r="R168" s="137" t="e" cm="1">
        <f t="array" aca="1" ref="R168" ca="1">_xlfn.XLOOKUP(Contrato5[[#This Row],[CDP]],[2]!DISPONIBILIDADES_2024[[#All],[consecutivo]],[2]!DISPONIBILIDADES_2024[[#All],[fecha_aprobacion]],"",0)</f>
        <v>#NAME?</v>
      </c>
      <c r="S168" s="138" t="e">
        <f>SUMIF([2]!DISPONIBILIDADES_2024[[#All],[consecutivo]],Contrato5[[#This Row],[CDP]],[2]!DISPONIBILIDADES_2024[[#All],[valor_total_rubro]])</f>
        <v>#REF!</v>
      </c>
      <c r="T168" s="139" t="e" cm="1">
        <f t="array" aca="1" ref="T168" ca="1">_xlfn.XLOOKUP(Contrato5[[#This Row],[CONTRATO]]&amp;Contrato5[[#This Row],[CDP]],[2]!Corr_Contr_CDP[[#All],[CONTRATO-CDP]],[2]!Corr_Contr_CDP[[#All],[CRP]],_xlfn.XLOOKUP(Contrato5[[#This Row],[CDP]],[2]!COMPROMISOS_2024[[#All],[disponibilidad]],[2]!COMPROMISOS_2024[[#All],[consecutivo]],"",0),0)</f>
        <v>#NAME?</v>
      </c>
      <c r="U168" s="140" t="e" cm="1">
        <f t="array" aca="1" ref="U168" ca="1">+_xlfn.XLOOKUP(Contrato5[[#This Row],[RCP]],[2]!COMPROMISOS_2024[[#All],[consecutivo]],[2]!COMPROMISOS_2024[[#All],[fecha_aprobacion]],"",0)</f>
        <v>#NAME?</v>
      </c>
      <c r="V168" s="141" t="e">
        <f ca="1">SUMIF([2]!COMPROMISOS_2024[[#All],[consecutivo]],Contrato5[[#This Row],[RCP]],[2]!COMPROMISOS_2024[[#All],[valor_total]])</f>
        <v>#REF!</v>
      </c>
      <c r="W168" s="415">
        <v>45337</v>
      </c>
      <c r="X168" s="415">
        <v>45338</v>
      </c>
      <c r="Y168" s="143">
        <v>45338</v>
      </c>
      <c r="Z168" s="262">
        <v>45519</v>
      </c>
      <c r="AA168" s="171" t="s">
        <v>651</v>
      </c>
      <c r="AB168" s="161" t="s">
        <v>640</v>
      </c>
      <c r="AC168" s="161"/>
      <c r="AD168" s="211">
        <v>202000003753</v>
      </c>
      <c r="AE168" s="147" t="s">
        <v>523</v>
      </c>
      <c r="AF168" s="148" t="str">
        <f>TEXT(LEFT(Contrato5[[#This Row],[CONTRATO]],3),"0")</f>
        <v>142</v>
      </c>
      <c r="AG168" s="148" t="str">
        <f>IF(LEN(Contrato5[[#This Row],[Contrato2]])=3,Contrato5[[#This Row],[Contrato2]],TEXT(Contrato5[[#This Row],[Contrato2]],"000"))</f>
        <v>142</v>
      </c>
      <c r="AH168" s="149">
        <f ca="1">IFERROR(_xlfn.DAYS(Contrato5[[#This Row],[Fecha Proyectada liquidación]],TODAY())/30,"")</f>
        <v>-3.9666666666666668</v>
      </c>
      <c r="AI168" s="150">
        <f>+Contrato5[[#This Row],[FECHA TERMINACIÓN ]]+120</f>
        <v>45639</v>
      </c>
      <c r="AJ168" s="147"/>
      <c r="AK168" s="152" t="str">
        <f ca="1">IF(Contrato5[[#This Row],[FECHA TERMINACIÓN ]]&lt;TODAY(), "Terminado",IF(ISNUMBER(Contrato5[[#This Row],[Fecha Real de liquiidación ]]),"Liquidado",IF(Contrato5[[#This Row],[FECHA TERMINACIÓN ]]&gt;=TODAY(),"En ejecución","")))</f>
        <v>Terminado</v>
      </c>
      <c r="AL168" s="153" t="e">
        <f ca="1">SUMIF([2]!COMPROMISOS_2024[[#All],[consecutivo]],Contrato5[[#This Row],[RCP]],[2]!COMPROMISOS_2024[[#All],[Total pagado]])</f>
        <v>#REF!</v>
      </c>
      <c r="AM168" s="154">
        <f ca="1">IFERROR(Contrato5[[#This Row],[Pagos]]/Contrato5[[#This Row],[VALOR CONTRATO]],0)</f>
        <v>0</v>
      </c>
      <c r="AN168" s="198" t="e">
        <f ca="1">+Contrato5[[#This Row],[VALOR CONTRATO]]-Contrato5[[#This Row],[Pagos]]</f>
        <v>#REF!</v>
      </c>
      <c r="AO168" s="147" t="e" cm="1">
        <f t="array" aca="1" ref="AO168" ca="1">_xlfn.XLOOKUP(Contrato5[[#This Row],[DOCUMENTO ]],[2]!PERSONAL_ACTIVO_2024[[#All],[Documento identidad]],[2]!PERSONAL_ACTIVO_2024[[#All],[Mail ]],0,0)</f>
        <v>#NAME?</v>
      </c>
      <c r="AP168" s="147" t="e" cm="1">
        <f t="array" aca="1" ref="AP168" ca="1">_xlfn.XLOOKUP(Contrato5[[#This Row],[DOCUMENTO]],[2]!PERSONAL_ACTIVO_2024[[#All],[Documento identidad]],[2]!PERSONAL_ACTIVO_2024[[#All],[Mail ]],0,0)</f>
        <v>#NAME?</v>
      </c>
      <c r="AQ168" s="439" cm="1">
        <f t="array" aca="1" ref="AQ168" ca="1">IF(ISBLANK(Contrato5[[#This Row],[DEPENDENCIA ]]),0,IFERROR(_xlfn.XLOOKUP(Contrato5[[#This Row],[DEPENDENCIA ]],[2]!PERSONAL_ACTIVO_2024[[#All],[Dependencia]],[2]!PERSONAL_ACTIVO_2024[[#All],[Mail ]],0,0),0))</f>
        <v>0</v>
      </c>
    </row>
    <row r="169" spans="1:43" ht="34.5" customHeight="1">
      <c r="A169" s="125">
        <v>246</v>
      </c>
      <c r="B169" s="124">
        <v>143</v>
      </c>
      <c r="C169" s="162" t="s">
        <v>2532</v>
      </c>
      <c r="D169" s="227" t="s">
        <v>583</v>
      </c>
      <c r="E169" s="128" t="s">
        <v>94</v>
      </c>
      <c r="F169" s="163" t="s">
        <v>1376</v>
      </c>
      <c r="G169" s="190" t="s">
        <v>768</v>
      </c>
      <c r="H169" s="447">
        <v>98558933</v>
      </c>
      <c r="I169" s="455">
        <v>6920169</v>
      </c>
      <c r="J169" s="456">
        <v>41521014</v>
      </c>
      <c r="K169" s="166" t="s">
        <v>42</v>
      </c>
      <c r="L169" s="438" t="s">
        <v>42</v>
      </c>
      <c r="M169" s="194" t="s">
        <v>592</v>
      </c>
      <c r="N169" s="177" t="e" cm="1">
        <f t="array" aca="1" ref="N169" ca="1">_xlfn.XLOOKUP(Contrato5[[#This Row],[SUPERVISOR TITULAR]],[2]!PERSONAL_ACTIVO_2024[[#All],[Nombre completo]],[2]!PERSONAL_ACTIVO_2024[[#All],[Documento identidad]],"",0)</f>
        <v>#NAME?</v>
      </c>
      <c r="O169" s="194" t="s">
        <v>600</v>
      </c>
      <c r="P169" s="196" t="e" cm="1">
        <f t="array" aca="1" ref="P169" ca="1">_xlfn.XLOOKUP(Contrato5[[#This Row],[SUPERVISOR SUPLENTE ]],[2]!PERSONAL_ACTIVO_2024[[#All],[Nombre completo]],[2]!PERSONAL_ACTIVO_2024[[#All],[Documento identidad]],"",0)</f>
        <v>#NAME?</v>
      </c>
      <c r="Q169" s="208">
        <v>174</v>
      </c>
      <c r="R169" s="137" t="e" cm="1">
        <f t="array" aca="1" ref="R169" ca="1">_xlfn.XLOOKUP(Contrato5[[#This Row],[CDP]],[2]!DISPONIBILIDADES_2024[[#All],[consecutivo]],[2]!DISPONIBILIDADES_2024[[#All],[fecha_aprobacion]],"",0)</f>
        <v>#NAME?</v>
      </c>
      <c r="S169" s="138" t="e">
        <f>SUMIF([2]!DISPONIBILIDADES_2024[[#All],[consecutivo]],Contrato5[[#This Row],[CDP]],[2]!DISPONIBILIDADES_2024[[#All],[valor_total_rubro]])</f>
        <v>#REF!</v>
      </c>
      <c r="T169" s="139" t="e" cm="1">
        <f t="array" aca="1" ref="T169" ca="1">_xlfn.XLOOKUP(Contrato5[[#This Row],[CONTRATO]]&amp;Contrato5[[#This Row],[CDP]],[2]!Corr_Contr_CDP[[#All],[CONTRATO-CDP]],[2]!Corr_Contr_CDP[[#All],[CRP]],_xlfn.XLOOKUP(Contrato5[[#This Row],[CDP]],[2]!COMPROMISOS_2024[[#All],[disponibilidad]],[2]!COMPROMISOS_2024[[#All],[consecutivo]],"",0),0)</f>
        <v>#NAME?</v>
      </c>
      <c r="U169" s="140" t="e" cm="1">
        <f t="array" aca="1" ref="U169" ca="1">+_xlfn.XLOOKUP(Contrato5[[#This Row],[RCP]],[2]!COMPROMISOS_2024[[#All],[consecutivo]],[2]!COMPROMISOS_2024[[#All],[fecha_aprobacion]],"",0)</f>
        <v>#NAME?</v>
      </c>
      <c r="V169" s="141" t="e">
        <f ca="1">SUMIF([2]!COMPROMISOS_2024[[#All],[consecutivo]],Contrato5[[#This Row],[RCP]],[2]!COMPROMISOS_2024[[#All],[valor_total]])</f>
        <v>#REF!</v>
      </c>
      <c r="W169" s="415">
        <v>45337</v>
      </c>
      <c r="X169" s="415">
        <v>45338</v>
      </c>
      <c r="Y169" s="143">
        <v>45338</v>
      </c>
      <c r="Z169" s="262">
        <v>45519</v>
      </c>
      <c r="AA169" s="171" t="s">
        <v>651</v>
      </c>
      <c r="AB169" s="161" t="s">
        <v>640</v>
      </c>
      <c r="AC169" s="161"/>
      <c r="AD169" s="211">
        <v>202000003755</v>
      </c>
      <c r="AE169" s="147" t="s">
        <v>523</v>
      </c>
      <c r="AF169" s="148" t="str">
        <f>TEXT(LEFT(Contrato5[[#This Row],[CONTRATO]],3),"0")</f>
        <v>143</v>
      </c>
      <c r="AG169" s="148" t="str">
        <f>IF(LEN(Contrato5[[#This Row],[Contrato2]])=3,Contrato5[[#This Row],[Contrato2]],TEXT(Contrato5[[#This Row],[Contrato2]],"000"))</f>
        <v>143</v>
      </c>
      <c r="AH169" s="149">
        <f ca="1">IFERROR(_xlfn.DAYS(Contrato5[[#This Row],[Fecha Proyectada liquidación]],TODAY())/30,"")</f>
        <v>-3.9666666666666668</v>
      </c>
      <c r="AI169" s="150">
        <f>+Contrato5[[#This Row],[FECHA TERMINACIÓN ]]+120</f>
        <v>45639</v>
      </c>
      <c r="AJ169" s="147"/>
      <c r="AK169" s="152" t="str">
        <f ca="1">IF(Contrato5[[#This Row],[FECHA TERMINACIÓN ]]&lt;TODAY(), "Terminado",IF(ISNUMBER(Contrato5[[#This Row],[Fecha Real de liquiidación ]]),"Liquidado",IF(Contrato5[[#This Row],[FECHA TERMINACIÓN ]]&gt;=TODAY(),"En ejecución","")))</f>
        <v>Terminado</v>
      </c>
      <c r="AL169" s="153" t="e">
        <f ca="1">SUMIF([2]!COMPROMISOS_2024[[#All],[consecutivo]],Contrato5[[#This Row],[RCP]],[2]!COMPROMISOS_2024[[#All],[Total pagado]])</f>
        <v>#REF!</v>
      </c>
      <c r="AM169" s="154">
        <f ca="1">IFERROR(Contrato5[[#This Row],[Pagos]]/Contrato5[[#This Row],[VALOR CONTRATO]],0)</f>
        <v>0</v>
      </c>
      <c r="AN169" s="198" t="e">
        <f ca="1">+Contrato5[[#This Row],[VALOR CONTRATO]]-Contrato5[[#This Row],[Pagos]]</f>
        <v>#REF!</v>
      </c>
      <c r="AO169" s="147" t="e" cm="1">
        <f t="array" aca="1" ref="AO169" ca="1">_xlfn.XLOOKUP(Contrato5[[#This Row],[DOCUMENTO ]],[2]!PERSONAL_ACTIVO_2024[[#All],[Documento identidad]],[2]!PERSONAL_ACTIVO_2024[[#All],[Mail ]],0,0)</f>
        <v>#NAME?</v>
      </c>
      <c r="AP169" s="147" t="e" cm="1">
        <f t="array" aca="1" ref="AP169" ca="1">_xlfn.XLOOKUP(Contrato5[[#This Row],[DOCUMENTO]],[2]!PERSONAL_ACTIVO_2024[[#All],[Documento identidad]],[2]!PERSONAL_ACTIVO_2024[[#All],[Mail ]],0,0)</f>
        <v>#NAME?</v>
      </c>
      <c r="AQ169" s="439" cm="1">
        <f t="array" aca="1" ref="AQ169" ca="1">IF(ISBLANK(Contrato5[[#This Row],[DEPENDENCIA ]]),0,IFERROR(_xlfn.XLOOKUP(Contrato5[[#This Row],[DEPENDENCIA ]],[2]!PERSONAL_ACTIVO_2024[[#All],[Dependencia]],[2]!PERSONAL_ACTIVO_2024[[#All],[Mail ]],0,0),0))</f>
        <v>0</v>
      </c>
    </row>
    <row r="170" spans="1:43" ht="34.5" customHeight="1">
      <c r="A170" s="125">
        <v>247</v>
      </c>
      <c r="B170" s="124">
        <v>144</v>
      </c>
      <c r="C170" s="162" t="s">
        <v>1669</v>
      </c>
      <c r="D170" s="227" t="s">
        <v>583</v>
      </c>
      <c r="E170" s="128" t="s">
        <v>94</v>
      </c>
      <c r="F170" s="163" t="s">
        <v>1376</v>
      </c>
      <c r="G170" s="190" t="s">
        <v>769</v>
      </c>
      <c r="H170" s="447">
        <v>71526393</v>
      </c>
      <c r="I170" s="455">
        <v>2574842</v>
      </c>
      <c r="J170" s="456">
        <v>15449052</v>
      </c>
      <c r="K170" s="166" t="s">
        <v>42</v>
      </c>
      <c r="L170" s="438" t="s">
        <v>42</v>
      </c>
      <c r="M170" s="194" t="s">
        <v>592</v>
      </c>
      <c r="N170" s="177" t="e" cm="1">
        <f t="array" aca="1" ref="N170" ca="1">_xlfn.XLOOKUP(Contrato5[[#This Row],[SUPERVISOR TITULAR]],[2]!PERSONAL_ACTIVO_2024[[#All],[Nombre completo]],[2]!PERSONAL_ACTIVO_2024[[#All],[Documento identidad]],"",0)</f>
        <v>#NAME?</v>
      </c>
      <c r="O170" s="194" t="s">
        <v>600</v>
      </c>
      <c r="P170" s="196" t="e" cm="1">
        <f t="array" aca="1" ref="P170" ca="1">_xlfn.XLOOKUP(Contrato5[[#This Row],[SUPERVISOR SUPLENTE ]],[2]!PERSONAL_ACTIVO_2024[[#All],[Nombre completo]],[2]!PERSONAL_ACTIVO_2024[[#All],[Documento identidad]],"",0)</f>
        <v>#NAME?</v>
      </c>
      <c r="Q170" s="208">
        <v>175</v>
      </c>
      <c r="R170" s="137" t="e" cm="1">
        <f t="array" aca="1" ref="R170" ca="1">_xlfn.XLOOKUP(Contrato5[[#This Row],[CDP]],[2]!DISPONIBILIDADES_2024[[#All],[consecutivo]],[2]!DISPONIBILIDADES_2024[[#All],[fecha_aprobacion]],"",0)</f>
        <v>#NAME?</v>
      </c>
      <c r="S170" s="138" t="e">
        <f>SUMIF([2]!DISPONIBILIDADES_2024[[#All],[consecutivo]],Contrato5[[#This Row],[CDP]],[2]!DISPONIBILIDADES_2024[[#All],[valor_total_rubro]])</f>
        <v>#REF!</v>
      </c>
      <c r="T170" s="139" t="e" cm="1">
        <f t="array" aca="1" ref="T170" ca="1">_xlfn.XLOOKUP(Contrato5[[#This Row],[CONTRATO]]&amp;Contrato5[[#This Row],[CDP]],[2]!Corr_Contr_CDP[[#All],[CONTRATO-CDP]],[2]!Corr_Contr_CDP[[#All],[CRP]],_xlfn.XLOOKUP(Contrato5[[#This Row],[CDP]],[2]!COMPROMISOS_2024[[#All],[disponibilidad]],[2]!COMPROMISOS_2024[[#All],[consecutivo]],"",0),0)</f>
        <v>#NAME?</v>
      </c>
      <c r="U170" s="140" t="e" cm="1">
        <f t="array" aca="1" ref="U170" ca="1">+_xlfn.XLOOKUP(Contrato5[[#This Row],[RCP]],[2]!COMPROMISOS_2024[[#All],[consecutivo]],[2]!COMPROMISOS_2024[[#All],[fecha_aprobacion]],"",0)</f>
        <v>#NAME?</v>
      </c>
      <c r="V170" s="141" t="e">
        <f ca="1">SUMIF([2]!COMPROMISOS_2024[[#All],[consecutivo]],Contrato5[[#This Row],[RCP]],[2]!COMPROMISOS_2024[[#All],[valor_total]])</f>
        <v>#REF!</v>
      </c>
      <c r="W170" s="415">
        <v>45337</v>
      </c>
      <c r="X170" s="415">
        <v>45338</v>
      </c>
      <c r="Y170" s="143">
        <v>45338</v>
      </c>
      <c r="Z170" s="262">
        <v>45519</v>
      </c>
      <c r="AA170" s="171" t="s">
        <v>653</v>
      </c>
      <c r="AB170" s="161" t="s">
        <v>640</v>
      </c>
      <c r="AC170" s="161"/>
      <c r="AD170" s="211">
        <v>202000003756</v>
      </c>
      <c r="AE170" s="147" t="s">
        <v>523</v>
      </c>
      <c r="AF170" s="148" t="str">
        <f>TEXT(LEFT(Contrato5[[#This Row],[CONTRATO]],3),"0")</f>
        <v>144</v>
      </c>
      <c r="AG170" s="148" t="str">
        <f>IF(LEN(Contrato5[[#This Row],[Contrato2]])=3,Contrato5[[#This Row],[Contrato2]],TEXT(Contrato5[[#This Row],[Contrato2]],"000"))</f>
        <v>144</v>
      </c>
      <c r="AH170" s="149">
        <f ca="1">IFERROR(_xlfn.DAYS(Contrato5[[#This Row],[Fecha Proyectada liquidación]],TODAY())/30,"")</f>
        <v>-3.9666666666666668</v>
      </c>
      <c r="AI170" s="150">
        <f>+Contrato5[[#This Row],[FECHA TERMINACIÓN ]]+120</f>
        <v>45639</v>
      </c>
      <c r="AJ170" s="147"/>
      <c r="AK170" s="152" t="str">
        <f ca="1">IF(Contrato5[[#This Row],[FECHA TERMINACIÓN ]]&lt;TODAY(), "Terminado",IF(ISNUMBER(Contrato5[[#This Row],[Fecha Real de liquiidación ]]),"Liquidado",IF(Contrato5[[#This Row],[FECHA TERMINACIÓN ]]&gt;=TODAY(),"En ejecución","")))</f>
        <v>Terminado</v>
      </c>
      <c r="AL170" s="153" t="e">
        <f ca="1">SUMIF([2]!COMPROMISOS_2024[[#All],[consecutivo]],Contrato5[[#This Row],[RCP]],[2]!COMPROMISOS_2024[[#All],[Total pagado]])</f>
        <v>#REF!</v>
      </c>
      <c r="AM170" s="154">
        <f ca="1">IFERROR(Contrato5[[#This Row],[Pagos]]/Contrato5[[#This Row],[VALOR CONTRATO]],0)</f>
        <v>0</v>
      </c>
      <c r="AN170" s="198" t="e">
        <f ca="1">+Contrato5[[#This Row],[VALOR CONTRATO]]-Contrato5[[#This Row],[Pagos]]</f>
        <v>#REF!</v>
      </c>
      <c r="AO170" s="147" t="e" cm="1">
        <f t="array" aca="1" ref="AO170" ca="1">_xlfn.XLOOKUP(Contrato5[[#This Row],[DOCUMENTO ]],[2]!PERSONAL_ACTIVO_2024[[#All],[Documento identidad]],[2]!PERSONAL_ACTIVO_2024[[#All],[Mail ]],0,0)</f>
        <v>#NAME?</v>
      </c>
      <c r="AP170" s="147" t="e" cm="1">
        <f t="array" aca="1" ref="AP170" ca="1">_xlfn.XLOOKUP(Contrato5[[#This Row],[DOCUMENTO]],[2]!PERSONAL_ACTIVO_2024[[#All],[Documento identidad]],[2]!PERSONAL_ACTIVO_2024[[#All],[Mail ]],0,0)</f>
        <v>#NAME?</v>
      </c>
      <c r="AQ170" s="439" cm="1">
        <f t="array" aca="1" ref="AQ170" ca="1">IF(ISBLANK(Contrato5[[#This Row],[DEPENDENCIA ]]),0,IFERROR(_xlfn.XLOOKUP(Contrato5[[#This Row],[DEPENDENCIA ]],[2]!PERSONAL_ACTIVO_2024[[#All],[Dependencia]],[2]!PERSONAL_ACTIVO_2024[[#All],[Mail ]],0,0),0))</f>
        <v>0</v>
      </c>
    </row>
    <row r="171" spans="1:43" ht="34.5" customHeight="1">
      <c r="A171" s="125">
        <v>248</v>
      </c>
      <c r="B171" s="124">
        <v>145</v>
      </c>
      <c r="C171" s="162" t="s">
        <v>1670</v>
      </c>
      <c r="D171" s="227" t="s">
        <v>583</v>
      </c>
      <c r="E171" s="128" t="s">
        <v>94</v>
      </c>
      <c r="F171" s="163" t="s">
        <v>1376</v>
      </c>
      <c r="G171" s="190" t="s">
        <v>770</v>
      </c>
      <c r="H171" s="447">
        <v>1098612957</v>
      </c>
      <c r="I171" s="455">
        <v>5931149</v>
      </c>
      <c r="J171" s="456">
        <v>35586894</v>
      </c>
      <c r="K171" s="166" t="s">
        <v>42</v>
      </c>
      <c r="L171" s="438" t="s">
        <v>42</v>
      </c>
      <c r="M171" s="194" t="s">
        <v>589</v>
      </c>
      <c r="N171" s="177" t="e" cm="1">
        <f t="array" aca="1" ref="N171" ca="1">_xlfn.XLOOKUP(Contrato5[[#This Row],[SUPERVISOR TITULAR]],[2]!PERSONAL_ACTIVO_2024[[#All],[Nombre completo]],[2]!PERSONAL_ACTIVO_2024[[#All],[Documento identidad]],"",0)</f>
        <v>#NAME?</v>
      </c>
      <c r="O171" s="194" t="s">
        <v>586</v>
      </c>
      <c r="P171" s="196" t="e" cm="1">
        <f t="array" aca="1" ref="P171" ca="1">_xlfn.XLOOKUP(Contrato5[[#This Row],[SUPERVISOR SUPLENTE ]],[2]!PERSONAL_ACTIVO_2024[[#All],[Nombre completo]],[2]!PERSONAL_ACTIVO_2024[[#All],[Documento identidad]],"",0)</f>
        <v>#NAME?</v>
      </c>
      <c r="Q171" s="208">
        <v>176</v>
      </c>
      <c r="R171" s="137" t="e" cm="1">
        <f t="array" aca="1" ref="R171" ca="1">_xlfn.XLOOKUP(Contrato5[[#This Row],[CDP]],[2]!DISPONIBILIDADES_2024[[#All],[consecutivo]],[2]!DISPONIBILIDADES_2024[[#All],[fecha_aprobacion]],"",0)</f>
        <v>#NAME?</v>
      </c>
      <c r="S171" s="138" t="e">
        <f>SUMIF([2]!DISPONIBILIDADES_2024[[#All],[consecutivo]],Contrato5[[#This Row],[CDP]],[2]!DISPONIBILIDADES_2024[[#All],[valor_total_rubro]])</f>
        <v>#REF!</v>
      </c>
      <c r="T171" s="139" t="e" cm="1">
        <f t="array" aca="1" ref="T171" ca="1">_xlfn.XLOOKUP(Contrato5[[#This Row],[CONTRATO]]&amp;Contrato5[[#This Row],[CDP]],[2]!Corr_Contr_CDP[[#All],[CONTRATO-CDP]],[2]!Corr_Contr_CDP[[#All],[CRP]],_xlfn.XLOOKUP(Contrato5[[#This Row],[CDP]],[2]!COMPROMISOS_2024[[#All],[disponibilidad]],[2]!COMPROMISOS_2024[[#All],[consecutivo]],"",0),0)</f>
        <v>#NAME?</v>
      </c>
      <c r="U171" s="140" t="e" cm="1">
        <f t="array" aca="1" ref="U171" ca="1">+_xlfn.XLOOKUP(Contrato5[[#This Row],[RCP]],[2]!COMPROMISOS_2024[[#All],[consecutivo]],[2]!COMPROMISOS_2024[[#All],[fecha_aprobacion]],"",0)</f>
        <v>#NAME?</v>
      </c>
      <c r="V171" s="141" t="e">
        <f ca="1">SUMIF([2]!COMPROMISOS_2024[[#All],[consecutivo]],Contrato5[[#This Row],[RCP]],[2]!COMPROMISOS_2024[[#All],[valor_total]])</f>
        <v>#REF!</v>
      </c>
      <c r="W171" s="415">
        <v>45337</v>
      </c>
      <c r="X171" s="415">
        <v>45338</v>
      </c>
      <c r="Y171" s="143">
        <v>45338</v>
      </c>
      <c r="Z171" s="262">
        <v>45519</v>
      </c>
      <c r="AA171" s="183" t="s">
        <v>651</v>
      </c>
      <c r="AB171" s="161" t="s">
        <v>640</v>
      </c>
      <c r="AC171" s="161"/>
      <c r="AD171" s="211">
        <v>202000003757</v>
      </c>
      <c r="AE171" s="147" t="s">
        <v>523</v>
      </c>
      <c r="AF171" s="148" t="str">
        <f>TEXT(LEFT(Contrato5[[#This Row],[CONTRATO]],3),"0")</f>
        <v>145</v>
      </c>
      <c r="AG171" s="148" t="str">
        <f>IF(LEN(Contrato5[[#This Row],[Contrato2]])=3,Contrato5[[#This Row],[Contrato2]],TEXT(Contrato5[[#This Row],[Contrato2]],"000"))</f>
        <v>145</v>
      </c>
      <c r="AH171" s="149">
        <f ca="1">IFERROR(_xlfn.DAYS(Contrato5[[#This Row],[Fecha Proyectada liquidación]],TODAY())/30,"")</f>
        <v>-3.9666666666666668</v>
      </c>
      <c r="AI171" s="150">
        <f>+Contrato5[[#This Row],[FECHA TERMINACIÓN ]]+120</f>
        <v>45639</v>
      </c>
      <c r="AJ171" s="147"/>
      <c r="AK171" s="152" t="str">
        <f ca="1">IF(Contrato5[[#This Row],[FECHA TERMINACIÓN ]]&lt;TODAY(), "Terminado",IF(ISNUMBER(Contrato5[[#This Row],[Fecha Real de liquiidación ]]),"Liquidado",IF(Contrato5[[#This Row],[FECHA TERMINACIÓN ]]&gt;=TODAY(),"En ejecución","")))</f>
        <v>Terminado</v>
      </c>
      <c r="AL171" s="153" t="e">
        <f ca="1">SUMIF([2]!COMPROMISOS_2024[[#All],[consecutivo]],Contrato5[[#This Row],[RCP]],[2]!COMPROMISOS_2024[[#All],[Total pagado]])</f>
        <v>#REF!</v>
      </c>
      <c r="AM171" s="154">
        <f ca="1">IFERROR(Contrato5[[#This Row],[Pagos]]/Contrato5[[#This Row],[VALOR CONTRATO]],0)</f>
        <v>0</v>
      </c>
      <c r="AN171" s="198" t="e">
        <f ca="1">+Contrato5[[#This Row],[VALOR CONTRATO]]-Contrato5[[#This Row],[Pagos]]</f>
        <v>#REF!</v>
      </c>
      <c r="AO171" s="147" t="e" cm="1">
        <f t="array" aca="1" ref="AO171" ca="1">_xlfn.XLOOKUP(Contrato5[[#This Row],[DOCUMENTO ]],[2]!PERSONAL_ACTIVO_2024[[#All],[Documento identidad]],[2]!PERSONAL_ACTIVO_2024[[#All],[Mail ]],0,0)</f>
        <v>#NAME?</v>
      </c>
      <c r="AP171" s="147" t="e" cm="1">
        <f t="array" aca="1" ref="AP171" ca="1">_xlfn.XLOOKUP(Contrato5[[#This Row],[DOCUMENTO]],[2]!PERSONAL_ACTIVO_2024[[#All],[Documento identidad]],[2]!PERSONAL_ACTIVO_2024[[#All],[Mail ]],0,0)</f>
        <v>#NAME?</v>
      </c>
      <c r="AQ171" s="439" cm="1">
        <f t="array" aca="1" ref="AQ171" ca="1">IF(ISBLANK(Contrato5[[#This Row],[DEPENDENCIA ]]),0,IFERROR(_xlfn.XLOOKUP(Contrato5[[#This Row],[DEPENDENCIA ]],[2]!PERSONAL_ACTIVO_2024[[#All],[Dependencia]],[2]!PERSONAL_ACTIVO_2024[[#All],[Mail ]],0,0),0))</f>
        <v>0</v>
      </c>
    </row>
    <row r="172" spans="1:43" ht="34.5" customHeight="1">
      <c r="A172" s="125">
        <v>249</v>
      </c>
      <c r="B172" s="124">
        <v>146</v>
      </c>
      <c r="C172" s="162" t="s">
        <v>1671</v>
      </c>
      <c r="D172" s="227" t="s">
        <v>583</v>
      </c>
      <c r="E172" s="128" t="s">
        <v>94</v>
      </c>
      <c r="F172" s="163" t="s">
        <v>1376</v>
      </c>
      <c r="G172" s="190" t="s">
        <v>771</v>
      </c>
      <c r="H172" s="447">
        <v>8431569</v>
      </c>
      <c r="I172" s="455">
        <v>5931149</v>
      </c>
      <c r="J172" s="456">
        <v>35586894</v>
      </c>
      <c r="K172" s="166" t="s">
        <v>42</v>
      </c>
      <c r="L172" s="438" t="s">
        <v>42</v>
      </c>
      <c r="M172" s="194" t="s">
        <v>589</v>
      </c>
      <c r="N172" s="192" t="e" cm="1">
        <f t="array" aca="1" ref="N172" ca="1">_xlfn.XLOOKUP(Contrato5[[#This Row],[SUPERVISOR TITULAR]],[2]!PERSONAL_ACTIVO_2024[[#All],[Nombre completo]],[2]!PERSONAL_ACTIVO_2024[[#All],[Documento identidad]],"",0)</f>
        <v>#NAME?</v>
      </c>
      <c r="O172" s="194" t="s">
        <v>586</v>
      </c>
      <c r="P172" s="196" t="e" cm="1">
        <f t="array" aca="1" ref="P172" ca="1">_xlfn.XLOOKUP(Contrato5[[#This Row],[SUPERVISOR SUPLENTE ]],[2]!PERSONAL_ACTIVO_2024[[#All],[Nombre completo]],[2]!PERSONAL_ACTIVO_2024[[#All],[Documento identidad]],"",0)</f>
        <v>#NAME?</v>
      </c>
      <c r="Q172" s="208">
        <v>177</v>
      </c>
      <c r="R172" s="137" t="e" cm="1">
        <f t="array" aca="1" ref="R172" ca="1">_xlfn.XLOOKUP(Contrato5[[#This Row],[CDP]],[2]!DISPONIBILIDADES_2024[[#All],[consecutivo]],[2]!DISPONIBILIDADES_2024[[#All],[fecha_aprobacion]],"",0)</f>
        <v>#NAME?</v>
      </c>
      <c r="S172" s="138" t="e">
        <f>SUMIF([2]!DISPONIBILIDADES_2024[[#All],[consecutivo]],Contrato5[[#This Row],[CDP]],[2]!DISPONIBILIDADES_2024[[#All],[valor_total_rubro]])</f>
        <v>#REF!</v>
      </c>
      <c r="T172" s="139" t="e" cm="1">
        <f t="array" aca="1" ref="T172" ca="1">_xlfn.XLOOKUP(Contrato5[[#This Row],[CONTRATO]]&amp;Contrato5[[#This Row],[CDP]],[2]!Corr_Contr_CDP[[#All],[CONTRATO-CDP]],[2]!Corr_Contr_CDP[[#All],[CRP]],_xlfn.XLOOKUP(Contrato5[[#This Row],[CDP]],[2]!COMPROMISOS_2024[[#All],[disponibilidad]],[2]!COMPROMISOS_2024[[#All],[consecutivo]],"",0),0)</f>
        <v>#NAME?</v>
      </c>
      <c r="U172" s="140" t="e" cm="1">
        <f t="array" aca="1" ref="U172" ca="1">+_xlfn.XLOOKUP(Contrato5[[#This Row],[RCP]],[2]!COMPROMISOS_2024[[#All],[consecutivo]],[2]!COMPROMISOS_2024[[#All],[fecha_aprobacion]],"",0)</f>
        <v>#NAME?</v>
      </c>
      <c r="V172" s="141" t="e">
        <f ca="1">SUMIF([2]!COMPROMISOS_2024[[#All],[consecutivo]],Contrato5[[#This Row],[RCP]],[2]!COMPROMISOS_2024[[#All],[valor_total]])</f>
        <v>#REF!</v>
      </c>
      <c r="W172" s="415">
        <v>45337</v>
      </c>
      <c r="X172" s="415">
        <v>45338</v>
      </c>
      <c r="Y172" s="143">
        <v>45338</v>
      </c>
      <c r="Z172" s="262">
        <v>45519</v>
      </c>
      <c r="AA172" s="183" t="s">
        <v>651</v>
      </c>
      <c r="AB172" s="161" t="s">
        <v>640</v>
      </c>
      <c r="AC172" s="161"/>
      <c r="AD172" s="211">
        <v>202000003758</v>
      </c>
      <c r="AE172" s="147" t="s">
        <v>523</v>
      </c>
      <c r="AF172" s="148" t="str">
        <f>TEXT(LEFT(Contrato5[[#This Row],[CONTRATO]],3),"0")</f>
        <v>146</v>
      </c>
      <c r="AG172" s="148" t="str">
        <f>IF(LEN(Contrato5[[#This Row],[Contrato2]])=3,Contrato5[[#This Row],[Contrato2]],TEXT(Contrato5[[#This Row],[Contrato2]],"000"))</f>
        <v>146</v>
      </c>
      <c r="AH172" s="149">
        <f ca="1">IFERROR(_xlfn.DAYS(Contrato5[[#This Row],[Fecha Proyectada liquidación]],TODAY())/30,"")</f>
        <v>-3.9666666666666668</v>
      </c>
      <c r="AI172" s="150">
        <f>+Contrato5[[#This Row],[FECHA TERMINACIÓN ]]+120</f>
        <v>45639</v>
      </c>
      <c r="AJ172" s="147"/>
      <c r="AK172" s="152" t="str">
        <f ca="1">IF(Contrato5[[#This Row],[FECHA TERMINACIÓN ]]&lt;TODAY(), "Terminado",IF(ISNUMBER(Contrato5[[#This Row],[Fecha Real de liquiidación ]]),"Liquidado",IF(Contrato5[[#This Row],[FECHA TERMINACIÓN ]]&gt;=TODAY(),"En ejecución","")))</f>
        <v>Terminado</v>
      </c>
      <c r="AL172" s="153" t="e">
        <f ca="1">SUMIF([2]!COMPROMISOS_2024[[#All],[consecutivo]],Contrato5[[#This Row],[RCP]],[2]!COMPROMISOS_2024[[#All],[Total pagado]])</f>
        <v>#REF!</v>
      </c>
      <c r="AM172" s="154">
        <f ca="1">IFERROR(Contrato5[[#This Row],[Pagos]]/Contrato5[[#This Row],[VALOR CONTRATO]],0)</f>
        <v>0</v>
      </c>
      <c r="AN172" s="198" t="e">
        <f ca="1">+Contrato5[[#This Row],[VALOR CONTRATO]]-Contrato5[[#This Row],[Pagos]]</f>
        <v>#REF!</v>
      </c>
      <c r="AO172" s="147" t="e" cm="1">
        <f t="array" aca="1" ref="AO172" ca="1">_xlfn.XLOOKUP(Contrato5[[#This Row],[DOCUMENTO ]],[2]!PERSONAL_ACTIVO_2024[[#All],[Documento identidad]],[2]!PERSONAL_ACTIVO_2024[[#All],[Mail ]],0,0)</f>
        <v>#NAME?</v>
      </c>
      <c r="AP172" s="147" t="e" cm="1">
        <f t="array" aca="1" ref="AP172" ca="1">_xlfn.XLOOKUP(Contrato5[[#This Row],[DOCUMENTO]],[2]!PERSONAL_ACTIVO_2024[[#All],[Documento identidad]],[2]!PERSONAL_ACTIVO_2024[[#All],[Mail ]],0,0)</f>
        <v>#NAME?</v>
      </c>
      <c r="AQ172" s="439" cm="1">
        <f t="array" aca="1" ref="AQ172" ca="1">IF(ISBLANK(Contrato5[[#This Row],[DEPENDENCIA ]]),0,IFERROR(_xlfn.XLOOKUP(Contrato5[[#This Row],[DEPENDENCIA ]],[2]!PERSONAL_ACTIVO_2024[[#All],[Dependencia]],[2]!PERSONAL_ACTIVO_2024[[#All],[Mail ]],0,0),0))</f>
        <v>0</v>
      </c>
    </row>
    <row r="173" spans="1:43" ht="34.5" customHeight="1">
      <c r="A173" s="125">
        <v>250</v>
      </c>
      <c r="B173" s="124">
        <v>147</v>
      </c>
      <c r="C173" s="162" t="s">
        <v>1672</v>
      </c>
      <c r="D173" s="227" t="s">
        <v>583</v>
      </c>
      <c r="E173" s="128" t="s">
        <v>94</v>
      </c>
      <c r="F173" s="163" t="s">
        <v>1376</v>
      </c>
      <c r="G173" s="190" t="s">
        <v>772</v>
      </c>
      <c r="H173" s="447">
        <v>1113520825</v>
      </c>
      <c r="I173" s="455">
        <v>5931149</v>
      </c>
      <c r="J173" s="456">
        <v>35586894</v>
      </c>
      <c r="K173" s="166" t="s">
        <v>42</v>
      </c>
      <c r="L173" s="438" t="s">
        <v>42</v>
      </c>
      <c r="M173" s="194" t="s">
        <v>586</v>
      </c>
      <c r="N173" s="177" t="e" cm="1">
        <f t="array" aca="1" ref="N173" ca="1">_xlfn.XLOOKUP(Contrato5[[#This Row],[SUPERVISOR TITULAR]],[2]!PERSONAL_ACTIVO_2024[[#All],[Nombre completo]],[2]!PERSONAL_ACTIVO_2024[[#All],[Documento identidad]],"",0)</f>
        <v>#NAME?</v>
      </c>
      <c r="O173" s="194" t="s">
        <v>589</v>
      </c>
      <c r="P173" s="196" t="e" cm="1">
        <f t="array" aca="1" ref="P173" ca="1">_xlfn.XLOOKUP(Contrato5[[#This Row],[SUPERVISOR SUPLENTE ]],[2]!PERSONAL_ACTIVO_2024[[#All],[Nombre completo]],[2]!PERSONAL_ACTIVO_2024[[#All],[Documento identidad]],"",0)</f>
        <v>#NAME?</v>
      </c>
      <c r="Q173" s="208">
        <v>178</v>
      </c>
      <c r="R173" s="137" t="e" cm="1">
        <f t="array" aca="1" ref="R173" ca="1">_xlfn.XLOOKUP(Contrato5[[#This Row],[CDP]],[2]!DISPONIBILIDADES_2024[[#All],[consecutivo]],[2]!DISPONIBILIDADES_2024[[#All],[fecha_aprobacion]],"",0)</f>
        <v>#NAME?</v>
      </c>
      <c r="S173" s="138" t="e">
        <f>SUMIF([2]!DISPONIBILIDADES_2024[[#All],[consecutivo]],Contrato5[[#This Row],[CDP]],[2]!DISPONIBILIDADES_2024[[#All],[valor_total_rubro]])</f>
        <v>#REF!</v>
      </c>
      <c r="T173" s="139" t="e" cm="1">
        <f t="array" aca="1" ref="T173" ca="1">_xlfn.XLOOKUP(Contrato5[[#This Row],[CONTRATO]]&amp;Contrato5[[#This Row],[CDP]],[2]!Corr_Contr_CDP[[#All],[CONTRATO-CDP]],[2]!Corr_Contr_CDP[[#All],[CRP]],_xlfn.XLOOKUP(Contrato5[[#This Row],[CDP]],[2]!COMPROMISOS_2024[[#All],[disponibilidad]],[2]!COMPROMISOS_2024[[#All],[consecutivo]],"",0),0)</f>
        <v>#NAME?</v>
      </c>
      <c r="U173" s="140" t="e" cm="1">
        <f t="array" aca="1" ref="U173" ca="1">+_xlfn.XLOOKUP(Contrato5[[#This Row],[RCP]],[2]!COMPROMISOS_2024[[#All],[consecutivo]],[2]!COMPROMISOS_2024[[#All],[fecha_aprobacion]],"",0)</f>
        <v>#NAME?</v>
      </c>
      <c r="V173" s="141" t="e">
        <f ca="1">SUMIF([2]!COMPROMISOS_2024[[#All],[consecutivo]],Contrato5[[#This Row],[RCP]],[2]!COMPROMISOS_2024[[#All],[valor_total]])</f>
        <v>#REF!</v>
      </c>
      <c r="W173" s="415">
        <v>45337</v>
      </c>
      <c r="X173" s="415">
        <v>45337</v>
      </c>
      <c r="Y173" s="143">
        <v>45338</v>
      </c>
      <c r="Z173" s="262">
        <v>45519</v>
      </c>
      <c r="AA173" s="171" t="s">
        <v>651</v>
      </c>
      <c r="AB173" s="161" t="s">
        <v>640</v>
      </c>
      <c r="AC173" s="161"/>
      <c r="AD173" s="211">
        <v>202000003759</v>
      </c>
      <c r="AE173" s="147" t="s">
        <v>523</v>
      </c>
      <c r="AF173" s="148" t="str">
        <f>TEXT(LEFT(Contrato5[[#This Row],[CONTRATO]],3),"0")</f>
        <v>147</v>
      </c>
      <c r="AG173" s="148" t="str">
        <f>IF(LEN(Contrato5[[#This Row],[Contrato2]])=3,Contrato5[[#This Row],[Contrato2]],TEXT(Contrato5[[#This Row],[Contrato2]],"000"))</f>
        <v>147</v>
      </c>
      <c r="AH173" s="149">
        <f ca="1">IFERROR(_xlfn.DAYS(Contrato5[[#This Row],[Fecha Proyectada liquidación]],TODAY())/30,"")</f>
        <v>-3.9666666666666668</v>
      </c>
      <c r="AI173" s="150">
        <f>+Contrato5[[#This Row],[FECHA TERMINACIÓN ]]+120</f>
        <v>45639</v>
      </c>
      <c r="AJ173" s="147"/>
      <c r="AK173" s="152" t="str">
        <f ca="1">IF(Contrato5[[#This Row],[FECHA TERMINACIÓN ]]&lt;TODAY(), "Terminado",IF(ISNUMBER(Contrato5[[#This Row],[Fecha Real de liquiidación ]]),"Liquidado",IF(Contrato5[[#This Row],[FECHA TERMINACIÓN ]]&gt;=TODAY(),"En ejecución","")))</f>
        <v>Terminado</v>
      </c>
      <c r="AL173" s="153" t="e">
        <f ca="1">SUMIF([2]!COMPROMISOS_2024[[#All],[consecutivo]],Contrato5[[#This Row],[RCP]],[2]!COMPROMISOS_2024[[#All],[Total pagado]])</f>
        <v>#REF!</v>
      </c>
      <c r="AM173" s="154">
        <f ca="1">IFERROR(Contrato5[[#This Row],[Pagos]]/Contrato5[[#This Row],[VALOR CONTRATO]],0)</f>
        <v>0</v>
      </c>
      <c r="AN173" s="198" t="e">
        <f ca="1">+Contrato5[[#This Row],[VALOR CONTRATO]]-Contrato5[[#This Row],[Pagos]]</f>
        <v>#REF!</v>
      </c>
      <c r="AO173" s="147" t="e" cm="1">
        <f t="array" aca="1" ref="AO173" ca="1">_xlfn.XLOOKUP(Contrato5[[#This Row],[DOCUMENTO ]],[2]!PERSONAL_ACTIVO_2024[[#All],[Documento identidad]],[2]!PERSONAL_ACTIVO_2024[[#All],[Mail ]],0,0)</f>
        <v>#NAME?</v>
      </c>
      <c r="AP173" s="147" t="e" cm="1">
        <f t="array" aca="1" ref="AP173" ca="1">_xlfn.XLOOKUP(Contrato5[[#This Row],[DOCUMENTO]],[2]!PERSONAL_ACTIVO_2024[[#All],[Documento identidad]],[2]!PERSONAL_ACTIVO_2024[[#All],[Mail ]],0,0)</f>
        <v>#NAME?</v>
      </c>
      <c r="AQ173" s="439" cm="1">
        <f t="array" aca="1" ref="AQ173" ca="1">IF(ISBLANK(Contrato5[[#This Row],[DEPENDENCIA ]]),0,IFERROR(_xlfn.XLOOKUP(Contrato5[[#This Row],[DEPENDENCIA ]],[2]!PERSONAL_ACTIVO_2024[[#All],[Dependencia]],[2]!PERSONAL_ACTIVO_2024[[#All],[Mail ]],0,0),0))</f>
        <v>0</v>
      </c>
    </row>
    <row r="174" spans="1:43" ht="34.5" customHeight="1">
      <c r="A174" s="125">
        <v>251</v>
      </c>
      <c r="B174" s="124">
        <v>148</v>
      </c>
      <c r="C174" s="162" t="s">
        <v>1673</v>
      </c>
      <c r="D174" s="227" t="s">
        <v>583</v>
      </c>
      <c r="E174" s="128" t="s">
        <v>94</v>
      </c>
      <c r="F174" s="163" t="s">
        <v>1376</v>
      </c>
      <c r="G174" s="190" t="s">
        <v>773</v>
      </c>
      <c r="H174" s="447">
        <v>8434470</v>
      </c>
      <c r="I174" s="455">
        <v>5931149</v>
      </c>
      <c r="J174" s="456">
        <v>35586894</v>
      </c>
      <c r="K174" s="166" t="s">
        <v>42</v>
      </c>
      <c r="L174" s="438" t="s">
        <v>42</v>
      </c>
      <c r="M174" s="194" t="s">
        <v>586</v>
      </c>
      <c r="N174" s="177" t="e" cm="1">
        <f t="array" aca="1" ref="N174" ca="1">_xlfn.XLOOKUP(Contrato5[[#This Row],[SUPERVISOR TITULAR]],[2]!PERSONAL_ACTIVO_2024[[#All],[Nombre completo]],[2]!PERSONAL_ACTIVO_2024[[#All],[Documento identidad]],"",0)</f>
        <v>#NAME?</v>
      </c>
      <c r="O174" s="194" t="s">
        <v>589</v>
      </c>
      <c r="P174" s="196" t="e" cm="1">
        <f t="array" aca="1" ref="P174" ca="1">_xlfn.XLOOKUP(Contrato5[[#This Row],[SUPERVISOR SUPLENTE ]],[2]!PERSONAL_ACTIVO_2024[[#All],[Nombre completo]],[2]!PERSONAL_ACTIVO_2024[[#All],[Documento identidad]],"",0)</f>
        <v>#NAME?</v>
      </c>
      <c r="Q174" s="208">
        <v>179</v>
      </c>
      <c r="R174" s="137" t="e" cm="1">
        <f t="array" aca="1" ref="R174" ca="1">_xlfn.XLOOKUP(Contrato5[[#This Row],[CDP]],[2]!DISPONIBILIDADES_2024[[#All],[consecutivo]],[2]!DISPONIBILIDADES_2024[[#All],[fecha_aprobacion]],"",0)</f>
        <v>#NAME?</v>
      </c>
      <c r="S174" s="138" t="e">
        <f>SUMIF([2]!DISPONIBILIDADES_2024[[#All],[consecutivo]],Contrato5[[#This Row],[CDP]],[2]!DISPONIBILIDADES_2024[[#All],[valor_total_rubro]])</f>
        <v>#REF!</v>
      </c>
      <c r="T174" s="139" t="e" cm="1">
        <f t="array" aca="1" ref="T174" ca="1">_xlfn.XLOOKUP(Contrato5[[#This Row],[CONTRATO]]&amp;Contrato5[[#This Row],[CDP]],[2]!Corr_Contr_CDP[[#All],[CONTRATO-CDP]],[2]!Corr_Contr_CDP[[#All],[CRP]],_xlfn.XLOOKUP(Contrato5[[#This Row],[CDP]],[2]!COMPROMISOS_2024[[#All],[disponibilidad]],[2]!COMPROMISOS_2024[[#All],[consecutivo]],"",0),0)</f>
        <v>#NAME?</v>
      </c>
      <c r="U174" s="140" t="e" cm="1">
        <f t="array" aca="1" ref="U174" ca="1">+_xlfn.XLOOKUP(Contrato5[[#This Row],[RCP]],[2]!COMPROMISOS_2024[[#All],[consecutivo]],[2]!COMPROMISOS_2024[[#All],[fecha_aprobacion]],"",0)</f>
        <v>#NAME?</v>
      </c>
      <c r="V174" s="141" t="e">
        <f ca="1">SUMIF([2]!COMPROMISOS_2024[[#All],[consecutivo]],Contrato5[[#This Row],[RCP]],[2]!COMPROMISOS_2024[[#All],[valor_total]])</f>
        <v>#REF!</v>
      </c>
      <c r="W174" s="415">
        <v>45337</v>
      </c>
      <c r="X174" s="415">
        <v>45338</v>
      </c>
      <c r="Y174" s="143">
        <v>45338</v>
      </c>
      <c r="Z174" s="262">
        <v>45519</v>
      </c>
      <c r="AA174" s="171" t="s">
        <v>651</v>
      </c>
      <c r="AB174" s="161" t="s">
        <v>640</v>
      </c>
      <c r="AC174" s="161"/>
      <c r="AD174" s="211">
        <v>202000003760</v>
      </c>
      <c r="AE174" s="147" t="s">
        <v>523</v>
      </c>
      <c r="AF174" s="148" t="str">
        <f>TEXT(LEFT(Contrato5[[#This Row],[CONTRATO]],3),"0")</f>
        <v>148</v>
      </c>
      <c r="AG174" s="148" t="str">
        <f>IF(LEN(Contrato5[[#This Row],[Contrato2]])=3,Contrato5[[#This Row],[Contrato2]],TEXT(Contrato5[[#This Row],[Contrato2]],"000"))</f>
        <v>148</v>
      </c>
      <c r="AH174" s="149">
        <f ca="1">IFERROR(_xlfn.DAYS(Contrato5[[#This Row],[Fecha Proyectada liquidación]],TODAY())/30,"")</f>
        <v>-3.9666666666666668</v>
      </c>
      <c r="AI174" s="150">
        <f>+Contrato5[[#This Row],[FECHA TERMINACIÓN ]]+120</f>
        <v>45639</v>
      </c>
      <c r="AJ174" s="147"/>
      <c r="AK174" s="152" t="str">
        <f ca="1">IF(Contrato5[[#This Row],[FECHA TERMINACIÓN ]]&lt;TODAY(), "Terminado",IF(ISNUMBER(Contrato5[[#This Row],[Fecha Real de liquiidación ]]),"Liquidado",IF(Contrato5[[#This Row],[FECHA TERMINACIÓN ]]&gt;=TODAY(),"En ejecución","")))</f>
        <v>Terminado</v>
      </c>
      <c r="AL174" s="153" t="e">
        <f ca="1">SUMIF([2]!COMPROMISOS_2024[[#All],[consecutivo]],Contrato5[[#This Row],[RCP]],[2]!COMPROMISOS_2024[[#All],[Total pagado]])</f>
        <v>#REF!</v>
      </c>
      <c r="AM174" s="154">
        <f ca="1">IFERROR(Contrato5[[#This Row],[Pagos]]/Contrato5[[#This Row],[VALOR CONTRATO]],0)</f>
        <v>0</v>
      </c>
      <c r="AN174" s="198" t="e">
        <f ca="1">+Contrato5[[#This Row],[VALOR CONTRATO]]-Contrato5[[#This Row],[Pagos]]</f>
        <v>#REF!</v>
      </c>
      <c r="AO174" s="147" t="e" cm="1">
        <f t="array" aca="1" ref="AO174" ca="1">_xlfn.XLOOKUP(Contrato5[[#This Row],[DOCUMENTO ]],[2]!PERSONAL_ACTIVO_2024[[#All],[Documento identidad]],[2]!PERSONAL_ACTIVO_2024[[#All],[Mail ]],0,0)</f>
        <v>#NAME?</v>
      </c>
      <c r="AP174" s="147" t="e" cm="1">
        <f t="array" aca="1" ref="AP174" ca="1">_xlfn.XLOOKUP(Contrato5[[#This Row],[DOCUMENTO]],[2]!PERSONAL_ACTIVO_2024[[#All],[Documento identidad]],[2]!PERSONAL_ACTIVO_2024[[#All],[Mail ]],0,0)</f>
        <v>#NAME?</v>
      </c>
      <c r="AQ174" s="439" cm="1">
        <f t="array" aca="1" ref="AQ174" ca="1">IF(ISBLANK(Contrato5[[#This Row],[DEPENDENCIA ]]),0,IFERROR(_xlfn.XLOOKUP(Contrato5[[#This Row],[DEPENDENCIA ]],[2]!PERSONAL_ACTIVO_2024[[#All],[Dependencia]],[2]!PERSONAL_ACTIVO_2024[[#All],[Mail ]],0,0),0))</f>
        <v>0</v>
      </c>
    </row>
    <row r="175" spans="1:43" ht="34.5" customHeight="1">
      <c r="A175" s="125">
        <v>252</v>
      </c>
      <c r="B175" s="124">
        <v>149</v>
      </c>
      <c r="C175" s="162" t="s">
        <v>1674</v>
      </c>
      <c r="D175" s="227" t="s">
        <v>583</v>
      </c>
      <c r="E175" s="128" t="s">
        <v>94</v>
      </c>
      <c r="F175" s="163" t="s">
        <v>1376</v>
      </c>
      <c r="G175" s="190" t="s">
        <v>774</v>
      </c>
      <c r="H175" s="447">
        <v>1022093789</v>
      </c>
      <c r="I175" s="455">
        <v>5931149</v>
      </c>
      <c r="J175" s="456">
        <v>35586894</v>
      </c>
      <c r="K175" s="166" t="s">
        <v>42</v>
      </c>
      <c r="L175" s="438" t="s">
        <v>42</v>
      </c>
      <c r="M175" s="194" t="s">
        <v>586</v>
      </c>
      <c r="N175" s="177" t="e" cm="1">
        <f t="array" aca="1" ref="N175" ca="1">_xlfn.XLOOKUP(Contrato5[[#This Row],[SUPERVISOR TITULAR]],[2]!PERSONAL_ACTIVO_2024[[#All],[Nombre completo]],[2]!PERSONAL_ACTIVO_2024[[#All],[Documento identidad]],"",0)</f>
        <v>#NAME?</v>
      </c>
      <c r="O175" s="194" t="s">
        <v>589</v>
      </c>
      <c r="P175" s="196" t="e" cm="1">
        <f t="array" aca="1" ref="P175" ca="1">_xlfn.XLOOKUP(Contrato5[[#This Row],[SUPERVISOR SUPLENTE ]],[2]!PERSONAL_ACTIVO_2024[[#All],[Nombre completo]],[2]!PERSONAL_ACTIVO_2024[[#All],[Documento identidad]],"",0)</f>
        <v>#NAME?</v>
      </c>
      <c r="Q175" s="208">
        <v>180</v>
      </c>
      <c r="R175" s="137" t="e" cm="1">
        <f t="array" aca="1" ref="R175" ca="1">_xlfn.XLOOKUP(Contrato5[[#This Row],[CDP]],[2]!DISPONIBILIDADES_2024[[#All],[consecutivo]],[2]!DISPONIBILIDADES_2024[[#All],[fecha_aprobacion]],"",0)</f>
        <v>#NAME?</v>
      </c>
      <c r="S175" s="138" t="e">
        <f>SUMIF([2]!DISPONIBILIDADES_2024[[#All],[consecutivo]],Contrato5[[#This Row],[CDP]],[2]!DISPONIBILIDADES_2024[[#All],[valor_total_rubro]])</f>
        <v>#REF!</v>
      </c>
      <c r="T175" s="139" t="e" cm="1">
        <f t="array" aca="1" ref="T175" ca="1">_xlfn.XLOOKUP(Contrato5[[#This Row],[CONTRATO]]&amp;Contrato5[[#This Row],[CDP]],[2]!Corr_Contr_CDP[[#All],[CONTRATO-CDP]],[2]!Corr_Contr_CDP[[#All],[CRP]],_xlfn.XLOOKUP(Contrato5[[#This Row],[CDP]],[2]!COMPROMISOS_2024[[#All],[disponibilidad]],[2]!COMPROMISOS_2024[[#All],[consecutivo]],"",0),0)</f>
        <v>#NAME?</v>
      </c>
      <c r="U175" s="140" t="e" cm="1">
        <f t="array" aca="1" ref="U175" ca="1">+_xlfn.XLOOKUP(Contrato5[[#This Row],[RCP]],[2]!COMPROMISOS_2024[[#All],[consecutivo]],[2]!COMPROMISOS_2024[[#All],[fecha_aprobacion]],"",0)</f>
        <v>#NAME?</v>
      </c>
      <c r="V175" s="141" t="e">
        <f ca="1">SUMIF([2]!COMPROMISOS_2024[[#All],[consecutivo]],Contrato5[[#This Row],[RCP]],[2]!COMPROMISOS_2024[[#All],[valor_total]])</f>
        <v>#REF!</v>
      </c>
      <c r="W175" s="415">
        <v>45337</v>
      </c>
      <c r="X175" s="415">
        <v>45338</v>
      </c>
      <c r="Y175" s="143">
        <v>45338</v>
      </c>
      <c r="Z175" s="262">
        <v>45519</v>
      </c>
      <c r="AA175" s="171" t="s">
        <v>651</v>
      </c>
      <c r="AB175" s="161" t="s">
        <v>640</v>
      </c>
      <c r="AC175" s="161"/>
      <c r="AD175" s="211">
        <v>202000003761</v>
      </c>
      <c r="AE175" s="147" t="s">
        <v>523</v>
      </c>
      <c r="AF175" s="148" t="str">
        <f>TEXT(LEFT(Contrato5[[#This Row],[CONTRATO]],3),"0")</f>
        <v>149</v>
      </c>
      <c r="AG175" s="148" t="str">
        <f>IF(LEN(Contrato5[[#This Row],[Contrato2]])=3,Contrato5[[#This Row],[Contrato2]],TEXT(Contrato5[[#This Row],[Contrato2]],"000"))</f>
        <v>149</v>
      </c>
      <c r="AH175" s="149">
        <f ca="1">IFERROR(_xlfn.DAYS(Contrato5[[#This Row],[Fecha Proyectada liquidación]],TODAY())/30,"")</f>
        <v>-3.9666666666666668</v>
      </c>
      <c r="AI175" s="150">
        <f>+Contrato5[[#This Row],[FECHA TERMINACIÓN ]]+120</f>
        <v>45639</v>
      </c>
      <c r="AJ175" s="147"/>
      <c r="AK175" s="152" t="str">
        <f ca="1">IF(Contrato5[[#This Row],[FECHA TERMINACIÓN ]]&lt;TODAY(), "Terminado",IF(ISNUMBER(Contrato5[[#This Row],[Fecha Real de liquiidación ]]),"Liquidado",IF(Contrato5[[#This Row],[FECHA TERMINACIÓN ]]&gt;=TODAY(),"En ejecución","")))</f>
        <v>Terminado</v>
      </c>
      <c r="AL175" s="153" t="e">
        <f ca="1">SUMIF([2]!COMPROMISOS_2024[[#All],[consecutivo]],Contrato5[[#This Row],[RCP]],[2]!COMPROMISOS_2024[[#All],[Total pagado]])</f>
        <v>#REF!</v>
      </c>
      <c r="AM175" s="154">
        <f ca="1">IFERROR(Contrato5[[#This Row],[Pagos]]/Contrato5[[#This Row],[VALOR CONTRATO]],0)</f>
        <v>0</v>
      </c>
      <c r="AN175" s="198" t="e">
        <f ca="1">+Contrato5[[#This Row],[VALOR CONTRATO]]-Contrato5[[#This Row],[Pagos]]</f>
        <v>#REF!</v>
      </c>
      <c r="AO175" s="147" t="e" cm="1">
        <f t="array" aca="1" ref="AO175" ca="1">_xlfn.XLOOKUP(Contrato5[[#This Row],[DOCUMENTO ]],[2]!PERSONAL_ACTIVO_2024[[#All],[Documento identidad]],[2]!PERSONAL_ACTIVO_2024[[#All],[Mail ]],0,0)</f>
        <v>#NAME?</v>
      </c>
      <c r="AP175" s="147" t="e" cm="1">
        <f t="array" aca="1" ref="AP175" ca="1">_xlfn.XLOOKUP(Contrato5[[#This Row],[DOCUMENTO]],[2]!PERSONAL_ACTIVO_2024[[#All],[Documento identidad]],[2]!PERSONAL_ACTIVO_2024[[#All],[Mail ]],0,0)</f>
        <v>#NAME?</v>
      </c>
      <c r="AQ175" s="439" cm="1">
        <f t="array" aca="1" ref="AQ175" ca="1">IF(ISBLANK(Contrato5[[#This Row],[DEPENDENCIA ]]),0,IFERROR(_xlfn.XLOOKUP(Contrato5[[#This Row],[DEPENDENCIA ]],[2]!PERSONAL_ACTIVO_2024[[#All],[Dependencia]],[2]!PERSONAL_ACTIVO_2024[[#All],[Mail ]],0,0),0))</f>
        <v>0</v>
      </c>
    </row>
    <row r="176" spans="1:43" ht="34.5" customHeight="1">
      <c r="A176" s="125">
        <v>253</v>
      </c>
      <c r="B176" s="124">
        <v>150</v>
      </c>
      <c r="C176" s="162" t="s">
        <v>1675</v>
      </c>
      <c r="D176" s="227" t="s">
        <v>583</v>
      </c>
      <c r="E176" s="128" t="s">
        <v>94</v>
      </c>
      <c r="F176" s="163" t="s">
        <v>1376</v>
      </c>
      <c r="G176" s="190" t="s">
        <v>775</v>
      </c>
      <c r="H176" s="447">
        <v>1028013832</v>
      </c>
      <c r="I176" s="455">
        <v>3952382</v>
      </c>
      <c r="J176" s="456">
        <v>23714292</v>
      </c>
      <c r="K176" s="166" t="s">
        <v>42</v>
      </c>
      <c r="L176" s="438" t="s">
        <v>42</v>
      </c>
      <c r="M176" s="194" t="s">
        <v>586</v>
      </c>
      <c r="N176" s="177" t="e" cm="1">
        <f t="array" aca="1" ref="N176" ca="1">_xlfn.XLOOKUP(Contrato5[[#This Row],[SUPERVISOR TITULAR]],[2]!PERSONAL_ACTIVO_2024[[#All],[Nombre completo]],[2]!PERSONAL_ACTIVO_2024[[#All],[Documento identidad]],"",0)</f>
        <v>#NAME?</v>
      </c>
      <c r="O176" s="194" t="s">
        <v>589</v>
      </c>
      <c r="P176" s="196" t="e" cm="1">
        <f t="array" aca="1" ref="P176" ca="1">_xlfn.XLOOKUP(Contrato5[[#This Row],[SUPERVISOR SUPLENTE ]],[2]!PERSONAL_ACTIVO_2024[[#All],[Nombre completo]],[2]!PERSONAL_ACTIVO_2024[[#All],[Documento identidad]],"",0)</f>
        <v>#NAME?</v>
      </c>
      <c r="Q176" s="208">
        <v>181</v>
      </c>
      <c r="R176" s="137" t="e" cm="1">
        <f t="array" aca="1" ref="R176" ca="1">_xlfn.XLOOKUP(Contrato5[[#This Row],[CDP]],[2]!DISPONIBILIDADES_2024[[#All],[consecutivo]],[2]!DISPONIBILIDADES_2024[[#All],[fecha_aprobacion]],"",0)</f>
        <v>#NAME?</v>
      </c>
      <c r="S176" s="138" t="e">
        <f>SUMIF([2]!DISPONIBILIDADES_2024[[#All],[consecutivo]],Contrato5[[#This Row],[CDP]],[2]!DISPONIBILIDADES_2024[[#All],[valor_total_rubro]])</f>
        <v>#REF!</v>
      </c>
      <c r="T176" s="139" t="e" cm="1">
        <f t="array" aca="1" ref="T176" ca="1">_xlfn.XLOOKUP(Contrato5[[#This Row],[CONTRATO]]&amp;Contrato5[[#This Row],[CDP]],[2]!Corr_Contr_CDP[[#All],[CONTRATO-CDP]],[2]!Corr_Contr_CDP[[#All],[CRP]],_xlfn.XLOOKUP(Contrato5[[#This Row],[CDP]],[2]!COMPROMISOS_2024[[#All],[disponibilidad]],[2]!COMPROMISOS_2024[[#All],[consecutivo]],"",0),0)</f>
        <v>#NAME?</v>
      </c>
      <c r="U176" s="140" t="e" cm="1">
        <f t="array" aca="1" ref="U176" ca="1">+_xlfn.XLOOKUP(Contrato5[[#This Row],[RCP]],[2]!COMPROMISOS_2024[[#All],[consecutivo]],[2]!COMPROMISOS_2024[[#All],[fecha_aprobacion]],"",0)</f>
        <v>#NAME?</v>
      </c>
      <c r="V176" s="141" t="e">
        <f ca="1">SUMIF([2]!COMPROMISOS_2024[[#All],[consecutivo]],Contrato5[[#This Row],[RCP]],[2]!COMPROMISOS_2024[[#All],[valor_total]])</f>
        <v>#REF!</v>
      </c>
      <c r="W176" s="415">
        <v>45337</v>
      </c>
      <c r="X176" s="415">
        <v>45338</v>
      </c>
      <c r="Y176" s="143">
        <v>45338</v>
      </c>
      <c r="Z176" s="262">
        <v>45519</v>
      </c>
      <c r="AA176" s="171" t="s">
        <v>651</v>
      </c>
      <c r="AB176" s="161" t="s">
        <v>640</v>
      </c>
      <c r="AC176" s="161"/>
      <c r="AD176" s="211">
        <v>202000003762</v>
      </c>
      <c r="AE176" s="147" t="s">
        <v>523</v>
      </c>
      <c r="AF176" s="148" t="str">
        <f>TEXT(LEFT(Contrato5[[#This Row],[CONTRATO]],3),"0")</f>
        <v>150</v>
      </c>
      <c r="AG176" s="148" t="str">
        <f>IF(LEN(Contrato5[[#This Row],[Contrato2]])=3,Contrato5[[#This Row],[Contrato2]],TEXT(Contrato5[[#This Row],[Contrato2]],"000"))</f>
        <v>150</v>
      </c>
      <c r="AH176" s="149">
        <f ca="1">IFERROR(_xlfn.DAYS(Contrato5[[#This Row],[Fecha Proyectada liquidación]],TODAY())/30,"")</f>
        <v>-3.9666666666666668</v>
      </c>
      <c r="AI176" s="150">
        <f>+Contrato5[[#This Row],[FECHA TERMINACIÓN ]]+120</f>
        <v>45639</v>
      </c>
      <c r="AJ176" s="147"/>
      <c r="AK176" s="152" t="str">
        <f ca="1">IF(Contrato5[[#This Row],[FECHA TERMINACIÓN ]]&lt;TODAY(), "Terminado",IF(ISNUMBER(Contrato5[[#This Row],[Fecha Real de liquiidación ]]),"Liquidado",IF(Contrato5[[#This Row],[FECHA TERMINACIÓN ]]&gt;=TODAY(),"En ejecución","")))</f>
        <v>Terminado</v>
      </c>
      <c r="AL176" s="153" t="e">
        <f ca="1">SUMIF([2]!COMPROMISOS_2024[[#All],[consecutivo]],Contrato5[[#This Row],[RCP]],[2]!COMPROMISOS_2024[[#All],[Total pagado]])</f>
        <v>#REF!</v>
      </c>
      <c r="AM176" s="154">
        <f ca="1">IFERROR(Contrato5[[#This Row],[Pagos]]/Contrato5[[#This Row],[VALOR CONTRATO]],0)</f>
        <v>0</v>
      </c>
      <c r="AN176" s="198" t="e">
        <f ca="1">+Contrato5[[#This Row],[VALOR CONTRATO]]-Contrato5[[#This Row],[Pagos]]</f>
        <v>#REF!</v>
      </c>
      <c r="AO176" s="147" t="e" cm="1">
        <f t="array" aca="1" ref="AO176" ca="1">_xlfn.XLOOKUP(Contrato5[[#This Row],[DOCUMENTO ]],[2]!PERSONAL_ACTIVO_2024[[#All],[Documento identidad]],[2]!PERSONAL_ACTIVO_2024[[#All],[Mail ]],0,0)</f>
        <v>#NAME?</v>
      </c>
      <c r="AP176" s="147" t="e" cm="1">
        <f t="array" aca="1" ref="AP176" ca="1">_xlfn.XLOOKUP(Contrato5[[#This Row],[DOCUMENTO]],[2]!PERSONAL_ACTIVO_2024[[#All],[Documento identidad]],[2]!PERSONAL_ACTIVO_2024[[#All],[Mail ]],0,0)</f>
        <v>#NAME?</v>
      </c>
      <c r="AQ176" s="439" cm="1">
        <f t="array" aca="1" ref="AQ176" ca="1">IF(ISBLANK(Contrato5[[#This Row],[DEPENDENCIA ]]),0,IFERROR(_xlfn.XLOOKUP(Contrato5[[#This Row],[DEPENDENCIA ]],[2]!PERSONAL_ACTIVO_2024[[#All],[Dependencia]],[2]!PERSONAL_ACTIVO_2024[[#All],[Mail ]],0,0),0))</f>
        <v>0</v>
      </c>
    </row>
    <row r="177" spans="1:43" ht="34.5" customHeight="1">
      <c r="A177" s="125">
        <v>254</v>
      </c>
      <c r="B177" s="124">
        <v>151</v>
      </c>
      <c r="C177" s="162" t="s">
        <v>1676</v>
      </c>
      <c r="D177" s="227" t="s">
        <v>583</v>
      </c>
      <c r="E177" s="128" t="s">
        <v>94</v>
      </c>
      <c r="F177" s="163" t="s">
        <v>1376</v>
      </c>
      <c r="G177" s="190" t="s">
        <v>776</v>
      </c>
      <c r="H177" s="447">
        <v>1037617213</v>
      </c>
      <c r="I177" s="455">
        <v>5931149</v>
      </c>
      <c r="J177" s="456">
        <v>35586894</v>
      </c>
      <c r="K177" s="166" t="s">
        <v>42</v>
      </c>
      <c r="L177" s="438" t="s">
        <v>42</v>
      </c>
      <c r="M177" s="194" t="s">
        <v>586</v>
      </c>
      <c r="N177" s="177" t="e" cm="1">
        <f t="array" aca="1" ref="N177" ca="1">_xlfn.XLOOKUP(Contrato5[[#This Row],[SUPERVISOR TITULAR]],[2]!PERSONAL_ACTIVO_2024[[#All],[Nombre completo]],[2]!PERSONAL_ACTIVO_2024[[#All],[Documento identidad]],"",0)</f>
        <v>#NAME?</v>
      </c>
      <c r="O177" s="194" t="s">
        <v>589</v>
      </c>
      <c r="P177" s="196" t="e" cm="1">
        <f t="array" aca="1" ref="P177" ca="1">_xlfn.XLOOKUP(Contrato5[[#This Row],[SUPERVISOR SUPLENTE ]],[2]!PERSONAL_ACTIVO_2024[[#All],[Nombre completo]],[2]!PERSONAL_ACTIVO_2024[[#All],[Documento identidad]],"",0)</f>
        <v>#NAME?</v>
      </c>
      <c r="Q177" s="208">
        <v>182</v>
      </c>
      <c r="R177" s="137" t="e" cm="1">
        <f t="array" aca="1" ref="R177" ca="1">_xlfn.XLOOKUP(Contrato5[[#This Row],[CDP]],[2]!DISPONIBILIDADES_2024[[#All],[consecutivo]],[2]!DISPONIBILIDADES_2024[[#All],[fecha_aprobacion]],"",0)</f>
        <v>#NAME?</v>
      </c>
      <c r="S177" s="138" t="e">
        <f>SUMIF([2]!DISPONIBILIDADES_2024[[#All],[consecutivo]],Contrato5[[#This Row],[CDP]],[2]!DISPONIBILIDADES_2024[[#All],[valor_total_rubro]])</f>
        <v>#REF!</v>
      </c>
      <c r="T177" s="139" t="e" cm="1">
        <f t="array" aca="1" ref="T177" ca="1">_xlfn.XLOOKUP(Contrato5[[#This Row],[CONTRATO]]&amp;Contrato5[[#This Row],[CDP]],[2]!Corr_Contr_CDP[[#All],[CONTRATO-CDP]],[2]!Corr_Contr_CDP[[#All],[CRP]],_xlfn.XLOOKUP(Contrato5[[#This Row],[CDP]],[2]!COMPROMISOS_2024[[#All],[disponibilidad]],[2]!COMPROMISOS_2024[[#All],[consecutivo]],"",0),0)</f>
        <v>#NAME?</v>
      </c>
      <c r="U177" s="140" t="e" cm="1">
        <f t="array" aca="1" ref="U177" ca="1">+_xlfn.XLOOKUP(Contrato5[[#This Row],[RCP]],[2]!COMPROMISOS_2024[[#All],[consecutivo]],[2]!COMPROMISOS_2024[[#All],[fecha_aprobacion]],"",0)</f>
        <v>#NAME?</v>
      </c>
      <c r="V177" s="141" t="e">
        <f ca="1">SUMIF([2]!COMPROMISOS_2024[[#All],[consecutivo]],Contrato5[[#This Row],[RCP]],[2]!COMPROMISOS_2024[[#All],[valor_total]])</f>
        <v>#REF!</v>
      </c>
      <c r="W177" s="415">
        <v>45337</v>
      </c>
      <c r="X177" s="415">
        <v>45338</v>
      </c>
      <c r="Y177" s="143">
        <v>45338</v>
      </c>
      <c r="Z177" s="262">
        <v>45519</v>
      </c>
      <c r="AA177" s="171" t="s">
        <v>651</v>
      </c>
      <c r="AB177" s="161" t="s">
        <v>640</v>
      </c>
      <c r="AC177" s="161"/>
      <c r="AD177" s="211">
        <v>202000003771</v>
      </c>
      <c r="AE177" s="147" t="s">
        <v>523</v>
      </c>
      <c r="AF177" s="148" t="str">
        <f>TEXT(LEFT(Contrato5[[#This Row],[CONTRATO]],3),"0")</f>
        <v>151</v>
      </c>
      <c r="AG177" s="148" t="str">
        <f>IF(LEN(Contrato5[[#This Row],[Contrato2]])=3,Contrato5[[#This Row],[Contrato2]],TEXT(Contrato5[[#This Row],[Contrato2]],"000"))</f>
        <v>151</v>
      </c>
      <c r="AH177" s="149">
        <f ca="1">IFERROR(_xlfn.DAYS(Contrato5[[#This Row],[Fecha Proyectada liquidación]],TODAY())/30,"")</f>
        <v>-3.9666666666666668</v>
      </c>
      <c r="AI177" s="150">
        <f>+Contrato5[[#This Row],[FECHA TERMINACIÓN ]]+120</f>
        <v>45639</v>
      </c>
      <c r="AJ177" s="147"/>
      <c r="AK177" s="152" t="str">
        <f ca="1">IF(Contrato5[[#This Row],[FECHA TERMINACIÓN ]]&lt;TODAY(), "Terminado",IF(ISNUMBER(Contrato5[[#This Row],[Fecha Real de liquiidación ]]),"Liquidado",IF(Contrato5[[#This Row],[FECHA TERMINACIÓN ]]&gt;=TODAY(),"En ejecución","")))</f>
        <v>Terminado</v>
      </c>
      <c r="AL177" s="153" t="e">
        <f ca="1">SUMIF([2]!COMPROMISOS_2024[[#All],[consecutivo]],Contrato5[[#This Row],[RCP]],[2]!COMPROMISOS_2024[[#All],[Total pagado]])</f>
        <v>#REF!</v>
      </c>
      <c r="AM177" s="154">
        <f ca="1">IFERROR(Contrato5[[#This Row],[Pagos]]/Contrato5[[#This Row],[VALOR CONTRATO]],0)</f>
        <v>0</v>
      </c>
      <c r="AN177" s="198" t="e">
        <f ca="1">+Contrato5[[#This Row],[VALOR CONTRATO]]-Contrato5[[#This Row],[Pagos]]</f>
        <v>#REF!</v>
      </c>
      <c r="AO177" s="147" t="e" cm="1">
        <f t="array" aca="1" ref="AO177" ca="1">_xlfn.XLOOKUP(Contrato5[[#This Row],[DOCUMENTO ]],[2]!PERSONAL_ACTIVO_2024[[#All],[Documento identidad]],[2]!PERSONAL_ACTIVO_2024[[#All],[Mail ]],0,0)</f>
        <v>#NAME?</v>
      </c>
      <c r="AP177" s="147" t="e" cm="1">
        <f t="array" aca="1" ref="AP177" ca="1">_xlfn.XLOOKUP(Contrato5[[#This Row],[DOCUMENTO]],[2]!PERSONAL_ACTIVO_2024[[#All],[Documento identidad]],[2]!PERSONAL_ACTIVO_2024[[#All],[Mail ]],0,0)</f>
        <v>#NAME?</v>
      </c>
      <c r="AQ177" s="439" cm="1">
        <f t="array" aca="1" ref="AQ177" ca="1">IF(ISBLANK(Contrato5[[#This Row],[DEPENDENCIA ]]),0,IFERROR(_xlfn.XLOOKUP(Contrato5[[#This Row],[DEPENDENCIA ]],[2]!PERSONAL_ACTIVO_2024[[#All],[Dependencia]],[2]!PERSONAL_ACTIVO_2024[[#All],[Mail ]],0,0),0))</f>
        <v>0</v>
      </c>
    </row>
    <row r="178" spans="1:43" ht="34.5" customHeight="1">
      <c r="A178" s="125">
        <v>256</v>
      </c>
      <c r="B178" s="124">
        <v>152</v>
      </c>
      <c r="C178" s="162" t="s">
        <v>1678</v>
      </c>
      <c r="D178" s="227" t="s">
        <v>583</v>
      </c>
      <c r="E178" s="128" t="s">
        <v>94</v>
      </c>
      <c r="F178" s="163" t="s">
        <v>1376</v>
      </c>
      <c r="G178" s="190" t="s">
        <v>777</v>
      </c>
      <c r="H178" s="447">
        <v>71703740</v>
      </c>
      <c r="I178" s="455">
        <v>3952382</v>
      </c>
      <c r="J178" s="456">
        <v>23714292</v>
      </c>
      <c r="K178" s="166" t="s">
        <v>42</v>
      </c>
      <c r="L178" s="438" t="s">
        <v>42</v>
      </c>
      <c r="M178" s="194" t="s">
        <v>586</v>
      </c>
      <c r="N178" s="177" t="e" cm="1">
        <f t="array" aca="1" ref="N178" ca="1">_xlfn.XLOOKUP(Contrato5[[#This Row],[SUPERVISOR TITULAR]],[2]!PERSONAL_ACTIVO_2024[[#All],[Nombre completo]],[2]!PERSONAL_ACTIVO_2024[[#All],[Documento identidad]],"",0)</f>
        <v>#NAME?</v>
      </c>
      <c r="O178" s="194" t="s">
        <v>589</v>
      </c>
      <c r="P178" s="196" t="e" cm="1">
        <f t="array" aca="1" ref="P178" ca="1">_xlfn.XLOOKUP(Contrato5[[#This Row],[SUPERVISOR SUPLENTE ]],[2]!PERSONAL_ACTIVO_2024[[#All],[Nombre completo]],[2]!PERSONAL_ACTIVO_2024[[#All],[Documento identidad]],"",0)</f>
        <v>#NAME?</v>
      </c>
      <c r="Q178" s="208">
        <v>184</v>
      </c>
      <c r="R178" s="137" t="e" cm="1">
        <f t="array" aca="1" ref="R178" ca="1">_xlfn.XLOOKUP(Contrato5[[#This Row],[CDP]],[2]!DISPONIBILIDADES_2024[[#All],[consecutivo]],[2]!DISPONIBILIDADES_2024[[#All],[fecha_aprobacion]],"",0)</f>
        <v>#NAME?</v>
      </c>
      <c r="S178" s="138" t="e">
        <f>SUMIF([2]!DISPONIBILIDADES_2024[[#All],[consecutivo]],Contrato5[[#This Row],[CDP]],[2]!DISPONIBILIDADES_2024[[#All],[valor_total_rubro]])</f>
        <v>#REF!</v>
      </c>
      <c r="T178" s="139" t="e" cm="1">
        <f t="array" aca="1" ref="T178" ca="1">_xlfn.XLOOKUP(Contrato5[[#This Row],[CONTRATO]]&amp;Contrato5[[#This Row],[CDP]],[2]!Corr_Contr_CDP[[#All],[CONTRATO-CDP]],[2]!Corr_Contr_CDP[[#All],[CRP]],_xlfn.XLOOKUP(Contrato5[[#This Row],[CDP]],[2]!COMPROMISOS_2024[[#All],[disponibilidad]],[2]!COMPROMISOS_2024[[#All],[consecutivo]],"",0),0)</f>
        <v>#NAME?</v>
      </c>
      <c r="U178" s="140" t="e" cm="1">
        <f t="array" aca="1" ref="U178" ca="1">+_xlfn.XLOOKUP(Contrato5[[#This Row],[RCP]],[2]!COMPROMISOS_2024[[#All],[consecutivo]],[2]!COMPROMISOS_2024[[#All],[fecha_aprobacion]],"",0)</f>
        <v>#NAME?</v>
      </c>
      <c r="V178" s="141" t="e">
        <f ca="1">SUMIF([2]!COMPROMISOS_2024[[#All],[consecutivo]],Contrato5[[#This Row],[RCP]],[2]!COMPROMISOS_2024[[#All],[valor_total]])</f>
        <v>#REF!</v>
      </c>
      <c r="W178" s="415">
        <v>45337</v>
      </c>
      <c r="X178" s="415">
        <v>45338</v>
      </c>
      <c r="Y178" s="143">
        <v>45338</v>
      </c>
      <c r="Z178" s="262">
        <v>45519</v>
      </c>
      <c r="AA178" s="171" t="s">
        <v>651</v>
      </c>
      <c r="AB178" s="161" t="s">
        <v>640</v>
      </c>
      <c r="AC178" s="232"/>
      <c r="AD178" s="233">
        <v>202000003772</v>
      </c>
      <c r="AE178" s="147" t="s">
        <v>523</v>
      </c>
      <c r="AF178" s="148" t="str">
        <f>TEXT(LEFT(Contrato5[[#This Row],[CONTRATO]],3),"0")</f>
        <v>152</v>
      </c>
      <c r="AG178" s="148" t="str">
        <f>IF(LEN(Contrato5[[#This Row],[Contrato2]])=3,Contrato5[[#This Row],[Contrato2]],TEXT(Contrato5[[#This Row],[Contrato2]],"000"))</f>
        <v>152</v>
      </c>
      <c r="AH178" s="149">
        <f ca="1">IFERROR(_xlfn.DAYS(Contrato5[[#This Row],[Fecha Proyectada liquidación]],TODAY())/30,"")</f>
        <v>-3.9666666666666668</v>
      </c>
      <c r="AI178" s="150">
        <f>+Contrato5[[#This Row],[FECHA TERMINACIÓN ]]+120</f>
        <v>45639</v>
      </c>
      <c r="AJ178" s="147"/>
      <c r="AK178" s="152" t="str">
        <f ca="1">IF(Contrato5[[#This Row],[FECHA TERMINACIÓN ]]&lt;TODAY(), "Terminado",IF(ISNUMBER(Contrato5[[#This Row],[Fecha Real de liquiidación ]]),"Liquidado",IF(Contrato5[[#This Row],[FECHA TERMINACIÓN ]]&gt;=TODAY(),"En ejecución","")))</f>
        <v>Terminado</v>
      </c>
      <c r="AL178" s="153" t="e">
        <f ca="1">SUMIF([2]!COMPROMISOS_2024[[#All],[consecutivo]],Contrato5[[#This Row],[RCP]],[2]!COMPROMISOS_2024[[#All],[Total pagado]])</f>
        <v>#REF!</v>
      </c>
      <c r="AM178" s="154">
        <f ca="1">IFERROR(Contrato5[[#This Row],[Pagos]]/Contrato5[[#This Row],[VALOR CONTRATO]],0)</f>
        <v>0</v>
      </c>
      <c r="AN178" s="198" t="e">
        <f ca="1">+Contrato5[[#This Row],[VALOR CONTRATO]]-Contrato5[[#This Row],[Pagos]]</f>
        <v>#REF!</v>
      </c>
      <c r="AO178" s="147" t="e" cm="1">
        <f t="array" aca="1" ref="AO178" ca="1">_xlfn.XLOOKUP(Contrato5[[#This Row],[DOCUMENTO ]],[2]!PERSONAL_ACTIVO_2024[[#All],[Documento identidad]],[2]!PERSONAL_ACTIVO_2024[[#All],[Mail ]],0,0)</f>
        <v>#NAME?</v>
      </c>
      <c r="AP178" s="147" t="e" cm="1">
        <f t="array" aca="1" ref="AP178" ca="1">_xlfn.XLOOKUP(Contrato5[[#This Row],[DOCUMENTO]],[2]!PERSONAL_ACTIVO_2024[[#All],[Documento identidad]],[2]!PERSONAL_ACTIVO_2024[[#All],[Mail ]],0,0)</f>
        <v>#NAME?</v>
      </c>
      <c r="AQ178" s="439" cm="1">
        <f t="array" aca="1" ref="AQ178" ca="1">IF(ISBLANK(Contrato5[[#This Row],[DEPENDENCIA ]]),0,IFERROR(_xlfn.XLOOKUP(Contrato5[[#This Row],[DEPENDENCIA ]],[2]!PERSONAL_ACTIVO_2024[[#All],[Dependencia]],[2]!PERSONAL_ACTIVO_2024[[#All],[Mail ]],0,0),0))</f>
        <v>0</v>
      </c>
    </row>
    <row r="179" spans="1:43" ht="34.5" customHeight="1">
      <c r="A179" s="125">
        <v>257</v>
      </c>
      <c r="B179" s="124">
        <v>153</v>
      </c>
      <c r="C179" s="162" t="s">
        <v>1679</v>
      </c>
      <c r="D179" s="227" t="s">
        <v>583</v>
      </c>
      <c r="E179" s="128" t="s">
        <v>94</v>
      </c>
      <c r="F179" s="163" t="s">
        <v>1376</v>
      </c>
      <c r="G179" s="190" t="s">
        <v>778</v>
      </c>
      <c r="H179" s="447">
        <v>80040215</v>
      </c>
      <c r="I179" s="455">
        <v>3952382</v>
      </c>
      <c r="J179" s="456">
        <v>23714292</v>
      </c>
      <c r="K179" s="166" t="s">
        <v>42</v>
      </c>
      <c r="L179" s="438" t="s">
        <v>42</v>
      </c>
      <c r="M179" s="194" t="s">
        <v>586</v>
      </c>
      <c r="N179" s="177" t="e" cm="1">
        <f t="array" aca="1" ref="N179" ca="1">_xlfn.XLOOKUP(Contrato5[[#This Row],[SUPERVISOR TITULAR]],[2]!PERSONAL_ACTIVO_2024[[#All],[Nombre completo]],[2]!PERSONAL_ACTIVO_2024[[#All],[Documento identidad]],"",0)</f>
        <v>#NAME?</v>
      </c>
      <c r="O179" s="194" t="s">
        <v>589</v>
      </c>
      <c r="P179" s="196" t="e" cm="1">
        <f t="array" aca="1" ref="P179" ca="1">_xlfn.XLOOKUP(Contrato5[[#This Row],[SUPERVISOR SUPLENTE ]],[2]!PERSONAL_ACTIVO_2024[[#All],[Nombre completo]],[2]!PERSONAL_ACTIVO_2024[[#All],[Documento identidad]],"",0)</f>
        <v>#NAME?</v>
      </c>
      <c r="Q179" s="208">
        <v>185</v>
      </c>
      <c r="R179" s="137" t="e" cm="1">
        <f t="array" aca="1" ref="R179" ca="1">_xlfn.XLOOKUP(Contrato5[[#This Row],[CDP]],[2]!DISPONIBILIDADES_2024[[#All],[consecutivo]],[2]!DISPONIBILIDADES_2024[[#All],[fecha_aprobacion]],"",0)</f>
        <v>#NAME?</v>
      </c>
      <c r="S179" s="138" t="e">
        <f>SUMIF([2]!DISPONIBILIDADES_2024[[#All],[consecutivo]],Contrato5[[#This Row],[CDP]],[2]!DISPONIBILIDADES_2024[[#All],[valor_total_rubro]])</f>
        <v>#REF!</v>
      </c>
      <c r="T179" s="139" t="e" cm="1">
        <f t="array" aca="1" ref="T179" ca="1">_xlfn.XLOOKUP(Contrato5[[#This Row],[CONTRATO]]&amp;Contrato5[[#This Row],[CDP]],[2]!Corr_Contr_CDP[[#All],[CONTRATO-CDP]],[2]!Corr_Contr_CDP[[#All],[CRP]],_xlfn.XLOOKUP(Contrato5[[#This Row],[CDP]],[2]!COMPROMISOS_2024[[#All],[disponibilidad]],[2]!COMPROMISOS_2024[[#All],[consecutivo]],"",0),0)</f>
        <v>#NAME?</v>
      </c>
      <c r="U179" s="140" t="e" cm="1">
        <f t="array" aca="1" ref="U179" ca="1">+_xlfn.XLOOKUP(Contrato5[[#This Row],[RCP]],[2]!COMPROMISOS_2024[[#All],[consecutivo]],[2]!COMPROMISOS_2024[[#All],[fecha_aprobacion]],"",0)</f>
        <v>#NAME?</v>
      </c>
      <c r="V179" s="141" t="e">
        <f ca="1">SUMIF([2]!COMPROMISOS_2024[[#All],[consecutivo]],Contrato5[[#This Row],[RCP]],[2]!COMPROMISOS_2024[[#All],[valor_total]])</f>
        <v>#REF!</v>
      </c>
      <c r="W179" s="415">
        <v>45337</v>
      </c>
      <c r="X179" s="415">
        <v>45338</v>
      </c>
      <c r="Y179" s="143">
        <v>45338</v>
      </c>
      <c r="Z179" s="262">
        <v>45519</v>
      </c>
      <c r="AA179" s="171" t="s">
        <v>651</v>
      </c>
      <c r="AB179" s="161" t="s">
        <v>640</v>
      </c>
      <c r="AC179" s="161"/>
      <c r="AD179" s="211">
        <v>202000003773</v>
      </c>
      <c r="AE179" s="234" t="s">
        <v>523</v>
      </c>
      <c r="AF179" s="148" t="str">
        <f>TEXT(LEFT(Contrato5[[#This Row],[CONTRATO]],3),"0")</f>
        <v>153</v>
      </c>
      <c r="AG179" s="148" t="str">
        <f>IF(LEN(Contrato5[[#This Row],[Contrato2]])=3,Contrato5[[#This Row],[Contrato2]],TEXT(Contrato5[[#This Row],[Contrato2]],"000"))</f>
        <v>153</v>
      </c>
      <c r="AH179" s="149">
        <f ca="1">IFERROR(_xlfn.DAYS(Contrato5[[#This Row],[Fecha Proyectada liquidación]],TODAY())/30,"")</f>
        <v>-3.9666666666666668</v>
      </c>
      <c r="AI179" s="150">
        <f>+Contrato5[[#This Row],[FECHA TERMINACIÓN ]]+120</f>
        <v>45639</v>
      </c>
      <c r="AJ179" s="147"/>
      <c r="AK179" s="152" t="str">
        <f ca="1">IF(Contrato5[[#This Row],[FECHA TERMINACIÓN ]]&lt;TODAY(), "Terminado",IF(ISNUMBER(Contrato5[[#This Row],[Fecha Real de liquiidación ]]),"Liquidado",IF(Contrato5[[#This Row],[FECHA TERMINACIÓN ]]&gt;=TODAY(),"En ejecución","")))</f>
        <v>Terminado</v>
      </c>
      <c r="AL179" s="153" t="e">
        <f ca="1">SUMIF([2]!COMPROMISOS_2024[[#All],[consecutivo]],Contrato5[[#This Row],[RCP]],[2]!COMPROMISOS_2024[[#All],[Total pagado]])</f>
        <v>#REF!</v>
      </c>
      <c r="AM179" s="154">
        <f ca="1">IFERROR(Contrato5[[#This Row],[Pagos]]/Contrato5[[#This Row],[VALOR CONTRATO]],0)</f>
        <v>0</v>
      </c>
      <c r="AN179" s="198" t="e">
        <f ca="1">+Contrato5[[#This Row],[VALOR CONTRATO]]-Contrato5[[#This Row],[Pagos]]</f>
        <v>#REF!</v>
      </c>
      <c r="AO179" s="147" t="e" cm="1">
        <f t="array" aca="1" ref="AO179" ca="1">_xlfn.XLOOKUP(Contrato5[[#This Row],[DOCUMENTO ]],[2]!PERSONAL_ACTIVO_2024[[#All],[Documento identidad]],[2]!PERSONAL_ACTIVO_2024[[#All],[Mail ]],0,0)</f>
        <v>#NAME?</v>
      </c>
      <c r="AP179" s="147" t="e" cm="1">
        <f t="array" aca="1" ref="AP179" ca="1">_xlfn.XLOOKUP(Contrato5[[#This Row],[DOCUMENTO]],[2]!PERSONAL_ACTIVO_2024[[#All],[Documento identidad]],[2]!PERSONAL_ACTIVO_2024[[#All],[Mail ]],0,0)</f>
        <v>#NAME?</v>
      </c>
      <c r="AQ179" s="439" cm="1">
        <f t="array" aca="1" ref="AQ179" ca="1">IF(ISBLANK(Contrato5[[#This Row],[DEPENDENCIA ]]),0,IFERROR(_xlfn.XLOOKUP(Contrato5[[#This Row],[DEPENDENCIA ]],[2]!PERSONAL_ACTIVO_2024[[#All],[Dependencia]],[2]!PERSONAL_ACTIVO_2024[[#All],[Mail ]],0,0),0))</f>
        <v>0</v>
      </c>
    </row>
    <row r="180" spans="1:43" ht="34.5" customHeight="1">
      <c r="A180" s="125">
        <v>258</v>
      </c>
      <c r="B180" s="124">
        <v>154</v>
      </c>
      <c r="C180" s="162" t="s">
        <v>1680</v>
      </c>
      <c r="D180" s="227" t="s">
        <v>583</v>
      </c>
      <c r="E180" s="128" t="s">
        <v>94</v>
      </c>
      <c r="F180" s="163" t="s">
        <v>1376</v>
      </c>
      <c r="G180" s="190" t="s">
        <v>779</v>
      </c>
      <c r="H180" s="447">
        <v>98558024</v>
      </c>
      <c r="I180" s="455">
        <v>7908765</v>
      </c>
      <c r="J180" s="456">
        <v>47452590</v>
      </c>
      <c r="K180" s="166" t="s">
        <v>42</v>
      </c>
      <c r="L180" s="438" t="s">
        <v>42</v>
      </c>
      <c r="M180" s="194" t="s">
        <v>589</v>
      </c>
      <c r="N180" s="177" t="e" cm="1">
        <f t="array" aca="1" ref="N180" ca="1">_xlfn.XLOOKUP(Contrato5[[#This Row],[SUPERVISOR TITULAR]],[2]!PERSONAL_ACTIVO_2024[[#All],[Nombre completo]],[2]!PERSONAL_ACTIVO_2024[[#All],[Documento identidad]],"",0)</f>
        <v>#NAME?</v>
      </c>
      <c r="O180" s="194" t="s">
        <v>586</v>
      </c>
      <c r="P180" s="196" t="e" cm="1">
        <f t="array" aca="1" ref="P180" ca="1">_xlfn.XLOOKUP(Contrato5[[#This Row],[SUPERVISOR SUPLENTE ]],[2]!PERSONAL_ACTIVO_2024[[#All],[Nombre completo]],[2]!PERSONAL_ACTIVO_2024[[#All],[Documento identidad]],"",0)</f>
        <v>#NAME?</v>
      </c>
      <c r="Q180" s="208">
        <v>186</v>
      </c>
      <c r="R180" s="137" t="e" cm="1">
        <f t="array" aca="1" ref="R180" ca="1">_xlfn.XLOOKUP(Contrato5[[#This Row],[CDP]],[2]!DISPONIBILIDADES_2024[[#All],[consecutivo]],[2]!DISPONIBILIDADES_2024[[#All],[fecha_aprobacion]],"",0)</f>
        <v>#NAME?</v>
      </c>
      <c r="S180" s="138" t="e">
        <f>SUMIF([2]!DISPONIBILIDADES_2024[[#All],[consecutivo]],Contrato5[[#This Row],[CDP]],[2]!DISPONIBILIDADES_2024[[#All],[valor_total_rubro]])</f>
        <v>#REF!</v>
      </c>
      <c r="T180" s="139" t="e" cm="1">
        <f t="array" aca="1" ref="T180" ca="1">_xlfn.XLOOKUP(Contrato5[[#This Row],[CONTRATO]]&amp;Contrato5[[#This Row],[CDP]],[2]!Corr_Contr_CDP[[#All],[CONTRATO-CDP]],[2]!Corr_Contr_CDP[[#All],[CRP]],_xlfn.XLOOKUP(Contrato5[[#This Row],[CDP]],[2]!COMPROMISOS_2024[[#All],[disponibilidad]],[2]!COMPROMISOS_2024[[#All],[consecutivo]],"",0),0)</f>
        <v>#NAME?</v>
      </c>
      <c r="U180" s="140" t="e" cm="1">
        <f t="array" aca="1" ref="U180" ca="1">+_xlfn.XLOOKUP(Contrato5[[#This Row],[RCP]],[2]!COMPROMISOS_2024[[#All],[consecutivo]],[2]!COMPROMISOS_2024[[#All],[fecha_aprobacion]],"",0)</f>
        <v>#NAME?</v>
      </c>
      <c r="V180" s="141" t="e">
        <f ca="1">SUMIF([2]!COMPROMISOS_2024[[#All],[consecutivo]],Contrato5[[#This Row],[RCP]],[2]!COMPROMISOS_2024[[#All],[valor_total]])</f>
        <v>#REF!</v>
      </c>
      <c r="W180" s="415">
        <v>45337</v>
      </c>
      <c r="X180" s="415">
        <v>45338</v>
      </c>
      <c r="Y180" s="143">
        <v>45338</v>
      </c>
      <c r="Z180" s="262">
        <v>45519</v>
      </c>
      <c r="AA180" s="183" t="s">
        <v>651</v>
      </c>
      <c r="AB180" s="161" t="s">
        <v>640</v>
      </c>
      <c r="AC180" s="161"/>
      <c r="AD180" s="211">
        <v>202000003774</v>
      </c>
      <c r="AE180" s="147" t="s">
        <v>780</v>
      </c>
      <c r="AF180" s="148" t="str">
        <f>TEXT(LEFT(Contrato5[[#This Row],[CONTRATO]],3),"0")</f>
        <v>154</v>
      </c>
      <c r="AG180" s="148" t="str">
        <f>IF(LEN(Contrato5[[#This Row],[Contrato2]])=3,Contrato5[[#This Row],[Contrato2]],TEXT(Contrato5[[#This Row],[Contrato2]],"000"))</f>
        <v>154</v>
      </c>
      <c r="AH180" s="149">
        <f ca="1">IFERROR(_xlfn.DAYS(Contrato5[[#This Row],[Fecha Proyectada liquidación]],TODAY())/30,"")</f>
        <v>-3.9666666666666668</v>
      </c>
      <c r="AI180" s="150">
        <f>+Contrato5[[#This Row],[FECHA TERMINACIÓN ]]+120</f>
        <v>45639</v>
      </c>
      <c r="AJ180" s="147"/>
      <c r="AK180" s="152" t="str">
        <f ca="1">IF(Contrato5[[#This Row],[FECHA TERMINACIÓN ]]&lt;TODAY(), "Terminado",IF(ISNUMBER(Contrato5[[#This Row],[Fecha Real de liquiidación ]]),"Liquidado",IF(Contrato5[[#This Row],[FECHA TERMINACIÓN ]]&gt;=TODAY(),"En ejecución","")))</f>
        <v>Terminado</v>
      </c>
      <c r="AL180" s="153" t="e">
        <f ca="1">SUMIF([2]!COMPROMISOS_2024[[#All],[consecutivo]],Contrato5[[#This Row],[RCP]],[2]!COMPROMISOS_2024[[#All],[Total pagado]])</f>
        <v>#REF!</v>
      </c>
      <c r="AM180" s="154">
        <f ca="1">IFERROR(Contrato5[[#This Row],[Pagos]]/Contrato5[[#This Row],[VALOR CONTRATO]],0)</f>
        <v>0</v>
      </c>
      <c r="AN180" s="198" t="e">
        <f ca="1">+Contrato5[[#This Row],[VALOR CONTRATO]]-Contrato5[[#This Row],[Pagos]]</f>
        <v>#REF!</v>
      </c>
      <c r="AO180" s="147" t="e" cm="1">
        <f t="array" aca="1" ref="AO180" ca="1">_xlfn.XLOOKUP(Contrato5[[#This Row],[DOCUMENTO ]],[2]!PERSONAL_ACTIVO_2024[[#All],[Documento identidad]],[2]!PERSONAL_ACTIVO_2024[[#All],[Mail ]],0,0)</f>
        <v>#NAME?</v>
      </c>
      <c r="AP180" s="147" t="e" cm="1">
        <f t="array" aca="1" ref="AP180" ca="1">_xlfn.XLOOKUP(Contrato5[[#This Row],[DOCUMENTO]],[2]!PERSONAL_ACTIVO_2024[[#All],[Documento identidad]],[2]!PERSONAL_ACTIVO_2024[[#All],[Mail ]],0,0)</f>
        <v>#NAME?</v>
      </c>
      <c r="AQ180" s="439" cm="1">
        <f t="array" aca="1" ref="AQ180" ca="1">IF(ISBLANK(Contrato5[[#This Row],[DEPENDENCIA ]]),0,IFERROR(_xlfn.XLOOKUP(Contrato5[[#This Row],[DEPENDENCIA ]],[2]!PERSONAL_ACTIVO_2024[[#All],[Dependencia]],[2]!PERSONAL_ACTIVO_2024[[#All],[Mail ]],0,0),0))</f>
        <v>0</v>
      </c>
    </row>
    <row r="181" spans="1:43" ht="34.5" customHeight="1">
      <c r="A181" s="125">
        <v>571</v>
      </c>
      <c r="B181" s="124">
        <v>154</v>
      </c>
      <c r="C181" s="162" t="s">
        <v>1716</v>
      </c>
      <c r="D181" s="227" t="s">
        <v>583</v>
      </c>
      <c r="E181" s="128" t="s">
        <v>78</v>
      </c>
      <c r="F181" s="163" t="s">
        <v>1376</v>
      </c>
      <c r="G181" s="190" t="s">
        <v>779</v>
      </c>
      <c r="H181" s="447">
        <v>98558024</v>
      </c>
      <c r="I181" s="455">
        <v>1502665</v>
      </c>
      <c r="J181" s="456">
        <v>9015992</v>
      </c>
      <c r="K181" s="202" t="s">
        <v>781</v>
      </c>
      <c r="L181" s="438" t="s">
        <v>42</v>
      </c>
      <c r="M181" s="194" t="s">
        <v>589</v>
      </c>
      <c r="N181" s="177" t="e" cm="1">
        <f t="array" aca="1" ref="N181" ca="1">_xlfn.XLOOKUP(Contrato5[[#This Row],[SUPERVISOR TITULAR]],[2]!PERSONAL_ACTIVO_2024[[#All],[Nombre completo]],[2]!PERSONAL_ACTIVO_2024[[#All],[Documento identidad]],"",0)</f>
        <v>#NAME?</v>
      </c>
      <c r="O181" s="194" t="s">
        <v>586</v>
      </c>
      <c r="P181" s="196" t="e" cm="1">
        <f t="array" aca="1" ref="P181" ca="1">_xlfn.XLOOKUP(Contrato5[[#This Row],[SUPERVISOR SUPLENTE ]],[2]!PERSONAL_ACTIVO_2024[[#All],[Nombre completo]],[2]!PERSONAL_ACTIVO_2024[[#All],[Documento identidad]],"",0)</f>
        <v>#NAME?</v>
      </c>
      <c r="Q181" s="208">
        <v>267</v>
      </c>
      <c r="R181" s="137" t="e" cm="1">
        <f t="array" aca="1" ref="R181" ca="1">_xlfn.XLOOKUP(Contrato5[[#This Row],[CDP]],[2]!DISPONIBILIDADES_2024[[#All],[consecutivo]],[2]!DISPONIBILIDADES_2024[[#All],[fecha_aprobacion]],"",0)</f>
        <v>#NAME?</v>
      </c>
      <c r="S181" s="138" t="e">
        <f>SUMIF([2]!DISPONIBILIDADES_2024[[#All],[consecutivo]],Contrato5[[#This Row],[CDP]],[2]!DISPONIBILIDADES_2024[[#All],[valor_total_rubro]])</f>
        <v>#REF!</v>
      </c>
      <c r="T181" s="139" t="e" cm="1">
        <f t="array" aca="1" ref="T181" ca="1">_xlfn.XLOOKUP(Contrato5[[#This Row],[CONTRATO]]&amp;Contrato5[[#This Row],[CDP]],[2]!Corr_Contr_CDP[[#All],[CONTRATO-CDP]],[2]!Corr_Contr_CDP[[#All],[CRP]],_xlfn.XLOOKUP(Contrato5[[#This Row],[CDP]],[2]!COMPROMISOS_2024[[#All],[disponibilidad]],[2]!COMPROMISOS_2024[[#All],[consecutivo]],"",0),0)</f>
        <v>#NAME?</v>
      </c>
      <c r="U181" s="140" t="e" cm="1">
        <f t="array" aca="1" ref="U181" ca="1">+_xlfn.XLOOKUP(Contrato5[[#This Row],[RCP]],[2]!COMPROMISOS_2024[[#All],[consecutivo]],[2]!COMPROMISOS_2024[[#All],[fecha_aprobacion]],"",0)</f>
        <v>#NAME?</v>
      </c>
      <c r="V181" s="141" t="e">
        <f ca="1">SUMIF([2]!COMPROMISOS_2024[[#All],[consecutivo]],Contrato5[[#This Row],[RCP]],[2]!COMPROMISOS_2024[[#All],[valor_total]])</f>
        <v>#REF!</v>
      </c>
      <c r="W181" s="415">
        <v>45337</v>
      </c>
      <c r="X181" s="415">
        <v>45338</v>
      </c>
      <c r="Y181" s="143">
        <v>45338</v>
      </c>
      <c r="Z181" s="262">
        <v>45519</v>
      </c>
      <c r="AA181" s="183" t="s">
        <v>651</v>
      </c>
      <c r="AB181" s="161" t="s">
        <v>640</v>
      </c>
      <c r="AC181" s="161"/>
      <c r="AD181" s="211">
        <v>202000003774</v>
      </c>
      <c r="AE181" s="147" t="s">
        <v>780</v>
      </c>
      <c r="AF181" s="148" t="str">
        <f>TEXT(LEFT(Contrato5[[#This Row],[CONTRATO]],3),"0")</f>
        <v>154</v>
      </c>
      <c r="AG181" s="148" t="str">
        <f>IF(LEN(Contrato5[[#This Row],[Contrato2]])=3,Contrato5[[#This Row],[Contrato2]],TEXT(Contrato5[[#This Row],[Contrato2]],"000"))</f>
        <v>154</v>
      </c>
      <c r="AH181" s="149">
        <f ca="1">IFERROR(_xlfn.DAYS(Contrato5[[#This Row],[Fecha Proyectada liquidación]],TODAY())/30,"")</f>
        <v>-3.9666666666666668</v>
      </c>
      <c r="AI181" s="150">
        <f>+Contrato5[[#This Row],[FECHA TERMINACIÓN ]]+120</f>
        <v>45639</v>
      </c>
      <c r="AJ181" s="147"/>
      <c r="AK181" s="152" t="str">
        <f ca="1">IF(Contrato5[[#This Row],[FECHA TERMINACIÓN ]]&lt;TODAY(), "Terminado",IF(ISNUMBER(Contrato5[[#This Row],[Fecha Real de liquiidación ]]),"Liquidado",IF(Contrato5[[#This Row],[FECHA TERMINACIÓN ]]&gt;=TODAY(),"En ejecución","")))</f>
        <v>Terminado</v>
      </c>
      <c r="AL181" s="153" t="e">
        <f ca="1">SUMIF([2]!COMPROMISOS_2024[[#All],[consecutivo]],Contrato5[[#This Row],[RCP]],[2]!COMPROMISOS_2024[[#All],[Total pagado]])</f>
        <v>#REF!</v>
      </c>
      <c r="AM181" s="154">
        <f ca="1">IFERROR(Contrato5[[#This Row],[Pagos]]/Contrato5[[#This Row],[VALOR CONTRATO]],0)</f>
        <v>0</v>
      </c>
      <c r="AN181" s="198" t="e">
        <f ca="1">+Contrato5[[#This Row],[VALOR CONTRATO]]-Contrato5[[#This Row],[Pagos]]</f>
        <v>#REF!</v>
      </c>
      <c r="AO181" s="147" t="e" cm="1">
        <f t="array" aca="1" ref="AO181" ca="1">_xlfn.XLOOKUP(Contrato5[[#This Row],[DOCUMENTO ]],[2]!PERSONAL_ACTIVO_2024[[#All],[Documento identidad]],[2]!PERSONAL_ACTIVO_2024[[#All],[Mail ]],0,0)</f>
        <v>#NAME?</v>
      </c>
      <c r="AP181" s="147" t="e" cm="1">
        <f t="array" aca="1" ref="AP181" ca="1">_xlfn.XLOOKUP(Contrato5[[#This Row],[DOCUMENTO]],[2]!PERSONAL_ACTIVO_2024[[#All],[Documento identidad]],[2]!PERSONAL_ACTIVO_2024[[#All],[Mail ]],0,0)</f>
        <v>#NAME?</v>
      </c>
      <c r="AQ181" s="439" cm="1">
        <f t="array" aca="1" ref="AQ181" ca="1">IF(ISBLANK(Contrato5[[#This Row],[DEPENDENCIA ]]),0,IFERROR(_xlfn.XLOOKUP(Contrato5[[#This Row],[DEPENDENCIA ]],[2]!PERSONAL_ACTIVO_2024[[#All],[Dependencia]],[2]!PERSONAL_ACTIVO_2024[[#All],[Mail ]],0,0),0))</f>
        <v>0</v>
      </c>
    </row>
    <row r="182" spans="1:43" ht="34.5" customHeight="1">
      <c r="A182" s="125">
        <v>259</v>
      </c>
      <c r="B182" s="124">
        <v>155</v>
      </c>
      <c r="C182" s="162" t="s">
        <v>1681</v>
      </c>
      <c r="D182" s="227" t="s">
        <v>583</v>
      </c>
      <c r="E182" s="128" t="s">
        <v>94</v>
      </c>
      <c r="F182" s="163" t="s">
        <v>1376</v>
      </c>
      <c r="G182" s="190" t="s">
        <v>782</v>
      </c>
      <c r="H182" s="447">
        <v>71216094</v>
      </c>
      <c r="I182" s="455">
        <v>6920169</v>
      </c>
      <c r="J182" s="456">
        <v>41521014</v>
      </c>
      <c r="K182" s="166" t="s">
        <v>42</v>
      </c>
      <c r="L182" s="438" t="s">
        <v>42</v>
      </c>
      <c r="M182" s="194" t="s">
        <v>589</v>
      </c>
      <c r="N182" s="177" t="e" cm="1">
        <f t="array" aca="1" ref="N182" ca="1">_xlfn.XLOOKUP(Contrato5[[#This Row],[SUPERVISOR TITULAR]],[2]!PERSONAL_ACTIVO_2024[[#All],[Nombre completo]],[2]!PERSONAL_ACTIVO_2024[[#All],[Documento identidad]],"",0)</f>
        <v>#NAME?</v>
      </c>
      <c r="O182" s="194" t="s">
        <v>586</v>
      </c>
      <c r="P182" s="196" t="e" cm="1">
        <f t="array" aca="1" ref="P182" ca="1">_xlfn.XLOOKUP(Contrato5[[#This Row],[SUPERVISOR SUPLENTE ]],[2]!PERSONAL_ACTIVO_2024[[#All],[Nombre completo]],[2]!PERSONAL_ACTIVO_2024[[#All],[Documento identidad]],"",0)</f>
        <v>#NAME?</v>
      </c>
      <c r="Q182" s="208">
        <v>187</v>
      </c>
      <c r="R182" s="137" t="e" cm="1">
        <f t="array" aca="1" ref="R182" ca="1">_xlfn.XLOOKUP(Contrato5[[#This Row],[CDP]],[2]!DISPONIBILIDADES_2024[[#All],[consecutivo]],[2]!DISPONIBILIDADES_2024[[#All],[fecha_aprobacion]],"",0)</f>
        <v>#NAME?</v>
      </c>
      <c r="S182" s="138" t="e">
        <f>SUMIF([2]!DISPONIBILIDADES_2024[[#All],[consecutivo]],Contrato5[[#This Row],[CDP]],[2]!DISPONIBILIDADES_2024[[#All],[valor_total_rubro]])</f>
        <v>#REF!</v>
      </c>
      <c r="T182" s="139" t="e" cm="1">
        <f t="array" aca="1" ref="T182" ca="1">_xlfn.XLOOKUP(Contrato5[[#This Row],[CONTRATO]]&amp;Contrato5[[#This Row],[CDP]],[2]!Corr_Contr_CDP[[#All],[CONTRATO-CDP]],[2]!Corr_Contr_CDP[[#All],[CRP]],_xlfn.XLOOKUP(Contrato5[[#This Row],[CDP]],[2]!COMPROMISOS_2024[[#All],[disponibilidad]],[2]!COMPROMISOS_2024[[#All],[consecutivo]],"",0),0)</f>
        <v>#NAME?</v>
      </c>
      <c r="U182" s="140" t="e" cm="1">
        <f t="array" aca="1" ref="U182" ca="1">+_xlfn.XLOOKUP(Contrato5[[#This Row],[RCP]],[2]!COMPROMISOS_2024[[#All],[consecutivo]],[2]!COMPROMISOS_2024[[#All],[fecha_aprobacion]],"",0)</f>
        <v>#NAME?</v>
      </c>
      <c r="V182" s="141" t="e">
        <f ca="1">SUMIF([2]!COMPROMISOS_2024[[#All],[consecutivo]],Contrato5[[#This Row],[RCP]],[2]!COMPROMISOS_2024[[#All],[valor_total]])</f>
        <v>#REF!</v>
      </c>
      <c r="W182" s="415">
        <v>45337</v>
      </c>
      <c r="X182" s="415">
        <v>45338</v>
      </c>
      <c r="Y182" s="143">
        <v>45338</v>
      </c>
      <c r="Z182" s="262">
        <v>45519</v>
      </c>
      <c r="AA182" s="183" t="s">
        <v>651</v>
      </c>
      <c r="AB182" s="161" t="s">
        <v>640</v>
      </c>
      <c r="AC182" s="161"/>
      <c r="AD182" s="211">
        <v>202000003775</v>
      </c>
      <c r="AE182" s="147" t="s">
        <v>523</v>
      </c>
      <c r="AF182" s="148" t="str">
        <f>TEXT(LEFT(Contrato5[[#This Row],[CONTRATO]],3),"0")</f>
        <v>155</v>
      </c>
      <c r="AG182" s="148" t="str">
        <f>IF(LEN(Contrato5[[#This Row],[Contrato2]])=3,Contrato5[[#This Row],[Contrato2]],TEXT(Contrato5[[#This Row],[Contrato2]],"000"))</f>
        <v>155</v>
      </c>
      <c r="AH182" s="149">
        <f ca="1">IFERROR(_xlfn.DAYS(Contrato5[[#This Row],[Fecha Proyectada liquidación]],TODAY())/30,"")</f>
        <v>-3.9666666666666668</v>
      </c>
      <c r="AI182" s="150">
        <f>+Contrato5[[#This Row],[FECHA TERMINACIÓN ]]+120</f>
        <v>45639</v>
      </c>
      <c r="AJ182" s="147"/>
      <c r="AK182" s="152" t="str">
        <f ca="1">IF(Contrato5[[#This Row],[FECHA TERMINACIÓN ]]&lt;TODAY(), "Terminado",IF(ISNUMBER(Contrato5[[#This Row],[Fecha Real de liquiidación ]]),"Liquidado",IF(Contrato5[[#This Row],[FECHA TERMINACIÓN ]]&gt;=TODAY(),"En ejecución","")))</f>
        <v>Terminado</v>
      </c>
      <c r="AL182" s="153" t="e">
        <f ca="1">SUMIF([2]!COMPROMISOS_2024[[#All],[consecutivo]],Contrato5[[#This Row],[RCP]],[2]!COMPROMISOS_2024[[#All],[Total pagado]])</f>
        <v>#REF!</v>
      </c>
      <c r="AM182" s="154">
        <f ca="1">IFERROR(Contrato5[[#This Row],[Pagos]]/Contrato5[[#This Row],[VALOR CONTRATO]],0)</f>
        <v>0</v>
      </c>
      <c r="AN182" s="198" t="e">
        <f ca="1">+Contrato5[[#This Row],[VALOR CONTRATO]]-Contrato5[[#This Row],[Pagos]]</f>
        <v>#REF!</v>
      </c>
      <c r="AO182" s="147" t="e" cm="1">
        <f t="array" aca="1" ref="AO182" ca="1">_xlfn.XLOOKUP(Contrato5[[#This Row],[DOCUMENTO ]],[2]!PERSONAL_ACTIVO_2024[[#All],[Documento identidad]],[2]!PERSONAL_ACTIVO_2024[[#All],[Mail ]],0,0)</f>
        <v>#NAME?</v>
      </c>
      <c r="AP182" s="147" t="e" cm="1">
        <f t="array" aca="1" ref="AP182" ca="1">_xlfn.XLOOKUP(Contrato5[[#This Row],[DOCUMENTO]],[2]!PERSONAL_ACTIVO_2024[[#All],[Documento identidad]],[2]!PERSONAL_ACTIVO_2024[[#All],[Mail ]],0,0)</f>
        <v>#NAME?</v>
      </c>
      <c r="AQ182" s="439" cm="1">
        <f t="array" aca="1" ref="AQ182" ca="1">IF(ISBLANK(Contrato5[[#This Row],[DEPENDENCIA ]]),0,IFERROR(_xlfn.XLOOKUP(Contrato5[[#This Row],[DEPENDENCIA ]],[2]!PERSONAL_ACTIVO_2024[[#All],[Dependencia]],[2]!PERSONAL_ACTIVO_2024[[#All],[Mail ]],0,0),0))</f>
        <v>0</v>
      </c>
    </row>
    <row r="183" spans="1:43" ht="34.5" customHeight="1">
      <c r="A183" s="125">
        <v>260</v>
      </c>
      <c r="B183" s="124">
        <v>156</v>
      </c>
      <c r="C183" s="162" t="s">
        <v>1682</v>
      </c>
      <c r="D183" s="227" t="s">
        <v>583</v>
      </c>
      <c r="E183" s="128" t="s">
        <v>94</v>
      </c>
      <c r="F183" s="163" t="s">
        <v>1376</v>
      </c>
      <c r="G183" s="190" t="s">
        <v>783</v>
      </c>
      <c r="H183" s="447">
        <v>1037580044</v>
      </c>
      <c r="I183" s="455">
        <v>2574842</v>
      </c>
      <c r="J183" s="456">
        <v>15449052</v>
      </c>
      <c r="K183" s="166" t="s">
        <v>42</v>
      </c>
      <c r="L183" s="438" t="s">
        <v>42</v>
      </c>
      <c r="M183" s="194" t="s">
        <v>589</v>
      </c>
      <c r="N183" s="177" t="e" cm="1">
        <f t="array" aca="1" ref="N183" ca="1">_xlfn.XLOOKUP(Contrato5[[#This Row],[SUPERVISOR TITULAR]],[2]!PERSONAL_ACTIVO_2024[[#All],[Nombre completo]],[2]!PERSONAL_ACTIVO_2024[[#All],[Documento identidad]],"",0)</f>
        <v>#NAME?</v>
      </c>
      <c r="O183" s="194" t="s">
        <v>586</v>
      </c>
      <c r="P183" s="196" t="e" cm="1">
        <f t="array" aca="1" ref="P183" ca="1">_xlfn.XLOOKUP(Contrato5[[#This Row],[SUPERVISOR SUPLENTE ]],[2]!PERSONAL_ACTIVO_2024[[#All],[Nombre completo]],[2]!PERSONAL_ACTIVO_2024[[#All],[Documento identidad]],"",0)</f>
        <v>#NAME?</v>
      </c>
      <c r="Q183" s="208">
        <v>188</v>
      </c>
      <c r="R183" s="137" t="e" cm="1">
        <f t="array" aca="1" ref="R183" ca="1">_xlfn.XLOOKUP(Contrato5[[#This Row],[CDP]],[2]!DISPONIBILIDADES_2024[[#All],[consecutivo]],[2]!DISPONIBILIDADES_2024[[#All],[fecha_aprobacion]],"",0)</f>
        <v>#NAME?</v>
      </c>
      <c r="S183" s="138" t="e">
        <f>SUMIF([2]!DISPONIBILIDADES_2024[[#All],[consecutivo]],Contrato5[[#This Row],[CDP]],[2]!DISPONIBILIDADES_2024[[#All],[valor_total_rubro]])</f>
        <v>#REF!</v>
      </c>
      <c r="T183" s="139" t="e" cm="1">
        <f t="array" aca="1" ref="T183" ca="1">_xlfn.XLOOKUP(Contrato5[[#This Row],[CONTRATO]]&amp;Contrato5[[#This Row],[CDP]],[2]!Corr_Contr_CDP[[#All],[CONTRATO-CDP]],[2]!Corr_Contr_CDP[[#All],[CRP]],_xlfn.XLOOKUP(Contrato5[[#This Row],[CDP]],[2]!COMPROMISOS_2024[[#All],[disponibilidad]],[2]!COMPROMISOS_2024[[#All],[consecutivo]],"",0),0)</f>
        <v>#NAME?</v>
      </c>
      <c r="U183" s="140" t="e" cm="1">
        <f t="array" aca="1" ref="U183" ca="1">+_xlfn.XLOOKUP(Contrato5[[#This Row],[RCP]],[2]!COMPROMISOS_2024[[#All],[consecutivo]],[2]!COMPROMISOS_2024[[#All],[fecha_aprobacion]],"",0)</f>
        <v>#NAME?</v>
      </c>
      <c r="V183" s="141" t="e">
        <f ca="1">SUMIF([2]!COMPROMISOS_2024[[#All],[consecutivo]],Contrato5[[#This Row],[RCP]],[2]!COMPROMISOS_2024[[#All],[valor_total]])</f>
        <v>#REF!</v>
      </c>
      <c r="W183" s="415">
        <v>45337</v>
      </c>
      <c r="X183" s="415">
        <v>45338</v>
      </c>
      <c r="Y183" s="143">
        <v>45338</v>
      </c>
      <c r="Z183" s="262">
        <v>45519</v>
      </c>
      <c r="AA183" s="236" t="s">
        <v>784</v>
      </c>
      <c r="AB183" s="161" t="s">
        <v>640</v>
      </c>
      <c r="AC183" s="161"/>
      <c r="AD183" s="211">
        <v>202000003785</v>
      </c>
      <c r="AE183" s="147" t="s">
        <v>523</v>
      </c>
      <c r="AF183" s="148" t="str">
        <f>TEXT(LEFT(Contrato5[[#This Row],[CONTRATO]],3),"0")</f>
        <v>156</v>
      </c>
      <c r="AG183" s="148" t="str">
        <f>IF(LEN(Contrato5[[#This Row],[Contrato2]])=3,Contrato5[[#This Row],[Contrato2]],TEXT(Contrato5[[#This Row],[Contrato2]],"000"))</f>
        <v>156</v>
      </c>
      <c r="AH183" s="149">
        <f ca="1">IFERROR(_xlfn.DAYS(Contrato5[[#This Row],[Fecha Proyectada liquidación]],TODAY())/30,"")</f>
        <v>-3.9666666666666668</v>
      </c>
      <c r="AI183" s="150">
        <f>+Contrato5[[#This Row],[FECHA TERMINACIÓN ]]+120</f>
        <v>45639</v>
      </c>
      <c r="AJ183" s="147"/>
      <c r="AK183" s="152" t="str">
        <f ca="1">IF(Contrato5[[#This Row],[FECHA TERMINACIÓN ]]&lt;TODAY(), "Terminado",IF(ISNUMBER(Contrato5[[#This Row],[Fecha Real de liquiidación ]]),"Liquidado",IF(Contrato5[[#This Row],[FECHA TERMINACIÓN ]]&gt;=TODAY(),"En ejecución","")))</f>
        <v>Terminado</v>
      </c>
      <c r="AL183" s="153" t="e">
        <f ca="1">SUMIF([2]!COMPROMISOS_2024[[#All],[consecutivo]],Contrato5[[#This Row],[RCP]],[2]!COMPROMISOS_2024[[#All],[Total pagado]])</f>
        <v>#REF!</v>
      </c>
      <c r="AM183" s="154">
        <f ca="1">IFERROR(Contrato5[[#This Row],[Pagos]]/Contrato5[[#This Row],[VALOR CONTRATO]],0)</f>
        <v>0</v>
      </c>
      <c r="AN183" s="198" t="e">
        <f ca="1">+Contrato5[[#This Row],[VALOR CONTRATO]]-Contrato5[[#This Row],[Pagos]]</f>
        <v>#REF!</v>
      </c>
      <c r="AO183" s="147" t="e" cm="1">
        <f t="array" aca="1" ref="AO183" ca="1">_xlfn.XLOOKUP(Contrato5[[#This Row],[DOCUMENTO ]],[2]!PERSONAL_ACTIVO_2024[[#All],[Documento identidad]],[2]!PERSONAL_ACTIVO_2024[[#All],[Mail ]],0,0)</f>
        <v>#NAME?</v>
      </c>
      <c r="AP183" s="147" t="e" cm="1">
        <f t="array" aca="1" ref="AP183" ca="1">_xlfn.XLOOKUP(Contrato5[[#This Row],[DOCUMENTO]],[2]!PERSONAL_ACTIVO_2024[[#All],[Documento identidad]],[2]!PERSONAL_ACTIVO_2024[[#All],[Mail ]],0,0)</f>
        <v>#NAME?</v>
      </c>
      <c r="AQ183" s="439" cm="1">
        <f t="array" aca="1" ref="AQ183" ca="1">IF(ISBLANK(Contrato5[[#This Row],[DEPENDENCIA ]]),0,IFERROR(_xlfn.XLOOKUP(Contrato5[[#This Row],[DEPENDENCIA ]],[2]!PERSONAL_ACTIVO_2024[[#All],[Dependencia]],[2]!PERSONAL_ACTIVO_2024[[#All],[Mail ]],0,0),0))</f>
        <v>0</v>
      </c>
    </row>
    <row r="184" spans="1:43" ht="34.5" customHeight="1">
      <c r="A184" s="125">
        <v>261</v>
      </c>
      <c r="B184" s="124">
        <v>157</v>
      </c>
      <c r="C184" s="162" t="s">
        <v>1683</v>
      </c>
      <c r="D184" s="227" t="s">
        <v>583</v>
      </c>
      <c r="E184" s="128" t="s">
        <v>94</v>
      </c>
      <c r="F184" s="163" t="s">
        <v>1376</v>
      </c>
      <c r="G184" s="190" t="s">
        <v>785</v>
      </c>
      <c r="H184" s="447">
        <v>43628018</v>
      </c>
      <c r="I184" s="455">
        <v>2574842</v>
      </c>
      <c r="J184" s="456">
        <v>15449052</v>
      </c>
      <c r="K184" s="166" t="s">
        <v>42</v>
      </c>
      <c r="L184" s="438" t="s">
        <v>42</v>
      </c>
      <c r="M184" s="194" t="s">
        <v>589</v>
      </c>
      <c r="N184" s="177" t="e" cm="1">
        <f t="array" aca="1" ref="N184" ca="1">_xlfn.XLOOKUP(Contrato5[[#This Row],[SUPERVISOR TITULAR]],[2]!PERSONAL_ACTIVO_2024[[#All],[Nombre completo]],[2]!PERSONAL_ACTIVO_2024[[#All],[Documento identidad]],"",0)</f>
        <v>#NAME?</v>
      </c>
      <c r="O184" s="194" t="s">
        <v>586</v>
      </c>
      <c r="P184" s="196" t="e" cm="1">
        <f t="array" aca="1" ref="P184" ca="1">_xlfn.XLOOKUP(Contrato5[[#This Row],[SUPERVISOR SUPLENTE ]],[2]!PERSONAL_ACTIVO_2024[[#All],[Nombre completo]],[2]!PERSONAL_ACTIVO_2024[[#All],[Documento identidad]],"",0)</f>
        <v>#NAME?</v>
      </c>
      <c r="Q184" s="208">
        <v>189</v>
      </c>
      <c r="R184" s="137" t="e" cm="1">
        <f t="array" aca="1" ref="R184" ca="1">_xlfn.XLOOKUP(Contrato5[[#This Row],[CDP]],[2]!DISPONIBILIDADES_2024[[#All],[consecutivo]],[2]!DISPONIBILIDADES_2024[[#All],[fecha_aprobacion]],"",0)</f>
        <v>#NAME?</v>
      </c>
      <c r="S184" s="138" t="e">
        <f>SUMIF([2]!DISPONIBILIDADES_2024[[#All],[consecutivo]],Contrato5[[#This Row],[CDP]],[2]!DISPONIBILIDADES_2024[[#All],[valor_total_rubro]])</f>
        <v>#REF!</v>
      </c>
      <c r="T184" s="139" t="e" cm="1">
        <f t="array" aca="1" ref="T184" ca="1">_xlfn.XLOOKUP(Contrato5[[#This Row],[CONTRATO]]&amp;Contrato5[[#This Row],[CDP]],[2]!Corr_Contr_CDP[[#All],[CONTRATO-CDP]],[2]!Corr_Contr_CDP[[#All],[CRP]],_xlfn.XLOOKUP(Contrato5[[#This Row],[CDP]],[2]!COMPROMISOS_2024[[#All],[disponibilidad]],[2]!COMPROMISOS_2024[[#All],[consecutivo]],"",0),0)</f>
        <v>#NAME?</v>
      </c>
      <c r="U184" s="140" t="e" cm="1">
        <f t="array" aca="1" ref="U184" ca="1">+_xlfn.XLOOKUP(Contrato5[[#This Row],[RCP]],[2]!COMPROMISOS_2024[[#All],[consecutivo]],[2]!COMPROMISOS_2024[[#All],[fecha_aprobacion]],"",0)</f>
        <v>#NAME?</v>
      </c>
      <c r="V184" s="141" t="e">
        <f ca="1">SUMIF([2]!COMPROMISOS_2024[[#All],[consecutivo]],Contrato5[[#This Row],[RCP]],[2]!COMPROMISOS_2024[[#All],[valor_total]])</f>
        <v>#REF!</v>
      </c>
      <c r="W184" s="415">
        <v>45337</v>
      </c>
      <c r="X184" s="415">
        <v>45338</v>
      </c>
      <c r="Y184" s="143">
        <v>45338</v>
      </c>
      <c r="Z184" s="262">
        <v>45519</v>
      </c>
      <c r="AA184" s="171" t="s">
        <v>651</v>
      </c>
      <c r="AB184" s="161" t="s">
        <v>640</v>
      </c>
      <c r="AC184" s="161"/>
      <c r="AD184" s="211">
        <v>202000003786</v>
      </c>
      <c r="AE184" s="147" t="s">
        <v>523</v>
      </c>
      <c r="AF184" s="148" t="str">
        <f>TEXT(LEFT(Contrato5[[#This Row],[CONTRATO]],3),"0")</f>
        <v>157</v>
      </c>
      <c r="AG184" s="148" t="str">
        <f>IF(LEN(Contrato5[[#This Row],[Contrato2]])=3,Contrato5[[#This Row],[Contrato2]],TEXT(Contrato5[[#This Row],[Contrato2]],"000"))</f>
        <v>157</v>
      </c>
      <c r="AH184" s="149">
        <f ca="1">IFERROR(_xlfn.DAYS(Contrato5[[#This Row],[Fecha Proyectada liquidación]],TODAY())/30,"")</f>
        <v>-3.9666666666666668</v>
      </c>
      <c r="AI184" s="150">
        <f>+Contrato5[[#This Row],[FECHA TERMINACIÓN ]]+120</f>
        <v>45639</v>
      </c>
      <c r="AJ184" s="147"/>
      <c r="AK184" s="152" t="str">
        <f ca="1">IF(Contrato5[[#This Row],[FECHA TERMINACIÓN ]]&lt;TODAY(), "Terminado",IF(ISNUMBER(Contrato5[[#This Row],[Fecha Real de liquiidación ]]),"Liquidado",IF(Contrato5[[#This Row],[FECHA TERMINACIÓN ]]&gt;=TODAY(),"En ejecución","")))</f>
        <v>Terminado</v>
      </c>
      <c r="AL184" s="153" t="e">
        <f ca="1">SUMIF([2]!COMPROMISOS_2024[[#All],[consecutivo]],Contrato5[[#This Row],[RCP]],[2]!COMPROMISOS_2024[[#All],[Total pagado]])</f>
        <v>#REF!</v>
      </c>
      <c r="AM184" s="154">
        <f ca="1">IFERROR(Contrato5[[#This Row],[Pagos]]/Contrato5[[#This Row],[VALOR CONTRATO]],0)</f>
        <v>0</v>
      </c>
      <c r="AN184" s="198" t="e">
        <f ca="1">+Contrato5[[#This Row],[VALOR CONTRATO]]-Contrato5[[#This Row],[Pagos]]</f>
        <v>#REF!</v>
      </c>
      <c r="AO184" s="147" t="e" cm="1">
        <f t="array" aca="1" ref="AO184" ca="1">_xlfn.XLOOKUP(Contrato5[[#This Row],[DOCUMENTO ]],[2]!PERSONAL_ACTIVO_2024[[#All],[Documento identidad]],[2]!PERSONAL_ACTIVO_2024[[#All],[Mail ]],0,0)</f>
        <v>#NAME?</v>
      </c>
      <c r="AP184" s="147" t="e" cm="1">
        <f t="array" aca="1" ref="AP184" ca="1">_xlfn.XLOOKUP(Contrato5[[#This Row],[DOCUMENTO]],[2]!PERSONAL_ACTIVO_2024[[#All],[Documento identidad]],[2]!PERSONAL_ACTIVO_2024[[#All],[Mail ]],0,0)</f>
        <v>#NAME?</v>
      </c>
      <c r="AQ184" s="439" cm="1">
        <f t="array" aca="1" ref="AQ184" ca="1">IF(ISBLANK(Contrato5[[#This Row],[DEPENDENCIA ]]),0,IFERROR(_xlfn.XLOOKUP(Contrato5[[#This Row],[DEPENDENCIA ]],[2]!PERSONAL_ACTIVO_2024[[#All],[Dependencia]],[2]!PERSONAL_ACTIVO_2024[[#All],[Mail ]],0,0),0))</f>
        <v>0</v>
      </c>
    </row>
    <row r="185" spans="1:43" ht="34.5" customHeight="1">
      <c r="A185" s="125">
        <v>262</v>
      </c>
      <c r="B185" s="124">
        <v>158</v>
      </c>
      <c r="C185" s="162" t="s">
        <v>1684</v>
      </c>
      <c r="D185" s="227" t="s">
        <v>583</v>
      </c>
      <c r="E185" s="128" t="s">
        <v>94</v>
      </c>
      <c r="F185" s="163" t="s">
        <v>1376</v>
      </c>
      <c r="G185" s="190" t="s">
        <v>786</v>
      </c>
      <c r="H185" s="447">
        <v>1037629422</v>
      </c>
      <c r="I185" s="455">
        <v>3952382</v>
      </c>
      <c r="J185" s="456">
        <v>23714292</v>
      </c>
      <c r="K185" s="166" t="s">
        <v>42</v>
      </c>
      <c r="L185" s="438" t="s">
        <v>42</v>
      </c>
      <c r="M185" s="194" t="s">
        <v>586</v>
      </c>
      <c r="N185" s="177" t="e" cm="1">
        <f t="array" aca="1" ref="N185" ca="1">_xlfn.XLOOKUP(Contrato5[[#This Row],[SUPERVISOR TITULAR]],[2]!PERSONAL_ACTIVO_2024[[#All],[Nombre completo]],[2]!PERSONAL_ACTIVO_2024[[#All],[Documento identidad]],"",0)</f>
        <v>#NAME?</v>
      </c>
      <c r="O185" s="194" t="s">
        <v>589</v>
      </c>
      <c r="P185" s="196" t="e" cm="1">
        <f t="array" aca="1" ref="P185" ca="1">_xlfn.XLOOKUP(Contrato5[[#This Row],[SUPERVISOR SUPLENTE ]],[2]!PERSONAL_ACTIVO_2024[[#All],[Nombre completo]],[2]!PERSONAL_ACTIVO_2024[[#All],[Documento identidad]],"",0)</f>
        <v>#NAME?</v>
      </c>
      <c r="Q185" s="208">
        <v>190</v>
      </c>
      <c r="R185" s="137" t="e" cm="1">
        <f t="array" aca="1" ref="R185" ca="1">_xlfn.XLOOKUP(Contrato5[[#This Row],[CDP]],[2]!DISPONIBILIDADES_2024[[#All],[consecutivo]],[2]!DISPONIBILIDADES_2024[[#All],[fecha_aprobacion]],"",0)</f>
        <v>#NAME?</v>
      </c>
      <c r="S185" s="138" t="e">
        <f>SUMIF([2]!DISPONIBILIDADES_2024[[#All],[consecutivo]],Contrato5[[#This Row],[CDP]],[2]!DISPONIBILIDADES_2024[[#All],[valor_total_rubro]])</f>
        <v>#REF!</v>
      </c>
      <c r="T185" s="139" t="e" cm="1">
        <f t="array" aca="1" ref="T185" ca="1">_xlfn.XLOOKUP(Contrato5[[#This Row],[CONTRATO]]&amp;Contrato5[[#This Row],[CDP]],[2]!Corr_Contr_CDP[[#All],[CONTRATO-CDP]],[2]!Corr_Contr_CDP[[#All],[CRP]],_xlfn.XLOOKUP(Contrato5[[#This Row],[CDP]],[2]!COMPROMISOS_2024[[#All],[disponibilidad]],[2]!COMPROMISOS_2024[[#All],[consecutivo]],"",0),0)</f>
        <v>#NAME?</v>
      </c>
      <c r="U185" s="140" t="e" cm="1">
        <f t="array" aca="1" ref="U185" ca="1">+_xlfn.XLOOKUP(Contrato5[[#This Row],[RCP]],[2]!COMPROMISOS_2024[[#All],[consecutivo]],[2]!COMPROMISOS_2024[[#All],[fecha_aprobacion]],"",0)</f>
        <v>#NAME?</v>
      </c>
      <c r="V185" s="141" t="e">
        <f ca="1">SUMIF([2]!COMPROMISOS_2024[[#All],[consecutivo]],Contrato5[[#This Row],[RCP]],[2]!COMPROMISOS_2024[[#All],[valor_total]])</f>
        <v>#REF!</v>
      </c>
      <c r="W185" s="415">
        <v>45337</v>
      </c>
      <c r="X185" s="415">
        <v>45338</v>
      </c>
      <c r="Y185" s="143">
        <v>45338</v>
      </c>
      <c r="Z185" s="262">
        <v>45519</v>
      </c>
      <c r="AA185" s="171" t="s">
        <v>787</v>
      </c>
      <c r="AB185" s="161" t="s">
        <v>640</v>
      </c>
      <c r="AC185" s="161"/>
      <c r="AD185" s="211">
        <v>202000003787</v>
      </c>
      <c r="AE185" s="147" t="s">
        <v>523</v>
      </c>
      <c r="AF185" s="148" t="str">
        <f>TEXT(LEFT(Contrato5[[#This Row],[CONTRATO]],3),"0")</f>
        <v>158</v>
      </c>
      <c r="AG185" s="148" t="str">
        <f>IF(LEN(Contrato5[[#This Row],[Contrato2]])=3,Contrato5[[#This Row],[Contrato2]],TEXT(Contrato5[[#This Row],[Contrato2]],"000"))</f>
        <v>158</v>
      </c>
      <c r="AH185" s="149">
        <f ca="1">IFERROR(_xlfn.DAYS(Contrato5[[#This Row],[Fecha Proyectada liquidación]],TODAY())/30,"")</f>
        <v>-3.9666666666666668</v>
      </c>
      <c r="AI185" s="150">
        <f>+Contrato5[[#This Row],[FECHA TERMINACIÓN ]]+120</f>
        <v>45639</v>
      </c>
      <c r="AJ185" s="147"/>
      <c r="AK185" s="152" t="str">
        <f ca="1">IF(Contrato5[[#This Row],[FECHA TERMINACIÓN ]]&lt;TODAY(), "Terminado",IF(ISNUMBER(Contrato5[[#This Row],[Fecha Real de liquiidación ]]),"Liquidado",IF(Contrato5[[#This Row],[FECHA TERMINACIÓN ]]&gt;=TODAY(),"En ejecución","")))</f>
        <v>Terminado</v>
      </c>
      <c r="AL185" s="153" t="e">
        <f ca="1">SUMIF([2]!COMPROMISOS_2024[[#All],[consecutivo]],Contrato5[[#This Row],[RCP]],[2]!COMPROMISOS_2024[[#All],[Total pagado]])</f>
        <v>#REF!</v>
      </c>
      <c r="AM185" s="154">
        <f ca="1">IFERROR(Contrato5[[#This Row],[Pagos]]/Contrato5[[#This Row],[VALOR CONTRATO]],0)</f>
        <v>0</v>
      </c>
      <c r="AN185" s="198" t="e">
        <f ca="1">+Contrato5[[#This Row],[VALOR CONTRATO]]-Contrato5[[#This Row],[Pagos]]</f>
        <v>#REF!</v>
      </c>
      <c r="AO185" s="147" t="e" cm="1">
        <f t="array" aca="1" ref="AO185" ca="1">_xlfn.XLOOKUP(Contrato5[[#This Row],[DOCUMENTO ]],[2]!PERSONAL_ACTIVO_2024[[#All],[Documento identidad]],[2]!PERSONAL_ACTIVO_2024[[#All],[Mail ]],0,0)</f>
        <v>#NAME?</v>
      </c>
      <c r="AP185" s="147" t="e" cm="1">
        <f t="array" aca="1" ref="AP185" ca="1">_xlfn.XLOOKUP(Contrato5[[#This Row],[DOCUMENTO]],[2]!PERSONAL_ACTIVO_2024[[#All],[Documento identidad]],[2]!PERSONAL_ACTIVO_2024[[#All],[Mail ]],0,0)</f>
        <v>#NAME?</v>
      </c>
      <c r="AQ185" s="439" cm="1">
        <f t="array" aca="1" ref="AQ185" ca="1">IF(ISBLANK(Contrato5[[#This Row],[DEPENDENCIA ]]),0,IFERROR(_xlfn.XLOOKUP(Contrato5[[#This Row],[DEPENDENCIA ]],[2]!PERSONAL_ACTIVO_2024[[#All],[Dependencia]],[2]!PERSONAL_ACTIVO_2024[[#All],[Mail ]],0,0),0))</f>
        <v>0</v>
      </c>
    </row>
    <row r="186" spans="1:43" ht="34.5" customHeight="1">
      <c r="A186" s="125">
        <v>263</v>
      </c>
      <c r="B186" s="124">
        <v>159</v>
      </c>
      <c r="C186" s="162" t="s">
        <v>1685</v>
      </c>
      <c r="D186" s="227" t="s">
        <v>583</v>
      </c>
      <c r="E186" s="128" t="s">
        <v>94</v>
      </c>
      <c r="F186" s="163" t="s">
        <v>1376</v>
      </c>
      <c r="G186" s="190" t="s">
        <v>788</v>
      </c>
      <c r="H186" s="447">
        <v>8105506</v>
      </c>
      <c r="I186" s="455">
        <v>3952382</v>
      </c>
      <c r="J186" s="456">
        <v>23714292</v>
      </c>
      <c r="K186" s="166" t="s">
        <v>42</v>
      </c>
      <c r="L186" s="438" t="s">
        <v>42</v>
      </c>
      <c r="M186" s="194" t="s">
        <v>586</v>
      </c>
      <c r="N186" s="177" t="e" cm="1">
        <f t="array" aca="1" ref="N186" ca="1">_xlfn.XLOOKUP(Contrato5[[#This Row],[SUPERVISOR TITULAR]],[2]!PERSONAL_ACTIVO_2024[[#All],[Nombre completo]],[2]!PERSONAL_ACTIVO_2024[[#All],[Documento identidad]],"",0)</f>
        <v>#NAME?</v>
      </c>
      <c r="O186" s="194" t="s">
        <v>589</v>
      </c>
      <c r="P186" s="196" t="e" cm="1">
        <f t="array" aca="1" ref="P186" ca="1">_xlfn.XLOOKUP(Contrato5[[#This Row],[SUPERVISOR SUPLENTE ]],[2]!PERSONAL_ACTIVO_2024[[#All],[Nombre completo]],[2]!PERSONAL_ACTIVO_2024[[#All],[Documento identidad]],"",0)</f>
        <v>#NAME?</v>
      </c>
      <c r="Q186" s="208">
        <v>191</v>
      </c>
      <c r="R186" s="137" t="e" cm="1">
        <f t="array" aca="1" ref="R186" ca="1">_xlfn.XLOOKUP(Contrato5[[#This Row],[CDP]],[2]!DISPONIBILIDADES_2024[[#All],[consecutivo]],[2]!DISPONIBILIDADES_2024[[#All],[fecha_aprobacion]],"",0)</f>
        <v>#NAME?</v>
      </c>
      <c r="S186" s="138" t="e">
        <f>SUMIF([2]!DISPONIBILIDADES_2024[[#All],[consecutivo]],Contrato5[[#This Row],[CDP]],[2]!DISPONIBILIDADES_2024[[#All],[valor_total_rubro]])</f>
        <v>#REF!</v>
      </c>
      <c r="T186" s="139" t="e" cm="1">
        <f t="array" aca="1" ref="T186" ca="1">_xlfn.XLOOKUP(Contrato5[[#This Row],[CONTRATO]]&amp;Contrato5[[#This Row],[CDP]],[2]!Corr_Contr_CDP[[#All],[CONTRATO-CDP]],[2]!Corr_Contr_CDP[[#All],[CRP]],_xlfn.XLOOKUP(Contrato5[[#This Row],[CDP]],[2]!COMPROMISOS_2024[[#All],[disponibilidad]],[2]!COMPROMISOS_2024[[#All],[consecutivo]],"",0),0)</f>
        <v>#NAME?</v>
      </c>
      <c r="U186" s="140" t="e" cm="1">
        <f t="array" aca="1" ref="U186" ca="1">+_xlfn.XLOOKUP(Contrato5[[#This Row],[RCP]],[2]!COMPROMISOS_2024[[#All],[consecutivo]],[2]!COMPROMISOS_2024[[#All],[fecha_aprobacion]],"",0)</f>
        <v>#NAME?</v>
      </c>
      <c r="V186" s="141" t="e">
        <f ca="1">SUMIF([2]!COMPROMISOS_2024[[#All],[consecutivo]],Contrato5[[#This Row],[RCP]],[2]!COMPROMISOS_2024[[#All],[valor_total]])</f>
        <v>#REF!</v>
      </c>
      <c r="W186" s="415">
        <v>45337</v>
      </c>
      <c r="X186" s="415">
        <v>45338</v>
      </c>
      <c r="Y186" s="143">
        <v>45338</v>
      </c>
      <c r="Z186" s="262">
        <v>45519</v>
      </c>
      <c r="AA186" s="171" t="s">
        <v>651</v>
      </c>
      <c r="AB186" s="161" t="s">
        <v>640</v>
      </c>
      <c r="AC186" s="161"/>
      <c r="AD186" s="211">
        <v>202000003788</v>
      </c>
      <c r="AE186" s="147" t="s">
        <v>523</v>
      </c>
      <c r="AF186" s="148" t="str">
        <f>TEXT(LEFT(Contrato5[[#This Row],[CONTRATO]],3),"0")</f>
        <v>159</v>
      </c>
      <c r="AG186" s="148" t="str">
        <f>IF(LEN(Contrato5[[#This Row],[Contrato2]])=3,Contrato5[[#This Row],[Contrato2]],TEXT(Contrato5[[#This Row],[Contrato2]],"000"))</f>
        <v>159</v>
      </c>
      <c r="AH186" s="149">
        <f ca="1">IFERROR(_xlfn.DAYS(Contrato5[[#This Row],[Fecha Proyectada liquidación]],TODAY())/30,"")</f>
        <v>-3.9666666666666668</v>
      </c>
      <c r="AI186" s="150">
        <f>+Contrato5[[#This Row],[FECHA TERMINACIÓN ]]+120</f>
        <v>45639</v>
      </c>
      <c r="AJ186" s="147"/>
      <c r="AK186" s="152" t="str">
        <f ca="1">IF(Contrato5[[#This Row],[FECHA TERMINACIÓN ]]&lt;TODAY(), "Terminado",IF(ISNUMBER(Contrato5[[#This Row],[Fecha Real de liquiidación ]]),"Liquidado",IF(Contrato5[[#This Row],[FECHA TERMINACIÓN ]]&gt;=TODAY(),"En ejecución","")))</f>
        <v>Terminado</v>
      </c>
      <c r="AL186" s="153" t="e">
        <f ca="1">SUMIF([2]!COMPROMISOS_2024[[#All],[consecutivo]],Contrato5[[#This Row],[RCP]],[2]!COMPROMISOS_2024[[#All],[Total pagado]])</f>
        <v>#REF!</v>
      </c>
      <c r="AM186" s="154">
        <f ca="1">IFERROR(Contrato5[[#This Row],[Pagos]]/Contrato5[[#This Row],[VALOR CONTRATO]],0)</f>
        <v>0</v>
      </c>
      <c r="AN186" s="198" t="e">
        <f ca="1">+Contrato5[[#This Row],[VALOR CONTRATO]]-Contrato5[[#This Row],[Pagos]]</f>
        <v>#REF!</v>
      </c>
      <c r="AO186" s="147" t="e" cm="1">
        <f t="array" aca="1" ref="AO186" ca="1">_xlfn.XLOOKUP(Contrato5[[#This Row],[DOCUMENTO ]],[2]!PERSONAL_ACTIVO_2024[[#All],[Documento identidad]],[2]!PERSONAL_ACTIVO_2024[[#All],[Mail ]],0,0)</f>
        <v>#NAME?</v>
      </c>
      <c r="AP186" s="147" t="e" cm="1">
        <f t="array" aca="1" ref="AP186" ca="1">_xlfn.XLOOKUP(Contrato5[[#This Row],[DOCUMENTO]],[2]!PERSONAL_ACTIVO_2024[[#All],[Documento identidad]],[2]!PERSONAL_ACTIVO_2024[[#All],[Mail ]],0,0)</f>
        <v>#NAME?</v>
      </c>
      <c r="AQ186" s="439" cm="1">
        <f t="array" aca="1" ref="AQ186" ca="1">IF(ISBLANK(Contrato5[[#This Row],[DEPENDENCIA ]]),0,IFERROR(_xlfn.XLOOKUP(Contrato5[[#This Row],[DEPENDENCIA ]],[2]!PERSONAL_ACTIVO_2024[[#All],[Dependencia]],[2]!PERSONAL_ACTIVO_2024[[#All],[Mail ]],0,0),0))</f>
        <v>0</v>
      </c>
    </row>
    <row r="187" spans="1:43" ht="34.5" customHeight="1">
      <c r="A187" s="125">
        <v>264</v>
      </c>
      <c r="B187" s="124">
        <v>160</v>
      </c>
      <c r="C187" s="162" t="s">
        <v>1686</v>
      </c>
      <c r="D187" s="227" t="s">
        <v>583</v>
      </c>
      <c r="E187" s="128" t="s">
        <v>94</v>
      </c>
      <c r="F187" s="163" t="s">
        <v>1376</v>
      </c>
      <c r="G187" s="190" t="s">
        <v>789</v>
      </c>
      <c r="H187" s="447">
        <v>1042767191</v>
      </c>
      <c r="I187" s="455" t="s">
        <v>42</v>
      </c>
      <c r="J187" s="456">
        <v>15449052</v>
      </c>
      <c r="K187" s="166" t="s">
        <v>42</v>
      </c>
      <c r="L187" s="438" t="s">
        <v>42</v>
      </c>
      <c r="M187" s="194" t="s">
        <v>586</v>
      </c>
      <c r="N187" s="177" t="e" cm="1">
        <f t="array" aca="1" ref="N187" ca="1">_xlfn.XLOOKUP(Contrato5[[#This Row],[SUPERVISOR TITULAR]],[2]!PERSONAL_ACTIVO_2024[[#All],[Nombre completo]],[2]!PERSONAL_ACTIVO_2024[[#All],[Documento identidad]],"",0)</f>
        <v>#NAME?</v>
      </c>
      <c r="O187" s="194" t="s">
        <v>589</v>
      </c>
      <c r="P187" s="196" t="e" cm="1">
        <f t="array" aca="1" ref="P187" ca="1">_xlfn.XLOOKUP(Contrato5[[#This Row],[SUPERVISOR SUPLENTE ]],[2]!PERSONAL_ACTIVO_2024[[#All],[Nombre completo]],[2]!PERSONAL_ACTIVO_2024[[#All],[Documento identidad]],"",0)</f>
        <v>#NAME?</v>
      </c>
      <c r="Q187" s="222">
        <v>192</v>
      </c>
      <c r="R187" s="137" t="e" cm="1">
        <f t="array" aca="1" ref="R187" ca="1">_xlfn.XLOOKUP(Contrato5[[#This Row],[CDP]],[2]!DISPONIBILIDADES_2024[[#All],[consecutivo]],[2]!DISPONIBILIDADES_2024[[#All],[fecha_aprobacion]],"",0)</f>
        <v>#NAME?</v>
      </c>
      <c r="S187" s="138" t="e">
        <f>SUMIF([2]!DISPONIBILIDADES_2024[[#All],[consecutivo]],Contrato5[[#This Row],[CDP]],[2]!DISPONIBILIDADES_2024[[#All],[valor_total_rubro]])</f>
        <v>#REF!</v>
      </c>
      <c r="T187" s="139" t="e" cm="1">
        <f t="array" aca="1" ref="T187" ca="1">_xlfn.XLOOKUP(Contrato5[[#This Row],[CONTRATO]]&amp;Contrato5[[#This Row],[CDP]],[2]!Corr_Contr_CDP[[#All],[CONTRATO-CDP]],[2]!Corr_Contr_CDP[[#All],[CRP]],_xlfn.XLOOKUP(Contrato5[[#This Row],[CDP]],[2]!COMPROMISOS_2024[[#All],[disponibilidad]],[2]!COMPROMISOS_2024[[#All],[consecutivo]],"",0),0)</f>
        <v>#NAME?</v>
      </c>
      <c r="U187" s="140" t="e" cm="1">
        <f t="array" aca="1" ref="U187" ca="1">+_xlfn.XLOOKUP(Contrato5[[#This Row],[RCP]],[2]!COMPROMISOS_2024[[#All],[consecutivo]],[2]!COMPROMISOS_2024[[#All],[fecha_aprobacion]],"",0)</f>
        <v>#NAME?</v>
      </c>
      <c r="V187" s="141" t="e">
        <f ca="1">SUMIF([2]!COMPROMISOS_2024[[#All],[consecutivo]],Contrato5[[#This Row],[RCP]],[2]!COMPROMISOS_2024[[#All],[valor_total]])</f>
        <v>#REF!</v>
      </c>
      <c r="W187" s="415">
        <v>45337</v>
      </c>
      <c r="X187" s="415">
        <v>45338</v>
      </c>
      <c r="Y187" s="143">
        <v>45338</v>
      </c>
      <c r="Z187" s="262">
        <v>45519</v>
      </c>
      <c r="AA187" s="171" t="s">
        <v>651</v>
      </c>
      <c r="AB187" s="161" t="s">
        <v>640</v>
      </c>
      <c r="AC187" s="161"/>
      <c r="AD187" s="221">
        <v>202000003789</v>
      </c>
      <c r="AE187" s="147" t="s">
        <v>523</v>
      </c>
      <c r="AF187" s="148" t="str">
        <f>TEXT(LEFT(Contrato5[[#This Row],[CONTRATO]],3),"0")</f>
        <v>160</v>
      </c>
      <c r="AG187" s="148" t="str">
        <f>IF(LEN(Contrato5[[#This Row],[Contrato2]])=3,Contrato5[[#This Row],[Contrato2]],TEXT(Contrato5[[#This Row],[Contrato2]],"000"))</f>
        <v>160</v>
      </c>
      <c r="AH187" s="149">
        <f ca="1">IFERROR(_xlfn.DAYS(Contrato5[[#This Row],[Fecha Proyectada liquidación]],TODAY())/30,"")</f>
        <v>-3.9666666666666668</v>
      </c>
      <c r="AI187" s="150">
        <f>+Contrato5[[#This Row],[FECHA TERMINACIÓN ]]+120</f>
        <v>45639</v>
      </c>
      <c r="AJ187" s="147"/>
      <c r="AK187" s="152" t="str">
        <f ca="1">IF(Contrato5[[#This Row],[FECHA TERMINACIÓN ]]&lt;TODAY(), "Terminado",IF(ISNUMBER(Contrato5[[#This Row],[Fecha Real de liquiidación ]]),"Liquidado",IF(Contrato5[[#This Row],[FECHA TERMINACIÓN ]]&gt;=TODAY(),"En ejecución","")))</f>
        <v>Terminado</v>
      </c>
      <c r="AL187" s="153" t="e">
        <f ca="1">SUMIF([2]!COMPROMISOS_2024[[#All],[consecutivo]],Contrato5[[#This Row],[RCP]],[2]!COMPROMISOS_2024[[#All],[Total pagado]])</f>
        <v>#REF!</v>
      </c>
      <c r="AM187" s="154">
        <f ca="1">IFERROR(Contrato5[[#This Row],[Pagos]]/Contrato5[[#This Row],[VALOR CONTRATO]],0)</f>
        <v>0</v>
      </c>
      <c r="AN187" s="198" t="e">
        <f ca="1">+Contrato5[[#This Row],[VALOR CONTRATO]]-Contrato5[[#This Row],[Pagos]]</f>
        <v>#REF!</v>
      </c>
      <c r="AO187" s="147" t="e" cm="1">
        <f t="array" aca="1" ref="AO187" ca="1">_xlfn.XLOOKUP(Contrato5[[#This Row],[DOCUMENTO ]],[2]!PERSONAL_ACTIVO_2024[[#All],[Documento identidad]],[2]!PERSONAL_ACTIVO_2024[[#All],[Mail ]],0,0)</f>
        <v>#NAME?</v>
      </c>
      <c r="AP187" s="147" t="e" cm="1">
        <f t="array" aca="1" ref="AP187" ca="1">_xlfn.XLOOKUP(Contrato5[[#This Row],[DOCUMENTO]],[2]!PERSONAL_ACTIVO_2024[[#All],[Documento identidad]],[2]!PERSONAL_ACTIVO_2024[[#All],[Mail ]],0,0)</f>
        <v>#NAME?</v>
      </c>
      <c r="AQ187" s="439" cm="1">
        <f t="array" aca="1" ref="AQ187" ca="1">IF(ISBLANK(Contrato5[[#This Row],[DEPENDENCIA ]]),0,IFERROR(_xlfn.XLOOKUP(Contrato5[[#This Row],[DEPENDENCIA ]],[2]!PERSONAL_ACTIVO_2024[[#All],[Dependencia]],[2]!PERSONAL_ACTIVO_2024[[#All],[Mail ]],0,0),0))</f>
        <v>0</v>
      </c>
    </row>
    <row r="188" spans="1:43" ht="34.5" customHeight="1">
      <c r="A188" s="125">
        <v>265</v>
      </c>
      <c r="B188" s="124">
        <v>161</v>
      </c>
      <c r="C188" s="162" t="s">
        <v>1687</v>
      </c>
      <c r="D188" s="227" t="s">
        <v>583</v>
      </c>
      <c r="E188" s="128" t="s">
        <v>94</v>
      </c>
      <c r="F188" s="163" t="s">
        <v>1376</v>
      </c>
      <c r="G188" s="190" t="s">
        <v>790</v>
      </c>
      <c r="H188" s="447">
        <v>1036423355</v>
      </c>
      <c r="I188" s="455">
        <v>3952382</v>
      </c>
      <c r="J188" s="456">
        <v>23714292</v>
      </c>
      <c r="K188" s="166" t="s">
        <v>42</v>
      </c>
      <c r="L188" s="438" t="s">
        <v>42</v>
      </c>
      <c r="M188" s="194" t="s">
        <v>586</v>
      </c>
      <c r="N188" s="177" t="e" cm="1">
        <f t="array" aca="1" ref="N188" ca="1">_xlfn.XLOOKUP(Contrato5[[#This Row],[SUPERVISOR TITULAR]],[2]!PERSONAL_ACTIVO_2024[[#All],[Nombre completo]],[2]!PERSONAL_ACTIVO_2024[[#All],[Documento identidad]],"",0)</f>
        <v>#NAME?</v>
      </c>
      <c r="O188" s="194" t="s">
        <v>589</v>
      </c>
      <c r="P188" s="196" t="e" cm="1">
        <f t="array" aca="1" ref="P188" ca="1">_xlfn.XLOOKUP(Contrato5[[#This Row],[SUPERVISOR SUPLENTE ]],[2]!PERSONAL_ACTIVO_2024[[#All],[Nombre completo]],[2]!PERSONAL_ACTIVO_2024[[#All],[Documento identidad]],"",0)</f>
        <v>#NAME?</v>
      </c>
      <c r="Q188" s="208">
        <v>193</v>
      </c>
      <c r="R188" s="137" t="e" cm="1">
        <f t="array" aca="1" ref="R188" ca="1">_xlfn.XLOOKUP(Contrato5[[#This Row],[CDP]],[2]!DISPONIBILIDADES_2024[[#All],[consecutivo]],[2]!DISPONIBILIDADES_2024[[#All],[fecha_aprobacion]],"",0)</f>
        <v>#NAME?</v>
      </c>
      <c r="S188" s="138" t="e">
        <f>SUMIF([2]!DISPONIBILIDADES_2024[[#All],[consecutivo]],Contrato5[[#This Row],[CDP]],[2]!DISPONIBILIDADES_2024[[#All],[valor_total_rubro]])</f>
        <v>#REF!</v>
      </c>
      <c r="T188" s="139" t="e" cm="1">
        <f t="array" aca="1" ref="T188" ca="1">_xlfn.XLOOKUP(Contrato5[[#This Row],[CONTRATO]]&amp;Contrato5[[#This Row],[CDP]],[2]!Corr_Contr_CDP[[#All],[CONTRATO-CDP]],[2]!Corr_Contr_CDP[[#All],[CRP]],_xlfn.XLOOKUP(Contrato5[[#This Row],[CDP]],[2]!COMPROMISOS_2024[[#All],[disponibilidad]],[2]!COMPROMISOS_2024[[#All],[consecutivo]],"",0),0)</f>
        <v>#NAME?</v>
      </c>
      <c r="U188" s="140" t="e" cm="1">
        <f t="array" aca="1" ref="U188" ca="1">+_xlfn.XLOOKUP(Contrato5[[#This Row],[RCP]],[2]!COMPROMISOS_2024[[#All],[consecutivo]],[2]!COMPROMISOS_2024[[#All],[fecha_aprobacion]],"",0)</f>
        <v>#NAME?</v>
      </c>
      <c r="V188" s="141" t="e">
        <f ca="1">SUMIF([2]!COMPROMISOS_2024[[#All],[consecutivo]],Contrato5[[#This Row],[RCP]],[2]!COMPROMISOS_2024[[#All],[valor_total]])</f>
        <v>#REF!</v>
      </c>
      <c r="W188" s="415">
        <v>45337</v>
      </c>
      <c r="X188" s="415">
        <v>45338</v>
      </c>
      <c r="Y188" s="143">
        <v>45338</v>
      </c>
      <c r="Z188" s="262">
        <v>45519</v>
      </c>
      <c r="AA188" s="171" t="s">
        <v>651</v>
      </c>
      <c r="AB188" s="161" t="s">
        <v>640</v>
      </c>
      <c r="AC188" s="161"/>
      <c r="AD188" s="211">
        <v>202000003791</v>
      </c>
      <c r="AE188" s="147" t="s">
        <v>523</v>
      </c>
      <c r="AF188" s="148" t="str">
        <f>TEXT(LEFT(Contrato5[[#This Row],[CONTRATO]],3),"0")</f>
        <v>161</v>
      </c>
      <c r="AG188" s="148" t="str">
        <f>IF(LEN(Contrato5[[#This Row],[Contrato2]])=3,Contrato5[[#This Row],[Contrato2]],TEXT(Contrato5[[#This Row],[Contrato2]],"000"))</f>
        <v>161</v>
      </c>
      <c r="AH188" s="149">
        <f ca="1">IFERROR(_xlfn.DAYS(Contrato5[[#This Row],[Fecha Proyectada liquidación]],TODAY())/30,"")</f>
        <v>-3.9666666666666668</v>
      </c>
      <c r="AI188" s="150">
        <f>+Contrato5[[#This Row],[FECHA TERMINACIÓN ]]+120</f>
        <v>45639</v>
      </c>
      <c r="AJ188" s="147"/>
      <c r="AK188" s="152" t="str">
        <f ca="1">IF(Contrato5[[#This Row],[FECHA TERMINACIÓN ]]&lt;TODAY(), "Terminado",IF(ISNUMBER(Contrato5[[#This Row],[Fecha Real de liquiidación ]]),"Liquidado",IF(Contrato5[[#This Row],[FECHA TERMINACIÓN ]]&gt;=TODAY(),"En ejecución","")))</f>
        <v>Terminado</v>
      </c>
      <c r="AL188" s="153" t="e">
        <f ca="1">SUMIF([2]!COMPROMISOS_2024[[#All],[consecutivo]],Contrato5[[#This Row],[RCP]],[2]!COMPROMISOS_2024[[#All],[Total pagado]])</f>
        <v>#REF!</v>
      </c>
      <c r="AM188" s="154">
        <f ca="1">IFERROR(Contrato5[[#This Row],[Pagos]]/Contrato5[[#This Row],[VALOR CONTRATO]],0)</f>
        <v>0</v>
      </c>
      <c r="AN188" s="198" t="e">
        <f ca="1">+Contrato5[[#This Row],[VALOR CONTRATO]]-Contrato5[[#This Row],[Pagos]]</f>
        <v>#REF!</v>
      </c>
      <c r="AO188" s="147" t="e" cm="1">
        <f t="array" aca="1" ref="AO188" ca="1">_xlfn.XLOOKUP(Contrato5[[#This Row],[DOCUMENTO ]],[2]!PERSONAL_ACTIVO_2024[[#All],[Documento identidad]],[2]!PERSONAL_ACTIVO_2024[[#All],[Mail ]],0,0)</f>
        <v>#NAME?</v>
      </c>
      <c r="AP188" s="147" t="e" cm="1">
        <f t="array" aca="1" ref="AP188" ca="1">_xlfn.XLOOKUP(Contrato5[[#This Row],[DOCUMENTO]],[2]!PERSONAL_ACTIVO_2024[[#All],[Documento identidad]],[2]!PERSONAL_ACTIVO_2024[[#All],[Mail ]],0,0)</f>
        <v>#NAME?</v>
      </c>
      <c r="AQ188" s="439" cm="1">
        <f t="array" aca="1" ref="AQ188" ca="1">IF(ISBLANK(Contrato5[[#This Row],[DEPENDENCIA ]]),0,IFERROR(_xlfn.XLOOKUP(Contrato5[[#This Row],[DEPENDENCIA ]],[2]!PERSONAL_ACTIVO_2024[[#All],[Dependencia]],[2]!PERSONAL_ACTIVO_2024[[#All],[Mail ]],0,0),0))</f>
        <v>0</v>
      </c>
    </row>
    <row r="189" spans="1:43" ht="34.5" customHeight="1">
      <c r="A189" s="125">
        <v>266</v>
      </c>
      <c r="B189" s="124">
        <v>162</v>
      </c>
      <c r="C189" s="162" t="s">
        <v>1688</v>
      </c>
      <c r="D189" s="227" t="s">
        <v>583</v>
      </c>
      <c r="E189" s="128" t="s">
        <v>94</v>
      </c>
      <c r="F189" s="163" t="s">
        <v>1376</v>
      </c>
      <c r="G189" s="190" t="s">
        <v>791</v>
      </c>
      <c r="H189" s="447">
        <v>71732235</v>
      </c>
      <c r="I189" s="455">
        <v>2574842</v>
      </c>
      <c r="J189" s="456">
        <v>15449052</v>
      </c>
      <c r="K189" s="166" t="s">
        <v>42</v>
      </c>
      <c r="L189" s="438" t="s">
        <v>42</v>
      </c>
      <c r="M189" s="194" t="s">
        <v>586</v>
      </c>
      <c r="N189" s="177" t="e" cm="1">
        <f t="array" aca="1" ref="N189" ca="1">_xlfn.XLOOKUP(Contrato5[[#This Row],[SUPERVISOR TITULAR]],[2]!PERSONAL_ACTIVO_2024[[#All],[Nombre completo]],[2]!PERSONAL_ACTIVO_2024[[#All],[Documento identidad]],"",0)</f>
        <v>#NAME?</v>
      </c>
      <c r="O189" s="194" t="s">
        <v>589</v>
      </c>
      <c r="P189" s="196" t="e" cm="1">
        <f t="array" aca="1" ref="P189" ca="1">_xlfn.XLOOKUP(Contrato5[[#This Row],[SUPERVISOR SUPLENTE ]],[2]!PERSONAL_ACTIVO_2024[[#All],[Nombre completo]],[2]!PERSONAL_ACTIVO_2024[[#All],[Documento identidad]],"",0)</f>
        <v>#NAME?</v>
      </c>
      <c r="Q189" s="208">
        <v>194</v>
      </c>
      <c r="R189" s="137" t="e" cm="1">
        <f t="array" aca="1" ref="R189" ca="1">_xlfn.XLOOKUP(Contrato5[[#This Row],[CDP]],[2]!DISPONIBILIDADES_2024[[#All],[consecutivo]],[2]!DISPONIBILIDADES_2024[[#All],[fecha_aprobacion]],"",0)</f>
        <v>#NAME?</v>
      </c>
      <c r="S189" s="138" t="e">
        <f>SUMIF([2]!DISPONIBILIDADES_2024[[#All],[consecutivo]],Contrato5[[#This Row],[CDP]],[2]!DISPONIBILIDADES_2024[[#All],[valor_total_rubro]])</f>
        <v>#REF!</v>
      </c>
      <c r="T189" s="139" t="e" cm="1">
        <f t="array" aca="1" ref="T189" ca="1">_xlfn.XLOOKUP(Contrato5[[#This Row],[CONTRATO]]&amp;Contrato5[[#This Row],[CDP]],[2]!Corr_Contr_CDP[[#All],[CONTRATO-CDP]],[2]!Corr_Contr_CDP[[#All],[CRP]],_xlfn.XLOOKUP(Contrato5[[#This Row],[CDP]],[2]!COMPROMISOS_2024[[#All],[disponibilidad]],[2]!COMPROMISOS_2024[[#All],[consecutivo]],"",0),0)</f>
        <v>#NAME?</v>
      </c>
      <c r="U189" s="140" t="e" cm="1">
        <f t="array" aca="1" ref="U189" ca="1">+_xlfn.XLOOKUP(Contrato5[[#This Row],[RCP]],[2]!COMPROMISOS_2024[[#All],[consecutivo]],[2]!COMPROMISOS_2024[[#All],[fecha_aprobacion]],"",0)</f>
        <v>#NAME?</v>
      </c>
      <c r="V189" s="141" t="e">
        <f ca="1">SUMIF([2]!COMPROMISOS_2024[[#All],[consecutivo]],Contrato5[[#This Row],[RCP]],[2]!COMPROMISOS_2024[[#All],[valor_total]])</f>
        <v>#REF!</v>
      </c>
      <c r="W189" s="415">
        <v>45337</v>
      </c>
      <c r="X189" s="415">
        <v>45338</v>
      </c>
      <c r="Y189" s="143">
        <v>45338</v>
      </c>
      <c r="Z189" s="262">
        <v>45519</v>
      </c>
      <c r="AA189" s="171" t="s">
        <v>651</v>
      </c>
      <c r="AB189" s="161" t="s">
        <v>640</v>
      </c>
      <c r="AC189" s="161"/>
      <c r="AD189" s="211">
        <v>202000003792</v>
      </c>
      <c r="AE189" s="147" t="s">
        <v>523</v>
      </c>
      <c r="AF189" s="148" t="str">
        <f>TEXT(LEFT(Contrato5[[#This Row],[CONTRATO]],3),"0")</f>
        <v>162</v>
      </c>
      <c r="AG189" s="148" t="str">
        <f>IF(LEN(Contrato5[[#This Row],[Contrato2]])=3,Contrato5[[#This Row],[Contrato2]],TEXT(Contrato5[[#This Row],[Contrato2]],"000"))</f>
        <v>162</v>
      </c>
      <c r="AH189" s="149">
        <f ca="1">IFERROR(_xlfn.DAYS(Contrato5[[#This Row],[Fecha Proyectada liquidación]],TODAY())/30,"")</f>
        <v>-3.9666666666666668</v>
      </c>
      <c r="AI189" s="150">
        <f>+Contrato5[[#This Row],[FECHA TERMINACIÓN ]]+120</f>
        <v>45639</v>
      </c>
      <c r="AJ189" s="147"/>
      <c r="AK189" s="152" t="str">
        <f ca="1">IF(Contrato5[[#This Row],[FECHA TERMINACIÓN ]]&lt;TODAY(), "Terminado",IF(ISNUMBER(Contrato5[[#This Row],[Fecha Real de liquiidación ]]),"Liquidado",IF(Contrato5[[#This Row],[FECHA TERMINACIÓN ]]&gt;=TODAY(),"En ejecución","")))</f>
        <v>Terminado</v>
      </c>
      <c r="AL189" s="153" t="e">
        <f ca="1">SUMIF([2]!COMPROMISOS_2024[[#All],[consecutivo]],Contrato5[[#This Row],[RCP]],[2]!COMPROMISOS_2024[[#All],[Total pagado]])</f>
        <v>#REF!</v>
      </c>
      <c r="AM189" s="154">
        <f ca="1">IFERROR(Contrato5[[#This Row],[Pagos]]/Contrato5[[#This Row],[VALOR CONTRATO]],0)</f>
        <v>0</v>
      </c>
      <c r="AN189" s="198" t="e">
        <f ca="1">+Contrato5[[#This Row],[VALOR CONTRATO]]-Contrato5[[#This Row],[Pagos]]</f>
        <v>#REF!</v>
      </c>
      <c r="AO189" s="147" t="e" cm="1">
        <f t="array" aca="1" ref="AO189" ca="1">_xlfn.XLOOKUP(Contrato5[[#This Row],[DOCUMENTO ]],[2]!PERSONAL_ACTIVO_2024[[#All],[Documento identidad]],[2]!PERSONAL_ACTIVO_2024[[#All],[Mail ]],0,0)</f>
        <v>#NAME?</v>
      </c>
      <c r="AP189" s="147" t="e" cm="1">
        <f t="array" aca="1" ref="AP189" ca="1">_xlfn.XLOOKUP(Contrato5[[#This Row],[DOCUMENTO]],[2]!PERSONAL_ACTIVO_2024[[#All],[Documento identidad]],[2]!PERSONAL_ACTIVO_2024[[#All],[Mail ]],0,0)</f>
        <v>#NAME?</v>
      </c>
      <c r="AQ189" s="439" cm="1">
        <f t="array" aca="1" ref="AQ189" ca="1">IF(ISBLANK(Contrato5[[#This Row],[DEPENDENCIA ]]),0,IFERROR(_xlfn.XLOOKUP(Contrato5[[#This Row],[DEPENDENCIA ]],[2]!PERSONAL_ACTIVO_2024[[#All],[Dependencia]],[2]!PERSONAL_ACTIVO_2024[[#All],[Mail ]],0,0),0))</f>
        <v>0</v>
      </c>
    </row>
    <row r="190" spans="1:43" ht="34.5" customHeight="1">
      <c r="A190" s="125">
        <v>269</v>
      </c>
      <c r="B190" s="124">
        <v>163</v>
      </c>
      <c r="C190" s="162" t="s">
        <v>1691</v>
      </c>
      <c r="D190" s="227" t="s">
        <v>583</v>
      </c>
      <c r="E190" s="128" t="s">
        <v>94</v>
      </c>
      <c r="F190" s="163" t="s">
        <v>1376</v>
      </c>
      <c r="G190" s="190" t="s">
        <v>792</v>
      </c>
      <c r="H190" s="447">
        <v>1054092294</v>
      </c>
      <c r="I190" s="455">
        <v>3952382</v>
      </c>
      <c r="J190" s="456">
        <v>23714292</v>
      </c>
      <c r="K190" s="166" t="s">
        <v>42</v>
      </c>
      <c r="L190" s="438" t="s">
        <v>42</v>
      </c>
      <c r="M190" s="194" t="s">
        <v>589</v>
      </c>
      <c r="N190" s="177" t="e" cm="1">
        <f t="array" aca="1" ref="N190" ca="1">_xlfn.XLOOKUP(Contrato5[[#This Row],[SUPERVISOR TITULAR]],[2]!PERSONAL_ACTIVO_2024[[#All],[Nombre completo]],[2]!PERSONAL_ACTIVO_2024[[#All],[Documento identidad]],"",0)</f>
        <v>#NAME?</v>
      </c>
      <c r="O190" s="194" t="s">
        <v>586</v>
      </c>
      <c r="P190" s="196" t="e" cm="1">
        <f t="array" aca="1" ref="P190" ca="1">_xlfn.XLOOKUP(Contrato5[[#This Row],[SUPERVISOR SUPLENTE ]],[2]!PERSONAL_ACTIVO_2024[[#All],[Nombre completo]],[2]!PERSONAL_ACTIVO_2024[[#All],[Documento identidad]],"",0)</f>
        <v>#NAME?</v>
      </c>
      <c r="Q190" s="208">
        <v>197</v>
      </c>
      <c r="R190" s="137" t="e" cm="1">
        <f t="array" aca="1" ref="R190" ca="1">_xlfn.XLOOKUP(Contrato5[[#This Row],[CDP]],[2]!DISPONIBILIDADES_2024[[#All],[consecutivo]],[2]!DISPONIBILIDADES_2024[[#All],[fecha_aprobacion]],"",0)</f>
        <v>#NAME?</v>
      </c>
      <c r="S190" s="138" t="e">
        <f>SUMIF([2]!DISPONIBILIDADES_2024[[#All],[consecutivo]],Contrato5[[#This Row],[CDP]],[2]!DISPONIBILIDADES_2024[[#All],[valor_total_rubro]])</f>
        <v>#REF!</v>
      </c>
      <c r="T190" s="139" t="e" cm="1">
        <f t="array" aca="1" ref="T190" ca="1">_xlfn.XLOOKUP(Contrato5[[#This Row],[CONTRATO]]&amp;Contrato5[[#This Row],[CDP]],[2]!Corr_Contr_CDP[[#All],[CONTRATO-CDP]],[2]!Corr_Contr_CDP[[#All],[CRP]],_xlfn.XLOOKUP(Contrato5[[#This Row],[CDP]],[2]!COMPROMISOS_2024[[#All],[disponibilidad]],[2]!COMPROMISOS_2024[[#All],[consecutivo]],"",0),0)</f>
        <v>#NAME?</v>
      </c>
      <c r="U190" s="140" t="e" cm="1">
        <f t="array" aca="1" ref="U190" ca="1">+_xlfn.XLOOKUP(Contrato5[[#This Row],[RCP]],[2]!COMPROMISOS_2024[[#All],[consecutivo]],[2]!COMPROMISOS_2024[[#All],[fecha_aprobacion]],"",0)</f>
        <v>#NAME?</v>
      </c>
      <c r="V190" s="141" t="e">
        <f ca="1">SUMIF([2]!COMPROMISOS_2024[[#All],[consecutivo]],Contrato5[[#This Row],[RCP]],[2]!COMPROMISOS_2024[[#All],[valor_total]])</f>
        <v>#REF!</v>
      </c>
      <c r="W190" s="415">
        <v>45337</v>
      </c>
      <c r="X190" s="415">
        <v>45338</v>
      </c>
      <c r="Y190" s="143">
        <v>45338</v>
      </c>
      <c r="Z190" s="262">
        <v>45519</v>
      </c>
      <c r="AA190" s="171" t="s">
        <v>651</v>
      </c>
      <c r="AB190" s="161" t="s">
        <v>640</v>
      </c>
      <c r="AC190" s="161"/>
      <c r="AD190" s="211">
        <v>202000003793</v>
      </c>
      <c r="AE190" s="147" t="s">
        <v>523</v>
      </c>
      <c r="AF190" s="148" t="str">
        <f>TEXT(LEFT(Contrato5[[#This Row],[CONTRATO]],3),"0")</f>
        <v>163</v>
      </c>
      <c r="AG190" s="148" t="str">
        <f>IF(LEN(Contrato5[[#This Row],[Contrato2]])=3,Contrato5[[#This Row],[Contrato2]],TEXT(Contrato5[[#This Row],[Contrato2]],"000"))</f>
        <v>163</v>
      </c>
      <c r="AH190" s="149">
        <f ca="1">IFERROR(_xlfn.DAYS(Contrato5[[#This Row],[Fecha Proyectada liquidación]],TODAY())/30,"")</f>
        <v>-3.9666666666666668</v>
      </c>
      <c r="AI190" s="150">
        <f>+Contrato5[[#This Row],[FECHA TERMINACIÓN ]]+120</f>
        <v>45639</v>
      </c>
      <c r="AJ190" s="147"/>
      <c r="AK190" s="152" t="str">
        <f ca="1">IF(Contrato5[[#This Row],[FECHA TERMINACIÓN ]]&lt;TODAY(), "Terminado",IF(ISNUMBER(Contrato5[[#This Row],[Fecha Real de liquiidación ]]),"Liquidado",IF(Contrato5[[#This Row],[FECHA TERMINACIÓN ]]&gt;=TODAY(),"En ejecución","")))</f>
        <v>Terminado</v>
      </c>
      <c r="AL190" s="153" t="e">
        <f ca="1">SUMIF([2]!COMPROMISOS_2024[[#All],[consecutivo]],Contrato5[[#This Row],[RCP]],[2]!COMPROMISOS_2024[[#All],[Total pagado]])</f>
        <v>#REF!</v>
      </c>
      <c r="AM190" s="154">
        <f ca="1">IFERROR(Contrato5[[#This Row],[Pagos]]/Contrato5[[#This Row],[VALOR CONTRATO]],0)</f>
        <v>0</v>
      </c>
      <c r="AN190" s="198" t="e">
        <f ca="1">+Contrato5[[#This Row],[VALOR CONTRATO]]-Contrato5[[#This Row],[Pagos]]</f>
        <v>#REF!</v>
      </c>
      <c r="AO190" s="147" t="e" cm="1">
        <f t="array" aca="1" ref="AO190" ca="1">_xlfn.XLOOKUP(Contrato5[[#This Row],[DOCUMENTO ]],[2]!PERSONAL_ACTIVO_2024[[#All],[Documento identidad]],[2]!PERSONAL_ACTIVO_2024[[#All],[Mail ]],0,0)</f>
        <v>#NAME?</v>
      </c>
      <c r="AP190" s="147" t="e" cm="1">
        <f t="array" aca="1" ref="AP190" ca="1">_xlfn.XLOOKUP(Contrato5[[#This Row],[DOCUMENTO]],[2]!PERSONAL_ACTIVO_2024[[#All],[Documento identidad]],[2]!PERSONAL_ACTIVO_2024[[#All],[Mail ]],0,0)</f>
        <v>#NAME?</v>
      </c>
      <c r="AQ190" s="439" cm="1">
        <f t="array" aca="1" ref="AQ190" ca="1">IF(ISBLANK(Contrato5[[#This Row],[DEPENDENCIA ]]),0,IFERROR(_xlfn.XLOOKUP(Contrato5[[#This Row],[DEPENDENCIA ]],[2]!PERSONAL_ACTIVO_2024[[#All],[Dependencia]],[2]!PERSONAL_ACTIVO_2024[[#All],[Mail ]],0,0),0))</f>
        <v>0</v>
      </c>
    </row>
    <row r="191" spans="1:43" ht="34.5" customHeight="1">
      <c r="A191" s="125">
        <v>533</v>
      </c>
      <c r="B191" s="124">
        <v>164</v>
      </c>
      <c r="C191" s="162" t="s">
        <v>793</v>
      </c>
      <c r="D191" s="227" t="s">
        <v>493</v>
      </c>
      <c r="E191" s="128" t="s">
        <v>94</v>
      </c>
      <c r="F191" s="163" t="s">
        <v>1376</v>
      </c>
      <c r="G191" s="190" t="s">
        <v>794</v>
      </c>
      <c r="H191" s="447">
        <v>37318400</v>
      </c>
      <c r="I191" s="455">
        <v>9346824</v>
      </c>
      <c r="J191" s="456">
        <v>56080944</v>
      </c>
      <c r="K191" s="147" t="s">
        <v>42</v>
      </c>
      <c r="L191" s="438" t="s">
        <v>42</v>
      </c>
      <c r="M191" s="194" t="s">
        <v>795</v>
      </c>
      <c r="N191" s="177" t="e" cm="1">
        <f t="array" aca="1" ref="N191" ca="1">_xlfn.XLOOKUP(Contrato5[[#This Row],[SUPERVISOR TITULAR]],[2]!PERSONAL_ACTIVO_2024[[#All],[Nombre completo]],[2]!PERSONAL_ACTIVO_2024[[#All],[Documento identidad]],"",0)</f>
        <v>#NAME?</v>
      </c>
      <c r="O191" s="194" t="s">
        <v>796</v>
      </c>
      <c r="P191" s="196" t="e" cm="1">
        <f t="array" aca="1" ref="P191" ca="1">_xlfn.XLOOKUP(Contrato5[[#This Row],[SUPERVISOR SUPLENTE ]],[2]!PERSONAL_ACTIVO_2024[[#All],[Nombre completo]],[2]!PERSONAL_ACTIVO_2024[[#All],[Documento identidad]],"",0)</f>
        <v>#NAME?</v>
      </c>
      <c r="Q191" s="208">
        <v>206</v>
      </c>
      <c r="R191" s="137" t="e" cm="1">
        <f t="array" aca="1" ref="R191" ca="1">_xlfn.XLOOKUP(Contrato5[[#This Row],[CDP]],[2]!DISPONIBILIDADES_2024[[#All],[consecutivo]],[2]!DISPONIBILIDADES_2024[[#All],[fecha_aprobacion]],"",0)</f>
        <v>#NAME?</v>
      </c>
      <c r="S191" s="138" t="e">
        <f>SUMIF([2]!DISPONIBILIDADES_2024[[#All],[consecutivo]],Contrato5[[#This Row],[CDP]],[2]!DISPONIBILIDADES_2024[[#All],[valor_total_rubro]])</f>
        <v>#REF!</v>
      </c>
      <c r="T191" s="139" t="e" cm="1">
        <f t="array" aca="1" ref="T191" ca="1">_xlfn.XLOOKUP(Contrato5[[#This Row],[CONTRATO]]&amp;Contrato5[[#This Row],[CDP]],[2]!Corr_Contr_CDP[[#All],[CONTRATO-CDP]],[2]!Corr_Contr_CDP[[#All],[CRP]],_xlfn.XLOOKUP(Contrato5[[#This Row],[CDP]],[2]!COMPROMISOS_2024[[#All],[disponibilidad]],[2]!COMPROMISOS_2024[[#All],[consecutivo]],"",0),0)</f>
        <v>#NAME?</v>
      </c>
      <c r="U191" s="140" t="e" cm="1">
        <f t="array" aca="1" ref="U191" ca="1">+_xlfn.XLOOKUP(Contrato5[[#This Row],[RCP]],[2]!COMPROMISOS_2024[[#All],[consecutivo]],[2]!COMPROMISOS_2024[[#All],[fecha_aprobacion]],"",0)</f>
        <v>#NAME?</v>
      </c>
      <c r="V191" s="141" t="e">
        <f ca="1">SUMIF([2]!COMPROMISOS_2024[[#All],[consecutivo]],Contrato5[[#This Row],[RCP]],[2]!COMPROMISOS_2024[[#All],[valor_total]])</f>
        <v>#REF!</v>
      </c>
      <c r="W191" s="415">
        <v>45336</v>
      </c>
      <c r="X191" s="415">
        <v>45341</v>
      </c>
      <c r="Y191" s="143">
        <v>45341</v>
      </c>
      <c r="Z191" s="262">
        <v>45518</v>
      </c>
      <c r="AA191" s="183" t="s">
        <v>797</v>
      </c>
      <c r="AB191" s="161" t="s">
        <v>640</v>
      </c>
      <c r="AC191" s="161"/>
      <c r="AD191" s="211">
        <v>202000003797</v>
      </c>
      <c r="AE191" s="147" t="s">
        <v>523</v>
      </c>
      <c r="AF191" s="148" t="str">
        <f>TEXT(LEFT(Contrato5[[#This Row],[CONTRATO]],3),"0")</f>
        <v>164</v>
      </c>
      <c r="AG191" s="148" t="str">
        <f>IF(LEN(Contrato5[[#This Row],[Contrato2]])=3,Contrato5[[#This Row],[Contrato2]],TEXT(Contrato5[[#This Row],[Contrato2]],"000"))</f>
        <v>164</v>
      </c>
      <c r="AH191" s="149">
        <f ca="1">IFERROR(_xlfn.DAYS(Contrato5[[#This Row],[Fecha Proyectada liquidación]],TODAY())/30,"")</f>
        <v>-4</v>
      </c>
      <c r="AI191" s="150">
        <f>+Contrato5[[#This Row],[FECHA TERMINACIÓN ]]+120</f>
        <v>45638</v>
      </c>
      <c r="AJ191" s="147"/>
      <c r="AK191" s="152" t="str">
        <f ca="1">IF(Contrato5[[#This Row],[FECHA TERMINACIÓN ]]&lt;TODAY(), "Terminado",IF(ISNUMBER(Contrato5[[#This Row],[Fecha Real de liquiidación ]]),"Liquidado",IF(Contrato5[[#This Row],[FECHA TERMINACIÓN ]]&gt;=TODAY(),"En ejecución","")))</f>
        <v>Terminado</v>
      </c>
      <c r="AL191" s="153" t="e">
        <f ca="1">SUMIF([2]!COMPROMISOS_2024[[#All],[consecutivo]],Contrato5[[#This Row],[RCP]],[2]!COMPROMISOS_2024[[#All],[Total pagado]])</f>
        <v>#REF!</v>
      </c>
      <c r="AM191" s="154">
        <f ca="1">IFERROR(Contrato5[[#This Row],[Pagos]]/Contrato5[[#This Row],[VALOR CONTRATO]],0)</f>
        <v>0</v>
      </c>
      <c r="AN191" s="198" t="e">
        <f ca="1">+Contrato5[[#This Row],[VALOR CONTRATO]]-Contrato5[[#This Row],[Pagos]]</f>
        <v>#REF!</v>
      </c>
      <c r="AO191" s="147" t="e" cm="1">
        <f t="array" aca="1" ref="AO191" ca="1">_xlfn.XLOOKUP(Contrato5[[#This Row],[DOCUMENTO ]],[2]!PERSONAL_ACTIVO_2024[[#All],[Documento identidad]],[2]!PERSONAL_ACTIVO_2024[[#All],[Mail ]],0,0)</f>
        <v>#NAME?</v>
      </c>
      <c r="AP191" s="147" t="e" cm="1">
        <f t="array" aca="1" ref="AP191" ca="1">_xlfn.XLOOKUP(Contrato5[[#This Row],[DOCUMENTO]],[2]!PERSONAL_ACTIVO_2024[[#All],[Documento identidad]],[2]!PERSONAL_ACTIVO_2024[[#All],[Mail ]],0,0)</f>
        <v>#NAME?</v>
      </c>
      <c r="AQ191" s="439" cm="1">
        <f t="array" aca="1" ref="AQ191" ca="1">IF(ISBLANK(Contrato5[[#This Row],[DEPENDENCIA ]]),0,IFERROR(_xlfn.XLOOKUP(Contrato5[[#This Row],[DEPENDENCIA ]],[2]!PERSONAL_ACTIVO_2024[[#All],[Dependencia]],[2]!PERSONAL_ACTIVO_2024[[#All],[Mail ]],0,0),0))</f>
        <v>0</v>
      </c>
    </row>
    <row r="192" spans="1:43" ht="34.5" customHeight="1">
      <c r="A192" s="147"/>
      <c r="B192" s="124">
        <v>164</v>
      </c>
      <c r="C192" s="162" t="s">
        <v>793</v>
      </c>
      <c r="D192" s="227" t="s">
        <v>493</v>
      </c>
      <c r="E192" s="128" t="s">
        <v>2533</v>
      </c>
      <c r="F192" s="163" t="s">
        <v>1376</v>
      </c>
      <c r="G192" s="289" t="s">
        <v>2534</v>
      </c>
      <c r="H192" s="447">
        <v>43578164</v>
      </c>
      <c r="I192" s="273" t="s">
        <v>2468</v>
      </c>
      <c r="J192" s="437" t="s">
        <v>2468</v>
      </c>
      <c r="K192" s="147"/>
      <c r="L192" s="438"/>
      <c r="M192" s="194" t="s">
        <v>795</v>
      </c>
      <c r="N192" s="195" t="e" cm="1">
        <f t="array" aca="1" ref="N192" ca="1">_xlfn.XLOOKUP(Contrato5[[#This Row],[SUPERVISOR TITULAR]],[2]!PERSONAL_ACTIVO_2024[[#All],[Nombre completo]],[2]!PERSONAL_ACTIVO_2024[[#All],[Documento identidad]],"",0)</f>
        <v>#NAME?</v>
      </c>
      <c r="O192" s="194" t="s">
        <v>796</v>
      </c>
      <c r="P192" s="135" t="e" cm="1">
        <f t="array" aca="1" ref="P192" ca="1">_xlfn.XLOOKUP(Contrato5[[#This Row],[SUPERVISOR SUPLENTE ]],[2]!PERSONAL_ACTIVO_2024[[#All],[Nombre completo]],[2]!PERSONAL_ACTIVO_2024[[#All],[Documento identidad]],"",0)</f>
        <v>#NAME?</v>
      </c>
      <c r="Q192" s="170"/>
      <c r="R192" s="137" t="e" cm="1">
        <f t="array" aca="1" ref="R192" ca="1">_xlfn.XLOOKUP(Contrato5[[#This Row],[CDP]],[2]!DISPONIBILIDADES_2024[[#All],[consecutivo]],[2]!DISPONIBILIDADES_2024[[#All],[fecha_aprobacion]],"",0)</f>
        <v>#NAME?</v>
      </c>
      <c r="S192" s="138" t="e">
        <f>SUMIF([2]!DISPONIBILIDADES_2024[[#All],[consecutivo]],Contrato5[[#This Row],[CDP]],[2]!DISPONIBILIDADES_2024[[#All],[valor_total_rubro]])</f>
        <v>#REF!</v>
      </c>
      <c r="T192" s="139" t="e" cm="1">
        <f t="array" aca="1" ref="T192" ca="1">_xlfn.XLOOKUP(Contrato5[[#This Row],[CONTRATO]]&amp;Contrato5[[#This Row],[CDP]],[2]!Corr_Contr_CDP[[#All],[CONTRATO-CDP]],[2]!Corr_Contr_CDP[[#All],[CRP]],_xlfn.XLOOKUP(Contrato5[[#This Row],[CDP]],[2]!COMPROMISOS_2024[[#All],[disponibilidad]],[2]!COMPROMISOS_2024[[#All],[consecutivo]],"",0),0)</f>
        <v>#NAME?</v>
      </c>
      <c r="U192" s="140" t="e" cm="1">
        <f t="array" aca="1" ref="U192" ca="1">+_xlfn.XLOOKUP(Contrato5[[#This Row],[RCP]],[2]!COMPROMISOS_2024[[#All],[consecutivo]],[2]!COMPROMISOS_2024[[#All],[fecha_aprobacion]],"",0)</f>
        <v>#NAME?</v>
      </c>
      <c r="V192" s="141" t="e">
        <f ca="1">SUMIF([2]!COMPROMISOS_2024[[#All],[consecutivo]],Contrato5[[#This Row],[RCP]],[2]!COMPROMISOS_2024[[#All],[valor_total]])</f>
        <v>#REF!</v>
      </c>
      <c r="W192" s="415"/>
      <c r="X192" s="415"/>
      <c r="Y192" s="143" t="e">
        <f ca="1">+LEFT(_xlfn.XLOOKUP(Contrato5[[#This Row],[CONTRATO3DIG]],[2]SECOP_II!AE:AE,[2]SECOP_II!F:F,"",0),10)</f>
        <v>#NAME?</v>
      </c>
      <c r="Z192" s="262" t="e">
        <f ca="1">+LEFT(_xlfn.XLOOKUP(Contrato5[[#This Row],[CONTRATO3DIG]],[2]SECOP_II!AE:AE,[2]SECOP_II!G:G,"",0),10)</f>
        <v>#NAME?</v>
      </c>
      <c r="AA192" s="225"/>
      <c r="AB192" s="161"/>
      <c r="AC192" s="187"/>
      <c r="AD192" s="211"/>
      <c r="AE192" s="147"/>
      <c r="AF192" s="148" t="str">
        <f>TEXT(LEFT(Contrato5[[#This Row],[CONTRATO]],3),"0")</f>
        <v>164</v>
      </c>
      <c r="AG192" s="148" t="str">
        <f>IF(LEN(Contrato5[[#This Row],[Contrato2]])=3,Contrato5[[#This Row],[Contrato2]],TEXT(Contrato5[[#This Row],[Contrato2]],"000"))</f>
        <v>164</v>
      </c>
      <c r="AH192" s="149" t="str">
        <f ca="1">IFERROR(_xlfn.DAYS(Contrato5[[#This Row],[Fecha Proyectada liquidación]],TODAY())/30,"")</f>
        <v/>
      </c>
      <c r="AI192" s="150" t="e">
        <f ca="1">+Contrato5[[#This Row],[FECHA TERMINACIÓN ]]+120</f>
        <v>#NAME?</v>
      </c>
      <c r="AJ192" s="147"/>
      <c r="AK192" s="152" t="e">
        <f ca="1">IF(Contrato5[[#This Row],[FECHA TERMINACIÓN ]]&lt;TODAY(), "Terminado",IF(ISNUMBER(Contrato5[[#This Row],[Fecha Real de liquiidación ]]),"Liquidado",IF(Contrato5[[#This Row],[FECHA TERMINACIÓN ]]&gt;=TODAY(),"En ejecución","")))</f>
        <v>#NAME?</v>
      </c>
      <c r="AL192" s="153" t="e">
        <f ca="1">SUMIF([2]!COMPROMISOS_2024[[#All],[consecutivo]],Contrato5[[#This Row],[RCP]],[2]!COMPROMISOS_2024[[#All],[Total pagado]])</f>
        <v>#REF!</v>
      </c>
      <c r="AM192" s="154">
        <f ca="1">IFERROR(Contrato5[[#This Row],[Pagos]]/Contrato5[[#This Row],[VALOR CONTRATO]],0)</f>
        <v>0</v>
      </c>
      <c r="AN192" s="198" t="e">
        <f ca="1">+Contrato5[[#This Row],[VALOR CONTRATO]]-Contrato5[[#This Row],[Pagos]]</f>
        <v>#VALUE!</v>
      </c>
      <c r="AO192" s="147" t="e" cm="1">
        <f t="array" aca="1" ref="AO192" ca="1">_xlfn.XLOOKUP(Contrato5[[#This Row],[DOCUMENTO ]],[2]!PERSONAL_ACTIVO_2024[[#All],[Documento identidad]],[2]!PERSONAL_ACTIVO_2024[[#All],[Mail ]],0,0)</f>
        <v>#NAME?</v>
      </c>
      <c r="AP192" s="147" t="e" cm="1">
        <f t="array" aca="1" ref="AP192" ca="1">_xlfn.XLOOKUP(Contrato5[[#This Row],[DOCUMENTO]],[2]!PERSONAL_ACTIVO_2024[[#All],[Documento identidad]],[2]!PERSONAL_ACTIVO_2024[[#All],[Mail ]],0,0)</f>
        <v>#NAME?</v>
      </c>
      <c r="AQ192" s="439" cm="1">
        <f t="array" aca="1" ref="AQ192" ca="1">IF(ISBLANK(Contrato5[[#This Row],[DEPENDENCIA ]]),0,IFERROR(_xlfn.XLOOKUP(Contrato5[[#This Row],[DEPENDENCIA ]],[2]!PERSONAL_ACTIVO_2024[[#All],[Dependencia]],[2]!PERSONAL_ACTIVO_2024[[#All],[Mail ]],0,0),0))</f>
        <v>0</v>
      </c>
    </row>
    <row r="193" spans="1:43" ht="34.5" customHeight="1">
      <c r="A193" s="125">
        <v>528</v>
      </c>
      <c r="B193" s="124">
        <v>165</v>
      </c>
      <c r="C193" s="162" t="s">
        <v>2535</v>
      </c>
      <c r="D193" s="227" t="s">
        <v>493</v>
      </c>
      <c r="E193" s="128" t="s">
        <v>94</v>
      </c>
      <c r="F193" s="163" t="s">
        <v>1376</v>
      </c>
      <c r="G193" s="190" t="s">
        <v>798</v>
      </c>
      <c r="H193" s="447">
        <v>1017141155</v>
      </c>
      <c r="I193" s="455">
        <v>3986061</v>
      </c>
      <c r="J193" s="456">
        <v>23916366</v>
      </c>
      <c r="K193" s="166" t="s">
        <v>42</v>
      </c>
      <c r="L193" s="438" t="s">
        <v>42</v>
      </c>
      <c r="M193" s="194" t="s">
        <v>502</v>
      </c>
      <c r="N193" s="177" t="e" cm="1">
        <f t="array" aca="1" ref="N193" ca="1">_xlfn.XLOOKUP(Contrato5[[#This Row],[SUPERVISOR TITULAR]],[2]!PERSONAL_ACTIVO_2024[[#All],[Nombre completo]],[2]!PERSONAL_ACTIVO_2024[[#All],[Documento identidad]],"",0)</f>
        <v>#NAME?</v>
      </c>
      <c r="O193" s="194" t="s">
        <v>2536</v>
      </c>
      <c r="P193" s="196" t="e" cm="1">
        <f t="array" aca="1" ref="P193" ca="1">_xlfn.XLOOKUP(Contrato5[[#This Row],[SUPERVISOR SUPLENTE ]],[2]!PERSONAL_ACTIVO_2024[[#All],[Nombre completo]],[2]!PERSONAL_ACTIVO_2024[[#All],[Documento identidad]],"",0)</f>
        <v>#NAME?</v>
      </c>
      <c r="Q193" s="208">
        <v>203</v>
      </c>
      <c r="R193" s="137" t="e" cm="1">
        <f t="array" aca="1" ref="R193" ca="1">_xlfn.XLOOKUP(Contrato5[[#This Row],[CDP]],[2]!DISPONIBILIDADES_2024[[#All],[consecutivo]],[2]!DISPONIBILIDADES_2024[[#All],[fecha_aprobacion]],"",0)</f>
        <v>#NAME?</v>
      </c>
      <c r="S193" s="138" t="e">
        <f>SUMIF([2]!DISPONIBILIDADES_2024[[#All],[consecutivo]],Contrato5[[#This Row],[CDP]],[2]!DISPONIBILIDADES_2024[[#All],[valor_total_rubro]])</f>
        <v>#REF!</v>
      </c>
      <c r="T193" s="139" t="e" cm="1">
        <f t="array" aca="1" ref="T193" ca="1">_xlfn.XLOOKUP(Contrato5[[#This Row],[CONTRATO]]&amp;Contrato5[[#This Row],[CDP]],[2]!Corr_Contr_CDP[[#All],[CONTRATO-CDP]],[2]!Corr_Contr_CDP[[#All],[CRP]],_xlfn.XLOOKUP(Contrato5[[#This Row],[CDP]],[2]!COMPROMISOS_2024[[#All],[disponibilidad]],[2]!COMPROMISOS_2024[[#All],[consecutivo]],"",0),0)</f>
        <v>#NAME?</v>
      </c>
      <c r="U193" s="140" t="e" cm="1">
        <f t="array" aca="1" ref="U193" ca="1">+_xlfn.XLOOKUP(Contrato5[[#This Row],[RCP]],[2]!COMPROMISOS_2024[[#All],[consecutivo]],[2]!COMPROMISOS_2024[[#All],[fecha_aprobacion]],"",0)</f>
        <v>#NAME?</v>
      </c>
      <c r="V193" s="141" t="e">
        <f ca="1">SUMIF([2]!COMPROMISOS_2024[[#All],[consecutivo]],Contrato5[[#This Row],[RCP]],[2]!COMPROMISOS_2024[[#All],[valor_total]])</f>
        <v>#REF!</v>
      </c>
      <c r="W193" s="415">
        <v>45338</v>
      </c>
      <c r="X193" s="415">
        <v>45338</v>
      </c>
      <c r="Y193" s="143">
        <v>45341</v>
      </c>
      <c r="Z193" s="262">
        <v>45522</v>
      </c>
      <c r="AA193" s="183" t="s">
        <v>800</v>
      </c>
      <c r="AB193" s="161" t="s">
        <v>640</v>
      </c>
      <c r="AC193" s="161"/>
      <c r="AD193" s="211">
        <v>202000003800</v>
      </c>
      <c r="AE193" s="147" t="s">
        <v>523</v>
      </c>
      <c r="AF193" s="148" t="str">
        <f>TEXT(LEFT(Contrato5[[#This Row],[CONTRATO]],3),"0")</f>
        <v>165</v>
      </c>
      <c r="AG193" s="148" t="str">
        <f>IF(LEN(Contrato5[[#This Row],[Contrato2]])=3,Contrato5[[#This Row],[Contrato2]],TEXT(Contrato5[[#This Row],[Contrato2]],"000"))</f>
        <v>165</v>
      </c>
      <c r="AH193" s="149">
        <f ca="1">IFERROR(_xlfn.DAYS(Contrato5[[#This Row],[Fecha Proyectada liquidación]],TODAY())/30,"")</f>
        <v>-3.8666666666666667</v>
      </c>
      <c r="AI193" s="150">
        <f>+Contrato5[[#This Row],[FECHA TERMINACIÓN ]]+120</f>
        <v>45642</v>
      </c>
      <c r="AJ193" s="147"/>
      <c r="AK193" s="152" t="str">
        <f ca="1">IF(Contrato5[[#This Row],[FECHA TERMINACIÓN ]]&lt;TODAY(), "Terminado",IF(ISNUMBER(Contrato5[[#This Row],[Fecha Real de liquiidación ]]),"Liquidado",IF(Contrato5[[#This Row],[FECHA TERMINACIÓN ]]&gt;=TODAY(),"En ejecución","")))</f>
        <v>Terminado</v>
      </c>
      <c r="AL193" s="153" t="e">
        <f ca="1">SUMIF([2]!COMPROMISOS_2024[[#All],[consecutivo]],Contrato5[[#This Row],[RCP]],[2]!COMPROMISOS_2024[[#All],[Total pagado]])</f>
        <v>#REF!</v>
      </c>
      <c r="AM193" s="154">
        <f ca="1">IFERROR(Contrato5[[#This Row],[Pagos]]/Contrato5[[#This Row],[VALOR CONTRATO]],0)</f>
        <v>0</v>
      </c>
      <c r="AN193" s="198" t="e">
        <f ca="1">+Contrato5[[#This Row],[VALOR CONTRATO]]-Contrato5[[#This Row],[Pagos]]</f>
        <v>#REF!</v>
      </c>
      <c r="AO193" s="147" t="e" cm="1">
        <f t="array" aca="1" ref="AO193" ca="1">_xlfn.XLOOKUP(Contrato5[[#This Row],[DOCUMENTO ]],[2]!PERSONAL_ACTIVO_2024[[#All],[Documento identidad]],[2]!PERSONAL_ACTIVO_2024[[#All],[Mail ]],0,0)</f>
        <v>#NAME?</v>
      </c>
      <c r="AP193" s="147" t="e" cm="1">
        <f t="array" aca="1" ref="AP193" ca="1">_xlfn.XLOOKUP(Contrato5[[#This Row],[DOCUMENTO]],[2]!PERSONAL_ACTIVO_2024[[#All],[Documento identidad]],[2]!PERSONAL_ACTIVO_2024[[#All],[Mail ]],0,0)</f>
        <v>#NAME?</v>
      </c>
      <c r="AQ193" s="439" cm="1">
        <f t="array" aca="1" ref="AQ193" ca="1">IF(ISBLANK(Contrato5[[#This Row],[DEPENDENCIA ]]),0,IFERROR(_xlfn.XLOOKUP(Contrato5[[#This Row],[DEPENDENCIA ]],[2]!PERSONAL_ACTIVO_2024[[#All],[Dependencia]],[2]!PERSONAL_ACTIVO_2024[[#All],[Mail ]],0,0),0))</f>
        <v>0</v>
      </c>
    </row>
    <row r="194" spans="1:43" ht="34.5" customHeight="1">
      <c r="A194" s="147"/>
      <c r="B194" s="124">
        <v>165</v>
      </c>
      <c r="C194" s="162" t="s">
        <v>2535</v>
      </c>
      <c r="D194" s="227" t="s">
        <v>493</v>
      </c>
      <c r="E194" s="128" t="s">
        <v>2533</v>
      </c>
      <c r="F194" s="163" t="s">
        <v>1376</v>
      </c>
      <c r="G194" s="289" t="s">
        <v>2537</v>
      </c>
      <c r="H194" s="447">
        <v>15439600</v>
      </c>
      <c r="I194" s="273" t="s">
        <v>2468</v>
      </c>
      <c r="J194" s="437" t="s">
        <v>2468</v>
      </c>
      <c r="K194" s="166"/>
      <c r="L194" s="438"/>
      <c r="M194" s="194" t="s">
        <v>502</v>
      </c>
      <c r="N194" s="195" t="e" cm="1">
        <f t="array" aca="1" ref="N194" ca="1">_xlfn.XLOOKUP(Contrato5[[#This Row],[SUPERVISOR TITULAR]],[2]!PERSONAL_ACTIVO_2024[[#All],[Nombre completo]],[2]!PERSONAL_ACTIVO_2024[[#All],[Documento identidad]],"",0)</f>
        <v>#NAME?</v>
      </c>
      <c r="O194" s="194"/>
      <c r="P194" s="135" t="e" cm="1">
        <f t="array" aca="1" ref="P194" ca="1">_xlfn.XLOOKUP(Contrato5[[#This Row],[SUPERVISOR SUPLENTE ]],[2]!PERSONAL_ACTIVO_2024[[#All],[Nombre completo]],[2]!PERSONAL_ACTIVO_2024[[#All],[Documento identidad]],"",0)</f>
        <v>#NAME?</v>
      </c>
      <c r="Q194" s="170"/>
      <c r="R194" s="137" t="e" cm="1">
        <f t="array" aca="1" ref="R194" ca="1">_xlfn.XLOOKUP(Contrato5[[#This Row],[CDP]],[2]!DISPONIBILIDADES_2024[[#All],[consecutivo]],[2]!DISPONIBILIDADES_2024[[#All],[fecha_aprobacion]],"",0)</f>
        <v>#NAME?</v>
      </c>
      <c r="S194" s="138" t="e">
        <f>SUMIF([2]!DISPONIBILIDADES_2024[[#All],[consecutivo]],Contrato5[[#This Row],[CDP]],[2]!DISPONIBILIDADES_2024[[#All],[valor_total_rubro]])</f>
        <v>#REF!</v>
      </c>
      <c r="T194" s="139" t="e" cm="1">
        <f t="array" aca="1" ref="T194" ca="1">_xlfn.XLOOKUP(Contrato5[[#This Row],[CONTRATO]]&amp;Contrato5[[#This Row],[CDP]],[2]!Corr_Contr_CDP[[#All],[CONTRATO-CDP]],[2]!Corr_Contr_CDP[[#All],[CRP]],_xlfn.XLOOKUP(Contrato5[[#This Row],[CDP]],[2]!COMPROMISOS_2024[[#All],[disponibilidad]],[2]!COMPROMISOS_2024[[#All],[consecutivo]],"",0),0)</f>
        <v>#NAME?</v>
      </c>
      <c r="U194" s="140" t="e" cm="1">
        <f t="array" aca="1" ref="U194" ca="1">+_xlfn.XLOOKUP(Contrato5[[#This Row],[RCP]],[2]!COMPROMISOS_2024[[#All],[consecutivo]],[2]!COMPROMISOS_2024[[#All],[fecha_aprobacion]],"",0)</f>
        <v>#NAME?</v>
      </c>
      <c r="V194" s="141" t="e">
        <f ca="1">SUMIF([2]!COMPROMISOS_2024[[#All],[consecutivo]],Contrato5[[#This Row],[RCP]],[2]!COMPROMISOS_2024[[#All],[valor_total]])</f>
        <v>#REF!</v>
      </c>
      <c r="W194" s="415"/>
      <c r="X194" s="415"/>
      <c r="Y194" s="143" t="e">
        <f ca="1">+LEFT(_xlfn.XLOOKUP(Contrato5[[#This Row],[CONTRATO3DIG]],[2]SECOP_II!AE:AE,[2]SECOP_II!F:F,"",0),10)</f>
        <v>#NAME?</v>
      </c>
      <c r="Z194" s="262" t="e">
        <f ca="1">+LEFT(_xlfn.XLOOKUP(Contrato5[[#This Row],[CONTRATO3DIG]],[2]SECOP_II!AE:AE,[2]SECOP_II!G:G,"",0),10)</f>
        <v>#NAME?</v>
      </c>
      <c r="AA194" s="225"/>
      <c r="AB194" s="161"/>
      <c r="AC194" s="187"/>
      <c r="AD194" s="211"/>
      <c r="AE194" s="147"/>
      <c r="AF194" s="148" t="str">
        <f>TEXT(LEFT(Contrato5[[#This Row],[CONTRATO]],3),"0")</f>
        <v>165</v>
      </c>
      <c r="AG194" s="148" t="str">
        <f>IF(LEN(Contrato5[[#This Row],[Contrato2]])=3,Contrato5[[#This Row],[Contrato2]],TEXT(Contrato5[[#This Row],[Contrato2]],"000"))</f>
        <v>165</v>
      </c>
      <c r="AH194" s="149" t="str">
        <f ca="1">IFERROR(_xlfn.DAYS(Contrato5[[#This Row],[Fecha Proyectada liquidación]],TODAY())/30,"")</f>
        <v/>
      </c>
      <c r="AI194" s="150" t="e">
        <f ca="1">+Contrato5[[#This Row],[FECHA TERMINACIÓN ]]+120</f>
        <v>#NAME?</v>
      </c>
      <c r="AJ194" s="147"/>
      <c r="AK194" s="152" t="e">
        <f ca="1">IF(Contrato5[[#This Row],[FECHA TERMINACIÓN ]]&lt;TODAY(), "Terminado",IF(ISNUMBER(Contrato5[[#This Row],[Fecha Real de liquiidación ]]),"Liquidado",IF(Contrato5[[#This Row],[FECHA TERMINACIÓN ]]&gt;=TODAY(),"En ejecución","")))</f>
        <v>#NAME?</v>
      </c>
      <c r="AL194" s="153" t="e">
        <f ca="1">SUMIF([2]!COMPROMISOS_2024[[#All],[consecutivo]],Contrato5[[#This Row],[RCP]],[2]!COMPROMISOS_2024[[#All],[Total pagado]])</f>
        <v>#REF!</v>
      </c>
      <c r="AM194" s="154">
        <f ca="1">IFERROR(Contrato5[[#This Row],[Pagos]]/Contrato5[[#This Row],[VALOR CONTRATO]],0)</f>
        <v>0</v>
      </c>
      <c r="AN194" s="198" t="e">
        <f ca="1">+Contrato5[[#This Row],[VALOR CONTRATO]]-Contrato5[[#This Row],[Pagos]]</f>
        <v>#VALUE!</v>
      </c>
      <c r="AO194" s="147" t="e" cm="1">
        <f t="array" aca="1" ref="AO194" ca="1">_xlfn.XLOOKUP(Contrato5[[#This Row],[DOCUMENTO ]],[2]!PERSONAL_ACTIVO_2024[[#All],[Documento identidad]],[2]!PERSONAL_ACTIVO_2024[[#All],[Mail ]],0,0)</f>
        <v>#NAME?</v>
      </c>
      <c r="AP194" s="147" t="e" cm="1">
        <f t="array" aca="1" ref="AP194" ca="1">_xlfn.XLOOKUP(Contrato5[[#This Row],[DOCUMENTO]],[2]!PERSONAL_ACTIVO_2024[[#All],[Documento identidad]],[2]!PERSONAL_ACTIVO_2024[[#All],[Mail ]],0,0)</f>
        <v>#NAME?</v>
      </c>
      <c r="AQ194" s="439" cm="1">
        <f t="array" aca="1" ref="AQ194" ca="1">IF(ISBLANK(Contrato5[[#This Row],[DEPENDENCIA ]]),0,IFERROR(_xlfn.XLOOKUP(Contrato5[[#This Row],[DEPENDENCIA ]],[2]!PERSONAL_ACTIVO_2024[[#All],[Dependencia]],[2]!PERSONAL_ACTIVO_2024[[#All],[Mail ]],0,0),0))</f>
        <v>0</v>
      </c>
    </row>
    <row r="195" spans="1:43" ht="34.5" customHeight="1">
      <c r="A195" s="125">
        <v>62</v>
      </c>
      <c r="B195" s="124">
        <v>166</v>
      </c>
      <c r="C195" s="162" t="s">
        <v>2538</v>
      </c>
      <c r="D195" s="227" t="s">
        <v>602</v>
      </c>
      <c r="E195" s="128" t="s">
        <v>94</v>
      </c>
      <c r="F195" s="163" t="s">
        <v>1376</v>
      </c>
      <c r="G195" s="190" t="s">
        <v>801</v>
      </c>
      <c r="H195" s="447">
        <v>1036949550</v>
      </c>
      <c r="I195" s="455">
        <v>6879081</v>
      </c>
      <c r="J195" s="456">
        <v>41274486</v>
      </c>
      <c r="K195" s="147" t="s">
        <v>42</v>
      </c>
      <c r="L195" s="438" t="s">
        <v>42</v>
      </c>
      <c r="M195" s="194" t="s">
        <v>605</v>
      </c>
      <c r="N195" s="177" t="e" cm="1">
        <f t="array" aca="1" ref="N195" ca="1">_xlfn.XLOOKUP(Contrato5[[#This Row],[SUPERVISOR TITULAR]],[2]!PERSONAL_ACTIVO_2024[[#All],[Nombre completo]],[2]!PERSONAL_ACTIVO_2024[[#All],[Documento identidad]],"",0)</f>
        <v>#NAME?</v>
      </c>
      <c r="O195" s="194" t="s">
        <v>604</v>
      </c>
      <c r="P195" s="196" t="e" cm="1">
        <f t="array" aca="1" ref="P195" ca="1">_xlfn.XLOOKUP(Contrato5[[#This Row],[SUPERVISOR SUPLENTE ]],[2]!PERSONAL_ACTIVO_2024[[#All],[Nombre completo]],[2]!PERSONAL_ACTIVO_2024[[#All],[Documento identidad]],"",0)</f>
        <v>#NAME?</v>
      </c>
      <c r="Q195" s="208">
        <v>211</v>
      </c>
      <c r="R195" s="137" t="e" cm="1">
        <f t="array" aca="1" ref="R195" ca="1">_xlfn.XLOOKUP(Contrato5[[#This Row],[CDP]],[2]!DISPONIBILIDADES_2024[[#All],[consecutivo]],[2]!DISPONIBILIDADES_2024[[#All],[fecha_aprobacion]],"",0)</f>
        <v>#NAME?</v>
      </c>
      <c r="S195" s="138" t="e">
        <f>SUMIF([2]!DISPONIBILIDADES_2024[[#All],[consecutivo]],Contrato5[[#This Row],[CDP]],[2]!DISPONIBILIDADES_2024[[#All],[valor_total_rubro]])</f>
        <v>#REF!</v>
      </c>
      <c r="T195" s="139" t="e" cm="1">
        <f t="array" aca="1" ref="T195" ca="1">_xlfn.XLOOKUP(Contrato5[[#This Row],[CONTRATO]]&amp;Contrato5[[#This Row],[CDP]],[2]!Corr_Contr_CDP[[#All],[CONTRATO-CDP]],[2]!Corr_Contr_CDP[[#All],[CRP]],_xlfn.XLOOKUP(Contrato5[[#This Row],[CDP]],[2]!COMPROMISOS_2024[[#All],[disponibilidad]],[2]!COMPROMISOS_2024[[#All],[consecutivo]],"",0),0)</f>
        <v>#NAME?</v>
      </c>
      <c r="U195" s="140" t="e" cm="1">
        <f t="array" aca="1" ref="U195" ca="1">+_xlfn.XLOOKUP(Contrato5[[#This Row],[RCP]],[2]!COMPROMISOS_2024[[#All],[consecutivo]],[2]!COMPROMISOS_2024[[#All],[fecha_aprobacion]],"",0)</f>
        <v>#NAME?</v>
      </c>
      <c r="V195" s="141" t="e">
        <f ca="1">SUMIF([2]!COMPROMISOS_2024[[#All],[consecutivo]],Contrato5[[#This Row],[RCP]],[2]!COMPROMISOS_2024[[#All],[valor_total]])</f>
        <v>#REF!</v>
      </c>
      <c r="W195" s="415">
        <v>45336</v>
      </c>
      <c r="X195" s="415">
        <v>45336</v>
      </c>
      <c r="Y195" s="143">
        <v>45337</v>
      </c>
      <c r="Z195" s="262">
        <v>45518</v>
      </c>
      <c r="AA195" s="183" t="s">
        <v>802</v>
      </c>
      <c r="AB195" s="161" t="s">
        <v>640</v>
      </c>
      <c r="AC195" s="161"/>
      <c r="AD195" s="211">
        <v>202000003803</v>
      </c>
      <c r="AE195" s="147" t="s">
        <v>523</v>
      </c>
      <c r="AF195" s="148" t="str">
        <f>TEXT(LEFT(Contrato5[[#This Row],[CONTRATO]],3),"0")</f>
        <v>166</v>
      </c>
      <c r="AG195" s="148" t="str">
        <f>IF(LEN(Contrato5[[#This Row],[Contrato2]])=3,Contrato5[[#This Row],[Contrato2]],TEXT(Contrato5[[#This Row],[Contrato2]],"000"))</f>
        <v>166</v>
      </c>
      <c r="AH195" s="149">
        <f ca="1">IFERROR(_xlfn.DAYS(Contrato5[[#This Row],[Fecha Proyectada liquidación]],TODAY())/30,"")</f>
        <v>-4</v>
      </c>
      <c r="AI195" s="150">
        <f>+Contrato5[[#This Row],[FECHA TERMINACIÓN ]]+120</f>
        <v>45638</v>
      </c>
      <c r="AJ195" s="147"/>
      <c r="AK195" s="152" t="str">
        <f ca="1">IF(Contrato5[[#This Row],[FECHA TERMINACIÓN ]]&lt;TODAY(), "Terminado",IF(ISNUMBER(Contrato5[[#This Row],[Fecha Real de liquiidación ]]),"Liquidado",IF(Contrato5[[#This Row],[FECHA TERMINACIÓN ]]&gt;=TODAY(),"En ejecución","")))</f>
        <v>Terminado</v>
      </c>
      <c r="AL195" s="153" t="e">
        <f ca="1">SUMIF([2]!COMPROMISOS_2024[[#All],[consecutivo]],Contrato5[[#This Row],[RCP]],[2]!COMPROMISOS_2024[[#All],[Total pagado]])</f>
        <v>#REF!</v>
      </c>
      <c r="AM195" s="154">
        <f ca="1">IFERROR(Contrato5[[#This Row],[Pagos]]/Contrato5[[#This Row],[VALOR CONTRATO]],0)</f>
        <v>0</v>
      </c>
      <c r="AN195" s="198" t="e">
        <f ca="1">+Contrato5[[#This Row],[VALOR CONTRATO]]-Contrato5[[#This Row],[Pagos]]</f>
        <v>#REF!</v>
      </c>
      <c r="AO195" s="147" t="e" cm="1">
        <f t="array" aca="1" ref="AO195" ca="1">_xlfn.XLOOKUP(Contrato5[[#This Row],[DOCUMENTO ]],[2]!PERSONAL_ACTIVO_2024[[#All],[Documento identidad]],[2]!PERSONAL_ACTIVO_2024[[#All],[Mail ]],0,0)</f>
        <v>#NAME?</v>
      </c>
      <c r="AP195" s="147" t="e" cm="1">
        <f t="array" aca="1" ref="AP195" ca="1">_xlfn.XLOOKUP(Contrato5[[#This Row],[DOCUMENTO]],[2]!PERSONAL_ACTIVO_2024[[#All],[Documento identidad]],[2]!PERSONAL_ACTIVO_2024[[#All],[Mail ]],0,0)</f>
        <v>#NAME?</v>
      </c>
      <c r="AQ195" s="439" cm="1">
        <f t="array" aca="1" ref="AQ195" ca="1">IF(ISBLANK(Contrato5[[#This Row],[DEPENDENCIA ]]),0,IFERROR(_xlfn.XLOOKUP(Contrato5[[#This Row],[DEPENDENCIA ]],[2]!PERSONAL_ACTIVO_2024[[#All],[Dependencia]],[2]!PERSONAL_ACTIVO_2024[[#All],[Mail ]],0,0),0))</f>
        <v>0</v>
      </c>
    </row>
    <row r="196" spans="1:43" ht="34.5" customHeight="1">
      <c r="A196" s="125">
        <v>347</v>
      </c>
      <c r="B196" s="124">
        <v>167</v>
      </c>
      <c r="C196" s="162" t="s">
        <v>803</v>
      </c>
      <c r="D196" s="227" t="s">
        <v>510</v>
      </c>
      <c r="E196" s="128" t="s">
        <v>94</v>
      </c>
      <c r="F196" s="163" t="s">
        <v>1376</v>
      </c>
      <c r="G196" s="190" t="s">
        <v>804</v>
      </c>
      <c r="H196" s="447">
        <v>1152221162</v>
      </c>
      <c r="I196" s="455">
        <v>6879081</v>
      </c>
      <c r="J196" s="456">
        <v>41274486</v>
      </c>
      <c r="K196" s="147" t="s">
        <v>42</v>
      </c>
      <c r="L196" s="438" t="s">
        <v>42</v>
      </c>
      <c r="M196" s="194" t="s">
        <v>597</v>
      </c>
      <c r="N196" s="177" t="e" cm="1">
        <f t="array" aca="1" ref="N196" ca="1">_xlfn.XLOOKUP(Contrato5[[#This Row],[SUPERVISOR TITULAR]],[2]!PERSONAL_ACTIVO_2024[[#All],[Nombre completo]],[2]!PERSONAL_ACTIVO_2024[[#All],[Documento identidad]],"",0)</f>
        <v>#NAME?</v>
      </c>
      <c r="O196" s="194" t="s">
        <v>514</v>
      </c>
      <c r="P196" s="196" t="e" cm="1">
        <f t="array" aca="1" ref="P196" ca="1">_xlfn.XLOOKUP(Contrato5[[#This Row],[SUPERVISOR SUPLENTE ]],[2]!PERSONAL_ACTIVO_2024[[#All],[Nombre completo]],[2]!PERSONAL_ACTIVO_2024[[#All],[Documento identidad]],"",0)</f>
        <v>#NAME?</v>
      </c>
      <c r="Q196" s="208">
        <v>224</v>
      </c>
      <c r="R196" s="137" t="e" cm="1">
        <f t="array" aca="1" ref="R196" ca="1">_xlfn.XLOOKUP(Contrato5[[#This Row],[CDP]],[2]!DISPONIBILIDADES_2024[[#All],[consecutivo]],[2]!DISPONIBILIDADES_2024[[#All],[fecha_aprobacion]],"",0)</f>
        <v>#NAME?</v>
      </c>
      <c r="S196" s="138" t="e">
        <f>SUMIF([2]!DISPONIBILIDADES_2024[[#All],[consecutivo]],Contrato5[[#This Row],[CDP]],[2]!DISPONIBILIDADES_2024[[#All],[valor_total_rubro]])</f>
        <v>#REF!</v>
      </c>
      <c r="T196" s="139" t="e" cm="1">
        <f t="array" aca="1" ref="T196" ca="1">_xlfn.XLOOKUP(Contrato5[[#This Row],[CONTRATO]]&amp;Contrato5[[#This Row],[CDP]],[2]!Corr_Contr_CDP[[#All],[CONTRATO-CDP]],[2]!Corr_Contr_CDP[[#All],[CRP]],_xlfn.XLOOKUP(Contrato5[[#This Row],[CDP]],[2]!COMPROMISOS_2024[[#All],[disponibilidad]],[2]!COMPROMISOS_2024[[#All],[consecutivo]],"",0),0)</f>
        <v>#NAME?</v>
      </c>
      <c r="U196" s="140" t="e" cm="1">
        <f t="array" aca="1" ref="U196" ca="1">+_xlfn.XLOOKUP(Contrato5[[#This Row],[RCP]],[2]!COMPROMISOS_2024[[#All],[consecutivo]],[2]!COMPROMISOS_2024[[#All],[fecha_aprobacion]],"",0)</f>
        <v>#NAME?</v>
      </c>
      <c r="V196" s="141" t="e">
        <f ca="1">SUMIF([2]!COMPROMISOS_2024[[#All],[consecutivo]],Contrato5[[#This Row],[RCP]],[2]!COMPROMISOS_2024[[#All],[valor_total]])</f>
        <v>#REF!</v>
      </c>
      <c r="W196" s="415">
        <v>45343</v>
      </c>
      <c r="X196" s="415">
        <v>45343</v>
      </c>
      <c r="Y196" s="143">
        <v>45344</v>
      </c>
      <c r="Z196" s="262">
        <v>45524</v>
      </c>
      <c r="AA196" s="193" t="s">
        <v>805</v>
      </c>
      <c r="AB196" s="161" t="s">
        <v>640</v>
      </c>
      <c r="AC196" s="161"/>
      <c r="AD196" s="211">
        <v>202000003810</v>
      </c>
      <c r="AE196" s="147" t="s">
        <v>523</v>
      </c>
      <c r="AF196" s="148" t="str">
        <f>TEXT(LEFT(Contrato5[[#This Row],[CONTRATO]],3),"0")</f>
        <v>167</v>
      </c>
      <c r="AG196" s="148" t="str">
        <f>IF(LEN(Contrato5[[#This Row],[Contrato2]])=3,Contrato5[[#This Row],[Contrato2]],TEXT(Contrato5[[#This Row],[Contrato2]],"000"))</f>
        <v>167</v>
      </c>
      <c r="AH196" s="149">
        <f ca="1">IFERROR(_xlfn.DAYS(Contrato5[[#This Row],[Fecha Proyectada liquidación]],TODAY())/30,"")</f>
        <v>-3.8</v>
      </c>
      <c r="AI196" s="150">
        <f>+Contrato5[[#This Row],[FECHA TERMINACIÓN ]]+120</f>
        <v>45644</v>
      </c>
      <c r="AJ196" s="147"/>
      <c r="AK196" s="152" t="str">
        <f ca="1">IF(Contrato5[[#This Row],[FECHA TERMINACIÓN ]]&lt;TODAY(), "Terminado",IF(ISNUMBER(Contrato5[[#This Row],[Fecha Real de liquiidación ]]),"Liquidado",IF(Contrato5[[#This Row],[FECHA TERMINACIÓN ]]&gt;=TODAY(),"En ejecución","")))</f>
        <v>Terminado</v>
      </c>
      <c r="AL196" s="153" t="e">
        <f ca="1">SUMIF([2]!COMPROMISOS_2024[[#All],[consecutivo]],Contrato5[[#This Row],[RCP]],[2]!COMPROMISOS_2024[[#All],[Total pagado]])</f>
        <v>#REF!</v>
      </c>
      <c r="AM196" s="154">
        <f ca="1">IFERROR(Contrato5[[#This Row],[Pagos]]/Contrato5[[#This Row],[VALOR CONTRATO]],0)</f>
        <v>0</v>
      </c>
      <c r="AN196" s="198" t="e">
        <f ca="1">+Contrato5[[#This Row],[VALOR CONTRATO]]-Contrato5[[#This Row],[Pagos]]</f>
        <v>#REF!</v>
      </c>
      <c r="AO196" s="147" t="e" cm="1">
        <f t="array" aca="1" ref="AO196" ca="1">_xlfn.XLOOKUP(Contrato5[[#This Row],[DOCUMENTO ]],[2]!PERSONAL_ACTIVO_2024[[#All],[Documento identidad]],[2]!PERSONAL_ACTIVO_2024[[#All],[Mail ]],0,0)</f>
        <v>#NAME?</v>
      </c>
      <c r="AP196" s="147" t="e" cm="1">
        <f t="array" aca="1" ref="AP196" ca="1">_xlfn.XLOOKUP(Contrato5[[#This Row],[DOCUMENTO]],[2]!PERSONAL_ACTIVO_2024[[#All],[Documento identidad]],[2]!PERSONAL_ACTIVO_2024[[#All],[Mail ]],0,0)</f>
        <v>#NAME?</v>
      </c>
      <c r="AQ196" s="439" cm="1">
        <f t="array" aca="1" ref="AQ196" ca="1">IF(ISBLANK(Contrato5[[#This Row],[DEPENDENCIA ]]),0,IFERROR(_xlfn.XLOOKUP(Contrato5[[#This Row],[DEPENDENCIA ]],[2]!PERSONAL_ACTIVO_2024[[#All],[Dependencia]],[2]!PERSONAL_ACTIVO_2024[[#All],[Mail ]],0,0),0))</f>
        <v>0</v>
      </c>
    </row>
    <row r="197" spans="1:43" ht="34.5" customHeight="1">
      <c r="A197" s="125">
        <v>619</v>
      </c>
      <c r="B197" s="124">
        <v>167</v>
      </c>
      <c r="C197" s="162" t="s">
        <v>2539</v>
      </c>
      <c r="D197" s="227" t="s">
        <v>510</v>
      </c>
      <c r="E197" s="128" t="s">
        <v>78</v>
      </c>
      <c r="F197" s="163" t="s">
        <v>1376</v>
      </c>
      <c r="G197" s="190" t="s">
        <v>804</v>
      </c>
      <c r="H197" s="447">
        <v>1152221162</v>
      </c>
      <c r="I197" s="455"/>
      <c r="J197" s="456">
        <v>1000000</v>
      </c>
      <c r="K197" s="131" t="s">
        <v>806</v>
      </c>
      <c r="L197" s="438" t="s">
        <v>807</v>
      </c>
      <c r="M197" s="194" t="s">
        <v>597</v>
      </c>
      <c r="N197" s="177" t="e" cm="1">
        <f t="array" aca="1" ref="N197" ca="1">_xlfn.XLOOKUP(Contrato5[[#This Row],[SUPERVISOR TITULAR]],[2]!PERSONAL_ACTIVO_2024[[#All],[Nombre completo]],[2]!PERSONAL_ACTIVO_2024[[#All],[Documento identidad]],"",0)</f>
        <v>#NAME?</v>
      </c>
      <c r="O197" s="194" t="s">
        <v>514</v>
      </c>
      <c r="P197" s="196" t="e" cm="1">
        <f t="array" aca="1" ref="P197" ca="1">_xlfn.XLOOKUP(Contrato5[[#This Row],[SUPERVISOR SUPLENTE ]],[2]!PERSONAL_ACTIVO_2024[[#All],[Nombre completo]],[2]!PERSONAL_ACTIVO_2024[[#All],[Documento identidad]],"",0)</f>
        <v>#NAME?</v>
      </c>
      <c r="Q197" s="170">
        <v>330</v>
      </c>
      <c r="R197" s="137" t="e" cm="1">
        <f t="array" aca="1" ref="R197" ca="1">_xlfn.XLOOKUP(Contrato5[[#This Row],[CDP]],[2]!DISPONIBILIDADES_2024[[#All],[consecutivo]],[2]!DISPONIBILIDADES_2024[[#All],[fecha_aprobacion]],"",0)</f>
        <v>#NAME?</v>
      </c>
      <c r="S197" s="138" t="e">
        <f>SUMIF([2]!DISPONIBILIDADES_2024[[#All],[consecutivo]],Contrato5[[#This Row],[CDP]],[2]!DISPONIBILIDADES_2024[[#All],[valor_total_rubro]])</f>
        <v>#REF!</v>
      </c>
      <c r="T197" s="139" t="e" cm="1">
        <f t="array" aca="1" ref="T197" ca="1">_xlfn.XLOOKUP(Contrato5[[#This Row],[CONTRATO]]&amp;Contrato5[[#This Row],[CDP]],[2]!Corr_Contr_CDP[[#All],[CONTRATO-CDP]],[2]!Corr_Contr_CDP[[#All],[CRP]],_xlfn.XLOOKUP(Contrato5[[#This Row],[CDP]],[2]!COMPROMISOS_2024[[#All],[disponibilidad]],[2]!COMPROMISOS_2024[[#All],[consecutivo]],"",0),0)</f>
        <v>#NAME?</v>
      </c>
      <c r="U197" s="140" t="e" cm="1">
        <f t="array" aca="1" ref="U197" ca="1">+_xlfn.XLOOKUP(Contrato5[[#This Row],[RCP]],[2]!COMPROMISOS_2024[[#All],[consecutivo]],[2]!COMPROMISOS_2024[[#All],[fecha_aprobacion]],"",0)</f>
        <v>#NAME?</v>
      </c>
      <c r="V197" s="141" t="e">
        <f ca="1">SUMIF([2]!COMPROMISOS_2024[[#All],[consecutivo]],Contrato5[[#This Row],[RCP]],[2]!COMPROMISOS_2024[[#All],[valor_total]])</f>
        <v>#REF!</v>
      </c>
      <c r="W197" s="415" t="s">
        <v>42</v>
      </c>
      <c r="X197" s="415" t="s">
        <v>42</v>
      </c>
      <c r="Y197" s="143" t="s">
        <v>42</v>
      </c>
      <c r="Z197" s="262" t="s">
        <v>42</v>
      </c>
      <c r="AA197" s="225"/>
      <c r="AB197" s="161" t="s">
        <v>42</v>
      </c>
      <c r="AC197" s="458"/>
      <c r="AD197" s="211"/>
      <c r="AE197" s="147"/>
      <c r="AF197" s="148" t="str">
        <f>TEXT(LEFT(Contrato5[[#This Row],[CONTRATO]],3),"0")</f>
        <v>167</v>
      </c>
      <c r="AG197" s="148" t="str">
        <f>IF(LEN(Contrato5[[#This Row],[Contrato2]])=3,Contrato5[[#This Row],[Contrato2]],TEXT(Contrato5[[#This Row],[Contrato2]],"000"))</f>
        <v>167</v>
      </c>
      <c r="AH197" s="149" t="str">
        <f ca="1">IFERROR(_xlfn.DAYS(Contrato5[[#This Row],[Fecha Proyectada liquidación]],TODAY())/30,"")</f>
        <v/>
      </c>
      <c r="AI197" s="150" t="e">
        <f>+Contrato5[[#This Row],[FECHA TERMINACIÓN ]]+120</f>
        <v>#VALUE!</v>
      </c>
      <c r="AJ197" s="147"/>
      <c r="AK197" s="152" t="str">
        <f ca="1">IF(Contrato5[[#This Row],[FECHA TERMINACIÓN ]]&lt;TODAY(), "Terminado",IF(ISNUMBER(Contrato5[[#This Row],[Fecha Real de liquiidación ]]),"Liquidado",IF(Contrato5[[#This Row],[FECHA TERMINACIÓN ]]&gt;=TODAY(),"En ejecución","")))</f>
        <v>En ejecución</v>
      </c>
      <c r="AL197" s="153" t="e">
        <f ca="1">SUMIF([2]!COMPROMISOS_2024[[#All],[consecutivo]],Contrato5[[#This Row],[RCP]],[2]!COMPROMISOS_2024[[#All],[Total pagado]])</f>
        <v>#REF!</v>
      </c>
      <c r="AM197" s="154">
        <f ca="1">IFERROR(Contrato5[[#This Row],[Pagos]]/Contrato5[[#This Row],[VALOR CONTRATO]],0)</f>
        <v>0</v>
      </c>
      <c r="AN197" s="198" t="e">
        <f ca="1">+Contrato5[[#This Row],[VALOR CONTRATO]]-Contrato5[[#This Row],[Pagos]]</f>
        <v>#REF!</v>
      </c>
      <c r="AO197" s="147" t="e" cm="1">
        <f t="array" aca="1" ref="AO197" ca="1">_xlfn.XLOOKUP(Contrato5[[#This Row],[DOCUMENTO ]],[2]!PERSONAL_ACTIVO_2024[[#All],[Documento identidad]],[2]!PERSONAL_ACTIVO_2024[[#All],[Mail ]],0,0)</f>
        <v>#NAME?</v>
      </c>
      <c r="AP197" s="147" t="e" cm="1">
        <f t="array" aca="1" ref="AP197" ca="1">_xlfn.XLOOKUP(Contrato5[[#This Row],[DOCUMENTO]],[2]!PERSONAL_ACTIVO_2024[[#All],[Documento identidad]],[2]!PERSONAL_ACTIVO_2024[[#All],[Mail ]],0,0)</f>
        <v>#NAME?</v>
      </c>
      <c r="AQ197" s="439" cm="1">
        <f t="array" aca="1" ref="AQ197" ca="1">IF(ISBLANK(Contrato5[[#This Row],[DEPENDENCIA ]]),0,IFERROR(_xlfn.XLOOKUP(Contrato5[[#This Row],[DEPENDENCIA ]],[2]!PERSONAL_ACTIVO_2024[[#All],[Dependencia]],[2]!PERSONAL_ACTIVO_2024[[#All],[Mail ]],0,0),0))</f>
        <v>0</v>
      </c>
    </row>
    <row r="198" spans="1:43" ht="34.5" customHeight="1">
      <c r="A198" s="147">
        <v>1120</v>
      </c>
      <c r="B198" s="124">
        <v>167</v>
      </c>
      <c r="C198" s="162" t="s">
        <v>2302</v>
      </c>
      <c r="D198" s="227" t="s">
        <v>510</v>
      </c>
      <c r="E198" s="128" t="s">
        <v>78</v>
      </c>
      <c r="F198" s="163" t="s">
        <v>1376</v>
      </c>
      <c r="G198" s="190" t="s">
        <v>804</v>
      </c>
      <c r="H198" s="447">
        <v>1152221162</v>
      </c>
      <c r="I198" s="455">
        <v>6879081</v>
      </c>
      <c r="J198" s="456">
        <v>19490730</v>
      </c>
      <c r="K198" s="131" t="s">
        <v>2540</v>
      </c>
      <c r="L198" s="438" t="s">
        <v>2541</v>
      </c>
      <c r="M198" s="194" t="s">
        <v>597</v>
      </c>
      <c r="N198" s="177" t="e" cm="1">
        <f t="array" aca="1" ref="N198" ca="1">_xlfn.XLOOKUP(Contrato5[[#This Row],[SUPERVISOR TITULAR]],[2]!PERSONAL_ACTIVO_2024[[#All],[Nombre completo]],[2]!PERSONAL_ACTIVO_2024[[#All],[Documento identidad]],"",0)</f>
        <v>#NAME?</v>
      </c>
      <c r="O198" s="194" t="s">
        <v>514</v>
      </c>
      <c r="P198" s="196" t="e" cm="1">
        <f t="array" aca="1" ref="P198" ca="1">_xlfn.XLOOKUP(Contrato5[[#This Row],[SUPERVISOR SUPLENTE ]],[2]!PERSONAL_ACTIVO_2024[[#All],[Nombre completo]],[2]!PERSONAL_ACTIVO_2024[[#All],[Documento identidad]],"",0)</f>
        <v>#NAME?</v>
      </c>
      <c r="Q198" s="170">
        <v>907</v>
      </c>
      <c r="R198" s="137" t="e" cm="1">
        <f t="array" aca="1" ref="R198" ca="1">_xlfn.XLOOKUP(Contrato5[[#This Row],[CDP]],[2]!DISPONIBILIDADES_2024[[#All],[consecutivo]],[2]!DISPONIBILIDADES_2024[[#All],[fecha_aprobacion]],"",0)</f>
        <v>#NAME?</v>
      </c>
      <c r="S198" s="138" t="e">
        <f>SUMIF([2]!DISPONIBILIDADES_2024[[#All],[consecutivo]],Contrato5[[#This Row],[CDP]],[2]!DISPONIBILIDADES_2024[[#All],[valor_total_rubro]])</f>
        <v>#REF!</v>
      </c>
      <c r="T198" s="139" t="e" cm="1">
        <f t="array" aca="1" ref="T198" ca="1">_xlfn.XLOOKUP(Contrato5[[#This Row],[CONTRATO]]&amp;Contrato5[[#This Row],[CDP]],[2]!Corr_Contr_CDP[[#All],[CONTRATO-CDP]],[2]!Corr_Contr_CDP[[#All],[CRP]],_xlfn.XLOOKUP(Contrato5[[#This Row],[CDP]],[2]!COMPROMISOS_2024[[#All],[disponibilidad]],[2]!COMPROMISOS_2024[[#All],[consecutivo]],"",0),0)</f>
        <v>#NAME?</v>
      </c>
      <c r="U198" s="140" t="e" cm="1">
        <f t="array" aca="1" ref="U198" ca="1">+_xlfn.XLOOKUP(Contrato5[[#This Row],[RCP]],[2]!COMPROMISOS_2024[[#All],[consecutivo]],[2]!COMPROMISOS_2024[[#All],[fecha_aprobacion]],"",0)</f>
        <v>#NAME?</v>
      </c>
      <c r="V198" s="141" t="e">
        <f ca="1">SUMIF([2]!COMPROMISOS_2024[[#All],[consecutivo]],Contrato5[[#This Row],[RCP]],[2]!COMPROMISOS_2024[[#All],[valor_total]])</f>
        <v>#REF!</v>
      </c>
      <c r="W198" s="415">
        <v>45545</v>
      </c>
      <c r="X198" s="415" t="s">
        <v>42</v>
      </c>
      <c r="Y198" s="143">
        <v>45525</v>
      </c>
      <c r="Z198" s="262">
        <v>45630</v>
      </c>
      <c r="AA198" s="225"/>
      <c r="AB198" s="161" t="s">
        <v>2542</v>
      </c>
      <c r="AC198" s="187"/>
      <c r="AD198" s="211"/>
      <c r="AE198" s="147"/>
      <c r="AF198" s="148" t="str">
        <f>TEXT(LEFT(Contrato5[[#This Row],[CONTRATO]],3),"0")</f>
        <v>167</v>
      </c>
      <c r="AG198" s="148" t="str">
        <f>IF(LEN(Contrato5[[#This Row],[Contrato2]])=3,Contrato5[[#This Row],[Contrato2]],TEXT(Contrato5[[#This Row],[Contrato2]],"000"))</f>
        <v>167</v>
      </c>
      <c r="AH198" s="149">
        <f ca="1">IFERROR(_xlfn.DAYS(Contrato5[[#This Row],[Fecha Proyectada liquidación]],TODAY())/30,"")</f>
        <v>-0.26666666666666666</v>
      </c>
      <c r="AI198" s="150">
        <f>+Contrato5[[#This Row],[FECHA TERMINACIÓN ]]+120</f>
        <v>45750</v>
      </c>
      <c r="AJ198" s="147"/>
      <c r="AK198" s="152" t="str">
        <f ca="1">IF(Contrato5[[#This Row],[FECHA TERMINACIÓN ]]&lt;TODAY(), "Terminado",IF(ISNUMBER(Contrato5[[#This Row],[Fecha Real de liquiidación ]]),"Liquidado",IF(Contrato5[[#This Row],[FECHA TERMINACIÓN ]]&gt;=TODAY(),"En ejecución","")))</f>
        <v>Terminado</v>
      </c>
      <c r="AL198" s="153" t="e">
        <f ca="1">SUMIF([2]!COMPROMISOS_2024[[#All],[consecutivo]],Contrato5[[#This Row],[RCP]],[2]!COMPROMISOS_2024[[#All],[Total pagado]])</f>
        <v>#REF!</v>
      </c>
      <c r="AM198" s="154">
        <f ca="1">IFERROR(Contrato5[[#This Row],[Pagos]]/Contrato5[[#This Row],[VALOR CONTRATO]],0)</f>
        <v>0</v>
      </c>
      <c r="AN198" s="198" t="e">
        <f ca="1">+Contrato5[[#This Row],[VALOR CONTRATO]]-Contrato5[[#This Row],[Pagos]]</f>
        <v>#REF!</v>
      </c>
      <c r="AO198" s="147" t="e" cm="1">
        <f t="array" aca="1" ref="AO198" ca="1">_xlfn.XLOOKUP(Contrato5[[#This Row],[DOCUMENTO ]],[2]!PERSONAL_ACTIVO_2024[[#All],[Documento identidad]],[2]!PERSONAL_ACTIVO_2024[[#All],[Mail ]],0,0)</f>
        <v>#NAME?</v>
      </c>
      <c r="AP198" s="147" t="e" cm="1">
        <f t="array" aca="1" ref="AP198" ca="1">_xlfn.XLOOKUP(Contrato5[[#This Row],[DOCUMENTO]],[2]!PERSONAL_ACTIVO_2024[[#All],[Documento identidad]],[2]!PERSONAL_ACTIVO_2024[[#All],[Mail ]],0,0)</f>
        <v>#NAME?</v>
      </c>
      <c r="AQ198" s="439" cm="1">
        <f t="array" aca="1" ref="AQ198" ca="1">IF(ISBLANK(Contrato5[[#This Row],[DEPENDENCIA ]]),0,IFERROR(_xlfn.XLOOKUP(Contrato5[[#This Row],[DEPENDENCIA ]],[2]!PERSONAL_ACTIVO_2024[[#All],[Dependencia]],[2]!PERSONAL_ACTIVO_2024[[#All],[Mail ]],0,0),0))</f>
        <v>0</v>
      </c>
    </row>
    <row r="199" spans="1:43" ht="34.5" customHeight="1">
      <c r="A199" s="125">
        <v>525</v>
      </c>
      <c r="B199" s="124">
        <v>168</v>
      </c>
      <c r="C199" s="162" t="s">
        <v>808</v>
      </c>
      <c r="D199" s="227" t="s">
        <v>515</v>
      </c>
      <c r="E199" s="128" t="s">
        <v>94</v>
      </c>
      <c r="F199" s="163" t="s">
        <v>1376</v>
      </c>
      <c r="G199" s="190" t="s">
        <v>809</v>
      </c>
      <c r="H199" s="447">
        <v>1036927426</v>
      </c>
      <c r="I199" s="455">
        <v>6879081</v>
      </c>
      <c r="J199" s="456">
        <v>45774486</v>
      </c>
      <c r="K199" s="131" t="s">
        <v>810</v>
      </c>
      <c r="L199" s="438" t="s">
        <v>42</v>
      </c>
      <c r="M199" s="194" t="s">
        <v>545</v>
      </c>
      <c r="N199" s="177" t="e" cm="1">
        <f t="array" aca="1" ref="N199" ca="1">_xlfn.XLOOKUP(Contrato5[[#This Row],[SUPERVISOR TITULAR]],[2]!PERSONAL_ACTIVO_2024[[#All],[Nombre completo]],[2]!PERSONAL_ACTIVO_2024[[#All],[Documento identidad]],"",0)</f>
        <v>#NAME?</v>
      </c>
      <c r="O199" s="194" t="s">
        <v>544</v>
      </c>
      <c r="P199" s="196" t="e" cm="1">
        <f t="array" aca="1" ref="P199" ca="1">_xlfn.XLOOKUP(Contrato5[[#This Row],[SUPERVISOR SUPLENTE ]],[2]!PERSONAL_ACTIVO_2024[[#All],[Nombre completo]],[2]!PERSONAL_ACTIVO_2024[[#All],[Documento identidad]],"",0)</f>
        <v>#NAME?</v>
      </c>
      <c r="Q199" s="208">
        <v>208</v>
      </c>
      <c r="R199" s="137" t="e" cm="1">
        <f t="array" aca="1" ref="R199" ca="1">_xlfn.XLOOKUP(Contrato5[[#This Row],[CDP]],[2]!DISPONIBILIDADES_2024[[#All],[consecutivo]],[2]!DISPONIBILIDADES_2024[[#All],[fecha_aprobacion]],"",0)</f>
        <v>#NAME?</v>
      </c>
      <c r="S199" s="138" t="e">
        <f>SUMIF([2]!DISPONIBILIDADES_2024[[#All],[consecutivo]],Contrato5[[#This Row],[CDP]],[2]!DISPONIBILIDADES_2024[[#All],[valor_total_rubro]])</f>
        <v>#REF!</v>
      </c>
      <c r="T199" s="139" t="e" cm="1">
        <f t="array" aca="1" ref="T199" ca="1">_xlfn.XLOOKUP(Contrato5[[#This Row],[CONTRATO]]&amp;Contrato5[[#This Row],[CDP]],[2]!Corr_Contr_CDP[[#All],[CONTRATO-CDP]],[2]!Corr_Contr_CDP[[#All],[CRP]],_xlfn.XLOOKUP(Contrato5[[#This Row],[CDP]],[2]!COMPROMISOS_2024[[#All],[disponibilidad]],[2]!COMPROMISOS_2024[[#All],[consecutivo]],"",0),0)</f>
        <v>#NAME?</v>
      </c>
      <c r="U199" s="140" t="e" cm="1">
        <f t="array" aca="1" ref="U199" ca="1">+_xlfn.XLOOKUP(Contrato5[[#This Row],[RCP]],[2]!COMPROMISOS_2024[[#All],[consecutivo]],[2]!COMPROMISOS_2024[[#All],[fecha_aprobacion]],"",0)</f>
        <v>#NAME?</v>
      </c>
      <c r="V199" s="141" t="e">
        <f ca="1">SUMIF([2]!COMPROMISOS_2024[[#All],[consecutivo]],Contrato5[[#This Row],[RCP]],[2]!COMPROMISOS_2024[[#All],[valor_total]])</f>
        <v>#REF!</v>
      </c>
      <c r="W199" s="415">
        <v>45351</v>
      </c>
      <c r="X199" s="415">
        <v>45353</v>
      </c>
      <c r="Y199" s="143">
        <v>45352</v>
      </c>
      <c r="Z199" s="262">
        <v>45534</v>
      </c>
      <c r="AA199" s="237" t="s">
        <v>811</v>
      </c>
      <c r="AB199" s="238" t="s">
        <v>640</v>
      </c>
      <c r="AC199" s="161"/>
      <c r="AD199" s="221">
        <v>202000003979</v>
      </c>
      <c r="AE199" s="147" t="s">
        <v>523</v>
      </c>
      <c r="AF199" s="148" t="str">
        <f>TEXT(LEFT(Contrato5[[#This Row],[CONTRATO]],3),"0")</f>
        <v>168</v>
      </c>
      <c r="AG199" s="148" t="str">
        <f>IF(LEN(Contrato5[[#This Row],[Contrato2]])=3,Contrato5[[#This Row],[Contrato2]],TEXT(Contrato5[[#This Row],[Contrato2]],"000"))</f>
        <v>168</v>
      </c>
      <c r="AH199" s="149">
        <f ca="1">IFERROR(_xlfn.DAYS(Contrato5[[#This Row],[Fecha Proyectada liquidación]],TODAY())/30,"")</f>
        <v>-3.4666666666666668</v>
      </c>
      <c r="AI199" s="150">
        <f>+Contrato5[[#This Row],[FECHA TERMINACIÓN ]]+120</f>
        <v>45654</v>
      </c>
      <c r="AJ199" s="147"/>
      <c r="AK199" s="152" t="str">
        <f ca="1">IF(Contrato5[[#This Row],[FECHA TERMINACIÓN ]]&lt;TODAY(), "Terminado",IF(ISNUMBER(Contrato5[[#This Row],[Fecha Real de liquiidación ]]),"Liquidado",IF(Contrato5[[#This Row],[FECHA TERMINACIÓN ]]&gt;=TODAY(),"En ejecución","")))</f>
        <v>Terminado</v>
      </c>
      <c r="AL199" s="153" t="e">
        <f ca="1">SUMIF([2]!COMPROMISOS_2024[[#All],[consecutivo]],Contrato5[[#This Row],[RCP]],[2]!COMPROMISOS_2024[[#All],[Total pagado]])</f>
        <v>#REF!</v>
      </c>
      <c r="AM199" s="154">
        <f ca="1">IFERROR(Contrato5[[#This Row],[Pagos]]/Contrato5[[#This Row],[VALOR CONTRATO]],0)</f>
        <v>0</v>
      </c>
      <c r="AN199" s="198" t="e">
        <f ca="1">+Contrato5[[#This Row],[VALOR CONTRATO]]-Contrato5[[#This Row],[Pagos]]</f>
        <v>#REF!</v>
      </c>
      <c r="AO199" s="147" t="e" cm="1">
        <f t="array" aca="1" ref="AO199" ca="1">_xlfn.XLOOKUP(Contrato5[[#This Row],[DOCUMENTO ]],[2]!PERSONAL_ACTIVO_2024[[#All],[Documento identidad]],[2]!PERSONAL_ACTIVO_2024[[#All],[Mail ]],0,0)</f>
        <v>#NAME?</v>
      </c>
      <c r="AP199" s="147" t="e" cm="1">
        <f t="array" aca="1" ref="AP199" ca="1">_xlfn.XLOOKUP(Contrato5[[#This Row],[DOCUMENTO]],[2]!PERSONAL_ACTIVO_2024[[#All],[Documento identidad]],[2]!PERSONAL_ACTIVO_2024[[#All],[Mail ]],0,0)</f>
        <v>#NAME?</v>
      </c>
      <c r="AQ199" s="439" cm="1">
        <f t="array" aca="1" ref="AQ199" ca="1">IF(ISBLANK(Contrato5[[#This Row],[DEPENDENCIA ]]),0,IFERROR(_xlfn.XLOOKUP(Contrato5[[#This Row],[DEPENDENCIA ]],[2]!PERSONAL_ACTIVO_2024[[#All],[Dependencia]],[2]!PERSONAL_ACTIVO_2024[[#All],[Mail ]],0,0),0))</f>
        <v>0</v>
      </c>
    </row>
    <row r="200" spans="1:43" ht="34.5" customHeight="1">
      <c r="A200" s="125" t="s">
        <v>42</v>
      </c>
      <c r="B200" s="124">
        <v>169</v>
      </c>
      <c r="C200" s="162" t="s">
        <v>1372</v>
      </c>
      <c r="D200" s="227" t="s">
        <v>493</v>
      </c>
      <c r="E200" s="128" t="s">
        <v>94</v>
      </c>
      <c r="F200" s="163" t="s">
        <v>1376</v>
      </c>
      <c r="G200" s="190" t="s">
        <v>812</v>
      </c>
      <c r="H200" s="447">
        <v>1039288967</v>
      </c>
      <c r="I200" s="455">
        <v>3379853</v>
      </c>
      <c r="J200" s="456">
        <v>20279118</v>
      </c>
      <c r="K200" s="131" t="s">
        <v>813</v>
      </c>
      <c r="L200" s="438" t="s">
        <v>42</v>
      </c>
      <c r="M200" s="194" t="s">
        <v>814</v>
      </c>
      <c r="N200" s="177" t="e" cm="1">
        <f t="array" aca="1" ref="N200" ca="1">_xlfn.XLOOKUP(Contrato5[[#This Row],[SUPERVISOR TITULAR]],[2]!PERSONAL_ACTIVO_2024[[#All],[Nombre completo]],[2]!PERSONAL_ACTIVO_2024[[#All],[Documento identidad]],"",0)</f>
        <v>#NAME?</v>
      </c>
      <c r="O200" s="194"/>
      <c r="P200" s="196" t="e" cm="1">
        <f t="array" aca="1" ref="P200" ca="1">_xlfn.XLOOKUP(Contrato5[[#This Row],[SUPERVISOR SUPLENTE ]],[2]!PERSONAL_ACTIVO_2024[[#All],[Nombre completo]],[2]!PERSONAL_ACTIVO_2024[[#All],[Documento identidad]],"",0)</f>
        <v>#NAME?</v>
      </c>
      <c r="Q200" s="208"/>
      <c r="R200" s="137" t="e" cm="1">
        <f t="array" aca="1" ref="R200" ca="1">_xlfn.XLOOKUP(Contrato5[[#This Row],[CDP]],[2]!DISPONIBILIDADES_2024[[#All],[consecutivo]],[2]!DISPONIBILIDADES_2024[[#All],[fecha_aprobacion]],"",0)</f>
        <v>#NAME?</v>
      </c>
      <c r="S200" s="138" t="e">
        <f>SUMIF([2]!DISPONIBILIDADES_2024[[#All],[consecutivo]],Contrato5[[#This Row],[CDP]],[2]!DISPONIBILIDADES_2024[[#All],[valor_total_rubro]])</f>
        <v>#REF!</v>
      </c>
      <c r="T200" s="139" t="e" cm="1">
        <f t="array" aca="1" ref="T200" ca="1">_xlfn.XLOOKUP(Contrato5[[#This Row],[CONTRATO]]&amp;Contrato5[[#This Row],[CDP]],[2]!Corr_Contr_CDP[[#All],[CONTRATO-CDP]],[2]!Corr_Contr_CDP[[#All],[CRP]],_xlfn.XLOOKUP(Contrato5[[#This Row],[CDP]],[2]!COMPROMISOS_2024[[#All],[disponibilidad]],[2]!COMPROMISOS_2024[[#All],[consecutivo]],"",0),0)</f>
        <v>#NAME?</v>
      </c>
      <c r="U200" s="140" t="e" cm="1">
        <f t="array" aca="1" ref="U200" ca="1">+_xlfn.XLOOKUP(Contrato5[[#This Row],[RCP]],[2]!COMPROMISOS_2024[[#All],[consecutivo]],[2]!COMPROMISOS_2024[[#All],[fecha_aprobacion]],"",0)</f>
        <v>#NAME?</v>
      </c>
      <c r="V200" s="141" t="e">
        <f ca="1">SUMIF([2]!COMPROMISOS_2024[[#All],[consecutivo]],Contrato5[[#This Row],[RCP]],[2]!COMPROMISOS_2024[[#All],[valor_total]])</f>
        <v>#REF!</v>
      </c>
      <c r="W200" s="415">
        <v>45342</v>
      </c>
      <c r="X200" s="415" t="s">
        <v>42</v>
      </c>
      <c r="Y200" s="143" t="s">
        <v>42</v>
      </c>
      <c r="Z200" s="262" t="s">
        <v>42</v>
      </c>
      <c r="AA200" s="459" t="s">
        <v>42</v>
      </c>
      <c r="AB200" s="161" t="s">
        <v>42</v>
      </c>
      <c r="AC200" s="161"/>
      <c r="AD200" s="211"/>
      <c r="AE200" s="147"/>
      <c r="AF200" s="148" t="str">
        <f>TEXT(LEFT(Contrato5[[#This Row],[CONTRATO]],3),"0")</f>
        <v>169</v>
      </c>
      <c r="AG200" s="148" t="str">
        <f>IF(LEN(Contrato5[[#This Row],[Contrato2]])=3,Contrato5[[#This Row],[Contrato2]],TEXT(Contrato5[[#This Row],[Contrato2]],"000"))</f>
        <v>169</v>
      </c>
      <c r="AH200" s="149" t="str">
        <f ca="1">IFERROR(_xlfn.DAYS(Contrato5[[#This Row],[Fecha Proyectada liquidación]],TODAY())/30,"")</f>
        <v/>
      </c>
      <c r="AI200" s="150" t="e">
        <f>+Contrato5[[#This Row],[FECHA TERMINACIÓN ]]+120</f>
        <v>#VALUE!</v>
      </c>
      <c r="AJ200" s="147"/>
      <c r="AK200" s="152" t="str">
        <f ca="1">IF(Contrato5[[#This Row],[FECHA TERMINACIÓN ]]&lt;TODAY(), "Terminado",IF(ISNUMBER(Contrato5[[#This Row],[Fecha Real de liquiidación ]]),"Liquidado",IF(Contrato5[[#This Row],[FECHA TERMINACIÓN ]]&gt;=TODAY(),"En ejecución","")))</f>
        <v>En ejecución</v>
      </c>
      <c r="AL200" s="153" t="e">
        <f ca="1">SUMIF([2]!COMPROMISOS_2024[[#All],[consecutivo]],Contrato5[[#This Row],[RCP]],[2]!COMPROMISOS_2024[[#All],[Total pagado]])</f>
        <v>#REF!</v>
      </c>
      <c r="AM200" s="154">
        <f ca="1">IFERROR(Contrato5[[#This Row],[Pagos]]/Contrato5[[#This Row],[VALOR CONTRATO]],0)</f>
        <v>0</v>
      </c>
      <c r="AN200" s="198" t="e">
        <f ca="1">+Contrato5[[#This Row],[VALOR CONTRATO]]-Contrato5[[#This Row],[Pagos]]</f>
        <v>#REF!</v>
      </c>
      <c r="AO200" s="147" t="e" cm="1">
        <f t="array" aca="1" ref="AO200" ca="1">_xlfn.XLOOKUP(Contrato5[[#This Row],[DOCUMENTO ]],[2]!PERSONAL_ACTIVO_2024[[#All],[Documento identidad]],[2]!PERSONAL_ACTIVO_2024[[#All],[Mail ]],0,0)</f>
        <v>#NAME?</v>
      </c>
      <c r="AP200" s="147" t="e" cm="1">
        <f t="array" aca="1" ref="AP200" ca="1">_xlfn.XLOOKUP(Contrato5[[#This Row],[DOCUMENTO]],[2]!PERSONAL_ACTIVO_2024[[#All],[Documento identidad]],[2]!PERSONAL_ACTIVO_2024[[#All],[Mail ]],0,0)</f>
        <v>#NAME?</v>
      </c>
      <c r="AQ200" s="439" cm="1">
        <f t="array" aca="1" ref="AQ200" ca="1">IF(ISBLANK(Contrato5[[#This Row],[DEPENDENCIA ]]),0,IFERROR(_xlfn.XLOOKUP(Contrato5[[#This Row],[DEPENDENCIA ]],[2]!PERSONAL_ACTIVO_2024[[#All],[Dependencia]],[2]!PERSONAL_ACTIVO_2024[[#All],[Mail ]],0,0),0))</f>
        <v>0</v>
      </c>
    </row>
    <row r="201" spans="1:43" ht="34.5" customHeight="1">
      <c r="A201" s="125">
        <v>47</v>
      </c>
      <c r="B201" s="124">
        <v>170</v>
      </c>
      <c r="C201" s="162" t="s">
        <v>1470</v>
      </c>
      <c r="D201" s="227" t="s">
        <v>556</v>
      </c>
      <c r="E201" s="128" t="s">
        <v>94</v>
      </c>
      <c r="F201" s="163" t="s">
        <v>1376</v>
      </c>
      <c r="G201" s="190" t="s">
        <v>815</v>
      </c>
      <c r="H201" s="447">
        <v>1152195916</v>
      </c>
      <c r="I201" s="455">
        <v>6879081</v>
      </c>
      <c r="J201" s="456">
        <f>6879081*6</f>
        <v>41274486</v>
      </c>
      <c r="K201" s="166" t="s">
        <v>42</v>
      </c>
      <c r="L201" s="438" t="s">
        <v>42</v>
      </c>
      <c r="M201" s="194" t="s">
        <v>559</v>
      </c>
      <c r="N201" s="177" t="e" cm="1">
        <f t="array" aca="1" ref="N201" ca="1">_xlfn.XLOOKUP(Contrato5[[#This Row],[SUPERVISOR TITULAR]],[2]!PERSONAL_ACTIVO_2024[[#All],[Nombre completo]],[2]!PERSONAL_ACTIVO_2024[[#All],[Documento identidad]],"",0)</f>
        <v>#NAME?</v>
      </c>
      <c r="O201" s="194" t="s">
        <v>2487</v>
      </c>
      <c r="P201" s="196" t="e" cm="1">
        <f t="array" aca="1" ref="P201" ca="1">_xlfn.XLOOKUP(Contrato5[[#This Row],[SUPERVISOR SUPLENTE ]],[2]!PERSONAL_ACTIVO_2024[[#All],[Nombre completo]],[2]!PERSONAL_ACTIVO_2024[[#All],[Documento identidad]],"",0)</f>
        <v>#NAME?</v>
      </c>
      <c r="Q201" s="208">
        <v>214</v>
      </c>
      <c r="R201" s="137" t="e" cm="1">
        <f t="array" aca="1" ref="R201" ca="1">_xlfn.XLOOKUP(Contrato5[[#This Row],[CDP]],[2]!DISPONIBILIDADES_2024[[#All],[consecutivo]],[2]!DISPONIBILIDADES_2024[[#All],[fecha_aprobacion]],"",0)</f>
        <v>#NAME?</v>
      </c>
      <c r="S201" s="138" t="e">
        <f>SUMIF([2]!DISPONIBILIDADES_2024[[#All],[consecutivo]],Contrato5[[#This Row],[CDP]],[2]!DISPONIBILIDADES_2024[[#All],[valor_total_rubro]])</f>
        <v>#REF!</v>
      </c>
      <c r="T201" s="139" t="e" cm="1">
        <f t="array" aca="1" ref="T201" ca="1">_xlfn.XLOOKUP(Contrato5[[#This Row],[CONTRATO]]&amp;Contrato5[[#This Row],[CDP]],[2]!Corr_Contr_CDP[[#All],[CONTRATO-CDP]],[2]!Corr_Contr_CDP[[#All],[CRP]],_xlfn.XLOOKUP(Contrato5[[#This Row],[CDP]],[2]!COMPROMISOS_2024[[#All],[disponibilidad]],[2]!COMPROMISOS_2024[[#All],[consecutivo]],"",0),0)</f>
        <v>#NAME?</v>
      </c>
      <c r="U201" s="140" t="e" cm="1">
        <f t="array" aca="1" ref="U201" ca="1">+_xlfn.XLOOKUP(Contrato5[[#This Row],[RCP]],[2]!COMPROMISOS_2024[[#All],[consecutivo]],[2]!COMPROMISOS_2024[[#All],[fecha_aprobacion]],"",0)</f>
        <v>#NAME?</v>
      </c>
      <c r="V201" s="141" t="e">
        <f ca="1">SUMIF([2]!COMPROMISOS_2024[[#All],[consecutivo]],Contrato5[[#This Row],[RCP]],[2]!COMPROMISOS_2024[[#All],[valor_total]])</f>
        <v>#REF!</v>
      </c>
      <c r="W201" s="415">
        <v>45343</v>
      </c>
      <c r="X201" s="415">
        <v>45344</v>
      </c>
      <c r="Y201" s="143">
        <v>45344</v>
      </c>
      <c r="Z201" s="262">
        <v>45525</v>
      </c>
      <c r="AA201" s="183" t="s">
        <v>816</v>
      </c>
      <c r="AB201" s="161" t="s">
        <v>640</v>
      </c>
      <c r="AC201" s="161"/>
      <c r="AD201" s="211">
        <v>202000003815</v>
      </c>
      <c r="AE201" s="147" t="s">
        <v>523</v>
      </c>
      <c r="AF201" s="148" t="str">
        <f>TEXT(LEFT(Contrato5[[#This Row],[CONTRATO]],3),"0")</f>
        <v>170</v>
      </c>
      <c r="AG201" s="148" t="str">
        <f>IF(LEN(Contrato5[[#This Row],[Contrato2]])=3,Contrato5[[#This Row],[Contrato2]],TEXT(Contrato5[[#This Row],[Contrato2]],"000"))</f>
        <v>170</v>
      </c>
      <c r="AH201" s="149">
        <f ca="1">IFERROR(_xlfn.DAYS(Contrato5[[#This Row],[Fecha Proyectada liquidación]],TODAY())/30,"")</f>
        <v>-3.7666666666666666</v>
      </c>
      <c r="AI201" s="150">
        <f>+Contrato5[[#This Row],[FECHA TERMINACIÓN ]]+120</f>
        <v>45645</v>
      </c>
      <c r="AJ201" s="147"/>
      <c r="AK201" s="152" t="str">
        <f ca="1">IF(Contrato5[[#This Row],[FECHA TERMINACIÓN ]]&lt;TODAY(), "Terminado",IF(ISNUMBER(Contrato5[[#This Row],[Fecha Real de liquiidación ]]),"Liquidado",IF(Contrato5[[#This Row],[FECHA TERMINACIÓN ]]&gt;=TODAY(),"En ejecución","")))</f>
        <v>Terminado</v>
      </c>
      <c r="AL201" s="153" t="e">
        <f ca="1">SUMIF([2]!COMPROMISOS_2024[[#All],[consecutivo]],Contrato5[[#This Row],[RCP]],[2]!COMPROMISOS_2024[[#All],[Total pagado]])</f>
        <v>#REF!</v>
      </c>
      <c r="AM201" s="154">
        <f ca="1">IFERROR(Contrato5[[#This Row],[Pagos]]/Contrato5[[#This Row],[VALOR CONTRATO]],0)</f>
        <v>0</v>
      </c>
      <c r="AN201" s="198" t="e">
        <f ca="1">+Contrato5[[#This Row],[VALOR CONTRATO]]-Contrato5[[#This Row],[Pagos]]</f>
        <v>#REF!</v>
      </c>
      <c r="AO201" s="147" t="e" cm="1">
        <f t="array" aca="1" ref="AO201" ca="1">_xlfn.XLOOKUP(Contrato5[[#This Row],[DOCUMENTO ]],[2]!PERSONAL_ACTIVO_2024[[#All],[Documento identidad]],[2]!PERSONAL_ACTIVO_2024[[#All],[Mail ]],0,0)</f>
        <v>#NAME?</v>
      </c>
      <c r="AP201" s="147" t="e" cm="1">
        <f t="array" aca="1" ref="AP201" ca="1">_xlfn.XLOOKUP(Contrato5[[#This Row],[DOCUMENTO]],[2]!PERSONAL_ACTIVO_2024[[#All],[Documento identidad]],[2]!PERSONAL_ACTIVO_2024[[#All],[Mail ]],0,0)</f>
        <v>#NAME?</v>
      </c>
      <c r="AQ201" s="439" cm="1">
        <f t="array" aca="1" ref="AQ201" ca="1">IF(ISBLANK(Contrato5[[#This Row],[DEPENDENCIA ]]),0,IFERROR(_xlfn.XLOOKUP(Contrato5[[#This Row],[DEPENDENCIA ]],[2]!PERSONAL_ACTIVO_2024[[#All],[Dependencia]],[2]!PERSONAL_ACTIVO_2024[[#All],[Mail ]],0,0),0))</f>
        <v>0</v>
      </c>
    </row>
    <row r="202" spans="1:43" ht="34.5" customHeight="1">
      <c r="A202" s="125">
        <v>529</v>
      </c>
      <c r="B202" s="124">
        <v>171</v>
      </c>
      <c r="C202" s="162" t="s">
        <v>1349</v>
      </c>
      <c r="D202" s="227" t="s">
        <v>493</v>
      </c>
      <c r="E202" s="128" t="s">
        <v>94</v>
      </c>
      <c r="F202" s="163" t="s">
        <v>1376</v>
      </c>
      <c r="G202" s="190" t="s">
        <v>817</v>
      </c>
      <c r="H202" s="447">
        <v>43524445</v>
      </c>
      <c r="I202" s="455">
        <v>3379853</v>
      </c>
      <c r="J202" s="456">
        <v>20279118</v>
      </c>
      <c r="K202" s="166" t="s">
        <v>42</v>
      </c>
      <c r="L202" s="438" t="s">
        <v>42</v>
      </c>
      <c r="M202" s="194" t="s">
        <v>568</v>
      </c>
      <c r="N202" s="177" t="e" cm="1">
        <f t="array" aca="1" ref="N202" ca="1">_xlfn.XLOOKUP(Contrato5[[#This Row],[SUPERVISOR TITULAR]],[2]!PERSONAL_ACTIVO_2024[[#All],[Nombre completo]],[2]!PERSONAL_ACTIVO_2024[[#All],[Documento identidad]],"",0)</f>
        <v>#NAME?</v>
      </c>
      <c r="O202" s="194" t="s">
        <v>818</v>
      </c>
      <c r="P202" s="196" t="e" cm="1">
        <f t="array" aca="1" ref="P202" ca="1">_xlfn.XLOOKUP(Contrato5[[#This Row],[SUPERVISOR SUPLENTE ]],[2]!PERSONAL_ACTIVO_2024[[#All],[Nombre completo]],[2]!PERSONAL_ACTIVO_2024[[#All],[Documento identidad]],"",0)</f>
        <v>#NAME?</v>
      </c>
      <c r="Q202" s="208">
        <v>202</v>
      </c>
      <c r="R202" s="137" t="e" cm="1">
        <f t="array" aca="1" ref="R202" ca="1">_xlfn.XLOOKUP(Contrato5[[#This Row],[CDP]],[2]!DISPONIBILIDADES_2024[[#All],[consecutivo]],[2]!DISPONIBILIDADES_2024[[#All],[fecha_aprobacion]],"",0)</f>
        <v>#NAME?</v>
      </c>
      <c r="S202" s="138" t="e">
        <f>SUMIF([2]!DISPONIBILIDADES_2024[[#All],[consecutivo]],Contrato5[[#This Row],[CDP]],[2]!DISPONIBILIDADES_2024[[#All],[valor_total_rubro]])</f>
        <v>#REF!</v>
      </c>
      <c r="T202" s="139" t="e" cm="1">
        <f t="array" aca="1" ref="T202" ca="1">_xlfn.XLOOKUP(Contrato5[[#This Row],[CONTRATO]]&amp;Contrato5[[#This Row],[CDP]],[2]!Corr_Contr_CDP[[#All],[CONTRATO-CDP]],[2]!Corr_Contr_CDP[[#All],[CRP]],_xlfn.XLOOKUP(Contrato5[[#This Row],[CDP]],[2]!COMPROMISOS_2024[[#All],[disponibilidad]],[2]!COMPROMISOS_2024[[#All],[consecutivo]],"",0),0)</f>
        <v>#NAME?</v>
      </c>
      <c r="U202" s="140" t="e" cm="1">
        <f t="array" aca="1" ref="U202" ca="1">+_xlfn.XLOOKUP(Contrato5[[#This Row],[RCP]],[2]!COMPROMISOS_2024[[#All],[consecutivo]],[2]!COMPROMISOS_2024[[#All],[fecha_aprobacion]],"",0)</f>
        <v>#NAME?</v>
      </c>
      <c r="V202" s="141" t="e">
        <f ca="1">SUMIF([2]!COMPROMISOS_2024[[#All],[consecutivo]],Contrato5[[#This Row],[RCP]],[2]!COMPROMISOS_2024[[#All],[valor_total]])</f>
        <v>#REF!</v>
      </c>
      <c r="W202" s="415">
        <v>45341</v>
      </c>
      <c r="X202" s="415">
        <v>45342</v>
      </c>
      <c r="Y202" s="143">
        <v>45343</v>
      </c>
      <c r="Z202" s="262">
        <v>45522</v>
      </c>
      <c r="AA202" s="183" t="s">
        <v>819</v>
      </c>
      <c r="AB202" s="161" t="s">
        <v>640</v>
      </c>
      <c r="AC202" s="161"/>
      <c r="AD202" s="211">
        <v>202000003818</v>
      </c>
      <c r="AE202" s="147" t="s">
        <v>523</v>
      </c>
      <c r="AF202" s="148" t="str">
        <f>TEXT(LEFT(Contrato5[[#This Row],[CONTRATO]],3),"0")</f>
        <v>171</v>
      </c>
      <c r="AG202" s="148" t="str">
        <f>IF(LEN(Contrato5[[#This Row],[Contrato2]])=3,Contrato5[[#This Row],[Contrato2]],TEXT(Contrato5[[#This Row],[Contrato2]],"000"))</f>
        <v>171</v>
      </c>
      <c r="AH202" s="149">
        <f ca="1">IFERROR(_xlfn.DAYS(Contrato5[[#This Row],[Fecha Proyectada liquidación]],TODAY())/30,"")</f>
        <v>-3.8666666666666667</v>
      </c>
      <c r="AI202" s="150">
        <f>+Contrato5[[#This Row],[FECHA TERMINACIÓN ]]+120</f>
        <v>45642</v>
      </c>
      <c r="AJ202" s="147"/>
      <c r="AK202" s="152" t="str">
        <f ca="1">IF(Contrato5[[#This Row],[FECHA TERMINACIÓN ]]&lt;TODAY(), "Terminado",IF(ISNUMBER(Contrato5[[#This Row],[Fecha Real de liquiidación ]]),"Liquidado",IF(Contrato5[[#This Row],[FECHA TERMINACIÓN ]]&gt;=TODAY(),"En ejecución","")))</f>
        <v>Terminado</v>
      </c>
      <c r="AL202" s="153" t="e">
        <f ca="1">SUMIF([2]!COMPROMISOS_2024[[#All],[consecutivo]],Contrato5[[#This Row],[RCP]],[2]!COMPROMISOS_2024[[#All],[Total pagado]])</f>
        <v>#REF!</v>
      </c>
      <c r="AM202" s="154">
        <f ca="1">IFERROR(Contrato5[[#This Row],[Pagos]]/Contrato5[[#This Row],[VALOR CONTRATO]],0)</f>
        <v>0</v>
      </c>
      <c r="AN202" s="198" t="e">
        <f ca="1">+Contrato5[[#This Row],[VALOR CONTRATO]]-Contrato5[[#This Row],[Pagos]]</f>
        <v>#REF!</v>
      </c>
      <c r="AO202" s="147" t="e" cm="1">
        <f t="array" aca="1" ref="AO202" ca="1">_xlfn.XLOOKUP(Contrato5[[#This Row],[DOCUMENTO ]],[2]!PERSONAL_ACTIVO_2024[[#All],[Documento identidad]],[2]!PERSONAL_ACTIVO_2024[[#All],[Mail ]],0,0)</f>
        <v>#NAME?</v>
      </c>
      <c r="AP202" s="147" t="e" cm="1">
        <f t="array" aca="1" ref="AP202" ca="1">_xlfn.XLOOKUP(Contrato5[[#This Row],[DOCUMENTO]],[2]!PERSONAL_ACTIVO_2024[[#All],[Documento identidad]],[2]!PERSONAL_ACTIVO_2024[[#All],[Mail ]],0,0)</f>
        <v>#NAME?</v>
      </c>
      <c r="AQ202" s="439" cm="1">
        <f t="array" aca="1" ref="AQ202" ca="1">IF(ISBLANK(Contrato5[[#This Row],[DEPENDENCIA ]]),0,IFERROR(_xlfn.XLOOKUP(Contrato5[[#This Row],[DEPENDENCIA ]],[2]!PERSONAL_ACTIVO_2024[[#All],[Dependencia]],[2]!PERSONAL_ACTIVO_2024[[#All],[Mail ]],0,0),0))</f>
        <v>0</v>
      </c>
    </row>
    <row r="203" spans="1:43" ht="34.5" customHeight="1">
      <c r="A203" s="125">
        <v>534</v>
      </c>
      <c r="B203" s="124">
        <v>172</v>
      </c>
      <c r="C203" s="162" t="s">
        <v>404</v>
      </c>
      <c r="D203" s="227" t="s">
        <v>515</v>
      </c>
      <c r="E203" s="128" t="s">
        <v>94</v>
      </c>
      <c r="F203" s="163" t="s">
        <v>1376</v>
      </c>
      <c r="G203" s="190" t="s">
        <v>820</v>
      </c>
      <c r="H203" s="447">
        <v>1038408339</v>
      </c>
      <c r="I203" s="455">
        <v>6879081</v>
      </c>
      <c r="J203" s="456">
        <v>28916366</v>
      </c>
      <c r="K203" s="131" t="s">
        <v>821</v>
      </c>
      <c r="L203" s="438" t="s">
        <v>42</v>
      </c>
      <c r="M203" s="194" t="s">
        <v>822</v>
      </c>
      <c r="N203" s="177" t="e" cm="1">
        <f t="array" aca="1" ref="N203" ca="1">_xlfn.XLOOKUP(Contrato5[[#This Row],[SUPERVISOR TITULAR]],[2]!PERSONAL_ACTIVO_2024[[#All],[Nombre completo]],[2]!PERSONAL_ACTIVO_2024[[#All],[Documento identidad]],"",0)</f>
        <v>#NAME?</v>
      </c>
      <c r="O203" s="194" t="s">
        <v>823</v>
      </c>
      <c r="P203" s="196" t="e" cm="1">
        <f t="array" aca="1" ref="P203" ca="1">_xlfn.XLOOKUP(Contrato5[[#This Row],[SUPERVISOR SUPLENTE ]],[2]!PERSONAL_ACTIVO_2024[[#All],[Nombre completo]],[2]!PERSONAL_ACTIVO_2024[[#All],[Documento identidad]],"",0)</f>
        <v>#NAME?</v>
      </c>
      <c r="Q203" s="208">
        <v>215</v>
      </c>
      <c r="R203" s="137" t="e" cm="1">
        <f t="array" aca="1" ref="R203" ca="1">_xlfn.XLOOKUP(Contrato5[[#This Row],[CDP]],[2]!DISPONIBILIDADES_2024[[#All],[consecutivo]],[2]!DISPONIBILIDADES_2024[[#All],[fecha_aprobacion]],"",0)</f>
        <v>#NAME?</v>
      </c>
      <c r="S203" s="138" t="e">
        <f>SUMIF([2]!DISPONIBILIDADES_2024[[#All],[consecutivo]],Contrato5[[#This Row],[CDP]],[2]!DISPONIBILIDADES_2024[[#All],[valor_total_rubro]])</f>
        <v>#REF!</v>
      </c>
      <c r="T203" s="139" t="e" cm="1">
        <f t="array" aca="1" ref="T203" ca="1">_xlfn.XLOOKUP(Contrato5[[#This Row],[CONTRATO]]&amp;Contrato5[[#This Row],[CDP]],[2]!Corr_Contr_CDP[[#All],[CONTRATO-CDP]],[2]!Corr_Contr_CDP[[#All],[CRP]],_xlfn.XLOOKUP(Contrato5[[#This Row],[CDP]],[2]!COMPROMISOS_2024[[#All],[disponibilidad]],[2]!COMPROMISOS_2024[[#All],[consecutivo]],"",0),0)</f>
        <v>#NAME?</v>
      </c>
      <c r="U203" s="140" t="e" cm="1">
        <f t="array" aca="1" ref="U203" ca="1">+_xlfn.XLOOKUP(Contrato5[[#This Row],[RCP]],[2]!COMPROMISOS_2024[[#All],[consecutivo]],[2]!COMPROMISOS_2024[[#All],[fecha_aprobacion]],"",0)</f>
        <v>#NAME?</v>
      </c>
      <c r="V203" s="141" t="e">
        <f ca="1">SUMIF([2]!COMPROMISOS_2024[[#All],[consecutivo]],Contrato5[[#This Row],[RCP]],[2]!COMPROMISOS_2024[[#All],[valor_total]])</f>
        <v>#REF!</v>
      </c>
      <c r="W203" s="415">
        <v>45343</v>
      </c>
      <c r="X203" s="415">
        <v>45344</v>
      </c>
      <c r="Y203" s="143">
        <v>45344</v>
      </c>
      <c r="Z203" s="262">
        <v>45525</v>
      </c>
      <c r="AA203" s="183" t="s">
        <v>824</v>
      </c>
      <c r="AB203" s="161" t="s">
        <v>640</v>
      </c>
      <c r="AC203" s="161"/>
      <c r="AD203" s="211">
        <v>202000003822</v>
      </c>
      <c r="AE203" s="147" t="s">
        <v>523</v>
      </c>
      <c r="AF203" s="148" t="str">
        <f>TEXT(LEFT(Contrato5[[#This Row],[CONTRATO]],3),"0")</f>
        <v>172</v>
      </c>
      <c r="AG203" s="148" t="str">
        <f>IF(LEN(Contrato5[[#This Row],[Contrato2]])=3,Contrato5[[#This Row],[Contrato2]],TEXT(Contrato5[[#This Row],[Contrato2]],"000"))</f>
        <v>172</v>
      </c>
      <c r="AH203" s="149">
        <f ca="1">IFERROR(_xlfn.DAYS(Contrato5[[#This Row],[Fecha Proyectada liquidación]],TODAY())/30,"")</f>
        <v>-3.7666666666666666</v>
      </c>
      <c r="AI203" s="150">
        <f>+Contrato5[[#This Row],[FECHA TERMINACIÓN ]]+120</f>
        <v>45645</v>
      </c>
      <c r="AJ203" s="147"/>
      <c r="AK203" s="152" t="str">
        <f ca="1">IF(Contrato5[[#This Row],[FECHA TERMINACIÓN ]]&lt;TODAY(), "Terminado",IF(ISNUMBER(Contrato5[[#This Row],[Fecha Real de liquiidación ]]),"Liquidado",IF(Contrato5[[#This Row],[FECHA TERMINACIÓN ]]&gt;=TODAY(),"En ejecución","")))</f>
        <v>Terminado</v>
      </c>
      <c r="AL203" s="153" t="e">
        <f ca="1">SUMIF([2]!COMPROMISOS_2024[[#All],[consecutivo]],Contrato5[[#This Row],[RCP]],[2]!COMPROMISOS_2024[[#All],[Total pagado]])</f>
        <v>#REF!</v>
      </c>
      <c r="AM203" s="154">
        <f ca="1">IFERROR(Contrato5[[#This Row],[Pagos]]/Contrato5[[#This Row],[VALOR CONTRATO]],0)</f>
        <v>0</v>
      </c>
      <c r="AN203" s="198" t="e">
        <f ca="1">+Contrato5[[#This Row],[VALOR CONTRATO]]-Contrato5[[#This Row],[Pagos]]</f>
        <v>#REF!</v>
      </c>
      <c r="AO203" s="147" t="e" cm="1">
        <f t="array" aca="1" ref="AO203" ca="1">_xlfn.XLOOKUP(Contrato5[[#This Row],[DOCUMENTO ]],[2]!PERSONAL_ACTIVO_2024[[#All],[Documento identidad]],[2]!PERSONAL_ACTIVO_2024[[#All],[Mail ]],0,0)</f>
        <v>#NAME?</v>
      </c>
      <c r="AP203" s="147" t="e" cm="1">
        <f t="array" aca="1" ref="AP203" ca="1">_xlfn.XLOOKUP(Contrato5[[#This Row],[DOCUMENTO]],[2]!PERSONAL_ACTIVO_2024[[#All],[Documento identidad]],[2]!PERSONAL_ACTIVO_2024[[#All],[Mail ]],0,0)</f>
        <v>#NAME?</v>
      </c>
      <c r="AQ203" s="439" cm="1">
        <f t="array" aca="1" ref="AQ203" ca="1">IF(ISBLANK(Contrato5[[#This Row],[DEPENDENCIA ]]),0,IFERROR(_xlfn.XLOOKUP(Contrato5[[#This Row],[DEPENDENCIA ]],[2]!PERSONAL_ACTIVO_2024[[#All],[Dependencia]],[2]!PERSONAL_ACTIVO_2024[[#All],[Mail ]],0,0),0))</f>
        <v>0</v>
      </c>
    </row>
    <row r="204" spans="1:43" ht="34.5" customHeight="1">
      <c r="A204" s="125">
        <v>328</v>
      </c>
      <c r="B204" s="124">
        <v>173</v>
      </c>
      <c r="C204" s="162" t="s">
        <v>641</v>
      </c>
      <c r="D204" s="227" t="s">
        <v>583</v>
      </c>
      <c r="E204" s="128" t="s">
        <v>94</v>
      </c>
      <c r="F204" s="163" t="s">
        <v>1376</v>
      </c>
      <c r="G204" s="190" t="s">
        <v>825</v>
      </c>
      <c r="H204" s="447">
        <v>1093224558</v>
      </c>
      <c r="I204" s="455">
        <v>6879081</v>
      </c>
      <c r="J204" s="456">
        <v>41274486</v>
      </c>
      <c r="K204" s="166" t="s">
        <v>42</v>
      </c>
      <c r="L204" s="438" t="s">
        <v>42</v>
      </c>
      <c r="M204" s="194" t="s">
        <v>600</v>
      </c>
      <c r="N204" s="177" t="e" cm="1">
        <f t="array" aca="1" ref="N204" ca="1">_xlfn.XLOOKUP(Contrato5[[#This Row],[SUPERVISOR TITULAR]],[2]!PERSONAL_ACTIVO_2024[[#All],[Nombre completo]],[2]!PERSONAL_ACTIVO_2024[[#All],[Documento identidad]],"",0)</f>
        <v>#NAME?</v>
      </c>
      <c r="O204" s="194" t="s">
        <v>2495</v>
      </c>
      <c r="P204" s="196" t="e" cm="1">
        <f t="array" aca="1" ref="P204" ca="1">_xlfn.XLOOKUP(Contrato5[[#This Row],[SUPERVISOR SUPLENTE ]],[2]!PERSONAL_ACTIVO_2024[[#All],[Nombre completo]],[2]!PERSONAL_ACTIVO_2024[[#All],[Documento identidad]],"",0)</f>
        <v>#NAME?</v>
      </c>
      <c r="Q204" s="208">
        <v>227</v>
      </c>
      <c r="R204" s="137" t="e" cm="1">
        <f t="array" aca="1" ref="R204" ca="1">_xlfn.XLOOKUP(Contrato5[[#This Row],[CDP]],[2]!DISPONIBILIDADES_2024[[#All],[consecutivo]],[2]!DISPONIBILIDADES_2024[[#All],[fecha_aprobacion]],"",0)</f>
        <v>#NAME?</v>
      </c>
      <c r="S204" s="138" t="e">
        <f>SUMIF([2]!DISPONIBILIDADES_2024[[#All],[consecutivo]],Contrato5[[#This Row],[CDP]],[2]!DISPONIBILIDADES_2024[[#All],[valor_total_rubro]])</f>
        <v>#REF!</v>
      </c>
      <c r="T204" s="139" t="e" cm="1">
        <f t="array" aca="1" ref="T204" ca="1">_xlfn.XLOOKUP(Contrato5[[#This Row],[CONTRATO]]&amp;Contrato5[[#This Row],[CDP]],[2]!Corr_Contr_CDP[[#All],[CONTRATO-CDP]],[2]!Corr_Contr_CDP[[#All],[CRP]],_xlfn.XLOOKUP(Contrato5[[#This Row],[CDP]],[2]!COMPROMISOS_2024[[#All],[disponibilidad]],[2]!COMPROMISOS_2024[[#All],[consecutivo]],"",0),0)</f>
        <v>#NAME?</v>
      </c>
      <c r="U204" s="140" t="e" cm="1">
        <f t="array" aca="1" ref="U204" ca="1">+_xlfn.XLOOKUP(Contrato5[[#This Row],[RCP]],[2]!COMPROMISOS_2024[[#All],[consecutivo]],[2]!COMPROMISOS_2024[[#All],[fecha_aprobacion]],"",0)</f>
        <v>#NAME?</v>
      </c>
      <c r="V204" s="141" t="e">
        <f ca="1">SUMIF([2]!COMPROMISOS_2024[[#All],[consecutivo]],Contrato5[[#This Row],[RCP]],[2]!COMPROMISOS_2024[[#All],[valor_total]])</f>
        <v>#REF!</v>
      </c>
      <c r="W204" s="415">
        <v>45341</v>
      </c>
      <c r="X204" s="415">
        <v>45341</v>
      </c>
      <c r="Y204" s="143">
        <v>45341</v>
      </c>
      <c r="Z204" s="262">
        <v>45522</v>
      </c>
      <c r="AA204" s="183" t="s">
        <v>826</v>
      </c>
      <c r="AB204" s="161" t="s">
        <v>640</v>
      </c>
      <c r="AC204" s="161"/>
      <c r="AD204" s="211">
        <v>202000003823</v>
      </c>
      <c r="AE204" s="147" t="s">
        <v>523</v>
      </c>
      <c r="AF204" s="148" t="str">
        <f>TEXT(LEFT(Contrato5[[#This Row],[CONTRATO]],3),"0")</f>
        <v>173</v>
      </c>
      <c r="AG204" s="148" t="str">
        <f>IF(LEN(Contrato5[[#This Row],[Contrato2]])=3,Contrato5[[#This Row],[Contrato2]],TEXT(Contrato5[[#This Row],[Contrato2]],"000"))</f>
        <v>173</v>
      </c>
      <c r="AH204" s="149">
        <f ca="1">IFERROR(_xlfn.DAYS(Contrato5[[#This Row],[Fecha Proyectada liquidación]],TODAY())/30,"")</f>
        <v>-3.8666666666666667</v>
      </c>
      <c r="AI204" s="150">
        <f>+Contrato5[[#This Row],[FECHA TERMINACIÓN ]]+120</f>
        <v>45642</v>
      </c>
      <c r="AJ204" s="147"/>
      <c r="AK204" s="152" t="str">
        <f ca="1">IF(Contrato5[[#This Row],[FECHA TERMINACIÓN ]]&lt;TODAY(), "Terminado",IF(ISNUMBER(Contrato5[[#This Row],[Fecha Real de liquiidación ]]),"Liquidado",IF(Contrato5[[#This Row],[FECHA TERMINACIÓN ]]&gt;=TODAY(),"En ejecución","")))</f>
        <v>Terminado</v>
      </c>
      <c r="AL204" s="153" t="e">
        <f ca="1">SUMIF([2]!COMPROMISOS_2024[[#All],[consecutivo]],Contrato5[[#This Row],[RCP]],[2]!COMPROMISOS_2024[[#All],[Total pagado]])</f>
        <v>#REF!</v>
      </c>
      <c r="AM204" s="154">
        <f ca="1">IFERROR(Contrato5[[#This Row],[Pagos]]/Contrato5[[#This Row],[VALOR CONTRATO]],0)</f>
        <v>0</v>
      </c>
      <c r="AN204" s="198" t="e">
        <f ca="1">+Contrato5[[#This Row],[VALOR CONTRATO]]-Contrato5[[#This Row],[Pagos]]</f>
        <v>#REF!</v>
      </c>
      <c r="AO204" s="147" t="e" cm="1">
        <f t="array" aca="1" ref="AO204" ca="1">_xlfn.XLOOKUP(Contrato5[[#This Row],[DOCUMENTO ]],[2]!PERSONAL_ACTIVO_2024[[#All],[Documento identidad]],[2]!PERSONAL_ACTIVO_2024[[#All],[Mail ]],0,0)</f>
        <v>#NAME?</v>
      </c>
      <c r="AP204" s="147" t="e" cm="1">
        <f t="array" aca="1" ref="AP204" ca="1">_xlfn.XLOOKUP(Contrato5[[#This Row],[DOCUMENTO]],[2]!PERSONAL_ACTIVO_2024[[#All],[Documento identidad]],[2]!PERSONAL_ACTIVO_2024[[#All],[Mail ]],0,0)</f>
        <v>#NAME?</v>
      </c>
      <c r="AQ204" s="439" cm="1">
        <f t="array" aca="1" ref="AQ204" ca="1">IF(ISBLANK(Contrato5[[#This Row],[DEPENDENCIA ]]),0,IFERROR(_xlfn.XLOOKUP(Contrato5[[#This Row],[DEPENDENCIA ]],[2]!PERSONAL_ACTIVO_2024[[#All],[Dependencia]],[2]!PERSONAL_ACTIVO_2024[[#All],[Mail ]],0,0),0))</f>
        <v>0</v>
      </c>
    </row>
    <row r="205" spans="1:43" ht="34.5" customHeight="1">
      <c r="A205" s="125">
        <v>45</v>
      </c>
      <c r="B205" s="124">
        <v>174</v>
      </c>
      <c r="C205" s="162" t="s">
        <v>2543</v>
      </c>
      <c r="D205" s="295" t="s">
        <v>631</v>
      </c>
      <c r="E205" s="128" t="s">
        <v>94</v>
      </c>
      <c r="F205" s="163" t="s">
        <v>1376</v>
      </c>
      <c r="G205" s="190" t="s">
        <v>827</v>
      </c>
      <c r="H205" s="447">
        <v>1037575009</v>
      </c>
      <c r="I205" s="455">
        <v>4191468</v>
      </c>
      <c r="J205" s="456">
        <v>25148808</v>
      </c>
      <c r="K205" s="166" t="s">
        <v>42</v>
      </c>
      <c r="L205" s="438" t="s">
        <v>42</v>
      </c>
      <c r="M205" s="194" t="s">
        <v>560</v>
      </c>
      <c r="N205" s="177" t="e" cm="1">
        <f t="array" aca="1" ref="N205" ca="1">_xlfn.XLOOKUP(Contrato5[[#This Row],[SUPERVISOR TITULAR]],[2]!PERSONAL_ACTIVO_2024[[#All],[Nombre completo]],[2]!PERSONAL_ACTIVO_2024[[#All],[Documento identidad]],"",0)</f>
        <v>#NAME?</v>
      </c>
      <c r="O205" s="194" t="s">
        <v>828</v>
      </c>
      <c r="P205" s="196" t="e" cm="1">
        <f t="array" aca="1" ref="P205" ca="1">_xlfn.XLOOKUP(Contrato5[[#This Row],[SUPERVISOR SUPLENTE ]],[2]!PERSONAL_ACTIVO_2024[[#All],[Nombre completo]],[2]!PERSONAL_ACTIVO_2024[[#All],[Documento identidad]],"",0)</f>
        <v>#NAME?</v>
      </c>
      <c r="Q205" s="208">
        <v>233</v>
      </c>
      <c r="R205" s="137" t="e" cm="1">
        <f t="array" aca="1" ref="R205" ca="1">_xlfn.XLOOKUP(Contrato5[[#This Row],[CDP]],[2]!DISPONIBILIDADES_2024[[#All],[consecutivo]],[2]!DISPONIBILIDADES_2024[[#All],[fecha_aprobacion]],"",0)</f>
        <v>#NAME?</v>
      </c>
      <c r="S205" s="138" t="e">
        <f>SUMIF([2]!DISPONIBILIDADES_2024[[#All],[consecutivo]],Contrato5[[#This Row],[CDP]],[2]!DISPONIBILIDADES_2024[[#All],[valor_total_rubro]])</f>
        <v>#REF!</v>
      </c>
      <c r="T205" s="139" t="e" cm="1">
        <f t="array" aca="1" ref="T205" ca="1">_xlfn.XLOOKUP(Contrato5[[#This Row],[CONTRATO]]&amp;Contrato5[[#This Row],[CDP]],[2]!Corr_Contr_CDP[[#All],[CONTRATO-CDP]],[2]!Corr_Contr_CDP[[#All],[CRP]],_xlfn.XLOOKUP(Contrato5[[#This Row],[CDP]],[2]!COMPROMISOS_2024[[#All],[disponibilidad]],[2]!COMPROMISOS_2024[[#All],[consecutivo]],"",0),0)</f>
        <v>#NAME?</v>
      </c>
      <c r="U205" s="140" t="e" cm="1">
        <f t="array" aca="1" ref="U205" ca="1">+_xlfn.XLOOKUP(Contrato5[[#This Row],[RCP]],[2]!COMPROMISOS_2024[[#All],[consecutivo]],[2]!COMPROMISOS_2024[[#All],[fecha_aprobacion]],"",0)</f>
        <v>#NAME?</v>
      </c>
      <c r="V205" s="141" t="e">
        <f ca="1">SUMIF([2]!COMPROMISOS_2024[[#All],[consecutivo]],Contrato5[[#This Row],[RCP]],[2]!COMPROMISOS_2024[[#All],[valor_total]])</f>
        <v>#REF!</v>
      </c>
      <c r="W205" s="415">
        <v>45343</v>
      </c>
      <c r="X205" s="415">
        <v>45345</v>
      </c>
      <c r="Y205" s="143">
        <v>45344</v>
      </c>
      <c r="Z205" s="262">
        <v>45525</v>
      </c>
      <c r="AA205" s="193" t="s">
        <v>829</v>
      </c>
      <c r="AB205" s="161" t="s">
        <v>640</v>
      </c>
      <c r="AC205" s="161"/>
      <c r="AD205" s="211">
        <v>202000003825</v>
      </c>
      <c r="AE205" s="147" t="s">
        <v>523</v>
      </c>
      <c r="AF205" s="148" t="str">
        <f>TEXT(LEFT(Contrato5[[#This Row],[CONTRATO]],3),"0")</f>
        <v>174</v>
      </c>
      <c r="AG205" s="148" t="str">
        <f>IF(LEN(Contrato5[[#This Row],[Contrato2]])=3,Contrato5[[#This Row],[Contrato2]],TEXT(Contrato5[[#This Row],[Contrato2]],"000"))</f>
        <v>174</v>
      </c>
      <c r="AH205" s="149">
        <f ca="1">IFERROR(_xlfn.DAYS(Contrato5[[#This Row],[Fecha Proyectada liquidación]],TODAY())/30,"")</f>
        <v>-3.7666666666666666</v>
      </c>
      <c r="AI205" s="150">
        <f>+Contrato5[[#This Row],[FECHA TERMINACIÓN ]]+120</f>
        <v>45645</v>
      </c>
      <c r="AJ205" s="147"/>
      <c r="AK205" s="152" t="str">
        <f ca="1">IF(Contrato5[[#This Row],[FECHA TERMINACIÓN ]]&lt;TODAY(), "Terminado",IF(ISNUMBER(Contrato5[[#This Row],[Fecha Real de liquiidación ]]),"Liquidado",IF(Contrato5[[#This Row],[FECHA TERMINACIÓN ]]&gt;=TODAY(),"En ejecución","")))</f>
        <v>Terminado</v>
      </c>
      <c r="AL205" s="153" t="e">
        <f ca="1">SUMIF([2]!COMPROMISOS_2024[[#All],[consecutivo]],Contrato5[[#This Row],[RCP]],[2]!COMPROMISOS_2024[[#All],[Total pagado]])</f>
        <v>#REF!</v>
      </c>
      <c r="AM205" s="154">
        <f ca="1">IFERROR(Contrato5[[#This Row],[Pagos]]/Contrato5[[#This Row],[VALOR CONTRATO]],0)</f>
        <v>0</v>
      </c>
      <c r="AN205" s="198" t="e">
        <f ca="1">+Contrato5[[#This Row],[VALOR CONTRATO]]-Contrato5[[#This Row],[Pagos]]</f>
        <v>#REF!</v>
      </c>
      <c r="AO205" s="147" t="e" cm="1">
        <f t="array" aca="1" ref="AO205" ca="1">_xlfn.XLOOKUP(Contrato5[[#This Row],[DOCUMENTO ]],[2]!PERSONAL_ACTIVO_2024[[#All],[Documento identidad]],[2]!PERSONAL_ACTIVO_2024[[#All],[Mail ]],0,0)</f>
        <v>#NAME?</v>
      </c>
      <c r="AP205" s="147" t="e" cm="1">
        <f t="array" aca="1" ref="AP205" ca="1">_xlfn.XLOOKUP(Contrato5[[#This Row],[DOCUMENTO]],[2]!PERSONAL_ACTIVO_2024[[#All],[Documento identidad]],[2]!PERSONAL_ACTIVO_2024[[#All],[Mail ]],0,0)</f>
        <v>#NAME?</v>
      </c>
      <c r="AQ205" s="439" cm="1">
        <f t="array" aca="1" ref="AQ205" ca="1">IF(ISBLANK(Contrato5[[#This Row],[DEPENDENCIA ]]),0,IFERROR(_xlfn.XLOOKUP(Contrato5[[#This Row],[DEPENDENCIA ]],[2]!PERSONAL_ACTIVO_2024[[#All],[Dependencia]],[2]!PERSONAL_ACTIVO_2024[[#All],[Mail ]],0,0),0))</f>
        <v>0</v>
      </c>
    </row>
    <row r="206" spans="1:43" ht="34.5" customHeight="1">
      <c r="A206" s="125">
        <v>543</v>
      </c>
      <c r="B206" s="124">
        <v>175</v>
      </c>
      <c r="C206" s="162" t="s">
        <v>433</v>
      </c>
      <c r="D206" s="227" t="s">
        <v>515</v>
      </c>
      <c r="E206" s="128" t="s">
        <v>94</v>
      </c>
      <c r="F206" s="163" t="s">
        <v>1376</v>
      </c>
      <c r="G206" s="190" t="s">
        <v>830</v>
      </c>
      <c r="H206" s="447">
        <v>1039024659</v>
      </c>
      <c r="I206" s="455">
        <v>6879081</v>
      </c>
      <c r="J206" s="456">
        <v>60153567</v>
      </c>
      <c r="K206" s="131" t="s">
        <v>831</v>
      </c>
      <c r="L206" s="438" t="s">
        <v>42</v>
      </c>
      <c r="M206" s="194" t="s">
        <v>823</v>
      </c>
      <c r="N206" s="177" t="e" cm="1">
        <f t="array" aca="1" ref="N206" ca="1">_xlfn.XLOOKUP(Contrato5[[#This Row],[SUPERVISOR TITULAR]],[2]!PERSONAL_ACTIVO_2024[[#All],[Nombre completo]],[2]!PERSONAL_ACTIVO_2024[[#All],[Documento identidad]],"",0)</f>
        <v>#NAME?</v>
      </c>
      <c r="O206" s="194" t="s">
        <v>822</v>
      </c>
      <c r="P206" s="196" t="e" cm="1">
        <f t="array" aca="1" ref="P206" ca="1">_xlfn.XLOOKUP(Contrato5[[#This Row],[SUPERVISOR SUPLENTE ]],[2]!PERSONAL_ACTIVO_2024[[#All],[Nombre completo]],[2]!PERSONAL_ACTIVO_2024[[#All],[Documento identidad]],"",0)</f>
        <v>#NAME?</v>
      </c>
      <c r="Q206" s="208">
        <v>232</v>
      </c>
      <c r="R206" s="137" t="e" cm="1">
        <f t="array" aca="1" ref="R206" ca="1">_xlfn.XLOOKUP(Contrato5[[#This Row],[CDP]],[2]!DISPONIBILIDADES_2024[[#All],[consecutivo]],[2]!DISPONIBILIDADES_2024[[#All],[fecha_aprobacion]],"",0)</f>
        <v>#NAME?</v>
      </c>
      <c r="S206" s="138" t="e">
        <f>SUMIF([2]!DISPONIBILIDADES_2024[[#All],[consecutivo]],Contrato5[[#This Row],[CDP]],[2]!DISPONIBILIDADES_2024[[#All],[valor_total_rubro]])</f>
        <v>#REF!</v>
      </c>
      <c r="T206" s="139" t="e" cm="1">
        <f t="array" aca="1" ref="T206" ca="1">_xlfn.XLOOKUP(Contrato5[[#This Row],[CONTRATO]]&amp;Contrato5[[#This Row],[CDP]],[2]!Corr_Contr_CDP[[#All],[CONTRATO-CDP]],[2]!Corr_Contr_CDP[[#All],[CRP]],_xlfn.XLOOKUP(Contrato5[[#This Row],[CDP]],[2]!COMPROMISOS_2024[[#All],[disponibilidad]],[2]!COMPROMISOS_2024[[#All],[consecutivo]],"",0),0)</f>
        <v>#NAME?</v>
      </c>
      <c r="U206" s="140" t="e" cm="1">
        <f t="array" aca="1" ref="U206" ca="1">+_xlfn.XLOOKUP(Contrato5[[#This Row],[RCP]],[2]!COMPROMISOS_2024[[#All],[consecutivo]],[2]!COMPROMISOS_2024[[#All],[fecha_aprobacion]],"",0)</f>
        <v>#NAME?</v>
      </c>
      <c r="V206" s="141" t="e">
        <f ca="1">SUMIF([2]!COMPROMISOS_2024[[#All],[consecutivo]],Contrato5[[#This Row],[RCP]],[2]!COMPROMISOS_2024[[#All],[valor_total]])</f>
        <v>#REF!</v>
      </c>
      <c r="W206" s="415">
        <v>45351</v>
      </c>
      <c r="X206" s="415">
        <v>45352</v>
      </c>
      <c r="Y206" s="143">
        <v>45355</v>
      </c>
      <c r="Z206" s="262">
        <v>45568</v>
      </c>
      <c r="AA206" s="240" t="s">
        <v>832</v>
      </c>
      <c r="AB206" s="238" t="s">
        <v>618</v>
      </c>
      <c r="AC206" s="161"/>
      <c r="AD206" s="211">
        <v>202000003980</v>
      </c>
      <c r="AE206" s="147" t="s">
        <v>523</v>
      </c>
      <c r="AF206" s="148" t="str">
        <f>TEXT(LEFT(Contrato5[[#This Row],[CONTRATO]],3),"0")</f>
        <v>175</v>
      </c>
      <c r="AG206" s="148" t="str">
        <f>IF(LEN(Contrato5[[#This Row],[Contrato2]])=3,Contrato5[[#This Row],[Contrato2]],TEXT(Contrato5[[#This Row],[Contrato2]],"000"))</f>
        <v>175</v>
      </c>
      <c r="AH206" s="149">
        <f ca="1">IFERROR(_xlfn.DAYS(Contrato5[[#This Row],[Fecha Proyectada liquidación]],TODAY())/30,"")</f>
        <v>-2.3333333333333335</v>
      </c>
      <c r="AI206" s="150">
        <f>+Contrato5[[#This Row],[FECHA TERMINACIÓN ]]+120</f>
        <v>45688</v>
      </c>
      <c r="AJ206" s="147"/>
      <c r="AK206" s="152" t="str">
        <f ca="1">IF(Contrato5[[#This Row],[FECHA TERMINACIÓN ]]&lt;TODAY(), "Terminado",IF(ISNUMBER(Contrato5[[#This Row],[Fecha Real de liquiidación ]]),"Liquidado",IF(Contrato5[[#This Row],[FECHA TERMINACIÓN ]]&gt;=TODAY(),"En ejecución","")))</f>
        <v>Terminado</v>
      </c>
      <c r="AL206" s="153" t="e">
        <f ca="1">SUMIF([2]!COMPROMISOS_2024[[#All],[consecutivo]],Contrato5[[#This Row],[RCP]],[2]!COMPROMISOS_2024[[#All],[Total pagado]])</f>
        <v>#REF!</v>
      </c>
      <c r="AM206" s="154">
        <f ca="1">IFERROR(Contrato5[[#This Row],[Pagos]]/Contrato5[[#This Row],[VALOR CONTRATO]],0)</f>
        <v>0</v>
      </c>
      <c r="AN206" s="198" t="e">
        <f ca="1">+Contrato5[[#This Row],[VALOR CONTRATO]]-Contrato5[[#This Row],[Pagos]]</f>
        <v>#REF!</v>
      </c>
      <c r="AO206" s="147" t="e" cm="1">
        <f t="array" aca="1" ref="AO206" ca="1">_xlfn.XLOOKUP(Contrato5[[#This Row],[DOCUMENTO ]],[2]!PERSONAL_ACTIVO_2024[[#All],[Documento identidad]],[2]!PERSONAL_ACTIVO_2024[[#All],[Mail ]],0,0)</f>
        <v>#NAME?</v>
      </c>
      <c r="AP206" s="147" t="e" cm="1">
        <f t="array" aca="1" ref="AP206" ca="1">_xlfn.XLOOKUP(Contrato5[[#This Row],[DOCUMENTO]],[2]!PERSONAL_ACTIVO_2024[[#All],[Documento identidad]],[2]!PERSONAL_ACTIVO_2024[[#All],[Mail ]],0,0)</f>
        <v>#NAME?</v>
      </c>
      <c r="AQ206" s="439" cm="1">
        <f t="array" aca="1" ref="AQ206" ca="1">IF(ISBLANK(Contrato5[[#This Row],[DEPENDENCIA ]]),0,IFERROR(_xlfn.XLOOKUP(Contrato5[[#This Row],[DEPENDENCIA ]],[2]!PERSONAL_ACTIVO_2024[[#All],[Dependencia]],[2]!PERSONAL_ACTIVO_2024[[#All],[Mail ]],0,0),0))</f>
        <v>0</v>
      </c>
    </row>
    <row r="207" spans="1:43" ht="34.5" customHeight="1">
      <c r="A207" s="125">
        <v>1138</v>
      </c>
      <c r="B207" s="124">
        <v>175</v>
      </c>
      <c r="C207" s="162" t="s">
        <v>2401</v>
      </c>
      <c r="D207" s="227" t="s">
        <v>515</v>
      </c>
      <c r="E207" s="128" t="s">
        <v>2148</v>
      </c>
      <c r="F207" s="163" t="s">
        <v>1376</v>
      </c>
      <c r="G207" s="190" t="s">
        <v>830</v>
      </c>
      <c r="H207" s="447">
        <v>1039024659</v>
      </c>
      <c r="I207" s="455">
        <v>6879081</v>
      </c>
      <c r="J207" s="456">
        <v>28049335</v>
      </c>
      <c r="K207" s="131" t="s">
        <v>2544</v>
      </c>
      <c r="L207" s="438" t="s">
        <v>2462</v>
      </c>
      <c r="M207" s="194" t="s">
        <v>823</v>
      </c>
      <c r="N207" s="177" t="e" cm="1">
        <f t="array" aca="1" ref="N207" ca="1">_xlfn.XLOOKUP(Contrato5[[#This Row],[SUPERVISOR TITULAR]],[2]!PERSONAL_ACTIVO_2024[[#All],[Nombre completo]],[2]!PERSONAL_ACTIVO_2024[[#All],[Documento identidad]],"",0)</f>
        <v>#NAME?</v>
      </c>
      <c r="O207" s="194" t="s">
        <v>822</v>
      </c>
      <c r="P207" s="196" t="e" cm="1">
        <f t="array" aca="1" ref="P207" ca="1">_xlfn.XLOOKUP(Contrato5[[#This Row],[SUPERVISOR SUPLENTE ]],[2]!PERSONAL_ACTIVO_2024[[#All],[Nombre completo]],[2]!PERSONAL_ACTIVO_2024[[#All],[Documento identidad]],"",0)</f>
        <v>#NAME?</v>
      </c>
      <c r="Q207" s="208">
        <v>935</v>
      </c>
      <c r="R207" s="137" t="e" cm="1">
        <f t="array" aca="1" ref="R207" ca="1">_xlfn.XLOOKUP(Contrato5[[#This Row],[CDP]],[2]!DISPONIBILIDADES_2024[[#All],[consecutivo]],[2]!DISPONIBILIDADES_2024[[#All],[fecha_aprobacion]],"",0)</f>
        <v>#NAME?</v>
      </c>
      <c r="S207" s="138" t="e">
        <f>SUMIF([2]!DISPONIBILIDADES_2024[[#All],[consecutivo]],Contrato5[[#This Row],[CDP]],[2]!DISPONIBILIDADES_2024[[#All],[valor_total_rubro]])</f>
        <v>#REF!</v>
      </c>
      <c r="T207" s="139" t="e" cm="1">
        <f t="array" aca="1" ref="T207" ca="1">_xlfn.XLOOKUP(Contrato5[[#This Row],[CONTRATO]]&amp;Contrato5[[#This Row],[CDP]],[2]!Corr_Contr_CDP[[#All],[CONTRATO-CDP]],[2]!Corr_Contr_CDP[[#All],[CRP]],_xlfn.XLOOKUP(Contrato5[[#This Row],[CDP]],[2]!COMPROMISOS_2024[[#All],[disponibilidad]],[2]!COMPROMISOS_2024[[#All],[consecutivo]],"",0),0)</f>
        <v>#NAME?</v>
      </c>
      <c r="U207" s="140" t="e" cm="1">
        <f t="array" aca="1" ref="U207" ca="1">+_xlfn.XLOOKUP(Contrato5[[#This Row],[RCP]],[2]!COMPROMISOS_2024[[#All],[consecutivo]],[2]!COMPROMISOS_2024[[#All],[fecha_aprobacion]],"",0)</f>
        <v>#NAME?</v>
      </c>
      <c r="V207" s="141" t="e">
        <f ca="1">SUMIF([2]!COMPROMISOS_2024[[#All],[consecutivo]],Contrato5[[#This Row],[RCP]],[2]!COMPROMISOS_2024[[#All],[valor_total]])</f>
        <v>#REF!</v>
      </c>
      <c r="W207" s="415">
        <v>45567</v>
      </c>
      <c r="X207" s="415">
        <v>45569</v>
      </c>
      <c r="Y207" s="143">
        <v>45569</v>
      </c>
      <c r="Z207" s="262">
        <v>45656</v>
      </c>
      <c r="AA207" s="240"/>
      <c r="AB207" s="238" t="s">
        <v>2545</v>
      </c>
      <c r="AC207" s="161"/>
      <c r="AD207" s="211">
        <v>202000003980</v>
      </c>
      <c r="AE207" s="147" t="s">
        <v>523</v>
      </c>
      <c r="AF207" s="148" t="str">
        <f>TEXT(LEFT(Contrato5[[#This Row],[CONTRATO]],3),"0")</f>
        <v>175</v>
      </c>
      <c r="AG207" s="148" t="str">
        <f>IF(LEN(Contrato5[[#This Row],[Contrato2]])=3,Contrato5[[#This Row],[Contrato2]],TEXT(Contrato5[[#This Row],[Contrato2]],"000"))</f>
        <v>175</v>
      </c>
      <c r="AH207" s="149">
        <f ca="1">IFERROR(_xlfn.DAYS(Contrato5[[#This Row],[Fecha Proyectada liquidación]],TODAY())/30,"")</f>
        <v>0.6</v>
      </c>
      <c r="AI207" s="150">
        <f>+Contrato5[[#This Row],[FECHA TERMINACIÓN ]]+120</f>
        <v>45776</v>
      </c>
      <c r="AJ207" s="147"/>
      <c r="AK207" s="152" t="str">
        <f ca="1">IF(Contrato5[[#This Row],[FECHA TERMINACIÓN ]]&lt;TODAY(), "Terminado",IF(ISNUMBER(Contrato5[[#This Row],[Fecha Real de liquiidación ]]),"Liquidado",IF(Contrato5[[#This Row],[FECHA TERMINACIÓN ]]&gt;=TODAY(),"En ejecución","")))</f>
        <v>Terminado</v>
      </c>
      <c r="AL207" s="153" t="e">
        <f ca="1">SUMIF([2]!COMPROMISOS_2024[[#All],[consecutivo]],Contrato5[[#This Row],[RCP]],[2]!COMPROMISOS_2024[[#All],[Total pagado]])</f>
        <v>#REF!</v>
      </c>
      <c r="AM207" s="154">
        <f ca="1">IFERROR(Contrato5[[#This Row],[Pagos]]/Contrato5[[#This Row],[VALOR CONTRATO]],0)</f>
        <v>0</v>
      </c>
      <c r="AN207" s="198" t="e">
        <f ca="1">+Contrato5[[#This Row],[VALOR CONTRATO]]-Contrato5[[#This Row],[Pagos]]</f>
        <v>#REF!</v>
      </c>
      <c r="AO207" s="147" t="e" cm="1">
        <f t="array" aca="1" ref="AO207" ca="1">_xlfn.XLOOKUP(Contrato5[[#This Row],[DOCUMENTO ]],[2]!PERSONAL_ACTIVO_2024[[#All],[Documento identidad]],[2]!PERSONAL_ACTIVO_2024[[#All],[Mail ]],0,0)</f>
        <v>#NAME?</v>
      </c>
      <c r="AP207" s="147" t="e" cm="1">
        <f t="array" aca="1" ref="AP207" ca="1">_xlfn.XLOOKUP(Contrato5[[#This Row],[DOCUMENTO]],[2]!PERSONAL_ACTIVO_2024[[#All],[Documento identidad]],[2]!PERSONAL_ACTIVO_2024[[#All],[Mail ]],0,0)</f>
        <v>#NAME?</v>
      </c>
      <c r="AQ207" s="439" cm="1">
        <f t="array" aca="1" ref="AQ207" ca="1">IF(ISBLANK(Contrato5[[#This Row],[DEPENDENCIA ]]),0,IFERROR(_xlfn.XLOOKUP(Contrato5[[#This Row],[DEPENDENCIA ]],[2]!PERSONAL_ACTIVO_2024[[#All],[Dependencia]],[2]!PERSONAL_ACTIVO_2024[[#All],[Mail ]],0,0),0))</f>
        <v>0</v>
      </c>
    </row>
    <row r="208" spans="1:43" ht="34.5" customHeight="1">
      <c r="A208" s="125">
        <v>526</v>
      </c>
      <c r="B208" s="124">
        <v>176</v>
      </c>
      <c r="C208" s="162" t="s">
        <v>833</v>
      </c>
      <c r="D208" s="227" t="s">
        <v>515</v>
      </c>
      <c r="E208" s="128" t="s">
        <v>94</v>
      </c>
      <c r="F208" s="163" t="s">
        <v>1376</v>
      </c>
      <c r="G208" s="190" t="s">
        <v>834</v>
      </c>
      <c r="H208" s="447">
        <v>1017123832</v>
      </c>
      <c r="I208" s="455">
        <v>9346824</v>
      </c>
      <c r="J208" s="456">
        <v>66080944</v>
      </c>
      <c r="K208" s="131" t="s">
        <v>835</v>
      </c>
      <c r="L208" s="438" t="s">
        <v>42</v>
      </c>
      <c r="M208" s="194" t="s">
        <v>836</v>
      </c>
      <c r="N208" s="177" t="e" cm="1">
        <f t="array" aca="1" ref="N208" ca="1">_xlfn.XLOOKUP(Contrato5[[#This Row],[SUPERVISOR TITULAR]],[2]!PERSONAL_ACTIVO_2024[[#All],[Nombre completo]],[2]!PERSONAL_ACTIVO_2024[[#All],[Documento identidad]],"",0)</f>
        <v>#NAME?</v>
      </c>
      <c r="O208" s="194" t="s">
        <v>2546</v>
      </c>
      <c r="P208" s="196" t="e" cm="1">
        <f t="array" aca="1" ref="P208" ca="1">_xlfn.XLOOKUP(Contrato5[[#This Row],[SUPERVISOR SUPLENTE ]],[2]!PERSONAL_ACTIVO_2024[[#All],[Nombre completo]],[2]!PERSONAL_ACTIVO_2024[[#All],[Documento identidad]],"",0)</f>
        <v>#NAME?</v>
      </c>
      <c r="Q208" s="208">
        <v>209</v>
      </c>
      <c r="R208" s="137" t="e" cm="1">
        <f t="array" aca="1" ref="R208" ca="1">_xlfn.XLOOKUP(Contrato5[[#This Row],[CDP]],[2]!DISPONIBILIDADES_2024[[#All],[consecutivo]],[2]!DISPONIBILIDADES_2024[[#All],[fecha_aprobacion]],"",0)</f>
        <v>#NAME?</v>
      </c>
      <c r="S208" s="138" t="e">
        <f>SUMIF([2]!DISPONIBILIDADES_2024[[#All],[consecutivo]],Contrato5[[#This Row],[CDP]],[2]!DISPONIBILIDADES_2024[[#All],[valor_total_rubro]])</f>
        <v>#REF!</v>
      </c>
      <c r="T208" s="139" t="e" cm="1">
        <f t="array" aca="1" ref="T208" ca="1">_xlfn.XLOOKUP(Contrato5[[#This Row],[CONTRATO]]&amp;Contrato5[[#This Row],[CDP]],[2]!Corr_Contr_CDP[[#All],[CONTRATO-CDP]],[2]!Corr_Contr_CDP[[#All],[CRP]],_xlfn.XLOOKUP(Contrato5[[#This Row],[CDP]],[2]!COMPROMISOS_2024[[#All],[disponibilidad]],[2]!COMPROMISOS_2024[[#All],[consecutivo]],"",0),0)</f>
        <v>#NAME?</v>
      </c>
      <c r="U208" s="140" t="e" cm="1">
        <f t="array" aca="1" ref="U208" ca="1">+_xlfn.XLOOKUP(Contrato5[[#This Row],[RCP]],[2]!COMPROMISOS_2024[[#All],[consecutivo]],[2]!COMPROMISOS_2024[[#All],[fecha_aprobacion]],"",0)</f>
        <v>#NAME?</v>
      </c>
      <c r="V208" s="141" t="e">
        <f ca="1">SUMIF([2]!COMPROMISOS_2024[[#All],[consecutivo]],Contrato5[[#This Row],[RCP]],[2]!COMPROMISOS_2024[[#All],[valor_total]])</f>
        <v>#REF!</v>
      </c>
      <c r="W208" s="415">
        <v>45344</v>
      </c>
      <c r="X208" s="415">
        <v>45345</v>
      </c>
      <c r="Y208" s="143">
        <v>45344</v>
      </c>
      <c r="Z208" s="262">
        <v>45525</v>
      </c>
      <c r="AA208" s="239" t="s">
        <v>837</v>
      </c>
      <c r="AB208" s="161" t="s">
        <v>640</v>
      </c>
      <c r="AC208" s="161"/>
      <c r="AD208" s="211">
        <v>202000003827</v>
      </c>
      <c r="AE208" s="147" t="s">
        <v>523</v>
      </c>
      <c r="AF208" s="148" t="str">
        <f>TEXT(LEFT(Contrato5[[#This Row],[CONTRATO]],3),"0")</f>
        <v>176</v>
      </c>
      <c r="AG208" s="148" t="str">
        <f>IF(LEN(Contrato5[[#This Row],[Contrato2]])=3,Contrato5[[#This Row],[Contrato2]],TEXT(Contrato5[[#This Row],[Contrato2]],"000"))</f>
        <v>176</v>
      </c>
      <c r="AH208" s="149">
        <f ca="1">IFERROR(_xlfn.DAYS(Contrato5[[#This Row],[Fecha Proyectada liquidación]],TODAY())/30,"")</f>
        <v>-3.7666666666666666</v>
      </c>
      <c r="AI208" s="150">
        <f>+Contrato5[[#This Row],[FECHA TERMINACIÓN ]]+120</f>
        <v>45645</v>
      </c>
      <c r="AJ208" s="147"/>
      <c r="AK208" s="152" t="str">
        <f ca="1">IF(Contrato5[[#This Row],[FECHA TERMINACIÓN ]]&lt;TODAY(), "Terminado",IF(ISNUMBER(Contrato5[[#This Row],[Fecha Real de liquiidación ]]),"Liquidado",IF(Contrato5[[#This Row],[FECHA TERMINACIÓN ]]&gt;=TODAY(),"En ejecución","")))</f>
        <v>Terminado</v>
      </c>
      <c r="AL208" s="153" t="e">
        <f ca="1">SUMIF([2]!COMPROMISOS_2024[[#All],[consecutivo]],Contrato5[[#This Row],[RCP]],[2]!COMPROMISOS_2024[[#All],[Total pagado]])</f>
        <v>#REF!</v>
      </c>
      <c r="AM208" s="154">
        <f ca="1">IFERROR(Contrato5[[#This Row],[Pagos]]/Contrato5[[#This Row],[VALOR CONTRATO]],0)</f>
        <v>0</v>
      </c>
      <c r="AN208" s="198" t="e">
        <f ca="1">+Contrato5[[#This Row],[VALOR CONTRATO]]-Contrato5[[#This Row],[Pagos]]</f>
        <v>#REF!</v>
      </c>
      <c r="AO208" s="147" t="e" cm="1">
        <f t="array" aca="1" ref="AO208" ca="1">_xlfn.XLOOKUP(Contrato5[[#This Row],[DOCUMENTO ]],[2]!PERSONAL_ACTIVO_2024[[#All],[Documento identidad]],[2]!PERSONAL_ACTIVO_2024[[#All],[Mail ]],0,0)</f>
        <v>#NAME?</v>
      </c>
      <c r="AP208" s="147" t="e" cm="1">
        <f t="array" aca="1" ref="AP208" ca="1">_xlfn.XLOOKUP(Contrato5[[#This Row],[DOCUMENTO]],[2]!PERSONAL_ACTIVO_2024[[#All],[Documento identidad]],[2]!PERSONAL_ACTIVO_2024[[#All],[Mail ]],0,0)</f>
        <v>#NAME?</v>
      </c>
      <c r="AQ208" s="439" cm="1">
        <f t="array" aca="1" ref="AQ208" ca="1">IF(ISBLANK(Contrato5[[#This Row],[DEPENDENCIA ]]),0,IFERROR(_xlfn.XLOOKUP(Contrato5[[#This Row],[DEPENDENCIA ]],[2]!PERSONAL_ACTIVO_2024[[#All],[Dependencia]],[2]!PERSONAL_ACTIVO_2024[[#All],[Mail ]],0,0),0))</f>
        <v>0</v>
      </c>
    </row>
    <row r="209" spans="1:43" ht="34.5" customHeight="1">
      <c r="A209" s="125">
        <v>527</v>
      </c>
      <c r="B209" s="124">
        <v>177</v>
      </c>
      <c r="C209" s="162" t="s">
        <v>1347</v>
      </c>
      <c r="D209" s="227" t="s">
        <v>493</v>
      </c>
      <c r="E209" s="128" t="s">
        <v>94</v>
      </c>
      <c r="F209" s="163" t="s">
        <v>1376</v>
      </c>
      <c r="G209" s="190" t="s">
        <v>838</v>
      </c>
      <c r="H209" s="447">
        <v>1037571358</v>
      </c>
      <c r="I209" s="455">
        <v>10359658</v>
      </c>
      <c r="J209" s="456">
        <v>62157948</v>
      </c>
      <c r="K209" s="166" t="s">
        <v>42</v>
      </c>
      <c r="L209" s="438" t="s">
        <v>42</v>
      </c>
      <c r="M209" s="194" t="s">
        <v>497</v>
      </c>
      <c r="N209" s="177" t="e" cm="1">
        <f t="array" aca="1" ref="N209" ca="1">_xlfn.XLOOKUP(Contrato5[[#This Row],[SUPERVISOR TITULAR]],[2]!PERSONAL_ACTIVO_2024[[#All],[Nombre completo]],[2]!PERSONAL_ACTIVO_2024[[#All],[Documento identidad]],"",0)</f>
        <v>#NAME?</v>
      </c>
      <c r="O209" s="194" t="s">
        <v>498</v>
      </c>
      <c r="P209" s="196" t="e" cm="1">
        <f t="array" aca="1" ref="P209" ca="1">_xlfn.XLOOKUP(Contrato5[[#This Row],[SUPERVISOR SUPLENTE ]],[2]!PERSONAL_ACTIVO_2024[[#All],[Nombre completo]],[2]!PERSONAL_ACTIVO_2024[[#All],[Documento identidad]],"",0)</f>
        <v>#NAME?</v>
      </c>
      <c r="Q209" s="208">
        <v>204</v>
      </c>
      <c r="R209" s="137" t="e" cm="1">
        <f t="array" aca="1" ref="R209" ca="1">_xlfn.XLOOKUP(Contrato5[[#This Row],[CDP]],[2]!DISPONIBILIDADES_2024[[#All],[consecutivo]],[2]!DISPONIBILIDADES_2024[[#All],[fecha_aprobacion]],"",0)</f>
        <v>#NAME?</v>
      </c>
      <c r="S209" s="138" t="e">
        <f>SUMIF([2]!DISPONIBILIDADES_2024[[#All],[consecutivo]],Contrato5[[#This Row],[CDP]],[2]!DISPONIBILIDADES_2024[[#All],[valor_total_rubro]])</f>
        <v>#REF!</v>
      </c>
      <c r="T209" s="139" t="e" cm="1">
        <f t="array" aca="1" ref="T209" ca="1">_xlfn.XLOOKUP(Contrato5[[#This Row],[CONTRATO]]&amp;Contrato5[[#This Row],[CDP]],[2]!Corr_Contr_CDP[[#All],[CONTRATO-CDP]],[2]!Corr_Contr_CDP[[#All],[CRP]],_xlfn.XLOOKUP(Contrato5[[#This Row],[CDP]],[2]!COMPROMISOS_2024[[#All],[disponibilidad]],[2]!COMPROMISOS_2024[[#All],[consecutivo]],"",0),0)</f>
        <v>#NAME?</v>
      </c>
      <c r="U209" s="140" t="e" cm="1">
        <f t="array" aca="1" ref="U209" ca="1">+_xlfn.XLOOKUP(Contrato5[[#This Row],[RCP]],[2]!COMPROMISOS_2024[[#All],[consecutivo]],[2]!COMPROMISOS_2024[[#All],[fecha_aprobacion]],"",0)</f>
        <v>#NAME?</v>
      </c>
      <c r="V209" s="141" t="e">
        <f ca="1">SUMIF([2]!COMPROMISOS_2024[[#All],[consecutivo]],Contrato5[[#This Row],[RCP]],[2]!COMPROMISOS_2024[[#All],[valor_total]])</f>
        <v>#REF!</v>
      </c>
      <c r="W209" s="415">
        <v>45344</v>
      </c>
      <c r="X209" s="415">
        <v>45345</v>
      </c>
      <c r="Y209" s="143">
        <v>45344</v>
      </c>
      <c r="Z209" s="262">
        <v>45525</v>
      </c>
      <c r="AA209" s="193" t="s">
        <v>839</v>
      </c>
      <c r="AB209" s="161" t="s">
        <v>640</v>
      </c>
      <c r="AC209" s="161"/>
      <c r="AD209" s="211">
        <v>202000003835</v>
      </c>
      <c r="AE209" s="147" t="s">
        <v>523</v>
      </c>
      <c r="AF209" s="148" t="str">
        <f>TEXT(LEFT(Contrato5[[#This Row],[CONTRATO]],3),"0")</f>
        <v>177</v>
      </c>
      <c r="AG209" s="148" t="str">
        <f>IF(LEN(Contrato5[[#This Row],[Contrato2]])=3,Contrato5[[#This Row],[Contrato2]],TEXT(Contrato5[[#This Row],[Contrato2]],"000"))</f>
        <v>177</v>
      </c>
      <c r="AH209" s="149">
        <f ca="1">IFERROR(_xlfn.DAYS(Contrato5[[#This Row],[Fecha Proyectada liquidación]],TODAY())/30,"")</f>
        <v>-3.7666666666666666</v>
      </c>
      <c r="AI209" s="150">
        <f>+Contrato5[[#This Row],[FECHA TERMINACIÓN ]]+120</f>
        <v>45645</v>
      </c>
      <c r="AJ209" s="147"/>
      <c r="AK209" s="152" t="str">
        <f ca="1">IF(Contrato5[[#This Row],[FECHA TERMINACIÓN ]]&lt;TODAY(), "Terminado",IF(ISNUMBER(Contrato5[[#This Row],[Fecha Real de liquiidación ]]),"Liquidado",IF(Contrato5[[#This Row],[FECHA TERMINACIÓN ]]&gt;=TODAY(),"En ejecución","")))</f>
        <v>Terminado</v>
      </c>
      <c r="AL209" s="153" t="e">
        <f ca="1">SUMIF([2]!COMPROMISOS_2024[[#All],[consecutivo]],Contrato5[[#This Row],[RCP]],[2]!COMPROMISOS_2024[[#All],[Total pagado]])</f>
        <v>#REF!</v>
      </c>
      <c r="AM209" s="154">
        <f ca="1">IFERROR(Contrato5[[#This Row],[Pagos]]/Contrato5[[#This Row],[VALOR CONTRATO]],0)</f>
        <v>0</v>
      </c>
      <c r="AN209" s="198" t="e">
        <f ca="1">+Contrato5[[#This Row],[VALOR CONTRATO]]-Contrato5[[#This Row],[Pagos]]</f>
        <v>#REF!</v>
      </c>
      <c r="AO209" s="147" t="e" cm="1">
        <f t="array" aca="1" ref="AO209" ca="1">_xlfn.XLOOKUP(Contrato5[[#This Row],[DOCUMENTO ]],[2]!PERSONAL_ACTIVO_2024[[#All],[Documento identidad]],[2]!PERSONAL_ACTIVO_2024[[#All],[Mail ]],0,0)</f>
        <v>#NAME?</v>
      </c>
      <c r="AP209" s="147" t="e" cm="1">
        <f t="array" aca="1" ref="AP209" ca="1">_xlfn.XLOOKUP(Contrato5[[#This Row],[DOCUMENTO]],[2]!PERSONAL_ACTIVO_2024[[#All],[Documento identidad]],[2]!PERSONAL_ACTIVO_2024[[#All],[Mail ]],0,0)</f>
        <v>#NAME?</v>
      </c>
      <c r="AQ209" s="439" cm="1">
        <f t="array" aca="1" ref="AQ209" ca="1">IF(ISBLANK(Contrato5[[#This Row],[DEPENDENCIA ]]),0,IFERROR(_xlfn.XLOOKUP(Contrato5[[#This Row],[DEPENDENCIA ]],[2]!PERSONAL_ACTIVO_2024[[#All],[Dependencia]],[2]!PERSONAL_ACTIVO_2024[[#All],[Mail ]],0,0),0))</f>
        <v>0</v>
      </c>
    </row>
    <row r="210" spans="1:43" ht="34.5" customHeight="1">
      <c r="A210" s="125">
        <v>544</v>
      </c>
      <c r="B210" s="124">
        <v>178</v>
      </c>
      <c r="C210" s="162" t="s">
        <v>434</v>
      </c>
      <c r="D210" s="227" t="s">
        <v>515</v>
      </c>
      <c r="E210" s="128" t="s">
        <v>94</v>
      </c>
      <c r="F210" s="163" t="s">
        <v>1376</v>
      </c>
      <c r="G210" s="190" t="s">
        <v>840</v>
      </c>
      <c r="H210" s="447">
        <v>43738275</v>
      </c>
      <c r="I210" s="455">
        <v>6879081</v>
      </c>
      <c r="J210" s="456">
        <v>62153567</v>
      </c>
      <c r="K210" s="131" t="s">
        <v>841</v>
      </c>
      <c r="L210" s="438" t="s">
        <v>42</v>
      </c>
      <c r="M210" s="194" t="s">
        <v>550</v>
      </c>
      <c r="N210" s="177" t="e" cm="1">
        <f t="array" aca="1" ref="N210" ca="1">_xlfn.XLOOKUP(Contrato5[[#This Row],[SUPERVISOR TITULAR]],[2]!PERSONAL_ACTIVO_2024[[#All],[Nombre completo]],[2]!PERSONAL_ACTIVO_2024[[#All],[Documento identidad]],"",0)</f>
        <v>#NAME?</v>
      </c>
      <c r="O210" s="194" t="s">
        <v>549</v>
      </c>
      <c r="P210" s="196" t="e" cm="1">
        <f t="array" aca="1" ref="P210" ca="1">_xlfn.XLOOKUP(Contrato5[[#This Row],[SUPERVISOR SUPLENTE ]],[2]!PERSONAL_ACTIVO_2024[[#All],[Nombre completo]],[2]!PERSONAL_ACTIVO_2024[[#All],[Documento identidad]],"",0)</f>
        <v>#NAME?</v>
      </c>
      <c r="Q210" s="208">
        <v>231</v>
      </c>
      <c r="R210" s="137" t="e" cm="1">
        <f t="array" aca="1" ref="R210" ca="1">_xlfn.XLOOKUP(Contrato5[[#This Row],[CDP]],[2]!DISPONIBILIDADES_2024[[#All],[consecutivo]],[2]!DISPONIBILIDADES_2024[[#All],[fecha_aprobacion]],"",0)</f>
        <v>#NAME?</v>
      </c>
      <c r="S210" s="138" t="e">
        <f>SUMIF([2]!DISPONIBILIDADES_2024[[#All],[consecutivo]],Contrato5[[#This Row],[CDP]],[2]!DISPONIBILIDADES_2024[[#All],[valor_total_rubro]])</f>
        <v>#REF!</v>
      </c>
      <c r="T210" s="139" t="e" cm="1">
        <f t="array" aca="1" ref="T210" ca="1">_xlfn.XLOOKUP(Contrato5[[#This Row],[CONTRATO]]&amp;Contrato5[[#This Row],[CDP]],[2]!Corr_Contr_CDP[[#All],[CONTRATO-CDP]],[2]!Corr_Contr_CDP[[#All],[CRP]],_xlfn.XLOOKUP(Contrato5[[#This Row],[CDP]],[2]!COMPROMISOS_2024[[#All],[disponibilidad]],[2]!COMPROMISOS_2024[[#All],[consecutivo]],"",0),0)</f>
        <v>#NAME?</v>
      </c>
      <c r="U210" s="140" t="e" cm="1">
        <f t="array" aca="1" ref="U210" ca="1">+_xlfn.XLOOKUP(Contrato5[[#This Row],[RCP]],[2]!COMPROMISOS_2024[[#All],[consecutivo]],[2]!COMPROMISOS_2024[[#All],[fecha_aprobacion]],"",0)</f>
        <v>#NAME?</v>
      </c>
      <c r="V210" s="141" t="e">
        <f ca="1">SUMIF([2]!COMPROMISOS_2024[[#All],[consecutivo]],Contrato5[[#This Row],[RCP]],[2]!COMPROMISOS_2024[[#All],[valor_total]])</f>
        <v>#REF!</v>
      </c>
      <c r="W210" s="415">
        <v>45350</v>
      </c>
      <c r="X210" s="415">
        <v>45351</v>
      </c>
      <c r="Y210" s="143">
        <v>45352</v>
      </c>
      <c r="Z210" s="262">
        <v>45565</v>
      </c>
      <c r="AA210" s="240" t="s">
        <v>842</v>
      </c>
      <c r="AB210" s="238" t="s">
        <v>618</v>
      </c>
      <c r="AC210" s="161"/>
      <c r="AD210" s="211">
        <v>202000003981</v>
      </c>
      <c r="AE210" s="147" t="s">
        <v>523</v>
      </c>
      <c r="AF210" s="148" t="str">
        <f>TEXT(LEFT(Contrato5[[#This Row],[CONTRATO]],3),"0")</f>
        <v>178</v>
      </c>
      <c r="AG210" s="148" t="str">
        <f>IF(LEN(Contrato5[[#This Row],[Contrato2]])=3,Contrato5[[#This Row],[Contrato2]],TEXT(Contrato5[[#This Row],[Contrato2]],"000"))</f>
        <v>178</v>
      </c>
      <c r="AH210" s="149">
        <f ca="1">IFERROR(_xlfn.DAYS(Contrato5[[#This Row],[Fecha Proyectada liquidación]],TODAY())/30,"")</f>
        <v>-2.4333333333333331</v>
      </c>
      <c r="AI210" s="150">
        <f>+Contrato5[[#This Row],[FECHA TERMINACIÓN ]]+120</f>
        <v>45685</v>
      </c>
      <c r="AJ210" s="147"/>
      <c r="AK210" s="152" t="str">
        <f ca="1">IF(Contrato5[[#This Row],[FECHA TERMINACIÓN ]]&lt;TODAY(), "Terminado",IF(ISNUMBER(Contrato5[[#This Row],[Fecha Real de liquiidación ]]),"Liquidado",IF(Contrato5[[#This Row],[FECHA TERMINACIÓN ]]&gt;=TODAY(),"En ejecución","")))</f>
        <v>Terminado</v>
      </c>
      <c r="AL210" s="153" t="e">
        <f ca="1">SUMIF([2]!COMPROMISOS_2024[[#All],[consecutivo]],Contrato5[[#This Row],[RCP]],[2]!COMPROMISOS_2024[[#All],[Total pagado]])</f>
        <v>#REF!</v>
      </c>
      <c r="AM210" s="154">
        <f ca="1">IFERROR(Contrato5[[#This Row],[Pagos]]/Contrato5[[#This Row],[VALOR CONTRATO]],0)</f>
        <v>0</v>
      </c>
      <c r="AN210" s="198" t="e">
        <f ca="1">+Contrato5[[#This Row],[VALOR CONTRATO]]-Contrato5[[#This Row],[Pagos]]</f>
        <v>#REF!</v>
      </c>
      <c r="AO210" s="147" t="e" cm="1">
        <f t="array" aca="1" ref="AO210" ca="1">_xlfn.XLOOKUP(Contrato5[[#This Row],[DOCUMENTO ]],[2]!PERSONAL_ACTIVO_2024[[#All],[Documento identidad]],[2]!PERSONAL_ACTIVO_2024[[#All],[Mail ]],0,0)</f>
        <v>#NAME?</v>
      </c>
      <c r="AP210" s="147" t="e" cm="1">
        <f t="array" aca="1" ref="AP210" ca="1">_xlfn.XLOOKUP(Contrato5[[#This Row],[DOCUMENTO]],[2]!PERSONAL_ACTIVO_2024[[#All],[Documento identidad]],[2]!PERSONAL_ACTIVO_2024[[#All],[Mail ]],0,0)</f>
        <v>#NAME?</v>
      </c>
      <c r="AQ210" s="439" cm="1">
        <f t="array" aca="1" ref="AQ210" ca="1">IF(ISBLANK(Contrato5[[#This Row],[DEPENDENCIA ]]),0,IFERROR(_xlfn.XLOOKUP(Contrato5[[#This Row],[DEPENDENCIA ]],[2]!PERSONAL_ACTIVO_2024[[#All],[Dependencia]],[2]!PERSONAL_ACTIVO_2024[[#All],[Mail ]],0,0),0))</f>
        <v>0</v>
      </c>
    </row>
    <row r="211" spans="1:43" ht="34.5" customHeight="1">
      <c r="A211" s="125">
        <v>1125</v>
      </c>
      <c r="B211" s="124">
        <v>178</v>
      </c>
      <c r="C211" s="162" t="s">
        <v>2339</v>
      </c>
      <c r="D211" s="227" t="s">
        <v>515</v>
      </c>
      <c r="E211" s="128" t="s">
        <v>2148</v>
      </c>
      <c r="F211" s="163" t="s">
        <v>1376</v>
      </c>
      <c r="G211" s="190" t="s">
        <v>840</v>
      </c>
      <c r="H211" s="447">
        <v>43738275</v>
      </c>
      <c r="I211" s="455">
        <v>6879081</v>
      </c>
      <c r="J211" s="456">
        <v>22637243</v>
      </c>
      <c r="K211" s="131" t="s">
        <v>2547</v>
      </c>
      <c r="L211" s="438" t="s">
        <v>2548</v>
      </c>
      <c r="M211" s="194" t="s">
        <v>550</v>
      </c>
      <c r="N211" s="177" t="e" cm="1">
        <f t="array" aca="1" ref="N211" ca="1">_xlfn.XLOOKUP(Contrato5[[#This Row],[SUPERVISOR TITULAR]],[2]!PERSONAL_ACTIVO_2024[[#All],[Nombre completo]],[2]!PERSONAL_ACTIVO_2024[[#All],[Documento identidad]],"",0)</f>
        <v>#NAME?</v>
      </c>
      <c r="O211" s="194" t="s">
        <v>549</v>
      </c>
      <c r="P211" s="196" t="e" cm="1">
        <f t="array" aca="1" ref="P211" ca="1">_xlfn.XLOOKUP(Contrato5[[#This Row],[SUPERVISOR SUPLENTE ]],[2]!PERSONAL_ACTIVO_2024[[#All],[Nombre completo]],[2]!PERSONAL_ACTIVO_2024[[#All],[Documento identidad]],"",0)</f>
        <v>#NAME?</v>
      </c>
      <c r="Q211" s="208">
        <v>931</v>
      </c>
      <c r="R211" s="137" t="e" cm="1">
        <f t="array" aca="1" ref="R211" ca="1">_xlfn.XLOOKUP(Contrato5[[#This Row],[CDP]],[2]!DISPONIBILIDADES_2024[[#All],[consecutivo]],[2]!DISPONIBILIDADES_2024[[#All],[fecha_aprobacion]],"",0)</f>
        <v>#NAME?</v>
      </c>
      <c r="S211" s="138" t="e">
        <f>SUMIF([2]!DISPONIBILIDADES_2024[[#All],[consecutivo]],Contrato5[[#This Row],[CDP]],[2]!DISPONIBILIDADES_2024[[#All],[valor_total_rubro]])</f>
        <v>#REF!</v>
      </c>
      <c r="T211" s="139" t="e" cm="1">
        <f t="array" aca="1" ref="T211" ca="1">_xlfn.XLOOKUP(Contrato5[[#This Row],[CONTRATO]]&amp;Contrato5[[#This Row],[CDP]],[2]!Corr_Contr_CDP[[#All],[CONTRATO-CDP]],[2]!Corr_Contr_CDP[[#All],[CRP]],_xlfn.XLOOKUP(Contrato5[[#This Row],[CDP]],[2]!COMPROMISOS_2024[[#All],[disponibilidad]],[2]!COMPROMISOS_2024[[#All],[consecutivo]],"",0),0)</f>
        <v>#NAME?</v>
      </c>
      <c r="U211" s="140" t="e" cm="1">
        <f t="array" aca="1" ref="U211" ca="1">+_xlfn.XLOOKUP(Contrato5[[#This Row],[RCP]],[2]!COMPROMISOS_2024[[#All],[consecutivo]],[2]!COMPROMISOS_2024[[#All],[fecha_aprobacion]],"",0)</f>
        <v>#NAME?</v>
      </c>
      <c r="V211" s="141" t="e">
        <f ca="1">SUMIF([2]!COMPROMISOS_2024[[#All],[consecutivo]],Contrato5[[#This Row],[RCP]],[2]!COMPROMISOS_2024[[#All],[valor_total]])</f>
        <v>#REF!</v>
      </c>
      <c r="W211" s="415">
        <v>45565</v>
      </c>
      <c r="X211" s="415">
        <v>45565</v>
      </c>
      <c r="Y211" s="143">
        <v>45566</v>
      </c>
      <c r="Z211" s="262">
        <v>45656</v>
      </c>
      <c r="AA211" s="240"/>
      <c r="AB211" s="238" t="s">
        <v>2549</v>
      </c>
      <c r="AC211" s="161"/>
      <c r="AD211" s="211">
        <v>202000003981</v>
      </c>
      <c r="AE211" s="147" t="s">
        <v>523</v>
      </c>
      <c r="AF211" s="148" t="str">
        <f>TEXT(LEFT(Contrato5[[#This Row],[CONTRATO]],3),"0")</f>
        <v>178</v>
      </c>
      <c r="AG211" s="148" t="str">
        <f>IF(LEN(Contrato5[[#This Row],[Contrato2]])=3,Contrato5[[#This Row],[Contrato2]],TEXT(Contrato5[[#This Row],[Contrato2]],"000"))</f>
        <v>178</v>
      </c>
      <c r="AH211" s="149">
        <f ca="1">IFERROR(_xlfn.DAYS(Contrato5[[#This Row],[Fecha Proyectada liquidación]],TODAY())/30,"")</f>
        <v>0.6</v>
      </c>
      <c r="AI211" s="150">
        <f>+Contrato5[[#This Row],[FECHA TERMINACIÓN ]]+120</f>
        <v>45776</v>
      </c>
      <c r="AJ211" s="147"/>
      <c r="AK211" s="152" t="str">
        <f ca="1">IF(Contrato5[[#This Row],[FECHA TERMINACIÓN ]]&lt;TODAY(), "Terminado",IF(ISNUMBER(Contrato5[[#This Row],[Fecha Real de liquiidación ]]),"Liquidado",IF(Contrato5[[#This Row],[FECHA TERMINACIÓN ]]&gt;=TODAY(),"En ejecución","")))</f>
        <v>Terminado</v>
      </c>
      <c r="AL211" s="153" t="e">
        <f ca="1">SUMIF([2]!COMPROMISOS_2024[[#All],[consecutivo]],Contrato5[[#This Row],[RCP]],[2]!COMPROMISOS_2024[[#All],[Total pagado]])</f>
        <v>#REF!</v>
      </c>
      <c r="AM211" s="154">
        <f ca="1">IFERROR(Contrato5[[#This Row],[Pagos]]/Contrato5[[#This Row],[VALOR CONTRATO]],0)</f>
        <v>0</v>
      </c>
      <c r="AN211" s="198" t="e">
        <f ca="1">+Contrato5[[#This Row],[VALOR CONTRATO]]-Contrato5[[#This Row],[Pagos]]</f>
        <v>#REF!</v>
      </c>
      <c r="AO211" s="147" t="e" cm="1">
        <f t="array" aca="1" ref="AO211" ca="1">_xlfn.XLOOKUP(Contrato5[[#This Row],[DOCUMENTO ]],[2]!PERSONAL_ACTIVO_2024[[#All],[Documento identidad]],[2]!PERSONAL_ACTIVO_2024[[#All],[Mail ]],0,0)</f>
        <v>#NAME?</v>
      </c>
      <c r="AP211" s="147" t="e" cm="1">
        <f t="array" aca="1" ref="AP211" ca="1">_xlfn.XLOOKUP(Contrato5[[#This Row],[DOCUMENTO]],[2]!PERSONAL_ACTIVO_2024[[#All],[Documento identidad]],[2]!PERSONAL_ACTIVO_2024[[#All],[Mail ]],0,0)</f>
        <v>#NAME?</v>
      </c>
      <c r="AQ211" s="439" cm="1">
        <f t="array" aca="1" ref="AQ211" ca="1">IF(ISBLANK(Contrato5[[#This Row],[DEPENDENCIA ]]),0,IFERROR(_xlfn.XLOOKUP(Contrato5[[#This Row],[DEPENDENCIA ]],[2]!PERSONAL_ACTIVO_2024[[#All],[Dependencia]],[2]!PERSONAL_ACTIVO_2024[[#All],[Mail ]],0,0),0))</f>
        <v>0</v>
      </c>
    </row>
    <row r="212" spans="1:43" ht="34.5" customHeight="1">
      <c r="A212" s="125">
        <v>535</v>
      </c>
      <c r="B212" s="124">
        <v>179</v>
      </c>
      <c r="C212" s="162" t="s">
        <v>358</v>
      </c>
      <c r="D212" s="227" t="s">
        <v>515</v>
      </c>
      <c r="E212" s="128" t="s">
        <v>94</v>
      </c>
      <c r="F212" s="163" t="s">
        <v>1376</v>
      </c>
      <c r="G212" s="190" t="s">
        <v>843</v>
      </c>
      <c r="H212" s="447">
        <v>71022067</v>
      </c>
      <c r="I212" s="455">
        <v>9346824</v>
      </c>
      <c r="J212" s="456">
        <v>56080944</v>
      </c>
      <c r="K212" s="166" t="s">
        <v>42</v>
      </c>
      <c r="L212" s="438" t="s">
        <v>42</v>
      </c>
      <c r="M212" s="194" t="s">
        <v>844</v>
      </c>
      <c r="N212" s="177" t="e" cm="1">
        <f t="array" aca="1" ref="N212" ca="1">_xlfn.XLOOKUP(Contrato5[[#This Row],[SUPERVISOR TITULAR]],[2]!PERSONAL_ACTIVO_2024[[#All],[Nombre completo]],[2]!PERSONAL_ACTIVO_2024[[#All],[Documento identidad]],"",0)</f>
        <v>#NAME?</v>
      </c>
      <c r="O212" s="194" t="s">
        <v>796</v>
      </c>
      <c r="P212" s="196" t="e" cm="1">
        <f t="array" aca="1" ref="P212" ca="1">_xlfn.XLOOKUP(Contrato5[[#This Row],[SUPERVISOR SUPLENTE ]],[2]!PERSONAL_ACTIVO_2024[[#All],[Nombre completo]],[2]!PERSONAL_ACTIVO_2024[[#All],[Documento identidad]],"",0)</f>
        <v>#NAME?</v>
      </c>
      <c r="Q212" s="208">
        <v>220</v>
      </c>
      <c r="R212" s="137" t="e" cm="1">
        <f t="array" aca="1" ref="R212" ca="1">_xlfn.XLOOKUP(Contrato5[[#This Row],[CDP]],[2]!DISPONIBILIDADES_2024[[#All],[consecutivo]],[2]!DISPONIBILIDADES_2024[[#All],[fecha_aprobacion]],"",0)</f>
        <v>#NAME?</v>
      </c>
      <c r="S212" s="138" t="e">
        <f>SUMIF([2]!DISPONIBILIDADES_2024[[#All],[consecutivo]],Contrato5[[#This Row],[CDP]],[2]!DISPONIBILIDADES_2024[[#All],[valor_total_rubro]])</f>
        <v>#REF!</v>
      </c>
      <c r="T212" s="139" t="e" cm="1">
        <f t="array" aca="1" ref="T212" ca="1">_xlfn.XLOOKUP(Contrato5[[#This Row],[CONTRATO]]&amp;Contrato5[[#This Row],[CDP]],[2]!Corr_Contr_CDP[[#All],[CONTRATO-CDP]],[2]!Corr_Contr_CDP[[#All],[CRP]],_xlfn.XLOOKUP(Contrato5[[#This Row],[CDP]],[2]!COMPROMISOS_2024[[#All],[disponibilidad]],[2]!COMPROMISOS_2024[[#All],[consecutivo]],"",0),0)</f>
        <v>#NAME?</v>
      </c>
      <c r="U212" s="140" t="e" cm="1">
        <f t="array" aca="1" ref="U212" ca="1">+_xlfn.XLOOKUP(Contrato5[[#This Row],[RCP]],[2]!COMPROMISOS_2024[[#All],[consecutivo]],[2]!COMPROMISOS_2024[[#All],[fecha_aprobacion]],"",0)</f>
        <v>#NAME?</v>
      </c>
      <c r="V212" s="141" t="e">
        <f ca="1">SUMIF([2]!COMPROMISOS_2024[[#All],[consecutivo]],Contrato5[[#This Row],[RCP]],[2]!COMPROMISOS_2024[[#All],[valor_total]])</f>
        <v>#REF!</v>
      </c>
      <c r="W212" s="415">
        <v>45344</v>
      </c>
      <c r="X212" s="415">
        <v>45348</v>
      </c>
      <c r="Y212" s="143">
        <v>45349</v>
      </c>
      <c r="Z212" s="262">
        <v>45530</v>
      </c>
      <c r="AA212" s="239" t="s">
        <v>845</v>
      </c>
      <c r="AB212" s="161" t="s">
        <v>846</v>
      </c>
      <c r="AC212" s="161"/>
      <c r="AD212" s="211">
        <v>202000003836</v>
      </c>
      <c r="AE212" s="147" t="s">
        <v>523</v>
      </c>
      <c r="AF212" s="148" t="str">
        <f>TEXT(LEFT(Contrato5[[#This Row],[CONTRATO]],3),"0")</f>
        <v>179</v>
      </c>
      <c r="AG212" s="148" t="str">
        <f>IF(LEN(Contrato5[[#This Row],[Contrato2]])=3,Contrato5[[#This Row],[Contrato2]],TEXT(Contrato5[[#This Row],[Contrato2]],"000"))</f>
        <v>179</v>
      </c>
      <c r="AH212" s="149">
        <f ca="1">IFERROR(_xlfn.DAYS(Contrato5[[#This Row],[Fecha Proyectada liquidación]],TODAY())/30,"")</f>
        <v>-3.6</v>
      </c>
      <c r="AI212" s="150">
        <f>+Contrato5[[#This Row],[FECHA TERMINACIÓN ]]+120</f>
        <v>45650</v>
      </c>
      <c r="AJ212" s="147"/>
      <c r="AK212" s="152" t="str">
        <f ca="1">IF(Contrato5[[#This Row],[FECHA TERMINACIÓN ]]&lt;TODAY(), "Terminado",IF(ISNUMBER(Contrato5[[#This Row],[Fecha Real de liquiidación ]]),"Liquidado",IF(Contrato5[[#This Row],[FECHA TERMINACIÓN ]]&gt;=TODAY(),"En ejecución","")))</f>
        <v>Terminado</v>
      </c>
      <c r="AL212" s="153" t="e">
        <f ca="1">SUMIF([2]!COMPROMISOS_2024[[#All],[consecutivo]],Contrato5[[#This Row],[RCP]],[2]!COMPROMISOS_2024[[#All],[Total pagado]])</f>
        <v>#REF!</v>
      </c>
      <c r="AM212" s="154">
        <f ca="1">IFERROR(Contrato5[[#This Row],[Pagos]]/Contrato5[[#This Row],[VALOR CONTRATO]],0)</f>
        <v>0</v>
      </c>
      <c r="AN212" s="198" t="e">
        <f ca="1">+Contrato5[[#This Row],[VALOR CONTRATO]]-Contrato5[[#This Row],[Pagos]]</f>
        <v>#REF!</v>
      </c>
      <c r="AO212" s="147" t="e" cm="1">
        <f t="array" aca="1" ref="AO212" ca="1">_xlfn.XLOOKUP(Contrato5[[#This Row],[DOCUMENTO ]],[2]!PERSONAL_ACTIVO_2024[[#All],[Documento identidad]],[2]!PERSONAL_ACTIVO_2024[[#All],[Mail ]],0,0)</f>
        <v>#NAME?</v>
      </c>
      <c r="AP212" s="147" t="e" cm="1">
        <f t="array" aca="1" ref="AP212" ca="1">_xlfn.XLOOKUP(Contrato5[[#This Row],[DOCUMENTO]],[2]!PERSONAL_ACTIVO_2024[[#All],[Documento identidad]],[2]!PERSONAL_ACTIVO_2024[[#All],[Mail ]],0,0)</f>
        <v>#NAME?</v>
      </c>
      <c r="AQ212" s="439" cm="1">
        <f t="array" aca="1" ref="AQ212" ca="1">IF(ISBLANK(Contrato5[[#This Row],[DEPENDENCIA ]]),0,IFERROR(_xlfn.XLOOKUP(Contrato5[[#This Row],[DEPENDENCIA ]],[2]!PERSONAL_ACTIVO_2024[[#All],[Dependencia]],[2]!PERSONAL_ACTIVO_2024[[#All],[Mail ]],0,0),0))</f>
        <v>0</v>
      </c>
    </row>
    <row r="213" spans="1:43" ht="34.5" customHeight="1">
      <c r="A213" s="125">
        <v>60</v>
      </c>
      <c r="B213" s="124">
        <v>180</v>
      </c>
      <c r="C213" s="162" t="s">
        <v>2550</v>
      </c>
      <c r="D213" s="227" t="s">
        <v>602</v>
      </c>
      <c r="E213" s="128" t="s">
        <v>94</v>
      </c>
      <c r="F213" s="163" t="s">
        <v>1376</v>
      </c>
      <c r="G213" s="281" t="s">
        <v>2551</v>
      </c>
      <c r="H213" s="447">
        <v>43584634</v>
      </c>
      <c r="I213" s="455">
        <v>7690469</v>
      </c>
      <c r="J213" s="456">
        <v>46142814</v>
      </c>
      <c r="K213" s="166" t="s">
        <v>42</v>
      </c>
      <c r="L213" s="438" t="s">
        <v>42</v>
      </c>
      <c r="M213" s="194" t="s">
        <v>605</v>
      </c>
      <c r="N213" s="177" t="e" cm="1">
        <f t="array" aca="1" ref="N213" ca="1">_xlfn.XLOOKUP(Contrato5[[#This Row],[SUPERVISOR TITULAR]],[2]!PERSONAL_ACTIVO_2024[[#All],[Nombre completo]],[2]!PERSONAL_ACTIVO_2024[[#All],[Documento identidad]],"",0)</f>
        <v>#NAME?</v>
      </c>
      <c r="O213" s="194" t="s">
        <v>847</v>
      </c>
      <c r="P213" s="196" t="e" cm="1">
        <f t="array" aca="1" ref="P213" ca="1">_xlfn.XLOOKUP(Contrato5[[#This Row],[SUPERVISOR SUPLENTE ]],[2]!PERSONAL_ACTIVO_2024[[#All],[Nombre completo]],[2]!PERSONAL_ACTIVO_2024[[#All],[Documento identidad]],"",0)</f>
        <v>#NAME?</v>
      </c>
      <c r="Q213" s="208">
        <v>210</v>
      </c>
      <c r="R213" s="137" t="e" cm="1">
        <f t="array" aca="1" ref="R213" ca="1">_xlfn.XLOOKUP(Contrato5[[#This Row],[CDP]],[2]!DISPONIBILIDADES_2024[[#All],[consecutivo]],[2]!DISPONIBILIDADES_2024[[#All],[fecha_aprobacion]],"",0)</f>
        <v>#NAME?</v>
      </c>
      <c r="S213" s="138" t="e">
        <f>SUMIF([2]!DISPONIBILIDADES_2024[[#All],[consecutivo]],Contrato5[[#This Row],[CDP]],[2]!DISPONIBILIDADES_2024[[#All],[valor_total_rubro]])</f>
        <v>#REF!</v>
      </c>
      <c r="T213" s="139" t="e" cm="1">
        <f t="array" aca="1" ref="T213" ca="1">_xlfn.XLOOKUP(Contrato5[[#This Row],[CONTRATO]]&amp;Contrato5[[#This Row],[CDP]],[2]!Corr_Contr_CDP[[#All],[CONTRATO-CDP]],[2]!Corr_Contr_CDP[[#All],[CRP]],_xlfn.XLOOKUP(Contrato5[[#This Row],[CDP]],[2]!COMPROMISOS_2024[[#All],[disponibilidad]],[2]!COMPROMISOS_2024[[#All],[consecutivo]],"",0),0)</f>
        <v>#NAME?</v>
      </c>
      <c r="U213" s="140" t="e" cm="1">
        <f t="array" aca="1" ref="U213" ca="1">+_xlfn.XLOOKUP(Contrato5[[#This Row],[RCP]],[2]!COMPROMISOS_2024[[#All],[consecutivo]],[2]!COMPROMISOS_2024[[#All],[fecha_aprobacion]],"",0)</f>
        <v>#NAME?</v>
      </c>
      <c r="V213" s="141" t="e">
        <f ca="1">SUMIF([2]!COMPROMISOS_2024[[#All],[consecutivo]],Contrato5[[#This Row],[RCP]],[2]!COMPROMISOS_2024[[#All],[valor_total]])</f>
        <v>#REF!</v>
      </c>
      <c r="W213" s="415">
        <v>45344</v>
      </c>
      <c r="X213" s="415">
        <v>45344</v>
      </c>
      <c r="Y213" s="143">
        <v>45345</v>
      </c>
      <c r="Z213" s="262">
        <v>45526</v>
      </c>
      <c r="AA213" s="193" t="s">
        <v>848</v>
      </c>
      <c r="AB213" s="161" t="s">
        <v>846</v>
      </c>
      <c r="AC213" s="161"/>
      <c r="AD213" s="211">
        <v>202000003839</v>
      </c>
      <c r="AE213" s="147" t="s">
        <v>523</v>
      </c>
      <c r="AF213" s="148" t="str">
        <f>TEXT(LEFT(Contrato5[[#This Row],[CONTRATO]],3),"0")</f>
        <v>180</v>
      </c>
      <c r="AG213" s="148" t="str">
        <f>IF(LEN(Contrato5[[#This Row],[Contrato2]])=3,Contrato5[[#This Row],[Contrato2]],TEXT(Contrato5[[#This Row],[Contrato2]],"000"))</f>
        <v>180</v>
      </c>
      <c r="AH213" s="149">
        <f ca="1">IFERROR(_xlfn.DAYS(Contrato5[[#This Row],[Fecha Proyectada liquidación]],TODAY())/30,"")</f>
        <v>-3.7333333333333334</v>
      </c>
      <c r="AI213" s="150">
        <f>+Contrato5[[#This Row],[FECHA TERMINACIÓN ]]+120</f>
        <v>45646</v>
      </c>
      <c r="AJ213" s="147"/>
      <c r="AK213" s="152" t="str">
        <f ca="1">IF(Contrato5[[#This Row],[FECHA TERMINACIÓN ]]&lt;TODAY(), "Terminado",IF(ISNUMBER(Contrato5[[#This Row],[Fecha Real de liquiidación ]]),"Liquidado",IF(Contrato5[[#This Row],[FECHA TERMINACIÓN ]]&gt;=TODAY(),"En ejecución","")))</f>
        <v>Terminado</v>
      </c>
      <c r="AL213" s="153" t="e">
        <f ca="1">SUMIF([2]!COMPROMISOS_2024[[#All],[consecutivo]],Contrato5[[#This Row],[RCP]],[2]!COMPROMISOS_2024[[#All],[Total pagado]])</f>
        <v>#REF!</v>
      </c>
      <c r="AM213" s="154">
        <f ca="1">IFERROR(Contrato5[[#This Row],[Pagos]]/Contrato5[[#This Row],[VALOR CONTRATO]],0)</f>
        <v>0</v>
      </c>
      <c r="AN213" s="198" t="e">
        <f ca="1">+Contrato5[[#This Row],[VALOR CONTRATO]]-Contrato5[[#This Row],[Pagos]]</f>
        <v>#REF!</v>
      </c>
      <c r="AO213" s="147" t="e" cm="1">
        <f t="array" aca="1" ref="AO213" ca="1">_xlfn.XLOOKUP(Contrato5[[#This Row],[DOCUMENTO ]],[2]!PERSONAL_ACTIVO_2024[[#All],[Documento identidad]],[2]!PERSONAL_ACTIVO_2024[[#All],[Mail ]],0,0)</f>
        <v>#NAME?</v>
      </c>
      <c r="AP213" s="147" t="e" cm="1">
        <f t="array" aca="1" ref="AP213" ca="1">_xlfn.XLOOKUP(Contrato5[[#This Row],[DOCUMENTO]],[2]!PERSONAL_ACTIVO_2024[[#All],[Documento identidad]],[2]!PERSONAL_ACTIVO_2024[[#All],[Mail ]],0,0)</f>
        <v>#NAME?</v>
      </c>
      <c r="AQ213" s="439" cm="1">
        <f t="array" aca="1" ref="AQ213" ca="1">IF(ISBLANK(Contrato5[[#This Row],[DEPENDENCIA ]]),0,IFERROR(_xlfn.XLOOKUP(Contrato5[[#This Row],[DEPENDENCIA ]],[2]!PERSONAL_ACTIVO_2024[[#All],[Dependencia]],[2]!PERSONAL_ACTIVO_2024[[#All],[Mail ]],0,0),0))</f>
        <v>0</v>
      </c>
    </row>
    <row r="214" spans="1:43" ht="34.5" customHeight="1">
      <c r="A214" s="125">
        <v>541</v>
      </c>
      <c r="B214" s="124">
        <v>181</v>
      </c>
      <c r="C214" s="162" t="s">
        <v>849</v>
      </c>
      <c r="D214" s="227" t="s">
        <v>515</v>
      </c>
      <c r="E214" s="128" t="s">
        <v>94</v>
      </c>
      <c r="F214" s="163" t="s">
        <v>1376</v>
      </c>
      <c r="G214" s="190" t="s">
        <v>850</v>
      </c>
      <c r="H214" s="447">
        <v>43744041</v>
      </c>
      <c r="I214" s="455">
        <v>6879081</v>
      </c>
      <c r="J214" s="456">
        <v>60153567</v>
      </c>
      <c r="K214" s="131" t="s">
        <v>851</v>
      </c>
      <c r="L214" s="438" t="s">
        <v>42</v>
      </c>
      <c r="M214" s="194" t="s">
        <v>852</v>
      </c>
      <c r="N214" s="177" t="e" cm="1">
        <f t="array" aca="1" ref="N214" ca="1">_xlfn.XLOOKUP(Contrato5[[#This Row],[SUPERVISOR TITULAR]],[2]!PERSONAL_ACTIVO_2024[[#All],[Nombre completo]],[2]!PERSONAL_ACTIVO_2024[[#All],[Documento identidad]],"",0)</f>
        <v>#NAME?</v>
      </c>
      <c r="O214" s="194" t="s">
        <v>853</v>
      </c>
      <c r="P214" s="196" t="e" cm="1">
        <f t="array" aca="1" ref="P214" ca="1">_xlfn.XLOOKUP(Contrato5[[#This Row],[SUPERVISOR SUPLENTE ]],[2]!PERSONAL_ACTIVO_2024[[#All],[Nombre completo]],[2]!PERSONAL_ACTIVO_2024[[#All],[Documento identidad]],"",0)</f>
        <v>#NAME?</v>
      </c>
      <c r="Q214" s="170">
        <v>236</v>
      </c>
      <c r="R214" s="137" t="e" cm="1">
        <f t="array" aca="1" ref="R214" ca="1">_xlfn.XLOOKUP(Contrato5[[#This Row],[CDP]],[2]!DISPONIBILIDADES_2024[[#All],[consecutivo]],[2]!DISPONIBILIDADES_2024[[#All],[fecha_aprobacion]],"",0)</f>
        <v>#NAME?</v>
      </c>
      <c r="S214" s="138" t="e">
        <f>SUMIF([2]!DISPONIBILIDADES_2024[[#All],[consecutivo]],Contrato5[[#This Row],[CDP]],[2]!DISPONIBILIDADES_2024[[#All],[valor_total_rubro]])</f>
        <v>#REF!</v>
      </c>
      <c r="T214" s="139" t="e" cm="1">
        <f t="array" aca="1" ref="T214" ca="1">_xlfn.XLOOKUP(Contrato5[[#This Row],[CONTRATO]]&amp;Contrato5[[#This Row],[CDP]],[2]!Corr_Contr_CDP[[#All],[CONTRATO-CDP]],[2]!Corr_Contr_CDP[[#All],[CRP]],_xlfn.XLOOKUP(Contrato5[[#This Row],[CDP]],[2]!COMPROMISOS_2024[[#All],[disponibilidad]],[2]!COMPROMISOS_2024[[#All],[consecutivo]],"",0),0)</f>
        <v>#NAME?</v>
      </c>
      <c r="U214" s="140" t="e" cm="1">
        <f t="array" aca="1" ref="U214" ca="1">+_xlfn.XLOOKUP(Contrato5[[#This Row],[RCP]],[2]!COMPROMISOS_2024[[#All],[consecutivo]],[2]!COMPROMISOS_2024[[#All],[fecha_aprobacion]],"",0)</f>
        <v>#NAME?</v>
      </c>
      <c r="V214" s="141" t="e">
        <f ca="1">SUMIF([2]!COMPROMISOS_2024[[#All],[consecutivo]],Contrato5[[#This Row],[RCP]],[2]!COMPROMISOS_2024[[#All],[valor_total]])</f>
        <v>#REF!</v>
      </c>
      <c r="W214" s="415">
        <v>45348</v>
      </c>
      <c r="X214" s="415">
        <v>45350</v>
      </c>
      <c r="Y214" s="143">
        <v>45352</v>
      </c>
      <c r="Z214" s="262">
        <v>45565</v>
      </c>
      <c r="AA214" s="240" t="s">
        <v>854</v>
      </c>
      <c r="AB214" s="238" t="s">
        <v>855</v>
      </c>
      <c r="AC214" s="161"/>
      <c r="AD214" s="211">
        <v>202000003982</v>
      </c>
      <c r="AE214" s="147" t="s">
        <v>523</v>
      </c>
      <c r="AF214" s="148" t="str">
        <f>TEXT(LEFT(Contrato5[[#This Row],[CONTRATO]],3),"0")</f>
        <v>181</v>
      </c>
      <c r="AG214" s="148" t="str">
        <f>IF(LEN(Contrato5[[#This Row],[Contrato2]])=3,Contrato5[[#This Row],[Contrato2]],TEXT(Contrato5[[#This Row],[Contrato2]],"000"))</f>
        <v>181</v>
      </c>
      <c r="AH214" s="149">
        <f ca="1">IFERROR(_xlfn.DAYS(Contrato5[[#This Row],[Fecha Proyectada liquidación]],TODAY())/30,"")</f>
        <v>-2.4333333333333331</v>
      </c>
      <c r="AI214" s="150">
        <f>+Contrato5[[#This Row],[FECHA TERMINACIÓN ]]+120</f>
        <v>45685</v>
      </c>
      <c r="AJ214" s="147"/>
      <c r="AK214" s="152" t="str">
        <f ca="1">IF(Contrato5[[#This Row],[FECHA TERMINACIÓN ]]&lt;TODAY(), "Terminado",IF(ISNUMBER(Contrato5[[#This Row],[Fecha Real de liquiidación ]]),"Liquidado",IF(Contrato5[[#This Row],[FECHA TERMINACIÓN ]]&gt;=TODAY(),"En ejecución","")))</f>
        <v>Terminado</v>
      </c>
      <c r="AL214" s="153" t="e">
        <f ca="1">SUMIF([2]!COMPROMISOS_2024[[#All],[consecutivo]],Contrato5[[#This Row],[RCP]],[2]!COMPROMISOS_2024[[#All],[Total pagado]])</f>
        <v>#REF!</v>
      </c>
      <c r="AM214" s="154">
        <f ca="1">IFERROR(Contrato5[[#This Row],[Pagos]]/Contrato5[[#This Row],[VALOR CONTRATO]],0)</f>
        <v>0</v>
      </c>
      <c r="AN214" s="198" t="e">
        <f ca="1">+Contrato5[[#This Row],[VALOR CONTRATO]]-Contrato5[[#This Row],[Pagos]]</f>
        <v>#REF!</v>
      </c>
      <c r="AO214" s="147" t="e" cm="1">
        <f t="array" aca="1" ref="AO214" ca="1">_xlfn.XLOOKUP(Contrato5[[#This Row],[DOCUMENTO ]],[2]!PERSONAL_ACTIVO_2024[[#All],[Documento identidad]],[2]!PERSONAL_ACTIVO_2024[[#All],[Mail ]],0,0)</f>
        <v>#NAME?</v>
      </c>
      <c r="AP214" s="147" t="e" cm="1">
        <f t="array" aca="1" ref="AP214" ca="1">_xlfn.XLOOKUP(Contrato5[[#This Row],[DOCUMENTO]],[2]!PERSONAL_ACTIVO_2024[[#All],[Documento identidad]],[2]!PERSONAL_ACTIVO_2024[[#All],[Mail ]],0,0)</f>
        <v>#NAME?</v>
      </c>
      <c r="AQ214" s="439" cm="1">
        <f t="array" aca="1" ref="AQ214" ca="1">IF(ISBLANK(Contrato5[[#This Row],[DEPENDENCIA ]]),0,IFERROR(_xlfn.XLOOKUP(Contrato5[[#This Row],[DEPENDENCIA ]],[2]!PERSONAL_ACTIVO_2024[[#All],[Dependencia]],[2]!PERSONAL_ACTIVO_2024[[#All],[Mail ]],0,0),0))</f>
        <v>0</v>
      </c>
    </row>
    <row r="215" spans="1:43" ht="34.5" customHeight="1">
      <c r="A215" s="125">
        <v>1112</v>
      </c>
      <c r="B215" s="124">
        <v>181</v>
      </c>
      <c r="C215" s="162" t="s">
        <v>2413</v>
      </c>
      <c r="D215" s="227" t="s">
        <v>515</v>
      </c>
      <c r="E215" s="128" t="s">
        <v>2148</v>
      </c>
      <c r="F215" s="163" t="s">
        <v>1376</v>
      </c>
      <c r="G215" s="190" t="s">
        <v>850</v>
      </c>
      <c r="H215" s="447">
        <v>43744041</v>
      </c>
      <c r="I215" s="455">
        <v>6879081</v>
      </c>
      <c r="J215" s="456">
        <v>24637243</v>
      </c>
      <c r="K215" s="131" t="s">
        <v>2552</v>
      </c>
      <c r="L215" s="438" t="s">
        <v>2548</v>
      </c>
      <c r="M215" s="194" t="s">
        <v>852</v>
      </c>
      <c r="N215" s="177" t="e" cm="1">
        <f t="array" aca="1" ref="N215" ca="1">_xlfn.XLOOKUP(Contrato5[[#This Row],[SUPERVISOR TITULAR]],[2]!PERSONAL_ACTIVO_2024[[#All],[Nombre completo]],[2]!PERSONAL_ACTIVO_2024[[#All],[Documento identidad]],"",0)</f>
        <v>#NAME?</v>
      </c>
      <c r="O215" s="194" t="s">
        <v>853</v>
      </c>
      <c r="P215" s="196" t="e" cm="1">
        <f t="array" aca="1" ref="P215" ca="1">_xlfn.XLOOKUP(Contrato5[[#This Row],[SUPERVISOR SUPLENTE ]],[2]!PERSONAL_ACTIVO_2024[[#All],[Nombre completo]],[2]!PERSONAL_ACTIVO_2024[[#All],[Documento identidad]],"",0)</f>
        <v>#NAME?</v>
      </c>
      <c r="Q215" s="170">
        <v>900</v>
      </c>
      <c r="R215" s="137" t="e" cm="1">
        <f t="array" aca="1" ref="R215" ca="1">_xlfn.XLOOKUP(Contrato5[[#This Row],[CDP]],[2]!DISPONIBILIDADES_2024[[#All],[consecutivo]],[2]!DISPONIBILIDADES_2024[[#All],[fecha_aprobacion]],"",0)</f>
        <v>#NAME?</v>
      </c>
      <c r="S215" s="138" t="e">
        <f>SUMIF([2]!DISPONIBILIDADES_2024[[#All],[consecutivo]],Contrato5[[#This Row],[CDP]],[2]!DISPONIBILIDADES_2024[[#All],[valor_total_rubro]])</f>
        <v>#REF!</v>
      </c>
      <c r="T215" s="139" t="e" cm="1">
        <f t="array" aca="1" ref="T215" ca="1">_xlfn.XLOOKUP(Contrato5[[#This Row],[CONTRATO]]&amp;Contrato5[[#This Row],[CDP]],[2]!Corr_Contr_CDP[[#All],[CONTRATO-CDP]],[2]!Corr_Contr_CDP[[#All],[CRP]],_xlfn.XLOOKUP(Contrato5[[#This Row],[CDP]],[2]!COMPROMISOS_2024[[#All],[disponibilidad]],[2]!COMPROMISOS_2024[[#All],[consecutivo]],"",0),0)</f>
        <v>#NAME?</v>
      </c>
      <c r="U215" s="140" t="e" cm="1">
        <f t="array" aca="1" ref="U215" ca="1">+_xlfn.XLOOKUP(Contrato5[[#This Row],[RCP]],[2]!COMPROMISOS_2024[[#All],[consecutivo]],[2]!COMPROMISOS_2024[[#All],[fecha_aprobacion]],"",0)</f>
        <v>#NAME?</v>
      </c>
      <c r="V215" s="141" t="e">
        <f ca="1">SUMIF([2]!COMPROMISOS_2024[[#All],[consecutivo]],Contrato5[[#This Row],[RCP]],[2]!COMPROMISOS_2024[[#All],[valor_total]])</f>
        <v>#REF!</v>
      </c>
      <c r="W215" s="415">
        <v>45562</v>
      </c>
      <c r="X215" s="415">
        <v>45565</v>
      </c>
      <c r="Y215" s="143">
        <v>45566</v>
      </c>
      <c r="Z215" s="262">
        <v>45656</v>
      </c>
      <c r="AA215" s="240"/>
      <c r="AB215" s="238" t="s">
        <v>529</v>
      </c>
      <c r="AC215" s="161"/>
      <c r="AD215" s="211">
        <v>202000003982</v>
      </c>
      <c r="AE215" s="147" t="s">
        <v>523</v>
      </c>
      <c r="AF215" s="148" t="str">
        <f>TEXT(LEFT(Contrato5[[#This Row],[CONTRATO]],3),"0")</f>
        <v>181</v>
      </c>
      <c r="AG215" s="148" t="str">
        <f>IF(LEN(Contrato5[[#This Row],[Contrato2]])=3,Contrato5[[#This Row],[Contrato2]],TEXT(Contrato5[[#This Row],[Contrato2]],"000"))</f>
        <v>181</v>
      </c>
      <c r="AH215" s="149">
        <f ca="1">IFERROR(_xlfn.DAYS(Contrato5[[#This Row],[Fecha Proyectada liquidación]],TODAY())/30,"")</f>
        <v>0.6</v>
      </c>
      <c r="AI215" s="150">
        <f>+Contrato5[[#This Row],[FECHA TERMINACIÓN ]]+120</f>
        <v>45776</v>
      </c>
      <c r="AJ215" s="147"/>
      <c r="AK215" s="152" t="str">
        <f ca="1">IF(Contrato5[[#This Row],[FECHA TERMINACIÓN ]]&lt;TODAY(), "Terminado",IF(ISNUMBER(Contrato5[[#This Row],[Fecha Real de liquiidación ]]),"Liquidado",IF(Contrato5[[#This Row],[FECHA TERMINACIÓN ]]&gt;=TODAY(),"En ejecución","")))</f>
        <v>Terminado</v>
      </c>
      <c r="AL215" s="153" t="e">
        <f ca="1">SUMIF([2]!COMPROMISOS_2024[[#All],[consecutivo]],Contrato5[[#This Row],[RCP]],[2]!COMPROMISOS_2024[[#All],[Total pagado]])</f>
        <v>#REF!</v>
      </c>
      <c r="AM215" s="154">
        <f ca="1">IFERROR(Contrato5[[#This Row],[Pagos]]/Contrato5[[#This Row],[VALOR CONTRATO]],0)</f>
        <v>0</v>
      </c>
      <c r="AN215" s="198" t="e">
        <f ca="1">+Contrato5[[#This Row],[VALOR CONTRATO]]-Contrato5[[#This Row],[Pagos]]</f>
        <v>#REF!</v>
      </c>
      <c r="AO215" s="147" t="e" cm="1">
        <f t="array" aca="1" ref="AO215" ca="1">_xlfn.XLOOKUP(Contrato5[[#This Row],[DOCUMENTO ]],[2]!PERSONAL_ACTIVO_2024[[#All],[Documento identidad]],[2]!PERSONAL_ACTIVO_2024[[#All],[Mail ]],0,0)</f>
        <v>#NAME?</v>
      </c>
      <c r="AP215" s="147" t="e" cm="1">
        <f t="array" aca="1" ref="AP215" ca="1">_xlfn.XLOOKUP(Contrato5[[#This Row],[DOCUMENTO]],[2]!PERSONAL_ACTIVO_2024[[#All],[Documento identidad]],[2]!PERSONAL_ACTIVO_2024[[#All],[Mail ]],0,0)</f>
        <v>#NAME?</v>
      </c>
      <c r="AQ215" s="439" cm="1">
        <f t="array" aca="1" ref="AQ215" ca="1">IF(ISBLANK(Contrato5[[#This Row],[DEPENDENCIA ]]),0,IFERROR(_xlfn.XLOOKUP(Contrato5[[#This Row],[DEPENDENCIA ]],[2]!PERSONAL_ACTIVO_2024[[#All],[Dependencia]],[2]!PERSONAL_ACTIVO_2024[[#All],[Mail ]],0,0),0))</f>
        <v>0</v>
      </c>
    </row>
    <row r="216" spans="1:43" s="129" customFormat="1" ht="34.5" customHeight="1">
      <c r="A216" s="125">
        <v>536</v>
      </c>
      <c r="B216" s="124">
        <v>182</v>
      </c>
      <c r="C216" s="162" t="s">
        <v>2553</v>
      </c>
      <c r="D216" s="227" t="s">
        <v>493</v>
      </c>
      <c r="E216" s="128" t="s">
        <v>94</v>
      </c>
      <c r="F216" s="163" t="s">
        <v>1376</v>
      </c>
      <c r="G216" s="190" t="s">
        <v>856</v>
      </c>
      <c r="H216" s="447">
        <v>39430907</v>
      </c>
      <c r="I216" s="455">
        <v>6879081</v>
      </c>
      <c r="J216" s="456">
        <v>41274486</v>
      </c>
      <c r="K216" s="241" t="s">
        <v>42</v>
      </c>
      <c r="L216" s="438" t="s">
        <v>42</v>
      </c>
      <c r="M216" s="194" t="s">
        <v>498</v>
      </c>
      <c r="N216" s="243" t="e" cm="1">
        <f t="array" aca="1" ref="N216" ca="1">_xlfn.XLOOKUP(Contrato5[[#This Row],[SUPERVISOR TITULAR]],[2]!PERSONAL_ACTIVO_2024[[#All],[Nombre completo]],[2]!PERSONAL_ACTIVO_2024[[#All],[Documento identidad]],"",0)</f>
        <v>#NAME?</v>
      </c>
      <c r="O216" s="242" t="s">
        <v>2486</v>
      </c>
      <c r="P216" s="244" t="e" cm="1">
        <f t="array" aca="1" ref="P216" ca="1">_xlfn.XLOOKUP(Contrato5[[#This Row],[SUPERVISOR SUPLENTE ]],[2]!PERSONAL_ACTIVO_2024[[#All],[Nombre completo]],[2]!PERSONAL_ACTIVO_2024[[#All],[Documento identidad]],"",0)</f>
        <v>#NAME?</v>
      </c>
      <c r="Q216" s="248">
        <v>225</v>
      </c>
      <c r="R216" s="137" t="e" cm="1">
        <f t="array" aca="1" ref="R216" ca="1">_xlfn.XLOOKUP(Contrato5[[#This Row],[CDP]],[2]!DISPONIBILIDADES_2024[[#All],[consecutivo]],[2]!DISPONIBILIDADES_2024[[#All],[fecha_aprobacion]],"",0)</f>
        <v>#NAME?</v>
      </c>
      <c r="S216" s="138" t="e">
        <f>SUMIF([2]!DISPONIBILIDADES_2024[[#All],[consecutivo]],Contrato5[[#This Row],[CDP]],[2]!DISPONIBILIDADES_2024[[#All],[valor_total_rubro]])</f>
        <v>#REF!</v>
      </c>
      <c r="T216" s="139" t="e" cm="1">
        <f t="array" aca="1" ref="T216" ca="1">_xlfn.XLOOKUP(Contrato5[[#This Row],[CONTRATO]]&amp;Contrato5[[#This Row],[CDP]],[2]!Corr_Contr_CDP[[#All],[CONTRATO-CDP]],[2]!Corr_Contr_CDP[[#All],[CRP]],_xlfn.XLOOKUP(Contrato5[[#This Row],[CDP]],[2]!COMPROMISOS_2024[[#All],[disponibilidad]],[2]!COMPROMISOS_2024[[#All],[consecutivo]],"",0),0)</f>
        <v>#NAME?</v>
      </c>
      <c r="U216" s="140" t="e" cm="1">
        <f t="array" aca="1" ref="U216" ca="1">+_xlfn.XLOOKUP(Contrato5[[#This Row],[RCP]],[2]!COMPROMISOS_2024[[#All],[consecutivo]],[2]!COMPROMISOS_2024[[#All],[fecha_aprobacion]],"",0)</f>
        <v>#NAME?</v>
      </c>
      <c r="V216" s="141" t="e">
        <f ca="1">SUMIF([2]!COMPROMISOS_2024[[#All],[consecutivo]],Contrato5[[#This Row],[RCP]],[2]!COMPROMISOS_2024[[#All],[valor_total]])</f>
        <v>#REF!</v>
      </c>
      <c r="W216" s="415">
        <v>45345</v>
      </c>
      <c r="X216" s="415">
        <v>45349</v>
      </c>
      <c r="Y216" s="143">
        <v>45349</v>
      </c>
      <c r="Z216" s="262">
        <v>45530</v>
      </c>
      <c r="AA216" s="239" t="s">
        <v>857</v>
      </c>
      <c r="AB216" s="245" t="s">
        <v>640</v>
      </c>
      <c r="AC216" s="245"/>
      <c r="AD216" s="211">
        <v>202000003840</v>
      </c>
      <c r="AE216" s="147" t="s">
        <v>523</v>
      </c>
      <c r="AF216" s="148" t="str">
        <f>TEXT(LEFT(Contrato5[[#This Row],[CONTRATO]],3),"0")</f>
        <v>182</v>
      </c>
      <c r="AG216" s="148" t="str">
        <f>IF(LEN(Contrato5[[#This Row],[Contrato2]])=3,Contrato5[[#This Row],[Contrato2]],TEXT(Contrato5[[#This Row],[Contrato2]],"000"))</f>
        <v>182</v>
      </c>
      <c r="AH216" s="149">
        <f ca="1">IFERROR(_xlfn.DAYS(Contrato5[[#This Row],[Fecha Proyectada liquidación]],TODAY())/30,"")</f>
        <v>-3.6</v>
      </c>
      <c r="AI216" s="150">
        <f>+Contrato5[[#This Row],[FECHA TERMINACIÓN ]]+120</f>
        <v>45650</v>
      </c>
      <c r="AJ216" s="246"/>
      <c r="AK216" s="152" t="str">
        <f ca="1">IF(Contrato5[[#This Row],[FECHA TERMINACIÓN ]]&lt;TODAY(), "Terminado",IF(ISNUMBER(Contrato5[[#This Row],[Fecha Real de liquiidación ]]),"Liquidado",IF(Contrato5[[#This Row],[FECHA TERMINACIÓN ]]&gt;=TODAY(),"En ejecución","")))</f>
        <v>Terminado</v>
      </c>
      <c r="AL216" s="153" t="e">
        <f ca="1">SUMIF([2]!COMPROMISOS_2024[[#All],[consecutivo]],Contrato5[[#This Row],[RCP]],[2]!COMPROMISOS_2024[[#All],[Total pagado]])</f>
        <v>#REF!</v>
      </c>
      <c r="AM216" s="154">
        <f ca="1">IFERROR(Contrato5[[#This Row],[Pagos]]/Contrato5[[#This Row],[VALOR CONTRATO]],0)</f>
        <v>0</v>
      </c>
      <c r="AN216" s="247" t="e">
        <f ca="1">+Contrato5[[#This Row],[VALOR CONTRATO]]-Contrato5[[#This Row],[Pagos]]</f>
        <v>#REF!</v>
      </c>
      <c r="AO216" s="246" t="e" cm="1">
        <f t="array" aca="1" ref="AO216" ca="1">_xlfn.XLOOKUP(Contrato5[[#This Row],[DOCUMENTO ]],[2]!PERSONAL_ACTIVO_2024[[#All],[Documento identidad]],[2]!PERSONAL_ACTIVO_2024[[#All],[Mail ]],0,0)</f>
        <v>#NAME?</v>
      </c>
      <c r="AP216" s="246" t="e" cm="1">
        <f t="array" aca="1" ref="AP216" ca="1">_xlfn.XLOOKUP(Contrato5[[#This Row],[DOCUMENTO]],[2]!PERSONAL_ACTIVO_2024[[#All],[Documento identidad]],[2]!PERSONAL_ACTIVO_2024[[#All],[Mail ]],0,0)</f>
        <v>#NAME?</v>
      </c>
      <c r="AQ216" s="460" cm="1">
        <f t="array" aca="1" ref="AQ216" ca="1">IF(ISBLANK(Contrato5[[#This Row],[DEPENDENCIA ]]),0,IFERROR(_xlfn.XLOOKUP(Contrato5[[#This Row],[DEPENDENCIA ]],[2]!PERSONAL_ACTIVO_2024[[#All],[Dependencia]],[2]!PERSONAL_ACTIVO_2024[[#All],[Mail ]],0,0),0))</f>
        <v>0</v>
      </c>
    </row>
    <row r="217" spans="1:43" s="129" customFormat="1" ht="34.5" customHeight="1">
      <c r="A217" s="125">
        <v>537</v>
      </c>
      <c r="B217" s="124">
        <v>183</v>
      </c>
      <c r="C217" s="162" t="s">
        <v>306</v>
      </c>
      <c r="D217" s="227" t="s">
        <v>515</v>
      </c>
      <c r="E217" s="128" t="s">
        <v>94</v>
      </c>
      <c r="F217" s="163" t="s">
        <v>161</v>
      </c>
      <c r="G217" s="190" t="s">
        <v>858</v>
      </c>
      <c r="H217" s="447">
        <v>900285704</v>
      </c>
      <c r="I217" s="455">
        <v>16038016</v>
      </c>
      <c r="J217" s="456">
        <v>160380160</v>
      </c>
      <c r="K217" s="166" t="s">
        <v>42</v>
      </c>
      <c r="L217" s="438" t="s">
        <v>859</v>
      </c>
      <c r="M217" s="194" t="s">
        <v>514</v>
      </c>
      <c r="N217" s="243" t="e" cm="1">
        <f t="array" aca="1" ref="N217" ca="1">_xlfn.XLOOKUP(Contrato5[[#This Row],[SUPERVISOR TITULAR]],[2]!PERSONAL_ACTIVO_2024[[#All],[Nombre completo]],[2]!PERSONAL_ACTIVO_2024[[#All],[Documento identidad]],"",0)</f>
        <v>#NAME?</v>
      </c>
      <c r="O217" s="242" t="s">
        <v>597</v>
      </c>
      <c r="P217" s="244" t="e" cm="1">
        <f t="array" aca="1" ref="P217" ca="1">_xlfn.XLOOKUP(Contrato5[[#This Row],[SUPERVISOR SUPLENTE ]],[2]!PERSONAL_ACTIVO_2024[[#All],[Nombre completo]],[2]!PERSONAL_ACTIVO_2024[[#All],[Documento identidad]],"",0)</f>
        <v>#NAME?</v>
      </c>
      <c r="Q217" s="248">
        <v>244</v>
      </c>
      <c r="R217" s="137" t="e" cm="1">
        <f t="array" aca="1" ref="R217" ca="1">_xlfn.XLOOKUP(Contrato5[[#This Row],[CDP]],[2]!DISPONIBILIDADES_2024[[#All],[consecutivo]],[2]!DISPONIBILIDADES_2024[[#All],[fecha_aprobacion]],"",0)</f>
        <v>#NAME?</v>
      </c>
      <c r="S217" s="138" t="e">
        <f>SUMIF([2]!DISPONIBILIDADES_2024[[#All],[consecutivo]],Contrato5[[#This Row],[CDP]],[2]!DISPONIBILIDADES_2024[[#All],[valor_total_rubro]])</f>
        <v>#REF!</v>
      </c>
      <c r="T217" s="139" t="e" cm="1">
        <f t="array" aca="1" ref="T217" ca="1">_xlfn.XLOOKUP(Contrato5[[#This Row],[CONTRATO]]&amp;Contrato5[[#This Row],[CDP]],[2]!Corr_Contr_CDP[[#All],[CONTRATO-CDP]],[2]!Corr_Contr_CDP[[#All],[CRP]],_xlfn.XLOOKUP(Contrato5[[#This Row],[CDP]],[2]!COMPROMISOS_2024[[#All],[disponibilidad]],[2]!COMPROMISOS_2024[[#All],[consecutivo]],"",0),0)</f>
        <v>#NAME?</v>
      </c>
      <c r="U217" s="140" t="e" cm="1">
        <f t="array" aca="1" ref="U217" ca="1">+_xlfn.XLOOKUP(Contrato5[[#This Row],[RCP]],[2]!COMPROMISOS_2024[[#All],[consecutivo]],[2]!COMPROMISOS_2024[[#All],[fecha_aprobacion]],"",0)</f>
        <v>#NAME?</v>
      </c>
      <c r="V217" s="141" t="e">
        <f ca="1">SUMIF([2]!COMPROMISOS_2024[[#All],[consecutivo]],Contrato5[[#This Row],[RCP]],[2]!COMPROMISOS_2024[[#All],[valor_total]])</f>
        <v>#REF!</v>
      </c>
      <c r="W217" s="415">
        <v>45351</v>
      </c>
      <c r="X217" s="415">
        <v>45352</v>
      </c>
      <c r="Y217" s="143">
        <v>45352</v>
      </c>
      <c r="Z217" s="262">
        <v>45656</v>
      </c>
      <c r="AA217" s="249" t="s">
        <v>860</v>
      </c>
      <c r="AB217" s="245" t="s">
        <v>861</v>
      </c>
      <c r="AC217" s="245"/>
      <c r="AD217" s="211">
        <v>202000003983</v>
      </c>
      <c r="AE217" s="147" t="s">
        <v>523</v>
      </c>
      <c r="AF217" s="148" t="str">
        <f>TEXT(LEFT(Contrato5[[#This Row],[CONTRATO]],3),"0")</f>
        <v>183</v>
      </c>
      <c r="AG217" s="148" t="str">
        <f>IF(LEN(Contrato5[[#This Row],[Contrato2]])=3,Contrato5[[#This Row],[Contrato2]],TEXT(Contrato5[[#This Row],[Contrato2]],"000"))</f>
        <v>183</v>
      </c>
      <c r="AH217" s="149">
        <f ca="1">IFERROR(_xlfn.DAYS(Contrato5[[#This Row],[Fecha Proyectada liquidación]],TODAY())/30,"")</f>
        <v>0.6</v>
      </c>
      <c r="AI217" s="150">
        <f>+Contrato5[[#This Row],[FECHA TERMINACIÓN ]]+120</f>
        <v>45776</v>
      </c>
      <c r="AJ217" s="246"/>
      <c r="AK217" s="152" t="str">
        <f ca="1">IF(Contrato5[[#This Row],[FECHA TERMINACIÓN ]]&lt;TODAY(), "Terminado",IF(ISNUMBER(Contrato5[[#This Row],[Fecha Real de liquiidación ]]),"Liquidado",IF(Contrato5[[#This Row],[FECHA TERMINACIÓN ]]&gt;=TODAY(),"En ejecución","")))</f>
        <v>Terminado</v>
      </c>
      <c r="AL217" s="153" t="e">
        <f ca="1">SUMIF([2]!COMPROMISOS_2024[[#All],[consecutivo]],Contrato5[[#This Row],[RCP]],[2]!COMPROMISOS_2024[[#All],[Total pagado]])</f>
        <v>#REF!</v>
      </c>
      <c r="AM217" s="154">
        <f ca="1">IFERROR(Contrato5[[#This Row],[Pagos]]/Contrato5[[#This Row],[VALOR CONTRATO]],0)</f>
        <v>0</v>
      </c>
      <c r="AN217" s="247" t="e">
        <f ca="1">+Contrato5[[#This Row],[VALOR CONTRATO]]-Contrato5[[#This Row],[Pagos]]</f>
        <v>#REF!</v>
      </c>
      <c r="AO217" s="246" t="e" cm="1">
        <f t="array" aca="1" ref="AO217" ca="1">_xlfn.XLOOKUP(Contrato5[[#This Row],[DOCUMENTO ]],[2]!PERSONAL_ACTIVO_2024[[#All],[Documento identidad]],[2]!PERSONAL_ACTIVO_2024[[#All],[Mail ]],0,0)</f>
        <v>#NAME?</v>
      </c>
      <c r="AP217" s="246" t="e" cm="1">
        <f t="array" aca="1" ref="AP217" ca="1">_xlfn.XLOOKUP(Contrato5[[#This Row],[DOCUMENTO]],[2]!PERSONAL_ACTIVO_2024[[#All],[Documento identidad]],[2]!PERSONAL_ACTIVO_2024[[#All],[Mail ]],0,0)</f>
        <v>#NAME?</v>
      </c>
      <c r="AQ217" s="460" cm="1">
        <f t="array" aca="1" ref="AQ217" ca="1">IF(ISBLANK(Contrato5[[#This Row],[DEPENDENCIA ]]),0,IFERROR(_xlfn.XLOOKUP(Contrato5[[#This Row],[DEPENDENCIA ]],[2]!PERSONAL_ACTIVO_2024[[#All],[Dependencia]],[2]!PERSONAL_ACTIVO_2024[[#All],[Mail ]],0,0),0))</f>
        <v>0</v>
      </c>
    </row>
    <row r="218" spans="1:43" ht="34.5" customHeight="1">
      <c r="A218" s="125">
        <v>531</v>
      </c>
      <c r="B218" s="124">
        <v>184</v>
      </c>
      <c r="C218" s="162" t="s">
        <v>2554</v>
      </c>
      <c r="D218" s="227" t="s">
        <v>493</v>
      </c>
      <c r="E218" s="128" t="s">
        <v>94</v>
      </c>
      <c r="F218" s="163" t="s">
        <v>1376</v>
      </c>
      <c r="G218" s="190" t="s">
        <v>862</v>
      </c>
      <c r="H218" s="447">
        <v>1001738517</v>
      </c>
      <c r="I218" s="455">
        <v>3986061</v>
      </c>
      <c r="J218" s="456">
        <v>23916366</v>
      </c>
      <c r="K218" s="166" t="s">
        <v>42</v>
      </c>
      <c r="L218" s="438" t="s">
        <v>42</v>
      </c>
      <c r="M218" s="194" t="s">
        <v>818</v>
      </c>
      <c r="N218" s="177" t="e" cm="1">
        <f t="array" aca="1" ref="N218" ca="1">_xlfn.XLOOKUP(Contrato5[[#This Row],[SUPERVISOR TITULAR]],[2]!PERSONAL_ACTIVO_2024[[#All],[Nombre completo]],[2]!PERSONAL_ACTIVO_2024[[#All],[Documento identidad]],"",0)</f>
        <v>#NAME?</v>
      </c>
      <c r="O218" s="194" t="s">
        <v>2555</v>
      </c>
      <c r="P218" s="196" t="e" cm="1">
        <f t="array" aca="1" ref="P218" ca="1">_xlfn.XLOOKUP(Contrato5[[#This Row],[SUPERVISOR SUPLENTE ]],[2]!PERSONAL_ACTIVO_2024[[#All],[Nombre completo]],[2]!PERSONAL_ACTIVO_2024[[#All],[Documento identidad]],"",0)</f>
        <v>#NAME?</v>
      </c>
      <c r="Q218" s="208">
        <v>239</v>
      </c>
      <c r="R218" s="137" t="e" cm="1">
        <f t="array" aca="1" ref="R218" ca="1">_xlfn.XLOOKUP(Contrato5[[#This Row],[CDP]],[2]!DISPONIBILIDADES_2024[[#All],[consecutivo]],[2]!DISPONIBILIDADES_2024[[#All],[fecha_aprobacion]],"",0)</f>
        <v>#NAME?</v>
      </c>
      <c r="S218" s="138" t="e">
        <f>SUMIF([2]!DISPONIBILIDADES_2024[[#All],[consecutivo]],Contrato5[[#This Row],[CDP]],[2]!DISPONIBILIDADES_2024[[#All],[valor_total_rubro]])</f>
        <v>#REF!</v>
      </c>
      <c r="T218" s="139" t="e" cm="1">
        <f t="array" aca="1" ref="T218" ca="1">_xlfn.XLOOKUP(Contrato5[[#This Row],[CONTRATO]]&amp;Contrato5[[#This Row],[CDP]],[2]!Corr_Contr_CDP[[#All],[CONTRATO-CDP]],[2]!Corr_Contr_CDP[[#All],[CRP]],_xlfn.XLOOKUP(Contrato5[[#This Row],[CDP]],[2]!COMPROMISOS_2024[[#All],[disponibilidad]],[2]!COMPROMISOS_2024[[#All],[consecutivo]],"",0),0)</f>
        <v>#NAME?</v>
      </c>
      <c r="U218" s="140" t="e" cm="1">
        <f t="array" aca="1" ref="U218" ca="1">+_xlfn.XLOOKUP(Contrato5[[#This Row],[RCP]],[2]!COMPROMISOS_2024[[#All],[consecutivo]],[2]!COMPROMISOS_2024[[#All],[fecha_aprobacion]],"",0)</f>
        <v>#NAME?</v>
      </c>
      <c r="V218" s="141" t="e">
        <f ca="1">SUMIF([2]!COMPROMISOS_2024[[#All],[consecutivo]],Contrato5[[#This Row],[RCP]],[2]!COMPROMISOS_2024[[#All],[valor_total]])</f>
        <v>#REF!</v>
      </c>
      <c r="W218" s="415">
        <v>45348</v>
      </c>
      <c r="X218" s="415">
        <v>45349</v>
      </c>
      <c r="Y218" s="143">
        <v>45349</v>
      </c>
      <c r="Z218" s="262">
        <v>45530</v>
      </c>
      <c r="AA218" s="193" t="s">
        <v>863</v>
      </c>
      <c r="AB218" s="161" t="s">
        <v>640</v>
      </c>
      <c r="AC218" s="161"/>
      <c r="AD218" s="211">
        <v>202000003841</v>
      </c>
      <c r="AE218" s="147" t="s">
        <v>523</v>
      </c>
      <c r="AF218" s="148" t="str">
        <f>TEXT(LEFT(Contrato5[[#This Row],[CONTRATO]],3),"0")</f>
        <v>184</v>
      </c>
      <c r="AG218" s="148" t="str">
        <f>IF(LEN(Contrato5[[#This Row],[Contrato2]])=3,Contrato5[[#This Row],[Contrato2]],TEXT(Contrato5[[#This Row],[Contrato2]],"000"))</f>
        <v>184</v>
      </c>
      <c r="AH218" s="149">
        <f ca="1">IFERROR(_xlfn.DAYS(Contrato5[[#This Row],[Fecha Proyectada liquidación]],TODAY())/30,"")</f>
        <v>-3.6</v>
      </c>
      <c r="AI218" s="150">
        <f>+Contrato5[[#This Row],[FECHA TERMINACIÓN ]]+120</f>
        <v>45650</v>
      </c>
      <c r="AJ218" s="147"/>
      <c r="AK218" s="152" t="str">
        <f ca="1">IF(Contrato5[[#This Row],[FECHA TERMINACIÓN ]]&lt;TODAY(), "Terminado",IF(ISNUMBER(Contrato5[[#This Row],[Fecha Real de liquiidación ]]),"Liquidado",IF(Contrato5[[#This Row],[FECHA TERMINACIÓN ]]&gt;=TODAY(),"En ejecución","")))</f>
        <v>Terminado</v>
      </c>
      <c r="AL218" s="153" t="e">
        <f ca="1">SUMIF([2]!COMPROMISOS_2024[[#All],[consecutivo]],Contrato5[[#This Row],[RCP]],[2]!COMPROMISOS_2024[[#All],[Total pagado]])</f>
        <v>#REF!</v>
      </c>
      <c r="AM218" s="154">
        <f ca="1">IFERROR(Contrato5[[#This Row],[Pagos]]/Contrato5[[#This Row],[VALOR CONTRATO]],0)</f>
        <v>0</v>
      </c>
      <c r="AN218" s="198" t="e">
        <f ca="1">+Contrato5[[#This Row],[VALOR CONTRATO]]-Contrato5[[#This Row],[Pagos]]</f>
        <v>#REF!</v>
      </c>
      <c r="AO218" s="147" t="e" cm="1">
        <f t="array" aca="1" ref="AO218" ca="1">_xlfn.XLOOKUP(Contrato5[[#This Row],[DOCUMENTO ]],[2]!PERSONAL_ACTIVO_2024[[#All],[Documento identidad]],[2]!PERSONAL_ACTIVO_2024[[#All],[Mail ]],0,0)</f>
        <v>#NAME?</v>
      </c>
      <c r="AP218" s="147" t="e" cm="1">
        <f t="array" aca="1" ref="AP218" ca="1">_xlfn.XLOOKUP(Contrato5[[#This Row],[DOCUMENTO]],[2]!PERSONAL_ACTIVO_2024[[#All],[Documento identidad]],[2]!PERSONAL_ACTIVO_2024[[#All],[Mail ]],0,0)</f>
        <v>#NAME?</v>
      </c>
      <c r="AQ218" s="439" cm="1">
        <f t="array" aca="1" ref="AQ218" ca="1">IF(ISBLANK(Contrato5[[#This Row],[DEPENDENCIA ]]),0,IFERROR(_xlfn.XLOOKUP(Contrato5[[#This Row],[DEPENDENCIA ]],[2]!PERSONAL_ACTIVO_2024[[#All],[Dependencia]],[2]!PERSONAL_ACTIVO_2024[[#All],[Mail ]],0,0),0))</f>
        <v>0</v>
      </c>
    </row>
    <row r="219" spans="1:43" ht="34.5" customHeight="1">
      <c r="A219" s="125">
        <v>539</v>
      </c>
      <c r="B219" s="124">
        <v>185</v>
      </c>
      <c r="C219" s="162" t="s">
        <v>864</v>
      </c>
      <c r="D219" s="227" t="s">
        <v>515</v>
      </c>
      <c r="E219" s="128" t="s">
        <v>94</v>
      </c>
      <c r="F219" s="163" t="s">
        <v>1376</v>
      </c>
      <c r="G219" s="190" t="s">
        <v>865</v>
      </c>
      <c r="H219" s="447">
        <v>1035437740</v>
      </c>
      <c r="I219" s="455">
        <v>6879081</v>
      </c>
      <c r="J219" s="456">
        <v>57953567</v>
      </c>
      <c r="K219" s="131" t="s">
        <v>866</v>
      </c>
      <c r="L219" s="438" t="s">
        <v>42</v>
      </c>
      <c r="M219" s="194" t="s">
        <v>520</v>
      </c>
      <c r="N219" s="177" t="e" cm="1">
        <f t="array" aca="1" ref="N219" ca="1">_xlfn.XLOOKUP(Contrato5[[#This Row],[SUPERVISOR TITULAR]],[2]!PERSONAL_ACTIVO_2024[[#All],[Nombre completo]],[2]!PERSONAL_ACTIVO_2024[[#All],[Documento identidad]],"",0)</f>
        <v>#NAME?</v>
      </c>
      <c r="O219" s="194" t="s">
        <v>867</v>
      </c>
      <c r="P219" s="196" t="e" cm="1">
        <f t="array" aca="1" ref="P219" ca="1">_xlfn.XLOOKUP(Contrato5[[#This Row],[SUPERVISOR SUPLENTE ]],[2]!PERSONAL_ACTIVO_2024[[#All],[Nombre completo]],[2]!PERSONAL_ACTIVO_2024[[#All],[Documento identidad]],"",0)</f>
        <v>#NAME?</v>
      </c>
      <c r="Q219" s="208">
        <v>237</v>
      </c>
      <c r="R219" s="137" t="e" cm="1">
        <f t="array" aca="1" ref="R219" ca="1">_xlfn.XLOOKUP(Contrato5[[#This Row],[CDP]],[2]!DISPONIBILIDADES_2024[[#All],[consecutivo]],[2]!DISPONIBILIDADES_2024[[#All],[fecha_aprobacion]],"",0)</f>
        <v>#NAME?</v>
      </c>
      <c r="S219" s="138" t="e">
        <f>SUMIF([2]!DISPONIBILIDADES_2024[[#All],[consecutivo]],Contrato5[[#This Row],[CDP]],[2]!DISPONIBILIDADES_2024[[#All],[valor_total_rubro]])</f>
        <v>#REF!</v>
      </c>
      <c r="T219" s="139" t="e" cm="1">
        <f t="array" aca="1" ref="T219" ca="1">_xlfn.XLOOKUP(Contrato5[[#This Row],[CONTRATO]]&amp;Contrato5[[#This Row],[CDP]],[2]!Corr_Contr_CDP[[#All],[CONTRATO-CDP]],[2]!Corr_Contr_CDP[[#All],[CRP]],_xlfn.XLOOKUP(Contrato5[[#This Row],[CDP]],[2]!COMPROMISOS_2024[[#All],[disponibilidad]],[2]!COMPROMISOS_2024[[#All],[consecutivo]],"",0),0)</f>
        <v>#NAME?</v>
      </c>
      <c r="U219" s="140" t="e" cm="1">
        <f t="array" aca="1" ref="U219" ca="1">+_xlfn.XLOOKUP(Contrato5[[#This Row],[RCP]],[2]!COMPROMISOS_2024[[#All],[consecutivo]],[2]!COMPROMISOS_2024[[#All],[fecha_aprobacion]],"",0)</f>
        <v>#NAME?</v>
      </c>
      <c r="V219" s="141" t="e">
        <f ca="1">SUMIF([2]!COMPROMISOS_2024[[#All],[consecutivo]],Contrato5[[#This Row],[RCP]],[2]!COMPROMISOS_2024[[#All],[valor_total]])</f>
        <v>#REF!</v>
      </c>
      <c r="W219" s="415">
        <v>45351</v>
      </c>
      <c r="X219" s="415">
        <v>45351</v>
      </c>
      <c r="Y219" s="143">
        <v>45352</v>
      </c>
      <c r="Z219" s="262">
        <v>45565</v>
      </c>
      <c r="AA219" s="240" t="s">
        <v>868</v>
      </c>
      <c r="AB219" s="238" t="s">
        <v>618</v>
      </c>
      <c r="AC219" s="161"/>
      <c r="AD219" s="211">
        <v>202000003984</v>
      </c>
      <c r="AE219" s="147" t="s">
        <v>523</v>
      </c>
      <c r="AF219" s="148" t="str">
        <f>TEXT(LEFT(Contrato5[[#This Row],[CONTRATO]],3),"0")</f>
        <v>185</v>
      </c>
      <c r="AG219" s="148" t="str">
        <f>IF(LEN(Contrato5[[#This Row],[Contrato2]])=3,Contrato5[[#This Row],[Contrato2]],TEXT(Contrato5[[#This Row],[Contrato2]],"000"))</f>
        <v>185</v>
      </c>
      <c r="AH219" s="149">
        <f ca="1">IFERROR(_xlfn.DAYS(Contrato5[[#This Row],[Fecha Proyectada liquidación]],TODAY())/30,"")</f>
        <v>-2.4333333333333331</v>
      </c>
      <c r="AI219" s="150">
        <f>+Contrato5[[#This Row],[FECHA TERMINACIÓN ]]+120</f>
        <v>45685</v>
      </c>
      <c r="AJ219" s="147"/>
      <c r="AK219" s="152" t="str">
        <f ca="1">IF(Contrato5[[#This Row],[FECHA TERMINACIÓN ]]&lt;TODAY(), "Terminado",IF(ISNUMBER(Contrato5[[#This Row],[Fecha Real de liquiidación ]]),"Liquidado",IF(Contrato5[[#This Row],[FECHA TERMINACIÓN ]]&gt;=TODAY(),"En ejecución","")))</f>
        <v>Terminado</v>
      </c>
      <c r="AL219" s="153" t="e">
        <f ca="1">SUMIF([2]!COMPROMISOS_2024[[#All],[consecutivo]],Contrato5[[#This Row],[RCP]],[2]!COMPROMISOS_2024[[#All],[Total pagado]])</f>
        <v>#REF!</v>
      </c>
      <c r="AM219" s="154">
        <f ca="1">IFERROR(Contrato5[[#This Row],[Pagos]]/Contrato5[[#This Row],[VALOR CONTRATO]],0)</f>
        <v>0</v>
      </c>
      <c r="AN219" s="198" t="e">
        <f ca="1">+Contrato5[[#This Row],[VALOR CONTRATO]]-Contrato5[[#This Row],[Pagos]]</f>
        <v>#REF!</v>
      </c>
      <c r="AO219" s="147" t="e" cm="1">
        <f t="array" aca="1" ref="AO219" ca="1">_xlfn.XLOOKUP(Contrato5[[#This Row],[DOCUMENTO ]],[2]!PERSONAL_ACTIVO_2024[[#All],[Documento identidad]],[2]!PERSONAL_ACTIVO_2024[[#All],[Mail ]],0,0)</f>
        <v>#NAME?</v>
      </c>
      <c r="AP219" s="147" t="e" cm="1">
        <f t="array" aca="1" ref="AP219" ca="1">_xlfn.XLOOKUP(Contrato5[[#This Row],[DOCUMENTO]],[2]!PERSONAL_ACTIVO_2024[[#All],[Documento identidad]],[2]!PERSONAL_ACTIVO_2024[[#All],[Mail ]],0,0)</f>
        <v>#NAME?</v>
      </c>
      <c r="AQ219" s="439" cm="1">
        <f t="array" aca="1" ref="AQ219" ca="1">IF(ISBLANK(Contrato5[[#This Row],[DEPENDENCIA ]]),0,IFERROR(_xlfn.XLOOKUP(Contrato5[[#This Row],[DEPENDENCIA ]],[2]!PERSONAL_ACTIVO_2024[[#All],[Dependencia]],[2]!PERSONAL_ACTIVO_2024[[#All],[Mail ]],0,0),0))</f>
        <v>0</v>
      </c>
    </row>
    <row r="220" spans="1:43" ht="34.5" customHeight="1">
      <c r="A220" s="125">
        <v>1127</v>
      </c>
      <c r="B220" s="124">
        <v>185</v>
      </c>
      <c r="C220" s="162" t="s">
        <v>2342</v>
      </c>
      <c r="D220" s="227" t="s">
        <v>515</v>
      </c>
      <c r="E220" s="128" t="s">
        <v>2148</v>
      </c>
      <c r="F220" s="163" t="s">
        <v>1376</v>
      </c>
      <c r="G220" s="190" t="s">
        <v>865</v>
      </c>
      <c r="H220" s="447">
        <v>1035437740</v>
      </c>
      <c r="I220" s="455">
        <v>6879081</v>
      </c>
      <c r="J220" s="456">
        <v>24837273</v>
      </c>
      <c r="K220" s="131" t="s">
        <v>2556</v>
      </c>
      <c r="L220" s="438" t="s">
        <v>2548</v>
      </c>
      <c r="M220" s="194" t="s">
        <v>520</v>
      </c>
      <c r="N220" s="177" t="e" cm="1">
        <f t="array" aca="1" ref="N220" ca="1">_xlfn.XLOOKUP(Contrato5[[#This Row],[SUPERVISOR TITULAR]],[2]!PERSONAL_ACTIVO_2024[[#All],[Nombre completo]],[2]!PERSONAL_ACTIVO_2024[[#All],[Documento identidad]],"",0)</f>
        <v>#NAME?</v>
      </c>
      <c r="O220" s="194" t="s">
        <v>867</v>
      </c>
      <c r="P220" s="196" t="e" cm="1">
        <f t="array" aca="1" ref="P220" ca="1">_xlfn.XLOOKUP(Contrato5[[#This Row],[SUPERVISOR SUPLENTE ]],[2]!PERSONAL_ACTIVO_2024[[#All],[Nombre completo]],[2]!PERSONAL_ACTIVO_2024[[#All],[Documento identidad]],"",0)</f>
        <v>#NAME?</v>
      </c>
      <c r="Q220" s="208">
        <v>930</v>
      </c>
      <c r="R220" s="137" t="e" cm="1">
        <f t="array" aca="1" ref="R220" ca="1">_xlfn.XLOOKUP(Contrato5[[#This Row],[CDP]],[2]!DISPONIBILIDADES_2024[[#All],[consecutivo]],[2]!DISPONIBILIDADES_2024[[#All],[fecha_aprobacion]],"",0)</f>
        <v>#NAME?</v>
      </c>
      <c r="S220" s="138" t="e">
        <f>SUMIF([2]!DISPONIBILIDADES_2024[[#All],[consecutivo]],Contrato5[[#This Row],[CDP]],[2]!DISPONIBILIDADES_2024[[#All],[valor_total_rubro]])</f>
        <v>#REF!</v>
      </c>
      <c r="T220" s="139" t="e" cm="1">
        <f t="array" aca="1" ref="T220" ca="1">_xlfn.XLOOKUP(Contrato5[[#This Row],[CONTRATO]]&amp;Contrato5[[#This Row],[CDP]],[2]!Corr_Contr_CDP[[#All],[CONTRATO-CDP]],[2]!Corr_Contr_CDP[[#All],[CRP]],_xlfn.XLOOKUP(Contrato5[[#This Row],[CDP]],[2]!COMPROMISOS_2024[[#All],[disponibilidad]],[2]!COMPROMISOS_2024[[#All],[consecutivo]],"",0),0)</f>
        <v>#NAME?</v>
      </c>
      <c r="U220" s="140" t="e" cm="1">
        <f t="array" aca="1" ref="U220" ca="1">+_xlfn.XLOOKUP(Contrato5[[#This Row],[RCP]],[2]!COMPROMISOS_2024[[#All],[consecutivo]],[2]!COMPROMISOS_2024[[#All],[fecha_aprobacion]],"",0)</f>
        <v>#NAME?</v>
      </c>
      <c r="V220" s="141" t="e">
        <f ca="1">SUMIF([2]!COMPROMISOS_2024[[#All],[consecutivo]],Contrato5[[#This Row],[RCP]],[2]!COMPROMISOS_2024[[#All],[valor_total]])</f>
        <v>#REF!</v>
      </c>
      <c r="W220" s="415">
        <v>45561</v>
      </c>
      <c r="X220" s="415">
        <v>45589</v>
      </c>
      <c r="Y220" s="143">
        <v>45566</v>
      </c>
      <c r="Z220" s="262">
        <v>45656</v>
      </c>
      <c r="AA220" s="240"/>
      <c r="AB220" s="238" t="s">
        <v>2557</v>
      </c>
      <c r="AC220" s="161"/>
      <c r="AD220" s="211">
        <v>202000003984</v>
      </c>
      <c r="AE220" s="147" t="s">
        <v>523</v>
      </c>
      <c r="AF220" s="148" t="str">
        <f>TEXT(LEFT(Contrato5[[#This Row],[CONTRATO]],3),"0")</f>
        <v>185</v>
      </c>
      <c r="AG220" s="148" t="str">
        <f>IF(LEN(Contrato5[[#This Row],[Contrato2]])=3,Contrato5[[#This Row],[Contrato2]],TEXT(Contrato5[[#This Row],[Contrato2]],"000"))</f>
        <v>185</v>
      </c>
      <c r="AH220" s="149">
        <f ca="1">IFERROR(_xlfn.DAYS(Contrato5[[#This Row],[Fecha Proyectada liquidación]],TODAY())/30,"")</f>
        <v>0.6</v>
      </c>
      <c r="AI220" s="150">
        <f>+Contrato5[[#This Row],[FECHA TERMINACIÓN ]]+120</f>
        <v>45776</v>
      </c>
      <c r="AJ220" s="147"/>
      <c r="AK220" s="152" t="str">
        <f ca="1">IF(Contrato5[[#This Row],[FECHA TERMINACIÓN ]]&lt;TODAY(), "Terminado",IF(ISNUMBER(Contrato5[[#This Row],[Fecha Real de liquiidación ]]),"Liquidado",IF(Contrato5[[#This Row],[FECHA TERMINACIÓN ]]&gt;=TODAY(),"En ejecución","")))</f>
        <v>Terminado</v>
      </c>
      <c r="AL220" s="153" t="e">
        <f ca="1">SUMIF([2]!COMPROMISOS_2024[[#All],[consecutivo]],Contrato5[[#This Row],[RCP]],[2]!COMPROMISOS_2024[[#All],[Total pagado]])</f>
        <v>#REF!</v>
      </c>
      <c r="AM220" s="154">
        <f ca="1">IFERROR(Contrato5[[#This Row],[Pagos]]/Contrato5[[#This Row],[VALOR CONTRATO]],0)</f>
        <v>0</v>
      </c>
      <c r="AN220" s="198" t="e">
        <f ca="1">+Contrato5[[#This Row],[VALOR CONTRATO]]-Contrato5[[#This Row],[Pagos]]</f>
        <v>#REF!</v>
      </c>
      <c r="AO220" s="147" t="e" cm="1">
        <f t="array" aca="1" ref="AO220" ca="1">_xlfn.XLOOKUP(Contrato5[[#This Row],[DOCUMENTO ]],[2]!PERSONAL_ACTIVO_2024[[#All],[Documento identidad]],[2]!PERSONAL_ACTIVO_2024[[#All],[Mail ]],0,0)</f>
        <v>#NAME?</v>
      </c>
      <c r="AP220" s="147" t="e" cm="1">
        <f t="array" aca="1" ref="AP220" ca="1">_xlfn.XLOOKUP(Contrato5[[#This Row],[DOCUMENTO]],[2]!PERSONAL_ACTIVO_2024[[#All],[Documento identidad]],[2]!PERSONAL_ACTIVO_2024[[#All],[Mail ]],0,0)</f>
        <v>#NAME?</v>
      </c>
      <c r="AQ220" s="439" cm="1">
        <f t="array" aca="1" ref="AQ220" ca="1">IF(ISBLANK(Contrato5[[#This Row],[DEPENDENCIA ]]),0,IFERROR(_xlfn.XLOOKUP(Contrato5[[#This Row],[DEPENDENCIA ]],[2]!PERSONAL_ACTIVO_2024[[#All],[Dependencia]],[2]!PERSONAL_ACTIVO_2024[[#All],[Mail ]],0,0),0))</f>
        <v>0</v>
      </c>
    </row>
    <row r="221" spans="1:43" ht="34.5" customHeight="1">
      <c r="A221" s="125">
        <v>532</v>
      </c>
      <c r="B221" s="124">
        <v>186</v>
      </c>
      <c r="C221" s="162" t="s">
        <v>2558</v>
      </c>
      <c r="D221" s="227" t="s">
        <v>493</v>
      </c>
      <c r="E221" s="128" t="s">
        <v>94</v>
      </c>
      <c r="F221" s="163" t="s">
        <v>1376</v>
      </c>
      <c r="G221" s="190" t="s">
        <v>869</v>
      </c>
      <c r="H221" s="447">
        <v>42788275</v>
      </c>
      <c r="I221" s="455">
        <v>6879081</v>
      </c>
      <c r="J221" s="456">
        <v>41274486</v>
      </c>
      <c r="K221" s="147" t="s">
        <v>42</v>
      </c>
      <c r="L221" s="438" t="s">
        <v>42</v>
      </c>
      <c r="M221" s="194" t="s">
        <v>502</v>
      </c>
      <c r="N221" s="177" t="e" cm="1">
        <f t="array" aca="1" ref="N221" ca="1">_xlfn.XLOOKUP(Contrato5[[#This Row],[SUPERVISOR TITULAR]],[2]!PERSONAL_ACTIVO_2024[[#All],[Nombre completo]],[2]!PERSONAL_ACTIVO_2024[[#All],[Documento identidad]],"",0)</f>
        <v>#NAME?</v>
      </c>
      <c r="O221" s="194" t="s">
        <v>2536</v>
      </c>
      <c r="P221" s="196" t="e" cm="1">
        <f t="array" aca="1" ref="P221" ca="1">_xlfn.XLOOKUP(Contrato5[[#This Row],[SUPERVISOR SUPLENTE ]],[2]!PERSONAL_ACTIVO_2024[[#All],[Nombre completo]],[2]!PERSONAL_ACTIVO_2024[[#All],[Documento identidad]],"",0)</f>
        <v>#NAME?</v>
      </c>
      <c r="Q221" s="208">
        <v>200</v>
      </c>
      <c r="R221" s="137" t="e" cm="1">
        <f t="array" aca="1" ref="R221" ca="1">_xlfn.XLOOKUP(Contrato5[[#This Row],[CDP]],[2]!DISPONIBILIDADES_2024[[#All],[consecutivo]],[2]!DISPONIBILIDADES_2024[[#All],[fecha_aprobacion]],"",0)</f>
        <v>#NAME?</v>
      </c>
      <c r="S221" s="138" t="e">
        <f>SUMIF([2]!DISPONIBILIDADES_2024[[#All],[consecutivo]],Contrato5[[#This Row],[CDP]],[2]!DISPONIBILIDADES_2024[[#All],[valor_total_rubro]])</f>
        <v>#REF!</v>
      </c>
      <c r="T221" s="139" t="e" cm="1">
        <f t="array" aca="1" ref="T221" ca="1">_xlfn.XLOOKUP(Contrato5[[#This Row],[CONTRATO]]&amp;Contrato5[[#This Row],[CDP]],[2]!Corr_Contr_CDP[[#All],[CONTRATO-CDP]],[2]!Corr_Contr_CDP[[#All],[CRP]],_xlfn.XLOOKUP(Contrato5[[#This Row],[CDP]],[2]!COMPROMISOS_2024[[#All],[disponibilidad]],[2]!COMPROMISOS_2024[[#All],[consecutivo]],"",0),0)</f>
        <v>#NAME?</v>
      </c>
      <c r="U221" s="140" t="e" cm="1">
        <f t="array" aca="1" ref="U221" ca="1">+_xlfn.XLOOKUP(Contrato5[[#This Row],[RCP]],[2]!COMPROMISOS_2024[[#All],[consecutivo]],[2]!COMPROMISOS_2024[[#All],[fecha_aprobacion]],"",0)</f>
        <v>#NAME?</v>
      </c>
      <c r="V221" s="141" t="e">
        <f ca="1">SUMIF([2]!COMPROMISOS_2024[[#All],[consecutivo]],Contrato5[[#This Row],[RCP]],[2]!COMPROMISOS_2024[[#All],[valor_total]])</f>
        <v>#REF!</v>
      </c>
      <c r="W221" s="415">
        <v>45353</v>
      </c>
      <c r="X221" s="415">
        <v>45355</v>
      </c>
      <c r="Y221" s="143">
        <v>45356</v>
      </c>
      <c r="Z221" s="262">
        <v>45539</v>
      </c>
      <c r="AA221" s="250" t="s">
        <v>870</v>
      </c>
      <c r="AB221" s="238" t="s">
        <v>640</v>
      </c>
      <c r="AC221" s="161"/>
      <c r="AD221" s="211">
        <v>202000003985</v>
      </c>
      <c r="AE221" s="147" t="s">
        <v>523</v>
      </c>
      <c r="AF221" s="148" t="str">
        <f>TEXT(LEFT(Contrato5[[#This Row],[CONTRATO]],3),"0")</f>
        <v>186</v>
      </c>
      <c r="AG221" s="148" t="str">
        <f>IF(LEN(Contrato5[[#This Row],[Contrato2]])=3,Contrato5[[#This Row],[Contrato2]],TEXT(Contrato5[[#This Row],[Contrato2]],"000"))</f>
        <v>186</v>
      </c>
      <c r="AH221" s="149">
        <f ca="1">IFERROR(_xlfn.DAYS(Contrato5[[#This Row],[Fecha Proyectada liquidación]],TODAY())/30,"")</f>
        <v>-3.3</v>
      </c>
      <c r="AI221" s="150">
        <f>+Contrato5[[#This Row],[FECHA TERMINACIÓN ]]+120</f>
        <v>45659</v>
      </c>
      <c r="AJ221" s="147"/>
      <c r="AK221" s="152" t="str">
        <f ca="1">IF(Contrato5[[#This Row],[FECHA TERMINACIÓN ]]&lt;TODAY(), "Terminado",IF(ISNUMBER(Contrato5[[#This Row],[Fecha Real de liquiidación ]]),"Liquidado",IF(Contrato5[[#This Row],[FECHA TERMINACIÓN ]]&gt;=TODAY(),"En ejecución","")))</f>
        <v>Terminado</v>
      </c>
      <c r="AL221" s="153" t="e">
        <f ca="1">SUMIF([2]!COMPROMISOS_2024[[#All],[consecutivo]],Contrato5[[#This Row],[RCP]],[2]!COMPROMISOS_2024[[#All],[Total pagado]])</f>
        <v>#REF!</v>
      </c>
      <c r="AM221" s="154">
        <f ca="1">IFERROR(Contrato5[[#This Row],[Pagos]]/Contrato5[[#This Row],[VALOR CONTRATO]],0)</f>
        <v>0</v>
      </c>
      <c r="AN221" s="198" t="e">
        <f ca="1">+Contrato5[[#This Row],[VALOR CONTRATO]]-Contrato5[[#This Row],[Pagos]]</f>
        <v>#REF!</v>
      </c>
      <c r="AO221" s="147" t="e" cm="1">
        <f t="array" aca="1" ref="AO221" ca="1">_xlfn.XLOOKUP(Contrato5[[#This Row],[DOCUMENTO ]],[2]!PERSONAL_ACTIVO_2024[[#All],[Documento identidad]],[2]!PERSONAL_ACTIVO_2024[[#All],[Mail ]],0,0)</f>
        <v>#NAME?</v>
      </c>
      <c r="AP221" s="147" t="e" cm="1">
        <f t="array" aca="1" ref="AP221" ca="1">_xlfn.XLOOKUP(Contrato5[[#This Row],[DOCUMENTO]],[2]!PERSONAL_ACTIVO_2024[[#All],[Documento identidad]],[2]!PERSONAL_ACTIVO_2024[[#All],[Mail ]],0,0)</f>
        <v>#NAME?</v>
      </c>
      <c r="AQ221" s="439" cm="1">
        <f t="array" aca="1" ref="AQ221" ca="1">IF(ISBLANK(Contrato5[[#This Row],[DEPENDENCIA ]]),0,IFERROR(_xlfn.XLOOKUP(Contrato5[[#This Row],[DEPENDENCIA ]],[2]!PERSONAL_ACTIVO_2024[[#All],[Dependencia]],[2]!PERSONAL_ACTIVO_2024[[#All],[Mail ]],0,0),0))</f>
        <v>0</v>
      </c>
    </row>
    <row r="222" spans="1:43" ht="34.5" customHeight="1">
      <c r="A222" s="125">
        <v>542</v>
      </c>
      <c r="B222" s="124">
        <v>187</v>
      </c>
      <c r="C222" s="162" t="s">
        <v>871</v>
      </c>
      <c r="D222" s="227" t="s">
        <v>515</v>
      </c>
      <c r="E222" s="128" t="s">
        <v>94</v>
      </c>
      <c r="F222" s="163" t="s">
        <v>1376</v>
      </c>
      <c r="G222" s="190" t="s">
        <v>872</v>
      </c>
      <c r="H222" s="447">
        <v>70353106</v>
      </c>
      <c r="I222" s="455">
        <v>6879081</v>
      </c>
      <c r="J222" s="456">
        <v>60153567</v>
      </c>
      <c r="K222" s="131" t="s">
        <v>831</v>
      </c>
      <c r="L222" s="438" t="s">
        <v>42</v>
      </c>
      <c r="M222" s="194" t="s">
        <v>823</v>
      </c>
      <c r="N222" s="177" t="e" cm="1">
        <f t="array" aca="1" ref="N222" ca="1">_xlfn.XLOOKUP(Contrato5[[#This Row],[SUPERVISOR TITULAR]],[2]!PERSONAL_ACTIVO_2024[[#All],[Nombre completo]],[2]!PERSONAL_ACTIVO_2024[[#All],[Documento identidad]],"",0)</f>
        <v>#NAME?</v>
      </c>
      <c r="O222" s="194" t="s">
        <v>822</v>
      </c>
      <c r="P222" s="196" t="e" cm="1">
        <f t="array" aca="1" ref="P222" ca="1">_xlfn.XLOOKUP(Contrato5[[#This Row],[SUPERVISOR SUPLENTE ]],[2]!PERSONAL_ACTIVO_2024[[#All],[Nombre completo]],[2]!PERSONAL_ACTIVO_2024[[#All],[Documento identidad]],"",0)</f>
        <v>#NAME?</v>
      </c>
      <c r="Q222" s="208">
        <v>234</v>
      </c>
      <c r="R222" s="137" t="e" cm="1">
        <f t="array" aca="1" ref="R222" ca="1">_xlfn.XLOOKUP(Contrato5[[#This Row],[CDP]],[2]!DISPONIBILIDADES_2024[[#All],[consecutivo]],[2]!DISPONIBILIDADES_2024[[#All],[fecha_aprobacion]],"",0)</f>
        <v>#NAME?</v>
      </c>
      <c r="S222" s="138" t="e">
        <f>SUMIF([2]!DISPONIBILIDADES_2024[[#All],[consecutivo]],Contrato5[[#This Row],[CDP]],[2]!DISPONIBILIDADES_2024[[#All],[valor_total_rubro]])</f>
        <v>#REF!</v>
      </c>
      <c r="T222" s="139" t="e" cm="1">
        <f t="array" aca="1" ref="T222" ca="1">_xlfn.XLOOKUP(Contrato5[[#This Row],[CONTRATO]]&amp;Contrato5[[#This Row],[CDP]],[2]!Corr_Contr_CDP[[#All],[CONTRATO-CDP]],[2]!Corr_Contr_CDP[[#All],[CRP]],_xlfn.XLOOKUP(Contrato5[[#This Row],[CDP]],[2]!COMPROMISOS_2024[[#All],[disponibilidad]],[2]!COMPROMISOS_2024[[#All],[consecutivo]],"",0),0)</f>
        <v>#NAME?</v>
      </c>
      <c r="U222" s="140" t="e" cm="1">
        <f t="array" aca="1" ref="U222" ca="1">+_xlfn.XLOOKUP(Contrato5[[#This Row],[RCP]],[2]!COMPROMISOS_2024[[#All],[consecutivo]],[2]!COMPROMISOS_2024[[#All],[fecha_aprobacion]],"",0)</f>
        <v>#NAME?</v>
      </c>
      <c r="V222" s="141" t="e">
        <f ca="1">SUMIF([2]!COMPROMISOS_2024[[#All],[consecutivo]],Contrato5[[#This Row],[RCP]],[2]!COMPROMISOS_2024[[#All],[valor_total]])</f>
        <v>#REF!</v>
      </c>
      <c r="W222" s="415">
        <v>45355</v>
      </c>
      <c r="X222" s="415">
        <v>45356</v>
      </c>
      <c r="Y222" s="143">
        <v>45357</v>
      </c>
      <c r="Z222" s="262">
        <v>45570</v>
      </c>
      <c r="AA222" s="240" t="s">
        <v>873</v>
      </c>
      <c r="AB222" s="238" t="s">
        <v>874</v>
      </c>
      <c r="AC222" s="161"/>
      <c r="AD222" s="221">
        <v>202000003989</v>
      </c>
      <c r="AE222" s="147" t="s">
        <v>523</v>
      </c>
      <c r="AF222" s="148" t="str">
        <f>TEXT(LEFT(Contrato5[[#This Row],[CONTRATO]],3),"0")</f>
        <v>187</v>
      </c>
      <c r="AG222" s="148" t="str">
        <f>IF(LEN(Contrato5[[#This Row],[Contrato2]])=3,Contrato5[[#This Row],[Contrato2]],TEXT(Contrato5[[#This Row],[Contrato2]],"000"))</f>
        <v>187</v>
      </c>
      <c r="AH222" s="149">
        <f ca="1">IFERROR(_xlfn.DAYS(Contrato5[[#This Row],[Fecha Proyectada liquidación]],TODAY())/30,"")</f>
        <v>-2.2666666666666666</v>
      </c>
      <c r="AI222" s="150">
        <f>+Contrato5[[#This Row],[FECHA TERMINACIÓN ]]+120</f>
        <v>45690</v>
      </c>
      <c r="AJ222" s="147"/>
      <c r="AK222" s="152" t="str">
        <f ca="1">IF(Contrato5[[#This Row],[FECHA TERMINACIÓN ]]&lt;TODAY(), "Terminado",IF(ISNUMBER(Contrato5[[#This Row],[Fecha Real de liquiidación ]]),"Liquidado",IF(Contrato5[[#This Row],[FECHA TERMINACIÓN ]]&gt;=TODAY(),"En ejecución","")))</f>
        <v>Terminado</v>
      </c>
      <c r="AL222" s="153" t="e">
        <f ca="1">SUMIF([2]!COMPROMISOS_2024[[#All],[consecutivo]],Contrato5[[#This Row],[RCP]],[2]!COMPROMISOS_2024[[#All],[Total pagado]])</f>
        <v>#REF!</v>
      </c>
      <c r="AM222" s="154">
        <f ca="1">IFERROR(Contrato5[[#This Row],[Pagos]]/Contrato5[[#This Row],[VALOR CONTRATO]],0)</f>
        <v>0</v>
      </c>
      <c r="AN222" s="198" t="e">
        <f ca="1">+Contrato5[[#This Row],[VALOR CONTRATO]]-Contrato5[[#This Row],[Pagos]]</f>
        <v>#REF!</v>
      </c>
      <c r="AO222" s="147" t="e" cm="1">
        <f t="array" aca="1" ref="AO222" ca="1">_xlfn.XLOOKUP(Contrato5[[#This Row],[DOCUMENTO ]],[2]!PERSONAL_ACTIVO_2024[[#All],[Documento identidad]],[2]!PERSONAL_ACTIVO_2024[[#All],[Mail ]],0,0)</f>
        <v>#NAME?</v>
      </c>
      <c r="AP222" s="147" t="e" cm="1">
        <f t="array" aca="1" ref="AP222" ca="1">_xlfn.XLOOKUP(Contrato5[[#This Row],[DOCUMENTO]],[2]!PERSONAL_ACTIVO_2024[[#All],[Documento identidad]],[2]!PERSONAL_ACTIVO_2024[[#All],[Mail ]],0,0)</f>
        <v>#NAME?</v>
      </c>
      <c r="AQ222" s="439" cm="1">
        <f t="array" aca="1" ref="AQ222" ca="1">IF(ISBLANK(Contrato5[[#This Row],[DEPENDENCIA ]]),0,IFERROR(_xlfn.XLOOKUP(Contrato5[[#This Row],[DEPENDENCIA ]],[2]!PERSONAL_ACTIVO_2024[[#All],[Dependencia]],[2]!PERSONAL_ACTIVO_2024[[#All],[Mail ]],0,0),0))</f>
        <v>0</v>
      </c>
    </row>
    <row r="223" spans="1:43" ht="34.5" customHeight="1">
      <c r="A223" s="125">
        <v>324</v>
      </c>
      <c r="B223" s="124">
        <v>188</v>
      </c>
      <c r="C223" s="162" t="s">
        <v>2559</v>
      </c>
      <c r="D223" s="227" t="s">
        <v>583</v>
      </c>
      <c r="E223" s="128" t="s">
        <v>94</v>
      </c>
      <c r="F223" s="163" t="s">
        <v>1376</v>
      </c>
      <c r="G223" s="190" t="s">
        <v>875</v>
      </c>
      <c r="H223" s="447">
        <v>1035920530</v>
      </c>
      <c r="I223" s="455">
        <v>4191468</v>
      </c>
      <c r="J223" s="456">
        <v>12574404</v>
      </c>
      <c r="K223" s="147" t="s">
        <v>42</v>
      </c>
      <c r="L223" s="438" t="s">
        <v>42</v>
      </c>
      <c r="M223" s="194" t="s">
        <v>586</v>
      </c>
      <c r="N223" s="177" t="e" cm="1">
        <f t="array" aca="1" ref="N223" ca="1">_xlfn.XLOOKUP(Contrato5[[#This Row],[SUPERVISOR TITULAR]],[2]!PERSONAL_ACTIVO_2024[[#All],[Nombre completo]],[2]!PERSONAL_ACTIVO_2024[[#All],[Documento identidad]],"",0)</f>
        <v>#NAME?</v>
      </c>
      <c r="O223" s="194" t="s">
        <v>589</v>
      </c>
      <c r="P223" s="196" t="e" cm="1">
        <f t="array" aca="1" ref="P223" ca="1">_xlfn.XLOOKUP(Contrato5[[#This Row],[SUPERVISOR SUPLENTE ]],[2]!PERSONAL_ACTIVO_2024[[#All],[Nombre completo]],[2]!PERSONAL_ACTIVO_2024[[#All],[Documento identidad]],"",0)</f>
        <v>#NAME?</v>
      </c>
      <c r="Q223" s="208">
        <v>261</v>
      </c>
      <c r="R223" s="137" t="e" cm="1">
        <f t="array" aca="1" ref="R223" ca="1">_xlfn.XLOOKUP(Contrato5[[#This Row],[CDP]],[2]!DISPONIBILIDADES_2024[[#All],[consecutivo]],[2]!DISPONIBILIDADES_2024[[#All],[fecha_aprobacion]],"",0)</f>
        <v>#NAME?</v>
      </c>
      <c r="S223" s="138" t="e">
        <f>SUMIF([2]!DISPONIBILIDADES_2024[[#All],[consecutivo]],Contrato5[[#This Row],[CDP]],[2]!DISPONIBILIDADES_2024[[#All],[valor_total_rubro]])</f>
        <v>#REF!</v>
      </c>
      <c r="T223" s="139" t="e" cm="1">
        <f t="array" aca="1" ref="T223" ca="1">_xlfn.XLOOKUP(Contrato5[[#This Row],[CONTRATO]]&amp;Contrato5[[#This Row],[CDP]],[2]!Corr_Contr_CDP[[#All],[CONTRATO-CDP]],[2]!Corr_Contr_CDP[[#All],[CRP]],_xlfn.XLOOKUP(Contrato5[[#This Row],[CDP]],[2]!COMPROMISOS_2024[[#All],[disponibilidad]],[2]!COMPROMISOS_2024[[#All],[consecutivo]],"",0),0)</f>
        <v>#NAME?</v>
      </c>
      <c r="U223" s="140" t="e" cm="1">
        <f t="array" aca="1" ref="U223" ca="1">+_xlfn.XLOOKUP(Contrato5[[#This Row],[RCP]],[2]!COMPROMISOS_2024[[#All],[consecutivo]],[2]!COMPROMISOS_2024[[#All],[fecha_aprobacion]],"",0)</f>
        <v>#NAME?</v>
      </c>
      <c r="V223" s="141" t="e">
        <f ca="1">SUMIF([2]!COMPROMISOS_2024[[#All],[consecutivo]],Contrato5[[#This Row],[RCP]],[2]!COMPROMISOS_2024[[#All],[valor_total]])</f>
        <v>#REF!</v>
      </c>
      <c r="W223" s="415">
        <v>45352</v>
      </c>
      <c r="X223" s="415">
        <v>45355</v>
      </c>
      <c r="Y223" s="143">
        <v>45355</v>
      </c>
      <c r="Z223" s="262">
        <v>45446</v>
      </c>
      <c r="AA223" s="251" t="s">
        <v>876</v>
      </c>
      <c r="AB223" s="238" t="s">
        <v>529</v>
      </c>
      <c r="AC223" s="161"/>
      <c r="AD223" s="221">
        <v>202000003992</v>
      </c>
      <c r="AE223" s="147" t="s">
        <v>523</v>
      </c>
      <c r="AF223" s="148" t="str">
        <f>TEXT(LEFT(Contrato5[[#This Row],[CONTRATO]],3),"0")</f>
        <v>188</v>
      </c>
      <c r="AG223" s="148" t="str">
        <f>IF(LEN(Contrato5[[#This Row],[Contrato2]])=3,Contrato5[[#This Row],[Contrato2]],TEXT(Contrato5[[#This Row],[Contrato2]],"000"))</f>
        <v>188</v>
      </c>
      <c r="AH223" s="149">
        <f ca="1">IFERROR(_xlfn.DAYS(Contrato5[[#This Row],[Fecha Proyectada liquidación]],TODAY())/30,"")</f>
        <v>-6.4</v>
      </c>
      <c r="AI223" s="150">
        <f>+Contrato5[[#This Row],[FECHA TERMINACIÓN ]]+120</f>
        <v>45566</v>
      </c>
      <c r="AJ223" s="147"/>
      <c r="AK223" s="152" t="str">
        <f ca="1">IF(Contrato5[[#This Row],[FECHA TERMINACIÓN ]]&lt;TODAY(), "Terminado",IF(ISNUMBER(Contrato5[[#This Row],[Fecha Real de liquiidación ]]),"Liquidado",IF(Contrato5[[#This Row],[FECHA TERMINACIÓN ]]&gt;=TODAY(),"En ejecución","")))</f>
        <v>Terminado</v>
      </c>
      <c r="AL223" s="153" t="e">
        <f ca="1">SUMIF([2]!COMPROMISOS_2024[[#All],[consecutivo]],Contrato5[[#This Row],[RCP]],[2]!COMPROMISOS_2024[[#All],[Total pagado]])</f>
        <v>#REF!</v>
      </c>
      <c r="AM223" s="154">
        <f ca="1">IFERROR(Contrato5[[#This Row],[Pagos]]/Contrato5[[#This Row],[VALOR CONTRATO]],0)</f>
        <v>0</v>
      </c>
      <c r="AN223" s="198" t="e">
        <f ca="1">+Contrato5[[#This Row],[VALOR CONTRATO]]-Contrato5[[#This Row],[Pagos]]</f>
        <v>#REF!</v>
      </c>
      <c r="AO223" s="147" t="e" cm="1">
        <f t="array" aca="1" ref="AO223" ca="1">_xlfn.XLOOKUP(Contrato5[[#This Row],[DOCUMENTO ]],[2]!PERSONAL_ACTIVO_2024[[#All],[Documento identidad]],[2]!PERSONAL_ACTIVO_2024[[#All],[Mail ]],0,0)</f>
        <v>#NAME?</v>
      </c>
      <c r="AP223" s="147" t="e" cm="1">
        <f t="array" aca="1" ref="AP223" ca="1">_xlfn.XLOOKUP(Contrato5[[#This Row],[DOCUMENTO]],[2]!PERSONAL_ACTIVO_2024[[#All],[Documento identidad]],[2]!PERSONAL_ACTIVO_2024[[#All],[Mail ]],0,0)</f>
        <v>#NAME?</v>
      </c>
      <c r="AQ223" s="439" cm="1">
        <f t="array" aca="1" ref="AQ223" ca="1">IF(ISBLANK(Contrato5[[#This Row],[DEPENDENCIA ]]),0,IFERROR(_xlfn.XLOOKUP(Contrato5[[#This Row],[DEPENDENCIA ]],[2]!PERSONAL_ACTIVO_2024[[#All],[Dependencia]],[2]!PERSONAL_ACTIVO_2024[[#All],[Mail ]],0,0),0))</f>
        <v>0</v>
      </c>
    </row>
    <row r="224" spans="1:43" ht="34.5" customHeight="1">
      <c r="A224" s="147">
        <v>696</v>
      </c>
      <c r="B224" s="124">
        <v>188</v>
      </c>
      <c r="C224" s="162" t="s">
        <v>1720</v>
      </c>
      <c r="D224" s="227" t="s">
        <v>583</v>
      </c>
      <c r="E224" s="128" t="s">
        <v>78</v>
      </c>
      <c r="F224" s="163" t="s">
        <v>1376</v>
      </c>
      <c r="G224" s="190" t="s">
        <v>875</v>
      </c>
      <c r="H224" s="447">
        <v>1035920530</v>
      </c>
      <c r="I224" s="455">
        <v>4191468</v>
      </c>
      <c r="J224" s="456">
        <v>4191468</v>
      </c>
      <c r="K224" s="147"/>
      <c r="L224" s="438" t="s">
        <v>877</v>
      </c>
      <c r="M224" s="194" t="s">
        <v>586</v>
      </c>
      <c r="N224" s="195" t="e" cm="1">
        <f t="array" aca="1" ref="N224" ca="1">_xlfn.XLOOKUP(Contrato5[[#This Row],[SUPERVISOR TITULAR]],[2]!PERSONAL_ACTIVO_2024[[#All],[Nombre completo]],[2]!PERSONAL_ACTIVO_2024[[#All],[Documento identidad]],"",0)</f>
        <v>#NAME?</v>
      </c>
      <c r="O224" s="194" t="s">
        <v>589</v>
      </c>
      <c r="P224" s="135" t="e" cm="1">
        <f t="array" aca="1" ref="P224" ca="1">_xlfn.XLOOKUP(Contrato5[[#This Row],[SUPERVISOR SUPLENTE ]],[2]!PERSONAL_ACTIVO_2024[[#All],[Nombre completo]],[2]!PERSONAL_ACTIVO_2024[[#All],[Documento identidad]],"",0)</f>
        <v>#NAME?</v>
      </c>
      <c r="Q224" s="170">
        <v>515</v>
      </c>
      <c r="R224" s="137" t="e" cm="1">
        <f t="array" aca="1" ref="R224" ca="1">_xlfn.XLOOKUP(Contrato5[[#This Row],[CDP]],[2]!DISPONIBILIDADES_2024[[#All],[consecutivo]],[2]!DISPONIBILIDADES_2024[[#All],[fecha_aprobacion]],"",0)</f>
        <v>#NAME?</v>
      </c>
      <c r="S224" s="138" t="e">
        <f>SUMIF([2]!DISPONIBILIDADES_2024[[#All],[consecutivo]],Contrato5[[#This Row],[CDP]],[2]!DISPONIBILIDADES_2024[[#All],[valor_total_rubro]])</f>
        <v>#REF!</v>
      </c>
      <c r="T224" s="139" t="e" cm="1">
        <f t="array" aca="1" ref="T224" ca="1">_xlfn.XLOOKUP(Contrato5[[#This Row],[CONTRATO]]&amp;Contrato5[[#This Row],[CDP]],[2]!Corr_Contr_CDP[[#All],[CONTRATO-CDP]],[2]!Corr_Contr_CDP[[#All],[CRP]],_xlfn.XLOOKUP(Contrato5[[#This Row],[CDP]],[2]!COMPROMISOS_2024[[#All],[disponibilidad]],[2]!COMPROMISOS_2024[[#All],[consecutivo]],"",0),0)</f>
        <v>#NAME?</v>
      </c>
      <c r="U224" s="140" t="e" cm="1">
        <f t="array" aca="1" ref="U224" ca="1">+_xlfn.XLOOKUP(Contrato5[[#This Row],[RCP]],[2]!COMPROMISOS_2024[[#All],[consecutivo]],[2]!COMPROMISOS_2024[[#All],[fecha_aprobacion]],"",0)</f>
        <v>#NAME?</v>
      </c>
      <c r="V224" s="141" t="e">
        <f ca="1">SUMIF([2]!COMPROMISOS_2024[[#All],[consecutivo]],Contrato5[[#This Row],[RCP]],[2]!COMPROMISOS_2024[[#All],[valor_total]])</f>
        <v>#REF!</v>
      </c>
      <c r="W224" s="415">
        <v>45443</v>
      </c>
      <c r="X224" s="415">
        <v>45448</v>
      </c>
      <c r="Y224" s="143">
        <v>45447</v>
      </c>
      <c r="Z224" s="262">
        <v>45476</v>
      </c>
      <c r="AA224" s="215"/>
      <c r="AB224" s="161" t="s">
        <v>2560</v>
      </c>
      <c r="AC224" s="187"/>
      <c r="AD224" s="211"/>
      <c r="AE224" s="147"/>
      <c r="AF224" s="148" t="str">
        <f>TEXT(LEFT(Contrato5[[#This Row],[CONTRATO]],3),"0")</f>
        <v>188</v>
      </c>
      <c r="AG224" s="148" t="str">
        <f>IF(LEN(Contrato5[[#This Row],[Contrato2]])=3,Contrato5[[#This Row],[Contrato2]],TEXT(Contrato5[[#This Row],[Contrato2]],"000"))</f>
        <v>188</v>
      </c>
      <c r="AH224" s="149">
        <f ca="1">IFERROR(_xlfn.DAYS(Contrato5[[#This Row],[Fecha Proyectada liquidación]],TODAY())/30,"")</f>
        <v>-5.4</v>
      </c>
      <c r="AI224" s="150">
        <f>+Contrato5[[#This Row],[FECHA TERMINACIÓN ]]+120</f>
        <v>45596</v>
      </c>
      <c r="AJ224" s="147"/>
      <c r="AK224" s="152" t="str">
        <f ca="1">IF(Contrato5[[#This Row],[FECHA TERMINACIÓN ]]&lt;TODAY(), "Terminado",IF(ISNUMBER(Contrato5[[#This Row],[Fecha Real de liquiidación ]]),"Liquidado",IF(Contrato5[[#This Row],[FECHA TERMINACIÓN ]]&gt;=TODAY(),"En ejecución","")))</f>
        <v>Terminado</v>
      </c>
      <c r="AL224" s="153" t="e">
        <f ca="1">SUMIF([2]!COMPROMISOS_2024[[#All],[consecutivo]],Contrato5[[#This Row],[RCP]],[2]!COMPROMISOS_2024[[#All],[Total pagado]])</f>
        <v>#REF!</v>
      </c>
      <c r="AM224" s="154">
        <f ca="1">IFERROR(Contrato5[[#This Row],[Pagos]]/Contrato5[[#This Row],[VALOR CONTRATO]],0)</f>
        <v>0</v>
      </c>
      <c r="AN224" s="198" t="e">
        <f ca="1">+Contrato5[[#This Row],[VALOR CONTRATO]]-Contrato5[[#This Row],[Pagos]]</f>
        <v>#REF!</v>
      </c>
      <c r="AO224" s="147" t="e" cm="1">
        <f t="array" aca="1" ref="AO224" ca="1">_xlfn.XLOOKUP(Contrato5[[#This Row],[DOCUMENTO ]],[2]!PERSONAL_ACTIVO_2024[[#All],[Documento identidad]],[2]!PERSONAL_ACTIVO_2024[[#All],[Mail ]],0,0)</f>
        <v>#NAME?</v>
      </c>
      <c r="AP224" s="147" t="e" cm="1">
        <f t="array" aca="1" ref="AP224" ca="1">_xlfn.XLOOKUP(Contrato5[[#This Row],[DOCUMENTO]],[2]!PERSONAL_ACTIVO_2024[[#All],[Documento identidad]],[2]!PERSONAL_ACTIVO_2024[[#All],[Mail ]],0,0)</f>
        <v>#NAME?</v>
      </c>
      <c r="AQ224" s="439" cm="1">
        <f t="array" aca="1" ref="AQ224" ca="1">IF(ISBLANK(Contrato5[[#This Row],[DEPENDENCIA ]]),0,IFERROR(_xlfn.XLOOKUP(Contrato5[[#This Row],[DEPENDENCIA ]],[2]!PERSONAL_ACTIVO_2024[[#All],[Dependencia]],[2]!PERSONAL_ACTIVO_2024[[#All],[Mail ]],0,0),0))</f>
        <v>0</v>
      </c>
    </row>
    <row r="225" spans="1:43" ht="34.5" customHeight="1">
      <c r="A225" s="125">
        <v>329</v>
      </c>
      <c r="B225" s="124">
        <v>189</v>
      </c>
      <c r="C225" s="162" t="s">
        <v>1696</v>
      </c>
      <c r="D225" s="227" t="s">
        <v>583</v>
      </c>
      <c r="E225" s="128" t="s">
        <v>94</v>
      </c>
      <c r="F225" s="163" t="s">
        <v>1376</v>
      </c>
      <c r="G225" s="190" t="s">
        <v>879</v>
      </c>
      <c r="H225" s="447">
        <v>1028029120</v>
      </c>
      <c r="I225" s="455">
        <v>3379856</v>
      </c>
      <c r="J225" s="456">
        <v>20279118</v>
      </c>
      <c r="K225" s="147" t="s">
        <v>42</v>
      </c>
      <c r="L225" s="438" t="s">
        <v>42</v>
      </c>
      <c r="M225" s="194" t="s">
        <v>880</v>
      </c>
      <c r="N225" s="177" t="e" cm="1">
        <f t="array" aca="1" ref="N225" ca="1">_xlfn.XLOOKUP(Contrato5[[#This Row],[SUPERVISOR TITULAR]],[2]!PERSONAL_ACTIVO_2024[[#All],[Nombre completo]],[2]!PERSONAL_ACTIVO_2024[[#All],[Documento identidad]],"",0)</f>
        <v>#NAME?</v>
      </c>
      <c r="O225" s="194" t="s">
        <v>497</v>
      </c>
      <c r="P225" s="196" t="e" cm="1">
        <f t="array" aca="1" ref="P225" ca="1">_xlfn.XLOOKUP(Contrato5[[#This Row],[SUPERVISOR SUPLENTE ]],[2]!PERSONAL_ACTIVO_2024[[#All],[Nombre completo]],[2]!PERSONAL_ACTIVO_2024[[#All],[Documento identidad]],"",0)</f>
        <v>#NAME?</v>
      </c>
      <c r="Q225" s="208">
        <v>259</v>
      </c>
      <c r="R225" s="137" t="e" cm="1">
        <f t="array" aca="1" ref="R225" ca="1">_xlfn.XLOOKUP(Contrato5[[#This Row],[CDP]],[2]!DISPONIBILIDADES_2024[[#All],[consecutivo]],[2]!DISPONIBILIDADES_2024[[#All],[fecha_aprobacion]],"",0)</f>
        <v>#NAME?</v>
      </c>
      <c r="S225" s="138" t="e">
        <f>SUMIF([2]!DISPONIBILIDADES_2024[[#All],[consecutivo]],Contrato5[[#This Row],[CDP]],[2]!DISPONIBILIDADES_2024[[#All],[valor_total_rubro]])</f>
        <v>#REF!</v>
      </c>
      <c r="T225" s="139" t="e" cm="1">
        <f t="array" aca="1" ref="T225" ca="1">_xlfn.XLOOKUP(Contrato5[[#This Row],[CONTRATO]]&amp;Contrato5[[#This Row],[CDP]],[2]!Corr_Contr_CDP[[#All],[CONTRATO-CDP]],[2]!Corr_Contr_CDP[[#All],[CRP]],_xlfn.XLOOKUP(Contrato5[[#This Row],[CDP]],[2]!COMPROMISOS_2024[[#All],[disponibilidad]],[2]!COMPROMISOS_2024[[#All],[consecutivo]],"",0),0)</f>
        <v>#NAME?</v>
      </c>
      <c r="U225" s="140" t="e" cm="1">
        <f t="array" aca="1" ref="U225" ca="1">+_xlfn.XLOOKUP(Contrato5[[#This Row],[RCP]],[2]!COMPROMISOS_2024[[#All],[consecutivo]],[2]!COMPROMISOS_2024[[#All],[fecha_aprobacion]],"",0)</f>
        <v>#NAME?</v>
      </c>
      <c r="V225" s="141" t="e">
        <f ca="1">SUMIF([2]!COMPROMISOS_2024[[#All],[consecutivo]],Contrato5[[#This Row],[RCP]],[2]!COMPROMISOS_2024[[#All],[valor_total]])</f>
        <v>#REF!</v>
      </c>
      <c r="W225" s="415">
        <v>45355</v>
      </c>
      <c r="X225" s="415">
        <v>45355</v>
      </c>
      <c r="Y225" s="143">
        <v>45356</v>
      </c>
      <c r="Z225" s="262">
        <v>45539</v>
      </c>
      <c r="AA225" s="252" t="s">
        <v>881</v>
      </c>
      <c r="AB225" s="238" t="s">
        <v>640</v>
      </c>
      <c r="AC225" s="161"/>
      <c r="AD225" s="221">
        <v>202000003993</v>
      </c>
      <c r="AE225" s="147" t="s">
        <v>523</v>
      </c>
      <c r="AF225" s="148" t="str">
        <f>TEXT(LEFT(Contrato5[[#This Row],[CONTRATO]],3),"0")</f>
        <v>189</v>
      </c>
      <c r="AG225" s="148" t="str">
        <f>IF(LEN(Contrato5[[#This Row],[Contrato2]])=3,Contrato5[[#This Row],[Contrato2]],TEXT(Contrato5[[#This Row],[Contrato2]],"000"))</f>
        <v>189</v>
      </c>
      <c r="AH225" s="149">
        <f ca="1">IFERROR(_xlfn.DAYS(Contrato5[[#This Row],[Fecha Proyectada liquidación]],TODAY())/30,"")</f>
        <v>-3.3</v>
      </c>
      <c r="AI225" s="150">
        <f>+Contrato5[[#This Row],[FECHA TERMINACIÓN ]]+120</f>
        <v>45659</v>
      </c>
      <c r="AJ225" s="147"/>
      <c r="AK225" s="152" t="str">
        <f ca="1">IF(Contrato5[[#This Row],[FECHA TERMINACIÓN ]]&lt;TODAY(), "Terminado",IF(ISNUMBER(Contrato5[[#This Row],[Fecha Real de liquiidación ]]),"Liquidado",IF(Contrato5[[#This Row],[FECHA TERMINACIÓN ]]&gt;=TODAY(),"En ejecución","")))</f>
        <v>Terminado</v>
      </c>
      <c r="AL225" s="153" t="e">
        <f ca="1">SUMIF([2]!COMPROMISOS_2024[[#All],[consecutivo]],Contrato5[[#This Row],[RCP]],[2]!COMPROMISOS_2024[[#All],[Total pagado]])</f>
        <v>#REF!</v>
      </c>
      <c r="AM225" s="154">
        <f ca="1">IFERROR(Contrato5[[#This Row],[Pagos]]/Contrato5[[#This Row],[VALOR CONTRATO]],0)</f>
        <v>0</v>
      </c>
      <c r="AN225" s="198" t="e">
        <f ca="1">+Contrato5[[#This Row],[VALOR CONTRATO]]-Contrato5[[#This Row],[Pagos]]</f>
        <v>#REF!</v>
      </c>
      <c r="AO225" s="147" t="e" cm="1">
        <f t="array" aca="1" ref="AO225" ca="1">_xlfn.XLOOKUP(Contrato5[[#This Row],[DOCUMENTO ]],[2]!PERSONAL_ACTIVO_2024[[#All],[Documento identidad]],[2]!PERSONAL_ACTIVO_2024[[#All],[Mail ]],0,0)</f>
        <v>#NAME?</v>
      </c>
      <c r="AP225" s="147" t="e" cm="1">
        <f t="array" aca="1" ref="AP225" ca="1">_xlfn.XLOOKUP(Contrato5[[#This Row],[DOCUMENTO]],[2]!PERSONAL_ACTIVO_2024[[#All],[Documento identidad]],[2]!PERSONAL_ACTIVO_2024[[#All],[Mail ]],0,0)</f>
        <v>#NAME?</v>
      </c>
      <c r="AQ225" s="439" cm="1">
        <f t="array" aca="1" ref="AQ225" ca="1">IF(ISBLANK(Contrato5[[#This Row],[DEPENDENCIA ]]),0,IFERROR(_xlfn.XLOOKUP(Contrato5[[#This Row],[DEPENDENCIA ]],[2]!PERSONAL_ACTIVO_2024[[#All],[Dependencia]],[2]!PERSONAL_ACTIVO_2024[[#All],[Mail ]],0,0),0))</f>
        <v>0</v>
      </c>
    </row>
    <row r="226" spans="1:43" ht="34.5" customHeight="1">
      <c r="A226" s="125">
        <v>538</v>
      </c>
      <c r="B226" s="124">
        <v>190</v>
      </c>
      <c r="C226" s="162" t="s">
        <v>882</v>
      </c>
      <c r="D226" s="227" t="s">
        <v>515</v>
      </c>
      <c r="E226" s="128" t="s">
        <v>94</v>
      </c>
      <c r="F226" s="163" t="s">
        <v>1376</v>
      </c>
      <c r="G226" s="190" t="s">
        <v>883</v>
      </c>
      <c r="H226" s="447">
        <v>1037524775</v>
      </c>
      <c r="I226" s="455">
        <v>6879081</v>
      </c>
      <c r="J226" s="456">
        <v>57953567</v>
      </c>
      <c r="K226" s="131" t="s">
        <v>884</v>
      </c>
      <c r="L226" s="438" t="s">
        <v>42</v>
      </c>
      <c r="M226" s="194" t="s">
        <v>520</v>
      </c>
      <c r="N226" s="177" t="e" cm="1">
        <f t="array" aca="1" ref="N226" ca="1">_xlfn.XLOOKUP(Contrato5[[#This Row],[SUPERVISOR TITULAR]],[2]!PERSONAL_ACTIVO_2024[[#All],[Nombre completo]],[2]!PERSONAL_ACTIVO_2024[[#All],[Documento identidad]],"",0)</f>
        <v>#NAME?</v>
      </c>
      <c r="O226" s="194" t="s">
        <v>867</v>
      </c>
      <c r="P226" s="196" t="e" cm="1">
        <f t="array" aca="1" ref="P226" ca="1">_xlfn.XLOOKUP(Contrato5[[#This Row],[SUPERVISOR SUPLENTE ]],[2]!PERSONAL_ACTIVO_2024[[#All],[Nombre completo]],[2]!PERSONAL_ACTIVO_2024[[#All],[Documento identidad]],"",0)</f>
        <v>#NAME?</v>
      </c>
      <c r="Q226" s="208">
        <v>235</v>
      </c>
      <c r="R226" s="137" t="e" cm="1">
        <f t="array" aca="1" ref="R226" ca="1">_xlfn.XLOOKUP(Contrato5[[#This Row],[CDP]],[2]!DISPONIBILIDADES_2024[[#All],[consecutivo]],[2]!DISPONIBILIDADES_2024[[#All],[fecha_aprobacion]],"",0)</f>
        <v>#NAME?</v>
      </c>
      <c r="S226" s="138" t="e">
        <f>SUMIF([2]!DISPONIBILIDADES_2024[[#All],[consecutivo]],Contrato5[[#This Row],[CDP]],[2]!DISPONIBILIDADES_2024[[#All],[valor_total_rubro]])</f>
        <v>#REF!</v>
      </c>
      <c r="T226" s="139" t="e" cm="1">
        <f t="array" aca="1" ref="T226" ca="1">_xlfn.XLOOKUP(Contrato5[[#This Row],[CONTRATO]]&amp;Contrato5[[#This Row],[CDP]],[2]!Corr_Contr_CDP[[#All],[CONTRATO-CDP]],[2]!Corr_Contr_CDP[[#All],[CRP]],_xlfn.XLOOKUP(Contrato5[[#This Row],[CDP]],[2]!COMPROMISOS_2024[[#All],[disponibilidad]],[2]!COMPROMISOS_2024[[#All],[consecutivo]],"",0),0)</f>
        <v>#NAME?</v>
      </c>
      <c r="U226" s="140" t="e" cm="1">
        <f t="array" aca="1" ref="U226" ca="1">+_xlfn.XLOOKUP(Contrato5[[#This Row],[RCP]],[2]!COMPROMISOS_2024[[#All],[consecutivo]],[2]!COMPROMISOS_2024[[#All],[fecha_aprobacion]],"",0)</f>
        <v>#NAME?</v>
      </c>
      <c r="V226" s="141" t="e">
        <f ca="1">SUMIF([2]!COMPROMISOS_2024[[#All],[consecutivo]],Contrato5[[#This Row],[RCP]],[2]!COMPROMISOS_2024[[#All],[valor_total]])</f>
        <v>#REF!</v>
      </c>
      <c r="W226" s="415">
        <v>45356</v>
      </c>
      <c r="X226" s="415">
        <v>45356</v>
      </c>
      <c r="Y226" s="143">
        <v>45357</v>
      </c>
      <c r="Z226" s="262">
        <v>45569</v>
      </c>
      <c r="AA226" s="237" t="s">
        <v>885</v>
      </c>
      <c r="AB226" s="238" t="s">
        <v>618</v>
      </c>
      <c r="AC226" s="161"/>
      <c r="AD226" s="221">
        <v>202000003994</v>
      </c>
      <c r="AE226" s="147" t="s">
        <v>523</v>
      </c>
      <c r="AF226" s="148" t="str">
        <f>TEXT(LEFT(Contrato5[[#This Row],[CONTRATO]],3),"0")</f>
        <v>190</v>
      </c>
      <c r="AG226" s="148" t="str">
        <f>IF(LEN(Contrato5[[#This Row],[Contrato2]])=3,Contrato5[[#This Row],[Contrato2]],TEXT(Contrato5[[#This Row],[Contrato2]],"000"))</f>
        <v>190</v>
      </c>
      <c r="AH226" s="149">
        <f ca="1">IFERROR(_xlfn.DAYS(Contrato5[[#This Row],[Fecha Proyectada liquidación]],TODAY())/30,"")</f>
        <v>-2.2999999999999998</v>
      </c>
      <c r="AI226" s="150">
        <f>+Contrato5[[#This Row],[FECHA TERMINACIÓN ]]+120</f>
        <v>45689</v>
      </c>
      <c r="AJ226" s="147"/>
      <c r="AK226" s="152" t="str">
        <f ca="1">IF(Contrato5[[#This Row],[FECHA TERMINACIÓN ]]&lt;TODAY(), "Terminado",IF(ISNUMBER(Contrato5[[#This Row],[Fecha Real de liquiidación ]]),"Liquidado",IF(Contrato5[[#This Row],[FECHA TERMINACIÓN ]]&gt;=TODAY(),"En ejecución","")))</f>
        <v>Terminado</v>
      </c>
      <c r="AL226" s="153" t="e">
        <f ca="1">SUMIF([2]!COMPROMISOS_2024[[#All],[consecutivo]],Contrato5[[#This Row],[RCP]],[2]!COMPROMISOS_2024[[#All],[Total pagado]])</f>
        <v>#REF!</v>
      </c>
      <c r="AM226" s="154">
        <f ca="1">IFERROR(Contrato5[[#This Row],[Pagos]]/Contrato5[[#This Row],[VALOR CONTRATO]],0)</f>
        <v>0</v>
      </c>
      <c r="AN226" s="198" t="e">
        <f ca="1">+Contrato5[[#This Row],[VALOR CONTRATO]]-Contrato5[[#This Row],[Pagos]]</f>
        <v>#REF!</v>
      </c>
      <c r="AO226" s="147" t="e" cm="1">
        <f t="array" aca="1" ref="AO226" ca="1">_xlfn.XLOOKUP(Contrato5[[#This Row],[DOCUMENTO ]],[2]!PERSONAL_ACTIVO_2024[[#All],[Documento identidad]],[2]!PERSONAL_ACTIVO_2024[[#All],[Mail ]],0,0)</f>
        <v>#NAME?</v>
      </c>
      <c r="AP226" s="147" t="e" cm="1">
        <f t="array" aca="1" ref="AP226" ca="1">_xlfn.XLOOKUP(Contrato5[[#This Row],[DOCUMENTO]],[2]!PERSONAL_ACTIVO_2024[[#All],[Documento identidad]],[2]!PERSONAL_ACTIVO_2024[[#All],[Mail ]],0,0)</f>
        <v>#NAME?</v>
      </c>
      <c r="AQ226" s="439" cm="1">
        <f t="array" aca="1" ref="AQ226" ca="1">IF(ISBLANK(Contrato5[[#This Row],[DEPENDENCIA ]]),0,IFERROR(_xlfn.XLOOKUP(Contrato5[[#This Row],[DEPENDENCIA ]],[2]!PERSONAL_ACTIVO_2024[[#All],[Dependencia]],[2]!PERSONAL_ACTIVO_2024[[#All],[Mail ]],0,0),0))</f>
        <v>0</v>
      </c>
    </row>
    <row r="227" spans="1:43" ht="34.5" customHeight="1">
      <c r="A227" s="147">
        <v>1128</v>
      </c>
      <c r="B227" s="124">
        <v>190</v>
      </c>
      <c r="C227" s="162" t="s">
        <v>2343</v>
      </c>
      <c r="D227" s="227" t="s">
        <v>515</v>
      </c>
      <c r="E227" s="128" t="s">
        <v>2148</v>
      </c>
      <c r="F227" s="163" t="s">
        <v>1376</v>
      </c>
      <c r="G227" s="190" t="s">
        <v>883</v>
      </c>
      <c r="H227" s="447">
        <v>1037524775</v>
      </c>
      <c r="I227" s="455">
        <v>6879081</v>
      </c>
      <c r="J227" s="437">
        <v>23457425</v>
      </c>
      <c r="K227" s="131" t="s">
        <v>2561</v>
      </c>
      <c r="L227" s="438" t="s">
        <v>2462</v>
      </c>
      <c r="M227" s="194" t="s">
        <v>520</v>
      </c>
      <c r="N227" s="195" t="e" cm="1">
        <f t="array" aca="1" ref="N227" ca="1">_xlfn.XLOOKUP(Contrato5[[#This Row],[SUPERVISOR TITULAR]],[2]!PERSONAL_ACTIVO_2024[[#All],[Nombre completo]],[2]!PERSONAL_ACTIVO_2024[[#All],[Documento identidad]],"",0)</f>
        <v>#NAME?</v>
      </c>
      <c r="O227" s="194" t="s">
        <v>867</v>
      </c>
      <c r="P227" s="135" t="e" cm="1">
        <f t="array" aca="1" ref="P227" ca="1">_xlfn.XLOOKUP(Contrato5[[#This Row],[SUPERVISOR SUPLENTE ]],[2]!PERSONAL_ACTIVO_2024[[#All],[Nombre completo]],[2]!PERSONAL_ACTIVO_2024[[#All],[Documento identidad]],"",0)</f>
        <v>#NAME?</v>
      </c>
      <c r="Q227" s="170">
        <v>919</v>
      </c>
      <c r="R227" s="137" t="e" cm="1">
        <f t="array" aca="1" ref="R227" ca="1">_xlfn.XLOOKUP(Contrato5[[#This Row],[CDP]],[2]!DISPONIBILIDADES_2024[[#All],[consecutivo]],[2]!DISPONIBILIDADES_2024[[#All],[fecha_aprobacion]],"",0)</f>
        <v>#NAME?</v>
      </c>
      <c r="S227" s="138" t="e">
        <f>SUMIF([2]!DISPONIBILIDADES_2024[[#All],[consecutivo]],Contrato5[[#This Row],[CDP]],[2]!DISPONIBILIDADES_2024[[#All],[valor_total_rubro]])</f>
        <v>#REF!</v>
      </c>
      <c r="T227" s="139" t="e" cm="1">
        <f t="array" aca="1" ref="T227" ca="1">_xlfn.XLOOKUP(Contrato5[[#This Row],[CONTRATO]]&amp;Contrato5[[#This Row],[CDP]],[2]!Corr_Contr_CDP[[#All],[CONTRATO-CDP]],[2]!Corr_Contr_CDP[[#All],[CRP]],_xlfn.XLOOKUP(Contrato5[[#This Row],[CDP]],[2]!COMPROMISOS_2024[[#All],[disponibilidad]],[2]!COMPROMISOS_2024[[#All],[consecutivo]],"",0),0)</f>
        <v>#NAME?</v>
      </c>
      <c r="U227" s="140" t="e" cm="1">
        <f t="array" aca="1" ref="U227" ca="1">+_xlfn.XLOOKUP(Contrato5[[#This Row],[RCP]],[2]!COMPROMISOS_2024[[#All],[consecutivo]],[2]!COMPROMISOS_2024[[#All],[fecha_aprobacion]],"",0)</f>
        <v>#NAME?</v>
      </c>
      <c r="V227" s="141" t="e">
        <f ca="1">SUMIF([2]!COMPROMISOS_2024[[#All],[consecutivo]],Contrato5[[#This Row],[RCP]],[2]!COMPROMISOS_2024[[#All],[valor_total]])</f>
        <v>#REF!</v>
      </c>
      <c r="W227" s="415">
        <v>45569</v>
      </c>
      <c r="X227" s="415">
        <v>45575</v>
      </c>
      <c r="Y227" s="143">
        <v>45570</v>
      </c>
      <c r="Z227" s="262">
        <v>45656</v>
      </c>
      <c r="AA227" s="215"/>
      <c r="AB227" s="161" t="s">
        <v>2562</v>
      </c>
      <c r="AC227" s="461"/>
      <c r="AD227" s="211"/>
      <c r="AE227" s="147"/>
      <c r="AF227" s="148" t="str">
        <f>TEXT(LEFT(Contrato5[[#This Row],[CONTRATO]],3),"0")</f>
        <v>190</v>
      </c>
      <c r="AG227" s="148" t="str">
        <f>IF(LEN(Contrato5[[#This Row],[Contrato2]])=3,Contrato5[[#This Row],[Contrato2]],TEXT(Contrato5[[#This Row],[Contrato2]],"000"))</f>
        <v>190</v>
      </c>
      <c r="AH227" s="149">
        <f ca="1">IFERROR(_xlfn.DAYS(Contrato5[[#This Row],[Fecha Proyectada liquidación]],TODAY())/30,"")</f>
        <v>0.6</v>
      </c>
      <c r="AI227" s="150">
        <f>+Contrato5[[#This Row],[FECHA TERMINACIÓN ]]+120</f>
        <v>45776</v>
      </c>
      <c r="AJ227" s="147"/>
      <c r="AK227" s="152" t="str">
        <f ca="1">IF(Contrato5[[#This Row],[FECHA TERMINACIÓN ]]&lt;TODAY(), "Terminado",IF(ISNUMBER(Contrato5[[#This Row],[Fecha Real de liquiidación ]]),"Liquidado",IF(Contrato5[[#This Row],[FECHA TERMINACIÓN ]]&gt;=TODAY(),"En ejecución","")))</f>
        <v>Terminado</v>
      </c>
      <c r="AL227" s="153" t="e">
        <f ca="1">SUMIF([2]!COMPROMISOS_2024[[#All],[consecutivo]],Contrato5[[#This Row],[RCP]],[2]!COMPROMISOS_2024[[#All],[Total pagado]])</f>
        <v>#REF!</v>
      </c>
      <c r="AM227" s="154">
        <f ca="1">IFERROR(Contrato5[[#This Row],[Pagos]]/Contrato5[[#This Row],[VALOR CONTRATO]],0)</f>
        <v>0</v>
      </c>
      <c r="AN227" s="198" t="e">
        <f ca="1">+Contrato5[[#This Row],[VALOR CONTRATO]]-Contrato5[[#This Row],[Pagos]]</f>
        <v>#REF!</v>
      </c>
      <c r="AO227" s="147" t="e" cm="1">
        <f t="array" aca="1" ref="AO227" ca="1">_xlfn.XLOOKUP(Contrato5[[#This Row],[DOCUMENTO ]],[2]!PERSONAL_ACTIVO_2024[[#All],[Documento identidad]],[2]!PERSONAL_ACTIVO_2024[[#All],[Mail ]],0,0)</f>
        <v>#NAME?</v>
      </c>
      <c r="AP227" s="147" t="e" cm="1">
        <f t="array" aca="1" ref="AP227" ca="1">_xlfn.XLOOKUP(Contrato5[[#This Row],[DOCUMENTO]],[2]!PERSONAL_ACTIVO_2024[[#All],[Documento identidad]],[2]!PERSONAL_ACTIVO_2024[[#All],[Mail ]],0,0)</f>
        <v>#NAME?</v>
      </c>
      <c r="AQ227" s="439" cm="1">
        <f t="array" aca="1" ref="AQ227" ca="1">IF(ISBLANK(Contrato5[[#This Row],[DEPENDENCIA ]]),0,IFERROR(_xlfn.XLOOKUP(Contrato5[[#This Row],[DEPENDENCIA ]],[2]!PERSONAL_ACTIVO_2024[[#All],[Dependencia]],[2]!PERSONAL_ACTIVO_2024[[#All],[Mail ]],0,0),0))</f>
        <v>0</v>
      </c>
    </row>
    <row r="228" spans="1:43" ht="34.5" customHeight="1">
      <c r="A228" s="125" t="s">
        <v>886</v>
      </c>
      <c r="B228" s="124">
        <v>191</v>
      </c>
      <c r="C228" s="162" t="s">
        <v>887</v>
      </c>
      <c r="D228" s="128" t="s">
        <v>42</v>
      </c>
      <c r="E228" s="128" t="s">
        <v>42</v>
      </c>
      <c r="F228" s="163" t="s">
        <v>1376</v>
      </c>
      <c r="G228" s="190" t="s">
        <v>887</v>
      </c>
      <c r="H228" s="447">
        <v>0</v>
      </c>
      <c r="I228" s="455">
        <v>0</v>
      </c>
      <c r="J228" s="456">
        <v>0</v>
      </c>
      <c r="K228" s="253">
        <v>0</v>
      </c>
      <c r="L228" s="438">
        <v>0</v>
      </c>
      <c r="M228" s="194"/>
      <c r="N228" s="177" t="e" cm="1">
        <f t="array" aca="1" ref="N228" ca="1">_xlfn.XLOOKUP(Contrato5[[#This Row],[SUPERVISOR TITULAR]],[2]!PERSONAL_ACTIVO_2024[[#All],[Nombre completo]],[2]!PERSONAL_ACTIVO_2024[[#All],[Documento identidad]],"",0)</f>
        <v>#NAME?</v>
      </c>
      <c r="O228" s="194"/>
      <c r="P228" s="177" t="e" cm="1">
        <f t="array" aca="1" ref="P228" ca="1">_xlfn.XLOOKUP(Contrato5[[#This Row],[SUPERVISOR SUPLENTE ]],[2]!PERSONAL_ACTIVO_2024[[#All],[Nombre completo]],[2]!PERSONAL_ACTIVO_2024[[#All],[Documento identidad]],"",0)</f>
        <v>#NAME?</v>
      </c>
      <c r="Q228" s="253">
        <v>0</v>
      </c>
      <c r="R228" s="137" t="e" cm="1">
        <f t="array" aca="1" ref="R228" ca="1">_xlfn.XLOOKUP(Contrato5[[#This Row],[CDP]],[2]!DISPONIBILIDADES_2024[[#All],[consecutivo]],[2]!DISPONIBILIDADES_2024[[#All],[fecha_aprobacion]],"",0)</f>
        <v>#NAME?</v>
      </c>
      <c r="S228" s="138" t="e">
        <f>SUMIF([2]!DISPONIBILIDADES_2024[[#All],[consecutivo]],Contrato5[[#This Row],[CDP]],[2]!DISPONIBILIDADES_2024[[#All],[valor_total_rubro]])</f>
        <v>#REF!</v>
      </c>
      <c r="T228" s="139" t="e" cm="1">
        <f t="array" aca="1" ref="T228" ca="1">_xlfn.XLOOKUP(Contrato5[[#This Row],[CONTRATO]]&amp;Contrato5[[#This Row],[CDP]],[2]!Corr_Contr_CDP[[#All],[CONTRATO-CDP]],[2]!Corr_Contr_CDP[[#All],[CRP]],_xlfn.XLOOKUP(Contrato5[[#This Row],[CDP]],[2]!COMPROMISOS_2024[[#All],[disponibilidad]],[2]!COMPROMISOS_2024[[#All],[consecutivo]],"",0),0)</f>
        <v>#NAME?</v>
      </c>
      <c r="U228" s="140" t="e" cm="1">
        <f t="array" aca="1" ref="U228" ca="1">+_xlfn.XLOOKUP(Contrato5[[#This Row],[RCP]],[2]!COMPROMISOS_2024[[#All],[consecutivo]],[2]!COMPROMISOS_2024[[#All],[fecha_aprobacion]],"",0)</f>
        <v>#NAME?</v>
      </c>
      <c r="V228" s="141" t="e">
        <f ca="1">SUMIF([2]!COMPROMISOS_2024[[#All],[consecutivo]],Contrato5[[#This Row],[RCP]],[2]!COMPROMISOS_2024[[#All],[valor_total]])</f>
        <v>#REF!</v>
      </c>
      <c r="W228" s="415" t="s">
        <v>2563</v>
      </c>
      <c r="X228" s="415" t="s">
        <v>2563</v>
      </c>
      <c r="Y228" s="143" t="s">
        <v>42</v>
      </c>
      <c r="Z228" s="262" t="s">
        <v>42</v>
      </c>
      <c r="AA228" s="254"/>
      <c r="AB228" s="191">
        <v>0</v>
      </c>
      <c r="AC228" s="165"/>
      <c r="AD228" s="165">
        <v>0</v>
      </c>
      <c r="AE228" s="165">
        <v>0</v>
      </c>
      <c r="AF228" s="148" t="str">
        <f>TEXT(LEFT(Contrato5[[#This Row],[CONTRATO]],3),"0")</f>
        <v>191</v>
      </c>
      <c r="AG228" s="148" t="str">
        <f>IF(LEN(Contrato5[[#This Row],[Contrato2]])=3,Contrato5[[#This Row],[Contrato2]],TEXT(Contrato5[[#This Row],[Contrato2]],"000"))</f>
        <v>191</v>
      </c>
      <c r="AH228" s="149" t="str">
        <f ca="1">IFERROR(_xlfn.DAYS(Contrato5[[#This Row],[Fecha Proyectada liquidación]],TODAY())/30,"")</f>
        <v/>
      </c>
      <c r="AI228" s="150" t="e">
        <f>+Contrato5[[#This Row],[FECHA TERMINACIÓN ]]+120</f>
        <v>#VALUE!</v>
      </c>
      <c r="AJ228" s="147"/>
      <c r="AK228" s="152" t="str">
        <f ca="1">IF(Contrato5[[#This Row],[FECHA TERMINACIÓN ]]&lt;TODAY(), "Terminado",IF(ISNUMBER(Contrato5[[#This Row],[Fecha Real de liquiidación ]]),"Liquidado",IF(Contrato5[[#This Row],[FECHA TERMINACIÓN ]]&gt;=TODAY(),"En ejecución","")))</f>
        <v>En ejecución</v>
      </c>
      <c r="AL228" s="153" t="e">
        <f ca="1">SUMIF([2]!COMPROMISOS_2024[[#All],[consecutivo]],Contrato5[[#This Row],[RCP]],[2]!COMPROMISOS_2024[[#All],[Total pagado]])</f>
        <v>#REF!</v>
      </c>
      <c r="AM228" s="154">
        <f ca="1">IFERROR(Contrato5[[#This Row],[Pagos]]/Contrato5[[#This Row],[VALOR CONTRATO]],0)</f>
        <v>0</v>
      </c>
      <c r="AN228" s="198" t="e">
        <f ca="1">+Contrato5[[#This Row],[VALOR CONTRATO]]-Contrato5[[#This Row],[Pagos]]</f>
        <v>#REF!</v>
      </c>
      <c r="AO228" s="147" t="e" cm="1">
        <f t="array" aca="1" ref="AO228" ca="1">_xlfn.XLOOKUP(Contrato5[[#This Row],[DOCUMENTO ]],[2]!PERSONAL_ACTIVO_2024[[#All],[Documento identidad]],[2]!PERSONAL_ACTIVO_2024[[#All],[Mail ]],0,0)</f>
        <v>#NAME?</v>
      </c>
      <c r="AP228" s="147" t="e" cm="1">
        <f t="array" aca="1" ref="AP228" ca="1">_xlfn.XLOOKUP(Contrato5[[#This Row],[DOCUMENTO]],[2]!PERSONAL_ACTIVO_2024[[#All],[Documento identidad]],[2]!PERSONAL_ACTIVO_2024[[#All],[Mail ]],0,0)</f>
        <v>#NAME?</v>
      </c>
      <c r="AQ228" s="439" cm="1">
        <f t="array" aca="1" ref="AQ228" ca="1">IF(ISBLANK(Contrato5[[#This Row],[DEPENDENCIA ]]),0,IFERROR(_xlfn.XLOOKUP(Contrato5[[#This Row],[DEPENDENCIA ]],[2]!PERSONAL_ACTIVO_2024[[#All],[Dependencia]],[2]!PERSONAL_ACTIVO_2024[[#All],[Mail ]],0,0),0))</f>
        <v>0</v>
      </c>
    </row>
    <row r="229" spans="1:43" ht="34.5" customHeight="1">
      <c r="A229" s="125">
        <v>549</v>
      </c>
      <c r="B229" s="124">
        <v>192</v>
      </c>
      <c r="C229" s="162" t="s">
        <v>439</v>
      </c>
      <c r="D229" s="227" t="s">
        <v>515</v>
      </c>
      <c r="E229" s="128" t="s">
        <v>94</v>
      </c>
      <c r="F229" s="163" t="s">
        <v>1376</v>
      </c>
      <c r="G229" s="190" t="s">
        <v>888</v>
      </c>
      <c r="H229" s="447">
        <v>1128454001</v>
      </c>
      <c r="I229" s="455">
        <v>6879081</v>
      </c>
      <c r="J229" s="456">
        <v>60153567</v>
      </c>
      <c r="K229" s="131" t="s">
        <v>889</v>
      </c>
      <c r="L229" s="438" t="s">
        <v>42</v>
      </c>
      <c r="M229" s="194" t="s">
        <v>519</v>
      </c>
      <c r="N229" s="177" t="e" cm="1">
        <f t="array" aca="1" ref="N229" ca="1">_xlfn.XLOOKUP(Contrato5[[#This Row],[SUPERVISOR TITULAR]],[2]!PERSONAL_ACTIVO_2024[[#All],[Nombre completo]],[2]!PERSONAL_ACTIVO_2024[[#All],[Documento identidad]],"",0)</f>
        <v>#NAME?</v>
      </c>
      <c r="O229" s="194" t="s">
        <v>823</v>
      </c>
      <c r="P229" s="196" t="e" cm="1">
        <f t="array" aca="1" ref="P229" ca="1">_xlfn.XLOOKUP(Contrato5[[#This Row],[SUPERVISOR SUPLENTE ]],[2]!PERSONAL_ACTIVO_2024[[#All],[Nombre completo]],[2]!PERSONAL_ACTIVO_2024[[#All],[Documento identidad]],"",0)</f>
        <v>#NAME?</v>
      </c>
      <c r="Q229" s="208">
        <v>249</v>
      </c>
      <c r="R229" s="137" t="e" cm="1">
        <f t="array" aca="1" ref="R229" ca="1">_xlfn.XLOOKUP(Contrato5[[#This Row],[CDP]],[2]!DISPONIBILIDADES_2024[[#All],[consecutivo]],[2]!DISPONIBILIDADES_2024[[#All],[fecha_aprobacion]],"",0)</f>
        <v>#NAME?</v>
      </c>
      <c r="S229" s="138" t="e">
        <f>SUMIF([2]!DISPONIBILIDADES_2024[[#All],[consecutivo]],Contrato5[[#This Row],[CDP]],[2]!DISPONIBILIDADES_2024[[#All],[valor_total_rubro]])</f>
        <v>#REF!</v>
      </c>
      <c r="T229" s="139" t="e" cm="1">
        <f t="array" aca="1" ref="T229" ca="1">_xlfn.XLOOKUP(Contrato5[[#This Row],[CONTRATO]]&amp;Contrato5[[#This Row],[CDP]],[2]!Corr_Contr_CDP[[#All],[CONTRATO-CDP]],[2]!Corr_Contr_CDP[[#All],[CRP]],_xlfn.XLOOKUP(Contrato5[[#This Row],[CDP]],[2]!COMPROMISOS_2024[[#All],[disponibilidad]],[2]!COMPROMISOS_2024[[#All],[consecutivo]],"",0),0)</f>
        <v>#NAME?</v>
      </c>
      <c r="U229" s="140" t="e" cm="1">
        <f t="array" aca="1" ref="U229" ca="1">+_xlfn.XLOOKUP(Contrato5[[#This Row],[RCP]],[2]!COMPROMISOS_2024[[#All],[consecutivo]],[2]!COMPROMISOS_2024[[#All],[fecha_aprobacion]],"",0)</f>
        <v>#NAME?</v>
      </c>
      <c r="V229" s="141" t="e">
        <f ca="1">SUMIF([2]!COMPROMISOS_2024[[#All],[consecutivo]],Contrato5[[#This Row],[RCP]],[2]!COMPROMISOS_2024[[#All],[valor_total]])</f>
        <v>#REF!</v>
      </c>
      <c r="W229" s="415">
        <v>45363</v>
      </c>
      <c r="X229" s="415">
        <v>45366</v>
      </c>
      <c r="Y229" s="143">
        <v>45364</v>
      </c>
      <c r="Z229" s="262">
        <v>45577</v>
      </c>
      <c r="AA229" s="240" t="s">
        <v>890</v>
      </c>
      <c r="AB229" s="238" t="s">
        <v>618</v>
      </c>
      <c r="AC229" s="161"/>
      <c r="AD229" s="211">
        <v>202000003996</v>
      </c>
      <c r="AE229" s="147" t="s">
        <v>523</v>
      </c>
      <c r="AF229" s="148" t="str">
        <f>TEXT(LEFT(Contrato5[[#This Row],[CONTRATO]],3),"0")</f>
        <v>192</v>
      </c>
      <c r="AG229" s="148" t="str">
        <f>IF(LEN(Contrato5[[#This Row],[Contrato2]])=3,Contrato5[[#This Row],[Contrato2]],TEXT(Contrato5[[#This Row],[Contrato2]],"000"))</f>
        <v>192</v>
      </c>
      <c r="AH229" s="149">
        <f ca="1">IFERROR(_xlfn.DAYS(Contrato5[[#This Row],[Fecha Proyectada liquidación]],TODAY())/30,"")</f>
        <v>-2.0333333333333332</v>
      </c>
      <c r="AI229" s="150">
        <f>+Contrato5[[#This Row],[FECHA TERMINACIÓN ]]+120</f>
        <v>45697</v>
      </c>
      <c r="AJ229" s="147"/>
      <c r="AK229" s="152" t="str">
        <f ca="1">IF(Contrato5[[#This Row],[FECHA TERMINACIÓN ]]&lt;TODAY(), "Terminado",IF(ISNUMBER(Contrato5[[#This Row],[Fecha Real de liquiidación ]]),"Liquidado",IF(Contrato5[[#This Row],[FECHA TERMINACIÓN ]]&gt;=TODAY(),"En ejecución","")))</f>
        <v>Terminado</v>
      </c>
      <c r="AL229" s="153" t="e">
        <f ca="1">SUMIF([2]!COMPROMISOS_2024[[#All],[consecutivo]],Contrato5[[#This Row],[RCP]],[2]!COMPROMISOS_2024[[#All],[Total pagado]])</f>
        <v>#REF!</v>
      </c>
      <c r="AM229" s="154">
        <f ca="1">IFERROR(Contrato5[[#This Row],[Pagos]]/Contrato5[[#This Row],[VALOR CONTRATO]],0)</f>
        <v>0</v>
      </c>
      <c r="AN229" s="198" t="e">
        <f ca="1">+Contrato5[[#This Row],[VALOR CONTRATO]]-Contrato5[[#This Row],[Pagos]]</f>
        <v>#REF!</v>
      </c>
      <c r="AO229" s="147" t="e" cm="1">
        <f t="array" aca="1" ref="AO229" ca="1">_xlfn.XLOOKUP(Contrato5[[#This Row],[DOCUMENTO ]],[2]!PERSONAL_ACTIVO_2024[[#All],[Documento identidad]],[2]!PERSONAL_ACTIVO_2024[[#All],[Mail ]],0,0)</f>
        <v>#NAME?</v>
      </c>
      <c r="AP229" s="147" t="e" cm="1">
        <f t="array" aca="1" ref="AP229" ca="1">_xlfn.XLOOKUP(Contrato5[[#This Row],[DOCUMENTO]],[2]!PERSONAL_ACTIVO_2024[[#All],[Documento identidad]],[2]!PERSONAL_ACTIVO_2024[[#All],[Mail ]],0,0)</f>
        <v>#NAME?</v>
      </c>
      <c r="AQ229" s="439" cm="1">
        <f t="array" aca="1" ref="AQ229" ca="1">IF(ISBLANK(Contrato5[[#This Row],[DEPENDENCIA ]]),0,IFERROR(_xlfn.XLOOKUP(Contrato5[[#This Row],[DEPENDENCIA ]],[2]!PERSONAL_ACTIVO_2024[[#All],[Dependencia]],[2]!PERSONAL_ACTIVO_2024[[#All],[Mail ]],0,0),0))</f>
        <v>0</v>
      </c>
    </row>
    <row r="230" spans="1:43" ht="34.5" customHeight="1">
      <c r="A230" s="147">
        <v>1139</v>
      </c>
      <c r="B230" s="124">
        <v>192</v>
      </c>
      <c r="C230" s="162" t="s">
        <v>2402</v>
      </c>
      <c r="D230" s="227" t="s">
        <v>515</v>
      </c>
      <c r="E230" s="128" t="s">
        <v>2148</v>
      </c>
      <c r="F230" s="163" t="s">
        <v>1376</v>
      </c>
      <c r="G230" s="190" t="s">
        <v>888</v>
      </c>
      <c r="H230" s="447">
        <v>1128454001</v>
      </c>
      <c r="I230" s="455">
        <v>6879081</v>
      </c>
      <c r="J230" s="437">
        <v>25985611</v>
      </c>
      <c r="K230" s="131" t="s">
        <v>2544</v>
      </c>
      <c r="L230" s="438" t="s">
        <v>2564</v>
      </c>
      <c r="M230" s="194" t="s">
        <v>519</v>
      </c>
      <c r="N230" s="177" t="e" cm="1">
        <f t="array" aca="1" ref="N230" ca="1">_xlfn.XLOOKUP(Contrato5[[#This Row],[SUPERVISOR TITULAR]],[2]!PERSONAL_ACTIVO_2024[[#All],[Nombre completo]],[2]!PERSONAL_ACTIVO_2024[[#All],[Documento identidad]],"",0)</f>
        <v>#NAME?</v>
      </c>
      <c r="O230" s="194" t="s">
        <v>823</v>
      </c>
      <c r="P230" s="196" t="e" cm="1">
        <f t="array" aca="1" ref="P230" ca="1">_xlfn.XLOOKUP(Contrato5[[#This Row],[SUPERVISOR SUPLENTE ]],[2]!PERSONAL_ACTIVO_2024[[#All],[Nombre completo]],[2]!PERSONAL_ACTIVO_2024[[#All],[Documento identidad]],"",0)</f>
        <v>#NAME?</v>
      </c>
      <c r="Q230" s="170">
        <v>937</v>
      </c>
      <c r="R230" s="137" t="e" cm="1">
        <f t="array" aca="1" ref="R230" ca="1">_xlfn.XLOOKUP(Contrato5[[#This Row],[CDP]],[2]!DISPONIBILIDADES_2024[[#All],[consecutivo]],[2]!DISPONIBILIDADES_2024[[#All],[fecha_aprobacion]],"",0)</f>
        <v>#NAME?</v>
      </c>
      <c r="S230" s="138" t="e">
        <f>SUMIF([2]!DISPONIBILIDADES_2024[[#All],[consecutivo]],Contrato5[[#This Row],[CDP]],[2]!DISPONIBILIDADES_2024[[#All],[valor_total_rubro]])</f>
        <v>#REF!</v>
      </c>
      <c r="T230" s="139" t="e" cm="1">
        <f t="array" aca="1" ref="T230" ca="1">_xlfn.XLOOKUP(Contrato5[[#This Row],[CONTRATO]]&amp;Contrato5[[#This Row],[CDP]],[2]!Corr_Contr_CDP[[#All],[CONTRATO-CDP]],[2]!Corr_Contr_CDP[[#All],[CRP]],_xlfn.XLOOKUP(Contrato5[[#This Row],[CDP]],[2]!COMPROMISOS_2024[[#All],[disponibilidad]],[2]!COMPROMISOS_2024[[#All],[consecutivo]],"",0),0)</f>
        <v>#NAME?</v>
      </c>
      <c r="U230" s="140" t="e" cm="1">
        <f t="array" aca="1" ref="U230" ca="1">+_xlfn.XLOOKUP(Contrato5[[#This Row],[RCP]],[2]!COMPROMISOS_2024[[#All],[consecutivo]],[2]!COMPROMISOS_2024[[#All],[fecha_aprobacion]],"",0)</f>
        <v>#NAME?</v>
      </c>
      <c r="V230" s="141" t="e">
        <f ca="1">SUMIF([2]!COMPROMISOS_2024[[#All],[consecutivo]],Contrato5[[#This Row],[RCP]],[2]!COMPROMISOS_2024[[#All],[valor_total]])</f>
        <v>#REF!</v>
      </c>
      <c r="W230" s="415">
        <v>45576</v>
      </c>
      <c r="X230" s="415">
        <v>45576</v>
      </c>
      <c r="Y230" s="143">
        <v>45578</v>
      </c>
      <c r="Z230" s="262">
        <v>45656</v>
      </c>
      <c r="AA230" s="215"/>
      <c r="AB230" s="161" t="s">
        <v>2565</v>
      </c>
      <c r="AC230" s="187"/>
      <c r="AD230" s="211"/>
      <c r="AE230" s="147"/>
      <c r="AF230" s="148" t="str">
        <f>TEXT(LEFT(Contrato5[[#This Row],[CONTRATO]],3),"0")</f>
        <v>192</v>
      </c>
      <c r="AG230" s="148" t="str">
        <f>IF(LEN(Contrato5[[#This Row],[Contrato2]])=3,Contrato5[[#This Row],[Contrato2]],TEXT(Contrato5[[#This Row],[Contrato2]],"000"))</f>
        <v>192</v>
      </c>
      <c r="AH230" s="149">
        <f ca="1">IFERROR(_xlfn.DAYS(Contrato5[[#This Row],[Fecha Proyectada liquidación]],TODAY())/30,"")</f>
        <v>0.6</v>
      </c>
      <c r="AI230" s="150">
        <f>+Contrato5[[#This Row],[FECHA TERMINACIÓN ]]+120</f>
        <v>45776</v>
      </c>
      <c r="AJ230" s="147"/>
      <c r="AK230" s="152" t="str">
        <f ca="1">IF(Contrato5[[#This Row],[FECHA TERMINACIÓN ]]&lt;TODAY(), "Terminado",IF(ISNUMBER(Contrato5[[#This Row],[Fecha Real de liquiidación ]]),"Liquidado",IF(Contrato5[[#This Row],[FECHA TERMINACIÓN ]]&gt;=TODAY(),"En ejecución","")))</f>
        <v>Terminado</v>
      </c>
      <c r="AL230" s="153" t="e">
        <f ca="1">SUMIF([2]!COMPROMISOS_2024[[#All],[consecutivo]],Contrato5[[#This Row],[RCP]],[2]!COMPROMISOS_2024[[#All],[Total pagado]])</f>
        <v>#REF!</v>
      </c>
      <c r="AM230" s="154">
        <f ca="1">IFERROR(Contrato5[[#This Row],[Pagos]]/Contrato5[[#This Row],[VALOR CONTRATO]],0)</f>
        <v>0</v>
      </c>
      <c r="AN230" s="198" t="e">
        <f ca="1">+Contrato5[[#This Row],[VALOR CONTRATO]]-Contrato5[[#This Row],[Pagos]]</f>
        <v>#REF!</v>
      </c>
      <c r="AO230" s="147" t="e" cm="1">
        <f t="array" aca="1" ref="AO230" ca="1">_xlfn.XLOOKUP(Contrato5[[#This Row],[DOCUMENTO ]],[2]!PERSONAL_ACTIVO_2024[[#All],[Documento identidad]],[2]!PERSONAL_ACTIVO_2024[[#All],[Mail ]],0,0)</f>
        <v>#NAME?</v>
      </c>
      <c r="AP230" s="147" t="e" cm="1">
        <f t="array" aca="1" ref="AP230" ca="1">_xlfn.XLOOKUP(Contrato5[[#This Row],[DOCUMENTO]],[2]!PERSONAL_ACTIVO_2024[[#All],[Documento identidad]],[2]!PERSONAL_ACTIVO_2024[[#All],[Mail ]],0,0)</f>
        <v>#NAME?</v>
      </c>
      <c r="AQ230" s="439" cm="1">
        <f t="array" aca="1" ref="AQ230" ca="1">IF(ISBLANK(Contrato5[[#This Row],[DEPENDENCIA ]]),0,IFERROR(_xlfn.XLOOKUP(Contrato5[[#This Row],[DEPENDENCIA ]],[2]!PERSONAL_ACTIVO_2024[[#All],[Dependencia]],[2]!PERSONAL_ACTIVO_2024[[#All],[Mail ]],0,0),0))</f>
        <v>0</v>
      </c>
    </row>
    <row r="231" spans="1:43" ht="34.5" customHeight="1">
      <c r="A231" s="125">
        <v>540</v>
      </c>
      <c r="B231" s="124">
        <v>193</v>
      </c>
      <c r="C231" s="162" t="s">
        <v>430</v>
      </c>
      <c r="D231" s="227" t="s">
        <v>515</v>
      </c>
      <c r="E231" s="128" t="s">
        <v>94</v>
      </c>
      <c r="F231" s="163" t="s">
        <v>1376</v>
      </c>
      <c r="G231" s="190" t="s">
        <v>891</v>
      </c>
      <c r="H231" s="447">
        <v>1128432065</v>
      </c>
      <c r="I231" s="455">
        <v>3379853</v>
      </c>
      <c r="J231" s="456">
        <v>34658971</v>
      </c>
      <c r="K231" s="131" t="s">
        <v>892</v>
      </c>
      <c r="L231" s="438" t="s">
        <v>42</v>
      </c>
      <c r="M231" s="194" t="s">
        <v>893</v>
      </c>
      <c r="N231" s="177" t="e" cm="1">
        <f t="array" aca="1" ref="N231" ca="1">_xlfn.XLOOKUP(Contrato5[[#This Row],[SUPERVISOR TITULAR]],[2]!PERSONAL_ACTIVO_2024[[#All],[Nombre completo]],[2]!PERSONAL_ACTIVO_2024[[#All],[Documento identidad]],"",0)</f>
        <v>#NAME?</v>
      </c>
      <c r="O231" s="194" t="s">
        <v>894</v>
      </c>
      <c r="P231" s="196" t="e" cm="1">
        <f t="array" aca="1" ref="P231" ca="1">_xlfn.XLOOKUP(Contrato5[[#This Row],[SUPERVISOR SUPLENTE ]],[2]!PERSONAL_ACTIVO_2024[[#All],[Nombre completo]],[2]!PERSONAL_ACTIVO_2024[[#All],[Documento identidad]],"",0)</f>
        <v>#NAME?</v>
      </c>
      <c r="Q231" s="208">
        <v>229</v>
      </c>
      <c r="R231" s="137" t="e" cm="1">
        <f t="array" aca="1" ref="R231" ca="1">_xlfn.XLOOKUP(Contrato5[[#This Row],[CDP]],[2]!DISPONIBILIDADES_2024[[#All],[consecutivo]],[2]!DISPONIBILIDADES_2024[[#All],[fecha_aprobacion]],"",0)</f>
        <v>#NAME?</v>
      </c>
      <c r="S231" s="138" t="e">
        <f>SUMIF([2]!DISPONIBILIDADES_2024[[#All],[consecutivo]],Contrato5[[#This Row],[CDP]],[2]!DISPONIBILIDADES_2024[[#All],[valor_total_rubro]])</f>
        <v>#REF!</v>
      </c>
      <c r="T231" s="139" t="e" cm="1">
        <f t="array" aca="1" ref="T231" ca="1">_xlfn.XLOOKUP(Contrato5[[#This Row],[CONTRATO]]&amp;Contrato5[[#This Row],[CDP]],[2]!Corr_Contr_CDP[[#All],[CONTRATO-CDP]],[2]!Corr_Contr_CDP[[#All],[CRP]],_xlfn.XLOOKUP(Contrato5[[#This Row],[CDP]],[2]!COMPROMISOS_2024[[#All],[disponibilidad]],[2]!COMPROMISOS_2024[[#All],[consecutivo]],"",0),0)</f>
        <v>#NAME?</v>
      </c>
      <c r="U231" s="140" t="e" cm="1">
        <f t="array" aca="1" ref="U231" ca="1">+_xlfn.XLOOKUP(Contrato5[[#This Row],[RCP]],[2]!COMPROMISOS_2024[[#All],[consecutivo]],[2]!COMPROMISOS_2024[[#All],[fecha_aprobacion]],"",0)</f>
        <v>#NAME?</v>
      </c>
      <c r="V231" s="141" t="e">
        <f ca="1">SUMIF([2]!COMPROMISOS_2024[[#All],[consecutivo]],Contrato5[[#This Row],[RCP]],[2]!COMPROMISOS_2024[[#All],[valor_total]])</f>
        <v>#REF!</v>
      </c>
      <c r="W231" s="415">
        <v>45359</v>
      </c>
      <c r="X231" s="415">
        <v>45362</v>
      </c>
      <c r="Y231" s="143">
        <v>45362</v>
      </c>
      <c r="Z231" s="262">
        <v>45575</v>
      </c>
      <c r="AA231" s="237" t="s">
        <v>895</v>
      </c>
      <c r="AB231" s="238" t="s">
        <v>618</v>
      </c>
      <c r="AC231" s="161"/>
      <c r="AD231" s="211">
        <v>202000003997</v>
      </c>
      <c r="AE231" s="147" t="s">
        <v>523</v>
      </c>
      <c r="AF231" s="148" t="str">
        <f>TEXT(LEFT(Contrato5[[#This Row],[CONTRATO]],3),"0")</f>
        <v>193</v>
      </c>
      <c r="AG231" s="148" t="str">
        <f>IF(LEN(Contrato5[[#This Row],[Contrato2]])=3,Contrato5[[#This Row],[Contrato2]],TEXT(Contrato5[[#This Row],[Contrato2]],"000"))</f>
        <v>193</v>
      </c>
      <c r="AH231" s="149">
        <f ca="1">IFERROR(_xlfn.DAYS(Contrato5[[#This Row],[Fecha Proyectada liquidación]],TODAY())/30,"")</f>
        <v>-2.1</v>
      </c>
      <c r="AI231" s="150">
        <f>+Contrato5[[#This Row],[FECHA TERMINACIÓN ]]+120</f>
        <v>45695</v>
      </c>
      <c r="AJ231" s="147"/>
      <c r="AK231" s="152" t="str">
        <f ca="1">IF(Contrato5[[#This Row],[FECHA TERMINACIÓN ]]&lt;TODAY(), "Terminado",IF(ISNUMBER(Contrato5[[#This Row],[Fecha Real de liquiidación ]]),"Liquidado",IF(Contrato5[[#This Row],[FECHA TERMINACIÓN ]]&gt;=TODAY(),"En ejecución","")))</f>
        <v>Terminado</v>
      </c>
      <c r="AL231" s="153" t="e">
        <f ca="1">SUMIF([2]!COMPROMISOS_2024[[#All],[consecutivo]],Contrato5[[#This Row],[RCP]],[2]!COMPROMISOS_2024[[#All],[Total pagado]])</f>
        <v>#REF!</v>
      </c>
      <c r="AM231" s="154">
        <f ca="1">IFERROR(Contrato5[[#This Row],[Pagos]]/Contrato5[[#This Row],[VALOR CONTRATO]],0)</f>
        <v>0</v>
      </c>
      <c r="AN231" s="198" t="e">
        <f ca="1">+Contrato5[[#This Row],[VALOR CONTRATO]]-Contrato5[[#This Row],[Pagos]]</f>
        <v>#REF!</v>
      </c>
      <c r="AO231" s="147" t="e" cm="1">
        <f t="array" aca="1" ref="AO231" ca="1">_xlfn.XLOOKUP(Contrato5[[#This Row],[DOCUMENTO ]],[2]!PERSONAL_ACTIVO_2024[[#All],[Documento identidad]],[2]!PERSONAL_ACTIVO_2024[[#All],[Mail ]],0,0)</f>
        <v>#NAME?</v>
      </c>
      <c r="AP231" s="147" t="e" cm="1">
        <f t="array" aca="1" ref="AP231" ca="1">_xlfn.XLOOKUP(Contrato5[[#This Row],[DOCUMENTO]],[2]!PERSONAL_ACTIVO_2024[[#All],[Documento identidad]],[2]!PERSONAL_ACTIVO_2024[[#All],[Mail ]],0,0)</f>
        <v>#NAME?</v>
      </c>
      <c r="AQ231" s="439" cm="1">
        <f t="array" aca="1" ref="AQ231" ca="1">IF(ISBLANK(Contrato5[[#This Row],[DEPENDENCIA ]]),0,IFERROR(_xlfn.XLOOKUP(Contrato5[[#This Row],[DEPENDENCIA ]],[2]!PERSONAL_ACTIVO_2024[[#All],[Dependencia]],[2]!PERSONAL_ACTIVO_2024[[#All],[Mail ]],0,0),0))</f>
        <v>0</v>
      </c>
    </row>
    <row r="232" spans="1:43" ht="34.5" customHeight="1">
      <c r="A232" s="147">
        <v>1158</v>
      </c>
      <c r="B232" s="124">
        <v>193</v>
      </c>
      <c r="C232" s="162" t="s">
        <v>2313</v>
      </c>
      <c r="D232" s="227" t="s">
        <v>515</v>
      </c>
      <c r="E232" s="128" t="s">
        <v>2148</v>
      </c>
      <c r="F232" s="163" t="s">
        <v>1376</v>
      </c>
      <c r="G232" s="190" t="s">
        <v>891</v>
      </c>
      <c r="H232" s="447">
        <v>1128432065</v>
      </c>
      <c r="I232" s="455">
        <v>3379853</v>
      </c>
      <c r="J232" s="437">
        <v>11012941</v>
      </c>
      <c r="K232" s="131" t="s">
        <v>2566</v>
      </c>
      <c r="L232" s="438" t="s">
        <v>2564</v>
      </c>
      <c r="M232" s="194" t="s">
        <v>893</v>
      </c>
      <c r="N232" s="195" t="e" cm="1">
        <f t="array" aca="1" ref="N232" ca="1">_xlfn.XLOOKUP(Contrato5[[#This Row],[SUPERVISOR TITULAR]],[2]!PERSONAL_ACTIVO_2024[[#All],[Nombre completo]],[2]!PERSONAL_ACTIVO_2024[[#All],[Documento identidad]],"",0)</f>
        <v>#NAME?</v>
      </c>
      <c r="O232" s="194" t="s">
        <v>894</v>
      </c>
      <c r="P232" s="135" t="e" cm="1">
        <f t="array" aca="1" ref="P232" ca="1">_xlfn.XLOOKUP(Contrato5[[#This Row],[SUPERVISOR SUPLENTE ]],[2]!PERSONAL_ACTIVO_2024[[#All],[Nombre completo]],[2]!PERSONAL_ACTIVO_2024[[#All],[Documento identidad]],"",0)</f>
        <v>#NAME?</v>
      </c>
      <c r="Q232" s="170">
        <v>962</v>
      </c>
      <c r="R232" s="137" t="e" cm="1">
        <f t="array" aca="1" ref="R232" ca="1">_xlfn.XLOOKUP(Contrato5[[#This Row],[CDP]],[2]!DISPONIBILIDADES_2024[[#All],[consecutivo]],[2]!DISPONIBILIDADES_2024[[#All],[fecha_aprobacion]],"",0)</f>
        <v>#NAME?</v>
      </c>
      <c r="S232" s="138" t="e">
        <f>SUMIF([2]!DISPONIBILIDADES_2024[[#All],[consecutivo]],Contrato5[[#This Row],[CDP]],[2]!DISPONIBILIDADES_2024[[#All],[valor_total_rubro]])</f>
        <v>#REF!</v>
      </c>
      <c r="T232" s="139" t="e" cm="1">
        <f t="array" aca="1" ref="T232" ca="1">_xlfn.XLOOKUP(Contrato5[[#This Row],[CONTRATO]]&amp;Contrato5[[#This Row],[CDP]],[2]!Corr_Contr_CDP[[#All],[CONTRATO-CDP]],[2]!Corr_Contr_CDP[[#All],[CRP]],_xlfn.XLOOKUP(Contrato5[[#This Row],[CDP]],[2]!COMPROMISOS_2024[[#All],[disponibilidad]],[2]!COMPROMISOS_2024[[#All],[consecutivo]],"",0),0)</f>
        <v>#NAME?</v>
      </c>
      <c r="U232" s="140" t="e" cm="1">
        <f t="array" aca="1" ref="U232" ca="1">+_xlfn.XLOOKUP(Contrato5[[#This Row],[RCP]],[2]!COMPROMISOS_2024[[#All],[consecutivo]],[2]!COMPROMISOS_2024[[#All],[fecha_aprobacion]],"",0)</f>
        <v>#NAME?</v>
      </c>
      <c r="V232" s="141" t="e">
        <f ca="1">SUMIF([2]!COMPROMISOS_2024[[#All],[consecutivo]],Contrato5[[#This Row],[RCP]],[2]!COMPROMISOS_2024[[#All],[valor_total]])</f>
        <v>#REF!</v>
      </c>
      <c r="W232" s="415">
        <v>45573</v>
      </c>
      <c r="X232" s="415">
        <v>45574</v>
      </c>
      <c r="Y232" s="143">
        <v>45576</v>
      </c>
      <c r="Z232" s="262">
        <v>45656</v>
      </c>
      <c r="AA232" s="215"/>
      <c r="AB232" s="161" t="s">
        <v>2567</v>
      </c>
      <c r="AC232" s="187"/>
      <c r="AD232" s="211"/>
      <c r="AE232" s="147"/>
      <c r="AF232" s="148" t="str">
        <f>TEXT(LEFT(Contrato5[[#This Row],[CONTRATO]],3),"0")</f>
        <v>193</v>
      </c>
      <c r="AG232" s="148" t="str">
        <f>IF(LEN(Contrato5[[#This Row],[Contrato2]])=3,Contrato5[[#This Row],[Contrato2]],TEXT(Contrato5[[#This Row],[Contrato2]],"000"))</f>
        <v>193</v>
      </c>
      <c r="AH232" s="149">
        <f ca="1">IFERROR(_xlfn.DAYS(Contrato5[[#This Row],[Fecha Proyectada liquidación]],TODAY())/30,"")</f>
        <v>0.6</v>
      </c>
      <c r="AI232" s="150">
        <f>+Contrato5[[#This Row],[FECHA TERMINACIÓN ]]+120</f>
        <v>45776</v>
      </c>
      <c r="AJ232" s="147"/>
      <c r="AK232" s="152" t="str">
        <f ca="1">IF(Contrato5[[#This Row],[FECHA TERMINACIÓN ]]&lt;TODAY(), "Terminado",IF(ISNUMBER(Contrato5[[#This Row],[Fecha Real de liquiidación ]]),"Liquidado",IF(Contrato5[[#This Row],[FECHA TERMINACIÓN ]]&gt;=TODAY(),"En ejecución","")))</f>
        <v>Terminado</v>
      </c>
      <c r="AL232" s="153" t="e">
        <f ca="1">SUMIF([2]!COMPROMISOS_2024[[#All],[consecutivo]],Contrato5[[#This Row],[RCP]],[2]!COMPROMISOS_2024[[#All],[Total pagado]])</f>
        <v>#REF!</v>
      </c>
      <c r="AM232" s="154">
        <f ca="1">IFERROR(Contrato5[[#This Row],[Pagos]]/Contrato5[[#This Row],[VALOR CONTRATO]],0)</f>
        <v>0</v>
      </c>
      <c r="AN232" s="198" t="e">
        <f ca="1">+Contrato5[[#This Row],[VALOR CONTRATO]]-Contrato5[[#This Row],[Pagos]]</f>
        <v>#REF!</v>
      </c>
      <c r="AO232" s="147" t="e" cm="1">
        <f t="array" aca="1" ref="AO232" ca="1">_xlfn.XLOOKUP(Contrato5[[#This Row],[DOCUMENTO ]],[2]!PERSONAL_ACTIVO_2024[[#All],[Documento identidad]],[2]!PERSONAL_ACTIVO_2024[[#All],[Mail ]],0,0)</f>
        <v>#NAME?</v>
      </c>
      <c r="AP232" s="147" t="e" cm="1">
        <f t="array" aca="1" ref="AP232" ca="1">_xlfn.XLOOKUP(Contrato5[[#This Row],[DOCUMENTO]],[2]!PERSONAL_ACTIVO_2024[[#All],[Documento identidad]],[2]!PERSONAL_ACTIVO_2024[[#All],[Mail ]],0,0)</f>
        <v>#NAME?</v>
      </c>
      <c r="AQ232" s="439" cm="1">
        <f t="array" aca="1" ref="AQ232" ca="1">IF(ISBLANK(Contrato5[[#This Row],[DEPENDENCIA ]]),0,IFERROR(_xlfn.XLOOKUP(Contrato5[[#This Row],[DEPENDENCIA ]],[2]!PERSONAL_ACTIVO_2024[[#All],[Dependencia]],[2]!PERSONAL_ACTIVO_2024[[#All],[Mail ]],0,0),0))</f>
        <v>0</v>
      </c>
    </row>
    <row r="233" spans="1:43" ht="34.5" customHeight="1">
      <c r="A233" s="125">
        <v>575</v>
      </c>
      <c r="B233" s="124">
        <v>194</v>
      </c>
      <c r="C233" s="162" t="s">
        <v>423</v>
      </c>
      <c r="D233" s="227" t="s">
        <v>515</v>
      </c>
      <c r="E233" s="128" t="s">
        <v>898</v>
      </c>
      <c r="F233" s="163" t="s">
        <v>1376</v>
      </c>
      <c r="G233" s="190" t="s">
        <v>896</v>
      </c>
      <c r="H233" s="447">
        <v>890908939</v>
      </c>
      <c r="I233" s="455" t="s">
        <v>42</v>
      </c>
      <c r="J233" s="456">
        <v>40000000</v>
      </c>
      <c r="K233" s="166" t="s">
        <v>42</v>
      </c>
      <c r="L233" s="438" t="s">
        <v>42</v>
      </c>
      <c r="M233" s="194" t="s">
        <v>545</v>
      </c>
      <c r="N233" s="177" t="e" cm="1">
        <f t="array" aca="1" ref="N233" ca="1">_xlfn.XLOOKUP(Contrato5[[#This Row],[SUPERVISOR TITULAR]],[2]!PERSONAL_ACTIVO_2024[[#All],[Nombre completo]],[2]!PERSONAL_ACTIVO_2024[[#All],[Documento identidad]],"",0)</f>
        <v>#NAME?</v>
      </c>
      <c r="O233" s="194" t="s">
        <v>544</v>
      </c>
      <c r="P233" s="196" t="e" cm="1">
        <f t="array" aca="1" ref="P233" ca="1">_xlfn.XLOOKUP(Contrato5[[#This Row],[SUPERVISOR SUPLENTE ]],[2]!PERSONAL_ACTIVO_2024[[#All],[Nombre completo]],[2]!PERSONAL_ACTIVO_2024[[#All],[Documento identidad]],"",0)</f>
        <v>#NAME?</v>
      </c>
      <c r="Q233" s="208">
        <v>287</v>
      </c>
      <c r="R233" s="137" t="e" cm="1">
        <f t="array" aca="1" ref="R233" ca="1">_xlfn.XLOOKUP(Contrato5[[#This Row],[CDP]],[2]!DISPONIBILIDADES_2024[[#All],[consecutivo]],[2]!DISPONIBILIDADES_2024[[#All],[fecha_aprobacion]],"",0)</f>
        <v>#NAME?</v>
      </c>
      <c r="S233" s="138" t="e">
        <f>SUMIF([2]!DISPONIBILIDADES_2024[[#All],[consecutivo]],Contrato5[[#This Row],[CDP]],[2]!DISPONIBILIDADES_2024[[#All],[valor_total_rubro]])</f>
        <v>#REF!</v>
      </c>
      <c r="T233" s="139" t="e" cm="1">
        <f t="array" aca="1" ref="T233" ca="1">_xlfn.XLOOKUP(Contrato5[[#This Row],[CONTRATO]]&amp;Contrato5[[#This Row],[CDP]],[2]!Corr_Contr_CDP[[#All],[CONTRATO-CDP]],[2]!Corr_Contr_CDP[[#All],[CRP]],_xlfn.XLOOKUP(Contrato5[[#This Row],[CDP]],[2]!COMPROMISOS_2024[[#All],[disponibilidad]],[2]!COMPROMISOS_2024[[#All],[consecutivo]],"",0),0)</f>
        <v>#NAME?</v>
      </c>
      <c r="U233" s="140" t="e" cm="1">
        <f t="array" aca="1" ref="U233" ca="1">+_xlfn.XLOOKUP(Contrato5[[#This Row],[RCP]],[2]!COMPROMISOS_2024[[#All],[consecutivo]],[2]!COMPROMISOS_2024[[#All],[fecha_aprobacion]],"",0)</f>
        <v>#NAME?</v>
      </c>
      <c r="V233" s="141" t="e">
        <f ca="1">SUMIF([2]!COMPROMISOS_2024[[#All],[consecutivo]],Contrato5[[#This Row],[RCP]],[2]!COMPROMISOS_2024[[#All],[valor_total]])</f>
        <v>#REF!</v>
      </c>
      <c r="W233" s="415">
        <v>45355</v>
      </c>
      <c r="X233" s="415">
        <v>45356</v>
      </c>
      <c r="Y233" s="143">
        <v>45356</v>
      </c>
      <c r="Z233" s="262">
        <v>45416</v>
      </c>
      <c r="AA233" s="255" t="s">
        <v>897</v>
      </c>
      <c r="AB233" s="161" t="s">
        <v>500</v>
      </c>
      <c r="AC233" s="161"/>
      <c r="AD233" s="211">
        <v>202000003998</v>
      </c>
      <c r="AE233" s="147" t="s">
        <v>523</v>
      </c>
      <c r="AF233" s="148" t="str">
        <f>TEXT(LEFT(Contrato5[[#This Row],[CONTRATO]],3),"0")</f>
        <v>194</v>
      </c>
      <c r="AG233" s="148" t="str">
        <f>IF(LEN(Contrato5[[#This Row],[Contrato2]])=3,Contrato5[[#This Row],[Contrato2]],TEXT(Contrato5[[#This Row],[Contrato2]],"000"))</f>
        <v>194</v>
      </c>
      <c r="AH233" s="149">
        <f ca="1">IFERROR(_xlfn.DAYS(Contrato5[[#This Row],[Fecha Proyectada liquidación]],TODAY())/30,"")</f>
        <v>-7.4</v>
      </c>
      <c r="AI233" s="150">
        <f>+Contrato5[[#This Row],[FECHA TERMINACIÓN ]]+120</f>
        <v>45536</v>
      </c>
      <c r="AJ233" s="305"/>
      <c r="AK233" s="152" t="str">
        <f ca="1">IF(Contrato5[[#This Row],[FECHA TERMINACIÓN ]]&lt;TODAY(), "Terminado",IF(ISNUMBER(Contrato5[[#This Row],[Fecha Real de liquiidación ]]),"Liquidado",IF(Contrato5[[#This Row],[FECHA TERMINACIÓN ]]&gt;=TODAY(),"En ejecución","")))</f>
        <v>Terminado</v>
      </c>
      <c r="AL233" s="153" t="e">
        <f ca="1">SUMIF([2]!COMPROMISOS_2024[[#All],[consecutivo]],Contrato5[[#This Row],[RCP]],[2]!COMPROMISOS_2024[[#All],[Total pagado]])</f>
        <v>#REF!</v>
      </c>
      <c r="AM233" s="154">
        <f ca="1">IFERROR(Contrato5[[#This Row],[Pagos]]/Contrato5[[#This Row],[VALOR CONTRATO]],0)</f>
        <v>0</v>
      </c>
      <c r="AN233" s="198" t="e">
        <f ca="1">+Contrato5[[#This Row],[VALOR CONTRATO]]-Contrato5[[#This Row],[Pagos]]</f>
        <v>#REF!</v>
      </c>
      <c r="AO233" s="147" t="e" cm="1">
        <f t="array" aca="1" ref="AO233" ca="1">_xlfn.XLOOKUP(Contrato5[[#This Row],[DOCUMENTO ]],[2]!PERSONAL_ACTIVO_2024[[#All],[Documento identidad]],[2]!PERSONAL_ACTIVO_2024[[#All],[Mail ]],0,0)</f>
        <v>#NAME?</v>
      </c>
      <c r="AP233" s="147" t="e" cm="1">
        <f t="array" aca="1" ref="AP233" ca="1">_xlfn.XLOOKUP(Contrato5[[#This Row],[DOCUMENTO]],[2]!PERSONAL_ACTIVO_2024[[#All],[Documento identidad]],[2]!PERSONAL_ACTIVO_2024[[#All],[Mail ]],0,0)</f>
        <v>#NAME?</v>
      </c>
      <c r="AQ233" s="439" cm="1">
        <f t="array" aca="1" ref="AQ233" ca="1">IF(ISBLANK(Contrato5[[#This Row],[DEPENDENCIA ]]),0,IFERROR(_xlfn.XLOOKUP(Contrato5[[#This Row],[DEPENDENCIA ]],[2]!PERSONAL_ACTIVO_2024[[#All],[Dependencia]],[2]!PERSONAL_ACTIVO_2024[[#All],[Mail ]],0,0),0))</f>
        <v>0</v>
      </c>
    </row>
    <row r="234" spans="1:43" ht="34.5" customHeight="1">
      <c r="A234" s="125">
        <v>573</v>
      </c>
      <c r="B234" s="124">
        <v>195</v>
      </c>
      <c r="C234" s="162" t="s">
        <v>2568</v>
      </c>
      <c r="D234" s="227" t="s">
        <v>493</v>
      </c>
      <c r="E234" s="128" t="s">
        <v>898</v>
      </c>
      <c r="F234" s="163" t="s">
        <v>1376</v>
      </c>
      <c r="G234" s="190" t="s">
        <v>899</v>
      </c>
      <c r="H234" s="447">
        <v>1128438943</v>
      </c>
      <c r="I234" s="455">
        <v>6879081</v>
      </c>
      <c r="J234" s="456">
        <v>41274486</v>
      </c>
      <c r="K234" s="147" t="s">
        <v>42</v>
      </c>
      <c r="L234" s="438" t="s">
        <v>42</v>
      </c>
      <c r="M234" s="194" t="s">
        <v>796</v>
      </c>
      <c r="N234" s="177" t="e" cm="1">
        <f t="array" aca="1" ref="N234" ca="1">_xlfn.XLOOKUP(Contrato5[[#This Row],[SUPERVISOR TITULAR]],[2]!PERSONAL_ACTIVO_2024[[#All],[Nombre completo]],[2]!PERSONAL_ACTIVO_2024[[#All],[Documento identidad]],"",0)</f>
        <v>#NAME?</v>
      </c>
      <c r="O234" s="194" t="s">
        <v>2536</v>
      </c>
      <c r="P234" s="196" t="e" cm="1">
        <f t="array" aca="1" ref="P234" ca="1">_xlfn.XLOOKUP(Contrato5[[#This Row],[SUPERVISOR SUPLENTE ]],[2]!PERSONAL_ACTIVO_2024[[#All],[Nombre completo]],[2]!PERSONAL_ACTIVO_2024[[#All],[Documento identidad]],"",0)</f>
        <v>#NAME?</v>
      </c>
      <c r="Q234" s="208">
        <v>278</v>
      </c>
      <c r="R234" s="137" t="e" cm="1">
        <f t="array" aca="1" ref="R234" ca="1">_xlfn.XLOOKUP(Contrato5[[#This Row],[CDP]],[2]!DISPONIBILIDADES_2024[[#All],[consecutivo]],[2]!DISPONIBILIDADES_2024[[#All],[fecha_aprobacion]],"",0)</f>
        <v>#NAME?</v>
      </c>
      <c r="S234" s="138" t="e">
        <f>SUMIF([2]!DISPONIBILIDADES_2024[[#All],[consecutivo]],Contrato5[[#This Row],[CDP]],[2]!DISPONIBILIDADES_2024[[#All],[valor_total_rubro]])</f>
        <v>#REF!</v>
      </c>
      <c r="T234" s="139" t="e" cm="1">
        <f t="array" aca="1" ref="T234" ca="1">_xlfn.XLOOKUP(Contrato5[[#This Row],[CONTRATO]]&amp;Contrato5[[#This Row],[CDP]],[2]!Corr_Contr_CDP[[#All],[CONTRATO-CDP]],[2]!Corr_Contr_CDP[[#All],[CRP]],_xlfn.XLOOKUP(Contrato5[[#This Row],[CDP]],[2]!COMPROMISOS_2024[[#All],[disponibilidad]],[2]!COMPROMISOS_2024[[#All],[consecutivo]],"",0),0)</f>
        <v>#NAME?</v>
      </c>
      <c r="U234" s="140" t="e" cm="1">
        <f t="array" aca="1" ref="U234" ca="1">+_xlfn.XLOOKUP(Contrato5[[#This Row],[RCP]],[2]!COMPROMISOS_2024[[#All],[consecutivo]],[2]!COMPROMISOS_2024[[#All],[fecha_aprobacion]],"",0)</f>
        <v>#NAME?</v>
      </c>
      <c r="V234" s="141" t="e">
        <f ca="1">SUMIF([2]!COMPROMISOS_2024[[#All],[consecutivo]],Contrato5[[#This Row],[RCP]],[2]!COMPROMISOS_2024[[#All],[valor_total]])</f>
        <v>#REF!</v>
      </c>
      <c r="W234" s="415">
        <v>45357</v>
      </c>
      <c r="X234" s="415">
        <v>45358</v>
      </c>
      <c r="Y234" s="143">
        <v>45358</v>
      </c>
      <c r="Z234" s="262">
        <v>45541</v>
      </c>
      <c r="AA234" s="240" t="s">
        <v>900</v>
      </c>
      <c r="AB234" s="238" t="s">
        <v>640</v>
      </c>
      <c r="AC234" s="161"/>
      <c r="AD234" s="211">
        <v>202000003999</v>
      </c>
      <c r="AE234" s="147" t="s">
        <v>523</v>
      </c>
      <c r="AF234" s="148" t="str">
        <f>TEXT(LEFT(Contrato5[[#This Row],[CONTRATO]],3),"0")</f>
        <v>195</v>
      </c>
      <c r="AG234" s="148" t="str">
        <f>IF(LEN(Contrato5[[#This Row],[Contrato2]])=3,Contrato5[[#This Row],[Contrato2]],TEXT(Contrato5[[#This Row],[Contrato2]],"000"))</f>
        <v>195</v>
      </c>
      <c r="AH234" s="149">
        <f ca="1">IFERROR(_xlfn.DAYS(Contrato5[[#This Row],[Fecha Proyectada liquidación]],TODAY())/30,"")</f>
        <v>-3.2333333333333334</v>
      </c>
      <c r="AI234" s="150">
        <f>+Contrato5[[#This Row],[FECHA TERMINACIÓN ]]+120</f>
        <v>45661</v>
      </c>
      <c r="AJ234" s="147"/>
      <c r="AK234" s="152" t="str">
        <f ca="1">IF(Contrato5[[#This Row],[FECHA TERMINACIÓN ]]&lt;TODAY(), "Terminado",IF(ISNUMBER(Contrato5[[#This Row],[Fecha Real de liquiidación ]]),"Liquidado",IF(Contrato5[[#This Row],[FECHA TERMINACIÓN ]]&gt;=TODAY(),"En ejecución","")))</f>
        <v>Terminado</v>
      </c>
      <c r="AL234" s="153" t="e">
        <f ca="1">SUMIF([2]!COMPROMISOS_2024[[#All],[consecutivo]],Contrato5[[#This Row],[RCP]],[2]!COMPROMISOS_2024[[#All],[Total pagado]])</f>
        <v>#REF!</v>
      </c>
      <c r="AM234" s="154">
        <f ca="1">IFERROR(Contrato5[[#This Row],[Pagos]]/Contrato5[[#This Row],[VALOR CONTRATO]],0)</f>
        <v>0</v>
      </c>
      <c r="AN234" s="198" t="e">
        <f ca="1">+Contrato5[[#This Row],[VALOR CONTRATO]]-Contrato5[[#This Row],[Pagos]]</f>
        <v>#REF!</v>
      </c>
      <c r="AO234" s="147" t="e" cm="1">
        <f t="array" aca="1" ref="AO234" ca="1">_xlfn.XLOOKUP(Contrato5[[#This Row],[DOCUMENTO ]],[2]!PERSONAL_ACTIVO_2024[[#All],[Documento identidad]],[2]!PERSONAL_ACTIVO_2024[[#All],[Mail ]],0,0)</f>
        <v>#NAME?</v>
      </c>
      <c r="AP234" s="147" t="e" cm="1">
        <f t="array" aca="1" ref="AP234" ca="1">_xlfn.XLOOKUP(Contrato5[[#This Row],[DOCUMENTO]],[2]!PERSONAL_ACTIVO_2024[[#All],[Documento identidad]],[2]!PERSONAL_ACTIVO_2024[[#All],[Mail ]],0,0)</f>
        <v>#NAME?</v>
      </c>
      <c r="AQ234" s="439" cm="1">
        <f t="array" aca="1" ref="AQ234" ca="1">IF(ISBLANK(Contrato5[[#This Row],[DEPENDENCIA ]]),0,IFERROR(_xlfn.XLOOKUP(Contrato5[[#This Row],[DEPENDENCIA ]],[2]!PERSONAL_ACTIVO_2024[[#All],[Dependencia]],[2]!PERSONAL_ACTIVO_2024[[#All],[Mail ]],0,0),0))</f>
        <v>0</v>
      </c>
    </row>
    <row r="235" spans="1:43" ht="34.5" customHeight="1">
      <c r="A235" s="125">
        <v>43</v>
      </c>
      <c r="B235" s="124">
        <v>196</v>
      </c>
      <c r="C235" s="162" t="s">
        <v>1460</v>
      </c>
      <c r="D235" s="227" t="s">
        <v>536</v>
      </c>
      <c r="E235" s="128" t="s">
        <v>898</v>
      </c>
      <c r="F235" s="163" t="s">
        <v>1376</v>
      </c>
      <c r="G235" s="190" t="s">
        <v>901</v>
      </c>
      <c r="H235" s="447">
        <v>1126787814</v>
      </c>
      <c r="I235" s="455">
        <v>9346824</v>
      </c>
      <c r="J235" s="456">
        <v>56080944</v>
      </c>
      <c r="K235" s="147" t="s">
        <v>42</v>
      </c>
      <c r="L235" s="438" t="s">
        <v>42</v>
      </c>
      <c r="M235" s="194" t="s">
        <v>538</v>
      </c>
      <c r="N235" s="177" t="e" cm="1">
        <f t="array" aca="1" ref="N235" ca="1">_xlfn.XLOOKUP(Contrato5[[#This Row],[SUPERVISOR TITULAR]],[2]!PERSONAL_ACTIVO_2024[[#All],[Nombre completo]],[2]!PERSONAL_ACTIVO_2024[[#All],[Documento identidad]],"",0)</f>
        <v>#NAME?</v>
      </c>
      <c r="O235" s="194" t="s">
        <v>539</v>
      </c>
      <c r="P235" s="196" t="e" cm="1">
        <f t="array" aca="1" ref="P235" ca="1">_xlfn.XLOOKUP(Contrato5[[#This Row],[SUPERVISOR SUPLENTE ]],[2]!PERSONAL_ACTIVO_2024[[#All],[Nombre completo]],[2]!PERSONAL_ACTIVO_2024[[#All],[Documento identidad]],"",0)</f>
        <v>#NAME?</v>
      </c>
      <c r="Q235" s="208">
        <v>280</v>
      </c>
      <c r="R235" s="137" t="e" cm="1">
        <f t="array" aca="1" ref="R235" ca="1">_xlfn.XLOOKUP(Contrato5[[#This Row],[CDP]],[2]!DISPONIBILIDADES_2024[[#All],[consecutivo]],[2]!DISPONIBILIDADES_2024[[#All],[fecha_aprobacion]],"",0)</f>
        <v>#NAME?</v>
      </c>
      <c r="S235" s="138" t="e">
        <f>SUMIF([2]!DISPONIBILIDADES_2024[[#All],[consecutivo]],Contrato5[[#This Row],[CDP]],[2]!DISPONIBILIDADES_2024[[#All],[valor_total_rubro]])</f>
        <v>#REF!</v>
      </c>
      <c r="T235" s="139" t="e" cm="1">
        <f t="array" aca="1" ref="T235" ca="1">_xlfn.XLOOKUP(Contrato5[[#This Row],[CONTRATO]]&amp;Contrato5[[#This Row],[CDP]],[2]!Corr_Contr_CDP[[#All],[CONTRATO-CDP]],[2]!Corr_Contr_CDP[[#All],[CRP]],_xlfn.XLOOKUP(Contrato5[[#This Row],[CDP]],[2]!COMPROMISOS_2024[[#All],[disponibilidad]],[2]!COMPROMISOS_2024[[#All],[consecutivo]],"",0),0)</f>
        <v>#NAME?</v>
      </c>
      <c r="U235" s="140" t="e" cm="1">
        <f t="array" aca="1" ref="U235" ca="1">+_xlfn.XLOOKUP(Contrato5[[#This Row],[RCP]],[2]!COMPROMISOS_2024[[#All],[consecutivo]],[2]!COMPROMISOS_2024[[#All],[fecha_aprobacion]],"",0)</f>
        <v>#NAME?</v>
      </c>
      <c r="V235" s="141" t="e">
        <f ca="1">SUMIF([2]!COMPROMISOS_2024[[#All],[consecutivo]],Contrato5[[#This Row],[RCP]],[2]!COMPROMISOS_2024[[#All],[valor_total]])</f>
        <v>#REF!</v>
      </c>
      <c r="W235" s="415">
        <v>45356</v>
      </c>
      <c r="X235" s="415">
        <v>45356</v>
      </c>
      <c r="Y235" s="143">
        <v>45358</v>
      </c>
      <c r="Z235" s="262">
        <v>45540</v>
      </c>
      <c r="AA235" s="240" t="s">
        <v>902</v>
      </c>
      <c r="AB235" s="238" t="s">
        <v>640</v>
      </c>
      <c r="AC235" s="161"/>
      <c r="AD235" s="211">
        <v>202000004000</v>
      </c>
      <c r="AE235" s="147" t="s">
        <v>523</v>
      </c>
      <c r="AF235" s="148" t="str">
        <f>TEXT(LEFT(Contrato5[[#This Row],[CONTRATO]],3),"0")</f>
        <v>196</v>
      </c>
      <c r="AG235" s="148" t="str">
        <f>IF(LEN(Contrato5[[#This Row],[Contrato2]])=3,Contrato5[[#This Row],[Contrato2]],TEXT(Contrato5[[#This Row],[Contrato2]],"000"))</f>
        <v>196</v>
      </c>
      <c r="AH235" s="149">
        <f ca="1">IFERROR(_xlfn.DAYS(Contrato5[[#This Row],[Fecha Proyectada liquidación]],TODAY())/30,"")</f>
        <v>-3.2666666666666666</v>
      </c>
      <c r="AI235" s="150">
        <f>+Contrato5[[#This Row],[FECHA TERMINACIÓN ]]+120</f>
        <v>45660</v>
      </c>
      <c r="AJ235" s="147"/>
      <c r="AK235" s="152" t="str">
        <f ca="1">IF(Contrato5[[#This Row],[FECHA TERMINACIÓN ]]&lt;TODAY(), "Terminado",IF(ISNUMBER(Contrato5[[#This Row],[Fecha Real de liquiidación ]]),"Liquidado",IF(Contrato5[[#This Row],[FECHA TERMINACIÓN ]]&gt;=TODAY(),"En ejecución","")))</f>
        <v>Terminado</v>
      </c>
      <c r="AL235" s="153" t="e">
        <f ca="1">SUMIF([2]!COMPROMISOS_2024[[#All],[consecutivo]],Contrato5[[#This Row],[RCP]],[2]!COMPROMISOS_2024[[#All],[Total pagado]])</f>
        <v>#REF!</v>
      </c>
      <c r="AM235" s="154">
        <f ca="1">IFERROR(Contrato5[[#This Row],[Pagos]]/Contrato5[[#This Row],[VALOR CONTRATO]],0)</f>
        <v>0</v>
      </c>
      <c r="AN235" s="198" t="e">
        <f ca="1">+Contrato5[[#This Row],[VALOR CONTRATO]]-Contrato5[[#This Row],[Pagos]]</f>
        <v>#REF!</v>
      </c>
      <c r="AO235" s="147" t="e" cm="1">
        <f t="array" aca="1" ref="AO235" ca="1">_xlfn.XLOOKUP(Contrato5[[#This Row],[DOCUMENTO ]],[2]!PERSONAL_ACTIVO_2024[[#All],[Documento identidad]],[2]!PERSONAL_ACTIVO_2024[[#All],[Mail ]],0,0)</f>
        <v>#NAME?</v>
      </c>
      <c r="AP235" s="147" t="e" cm="1">
        <f t="array" aca="1" ref="AP235" ca="1">_xlfn.XLOOKUP(Contrato5[[#This Row],[DOCUMENTO]],[2]!PERSONAL_ACTIVO_2024[[#All],[Documento identidad]],[2]!PERSONAL_ACTIVO_2024[[#All],[Mail ]],0,0)</f>
        <v>#NAME?</v>
      </c>
      <c r="AQ235" s="439" cm="1">
        <f t="array" aca="1" ref="AQ235" ca="1">IF(ISBLANK(Contrato5[[#This Row],[DEPENDENCIA ]]),0,IFERROR(_xlfn.XLOOKUP(Contrato5[[#This Row],[DEPENDENCIA ]],[2]!PERSONAL_ACTIVO_2024[[#All],[Dependencia]],[2]!PERSONAL_ACTIVO_2024[[#All],[Mail ]],0,0),0))</f>
        <v>0</v>
      </c>
    </row>
    <row r="236" spans="1:43" ht="34.5" customHeight="1">
      <c r="A236" s="125">
        <v>546</v>
      </c>
      <c r="B236" s="124">
        <v>197</v>
      </c>
      <c r="C236" s="162" t="s">
        <v>436</v>
      </c>
      <c r="D236" s="227" t="s">
        <v>515</v>
      </c>
      <c r="E236" s="128" t="s">
        <v>94</v>
      </c>
      <c r="F236" s="163" t="s">
        <v>1376</v>
      </c>
      <c r="G236" s="190" t="s">
        <v>903</v>
      </c>
      <c r="H236" s="447">
        <v>1037977238</v>
      </c>
      <c r="I236" s="455">
        <v>3379853</v>
      </c>
      <c r="J236" s="456">
        <v>34658971</v>
      </c>
      <c r="K236" s="131" t="s">
        <v>892</v>
      </c>
      <c r="L236" s="438" t="s">
        <v>42</v>
      </c>
      <c r="M236" s="194" t="s">
        <v>893</v>
      </c>
      <c r="N236" s="177" t="e" cm="1">
        <f t="array" aca="1" ref="N236" ca="1">_xlfn.XLOOKUP(Contrato5[[#This Row],[SUPERVISOR TITULAR]],[2]!PERSONAL_ACTIVO_2024[[#All],[Nombre completo]],[2]!PERSONAL_ACTIVO_2024[[#All],[Documento identidad]],"",0)</f>
        <v>#NAME?</v>
      </c>
      <c r="O236" s="194" t="s">
        <v>894</v>
      </c>
      <c r="P236" s="196" t="e" cm="1">
        <f t="array" aca="1" ref="P236" ca="1">_xlfn.XLOOKUP(Contrato5[[#This Row],[SUPERVISOR SUPLENTE ]],[2]!PERSONAL_ACTIVO_2024[[#All],[Nombre completo]],[2]!PERSONAL_ACTIVO_2024[[#All],[Documento identidad]],"",0)</f>
        <v>#NAME?</v>
      </c>
      <c r="Q236" s="208">
        <v>248</v>
      </c>
      <c r="R236" s="137" t="e" cm="1">
        <f t="array" aca="1" ref="R236" ca="1">_xlfn.XLOOKUP(Contrato5[[#This Row],[CDP]],[2]!DISPONIBILIDADES_2024[[#All],[consecutivo]],[2]!DISPONIBILIDADES_2024[[#All],[fecha_aprobacion]],"",0)</f>
        <v>#NAME?</v>
      </c>
      <c r="S236" s="138" t="e">
        <f>SUMIF([2]!DISPONIBILIDADES_2024[[#All],[consecutivo]],Contrato5[[#This Row],[CDP]],[2]!DISPONIBILIDADES_2024[[#All],[valor_total_rubro]])</f>
        <v>#REF!</v>
      </c>
      <c r="T236" s="139" t="e" cm="1">
        <f t="array" aca="1" ref="T236" ca="1">_xlfn.XLOOKUP(Contrato5[[#This Row],[CONTRATO]]&amp;Contrato5[[#This Row],[CDP]],[2]!Corr_Contr_CDP[[#All],[CONTRATO-CDP]],[2]!Corr_Contr_CDP[[#All],[CRP]],_xlfn.XLOOKUP(Contrato5[[#This Row],[CDP]],[2]!COMPROMISOS_2024[[#All],[disponibilidad]],[2]!COMPROMISOS_2024[[#All],[consecutivo]],"",0),0)</f>
        <v>#NAME?</v>
      </c>
      <c r="U236" s="140" t="e" cm="1">
        <f t="array" aca="1" ref="U236" ca="1">+_xlfn.XLOOKUP(Contrato5[[#This Row],[RCP]],[2]!COMPROMISOS_2024[[#All],[consecutivo]],[2]!COMPROMISOS_2024[[#All],[fecha_aprobacion]],"",0)</f>
        <v>#NAME?</v>
      </c>
      <c r="V236" s="141" t="e">
        <f ca="1">SUMIF([2]!COMPROMISOS_2024[[#All],[consecutivo]],Contrato5[[#This Row],[RCP]],[2]!COMPROMISOS_2024[[#All],[valor_total]])</f>
        <v>#REF!</v>
      </c>
      <c r="W236" s="415">
        <v>45363</v>
      </c>
      <c r="X236" s="415">
        <v>45363</v>
      </c>
      <c r="Y236" s="143">
        <v>45364</v>
      </c>
      <c r="Z236" s="262">
        <v>45577</v>
      </c>
      <c r="AA236" s="240" t="s">
        <v>904</v>
      </c>
      <c r="AB236" s="238" t="s">
        <v>618</v>
      </c>
      <c r="AC236" s="161"/>
      <c r="AD236" s="211">
        <v>202000004002</v>
      </c>
      <c r="AE236" s="147" t="s">
        <v>523</v>
      </c>
      <c r="AF236" s="148" t="str">
        <f>TEXT(LEFT(Contrato5[[#This Row],[CONTRATO]],3),"0")</f>
        <v>197</v>
      </c>
      <c r="AG236" s="148" t="str">
        <f>IF(LEN(Contrato5[[#This Row],[Contrato2]])=3,Contrato5[[#This Row],[Contrato2]],TEXT(Contrato5[[#This Row],[Contrato2]],"000"))</f>
        <v>197</v>
      </c>
      <c r="AH236" s="149">
        <f ca="1">IFERROR(_xlfn.DAYS(Contrato5[[#This Row],[Fecha Proyectada liquidación]],TODAY())/30,"")</f>
        <v>-2.0333333333333332</v>
      </c>
      <c r="AI236" s="150">
        <f>+Contrato5[[#This Row],[FECHA TERMINACIÓN ]]+120</f>
        <v>45697</v>
      </c>
      <c r="AJ236" s="147"/>
      <c r="AK236" s="152" t="str">
        <f ca="1">IF(Contrato5[[#This Row],[FECHA TERMINACIÓN ]]&lt;TODAY(), "Terminado",IF(ISNUMBER(Contrato5[[#This Row],[Fecha Real de liquiidación ]]),"Liquidado",IF(Contrato5[[#This Row],[FECHA TERMINACIÓN ]]&gt;=TODAY(),"En ejecución","")))</f>
        <v>Terminado</v>
      </c>
      <c r="AL236" s="153" t="e">
        <f ca="1">SUMIF([2]!COMPROMISOS_2024[[#All],[consecutivo]],Contrato5[[#This Row],[RCP]],[2]!COMPROMISOS_2024[[#All],[Total pagado]])</f>
        <v>#REF!</v>
      </c>
      <c r="AM236" s="154">
        <f ca="1">IFERROR(Contrato5[[#This Row],[Pagos]]/Contrato5[[#This Row],[VALOR CONTRATO]],0)</f>
        <v>0</v>
      </c>
      <c r="AN236" s="198" t="e">
        <f ca="1">+Contrato5[[#This Row],[VALOR CONTRATO]]-Contrato5[[#This Row],[Pagos]]</f>
        <v>#REF!</v>
      </c>
      <c r="AO236" s="147" t="e" cm="1">
        <f t="array" aca="1" ref="AO236" ca="1">_xlfn.XLOOKUP(Contrato5[[#This Row],[DOCUMENTO ]],[2]!PERSONAL_ACTIVO_2024[[#All],[Documento identidad]],[2]!PERSONAL_ACTIVO_2024[[#All],[Mail ]],0,0)</f>
        <v>#NAME?</v>
      </c>
      <c r="AP236" s="147" t="e" cm="1">
        <f t="array" aca="1" ref="AP236" ca="1">_xlfn.XLOOKUP(Contrato5[[#This Row],[DOCUMENTO]],[2]!PERSONAL_ACTIVO_2024[[#All],[Documento identidad]],[2]!PERSONAL_ACTIVO_2024[[#All],[Mail ]],0,0)</f>
        <v>#NAME?</v>
      </c>
      <c r="AQ236" s="439" cm="1">
        <f t="array" aca="1" ref="AQ236" ca="1">IF(ISBLANK(Contrato5[[#This Row],[DEPENDENCIA ]]),0,IFERROR(_xlfn.XLOOKUP(Contrato5[[#This Row],[DEPENDENCIA ]],[2]!PERSONAL_ACTIVO_2024[[#All],[Dependencia]],[2]!PERSONAL_ACTIVO_2024[[#All],[Mail ]],0,0),0))</f>
        <v>0</v>
      </c>
    </row>
    <row r="237" spans="1:43" ht="34.5" customHeight="1">
      <c r="A237" s="147">
        <v>1159</v>
      </c>
      <c r="B237" s="124">
        <v>197</v>
      </c>
      <c r="C237" s="162" t="s">
        <v>2314</v>
      </c>
      <c r="D237" s="227" t="s">
        <v>515</v>
      </c>
      <c r="E237" s="128" t="s">
        <v>2148</v>
      </c>
      <c r="F237" s="163" t="s">
        <v>1376</v>
      </c>
      <c r="G237" s="190" t="s">
        <v>903</v>
      </c>
      <c r="H237" s="447">
        <v>1037977238</v>
      </c>
      <c r="I237" s="455">
        <v>3379853</v>
      </c>
      <c r="J237" s="437">
        <v>10787618</v>
      </c>
      <c r="K237" s="131" t="s">
        <v>2566</v>
      </c>
      <c r="L237" s="438" t="s">
        <v>2462</v>
      </c>
      <c r="M237" s="194" t="s">
        <v>893</v>
      </c>
      <c r="N237" s="195" t="e" cm="1">
        <f t="array" aca="1" ref="N237" ca="1">_xlfn.XLOOKUP(Contrato5[[#This Row],[SUPERVISOR TITULAR]],[2]!PERSONAL_ACTIVO_2024[[#All],[Nombre completo]],[2]!PERSONAL_ACTIVO_2024[[#All],[Documento identidad]],"",0)</f>
        <v>#NAME?</v>
      </c>
      <c r="O237" s="194" t="s">
        <v>894</v>
      </c>
      <c r="P237" s="135" t="e" cm="1">
        <f t="array" aca="1" ref="P237" ca="1">_xlfn.XLOOKUP(Contrato5[[#This Row],[SUPERVISOR SUPLENTE ]],[2]!PERSONAL_ACTIVO_2024[[#All],[Nombre completo]],[2]!PERSONAL_ACTIVO_2024[[#All],[Documento identidad]],"",0)</f>
        <v>#NAME?</v>
      </c>
      <c r="Q237" s="170">
        <v>969</v>
      </c>
      <c r="R237" s="137" t="e" cm="1">
        <f t="array" aca="1" ref="R237" ca="1">_xlfn.XLOOKUP(Contrato5[[#This Row],[CDP]],[2]!DISPONIBILIDADES_2024[[#All],[consecutivo]],[2]!DISPONIBILIDADES_2024[[#All],[fecha_aprobacion]],"",0)</f>
        <v>#NAME?</v>
      </c>
      <c r="S237" s="138" t="e">
        <f>SUMIF([2]!DISPONIBILIDADES_2024[[#All],[consecutivo]],Contrato5[[#This Row],[CDP]],[2]!DISPONIBILIDADES_2024[[#All],[valor_total_rubro]])</f>
        <v>#REF!</v>
      </c>
      <c r="T237" s="139" t="e" cm="1">
        <f t="array" aca="1" ref="T237" ca="1">_xlfn.XLOOKUP(Contrato5[[#This Row],[CONTRATO]]&amp;Contrato5[[#This Row],[CDP]],[2]!Corr_Contr_CDP[[#All],[CONTRATO-CDP]],[2]!Corr_Contr_CDP[[#All],[CRP]],_xlfn.XLOOKUP(Contrato5[[#This Row],[CDP]],[2]!COMPROMISOS_2024[[#All],[disponibilidad]],[2]!COMPROMISOS_2024[[#All],[consecutivo]],"",0),0)</f>
        <v>#NAME?</v>
      </c>
      <c r="U237" s="140" t="e" cm="1">
        <f t="array" aca="1" ref="U237" ca="1">+_xlfn.XLOOKUP(Contrato5[[#This Row],[RCP]],[2]!COMPROMISOS_2024[[#All],[consecutivo]],[2]!COMPROMISOS_2024[[#All],[fecha_aprobacion]],"",0)</f>
        <v>#NAME?</v>
      </c>
      <c r="V237" s="141" t="e">
        <f ca="1">SUMIF([2]!COMPROMISOS_2024[[#All],[consecutivo]],Contrato5[[#This Row],[RCP]],[2]!COMPROMISOS_2024[[#All],[valor_total]])</f>
        <v>#REF!</v>
      </c>
      <c r="W237" s="415">
        <v>45573</v>
      </c>
      <c r="X237" s="415">
        <v>45574</v>
      </c>
      <c r="Y237" s="143">
        <v>45578</v>
      </c>
      <c r="Z237" s="262">
        <v>45656</v>
      </c>
      <c r="AA237" s="215"/>
      <c r="AB237" s="161" t="s">
        <v>2565</v>
      </c>
      <c r="AC237" s="187"/>
      <c r="AD237" s="211"/>
      <c r="AE237" s="147"/>
      <c r="AF237" s="148" t="str">
        <f>TEXT(LEFT(Contrato5[[#This Row],[CONTRATO]],3),"0")</f>
        <v>197</v>
      </c>
      <c r="AG237" s="148" t="str">
        <f>IF(LEN(Contrato5[[#This Row],[Contrato2]])=3,Contrato5[[#This Row],[Contrato2]],TEXT(Contrato5[[#This Row],[Contrato2]],"000"))</f>
        <v>197</v>
      </c>
      <c r="AH237" s="149">
        <f ca="1">IFERROR(_xlfn.DAYS(Contrato5[[#This Row],[Fecha Proyectada liquidación]],TODAY())/30,"")</f>
        <v>0.6</v>
      </c>
      <c r="AI237" s="150">
        <f>+Contrato5[[#This Row],[FECHA TERMINACIÓN ]]+120</f>
        <v>45776</v>
      </c>
      <c r="AJ237" s="147"/>
      <c r="AK237" s="152" t="str">
        <f ca="1">IF(Contrato5[[#This Row],[FECHA TERMINACIÓN ]]&lt;TODAY(), "Terminado",IF(ISNUMBER(Contrato5[[#This Row],[Fecha Real de liquiidación ]]),"Liquidado",IF(Contrato5[[#This Row],[FECHA TERMINACIÓN ]]&gt;=TODAY(),"En ejecución","")))</f>
        <v>Terminado</v>
      </c>
      <c r="AL237" s="153" t="e">
        <f ca="1">SUMIF([2]!COMPROMISOS_2024[[#All],[consecutivo]],Contrato5[[#This Row],[RCP]],[2]!COMPROMISOS_2024[[#All],[Total pagado]])</f>
        <v>#REF!</v>
      </c>
      <c r="AM237" s="154">
        <f ca="1">IFERROR(Contrato5[[#This Row],[Pagos]]/Contrato5[[#This Row],[VALOR CONTRATO]],0)</f>
        <v>0</v>
      </c>
      <c r="AN237" s="198" t="e">
        <f ca="1">+Contrato5[[#This Row],[VALOR CONTRATO]]-Contrato5[[#This Row],[Pagos]]</f>
        <v>#REF!</v>
      </c>
      <c r="AO237" s="147" t="e" cm="1">
        <f t="array" aca="1" ref="AO237" ca="1">_xlfn.XLOOKUP(Contrato5[[#This Row],[DOCUMENTO ]],[2]!PERSONAL_ACTIVO_2024[[#All],[Documento identidad]],[2]!PERSONAL_ACTIVO_2024[[#All],[Mail ]],0,0)</f>
        <v>#NAME?</v>
      </c>
      <c r="AP237" s="147" t="e" cm="1">
        <f t="array" aca="1" ref="AP237" ca="1">_xlfn.XLOOKUP(Contrato5[[#This Row],[DOCUMENTO]],[2]!PERSONAL_ACTIVO_2024[[#All],[Documento identidad]],[2]!PERSONAL_ACTIVO_2024[[#All],[Mail ]],0,0)</f>
        <v>#NAME?</v>
      </c>
      <c r="AQ237" s="439" cm="1">
        <f t="array" aca="1" ref="AQ237" ca="1">IF(ISBLANK(Contrato5[[#This Row],[DEPENDENCIA ]]),0,IFERROR(_xlfn.XLOOKUP(Contrato5[[#This Row],[DEPENDENCIA ]],[2]!PERSONAL_ACTIVO_2024[[#All],[Dependencia]],[2]!PERSONAL_ACTIVO_2024[[#All],[Mail ]],0,0),0))</f>
        <v>0</v>
      </c>
    </row>
    <row r="238" spans="1:43" ht="34.5" customHeight="1">
      <c r="A238" s="125">
        <v>545</v>
      </c>
      <c r="B238" s="124">
        <v>198</v>
      </c>
      <c r="C238" s="162" t="s">
        <v>435</v>
      </c>
      <c r="D238" s="227" t="s">
        <v>515</v>
      </c>
      <c r="E238" s="128" t="s">
        <v>94</v>
      </c>
      <c r="F238" s="163" t="s">
        <v>1376</v>
      </c>
      <c r="G238" s="190" t="s">
        <v>905</v>
      </c>
      <c r="H238" s="447">
        <v>1037976825</v>
      </c>
      <c r="I238" s="455">
        <v>3986061</v>
      </c>
      <c r="J238" s="456">
        <v>38902427</v>
      </c>
      <c r="K238" s="131" t="s">
        <v>892</v>
      </c>
      <c r="L238" s="438" t="s">
        <v>42</v>
      </c>
      <c r="M238" s="194" t="s">
        <v>893</v>
      </c>
      <c r="N238" s="177" t="e" cm="1">
        <f t="array" aca="1" ref="N238" ca="1">_xlfn.XLOOKUP(Contrato5[[#This Row],[SUPERVISOR TITULAR]],[2]!PERSONAL_ACTIVO_2024[[#All],[Nombre completo]],[2]!PERSONAL_ACTIVO_2024[[#All],[Documento identidad]],"",0)</f>
        <v>#NAME?</v>
      </c>
      <c r="O238" s="194" t="s">
        <v>906</v>
      </c>
      <c r="P238" s="196" t="e" cm="1">
        <f t="array" aca="1" ref="P238" ca="1">_xlfn.XLOOKUP(Contrato5[[#This Row],[SUPERVISOR SUPLENTE ]],[2]!PERSONAL_ACTIVO_2024[[#All],[Nombre completo]],[2]!PERSONAL_ACTIVO_2024[[#All],[Documento identidad]],"",0)</f>
        <v>#NAME?</v>
      </c>
      <c r="Q238" s="208">
        <v>250</v>
      </c>
      <c r="R238" s="137" t="e" cm="1">
        <f t="array" aca="1" ref="R238" ca="1">_xlfn.XLOOKUP(Contrato5[[#This Row],[CDP]],[2]!DISPONIBILIDADES_2024[[#All],[consecutivo]],[2]!DISPONIBILIDADES_2024[[#All],[fecha_aprobacion]],"",0)</f>
        <v>#NAME?</v>
      </c>
      <c r="S238" s="138" t="e">
        <f>SUMIF([2]!DISPONIBILIDADES_2024[[#All],[consecutivo]],Contrato5[[#This Row],[CDP]],[2]!DISPONIBILIDADES_2024[[#All],[valor_total_rubro]])</f>
        <v>#REF!</v>
      </c>
      <c r="T238" s="139" t="e" cm="1">
        <f t="array" aca="1" ref="T238" ca="1">_xlfn.XLOOKUP(Contrato5[[#This Row],[CONTRATO]]&amp;Contrato5[[#This Row],[CDP]],[2]!Corr_Contr_CDP[[#All],[CONTRATO-CDP]],[2]!Corr_Contr_CDP[[#All],[CRP]],_xlfn.XLOOKUP(Contrato5[[#This Row],[CDP]],[2]!COMPROMISOS_2024[[#All],[disponibilidad]],[2]!COMPROMISOS_2024[[#All],[consecutivo]],"",0),0)</f>
        <v>#NAME?</v>
      </c>
      <c r="U238" s="140" t="e" cm="1">
        <f t="array" aca="1" ref="U238" ca="1">+_xlfn.XLOOKUP(Contrato5[[#This Row],[RCP]],[2]!COMPROMISOS_2024[[#All],[consecutivo]],[2]!COMPROMISOS_2024[[#All],[fecha_aprobacion]],"",0)</f>
        <v>#NAME?</v>
      </c>
      <c r="V238" s="141" t="e">
        <f ca="1">SUMIF([2]!COMPROMISOS_2024[[#All],[consecutivo]],Contrato5[[#This Row],[RCP]],[2]!COMPROMISOS_2024[[#All],[valor_total]])</f>
        <v>#REF!</v>
      </c>
      <c r="W238" s="415">
        <v>45359</v>
      </c>
      <c r="X238" s="415">
        <v>45363</v>
      </c>
      <c r="Y238" s="143">
        <v>45363</v>
      </c>
      <c r="Z238" s="262">
        <v>45576</v>
      </c>
      <c r="AA238" s="240" t="s">
        <v>907</v>
      </c>
      <c r="AB238" s="238" t="s">
        <v>618</v>
      </c>
      <c r="AC238" s="161"/>
      <c r="AD238" s="211">
        <v>202000004003</v>
      </c>
      <c r="AE238" s="147" t="s">
        <v>523</v>
      </c>
      <c r="AF238" s="148" t="str">
        <f>TEXT(LEFT(Contrato5[[#This Row],[CONTRATO]],3),"0")</f>
        <v>198</v>
      </c>
      <c r="AG238" s="148" t="str">
        <f>IF(LEN(Contrato5[[#This Row],[Contrato2]])=3,Contrato5[[#This Row],[Contrato2]],TEXT(Contrato5[[#This Row],[Contrato2]],"000"))</f>
        <v>198</v>
      </c>
      <c r="AH238" s="149">
        <f ca="1">IFERROR(_xlfn.DAYS(Contrato5[[#This Row],[Fecha Proyectada liquidación]],TODAY())/30,"")</f>
        <v>-2.0666666666666669</v>
      </c>
      <c r="AI238" s="150">
        <f>+Contrato5[[#This Row],[FECHA TERMINACIÓN ]]+120</f>
        <v>45696</v>
      </c>
      <c r="AJ238" s="147"/>
      <c r="AK238" s="152" t="str">
        <f ca="1">IF(Contrato5[[#This Row],[FECHA TERMINACIÓN ]]&lt;TODAY(), "Terminado",IF(ISNUMBER(Contrato5[[#This Row],[Fecha Real de liquiidación ]]),"Liquidado",IF(Contrato5[[#This Row],[FECHA TERMINACIÓN ]]&gt;=TODAY(),"En ejecución","")))</f>
        <v>Terminado</v>
      </c>
      <c r="AL238" s="153" t="e">
        <f ca="1">SUMIF([2]!COMPROMISOS_2024[[#All],[consecutivo]],Contrato5[[#This Row],[RCP]],[2]!COMPROMISOS_2024[[#All],[Total pagado]])</f>
        <v>#REF!</v>
      </c>
      <c r="AM238" s="154">
        <f ca="1">IFERROR(Contrato5[[#This Row],[Pagos]]/Contrato5[[#This Row],[VALOR CONTRATO]],0)</f>
        <v>0</v>
      </c>
      <c r="AN238" s="198" t="e">
        <f ca="1">+Contrato5[[#This Row],[VALOR CONTRATO]]-Contrato5[[#This Row],[Pagos]]</f>
        <v>#REF!</v>
      </c>
      <c r="AO238" s="147" t="e" cm="1">
        <f t="array" aca="1" ref="AO238" ca="1">_xlfn.XLOOKUP(Contrato5[[#This Row],[DOCUMENTO ]],[2]!PERSONAL_ACTIVO_2024[[#All],[Documento identidad]],[2]!PERSONAL_ACTIVO_2024[[#All],[Mail ]],0,0)</f>
        <v>#NAME?</v>
      </c>
      <c r="AP238" s="147" t="e" cm="1">
        <f t="array" aca="1" ref="AP238" ca="1">_xlfn.XLOOKUP(Contrato5[[#This Row],[DOCUMENTO]],[2]!PERSONAL_ACTIVO_2024[[#All],[Documento identidad]],[2]!PERSONAL_ACTIVO_2024[[#All],[Mail ]],0,0)</f>
        <v>#NAME?</v>
      </c>
      <c r="AQ238" s="439" cm="1">
        <f t="array" aca="1" ref="AQ238" ca="1">IF(ISBLANK(Contrato5[[#This Row],[DEPENDENCIA ]]),0,IFERROR(_xlfn.XLOOKUP(Contrato5[[#This Row],[DEPENDENCIA ]],[2]!PERSONAL_ACTIVO_2024[[#All],[Dependencia]],[2]!PERSONAL_ACTIVO_2024[[#All],[Mail ]],0,0),0))</f>
        <v>0</v>
      </c>
    </row>
    <row r="239" spans="1:43" ht="34.5" customHeight="1">
      <c r="A239" s="147">
        <v>1160</v>
      </c>
      <c r="B239" s="124">
        <v>198</v>
      </c>
      <c r="C239" s="162" t="s">
        <v>2315</v>
      </c>
      <c r="D239" s="227" t="s">
        <v>515</v>
      </c>
      <c r="E239" s="128" t="s">
        <v>2148</v>
      </c>
      <c r="F239" s="163" t="s">
        <v>1376</v>
      </c>
      <c r="G239" s="190" t="s">
        <v>905</v>
      </c>
      <c r="H239" s="447">
        <v>1037976825</v>
      </c>
      <c r="I239" s="455">
        <v>3986061</v>
      </c>
      <c r="J239" s="437">
        <v>12496627</v>
      </c>
      <c r="K239" s="131" t="s">
        <v>2566</v>
      </c>
      <c r="L239" s="438" t="s">
        <v>2564</v>
      </c>
      <c r="M239" s="194" t="s">
        <v>893</v>
      </c>
      <c r="N239" s="195" t="e" cm="1">
        <f t="array" aca="1" ref="N239" ca="1">_xlfn.XLOOKUP(Contrato5[[#This Row],[SUPERVISOR TITULAR]],[2]!PERSONAL_ACTIVO_2024[[#All],[Nombre completo]],[2]!PERSONAL_ACTIVO_2024[[#All],[Documento identidad]],"",0)</f>
        <v>#NAME?</v>
      </c>
      <c r="O239" s="194" t="s">
        <v>906</v>
      </c>
      <c r="P239" s="135" t="e" cm="1">
        <f t="array" aca="1" ref="P239" ca="1">_xlfn.XLOOKUP(Contrato5[[#This Row],[SUPERVISOR SUPLENTE ]],[2]!PERSONAL_ACTIVO_2024[[#All],[Nombre completo]],[2]!PERSONAL_ACTIVO_2024[[#All],[Documento identidad]],"",0)</f>
        <v>#NAME?</v>
      </c>
      <c r="Q239" s="170">
        <v>966</v>
      </c>
      <c r="R239" s="137" t="e" cm="1">
        <f t="array" aca="1" ref="R239" ca="1">_xlfn.XLOOKUP(Contrato5[[#This Row],[CDP]],[2]!DISPONIBILIDADES_2024[[#All],[consecutivo]],[2]!DISPONIBILIDADES_2024[[#All],[fecha_aprobacion]],"",0)</f>
        <v>#NAME?</v>
      </c>
      <c r="S239" s="138" t="e">
        <f>SUMIF([2]!DISPONIBILIDADES_2024[[#All],[consecutivo]],Contrato5[[#This Row],[CDP]],[2]!DISPONIBILIDADES_2024[[#All],[valor_total_rubro]])</f>
        <v>#REF!</v>
      </c>
      <c r="T239" s="139" t="e" cm="1">
        <f t="array" aca="1" ref="T239" ca="1">_xlfn.XLOOKUP(Contrato5[[#This Row],[CONTRATO]]&amp;Contrato5[[#This Row],[CDP]],[2]!Corr_Contr_CDP[[#All],[CONTRATO-CDP]],[2]!Corr_Contr_CDP[[#All],[CRP]],_xlfn.XLOOKUP(Contrato5[[#This Row],[CDP]],[2]!COMPROMISOS_2024[[#All],[disponibilidad]],[2]!COMPROMISOS_2024[[#All],[consecutivo]],"",0),0)</f>
        <v>#NAME?</v>
      </c>
      <c r="U239" s="140" t="e" cm="1">
        <f t="array" aca="1" ref="U239" ca="1">+_xlfn.XLOOKUP(Contrato5[[#This Row],[RCP]],[2]!COMPROMISOS_2024[[#All],[consecutivo]],[2]!COMPROMISOS_2024[[#All],[fecha_aprobacion]],"",0)</f>
        <v>#NAME?</v>
      </c>
      <c r="V239" s="141" t="e">
        <f ca="1">SUMIF([2]!COMPROMISOS_2024[[#All],[consecutivo]],Contrato5[[#This Row],[RCP]],[2]!COMPROMISOS_2024[[#All],[valor_total]])</f>
        <v>#REF!</v>
      </c>
      <c r="W239" s="415">
        <v>45576</v>
      </c>
      <c r="X239" s="415">
        <v>45580</v>
      </c>
      <c r="Y239" s="143">
        <v>45577</v>
      </c>
      <c r="Z239" s="262">
        <v>45656</v>
      </c>
      <c r="AA239" s="215"/>
      <c r="AB239" s="161" t="s">
        <v>2565</v>
      </c>
      <c r="AC239" s="187"/>
      <c r="AD239" s="211"/>
      <c r="AE239" s="147"/>
      <c r="AF239" s="148" t="str">
        <f>TEXT(LEFT(Contrato5[[#This Row],[CONTRATO]],3),"0")</f>
        <v>198</v>
      </c>
      <c r="AG239" s="148" t="str">
        <f>IF(LEN(Contrato5[[#This Row],[Contrato2]])=3,Contrato5[[#This Row],[Contrato2]],TEXT(Contrato5[[#This Row],[Contrato2]],"000"))</f>
        <v>198</v>
      </c>
      <c r="AH239" s="149">
        <f ca="1">IFERROR(_xlfn.DAYS(Contrato5[[#This Row],[Fecha Proyectada liquidación]],TODAY())/30,"")</f>
        <v>0.6</v>
      </c>
      <c r="AI239" s="150">
        <f>+Contrato5[[#This Row],[FECHA TERMINACIÓN ]]+120</f>
        <v>45776</v>
      </c>
      <c r="AJ239" s="147"/>
      <c r="AK239" s="152" t="str">
        <f ca="1">IF(Contrato5[[#This Row],[FECHA TERMINACIÓN ]]&lt;TODAY(), "Terminado",IF(ISNUMBER(Contrato5[[#This Row],[Fecha Real de liquiidación ]]),"Liquidado",IF(Contrato5[[#This Row],[FECHA TERMINACIÓN ]]&gt;=TODAY(),"En ejecución","")))</f>
        <v>Terminado</v>
      </c>
      <c r="AL239" s="153" t="e">
        <f ca="1">SUMIF([2]!COMPROMISOS_2024[[#All],[consecutivo]],Contrato5[[#This Row],[RCP]],[2]!COMPROMISOS_2024[[#All],[Total pagado]])</f>
        <v>#REF!</v>
      </c>
      <c r="AM239" s="154">
        <f ca="1">IFERROR(Contrato5[[#This Row],[Pagos]]/Contrato5[[#This Row],[VALOR CONTRATO]],0)</f>
        <v>0</v>
      </c>
      <c r="AN239" s="198" t="e">
        <f ca="1">+Contrato5[[#This Row],[VALOR CONTRATO]]-Contrato5[[#This Row],[Pagos]]</f>
        <v>#REF!</v>
      </c>
      <c r="AO239" s="147" t="e" cm="1">
        <f t="array" aca="1" ref="AO239" ca="1">_xlfn.XLOOKUP(Contrato5[[#This Row],[DOCUMENTO ]],[2]!PERSONAL_ACTIVO_2024[[#All],[Documento identidad]],[2]!PERSONAL_ACTIVO_2024[[#All],[Mail ]],0,0)</f>
        <v>#NAME?</v>
      </c>
      <c r="AP239" s="147" t="e" cm="1">
        <f t="array" aca="1" ref="AP239" ca="1">_xlfn.XLOOKUP(Contrato5[[#This Row],[DOCUMENTO]],[2]!PERSONAL_ACTIVO_2024[[#All],[Documento identidad]],[2]!PERSONAL_ACTIVO_2024[[#All],[Mail ]],0,0)</f>
        <v>#NAME?</v>
      </c>
      <c r="AQ239" s="439" cm="1">
        <f t="array" aca="1" ref="AQ239" ca="1">IF(ISBLANK(Contrato5[[#This Row],[DEPENDENCIA ]]),0,IFERROR(_xlfn.XLOOKUP(Contrato5[[#This Row],[DEPENDENCIA ]],[2]!PERSONAL_ACTIVO_2024[[#All],[Dependencia]],[2]!PERSONAL_ACTIVO_2024[[#All],[Mail ]],0,0),0))</f>
        <v>0</v>
      </c>
    </row>
    <row r="240" spans="1:43" ht="34.5" customHeight="1">
      <c r="A240" s="125" t="s">
        <v>886</v>
      </c>
      <c r="B240" s="124">
        <v>199</v>
      </c>
      <c r="C240" s="162" t="s">
        <v>887</v>
      </c>
      <c r="D240" s="128" t="s">
        <v>42</v>
      </c>
      <c r="E240" s="128" t="s">
        <v>42</v>
      </c>
      <c r="F240" s="163" t="s">
        <v>1376</v>
      </c>
      <c r="G240" s="190">
        <v>0</v>
      </c>
      <c r="H240" s="447">
        <v>0</v>
      </c>
      <c r="I240" s="455">
        <v>0</v>
      </c>
      <c r="J240" s="456">
        <v>0</v>
      </c>
      <c r="K240" s="253">
        <v>0</v>
      </c>
      <c r="L240" s="438">
        <v>0</v>
      </c>
      <c r="M240" s="194"/>
      <c r="N240" s="177" t="e" cm="1">
        <f t="array" aca="1" ref="N240" ca="1">_xlfn.XLOOKUP(Contrato5[[#This Row],[SUPERVISOR TITULAR]],[2]!PERSONAL_ACTIVO_2024[[#All],[Nombre completo]],[2]!PERSONAL_ACTIVO_2024[[#All],[Documento identidad]],"",0)</f>
        <v>#NAME?</v>
      </c>
      <c r="O240" s="194"/>
      <c r="P240" s="196" t="e" cm="1">
        <f t="array" aca="1" ref="P240" ca="1">_xlfn.XLOOKUP(Contrato5[[#This Row],[SUPERVISOR SUPLENTE ]],[2]!PERSONAL_ACTIVO_2024[[#All],[Nombre completo]],[2]!PERSONAL_ACTIVO_2024[[#All],[Documento identidad]],"",0)</f>
        <v>#NAME?</v>
      </c>
      <c r="Q240" s="256">
        <v>0</v>
      </c>
      <c r="R240" s="137" t="e" cm="1">
        <f t="array" aca="1" ref="R240" ca="1">_xlfn.XLOOKUP(Contrato5[[#This Row],[CDP]],[2]!DISPONIBILIDADES_2024[[#All],[consecutivo]],[2]!DISPONIBILIDADES_2024[[#All],[fecha_aprobacion]],"",0)</f>
        <v>#NAME?</v>
      </c>
      <c r="S240" s="138" t="e">
        <f>SUMIF([2]!DISPONIBILIDADES_2024[[#All],[consecutivo]],Contrato5[[#This Row],[CDP]],[2]!DISPONIBILIDADES_2024[[#All],[valor_total_rubro]])</f>
        <v>#REF!</v>
      </c>
      <c r="T240" s="139" t="e" cm="1">
        <f t="array" aca="1" ref="T240" ca="1">_xlfn.XLOOKUP(Contrato5[[#This Row],[CONTRATO]]&amp;Contrato5[[#This Row],[CDP]],[2]!Corr_Contr_CDP[[#All],[CONTRATO-CDP]],[2]!Corr_Contr_CDP[[#All],[CRP]],_xlfn.XLOOKUP(Contrato5[[#This Row],[CDP]],[2]!COMPROMISOS_2024[[#All],[disponibilidad]],[2]!COMPROMISOS_2024[[#All],[consecutivo]],"",0),0)</f>
        <v>#NAME?</v>
      </c>
      <c r="U240" s="140" t="e" cm="1">
        <f t="array" aca="1" ref="U240" ca="1">+_xlfn.XLOOKUP(Contrato5[[#This Row],[RCP]],[2]!COMPROMISOS_2024[[#All],[consecutivo]],[2]!COMPROMISOS_2024[[#All],[fecha_aprobacion]],"",0)</f>
        <v>#NAME?</v>
      </c>
      <c r="V240" s="141" t="e">
        <f ca="1">SUMIF([2]!COMPROMISOS_2024[[#All],[consecutivo]],Contrato5[[#This Row],[RCP]],[2]!COMPROMISOS_2024[[#All],[valor_total]])</f>
        <v>#REF!</v>
      </c>
      <c r="W240" s="415" t="s">
        <v>2563</v>
      </c>
      <c r="X240" s="415" t="s">
        <v>2563</v>
      </c>
      <c r="Y240" s="143" t="s">
        <v>42</v>
      </c>
      <c r="Z240" s="262" t="s">
        <v>42</v>
      </c>
      <c r="AA240" s="257">
        <v>0</v>
      </c>
      <c r="AB240" s="253">
        <v>0</v>
      </c>
      <c r="AC240" s="253">
        <v>0</v>
      </c>
      <c r="AD240" s="253">
        <v>0</v>
      </c>
      <c r="AE240" s="253">
        <v>0</v>
      </c>
      <c r="AF240" s="148" t="str">
        <f>TEXT(LEFT(Contrato5[[#This Row],[CONTRATO]],3),"0")</f>
        <v>199</v>
      </c>
      <c r="AG240" s="148" t="str">
        <f>IF(LEN(Contrato5[[#This Row],[Contrato2]])=3,Contrato5[[#This Row],[Contrato2]],TEXT(Contrato5[[#This Row],[Contrato2]],"000"))</f>
        <v>199</v>
      </c>
      <c r="AH240" s="149" t="str">
        <f ca="1">IFERROR(_xlfn.DAYS(Contrato5[[#This Row],[Fecha Proyectada liquidación]],TODAY())/30,"")</f>
        <v/>
      </c>
      <c r="AI240" s="150" t="e">
        <f>+Contrato5[[#This Row],[FECHA TERMINACIÓN ]]+120</f>
        <v>#VALUE!</v>
      </c>
      <c r="AJ240" s="147"/>
      <c r="AK240" s="152" t="str">
        <f ca="1">IF(Contrato5[[#This Row],[FECHA TERMINACIÓN ]]&lt;TODAY(), "Terminado",IF(ISNUMBER(Contrato5[[#This Row],[Fecha Real de liquiidación ]]),"Liquidado",IF(Contrato5[[#This Row],[FECHA TERMINACIÓN ]]&gt;=TODAY(),"En ejecución","")))</f>
        <v>En ejecución</v>
      </c>
      <c r="AL240" s="153" t="e">
        <f ca="1">SUMIF([2]!COMPROMISOS_2024[[#All],[consecutivo]],Contrato5[[#This Row],[RCP]],[2]!COMPROMISOS_2024[[#All],[Total pagado]])</f>
        <v>#REF!</v>
      </c>
      <c r="AM240" s="154">
        <f ca="1">IFERROR(Contrato5[[#This Row],[Pagos]]/Contrato5[[#This Row],[VALOR CONTRATO]],0)</f>
        <v>0</v>
      </c>
      <c r="AN240" s="198" t="e">
        <f ca="1">+Contrato5[[#This Row],[VALOR CONTRATO]]-Contrato5[[#This Row],[Pagos]]</f>
        <v>#REF!</v>
      </c>
      <c r="AO240" s="147" t="e" cm="1">
        <f t="array" aca="1" ref="AO240" ca="1">_xlfn.XLOOKUP(Contrato5[[#This Row],[DOCUMENTO ]],[2]!PERSONAL_ACTIVO_2024[[#All],[Documento identidad]],[2]!PERSONAL_ACTIVO_2024[[#All],[Mail ]],0,0)</f>
        <v>#NAME?</v>
      </c>
      <c r="AP240" s="147" t="e" cm="1">
        <f t="array" aca="1" ref="AP240" ca="1">_xlfn.XLOOKUP(Contrato5[[#This Row],[DOCUMENTO]],[2]!PERSONAL_ACTIVO_2024[[#All],[Documento identidad]],[2]!PERSONAL_ACTIVO_2024[[#All],[Mail ]],0,0)</f>
        <v>#NAME?</v>
      </c>
      <c r="AQ240" s="439" cm="1">
        <f t="array" aca="1" ref="AQ240" ca="1">IF(ISBLANK(Contrato5[[#This Row],[DEPENDENCIA ]]),0,IFERROR(_xlfn.XLOOKUP(Contrato5[[#This Row],[DEPENDENCIA ]],[2]!PERSONAL_ACTIVO_2024[[#All],[Dependencia]],[2]!PERSONAL_ACTIVO_2024[[#All],[Mail ]],0,0),0))</f>
        <v>0</v>
      </c>
    </row>
    <row r="241" spans="1:43" ht="34.5" customHeight="1">
      <c r="A241" s="125">
        <v>551</v>
      </c>
      <c r="B241" s="124">
        <v>200</v>
      </c>
      <c r="C241" s="162" t="s">
        <v>441</v>
      </c>
      <c r="D241" s="227" t="s">
        <v>515</v>
      </c>
      <c r="E241" s="128" t="s">
        <v>94</v>
      </c>
      <c r="F241" s="163" t="s">
        <v>1376</v>
      </c>
      <c r="G241" s="190" t="s">
        <v>908</v>
      </c>
      <c r="H241" s="447">
        <v>15444940</v>
      </c>
      <c r="I241" s="455">
        <v>3379853</v>
      </c>
      <c r="J241" s="456">
        <v>13639559</v>
      </c>
      <c r="K241" s="131" t="s">
        <v>909</v>
      </c>
      <c r="L241" s="438" t="s">
        <v>42</v>
      </c>
      <c r="M241" s="194" t="s">
        <v>822</v>
      </c>
      <c r="N241" s="177" t="e" cm="1">
        <f t="array" aca="1" ref="N241" ca="1">_xlfn.XLOOKUP(Contrato5[[#This Row],[SUPERVISOR TITULAR]],[2]!PERSONAL_ACTIVO_2024[[#All],[Nombre completo]],[2]!PERSONAL_ACTIVO_2024[[#All],[Documento identidad]],"",0)</f>
        <v>#NAME?</v>
      </c>
      <c r="O241" s="194" t="s">
        <v>910</v>
      </c>
      <c r="P241" s="196" t="e" cm="1">
        <f t="array" aca="1" ref="P241" ca="1">_xlfn.XLOOKUP(Contrato5[[#This Row],[SUPERVISOR SUPLENTE ]],[2]!PERSONAL_ACTIVO_2024[[#All],[Nombre completo]],[2]!PERSONAL_ACTIVO_2024[[#All],[Documento identidad]],"",0)</f>
        <v>#NAME?</v>
      </c>
      <c r="Q241" s="208">
        <v>253</v>
      </c>
      <c r="R241" s="137" t="e" cm="1">
        <f t="array" aca="1" ref="R241" ca="1">_xlfn.XLOOKUP(Contrato5[[#This Row],[CDP]],[2]!DISPONIBILIDADES_2024[[#All],[consecutivo]],[2]!DISPONIBILIDADES_2024[[#All],[fecha_aprobacion]],"",0)</f>
        <v>#NAME?</v>
      </c>
      <c r="S241" s="138" t="e">
        <f>SUMIF([2]!DISPONIBILIDADES_2024[[#All],[consecutivo]],Contrato5[[#This Row],[CDP]],[2]!DISPONIBILIDADES_2024[[#All],[valor_total_rubro]])</f>
        <v>#REF!</v>
      </c>
      <c r="T241" s="139" t="e" cm="1">
        <f t="array" aca="1" ref="T241" ca="1">_xlfn.XLOOKUP(Contrato5[[#This Row],[CONTRATO]]&amp;Contrato5[[#This Row],[CDP]],[2]!Corr_Contr_CDP[[#All],[CONTRATO-CDP]],[2]!Corr_Contr_CDP[[#All],[CRP]],_xlfn.XLOOKUP(Contrato5[[#This Row],[CDP]],[2]!COMPROMISOS_2024[[#All],[disponibilidad]],[2]!COMPROMISOS_2024[[#All],[consecutivo]],"",0),0)</f>
        <v>#NAME?</v>
      </c>
      <c r="U241" s="140" t="e" cm="1">
        <f t="array" aca="1" ref="U241" ca="1">+_xlfn.XLOOKUP(Contrato5[[#This Row],[RCP]],[2]!COMPROMISOS_2024[[#All],[consecutivo]],[2]!COMPROMISOS_2024[[#All],[fecha_aprobacion]],"",0)</f>
        <v>#NAME?</v>
      </c>
      <c r="V241" s="141" t="e">
        <f ca="1">SUMIF([2]!COMPROMISOS_2024[[#All],[consecutivo]],Contrato5[[#This Row],[RCP]],[2]!COMPROMISOS_2024[[#All],[valor_total]])</f>
        <v>#REF!</v>
      </c>
      <c r="W241" s="415">
        <v>45358</v>
      </c>
      <c r="X241" s="415">
        <v>45359</v>
      </c>
      <c r="Y241" s="143">
        <v>45362</v>
      </c>
      <c r="Z241" s="262">
        <v>45450</v>
      </c>
      <c r="AA241" s="237" t="s">
        <v>911</v>
      </c>
      <c r="AB241" s="238" t="s">
        <v>529</v>
      </c>
      <c r="AC241" s="161"/>
      <c r="AD241" s="211">
        <v>202000004004</v>
      </c>
      <c r="AE241" s="147" t="s">
        <v>523</v>
      </c>
      <c r="AF241" s="148" t="str">
        <f>TEXT(LEFT(Contrato5[[#This Row],[CONTRATO]],3),"0")</f>
        <v>200</v>
      </c>
      <c r="AG241" s="148" t="str">
        <f>IF(LEN(Contrato5[[#This Row],[Contrato2]])=3,Contrato5[[#This Row],[Contrato2]],TEXT(Contrato5[[#This Row],[Contrato2]],"000"))</f>
        <v>200</v>
      </c>
      <c r="AH241" s="149">
        <f ca="1">IFERROR(_xlfn.DAYS(Contrato5[[#This Row],[Fecha Proyectada liquidación]],TODAY())/30,"")</f>
        <v>-6.2666666666666666</v>
      </c>
      <c r="AI241" s="150">
        <f>+Contrato5[[#This Row],[FECHA TERMINACIÓN ]]+120</f>
        <v>45570</v>
      </c>
      <c r="AJ241" s="147"/>
      <c r="AK241" s="152" t="str">
        <f ca="1">IF(Contrato5[[#This Row],[FECHA TERMINACIÓN ]]&lt;TODAY(), "Terminado",IF(ISNUMBER(Contrato5[[#This Row],[Fecha Real de liquiidación ]]),"Liquidado",IF(Contrato5[[#This Row],[FECHA TERMINACIÓN ]]&gt;=TODAY(),"En ejecución","")))</f>
        <v>Terminado</v>
      </c>
      <c r="AL241" s="153" t="e">
        <f ca="1">SUMIF([2]!COMPROMISOS_2024[[#All],[consecutivo]],Contrato5[[#This Row],[RCP]],[2]!COMPROMISOS_2024[[#All],[Total pagado]])</f>
        <v>#REF!</v>
      </c>
      <c r="AM241" s="154">
        <f ca="1">IFERROR(Contrato5[[#This Row],[Pagos]]/Contrato5[[#This Row],[VALOR CONTRATO]],0)</f>
        <v>0</v>
      </c>
      <c r="AN241" s="198" t="e">
        <f ca="1">+Contrato5[[#This Row],[VALOR CONTRATO]]-Contrato5[[#This Row],[Pagos]]</f>
        <v>#REF!</v>
      </c>
      <c r="AO241" s="147" t="e" cm="1">
        <f t="array" aca="1" ref="AO241" ca="1">_xlfn.XLOOKUP(Contrato5[[#This Row],[DOCUMENTO ]],[2]!PERSONAL_ACTIVO_2024[[#All],[Documento identidad]],[2]!PERSONAL_ACTIVO_2024[[#All],[Mail ]],0,0)</f>
        <v>#NAME?</v>
      </c>
      <c r="AP241" s="147" t="e" cm="1">
        <f t="array" aca="1" ref="AP241" ca="1">_xlfn.XLOOKUP(Contrato5[[#This Row],[DOCUMENTO]],[2]!PERSONAL_ACTIVO_2024[[#All],[Documento identidad]],[2]!PERSONAL_ACTIVO_2024[[#All],[Mail ]],0,0)</f>
        <v>#NAME?</v>
      </c>
      <c r="AQ241" s="439" cm="1">
        <f t="array" aca="1" ref="AQ241" ca="1">IF(ISBLANK(Contrato5[[#This Row],[DEPENDENCIA ]]),0,IFERROR(_xlfn.XLOOKUP(Contrato5[[#This Row],[DEPENDENCIA ]],[2]!PERSONAL_ACTIVO_2024[[#All],[Dependencia]],[2]!PERSONAL_ACTIVO_2024[[#All],[Mail ]],0,0),0))</f>
        <v>0</v>
      </c>
    </row>
    <row r="242" spans="1:43" ht="34.5" customHeight="1">
      <c r="A242" s="125">
        <v>552</v>
      </c>
      <c r="B242" s="124">
        <v>201</v>
      </c>
      <c r="C242" s="162" t="s">
        <v>442</v>
      </c>
      <c r="D242" s="227" t="s">
        <v>515</v>
      </c>
      <c r="E242" s="128" t="s">
        <v>94</v>
      </c>
      <c r="F242" s="163" t="s">
        <v>1376</v>
      </c>
      <c r="G242" s="190" t="s">
        <v>912</v>
      </c>
      <c r="H242" s="447">
        <v>1036938032</v>
      </c>
      <c r="I242" s="455">
        <v>3379853</v>
      </c>
      <c r="J242" s="456">
        <v>13639559</v>
      </c>
      <c r="K242" s="131" t="s">
        <v>909</v>
      </c>
      <c r="L242" s="438" t="s">
        <v>42</v>
      </c>
      <c r="M242" s="194" t="s">
        <v>822</v>
      </c>
      <c r="N242" s="177" t="e" cm="1">
        <f t="array" aca="1" ref="N242" ca="1">_xlfn.XLOOKUP(Contrato5[[#This Row],[SUPERVISOR TITULAR]],[2]!PERSONAL_ACTIVO_2024[[#All],[Nombre completo]],[2]!PERSONAL_ACTIVO_2024[[#All],[Documento identidad]],"",0)</f>
        <v>#NAME?</v>
      </c>
      <c r="O242" s="194" t="s">
        <v>910</v>
      </c>
      <c r="P242" s="196" t="e" cm="1">
        <f t="array" aca="1" ref="P242" ca="1">_xlfn.XLOOKUP(Contrato5[[#This Row],[SUPERVISOR SUPLENTE ]],[2]!PERSONAL_ACTIVO_2024[[#All],[Nombre completo]],[2]!PERSONAL_ACTIVO_2024[[#All],[Documento identidad]],"",0)</f>
        <v>#NAME?</v>
      </c>
      <c r="Q242" s="208">
        <v>251</v>
      </c>
      <c r="R242" s="137" t="e" cm="1">
        <f t="array" aca="1" ref="R242" ca="1">_xlfn.XLOOKUP(Contrato5[[#This Row],[CDP]],[2]!DISPONIBILIDADES_2024[[#All],[consecutivo]],[2]!DISPONIBILIDADES_2024[[#All],[fecha_aprobacion]],"",0)</f>
        <v>#NAME?</v>
      </c>
      <c r="S242" s="138" t="e">
        <f>SUMIF([2]!DISPONIBILIDADES_2024[[#All],[consecutivo]],Contrato5[[#This Row],[CDP]],[2]!DISPONIBILIDADES_2024[[#All],[valor_total_rubro]])</f>
        <v>#REF!</v>
      </c>
      <c r="T242" s="139" t="e" cm="1">
        <f t="array" aca="1" ref="T242" ca="1">_xlfn.XLOOKUP(Contrato5[[#This Row],[CONTRATO]]&amp;Contrato5[[#This Row],[CDP]],[2]!Corr_Contr_CDP[[#All],[CONTRATO-CDP]],[2]!Corr_Contr_CDP[[#All],[CRP]],_xlfn.XLOOKUP(Contrato5[[#This Row],[CDP]],[2]!COMPROMISOS_2024[[#All],[disponibilidad]],[2]!COMPROMISOS_2024[[#All],[consecutivo]],"",0),0)</f>
        <v>#NAME?</v>
      </c>
      <c r="U242" s="140" t="e" cm="1">
        <f t="array" aca="1" ref="U242" ca="1">+_xlfn.XLOOKUP(Contrato5[[#This Row],[RCP]],[2]!COMPROMISOS_2024[[#All],[consecutivo]],[2]!COMPROMISOS_2024[[#All],[fecha_aprobacion]],"",0)</f>
        <v>#NAME?</v>
      </c>
      <c r="V242" s="141" t="e">
        <f ca="1">SUMIF([2]!COMPROMISOS_2024[[#All],[consecutivo]],Contrato5[[#This Row],[RCP]],[2]!COMPROMISOS_2024[[#All],[valor_total]])</f>
        <v>#REF!</v>
      </c>
      <c r="W242" s="415">
        <v>45358</v>
      </c>
      <c r="X242" s="415">
        <v>45359</v>
      </c>
      <c r="Y242" s="143">
        <v>45362</v>
      </c>
      <c r="Z242" s="262">
        <v>45450</v>
      </c>
      <c r="AA242" s="252" t="s">
        <v>913</v>
      </c>
      <c r="AB242" s="238" t="s">
        <v>529</v>
      </c>
      <c r="AC242" s="161"/>
      <c r="AD242" s="211">
        <v>202000004005</v>
      </c>
      <c r="AE242" s="147" t="s">
        <v>523</v>
      </c>
      <c r="AF242" s="148" t="str">
        <f>TEXT(LEFT(Contrato5[[#This Row],[CONTRATO]],3),"0")</f>
        <v>201</v>
      </c>
      <c r="AG242" s="148" t="str">
        <f>IF(LEN(Contrato5[[#This Row],[Contrato2]])=3,Contrato5[[#This Row],[Contrato2]],TEXT(Contrato5[[#This Row],[Contrato2]],"000"))</f>
        <v>201</v>
      </c>
      <c r="AH242" s="149">
        <f ca="1">IFERROR(_xlfn.DAYS(Contrato5[[#This Row],[Fecha Proyectada liquidación]],TODAY())/30,"")</f>
        <v>-6.2666666666666666</v>
      </c>
      <c r="AI242" s="150">
        <f>+Contrato5[[#This Row],[FECHA TERMINACIÓN ]]+120</f>
        <v>45570</v>
      </c>
      <c r="AJ242" s="147"/>
      <c r="AK242" s="152" t="str">
        <f ca="1">IF(Contrato5[[#This Row],[FECHA TERMINACIÓN ]]&lt;TODAY(), "Terminado",IF(ISNUMBER(Contrato5[[#This Row],[Fecha Real de liquiidación ]]),"Liquidado",IF(Contrato5[[#This Row],[FECHA TERMINACIÓN ]]&gt;=TODAY(),"En ejecución","")))</f>
        <v>Terminado</v>
      </c>
      <c r="AL242" s="153" t="e">
        <f ca="1">SUMIF([2]!COMPROMISOS_2024[[#All],[consecutivo]],Contrato5[[#This Row],[RCP]],[2]!COMPROMISOS_2024[[#All],[Total pagado]])</f>
        <v>#REF!</v>
      </c>
      <c r="AM242" s="154">
        <f ca="1">IFERROR(Contrato5[[#This Row],[Pagos]]/Contrato5[[#This Row],[VALOR CONTRATO]],0)</f>
        <v>0</v>
      </c>
      <c r="AN242" s="198" t="e">
        <f ca="1">+Contrato5[[#This Row],[VALOR CONTRATO]]-Contrato5[[#This Row],[Pagos]]</f>
        <v>#REF!</v>
      </c>
      <c r="AO242" s="147" t="e" cm="1">
        <f t="array" aca="1" ref="AO242" ca="1">_xlfn.XLOOKUP(Contrato5[[#This Row],[DOCUMENTO ]],[2]!PERSONAL_ACTIVO_2024[[#All],[Documento identidad]],[2]!PERSONAL_ACTIVO_2024[[#All],[Mail ]],0,0)</f>
        <v>#NAME?</v>
      </c>
      <c r="AP242" s="147" t="e" cm="1">
        <f t="array" aca="1" ref="AP242" ca="1">_xlfn.XLOOKUP(Contrato5[[#This Row],[DOCUMENTO]],[2]!PERSONAL_ACTIVO_2024[[#All],[Documento identidad]],[2]!PERSONAL_ACTIVO_2024[[#All],[Mail ]],0,0)</f>
        <v>#NAME?</v>
      </c>
      <c r="AQ242" s="439" cm="1">
        <f t="array" aca="1" ref="AQ242" ca="1">IF(ISBLANK(Contrato5[[#This Row],[DEPENDENCIA ]]),0,IFERROR(_xlfn.XLOOKUP(Contrato5[[#This Row],[DEPENDENCIA ]],[2]!PERSONAL_ACTIVO_2024[[#All],[Dependencia]],[2]!PERSONAL_ACTIVO_2024[[#All],[Mail ]],0,0),0))</f>
        <v>0</v>
      </c>
    </row>
    <row r="243" spans="1:43" ht="34.5" customHeight="1">
      <c r="A243" s="125">
        <v>44</v>
      </c>
      <c r="B243" s="124">
        <v>202</v>
      </c>
      <c r="C243" s="162" t="s">
        <v>1465</v>
      </c>
      <c r="D243" s="227" t="s">
        <v>536</v>
      </c>
      <c r="E243" s="128" t="s">
        <v>94</v>
      </c>
      <c r="F243" s="163" t="s">
        <v>1376</v>
      </c>
      <c r="G243" s="190" t="s">
        <v>914</v>
      </c>
      <c r="H243" s="447">
        <v>43625894</v>
      </c>
      <c r="I243" s="455">
        <v>6879081</v>
      </c>
      <c r="J243" s="456">
        <v>41274486</v>
      </c>
      <c r="K243" s="147" t="s">
        <v>42</v>
      </c>
      <c r="L243" s="438" t="s">
        <v>42</v>
      </c>
      <c r="M243" s="194" t="s">
        <v>538</v>
      </c>
      <c r="N243" s="177" t="e" cm="1">
        <f t="array" aca="1" ref="N243" ca="1">_xlfn.XLOOKUP(Contrato5[[#This Row],[SUPERVISOR TITULAR]],[2]!PERSONAL_ACTIVO_2024[[#All],[Nombre completo]],[2]!PERSONAL_ACTIVO_2024[[#All],[Documento identidad]],"",0)</f>
        <v>#NAME?</v>
      </c>
      <c r="O243" s="194" t="s">
        <v>539</v>
      </c>
      <c r="P243" s="196" t="e" cm="1">
        <f t="array" aca="1" ref="P243" ca="1">_xlfn.XLOOKUP(Contrato5[[#This Row],[SUPERVISOR SUPLENTE ]],[2]!PERSONAL_ACTIVO_2024[[#All],[Nombre completo]],[2]!PERSONAL_ACTIVO_2024[[#All],[Documento identidad]],"",0)</f>
        <v>#NAME?</v>
      </c>
      <c r="Q243" s="208">
        <v>281</v>
      </c>
      <c r="R243" s="137" t="e" cm="1">
        <f t="array" aca="1" ref="R243" ca="1">_xlfn.XLOOKUP(Contrato5[[#This Row],[CDP]],[2]!DISPONIBILIDADES_2024[[#All],[consecutivo]],[2]!DISPONIBILIDADES_2024[[#All],[fecha_aprobacion]],"",0)</f>
        <v>#NAME?</v>
      </c>
      <c r="S243" s="138" t="e">
        <f>SUMIF([2]!DISPONIBILIDADES_2024[[#All],[consecutivo]],Contrato5[[#This Row],[CDP]],[2]!DISPONIBILIDADES_2024[[#All],[valor_total_rubro]])</f>
        <v>#REF!</v>
      </c>
      <c r="T243" s="139" t="e" cm="1">
        <f t="array" aca="1" ref="T243" ca="1">_xlfn.XLOOKUP(Contrato5[[#This Row],[CONTRATO]]&amp;Contrato5[[#This Row],[CDP]],[2]!Corr_Contr_CDP[[#All],[CONTRATO-CDP]],[2]!Corr_Contr_CDP[[#All],[CRP]],_xlfn.XLOOKUP(Contrato5[[#This Row],[CDP]],[2]!COMPROMISOS_2024[[#All],[disponibilidad]],[2]!COMPROMISOS_2024[[#All],[consecutivo]],"",0),0)</f>
        <v>#NAME?</v>
      </c>
      <c r="U243" s="140" t="e" cm="1">
        <f t="array" aca="1" ref="U243" ca="1">+_xlfn.XLOOKUP(Contrato5[[#This Row],[RCP]],[2]!COMPROMISOS_2024[[#All],[consecutivo]],[2]!COMPROMISOS_2024[[#All],[fecha_aprobacion]],"",0)</f>
        <v>#NAME?</v>
      </c>
      <c r="V243" s="141" t="e">
        <f ca="1">SUMIF([2]!COMPROMISOS_2024[[#All],[consecutivo]],Contrato5[[#This Row],[RCP]],[2]!COMPROMISOS_2024[[#All],[valor_total]])</f>
        <v>#REF!</v>
      </c>
      <c r="W243" s="415">
        <v>45358</v>
      </c>
      <c r="X243" s="415">
        <v>45362</v>
      </c>
      <c r="Y243" s="143">
        <v>45362</v>
      </c>
      <c r="Z243" s="262">
        <v>45545</v>
      </c>
      <c r="AA243" s="240" t="s">
        <v>915</v>
      </c>
      <c r="AB243" s="238" t="s">
        <v>640</v>
      </c>
      <c r="AC243" s="161"/>
      <c r="AD243" s="211">
        <v>202000004006</v>
      </c>
      <c r="AE243" s="147" t="s">
        <v>523</v>
      </c>
      <c r="AF243" s="148" t="str">
        <f>TEXT(LEFT(Contrato5[[#This Row],[CONTRATO]],3),"0")</f>
        <v>202</v>
      </c>
      <c r="AG243" s="148" t="str">
        <f>IF(LEN(Contrato5[[#This Row],[Contrato2]])=3,Contrato5[[#This Row],[Contrato2]],TEXT(Contrato5[[#This Row],[Contrato2]],"000"))</f>
        <v>202</v>
      </c>
      <c r="AH243" s="149">
        <f ca="1">IFERROR(_xlfn.DAYS(Contrato5[[#This Row],[Fecha Proyectada liquidación]],TODAY())/30,"")</f>
        <v>-3.1</v>
      </c>
      <c r="AI243" s="150">
        <f>+Contrato5[[#This Row],[FECHA TERMINACIÓN ]]+120</f>
        <v>45665</v>
      </c>
      <c r="AJ243" s="147"/>
      <c r="AK243" s="152" t="str">
        <f ca="1">IF(Contrato5[[#This Row],[FECHA TERMINACIÓN ]]&lt;TODAY(), "Terminado",IF(ISNUMBER(Contrato5[[#This Row],[Fecha Real de liquiidación ]]),"Liquidado",IF(Contrato5[[#This Row],[FECHA TERMINACIÓN ]]&gt;=TODAY(),"En ejecución","")))</f>
        <v>Terminado</v>
      </c>
      <c r="AL243" s="153" t="e">
        <f ca="1">SUMIF([2]!COMPROMISOS_2024[[#All],[consecutivo]],Contrato5[[#This Row],[RCP]],[2]!COMPROMISOS_2024[[#All],[Total pagado]])</f>
        <v>#REF!</v>
      </c>
      <c r="AM243" s="154">
        <f ca="1">IFERROR(Contrato5[[#This Row],[Pagos]]/Contrato5[[#This Row],[VALOR CONTRATO]],0)</f>
        <v>0</v>
      </c>
      <c r="AN243" s="198" t="e">
        <f ca="1">+Contrato5[[#This Row],[VALOR CONTRATO]]-Contrato5[[#This Row],[Pagos]]</f>
        <v>#REF!</v>
      </c>
      <c r="AO243" s="147" t="e" cm="1">
        <f t="array" aca="1" ref="AO243" ca="1">_xlfn.XLOOKUP(Contrato5[[#This Row],[DOCUMENTO ]],[2]!PERSONAL_ACTIVO_2024[[#All],[Documento identidad]],[2]!PERSONAL_ACTIVO_2024[[#All],[Mail ]],0,0)</f>
        <v>#NAME?</v>
      </c>
      <c r="AP243" s="147" t="e" cm="1">
        <f t="array" aca="1" ref="AP243" ca="1">_xlfn.XLOOKUP(Contrato5[[#This Row],[DOCUMENTO]],[2]!PERSONAL_ACTIVO_2024[[#All],[Documento identidad]],[2]!PERSONAL_ACTIVO_2024[[#All],[Mail ]],0,0)</f>
        <v>#NAME?</v>
      </c>
      <c r="AQ243" s="439" cm="1">
        <f t="array" aca="1" ref="AQ243" ca="1">IF(ISBLANK(Contrato5[[#This Row],[DEPENDENCIA ]]),0,IFERROR(_xlfn.XLOOKUP(Contrato5[[#This Row],[DEPENDENCIA ]],[2]!PERSONAL_ACTIVO_2024[[#All],[Dependencia]],[2]!PERSONAL_ACTIVO_2024[[#All],[Mail ]],0,0),0))</f>
        <v>0</v>
      </c>
    </row>
    <row r="244" spans="1:43" ht="34.5" customHeight="1">
      <c r="A244" s="125">
        <v>572</v>
      </c>
      <c r="B244" s="124">
        <v>203</v>
      </c>
      <c r="C244" s="162" t="s">
        <v>140</v>
      </c>
      <c r="D244" s="227" t="s">
        <v>493</v>
      </c>
      <c r="E244" s="128" t="s">
        <v>94</v>
      </c>
      <c r="F244" s="163" t="s">
        <v>1376</v>
      </c>
      <c r="G244" s="190" t="s">
        <v>916</v>
      </c>
      <c r="H244" s="447">
        <v>1027884330</v>
      </c>
      <c r="I244" s="455">
        <v>6879081</v>
      </c>
      <c r="J244" s="456">
        <v>41274486</v>
      </c>
      <c r="K244" s="166" t="s">
        <v>42</v>
      </c>
      <c r="L244" s="438" t="s">
        <v>42</v>
      </c>
      <c r="M244" s="194" t="s">
        <v>799</v>
      </c>
      <c r="N244" s="177" t="e" cm="1">
        <f t="array" aca="1" ref="N244" ca="1">_xlfn.XLOOKUP(Contrato5[[#This Row],[SUPERVISOR TITULAR]],[2]!PERSONAL_ACTIVO_2024[[#All],[Nombre completo]],[2]!PERSONAL_ACTIVO_2024[[#All],[Documento identidad]],"",0)</f>
        <v>#NAME?</v>
      </c>
      <c r="O244" s="194" t="s">
        <v>503</v>
      </c>
      <c r="P244" s="196" t="e" cm="1">
        <f t="array" aca="1" ref="P244" ca="1">_xlfn.XLOOKUP(Contrato5[[#This Row],[SUPERVISOR SUPLENTE ]],[2]!PERSONAL_ACTIVO_2024[[#All],[Nombre completo]],[2]!PERSONAL_ACTIVO_2024[[#All],[Documento identidad]],"",0)</f>
        <v>#NAME?</v>
      </c>
      <c r="Q244" s="208">
        <v>256</v>
      </c>
      <c r="R244" s="137" t="e" cm="1">
        <f t="array" aca="1" ref="R244" ca="1">_xlfn.XLOOKUP(Contrato5[[#This Row],[CDP]],[2]!DISPONIBILIDADES_2024[[#All],[consecutivo]],[2]!DISPONIBILIDADES_2024[[#All],[fecha_aprobacion]],"",0)</f>
        <v>#NAME?</v>
      </c>
      <c r="S244" s="138" t="e">
        <f>SUMIF([2]!DISPONIBILIDADES_2024[[#All],[consecutivo]],Contrato5[[#This Row],[CDP]],[2]!DISPONIBILIDADES_2024[[#All],[valor_total_rubro]])</f>
        <v>#REF!</v>
      </c>
      <c r="T244" s="139" t="e" cm="1">
        <f t="array" aca="1" ref="T244" ca="1">_xlfn.XLOOKUP(Contrato5[[#This Row],[CONTRATO]]&amp;Contrato5[[#This Row],[CDP]],[2]!Corr_Contr_CDP[[#All],[CONTRATO-CDP]],[2]!Corr_Contr_CDP[[#All],[CRP]],_xlfn.XLOOKUP(Contrato5[[#This Row],[CDP]],[2]!COMPROMISOS_2024[[#All],[disponibilidad]],[2]!COMPROMISOS_2024[[#All],[consecutivo]],"",0),0)</f>
        <v>#NAME?</v>
      </c>
      <c r="U244" s="140" t="e" cm="1">
        <f t="array" aca="1" ref="U244" ca="1">+_xlfn.XLOOKUP(Contrato5[[#This Row],[RCP]],[2]!COMPROMISOS_2024[[#All],[consecutivo]],[2]!COMPROMISOS_2024[[#All],[fecha_aprobacion]],"",0)</f>
        <v>#NAME?</v>
      </c>
      <c r="V244" s="141" t="e">
        <f ca="1">SUMIF([2]!COMPROMISOS_2024[[#All],[consecutivo]],Contrato5[[#This Row],[RCP]],[2]!COMPROMISOS_2024[[#All],[valor_total]])</f>
        <v>#REF!</v>
      </c>
      <c r="W244" s="415">
        <v>45362</v>
      </c>
      <c r="X244" s="415">
        <v>45362</v>
      </c>
      <c r="Y244" s="143">
        <v>45363</v>
      </c>
      <c r="Z244" s="262">
        <v>45546</v>
      </c>
      <c r="AA244" s="240" t="s">
        <v>917</v>
      </c>
      <c r="AB244" s="238" t="s">
        <v>640</v>
      </c>
      <c r="AC244" s="161"/>
      <c r="AD244" s="211">
        <v>202000004007</v>
      </c>
      <c r="AE244" s="147" t="s">
        <v>523</v>
      </c>
      <c r="AF244" s="148" t="str">
        <f>TEXT(LEFT(Contrato5[[#This Row],[CONTRATO]],3),"0")</f>
        <v>203</v>
      </c>
      <c r="AG244" s="148" t="str">
        <f>IF(LEN(Contrato5[[#This Row],[Contrato2]])=3,Contrato5[[#This Row],[Contrato2]],TEXT(Contrato5[[#This Row],[Contrato2]],"000"))</f>
        <v>203</v>
      </c>
      <c r="AH244" s="149">
        <f ca="1">IFERROR(_xlfn.DAYS(Contrato5[[#This Row],[Fecha Proyectada liquidación]],TODAY())/30,"")</f>
        <v>-3.0666666666666669</v>
      </c>
      <c r="AI244" s="150">
        <f>+Contrato5[[#This Row],[FECHA TERMINACIÓN ]]+120</f>
        <v>45666</v>
      </c>
      <c r="AJ244" s="147"/>
      <c r="AK244" s="152" t="str">
        <f ca="1">IF(Contrato5[[#This Row],[FECHA TERMINACIÓN ]]&lt;TODAY(), "Terminado",IF(ISNUMBER(Contrato5[[#This Row],[Fecha Real de liquiidación ]]),"Liquidado",IF(Contrato5[[#This Row],[FECHA TERMINACIÓN ]]&gt;=TODAY(),"En ejecución","")))</f>
        <v>Terminado</v>
      </c>
      <c r="AL244" s="153" t="e">
        <f ca="1">SUMIF([2]!COMPROMISOS_2024[[#All],[consecutivo]],Contrato5[[#This Row],[RCP]],[2]!COMPROMISOS_2024[[#All],[Total pagado]])</f>
        <v>#REF!</v>
      </c>
      <c r="AM244" s="154">
        <f ca="1">IFERROR(Contrato5[[#This Row],[Pagos]]/Contrato5[[#This Row],[VALOR CONTRATO]],0)</f>
        <v>0</v>
      </c>
      <c r="AN244" s="198" t="e">
        <f ca="1">+Contrato5[[#This Row],[VALOR CONTRATO]]-Contrato5[[#This Row],[Pagos]]</f>
        <v>#REF!</v>
      </c>
      <c r="AO244" s="147" t="e" cm="1">
        <f t="array" aca="1" ref="AO244" ca="1">_xlfn.XLOOKUP(Contrato5[[#This Row],[DOCUMENTO ]],[2]!PERSONAL_ACTIVO_2024[[#All],[Documento identidad]],[2]!PERSONAL_ACTIVO_2024[[#All],[Mail ]],0,0)</f>
        <v>#NAME?</v>
      </c>
      <c r="AP244" s="147" t="e" cm="1">
        <f t="array" aca="1" ref="AP244" ca="1">_xlfn.XLOOKUP(Contrato5[[#This Row],[DOCUMENTO]],[2]!PERSONAL_ACTIVO_2024[[#All],[Documento identidad]],[2]!PERSONAL_ACTIVO_2024[[#All],[Mail ]],0,0)</f>
        <v>#NAME?</v>
      </c>
      <c r="AQ244" s="439" cm="1">
        <f t="array" aca="1" ref="AQ244" ca="1">IF(ISBLANK(Contrato5[[#This Row],[DEPENDENCIA ]]),0,IFERROR(_xlfn.XLOOKUP(Contrato5[[#This Row],[DEPENDENCIA ]],[2]!PERSONAL_ACTIVO_2024[[#All],[Dependencia]],[2]!PERSONAL_ACTIVO_2024[[#All],[Mail ]],0,0),0))</f>
        <v>0</v>
      </c>
    </row>
    <row r="245" spans="1:43" ht="34.5" customHeight="1">
      <c r="A245" s="125">
        <v>548</v>
      </c>
      <c r="B245" s="124">
        <v>204</v>
      </c>
      <c r="C245" s="162" t="s">
        <v>438</v>
      </c>
      <c r="D245" s="227" t="s">
        <v>515</v>
      </c>
      <c r="E245" s="128" t="s">
        <v>94</v>
      </c>
      <c r="F245" s="163" t="s">
        <v>1376</v>
      </c>
      <c r="G245" s="190" t="s">
        <v>918</v>
      </c>
      <c r="H245" s="447">
        <v>70904140</v>
      </c>
      <c r="I245" s="455">
        <v>6879081</v>
      </c>
      <c r="J245" s="456">
        <v>58153567</v>
      </c>
      <c r="K245" s="131" t="s">
        <v>919</v>
      </c>
      <c r="L245" s="438" t="s">
        <v>42</v>
      </c>
      <c r="M245" s="194" t="s">
        <v>519</v>
      </c>
      <c r="N245" s="177" t="e" cm="1">
        <f t="array" aca="1" ref="N245" ca="1">_xlfn.XLOOKUP(Contrato5[[#This Row],[SUPERVISOR TITULAR]],[2]!PERSONAL_ACTIVO_2024[[#All],[Nombre completo]],[2]!PERSONAL_ACTIVO_2024[[#All],[Documento identidad]],"",0)</f>
        <v>#NAME?</v>
      </c>
      <c r="O245" s="194" t="s">
        <v>836</v>
      </c>
      <c r="P245" s="196" t="e" cm="1">
        <f t="array" aca="1" ref="P245" ca="1">_xlfn.XLOOKUP(Contrato5[[#This Row],[SUPERVISOR SUPLENTE ]],[2]!PERSONAL_ACTIVO_2024[[#All],[Nombre completo]],[2]!PERSONAL_ACTIVO_2024[[#All],[Documento identidad]],"",0)</f>
        <v>#NAME?</v>
      </c>
      <c r="Q245" s="208">
        <v>252</v>
      </c>
      <c r="R245" s="137" t="e" cm="1">
        <f t="array" aca="1" ref="R245" ca="1">_xlfn.XLOOKUP(Contrato5[[#This Row],[CDP]],[2]!DISPONIBILIDADES_2024[[#All],[consecutivo]],[2]!DISPONIBILIDADES_2024[[#All],[fecha_aprobacion]],"",0)</f>
        <v>#NAME?</v>
      </c>
      <c r="S245" s="138" t="e">
        <f>SUMIF([2]!DISPONIBILIDADES_2024[[#All],[consecutivo]],Contrato5[[#This Row],[CDP]],[2]!DISPONIBILIDADES_2024[[#All],[valor_total_rubro]])</f>
        <v>#REF!</v>
      </c>
      <c r="T245" s="139" t="e" cm="1">
        <f t="array" aca="1" ref="T245" ca="1">_xlfn.XLOOKUP(Contrato5[[#This Row],[CONTRATO]]&amp;Contrato5[[#This Row],[CDP]],[2]!Corr_Contr_CDP[[#All],[CONTRATO-CDP]],[2]!Corr_Contr_CDP[[#All],[CRP]],_xlfn.XLOOKUP(Contrato5[[#This Row],[CDP]],[2]!COMPROMISOS_2024[[#All],[disponibilidad]],[2]!COMPROMISOS_2024[[#All],[consecutivo]],"",0),0)</f>
        <v>#NAME?</v>
      </c>
      <c r="U245" s="140" t="e" cm="1">
        <f t="array" aca="1" ref="U245" ca="1">+_xlfn.XLOOKUP(Contrato5[[#This Row],[RCP]],[2]!COMPROMISOS_2024[[#All],[consecutivo]],[2]!COMPROMISOS_2024[[#All],[fecha_aprobacion]],"",0)</f>
        <v>#NAME?</v>
      </c>
      <c r="V245" s="141" t="e">
        <f ca="1">SUMIF([2]!COMPROMISOS_2024[[#All],[consecutivo]],Contrato5[[#This Row],[RCP]],[2]!COMPROMISOS_2024[[#All],[valor_total]])</f>
        <v>#REF!</v>
      </c>
      <c r="W245" s="415">
        <v>45366</v>
      </c>
      <c r="X245" s="415">
        <v>45366</v>
      </c>
      <c r="Y245" s="143">
        <v>45369</v>
      </c>
      <c r="Z245" s="262">
        <v>45582</v>
      </c>
      <c r="AA245" s="239" t="s">
        <v>920</v>
      </c>
      <c r="AB245" s="161" t="s">
        <v>618</v>
      </c>
      <c r="AC245" s="161"/>
      <c r="AD245" s="221">
        <v>202000004010</v>
      </c>
      <c r="AE245" s="147" t="s">
        <v>523</v>
      </c>
      <c r="AF245" s="148" t="str">
        <f>TEXT(LEFT(Contrato5[[#This Row],[CONTRATO]],3),"0")</f>
        <v>204</v>
      </c>
      <c r="AG245" s="148" t="str">
        <f>IF(LEN(Contrato5[[#This Row],[Contrato2]])=3,Contrato5[[#This Row],[Contrato2]],TEXT(Contrato5[[#This Row],[Contrato2]],"000"))</f>
        <v>204</v>
      </c>
      <c r="AH245" s="149">
        <f ca="1">IFERROR(_xlfn.DAYS(Contrato5[[#This Row],[Fecha Proyectada liquidación]],TODAY())/30,"")</f>
        <v>-1.8666666666666667</v>
      </c>
      <c r="AI245" s="150">
        <f>+Contrato5[[#This Row],[FECHA TERMINACIÓN ]]+120</f>
        <v>45702</v>
      </c>
      <c r="AJ245" s="147"/>
      <c r="AK245" s="152" t="str">
        <f ca="1">IF(Contrato5[[#This Row],[FECHA TERMINACIÓN ]]&lt;TODAY(), "Terminado",IF(ISNUMBER(Contrato5[[#This Row],[Fecha Real de liquiidación ]]),"Liquidado",IF(Contrato5[[#This Row],[FECHA TERMINACIÓN ]]&gt;=TODAY(),"En ejecución","")))</f>
        <v>Terminado</v>
      </c>
      <c r="AL245" s="153" t="e">
        <f ca="1">SUMIF([2]!COMPROMISOS_2024[[#All],[consecutivo]],Contrato5[[#This Row],[RCP]],[2]!COMPROMISOS_2024[[#All],[Total pagado]])</f>
        <v>#REF!</v>
      </c>
      <c r="AM245" s="154">
        <f ca="1">IFERROR(Contrato5[[#This Row],[Pagos]]/Contrato5[[#This Row],[VALOR CONTRATO]],0)</f>
        <v>0</v>
      </c>
      <c r="AN245" s="198" t="e">
        <f ca="1">+Contrato5[[#This Row],[VALOR CONTRATO]]-Contrato5[[#This Row],[Pagos]]</f>
        <v>#REF!</v>
      </c>
      <c r="AO245" s="147" t="e" cm="1">
        <f t="array" aca="1" ref="AO245" ca="1">_xlfn.XLOOKUP(Contrato5[[#This Row],[DOCUMENTO ]],[2]!PERSONAL_ACTIVO_2024[[#All],[Documento identidad]],[2]!PERSONAL_ACTIVO_2024[[#All],[Mail ]],0,0)</f>
        <v>#NAME?</v>
      </c>
      <c r="AP245" s="147" t="e" cm="1">
        <f t="array" aca="1" ref="AP245" ca="1">_xlfn.XLOOKUP(Contrato5[[#This Row],[DOCUMENTO]],[2]!PERSONAL_ACTIVO_2024[[#All],[Documento identidad]],[2]!PERSONAL_ACTIVO_2024[[#All],[Mail ]],0,0)</f>
        <v>#NAME?</v>
      </c>
      <c r="AQ245" s="439" cm="1">
        <f t="array" aca="1" ref="AQ245" ca="1">IF(ISBLANK(Contrato5[[#This Row],[DEPENDENCIA ]]),0,IFERROR(_xlfn.XLOOKUP(Contrato5[[#This Row],[DEPENDENCIA ]],[2]!PERSONAL_ACTIVO_2024[[#All],[Dependencia]],[2]!PERSONAL_ACTIVO_2024[[#All],[Mail ]],0,0),0))</f>
        <v>0</v>
      </c>
    </row>
    <row r="246" spans="1:43" ht="34.5" customHeight="1">
      <c r="A246" s="125">
        <v>1141</v>
      </c>
      <c r="B246" s="124">
        <v>204</v>
      </c>
      <c r="C246" s="162" t="s">
        <v>2404</v>
      </c>
      <c r="D246" s="227" t="s">
        <v>515</v>
      </c>
      <c r="E246" s="128" t="s">
        <v>2148</v>
      </c>
      <c r="F246" s="163" t="s">
        <v>1376</v>
      </c>
      <c r="G246" s="190" t="s">
        <v>918</v>
      </c>
      <c r="H246" s="447">
        <v>70904140</v>
      </c>
      <c r="I246" s="455">
        <v>6879081</v>
      </c>
      <c r="J246" s="456">
        <v>21739097</v>
      </c>
      <c r="K246" s="131" t="s">
        <v>2569</v>
      </c>
      <c r="L246" s="438" t="s">
        <v>2570</v>
      </c>
      <c r="M246" s="194" t="s">
        <v>519</v>
      </c>
      <c r="N246" s="177" t="e" cm="1">
        <f t="array" aca="1" ref="N246" ca="1">_xlfn.XLOOKUP(Contrato5[[#This Row],[SUPERVISOR TITULAR]],[2]!PERSONAL_ACTIVO_2024[[#All],[Nombre completo]],[2]!PERSONAL_ACTIVO_2024[[#All],[Documento identidad]],"",0)</f>
        <v>#NAME?</v>
      </c>
      <c r="O246" s="194" t="s">
        <v>836</v>
      </c>
      <c r="P246" s="196" t="e" cm="1">
        <f t="array" aca="1" ref="P246" ca="1">_xlfn.XLOOKUP(Contrato5[[#This Row],[SUPERVISOR SUPLENTE ]],[2]!PERSONAL_ACTIVO_2024[[#All],[Nombre completo]],[2]!PERSONAL_ACTIVO_2024[[#All],[Documento identidad]],"",0)</f>
        <v>#NAME?</v>
      </c>
      <c r="Q246" s="208">
        <v>942</v>
      </c>
      <c r="R246" s="137" t="e" cm="1">
        <f t="array" aca="1" ref="R246" ca="1">_xlfn.XLOOKUP(Contrato5[[#This Row],[CDP]],[2]!DISPONIBILIDADES_2024[[#All],[consecutivo]],[2]!DISPONIBILIDADES_2024[[#All],[fecha_aprobacion]],"",0)</f>
        <v>#NAME?</v>
      </c>
      <c r="S246" s="138" t="e">
        <f>SUMIF([2]!DISPONIBILIDADES_2024[[#All],[consecutivo]],Contrato5[[#This Row],[CDP]],[2]!DISPONIBILIDADES_2024[[#All],[valor_total_rubro]])</f>
        <v>#REF!</v>
      </c>
      <c r="T246" s="139" t="e" cm="1">
        <f t="array" aca="1" ref="T246" ca="1">_xlfn.XLOOKUP(Contrato5[[#This Row],[CONTRATO]]&amp;Contrato5[[#This Row],[CDP]],[2]!Corr_Contr_CDP[[#All],[CONTRATO-CDP]],[2]!Corr_Contr_CDP[[#All],[CRP]],_xlfn.XLOOKUP(Contrato5[[#This Row],[CDP]],[2]!COMPROMISOS_2024[[#All],[disponibilidad]],[2]!COMPROMISOS_2024[[#All],[consecutivo]],"",0),0)</f>
        <v>#NAME?</v>
      </c>
      <c r="U246" s="140" t="e" cm="1">
        <f t="array" aca="1" ref="U246" ca="1">+_xlfn.XLOOKUP(Contrato5[[#This Row],[RCP]],[2]!COMPROMISOS_2024[[#All],[consecutivo]],[2]!COMPROMISOS_2024[[#All],[fecha_aprobacion]],"",0)</f>
        <v>#NAME?</v>
      </c>
      <c r="V246" s="141" t="e">
        <f ca="1">SUMIF([2]!COMPROMISOS_2024[[#All],[consecutivo]],Contrato5[[#This Row],[RCP]],[2]!COMPROMISOS_2024[[#All],[valor_total]])</f>
        <v>#REF!</v>
      </c>
      <c r="W246" s="415">
        <v>45581</v>
      </c>
      <c r="X246" s="415">
        <v>45583</v>
      </c>
      <c r="Y246" s="143">
        <v>45583</v>
      </c>
      <c r="Z246" s="262">
        <v>45656</v>
      </c>
      <c r="AA246" s="239"/>
      <c r="AB246" s="161" t="s">
        <v>2571</v>
      </c>
      <c r="AC246" s="161"/>
      <c r="AD246" s="221">
        <v>202000004010</v>
      </c>
      <c r="AE246" s="147" t="s">
        <v>523</v>
      </c>
      <c r="AF246" s="148" t="str">
        <f>TEXT(LEFT(Contrato5[[#This Row],[CONTRATO]],3),"0")</f>
        <v>204</v>
      </c>
      <c r="AG246" s="148" t="str">
        <f>IF(LEN(Contrato5[[#This Row],[Contrato2]])=3,Contrato5[[#This Row],[Contrato2]],TEXT(Contrato5[[#This Row],[Contrato2]],"000"))</f>
        <v>204</v>
      </c>
      <c r="AH246" s="149">
        <f ca="1">IFERROR(_xlfn.DAYS(Contrato5[[#This Row],[Fecha Proyectada liquidación]],TODAY())/30,"")</f>
        <v>0.6</v>
      </c>
      <c r="AI246" s="150">
        <f>+Contrato5[[#This Row],[FECHA TERMINACIÓN ]]+120</f>
        <v>45776</v>
      </c>
      <c r="AJ246" s="147"/>
      <c r="AK246" s="152" t="str">
        <f ca="1">IF(Contrato5[[#This Row],[FECHA TERMINACIÓN ]]&lt;TODAY(), "Terminado",IF(ISNUMBER(Contrato5[[#This Row],[Fecha Real de liquiidación ]]),"Liquidado",IF(Contrato5[[#This Row],[FECHA TERMINACIÓN ]]&gt;=TODAY(),"En ejecución","")))</f>
        <v>Terminado</v>
      </c>
      <c r="AL246" s="153" t="e">
        <f ca="1">SUMIF([2]!COMPROMISOS_2024[[#All],[consecutivo]],Contrato5[[#This Row],[RCP]],[2]!COMPROMISOS_2024[[#All],[Total pagado]])</f>
        <v>#REF!</v>
      </c>
      <c r="AM246" s="154">
        <f ca="1">IFERROR(Contrato5[[#This Row],[Pagos]]/Contrato5[[#This Row],[VALOR CONTRATO]],0)</f>
        <v>0</v>
      </c>
      <c r="AN246" s="198" t="e">
        <f ca="1">+Contrato5[[#This Row],[VALOR CONTRATO]]-Contrato5[[#This Row],[Pagos]]</f>
        <v>#REF!</v>
      </c>
      <c r="AO246" s="147" t="e" cm="1">
        <f t="array" aca="1" ref="AO246" ca="1">_xlfn.XLOOKUP(Contrato5[[#This Row],[DOCUMENTO ]],[2]!PERSONAL_ACTIVO_2024[[#All],[Documento identidad]],[2]!PERSONAL_ACTIVO_2024[[#All],[Mail ]],0,0)</f>
        <v>#NAME?</v>
      </c>
      <c r="AP246" s="147" t="e" cm="1">
        <f t="array" aca="1" ref="AP246" ca="1">_xlfn.XLOOKUP(Contrato5[[#This Row],[DOCUMENTO]],[2]!PERSONAL_ACTIVO_2024[[#All],[Documento identidad]],[2]!PERSONAL_ACTIVO_2024[[#All],[Mail ]],0,0)</f>
        <v>#NAME?</v>
      </c>
      <c r="AQ246" s="439" cm="1">
        <f t="array" aca="1" ref="AQ246" ca="1">IF(ISBLANK(Contrato5[[#This Row],[DEPENDENCIA ]]),0,IFERROR(_xlfn.XLOOKUP(Contrato5[[#This Row],[DEPENDENCIA ]],[2]!PERSONAL_ACTIVO_2024[[#All],[Dependencia]],[2]!PERSONAL_ACTIVO_2024[[#All],[Mail ]],0,0),0))</f>
        <v>0</v>
      </c>
    </row>
    <row r="247" spans="1:43" ht="34.5" customHeight="1">
      <c r="A247" s="125">
        <v>36</v>
      </c>
      <c r="B247" s="124">
        <v>205</v>
      </c>
      <c r="C247" s="162" t="s">
        <v>156</v>
      </c>
      <c r="D247" s="227" t="s">
        <v>493</v>
      </c>
      <c r="E247" s="128" t="s">
        <v>94</v>
      </c>
      <c r="F247" s="163" t="s">
        <v>494</v>
      </c>
      <c r="G247" s="190" t="s">
        <v>921</v>
      </c>
      <c r="H247" s="447">
        <v>860005289</v>
      </c>
      <c r="I247" s="455" t="s">
        <v>344</v>
      </c>
      <c r="J247" s="456">
        <v>70000000</v>
      </c>
      <c r="K247" s="147" t="s">
        <v>344</v>
      </c>
      <c r="L247" s="438" t="s">
        <v>922</v>
      </c>
      <c r="M247" s="194" t="s">
        <v>498</v>
      </c>
      <c r="N247" s="177" t="e" cm="1">
        <f t="array" aca="1" ref="N247" ca="1">_xlfn.XLOOKUP(Contrato5[[#This Row],[SUPERVISOR TITULAR]],[2]!PERSONAL_ACTIVO_2024[[#All],[Nombre completo]],[2]!PERSONAL_ACTIVO_2024[[#All],[Documento identidad]],"",0)</f>
        <v>#NAME?</v>
      </c>
      <c r="O247" s="194" t="s">
        <v>2486</v>
      </c>
      <c r="P247" s="196" t="e" cm="1">
        <f t="array" aca="1" ref="P247" ca="1">_xlfn.XLOOKUP(Contrato5[[#This Row],[SUPERVISOR SUPLENTE ]],[2]!PERSONAL_ACTIVO_2024[[#All],[Nombre completo]],[2]!PERSONAL_ACTIVO_2024[[#All],[Documento identidad]],"",0)</f>
        <v>#NAME?</v>
      </c>
      <c r="Q247" s="208">
        <v>279</v>
      </c>
      <c r="R247" s="137" t="e" cm="1">
        <f t="array" aca="1" ref="R247" ca="1">_xlfn.XLOOKUP(Contrato5[[#This Row],[CDP]],[2]!DISPONIBILIDADES_2024[[#All],[consecutivo]],[2]!DISPONIBILIDADES_2024[[#All],[fecha_aprobacion]],"",0)</f>
        <v>#NAME?</v>
      </c>
      <c r="S247" s="138" t="e">
        <f>SUMIF([2]!DISPONIBILIDADES_2024[[#All],[consecutivo]],Contrato5[[#This Row],[CDP]],[2]!DISPONIBILIDADES_2024[[#All],[valor_total_rubro]])</f>
        <v>#REF!</v>
      </c>
      <c r="T247" s="139" t="e" cm="1">
        <f t="array" aca="1" ref="T247" ca="1">_xlfn.XLOOKUP(Contrato5[[#This Row],[CONTRATO]]&amp;Contrato5[[#This Row],[CDP]],[2]!Corr_Contr_CDP[[#All],[CONTRATO-CDP]],[2]!Corr_Contr_CDP[[#All],[CRP]],_xlfn.XLOOKUP(Contrato5[[#This Row],[CDP]],[2]!COMPROMISOS_2024[[#All],[disponibilidad]],[2]!COMPROMISOS_2024[[#All],[consecutivo]],"",0),0)</f>
        <v>#NAME?</v>
      </c>
      <c r="U247" s="140" t="e" cm="1">
        <f t="array" aca="1" ref="U247" ca="1">+_xlfn.XLOOKUP(Contrato5[[#This Row],[RCP]],[2]!COMPROMISOS_2024[[#All],[consecutivo]],[2]!COMPROMISOS_2024[[#All],[fecha_aprobacion]],"",0)</f>
        <v>#NAME?</v>
      </c>
      <c r="V247" s="141" t="e">
        <f ca="1">SUMIF([2]!COMPROMISOS_2024[[#All],[consecutivo]],Contrato5[[#This Row],[RCP]],[2]!COMPROMISOS_2024[[#All],[valor_total]])</f>
        <v>#REF!</v>
      </c>
      <c r="W247" s="415">
        <v>45363</v>
      </c>
      <c r="X247" s="415">
        <v>45369</v>
      </c>
      <c r="Y247" s="143">
        <v>45369</v>
      </c>
      <c r="Z247" s="262">
        <v>45657</v>
      </c>
      <c r="AA247" s="183" t="s">
        <v>923</v>
      </c>
      <c r="AB247" s="161" t="s">
        <v>861</v>
      </c>
      <c r="AC247" s="161"/>
      <c r="AD247" s="211">
        <v>202000004011</v>
      </c>
      <c r="AE247" s="147" t="s">
        <v>523</v>
      </c>
      <c r="AF247" s="148" t="str">
        <f>TEXT(LEFT(Contrato5[[#This Row],[CONTRATO]],3),"0")</f>
        <v>205</v>
      </c>
      <c r="AG247" s="148" t="str">
        <f>IF(LEN(Contrato5[[#This Row],[Contrato2]])=3,Contrato5[[#This Row],[Contrato2]],TEXT(Contrato5[[#This Row],[Contrato2]],"000"))</f>
        <v>205</v>
      </c>
      <c r="AH247" s="149">
        <f ca="1">IFERROR(_xlfn.DAYS(Contrato5[[#This Row],[Fecha Proyectada liquidación]],TODAY())/30,"")</f>
        <v>0.6333333333333333</v>
      </c>
      <c r="AI247" s="150">
        <f>+Contrato5[[#This Row],[FECHA TERMINACIÓN ]]+120</f>
        <v>45777</v>
      </c>
      <c r="AJ247" s="147"/>
      <c r="AK247" s="152" t="str">
        <f ca="1">IF(Contrato5[[#This Row],[FECHA TERMINACIÓN ]]&lt;TODAY(), "Terminado",IF(ISNUMBER(Contrato5[[#This Row],[Fecha Real de liquiidación ]]),"Liquidado",IF(Contrato5[[#This Row],[FECHA TERMINACIÓN ]]&gt;=TODAY(),"En ejecución","")))</f>
        <v>Terminado</v>
      </c>
      <c r="AL247" s="153" t="e">
        <f ca="1">SUMIF([2]!COMPROMISOS_2024[[#All],[consecutivo]],Contrato5[[#This Row],[RCP]],[2]!COMPROMISOS_2024[[#All],[Total pagado]])</f>
        <v>#REF!</v>
      </c>
      <c r="AM247" s="154">
        <f ca="1">IFERROR(Contrato5[[#This Row],[Pagos]]/Contrato5[[#This Row],[VALOR CONTRATO]],0)</f>
        <v>0</v>
      </c>
      <c r="AN247" s="198" t="e">
        <f ca="1">+Contrato5[[#This Row],[VALOR CONTRATO]]-Contrato5[[#This Row],[Pagos]]</f>
        <v>#REF!</v>
      </c>
      <c r="AO247" s="147" t="e" cm="1">
        <f t="array" aca="1" ref="AO247" ca="1">_xlfn.XLOOKUP(Contrato5[[#This Row],[DOCUMENTO ]],[2]!PERSONAL_ACTIVO_2024[[#All],[Documento identidad]],[2]!PERSONAL_ACTIVO_2024[[#All],[Mail ]],0,0)</f>
        <v>#NAME?</v>
      </c>
      <c r="AP247" s="147" t="e" cm="1">
        <f t="array" aca="1" ref="AP247" ca="1">_xlfn.XLOOKUP(Contrato5[[#This Row],[DOCUMENTO]],[2]!PERSONAL_ACTIVO_2024[[#All],[Documento identidad]],[2]!PERSONAL_ACTIVO_2024[[#All],[Mail ]],0,0)</f>
        <v>#NAME?</v>
      </c>
      <c r="AQ247" s="439" cm="1">
        <f t="array" aca="1" ref="AQ247" ca="1">IF(ISBLANK(Contrato5[[#This Row],[DEPENDENCIA ]]),0,IFERROR(_xlfn.XLOOKUP(Contrato5[[#This Row],[DEPENDENCIA ]],[2]!PERSONAL_ACTIVO_2024[[#All],[Dependencia]],[2]!PERSONAL_ACTIVO_2024[[#All],[Mail ]],0,0),0))</f>
        <v>0</v>
      </c>
    </row>
    <row r="248" spans="1:43" ht="34.5" customHeight="1">
      <c r="A248" s="125">
        <v>580</v>
      </c>
      <c r="B248" s="310">
        <v>206</v>
      </c>
      <c r="C248" s="162" t="s">
        <v>1443</v>
      </c>
      <c r="D248" s="227" t="s">
        <v>623</v>
      </c>
      <c r="E248" s="128" t="s">
        <v>94</v>
      </c>
      <c r="F248" s="163" t="s">
        <v>494</v>
      </c>
      <c r="G248" s="190" t="s">
        <v>924</v>
      </c>
      <c r="H248" s="447">
        <v>811026594</v>
      </c>
      <c r="I248" s="455" t="s">
        <v>42</v>
      </c>
      <c r="J248" s="456">
        <v>10000000</v>
      </c>
      <c r="K248" s="258" t="s">
        <v>42</v>
      </c>
      <c r="L248" s="438" t="s">
        <v>922</v>
      </c>
      <c r="M248" s="194" t="s">
        <v>925</v>
      </c>
      <c r="N248" s="177" t="e" cm="1">
        <f t="array" aca="1" ref="N248" ca="1">_xlfn.XLOOKUP(Contrato5[[#This Row],[SUPERVISOR TITULAR]],[2]!PERSONAL_ACTIVO_2024[[#All],[Nombre completo]],[2]!PERSONAL_ACTIVO_2024[[#All],[Documento identidad]],"",0)</f>
        <v>#NAME?</v>
      </c>
      <c r="O248" s="194"/>
      <c r="P248" s="196" t="e" cm="1">
        <f t="array" aca="1" ref="P248" ca="1">_xlfn.XLOOKUP(Contrato5[[#This Row],[SUPERVISOR SUPLENTE ]],[2]!PERSONAL_ACTIVO_2024[[#All],[Nombre completo]],[2]!PERSONAL_ACTIVO_2024[[#All],[Documento identidad]],"",0)</f>
        <v>#NAME?</v>
      </c>
      <c r="Q248" s="208">
        <v>291</v>
      </c>
      <c r="R248" s="137" t="e" cm="1">
        <f t="array" aca="1" ref="R248" ca="1">_xlfn.XLOOKUP(Contrato5[[#This Row],[CDP]],[2]!DISPONIBILIDADES_2024[[#All],[consecutivo]],[2]!DISPONIBILIDADES_2024[[#All],[fecha_aprobacion]],"",0)</f>
        <v>#NAME?</v>
      </c>
      <c r="S248" s="138" t="e">
        <f>SUMIF([2]!DISPONIBILIDADES_2024[[#All],[consecutivo]],Contrato5[[#This Row],[CDP]],[2]!DISPONIBILIDADES_2024[[#All],[valor_total_rubro]])</f>
        <v>#REF!</v>
      </c>
      <c r="T248" s="139" t="e" cm="1">
        <f t="array" aca="1" ref="T248" ca="1">_xlfn.XLOOKUP(Contrato5[[#This Row],[CONTRATO]]&amp;Contrato5[[#This Row],[CDP]],[2]!Corr_Contr_CDP[[#All],[CONTRATO-CDP]],[2]!Corr_Contr_CDP[[#All],[CRP]],_xlfn.XLOOKUP(Contrato5[[#This Row],[CDP]],[2]!COMPROMISOS_2024[[#All],[disponibilidad]],[2]!COMPROMISOS_2024[[#All],[consecutivo]],"",0),0)</f>
        <v>#NAME?</v>
      </c>
      <c r="U248" s="140" t="e" cm="1">
        <f t="array" aca="1" ref="U248" ca="1">+_xlfn.XLOOKUP(Contrato5[[#This Row],[RCP]],[2]!COMPROMISOS_2024[[#All],[consecutivo]],[2]!COMPROMISOS_2024[[#All],[fecha_aprobacion]],"",0)</f>
        <v>#NAME?</v>
      </c>
      <c r="V248" s="141" t="e">
        <f ca="1">SUMIF([2]!COMPROMISOS_2024[[#All],[consecutivo]],Contrato5[[#This Row],[RCP]],[2]!COMPROMISOS_2024[[#All],[valor_total]])</f>
        <v>#REF!</v>
      </c>
      <c r="W248" s="415">
        <v>45359</v>
      </c>
      <c r="X248" s="415">
        <v>45359</v>
      </c>
      <c r="Y248" s="143">
        <v>45359</v>
      </c>
      <c r="Z248" s="262">
        <v>45412</v>
      </c>
      <c r="AA248" s="240" t="s">
        <v>926</v>
      </c>
      <c r="AB248" s="161" t="s">
        <v>927</v>
      </c>
      <c r="AC248" s="161"/>
      <c r="AD248" s="211">
        <v>202000004012</v>
      </c>
      <c r="AE248" s="147" t="s">
        <v>523</v>
      </c>
      <c r="AF248" s="148" t="str">
        <f>TEXT(LEFT(Contrato5[[#This Row],[CONTRATO]],3),"0")</f>
        <v>206</v>
      </c>
      <c r="AG248" s="148" t="str">
        <f>IF(LEN(Contrato5[[#This Row],[Contrato2]])=3,Contrato5[[#This Row],[Contrato2]],TEXT(Contrato5[[#This Row],[Contrato2]],"000"))</f>
        <v>206</v>
      </c>
      <c r="AH248" s="149">
        <f ca="1">IFERROR(_xlfn.DAYS(Contrato5[[#This Row],[Fecha Proyectada liquidación]],TODAY())/30,"")</f>
        <v>-7.5333333333333332</v>
      </c>
      <c r="AI248" s="150">
        <f>+Contrato5[[#This Row],[FECHA TERMINACIÓN ]]+120</f>
        <v>45532</v>
      </c>
      <c r="AJ248" s="147"/>
      <c r="AK248" s="152" t="str">
        <f ca="1">IF(Contrato5[[#This Row],[FECHA TERMINACIÓN ]]&lt;TODAY(), "Terminado",IF(ISNUMBER(Contrato5[[#This Row],[Fecha Real de liquiidación ]]),"Liquidado",IF(Contrato5[[#This Row],[FECHA TERMINACIÓN ]]&gt;=TODAY(),"En ejecución","")))</f>
        <v>Terminado</v>
      </c>
      <c r="AL248" s="153" t="e">
        <f ca="1">SUMIF([2]!COMPROMISOS_2024[[#All],[consecutivo]],Contrato5[[#This Row],[RCP]],[2]!COMPROMISOS_2024[[#All],[Total pagado]])</f>
        <v>#REF!</v>
      </c>
      <c r="AM248" s="154">
        <f ca="1">IFERROR(Contrato5[[#This Row],[Pagos]]/Contrato5[[#This Row],[VALOR CONTRATO]],0)</f>
        <v>0</v>
      </c>
      <c r="AN248" s="198" t="e">
        <f ca="1">+Contrato5[[#This Row],[VALOR CONTRATO]]-Contrato5[[#This Row],[Pagos]]</f>
        <v>#REF!</v>
      </c>
      <c r="AO248" s="147" t="e" cm="1">
        <f t="array" aca="1" ref="AO248" ca="1">_xlfn.XLOOKUP(Contrato5[[#This Row],[DOCUMENTO ]],[2]!PERSONAL_ACTIVO_2024[[#All],[Documento identidad]],[2]!PERSONAL_ACTIVO_2024[[#All],[Mail ]],0,0)</f>
        <v>#NAME?</v>
      </c>
      <c r="AP248" s="147" t="e" cm="1">
        <f t="array" aca="1" ref="AP248" ca="1">_xlfn.XLOOKUP(Contrato5[[#This Row],[DOCUMENTO]],[2]!PERSONAL_ACTIVO_2024[[#All],[Documento identidad]],[2]!PERSONAL_ACTIVO_2024[[#All],[Mail ]],0,0)</f>
        <v>#NAME?</v>
      </c>
      <c r="AQ248" s="439" cm="1">
        <f t="array" aca="1" ref="AQ248" ca="1">IF(ISBLANK(Contrato5[[#This Row],[DEPENDENCIA ]]),0,IFERROR(_xlfn.XLOOKUP(Contrato5[[#This Row],[DEPENDENCIA ]],[2]!PERSONAL_ACTIVO_2024[[#All],[Dependencia]],[2]!PERSONAL_ACTIVO_2024[[#All],[Mail ]],0,0),0))</f>
        <v>0</v>
      </c>
    </row>
    <row r="249" spans="1:43" ht="34.5" customHeight="1">
      <c r="A249" s="125">
        <v>51</v>
      </c>
      <c r="B249" s="124">
        <v>207</v>
      </c>
      <c r="C249" s="162" t="s">
        <v>1472</v>
      </c>
      <c r="D249" s="227" t="s">
        <v>556</v>
      </c>
      <c r="E249" s="128" t="s">
        <v>94</v>
      </c>
      <c r="F249" s="163" t="s">
        <v>1376</v>
      </c>
      <c r="G249" s="190" t="s">
        <v>928</v>
      </c>
      <c r="H249" s="447">
        <v>1128470360</v>
      </c>
      <c r="I249" s="455">
        <v>7690469</v>
      </c>
      <c r="J249" s="456">
        <v>42810277</v>
      </c>
      <c r="K249" s="166" t="s">
        <v>42</v>
      </c>
      <c r="L249" s="438" t="s">
        <v>42</v>
      </c>
      <c r="M249" s="194" t="s">
        <v>559</v>
      </c>
      <c r="N249" s="177" t="e" cm="1">
        <f t="array" aca="1" ref="N249" ca="1">_xlfn.XLOOKUP(Contrato5[[#This Row],[SUPERVISOR TITULAR]],[2]!PERSONAL_ACTIVO_2024[[#All],[Nombre completo]],[2]!PERSONAL_ACTIVO_2024[[#All],[Documento identidad]],"",0)</f>
        <v>#NAME?</v>
      </c>
      <c r="O249" s="194" t="s">
        <v>2487</v>
      </c>
      <c r="P249" s="196" t="e" cm="1">
        <f t="array" aca="1" ref="P249" ca="1">_xlfn.XLOOKUP(Contrato5[[#This Row],[SUPERVISOR SUPLENTE ]],[2]!PERSONAL_ACTIVO_2024[[#All],[Nombre completo]],[2]!PERSONAL_ACTIVO_2024[[#All],[Documento identidad]],"",0)</f>
        <v>#NAME?</v>
      </c>
      <c r="Q249" s="208">
        <v>255</v>
      </c>
      <c r="R249" s="137" t="e" cm="1">
        <f t="array" aca="1" ref="R249" ca="1">_xlfn.XLOOKUP(Contrato5[[#This Row],[CDP]],[2]!DISPONIBILIDADES_2024[[#All],[consecutivo]],[2]!DISPONIBILIDADES_2024[[#All],[fecha_aprobacion]],"",0)</f>
        <v>#NAME?</v>
      </c>
      <c r="S249" s="138" t="e">
        <f>SUMIF([2]!DISPONIBILIDADES_2024[[#All],[consecutivo]],Contrato5[[#This Row],[CDP]],[2]!DISPONIBILIDADES_2024[[#All],[valor_total_rubro]])</f>
        <v>#REF!</v>
      </c>
      <c r="T249" s="139" t="e" cm="1">
        <f t="array" aca="1" ref="T249" ca="1">_xlfn.XLOOKUP(Contrato5[[#This Row],[CONTRATO]]&amp;Contrato5[[#This Row],[CDP]],[2]!Corr_Contr_CDP[[#All],[CONTRATO-CDP]],[2]!Corr_Contr_CDP[[#All],[CRP]],_xlfn.XLOOKUP(Contrato5[[#This Row],[CDP]],[2]!COMPROMISOS_2024[[#All],[disponibilidad]],[2]!COMPROMISOS_2024[[#All],[consecutivo]],"",0),0)</f>
        <v>#NAME?</v>
      </c>
      <c r="U249" s="140" t="e" cm="1">
        <f t="array" aca="1" ref="U249" ca="1">+_xlfn.XLOOKUP(Contrato5[[#This Row],[RCP]],[2]!COMPROMISOS_2024[[#All],[consecutivo]],[2]!COMPROMISOS_2024[[#All],[fecha_aprobacion]],"",0)</f>
        <v>#NAME?</v>
      </c>
      <c r="V249" s="141" t="e">
        <f ca="1">SUMIF([2]!COMPROMISOS_2024[[#All],[consecutivo]],Contrato5[[#This Row],[RCP]],[2]!COMPROMISOS_2024[[#All],[valor_total]])</f>
        <v>#REF!</v>
      </c>
      <c r="W249" s="415">
        <v>45366</v>
      </c>
      <c r="X249" s="415">
        <v>45369</v>
      </c>
      <c r="Y249" s="143">
        <v>45359</v>
      </c>
      <c r="Z249" s="262">
        <v>45540</v>
      </c>
      <c r="AA249" s="259" t="s">
        <v>929</v>
      </c>
      <c r="AB249" s="260" t="s">
        <v>930</v>
      </c>
      <c r="AC249" s="161"/>
      <c r="AD249" s="211">
        <v>202000004016</v>
      </c>
      <c r="AE249" s="147" t="s">
        <v>523</v>
      </c>
      <c r="AF249" s="148" t="str">
        <f>TEXT(LEFT(Contrato5[[#This Row],[CONTRATO]],3),"0")</f>
        <v>207</v>
      </c>
      <c r="AG249" s="148" t="str">
        <f>IF(LEN(Contrato5[[#This Row],[Contrato2]])=3,Contrato5[[#This Row],[Contrato2]],TEXT(Contrato5[[#This Row],[Contrato2]],"000"))</f>
        <v>207</v>
      </c>
      <c r="AH249" s="149">
        <f ca="1">IFERROR(_xlfn.DAYS(Contrato5[[#This Row],[Fecha Proyectada liquidación]],TODAY())/30,"")</f>
        <v>-3.2666666666666666</v>
      </c>
      <c r="AI249" s="150">
        <f>+Contrato5[[#This Row],[FECHA TERMINACIÓN ]]+120</f>
        <v>45660</v>
      </c>
      <c r="AJ249" s="147"/>
      <c r="AK249" s="152" t="str">
        <f ca="1">IF(Contrato5[[#This Row],[FECHA TERMINACIÓN ]]&lt;TODAY(), "Terminado",IF(ISNUMBER(Contrato5[[#This Row],[Fecha Real de liquiidación ]]),"Liquidado",IF(Contrato5[[#This Row],[FECHA TERMINACIÓN ]]&gt;=TODAY(),"En ejecución","")))</f>
        <v>Terminado</v>
      </c>
      <c r="AL249" s="153" t="e">
        <f ca="1">SUMIF([2]!COMPROMISOS_2024[[#All],[consecutivo]],Contrato5[[#This Row],[RCP]],[2]!COMPROMISOS_2024[[#All],[Total pagado]])</f>
        <v>#REF!</v>
      </c>
      <c r="AM249" s="154">
        <f ca="1">IFERROR(Contrato5[[#This Row],[Pagos]]/Contrato5[[#This Row],[VALOR CONTRATO]],0)</f>
        <v>0</v>
      </c>
      <c r="AN249" s="261" t="e">
        <f ca="1">+Contrato5[[#This Row],[VALOR CONTRATO]]-Contrato5[[#This Row],[Pagos]]</f>
        <v>#REF!</v>
      </c>
      <c r="AO249" s="147" t="e" cm="1">
        <f t="array" aca="1" ref="AO249" ca="1">_xlfn.XLOOKUP(Contrato5[[#This Row],[DOCUMENTO ]],[2]!PERSONAL_ACTIVO_2024[[#All],[Documento identidad]],[2]!PERSONAL_ACTIVO_2024[[#All],[Mail ]],0,0)</f>
        <v>#NAME?</v>
      </c>
      <c r="AP249" s="462" t="s">
        <v>2572</v>
      </c>
      <c r="AQ249" s="439" cm="1">
        <f t="array" aca="1" ref="AQ249" ca="1">IF(ISBLANK(Contrato5[[#This Row],[DEPENDENCIA ]]),0,IFERROR(_xlfn.XLOOKUP(Contrato5[[#This Row],[DEPENDENCIA ]],[2]!PERSONAL_ACTIVO_2024[[#All],[Dependencia]],[2]!PERSONAL_ACTIVO_2024[[#All],[Mail ]],0,0),0))</f>
        <v>0</v>
      </c>
    </row>
    <row r="250" spans="1:43" ht="34.5" customHeight="1">
      <c r="A250" s="125">
        <v>577</v>
      </c>
      <c r="B250" s="124">
        <v>208</v>
      </c>
      <c r="C250" s="162" t="s">
        <v>406</v>
      </c>
      <c r="D250" s="227" t="s">
        <v>515</v>
      </c>
      <c r="E250" s="128" t="s">
        <v>94</v>
      </c>
      <c r="F250" s="163" t="s">
        <v>1376</v>
      </c>
      <c r="G250" s="190" t="s">
        <v>931</v>
      </c>
      <c r="H250" s="447">
        <v>15442707</v>
      </c>
      <c r="I250" s="455">
        <v>6879081</v>
      </c>
      <c r="J250" s="456">
        <v>60153567</v>
      </c>
      <c r="K250" s="131" t="s">
        <v>889</v>
      </c>
      <c r="L250" s="438" t="s">
        <v>42</v>
      </c>
      <c r="M250" s="194" t="s">
        <v>519</v>
      </c>
      <c r="N250" s="177" t="e" cm="1">
        <f t="array" aca="1" ref="N250" ca="1">_xlfn.XLOOKUP(Contrato5[[#This Row],[SUPERVISOR TITULAR]],[2]!PERSONAL_ACTIVO_2024[[#All],[Nombre completo]],[2]!PERSONAL_ACTIVO_2024[[#All],[Documento identidad]],"",0)</f>
        <v>#NAME?</v>
      </c>
      <c r="O250" s="194" t="s">
        <v>910</v>
      </c>
      <c r="P250" s="196" t="e" cm="1">
        <f t="array" aca="1" ref="P250" ca="1">_xlfn.XLOOKUP(Contrato5[[#This Row],[SUPERVISOR SUPLENTE ]],[2]!PERSONAL_ACTIVO_2024[[#All],[Nombre completo]],[2]!PERSONAL_ACTIVO_2024[[#All],[Documento identidad]],"",0)</f>
        <v>#NAME?</v>
      </c>
      <c r="Q250" s="208">
        <v>296</v>
      </c>
      <c r="R250" s="137" t="e" cm="1">
        <f t="array" aca="1" ref="R250" ca="1">_xlfn.XLOOKUP(Contrato5[[#This Row],[CDP]],[2]!DISPONIBILIDADES_2024[[#All],[consecutivo]],[2]!DISPONIBILIDADES_2024[[#All],[fecha_aprobacion]],"",0)</f>
        <v>#NAME?</v>
      </c>
      <c r="S250" s="138" t="e">
        <f>SUMIF([2]!DISPONIBILIDADES_2024[[#All],[consecutivo]],Contrato5[[#This Row],[CDP]],[2]!DISPONIBILIDADES_2024[[#All],[valor_total_rubro]])</f>
        <v>#REF!</v>
      </c>
      <c r="T250" s="139" t="e" cm="1">
        <f t="array" aca="1" ref="T250" ca="1">_xlfn.XLOOKUP(Contrato5[[#This Row],[CONTRATO]]&amp;Contrato5[[#This Row],[CDP]],[2]!Corr_Contr_CDP[[#All],[CONTRATO-CDP]],[2]!Corr_Contr_CDP[[#All],[CRP]],_xlfn.XLOOKUP(Contrato5[[#This Row],[CDP]],[2]!COMPROMISOS_2024[[#All],[disponibilidad]],[2]!COMPROMISOS_2024[[#All],[consecutivo]],"",0),0)</f>
        <v>#NAME?</v>
      </c>
      <c r="U250" s="140" t="e" cm="1">
        <f t="array" aca="1" ref="U250" ca="1">+_xlfn.XLOOKUP(Contrato5[[#This Row],[RCP]],[2]!COMPROMISOS_2024[[#All],[consecutivo]],[2]!COMPROMISOS_2024[[#All],[fecha_aprobacion]],"",0)</f>
        <v>#NAME?</v>
      </c>
      <c r="V250" s="141" t="e">
        <f ca="1">SUMIF([2]!COMPROMISOS_2024[[#All],[consecutivo]],Contrato5[[#This Row],[RCP]],[2]!COMPROMISOS_2024[[#All],[valor_total]])</f>
        <v>#REF!</v>
      </c>
      <c r="W250" s="415">
        <v>45366</v>
      </c>
      <c r="X250" s="415">
        <v>45369</v>
      </c>
      <c r="Y250" s="143">
        <v>45370</v>
      </c>
      <c r="Z250" s="262">
        <v>45579</v>
      </c>
      <c r="AA250" s="219" t="s">
        <v>932</v>
      </c>
      <c r="AB250" s="161" t="s">
        <v>618</v>
      </c>
      <c r="AC250" s="161"/>
      <c r="AD250" s="211">
        <v>202000004021</v>
      </c>
      <c r="AE250" s="147" t="s">
        <v>523</v>
      </c>
      <c r="AF250" s="148" t="str">
        <f>TEXT(LEFT(Contrato5[[#This Row],[CONTRATO]],3),"0")</f>
        <v>208</v>
      </c>
      <c r="AG250" s="148" t="str">
        <f>IF(LEN(Contrato5[[#This Row],[Contrato2]])=3,Contrato5[[#This Row],[Contrato2]],TEXT(Contrato5[[#This Row],[Contrato2]],"000"))</f>
        <v>208</v>
      </c>
      <c r="AH250" s="149">
        <f ca="1">IFERROR(_xlfn.DAYS(Contrato5[[#This Row],[Fecha Proyectada liquidación]],TODAY())/30,"")</f>
        <v>-1.9666666666666666</v>
      </c>
      <c r="AI250" s="150">
        <f>+Contrato5[[#This Row],[FECHA TERMINACIÓN ]]+120</f>
        <v>45699</v>
      </c>
      <c r="AJ250" s="147"/>
      <c r="AK250" s="152" t="str">
        <f ca="1">IF(Contrato5[[#This Row],[FECHA TERMINACIÓN ]]&lt;TODAY(), "Terminado",IF(ISNUMBER(Contrato5[[#This Row],[Fecha Real de liquiidación ]]),"Liquidado",IF(Contrato5[[#This Row],[FECHA TERMINACIÓN ]]&gt;=TODAY(),"En ejecución","")))</f>
        <v>Terminado</v>
      </c>
      <c r="AL250" s="153" t="e">
        <f ca="1">SUMIF([2]!COMPROMISOS_2024[[#All],[consecutivo]],Contrato5[[#This Row],[RCP]],[2]!COMPROMISOS_2024[[#All],[Total pagado]])</f>
        <v>#REF!</v>
      </c>
      <c r="AM250" s="154">
        <f ca="1">IFERROR(Contrato5[[#This Row],[Pagos]]/Contrato5[[#This Row],[VALOR CONTRATO]],0)</f>
        <v>0</v>
      </c>
      <c r="AN250" s="198" t="e">
        <f ca="1">+Contrato5[[#This Row],[VALOR CONTRATO]]-Contrato5[[#This Row],[Pagos]]</f>
        <v>#REF!</v>
      </c>
      <c r="AO250" s="147" t="e" cm="1">
        <f t="array" aca="1" ref="AO250" ca="1">_xlfn.XLOOKUP(Contrato5[[#This Row],[DOCUMENTO ]],[2]!PERSONAL_ACTIVO_2024[[#All],[Documento identidad]],[2]!PERSONAL_ACTIVO_2024[[#All],[Mail ]],0,0)</f>
        <v>#NAME?</v>
      </c>
      <c r="AP250" s="147" t="e" cm="1">
        <f t="array" aca="1" ref="AP250" ca="1">_xlfn.XLOOKUP(Contrato5[[#This Row],[DOCUMENTO]],[2]!PERSONAL_ACTIVO_2024[[#All],[Documento identidad]],[2]!PERSONAL_ACTIVO_2024[[#All],[Mail ]],0,0)</f>
        <v>#NAME?</v>
      </c>
      <c r="AQ250" s="439" cm="1">
        <f t="array" aca="1" ref="AQ250" ca="1">IF(ISBLANK(Contrato5[[#This Row],[DEPENDENCIA ]]),0,IFERROR(_xlfn.XLOOKUP(Contrato5[[#This Row],[DEPENDENCIA ]],[2]!PERSONAL_ACTIVO_2024[[#All],[Dependencia]],[2]!PERSONAL_ACTIVO_2024[[#All],[Mail ]],0,0),0))</f>
        <v>0</v>
      </c>
    </row>
    <row r="251" spans="1:43" ht="34.5" customHeight="1">
      <c r="A251" s="125">
        <v>1140</v>
      </c>
      <c r="B251" s="124">
        <v>208</v>
      </c>
      <c r="C251" s="162" t="s">
        <v>2403</v>
      </c>
      <c r="D251" s="227" t="s">
        <v>515</v>
      </c>
      <c r="E251" s="128" t="s">
        <v>2148</v>
      </c>
      <c r="F251" s="163" t="s">
        <v>1376</v>
      </c>
      <c r="G251" s="190" t="s">
        <v>931</v>
      </c>
      <c r="H251" s="447">
        <v>15442707</v>
      </c>
      <c r="I251" s="455">
        <v>6879081</v>
      </c>
      <c r="J251" s="456">
        <v>25527005</v>
      </c>
      <c r="K251" s="131" t="s">
        <v>889</v>
      </c>
      <c r="L251" s="438" t="s">
        <v>2570</v>
      </c>
      <c r="M251" s="194" t="s">
        <v>519</v>
      </c>
      <c r="N251" s="177" t="e" cm="1">
        <f t="array" aca="1" ref="N251" ca="1">_xlfn.XLOOKUP(Contrato5[[#This Row],[SUPERVISOR TITULAR]],[2]!PERSONAL_ACTIVO_2024[[#All],[Nombre completo]],[2]!PERSONAL_ACTIVO_2024[[#All],[Documento identidad]],"",0)</f>
        <v>#NAME?</v>
      </c>
      <c r="O251" s="194" t="s">
        <v>910</v>
      </c>
      <c r="P251" s="196" t="e" cm="1">
        <f t="array" aca="1" ref="P251" ca="1">_xlfn.XLOOKUP(Contrato5[[#This Row],[SUPERVISOR SUPLENTE ]],[2]!PERSONAL_ACTIVO_2024[[#All],[Nombre completo]],[2]!PERSONAL_ACTIVO_2024[[#All],[Documento identidad]],"",0)</f>
        <v>#NAME?</v>
      </c>
      <c r="Q251" s="208">
        <v>939</v>
      </c>
      <c r="R251" s="137" t="e" cm="1">
        <f t="array" aca="1" ref="R251" ca="1">_xlfn.XLOOKUP(Contrato5[[#This Row],[CDP]],[2]!DISPONIBILIDADES_2024[[#All],[consecutivo]],[2]!DISPONIBILIDADES_2024[[#All],[fecha_aprobacion]],"",0)</f>
        <v>#NAME?</v>
      </c>
      <c r="S251" s="138" t="e">
        <f>SUMIF([2]!DISPONIBILIDADES_2024[[#All],[consecutivo]],Contrato5[[#This Row],[CDP]],[2]!DISPONIBILIDADES_2024[[#All],[valor_total_rubro]])</f>
        <v>#REF!</v>
      </c>
      <c r="T251" s="139" t="e" cm="1">
        <f t="array" aca="1" ref="T251" ca="1">_xlfn.XLOOKUP(Contrato5[[#This Row],[CONTRATO]]&amp;Contrato5[[#This Row],[CDP]],[2]!Corr_Contr_CDP[[#All],[CONTRATO-CDP]],[2]!Corr_Contr_CDP[[#All],[CRP]],_xlfn.XLOOKUP(Contrato5[[#This Row],[CDP]],[2]!COMPROMISOS_2024[[#All],[disponibilidad]],[2]!COMPROMISOS_2024[[#All],[consecutivo]],"",0),0)</f>
        <v>#NAME?</v>
      </c>
      <c r="U251" s="140" t="e" cm="1">
        <f t="array" aca="1" ref="U251" ca="1">+_xlfn.XLOOKUP(Contrato5[[#This Row],[RCP]],[2]!COMPROMISOS_2024[[#All],[consecutivo]],[2]!COMPROMISOS_2024[[#All],[fecha_aprobacion]],"",0)</f>
        <v>#NAME?</v>
      </c>
      <c r="V251" s="141" t="e">
        <f ca="1">SUMIF([2]!COMPROMISOS_2024[[#All],[consecutivo]],Contrato5[[#This Row],[RCP]],[2]!COMPROMISOS_2024[[#All],[valor_total]])</f>
        <v>#REF!</v>
      </c>
      <c r="W251" s="415">
        <v>45576</v>
      </c>
      <c r="X251" s="415">
        <v>45580</v>
      </c>
      <c r="Y251" s="143">
        <v>45580</v>
      </c>
      <c r="Z251" s="262">
        <v>45656</v>
      </c>
      <c r="AA251" s="219"/>
      <c r="AB251" s="161" t="s">
        <v>2573</v>
      </c>
      <c r="AC251" s="161"/>
      <c r="AD251" s="211">
        <v>202000004021</v>
      </c>
      <c r="AE251" s="147" t="s">
        <v>523</v>
      </c>
      <c r="AF251" s="148" t="str">
        <f>TEXT(LEFT(Contrato5[[#This Row],[CONTRATO]],3),"0")</f>
        <v>208</v>
      </c>
      <c r="AG251" s="148" t="str">
        <f>IF(LEN(Contrato5[[#This Row],[Contrato2]])=3,Contrato5[[#This Row],[Contrato2]],TEXT(Contrato5[[#This Row],[Contrato2]],"000"))</f>
        <v>208</v>
      </c>
      <c r="AH251" s="149">
        <f ca="1">IFERROR(_xlfn.DAYS(Contrato5[[#This Row],[Fecha Proyectada liquidación]],TODAY())/30,"")</f>
        <v>0.6</v>
      </c>
      <c r="AI251" s="150">
        <f>+Contrato5[[#This Row],[FECHA TERMINACIÓN ]]+120</f>
        <v>45776</v>
      </c>
      <c r="AJ251" s="147"/>
      <c r="AK251" s="152" t="str">
        <f ca="1">IF(Contrato5[[#This Row],[FECHA TERMINACIÓN ]]&lt;TODAY(), "Terminado",IF(ISNUMBER(Contrato5[[#This Row],[Fecha Real de liquiidación ]]),"Liquidado",IF(Contrato5[[#This Row],[FECHA TERMINACIÓN ]]&gt;=TODAY(),"En ejecución","")))</f>
        <v>Terminado</v>
      </c>
      <c r="AL251" s="153" t="e">
        <f ca="1">SUMIF([2]!COMPROMISOS_2024[[#All],[consecutivo]],Contrato5[[#This Row],[RCP]],[2]!COMPROMISOS_2024[[#All],[Total pagado]])</f>
        <v>#REF!</v>
      </c>
      <c r="AM251" s="154">
        <f ca="1">IFERROR(Contrato5[[#This Row],[Pagos]]/Contrato5[[#This Row],[VALOR CONTRATO]],0)</f>
        <v>0</v>
      </c>
      <c r="AN251" s="198" t="e">
        <f ca="1">+Contrato5[[#This Row],[VALOR CONTRATO]]-Contrato5[[#This Row],[Pagos]]</f>
        <v>#REF!</v>
      </c>
      <c r="AO251" s="147" t="e" cm="1">
        <f t="array" aca="1" ref="AO251" ca="1">_xlfn.XLOOKUP(Contrato5[[#This Row],[DOCUMENTO ]],[2]!PERSONAL_ACTIVO_2024[[#All],[Documento identidad]],[2]!PERSONAL_ACTIVO_2024[[#All],[Mail ]],0,0)</f>
        <v>#NAME?</v>
      </c>
      <c r="AP251" s="147" t="e" cm="1">
        <f t="array" aca="1" ref="AP251" ca="1">_xlfn.XLOOKUP(Contrato5[[#This Row],[DOCUMENTO]],[2]!PERSONAL_ACTIVO_2024[[#All],[Documento identidad]],[2]!PERSONAL_ACTIVO_2024[[#All],[Mail ]],0,0)</f>
        <v>#NAME?</v>
      </c>
      <c r="AQ251" s="439" cm="1">
        <f t="array" aca="1" ref="AQ251" ca="1">IF(ISBLANK(Contrato5[[#This Row],[DEPENDENCIA ]]),0,IFERROR(_xlfn.XLOOKUP(Contrato5[[#This Row],[DEPENDENCIA ]],[2]!PERSONAL_ACTIVO_2024[[#All],[Dependencia]],[2]!PERSONAL_ACTIVO_2024[[#All],[Mail ]],0,0),0))</f>
        <v>0</v>
      </c>
    </row>
    <row r="252" spans="1:43" ht="34.5" customHeight="1">
      <c r="A252" s="125">
        <v>334</v>
      </c>
      <c r="B252" s="124">
        <v>209</v>
      </c>
      <c r="C252" s="162" t="s">
        <v>2574</v>
      </c>
      <c r="D252" s="227" t="s">
        <v>556</v>
      </c>
      <c r="E252" s="128" t="s">
        <v>113</v>
      </c>
      <c r="F252" s="163" t="s">
        <v>191</v>
      </c>
      <c r="G252" s="190" t="s">
        <v>933</v>
      </c>
      <c r="H252" s="447">
        <v>830122983</v>
      </c>
      <c r="I252" s="455" t="s">
        <v>42</v>
      </c>
      <c r="J252" s="456">
        <v>10911926</v>
      </c>
      <c r="K252" s="147" t="s">
        <v>42</v>
      </c>
      <c r="L252" s="438" t="s">
        <v>934</v>
      </c>
      <c r="M252" s="194" t="s">
        <v>560</v>
      </c>
      <c r="N252" s="177" t="e" cm="1">
        <f t="array" aca="1" ref="N252" ca="1">_xlfn.XLOOKUP(Contrato5[[#This Row],[SUPERVISOR TITULAR]],[2]!PERSONAL_ACTIVO_2024[[#All],[Nombre completo]],[2]!PERSONAL_ACTIVO_2024[[#All],[Documento identidad]],"",0)</f>
        <v>#NAME?</v>
      </c>
      <c r="O252" s="194" t="s">
        <v>828</v>
      </c>
      <c r="P252" s="196" t="e" cm="1">
        <f t="array" aca="1" ref="P252" ca="1">_xlfn.XLOOKUP(Contrato5[[#This Row],[SUPERVISOR SUPLENTE ]],[2]!PERSONAL_ACTIVO_2024[[#All],[Nombre completo]],[2]!PERSONAL_ACTIVO_2024[[#All],[Documento identidad]],"",0)</f>
        <v>#NAME?</v>
      </c>
      <c r="Q252" s="208">
        <v>245</v>
      </c>
      <c r="R252" s="137" t="e" cm="1">
        <f t="array" aca="1" ref="R252" ca="1">_xlfn.XLOOKUP(Contrato5[[#This Row],[CDP]],[2]!DISPONIBILIDADES_2024[[#All],[consecutivo]],[2]!DISPONIBILIDADES_2024[[#All],[fecha_aprobacion]],"",0)</f>
        <v>#NAME?</v>
      </c>
      <c r="S252" s="138" t="e">
        <f>SUMIF([2]!DISPONIBILIDADES_2024[[#All],[consecutivo]],Contrato5[[#This Row],[CDP]],[2]!DISPONIBILIDADES_2024[[#All],[valor_total_rubro]])</f>
        <v>#REF!</v>
      </c>
      <c r="T252" s="139" t="e" cm="1">
        <f t="array" aca="1" ref="T252" ca="1">_xlfn.XLOOKUP(Contrato5[[#This Row],[CONTRATO]]&amp;Contrato5[[#This Row],[CDP]],[2]!Corr_Contr_CDP[[#All],[CONTRATO-CDP]],[2]!Corr_Contr_CDP[[#All],[CRP]],_xlfn.XLOOKUP(Contrato5[[#This Row],[CDP]],[2]!COMPROMISOS_2024[[#All],[disponibilidad]],[2]!COMPROMISOS_2024[[#All],[consecutivo]],"",0),0)</f>
        <v>#NAME?</v>
      </c>
      <c r="U252" s="140" t="e" cm="1">
        <f t="array" aca="1" ref="U252" ca="1">+_xlfn.XLOOKUP(Contrato5[[#This Row],[RCP]],[2]!COMPROMISOS_2024[[#All],[consecutivo]],[2]!COMPROMISOS_2024[[#All],[fecha_aprobacion]],"",0)</f>
        <v>#NAME?</v>
      </c>
      <c r="V252" s="141" t="e">
        <f ca="1">SUMIF([2]!COMPROMISOS_2024[[#All],[consecutivo]],Contrato5[[#This Row],[RCP]],[2]!COMPROMISOS_2024[[#All],[valor_total]])</f>
        <v>#REF!</v>
      </c>
      <c r="W252" s="415">
        <v>45362</v>
      </c>
      <c r="X252" s="415">
        <v>45363</v>
      </c>
      <c r="Y252" s="143">
        <v>45365</v>
      </c>
      <c r="Z252" s="262">
        <v>45391</v>
      </c>
      <c r="AA252" s="171" t="s">
        <v>935</v>
      </c>
      <c r="AB252" s="161" t="s">
        <v>936</v>
      </c>
      <c r="AC252" s="161"/>
      <c r="AD252" s="211">
        <v>202000004022</v>
      </c>
      <c r="AE252" s="147" t="s">
        <v>523</v>
      </c>
      <c r="AF252" s="148" t="str">
        <f>TEXT(LEFT(Contrato5[[#This Row],[CONTRATO]],3),"0")</f>
        <v>209</v>
      </c>
      <c r="AG252" s="148" t="str">
        <f>IF(LEN(Contrato5[[#This Row],[Contrato2]])=3,Contrato5[[#This Row],[Contrato2]],TEXT(Contrato5[[#This Row],[Contrato2]],"000"))</f>
        <v>209</v>
      </c>
      <c r="AH252" s="149">
        <f ca="1">IFERROR(_xlfn.DAYS(Contrato5[[#This Row],[Fecha Proyectada liquidación]],TODAY())/30,"")</f>
        <v>-8.2333333333333325</v>
      </c>
      <c r="AI252" s="150">
        <f>+Contrato5[[#This Row],[FECHA TERMINACIÓN ]]+120</f>
        <v>45511</v>
      </c>
      <c r="AJ252" s="147"/>
      <c r="AK252" s="152" t="str">
        <f ca="1">IF(Contrato5[[#This Row],[FECHA TERMINACIÓN ]]&lt;TODAY(), "Terminado",IF(ISNUMBER(Contrato5[[#This Row],[Fecha Real de liquiidación ]]),"Liquidado",IF(Contrato5[[#This Row],[FECHA TERMINACIÓN ]]&gt;=TODAY(),"En ejecución","")))</f>
        <v>Terminado</v>
      </c>
      <c r="AL252" s="153" t="e">
        <f ca="1">SUMIF([2]!COMPROMISOS_2024[[#All],[consecutivo]],Contrato5[[#This Row],[RCP]],[2]!COMPROMISOS_2024[[#All],[Total pagado]])</f>
        <v>#REF!</v>
      </c>
      <c r="AM252" s="154">
        <f ca="1">IFERROR(Contrato5[[#This Row],[Pagos]]/Contrato5[[#This Row],[VALOR CONTRATO]],0)</f>
        <v>0</v>
      </c>
      <c r="AN252" s="198" t="e">
        <f ca="1">+Contrato5[[#This Row],[VALOR CONTRATO]]-Contrato5[[#This Row],[Pagos]]</f>
        <v>#REF!</v>
      </c>
      <c r="AO252" s="147" t="e" cm="1">
        <f t="array" aca="1" ref="AO252" ca="1">_xlfn.XLOOKUP(Contrato5[[#This Row],[DOCUMENTO ]],[2]!PERSONAL_ACTIVO_2024[[#All],[Documento identidad]],[2]!PERSONAL_ACTIVO_2024[[#All],[Mail ]],0,0)</f>
        <v>#NAME?</v>
      </c>
      <c r="AP252" s="147" t="e" cm="1">
        <f t="array" aca="1" ref="AP252" ca="1">_xlfn.XLOOKUP(Contrato5[[#This Row],[DOCUMENTO]],[2]!PERSONAL_ACTIVO_2024[[#All],[Documento identidad]],[2]!PERSONAL_ACTIVO_2024[[#All],[Mail ]],0,0)</f>
        <v>#NAME?</v>
      </c>
      <c r="AQ252" s="439" cm="1">
        <f t="array" aca="1" ref="AQ252" ca="1">IF(ISBLANK(Contrato5[[#This Row],[DEPENDENCIA ]]),0,IFERROR(_xlfn.XLOOKUP(Contrato5[[#This Row],[DEPENDENCIA ]],[2]!PERSONAL_ACTIVO_2024[[#All],[Dependencia]],[2]!PERSONAL_ACTIVO_2024[[#All],[Mail ]],0,0),0))</f>
        <v>0</v>
      </c>
    </row>
    <row r="253" spans="1:43" ht="34.5" customHeight="1">
      <c r="A253" s="125">
        <v>554</v>
      </c>
      <c r="B253" s="124">
        <v>210</v>
      </c>
      <c r="C253" s="162" t="s">
        <v>1699</v>
      </c>
      <c r="D253" s="227" t="s">
        <v>583</v>
      </c>
      <c r="E253" s="128" t="s">
        <v>94</v>
      </c>
      <c r="F253" s="163" t="s">
        <v>1376</v>
      </c>
      <c r="G253" s="190" t="s">
        <v>937</v>
      </c>
      <c r="H253" s="447">
        <v>1036955178</v>
      </c>
      <c r="I253" s="455">
        <v>4908936</v>
      </c>
      <c r="J253" s="456">
        <v>29453616</v>
      </c>
      <c r="K253" s="166" t="s">
        <v>42</v>
      </c>
      <c r="L253" s="438" t="s">
        <v>42</v>
      </c>
      <c r="M253" s="194" t="s">
        <v>586</v>
      </c>
      <c r="N253" s="177" t="e" cm="1">
        <f t="array" aca="1" ref="N253" ca="1">_xlfn.XLOOKUP(Contrato5[[#This Row],[SUPERVISOR TITULAR]],[2]!PERSONAL_ACTIVO_2024[[#All],[Nombre completo]],[2]!PERSONAL_ACTIVO_2024[[#All],[Documento identidad]],"",0)</f>
        <v>#NAME?</v>
      </c>
      <c r="O253" s="194" t="s">
        <v>589</v>
      </c>
      <c r="P253" s="196" t="e" cm="1">
        <f t="array" aca="1" ref="P253" ca="1">_xlfn.XLOOKUP(Contrato5[[#This Row],[SUPERVISOR SUPLENTE ]],[2]!PERSONAL_ACTIVO_2024[[#All],[Nombre completo]],[2]!PERSONAL_ACTIVO_2024[[#All],[Documento identidad]],"",0)</f>
        <v>#NAME?</v>
      </c>
      <c r="Q253" s="208">
        <v>260</v>
      </c>
      <c r="R253" s="137" t="e" cm="1">
        <f t="array" aca="1" ref="R253" ca="1">_xlfn.XLOOKUP(Contrato5[[#This Row],[CDP]],[2]!DISPONIBILIDADES_2024[[#All],[consecutivo]],[2]!DISPONIBILIDADES_2024[[#All],[fecha_aprobacion]],"",0)</f>
        <v>#NAME?</v>
      </c>
      <c r="S253" s="138" t="e">
        <f>SUMIF([2]!DISPONIBILIDADES_2024[[#All],[consecutivo]],Contrato5[[#This Row],[CDP]],[2]!DISPONIBILIDADES_2024[[#All],[valor_total_rubro]])</f>
        <v>#REF!</v>
      </c>
      <c r="T253" s="139" t="e" cm="1">
        <f t="array" aca="1" ref="T253" ca="1">_xlfn.XLOOKUP(Contrato5[[#This Row],[CONTRATO]]&amp;Contrato5[[#This Row],[CDP]],[2]!Corr_Contr_CDP[[#All],[CONTRATO-CDP]],[2]!Corr_Contr_CDP[[#All],[CRP]],_xlfn.XLOOKUP(Contrato5[[#This Row],[CDP]],[2]!COMPROMISOS_2024[[#All],[disponibilidad]],[2]!COMPROMISOS_2024[[#All],[consecutivo]],"",0),0)</f>
        <v>#NAME?</v>
      </c>
      <c r="U253" s="140" t="e" cm="1">
        <f t="array" aca="1" ref="U253" ca="1">+_xlfn.XLOOKUP(Contrato5[[#This Row],[RCP]],[2]!COMPROMISOS_2024[[#All],[consecutivo]],[2]!COMPROMISOS_2024[[#All],[fecha_aprobacion]],"",0)</f>
        <v>#NAME?</v>
      </c>
      <c r="V253" s="141" t="e">
        <f ca="1">SUMIF([2]!COMPROMISOS_2024[[#All],[consecutivo]],Contrato5[[#This Row],[RCP]],[2]!COMPROMISOS_2024[[#All],[valor_total]])</f>
        <v>#REF!</v>
      </c>
      <c r="W253" s="415">
        <v>45365</v>
      </c>
      <c r="X253" s="415">
        <v>45366</v>
      </c>
      <c r="Y253" s="143">
        <v>45366</v>
      </c>
      <c r="Z253" s="262">
        <v>45549</v>
      </c>
      <c r="AA253" s="183" t="s">
        <v>938</v>
      </c>
      <c r="AB253" s="161" t="s">
        <v>640</v>
      </c>
      <c r="AC253" s="161"/>
      <c r="AD253" s="211">
        <v>202000004024</v>
      </c>
      <c r="AE253" s="147" t="s">
        <v>523</v>
      </c>
      <c r="AF253" s="148" t="str">
        <f>TEXT(LEFT(Contrato5[[#This Row],[CONTRATO]],3),"0")</f>
        <v>210</v>
      </c>
      <c r="AG253" s="148" t="str">
        <f>IF(LEN(Contrato5[[#This Row],[Contrato2]])=3,Contrato5[[#This Row],[Contrato2]],TEXT(Contrato5[[#This Row],[Contrato2]],"000"))</f>
        <v>210</v>
      </c>
      <c r="AH253" s="149">
        <f ca="1">IFERROR(_xlfn.DAYS(Contrato5[[#This Row],[Fecha Proyectada liquidación]],TODAY())/30,"")</f>
        <v>-2.9666666666666668</v>
      </c>
      <c r="AI253" s="150">
        <f>+Contrato5[[#This Row],[FECHA TERMINACIÓN ]]+120</f>
        <v>45669</v>
      </c>
      <c r="AJ253" s="147"/>
      <c r="AK253" s="152" t="str">
        <f ca="1">IF(Contrato5[[#This Row],[FECHA TERMINACIÓN ]]&lt;TODAY(), "Terminado",IF(ISNUMBER(Contrato5[[#This Row],[Fecha Real de liquiidación ]]),"Liquidado",IF(Contrato5[[#This Row],[FECHA TERMINACIÓN ]]&gt;=TODAY(),"En ejecución","")))</f>
        <v>Terminado</v>
      </c>
      <c r="AL253" s="153" t="e">
        <f ca="1">SUMIF([2]!COMPROMISOS_2024[[#All],[consecutivo]],Contrato5[[#This Row],[RCP]],[2]!COMPROMISOS_2024[[#All],[Total pagado]])</f>
        <v>#REF!</v>
      </c>
      <c r="AM253" s="154">
        <f ca="1">IFERROR(Contrato5[[#This Row],[Pagos]]/Contrato5[[#This Row],[VALOR CONTRATO]],0)</f>
        <v>0</v>
      </c>
      <c r="AN253" s="198" t="e">
        <f ca="1">+Contrato5[[#This Row],[VALOR CONTRATO]]-Contrato5[[#This Row],[Pagos]]</f>
        <v>#REF!</v>
      </c>
      <c r="AO253" s="147" t="e" cm="1">
        <f t="array" aca="1" ref="AO253" ca="1">_xlfn.XLOOKUP(Contrato5[[#This Row],[DOCUMENTO ]],[2]!PERSONAL_ACTIVO_2024[[#All],[Documento identidad]],[2]!PERSONAL_ACTIVO_2024[[#All],[Mail ]],0,0)</f>
        <v>#NAME?</v>
      </c>
      <c r="AP253" s="147" t="e" cm="1">
        <f t="array" aca="1" ref="AP253" ca="1">_xlfn.XLOOKUP(Contrato5[[#This Row],[DOCUMENTO]],[2]!PERSONAL_ACTIVO_2024[[#All],[Documento identidad]],[2]!PERSONAL_ACTIVO_2024[[#All],[Mail ]],0,0)</f>
        <v>#NAME?</v>
      </c>
      <c r="AQ253" s="439" cm="1">
        <f t="array" aca="1" ref="AQ253" ca="1">IF(ISBLANK(Contrato5[[#This Row],[DEPENDENCIA ]]),0,IFERROR(_xlfn.XLOOKUP(Contrato5[[#This Row],[DEPENDENCIA ]],[2]!PERSONAL_ACTIVO_2024[[#All],[Dependencia]],[2]!PERSONAL_ACTIVO_2024[[#All],[Mail ]],0,0),0))</f>
        <v>0</v>
      </c>
    </row>
    <row r="254" spans="1:43" ht="34.5" customHeight="1">
      <c r="A254" s="125">
        <v>1225</v>
      </c>
      <c r="B254" s="124">
        <v>210</v>
      </c>
      <c r="C254" s="162" t="s">
        <v>2093</v>
      </c>
      <c r="D254" s="227" t="s">
        <v>583</v>
      </c>
      <c r="E254" s="128" t="s">
        <v>2148</v>
      </c>
      <c r="F254" s="163" t="s">
        <v>1376</v>
      </c>
      <c r="G254" s="190" t="s">
        <v>937</v>
      </c>
      <c r="H254" s="447">
        <v>1036955178</v>
      </c>
      <c r="I254" s="455">
        <v>4908936</v>
      </c>
      <c r="J254" s="456">
        <v>9654241</v>
      </c>
      <c r="K254" s="166"/>
      <c r="L254" s="438" t="s">
        <v>2570</v>
      </c>
      <c r="M254" s="194" t="s">
        <v>586</v>
      </c>
      <c r="N254" s="177" t="e" cm="1">
        <f t="array" aca="1" ref="N254" ca="1">_xlfn.XLOOKUP(Contrato5[[#This Row],[SUPERVISOR TITULAR]],[2]!PERSONAL_ACTIVO_2024[[#All],[Nombre completo]],[2]!PERSONAL_ACTIVO_2024[[#All],[Documento identidad]],"",0)</f>
        <v>#NAME?</v>
      </c>
      <c r="O254" s="194" t="s">
        <v>589</v>
      </c>
      <c r="P254" s="196" t="e" cm="1">
        <f t="array" aca="1" ref="P254" ca="1">_xlfn.XLOOKUP(Contrato5[[#This Row],[SUPERVISOR SUPLENTE ]],[2]!PERSONAL_ACTIVO_2024[[#All],[Nombre completo]],[2]!PERSONAL_ACTIVO_2024[[#All],[Documento identidad]],"",0)</f>
        <v>#NAME?</v>
      </c>
      <c r="Q254" s="208">
        <v>1044</v>
      </c>
      <c r="R254" s="137" t="e" cm="1">
        <f t="array" aca="1" ref="R254" ca="1">_xlfn.XLOOKUP(Contrato5[[#This Row],[CDP]],[2]!DISPONIBILIDADES_2024[[#All],[consecutivo]],[2]!DISPONIBILIDADES_2024[[#All],[fecha_aprobacion]],"",0)</f>
        <v>#NAME?</v>
      </c>
      <c r="S254" s="138" t="e">
        <f>SUMIF([2]!DISPONIBILIDADES_2024[[#All],[consecutivo]],Contrato5[[#This Row],[CDP]],[2]!DISPONIBILIDADES_2024[[#All],[valor_total_rubro]])</f>
        <v>#REF!</v>
      </c>
      <c r="T254" s="139" t="e" cm="1">
        <f t="array" aca="1" ref="T254" ca="1">_xlfn.XLOOKUP(Contrato5[[#This Row],[CONTRATO]]&amp;Contrato5[[#This Row],[CDP]],[2]!Corr_Contr_CDP[[#All],[CONTRATO-CDP]],[2]!Corr_Contr_CDP[[#All],[CRP]],_xlfn.XLOOKUP(Contrato5[[#This Row],[CDP]],[2]!COMPROMISOS_2024[[#All],[disponibilidad]],[2]!COMPROMISOS_2024[[#All],[consecutivo]],"",0),0)</f>
        <v>#NAME?</v>
      </c>
      <c r="U254" s="140" t="e" cm="1">
        <f t="array" aca="1" ref="U254" ca="1">+_xlfn.XLOOKUP(Contrato5[[#This Row],[RCP]],[2]!COMPROMISOS_2024[[#All],[consecutivo]],[2]!COMPROMISOS_2024[[#All],[fecha_aprobacion]],"",0)</f>
        <v>#NAME?</v>
      </c>
      <c r="V254" s="141" t="e">
        <f ca="1">SUMIF([2]!COMPROMISOS_2024[[#All],[consecutivo]],Contrato5[[#This Row],[RCP]],[2]!COMPROMISOS_2024[[#All],[valor_total]])</f>
        <v>#REF!</v>
      </c>
      <c r="W254" s="415">
        <v>45581</v>
      </c>
      <c r="X254" s="415">
        <v>45590</v>
      </c>
      <c r="Y254" s="143">
        <v>45550</v>
      </c>
      <c r="Z254" s="262">
        <v>45643</v>
      </c>
      <c r="AA254" s="183"/>
      <c r="AB254" s="161" t="s">
        <v>2575</v>
      </c>
      <c r="AC254" s="161"/>
      <c r="AD254" s="211">
        <v>202000004024</v>
      </c>
      <c r="AE254" s="147" t="s">
        <v>523</v>
      </c>
      <c r="AF254" s="148" t="str">
        <f>TEXT(LEFT(Contrato5[[#This Row],[CONTRATO]],3),"0")</f>
        <v>210</v>
      </c>
      <c r="AG254" s="148" t="str">
        <f>IF(LEN(Contrato5[[#This Row],[Contrato2]])=3,Contrato5[[#This Row],[Contrato2]],TEXT(Contrato5[[#This Row],[Contrato2]],"000"))</f>
        <v>210</v>
      </c>
      <c r="AH254" s="149">
        <f ca="1">IFERROR(_xlfn.DAYS(Contrato5[[#This Row],[Fecha Proyectada liquidación]],TODAY())/30,"")</f>
        <v>0.16666666666666666</v>
      </c>
      <c r="AI254" s="150">
        <f>+Contrato5[[#This Row],[FECHA TERMINACIÓN ]]+120</f>
        <v>45763</v>
      </c>
      <c r="AJ254" s="147"/>
      <c r="AK254" s="152" t="str">
        <f ca="1">IF(Contrato5[[#This Row],[FECHA TERMINACIÓN ]]&lt;TODAY(), "Terminado",IF(ISNUMBER(Contrato5[[#This Row],[Fecha Real de liquiidación ]]),"Liquidado",IF(Contrato5[[#This Row],[FECHA TERMINACIÓN ]]&gt;=TODAY(),"En ejecución","")))</f>
        <v>Terminado</v>
      </c>
      <c r="AL254" s="153" t="e">
        <f ca="1">SUMIF([2]!COMPROMISOS_2024[[#All],[consecutivo]],Contrato5[[#This Row],[RCP]],[2]!COMPROMISOS_2024[[#All],[Total pagado]])</f>
        <v>#REF!</v>
      </c>
      <c r="AM254" s="154">
        <f ca="1">IFERROR(Contrato5[[#This Row],[Pagos]]/Contrato5[[#This Row],[VALOR CONTRATO]],0)</f>
        <v>0</v>
      </c>
      <c r="AN254" s="198" t="e">
        <f ca="1">+Contrato5[[#This Row],[VALOR CONTRATO]]-Contrato5[[#This Row],[Pagos]]</f>
        <v>#REF!</v>
      </c>
      <c r="AO254" s="147" t="e" cm="1">
        <f t="array" aca="1" ref="AO254" ca="1">_xlfn.XLOOKUP(Contrato5[[#This Row],[DOCUMENTO ]],[2]!PERSONAL_ACTIVO_2024[[#All],[Documento identidad]],[2]!PERSONAL_ACTIVO_2024[[#All],[Mail ]],0,0)</f>
        <v>#NAME?</v>
      </c>
      <c r="AP254" s="147" t="e" cm="1">
        <f t="array" aca="1" ref="AP254" ca="1">_xlfn.XLOOKUP(Contrato5[[#This Row],[DOCUMENTO]],[2]!PERSONAL_ACTIVO_2024[[#All],[Documento identidad]],[2]!PERSONAL_ACTIVO_2024[[#All],[Mail ]],0,0)</f>
        <v>#NAME?</v>
      </c>
      <c r="AQ254" s="439" cm="1">
        <f t="array" aca="1" ref="AQ254" ca="1">IF(ISBLANK(Contrato5[[#This Row],[DEPENDENCIA ]]),0,IFERROR(_xlfn.XLOOKUP(Contrato5[[#This Row],[DEPENDENCIA ]],[2]!PERSONAL_ACTIVO_2024[[#All],[Dependencia]],[2]!PERSONAL_ACTIVO_2024[[#All],[Mail ]],0,0),0))</f>
        <v>0</v>
      </c>
    </row>
    <row r="255" spans="1:43" ht="34.5" customHeight="1">
      <c r="A255" s="125">
        <v>555</v>
      </c>
      <c r="B255" s="124">
        <v>211</v>
      </c>
      <c r="C255" s="162" t="s">
        <v>1700</v>
      </c>
      <c r="D255" s="227" t="s">
        <v>583</v>
      </c>
      <c r="E255" s="128" t="s">
        <v>94</v>
      </c>
      <c r="F255" s="163" t="s">
        <v>1376</v>
      </c>
      <c r="G255" s="190" t="s">
        <v>939</v>
      </c>
      <c r="H255" s="447">
        <v>98570270</v>
      </c>
      <c r="I255" s="455">
        <v>3952382</v>
      </c>
      <c r="J255" s="456">
        <v>23714292</v>
      </c>
      <c r="K255" s="166" t="s">
        <v>42</v>
      </c>
      <c r="L255" s="438" t="s">
        <v>42</v>
      </c>
      <c r="M255" s="194" t="s">
        <v>600</v>
      </c>
      <c r="N255" s="177" t="e" cm="1">
        <f t="array" aca="1" ref="N255" ca="1">_xlfn.XLOOKUP(Contrato5[[#This Row],[SUPERVISOR TITULAR]],[2]!PERSONAL_ACTIVO_2024[[#All],[Nombre completo]],[2]!PERSONAL_ACTIVO_2024[[#All],[Documento identidad]],"",0)</f>
        <v>#NAME?</v>
      </c>
      <c r="O255" s="194" t="s">
        <v>592</v>
      </c>
      <c r="P255" s="196" t="e" cm="1">
        <f t="array" aca="1" ref="P255" ca="1">_xlfn.XLOOKUP(Contrato5[[#This Row],[SUPERVISOR SUPLENTE ]],[2]!PERSONAL_ACTIVO_2024[[#All],[Nombre completo]],[2]!PERSONAL_ACTIVO_2024[[#All],[Documento identidad]],"",0)</f>
        <v>#NAME?</v>
      </c>
      <c r="Q255" s="208">
        <v>258</v>
      </c>
      <c r="R255" s="137" t="e" cm="1">
        <f t="array" aca="1" ref="R255" ca="1">_xlfn.XLOOKUP(Contrato5[[#This Row],[CDP]],[2]!DISPONIBILIDADES_2024[[#All],[consecutivo]],[2]!DISPONIBILIDADES_2024[[#All],[fecha_aprobacion]],"",0)</f>
        <v>#NAME?</v>
      </c>
      <c r="S255" s="138" t="e">
        <f>SUMIF([2]!DISPONIBILIDADES_2024[[#All],[consecutivo]],Contrato5[[#This Row],[CDP]],[2]!DISPONIBILIDADES_2024[[#All],[valor_total_rubro]])</f>
        <v>#REF!</v>
      </c>
      <c r="T255" s="139" t="e" cm="1">
        <f t="array" aca="1" ref="T255" ca="1">_xlfn.XLOOKUP(Contrato5[[#This Row],[CONTRATO]]&amp;Contrato5[[#This Row],[CDP]],[2]!Corr_Contr_CDP[[#All],[CONTRATO-CDP]],[2]!Corr_Contr_CDP[[#All],[CRP]],_xlfn.XLOOKUP(Contrato5[[#This Row],[CDP]],[2]!COMPROMISOS_2024[[#All],[disponibilidad]],[2]!COMPROMISOS_2024[[#All],[consecutivo]],"",0),0)</f>
        <v>#NAME?</v>
      </c>
      <c r="U255" s="140" t="e" cm="1">
        <f t="array" aca="1" ref="U255" ca="1">+_xlfn.XLOOKUP(Contrato5[[#This Row],[RCP]],[2]!COMPROMISOS_2024[[#All],[consecutivo]],[2]!COMPROMISOS_2024[[#All],[fecha_aprobacion]],"",0)</f>
        <v>#NAME?</v>
      </c>
      <c r="V255" s="141" t="e">
        <f ca="1">SUMIF([2]!COMPROMISOS_2024[[#All],[consecutivo]],Contrato5[[#This Row],[RCP]],[2]!COMPROMISOS_2024[[#All],[valor_total]])</f>
        <v>#REF!</v>
      </c>
      <c r="W255" s="415">
        <v>45365</v>
      </c>
      <c r="X255" s="415">
        <v>45366</v>
      </c>
      <c r="Y255" s="143">
        <v>45366</v>
      </c>
      <c r="Z255" s="262">
        <v>45549</v>
      </c>
      <c r="AA255" s="183" t="s">
        <v>938</v>
      </c>
      <c r="AB255" s="161" t="s">
        <v>640</v>
      </c>
      <c r="AC255" s="161"/>
      <c r="AD255" s="211">
        <v>202000004025</v>
      </c>
      <c r="AE255" s="147" t="s">
        <v>523</v>
      </c>
      <c r="AF255" s="148" t="str">
        <f>TEXT(LEFT(Contrato5[[#This Row],[CONTRATO]],3),"0")</f>
        <v>211</v>
      </c>
      <c r="AG255" s="148" t="str">
        <f>IF(LEN(Contrato5[[#This Row],[Contrato2]])=3,Contrato5[[#This Row],[Contrato2]],TEXT(Contrato5[[#This Row],[Contrato2]],"000"))</f>
        <v>211</v>
      </c>
      <c r="AH255" s="149">
        <f ca="1">IFERROR(_xlfn.DAYS(Contrato5[[#This Row],[Fecha Proyectada liquidación]],TODAY())/30,"")</f>
        <v>-2.9666666666666668</v>
      </c>
      <c r="AI255" s="150">
        <f>+Contrato5[[#This Row],[FECHA TERMINACIÓN ]]+120</f>
        <v>45669</v>
      </c>
      <c r="AJ255" s="147"/>
      <c r="AK255" s="152" t="str">
        <f ca="1">IF(Contrato5[[#This Row],[FECHA TERMINACIÓN ]]&lt;TODAY(), "Terminado",IF(ISNUMBER(Contrato5[[#This Row],[Fecha Real de liquiidación ]]),"Liquidado",IF(Contrato5[[#This Row],[FECHA TERMINACIÓN ]]&gt;=TODAY(),"En ejecución","")))</f>
        <v>Terminado</v>
      </c>
      <c r="AL255" s="153" t="e">
        <f ca="1">SUMIF([2]!COMPROMISOS_2024[[#All],[consecutivo]],Contrato5[[#This Row],[RCP]],[2]!COMPROMISOS_2024[[#All],[Total pagado]])</f>
        <v>#REF!</v>
      </c>
      <c r="AM255" s="154">
        <f ca="1">IFERROR(Contrato5[[#This Row],[Pagos]]/Contrato5[[#This Row],[VALOR CONTRATO]],0)</f>
        <v>0</v>
      </c>
      <c r="AN255" s="198" t="e">
        <f ca="1">+Contrato5[[#This Row],[VALOR CONTRATO]]-Contrato5[[#This Row],[Pagos]]</f>
        <v>#REF!</v>
      </c>
      <c r="AO255" s="147" t="e" cm="1">
        <f t="array" aca="1" ref="AO255" ca="1">_xlfn.XLOOKUP(Contrato5[[#This Row],[DOCUMENTO ]],[2]!PERSONAL_ACTIVO_2024[[#All],[Documento identidad]],[2]!PERSONAL_ACTIVO_2024[[#All],[Mail ]],0,0)</f>
        <v>#NAME?</v>
      </c>
      <c r="AP255" s="147" t="e" cm="1">
        <f t="array" aca="1" ref="AP255" ca="1">_xlfn.XLOOKUP(Contrato5[[#This Row],[DOCUMENTO]],[2]!PERSONAL_ACTIVO_2024[[#All],[Documento identidad]],[2]!PERSONAL_ACTIVO_2024[[#All],[Mail ]],0,0)</f>
        <v>#NAME?</v>
      </c>
      <c r="AQ255" s="439" cm="1">
        <f t="array" aca="1" ref="AQ255" ca="1">IF(ISBLANK(Contrato5[[#This Row],[DEPENDENCIA ]]),0,IFERROR(_xlfn.XLOOKUP(Contrato5[[#This Row],[DEPENDENCIA ]],[2]!PERSONAL_ACTIVO_2024[[#All],[Dependencia]],[2]!PERSONAL_ACTIVO_2024[[#All],[Mail ]],0,0),0))</f>
        <v>0</v>
      </c>
    </row>
    <row r="256" spans="1:43" ht="34.5" customHeight="1">
      <c r="A256" s="125">
        <v>556</v>
      </c>
      <c r="B256" s="124">
        <v>212</v>
      </c>
      <c r="C256" s="162" t="s">
        <v>1701</v>
      </c>
      <c r="D256" s="227" t="s">
        <v>583</v>
      </c>
      <c r="E256" s="128" t="s">
        <v>94</v>
      </c>
      <c r="F256" s="163" t="s">
        <v>1376</v>
      </c>
      <c r="G256" s="190" t="s">
        <v>940</v>
      </c>
      <c r="H256" s="447">
        <v>1001227167</v>
      </c>
      <c r="I256" s="455">
        <v>3952382</v>
      </c>
      <c r="J256" s="456">
        <v>23714292</v>
      </c>
      <c r="K256" s="166" t="s">
        <v>42</v>
      </c>
      <c r="L256" s="438" t="s">
        <v>42</v>
      </c>
      <c r="M256" s="194" t="s">
        <v>600</v>
      </c>
      <c r="N256" s="177" t="e" cm="1">
        <f t="array" aca="1" ref="N256" ca="1">_xlfn.XLOOKUP(Contrato5[[#This Row],[SUPERVISOR TITULAR]],[2]!PERSONAL_ACTIVO_2024[[#All],[Nombre completo]],[2]!PERSONAL_ACTIVO_2024[[#All],[Documento identidad]],"",0)</f>
        <v>#NAME?</v>
      </c>
      <c r="O256" s="194" t="s">
        <v>592</v>
      </c>
      <c r="P256" s="196" t="e" cm="1">
        <f t="array" aca="1" ref="P256" ca="1">_xlfn.XLOOKUP(Contrato5[[#This Row],[SUPERVISOR SUPLENTE ]],[2]!PERSONAL_ACTIVO_2024[[#All],[Nombre completo]],[2]!PERSONAL_ACTIVO_2024[[#All],[Documento identidad]],"",0)</f>
        <v>#NAME?</v>
      </c>
      <c r="Q256" s="208">
        <v>286</v>
      </c>
      <c r="R256" s="137" t="e" cm="1">
        <f t="array" aca="1" ref="R256" ca="1">_xlfn.XLOOKUP(Contrato5[[#This Row],[CDP]],[2]!DISPONIBILIDADES_2024[[#All],[consecutivo]],[2]!DISPONIBILIDADES_2024[[#All],[fecha_aprobacion]],"",0)</f>
        <v>#NAME?</v>
      </c>
      <c r="S256" s="138" t="e">
        <f>SUMIF([2]!DISPONIBILIDADES_2024[[#All],[consecutivo]],Contrato5[[#This Row],[CDP]],[2]!DISPONIBILIDADES_2024[[#All],[valor_total_rubro]])</f>
        <v>#REF!</v>
      </c>
      <c r="T256" s="139" t="e" cm="1">
        <f t="array" aca="1" ref="T256" ca="1">_xlfn.XLOOKUP(Contrato5[[#This Row],[CONTRATO]]&amp;Contrato5[[#This Row],[CDP]],[2]!Corr_Contr_CDP[[#All],[CONTRATO-CDP]],[2]!Corr_Contr_CDP[[#All],[CRP]],_xlfn.XLOOKUP(Contrato5[[#This Row],[CDP]],[2]!COMPROMISOS_2024[[#All],[disponibilidad]],[2]!COMPROMISOS_2024[[#All],[consecutivo]],"",0),0)</f>
        <v>#NAME?</v>
      </c>
      <c r="U256" s="140" t="e" cm="1">
        <f t="array" aca="1" ref="U256" ca="1">+_xlfn.XLOOKUP(Contrato5[[#This Row],[RCP]],[2]!COMPROMISOS_2024[[#All],[consecutivo]],[2]!COMPROMISOS_2024[[#All],[fecha_aprobacion]],"",0)</f>
        <v>#NAME?</v>
      </c>
      <c r="V256" s="141" t="e">
        <f ca="1">SUMIF([2]!COMPROMISOS_2024[[#All],[consecutivo]],Contrato5[[#This Row],[RCP]],[2]!COMPROMISOS_2024[[#All],[valor_total]])</f>
        <v>#REF!</v>
      </c>
      <c r="W256" s="415">
        <v>45365</v>
      </c>
      <c r="X256" s="415">
        <v>45366</v>
      </c>
      <c r="Y256" s="143">
        <v>45366</v>
      </c>
      <c r="Z256" s="262">
        <v>45549</v>
      </c>
      <c r="AA256" s="183" t="s">
        <v>938</v>
      </c>
      <c r="AB256" s="161" t="s">
        <v>640</v>
      </c>
      <c r="AC256" s="161"/>
      <c r="AD256" s="211">
        <v>202000004026</v>
      </c>
      <c r="AE256" s="147" t="s">
        <v>523</v>
      </c>
      <c r="AF256" s="148" t="str">
        <f>TEXT(LEFT(Contrato5[[#This Row],[CONTRATO]],3),"0")</f>
        <v>212</v>
      </c>
      <c r="AG256" s="148" t="str">
        <f>IF(LEN(Contrato5[[#This Row],[Contrato2]])=3,Contrato5[[#This Row],[Contrato2]],TEXT(Contrato5[[#This Row],[Contrato2]],"000"))</f>
        <v>212</v>
      </c>
      <c r="AH256" s="149">
        <f ca="1">IFERROR(_xlfn.DAYS(Contrato5[[#This Row],[Fecha Proyectada liquidación]],TODAY())/30,"")</f>
        <v>-2.9666666666666668</v>
      </c>
      <c r="AI256" s="150">
        <f>+Contrato5[[#This Row],[FECHA TERMINACIÓN ]]+120</f>
        <v>45669</v>
      </c>
      <c r="AJ256" s="147"/>
      <c r="AK256" s="152" t="str">
        <f ca="1">IF(Contrato5[[#This Row],[FECHA TERMINACIÓN ]]&lt;TODAY(), "Terminado",IF(ISNUMBER(Contrato5[[#This Row],[Fecha Real de liquiidación ]]),"Liquidado",IF(Contrato5[[#This Row],[FECHA TERMINACIÓN ]]&gt;=TODAY(),"En ejecución","")))</f>
        <v>Terminado</v>
      </c>
      <c r="AL256" s="153" t="e">
        <f ca="1">SUMIF([2]!COMPROMISOS_2024[[#All],[consecutivo]],Contrato5[[#This Row],[RCP]],[2]!COMPROMISOS_2024[[#All],[Total pagado]])</f>
        <v>#REF!</v>
      </c>
      <c r="AM256" s="154">
        <f ca="1">IFERROR(Contrato5[[#This Row],[Pagos]]/Contrato5[[#This Row],[VALOR CONTRATO]],0)</f>
        <v>0</v>
      </c>
      <c r="AN256" s="198" t="e">
        <f ca="1">+Contrato5[[#This Row],[VALOR CONTRATO]]-Contrato5[[#This Row],[Pagos]]</f>
        <v>#REF!</v>
      </c>
      <c r="AO256" s="147" t="e" cm="1">
        <f t="array" aca="1" ref="AO256" ca="1">_xlfn.XLOOKUP(Contrato5[[#This Row],[DOCUMENTO ]],[2]!PERSONAL_ACTIVO_2024[[#All],[Documento identidad]],[2]!PERSONAL_ACTIVO_2024[[#All],[Mail ]],0,0)</f>
        <v>#NAME?</v>
      </c>
      <c r="AP256" s="147" t="e" cm="1">
        <f t="array" aca="1" ref="AP256" ca="1">_xlfn.XLOOKUP(Contrato5[[#This Row],[DOCUMENTO]],[2]!PERSONAL_ACTIVO_2024[[#All],[Documento identidad]],[2]!PERSONAL_ACTIVO_2024[[#All],[Mail ]],0,0)</f>
        <v>#NAME?</v>
      </c>
      <c r="AQ256" s="439" cm="1">
        <f t="array" aca="1" ref="AQ256" ca="1">IF(ISBLANK(Contrato5[[#This Row],[DEPENDENCIA ]]),0,IFERROR(_xlfn.XLOOKUP(Contrato5[[#This Row],[DEPENDENCIA ]],[2]!PERSONAL_ACTIVO_2024[[#All],[Dependencia]],[2]!PERSONAL_ACTIVO_2024[[#All],[Mail ]],0,0),0))</f>
        <v>0</v>
      </c>
    </row>
    <row r="257" spans="1:43" ht="34.5" customHeight="1">
      <c r="A257" s="125">
        <v>557</v>
      </c>
      <c r="B257" s="124">
        <v>213</v>
      </c>
      <c r="C257" s="162" t="s">
        <v>1702</v>
      </c>
      <c r="D257" s="227" t="s">
        <v>583</v>
      </c>
      <c r="E257" s="128" t="s">
        <v>94</v>
      </c>
      <c r="F257" s="163" t="s">
        <v>1376</v>
      </c>
      <c r="G257" s="190" t="s">
        <v>941</v>
      </c>
      <c r="H257" s="447">
        <v>1026148854</v>
      </c>
      <c r="I257" s="455">
        <v>2574842</v>
      </c>
      <c r="J257" s="456">
        <v>15449052</v>
      </c>
      <c r="K257" s="166" t="s">
        <v>42</v>
      </c>
      <c r="L257" s="438" t="s">
        <v>42</v>
      </c>
      <c r="M257" s="194" t="s">
        <v>600</v>
      </c>
      <c r="N257" s="177" t="e" cm="1">
        <f t="array" aca="1" ref="N257" ca="1">_xlfn.XLOOKUP(Contrato5[[#This Row],[SUPERVISOR TITULAR]],[2]!PERSONAL_ACTIVO_2024[[#All],[Nombre completo]],[2]!PERSONAL_ACTIVO_2024[[#All],[Documento identidad]],"",0)</f>
        <v>#NAME?</v>
      </c>
      <c r="O257" s="194" t="s">
        <v>592</v>
      </c>
      <c r="P257" s="196" t="e" cm="1">
        <f t="array" aca="1" ref="P257" ca="1">_xlfn.XLOOKUP(Contrato5[[#This Row],[SUPERVISOR SUPLENTE ]],[2]!PERSONAL_ACTIVO_2024[[#All],[Nombre completo]],[2]!PERSONAL_ACTIVO_2024[[#All],[Documento identidad]],"",0)</f>
        <v>#NAME?</v>
      </c>
      <c r="Q257" s="208">
        <v>285</v>
      </c>
      <c r="R257" s="137" t="e" cm="1">
        <f t="array" aca="1" ref="R257" ca="1">_xlfn.XLOOKUP(Contrato5[[#This Row],[CDP]],[2]!DISPONIBILIDADES_2024[[#All],[consecutivo]],[2]!DISPONIBILIDADES_2024[[#All],[fecha_aprobacion]],"",0)</f>
        <v>#NAME?</v>
      </c>
      <c r="S257" s="138" t="e">
        <f>SUMIF([2]!DISPONIBILIDADES_2024[[#All],[consecutivo]],Contrato5[[#This Row],[CDP]],[2]!DISPONIBILIDADES_2024[[#All],[valor_total_rubro]])</f>
        <v>#REF!</v>
      </c>
      <c r="T257" s="139" t="e" cm="1">
        <f t="array" aca="1" ref="T257" ca="1">_xlfn.XLOOKUP(Contrato5[[#This Row],[CONTRATO]]&amp;Contrato5[[#This Row],[CDP]],[2]!Corr_Contr_CDP[[#All],[CONTRATO-CDP]],[2]!Corr_Contr_CDP[[#All],[CRP]],_xlfn.XLOOKUP(Contrato5[[#This Row],[CDP]],[2]!COMPROMISOS_2024[[#All],[disponibilidad]],[2]!COMPROMISOS_2024[[#All],[consecutivo]],"",0),0)</f>
        <v>#NAME?</v>
      </c>
      <c r="U257" s="140" t="e" cm="1">
        <f t="array" aca="1" ref="U257" ca="1">+_xlfn.XLOOKUP(Contrato5[[#This Row],[RCP]],[2]!COMPROMISOS_2024[[#All],[consecutivo]],[2]!COMPROMISOS_2024[[#All],[fecha_aprobacion]],"",0)</f>
        <v>#NAME?</v>
      </c>
      <c r="V257" s="141" t="e">
        <f ca="1">SUMIF([2]!COMPROMISOS_2024[[#All],[consecutivo]],Contrato5[[#This Row],[RCP]],[2]!COMPROMISOS_2024[[#All],[valor_total]])</f>
        <v>#REF!</v>
      </c>
      <c r="W257" s="415">
        <v>45365</v>
      </c>
      <c r="X257" s="415">
        <v>45366</v>
      </c>
      <c r="Y257" s="143">
        <v>45366</v>
      </c>
      <c r="Z257" s="262">
        <v>45549</v>
      </c>
      <c r="AA257" s="183" t="s">
        <v>938</v>
      </c>
      <c r="AB257" s="161" t="s">
        <v>640</v>
      </c>
      <c r="AC257" s="161"/>
      <c r="AD257" s="211">
        <v>202000004028</v>
      </c>
      <c r="AE257" s="147" t="s">
        <v>523</v>
      </c>
      <c r="AF257" s="148" t="str">
        <f>TEXT(LEFT(Contrato5[[#This Row],[CONTRATO]],3),"0")</f>
        <v>213</v>
      </c>
      <c r="AG257" s="148" t="str">
        <f>IF(LEN(Contrato5[[#This Row],[Contrato2]])=3,Contrato5[[#This Row],[Contrato2]],TEXT(Contrato5[[#This Row],[Contrato2]],"000"))</f>
        <v>213</v>
      </c>
      <c r="AH257" s="149">
        <f ca="1">IFERROR(_xlfn.DAYS(Contrato5[[#This Row],[Fecha Proyectada liquidación]],TODAY())/30,"")</f>
        <v>-2.9666666666666668</v>
      </c>
      <c r="AI257" s="150">
        <f>+Contrato5[[#This Row],[FECHA TERMINACIÓN ]]+120</f>
        <v>45669</v>
      </c>
      <c r="AJ257" s="147"/>
      <c r="AK257" s="152" t="str">
        <f ca="1">IF(Contrato5[[#This Row],[FECHA TERMINACIÓN ]]&lt;TODAY(), "Terminado",IF(ISNUMBER(Contrato5[[#This Row],[Fecha Real de liquiidación ]]),"Liquidado",IF(Contrato5[[#This Row],[FECHA TERMINACIÓN ]]&gt;=TODAY(),"En ejecución","")))</f>
        <v>Terminado</v>
      </c>
      <c r="AL257" s="153" t="e">
        <f ca="1">SUMIF([2]!COMPROMISOS_2024[[#All],[consecutivo]],Contrato5[[#This Row],[RCP]],[2]!COMPROMISOS_2024[[#All],[Total pagado]])</f>
        <v>#REF!</v>
      </c>
      <c r="AM257" s="154">
        <f ca="1">IFERROR(Contrato5[[#This Row],[Pagos]]/Contrato5[[#This Row],[VALOR CONTRATO]],0)</f>
        <v>0</v>
      </c>
      <c r="AN257" s="198" t="e">
        <f ca="1">+Contrato5[[#This Row],[VALOR CONTRATO]]-Contrato5[[#This Row],[Pagos]]</f>
        <v>#REF!</v>
      </c>
      <c r="AO257" s="147" t="e" cm="1">
        <f t="array" aca="1" ref="AO257" ca="1">_xlfn.XLOOKUP(Contrato5[[#This Row],[DOCUMENTO ]],[2]!PERSONAL_ACTIVO_2024[[#All],[Documento identidad]],[2]!PERSONAL_ACTIVO_2024[[#All],[Mail ]],0,0)</f>
        <v>#NAME?</v>
      </c>
      <c r="AP257" s="147" t="e" cm="1">
        <f t="array" aca="1" ref="AP257" ca="1">_xlfn.XLOOKUP(Contrato5[[#This Row],[DOCUMENTO]],[2]!PERSONAL_ACTIVO_2024[[#All],[Documento identidad]],[2]!PERSONAL_ACTIVO_2024[[#All],[Mail ]],0,0)</f>
        <v>#NAME?</v>
      </c>
      <c r="AQ257" s="439" cm="1">
        <f t="array" aca="1" ref="AQ257" ca="1">IF(ISBLANK(Contrato5[[#This Row],[DEPENDENCIA ]]),0,IFERROR(_xlfn.XLOOKUP(Contrato5[[#This Row],[DEPENDENCIA ]],[2]!PERSONAL_ACTIVO_2024[[#All],[Dependencia]],[2]!PERSONAL_ACTIVO_2024[[#All],[Mail ]],0,0),0))</f>
        <v>0</v>
      </c>
    </row>
    <row r="258" spans="1:43" ht="34.5" customHeight="1">
      <c r="A258" s="125">
        <v>558</v>
      </c>
      <c r="B258" s="124">
        <v>214</v>
      </c>
      <c r="C258" s="162" t="s">
        <v>1703</v>
      </c>
      <c r="D258" s="227" t="s">
        <v>583</v>
      </c>
      <c r="E258" s="128" t="s">
        <v>94</v>
      </c>
      <c r="F258" s="163" t="s">
        <v>1376</v>
      </c>
      <c r="G258" s="190" t="s">
        <v>942</v>
      </c>
      <c r="H258" s="447">
        <v>1214731711</v>
      </c>
      <c r="I258" s="455">
        <v>4908936</v>
      </c>
      <c r="J258" s="456">
        <v>29453616</v>
      </c>
      <c r="K258" s="166" t="s">
        <v>42</v>
      </c>
      <c r="L258" s="438" t="s">
        <v>42</v>
      </c>
      <c r="M258" s="194" t="s">
        <v>589</v>
      </c>
      <c r="N258" s="177" t="e" cm="1">
        <f t="array" aca="1" ref="N258" ca="1">_xlfn.XLOOKUP(Contrato5[[#This Row],[SUPERVISOR TITULAR]],[2]!PERSONAL_ACTIVO_2024[[#All],[Nombre completo]],[2]!PERSONAL_ACTIVO_2024[[#All],[Documento identidad]],"",0)</f>
        <v>#NAME?</v>
      </c>
      <c r="O258" s="194" t="s">
        <v>586</v>
      </c>
      <c r="P258" s="196" t="e" cm="1">
        <f t="array" aca="1" ref="P258" ca="1">_xlfn.XLOOKUP(Contrato5[[#This Row],[SUPERVISOR SUPLENTE ]],[2]!PERSONAL_ACTIVO_2024[[#All],[Nombre completo]],[2]!PERSONAL_ACTIVO_2024[[#All],[Documento identidad]],"",0)</f>
        <v>#NAME?</v>
      </c>
      <c r="Q258" s="208">
        <v>262</v>
      </c>
      <c r="R258" s="137" t="e" cm="1">
        <f t="array" aca="1" ref="R258" ca="1">_xlfn.XLOOKUP(Contrato5[[#This Row],[CDP]],[2]!DISPONIBILIDADES_2024[[#All],[consecutivo]],[2]!DISPONIBILIDADES_2024[[#All],[fecha_aprobacion]],"",0)</f>
        <v>#NAME?</v>
      </c>
      <c r="S258" s="138" t="e">
        <f>SUMIF([2]!DISPONIBILIDADES_2024[[#All],[consecutivo]],Contrato5[[#This Row],[CDP]],[2]!DISPONIBILIDADES_2024[[#All],[valor_total_rubro]])</f>
        <v>#REF!</v>
      </c>
      <c r="T258" s="139" t="e" cm="1">
        <f t="array" aca="1" ref="T258" ca="1">_xlfn.XLOOKUP(Contrato5[[#This Row],[CONTRATO]]&amp;Contrato5[[#This Row],[CDP]],[2]!Corr_Contr_CDP[[#All],[CONTRATO-CDP]],[2]!Corr_Contr_CDP[[#All],[CRP]],_xlfn.XLOOKUP(Contrato5[[#This Row],[CDP]],[2]!COMPROMISOS_2024[[#All],[disponibilidad]],[2]!COMPROMISOS_2024[[#All],[consecutivo]],"",0),0)</f>
        <v>#NAME?</v>
      </c>
      <c r="U258" s="140" t="e" cm="1">
        <f t="array" aca="1" ref="U258" ca="1">+_xlfn.XLOOKUP(Contrato5[[#This Row],[RCP]],[2]!COMPROMISOS_2024[[#All],[consecutivo]],[2]!COMPROMISOS_2024[[#All],[fecha_aprobacion]],"",0)</f>
        <v>#NAME?</v>
      </c>
      <c r="V258" s="141" t="e">
        <f ca="1">SUMIF([2]!COMPROMISOS_2024[[#All],[consecutivo]],Contrato5[[#This Row],[RCP]],[2]!COMPROMISOS_2024[[#All],[valor_total]])</f>
        <v>#REF!</v>
      </c>
      <c r="W258" s="415">
        <v>45365</v>
      </c>
      <c r="X258" s="415">
        <v>45366</v>
      </c>
      <c r="Y258" s="143">
        <v>45366</v>
      </c>
      <c r="Z258" s="262">
        <v>45549</v>
      </c>
      <c r="AA258" s="183" t="s">
        <v>938</v>
      </c>
      <c r="AB258" s="161" t="s">
        <v>640</v>
      </c>
      <c r="AC258" s="161"/>
      <c r="AD258" s="221">
        <v>202000004029</v>
      </c>
      <c r="AE258" s="147" t="s">
        <v>523</v>
      </c>
      <c r="AF258" s="148" t="str">
        <f>TEXT(LEFT(Contrato5[[#This Row],[CONTRATO]],3),"0")</f>
        <v>214</v>
      </c>
      <c r="AG258" s="148" t="str">
        <f>IF(LEN(Contrato5[[#This Row],[Contrato2]])=3,Contrato5[[#This Row],[Contrato2]],TEXT(Contrato5[[#This Row],[Contrato2]],"000"))</f>
        <v>214</v>
      </c>
      <c r="AH258" s="149">
        <f ca="1">IFERROR(_xlfn.DAYS(Contrato5[[#This Row],[Fecha Proyectada liquidación]],TODAY())/30,"")</f>
        <v>-2.9666666666666668</v>
      </c>
      <c r="AI258" s="150">
        <f>+Contrato5[[#This Row],[FECHA TERMINACIÓN ]]+120</f>
        <v>45669</v>
      </c>
      <c r="AJ258" s="147"/>
      <c r="AK258" s="152" t="str">
        <f ca="1">IF(Contrato5[[#This Row],[FECHA TERMINACIÓN ]]&lt;TODAY(), "Terminado",IF(ISNUMBER(Contrato5[[#This Row],[Fecha Real de liquiidación ]]),"Liquidado",IF(Contrato5[[#This Row],[FECHA TERMINACIÓN ]]&gt;=TODAY(),"En ejecución","")))</f>
        <v>Terminado</v>
      </c>
      <c r="AL258" s="153" t="e">
        <f ca="1">SUMIF([2]!COMPROMISOS_2024[[#All],[consecutivo]],Contrato5[[#This Row],[RCP]],[2]!COMPROMISOS_2024[[#All],[Total pagado]])</f>
        <v>#REF!</v>
      </c>
      <c r="AM258" s="154">
        <f ca="1">IFERROR(Contrato5[[#This Row],[Pagos]]/Contrato5[[#This Row],[VALOR CONTRATO]],0)</f>
        <v>0</v>
      </c>
      <c r="AN258" s="198" t="e">
        <f ca="1">+Contrato5[[#This Row],[VALOR CONTRATO]]-Contrato5[[#This Row],[Pagos]]</f>
        <v>#REF!</v>
      </c>
      <c r="AO258" s="147" t="e" cm="1">
        <f t="array" aca="1" ref="AO258" ca="1">_xlfn.XLOOKUP(Contrato5[[#This Row],[DOCUMENTO ]],[2]!PERSONAL_ACTIVO_2024[[#All],[Documento identidad]],[2]!PERSONAL_ACTIVO_2024[[#All],[Mail ]],0,0)</f>
        <v>#NAME?</v>
      </c>
      <c r="AP258" s="147" t="e" cm="1">
        <f t="array" aca="1" ref="AP258" ca="1">_xlfn.XLOOKUP(Contrato5[[#This Row],[DOCUMENTO]],[2]!PERSONAL_ACTIVO_2024[[#All],[Documento identidad]],[2]!PERSONAL_ACTIVO_2024[[#All],[Mail ]],0,0)</f>
        <v>#NAME?</v>
      </c>
      <c r="AQ258" s="439" cm="1">
        <f t="array" aca="1" ref="AQ258" ca="1">IF(ISBLANK(Contrato5[[#This Row],[DEPENDENCIA ]]),0,IFERROR(_xlfn.XLOOKUP(Contrato5[[#This Row],[DEPENDENCIA ]],[2]!PERSONAL_ACTIVO_2024[[#All],[Dependencia]],[2]!PERSONAL_ACTIVO_2024[[#All],[Mail ]],0,0),0))</f>
        <v>0</v>
      </c>
    </row>
    <row r="259" spans="1:43" ht="34.5" customHeight="1">
      <c r="A259" s="125">
        <v>559</v>
      </c>
      <c r="B259" s="124">
        <v>215</v>
      </c>
      <c r="C259" s="162" t="s">
        <v>1704</v>
      </c>
      <c r="D259" s="227" t="s">
        <v>583</v>
      </c>
      <c r="E259" s="128" t="s">
        <v>94</v>
      </c>
      <c r="F259" s="163" t="s">
        <v>1376</v>
      </c>
      <c r="G259" s="190" t="s">
        <v>943</v>
      </c>
      <c r="H259" s="447">
        <v>1036669441</v>
      </c>
      <c r="I259" s="455">
        <v>3952382</v>
      </c>
      <c r="J259" s="456">
        <v>23714292</v>
      </c>
      <c r="K259" s="166" t="s">
        <v>42</v>
      </c>
      <c r="L259" s="438" t="s">
        <v>42</v>
      </c>
      <c r="M259" s="194" t="s">
        <v>592</v>
      </c>
      <c r="N259" s="177" t="e" cm="1">
        <f t="array" aca="1" ref="N259" ca="1">_xlfn.XLOOKUP(Contrato5[[#This Row],[SUPERVISOR TITULAR]],[2]!PERSONAL_ACTIVO_2024[[#All],[Nombre completo]],[2]!PERSONAL_ACTIVO_2024[[#All],[Documento identidad]],"",0)</f>
        <v>#NAME?</v>
      </c>
      <c r="O259" s="194" t="s">
        <v>600</v>
      </c>
      <c r="P259" s="196" t="e" cm="1">
        <f t="array" aca="1" ref="P259" ca="1">_xlfn.XLOOKUP(Contrato5[[#This Row],[SUPERVISOR SUPLENTE ]],[2]!PERSONAL_ACTIVO_2024[[#All],[Nombre completo]],[2]!PERSONAL_ACTIVO_2024[[#All],[Documento identidad]],"",0)</f>
        <v>#NAME?</v>
      </c>
      <c r="Q259" s="208">
        <v>273</v>
      </c>
      <c r="R259" s="137" t="e" cm="1">
        <f t="array" aca="1" ref="R259" ca="1">_xlfn.XLOOKUP(Contrato5[[#This Row],[CDP]],[2]!DISPONIBILIDADES_2024[[#All],[consecutivo]],[2]!DISPONIBILIDADES_2024[[#All],[fecha_aprobacion]],"",0)</f>
        <v>#NAME?</v>
      </c>
      <c r="S259" s="138" t="e">
        <f>SUMIF([2]!DISPONIBILIDADES_2024[[#All],[consecutivo]],Contrato5[[#This Row],[CDP]],[2]!DISPONIBILIDADES_2024[[#All],[valor_total_rubro]])</f>
        <v>#REF!</v>
      </c>
      <c r="T259" s="139" t="e" cm="1">
        <f t="array" aca="1" ref="T259" ca="1">_xlfn.XLOOKUP(Contrato5[[#This Row],[CONTRATO]]&amp;Contrato5[[#This Row],[CDP]],[2]!Corr_Contr_CDP[[#All],[CONTRATO-CDP]],[2]!Corr_Contr_CDP[[#All],[CRP]],_xlfn.XLOOKUP(Contrato5[[#This Row],[CDP]],[2]!COMPROMISOS_2024[[#All],[disponibilidad]],[2]!COMPROMISOS_2024[[#All],[consecutivo]],"",0),0)</f>
        <v>#NAME?</v>
      </c>
      <c r="U259" s="140" t="e" cm="1">
        <f t="array" aca="1" ref="U259" ca="1">+_xlfn.XLOOKUP(Contrato5[[#This Row],[RCP]],[2]!COMPROMISOS_2024[[#All],[consecutivo]],[2]!COMPROMISOS_2024[[#All],[fecha_aprobacion]],"",0)</f>
        <v>#NAME?</v>
      </c>
      <c r="V259" s="141" t="e">
        <f ca="1">SUMIF([2]!COMPROMISOS_2024[[#All],[consecutivo]],Contrato5[[#This Row],[RCP]],[2]!COMPROMISOS_2024[[#All],[valor_total]])</f>
        <v>#REF!</v>
      </c>
      <c r="W259" s="415">
        <v>45365</v>
      </c>
      <c r="X259" s="415">
        <v>45366</v>
      </c>
      <c r="Y259" s="143">
        <v>45366</v>
      </c>
      <c r="Z259" s="262">
        <v>45549</v>
      </c>
      <c r="AA259" s="183" t="s">
        <v>938</v>
      </c>
      <c r="AB259" s="161" t="s">
        <v>640</v>
      </c>
      <c r="AC259" s="161"/>
      <c r="AD259" s="211">
        <v>202000004030</v>
      </c>
      <c r="AE259" s="147" t="s">
        <v>523</v>
      </c>
      <c r="AF259" s="148" t="str">
        <f>TEXT(LEFT(Contrato5[[#This Row],[CONTRATO]],3),"0")</f>
        <v>215</v>
      </c>
      <c r="AG259" s="148" t="str">
        <f>IF(LEN(Contrato5[[#This Row],[Contrato2]])=3,Contrato5[[#This Row],[Contrato2]],TEXT(Contrato5[[#This Row],[Contrato2]],"000"))</f>
        <v>215</v>
      </c>
      <c r="AH259" s="149">
        <f ca="1">IFERROR(_xlfn.DAYS(Contrato5[[#This Row],[Fecha Proyectada liquidación]],TODAY())/30,"")</f>
        <v>-2.9666666666666668</v>
      </c>
      <c r="AI259" s="150">
        <f>+Contrato5[[#This Row],[FECHA TERMINACIÓN ]]+120</f>
        <v>45669</v>
      </c>
      <c r="AJ259" s="147"/>
      <c r="AK259" s="152" t="str">
        <f ca="1">IF(Contrato5[[#This Row],[FECHA TERMINACIÓN ]]&lt;TODAY(), "Terminado",IF(ISNUMBER(Contrato5[[#This Row],[Fecha Real de liquiidación ]]),"Liquidado",IF(Contrato5[[#This Row],[FECHA TERMINACIÓN ]]&gt;=TODAY(),"En ejecución","")))</f>
        <v>Terminado</v>
      </c>
      <c r="AL259" s="153" t="e">
        <f ca="1">SUMIF([2]!COMPROMISOS_2024[[#All],[consecutivo]],Contrato5[[#This Row],[RCP]],[2]!COMPROMISOS_2024[[#All],[Total pagado]])</f>
        <v>#REF!</v>
      </c>
      <c r="AM259" s="154">
        <f ca="1">IFERROR(Contrato5[[#This Row],[Pagos]]/Contrato5[[#This Row],[VALOR CONTRATO]],0)</f>
        <v>0</v>
      </c>
      <c r="AN259" s="198" t="e">
        <f ca="1">+Contrato5[[#This Row],[VALOR CONTRATO]]-Contrato5[[#This Row],[Pagos]]</f>
        <v>#REF!</v>
      </c>
      <c r="AO259" s="147" t="e" cm="1">
        <f t="array" aca="1" ref="AO259" ca="1">_xlfn.XLOOKUP(Contrato5[[#This Row],[DOCUMENTO ]],[2]!PERSONAL_ACTIVO_2024[[#All],[Documento identidad]],[2]!PERSONAL_ACTIVO_2024[[#All],[Mail ]],0,0)</f>
        <v>#NAME?</v>
      </c>
      <c r="AP259" s="147" t="e" cm="1">
        <f t="array" aca="1" ref="AP259" ca="1">_xlfn.XLOOKUP(Contrato5[[#This Row],[DOCUMENTO]],[2]!PERSONAL_ACTIVO_2024[[#All],[Documento identidad]],[2]!PERSONAL_ACTIVO_2024[[#All],[Mail ]],0,0)</f>
        <v>#NAME?</v>
      </c>
      <c r="AQ259" s="439" cm="1">
        <f t="array" aca="1" ref="AQ259" ca="1">IF(ISBLANK(Contrato5[[#This Row],[DEPENDENCIA ]]),0,IFERROR(_xlfn.XLOOKUP(Contrato5[[#This Row],[DEPENDENCIA ]],[2]!PERSONAL_ACTIVO_2024[[#All],[Dependencia]],[2]!PERSONAL_ACTIVO_2024[[#All],[Mail ]],0,0),0))</f>
        <v>0</v>
      </c>
    </row>
    <row r="260" spans="1:43" ht="34.5" customHeight="1">
      <c r="A260" s="125">
        <v>560</v>
      </c>
      <c r="B260" s="124">
        <v>216</v>
      </c>
      <c r="C260" s="162" t="s">
        <v>1705</v>
      </c>
      <c r="D260" s="227" t="s">
        <v>583</v>
      </c>
      <c r="E260" s="128" t="s">
        <v>94</v>
      </c>
      <c r="F260" s="163" t="s">
        <v>1376</v>
      </c>
      <c r="G260" s="190" t="s">
        <v>944</v>
      </c>
      <c r="H260" s="447">
        <v>1152225382</v>
      </c>
      <c r="I260" s="455">
        <v>4908936</v>
      </c>
      <c r="J260" s="456">
        <v>29453616</v>
      </c>
      <c r="K260" s="166" t="s">
        <v>42</v>
      </c>
      <c r="L260" s="438" t="s">
        <v>42</v>
      </c>
      <c r="M260" s="194" t="s">
        <v>592</v>
      </c>
      <c r="N260" s="177" t="e" cm="1">
        <f t="array" aca="1" ref="N260" ca="1">_xlfn.XLOOKUP(Contrato5[[#This Row],[SUPERVISOR TITULAR]],[2]!PERSONAL_ACTIVO_2024[[#All],[Nombre completo]],[2]!PERSONAL_ACTIVO_2024[[#All],[Documento identidad]],"",0)</f>
        <v>#NAME?</v>
      </c>
      <c r="O260" s="194" t="s">
        <v>600</v>
      </c>
      <c r="P260" s="196" t="e" cm="1">
        <f t="array" aca="1" ref="P260" ca="1">_xlfn.XLOOKUP(Contrato5[[#This Row],[SUPERVISOR SUPLENTE ]],[2]!PERSONAL_ACTIVO_2024[[#All],[Nombre completo]],[2]!PERSONAL_ACTIVO_2024[[#All],[Documento identidad]],"",0)</f>
        <v>#NAME?</v>
      </c>
      <c r="Q260" s="208">
        <v>275</v>
      </c>
      <c r="R260" s="137" t="e" cm="1">
        <f t="array" aca="1" ref="R260" ca="1">_xlfn.XLOOKUP(Contrato5[[#This Row],[CDP]],[2]!DISPONIBILIDADES_2024[[#All],[consecutivo]],[2]!DISPONIBILIDADES_2024[[#All],[fecha_aprobacion]],"",0)</f>
        <v>#NAME?</v>
      </c>
      <c r="S260" s="138" t="e">
        <f>SUMIF([2]!DISPONIBILIDADES_2024[[#All],[consecutivo]],Contrato5[[#This Row],[CDP]],[2]!DISPONIBILIDADES_2024[[#All],[valor_total_rubro]])</f>
        <v>#REF!</v>
      </c>
      <c r="T260" s="139" t="e" cm="1">
        <f t="array" aca="1" ref="T260" ca="1">_xlfn.XLOOKUP(Contrato5[[#This Row],[CONTRATO]]&amp;Contrato5[[#This Row],[CDP]],[2]!Corr_Contr_CDP[[#All],[CONTRATO-CDP]],[2]!Corr_Contr_CDP[[#All],[CRP]],_xlfn.XLOOKUP(Contrato5[[#This Row],[CDP]],[2]!COMPROMISOS_2024[[#All],[disponibilidad]],[2]!COMPROMISOS_2024[[#All],[consecutivo]],"",0),0)</f>
        <v>#NAME?</v>
      </c>
      <c r="U260" s="140" t="e" cm="1">
        <f t="array" aca="1" ref="U260" ca="1">+_xlfn.XLOOKUP(Contrato5[[#This Row],[RCP]],[2]!COMPROMISOS_2024[[#All],[consecutivo]],[2]!COMPROMISOS_2024[[#All],[fecha_aprobacion]],"",0)</f>
        <v>#NAME?</v>
      </c>
      <c r="V260" s="141" t="e">
        <f ca="1">SUMIF([2]!COMPROMISOS_2024[[#All],[consecutivo]],Contrato5[[#This Row],[RCP]],[2]!COMPROMISOS_2024[[#All],[valor_total]])</f>
        <v>#REF!</v>
      </c>
      <c r="W260" s="415">
        <v>45365</v>
      </c>
      <c r="X260" s="415">
        <v>45366</v>
      </c>
      <c r="Y260" s="143">
        <v>45366</v>
      </c>
      <c r="Z260" s="262">
        <v>45549</v>
      </c>
      <c r="AA260" s="183" t="s">
        <v>938</v>
      </c>
      <c r="AB260" s="161" t="s">
        <v>640</v>
      </c>
      <c r="AC260" s="161"/>
      <c r="AD260" s="211">
        <v>202000004031</v>
      </c>
      <c r="AE260" s="147" t="s">
        <v>523</v>
      </c>
      <c r="AF260" s="148" t="str">
        <f>TEXT(LEFT(Contrato5[[#This Row],[CONTRATO]],3),"0")</f>
        <v>216</v>
      </c>
      <c r="AG260" s="148" t="str">
        <f>IF(LEN(Contrato5[[#This Row],[Contrato2]])=3,Contrato5[[#This Row],[Contrato2]],TEXT(Contrato5[[#This Row],[Contrato2]],"000"))</f>
        <v>216</v>
      </c>
      <c r="AH260" s="149">
        <f ca="1">IFERROR(_xlfn.DAYS(Contrato5[[#This Row],[Fecha Proyectada liquidación]],TODAY())/30,"")</f>
        <v>-2.9666666666666668</v>
      </c>
      <c r="AI260" s="150">
        <f>+Contrato5[[#This Row],[FECHA TERMINACIÓN ]]+120</f>
        <v>45669</v>
      </c>
      <c r="AJ260" s="147"/>
      <c r="AK260" s="152" t="str">
        <f ca="1">IF(Contrato5[[#This Row],[FECHA TERMINACIÓN ]]&lt;TODAY(), "Terminado",IF(ISNUMBER(Contrato5[[#This Row],[Fecha Real de liquiidación ]]),"Liquidado",IF(Contrato5[[#This Row],[FECHA TERMINACIÓN ]]&gt;=TODAY(),"En ejecución","")))</f>
        <v>Terminado</v>
      </c>
      <c r="AL260" s="153" t="e">
        <f ca="1">SUMIF([2]!COMPROMISOS_2024[[#All],[consecutivo]],Contrato5[[#This Row],[RCP]],[2]!COMPROMISOS_2024[[#All],[Total pagado]])</f>
        <v>#REF!</v>
      </c>
      <c r="AM260" s="154">
        <f ca="1">IFERROR(Contrato5[[#This Row],[Pagos]]/Contrato5[[#This Row],[VALOR CONTRATO]],0)</f>
        <v>0</v>
      </c>
      <c r="AN260" s="198" t="e">
        <f ca="1">+Contrato5[[#This Row],[VALOR CONTRATO]]-Contrato5[[#This Row],[Pagos]]</f>
        <v>#REF!</v>
      </c>
      <c r="AO260" s="147" t="e" cm="1">
        <f t="array" aca="1" ref="AO260" ca="1">_xlfn.XLOOKUP(Contrato5[[#This Row],[DOCUMENTO ]],[2]!PERSONAL_ACTIVO_2024[[#All],[Documento identidad]],[2]!PERSONAL_ACTIVO_2024[[#All],[Mail ]],0,0)</f>
        <v>#NAME?</v>
      </c>
      <c r="AP260" s="147" t="e" cm="1">
        <f t="array" aca="1" ref="AP260" ca="1">_xlfn.XLOOKUP(Contrato5[[#This Row],[DOCUMENTO]],[2]!PERSONAL_ACTIVO_2024[[#All],[Documento identidad]],[2]!PERSONAL_ACTIVO_2024[[#All],[Mail ]],0,0)</f>
        <v>#NAME?</v>
      </c>
      <c r="AQ260" s="439" cm="1">
        <f t="array" aca="1" ref="AQ260" ca="1">IF(ISBLANK(Contrato5[[#This Row],[DEPENDENCIA ]]),0,IFERROR(_xlfn.XLOOKUP(Contrato5[[#This Row],[DEPENDENCIA ]],[2]!PERSONAL_ACTIVO_2024[[#All],[Dependencia]],[2]!PERSONAL_ACTIVO_2024[[#All],[Mail ]],0,0),0))</f>
        <v>0</v>
      </c>
    </row>
    <row r="261" spans="1:43" ht="34.5" customHeight="1">
      <c r="A261" s="125">
        <v>562</v>
      </c>
      <c r="B261" s="124">
        <v>217</v>
      </c>
      <c r="C261" s="162" t="s">
        <v>1707</v>
      </c>
      <c r="D261" s="227" t="s">
        <v>583</v>
      </c>
      <c r="E261" s="128" t="s">
        <v>94</v>
      </c>
      <c r="F261" s="163" t="s">
        <v>1376</v>
      </c>
      <c r="G261" s="190" t="s">
        <v>945</v>
      </c>
      <c r="H261" s="447">
        <v>43599588</v>
      </c>
      <c r="I261" s="455">
        <v>5931149</v>
      </c>
      <c r="J261" s="456">
        <v>35586894</v>
      </c>
      <c r="K261" s="166" t="s">
        <v>42</v>
      </c>
      <c r="L261" s="438" t="s">
        <v>42</v>
      </c>
      <c r="M261" s="194" t="s">
        <v>600</v>
      </c>
      <c r="N261" s="177" t="e" cm="1">
        <f t="array" aca="1" ref="N261" ca="1">_xlfn.XLOOKUP(Contrato5[[#This Row],[SUPERVISOR TITULAR]],[2]!PERSONAL_ACTIVO_2024[[#All],[Nombre completo]],[2]!PERSONAL_ACTIVO_2024[[#All],[Documento identidad]],"",0)</f>
        <v>#NAME?</v>
      </c>
      <c r="O261" s="194" t="s">
        <v>2495</v>
      </c>
      <c r="P261" s="196" t="e" cm="1">
        <f t="array" aca="1" ref="P261" ca="1">_xlfn.XLOOKUP(Contrato5[[#This Row],[SUPERVISOR SUPLENTE ]],[2]!PERSONAL_ACTIVO_2024[[#All],[Nombre completo]],[2]!PERSONAL_ACTIVO_2024[[#All],[Documento identidad]],"",0)</f>
        <v>#NAME?</v>
      </c>
      <c r="Q261" s="208">
        <v>269</v>
      </c>
      <c r="R261" s="137" t="e" cm="1">
        <f t="array" aca="1" ref="R261" ca="1">_xlfn.XLOOKUP(Contrato5[[#This Row],[CDP]],[2]!DISPONIBILIDADES_2024[[#All],[consecutivo]],[2]!DISPONIBILIDADES_2024[[#All],[fecha_aprobacion]],"",0)</f>
        <v>#NAME?</v>
      </c>
      <c r="S261" s="138" t="e">
        <f>SUMIF([2]!DISPONIBILIDADES_2024[[#All],[consecutivo]],Contrato5[[#This Row],[CDP]],[2]!DISPONIBILIDADES_2024[[#All],[valor_total_rubro]])</f>
        <v>#REF!</v>
      </c>
      <c r="T261" s="139" t="e" cm="1">
        <f t="array" aca="1" ref="T261" ca="1">_xlfn.XLOOKUP(Contrato5[[#This Row],[CONTRATO]]&amp;Contrato5[[#This Row],[CDP]],[2]!Corr_Contr_CDP[[#All],[CONTRATO-CDP]],[2]!Corr_Contr_CDP[[#All],[CRP]],_xlfn.XLOOKUP(Contrato5[[#This Row],[CDP]],[2]!COMPROMISOS_2024[[#All],[disponibilidad]],[2]!COMPROMISOS_2024[[#All],[consecutivo]],"",0),0)</f>
        <v>#NAME?</v>
      </c>
      <c r="U261" s="140" t="e" cm="1">
        <f t="array" aca="1" ref="U261" ca="1">+_xlfn.XLOOKUP(Contrato5[[#This Row],[RCP]],[2]!COMPROMISOS_2024[[#All],[consecutivo]],[2]!COMPROMISOS_2024[[#All],[fecha_aprobacion]],"",0)</f>
        <v>#NAME?</v>
      </c>
      <c r="V261" s="141" t="e">
        <f ca="1">SUMIF([2]!COMPROMISOS_2024[[#All],[consecutivo]],Contrato5[[#This Row],[RCP]],[2]!COMPROMISOS_2024[[#All],[valor_total]])</f>
        <v>#REF!</v>
      </c>
      <c r="W261" s="415">
        <v>45365</v>
      </c>
      <c r="X261" s="415">
        <v>45366</v>
      </c>
      <c r="Y261" s="143">
        <v>45366</v>
      </c>
      <c r="Z261" s="262">
        <v>45549</v>
      </c>
      <c r="AA261" s="183" t="s">
        <v>938</v>
      </c>
      <c r="AB261" s="161" t="s">
        <v>640</v>
      </c>
      <c r="AC261" s="161"/>
      <c r="AD261" s="211">
        <v>202000004032</v>
      </c>
      <c r="AE261" s="147" t="s">
        <v>523</v>
      </c>
      <c r="AF261" s="148" t="str">
        <f>TEXT(LEFT(Contrato5[[#This Row],[CONTRATO]],3),"0")</f>
        <v>217</v>
      </c>
      <c r="AG261" s="148" t="str">
        <f>IF(LEN(Contrato5[[#This Row],[Contrato2]])=3,Contrato5[[#This Row],[Contrato2]],TEXT(Contrato5[[#This Row],[Contrato2]],"000"))</f>
        <v>217</v>
      </c>
      <c r="AH261" s="149">
        <f ca="1">IFERROR(_xlfn.DAYS(Contrato5[[#This Row],[Fecha Proyectada liquidación]],TODAY())/30,"")</f>
        <v>-2.9666666666666668</v>
      </c>
      <c r="AI261" s="150">
        <f>+Contrato5[[#This Row],[FECHA TERMINACIÓN ]]+120</f>
        <v>45669</v>
      </c>
      <c r="AJ261" s="147"/>
      <c r="AK261" s="152" t="str">
        <f ca="1">IF(Contrato5[[#This Row],[FECHA TERMINACIÓN ]]&lt;TODAY(), "Terminado",IF(ISNUMBER(Contrato5[[#This Row],[Fecha Real de liquiidación ]]),"Liquidado",IF(Contrato5[[#This Row],[FECHA TERMINACIÓN ]]&gt;=TODAY(),"En ejecución","")))</f>
        <v>Terminado</v>
      </c>
      <c r="AL261" s="153" t="e">
        <f ca="1">SUMIF([2]!COMPROMISOS_2024[[#All],[consecutivo]],Contrato5[[#This Row],[RCP]],[2]!COMPROMISOS_2024[[#All],[Total pagado]])</f>
        <v>#REF!</v>
      </c>
      <c r="AM261" s="154">
        <f ca="1">IFERROR(Contrato5[[#This Row],[Pagos]]/Contrato5[[#This Row],[VALOR CONTRATO]],0)</f>
        <v>0</v>
      </c>
      <c r="AN261" s="198" t="e">
        <f ca="1">+Contrato5[[#This Row],[VALOR CONTRATO]]-Contrato5[[#This Row],[Pagos]]</f>
        <v>#REF!</v>
      </c>
      <c r="AO261" s="147" t="e" cm="1">
        <f t="array" aca="1" ref="AO261" ca="1">_xlfn.XLOOKUP(Contrato5[[#This Row],[DOCUMENTO ]],[2]!PERSONAL_ACTIVO_2024[[#All],[Documento identidad]],[2]!PERSONAL_ACTIVO_2024[[#All],[Mail ]],0,0)</f>
        <v>#NAME?</v>
      </c>
      <c r="AP261" s="147" t="e" cm="1">
        <f t="array" aca="1" ref="AP261" ca="1">_xlfn.XLOOKUP(Contrato5[[#This Row],[DOCUMENTO]],[2]!PERSONAL_ACTIVO_2024[[#All],[Documento identidad]],[2]!PERSONAL_ACTIVO_2024[[#All],[Mail ]],0,0)</f>
        <v>#NAME?</v>
      </c>
      <c r="AQ261" s="439" cm="1">
        <f t="array" aca="1" ref="AQ261" ca="1">IF(ISBLANK(Contrato5[[#This Row],[DEPENDENCIA ]]),0,IFERROR(_xlfn.XLOOKUP(Contrato5[[#This Row],[DEPENDENCIA ]],[2]!PERSONAL_ACTIVO_2024[[#All],[Dependencia]],[2]!PERSONAL_ACTIVO_2024[[#All],[Mail ]],0,0),0))</f>
        <v>0</v>
      </c>
    </row>
    <row r="262" spans="1:43" ht="34.5" customHeight="1">
      <c r="A262" s="125">
        <v>563</v>
      </c>
      <c r="B262" s="124">
        <v>218</v>
      </c>
      <c r="C262" s="162" t="s">
        <v>1708</v>
      </c>
      <c r="D262" s="227" t="s">
        <v>583</v>
      </c>
      <c r="E262" s="128" t="s">
        <v>94</v>
      </c>
      <c r="F262" s="163" t="s">
        <v>1376</v>
      </c>
      <c r="G262" s="190" t="s">
        <v>946</v>
      </c>
      <c r="H262" s="447">
        <v>98657326</v>
      </c>
      <c r="I262" s="455">
        <v>4908936</v>
      </c>
      <c r="J262" s="456">
        <v>29453616</v>
      </c>
      <c r="K262" s="166" t="s">
        <v>42</v>
      </c>
      <c r="L262" s="438" t="s">
        <v>42</v>
      </c>
      <c r="M262" s="194" t="s">
        <v>589</v>
      </c>
      <c r="N262" s="177" t="e" cm="1">
        <f t="array" aca="1" ref="N262" ca="1">_xlfn.XLOOKUP(Contrato5[[#This Row],[SUPERVISOR TITULAR]],[2]!PERSONAL_ACTIVO_2024[[#All],[Nombre completo]],[2]!PERSONAL_ACTIVO_2024[[#All],[Documento identidad]],"",0)</f>
        <v>#NAME?</v>
      </c>
      <c r="O262" s="194" t="s">
        <v>586</v>
      </c>
      <c r="P262" s="196" t="e" cm="1">
        <f t="array" aca="1" ref="P262" ca="1">_xlfn.XLOOKUP(Contrato5[[#This Row],[SUPERVISOR SUPLENTE ]],[2]!PERSONAL_ACTIVO_2024[[#All],[Nombre completo]],[2]!PERSONAL_ACTIVO_2024[[#All],[Documento identidad]],"",0)</f>
        <v>#NAME?</v>
      </c>
      <c r="Q262" s="208">
        <v>271</v>
      </c>
      <c r="R262" s="137" t="e" cm="1">
        <f t="array" aca="1" ref="R262" ca="1">_xlfn.XLOOKUP(Contrato5[[#This Row],[CDP]],[2]!DISPONIBILIDADES_2024[[#All],[consecutivo]],[2]!DISPONIBILIDADES_2024[[#All],[fecha_aprobacion]],"",0)</f>
        <v>#NAME?</v>
      </c>
      <c r="S262" s="138" t="e">
        <f>SUMIF([2]!DISPONIBILIDADES_2024[[#All],[consecutivo]],Contrato5[[#This Row],[CDP]],[2]!DISPONIBILIDADES_2024[[#All],[valor_total_rubro]])</f>
        <v>#REF!</v>
      </c>
      <c r="T262" s="139" t="e" cm="1">
        <f t="array" aca="1" ref="T262" ca="1">_xlfn.XLOOKUP(Contrato5[[#This Row],[CONTRATO]]&amp;Contrato5[[#This Row],[CDP]],[2]!Corr_Contr_CDP[[#All],[CONTRATO-CDP]],[2]!Corr_Contr_CDP[[#All],[CRP]],_xlfn.XLOOKUP(Contrato5[[#This Row],[CDP]],[2]!COMPROMISOS_2024[[#All],[disponibilidad]],[2]!COMPROMISOS_2024[[#All],[consecutivo]],"",0),0)</f>
        <v>#NAME?</v>
      </c>
      <c r="U262" s="140" t="e" cm="1">
        <f t="array" aca="1" ref="U262" ca="1">+_xlfn.XLOOKUP(Contrato5[[#This Row],[RCP]],[2]!COMPROMISOS_2024[[#All],[consecutivo]],[2]!COMPROMISOS_2024[[#All],[fecha_aprobacion]],"",0)</f>
        <v>#NAME?</v>
      </c>
      <c r="V262" s="141" t="e">
        <f ca="1">SUMIF([2]!COMPROMISOS_2024[[#All],[consecutivo]],Contrato5[[#This Row],[RCP]],[2]!COMPROMISOS_2024[[#All],[valor_total]])</f>
        <v>#REF!</v>
      </c>
      <c r="W262" s="415">
        <v>45366</v>
      </c>
      <c r="X262" s="415">
        <v>45366</v>
      </c>
      <c r="Y262" s="143">
        <v>45366</v>
      </c>
      <c r="Z262" s="262">
        <v>45549</v>
      </c>
      <c r="AA262" s="183" t="s">
        <v>938</v>
      </c>
      <c r="AB262" s="161" t="s">
        <v>640</v>
      </c>
      <c r="AC262" s="161"/>
      <c r="AD262" s="211">
        <v>202000004033</v>
      </c>
      <c r="AE262" s="147" t="s">
        <v>523</v>
      </c>
      <c r="AF262" s="148" t="str">
        <f>TEXT(LEFT(Contrato5[[#This Row],[CONTRATO]],3),"0")</f>
        <v>218</v>
      </c>
      <c r="AG262" s="148" t="str">
        <f>IF(LEN(Contrato5[[#This Row],[Contrato2]])=3,Contrato5[[#This Row],[Contrato2]],TEXT(Contrato5[[#This Row],[Contrato2]],"000"))</f>
        <v>218</v>
      </c>
      <c r="AH262" s="149">
        <f ca="1">IFERROR(_xlfn.DAYS(Contrato5[[#This Row],[Fecha Proyectada liquidación]],TODAY())/30,"")</f>
        <v>-2.9666666666666668</v>
      </c>
      <c r="AI262" s="150">
        <f>+Contrato5[[#This Row],[FECHA TERMINACIÓN ]]+120</f>
        <v>45669</v>
      </c>
      <c r="AJ262" s="147"/>
      <c r="AK262" s="152" t="str">
        <f ca="1">IF(Contrato5[[#This Row],[FECHA TERMINACIÓN ]]&lt;TODAY(), "Terminado",IF(ISNUMBER(Contrato5[[#This Row],[Fecha Real de liquiidación ]]),"Liquidado",IF(Contrato5[[#This Row],[FECHA TERMINACIÓN ]]&gt;=TODAY(),"En ejecución","")))</f>
        <v>Terminado</v>
      </c>
      <c r="AL262" s="153" t="e">
        <f ca="1">SUMIF([2]!COMPROMISOS_2024[[#All],[consecutivo]],Contrato5[[#This Row],[RCP]],[2]!COMPROMISOS_2024[[#All],[Total pagado]])</f>
        <v>#REF!</v>
      </c>
      <c r="AM262" s="154">
        <f ca="1">IFERROR(Contrato5[[#This Row],[Pagos]]/Contrato5[[#This Row],[VALOR CONTRATO]],0)</f>
        <v>0</v>
      </c>
      <c r="AN262" s="198" t="e">
        <f ca="1">+Contrato5[[#This Row],[VALOR CONTRATO]]-Contrato5[[#This Row],[Pagos]]</f>
        <v>#REF!</v>
      </c>
      <c r="AO262" s="147" t="e" cm="1">
        <f t="array" aca="1" ref="AO262" ca="1">_xlfn.XLOOKUP(Contrato5[[#This Row],[DOCUMENTO ]],[2]!PERSONAL_ACTIVO_2024[[#All],[Documento identidad]],[2]!PERSONAL_ACTIVO_2024[[#All],[Mail ]],0,0)</f>
        <v>#NAME?</v>
      </c>
      <c r="AP262" s="147" t="e" cm="1">
        <f t="array" aca="1" ref="AP262" ca="1">_xlfn.XLOOKUP(Contrato5[[#This Row],[DOCUMENTO]],[2]!PERSONAL_ACTIVO_2024[[#All],[Documento identidad]],[2]!PERSONAL_ACTIVO_2024[[#All],[Mail ]],0,0)</f>
        <v>#NAME?</v>
      </c>
      <c r="AQ262" s="439" cm="1">
        <f t="array" aca="1" ref="AQ262" ca="1">IF(ISBLANK(Contrato5[[#This Row],[DEPENDENCIA ]]),0,IFERROR(_xlfn.XLOOKUP(Contrato5[[#This Row],[DEPENDENCIA ]],[2]!PERSONAL_ACTIVO_2024[[#All],[Dependencia]],[2]!PERSONAL_ACTIVO_2024[[#All],[Mail ]],0,0),0))</f>
        <v>0</v>
      </c>
    </row>
    <row r="263" spans="1:43" ht="34.5" customHeight="1">
      <c r="A263" s="125">
        <v>564</v>
      </c>
      <c r="B263" s="124">
        <v>219</v>
      </c>
      <c r="C263" s="162" t="s">
        <v>1709</v>
      </c>
      <c r="D263" s="227" t="s">
        <v>583</v>
      </c>
      <c r="E263" s="128" t="s">
        <v>94</v>
      </c>
      <c r="F263" s="163" t="s">
        <v>1376</v>
      </c>
      <c r="G263" s="190" t="s">
        <v>947</v>
      </c>
      <c r="H263" s="447">
        <v>1017215382</v>
      </c>
      <c r="I263" s="455">
        <v>4908936</v>
      </c>
      <c r="J263" s="456">
        <v>29453616</v>
      </c>
      <c r="K263" s="166" t="s">
        <v>42</v>
      </c>
      <c r="L263" s="438" t="s">
        <v>42</v>
      </c>
      <c r="M263" s="194" t="s">
        <v>586</v>
      </c>
      <c r="N263" s="177" t="e" cm="1">
        <f t="array" aca="1" ref="N263" ca="1">_xlfn.XLOOKUP(Contrato5[[#This Row],[SUPERVISOR TITULAR]],[2]!PERSONAL_ACTIVO_2024[[#All],[Nombre completo]],[2]!PERSONAL_ACTIVO_2024[[#All],[Documento identidad]],"",0)</f>
        <v>#NAME?</v>
      </c>
      <c r="O263" s="194" t="s">
        <v>589</v>
      </c>
      <c r="P263" s="196" t="e" cm="1">
        <f t="array" aca="1" ref="P263" ca="1">_xlfn.XLOOKUP(Contrato5[[#This Row],[SUPERVISOR SUPLENTE ]],[2]!PERSONAL_ACTIVO_2024[[#All],[Nombre completo]],[2]!PERSONAL_ACTIVO_2024[[#All],[Documento identidad]],"",0)</f>
        <v>#NAME?</v>
      </c>
      <c r="Q263" s="208">
        <v>266</v>
      </c>
      <c r="R263" s="137" t="e" cm="1">
        <f t="array" aca="1" ref="R263" ca="1">_xlfn.XLOOKUP(Contrato5[[#This Row],[CDP]],[2]!DISPONIBILIDADES_2024[[#All],[consecutivo]],[2]!DISPONIBILIDADES_2024[[#All],[fecha_aprobacion]],"",0)</f>
        <v>#NAME?</v>
      </c>
      <c r="S263" s="138" t="e">
        <f>SUMIF([2]!DISPONIBILIDADES_2024[[#All],[consecutivo]],Contrato5[[#This Row],[CDP]],[2]!DISPONIBILIDADES_2024[[#All],[valor_total_rubro]])</f>
        <v>#REF!</v>
      </c>
      <c r="T263" s="139" t="e" cm="1">
        <f t="array" aca="1" ref="T263" ca="1">_xlfn.XLOOKUP(Contrato5[[#This Row],[CONTRATO]]&amp;Contrato5[[#This Row],[CDP]],[2]!Corr_Contr_CDP[[#All],[CONTRATO-CDP]],[2]!Corr_Contr_CDP[[#All],[CRP]],_xlfn.XLOOKUP(Contrato5[[#This Row],[CDP]],[2]!COMPROMISOS_2024[[#All],[disponibilidad]],[2]!COMPROMISOS_2024[[#All],[consecutivo]],"",0),0)</f>
        <v>#NAME?</v>
      </c>
      <c r="U263" s="140" t="e" cm="1">
        <f t="array" aca="1" ref="U263" ca="1">+_xlfn.XLOOKUP(Contrato5[[#This Row],[RCP]],[2]!COMPROMISOS_2024[[#All],[consecutivo]],[2]!COMPROMISOS_2024[[#All],[fecha_aprobacion]],"",0)</f>
        <v>#NAME?</v>
      </c>
      <c r="V263" s="141" t="e">
        <f ca="1">SUMIF([2]!COMPROMISOS_2024[[#All],[consecutivo]],Contrato5[[#This Row],[RCP]],[2]!COMPROMISOS_2024[[#All],[valor_total]])</f>
        <v>#REF!</v>
      </c>
      <c r="W263" s="415">
        <v>45365</v>
      </c>
      <c r="X263" s="415">
        <v>45366</v>
      </c>
      <c r="Y263" s="143">
        <v>45366</v>
      </c>
      <c r="Z263" s="262">
        <v>45549</v>
      </c>
      <c r="AA263" s="183" t="s">
        <v>938</v>
      </c>
      <c r="AB263" s="161" t="s">
        <v>640</v>
      </c>
      <c r="AC263" s="161"/>
      <c r="AD263" s="221">
        <v>202000004034</v>
      </c>
      <c r="AE263" s="147" t="s">
        <v>523</v>
      </c>
      <c r="AF263" s="148" t="str">
        <f>TEXT(LEFT(Contrato5[[#This Row],[CONTRATO]],3),"0")</f>
        <v>219</v>
      </c>
      <c r="AG263" s="148" t="str">
        <f>IF(LEN(Contrato5[[#This Row],[Contrato2]])=3,Contrato5[[#This Row],[Contrato2]],TEXT(Contrato5[[#This Row],[Contrato2]],"000"))</f>
        <v>219</v>
      </c>
      <c r="AH263" s="149">
        <f ca="1">IFERROR(_xlfn.DAYS(Contrato5[[#This Row],[Fecha Proyectada liquidación]],TODAY())/30,"")</f>
        <v>-2.9666666666666668</v>
      </c>
      <c r="AI263" s="150">
        <f>+Contrato5[[#This Row],[FECHA TERMINACIÓN ]]+120</f>
        <v>45669</v>
      </c>
      <c r="AJ263" s="147"/>
      <c r="AK263" s="152" t="str">
        <f ca="1">IF(Contrato5[[#This Row],[FECHA TERMINACIÓN ]]&lt;TODAY(), "Terminado",IF(ISNUMBER(Contrato5[[#This Row],[Fecha Real de liquiidación ]]),"Liquidado",IF(Contrato5[[#This Row],[FECHA TERMINACIÓN ]]&gt;=TODAY(),"En ejecución","")))</f>
        <v>Terminado</v>
      </c>
      <c r="AL263" s="153" t="e">
        <f ca="1">SUMIF([2]!COMPROMISOS_2024[[#All],[consecutivo]],Contrato5[[#This Row],[RCP]],[2]!COMPROMISOS_2024[[#All],[Total pagado]])</f>
        <v>#REF!</v>
      </c>
      <c r="AM263" s="154">
        <f ca="1">IFERROR(Contrato5[[#This Row],[Pagos]]/Contrato5[[#This Row],[VALOR CONTRATO]],0)</f>
        <v>0</v>
      </c>
      <c r="AN263" s="198" t="e">
        <f ca="1">+Contrato5[[#This Row],[VALOR CONTRATO]]-Contrato5[[#This Row],[Pagos]]</f>
        <v>#REF!</v>
      </c>
      <c r="AO263" s="147" t="e" cm="1">
        <f t="array" aca="1" ref="AO263" ca="1">_xlfn.XLOOKUP(Contrato5[[#This Row],[DOCUMENTO ]],[2]!PERSONAL_ACTIVO_2024[[#All],[Documento identidad]],[2]!PERSONAL_ACTIVO_2024[[#All],[Mail ]],0,0)</f>
        <v>#NAME?</v>
      </c>
      <c r="AP263" s="147" t="e" cm="1">
        <f t="array" aca="1" ref="AP263" ca="1">_xlfn.XLOOKUP(Contrato5[[#This Row],[DOCUMENTO]],[2]!PERSONAL_ACTIVO_2024[[#All],[Documento identidad]],[2]!PERSONAL_ACTIVO_2024[[#All],[Mail ]],0,0)</f>
        <v>#NAME?</v>
      </c>
      <c r="AQ263" s="439" cm="1">
        <f t="array" aca="1" ref="AQ263" ca="1">IF(ISBLANK(Contrato5[[#This Row],[DEPENDENCIA ]]),0,IFERROR(_xlfn.XLOOKUP(Contrato5[[#This Row],[DEPENDENCIA ]],[2]!PERSONAL_ACTIVO_2024[[#All],[Dependencia]],[2]!PERSONAL_ACTIVO_2024[[#All],[Mail ]],0,0),0))</f>
        <v>0</v>
      </c>
    </row>
    <row r="264" spans="1:43" ht="34.5" customHeight="1">
      <c r="A264" s="125">
        <v>565</v>
      </c>
      <c r="B264" s="124">
        <v>220</v>
      </c>
      <c r="C264" s="162" t="s">
        <v>2576</v>
      </c>
      <c r="D264" s="227" t="s">
        <v>583</v>
      </c>
      <c r="E264" s="128" t="s">
        <v>94</v>
      </c>
      <c r="F264" s="163" t="s">
        <v>1376</v>
      </c>
      <c r="G264" s="190" t="s">
        <v>948</v>
      </c>
      <c r="H264" s="447">
        <v>98630846</v>
      </c>
      <c r="I264" s="455">
        <v>4908936</v>
      </c>
      <c r="J264" s="456">
        <v>29453616</v>
      </c>
      <c r="K264" s="166" t="s">
        <v>42</v>
      </c>
      <c r="L264" s="438" t="s">
        <v>42</v>
      </c>
      <c r="M264" s="194" t="s">
        <v>586</v>
      </c>
      <c r="N264" s="177" t="e" cm="1">
        <f t="array" aca="1" ref="N264" ca="1">_xlfn.XLOOKUP(Contrato5[[#This Row],[SUPERVISOR TITULAR]],[2]!PERSONAL_ACTIVO_2024[[#All],[Nombre completo]],[2]!PERSONAL_ACTIVO_2024[[#All],[Documento identidad]],"",0)</f>
        <v>#NAME?</v>
      </c>
      <c r="O264" s="194" t="s">
        <v>589</v>
      </c>
      <c r="P264" s="196" t="e" cm="1">
        <f t="array" aca="1" ref="P264" ca="1">_xlfn.XLOOKUP(Contrato5[[#This Row],[SUPERVISOR SUPLENTE ]],[2]!PERSONAL_ACTIVO_2024[[#All],[Nombre completo]],[2]!PERSONAL_ACTIVO_2024[[#All],[Documento identidad]],"",0)</f>
        <v>#NAME?</v>
      </c>
      <c r="Q264" s="208">
        <v>270</v>
      </c>
      <c r="R264" s="137" t="e" cm="1">
        <f t="array" aca="1" ref="R264" ca="1">_xlfn.XLOOKUP(Contrato5[[#This Row],[CDP]],[2]!DISPONIBILIDADES_2024[[#All],[consecutivo]],[2]!DISPONIBILIDADES_2024[[#All],[fecha_aprobacion]],"",0)</f>
        <v>#NAME?</v>
      </c>
      <c r="S264" s="138" t="e">
        <f>SUMIF([2]!DISPONIBILIDADES_2024[[#All],[consecutivo]],Contrato5[[#This Row],[CDP]],[2]!DISPONIBILIDADES_2024[[#All],[valor_total_rubro]])</f>
        <v>#REF!</v>
      </c>
      <c r="T264" s="139" t="e" cm="1">
        <f t="array" aca="1" ref="T264" ca="1">_xlfn.XLOOKUP(Contrato5[[#This Row],[CONTRATO]]&amp;Contrato5[[#This Row],[CDP]],[2]!Corr_Contr_CDP[[#All],[CONTRATO-CDP]],[2]!Corr_Contr_CDP[[#All],[CRP]],_xlfn.XLOOKUP(Contrato5[[#This Row],[CDP]],[2]!COMPROMISOS_2024[[#All],[disponibilidad]],[2]!COMPROMISOS_2024[[#All],[consecutivo]],"",0),0)</f>
        <v>#NAME?</v>
      </c>
      <c r="U264" s="140" t="e" cm="1">
        <f t="array" aca="1" ref="U264" ca="1">+_xlfn.XLOOKUP(Contrato5[[#This Row],[RCP]],[2]!COMPROMISOS_2024[[#All],[consecutivo]],[2]!COMPROMISOS_2024[[#All],[fecha_aprobacion]],"",0)</f>
        <v>#NAME?</v>
      </c>
      <c r="V264" s="141" t="e">
        <f ca="1">SUMIF([2]!COMPROMISOS_2024[[#All],[consecutivo]],Contrato5[[#This Row],[RCP]],[2]!COMPROMISOS_2024[[#All],[valor_total]])</f>
        <v>#REF!</v>
      </c>
      <c r="W264" s="415">
        <v>45365</v>
      </c>
      <c r="X264" s="415">
        <v>45366</v>
      </c>
      <c r="Y264" s="143">
        <v>45366</v>
      </c>
      <c r="Z264" s="262">
        <v>45549</v>
      </c>
      <c r="AA264" s="183" t="s">
        <v>938</v>
      </c>
      <c r="AB264" s="161" t="s">
        <v>640</v>
      </c>
      <c r="AC264" s="161"/>
      <c r="AD264" s="211">
        <v>202000004035</v>
      </c>
      <c r="AE264" s="147" t="s">
        <v>523</v>
      </c>
      <c r="AF264" s="148" t="str">
        <f>TEXT(LEFT(Contrato5[[#This Row],[CONTRATO]],3),"0")</f>
        <v>220</v>
      </c>
      <c r="AG264" s="148" t="str">
        <f>IF(LEN(Contrato5[[#This Row],[Contrato2]])=3,Contrato5[[#This Row],[Contrato2]],TEXT(Contrato5[[#This Row],[Contrato2]],"000"))</f>
        <v>220</v>
      </c>
      <c r="AH264" s="149">
        <f ca="1">IFERROR(_xlfn.DAYS(Contrato5[[#This Row],[Fecha Proyectada liquidación]],TODAY())/30,"")</f>
        <v>-2.9666666666666668</v>
      </c>
      <c r="AI264" s="150">
        <f>+Contrato5[[#This Row],[FECHA TERMINACIÓN ]]+120</f>
        <v>45669</v>
      </c>
      <c r="AJ264" s="147"/>
      <c r="AK264" s="152" t="str">
        <f ca="1">IF(Contrato5[[#This Row],[FECHA TERMINACIÓN ]]&lt;TODAY(), "Terminado",IF(ISNUMBER(Contrato5[[#This Row],[Fecha Real de liquiidación ]]),"Liquidado",IF(Contrato5[[#This Row],[FECHA TERMINACIÓN ]]&gt;=TODAY(),"En ejecución","")))</f>
        <v>Terminado</v>
      </c>
      <c r="AL264" s="153" t="e">
        <f ca="1">SUMIF([2]!COMPROMISOS_2024[[#All],[consecutivo]],Contrato5[[#This Row],[RCP]],[2]!COMPROMISOS_2024[[#All],[Total pagado]])</f>
        <v>#REF!</v>
      </c>
      <c r="AM264" s="154">
        <f ca="1">IFERROR(Contrato5[[#This Row],[Pagos]]/Contrato5[[#This Row],[VALOR CONTRATO]],0)</f>
        <v>0</v>
      </c>
      <c r="AN264" s="198" t="e">
        <f ca="1">+Contrato5[[#This Row],[VALOR CONTRATO]]-Contrato5[[#This Row],[Pagos]]</f>
        <v>#REF!</v>
      </c>
      <c r="AO264" s="147" t="e" cm="1">
        <f t="array" aca="1" ref="AO264" ca="1">_xlfn.XLOOKUP(Contrato5[[#This Row],[DOCUMENTO ]],[2]!PERSONAL_ACTIVO_2024[[#All],[Documento identidad]],[2]!PERSONAL_ACTIVO_2024[[#All],[Mail ]],0,0)</f>
        <v>#NAME?</v>
      </c>
      <c r="AP264" s="147" t="e" cm="1">
        <f t="array" aca="1" ref="AP264" ca="1">_xlfn.XLOOKUP(Contrato5[[#This Row],[DOCUMENTO]],[2]!PERSONAL_ACTIVO_2024[[#All],[Documento identidad]],[2]!PERSONAL_ACTIVO_2024[[#All],[Mail ]],0,0)</f>
        <v>#NAME?</v>
      </c>
      <c r="AQ264" s="439" cm="1">
        <f t="array" aca="1" ref="AQ264" ca="1">IF(ISBLANK(Contrato5[[#This Row],[DEPENDENCIA ]]),0,IFERROR(_xlfn.XLOOKUP(Contrato5[[#This Row],[DEPENDENCIA ]],[2]!PERSONAL_ACTIVO_2024[[#All],[Dependencia]],[2]!PERSONAL_ACTIVO_2024[[#All],[Mail ]],0,0),0))</f>
        <v>0</v>
      </c>
    </row>
    <row r="265" spans="1:43" ht="34.5" customHeight="1">
      <c r="A265" s="125">
        <v>566</v>
      </c>
      <c r="B265" s="124">
        <v>221</v>
      </c>
      <c r="C265" s="162" t="s">
        <v>1711</v>
      </c>
      <c r="D265" s="227" t="s">
        <v>583</v>
      </c>
      <c r="E265" s="128" t="s">
        <v>94</v>
      </c>
      <c r="F265" s="163" t="s">
        <v>1376</v>
      </c>
      <c r="G265" s="190" t="s">
        <v>949</v>
      </c>
      <c r="H265" s="447">
        <v>71217825</v>
      </c>
      <c r="I265" s="455">
        <v>4908936</v>
      </c>
      <c r="J265" s="456">
        <v>29453616</v>
      </c>
      <c r="K265" s="166" t="s">
        <v>42</v>
      </c>
      <c r="L265" s="438" t="s">
        <v>42</v>
      </c>
      <c r="M265" s="194" t="s">
        <v>586</v>
      </c>
      <c r="N265" s="177" t="e" cm="1">
        <f t="array" aca="1" ref="N265" ca="1">_xlfn.XLOOKUP(Contrato5[[#This Row],[SUPERVISOR TITULAR]],[2]!PERSONAL_ACTIVO_2024[[#All],[Nombre completo]],[2]!PERSONAL_ACTIVO_2024[[#All],[Documento identidad]],"",0)</f>
        <v>#NAME?</v>
      </c>
      <c r="O265" s="194" t="s">
        <v>589</v>
      </c>
      <c r="P265" s="196" t="e" cm="1">
        <f t="array" aca="1" ref="P265" ca="1">_xlfn.XLOOKUP(Contrato5[[#This Row],[SUPERVISOR SUPLENTE ]],[2]!PERSONAL_ACTIVO_2024[[#All],[Nombre completo]],[2]!PERSONAL_ACTIVO_2024[[#All],[Documento identidad]],"",0)</f>
        <v>#NAME?</v>
      </c>
      <c r="Q265" s="208">
        <v>276</v>
      </c>
      <c r="R265" s="137" t="e" cm="1">
        <f t="array" aca="1" ref="R265" ca="1">_xlfn.XLOOKUP(Contrato5[[#This Row],[CDP]],[2]!DISPONIBILIDADES_2024[[#All],[consecutivo]],[2]!DISPONIBILIDADES_2024[[#All],[fecha_aprobacion]],"",0)</f>
        <v>#NAME?</v>
      </c>
      <c r="S265" s="138" t="e">
        <f>SUMIF([2]!DISPONIBILIDADES_2024[[#All],[consecutivo]],Contrato5[[#This Row],[CDP]],[2]!DISPONIBILIDADES_2024[[#All],[valor_total_rubro]])</f>
        <v>#REF!</v>
      </c>
      <c r="T265" s="139" t="e" cm="1">
        <f t="array" aca="1" ref="T265" ca="1">_xlfn.XLOOKUP(Contrato5[[#This Row],[CONTRATO]]&amp;Contrato5[[#This Row],[CDP]],[2]!Corr_Contr_CDP[[#All],[CONTRATO-CDP]],[2]!Corr_Contr_CDP[[#All],[CRP]],_xlfn.XLOOKUP(Contrato5[[#This Row],[CDP]],[2]!COMPROMISOS_2024[[#All],[disponibilidad]],[2]!COMPROMISOS_2024[[#All],[consecutivo]],"",0),0)</f>
        <v>#NAME?</v>
      </c>
      <c r="U265" s="140" t="e" cm="1">
        <f t="array" aca="1" ref="U265" ca="1">+_xlfn.XLOOKUP(Contrato5[[#This Row],[RCP]],[2]!COMPROMISOS_2024[[#All],[consecutivo]],[2]!COMPROMISOS_2024[[#All],[fecha_aprobacion]],"",0)</f>
        <v>#NAME?</v>
      </c>
      <c r="V265" s="141" t="e">
        <f ca="1">SUMIF([2]!COMPROMISOS_2024[[#All],[consecutivo]],Contrato5[[#This Row],[RCP]],[2]!COMPROMISOS_2024[[#All],[valor_total]])</f>
        <v>#REF!</v>
      </c>
      <c r="W265" s="415">
        <v>45365</v>
      </c>
      <c r="X265" s="415">
        <v>45366</v>
      </c>
      <c r="Y265" s="143">
        <v>45366</v>
      </c>
      <c r="Z265" s="262">
        <v>45549</v>
      </c>
      <c r="AA265" s="183" t="s">
        <v>938</v>
      </c>
      <c r="AB265" s="161" t="s">
        <v>640</v>
      </c>
      <c r="AC265" s="161"/>
      <c r="AD265" s="221">
        <v>202000004036</v>
      </c>
      <c r="AE265" s="147" t="s">
        <v>523</v>
      </c>
      <c r="AF265" s="148" t="str">
        <f>TEXT(LEFT(Contrato5[[#This Row],[CONTRATO]],3),"0")</f>
        <v>221</v>
      </c>
      <c r="AG265" s="148" t="str">
        <f>IF(LEN(Contrato5[[#This Row],[Contrato2]])=3,Contrato5[[#This Row],[Contrato2]],TEXT(Contrato5[[#This Row],[Contrato2]],"000"))</f>
        <v>221</v>
      </c>
      <c r="AH265" s="149">
        <f ca="1">IFERROR(_xlfn.DAYS(Contrato5[[#This Row],[Fecha Proyectada liquidación]],TODAY())/30,"")</f>
        <v>-2.9666666666666668</v>
      </c>
      <c r="AI265" s="150">
        <f>+Contrato5[[#This Row],[FECHA TERMINACIÓN ]]+120</f>
        <v>45669</v>
      </c>
      <c r="AJ265" s="147"/>
      <c r="AK265" s="152" t="str">
        <f ca="1">IF(Contrato5[[#This Row],[FECHA TERMINACIÓN ]]&lt;TODAY(), "Terminado",IF(ISNUMBER(Contrato5[[#This Row],[Fecha Real de liquiidación ]]),"Liquidado",IF(Contrato5[[#This Row],[FECHA TERMINACIÓN ]]&gt;=TODAY(),"En ejecución","")))</f>
        <v>Terminado</v>
      </c>
      <c r="AL265" s="153" t="e">
        <f ca="1">SUMIF([2]!COMPROMISOS_2024[[#All],[consecutivo]],Contrato5[[#This Row],[RCP]],[2]!COMPROMISOS_2024[[#All],[Total pagado]])</f>
        <v>#REF!</v>
      </c>
      <c r="AM265" s="154">
        <f ca="1">IFERROR(Contrato5[[#This Row],[Pagos]]/Contrato5[[#This Row],[VALOR CONTRATO]],0)</f>
        <v>0</v>
      </c>
      <c r="AN265" s="198" t="e">
        <f ca="1">+Contrato5[[#This Row],[VALOR CONTRATO]]-Contrato5[[#This Row],[Pagos]]</f>
        <v>#REF!</v>
      </c>
      <c r="AO265" s="147" t="e" cm="1">
        <f t="array" aca="1" ref="AO265" ca="1">_xlfn.XLOOKUP(Contrato5[[#This Row],[DOCUMENTO ]],[2]!PERSONAL_ACTIVO_2024[[#All],[Documento identidad]],[2]!PERSONAL_ACTIVO_2024[[#All],[Mail ]],0,0)</f>
        <v>#NAME?</v>
      </c>
      <c r="AP265" s="147" t="e" cm="1">
        <f t="array" aca="1" ref="AP265" ca="1">_xlfn.XLOOKUP(Contrato5[[#This Row],[DOCUMENTO]],[2]!PERSONAL_ACTIVO_2024[[#All],[Documento identidad]],[2]!PERSONAL_ACTIVO_2024[[#All],[Mail ]],0,0)</f>
        <v>#NAME?</v>
      </c>
      <c r="AQ265" s="439" cm="1">
        <f t="array" aca="1" ref="AQ265" ca="1">IF(ISBLANK(Contrato5[[#This Row],[DEPENDENCIA ]]),0,IFERROR(_xlfn.XLOOKUP(Contrato5[[#This Row],[DEPENDENCIA ]],[2]!PERSONAL_ACTIVO_2024[[#All],[Dependencia]],[2]!PERSONAL_ACTIVO_2024[[#All],[Mail ]],0,0),0))</f>
        <v>0</v>
      </c>
    </row>
    <row r="266" spans="1:43" ht="34.5" customHeight="1">
      <c r="A266" s="125">
        <v>567</v>
      </c>
      <c r="B266" s="124">
        <v>222</v>
      </c>
      <c r="C266" s="162" t="s">
        <v>1712</v>
      </c>
      <c r="D266" s="227" t="s">
        <v>583</v>
      </c>
      <c r="E266" s="128" t="s">
        <v>94</v>
      </c>
      <c r="F266" s="163" t="s">
        <v>1376</v>
      </c>
      <c r="G266" s="190" t="s">
        <v>950</v>
      </c>
      <c r="H266" s="447">
        <v>1020418840</v>
      </c>
      <c r="I266" s="455">
        <v>4908936</v>
      </c>
      <c r="J266" s="456">
        <v>29453616</v>
      </c>
      <c r="K266" s="166" t="s">
        <v>42</v>
      </c>
      <c r="L266" s="438" t="s">
        <v>42</v>
      </c>
      <c r="M266" s="194" t="s">
        <v>586</v>
      </c>
      <c r="N266" s="177" t="e" cm="1">
        <f t="array" aca="1" ref="N266" ca="1">_xlfn.XLOOKUP(Contrato5[[#This Row],[SUPERVISOR TITULAR]],[2]!PERSONAL_ACTIVO_2024[[#All],[Nombre completo]],[2]!PERSONAL_ACTIVO_2024[[#All],[Documento identidad]],"",0)</f>
        <v>#NAME?</v>
      </c>
      <c r="O266" s="194" t="s">
        <v>589</v>
      </c>
      <c r="P266" s="196" t="e" cm="1">
        <f t="array" aca="1" ref="P266" ca="1">_xlfn.XLOOKUP(Contrato5[[#This Row],[SUPERVISOR SUPLENTE ]],[2]!PERSONAL_ACTIVO_2024[[#All],[Nombre completo]],[2]!PERSONAL_ACTIVO_2024[[#All],[Documento identidad]],"",0)</f>
        <v>#NAME?</v>
      </c>
      <c r="Q266" s="208">
        <v>274</v>
      </c>
      <c r="R266" s="137" t="e" cm="1">
        <f t="array" aca="1" ref="R266" ca="1">_xlfn.XLOOKUP(Contrato5[[#This Row],[CDP]],[2]!DISPONIBILIDADES_2024[[#All],[consecutivo]],[2]!DISPONIBILIDADES_2024[[#All],[fecha_aprobacion]],"",0)</f>
        <v>#NAME?</v>
      </c>
      <c r="S266" s="138" t="e">
        <f>SUMIF([2]!DISPONIBILIDADES_2024[[#All],[consecutivo]],Contrato5[[#This Row],[CDP]],[2]!DISPONIBILIDADES_2024[[#All],[valor_total_rubro]])</f>
        <v>#REF!</v>
      </c>
      <c r="T266" s="139" t="e" cm="1">
        <f t="array" aca="1" ref="T266" ca="1">_xlfn.XLOOKUP(Contrato5[[#This Row],[CONTRATO]]&amp;Contrato5[[#This Row],[CDP]],[2]!Corr_Contr_CDP[[#All],[CONTRATO-CDP]],[2]!Corr_Contr_CDP[[#All],[CRP]],_xlfn.XLOOKUP(Contrato5[[#This Row],[CDP]],[2]!COMPROMISOS_2024[[#All],[disponibilidad]],[2]!COMPROMISOS_2024[[#All],[consecutivo]],"",0),0)</f>
        <v>#NAME?</v>
      </c>
      <c r="U266" s="140" t="e" cm="1">
        <f t="array" aca="1" ref="U266" ca="1">+_xlfn.XLOOKUP(Contrato5[[#This Row],[RCP]],[2]!COMPROMISOS_2024[[#All],[consecutivo]],[2]!COMPROMISOS_2024[[#All],[fecha_aprobacion]],"",0)</f>
        <v>#NAME?</v>
      </c>
      <c r="V266" s="141" t="e">
        <f ca="1">SUMIF([2]!COMPROMISOS_2024[[#All],[consecutivo]],Contrato5[[#This Row],[RCP]],[2]!COMPROMISOS_2024[[#All],[valor_total]])</f>
        <v>#REF!</v>
      </c>
      <c r="W266" s="415">
        <v>45365</v>
      </c>
      <c r="X266" s="415">
        <v>45366</v>
      </c>
      <c r="Y266" s="143">
        <v>45366</v>
      </c>
      <c r="Z266" s="262">
        <v>45549</v>
      </c>
      <c r="AA266" s="183" t="s">
        <v>938</v>
      </c>
      <c r="AB266" s="161" t="s">
        <v>640</v>
      </c>
      <c r="AC266" s="161"/>
      <c r="AD266" s="211">
        <v>202000004037</v>
      </c>
      <c r="AE266" s="147" t="s">
        <v>523</v>
      </c>
      <c r="AF266" s="148" t="str">
        <f>TEXT(LEFT(Contrato5[[#This Row],[CONTRATO]],3),"0")</f>
        <v>222</v>
      </c>
      <c r="AG266" s="148" t="str">
        <f>IF(LEN(Contrato5[[#This Row],[Contrato2]])=3,Contrato5[[#This Row],[Contrato2]],TEXT(Contrato5[[#This Row],[Contrato2]],"000"))</f>
        <v>222</v>
      </c>
      <c r="AH266" s="149">
        <f ca="1">IFERROR(_xlfn.DAYS(Contrato5[[#This Row],[Fecha Proyectada liquidación]],TODAY())/30,"")</f>
        <v>-2.9666666666666668</v>
      </c>
      <c r="AI266" s="150">
        <f>+Contrato5[[#This Row],[FECHA TERMINACIÓN ]]+120</f>
        <v>45669</v>
      </c>
      <c r="AJ266" s="147"/>
      <c r="AK266" s="152" t="str">
        <f ca="1">IF(Contrato5[[#This Row],[FECHA TERMINACIÓN ]]&lt;TODAY(), "Terminado",IF(ISNUMBER(Contrato5[[#This Row],[Fecha Real de liquiidación ]]),"Liquidado",IF(Contrato5[[#This Row],[FECHA TERMINACIÓN ]]&gt;=TODAY(),"En ejecución","")))</f>
        <v>Terminado</v>
      </c>
      <c r="AL266" s="153" t="e">
        <f ca="1">SUMIF([2]!COMPROMISOS_2024[[#All],[consecutivo]],Contrato5[[#This Row],[RCP]],[2]!COMPROMISOS_2024[[#All],[Total pagado]])</f>
        <v>#REF!</v>
      </c>
      <c r="AM266" s="154">
        <f ca="1">IFERROR(Contrato5[[#This Row],[Pagos]]/Contrato5[[#This Row],[VALOR CONTRATO]],0)</f>
        <v>0</v>
      </c>
      <c r="AN266" s="198" t="e">
        <f ca="1">+Contrato5[[#This Row],[VALOR CONTRATO]]-Contrato5[[#This Row],[Pagos]]</f>
        <v>#REF!</v>
      </c>
      <c r="AO266" s="147" t="e" cm="1">
        <f t="array" aca="1" ref="AO266" ca="1">_xlfn.XLOOKUP(Contrato5[[#This Row],[DOCUMENTO ]],[2]!PERSONAL_ACTIVO_2024[[#All],[Documento identidad]],[2]!PERSONAL_ACTIVO_2024[[#All],[Mail ]],0,0)</f>
        <v>#NAME?</v>
      </c>
      <c r="AP266" s="147" t="e" cm="1">
        <f t="array" aca="1" ref="AP266" ca="1">_xlfn.XLOOKUP(Contrato5[[#This Row],[DOCUMENTO]],[2]!PERSONAL_ACTIVO_2024[[#All],[Documento identidad]],[2]!PERSONAL_ACTIVO_2024[[#All],[Mail ]],0,0)</f>
        <v>#NAME?</v>
      </c>
      <c r="AQ266" s="439" cm="1">
        <f t="array" aca="1" ref="AQ266" ca="1">IF(ISBLANK(Contrato5[[#This Row],[DEPENDENCIA ]]),0,IFERROR(_xlfn.XLOOKUP(Contrato5[[#This Row],[DEPENDENCIA ]],[2]!PERSONAL_ACTIVO_2024[[#All],[Dependencia]],[2]!PERSONAL_ACTIVO_2024[[#All],[Mail ]],0,0),0))</f>
        <v>0</v>
      </c>
    </row>
    <row r="267" spans="1:43" ht="34.5" customHeight="1">
      <c r="A267" s="125">
        <v>568</v>
      </c>
      <c r="B267" s="124">
        <v>223</v>
      </c>
      <c r="C267" s="162" t="s">
        <v>1713</v>
      </c>
      <c r="D267" s="227" t="s">
        <v>583</v>
      </c>
      <c r="E267" s="128" t="s">
        <v>94</v>
      </c>
      <c r="F267" s="163" t="s">
        <v>1376</v>
      </c>
      <c r="G267" s="190" t="s">
        <v>951</v>
      </c>
      <c r="H267" s="447">
        <v>43278118</v>
      </c>
      <c r="I267" s="455">
        <v>4908936</v>
      </c>
      <c r="J267" s="456">
        <v>29453616</v>
      </c>
      <c r="K267" s="166" t="s">
        <v>42</v>
      </c>
      <c r="L267" s="438" t="s">
        <v>42</v>
      </c>
      <c r="M267" s="194" t="s">
        <v>600</v>
      </c>
      <c r="N267" s="177" t="e" cm="1">
        <f t="array" aca="1" ref="N267" ca="1">_xlfn.XLOOKUP(Contrato5[[#This Row],[SUPERVISOR TITULAR]],[2]!PERSONAL_ACTIVO_2024[[#All],[Nombre completo]],[2]!PERSONAL_ACTIVO_2024[[#All],[Documento identidad]],"",0)</f>
        <v>#NAME?</v>
      </c>
      <c r="O267" s="194" t="s">
        <v>2495</v>
      </c>
      <c r="P267" s="196" t="e" cm="1">
        <f t="array" aca="1" ref="P267" ca="1">_xlfn.XLOOKUP(Contrato5[[#This Row],[SUPERVISOR SUPLENTE ]],[2]!PERSONAL_ACTIVO_2024[[#All],[Nombre completo]],[2]!PERSONAL_ACTIVO_2024[[#All],[Documento identidad]],"",0)</f>
        <v>#NAME?</v>
      </c>
      <c r="Q267" s="208">
        <v>265</v>
      </c>
      <c r="R267" s="137" t="e" cm="1">
        <f t="array" aca="1" ref="R267" ca="1">_xlfn.XLOOKUP(Contrato5[[#This Row],[CDP]],[2]!DISPONIBILIDADES_2024[[#All],[consecutivo]],[2]!DISPONIBILIDADES_2024[[#All],[fecha_aprobacion]],"",0)</f>
        <v>#NAME?</v>
      </c>
      <c r="S267" s="138" t="e">
        <f>SUMIF([2]!DISPONIBILIDADES_2024[[#All],[consecutivo]],Contrato5[[#This Row],[CDP]],[2]!DISPONIBILIDADES_2024[[#All],[valor_total_rubro]])</f>
        <v>#REF!</v>
      </c>
      <c r="T267" s="139" t="e" cm="1">
        <f t="array" aca="1" ref="T267" ca="1">_xlfn.XLOOKUP(Contrato5[[#This Row],[CONTRATO]]&amp;Contrato5[[#This Row],[CDP]],[2]!Corr_Contr_CDP[[#All],[CONTRATO-CDP]],[2]!Corr_Contr_CDP[[#All],[CRP]],_xlfn.XLOOKUP(Contrato5[[#This Row],[CDP]],[2]!COMPROMISOS_2024[[#All],[disponibilidad]],[2]!COMPROMISOS_2024[[#All],[consecutivo]],"",0),0)</f>
        <v>#NAME?</v>
      </c>
      <c r="U267" s="140" t="e" cm="1">
        <f t="array" aca="1" ref="U267" ca="1">+_xlfn.XLOOKUP(Contrato5[[#This Row],[RCP]],[2]!COMPROMISOS_2024[[#All],[consecutivo]],[2]!COMPROMISOS_2024[[#All],[fecha_aprobacion]],"",0)</f>
        <v>#NAME?</v>
      </c>
      <c r="V267" s="141" t="e">
        <f ca="1">SUMIF([2]!COMPROMISOS_2024[[#All],[consecutivo]],Contrato5[[#This Row],[RCP]],[2]!COMPROMISOS_2024[[#All],[valor_total]])</f>
        <v>#REF!</v>
      </c>
      <c r="W267" s="415">
        <v>45365</v>
      </c>
      <c r="X267" s="415">
        <v>45366</v>
      </c>
      <c r="Y267" s="143">
        <v>45366</v>
      </c>
      <c r="Z267" s="262">
        <v>45549</v>
      </c>
      <c r="AA267" s="183" t="s">
        <v>938</v>
      </c>
      <c r="AB267" s="161" t="s">
        <v>640</v>
      </c>
      <c r="AC267" s="161"/>
      <c r="AD267" s="211">
        <v>202000004038</v>
      </c>
      <c r="AE267" s="147" t="s">
        <v>523</v>
      </c>
      <c r="AF267" s="148" t="str">
        <f>TEXT(LEFT(Contrato5[[#This Row],[CONTRATO]],3),"0")</f>
        <v>223</v>
      </c>
      <c r="AG267" s="148" t="str">
        <f>IF(LEN(Contrato5[[#This Row],[Contrato2]])=3,Contrato5[[#This Row],[Contrato2]],TEXT(Contrato5[[#This Row],[Contrato2]],"000"))</f>
        <v>223</v>
      </c>
      <c r="AH267" s="149">
        <f ca="1">IFERROR(_xlfn.DAYS(Contrato5[[#This Row],[Fecha Proyectada liquidación]],TODAY())/30,"")</f>
        <v>-2.9666666666666668</v>
      </c>
      <c r="AI267" s="150">
        <f>+Contrato5[[#This Row],[FECHA TERMINACIÓN ]]+120</f>
        <v>45669</v>
      </c>
      <c r="AJ267" s="147"/>
      <c r="AK267" s="152" t="str">
        <f ca="1">IF(Contrato5[[#This Row],[FECHA TERMINACIÓN ]]&lt;TODAY(), "Terminado",IF(ISNUMBER(Contrato5[[#This Row],[Fecha Real de liquiidación ]]),"Liquidado",IF(Contrato5[[#This Row],[FECHA TERMINACIÓN ]]&gt;=TODAY(),"En ejecución","")))</f>
        <v>Terminado</v>
      </c>
      <c r="AL267" s="153" t="e">
        <f ca="1">SUMIF([2]!COMPROMISOS_2024[[#All],[consecutivo]],Contrato5[[#This Row],[RCP]],[2]!COMPROMISOS_2024[[#All],[Total pagado]])</f>
        <v>#REF!</v>
      </c>
      <c r="AM267" s="154">
        <f ca="1">IFERROR(Contrato5[[#This Row],[Pagos]]/Contrato5[[#This Row],[VALOR CONTRATO]],0)</f>
        <v>0</v>
      </c>
      <c r="AN267" s="198" t="e">
        <f ca="1">+Contrato5[[#This Row],[VALOR CONTRATO]]-Contrato5[[#This Row],[Pagos]]</f>
        <v>#REF!</v>
      </c>
      <c r="AO267" s="147" t="e" cm="1">
        <f t="array" aca="1" ref="AO267" ca="1">_xlfn.XLOOKUP(Contrato5[[#This Row],[DOCUMENTO ]],[2]!PERSONAL_ACTIVO_2024[[#All],[Documento identidad]],[2]!PERSONAL_ACTIVO_2024[[#All],[Mail ]],0,0)</f>
        <v>#NAME?</v>
      </c>
      <c r="AP267" s="147" t="e" cm="1">
        <f t="array" aca="1" ref="AP267" ca="1">_xlfn.XLOOKUP(Contrato5[[#This Row],[DOCUMENTO]],[2]!PERSONAL_ACTIVO_2024[[#All],[Documento identidad]],[2]!PERSONAL_ACTIVO_2024[[#All],[Mail ]],0,0)</f>
        <v>#NAME?</v>
      </c>
      <c r="AQ267" s="439" cm="1">
        <f t="array" aca="1" ref="AQ267" ca="1">IF(ISBLANK(Contrato5[[#This Row],[DEPENDENCIA ]]),0,IFERROR(_xlfn.XLOOKUP(Contrato5[[#This Row],[DEPENDENCIA ]],[2]!PERSONAL_ACTIVO_2024[[#All],[Dependencia]],[2]!PERSONAL_ACTIVO_2024[[#All],[Mail ]],0,0),0))</f>
        <v>0</v>
      </c>
    </row>
    <row r="268" spans="1:43" ht="34.5" customHeight="1">
      <c r="A268" s="125">
        <v>569</v>
      </c>
      <c r="B268" s="124">
        <v>224</v>
      </c>
      <c r="C268" s="162" t="s">
        <v>1714</v>
      </c>
      <c r="D268" s="227" t="s">
        <v>583</v>
      </c>
      <c r="E268" s="128" t="s">
        <v>94</v>
      </c>
      <c r="F268" s="163" t="s">
        <v>1376</v>
      </c>
      <c r="G268" s="190" t="s">
        <v>952</v>
      </c>
      <c r="H268" s="447">
        <v>1007416617</v>
      </c>
      <c r="I268" s="455">
        <v>4908936</v>
      </c>
      <c r="J268" s="456">
        <v>29453616</v>
      </c>
      <c r="K268" s="166" t="s">
        <v>42</v>
      </c>
      <c r="L268" s="438" t="s">
        <v>42</v>
      </c>
      <c r="M268" s="194" t="s">
        <v>586</v>
      </c>
      <c r="N268" s="177" t="e" cm="1">
        <f t="array" aca="1" ref="N268" ca="1">_xlfn.XLOOKUP(Contrato5[[#This Row],[SUPERVISOR TITULAR]],[2]!PERSONAL_ACTIVO_2024[[#All],[Nombre completo]],[2]!PERSONAL_ACTIVO_2024[[#All],[Documento identidad]],"",0)</f>
        <v>#NAME?</v>
      </c>
      <c r="O268" s="194" t="s">
        <v>589</v>
      </c>
      <c r="P268" s="196" t="e" cm="1">
        <f t="array" aca="1" ref="P268" ca="1">_xlfn.XLOOKUP(Contrato5[[#This Row],[SUPERVISOR SUPLENTE ]],[2]!PERSONAL_ACTIVO_2024[[#All],[Nombre completo]],[2]!PERSONAL_ACTIVO_2024[[#All],[Documento identidad]],"",0)</f>
        <v>#NAME?</v>
      </c>
      <c r="Q268" s="208">
        <v>264</v>
      </c>
      <c r="R268" s="137" t="e" cm="1">
        <f t="array" aca="1" ref="R268" ca="1">_xlfn.XLOOKUP(Contrato5[[#This Row],[CDP]],[2]!DISPONIBILIDADES_2024[[#All],[consecutivo]],[2]!DISPONIBILIDADES_2024[[#All],[fecha_aprobacion]],"",0)</f>
        <v>#NAME?</v>
      </c>
      <c r="S268" s="138" t="e">
        <f>SUMIF([2]!DISPONIBILIDADES_2024[[#All],[consecutivo]],Contrato5[[#This Row],[CDP]],[2]!DISPONIBILIDADES_2024[[#All],[valor_total_rubro]])</f>
        <v>#REF!</v>
      </c>
      <c r="T268" s="139" t="e" cm="1">
        <f t="array" aca="1" ref="T268" ca="1">_xlfn.XLOOKUP(Contrato5[[#This Row],[CONTRATO]]&amp;Contrato5[[#This Row],[CDP]],[2]!Corr_Contr_CDP[[#All],[CONTRATO-CDP]],[2]!Corr_Contr_CDP[[#All],[CRP]],_xlfn.XLOOKUP(Contrato5[[#This Row],[CDP]],[2]!COMPROMISOS_2024[[#All],[disponibilidad]],[2]!COMPROMISOS_2024[[#All],[consecutivo]],"",0),0)</f>
        <v>#NAME?</v>
      </c>
      <c r="U268" s="140" t="e" cm="1">
        <f t="array" aca="1" ref="U268" ca="1">+_xlfn.XLOOKUP(Contrato5[[#This Row],[RCP]],[2]!COMPROMISOS_2024[[#All],[consecutivo]],[2]!COMPROMISOS_2024[[#All],[fecha_aprobacion]],"",0)</f>
        <v>#NAME?</v>
      </c>
      <c r="V268" s="141" t="e">
        <f ca="1">SUMIF([2]!COMPROMISOS_2024[[#All],[consecutivo]],Contrato5[[#This Row],[RCP]],[2]!COMPROMISOS_2024[[#All],[valor_total]])</f>
        <v>#REF!</v>
      </c>
      <c r="W268" s="415">
        <v>45365</v>
      </c>
      <c r="X268" s="415">
        <v>45366</v>
      </c>
      <c r="Y268" s="143">
        <v>45366</v>
      </c>
      <c r="Z268" s="262">
        <v>45549</v>
      </c>
      <c r="AA268" s="183" t="s">
        <v>938</v>
      </c>
      <c r="AB268" s="161" t="s">
        <v>640</v>
      </c>
      <c r="AC268" s="161"/>
      <c r="AD268" s="211">
        <v>202000004039</v>
      </c>
      <c r="AE268" s="147" t="s">
        <v>523</v>
      </c>
      <c r="AF268" s="148" t="str">
        <f>TEXT(LEFT(Contrato5[[#This Row],[CONTRATO]],3),"0")</f>
        <v>224</v>
      </c>
      <c r="AG268" s="148" t="str">
        <f>IF(LEN(Contrato5[[#This Row],[Contrato2]])=3,Contrato5[[#This Row],[Contrato2]],TEXT(Contrato5[[#This Row],[Contrato2]],"000"))</f>
        <v>224</v>
      </c>
      <c r="AH268" s="149">
        <f ca="1">IFERROR(_xlfn.DAYS(Contrato5[[#This Row],[Fecha Proyectada liquidación]],TODAY())/30,"")</f>
        <v>-2.9666666666666668</v>
      </c>
      <c r="AI268" s="150">
        <f>+Contrato5[[#This Row],[FECHA TERMINACIÓN ]]+120</f>
        <v>45669</v>
      </c>
      <c r="AJ268" s="147"/>
      <c r="AK268" s="152" t="str">
        <f ca="1">IF(Contrato5[[#This Row],[FECHA TERMINACIÓN ]]&lt;TODAY(), "Terminado",IF(ISNUMBER(Contrato5[[#This Row],[Fecha Real de liquiidación ]]),"Liquidado",IF(Contrato5[[#This Row],[FECHA TERMINACIÓN ]]&gt;=TODAY(),"En ejecución","")))</f>
        <v>Terminado</v>
      </c>
      <c r="AL268" s="153" t="e">
        <f ca="1">SUMIF([2]!COMPROMISOS_2024[[#All],[consecutivo]],Contrato5[[#This Row],[RCP]],[2]!COMPROMISOS_2024[[#All],[Total pagado]])</f>
        <v>#REF!</v>
      </c>
      <c r="AM268" s="154">
        <f ca="1">IFERROR(Contrato5[[#This Row],[Pagos]]/Contrato5[[#This Row],[VALOR CONTRATO]],0)</f>
        <v>0</v>
      </c>
      <c r="AN268" s="198" t="e">
        <f ca="1">+Contrato5[[#This Row],[VALOR CONTRATO]]-Contrato5[[#This Row],[Pagos]]</f>
        <v>#REF!</v>
      </c>
      <c r="AO268" s="147" t="e" cm="1">
        <f t="array" aca="1" ref="AO268" ca="1">_xlfn.XLOOKUP(Contrato5[[#This Row],[DOCUMENTO ]],[2]!PERSONAL_ACTIVO_2024[[#All],[Documento identidad]],[2]!PERSONAL_ACTIVO_2024[[#All],[Mail ]],0,0)</f>
        <v>#NAME?</v>
      </c>
      <c r="AP268" s="147" t="e" cm="1">
        <f t="array" aca="1" ref="AP268" ca="1">_xlfn.XLOOKUP(Contrato5[[#This Row],[DOCUMENTO]],[2]!PERSONAL_ACTIVO_2024[[#All],[Documento identidad]],[2]!PERSONAL_ACTIVO_2024[[#All],[Mail ]],0,0)</f>
        <v>#NAME?</v>
      </c>
      <c r="AQ268" s="439" cm="1">
        <f t="array" aca="1" ref="AQ268" ca="1">IF(ISBLANK(Contrato5[[#This Row],[DEPENDENCIA ]]),0,IFERROR(_xlfn.XLOOKUP(Contrato5[[#This Row],[DEPENDENCIA ]],[2]!PERSONAL_ACTIVO_2024[[#All],[Dependencia]],[2]!PERSONAL_ACTIVO_2024[[#All],[Mail ]],0,0),0))</f>
        <v>0</v>
      </c>
    </row>
    <row r="269" spans="1:43" ht="34.5" customHeight="1">
      <c r="A269" s="125">
        <v>547</v>
      </c>
      <c r="B269" s="124">
        <v>225</v>
      </c>
      <c r="C269" s="162" t="s">
        <v>437</v>
      </c>
      <c r="D269" s="227" t="s">
        <v>515</v>
      </c>
      <c r="E269" s="128" t="s">
        <v>94</v>
      </c>
      <c r="F269" s="163" t="s">
        <v>1376</v>
      </c>
      <c r="G269" s="190" t="s">
        <v>953</v>
      </c>
      <c r="H269" s="447">
        <v>8321294</v>
      </c>
      <c r="I269" s="455">
        <v>6879081</v>
      </c>
      <c r="J269" s="456">
        <v>60153567</v>
      </c>
      <c r="K269" s="131" t="s">
        <v>889</v>
      </c>
      <c r="L269" s="438" t="s">
        <v>42</v>
      </c>
      <c r="M269" s="194" t="s">
        <v>853</v>
      </c>
      <c r="N269" s="177" t="e" cm="1">
        <f t="array" aca="1" ref="N269" ca="1">_xlfn.XLOOKUP(Contrato5[[#This Row],[SUPERVISOR TITULAR]],[2]!PERSONAL_ACTIVO_2024[[#All],[Nombre completo]],[2]!PERSONAL_ACTIVO_2024[[#All],[Documento identidad]],"",0)</f>
        <v>#NAME?</v>
      </c>
      <c r="O269" s="194" t="s">
        <v>954</v>
      </c>
      <c r="P269" s="196" t="e" cm="1">
        <f t="array" aca="1" ref="P269" ca="1">_xlfn.XLOOKUP(Contrato5[[#This Row],[SUPERVISOR SUPLENTE ]],[2]!PERSONAL_ACTIVO_2024[[#All],[Nombre completo]],[2]!PERSONAL_ACTIVO_2024[[#All],[Documento identidad]],"",0)</f>
        <v>#NAME?</v>
      </c>
      <c r="Q269" s="208">
        <v>290</v>
      </c>
      <c r="R269" s="137" t="e" cm="1">
        <f t="array" aca="1" ref="R269" ca="1">_xlfn.XLOOKUP(Contrato5[[#This Row],[CDP]],[2]!DISPONIBILIDADES_2024[[#All],[consecutivo]],[2]!DISPONIBILIDADES_2024[[#All],[fecha_aprobacion]],"",0)</f>
        <v>#NAME?</v>
      </c>
      <c r="S269" s="138" t="e">
        <f>SUMIF([2]!DISPONIBILIDADES_2024[[#All],[consecutivo]],Contrato5[[#This Row],[CDP]],[2]!DISPONIBILIDADES_2024[[#All],[valor_total_rubro]])</f>
        <v>#REF!</v>
      </c>
      <c r="T269" s="139" t="e" cm="1">
        <f t="array" aca="1" ref="T269" ca="1">_xlfn.XLOOKUP(Contrato5[[#This Row],[CONTRATO]]&amp;Contrato5[[#This Row],[CDP]],[2]!Corr_Contr_CDP[[#All],[CONTRATO-CDP]],[2]!Corr_Contr_CDP[[#All],[CRP]],_xlfn.XLOOKUP(Contrato5[[#This Row],[CDP]],[2]!COMPROMISOS_2024[[#All],[disponibilidad]],[2]!COMPROMISOS_2024[[#All],[consecutivo]],"",0),0)</f>
        <v>#NAME?</v>
      </c>
      <c r="U269" s="140" t="e" cm="1">
        <f t="array" aca="1" ref="U269" ca="1">+_xlfn.XLOOKUP(Contrato5[[#This Row],[RCP]],[2]!COMPROMISOS_2024[[#All],[consecutivo]],[2]!COMPROMISOS_2024[[#All],[fecha_aprobacion]],"",0)</f>
        <v>#NAME?</v>
      </c>
      <c r="V269" s="141" t="e">
        <f ca="1">SUMIF([2]!COMPROMISOS_2024[[#All],[consecutivo]],Contrato5[[#This Row],[RCP]],[2]!COMPROMISOS_2024[[#All],[valor_total]])</f>
        <v>#REF!</v>
      </c>
      <c r="W269" s="415">
        <v>45373</v>
      </c>
      <c r="X269" s="415">
        <v>45383</v>
      </c>
      <c r="Y269" s="143">
        <v>45386</v>
      </c>
      <c r="Z269" s="262">
        <v>45600</v>
      </c>
      <c r="AA269" s="171" t="s">
        <v>955</v>
      </c>
      <c r="AB269" s="260" t="s">
        <v>618</v>
      </c>
      <c r="AC269" s="161"/>
      <c r="AD269" s="211">
        <v>202000004156</v>
      </c>
      <c r="AE269" s="147" t="s">
        <v>523</v>
      </c>
      <c r="AF269" s="148" t="str">
        <f>TEXT(LEFT(Contrato5[[#This Row],[CONTRATO]],3),"0")</f>
        <v>225</v>
      </c>
      <c r="AG269" s="148" t="str">
        <f>IF(LEN(Contrato5[[#This Row],[Contrato2]])=3,Contrato5[[#This Row],[Contrato2]],TEXT(Contrato5[[#This Row],[Contrato2]],"000"))</f>
        <v>225</v>
      </c>
      <c r="AH269" s="149">
        <f ca="1">IFERROR(_xlfn.DAYS(Contrato5[[#This Row],[Fecha Proyectada liquidación]],TODAY())/30,"")</f>
        <v>-1.2666666666666666</v>
      </c>
      <c r="AI269" s="150">
        <f>+Contrato5[[#This Row],[FECHA TERMINACIÓN ]]+120</f>
        <v>45720</v>
      </c>
      <c r="AJ269" s="147"/>
      <c r="AK269" s="152" t="str">
        <f ca="1">IF(Contrato5[[#This Row],[FECHA TERMINACIÓN ]]&lt;TODAY(), "Terminado",IF(ISNUMBER(Contrato5[[#This Row],[Fecha Real de liquiidación ]]),"Liquidado",IF(Contrato5[[#This Row],[FECHA TERMINACIÓN ]]&gt;=TODAY(),"En ejecución","")))</f>
        <v>Terminado</v>
      </c>
      <c r="AL269" s="153" t="e">
        <f ca="1">SUMIF([2]!COMPROMISOS_2024[[#All],[consecutivo]],Contrato5[[#This Row],[RCP]],[2]!COMPROMISOS_2024[[#All],[Total pagado]])</f>
        <v>#REF!</v>
      </c>
      <c r="AM269" s="154">
        <f ca="1">IFERROR(Contrato5[[#This Row],[Pagos]]/Contrato5[[#This Row],[VALOR CONTRATO]],0)</f>
        <v>0</v>
      </c>
      <c r="AN269" s="198" t="e">
        <f ca="1">+Contrato5[[#This Row],[VALOR CONTRATO]]-Contrato5[[#This Row],[Pagos]]</f>
        <v>#REF!</v>
      </c>
      <c r="AO269" s="147" t="e" cm="1">
        <f t="array" aca="1" ref="AO269" ca="1">_xlfn.XLOOKUP(Contrato5[[#This Row],[DOCUMENTO ]],[2]!PERSONAL_ACTIVO_2024[[#All],[Documento identidad]],[2]!PERSONAL_ACTIVO_2024[[#All],[Mail ]],0,0)</f>
        <v>#NAME?</v>
      </c>
      <c r="AP269" s="147" t="e" cm="1">
        <f t="array" aca="1" ref="AP269" ca="1">_xlfn.XLOOKUP(Contrato5[[#This Row],[DOCUMENTO]],[2]!PERSONAL_ACTIVO_2024[[#All],[Documento identidad]],[2]!PERSONAL_ACTIVO_2024[[#All],[Mail ]],0,0)</f>
        <v>#NAME?</v>
      </c>
      <c r="AQ269" s="439" cm="1">
        <f t="array" aca="1" ref="AQ269" ca="1">IF(ISBLANK(Contrato5[[#This Row],[DEPENDENCIA ]]),0,IFERROR(_xlfn.XLOOKUP(Contrato5[[#This Row],[DEPENDENCIA ]],[2]!PERSONAL_ACTIVO_2024[[#All],[Dependencia]],[2]!PERSONAL_ACTIVO_2024[[#All],[Mail ]],0,0),0))</f>
        <v>0</v>
      </c>
    </row>
    <row r="270" spans="1:43" ht="34.5" customHeight="1">
      <c r="A270" s="125">
        <v>1113</v>
      </c>
      <c r="B270" s="124">
        <v>225</v>
      </c>
      <c r="C270" s="162" t="s">
        <v>2414</v>
      </c>
      <c r="D270" s="227" t="s">
        <v>515</v>
      </c>
      <c r="E270" s="128" t="s">
        <v>2148</v>
      </c>
      <c r="F270" s="163" t="s">
        <v>1376</v>
      </c>
      <c r="G270" s="190" t="s">
        <v>953</v>
      </c>
      <c r="H270" s="447">
        <v>8321294</v>
      </c>
      <c r="I270" s="455">
        <v>6879081</v>
      </c>
      <c r="J270" s="456">
        <v>16070254</v>
      </c>
      <c r="K270" s="131" t="s">
        <v>2577</v>
      </c>
      <c r="L270" s="438" t="s">
        <v>2578</v>
      </c>
      <c r="M270" s="194" t="s">
        <v>853</v>
      </c>
      <c r="N270" s="177" t="e" cm="1">
        <f t="array" aca="1" ref="N270" ca="1">_xlfn.XLOOKUP(Contrato5[[#This Row],[SUPERVISOR TITULAR]],[2]!PERSONAL_ACTIVO_2024[[#All],[Nombre completo]],[2]!PERSONAL_ACTIVO_2024[[#All],[Documento identidad]],"",0)</f>
        <v>#NAME?</v>
      </c>
      <c r="O270" s="194" t="s">
        <v>954</v>
      </c>
      <c r="P270" s="196" t="e" cm="1">
        <f t="array" aca="1" ref="P270" ca="1">_xlfn.XLOOKUP(Contrato5[[#This Row],[SUPERVISOR SUPLENTE ]],[2]!PERSONAL_ACTIVO_2024[[#All],[Nombre completo]],[2]!PERSONAL_ACTIVO_2024[[#All],[Documento identidad]],"",0)</f>
        <v>#NAME?</v>
      </c>
      <c r="Q270" s="208">
        <v>901</v>
      </c>
      <c r="R270" s="137" t="e" cm="1">
        <f t="array" aca="1" ref="R270" ca="1">_xlfn.XLOOKUP(Contrato5[[#This Row],[CDP]],[2]!DISPONIBILIDADES_2024[[#All],[consecutivo]],[2]!DISPONIBILIDADES_2024[[#All],[fecha_aprobacion]],"",0)</f>
        <v>#NAME?</v>
      </c>
      <c r="S270" s="138" t="e">
        <f>SUMIF([2]!DISPONIBILIDADES_2024[[#All],[consecutivo]],Contrato5[[#This Row],[CDP]],[2]!DISPONIBILIDADES_2024[[#All],[valor_total_rubro]])</f>
        <v>#REF!</v>
      </c>
      <c r="T270" s="139" t="e" cm="1">
        <f t="array" aca="1" ref="T270" ca="1">_xlfn.XLOOKUP(Contrato5[[#This Row],[CONTRATO]]&amp;Contrato5[[#This Row],[CDP]],[2]!Corr_Contr_CDP[[#All],[CONTRATO-CDP]],[2]!Corr_Contr_CDP[[#All],[CRP]],_xlfn.XLOOKUP(Contrato5[[#This Row],[CDP]],[2]!COMPROMISOS_2024[[#All],[disponibilidad]],[2]!COMPROMISOS_2024[[#All],[consecutivo]],"",0),0)</f>
        <v>#NAME?</v>
      </c>
      <c r="U270" s="140" t="e" cm="1">
        <f t="array" aca="1" ref="U270" ca="1">+_xlfn.XLOOKUP(Contrato5[[#This Row],[RCP]],[2]!COMPROMISOS_2024[[#All],[consecutivo]],[2]!COMPROMISOS_2024[[#All],[fecha_aprobacion]],"",0)</f>
        <v>#NAME?</v>
      </c>
      <c r="V270" s="141" t="e">
        <f ca="1">SUMIF([2]!COMPROMISOS_2024[[#All],[consecutivo]],Contrato5[[#This Row],[RCP]],[2]!COMPROMISOS_2024[[#All],[valor_total]])</f>
        <v>#REF!</v>
      </c>
      <c r="W270" s="415">
        <v>45597</v>
      </c>
      <c r="X270" s="415">
        <v>45601</v>
      </c>
      <c r="Y270" s="143">
        <v>45601</v>
      </c>
      <c r="Z270" s="262">
        <v>45656</v>
      </c>
      <c r="AA270" s="171"/>
      <c r="AB270" s="260" t="s">
        <v>2579</v>
      </c>
      <c r="AC270" s="161"/>
      <c r="AD270" s="211">
        <v>202000004156</v>
      </c>
      <c r="AE270" s="147" t="s">
        <v>523</v>
      </c>
      <c r="AF270" s="148" t="str">
        <f>TEXT(LEFT(Contrato5[[#This Row],[CONTRATO]],3),"0")</f>
        <v>225</v>
      </c>
      <c r="AG270" s="148" t="str">
        <f>IF(LEN(Contrato5[[#This Row],[Contrato2]])=3,Contrato5[[#This Row],[Contrato2]],TEXT(Contrato5[[#This Row],[Contrato2]],"000"))</f>
        <v>225</v>
      </c>
      <c r="AH270" s="149">
        <f ca="1">IFERROR(_xlfn.DAYS(Contrato5[[#This Row],[Fecha Proyectada liquidación]],TODAY())/30,"")</f>
        <v>0.6</v>
      </c>
      <c r="AI270" s="150">
        <f>+Contrato5[[#This Row],[FECHA TERMINACIÓN ]]+120</f>
        <v>45776</v>
      </c>
      <c r="AJ270" s="147"/>
      <c r="AK270" s="152" t="str">
        <f ca="1">IF(Contrato5[[#This Row],[FECHA TERMINACIÓN ]]&lt;TODAY(), "Terminado",IF(ISNUMBER(Contrato5[[#This Row],[Fecha Real de liquiidación ]]),"Liquidado",IF(Contrato5[[#This Row],[FECHA TERMINACIÓN ]]&gt;=TODAY(),"En ejecución","")))</f>
        <v>Terminado</v>
      </c>
      <c r="AL270" s="153" t="e">
        <f ca="1">SUMIF([2]!COMPROMISOS_2024[[#All],[consecutivo]],Contrato5[[#This Row],[RCP]],[2]!COMPROMISOS_2024[[#All],[Total pagado]])</f>
        <v>#REF!</v>
      </c>
      <c r="AM270" s="154">
        <f ca="1">IFERROR(Contrato5[[#This Row],[Pagos]]/Contrato5[[#This Row],[VALOR CONTRATO]],0)</f>
        <v>0</v>
      </c>
      <c r="AN270" s="198" t="e">
        <f ca="1">+Contrato5[[#This Row],[VALOR CONTRATO]]-Contrato5[[#This Row],[Pagos]]</f>
        <v>#REF!</v>
      </c>
      <c r="AO270" s="147" t="e" cm="1">
        <f t="array" aca="1" ref="AO270" ca="1">_xlfn.XLOOKUP(Contrato5[[#This Row],[DOCUMENTO ]],[2]!PERSONAL_ACTIVO_2024[[#All],[Documento identidad]],[2]!PERSONAL_ACTIVO_2024[[#All],[Mail ]],0,0)</f>
        <v>#NAME?</v>
      </c>
      <c r="AP270" s="147" t="e" cm="1">
        <f t="array" aca="1" ref="AP270" ca="1">_xlfn.XLOOKUP(Contrato5[[#This Row],[DOCUMENTO]],[2]!PERSONAL_ACTIVO_2024[[#All],[Documento identidad]],[2]!PERSONAL_ACTIVO_2024[[#All],[Mail ]],0,0)</f>
        <v>#NAME?</v>
      </c>
      <c r="AQ270" s="439" cm="1">
        <f t="array" aca="1" ref="AQ270" ca="1">IF(ISBLANK(Contrato5[[#This Row],[DEPENDENCIA ]]),0,IFERROR(_xlfn.XLOOKUP(Contrato5[[#This Row],[DEPENDENCIA ]],[2]!PERSONAL_ACTIVO_2024[[#All],[Dependencia]],[2]!PERSONAL_ACTIVO_2024[[#All],[Mail ]],0,0),0))</f>
        <v>0</v>
      </c>
    </row>
    <row r="271" spans="1:43" ht="34.5" customHeight="1">
      <c r="A271" s="125">
        <v>576</v>
      </c>
      <c r="B271" s="124">
        <v>226</v>
      </c>
      <c r="C271" s="162" t="s">
        <v>405</v>
      </c>
      <c r="D271" s="227" t="s">
        <v>515</v>
      </c>
      <c r="E271" s="128" t="s">
        <v>94</v>
      </c>
      <c r="F271" s="163" t="s">
        <v>1376</v>
      </c>
      <c r="G271" s="190" t="s">
        <v>788</v>
      </c>
      <c r="H271" s="447">
        <v>8105506</v>
      </c>
      <c r="I271" s="455">
        <v>7690469</v>
      </c>
      <c r="J271" s="456">
        <v>64190688</v>
      </c>
      <c r="K271" s="131" t="s">
        <v>956</v>
      </c>
      <c r="L271" s="438" t="s">
        <v>42</v>
      </c>
      <c r="M271" s="194" t="s">
        <v>544</v>
      </c>
      <c r="N271" s="177" t="e" cm="1">
        <f t="array" aca="1" ref="N271" ca="1">_xlfn.XLOOKUP(Contrato5[[#This Row],[SUPERVISOR TITULAR]],[2]!PERSONAL_ACTIVO_2024[[#All],[Nombre completo]],[2]!PERSONAL_ACTIVO_2024[[#All],[Documento identidad]],"",0)</f>
        <v>#NAME?</v>
      </c>
      <c r="O271" s="194" t="s">
        <v>545</v>
      </c>
      <c r="P271" s="196" t="e" cm="1">
        <f t="array" aca="1" ref="P271" ca="1">_xlfn.XLOOKUP(Contrato5[[#This Row],[SUPERVISOR SUPLENTE ]],[2]!PERSONAL_ACTIVO_2024[[#All],[Nombre completo]],[2]!PERSONAL_ACTIVO_2024[[#All],[Documento identidad]],"",0)</f>
        <v>#NAME?</v>
      </c>
      <c r="Q271" s="208">
        <v>295</v>
      </c>
      <c r="R271" s="137" t="e" cm="1">
        <f t="array" aca="1" ref="R271" ca="1">_xlfn.XLOOKUP(Contrato5[[#This Row],[CDP]],[2]!DISPONIBILIDADES_2024[[#All],[consecutivo]],[2]!DISPONIBILIDADES_2024[[#All],[fecha_aprobacion]],"",0)</f>
        <v>#NAME?</v>
      </c>
      <c r="S271" s="138" t="e">
        <f>SUMIF([2]!DISPONIBILIDADES_2024[[#All],[consecutivo]],Contrato5[[#This Row],[CDP]],[2]!DISPONIBILIDADES_2024[[#All],[valor_total_rubro]])</f>
        <v>#REF!</v>
      </c>
      <c r="T271" s="139" t="e" cm="1">
        <f t="array" aca="1" ref="T271" ca="1">_xlfn.XLOOKUP(Contrato5[[#This Row],[CONTRATO]]&amp;Contrato5[[#This Row],[CDP]],[2]!Corr_Contr_CDP[[#All],[CONTRATO-CDP]],[2]!Corr_Contr_CDP[[#All],[CRP]],_xlfn.XLOOKUP(Contrato5[[#This Row],[CDP]],[2]!COMPROMISOS_2024[[#All],[disponibilidad]],[2]!COMPROMISOS_2024[[#All],[consecutivo]],"",0),0)</f>
        <v>#NAME?</v>
      </c>
      <c r="U271" s="140" t="e" cm="1">
        <f t="array" aca="1" ref="U271" ca="1">+_xlfn.XLOOKUP(Contrato5[[#This Row],[RCP]],[2]!COMPROMISOS_2024[[#All],[consecutivo]],[2]!COMPROMISOS_2024[[#All],[fecha_aprobacion]],"",0)</f>
        <v>#NAME?</v>
      </c>
      <c r="V271" s="141" t="e">
        <f ca="1">SUMIF([2]!COMPROMISOS_2024[[#All],[consecutivo]],Contrato5[[#This Row],[RCP]],[2]!COMPROMISOS_2024[[#All],[valor_total]])</f>
        <v>#REF!</v>
      </c>
      <c r="W271" s="415">
        <v>45370</v>
      </c>
      <c r="X271" s="415">
        <v>45370</v>
      </c>
      <c r="Y271" s="143">
        <v>45370</v>
      </c>
      <c r="Z271" s="262">
        <v>45583</v>
      </c>
      <c r="AA271" s="183" t="s">
        <v>957</v>
      </c>
      <c r="AB271" s="161" t="s">
        <v>618</v>
      </c>
      <c r="AC271" s="161"/>
      <c r="AD271" s="211">
        <v>202000004040</v>
      </c>
      <c r="AE271" s="147" t="s">
        <v>523</v>
      </c>
      <c r="AF271" s="148" t="str">
        <f>TEXT(LEFT(Contrato5[[#This Row],[CONTRATO]],3),"0")</f>
        <v>226</v>
      </c>
      <c r="AG271" s="148" t="str">
        <f>IF(LEN(Contrato5[[#This Row],[Contrato2]])=3,Contrato5[[#This Row],[Contrato2]],TEXT(Contrato5[[#This Row],[Contrato2]],"000"))</f>
        <v>226</v>
      </c>
      <c r="AH271" s="149">
        <f ca="1">IFERROR(_xlfn.DAYS(Contrato5[[#This Row],[Fecha Proyectada liquidación]],TODAY())/30,"")</f>
        <v>-1.8333333333333333</v>
      </c>
      <c r="AI271" s="150">
        <f>+Contrato5[[#This Row],[FECHA TERMINACIÓN ]]+120</f>
        <v>45703</v>
      </c>
      <c r="AJ271" s="147"/>
      <c r="AK271" s="152" t="str">
        <f ca="1">IF(Contrato5[[#This Row],[FECHA TERMINACIÓN ]]&lt;TODAY(), "Terminado",IF(ISNUMBER(Contrato5[[#This Row],[Fecha Real de liquiidación ]]),"Liquidado",IF(Contrato5[[#This Row],[FECHA TERMINACIÓN ]]&gt;=TODAY(),"En ejecución","")))</f>
        <v>Terminado</v>
      </c>
      <c r="AL271" s="153" t="e">
        <f ca="1">SUMIF([2]!COMPROMISOS_2024[[#All],[consecutivo]],Contrato5[[#This Row],[RCP]],[2]!COMPROMISOS_2024[[#All],[Total pagado]])</f>
        <v>#REF!</v>
      </c>
      <c r="AM271" s="154">
        <f ca="1">IFERROR(Contrato5[[#This Row],[Pagos]]/Contrato5[[#This Row],[VALOR CONTRATO]],0)</f>
        <v>0</v>
      </c>
      <c r="AN271" s="198" t="e">
        <f ca="1">+Contrato5[[#This Row],[VALOR CONTRATO]]-Contrato5[[#This Row],[Pagos]]</f>
        <v>#REF!</v>
      </c>
      <c r="AO271" s="147" t="e" cm="1">
        <f t="array" aca="1" ref="AO271" ca="1">_xlfn.XLOOKUP(Contrato5[[#This Row],[DOCUMENTO ]],[2]!PERSONAL_ACTIVO_2024[[#All],[Documento identidad]],[2]!PERSONAL_ACTIVO_2024[[#All],[Mail ]],0,0)</f>
        <v>#NAME?</v>
      </c>
      <c r="AP271" s="147" t="e" cm="1">
        <f t="array" aca="1" ref="AP271" ca="1">_xlfn.XLOOKUP(Contrato5[[#This Row],[DOCUMENTO]],[2]!PERSONAL_ACTIVO_2024[[#All],[Documento identidad]],[2]!PERSONAL_ACTIVO_2024[[#All],[Mail ]],0,0)</f>
        <v>#NAME?</v>
      </c>
      <c r="AQ271" s="439" cm="1">
        <f t="array" aca="1" ref="AQ271" ca="1">IF(ISBLANK(Contrato5[[#This Row],[DEPENDENCIA ]]),0,IFERROR(_xlfn.XLOOKUP(Contrato5[[#This Row],[DEPENDENCIA ]],[2]!PERSONAL_ACTIVO_2024[[#All],[Dependencia]],[2]!PERSONAL_ACTIVO_2024[[#All],[Mail ]],0,0),0))</f>
        <v>0</v>
      </c>
    </row>
    <row r="272" spans="1:43" ht="34.5" customHeight="1">
      <c r="A272" s="125">
        <v>1133</v>
      </c>
      <c r="B272" s="124">
        <v>226</v>
      </c>
      <c r="C272" s="162" t="s">
        <v>405</v>
      </c>
      <c r="D272" s="227" t="s">
        <v>515</v>
      </c>
      <c r="E272" s="128" t="s">
        <v>2148</v>
      </c>
      <c r="F272" s="163" t="s">
        <v>1376</v>
      </c>
      <c r="G272" s="190" t="s">
        <v>788</v>
      </c>
      <c r="H272" s="447">
        <v>8105506</v>
      </c>
      <c r="I272" s="455">
        <v>7690469</v>
      </c>
      <c r="J272" s="456">
        <v>19757126</v>
      </c>
      <c r="K272" s="131" t="s">
        <v>2580</v>
      </c>
      <c r="L272" s="438" t="s">
        <v>2462</v>
      </c>
      <c r="M272" s="194" t="s">
        <v>544</v>
      </c>
      <c r="N272" s="177" t="e" cm="1">
        <f t="array" aca="1" ref="N272" ca="1">_xlfn.XLOOKUP(Contrato5[[#This Row],[SUPERVISOR TITULAR]],[2]!PERSONAL_ACTIVO_2024[[#All],[Nombre completo]],[2]!PERSONAL_ACTIVO_2024[[#All],[Documento identidad]],"",0)</f>
        <v>#NAME?</v>
      </c>
      <c r="O272" s="194" t="s">
        <v>545</v>
      </c>
      <c r="P272" s="196" t="e" cm="1">
        <f t="array" aca="1" ref="P272" ca="1">_xlfn.XLOOKUP(Contrato5[[#This Row],[SUPERVISOR SUPLENTE ]],[2]!PERSONAL_ACTIVO_2024[[#All],[Nombre completo]],[2]!PERSONAL_ACTIVO_2024[[#All],[Documento identidad]],"",0)</f>
        <v>#NAME?</v>
      </c>
      <c r="Q272" s="208">
        <v>926</v>
      </c>
      <c r="R272" s="137" t="e" cm="1">
        <f t="array" aca="1" ref="R272" ca="1">_xlfn.XLOOKUP(Contrato5[[#This Row],[CDP]],[2]!DISPONIBILIDADES_2024[[#All],[consecutivo]],[2]!DISPONIBILIDADES_2024[[#All],[fecha_aprobacion]],"",0)</f>
        <v>#NAME?</v>
      </c>
      <c r="S272" s="138" t="e">
        <f>SUMIF([2]!DISPONIBILIDADES_2024[[#All],[consecutivo]],Contrato5[[#This Row],[CDP]],[2]!DISPONIBILIDADES_2024[[#All],[valor_total_rubro]])</f>
        <v>#REF!</v>
      </c>
      <c r="T272" s="139" t="e" cm="1">
        <f t="array" aca="1" ref="T272" ca="1">_xlfn.XLOOKUP(Contrato5[[#This Row],[CONTRATO]]&amp;Contrato5[[#This Row],[CDP]],[2]!Corr_Contr_CDP[[#All],[CONTRATO-CDP]],[2]!Corr_Contr_CDP[[#All],[CRP]],_xlfn.XLOOKUP(Contrato5[[#This Row],[CDP]],[2]!COMPROMISOS_2024[[#All],[disponibilidad]],[2]!COMPROMISOS_2024[[#All],[consecutivo]],"",0),0)</f>
        <v>#NAME?</v>
      </c>
      <c r="U272" s="140" t="e" cm="1">
        <f t="array" aca="1" ref="U272" ca="1">+_xlfn.XLOOKUP(Contrato5[[#This Row],[RCP]],[2]!COMPROMISOS_2024[[#All],[consecutivo]],[2]!COMPROMISOS_2024[[#All],[fecha_aprobacion]],"",0)</f>
        <v>#NAME?</v>
      </c>
      <c r="V272" s="141" t="e">
        <f ca="1">SUMIF([2]!COMPROMISOS_2024[[#All],[consecutivo]],Contrato5[[#This Row],[RCP]],[2]!COMPROMISOS_2024[[#All],[valor_total]])</f>
        <v>#REF!</v>
      </c>
      <c r="W272" s="415">
        <v>45581</v>
      </c>
      <c r="X272" s="415">
        <v>45582</v>
      </c>
      <c r="Y272" s="143">
        <v>45584</v>
      </c>
      <c r="Z272" s="262">
        <v>45656</v>
      </c>
      <c r="AA272" s="183"/>
      <c r="AB272" s="161" t="s">
        <v>2581</v>
      </c>
      <c r="AC272" s="463"/>
      <c r="AD272" s="211">
        <v>202000004040</v>
      </c>
      <c r="AE272" s="147" t="s">
        <v>523</v>
      </c>
      <c r="AF272" s="148" t="str">
        <f>TEXT(LEFT(Contrato5[[#This Row],[CONTRATO]],3),"0")</f>
        <v>226</v>
      </c>
      <c r="AG272" s="148" t="str">
        <f>IF(LEN(Contrato5[[#This Row],[Contrato2]])=3,Contrato5[[#This Row],[Contrato2]],TEXT(Contrato5[[#This Row],[Contrato2]],"000"))</f>
        <v>226</v>
      </c>
      <c r="AH272" s="149">
        <f ca="1">IFERROR(_xlfn.DAYS(Contrato5[[#This Row],[Fecha Proyectada liquidación]],TODAY())/30,"")</f>
        <v>0.6</v>
      </c>
      <c r="AI272" s="150">
        <f>+Contrato5[[#This Row],[FECHA TERMINACIÓN ]]+120</f>
        <v>45776</v>
      </c>
      <c r="AJ272" s="147"/>
      <c r="AK272" s="152" t="str">
        <f ca="1">IF(Contrato5[[#This Row],[FECHA TERMINACIÓN ]]&lt;TODAY(), "Terminado",IF(ISNUMBER(Contrato5[[#This Row],[Fecha Real de liquiidación ]]),"Liquidado",IF(Contrato5[[#This Row],[FECHA TERMINACIÓN ]]&gt;=TODAY(),"En ejecución","")))</f>
        <v>Terminado</v>
      </c>
      <c r="AL272" s="153" t="e">
        <f ca="1">SUMIF([2]!COMPROMISOS_2024[[#All],[consecutivo]],Contrato5[[#This Row],[RCP]],[2]!COMPROMISOS_2024[[#All],[Total pagado]])</f>
        <v>#REF!</v>
      </c>
      <c r="AM272" s="154">
        <f ca="1">IFERROR(Contrato5[[#This Row],[Pagos]]/Contrato5[[#This Row],[VALOR CONTRATO]],0)</f>
        <v>0</v>
      </c>
      <c r="AN272" s="198" t="e">
        <f ca="1">+Contrato5[[#This Row],[VALOR CONTRATO]]-Contrato5[[#This Row],[Pagos]]</f>
        <v>#REF!</v>
      </c>
      <c r="AO272" s="147" t="e" cm="1">
        <f t="array" aca="1" ref="AO272" ca="1">_xlfn.XLOOKUP(Contrato5[[#This Row],[DOCUMENTO ]],[2]!PERSONAL_ACTIVO_2024[[#All],[Documento identidad]],[2]!PERSONAL_ACTIVO_2024[[#All],[Mail ]],0,0)</f>
        <v>#NAME?</v>
      </c>
      <c r="AP272" s="147" t="e" cm="1">
        <f t="array" aca="1" ref="AP272" ca="1">_xlfn.XLOOKUP(Contrato5[[#This Row],[DOCUMENTO]],[2]!PERSONAL_ACTIVO_2024[[#All],[Documento identidad]],[2]!PERSONAL_ACTIVO_2024[[#All],[Mail ]],0,0)</f>
        <v>#NAME?</v>
      </c>
      <c r="AQ272" s="439" cm="1">
        <f t="array" aca="1" ref="AQ272" ca="1">IF(ISBLANK(Contrato5[[#This Row],[DEPENDENCIA ]]),0,IFERROR(_xlfn.XLOOKUP(Contrato5[[#This Row],[DEPENDENCIA ]],[2]!PERSONAL_ACTIVO_2024[[#All],[Dependencia]],[2]!PERSONAL_ACTIVO_2024[[#All],[Mail ]],0,0),0))</f>
        <v>0</v>
      </c>
    </row>
    <row r="273" spans="1:43" ht="34.5" customHeight="1">
      <c r="A273" s="125">
        <v>581</v>
      </c>
      <c r="B273" s="124">
        <v>227</v>
      </c>
      <c r="C273" s="162" t="s">
        <v>1371</v>
      </c>
      <c r="D273" s="227" t="s">
        <v>493</v>
      </c>
      <c r="E273" s="128" t="s">
        <v>94</v>
      </c>
      <c r="F273" s="163" t="s">
        <v>1376</v>
      </c>
      <c r="G273" s="190" t="s">
        <v>958</v>
      </c>
      <c r="H273" s="447">
        <v>1045434598</v>
      </c>
      <c r="I273" s="455">
        <v>3986061</v>
      </c>
      <c r="J273" s="456">
        <v>23916366</v>
      </c>
      <c r="K273" s="166" t="s">
        <v>42</v>
      </c>
      <c r="L273" s="438" t="s">
        <v>42</v>
      </c>
      <c r="M273" s="194" t="s">
        <v>497</v>
      </c>
      <c r="N273" s="177" t="e" cm="1">
        <f t="array" aca="1" ref="N273" ca="1">_xlfn.XLOOKUP(Contrato5[[#This Row],[SUPERVISOR TITULAR]],[2]!PERSONAL_ACTIVO_2024[[#All],[Nombre completo]],[2]!PERSONAL_ACTIVO_2024[[#All],[Documento identidad]],"",0)</f>
        <v>#NAME?</v>
      </c>
      <c r="O273" s="194" t="s">
        <v>568</v>
      </c>
      <c r="P273" s="196" t="e" cm="1">
        <f t="array" aca="1" ref="P273" ca="1">_xlfn.XLOOKUP(Contrato5[[#This Row],[SUPERVISOR SUPLENTE ]],[2]!PERSONAL_ACTIVO_2024[[#All],[Nombre completo]],[2]!PERSONAL_ACTIVO_2024[[#All],[Documento identidad]],"",0)</f>
        <v>#NAME?</v>
      </c>
      <c r="Q273" s="208">
        <v>299</v>
      </c>
      <c r="R273" s="137" t="e" cm="1">
        <f t="array" aca="1" ref="R273" ca="1">_xlfn.XLOOKUP(Contrato5[[#This Row],[CDP]],[2]!DISPONIBILIDADES_2024[[#All],[consecutivo]],[2]!DISPONIBILIDADES_2024[[#All],[fecha_aprobacion]],"",0)</f>
        <v>#NAME?</v>
      </c>
      <c r="S273" s="138" t="e">
        <f>SUMIF([2]!DISPONIBILIDADES_2024[[#All],[consecutivo]],Contrato5[[#This Row],[CDP]],[2]!DISPONIBILIDADES_2024[[#All],[valor_total_rubro]])</f>
        <v>#REF!</v>
      </c>
      <c r="T273" s="139" t="e" cm="1">
        <f t="array" aca="1" ref="T273" ca="1">_xlfn.XLOOKUP(Contrato5[[#This Row],[CONTRATO]]&amp;Contrato5[[#This Row],[CDP]],[2]!Corr_Contr_CDP[[#All],[CONTRATO-CDP]],[2]!Corr_Contr_CDP[[#All],[CRP]],_xlfn.XLOOKUP(Contrato5[[#This Row],[CDP]],[2]!COMPROMISOS_2024[[#All],[disponibilidad]],[2]!COMPROMISOS_2024[[#All],[consecutivo]],"",0),0)</f>
        <v>#NAME?</v>
      </c>
      <c r="U273" s="140" t="e" cm="1">
        <f t="array" aca="1" ref="U273" ca="1">+_xlfn.XLOOKUP(Contrato5[[#This Row],[RCP]],[2]!COMPROMISOS_2024[[#All],[consecutivo]],[2]!COMPROMISOS_2024[[#All],[fecha_aprobacion]],"",0)</f>
        <v>#NAME?</v>
      </c>
      <c r="V273" s="141" t="e">
        <f ca="1">SUMIF([2]!COMPROMISOS_2024[[#All],[consecutivo]],Contrato5[[#This Row],[RCP]],[2]!COMPROMISOS_2024[[#All],[valor_total]])</f>
        <v>#REF!</v>
      </c>
      <c r="W273" s="415">
        <v>45369</v>
      </c>
      <c r="X273" s="415">
        <v>45370</v>
      </c>
      <c r="Y273" s="143">
        <v>45371</v>
      </c>
      <c r="Z273" s="262">
        <v>45554</v>
      </c>
      <c r="AA273" s="183" t="s">
        <v>959</v>
      </c>
      <c r="AB273" s="161" t="s">
        <v>640</v>
      </c>
      <c r="AC273" s="464"/>
      <c r="AD273" s="211">
        <v>202000004042</v>
      </c>
      <c r="AE273" s="147" t="s">
        <v>523</v>
      </c>
      <c r="AF273" s="148" t="str">
        <f>TEXT(LEFT(Contrato5[[#This Row],[CONTRATO]],3),"0")</f>
        <v>227</v>
      </c>
      <c r="AG273" s="148" t="str">
        <f>IF(LEN(Contrato5[[#This Row],[Contrato2]])=3,Contrato5[[#This Row],[Contrato2]],TEXT(Contrato5[[#This Row],[Contrato2]],"000"))</f>
        <v>227</v>
      </c>
      <c r="AH273" s="149">
        <f ca="1">IFERROR(_xlfn.DAYS(Contrato5[[#This Row],[Fecha Proyectada liquidación]],TODAY())/30,"")</f>
        <v>-2.8</v>
      </c>
      <c r="AI273" s="150">
        <f>+Contrato5[[#This Row],[FECHA TERMINACIÓN ]]+120</f>
        <v>45674</v>
      </c>
      <c r="AJ273" s="147"/>
      <c r="AK273" s="152" t="str">
        <f ca="1">IF(Contrato5[[#This Row],[FECHA TERMINACIÓN ]]&lt;TODAY(), "Terminado",IF(ISNUMBER(Contrato5[[#This Row],[Fecha Real de liquiidación ]]),"Liquidado",IF(Contrato5[[#This Row],[FECHA TERMINACIÓN ]]&gt;=TODAY(),"En ejecución","")))</f>
        <v>Terminado</v>
      </c>
      <c r="AL273" s="153" t="e">
        <f ca="1">SUMIF([2]!COMPROMISOS_2024[[#All],[consecutivo]],Contrato5[[#This Row],[RCP]],[2]!COMPROMISOS_2024[[#All],[Total pagado]])</f>
        <v>#REF!</v>
      </c>
      <c r="AM273" s="154">
        <f ca="1">IFERROR(Contrato5[[#This Row],[Pagos]]/Contrato5[[#This Row],[VALOR CONTRATO]],0)</f>
        <v>0</v>
      </c>
      <c r="AN273" s="198" t="e">
        <f ca="1">+Contrato5[[#This Row],[VALOR CONTRATO]]-Contrato5[[#This Row],[Pagos]]</f>
        <v>#REF!</v>
      </c>
      <c r="AO273" s="147" t="e" cm="1">
        <f t="array" aca="1" ref="AO273" ca="1">_xlfn.XLOOKUP(Contrato5[[#This Row],[DOCUMENTO ]],[2]!PERSONAL_ACTIVO_2024[[#All],[Documento identidad]],[2]!PERSONAL_ACTIVO_2024[[#All],[Mail ]],0,0)</f>
        <v>#NAME?</v>
      </c>
      <c r="AP273" s="147" t="e" cm="1">
        <f t="array" aca="1" ref="AP273" ca="1">_xlfn.XLOOKUP(Contrato5[[#This Row],[DOCUMENTO]],[2]!PERSONAL_ACTIVO_2024[[#All],[Documento identidad]],[2]!PERSONAL_ACTIVO_2024[[#All],[Mail ]],0,0)</f>
        <v>#NAME?</v>
      </c>
      <c r="AQ273" s="439" cm="1">
        <f t="array" aca="1" ref="AQ273" ca="1">IF(ISBLANK(Contrato5[[#This Row],[DEPENDENCIA ]]),0,IFERROR(_xlfn.XLOOKUP(Contrato5[[#This Row],[DEPENDENCIA ]],[2]!PERSONAL_ACTIVO_2024[[#All],[Dependencia]],[2]!PERSONAL_ACTIVO_2024[[#All],[Mail ]],0,0),0))</f>
        <v>0</v>
      </c>
    </row>
    <row r="274" spans="1:43" ht="34.5" customHeight="1">
      <c r="A274" s="125">
        <v>574</v>
      </c>
      <c r="B274" s="124">
        <v>228</v>
      </c>
      <c r="C274" s="162" t="s">
        <v>1369</v>
      </c>
      <c r="D274" s="227" t="s">
        <v>515</v>
      </c>
      <c r="E274" s="128" t="s">
        <v>94</v>
      </c>
      <c r="F274" s="163" t="s">
        <v>161</v>
      </c>
      <c r="G274" s="190" t="s">
        <v>516</v>
      </c>
      <c r="H274" s="447">
        <v>901437957</v>
      </c>
      <c r="I274" s="455" t="s">
        <v>42</v>
      </c>
      <c r="J274" s="456">
        <v>1196962395</v>
      </c>
      <c r="K274" s="258" t="s">
        <v>42</v>
      </c>
      <c r="L274" s="438" t="s">
        <v>960</v>
      </c>
      <c r="M274" s="194" t="s">
        <v>836</v>
      </c>
      <c r="N274" s="177" t="e" cm="1">
        <f t="array" aca="1" ref="N274" ca="1">_xlfn.XLOOKUP(Contrato5[[#This Row],[SUPERVISOR TITULAR]],[2]!PERSONAL_ACTIVO_2024[[#All],[Nombre completo]],[2]!PERSONAL_ACTIVO_2024[[#All],[Documento identidad]],"",0)</f>
        <v>#NAME?</v>
      </c>
      <c r="O274" s="194" t="s">
        <v>2546</v>
      </c>
      <c r="P274" s="196" t="e" cm="1">
        <f t="array" aca="1" ref="P274" ca="1">_xlfn.XLOOKUP(Contrato5[[#This Row],[SUPERVISOR SUPLENTE ]],[2]!PERSONAL_ACTIVO_2024[[#All],[Nombre completo]],[2]!PERSONAL_ACTIVO_2024[[#All],[Documento identidad]],"",0)</f>
        <v>#NAME?</v>
      </c>
      <c r="Q274" s="208">
        <v>284</v>
      </c>
      <c r="R274" s="137" t="e" cm="1">
        <f t="array" aca="1" ref="R274" ca="1">_xlfn.XLOOKUP(Contrato5[[#This Row],[CDP]],[2]!DISPONIBILIDADES_2024[[#All],[consecutivo]],[2]!DISPONIBILIDADES_2024[[#All],[fecha_aprobacion]],"",0)</f>
        <v>#NAME?</v>
      </c>
      <c r="S274" s="138" t="e">
        <f>SUMIF([2]!DISPONIBILIDADES_2024[[#All],[consecutivo]],Contrato5[[#This Row],[CDP]],[2]!DISPONIBILIDADES_2024[[#All],[valor_total_rubro]])</f>
        <v>#REF!</v>
      </c>
      <c r="T274" s="139" t="e" cm="1">
        <f t="array" aca="1" ref="T274" ca="1">_xlfn.XLOOKUP(Contrato5[[#This Row],[CONTRATO]]&amp;Contrato5[[#This Row],[CDP]],[2]!Corr_Contr_CDP[[#All],[CONTRATO-CDP]],[2]!Corr_Contr_CDP[[#All],[CRP]],_xlfn.XLOOKUP(Contrato5[[#This Row],[CDP]],[2]!COMPROMISOS_2024[[#All],[disponibilidad]],[2]!COMPROMISOS_2024[[#All],[consecutivo]],"",0),0)</f>
        <v>#NAME?</v>
      </c>
      <c r="U274" s="140" t="e" cm="1">
        <f t="array" aca="1" ref="U274" ca="1">+_xlfn.XLOOKUP(Contrato5[[#This Row],[RCP]],[2]!COMPROMISOS_2024[[#All],[consecutivo]],[2]!COMPROMISOS_2024[[#All],[fecha_aprobacion]],"",0)</f>
        <v>#NAME?</v>
      </c>
      <c r="V274" s="141" t="e">
        <f ca="1">SUMIF([2]!COMPROMISOS_2024[[#All],[consecutivo]],Contrato5[[#This Row],[RCP]],[2]!COMPROMISOS_2024[[#All],[valor_total]])</f>
        <v>#REF!</v>
      </c>
      <c r="W274" s="415">
        <v>45365</v>
      </c>
      <c r="X274" s="415">
        <v>45365</v>
      </c>
      <c r="Y274" s="143">
        <v>45365</v>
      </c>
      <c r="Z274" s="262">
        <v>45456</v>
      </c>
      <c r="AA274" s="249" t="s">
        <v>961</v>
      </c>
      <c r="AB274" s="161" t="s">
        <v>529</v>
      </c>
      <c r="AC274" s="161"/>
      <c r="AD274" s="211">
        <v>202000004043</v>
      </c>
      <c r="AE274" s="147" t="s">
        <v>523</v>
      </c>
      <c r="AF274" s="148" t="str">
        <f>TEXT(LEFT(Contrato5[[#This Row],[CONTRATO]],3),"0")</f>
        <v>228</v>
      </c>
      <c r="AG274" s="148" t="str">
        <f>IF(LEN(Contrato5[[#This Row],[Contrato2]])=3,Contrato5[[#This Row],[Contrato2]],TEXT(Contrato5[[#This Row],[Contrato2]],"000"))</f>
        <v>228</v>
      </c>
      <c r="AH274" s="149">
        <f ca="1">IFERROR(_xlfn.DAYS(Contrato5[[#This Row],[Fecha Proyectada liquidación]],TODAY())/30,"")</f>
        <v>-6.0666666666666664</v>
      </c>
      <c r="AI274" s="150">
        <f>+Contrato5[[#This Row],[FECHA TERMINACIÓN ]]+120</f>
        <v>45576</v>
      </c>
      <c r="AJ274" s="147"/>
      <c r="AK274" s="152" t="str">
        <f ca="1">IF(Contrato5[[#This Row],[FECHA TERMINACIÓN ]]&lt;TODAY(), "Terminado",IF(ISNUMBER(Contrato5[[#This Row],[Fecha Real de liquiidación ]]),"Liquidado",IF(Contrato5[[#This Row],[FECHA TERMINACIÓN ]]&gt;=TODAY(),"En ejecución","")))</f>
        <v>Terminado</v>
      </c>
      <c r="AL274" s="153" t="e">
        <f ca="1">SUMIF([2]!COMPROMISOS_2024[[#All],[consecutivo]],Contrato5[[#This Row],[RCP]],[2]!COMPROMISOS_2024[[#All],[Total pagado]])</f>
        <v>#REF!</v>
      </c>
      <c r="AM274" s="154">
        <f ca="1">IFERROR(Contrato5[[#This Row],[Pagos]]/Contrato5[[#This Row],[VALOR CONTRATO]],0)</f>
        <v>0</v>
      </c>
      <c r="AN274" s="198" t="e">
        <f ca="1">+Contrato5[[#This Row],[VALOR CONTRATO]]-Contrato5[[#This Row],[Pagos]]</f>
        <v>#REF!</v>
      </c>
      <c r="AO274" s="147" t="e" cm="1">
        <f t="array" aca="1" ref="AO274" ca="1">_xlfn.XLOOKUP(Contrato5[[#This Row],[DOCUMENTO ]],[2]!PERSONAL_ACTIVO_2024[[#All],[Documento identidad]],[2]!PERSONAL_ACTIVO_2024[[#All],[Mail ]],0,0)</f>
        <v>#NAME?</v>
      </c>
      <c r="AP274" s="147" t="e" cm="1">
        <f t="array" aca="1" ref="AP274" ca="1">_xlfn.XLOOKUP(Contrato5[[#This Row],[DOCUMENTO]],[2]!PERSONAL_ACTIVO_2024[[#All],[Documento identidad]],[2]!PERSONAL_ACTIVO_2024[[#All],[Mail ]],0,0)</f>
        <v>#NAME?</v>
      </c>
      <c r="AQ274" s="439" cm="1">
        <f t="array" aca="1" ref="AQ274" ca="1">IF(ISBLANK(Contrato5[[#This Row],[DEPENDENCIA ]]),0,IFERROR(_xlfn.XLOOKUP(Contrato5[[#This Row],[DEPENDENCIA ]],[2]!PERSONAL_ACTIVO_2024[[#All],[Dependencia]],[2]!PERSONAL_ACTIVO_2024[[#All],[Mail ]],0,0),0))</f>
        <v>0</v>
      </c>
    </row>
    <row r="275" spans="1:43" ht="34.5" customHeight="1">
      <c r="A275" s="125">
        <v>592</v>
      </c>
      <c r="B275" s="124">
        <v>229</v>
      </c>
      <c r="C275" s="162" t="s">
        <v>387</v>
      </c>
      <c r="D275" s="227" t="s">
        <v>515</v>
      </c>
      <c r="E275" s="128" t="s">
        <v>94</v>
      </c>
      <c r="F275" s="163" t="s">
        <v>1376</v>
      </c>
      <c r="G275" s="190" t="s">
        <v>962</v>
      </c>
      <c r="H275" s="447">
        <v>98635620</v>
      </c>
      <c r="I275" s="455">
        <v>6879081</v>
      </c>
      <c r="J275" s="456">
        <v>56714027</v>
      </c>
      <c r="K275" s="131" t="s">
        <v>889</v>
      </c>
      <c r="L275" s="438" t="s">
        <v>42</v>
      </c>
      <c r="M275" s="194" t="s">
        <v>954</v>
      </c>
      <c r="N275" s="177" t="e" cm="1">
        <f t="array" aca="1" ref="N275" ca="1">_xlfn.XLOOKUP(Contrato5[[#This Row],[SUPERVISOR TITULAR]],[2]!PERSONAL_ACTIVO_2024[[#All],[Nombre completo]],[2]!PERSONAL_ACTIVO_2024[[#All],[Documento identidad]],"",0)</f>
        <v>#NAME?</v>
      </c>
      <c r="O275" s="194" t="s">
        <v>852</v>
      </c>
      <c r="P275" s="196" t="e" cm="1">
        <f t="array" aca="1" ref="P275" ca="1">_xlfn.XLOOKUP(Contrato5[[#This Row],[SUPERVISOR SUPLENTE ]],[2]!PERSONAL_ACTIVO_2024[[#All],[Nombre completo]],[2]!PERSONAL_ACTIVO_2024[[#All],[Documento identidad]],"",0)</f>
        <v>#NAME?</v>
      </c>
      <c r="Q275" s="208">
        <v>311</v>
      </c>
      <c r="R275" s="137" t="e" cm="1">
        <f t="array" aca="1" ref="R275" ca="1">_xlfn.XLOOKUP(Contrato5[[#This Row],[CDP]],[2]!DISPONIBILIDADES_2024[[#All],[consecutivo]],[2]!DISPONIBILIDADES_2024[[#All],[fecha_aprobacion]],"",0)</f>
        <v>#NAME?</v>
      </c>
      <c r="S275" s="138" t="e">
        <f>SUMIF([2]!DISPONIBILIDADES_2024[[#All],[consecutivo]],Contrato5[[#This Row],[CDP]],[2]!DISPONIBILIDADES_2024[[#All],[valor_total_rubro]])</f>
        <v>#REF!</v>
      </c>
      <c r="T275" s="139" t="e" cm="1">
        <f t="array" aca="1" ref="T275" ca="1">_xlfn.XLOOKUP(Contrato5[[#This Row],[CONTRATO]]&amp;Contrato5[[#This Row],[CDP]],[2]!Corr_Contr_CDP[[#All],[CONTRATO-CDP]],[2]!Corr_Contr_CDP[[#All],[CRP]],_xlfn.XLOOKUP(Contrato5[[#This Row],[CDP]],[2]!COMPROMISOS_2024[[#All],[disponibilidad]],[2]!COMPROMISOS_2024[[#All],[consecutivo]],"",0),0)</f>
        <v>#NAME?</v>
      </c>
      <c r="U275" s="140" t="e" cm="1">
        <f t="array" aca="1" ref="U275" ca="1">+_xlfn.XLOOKUP(Contrato5[[#This Row],[RCP]],[2]!COMPROMISOS_2024[[#All],[consecutivo]],[2]!COMPROMISOS_2024[[#All],[fecha_aprobacion]],"",0)</f>
        <v>#NAME?</v>
      </c>
      <c r="V275" s="141" t="e">
        <f ca="1">SUMIF([2]!COMPROMISOS_2024[[#All],[consecutivo]],Contrato5[[#This Row],[RCP]],[2]!COMPROMISOS_2024[[#All],[valor_total]])</f>
        <v>#REF!</v>
      </c>
      <c r="W275" s="415">
        <v>45373</v>
      </c>
      <c r="X275" s="415">
        <v>45383</v>
      </c>
      <c r="Y275" s="143">
        <v>45385</v>
      </c>
      <c r="Z275" s="262">
        <v>45581</v>
      </c>
      <c r="AA275" s="171" t="s">
        <v>963</v>
      </c>
      <c r="AB275" s="161" t="s">
        <v>964</v>
      </c>
      <c r="AC275" s="161"/>
      <c r="AD275" s="263">
        <v>202000004157</v>
      </c>
      <c r="AE275" s="147" t="s">
        <v>523</v>
      </c>
      <c r="AF275" s="148" t="str">
        <f>TEXT(LEFT(Contrato5[[#This Row],[CONTRATO]],3),"0")</f>
        <v>229</v>
      </c>
      <c r="AG275" s="148" t="str">
        <f>IF(LEN(Contrato5[[#This Row],[Contrato2]])=3,Contrato5[[#This Row],[Contrato2]],TEXT(Contrato5[[#This Row],[Contrato2]],"000"))</f>
        <v>229</v>
      </c>
      <c r="AH275" s="149">
        <f ca="1">IFERROR(_xlfn.DAYS(Contrato5[[#This Row],[Fecha Proyectada liquidación]],TODAY())/30,"")</f>
        <v>-1.9</v>
      </c>
      <c r="AI275" s="150">
        <f>+Contrato5[[#This Row],[FECHA TERMINACIÓN ]]+120</f>
        <v>45701</v>
      </c>
      <c r="AJ275" s="147"/>
      <c r="AK275" s="152" t="str">
        <f ca="1">IF(Contrato5[[#This Row],[FECHA TERMINACIÓN ]]&lt;TODAY(), "Terminado",IF(ISNUMBER(Contrato5[[#This Row],[Fecha Real de liquiidación ]]),"Liquidado",IF(Contrato5[[#This Row],[FECHA TERMINACIÓN ]]&gt;=TODAY(),"En ejecución","")))</f>
        <v>Terminado</v>
      </c>
      <c r="AL275" s="153" t="e">
        <f ca="1">SUMIF([2]!COMPROMISOS_2024[[#All],[consecutivo]],Contrato5[[#This Row],[RCP]],[2]!COMPROMISOS_2024[[#All],[Total pagado]])</f>
        <v>#REF!</v>
      </c>
      <c r="AM275" s="154">
        <f ca="1">IFERROR(Contrato5[[#This Row],[Pagos]]/Contrato5[[#This Row],[VALOR CONTRATO]],0)</f>
        <v>0</v>
      </c>
      <c r="AN275" s="198" t="e">
        <f ca="1">+Contrato5[[#This Row],[VALOR CONTRATO]]-Contrato5[[#This Row],[Pagos]]</f>
        <v>#REF!</v>
      </c>
      <c r="AO275" s="147" t="e" cm="1">
        <f t="array" aca="1" ref="AO275" ca="1">_xlfn.XLOOKUP(Contrato5[[#This Row],[DOCUMENTO ]],[2]!PERSONAL_ACTIVO_2024[[#All],[Documento identidad]],[2]!PERSONAL_ACTIVO_2024[[#All],[Mail ]],0,0)</f>
        <v>#NAME?</v>
      </c>
      <c r="AP275" s="147" t="e" cm="1">
        <f t="array" aca="1" ref="AP275" ca="1">_xlfn.XLOOKUP(Contrato5[[#This Row],[DOCUMENTO]],[2]!PERSONAL_ACTIVO_2024[[#All],[Documento identidad]],[2]!PERSONAL_ACTIVO_2024[[#All],[Mail ]],0,0)</f>
        <v>#NAME?</v>
      </c>
      <c r="AQ275" s="439" cm="1">
        <f t="array" aca="1" ref="AQ275" ca="1">IF(ISBLANK(Contrato5[[#This Row],[DEPENDENCIA ]]),0,IFERROR(_xlfn.XLOOKUP(Contrato5[[#This Row],[DEPENDENCIA ]],[2]!PERSONAL_ACTIVO_2024[[#All],[Dependencia]],[2]!PERSONAL_ACTIVO_2024[[#All],[Mail ]],0,0),0))</f>
        <v>0</v>
      </c>
    </row>
    <row r="276" spans="1:43" ht="34.5" customHeight="1">
      <c r="A276" s="147">
        <v>1114</v>
      </c>
      <c r="B276" s="124">
        <v>229</v>
      </c>
      <c r="C276" s="162" t="s">
        <v>2415</v>
      </c>
      <c r="D276" s="227" t="s">
        <v>515</v>
      </c>
      <c r="E276" s="128" t="s">
        <v>2148</v>
      </c>
      <c r="F276" s="163" t="s">
        <v>1376</v>
      </c>
      <c r="G276" s="190" t="s">
        <v>962</v>
      </c>
      <c r="H276" s="447">
        <v>98635620</v>
      </c>
      <c r="I276" s="465">
        <v>6879081</v>
      </c>
      <c r="J276" s="445">
        <v>21968400</v>
      </c>
      <c r="K276" s="131" t="s">
        <v>2569</v>
      </c>
      <c r="L276" s="438" t="s">
        <v>2564</v>
      </c>
      <c r="M276" s="194" t="s">
        <v>954</v>
      </c>
      <c r="N276" s="177" t="e" cm="1">
        <f t="array" aca="1" ref="N276" ca="1">_xlfn.XLOOKUP(Contrato5[[#This Row],[SUPERVISOR TITULAR]],[2]!PERSONAL_ACTIVO_2024[[#All],[Nombre completo]],[2]!PERSONAL_ACTIVO_2024[[#All],[Documento identidad]],"",0)</f>
        <v>#NAME?</v>
      </c>
      <c r="O276" s="194" t="s">
        <v>852</v>
      </c>
      <c r="P276" s="196" t="e" cm="1">
        <f t="array" aca="1" ref="P276" ca="1">_xlfn.XLOOKUP(Contrato5[[#This Row],[SUPERVISOR SUPLENTE ]],[2]!PERSONAL_ACTIVO_2024[[#All],[Nombre completo]],[2]!PERSONAL_ACTIVO_2024[[#All],[Documento identidad]],"",0)</f>
        <v>#NAME?</v>
      </c>
      <c r="Q276" s="170">
        <v>902</v>
      </c>
      <c r="R276" s="137" t="e" cm="1">
        <f t="array" aca="1" ref="R276" ca="1">_xlfn.XLOOKUP(Contrato5[[#This Row],[CDP]],[2]!DISPONIBILIDADES_2024[[#All],[consecutivo]],[2]!DISPONIBILIDADES_2024[[#All],[fecha_aprobacion]],"",0)</f>
        <v>#NAME?</v>
      </c>
      <c r="S276" s="138" t="e">
        <f>SUMIF([2]!DISPONIBILIDADES_2024[[#All],[consecutivo]],Contrato5[[#This Row],[CDP]],[2]!DISPONIBILIDADES_2024[[#All],[valor_total_rubro]])</f>
        <v>#REF!</v>
      </c>
      <c r="T276" s="139" t="e" cm="1">
        <f t="array" aca="1" ref="T276" ca="1">_xlfn.XLOOKUP(Contrato5[[#This Row],[CONTRATO]]&amp;Contrato5[[#This Row],[CDP]],[2]!Corr_Contr_CDP[[#All],[CONTRATO-CDP]],[2]!Corr_Contr_CDP[[#All],[CRP]],_xlfn.XLOOKUP(Contrato5[[#This Row],[CDP]],[2]!COMPROMISOS_2024[[#All],[disponibilidad]],[2]!COMPROMISOS_2024[[#All],[consecutivo]],"",0),0)</f>
        <v>#NAME?</v>
      </c>
      <c r="U276" s="140" t="e" cm="1">
        <f t="array" aca="1" ref="U276" ca="1">+_xlfn.XLOOKUP(Contrato5[[#This Row],[RCP]],[2]!COMPROMISOS_2024[[#All],[consecutivo]],[2]!COMPROMISOS_2024[[#All],[fecha_aprobacion]],"",0)</f>
        <v>#NAME?</v>
      </c>
      <c r="V276" s="141" t="e">
        <f ca="1">SUMIF([2]!COMPROMISOS_2024[[#All],[consecutivo]],Contrato5[[#This Row],[RCP]],[2]!COMPROMISOS_2024[[#All],[valor_total]])</f>
        <v>#REF!</v>
      </c>
      <c r="W276" s="415">
        <v>45581</v>
      </c>
      <c r="X276" s="415">
        <v>45582</v>
      </c>
      <c r="Y276" s="143">
        <v>45582</v>
      </c>
      <c r="Z276" s="262">
        <v>45656</v>
      </c>
      <c r="AA276" s="203"/>
      <c r="AB276" s="161" t="s">
        <v>690</v>
      </c>
      <c r="AC276" s="187"/>
      <c r="AD276" s="211"/>
      <c r="AE276" s="147"/>
      <c r="AF276" s="148" t="str">
        <f>TEXT(LEFT(Contrato5[[#This Row],[CONTRATO]],3),"0")</f>
        <v>229</v>
      </c>
      <c r="AG276" s="148" t="str">
        <f>IF(LEN(Contrato5[[#This Row],[Contrato2]])=3,Contrato5[[#This Row],[Contrato2]],TEXT(Contrato5[[#This Row],[Contrato2]],"000"))</f>
        <v>229</v>
      </c>
      <c r="AH276" s="149">
        <f ca="1">IFERROR(_xlfn.DAYS(Contrato5[[#This Row],[Fecha Proyectada liquidación]],TODAY())/30,"")</f>
        <v>0.6</v>
      </c>
      <c r="AI276" s="150">
        <f>+Contrato5[[#This Row],[FECHA TERMINACIÓN ]]+120</f>
        <v>45776</v>
      </c>
      <c r="AJ276" s="147"/>
      <c r="AK276" s="152" t="str">
        <f ca="1">IF(Contrato5[[#This Row],[FECHA TERMINACIÓN ]]&lt;TODAY(), "Terminado",IF(ISNUMBER(Contrato5[[#This Row],[Fecha Real de liquiidación ]]),"Liquidado",IF(Contrato5[[#This Row],[FECHA TERMINACIÓN ]]&gt;=TODAY(),"En ejecución","")))</f>
        <v>Terminado</v>
      </c>
      <c r="AL276" s="153" t="e">
        <f ca="1">SUMIF([2]!COMPROMISOS_2024[[#All],[consecutivo]],Contrato5[[#This Row],[RCP]],[2]!COMPROMISOS_2024[[#All],[Total pagado]])</f>
        <v>#REF!</v>
      </c>
      <c r="AM276" s="154">
        <f ca="1">IFERROR(Contrato5[[#This Row],[Pagos]]/Contrato5[[#This Row],[VALOR CONTRATO]],0)</f>
        <v>0</v>
      </c>
      <c r="AN276" s="198" t="e">
        <f ca="1">+Contrato5[[#This Row],[VALOR CONTRATO]]-Contrato5[[#This Row],[Pagos]]</f>
        <v>#REF!</v>
      </c>
      <c r="AO276" s="147" t="e" cm="1">
        <f t="array" aca="1" ref="AO276" ca="1">_xlfn.XLOOKUP(Contrato5[[#This Row],[DOCUMENTO ]],[2]!PERSONAL_ACTIVO_2024[[#All],[Documento identidad]],[2]!PERSONAL_ACTIVO_2024[[#All],[Mail ]],0,0)</f>
        <v>#NAME?</v>
      </c>
      <c r="AP276" s="147" t="e" cm="1">
        <f t="array" aca="1" ref="AP276" ca="1">_xlfn.XLOOKUP(Contrato5[[#This Row],[DOCUMENTO]],[2]!PERSONAL_ACTIVO_2024[[#All],[Documento identidad]],[2]!PERSONAL_ACTIVO_2024[[#All],[Mail ]],0,0)</f>
        <v>#NAME?</v>
      </c>
      <c r="AQ276" s="439" cm="1">
        <f t="array" aca="1" ref="AQ276" ca="1">IF(ISBLANK(Contrato5[[#This Row],[DEPENDENCIA ]]),0,IFERROR(_xlfn.XLOOKUP(Contrato5[[#This Row],[DEPENDENCIA ]],[2]!PERSONAL_ACTIVO_2024[[#All],[Dependencia]],[2]!PERSONAL_ACTIVO_2024[[#All],[Mail ]],0,0),0))</f>
        <v>0</v>
      </c>
    </row>
    <row r="277" spans="1:43" ht="34.5" customHeight="1">
      <c r="A277" s="125">
        <v>593</v>
      </c>
      <c r="B277" s="124">
        <v>230</v>
      </c>
      <c r="C277" s="162" t="s">
        <v>388</v>
      </c>
      <c r="D277" s="227" t="s">
        <v>515</v>
      </c>
      <c r="E277" s="128" t="s">
        <v>94</v>
      </c>
      <c r="F277" s="163" t="s">
        <v>1376</v>
      </c>
      <c r="G277" s="190" t="s">
        <v>965</v>
      </c>
      <c r="H277" s="447">
        <v>71318828</v>
      </c>
      <c r="I277" s="455">
        <v>3986061</v>
      </c>
      <c r="J277" s="456">
        <v>37909397</v>
      </c>
      <c r="K277" s="131" t="s">
        <v>889</v>
      </c>
      <c r="L277" s="438" t="s">
        <v>496</v>
      </c>
      <c r="M277" s="194" t="s">
        <v>954</v>
      </c>
      <c r="N277" s="177" t="e" cm="1">
        <f t="array" aca="1" ref="N277" ca="1">_xlfn.XLOOKUP(Contrato5[[#This Row],[SUPERVISOR TITULAR]],[2]!PERSONAL_ACTIVO_2024[[#All],[Nombre completo]],[2]!PERSONAL_ACTIVO_2024[[#All],[Documento identidad]],"",0)</f>
        <v>#NAME?</v>
      </c>
      <c r="O277" s="194" t="s">
        <v>853</v>
      </c>
      <c r="P277" s="196" t="e" cm="1">
        <f t="array" aca="1" ref="P277" ca="1">_xlfn.XLOOKUP(Contrato5[[#This Row],[SUPERVISOR SUPLENTE ]],[2]!PERSONAL_ACTIVO_2024[[#All],[Nombre completo]],[2]!PERSONAL_ACTIVO_2024[[#All],[Documento identidad]],"",0)</f>
        <v>#NAME?</v>
      </c>
      <c r="Q277" s="208">
        <v>313</v>
      </c>
      <c r="R277" s="137" t="e" cm="1">
        <f t="array" aca="1" ref="R277" ca="1">_xlfn.XLOOKUP(Contrato5[[#This Row],[CDP]],[2]!DISPONIBILIDADES_2024[[#All],[consecutivo]],[2]!DISPONIBILIDADES_2024[[#All],[fecha_aprobacion]],"",0)</f>
        <v>#NAME?</v>
      </c>
      <c r="S277" s="138" t="e">
        <f>SUMIF([2]!DISPONIBILIDADES_2024[[#All],[consecutivo]],Contrato5[[#This Row],[CDP]],[2]!DISPONIBILIDADES_2024[[#All],[valor_total_rubro]])</f>
        <v>#REF!</v>
      </c>
      <c r="T277" s="139" t="e" cm="1">
        <f t="array" aca="1" ref="T277" ca="1">_xlfn.XLOOKUP(Contrato5[[#This Row],[CONTRATO]]&amp;Contrato5[[#This Row],[CDP]],[2]!Corr_Contr_CDP[[#All],[CONTRATO-CDP]],[2]!Corr_Contr_CDP[[#All],[CRP]],_xlfn.XLOOKUP(Contrato5[[#This Row],[CDP]],[2]!COMPROMISOS_2024[[#All],[disponibilidad]],[2]!COMPROMISOS_2024[[#All],[consecutivo]],"",0),0)</f>
        <v>#NAME?</v>
      </c>
      <c r="U277" s="140" t="e" cm="1">
        <f t="array" aca="1" ref="U277" ca="1">+_xlfn.XLOOKUP(Contrato5[[#This Row],[RCP]],[2]!COMPROMISOS_2024[[#All],[consecutivo]],[2]!COMPROMISOS_2024[[#All],[fecha_aprobacion]],"",0)</f>
        <v>#NAME?</v>
      </c>
      <c r="V277" s="141" t="e">
        <f ca="1">SUMIF([2]!COMPROMISOS_2024[[#All],[consecutivo]],Contrato5[[#This Row],[RCP]],[2]!COMPROMISOS_2024[[#All],[valor_total]])</f>
        <v>#REF!</v>
      </c>
      <c r="W277" s="415">
        <v>45391</v>
      </c>
      <c r="X277" s="415">
        <v>45392</v>
      </c>
      <c r="Y277" s="143">
        <v>45393</v>
      </c>
      <c r="Z277" s="262">
        <v>45587</v>
      </c>
      <c r="AA277" s="183" t="s">
        <v>966</v>
      </c>
      <c r="AB277" s="161" t="s">
        <v>964</v>
      </c>
      <c r="AC277" s="161"/>
      <c r="AD277" s="211">
        <v>202000004158</v>
      </c>
      <c r="AE277" s="147" t="s">
        <v>523</v>
      </c>
      <c r="AF277" s="148" t="str">
        <f>TEXT(LEFT(Contrato5[[#This Row],[CONTRATO]],3),"0")</f>
        <v>230</v>
      </c>
      <c r="AG277" s="148" t="str">
        <f>IF(LEN(Contrato5[[#This Row],[Contrato2]])=3,Contrato5[[#This Row],[Contrato2]],TEXT(Contrato5[[#This Row],[Contrato2]],"000"))</f>
        <v>230</v>
      </c>
      <c r="AH277" s="149">
        <f ca="1">IFERROR(_xlfn.DAYS(Contrato5[[#This Row],[Fecha Proyectada liquidación]],TODAY())/30,"")</f>
        <v>-1.7</v>
      </c>
      <c r="AI277" s="150">
        <f>+Contrato5[[#This Row],[FECHA TERMINACIÓN ]]+120</f>
        <v>45707</v>
      </c>
      <c r="AJ277" s="147"/>
      <c r="AK277" s="152" t="str">
        <f ca="1">IF(Contrato5[[#This Row],[FECHA TERMINACIÓN ]]&lt;TODAY(), "Terminado",IF(ISNUMBER(Contrato5[[#This Row],[Fecha Real de liquiidación ]]),"Liquidado",IF(Contrato5[[#This Row],[FECHA TERMINACIÓN ]]&gt;=TODAY(),"En ejecución","")))</f>
        <v>Terminado</v>
      </c>
      <c r="AL277" s="153" t="e">
        <f ca="1">SUMIF([2]!COMPROMISOS_2024[[#All],[consecutivo]],Contrato5[[#This Row],[RCP]],[2]!COMPROMISOS_2024[[#All],[Total pagado]])</f>
        <v>#REF!</v>
      </c>
      <c r="AM277" s="154">
        <f ca="1">IFERROR(Contrato5[[#This Row],[Pagos]]/Contrato5[[#This Row],[VALOR CONTRATO]],0)</f>
        <v>0</v>
      </c>
      <c r="AN277" s="198" t="e">
        <f ca="1">+Contrato5[[#This Row],[VALOR CONTRATO]]-Contrato5[[#This Row],[Pagos]]</f>
        <v>#REF!</v>
      </c>
      <c r="AO277" s="147" t="e" cm="1">
        <f t="array" aca="1" ref="AO277" ca="1">_xlfn.XLOOKUP(Contrato5[[#This Row],[DOCUMENTO ]],[2]!PERSONAL_ACTIVO_2024[[#All],[Documento identidad]],[2]!PERSONAL_ACTIVO_2024[[#All],[Mail ]],0,0)</f>
        <v>#NAME?</v>
      </c>
      <c r="AP277" s="147" t="e" cm="1">
        <f t="array" aca="1" ref="AP277" ca="1">_xlfn.XLOOKUP(Contrato5[[#This Row],[DOCUMENTO]],[2]!PERSONAL_ACTIVO_2024[[#All],[Documento identidad]],[2]!PERSONAL_ACTIVO_2024[[#All],[Mail ]],0,0)</f>
        <v>#NAME?</v>
      </c>
      <c r="AQ277" s="439" cm="1">
        <f t="array" aca="1" ref="AQ277" ca="1">IF(ISBLANK(Contrato5[[#This Row],[DEPENDENCIA ]]),0,IFERROR(_xlfn.XLOOKUP(Contrato5[[#This Row],[DEPENDENCIA ]],[2]!PERSONAL_ACTIVO_2024[[#All],[Dependencia]],[2]!PERSONAL_ACTIVO_2024[[#All],[Mail ]],0,0),0))</f>
        <v>0</v>
      </c>
    </row>
    <row r="278" spans="1:43" ht="34.5" customHeight="1">
      <c r="A278" s="125">
        <v>553</v>
      </c>
      <c r="B278" s="124">
        <v>231</v>
      </c>
      <c r="C278" s="162" t="s">
        <v>1444</v>
      </c>
      <c r="D278" s="227" t="s">
        <v>623</v>
      </c>
      <c r="E278" s="128" t="s">
        <v>94</v>
      </c>
      <c r="F278" s="163" t="s">
        <v>1376</v>
      </c>
      <c r="G278" s="190" t="s">
        <v>967</v>
      </c>
      <c r="H278" s="447">
        <v>1036649446</v>
      </c>
      <c r="I278" s="455">
        <v>6879081</v>
      </c>
      <c r="J278" s="456">
        <v>69663361</v>
      </c>
      <c r="K278" s="131" t="s">
        <v>968</v>
      </c>
      <c r="L278" s="438" t="s">
        <v>42</v>
      </c>
      <c r="M278" s="194" t="s">
        <v>626</v>
      </c>
      <c r="N278" s="177" t="e" cm="1">
        <f t="array" aca="1" ref="N278" ca="1">_xlfn.XLOOKUP(Contrato5[[#This Row],[SUPERVISOR TITULAR]],[2]!PERSONAL_ACTIVO_2024[[#All],[Nombre completo]],[2]!PERSONAL_ACTIVO_2024[[#All],[Documento identidad]],"",0)</f>
        <v>#NAME?</v>
      </c>
      <c r="O278" s="194" t="s">
        <v>969</v>
      </c>
      <c r="P278" s="196" t="e" cm="1">
        <f t="array" aca="1" ref="P278" ca="1">_xlfn.XLOOKUP(Contrato5[[#This Row],[SUPERVISOR SUPLENTE ]],[2]!PERSONAL_ACTIVO_2024[[#All],[Nombre completo]],[2]!PERSONAL_ACTIVO_2024[[#All],[Documento identidad]],"",0)</f>
        <v>#NAME?</v>
      </c>
      <c r="Q278" s="208">
        <v>257</v>
      </c>
      <c r="R278" s="137" t="e" cm="1">
        <f t="array" aca="1" ref="R278" ca="1">_xlfn.XLOOKUP(Contrato5[[#This Row],[CDP]],[2]!DISPONIBILIDADES_2024[[#All],[consecutivo]],[2]!DISPONIBILIDADES_2024[[#All],[fecha_aprobacion]],"",0)</f>
        <v>#NAME?</v>
      </c>
      <c r="S278" s="138" t="e">
        <f>SUMIF([2]!DISPONIBILIDADES_2024[[#All],[consecutivo]],Contrato5[[#This Row],[CDP]],[2]!DISPONIBILIDADES_2024[[#All],[valor_total_rubro]])</f>
        <v>#REF!</v>
      </c>
      <c r="T278" s="139" t="e" cm="1">
        <f t="array" aca="1" ref="T278" ca="1">_xlfn.XLOOKUP(Contrato5[[#This Row],[CONTRATO]]&amp;Contrato5[[#This Row],[CDP]],[2]!Corr_Contr_CDP[[#All],[CONTRATO-CDP]],[2]!Corr_Contr_CDP[[#All],[CRP]],_xlfn.XLOOKUP(Contrato5[[#This Row],[CDP]],[2]!COMPROMISOS_2024[[#All],[disponibilidad]],[2]!COMPROMISOS_2024[[#All],[consecutivo]],"",0),0)</f>
        <v>#NAME?</v>
      </c>
      <c r="U278" s="140" t="e" cm="1">
        <f t="array" aca="1" ref="U278" ca="1">+_xlfn.XLOOKUP(Contrato5[[#This Row],[RCP]],[2]!COMPROMISOS_2024[[#All],[consecutivo]],[2]!COMPROMISOS_2024[[#All],[fecha_aprobacion]],"",0)</f>
        <v>#NAME?</v>
      </c>
      <c r="V278" s="141" t="e">
        <f ca="1">SUMIF([2]!COMPROMISOS_2024[[#All],[consecutivo]],Contrato5[[#This Row],[RCP]],[2]!COMPROMISOS_2024[[#All],[valor_total]])</f>
        <v>#REF!</v>
      </c>
      <c r="W278" s="415">
        <v>45371</v>
      </c>
      <c r="X278" s="415">
        <v>45371</v>
      </c>
      <c r="Y278" s="143">
        <v>45372</v>
      </c>
      <c r="Z278" s="262">
        <v>45646</v>
      </c>
      <c r="AA278" s="183" t="s">
        <v>970</v>
      </c>
      <c r="AB278" s="161" t="s">
        <v>874</v>
      </c>
      <c r="AC278" s="161"/>
      <c r="AD278" s="211">
        <v>202000004045</v>
      </c>
      <c r="AE278" s="147" t="s">
        <v>523</v>
      </c>
      <c r="AF278" s="148" t="str">
        <f>TEXT(LEFT(Contrato5[[#This Row],[CONTRATO]],3),"0")</f>
        <v>231</v>
      </c>
      <c r="AG278" s="148" t="str">
        <f>IF(LEN(Contrato5[[#This Row],[Contrato2]])=3,Contrato5[[#This Row],[Contrato2]],TEXT(Contrato5[[#This Row],[Contrato2]],"000"))</f>
        <v>231</v>
      </c>
      <c r="AH278" s="149">
        <f ca="1">IFERROR(_xlfn.DAYS(Contrato5[[#This Row],[Fecha Proyectada liquidación]],TODAY())/30,"")</f>
        <v>0.26666666666666666</v>
      </c>
      <c r="AI278" s="150">
        <f>+Contrato5[[#This Row],[FECHA TERMINACIÓN ]]+120</f>
        <v>45766</v>
      </c>
      <c r="AJ278" s="147"/>
      <c r="AK278" s="152" t="str">
        <f ca="1">IF(Contrato5[[#This Row],[FECHA TERMINACIÓN ]]&lt;TODAY(), "Terminado",IF(ISNUMBER(Contrato5[[#This Row],[Fecha Real de liquiidación ]]),"Liquidado",IF(Contrato5[[#This Row],[FECHA TERMINACIÓN ]]&gt;=TODAY(),"En ejecución","")))</f>
        <v>Terminado</v>
      </c>
      <c r="AL278" s="153" t="e">
        <f ca="1">SUMIF([2]!COMPROMISOS_2024[[#All],[consecutivo]],Contrato5[[#This Row],[RCP]],[2]!COMPROMISOS_2024[[#All],[Total pagado]])</f>
        <v>#REF!</v>
      </c>
      <c r="AM278" s="154">
        <f ca="1">IFERROR(Contrato5[[#This Row],[Pagos]]/Contrato5[[#This Row],[VALOR CONTRATO]],0)</f>
        <v>0</v>
      </c>
      <c r="AN278" s="198" t="e">
        <f ca="1">+Contrato5[[#This Row],[VALOR CONTRATO]]-Contrato5[[#This Row],[Pagos]]</f>
        <v>#REF!</v>
      </c>
      <c r="AO278" s="147" t="e" cm="1">
        <f t="array" aca="1" ref="AO278" ca="1">_xlfn.XLOOKUP(Contrato5[[#This Row],[DOCUMENTO ]],[2]!PERSONAL_ACTIVO_2024[[#All],[Documento identidad]],[2]!PERSONAL_ACTIVO_2024[[#All],[Mail ]],0,0)</f>
        <v>#NAME?</v>
      </c>
      <c r="AP278" s="147" t="e" cm="1">
        <f t="array" aca="1" ref="AP278" ca="1">_xlfn.XLOOKUP(Contrato5[[#This Row],[DOCUMENTO]],[2]!PERSONAL_ACTIVO_2024[[#All],[Documento identidad]],[2]!PERSONAL_ACTIVO_2024[[#All],[Mail ]],0,0)</f>
        <v>#NAME?</v>
      </c>
      <c r="AQ278" s="439" cm="1">
        <f t="array" aca="1" ref="AQ278" ca="1">IF(ISBLANK(Contrato5[[#This Row],[DEPENDENCIA ]]),0,IFERROR(_xlfn.XLOOKUP(Contrato5[[#This Row],[DEPENDENCIA ]],[2]!PERSONAL_ACTIVO_2024[[#All],[Dependencia]],[2]!PERSONAL_ACTIVO_2024[[#All],[Mail ]],0,0),0))</f>
        <v>0</v>
      </c>
    </row>
    <row r="279" spans="1:43" ht="34.5" customHeight="1">
      <c r="A279" s="125">
        <v>1156</v>
      </c>
      <c r="B279" s="124">
        <v>231</v>
      </c>
      <c r="C279" s="162" t="s">
        <v>1444</v>
      </c>
      <c r="D279" s="227" t="s">
        <v>623</v>
      </c>
      <c r="E279" s="128" t="s">
        <v>2148</v>
      </c>
      <c r="F279" s="163" t="s">
        <v>1376</v>
      </c>
      <c r="G279" s="190" t="s">
        <v>967</v>
      </c>
      <c r="H279" s="447">
        <v>1036649446</v>
      </c>
      <c r="I279" s="455" t="s">
        <v>42</v>
      </c>
      <c r="J279" s="456">
        <v>6207300</v>
      </c>
      <c r="K279" s="131" t="s">
        <v>2582</v>
      </c>
      <c r="L279" s="438" t="s">
        <v>2454</v>
      </c>
      <c r="M279" s="194" t="s">
        <v>626</v>
      </c>
      <c r="N279" s="177" t="e" cm="1">
        <f t="array" aca="1" ref="N279" ca="1">_xlfn.XLOOKUP(Contrato5[[#This Row],[SUPERVISOR TITULAR]],[2]!PERSONAL_ACTIVO_2024[[#All],[Nombre completo]],[2]!PERSONAL_ACTIVO_2024[[#All],[Documento identidad]],"",0)</f>
        <v>#NAME?</v>
      </c>
      <c r="O279" s="194" t="s">
        <v>969</v>
      </c>
      <c r="P279" s="196" t="e" cm="1">
        <f t="array" aca="1" ref="P279" ca="1">_xlfn.XLOOKUP(Contrato5[[#This Row],[SUPERVISOR SUPLENTE ]],[2]!PERSONAL_ACTIVO_2024[[#All],[Nombre completo]],[2]!PERSONAL_ACTIVO_2024[[#All],[Documento identidad]],"",0)</f>
        <v>#NAME?</v>
      </c>
      <c r="Q279" s="208">
        <v>950</v>
      </c>
      <c r="R279" s="137" t="e" cm="1">
        <f t="array" aca="1" ref="R279" ca="1">_xlfn.XLOOKUP(Contrato5[[#This Row],[CDP]],[2]!DISPONIBILIDADES_2024[[#All],[consecutivo]],[2]!DISPONIBILIDADES_2024[[#All],[fecha_aprobacion]],"",0)</f>
        <v>#NAME?</v>
      </c>
      <c r="S279" s="138" t="e">
        <f>SUMIF([2]!DISPONIBILIDADES_2024[[#All],[consecutivo]],Contrato5[[#This Row],[CDP]],[2]!DISPONIBILIDADES_2024[[#All],[valor_total_rubro]])</f>
        <v>#REF!</v>
      </c>
      <c r="T279" s="139" t="e" cm="1">
        <f t="array" aca="1" ref="T279" ca="1">_xlfn.XLOOKUP(Contrato5[[#This Row],[CONTRATO]]&amp;Contrato5[[#This Row],[CDP]],[2]!Corr_Contr_CDP[[#All],[CONTRATO-CDP]],[2]!Corr_Contr_CDP[[#All],[CRP]],_xlfn.XLOOKUP(Contrato5[[#This Row],[CDP]],[2]!COMPROMISOS_2024[[#All],[disponibilidad]],[2]!COMPROMISOS_2024[[#All],[consecutivo]],"",0),0)</f>
        <v>#NAME?</v>
      </c>
      <c r="U279" s="140" t="e" cm="1">
        <f t="array" aca="1" ref="U279" ca="1">+_xlfn.XLOOKUP(Contrato5[[#This Row],[RCP]],[2]!COMPROMISOS_2024[[#All],[consecutivo]],[2]!COMPROMISOS_2024[[#All],[fecha_aprobacion]],"",0)</f>
        <v>#NAME?</v>
      </c>
      <c r="V279" s="141" t="e">
        <f ca="1">SUMIF([2]!COMPROMISOS_2024[[#All],[consecutivo]],Contrato5[[#This Row],[RCP]],[2]!COMPROMISOS_2024[[#All],[valor_total]])</f>
        <v>#REF!</v>
      </c>
      <c r="W279" s="415">
        <v>45553</v>
      </c>
      <c r="X279" s="415">
        <v>45371</v>
      </c>
      <c r="Y279" s="143">
        <v>45372</v>
      </c>
      <c r="Z279" s="262">
        <v>45646</v>
      </c>
      <c r="AA279" s="183"/>
      <c r="AB279" s="161" t="s">
        <v>42</v>
      </c>
      <c r="AC279" s="161"/>
      <c r="AD279" s="211">
        <v>202000004045</v>
      </c>
      <c r="AE279" s="147" t="s">
        <v>523</v>
      </c>
      <c r="AF279" s="148" t="str">
        <f>TEXT(LEFT(Contrato5[[#This Row],[CONTRATO]],3),"0")</f>
        <v>231</v>
      </c>
      <c r="AG279" s="148" t="str">
        <f>IF(LEN(Contrato5[[#This Row],[Contrato2]])=3,Contrato5[[#This Row],[Contrato2]],TEXT(Contrato5[[#This Row],[Contrato2]],"000"))</f>
        <v>231</v>
      </c>
      <c r="AH279" s="149">
        <f ca="1">IFERROR(_xlfn.DAYS(Contrato5[[#This Row],[Fecha Proyectada liquidación]],TODAY())/30,"")</f>
        <v>0.26666666666666666</v>
      </c>
      <c r="AI279" s="150">
        <f>+Contrato5[[#This Row],[FECHA TERMINACIÓN ]]+120</f>
        <v>45766</v>
      </c>
      <c r="AJ279" s="147"/>
      <c r="AK279" s="152" t="str">
        <f ca="1">IF(Contrato5[[#This Row],[FECHA TERMINACIÓN ]]&lt;TODAY(), "Terminado",IF(ISNUMBER(Contrato5[[#This Row],[Fecha Real de liquiidación ]]),"Liquidado",IF(Contrato5[[#This Row],[FECHA TERMINACIÓN ]]&gt;=TODAY(),"En ejecución","")))</f>
        <v>Terminado</v>
      </c>
      <c r="AL279" s="153" t="e">
        <f ca="1">SUMIF([2]!COMPROMISOS_2024[[#All],[consecutivo]],Contrato5[[#This Row],[RCP]],[2]!COMPROMISOS_2024[[#All],[Total pagado]])</f>
        <v>#REF!</v>
      </c>
      <c r="AM279" s="154">
        <f ca="1">IFERROR(Contrato5[[#This Row],[Pagos]]/Contrato5[[#This Row],[VALOR CONTRATO]],0)</f>
        <v>0</v>
      </c>
      <c r="AN279" s="198" t="e">
        <f ca="1">+Contrato5[[#This Row],[VALOR CONTRATO]]-Contrato5[[#This Row],[Pagos]]</f>
        <v>#REF!</v>
      </c>
      <c r="AO279" s="147" t="e" cm="1">
        <f t="array" aca="1" ref="AO279" ca="1">_xlfn.XLOOKUP(Contrato5[[#This Row],[DOCUMENTO ]],[2]!PERSONAL_ACTIVO_2024[[#All],[Documento identidad]],[2]!PERSONAL_ACTIVO_2024[[#All],[Mail ]],0,0)</f>
        <v>#NAME?</v>
      </c>
      <c r="AP279" s="147" t="e" cm="1">
        <f t="array" aca="1" ref="AP279" ca="1">_xlfn.XLOOKUP(Contrato5[[#This Row],[DOCUMENTO]],[2]!PERSONAL_ACTIVO_2024[[#All],[Documento identidad]],[2]!PERSONAL_ACTIVO_2024[[#All],[Mail ]],0,0)</f>
        <v>#NAME?</v>
      </c>
      <c r="AQ279" s="439" cm="1">
        <f t="array" aca="1" ref="AQ279" ca="1">IF(ISBLANK(Contrato5[[#This Row],[DEPENDENCIA ]]),0,IFERROR(_xlfn.XLOOKUP(Contrato5[[#This Row],[DEPENDENCIA ]],[2]!PERSONAL_ACTIVO_2024[[#All],[Dependencia]],[2]!PERSONAL_ACTIVO_2024[[#All],[Mail ]],0,0),0))</f>
        <v>0</v>
      </c>
    </row>
    <row r="280" spans="1:43" ht="34.5" customHeight="1">
      <c r="A280" s="147">
        <v>1333</v>
      </c>
      <c r="B280" s="124">
        <v>231</v>
      </c>
      <c r="C280" s="162" t="s">
        <v>2054</v>
      </c>
      <c r="D280" s="227" t="s">
        <v>623</v>
      </c>
      <c r="E280" s="128" t="s">
        <v>2148</v>
      </c>
      <c r="F280" s="163" t="s">
        <v>1376</v>
      </c>
      <c r="G280" s="190" t="s">
        <v>967</v>
      </c>
      <c r="H280" s="447">
        <v>1036649446</v>
      </c>
      <c r="I280" s="188">
        <v>2293027</v>
      </c>
      <c r="J280" s="188">
        <v>2293027</v>
      </c>
      <c r="K280" s="147"/>
      <c r="L280" s="166" t="s">
        <v>2477</v>
      </c>
      <c r="M280" s="194" t="s">
        <v>626</v>
      </c>
      <c r="N280" s="177" t="e" cm="1">
        <f t="array" aca="1" ref="N280" ca="1">_xlfn.XLOOKUP(Contrato5[[#This Row],[SUPERVISOR TITULAR]],[2]!PERSONAL_ACTIVO_2024[[#All],[Nombre completo]],[2]!PERSONAL_ACTIVO_2024[[#All],[Documento identidad]],"",0)</f>
        <v>#NAME?</v>
      </c>
      <c r="O280" s="194" t="s">
        <v>969</v>
      </c>
      <c r="P280" s="196" t="e" cm="1">
        <f t="array" aca="1" ref="P280" ca="1">_xlfn.XLOOKUP(Contrato5[[#This Row],[SUPERVISOR SUPLENTE ]],[2]!PERSONAL_ACTIVO_2024[[#All],[Nombre completo]],[2]!PERSONAL_ACTIVO_2024[[#All],[Documento identidad]],"",0)</f>
        <v>#NAME?</v>
      </c>
      <c r="Q280" s="170">
        <v>1223</v>
      </c>
      <c r="R280" s="137" t="e" cm="1">
        <f t="array" aca="1" ref="R280" ca="1">_xlfn.XLOOKUP(Contrato5[[#This Row],[CDP]],[2]!DISPONIBILIDADES_2024[[#All],[consecutivo]],[2]!DISPONIBILIDADES_2024[[#All],[fecha_aprobacion]],"",0)</f>
        <v>#NAME?</v>
      </c>
      <c r="S280" s="138" t="e">
        <f>SUMIF([2]!DISPONIBILIDADES_2024[[#All],[consecutivo]],Contrato5[[#This Row],[CDP]],[2]!DISPONIBILIDADES_2024[[#All],[valor_total_rubro]])</f>
        <v>#REF!</v>
      </c>
      <c r="T280" s="139" t="e" cm="1">
        <f t="array" aca="1" ref="T280" ca="1">_xlfn.XLOOKUP(Contrato5[[#This Row],[CONTRATO]]&amp;Contrato5[[#This Row],[CDP]],[2]!Corr_Contr_CDP[[#All],[CONTRATO-CDP]],[2]!Corr_Contr_CDP[[#All],[CRP]],_xlfn.XLOOKUP(Contrato5[[#This Row],[CDP]],[2]!COMPROMISOS_2024[[#All],[disponibilidad]],[2]!COMPROMISOS_2024[[#All],[consecutivo]],"",0),0)</f>
        <v>#NAME?</v>
      </c>
      <c r="U280" s="140" t="e" cm="1">
        <f t="array" aca="1" ref="U280" ca="1">+_xlfn.XLOOKUP(Contrato5[[#This Row],[RCP]],[2]!COMPROMISOS_2024[[#All],[consecutivo]],[2]!COMPROMISOS_2024[[#All],[fecha_aprobacion]],"",0)</f>
        <v>#NAME?</v>
      </c>
      <c r="V280" s="141" t="e">
        <f ca="1">SUMIF([2]!COMPROMISOS_2024[[#All],[consecutivo]],Contrato5[[#This Row],[RCP]],[2]!COMPROMISOS_2024[[#All],[valor_total]])</f>
        <v>#REF!</v>
      </c>
      <c r="W280" s="422">
        <v>45646</v>
      </c>
      <c r="X280" s="415">
        <v>45371</v>
      </c>
      <c r="Y280" s="143">
        <v>45647</v>
      </c>
      <c r="Z280" s="262">
        <v>45656</v>
      </c>
      <c r="AA280" s="225"/>
      <c r="AB280" s="161" t="s">
        <v>2583</v>
      </c>
      <c r="AC280" s="187"/>
      <c r="AD280" s="211"/>
      <c r="AE280" s="147"/>
      <c r="AF280" s="148" t="str">
        <f>TEXT(LEFT(Contrato5[[#This Row],[CONTRATO]],3),"0")</f>
        <v>231</v>
      </c>
      <c r="AG280" s="148" t="str">
        <f>IF(LEN(Contrato5[[#This Row],[Contrato2]])=3,Contrato5[[#This Row],[Contrato2]],TEXT(Contrato5[[#This Row],[Contrato2]],"000"))</f>
        <v>231</v>
      </c>
      <c r="AH280" s="149">
        <f ca="1">IFERROR(_xlfn.DAYS(Contrato5[[#This Row],[Fecha Proyectada liquidación]],TODAY())/30,"")</f>
        <v>0.6</v>
      </c>
      <c r="AI280" s="150">
        <f>+Contrato5[[#This Row],[FECHA TERMINACIÓN ]]+120</f>
        <v>45776</v>
      </c>
      <c r="AJ280" s="147"/>
      <c r="AK280" s="152" t="str">
        <f ca="1">IF(Contrato5[[#This Row],[FECHA TERMINACIÓN ]]&lt;TODAY(), "Terminado",IF(ISNUMBER(Contrato5[[#This Row],[Fecha Real de liquiidación ]]),"Liquidado",IF(Contrato5[[#This Row],[FECHA TERMINACIÓN ]]&gt;=TODAY(),"En ejecución","")))</f>
        <v>Terminado</v>
      </c>
      <c r="AL280" s="153" t="e">
        <f ca="1">SUMIF([2]!COMPROMISOS_2024[[#All],[consecutivo]],Contrato5[[#This Row],[RCP]],[2]!COMPROMISOS_2024[[#All],[Total pagado]])</f>
        <v>#REF!</v>
      </c>
      <c r="AM280" s="154">
        <f ca="1">IFERROR(Contrato5[[#This Row],[Pagos]]/Contrato5[[#This Row],[VALOR CONTRATO]],0)</f>
        <v>0</v>
      </c>
      <c r="AN280" s="198" t="e">
        <f ca="1">+Contrato5[[#This Row],[VALOR CONTRATO]]-Contrato5[[#This Row],[Pagos]]</f>
        <v>#REF!</v>
      </c>
      <c r="AO280" s="147" t="e" cm="1">
        <f t="array" aca="1" ref="AO280" ca="1">_xlfn.XLOOKUP(Contrato5[[#This Row],[DOCUMENTO ]],[2]!PERSONAL_ACTIVO_2024[[#All],[Documento identidad]],[2]!PERSONAL_ACTIVO_2024[[#All],[Mail ]],0,0)</f>
        <v>#NAME?</v>
      </c>
      <c r="AP280" s="147" t="e" cm="1">
        <f t="array" aca="1" ref="AP280" ca="1">_xlfn.XLOOKUP(Contrato5[[#This Row],[DOCUMENTO]],[2]!PERSONAL_ACTIVO_2024[[#All],[Documento identidad]],[2]!PERSONAL_ACTIVO_2024[[#All],[Mail ]],0,0)</f>
        <v>#NAME?</v>
      </c>
      <c r="AQ280" s="439" cm="1">
        <f t="array" aca="1" ref="AQ280" ca="1">IF(ISBLANK(Contrato5[[#This Row],[DEPENDENCIA ]]),0,IFERROR(_xlfn.XLOOKUP(Contrato5[[#This Row],[DEPENDENCIA ]],[2]!PERSONAL_ACTIVO_2024[[#All],[Dependencia]],[2]!PERSONAL_ACTIVO_2024[[#All],[Mail ]],0,0),0))</f>
        <v>0</v>
      </c>
    </row>
    <row r="281" spans="1:43" ht="34.5" customHeight="1">
      <c r="A281" s="125" t="s">
        <v>886</v>
      </c>
      <c r="B281" s="124">
        <v>232</v>
      </c>
      <c r="C281" s="162" t="s">
        <v>887</v>
      </c>
      <c r="D281" s="128" t="s">
        <v>42</v>
      </c>
      <c r="E281" s="128" t="s">
        <v>42</v>
      </c>
      <c r="F281" s="163" t="s">
        <v>1376</v>
      </c>
      <c r="G281" s="190">
        <v>0</v>
      </c>
      <c r="H281" s="447">
        <v>0</v>
      </c>
      <c r="I281" s="455">
        <v>0</v>
      </c>
      <c r="J281" s="456">
        <v>0</v>
      </c>
      <c r="K281" s="147">
        <v>0</v>
      </c>
      <c r="L281" s="438">
        <v>0</v>
      </c>
      <c r="M281" s="194"/>
      <c r="N281" s="177" t="e" cm="1">
        <f t="array" aca="1" ref="N281" ca="1">_xlfn.XLOOKUP(Contrato5[[#This Row],[SUPERVISOR TITULAR]],[2]!PERSONAL_ACTIVO_2024[[#All],[Nombre completo]],[2]!PERSONAL_ACTIVO_2024[[#All],[Documento identidad]],"",0)</f>
        <v>#NAME?</v>
      </c>
      <c r="O281" s="194"/>
      <c r="P281" s="196" t="e" cm="1">
        <f t="array" aca="1" ref="P281" ca="1">_xlfn.XLOOKUP(Contrato5[[#This Row],[SUPERVISOR SUPLENTE ]],[2]!PERSONAL_ACTIVO_2024[[#All],[Nombre completo]],[2]!PERSONAL_ACTIVO_2024[[#All],[Documento identidad]],"",0)</f>
        <v>#NAME?</v>
      </c>
      <c r="Q281" s="191">
        <v>0</v>
      </c>
      <c r="R281" s="137" t="e" cm="1">
        <f t="array" aca="1" ref="R281" ca="1">_xlfn.XLOOKUP(Contrato5[[#This Row],[CDP]],[2]!DISPONIBILIDADES_2024[[#All],[consecutivo]],[2]!DISPONIBILIDADES_2024[[#All],[fecha_aprobacion]],"",0)</f>
        <v>#NAME?</v>
      </c>
      <c r="S281" s="138" t="e">
        <f>SUMIF([2]!DISPONIBILIDADES_2024[[#All],[consecutivo]],Contrato5[[#This Row],[CDP]],[2]!DISPONIBILIDADES_2024[[#All],[valor_total_rubro]])</f>
        <v>#REF!</v>
      </c>
      <c r="T281" s="139" t="e" cm="1">
        <f t="array" aca="1" ref="T281" ca="1">_xlfn.XLOOKUP(Contrato5[[#This Row],[CONTRATO]]&amp;Contrato5[[#This Row],[CDP]],[2]!Corr_Contr_CDP[[#All],[CONTRATO-CDP]],[2]!Corr_Contr_CDP[[#All],[CRP]],_xlfn.XLOOKUP(Contrato5[[#This Row],[CDP]],[2]!COMPROMISOS_2024[[#All],[disponibilidad]],[2]!COMPROMISOS_2024[[#All],[consecutivo]],"",0),0)</f>
        <v>#NAME?</v>
      </c>
      <c r="U281" s="140" t="e" cm="1">
        <f t="array" aca="1" ref="U281" ca="1">+_xlfn.XLOOKUP(Contrato5[[#This Row],[RCP]],[2]!COMPROMISOS_2024[[#All],[consecutivo]],[2]!COMPROMISOS_2024[[#All],[fecha_aprobacion]],"",0)</f>
        <v>#NAME?</v>
      </c>
      <c r="V281" s="141" t="e">
        <f ca="1">SUMIF([2]!COMPROMISOS_2024[[#All],[consecutivo]],Contrato5[[#This Row],[RCP]],[2]!COMPROMISOS_2024[[#All],[valor_total]])</f>
        <v>#REF!</v>
      </c>
      <c r="W281" s="415" t="s">
        <v>2563</v>
      </c>
      <c r="X281" s="415" t="s">
        <v>2563</v>
      </c>
      <c r="Y281" s="143" t="s">
        <v>42</v>
      </c>
      <c r="Z281" s="262" t="s">
        <v>42</v>
      </c>
      <c r="AA281" s="183"/>
      <c r="AB281" s="191">
        <v>0</v>
      </c>
      <c r="AC281" s="191">
        <v>0</v>
      </c>
      <c r="AD281" s="191">
        <v>0</v>
      </c>
      <c r="AE281" s="191">
        <v>0</v>
      </c>
      <c r="AF281" s="148" t="str">
        <f>TEXT(LEFT(Contrato5[[#This Row],[CONTRATO]],3),"0")</f>
        <v>232</v>
      </c>
      <c r="AG281" s="148" t="str">
        <f>IF(LEN(Contrato5[[#This Row],[Contrato2]])=3,Contrato5[[#This Row],[Contrato2]],TEXT(Contrato5[[#This Row],[Contrato2]],"000"))</f>
        <v>232</v>
      </c>
      <c r="AH281" s="149" t="str">
        <f ca="1">IFERROR(_xlfn.DAYS(Contrato5[[#This Row],[Fecha Proyectada liquidación]],TODAY())/30,"")</f>
        <v/>
      </c>
      <c r="AI281" s="150" t="e">
        <f>+Contrato5[[#This Row],[FECHA TERMINACIÓN ]]+120</f>
        <v>#VALUE!</v>
      </c>
      <c r="AJ281" s="147"/>
      <c r="AK281" s="152" t="str">
        <f ca="1">IF(Contrato5[[#This Row],[FECHA TERMINACIÓN ]]&lt;TODAY(), "Terminado",IF(ISNUMBER(Contrato5[[#This Row],[Fecha Real de liquiidación ]]),"Liquidado",IF(Contrato5[[#This Row],[FECHA TERMINACIÓN ]]&gt;=TODAY(),"En ejecución","")))</f>
        <v>En ejecución</v>
      </c>
      <c r="AL281" s="153" t="e">
        <f ca="1">SUMIF([2]!COMPROMISOS_2024[[#All],[consecutivo]],Contrato5[[#This Row],[RCP]],[2]!COMPROMISOS_2024[[#All],[Total pagado]])</f>
        <v>#REF!</v>
      </c>
      <c r="AM281" s="154">
        <f ca="1">IFERROR(Contrato5[[#This Row],[Pagos]]/Contrato5[[#This Row],[VALOR CONTRATO]],0)</f>
        <v>0</v>
      </c>
      <c r="AN281" s="198" t="e">
        <f ca="1">+Contrato5[[#This Row],[VALOR CONTRATO]]-Contrato5[[#This Row],[Pagos]]</f>
        <v>#REF!</v>
      </c>
      <c r="AO281" s="147" t="e" cm="1">
        <f t="array" aca="1" ref="AO281" ca="1">_xlfn.XLOOKUP(Contrato5[[#This Row],[DOCUMENTO ]],[2]!PERSONAL_ACTIVO_2024[[#All],[Documento identidad]],[2]!PERSONAL_ACTIVO_2024[[#All],[Mail ]],0,0)</f>
        <v>#NAME?</v>
      </c>
      <c r="AP281" s="147" t="e" cm="1">
        <f t="array" aca="1" ref="AP281" ca="1">_xlfn.XLOOKUP(Contrato5[[#This Row],[DOCUMENTO]],[2]!PERSONAL_ACTIVO_2024[[#All],[Documento identidad]],[2]!PERSONAL_ACTIVO_2024[[#All],[Mail ]],0,0)</f>
        <v>#NAME?</v>
      </c>
      <c r="AQ281" s="439" cm="1">
        <f t="array" aca="1" ref="AQ281" ca="1">IF(ISBLANK(Contrato5[[#This Row],[DEPENDENCIA ]]),0,IFERROR(_xlfn.XLOOKUP(Contrato5[[#This Row],[DEPENDENCIA ]],[2]!PERSONAL_ACTIVO_2024[[#All],[Dependencia]],[2]!PERSONAL_ACTIVO_2024[[#All],[Mail ]],0,0),0))</f>
        <v>0</v>
      </c>
    </row>
    <row r="282" spans="1:43" ht="34.5" customHeight="1">
      <c r="A282" s="125">
        <v>591</v>
      </c>
      <c r="B282" s="124">
        <v>233</v>
      </c>
      <c r="C282" s="162" t="s">
        <v>386</v>
      </c>
      <c r="D282" s="227" t="s">
        <v>515</v>
      </c>
      <c r="E282" s="128" t="s">
        <v>94</v>
      </c>
      <c r="F282" s="163" t="s">
        <v>1376</v>
      </c>
      <c r="G282" s="190" t="s">
        <v>971</v>
      </c>
      <c r="H282" s="447">
        <v>98569305</v>
      </c>
      <c r="I282" s="455">
        <v>6879081</v>
      </c>
      <c r="J282" s="456">
        <v>56714027</v>
      </c>
      <c r="K282" s="131" t="s">
        <v>889</v>
      </c>
      <c r="L282" s="438" t="s">
        <v>496</v>
      </c>
      <c r="M282" s="194" t="s">
        <v>906</v>
      </c>
      <c r="N282" s="177" t="e" cm="1">
        <f t="array" aca="1" ref="N282" ca="1">_xlfn.XLOOKUP(Contrato5[[#This Row],[SUPERVISOR TITULAR]],[2]!PERSONAL_ACTIVO_2024[[#All],[Nombre completo]],[2]!PERSONAL_ACTIVO_2024[[#All],[Documento identidad]],"",0)</f>
        <v>#NAME?</v>
      </c>
      <c r="O282" s="194" t="s">
        <v>894</v>
      </c>
      <c r="P282" s="196" t="e" cm="1">
        <f t="array" aca="1" ref="P282" ca="1">_xlfn.XLOOKUP(Contrato5[[#This Row],[SUPERVISOR SUPLENTE ]],[2]!PERSONAL_ACTIVO_2024[[#All],[Nombre completo]],[2]!PERSONAL_ACTIVO_2024[[#All],[Documento identidad]],"",0)</f>
        <v>#NAME?</v>
      </c>
      <c r="Q282" s="208">
        <v>312</v>
      </c>
      <c r="R282" s="137" t="e" cm="1">
        <f t="array" aca="1" ref="R282" ca="1">_xlfn.XLOOKUP(Contrato5[[#This Row],[CDP]],[2]!DISPONIBILIDADES_2024[[#All],[consecutivo]],[2]!DISPONIBILIDADES_2024[[#All],[fecha_aprobacion]],"",0)</f>
        <v>#NAME?</v>
      </c>
      <c r="S282" s="138" t="e">
        <f>SUMIF([2]!DISPONIBILIDADES_2024[[#All],[consecutivo]],Contrato5[[#This Row],[CDP]],[2]!DISPONIBILIDADES_2024[[#All],[valor_total_rubro]])</f>
        <v>#REF!</v>
      </c>
      <c r="T282" s="139" t="e" cm="1">
        <f t="array" aca="1" ref="T282" ca="1">_xlfn.XLOOKUP(Contrato5[[#This Row],[CONTRATO]]&amp;Contrato5[[#This Row],[CDP]],[2]!Corr_Contr_CDP[[#All],[CONTRATO-CDP]],[2]!Corr_Contr_CDP[[#All],[CRP]],_xlfn.XLOOKUP(Contrato5[[#This Row],[CDP]],[2]!COMPROMISOS_2024[[#All],[disponibilidad]],[2]!COMPROMISOS_2024[[#All],[consecutivo]],"",0),0)</f>
        <v>#NAME?</v>
      </c>
      <c r="U282" s="140" t="e" cm="1">
        <f t="array" aca="1" ref="U282" ca="1">+_xlfn.XLOOKUP(Contrato5[[#This Row],[RCP]],[2]!COMPROMISOS_2024[[#All],[consecutivo]],[2]!COMPROMISOS_2024[[#All],[fecha_aprobacion]],"",0)</f>
        <v>#NAME?</v>
      </c>
      <c r="V282" s="141" t="e">
        <f ca="1">SUMIF([2]!COMPROMISOS_2024[[#All],[consecutivo]],Contrato5[[#This Row],[RCP]],[2]!COMPROMISOS_2024[[#All],[valor_total]])</f>
        <v>#REF!</v>
      </c>
      <c r="W282" s="415">
        <v>45390</v>
      </c>
      <c r="X282" s="415">
        <v>45390</v>
      </c>
      <c r="Y282" s="143">
        <v>45391</v>
      </c>
      <c r="Z282" s="262">
        <v>45588</v>
      </c>
      <c r="AA282" s="171" t="s">
        <v>972</v>
      </c>
      <c r="AB282" s="172" t="s">
        <v>964</v>
      </c>
      <c r="AC282" s="172"/>
      <c r="AD282" s="211">
        <v>202000004159</v>
      </c>
      <c r="AE282" s="147" t="s">
        <v>523</v>
      </c>
      <c r="AF282" s="148" t="str">
        <f>TEXT(LEFT(Contrato5[[#This Row],[CONTRATO]],3),"0")</f>
        <v>233</v>
      </c>
      <c r="AG282" s="148" t="str">
        <f>IF(LEN(Contrato5[[#This Row],[Contrato2]])=3,Contrato5[[#This Row],[Contrato2]],TEXT(Contrato5[[#This Row],[Contrato2]],"000"))</f>
        <v>233</v>
      </c>
      <c r="AH282" s="149">
        <f ca="1">IFERROR(_xlfn.DAYS(Contrato5[[#This Row],[Fecha Proyectada liquidación]],TODAY())/30,"")</f>
        <v>-1.6666666666666667</v>
      </c>
      <c r="AI282" s="150">
        <f>+Contrato5[[#This Row],[FECHA TERMINACIÓN ]]+120</f>
        <v>45708</v>
      </c>
      <c r="AJ282" s="147"/>
      <c r="AK282" s="152" t="str">
        <f ca="1">IF(Contrato5[[#This Row],[FECHA TERMINACIÓN ]]&lt;TODAY(), "Terminado",IF(ISNUMBER(Contrato5[[#This Row],[Fecha Real de liquiidación ]]),"Liquidado",IF(Contrato5[[#This Row],[FECHA TERMINACIÓN ]]&gt;=TODAY(),"En ejecución","")))</f>
        <v>Terminado</v>
      </c>
      <c r="AL282" s="153" t="e">
        <f ca="1">SUMIF([2]!COMPROMISOS_2024[[#All],[consecutivo]],Contrato5[[#This Row],[RCP]],[2]!COMPROMISOS_2024[[#All],[Total pagado]])</f>
        <v>#REF!</v>
      </c>
      <c r="AM282" s="154">
        <f ca="1">IFERROR(Contrato5[[#This Row],[Pagos]]/Contrato5[[#This Row],[VALOR CONTRATO]],0)</f>
        <v>0</v>
      </c>
      <c r="AN282" s="198" t="e">
        <f ca="1">+Contrato5[[#This Row],[VALOR CONTRATO]]-Contrato5[[#This Row],[Pagos]]</f>
        <v>#REF!</v>
      </c>
      <c r="AO282" s="147" t="e" cm="1">
        <f t="array" aca="1" ref="AO282" ca="1">_xlfn.XLOOKUP(Contrato5[[#This Row],[DOCUMENTO ]],[2]!PERSONAL_ACTIVO_2024[[#All],[Documento identidad]],[2]!PERSONAL_ACTIVO_2024[[#All],[Mail ]],0,0)</f>
        <v>#NAME?</v>
      </c>
      <c r="AP282" s="147" t="e" cm="1">
        <f t="array" aca="1" ref="AP282" ca="1">_xlfn.XLOOKUP(Contrato5[[#This Row],[DOCUMENTO]],[2]!PERSONAL_ACTIVO_2024[[#All],[Documento identidad]],[2]!PERSONAL_ACTIVO_2024[[#All],[Mail ]],0,0)</f>
        <v>#NAME?</v>
      </c>
      <c r="AQ282" s="439" cm="1">
        <f t="array" aca="1" ref="AQ282" ca="1">IF(ISBLANK(Contrato5[[#This Row],[DEPENDENCIA ]]),0,IFERROR(_xlfn.XLOOKUP(Contrato5[[#This Row],[DEPENDENCIA ]],[2]!PERSONAL_ACTIVO_2024[[#All],[Dependencia]],[2]!PERSONAL_ACTIVO_2024[[#All],[Mail ]],0,0),0))</f>
        <v>0</v>
      </c>
    </row>
    <row r="283" spans="1:43" ht="34.5" customHeight="1">
      <c r="A283" s="125">
        <v>1162</v>
      </c>
      <c r="B283" s="124">
        <v>233</v>
      </c>
      <c r="C283" s="162" t="s">
        <v>2318</v>
      </c>
      <c r="D283" s="227" t="s">
        <v>515</v>
      </c>
      <c r="E283" s="128" t="s">
        <v>2148</v>
      </c>
      <c r="F283" s="163" t="s">
        <v>1376</v>
      </c>
      <c r="G283" s="190" t="s">
        <v>971</v>
      </c>
      <c r="H283" s="447">
        <v>98569305</v>
      </c>
      <c r="I283" s="455">
        <v>6879081</v>
      </c>
      <c r="J283" s="456">
        <v>16133978</v>
      </c>
      <c r="K283" s="131" t="s">
        <v>2584</v>
      </c>
      <c r="L283" s="438" t="s">
        <v>2578</v>
      </c>
      <c r="M283" s="194" t="s">
        <v>906</v>
      </c>
      <c r="N283" s="177" t="e" cm="1">
        <f t="array" aca="1" ref="N283" ca="1">_xlfn.XLOOKUP(Contrato5[[#This Row],[SUPERVISOR TITULAR]],[2]!PERSONAL_ACTIVO_2024[[#All],[Nombre completo]],[2]!PERSONAL_ACTIVO_2024[[#All],[Documento identidad]],"",0)</f>
        <v>#NAME?</v>
      </c>
      <c r="O283" s="194" t="s">
        <v>894</v>
      </c>
      <c r="P283" s="196" t="e" cm="1">
        <f t="array" aca="1" ref="P283" ca="1">_xlfn.XLOOKUP(Contrato5[[#This Row],[SUPERVISOR SUPLENTE ]],[2]!PERSONAL_ACTIVO_2024[[#All],[Nombre completo]],[2]!PERSONAL_ACTIVO_2024[[#All],[Documento identidad]],"",0)</f>
        <v>#NAME?</v>
      </c>
      <c r="Q283" s="208">
        <v>961</v>
      </c>
      <c r="R283" s="137" t="e" cm="1">
        <f t="array" aca="1" ref="R283" ca="1">_xlfn.XLOOKUP(Contrato5[[#This Row],[CDP]],[2]!DISPONIBILIDADES_2024[[#All],[consecutivo]],[2]!DISPONIBILIDADES_2024[[#All],[fecha_aprobacion]],"",0)</f>
        <v>#NAME?</v>
      </c>
      <c r="S283" s="138" t="e">
        <f>SUMIF([2]!DISPONIBILIDADES_2024[[#All],[consecutivo]],Contrato5[[#This Row],[CDP]],[2]!DISPONIBILIDADES_2024[[#All],[valor_total_rubro]])</f>
        <v>#REF!</v>
      </c>
      <c r="T283" s="139" t="e" cm="1">
        <f t="array" aca="1" ref="T283" ca="1">_xlfn.XLOOKUP(Contrato5[[#This Row],[CONTRATO]]&amp;Contrato5[[#This Row],[CDP]],[2]!Corr_Contr_CDP[[#All],[CONTRATO-CDP]],[2]!Corr_Contr_CDP[[#All],[CRP]],_xlfn.XLOOKUP(Contrato5[[#This Row],[CDP]],[2]!COMPROMISOS_2024[[#All],[disponibilidad]],[2]!COMPROMISOS_2024[[#All],[consecutivo]],"",0),0)</f>
        <v>#NAME?</v>
      </c>
      <c r="U283" s="140" t="e" cm="1">
        <f t="array" aca="1" ref="U283" ca="1">+_xlfn.XLOOKUP(Contrato5[[#This Row],[RCP]],[2]!COMPROMISOS_2024[[#All],[consecutivo]],[2]!COMPROMISOS_2024[[#All],[fecha_aprobacion]],"",0)</f>
        <v>#NAME?</v>
      </c>
      <c r="V283" s="141" t="e">
        <f ca="1">SUMIF([2]!COMPROMISOS_2024[[#All],[consecutivo]],Contrato5[[#This Row],[RCP]],[2]!COMPROMISOS_2024[[#All],[valor_total]])</f>
        <v>#REF!</v>
      </c>
      <c r="W283" s="415">
        <v>45587</v>
      </c>
      <c r="X283" s="415">
        <v>45589</v>
      </c>
      <c r="Y283" s="143">
        <v>45589</v>
      </c>
      <c r="Z283" s="262">
        <v>45656</v>
      </c>
      <c r="AA283" s="171"/>
      <c r="AB283" s="172" t="s">
        <v>2585</v>
      </c>
      <c r="AC283" s="172"/>
      <c r="AD283" s="211">
        <v>202000004159</v>
      </c>
      <c r="AE283" s="147" t="s">
        <v>523</v>
      </c>
      <c r="AF283" s="148" t="str">
        <f>TEXT(LEFT(Contrato5[[#This Row],[CONTRATO]],3),"0")</f>
        <v>233</v>
      </c>
      <c r="AG283" s="148" t="str">
        <f>IF(LEN(Contrato5[[#This Row],[Contrato2]])=3,Contrato5[[#This Row],[Contrato2]],TEXT(Contrato5[[#This Row],[Contrato2]],"000"))</f>
        <v>233</v>
      </c>
      <c r="AH283" s="149">
        <f ca="1">IFERROR(_xlfn.DAYS(Contrato5[[#This Row],[Fecha Proyectada liquidación]],TODAY())/30,"")</f>
        <v>0.6</v>
      </c>
      <c r="AI283" s="150">
        <f>+Contrato5[[#This Row],[FECHA TERMINACIÓN ]]+120</f>
        <v>45776</v>
      </c>
      <c r="AJ283" s="147"/>
      <c r="AK283" s="152" t="str">
        <f ca="1">IF(Contrato5[[#This Row],[FECHA TERMINACIÓN ]]&lt;TODAY(), "Terminado",IF(ISNUMBER(Contrato5[[#This Row],[Fecha Real de liquiidación ]]),"Liquidado",IF(Contrato5[[#This Row],[FECHA TERMINACIÓN ]]&gt;=TODAY(),"En ejecución","")))</f>
        <v>Terminado</v>
      </c>
      <c r="AL283" s="153" t="e">
        <f ca="1">SUMIF([2]!COMPROMISOS_2024[[#All],[consecutivo]],Contrato5[[#This Row],[RCP]],[2]!COMPROMISOS_2024[[#All],[Total pagado]])</f>
        <v>#REF!</v>
      </c>
      <c r="AM283" s="154">
        <f ca="1">IFERROR(Contrato5[[#This Row],[Pagos]]/Contrato5[[#This Row],[VALOR CONTRATO]],0)</f>
        <v>0</v>
      </c>
      <c r="AN283" s="198" t="e">
        <f ca="1">+Contrato5[[#This Row],[VALOR CONTRATO]]-Contrato5[[#This Row],[Pagos]]</f>
        <v>#REF!</v>
      </c>
      <c r="AO283" s="147" t="e" cm="1">
        <f t="array" aca="1" ref="AO283" ca="1">_xlfn.XLOOKUP(Contrato5[[#This Row],[DOCUMENTO ]],[2]!PERSONAL_ACTIVO_2024[[#All],[Documento identidad]],[2]!PERSONAL_ACTIVO_2024[[#All],[Mail ]],0,0)</f>
        <v>#NAME?</v>
      </c>
      <c r="AP283" s="147" t="e" cm="1">
        <f t="array" aca="1" ref="AP283" ca="1">_xlfn.XLOOKUP(Contrato5[[#This Row],[DOCUMENTO]],[2]!PERSONAL_ACTIVO_2024[[#All],[Documento identidad]],[2]!PERSONAL_ACTIVO_2024[[#All],[Mail ]],0,0)</f>
        <v>#NAME?</v>
      </c>
      <c r="AQ283" s="439" cm="1">
        <f t="array" aca="1" ref="AQ283" ca="1">IF(ISBLANK(Contrato5[[#This Row],[DEPENDENCIA ]]),0,IFERROR(_xlfn.XLOOKUP(Contrato5[[#This Row],[DEPENDENCIA ]],[2]!PERSONAL_ACTIVO_2024[[#All],[Dependencia]],[2]!PERSONAL_ACTIVO_2024[[#All],[Mail ]],0,0),0))</f>
        <v>0</v>
      </c>
    </row>
    <row r="284" spans="1:43" ht="34.5" customHeight="1">
      <c r="A284" s="125">
        <v>623</v>
      </c>
      <c r="B284" s="124">
        <v>234</v>
      </c>
      <c r="C284" s="162" t="s">
        <v>1748</v>
      </c>
      <c r="D284" s="227" t="s">
        <v>583</v>
      </c>
      <c r="E284" s="128" t="s">
        <v>94</v>
      </c>
      <c r="F284" s="163" t="s">
        <v>1376</v>
      </c>
      <c r="G284" s="190" t="s">
        <v>973</v>
      </c>
      <c r="H284" s="447">
        <v>1036948806</v>
      </c>
      <c r="I284" s="455">
        <v>3986061</v>
      </c>
      <c r="J284" s="456">
        <v>23916366</v>
      </c>
      <c r="K284" s="147" t="s">
        <v>42</v>
      </c>
      <c r="L284" s="438" t="s">
        <v>496</v>
      </c>
      <c r="M284" s="194" t="s">
        <v>585</v>
      </c>
      <c r="N284" s="177" t="e" cm="1">
        <f t="array" aca="1" ref="N284" ca="1">_xlfn.XLOOKUP(Contrato5[[#This Row],[SUPERVISOR TITULAR]],[2]!PERSONAL_ACTIVO_2024[[#All],[Nombre completo]],[2]!PERSONAL_ACTIVO_2024[[#All],[Documento identidad]],"",0)</f>
        <v>#NAME?</v>
      </c>
      <c r="O284" s="194" t="s">
        <v>586</v>
      </c>
      <c r="P284" s="196" t="e" cm="1">
        <f t="array" aca="1" ref="P284" ca="1">_xlfn.XLOOKUP(Contrato5[[#This Row],[SUPERVISOR SUPLENTE ]],[2]!PERSONAL_ACTIVO_2024[[#All],[Nombre completo]],[2]!PERSONAL_ACTIVO_2024[[#All],[Documento identidad]],"",0)</f>
        <v>#NAME?</v>
      </c>
      <c r="Q284" s="208">
        <v>332</v>
      </c>
      <c r="R284" s="137" t="e" cm="1">
        <f t="array" aca="1" ref="R284" ca="1">_xlfn.XLOOKUP(Contrato5[[#This Row],[CDP]],[2]!DISPONIBILIDADES_2024[[#All],[consecutivo]],[2]!DISPONIBILIDADES_2024[[#All],[fecha_aprobacion]],"",0)</f>
        <v>#NAME?</v>
      </c>
      <c r="S284" s="138" t="e">
        <f>SUMIF([2]!DISPONIBILIDADES_2024[[#All],[consecutivo]],Contrato5[[#This Row],[CDP]],[2]!DISPONIBILIDADES_2024[[#All],[valor_total_rubro]])</f>
        <v>#REF!</v>
      </c>
      <c r="T284" s="139" t="e" cm="1">
        <f t="array" aca="1" ref="T284" ca="1">_xlfn.XLOOKUP(Contrato5[[#This Row],[CONTRATO]]&amp;Contrato5[[#This Row],[CDP]],[2]!Corr_Contr_CDP[[#All],[CONTRATO-CDP]],[2]!Corr_Contr_CDP[[#All],[CRP]],_xlfn.XLOOKUP(Contrato5[[#This Row],[CDP]],[2]!COMPROMISOS_2024[[#All],[disponibilidad]],[2]!COMPROMISOS_2024[[#All],[consecutivo]],"",0),0)</f>
        <v>#NAME?</v>
      </c>
      <c r="U284" s="140" t="e" cm="1">
        <f t="array" aca="1" ref="U284" ca="1">+_xlfn.XLOOKUP(Contrato5[[#This Row],[RCP]],[2]!COMPROMISOS_2024[[#All],[consecutivo]],[2]!COMPROMISOS_2024[[#All],[fecha_aprobacion]],"",0)</f>
        <v>#NAME?</v>
      </c>
      <c r="V284" s="141" t="e">
        <f ca="1">SUMIF([2]!COMPROMISOS_2024[[#All],[consecutivo]],Contrato5[[#This Row],[RCP]],[2]!COMPROMISOS_2024[[#All],[valor_total]])</f>
        <v>#REF!</v>
      </c>
      <c r="W284" s="415">
        <v>45383</v>
      </c>
      <c r="X284" s="415">
        <v>45386</v>
      </c>
      <c r="Y284" s="143">
        <v>45385</v>
      </c>
      <c r="Z284" s="262">
        <v>45567</v>
      </c>
      <c r="AA284" s="171" t="s">
        <v>974</v>
      </c>
      <c r="AB284" s="172" t="s">
        <v>640</v>
      </c>
      <c r="AC284" s="172"/>
      <c r="AD284" s="211">
        <v>202000004160</v>
      </c>
      <c r="AE284" s="147" t="s">
        <v>523</v>
      </c>
      <c r="AF284" s="148" t="str">
        <f>TEXT(LEFT(Contrato5[[#This Row],[CONTRATO]],3),"0")</f>
        <v>234</v>
      </c>
      <c r="AG284" s="148" t="str">
        <f>IF(LEN(Contrato5[[#This Row],[Contrato2]])=3,Contrato5[[#This Row],[Contrato2]],TEXT(Contrato5[[#This Row],[Contrato2]],"000"))</f>
        <v>234</v>
      </c>
      <c r="AH284" s="149">
        <f ca="1">IFERROR(_xlfn.DAYS(Contrato5[[#This Row],[Fecha Proyectada liquidación]],TODAY())/30,"")</f>
        <v>-2.3666666666666667</v>
      </c>
      <c r="AI284" s="150">
        <f>+Contrato5[[#This Row],[FECHA TERMINACIÓN ]]+120</f>
        <v>45687</v>
      </c>
      <c r="AJ284" s="147"/>
      <c r="AK284" s="152" t="str">
        <f ca="1">IF(Contrato5[[#This Row],[FECHA TERMINACIÓN ]]&lt;TODAY(), "Terminado",IF(ISNUMBER(Contrato5[[#This Row],[Fecha Real de liquiidación ]]),"Liquidado",IF(Contrato5[[#This Row],[FECHA TERMINACIÓN ]]&gt;=TODAY(),"En ejecución","")))</f>
        <v>Terminado</v>
      </c>
      <c r="AL284" s="153" t="e">
        <f ca="1">SUMIF([2]!COMPROMISOS_2024[[#All],[consecutivo]],Contrato5[[#This Row],[RCP]],[2]!COMPROMISOS_2024[[#All],[Total pagado]])</f>
        <v>#REF!</v>
      </c>
      <c r="AM284" s="154">
        <f ca="1">IFERROR(Contrato5[[#This Row],[Pagos]]/Contrato5[[#This Row],[VALOR CONTRATO]],0)</f>
        <v>0</v>
      </c>
      <c r="AN284" s="198" t="e">
        <f ca="1">+Contrato5[[#This Row],[VALOR CONTRATO]]-Contrato5[[#This Row],[Pagos]]</f>
        <v>#REF!</v>
      </c>
      <c r="AO284" s="147" t="e" cm="1">
        <f t="array" aca="1" ref="AO284" ca="1">_xlfn.XLOOKUP(Contrato5[[#This Row],[DOCUMENTO ]],[2]!PERSONAL_ACTIVO_2024[[#All],[Documento identidad]],[2]!PERSONAL_ACTIVO_2024[[#All],[Mail ]],0,0)</f>
        <v>#NAME?</v>
      </c>
      <c r="AP284" s="147" t="e" cm="1">
        <f t="array" aca="1" ref="AP284" ca="1">_xlfn.XLOOKUP(Contrato5[[#This Row],[DOCUMENTO]],[2]!PERSONAL_ACTIVO_2024[[#All],[Documento identidad]],[2]!PERSONAL_ACTIVO_2024[[#All],[Mail ]],0,0)</f>
        <v>#NAME?</v>
      </c>
      <c r="AQ284" s="439" cm="1">
        <f t="array" aca="1" ref="AQ284" ca="1">IF(ISBLANK(Contrato5[[#This Row],[DEPENDENCIA ]]),0,IFERROR(_xlfn.XLOOKUP(Contrato5[[#This Row],[DEPENDENCIA ]],[2]!PERSONAL_ACTIVO_2024[[#All],[Dependencia]],[2]!PERSONAL_ACTIVO_2024[[#All],[Mail ]],0,0),0))</f>
        <v>0</v>
      </c>
    </row>
    <row r="285" spans="1:43" ht="34.5" customHeight="1">
      <c r="A285" s="147">
        <v>1197</v>
      </c>
      <c r="B285" s="124">
        <v>234</v>
      </c>
      <c r="C285" s="162" t="s">
        <v>2185</v>
      </c>
      <c r="D285" s="227" t="s">
        <v>583</v>
      </c>
      <c r="E285" s="128" t="s">
        <v>2148</v>
      </c>
      <c r="F285" s="163" t="s">
        <v>1376</v>
      </c>
      <c r="G285" s="190" t="s">
        <v>973</v>
      </c>
      <c r="H285" s="447">
        <v>1036948806</v>
      </c>
      <c r="I285" s="455">
        <v>3986061</v>
      </c>
      <c r="J285" s="437">
        <v>11559577</v>
      </c>
      <c r="K285" s="147" t="s">
        <v>78</v>
      </c>
      <c r="L285" s="438" t="s">
        <v>2462</v>
      </c>
      <c r="M285" s="194" t="s">
        <v>585</v>
      </c>
      <c r="N285" s="195" t="e" cm="1">
        <f t="array" aca="1" ref="N285" ca="1">_xlfn.XLOOKUP(Contrato5[[#This Row],[SUPERVISOR TITULAR]],[2]!PERSONAL_ACTIVO_2024[[#All],[Nombre completo]],[2]!PERSONAL_ACTIVO_2024[[#All],[Documento identidad]],"",0)</f>
        <v>#NAME?</v>
      </c>
      <c r="O285" s="194" t="s">
        <v>586</v>
      </c>
      <c r="P285" s="135" t="e" cm="1">
        <f t="array" aca="1" ref="P285" ca="1">_xlfn.XLOOKUP(Contrato5[[#This Row],[SUPERVISOR SUPLENTE ]],[2]!PERSONAL_ACTIVO_2024[[#All],[Nombre completo]],[2]!PERSONAL_ACTIVO_2024[[#All],[Documento identidad]],"",0)</f>
        <v>#NAME?</v>
      </c>
      <c r="Q285" s="170">
        <v>1009</v>
      </c>
      <c r="R285" s="137" t="e" cm="1">
        <f t="array" aca="1" ref="R285" ca="1">_xlfn.XLOOKUP(Contrato5[[#This Row],[CDP]],[2]!DISPONIBILIDADES_2024[[#All],[consecutivo]],[2]!DISPONIBILIDADES_2024[[#All],[fecha_aprobacion]],"",0)</f>
        <v>#NAME?</v>
      </c>
      <c r="S285" s="138" t="e">
        <f>SUMIF([2]!DISPONIBILIDADES_2024[[#All],[consecutivo]],Contrato5[[#This Row],[CDP]],[2]!DISPONIBILIDADES_2024[[#All],[valor_total_rubro]])</f>
        <v>#REF!</v>
      </c>
      <c r="T285" s="139" t="e" cm="1">
        <f t="array" aca="1" ref="T285" ca="1">_xlfn.XLOOKUP(Contrato5[[#This Row],[CONTRATO]]&amp;Contrato5[[#This Row],[CDP]],[2]!Corr_Contr_CDP[[#All],[CONTRATO-CDP]],[2]!Corr_Contr_CDP[[#All],[CRP]],_xlfn.XLOOKUP(Contrato5[[#This Row],[CDP]],[2]!COMPROMISOS_2024[[#All],[disponibilidad]],[2]!COMPROMISOS_2024[[#All],[consecutivo]],"",0),0)</f>
        <v>#NAME?</v>
      </c>
      <c r="U285" s="140" t="e" cm="1">
        <f t="array" aca="1" ref="U285" ca="1">+_xlfn.XLOOKUP(Contrato5[[#This Row],[RCP]],[2]!COMPROMISOS_2024[[#All],[consecutivo]],[2]!COMPROMISOS_2024[[#All],[fecha_aprobacion]],"",0)</f>
        <v>#NAME?</v>
      </c>
      <c r="V285" s="141" t="e">
        <f ca="1">SUMIF([2]!COMPROMISOS_2024[[#All],[consecutivo]],Contrato5[[#This Row],[RCP]],[2]!COMPROMISOS_2024[[#All],[valor_total]])</f>
        <v>#REF!</v>
      </c>
      <c r="W285" s="415">
        <v>45565</v>
      </c>
      <c r="X285" s="415">
        <v>45386</v>
      </c>
      <c r="Y285" s="143">
        <v>45568</v>
      </c>
      <c r="Z285" s="262">
        <v>45657</v>
      </c>
      <c r="AA285" s="203"/>
      <c r="AB285" s="172" t="s">
        <v>2545</v>
      </c>
      <c r="AC285" s="127"/>
      <c r="AD285" s="211"/>
      <c r="AE285" s="147"/>
      <c r="AF285" s="148" t="str">
        <f>TEXT(LEFT(Contrato5[[#This Row],[CONTRATO]],3),"0")</f>
        <v>234</v>
      </c>
      <c r="AG285" s="148" t="str">
        <f>IF(LEN(Contrato5[[#This Row],[Contrato2]])=3,Contrato5[[#This Row],[Contrato2]],TEXT(Contrato5[[#This Row],[Contrato2]],"000"))</f>
        <v>234</v>
      </c>
      <c r="AH285" s="149">
        <f ca="1">IFERROR(_xlfn.DAYS(Contrato5[[#This Row],[Fecha Proyectada liquidación]],TODAY())/30,"")</f>
        <v>0.6333333333333333</v>
      </c>
      <c r="AI285" s="150">
        <f>+Contrato5[[#This Row],[FECHA TERMINACIÓN ]]+120</f>
        <v>45777</v>
      </c>
      <c r="AJ285" s="147"/>
      <c r="AK285" s="152" t="str">
        <f ca="1">IF(Contrato5[[#This Row],[FECHA TERMINACIÓN ]]&lt;TODAY(), "Terminado",IF(ISNUMBER(Contrato5[[#This Row],[Fecha Real de liquiidación ]]),"Liquidado",IF(Contrato5[[#This Row],[FECHA TERMINACIÓN ]]&gt;=TODAY(),"En ejecución","")))</f>
        <v>Terminado</v>
      </c>
      <c r="AL285" s="153" t="e">
        <f ca="1">SUMIF([2]!COMPROMISOS_2024[[#All],[consecutivo]],Contrato5[[#This Row],[RCP]],[2]!COMPROMISOS_2024[[#All],[Total pagado]])</f>
        <v>#REF!</v>
      </c>
      <c r="AM285" s="154">
        <f ca="1">IFERROR(Contrato5[[#This Row],[Pagos]]/Contrato5[[#This Row],[VALOR CONTRATO]],0)</f>
        <v>0</v>
      </c>
      <c r="AN285" s="198" t="e">
        <f ca="1">+Contrato5[[#This Row],[VALOR CONTRATO]]-Contrato5[[#This Row],[Pagos]]</f>
        <v>#REF!</v>
      </c>
      <c r="AO285" s="147" t="e" cm="1">
        <f t="array" aca="1" ref="AO285" ca="1">_xlfn.XLOOKUP(Contrato5[[#This Row],[DOCUMENTO ]],[2]!PERSONAL_ACTIVO_2024[[#All],[Documento identidad]],[2]!PERSONAL_ACTIVO_2024[[#All],[Mail ]],0,0)</f>
        <v>#NAME?</v>
      </c>
      <c r="AP285" s="147" t="e" cm="1">
        <f t="array" aca="1" ref="AP285" ca="1">_xlfn.XLOOKUP(Contrato5[[#This Row],[DOCUMENTO]],[2]!PERSONAL_ACTIVO_2024[[#All],[Documento identidad]],[2]!PERSONAL_ACTIVO_2024[[#All],[Mail ]],0,0)</f>
        <v>#NAME?</v>
      </c>
      <c r="AQ285" s="439" cm="1">
        <f t="array" aca="1" ref="AQ285" ca="1">IF(ISBLANK(Contrato5[[#This Row],[DEPENDENCIA ]]),0,IFERROR(_xlfn.XLOOKUP(Contrato5[[#This Row],[DEPENDENCIA ]],[2]!PERSONAL_ACTIVO_2024[[#All],[Dependencia]],[2]!PERSONAL_ACTIVO_2024[[#All],[Mail ]],0,0),0))</f>
        <v>0</v>
      </c>
    </row>
    <row r="286" spans="1:43" ht="34.5" customHeight="1">
      <c r="A286" s="125">
        <v>550</v>
      </c>
      <c r="B286" s="124">
        <v>235</v>
      </c>
      <c r="C286" s="162" t="s">
        <v>440</v>
      </c>
      <c r="D286" s="227" t="s">
        <v>515</v>
      </c>
      <c r="E286" s="128" t="s">
        <v>94</v>
      </c>
      <c r="F286" s="163" t="s">
        <v>1376</v>
      </c>
      <c r="G286" s="190" t="s">
        <v>975</v>
      </c>
      <c r="H286" s="447">
        <v>1110557942</v>
      </c>
      <c r="I286" s="455">
        <v>6879081</v>
      </c>
      <c r="J286" s="456">
        <v>58153567</v>
      </c>
      <c r="K286" s="131" t="s">
        <v>919</v>
      </c>
      <c r="L286" s="438" t="s">
        <v>496</v>
      </c>
      <c r="M286" s="194" t="s">
        <v>910</v>
      </c>
      <c r="N286" s="177" t="e" cm="1">
        <f t="array" aca="1" ref="N286" ca="1">_xlfn.XLOOKUP(Contrato5[[#This Row],[SUPERVISOR TITULAR]],[2]!PERSONAL_ACTIVO_2024[[#All],[Nombre completo]],[2]!PERSONAL_ACTIVO_2024[[#All],[Documento identidad]],"",0)</f>
        <v>#NAME?</v>
      </c>
      <c r="O286" s="194" t="s">
        <v>823</v>
      </c>
      <c r="P286" s="196" t="e" cm="1">
        <f t="array" aca="1" ref="P286" ca="1">_xlfn.XLOOKUP(Contrato5[[#This Row],[SUPERVISOR SUPLENTE ]],[2]!PERSONAL_ACTIVO_2024[[#All],[Nombre completo]],[2]!PERSONAL_ACTIVO_2024[[#All],[Documento identidad]],"",0)</f>
        <v>#NAME?</v>
      </c>
      <c r="Q286" s="208">
        <v>333</v>
      </c>
      <c r="R286" s="137" t="e" cm="1">
        <f t="array" aca="1" ref="R286" ca="1">_xlfn.XLOOKUP(Contrato5[[#This Row],[CDP]],[2]!DISPONIBILIDADES_2024[[#All],[consecutivo]],[2]!DISPONIBILIDADES_2024[[#All],[fecha_aprobacion]],"",0)</f>
        <v>#NAME?</v>
      </c>
      <c r="S286" s="138" t="e">
        <f>SUMIF([2]!DISPONIBILIDADES_2024[[#All],[consecutivo]],Contrato5[[#This Row],[CDP]],[2]!DISPONIBILIDADES_2024[[#All],[valor_total_rubro]])</f>
        <v>#REF!</v>
      </c>
      <c r="T286" s="139" t="e" cm="1">
        <f t="array" aca="1" ref="T286" ca="1">_xlfn.XLOOKUP(Contrato5[[#This Row],[CONTRATO]]&amp;Contrato5[[#This Row],[CDP]],[2]!Corr_Contr_CDP[[#All],[CONTRATO-CDP]],[2]!Corr_Contr_CDP[[#All],[CRP]],_xlfn.XLOOKUP(Contrato5[[#This Row],[CDP]],[2]!COMPROMISOS_2024[[#All],[disponibilidad]],[2]!COMPROMISOS_2024[[#All],[consecutivo]],"",0),0)</f>
        <v>#NAME?</v>
      </c>
      <c r="U286" s="140" t="e" cm="1">
        <f t="array" aca="1" ref="U286" ca="1">+_xlfn.XLOOKUP(Contrato5[[#This Row],[RCP]],[2]!COMPROMISOS_2024[[#All],[consecutivo]],[2]!COMPROMISOS_2024[[#All],[fecha_aprobacion]],"",0)</f>
        <v>#NAME?</v>
      </c>
      <c r="V286" s="141" t="e">
        <f ca="1">SUMIF([2]!COMPROMISOS_2024[[#All],[consecutivo]],Contrato5[[#This Row],[RCP]],[2]!COMPROMISOS_2024[[#All],[valor_total]])</f>
        <v>#REF!</v>
      </c>
      <c r="W286" s="415">
        <v>45390</v>
      </c>
      <c r="X286" s="415">
        <v>45390</v>
      </c>
      <c r="Y286" s="143">
        <v>45391</v>
      </c>
      <c r="Z286" s="262">
        <v>45604</v>
      </c>
      <c r="AA286" s="171" t="s">
        <v>976</v>
      </c>
      <c r="AB286" s="172" t="s">
        <v>618</v>
      </c>
      <c r="AC286" s="172"/>
      <c r="AD286" s="211">
        <v>202000004161</v>
      </c>
      <c r="AE286" s="147" t="s">
        <v>523</v>
      </c>
      <c r="AF286" s="148" t="str">
        <f>TEXT(LEFT(Contrato5[[#This Row],[CONTRATO]],3),"0")</f>
        <v>235</v>
      </c>
      <c r="AG286" s="148" t="str">
        <f>IF(LEN(Contrato5[[#This Row],[Contrato2]])=3,Contrato5[[#This Row],[Contrato2]],TEXT(Contrato5[[#This Row],[Contrato2]],"000"))</f>
        <v>235</v>
      </c>
      <c r="AH286" s="149">
        <f ca="1">IFERROR(_xlfn.DAYS(Contrato5[[#This Row],[Fecha Proyectada liquidación]],TODAY())/30,"")</f>
        <v>-1.1333333333333333</v>
      </c>
      <c r="AI286" s="150">
        <f>+Contrato5[[#This Row],[FECHA TERMINACIÓN ]]+120</f>
        <v>45724</v>
      </c>
      <c r="AJ286" s="147"/>
      <c r="AK286" s="152" t="str">
        <f ca="1">IF(Contrato5[[#This Row],[FECHA TERMINACIÓN ]]&lt;TODAY(), "Terminado",IF(ISNUMBER(Contrato5[[#This Row],[Fecha Real de liquiidación ]]),"Liquidado",IF(Contrato5[[#This Row],[FECHA TERMINACIÓN ]]&gt;=TODAY(),"En ejecución","")))</f>
        <v>Terminado</v>
      </c>
      <c r="AL286" s="153" t="e">
        <f ca="1">SUMIF([2]!COMPROMISOS_2024[[#All],[consecutivo]],Contrato5[[#This Row],[RCP]],[2]!COMPROMISOS_2024[[#All],[Total pagado]])</f>
        <v>#REF!</v>
      </c>
      <c r="AM286" s="154">
        <f ca="1">IFERROR(Contrato5[[#This Row],[Pagos]]/Contrato5[[#This Row],[VALOR CONTRATO]],0)</f>
        <v>0</v>
      </c>
      <c r="AN286" s="198" t="e">
        <f ca="1">+Contrato5[[#This Row],[VALOR CONTRATO]]-Contrato5[[#This Row],[Pagos]]</f>
        <v>#REF!</v>
      </c>
      <c r="AO286" s="147" t="e" cm="1">
        <f t="array" aca="1" ref="AO286" ca="1">_xlfn.XLOOKUP(Contrato5[[#This Row],[DOCUMENTO ]],[2]!PERSONAL_ACTIVO_2024[[#All],[Documento identidad]],[2]!PERSONAL_ACTIVO_2024[[#All],[Mail ]],0,0)</f>
        <v>#NAME?</v>
      </c>
      <c r="AP286" s="147" t="e" cm="1">
        <f t="array" aca="1" ref="AP286" ca="1">_xlfn.XLOOKUP(Contrato5[[#This Row],[DOCUMENTO]],[2]!PERSONAL_ACTIVO_2024[[#All],[Documento identidad]],[2]!PERSONAL_ACTIVO_2024[[#All],[Mail ]],0,0)</f>
        <v>#NAME?</v>
      </c>
      <c r="AQ286" s="439" cm="1">
        <f t="array" aca="1" ref="AQ286" ca="1">IF(ISBLANK(Contrato5[[#This Row],[DEPENDENCIA ]]),0,IFERROR(_xlfn.XLOOKUP(Contrato5[[#This Row],[DEPENDENCIA ]],[2]!PERSONAL_ACTIVO_2024[[#All],[Dependencia]],[2]!PERSONAL_ACTIVO_2024[[#All],[Mail ]],0,0),0))</f>
        <v>0</v>
      </c>
    </row>
    <row r="287" spans="1:43" ht="34.5" customHeight="1">
      <c r="A287" s="147">
        <v>1143</v>
      </c>
      <c r="B287" s="124">
        <v>235</v>
      </c>
      <c r="C287" s="162" t="s">
        <v>2406</v>
      </c>
      <c r="D287" s="227" t="s">
        <v>515</v>
      </c>
      <c r="E287" s="227" t="s">
        <v>2148</v>
      </c>
      <c r="F287" s="163" t="s">
        <v>1376</v>
      </c>
      <c r="G287" s="281" t="s">
        <v>975</v>
      </c>
      <c r="H287" s="447">
        <v>1110557942</v>
      </c>
      <c r="I287" s="455">
        <v>6879081</v>
      </c>
      <c r="J287" s="445">
        <v>16923740</v>
      </c>
      <c r="K287" s="131" t="s">
        <v>2569</v>
      </c>
      <c r="L287" s="438" t="s">
        <v>2445</v>
      </c>
      <c r="M287" s="194" t="s">
        <v>910</v>
      </c>
      <c r="N287" s="177" t="e" cm="1">
        <f t="array" aca="1" ref="N287" ca="1">_xlfn.XLOOKUP(Contrato5[[#This Row],[SUPERVISOR TITULAR]],[2]!PERSONAL_ACTIVO_2024[[#All],[Nombre completo]],[2]!PERSONAL_ACTIVO_2024[[#All],[Documento identidad]],"",0)</f>
        <v>#NAME?</v>
      </c>
      <c r="O287" s="194" t="s">
        <v>823</v>
      </c>
      <c r="P287" s="196" t="e" cm="1">
        <f t="array" aca="1" ref="P287" ca="1">_xlfn.XLOOKUP(Contrato5[[#This Row],[SUPERVISOR SUPLENTE ]],[2]!PERSONAL_ACTIVO_2024[[#All],[Nombre completo]],[2]!PERSONAL_ACTIVO_2024[[#All],[Documento identidad]],"",0)</f>
        <v>#NAME?</v>
      </c>
      <c r="Q287" s="170">
        <v>936</v>
      </c>
      <c r="R287" s="137" t="e" cm="1">
        <f t="array" aca="1" ref="R287" ca="1">_xlfn.XLOOKUP(Contrato5[[#This Row],[CDP]],[2]!DISPONIBILIDADES_2024[[#All],[consecutivo]],[2]!DISPONIBILIDADES_2024[[#All],[fecha_aprobacion]],"",0)</f>
        <v>#NAME?</v>
      </c>
      <c r="S287" s="138" t="e">
        <f>SUMIF([2]!DISPONIBILIDADES_2024[[#All],[consecutivo]],Contrato5[[#This Row],[CDP]],[2]!DISPONIBILIDADES_2024[[#All],[valor_total_rubro]])</f>
        <v>#REF!</v>
      </c>
      <c r="T287" s="139" t="e" cm="1">
        <f t="array" aca="1" ref="T287" ca="1">_xlfn.XLOOKUP(Contrato5[[#This Row],[CONTRATO]]&amp;Contrato5[[#This Row],[CDP]],[2]!Corr_Contr_CDP[[#All],[CONTRATO-CDP]],[2]!Corr_Contr_CDP[[#All],[CRP]],_xlfn.XLOOKUP(Contrato5[[#This Row],[CDP]],[2]!COMPROMISOS_2024[[#All],[disponibilidad]],[2]!COMPROMISOS_2024[[#All],[consecutivo]],"",0),0)</f>
        <v>#NAME?</v>
      </c>
      <c r="U287" s="140" t="e" cm="1">
        <f t="array" aca="1" ref="U287" ca="1">+_xlfn.XLOOKUP(Contrato5[[#This Row],[RCP]],[2]!COMPROMISOS_2024[[#All],[consecutivo]],[2]!COMPROMISOS_2024[[#All],[fecha_aprobacion]],"",0)</f>
        <v>#NAME?</v>
      </c>
      <c r="V287" s="141" t="e">
        <f ca="1">SUMIF([2]!COMPROMISOS_2024[[#All],[consecutivo]],Contrato5[[#This Row],[RCP]],[2]!COMPROMISOS_2024[[#All],[valor_total]])</f>
        <v>#REF!</v>
      </c>
      <c r="W287" s="415">
        <v>45603</v>
      </c>
      <c r="X287" s="415">
        <v>45604</v>
      </c>
      <c r="Y287" s="143">
        <v>45605</v>
      </c>
      <c r="Z287" s="262">
        <v>45656</v>
      </c>
      <c r="AA287" s="171" t="s">
        <v>976</v>
      </c>
      <c r="AB287" s="172" t="s">
        <v>2586</v>
      </c>
      <c r="AC287" s="172"/>
      <c r="AD287" s="288"/>
      <c r="AE287" s="147"/>
      <c r="AF287" s="148" t="str">
        <f>TEXT(LEFT(Contrato5[[#This Row],[CONTRATO]],3),"0")</f>
        <v>235</v>
      </c>
      <c r="AG287" s="148" t="str">
        <f>IF(LEN(Contrato5[[#This Row],[Contrato2]])=3,Contrato5[[#This Row],[Contrato2]],TEXT(Contrato5[[#This Row],[Contrato2]],"000"))</f>
        <v>235</v>
      </c>
      <c r="AH287" s="149">
        <f ca="1">IFERROR(_xlfn.DAYS(Contrato5[[#This Row],[Fecha Proyectada liquidación]],TODAY())/30,"")</f>
        <v>0.6</v>
      </c>
      <c r="AI287" s="150">
        <f>+Contrato5[[#This Row],[FECHA TERMINACIÓN ]]+120</f>
        <v>45776</v>
      </c>
      <c r="AJ287" s="147"/>
      <c r="AK287" s="152" t="str">
        <f ca="1">IF(Contrato5[[#This Row],[FECHA TERMINACIÓN ]]&lt;TODAY(), "Terminado",IF(ISNUMBER(Contrato5[[#This Row],[Fecha Real de liquiidación ]]),"Liquidado",IF(Contrato5[[#This Row],[FECHA TERMINACIÓN ]]&gt;=TODAY(),"En ejecución","")))</f>
        <v>Terminado</v>
      </c>
      <c r="AL287" s="153" t="e">
        <f ca="1">SUMIF([2]!COMPROMISOS_2024[[#All],[consecutivo]],Contrato5[[#This Row],[RCP]],[2]!COMPROMISOS_2024[[#All],[Total pagado]])</f>
        <v>#REF!</v>
      </c>
      <c r="AM287" s="154">
        <f ca="1">IFERROR(Contrato5[[#This Row],[Pagos]]/Contrato5[[#This Row],[VALOR CONTRATO]],0)</f>
        <v>0</v>
      </c>
      <c r="AN287" s="198" t="e">
        <f ca="1">+Contrato5[[#This Row],[VALOR CONTRATO]]-Contrato5[[#This Row],[Pagos]]</f>
        <v>#REF!</v>
      </c>
      <c r="AO287" s="147" t="e" cm="1">
        <f t="array" aca="1" ref="AO287" ca="1">_xlfn.XLOOKUP(Contrato5[[#This Row],[DOCUMENTO ]],[2]!PERSONAL_ACTIVO_2024[[#All],[Documento identidad]],[2]!PERSONAL_ACTIVO_2024[[#All],[Mail ]],0,0)</f>
        <v>#NAME?</v>
      </c>
      <c r="AP287" s="147" t="e" cm="1">
        <f t="array" aca="1" ref="AP287" ca="1">_xlfn.XLOOKUP(Contrato5[[#This Row],[DOCUMENTO]],[2]!PERSONAL_ACTIVO_2024[[#All],[Documento identidad]],[2]!PERSONAL_ACTIVO_2024[[#All],[Mail ]],0,0)</f>
        <v>#NAME?</v>
      </c>
      <c r="AQ287" s="439" cm="1">
        <f t="array" aca="1" ref="AQ287" ca="1">IF(ISBLANK(Contrato5[[#This Row],[DEPENDENCIA ]]),0,IFERROR(_xlfn.XLOOKUP(Contrato5[[#This Row],[DEPENDENCIA ]],[2]!PERSONAL_ACTIVO_2024[[#All],[Dependencia]],[2]!PERSONAL_ACTIVO_2024[[#All],[Mail ]],0,0),0))</f>
        <v>0</v>
      </c>
    </row>
    <row r="288" spans="1:43" ht="34.5" customHeight="1">
      <c r="A288" s="125">
        <v>132</v>
      </c>
      <c r="B288" s="124">
        <v>236</v>
      </c>
      <c r="C288" s="162" t="s">
        <v>1552</v>
      </c>
      <c r="D288" s="227" t="s">
        <v>583</v>
      </c>
      <c r="E288" s="128" t="s">
        <v>94</v>
      </c>
      <c r="F288" s="163" t="s">
        <v>1376</v>
      </c>
      <c r="G288" s="190" t="s">
        <v>977</v>
      </c>
      <c r="H288" s="447">
        <v>37864662</v>
      </c>
      <c r="I288" s="455">
        <v>7690469</v>
      </c>
      <c r="J288" s="456">
        <v>83059456</v>
      </c>
      <c r="K288" s="131" t="s">
        <v>978</v>
      </c>
      <c r="L288" s="438" t="s">
        <v>496</v>
      </c>
      <c r="M288" s="194" t="s">
        <v>585</v>
      </c>
      <c r="N288" s="177" t="e" cm="1">
        <f t="array" aca="1" ref="N288" ca="1">_xlfn.XLOOKUP(Contrato5[[#This Row],[SUPERVISOR TITULAR]],[2]!PERSONAL_ACTIVO_2024[[#All],[Nombre completo]],[2]!PERSONAL_ACTIVO_2024[[#All],[Documento identidad]],"",0)</f>
        <v>#NAME?</v>
      </c>
      <c r="O288" s="194" t="s">
        <v>586</v>
      </c>
      <c r="P288" s="196" t="e" cm="1">
        <f t="array" aca="1" ref="P288" ca="1">_xlfn.XLOOKUP(Contrato5[[#This Row],[SUPERVISOR SUPLENTE ]],[2]!PERSONAL_ACTIVO_2024[[#All],[Nombre completo]],[2]!PERSONAL_ACTIVO_2024[[#All],[Documento identidad]],"",0)</f>
        <v>#NAME?</v>
      </c>
      <c r="Q288" s="208">
        <v>326</v>
      </c>
      <c r="R288" s="137" t="e" cm="1">
        <f t="array" aca="1" ref="R288" ca="1">_xlfn.XLOOKUP(Contrato5[[#This Row],[CDP]],[2]!DISPONIBILIDADES_2024[[#All],[consecutivo]],[2]!DISPONIBILIDADES_2024[[#All],[fecha_aprobacion]],"",0)</f>
        <v>#NAME?</v>
      </c>
      <c r="S288" s="138" t="e">
        <f>SUMIF([2]!DISPONIBILIDADES_2024[[#All],[consecutivo]],Contrato5[[#This Row],[CDP]],[2]!DISPONIBILIDADES_2024[[#All],[valor_total_rubro]])</f>
        <v>#REF!</v>
      </c>
      <c r="T288" s="139" t="e" cm="1">
        <f t="array" aca="1" ref="T288" ca="1">_xlfn.XLOOKUP(Contrato5[[#This Row],[CONTRATO]]&amp;Contrato5[[#This Row],[CDP]],[2]!Corr_Contr_CDP[[#All],[CONTRATO-CDP]],[2]!Corr_Contr_CDP[[#All],[CRP]],_xlfn.XLOOKUP(Contrato5[[#This Row],[CDP]],[2]!COMPROMISOS_2024[[#All],[disponibilidad]],[2]!COMPROMISOS_2024[[#All],[consecutivo]],"",0),0)</f>
        <v>#NAME?</v>
      </c>
      <c r="U288" s="140" t="e" cm="1">
        <f t="array" aca="1" ref="U288" ca="1">+_xlfn.XLOOKUP(Contrato5[[#This Row],[RCP]],[2]!COMPROMISOS_2024[[#All],[consecutivo]],[2]!COMPROMISOS_2024[[#All],[fecha_aprobacion]],"",0)</f>
        <v>#NAME?</v>
      </c>
      <c r="V288" s="141" t="e">
        <f ca="1">SUMIF([2]!COMPROMISOS_2024[[#All],[consecutivo]],Contrato5[[#This Row],[RCP]],[2]!COMPROMISOS_2024[[#All],[valor_total]])</f>
        <v>#REF!</v>
      </c>
      <c r="W288" s="415">
        <v>45383</v>
      </c>
      <c r="X288" s="415">
        <v>45385</v>
      </c>
      <c r="Y288" s="143">
        <v>45385</v>
      </c>
      <c r="Z288" s="262">
        <v>45657</v>
      </c>
      <c r="AA288" s="171" t="s">
        <v>979</v>
      </c>
      <c r="AB288" s="227" t="s">
        <v>980</v>
      </c>
      <c r="AC288" s="172"/>
      <c r="AD288" s="211">
        <v>202000004162</v>
      </c>
      <c r="AE288" s="147" t="s">
        <v>523</v>
      </c>
      <c r="AF288" s="148" t="str">
        <f>TEXT(LEFT(Contrato5[[#This Row],[CONTRATO]],3),"0")</f>
        <v>236</v>
      </c>
      <c r="AG288" s="148" t="str">
        <f>IF(LEN(Contrato5[[#This Row],[Contrato2]])=3,Contrato5[[#This Row],[Contrato2]],TEXT(Contrato5[[#This Row],[Contrato2]],"000"))</f>
        <v>236</v>
      </c>
      <c r="AH288" s="149">
        <f ca="1">IFERROR(_xlfn.DAYS(Contrato5[[#This Row],[Fecha Proyectada liquidación]],TODAY())/30,"")</f>
        <v>0.6333333333333333</v>
      </c>
      <c r="AI288" s="150">
        <f>+Contrato5[[#This Row],[FECHA TERMINACIÓN ]]+120</f>
        <v>45777</v>
      </c>
      <c r="AJ288" s="147"/>
      <c r="AK288" s="152" t="str">
        <f ca="1">IF(Contrato5[[#This Row],[FECHA TERMINACIÓN ]]&lt;TODAY(), "Terminado",IF(ISNUMBER(Contrato5[[#This Row],[Fecha Real de liquiidación ]]),"Liquidado",IF(Contrato5[[#This Row],[FECHA TERMINACIÓN ]]&gt;=TODAY(),"En ejecución","")))</f>
        <v>Terminado</v>
      </c>
      <c r="AL288" s="153" t="e">
        <f ca="1">SUMIF([2]!COMPROMISOS_2024[[#All],[consecutivo]],Contrato5[[#This Row],[RCP]],[2]!COMPROMISOS_2024[[#All],[Total pagado]])</f>
        <v>#REF!</v>
      </c>
      <c r="AM288" s="154">
        <f ca="1">IFERROR(Contrato5[[#This Row],[Pagos]]/Contrato5[[#This Row],[VALOR CONTRATO]],0)</f>
        <v>0</v>
      </c>
      <c r="AN288" s="198" t="e">
        <f ca="1">+Contrato5[[#This Row],[VALOR CONTRATO]]-Contrato5[[#This Row],[Pagos]]</f>
        <v>#REF!</v>
      </c>
      <c r="AO288" s="147" t="e" cm="1">
        <f t="array" aca="1" ref="AO288" ca="1">_xlfn.XLOOKUP(Contrato5[[#This Row],[DOCUMENTO ]],[2]!PERSONAL_ACTIVO_2024[[#All],[Documento identidad]],[2]!PERSONAL_ACTIVO_2024[[#All],[Mail ]],0,0)</f>
        <v>#NAME?</v>
      </c>
      <c r="AP288" s="147" t="e" cm="1">
        <f t="array" aca="1" ref="AP288" ca="1">_xlfn.XLOOKUP(Contrato5[[#This Row],[DOCUMENTO]],[2]!PERSONAL_ACTIVO_2024[[#All],[Documento identidad]],[2]!PERSONAL_ACTIVO_2024[[#All],[Mail ]],0,0)</f>
        <v>#NAME?</v>
      </c>
      <c r="AQ288" s="439" cm="1">
        <f t="array" aca="1" ref="AQ288" ca="1">IF(ISBLANK(Contrato5[[#This Row],[DEPENDENCIA ]]),0,IFERROR(_xlfn.XLOOKUP(Contrato5[[#This Row],[DEPENDENCIA ]],[2]!PERSONAL_ACTIVO_2024[[#All],[Dependencia]],[2]!PERSONAL_ACTIVO_2024[[#All],[Mail ]],0,0),0))</f>
        <v>0</v>
      </c>
    </row>
    <row r="289" spans="1:16382" ht="34.5" customHeight="1">
      <c r="A289" s="125">
        <v>330</v>
      </c>
      <c r="B289" s="124">
        <v>237</v>
      </c>
      <c r="C289" s="162" t="s">
        <v>1697</v>
      </c>
      <c r="D289" s="227" t="s">
        <v>583</v>
      </c>
      <c r="E289" s="128" t="s">
        <v>94</v>
      </c>
      <c r="F289" s="163" t="s">
        <v>1376</v>
      </c>
      <c r="G289" s="190" t="s">
        <v>981</v>
      </c>
      <c r="H289" s="447">
        <v>1037236459</v>
      </c>
      <c r="I289" s="455">
        <v>4171510</v>
      </c>
      <c r="J289" s="456">
        <v>25029060</v>
      </c>
      <c r="K289" s="147" t="s">
        <v>42</v>
      </c>
      <c r="L289" s="438" t="s">
        <v>496</v>
      </c>
      <c r="M289" s="194" t="s">
        <v>600</v>
      </c>
      <c r="N289" s="177" t="e" cm="1">
        <f t="array" aca="1" ref="N289" ca="1">_xlfn.XLOOKUP(Contrato5[[#This Row],[SUPERVISOR TITULAR]],[2]!PERSONAL_ACTIVO_2024[[#All],[Nombre completo]],[2]!PERSONAL_ACTIVO_2024[[#All],[Documento identidad]],"",0)</f>
        <v>#NAME?</v>
      </c>
      <c r="O289" s="194" t="s">
        <v>592</v>
      </c>
      <c r="P289" s="196" t="e" cm="1">
        <f t="array" aca="1" ref="P289" ca="1">_xlfn.XLOOKUP(Contrato5[[#This Row],[SUPERVISOR SUPLENTE ]],[2]!PERSONAL_ACTIVO_2024[[#All],[Nombre completo]],[2]!PERSONAL_ACTIVO_2024[[#All],[Documento identidad]],"",0)</f>
        <v>#NAME?</v>
      </c>
      <c r="Q289" s="208">
        <v>331</v>
      </c>
      <c r="R289" s="137" t="e" cm="1">
        <f t="array" aca="1" ref="R289" ca="1">_xlfn.XLOOKUP(Contrato5[[#This Row],[CDP]],[2]!DISPONIBILIDADES_2024[[#All],[consecutivo]],[2]!DISPONIBILIDADES_2024[[#All],[fecha_aprobacion]],"",0)</f>
        <v>#NAME?</v>
      </c>
      <c r="S289" s="138" t="e">
        <f>SUMIF([2]!DISPONIBILIDADES_2024[[#All],[consecutivo]],Contrato5[[#This Row],[CDP]],[2]!DISPONIBILIDADES_2024[[#All],[valor_total_rubro]])</f>
        <v>#REF!</v>
      </c>
      <c r="T289" s="139" t="e" cm="1">
        <f t="array" aca="1" ref="T289" ca="1">_xlfn.XLOOKUP(Contrato5[[#This Row],[CONTRATO]]&amp;Contrato5[[#This Row],[CDP]],[2]!Corr_Contr_CDP[[#All],[CONTRATO-CDP]],[2]!Corr_Contr_CDP[[#All],[CRP]],_xlfn.XLOOKUP(Contrato5[[#This Row],[CDP]],[2]!COMPROMISOS_2024[[#All],[disponibilidad]],[2]!COMPROMISOS_2024[[#All],[consecutivo]],"",0),0)</f>
        <v>#NAME?</v>
      </c>
      <c r="U289" s="140" t="e" cm="1">
        <f t="array" aca="1" ref="U289" ca="1">+_xlfn.XLOOKUP(Contrato5[[#This Row],[RCP]],[2]!COMPROMISOS_2024[[#All],[consecutivo]],[2]!COMPROMISOS_2024[[#All],[fecha_aprobacion]],"",0)</f>
        <v>#NAME?</v>
      </c>
      <c r="V289" s="141" t="e">
        <f ca="1">SUMIF([2]!COMPROMISOS_2024[[#All],[consecutivo]],Contrato5[[#This Row],[RCP]],[2]!COMPROMISOS_2024[[#All],[valor_total]])</f>
        <v>#REF!</v>
      </c>
      <c r="W289" s="415">
        <v>45383</v>
      </c>
      <c r="X289" s="415">
        <v>45386</v>
      </c>
      <c r="Y289" s="143">
        <v>45386</v>
      </c>
      <c r="Z289" s="262">
        <v>45568</v>
      </c>
      <c r="AA289" s="171" t="s">
        <v>982</v>
      </c>
      <c r="AB289" s="172" t="s">
        <v>640</v>
      </c>
      <c r="AC289" s="172"/>
      <c r="AD289" s="263">
        <v>202000004163</v>
      </c>
      <c r="AE289" s="147" t="s">
        <v>523</v>
      </c>
      <c r="AF289" s="148" t="str">
        <f>TEXT(LEFT(Contrato5[[#This Row],[CONTRATO]],3),"0")</f>
        <v>237</v>
      </c>
      <c r="AG289" s="148" t="str">
        <f>IF(LEN(Contrato5[[#This Row],[Contrato2]])=3,Contrato5[[#This Row],[Contrato2]],TEXT(Contrato5[[#This Row],[Contrato2]],"000"))</f>
        <v>237</v>
      </c>
      <c r="AH289" s="149">
        <f ca="1">IFERROR(_xlfn.DAYS(Contrato5[[#This Row],[Fecha Proyectada liquidación]],TODAY())/30,"")</f>
        <v>-2.3333333333333335</v>
      </c>
      <c r="AI289" s="150">
        <f>+Contrato5[[#This Row],[FECHA TERMINACIÓN ]]+120</f>
        <v>45688</v>
      </c>
      <c r="AJ289" s="147"/>
      <c r="AK289" s="152" t="str">
        <f ca="1">IF(Contrato5[[#This Row],[FECHA TERMINACIÓN ]]&lt;TODAY(), "Terminado",IF(ISNUMBER(Contrato5[[#This Row],[Fecha Real de liquiidación ]]),"Liquidado",IF(Contrato5[[#This Row],[FECHA TERMINACIÓN ]]&gt;=TODAY(),"En ejecución","")))</f>
        <v>Terminado</v>
      </c>
      <c r="AL289" s="153" t="e">
        <f ca="1">SUMIF([2]!COMPROMISOS_2024[[#All],[consecutivo]],Contrato5[[#This Row],[RCP]],[2]!COMPROMISOS_2024[[#All],[Total pagado]])</f>
        <v>#REF!</v>
      </c>
      <c r="AM289" s="154">
        <f ca="1">IFERROR(Contrato5[[#This Row],[Pagos]]/Contrato5[[#This Row],[VALOR CONTRATO]],0)</f>
        <v>0</v>
      </c>
      <c r="AN289" s="198" t="e">
        <f ca="1">+Contrato5[[#This Row],[VALOR CONTRATO]]-Contrato5[[#This Row],[Pagos]]</f>
        <v>#REF!</v>
      </c>
      <c r="AO289" s="147" t="e" cm="1">
        <f t="array" aca="1" ref="AO289" ca="1">_xlfn.XLOOKUP(Contrato5[[#This Row],[DOCUMENTO ]],[2]!PERSONAL_ACTIVO_2024[[#All],[Documento identidad]],[2]!PERSONAL_ACTIVO_2024[[#All],[Mail ]],0,0)</f>
        <v>#NAME?</v>
      </c>
      <c r="AP289" s="147" t="e" cm="1">
        <f t="array" aca="1" ref="AP289" ca="1">_xlfn.XLOOKUP(Contrato5[[#This Row],[DOCUMENTO]],[2]!PERSONAL_ACTIVO_2024[[#All],[Documento identidad]],[2]!PERSONAL_ACTIVO_2024[[#All],[Mail ]],0,0)</f>
        <v>#NAME?</v>
      </c>
      <c r="AQ289" s="439" cm="1">
        <f t="array" aca="1" ref="AQ289" ca="1">IF(ISBLANK(Contrato5[[#This Row],[DEPENDENCIA ]]),0,IFERROR(_xlfn.XLOOKUP(Contrato5[[#This Row],[DEPENDENCIA ]],[2]!PERSONAL_ACTIVO_2024[[#All],[Dependencia]],[2]!PERSONAL_ACTIVO_2024[[#All],[Mail ]],0,0),0))</f>
        <v>0</v>
      </c>
    </row>
    <row r="290" spans="1:16382" ht="34.5" customHeight="1">
      <c r="A290" s="147">
        <v>1196</v>
      </c>
      <c r="B290" s="124">
        <v>237</v>
      </c>
      <c r="C290" s="162" t="s">
        <v>2184</v>
      </c>
      <c r="D290" s="227" t="s">
        <v>583</v>
      </c>
      <c r="E290" s="128" t="s">
        <v>2148</v>
      </c>
      <c r="F290" s="163" t="s">
        <v>1376</v>
      </c>
      <c r="G290" s="190" t="s">
        <v>981</v>
      </c>
      <c r="H290" s="447">
        <v>1037236459</v>
      </c>
      <c r="I290" s="455">
        <v>4171510</v>
      </c>
      <c r="J290" s="437">
        <v>12097379</v>
      </c>
      <c r="K290" s="147"/>
      <c r="L290" s="438" t="s">
        <v>2462</v>
      </c>
      <c r="M290" s="194" t="s">
        <v>600</v>
      </c>
      <c r="N290" s="195" t="e" cm="1">
        <f t="array" aca="1" ref="N290" ca="1">_xlfn.XLOOKUP(Contrato5[[#This Row],[SUPERVISOR TITULAR]],[2]!PERSONAL_ACTIVO_2024[[#All],[Nombre completo]],[2]!PERSONAL_ACTIVO_2024[[#All],[Documento identidad]],"",0)</f>
        <v>#NAME?</v>
      </c>
      <c r="O290" s="194" t="s">
        <v>592</v>
      </c>
      <c r="P290" s="135" t="e" cm="1">
        <f t="array" aca="1" ref="P290" ca="1">_xlfn.XLOOKUP(Contrato5[[#This Row],[SUPERVISOR SUPLENTE ]],[2]!PERSONAL_ACTIVO_2024[[#All],[Nombre completo]],[2]!PERSONAL_ACTIVO_2024[[#All],[Documento identidad]],"",0)</f>
        <v>#NAME?</v>
      </c>
      <c r="Q290" s="170">
        <v>1008</v>
      </c>
      <c r="R290" s="137" t="e" cm="1">
        <f t="array" aca="1" ref="R290" ca="1">_xlfn.XLOOKUP(Contrato5[[#This Row],[CDP]],[2]!DISPONIBILIDADES_2024[[#All],[consecutivo]],[2]!DISPONIBILIDADES_2024[[#All],[fecha_aprobacion]],"",0)</f>
        <v>#NAME?</v>
      </c>
      <c r="S290" s="138" t="e">
        <f>SUMIF([2]!DISPONIBILIDADES_2024[[#All],[consecutivo]],Contrato5[[#This Row],[CDP]],[2]!DISPONIBILIDADES_2024[[#All],[valor_total_rubro]])</f>
        <v>#REF!</v>
      </c>
      <c r="T290" s="139" t="e" cm="1">
        <f t="array" aca="1" ref="T290" ca="1">_xlfn.XLOOKUP(Contrato5[[#This Row],[CONTRATO]]&amp;Contrato5[[#This Row],[CDP]],[2]!Corr_Contr_CDP[[#All],[CONTRATO-CDP]],[2]!Corr_Contr_CDP[[#All],[CRP]],_xlfn.XLOOKUP(Contrato5[[#This Row],[CDP]],[2]!COMPROMISOS_2024[[#All],[disponibilidad]],[2]!COMPROMISOS_2024[[#All],[consecutivo]],"",0),0)</f>
        <v>#NAME?</v>
      </c>
      <c r="U290" s="140" t="e" cm="1">
        <f t="array" aca="1" ref="U290" ca="1">+_xlfn.XLOOKUP(Contrato5[[#This Row],[RCP]],[2]!COMPROMISOS_2024[[#All],[consecutivo]],[2]!COMPROMISOS_2024[[#All],[fecha_aprobacion]],"",0)</f>
        <v>#NAME?</v>
      </c>
      <c r="V290" s="141" t="e">
        <f ca="1">SUMIF([2]!COMPROMISOS_2024[[#All],[consecutivo]],Contrato5[[#This Row],[RCP]],[2]!COMPROMISOS_2024[[#All],[valor_total]])</f>
        <v>#REF!</v>
      </c>
      <c r="W290" s="415">
        <v>45566</v>
      </c>
      <c r="X290" s="415">
        <v>45604</v>
      </c>
      <c r="Y290" s="143">
        <v>45569</v>
      </c>
      <c r="Z290" s="262">
        <v>45656</v>
      </c>
      <c r="AA290" s="203"/>
      <c r="AB290" s="172" t="s">
        <v>2586</v>
      </c>
      <c r="AC290" s="127"/>
      <c r="AD290" s="211"/>
      <c r="AE290" s="147"/>
      <c r="AF290" s="148" t="str">
        <f>TEXT(LEFT(Contrato5[[#This Row],[CONTRATO]],3),"0")</f>
        <v>237</v>
      </c>
      <c r="AG290" s="148" t="str">
        <f>IF(LEN(Contrato5[[#This Row],[Contrato2]])=3,Contrato5[[#This Row],[Contrato2]],TEXT(Contrato5[[#This Row],[Contrato2]],"000"))</f>
        <v>237</v>
      </c>
      <c r="AH290" s="149">
        <f ca="1">IFERROR(_xlfn.DAYS(Contrato5[[#This Row],[Fecha Proyectada liquidación]],TODAY())/30,"")</f>
        <v>0.6</v>
      </c>
      <c r="AI290" s="150">
        <f>+Contrato5[[#This Row],[FECHA TERMINACIÓN ]]+120</f>
        <v>45776</v>
      </c>
      <c r="AJ290" s="147"/>
      <c r="AK290" s="152" t="str">
        <f ca="1">IF(Contrato5[[#This Row],[FECHA TERMINACIÓN ]]&lt;TODAY(), "Terminado",IF(ISNUMBER(Contrato5[[#This Row],[Fecha Real de liquiidación ]]),"Liquidado",IF(Contrato5[[#This Row],[FECHA TERMINACIÓN ]]&gt;=TODAY(),"En ejecución","")))</f>
        <v>Terminado</v>
      </c>
      <c r="AL290" s="153" t="e">
        <f ca="1">SUMIF([2]!COMPROMISOS_2024[[#All],[consecutivo]],Contrato5[[#This Row],[RCP]],[2]!COMPROMISOS_2024[[#All],[Total pagado]])</f>
        <v>#REF!</v>
      </c>
      <c r="AM290" s="154">
        <f ca="1">IFERROR(Contrato5[[#This Row],[Pagos]]/Contrato5[[#This Row],[VALOR CONTRATO]],0)</f>
        <v>0</v>
      </c>
      <c r="AN290" s="198" t="e">
        <f ca="1">+Contrato5[[#This Row],[VALOR CONTRATO]]-Contrato5[[#This Row],[Pagos]]</f>
        <v>#REF!</v>
      </c>
      <c r="AO290" s="147" t="e" cm="1">
        <f t="array" aca="1" ref="AO290" ca="1">_xlfn.XLOOKUP(Contrato5[[#This Row],[DOCUMENTO ]],[2]!PERSONAL_ACTIVO_2024[[#All],[Documento identidad]],[2]!PERSONAL_ACTIVO_2024[[#All],[Mail ]],0,0)</f>
        <v>#NAME?</v>
      </c>
      <c r="AP290" s="147" t="e" cm="1">
        <f t="array" aca="1" ref="AP290" ca="1">_xlfn.XLOOKUP(Contrato5[[#This Row],[DOCUMENTO]],[2]!PERSONAL_ACTIVO_2024[[#All],[Documento identidad]],[2]!PERSONAL_ACTIVO_2024[[#All],[Mail ]],0,0)</f>
        <v>#NAME?</v>
      </c>
      <c r="AQ290" s="439" cm="1">
        <f t="array" aca="1" ref="AQ290" ca="1">IF(ISBLANK(Contrato5[[#This Row],[DEPENDENCIA ]]),0,IFERROR(_xlfn.XLOOKUP(Contrato5[[#This Row],[DEPENDENCIA ]],[2]!PERSONAL_ACTIVO_2024[[#All],[Dependencia]],[2]!PERSONAL_ACTIVO_2024[[#All],[Mail ]],0,0),0))</f>
        <v>0</v>
      </c>
    </row>
    <row r="291" spans="1:16382" s="306" customFormat="1" ht="34.5" customHeight="1">
      <c r="A291" s="125">
        <v>67</v>
      </c>
      <c r="B291" s="124">
        <v>238</v>
      </c>
      <c r="C291" s="162" t="s">
        <v>1499</v>
      </c>
      <c r="D291" s="227" t="s">
        <v>602</v>
      </c>
      <c r="E291" s="128" t="s">
        <v>94</v>
      </c>
      <c r="F291" s="163" t="s">
        <v>1376</v>
      </c>
      <c r="G291" s="190" t="s">
        <v>983</v>
      </c>
      <c r="H291" s="447">
        <v>71717922</v>
      </c>
      <c r="I291" s="455">
        <v>4683168</v>
      </c>
      <c r="J291" s="456">
        <v>28099008</v>
      </c>
      <c r="K291" s="147" t="s">
        <v>42</v>
      </c>
      <c r="L291" s="438" t="s">
        <v>496</v>
      </c>
      <c r="M291" s="194" t="s">
        <v>605</v>
      </c>
      <c r="N291" s="177" t="e" cm="1">
        <f t="array" aca="1" ref="N291" ca="1">_xlfn.XLOOKUP(Contrato5[[#This Row],[SUPERVISOR TITULAR]],[2]!PERSONAL_ACTIVO_2024[[#All],[Nombre completo]],[2]!PERSONAL_ACTIVO_2024[[#All],[Documento identidad]],"",0)</f>
        <v>#NAME?</v>
      </c>
      <c r="O291" s="194" t="s">
        <v>984</v>
      </c>
      <c r="P291" s="196" t="e" cm="1">
        <f t="array" aca="1" ref="P291" ca="1">_xlfn.XLOOKUP(Contrato5[[#This Row],[SUPERVISOR SUPLENTE ]],[2]!PERSONAL_ACTIVO_2024[[#All],[Nombre completo]],[2]!PERSONAL_ACTIVO_2024[[#All],[Documento identidad]],"",0)</f>
        <v>#NAME?</v>
      </c>
      <c r="Q291" s="264">
        <v>213</v>
      </c>
      <c r="R291" s="137" t="e" cm="1">
        <f t="array" aca="1" ref="R291" ca="1">_xlfn.XLOOKUP(Contrato5[[#This Row],[CDP]],[2]!DISPONIBILIDADES_2024[[#All],[consecutivo]],[2]!DISPONIBILIDADES_2024[[#All],[fecha_aprobacion]],"",0)</f>
        <v>#NAME?</v>
      </c>
      <c r="S291" s="138" t="e">
        <f>SUMIF([2]!DISPONIBILIDADES_2024[[#All],[consecutivo]],Contrato5[[#This Row],[CDP]],[2]!DISPONIBILIDADES_2024[[#All],[valor_total_rubro]])</f>
        <v>#REF!</v>
      </c>
      <c r="T291" s="139" t="e" cm="1">
        <f t="array" aca="1" ref="T291" ca="1">_xlfn.XLOOKUP(Contrato5[[#This Row],[CONTRATO]]&amp;Contrato5[[#This Row],[CDP]],[2]!Corr_Contr_CDP[[#All],[CONTRATO-CDP]],[2]!Corr_Contr_CDP[[#All],[CRP]],_xlfn.XLOOKUP(Contrato5[[#This Row],[CDP]],[2]!COMPROMISOS_2024[[#All],[disponibilidad]],[2]!COMPROMISOS_2024[[#All],[consecutivo]],"",0),0)</f>
        <v>#NAME?</v>
      </c>
      <c r="U291" s="140" t="e" cm="1">
        <f t="array" aca="1" ref="U291" ca="1">+_xlfn.XLOOKUP(Contrato5[[#This Row],[RCP]],[2]!COMPROMISOS_2024[[#All],[consecutivo]],[2]!COMPROMISOS_2024[[#All],[fecha_aprobacion]],"",0)</f>
        <v>#NAME?</v>
      </c>
      <c r="V291" s="141" t="e">
        <f ca="1">SUMIF([2]!COMPROMISOS_2024[[#All],[consecutivo]],Contrato5[[#This Row],[RCP]],[2]!COMPROMISOS_2024[[#All],[valor_total]])</f>
        <v>#REF!</v>
      </c>
      <c r="W291" s="415">
        <v>45384</v>
      </c>
      <c r="X291" s="415">
        <v>45386</v>
      </c>
      <c r="Y291" s="143">
        <v>45386</v>
      </c>
      <c r="Z291" s="262">
        <v>45568</v>
      </c>
      <c r="AA291" s="171" t="s">
        <v>985</v>
      </c>
      <c r="AB291" s="227" t="s">
        <v>640</v>
      </c>
      <c r="AC291" s="227"/>
      <c r="AD291" s="265">
        <v>202000004164</v>
      </c>
      <c r="AE291" s="147" t="s">
        <v>523</v>
      </c>
      <c r="AF291" s="148" t="str">
        <f>TEXT(LEFT(Contrato5[[#This Row],[CONTRATO]],3),"0")</f>
        <v>238</v>
      </c>
      <c r="AG291" s="148" t="str">
        <f>IF(LEN(Contrato5[[#This Row],[Contrato2]])=3,Contrato5[[#This Row],[Contrato2]],TEXT(Contrato5[[#This Row],[Contrato2]],"000"))</f>
        <v>238</v>
      </c>
      <c r="AH291" s="149">
        <f ca="1">IFERROR(_xlfn.DAYS(Contrato5[[#This Row],[Fecha Proyectada liquidación]],TODAY())/30,"")</f>
        <v>-2.3333333333333335</v>
      </c>
      <c r="AI291" s="150">
        <f>+Contrato5[[#This Row],[FECHA TERMINACIÓN ]]+120</f>
        <v>45688</v>
      </c>
      <c r="AJ291" s="131"/>
      <c r="AK291" s="152" t="str">
        <f ca="1">IF(Contrato5[[#This Row],[FECHA TERMINACIÓN ]]&lt;TODAY(), "Terminado",IF(ISNUMBER(Contrato5[[#This Row],[Fecha Real de liquiidación ]]),"Liquidado",IF(Contrato5[[#This Row],[FECHA TERMINACIÓN ]]&gt;=TODAY(),"En ejecución","")))</f>
        <v>Terminado</v>
      </c>
      <c r="AL291" s="153" t="e">
        <f ca="1">SUMIF([2]!COMPROMISOS_2024[[#All],[consecutivo]],Contrato5[[#This Row],[RCP]],[2]!COMPROMISOS_2024[[#All],[Total pagado]])</f>
        <v>#REF!</v>
      </c>
      <c r="AM291" s="154">
        <f ca="1">IFERROR(Contrato5[[#This Row],[Pagos]]/Contrato5[[#This Row],[VALOR CONTRATO]],0)</f>
        <v>0</v>
      </c>
      <c r="AN291" s="261" t="e">
        <f ca="1">+Contrato5[[#This Row],[VALOR CONTRATO]]-Contrato5[[#This Row],[Pagos]]</f>
        <v>#REF!</v>
      </c>
      <c r="AO291" s="131" t="e" cm="1">
        <f t="array" aca="1" ref="AO291" ca="1">_xlfn.XLOOKUP(Contrato5[[#This Row],[DOCUMENTO ]],[2]!PERSONAL_ACTIVO_2024[[#All],[Documento identidad]],[2]!PERSONAL_ACTIVO_2024[[#All],[Mail ]],0,0)</f>
        <v>#NAME?</v>
      </c>
      <c r="AP291" s="131" t="e" cm="1">
        <f t="array" aca="1" ref="AP291" ca="1">_xlfn.XLOOKUP(Contrato5[[#This Row],[DOCUMENTO]],[2]!PERSONAL_ACTIVO_2024[[#All],[Documento identidad]],[2]!PERSONAL_ACTIVO_2024[[#All],[Mail ]],0,0)</f>
        <v>#NAME?</v>
      </c>
      <c r="AQ291" s="466" cm="1">
        <f t="array" aca="1" ref="AQ291" ca="1">IF(ISBLANK(Contrato5[[#This Row],[DEPENDENCIA ]]),0,IFERROR(_xlfn.XLOOKUP(Contrato5[[#This Row],[DEPENDENCIA ]],[2]!PERSONAL_ACTIVO_2024[[#All],[Dependencia]],[2]!PERSONAL_ACTIVO_2024[[#All],[Mail ]],0,0),0))</f>
        <v>0</v>
      </c>
    </row>
    <row r="292" spans="1:16382" s="306" customFormat="1" ht="34.5" customHeight="1">
      <c r="A292" s="147">
        <v>1030</v>
      </c>
      <c r="B292" s="124">
        <v>238</v>
      </c>
      <c r="C292" s="162" t="s">
        <v>2127</v>
      </c>
      <c r="D292" s="227" t="s">
        <v>602</v>
      </c>
      <c r="E292" s="128" t="s">
        <v>2148</v>
      </c>
      <c r="F292" s="163" t="s">
        <v>1376</v>
      </c>
      <c r="G292" s="190" t="s">
        <v>983</v>
      </c>
      <c r="H292" s="447">
        <v>71717922</v>
      </c>
      <c r="I292" s="455">
        <v>4683168</v>
      </c>
      <c r="J292" s="437">
        <v>13581187</v>
      </c>
      <c r="K292" s="147" t="s">
        <v>42</v>
      </c>
      <c r="L292" s="438" t="s">
        <v>2462</v>
      </c>
      <c r="M292" s="194" t="s">
        <v>605</v>
      </c>
      <c r="N292" s="195" t="e" cm="1">
        <f t="array" aca="1" ref="N292" ca="1">_xlfn.XLOOKUP(Contrato5[[#This Row],[SUPERVISOR TITULAR]],[2]!PERSONAL_ACTIVO_2024[[#All],[Nombre completo]],[2]!PERSONAL_ACTIVO_2024[[#All],[Documento identidad]],"",0)</f>
        <v>#NAME?</v>
      </c>
      <c r="O292" s="194" t="s">
        <v>984</v>
      </c>
      <c r="P292" s="135" t="e" cm="1">
        <f t="array" aca="1" ref="P292" ca="1">_xlfn.XLOOKUP(Contrato5[[#This Row],[SUPERVISOR SUPLENTE ]],[2]!PERSONAL_ACTIVO_2024[[#All],[Nombre completo]],[2]!PERSONAL_ACTIVO_2024[[#All],[Documento identidad]],"",0)</f>
        <v>#NAME?</v>
      </c>
      <c r="Q292" s="170">
        <v>1012</v>
      </c>
      <c r="R292" s="137" t="e" cm="1">
        <f t="array" aca="1" ref="R292" ca="1">_xlfn.XLOOKUP(Contrato5[[#This Row],[CDP]],[2]!DISPONIBILIDADES_2024[[#All],[consecutivo]],[2]!DISPONIBILIDADES_2024[[#All],[fecha_aprobacion]],"",0)</f>
        <v>#NAME?</v>
      </c>
      <c r="S292" s="138" t="e">
        <f>SUMIF([2]!DISPONIBILIDADES_2024[[#All],[consecutivo]],Contrato5[[#This Row],[CDP]],[2]!DISPONIBILIDADES_2024[[#All],[valor_total_rubro]])</f>
        <v>#REF!</v>
      </c>
      <c r="T292" s="139" t="e" cm="1">
        <f t="array" aca="1" ref="T292" ca="1">_xlfn.XLOOKUP(Contrato5[[#This Row],[CONTRATO]]&amp;Contrato5[[#This Row],[CDP]],[2]!Corr_Contr_CDP[[#All],[CONTRATO-CDP]],[2]!Corr_Contr_CDP[[#All],[CRP]],_xlfn.XLOOKUP(Contrato5[[#This Row],[CDP]],[2]!COMPROMISOS_2024[[#All],[disponibilidad]],[2]!COMPROMISOS_2024[[#All],[consecutivo]],"",0),0)</f>
        <v>#NAME?</v>
      </c>
      <c r="U292" s="140" t="e" cm="1">
        <f t="array" aca="1" ref="U292" ca="1">+_xlfn.XLOOKUP(Contrato5[[#This Row],[RCP]],[2]!COMPROMISOS_2024[[#All],[consecutivo]],[2]!COMPROMISOS_2024[[#All],[fecha_aprobacion]],"",0)</f>
        <v>#NAME?</v>
      </c>
      <c r="V292" s="141" t="e">
        <f ca="1">SUMIF([2]!COMPROMISOS_2024[[#All],[consecutivo]],Contrato5[[#This Row],[RCP]],[2]!COMPROMISOS_2024[[#All],[valor_total]])</f>
        <v>#REF!</v>
      </c>
      <c r="W292" s="415">
        <v>45566</v>
      </c>
      <c r="X292" s="415">
        <v>45568</v>
      </c>
      <c r="Y292" s="143">
        <v>45569</v>
      </c>
      <c r="Z292" s="262">
        <v>45657</v>
      </c>
      <c r="AA292" s="203"/>
      <c r="AB292" s="227" t="s">
        <v>2587</v>
      </c>
      <c r="AC292" s="126"/>
      <c r="AD292" s="218"/>
      <c r="AE292" s="147"/>
      <c r="AF292" s="148" t="str">
        <f>TEXT(LEFT(Contrato5[[#This Row],[CONTRATO]],3),"0")</f>
        <v>238</v>
      </c>
      <c r="AG292" s="148" t="str">
        <f>IF(LEN(Contrato5[[#This Row],[Contrato2]])=3,Contrato5[[#This Row],[Contrato2]],TEXT(Contrato5[[#This Row],[Contrato2]],"000"))</f>
        <v>238</v>
      </c>
      <c r="AH292" s="149">
        <f ca="1">IFERROR(_xlfn.DAYS(Contrato5[[#This Row],[Fecha Proyectada liquidación]],TODAY())/30,"")</f>
        <v>0.6333333333333333</v>
      </c>
      <c r="AI292" s="150">
        <f>+Contrato5[[#This Row],[FECHA TERMINACIÓN ]]+120</f>
        <v>45777</v>
      </c>
      <c r="AJ292" s="147"/>
      <c r="AK292" s="152" t="str">
        <f ca="1">IF(Contrato5[[#This Row],[FECHA TERMINACIÓN ]]&lt;TODAY(), "Terminado",IF(ISNUMBER(Contrato5[[#This Row],[Fecha Real de liquiidación ]]),"Liquidado",IF(Contrato5[[#This Row],[FECHA TERMINACIÓN ]]&gt;=TODAY(),"En ejecución","")))</f>
        <v>Terminado</v>
      </c>
      <c r="AL292" s="153" t="e">
        <f ca="1">SUMIF([2]!COMPROMISOS_2024[[#All],[consecutivo]],Contrato5[[#This Row],[RCP]],[2]!COMPROMISOS_2024[[#All],[Total pagado]])</f>
        <v>#REF!</v>
      </c>
      <c r="AM292" s="154">
        <f ca="1">IFERROR(Contrato5[[#This Row],[Pagos]]/Contrato5[[#This Row],[VALOR CONTRATO]],0)</f>
        <v>0</v>
      </c>
      <c r="AN292" s="261" t="e">
        <f ca="1">+Contrato5[[#This Row],[VALOR CONTRATO]]-Contrato5[[#This Row],[Pagos]]</f>
        <v>#REF!</v>
      </c>
      <c r="AO292" s="131" t="e" cm="1">
        <f t="array" aca="1" ref="AO292" ca="1">_xlfn.XLOOKUP(Contrato5[[#This Row],[DOCUMENTO ]],[2]!PERSONAL_ACTIVO_2024[[#All],[Documento identidad]],[2]!PERSONAL_ACTIVO_2024[[#All],[Mail ]],0,0)</f>
        <v>#NAME?</v>
      </c>
      <c r="AP292" s="131" t="e" cm="1">
        <f t="array" aca="1" ref="AP292" ca="1">_xlfn.XLOOKUP(Contrato5[[#This Row],[DOCUMENTO]],[2]!PERSONAL_ACTIVO_2024[[#All],[Documento identidad]],[2]!PERSONAL_ACTIVO_2024[[#All],[Mail ]],0,0)</f>
        <v>#NAME?</v>
      </c>
      <c r="AQ292" s="466" cm="1">
        <f t="array" aca="1" ref="AQ292" ca="1">IF(ISBLANK(Contrato5[[#This Row],[DEPENDENCIA ]]),0,IFERROR(_xlfn.XLOOKUP(Contrato5[[#This Row],[DEPENDENCIA ]],[2]!PERSONAL_ACTIVO_2024[[#All],[Dependencia]],[2]!PERSONAL_ACTIVO_2024[[#All],[Mail ]],0,0),0))</f>
        <v>0</v>
      </c>
    </row>
    <row r="293" spans="1:16382" ht="34.5" customHeight="1">
      <c r="A293" s="125">
        <v>65</v>
      </c>
      <c r="B293" s="124">
        <v>239</v>
      </c>
      <c r="C293" s="162" t="s">
        <v>1498</v>
      </c>
      <c r="D293" s="227" t="s">
        <v>602</v>
      </c>
      <c r="E293" s="128" t="s">
        <v>94</v>
      </c>
      <c r="F293" s="163" t="s">
        <v>1376</v>
      </c>
      <c r="G293" s="190" t="s">
        <v>986</v>
      </c>
      <c r="H293" s="447">
        <v>98544258</v>
      </c>
      <c r="I293" s="455">
        <v>4293967</v>
      </c>
      <c r="J293" s="456">
        <v>25763802</v>
      </c>
      <c r="K293" s="147" t="s">
        <v>42</v>
      </c>
      <c r="L293" s="438" t="s">
        <v>496</v>
      </c>
      <c r="M293" s="194" t="s">
        <v>605</v>
      </c>
      <c r="N293" s="177" t="e" cm="1">
        <f t="array" aca="1" ref="N293" ca="1">_xlfn.XLOOKUP(Contrato5[[#This Row],[SUPERVISOR TITULAR]],[2]!PERSONAL_ACTIVO_2024[[#All],[Nombre completo]],[2]!PERSONAL_ACTIVO_2024[[#All],[Documento identidad]],"",0)</f>
        <v>#NAME?</v>
      </c>
      <c r="O293" s="194" t="s">
        <v>984</v>
      </c>
      <c r="P293" s="196" t="e" cm="1">
        <f t="array" aca="1" ref="P293" ca="1">_xlfn.XLOOKUP(Contrato5[[#This Row],[SUPERVISOR SUPLENTE ]],[2]!PERSONAL_ACTIVO_2024[[#All],[Nombre completo]],[2]!PERSONAL_ACTIVO_2024[[#All],[Documento identidad]],"",0)</f>
        <v>#NAME?</v>
      </c>
      <c r="Q293" s="264">
        <v>212</v>
      </c>
      <c r="R293" s="137" t="e" cm="1">
        <f t="array" aca="1" ref="R293" ca="1">_xlfn.XLOOKUP(Contrato5[[#This Row],[CDP]],[2]!DISPONIBILIDADES_2024[[#All],[consecutivo]],[2]!DISPONIBILIDADES_2024[[#All],[fecha_aprobacion]],"",0)</f>
        <v>#NAME?</v>
      </c>
      <c r="S293" s="138" t="e">
        <f>SUMIF([2]!DISPONIBILIDADES_2024[[#All],[consecutivo]],Contrato5[[#This Row],[CDP]],[2]!DISPONIBILIDADES_2024[[#All],[valor_total_rubro]])</f>
        <v>#REF!</v>
      </c>
      <c r="T293" s="139" t="e" cm="1">
        <f t="array" aca="1" ref="T293" ca="1">_xlfn.XLOOKUP(Contrato5[[#This Row],[CONTRATO]]&amp;Contrato5[[#This Row],[CDP]],[2]!Corr_Contr_CDP[[#All],[CONTRATO-CDP]],[2]!Corr_Contr_CDP[[#All],[CRP]],_xlfn.XLOOKUP(Contrato5[[#This Row],[CDP]],[2]!COMPROMISOS_2024[[#All],[disponibilidad]],[2]!COMPROMISOS_2024[[#All],[consecutivo]],"",0),0)</f>
        <v>#NAME?</v>
      </c>
      <c r="U293" s="140" t="e" cm="1">
        <f t="array" aca="1" ref="U293" ca="1">+_xlfn.XLOOKUP(Contrato5[[#This Row],[RCP]],[2]!COMPROMISOS_2024[[#All],[consecutivo]],[2]!COMPROMISOS_2024[[#All],[fecha_aprobacion]],"",0)</f>
        <v>#NAME?</v>
      </c>
      <c r="V293" s="141" t="e">
        <f ca="1">SUMIF([2]!COMPROMISOS_2024[[#All],[consecutivo]],Contrato5[[#This Row],[RCP]],[2]!COMPROMISOS_2024[[#All],[valor_total]])</f>
        <v>#REF!</v>
      </c>
      <c r="W293" s="415">
        <v>45384</v>
      </c>
      <c r="X293" s="415">
        <v>45386</v>
      </c>
      <c r="Y293" s="143">
        <v>45386</v>
      </c>
      <c r="Z293" s="262">
        <v>45568</v>
      </c>
      <c r="AA293" s="171" t="s">
        <v>987</v>
      </c>
      <c r="AB293" s="227" t="s">
        <v>640</v>
      </c>
      <c r="AC293" s="227"/>
      <c r="AD293" s="265">
        <v>202000004165</v>
      </c>
      <c r="AE293" s="131" t="s">
        <v>523</v>
      </c>
      <c r="AF293" s="148" t="str">
        <f>TEXT(LEFT(Contrato5[[#This Row],[CONTRATO]],3),"0")</f>
        <v>239</v>
      </c>
      <c r="AG293" s="148" t="str">
        <f>IF(LEN(Contrato5[[#This Row],[Contrato2]])=3,Contrato5[[#This Row],[Contrato2]],TEXT(Contrato5[[#This Row],[Contrato2]],"000"))</f>
        <v>239</v>
      </c>
      <c r="AH293" s="149">
        <f ca="1">IFERROR(_xlfn.DAYS(Contrato5[[#This Row],[Fecha Proyectada liquidación]],TODAY())/30,"")</f>
        <v>-2.3333333333333335</v>
      </c>
      <c r="AI293" s="150">
        <f>+Contrato5[[#This Row],[FECHA TERMINACIÓN ]]+120</f>
        <v>45688</v>
      </c>
      <c r="AJ293" s="131"/>
      <c r="AK293" s="152" t="str">
        <f ca="1">IF(Contrato5[[#This Row],[FECHA TERMINACIÓN ]]&lt;TODAY(), "Terminado",IF(ISNUMBER(Contrato5[[#This Row],[Fecha Real de liquiidación ]]),"Liquidado",IF(Contrato5[[#This Row],[FECHA TERMINACIÓN ]]&gt;=TODAY(),"En ejecución","")))</f>
        <v>Terminado</v>
      </c>
      <c r="AL293" s="153" t="e">
        <f ca="1">SUMIF([2]!COMPROMISOS_2024[[#All],[consecutivo]],Contrato5[[#This Row],[RCP]],[2]!COMPROMISOS_2024[[#All],[Total pagado]])</f>
        <v>#REF!</v>
      </c>
      <c r="AM293" s="154">
        <f ca="1">IFERROR(Contrato5[[#This Row],[Pagos]]/Contrato5[[#This Row],[VALOR CONTRATO]],0)</f>
        <v>0</v>
      </c>
      <c r="AN293" s="261" t="e">
        <f ca="1">+Contrato5[[#This Row],[VALOR CONTRATO]]-Contrato5[[#This Row],[Pagos]]</f>
        <v>#REF!</v>
      </c>
      <c r="AO293" s="266" t="e" cm="1">
        <f t="array" aca="1" ref="AO293" ca="1">_xlfn.XLOOKUP(Contrato5[[#This Row],[DOCUMENTO ]],[2]!PERSONAL_ACTIVO_2024[[#All],[Documento identidad]],[2]!PERSONAL_ACTIVO_2024[[#All],[Mail ]],0,0)</f>
        <v>#NAME?</v>
      </c>
      <c r="AP293" s="200" t="e" cm="1">
        <f t="array" aca="1" ref="AP293" ca="1">_xlfn.XLOOKUP(Contrato5[[#This Row],[DOCUMENTO]],[2]!PERSONAL_ACTIVO_2024[[#All],[Documento identidad]],[2]!PERSONAL_ACTIVO_2024[[#All],[Mail ]],0,0)</f>
        <v>#NAME?</v>
      </c>
      <c r="AQ293" s="467" cm="1">
        <f t="array" aca="1" ref="AQ293" ca="1">IF(ISBLANK(Contrato5[[#This Row],[DEPENDENCIA ]]),0,IFERROR(_xlfn.XLOOKUP(Contrato5[[#This Row],[DEPENDENCIA ]],[2]!PERSONAL_ACTIVO_2024[[#All],[Dependencia]],[2]!PERSONAL_ACTIVO_2024[[#All],[Mail ]],0,0),0))</f>
        <v>0</v>
      </c>
      <c r="AR293" s="468"/>
      <c r="AS293" s="469"/>
      <c r="AT293" s="470"/>
      <c r="AU293" s="470"/>
      <c r="AV293" s="306"/>
      <c r="AW293" s="317"/>
      <c r="AX293" s="471"/>
      <c r="AY293" s="472"/>
      <c r="AZ293" s="471"/>
      <c r="BA293" s="473"/>
      <c r="BB293" s="474"/>
      <c r="BC293" s="475"/>
      <c r="BD293" s="476"/>
      <c r="BE293" s="477"/>
      <c r="BF293" s="475"/>
      <c r="BG293" s="478"/>
      <c r="BH293" s="479"/>
      <c r="BI293" s="480"/>
      <c r="BJ293" s="481"/>
      <c r="BK293" s="481"/>
      <c r="BL293" s="482"/>
      <c r="BM293" s="189"/>
      <c r="BN293" s="189"/>
      <c r="BO293" s="483"/>
      <c r="BP293" s="306"/>
      <c r="BQ293" s="484"/>
      <c r="BR293" s="306"/>
      <c r="BS293" s="267"/>
      <c r="BT293" s="268"/>
      <c r="BU293" s="306"/>
      <c r="BV293" s="268"/>
      <c r="BW293" s="306"/>
      <c r="BX293" s="485"/>
      <c r="BY293" s="306"/>
      <c r="BZ293" s="486"/>
      <c r="CA293" s="487"/>
      <c r="CB293" s="488"/>
      <c r="CC293" s="489"/>
      <c r="CD293" s="488"/>
      <c r="CE293" s="468"/>
      <c r="CF293" s="469"/>
      <c r="CG293" s="470"/>
      <c r="CH293" s="470"/>
      <c r="CI293" s="306"/>
      <c r="CJ293" s="317"/>
      <c r="CK293" s="471"/>
      <c r="CL293" s="472"/>
      <c r="CM293" s="471"/>
      <c r="CN293" s="473"/>
      <c r="CO293" s="474"/>
      <c r="CP293" s="475"/>
      <c r="CQ293" s="476"/>
      <c r="CR293" s="477"/>
      <c r="CS293" s="475"/>
      <c r="CT293" s="478"/>
      <c r="CU293" s="479"/>
      <c r="CV293" s="480"/>
      <c r="CW293" s="481"/>
      <c r="CX293" s="481"/>
      <c r="CY293" s="482"/>
      <c r="CZ293" s="189"/>
      <c r="DA293" s="189"/>
      <c r="DB293" s="483"/>
      <c r="DC293" s="306"/>
      <c r="DD293" s="484"/>
      <c r="DE293" s="306"/>
      <c r="DF293" s="267"/>
      <c r="DG293" s="268"/>
      <c r="DH293" s="306"/>
      <c r="DI293" s="268"/>
      <c r="DJ293" s="306"/>
      <c r="DK293" s="485"/>
      <c r="DL293" s="306"/>
      <c r="DM293" s="486"/>
      <c r="DN293" s="487"/>
      <c r="DO293" s="488"/>
      <c r="DP293" s="489"/>
      <c r="DQ293" s="488"/>
      <c r="DR293" s="468"/>
      <c r="DS293" s="469"/>
      <c r="DT293" s="470"/>
      <c r="DU293" s="470"/>
      <c r="DV293" s="306"/>
      <c r="DW293" s="317"/>
      <c r="DX293" s="471"/>
      <c r="DY293" s="472"/>
      <c r="DZ293" s="471"/>
      <c r="EA293" s="473"/>
      <c r="EB293" s="474"/>
      <c r="EC293" s="475"/>
      <c r="ED293" s="476"/>
      <c r="EE293" s="477"/>
      <c r="EF293" s="475"/>
      <c r="EG293" s="478"/>
      <c r="EH293" s="479"/>
      <c r="EI293" s="480"/>
      <c r="EJ293" s="481"/>
      <c r="EK293" s="481"/>
      <c r="EL293" s="482"/>
      <c r="EM293" s="189"/>
      <c r="EN293" s="189"/>
      <c r="EO293" s="483"/>
      <c r="EP293" s="306"/>
      <c r="EQ293" s="484"/>
      <c r="ER293" s="306"/>
      <c r="ES293" s="267"/>
      <c r="ET293" s="268"/>
      <c r="EU293" s="306"/>
      <c r="EV293" s="268"/>
      <c r="EW293" s="306"/>
      <c r="EX293" s="485"/>
      <c r="EY293" s="306"/>
      <c r="EZ293" s="486"/>
      <c r="FA293" s="487"/>
      <c r="FB293" s="488"/>
      <c r="FC293" s="489"/>
      <c r="FD293" s="488"/>
      <c r="FE293" s="468"/>
      <c r="FF293" s="469"/>
      <c r="FG293" s="470"/>
      <c r="FH293" s="470"/>
      <c r="FI293" s="306"/>
      <c r="FJ293" s="317"/>
      <c r="FK293" s="471"/>
      <c r="FL293" s="472"/>
      <c r="FM293" s="471"/>
      <c r="FN293" s="473"/>
      <c r="FO293" s="474"/>
      <c r="FP293" s="475"/>
      <c r="FQ293" s="476"/>
      <c r="FR293" s="477"/>
      <c r="FS293" s="475"/>
      <c r="FT293" s="478"/>
      <c r="FU293" s="479"/>
      <c r="FV293" s="480"/>
      <c r="FW293" s="481"/>
      <c r="FX293" s="481"/>
      <c r="FY293" s="482"/>
      <c r="FZ293" s="189"/>
      <c r="GA293" s="189"/>
      <c r="GB293" s="483"/>
      <c r="GC293" s="306"/>
      <c r="GD293" s="484"/>
      <c r="GE293" s="306"/>
      <c r="GF293" s="267"/>
      <c r="GG293" s="268"/>
      <c r="GH293" s="306"/>
      <c r="GI293" s="268"/>
      <c r="GJ293" s="306"/>
      <c r="GK293" s="485"/>
      <c r="GL293" s="306"/>
      <c r="GM293" s="486"/>
      <c r="GN293" s="487"/>
      <c r="GO293" s="488"/>
      <c r="GP293" s="489"/>
      <c r="GQ293" s="488"/>
      <c r="GR293" s="468"/>
      <c r="GS293" s="469"/>
      <c r="GT293" s="470"/>
      <c r="GU293" s="470"/>
      <c r="GV293" s="306"/>
      <c r="GW293" s="317"/>
      <c r="GX293" s="471"/>
      <c r="GY293" s="472"/>
      <c r="GZ293" s="471"/>
      <c r="HA293" s="473"/>
      <c r="HB293" s="474"/>
      <c r="HC293" s="475"/>
      <c r="HD293" s="476"/>
      <c r="HE293" s="477"/>
      <c r="HF293" s="475"/>
      <c r="HG293" s="478"/>
      <c r="HH293" s="479"/>
      <c r="HI293" s="480"/>
      <c r="HJ293" s="481"/>
      <c r="HK293" s="481"/>
      <c r="HL293" s="482"/>
      <c r="HM293" s="189"/>
      <c r="HN293" s="189"/>
      <c r="HO293" s="483"/>
      <c r="HP293" s="306"/>
      <c r="HQ293" s="484"/>
      <c r="HR293" s="306"/>
      <c r="HS293" s="267"/>
      <c r="HT293" s="268"/>
      <c r="HU293" s="306"/>
      <c r="HV293" s="268"/>
      <c r="HW293" s="306"/>
      <c r="HX293" s="485"/>
      <c r="HY293" s="306"/>
      <c r="HZ293" s="486"/>
      <c r="IA293" s="487"/>
      <c r="IB293" s="488"/>
      <c r="IC293" s="489"/>
      <c r="ID293" s="488"/>
      <c r="IE293" s="468"/>
      <c r="IF293" s="469"/>
      <c r="IG293" s="470"/>
      <c r="IH293" s="470"/>
      <c r="II293" s="306"/>
      <c r="IJ293" s="317"/>
      <c r="IK293" s="471"/>
      <c r="IL293" s="472"/>
      <c r="IM293" s="471"/>
      <c r="IN293" s="473"/>
      <c r="IO293" s="474"/>
      <c r="IP293" s="475"/>
      <c r="IQ293" s="476"/>
      <c r="IR293" s="477"/>
      <c r="IS293" s="475"/>
      <c r="IT293" s="478"/>
      <c r="IU293" s="479"/>
      <c r="IV293" s="480"/>
      <c r="IW293" s="481"/>
      <c r="IX293" s="481"/>
      <c r="IY293" s="482"/>
      <c r="IZ293" s="189"/>
      <c r="JA293" s="189"/>
      <c r="JB293" s="483"/>
      <c r="JC293" s="306"/>
      <c r="JD293" s="484"/>
      <c r="JE293" s="306"/>
      <c r="JF293" s="267"/>
      <c r="JG293" s="268"/>
      <c r="JH293" s="306"/>
      <c r="JI293" s="268"/>
      <c r="JJ293" s="306"/>
      <c r="JK293" s="485"/>
      <c r="JL293" s="306"/>
      <c r="JM293" s="486"/>
      <c r="JN293" s="487"/>
      <c r="JO293" s="488"/>
      <c r="JP293" s="489"/>
      <c r="JQ293" s="488"/>
      <c r="JR293" s="468"/>
      <c r="JS293" s="469"/>
      <c r="JT293" s="470"/>
      <c r="JU293" s="470"/>
      <c r="JV293" s="306"/>
      <c r="JW293" s="317"/>
      <c r="JX293" s="471"/>
      <c r="JY293" s="472"/>
      <c r="JZ293" s="471"/>
      <c r="KA293" s="473"/>
      <c r="KB293" s="474"/>
      <c r="KC293" s="475"/>
      <c r="KD293" s="476"/>
      <c r="KE293" s="477"/>
      <c r="KF293" s="475"/>
      <c r="KG293" s="478"/>
      <c r="KH293" s="479"/>
      <c r="KI293" s="480"/>
      <c r="KJ293" s="481"/>
      <c r="KK293" s="481"/>
      <c r="KL293" s="482"/>
      <c r="KM293" s="189"/>
      <c r="KN293" s="189"/>
      <c r="KO293" s="483"/>
      <c r="KP293" s="306"/>
      <c r="KQ293" s="484"/>
      <c r="KR293" s="306"/>
      <c r="KS293" s="267"/>
      <c r="KT293" s="268"/>
      <c r="KU293" s="306"/>
      <c r="KV293" s="268"/>
      <c r="KW293" s="306"/>
      <c r="KX293" s="485"/>
      <c r="KY293" s="306"/>
      <c r="KZ293" s="486"/>
      <c r="LA293" s="487"/>
      <c r="LB293" s="488"/>
      <c r="LC293" s="489"/>
      <c r="LD293" s="488"/>
      <c r="LE293" s="468"/>
      <c r="LF293" s="469"/>
      <c r="LG293" s="470"/>
      <c r="LH293" s="470"/>
      <c r="LI293" s="306"/>
      <c r="LJ293" s="317"/>
      <c r="LK293" s="471"/>
      <c r="LL293" s="472"/>
      <c r="LM293" s="471"/>
      <c r="LN293" s="473"/>
      <c r="LO293" s="474"/>
      <c r="LP293" s="475"/>
      <c r="LQ293" s="476"/>
      <c r="LR293" s="477"/>
      <c r="LS293" s="475"/>
      <c r="LT293" s="478"/>
      <c r="LU293" s="479"/>
      <c r="LV293" s="480"/>
      <c r="LW293" s="481"/>
      <c r="LX293" s="481"/>
      <c r="LY293" s="482"/>
      <c r="LZ293" s="189"/>
      <c r="MA293" s="189"/>
      <c r="MB293" s="483"/>
      <c r="MC293" s="306"/>
      <c r="MD293" s="484"/>
      <c r="ME293" s="306"/>
      <c r="MF293" s="267"/>
      <c r="MG293" s="268"/>
      <c r="MH293" s="306"/>
      <c r="MI293" s="268"/>
      <c r="MJ293" s="306"/>
      <c r="MK293" s="485"/>
      <c r="ML293" s="306"/>
      <c r="MM293" s="486"/>
      <c r="MN293" s="487"/>
      <c r="MO293" s="488"/>
      <c r="MP293" s="489"/>
      <c r="MQ293" s="488"/>
      <c r="MR293" s="468"/>
      <c r="MS293" s="469"/>
      <c r="MT293" s="470"/>
      <c r="MU293" s="470"/>
      <c r="MV293" s="306"/>
      <c r="MW293" s="317"/>
      <c r="MX293" s="471"/>
      <c r="MY293" s="472"/>
      <c r="MZ293" s="471"/>
      <c r="NA293" s="473"/>
      <c r="NB293" s="474"/>
      <c r="NC293" s="475"/>
      <c r="ND293" s="476"/>
      <c r="NE293" s="477"/>
      <c r="NF293" s="475"/>
      <c r="NG293" s="478"/>
      <c r="NH293" s="479"/>
      <c r="NI293" s="480"/>
      <c r="NJ293" s="481"/>
      <c r="NK293" s="481"/>
      <c r="NL293" s="482"/>
      <c r="NM293" s="189"/>
      <c r="NN293" s="189"/>
      <c r="NO293" s="483"/>
      <c r="NP293" s="306"/>
      <c r="NQ293" s="484"/>
      <c r="NR293" s="306"/>
      <c r="NS293" s="267"/>
      <c r="NT293" s="268"/>
      <c r="NU293" s="306"/>
      <c r="NV293" s="268"/>
      <c r="NW293" s="306"/>
      <c r="NX293" s="485"/>
      <c r="NY293" s="306"/>
      <c r="NZ293" s="486"/>
      <c r="OA293" s="487"/>
      <c r="OB293" s="488"/>
      <c r="OC293" s="489"/>
      <c r="OD293" s="488"/>
      <c r="OE293" s="468"/>
      <c r="OF293" s="469"/>
      <c r="OG293" s="470"/>
      <c r="OH293" s="470"/>
      <c r="OI293" s="306"/>
      <c r="OJ293" s="317"/>
      <c r="OK293" s="471"/>
      <c r="OL293" s="472"/>
      <c r="OM293" s="471"/>
      <c r="ON293" s="473"/>
      <c r="OO293" s="474"/>
      <c r="OP293" s="475"/>
      <c r="OQ293" s="476"/>
      <c r="OR293" s="477"/>
      <c r="OS293" s="475"/>
      <c r="OT293" s="478"/>
      <c r="OU293" s="479"/>
      <c r="OV293" s="480"/>
      <c r="OW293" s="481"/>
      <c r="OX293" s="481"/>
      <c r="OY293" s="482"/>
      <c r="OZ293" s="189"/>
      <c r="PA293" s="189"/>
      <c r="PB293" s="483"/>
      <c r="PC293" s="306"/>
      <c r="PD293" s="484"/>
      <c r="PE293" s="306"/>
      <c r="PF293" s="267"/>
      <c r="PG293" s="268"/>
      <c r="PH293" s="306"/>
      <c r="PI293" s="268"/>
      <c r="PJ293" s="306"/>
      <c r="PK293" s="485"/>
      <c r="PL293" s="306"/>
      <c r="PM293" s="486"/>
      <c r="PN293" s="487"/>
      <c r="PO293" s="488"/>
      <c r="PP293" s="489"/>
      <c r="PQ293" s="488"/>
      <c r="PR293" s="468"/>
      <c r="PS293" s="469"/>
      <c r="PT293" s="470"/>
      <c r="PU293" s="470"/>
      <c r="PV293" s="306"/>
      <c r="PW293" s="317"/>
      <c r="PX293" s="471"/>
      <c r="PY293" s="472"/>
      <c r="PZ293" s="471"/>
      <c r="QA293" s="473"/>
      <c r="QB293" s="474"/>
      <c r="QC293" s="475"/>
      <c r="QD293" s="476"/>
      <c r="QE293" s="477"/>
      <c r="QF293" s="475"/>
      <c r="QG293" s="478"/>
      <c r="QH293" s="479"/>
      <c r="QI293" s="480"/>
      <c r="QJ293" s="481"/>
      <c r="QK293" s="481"/>
      <c r="QL293" s="482"/>
      <c r="QM293" s="189"/>
      <c r="QN293" s="189"/>
      <c r="QO293" s="483"/>
      <c r="QP293" s="306"/>
      <c r="QQ293" s="484"/>
      <c r="QR293" s="306"/>
      <c r="QS293" s="267"/>
      <c r="QT293" s="268"/>
      <c r="QU293" s="306"/>
      <c r="QV293" s="268"/>
      <c r="QW293" s="306"/>
      <c r="QX293" s="485"/>
      <c r="QY293" s="306"/>
      <c r="QZ293" s="486"/>
      <c r="RA293" s="487"/>
      <c r="RB293" s="488"/>
      <c r="RC293" s="489"/>
      <c r="RD293" s="488"/>
      <c r="RE293" s="468"/>
      <c r="RF293" s="469"/>
      <c r="RG293" s="470"/>
      <c r="RH293" s="470"/>
      <c r="RI293" s="306"/>
      <c r="RJ293" s="317"/>
      <c r="RK293" s="471"/>
      <c r="RL293" s="472"/>
      <c r="RM293" s="471"/>
      <c r="RN293" s="473"/>
      <c r="RO293" s="474"/>
      <c r="RP293" s="475"/>
      <c r="RQ293" s="476"/>
      <c r="RR293" s="477"/>
      <c r="RS293" s="475"/>
      <c r="RT293" s="478"/>
      <c r="RU293" s="479"/>
      <c r="RV293" s="480"/>
      <c r="RW293" s="481"/>
      <c r="RX293" s="481"/>
      <c r="RY293" s="482"/>
      <c r="RZ293" s="189"/>
      <c r="SA293" s="189"/>
      <c r="SB293" s="483"/>
      <c r="SC293" s="306"/>
      <c r="SD293" s="484"/>
      <c r="SE293" s="306"/>
      <c r="SF293" s="267"/>
      <c r="SG293" s="268"/>
      <c r="SH293" s="306"/>
      <c r="SI293" s="268"/>
      <c r="SJ293" s="306"/>
      <c r="SK293" s="485"/>
      <c r="SL293" s="306"/>
      <c r="SM293" s="486"/>
      <c r="SN293" s="487"/>
      <c r="SO293" s="488"/>
      <c r="SP293" s="489"/>
      <c r="SQ293" s="488"/>
      <c r="SR293" s="468"/>
      <c r="SS293" s="469"/>
      <c r="ST293" s="470"/>
      <c r="SU293" s="470"/>
      <c r="SV293" s="306"/>
      <c r="SW293" s="317"/>
      <c r="SX293" s="471"/>
      <c r="SY293" s="472"/>
      <c r="SZ293" s="471"/>
      <c r="TA293" s="473"/>
      <c r="TB293" s="474"/>
      <c r="TC293" s="475"/>
      <c r="TD293" s="476"/>
      <c r="TE293" s="477"/>
      <c r="TF293" s="475"/>
      <c r="TG293" s="478"/>
      <c r="TH293" s="479"/>
      <c r="TI293" s="480"/>
      <c r="TJ293" s="481"/>
      <c r="TK293" s="481"/>
      <c r="TL293" s="482"/>
      <c r="TM293" s="189"/>
      <c r="TN293" s="189"/>
      <c r="TO293" s="483"/>
      <c r="TP293" s="306"/>
      <c r="TQ293" s="484"/>
      <c r="TR293" s="306"/>
      <c r="TS293" s="267"/>
      <c r="TT293" s="268"/>
      <c r="TU293" s="306"/>
      <c r="TV293" s="268"/>
      <c r="TW293" s="306"/>
      <c r="TX293" s="485"/>
      <c r="TY293" s="306"/>
      <c r="TZ293" s="486"/>
      <c r="UA293" s="487"/>
      <c r="UB293" s="488"/>
      <c r="UC293" s="489"/>
      <c r="UD293" s="488"/>
      <c r="UE293" s="468"/>
      <c r="UF293" s="469"/>
      <c r="UG293" s="470"/>
      <c r="UH293" s="470"/>
      <c r="UI293" s="306"/>
      <c r="UJ293" s="317"/>
      <c r="UK293" s="471"/>
      <c r="UL293" s="472"/>
      <c r="UM293" s="471"/>
      <c r="UN293" s="473"/>
      <c r="UO293" s="474"/>
      <c r="UP293" s="475"/>
      <c r="UQ293" s="476"/>
      <c r="UR293" s="477"/>
      <c r="US293" s="475"/>
      <c r="UT293" s="478"/>
      <c r="UU293" s="479"/>
      <c r="UV293" s="480"/>
      <c r="UW293" s="481"/>
      <c r="UX293" s="481"/>
      <c r="UY293" s="482"/>
      <c r="UZ293" s="189"/>
      <c r="VA293" s="189"/>
      <c r="VB293" s="483"/>
      <c r="VC293" s="306"/>
      <c r="VD293" s="484"/>
      <c r="VE293" s="306"/>
      <c r="VF293" s="267"/>
      <c r="VG293" s="268"/>
      <c r="VH293" s="306"/>
      <c r="VI293" s="268"/>
      <c r="VJ293" s="306"/>
      <c r="VK293" s="485"/>
      <c r="VL293" s="306"/>
      <c r="VM293" s="486"/>
      <c r="VN293" s="487"/>
      <c r="VO293" s="488"/>
      <c r="VP293" s="489"/>
      <c r="VQ293" s="488"/>
      <c r="VR293" s="468"/>
      <c r="VS293" s="469"/>
      <c r="VT293" s="470"/>
      <c r="VU293" s="470"/>
      <c r="VV293" s="306"/>
      <c r="VW293" s="317"/>
      <c r="VX293" s="471"/>
      <c r="VY293" s="472"/>
      <c r="VZ293" s="471"/>
      <c r="WA293" s="473"/>
      <c r="WB293" s="474"/>
      <c r="WC293" s="475"/>
      <c r="WD293" s="476"/>
      <c r="WE293" s="477"/>
      <c r="WF293" s="475"/>
      <c r="WG293" s="478"/>
      <c r="WH293" s="479"/>
      <c r="WI293" s="480"/>
      <c r="WJ293" s="481"/>
      <c r="WK293" s="481"/>
      <c r="WL293" s="482"/>
      <c r="WM293" s="189"/>
      <c r="WN293" s="189"/>
      <c r="WO293" s="483"/>
      <c r="WP293" s="306"/>
      <c r="WQ293" s="484"/>
      <c r="WR293" s="306"/>
      <c r="WS293" s="267"/>
      <c r="WT293" s="268"/>
      <c r="WU293" s="306"/>
      <c r="WV293" s="268"/>
      <c r="WW293" s="306"/>
      <c r="WX293" s="485"/>
      <c r="WY293" s="306"/>
      <c r="WZ293" s="486"/>
      <c r="XA293" s="487"/>
      <c r="XB293" s="488"/>
      <c r="XC293" s="489"/>
      <c r="XD293" s="488"/>
      <c r="XE293" s="468"/>
      <c r="XF293" s="469"/>
      <c r="XG293" s="470"/>
      <c r="XH293" s="470"/>
      <c r="XI293" s="306"/>
      <c r="XJ293" s="317"/>
      <c r="XK293" s="471"/>
      <c r="XL293" s="472"/>
      <c r="XM293" s="471"/>
      <c r="XN293" s="473"/>
      <c r="XO293" s="474"/>
      <c r="XP293" s="475"/>
      <c r="XQ293" s="476"/>
      <c r="XR293" s="477"/>
      <c r="XS293" s="475"/>
      <c r="XT293" s="478"/>
      <c r="XU293" s="479"/>
      <c r="XV293" s="480"/>
      <c r="XW293" s="481"/>
      <c r="XX293" s="481"/>
      <c r="XY293" s="482"/>
      <c r="XZ293" s="189"/>
      <c r="YA293" s="189"/>
      <c r="YB293" s="483"/>
      <c r="YC293" s="306"/>
      <c r="YD293" s="484"/>
      <c r="YE293" s="306"/>
      <c r="YF293" s="267"/>
      <c r="YG293" s="268"/>
      <c r="YH293" s="306"/>
      <c r="YI293" s="268"/>
      <c r="YJ293" s="306"/>
      <c r="YK293" s="485"/>
      <c r="YL293" s="306"/>
      <c r="YM293" s="486"/>
      <c r="YN293" s="487"/>
      <c r="YO293" s="488"/>
      <c r="YP293" s="489"/>
      <c r="YQ293" s="488"/>
      <c r="YR293" s="468"/>
      <c r="YS293" s="469"/>
      <c r="YT293" s="470"/>
      <c r="YU293" s="470"/>
      <c r="YV293" s="306"/>
      <c r="YW293" s="317"/>
      <c r="YX293" s="471"/>
      <c r="YY293" s="472"/>
      <c r="YZ293" s="471"/>
      <c r="ZA293" s="473"/>
      <c r="ZB293" s="474"/>
      <c r="ZC293" s="475"/>
      <c r="ZD293" s="476"/>
      <c r="ZE293" s="477"/>
      <c r="ZF293" s="475"/>
      <c r="ZG293" s="478"/>
      <c r="ZH293" s="479"/>
      <c r="ZI293" s="480"/>
      <c r="ZJ293" s="481"/>
      <c r="ZK293" s="481"/>
      <c r="ZL293" s="482"/>
      <c r="ZM293" s="189"/>
      <c r="ZN293" s="189"/>
      <c r="ZO293" s="483"/>
      <c r="ZP293" s="306"/>
      <c r="ZQ293" s="484"/>
      <c r="ZR293" s="306"/>
      <c r="ZS293" s="267"/>
      <c r="ZT293" s="268"/>
      <c r="ZU293" s="306"/>
      <c r="ZV293" s="268"/>
      <c r="ZW293" s="306"/>
      <c r="ZX293" s="485"/>
      <c r="ZY293" s="306"/>
      <c r="ZZ293" s="486"/>
      <c r="AAA293" s="487"/>
      <c r="AAB293" s="488"/>
      <c r="AAC293" s="489"/>
      <c r="AAD293" s="488"/>
      <c r="AAE293" s="468"/>
      <c r="AAF293" s="469"/>
      <c r="AAG293" s="470"/>
      <c r="AAH293" s="470"/>
      <c r="AAI293" s="306"/>
      <c r="AAJ293" s="317"/>
      <c r="AAK293" s="471"/>
      <c r="AAL293" s="472"/>
      <c r="AAM293" s="471"/>
      <c r="AAN293" s="473"/>
      <c r="AAO293" s="474"/>
      <c r="AAP293" s="475"/>
      <c r="AAQ293" s="476"/>
      <c r="AAR293" s="477"/>
      <c r="AAS293" s="475"/>
      <c r="AAT293" s="478"/>
      <c r="AAU293" s="479"/>
      <c r="AAV293" s="480"/>
      <c r="AAW293" s="481"/>
      <c r="AAX293" s="481"/>
      <c r="AAY293" s="482"/>
      <c r="AAZ293" s="189"/>
      <c r="ABA293" s="189"/>
      <c r="ABB293" s="483"/>
      <c r="ABC293" s="306"/>
      <c r="ABD293" s="484"/>
      <c r="ABE293" s="306"/>
      <c r="ABF293" s="267"/>
      <c r="ABG293" s="268"/>
      <c r="ABH293" s="306"/>
      <c r="ABI293" s="268"/>
      <c r="ABJ293" s="306"/>
      <c r="ABK293" s="485"/>
      <c r="ABL293" s="306"/>
      <c r="ABM293" s="486"/>
      <c r="ABN293" s="487"/>
      <c r="ABO293" s="488"/>
      <c r="ABP293" s="489"/>
      <c r="ABQ293" s="488"/>
      <c r="ABR293" s="468"/>
      <c r="ABS293" s="469"/>
      <c r="ABT293" s="470"/>
      <c r="ABU293" s="470"/>
      <c r="ABV293" s="306"/>
      <c r="ABW293" s="317"/>
      <c r="ABX293" s="471"/>
      <c r="ABY293" s="472"/>
      <c r="ABZ293" s="471"/>
      <c r="ACA293" s="473"/>
      <c r="ACB293" s="474"/>
      <c r="ACC293" s="475"/>
      <c r="ACD293" s="476"/>
      <c r="ACE293" s="477"/>
      <c r="ACF293" s="475"/>
      <c r="ACG293" s="478"/>
      <c r="ACH293" s="479"/>
      <c r="ACI293" s="480"/>
      <c r="ACJ293" s="481"/>
      <c r="ACK293" s="481"/>
      <c r="ACL293" s="482"/>
      <c r="ACM293" s="189"/>
      <c r="ACN293" s="189"/>
      <c r="ACO293" s="483"/>
      <c r="ACP293" s="306"/>
      <c r="ACQ293" s="484"/>
      <c r="ACR293" s="306"/>
      <c r="ACS293" s="267"/>
      <c r="ACT293" s="268"/>
      <c r="ACU293" s="306"/>
      <c r="ACV293" s="268"/>
      <c r="ACW293" s="306"/>
      <c r="ACX293" s="485"/>
      <c r="ACY293" s="306"/>
      <c r="ACZ293" s="486"/>
      <c r="ADA293" s="487"/>
      <c r="ADB293" s="488"/>
      <c r="ADC293" s="489"/>
      <c r="ADD293" s="488"/>
      <c r="ADE293" s="468"/>
      <c r="ADF293" s="469"/>
      <c r="ADG293" s="470"/>
      <c r="ADH293" s="470"/>
      <c r="ADI293" s="306"/>
      <c r="ADJ293" s="317"/>
      <c r="ADK293" s="471"/>
      <c r="ADL293" s="472"/>
      <c r="ADM293" s="471"/>
      <c r="ADN293" s="473"/>
      <c r="ADO293" s="474"/>
      <c r="ADP293" s="475"/>
      <c r="ADQ293" s="476"/>
      <c r="ADR293" s="477"/>
      <c r="ADS293" s="475"/>
      <c r="ADT293" s="478"/>
      <c r="ADU293" s="479"/>
      <c r="ADV293" s="480"/>
      <c r="ADW293" s="481"/>
      <c r="ADX293" s="481"/>
      <c r="ADY293" s="482"/>
      <c r="ADZ293" s="189"/>
      <c r="AEA293" s="189"/>
      <c r="AEB293" s="483"/>
      <c r="AEC293" s="306"/>
      <c r="AED293" s="484"/>
      <c r="AEE293" s="306"/>
      <c r="AEF293" s="267"/>
      <c r="AEG293" s="268"/>
      <c r="AEH293" s="306"/>
      <c r="AEI293" s="268"/>
      <c r="AEJ293" s="306"/>
      <c r="AEK293" s="485"/>
      <c r="AEL293" s="306"/>
      <c r="AEM293" s="486"/>
      <c r="AEN293" s="487"/>
      <c r="AEO293" s="488"/>
      <c r="AEP293" s="489"/>
      <c r="AEQ293" s="488"/>
      <c r="AER293" s="468"/>
      <c r="AES293" s="469"/>
      <c r="AET293" s="470"/>
      <c r="AEU293" s="470"/>
      <c r="AEV293" s="306"/>
      <c r="AEW293" s="317"/>
      <c r="AEX293" s="471"/>
      <c r="AEY293" s="472"/>
      <c r="AEZ293" s="471"/>
      <c r="AFA293" s="473"/>
      <c r="AFB293" s="474"/>
      <c r="AFC293" s="475"/>
      <c r="AFD293" s="476"/>
      <c r="AFE293" s="477"/>
      <c r="AFF293" s="475"/>
      <c r="AFG293" s="478"/>
      <c r="AFH293" s="479"/>
      <c r="AFI293" s="480"/>
      <c r="AFJ293" s="481"/>
      <c r="AFK293" s="481"/>
      <c r="AFL293" s="482"/>
      <c r="AFM293" s="189"/>
      <c r="AFN293" s="189"/>
      <c r="AFO293" s="483"/>
      <c r="AFP293" s="306"/>
      <c r="AFQ293" s="484"/>
      <c r="AFR293" s="306"/>
      <c r="AFS293" s="267"/>
      <c r="AFT293" s="268"/>
      <c r="AFU293" s="306"/>
      <c r="AFV293" s="268"/>
      <c r="AFW293" s="306"/>
      <c r="AFX293" s="485"/>
      <c r="AFY293" s="306"/>
      <c r="AFZ293" s="486"/>
      <c r="AGA293" s="487"/>
      <c r="AGB293" s="488"/>
      <c r="AGC293" s="489"/>
      <c r="AGD293" s="488"/>
      <c r="AGE293" s="468"/>
      <c r="AGF293" s="469"/>
      <c r="AGG293" s="470"/>
      <c r="AGH293" s="470"/>
      <c r="AGI293" s="306"/>
      <c r="AGJ293" s="317"/>
      <c r="AGK293" s="471"/>
      <c r="AGL293" s="472"/>
      <c r="AGM293" s="471"/>
      <c r="AGN293" s="473"/>
      <c r="AGO293" s="474"/>
      <c r="AGP293" s="475"/>
      <c r="AGQ293" s="476"/>
      <c r="AGR293" s="477"/>
      <c r="AGS293" s="475"/>
      <c r="AGT293" s="478"/>
      <c r="AGU293" s="479"/>
      <c r="AGV293" s="480"/>
      <c r="AGW293" s="481"/>
      <c r="AGX293" s="481"/>
      <c r="AGY293" s="482"/>
      <c r="AGZ293" s="189"/>
      <c r="AHA293" s="189"/>
      <c r="AHB293" s="483"/>
      <c r="AHC293" s="306"/>
      <c r="AHD293" s="484"/>
      <c r="AHE293" s="306"/>
      <c r="AHF293" s="267"/>
      <c r="AHG293" s="268"/>
      <c r="AHH293" s="306"/>
      <c r="AHI293" s="268"/>
      <c r="AHJ293" s="306"/>
      <c r="AHK293" s="485"/>
      <c r="AHL293" s="306"/>
      <c r="AHM293" s="486"/>
      <c r="AHN293" s="487"/>
      <c r="AHO293" s="488"/>
      <c r="AHP293" s="489"/>
      <c r="AHQ293" s="488"/>
      <c r="AHR293" s="468"/>
      <c r="AHS293" s="469"/>
      <c r="AHT293" s="470"/>
      <c r="AHU293" s="470"/>
      <c r="AHV293" s="306"/>
      <c r="AHW293" s="317"/>
      <c r="AHX293" s="471"/>
      <c r="AHY293" s="472"/>
      <c r="AHZ293" s="471"/>
      <c r="AIA293" s="473"/>
      <c r="AIB293" s="474"/>
      <c r="AIC293" s="475"/>
      <c r="AID293" s="476"/>
      <c r="AIE293" s="477"/>
      <c r="AIF293" s="475"/>
      <c r="AIG293" s="478"/>
      <c r="AIH293" s="479"/>
      <c r="AII293" s="480"/>
      <c r="AIJ293" s="481"/>
      <c r="AIK293" s="481"/>
      <c r="AIL293" s="482"/>
      <c r="AIM293" s="189"/>
      <c r="AIN293" s="189"/>
      <c r="AIO293" s="483"/>
      <c r="AIP293" s="306"/>
      <c r="AIQ293" s="484"/>
      <c r="AIR293" s="306"/>
      <c r="AIS293" s="267"/>
      <c r="AIT293" s="268"/>
      <c r="AIU293" s="306"/>
      <c r="AIV293" s="268"/>
      <c r="AIW293" s="306"/>
      <c r="AIX293" s="485"/>
      <c r="AIY293" s="306"/>
      <c r="AIZ293" s="486"/>
      <c r="AJA293" s="487"/>
      <c r="AJB293" s="488"/>
      <c r="AJC293" s="489"/>
      <c r="AJD293" s="488"/>
      <c r="AJE293" s="468"/>
      <c r="AJF293" s="469"/>
      <c r="AJG293" s="470"/>
      <c r="AJH293" s="470"/>
      <c r="AJI293" s="306"/>
      <c r="AJJ293" s="317"/>
      <c r="AJK293" s="471"/>
      <c r="AJL293" s="472"/>
      <c r="AJM293" s="471"/>
      <c r="AJN293" s="473"/>
      <c r="AJO293" s="474"/>
      <c r="AJP293" s="475"/>
      <c r="AJQ293" s="476"/>
      <c r="AJR293" s="477"/>
      <c r="AJS293" s="475"/>
      <c r="AJT293" s="478"/>
      <c r="AJU293" s="479"/>
      <c r="AJV293" s="480"/>
      <c r="AJW293" s="481"/>
      <c r="AJX293" s="481"/>
      <c r="AJY293" s="482"/>
      <c r="AJZ293" s="189"/>
      <c r="AKA293" s="189"/>
      <c r="AKB293" s="483"/>
      <c r="AKC293" s="306"/>
      <c r="AKD293" s="484"/>
      <c r="AKE293" s="306"/>
      <c r="AKF293" s="267"/>
      <c r="AKG293" s="268"/>
      <c r="AKH293" s="306"/>
      <c r="AKI293" s="268"/>
      <c r="AKJ293" s="306"/>
      <c r="AKK293" s="485"/>
      <c r="AKL293" s="306"/>
      <c r="AKM293" s="486"/>
      <c r="AKN293" s="487"/>
      <c r="AKO293" s="488"/>
      <c r="AKP293" s="489"/>
      <c r="AKQ293" s="488"/>
      <c r="AKR293" s="468"/>
      <c r="AKS293" s="469"/>
      <c r="AKT293" s="470"/>
      <c r="AKU293" s="470"/>
      <c r="AKV293" s="306"/>
      <c r="AKW293" s="317"/>
      <c r="AKX293" s="471"/>
      <c r="AKY293" s="472"/>
      <c r="AKZ293" s="471"/>
      <c r="ALA293" s="473"/>
      <c r="ALB293" s="474"/>
      <c r="ALC293" s="475"/>
      <c r="ALD293" s="476"/>
      <c r="ALE293" s="477"/>
      <c r="ALF293" s="475"/>
      <c r="ALG293" s="478"/>
      <c r="ALH293" s="479"/>
      <c r="ALI293" s="480"/>
      <c r="ALJ293" s="481"/>
      <c r="ALK293" s="481"/>
      <c r="ALL293" s="482"/>
      <c r="ALM293" s="189"/>
      <c r="ALN293" s="189"/>
      <c r="ALO293" s="483"/>
      <c r="ALP293" s="306"/>
      <c r="ALQ293" s="484"/>
      <c r="ALR293" s="306"/>
      <c r="ALS293" s="267"/>
      <c r="ALT293" s="268"/>
      <c r="ALU293" s="306"/>
      <c r="ALV293" s="268"/>
      <c r="ALW293" s="306"/>
      <c r="ALX293" s="485"/>
      <c r="ALY293" s="306"/>
      <c r="ALZ293" s="486"/>
      <c r="AMA293" s="487"/>
      <c r="AMB293" s="488"/>
      <c r="AMC293" s="489"/>
      <c r="AMD293" s="488"/>
      <c r="AME293" s="468"/>
      <c r="AMF293" s="469"/>
      <c r="AMG293" s="470"/>
      <c r="AMH293" s="470"/>
      <c r="AMI293" s="306"/>
      <c r="AMJ293" s="317"/>
      <c r="AMK293" s="471"/>
      <c r="AML293" s="472"/>
      <c r="AMM293" s="471"/>
      <c r="AMN293" s="473"/>
      <c r="AMO293" s="474"/>
      <c r="AMP293" s="475"/>
      <c r="AMQ293" s="476"/>
      <c r="AMR293" s="477"/>
      <c r="AMS293" s="475"/>
      <c r="AMT293" s="478"/>
      <c r="AMU293" s="479"/>
      <c r="AMV293" s="480"/>
      <c r="AMW293" s="481"/>
      <c r="AMX293" s="481"/>
      <c r="AMY293" s="482"/>
      <c r="AMZ293" s="189"/>
      <c r="ANA293" s="189"/>
      <c r="ANB293" s="483"/>
      <c r="ANC293" s="306"/>
      <c r="AND293" s="484"/>
      <c r="ANE293" s="306"/>
      <c r="ANF293" s="267"/>
      <c r="ANG293" s="268"/>
      <c r="ANH293" s="306"/>
      <c r="ANI293" s="268"/>
      <c r="ANJ293" s="306"/>
      <c r="ANK293" s="485"/>
      <c r="ANL293" s="306"/>
      <c r="ANM293" s="486"/>
      <c r="ANN293" s="487"/>
      <c r="ANO293" s="488"/>
      <c r="ANP293" s="489"/>
      <c r="ANQ293" s="488"/>
      <c r="ANR293" s="468"/>
      <c r="ANS293" s="469"/>
      <c r="ANT293" s="470"/>
      <c r="ANU293" s="470"/>
      <c r="ANV293" s="306"/>
      <c r="ANW293" s="317"/>
      <c r="ANX293" s="471"/>
      <c r="ANY293" s="472"/>
      <c r="ANZ293" s="471"/>
      <c r="AOA293" s="473"/>
      <c r="AOB293" s="474"/>
      <c r="AOC293" s="475"/>
      <c r="AOD293" s="476"/>
      <c r="AOE293" s="477"/>
      <c r="AOF293" s="475"/>
      <c r="AOG293" s="478"/>
      <c r="AOH293" s="479"/>
      <c r="AOI293" s="480"/>
      <c r="AOJ293" s="481"/>
      <c r="AOK293" s="481"/>
      <c r="AOL293" s="482"/>
      <c r="AOM293" s="189"/>
      <c r="AON293" s="189"/>
      <c r="AOO293" s="483"/>
      <c r="AOP293" s="306"/>
      <c r="AOQ293" s="484"/>
      <c r="AOR293" s="306"/>
      <c r="AOS293" s="267"/>
      <c r="AOT293" s="268"/>
      <c r="AOU293" s="306"/>
      <c r="AOV293" s="268"/>
      <c r="AOW293" s="306"/>
      <c r="AOX293" s="485"/>
      <c r="AOY293" s="306"/>
      <c r="AOZ293" s="486"/>
      <c r="APA293" s="487"/>
      <c r="APB293" s="488"/>
      <c r="APC293" s="489"/>
      <c r="APD293" s="488"/>
      <c r="APE293" s="468"/>
      <c r="APF293" s="469"/>
      <c r="APG293" s="470"/>
      <c r="APH293" s="470"/>
      <c r="API293" s="306"/>
      <c r="APJ293" s="317"/>
      <c r="APK293" s="471"/>
      <c r="APL293" s="472"/>
      <c r="APM293" s="471"/>
      <c r="APN293" s="473"/>
      <c r="APO293" s="474"/>
      <c r="APP293" s="475"/>
      <c r="APQ293" s="476"/>
      <c r="APR293" s="477"/>
      <c r="APS293" s="475"/>
      <c r="APT293" s="478"/>
      <c r="APU293" s="479"/>
      <c r="APV293" s="480"/>
      <c r="APW293" s="481"/>
      <c r="APX293" s="481"/>
      <c r="APY293" s="482"/>
      <c r="APZ293" s="189"/>
      <c r="AQA293" s="189"/>
      <c r="AQB293" s="483"/>
      <c r="AQC293" s="306"/>
      <c r="AQD293" s="484"/>
      <c r="AQE293" s="306"/>
      <c r="AQF293" s="267"/>
      <c r="AQG293" s="268"/>
      <c r="AQH293" s="306"/>
      <c r="AQI293" s="268"/>
      <c r="AQJ293" s="306"/>
      <c r="AQK293" s="485"/>
      <c r="AQL293" s="306"/>
      <c r="AQM293" s="486"/>
      <c r="AQN293" s="487"/>
      <c r="AQO293" s="488"/>
      <c r="AQP293" s="489"/>
      <c r="AQQ293" s="488"/>
      <c r="AQR293" s="468"/>
      <c r="AQS293" s="469"/>
      <c r="AQT293" s="470"/>
      <c r="AQU293" s="470"/>
      <c r="AQV293" s="306"/>
      <c r="AQW293" s="317"/>
      <c r="AQX293" s="471"/>
      <c r="AQY293" s="472"/>
      <c r="AQZ293" s="471"/>
      <c r="ARA293" s="473"/>
      <c r="ARB293" s="474"/>
      <c r="ARC293" s="475"/>
      <c r="ARD293" s="476"/>
      <c r="ARE293" s="477"/>
      <c r="ARF293" s="475"/>
      <c r="ARG293" s="478"/>
      <c r="ARH293" s="479"/>
      <c r="ARI293" s="480"/>
      <c r="ARJ293" s="481"/>
      <c r="ARK293" s="481"/>
      <c r="ARL293" s="482"/>
      <c r="ARM293" s="189"/>
      <c r="ARN293" s="189"/>
      <c r="ARO293" s="483"/>
      <c r="ARP293" s="306"/>
      <c r="ARQ293" s="484"/>
      <c r="ARR293" s="306"/>
      <c r="ARS293" s="267"/>
      <c r="ART293" s="268"/>
      <c r="ARU293" s="306"/>
      <c r="ARV293" s="268"/>
      <c r="ARW293" s="306"/>
      <c r="ARX293" s="485"/>
      <c r="ARY293" s="306"/>
      <c r="ARZ293" s="486"/>
      <c r="ASA293" s="487"/>
      <c r="ASB293" s="488"/>
      <c r="ASC293" s="489"/>
      <c r="ASD293" s="488"/>
      <c r="ASE293" s="468"/>
      <c r="ASF293" s="469"/>
      <c r="ASG293" s="470"/>
      <c r="ASH293" s="470"/>
      <c r="ASI293" s="306"/>
      <c r="ASJ293" s="317"/>
      <c r="ASK293" s="471"/>
      <c r="ASL293" s="472"/>
      <c r="ASM293" s="471"/>
      <c r="ASN293" s="473"/>
      <c r="ASO293" s="474"/>
      <c r="ASP293" s="475"/>
      <c r="ASQ293" s="476"/>
      <c r="ASR293" s="477"/>
      <c r="ASS293" s="475"/>
      <c r="AST293" s="478"/>
      <c r="ASU293" s="479"/>
      <c r="ASV293" s="480"/>
      <c r="ASW293" s="481"/>
      <c r="ASX293" s="481"/>
      <c r="ASY293" s="482"/>
      <c r="ASZ293" s="189"/>
      <c r="ATA293" s="189"/>
      <c r="ATB293" s="483"/>
      <c r="ATC293" s="306"/>
      <c r="ATD293" s="484"/>
      <c r="ATE293" s="306"/>
      <c r="ATF293" s="267"/>
      <c r="ATG293" s="268"/>
      <c r="ATH293" s="306"/>
      <c r="ATI293" s="268"/>
      <c r="ATJ293" s="306"/>
      <c r="ATK293" s="485"/>
      <c r="ATL293" s="306"/>
      <c r="ATM293" s="486"/>
      <c r="ATN293" s="487"/>
      <c r="ATO293" s="488"/>
      <c r="ATP293" s="489"/>
      <c r="ATQ293" s="488"/>
      <c r="ATR293" s="468"/>
      <c r="ATS293" s="469"/>
      <c r="ATT293" s="470"/>
      <c r="ATU293" s="470"/>
      <c r="ATV293" s="306"/>
      <c r="ATW293" s="317"/>
      <c r="ATX293" s="471"/>
      <c r="ATY293" s="472"/>
      <c r="ATZ293" s="471"/>
      <c r="AUA293" s="473"/>
      <c r="AUB293" s="474"/>
      <c r="AUC293" s="475"/>
      <c r="AUD293" s="476"/>
      <c r="AUE293" s="477"/>
      <c r="AUF293" s="475"/>
      <c r="AUG293" s="478"/>
      <c r="AUH293" s="479"/>
      <c r="AUI293" s="480"/>
      <c r="AUJ293" s="481"/>
      <c r="AUK293" s="481"/>
      <c r="AUL293" s="482"/>
      <c r="AUM293" s="189"/>
      <c r="AUN293" s="189"/>
      <c r="AUO293" s="483"/>
      <c r="AUP293" s="306"/>
      <c r="AUQ293" s="484"/>
      <c r="AUR293" s="306"/>
      <c r="AUS293" s="267"/>
      <c r="AUT293" s="268"/>
      <c r="AUU293" s="306"/>
      <c r="AUV293" s="268"/>
      <c r="AUW293" s="306"/>
      <c r="AUX293" s="485"/>
      <c r="AUY293" s="306"/>
      <c r="AUZ293" s="486"/>
      <c r="AVA293" s="487"/>
      <c r="AVB293" s="488"/>
      <c r="AVC293" s="489"/>
      <c r="AVD293" s="488"/>
      <c r="AVE293" s="468"/>
      <c r="AVF293" s="469"/>
      <c r="AVG293" s="470"/>
      <c r="AVH293" s="470"/>
      <c r="AVI293" s="306"/>
      <c r="AVJ293" s="317"/>
      <c r="AVK293" s="471"/>
      <c r="AVL293" s="472"/>
      <c r="AVM293" s="471"/>
      <c r="AVN293" s="473"/>
      <c r="AVO293" s="474"/>
      <c r="AVP293" s="475"/>
      <c r="AVQ293" s="476"/>
      <c r="AVR293" s="477"/>
      <c r="AVS293" s="475"/>
      <c r="AVT293" s="478"/>
      <c r="AVU293" s="479"/>
      <c r="AVV293" s="480"/>
      <c r="AVW293" s="481"/>
      <c r="AVX293" s="481"/>
      <c r="AVY293" s="482"/>
      <c r="AVZ293" s="189"/>
      <c r="AWA293" s="189"/>
      <c r="AWB293" s="483"/>
      <c r="AWC293" s="306"/>
      <c r="AWD293" s="484"/>
      <c r="AWE293" s="306"/>
      <c r="AWF293" s="267"/>
      <c r="AWG293" s="268"/>
      <c r="AWH293" s="306"/>
      <c r="AWI293" s="268"/>
      <c r="AWJ293" s="306"/>
      <c r="AWK293" s="485"/>
      <c r="AWL293" s="306"/>
      <c r="AWM293" s="486"/>
      <c r="AWN293" s="487"/>
      <c r="AWO293" s="488"/>
      <c r="AWP293" s="489"/>
      <c r="AWQ293" s="488"/>
      <c r="AWR293" s="468"/>
      <c r="AWS293" s="469"/>
      <c r="AWT293" s="470"/>
      <c r="AWU293" s="470"/>
      <c r="AWV293" s="306"/>
      <c r="AWW293" s="317"/>
      <c r="AWX293" s="471"/>
      <c r="AWY293" s="472"/>
      <c r="AWZ293" s="471"/>
      <c r="AXA293" s="473"/>
      <c r="AXB293" s="474"/>
      <c r="AXC293" s="475"/>
      <c r="AXD293" s="476"/>
      <c r="AXE293" s="477"/>
      <c r="AXF293" s="475"/>
      <c r="AXG293" s="478"/>
      <c r="AXH293" s="479"/>
      <c r="AXI293" s="480"/>
      <c r="AXJ293" s="481"/>
      <c r="AXK293" s="481"/>
      <c r="AXL293" s="482"/>
      <c r="AXM293" s="189"/>
      <c r="AXN293" s="189"/>
      <c r="AXO293" s="483"/>
      <c r="AXP293" s="306"/>
      <c r="AXQ293" s="484"/>
      <c r="AXR293" s="306"/>
      <c r="AXS293" s="267"/>
      <c r="AXT293" s="268"/>
      <c r="AXU293" s="306"/>
      <c r="AXV293" s="268"/>
      <c r="AXW293" s="306"/>
      <c r="AXX293" s="485"/>
      <c r="AXY293" s="306"/>
      <c r="AXZ293" s="486"/>
      <c r="AYA293" s="487"/>
      <c r="AYB293" s="488"/>
      <c r="AYC293" s="489"/>
      <c r="AYD293" s="488"/>
      <c r="AYE293" s="468"/>
      <c r="AYF293" s="469"/>
      <c r="AYG293" s="470"/>
      <c r="AYH293" s="470"/>
      <c r="AYI293" s="306"/>
      <c r="AYJ293" s="317"/>
      <c r="AYK293" s="471"/>
      <c r="AYL293" s="472"/>
      <c r="AYM293" s="471"/>
      <c r="AYN293" s="473"/>
      <c r="AYO293" s="474"/>
      <c r="AYP293" s="475"/>
      <c r="AYQ293" s="476"/>
      <c r="AYR293" s="477"/>
      <c r="AYS293" s="475"/>
      <c r="AYT293" s="478"/>
      <c r="AYU293" s="479"/>
      <c r="AYV293" s="480"/>
      <c r="AYW293" s="481"/>
      <c r="AYX293" s="481"/>
      <c r="AYY293" s="482"/>
      <c r="AYZ293" s="189"/>
      <c r="AZA293" s="189"/>
      <c r="AZB293" s="483"/>
      <c r="AZC293" s="306"/>
      <c r="AZD293" s="484"/>
      <c r="AZE293" s="306"/>
      <c r="AZF293" s="267"/>
      <c r="AZG293" s="268"/>
      <c r="AZH293" s="306"/>
      <c r="AZI293" s="268"/>
      <c r="AZJ293" s="306"/>
      <c r="AZK293" s="485"/>
      <c r="AZL293" s="306"/>
      <c r="AZM293" s="486"/>
      <c r="AZN293" s="487"/>
      <c r="AZO293" s="488"/>
      <c r="AZP293" s="489"/>
      <c r="AZQ293" s="488"/>
      <c r="AZR293" s="468"/>
      <c r="AZS293" s="469"/>
      <c r="AZT293" s="470"/>
      <c r="AZU293" s="470"/>
      <c r="AZV293" s="306"/>
      <c r="AZW293" s="317"/>
      <c r="AZX293" s="471"/>
      <c r="AZY293" s="472"/>
      <c r="AZZ293" s="471"/>
      <c r="BAA293" s="473"/>
      <c r="BAB293" s="474"/>
      <c r="BAC293" s="475"/>
      <c r="BAD293" s="476"/>
      <c r="BAE293" s="477"/>
      <c r="BAF293" s="475"/>
      <c r="BAG293" s="478"/>
      <c r="BAH293" s="479"/>
      <c r="BAI293" s="480"/>
      <c r="BAJ293" s="481"/>
      <c r="BAK293" s="481"/>
      <c r="BAL293" s="482"/>
      <c r="BAM293" s="189"/>
      <c r="BAN293" s="189"/>
      <c r="BAO293" s="483"/>
      <c r="BAP293" s="306"/>
      <c r="BAQ293" s="484"/>
      <c r="BAR293" s="306"/>
      <c r="BAS293" s="267"/>
      <c r="BAT293" s="268"/>
      <c r="BAU293" s="306"/>
      <c r="BAV293" s="268"/>
      <c r="BAW293" s="306"/>
      <c r="BAX293" s="485"/>
      <c r="BAY293" s="306"/>
      <c r="BAZ293" s="486"/>
      <c r="BBA293" s="487"/>
      <c r="BBB293" s="488"/>
      <c r="BBC293" s="489"/>
      <c r="BBD293" s="488"/>
      <c r="BBE293" s="468"/>
      <c r="BBF293" s="469"/>
      <c r="BBG293" s="470"/>
      <c r="BBH293" s="470"/>
      <c r="BBI293" s="306"/>
      <c r="BBJ293" s="317"/>
      <c r="BBK293" s="471"/>
      <c r="BBL293" s="472"/>
      <c r="BBM293" s="471"/>
      <c r="BBN293" s="473"/>
      <c r="BBO293" s="474"/>
      <c r="BBP293" s="475"/>
      <c r="BBQ293" s="476"/>
      <c r="BBR293" s="477"/>
      <c r="BBS293" s="475"/>
      <c r="BBT293" s="478"/>
      <c r="BBU293" s="479"/>
      <c r="BBV293" s="480"/>
      <c r="BBW293" s="481"/>
      <c r="BBX293" s="481"/>
      <c r="BBY293" s="482"/>
      <c r="BBZ293" s="189"/>
      <c r="BCA293" s="189"/>
      <c r="BCB293" s="483"/>
      <c r="BCC293" s="306"/>
      <c r="BCD293" s="484"/>
      <c r="BCE293" s="306"/>
      <c r="BCF293" s="267"/>
      <c r="BCG293" s="268"/>
      <c r="BCH293" s="306"/>
      <c r="BCI293" s="268"/>
      <c r="BCJ293" s="306"/>
      <c r="BCK293" s="485"/>
      <c r="BCL293" s="306"/>
      <c r="BCM293" s="486"/>
      <c r="BCN293" s="487"/>
      <c r="BCO293" s="488"/>
      <c r="BCP293" s="489"/>
      <c r="BCQ293" s="488"/>
      <c r="BCR293" s="468"/>
      <c r="BCS293" s="469"/>
      <c r="BCT293" s="470"/>
      <c r="BCU293" s="470"/>
      <c r="BCV293" s="306"/>
      <c r="BCW293" s="317"/>
      <c r="BCX293" s="471"/>
      <c r="BCY293" s="472"/>
      <c r="BCZ293" s="471"/>
      <c r="BDA293" s="473"/>
      <c r="BDB293" s="474"/>
      <c r="BDC293" s="475"/>
      <c r="BDD293" s="476"/>
      <c r="BDE293" s="477"/>
      <c r="BDF293" s="475"/>
      <c r="BDG293" s="478"/>
      <c r="BDH293" s="479"/>
      <c r="BDI293" s="480"/>
      <c r="BDJ293" s="481"/>
      <c r="BDK293" s="481"/>
      <c r="BDL293" s="482"/>
      <c r="BDM293" s="189"/>
      <c r="BDN293" s="189"/>
      <c r="BDO293" s="483"/>
      <c r="BDP293" s="306"/>
      <c r="BDQ293" s="484"/>
      <c r="BDR293" s="306"/>
      <c r="BDS293" s="267"/>
      <c r="BDT293" s="268"/>
      <c r="BDU293" s="306"/>
      <c r="BDV293" s="268"/>
      <c r="BDW293" s="306"/>
      <c r="BDX293" s="485"/>
      <c r="BDY293" s="306"/>
      <c r="BDZ293" s="486"/>
      <c r="BEA293" s="487"/>
      <c r="BEB293" s="488"/>
      <c r="BEC293" s="489"/>
      <c r="BED293" s="488"/>
      <c r="BEE293" s="468"/>
      <c r="BEF293" s="469"/>
      <c r="BEG293" s="470"/>
      <c r="BEH293" s="470"/>
      <c r="BEI293" s="306"/>
      <c r="BEJ293" s="317"/>
      <c r="BEK293" s="471"/>
      <c r="BEL293" s="472"/>
      <c r="BEM293" s="471"/>
      <c r="BEN293" s="473"/>
      <c r="BEO293" s="474"/>
      <c r="BEP293" s="475"/>
      <c r="BEQ293" s="476"/>
      <c r="BER293" s="477"/>
      <c r="BES293" s="475"/>
      <c r="BET293" s="478"/>
      <c r="BEU293" s="479"/>
      <c r="BEV293" s="480"/>
      <c r="BEW293" s="481"/>
      <c r="BEX293" s="481"/>
      <c r="BEY293" s="482"/>
      <c r="BEZ293" s="189"/>
      <c r="BFA293" s="189"/>
      <c r="BFB293" s="483"/>
      <c r="BFC293" s="306"/>
      <c r="BFD293" s="484"/>
      <c r="BFE293" s="306"/>
      <c r="BFF293" s="267"/>
      <c r="BFG293" s="268"/>
      <c r="BFH293" s="306"/>
      <c r="BFI293" s="268"/>
      <c r="BFJ293" s="306"/>
      <c r="BFK293" s="485"/>
      <c r="BFL293" s="306"/>
      <c r="BFM293" s="486"/>
      <c r="BFN293" s="487"/>
      <c r="BFO293" s="488"/>
      <c r="BFP293" s="489"/>
      <c r="BFQ293" s="488"/>
      <c r="BFR293" s="468"/>
      <c r="BFS293" s="469"/>
      <c r="BFT293" s="470"/>
      <c r="BFU293" s="470"/>
      <c r="BFV293" s="306"/>
      <c r="BFW293" s="317"/>
      <c r="BFX293" s="471"/>
      <c r="BFY293" s="472"/>
      <c r="BFZ293" s="471"/>
      <c r="BGA293" s="473"/>
      <c r="BGB293" s="474"/>
      <c r="BGC293" s="475"/>
      <c r="BGD293" s="476"/>
      <c r="BGE293" s="477"/>
      <c r="BGF293" s="475"/>
      <c r="BGG293" s="478"/>
      <c r="BGH293" s="479"/>
      <c r="BGI293" s="480"/>
      <c r="BGJ293" s="481"/>
      <c r="BGK293" s="481"/>
      <c r="BGL293" s="482"/>
      <c r="BGM293" s="189"/>
      <c r="BGN293" s="189"/>
      <c r="BGO293" s="483"/>
      <c r="BGP293" s="306"/>
      <c r="BGQ293" s="484"/>
      <c r="BGR293" s="306"/>
      <c r="BGS293" s="267"/>
      <c r="BGT293" s="268"/>
      <c r="BGU293" s="306"/>
      <c r="BGV293" s="268"/>
      <c r="BGW293" s="306"/>
      <c r="BGX293" s="485"/>
      <c r="BGY293" s="306"/>
      <c r="BGZ293" s="486"/>
      <c r="BHA293" s="487"/>
      <c r="BHB293" s="488"/>
      <c r="BHC293" s="489"/>
      <c r="BHD293" s="488"/>
      <c r="BHE293" s="468"/>
      <c r="BHF293" s="469"/>
      <c r="BHG293" s="470"/>
      <c r="BHH293" s="470"/>
      <c r="BHI293" s="306"/>
      <c r="BHJ293" s="317"/>
      <c r="BHK293" s="471"/>
      <c r="BHL293" s="472"/>
      <c r="BHM293" s="471"/>
      <c r="BHN293" s="473"/>
      <c r="BHO293" s="474"/>
      <c r="BHP293" s="475"/>
      <c r="BHQ293" s="476"/>
      <c r="BHR293" s="477"/>
      <c r="BHS293" s="475"/>
      <c r="BHT293" s="478"/>
      <c r="BHU293" s="479"/>
      <c r="BHV293" s="480"/>
      <c r="BHW293" s="481"/>
      <c r="BHX293" s="481"/>
      <c r="BHY293" s="482"/>
      <c r="BHZ293" s="189"/>
      <c r="BIA293" s="189"/>
      <c r="BIB293" s="483"/>
      <c r="BIC293" s="306"/>
      <c r="BID293" s="484"/>
      <c r="BIE293" s="306"/>
      <c r="BIF293" s="267"/>
      <c r="BIG293" s="268"/>
      <c r="BIH293" s="306"/>
      <c r="BII293" s="268"/>
      <c r="BIJ293" s="306"/>
      <c r="BIK293" s="485"/>
      <c r="BIL293" s="306"/>
      <c r="BIM293" s="486"/>
      <c r="BIN293" s="487"/>
      <c r="BIO293" s="488"/>
      <c r="BIP293" s="489"/>
      <c r="BIQ293" s="488"/>
      <c r="BIR293" s="468"/>
      <c r="BIS293" s="469"/>
      <c r="BIT293" s="470"/>
      <c r="BIU293" s="470"/>
      <c r="BIV293" s="306"/>
      <c r="BIW293" s="317"/>
      <c r="BIX293" s="471"/>
      <c r="BIY293" s="472"/>
      <c r="BIZ293" s="471"/>
      <c r="BJA293" s="473"/>
      <c r="BJB293" s="474"/>
      <c r="BJC293" s="475"/>
      <c r="BJD293" s="476"/>
      <c r="BJE293" s="477"/>
      <c r="BJF293" s="475"/>
      <c r="BJG293" s="478"/>
      <c r="BJH293" s="479"/>
      <c r="BJI293" s="480"/>
      <c r="BJJ293" s="481"/>
      <c r="BJK293" s="481"/>
      <c r="BJL293" s="482"/>
      <c r="BJM293" s="189"/>
      <c r="BJN293" s="189"/>
      <c r="BJO293" s="483"/>
      <c r="BJP293" s="306"/>
      <c r="BJQ293" s="484"/>
      <c r="BJR293" s="306"/>
      <c r="BJS293" s="267"/>
      <c r="BJT293" s="268"/>
      <c r="BJU293" s="306"/>
      <c r="BJV293" s="268"/>
      <c r="BJW293" s="306"/>
      <c r="BJX293" s="485"/>
      <c r="BJY293" s="306"/>
      <c r="BJZ293" s="486"/>
      <c r="BKA293" s="487"/>
      <c r="BKB293" s="488"/>
      <c r="BKC293" s="489"/>
      <c r="BKD293" s="488"/>
      <c r="BKE293" s="468"/>
      <c r="BKF293" s="469"/>
      <c r="BKG293" s="470"/>
      <c r="BKH293" s="470"/>
      <c r="BKI293" s="306"/>
      <c r="BKJ293" s="317"/>
      <c r="BKK293" s="471"/>
      <c r="BKL293" s="472"/>
      <c r="BKM293" s="471"/>
      <c r="BKN293" s="473"/>
      <c r="BKO293" s="474"/>
      <c r="BKP293" s="475"/>
      <c r="BKQ293" s="476"/>
      <c r="BKR293" s="477"/>
      <c r="BKS293" s="475"/>
      <c r="BKT293" s="478"/>
      <c r="BKU293" s="479"/>
      <c r="BKV293" s="480"/>
      <c r="BKW293" s="481"/>
      <c r="BKX293" s="481"/>
      <c r="BKY293" s="482"/>
      <c r="BKZ293" s="189"/>
      <c r="BLA293" s="189"/>
      <c r="BLB293" s="483"/>
      <c r="BLC293" s="306"/>
      <c r="BLD293" s="484"/>
      <c r="BLE293" s="306"/>
      <c r="BLF293" s="267"/>
      <c r="BLG293" s="268"/>
      <c r="BLH293" s="306"/>
      <c r="BLI293" s="268"/>
      <c r="BLJ293" s="306"/>
      <c r="BLK293" s="485"/>
      <c r="BLL293" s="306"/>
      <c r="BLM293" s="486"/>
      <c r="BLN293" s="487"/>
      <c r="BLO293" s="488"/>
      <c r="BLP293" s="489"/>
      <c r="BLQ293" s="488"/>
      <c r="BLR293" s="468"/>
      <c r="BLS293" s="469"/>
      <c r="BLT293" s="470"/>
      <c r="BLU293" s="470"/>
      <c r="BLV293" s="306"/>
      <c r="BLW293" s="317"/>
      <c r="BLX293" s="471"/>
      <c r="BLY293" s="472"/>
      <c r="BLZ293" s="471"/>
      <c r="BMA293" s="473"/>
      <c r="BMB293" s="474"/>
      <c r="BMC293" s="475"/>
      <c r="BMD293" s="476"/>
      <c r="BME293" s="477"/>
      <c r="BMF293" s="475"/>
      <c r="BMG293" s="478"/>
      <c r="BMH293" s="479"/>
      <c r="BMI293" s="480"/>
      <c r="BMJ293" s="481"/>
      <c r="BMK293" s="481"/>
      <c r="BML293" s="482"/>
      <c r="BMM293" s="189"/>
      <c r="BMN293" s="189"/>
      <c r="BMO293" s="483"/>
      <c r="BMP293" s="306"/>
      <c r="BMQ293" s="484"/>
      <c r="BMR293" s="306"/>
      <c r="BMS293" s="267"/>
      <c r="BMT293" s="268"/>
      <c r="BMU293" s="306"/>
      <c r="BMV293" s="268"/>
      <c r="BMW293" s="306"/>
      <c r="BMX293" s="485"/>
      <c r="BMY293" s="306"/>
      <c r="BMZ293" s="486"/>
      <c r="BNA293" s="487"/>
      <c r="BNB293" s="488"/>
      <c r="BNC293" s="489"/>
      <c r="BND293" s="488"/>
      <c r="BNE293" s="468"/>
      <c r="BNF293" s="469"/>
      <c r="BNG293" s="470"/>
      <c r="BNH293" s="470"/>
      <c r="BNI293" s="306"/>
      <c r="BNJ293" s="317"/>
      <c r="BNK293" s="471"/>
      <c r="BNL293" s="472"/>
      <c r="BNM293" s="471"/>
      <c r="BNN293" s="473"/>
      <c r="BNO293" s="474"/>
      <c r="BNP293" s="475"/>
      <c r="BNQ293" s="476"/>
      <c r="BNR293" s="477"/>
      <c r="BNS293" s="475"/>
      <c r="BNT293" s="478"/>
      <c r="BNU293" s="479"/>
      <c r="BNV293" s="480"/>
      <c r="BNW293" s="481"/>
      <c r="BNX293" s="481"/>
      <c r="BNY293" s="482"/>
      <c r="BNZ293" s="189"/>
      <c r="BOA293" s="189"/>
      <c r="BOB293" s="483"/>
      <c r="BOC293" s="306"/>
      <c r="BOD293" s="484"/>
      <c r="BOE293" s="306"/>
      <c r="BOF293" s="267"/>
      <c r="BOG293" s="268"/>
      <c r="BOH293" s="306"/>
      <c r="BOI293" s="268"/>
      <c r="BOJ293" s="306"/>
      <c r="BOK293" s="485"/>
      <c r="BOL293" s="306"/>
      <c r="BOM293" s="486"/>
      <c r="BON293" s="487"/>
      <c r="BOO293" s="488"/>
      <c r="BOP293" s="489"/>
      <c r="BOQ293" s="488"/>
      <c r="BOR293" s="468"/>
      <c r="BOS293" s="469"/>
      <c r="BOT293" s="470"/>
      <c r="BOU293" s="470"/>
      <c r="BOV293" s="306"/>
      <c r="BOW293" s="317"/>
      <c r="BOX293" s="471"/>
      <c r="BOY293" s="472"/>
      <c r="BOZ293" s="471"/>
      <c r="BPA293" s="473"/>
      <c r="BPB293" s="474"/>
      <c r="BPC293" s="475"/>
      <c r="BPD293" s="476"/>
      <c r="BPE293" s="477"/>
      <c r="BPF293" s="475"/>
      <c r="BPG293" s="478"/>
      <c r="BPH293" s="479"/>
      <c r="BPI293" s="480"/>
      <c r="BPJ293" s="481"/>
      <c r="BPK293" s="481"/>
      <c r="BPL293" s="482"/>
      <c r="BPM293" s="189"/>
      <c r="BPN293" s="189"/>
      <c r="BPO293" s="483"/>
      <c r="BPP293" s="306"/>
      <c r="BPQ293" s="484"/>
      <c r="BPR293" s="306"/>
      <c r="BPS293" s="267"/>
      <c r="BPT293" s="268"/>
      <c r="BPU293" s="306"/>
      <c r="BPV293" s="268"/>
      <c r="BPW293" s="306"/>
      <c r="BPX293" s="485"/>
      <c r="BPY293" s="306"/>
      <c r="BPZ293" s="486"/>
      <c r="BQA293" s="487"/>
      <c r="BQB293" s="488"/>
      <c r="BQC293" s="489"/>
      <c r="BQD293" s="488"/>
      <c r="BQE293" s="468"/>
      <c r="BQF293" s="469"/>
      <c r="BQG293" s="470"/>
      <c r="BQH293" s="470"/>
      <c r="BQI293" s="306"/>
      <c r="BQJ293" s="317"/>
      <c r="BQK293" s="471"/>
      <c r="BQL293" s="472"/>
      <c r="BQM293" s="471"/>
      <c r="BQN293" s="473"/>
      <c r="BQO293" s="474"/>
      <c r="BQP293" s="475"/>
      <c r="BQQ293" s="476"/>
      <c r="BQR293" s="477"/>
      <c r="BQS293" s="475"/>
      <c r="BQT293" s="478"/>
      <c r="BQU293" s="479"/>
      <c r="BQV293" s="480"/>
      <c r="BQW293" s="481"/>
      <c r="BQX293" s="481"/>
      <c r="BQY293" s="482"/>
      <c r="BQZ293" s="189"/>
      <c r="BRA293" s="189"/>
      <c r="BRB293" s="483"/>
      <c r="BRC293" s="306"/>
      <c r="BRD293" s="484"/>
      <c r="BRE293" s="306"/>
      <c r="BRF293" s="267"/>
      <c r="BRG293" s="268"/>
      <c r="BRH293" s="306"/>
      <c r="BRI293" s="268"/>
      <c r="BRJ293" s="306"/>
      <c r="BRK293" s="485"/>
      <c r="BRL293" s="306"/>
      <c r="BRM293" s="486"/>
      <c r="BRN293" s="487"/>
      <c r="BRO293" s="488"/>
      <c r="BRP293" s="489"/>
      <c r="BRQ293" s="488"/>
      <c r="BRR293" s="468"/>
      <c r="BRS293" s="469"/>
      <c r="BRT293" s="470"/>
      <c r="BRU293" s="470"/>
      <c r="BRV293" s="306"/>
      <c r="BRW293" s="317"/>
      <c r="BRX293" s="471"/>
      <c r="BRY293" s="472"/>
      <c r="BRZ293" s="471"/>
      <c r="BSA293" s="473"/>
      <c r="BSB293" s="474"/>
      <c r="BSC293" s="475"/>
      <c r="BSD293" s="476"/>
      <c r="BSE293" s="477"/>
      <c r="BSF293" s="475"/>
      <c r="BSG293" s="478"/>
      <c r="BSH293" s="479"/>
      <c r="BSI293" s="480"/>
      <c r="BSJ293" s="481"/>
      <c r="BSK293" s="481"/>
      <c r="BSL293" s="482"/>
      <c r="BSM293" s="189"/>
      <c r="BSN293" s="189"/>
      <c r="BSO293" s="483"/>
      <c r="BSP293" s="306"/>
      <c r="BSQ293" s="484"/>
      <c r="BSR293" s="306"/>
      <c r="BSS293" s="267"/>
      <c r="BST293" s="268"/>
      <c r="BSU293" s="306"/>
      <c r="BSV293" s="268"/>
      <c r="BSW293" s="306"/>
      <c r="BSX293" s="485"/>
      <c r="BSY293" s="306"/>
      <c r="BSZ293" s="486"/>
      <c r="BTA293" s="487"/>
      <c r="BTB293" s="488"/>
      <c r="BTC293" s="489"/>
      <c r="BTD293" s="488"/>
      <c r="BTE293" s="468"/>
      <c r="BTF293" s="469"/>
      <c r="BTG293" s="470"/>
      <c r="BTH293" s="470"/>
      <c r="BTI293" s="306"/>
      <c r="BTJ293" s="317"/>
      <c r="BTK293" s="471"/>
      <c r="BTL293" s="472"/>
      <c r="BTM293" s="471"/>
      <c r="BTN293" s="473"/>
      <c r="BTO293" s="474"/>
      <c r="BTP293" s="475"/>
      <c r="BTQ293" s="476"/>
      <c r="BTR293" s="477"/>
      <c r="BTS293" s="475"/>
      <c r="BTT293" s="478"/>
      <c r="BTU293" s="479"/>
      <c r="BTV293" s="480"/>
      <c r="BTW293" s="481"/>
      <c r="BTX293" s="481"/>
      <c r="BTY293" s="482"/>
      <c r="BTZ293" s="189"/>
      <c r="BUA293" s="189"/>
      <c r="BUB293" s="483"/>
      <c r="BUC293" s="306"/>
      <c r="BUD293" s="484"/>
      <c r="BUE293" s="306"/>
      <c r="BUF293" s="267"/>
      <c r="BUG293" s="268"/>
      <c r="BUH293" s="306"/>
      <c r="BUI293" s="268"/>
      <c r="BUJ293" s="306"/>
      <c r="BUK293" s="485"/>
      <c r="BUL293" s="306"/>
      <c r="BUM293" s="486"/>
      <c r="BUN293" s="487"/>
      <c r="BUO293" s="488"/>
      <c r="BUP293" s="489"/>
      <c r="BUQ293" s="488"/>
      <c r="BUR293" s="468"/>
      <c r="BUS293" s="469"/>
      <c r="BUT293" s="470"/>
      <c r="BUU293" s="470"/>
      <c r="BUV293" s="306"/>
      <c r="BUW293" s="317"/>
      <c r="BUX293" s="471"/>
      <c r="BUY293" s="472"/>
      <c r="BUZ293" s="471"/>
      <c r="BVA293" s="473"/>
      <c r="BVB293" s="474"/>
      <c r="BVC293" s="475"/>
      <c r="BVD293" s="476"/>
      <c r="BVE293" s="477"/>
      <c r="BVF293" s="475"/>
      <c r="BVG293" s="478"/>
      <c r="BVH293" s="479"/>
      <c r="BVI293" s="480"/>
      <c r="BVJ293" s="481"/>
      <c r="BVK293" s="481"/>
      <c r="BVL293" s="482"/>
      <c r="BVM293" s="189"/>
      <c r="BVN293" s="189"/>
      <c r="BVO293" s="483"/>
      <c r="BVP293" s="306"/>
      <c r="BVQ293" s="484"/>
      <c r="BVR293" s="306"/>
      <c r="BVS293" s="267"/>
      <c r="BVT293" s="268"/>
      <c r="BVU293" s="306"/>
      <c r="BVV293" s="268"/>
      <c r="BVW293" s="306"/>
      <c r="BVX293" s="485"/>
      <c r="BVY293" s="306"/>
      <c r="BVZ293" s="486"/>
      <c r="BWA293" s="487"/>
      <c r="BWB293" s="488"/>
      <c r="BWC293" s="489"/>
      <c r="BWD293" s="488"/>
      <c r="BWE293" s="468"/>
      <c r="BWF293" s="469"/>
      <c r="BWG293" s="470"/>
      <c r="BWH293" s="470"/>
      <c r="BWI293" s="306"/>
      <c r="BWJ293" s="317"/>
      <c r="BWK293" s="471"/>
      <c r="BWL293" s="472"/>
      <c r="BWM293" s="471"/>
      <c r="BWN293" s="473"/>
      <c r="BWO293" s="474"/>
      <c r="BWP293" s="475"/>
      <c r="BWQ293" s="476"/>
      <c r="BWR293" s="477"/>
      <c r="BWS293" s="475"/>
      <c r="BWT293" s="478"/>
      <c r="BWU293" s="479"/>
      <c r="BWV293" s="480"/>
      <c r="BWW293" s="481"/>
      <c r="BWX293" s="481"/>
      <c r="BWY293" s="482"/>
      <c r="BWZ293" s="189"/>
      <c r="BXA293" s="189"/>
      <c r="BXB293" s="483"/>
      <c r="BXC293" s="306"/>
      <c r="BXD293" s="484"/>
      <c r="BXE293" s="306"/>
      <c r="BXF293" s="267"/>
      <c r="BXG293" s="268"/>
      <c r="BXH293" s="306"/>
      <c r="BXI293" s="268"/>
      <c r="BXJ293" s="306"/>
      <c r="BXK293" s="485"/>
      <c r="BXL293" s="306"/>
      <c r="BXM293" s="486"/>
      <c r="BXN293" s="487"/>
      <c r="BXO293" s="488"/>
      <c r="BXP293" s="489"/>
      <c r="BXQ293" s="488"/>
      <c r="BXR293" s="468"/>
      <c r="BXS293" s="469"/>
      <c r="BXT293" s="470"/>
      <c r="BXU293" s="470"/>
      <c r="BXV293" s="306"/>
      <c r="BXW293" s="317"/>
      <c r="BXX293" s="471"/>
      <c r="BXY293" s="472"/>
      <c r="BXZ293" s="471"/>
      <c r="BYA293" s="473"/>
      <c r="BYB293" s="474"/>
      <c r="BYC293" s="475"/>
      <c r="BYD293" s="476"/>
      <c r="BYE293" s="477"/>
      <c r="BYF293" s="475"/>
      <c r="BYG293" s="478"/>
      <c r="BYH293" s="479"/>
      <c r="BYI293" s="480"/>
      <c r="BYJ293" s="481"/>
      <c r="BYK293" s="481"/>
      <c r="BYL293" s="482"/>
      <c r="BYM293" s="189"/>
      <c r="BYN293" s="189"/>
      <c r="BYO293" s="483"/>
      <c r="BYP293" s="306"/>
      <c r="BYQ293" s="484"/>
      <c r="BYR293" s="306"/>
      <c r="BYS293" s="267"/>
      <c r="BYT293" s="268"/>
      <c r="BYU293" s="306"/>
      <c r="BYV293" s="268"/>
      <c r="BYW293" s="306"/>
      <c r="BYX293" s="485"/>
      <c r="BYY293" s="306"/>
      <c r="BYZ293" s="486"/>
      <c r="BZA293" s="487"/>
      <c r="BZB293" s="488"/>
      <c r="BZC293" s="489"/>
      <c r="BZD293" s="488"/>
      <c r="BZE293" s="468"/>
      <c r="BZF293" s="469"/>
      <c r="BZG293" s="470"/>
      <c r="BZH293" s="470"/>
      <c r="BZI293" s="306"/>
      <c r="BZJ293" s="317"/>
      <c r="BZK293" s="471"/>
      <c r="BZL293" s="472"/>
      <c r="BZM293" s="471"/>
      <c r="BZN293" s="473"/>
      <c r="BZO293" s="474"/>
      <c r="BZP293" s="475"/>
      <c r="BZQ293" s="476"/>
      <c r="BZR293" s="477"/>
      <c r="BZS293" s="475"/>
      <c r="BZT293" s="478"/>
      <c r="BZU293" s="479"/>
      <c r="BZV293" s="480"/>
      <c r="BZW293" s="481"/>
      <c r="BZX293" s="481"/>
      <c r="BZY293" s="482"/>
      <c r="BZZ293" s="189"/>
      <c r="CAA293" s="189"/>
      <c r="CAB293" s="483"/>
      <c r="CAC293" s="306"/>
      <c r="CAD293" s="484"/>
      <c r="CAE293" s="306"/>
      <c r="CAF293" s="267"/>
      <c r="CAG293" s="268"/>
      <c r="CAH293" s="306"/>
      <c r="CAI293" s="268"/>
      <c r="CAJ293" s="306"/>
      <c r="CAK293" s="485"/>
      <c r="CAL293" s="306"/>
      <c r="CAM293" s="486"/>
      <c r="CAN293" s="487"/>
      <c r="CAO293" s="488"/>
      <c r="CAP293" s="489"/>
      <c r="CAQ293" s="488"/>
      <c r="CAR293" s="468"/>
      <c r="CAS293" s="469"/>
      <c r="CAT293" s="470"/>
      <c r="CAU293" s="470"/>
      <c r="CAV293" s="306"/>
      <c r="CAW293" s="317"/>
      <c r="CAX293" s="471"/>
      <c r="CAY293" s="472"/>
      <c r="CAZ293" s="471"/>
      <c r="CBA293" s="473"/>
      <c r="CBB293" s="474"/>
      <c r="CBC293" s="475"/>
      <c r="CBD293" s="476"/>
      <c r="CBE293" s="477"/>
      <c r="CBF293" s="475"/>
      <c r="CBG293" s="478"/>
      <c r="CBH293" s="479"/>
      <c r="CBI293" s="480"/>
      <c r="CBJ293" s="481"/>
      <c r="CBK293" s="481"/>
      <c r="CBL293" s="482"/>
      <c r="CBM293" s="189"/>
      <c r="CBN293" s="189"/>
      <c r="CBO293" s="483"/>
      <c r="CBP293" s="306"/>
      <c r="CBQ293" s="484"/>
      <c r="CBR293" s="306"/>
      <c r="CBS293" s="267"/>
      <c r="CBT293" s="268"/>
      <c r="CBU293" s="306"/>
      <c r="CBV293" s="268"/>
      <c r="CBW293" s="306"/>
      <c r="CBX293" s="485"/>
      <c r="CBY293" s="306"/>
      <c r="CBZ293" s="486"/>
      <c r="CCA293" s="487"/>
      <c r="CCB293" s="488"/>
      <c r="CCC293" s="489"/>
      <c r="CCD293" s="488"/>
      <c r="CCE293" s="468"/>
      <c r="CCF293" s="469"/>
      <c r="CCG293" s="470"/>
      <c r="CCH293" s="470"/>
      <c r="CCI293" s="306"/>
      <c r="CCJ293" s="317"/>
      <c r="CCK293" s="471"/>
      <c r="CCL293" s="472"/>
      <c r="CCM293" s="471"/>
      <c r="CCN293" s="473"/>
      <c r="CCO293" s="474"/>
      <c r="CCP293" s="475"/>
      <c r="CCQ293" s="476"/>
      <c r="CCR293" s="477"/>
      <c r="CCS293" s="475"/>
      <c r="CCT293" s="478"/>
      <c r="CCU293" s="479"/>
      <c r="CCV293" s="480"/>
      <c r="CCW293" s="481"/>
      <c r="CCX293" s="481"/>
      <c r="CCY293" s="482"/>
      <c r="CCZ293" s="189"/>
      <c r="CDA293" s="189"/>
      <c r="CDB293" s="483"/>
      <c r="CDC293" s="306"/>
      <c r="CDD293" s="484"/>
      <c r="CDE293" s="306"/>
      <c r="CDF293" s="267"/>
      <c r="CDG293" s="268"/>
      <c r="CDH293" s="306"/>
      <c r="CDI293" s="268"/>
      <c r="CDJ293" s="306"/>
      <c r="CDK293" s="485"/>
      <c r="CDL293" s="306"/>
      <c r="CDM293" s="486"/>
      <c r="CDN293" s="487"/>
      <c r="CDO293" s="488"/>
      <c r="CDP293" s="489"/>
      <c r="CDQ293" s="488"/>
      <c r="CDR293" s="468"/>
      <c r="CDS293" s="469"/>
      <c r="CDT293" s="470"/>
      <c r="CDU293" s="470"/>
      <c r="CDV293" s="306"/>
      <c r="CDW293" s="317"/>
      <c r="CDX293" s="471"/>
      <c r="CDY293" s="472"/>
      <c r="CDZ293" s="471"/>
      <c r="CEA293" s="473"/>
      <c r="CEB293" s="474"/>
      <c r="CEC293" s="475"/>
      <c r="CED293" s="476"/>
      <c r="CEE293" s="477"/>
      <c r="CEF293" s="475"/>
      <c r="CEG293" s="478"/>
      <c r="CEH293" s="479"/>
      <c r="CEI293" s="480"/>
      <c r="CEJ293" s="481"/>
      <c r="CEK293" s="481"/>
      <c r="CEL293" s="482"/>
      <c r="CEM293" s="189"/>
      <c r="CEN293" s="189"/>
      <c r="CEO293" s="483"/>
      <c r="CEP293" s="306"/>
      <c r="CEQ293" s="484"/>
      <c r="CER293" s="306"/>
      <c r="CES293" s="267"/>
      <c r="CET293" s="268"/>
      <c r="CEU293" s="306"/>
      <c r="CEV293" s="268"/>
      <c r="CEW293" s="306"/>
      <c r="CEX293" s="485"/>
      <c r="CEY293" s="306"/>
      <c r="CEZ293" s="486"/>
      <c r="CFA293" s="487"/>
      <c r="CFB293" s="488"/>
      <c r="CFC293" s="489"/>
      <c r="CFD293" s="488"/>
      <c r="CFE293" s="468"/>
      <c r="CFF293" s="469"/>
      <c r="CFG293" s="470"/>
      <c r="CFH293" s="470"/>
      <c r="CFI293" s="306"/>
      <c r="CFJ293" s="317"/>
      <c r="CFK293" s="471"/>
      <c r="CFL293" s="472"/>
      <c r="CFM293" s="471"/>
      <c r="CFN293" s="473"/>
      <c r="CFO293" s="474"/>
      <c r="CFP293" s="475"/>
      <c r="CFQ293" s="476"/>
      <c r="CFR293" s="477"/>
      <c r="CFS293" s="475"/>
      <c r="CFT293" s="478"/>
      <c r="CFU293" s="479"/>
      <c r="CFV293" s="480"/>
      <c r="CFW293" s="481"/>
      <c r="CFX293" s="481"/>
      <c r="CFY293" s="482"/>
      <c r="CFZ293" s="189"/>
      <c r="CGA293" s="189"/>
      <c r="CGB293" s="483"/>
      <c r="CGC293" s="306"/>
      <c r="CGD293" s="484"/>
      <c r="CGE293" s="306"/>
      <c r="CGF293" s="267"/>
      <c r="CGG293" s="268"/>
      <c r="CGH293" s="306"/>
      <c r="CGI293" s="268"/>
      <c r="CGJ293" s="306"/>
      <c r="CGK293" s="485"/>
      <c r="CGL293" s="306"/>
      <c r="CGM293" s="486"/>
      <c r="CGN293" s="487"/>
      <c r="CGO293" s="488"/>
      <c r="CGP293" s="489"/>
      <c r="CGQ293" s="488"/>
      <c r="CGR293" s="468"/>
      <c r="CGS293" s="469"/>
      <c r="CGT293" s="470"/>
      <c r="CGU293" s="470"/>
      <c r="CGV293" s="306"/>
      <c r="CGW293" s="317"/>
      <c r="CGX293" s="471"/>
      <c r="CGY293" s="472"/>
      <c r="CGZ293" s="471"/>
      <c r="CHA293" s="473"/>
      <c r="CHB293" s="474"/>
      <c r="CHC293" s="475"/>
      <c r="CHD293" s="476"/>
      <c r="CHE293" s="477"/>
      <c r="CHF293" s="475"/>
      <c r="CHG293" s="478"/>
      <c r="CHH293" s="479"/>
      <c r="CHI293" s="480"/>
      <c r="CHJ293" s="481"/>
      <c r="CHK293" s="481"/>
      <c r="CHL293" s="482"/>
      <c r="CHM293" s="189"/>
      <c r="CHN293" s="189"/>
      <c r="CHO293" s="483"/>
      <c r="CHP293" s="306"/>
      <c r="CHQ293" s="484"/>
      <c r="CHR293" s="306"/>
      <c r="CHS293" s="267"/>
      <c r="CHT293" s="268"/>
      <c r="CHU293" s="306"/>
      <c r="CHV293" s="268"/>
      <c r="CHW293" s="306"/>
      <c r="CHX293" s="485"/>
      <c r="CHY293" s="306"/>
      <c r="CHZ293" s="486"/>
      <c r="CIA293" s="487"/>
      <c r="CIB293" s="488"/>
      <c r="CIC293" s="489"/>
      <c r="CID293" s="488"/>
      <c r="CIE293" s="468"/>
      <c r="CIF293" s="469"/>
      <c r="CIG293" s="470"/>
      <c r="CIH293" s="470"/>
      <c r="CII293" s="306"/>
      <c r="CIJ293" s="317"/>
      <c r="CIK293" s="471"/>
      <c r="CIL293" s="472"/>
      <c r="CIM293" s="471"/>
      <c r="CIN293" s="473"/>
      <c r="CIO293" s="474"/>
      <c r="CIP293" s="475"/>
      <c r="CIQ293" s="476"/>
      <c r="CIR293" s="477"/>
      <c r="CIS293" s="475"/>
      <c r="CIT293" s="478"/>
      <c r="CIU293" s="479"/>
      <c r="CIV293" s="480"/>
      <c r="CIW293" s="481"/>
      <c r="CIX293" s="481"/>
      <c r="CIY293" s="482"/>
      <c r="CIZ293" s="189"/>
      <c r="CJA293" s="189"/>
      <c r="CJB293" s="483"/>
      <c r="CJC293" s="306"/>
      <c r="CJD293" s="484"/>
      <c r="CJE293" s="306"/>
      <c r="CJF293" s="267"/>
      <c r="CJG293" s="268"/>
      <c r="CJH293" s="306"/>
      <c r="CJI293" s="268"/>
      <c r="CJJ293" s="306"/>
      <c r="CJK293" s="485"/>
      <c r="CJL293" s="306"/>
      <c r="CJM293" s="486"/>
      <c r="CJN293" s="487"/>
      <c r="CJO293" s="488"/>
      <c r="CJP293" s="489"/>
      <c r="CJQ293" s="488"/>
      <c r="CJR293" s="468"/>
      <c r="CJS293" s="469"/>
      <c r="CJT293" s="470"/>
      <c r="CJU293" s="470"/>
      <c r="CJV293" s="306"/>
      <c r="CJW293" s="317"/>
      <c r="CJX293" s="471"/>
      <c r="CJY293" s="472"/>
      <c r="CJZ293" s="471"/>
      <c r="CKA293" s="473"/>
      <c r="CKB293" s="474"/>
      <c r="CKC293" s="475"/>
      <c r="CKD293" s="476"/>
      <c r="CKE293" s="477"/>
      <c r="CKF293" s="475"/>
      <c r="CKG293" s="478"/>
      <c r="CKH293" s="479"/>
      <c r="CKI293" s="480"/>
      <c r="CKJ293" s="481"/>
      <c r="CKK293" s="481"/>
      <c r="CKL293" s="482"/>
      <c r="CKM293" s="189"/>
      <c r="CKN293" s="189"/>
      <c r="CKO293" s="483"/>
      <c r="CKP293" s="306"/>
      <c r="CKQ293" s="484"/>
      <c r="CKR293" s="306"/>
      <c r="CKS293" s="267"/>
      <c r="CKT293" s="268"/>
      <c r="CKU293" s="306"/>
      <c r="CKV293" s="268"/>
      <c r="CKW293" s="306"/>
      <c r="CKX293" s="485"/>
      <c r="CKY293" s="306"/>
      <c r="CKZ293" s="486"/>
      <c r="CLA293" s="487"/>
      <c r="CLB293" s="488"/>
      <c r="CLC293" s="489"/>
      <c r="CLD293" s="488"/>
      <c r="CLE293" s="468"/>
      <c r="CLF293" s="469"/>
      <c r="CLG293" s="470"/>
      <c r="CLH293" s="470"/>
      <c r="CLI293" s="306"/>
      <c r="CLJ293" s="317"/>
      <c r="CLK293" s="471"/>
      <c r="CLL293" s="472"/>
      <c r="CLM293" s="471"/>
      <c r="CLN293" s="473"/>
      <c r="CLO293" s="474"/>
      <c r="CLP293" s="475"/>
      <c r="CLQ293" s="476"/>
      <c r="CLR293" s="477"/>
      <c r="CLS293" s="475"/>
      <c r="CLT293" s="478"/>
      <c r="CLU293" s="479"/>
      <c r="CLV293" s="480"/>
      <c r="CLW293" s="481"/>
      <c r="CLX293" s="481"/>
      <c r="CLY293" s="482"/>
      <c r="CLZ293" s="189"/>
      <c r="CMA293" s="189"/>
      <c r="CMB293" s="483"/>
      <c r="CMC293" s="306"/>
      <c r="CMD293" s="484"/>
      <c r="CME293" s="306"/>
      <c r="CMF293" s="267"/>
      <c r="CMG293" s="268"/>
      <c r="CMH293" s="306"/>
      <c r="CMI293" s="268"/>
      <c r="CMJ293" s="306"/>
      <c r="CMK293" s="485"/>
      <c r="CML293" s="306"/>
      <c r="CMM293" s="486"/>
      <c r="CMN293" s="487"/>
      <c r="CMO293" s="488"/>
      <c r="CMP293" s="489"/>
      <c r="CMQ293" s="488"/>
      <c r="CMR293" s="468"/>
      <c r="CMS293" s="469"/>
      <c r="CMT293" s="470"/>
      <c r="CMU293" s="470"/>
      <c r="CMV293" s="306"/>
      <c r="CMW293" s="317"/>
      <c r="CMX293" s="471"/>
      <c r="CMY293" s="472"/>
      <c r="CMZ293" s="471"/>
      <c r="CNA293" s="473"/>
      <c r="CNB293" s="474"/>
      <c r="CNC293" s="475"/>
      <c r="CND293" s="476"/>
      <c r="CNE293" s="477"/>
      <c r="CNF293" s="475"/>
      <c r="CNG293" s="478"/>
      <c r="CNH293" s="479"/>
      <c r="CNI293" s="480"/>
      <c r="CNJ293" s="481"/>
      <c r="CNK293" s="481"/>
      <c r="CNL293" s="482"/>
      <c r="CNM293" s="189"/>
      <c r="CNN293" s="189"/>
      <c r="CNO293" s="483"/>
      <c r="CNP293" s="306"/>
      <c r="CNQ293" s="484"/>
      <c r="CNR293" s="306"/>
      <c r="CNS293" s="267"/>
      <c r="CNT293" s="268"/>
      <c r="CNU293" s="306"/>
      <c r="CNV293" s="268"/>
      <c r="CNW293" s="306"/>
      <c r="CNX293" s="485"/>
      <c r="CNY293" s="306"/>
      <c r="CNZ293" s="486"/>
      <c r="COA293" s="487"/>
      <c r="COB293" s="488"/>
      <c r="COC293" s="489"/>
      <c r="COD293" s="488"/>
      <c r="COE293" s="468"/>
      <c r="COF293" s="469"/>
      <c r="COG293" s="470"/>
      <c r="COH293" s="470"/>
      <c r="COI293" s="306"/>
      <c r="COJ293" s="317"/>
      <c r="COK293" s="471"/>
      <c r="COL293" s="472"/>
      <c r="COM293" s="471"/>
      <c r="CON293" s="473"/>
      <c r="COO293" s="474"/>
      <c r="COP293" s="475"/>
      <c r="COQ293" s="476"/>
      <c r="COR293" s="477"/>
      <c r="COS293" s="475"/>
      <c r="COT293" s="478"/>
      <c r="COU293" s="479"/>
      <c r="COV293" s="480"/>
      <c r="COW293" s="481"/>
      <c r="COX293" s="481"/>
      <c r="COY293" s="482"/>
      <c r="COZ293" s="189"/>
      <c r="CPA293" s="189"/>
      <c r="CPB293" s="483"/>
      <c r="CPC293" s="306"/>
      <c r="CPD293" s="484"/>
      <c r="CPE293" s="306"/>
      <c r="CPF293" s="267"/>
      <c r="CPG293" s="268"/>
      <c r="CPH293" s="306"/>
      <c r="CPI293" s="268"/>
      <c r="CPJ293" s="306"/>
      <c r="CPK293" s="485"/>
      <c r="CPL293" s="306"/>
      <c r="CPM293" s="486"/>
      <c r="CPN293" s="487"/>
      <c r="CPO293" s="488"/>
      <c r="CPP293" s="489"/>
      <c r="CPQ293" s="488"/>
      <c r="CPR293" s="468"/>
      <c r="CPS293" s="469"/>
      <c r="CPT293" s="470"/>
      <c r="CPU293" s="470"/>
      <c r="CPV293" s="306"/>
      <c r="CPW293" s="317"/>
      <c r="CPX293" s="471"/>
      <c r="CPY293" s="472"/>
      <c r="CPZ293" s="471"/>
      <c r="CQA293" s="473"/>
      <c r="CQB293" s="474"/>
      <c r="CQC293" s="475"/>
      <c r="CQD293" s="476"/>
      <c r="CQE293" s="477"/>
      <c r="CQF293" s="475"/>
      <c r="CQG293" s="478"/>
      <c r="CQH293" s="479"/>
      <c r="CQI293" s="480"/>
      <c r="CQJ293" s="481"/>
      <c r="CQK293" s="481"/>
      <c r="CQL293" s="482"/>
      <c r="CQM293" s="189"/>
      <c r="CQN293" s="189"/>
      <c r="CQO293" s="483"/>
      <c r="CQP293" s="306"/>
      <c r="CQQ293" s="484"/>
      <c r="CQR293" s="306"/>
      <c r="CQS293" s="267"/>
      <c r="CQT293" s="268"/>
      <c r="CQU293" s="306"/>
      <c r="CQV293" s="268"/>
      <c r="CQW293" s="306"/>
      <c r="CQX293" s="485"/>
      <c r="CQY293" s="306"/>
      <c r="CQZ293" s="486"/>
      <c r="CRA293" s="487"/>
      <c r="CRB293" s="488"/>
      <c r="CRC293" s="489"/>
      <c r="CRD293" s="488"/>
      <c r="CRE293" s="468"/>
      <c r="CRF293" s="469"/>
      <c r="CRG293" s="470"/>
      <c r="CRH293" s="470"/>
      <c r="CRI293" s="306"/>
      <c r="CRJ293" s="317"/>
      <c r="CRK293" s="471"/>
      <c r="CRL293" s="472"/>
      <c r="CRM293" s="471"/>
      <c r="CRN293" s="473"/>
      <c r="CRO293" s="474"/>
      <c r="CRP293" s="475"/>
      <c r="CRQ293" s="476"/>
      <c r="CRR293" s="477"/>
      <c r="CRS293" s="475"/>
      <c r="CRT293" s="478"/>
      <c r="CRU293" s="479"/>
      <c r="CRV293" s="480"/>
      <c r="CRW293" s="481"/>
      <c r="CRX293" s="481"/>
      <c r="CRY293" s="482"/>
      <c r="CRZ293" s="189"/>
      <c r="CSA293" s="189"/>
      <c r="CSB293" s="483"/>
      <c r="CSC293" s="306"/>
      <c r="CSD293" s="484"/>
      <c r="CSE293" s="306"/>
      <c r="CSF293" s="267"/>
      <c r="CSG293" s="268"/>
      <c r="CSH293" s="306"/>
      <c r="CSI293" s="268"/>
      <c r="CSJ293" s="306"/>
      <c r="CSK293" s="485"/>
      <c r="CSL293" s="306"/>
      <c r="CSM293" s="486"/>
      <c r="CSN293" s="487"/>
      <c r="CSO293" s="488"/>
      <c r="CSP293" s="489"/>
      <c r="CSQ293" s="488"/>
      <c r="CSR293" s="468"/>
      <c r="CSS293" s="469"/>
      <c r="CST293" s="470"/>
      <c r="CSU293" s="470"/>
      <c r="CSV293" s="306"/>
      <c r="CSW293" s="317"/>
      <c r="CSX293" s="471"/>
      <c r="CSY293" s="472"/>
      <c r="CSZ293" s="471"/>
      <c r="CTA293" s="473"/>
      <c r="CTB293" s="474"/>
      <c r="CTC293" s="475"/>
      <c r="CTD293" s="476"/>
      <c r="CTE293" s="477"/>
      <c r="CTF293" s="475"/>
      <c r="CTG293" s="478"/>
      <c r="CTH293" s="479"/>
      <c r="CTI293" s="480"/>
      <c r="CTJ293" s="481"/>
      <c r="CTK293" s="481"/>
      <c r="CTL293" s="482"/>
      <c r="CTM293" s="189"/>
      <c r="CTN293" s="189"/>
      <c r="CTO293" s="483"/>
      <c r="CTP293" s="306"/>
      <c r="CTQ293" s="484"/>
      <c r="CTR293" s="306"/>
      <c r="CTS293" s="267"/>
      <c r="CTT293" s="268"/>
      <c r="CTU293" s="306"/>
      <c r="CTV293" s="268"/>
      <c r="CTW293" s="306"/>
      <c r="CTX293" s="485"/>
      <c r="CTY293" s="306"/>
      <c r="CTZ293" s="486"/>
      <c r="CUA293" s="487"/>
      <c r="CUB293" s="488"/>
      <c r="CUC293" s="489"/>
      <c r="CUD293" s="488"/>
      <c r="CUE293" s="468"/>
      <c r="CUF293" s="469"/>
      <c r="CUG293" s="470"/>
      <c r="CUH293" s="470"/>
      <c r="CUI293" s="306"/>
      <c r="CUJ293" s="317"/>
      <c r="CUK293" s="471"/>
      <c r="CUL293" s="472"/>
      <c r="CUM293" s="471"/>
      <c r="CUN293" s="473"/>
      <c r="CUO293" s="474"/>
      <c r="CUP293" s="475"/>
      <c r="CUQ293" s="476"/>
      <c r="CUR293" s="477"/>
      <c r="CUS293" s="475"/>
      <c r="CUT293" s="478"/>
      <c r="CUU293" s="479"/>
      <c r="CUV293" s="480"/>
      <c r="CUW293" s="481"/>
      <c r="CUX293" s="481"/>
      <c r="CUY293" s="482"/>
      <c r="CUZ293" s="189"/>
      <c r="CVA293" s="189"/>
      <c r="CVB293" s="483"/>
      <c r="CVC293" s="306"/>
      <c r="CVD293" s="484"/>
      <c r="CVE293" s="306"/>
      <c r="CVF293" s="267"/>
      <c r="CVG293" s="268"/>
      <c r="CVH293" s="306"/>
      <c r="CVI293" s="268"/>
      <c r="CVJ293" s="306"/>
      <c r="CVK293" s="485"/>
      <c r="CVL293" s="306"/>
      <c r="CVM293" s="486"/>
      <c r="CVN293" s="487"/>
      <c r="CVO293" s="488"/>
      <c r="CVP293" s="489"/>
      <c r="CVQ293" s="488"/>
      <c r="CVR293" s="468"/>
      <c r="CVS293" s="469"/>
      <c r="CVT293" s="470"/>
      <c r="CVU293" s="470"/>
      <c r="CVV293" s="306"/>
      <c r="CVW293" s="317"/>
      <c r="CVX293" s="471"/>
      <c r="CVY293" s="472"/>
      <c r="CVZ293" s="471"/>
      <c r="CWA293" s="473"/>
      <c r="CWB293" s="474"/>
      <c r="CWC293" s="475"/>
      <c r="CWD293" s="476"/>
      <c r="CWE293" s="477"/>
      <c r="CWF293" s="475"/>
      <c r="CWG293" s="478"/>
      <c r="CWH293" s="479"/>
      <c r="CWI293" s="480"/>
      <c r="CWJ293" s="481"/>
      <c r="CWK293" s="481"/>
      <c r="CWL293" s="482"/>
      <c r="CWM293" s="189"/>
      <c r="CWN293" s="189"/>
      <c r="CWO293" s="483"/>
      <c r="CWP293" s="306"/>
      <c r="CWQ293" s="484"/>
      <c r="CWR293" s="306"/>
      <c r="CWS293" s="267"/>
      <c r="CWT293" s="268"/>
      <c r="CWU293" s="306"/>
      <c r="CWV293" s="268"/>
      <c r="CWW293" s="306"/>
      <c r="CWX293" s="485"/>
      <c r="CWY293" s="306"/>
      <c r="CWZ293" s="486"/>
      <c r="CXA293" s="487"/>
      <c r="CXB293" s="488"/>
      <c r="CXC293" s="489"/>
      <c r="CXD293" s="488"/>
      <c r="CXE293" s="468"/>
      <c r="CXF293" s="469"/>
      <c r="CXG293" s="470"/>
      <c r="CXH293" s="470"/>
      <c r="CXI293" s="306"/>
      <c r="CXJ293" s="317"/>
      <c r="CXK293" s="471"/>
      <c r="CXL293" s="472"/>
      <c r="CXM293" s="471"/>
      <c r="CXN293" s="473"/>
      <c r="CXO293" s="474"/>
      <c r="CXP293" s="475"/>
      <c r="CXQ293" s="476"/>
      <c r="CXR293" s="477"/>
      <c r="CXS293" s="475"/>
      <c r="CXT293" s="478"/>
      <c r="CXU293" s="479"/>
      <c r="CXV293" s="480"/>
      <c r="CXW293" s="481"/>
      <c r="CXX293" s="481"/>
      <c r="CXY293" s="482"/>
      <c r="CXZ293" s="189"/>
      <c r="CYA293" s="189"/>
      <c r="CYB293" s="483"/>
      <c r="CYC293" s="306"/>
      <c r="CYD293" s="484"/>
      <c r="CYE293" s="306"/>
      <c r="CYF293" s="267"/>
      <c r="CYG293" s="268"/>
      <c r="CYH293" s="306"/>
      <c r="CYI293" s="268"/>
      <c r="CYJ293" s="306"/>
      <c r="CYK293" s="485"/>
      <c r="CYL293" s="306"/>
      <c r="CYM293" s="486"/>
      <c r="CYN293" s="487"/>
      <c r="CYO293" s="488"/>
      <c r="CYP293" s="489"/>
      <c r="CYQ293" s="488"/>
      <c r="CYR293" s="468"/>
      <c r="CYS293" s="469"/>
      <c r="CYT293" s="470"/>
      <c r="CYU293" s="470"/>
      <c r="CYV293" s="306"/>
      <c r="CYW293" s="317"/>
      <c r="CYX293" s="471"/>
      <c r="CYY293" s="472"/>
      <c r="CYZ293" s="471"/>
      <c r="CZA293" s="473"/>
      <c r="CZB293" s="474"/>
      <c r="CZC293" s="475"/>
      <c r="CZD293" s="476"/>
      <c r="CZE293" s="477"/>
      <c r="CZF293" s="475"/>
      <c r="CZG293" s="478"/>
      <c r="CZH293" s="479"/>
      <c r="CZI293" s="480"/>
      <c r="CZJ293" s="481"/>
      <c r="CZK293" s="481"/>
      <c r="CZL293" s="482"/>
      <c r="CZM293" s="189"/>
      <c r="CZN293" s="189"/>
      <c r="CZO293" s="483"/>
      <c r="CZP293" s="306"/>
      <c r="CZQ293" s="484"/>
      <c r="CZR293" s="306"/>
      <c r="CZS293" s="267"/>
      <c r="CZT293" s="268"/>
      <c r="CZU293" s="306"/>
      <c r="CZV293" s="268"/>
      <c r="CZW293" s="306"/>
      <c r="CZX293" s="485"/>
      <c r="CZY293" s="306"/>
      <c r="CZZ293" s="486"/>
      <c r="DAA293" s="487"/>
      <c r="DAB293" s="488"/>
      <c r="DAC293" s="489"/>
      <c r="DAD293" s="488"/>
      <c r="DAE293" s="468"/>
      <c r="DAF293" s="469"/>
      <c r="DAG293" s="470"/>
      <c r="DAH293" s="470"/>
      <c r="DAI293" s="306"/>
      <c r="DAJ293" s="317"/>
      <c r="DAK293" s="471"/>
      <c r="DAL293" s="472"/>
      <c r="DAM293" s="471"/>
      <c r="DAN293" s="473"/>
      <c r="DAO293" s="474"/>
      <c r="DAP293" s="475"/>
      <c r="DAQ293" s="476"/>
      <c r="DAR293" s="477"/>
      <c r="DAS293" s="475"/>
      <c r="DAT293" s="478"/>
      <c r="DAU293" s="479"/>
      <c r="DAV293" s="480"/>
      <c r="DAW293" s="481"/>
      <c r="DAX293" s="481"/>
      <c r="DAY293" s="482"/>
      <c r="DAZ293" s="189"/>
      <c r="DBA293" s="189"/>
      <c r="DBB293" s="483"/>
      <c r="DBC293" s="306"/>
      <c r="DBD293" s="484"/>
      <c r="DBE293" s="306"/>
      <c r="DBF293" s="267"/>
      <c r="DBG293" s="268"/>
      <c r="DBH293" s="306"/>
      <c r="DBI293" s="268"/>
      <c r="DBJ293" s="306"/>
      <c r="DBK293" s="485"/>
      <c r="DBL293" s="306"/>
      <c r="DBM293" s="486"/>
      <c r="DBN293" s="487"/>
      <c r="DBO293" s="488"/>
      <c r="DBP293" s="489"/>
      <c r="DBQ293" s="488"/>
      <c r="DBR293" s="468"/>
      <c r="DBS293" s="469"/>
      <c r="DBT293" s="470"/>
      <c r="DBU293" s="470"/>
      <c r="DBV293" s="306"/>
      <c r="DBW293" s="317"/>
      <c r="DBX293" s="471"/>
      <c r="DBY293" s="472"/>
      <c r="DBZ293" s="471"/>
      <c r="DCA293" s="473"/>
      <c r="DCB293" s="474"/>
      <c r="DCC293" s="475"/>
      <c r="DCD293" s="476"/>
      <c r="DCE293" s="477"/>
      <c r="DCF293" s="475"/>
      <c r="DCG293" s="478"/>
      <c r="DCH293" s="479"/>
      <c r="DCI293" s="480"/>
      <c r="DCJ293" s="481"/>
      <c r="DCK293" s="481"/>
      <c r="DCL293" s="482"/>
      <c r="DCM293" s="189"/>
      <c r="DCN293" s="189"/>
      <c r="DCO293" s="483"/>
      <c r="DCP293" s="306"/>
      <c r="DCQ293" s="484"/>
      <c r="DCR293" s="306"/>
      <c r="DCS293" s="267"/>
      <c r="DCT293" s="268"/>
      <c r="DCU293" s="306"/>
      <c r="DCV293" s="268"/>
      <c r="DCW293" s="306"/>
      <c r="DCX293" s="485"/>
      <c r="DCY293" s="306"/>
      <c r="DCZ293" s="486"/>
      <c r="DDA293" s="487"/>
      <c r="DDB293" s="488"/>
      <c r="DDC293" s="489"/>
      <c r="DDD293" s="488"/>
      <c r="DDE293" s="468"/>
      <c r="DDF293" s="469"/>
      <c r="DDG293" s="470"/>
      <c r="DDH293" s="470"/>
      <c r="DDI293" s="306"/>
      <c r="DDJ293" s="317"/>
      <c r="DDK293" s="471"/>
      <c r="DDL293" s="472"/>
      <c r="DDM293" s="471"/>
      <c r="DDN293" s="473"/>
      <c r="DDO293" s="474"/>
      <c r="DDP293" s="475"/>
      <c r="DDQ293" s="476"/>
      <c r="DDR293" s="477"/>
      <c r="DDS293" s="475"/>
      <c r="DDT293" s="478"/>
      <c r="DDU293" s="479"/>
      <c r="DDV293" s="480"/>
      <c r="DDW293" s="481"/>
      <c r="DDX293" s="481"/>
      <c r="DDY293" s="482"/>
      <c r="DDZ293" s="189"/>
      <c r="DEA293" s="189"/>
      <c r="DEB293" s="483"/>
      <c r="DEC293" s="306"/>
      <c r="DED293" s="484"/>
      <c r="DEE293" s="306"/>
      <c r="DEF293" s="267"/>
      <c r="DEG293" s="268"/>
      <c r="DEH293" s="306"/>
      <c r="DEI293" s="268"/>
      <c r="DEJ293" s="306"/>
      <c r="DEK293" s="485"/>
      <c r="DEL293" s="306"/>
      <c r="DEM293" s="486"/>
      <c r="DEN293" s="487"/>
      <c r="DEO293" s="488"/>
      <c r="DEP293" s="489"/>
      <c r="DEQ293" s="488"/>
      <c r="DER293" s="468"/>
      <c r="DES293" s="469"/>
      <c r="DET293" s="470"/>
      <c r="DEU293" s="470"/>
      <c r="DEV293" s="306"/>
      <c r="DEW293" s="317"/>
      <c r="DEX293" s="471"/>
      <c r="DEY293" s="472"/>
      <c r="DEZ293" s="471"/>
      <c r="DFA293" s="473"/>
      <c r="DFB293" s="474"/>
      <c r="DFC293" s="475"/>
      <c r="DFD293" s="476"/>
      <c r="DFE293" s="477"/>
      <c r="DFF293" s="475"/>
      <c r="DFG293" s="478"/>
      <c r="DFH293" s="479"/>
      <c r="DFI293" s="480"/>
      <c r="DFJ293" s="481"/>
      <c r="DFK293" s="481"/>
      <c r="DFL293" s="482"/>
      <c r="DFM293" s="189"/>
      <c r="DFN293" s="189"/>
      <c r="DFO293" s="483"/>
      <c r="DFP293" s="306"/>
      <c r="DFQ293" s="484"/>
      <c r="DFR293" s="306"/>
      <c r="DFS293" s="267"/>
      <c r="DFT293" s="268"/>
      <c r="DFU293" s="306"/>
      <c r="DFV293" s="268"/>
      <c r="DFW293" s="306"/>
      <c r="DFX293" s="485"/>
      <c r="DFY293" s="306"/>
      <c r="DFZ293" s="486"/>
      <c r="DGA293" s="487"/>
      <c r="DGB293" s="488"/>
      <c r="DGC293" s="489"/>
      <c r="DGD293" s="488"/>
      <c r="DGE293" s="468"/>
      <c r="DGF293" s="469"/>
      <c r="DGG293" s="470"/>
      <c r="DGH293" s="470"/>
      <c r="DGI293" s="306"/>
      <c r="DGJ293" s="317"/>
      <c r="DGK293" s="471"/>
      <c r="DGL293" s="472"/>
      <c r="DGM293" s="471"/>
      <c r="DGN293" s="473"/>
      <c r="DGO293" s="474"/>
      <c r="DGP293" s="475"/>
      <c r="DGQ293" s="476"/>
      <c r="DGR293" s="477"/>
      <c r="DGS293" s="475"/>
      <c r="DGT293" s="478"/>
      <c r="DGU293" s="479"/>
      <c r="DGV293" s="480"/>
      <c r="DGW293" s="481"/>
      <c r="DGX293" s="481"/>
      <c r="DGY293" s="482"/>
      <c r="DGZ293" s="189"/>
      <c r="DHA293" s="189"/>
      <c r="DHB293" s="483"/>
      <c r="DHC293" s="306"/>
      <c r="DHD293" s="484"/>
      <c r="DHE293" s="306"/>
      <c r="DHF293" s="267"/>
      <c r="DHG293" s="268"/>
      <c r="DHH293" s="306"/>
      <c r="DHI293" s="268"/>
      <c r="DHJ293" s="306"/>
      <c r="DHK293" s="485"/>
      <c r="DHL293" s="306"/>
      <c r="DHM293" s="486"/>
      <c r="DHN293" s="487"/>
      <c r="DHO293" s="488"/>
      <c r="DHP293" s="489"/>
      <c r="DHQ293" s="488"/>
      <c r="DHR293" s="468"/>
      <c r="DHS293" s="469"/>
      <c r="DHT293" s="470"/>
      <c r="DHU293" s="470"/>
      <c r="DHV293" s="306"/>
      <c r="DHW293" s="317"/>
      <c r="DHX293" s="471"/>
      <c r="DHY293" s="472"/>
      <c r="DHZ293" s="471"/>
      <c r="DIA293" s="473"/>
      <c r="DIB293" s="474"/>
      <c r="DIC293" s="475"/>
      <c r="DID293" s="476"/>
      <c r="DIE293" s="477"/>
      <c r="DIF293" s="475"/>
      <c r="DIG293" s="478"/>
      <c r="DIH293" s="479"/>
      <c r="DII293" s="480"/>
      <c r="DIJ293" s="481"/>
      <c r="DIK293" s="481"/>
      <c r="DIL293" s="482"/>
      <c r="DIM293" s="189"/>
      <c r="DIN293" s="189"/>
      <c r="DIO293" s="483"/>
      <c r="DIP293" s="306"/>
      <c r="DIQ293" s="484"/>
      <c r="DIR293" s="306"/>
      <c r="DIS293" s="267"/>
      <c r="DIT293" s="268"/>
      <c r="DIU293" s="306"/>
      <c r="DIV293" s="268"/>
      <c r="DIW293" s="306"/>
      <c r="DIX293" s="485"/>
      <c r="DIY293" s="306"/>
      <c r="DIZ293" s="486"/>
      <c r="DJA293" s="487"/>
      <c r="DJB293" s="488"/>
      <c r="DJC293" s="489"/>
      <c r="DJD293" s="488"/>
      <c r="DJE293" s="468"/>
      <c r="DJF293" s="469"/>
      <c r="DJG293" s="470"/>
      <c r="DJH293" s="470"/>
      <c r="DJI293" s="306"/>
      <c r="DJJ293" s="317"/>
      <c r="DJK293" s="471"/>
      <c r="DJL293" s="472"/>
      <c r="DJM293" s="471"/>
      <c r="DJN293" s="473"/>
      <c r="DJO293" s="474"/>
      <c r="DJP293" s="475"/>
      <c r="DJQ293" s="476"/>
      <c r="DJR293" s="477"/>
      <c r="DJS293" s="475"/>
      <c r="DJT293" s="478"/>
      <c r="DJU293" s="479"/>
      <c r="DJV293" s="480"/>
      <c r="DJW293" s="481"/>
      <c r="DJX293" s="481"/>
      <c r="DJY293" s="482"/>
      <c r="DJZ293" s="189"/>
      <c r="DKA293" s="189"/>
      <c r="DKB293" s="483"/>
      <c r="DKC293" s="306"/>
      <c r="DKD293" s="484"/>
      <c r="DKE293" s="306"/>
      <c r="DKF293" s="267"/>
      <c r="DKG293" s="268"/>
      <c r="DKH293" s="306"/>
      <c r="DKI293" s="268"/>
      <c r="DKJ293" s="306"/>
      <c r="DKK293" s="485"/>
      <c r="DKL293" s="306"/>
      <c r="DKM293" s="486"/>
      <c r="DKN293" s="487"/>
      <c r="DKO293" s="488"/>
      <c r="DKP293" s="489"/>
      <c r="DKQ293" s="488"/>
      <c r="DKR293" s="468"/>
      <c r="DKS293" s="469"/>
      <c r="DKT293" s="470"/>
      <c r="DKU293" s="470"/>
      <c r="DKV293" s="306"/>
      <c r="DKW293" s="317"/>
      <c r="DKX293" s="471"/>
      <c r="DKY293" s="472"/>
      <c r="DKZ293" s="471"/>
      <c r="DLA293" s="473"/>
      <c r="DLB293" s="474"/>
      <c r="DLC293" s="475"/>
      <c r="DLD293" s="476"/>
      <c r="DLE293" s="477"/>
      <c r="DLF293" s="475"/>
      <c r="DLG293" s="478"/>
      <c r="DLH293" s="479"/>
      <c r="DLI293" s="480"/>
      <c r="DLJ293" s="481"/>
      <c r="DLK293" s="481"/>
      <c r="DLL293" s="482"/>
      <c r="DLM293" s="189"/>
      <c r="DLN293" s="189"/>
      <c r="DLO293" s="483"/>
      <c r="DLP293" s="306"/>
      <c r="DLQ293" s="484"/>
      <c r="DLR293" s="306"/>
      <c r="DLS293" s="267"/>
      <c r="DLT293" s="268"/>
      <c r="DLU293" s="306"/>
      <c r="DLV293" s="268"/>
      <c r="DLW293" s="306"/>
      <c r="DLX293" s="485"/>
      <c r="DLY293" s="306"/>
      <c r="DLZ293" s="486"/>
      <c r="DMA293" s="487"/>
      <c r="DMB293" s="488"/>
      <c r="DMC293" s="489"/>
      <c r="DMD293" s="488"/>
      <c r="DME293" s="468"/>
      <c r="DMF293" s="469"/>
      <c r="DMG293" s="470"/>
      <c r="DMH293" s="470"/>
      <c r="DMI293" s="306"/>
      <c r="DMJ293" s="317"/>
      <c r="DMK293" s="471"/>
      <c r="DML293" s="472"/>
      <c r="DMM293" s="471"/>
      <c r="DMN293" s="473"/>
      <c r="DMO293" s="474"/>
      <c r="DMP293" s="475"/>
      <c r="DMQ293" s="476"/>
      <c r="DMR293" s="477"/>
      <c r="DMS293" s="475"/>
      <c r="DMT293" s="478"/>
      <c r="DMU293" s="479"/>
      <c r="DMV293" s="480"/>
      <c r="DMW293" s="481"/>
      <c r="DMX293" s="481"/>
      <c r="DMY293" s="482"/>
      <c r="DMZ293" s="189"/>
      <c r="DNA293" s="189"/>
      <c r="DNB293" s="483"/>
      <c r="DNC293" s="306"/>
      <c r="DND293" s="484"/>
      <c r="DNE293" s="306"/>
      <c r="DNF293" s="267"/>
      <c r="DNG293" s="268"/>
      <c r="DNH293" s="306"/>
      <c r="DNI293" s="268"/>
      <c r="DNJ293" s="306"/>
      <c r="DNK293" s="485"/>
      <c r="DNL293" s="306"/>
      <c r="DNM293" s="486"/>
      <c r="DNN293" s="487"/>
      <c r="DNO293" s="488"/>
      <c r="DNP293" s="489"/>
      <c r="DNQ293" s="488"/>
      <c r="DNR293" s="468"/>
      <c r="DNS293" s="469"/>
      <c r="DNT293" s="470"/>
      <c r="DNU293" s="470"/>
      <c r="DNV293" s="306"/>
      <c r="DNW293" s="317"/>
      <c r="DNX293" s="471"/>
      <c r="DNY293" s="472"/>
      <c r="DNZ293" s="471"/>
      <c r="DOA293" s="473"/>
      <c r="DOB293" s="474"/>
      <c r="DOC293" s="475"/>
      <c r="DOD293" s="476"/>
      <c r="DOE293" s="477"/>
      <c r="DOF293" s="475"/>
      <c r="DOG293" s="478"/>
      <c r="DOH293" s="479"/>
      <c r="DOI293" s="480"/>
      <c r="DOJ293" s="481"/>
      <c r="DOK293" s="481"/>
      <c r="DOL293" s="482"/>
      <c r="DOM293" s="189"/>
      <c r="DON293" s="189"/>
      <c r="DOO293" s="483"/>
      <c r="DOP293" s="306"/>
      <c r="DOQ293" s="484"/>
      <c r="DOR293" s="306"/>
      <c r="DOS293" s="267"/>
      <c r="DOT293" s="268"/>
      <c r="DOU293" s="306"/>
      <c r="DOV293" s="268"/>
      <c r="DOW293" s="306"/>
      <c r="DOX293" s="485"/>
      <c r="DOY293" s="306"/>
      <c r="DOZ293" s="486"/>
      <c r="DPA293" s="487"/>
      <c r="DPB293" s="488"/>
      <c r="DPC293" s="489"/>
      <c r="DPD293" s="488"/>
      <c r="DPE293" s="468"/>
      <c r="DPF293" s="469"/>
      <c r="DPG293" s="470"/>
      <c r="DPH293" s="470"/>
      <c r="DPI293" s="306"/>
      <c r="DPJ293" s="317"/>
      <c r="DPK293" s="471"/>
      <c r="DPL293" s="472"/>
      <c r="DPM293" s="471"/>
      <c r="DPN293" s="473"/>
      <c r="DPO293" s="474"/>
      <c r="DPP293" s="475"/>
      <c r="DPQ293" s="476"/>
      <c r="DPR293" s="477"/>
      <c r="DPS293" s="475"/>
      <c r="DPT293" s="478"/>
      <c r="DPU293" s="479"/>
      <c r="DPV293" s="480"/>
      <c r="DPW293" s="481"/>
      <c r="DPX293" s="481"/>
      <c r="DPY293" s="482"/>
      <c r="DPZ293" s="189"/>
      <c r="DQA293" s="189"/>
      <c r="DQB293" s="483"/>
      <c r="DQC293" s="306"/>
      <c r="DQD293" s="484"/>
      <c r="DQE293" s="306"/>
      <c r="DQF293" s="267"/>
      <c r="DQG293" s="268"/>
      <c r="DQH293" s="306"/>
      <c r="DQI293" s="268"/>
      <c r="DQJ293" s="306"/>
      <c r="DQK293" s="485"/>
      <c r="DQL293" s="306"/>
      <c r="DQM293" s="486"/>
      <c r="DQN293" s="487"/>
      <c r="DQO293" s="488"/>
      <c r="DQP293" s="489"/>
      <c r="DQQ293" s="488"/>
      <c r="DQR293" s="468"/>
      <c r="DQS293" s="469"/>
      <c r="DQT293" s="470"/>
      <c r="DQU293" s="470"/>
      <c r="DQV293" s="306"/>
      <c r="DQW293" s="317"/>
      <c r="DQX293" s="471"/>
      <c r="DQY293" s="472"/>
      <c r="DQZ293" s="471"/>
      <c r="DRA293" s="473"/>
      <c r="DRB293" s="474"/>
      <c r="DRC293" s="475"/>
      <c r="DRD293" s="476"/>
      <c r="DRE293" s="477"/>
      <c r="DRF293" s="475"/>
      <c r="DRG293" s="478"/>
      <c r="DRH293" s="479"/>
      <c r="DRI293" s="480"/>
      <c r="DRJ293" s="481"/>
      <c r="DRK293" s="481"/>
      <c r="DRL293" s="482"/>
      <c r="DRM293" s="189"/>
      <c r="DRN293" s="189"/>
      <c r="DRO293" s="483"/>
      <c r="DRP293" s="306"/>
      <c r="DRQ293" s="484"/>
      <c r="DRR293" s="306"/>
      <c r="DRS293" s="267"/>
      <c r="DRT293" s="268"/>
      <c r="DRU293" s="306"/>
      <c r="DRV293" s="268"/>
      <c r="DRW293" s="306"/>
      <c r="DRX293" s="485"/>
      <c r="DRY293" s="306"/>
      <c r="DRZ293" s="486"/>
      <c r="DSA293" s="487"/>
      <c r="DSB293" s="488"/>
      <c r="DSC293" s="489"/>
      <c r="DSD293" s="488"/>
      <c r="DSE293" s="468"/>
      <c r="DSF293" s="469"/>
      <c r="DSG293" s="470"/>
      <c r="DSH293" s="470"/>
      <c r="DSI293" s="306"/>
      <c r="DSJ293" s="317"/>
      <c r="DSK293" s="471"/>
      <c r="DSL293" s="472"/>
      <c r="DSM293" s="471"/>
      <c r="DSN293" s="473"/>
      <c r="DSO293" s="474"/>
      <c r="DSP293" s="475"/>
      <c r="DSQ293" s="476"/>
      <c r="DSR293" s="477"/>
      <c r="DSS293" s="475"/>
      <c r="DST293" s="478"/>
      <c r="DSU293" s="479"/>
      <c r="DSV293" s="480"/>
      <c r="DSW293" s="481"/>
      <c r="DSX293" s="481"/>
      <c r="DSY293" s="482"/>
      <c r="DSZ293" s="189"/>
      <c r="DTA293" s="189"/>
      <c r="DTB293" s="483"/>
      <c r="DTC293" s="306"/>
      <c r="DTD293" s="484"/>
      <c r="DTE293" s="306"/>
      <c r="DTF293" s="267"/>
      <c r="DTG293" s="268"/>
      <c r="DTH293" s="306"/>
      <c r="DTI293" s="268"/>
      <c r="DTJ293" s="306"/>
      <c r="DTK293" s="485"/>
      <c r="DTL293" s="306"/>
      <c r="DTM293" s="486"/>
      <c r="DTN293" s="487"/>
      <c r="DTO293" s="488"/>
      <c r="DTP293" s="489"/>
      <c r="DTQ293" s="488"/>
      <c r="DTR293" s="468"/>
      <c r="DTS293" s="469"/>
      <c r="DTT293" s="470"/>
      <c r="DTU293" s="470"/>
      <c r="DTV293" s="306"/>
      <c r="DTW293" s="317"/>
      <c r="DTX293" s="471"/>
      <c r="DTY293" s="472"/>
      <c r="DTZ293" s="471"/>
      <c r="DUA293" s="473"/>
      <c r="DUB293" s="474"/>
      <c r="DUC293" s="475"/>
      <c r="DUD293" s="476"/>
      <c r="DUE293" s="477"/>
      <c r="DUF293" s="475"/>
      <c r="DUG293" s="478"/>
      <c r="DUH293" s="479"/>
      <c r="DUI293" s="480"/>
      <c r="DUJ293" s="481"/>
      <c r="DUK293" s="481"/>
      <c r="DUL293" s="482"/>
      <c r="DUM293" s="189"/>
      <c r="DUN293" s="189"/>
      <c r="DUO293" s="483"/>
      <c r="DUP293" s="306"/>
      <c r="DUQ293" s="484"/>
      <c r="DUR293" s="306"/>
      <c r="DUS293" s="267"/>
      <c r="DUT293" s="268"/>
      <c r="DUU293" s="306"/>
      <c r="DUV293" s="268"/>
      <c r="DUW293" s="306"/>
      <c r="DUX293" s="485"/>
      <c r="DUY293" s="306"/>
      <c r="DUZ293" s="486"/>
      <c r="DVA293" s="487"/>
      <c r="DVB293" s="488"/>
      <c r="DVC293" s="489"/>
      <c r="DVD293" s="488"/>
      <c r="DVE293" s="468"/>
      <c r="DVF293" s="469"/>
      <c r="DVG293" s="470"/>
      <c r="DVH293" s="470"/>
      <c r="DVI293" s="306"/>
      <c r="DVJ293" s="317"/>
      <c r="DVK293" s="471"/>
      <c r="DVL293" s="472"/>
      <c r="DVM293" s="471"/>
      <c r="DVN293" s="473"/>
      <c r="DVO293" s="474"/>
      <c r="DVP293" s="475"/>
      <c r="DVQ293" s="476"/>
      <c r="DVR293" s="477"/>
      <c r="DVS293" s="475"/>
      <c r="DVT293" s="478"/>
      <c r="DVU293" s="479"/>
      <c r="DVV293" s="480"/>
      <c r="DVW293" s="481"/>
      <c r="DVX293" s="481"/>
      <c r="DVY293" s="482"/>
      <c r="DVZ293" s="189"/>
      <c r="DWA293" s="189"/>
      <c r="DWB293" s="483"/>
      <c r="DWC293" s="306"/>
      <c r="DWD293" s="484"/>
      <c r="DWE293" s="306"/>
      <c r="DWF293" s="267"/>
      <c r="DWG293" s="268"/>
      <c r="DWH293" s="306"/>
      <c r="DWI293" s="268"/>
      <c r="DWJ293" s="306"/>
      <c r="DWK293" s="485"/>
      <c r="DWL293" s="306"/>
      <c r="DWM293" s="486"/>
      <c r="DWN293" s="487"/>
      <c r="DWO293" s="488"/>
      <c r="DWP293" s="489"/>
      <c r="DWQ293" s="488"/>
      <c r="DWR293" s="468"/>
      <c r="DWS293" s="469"/>
      <c r="DWT293" s="470"/>
      <c r="DWU293" s="470"/>
      <c r="DWV293" s="306"/>
      <c r="DWW293" s="317"/>
      <c r="DWX293" s="471"/>
      <c r="DWY293" s="472"/>
      <c r="DWZ293" s="471"/>
      <c r="DXA293" s="473"/>
      <c r="DXB293" s="474"/>
      <c r="DXC293" s="475"/>
      <c r="DXD293" s="476"/>
      <c r="DXE293" s="477"/>
      <c r="DXF293" s="475"/>
      <c r="DXG293" s="478"/>
      <c r="DXH293" s="479"/>
      <c r="DXI293" s="480"/>
      <c r="DXJ293" s="481"/>
      <c r="DXK293" s="481"/>
      <c r="DXL293" s="482"/>
      <c r="DXM293" s="189"/>
      <c r="DXN293" s="189"/>
      <c r="DXO293" s="483"/>
      <c r="DXP293" s="306"/>
      <c r="DXQ293" s="484"/>
      <c r="DXR293" s="306"/>
      <c r="DXS293" s="267"/>
      <c r="DXT293" s="268"/>
      <c r="DXU293" s="306"/>
      <c r="DXV293" s="268"/>
      <c r="DXW293" s="306"/>
      <c r="DXX293" s="485"/>
      <c r="DXY293" s="306"/>
      <c r="DXZ293" s="486"/>
      <c r="DYA293" s="487"/>
      <c r="DYB293" s="488"/>
      <c r="DYC293" s="489"/>
      <c r="DYD293" s="488"/>
      <c r="DYE293" s="468"/>
      <c r="DYF293" s="469"/>
      <c r="DYG293" s="470"/>
      <c r="DYH293" s="470"/>
      <c r="DYI293" s="306"/>
      <c r="DYJ293" s="317"/>
      <c r="DYK293" s="471"/>
      <c r="DYL293" s="472"/>
      <c r="DYM293" s="471"/>
      <c r="DYN293" s="473"/>
      <c r="DYO293" s="474"/>
      <c r="DYP293" s="475"/>
      <c r="DYQ293" s="476"/>
      <c r="DYR293" s="477"/>
      <c r="DYS293" s="475"/>
      <c r="DYT293" s="478"/>
      <c r="DYU293" s="479"/>
      <c r="DYV293" s="480"/>
      <c r="DYW293" s="481"/>
      <c r="DYX293" s="481"/>
      <c r="DYY293" s="482"/>
      <c r="DYZ293" s="189"/>
      <c r="DZA293" s="189"/>
      <c r="DZB293" s="483"/>
      <c r="DZC293" s="306"/>
      <c r="DZD293" s="484"/>
      <c r="DZE293" s="306"/>
      <c r="DZF293" s="267"/>
      <c r="DZG293" s="268"/>
      <c r="DZH293" s="306"/>
      <c r="DZI293" s="268"/>
      <c r="DZJ293" s="306"/>
      <c r="DZK293" s="485"/>
      <c r="DZL293" s="306"/>
      <c r="DZM293" s="486"/>
      <c r="DZN293" s="487"/>
      <c r="DZO293" s="488"/>
      <c r="DZP293" s="489"/>
      <c r="DZQ293" s="488"/>
      <c r="DZR293" s="468"/>
      <c r="DZS293" s="469"/>
      <c r="DZT293" s="470"/>
      <c r="DZU293" s="470"/>
      <c r="DZV293" s="306"/>
      <c r="DZW293" s="317"/>
      <c r="DZX293" s="471"/>
      <c r="DZY293" s="472"/>
      <c r="DZZ293" s="471"/>
      <c r="EAA293" s="473"/>
      <c r="EAB293" s="474"/>
      <c r="EAC293" s="475"/>
      <c r="EAD293" s="476"/>
      <c r="EAE293" s="477"/>
      <c r="EAF293" s="475"/>
      <c r="EAG293" s="478"/>
      <c r="EAH293" s="479"/>
      <c r="EAI293" s="480"/>
      <c r="EAJ293" s="481"/>
      <c r="EAK293" s="481"/>
      <c r="EAL293" s="482"/>
      <c r="EAM293" s="189"/>
      <c r="EAN293" s="189"/>
      <c r="EAO293" s="483"/>
      <c r="EAP293" s="306"/>
      <c r="EAQ293" s="484"/>
      <c r="EAR293" s="306"/>
      <c r="EAS293" s="267"/>
      <c r="EAT293" s="268"/>
      <c r="EAU293" s="306"/>
      <c r="EAV293" s="268"/>
      <c r="EAW293" s="306"/>
      <c r="EAX293" s="485"/>
      <c r="EAY293" s="306"/>
      <c r="EAZ293" s="486"/>
      <c r="EBA293" s="487"/>
      <c r="EBB293" s="488"/>
      <c r="EBC293" s="489"/>
      <c r="EBD293" s="488"/>
      <c r="EBE293" s="468"/>
      <c r="EBF293" s="469"/>
      <c r="EBG293" s="470"/>
      <c r="EBH293" s="470"/>
      <c r="EBI293" s="306"/>
      <c r="EBJ293" s="317"/>
      <c r="EBK293" s="471"/>
      <c r="EBL293" s="472"/>
      <c r="EBM293" s="471"/>
      <c r="EBN293" s="473"/>
      <c r="EBO293" s="474"/>
      <c r="EBP293" s="475"/>
      <c r="EBQ293" s="476"/>
      <c r="EBR293" s="477"/>
      <c r="EBS293" s="475"/>
      <c r="EBT293" s="478"/>
      <c r="EBU293" s="479"/>
      <c r="EBV293" s="480"/>
      <c r="EBW293" s="481"/>
      <c r="EBX293" s="481"/>
      <c r="EBY293" s="482"/>
      <c r="EBZ293" s="189"/>
      <c r="ECA293" s="189"/>
      <c r="ECB293" s="483"/>
      <c r="ECC293" s="306"/>
      <c r="ECD293" s="484"/>
      <c r="ECE293" s="306"/>
      <c r="ECF293" s="267"/>
      <c r="ECG293" s="268"/>
      <c r="ECH293" s="306"/>
      <c r="ECI293" s="268"/>
      <c r="ECJ293" s="306"/>
      <c r="ECK293" s="485"/>
      <c r="ECL293" s="306"/>
      <c r="ECM293" s="486"/>
      <c r="ECN293" s="487"/>
      <c r="ECO293" s="488"/>
      <c r="ECP293" s="489"/>
      <c r="ECQ293" s="488"/>
      <c r="ECR293" s="468"/>
      <c r="ECS293" s="469"/>
      <c r="ECT293" s="470"/>
      <c r="ECU293" s="470"/>
      <c r="ECV293" s="306"/>
      <c r="ECW293" s="317"/>
      <c r="ECX293" s="471"/>
      <c r="ECY293" s="472"/>
      <c r="ECZ293" s="471"/>
      <c r="EDA293" s="473"/>
      <c r="EDB293" s="474"/>
      <c r="EDC293" s="475"/>
      <c r="EDD293" s="476"/>
      <c r="EDE293" s="477"/>
      <c r="EDF293" s="475"/>
      <c r="EDG293" s="478"/>
      <c r="EDH293" s="479"/>
      <c r="EDI293" s="480"/>
      <c r="EDJ293" s="481"/>
      <c r="EDK293" s="481"/>
      <c r="EDL293" s="482"/>
      <c r="EDM293" s="189"/>
      <c r="EDN293" s="189"/>
      <c r="EDO293" s="483"/>
      <c r="EDP293" s="306"/>
      <c r="EDQ293" s="484"/>
      <c r="EDR293" s="306"/>
      <c r="EDS293" s="267"/>
      <c r="EDT293" s="268"/>
      <c r="EDU293" s="306"/>
      <c r="EDV293" s="268"/>
      <c r="EDW293" s="306"/>
      <c r="EDX293" s="485"/>
      <c r="EDY293" s="306"/>
      <c r="EDZ293" s="486"/>
      <c r="EEA293" s="487"/>
      <c r="EEB293" s="488"/>
      <c r="EEC293" s="489"/>
      <c r="EED293" s="488"/>
      <c r="EEE293" s="468"/>
      <c r="EEF293" s="469"/>
      <c r="EEG293" s="470"/>
      <c r="EEH293" s="470"/>
      <c r="EEI293" s="306"/>
      <c r="EEJ293" s="317"/>
      <c r="EEK293" s="471"/>
      <c r="EEL293" s="472"/>
      <c r="EEM293" s="471"/>
      <c r="EEN293" s="473"/>
      <c r="EEO293" s="474"/>
      <c r="EEP293" s="475"/>
      <c r="EEQ293" s="476"/>
      <c r="EER293" s="477"/>
      <c r="EES293" s="475"/>
      <c r="EET293" s="478"/>
      <c r="EEU293" s="479"/>
      <c r="EEV293" s="480"/>
      <c r="EEW293" s="481"/>
      <c r="EEX293" s="481"/>
      <c r="EEY293" s="482"/>
      <c r="EEZ293" s="189"/>
      <c r="EFA293" s="189"/>
      <c r="EFB293" s="483"/>
      <c r="EFC293" s="306"/>
      <c r="EFD293" s="484"/>
      <c r="EFE293" s="306"/>
      <c r="EFF293" s="267"/>
      <c r="EFG293" s="268"/>
      <c r="EFH293" s="306"/>
      <c r="EFI293" s="268"/>
      <c r="EFJ293" s="306"/>
      <c r="EFK293" s="485"/>
      <c r="EFL293" s="306"/>
      <c r="EFM293" s="486"/>
      <c r="EFN293" s="487"/>
      <c r="EFO293" s="488"/>
      <c r="EFP293" s="489"/>
      <c r="EFQ293" s="488"/>
      <c r="EFR293" s="468"/>
      <c r="EFS293" s="469"/>
      <c r="EFT293" s="470"/>
      <c r="EFU293" s="470"/>
      <c r="EFV293" s="306"/>
      <c r="EFW293" s="317"/>
      <c r="EFX293" s="471"/>
      <c r="EFY293" s="472"/>
      <c r="EFZ293" s="471"/>
      <c r="EGA293" s="473"/>
      <c r="EGB293" s="474"/>
      <c r="EGC293" s="475"/>
      <c r="EGD293" s="476"/>
      <c r="EGE293" s="477"/>
      <c r="EGF293" s="475"/>
      <c r="EGG293" s="478"/>
      <c r="EGH293" s="479"/>
      <c r="EGI293" s="480"/>
      <c r="EGJ293" s="481"/>
      <c r="EGK293" s="481"/>
      <c r="EGL293" s="482"/>
      <c r="EGM293" s="189"/>
      <c r="EGN293" s="189"/>
      <c r="EGO293" s="483"/>
      <c r="EGP293" s="306"/>
      <c r="EGQ293" s="484"/>
      <c r="EGR293" s="306"/>
      <c r="EGS293" s="267"/>
      <c r="EGT293" s="268"/>
      <c r="EGU293" s="306"/>
      <c r="EGV293" s="268"/>
      <c r="EGW293" s="306"/>
      <c r="EGX293" s="485"/>
      <c r="EGY293" s="306"/>
      <c r="EGZ293" s="486"/>
      <c r="EHA293" s="487"/>
      <c r="EHB293" s="488"/>
      <c r="EHC293" s="489"/>
      <c r="EHD293" s="488"/>
      <c r="EHE293" s="468"/>
      <c r="EHF293" s="469"/>
      <c r="EHG293" s="470"/>
      <c r="EHH293" s="470"/>
      <c r="EHI293" s="306"/>
      <c r="EHJ293" s="317"/>
      <c r="EHK293" s="471"/>
      <c r="EHL293" s="472"/>
      <c r="EHM293" s="471"/>
      <c r="EHN293" s="473"/>
      <c r="EHO293" s="474"/>
      <c r="EHP293" s="475"/>
      <c r="EHQ293" s="476"/>
      <c r="EHR293" s="477"/>
      <c r="EHS293" s="475"/>
      <c r="EHT293" s="478"/>
      <c r="EHU293" s="479"/>
      <c r="EHV293" s="480"/>
      <c r="EHW293" s="481"/>
      <c r="EHX293" s="481"/>
      <c r="EHY293" s="482"/>
      <c r="EHZ293" s="189"/>
      <c r="EIA293" s="189"/>
      <c r="EIB293" s="483"/>
      <c r="EIC293" s="306"/>
      <c r="EID293" s="484"/>
      <c r="EIE293" s="306"/>
      <c r="EIF293" s="267"/>
      <c r="EIG293" s="268"/>
      <c r="EIH293" s="306"/>
      <c r="EII293" s="268"/>
      <c r="EIJ293" s="306"/>
      <c r="EIK293" s="485"/>
      <c r="EIL293" s="306"/>
      <c r="EIM293" s="486"/>
      <c r="EIN293" s="487"/>
      <c r="EIO293" s="488"/>
      <c r="EIP293" s="489"/>
      <c r="EIQ293" s="488"/>
      <c r="EIR293" s="468"/>
      <c r="EIS293" s="469"/>
      <c r="EIT293" s="470"/>
      <c r="EIU293" s="470"/>
      <c r="EIV293" s="306"/>
      <c r="EIW293" s="317"/>
      <c r="EIX293" s="471"/>
      <c r="EIY293" s="472"/>
      <c r="EIZ293" s="471"/>
      <c r="EJA293" s="473"/>
      <c r="EJB293" s="474"/>
      <c r="EJC293" s="475"/>
      <c r="EJD293" s="476"/>
      <c r="EJE293" s="477"/>
      <c r="EJF293" s="475"/>
      <c r="EJG293" s="478"/>
      <c r="EJH293" s="479"/>
      <c r="EJI293" s="480"/>
      <c r="EJJ293" s="481"/>
      <c r="EJK293" s="481"/>
      <c r="EJL293" s="482"/>
      <c r="EJM293" s="189"/>
      <c r="EJN293" s="189"/>
      <c r="EJO293" s="483"/>
      <c r="EJP293" s="306"/>
      <c r="EJQ293" s="484"/>
      <c r="EJR293" s="306"/>
      <c r="EJS293" s="267"/>
      <c r="EJT293" s="268"/>
      <c r="EJU293" s="306"/>
      <c r="EJV293" s="268"/>
      <c r="EJW293" s="306"/>
      <c r="EJX293" s="485"/>
      <c r="EJY293" s="306"/>
      <c r="EJZ293" s="486"/>
      <c r="EKA293" s="487"/>
      <c r="EKB293" s="488"/>
      <c r="EKC293" s="489"/>
      <c r="EKD293" s="488"/>
      <c r="EKE293" s="468"/>
      <c r="EKF293" s="469"/>
      <c r="EKG293" s="470"/>
      <c r="EKH293" s="470"/>
      <c r="EKI293" s="306"/>
      <c r="EKJ293" s="317"/>
      <c r="EKK293" s="471"/>
      <c r="EKL293" s="472"/>
      <c r="EKM293" s="471"/>
      <c r="EKN293" s="473"/>
      <c r="EKO293" s="474"/>
      <c r="EKP293" s="475"/>
      <c r="EKQ293" s="476"/>
      <c r="EKR293" s="477"/>
      <c r="EKS293" s="475"/>
      <c r="EKT293" s="478"/>
      <c r="EKU293" s="479"/>
      <c r="EKV293" s="480"/>
      <c r="EKW293" s="481"/>
      <c r="EKX293" s="481"/>
      <c r="EKY293" s="482"/>
      <c r="EKZ293" s="189"/>
      <c r="ELA293" s="189"/>
      <c r="ELB293" s="483"/>
      <c r="ELC293" s="306"/>
      <c r="ELD293" s="484"/>
      <c r="ELE293" s="306"/>
      <c r="ELF293" s="267"/>
      <c r="ELG293" s="268"/>
      <c r="ELH293" s="306"/>
      <c r="ELI293" s="268"/>
      <c r="ELJ293" s="306"/>
      <c r="ELK293" s="485"/>
      <c r="ELL293" s="306"/>
      <c r="ELM293" s="486"/>
      <c r="ELN293" s="487"/>
      <c r="ELO293" s="488"/>
      <c r="ELP293" s="489"/>
      <c r="ELQ293" s="488"/>
      <c r="ELR293" s="468"/>
      <c r="ELS293" s="469"/>
      <c r="ELT293" s="470"/>
      <c r="ELU293" s="470"/>
      <c r="ELV293" s="306"/>
      <c r="ELW293" s="317"/>
      <c r="ELX293" s="471"/>
      <c r="ELY293" s="472"/>
      <c r="ELZ293" s="471"/>
      <c r="EMA293" s="473"/>
      <c r="EMB293" s="474"/>
      <c r="EMC293" s="475"/>
      <c r="EMD293" s="476"/>
      <c r="EME293" s="477"/>
      <c r="EMF293" s="475"/>
      <c r="EMG293" s="478"/>
      <c r="EMH293" s="479"/>
      <c r="EMI293" s="480"/>
      <c r="EMJ293" s="481"/>
      <c r="EMK293" s="481"/>
      <c r="EML293" s="482"/>
      <c r="EMM293" s="189"/>
      <c r="EMN293" s="189"/>
      <c r="EMO293" s="483"/>
      <c r="EMP293" s="306"/>
      <c r="EMQ293" s="484"/>
      <c r="EMR293" s="306"/>
      <c r="EMS293" s="267"/>
      <c r="EMT293" s="268"/>
      <c r="EMU293" s="306"/>
      <c r="EMV293" s="268"/>
      <c r="EMW293" s="306"/>
      <c r="EMX293" s="485"/>
      <c r="EMY293" s="306"/>
      <c r="EMZ293" s="486"/>
      <c r="ENA293" s="487"/>
      <c r="ENB293" s="488"/>
      <c r="ENC293" s="489"/>
      <c r="END293" s="488"/>
      <c r="ENE293" s="468"/>
      <c r="ENF293" s="469"/>
      <c r="ENG293" s="470"/>
      <c r="ENH293" s="470"/>
      <c r="ENI293" s="306"/>
      <c r="ENJ293" s="317"/>
      <c r="ENK293" s="471"/>
      <c r="ENL293" s="472"/>
      <c r="ENM293" s="471"/>
      <c r="ENN293" s="473"/>
      <c r="ENO293" s="474"/>
      <c r="ENP293" s="475"/>
      <c r="ENQ293" s="476"/>
      <c r="ENR293" s="477"/>
      <c r="ENS293" s="475"/>
      <c r="ENT293" s="478"/>
      <c r="ENU293" s="479"/>
      <c r="ENV293" s="480"/>
      <c r="ENW293" s="481"/>
      <c r="ENX293" s="481"/>
      <c r="ENY293" s="482"/>
      <c r="ENZ293" s="189"/>
      <c r="EOA293" s="189"/>
      <c r="EOB293" s="483"/>
      <c r="EOC293" s="306"/>
      <c r="EOD293" s="484"/>
      <c r="EOE293" s="306"/>
      <c r="EOF293" s="267"/>
      <c r="EOG293" s="268"/>
      <c r="EOH293" s="306"/>
      <c r="EOI293" s="268"/>
      <c r="EOJ293" s="306"/>
      <c r="EOK293" s="485"/>
      <c r="EOL293" s="306"/>
      <c r="EOM293" s="486"/>
      <c r="EON293" s="487"/>
      <c r="EOO293" s="488"/>
      <c r="EOP293" s="489"/>
      <c r="EOQ293" s="488"/>
      <c r="EOR293" s="468"/>
      <c r="EOS293" s="469"/>
      <c r="EOT293" s="470"/>
      <c r="EOU293" s="470"/>
      <c r="EOV293" s="306"/>
      <c r="EOW293" s="317"/>
      <c r="EOX293" s="471"/>
      <c r="EOY293" s="472"/>
      <c r="EOZ293" s="471"/>
      <c r="EPA293" s="473"/>
      <c r="EPB293" s="474"/>
      <c r="EPC293" s="475"/>
      <c r="EPD293" s="476"/>
      <c r="EPE293" s="477"/>
      <c r="EPF293" s="475"/>
      <c r="EPG293" s="478"/>
      <c r="EPH293" s="479"/>
      <c r="EPI293" s="480"/>
      <c r="EPJ293" s="481"/>
      <c r="EPK293" s="481"/>
      <c r="EPL293" s="482"/>
      <c r="EPM293" s="189"/>
      <c r="EPN293" s="189"/>
      <c r="EPO293" s="483"/>
      <c r="EPP293" s="306"/>
      <c r="EPQ293" s="484"/>
      <c r="EPR293" s="306"/>
      <c r="EPS293" s="267"/>
      <c r="EPT293" s="268"/>
      <c r="EPU293" s="306"/>
      <c r="EPV293" s="268"/>
      <c r="EPW293" s="306"/>
      <c r="EPX293" s="485"/>
      <c r="EPY293" s="306"/>
      <c r="EPZ293" s="486"/>
      <c r="EQA293" s="487"/>
      <c r="EQB293" s="488"/>
      <c r="EQC293" s="489"/>
      <c r="EQD293" s="488"/>
      <c r="EQE293" s="468"/>
      <c r="EQF293" s="469"/>
      <c r="EQG293" s="470"/>
      <c r="EQH293" s="470"/>
      <c r="EQI293" s="306"/>
      <c r="EQJ293" s="317"/>
      <c r="EQK293" s="471"/>
      <c r="EQL293" s="472"/>
      <c r="EQM293" s="471"/>
      <c r="EQN293" s="473"/>
      <c r="EQO293" s="474"/>
      <c r="EQP293" s="475"/>
      <c r="EQQ293" s="476"/>
      <c r="EQR293" s="477"/>
      <c r="EQS293" s="475"/>
      <c r="EQT293" s="478"/>
      <c r="EQU293" s="479"/>
      <c r="EQV293" s="480"/>
      <c r="EQW293" s="481"/>
      <c r="EQX293" s="481"/>
      <c r="EQY293" s="482"/>
      <c r="EQZ293" s="189"/>
      <c r="ERA293" s="189"/>
      <c r="ERB293" s="483"/>
      <c r="ERC293" s="306"/>
      <c r="ERD293" s="484"/>
      <c r="ERE293" s="306"/>
      <c r="ERF293" s="267"/>
      <c r="ERG293" s="268"/>
      <c r="ERH293" s="306"/>
      <c r="ERI293" s="268"/>
      <c r="ERJ293" s="306"/>
      <c r="ERK293" s="485"/>
      <c r="ERL293" s="306"/>
      <c r="ERM293" s="486"/>
      <c r="ERN293" s="487"/>
      <c r="ERO293" s="488"/>
      <c r="ERP293" s="489"/>
      <c r="ERQ293" s="488"/>
      <c r="ERR293" s="468"/>
      <c r="ERS293" s="469"/>
      <c r="ERT293" s="470"/>
      <c r="ERU293" s="470"/>
      <c r="ERV293" s="306"/>
      <c r="ERW293" s="317"/>
      <c r="ERX293" s="471"/>
      <c r="ERY293" s="472"/>
      <c r="ERZ293" s="471"/>
      <c r="ESA293" s="473"/>
      <c r="ESB293" s="474"/>
      <c r="ESC293" s="475"/>
      <c r="ESD293" s="476"/>
      <c r="ESE293" s="477"/>
      <c r="ESF293" s="475"/>
      <c r="ESG293" s="478"/>
      <c r="ESH293" s="479"/>
      <c r="ESI293" s="480"/>
      <c r="ESJ293" s="481"/>
      <c r="ESK293" s="481"/>
      <c r="ESL293" s="482"/>
      <c r="ESM293" s="189"/>
      <c r="ESN293" s="189"/>
      <c r="ESO293" s="483"/>
      <c r="ESP293" s="306"/>
      <c r="ESQ293" s="484"/>
      <c r="ESR293" s="306"/>
      <c r="ESS293" s="267"/>
      <c r="EST293" s="268"/>
      <c r="ESU293" s="306"/>
      <c r="ESV293" s="268"/>
      <c r="ESW293" s="306"/>
      <c r="ESX293" s="485"/>
      <c r="ESY293" s="306"/>
      <c r="ESZ293" s="486"/>
      <c r="ETA293" s="487"/>
      <c r="ETB293" s="488"/>
      <c r="ETC293" s="489"/>
      <c r="ETD293" s="488"/>
      <c r="ETE293" s="468"/>
      <c r="ETF293" s="469"/>
      <c r="ETG293" s="470"/>
      <c r="ETH293" s="470"/>
      <c r="ETI293" s="306"/>
      <c r="ETJ293" s="317"/>
      <c r="ETK293" s="471"/>
      <c r="ETL293" s="472"/>
      <c r="ETM293" s="471"/>
      <c r="ETN293" s="473"/>
      <c r="ETO293" s="474"/>
      <c r="ETP293" s="475"/>
      <c r="ETQ293" s="476"/>
      <c r="ETR293" s="477"/>
      <c r="ETS293" s="475"/>
      <c r="ETT293" s="478"/>
      <c r="ETU293" s="479"/>
      <c r="ETV293" s="480"/>
      <c r="ETW293" s="481"/>
      <c r="ETX293" s="481"/>
      <c r="ETY293" s="482"/>
      <c r="ETZ293" s="189"/>
      <c r="EUA293" s="189"/>
      <c r="EUB293" s="483"/>
      <c r="EUC293" s="306"/>
      <c r="EUD293" s="484"/>
      <c r="EUE293" s="306"/>
      <c r="EUF293" s="267"/>
      <c r="EUG293" s="268"/>
      <c r="EUH293" s="306"/>
      <c r="EUI293" s="268"/>
      <c r="EUJ293" s="306"/>
      <c r="EUK293" s="485"/>
      <c r="EUL293" s="306"/>
      <c r="EUM293" s="486"/>
      <c r="EUN293" s="487"/>
      <c r="EUO293" s="488"/>
      <c r="EUP293" s="489"/>
      <c r="EUQ293" s="488"/>
      <c r="EUR293" s="468"/>
      <c r="EUS293" s="469"/>
      <c r="EUT293" s="470"/>
      <c r="EUU293" s="470"/>
      <c r="EUV293" s="306"/>
      <c r="EUW293" s="317"/>
      <c r="EUX293" s="471"/>
      <c r="EUY293" s="472"/>
      <c r="EUZ293" s="471"/>
      <c r="EVA293" s="473"/>
      <c r="EVB293" s="474"/>
      <c r="EVC293" s="475"/>
      <c r="EVD293" s="476"/>
      <c r="EVE293" s="477"/>
      <c r="EVF293" s="475"/>
      <c r="EVG293" s="478"/>
      <c r="EVH293" s="479"/>
      <c r="EVI293" s="480"/>
      <c r="EVJ293" s="481"/>
      <c r="EVK293" s="481"/>
      <c r="EVL293" s="482"/>
      <c r="EVM293" s="189"/>
      <c r="EVN293" s="189"/>
      <c r="EVO293" s="483"/>
      <c r="EVP293" s="306"/>
      <c r="EVQ293" s="484"/>
      <c r="EVR293" s="306"/>
      <c r="EVS293" s="267"/>
      <c r="EVT293" s="268"/>
      <c r="EVU293" s="306"/>
      <c r="EVV293" s="268"/>
      <c r="EVW293" s="306"/>
      <c r="EVX293" s="485"/>
      <c r="EVY293" s="306"/>
      <c r="EVZ293" s="486"/>
      <c r="EWA293" s="487"/>
      <c r="EWB293" s="488"/>
      <c r="EWC293" s="489"/>
      <c r="EWD293" s="488"/>
      <c r="EWE293" s="468"/>
      <c r="EWF293" s="469"/>
      <c r="EWG293" s="470"/>
      <c r="EWH293" s="470"/>
      <c r="EWI293" s="306"/>
      <c r="EWJ293" s="317"/>
      <c r="EWK293" s="471"/>
      <c r="EWL293" s="472"/>
      <c r="EWM293" s="471"/>
      <c r="EWN293" s="473"/>
      <c r="EWO293" s="474"/>
      <c r="EWP293" s="475"/>
      <c r="EWQ293" s="476"/>
      <c r="EWR293" s="477"/>
      <c r="EWS293" s="475"/>
      <c r="EWT293" s="478"/>
      <c r="EWU293" s="479"/>
      <c r="EWV293" s="480"/>
      <c r="EWW293" s="481"/>
      <c r="EWX293" s="481"/>
      <c r="EWY293" s="482"/>
      <c r="EWZ293" s="189"/>
      <c r="EXA293" s="189"/>
      <c r="EXB293" s="483"/>
      <c r="EXC293" s="306"/>
      <c r="EXD293" s="484"/>
      <c r="EXE293" s="306"/>
      <c r="EXF293" s="267"/>
      <c r="EXG293" s="268"/>
      <c r="EXH293" s="306"/>
      <c r="EXI293" s="268"/>
      <c r="EXJ293" s="306"/>
      <c r="EXK293" s="485"/>
      <c r="EXL293" s="306"/>
      <c r="EXM293" s="486"/>
      <c r="EXN293" s="487"/>
      <c r="EXO293" s="488"/>
      <c r="EXP293" s="489"/>
      <c r="EXQ293" s="488"/>
      <c r="EXR293" s="468"/>
      <c r="EXS293" s="469"/>
      <c r="EXT293" s="470"/>
      <c r="EXU293" s="470"/>
      <c r="EXV293" s="306"/>
      <c r="EXW293" s="317"/>
      <c r="EXX293" s="471"/>
      <c r="EXY293" s="472"/>
      <c r="EXZ293" s="471"/>
      <c r="EYA293" s="473"/>
      <c r="EYB293" s="474"/>
      <c r="EYC293" s="475"/>
      <c r="EYD293" s="476"/>
      <c r="EYE293" s="477"/>
      <c r="EYF293" s="475"/>
      <c r="EYG293" s="478"/>
      <c r="EYH293" s="479"/>
      <c r="EYI293" s="480"/>
      <c r="EYJ293" s="481"/>
      <c r="EYK293" s="481"/>
      <c r="EYL293" s="482"/>
      <c r="EYM293" s="189"/>
      <c r="EYN293" s="189"/>
      <c r="EYO293" s="483"/>
      <c r="EYP293" s="306"/>
      <c r="EYQ293" s="484"/>
      <c r="EYR293" s="306"/>
      <c r="EYS293" s="267"/>
      <c r="EYT293" s="268"/>
      <c r="EYU293" s="306"/>
      <c r="EYV293" s="268"/>
      <c r="EYW293" s="306"/>
      <c r="EYX293" s="485"/>
      <c r="EYY293" s="306"/>
      <c r="EYZ293" s="486"/>
      <c r="EZA293" s="487"/>
      <c r="EZB293" s="488"/>
      <c r="EZC293" s="489"/>
      <c r="EZD293" s="488"/>
      <c r="EZE293" s="468"/>
      <c r="EZF293" s="469"/>
      <c r="EZG293" s="470"/>
      <c r="EZH293" s="470"/>
      <c r="EZI293" s="306"/>
      <c r="EZJ293" s="317"/>
      <c r="EZK293" s="471"/>
      <c r="EZL293" s="472"/>
      <c r="EZM293" s="471"/>
      <c r="EZN293" s="473"/>
      <c r="EZO293" s="474"/>
      <c r="EZP293" s="475"/>
      <c r="EZQ293" s="476"/>
      <c r="EZR293" s="477"/>
      <c r="EZS293" s="475"/>
      <c r="EZT293" s="478"/>
      <c r="EZU293" s="479"/>
      <c r="EZV293" s="480"/>
      <c r="EZW293" s="481"/>
      <c r="EZX293" s="481"/>
      <c r="EZY293" s="482"/>
      <c r="EZZ293" s="189"/>
      <c r="FAA293" s="189"/>
      <c r="FAB293" s="483"/>
      <c r="FAC293" s="306"/>
      <c r="FAD293" s="484"/>
      <c r="FAE293" s="306"/>
      <c r="FAF293" s="267"/>
      <c r="FAG293" s="268"/>
      <c r="FAH293" s="306"/>
      <c r="FAI293" s="268"/>
      <c r="FAJ293" s="306"/>
      <c r="FAK293" s="485"/>
      <c r="FAL293" s="306"/>
      <c r="FAM293" s="486"/>
      <c r="FAN293" s="487"/>
      <c r="FAO293" s="488"/>
      <c r="FAP293" s="489"/>
      <c r="FAQ293" s="488"/>
      <c r="FAR293" s="468"/>
      <c r="FAS293" s="469"/>
      <c r="FAT293" s="470"/>
      <c r="FAU293" s="470"/>
      <c r="FAV293" s="306"/>
      <c r="FAW293" s="317"/>
      <c r="FAX293" s="471"/>
      <c r="FAY293" s="472"/>
      <c r="FAZ293" s="471"/>
      <c r="FBA293" s="473"/>
      <c r="FBB293" s="474"/>
      <c r="FBC293" s="475"/>
      <c r="FBD293" s="476"/>
      <c r="FBE293" s="477"/>
      <c r="FBF293" s="475"/>
      <c r="FBG293" s="478"/>
      <c r="FBH293" s="479"/>
      <c r="FBI293" s="480"/>
      <c r="FBJ293" s="481"/>
      <c r="FBK293" s="481"/>
      <c r="FBL293" s="482"/>
      <c r="FBM293" s="189"/>
      <c r="FBN293" s="189"/>
      <c r="FBO293" s="483"/>
      <c r="FBP293" s="306"/>
      <c r="FBQ293" s="484"/>
      <c r="FBR293" s="306"/>
      <c r="FBS293" s="267"/>
      <c r="FBT293" s="268"/>
      <c r="FBU293" s="306"/>
      <c r="FBV293" s="268"/>
      <c r="FBW293" s="306"/>
      <c r="FBX293" s="485"/>
      <c r="FBY293" s="306"/>
      <c r="FBZ293" s="486"/>
      <c r="FCA293" s="487"/>
      <c r="FCB293" s="488"/>
      <c r="FCC293" s="489"/>
      <c r="FCD293" s="488"/>
      <c r="FCE293" s="468"/>
      <c r="FCF293" s="469"/>
      <c r="FCG293" s="470"/>
      <c r="FCH293" s="470"/>
      <c r="FCI293" s="306"/>
      <c r="FCJ293" s="317"/>
      <c r="FCK293" s="471"/>
      <c r="FCL293" s="472"/>
      <c r="FCM293" s="471"/>
      <c r="FCN293" s="473"/>
      <c r="FCO293" s="474"/>
      <c r="FCP293" s="475"/>
      <c r="FCQ293" s="476"/>
      <c r="FCR293" s="477"/>
      <c r="FCS293" s="475"/>
      <c r="FCT293" s="478"/>
      <c r="FCU293" s="479"/>
      <c r="FCV293" s="480"/>
      <c r="FCW293" s="481"/>
      <c r="FCX293" s="481"/>
      <c r="FCY293" s="482"/>
      <c r="FCZ293" s="189"/>
      <c r="FDA293" s="189"/>
      <c r="FDB293" s="483"/>
      <c r="FDC293" s="306"/>
      <c r="FDD293" s="484"/>
      <c r="FDE293" s="306"/>
      <c r="FDF293" s="267"/>
      <c r="FDG293" s="268"/>
      <c r="FDH293" s="306"/>
      <c r="FDI293" s="268"/>
      <c r="FDJ293" s="306"/>
      <c r="FDK293" s="485"/>
      <c r="FDL293" s="306"/>
      <c r="FDM293" s="486"/>
      <c r="FDN293" s="487"/>
      <c r="FDO293" s="488"/>
      <c r="FDP293" s="489"/>
      <c r="FDQ293" s="488"/>
      <c r="FDR293" s="468"/>
      <c r="FDS293" s="469"/>
      <c r="FDT293" s="470"/>
      <c r="FDU293" s="470"/>
      <c r="FDV293" s="306"/>
      <c r="FDW293" s="317"/>
      <c r="FDX293" s="471"/>
      <c r="FDY293" s="472"/>
      <c r="FDZ293" s="471"/>
      <c r="FEA293" s="473"/>
      <c r="FEB293" s="474"/>
      <c r="FEC293" s="475"/>
      <c r="FED293" s="476"/>
      <c r="FEE293" s="477"/>
      <c r="FEF293" s="475"/>
      <c r="FEG293" s="478"/>
      <c r="FEH293" s="479"/>
      <c r="FEI293" s="480"/>
      <c r="FEJ293" s="481"/>
      <c r="FEK293" s="481"/>
      <c r="FEL293" s="482"/>
      <c r="FEM293" s="189"/>
      <c r="FEN293" s="189"/>
      <c r="FEO293" s="483"/>
      <c r="FEP293" s="306"/>
      <c r="FEQ293" s="484"/>
      <c r="FER293" s="306"/>
      <c r="FES293" s="267"/>
      <c r="FET293" s="268"/>
      <c r="FEU293" s="306"/>
      <c r="FEV293" s="268"/>
      <c r="FEW293" s="306"/>
      <c r="FEX293" s="485"/>
      <c r="FEY293" s="306"/>
      <c r="FEZ293" s="486"/>
      <c r="FFA293" s="487"/>
      <c r="FFB293" s="488"/>
      <c r="FFC293" s="489"/>
      <c r="FFD293" s="488"/>
      <c r="FFE293" s="468"/>
      <c r="FFF293" s="469"/>
      <c r="FFG293" s="470"/>
      <c r="FFH293" s="470"/>
      <c r="FFI293" s="306"/>
      <c r="FFJ293" s="317"/>
      <c r="FFK293" s="471"/>
      <c r="FFL293" s="472"/>
      <c r="FFM293" s="471"/>
      <c r="FFN293" s="473"/>
      <c r="FFO293" s="474"/>
      <c r="FFP293" s="475"/>
      <c r="FFQ293" s="476"/>
      <c r="FFR293" s="477"/>
      <c r="FFS293" s="475"/>
      <c r="FFT293" s="478"/>
      <c r="FFU293" s="479"/>
      <c r="FFV293" s="480"/>
      <c r="FFW293" s="481"/>
      <c r="FFX293" s="481"/>
      <c r="FFY293" s="482"/>
      <c r="FFZ293" s="189"/>
      <c r="FGA293" s="189"/>
      <c r="FGB293" s="483"/>
      <c r="FGC293" s="306"/>
      <c r="FGD293" s="484"/>
      <c r="FGE293" s="306"/>
      <c r="FGF293" s="267"/>
      <c r="FGG293" s="268"/>
      <c r="FGH293" s="306"/>
      <c r="FGI293" s="268"/>
      <c r="FGJ293" s="306"/>
      <c r="FGK293" s="485"/>
      <c r="FGL293" s="306"/>
      <c r="FGM293" s="486"/>
      <c r="FGN293" s="487"/>
      <c r="FGO293" s="488"/>
      <c r="FGP293" s="489"/>
      <c r="FGQ293" s="488"/>
      <c r="FGR293" s="468"/>
      <c r="FGS293" s="469"/>
      <c r="FGT293" s="470"/>
      <c r="FGU293" s="470"/>
      <c r="FGV293" s="306"/>
      <c r="FGW293" s="317"/>
      <c r="FGX293" s="471"/>
      <c r="FGY293" s="472"/>
      <c r="FGZ293" s="471"/>
      <c r="FHA293" s="473"/>
      <c r="FHB293" s="474"/>
      <c r="FHC293" s="475"/>
      <c r="FHD293" s="476"/>
      <c r="FHE293" s="477"/>
      <c r="FHF293" s="475"/>
      <c r="FHG293" s="478"/>
      <c r="FHH293" s="479"/>
      <c r="FHI293" s="480"/>
      <c r="FHJ293" s="481"/>
      <c r="FHK293" s="481"/>
      <c r="FHL293" s="482"/>
      <c r="FHM293" s="189"/>
      <c r="FHN293" s="189"/>
      <c r="FHO293" s="483"/>
      <c r="FHP293" s="306"/>
      <c r="FHQ293" s="484"/>
      <c r="FHR293" s="306"/>
      <c r="FHS293" s="267"/>
      <c r="FHT293" s="268"/>
      <c r="FHU293" s="306"/>
      <c r="FHV293" s="268"/>
      <c r="FHW293" s="306"/>
      <c r="FHX293" s="485"/>
      <c r="FHY293" s="306"/>
      <c r="FHZ293" s="486"/>
      <c r="FIA293" s="487"/>
      <c r="FIB293" s="488"/>
      <c r="FIC293" s="489"/>
      <c r="FID293" s="488"/>
      <c r="FIE293" s="468"/>
      <c r="FIF293" s="469"/>
      <c r="FIG293" s="470"/>
      <c r="FIH293" s="470"/>
      <c r="FII293" s="306"/>
      <c r="FIJ293" s="317"/>
      <c r="FIK293" s="471"/>
      <c r="FIL293" s="472"/>
      <c r="FIM293" s="471"/>
      <c r="FIN293" s="473"/>
      <c r="FIO293" s="474"/>
      <c r="FIP293" s="475"/>
      <c r="FIQ293" s="476"/>
      <c r="FIR293" s="477"/>
      <c r="FIS293" s="475"/>
      <c r="FIT293" s="478"/>
      <c r="FIU293" s="479"/>
      <c r="FIV293" s="480"/>
      <c r="FIW293" s="481"/>
      <c r="FIX293" s="481"/>
      <c r="FIY293" s="482"/>
      <c r="FIZ293" s="189"/>
      <c r="FJA293" s="189"/>
      <c r="FJB293" s="483"/>
      <c r="FJC293" s="306"/>
      <c r="FJD293" s="484"/>
      <c r="FJE293" s="306"/>
      <c r="FJF293" s="267"/>
      <c r="FJG293" s="268"/>
      <c r="FJH293" s="306"/>
      <c r="FJI293" s="268"/>
      <c r="FJJ293" s="306"/>
      <c r="FJK293" s="485"/>
      <c r="FJL293" s="306"/>
      <c r="FJM293" s="486"/>
      <c r="FJN293" s="487"/>
      <c r="FJO293" s="488"/>
      <c r="FJP293" s="489"/>
      <c r="FJQ293" s="488"/>
      <c r="FJR293" s="468"/>
      <c r="FJS293" s="469"/>
      <c r="FJT293" s="470"/>
      <c r="FJU293" s="470"/>
      <c r="FJV293" s="306"/>
      <c r="FJW293" s="317"/>
      <c r="FJX293" s="471"/>
      <c r="FJY293" s="472"/>
      <c r="FJZ293" s="471"/>
      <c r="FKA293" s="473"/>
      <c r="FKB293" s="474"/>
      <c r="FKC293" s="475"/>
      <c r="FKD293" s="476"/>
      <c r="FKE293" s="477"/>
      <c r="FKF293" s="475"/>
      <c r="FKG293" s="478"/>
      <c r="FKH293" s="479"/>
      <c r="FKI293" s="480"/>
      <c r="FKJ293" s="481"/>
      <c r="FKK293" s="481"/>
      <c r="FKL293" s="482"/>
      <c r="FKM293" s="189"/>
      <c r="FKN293" s="189"/>
      <c r="FKO293" s="483"/>
      <c r="FKP293" s="306"/>
      <c r="FKQ293" s="484"/>
      <c r="FKR293" s="306"/>
      <c r="FKS293" s="267"/>
      <c r="FKT293" s="268"/>
      <c r="FKU293" s="306"/>
      <c r="FKV293" s="268"/>
      <c r="FKW293" s="306"/>
      <c r="FKX293" s="485"/>
      <c r="FKY293" s="306"/>
      <c r="FKZ293" s="486"/>
      <c r="FLA293" s="487"/>
      <c r="FLB293" s="488"/>
      <c r="FLC293" s="489"/>
      <c r="FLD293" s="488"/>
      <c r="FLE293" s="468"/>
      <c r="FLF293" s="469"/>
      <c r="FLG293" s="470"/>
      <c r="FLH293" s="470"/>
      <c r="FLI293" s="306"/>
      <c r="FLJ293" s="317"/>
      <c r="FLK293" s="471"/>
      <c r="FLL293" s="472"/>
      <c r="FLM293" s="471"/>
      <c r="FLN293" s="473"/>
      <c r="FLO293" s="474"/>
      <c r="FLP293" s="475"/>
      <c r="FLQ293" s="476"/>
      <c r="FLR293" s="477"/>
      <c r="FLS293" s="475"/>
      <c r="FLT293" s="478"/>
      <c r="FLU293" s="479"/>
      <c r="FLV293" s="480"/>
      <c r="FLW293" s="481"/>
      <c r="FLX293" s="481"/>
      <c r="FLY293" s="482"/>
      <c r="FLZ293" s="189"/>
      <c r="FMA293" s="189"/>
      <c r="FMB293" s="483"/>
      <c r="FMC293" s="306"/>
      <c r="FMD293" s="484"/>
      <c r="FME293" s="306"/>
      <c r="FMF293" s="267"/>
      <c r="FMG293" s="268"/>
      <c r="FMH293" s="306"/>
      <c r="FMI293" s="268"/>
      <c r="FMJ293" s="306"/>
      <c r="FMK293" s="485"/>
      <c r="FML293" s="306"/>
      <c r="FMM293" s="486"/>
      <c r="FMN293" s="487"/>
      <c r="FMO293" s="488"/>
      <c r="FMP293" s="489"/>
      <c r="FMQ293" s="488"/>
      <c r="FMR293" s="468"/>
      <c r="FMS293" s="469"/>
      <c r="FMT293" s="470"/>
      <c r="FMU293" s="470"/>
      <c r="FMV293" s="306"/>
      <c r="FMW293" s="317"/>
      <c r="FMX293" s="471"/>
      <c r="FMY293" s="472"/>
      <c r="FMZ293" s="471"/>
      <c r="FNA293" s="473"/>
      <c r="FNB293" s="474"/>
      <c r="FNC293" s="475"/>
      <c r="FND293" s="476"/>
      <c r="FNE293" s="477"/>
      <c r="FNF293" s="475"/>
      <c r="FNG293" s="478"/>
      <c r="FNH293" s="479"/>
      <c r="FNI293" s="480"/>
      <c r="FNJ293" s="481"/>
      <c r="FNK293" s="481"/>
      <c r="FNL293" s="482"/>
      <c r="FNM293" s="189"/>
      <c r="FNN293" s="189"/>
      <c r="FNO293" s="483"/>
      <c r="FNP293" s="306"/>
      <c r="FNQ293" s="484"/>
      <c r="FNR293" s="306"/>
      <c r="FNS293" s="267"/>
      <c r="FNT293" s="268"/>
      <c r="FNU293" s="306"/>
      <c r="FNV293" s="268"/>
      <c r="FNW293" s="306"/>
      <c r="FNX293" s="485"/>
      <c r="FNY293" s="306"/>
      <c r="FNZ293" s="486"/>
      <c r="FOA293" s="487"/>
      <c r="FOB293" s="488"/>
      <c r="FOC293" s="489"/>
      <c r="FOD293" s="488"/>
      <c r="FOE293" s="468"/>
      <c r="FOF293" s="469"/>
      <c r="FOG293" s="470"/>
      <c r="FOH293" s="470"/>
      <c r="FOI293" s="306"/>
      <c r="FOJ293" s="317"/>
      <c r="FOK293" s="471"/>
      <c r="FOL293" s="472"/>
      <c r="FOM293" s="471"/>
      <c r="FON293" s="473"/>
      <c r="FOO293" s="474"/>
      <c r="FOP293" s="475"/>
      <c r="FOQ293" s="476"/>
      <c r="FOR293" s="477"/>
      <c r="FOS293" s="475"/>
      <c r="FOT293" s="478"/>
      <c r="FOU293" s="479"/>
      <c r="FOV293" s="480"/>
      <c r="FOW293" s="481"/>
      <c r="FOX293" s="481"/>
      <c r="FOY293" s="482"/>
      <c r="FOZ293" s="189"/>
      <c r="FPA293" s="189"/>
      <c r="FPB293" s="483"/>
      <c r="FPC293" s="306"/>
      <c r="FPD293" s="484"/>
      <c r="FPE293" s="306"/>
      <c r="FPF293" s="267"/>
      <c r="FPG293" s="268"/>
      <c r="FPH293" s="306"/>
      <c r="FPI293" s="268"/>
      <c r="FPJ293" s="306"/>
      <c r="FPK293" s="485"/>
      <c r="FPL293" s="306"/>
      <c r="FPM293" s="486"/>
      <c r="FPN293" s="487"/>
      <c r="FPO293" s="488"/>
      <c r="FPP293" s="489"/>
      <c r="FPQ293" s="488"/>
      <c r="FPR293" s="468"/>
      <c r="FPS293" s="469"/>
      <c r="FPT293" s="470"/>
      <c r="FPU293" s="470"/>
      <c r="FPV293" s="306"/>
      <c r="FPW293" s="317"/>
      <c r="FPX293" s="471"/>
      <c r="FPY293" s="472"/>
      <c r="FPZ293" s="471"/>
      <c r="FQA293" s="473"/>
      <c r="FQB293" s="474"/>
      <c r="FQC293" s="475"/>
      <c r="FQD293" s="476"/>
      <c r="FQE293" s="477"/>
      <c r="FQF293" s="475"/>
      <c r="FQG293" s="478"/>
      <c r="FQH293" s="479"/>
      <c r="FQI293" s="480"/>
      <c r="FQJ293" s="481"/>
      <c r="FQK293" s="481"/>
      <c r="FQL293" s="482"/>
      <c r="FQM293" s="189"/>
      <c r="FQN293" s="189"/>
      <c r="FQO293" s="483"/>
      <c r="FQP293" s="306"/>
      <c r="FQQ293" s="484"/>
      <c r="FQR293" s="306"/>
      <c r="FQS293" s="267"/>
      <c r="FQT293" s="268"/>
      <c r="FQU293" s="306"/>
      <c r="FQV293" s="268"/>
      <c r="FQW293" s="306"/>
      <c r="FQX293" s="485"/>
      <c r="FQY293" s="306"/>
      <c r="FQZ293" s="486"/>
      <c r="FRA293" s="487"/>
      <c r="FRB293" s="488"/>
      <c r="FRC293" s="489"/>
      <c r="FRD293" s="488"/>
      <c r="FRE293" s="468"/>
      <c r="FRF293" s="469"/>
      <c r="FRG293" s="470"/>
      <c r="FRH293" s="470"/>
      <c r="FRI293" s="306"/>
      <c r="FRJ293" s="317"/>
      <c r="FRK293" s="471"/>
      <c r="FRL293" s="472"/>
      <c r="FRM293" s="471"/>
      <c r="FRN293" s="473"/>
      <c r="FRO293" s="474"/>
      <c r="FRP293" s="475"/>
      <c r="FRQ293" s="476"/>
      <c r="FRR293" s="477"/>
      <c r="FRS293" s="475"/>
      <c r="FRT293" s="478"/>
      <c r="FRU293" s="479"/>
      <c r="FRV293" s="480"/>
      <c r="FRW293" s="481"/>
      <c r="FRX293" s="481"/>
      <c r="FRY293" s="482"/>
      <c r="FRZ293" s="189"/>
      <c r="FSA293" s="189"/>
      <c r="FSB293" s="483"/>
      <c r="FSC293" s="306"/>
      <c r="FSD293" s="484"/>
      <c r="FSE293" s="306"/>
      <c r="FSF293" s="267"/>
      <c r="FSG293" s="268"/>
      <c r="FSH293" s="306"/>
      <c r="FSI293" s="268"/>
      <c r="FSJ293" s="306"/>
      <c r="FSK293" s="485"/>
      <c r="FSL293" s="306"/>
      <c r="FSM293" s="486"/>
      <c r="FSN293" s="487"/>
      <c r="FSO293" s="488"/>
      <c r="FSP293" s="489"/>
      <c r="FSQ293" s="488"/>
      <c r="FSR293" s="468"/>
      <c r="FSS293" s="469"/>
      <c r="FST293" s="470"/>
      <c r="FSU293" s="470"/>
      <c r="FSV293" s="306"/>
      <c r="FSW293" s="317"/>
      <c r="FSX293" s="471"/>
      <c r="FSY293" s="472"/>
      <c r="FSZ293" s="471"/>
      <c r="FTA293" s="473"/>
      <c r="FTB293" s="474"/>
      <c r="FTC293" s="475"/>
      <c r="FTD293" s="476"/>
      <c r="FTE293" s="477"/>
      <c r="FTF293" s="475"/>
      <c r="FTG293" s="478"/>
      <c r="FTH293" s="479"/>
      <c r="FTI293" s="480"/>
      <c r="FTJ293" s="481"/>
      <c r="FTK293" s="481"/>
      <c r="FTL293" s="482"/>
      <c r="FTM293" s="189"/>
      <c r="FTN293" s="189"/>
      <c r="FTO293" s="483"/>
      <c r="FTP293" s="306"/>
      <c r="FTQ293" s="484"/>
      <c r="FTR293" s="306"/>
      <c r="FTS293" s="267"/>
      <c r="FTT293" s="268"/>
      <c r="FTU293" s="306"/>
      <c r="FTV293" s="268"/>
      <c r="FTW293" s="306"/>
      <c r="FTX293" s="485"/>
      <c r="FTY293" s="306"/>
      <c r="FTZ293" s="486"/>
      <c r="FUA293" s="487"/>
      <c r="FUB293" s="488"/>
      <c r="FUC293" s="489"/>
      <c r="FUD293" s="488"/>
      <c r="FUE293" s="468"/>
      <c r="FUF293" s="469"/>
      <c r="FUG293" s="470"/>
      <c r="FUH293" s="470"/>
      <c r="FUI293" s="306"/>
      <c r="FUJ293" s="317"/>
      <c r="FUK293" s="471"/>
      <c r="FUL293" s="472"/>
      <c r="FUM293" s="471"/>
      <c r="FUN293" s="473"/>
      <c r="FUO293" s="474"/>
      <c r="FUP293" s="475"/>
      <c r="FUQ293" s="476"/>
      <c r="FUR293" s="477"/>
      <c r="FUS293" s="475"/>
      <c r="FUT293" s="478"/>
      <c r="FUU293" s="479"/>
      <c r="FUV293" s="480"/>
      <c r="FUW293" s="481"/>
      <c r="FUX293" s="481"/>
      <c r="FUY293" s="482"/>
      <c r="FUZ293" s="189"/>
      <c r="FVA293" s="189"/>
      <c r="FVB293" s="483"/>
      <c r="FVC293" s="306"/>
      <c r="FVD293" s="484"/>
      <c r="FVE293" s="306"/>
      <c r="FVF293" s="267"/>
      <c r="FVG293" s="268"/>
      <c r="FVH293" s="306"/>
      <c r="FVI293" s="268"/>
      <c r="FVJ293" s="306"/>
      <c r="FVK293" s="485"/>
      <c r="FVL293" s="306"/>
      <c r="FVM293" s="486"/>
      <c r="FVN293" s="487"/>
      <c r="FVO293" s="488"/>
      <c r="FVP293" s="489"/>
      <c r="FVQ293" s="488"/>
      <c r="FVR293" s="468"/>
      <c r="FVS293" s="469"/>
      <c r="FVT293" s="470"/>
      <c r="FVU293" s="470"/>
      <c r="FVV293" s="306"/>
      <c r="FVW293" s="317"/>
      <c r="FVX293" s="471"/>
      <c r="FVY293" s="472"/>
      <c r="FVZ293" s="471"/>
      <c r="FWA293" s="473"/>
      <c r="FWB293" s="474"/>
      <c r="FWC293" s="475"/>
      <c r="FWD293" s="476"/>
      <c r="FWE293" s="477"/>
      <c r="FWF293" s="475"/>
      <c r="FWG293" s="478"/>
      <c r="FWH293" s="479"/>
      <c r="FWI293" s="480"/>
      <c r="FWJ293" s="481"/>
      <c r="FWK293" s="481"/>
      <c r="FWL293" s="482"/>
      <c r="FWM293" s="189"/>
      <c r="FWN293" s="189"/>
      <c r="FWO293" s="483"/>
      <c r="FWP293" s="306"/>
      <c r="FWQ293" s="484"/>
      <c r="FWR293" s="306"/>
      <c r="FWS293" s="267"/>
      <c r="FWT293" s="268"/>
      <c r="FWU293" s="306"/>
      <c r="FWV293" s="268"/>
      <c r="FWW293" s="306"/>
      <c r="FWX293" s="485"/>
      <c r="FWY293" s="306"/>
      <c r="FWZ293" s="486"/>
      <c r="FXA293" s="487"/>
      <c r="FXB293" s="488"/>
      <c r="FXC293" s="489"/>
      <c r="FXD293" s="488"/>
      <c r="FXE293" s="468"/>
      <c r="FXF293" s="469"/>
      <c r="FXG293" s="470"/>
      <c r="FXH293" s="470"/>
      <c r="FXI293" s="306"/>
      <c r="FXJ293" s="317"/>
      <c r="FXK293" s="471"/>
      <c r="FXL293" s="472"/>
      <c r="FXM293" s="471"/>
      <c r="FXN293" s="473"/>
      <c r="FXO293" s="474"/>
      <c r="FXP293" s="475"/>
      <c r="FXQ293" s="476"/>
      <c r="FXR293" s="477"/>
      <c r="FXS293" s="475"/>
      <c r="FXT293" s="478"/>
      <c r="FXU293" s="479"/>
      <c r="FXV293" s="480"/>
      <c r="FXW293" s="481"/>
      <c r="FXX293" s="481"/>
      <c r="FXY293" s="482"/>
      <c r="FXZ293" s="189"/>
      <c r="FYA293" s="189"/>
      <c r="FYB293" s="483"/>
      <c r="FYC293" s="306"/>
      <c r="FYD293" s="484"/>
      <c r="FYE293" s="306"/>
      <c r="FYF293" s="267"/>
      <c r="FYG293" s="268"/>
      <c r="FYH293" s="306"/>
      <c r="FYI293" s="268"/>
      <c r="FYJ293" s="306"/>
      <c r="FYK293" s="485"/>
      <c r="FYL293" s="306"/>
      <c r="FYM293" s="486"/>
      <c r="FYN293" s="487"/>
      <c r="FYO293" s="488"/>
      <c r="FYP293" s="489"/>
      <c r="FYQ293" s="488"/>
      <c r="FYR293" s="468"/>
      <c r="FYS293" s="469"/>
      <c r="FYT293" s="470"/>
      <c r="FYU293" s="470"/>
      <c r="FYV293" s="306"/>
      <c r="FYW293" s="317"/>
      <c r="FYX293" s="471"/>
      <c r="FYY293" s="472"/>
      <c r="FYZ293" s="471"/>
      <c r="FZA293" s="473"/>
      <c r="FZB293" s="474"/>
      <c r="FZC293" s="475"/>
      <c r="FZD293" s="476"/>
      <c r="FZE293" s="477"/>
      <c r="FZF293" s="475"/>
      <c r="FZG293" s="478"/>
      <c r="FZH293" s="479"/>
      <c r="FZI293" s="480"/>
      <c r="FZJ293" s="481"/>
      <c r="FZK293" s="481"/>
      <c r="FZL293" s="482"/>
      <c r="FZM293" s="189"/>
      <c r="FZN293" s="189"/>
      <c r="FZO293" s="483"/>
      <c r="FZP293" s="306"/>
      <c r="FZQ293" s="484"/>
      <c r="FZR293" s="306"/>
      <c r="FZS293" s="267"/>
      <c r="FZT293" s="268"/>
      <c r="FZU293" s="306"/>
      <c r="FZV293" s="268"/>
      <c r="FZW293" s="306"/>
      <c r="FZX293" s="485"/>
      <c r="FZY293" s="306"/>
      <c r="FZZ293" s="486"/>
      <c r="GAA293" s="487"/>
      <c r="GAB293" s="488"/>
      <c r="GAC293" s="489"/>
      <c r="GAD293" s="488"/>
      <c r="GAE293" s="468"/>
      <c r="GAF293" s="469"/>
      <c r="GAG293" s="470"/>
      <c r="GAH293" s="470"/>
      <c r="GAI293" s="306"/>
      <c r="GAJ293" s="317"/>
      <c r="GAK293" s="471"/>
      <c r="GAL293" s="472"/>
      <c r="GAM293" s="471"/>
      <c r="GAN293" s="473"/>
      <c r="GAO293" s="474"/>
      <c r="GAP293" s="475"/>
      <c r="GAQ293" s="476"/>
      <c r="GAR293" s="477"/>
      <c r="GAS293" s="475"/>
      <c r="GAT293" s="478"/>
      <c r="GAU293" s="479"/>
      <c r="GAV293" s="480"/>
      <c r="GAW293" s="481"/>
      <c r="GAX293" s="481"/>
      <c r="GAY293" s="482"/>
      <c r="GAZ293" s="189"/>
      <c r="GBA293" s="189"/>
      <c r="GBB293" s="483"/>
      <c r="GBC293" s="306"/>
      <c r="GBD293" s="484"/>
      <c r="GBE293" s="306"/>
      <c r="GBF293" s="267"/>
      <c r="GBG293" s="268"/>
      <c r="GBH293" s="306"/>
      <c r="GBI293" s="268"/>
      <c r="GBJ293" s="306"/>
      <c r="GBK293" s="485"/>
      <c r="GBL293" s="306"/>
      <c r="GBM293" s="486"/>
      <c r="GBN293" s="487"/>
      <c r="GBO293" s="488"/>
      <c r="GBP293" s="489"/>
      <c r="GBQ293" s="488"/>
      <c r="GBR293" s="468"/>
      <c r="GBS293" s="469"/>
      <c r="GBT293" s="470"/>
      <c r="GBU293" s="470"/>
      <c r="GBV293" s="306"/>
      <c r="GBW293" s="317"/>
      <c r="GBX293" s="471"/>
      <c r="GBY293" s="472"/>
      <c r="GBZ293" s="471"/>
      <c r="GCA293" s="473"/>
      <c r="GCB293" s="474"/>
      <c r="GCC293" s="475"/>
      <c r="GCD293" s="476"/>
      <c r="GCE293" s="477"/>
      <c r="GCF293" s="475"/>
      <c r="GCG293" s="478"/>
      <c r="GCH293" s="479"/>
      <c r="GCI293" s="480"/>
      <c r="GCJ293" s="481"/>
      <c r="GCK293" s="481"/>
      <c r="GCL293" s="482"/>
      <c r="GCM293" s="189"/>
      <c r="GCN293" s="189"/>
      <c r="GCO293" s="483"/>
      <c r="GCP293" s="306"/>
      <c r="GCQ293" s="484"/>
      <c r="GCR293" s="306"/>
      <c r="GCS293" s="267"/>
      <c r="GCT293" s="268"/>
      <c r="GCU293" s="306"/>
      <c r="GCV293" s="268"/>
      <c r="GCW293" s="306"/>
      <c r="GCX293" s="485"/>
      <c r="GCY293" s="306"/>
      <c r="GCZ293" s="486"/>
      <c r="GDA293" s="487"/>
      <c r="GDB293" s="488"/>
      <c r="GDC293" s="489"/>
      <c r="GDD293" s="488"/>
      <c r="GDE293" s="468"/>
      <c r="GDF293" s="469"/>
      <c r="GDG293" s="470"/>
      <c r="GDH293" s="470"/>
      <c r="GDI293" s="306"/>
      <c r="GDJ293" s="317"/>
      <c r="GDK293" s="471"/>
      <c r="GDL293" s="472"/>
      <c r="GDM293" s="471"/>
      <c r="GDN293" s="473"/>
      <c r="GDO293" s="474"/>
      <c r="GDP293" s="475"/>
      <c r="GDQ293" s="476"/>
      <c r="GDR293" s="477"/>
      <c r="GDS293" s="475"/>
      <c r="GDT293" s="478"/>
      <c r="GDU293" s="479"/>
      <c r="GDV293" s="480"/>
      <c r="GDW293" s="481"/>
      <c r="GDX293" s="481"/>
      <c r="GDY293" s="482"/>
      <c r="GDZ293" s="189"/>
      <c r="GEA293" s="189"/>
      <c r="GEB293" s="483"/>
      <c r="GEC293" s="306"/>
      <c r="GED293" s="484"/>
      <c r="GEE293" s="306"/>
      <c r="GEF293" s="267"/>
      <c r="GEG293" s="268"/>
      <c r="GEH293" s="306"/>
      <c r="GEI293" s="268"/>
      <c r="GEJ293" s="306"/>
      <c r="GEK293" s="485"/>
      <c r="GEL293" s="306"/>
      <c r="GEM293" s="486"/>
      <c r="GEN293" s="487"/>
      <c r="GEO293" s="488"/>
      <c r="GEP293" s="489"/>
      <c r="GEQ293" s="488"/>
      <c r="GER293" s="468"/>
      <c r="GES293" s="469"/>
      <c r="GET293" s="470"/>
      <c r="GEU293" s="470"/>
      <c r="GEV293" s="306"/>
      <c r="GEW293" s="317"/>
      <c r="GEX293" s="471"/>
      <c r="GEY293" s="472"/>
      <c r="GEZ293" s="471"/>
      <c r="GFA293" s="473"/>
      <c r="GFB293" s="474"/>
      <c r="GFC293" s="475"/>
      <c r="GFD293" s="476"/>
      <c r="GFE293" s="477"/>
      <c r="GFF293" s="475"/>
      <c r="GFG293" s="478"/>
      <c r="GFH293" s="479"/>
      <c r="GFI293" s="480"/>
      <c r="GFJ293" s="481"/>
      <c r="GFK293" s="481"/>
      <c r="GFL293" s="482"/>
      <c r="GFM293" s="189"/>
      <c r="GFN293" s="189"/>
      <c r="GFO293" s="483"/>
      <c r="GFP293" s="306"/>
      <c r="GFQ293" s="484"/>
      <c r="GFR293" s="306"/>
      <c r="GFS293" s="267"/>
      <c r="GFT293" s="268"/>
      <c r="GFU293" s="306"/>
      <c r="GFV293" s="268"/>
      <c r="GFW293" s="306"/>
      <c r="GFX293" s="485"/>
      <c r="GFY293" s="306"/>
      <c r="GFZ293" s="486"/>
      <c r="GGA293" s="487"/>
      <c r="GGB293" s="488"/>
      <c r="GGC293" s="489"/>
      <c r="GGD293" s="488"/>
      <c r="GGE293" s="468"/>
      <c r="GGF293" s="469"/>
      <c r="GGG293" s="470"/>
      <c r="GGH293" s="470"/>
      <c r="GGI293" s="306"/>
      <c r="GGJ293" s="317"/>
      <c r="GGK293" s="471"/>
      <c r="GGL293" s="472"/>
      <c r="GGM293" s="471"/>
      <c r="GGN293" s="473"/>
      <c r="GGO293" s="474"/>
      <c r="GGP293" s="475"/>
      <c r="GGQ293" s="476"/>
      <c r="GGR293" s="477"/>
      <c r="GGS293" s="475"/>
      <c r="GGT293" s="478"/>
      <c r="GGU293" s="479"/>
      <c r="GGV293" s="480"/>
      <c r="GGW293" s="481"/>
      <c r="GGX293" s="481"/>
      <c r="GGY293" s="482"/>
      <c r="GGZ293" s="189"/>
      <c r="GHA293" s="189"/>
      <c r="GHB293" s="483"/>
      <c r="GHC293" s="306"/>
      <c r="GHD293" s="484"/>
      <c r="GHE293" s="306"/>
      <c r="GHF293" s="267"/>
      <c r="GHG293" s="268"/>
      <c r="GHH293" s="306"/>
      <c r="GHI293" s="268"/>
      <c r="GHJ293" s="306"/>
      <c r="GHK293" s="485"/>
      <c r="GHL293" s="306"/>
      <c r="GHM293" s="486"/>
      <c r="GHN293" s="487"/>
      <c r="GHO293" s="488"/>
      <c r="GHP293" s="489"/>
      <c r="GHQ293" s="488"/>
      <c r="GHR293" s="468"/>
      <c r="GHS293" s="469"/>
      <c r="GHT293" s="470"/>
      <c r="GHU293" s="470"/>
      <c r="GHV293" s="306"/>
      <c r="GHW293" s="317"/>
      <c r="GHX293" s="471"/>
      <c r="GHY293" s="472"/>
      <c r="GHZ293" s="471"/>
      <c r="GIA293" s="473"/>
      <c r="GIB293" s="474"/>
      <c r="GIC293" s="475"/>
      <c r="GID293" s="476"/>
      <c r="GIE293" s="477"/>
      <c r="GIF293" s="475"/>
      <c r="GIG293" s="478"/>
      <c r="GIH293" s="479"/>
      <c r="GII293" s="480"/>
      <c r="GIJ293" s="481"/>
      <c r="GIK293" s="481"/>
      <c r="GIL293" s="482"/>
      <c r="GIM293" s="189"/>
      <c r="GIN293" s="189"/>
      <c r="GIO293" s="483"/>
      <c r="GIP293" s="306"/>
      <c r="GIQ293" s="484"/>
      <c r="GIR293" s="306"/>
      <c r="GIS293" s="267"/>
      <c r="GIT293" s="268"/>
      <c r="GIU293" s="306"/>
      <c r="GIV293" s="268"/>
      <c r="GIW293" s="306"/>
      <c r="GIX293" s="485"/>
      <c r="GIY293" s="306"/>
      <c r="GIZ293" s="486"/>
      <c r="GJA293" s="487"/>
      <c r="GJB293" s="488"/>
      <c r="GJC293" s="489"/>
      <c r="GJD293" s="488"/>
      <c r="GJE293" s="468"/>
      <c r="GJF293" s="469"/>
      <c r="GJG293" s="470"/>
      <c r="GJH293" s="470"/>
      <c r="GJI293" s="306"/>
      <c r="GJJ293" s="317"/>
      <c r="GJK293" s="471"/>
      <c r="GJL293" s="472"/>
      <c r="GJM293" s="471"/>
      <c r="GJN293" s="473"/>
      <c r="GJO293" s="474"/>
      <c r="GJP293" s="475"/>
      <c r="GJQ293" s="476"/>
      <c r="GJR293" s="477"/>
      <c r="GJS293" s="475"/>
      <c r="GJT293" s="478"/>
      <c r="GJU293" s="479"/>
      <c r="GJV293" s="480"/>
      <c r="GJW293" s="481"/>
      <c r="GJX293" s="481"/>
      <c r="GJY293" s="482"/>
      <c r="GJZ293" s="189"/>
      <c r="GKA293" s="189"/>
      <c r="GKB293" s="483"/>
      <c r="GKC293" s="306"/>
      <c r="GKD293" s="484"/>
      <c r="GKE293" s="306"/>
      <c r="GKF293" s="267"/>
      <c r="GKG293" s="268"/>
      <c r="GKH293" s="306"/>
      <c r="GKI293" s="268"/>
      <c r="GKJ293" s="306"/>
      <c r="GKK293" s="485"/>
      <c r="GKL293" s="306"/>
      <c r="GKM293" s="486"/>
      <c r="GKN293" s="487"/>
      <c r="GKO293" s="488"/>
      <c r="GKP293" s="489"/>
      <c r="GKQ293" s="488"/>
      <c r="GKR293" s="468"/>
      <c r="GKS293" s="469"/>
      <c r="GKT293" s="470"/>
      <c r="GKU293" s="470"/>
      <c r="GKV293" s="306"/>
      <c r="GKW293" s="317"/>
      <c r="GKX293" s="471"/>
      <c r="GKY293" s="472"/>
      <c r="GKZ293" s="471"/>
      <c r="GLA293" s="473"/>
      <c r="GLB293" s="474"/>
      <c r="GLC293" s="475"/>
      <c r="GLD293" s="476"/>
      <c r="GLE293" s="477"/>
      <c r="GLF293" s="475"/>
      <c r="GLG293" s="478"/>
      <c r="GLH293" s="479"/>
      <c r="GLI293" s="480"/>
      <c r="GLJ293" s="481"/>
      <c r="GLK293" s="481"/>
      <c r="GLL293" s="482"/>
      <c r="GLM293" s="189"/>
      <c r="GLN293" s="189"/>
      <c r="GLO293" s="483"/>
      <c r="GLP293" s="306"/>
      <c r="GLQ293" s="484"/>
      <c r="GLR293" s="306"/>
      <c r="GLS293" s="267"/>
      <c r="GLT293" s="268"/>
      <c r="GLU293" s="306"/>
      <c r="GLV293" s="268"/>
      <c r="GLW293" s="306"/>
      <c r="GLX293" s="485"/>
      <c r="GLY293" s="306"/>
      <c r="GLZ293" s="486"/>
      <c r="GMA293" s="487"/>
      <c r="GMB293" s="488"/>
      <c r="GMC293" s="489"/>
      <c r="GMD293" s="488"/>
      <c r="GME293" s="468"/>
      <c r="GMF293" s="469"/>
      <c r="GMG293" s="470"/>
      <c r="GMH293" s="470"/>
      <c r="GMI293" s="306"/>
      <c r="GMJ293" s="317"/>
      <c r="GMK293" s="471"/>
      <c r="GML293" s="472"/>
      <c r="GMM293" s="471"/>
      <c r="GMN293" s="473"/>
      <c r="GMO293" s="474"/>
      <c r="GMP293" s="475"/>
      <c r="GMQ293" s="476"/>
      <c r="GMR293" s="477"/>
      <c r="GMS293" s="475"/>
      <c r="GMT293" s="478"/>
      <c r="GMU293" s="479"/>
      <c r="GMV293" s="480"/>
      <c r="GMW293" s="481"/>
      <c r="GMX293" s="481"/>
      <c r="GMY293" s="482"/>
      <c r="GMZ293" s="189"/>
      <c r="GNA293" s="189"/>
      <c r="GNB293" s="483"/>
      <c r="GNC293" s="306"/>
      <c r="GND293" s="484"/>
      <c r="GNE293" s="306"/>
      <c r="GNF293" s="267"/>
      <c r="GNG293" s="268"/>
      <c r="GNH293" s="306"/>
      <c r="GNI293" s="268"/>
      <c r="GNJ293" s="306"/>
      <c r="GNK293" s="485"/>
      <c r="GNL293" s="306"/>
      <c r="GNM293" s="486"/>
      <c r="GNN293" s="487"/>
      <c r="GNO293" s="488"/>
      <c r="GNP293" s="489"/>
      <c r="GNQ293" s="488"/>
      <c r="GNR293" s="468"/>
      <c r="GNS293" s="469"/>
      <c r="GNT293" s="470"/>
      <c r="GNU293" s="470"/>
      <c r="GNV293" s="306"/>
      <c r="GNW293" s="317"/>
      <c r="GNX293" s="471"/>
      <c r="GNY293" s="472"/>
      <c r="GNZ293" s="471"/>
      <c r="GOA293" s="473"/>
      <c r="GOB293" s="474"/>
      <c r="GOC293" s="475"/>
      <c r="GOD293" s="476"/>
      <c r="GOE293" s="477"/>
      <c r="GOF293" s="475"/>
      <c r="GOG293" s="478"/>
      <c r="GOH293" s="479"/>
      <c r="GOI293" s="480"/>
      <c r="GOJ293" s="481"/>
      <c r="GOK293" s="481"/>
      <c r="GOL293" s="482"/>
      <c r="GOM293" s="189"/>
      <c r="GON293" s="189"/>
      <c r="GOO293" s="483"/>
      <c r="GOP293" s="306"/>
      <c r="GOQ293" s="484"/>
      <c r="GOR293" s="306"/>
      <c r="GOS293" s="267"/>
      <c r="GOT293" s="268"/>
      <c r="GOU293" s="306"/>
      <c r="GOV293" s="268"/>
      <c r="GOW293" s="306"/>
      <c r="GOX293" s="485"/>
      <c r="GOY293" s="306"/>
      <c r="GOZ293" s="486"/>
      <c r="GPA293" s="487"/>
      <c r="GPB293" s="488"/>
      <c r="GPC293" s="489"/>
      <c r="GPD293" s="488"/>
      <c r="GPE293" s="468"/>
      <c r="GPF293" s="469"/>
      <c r="GPG293" s="470"/>
      <c r="GPH293" s="470"/>
      <c r="GPI293" s="306"/>
      <c r="GPJ293" s="317"/>
      <c r="GPK293" s="471"/>
      <c r="GPL293" s="472"/>
      <c r="GPM293" s="471"/>
      <c r="GPN293" s="473"/>
      <c r="GPO293" s="474"/>
      <c r="GPP293" s="475"/>
      <c r="GPQ293" s="476"/>
      <c r="GPR293" s="477"/>
      <c r="GPS293" s="475"/>
      <c r="GPT293" s="478"/>
      <c r="GPU293" s="479"/>
      <c r="GPV293" s="480"/>
      <c r="GPW293" s="481"/>
      <c r="GPX293" s="481"/>
      <c r="GPY293" s="482"/>
      <c r="GPZ293" s="189"/>
      <c r="GQA293" s="189"/>
      <c r="GQB293" s="483"/>
      <c r="GQC293" s="306"/>
      <c r="GQD293" s="484"/>
      <c r="GQE293" s="306"/>
      <c r="GQF293" s="267"/>
      <c r="GQG293" s="268"/>
      <c r="GQH293" s="306"/>
      <c r="GQI293" s="268"/>
      <c r="GQJ293" s="306"/>
      <c r="GQK293" s="485"/>
      <c r="GQL293" s="306"/>
      <c r="GQM293" s="486"/>
      <c r="GQN293" s="487"/>
      <c r="GQO293" s="488"/>
      <c r="GQP293" s="489"/>
      <c r="GQQ293" s="488"/>
      <c r="GQR293" s="468"/>
      <c r="GQS293" s="469"/>
      <c r="GQT293" s="470"/>
      <c r="GQU293" s="470"/>
      <c r="GQV293" s="306"/>
      <c r="GQW293" s="317"/>
      <c r="GQX293" s="471"/>
      <c r="GQY293" s="472"/>
      <c r="GQZ293" s="471"/>
      <c r="GRA293" s="473"/>
      <c r="GRB293" s="474"/>
      <c r="GRC293" s="475"/>
      <c r="GRD293" s="476"/>
      <c r="GRE293" s="477"/>
      <c r="GRF293" s="475"/>
      <c r="GRG293" s="478"/>
      <c r="GRH293" s="479"/>
      <c r="GRI293" s="480"/>
      <c r="GRJ293" s="481"/>
      <c r="GRK293" s="481"/>
      <c r="GRL293" s="482"/>
      <c r="GRM293" s="189"/>
      <c r="GRN293" s="189"/>
      <c r="GRO293" s="483"/>
      <c r="GRP293" s="306"/>
      <c r="GRQ293" s="484"/>
      <c r="GRR293" s="306"/>
      <c r="GRS293" s="267"/>
      <c r="GRT293" s="268"/>
      <c r="GRU293" s="306"/>
      <c r="GRV293" s="268"/>
      <c r="GRW293" s="306"/>
      <c r="GRX293" s="485"/>
      <c r="GRY293" s="306"/>
      <c r="GRZ293" s="486"/>
      <c r="GSA293" s="487"/>
      <c r="GSB293" s="488"/>
      <c r="GSC293" s="489"/>
      <c r="GSD293" s="488"/>
      <c r="GSE293" s="468"/>
      <c r="GSF293" s="469"/>
      <c r="GSG293" s="470"/>
      <c r="GSH293" s="470"/>
      <c r="GSI293" s="306"/>
      <c r="GSJ293" s="317"/>
      <c r="GSK293" s="471"/>
      <c r="GSL293" s="472"/>
      <c r="GSM293" s="471"/>
      <c r="GSN293" s="473"/>
      <c r="GSO293" s="474"/>
      <c r="GSP293" s="475"/>
      <c r="GSQ293" s="476"/>
      <c r="GSR293" s="477"/>
      <c r="GSS293" s="475"/>
      <c r="GST293" s="478"/>
      <c r="GSU293" s="479"/>
      <c r="GSV293" s="480"/>
      <c r="GSW293" s="481"/>
      <c r="GSX293" s="481"/>
      <c r="GSY293" s="482"/>
      <c r="GSZ293" s="189"/>
      <c r="GTA293" s="189"/>
      <c r="GTB293" s="483"/>
      <c r="GTC293" s="306"/>
      <c r="GTD293" s="484"/>
      <c r="GTE293" s="306"/>
      <c r="GTF293" s="267"/>
      <c r="GTG293" s="268"/>
      <c r="GTH293" s="306"/>
      <c r="GTI293" s="268"/>
      <c r="GTJ293" s="306"/>
      <c r="GTK293" s="485"/>
      <c r="GTL293" s="306"/>
      <c r="GTM293" s="486"/>
      <c r="GTN293" s="487"/>
      <c r="GTO293" s="488"/>
      <c r="GTP293" s="489"/>
      <c r="GTQ293" s="488"/>
      <c r="GTR293" s="468"/>
      <c r="GTS293" s="469"/>
      <c r="GTT293" s="470"/>
      <c r="GTU293" s="470"/>
      <c r="GTV293" s="306"/>
      <c r="GTW293" s="317"/>
      <c r="GTX293" s="471"/>
      <c r="GTY293" s="472"/>
      <c r="GTZ293" s="471"/>
      <c r="GUA293" s="473"/>
      <c r="GUB293" s="474"/>
      <c r="GUC293" s="475"/>
      <c r="GUD293" s="476"/>
      <c r="GUE293" s="477"/>
      <c r="GUF293" s="475"/>
      <c r="GUG293" s="478"/>
      <c r="GUH293" s="479"/>
      <c r="GUI293" s="480"/>
      <c r="GUJ293" s="481"/>
      <c r="GUK293" s="481"/>
      <c r="GUL293" s="482"/>
      <c r="GUM293" s="189"/>
      <c r="GUN293" s="189"/>
      <c r="GUO293" s="483"/>
      <c r="GUP293" s="306"/>
      <c r="GUQ293" s="484"/>
      <c r="GUR293" s="306"/>
      <c r="GUS293" s="267"/>
      <c r="GUT293" s="268"/>
      <c r="GUU293" s="306"/>
      <c r="GUV293" s="268"/>
      <c r="GUW293" s="306"/>
      <c r="GUX293" s="485"/>
      <c r="GUY293" s="306"/>
      <c r="GUZ293" s="486"/>
      <c r="GVA293" s="487"/>
      <c r="GVB293" s="488"/>
      <c r="GVC293" s="489"/>
      <c r="GVD293" s="488"/>
      <c r="GVE293" s="468"/>
      <c r="GVF293" s="469"/>
      <c r="GVG293" s="470"/>
      <c r="GVH293" s="470"/>
      <c r="GVI293" s="306"/>
      <c r="GVJ293" s="317"/>
      <c r="GVK293" s="471"/>
      <c r="GVL293" s="472"/>
      <c r="GVM293" s="471"/>
      <c r="GVN293" s="473"/>
      <c r="GVO293" s="474"/>
      <c r="GVP293" s="475"/>
      <c r="GVQ293" s="476"/>
      <c r="GVR293" s="477"/>
      <c r="GVS293" s="475"/>
      <c r="GVT293" s="478"/>
      <c r="GVU293" s="479"/>
      <c r="GVV293" s="480"/>
      <c r="GVW293" s="481"/>
      <c r="GVX293" s="481"/>
      <c r="GVY293" s="482"/>
      <c r="GVZ293" s="189"/>
      <c r="GWA293" s="189"/>
      <c r="GWB293" s="483"/>
      <c r="GWC293" s="306"/>
      <c r="GWD293" s="484"/>
      <c r="GWE293" s="306"/>
      <c r="GWF293" s="267"/>
      <c r="GWG293" s="268"/>
      <c r="GWH293" s="306"/>
      <c r="GWI293" s="268"/>
      <c r="GWJ293" s="306"/>
      <c r="GWK293" s="485"/>
      <c r="GWL293" s="306"/>
      <c r="GWM293" s="486"/>
      <c r="GWN293" s="487"/>
      <c r="GWO293" s="488"/>
      <c r="GWP293" s="489"/>
      <c r="GWQ293" s="488"/>
      <c r="GWR293" s="468"/>
      <c r="GWS293" s="469"/>
      <c r="GWT293" s="470"/>
      <c r="GWU293" s="470"/>
      <c r="GWV293" s="306"/>
      <c r="GWW293" s="317"/>
      <c r="GWX293" s="471"/>
      <c r="GWY293" s="472"/>
      <c r="GWZ293" s="471"/>
      <c r="GXA293" s="473"/>
      <c r="GXB293" s="474"/>
      <c r="GXC293" s="475"/>
      <c r="GXD293" s="476"/>
      <c r="GXE293" s="477"/>
      <c r="GXF293" s="475"/>
      <c r="GXG293" s="478"/>
      <c r="GXH293" s="479"/>
      <c r="GXI293" s="480"/>
      <c r="GXJ293" s="481"/>
      <c r="GXK293" s="481"/>
      <c r="GXL293" s="482"/>
      <c r="GXM293" s="189"/>
      <c r="GXN293" s="189"/>
      <c r="GXO293" s="483"/>
      <c r="GXP293" s="306"/>
      <c r="GXQ293" s="484"/>
      <c r="GXR293" s="306"/>
      <c r="GXS293" s="267"/>
      <c r="GXT293" s="268"/>
      <c r="GXU293" s="306"/>
      <c r="GXV293" s="268"/>
      <c r="GXW293" s="306"/>
      <c r="GXX293" s="485"/>
      <c r="GXY293" s="306"/>
      <c r="GXZ293" s="486"/>
      <c r="GYA293" s="487"/>
      <c r="GYB293" s="488"/>
      <c r="GYC293" s="489"/>
      <c r="GYD293" s="488"/>
      <c r="GYE293" s="468"/>
      <c r="GYF293" s="469"/>
      <c r="GYG293" s="470"/>
      <c r="GYH293" s="470"/>
      <c r="GYI293" s="306"/>
      <c r="GYJ293" s="317"/>
      <c r="GYK293" s="471"/>
      <c r="GYL293" s="472"/>
      <c r="GYM293" s="471"/>
      <c r="GYN293" s="473"/>
      <c r="GYO293" s="474"/>
      <c r="GYP293" s="475"/>
      <c r="GYQ293" s="476"/>
      <c r="GYR293" s="477"/>
      <c r="GYS293" s="475"/>
      <c r="GYT293" s="478"/>
      <c r="GYU293" s="479"/>
      <c r="GYV293" s="480"/>
      <c r="GYW293" s="481"/>
      <c r="GYX293" s="481"/>
      <c r="GYY293" s="482"/>
      <c r="GYZ293" s="189"/>
      <c r="GZA293" s="189"/>
      <c r="GZB293" s="483"/>
      <c r="GZC293" s="306"/>
      <c r="GZD293" s="484"/>
      <c r="GZE293" s="306"/>
      <c r="GZF293" s="267"/>
      <c r="GZG293" s="268"/>
      <c r="GZH293" s="306"/>
      <c r="GZI293" s="268"/>
      <c r="GZJ293" s="306"/>
      <c r="GZK293" s="485"/>
      <c r="GZL293" s="306"/>
      <c r="GZM293" s="486"/>
      <c r="GZN293" s="487"/>
      <c r="GZO293" s="488"/>
      <c r="GZP293" s="489"/>
      <c r="GZQ293" s="488"/>
      <c r="GZR293" s="468"/>
      <c r="GZS293" s="469"/>
      <c r="GZT293" s="470"/>
      <c r="GZU293" s="470"/>
      <c r="GZV293" s="306"/>
      <c r="GZW293" s="317"/>
      <c r="GZX293" s="471"/>
      <c r="GZY293" s="472"/>
      <c r="GZZ293" s="471"/>
      <c r="HAA293" s="473"/>
      <c r="HAB293" s="474"/>
      <c r="HAC293" s="475"/>
      <c r="HAD293" s="476"/>
      <c r="HAE293" s="477"/>
      <c r="HAF293" s="475"/>
      <c r="HAG293" s="478"/>
      <c r="HAH293" s="479"/>
      <c r="HAI293" s="480"/>
      <c r="HAJ293" s="481"/>
      <c r="HAK293" s="481"/>
      <c r="HAL293" s="482"/>
      <c r="HAM293" s="189"/>
      <c r="HAN293" s="189"/>
      <c r="HAO293" s="483"/>
      <c r="HAP293" s="306"/>
      <c r="HAQ293" s="484"/>
      <c r="HAR293" s="306"/>
      <c r="HAS293" s="267"/>
      <c r="HAT293" s="268"/>
      <c r="HAU293" s="306"/>
      <c r="HAV293" s="268"/>
      <c r="HAW293" s="306"/>
      <c r="HAX293" s="485"/>
      <c r="HAY293" s="306"/>
      <c r="HAZ293" s="486"/>
      <c r="HBA293" s="487"/>
      <c r="HBB293" s="488"/>
      <c r="HBC293" s="489"/>
      <c r="HBD293" s="488"/>
      <c r="HBE293" s="468"/>
      <c r="HBF293" s="469"/>
      <c r="HBG293" s="470"/>
      <c r="HBH293" s="470"/>
      <c r="HBI293" s="306"/>
      <c r="HBJ293" s="317"/>
      <c r="HBK293" s="471"/>
      <c r="HBL293" s="472"/>
      <c r="HBM293" s="471"/>
      <c r="HBN293" s="473"/>
      <c r="HBO293" s="474"/>
      <c r="HBP293" s="475"/>
      <c r="HBQ293" s="476"/>
      <c r="HBR293" s="477"/>
      <c r="HBS293" s="475"/>
      <c r="HBT293" s="478"/>
      <c r="HBU293" s="479"/>
      <c r="HBV293" s="480"/>
      <c r="HBW293" s="481"/>
      <c r="HBX293" s="481"/>
      <c r="HBY293" s="482"/>
      <c r="HBZ293" s="189"/>
      <c r="HCA293" s="189"/>
      <c r="HCB293" s="483"/>
      <c r="HCC293" s="306"/>
      <c r="HCD293" s="484"/>
      <c r="HCE293" s="306"/>
      <c r="HCF293" s="267"/>
      <c r="HCG293" s="268"/>
      <c r="HCH293" s="306"/>
      <c r="HCI293" s="268"/>
      <c r="HCJ293" s="306"/>
      <c r="HCK293" s="485"/>
      <c r="HCL293" s="306"/>
      <c r="HCM293" s="486"/>
      <c r="HCN293" s="487"/>
      <c r="HCO293" s="488"/>
      <c r="HCP293" s="489"/>
      <c r="HCQ293" s="488"/>
      <c r="HCR293" s="468"/>
      <c r="HCS293" s="469"/>
      <c r="HCT293" s="470"/>
      <c r="HCU293" s="470"/>
      <c r="HCV293" s="306"/>
      <c r="HCW293" s="317"/>
      <c r="HCX293" s="471"/>
      <c r="HCY293" s="472"/>
      <c r="HCZ293" s="471"/>
      <c r="HDA293" s="473"/>
      <c r="HDB293" s="474"/>
      <c r="HDC293" s="475"/>
      <c r="HDD293" s="476"/>
      <c r="HDE293" s="477"/>
      <c r="HDF293" s="475"/>
      <c r="HDG293" s="478"/>
      <c r="HDH293" s="479"/>
      <c r="HDI293" s="480"/>
      <c r="HDJ293" s="481"/>
      <c r="HDK293" s="481"/>
      <c r="HDL293" s="482"/>
      <c r="HDM293" s="189"/>
      <c r="HDN293" s="189"/>
      <c r="HDO293" s="483"/>
      <c r="HDP293" s="306"/>
      <c r="HDQ293" s="484"/>
      <c r="HDR293" s="306"/>
      <c r="HDS293" s="267"/>
      <c r="HDT293" s="268"/>
      <c r="HDU293" s="306"/>
      <c r="HDV293" s="268"/>
      <c r="HDW293" s="306"/>
      <c r="HDX293" s="485"/>
      <c r="HDY293" s="306"/>
      <c r="HDZ293" s="486"/>
      <c r="HEA293" s="487"/>
      <c r="HEB293" s="488"/>
      <c r="HEC293" s="489"/>
      <c r="HED293" s="488"/>
      <c r="HEE293" s="468"/>
      <c r="HEF293" s="469"/>
      <c r="HEG293" s="470"/>
      <c r="HEH293" s="470"/>
      <c r="HEI293" s="306"/>
      <c r="HEJ293" s="317"/>
      <c r="HEK293" s="471"/>
      <c r="HEL293" s="472"/>
      <c r="HEM293" s="471"/>
      <c r="HEN293" s="473"/>
      <c r="HEO293" s="474"/>
      <c r="HEP293" s="475"/>
      <c r="HEQ293" s="476"/>
      <c r="HER293" s="477"/>
      <c r="HES293" s="475"/>
      <c r="HET293" s="478"/>
      <c r="HEU293" s="479"/>
      <c r="HEV293" s="480"/>
      <c r="HEW293" s="481"/>
      <c r="HEX293" s="481"/>
      <c r="HEY293" s="482"/>
      <c r="HEZ293" s="189"/>
      <c r="HFA293" s="189"/>
      <c r="HFB293" s="483"/>
      <c r="HFC293" s="306"/>
      <c r="HFD293" s="484"/>
      <c r="HFE293" s="306"/>
      <c r="HFF293" s="267"/>
      <c r="HFG293" s="268"/>
      <c r="HFH293" s="306"/>
      <c r="HFI293" s="268"/>
      <c r="HFJ293" s="306"/>
      <c r="HFK293" s="485"/>
      <c r="HFL293" s="306"/>
      <c r="HFM293" s="486"/>
      <c r="HFN293" s="487"/>
      <c r="HFO293" s="488"/>
      <c r="HFP293" s="489"/>
      <c r="HFQ293" s="488"/>
      <c r="HFR293" s="468"/>
      <c r="HFS293" s="469"/>
      <c r="HFT293" s="470"/>
      <c r="HFU293" s="470"/>
      <c r="HFV293" s="306"/>
      <c r="HFW293" s="317"/>
      <c r="HFX293" s="471"/>
      <c r="HFY293" s="472"/>
      <c r="HFZ293" s="471"/>
      <c r="HGA293" s="473"/>
      <c r="HGB293" s="474"/>
      <c r="HGC293" s="475"/>
      <c r="HGD293" s="476"/>
      <c r="HGE293" s="477"/>
      <c r="HGF293" s="475"/>
      <c r="HGG293" s="478"/>
      <c r="HGH293" s="479"/>
      <c r="HGI293" s="480"/>
      <c r="HGJ293" s="481"/>
      <c r="HGK293" s="481"/>
      <c r="HGL293" s="482"/>
      <c r="HGM293" s="189"/>
      <c r="HGN293" s="189"/>
      <c r="HGO293" s="483"/>
      <c r="HGP293" s="306"/>
      <c r="HGQ293" s="484"/>
      <c r="HGR293" s="306"/>
      <c r="HGS293" s="267"/>
      <c r="HGT293" s="268"/>
      <c r="HGU293" s="306"/>
      <c r="HGV293" s="268"/>
      <c r="HGW293" s="306"/>
      <c r="HGX293" s="485"/>
      <c r="HGY293" s="306"/>
      <c r="HGZ293" s="486"/>
      <c r="HHA293" s="487"/>
      <c r="HHB293" s="488"/>
      <c r="HHC293" s="489"/>
      <c r="HHD293" s="488"/>
      <c r="HHE293" s="468"/>
      <c r="HHF293" s="469"/>
      <c r="HHG293" s="470"/>
      <c r="HHH293" s="470"/>
      <c r="HHI293" s="306"/>
      <c r="HHJ293" s="317"/>
      <c r="HHK293" s="471"/>
      <c r="HHL293" s="472"/>
      <c r="HHM293" s="471"/>
      <c r="HHN293" s="473"/>
      <c r="HHO293" s="474"/>
      <c r="HHP293" s="475"/>
      <c r="HHQ293" s="476"/>
      <c r="HHR293" s="477"/>
      <c r="HHS293" s="475"/>
      <c r="HHT293" s="478"/>
      <c r="HHU293" s="479"/>
      <c r="HHV293" s="480"/>
      <c r="HHW293" s="481"/>
      <c r="HHX293" s="481"/>
      <c r="HHY293" s="482"/>
      <c r="HHZ293" s="189"/>
      <c r="HIA293" s="189"/>
      <c r="HIB293" s="483"/>
      <c r="HIC293" s="306"/>
      <c r="HID293" s="484"/>
      <c r="HIE293" s="306"/>
      <c r="HIF293" s="267"/>
      <c r="HIG293" s="268"/>
      <c r="HIH293" s="306"/>
      <c r="HII293" s="268"/>
      <c r="HIJ293" s="306"/>
      <c r="HIK293" s="485"/>
      <c r="HIL293" s="306"/>
      <c r="HIM293" s="486"/>
      <c r="HIN293" s="487"/>
      <c r="HIO293" s="488"/>
      <c r="HIP293" s="489"/>
      <c r="HIQ293" s="488"/>
      <c r="HIR293" s="468"/>
      <c r="HIS293" s="469"/>
      <c r="HIT293" s="470"/>
      <c r="HIU293" s="470"/>
      <c r="HIV293" s="306"/>
      <c r="HIW293" s="317"/>
      <c r="HIX293" s="471"/>
      <c r="HIY293" s="472"/>
      <c r="HIZ293" s="471"/>
      <c r="HJA293" s="473"/>
      <c r="HJB293" s="474"/>
      <c r="HJC293" s="475"/>
      <c r="HJD293" s="476"/>
      <c r="HJE293" s="477"/>
      <c r="HJF293" s="475"/>
      <c r="HJG293" s="478"/>
      <c r="HJH293" s="479"/>
      <c r="HJI293" s="480"/>
      <c r="HJJ293" s="481"/>
      <c r="HJK293" s="481"/>
      <c r="HJL293" s="482"/>
      <c r="HJM293" s="189"/>
      <c r="HJN293" s="189"/>
      <c r="HJO293" s="483"/>
      <c r="HJP293" s="306"/>
      <c r="HJQ293" s="484"/>
      <c r="HJR293" s="306"/>
      <c r="HJS293" s="267"/>
      <c r="HJT293" s="268"/>
      <c r="HJU293" s="306"/>
      <c r="HJV293" s="268"/>
      <c r="HJW293" s="306"/>
      <c r="HJX293" s="485"/>
      <c r="HJY293" s="306"/>
      <c r="HJZ293" s="486"/>
      <c r="HKA293" s="487"/>
      <c r="HKB293" s="488"/>
      <c r="HKC293" s="489"/>
      <c r="HKD293" s="488"/>
      <c r="HKE293" s="468"/>
      <c r="HKF293" s="469"/>
      <c r="HKG293" s="470"/>
      <c r="HKH293" s="470"/>
      <c r="HKI293" s="306"/>
      <c r="HKJ293" s="317"/>
      <c r="HKK293" s="471"/>
      <c r="HKL293" s="472"/>
      <c r="HKM293" s="471"/>
      <c r="HKN293" s="473"/>
      <c r="HKO293" s="474"/>
      <c r="HKP293" s="475"/>
      <c r="HKQ293" s="476"/>
      <c r="HKR293" s="477"/>
      <c r="HKS293" s="475"/>
      <c r="HKT293" s="478"/>
      <c r="HKU293" s="479"/>
      <c r="HKV293" s="480"/>
      <c r="HKW293" s="481"/>
      <c r="HKX293" s="481"/>
      <c r="HKY293" s="482"/>
      <c r="HKZ293" s="189"/>
      <c r="HLA293" s="189"/>
      <c r="HLB293" s="483"/>
      <c r="HLC293" s="306"/>
      <c r="HLD293" s="484"/>
      <c r="HLE293" s="306"/>
      <c r="HLF293" s="267"/>
      <c r="HLG293" s="268"/>
      <c r="HLH293" s="306"/>
      <c r="HLI293" s="268"/>
      <c r="HLJ293" s="306"/>
      <c r="HLK293" s="485"/>
      <c r="HLL293" s="306"/>
      <c r="HLM293" s="486"/>
      <c r="HLN293" s="487"/>
      <c r="HLO293" s="488"/>
      <c r="HLP293" s="489"/>
      <c r="HLQ293" s="488"/>
      <c r="HLR293" s="468"/>
      <c r="HLS293" s="469"/>
      <c r="HLT293" s="470"/>
      <c r="HLU293" s="470"/>
      <c r="HLV293" s="306"/>
      <c r="HLW293" s="317"/>
      <c r="HLX293" s="471"/>
      <c r="HLY293" s="472"/>
      <c r="HLZ293" s="471"/>
      <c r="HMA293" s="473"/>
      <c r="HMB293" s="474"/>
      <c r="HMC293" s="475"/>
      <c r="HMD293" s="476"/>
      <c r="HME293" s="477"/>
      <c r="HMF293" s="475"/>
      <c r="HMG293" s="478"/>
      <c r="HMH293" s="479"/>
      <c r="HMI293" s="480"/>
      <c r="HMJ293" s="481"/>
      <c r="HMK293" s="481"/>
      <c r="HML293" s="482"/>
      <c r="HMM293" s="189"/>
      <c r="HMN293" s="189"/>
      <c r="HMO293" s="483"/>
      <c r="HMP293" s="306"/>
      <c r="HMQ293" s="484"/>
      <c r="HMR293" s="306"/>
      <c r="HMS293" s="267"/>
      <c r="HMT293" s="268"/>
      <c r="HMU293" s="306"/>
      <c r="HMV293" s="268"/>
      <c r="HMW293" s="306"/>
      <c r="HMX293" s="485"/>
      <c r="HMY293" s="306"/>
      <c r="HMZ293" s="486"/>
      <c r="HNA293" s="487"/>
      <c r="HNB293" s="488"/>
      <c r="HNC293" s="489"/>
      <c r="HND293" s="488"/>
      <c r="HNE293" s="468"/>
      <c r="HNF293" s="469"/>
      <c r="HNG293" s="470"/>
      <c r="HNH293" s="470"/>
      <c r="HNI293" s="306"/>
      <c r="HNJ293" s="317"/>
      <c r="HNK293" s="471"/>
      <c r="HNL293" s="472"/>
      <c r="HNM293" s="471"/>
      <c r="HNN293" s="473"/>
      <c r="HNO293" s="474"/>
      <c r="HNP293" s="475"/>
      <c r="HNQ293" s="476"/>
      <c r="HNR293" s="477"/>
      <c r="HNS293" s="475"/>
      <c r="HNT293" s="478"/>
      <c r="HNU293" s="479"/>
      <c r="HNV293" s="480"/>
      <c r="HNW293" s="481"/>
      <c r="HNX293" s="481"/>
      <c r="HNY293" s="482"/>
      <c r="HNZ293" s="189"/>
      <c r="HOA293" s="189"/>
      <c r="HOB293" s="483"/>
      <c r="HOC293" s="306"/>
      <c r="HOD293" s="484"/>
      <c r="HOE293" s="306"/>
      <c r="HOF293" s="267"/>
      <c r="HOG293" s="268"/>
      <c r="HOH293" s="306"/>
      <c r="HOI293" s="268"/>
      <c r="HOJ293" s="306"/>
      <c r="HOK293" s="485"/>
      <c r="HOL293" s="306"/>
      <c r="HOM293" s="486"/>
      <c r="HON293" s="487"/>
      <c r="HOO293" s="488"/>
      <c r="HOP293" s="489"/>
      <c r="HOQ293" s="488"/>
      <c r="HOR293" s="468"/>
      <c r="HOS293" s="469"/>
      <c r="HOT293" s="470"/>
      <c r="HOU293" s="470"/>
      <c r="HOV293" s="306"/>
      <c r="HOW293" s="317"/>
      <c r="HOX293" s="471"/>
      <c r="HOY293" s="472"/>
      <c r="HOZ293" s="471"/>
      <c r="HPA293" s="473"/>
      <c r="HPB293" s="474"/>
      <c r="HPC293" s="475"/>
      <c r="HPD293" s="476"/>
      <c r="HPE293" s="477"/>
      <c r="HPF293" s="475"/>
      <c r="HPG293" s="478"/>
      <c r="HPH293" s="479"/>
      <c r="HPI293" s="480"/>
      <c r="HPJ293" s="481"/>
      <c r="HPK293" s="481"/>
      <c r="HPL293" s="482"/>
      <c r="HPM293" s="189"/>
      <c r="HPN293" s="189"/>
      <c r="HPO293" s="483"/>
      <c r="HPP293" s="306"/>
      <c r="HPQ293" s="484"/>
      <c r="HPR293" s="306"/>
      <c r="HPS293" s="267"/>
      <c r="HPT293" s="268"/>
      <c r="HPU293" s="306"/>
      <c r="HPV293" s="268"/>
      <c r="HPW293" s="306"/>
      <c r="HPX293" s="485"/>
      <c r="HPY293" s="306"/>
      <c r="HPZ293" s="486"/>
      <c r="HQA293" s="487"/>
      <c r="HQB293" s="488"/>
      <c r="HQC293" s="489"/>
      <c r="HQD293" s="488"/>
      <c r="HQE293" s="468"/>
      <c r="HQF293" s="469"/>
      <c r="HQG293" s="470"/>
      <c r="HQH293" s="470"/>
      <c r="HQI293" s="306"/>
      <c r="HQJ293" s="317"/>
      <c r="HQK293" s="471"/>
      <c r="HQL293" s="472"/>
      <c r="HQM293" s="471"/>
      <c r="HQN293" s="473"/>
      <c r="HQO293" s="474"/>
      <c r="HQP293" s="475"/>
      <c r="HQQ293" s="476"/>
      <c r="HQR293" s="477"/>
      <c r="HQS293" s="475"/>
      <c r="HQT293" s="478"/>
      <c r="HQU293" s="479"/>
      <c r="HQV293" s="480"/>
      <c r="HQW293" s="481"/>
      <c r="HQX293" s="481"/>
      <c r="HQY293" s="482"/>
      <c r="HQZ293" s="189"/>
      <c r="HRA293" s="189"/>
      <c r="HRB293" s="483"/>
      <c r="HRC293" s="306"/>
      <c r="HRD293" s="484"/>
      <c r="HRE293" s="306"/>
      <c r="HRF293" s="267"/>
      <c r="HRG293" s="268"/>
      <c r="HRH293" s="306"/>
      <c r="HRI293" s="268"/>
      <c r="HRJ293" s="306"/>
      <c r="HRK293" s="485"/>
      <c r="HRL293" s="306"/>
      <c r="HRM293" s="486"/>
      <c r="HRN293" s="487"/>
      <c r="HRO293" s="488"/>
      <c r="HRP293" s="489"/>
      <c r="HRQ293" s="488"/>
      <c r="HRR293" s="468"/>
      <c r="HRS293" s="469"/>
      <c r="HRT293" s="470"/>
      <c r="HRU293" s="470"/>
      <c r="HRV293" s="306"/>
      <c r="HRW293" s="317"/>
      <c r="HRX293" s="471"/>
      <c r="HRY293" s="472"/>
      <c r="HRZ293" s="471"/>
      <c r="HSA293" s="473"/>
      <c r="HSB293" s="474"/>
      <c r="HSC293" s="475"/>
      <c r="HSD293" s="476"/>
      <c r="HSE293" s="477"/>
      <c r="HSF293" s="475"/>
      <c r="HSG293" s="478"/>
      <c r="HSH293" s="479"/>
      <c r="HSI293" s="480"/>
      <c r="HSJ293" s="481"/>
      <c r="HSK293" s="481"/>
      <c r="HSL293" s="482"/>
      <c r="HSM293" s="189"/>
      <c r="HSN293" s="189"/>
      <c r="HSO293" s="483"/>
      <c r="HSP293" s="306"/>
      <c r="HSQ293" s="484"/>
      <c r="HSR293" s="306"/>
      <c r="HSS293" s="267"/>
      <c r="HST293" s="268"/>
      <c r="HSU293" s="306"/>
      <c r="HSV293" s="268"/>
      <c r="HSW293" s="306"/>
      <c r="HSX293" s="485"/>
      <c r="HSY293" s="306"/>
      <c r="HSZ293" s="486"/>
      <c r="HTA293" s="487"/>
      <c r="HTB293" s="488"/>
      <c r="HTC293" s="489"/>
      <c r="HTD293" s="488"/>
      <c r="HTE293" s="468"/>
      <c r="HTF293" s="469"/>
      <c r="HTG293" s="470"/>
      <c r="HTH293" s="470"/>
      <c r="HTI293" s="306"/>
      <c r="HTJ293" s="317"/>
      <c r="HTK293" s="471"/>
      <c r="HTL293" s="472"/>
      <c r="HTM293" s="471"/>
      <c r="HTN293" s="473"/>
      <c r="HTO293" s="474"/>
      <c r="HTP293" s="475"/>
      <c r="HTQ293" s="476"/>
      <c r="HTR293" s="477"/>
      <c r="HTS293" s="475"/>
      <c r="HTT293" s="478"/>
      <c r="HTU293" s="479"/>
      <c r="HTV293" s="480"/>
      <c r="HTW293" s="481"/>
      <c r="HTX293" s="481"/>
      <c r="HTY293" s="482"/>
      <c r="HTZ293" s="189"/>
      <c r="HUA293" s="189"/>
      <c r="HUB293" s="483"/>
      <c r="HUC293" s="306"/>
      <c r="HUD293" s="484"/>
      <c r="HUE293" s="306"/>
      <c r="HUF293" s="267"/>
      <c r="HUG293" s="268"/>
      <c r="HUH293" s="306"/>
      <c r="HUI293" s="268"/>
      <c r="HUJ293" s="306"/>
      <c r="HUK293" s="485"/>
      <c r="HUL293" s="306"/>
      <c r="HUM293" s="486"/>
      <c r="HUN293" s="487"/>
      <c r="HUO293" s="488"/>
      <c r="HUP293" s="489"/>
      <c r="HUQ293" s="488"/>
      <c r="HUR293" s="468"/>
      <c r="HUS293" s="469"/>
      <c r="HUT293" s="470"/>
      <c r="HUU293" s="470"/>
      <c r="HUV293" s="306"/>
      <c r="HUW293" s="317"/>
      <c r="HUX293" s="471"/>
      <c r="HUY293" s="472"/>
      <c r="HUZ293" s="471"/>
      <c r="HVA293" s="473"/>
      <c r="HVB293" s="474"/>
      <c r="HVC293" s="475"/>
      <c r="HVD293" s="476"/>
      <c r="HVE293" s="477"/>
      <c r="HVF293" s="475"/>
      <c r="HVG293" s="478"/>
      <c r="HVH293" s="479"/>
      <c r="HVI293" s="480"/>
      <c r="HVJ293" s="481"/>
      <c r="HVK293" s="481"/>
      <c r="HVL293" s="482"/>
      <c r="HVM293" s="189"/>
      <c r="HVN293" s="189"/>
      <c r="HVO293" s="483"/>
      <c r="HVP293" s="306"/>
      <c r="HVQ293" s="484"/>
      <c r="HVR293" s="306"/>
      <c r="HVS293" s="267"/>
      <c r="HVT293" s="268"/>
      <c r="HVU293" s="306"/>
      <c r="HVV293" s="268"/>
      <c r="HVW293" s="306"/>
      <c r="HVX293" s="485"/>
      <c r="HVY293" s="306"/>
      <c r="HVZ293" s="486"/>
      <c r="HWA293" s="487"/>
      <c r="HWB293" s="488"/>
      <c r="HWC293" s="489"/>
      <c r="HWD293" s="488"/>
      <c r="HWE293" s="468"/>
      <c r="HWF293" s="469"/>
      <c r="HWG293" s="470"/>
      <c r="HWH293" s="470"/>
      <c r="HWI293" s="306"/>
      <c r="HWJ293" s="317"/>
      <c r="HWK293" s="471"/>
      <c r="HWL293" s="472"/>
      <c r="HWM293" s="471"/>
      <c r="HWN293" s="473"/>
      <c r="HWO293" s="474"/>
      <c r="HWP293" s="475"/>
      <c r="HWQ293" s="476"/>
      <c r="HWR293" s="477"/>
      <c r="HWS293" s="475"/>
      <c r="HWT293" s="478"/>
      <c r="HWU293" s="479"/>
      <c r="HWV293" s="480"/>
      <c r="HWW293" s="481"/>
      <c r="HWX293" s="481"/>
      <c r="HWY293" s="482"/>
      <c r="HWZ293" s="189"/>
      <c r="HXA293" s="189"/>
      <c r="HXB293" s="483"/>
      <c r="HXC293" s="306"/>
      <c r="HXD293" s="484"/>
      <c r="HXE293" s="306"/>
      <c r="HXF293" s="267"/>
      <c r="HXG293" s="268"/>
      <c r="HXH293" s="306"/>
      <c r="HXI293" s="268"/>
      <c r="HXJ293" s="306"/>
      <c r="HXK293" s="485"/>
      <c r="HXL293" s="306"/>
      <c r="HXM293" s="486"/>
      <c r="HXN293" s="487"/>
      <c r="HXO293" s="488"/>
      <c r="HXP293" s="489"/>
      <c r="HXQ293" s="488"/>
      <c r="HXR293" s="468"/>
      <c r="HXS293" s="469"/>
      <c r="HXT293" s="470"/>
      <c r="HXU293" s="470"/>
      <c r="HXV293" s="306"/>
      <c r="HXW293" s="317"/>
      <c r="HXX293" s="471"/>
      <c r="HXY293" s="472"/>
      <c r="HXZ293" s="471"/>
      <c r="HYA293" s="473"/>
      <c r="HYB293" s="474"/>
      <c r="HYC293" s="475"/>
      <c r="HYD293" s="476"/>
      <c r="HYE293" s="477"/>
      <c r="HYF293" s="475"/>
      <c r="HYG293" s="478"/>
      <c r="HYH293" s="479"/>
      <c r="HYI293" s="480"/>
      <c r="HYJ293" s="481"/>
      <c r="HYK293" s="481"/>
      <c r="HYL293" s="482"/>
      <c r="HYM293" s="189"/>
      <c r="HYN293" s="189"/>
      <c r="HYO293" s="483"/>
      <c r="HYP293" s="306"/>
      <c r="HYQ293" s="484"/>
      <c r="HYR293" s="306"/>
      <c r="HYS293" s="267"/>
      <c r="HYT293" s="268"/>
      <c r="HYU293" s="306"/>
      <c r="HYV293" s="268"/>
      <c r="HYW293" s="306"/>
      <c r="HYX293" s="485"/>
      <c r="HYY293" s="306"/>
      <c r="HYZ293" s="486"/>
      <c r="HZA293" s="487"/>
      <c r="HZB293" s="488"/>
      <c r="HZC293" s="489"/>
      <c r="HZD293" s="488"/>
      <c r="HZE293" s="468"/>
      <c r="HZF293" s="469"/>
      <c r="HZG293" s="470"/>
      <c r="HZH293" s="470"/>
      <c r="HZI293" s="306"/>
      <c r="HZJ293" s="317"/>
      <c r="HZK293" s="471"/>
      <c r="HZL293" s="472"/>
      <c r="HZM293" s="471"/>
      <c r="HZN293" s="473"/>
      <c r="HZO293" s="474"/>
      <c r="HZP293" s="475"/>
      <c r="HZQ293" s="476"/>
      <c r="HZR293" s="477"/>
      <c r="HZS293" s="475"/>
      <c r="HZT293" s="478"/>
      <c r="HZU293" s="479"/>
      <c r="HZV293" s="480"/>
      <c r="HZW293" s="481"/>
      <c r="HZX293" s="481"/>
      <c r="HZY293" s="482"/>
      <c r="HZZ293" s="189"/>
      <c r="IAA293" s="189"/>
      <c r="IAB293" s="483"/>
      <c r="IAC293" s="306"/>
      <c r="IAD293" s="484"/>
      <c r="IAE293" s="306"/>
      <c r="IAF293" s="267"/>
      <c r="IAG293" s="268"/>
      <c r="IAH293" s="306"/>
      <c r="IAI293" s="268"/>
      <c r="IAJ293" s="306"/>
      <c r="IAK293" s="485"/>
      <c r="IAL293" s="306"/>
      <c r="IAM293" s="486"/>
      <c r="IAN293" s="487"/>
      <c r="IAO293" s="488"/>
      <c r="IAP293" s="489"/>
      <c r="IAQ293" s="488"/>
      <c r="IAR293" s="468"/>
      <c r="IAS293" s="469"/>
      <c r="IAT293" s="470"/>
      <c r="IAU293" s="470"/>
      <c r="IAV293" s="306"/>
      <c r="IAW293" s="317"/>
      <c r="IAX293" s="471"/>
      <c r="IAY293" s="472"/>
      <c r="IAZ293" s="471"/>
      <c r="IBA293" s="473"/>
      <c r="IBB293" s="474"/>
      <c r="IBC293" s="475"/>
      <c r="IBD293" s="476"/>
      <c r="IBE293" s="477"/>
      <c r="IBF293" s="475"/>
      <c r="IBG293" s="478"/>
      <c r="IBH293" s="479"/>
      <c r="IBI293" s="480"/>
      <c r="IBJ293" s="481"/>
      <c r="IBK293" s="481"/>
      <c r="IBL293" s="482"/>
      <c r="IBM293" s="189"/>
      <c r="IBN293" s="189"/>
      <c r="IBO293" s="483"/>
      <c r="IBP293" s="306"/>
      <c r="IBQ293" s="484"/>
      <c r="IBR293" s="306"/>
      <c r="IBS293" s="267"/>
      <c r="IBT293" s="268"/>
      <c r="IBU293" s="306"/>
      <c r="IBV293" s="268"/>
      <c r="IBW293" s="306"/>
      <c r="IBX293" s="485"/>
      <c r="IBY293" s="306"/>
      <c r="IBZ293" s="486"/>
      <c r="ICA293" s="487"/>
      <c r="ICB293" s="488"/>
      <c r="ICC293" s="489"/>
      <c r="ICD293" s="488"/>
      <c r="ICE293" s="468"/>
      <c r="ICF293" s="469"/>
      <c r="ICG293" s="470"/>
      <c r="ICH293" s="470"/>
      <c r="ICI293" s="306"/>
      <c r="ICJ293" s="317"/>
      <c r="ICK293" s="471"/>
      <c r="ICL293" s="472"/>
      <c r="ICM293" s="471"/>
      <c r="ICN293" s="473"/>
      <c r="ICO293" s="474"/>
      <c r="ICP293" s="475"/>
      <c r="ICQ293" s="476"/>
      <c r="ICR293" s="477"/>
      <c r="ICS293" s="475"/>
      <c r="ICT293" s="478"/>
      <c r="ICU293" s="479"/>
      <c r="ICV293" s="480"/>
      <c r="ICW293" s="481"/>
      <c r="ICX293" s="481"/>
      <c r="ICY293" s="482"/>
      <c r="ICZ293" s="189"/>
      <c r="IDA293" s="189"/>
      <c r="IDB293" s="483"/>
      <c r="IDC293" s="306"/>
      <c r="IDD293" s="484"/>
      <c r="IDE293" s="306"/>
      <c r="IDF293" s="267"/>
      <c r="IDG293" s="268"/>
      <c r="IDH293" s="306"/>
      <c r="IDI293" s="268"/>
      <c r="IDJ293" s="306"/>
      <c r="IDK293" s="485"/>
      <c r="IDL293" s="306"/>
      <c r="IDM293" s="486"/>
      <c r="IDN293" s="487"/>
      <c r="IDO293" s="488"/>
      <c r="IDP293" s="489"/>
      <c r="IDQ293" s="488"/>
      <c r="IDR293" s="468"/>
      <c r="IDS293" s="469"/>
      <c r="IDT293" s="470"/>
      <c r="IDU293" s="470"/>
      <c r="IDV293" s="306"/>
      <c r="IDW293" s="317"/>
      <c r="IDX293" s="471"/>
      <c r="IDY293" s="472"/>
      <c r="IDZ293" s="471"/>
      <c r="IEA293" s="473"/>
      <c r="IEB293" s="474"/>
      <c r="IEC293" s="475"/>
      <c r="IED293" s="476"/>
      <c r="IEE293" s="477"/>
      <c r="IEF293" s="475"/>
      <c r="IEG293" s="478"/>
      <c r="IEH293" s="479"/>
      <c r="IEI293" s="480"/>
      <c r="IEJ293" s="481"/>
      <c r="IEK293" s="481"/>
      <c r="IEL293" s="482"/>
      <c r="IEM293" s="189"/>
      <c r="IEN293" s="189"/>
      <c r="IEO293" s="483"/>
      <c r="IEP293" s="306"/>
      <c r="IEQ293" s="484"/>
      <c r="IER293" s="306"/>
      <c r="IES293" s="267"/>
      <c r="IET293" s="268"/>
      <c r="IEU293" s="306"/>
      <c r="IEV293" s="268"/>
      <c r="IEW293" s="306"/>
      <c r="IEX293" s="485"/>
      <c r="IEY293" s="306"/>
      <c r="IEZ293" s="486"/>
      <c r="IFA293" s="487"/>
      <c r="IFB293" s="488"/>
      <c r="IFC293" s="489"/>
      <c r="IFD293" s="488"/>
      <c r="IFE293" s="468"/>
      <c r="IFF293" s="469"/>
      <c r="IFG293" s="470"/>
      <c r="IFH293" s="470"/>
      <c r="IFI293" s="306"/>
      <c r="IFJ293" s="317"/>
      <c r="IFK293" s="471"/>
      <c r="IFL293" s="472"/>
      <c r="IFM293" s="471"/>
      <c r="IFN293" s="473"/>
      <c r="IFO293" s="474"/>
      <c r="IFP293" s="475"/>
      <c r="IFQ293" s="476"/>
      <c r="IFR293" s="477"/>
      <c r="IFS293" s="475"/>
      <c r="IFT293" s="478"/>
      <c r="IFU293" s="479"/>
      <c r="IFV293" s="480"/>
      <c r="IFW293" s="481"/>
      <c r="IFX293" s="481"/>
      <c r="IFY293" s="482"/>
      <c r="IFZ293" s="189"/>
      <c r="IGA293" s="189"/>
      <c r="IGB293" s="483"/>
      <c r="IGC293" s="306"/>
      <c r="IGD293" s="484"/>
      <c r="IGE293" s="306"/>
      <c r="IGF293" s="267"/>
      <c r="IGG293" s="268"/>
      <c r="IGH293" s="306"/>
      <c r="IGI293" s="268"/>
      <c r="IGJ293" s="306"/>
      <c r="IGK293" s="485"/>
      <c r="IGL293" s="306"/>
      <c r="IGM293" s="486"/>
      <c r="IGN293" s="487"/>
      <c r="IGO293" s="488"/>
      <c r="IGP293" s="489"/>
      <c r="IGQ293" s="488"/>
      <c r="IGR293" s="468"/>
      <c r="IGS293" s="469"/>
      <c r="IGT293" s="470"/>
      <c r="IGU293" s="470"/>
      <c r="IGV293" s="306"/>
      <c r="IGW293" s="317"/>
      <c r="IGX293" s="471"/>
      <c r="IGY293" s="472"/>
      <c r="IGZ293" s="471"/>
      <c r="IHA293" s="473"/>
      <c r="IHB293" s="474"/>
      <c r="IHC293" s="475"/>
      <c r="IHD293" s="476"/>
      <c r="IHE293" s="477"/>
      <c r="IHF293" s="475"/>
      <c r="IHG293" s="478"/>
      <c r="IHH293" s="479"/>
      <c r="IHI293" s="480"/>
      <c r="IHJ293" s="481"/>
      <c r="IHK293" s="481"/>
      <c r="IHL293" s="482"/>
      <c r="IHM293" s="189"/>
      <c r="IHN293" s="189"/>
      <c r="IHO293" s="483"/>
      <c r="IHP293" s="306"/>
      <c r="IHQ293" s="484"/>
      <c r="IHR293" s="306"/>
      <c r="IHS293" s="267"/>
      <c r="IHT293" s="268"/>
      <c r="IHU293" s="306"/>
      <c r="IHV293" s="268"/>
      <c r="IHW293" s="306"/>
      <c r="IHX293" s="485"/>
      <c r="IHY293" s="306"/>
      <c r="IHZ293" s="486"/>
      <c r="IIA293" s="487"/>
      <c r="IIB293" s="488"/>
      <c r="IIC293" s="489"/>
      <c r="IID293" s="488"/>
      <c r="IIE293" s="468"/>
      <c r="IIF293" s="469"/>
      <c r="IIG293" s="470"/>
      <c r="IIH293" s="470"/>
      <c r="III293" s="306"/>
      <c r="IIJ293" s="317"/>
      <c r="IIK293" s="471"/>
      <c r="IIL293" s="472"/>
      <c r="IIM293" s="471"/>
      <c r="IIN293" s="473"/>
      <c r="IIO293" s="474"/>
      <c r="IIP293" s="475"/>
      <c r="IIQ293" s="476"/>
      <c r="IIR293" s="477"/>
      <c r="IIS293" s="475"/>
      <c r="IIT293" s="478"/>
      <c r="IIU293" s="479"/>
      <c r="IIV293" s="480"/>
      <c r="IIW293" s="481"/>
      <c r="IIX293" s="481"/>
      <c r="IIY293" s="482"/>
      <c r="IIZ293" s="189"/>
      <c r="IJA293" s="189"/>
      <c r="IJB293" s="483"/>
      <c r="IJC293" s="306"/>
      <c r="IJD293" s="484"/>
      <c r="IJE293" s="306"/>
      <c r="IJF293" s="267"/>
      <c r="IJG293" s="268"/>
      <c r="IJH293" s="306"/>
      <c r="IJI293" s="268"/>
      <c r="IJJ293" s="306"/>
      <c r="IJK293" s="485"/>
      <c r="IJL293" s="306"/>
      <c r="IJM293" s="486"/>
      <c r="IJN293" s="487"/>
      <c r="IJO293" s="488"/>
      <c r="IJP293" s="489"/>
      <c r="IJQ293" s="488"/>
      <c r="IJR293" s="468"/>
      <c r="IJS293" s="469"/>
      <c r="IJT293" s="470"/>
      <c r="IJU293" s="470"/>
      <c r="IJV293" s="306"/>
      <c r="IJW293" s="317"/>
      <c r="IJX293" s="471"/>
      <c r="IJY293" s="472"/>
      <c r="IJZ293" s="471"/>
      <c r="IKA293" s="473"/>
      <c r="IKB293" s="474"/>
      <c r="IKC293" s="475"/>
      <c r="IKD293" s="476"/>
      <c r="IKE293" s="477"/>
      <c r="IKF293" s="475"/>
      <c r="IKG293" s="478"/>
      <c r="IKH293" s="479"/>
      <c r="IKI293" s="480"/>
      <c r="IKJ293" s="481"/>
      <c r="IKK293" s="481"/>
      <c r="IKL293" s="482"/>
      <c r="IKM293" s="189"/>
      <c r="IKN293" s="189"/>
      <c r="IKO293" s="483"/>
      <c r="IKP293" s="306"/>
      <c r="IKQ293" s="484"/>
      <c r="IKR293" s="306"/>
      <c r="IKS293" s="267"/>
      <c r="IKT293" s="268"/>
      <c r="IKU293" s="306"/>
      <c r="IKV293" s="268"/>
      <c r="IKW293" s="306"/>
      <c r="IKX293" s="485"/>
      <c r="IKY293" s="306"/>
      <c r="IKZ293" s="486"/>
      <c r="ILA293" s="487"/>
      <c r="ILB293" s="488"/>
      <c r="ILC293" s="489"/>
      <c r="ILD293" s="488"/>
      <c r="ILE293" s="468"/>
      <c r="ILF293" s="469"/>
      <c r="ILG293" s="470"/>
      <c r="ILH293" s="470"/>
      <c r="ILI293" s="306"/>
      <c r="ILJ293" s="317"/>
      <c r="ILK293" s="471"/>
      <c r="ILL293" s="472"/>
      <c r="ILM293" s="471"/>
      <c r="ILN293" s="473"/>
      <c r="ILO293" s="474"/>
      <c r="ILP293" s="475"/>
      <c r="ILQ293" s="476"/>
      <c r="ILR293" s="477"/>
      <c r="ILS293" s="475"/>
      <c r="ILT293" s="478"/>
      <c r="ILU293" s="479"/>
      <c r="ILV293" s="480"/>
      <c r="ILW293" s="481"/>
      <c r="ILX293" s="481"/>
      <c r="ILY293" s="482"/>
      <c r="ILZ293" s="189"/>
      <c r="IMA293" s="189"/>
      <c r="IMB293" s="483"/>
      <c r="IMC293" s="306"/>
      <c r="IMD293" s="484"/>
      <c r="IME293" s="306"/>
      <c r="IMF293" s="267"/>
      <c r="IMG293" s="268"/>
      <c r="IMH293" s="306"/>
      <c r="IMI293" s="268"/>
      <c r="IMJ293" s="306"/>
      <c r="IMK293" s="485"/>
      <c r="IML293" s="306"/>
      <c r="IMM293" s="486"/>
      <c r="IMN293" s="487"/>
      <c r="IMO293" s="488"/>
      <c r="IMP293" s="489"/>
      <c r="IMQ293" s="488"/>
      <c r="IMR293" s="468"/>
      <c r="IMS293" s="469"/>
      <c r="IMT293" s="470"/>
      <c r="IMU293" s="470"/>
      <c r="IMV293" s="306"/>
      <c r="IMW293" s="317"/>
      <c r="IMX293" s="471"/>
      <c r="IMY293" s="472"/>
      <c r="IMZ293" s="471"/>
      <c r="INA293" s="473"/>
      <c r="INB293" s="474"/>
      <c r="INC293" s="475"/>
      <c r="IND293" s="476"/>
      <c r="INE293" s="477"/>
      <c r="INF293" s="475"/>
      <c r="ING293" s="478"/>
      <c r="INH293" s="479"/>
      <c r="INI293" s="480"/>
      <c r="INJ293" s="481"/>
      <c r="INK293" s="481"/>
      <c r="INL293" s="482"/>
      <c r="INM293" s="189"/>
      <c r="INN293" s="189"/>
      <c r="INO293" s="483"/>
      <c r="INP293" s="306"/>
      <c r="INQ293" s="484"/>
      <c r="INR293" s="306"/>
      <c r="INS293" s="267"/>
      <c r="INT293" s="268"/>
      <c r="INU293" s="306"/>
      <c r="INV293" s="268"/>
      <c r="INW293" s="306"/>
      <c r="INX293" s="485"/>
      <c r="INY293" s="306"/>
      <c r="INZ293" s="486"/>
      <c r="IOA293" s="487"/>
      <c r="IOB293" s="488"/>
      <c r="IOC293" s="489"/>
      <c r="IOD293" s="488"/>
      <c r="IOE293" s="468"/>
      <c r="IOF293" s="469"/>
      <c r="IOG293" s="470"/>
      <c r="IOH293" s="470"/>
      <c r="IOI293" s="306"/>
      <c r="IOJ293" s="317"/>
      <c r="IOK293" s="471"/>
      <c r="IOL293" s="472"/>
      <c r="IOM293" s="471"/>
      <c r="ION293" s="473"/>
      <c r="IOO293" s="474"/>
      <c r="IOP293" s="475"/>
      <c r="IOQ293" s="476"/>
      <c r="IOR293" s="477"/>
      <c r="IOS293" s="475"/>
      <c r="IOT293" s="478"/>
      <c r="IOU293" s="479"/>
      <c r="IOV293" s="480"/>
      <c r="IOW293" s="481"/>
      <c r="IOX293" s="481"/>
      <c r="IOY293" s="482"/>
      <c r="IOZ293" s="189"/>
      <c r="IPA293" s="189"/>
      <c r="IPB293" s="483"/>
      <c r="IPC293" s="306"/>
      <c r="IPD293" s="484"/>
      <c r="IPE293" s="306"/>
      <c r="IPF293" s="267"/>
      <c r="IPG293" s="268"/>
      <c r="IPH293" s="306"/>
      <c r="IPI293" s="268"/>
      <c r="IPJ293" s="306"/>
      <c r="IPK293" s="485"/>
      <c r="IPL293" s="306"/>
      <c r="IPM293" s="486"/>
      <c r="IPN293" s="487"/>
      <c r="IPO293" s="488"/>
      <c r="IPP293" s="489"/>
      <c r="IPQ293" s="488"/>
      <c r="IPR293" s="468"/>
      <c r="IPS293" s="469"/>
      <c r="IPT293" s="470"/>
      <c r="IPU293" s="470"/>
      <c r="IPV293" s="306"/>
      <c r="IPW293" s="317"/>
      <c r="IPX293" s="471"/>
      <c r="IPY293" s="472"/>
      <c r="IPZ293" s="471"/>
      <c r="IQA293" s="473"/>
      <c r="IQB293" s="474"/>
      <c r="IQC293" s="475"/>
      <c r="IQD293" s="476"/>
      <c r="IQE293" s="477"/>
      <c r="IQF293" s="475"/>
      <c r="IQG293" s="478"/>
      <c r="IQH293" s="479"/>
      <c r="IQI293" s="480"/>
      <c r="IQJ293" s="481"/>
      <c r="IQK293" s="481"/>
      <c r="IQL293" s="482"/>
      <c r="IQM293" s="189"/>
      <c r="IQN293" s="189"/>
      <c r="IQO293" s="483"/>
      <c r="IQP293" s="306"/>
      <c r="IQQ293" s="484"/>
      <c r="IQR293" s="306"/>
      <c r="IQS293" s="267"/>
      <c r="IQT293" s="268"/>
      <c r="IQU293" s="306"/>
      <c r="IQV293" s="268"/>
      <c r="IQW293" s="306"/>
      <c r="IQX293" s="485"/>
      <c r="IQY293" s="306"/>
      <c r="IQZ293" s="486"/>
      <c r="IRA293" s="487"/>
      <c r="IRB293" s="488"/>
      <c r="IRC293" s="489"/>
      <c r="IRD293" s="488"/>
      <c r="IRE293" s="468"/>
      <c r="IRF293" s="469"/>
      <c r="IRG293" s="470"/>
      <c r="IRH293" s="470"/>
      <c r="IRI293" s="306"/>
      <c r="IRJ293" s="317"/>
      <c r="IRK293" s="471"/>
      <c r="IRL293" s="472"/>
      <c r="IRM293" s="471"/>
      <c r="IRN293" s="473"/>
      <c r="IRO293" s="474"/>
      <c r="IRP293" s="475"/>
      <c r="IRQ293" s="476"/>
      <c r="IRR293" s="477"/>
      <c r="IRS293" s="475"/>
      <c r="IRT293" s="478"/>
      <c r="IRU293" s="479"/>
      <c r="IRV293" s="480"/>
      <c r="IRW293" s="481"/>
      <c r="IRX293" s="481"/>
      <c r="IRY293" s="482"/>
      <c r="IRZ293" s="189"/>
      <c r="ISA293" s="189"/>
      <c r="ISB293" s="483"/>
      <c r="ISC293" s="306"/>
      <c r="ISD293" s="484"/>
      <c r="ISE293" s="306"/>
      <c r="ISF293" s="267"/>
      <c r="ISG293" s="268"/>
      <c r="ISH293" s="306"/>
      <c r="ISI293" s="268"/>
      <c r="ISJ293" s="306"/>
      <c r="ISK293" s="485"/>
      <c r="ISL293" s="306"/>
      <c r="ISM293" s="486"/>
      <c r="ISN293" s="487"/>
      <c r="ISO293" s="488"/>
      <c r="ISP293" s="489"/>
      <c r="ISQ293" s="488"/>
      <c r="ISR293" s="468"/>
      <c r="ISS293" s="469"/>
      <c r="IST293" s="470"/>
      <c r="ISU293" s="470"/>
      <c r="ISV293" s="306"/>
      <c r="ISW293" s="317"/>
      <c r="ISX293" s="471"/>
      <c r="ISY293" s="472"/>
      <c r="ISZ293" s="471"/>
      <c r="ITA293" s="473"/>
      <c r="ITB293" s="474"/>
      <c r="ITC293" s="475"/>
      <c r="ITD293" s="476"/>
      <c r="ITE293" s="477"/>
      <c r="ITF293" s="475"/>
      <c r="ITG293" s="478"/>
      <c r="ITH293" s="479"/>
      <c r="ITI293" s="480"/>
      <c r="ITJ293" s="481"/>
      <c r="ITK293" s="481"/>
      <c r="ITL293" s="482"/>
      <c r="ITM293" s="189"/>
      <c r="ITN293" s="189"/>
      <c r="ITO293" s="483"/>
      <c r="ITP293" s="306"/>
      <c r="ITQ293" s="484"/>
      <c r="ITR293" s="306"/>
      <c r="ITS293" s="267"/>
      <c r="ITT293" s="268"/>
      <c r="ITU293" s="306"/>
      <c r="ITV293" s="268"/>
      <c r="ITW293" s="306"/>
      <c r="ITX293" s="485"/>
      <c r="ITY293" s="306"/>
      <c r="ITZ293" s="486"/>
      <c r="IUA293" s="487"/>
      <c r="IUB293" s="488"/>
      <c r="IUC293" s="489"/>
      <c r="IUD293" s="488"/>
      <c r="IUE293" s="468"/>
      <c r="IUF293" s="469"/>
      <c r="IUG293" s="470"/>
      <c r="IUH293" s="470"/>
      <c r="IUI293" s="306"/>
      <c r="IUJ293" s="317"/>
      <c r="IUK293" s="471"/>
      <c r="IUL293" s="472"/>
      <c r="IUM293" s="471"/>
      <c r="IUN293" s="473"/>
      <c r="IUO293" s="474"/>
      <c r="IUP293" s="475"/>
      <c r="IUQ293" s="476"/>
      <c r="IUR293" s="477"/>
      <c r="IUS293" s="475"/>
      <c r="IUT293" s="478"/>
      <c r="IUU293" s="479"/>
      <c r="IUV293" s="480"/>
      <c r="IUW293" s="481"/>
      <c r="IUX293" s="481"/>
      <c r="IUY293" s="482"/>
      <c r="IUZ293" s="189"/>
      <c r="IVA293" s="189"/>
      <c r="IVB293" s="483"/>
      <c r="IVC293" s="306"/>
      <c r="IVD293" s="484"/>
      <c r="IVE293" s="306"/>
      <c r="IVF293" s="267"/>
      <c r="IVG293" s="268"/>
      <c r="IVH293" s="306"/>
      <c r="IVI293" s="268"/>
      <c r="IVJ293" s="306"/>
      <c r="IVK293" s="485"/>
      <c r="IVL293" s="306"/>
      <c r="IVM293" s="486"/>
      <c r="IVN293" s="487"/>
      <c r="IVO293" s="488"/>
      <c r="IVP293" s="489"/>
      <c r="IVQ293" s="488"/>
      <c r="IVR293" s="468"/>
      <c r="IVS293" s="469"/>
      <c r="IVT293" s="470"/>
      <c r="IVU293" s="470"/>
      <c r="IVV293" s="306"/>
      <c r="IVW293" s="317"/>
      <c r="IVX293" s="471"/>
      <c r="IVY293" s="472"/>
      <c r="IVZ293" s="471"/>
      <c r="IWA293" s="473"/>
      <c r="IWB293" s="474"/>
      <c r="IWC293" s="475"/>
      <c r="IWD293" s="476"/>
      <c r="IWE293" s="477"/>
      <c r="IWF293" s="475"/>
      <c r="IWG293" s="478"/>
      <c r="IWH293" s="479"/>
      <c r="IWI293" s="480"/>
      <c r="IWJ293" s="481"/>
      <c r="IWK293" s="481"/>
      <c r="IWL293" s="482"/>
      <c r="IWM293" s="189"/>
      <c r="IWN293" s="189"/>
      <c r="IWO293" s="483"/>
      <c r="IWP293" s="306"/>
      <c r="IWQ293" s="484"/>
      <c r="IWR293" s="306"/>
      <c r="IWS293" s="267"/>
      <c r="IWT293" s="268"/>
      <c r="IWU293" s="306"/>
      <c r="IWV293" s="268"/>
      <c r="IWW293" s="306"/>
      <c r="IWX293" s="485"/>
      <c r="IWY293" s="306"/>
      <c r="IWZ293" s="486"/>
      <c r="IXA293" s="487"/>
      <c r="IXB293" s="488"/>
      <c r="IXC293" s="489"/>
      <c r="IXD293" s="488"/>
      <c r="IXE293" s="468"/>
      <c r="IXF293" s="469"/>
      <c r="IXG293" s="470"/>
      <c r="IXH293" s="470"/>
      <c r="IXI293" s="306"/>
      <c r="IXJ293" s="317"/>
      <c r="IXK293" s="471"/>
      <c r="IXL293" s="472"/>
      <c r="IXM293" s="471"/>
      <c r="IXN293" s="473"/>
      <c r="IXO293" s="474"/>
      <c r="IXP293" s="475"/>
      <c r="IXQ293" s="476"/>
      <c r="IXR293" s="477"/>
      <c r="IXS293" s="475"/>
      <c r="IXT293" s="478"/>
      <c r="IXU293" s="479"/>
      <c r="IXV293" s="480"/>
      <c r="IXW293" s="481"/>
      <c r="IXX293" s="481"/>
      <c r="IXY293" s="482"/>
      <c r="IXZ293" s="189"/>
      <c r="IYA293" s="189"/>
      <c r="IYB293" s="483"/>
      <c r="IYC293" s="306"/>
      <c r="IYD293" s="484"/>
      <c r="IYE293" s="306"/>
      <c r="IYF293" s="267"/>
      <c r="IYG293" s="268"/>
      <c r="IYH293" s="306"/>
      <c r="IYI293" s="268"/>
      <c r="IYJ293" s="306"/>
      <c r="IYK293" s="485"/>
      <c r="IYL293" s="306"/>
      <c r="IYM293" s="486"/>
      <c r="IYN293" s="487"/>
      <c r="IYO293" s="488"/>
      <c r="IYP293" s="489"/>
      <c r="IYQ293" s="488"/>
      <c r="IYR293" s="468"/>
      <c r="IYS293" s="469"/>
      <c r="IYT293" s="470"/>
      <c r="IYU293" s="470"/>
      <c r="IYV293" s="306"/>
      <c r="IYW293" s="317"/>
      <c r="IYX293" s="471"/>
      <c r="IYY293" s="472"/>
      <c r="IYZ293" s="471"/>
      <c r="IZA293" s="473"/>
      <c r="IZB293" s="474"/>
      <c r="IZC293" s="475"/>
      <c r="IZD293" s="476"/>
      <c r="IZE293" s="477"/>
      <c r="IZF293" s="475"/>
      <c r="IZG293" s="478"/>
      <c r="IZH293" s="479"/>
      <c r="IZI293" s="480"/>
      <c r="IZJ293" s="481"/>
      <c r="IZK293" s="481"/>
      <c r="IZL293" s="482"/>
      <c r="IZM293" s="189"/>
      <c r="IZN293" s="189"/>
      <c r="IZO293" s="483"/>
      <c r="IZP293" s="306"/>
      <c r="IZQ293" s="484"/>
      <c r="IZR293" s="306"/>
      <c r="IZS293" s="267"/>
      <c r="IZT293" s="268"/>
      <c r="IZU293" s="306"/>
      <c r="IZV293" s="268"/>
      <c r="IZW293" s="306"/>
      <c r="IZX293" s="485"/>
      <c r="IZY293" s="306"/>
      <c r="IZZ293" s="486"/>
      <c r="JAA293" s="487"/>
      <c r="JAB293" s="488"/>
      <c r="JAC293" s="489"/>
      <c r="JAD293" s="488"/>
      <c r="JAE293" s="468"/>
      <c r="JAF293" s="469"/>
      <c r="JAG293" s="470"/>
      <c r="JAH293" s="470"/>
      <c r="JAI293" s="306"/>
      <c r="JAJ293" s="317"/>
      <c r="JAK293" s="471"/>
      <c r="JAL293" s="472"/>
      <c r="JAM293" s="471"/>
      <c r="JAN293" s="473"/>
      <c r="JAO293" s="474"/>
      <c r="JAP293" s="475"/>
      <c r="JAQ293" s="476"/>
      <c r="JAR293" s="477"/>
      <c r="JAS293" s="475"/>
      <c r="JAT293" s="478"/>
      <c r="JAU293" s="479"/>
      <c r="JAV293" s="480"/>
      <c r="JAW293" s="481"/>
      <c r="JAX293" s="481"/>
      <c r="JAY293" s="482"/>
      <c r="JAZ293" s="189"/>
      <c r="JBA293" s="189"/>
      <c r="JBB293" s="483"/>
      <c r="JBC293" s="306"/>
      <c r="JBD293" s="484"/>
      <c r="JBE293" s="306"/>
      <c r="JBF293" s="267"/>
      <c r="JBG293" s="268"/>
      <c r="JBH293" s="306"/>
      <c r="JBI293" s="268"/>
      <c r="JBJ293" s="306"/>
      <c r="JBK293" s="485"/>
      <c r="JBL293" s="306"/>
      <c r="JBM293" s="486"/>
      <c r="JBN293" s="487"/>
      <c r="JBO293" s="488"/>
      <c r="JBP293" s="489"/>
      <c r="JBQ293" s="488"/>
      <c r="JBR293" s="468"/>
      <c r="JBS293" s="469"/>
      <c r="JBT293" s="470"/>
      <c r="JBU293" s="470"/>
      <c r="JBV293" s="306"/>
      <c r="JBW293" s="317"/>
      <c r="JBX293" s="471"/>
      <c r="JBY293" s="472"/>
      <c r="JBZ293" s="471"/>
      <c r="JCA293" s="473"/>
      <c r="JCB293" s="474"/>
      <c r="JCC293" s="475"/>
      <c r="JCD293" s="476"/>
      <c r="JCE293" s="477"/>
      <c r="JCF293" s="475"/>
      <c r="JCG293" s="478"/>
      <c r="JCH293" s="479"/>
      <c r="JCI293" s="480"/>
      <c r="JCJ293" s="481"/>
      <c r="JCK293" s="481"/>
      <c r="JCL293" s="482"/>
      <c r="JCM293" s="189"/>
      <c r="JCN293" s="189"/>
      <c r="JCO293" s="483"/>
      <c r="JCP293" s="306"/>
      <c r="JCQ293" s="484"/>
      <c r="JCR293" s="306"/>
      <c r="JCS293" s="267"/>
      <c r="JCT293" s="268"/>
      <c r="JCU293" s="306"/>
      <c r="JCV293" s="268"/>
      <c r="JCW293" s="306"/>
      <c r="JCX293" s="485"/>
      <c r="JCY293" s="306"/>
      <c r="JCZ293" s="486"/>
      <c r="JDA293" s="487"/>
      <c r="JDB293" s="488"/>
      <c r="JDC293" s="489"/>
      <c r="JDD293" s="488"/>
      <c r="JDE293" s="468"/>
      <c r="JDF293" s="469"/>
      <c r="JDG293" s="470"/>
      <c r="JDH293" s="470"/>
      <c r="JDI293" s="306"/>
      <c r="JDJ293" s="317"/>
      <c r="JDK293" s="471"/>
      <c r="JDL293" s="472"/>
      <c r="JDM293" s="471"/>
      <c r="JDN293" s="473"/>
      <c r="JDO293" s="474"/>
      <c r="JDP293" s="475"/>
      <c r="JDQ293" s="476"/>
      <c r="JDR293" s="477"/>
      <c r="JDS293" s="475"/>
      <c r="JDT293" s="478"/>
      <c r="JDU293" s="479"/>
      <c r="JDV293" s="480"/>
      <c r="JDW293" s="481"/>
      <c r="JDX293" s="481"/>
      <c r="JDY293" s="482"/>
      <c r="JDZ293" s="189"/>
      <c r="JEA293" s="189"/>
      <c r="JEB293" s="483"/>
      <c r="JEC293" s="306"/>
      <c r="JED293" s="484"/>
      <c r="JEE293" s="306"/>
      <c r="JEF293" s="267"/>
      <c r="JEG293" s="268"/>
      <c r="JEH293" s="306"/>
      <c r="JEI293" s="268"/>
      <c r="JEJ293" s="306"/>
      <c r="JEK293" s="485"/>
      <c r="JEL293" s="306"/>
      <c r="JEM293" s="486"/>
      <c r="JEN293" s="487"/>
      <c r="JEO293" s="488"/>
      <c r="JEP293" s="489"/>
      <c r="JEQ293" s="488"/>
      <c r="JER293" s="468"/>
      <c r="JES293" s="469"/>
      <c r="JET293" s="470"/>
      <c r="JEU293" s="470"/>
      <c r="JEV293" s="306"/>
      <c r="JEW293" s="317"/>
      <c r="JEX293" s="471"/>
      <c r="JEY293" s="472"/>
      <c r="JEZ293" s="471"/>
      <c r="JFA293" s="473"/>
      <c r="JFB293" s="474"/>
      <c r="JFC293" s="475"/>
      <c r="JFD293" s="476"/>
      <c r="JFE293" s="477"/>
      <c r="JFF293" s="475"/>
      <c r="JFG293" s="478"/>
      <c r="JFH293" s="479"/>
      <c r="JFI293" s="480"/>
      <c r="JFJ293" s="481"/>
      <c r="JFK293" s="481"/>
      <c r="JFL293" s="482"/>
      <c r="JFM293" s="189"/>
      <c r="JFN293" s="189"/>
      <c r="JFO293" s="483"/>
      <c r="JFP293" s="306"/>
      <c r="JFQ293" s="484"/>
      <c r="JFR293" s="306"/>
      <c r="JFS293" s="267"/>
      <c r="JFT293" s="268"/>
      <c r="JFU293" s="306"/>
      <c r="JFV293" s="268"/>
      <c r="JFW293" s="306"/>
      <c r="JFX293" s="485"/>
      <c r="JFY293" s="306"/>
      <c r="JFZ293" s="486"/>
      <c r="JGA293" s="487"/>
      <c r="JGB293" s="488"/>
      <c r="JGC293" s="489"/>
      <c r="JGD293" s="488"/>
      <c r="JGE293" s="468"/>
      <c r="JGF293" s="469"/>
      <c r="JGG293" s="470"/>
      <c r="JGH293" s="470"/>
      <c r="JGI293" s="306"/>
      <c r="JGJ293" s="317"/>
      <c r="JGK293" s="471"/>
      <c r="JGL293" s="472"/>
      <c r="JGM293" s="471"/>
      <c r="JGN293" s="473"/>
      <c r="JGO293" s="474"/>
      <c r="JGP293" s="475"/>
      <c r="JGQ293" s="476"/>
      <c r="JGR293" s="477"/>
      <c r="JGS293" s="475"/>
      <c r="JGT293" s="478"/>
      <c r="JGU293" s="479"/>
      <c r="JGV293" s="480"/>
      <c r="JGW293" s="481"/>
      <c r="JGX293" s="481"/>
      <c r="JGY293" s="482"/>
      <c r="JGZ293" s="189"/>
      <c r="JHA293" s="189"/>
      <c r="JHB293" s="483"/>
      <c r="JHC293" s="306"/>
      <c r="JHD293" s="484"/>
      <c r="JHE293" s="306"/>
      <c r="JHF293" s="267"/>
      <c r="JHG293" s="268"/>
      <c r="JHH293" s="306"/>
      <c r="JHI293" s="268"/>
      <c r="JHJ293" s="306"/>
      <c r="JHK293" s="485"/>
      <c r="JHL293" s="306"/>
      <c r="JHM293" s="486"/>
      <c r="JHN293" s="487"/>
      <c r="JHO293" s="488"/>
      <c r="JHP293" s="489"/>
      <c r="JHQ293" s="488"/>
      <c r="JHR293" s="468"/>
      <c r="JHS293" s="469"/>
      <c r="JHT293" s="470"/>
      <c r="JHU293" s="470"/>
      <c r="JHV293" s="306"/>
      <c r="JHW293" s="317"/>
      <c r="JHX293" s="471"/>
      <c r="JHY293" s="472"/>
      <c r="JHZ293" s="471"/>
      <c r="JIA293" s="473"/>
      <c r="JIB293" s="474"/>
      <c r="JIC293" s="475"/>
      <c r="JID293" s="476"/>
      <c r="JIE293" s="477"/>
      <c r="JIF293" s="475"/>
      <c r="JIG293" s="478"/>
      <c r="JIH293" s="479"/>
      <c r="JII293" s="480"/>
      <c r="JIJ293" s="481"/>
      <c r="JIK293" s="481"/>
      <c r="JIL293" s="482"/>
      <c r="JIM293" s="189"/>
      <c r="JIN293" s="189"/>
      <c r="JIO293" s="483"/>
      <c r="JIP293" s="306"/>
      <c r="JIQ293" s="484"/>
      <c r="JIR293" s="306"/>
      <c r="JIS293" s="267"/>
      <c r="JIT293" s="268"/>
      <c r="JIU293" s="306"/>
      <c r="JIV293" s="268"/>
      <c r="JIW293" s="306"/>
      <c r="JIX293" s="485"/>
      <c r="JIY293" s="306"/>
      <c r="JIZ293" s="486"/>
      <c r="JJA293" s="487"/>
      <c r="JJB293" s="488"/>
      <c r="JJC293" s="489"/>
      <c r="JJD293" s="488"/>
      <c r="JJE293" s="468"/>
      <c r="JJF293" s="469"/>
      <c r="JJG293" s="470"/>
      <c r="JJH293" s="470"/>
      <c r="JJI293" s="306"/>
      <c r="JJJ293" s="317"/>
      <c r="JJK293" s="471"/>
      <c r="JJL293" s="472"/>
      <c r="JJM293" s="471"/>
      <c r="JJN293" s="473"/>
      <c r="JJO293" s="474"/>
      <c r="JJP293" s="475"/>
      <c r="JJQ293" s="476"/>
      <c r="JJR293" s="477"/>
      <c r="JJS293" s="475"/>
      <c r="JJT293" s="478"/>
      <c r="JJU293" s="479"/>
      <c r="JJV293" s="480"/>
      <c r="JJW293" s="481"/>
      <c r="JJX293" s="481"/>
      <c r="JJY293" s="482"/>
      <c r="JJZ293" s="189"/>
      <c r="JKA293" s="189"/>
      <c r="JKB293" s="483"/>
      <c r="JKC293" s="306"/>
      <c r="JKD293" s="484"/>
      <c r="JKE293" s="306"/>
      <c r="JKF293" s="267"/>
      <c r="JKG293" s="268"/>
      <c r="JKH293" s="306"/>
      <c r="JKI293" s="268"/>
      <c r="JKJ293" s="306"/>
      <c r="JKK293" s="485"/>
      <c r="JKL293" s="306"/>
      <c r="JKM293" s="486"/>
      <c r="JKN293" s="487"/>
      <c r="JKO293" s="488"/>
      <c r="JKP293" s="489"/>
      <c r="JKQ293" s="488"/>
      <c r="JKR293" s="468"/>
      <c r="JKS293" s="469"/>
      <c r="JKT293" s="470"/>
      <c r="JKU293" s="470"/>
      <c r="JKV293" s="306"/>
      <c r="JKW293" s="317"/>
      <c r="JKX293" s="471"/>
      <c r="JKY293" s="472"/>
      <c r="JKZ293" s="471"/>
      <c r="JLA293" s="473"/>
      <c r="JLB293" s="474"/>
      <c r="JLC293" s="475"/>
      <c r="JLD293" s="476"/>
      <c r="JLE293" s="477"/>
      <c r="JLF293" s="475"/>
      <c r="JLG293" s="478"/>
      <c r="JLH293" s="479"/>
      <c r="JLI293" s="480"/>
      <c r="JLJ293" s="481"/>
      <c r="JLK293" s="481"/>
      <c r="JLL293" s="482"/>
      <c r="JLM293" s="189"/>
      <c r="JLN293" s="189"/>
      <c r="JLO293" s="483"/>
      <c r="JLP293" s="306"/>
      <c r="JLQ293" s="484"/>
      <c r="JLR293" s="306"/>
      <c r="JLS293" s="267"/>
      <c r="JLT293" s="268"/>
      <c r="JLU293" s="306"/>
      <c r="JLV293" s="268"/>
      <c r="JLW293" s="306"/>
      <c r="JLX293" s="485"/>
      <c r="JLY293" s="306"/>
      <c r="JLZ293" s="486"/>
      <c r="JMA293" s="487"/>
      <c r="JMB293" s="488"/>
      <c r="JMC293" s="489"/>
      <c r="JMD293" s="488"/>
      <c r="JME293" s="468"/>
      <c r="JMF293" s="469"/>
      <c r="JMG293" s="470"/>
      <c r="JMH293" s="470"/>
      <c r="JMI293" s="306"/>
      <c r="JMJ293" s="317"/>
      <c r="JMK293" s="471"/>
      <c r="JML293" s="472"/>
      <c r="JMM293" s="471"/>
      <c r="JMN293" s="473"/>
      <c r="JMO293" s="474"/>
      <c r="JMP293" s="475"/>
      <c r="JMQ293" s="476"/>
      <c r="JMR293" s="477"/>
      <c r="JMS293" s="475"/>
      <c r="JMT293" s="478"/>
      <c r="JMU293" s="479"/>
      <c r="JMV293" s="480"/>
      <c r="JMW293" s="481"/>
      <c r="JMX293" s="481"/>
      <c r="JMY293" s="482"/>
      <c r="JMZ293" s="189"/>
      <c r="JNA293" s="189"/>
      <c r="JNB293" s="483"/>
      <c r="JNC293" s="306"/>
      <c r="JND293" s="484"/>
      <c r="JNE293" s="306"/>
      <c r="JNF293" s="267"/>
      <c r="JNG293" s="268"/>
      <c r="JNH293" s="306"/>
      <c r="JNI293" s="268"/>
      <c r="JNJ293" s="306"/>
      <c r="JNK293" s="485"/>
      <c r="JNL293" s="306"/>
      <c r="JNM293" s="486"/>
      <c r="JNN293" s="487"/>
      <c r="JNO293" s="488"/>
      <c r="JNP293" s="489"/>
      <c r="JNQ293" s="488"/>
      <c r="JNR293" s="468"/>
      <c r="JNS293" s="469"/>
      <c r="JNT293" s="470"/>
      <c r="JNU293" s="470"/>
      <c r="JNV293" s="306"/>
      <c r="JNW293" s="317"/>
      <c r="JNX293" s="471"/>
      <c r="JNY293" s="472"/>
      <c r="JNZ293" s="471"/>
      <c r="JOA293" s="473"/>
      <c r="JOB293" s="474"/>
      <c r="JOC293" s="475"/>
      <c r="JOD293" s="476"/>
      <c r="JOE293" s="477"/>
      <c r="JOF293" s="475"/>
      <c r="JOG293" s="478"/>
      <c r="JOH293" s="479"/>
      <c r="JOI293" s="480"/>
      <c r="JOJ293" s="481"/>
      <c r="JOK293" s="481"/>
      <c r="JOL293" s="482"/>
      <c r="JOM293" s="189"/>
      <c r="JON293" s="189"/>
      <c r="JOO293" s="483"/>
      <c r="JOP293" s="306"/>
      <c r="JOQ293" s="484"/>
      <c r="JOR293" s="306"/>
      <c r="JOS293" s="267"/>
      <c r="JOT293" s="268"/>
      <c r="JOU293" s="306"/>
      <c r="JOV293" s="268"/>
      <c r="JOW293" s="306"/>
      <c r="JOX293" s="485"/>
      <c r="JOY293" s="306"/>
      <c r="JOZ293" s="486"/>
      <c r="JPA293" s="487"/>
      <c r="JPB293" s="488"/>
      <c r="JPC293" s="489"/>
      <c r="JPD293" s="488"/>
      <c r="JPE293" s="468"/>
      <c r="JPF293" s="469"/>
      <c r="JPG293" s="470"/>
      <c r="JPH293" s="470"/>
      <c r="JPI293" s="306"/>
      <c r="JPJ293" s="317"/>
      <c r="JPK293" s="471"/>
      <c r="JPL293" s="472"/>
      <c r="JPM293" s="471"/>
      <c r="JPN293" s="473"/>
      <c r="JPO293" s="474"/>
      <c r="JPP293" s="475"/>
      <c r="JPQ293" s="476"/>
      <c r="JPR293" s="477"/>
      <c r="JPS293" s="475"/>
      <c r="JPT293" s="478"/>
      <c r="JPU293" s="479"/>
      <c r="JPV293" s="480"/>
      <c r="JPW293" s="481"/>
      <c r="JPX293" s="481"/>
      <c r="JPY293" s="482"/>
      <c r="JPZ293" s="189"/>
      <c r="JQA293" s="189"/>
      <c r="JQB293" s="483"/>
      <c r="JQC293" s="306"/>
      <c r="JQD293" s="484"/>
      <c r="JQE293" s="306"/>
      <c r="JQF293" s="267"/>
      <c r="JQG293" s="268"/>
      <c r="JQH293" s="306"/>
      <c r="JQI293" s="268"/>
      <c r="JQJ293" s="306"/>
      <c r="JQK293" s="485"/>
      <c r="JQL293" s="306"/>
      <c r="JQM293" s="486"/>
      <c r="JQN293" s="487"/>
      <c r="JQO293" s="488"/>
      <c r="JQP293" s="489"/>
      <c r="JQQ293" s="488"/>
      <c r="JQR293" s="468"/>
      <c r="JQS293" s="469"/>
      <c r="JQT293" s="470"/>
      <c r="JQU293" s="470"/>
      <c r="JQV293" s="306"/>
      <c r="JQW293" s="317"/>
      <c r="JQX293" s="471"/>
      <c r="JQY293" s="472"/>
      <c r="JQZ293" s="471"/>
      <c r="JRA293" s="473"/>
      <c r="JRB293" s="474"/>
      <c r="JRC293" s="475"/>
      <c r="JRD293" s="476"/>
      <c r="JRE293" s="477"/>
      <c r="JRF293" s="475"/>
      <c r="JRG293" s="478"/>
      <c r="JRH293" s="479"/>
      <c r="JRI293" s="480"/>
      <c r="JRJ293" s="481"/>
      <c r="JRK293" s="481"/>
      <c r="JRL293" s="482"/>
      <c r="JRM293" s="189"/>
      <c r="JRN293" s="189"/>
      <c r="JRO293" s="483"/>
      <c r="JRP293" s="306"/>
      <c r="JRQ293" s="484"/>
      <c r="JRR293" s="306"/>
      <c r="JRS293" s="267"/>
      <c r="JRT293" s="268"/>
      <c r="JRU293" s="306"/>
      <c r="JRV293" s="268"/>
      <c r="JRW293" s="306"/>
      <c r="JRX293" s="485"/>
      <c r="JRY293" s="306"/>
      <c r="JRZ293" s="486"/>
      <c r="JSA293" s="487"/>
      <c r="JSB293" s="488"/>
      <c r="JSC293" s="489"/>
      <c r="JSD293" s="488"/>
      <c r="JSE293" s="468"/>
      <c r="JSF293" s="469"/>
      <c r="JSG293" s="470"/>
      <c r="JSH293" s="470"/>
      <c r="JSI293" s="306"/>
      <c r="JSJ293" s="317"/>
      <c r="JSK293" s="471"/>
      <c r="JSL293" s="472"/>
      <c r="JSM293" s="471"/>
      <c r="JSN293" s="473"/>
      <c r="JSO293" s="474"/>
      <c r="JSP293" s="475"/>
      <c r="JSQ293" s="476"/>
      <c r="JSR293" s="477"/>
      <c r="JSS293" s="475"/>
      <c r="JST293" s="478"/>
      <c r="JSU293" s="479"/>
      <c r="JSV293" s="480"/>
      <c r="JSW293" s="481"/>
      <c r="JSX293" s="481"/>
      <c r="JSY293" s="482"/>
      <c r="JSZ293" s="189"/>
      <c r="JTA293" s="189"/>
      <c r="JTB293" s="483"/>
      <c r="JTC293" s="306"/>
      <c r="JTD293" s="484"/>
      <c r="JTE293" s="306"/>
      <c r="JTF293" s="267"/>
      <c r="JTG293" s="268"/>
      <c r="JTH293" s="306"/>
      <c r="JTI293" s="268"/>
      <c r="JTJ293" s="306"/>
      <c r="JTK293" s="485"/>
      <c r="JTL293" s="306"/>
      <c r="JTM293" s="486"/>
      <c r="JTN293" s="487"/>
      <c r="JTO293" s="488"/>
      <c r="JTP293" s="489"/>
      <c r="JTQ293" s="488"/>
      <c r="JTR293" s="468"/>
      <c r="JTS293" s="469"/>
      <c r="JTT293" s="470"/>
      <c r="JTU293" s="470"/>
      <c r="JTV293" s="306"/>
      <c r="JTW293" s="317"/>
      <c r="JTX293" s="471"/>
      <c r="JTY293" s="472"/>
      <c r="JTZ293" s="471"/>
      <c r="JUA293" s="473"/>
      <c r="JUB293" s="474"/>
      <c r="JUC293" s="475"/>
      <c r="JUD293" s="476"/>
      <c r="JUE293" s="477"/>
      <c r="JUF293" s="475"/>
      <c r="JUG293" s="478"/>
      <c r="JUH293" s="479"/>
      <c r="JUI293" s="480"/>
      <c r="JUJ293" s="481"/>
      <c r="JUK293" s="481"/>
      <c r="JUL293" s="482"/>
      <c r="JUM293" s="189"/>
      <c r="JUN293" s="189"/>
      <c r="JUO293" s="483"/>
      <c r="JUP293" s="306"/>
      <c r="JUQ293" s="484"/>
      <c r="JUR293" s="306"/>
      <c r="JUS293" s="267"/>
      <c r="JUT293" s="268"/>
      <c r="JUU293" s="306"/>
      <c r="JUV293" s="268"/>
      <c r="JUW293" s="306"/>
      <c r="JUX293" s="485"/>
      <c r="JUY293" s="306"/>
      <c r="JUZ293" s="486"/>
      <c r="JVA293" s="487"/>
      <c r="JVB293" s="488"/>
      <c r="JVC293" s="489"/>
      <c r="JVD293" s="488"/>
      <c r="JVE293" s="468"/>
      <c r="JVF293" s="469"/>
      <c r="JVG293" s="470"/>
      <c r="JVH293" s="470"/>
      <c r="JVI293" s="306"/>
      <c r="JVJ293" s="317"/>
      <c r="JVK293" s="471"/>
      <c r="JVL293" s="472"/>
      <c r="JVM293" s="471"/>
      <c r="JVN293" s="473"/>
      <c r="JVO293" s="474"/>
      <c r="JVP293" s="475"/>
      <c r="JVQ293" s="476"/>
      <c r="JVR293" s="477"/>
      <c r="JVS293" s="475"/>
      <c r="JVT293" s="478"/>
      <c r="JVU293" s="479"/>
      <c r="JVV293" s="480"/>
      <c r="JVW293" s="481"/>
      <c r="JVX293" s="481"/>
      <c r="JVY293" s="482"/>
      <c r="JVZ293" s="189"/>
      <c r="JWA293" s="189"/>
      <c r="JWB293" s="483"/>
      <c r="JWC293" s="306"/>
      <c r="JWD293" s="484"/>
      <c r="JWE293" s="306"/>
      <c r="JWF293" s="267"/>
      <c r="JWG293" s="268"/>
      <c r="JWH293" s="306"/>
      <c r="JWI293" s="268"/>
      <c r="JWJ293" s="306"/>
      <c r="JWK293" s="485"/>
      <c r="JWL293" s="306"/>
      <c r="JWM293" s="486"/>
      <c r="JWN293" s="487"/>
      <c r="JWO293" s="488"/>
      <c r="JWP293" s="489"/>
      <c r="JWQ293" s="488"/>
      <c r="JWR293" s="468"/>
      <c r="JWS293" s="469"/>
      <c r="JWT293" s="470"/>
      <c r="JWU293" s="470"/>
      <c r="JWV293" s="306"/>
      <c r="JWW293" s="317"/>
      <c r="JWX293" s="471"/>
      <c r="JWY293" s="472"/>
      <c r="JWZ293" s="471"/>
      <c r="JXA293" s="473"/>
      <c r="JXB293" s="474"/>
      <c r="JXC293" s="475"/>
      <c r="JXD293" s="476"/>
      <c r="JXE293" s="477"/>
      <c r="JXF293" s="475"/>
      <c r="JXG293" s="478"/>
      <c r="JXH293" s="479"/>
      <c r="JXI293" s="480"/>
      <c r="JXJ293" s="481"/>
      <c r="JXK293" s="481"/>
      <c r="JXL293" s="482"/>
      <c r="JXM293" s="189"/>
      <c r="JXN293" s="189"/>
      <c r="JXO293" s="483"/>
      <c r="JXP293" s="306"/>
      <c r="JXQ293" s="484"/>
      <c r="JXR293" s="306"/>
      <c r="JXS293" s="267"/>
      <c r="JXT293" s="268"/>
      <c r="JXU293" s="306"/>
      <c r="JXV293" s="268"/>
      <c r="JXW293" s="306"/>
      <c r="JXX293" s="485"/>
      <c r="JXY293" s="306"/>
      <c r="JXZ293" s="486"/>
      <c r="JYA293" s="487"/>
      <c r="JYB293" s="488"/>
      <c r="JYC293" s="489"/>
      <c r="JYD293" s="488"/>
      <c r="JYE293" s="468"/>
      <c r="JYF293" s="469"/>
      <c r="JYG293" s="470"/>
      <c r="JYH293" s="470"/>
      <c r="JYI293" s="306"/>
      <c r="JYJ293" s="317"/>
      <c r="JYK293" s="471"/>
      <c r="JYL293" s="472"/>
      <c r="JYM293" s="471"/>
      <c r="JYN293" s="473"/>
      <c r="JYO293" s="474"/>
      <c r="JYP293" s="475"/>
      <c r="JYQ293" s="476"/>
      <c r="JYR293" s="477"/>
      <c r="JYS293" s="475"/>
      <c r="JYT293" s="478"/>
      <c r="JYU293" s="479"/>
      <c r="JYV293" s="480"/>
      <c r="JYW293" s="481"/>
      <c r="JYX293" s="481"/>
      <c r="JYY293" s="482"/>
      <c r="JYZ293" s="189"/>
      <c r="JZA293" s="189"/>
      <c r="JZB293" s="483"/>
      <c r="JZC293" s="306"/>
      <c r="JZD293" s="484"/>
      <c r="JZE293" s="306"/>
      <c r="JZF293" s="267"/>
      <c r="JZG293" s="268"/>
      <c r="JZH293" s="306"/>
      <c r="JZI293" s="268"/>
      <c r="JZJ293" s="306"/>
      <c r="JZK293" s="485"/>
      <c r="JZL293" s="306"/>
      <c r="JZM293" s="486"/>
      <c r="JZN293" s="487"/>
      <c r="JZO293" s="488"/>
      <c r="JZP293" s="489"/>
      <c r="JZQ293" s="488"/>
      <c r="JZR293" s="468"/>
      <c r="JZS293" s="469"/>
      <c r="JZT293" s="470"/>
      <c r="JZU293" s="470"/>
      <c r="JZV293" s="306"/>
      <c r="JZW293" s="317"/>
      <c r="JZX293" s="471"/>
      <c r="JZY293" s="472"/>
      <c r="JZZ293" s="471"/>
      <c r="KAA293" s="473"/>
      <c r="KAB293" s="474"/>
      <c r="KAC293" s="475"/>
      <c r="KAD293" s="476"/>
      <c r="KAE293" s="477"/>
      <c r="KAF293" s="475"/>
      <c r="KAG293" s="478"/>
      <c r="KAH293" s="479"/>
      <c r="KAI293" s="480"/>
      <c r="KAJ293" s="481"/>
      <c r="KAK293" s="481"/>
      <c r="KAL293" s="482"/>
      <c r="KAM293" s="189"/>
      <c r="KAN293" s="189"/>
      <c r="KAO293" s="483"/>
      <c r="KAP293" s="306"/>
      <c r="KAQ293" s="484"/>
      <c r="KAR293" s="306"/>
      <c r="KAS293" s="267"/>
      <c r="KAT293" s="268"/>
      <c r="KAU293" s="306"/>
      <c r="KAV293" s="268"/>
      <c r="KAW293" s="306"/>
      <c r="KAX293" s="485"/>
      <c r="KAY293" s="306"/>
      <c r="KAZ293" s="486"/>
      <c r="KBA293" s="487"/>
      <c r="KBB293" s="488"/>
      <c r="KBC293" s="489"/>
      <c r="KBD293" s="488"/>
      <c r="KBE293" s="468"/>
      <c r="KBF293" s="469"/>
      <c r="KBG293" s="470"/>
      <c r="KBH293" s="470"/>
      <c r="KBI293" s="306"/>
      <c r="KBJ293" s="317"/>
      <c r="KBK293" s="471"/>
      <c r="KBL293" s="472"/>
      <c r="KBM293" s="471"/>
      <c r="KBN293" s="473"/>
      <c r="KBO293" s="474"/>
      <c r="KBP293" s="475"/>
      <c r="KBQ293" s="476"/>
      <c r="KBR293" s="477"/>
      <c r="KBS293" s="475"/>
      <c r="KBT293" s="478"/>
      <c r="KBU293" s="479"/>
      <c r="KBV293" s="480"/>
      <c r="KBW293" s="481"/>
      <c r="KBX293" s="481"/>
      <c r="KBY293" s="482"/>
      <c r="KBZ293" s="189"/>
      <c r="KCA293" s="189"/>
      <c r="KCB293" s="483"/>
      <c r="KCC293" s="306"/>
      <c r="KCD293" s="484"/>
      <c r="KCE293" s="306"/>
      <c r="KCF293" s="267"/>
      <c r="KCG293" s="268"/>
      <c r="KCH293" s="306"/>
      <c r="KCI293" s="268"/>
      <c r="KCJ293" s="306"/>
      <c r="KCK293" s="485"/>
      <c r="KCL293" s="306"/>
      <c r="KCM293" s="486"/>
      <c r="KCN293" s="487"/>
      <c r="KCO293" s="488"/>
      <c r="KCP293" s="489"/>
      <c r="KCQ293" s="488"/>
      <c r="KCR293" s="468"/>
      <c r="KCS293" s="469"/>
      <c r="KCT293" s="470"/>
      <c r="KCU293" s="470"/>
      <c r="KCV293" s="306"/>
      <c r="KCW293" s="317"/>
      <c r="KCX293" s="471"/>
      <c r="KCY293" s="472"/>
      <c r="KCZ293" s="471"/>
      <c r="KDA293" s="473"/>
      <c r="KDB293" s="474"/>
      <c r="KDC293" s="475"/>
      <c r="KDD293" s="476"/>
      <c r="KDE293" s="477"/>
      <c r="KDF293" s="475"/>
      <c r="KDG293" s="478"/>
      <c r="KDH293" s="479"/>
      <c r="KDI293" s="480"/>
      <c r="KDJ293" s="481"/>
      <c r="KDK293" s="481"/>
      <c r="KDL293" s="482"/>
      <c r="KDM293" s="189"/>
      <c r="KDN293" s="189"/>
      <c r="KDO293" s="483"/>
      <c r="KDP293" s="306"/>
      <c r="KDQ293" s="484"/>
      <c r="KDR293" s="306"/>
      <c r="KDS293" s="267"/>
      <c r="KDT293" s="268"/>
      <c r="KDU293" s="306"/>
      <c r="KDV293" s="268"/>
      <c r="KDW293" s="306"/>
      <c r="KDX293" s="485"/>
      <c r="KDY293" s="306"/>
      <c r="KDZ293" s="486"/>
      <c r="KEA293" s="487"/>
      <c r="KEB293" s="488"/>
      <c r="KEC293" s="489"/>
      <c r="KED293" s="488"/>
      <c r="KEE293" s="468"/>
      <c r="KEF293" s="469"/>
      <c r="KEG293" s="470"/>
      <c r="KEH293" s="470"/>
      <c r="KEI293" s="306"/>
      <c r="KEJ293" s="317"/>
      <c r="KEK293" s="471"/>
      <c r="KEL293" s="472"/>
      <c r="KEM293" s="471"/>
      <c r="KEN293" s="473"/>
      <c r="KEO293" s="474"/>
      <c r="KEP293" s="475"/>
      <c r="KEQ293" s="476"/>
      <c r="KER293" s="477"/>
      <c r="KES293" s="475"/>
      <c r="KET293" s="478"/>
      <c r="KEU293" s="479"/>
      <c r="KEV293" s="480"/>
      <c r="KEW293" s="481"/>
      <c r="KEX293" s="481"/>
      <c r="KEY293" s="482"/>
      <c r="KEZ293" s="189"/>
      <c r="KFA293" s="189"/>
      <c r="KFB293" s="483"/>
      <c r="KFC293" s="306"/>
      <c r="KFD293" s="484"/>
      <c r="KFE293" s="306"/>
      <c r="KFF293" s="267"/>
      <c r="KFG293" s="268"/>
      <c r="KFH293" s="306"/>
      <c r="KFI293" s="268"/>
      <c r="KFJ293" s="306"/>
      <c r="KFK293" s="485"/>
      <c r="KFL293" s="306"/>
      <c r="KFM293" s="486"/>
      <c r="KFN293" s="487"/>
      <c r="KFO293" s="488"/>
      <c r="KFP293" s="489"/>
      <c r="KFQ293" s="488"/>
      <c r="KFR293" s="468"/>
      <c r="KFS293" s="469"/>
      <c r="KFT293" s="470"/>
      <c r="KFU293" s="470"/>
      <c r="KFV293" s="306"/>
      <c r="KFW293" s="317"/>
      <c r="KFX293" s="471"/>
      <c r="KFY293" s="472"/>
      <c r="KFZ293" s="471"/>
      <c r="KGA293" s="473"/>
      <c r="KGB293" s="474"/>
      <c r="KGC293" s="475"/>
      <c r="KGD293" s="476"/>
      <c r="KGE293" s="477"/>
      <c r="KGF293" s="475"/>
      <c r="KGG293" s="478"/>
      <c r="KGH293" s="479"/>
      <c r="KGI293" s="480"/>
      <c r="KGJ293" s="481"/>
      <c r="KGK293" s="481"/>
      <c r="KGL293" s="482"/>
      <c r="KGM293" s="189"/>
      <c r="KGN293" s="189"/>
      <c r="KGO293" s="483"/>
      <c r="KGP293" s="306"/>
      <c r="KGQ293" s="484"/>
      <c r="KGR293" s="306"/>
      <c r="KGS293" s="267"/>
      <c r="KGT293" s="268"/>
      <c r="KGU293" s="306"/>
      <c r="KGV293" s="268"/>
      <c r="KGW293" s="306"/>
      <c r="KGX293" s="485"/>
      <c r="KGY293" s="306"/>
      <c r="KGZ293" s="486"/>
      <c r="KHA293" s="487"/>
      <c r="KHB293" s="488"/>
      <c r="KHC293" s="489"/>
      <c r="KHD293" s="488"/>
      <c r="KHE293" s="468"/>
      <c r="KHF293" s="469"/>
      <c r="KHG293" s="470"/>
      <c r="KHH293" s="470"/>
      <c r="KHI293" s="306"/>
      <c r="KHJ293" s="317"/>
      <c r="KHK293" s="471"/>
      <c r="KHL293" s="472"/>
      <c r="KHM293" s="471"/>
      <c r="KHN293" s="473"/>
      <c r="KHO293" s="474"/>
      <c r="KHP293" s="475"/>
      <c r="KHQ293" s="476"/>
      <c r="KHR293" s="477"/>
      <c r="KHS293" s="475"/>
      <c r="KHT293" s="478"/>
      <c r="KHU293" s="479"/>
      <c r="KHV293" s="480"/>
      <c r="KHW293" s="481"/>
      <c r="KHX293" s="481"/>
      <c r="KHY293" s="482"/>
      <c r="KHZ293" s="189"/>
      <c r="KIA293" s="189"/>
      <c r="KIB293" s="483"/>
      <c r="KIC293" s="306"/>
      <c r="KID293" s="484"/>
      <c r="KIE293" s="306"/>
      <c r="KIF293" s="267"/>
      <c r="KIG293" s="268"/>
      <c r="KIH293" s="306"/>
      <c r="KII293" s="268"/>
      <c r="KIJ293" s="306"/>
      <c r="KIK293" s="485"/>
      <c r="KIL293" s="306"/>
      <c r="KIM293" s="486"/>
      <c r="KIN293" s="487"/>
      <c r="KIO293" s="488"/>
      <c r="KIP293" s="489"/>
      <c r="KIQ293" s="488"/>
      <c r="KIR293" s="468"/>
      <c r="KIS293" s="469"/>
      <c r="KIT293" s="470"/>
      <c r="KIU293" s="470"/>
      <c r="KIV293" s="306"/>
      <c r="KIW293" s="317"/>
      <c r="KIX293" s="471"/>
      <c r="KIY293" s="472"/>
      <c r="KIZ293" s="471"/>
      <c r="KJA293" s="473"/>
      <c r="KJB293" s="474"/>
      <c r="KJC293" s="475"/>
      <c r="KJD293" s="476"/>
      <c r="KJE293" s="477"/>
      <c r="KJF293" s="475"/>
      <c r="KJG293" s="478"/>
      <c r="KJH293" s="479"/>
      <c r="KJI293" s="480"/>
      <c r="KJJ293" s="481"/>
      <c r="KJK293" s="481"/>
      <c r="KJL293" s="482"/>
      <c r="KJM293" s="189"/>
      <c r="KJN293" s="189"/>
      <c r="KJO293" s="483"/>
      <c r="KJP293" s="306"/>
      <c r="KJQ293" s="484"/>
      <c r="KJR293" s="306"/>
      <c r="KJS293" s="267"/>
      <c r="KJT293" s="268"/>
      <c r="KJU293" s="306"/>
      <c r="KJV293" s="268"/>
      <c r="KJW293" s="306"/>
      <c r="KJX293" s="485"/>
      <c r="KJY293" s="306"/>
      <c r="KJZ293" s="486"/>
      <c r="KKA293" s="487"/>
      <c r="KKB293" s="488"/>
      <c r="KKC293" s="489"/>
      <c r="KKD293" s="488"/>
      <c r="KKE293" s="468"/>
      <c r="KKF293" s="469"/>
      <c r="KKG293" s="470"/>
      <c r="KKH293" s="470"/>
      <c r="KKI293" s="306"/>
      <c r="KKJ293" s="317"/>
      <c r="KKK293" s="471"/>
      <c r="KKL293" s="472"/>
      <c r="KKM293" s="471"/>
      <c r="KKN293" s="473"/>
      <c r="KKO293" s="474"/>
      <c r="KKP293" s="475"/>
      <c r="KKQ293" s="476"/>
      <c r="KKR293" s="477"/>
      <c r="KKS293" s="475"/>
      <c r="KKT293" s="478"/>
      <c r="KKU293" s="479"/>
      <c r="KKV293" s="480"/>
      <c r="KKW293" s="481"/>
      <c r="KKX293" s="481"/>
      <c r="KKY293" s="482"/>
      <c r="KKZ293" s="189"/>
      <c r="KLA293" s="189"/>
      <c r="KLB293" s="483"/>
      <c r="KLC293" s="306"/>
      <c r="KLD293" s="484"/>
      <c r="KLE293" s="306"/>
      <c r="KLF293" s="267"/>
      <c r="KLG293" s="268"/>
      <c r="KLH293" s="306"/>
      <c r="KLI293" s="268"/>
      <c r="KLJ293" s="306"/>
      <c r="KLK293" s="485"/>
      <c r="KLL293" s="306"/>
      <c r="KLM293" s="486"/>
      <c r="KLN293" s="487"/>
      <c r="KLO293" s="488"/>
      <c r="KLP293" s="489"/>
      <c r="KLQ293" s="488"/>
      <c r="KLR293" s="468"/>
      <c r="KLS293" s="469"/>
      <c r="KLT293" s="470"/>
      <c r="KLU293" s="470"/>
      <c r="KLV293" s="306"/>
      <c r="KLW293" s="317"/>
      <c r="KLX293" s="471"/>
      <c r="KLY293" s="472"/>
      <c r="KLZ293" s="471"/>
      <c r="KMA293" s="473"/>
      <c r="KMB293" s="474"/>
      <c r="KMC293" s="475"/>
      <c r="KMD293" s="476"/>
      <c r="KME293" s="477"/>
      <c r="KMF293" s="475"/>
      <c r="KMG293" s="478"/>
      <c r="KMH293" s="479"/>
      <c r="KMI293" s="480"/>
      <c r="KMJ293" s="481"/>
      <c r="KMK293" s="481"/>
      <c r="KML293" s="482"/>
      <c r="KMM293" s="189"/>
      <c r="KMN293" s="189"/>
      <c r="KMO293" s="483"/>
      <c r="KMP293" s="306"/>
      <c r="KMQ293" s="484"/>
      <c r="KMR293" s="306"/>
      <c r="KMS293" s="267"/>
      <c r="KMT293" s="268"/>
      <c r="KMU293" s="306"/>
      <c r="KMV293" s="268"/>
      <c r="KMW293" s="306"/>
      <c r="KMX293" s="485"/>
      <c r="KMY293" s="306"/>
      <c r="KMZ293" s="486"/>
      <c r="KNA293" s="487"/>
      <c r="KNB293" s="488"/>
      <c r="KNC293" s="489"/>
      <c r="KND293" s="488"/>
      <c r="KNE293" s="468"/>
      <c r="KNF293" s="469"/>
      <c r="KNG293" s="470"/>
      <c r="KNH293" s="470"/>
      <c r="KNI293" s="306"/>
      <c r="KNJ293" s="317"/>
      <c r="KNK293" s="471"/>
      <c r="KNL293" s="472"/>
      <c r="KNM293" s="471"/>
      <c r="KNN293" s="473"/>
      <c r="KNO293" s="474"/>
      <c r="KNP293" s="475"/>
      <c r="KNQ293" s="476"/>
      <c r="KNR293" s="477"/>
      <c r="KNS293" s="475"/>
      <c r="KNT293" s="478"/>
      <c r="KNU293" s="479"/>
      <c r="KNV293" s="480"/>
      <c r="KNW293" s="481"/>
      <c r="KNX293" s="481"/>
      <c r="KNY293" s="482"/>
      <c r="KNZ293" s="189"/>
      <c r="KOA293" s="189"/>
      <c r="KOB293" s="483"/>
      <c r="KOC293" s="306"/>
      <c r="KOD293" s="484"/>
      <c r="KOE293" s="306"/>
      <c r="KOF293" s="267"/>
      <c r="KOG293" s="268"/>
      <c r="KOH293" s="306"/>
      <c r="KOI293" s="268"/>
      <c r="KOJ293" s="306"/>
      <c r="KOK293" s="485"/>
      <c r="KOL293" s="306"/>
      <c r="KOM293" s="486"/>
      <c r="KON293" s="487"/>
      <c r="KOO293" s="488"/>
      <c r="KOP293" s="489"/>
      <c r="KOQ293" s="488"/>
      <c r="KOR293" s="468"/>
      <c r="KOS293" s="469"/>
      <c r="KOT293" s="470"/>
      <c r="KOU293" s="470"/>
      <c r="KOV293" s="306"/>
      <c r="KOW293" s="317"/>
      <c r="KOX293" s="471"/>
      <c r="KOY293" s="472"/>
      <c r="KOZ293" s="471"/>
      <c r="KPA293" s="473"/>
      <c r="KPB293" s="474"/>
      <c r="KPC293" s="475"/>
      <c r="KPD293" s="476"/>
      <c r="KPE293" s="477"/>
      <c r="KPF293" s="475"/>
      <c r="KPG293" s="478"/>
      <c r="KPH293" s="479"/>
      <c r="KPI293" s="480"/>
      <c r="KPJ293" s="481"/>
      <c r="KPK293" s="481"/>
      <c r="KPL293" s="482"/>
      <c r="KPM293" s="189"/>
      <c r="KPN293" s="189"/>
      <c r="KPO293" s="483"/>
      <c r="KPP293" s="306"/>
      <c r="KPQ293" s="484"/>
      <c r="KPR293" s="306"/>
      <c r="KPS293" s="267"/>
      <c r="KPT293" s="268"/>
      <c r="KPU293" s="306"/>
      <c r="KPV293" s="268"/>
      <c r="KPW293" s="306"/>
      <c r="KPX293" s="485"/>
      <c r="KPY293" s="306"/>
      <c r="KPZ293" s="486"/>
      <c r="KQA293" s="487"/>
      <c r="KQB293" s="488"/>
      <c r="KQC293" s="489"/>
      <c r="KQD293" s="488"/>
      <c r="KQE293" s="468"/>
      <c r="KQF293" s="469"/>
      <c r="KQG293" s="470"/>
      <c r="KQH293" s="470"/>
      <c r="KQI293" s="306"/>
      <c r="KQJ293" s="317"/>
      <c r="KQK293" s="471"/>
      <c r="KQL293" s="472"/>
      <c r="KQM293" s="471"/>
      <c r="KQN293" s="473"/>
      <c r="KQO293" s="474"/>
      <c r="KQP293" s="475"/>
      <c r="KQQ293" s="476"/>
      <c r="KQR293" s="477"/>
      <c r="KQS293" s="475"/>
      <c r="KQT293" s="478"/>
      <c r="KQU293" s="479"/>
      <c r="KQV293" s="480"/>
      <c r="KQW293" s="481"/>
      <c r="KQX293" s="481"/>
      <c r="KQY293" s="482"/>
      <c r="KQZ293" s="189"/>
      <c r="KRA293" s="189"/>
      <c r="KRB293" s="483"/>
      <c r="KRC293" s="306"/>
      <c r="KRD293" s="484"/>
      <c r="KRE293" s="306"/>
      <c r="KRF293" s="267"/>
      <c r="KRG293" s="268"/>
      <c r="KRH293" s="306"/>
      <c r="KRI293" s="268"/>
      <c r="KRJ293" s="306"/>
      <c r="KRK293" s="485"/>
      <c r="KRL293" s="306"/>
      <c r="KRM293" s="486"/>
      <c r="KRN293" s="487"/>
      <c r="KRO293" s="488"/>
      <c r="KRP293" s="489"/>
      <c r="KRQ293" s="488"/>
      <c r="KRR293" s="468"/>
      <c r="KRS293" s="469"/>
      <c r="KRT293" s="470"/>
      <c r="KRU293" s="470"/>
      <c r="KRV293" s="306"/>
      <c r="KRW293" s="317"/>
      <c r="KRX293" s="471"/>
      <c r="KRY293" s="472"/>
      <c r="KRZ293" s="471"/>
      <c r="KSA293" s="473"/>
      <c r="KSB293" s="474"/>
      <c r="KSC293" s="475"/>
      <c r="KSD293" s="476"/>
      <c r="KSE293" s="477"/>
      <c r="KSF293" s="475"/>
      <c r="KSG293" s="478"/>
      <c r="KSH293" s="479"/>
      <c r="KSI293" s="480"/>
      <c r="KSJ293" s="481"/>
      <c r="KSK293" s="481"/>
      <c r="KSL293" s="482"/>
      <c r="KSM293" s="189"/>
      <c r="KSN293" s="189"/>
      <c r="KSO293" s="483"/>
      <c r="KSP293" s="306"/>
      <c r="KSQ293" s="484"/>
      <c r="KSR293" s="306"/>
      <c r="KSS293" s="267"/>
      <c r="KST293" s="268"/>
      <c r="KSU293" s="306"/>
      <c r="KSV293" s="268"/>
      <c r="KSW293" s="306"/>
      <c r="KSX293" s="485"/>
      <c r="KSY293" s="306"/>
      <c r="KSZ293" s="486"/>
      <c r="KTA293" s="487"/>
      <c r="KTB293" s="488"/>
      <c r="KTC293" s="489"/>
      <c r="KTD293" s="488"/>
      <c r="KTE293" s="468"/>
      <c r="KTF293" s="469"/>
      <c r="KTG293" s="470"/>
      <c r="KTH293" s="470"/>
      <c r="KTI293" s="306"/>
      <c r="KTJ293" s="317"/>
      <c r="KTK293" s="471"/>
      <c r="KTL293" s="472"/>
      <c r="KTM293" s="471"/>
      <c r="KTN293" s="473"/>
      <c r="KTO293" s="474"/>
      <c r="KTP293" s="475"/>
      <c r="KTQ293" s="476"/>
      <c r="KTR293" s="477"/>
      <c r="KTS293" s="475"/>
      <c r="KTT293" s="478"/>
      <c r="KTU293" s="479"/>
      <c r="KTV293" s="480"/>
      <c r="KTW293" s="481"/>
      <c r="KTX293" s="481"/>
      <c r="KTY293" s="482"/>
      <c r="KTZ293" s="189"/>
      <c r="KUA293" s="189"/>
      <c r="KUB293" s="483"/>
      <c r="KUC293" s="306"/>
      <c r="KUD293" s="484"/>
      <c r="KUE293" s="306"/>
      <c r="KUF293" s="267"/>
      <c r="KUG293" s="268"/>
      <c r="KUH293" s="306"/>
      <c r="KUI293" s="268"/>
      <c r="KUJ293" s="306"/>
      <c r="KUK293" s="485"/>
      <c r="KUL293" s="306"/>
      <c r="KUM293" s="486"/>
      <c r="KUN293" s="487"/>
      <c r="KUO293" s="488"/>
      <c r="KUP293" s="489"/>
      <c r="KUQ293" s="488"/>
      <c r="KUR293" s="468"/>
      <c r="KUS293" s="469"/>
      <c r="KUT293" s="470"/>
      <c r="KUU293" s="470"/>
      <c r="KUV293" s="306"/>
      <c r="KUW293" s="317"/>
      <c r="KUX293" s="471"/>
      <c r="KUY293" s="472"/>
      <c r="KUZ293" s="471"/>
      <c r="KVA293" s="473"/>
      <c r="KVB293" s="474"/>
      <c r="KVC293" s="475"/>
      <c r="KVD293" s="476"/>
      <c r="KVE293" s="477"/>
      <c r="KVF293" s="475"/>
      <c r="KVG293" s="478"/>
      <c r="KVH293" s="479"/>
      <c r="KVI293" s="480"/>
      <c r="KVJ293" s="481"/>
      <c r="KVK293" s="481"/>
      <c r="KVL293" s="482"/>
      <c r="KVM293" s="189"/>
      <c r="KVN293" s="189"/>
      <c r="KVO293" s="483"/>
      <c r="KVP293" s="306"/>
      <c r="KVQ293" s="484"/>
      <c r="KVR293" s="306"/>
      <c r="KVS293" s="267"/>
      <c r="KVT293" s="268"/>
      <c r="KVU293" s="306"/>
      <c r="KVV293" s="268"/>
      <c r="KVW293" s="306"/>
      <c r="KVX293" s="485"/>
      <c r="KVY293" s="306"/>
      <c r="KVZ293" s="486"/>
      <c r="KWA293" s="487"/>
      <c r="KWB293" s="488"/>
      <c r="KWC293" s="489"/>
      <c r="KWD293" s="488"/>
      <c r="KWE293" s="468"/>
      <c r="KWF293" s="469"/>
      <c r="KWG293" s="470"/>
      <c r="KWH293" s="470"/>
      <c r="KWI293" s="306"/>
      <c r="KWJ293" s="317"/>
      <c r="KWK293" s="471"/>
      <c r="KWL293" s="472"/>
      <c r="KWM293" s="471"/>
      <c r="KWN293" s="473"/>
      <c r="KWO293" s="474"/>
      <c r="KWP293" s="475"/>
      <c r="KWQ293" s="476"/>
      <c r="KWR293" s="477"/>
      <c r="KWS293" s="475"/>
      <c r="KWT293" s="478"/>
      <c r="KWU293" s="479"/>
      <c r="KWV293" s="480"/>
      <c r="KWW293" s="481"/>
      <c r="KWX293" s="481"/>
      <c r="KWY293" s="482"/>
      <c r="KWZ293" s="189"/>
      <c r="KXA293" s="189"/>
      <c r="KXB293" s="483"/>
      <c r="KXC293" s="306"/>
      <c r="KXD293" s="484"/>
      <c r="KXE293" s="306"/>
      <c r="KXF293" s="267"/>
      <c r="KXG293" s="268"/>
      <c r="KXH293" s="306"/>
      <c r="KXI293" s="268"/>
      <c r="KXJ293" s="306"/>
      <c r="KXK293" s="485"/>
      <c r="KXL293" s="306"/>
      <c r="KXM293" s="486"/>
      <c r="KXN293" s="487"/>
      <c r="KXO293" s="488"/>
      <c r="KXP293" s="489"/>
      <c r="KXQ293" s="488"/>
      <c r="KXR293" s="468"/>
      <c r="KXS293" s="469"/>
      <c r="KXT293" s="470"/>
      <c r="KXU293" s="470"/>
      <c r="KXV293" s="306"/>
      <c r="KXW293" s="317"/>
      <c r="KXX293" s="471"/>
      <c r="KXY293" s="472"/>
      <c r="KXZ293" s="471"/>
      <c r="KYA293" s="473"/>
      <c r="KYB293" s="474"/>
      <c r="KYC293" s="475"/>
      <c r="KYD293" s="476"/>
      <c r="KYE293" s="477"/>
      <c r="KYF293" s="475"/>
      <c r="KYG293" s="478"/>
      <c r="KYH293" s="479"/>
      <c r="KYI293" s="480"/>
      <c r="KYJ293" s="481"/>
      <c r="KYK293" s="481"/>
      <c r="KYL293" s="482"/>
      <c r="KYM293" s="189"/>
      <c r="KYN293" s="189"/>
      <c r="KYO293" s="483"/>
      <c r="KYP293" s="306"/>
      <c r="KYQ293" s="484"/>
      <c r="KYR293" s="306"/>
      <c r="KYS293" s="267"/>
      <c r="KYT293" s="268"/>
      <c r="KYU293" s="306"/>
      <c r="KYV293" s="268"/>
      <c r="KYW293" s="306"/>
      <c r="KYX293" s="485"/>
      <c r="KYY293" s="306"/>
      <c r="KYZ293" s="486"/>
      <c r="KZA293" s="487"/>
      <c r="KZB293" s="488"/>
      <c r="KZC293" s="489"/>
      <c r="KZD293" s="488"/>
      <c r="KZE293" s="468"/>
      <c r="KZF293" s="469"/>
      <c r="KZG293" s="470"/>
      <c r="KZH293" s="470"/>
      <c r="KZI293" s="306"/>
      <c r="KZJ293" s="317"/>
      <c r="KZK293" s="471"/>
      <c r="KZL293" s="472"/>
      <c r="KZM293" s="471"/>
      <c r="KZN293" s="473"/>
      <c r="KZO293" s="474"/>
      <c r="KZP293" s="475"/>
      <c r="KZQ293" s="476"/>
      <c r="KZR293" s="477"/>
      <c r="KZS293" s="475"/>
      <c r="KZT293" s="478"/>
      <c r="KZU293" s="479"/>
      <c r="KZV293" s="480"/>
      <c r="KZW293" s="481"/>
      <c r="KZX293" s="481"/>
      <c r="KZY293" s="482"/>
      <c r="KZZ293" s="189"/>
      <c r="LAA293" s="189"/>
      <c r="LAB293" s="483"/>
      <c r="LAC293" s="306"/>
      <c r="LAD293" s="484"/>
      <c r="LAE293" s="306"/>
      <c r="LAF293" s="267"/>
      <c r="LAG293" s="268"/>
      <c r="LAH293" s="306"/>
      <c r="LAI293" s="268"/>
      <c r="LAJ293" s="306"/>
      <c r="LAK293" s="485"/>
      <c r="LAL293" s="306"/>
      <c r="LAM293" s="486"/>
      <c r="LAN293" s="487"/>
      <c r="LAO293" s="488"/>
      <c r="LAP293" s="489"/>
      <c r="LAQ293" s="488"/>
      <c r="LAR293" s="468"/>
      <c r="LAS293" s="469"/>
      <c r="LAT293" s="470"/>
      <c r="LAU293" s="470"/>
      <c r="LAV293" s="306"/>
      <c r="LAW293" s="317"/>
      <c r="LAX293" s="471"/>
      <c r="LAY293" s="472"/>
      <c r="LAZ293" s="471"/>
      <c r="LBA293" s="473"/>
      <c r="LBB293" s="474"/>
      <c r="LBC293" s="475"/>
      <c r="LBD293" s="476"/>
      <c r="LBE293" s="477"/>
      <c r="LBF293" s="475"/>
      <c r="LBG293" s="478"/>
      <c r="LBH293" s="479"/>
      <c r="LBI293" s="480"/>
      <c r="LBJ293" s="481"/>
      <c r="LBK293" s="481"/>
      <c r="LBL293" s="482"/>
      <c r="LBM293" s="189"/>
      <c r="LBN293" s="189"/>
      <c r="LBO293" s="483"/>
      <c r="LBP293" s="306"/>
      <c r="LBQ293" s="484"/>
      <c r="LBR293" s="306"/>
      <c r="LBS293" s="267"/>
      <c r="LBT293" s="268"/>
      <c r="LBU293" s="306"/>
      <c r="LBV293" s="268"/>
      <c r="LBW293" s="306"/>
      <c r="LBX293" s="485"/>
      <c r="LBY293" s="306"/>
      <c r="LBZ293" s="486"/>
      <c r="LCA293" s="487"/>
      <c r="LCB293" s="488"/>
      <c r="LCC293" s="489"/>
      <c r="LCD293" s="488"/>
      <c r="LCE293" s="468"/>
      <c r="LCF293" s="469"/>
      <c r="LCG293" s="470"/>
      <c r="LCH293" s="470"/>
      <c r="LCI293" s="306"/>
      <c r="LCJ293" s="317"/>
      <c r="LCK293" s="471"/>
      <c r="LCL293" s="472"/>
      <c r="LCM293" s="471"/>
      <c r="LCN293" s="473"/>
      <c r="LCO293" s="474"/>
      <c r="LCP293" s="475"/>
      <c r="LCQ293" s="476"/>
      <c r="LCR293" s="477"/>
      <c r="LCS293" s="475"/>
      <c r="LCT293" s="478"/>
      <c r="LCU293" s="479"/>
      <c r="LCV293" s="480"/>
      <c r="LCW293" s="481"/>
      <c r="LCX293" s="481"/>
      <c r="LCY293" s="482"/>
      <c r="LCZ293" s="189"/>
      <c r="LDA293" s="189"/>
      <c r="LDB293" s="483"/>
      <c r="LDC293" s="306"/>
      <c r="LDD293" s="484"/>
      <c r="LDE293" s="306"/>
      <c r="LDF293" s="267"/>
      <c r="LDG293" s="268"/>
      <c r="LDH293" s="306"/>
      <c r="LDI293" s="268"/>
      <c r="LDJ293" s="306"/>
      <c r="LDK293" s="485"/>
      <c r="LDL293" s="306"/>
      <c r="LDM293" s="486"/>
      <c r="LDN293" s="487"/>
      <c r="LDO293" s="488"/>
      <c r="LDP293" s="489"/>
      <c r="LDQ293" s="488"/>
      <c r="LDR293" s="468"/>
      <c r="LDS293" s="469"/>
      <c r="LDT293" s="470"/>
      <c r="LDU293" s="470"/>
      <c r="LDV293" s="306"/>
      <c r="LDW293" s="317"/>
      <c r="LDX293" s="471"/>
      <c r="LDY293" s="472"/>
      <c r="LDZ293" s="471"/>
      <c r="LEA293" s="473"/>
      <c r="LEB293" s="474"/>
      <c r="LEC293" s="475"/>
      <c r="LED293" s="476"/>
      <c r="LEE293" s="477"/>
      <c r="LEF293" s="475"/>
      <c r="LEG293" s="478"/>
      <c r="LEH293" s="479"/>
      <c r="LEI293" s="480"/>
      <c r="LEJ293" s="481"/>
      <c r="LEK293" s="481"/>
      <c r="LEL293" s="482"/>
      <c r="LEM293" s="189"/>
      <c r="LEN293" s="189"/>
      <c r="LEO293" s="483"/>
      <c r="LEP293" s="306"/>
      <c r="LEQ293" s="484"/>
      <c r="LER293" s="306"/>
      <c r="LES293" s="267"/>
      <c r="LET293" s="268"/>
      <c r="LEU293" s="306"/>
      <c r="LEV293" s="268"/>
      <c r="LEW293" s="306"/>
      <c r="LEX293" s="485"/>
      <c r="LEY293" s="306"/>
      <c r="LEZ293" s="486"/>
      <c r="LFA293" s="487"/>
      <c r="LFB293" s="488"/>
      <c r="LFC293" s="489"/>
      <c r="LFD293" s="488"/>
      <c r="LFE293" s="468"/>
      <c r="LFF293" s="469"/>
      <c r="LFG293" s="470"/>
      <c r="LFH293" s="470"/>
      <c r="LFI293" s="306"/>
      <c r="LFJ293" s="317"/>
      <c r="LFK293" s="471"/>
      <c r="LFL293" s="472"/>
      <c r="LFM293" s="471"/>
      <c r="LFN293" s="473"/>
      <c r="LFO293" s="474"/>
      <c r="LFP293" s="475"/>
      <c r="LFQ293" s="476"/>
      <c r="LFR293" s="477"/>
      <c r="LFS293" s="475"/>
      <c r="LFT293" s="478"/>
      <c r="LFU293" s="479"/>
      <c r="LFV293" s="480"/>
      <c r="LFW293" s="481"/>
      <c r="LFX293" s="481"/>
      <c r="LFY293" s="482"/>
      <c r="LFZ293" s="189"/>
      <c r="LGA293" s="189"/>
      <c r="LGB293" s="483"/>
      <c r="LGC293" s="306"/>
      <c r="LGD293" s="484"/>
      <c r="LGE293" s="306"/>
      <c r="LGF293" s="267"/>
      <c r="LGG293" s="268"/>
      <c r="LGH293" s="306"/>
      <c r="LGI293" s="268"/>
      <c r="LGJ293" s="306"/>
      <c r="LGK293" s="485"/>
      <c r="LGL293" s="306"/>
      <c r="LGM293" s="486"/>
      <c r="LGN293" s="487"/>
      <c r="LGO293" s="488"/>
      <c r="LGP293" s="489"/>
      <c r="LGQ293" s="488"/>
      <c r="LGR293" s="468"/>
      <c r="LGS293" s="469"/>
      <c r="LGT293" s="470"/>
      <c r="LGU293" s="470"/>
      <c r="LGV293" s="306"/>
      <c r="LGW293" s="317"/>
      <c r="LGX293" s="471"/>
      <c r="LGY293" s="472"/>
      <c r="LGZ293" s="471"/>
      <c r="LHA293" s="473"/>
      <c r="LHB293" s="474"/>
      <c r="LHC293" s="475"/>
      <c r="LHD293" s="476"/>
      <c r="LHE293" s="477"/>
      <c r="LHF293" s="475"/>
      <c r="LHG293" s="478"/>
      <c r="LHH293" s="479"/>
      <c r="LHI293" s="480"/>
      <c r="LHJ293" s="481"/>
      <c r="LHK293" s="481"/>
      <c r="LHL293" s="482"/>
      <c r="LHM293" s="189"/>
      <c r="LHN293" s="189"/>
      <c r="LHO293" s="483"/>
      <c r="LHP293" s="306"/>
      <c r="LHQ293" s="484"/>
      <c r="LHR293" s="306"/>
      <c r="LHS293" s="267"/>
      <c r="LHT293" s="268"/>
      <c r="LHU293" s="306"/>
      <c r="LHV293" s="268"/>
      <c r="LHW293" s="306"/>
      <c r="LHX293" s="485"/>
      <c r="LHY293" s="306"/>
      <c r="LHZ293" s="486"/>
      <c r="LIA293" s="487"/>
      <c r="LIB293" s="488"/>
      <c r="LIC293" s="489"/>
      <c r="LID293" s="488"/>
      <c r="LIE293" s="468"/>
      <c r="LIF293" s="469"/>
      <c r="LIG293" s="470"/>
      <c r="LIH293" s="470"/>
      <c r="LII293" s="306"/>
      <c r="LIJ293" s="317"/>
      <c r="LIK293" s="471"/>
      <c r="LIL293" s="472"/>
      <c r="LIM293" s="471"/>
      <c r="LIN293" s="473"/>
      <c r="LIO293" s="474"/>
      <c r="LIP293" s="475"/>
      <c r="LIQ293" s="476"/>
      <c r="LIR293" s="477"/>
      <c r="LIS293" s="475"/>
      <c r="LIT293" s="478"/>
      <c r="LIU293" s="479"/>
      <c r="LIV293" s="480"/>
      <c r="LIW293" s="481"/>
      <c r="LIX293" s="481"/>
      <c r="LIY293" s="482"/>
      <c r="LIZ293" s="189"/>
      <c r="LJA293" s="189"/>
      <c r="LJB293" s="483"/>
      <c r="LJC293" s="306"/>
      <c r="LJD293" s="484"/>
      <c r="LJE293" s="306"/>
      <c r="LJF293" s="267"/>
      <c r="LJG293" s="268"/>
      <c r="LJH293" s="306"/>
      <c r="LJI293" s="268"/>
      <c r="LJJ293" s="306"/>
      <c r="LJK293" s="485"/>
      <c r="LJL293" s="306"/>
      <c r="LJM293" s="486"/>
      <c r="LJN293" s="487"/>
      <c r="LJO293" s="488"/>
      <c r="LJP293" s="489"/>
      <c r="LJQ293" s="488"/>
      <c r="LJR293" s="468"/>
      <c r="LJS293" s="469"/>
      <c r="LJT293" s="470"/>
      <c r="LJU293" s="470"/>
      <c r="LJV293" s="306"/>
      <c r="LJW293" s="317"/>
      <c r="LJX293" s="471"/>
      <c r="LJY293" s="472"/>
      <c r="LJZ293" s="471"/>
      <c r="LKA293" s="473"/>
      <c r="LKB293" s="474"/>
      <c r="LKC293" s="475"/>
      <c r="LKD293" s="476"/>
      <c r="LKE293" s="477"/>
      <c r="LKF293" s="475"/>
      <c r="LKG293" s="478"/>
      <c r="LKH293" s="479"/>
      <c r="LKI293" s="480"/>
      <c r="LKJ293" s="481"/>
      <c r="LKK293" s="481"/>
      <c r="LKL293" s="482"/>
      <c r="LKM293" s="189"/>
      <c r="LKN293" s="189"/>
      <c r="LKO293" s="483"/>
      <c r="LKP293" s="306"/>
      <c r="LKQ293" s="484"/>
      <c r="LKR293" s="306"/>
      <c r="LKS293" s="267"/>
      <c r="LKT293" s="268"/>
      <c r="LKU293" s="306"/>
      <c r="LKV293" s="268"/>
      <c r="LKW293" s="306"/>
      <c r="LKX293" s="485"/>
      <c r="LKY293" s="306"/>
      <c r="LKZ293" s="486"/>
      <c r="LLA293" s="487"/>
      <c r="LLB293" s="488"/>
      <c r="LLC293" s="489"/>
      <c r="LLD293" s="488"/>
      <c r="LLE293" s="468"/>
      <c r="LLF293" s="469"/>
      <c r="LLG293" s="470"/>
      <c r="LLH293" s="470"/>
      <c r="LLI293" s="306"/>
      <c r="LLJ293" s="317"/>
      <c r="LLK293" s="471"/>
      <c r="LLL293" s="472"/>
      <c r="LLM293" s="471"/>
      <c r="LLN293" s="473"/>
      <c r="LLO293" s="474"/>
      <c r="LLP293" s="475"/>
      <c r="LLQ293" s="476"/>
      <c r="LLR293" s="477"/>
      <c r="LLS293" s="475"/>
      <c r="LLT293" s="478"/>
      <c r="LLU293" s="479"/>
      <c r="LLV293" s="480"/>
      <c r="LLW293" s="481"/>
      <c r="LLX293" s="481"/>
      <c r="LLY293" s="482"/>
      <c r="LLZ293" s="189"/>
      <c r="LMA293" s="189"/>
      <c r="LMB293" s="483"/>
      <c r="LMC293" s="306"/>
      <c r="LMD293" s="484"/>
      <c r="LME293" s="306"/>
      <c r="LMF293" s="267"/>
      <c r="LMG293" s="268"/>
      <c r="LMH293" s="306"/>
      <c r="LMI293" s="268"/>
      <c r="LMJ293" s="306"/>
      <c r="LMK293" s="485"/>
      <c r="LML293" s="306"/>
      <c r="LMM293" s="486"/>
      <c r="LMN293" s="487"/>
      <c r="LMO293" s="488"/>
      <c r="LMP293" s="489"/>
      <c r="LMQ293" s="488"/>
      <c r="LMR293" s="468"/>
      <c r="LMS293" s="469"/>
      <c r="LMT293" s="470"/>
      <c r="LMU293" s="470"/>
      <c r="LMV293" s="306"/>
      <c r="LMW293" s="317"/>
      <c r="LMX293" s="471"/>
      <c r="LMY293" s="472"/>
      <c r="LMZ293" s="471"/>
      <c r="LNA293" s="473"/>
      <c r="LNB293" s="474"/>
      <c r="LNC293" s="475"/>
      <c r="LND293" s="476"/>
      <c r="LNE293" s="477"/>
      <c r="LNF293" s="475"/>
      <c r="LNG293" s="478"/>
      <c r="LNH293" s="479"/>
      <c r="LNI293" s="480"/>
      <c r="LNJ293" s="481"/>
      <c r="LNK293" s="481"/>
      <c r="LNL293" s="482"/>
      <c r="LNM293" s="189"/>
      <c r="LNN293" s="189"/>
      <c r="LNO293" s="483"/>
      <c r="LNP293" s="306"/>
      <c r="LNQ293" s="484"/>
      <c r="LNR293" s="306"/>
      <c r="LNS293" s="267"/>
      <c r="LNT293" s="268"/>
      <c r="LNU293" s="306"/>
      <c r="LNV293" s="268"/>
      <c r="LNW293" s="306"/>
      <c r="LNX293" s="485"/>
      <c r="LNY293" s="306"/>
      <c r="LNZ293" s="486"/>
      <c r="LOA293" s="487"/>
      <c r="LOB293" s="488"/>
      <c r="LOC293" s="489"/>
      <c r="LOD293" s="488"/>
      <c r="LOE293" s="468"/>
      <c r="LOF293" s="469"/>
      <c r="LOG293" s="470"/>
      <c r="LOH293" s="470"/>
      <c r="LOI293" s="306"/>
      <c r="LOJ293" s="317"/>
      <c r="LOK293" s="471"/>
      <c r="LOL293" s="472"/>
      <c r="LOM293" s="471"/>
      <c r="LON293" s="473"/>
      <c r="LOO293" s="474"/>
      <c r="LOP293" s="475"/>
      <c r="LOQ293" s="476"/>
      <c r="LOR293" s="477"/>
      <c r="LOS293" s="475"/>
      <c r="LOT293" s="478"/>
      <c r="LOU293" s="479"/>
      <c r="LOV293" s="480"/>
      <c r="LOW293" s="481"/>
      <c r="LOX293" s="481"/>
      <c r="LOY293" s="482"/>
      <c r="LOZ293" s="189"/>
      <c r="LPA293" s="189"/>
      <c r="LPB293" s="483"/>
      <c r="LPC293" s="306"/>
      <c r="LPD293" s="484"/>
      <c r="LPE293" s="306"/>
      <c r="LPF293" s="267"/>
      <c r="LPG293" s="268"/>
      <c r="LPH293" s="306"/>
      <c r="LPI293" s="268"/>
      <c r="LPJ293" s="306"/>
      <c r="LPK293" s="485"/>
      <c r="LPL293" s="306"/>
      <c r="LPM293" s="486"/>
      <c r="LPN293" s="487"/>
      <c r="LPO293" s="488"/>
      <c r="LPP293" s="489"/>
      <c r="LPQ293" s="488"/>
      <c r="LPR293" s="468"/>
      <c r="LPS293" s="469"/>
      <c r="LPT293" s="470"/>
      <c r="LPU293" s="470"/>
      <c r="LPV293" s="306"/>
      <c r="LPW293" s="317"/>
      <c r="LPX293" s="471"/>
      <c r="LPY293" s="472"/>
      <c r="LPZ293" s="471"/>
      <c r="LQA293" s="473"/>
      <c r="LQB293" s="474"/>
      <c r="LQC293" s="475"/>
      <c r="LQD293" s="476"/>
      <c r="LQE293" s="477"/>
      <c r="LQF293" s="475"/>
      <c r="LQG293" s="478"/>
      <c r="LQH293" s="479"/>
      <c r="LQI293" s="480"/>
      <c r="LQJ293" s="481"/>
      <c r="LQK293" s="481"/>
      <c r="LQL293" s="482"/>
      <c r="LQM293" s="189"/>
      <c r="LQN293" s="189"/>
      <c r="LQO293" s="483"/>
      <c r="LQP293" s="306"/>
      <c r="LQQ293" s="484"/>
      <c r="LQR293" s="306"/>
      <c r="LQS293" s="267"/>
      <c r="LQT293" s="268"/>
      <c r="LQU293" s="306"/>
      <c r="LQV293" s="268"/>
      <c r="LQW293" s="306"/>
      <c r="LQX293" s="485"/>
      <c r="LQY293" s="306"/>
      <c r="LQZ293" s="486"/>
      <c r="LRA293" s="487"/>
      <c r="LRB293" s="488"/>
      <c r="LRC293" s="489"/>
      <c r="LRD293" s="488"/>
      <c r="LRE293" s="468"/>
      <c r="LRF293" s="469"/>
      <c r="LRG293" s="470"/>
      <c r="LRH293" s="470"/>
      <c r="LRI293" s="306"/>
      <c r="LRJ293" s="317"/>
      <c r="LRK293" s="471"/>
      <c r="LRL293" s="472"/>
      <c r="LRM293" s="471"/>
      <c r="LRN293" s="473"/>
      <c r="LRO293" s="474"/>
      <c r="LRP293" s="475"/>
      <c r="LRQ293" s="476"/>
      <c r="LRR293" s="477"/>
      <c r="LRS293" s="475"/>
      <c r="LRT293" s="478"/>
      <c r="LRU293" s="479"/>
      <c r="LRV293" s="480"/>
      <c r="LRW293" s="481"/>
      <c r="LRX293" s="481"/>
      <c r="LRY293" s="482"/>
      <c r="LRZ293" s="189"/>
      <c r="LSA293" s="189"/>
      <c r="LSB293" s="483"/>
      <c r="LSC293" s="306"/>
      <c r="LSD293" s="484"/>
      <c r="LSE293" s="306"/>
      <c r="LSF293" s="267"/>
      <c r="LSG293" s="268"/>
      <c r="LSH293" s="306"/>
      <c r="LSI293" s="268"/>
      <c r="LSJ293" s="306"/>
      <c r="LSK293" s="485"/>
      <c r="LSL293" s="306"/>
      <c r="LSM293" s="486"/>
      <c r="LSN293" s="487"/>
      <c r="LSO293" s="488"/>
      <c r="LSP293" s="489"/>
      <c r="LSQ293" s="488"/>
      <c r="LSR293" s="468"/>
      <c r="LSS293" s="469"/>
      <c r="LST293" s="470"/>
      <c r="LSU293" s="470"/>
      <c r="LSV293" s="306"/>
      <c r="LSW293" s="317"/>
      <c r="LSX293" s="471"/>
      <c r="LSY293" s="472"/>
      <c r="LSZ293" s="471"/>
      <c r="LTA293" s="473"/>
      <c r="LTB293" s="474"/>
      <c r="LTC293" s="475"/>
      <c r="LTD293" s="476"/>
      <c r="LTE293" s="477"/>
      <c r="LTF293" s="475"/>
      <c r="LTG293" s="478"/>
      <c r="LTH293" s="479"/>
      <c r="LTI293" s="480"/>
      <c r="LTJ293" s="481"/>
      <c r="LTK293" s="481"/>
      <c r="LTL293" s="482"/>
      <c r="LTM293" s="189"/>
      <c r="LTN293" s="189"/>
      <c r="LTO293" s="483"/>
      <c r="LTP293" s="306"/>
      <c r="LTQ293" s="484"/>
      <c r="LTR293" s="306"/>
      <c r="LTS293" s="267"/>
      <c r="LTT293" s="268"/>
      <c r="LTU293" s="306"/>
      <c r="LTV293" s="268"/>
      <c r="LTW293" s="306"/>
      <c r="LTX293" s="485"/>
      <c r="LTY293" s="306"/>
      <c r="LTZ293" s="486"/>
      <c r="LUA293" s="487"/>
      <c r="LUB293" s="488"/>
      <c r="LUC293" s="489"/>
      <c r="LUD293" s="488"/>
      <c r="LUE293" s="468"/>
      <c r="LUF293" s="469"/>
      <c r="LUG293" s="470"/>
      <c r="LUH293" s="470"/>
      <c r="LUI293" s="306"/>
      <c r="LUJ293" s="317"/>
      <c r="LUK293" s="471"/>
      <c r="LUL293" s="472"/>
      <c r="LUM293" s="471"/>
      <c r="LUN293" s="473"/>
      <c r="LUO293" s="474"/>
      <c r="LUP293" s="475"/>
      <c r="LUQ293" s="476"/>
      <c r="LUR293" s="477"/>
      <c r="LUS293" s="475"/>
      <c r="LUT293" s="478"/>
      <c r="LUU293" s="479"/>
      <c r="LUV293" s="480"/>
      <c r="LUW293" s="481"/>
      <c r="LUX293" s="481"/>
      <c r="LUY293" s="482"/>
      <c r="LUZ293" s="189"/>
      <c r="LVA293" s="189"/>
      <c r="LVB293" s="483"/>
      <c r="LVC293" s="306"/>
      <c r="LVD293" s="484"/>
      <c r="LVE293" s="306"/>
      <c r="LVF293" s="267"/>
      <c r="LVG293" s="268"/>
      <c r="LVH293" s="306"/>
      <c r="LVI293" s="268"/>
      <c r="LVJ293" s="306"/>
      <c r="LVK293" s="485"/>
      <c r="LVL293" s="306"/>
      <c r="LVM293" s="486"/>
      <c r="LVN293" s="487"/>
      <c r="LVO293" s="488"/>
      <c r="LVP293" s="489"/>
      <c r="LVQ293" s="488"/>
      <c r="LVR293" s="468"/>
      <c r="LVS293" s="469"/>
      <c r="LVT293" s="470"/>
      <c r="LVU293" s="470"/>
      <c r="LVV293" s="306"/>
      <c r="LVW293" s="317"/>
      <c r="LVX293" s="471"/>
      <c r="LVY293" s="472"/>
      <c r="LVZ293" s="471"/>
      <c r="LWA293" s="473"/>
      <c r="LWB293" s="474"/>
      <c r="LWC293" s="475"/>
      <c r="LWD293" s="476"/>
      <c r="LWE293" s="477"/>
      <c r="LWF293" s="475"/>
      <c r="LWG293" s="478"/>
      <c r="LWH293" s="479"/>
      <c r="LWI293" s="480"/>
      <c r="LWJ293" s="481"/>
      <c r="LWK293" s="481"/>
      <c r="LWL293" s="482"/>
      <c r="LWM293" s="189"/>
      <c r="LWN293" s="189"/>
      <c r="LWO293" s="483"/>
      <c r="LWP293" s="306"/>
      <c r="LWQ293" s="484"/>
      <c r="LWR293" s="306"/>
      <c r="LWS293" s="267"/>
      <c r="LWT293" s="268"/>
      <c r="LWU293" s="306"/>
      <c r="LWV293" s="268"/>
      <c r="LWW293" s="306"/>
      <c r="LWX293" s="485"/>
      <c r="LWY293" s="306"/>
      <c r="LWZ293" s="486"/>
      <c r="LXA293" s="487"/>
      <c r="LXB293" s="488"/>
      <c r="LXC293" s="489"/>
      <c r="LXD293" s="488"/>
      <c r="LXE293" s="468"/>
      <c r="LXF293" s="469"/>
      <c r="LXG293" s="470"/>
      <c r="LXH293" s="470"/>
      <c r="LXI293" s="306"/>
      <c r="LXJ293" s="317"/>
      <c r="LXK293" s="471"/>
      <c r="LXL293" s="472"/>
      <c r="LXM293" s="471"/>
      <c r="LXN293" s="473"/>
      <c r="LXO293" s="474"/>
      <c r="LXP293" s="475"/>
      <c r="LXQ293" s="476"/>
      <c r="LXR293" s="477"/>
      <c r="LXS293" s="475"/>
      <c r="LXT293" s="478"/>
      <c r="LXU293" s="479"/>
      <c r="LXV293" s="480"/>
      <c r="LXW293" s="481"/>
      <c r="LXX293" s="481"/>
      <c r="LXY293" s="482"/>
      <c r="LXZ293" s="189"/>
      <c r="LYA293" s="189"/>
      <c r="LYB293" s="483"/>
      <c r="LYC293" s="306"/>
      <c r="LYD293" s="484"/>
      <c r="LYE293" s="306"/>
      <c r="LYF293" s="267"/>
      <c r="LYG293" s="268"/>
      <c r="LYH293" s="306"/>
      <c r="LYI293" s="268"/>
      <c r="LYJ293" s="306"/>
      <c r="LYK293" s="485"/>
      <c r="LYL293" s="306"/>
      <c r="LYM293" s="486"/>
      <c r="LYN293" s="487"/>
      <c r="LYO293" s="488"/>
      <c r="LYP293" s="489"/>
      <c r="LYQ293" s="488"/>
      <c r="LYR293" s="468"/>
      <c r="LYS293" s="469"/>
      <c r="LYT293" s="470"/>
      <c r="LYU293" s="470"/>
      <c r="LYV293" s="306"/>
      <c r="LYW293" s="317"/>
      <c r="LYX293" s="471"/>
      <c r="LYY293" s="472"/>
      <c r="LYZ293" s="471"/>
      <c r="LZA293" s="473"/>
      <c r="LZB293" s="474"/>
      <c r="LZC293" s="475"/>
      <c r="LZD293" s="476"/>
      <c r="LZE293" s="477"/>
      <c r="LZF293" s="475"/>
      <c r="LZG293" s="478"/>
      <c r="LZH293" s="479"/>
      <c r="LZI293" s="480"/>
      <c r="LZJ293" s="481"/>
      <c r="LZK293" s="481"/>
      <c r="LZL293" s="482"/>
      <c r="LZM293" s="189"/>
      <c r="LZN293" s="189"/>
      <c r="LZO293" s="483"/>
      <c r="LZP293" s="306"/>
      <c r="LZQ293" s="484"/>
      <c r="LZR293" s="306"/>
      <c r="LZS293" s="267"/>
      <c r="LZT293" s="268"/>
      <c r="LZU293" s="306"/>
      <c r="LZV293" s="268"/>
      <c r="LZW293" s="306"/>
      <c r="LZX293" s="485"/>
      <c r="LZY293" s="306"/>
      <c r="LZZ293" s="486"/>
      <c r="MAA293" s="487"/>
      <c r="MAB293" s="488"/>
      <c r="MAC293" s="489"/>
      <c r="MAD293" s="488"/>
      <c r="MAE293" s="468"/>
      <c r="MAF293" s="469"/>
      <c r="MAG293" s="470"/>
      <c r="MAH293" s="470"/>
      <c r="MAI293" s="306"/>
      <c r="MAJ293" s="317"/>
      <c r="MAK293" s="471"/>
      <c r="MAL293" s="472"/>
      <c r="MAM293" s="471"/>
      <c r="MAN293" s="473"/>
      <c r="MAO293" s="474"/>
      <c r="MAP293" s="475"/>
      <c r="MAQ293" s="476"/>
      <c r="MAR293" s="477"/>
      <c r="MAS293" s="475"/>
      <c r="MAT293" s="478"/>
      <c r="MAU293" s="479"/>
      <c r="MAV293" s="480"/>
      <c r="MAW293" s="481"/>
      <c r="MAX293" s="481"/>
      <c r="MAY293" s="482"/>
      <c r="MAZ293" s="189"/>
      <c r="MBA293" s="189"/>
      <c r="MBB293" s="483"/>
      <c r="MBC293" s="306"/>
      <c r="MBD293" s="484"/>
      <c r="MBE293" s="306"/>
      <c r="MBF293" s="267"/>
      <c r="MBG293" s="268"/>
      <c r="MBH293" s="306"/>
      <c r="MBI293" s="268"/>
      <c r="MBJ293" s="306"/>
      <c r="MBK293" s="485"/>
      <c r="MBL293" s="306"/>
      <c r="MBM293" s="486"/>
      <c r="MBN293" s="487"/>
      <c r="MBO293" s="488"/>
      <c r="MBP293" s="489"/>
      <c r="MBQ293" s="488"/>
      <c r="MBR293" s="468"/>
      <c r="MBS293" s="469"/>
      <c r="MBT293" s="470"/>
      <c r="MBU293" s="470"/>
      <c r="MBV293" s="306"/>
      <c r="MBW293" s="317"/>
      <c r="MBX293" s="471"/>
      <c r="MBY293" s="472"/>
      <c r="MBZ293" s="471"/>
      <c r="MCA293" s="473"/>
      <c r="MCB293" s="474"/>
      <c r="MCC293" s="475"/>
      <c r="MCD293" s="476"/>
      <c r="MCE293" s="477"/>
      <c r="MCF293" s="475"/>
      <c r="MCG293" s="478"/>
      <c r="MCH293" s="479"/>
      <c r="MCI293" s="480"/>
      <c r="MCJ293" s="481"/>
      <c r="MCK293" s="481"/>
      <c r="MCL293" s="482"/>
      <c r="MCM293" s="189"/>
      <c r="MCN293" s="189"/>
      <c r="MCO293" s="483"/>
      <c r="MCP293" s="306"/>
      <c r="MCQ293" s="484"/>
      <c r="MCR293" s="306"/>
      <c r="MCS293" s="267"/>
      <c r="MCT293" s="268"/>
      <c r="MCU293" s="306"/>
      <c r="MCV293" s="268"/>
      <c r="MCW293" s="306"/>
      <c r="MCX293" s="485"/>
      <c r="MCY293" s="306"/>
      <c r="MCZ293" s="486"/>
      <c r="MDA293" s="487"/>
      <c r="MDB293" s="488"/>
      <c r="MDC293" s="489"/>
      <c r="MDD293" s="488"/>
      <c r="MDE293" s="468"/>
      <c r="MDF293" s="469"/>
      <c r="MDG293" s="470"/>
      <c r="MDH293" s="470"/>
      <c r="MDI293" s="306"/>
      <c r="MDJ293" s="317"/>
      <c r="MDK293" s="471"/>
      <c r="MDL293" s="472"/>
      <c r="MDM293" s="471"/>
      <c r="MDN293" s="473"/>
      <c r="MDO293" s="474"/>
      <c r="MDP293" s="475"/>
      <c r="MDQ293" s="476"/>
      <c r="MDR293" s="477"/>
      <c r="MDS293" s="475"/>
      <c r="MDT293" s="478"/>
      <c r="MDU293" s="479"/>
      <c r="MDV293" s="480"/>
      <c r="MDW293" s="481"/>
      <c r="MDX293" s="481"/>
      <c r="MDY293" s="482"/>
      <c r="MDZ293" s="189"/>
      <c r="MEA293" s="189"/>
      <c r="MEB293" s="483"/>
      <c r="MEC293" s="306"/>
      <c r="MED293" s="484"/>
      <c r="MEE293" s="306"/>
      <c r="MEF293" s="267"/>
      <c r="MEG293" s="268"/>
      <c r="MEH293" s="306"/>
      <c r="MEI293" s="268"/>
      <c r="MEJ293" s="306"/>
      <c r="MEK293" s="485"/>
      <c r="MEL293" s="306"/>
      <c r="MEM293" s="486"/>
      <c r="MEN293" s="487"/>
      <c r="MEO293" s="488"/>
      <c r="MEP293" s="489"/>
      <c r="MEQ293" s="488"/>
      <c r="MER293" s="468"/>
      <c r="MES293" s="469"/>
      <c r="MET293" s="470"/>
      <c r="MEU293" s="470"/>
      <c r="MEV293" s="306"/>
      <c r="MEW293" s="317"/>
      <c r="MEX293" s="471"/>
      <c r="MEY293" s="472"/>
      <c r="MEZ293" s="471"/>
      <c r="MFA293" s="473"/>
      <c r="MFB293" s="474"/>
      <c r="MFC293" s="475"/>
      <c r="MFD293" s="476"/>
      <c r="MFE293" s="477"/>
      <c r="MFF293" s="475"/>
      <c r="MFG293" s="478"/>
      <c r="MFH293" s="479"/>
      <c r="MFI293" s="480"/>
      <c r="MFJ293" s="481"/>
      <c r="MFK293" s="481"/>
      <c r="MFL293" s="482"/>
      <c r="MFM293" s="189"/>
      <c r="MFN293" s="189"/>
      <c r="MFO293" s="483"/>
      <c r="MFP293" s="306"/>
      <c r="MFQ293" s="484"/>
      <c r="MFR293" s="306"/>
      <c r="MFS293" s="267"/>
      <c r="MFT293" s="268"/>
      <c r="MFU293" s="306"/>
      <c r="MFV293" s="268"/>
      <c r="MFW293" s="306"/>
      <c r="MFX293" s="485"/>
      <c r="MFY293" s="306"/>
      <c r="MFZ293" s="486"/>
      <c r="MGA293" s="487"/>
      <c r="MGB293" s="488"/>
      <c r="MGC293" s="489"/>
      <c r="MGD293" s="488"/>
      <c r="MGE293" s="468"/>
      <c r="MGF293" s="469"/>
      <c r="MGG293" s="470"/>
      <c r="MGH293" s="470"/>
      <c r="MGI293" s="306"/>
      <c r="MGJ293" s="317"/>
      <c r="MGK293" s="471"/>
      <c r="MGL293" s="472"/>
      <c r="MGM293" s="471"/>
      <c r="MGN293" s="473"/>
      <c r="MGO293" s="474"/>
      <c r="MGP293" s="475"/>
      <c r="MGQ293" s="476"/>
      <c r="MGR293" s="477"/>
      <c r="MGS293" s="475"/>
      <c r="MGT293" s="478"/>
      <c r="MGU293" s="479"/>
      <c r="MGV293" s="480"/>
      <c r="MGW293" s="481"/>
      <c r="MGX293" s="481"/>
      <c r="MGY293" s="482"/>
      <c r="MGZ293" s="189"/>
      <c r="MHA293" s="189"/>
      <c r="MHB293" s="483"/>
      <c r="MHC293" s="306"/>
      <c r="MHD293" s="484"/>
      <c r="MHE293" s="306"/>
      <c r="MHF293" s="267"/>
      <c r="MHG293" s="268"/>
      <c r="MHH293" s="306"/>
      <c r="MHI293" s="268"/>
      <c r="MHJ293" s="306"/>
      <c r="MHK293" s="485"/>
      <c r="MHL293" s="306"/>
      <c r="MHM293" s="486"/>
      <c r="MHN293" s="487"/>
      <c r="MHO293" s="488"/>
      <c r="MHP293" s="489"/>
      <c r="MHQ293" s="488"/>
      <c r="MHR293" s="468"/>
      <c r="MHS293" s="469"/>
      <c r="MHT293" s="470"/>
      <c r="MHU293" s="470"/>
      <c r="MHV293" s="306"/>
      <c r="MHW293" s="317"/>
      <c r="MHX293" s="471"/>
      <c r="MHY293" s="472"/>
      <c r="MHZ293" s="471"/>
      <c r="MIA293" s="473"/>
      <c r="MIB293" s="474"/>
      <c r="MIC293" s="475"/>
      <c r="MID293" s="476"/>
      <c r="MIE293" s="477"/>
      <c r="MIF293" s="475"/>
      <c r="MIG293" s="478"/>
      <c r="MIH293" s="479"/>
      <c r="MII293" s="480"/>
      <c r="MIJ293" s="481"/>
      <c r="MIK293" s="481"/>
      <c r="MIL293" s="482"/>
      <c r="MIM293" s="189"/>
      <c r="MIN293" s="189"/>
      <c r="MIO293" s="483"/>
      <c r="MIP293" s="306"/>
      <c r="MIQ293" s="484"/>
      <c r="MIR293" s="306"/>
      <c r="MIS293" s="267"/>
      <c r="MIT293" s="268"/>
      <c r="MIU293" s="306"/>
      <c r="MIV293" s="268"/>
      <c r="MIW293" s="306"/>
      <c r="MIX293" s="485"/>
      <c r="MIY293" s="306"/>
      <c r="MIZ293" s="486"/>
      <c r="MJA293" s="487"/>
      <c r="MJB293" s="488"/>
      <c r="MJC293" s="489"/>
      <c r="MJD293" s="488"/>
      <c r="MJE293" s="468"/>
      <c r="MJF293" s="469"/>
      <c r="MJG293" s="470"/>
      <c r="MJH293" s="470"/>
      <c r="MJI293" s="306"/>
      <c r="MJJ293" s="317"/>
      <c r="MJK293" s="471"/>
      <c r="MJL293" s="472"/>
      <c r="MJM293" s="471"/>
      <c r="MJN293" s="473"/>
      <c r="MJO293" s="474"/>
      <c r="MJP293" s="475"/>
      <c r="MJQ293" s="476"/>
      <c r="MJR293" s="477"/>
      <c r="MJS293" s="475"/>
      <c r="MJT293" s="478"/>
      <c r="MJU293" s="479"/>
      <c r="MJV293" s="480"/>
      <c r="MJW293" s="481"/>
      <c r="MJX293" s="481"/>
      <c r="MJY293" s="482"/>
      <c r="MJZ293" s="189"/>
      <c r="MKA293" s="189"/>
      <c r="MKB293" s="483"/>
      <c r="MKC293" s="306"/>
      <c r="MKD293" s="484"/>
      <c r="MKE293" s="306"/>
      <c r="MKF293" s="267"/>
      <c r="MKG293" s="268"/>
      <c r="MKH293" s="306"/>
      <c r="MKI293" s="268"/>
      <c r="MKJ293" s="306"/>
      <c r="MKK293" s="485"/>
      <c r="MKL293" s="306"/>
      <c r="MKM293" s="486"/>
      <c r="MKN293" s="487"/>
      <c r="MKO293" s="488"/>
      <c r="MKP293" s="489"/>
      <c r="MKQ293" s="488"/>
      <c r="MKR293" s="468"/>
      <c r="MKS293" s="469"/>
      <c r="MKT293" s="470"/>
      <c r="MKU293" s="470"/>
      <c r="MKV293" s="306"/>
      <c r="MKW293" s="317"/>
      <c r="MKX293" s="471"/>
      <c r="MKY293" s="472"/>
      <c r="MKZ293" s="471"/>
      <c r="MLA293" s="473"/>
      <c r="MLB293" s="474"/>
      <c r="MLC293" s="475"/>
      <c r="MLD293" s="476"/>
      <c r="MLE293" s="477"/>
      <c r="MLF293" s="475"/>
      <c r="MLG293" s="478"/>
      <c r="MLH293" s="479"/>
      <c r="MLI293" s="480"/>
      <c r="MLJ293" s="481"/>
      <c r="MLK293" s="481"/>
      <c r="MLL293" s="482"/>
      <c r="MLM293" s="189"/>
      <c r="MLN293" s="189"/>
      <c r="MLO293" s="483"/>
      <c r="MLP293" s="306"/>
      <c r="MLQ293" s="484"/>
      <c r="MLR293" s="306"/>
      <c r="MLS293" s="267"/>
      <c r="MLT293" s="268"/>
      <c r="MLU293" s="306"/>
      <c r="MLV293" s="268"/>
      <c r="MLW293" s="306"/>
      <c r="MLX293" s="485"/>
      <c r="MLY293" s="306"/>
      <c r="MLZ293" s="486"/>
      <c r="MMA293" s="487"/>
      <c r="MMB293" s="488"/>
      <c r="MMC293" s="489"/>
      <c r="MMD293" s="488"/>
      <c r="MME293" s="468"/>
      <c r="MMF293" s="469"/>
      <c r="MMG293" s="470"/>
      <c r="MMH293" s="470"/>
      <c r="MMI293" s="306"/>
      <c r="MMJ293" s="317"/>
      <c r="MMK293" s="471"/>
      <c r="MML293" s="472"/>
      <c r="MMM293" s="471"/>
      <c r="MMN293" s="473"/>
      <c r="MMO293" s="474"/>
      <c r="MMP293" s="475"/>
      <c r="MMQ293" s="476"/>
      <c r="MMR293" s="477"/>
      <c r="MMS293" s="475"/>
      <c r="MMT293" s="478"/>
      <c r="MMU293" s="479"/>
      <c r="MMV293" s="480"/>
      <c r="MMW293" s="481"/>
      <c r="MMX293" s="481"/>
      <c r="MMY293" s="482"/>
      <c r="MMZ293" s="189"/>
      <c r="MNA293" s="189"/>
      <c r="MNB293" s="483"/>
      <c r="MNC293" s="306"/>
      <c r="MND293" s="484"/>
      <c r="MNE293" s="306"/>
      <c r="MNF293" s="267"/>
      <c r="MNG293" s="268"/>
      <c r="MNH293" s="306"/>
      <c r="MNI293" s="268"/>
      <c r="MNJ293" s="306"/>
      <c r="MNK293" s="485"/>
      <c r="MNL293" s="306"/>
      <c r="MNM293" s="486"/>
      <c r="MNN293" s="487"/>
      <c r="MNO293" s="488"/>
      <c r="MNP293" s="489"/>
      <c r="MNQ293" s="488"/>
      <c r="MNR293" s="468"/>
      <c r="MNS293" s="469"/>
      <c r="MNT293" s="470"/>
      <c r="MNU293" s="470"/>
      <c r="MNV293" s="306"/>
      <c r="MNW293" s="317"/>
      <c r="MNX293" s="471"/>
      <c r="MNY293" s="472"/>
      <c r="MNZ293" s="471"/>
      <c r="MOA293" s="473"/>
      <c r="MOB293" s="474"/>
      <c r="MOC293" s="475"/>
      <c r="MOD293" s="476"/>
      <c r="MOE293" s="477"/>
      <c r="MOF293" s="475"/>
      <c r="MOG293" s="478"/>
      <c r="MOH293" s="479"/>
      <c r="MOI293" s="480"/>
      <c r="MOJ293" s="481"/>
      <c r="MOK293" s="481"/>
      <c r="MOL293" s="482"/>
      <c r="MOM293" s="189"/>
      <c r="MON293" s="189"/>
      <c r="MOO293" s="483"/>
      <c r="MOP293" s="306"/>
      <c r="MOQ293" s="484"/>
      <c r="MOR293" s="306"/>
      <c r="MOS293" s="267"/>
      <c r="MOT293" s="268"/>
      <c r="MOU293" s="306"/>
      <c r="MOV293" s="268"/>
      <c r="MOW293" s="306"/>
      <c r="MOX293" s="485"/>
      <c r="MOY293" s="306"/>
      <c r="MOZ293" s="486"/>
      <c r="MPA293" s="487"/>
      <c r="MPB293" s="488"/>
      <c r="MPC293" s="489"/>
      <c r="MPD293" s="488"/>
      <c r="MPE293" s="468"/>
      <c r="MPF293" s="469"/>
      <c r="MPG293" s="470"/>
      <c r="MPH293" s="470"/>
      <c r="MPI293" s="306"/>
      <c r="MPJ293" s="317"/>
      <c r="MPK293" s="471"/>
      <c r="MPL293" s="472"/>
      <c r="MPM293" s="471"/>
      <c r="MPN293" s="473"/>
      <c r="MPO293" s="474"/>
      <c r="MPP293" s="475"/>
      <c r="MPQ293" s="476"/>
      <c r="MPR293" s="477"/>
      <c r="MPS293" s="475"/>
      <c r="MPT293" s="478"/>
      <c r="MPU293" s="479"/>
      <c r="MPV293" s="480"/>
      <c r="MPW293" s="481"/>
      <c r="MPX293" s="481"/>
      <c r="MPY293" s="482"/>
      <c r="MPZ293" s="189"/>
      <c r="MQA293" s="189"/>
      <c r="MQB293" s="483"/>
      <c r="MQC293" s="306"/>
      <c r="MQD293" s="484"/>
      <c r="MQE293" s="306"/>
      <c r="MQF293" s="267"/>
      <c r="MQG293" s="268"/>
      <c r="MQH293" s="306"/>
      <c r="MQI293" s="268"/>
      <c r="MQJ293" s="306"/>
      <c r="MQK293" s="485"/>
      <c r="MQL293" s="306"/>
      <c r="MQM293" s="486"/>
      <c r="MQN293" s="487"/>
      <c r="MQO293" s="488"/>
      <c r="MQP293" s="489"/>
      <c r="MQQ293" s="488"/>
      <c r="MQR293" s="468"/>
      <c r="MQS293" s="469"/>
      <c r="MQT293" s="470"/>
      <c r="MQU293" s="470"/>
      <c r="MQV293" s="306"/>
      <c r="MQW293" s="317"/>
      <c r="MQX293" s="471"/>
      <c r="MQY293" s="472"/>
      <c r="MQZ293" s="471"/>
      <c r="MRA293" s="473"/>
      <c r="MRB293" s="474"/>
      <c r="MRC293" s="475"/>
      <c r="MRD293" s="476"/>
      <c r="MRE293" s="477"/>
      <c r="MRF293" s="475"/>
      <c r="MRG293" s="478"/>
      <c r="MRH293" s="479"/>
      <c r="MRI293" s="480"/>
      <c r="MRJ293" s="481"/>
      <c r="MRK293" s="481"/>
      <c r="MRL293" s="482"/>
      <c r="MRM293" s="189"/>
      <c r="MRN293" s="189"/>
      <c r="MRO293" s="483"/>
      <c r="MRP293" s="306"/>
      <c r="MRQ293" s="484"/>
      <c r="MRR293" s="306"/>
      <c r="MRS293" s="267"/>
      <c r="MRT293" s="268"/>
      <c r="MRU293" s="306"/>
      <c r="MRV293" s="268"/>
      <c r="MRW293" s="306"/>
      <c r="MRX293" s="485"/>
      <c r="MRY293" s="306"/>
      <c r="MRZ293" s="486"/>
      <c r="MSA293" s="487"/>
      <c r="MSB293" s="488"/>
      <c r="MSC293" s="489"/>
      <c r="MSD293" s="488"/>
      <c r="MSE293" s="468"/>
      <c r="MSF293" s="469"/>
      <c r="MSG293" s="470"/>
      <c r="MSH293" s="470"/>
      <c r="MSI293" s="306"/>
      <c r="MSJ293" s="317"/>
      <c r="MSK293" s="471"/>
      <c r="MSL293" s="472"/>
      <c r="MSM293" s="471"/>
      <c r="MSN293" s="473"/>
      <c r="MSO293" s="474"/>
      <c r="MSP293" s="475"/>
      <c r="MSQ293" s="476"/>
      <c r="MSR293" s="477"/>
      <c r="MSS293" s="475"/>
      <c r="MST293" s="478"/>
      <c r="MSU293" s="479"/>
      <c r="MSV293" s="480"/>
      <c r="MSW293" s="481"/>
      <c r="MSX293" s="481"/>
      <c r="MSY293" s="482"/>
      <c r="MSZ293" s="189"/>
      <c r="MTA293" s="189"/>
      <c r="MTB293" s="483"/>
      <c r="MTC293" s="306"/>
      <c r="MTD293" s="484"/>
      <c r="MTE293" s="306"/>
      <c r="MTF293" s="267"/>
      <c r="MTG293" s="268"/>
      <c r="MTH293" s="306"/>
      <c r="MTI293" s="268"/>
      <c r="MTJ293" s="306"/>
      <c r="MTK293" s="485"/>
      <c r="MTL293" s="306"/>
      <c r="MTM293" s="486"/>
      <c r="MTN293" s="487"/>
      <c r="MTO293" s="488"/>
      <c r="MTP293" s="489"/>
      <c r="MTQ293" s="488"/>
      <c r="MTR293" s="468"/>
      <c r="MTS293" s="469"/>
      <c r="MTT293" s="470"/>
      <c r="MTU293" s="470"/>
      <c r="MTV293" s="306"/>
      <c r="MTW293" s="317"/>
      <c r="MTX293" s="471"/>
      <c r="MTY293" s="472"/>
      <c r="MTZ293" s="471"/>
      <c r="MUA293" s="473"/>
      <c r="MUB293" s="474"/>
      <c r="MUC293" s="475"/>
      <c r="MUD293" s="476"/>
      <c r="MUE293" s="477"/>
      <c r="MUF293" s="475"/>
      <c r="MUG293" s="478"/>
      <c r="MUH293" s="479"/>
      <c r="MUI293" s="480"/>
      <c r="MUJ293" s="481"/>
      <c r="MUK293" s="481"/>
      <c r="MUL293" s="482"/>
      <c r="MUM293" s="189"/>
      <c r="MUN293" s="189"/>
      <c r="MUO293" s="483"/>
      <c r="MUP293" s="306"/>
      <c r="MUQ293" s="484"/>
      <c r="MUR293" s="306"/>
      <c r="MUS293" s="267"/>
      <c r="MUT293" s="268"/>
      <c r="MUU293" s="306"/>
      <c r="MUV293" s="268"/>
      <c r="MUW293" s="306"/>
      <c r="MUX293" s="485"/>
      <c r="MUY293" s="306"/>
      <c r="MUZ293" s="486"/>
      <c r="MVA293" s="487"/>
      <c r="MVB293" s="488"/>
      <c r="MVC293" s="489"/>
      <c r="MVD293" s="488"/>
      <c r="MVE293" s="468"/>
      <c r="MVF293" s="469"/>
      <c r="MVG293" s="470"/>
      <c r="MVH293" s="470"/>
      <c r="MVI293" s="306"/>
      <c r="MVJ293" s="317"/>
      <c r="MVK293" s="471"/>
      <c r="MVL293" s="472"/>
      <c r="MVM293" s="471"/>
      <c r="MVN293" s="473"/>
      <c r="MVO293" s="474"/>
      <c r="MVP293" s="475"/>
      <c r="MVQ293" s="476"/>
      <c r="MVR293" s="477"/>
      <c r="MVS293" s="475"/>
      <c r="MVT293" s="478"/>
      <c r="MVU293" s="479"/>
      <c r="MVV293" s="480"/>
      <c r="MVW293" s="481"/>
      <c r="MVX293" s="481"/>
      <c r="MVY293" s="482"/>
      <c r="MVZ293" s="189"/>
      <c r="MWA293" s="189"/>
      <c r="MWB293" s="483"/>
      <c r="MWC293" s="306"/>
      <c r="MWD293" s="484"/>
      <c r="MWE293" s="306"/>
      <c r="MWF293" s="267"/>
      <c r="MWG293" s="268"/>
      <c r="MWH293" s="306"/>
      <c r="MWI293" s="268"/>
      <c r="MWJ293" s="306"/>
      <c r="MWK293" s="485"/>
      <c r="MWL293" s="306"/>
      <c r="MWM293" s="486"/>
      <c r="MWN293" s="487"/>
      <c r="MWO293" s="488"/>
      <c r="MWP293" s="489"/>
      <c r="MWQ293" s="488"/>
      <c r="MWR293" s="468"/>
      <c r="MWS293" s="469"/>
      <c r="MWT293" s="470"/>
      <c r="MWU293" s="470"/>
      <c r="MWV293" s="306"/>
      <c r="MWW293" s="317"/>
      <c r="MWX293" s="471"/>
      <c r="MWY293" s="472"/>
      <c r="MWZ293" s="471"/>
      <c r="MXA293" s="473"/>
      <c r="MXB293" s="474"/>
      <c r="MXC293" s="475"/>
      <c r="MXD293" s="476"/>
      <c r="MXE293" s="477"/>
      <c r="MXF293" s="475"/>
      <c r="MXG293" s="478"/>
      <c r="MXH293" s="479"/>
      <c r="MXI293" s="480"/>
      <c r="MXJ293" s="481"/>
      <c r="MXK293" s="481"/>
      <c r="MXL293" s="482"/>
      <c r="MXM293" s="189"/>
      <c r="MXN293" s="189"/>
      <c r="MXO293" s="483"/>
      <c r="MXP293" s="306"/>
      <c r="MXQ293" s="484"/>
      <c r="MXR293" s="306"/>
      <c r="MXS293" s="267"/>
      <c r="MXT293" s="268"/>
      <c r="MXU293" s="306"/>
      <c r="MXV293" s="268"/>
      <c r="MXW293" s="306"/>
      <c r="MXX293" s="485"/>
      <c r="MXY293" s="306"/>
      <c r="MXZ293" s="486"/>
      <c r="MYA293" s="487"/>
      <c r="MYB293" s="488"/>
      <c r="MYC293" s="489"/>
      <c r="MYD293" s="488"/>
      <c r="MYE293" s="468"/>
      <c r="MYF293" s="469"/>
      <c r="MYG293" s="470"/>
      <c r="MYH293" s="470"/>
      <c r="MYI293" s="306"/>
      <c r="MYJ293" s="317"/>
      <c r="MYK293" s="471"/>
      <c r="MYL293" s="472"/>
      <c r="MYM293" s="471"/>
      <c r="MYN293" s="473"/>
      <c r="MYO293" s="474"/>
      <c r="MYP293" s="475"/>
      <c r="MYQ293" s="476"/>
      <c r="MYR293" s="477"/>
      <c r="MYS293" s="475"/>
      <c r="MYT293" s="478"/>
      <c r="MYU293" s="479"/>
      <c r="MYV293" s="480"/>
      <c r="MYW293" s="481"/>
      <c r="MYX293" s="481"/>
      <c r="MYY293" s="482"/>
      <c r="MYZ293" s="189"/>
      <c r="MZA293" s="189"/>
      <c r="MZB293" s="483"/>
      <c r="MZC293" s="306"/>
      <c r="MZD293" s="484"/>
      <c r="MZE293" s="306"/>
      <c r="MZF293" s="267"/>
      <c r="MZG293" s="268"/>
      <c r="MZH293" s="306"/>
      <c r="MZI293" s="268"/>
      <c r="MZJ293" s="306"/>
      <c r="MZK293" s="485"/>
      <c r="MZL293" s="306"/>
      <c r="MZM293" s="486"/>
      <c r="MZN293" s="487"/>
      <c r="MZO293" s="488"/>
      <c r="MZP293" s="489"/>
      <c r="MZQ293" s="488"/>
      <c r="MZR293" s="468"/>
      <c r="MZS293" s="469"/>
      <c r="MZT293" s="470"/>
      <c r="MZU293" s="470"/>
      <c r="MZV293" s="306"/>
      <c r="MZW293" s="317"/>
      <c r="MZX293" s="471"/>
      <c r="MZY293" s="472"/>
      <c r="MZZ293" s="471"/>
      <c r="NAA293" s="473"/>
      <c r="NAB293" s="474"/>
      <c r="NAC293" s="475"/>
      <c r="NAD293" s="476"/>
      <c r="NAE293" s="477"/>
      <c r="NAF293" s="475"/>
      <c r="NAG293" s="478"/>
      <c r="NAH293" s="479"/>
      <c r="NAI293" s="480"/>
      <c r="NAJ293" s="481"/>
      <c r="NAK293" s="481"/>
      <c r="NAL293" s="482"/>
      <c r="NAM293" s="189"/>
      <c r="NAN293" s="189"/>
      <c r="NAO293" s="483"/>
      <c r="NAP293" s="306"/>
      <c r="NAQ293" s="484"/>
      <c r="NAR293" s="306"/>
      <c r="NAS293" s="267"/>
      <c r="NAT293" s="268"/>
      <c r="NAU293" s="306"/>
      <c r="NAV293" s="268"/>
      <c r="NAW293" s="306"/>
      <c r="NAX293" s="485"/>
      <c r="NAY293" s="306"/>
      <c r="NAZ293" s="486"/>
      <c r="NBA293" s="487"/>
      <c r="NBB293" s="488"/>
      <c r="NBC293" s="489"/>
      <c r="NBD293" s="488"/>
      <c r="NBE293" s="468"/>
      <c r="NBF293" s="469"/>
      <c r="NBG293" s="470"/>
      <c r="NBH293" s="470"/>
      <c r="NBI293" s="306"/>
      <c r="NBJ293" s="317"/>
      <c r="NBK293" s="471"/>
      <c r="NBL293" s="472"/>
      <c r="NBM293" s="471"/>
      <c r="NBN293" s="473"/>
      <c r="NBO293" s="474"/>
      <c r="NBP293" s="475"/>
      <c r="NBQ293" s="476"/>
      <c r="NBR293" s="477"/>
      <c r="NBS293" s="475"/>
      <c r="NBT293" s="478"/>
      <c r="NBU293" s="479"/>
      <c r="NBV293" s="480"/>
      <c r="NBW293" s="481"/>
      <c r="NBX293" s="481"/>
      <c r="NBY293" s="482"/>
      <c r="NBZ293" s="189"/>
      <c r="NCA293" s="189"/>
      <c r="NCB293" s="483"/>
      <c r="NCC293" s="306"/>
      <c r="NCD293" s="484"/>
      <c r="NCE293" s="306"/>
      <c r="NCF293" s="267"/>
      <c r="NCG293" s="268"/>
      <c r="NCH293" s="306"/>
      <c r="NCI293" s="268"/>
      <c r="NCJ293" s="306"/>
      <c r="NCK293" s="485"/>
      <c r="NCL293" s="306"/>
      <c r="NCM293" s="486"/>
      <c r="NCN293" s="487"/>
      <c r="NCO293" s="488"/>
      <c r="NCP293" s="489"/>
      <c r="NCQ293" s="488"/>
      <c r="NCR293" s="468"/>
      <c r="NCS293" s="469"/>
      <c r="NCT293" s="470"/>
      <c r="NCU293" s="470"/>
      <c r="NCV293" s="306"/>
      <c r="NCW293" s="317"/>
      <c r="NCX293" s="471"/>
      <c r="NCY293" s="472"/>
      <c r="NCZ293" s="471"/>
      <c r="NDA293" s="473"/>
      <c r="NDB293" s="474"/>
      <c r="NDC293" s="475"/>
      <c r="NDD293" s="476"/>
      <c r="NDE293" s="477"/>
      <c r="NDF293" s="475"/>
      <c r="NDG293" s="478"/>
      <c r="NDH293" s="479"/>
      <c r="NDI293" s="480"/>
      <c r="NDJ293" s="481"/>
      <c r="NDK293" s="481"/>
      <c r="NDL293" s="482"/>
      <c r="NDM293" s="189"/>
      <c r="NDN293" s="189"/>
      <c r="NDO293" s="483"/>
      <c r="NDP293" s="306"/>
      <c r="NDQ293" s="484"/>
      <c r="NDR293" s="306"/>
      <c r="NDS293" s="267"/>
      <c r="NDT293" s="268"/>
      <c r="NDU293" s="306"/>
      <c r="NDV293" s="268"/>
      <c r="NDW293" s="306"/>
      <c r="NDX293" s="485"/>
      <c r="NDY293" s="306"/>
      <c r="NDZ293" s="486"/>
      <c r="NEA293" s="487"/>
      <c r="NEB293" s="488"/>
      <c r="NEC293" s="489"/>
      <c r="NED293" s="488"/>
      <c r="NEE293" s="468"/>
      <c r="NEF293" s="469"/>
      <c r="NEG293" s="470"/>
      <c r="NEH293" s="470"/>
      <c r="NEI293" s="306"/>
      <c r="NEJ293" s="317"/>
      <c r="NEK293" s="471"/>
      <c r="NEL293" s="472"/>
      <c r="NEM293" s="471"/>
      <c r="NEN293" s="473"/>
      <c r="NEO293" s="474"/>
      <c r="NEP293" s="475"/>
      <c r="NEQ293" s="476"/>
      <c r="NER293" s="477"/>
      <c r="NES293" s="475"/>
      <c r="NET293" s="478"/>
      <c r="NEU293" s="479"/>
      <c r="NEV293" s="480"/>
      <c r="NEW293" s="481"/>
      <c r="NEX293" s="481"/>
      <c r="NEY293" s="482"/>
      <c r="NEZ293" s="189"/>
      <c r="NFA293" s="189"/>
      <c r="NFB293" s="483"/>
      <c r="NFC293" s="306"/>
      <c r="NFD293" s="484"/>
      <c r="NFE293" s="306"/>
      <c r="NFF293" s="267"/>
      <c r="NFG293" s="268"/>
      <c r="NFH293" s="306"/>
      <c r="NFI293" s="268"/>
      <c r="NFJ293" s="306"/>
      <c r="NFK293" s="485"/>
      <c r="NFL293" s="306"/>
      <c r="NFM293" s="486"/>
      <c r="NFN293" s="487"/>
      <c r="NFO293" s="488"/>
      <c r="NFP293" s="489"/>
      <c r="NFQ293" s="488"/>
      <c r="NFR293" s="468"/>
      <c r="NFS293" s="469"/>
      <c r="NFT293" s="470"/>
      <c r="NFU293" s="470"/>
      <c r="NFV293" s="306"/>
      <c r="NFW293" s="317"/>
      <c r="NFX293" s="471"/>
      <c r="NFY293" s="472"/>
      <c r="NFZ293" s="471"/>
      <c r="NGA293" s="473"/>
      <c r="NGB293" s="474"/>
      <c r="NGC293" s="475"/>
      <c r="NGD293" s="476"/>
      <c r="NGE293" s="477"/>
      <c r="NGF293" s="475"/>
      <c r="NGG293" s="478"/>
      <c r="NGH293" s="479"/>
      <c r="NGI293" s="480"/>
      <c r="NGJ293" s="481"/>
      <c r="NGK293" s="481"/>
      <c r="NGL293" s="482"/>
      <c r="NGM293" s="189"/>
      <c r="NGN293" s="189"/>
      <c r="NGO293" s="483"/>
      <c r="NGP293" s="306"/>
      <c r="NGQ293" s="484"/>
      <c r="NGR293" s="306"/>
      <c r="NGS293" s="267"/>
      <c r="NGT293" s="268"/>
      <c r="NGU293" s="306"/>
      <c r="NGV293" s="268"/>
      <c r="NGW293" s="306"/>
      <c r="NGX293" s="485"/>
      <c r="NGY293" s="306"/>
      <c r="NGZ293" s="486"/>
      <c r="NHA293" s="487"/>
      <c r="NHB293" s="488"/>
      <c r="NHC293" s="489"/>
      <c r="NHD293" s="488"/>
      <c r="NHE293" s="468"/>
      <c r="NHF293" s="469"/>
      <c r="NHG293" s="470"/>
      <c r="NHH293" s="470"/>
      <c r="NHI293" s="306"/>
      <c r="NHJ293" s="317"/>
      <c r="NHK293" s="471"/>
      <c r="NHL293" s="472"/>
      <c r="NHM293" s="471"/>
      <c r="NHN293" s="473"/>
      <c r="NHO293" s="474"/>
      <c r="NHP293" s="475"/>
      <c r="NHQ293" s="476"/>
      <c r="NHR293" s="477"/>
      <c r="NHS293" s="475"/>
      <c r="NHT293" s="478"/>
      <c r="NHU293" s="479"/>
      <c r="NHV293" s="480"/>
      <c r="NHW293" s="481"/>
      <c r="NHX293" s="481"/>
      <c r="NHY293" s="482"/>
      <c r="NHZ293" s="189"/>
      <c r="NIA293" s="189"/>
      <c r="NIB293" s="483"/>
      <c r="NIC293" s="306"/>
      <c r="NID293" s="484"/>
      <c r="NIE293" s="306"/>
      <c r="NIF293" s="267"/>
      <c r="NIG293" s="268"/>
      <c r="NIH293" s="306"/>
      <c r="NII293" s="268"/>
      <c r="NIJ293" s="306"/>
      <c r="NIK293" s="485"/>
      <c r="NIL293" s="306"/>
      <c r="NIM293" s="486"/>
      <c r="NIN293" s="487"/>
      <c r="NIO293" s="488"/>
      <c r="NIP293" s="489"/>
      <c r="NIQ293" s="488"/>
      <c r="NIR293" s="468"/>
      <c r="NIS293" s="469"/>
      <c r="NIT293" s="470"/>
      <c r="NIU293" s="470"/>
      <c r="NIV293" s="306"/>
      <c r="NIW293" s="317"/>
      <c r="NIX293" s="471"/>
      <c r="NIY293" s="472"/>
      <c r="NIZ293" s="471"/>
      <c r="NJA293" s="473"/>
      <c r="NJB293" s="474"/>
      <c r="NJC293" s="475"/>
      <c r="NJD293" s="476"/>
      <c r="NJE293" s="477"/>
      <c r="NJF293" s="475"/>
      <c r="NJG293" s="478"/>
      <c r="NJH293" s="479"/>
      <c r="NJI293" s="480"/>
      <c r="NJJ293" s="481"/>
      <c r="NJK293" s="481"/>
      <c r="NJL293" s="482"/>
      <c r="NJM293" s="189"/>
      <c r="NJN293" s="189"/>
      <c r="NJO293" s="483"/>
      <c r="NJP293" s="306"/>
      <c r="NJQ293" s="484"/>
      <c r="NJR293" s="306"/>
      <c r="NJS293" s="267"/>
      <c r="NJT293" s="268"/>
      <c r="NJU293" s="306"/>
      <c r="NJV293" s="268"/>
      <c r="NJW293" s="306"/>
      <c r="NJX293" s="485"/>
      <c r="NJY293" s="306"/>
      <c r="NJZ293" s="486"/>
      <c r="NKA293" s="487"/>
      <c r="NKB293" s="488"/>
      <c r="NKC293" s="489"/>
      <c r="NKD293" s="488"/>
      <c r="NKE293" s="468"/>
      <c r="NKF293" s="469"/>
      <c r="NKG293" s="470"/>
      <c r="NKH293" s="470"/>
      <c r="NKI293" s="306"/>
      <c r="NKJ293" s="317"/>
      <c r="NKK293" s="471"/>
      <c r="NKL293" s="472"/>
      <c r="NKM293" s="471"/>
      <c r="NKN293" s="473"/>
      <c r="NKO293" s="474"/>
      <c r="NKP293" s="475"/>
      <c r="NKQ293" s="476"/>
      <c r="NKR293" s="477"/>
      <c r="NKS293" s="475"/>
      <c r="NKT293" s="478"/>
      <c r="NKU293" s="479"/>
      <c r="NKV293" s="480"/>
      <c r="NKW293" s="481"/>
      <c r="NKX293" s="481"/>
      <c r="NKY293" s="482"/>
      <c r="NKZ293" s="189"/>
      <c r="NLA293" s="189"/>
      <c r="NLB293" s="483"/>
      <c r="NLC293" s="306"/>
      <c r="NLD293" s="484"/>
      <c r="NLE293" s="306"/>
      <c r="NLF293" s="267"/>
      <c r="NLG293" s="268"/>
      <c r="NLH293" s="306"/>
      <c r="NLI293" s="268"/>
      <c r="NLJ293" s="306"/>
      <c r="NLK293" s="485"/>
      <c r="NLL293" s="306"/>
      <c r="NLM293" s="486"/>
      <c r="NLN293" s="487"/>
      <c r="NLO293" s="488"/>
      <c r="NLP293" s="489"/>
      <c r="NLQ293" s="488"/>
      <c r="NLR293" s="468"/>
      <c r="NLS293" s="469"/>
      <c r="NLT293" s="470"/>
      <c r="NLU293" s="470"/>
      <c r="NLV293" s="306"/>
      <c r="NLW293" s="317"/>
      <c r="NLX293" s="471"/>
      <c r="NLY293" s="472"/>
      <c r="NLZ293" s="471"/>
      <c r="NMA293" s="473"/>
      <c r="NMB293" s="474"/>
      <c r="NMC293" s="475"/>
      <c r="NMD293" s="476"/>
      <c r="NME293" s="477"/>
      <c r="NMF293" s="475"/>
      <c r="NMG293" s="478"/>
      <c r="NMH293" s="479"/>
      <c r="NMI293" s="480"/>
      <c r="NMJ293" s="481"/>
      <c r="NMK293" s="481"/>
      <c r="NML293" s="482"/>
      <c r="NMM293" s="189"/>
      <c r="NMN293" s="189"/>
      <c r="NMO293" s="483"/>
      <c r="NMP293" s="306"/>
      <c r="NMQ293" s="484"/>
      <c r="NMR293" s="306"/>
      <c r="NMS293" s="267"/>
      <c r="NMT293" s="268"/>
      <c r="NMU293" s="306"/>
      <c r="NMV293" s="268"/>
      <c r="NMW293" s="306"/>
      <c r="NMX293" s="485"/>
      <c r="NMY293" s="306"/>
      <c r="NMZ293" s="486"/>
      <c r="NNA293" s="487"/>
      <c r="NNB293" s="488"/>
      <c r="NNC293" s="489"/>
      <c r="NND293" s="488"/>
      <c r="NNE293" s="468"/>
      <c r="NNF293" s="469"/>
      <c r="NNG293" s="470"/>
      <c r="NNH293" s="470"/>
      <c r="NNI293" s="306"/>
      <c r="NNJ293" s="317"/>
      <c r="NNK293" s="471"/>
      <c r="NNL293" s="472"/>
      <c r="NNM293" s="471"/>
      <c r="NNN293" s="473"/>
      <c r="NNO293" s="474"/>
      <c r="NNP293" s="475"/>
      <c r="NNQ293" s="476"/>
      <c r="NNR293" s="477"/>
      <c r="NNS293" s="475"/>
      <c r="NNT293" s="478"/>
      <c r="NNU293" s="479"/>
      <c r="NNV293" s="480"/>
      <c r="NNW293" s="481"/>
      <c r="NNX293" s="481"/>
      <c r="NNY293" s="482"/>
      <c r="NNZ293" s="189"/>
      <c r="NOA293" s="189"/>
      <c r="NOB293" s="483"/>
      <c r="NOC293" s="306"/>
      <c r="NOD293" s="484"/>
      <c r="NOE293" s="306"/>
      <c r="NOF293" s="267"/>
      <c r="NOG293" s="268"/>
      <c r="NOH293" s="306"/>
      <c r="NOI293" s="268"/>
      <c r="NOJ293" s="306"/>
      <c r="NOK293" s="485"/>
      <c r="NOL293" s="306"/>
      <c r="NOM293" s="486"/>
      <c r="NON293" s="487"/>
      <c r="NOO293" s="488"/>
      <c r="NOP293" s="489"/>
      <c r="NOQ293" s="488"/>
      <c r="NOR293" s="468"/>
      <c r="NOS293" s="469"/>
      <c r="NOT293" s="470"/>
      <c r="NOU293" s="470"/>
      <c r="NOV293" s="306"/>
      <c r="NOW293" s="317"/>
      <c r="NOX293" s="471"/>
      <c r="NOY293" s="472"/>
      <c r="NOZ293" s="471"/>
      <c r="NPA293" s="473"/>
      <c r="NPB293" s="474"/>
      <c r="NPC293" s="475"/>
      <c r="NPD293" s="476"/>
      <c r="NPE293" s="477"/>
      <c r="NPF293" s="475"/>
      <c r="NPG293" s="478"/>
      <c r="NPH293" s="479"/>
      <c r="NPI293" s="480"/>
      <c r="NPJ293" s="481"/>
      <c r="NPK293" s="481"/>
      <c r="NPL293" s="482"/>
      <c r="NPM293" s="189"/>
      <c r="NPN293" s="189"/>
      <c r="NPO293" s="483"/>
      <c r="NPP293" s="306"/>
      <c r="NPQ293" s="484"/>
      <c r="NPR293" s="306"/>
      <c r="NPS293" s="267"/>
      <c r="NPT293" s="268"/>
      <c r="NPU293" s="306"/>
      <c r="NPV293" s="268"/>
      <c r="NPW293" s="306"/>
      <c r="NPX293" s="485"/>
      <c r="NPY293" s="306"/>
      <c r="NPZ293" s="486"/>
      <c r="NQA293" s="487"/>
      <c r="NQB293" s="488"/>
      <c r="NQC293" s="489"/>
      <c r="NQD293" s="488"/>
      <c r="NQE293" s="468"/>
      <c r="NQF293" s="469"/>
      <c r="NQG293" s="470"/>
      <c r="NQH293" s="470"/>
      <c r="NQI293" s="306"/>
      <c r="NQJ293" s="317"/>
      <c r="NQK293" s="471"/>
      <c r="NQL293" s="472"/>
      <c r="NQM293" s="471"/>
      <c r="NQN293" s="473"/>
      <c r="NQO293" s="474"/>
      <c r="NQP293" s="475"/>
      <c r="NQQ293" s="476"/>
      <c r="NQR293" s="477"/>
      <c r="NQS293" s="475"/>
      <c r="NQT293" s="478"/>
      <c r="NQU293" s="479"/>
      <c r="NQV293" s="480"/>
      <c r="NQW293" s="481"/>
      <c r="NQX293" s="481"/>
      <c r="NQY293" s="482"/>
      <c r="NQZ293" s="189"/>
      <c r="NRA293" s="189"/>
      <c r="NRB293" s="483"/>
      <c r="NRC293" s="306"/>
      <c r="NRD293" s="484"/>
      <c r="NRE293" s="306"/>
      <c r="NRF293" s="267"/>
      <c r="NRG293" s="268"/>
      <c r="NRH293" s="306"/>
      <c r="NRI293" s="268"/>
      <c r="NRJ293" s="306"/>
      <c r="NRK293" s="485"/>
      <c r="NRL293" s="306"/>
      <c r="NRM293" s="486"/>
      <c r="NRN293" s="487"/>
      <c r="NRO293" s="488"/>
      <c r="NRP293" s="489"/>
      <c r="NRQ293" s="488"/>
      <c r="NRR293" s="468"/>
      <c r="NRS293" s="469"/>
      <c r="NRT293" s="470"/>
      <c r="NRU293" s="470"/>
      <c r="NRV293" s="306"/>
      <c r="NRW293" s="317"/>
      <c r="NRX293" s="471"/>
      <c r="NRY293" s="472"/>
      <c r="NRZ293" s="471"/>
      <c r="NSA293" s="473"/>
      <c r="NSB293" s="474"/>
      <c r="NSC293" s="475"/>
      <c r="NSD293" s="476"/>
      <c r="NSE293" s="477"/>
      <c r="NSF293" s="475"/>
      <c r="NSG293" s="478"/>
      <c r="NSH293" s="479"/>
      <c r="NSI293" s="480"/>
      <c r="NSJ293" s="481"/>
      <c r="NSK293" s="481"/>
      <c r="NSL293" s="482"/>
      <c r="NSM293" s="189"/>
      <c r="NSN293" s="189"/>
      <c r="NSO293" s="483"/>
      <c r="NSP293" s="306"/>
      <c r="NSQ293" s="484"/>
      <c r="NSR293" s="306"/>
      <c r="NSS293" s="267"/>
      <c r="NST293" s="268"/>
      <c r="NSU293" s="306"/>
      <c r="NSV293" s="268"/>
      <c r="NSW293" s="306"/>
      <c r="NSX293" s="485"/>
      <c r="NSY293" s="306"/>
      <c r="NSZ293" s="486"/>
      <c r="NTA293" s="487"/>
      <c r="NTB293" s="488"/>
      <c r="NTC293" s="489"/>
      <c r="NTD293" s="488"/>
      <c r="NTE293" s="468"/>
      <c r="NTF293" s="469"/>
      <c r="NTG293" s="470"/>
      <c r="NTH293" s="470"/>
      <c r="NTI293" s="306"/>
      <c r="NTJ293" s="317"/>
      <c r="NTK293" s="471"/>
      <c r="NTL293" s="472"/>
      <c r="NTM293" s="471"/>
      <c r="NTN293" s="473"/>
      <c r="NTO293" s="474"/>
      <c r="NTP293" s="475"/>
      <c r="NTQ293" s="476"/>
      <c r="NTR293" s="477"/>
      <c r="NTS293" s="475"/>
      <c r="NTT293" s="478"/>
      <c r="NTU293" s="479"/>
      <c r="NTV293" s="480"/>
      <c r="NTW293" s="481"/>
      <c r="NTX293" s="481"/>
      <c r="NTY293" s="482"/>
      <c r="NTZ293" s="189"/>
      <c r="NUA293" s="189"/>
      <c r="NUB293" s="483"/>
      <c r="NUC293" s="306"/>
      <c r="NUD293" s="484"/>
      <c r="NUE293" s="306"/>
      <c r="NUF293" s="267"/>
      <c r="NUG293" s="268"/>
      <c r="NUH293" s="306"/>
      <c r="NUI293" s="268"/>
      <c r="NUJ293" s="306"/>
      <c r="NUK293" s="485"/>
      <c r="NUL293" s="306"/>
      <c r="NUM293" s="486"/>
      <c r="NUN293" s="487"/>
      <c r="NUO293" s="488"/>
      <c r="NUP293" s="489"/>
      <c r="NUQ293" s="488"/>
      <c r="NUR293" s="468"/>
      <c r="NUS293" s="469"/>
      <c r="NUT293" s="470"/>
      <c r="NUU293" s="470"/>
      <c r="NUV293" s="306"/>
      <c r="NUW293" s="317"/>
      <c r="NUX293" s="471"/>
      <c r="NUY293" s="472"/>
      <c r="NUZ293" s="471"/>
      <c r="NVA293" s="473"/>
      <c r="NVB293" s="474"/>
      <c r="NVC293" s="475"/>
      <c r="NVD293" s="476"/>
      <c r="NVE293" s="477"/>
      <c r="NVF293" s="475"/>
      <c r="NVG293" s="478"/>
      <c r="NVH293" s="479"/>
      <c r="NVI293" s="480"/>
      <c r="NVJ293" s="481"/>
      <c r="NVK293" s="481"/>
      <c r="NVL293" s="482"/>
      <c r="NVM293" s="189"/>
      <c r="NVN293" s="189"/>
      <c r="NVO293" s="483"/>
      <c r="NVP293" s="306"/>
      <c r="NVQ293" s="484"/>
      <c r="NVR293" s="306"/>
      <c r="NVS293" s="267"/>
      <c r="NVT293" s="268"/>
      <c r="NVU293" s="306"/>
      <c r="NVV293" s="268"/>
      <c r="NVW293" s="306"/>
      <c r="NVX293" s="485"/>
      <c r="NVY293" s="306"/>
      <c r="NVZ293" s="486"/>
      <c r="NWA293" s="487"/>
      <c r="NWB293" s="488"/>
      <c r="NWC293" s="489"/>
      <c r="NWD293" s="488"/>
      <c r="NWE293" s="468"/>
      <c r="NWF293" s="469"/>
      <c r="NWG293" s="470"/>
      <c r="NWH293" s="470"/>
      <c r="NWI293" s="306"/>
      <c r="NWJ293" s="317"/>
      <c r="NWK293" s="471"/>
      <c r="NWL293" s="472"/>
      <c r="NWM293" s="471"/>
      <c r="NWN293" s="473"/>
      <c r="NWO293" s="474"/>
      <c r="NWP293" s="475"/>
      <c r="NWQ293" s="476"/>
      <c r="NWR293" s="477"/>
      <c r="NWS293" s="475"/>
      <c r="NWT293" s="478"/>
      <c r="NWU293" s="479"/>
      <c r="NWV293" s="480"/>
      <c r="NWW293" s="481"/>
      <c r="NWX293" s="481"/>
      <c r="NWY293" s="482"/>
      <c r="NWZ293" s="189"/>
      <c r="NXA293" s="189"/>
      <c r="NXB293" s="483"/>
      <c r="NXC293" s="306"/>
      <c r="NXD293" s="484"/>
      <c r="NXE293" s="306"/>
      <c r="NXF293" s="267"/>
      <c r="NXG293" s="268"/>
      <c r="NXH293" s="306"/>
      <c r="NXI293" s="268"/>
      <c r="NXJ293" s="306"/>
      <c r="NXK293" s="485"/>
      <c r="NXL293" s="306"/>
      <c r="NXM293" s="486"/>
      <c r="NXN293" s="487"/>
      <c r="NXO293" s="488"/>
      <c r="NXP293" s="489"/>
      <c r="NXQ293" s="488"/>
      <c r="NXR293" s="468"/>
      <c r="NXS293" s="469"/>
      <c r="NXT293" s="470"/>
      <c r="NXU293" s="470"/>
      <c r="NXV293" s="306"/>
      <c r="NXW293" s="317"/>
      <c r="NXX293" s="471"/>
      <c r="NXY293" s="472"/>
      <c r="NXZ293" s="471"/>
      <c r="NYA293" s="473"/>
      <c r="NYB293" s="474"/>
      <c r="NYC293" s="475"/>
      <c r="NYD293" s="476"/>
      <c r="NYE293" s="477"/>
      <c r="NYF293" s="475"/>
      <c r="NYG293" s="478"/>
      <c r="NYH293" s="479"/>
      <c r="NYI293" s="480"/>
      <c r="NYJ293" s="481"/>
      <c r="NYK293" s="481"/>
      <c r="NYL293" s="482"/>
      <c r="NYM293" s="189"/>
      <c r="NYN293" s="189"/>
      <c r="NYO293" s="483"/>
      <c r="NYP293" s="306"/>
      <c r="NYQ293" s="484"/>
      <c r="NYR293" s="306"/>
      <c r="NYS293" s="267"/>
      <c r="NYT293" s="268"/>
      <c r="NYU293" s="306"/>
      <c r="NYV293" s="268"/>
      <c r="NYW293" s="306"/>
      <c r="NYX293" s="485"/>
      <c r="NYY293" s="306"/>
      <c r="NYZ293" s="486"/>
      <c r="NZA293" s="487"/>
      <c r="NZB293" s="488"/>
      <c r="NZC293" s="489"/>
      <c r="NZD293" s="488"/>
      <c r="NZE293" s="468"/>
      <c r="NZF293" s="469"/>
      <c r="NZG293" s="470"/>
      <c r="NZH293" s="470"/>
      <c r="NZI293" s="306"/>
      <c r="NZJ293" s="317"/>
      <c r="NZK293" s="471"/>
      <c r="NZL293" s="472"/>
      <c r="NZM293" s="471"/>
      <c r="NZN293" s="473"/>
      <c r="NZO293" s="474"/>
      <c r="NZP293" s="475"/>
      <c r="NZQ293" s="476"/>
      <c r="NZR293" s="477"/>
      <c r="NZS293" s="475"/>
      <c r="NZT293" s="478"/>
      <c r="NZU293" s="479"/>
      <c r="NZV293" s="480"/>
      <c r="NZW293" s="481"/>
      <c r="NZX293" s="481"/>
      <c r="NZY293" s="482"/>
      <c r="NZZ293" s="189"/>
      <c r="OAA293" s="189"/>
      <c r="OAB293" s="483"/>
      <c r="OAC293" s="306"/>
      <c r="OAD293" s="484"/>
      <c r="OAE293" s="306"/>
      <c r="OAF293" s="267"/>
      <c r="OAG293" s="268"/>
      <c r="OAH293" s="306"/>
      <c r="OAI293" s="268"/>
      <c r="OAJ293" s="306"/>
      <c r="OAK293" s="485"/>
      <c r="OAL293" s="306"/>
      <c r="OAM293" s="486"/>
      <c r="OAN293" s="487"/>
      <c r="OAO293" s="488"/>
      <c r="OAP293" s="489"/>
      <c r="OAQ293" s="488"/>
      <c r="OAR293" s="468"/>
      <c r="OAS293" s="469"/>
      <c r="OAT293" s="470"/>
      <c r="OAU293" s="470"/>
      <c r="OAV293" s="306"/>
      <c r="OAW293" s="317"/>
      <c r="OAX293" s="471"/>
      <c r="OAY293" s="472"/>
      <c r="OAZ293" s="471"/>
      <c r="OBA293" s="473"/>
      <c r="OBB293" s="474"/>
      <c r="OBC293" s="475"/>
      <c r="OBD293" s="476"/>
      <c r="OBE293" s="477"/>
      <c r="OBF293" s="475"/>
      <c r="OBG293" s="478"/>
      <c r="OBH293" s="479"/>
      <c r="OBI293" s="480"/>
      <c r="OBJ293" s="481"/>
      <c r="OBK293" s="481"/>
      <c r="OBL293" s="482"/>
      <c r="OBM293" s="189"/>
      <c r="OBN293" s="189"/>
      <c r="OBO293" s="483"/>
      <c r="OBP293" s="306"/>
      <c r="OBQ293" s="484"/>
      <c r="OBR293" s="306"/>
      <c r="OBS293" s="267"/>
      <c r="OBT293" s="268"/>
      <c r="OBU293" s="306"/>
      <c r="OBV293" s="268"/>
      <c r="OBW293" s="306"/>
      <c r="OBX293" s="485"/>
      <c r="OBY293" s="306"/>
      <c r="OBZ293" s="486"/>
      <c r="OCA293" s="487"/>
      <c r="OCB293" s="488"/>
      <c r="OCC293" s="489"/>
      <c r="OCD293" s="488"/>
      <c r="OCE293" s="468"/>
      <c r="OCF293" s="469"/>
      <c r="OCG293" s="470"/>
      <c r="OCH293" s="470"/>
      <c r="OCI293" s="306"/>
      <c r="OCJ293" s="317"/>
      <c r="OCK293" s="471"/>
      <c r="OCL293" s="472"/>
      <c r="OCM293" s="471"/>
      <c r="OCN293" s="473"/>
      <c r="OCO293" s="474"/>
      <c r="OCP293" s="475"/>
      <c r="OCQ293" s="476"/>
      <c r="OCR293" s="477"/>
      <c r="OCS293" s="475"/>
      <c r="OCT293" s="478"/>
      <c r="OCU293" s="479"/>
      <c r="OCV293" s="480"/>
      <c r="OCW293" s="481"/>
      <c r="OCX293" s="481"/>
      <c r="OCY293" s="482"/>
      <c r="OCZ293" s="189"/>
      <c r="ODA293" s="189"/>
      <c r="ODB293" s="483"/>
      <c r="ODC293" s="306"/>
      <c r="ODD293" s="484"/>
      <c r="ODE293" s="306"/>
      <c r="ODF293" s="267"/>
      <c r="ODG293" s="268"/>
      <c r="ODH293" s="306"/>
      <c r="ODI293" s="268"/>
      <c r="ODJ293" s="306"/>
      <c r="ODK293" s="485"/>
      <c r="ODL293" s="306"/>
      <c r="ODM293" s="486"/>
      <c r="ODN293" s="487"/>
      <c r="ODO293" s="488"/>
      <c r="ODP293" s="489"/>
      <c r="ODQ293" s="488"/>
      <c r="ODR293" s="468"/>
      <c r="ODS293" s="469"/>
      <c r="ODT293" s="470"/>
      <c r="ODU293" s="470"/>
      <c r="ODV293" s="306"/>
      <c r="ODW293" s="317"/>
      <c r="ODX293" s="471"/>
      <c r="ODY293" s="472"/>
      <c r="ODZ293" s="471"/>
      <c r="OEA293" s="473"/>
      <c r="OEB293" s="474"/>
      <c r="OEC293" s="475"/>
      <c r="OED293" s="476"/>
      <c r="OEE293" s="477"/>
      <c r="OEF293" s="475"/>
      <c r="OEG293" s="478"/>
      <c r="OEH293" s="479"/>
      <c r="OEI293" s="480"/>
      <c r="OEJ293" s="481"/>
      <c r="OEK293" s="481"/>
      <c r="OEL293" s="482"/>
      <c r="OEM293" s="189"/>
      <c r="OEN293" s="189"/>
      <c r="OEO293" s="483"/>
      <c r="OEP293" s="306"/>
      <c r="OEQ293" s="484"/>
      <c r="OER293" s="306"/>
      <c r="OES293" s="267"/>
      <c r="OET293" s="268"/>
      <c r="OEU293" s="306"/>
      <c r="OEV293" s="268"/>
      <c r="OEW293" s="306"/>
      <c r="OEX293" s="485"/>
      <c r="OEY293" s="306"/>
      <c r="OEZ293" s="486"/>
      <c r="OFA293" s="487"/>
      <c r="OFB293" s="488"/>
      <c r="OFC293" s="489"/>
      <c r="OFD293" s="488"/>
      <c r="OFE293" s="468"/>
      <c r="OFF293" s="469"/>
      <c r="OFG293" s="470"/>
      <c r="OFH293" s="470"/>
      <c r="OFI293" s="306"/>
      <c r="OFJ293" s="317"/>
      <c r="OFK293" s="471"/>
      <c r="OFL293" s="472"/>
      <c r="OFM293" s="471"/>
      <c r="OFN293" s="473"/>
      <c r="OFO293" s="474"/>
      <c r="OFP293" s="475"/>
      <c r="OFQ293" s="476"/>
      <c r="OFR293" s="477"/>
      <c r="OFS293" s="475"/>
      <c r="OFT293" s="478"/>
      <c r="OFU293" s="479"/>
      <c r="OFV293" s="480"/>
      <c r="OFW293" s="481"/>
      <c r="OFX293" s="481"/>
      <c r="OFY293" s="482"/>
      <c r="OFZ293" s="189"/>
      <c r="OGA293" s="189"/>
      <c r="OGB293" s="483"/>
      <c r="OGC293" s="306"/>
      <c r="OGD293" s="484"/>
      <c r="OGE293" s="306"/>
      <c r="OGF293" s="267"/>
      <c r="OGG293" s="268"/>
      <c r="OGH293" s="306"/>
      <c r="OGI293" s="268"/>
      <c r="OGJ293" s="306"/>
      <c r="OGK293" s="485"/>
      <c r="OGL293" s="306"/>
      <c r="OGM293" s="486"/>
      <c r="OGN293" s="487"/>
      <c r="OGO293" s="488"/>
      <c r="OGP293" s="489"/>
      <c r="OGQ293" s="488"/>
      <c r="OGR293" s="468"/>
      <c r="OGS293" s="469"/>
      <c r="OGT293" s="470"/>
      <c r="OGU293" s="470"/>
      <c r="OGV293" s="306"/>
      <c r="OGW293" s="317"/>
      <c r="OGX293" s="471"/>
      <c r="OGY293" s="472"/>
      <c r="OGZ293" s="471"/>
      <c r="OHA293" s="473"/>
      <c r="OHB293" s="474"/>
      <c r="OHC293" s="475"/>
      <c r="OHD293" s="476"/>
      <c r="OHE293" s="477"/>
      <c r="OHF293" s="475"/>
      <c r="OHG293" s="478"/>
      <c r="OHH293" s="479"/>
      <c r="OHI293" s="480"/>
      <c r="OHJ293" s="481"/>
      <c r="OHK293" s="481"/>
      <c r="OHL293" s="482"/>
      <c r="OHM293" s="189"/>
      <c r="OHN293" s="189"/>
      <c r="OHO293" s="483"/>
      <c r="OHP293" s="306"/>
      <c r="OHQ293" s="484"/>
      <c r="OHR293" s="306"/>
      <c r="OHS293" s="267"/>
      <c r="OHT293" s="268"/>
      <c r="OHU293" s="306"/>
      <c r="OHV293" s="268"/>
      <c r="OHW293" s="306"/>
      <c r="OHX293" s="485"/>
      <c r="OHY293" s="306"/>
      <c r="OHZ293" s="486"/>
      <c r="OIA293" s="487"/>
      <c r="OIB293" s="488"/>
      <c r="OIC293" s="489"/>
      <c r="OID293" s="488"/>
      <c r="OIE293" s="468"/>
      <c r="OIF293" s="469"/>
      <c r="OIG293" s="470"/>
      <c r="OIH293" s="470"/>
      <c r="OII293" s="306"/>
      <c r="OIJ293" s="317"/>
      <c r="OIK293" s="471"/>
      <c r="OIL293" s="472"/>
      <c r="OIM293" s="471"/>
      <c r="OIN293" s="473"/>
      <c r="OIO293" s="474"/>
      <c r="OIP293" s="475"/>
      <c r="OIQ293" s="476"/>
      <c r="OIR293" s="477"/>
      <c r="OIS293" s="475"/>
      <c r="OIT293" s="478"/>
      <c r="OIU293" s="479"/>
      <c r="OIV293" s="480"/>
      <c r="OIW293" s="481"/>
      <c r="OIX293" s="481"/>
      <c r="OIY293" s="482"/>
      <c r="OIZ293" s="189"/>
      <c r="OJA293" s="189"/>
      <c r="OJB293" s="483"/>
      <c r="OJC293" s="306"/>
      <c r="OJD293" s="484"/>
      <c r="OJE293" s="306"/>
      <c r="OJF293" s="267"/>
      <c r="OJG293" s="268"/>
      <c r="OJH293" s="306"/>
      <c r="OJI293" s="268"/>
      <c r="OJJ293" s="306"/>
      <c r="OJK293" s="485"/>
      <c r="OJL293" s="306"/>
      <c r="OJM293" s="486"/>
      <c r="OJN293" s="487"/>
      <c r="OJO293" s="488"/>
      <c r="OJP293" s="489"/>
      <c r="OJQ293" s="488"/>
      <c r="OJR293" s="468"/>
      <c r="OJS293" s="469"/>
      <c r="OJT293" s="470"/>
      <c r="OJU293" s="470"/>
      <c r="OJV293" s="306"/>
      <c r="OJW293" s="317"/>
      <c r="OJX293" s="471"/>
      <c r="OJY293" s="472"/>
      <c r="OJZ293" s="471"/>
      <c r="OKA293" s="473"/>
      <c r="OKB293" s="474"/>
      <c r="OKC293" s="475"/>
      <c r="OKD293" s="476"/>
      <c r="OKE293" s="477"/>
      <c r="OKF293" s="475"/>
      <c r="OKG293" s="478"/>
      <c r="OKH293" s="479"/>
      <c r="OKI293" s="480"/>
      <c r="OKJ293" s="481"/>
      <c r="OKK293" s="481"/>
      <c r="OKL293" s="482"/>
      <c r="OKM293" s="189"/>
      <c r="OKN293" s="189"/>
      <c r="OKO293" s="483"/>
      <c r="OKP293" s="306"/>
      <c r="OKQ293" s="484"/>
      <c r="OKR293" s="306"/>
      <c r="OKS293" s="267"/>
      <c r="OKT293" s="268"/>
      <c r="OKU293" s="306"/>
      <c r="OKV293" s="268"/>
      <c r="OKW293" s="306"/>
      <c r="OKX293" s="485"/>
      <c r="OKY293" s="306"/>
      <c r="OKZ293" s="486"/>
      <c r="OLA293" s="487"/>
      <c r="OLB293" s="488"/>
      <c r="OLC293" s="489"/>
      <c r="OLD293" s="488"/>
      <c r="OLE293" s="468"/>
      <c r="OLF293" s="469"/>
      <c r="OLG293" s="470"/>
      <c r="OLH293" s="470"/>
      <c r="OLI293" s="306"/>
      <c r="OLJ293" s="317"/>
      <c r="OLK293" s="471"/>
      <c r="OLL293" s="472"/>
      <c r="OLM293" s="471"/>
      <c r="OLN293" s="473"/>
      <c r="OLO293" s="474"/>
      <c r="OLP293" s="475"/>
      <c r="OLQ293" s="476"/>
      <c r="OLR293" s="477"/>
      <c r="OLS293" s="475"/>
      <c r="OLT293" s="478"/>
      <c r="OLU293" s="479"/>
      <c r="OLV293" s="480"/>
      <c r="OLW293" s="481"/>
      <c r="OLX293" s="481"/>
      <c r="OLY293" s="482"/>
      <c r="OLZ293" s="189"/>
      <c r="OMA293" s="189"/>
      <c r="OMB293" s="483"/>
      <c r="OMC293" s="306"/>
      <c r="OMD293" s="484"/>
      <c r="OME293" s="306"/>
      <c r="OMF293" s="267"/>
      <c r="OMG293" s="268"/>
      <c r="OMH293" s="306"/>
      <c r="OMI293" s="268"/>
      <c r="OMJ293" s="306"/>
      <c r="OMK293" s="485"/>
      <c r="OML293" s="306"/>
      <c r="OMM293" s="486"/>
      <c r="OMN293" s="487"/>
      <c r="OMO293" s="488"/>
      <c r="OMP293" s="489"/>
      <c r="OMQ293" s="488"/>
      <c r="OMR293" s="468"/>
      <c r="OMS293" s="469"/>
      <c r="OMT293" s="470"/>
      <c r="OMU293" s="470"/>
      <c r="OMV293" s="306"/>
      <c r="OMW293" s="317"/>
      <c r="OMX293" s="471"/>
      <c r="OMY293" s="472"/>
      <c r="OMZ293" s="471"/>
      <c r="ONA293" s="473"/>
      <c r="ONB293" s="474"/>
      <c r="ONC293" s="475"/>
      <c r="OND293" s="476"/>
      <c r="ONE293" s="477"/>
      <c r="ONF293" s="475"/>
      <c r="ONG293" s="478"/>
      <c r="ONH293" s="479"/>
      <c r="ONI293" s="480"/>
      <c r="ONJ293" s="481"/>
      <c r="ONK293" s="481"/>
      <c r="ONL293" s="482"/>
      <c r="ONM293" s="189"/>
      <c r="ONN293" s="189"/>
      <c r="ONO293" s="483"/>
      <c r="ONP293" s="306"/>
      <c r="ONQ293" s="484"/>
      <c r="ONR293" s="306"/>
      <c r="ONS293" s="267"/>
      <c r="ONT293" s="268"/>
      <c r="ONU293" s="306"/>
      <c r="ONV293" s="268"/>
      <c r="ONW293" s="306"/>
      <c r="ONX293" s="485"/>
      <c r="ONY293" s="306"/>
      <c r="ONZ293" s="486"/>
      <c r="OOA293" s="487"/>
      <c r="OOB293" s="488"/>
      <c r="OOC293" s="489"/>
      <c r="OOD293" s="488"/>
      <c r="OOE293" s="468"/>
      <c r="OOF293" s="469"/>
      <c r="OOG293" s="470"/>
      <c r="OOH293" s="470"/>
      <c r="OOI293" s="306"/>
      <c r="OOJ293" s="317"/>
      <c r="OOK293" s="471"/>
      <c r="OOL293" s="472"/>
      <c r="OOM293" s="471"/>
      <c r="OON293" s="473"/>
      <c r="OOO293" s="474"/>
      <c r="OOP293" s="475"/>
      <c r="OOQ293" s="476"/>
      <c r="OOR293" s="477"/>
      <c r="OOS293" s="475"/>
      <c r="OOT293" s="478"/>
      <c r="OOU293" s="479"/>
      <c r="OOV293" s="480"/>
      <c r="OOW293" s="481"/>
      <c r="OOX293" s="481"/>
      <c r="OOY293" s="482"/>
      <c r="OOZ293" s="189"/>
      <c r="OPA293" s="189"/>
      <c r="OPB293" s="483"/>
      <c r="OPC293" s="306"/>
      <c r="OPD293" s="484"/>
      <c r="OPE293" s="306"/>
      <c r="OPF293" s="267"/>
      <c r="OPG293" s="268"/>
      <c r="OPH293" s="306"/>
      <c r="OPI293" s="268"/>
      <c r="OPJ293" s="306"/>
      <c r="OPK293" s="485"/>
      <c r="OPL293" s="306"/>
      <c r="OPM293" s="486"/>
      <c r="OPN293" s="487"/>
      <c r="OPO293" s="488"/>
      <c r="OPP293" s="489"/>
      <c r="OPQ293" s="488"/>
      <c r="OPR293" s="468"/>
      <c r="OPS293" s="469"/>
      <c r="OPT293" s="470"/>
      <c r="OPU293" s="470"/>
      <c r="OPV293" s="306"/>
      <c r="OPW293" s="317"/>
      <c r="OPX293" s="471"/>
      <c r="OPY293" s="472"/>
      <c r="OPZ293" s="471"/>
      <c r="OQA293" s="473"/>
      <c r="OQB293" s="474"/>
      <c r="OQC293" s="475"/>
      <c r="OQD293" s="476"/>
      <c r="OQE293" s="477"/>
      <c r="OQF293" s="475"/>
      <c r="OQG293" s="478"/>
      <c r="OQH293" s="479"/>
      <c r="OQI293" s="480"/>
      <c r="OQJ293" s="481"/>
      <c r="OQK293" s="481"/>
      <c r="OQL293" s="482"/>
      <c r="OQM293" s="189"/>
      <c r="OQN293" s="189"/>
      <c r="OQO293" s="483"/>
      <c r="OQP293" s="306"/>
      <c r="OQQ293" s="484"/>
      <c r="OQR293" s="306"/>
      <c r="OQS293" s="267"/>
      <c r="OQT293" s="268"/>
      <c r="OQU293" s="306"/>
      <c r="OQV293" s="268"/>
      <c r="OQW293" s="306"/>
      <c r="OQX293" s="485"/>
      <c r="OQY293" s="306"/>
      <c r="OQZ293" s="486"/>
      <c r="ORA293" s="487"/>
      <c r="ORB293" s="488"/>
      <c r="ORC293" s="489"/>
      <c r="ORD293" s="488"/>
      <c r="ORE293" s="468"/>
      <c r="ORF293" s="469"/>
      <c r="ORG293" s="470"/>
      <c r="ORH293" s="470"/>
      <c r="ORI293" s="306"/>
      <c r="ORJ293" s="317"/>
      <c r="ORK293" s="471"/>
      <c r="ORL293" s="472"/>
      <c r="ORM293" s="471"/>
      <c r="ORN293" s="473"/>
      <c r="ORO293" s="474"/>
      <c r="ORP293" s="475"/>
      <c r="ORQ293" s="476"/>
      <c r="ORR293" s="477"/>
      <c r="ORS293" s="475"/>
      <c r="ORT293" s="478"/>
      <c r="ORU293" s="479"/>
      <c r="ORV293" s="480"/>
      <c r="ORW293" s="481"/>
      <c r="ORX293" s="481"/>
      <c r="ORY293" s="482"/>
      <c r="ORZ293" s="189"/>
      <c r="OSA293" s="189"/>
      <c r="OSB293" s="483"/>
      <c r="OSC293" s="306"/>
      <c r="OSD293" s="484"/>
      <c r="OSE293" s="306"/>
      <c r="OSF293" s="267"/>
      <c r="OSG293" s="268"/>
      <c r="OSH293" s="306"/>
      <c r="OSI293" s="268"/>
      <c r="OSJ293" s="306"/>
      <c r="OSK293" s="485"/>
      <c r="OSL293" s="306"/>
      <c r="OSM293" s="486"/>
      <c r="OSN293" s="487"/>
      <c r="OSO293" s="488"/>
      <c r="OSP293" s="489"/>
      <c r="OSQ293" s="488"/>
      <c r="OSR293" s="468"/>
      <c r="OSS293" s="469"/>
      <c r="OST293" s="470"/>
      <c r="OSU293" s="470"/>
      <c r="OSV293" s="306"/>
      <c r="OSW293" s="317"/>
      <c r="OSX293" s="471"/>
      <c r="OSY293" s="472"/>
      <c r="OSZ293" s="471"/>
      <c r="OTA293" s="473"/>
      <c r="OTB293" s="474"/>
      <c r="OTC293" s="475"/>
      <c r="OTD293" s="476"/>
      <c r="OTE293" s="477"/>
      <c r="OTF293" s="475"/>
      <c r="OTG293" s="478"/>
      <c r="OTH293" s="479"/>
      <c r="OTI293" s="480"/>
      <c r="OTJ293" s="481"/>
      <c r="OTK293" s="481"/>
      <c r="OTL293" s="482"/>
      <c r="OTM293" s="189"/>
      <c r="OTN293" s="189"/>
      <c r="OTO293" s="483"/>
      <c r="OTP293" s="306"/>
      <c r="OTQ293" s="484"/>
      <c r="OTR293" s="306"/>
      <c r="OTS293" s="267"/>
      <c r="OTT293" s="268"/>
      <c r="OTU293" s="306"/>
      <c r="OTV293" s="268"/>
      <c r="OTW293" s="306"/>
      <c r="OTX293" s="485"/>
      <c r="OTY293" s="306"/>
      <c r="OTZ293" s="486"/>
      <c r="OUA293" s="487"/>
      <c r="OUB293" s="488"/>
      <c r="OUC293" s="489"/>
      <c r="OUD293" s="488"/>
      <c r="OUE293" s="468"/>
      <c r="OUF293" s="469"/>
      <c r="OUG293" s="470"/>
      <c r="OUH293" s="470"/>
      <c r="OUI293" s="306"/>
      <c r="OUJ293" s="317"/>
      <c r="OUK293" s="471"/>
      <c r="OUL293" s="472"/>
      <c r="OUM293" s="471"/>
      <c r="OUN293" s="473"/>
      <c r="OUO293" s="474"/>
      <c r="OUP293" s="475"/>
      <c r="OUQ293" s="476"/>
      <c r="OUR293" s="477"/>
      <c r="OUS293" s="475"/>
      <c r="OUT293" s="478"/>
      <c r="OUU293" s="479"/>
      <c r="OUV293" s="480"/>
      <c r="OUW293" s="481"/>
      <c r="OUX293" s="481"/>
      <c r="OUY293" s="482"/>
      <c r="OUZ293" s="189"/>
      <c r="OVA293" s="189"/>
      <c r="OVB293" s="483"/>
      <c r="OVC293" s="306"/>
      <c r="OVD293" s="484"/>
      <c r="OVE293" s="306"/>
      <c r="OVF293" s="267"/>
      <c r="OVG293" s="268"/>
      <c r="OVH293" s="306"/>
      <c r="OVI293" s="268"/>
      <c r="OVJ293" s="306"/>
      <c r="OVK293" s="485"/>
      <c r="OVL293" s="306"/>
      <c r="OVM293" s="486"/>
      <c r="OVN293" s="487"/>
      <c r="OVO293" s="488"/>
      <c r="OVP293" s="489"/>
      <c r="OVQ293" s="488"/>
      <c r="OVR293" s="468"/>
      <c r="OVS293" s="469"/>
      <c r="OVT293" s="470"/>
      <c r="OVU293" s="470"/>
      <c r="OVV293" s="306"/>
      <c r="OVW293" s="317"/>
      <c r="OVX293" s="471"/>
      <c r="OVY293" s="472"/>
      <c r="OVZ293" s="471"/>
      <c r="OWA293" s="473"/>
      <c r="OWB293" s="474"/>
      <c r="OWC293" s="475"/>
      <c r="OWD293" s="476"/>
      <c r="OWE293" s="477"/>
      <c r="OWF293" s="475"/>
      <c r="OWG293" s="478"/>
      <c r="OWH293" s="479"/>
      <c r="OWI293" s="480"/>
      <c r="OWJ293" s="481"/>
      <c r="OWK293" s="481"/>
      <c r="OWL293" s="482"/>
      <c r="OWM293" s="189"/>
      <c r="OWN293" s="189"/>
      <c r="OWO293" s="483"/>
      <c r="OWP293" s="306"/>
      <c r="OWQ293" s="484"/>
      <c r="OWR293" s="306"/>
      <c r="OWS293" s="267"/>
      <c r="OWT293" s="268"/>
      <c r="OWU293" s="306"/>
      <c r="OWV293" s="268"/>
      <c r="OWW293" s="306"/>
      <c r="OWX293" s="485"/>
      <c r="OWY293" s="306"/>
      <c r="OWZ293" s="486"/>
      <c r="OXA293" s="487"/>
      <c r="OXB293" s="488"/>
      <c r="OXC293" s="489"/>
      <c r="OXD293" s="488"/>
      <c r="OXE293" s="468"/>
      <c r="OXF293" s="469"/>
      <c r="OXG293" s="470"/>
      <c r="OXH293" s="470"/>
      <c r="OXI293" s="306"/>
      <c r="OXJ293" s="317"/>
      <c r="OXK293" s="471"/>
      <c r="OXL293" s="472"/>
      <c r="OXM293" s="471"/>
      <c r="OXN293" s="473"/>
      <c r="OXO293" s="474"/>
      <c r="OXP293" s="475"/>
      <c r="OXQ293" s="476"/>
      <c r="OXR293" s="477"/>
      <c r="OXS293" s="475"/>
      <c r="OXT293" s="478"/>
      <c r="OXU293" s="479"/>
      <c r="OXV293" s="480"/>
      <c r="OXW293" s="481"/>
      <c r="OXX293" s="481"/>
      <c r="OXY293" s="482"/>
      <c r="OXZ293" s="189"/>
      <c r="OYA293" s="189"/>
      <c r="OYB293" s="483"/>
      <c r="OYC293" s="306"/>
      <c r="OYD293" s="484"/>
      <c r="OYE293" s="306"/>
      <c r="OYF293" s="267"/>
      <c r="OYG293" s="268"/>
      <c r="OYH293" s="306"/>
      <c r="OYI293" s="268"/>
      <c r="OYJ293" s="306"/>
      <c r="OYK293" s="485"/>
      <c r="OYL293" s="306"/>
      <c r="OYM293" s="486"/>
      <c r="OYN293" s="487"/>
      <c r="OYO293" s="488"/>
      <c r="OYP293" s="489"/>
      <c r="OYQ293" s="488"/>
      <c r="OYR293" s="468"/>
      <c r="OYS293" s="469"/>
      <c r="OYT293" s="470"/>
      <c r="OYU293" s="470"/>
      <c r="OYV293" s="306"/>
      <c r="OYW293" s="317"/>
      <c r="OYX293" s="471"/>
      <c r="OYY293" s="472"/>
      <c r="OYZ293" s="471"/>
      <c r="OZA293" s="473"/>
      <c r="OZB293" s="474"/>
      <c r="OZC293" s="475"/>
      <c r="OZD293" s="476"/>
      <c r="OZE293" s="477"/>
      <c r="OZF293" s="475"/>
      <c r="OZG293" s="478"/>
      <c r="OZH293" s="479"/>
      <c r="OZI293" s="480"/>
      <c r="OZJ293" s="481"/>
      <c r="OZK293" s="481"/>
      <c r="OZL293" s="482"/>
      <c r="OZM293" s="189"/>
      <c r="OZN293" s="189"/>
      <c r="OZO293" s="483"/>
      <c r="OZP293" s="306"/>
      <c r="OZQ293" s="484"/>
      <c r="OZR293" s="306"/>
      <c r="OZS293" s="267"/>
      <c r="OZT293" s="268"/>
      <c r="OZU293" s="306"/>
      <c r="OZV293" s="268"/>
      <c r="OZW293" s="306"/>
      <c r="OZX293" s="485"/>
      <c r="OZY293" s="306"/>
      <c r="OZZ293" s="486"/>
      <c r="PAA293" s="487"/>
      <c r="PAB293" s="488"/>
      <c r="PAC293" s="489"/>
      <c r="PAD293" s="488"/>
      <c r="PAE293" s="468"/>
      <c r="PAF293" s="469"/>
      <c r="PAG293" s="470"/>
      <c r="PAH293" s="470"/>
      <c r="PAI293" s="306"/>
      <c r="PAJ293" s="317"/>
      <c r="PAK293" s="471"/>
      <c r="PAL293" s="472"/>
      <c r="PAM293" s="471"/>
      <c r="PAN293" s="473"/>
      <c r="PAO293" s="474"/>
      <c r="PAP293" s="475"/>
      <c r="PAQ293" s="476"/>
      <c r="PAR293" s="477"/>
      <c r="PAS293" s="475"/>
      <c r="PAT293" s="478"/>
      <c r="PAU293" s="479"/>
      <c r="PAV293" s="480"/>
      <c r="PAW293" s="481"/>
      <c r="PAX293" s="481"/>
      <c r="PAY293" s="482"/>
      <c r="PAZ293" s="189"/>
      <c r="PBA293" s="189"/>
      <c r="PBB293" s="483"/>
      <c r="PBC293" s="306"/>
      <c r="PBD293" s="484"/>
      <c r="PBE293" s="306"/>
      <c r="PBF293" s="267"/>
      <c r="PBG293" s="268"/>
      <c r="PBH293" s="306"/>
      <c r="PBI293" s="268"/>
      <c r="PBJ293" s="306"/>
      <c r="PBK293" s="485"/>
      <c r="PBL293" s="306"/>
      <c r="PBM293" s="486"/>
      <c r="PBN293" s="487"/>
      <c r="PBO293" s="488"/>
      <c r="PBP293" s="489"/>
      <c r="PBQ293" s="488"/>
      <c r="PBR293" s="468"/>
      <c r="PBS293" s="469"/>
      <c r="PBT293" s="470"/>
      <c r="PBU293" s="470"/>
      <c r="PBV293" s="306"/>
      <c r="PBW293" s="317"/>
      <c r="PBX293" s="471"/>
      <c r="PBY293" s="472"/>
      <c r="PBZ293" s="471"/>
      <c r="PCA293" s="473"/>
      <c r="PCB293" s="474"/>
      <c r="PCC293" s="475"/>
      <c r="PCD293" s="476"/>
      <c r="PCE293" s="477"/>
      <c r="PCF293" s="475"/>
      <c r="PCG293" s="478"/>
      <c r="PCH293" s="479"/>
      <c r="PCI293" s="480"/>
      <c r="PCJ293" s="481"/>
      <c r="PCK293" s="481"/>
      <c r="PCL293" s="482"/>
      <c r="PCM293" s="189"/>
      <c r="PCN293" s="189"/>
      <c r="PCO293" s="483"/>
      <c r="PCP293" s="306"/>
      <c r="PCQ293" s="484"/>
      <c r="PCR293" s="306"/>
      <c r="PCS293" s="267"/>
      <c r="PCT293" s="268"/>
      <c r="PCU293" s="306"/>
      <c r="PCV293" s="268"/>
      <c r="PCW293" s="306"/>
      <c r="PCX293" s="485"/>
      <c r="PCY293" s="306"/>
      <c r="PCZ293" s="486"/>
      <c r="PDA293" s="487"/>
      <c r="PDB293" s="488"/>
      <c r="PDC293" s="489"/>
      <c r="PDD293" s="488"/>
      <c r="PDE293" s="468"/>
      <c r="PDF293" s="469"/>
      <c r="PDG293" s="470"/>
      <c r="PDH293" s="470"/>
      <c r="PDI293" s="306"/>
      <c r="PDJ293" s="317"/>
      <c r="PDK293" s="471"/>
      <c r="PDL293" s="472"/>
      <c r="PDM293" s="471"/>
      <c r="PDN293" s="473"/>
      <c r="PDO293" s="474"/>
      <c r="PDP293" s="475"/>
      <c r="PDQ293" s="476"/>
      <c r="PDR293" s="477"/>
      <c r="PDS293" s="475"/>
      <c r="PDT293" s="478"/>
      <c r="PDU293" s="479"/>
      <c r="PDV293" s="480"/>
      <c r="PDW293" s="481"/>
      <c r="PDX293" s="481"/>
      <c r="PDY293" s="482"/>
      <c r="PDZ293" s="189"/>
      <c r="PEA293" s="189"/>
      <c r="PEB293" s="483"/>
      <c r="PEC293" s="306"/>
      <c r="PED293" s="484"/>
      <c r="PEE293" s="306"/>
      <c r="PEF293" s="267"/>
      <c r="PEG293" s="268"/>
      <c r="PEH293" s="306"/>
      <c r="PEI293" s="268"/>
      <c r="PEJ293" s="306"/>
      <c r="PEK293" s="485"/>
      <c r="PEL293" s="306"/>
      <c r="PEM293" s="486"/>
      <c r="PEN293" s="487"/>
      <c r="PEO293" s="488"/>
      <c r="PEP293" s="489"/>
      <c r="PEQ293" s="488"/>
      <c r="PER293" s="468"/>
      <c r="PES293" s="469"/>
      <c r="PET293" s="470"/>
      <c r="PEU293" s="470"/>
      <c r="PEV293" s="306"/>
      <c r="PEW293" s="317"/>
      <c r="PEX293" s="471"/>
      <c r="PEY293" s="472"/>
      <c r="PEZ293" s="471"/>
      <c r="PFA293" s="473"/>
      <c r="PFB293" s="474"/>
      <c r="PFC293" s="475"/>
      <c r="PFD293" s="476"/>
      <c r="PFE293" s="477"/>
      <c r="PFF293" s="475"/>
      <c r="PFG293" s="478"/>
      <c r="PFH293" s="479"/>
      <c r="PFI293" s="480"/>
      <c r="PFJ293" s="481"/>
      <c r="PFK293" s="481"/>
      <c r="PFL293" s="482"/>
      <c r="PFM293" s="189"/>
      <c r="PFN293" s="189"/>
      <c r="PFO293" s="483"/>
      <c r="PFP293" s="306"/>
      <c r="PFQ293" s="484"/>
      <c r="PFR293" s="306"/>
      <c r="PFS293" s="267"/>
      <c r="PFT293" s="268"/>
      <c r="PFU293" s="306"/>
      <c r="PFV293" s="268"/>
      <c r="PFW293" s="306"/>
      <c r="PFX293" s="485"/>
      <c r="PFY293" s="306"/>
      <c r="PFZ293" s="486"/>
      <c r="PGA293" s="487"/>
      <c r="PGB293" s="488"/>
      <c r="PGC293" s="489"/>
      <c r="PGD293" s="488"/>
      <c r="PGE293" s="468"/>
      <c r="PGF293" s="469"/>
      <c r="PGG293" s="470"/>
      <c r="PGH293" s="470"/>
      <c r="PGI293" s="306"/>
      <c r="PGJ293" s="317"/>
      <c r="PGK293" s="471"/>
      <c r="PGL293" s="472"/>
      <c r="PGM293" s="471"/>
      <c r="PGN293" s="473"/>
      <c r="PGO293" s="474"/>
      <c r="PGP293" s="475"/>
      <c r="PGQ293" s="476"/>
      <c r="PGR293" s="477"/>
      <c r="PGS293" s="475"/>
      <c r="PGT293" s="478"/>
      <c r="PGU293" s="479"/>
      <c r="PGV293" s="480"/>
      <c r="PGW293" s="481"/>
      <c r="PGX293" s="481"/>
      <c r="PGY293" s="482"/>
      <c r="PGZ293" s="189"/>
      <c r="PHA293" s="189"/>
      <c r="PHB293" s="483"/>
      <c r="PHC293" s="306"/>
      <c r="PHD293" s="484"/>
      <c r="PHE293" s="306"/>
      <c r="PHF293" s="267"/>
      <c r="PHG293" s="268"/>
      <c r="PHH293" s="306"/>
      <c r="PHI293" s="268"/>
      <c r="PHJ293" s="306"/>
      <c r="PHK293" s="485"/>
      <c r="PHL293" s="306"/>
      <c r="PHM293" s="486"/>
      <c r="PHN293" s="487"/>
      <c r="PHO293" s="488"/>
      <c r="PHP293" s="489"/>
      <c r="PHQ293" s="488"/>
      <c r="PHR293" s="468"/>
      <c r="PHS293" s="469"/>
      <c r="PHT293" s="470"/>
      <c r="PHU293" s="470"/>
      <c r="PHV293" s="306"/>
      <c r="PHW293" s="317"/>
      <c r="PHX293" s="471"/>
      <c r="PHY293" s="472"/>
      <c r="PHZ293" s="471"/>
      <c r="PIA293" s="473"/>
      <c r="PIB293" s="474"/>
      <c r="PIC293" s="475"/>
      <c r="PID293" s="476"/>
      <c r="PIE293" s="477"/>
      <c r="PIF293" s="475"/>
      <c r="PIG293" s="478"/>
      <c r="PIH293" s="479"/>
      <c r="PII293" s="480"/>
      <c r="PIJ293" s="481"/>
      <c r="PIK293" s="481"/>
      <c r="PIL293" s="482"/>
      <c r="PIM293" s="189"/>
      <c r="PIN293" s="189"/>
      <c r="PIO293" s="483"/>
      <c r="PIP293" s="306"/>
      <c r="PIQ293" s="484"/>
      <c r="PIR293" s="306"/>
      <c r="PIS293" s="267"/>
      <c r="PIT293" s="268"/>
      <c r="PIU293" s="306"/>
      <c r="PIV293" s="268"/>
      <c r="PIW293" s="306"/>
      <c r="PIX293" s="485"/>
      <c r="PIY293" s="306"/>
      <c r="PIZ293" s="486"/>
      <c r="PJA293" s="487"/>
      <c r="PJB293" s="488"/>
      <c r="PJC293" s="489"/>
      <c r="PJD293" s="488"/>
      <c r="PJE293" s="468"/>
      <c r="PJF293" s="469"/>
      <c r="PJG293" s="470"/>
      <c r="PJH293" s="470"/>
      <c r="PJI293" s="306"/>
      <c r="PJJ293" s="317"/>
      <c r="PJK293" s="471"/>
      <c r="PJL293" s="472"/>
      <c r="PJM293" s="471"/>
      <c r="PJN293" s="473"/>
      <c r="PJO293" s="474"/>
      <c r="PJP293" s="475"/>
      <c r="PJQ293" s="476"/>
      <c r="PJR293" s="477"/>
      <c r="PJS293" s="475"/>
      <c r="PJT293" s="478"/>
      <c r="PJU293" s="479"/>
      <c r="PJV293" s="480"/>
      <c r="PJW293" s="481"/>
      <c r="PJX293" s="481"/>
      <c r="PJY293" s="482"/>
      <c r="PJZ293" s="189"/>
      <c r="PKA293" s="189"/>
      <c r="PKB293" s="483"/>
      <c r="PKC293" s="306"/>
      <c r="PKD293" s="484"/>
      <c r="PKE293" s="306"/>
      <c r="PKF293" s="267"/>
      <c r="PKG293" s="268"/>
      <c r="PKH293" s="306"/>
      <c r="PKI293" s="268"/>
      <c r="PKJ293" s="306"/>
      <c r="PKK293" s="485"/>
      <c r="PKL293" s="306"/>
      <c r="PKM293" s="486"/>
      <c r="PKN293" s="487"/>
      <c r="PKO293" s="488"/>
      <c r="PKP293" s="489"/>
      <c r="PKQ293" s="488"/>
      <c r="PKR293" s="468"/>
      <c r="PKS293" s="469"/>
      <c r="PKT293" s="470"/>
      <c r="PKU293" s="470"/>
      <c r="PKV293" s="306"/>
      <c r="PKW293" s="317"/>
      <c r="PKX293" s="471"/>
      <c r="PKY293" s="472"/>
      <c r="PKZ293" s="471"/>
      <c r="PLA293" s="473"/>
      <c r="PLB293" s="474"/>
      <c r="PLC293" s="475"/>
      <c r="PLD293" s="476"/>
      <c r="PLE293" s="477"/>
      <c r="PLF293" s="475"/>
      <c r="PLG293" s="478"/>
      <c r="PLH293" s="479"/>
      <c r="PLI293" s="480"/>
      <c r="PLJ293" s="481"/>
      <c r="PLK293" s="481"/>
      <c r="PLL293" s="482"/>
      <c r="PLM293" s="189"/>
      <c r="PLN293" s="189"/>
      <c r="PLO293" s="483"/>
      <c r="PLP293" s="306"/>
      <c r="PLQ293" s="484"/>
      <c r="PLR293" s="306"/>
      <c r="PLS293" s="267"/>
      <c r="PLT293" s="268"/>
      <c r="PLU293" s="306"/>
      <c r="PLV293" s="268"/>
      <c r="PLW293" s="306"/>
      <c r="PLX293" s="485"/>
      <c r="PLY293" s="306"/>
      <c r="PLZ293" s="486"/>
      <c r="PMA293" s="487"/>
      <c r="PMB293" s="488"/>
      <c r="PMC293" s="489"/>
      <c r="PMD293" s="488"/>
      <c r="PME293" s="468"/>
      <c r="PMF293" s="469"/>
      <c r="PMG293" s="470"/>
      <c r="PMH293" s="470"/>
      <c r="PMI293" s="306"/>
      <c r="PMJ293" s="317"/>
      <c r="PMK293" s="471"/>
      <c r="PML293" s="472"/>
      <c r="PMM293" s="471"/>
      <c r="PMN293" s="473"/>
      <c r="PMO293" s="474"/>
      <c r="PMP293" s="475"/>
      <c r="PMQ293" s="476"/>
      <c r="PMR293" s="477"/>
      <c r="PMS293" s="475"/>
      <c r="PMT293" s="478"/>
      <c r="PMU293" s="479"/>
      <c r="PMV293" s="480"/>
      <c r="PMW293" s="481"/>
      <c r="PMX293" s="481"/>
      <c r="PMY293" s="482"/>
      <c r="PMZ293" s="189"/>
      <c r="PNA293" s="189"/>
      <c r="PNB293" s="483"/>
      <c r="PNC293" s="306"/>
      <c r="PND293" s="484"/>
      <c r="PNE293" s="306"/>
      <c r="PNF293" s="267"/>
      <c r="PNG293" s="268"/>
      <c r="PNH293" s="306"/>
      <c r="PNI293" s="268"/>
      <c r="PNJ293" s="306"/>
      <c r="PNK293" s="485"/>
      <c r="PNL293" s="306"/>
      <c r="PNM293" s="486"/>
      <c r="PNN293" s="487"/>
      <c r="PNO293" s="488"/>
      <c r="PNP293" s="489"/>
      <c r="PNQ293" s="488"/>
      <c r="PNR293" s="468"/>
      <c r="PNS293" s="469"/>
      <c r="PNT293" s="470"/>
      <c r="PNU293" s="470"/>
      <c r="PNV293" s="306"/>
      <c r="PNW293" s="317"/>
      <c r="PNX293" s="471"/>
      <c r="PNY293" s="472"/>
      <c r="PNZ293" s="471"/>
      <c r="POA293" s="473"/>
      <c r="POB293" s="474"/>
      <c r="POC293" s="475"/>
      <c r="POD293" s="476"/>
      <c r="POE293" s="477"/>
      <c r="POF293" s="475"/>
      <c r="POG293" s="478"/>
      <c r="POH293" s="479"/>
      <c r="POI293" s="480"/>
      <c r="POJ293" s="481"/>
      <c r="POK293" s="481"/>
      <c r="POL293" s="482"/>
      <c r="POM293" s="189"/>
      <c r="PON293" s="189"/>
      <c r="POO293" s="483"/>
      <c r="POP293" s="306"/>
      <c r="POQ293" s="484"/>
      <c r="POR293" s="306"/>
      <c r="POS293" s="267"/>
      <c r="POT293" s="268"/>
      <c r="POU293" s="306"/>
      <c r="POV293" s="268"/>
      <c r="POW293" s="306"/>
      <c r="POX293" s="485"/>
      <c r="POY293" s="306"/>
      <c r="POZ293" s="486"/>
      <c r="PPA293" s="487"/>
      <c r="PPB293" s="488"/>
      <c r="PPC293" s="489"/>
      <c r="PPD293" s="488"/>
      <c r="PPE293" s="468"/>
      <c r="PPF293" s="469"/>
      <c r="PPG293" s="470"/>
      <c r="PPH293" s="470"/>
      <c r="PPI293" s="306"/>
      <c r="PPJ293" s="317"/>
      <c r="PPK293" s="471"/>
      <c r="PPL293" s="472"/>
      <c r="PPM293" s="471"/>
      <c r="PPN293" s="473"/>
      <c r="PPO293" s="474"/>
      <c r="PPP293" s="475"/>
      <c r="PPQ293" s="476"/>
      <c r="PPR293" s="477"/>
      <c r="PPS293" s="475"/>
      <c r="PPT293" s="478"/>
      <c r="PPU293" s="479"/>
      <c r="PPV293" s="480"/>
      <c r="PPW293" s="481"/>
      <c r="PPX293" s="481"/>
      <c r="PPY293" s="482"/>
      <c r="PPZ293" s="189"/>
      <c r="PQA293" s="189"/>
      <c r="PQB293" s="483"/>
      <c r="PQC293" s="306"/>
      <c r="PQD293" s="484"/>
      <c r="PQE293" s="306"/>
      <c r="PQF293" s="267"/>
      <c r="PQG293" s="268"/>
      <c r="PQH293" s="306"/>
      <c r="PQI293" s="268"/>
      <c r="PQJ293" s="306"/>
      <c r="PQK293" s="485"/>
      <c r="PQL293" s="306"/>
      <c r="PQM293" s="486"/>
      <c r="PQN293" s="487"/>
      <c r="PQO293" s="488"/>
      <c r="PQP293" s="489"/>
      <c r="PQQ293" s="488"/>
      <c r="PQR293" s="468"/>
      <c r="PQS293" s="469"/>
      <c r="PQT293" s="470"/>
      <c r="PQU293" s="470"/>
      <c r="PQV293" s="306"/>
      <c r="PQW293" s="317"/>
      <c r="PQX293" s="471"/>
      <c r="PQY293" s="472"/>
      <c r="PQZ293" s="471"/>
      <c r="PRA293" s="473"/>
      <c r="PRB293" s="474"/>
      <c r="PRC293" s="475"/>
      <c r="PRD293" s="476"/>
      <c r="PRE293" s="477"/>
      <c r="PRF293" s="475"/>
      <c r="PRG293" s="478"/>
      <c r="PRH293" s="479"/>
      <c r="PRI293" s="480"/>
      <c r="PRJ293" s="481"/>
      <c r="PRK293" s="481"/>
      <c r="PRL293" s="482"/>
      <c r="PRM293" s="189"/>
      <c r="PRN293" s="189"/>
      <c r="PRO293" s="483"/>
      <c r="PRP293" s="306"/>
      <c r="PRQ293" s="484"/>
      <c r="PRR293" s="306"/>
      <c r="PRS293" s="267"/>
      <c r="PRT293" s="268"/>
      <c r="PRU293" s="306"/>
      <c r="PRV293" s="268"/>
      <c r="PRW293" s="306"/>
      <c r="PRX293" s="485"/>
      <c r="PRY293" s="306"/>
      <c r="PRZ293" s="486"/>
      <c r="PSA293" s="487"/>
      <c r="PSB293" s="488"/>
      <c r="PSC293" s="489"/>
      <c r="PSD293" s="488"/>
      <c r="PSE293" s="468"/>
      <c r="PSF293" s="469"/>
      <c r="PSG293" s="470"/>
      <c r="PSH293" s="470"/>
      <c r="PSI293" s="306"/>
      <c r="PSJ293" s="317"/>
      <c r="PSK293" s="471"/>
      <c r="PSL293" s="472"/>
      <c r="PSM293" s="471"/>
      <c r="PSN293" s="473"/>
      <c r="PSO293" s="474"/>
      <c r="PSP293" s="475"/>
      <c r="PSQ293" s="476"/>
      <c r="PSR293" s="477"/>
      <c r="PSS293" s="475"/>
      <c r="PST293" s="478"/>
      <c r="PSU293" s="479"/>
      <c r="PSV293" s="480"/>
      <c r="PSW293" s="481"/>
      <c r="PSX293" s="481"/>
      <c r="PSY293" s="482"/>
      <c r="PSZ293" s="189"/>
      <c r="PTA293" s="189"/>
      <c r="PTB293" s="483"/>
      <c r="PTC293" s="306"/>
      <c r="PTD293" s="484"/>
      <c r="PTE293" s="306"/>
      <c r="PTF293" s="267"/>
      <c r="PTG293" s="268"/>
      <c r="PTH293" s="306"/>
      <c r="PTI293" s="268"/>
      <c r="PTJ293" s="306"/>
      <c r="PTK293" s="485"/>
      <c r="PTL293" s="306"/>
      <c r="PTM293" s="486"/>
      <c r="PTN293" s="487"/>
      <c r="PTO293" s="488"/>
      <c r="PTP293" s="489"/>
      <c r="PTQ293" s="488"/>
      <c r="PTR293" s="468"/>
      <c r="PTS293" s="469"/>
      <c r="PTT293" s="470"/>
      <c r="PTU293" s="470"/>
      <c r="PTV293" s="306"/>
      <c r="PTW293" s="317"/>
      <c r="PTX293" s="471"/>
      <c r="PTY293" s="472"/>
      <c r="PTZ293" s="471"/>
      <c r="PUA293" s="473"/>
      <c r="PUB293" s="474"/>
      <c r="PUC293" s="475"/>
      <c r="PUD293" s="476"/>
      <c r="PUE293" s="477"/>
      <c r="PUF293" s="475"/>
      <c r="PUG293" s="478"/>
      <c r="PUH293" s="479"/>
      <c r="PUI293" s="480"/>
      <c r="PUJ293" s="481"/>
      <c r="PUK293" s="481"/>
      <c r="PUL293" s="482"/>
      <c r="PUM293" s="189"/>
      <c r="PUN293" s="189"/>
      <c r="PUO293" s="483"/>
      <c r="PUP293" s="306"/>
      <c r="PUQ293" s="484"/>
      <c r="PUR293" s="306"/>
      <c r="PUS293" s="267"/>
      <c r="PUT293" s="268"/>
      <c r="PUU293" s="306"/>
      <c r="PUV293" s="268"/>
      <c r="PUW293" s="306"/>
      <c r="PUX293" s="485"/>
      <c r="PUY293" s="306"/>
      <c r="PUZ293" s="486"/>
      <c r="PVA293" s="487"/>
      <c r="PVB293" s="488"/>
      <c r="PVC293" s="489"/>
      <c r="PVD293" s="488"/>
      <c r="PVE293" s="468"/>
      <c r="PVF293" s="469"/>
      <c r="PVG293" s="470"/>
      <c r="PVH293" s="470"/>
      <c r="PVI293" s="306"/>
      <c r="PVJ293" s="317"/>
      <c r="PVK293" s="471"/>
      <c r="PVL293" s="472"/>
      <c r="PVM293" s="471"/>
      <c r="PVN293" s="473"/>
      <c r="PVO293" s="474"/>
      <c r="PVP293" s="475"/>
      <c r="PVQ293" s="476"/>
      <c r="PVR293" s="477"/>
      <c r="PVS293" s="475"/>
      <c r="PVT293" s="478"/>
      <c r="PVU293" s="479"/>
      <c r="PVV293" s="480"/>
      <c r="PVW293" s="481"/>
      <c r="PVX293" s="481"/>
      <c r="PVY293" s="482"/>
      <c r="PVZ293" s="189"/>
      <c r="PWA293" s="189"/>
      <c r="PWB293" s="483"/>
      <c r="PWC293" s="306"/>
      <c r="PWD293" s="484"/>
      <c r="PWE293" s="306"/>
      <c r="PWF293" s="267"/>
      <c r="PWG293" s="268"/>
      <c r="PWH293" s="306"/>
      <c r="PWI293" s="268"/>
      <c r="PWJ293" s="306"/>
      <c r="PWK293" s="485"/>
      <c r="PWL293" s="306"/>
      <c r="PWM293" s="486"/>
      <c r="PWN293" s="487"/>
      <c r="PWO293" s="488"/>
      <c r="PWP293" s="489"/>
      <c r="PWQ293" s="488"/>
      <c r="PWR293" s="468"/>
      <c r="PWS293" s="469"/>
      <c r="PWT293" s="470"/>
      <c r="PWU293" s="470"/>
      <c r="PWV293" s="306"/>
      <c r="PWW293" s="317"/>
      <c r="PWX293" s="471"/>
      <c r="PWY293" s="472"/>
      <c r="PWZ293" s="471"/>
      <c r="PXA293" s="473"/>
      <c r="PXB293" s="474"/>
      <c r="PXC293" s="475"/>
      <c r="PXD293" s="476"/>
      <c r="PXE293" s="477"/>
      <c r="PXF293" s="475"/>
      <c r="PXG293" s="478"/>
      <c r="PXH293" s="479"/>
      <c r="PXI293" s="480"/>
      <c r="PXJ293" s="481"/>
      <c r="PXK293" s="481"/>
      <c r="PXL293" s="482"/>
      <c r="PXM293" s="189"/>
      <c r="PXN293" s="189"/>
      <c r="PXO293" s="483"/>
      <c r="PXP293" s="306"/>
      <c r="PXQ293" s="484"/>
      <c r="PXR293" s="306"/>
      <c r="PXS293" s="267"/>
      <c r="PXT293" s="268"/>
      <c r="PXU293" s="306"/>
      <c r="PXV293" s="268"/>
      <c r="PXW293" s="306"/>
      <c r="PXX293" s="485"/>
      <c r="PXY293" s="306"/>
      <c r="PXZ293" s="486"/>
      <c r="PYA293" s="487"/>
      <c r="PYB293" s="488"/>
      <c r="PYC293" s="489"/>
      <c r="PYD293" s="488"/>
      <c r="PYE293" s="468"/>
      <c r="PYF293" s="469"/>
      <c r="PYG293" s="470"/>
      <c r="PYH293" s="470"/>
      <c r="PYI293" s="306"/>
      <c r="PYJ293" s="317"/>
      <c r="PYK293" s="471"/>
      <c r="PYL293" s="472"/>
      <c r="PYM293" s="471"/>
      <c r="PYN293" s="473"/>
      <c r="PYO293" s="474"/>
      <c r="PYP293" s="475"/>
      <c r="PYQ293" s="476"/>
      <c r="PYR293" s="477"/>
      <c r="PYS293" s="475"/>
      <c r="PYT293" s="478"/>
      <c r="PYU293" s="479"/>
      <c r="PYV293" s="480"/>
      <c r="PYW293" s="481"/>
      <c r="PYX293" s="481"/>
      <c r="PYY293" s="482"/>
      <c r="PYZ293" s="189"/>
      <c r="PZA293" s="189"/>
      <c r="PZB293" s="483"/>
      <c r="PZC293" s="306"/>
      <c r="PZD293" s="484"/>
      <c r="PZE293" s="306"/>
      <c r="PZF293" s="267"/>
      <c r="PZG293" s="268"/>
      <c r="PZH293" s="306"/>
      <c r="PZI293" s="268"/>
      <c r="PZJ293" s="306"/>
      <c r="PZK293" s="485"/>
      <c r="PZL293" s="306"/>
      <c r="PZM293" s="486"/>
      <c r="PZN293" s="487"/>
      <c r="PZO293" s="488"/>
      <c r="PZP293" s="489"/>
      <c r="PZQ293" s="488"/>
      <c r="PZR293" s="468"/>
      <c r="PZS293" s="469"/>
      <c r="PZT293" s="470"/>
      <c r="PZU293" s="470"/>
      <c r="PZV293" s="306"/>
      <c r="PZW293" s="317"/>
      <c r="PZX293" s="471"/>
      <c r="PZY293" s="472"/>
      <c r="PZZ293" s="471"/>
      <c r="QAA293" s="473"/>
      <c r="QAB293" s="474"/>
      <c r="QAC293" s="475"/>
      <c r="QAD293" s="476"/>
      <c r="QAE293" s="477"/>
      <c r="QAF293" s="475"/>
      <c r="QAG293" s="478"/>
      <c r="QAH293" s="479"/>
      <c r="QAI293" s="480"/>
      <c r="QAJ293" s="481"/>
      <c r="QAK293" s="481"/>
      <c r="QAL293" s="482"/>
      <c r="QAM293" s="189"/>
      <c r="QAN293" s="189"/>
      <c r="QAO293" s="483"/>
      <c r="QAP293" s="306"/>
      <c r="QAQ293" s="484"/>
      <c r="QAR293" s="306"/>
      <c r="QAS293" s="267"/>
      <c r="QAT293" s="268"/>
      <c r="QAU293" s="306"/>
      <c r="QAV293" s="268"/>
      <c r="QAW293" s="306"/>
      <c r="QAX293" s="485"/>
      <c r="QAY293" s="306"/>
      <c r="QAZ293" s="486"/>
      <c r="QBA293" s="487"/>
      <c r="QBB293" s="488"/>
      <c r="QBC293" s="489"/>
      <c r="QBD293" s="488"/>
      <c r="QBE293" s="468"/>
      <c r="QBF293" s="469"/>
      <c r="QBG293" s="470"/>
      <c r="QBH293" s="470"/>
      <c r="QBI293" s="306"/>
      <c r="QBJ293" s="317"/>
      <c r="QBK293" s="471"/>
      <c r="QBL293" s="472"/>
      <c r="QBM293" s="471"/>
      <c r="QBN293" s="473"/>
      <c r="QBO293" s="474"/>
      <c r="QBP293" s="475"/>
      <c r="QBQ293" s="476"/>
      <c r="QBR293" s="477"/>
      <c r="QBS293" s="475"/>
      <c r="QBT293" s="478"/>
      <c r="QBU293" s="479"/>
      <c r="QBV293" s="480"/>
      <c r="QBW293" s="481"/>
      <c r="QBX293" s="481"/>
      <c r="QBY293" s="482"/>
      <c r="QBZ293" s="189"/>
      <c r="QCA293" s="189"/>
      <c r="QCB293" s="483"/>
      <c r="QCC293" s="306"/>
      <c r="QCD293" s="484"/>
      <c r="QCE293" s="306"/>
      <c r="QCF293" s="267"/>
      <c r="QCG293" s="268"/>
      <c r="QCH293" s="306"/>
      <c r="QCI293" s="268"/>
      <c r="QCJ293" s="306"/>
      <c r="QCK293" s="485"/>
      <c r="QCL293" s="306"/>
      <c r="QCM293" s="486"/>
      <c r="QCN293" s="487"/>
      <c r="QCO293" s="488"/>
      <c r="QCP293" s="489"/>
      <c r="QCQ293" s="488"/>
      <c r="QCR293" s="468"/>
      <c r="QCS293" s="469"/>
      <c r="QCT293" s="470"/>
      <c r="QCU293" s="470"/>
      <c r="QCV293" s="306"/>
      <c r="QCW293" s="317"/>
      <c r="QCX293" s="471"/>
      <c r="QCY293" s="472"/>
      <c r="QCZ293" s="471"/>
      <c r="QDA293" s="473"/>
      <c r="QDB293" s="474"/>
      <c r="QDC293" s="475"/>
      <c r="QDD293" s="476"/>
      <c r="QDE293" s="477"/>
      <c r="QDF293" s="475"/>
      <c r="QDG293" s="478"/>
      <c r="QDH293" s="479"/>
      <c r="QDI293" s="480"/>
      <c r="QDJ293" s="481"/>
      <c r="QDK293" s="481"/>
      <c r="QDL293" s="482"/>
      <c r="QDM293" s="189"/>
      <c r="QDN293" s="189"/>
      <c r="QDO293" s="483"/>
      <c r="QDP293" s="306"/>
      <c r="QDQ293" s="484"/>
      <c r="QDR293" s="306"/>
      <c r="QDS293" s="267"/>
      <c r="QDT293" s="268"/>
      <c r="QDU293" s="306"/>
      <c r="QDV293" s="268"/>
      <c r="QDW293" s="306"/>
      <c r="QDX293" s="485"/>
      <c r="QDY293" s="306"/>
      <c r="QDZ293" s="486"/>
      <c r="QEA293" s="487"/>
      <c r="QEB293" s="488"/>
      <c r="QEC293" s="489"/>
      <c r="QED293" s="488"/>
      <c r="QEE293" s="468"/>
      <c r="QEF293" s="469"/>
      <c r="QEG293" s="470"/>
      <c r="QEH293" s="470"/>
      <c r="QEI293" s="306"/>
      <c r="QEJ293" s="317"/>
      <c r="QEK293" s="471"/>
      <c r="QEL293" s="472"/>
      <c r="QEM293" s="471"/>
      <c r="QEN293" s="473"/>
      <c r="QEO293" s="474"/>
      <c r="QEP293" s="475"/>
      <c r="QEQ293" s="476"/>
      <c r="QER293" s="477"/>
      <c r="QES293" s="475"/>
      <c r="QET293" s="478"/>
      <c r="QEU293" s="479"/>
      <c r="QEV293" s="480"/>
      <c r="QEW293" s="481"/>
      <c r="QEX293" s="481"/>
      <c r="QEY293" s="482"/>
      <c r="QEZ293" s="189"/>
      <c r="QFA293" s="189"/>
      <c r="QFB293" s="483"/>
      <c r="QFC293" s="306"/>
      <c r="QFD293" s="484"/>
      <c r="QFE293" s="306"/>
      <c r="QFF293" s="267"/>
      <c r="QFG293" s="268"/>
      <c r="QFH293" s="306"/>
      <c r="QFI293" s="268"/>
      <c r="QFJ293" s="306"/>
      <c r="QFK293" s="485"/>
      <c r="QFL293" s="306"/>
      <c r="QFM293" s="486"/>
      <c r="QFN293" s="487"/>
      <c r="QFO293" s="488"/>
      <c r="QFP293" s="489"/>
      <c r="QFQ293" s="488"/>
      <c r="QFR293" s="468"/>
      <c r="QFS293" s="469"/>
      <c r="QFT293" s="470"/>
      <c r="QFU293" s="470"/>
      <c r="QFV293" s="306"/>
      <c r="QFW293" s="317"/>
      <c r="QFX293" s="471"/>
      <c r="QFY293" s="472"/>
      <c r="QFZ293" s="471"/>
      <c r="QGA293" s="473"/>
      <c r="QGB293" s="474"/>
      <c r="QGC293" s="475"/>
      <c r="QGD293" s="476"/>
      <c r="QGE293" s="477"/>
      <c r="QGF293" s="475"/>
      <c r="QGG293" s="478"/>
      <c r="QGH293" s="479"/>
      <c r="QGI293" s="480"/>
      <c r="QGJ293" s="481"/>
      <c r="QGK293" s="481"/>
      <c r="QGL293" s="482"/>
      <c r="QGM293" s="189"/>
      <c r="QGN293" s="189"/>
      <c r="QGO293" s="483"/>
      <c r="QGP293" s="306"/>
      <c r="QGQ293" s="484"/>
      <c r="QGR293" s="306"/>
      <c r="QGS293" s="267"/>
      <c r="QGT293" s="268"/>
      <c r="QGU293" s="306"/>
      <c r="QGV293" s="268"/>
      <c r="QGW293" s="306"/>
      <c r="QGX293" s="485"/>
      <c r="QGY293" s="306"/>
      <c r="QGZ293" s="486"/>
      <c r="QHA293" s="487"/>
      <c r="QHB293" s="488"/>
      <c r="QHC293" s="489"/>
      <c r="QHD293" s="488"/>
      <c r="QHE293" s="468"/>
      <c r="QHF293" s="469"/>
      <c r="QHG293" s="470"/>
      <c r="QHH293" s="470"/>
      <c r="QHI293" s="306"/>
      <c r="QHJ293" s="317"/>
      <c r="QHK293" s="471"/>
      <c r="QHL293" s="472"/>
      <c r="QHM293" s="471"/>
      <c r="QHN293" s="473"/>
      <c r="QHO293" s="474"/>
      <c r="QHP293" s="475"/>
      <c r="QHQ293" s="476"/>
      <c r="QHR293" s="477"/>
      <c r="QHS293" s="475"/>
      <c r="QHT293" s="478"/>
      <c r="QHU293" s="479"/>
      <c r="QHV293" s="480"/>
      <c r="QHW293" s="481"/>
      <c r="QHX293" s="481"/>
      <c r="QHY293" s="482"/>
      <c r="QHZ293" s="189"/>
      <c r="QIA293" s="189"/>
      <c r="QIB293" s="483"/>
      <c r="QIC293" s="306"/>
      <c r="QID293" s="484"/>
      <c r="QIE293" s="306"/>
      <c r="QIF293" s="267"/>
      <c r="QIG293" s="268"/>
      <c r="QIH293" s="306"/>
      <c r="QII293" s="268"/>
      <c r="QIJ293" s="306"/>
      <c r="QIK293" s="485"/>
      <c r="QIL293" s="306"/>
      <c r="QIM293" s="486"/>
      <c r="QIN293" s="487"/>
      <c r="QIO293" s="488"/>
      <c r="QIP293" s="489"/>
      <c r="QIQ293" s="488"/>
      <c r="QIR293" s="468"/>
      <c r="QIS293" s="469"/>
      <c r="QIT293" s="470"/>
      <c r="QIU293" s="470"/>
      <c r="QIV293" s="306"/>
      <c r="QIW293" s="317"/>
      <c r="QIX293" s="471"/>
      <c r="QIY293" s="472"/>
      <c r="QIZ293" s="471"/>
      <c r="QJA293" s="473"/>
      <c r="QJB293" s="474"/>
      <c r="QJC293" s="475"/>
      <c r="QJD293" s="476"/>
      <c r="QJE293" s="477"/>
      <c r="QJF293" s="475"/>
      <c r="QJG293" s="478"/>
      <c r="QJH293" s="479"/>
      <c r="QJI293" s="480"/>
      <c r="QJJ293" s="481"/>
      <c r="QJK293" s="481"/>
      <c r="QJL293" s="482"/>
      <c r="QJM293" s="189"/>
      <c r="QJN293" s="189"/>
      <c r="QJO293" s="483"/>
      <c r="QJP293" s="306"/>
      <c r="QJQ293" s="484"/>
      <c r="QJR293" s="306"/>
      <c r="QJS293" s="267"/>
      <c r="QJT293" s="268"/>
      <c r="QJU293" s="306"/>
      <c r="QJV293" s="268"/>
      <c r="QJW293" s="306"/>
      <c r="QJX293" s="485"/>
      <c r="QJY293" s="306"/>
      <c r="QJZ293" s="486"/>
      <c r="QKA293" s="487"/>
      <c r="QKB293" s="488"/>
      <c r="QKC293" s="489"/>
      <c r="QKD293" s="488"/>
      <c r="QKE293" s="468"/>
      <c r="QKF293" s="469"/>
      <c r="QKG293" s="470"/>
      <c r="QKH293" s="470"/>
      <c r="QKI293" s="306"/>
      <c r="QKJ293" s="317"/>
      <c r="QKK293" s="471"/>
      <c r="QKL293" s="472"/>
      <c r="QKM293" s="471"/>
      <c r="QKN293" s="473"/>
      <c r="QKO293" s="474"/>
      <c r="QKP293" s="475"/>
      <c r="QKQ293" s="476"/>
      <c r="QKR293" s="477"/>
      <c r="QKS293" s="475"/>
      <c r="QKT293" s="478"/>
      <c r="QKU293" s="479"/>
      <c r="QKV293" s="480"/>
      <c r="QKW293" s="481"/>
      <c r="QKX293" s="481"/>
      <c r="QKY293" s="482"/>
      <c r="QKZ293" s="189"/>
      <c r="QLA293" s="189"/>
      <c r="QLB293" s="483"/>
      <c r="QLC293" s="306"/>
      <c r="QLD293" s="484"/>
      <c r="QLE293" s="306"/>
      <c r="QLF293" s="267"/>
      <c r="QLG293" s="268"/>
      <c r="QLH293" s="306"/>
      <c r="QLI293" s="268"/>
      <c r="QLJ293" s="306"/>
      <c r="QLK293" s="485"/>
      <c r="QLL293" s="306"/>
      <c r="QLM293" s="486"/>
      <c r="QLN293" s="487"/>
      <c r="QLO293" s="488"/>
      <c r="QLP293" s="489"/>
      <c r="QLQ293" s="488"/>
      <c r="QLR293" s="468"/>
      <c r="QLS293" s="469"/>
      <c r="QLT293" s="470"/>
      <c r="QLU293" s="470"/>
      <c r="QLV293" s="306"/>
      <c r="QLW293" s="317"/>
      <c r="QLX293" s="471"/>
      <c r="QLY293" s="472"/>
      <c r="QLZ293" s="471"/>
      <c r="QMA293" s="473"/>
      <c r="QMB293" s="474"/>
      <c r="QMC293" s="475"/>
      <c r="QMD293" s="476"/>
      <c r="QME293" s="477"/>
      <c r="QMF293" s="475"/>
      <c r="QMG293" s="478"/>
      <c r="QMH293" s="479"/>
      <c r="QMI293" s="480"/>
      <c r="QMJ293" s="481"/>
      <c r="QMK293" s="481"/>
      <c r="QML293" s="482"/>
      <c r="QMM293" s="189"/>
      <c r="QMN293" s="189"/>
      <c r="QMO293" s="483"/>
      <c r="QMP293" s="306"/>
      <c r="QMQ293" s="484"/>
      <c r="QMR293" s="306"/>
      <c r="QMS293" s="267"/>
      <c r="QMT293" s="268"/>
      <c r="QMU293" s="306"/>
      <c r="QMV293" s="268"/>
      <c r="QMW293" s="306"/>
      <c r="QMX293" s="485"/>
      <c r="QMY293" s="306"/>
      <c r="QMZ293" s="486"/>
      <c r="QNA293" s="487"/>
      <c r="QNB293" s="488"/>
      <c r="QNC293" s="489"/>
      <c r="QND293" s="488"/>
      <c r="QNE293" s="468"/>
      <c r="QNF293" s="469"/>
      <c r="QNG293" s="470"/>
      <c r="QNH293" s="470"/>
      <c r="QNI293" s="306"/>
      <c r="QNJ293" s="317"/>
      <c r="QNK293" s="471"/>
      <c r="QNL293" s="472"/>
      <c r="QNM293" s="471"/>
      <c r="QNN293" s="473"/>
      <c r="QNO293" s="474"/>
      <c r="QNP293" s="475"/>
      <c r="QNQ293" s="476"/>
      <c r="QNR293" s="477"/>
      <c r="QNS293" s="475"/>
      <c r="QNT293" s="478"/>
      <c r="QNU293" s="479"/>
      <c r="QNV293" s="480"/>
      <c r="QNW293" s="481"/>
      <c r="QNX293" s="481"/>
      <c r="QNY293" s="482"/>
      <c r="QNZ293" s="189"/>
      <c r="QOA293" s="189"/>
      <c r="QOB293" s="483"/>
      <c r="QOC293" s="306"/>
      <c r="QOD293" s="484"/>
      <c r="QOE293" s="306"/>
      <c r="QOF293" s="267"/>
      <c r="QOG293" s="268"/>
      <c r="QOH293" s="306"/>
      <c r="QOI293" s="268"/>
      <c r="QOJ293" s="306"/>
      <c r="QOK293" s="485"/>
      <c r="QOL293" s="306"/>
      <c r="QOM293" s="486"/>
      <c r="QON293" s="487"/>
      <c r="QOO293" s="488"/>
      <c r="QOP293" s="489"/>
      <c r="QOQ293" s="488"/>
      <c r="QOR293" s="468"/>
      <c r="QOS293" s="469"/>
      <c r="QOT293" s="470"/>
      <c r="QOU293" s="470"/>
      <c r="QOV293" s="306"/>
      <c r="QOW293" s="317"/>
      <c r="QOX293" s="471"/>
      <c r="QOY293" s="472"/>
      <c r="QOZ293" s="471"/>
      <c r="QPA293" s="473"/>
      <c r="QPB293" s="474"/>
      <c r="QPC293" s="475"/>
      <c r="QPD293" s="476"/>
      <c r="QPE293" s="477"/>
      <c r="QPF293" s="475"/>
      <c r="QPG293" s="478"/>
      <c r="QPH293" s="479"/>
      <c r="QPI293" s="480"/>
      <c r="QPJ293" s="481"/>
      <c r="QPK293" s="481"/>
      <c r="QPL293" s="482"/>
      <c r="QPM293" s="189"/>
      <c r="QPN293" s="189"/>
      <c r="QPO293" s="483"/>
      <c r="QPP293" s="306"/>
      <c r="QPQ293" s="484"/>
      <c r="QPR293" s="306"/>
      <c r="QPS293" s="267"/>
      <c r="QPT293" s="268"/>
      <c r="QPU293" s="306"/>
      <c r="QPV293" s="268"/>
      <c r="QPW293" s="306"/>
      <c r="QPX293" s="485"/>
      <c r="QPY293" s="306"/>
      <c r="QPZ293" s="486"/>
      <c r="QQA293" s="487"/>
      <c r="QQB293" s="488"/>
      <c r="QQC293" s="489"/>
      <c r="QQD293" s="488"/>
      <c r="QQE293" s="468"/>
      <c r="QQF293" s="469"/>
      <c r="QQG293" s="470"/>
      <c r="QQH293" s="470"/>
      <c r="QQI293" s="306"/>
      <c r="QQJ293" s="317"/>
      <c r="QQK293" s="471"/>
      <c r="QQL293" s="472"/>
      <c r="QQM293" s="471"/>
      <c r="QQN293" s="473"/>
      <c r="QQO293" s="474"/>
      <c r="QQP293" s="475"/>
      <c r="QQQ293" s="476"/>
      <c r="QQR293" s="477"/>
      <c r="QQS293" s="475"/>
      <c r="QQT293" s="478"/>
      <c r="QQU293" s="479"/>
      <c r="QQV293" s="480"/>
      <c r="QQW293" s="481"/>
      <c r="QQX293" s="481"/>
      <c r="QQY293" s="482"/>
      <c r="QQZ293" s="189"/>
      <c r="QRA293" s="189"/>
      <c r="QRB293" s="483"/>
      <c r="QRC293" s="306"/>
      <c r="QRD293" s="484"/>
      <c r="QRE293" s="306"/>
      <c r="QRF293" s="267"/>
      <c r="QRG293" s="268"/>
      <c r="QRH293" s="306"/>
      <c r="QRI293" s="268"/>
      <c r="QRJ293" s="306"/>
      <c r="QRK293" s="485"/>
      <c r="QRL293" s="306"/>
      <c r="QRM293" s="486"/>
      <c r="QRN293" s="487"/>
      <c r="QRO293" s="488"/>
      <c r="QRP293" s="489"/>
      <c r="QRQ293" s="488"/>
      <c r="QRR293" s="468"/>
      <c r="QRS293" s="469"/>
      <c r="QRT293" s="470"/>
      <c r="QRU293" s="470"/>
      <c r="QRV293" s="306"/>
      <c r="QRW293" s="317"/>
      <c r="QRX293" s="471"/>
      <c r="QRY293" s="472"/>
      <c r="QRZ293" s="471"/>
      <c r="QSA293" s="473"/>
      <c r="QSB293" s="474"/>
      <c r="QSC293" s="475"/>
      <c r="QSD293" s="476"/>
      <c r="QSE293" s="477"/>
      <c r="QSF293" s="475"/>
      <c r="QSG293" s="478"/>
      <c r="QSH293" s="479"/>
      <c r="QSI293" s="480"/>
      <c r="QSJ293" s="481"/>
      <c r="QSK293" s="481"/>
      <c r="QSL293" s="482"/>
      <c r="QSM293" s="189"/>
      <c r="QSN293" s="189"/>
      <c r="QSO293" s="483"/>
      <c r="QSP293" s="306"/>
      <c r="QSQ293" s="484"/>
      <c r="QSR293" s="306"/>
      <c r="QSS293" s="267"/>
      <c r="QST293" s="268"/>
      <c r="QSU293" s="306"/>
      <c r="QSV293" s="268"/>
      <c r="QSW293" s="306"/>
      <c r="QSX293" s="485"/>
      <c r="QSY293" s="306"/>
      <c r="QSZ293" s="486"/>
      <c r="QTA293" s="487"/>
      <c r="QTB293" s="488"/>
      <c r="QTC293" s="489"/>
      <c r="QTD293" s="488"/>
      <c r="QTE293" s="468"/>
      <c r="QTF293" s="469"/>
      <c r="QTG293" s="470"/>
      <c r="QTH293" s="470"/>
      <c r="QTI293" s="306"/>
      <c r="QTJ293" s="317"/>
      <c r="QTK293" s="471"/>
      <c r="QTL293" s="472"/>
      <c r="QTM293" s="471"/>
      <c r="QTN293" s="473"/>
      <c r="QTO293" s="474"/>
      <c r="QTP293" s="475"/>
      <c r="QTQ293" s="476"/>
      <c r="QTR293" s="477"/>
      <c r="QTS293" s="475"/>
      <c r="QTT293" s="478"/>
      <c r="QTU293" s="479"/>
      <c r="QTV293" s="480"/>
      <c r="QTW293" s="481"/>
      <c r="QTX293" s="481"/>
      <c r="QTY293" s="482"/>
      <c r="QTZ293" s="189"/>
      <c r="QUA293" s="189"/>
      <c r="QUB293" s="483"/>
      <c r="QUC293" s="306"/>
      <c r="QUD293" s="484"/>
      <c r="QUE293" s="306"/>
      <c r="QUF293" s="267"/>
      <c r="QUG293" s="268"/>
      <c r="QUH293" s="306"/>
      <c r="QUI293" s="268"/>
      <c r="QUJ293" s="306"/>
      <c r="QUK293" s="485"/>
      <c r="QUL293" s="306"/>
      <c r="QUM293" s="486"/>
      <c r="QUN293" s="487"/>
      <c r="QUO293" s="488"/>
      <c r="QUP293" s="489"/>
      <c r="QUQ293" s="488"/>
      <c r="QUR293" s="468"/>
      <c r="QUS293" s="469"/>
      <c r="QUT293" s="470"/>
      <c r="QUU293" s="470"/>
      <c r="QUV293" s="306"/>
      <c r="QUW293" s="317"/>
      <c r="QUX293" s="471"/>
      <c r="QUY293" s="472"/>
      <c r="QUZ293" s="471"/>
      <c r="QVA293" s="473"/>
      <c r="QVB293" s="474"/>
      <c r="QVC293" s="475"/>
      <c r="QVD293" s="476"/>
      <c r="QVE293" s="477"/>
      <c r="QVF293" s="475"/>
      <c r="QVG293" s="478"/>
      <c r="QVH293" s="479"/>
      <c r="QVI293" s="480"/>
      <c r="QVJ293" s="481"/>
      <c r="QVK293" s="481"/>
      <c r="QVL293" s="482"/>
      <c r="QVM293" s="189"/>
      <c r="QVN293" s="189"/>
      <c r="QVO293" s="483"/>
      <c r="QVP293" s="306"/>
      <c r="QVQ293" s="484"/>
      <c r="QVR293" s="306"/>
      <c r="QVS293" s="267"/>
      <c r="QVT293" s="268"/>
      <c r="QVU293" s="306"/>
      <c r="QVV293" s="268"/>
      <c r="QVW293" s="306"/>
      <c r="QVX293" s="485"/>
      <c r="QVY293" s="306"/>
      <c r="QVZ293" s="486"/>
      <c r="QWA293" s="487"/>
      <c r="QWB293" s="488"/>
      <c r="QWC293" s="489"/>
      <c r="QWD293" s="488"/>
      <c r="QWE293" s="468"/>
      <c r="QWF293" s="469"/>
      <c r="QWG293" s="470"/>
      <c r="QWH293" s="470"/>
      <c r="QWI293" s="306"/>
      <c r="QWJ293" s="317"/>
      <c r="QWK293" s="471"/>
      <c r="QWL293" s="472"/>
      <c r="QWM293" s="471"/>
      <c r="QWN293" s="473"/>
      <c r="QWO293" s="474"/>
      <c r="QWP293" s="475"/>
      <c r="QWQ293" s="476"/>
      <c r="QWR293" s="477"/>
      <c r="QWS293" s="475"/>
      <c r="QWT293" s="478"/>
      <c r="QWU293" s="479"/>
      <c r="QWV293" s="480"/>
      <c r="QWW293" s="481"/>
      <c r="QWX293" s="481"/>
      <c r="QWY293" s="482"/>
      <c r="QWZ293" s="189"/>
      <c r="QXA293" s="189"/>
      <c r="QXB293" s="483"/>
      <c r="QXC293" s="306"/>
      <c r="QXD293" s="484"/>
      <c r="QXE293" s="306"/>
      <c r="QXF293" s="267"/>
      <c r="QXG293" s="268"/>
      <c r="QXH293" s="306"/>
      <c r="QXI293" s="268"/>
      <c r="QXJ293" s="306"/>
      <c r="QXK293" s="485"/>
      <c r="QXL293" s="306"/>
      <c r="QXM293" s="486"/>
      <c r="QXN293" s="487"/>
      <c r="QXO293" s="488"/>
      <c r="QXP293" s="489"/>
      <c r="QXQ293" s="488"/>
      <c r="QXR293" s="468"/>
      <c r="QXS293" s="469"/>
      <c r="QXT293" s="470"/>
      <c r="QXU293" s="470"/>
      <c r="QXV293" s="306"/>
      <c r="QXW293" s="317"/>
      <c r="QXX293" s="471"/>
      <c r="QXY293" s="472"/>
      <c r="QXZ293" s="471"/>
      <c r="QYA293" s="473"/>
      <c r="QYB293" s="474"/>
      <c r="QYC293" s="475"/>
      <c r="QYD293" s="476"/>
      <c r="QYE293" s="477"/>
      <c r="QYF293" s="475"/>
      <c r="QYG293" s="478"/>
      <c r="QYH293" s="479"/>
      <c r="QYI293" s="480"/>
      <c r="QYJ293" s="481"/>
      <c r="QYK293" s="481"/>
      <c r="QYL293" s="482"/>
      <c r="QYM293" s="189"/>
      <c r="QYN293" s="189"/>
      <c r="QYO293" s="483"/>
      <c r="QYP293" s="306"/>
      <c r="QYQ293" s="484"/>
      <c r="QYR293" s="306"/>
      <c r="QYS293" s="267"/>
      <c r="QYT293" s="268"/>
      <c r="QYU293" s="306"/>
      <c r="QYV293" s="268"/>
      <c r="QYW293" s="306"/>
      <c r="QYX293" s="485"/>
      <c r="QYY293" s="306"/>
      <c r="QYZ293" s="486"/>
      <c r="QZA293" s="487"/>
      <c r="QZB293" s="488"/>
      <c r="QZC293" s="489"/>
      <c r="QZD293" s="488"/>
      <c r="QZE293" s="468"/>
      <c r="QZF293" s="469"/>
      <c r="QZG293" s="470"/>
      <c r="QZH293" s="470"/>
      <c r="QZI293" s="306"/>
      <c r="QZJ293" s="317"/>
      <c r="QZK293" s="471"/>
      <c r="QZL293" s="472"/>
      <c r="QZM293" s="471"/>
      <c r="QZN293" s="473"/>
      <c r="QZO293" s="474"/>
      <c r="QZP293" s="475"/>
      <c r="QZQ293" s="476"/>
      <c r="QZR293" s="477"/>
      <c r="QZS293" s="475"/>
      <c r="QZT293" s="478"/>
      <c r="QZU293" s="479"/>
      <c r="QZV293" s="480"/>
      <c r="QZW293" s="481"/>
      <c r="QZX293" s="481"/>
      <c r="QZY293" s="482"/>
      <c r="QZZ293" s="189"/>
      <c r="RAA293" s="189"/>
      <c r="RAB293" s="483"/>
      <c r="RAC293" s="306"/>
      <c r="RAD293" s="484"/>
      <c r="RAE293" s="306"/>
      <c r="RAF293" s="267"/>
      <c r="RAG293" s="268"/>
      <c r="RAH293" s="306"/>
      <c r="RAI293" s="268"/>
      <c r="RAJ293" s="306"/>
      <c r="RAK293" s="485"/>
      <c r="RAL293" s="306"/>
      <c r="RAM293" s="486"/>
      <c r="RAN293" s="487"/>
      <c r="RAO293" s="488"/>
      <c r="RAP293" s="489"/>
      <c r="RAQ293" s="488"/>
      <c r="RAR293" s="468"/>
      <c r="RAS293" s="469"/>
      <c r="RAT293" s="470"/>
      <c r="RAU293" s="470"/>
      <c r="RAV293" s="306"/>
      <c r="RAW293" s="317"/>
      <c r="RAX293" s="471"/>
      <c r="RAY293" s="472"/>
      <c r="RAZ293" s="471"/>
      <c r="RBA293" s="473"/>
      <c r="RBB293" s="474"/>
      <c r="RBC293" s="475"/>
      <c r="RBD293" s="476"/>
      <c r="RBE293" s="477"/>
      <c r="RBF293" s="475"/>
      <c r="RBG293" s="478"/>
      <c r="RBH293" s="479"/>
      <c r="RBI293" s="480"/>
      <c r="RBJ293" s="481"/>
      <c r="RBK293" s="481"/>
      <c r="RBL293" s="482"/>
      <c r="RBM293" s="189"/>
      <c r="RBN293" s="189"/>
      <c r="RBO293" s="483"/>
      <c r="RBP293" s="306"/>
      <c r="RBQ293" s="484"/>
      <c r="RBR293" s="306"/>
      <c r="RBS293" s="267"/>
      <c r="RBT293" s="268"/>
      <c r="RBU293" s="306"/>
      <c r="RBV293" s="268"/>
      <c r="RBW293" s="306"/>
      <c r="RBX293" s="485"/>
      <c r="RBY293" s="306"/>
      <c r="RBZ293" s="486"/>
      <c r="RCA293" s="487"/>
      <c r="RCB293" s="488"/>
      <c r="RCC293" s="489"/>
      <c r="RCD293" s="488"/>
      <c r="RCE293" s="468"/>
      <c r="RCF293" s="469"/>
      <c r="RCG293" s="470"/>
      <c r="RCH293" s="470"/>
      <c r="RCI293" s="306"/>
      <c r="RCJ293" s="317"/>
      <c r="RCK293" s="471"/>
      <c r="RCL293" s="472"/>
      <c r="RCM293" s="471"/>
      <c r="RCN293" s="473"/>
      <c r="RCO293" s="474"/>
      <c r="RCP293" s="475"/>
      <c r="RCQ293" s="476"/>
      <c r="RCR293" s="477"/>
      <c r="RCS293" s="475"/>
      <c r="RCT293" s="478"/>
      <c r="RCU293" s="479"/>
      <c r="RCV293" s="480"/>
      <c r="RCW293" s="481"/>
      <c r="RCX293" s="481"/>
      <c r="RCY293" s="482"/>
      <c r="RCZ293" s="189"/>
      <c r="RDA293" s="189"/>
      <c r="RDB293" s="483"/>
      <c r="RDC293" s="306"/>
      <c r="RDD293" s="484"/>
      <c r="RDE293" s="306"/>
      <c r="RDF293" s="267"/>
      <c r="RDG293" s="268"/>
      <c r="RDH293" s="306"/>
      <c r="RDI293" s="268"/>
      <c r="RDJ293" s="306"/>
      <c r="RDK293" s="485"/>
      <c r="RDL293" s="306"/>
      <c r="RDM293" s="486"/>
      <c r="RDN293" s="487"/>
      <c r="RDO293" s="488"/>
      <c r="RDP293" s="489"/>
      <c r="RDQ293" s="488"/>
      <c r="RDR293" s="468"/>
      <c r="RDS293" s="469"/>
      <c r="RDT293" s="470"/>
      <c r="RDU293" s="470"/>
      <c r="RDV293" s="306"/>
      <c r="RDW293" s="317"/>
      <c r="RDX293" s="471"/>
      <c r="RDY293" s="472"/>
      <c r="RDZ293" s="471"/>
      <c r="REA293" s="473"/>
      <c r="REB293" s="474"/>
      <c r="REC293" s="475"/>
      <c r="RED293" s="476"/>
      <c r="REE293" s="477"/>
      <c r="REF293" s="475"/>
      <c r="REG293" s="478"/>
      <c r="REH293" s="479"/>
      <c r="REI293" s="480"/>
      <c r="REJ293" s="481"/>
      <c r="REK293" s="481"/>
      <c r="REL293" s="482"/>
      <c r="REM293" s="189"/>
      <c r="REN293" s="189"/>
      <c r="REO293" s="483"/>
      <c r="REP293" s="306"/>
      <c r="REQ293" s="484"/>
      <c r="RER293" s="306"/>
      <c r="RES293" s="267"/>
      <c r="RET293" s="268"/>
      <c r="REU293" s="306"/>
      <c r="REV293" s="268"/>
      <c r="REW293" s="306"/>
      <c r="REX293" s="485"/>
      <c r="REY293" s="306"/>
      <c r="REZ293" s="486"/>
      <c r="RFA293" s="487"/>
      <c r="RFB293" s="488"/>
      <c r="RFC293" s="489"/>
      <c r="RFD293" s="488"/>
      <c r="RFE293" s="468"/>
      <c r="RFF293" s="469"/>
      <c r="RFG293" s="470"/>
      <c r="RFH293" s="470"/>
      <c r="RFI293" s="306"/>
      <c r="RFJ293" s="317"/>
      <c r="RFK293" s="471"/>
      <c r="RFL293" s="472"/>
      <c r="RFM293" s="471"/>
      <c r="RFN293" s="473"/>
      <c r="RFO293" s="474"/>
      <c r="RFP293" s="475"/>
      <c r="RFQ293" s="476"/>
      <c r="RFR293" s="477"/>
      <c r="RFS293" s="475"/>
      <c r="RFT293" s="478"/>
      <c r="RFU293" s="479"/>
      <c r="RFV293" s="480"/>
      <c r="RFW293" s="481"/>
      <c r="RFX293" s="481"/>
      <c r="RFY293" s="482"/>
      <c r="RFZ293" s="189"/>
      <c r="RGA293" s="189"/>
      <c r="RGB293" s="483"/>
      <c r="RGC293" s="306"/>
      <c r="RGD293" s="484"/>
      <c r="RGE293" s="306"/>
      <c r="RGF293" s="267"/>
      <c r="RGG293" s="268"/>
      <c r="RGH293" s="306"/>
      <c r="RGI293" s="268"/>
      <c r="RGJ293" s="306"/>
      <c r="RGK293" s="485"/>
      <c r="RGL293" s="306"/>
      <c r="RGM293" s="486"/>
      <c r="RGN293" s="487"/>
      <c r="RGO293" s="488"/>
      <c r="RGP293" s="489"/>
      <c r="RGQ293" s="488"/>
      <c r="RGR293" s="468"/>
      <c r="RGS293" s="469"/>
      <c r="RGT293" s="470"/>
      <c r="RGU293" s="470"/>
      <c r="RGV293" s="306"/>
      <c r="RGW293" s="317"/>
      <c r="RGX293" s="471"/>
      <c r="RGY293" s="472"/>
      <c r="RGZ293" s="471"/>
      <c r="RHA293" s="473"/>
      <c r="RHB293" s="474"/>
      <c r="RHC293" s="475"/>
      <c r="RHD293" s="476"/>
      <c r="RHE293" s="477"/>
      <c r="RHF293" s="475"/>
      <c r="RHG293" s="478"/>
      <c r="RHH293" s="479"/>
      <c r="RHI293" s="480"/>
      <c r="RHJ293" s="481"/>
      <c r="RHK293" s="481"/>
      <c r="RHL293" s="482"/>
      <c r="RHM293" s="189"/>
      <c r="RHN293" s="189"/>
      <c r="RHO293" s="483"/>
      <c r="RHP293" s="306"/>
      <c r="RHQ293" s="484"/>
      <c r="RHR293" s="306"/>
      <c r="RHS293" s="267"/>
      <c r="RHT293" s="268"/>
      <c r="RHU293" s="306"/>
      <c r="RHV293" s="268"/>
      <c r="RHW293" s="306"/>
      <c r="RHX293" s="485"/>
      <c r="RHY293" s="306"/>
      <c r="RHZ293" s="486"/>
      <c r="RIA293" s="487"/>
      <c r="RIB293" s="488"/>
      <c r="RIC293" s="489"/>
      <c r="RID293" s="488"/>
      <c r="RIE293" s="468"/>
      <c r="RIF293" s="469"/>
      <c r="RIG293" s="470"/>
      <c r="RIH293" s="470"/>
      <c r="RII293" s="306"/>
      <c r="RIJ293" s="317"/>
      <c r="RIK293" s="471"/>
      <c r="RIL293" s="472"/>
      <c r="RIM293" s="471"/>
      <c r="RIN293" s="473"/>
      <c r="RIO293" s="474"/>
      <c r="RIP293" s="475"/>
      <c r="RIQ293" s="476"/>
      <c r="RIR293" s="477"/>
      <c r="RIS293" s="475"/>
      <c r="RIT293" s="478"/>
      <c r="RIU293" s="479"/>
      <c r="RIV293" s="480"/>
      <c r="RIW293" s="481"/>
      <c r="RIX293" s="481"/>
      <c r="RIY293" s="482"/>
      <c r="RIZ293" s="189"/>
      <c r="RJA293" s="189"/>
      <c r="RJB293" s="483"/>
      <c r="RJC293" s="306"/>
      <c r="RJD293" s="484"/>
      <c r="RJE293" s="306"/>
      <c r="RJF293" s="267"/>
      <c r="RJG293" s="268"/>
      <c r="RJH293" s="306"/>
      <c r="RJI293" s="268"/>
      <c r="RJJ293" s="306"/>
      <c r="RJK293" s="485"/>
      <c r="RJL293" s="306"/>
      <c r="RJM293" s="486"/>
      <c r="RJN293" s="487"/>
      <c r="RJO293" s="488"/>
      <c r="RJP293" s="489"/>
      <c r="RJQ293" s="488"/>
      <c r="RJR293" s="468"/>
      <c r="RJS293" s="469"/>
      <c r="RJT293" s="470"/>
      <c r="RJU293" s="470"/>
      <c r="RJV293" s="306"/>
      <c r="RJW293" s="317"/>
      <c r="RJX293" s="471"/>
      <c r="RJY293" s="472"/>
      <c r="RJZ293" s="471"/>
      <c r="RKA293" s="473"/>
      <c r="RKB293" s="474"/>
      <c r="RKC293" s="475"/>
      <c r="RKD293" s="476"/>
      <c r="RKE293" s="477"/>
      <c r="RKF293" s="475"/>
      <c r="RKG293" s="478"/>
      <c r="RKH293" s="479"/>
      <c r="RKI293" s="480"/>
      <c r="RKJ293" s="481"/>
      <c r="RKK293" s="481"/>
      <c r="RKL293" s="482"/>
      <c r="RKM293" s="189"/>
      <c r="RKN293" s="189"/>
      <c r="RKO293" s="483"/>
      <c r="RKP293" s="306"/>
      <c r="RKQ293" s="484"/>
      <c r="RKR293" s="306"/>
      <c r="RKS293" s="267"/>
      <c r="RKT293" s="268"/>
      <c r="RKU293" s="306"/>
      <c r="RKV293" s="268"/>
      <c r="RKW293" s="306"/>
      <c r="RKX293" s="485"/>
      <c r="RKY293" s="306"/>
      <c r="RKZ293" s="486"/>
      <c r="RLA293" s="487"/>
      <c r="RLB293" s="488"/>
      <c r="RLC293" s="489"/>
      <c r="RLD293" s="488"/>
      <c r="RLE293" s="468"/>
      <c r="RLF293" s="469"/>
      <c r="RLG293" s="470"/>
      <c r="RLH293" s="470"/>
      <c r="RLI293" s="306"/>
      <c r="RLJ293" s="317"/>
      <c r="RLK293" s="471"/>
      <c r="RLL293" s="472"/>
      <c r="RLM293" s="471"/>
      <c r="RLN293" s="473"/>
      <c r="RLO293" s="474"/>
      <c r="RLP293" s="475"/>
      <c r="RLQ293" s="476"/>
      <c r="RLR293" s="477"/>
      <c r="RLS293" s="475"/>
      <c r="RLT293" s="478"/>
      <c r="RLU293" s="479"/>
      <c r="RLV293" s="480"/>
      <c r="RLW293" s="481"/>
      <c r="RLX293" s="481"/>
      <c r="RLY293" s="482"/>
      <c r="RLZ293" s="189"/>
      <c r="RMA293" s="189"/>
      <c r="RMB293" s="483"/>
      <c r="RMC293" s="306"/>
      <c r="RMD293" s="484"/>
      <c r="RME293" s="306"/>
      <c r="RMF293" s="267"/>
      <c r="RMG293" s="268"/>
      <c r="RMH293" s="306"/>
      <c r="RMI293" s="268"/>
      <c r="RMJ293" s="306"/>
      <c r="RMK293" s="485"/>
      <c r="RML293" s="306"/>
      <c r="RMM293" s="486"/>
      <c r="RMN293" s="487"/>
      <c r="RMO293" s="488"/>
      <c r="RMP293" s="489"/>
      <c r="RMQ293" s="488"/>
      <c r="RMR293" s="468"/>
      <c r="RMS293" s="469"/>
      <c r="RMT293" s="470"/>
      <c r="RMU293" s="470"/>
      <c r="RMV293" s="306"/>
      <c r="RMW293" s="317"/>
      <c r="RMX293" s="471"/>
      <c r="RMY293" s="472"/>
      <c r="RMZ293" s="471"/>
      <c r="RNA293" s="473"/>
      <c r="RNB293" s="474"/>
      <c r="RNC293" s="475"/>
      <c r="RND293" s="476"/>
      <c r="RNE293" s="477"/>
      <c r="RNF293" s="475"/>
      <c r="RNG293" s="478"/>
      <c r="RNH293" s="479"/>
      <c r="RNI293" s="480"/>
      <c r="RNJ293" s="481"/>
      <c r="RNK293" s="481"/>
      <c r="RNL293" s="482"/>
      <c r="RNM293" s="189"/>
      <c r="RNN293" s="189"/>
      <c r="RNO293" s="483"/>
      <c r="RNP293" s="306"/>
      <c r="RNQ293" s="484"/>
      <c r="RNR293" s="306"/>
      <c r="RNS293" s="267"/>
      <c r="RNT293" s="268"/>
      <c r="RNU293" s="306"/>
      <c r="RNV293" s="268"/>
      <c r="RNW293" s="306"/>
      <c r="RNX293" s="485"/>
      <c r="RNY293" s="306"/>
      <c r="RNZ293" s="486"/>
      <c r="ROA293" s="487"/>
      <c r="ROB293" s="488"/>
      <c r="ROC293" s="489"/>
      <c r="ROD293" s="488"/>
      <c r="ROE293" s="468"/>
      <c r="ROF293" s="469"/>
      <c r="ROG293" s="470"/>
      <c r="ROH293" s="470"/>
      <c r="ROI293" s="306"/>
      <c r="ROJ293" s="317"/>
      <c r="ROK293" s="471"/>
      <c r="ROL293" s="472"/>
      <c r="ROM293" s="471"/>
      <c r="RON293" s="473"/>
      <c r="ROO293" s="474"/>
      <c r="ROP293" s="475"/>
      <c r="ROQ293" s="476"/>
      <c r="ROR293" s="477"/>
      <c r="ROS293" s="475"/>
      <c r="ROT293" s="478"/>
      <c r="ROU293" s="479"/>
      <c r="ROV293" s="480"/>
      <c r="ROW293" s="481"/>
      <c r="ROX293" s="481"/>
      <c r="ROY293" s="482"/>
      <c r="ROZ293" s="189"/>
      <c r="RPA293" s="189"/>
      <c r="RPB293" s="483"/>
      <c r="RPC293" s="306"/>
      <c r="RPD293" s="484"/>
      <c r="RPE293" s="306"/>
      <c r="RPF293" s="267"/>
      <c r="RPG293" s="268"/>
      <c r="RPH293" s="306"/>
      <c r="RPI293" s="268"/>
      <c r="RPJ293" s="306"/>
      <c r="RPK293" s="485"/>
      <c r="RPL293" s="306"/>
      <c r="RPM293" s="486"/>
      <c r="RPN293" s="487"/>
      <c r="RPO293" s="488"/>
      <c r="RPP293" s="489"/>
      <c r="RPQ293" s="488"/>
      <c r="RPR293" s="468"/>
      <c r="RPS293" s="469"/>
      <c r="RPT293" s="470"/>
      <c r="RPU293" s="470"/>
      <c r="RPV293" s="306"/>
      <c r="RPW293" s="317"/>
      <c r="RPX293" s="471"/>
      <c r="RPY293" s="472"/>
      <c r="RPZ293" s="471"/>
      <c r="RQA293" s="473"/>
      <c r="RQB293" s="474"/>
      <c r="RQC293" s="475"/>
      <c r="RQD293" s="476"/>
      <c r="RQE293" s="477"/>
      <c r="RQF293" s="475"/>
      <c r="RQG293" s="478"/>
      <c r="RQH293" s="479"/>
      <c r="RQI293" s="480"/>
      <c r="RQJ293" s="481"/>
      <c r="RQK293" s="481"/>
      <c r="RQL293" s="482"/>
      <c r="RQM293" s="189"/>
      <c r="RQN293" s="189"/>
      <c r="RQO293" s="483"/>
      <c r="RQP293" s="306"/>
      <c r="RQQ293" s="484"/>
      <c r="RQR293" s="306"/>
      <c r="RQS293" s="267"/>
      <c r="RQT293" s="268"/>
      <c r="RQU293" s="306"/>
      <c r="RQV293" s="268"/>
      <c r="RQW293" s="306"/>
      <c r="RQX293" s="485"/>
      <c r="RQY293" s="306"/>
      <c r="RQZ293" s="486"/>
      <c r="RRA293" s="487"/>
      <c r="RRB293" s="488"/>
      <c r="RRC293" s="489"/>
      <c r="RRD293" s="488"/>
      <c r="RRE293" s="468"/>
      <c r="RRF293" s="469"/>
      <c r="RRG293" s="470"/>
      <c r="RRH293" s="470"/>
      <c r="RRI293" s="306"/>
      <c r="RRJ293" s="317"/>
      <c r="RRK293" s="471"/>
      <c r="RRL293" s="472"/>
      <c r="RRM293" s="471"/>
      <c r="RRN293" s="473"/>
      <c r="RRO293" s="474"/>
      <c r="RRP293" s="475"/>
      <c r="RRQ293" s="476"/>
      <c r="RRR293" s="477"/>
      <c r="RRS293" s="475"/>
      <c r="RRT293" s="478"/>
      <c r="RRU293" s="479"/>
      <c r="RRV293" s="480"/>
      <c r="RRW293" s="481"/>
      <c r="RRX293" s="481"/>
      <c r="RRY293" s="482"/>
      <c r="RRZ293" s="189"/>
      <c r="RSA293" s="189"/>
      <c r="RSB293" s="483"/>
      <c r="RSC293" s="306"/>
      <c r="RSD293" s="484"/>
      <c r="RSE293" s="306"/>
      <c r="RSF293" s="267"/>
      <c r="RSG293" s="268"/>
      <c r="RSH293" s="306"/>
      <c r="RSI293" s="268"/>
      <c r="RSJ293" s="306"/>
      <c r="RSK293" s="485"/>
      <c r="RSL293" s="306"/>
      <c r="RSM293" s="486"/>
      <c r="RSN293" s="487"/>
      <c r="RSO293" s="488"/>
      <c r="RSP293" s="489"/>
      <c r="RSQ293" s="488"/>
      <c r="RSR293" s="468"/>
      <c r="RSS293" s="469"/>
      <c r="RST293" s="470"/>
      <c r="RSU293" s="470"/>
      <c r="RSV293" s="306"/>
      <c r="RSW293" s="317"/>
      <c r="RSX293" s="471"/>
      <c r="RSY293" s="472"/>
      <c r="RSZ293" s="471"/>
      <c r="RTA293" s="473"/>
      <c r="RTB293" s="474"/>
      <c r="RTC293" s="475"/>
      <c r="RTD293" s="476"/>
      <c r="RTE293" s="477"/>
      <c r="RTF293" s="475"/>
      <c r="RTG293" s="478"/>
      <c r="RTH293" s="479"/>
      <c r="RTI293" s="480"/>
      <c r="RTJ293" s="481"/>
      <c r="RTK293" s="481"/>
      <c r="RTL293" s="482"/>
      <c r="RTM293" s="189"/>
      <c r="RTN293" s="189"/>
      <c r="RTO293" s="483"/>
      <c r="RTP293" s="306"/>
      <c r="RTQ293" s="484"/>
      <c r="RTR293" s="306"/>
      <c r="RTS293" s="267"/>
      <c r="RTT293" s="268"/>
      <c r="RTU293" s="306"/>
      <c r="RTV293" s="268"/>
      <c r="RTW293" s="306"/>
      <c r="RTX293" s="485"/>
      <c r="RTY293" s="306"/>
      <c r="RTZ293" s="486"/>
      <c r="RUA293" s="487"/>
      <c r="RUB293" s="488"/>
      <c r="RUC293" s="489"/>
      <c r="RUD293" s="488"/>
      <c r="RUE293" s="468"/>
      <c r="RUF293" s="469"/>
      <c r="RUG293" s="470"/>
      <c r="RUH293" s="470"/>
      <c r="RUI293" s="306"/>
      <c r="RUJ293" s="317"/>
      <c r="RUK293" s="471"/>
      <c r="RUL293" s="472"/>
      <c r="RUM293" s="471"/>
      <c r="RUN293" s="473"/>
      <c r="RUO293" s="474"/>
      <c r="RUP293" s="475"/>
      <c r="RUQ293" s="476"/>
      <c r="RUR293" s="477"/>
      <c r="RUS293" s="475"/>
      <c r="RUT293" s="478"/>
      <c r="RUU293" s="479"/>
      <c r="RUV293" s="480"/>
      <c r="RUW293" s="481"/>
      <c r="RUX293" s="481"/>
      <c r="RUY293" s="482"/>
      <c r="RUZ293" s="189"/>
      <c r="RVA293" s="189"/>
      <c r="RVB293" s="483"/>
      <c r="RVC293" s="306"/>
      <c r="RVD293" s="484"/>
      <c r="RVE293" s="306"/>
      <c r="RVF293" s="267"/>
      <c r="RVG293" s="268"/>
      <c r="RVH293" s="306"/>
      <c r="RVI293" s="268"/>
      <c r="RVJ293" s="306"/>
      <c r="RVK293" s="485"/>
      <c r="RVL293" s="306"/>
      <c r="RVM293" s="486"/>
      <c r="RVN293" s="487"/>
      <c r="RVO293" s="488"/>
      <c r="RVP293" s="489"/>
      <c r="RVQ293" s="488"/>
      <c r="RVR293" s="468"/>
      <c r="RVS293" s="469"/>
      <c r="RVT293" s="470"/>
      <c r="RVU293" s="470"/>
      <c r="RVV293" s="306"/>
      <c r="RVW293" s="317"/>
      <c r="RVX293" s="471"/>
      <c r="RVY293" s="472"/>
      <c r="RVZ293" s="471"/>
      <c r="RWA293" s="473"/>
      <c r="RWB293" s="474"/>
      <c r="RWC293" s="475"/>
      <c r="RWD293" s="476"/>
      <c r="RWE293" s="477"/>
      <c r="RWF293" s="475"/>
      <c r="RWG293" s="478"/>
      <c r="RWH293" s="479"/>
      <c r="RWI293" s="480"/>
      <c r="RWJ293" s="481"/>
      <c r="RWK293" s="481"/>
      <c r="RWL293" s="482"/>
      <c r="RWM293" s="189"/>
      <c r="RWN293" s="189"/>
      <c r="RWO293" s="483"/>
      <c r="RWP293" s="306"/>
      <c r="RWQ293" s="484"/>
      <c r="RWR293" s="306"/>
      <c r="RWS293" s="267"/>
      <c r="RWT293" s="268"/>
      <c r="RWU293" s="306"/>
      <c r="RWV293" s="268"/>
      <c r="RWW293" s="306"/>
      <c r="RWX293" s="485"/>
      <c r="RWY293" s="306"/>
      <c r="RWZ293" s="486"/>
      <c r="RXA293" s="487"/>
      <c r="RXB293" s="488"/>
      <c r="RXC293" s="489"/>
      <c r="RXD293" s="488"/>
      <c r="RXE293" s="468"/>
      <c r="RXF293" s="469"/>
      <c r="RXG293" s="470"/>
      <c r="RXH293" s="470"/>
      <c r="RXI293" s="306"/>
      <c r="RXJ293" s="317"/>
      <c r="RXK293" s="471"/>
      <c r="RXL293" s="472"/>
      <c r="RXM293" s="471"/>
      <c r="RXN293" s="473"/>
      <c r="RXO293" s="474"/>
      <c r="RXP293" s="475"/>
      <c r="RXQ293" s="476"/>
      <c r="RXR293" s="477"/>
      <c r="RXS293" s="475"/>
      <c r="RXT293" s="478"/>
      <c r="RXU293" s="479"/>
      <c r="RXV293" s="480"/>
      <c r="RXW293" s="481"/>
      <c r="RXX293" s="481"/>
      <c r="RXY293" s="482"/>
      <c r="RXZ293" s="189"/>
      <c r="RYA293" s="189"/>
      <c r="RYB293" s="483"/>
      <c r="RYC293" s="306"/>
      <c r="RYD293" s="484"/>
      <c r="RYE293" s="306"/>
      <c r="RYF293" s="267"/>
      <c r="RYG293" s="268"/>
      <c r="RYH293" s="306"/>
      <c r="RYI293" s="268"/>
      <c r="RYJ293" s="306"/>
      <c r="RYK293" s="485"/>
      <c r="RYL293" s="306"/>
      <c r="RYM293" s="486"/>
      <c r="RYN293" s="487"/>
      <c r="RYO293" s="488"/>
      <c r="RYP293" s="489"/>
      <c r="RYQ293" s="488"/>
      <c r="RYR293" s="468"/>
      <c r="RYS293" s="469"/>
      <c r="RYT293" s="470"/>
      <c r="RYU293" s="470"/>
      <c r="RYV293" s="306"/>
      <c r="RYW293" s="317"/>
      <c r="RYX293" s="471"/>
      <c r="RYY293" s="472"/>
      <c r="RYZ293" s="471"/>
      <c r="RZA293" s="473"/>
      <c r="RZB293" s="474"/>
      <c r="RZC293" s="475"/>
      <c r="RZD293" s="476"/>
      <c r="RZE293" s="477"/>
      <c r="RZF293" s="475"/>
      <c r="RZG293" s="478"/>
      <c r="RZH293" s="479"/>
      <c r="RZI293" s="480"/>
      <c r="RZJ293" s="481"/>
      <c r="RZK293" s="481"/>
      <c r="RZL293" s="482"/>
      <c r="RZM293" s="189"/>
      <c r="RZN293" s="189"/>
      <c r="RZO293" s="483"/>
      <c r="RZP293" s="306"/>
      <c r="RZQ293" s="484"/>
      <c r="RZR293" s="306"/>
      <c r="RZS293" s="267"/>
      <c r="RZT293" s="268"/>
      <c r="RZU293" s="306"/>
      <c r="RZV293" s="268"/>
      <c r="RZW293" s="306"/>
      <c r="RZX293" s="485"/>
      <c r="RZY293" s="306"/>
      <c r="RZZ293" s="486"/>
      <c r="SAA293" s="487"/>
      <c r="SAB293" s="488"/>
      <c r="SAC293" s="489"/>
      <c r="SAD293" s="488"/>
      <c r="SAE293" s="468"/>
      <c r="SAF293" s="469"/>
      <c r="SAG293" s="470"/>
      <c r="SAH293" s="470"/>
      <c r="SAI293" s="306"/>
      <c r="SAJ293" s="317"/>
      <c r="SAK293" s="471"/>
      <c r="SAL293" s="472"/>
      <c r="SAM293" s="471"/>
      <c r="SAN293" s="473"/>
      <c r="SAO293" s="474"/>
      <c r="SAP293" s="475"/>
      <c r="SAQ293" s="476"/>
      <c r="SAR293" s="477"/>
      <c r="SAS293" s="475"/>
      <c r="SAT293" s="478"/>
      <c r="SAU293" s="479"/>
      <c r="SAV293" s="480"/>
      <c r="SAW293" s="481"/>
      <c r="SAX293" s="481"/>
      <c r="SAY293" s="482"/>
      <c r="SAZ293" s="189"/>
      <c r="SBA293" s="189"/>
      <c r="SBB293" s="483"/>
      <c r="SBC293" s="306"/>
      <c r="SBD293" s="484"/>
      <c r="SBE293" s="306"/>
      <c r="SBF293" s="267"/>
      <c r="SBG293" s="268"/>
      <c r="SBH293" s="306"/>
      <c r="SBI293" s="268"/>
      <c r="SBJ293" s="306"/>
      <c r="SBK293" s="485"/>
      <c r="SBL293" s="306"/>
      <c r="SBM293" s="486"/>
      <c r="SBN293" s="487"/>
      <c r="SBO293" s="488"/>
      <c r="SBP293" s="489"/>
      <c r="SBQ293" s="488"/>
      <c r="SBR293" s="468"/>
      <c r="SBS293" s="469"/>
      <c r="SBT293" s="470"/>
      <c r="SBU293" s="470"/>
      <c r="SBV293" s="306"/>
      <c r="SBW293" s="317"/>
      <c r="SBX293" s="471"/>
      <c r="SBY293" s="472"/>
      <c r="SBZ293" s="471"/>
      <c r="SCA293" s="473"/>
      <c r="SCB293" s="474"/>
      <c r="SCC293" s="475"/>
      <c r="SCD293" s="476"/>
      <c r="SCE293" s="477"/>
      <c r="SCF293" s="475"/>
      <c r="SCG293" s="478"/>
      <c r="SCH293" s="479"/>
      <c r="SCI293" s="480"/>
      <c r="SCJ293" s="481"/>
      <c r="SCK293" s="481"/>
      <c r="SCL293" s="482"/>
      <c r="SCM293" s="189"/>
      <c r="SCN293" s="189"/>
      <c r="SCO293" s="483"/>
      <c r="SCP293" s="306"/>
      <c r="SCQ293" s="484"/>
      <c r="SCR293" s="306"/>
      <c r="SCS293" s="267"/>
      <c r="SCT293" s="268"/>
      <c r="SCU293" s="306"/>
      <c r="SCV293" s="268"/>
      <c r="SCW293" s="306"/>
      <c r="SCX293" s="485"/>
      <c r="SCY293" s="306"/>
      <c r="SCZ293" s="486"/>
      <c r="SDA293" s="487"/>
      <c r="SDB293" s="488"/>
      <c r="SDC293" s="489"/>
      <c r="SDD293" s="488"/>
      <c r="SDE293" s="468"/>
      <c r="SDF293" s="469"/>
      <c r="SDG293" s="470"/>
      <c r="SDH293" s="470"/>
      <c r="SDI293" s="306"/>
      <c r="SDJ293" s="317"/>
      <c r="SDK293" s="471"/>
      <c r="SDL293" s="472"/>
      <c r="SDM293" s="471"/>
      <c r="SDN293" s="473"/>
      <c r="SDO293" s="474"/>
      <c r="SDP293" s="475"/>
      <c r="SDQ293" s="476"/>
      <c r="SDR293" s="477"/>
      <c r="SDS293" s="475"/>
      <c r="SDT293" s="478"/>
      <c r="SDU293" s="479"/>
      <c r="SDV293" s="480"/>
      <c r="SDW293" s="481"/>
      <c r="SDX293" s="481"/>
      <c r="SDY293" s="482"/>
      <c r="SDZ293" s="189"/>
      <c r="SEA293" s="189"/>
      <c r="SEB293" s="483"/>
      <c r="SEC293" s="306"/>
      <c r="SED293" s="484"/>
      <c r="SEE293" s="306"/>
      <c r="SEF293" s="267"/>
      <c r="SEG293" s="268"/>
      <c r="SEH293" s="306"/>
      <c r="SEI293" s="268"/>
      <c r="SEJ293" s="306"/>
      <c r="SEK293" s="485"/>
      <c r="SEL293" s="306"/>
      <c r="SEM293" s="486"/>
      <c r="SEN293" s="487"/>
      <c r="SEO293" s="488"/>
      <c r="SEP293" s="489"/>
      <c r="SEQ293" s="488"/>
      <c r="SER293" s="468"/>
      <c r="SES293" s="469"/>
      <c r="SET293" s="470"/>
      <c r="SEU293" s="470"/>
      <c r="SEV293" s="306"/>
      <c r="SEW293" s="317"/>
      <c r="SEX293" s="471"/>
      <c r="SEY293" s="472"/>
      <c r="SEZ293" s="471"/>
      <c r="SFA293" s="473"/>
      <c r="SFB293" s="474"/>
      <c r="SFC293" s="475"/>
      <c r="SFD293" s="476"/>
      <c r="SFE293" s="477"/>
      <c r="SFF293" s="475"/>
      <c r="SFG293" s="478"/>
      <c r="SFH293" s="479"/>
      <c r="SFI293" s="480"/>
      <c r="SFJ293" s="481"/>
      <c r="SFK293" s="481"/>
      <c r="SFL293" s="482"/>
      <c r="SFM293" s="189"/>
      <c r="SFN293" s="189"/>
      <c r="SFO293" s="483"/>
      <c r="SFP293" s="306"/>
      <c r="SFQ293" s="484"/>
      <c r="SFR293" s="306"/>
      <c r="SFS293" s="267"/>
      <c r="SFT293" s="268"/>
      <c r="SFU293" s="306"/>
      <c r="SFV293" s="268"/>
      <c r="SFW293" s="306"/>
      <c r="SFX293" s="485"/>
      <c r="SFY293" s="306"/>
      <c r="SFZ293" s="486"/>
      <c r="SGA293" s="487"/>
      <c r="SGB293" s="488"/>
      <c r="SGC293" s="489"/>
      <c r="SGD293" s="488"/>
      <c r="SGE293" s="468"/>
      <c r="SGF293" s="469"/>
      <c r="SGG293" s="470"/>
      <c r="SGH293" s="470"/>
      <c r="SGI293" s="306"/>
      <c r="SGJ293" s="317"/>
      <c r="SGK293" s="471"/>
      <c r="SGL293" s="472"/>
      <c r="SGM293" s="471"/>
      <c r="SGN293" s="473"/>
      <c r="SGO293" s="474"/>
      <c r="SGP293" s="475"/>
      <c r="SGQ293" s="476"/>
      <c r="SGR293" s="477"/>
      <c r="SGS293" s="475"/>
      <c r="SGT293" s="478"/>
      <c r="SGU293" s="479"/>
      <c r="SGV293" s="480"/>
      <c r="SGW293" s="481"/>
      <c r="SGX293" s="481"/>
      <c r="SGY293" s="482"/>
      <c r="SGZ293" s="189"/>
      <c r="SHA293" s="189"/>
      <c r="SHB293" s="483"/>
      <c r="SHC293" s="306"/>
      <c r="SHD293" s="484"/>
      <c r="SHE293" s="306"/>
      <c r="SHF293" s="267"/>
      <c r="SHG293" s="268"/>
      <c r="SHH293" s="306"/>
      <c r="SHI293" s="268"/>
      <c r="SHJ293" s="306"/>
      <c r="SHK293" s="485"/>
      <c r="SHL293" s="306"/>
      <c r="SHM293" s="486"/>
      <c r="SHN293" s="487"/>
      <c r="SHO293" s="488"/>
      <c r="SHP293" s="489"/>
      <c r="SHQ293" s="488"/>
      <c r="SHR293" s="468"/>
      <c r="SHS293" s="469"/>
      <c r="SHT293" s="470"/>
      <c r="SHU293" s="470"/>
      <c r="SHV293" s="306"/>
      <c r="SHW293" s="317"/>
      <c r="SHX293" s="471"/>
      <c r="SHY293" s="472"/>
      <c r="SHZ293" s="471"/>
      <c r="SIA293" s="473"/>
      <c r="SIB293" s="474"/>
      <c r="SIC293" s="475"/>
      <c r="SID293" s="476"/>
      <c r="SIE293" s="477"/>
      <c r="SIF293" s="475"/>
      <c r="SIG293" s="478"/>
      <c r="SIH293" s="479"/>
      <c r="SII293" s="480"/>
      <c r="SIJ293" s="481"/>
      <c r="SIK293" s="481"/>
      <c r="SIL293" s="482"/>
      <c r="SIM293" s="189"/>
      <c r="SIN293" s="189"/>
      <c r="SIO293" s="483"/>
      <c r="SIP293" s="306"/>
      <c r="SIQ293" s="484"/>
      <c r="SIR293" s="306"/>
      <c r="SIS293" s="267"/>
      <c r="SIT293" s="268"/>
      <c r="SIU293" s="306"/>
      <c r="SIV293" s="268"/>
      <c r="SIW293" s="306"/>
      <c r="SIX293" s="485"/>
      <c r="SIY293" s="306"/>
      <c r="SIZ293" s="486"/>
      <c r="SJA293" s="487"/>
      <c r="SJB293" s="488"/>
      <c r="SJC293" s="489"/>
      <c r="SJD293" s="488"/>
      <c r="SJE293" s="468"/>
      <c r="SJF293" s="469"/>
      <c r="SJG293" s="470"/>
      <c r="SJH293" s="470"/>
      <c r="SJI293" s="306"/>
      <c r="SJJ293" s="317"/>
      <c r="SJK293" s="471"/>
      <c r="SJL293" s="472"/>
      <c r="SJM293" s="471"/>
      <c r="SJN293" s="473"/>
      <c r="SJO293" s="474"/>
      <c r="SJP293" s="475"/>
      <c r="SJQ293" s="476"/>
      <c r="SJR293" s="477"/>
      <c r="SJS293" s="475"/>
      <c r="SJT293" s="478"/>
      <c r="SJU293" s="479"/>
      <c r="SJV293" s="480"/>
      <c r="SJW293" s="481"/>
      <c r="SJX293" s="481"/>
      <c r="SJY293" s="482"/>
      <c r="SJZ293" s="189"/>
      <c r="SKA293" s="189"/>
      <c r="SKB293" s="483"/>
      <c r="SKC293" s="306"/>
      <c r="SKD293" s="484"/>
      <c r="SKE293" s="306"/>
      <c r="SKF293" s="267"/>
      <c r="SKG293" s="268"/>
      <c r="SKH293" s="306"/>
      <c r="SKI293" s="268"/>
      <c r="SKJ293" s="306"/>
      <c r="SKK293" s="485"/>
      <c r="SKL293" s="306"/>
      <c r="SKM293" s="486"/>
      <c r="SKN293" s="487"/>
      <c r="SKO293" s="488"/>
      <c r="SKP293" s="489"/>
      <c r="SKQ293" s="488"/>
      <c r="SKR293" s="468"/>
      <c r="SKS293" s="469"/>
      <c r="SKT293" s="470"/>
      <c r="SKU293" s="470"/>
      <c r="SKV293" s="306"/>
      <c r="SKW293" s="317"/>
      <c r="SKX293" s="471"/>
      <c r="SKY293" s="472"/>
      <c r="SKZ293" s="471"/>
      <c r="SLA293" s="473"/>
      <c r="SLB293" s="474"/>
      <c r="SLC293" s="475"/>
      <c r="SLD293" s="476"/>
      <c r="SLE293" s="477"/>
      <c r="SLF293" s="475"/>
      <c r="SLG293" s="478"/>
      <c r="SLH293" s="479"/>
      <c r="SLI293" s="480"/>
      <c r="SLJ293" s="481"/>
      <c r="SLK293" s="481"/>
      <c r="SLL293" s="482"/>
      <c r="SLM293" s="189"/>
      <c r="SLN293" s="189"/>
      <c r="SLO293" s="483"/>
      <c r="SLP293" s="306"/>
      <c r="SLQ293" s="484"/>
      <c r="SLR293" s="306"/>
      <c r="SLS293" s="267"/>
      <c r="SLT293" s="268"/>
      <c r="SLU293" s="306"/>
      <c r="SLV293" s="268"/>
      <c r="SLW293" s="306"/>
      <c r="SLX293" s="485"/>
      <c r="SLY293" s="306"/>
      <c r="SLZ293" s="486"/>
      <c r="SMA293" s="487"/>
      <c r="SMB293" s="488"/>
      <c r="SMC293" s="489"/>
      <c r="SMD293" s="488"/>
      <c r="SME293" s="468"/>
      <c r="SMF293" s="469"/>
      <c r="SMG293" s="470"/>
      <c r="SMH293" s="470"/>
      <c r="SMI293" s="306"/>
      <c r="SMJ293" s="317"/>
      <c r="SMK293" s="471"/>
      <c r="SML293" s="472"/>
      <c r="SMM293" s="471"/>
      <c r="SMN293" s="473"/>
      <c r="SMO293" s="474"/>
      <c r="SMP293" s="475"/>
      <c r="SMQ293" s="476"/>
      <c r="SMR293" s="477"/>
      <c r="SMS293" s="475"/>
      <c r="SMT293" s="478"/>
      <c r="SMU293" s="479"/>
      <c r="SMV293" s="480"/>
      <c r="SMW293" s="481"/>
      <c r="SMX293" s="481"/>
      <c r="SMY293" s="482"/>
      <c r="SMZ293" s="189"/>
      <c r="SNA293" s="189"/>
      <c r="SNB293" s="483"/>
      <c r="SNC293" s="306"/>
      <c r="SND293" s="484"/>
      <c r="SNE293" s="306"/>
      <c r="SNF293" s="267"/>
      <c r="SNG293" s="268"/>
      <c r="SNH293" s="306"/>
      <c r="SNI293" s="268"/>
      <c r="SNJ293" s="306"/>
      <c r="SNK293" s="485"/>
      <c r="SNL293" s="306"/>
      <c r="SNM293" s="486"/>
      <c r="SNN293" s="487"/>
      <c r="SNO293" s="488"/>
      <c r="SNP293" s="489"/>
      <c r="SNQ293" s="488"/>
      <c r="SNR293" s="468"/>
      <c r="SNS293" s="469"/>
      <c r="SNT293" s="470"/>
      <c r="SNU293" s="470"/>
      <c r="SNV293" s="306"/>
      <c r="SNW293" s="317"/>
      <c r="SNX293" s="471"/>
      <c r="SNY293" s="472"/>
      <c r="SNZ293" s="471"/>
      <c r="SOA293" s="473"/>
      <c r="SOB293" s="474"/>
      <c r="SOC293" s="475"/>
      <c r="SOD293" s="476"/>
      <c r="SOE293" s="477"/>
      <c r="SOF293" s="475"/>
      <c r="SOG293" s="478"/>
      <c r="SOH293" s="479"/>
      <c r="SOI293" s="480"/>
      <c r="SOJ293" s="481"/>
      <c r="SOK293" s="481"/>
      <c r="SOL293" s="482"/>
      <c r="SOM293" s="189"/>
      <c r="SON293" s="189"/>
      <c r="SOO293" s="483"/>
      <c r="SOP293" s="306"/>
      <c r="SOQ293" s="484"/>
      <c r="SOR293" s="306"/>
      <c r="SOS293" s="267"/>
      <c r="SOT293" s="268"/>
      <c r="SOU293" s="306"/>
      <c r="SOV293" s="268"/>
      <c r="SOW293" s="306"/>
      <c r="SOX293" s="485"/>
      <c r="SOY293" s="306"/>
      <c r="SOZ293" s="486"/>
      <c r="SPA293" s="487"/>
      <c r="SPB293" s="488"/>
      <c r="SPC293" s="489"/>
      <c r="SPD293" s="488"/>
      <c r="SPE293" s="468"/>
      <c r="SPF293" s="469"/>
      <c r="SPG293" s="470"/>
      <c r="SPH293" s="470"/>
      <c r="SPI293" s="306"/>
      <c r="SPJ293" s="317"/>
      <c r="SPK293" s="471"/>
      <c r="SPL293" s="472"/>
      <c r="SPM293" s="471"/>
      <c r="SPN293" s="473"/>
      <c r="SPO293" s="474"/>
      <c r="SPP293" s="475"/>
      <c r="SPQ293" s="476"/>
      <c r="SPR293" s="477"/>
      <c r="SPS293" s="475"/>
      <c r="SPT293" s="478"/>
      <c r="SPU293" s="479"/>
      <c r="SPV293" s="480"/>
      <c r="SPW293" s="481"/>
      <c r="SPX293" s="481"/>
      <c r="SPY293" s="482"/>
      <c r="SPZ293" s="189"/>
      <c r="SQA293" s="189"/>
      <c r="SQB293" s="483"/>
      <c r="SQC293" s="306"/>
      <c r="SQD293" s="484"/>
      <c r="SQE293" s="306"/>
      <c r="SQF293" s="267"/>
      <c r="SQG293" s="268"/>
      <c r="SQH293" s="306"/>
      <c r="SQI293" s="268"/>
      <c r="SQJ293" s="306"/>
      <c r="SQK293" s="485"/>
      <c r="SQL293" s="306"/>
      <c r="SQM293" s="486"/>
      <c r="SQN293" s="487"/>
      <c r="SQO293" s="488"/>
      <c r="SQP293" s="489"/>
      <c r="SQQ293" s="488"/>
      <c r="SQR293" s="468"/>
      <c r="SQS293" s="469"/>
      <c r="SQT293" s="470"/>
      <c r="SQU293" s="470"/>
      <c r="SQV293" s="306"/>
      <c r="SQW293" s="317"/>
      <c r="SQX293" s="471"/>
      <c r="SQY293" s="472"/>
      <c r="SQZ293" s="471"/>
      <c r="SRA293" s="473"/>
      <c r="SRB293" s="474"/>
      <c r="SRC293" s="475"/>
      <c r="SRD293" s="476"/>
      <c r="SRE293" s="477"/>
      <c r="SRF293" s="475"/>
      <c r="SRG293" s="478"/>
      <c r="SRH293" s="479"/>
      <c r="SRI293" s="480"/>
      <c r="SRJ293" s="481"/>
      <c r="SRK293" s="481"/>
      <c r="SRL293" s="482"/>
      <c r="SRM293" s="189"/>
      <c r="SRN293" s="189"/>
      <c r="SRO293" s="483"/>
      <c r="SRP293" s="306"/>
      <c r="SRQ293" s="484"/>
      <c r="SRR293" s="306"/>
      <c r="SRS293" s="267"/>
      <c r="SRT293" s="268"/>
      <c r="SRU293" s="306"/>
      <c r="SRV293" s="268"/>
      <c r="SRW293" s="306"/>
      <c r="SRX293" s="485"/>
      <c r="SRY293" s="306"/>
      <c r="SRZ293" s="486"/>
      <c r="SSA293" s="487"/>
      <c r="SSB293" s="488"/>
      <c r="SSC293" s="489"/>
      <c r="SSD293" s="488"/>
      <c r="SSE293" s="468"/>
      <c r="SSF293" s="469"/>
      <c r="SSG293" s="470"/>
      <c r="SSH293" s="470"/>
      <c r="SSI293" s="306"/>
      <c r="SSJ293" s="317"/>
      <c r="SSK293" s="471"/>
      <c r="SSL293" s="472"/>
      <c r="SSM293" s="471"/>
      <c r="SSN293" s="473"/>
      <c r="SSO293" s="474"/>
      <c r="SSP293" s="475"/>
      <c r="SSQ293" s="476"/>
      <c r="SSR293" s="477"/>
      <c r="SSS293" s="475"/>
      <c r="SST293" s="478"/>
      <c r="SSU293" s="479"/>
      <c r="SSV293" s="480"/>
      <c r="SSW293" s="481"/>
      <c r="SSX293" s="481"/>
      <c r="SSY293" s="482"/>
      <c r="SSZ293" s="189"/>
      <c r="STA293" s="189"/>
      <c r="STB293" s="483"/>
      <c r="STC293" s="306"/>
      <c r="STD293" s="484"/>
      <c r="STE293" s="306"/>
      <c r="STF293" s="267"/>
      <c r="STG293" s="268"/>
      <c r="STH293" s="306"/>
      <c r="STI293" s="268"/>
      <c r="STJ293" s="306"/>
      <c r="STK293" s="485"/>
      <c r="STL293" s="306"/>
      <c r="STM293" s="486"/>
      <c r="STN293" s="487"/>
      <c r="STO293" s="488"/>
      <c r="STP293" s="489"/>
      <c r="STQ293" s="488"/>
      <c r="STR293" s="468"/>
      <c r="STS293" s="469"/>
      <c r="STT293" s="470"/>
      <c r="STU293" s="470"/>
      <c r="STV293" s="306"/>
      <c r="STW293" s="317"/>
      <c r="STX293" s="471"/>
      <c r="STY293" s="472"/>
      <c r="STZ293" s="471"/>
      <c r="SUA293" s="473"/>
      <c r="SUB293" s="474"/>
      <c r="SUC293" s="475"/>
      <c r="SUD293" s="476"/>
      <c r="SUE293" s="477"/>
      <c r="SUF293" s="475"/>
      <c r="SUG293" s="478"/>
      <c r="SUH293" s="479"/>
      <c r="SUI293" s="480"/>
      <c r="SUJ293" s="481"/>
      <c r="SUK293" s="481"/>
      <c r="SUL293" s="482"/>
      <c r="SUM293" s="189"/>
      <c r="SUN293" s="189"/>
      <c r="SUO293" s="483"/>
      <c r="SUP293" s="306"/>
      <c r="SUQ293" s="484"/>
      <c r="SUR293" s="306"/>
      <c r="SUS293" s="267"/>
      <c r="SUT293" s="268"/>
      <c r="SUU293" s="306"/>
      <c r="SUV293" s="268"/>
      <c r="SUW293" s="306"/>
      <c r="SUX293" s="485"/>
      <c r="SUY293" s="306"/>
      <c r="SUZ293" s="486"/>
      <c r="SVA293" s="487"/>
      <c r="SVB293" s="488"/>
      <c r="SVC293" s="489"/>
      <c r="SVD293" s="488"/>
      <c r="SVE293" s="468"/>
      <c r="SVF293" s="469"/>
      <c r="SVG293" s="470"/>
      <c r="SVH293" s="470"/>
      <c r="SVI293" s="306"/>
      <c r="SVJ293" s="317"/>
      <c r="SVK293" s="471"/>
      <c r="SVL293" s="472"/>
      <c r="SVM293" s="471"/>
      <c r="SVN293" s="473"/>
      <c r="SVO293" s="474"/>
      <c r="SVP293" s="475"/>
      <c r="SVQ293" s="476"/>
      <c r="SVR293" s="477"/>
      <c r="SVS293" s="475"/>
      <c r="SVT293" s="478"/>
      <c r="SVU293" s="479"/>
      <c r="SVV293" s="480"/>
      <c r="SVW293" s="481"/>
      <c r="SVX293" s="481"/>
      <c r="SVY293" s="482"/>
      <c r="SVZ293" s="189"/>
      <c r="SWA293" s="189"/>
      <c r="SWB293" s="483"/>
      <c r="SWC293" s="306"/>
      <c r="SWD293" s="484"/>
      <c r="SWE293" s="306"/>
      <c r="SWF293" s="267"/>
      <c r="SWG293" s="268"/>
      <c r="SWH293" s="306"/>
      <c r="SWI293" s="268"/>
      <c r="SWJ293" s="306"/>
      <c r="SWK293" s="485"/>
      <c r="SWL293" s="306"/>
      <c r="SWM293" s="486"/>
      <c r="SWN293" s="487"/>
      <c r="SWO293" s="488"/>
      <c r="SWP293" s="489"/>
      <c r="SWQ293" s="488"/>
      <c r="SWR293" s="468"/>
      <c r="SWS293" s="469"/>
      <c r="SWT293" s="470"/>
      <c r="SWU293" s="470"/>
      <c r="SWV293" s="306"/>
      <c r="SWW293" s="317"/>
      <c r="SWX293" s="471"/>
      <c r="SWY293" s="472"/>
      <c r="SWZ293" s="471"/>
      <c r="SXA293" s="473"/>
      <c r="SXB293" s="474"/>
      <c r="SXC293" s="475"/>
      <c r="SXD293" s="476"/>
      <c r="SXE293" s="477"/>
      <c r="SXF293" s="475"/>
      <c r="SXG293" s="478"/>
      <c r="SXH293" s="479"/>
      <c r="SXI293" s="480"/>
      <c r="SXJ293" s="481"/>
      <c r="SXK293" s="481"/>
      <c r="SXL293" s="482"/>
      <c r="SXM293" s="189"/>
      <c r="SXN293" s="189"/>
      <c r="SXO293" s="483"/>
      <c r="SXP293" s="306"/>
      <c r="SXQ293" s="484"/>
      <c r="SXR293" s="306"/>
      <c r="SXS293" s="267"/>
      <c r="SXT293" s="268"/>
      <c r="SXU293" s="306"/>
      <c r="SXV293" s="268"/>
      <c r="SXW293" s="306"/>
      <c r="SXX293" s="485"/>
      <c r="SXY293" s="306"/>
      <c r="SXZ293" s="486"/>
      <c r="SYA293" s="487"/>
      <c r="SYB293" s="488"/>
      <c r="SYC293" s="489"/>
      <c r="SYD293" s="488"/>
      <c r="SYE293" s="468"/>
      <c r="SYF293" s="469"/>
      <c r="SYG293" s="470"/>
      <c r="SYH293" s="470"/>
      <c r="SYI293" s="306"/>
      <c r="SYJ293" s="317"/>
      <c r="SYK293" s="471"/>
      <c r="SYL293" s="472"/>
      <c r="SYM293" s="471"/>
      <c r="SYN293" s="473"/>
      <c r="SYO293" s="474"/>
      <c r="SYP293" s="475"/>
      <c r="SYQ293" s="476"/>
      <c r="SYR293" s="477"/>
      <c r="SYS293" s="475"/>
      <c r="SYT293" s="478"/>
      <c r="SYU293" s="479"/>
      <c r="SYV293" s="480"/>
      <c r="SYW293" s="481"/>
      <c r="SYX293" s="481"/>
      <c r="SYY293" s="482"/>
      <c r="SYZ293" s="189"/>
      <c r="SZA293" s="189"/>
      <c r="SZB293" s="483"/>
      <c r="SZC293" s="306"/>
      <c r="SZD293" s="484"/>
      <c r="SZE293" s="306"/>
      <c r="SZF293" s="267"/>
      <c r="SZG293" s="268"/>
      <c r="SZH293" s="306"/>
      <c r="SZI293" s="268"/>
      <c r="SZJ293" s="306"/>
      <c r="SZK293" s="485"/>
      <c r="SZL293" s="306"/>
      <c r="SZM293" s="486"/>
      <c r="SZN293" s="487"/>
      <c r="SZO293" s="488"/>
      <c r="SZP293" s="489"/>
      <c r="SZQ293" s="488"/>
      <c r="SZR293" s="468"/>
      <c r="SZS293" s="469"/>
      <c r="SZT293" s="470"/>
      <c r="SZU293" s="470"/>
      <c r="SZV293" s="306"/>
      <c r="SZW293" s="317"/>
      <c r="SZX293" s="471"/>
      <c r="SZY293" s="472"/>
      <c r="SZZ293" s="471"/>
      <c r="TAA293" s="473"/>
      <c r="TAB293" s="474"/>
      <c r="TAC293" s="475"/>
      <c r="TAD293" s="476"/>
      <c r="TAE293" s="477"/>
      <c r="TAF293" s="475"/>
      <c r="TAG293" s="478"/>
      <c r="TAH293" s="479"/>
      <c r="TAI293" s="480"/>
      <c r="TAJ293" s="481"/>
      <c r="TAK293" s="481"/>
      <c r="TAL293" s="482"/>
      <c r="TAM293" s="189"/>
      <c r="TAN293" s="189"/>
      <c r="TAO293" s="483"/>
      <c r="TAP293" s="306"/>
      <c r="TAQ293" s="484"/>
      <c r="TAR293" s="306"/>
      <c r="TAS293" s="267"/>
      <c r="TAT293" s="268"/>
      <c r="TAU293" s="306"/>
      <c r="TAV293" s="268"/>
      <c r="TAW293" s="306"/>
      <c r="TAX293" s="485"/>
      <c r="TAY293" s="306"/>
      <c r="TAZ293" s="486"/>
      <c r="TBA293" s="487"/>
      <c r="TBB293" s="488"/>
      <c r="TBC293" s="489"/>
      <c r="TBD293" s="488"/>
      <c r="TBE293" s="468"/>
      <c r="TBF293" s="469"/>
      <c r="TBG293" s="470"/>
      <c r="TBH293" s="470"/>
      <c r="TBI293" s="306"/>
      <c r="TBJ293" s="317"/>
      <c r="TBK293" s="471"/>
      <c r="TBL293" s="472"/>
      <c r="TBM293" s="471"/>
      <c r="TBN293" s="473"/>
      <c r="TBO293" s="474"/>
      <c r="TBP293" s="475"/>
      <c r="TBQ293" s="476"/>
      <c r="TBR293" s="477"/>
      <c r="TBS293" s="475"/>
      <c r="TBT293" s="478"/>
      <c r="TBU293" s="479"/>
      <c r="TBV293" s="480"/>
      <c r="TBW293" s="481"/>
      <c r="TBX293" s="481"/>
      <c r="TBY293" s="482"/>
      <c r="TBZ293" s="189"/>
      <c r="TCA293" s="189"/>
      <c r="TCB293" s="483"/>
      <c r="TCC293" s="306"/>
      <c r="TCD293" s="484"/>
      <c r="TCE293" s="306"/>
      <c r="TCF293" s="267"/>
      <c r="TCG293" s="268"/>
      <c r="TCH293" s="306"/>
      <c r="TCI293" s="268"/>
      <c r="TCJ293" s="306"/>
      <c r="TCK293" s="485"/>
      <c r="TCL293" s="306"/>
      <c r="TCM293" s="486"/>
      <c r="TCN293" s="487"/>
      <c r="TCO293" s="488"/>
      <c r="TCP293" s="489"/>
      <c r="TCQ293" s="488"/>
      <c r="TCR293" s="468"/>
      <c r="TCS293" s="469"/>
      <c r="TCT293" s="470"/>
      <c r="TCU293" s="470"/>
      <c r="TCV293" s="306"/>
      <c r="TCW293" s="317"/>
      <c r="TCX293" s="471"/>
      <c r="TCY293" s="472"/>
      <c r="TCZ293" s="471"/>
      <c r="TDA293" s="473"/>
      <c r="TDB293" s="474"/>
      <c r="TDC293" s="475"/>
      <c r="TDD293" s="476"/>
      <c r="TDE293" s="477"/>
      <c r="TDF293" s="475"/>
      <c r="TDG293" s="478"/>
      <c r="TDH293" s="479"/>
      <c r="TDI293" s="480"/>
      <c r="TDJ293" s="481"/>
      <c r="TDK293" s="481"/>
      <c r="TDL293" s="482"/>
      <c r="TDM293" s="189"/>
      <c r="TDN293" s="189"/>
      <c r="TDO293" s="483"/>
      <c r="TDP293" s="306"/>
      <c r="TDQ293" s="484"/>
      <c r="TDR293" s="306"/>
      <c r="TDS293" s="267"/>
      <c r="TDT293" s="268"/>
      <c r="TDU293" s="306"/>
      <c r="TDV293" s="268"/>
      <c r="TDW293" s="306"/>
      <c r="TDX293" s="485"/>
      <c r="TDY293" s="306"/>
      <c r="TDZ293" s="486"/>
      <c r="TEA293" s="487"/>
      <c r="TEB293" s="488"/>
      <c r="TEC293" s="489"/>
      <c r="TED293" s="488"/>
      <c r="TEE293" s="468"/>
      <c r="TEF293" s="469"/>
      <c r="TEG293" s="470"/>
      <c r="TEH293" s="470"/>
      <c r="TEI293" s="306"/>
      <c r="TEJ293" s="317"/>
      <c r="TEK293" s="471"/>
      <c r="TEL293" s="472"/>
      <c r="TEM293" s="471"/>
      <c r="TEN293" s="473"/>
      <c r="TEO293" s="474"/>
      <c r="TEP293" s="475"/>
      <c r="TEQ293" s="476"/>
      <c r="TER293" s="477"/>
      <c r="TES293" s="475"/>
      <c r="TET293" s="478"/>
      <c r="TEU293" s="479"/>
      <c r="TEV293" s="480"/>
      <c r="TEW293" s="481"/>
      <c r="TEX293" s="481"/>
      <c r="TEY293" s="482"/>
      <c r="TEZ293" s="189"/>
      <c r="TFA293" s="189"/>
      <c r="TFB293" s="483"/>
      <c r="TFC293" s="306"/>
      <c r="TFD293" s="484"/>
      <c r="TFE293" s="306"/>
      <c r="TFF293" s="267"/>
      <c r="TFG293" s="268"/>
      <c r="TFH293" s="306"/>
      <c r="TFI293" s="268"/>
      <c r="TFJ293" s="306"/>
      <c r="TFK293" s="485"/>
      <c r="TFL293" s="306"/>
      <c r="TFM293" s="486"/>
      <c r="TFN293" s="487"/>
      <c r="TFO293" s="488"/>
      <c r="TFP293" s="489"/>
      <c r="TFQ293" s="488"/>
      <c r="TFR293" s="468"/>
      <c r="TFS293" s="469"/>
      <c r="TFT293" s="470"/>
      <c r="TFU293" s="470"/>
      <c r="TFV293" s="306"/>
      <c r="TFW293" s="317"/>
      <c r="TFX293" s="471"/>
      <c r="TFY293" s="472"/>
      <c r="TFZ293" s="471"/>
      <c r="TGA293" s="473"/>
      <c r="TGB293" s="474"/>
      <c r="TGC293" s="475"/>
      <c r="TGD293" s="476"/>
      <c r="TGE293" s="477"/>
      <c r="TGF293" s="475"/>
      <c r="TGG293" s="478"/>
      <c r="TGH293" s="479"/>
      <c r="TGI293" s="480"/>
      <c r="TGJ293" s="481"/>
      <c r="TGK293" s="481"/>
      <c r="TGL293" s="482"/>
      <c r="TGM293" s="189"/>
      <c r="TGN293" s="189"/>
      <c r="TGO293" s="483"/>
      <c r="TGP293" s="306"/>
      <c r="TGQ293" s="484"/>
      <c r="TGR293" s="306"/>
      <c r="TGS293" s="267"/>
      <c r="TGT293" s="268"/>
      <c r="TGU293" s="306"/>
      <c r="TGV293" s="268"/>
      <c r="TGW293" s="306"/>
      <c r="TGX293" s="485"/>
      <c r="TGY293" s="306"/>
      <c r="TGZ293" s="486"/>
      <c r="THA293" s="487"/>
      <c r="THB293" s="488"/>
      <c r="THC293" s="489"/>
      <c r="THD293" s="488"/>
      <c r="THE293" s="468"/>
      <c r="THF293" s="469"/>
      <c r="THG293" s="470"/>
      <c r="THH293" s="470"/>
      <c r="THI293" s="306"/>
      <c r="THJ293" s="317"/>
      <c r="THK293" s="471"/>
      <c r="THL293" s="472"/>
      <c r="THM293" s="471"/>
      <c r="THN293" s="473"/>
      <c r="THO293" s="474"/>
      <c r="THP293" s="475"/>
      <c r="THQ293" s="476"/>
      <c r="THR293" s="477"/>
      <c r="THS293" s="475"/>
      <c r="THT293" s="478"/>
      <c r="THU293" s="479"/>
      <c r="THV293" s="480"/>
      <c r="THW293" s="481"/>
      <c r="THX293" s="481"/>
      <c r="THY293" s="482"/>
      <c r="THZ293" s="189"/>
      <c r="TIA293" s="189"/>
      <c r="TIB293" s="483"/>
      <c r="TIC293" s="306"/>
      <c r="TID293" s="484"/>
      <c r="TIE293" s="306"/>
      <c r="TIF293" s="267"/>
      <c r="TIG293" s="268"/>
      <c r="TIH293" s="306"/>
      <c r="TII293" s="268"/>
      <c r="TIJ293" s="306"/>
      <c r="TIK293" s="485"/>
      <c r="TIL293" s="306"/>
      <c r="TIM293" s="486"/>
      <c r="TIN293" s="487"/>
      <c r="TIO293" s="488"/>
      <c r="TIP293" s="489"/>
      <c r="TIQ293" s="488"/>
      <c r="TIR293" s="468"/>
      <c r="TIS293" s="469"/>
      <c r="TIT293" s="470"/>
      <c r="TIU293" s="470"/>
      <c r="TIV293" s="306"/>
      <c r="TIW293" s="317"/>
      <c r="TIX293" s="471"/>
      <c r="TIY293" s="472"/>
      <c r="TIZ293" s="471"/>
      <c r="TJA293" s="473"/>
      <c r="TJB293" s="474"/>
      <c r="TJC293" s="475"/>
      <c r="TJD293" s="476"/>
      <c r="TJE293" s="477"/>
      <c r="TJF293" s="475"/>
      <c r="TJG293" s="478"/>
      <c r="TJH293" s="479"/>
      <c r="TJI293" s="480"/>
      <c r="TJJ293" s="481"/>
      <c r="TJK293" s="481"/>
      <c r="TJL293" s="482"/>
      <c r="TJM293" s="189"/>
      <c r="TJN293" s="189"/>
      <c r="TJO293" s="483"/>
      <c r="TJP293" s="306"/>
      <c r="TJQ293" s="484"/>
      <c r="TJR293" s="306"/>
      <c r="TJS293" s="267"/>
      <c r="TJT293" s="268"/>
      <c r="TJU293" s="306"/>
      <c r="TJV293" s="268"/>
      <c r="TJW293" s="306"/>
      <c r="TJX293" s="485"/>
      <c r="TJY293" s="306"/>
      <c r="TJZ293" s="486"/>
      <c r="TKA293" s="487"/>
      <c r="TKB293" s="488"/>
      <c r="TKC293" s="489"/>
      <c r="TKD293" s="488"/>
      <c r="TKE293" s="468"/>
      <c r="TKF293" s="469"/>
      <c r="TKG293" s="470"/>
      <c r="TKH293" s="470"/>
      <c r="TKI293" s="306"/>
      <c r="TKJ293" s="317"/>
      <c r="TKK293" s="471"/>
      <c r="TKL293" s="472"/>
      <c r="TKM293" s="471"/>
      <c r="TKN293" s="473"/>
      <c r="TKO293" s="474"/>
      <c r="TKP293" s="475"/>
      <c r="TKQ293" s="476"/>
      <c r="TKR293" s="477"/>
      <c r="TKS293" s="475"/>
      <c r="TKT293" s="478"/>
      <c r="TKU293" s="479"/>
      <c r="TKV293" s="480"/>
      <c r="TKW293" s="481"/>
      <c r="TKX293" s="481"/>
      <c r="TKY293" s="482"/>
      <c r="TKZ293" s="189"/>
      <c r="TLA293" s="189"/>
      <c r="TLB293" s="483"/>
      <c r="TLC293" s="306"/>
      <c r="TLD293" s="484"/>
      <c r="TLE293" s="306"/>
      <c r="TLF293" s="267"/>
      <c r="TLG293" s="268"/>
      <c r="TLH293" s="306"/>
      <c r="TLI293" s="268"/>
      <c r="TLJ293" s="306"/>
      <c r="TLK293" s="485"/>
      <c r="TLL293" s="306"/>
      <c r="TLM293" s="486"/>
      <c r="TLN293" s="487"/>
      <c r="TLO293" s="488"/>
      <c r="TLP293" s="489"/>
      <c r="TLQ293" s="488"/>
      <c r="TLR293" s="468"/>
      <c r="TLS293" s="469"/>
      <c r="TLT293" s="470"/>
      <c r="TLU293" s="470"/>
      <c r="TLV293" s="306"/>
      <c r="TLW293" s="317"/>
      <c r="TLX293" s="471"/>
      <c r="TLY293" s="472"/>
      <c r="TLZ293" s="471"/>
      <c r="TMA293" s="473"/>
      <c r="TMB293" s="474"/>
      <c r="TMC293" s="475"/>
      <c r="TMD293" s="476"/>
      <c r="TME293" s="477"/>
      <c r="TMF293" s="475"/>
      <c r="TMG293" s="478"/>
      <c r="TMH293" s="479"/>
      <c r="TMI293" s="480"/>
      <c r="TMJ293" s="481"/>
      <c r="TMK293" s="481"/>
      <c r="TML293" s="482"/>
      <c r="TMM293" s="189"/>
      <c r="TMN293" s="189"/>
      <c r="TMO293" s="483"/>
      <c r="TMP293" s="306"/>
      <c r="TMQ293" s="484"/>
      <c r="TMR293" s="306"/>
      <c r="TMS293" s="267"/>
      <c r="TMT293" s="268"/>
      <c r="TMU293" s="306"/>
      <c r="TMV293" s="268"/>
      <c r="TMW293" s="306"/>
      <c r="TMX293" s="485"/>
      <c r="TMY293" s="306"/>
      <c r="TMZ293" s="486"/>
      <c r="TNA293" s="487"/>
      <c r="TNB293" s="488"/>
      <c r="TNC293" s="489"/>
      <c r="TND293" s="488"/>
      <c r="TNE293" s="468"/>
      <c r="TNF293" s="469"/>
      <c r="TNG293" s="470"/>
      <c r="TNH293" s="470"/>
      <c r="TNI293" s="306"/>
      <c r="TNJ293" s="317"/>
      <c r="TNK293" s="471"/>
      <c r="TNL293" s="472"/>
      <c r="TNM293" s="471"/>
      <c r="TNN293" s="473"/>
      <c r="TNO293" s="474"/>
      <c r="TNP293" s="475"/>
      <c r="TNQ293" s="476"/>
      <c r="TNR293" s="477"/>
      <c r="TNS293" s="475"/>
      <c r="TNT293" s="478"/>
      <c r="TNU293" s="479"/>
      <c r="TNV293" s="480"/>
      <c r="TNW293" s="481"/>
      <c r="TNX293" s="481"/>
      <c r="TNY293" s="482"/>
      <c r="TNZ293" s="189"/>
      <c r="TOA293" s="189"/>
      <c r="TOB293" s="483"/>
      <c r="TOC293" s="306"/>
      <c r="TOD293" s="484"/>
      <c r="TOE293" s="306"/>
      <c r="TOF293" s="267"/>
      <c r="TOG293" s="268"/>
      <c r="TOH293" s="306"/>
      <c r="TOI293" s="268"/>
      <c r="TOJ293" s="306"/>
      <c r="TOK293" s="485"/>
      <c r="TOL293" s="306"/>
      <c r="TOM293" s="486"/>
      <c r="TON293" s="487"/>
      <c r="TOO293" s="488"/>
      <c r="TOP293" s="489"/>
      <c r="TOQ293" s="488"/>
      <c r="TOR293" s="468"/>
      <c r="TOS293" s="469"/>
      <c r="TOT293" s="470"/>
      <c r="TOU293" s="470"/>
      <c r="TOV293" s="306"/>
      <c r="TOW293" s="317"/>
      <c r="TOX293" s="471"/>
      <c r="TOY293" s="472"/>
      <c r="TOZ293" s="471"/>
      <c r="TPA293" s="473"/>
      <c r="TPB293" s="474"/>
      <c r="TPC293" s="475"/>
      <c r="TPD293" s="476"/>
      <c r="TPE293" s="477"/>
      <c r="TPF293" s="475"/>
      <c r="TPG293" s="478"/>
      <c r="TPH293" s="479"/>
      <c r="TPI293" s="480"/>
      <c r="TPJ293" s="481"/>
      <c r="TPK293" s="481"/>
      <c r="TPL293" s="482"/>
      <c r="TPM293" s="189"/>
      <c r="TPN293" s="189"/>
      <c r="TPO293" s="483"/>
      <c r="TPP293" s="306"/>
      <c r="TPQ293" s="484"/>
      <c r="TPR293" s="306"/>
      <c r="TPS293" s="267"/>
      <c r="TPT293" s="268"/>
      <c r="TPU293" s="306"/>
      <c r="TPV293" s="268"/>
      <c r="TPW293" s="306"/>
      <c r="TPX293" s="485"/>
      <c r="TPY293" s="306"/>
      <c r="TPZ293" s="486"/>
      <c r="TQA293" s="487"/>
      <c r="TQB293" s="488"/>
      <c r="TQC293" s="489"/>
      <c r="TQD293" s="488"/>
      <c r="TQE293" s="468"/>
      <c r="TQF293" s="469"/>
      <c r="TQG293" s="470"/>
      <c r="TQH293" s="470"/>
      <c r="TQI293" s="306"/>
      <c r="TQJ293" s="317"/>
      <c r="TQK293" s="471"/>
      <c r="TQL293" s="472"/>
      <c r="TQM293" s="471"/>
      <c r="TQN293" s="473"/>
      <c r="TQO293" s="474"/>
      <c r="TQP293" s="475"/>
      <c r="TQQ293" s="476"/>
      <c r="TQR293" s="477"/>
      <c r="TQS293" s="475"/>
      <c r="TQT293" s="478"/>
      <c r="TQU293" s="479"/>
      <c r="TQV293" s="480"/>
      <c r="TQW293" s="481"/>
      <c r="TQX293" s="481"/>
      <c r="TQY293" s="482"/>
      <c r="TQZ293" s="189"/>
      <c r="TRA293" s="189"/>
      <c r="TRB293" s="483"/>
      <c r="TRC293" s="306"/>
      <c r="TRD293" s="484"/>
      <c r="TRE293" s="306"/>
      <c r="TRF293" s="267"/>
      <c r="TRG293" s="268"/>
      <c r="TRH293" s="306"/>
      <c r="TRI293" s="268"/>
      <c r="TRJ293" s="306"/>
      <c r="TRK293" s="485"/>
      <c r="TRL293" s="306"/>
      <c r="TRM293" s="486"/>
      <c r="TRN293" s="487"/>
      <c r="TRO293" s="488"/>
      <c r="TRP293" s="489"/>
      <c r="TRQ293" s="488"/>
      <c r="TRR293" s="468"/>
      <c r="TRS293" s="469"/>
      <c r="TRT293" s="470"/>
      <c r="TRU293" s="470"/>
      <c r="TRV293" s="306"/>
      <c r="TRW293" s="317"/>
      <c r="TRX293" s="471"/>
      <c r="TRY293" s="472"/>
      <c r="TRZ293" s="471"/>
      <c r="TSA293" s="473"/>
      <c r="TSB293" s="474"/>
      <c r="TSC293" s="475"/>
      <c r="TSD293" s="476"/>
      <c r="TSE293" s="477"/>
      <c r="TSF293" s="475"/>
      <c r="TSG293" s="478"/>
      <c r="TSH293" s="479"/>
      <c r="TSI293" s="480"/>
      <c r="TSJ293" s="481"/>
      <c r="TSK293" s="481"/>
      <c r="TSL293" s="482"/>
      <c r="TSM293" s="189"/>
      <c r="TSN293" s="189"/>
      <c r="TSO293" s="483"/>
      <c r="TSP293" s="306"/>
      <c r="TSQ293" s="484"/>
      <c r="TSR293" s="306"/>
      <c r="TSS293" s="267"/>
      <c r="TST293" s="268"/>
      <c r="TSU293" s="306"/>
      <c r="TSV293" s="268"/>
      <c r="TSW293" s="306"/>
      <c r="TSX293" s="485"/>
      <c r="TSY293" s="306"/>
      <c r="TSZ293" s="486"/>
      <c r="TTA293" s="487"/>
      <c r="TTB293" s="488"/>
      <c r="TTC293" s="489"/>
      <c r="TTD293" s="488"/>
      <c r="TTE293" s="468"/>
      <c r="TTF293" s="469"/>
      <c r="TTG293" s="470"/>
      <c r="TTH293" s="470"/>
      <c r="TTI293" s="306"/>
      <c r="TTJ293" s="317"/>
      <c r="TTK293" s="471"/>
      <c r="TTL293" s="472"/>
      <c r="TTM293" s="471"/>
      <c r="TTN293" s="473"/>
      <c r="TTO293" s="474"/>
      <c r="TTP293" s="475"/>
      <c r="TTQ293" s="476"/>
      <c r="TTR293" s="477"/>
      <c r="TTS293" s="475"/>
      <c r="TTT293" s="478"/>
      <c r="TTU293" s="479"/>
      <c r="TTV293" s="480"/>
      <c r="TTW293" s="481"/>
      <c r="TTX293" s="481"/>
      <c r="TTY293" s="482"/>
      <c r="TTZ293" s="189"/>
      <c r="TUA293" s="189"/>
      <c r="TUB293" s="483"/>
      <c r="TUC293" s="306"/>
      <c r="TUD293" s="484"/>
      <c r="TUE293" s="306"/>
      <c r="TUF293" s="267"/>
      <c r="TUG293" s="268"/>
      <c r="TUH293" s="306"/>
      <c r="TUI293" s="268"/>
      <c r="TUJ293" s="306"/>
      <c r="TUK293" s="485"/>
      <c r="TUL293" s="306"/>
      <c r="TUM293" s="486"/>
      <c r="TUN293" s="487"/>
      <c r="TUO293" s="488"/>
      <c r="TUP293" s="489"/>
      <c r="TUQ293" s="488"/>
      <c r="TUR293" s="468"/>
      <c r="TUS293" s="469"/>
      <c r="TUT293" s="470"/>
      <c r="TUU293" s="470"/>
      <c r="TUV293" s="306"/>
      <c r="TUW293" s="317"/>
      <c r="TUX293" s="471"/>
      <c r="TUY293" s="472"/>
      <c r="TUZ293" s="471"/>
      <c r="TVA293" s="473"/>
      <c r="TVB293" s="474"/>
      <c r="TVC293" s="475"/>
      <c r="TVD293" s="476"/>
      <c r="TVE293" s="477"/>
      <c r="TVF293" s="475"/>
      <c r="TVG293" s="478"/>
      <c r="TVH293" s="479"/>
      <c r="TVI293" s="480"/>
      <c r="TVJ293" s="481"/>
      <c r="TVK293" s="481"/>
      <c r="TVL293" s="482"/>
      <c r="TVM293" s="189"/>
      <c r="TVN293" s="189"/>
      <c r="TVO293" s="483"/>
      <c r="TVP293" s="306"/>
      <c r="TVQ293" s="484"/>
      <c r="TVR293" s="306"/>
      <c r="TVS293" s="267"/>
      <c r="TVT293" s="268"/>
      <c r="TVU293" s="306"/>
      <c r="TVV293" s="268"/>
      <c r="TVW293" s="306"/>
      <c r="TVX293" s="485"/>
      <c r="TVY293" s="306"/>
      <c r="TVZ293" s="486"/>
      <c r="TWA293" s="487"/>
      <c r="TWB293" s="488"/>
      <c r="TWC293" s="489"/>
      <c r="TWD293" s="488"/>
      <c r="TWE293" s="468"/>
      <c r="TWF293" s="469"/>
      <c r="TWG293" s="470"/>
      <c r="TWH293" s="470"/>
      <c r="TWI293" s="306"/>
      <c r="TWJ293" s="317"/>
      <c r="TWK293" s="471"/>
      <c r="TWL293" s="472"/>
      <c r="TWM293" s="471"/>
      <c r="TWN293" s="473"/>
      <c r="TWO293" s="474"/>
      <c r="TWP293" s="475"/>
      <c r="TWQ293" s="476"/>
      <c r="TWR293" s="477"/>
      <c r="TWS293" s="475"/>
      <c r="TWT293" s="478"/>
      <c r="TWU293" s="479"/>
      <c r="TWV293" s="480"/>
      <c r="TWW293" s="481"/>
      <c r="TWX293" s="481"/>
      <c r="TWY293" s="482"/>
      <c r="TWZ293" s="189"/>
      <c r="TXA293" s="189"/>
      <c r="TXB293" s="483"/>
      <c r="TXC293" s="306"/>
      <c r="TXD293" s="484"/>
      <c r="TXE293" s="306"/>
      <c r="TXF293" s="267"/>
      <c r="TXG293" s="268"/>
      <c r="TXH293" s="306"/>
      <c r="TXI293" s="268"/>
      <c r="TXJ293" s="306"/>
      <c r="TXK293" s="485"/>
      <c r="TXL293" s="306"/>
      <c r="TXM293" s="486"/>
      <c r="TXN293" s="487"/>
      <c r="TXO293" s="488"/>
      <c r="TXP293" s="489"/>
      <c r="TXQ293" s="488"/>
      <c r="TXR293" s="468"/>
      <c r="TXS293" s="469"/>
      <c r="TXT293" s="470"/>
      <c r="TXU293" s="470"/>
      <c r="TXV293" s="306"/>
      <c r="TXW293" s="317"/>
      <c r="TXX293" s="471"/>
      <c r="TXY293" s="472"/>
      <c r="TXZ293" s="471"/>
      <c r="TYA293" s="473"/>
      <c r="TYB293" s="474"/>
      <c r="TYC293" s="475"/>
      <c r="TYD293" s="476"/>
      <c r="TYE293" s="477"/>
      <c r="TYF293" s="475"/>
      <c r="TYG293" s="478"/>
      <c r="TYH293" s="479"/>
      <c r="TYI293" s="480"/>
      <c r="TYJ293" s="481"/>
      <c r="TYK293" s="481"/>
      <c r="TYL293" s="482"/>
      <c r="TYM293" s="189"/>
      <c r="TYN293" s="189"/>
      <c r="TYO293" s="483"/>
      <c r="TYP293" s="306"/>
      <c r="TYQ293" s="484"/>
      <c r="TYR293" s="306"/>
      <c r="TYS293" s="267"/>
      <c r="TYT293" s="268"/>
      <c r="TYU293" s="306"/>
      <c r="TYV293" s="268"/>
      <c r="TYW293" s="306"/>
      <c r="TYX293" s="485"/>
      <c r="TYY293" s="306"/>
      <c r="TYZ293" s="486"/>
      <c r="TZA293" s="487"/>
      <c r="TZB293" s="488"/>
      <c r="TZC293" s="489"/>
      <c r="TZD293" s="488"/>
      <c r="TZE293" s="468"/>
      <c r="TZF293" s="469"/>
      <c r="TZG293" s="470"/>
      <c r="TZH293" s="470"/>
      <c r="TZI293" s="306"/>
      <c r="TZJ293" s="317"/>
      <c r="TZK293" s="471"/>
      <c r="TZL293" s="472"/>
      <c r="TZM293" s="471"/>
      <c r="TZN293" s="473"/>
      <c r="TZO293" s="474"/>
      <c r="TZP293" s="475"/>
      <c r="TZQ293" s="476"/>
      <c r="TZR293" s="477"/>
      <c r="TZS293" s="475"/>
      <c r="TZT293" s="478"/>
      <c r="TZU293" s="479"/>
      <c r="TZV293" s="480"/>
      <c r="TZW293" s="481"/>
      <c r="TZX293" s="481"/>
      <c r="TZY293" s="482"/>
      <c r="TZZ293" s="189"/>
      <c r="UAA293" s="189"/>
      <c r="UAB293" s="483"/>
      <c r="UAC293" s="306"/>
      <c r="UAD293" s="484"/>
      <c r="UAE293" s="306"/>
      <c r="UAF293" s="267"/>
      <c r="UAG293" s="268"/>
      <c r="UAH293" s="306"/>
      <c r="UAI293" s="268"/>
      <c r="UAJ293" s="306"/>
      <c r="UAK293" s="485"/>
      <c r="UAL293" s="306"/>
      <c r="UAM293" s="486"/>
      <c r="UAN293" s="487"/>
      <c r="UAO293" s="488"/>
      <c r="UAP293" s="489"/>
      <c r="UAQ293" s="488"/>
      <c r="UAR293" s="468"/>
      <c r="UAS293" s="469"/>
      <c r="UAT293" s="470"/>
      <c r="UAU293" s="470"/>
      <c r="UAV293" s="306"/>
      <c r="UAW293" s="317"/>
      <c r="UAX293" s="471"/>
      <c r="UAY293" s="472"/>
      <c r="UAZ293" s="471"/>
      <c r="UBA293" s="473"/>
      <c r="UBB293" s="474"/>
      <c r="UBC293" s="475"/>
      <c r="UBD293" s="476"/>
      <c r="UBE293" s="477"/>
      <c r="UBF293" s="475"/>
      <c r="UBG293" s="478"/>
      <c r="UBH293" s="479"/>
      <c r="UBI293" s="480"/>
      <c r="UBJ293" s="481"/>
      <c r="UBK293" s="481"/>
      <c r="UBL293" s="482"/>
      <c r="UBM293" s="189"/>
      <c r="UBN293" s="189"/>
      <c r="UBO293" s="483"/>
      <c r="UBP293" s="306"/>
      <c r="UBQ293" s="484"/>
      <c r="UBR293" s="306"/>
      <c r="UBS293" s="267"/>
      <c r="UBT293" s="268"/>
      <c r="UBU293" s="306"/>
      <c r="UBV293" s="268"/>
      <c r="UBW293" s="306"/>
      <c r="UBX293" s="485"/>
      <c r="UBY293" s="306"/>
      <c r="UBZ293" s="486"/>
      <c r="UCA293" s="487"/>
      <c r="UCB293" s="488"/>
      <c r="UCC293" s="489"/>
      <c r="UCD293" s="488"/>
      <c r="UCE293" s="468"/>
      <c r="UCF293" s="469"/>
      <c r="UCG293" s="470"/>
      <c r="UCH293" s="470"/>
      <c r="UCI293" s="306"/>
      <c r="UCJ293" s="317"/>
      <c r="UCK293" s="471"/>
      <c r="UCL293" s="472"/>
      <c r="UCM293" s="471"/>
      <c r="UCN293" s="473"/>
      <c r="UCO293" s="474"/>
      <c r="UCP293" s="475"/>
      <c r="UCQ293" s="476"/>
      <c r="UCR293" s="477"/>
      <c r="UCS293" s="475"/>
      <c r="UCT293" s="478"/>
      <c r="UCU293" s="479"/>
      <c r="UCV293" s="480"/>
      <c r="UCW293" s="481"/>
      <c r="UCX293" s="481"/>
      <c r="UCY293" s="482"/>
      <c r="UCZ293" s="189"/>
      <c r="UDA293" s="189"/>
      <c r="UDB293" s="483"/>
      <c r="UDC293" s="306"/>
      <c r="UDD293" s="484"/>
      <c r="UDE293" s="306"/>
      <c r="UDF293" s="267"/>
      <c r="UDG293" s="268"/>
      <c r="UDH293" s="306"/>
      <c r="UDI293" s="268"/>
      <c r="UDJ293" s="306"/>
      <c r="UDK293" s="485"/>
      <c r="UDL293" s="306"/>
      <c r="UDM293" s="486"/>
      <c r="UDN293" s="487"/>
      <c r="UDO293" s="488"/>
      <c r="UDP293" s="489"/>
      <c r="UDQ293" s="488"/>
      <c r="UDR293" s="468"/>
      <c r="UDS293" s="469"/>
      <c r="UDT293" s="470"/>
      <c r="UDU293" s="470"/>
      <c r="UDV293" s="306"/>
      <c r="UDW293" s="317"/>
      <c r="UDX293" s="471"/>
      <c r="UDY293" s="472"/>
      <c r="UDZ293" s="471"/>
      <c r="UEA293" s="473"/>
      <c r="UEB293" s="474"/>
      <c r="UEC293" s="475"/>
      <c r="UED293" s="476"/>
      <c r="UEE293" s="477"/>
      <c r="UEF293" s="475"/>
      <c r="UEG293" s="478"/>
      <c r="UEH293" s="479"/>
      <c r="UEI293" s="480"/>
      <c r="UEJ293" s="481"/>
      <c r="UEK293" s="481"/>
      <c r="UEL293" s="482"/>
      <c r="UEM293" s="189"/>
      <c r="UEN293" s="189"/>
      <c r="UEO293" s="483"/>
      <c r="UEP293" s="306"/>
      <c r="UEQ293" s="484"/>
      <c r="UER293" s="306"/>
      <c r="UES293" s="267"/>
      <c r="UET293" s="268"/>
      <c r="UEU293" s="306"/>
      <c r="UEV293" s="268"/>
      <c r="UEW293" s="306"/>
      <c r="UEX293" s="485"/>
      <c r="UEY293" s="306"/>
      <c r="UEZ293" s="486"/>
      <c r="UFA293" s="487"/>
      <c r="UFB293" s="488"/>
      <c r="UFC293" s="489"/>
      <c r="UFD293" s="488"/>
      <c r="UFE293" s="468"/>
      <c r="UFF293" s="469"/>
      <c r="UFG293" s="470"/>
      <c r="UFH293" s="470"/>
      <c r="UFI293" s="306"/>
      <c r="UFJ293" s="317"/>
      <c r="UFK293" s="471"/>
      <c r="UFL293" s="472"/>
      <c r="UFM293" s="471"/>
      <c r="UFN293" s="473"/>
      <c r="UFO293" s="474"/>
      <c r="UFP293" s="475"/>
      <c r="UFQ293" s="476"/>
      <c r="UFR293" s="477"/>
      <c r="UFS293" s="475"/>
      <c r="UFT293" s="478"/>
      <c r="UFU293" s="479"/>
      <c r="UFV293" s="480"/>
      <c r="UFW293" s="481"/>
      <c r="UFX293" s="481"/>
      <c r="UFY293" s="482"/>
      <c r="UFZ293" s="189"/>
      <c r="UGA293" s="189"/>
      <c r="UGB293" s="483"/>
      <c r="UGC293" s="306"/>
      <c r="UGD293" s="484"/>
      <c r="UGE293" s="306"/>
      <c r="UGF293" s="267"/>
      <c r="UGG293" s="268"/>
      <c r="UGH293" s="306"/>
      <c r="UGI293" s="268"/>
      <c r="UGJ293" s="306"/>
      <c r="UGK293" s="485"/>
      <c r="UGL293" s="306"/>
      <c r="UGM293" s="486"/>
      <c r="UGN293" s="487"/>
      <c r="UGO293" s="488"/>
      <c r="UGP293" s="489"/>
      <c r="UGQ293" s="488"/>
      <c r="UGR293" s="468"/>
      <c r="UGS293" s="469"/>
      <c r="UGT293" s="470"/>
      <c r="UGU293" s="470"/>
      <c r="UGV293" s="306"/>
      <c r="UGW293" s="317"/>
      <c r="UGX293" s="471"/>
      <c r="UGY293" s="472"/>
      <c r="UGZ293" s="471"/>
      <c r="UHA293" s="473"/>
      <c r="UHB293" s="474"/>
      <c r="UHC293" s="475"/>
      <c r="UHD293" s="476"/>
      <c r="UHE293" s="477"/>
      <c r="UHF293" s="475"/>
      <c r="UHG293" s="478"/>
      <c r="UHH293" s="479"/>
      <c r="UHI293" s="480"/>
      <c r="UHJ293" s="481"/>
      <c r="UHK293" s="481"/>
      <c r="UHL293" s="482"/>
      <c r="UHM293" s="189"/>
      <c r="UHN293" s="189"/>
      <c r="UHO293" s="483"/>
      <c r="UHP293" s="306"/>
      <c r="UHQ293" s="484"/>
      <c r="UHR293" s="306"/>
      <c r="UHS293" s="267"/>
      <c r="UHT293" s="268"/>
      <c r="UHU293" s="306"/>
      <c r="UHV293" s="268"/>
      <c r="UHW293" s="306"/>
      <c r="UHX293" s="485"/>
      <c r="UHY293" s="306"/>
      <c r="UHZ293" s="486"/>
      <c r="UIA293" s="487"/>
      <c r="UIB293" s="488"/>
      <c r="UIC293" s="489"/>
      <c r="UID293" s="488"/>
      <c r="UIE293" s="468"/>
      <c r="UIF293" s="469"/>
      <c r="UIG293" s="470"/>
      <c r="UIH293" s="470"/>
      <c r="UII293" s="306"/>
      <c r="UIJ293" s="317"/>
      <c r="UIK293" s="471"/>
      <c r="UIL293" s="472"/>
      <c r="UIM293" s="471"/>
      <c r="UIN293" s="473"/>
      <c r="UIO293" s="474"/>
      <c r="UIP293" s="475"/>
      <c r="UIQ293" s="476"/>
      <c r="UIR293" s="477"/>
      <c r="UIS293" s="475"/>
      <c r="UIT293" s="478"/>
      <c r="UIU293" s="479"/>
      <c r="UIV293" s="480"/>
      <c r="UIW293" s="481"/>
      <c r="UIX293" s="481"/>
      <c r="UIY293" s="482"/>
      <c r="UIZ293" s="189"/>
      <c r="UJA293" s="189"/>
      <c r="UJB293" s="483"/>
      <c r="UJC293" s="306"/>
      <c r="UJD293" s="484"/>
      <c r="UJE293" s="306"/>
      <c r="UJF293" s="267"/>
      <c r="UJG293" s="268"/>
      <c r="UJH293" s="306"/>
      <c r="UJI293" s="268"/>
      <c r="UJJ293" s="306"/>
      <c r="UJK293" s="485"/>
      <c r="UJL293" s="306"/>
      <c r="UJM293" s="486"/>
      <c r="UJN293" s="487"/>
      <c r="UJO293" s="488"/>
      <c r="UJP293" s="489"/>
      <c r="UJQ293" s="488"/>
      <c r="UJR293" s="468"/>
      <c r="UJS293" s="469"/>
      <c r="UJT293" s="470"/>
      <c r="UJU293" s="470"/>
      <c r="UJV293" s="306"/>
      <c r="UJW293" s="317"/>
      <c r="UJX293" s="471"/>
      <c r="UJY293" s="472"/>
      <c r="UJZ293" s="471"/>
      <c r="UKA293" s="473"/>
      <c r="UKB293" s="474"/>
      <c r="UKC293" s="475"/>
      <c r="UKD293" s="476"/>
      <c r="UKE293" s="477"/>
      <c r="UKF293" s="475"/>
      <c r="UKG293" s="478"/>
      <c r="UKH293" s="479"/>
      <c r="UKI293" s="480"/>
      <c r="UKJ293" s="481"/>
      <c r="UKK293" s="481"/>
      <c r="UKL293" s="482"/>
      <c r="UKM293" s="189"/>
      <c r="UKN293" s="189"/>
      <c r="UKO293" s="483"/>
      <c r="UKP293" s="306"/>
      <c r="UKQ293" s="484"/>
      <c r="UKR293" s="306"/>
      <c r="UKS293" s="267"/>
      <c r="UKT293" s="268"/>
      <c r="UKU293" s="306"/>
      <c r="UKV293" s="268"/>
      <c r="UKW293" s="306"/>
      <c r="UKX293" s="485"/>
      <c r="UKY293" s="306"/>
      <c r="UKZ293" s="486"/>
      <c r="ULA293" s="487"/>
      <c r="ULB293" s="488"/>
      <c r="ULC293" s="489"/>
      <c r="ULD293" s="488"/>
      <c r="ULE293" s="468"/>
      <c r="ULF293" s="469"/>
      <c r="ULG293" s="470"/>
      <c r="ULH293" s="470"/>
      <c r="ULI293" s="306"/>
      <c r="ULJ293" s="317"/>
      <c r="ULK293" s="471"/>
      <c r="ULL293" s="472"/>
      <c r="ULM293" s="471"/>
      <c r="ULN293" s="473"/>
      <c r="ULO293" s="474"/>
      <c r="ULP293" s="475"/>
      <c r="ULQ293" s="476"/>
      <c r="ULR293" s="477"/>
      <c r="ULS293" s="475"/>
      <c r="ULT293" s="478"/>
      <c r="ULU293" s="479"/>
      <c r="ULV293" s="480"/>
      <c r="ULW293" s="481"/>
      <c r="ULX293" s="481"/>
      <c r="ULY293" s="482"/>
      <c r="ULZ293" s="189"/>
      <c r="UMA293" s="189"/>
      <c r="UMB293" s="483"/>
      <c r="UMC293" s="306"/>
      <c r="UMD293" s="484"/>
      <c r="UME293" s="306"/>
      <c r="UMF293" s="267"/>
      <c r="UMG293" s="268"/>
      <c r="UMH293" s="306"/>
      <c r="UMI293" s="268"/>
      <c r="UMJ293" s="306"/>
      <c r="UMK293" s="485"/>
      <c r="UML293" s="306"/>
      <c r="UMM293" s="486"/>
      <c r="UMN293" s="487"/>
      <c r="UMO293" s="488"/>
      <c r="UMP293" s="489"/>
      <c r="UMQ293" s="488"/>
      <c r="UMR293" s="468"/>
      <c r="UMS293" s="469"/>
      <c r="UMT293" s="470"/>
      <c r="UMU293" s="470"/>
      <c r="UMV293" s="306"/>
      <c r="UMW293" s="317"/>
      <c r="UMX293" s="471"/>
      <c r="UMY293" s="472"/>
      <c r="UMZ293" s="471"/>
      <c r="UNA293" s="473"/>
      <c r="UNB293" s="474"/>
      <c r="UNC293" s="475"/>
      <c r="UND293" s="476"/>
      <c r="UNE293" s="477"/>
      <c r="UNF293" s="475"/>
      <c r="UNG293" s="478"/>
      <c r="UNH293" s="479"/>
      <c r="UNI293" s="480"/>
      <c r="UNJ293" s="481"/>
      <c r="UNK293" s="481"/>
      <c r="UNL293" s="482"/>
      <c r="UNM293" s="189"/>
      <c r="UNN293" s="189"/>
      <c r="UNO293" s="483"/>
      <c r="UNP293" s="306"/>
      <c r="UNQ293" s="484"/>
      <c r="UNR293" s="306"/>
      <c r="UNS293" s="267"/>
      <c r="UNT293" s="268"/>
      <c r="UNU293" s="306"/>
      <c r="UNV293" s="268"/>
      <c r="UNW293" s="306"/>
      <c r="UNX293" s="485"/>
      <c r="UNY293" s="306"/>
      <c r="UNZ293" s="486"/>
      <c r="UOA293" s="487"/>
      <c r="UOB293" s="488"/>
      <c r="UOC293" s="489"/>
      <c r="UOD293" s="488"/>
      <c r="UOE293" s="468"/>
      <c r="UOF293" s="469"/>
      <c r="UOG293" s="470"/>
      <c r="UOH293" s="470"/>
      <c r="UOI293" s="306"/>
      <c r="UOJ293" s="317"/>
      <c r="UOK293" s="471"/>
      <c r="UOL293" s="472"/>
      <c r="UOM293" s="471"/>
      <c r="UON293" s="473"/>
      <c r="UOO293" s="474"/>
      <c r="UOP293" s="475"/>
      <c r="UOQ293" s="476"/>
      <c r="UOR293" s="477"/>
      <c r="UOS293" s="475"/>
      <c r="UOT293" s="478"/>
      <c r="UOU293" s="479"/>
      <c r="UOV293" s="480"/>
      <c r="UOW293" s="481"/>
      <c r="UOX293" s="481"/>
      <c r="UOY293" s="482"/>
      <c r="UOZ293" s="189"/>
      <c r="UPA293" s="189"/>
      <c r="UPB293" s="483"/>
      <c r="UPC293" s="306"/>
      <c r="UPD293" s="484"/>
      <c r="UPE293" s="306"/>
      <c r="UPF293" s="267"/>
      <c r="UPG293" s="268"/>
      <c r="UPH293" s="306"/>
      <c r="UPI293" s="268"/>
      <c r="UPJ293" s="306"/>
      <c r="UPK293" s="485"/>
      <c r="UPL293" s="306"/>
      <c r="UPM293" s="486"/>
      <c r="UPN293" s="487"/>
      <c r="UPO293" s="488"/>
      <c r="UPP293" s="489"/>
      <c r="UPQ293" s="488"/>
      <c r="UPR293" s="468"/>
      <c r="UPS293" s="469"/>
      <c r="UPT293" s="470"/>
      <c r="UPU293" s="470"/>
      <c r="UPV293" s="306"/>
      <c r="UPW293" s="317"/>
      <c r="UPX293" s="471"/>
      <c r="UPY293" s="472"/>
      <c r="UPZ293" s="471"/>
      <c r="UQA293" s="473"/>
      <c r="UQB293" s="474"/>
      <c r="UQC293" s="475"/>
      <c r="UQD293" s="476"/>
      <c r="UQE293" s="477"/>
      <c r="UQF293" s="475"/>
      <c r="UQG293" s="478"/>
      <c r="UQH293" s="479"/>
      <c r="UQI293" s="480"/>
      <c r="UQJ293" s="481"/>
      <c r="UQK293" s="481"/>
      <c r="UQL293" s="482"/>
      <c r="UQM293" s="189"/>
      <c r="UQN293" s="189"/>
      <c r="UQO293" s="483"/>
      <c r="UQP293" s="306"/>
      <c r="UQQ293" s="484"/>
      <c r="UQR293" s="306"/>
      <c r="UQS293" s="267"/>
      <c r="UQT293" s="268"/>
      <c r="UQU293" s="306"/>
      <c r="UQV293" s="268"/>
      <c r="UQW293" s="306"/>
      <c r="UQX293" s="485"/>
      <c r="UQY293" s="306"/>
      <c r="UQZ293" s="486"/>
      <c r="URA293" s="487"/>
      <c r="URB293" s="488"/>
      <c r="URC293" s="489"/>
      <c r="URD293" s="488"/>
      <c r="URE293" s="468"/>
      <c r="URF293" s="469"/>
      <c r="URG293" s="470"/>
      <c r="URH293" s="470"/>
      <c r="URI293" s="306"/>
      <c r="URJ293" s="317"/>
      <c r="URK293" s="471"/>
      <c r="URL293" s="472"/>
      <c r="URM293" s="471"/>
      <c r="URN293" s="473"/>
      <c r="URO293" s="474"/>
      <c r="URP293" s="475"/>
      <c r="URQ293" s="476"/>
      <c r="URR293" s="477"/>
      <c r="URS293" s="475"/>
      <c r="URT293" s="478"/>
      <c r="URU293" s="479"/>
      <c r="URV293" s="480"/>
      <c r="URW293" s="481"/>
      <c r="URX293" s="481"/>
      <c r="URY293" s="482"/>
      <c r="URZ293" s="189"/>
      <c r="USA293" s="189"/>
      <c r="USB293" s="483"/>
      <c r="USC293" s="306"/>
      <c r="USD293" s="484"/>
      <c r="USE293" s="306"/>
      <c r="USF293" s="267"/>
      <c r="USG293" s="268"/>
      <c r="USH293" s="306"/>
      <c r="USI293" s="268"/>
      <c r="USJ293" s="306"/>
      <c r="USK293" s="485"/>
      <c r="USL293" s="306"/>
      <c r="USM293" s="486"/>
      <c r="USN293" s="487"/>
      <c r="USO293" s="488"/>
      <c r="USP293" s="489"/>
      <c r="USQ293" s="488"/>
      <c r="USR293" s="468"/>
      <c r="USS293" s="469"/>
      <c r="UST293" s="470"/>
      <c r="USU293" s="470"/>
      <c r="USV293" s="306"/>
      <c r="USW293" s="317"/>
      <c r="USX293" s="471"/>
      <c r="USY293" s="472"/>
      <c r="USZ293" s="471"/>
      <c r="UTA293" s="473"/>
      <c r="UTB293" s="474"/>
      <c r="UTC293" s="475"/>
      <c r="UTD293" s="476"/>
      <c r="UTE293" s="477"/>
      <c r="UTF293" s="475"/>
      <c r="UTG293" s="478"/>
      <c r="UTH293" s="479"/>
      <c r="UTI293" s="480"/>
      <c r="UTJ293" s="481"/>
      <c r="UTK293" s="481"/>
      <c r="UTL293" s="482"/>
      <c r="UTM293" s="189"/>
      <c r="UTN293" s="189"/>
      <c r="UTO293" s="483"/>
      <c r="UTP293" s="306"/>
      <c r="UTQ293" s="484"/>
      <c r="UTR293" s="306"/>
      <c r="UTS293" s="267"/>
      <c r="UTT293" s="268"/>
      <c r="UTU293" s="306"/>
      <c r="UTV293" s="268"/>
      <c r="UTW293" s="306"/>
      <c r="UTX293" s="485"/>
      <c r="UTY293" s="306"/>
      <c r="UTZ293" s="486"/>
      <c r="UUA293" s="487"/>
      <c r="UUB293" s="488"/>
      <c r="UUC293" s="489"/>
      <c r="UUD293" s="488"/>
      <c r="UUE293" s="468"/>
      <c r="UUF293" s="469"/>
      <c r="UUG293" s="470"/>
      <c r="UUH293" s="470"/>
      <c r="UUI293" s="306"/>
      <c r="UUJ293" s="317"/>
      <c r="UUK293" s="471"/>
      <c r="UUL293" s="472"/>
      <c r="UUM293" s="471"/>
      <c r="UUN293" s="473"/>
      <c r="UUO293" s="474"/>
      <c r="UUP293" s="475"/>
      <c r="UUQ293" s="476"/>
      <c r="UUR293" s="477"/>
      <c r="UUS293" s="475"/>
      <c r="UUT293" s="478"/>
      <c r="UUU293" s="479"/>
      <c r="UUV293" s="480"/>
      <c r="UUW293" s="481"/>
      <c r="UUX293" s="481"/>
      <c r="UUY293" s="482"/>
      <c r="UUZ293" s="189"/>
      <c r="UVA293" s="189"/>
      <c r="UVB293" s="483"/>
      <c r="UVC293" s="306"/>
      <c r="UVD293" s="484"/>
      <c r="UVE293" s="306"/>
      <c r="UVF293" s="267"/>
      <c r="UVG293" s="268"/>
      <c r="UVH293" s="306"/>
      <c r="UVI293" s="268"/>
      <c r="UVJ293" s="306"/>
      <c r="UVK293" s="485"/>
      <c r="UVL293" s="306"/>
      <c r="UVM293" s="486"/>
      <c r="UVN293" s="487"/>
      <c r="UVO293" s="488"/>
      <c r="UVP293" s="489"/>
      <c r="UVQ293" s="488"/>
      <c r="UVR293" s="468"/>
      <c r="UVS293" s="469"/>
      <c r="UVT293" s="470"/>
      <c r="UVU293" s="470"/>
      <c r="UVV293" s="306"/>
      <c r="UVW293" s="317"/>
      <c r="UVX293" s="471"/>
      <c r="UVY293" s="472"/>
      <c r="UVZ293" s="471"/>
      <c r="UWA293" s="473"/>
      <c r="UWB293" s="474"/>
      <c r="UWC293" s="475"/>
      <c r="UWD293" s="476"/>
      <c r="UWE293" s="477"/>
      <c r="UWF293" s="475"/>
      <c r="UWG293" s="478"/>
      <c r="UWH293" s="479"/>
      <c r="UWI293" s="480"/>
      <c r="UWJ293" s="481"/>
      <c r="UWK293" s="481"/>
      <c r="UWL293" s="482"/>
      <c r="UWM293" s="189"/>
      <c r="UWN293" s="189"/>
      <c r="UWO293" s="483"/>
      <c r="UWP293" s="306"/>
      <c r="UWQ293" s="484"/>
      <c r="UWR293" s="306"/>
      <c r="UWS293" s="267"/>
      <c r="UWT293" s="268"/>
      <c r="UWU293" s="306"/>
      <c r="UWV293" s="268"/>
      <c r="UWW293" s="306"/>
      <c r="UWX293" s="485"/>
      <c r="UWY293" s="306"/>
      <c r="UWZ293" s="486"/>
      <c r="UXA293" s="487"/>
      <c r="UXB293" s="488"/>
      <c r="UXC293" s="489"/>
      <c r="UXD293" s="488"/>
      <c r="UXE293" s="468"/>
      <c r="UXF293" s="469"/>
      <c r="UXG293" s="470"/>
      <c r="UXH293" s="470"/>
      <c r="UXI293" s="306"/>
      <c r="UXJ293" s="317"/>
      <c r="UXK293" s="471"/>
      <c r="UXL293" s="472"/>
      <c r="UXM293" s="471"/>
      <c r="UXN293" s="473"/>
      <c r="UXO293" s="474"/>
      <c r="UXP293" s="475"/>
      <c r="UXQ293" s="476"/>
      <c r="UXR293" s="477"/>
      <c r="UXS293" s="475"/>
      <c r="UXT293" s="478"/>
      <c r="UXU293" s="479"/>
      <c r="UXV293" s="480"/>
      <c r="UXW293" s="481"/>
      <c r="UXX293" s="481"/>
      <c r="UXY293" s="482"/>
      <c r="UXZ293" s="189"/>
      <c r="UYA293" s="189"/>
      <c r="UYB293" s="483"/>
      <c r="UYC293" s="306"/>
      <c r="UYD293" s="484"/>
      <c r="UYE293" s="306"/>
      <c r="UYF293" s="267"/>
      <c r="UYG293" s="268"/>
      <c r="UYH293" s="306"/>
      <c r="UYI293" s="268"/>
      <c r="UYJ293" s="306"/>
      <c r="UYK293" s="485"/>
      <c r="UYL293" s="306"/>
      <c r="UYM293" s="486"/>
      <c r="UYN293" s="487"/>
      <c r="UYO293" s="488"/>
      <c r="UYP293" s="489"/>
      <c r="UYQ293" s="488"/>
      <c r="UYR293" s="468"/>
      <c r="UYS293" s="469"/>
      <c r="UYT293" s="470"/>
      <c r="UYU293" s="470"/>
      <c r="UYV293" s="306"/>
      <c r="UYW293" s="317"/>
      <c r="UYX293" s="471"/>
      <c r="UYY293" s="472"/>
      <c r="UYZ293" s="471"/>
      <c r="UZA293" s="473"/>
      <c r="UZB293" s="474"/>
      <c r="UZC293" s="475"/>
      <c r="UZD293" s="476"/>
      <c r="UZE293" s="477"/>
      <c r="UZF293" s="475"/>
      <c r="UZG293" s="478"/>
      <c r="UZH293" s="479"/>
      <c r="UZI293" s="480"/>
      <c r="UZJ293" s="481"/>
      <c r="UZK293" s="481"/>
      <c r="UZL293" s="482"/>
      <c r="UZM293" s="189"/>
      <c r="UZN293" s="189"/>
      <c r="UZO293" s="483"/>
      <c r="UZP293" s="306"/>
      <c r="UZQ293" s="484"/>
      <c r="UZR293" s="306"/>
      <c r="UZS293" s="267"/>
      <c r="UZT293" s="268"/>
      <c r="UZU293" s="306"/>
      <c r="UZV293" s="268"/>
      <c r="UZW293" s="306"/>
      <c r="UZX293" s="485"/>
      <c r="UZY293" s="306"/>
      <c r="UZZ293" s="486"/>
      <c r="VAA293" s="487"/>
      <c r="VAB293" s="488"/>
      <c r="VAC293" s="489"/>
      <c r="VAD293" s="488"/>
      <c r="VAE293" s="468"/>
      <c r="VAF293" s="469"/>
      <c r="VAG293" s="470"/>
      <c r="VAH293" s="470"/>
      <c r="VAI293" s="306"/>
      <c r="VAJ293" s="317"/>
      <c r="VAK293" s="471"/>
      <c r="VAL293" s="472"/>
      <c r="VAM293" s="471"/>
      <c r="VAN293" s="473"/>
      <c r="VAO293" s="474"/>
      <c r="VAP293" s="475"/>
      <c r="VAQ293" s="476"/>
      <c r="VAR293" s="477"/>
      <c r="VAS293" s="475"/>
      <c r="VAT293" s="478"/>
      <c r="VAU293" s="479"/>
      <c r="VAV293" s="480"/>
      <c r="VAW293" s="481"/>
      <c r="VAX293" s="481"/>
      <c r="VAY293" s="482"/>
      <c r="VAZ293" s="189"/>
      <c r="VBA293" s="189"/>
      <c r="VBB293" s="483"/>
      <c r="VBC293" s="306"/>
      <c r="VBD293" s="484"/>
      <c r="VBE293" s="306"/>
      <c r="VBF293" s="267"/>
      <c r="VBG293" s="268"/>
      <c r="VBH293" s="306"/>
      <c r="VBI293" s="268"/>
      <c r="VBJ293" s="306"/>
      <c r="VBK293" s="485"/>
      <c r="VBL293" s="306"/>
      <c r="VBM293" s="486"/>
      <c r="VBN293" s="487"/>
      <c r="VBO293" s="488"/>
      <c r="VBP293" s="489"/>
      <c r="VBQ293" s="488"/>
      <c r="VBR293" s="468"/>
      <c r="VBS293" s="469"/>
      <c r="VBT293" s="470"/>
      <c r="VBU293" s="470"/>
      <c r="VBV293" s="306"/>
      <c r="VBW293" s="317"/>
      <c r="VBX293" s="471"/>
      <c r="VBY293" s="472"/>
      <c r="VBZ293" s="471"/>
      <c r="VCA293" s="473"/>
      <c r="VCB293" s="474"/>
      <c r="VCC293" s="475"/>
      <c r="VCD293" s="476"/>
      <c r="VCE293" s="477"/>
      <c r="VCF293" s="475"/>
      <c r="VCG293" s="478"/>
      <c r="VCH293" s="479"/>
      <c r="VCI293" s="480"/>
      <c r="VCJ293" s="481"/>
      <c r="VCK293" s="481"/>
      <c r="VCL293" s="482"/>
      <c r="VCM293" s="189"/>
      <c r="VCN293" s="189"/>
      <c r="VCO293" s="483"/>
      <c r="VCP293" s="306"/>
      <c r="VCQ293" s="484"/>
      <c r="VCR293" s="306"/>
      <c r="VCS293" s="267"/>
      <c r="VCT293" s="268"/>
      <c r="VCU293" s="306"/>
      <c r="VCV293" s="268"/>
      <c r="VCW293" s="306"/>
      <c r="VCX293" s="485"/>
      <c r="VCY293" s="306"/>
      <c r="VCZ293" s="486"/>
      <c r="VDA293" s="487"/>
      <c r="VDB293" s="488"/>
      <c r="VDC293" s="489"/>
      <c r="VDD293" s="488"/>
      <c r="VDE293" s="468"/>
      <c r="VDF293" s="469"/>
      <c r="VDG293" s="470"/>
      <c r="VDH293" s="470"/>
      <c r="VDI293" s="306"/>
      <c r="VDJ293" s="317"/>
      <c r="VDK293" s="471"/>
      <c r="VDL293" s="472"/>
      <c r="VDM293" s="471"/>
      <c r="VDN293" s="473"/>
      <c r="VDO293" s="474"/>
      <c r="VDP293" s="475"/>
      <c r="VDQ293" s="476"/>
      <c r="VDR293" s="477"/>
      <c r="VDS293" s="475"/>
      <c r="VDT293" s="478"/>
      <c r="VDU293" s="479"/>
      <c r="VDV293" s="480"/>
      <c r="VDW293" s="481"/>
      <c r="VDX293" s="481"/>
      <c r="VDY293" s="482"/>
      <c r="VDZ293" s="189"/>
      <c r="VEA293" s="189"/>
      <c r="VEB293" s="483"/>
      <c r="VEC293" s="306"/>
      <c r="VED293" s="484"/>
      <c r="VEE293" s="306"/>
      <c r="VEF293" s="267"/>
      <c r="VEG293" s="268"/>
      <c r="VEH293" s="306"/>
      <c r="VEI293" s="268"/>
      <c r="VEJ293" s="306"/>
      <c r="VEK293" s="485"/>
      <c r="VEL293" s="306"/>
      <c r="VEM293" s="486"/>
      <c r="VEN293" s="487"/>
      <c r="VEO293" s="488"/>
      <c r="VEP293" s="489"/>
      <c r="VEQ293" s="488"/>
      <c r="VER293" s="468"/>
      <c r="VES293" s="469"/>
      <c r="VET293" s="470"/>
      <c r="VEU293" s="470"/>
      <c r="VEV293" s="306"/>
      <c r="VEW293" s="317"/>
      <c r="VEX293" s="471"/>
      <c r="VEY293" s="472"/>
      <c r="VEZ293" s="471"/>
      <c r="VFA293" s="473"/>
      <c r="VFB293" s="474"/>
      <c r="VFC293" s="475"/>
      <c r="VFD293" s="476"/>
      <c r="VFE293" s="477"/>
      <c r="VFF293" s="475"/>
      <c r="VFG293" s="478"/>
      <c r="VFH293" s="479"/>
      <c r="VFI293" s="480"/>
      <c r="VFJ293" s="481"/>
      <c r="VFK293" s="481"/>
      <c r="VFL293" s="482"/>
      <c r="VFM293" s="189"/>
      <c r="VFN293" s="189"/>
      <c r="VFO293" s="483"/>
      <c r="VFP293" s="306"/>
      <c r="VFQ293" s="484"/>
      <c r="VFR293" s="306"/>
      <c r="VFS293" s="267"/>
      <c r="VFT293" s="268"/>
      <c r="VFU293" s="306"/>
      <c r="VFV293" s="268"/>
      <c r="VFW293" s="306"/>
      <c r="VFX293" s="485"/>
      <c r="VFY293" s="306"/>
      <c r="VFZ293" s="486"/>
      <c r="VGA293" s="487"/>
      <c r="VGB293" s="488"/>
      <c r="VGC293" s="489"/>
      <c r="VGD293" s="488"/>
      <c r="VGE293" s="468"/>
      <c r="VGF293" s="469"/>
      <c r="VGG293" s="470"/>
      <c r="VGH293" s="470"/>
      <c r="VGI293" s="306"/>
      <c r="VGJ293" s="317"/>
      <c r="VGK293" s="471"/>
      <c r="VGL293" s="472"/>
      <c r="VGM293" s="471"/>
      <c r="VGN293" s="473"/>
      <c r="VGO293" s="474"/>
      <c r="VGP293" s="475"/>
      <c r="VGQ293" s="476"/>
      <c r="VGR293" s="477"/>
      <c r="VGS293" s="475"/>
      <c r="VGT293" s="478"/>
      <c r="VGU293" s="479"/>
      <c r="VGV293" s="480"/>
      <c r="VGW293" s="481"/>
      <c r="VGX293" s="481"/>
      <c r="VGY293" s="482"/>
      <c r="VGZ293" s="189"/>
      <c r="VHA293" s="189"/>
      <c r="VHB293" s="483"/>
      <c r="VHC293" s="306"/>
      <c r="VHD293" s="484"/>
      <c r="VHE293" s="306"/>
      <c r="VHF293" s="267"/>
      <c r="VHG293" s="268"/>
      <c r="VHH293" s="306"/>
      <c r="VHI293" s="268"/>
      <c r="VHJ293" s="306"/>
      <c r="VHK293" s="485"/>
      <c r="VHL293" s="306"/>
      <c r="VHM293" s="486"/>
      <c r="VHN293" s="487"/>
      <c r="VHO293" s="488"/>
      <c r="VHP293" s="489"/>
      <c r="VHQ293" s="488"/>
      <c r="VHR293" s="468"/>
      <c r="VHS293" s="469"/>
      <c r="VHT293" s="470"/>
      <c r="VHU293" s="470"/>
      <c r="VHV293" s="306"/>
      <c r="VHW293" s="317"/>
      <c r="VHX293" s="471"/>
      <c r="VHY293" s="472"/>
      <c r="VHZ293" s="471"/>
      <c r="VIA293" s="473"/>
      <c r="VIB293" s="474"/>
      <c r="VIC293" s="475"/>
      <c r="VID293" s="476"/>
      <c r="VIE293" s="477"/>
      <c r="VIF293" s="475"/>
      <c r="VIG293" s="478"/>
      <c r="VIH293" s="479"/>
      <c r="VII293" s="480"/>
      <c r="VIJ293" s="481"/>
      <c r="VIK293" s="481"/>
      <c r="VIL293" s="482"/>
      <c r="VIM293" s="189"/>
      <c r="VIN293" s="189"/>
      <c r="VIO293" s="483"/>
      <c r="VIP293" s="306"/>
      <c r="VIQ293" s="484"/>
      <c r="VIR293" s="306"/>
      <c r="VIS293" s="267"/>
      <c r="VIT293" s="268"/>
      <c r="VIU293" s="306"/>
      <c r="VIV293" s="268"/>
      <c r="VIW293" s="306"/>
      <c r="VIX293" s="485"/>
      <c r="VIY293" s="306"/>
      <c r="VIZ293" s="486"/>
      <c r="VJA293" s="487"/>
      <c r="VJB293" s="488"/>
      <c r="VJC293" s="489"/>
      <c r="VJD293" s="488"/>
      <c r="VJE293" s="468"/>
      <c r="VJF293" s="469"/>
      <c r="VJG293" s="470"/>
      <c r="VJH293" s="470"/>
      <c r="VJI293" s="306"/>
      <c r="VJJ293" s="317"/>
      <c r="VJK293" s="471"/>
      <c r="VJL293" s="472"/>
      <c r="VJM293" s="471"/>
      <c r="VJN293" s="473"/>
      <c r="VJO293" s="474"/>
      <c r="VJP293" s="475"/>
      <c r="VJQ293" s="476"/>
      <c r="VJR293" s="477"/>
      <c r="VJS293" s="475"/>
      <c r="VJT293" s="478"/>
      <c r="VJU293" s="479"/>
      <c r="VJV293" s="480"/>
      <c r="VJW293" s="481"/>
      <c r="VJX293" s="481"/>
      <c r="VJY293" s="482"/>
      <c r="VJZ293" s="189"/>
      <c r="VKA293" s="189"/>
      <c r="VKB293" s="483"/>
      <c r="VKC293" s="306"/>
      <c r="VKD293" s="484"/>
      <c r="VKE293" s="306"/>
      <c r="VKF293" s="267"/>
      <c r="VKG293" s="268"/>
      <c r="VKH293" s="306"/>
      <c r="VKI293" s="268"/>
      <c r="VKJ293" s="306"/>
      <c r="VKK293" s="485"/>
      <c r="VKL293" s="306"/>
      <c r="VKM293" s="486"/>
      <c r="VKN293" s="487"/>
      <c r="VKO293" s="488"/>
      <c r="VKP293" s="489"/>
      <c r="VKQ293" s="488"/>
      <c r="VKR293" s="468"/>
      <c r="VKS293" s="469"/>
      <c r="VKT293" s="470"/>
      <c r="VKU293" s="470"/>
      <c r="VKV293" s="306"/>
      <c r="VKW293" s="317"/>
      <c r="VKX293" s="471"/>
      <c r="VKY293" s="472"/>
      <c r="VKZ293" s="471"/>
      <c r="VLA293" s="473"/>
      <c r="VLB293" s="474"/>
      <c r="VLC293" s="475"/>
      <c r="VLD293" s="476"/>
      <c r="VLE293" s="477"/>
      <c r="VLF293" s="475"/>
      <c r="VLG293" s="478"/>
      <c r="VLH293" s="479"/>
      <c r="VLI293" s="480"/>
      <c r="VLJ293" s="481"/>
      <c r="VLK293" s="481"/>
      <c r="VLL293" s="482"/>
      <c r="VLM293" s="189"/>
      <c r="VLN293" s="189"/>
      <c r="VLO293" s="483"/>
      <c r="VLP293" s="306"/>
      <c r="VLQ293" s="484"/>
      <c r="VLR293" s="306"/>
      <c r="VLS293" s="267"/>
      <c r="VLT293" s="268"/>
      <c r="VLU293" s="306"/>
      <c r="VLV293" s="268"/>
      <c r="VLW293" s="306"/>
      <c r="VLX293" s="485"/>
      <c r="VLY293" s="306"/>
      <c r="VLZ293" s="486"/>
      <c r="VMA293" s="487"/>
      <c r="VMB293" s="488"/>
      <c r="VMC293" s="489"/>
      <c r="VMD293" s="488"/>
      <c r="VME293" s="468"/>
      <c r="VMF293" s="469"/>
      <c r="VMG293" s="470"/>
      <c r="VMH293" s="470"/>
      <c r="VMI293" s="306"/>
      <c r="VMJ293" s="317"/>
      <c r="VMK293" s="471"/>
      <c r="VML293" s="472"/>
      <c r="VMM293" s="471"/>
      <c r="VMN293" s="473"/>
      <c r="VMO293" s="474"/>
      <c r="VMP293" s="475"/>
      <c r="VMQ293" s="476"/>
      <c r="VMR293" s="477"/>
      <c r="VMS293" s="475"/>
      <c r="VMT293" s="478"/>
      <c r="VMU293" s="479"/>
      <c r="VMV293" s="480"/>
      <c r="VMW293" s="481"/>
      <c r="VMX293" s="481"/>
      <c r="VMY293" s="482"/>
      <c r="VMZ293" s="189"/>
      <c r="VNA293" s="189"/>
      <c r="VNB293" s="483"/>
      <c r="VNC293" s="306"/>
      <c r="VND293" s="484"/>
      <c r="VNE293" s="306"/>
      <c r="VNF293" s="267"/>
      <c r="VNG293" s="268"/>
      <c r="VNH293" s="306"/>
      <c r="VNI293" s="268"/>
      <c r="VNJ293" s="306"/>
      <c r="VNK293" s="485"/>
      <c r="VNL293" s="306"/>
      <c r="VNM293" s="486"/>
      <c r="VNN293" s="487"/>
      <c r="VNO293" s="488"/>
      <c r="VNP293" s="489"/>
      <c r="VNQ293" s="488"/>
      <c r="VNR293" s="468"/>
      <c r="VNS293" s="469"/>
      <c r="VNT293" s="470"/>
      <c r="VNU293" s="470"/>
      <c r="VNV293" s="306"/>
      <c r="VNW293" s="317"/>
      <c r="VNX293" s="471"/>
      <c r="VNY293" s="472"/>
      <c r="VNZ293" s="471"/>
      <c r="VOA293" s="473"/>
      <c r="VOB293" s="474"/>
      <c r="VOC293" s="475"/>
      <c r="VOD293" s="476"/>
      <c r="VOE293" s="477"/>
      <c r="VOF293" s="475"/>
      <c r="VOG293" s="478"/>
      <c r="VOH293" s="479"/>
      <c r="VOI293" s="480"/>
      <c r="VOJ293" s="481"/>
      <c r="VOK293" s="481"/>
      <c r="VOL293" s="482"/>
      <c r="VOM293" s="189"/>
      <c r="VON293" s="189"/>
      <c r="VOO293" s="483"/>
      <c r="VOP293" s="306"/>
      <c r="VOQ293" s="484"/>
      <c r="VOR293" s="306"/>
      <c r="VOS293" s="267"/>
      <c r="VOT293" s="268"/>
      <c r="VOU293" s="306"/>
      <c r="VOV293" s="268"/>
      <c r="VOW293" s="306"/>
      <c r="VOX293" s="485"/>
      <c r="VOY293" s="306"/>
      <c r="VOZ293" s="486"/>
      <c r="VPA293" s="487"/>
      <c r="VPB293" s="488"/>
      <c r="VPC293" s="489"/>
      <c r="VPD293" s="488"/>
      <c r="VPE293" s="468"/>
      <c r="VPF293" s="469"/>
      <c r="VPG293" s="470"/>
      <c r="VPH293" s="470"/>
      <c r="VPI293" s="306"/>
      <c r="VPJ293" s="317"/>
      <c r="VPK293" s="471"/>
      <c r="VPL293" s="472"/>
      <c r="VPM293" s="471"/>
      <c r="VPN293" s="473"/>
      <c r="VPO293" s="474"/>
      <c r="VPP293" s="475"/>
      <c r="VPQ293" s="476"/>
      <c r="VPR293" s="477"/>
      <c r="VPS293" s="475"/>
      <c r="VPT293" s="478"/>
      <c r="VPU293" s="479"/>
      <c r="VPV293" s="480"/>
      <c r="VPW293" s="481"/>
      <c r="VPX293" s="481"/>
      <c r="VPY293" s="482"/>
      <c r="VPZ293" s="189"/>
      <c r="VQA293" s="189"/>
      <c r="VQB293" s="483"/>
      <c r="VQC293" s="306"/>
      <c r="VQD293" s="484"/>
      <c r="VQE293" s="306"/>
      <c r="VQF293" s="267"/>
      <c r="VQG293" s="268"/>
      <c r="VQH293" s="306"/>
      <c r="VQI293" s="268"/>
      <c r="VQJ293" s="306"/>
      <c r="VQK293" s="485"/>
      <c r="VQL293" s="306"/>
      <c r="VQM293" s="486"/>
      <c r="VQN293" s="487"/>
      <c r="VQO293" s="488"/>
      <c r="VQP293" s="489"/>
      <c r="VQQ293" s="488"/>
      <c r="VQR293" s="468"/>
      <c r="VQS293" s="469"/>
      <c r="VQT293" s="470"/>
      <c r="VQU293" s="470"/>
      <c r="VQV293" s="306"/>
      <c r="VQW293" s="317"/>
      <c r="VQX293" s="471"/>
      <c r="VQY293" s="472"/>
      <c r="VQZ293" s="471"/>
      <c r="VRA293" s="473"/>
      <c r="VRB293" s="474"/>
      <c r="VRC293" s="475"/>
      <c r="VRD293" s="476"/>
      <c r="VRE293" s="477"/>
      <c r="VRF293" s="475"/>
      <c r="VRG293" s="478"/>
      <c r="VRH293" s="479"/>
      <c r="VRI293" s="480"/>
      <c r="VRJ293" s="481"/>
      <c r="VRK293" s="481"/>
      <c r="VRL293" s="482"/>
      <c r="VRM293" s="189"/>
      <c r="VRN293" s="189"/>
      <c r="VRO293" s="483"/>
      <c r="VRP293" s="306"/>
      <c r="VRQ293" s="484"/>
      <c r="VRR293" s="306"/>
      <c r="VRS293" s="267"/>
      <c r="VRT293" s="268"/>
      <c r="VRU293" s="306"/>
      <c r="VRV293" s="268"/>
      <c r="VRW293" s="306"/>
      <c r="VRX293" s="485"/>
      <c r="VRY293" s="306"/>
      <c r="VRZ293" s="486"/>
      <c r="VSA293" s="487"/>
      <c r="VSB293" s="488"/>
      <c r="VSC293" s="489"/>
      <c r="VSD293" s="488"/>
      <c r="VSE293" s="468"/>
      <c r="VSF293" s="469"/>
      <c r="VSG293" s="470"/>
      <c r="VSH293" s="470"/>
      <c r="VSI293" s="306"/>
      <c r="VSJ293" s="317"/>
      <c r="VSK293" s="471"/>
      <c r="VSL293" s="472"/>
      <c r="VSM293" s="471"/>
      <c r="VSN293" s="473"/>
      <c r="VSO293" s="474"/>
      <c r="VSP293" s="475"/>
      <c r="VSQ293" s="476"/>
      <c r="VSR293" s="477"/>
      <c r="VSS293" s="475"/>
      <c r="VST293" s="478"/>
      <c r="VSU293" s="479"/>
      <c r="VSV293" s="480"/>
      <c r="VSW293" s="481"/>
      <c r="VSX293" s="481"/>
      <c r="VSY293" s="482"/>
      <c r="VSZ293" s="189"/>
      <c r="VTA293" s="189"/>
      <c r="VTB293" s="483"/>
      <c r="VTC293" s="306"/>
      <c r="VTD293" s="484"/>
      <c r="VTE293" s="306"/>
      <c r="VTF293" s="267"/>
      <c r="VTG293" s="268"/>
      <c r="VTH293" s="306"/>
      <c r="VTI293" s="268"/>
      <c r="VTJ293" s="306"/>
      <c r="VTK293" s="485"/>
      <c r="VTL293" s="306"/>
      <c r="VTM293" s="486"/>
      <c r="VTN293" s="487"/>
      <c r="VTO293" s="488"/>
      <c r="VTP293" s="489"/>
      <c r="VTQ293" s="488"/>
      <c r="VTR293" s="468"/>
      <c r="VTS293" s="469"/>
      <c r="VTT293" s="470"/>
      <c r="VTU293" s="470"/>
      <c r="VTV293" s="306"/>
      <c r="VTW293" s="317"/>
      <c r="VTX293" s="471"/>
      <c r="VTY293" s="472"/>
      <c r="VTZ293" s="471"/>
      <c r="VUA293" s="473"/>
      <c r="VUB293" s="474"/>
      <c r="VUC293" s="475"/>
      <c r="VUD293" s="476"/>
      <c r="VUE293" s="477"/>
      <c r="VUF293" s="475"/>
      <c r="VUG293" s="478"/>
      <c r="VUH293" s="479"/>
      <c r="VUI293" s="480"/>
      <c r="VUJ293" s="481"/>
      <c r="VUK293" s="481"/>
      <c r="VUL293" s="482"/>
      <c r="VUM293" s="189"/>
      <c r="VUN293" s="189"/>
      <c r="VUO293" s="483"/>
      <c r="VUP293" s="306"/>
      <c r="VUQ293" s="484"/>
      <c r="VUR293" s="306"/>
      <c r="VUS293" s="267"/>
      <c r="VUT293" s="268"/>
      <c r="VUU293" s="306"/>
      <c r="VUV293" s="268"/>
      <c r="VUW293" s="306"/>
      <c r="VUX293" s="485"/>
      <c r="VUY293" s="306"/>
      <c r="VUZ293" s="486"/>
      <c r="VVA293" s="487"/>
      <c r="VVB293" s="488"/>
      <c r="VVC293" s="489"/>
      <c r="VVD293" s="488"/>
      <c r="VVE293" s="468"/>
      <c r="VVF293" s="469"/>
      <c r="VVG293" s="470"/>
      <c r="VVH293" s="470"/>
      <c r="VVI293" s="306"/>
      <c r="VVJ293" s="317"/>
      <c r="VVK293" s="471"/>
      <c r="VVL293" s="472"/>
      <c r="VVM293" s="471"/>
      <c r="VVN293" s="473"/>
      <c r="VVO293" s="474"/>
      <c r="VVP293" s="475"/>
      <c r="VVQ293" s="476"/>
      <c r="VVR293" s="477"/>
      <c r="VVS293" s="475"/>
      <c r="VVT293" s="478"/>
      <c r="VVU293" s="479"/>
      <c r="VVV293" s="480"/>
      <c r="VVW293" s="481"/>
      <c r="VVX293" s="481"/>
      <c r="VVY293" s="482"/>
      <c r="VVZ293" s="189"/>
      <c r="VWA293" s="189"/>
      <c r="VWB293" s="483"/>
      <c r="VWC293" s="306"/>
      <c r="VWD293" s="484"/>
      <c r="VWE293" s="306"/>
      <c r="VWF293" s="267"/>
      <c r="VWG293" s="268"/>
      <c r="VWH293" s="306"/>
      <c r="VWI293" s="268"/>
      <c r="VWJ293" s="306"/>
      <c r="VWK293" s="485"/>
      <c r="VWL293" s="306"/>
      <c r="VWM293" s="486"/>
      <c r="VWN293" s="487"/>
      <c r="VWO293" s="488"/>
      <c r="VWP293" s="489"/>
      <c r="VWQ293" s="488"/>
      <c r="VWR293" s="468"/>
      <c r="VWS293" s="469"/>
      <c r="VWT293" s="470"/>
      <c r="VWU293" s="470"/>
      <c r="VWV293" s="306"/>
      <c r="VWW293" s="317"/>
      <c r="VWX293" s="471"/>
      <c r="VWY293" s="472"/>
      <c r="VWZ293" s="471"/>
      <c r="VXA293" s="473"/>
      <c r="VXB293" s="474"/>
      <c r="VXC293" s="475"/>
      <c r="VXD293" s="476"/>
      <c r="VXE293" s="477"/>
      <c r="VXF293" s="475"/>
      <c r="VXG293" s="478"/>
      <c r="VXH293" s="479"/>
      <c r="VXI293" s="480"/>
      <c r="VXJ293" s="481"/>
      <c r="VXK293" s="481"/>
      <c r="VXL293" s="482"/>
      <c r="VXM293" s="189"/>
      <c r="VXN293" s="189"/>
      <c r="VXO293" s="483"/>
      <c r="VXP293" s="306"/>
      <c r="VXQ293" s="484"/>
      <c r="VXR293" s="306"/>
      <c r="VXS293" s="267"/>
      <c r="VXT293" s="268"/>
      <c r="VXU293" s="306"/>
      <c r="VXV293" s="268"/>
      <c r="VXW293" s="306"/>
      <c r="VXX293" s="485"/>
      <c r="VXY293" s="306"/>
      <c r="VXZ293" s="486"/>
      <c r="VYA293" s="487"/>
      <c r="VYB293" s="488"/>
      <c r="VYC293" s="489"/>
      <c r="VYD293" s="488"/>
      <c r="VYE293" s="468"/>
      <c r="VYF293" s="469"/>
      <c r="VYG293" s="470"/>
      <c r="VYH293" s="470"/>
      <c r="VYI293" s="306"/>
      <c r="VYJ293" s="317"/>
      <c r="VYK293" s="471"/>
      <c r="VYL293" s="472"/>
      <c r="VYM293" s="471"/>
      <c r="VYN293" s="473"/>
      <c r="VYO293" s="474"/>
      <c r="VYP293" s="475"/>
      <c r="VYQ293" s="476"/>
      <c r="VYR293" s="477"/>
      <c r="VYS293" s="475"/>
      <c r="VYT293" s="478"/>
      <c r="VYU293" s="479"/>
      <c r="VYV293" s="480"/>
      <c r="VYW293" s="481"/>
      <c r="VYX293" s="481"/>
      <c r="VYY293" s="482"/>
      <c r="VYZ293" s="189"/>
      <c r="VZA293" s="189"/>
      <c r="VZB293" s="483"/>
      <c r="VZC293" s="306"/>
      <c r="VZD293" s="484"/>
      <c r="VZE293" s="306"/>
      <c r="VZF293" s="267"/>
      <c r="VZG293" s="268"/>
      <c r="VZH293" s="306"/>
      <c r="VZI293" s="268"/>
      <c r="VZJ293" s="306"/>
      <c r="VZK293" s="485"/>
      <c r="VZL293" s="306"/>
      <c r="VZM293" s="486"/>
      <c r="VZN293" s="487"/>
      <c r="VZO293" s="488"/>
      <c r="VZP293" s="489"/>
      <c r="VZQ293" s="488"/>
      <c r="VZR293" s="468"/>
      <c r="VZS293" s="469"/>
      <c r="VZT293" s="470"/>
      <c r="VZU293" s="470"/>
      <c r="VZV293" s="306"/>
      <c r="VZW293" s="317"/>
      <c r="VZX293" s="471"/>
      <c r="VZY293" s="472"/>
      <c r="VZZ293" s="471"/>
      <c r="WAA293" s="473"/>
      <c r="WAB293" s="474"/>
      <c r="WAC293" s="475"/>
      <c r="WAD293" s="476"/>
      <c r="WAE293" s="477"/>
      <c r="WAF293" s="475"/>
      <c r="WAG293" s="478"/>
      <c r="WAH293" s="479"/>
      <c r="WAI293" s="480"/>
      <c r="WAJ293" s="481"/>
      <c r="WAK293" s="481"/>
      <c r="WAL293" s="482"/>
      <c r="WAM293" s="189"/>
      <c r="WAN293" s="189"/>
      <c r="WAO293" s="483"/>
      <c r="WAP293" s="306"/>
      <c r="WAQ293" s="484"/>
      <c r="WAR293" s="306"/>
      <c r="WAS293" s="267"/>
      <c r="WAT293" s="268"/>
      <c r="WAU293" s="306"/>
      <c r="WAV293" s="268"/>
      <c r="WAW293" s="306"/>
      <c r="WAX293" s="485"/>
      <c r="WAY293" s="306"/>
      <c r="WAZ293" s="486"/>
      <c r="WBA293" s="487"/>
      <c r="WBB293" s="488"/>
      <c r="WBC293" s="489"/>
      <c r="WBD293" s="488"/>
      <c r="WBE293" s="468"/>
      <c r="WBF293" s="469"/>
      <c r="WBG293" s="470"/>
      <c r="WBH293" s="470"/>
      <c r="WBI293" s="306"/>
      <c r="WBJ293" s="317"/>
      <c r="WBK293" s="471"/>
      <c r="WBL293" s="472"/>
      <c r="WBM293" s="471"/>
      <c r="WBN293" s="473"/>
      <c r="WBO293" s="474"/>
      <c r="WBP293" s="475"/>
      <c r="WBQ293" s="476"/>
      <c r="WBR293" s="477"/>
      <c r="WBS293" s="475"/>
      <c r="WBT293" s="478"/>
      <c r="WBU293" s="479"/>
      <c r="WBV293" s="480"/>
      <c r="WBW293" s="481"/>
      <c r="WBX293" s="481"/>
      <c r="WBY293" s="482"/>
      <c r="WBZ293" s="189"/>
      <c r="WCA293" s="189"/>
      <c r="WCB293" s="483"/>
      <c r="WCC293" s="306"/>
      <c r="WCD293" s="484"/>
      <c r="WCE293" s="306"/>
      <c r="WCF293" s="267"/>
      <c r="WCG293" s="268"/>
      <c r="WCH293" s="306"/>
      <c r="WCI293" s="268"/>
      <c r="WCJ293" s="306"/>
      <c r="WCK293" s="485"/>
      <c r="WCL293" s="306"/>
      <c r="WCM293" s="486"/>
      <c r="WCN293" s="487"/>
      <c r="WCO293" s="488"/>
      <c r="WCP293" s="489"/>
      <c r="WCQ293" s="488"/>
      <c r="WCR293" s="468"/>
      <c r="WCS293" s="469"/>
      <c r="WCT293" s="470"/>
      <c r="WCU293" s="470"/>
      <c r="WCV293" s="306"/>
      <c r="WCW293" s="317"/>
      <c r="WCX293" s="471"/>
      <c r="WCY293" s="472"/>
      <c r="WCZ293" s="471"/>
      <c r="WDA293" s="473"/>
      <c r="WDB293" s="474"/>
      <c r="WDC293" s="475"/>
      <c r="WDD293" s="476"/>
      <c r="WDE293" s="477"/>
      <c r="WDF293" s="475"/>
      <c r="WDG293" s="478"/>
      <c r="WDH293" s="479"/>
      <c r="WDI293" s="480"/>
      <c r="WDJ293" s="481"/>
      <c r="WDK293" s="481"/>
      <c r="WDL293" s="482"/>
      <c r="WDM293" s="189"/>
      <c r="WDN293" s="189"/>
      <c r="WDO293" s="483"/>
      <c r="WDP293" s="306"/>
      <c r="WDQ293" s="484"/>
      <c r="WDR293" s="306"/>
      <c r="WDS293" s="267"/>
      <c r="WDT293" s="268"/>
      <c r="WDU293" s="306"/>
      <c r="WDV293" s="268"/>
      <c r="WDW293" s="306"/>
      <c r="WDX293" s="485"/>
      <c r="WDY293" s="306"/>
      <c r="WDZ293" s="486"/>
      <c r="WEA293" s="487"/>
      <c r="WEB293" s="488"/>
      <c r="WEC293" s="489"/>
      <c r="WED293" s="488"/>
      <c r="WEE293" s="468"/>
      <c r="WEF293" s="469"/>
      <c r="WEG293" s="470"/>
      <c r="WEH293" s="470"/>
      <c r="WEI293" s="306"/>
      <c r="WEJ293" s="317"/>
      <c r="WEK293" s="471"/>
      <c r="WEL293" s="472"/>
      <c r="WEM293" s="471"/>
      <c r="WEN293" s="473"/>
      <c r="WEO293" s="474"/>
      <c r="WEP293" s="475"/>
      <c r="WEQ293" s="476"/>
      <c r="WER293" s="477"/>
      <c r="WES293" s="475"/>
      <c r="WET293" s="478"/>
      <c r="WEU293" s="479"/>
      <c r="WEV293" s="480"/>
      <c r="WEW293" s="481"/>
      <c r="WEX293" s="481"/>
      <c r="WEY293" s="482"/>
      <c r="WEZ293" s="189"/>
      <c r="WFA293" s="189"/>
      <c r="WFB293" s="483"/>
      <c r="WFC293" s="306"/>
      <c r="WFD293" s="484"/>
      <c r="WFE293" s="306"/>
      <c r="WFF293" s="267"/>
      <c r="WFG293" s="268"/>
      <c r="WFH293" s="306"/>
      <c r="WFI293" s="268"/>
      <c r="WFJ293" s="306"/>
      <c r="WFK293" s="485"/>
      <c r="WFL293" s="306"/>
      <c r="WFM293" s="486"/>
      <c r="WFN293" s="487"/>
      <c r="WFO293" s="488"/>
      <c r="WFP293" s="489"/>
      <c r="WFQ293" s="488"/>
      <c r="WFR293" s="468"/>
      <c r="WFS293" s="469"/>
      <c r="WFT293" s="470"/>
      <c r="WFU293" s="470"/>
      <c r="WFV293" s="306"/>
      <c r="WFW293" s="317"/>
      <c r="WFX293" s="471"/>
      <c r="WFY293" s="472"/>
      <c r="WFZ293" s="471"/>
      <c r="WGA293" s="473"/>
      <c r="WGB293" s="474"/>
      <c r="WGC293" s="475"/>
      <c r="WGD293" s="476"/>
      <c r="WGE293" s="477"/>
      <c r="WGF293" s="475"/>
      <c r="WGG293" s="478"/>
      <c r="WGH293" s="479"/>
      <c r="WGI293" s="480"/>
      <c r="WGJ293" s="481"/>
      <c r="WGK293" s="481"/>
      <c r="WGL293" s="482"/>
      <c r="WGM293" s="189"/>
      <c r="WGN293" s="189"/>
      <c r="WGO293" s="483"/>
      <c r="WGP293" s="306"/>
      <c r="WGQ293" s="484"/>
      <c r="WGR293" s="306"/>
      <c r="WGS293" s="267"/>
      <c r="WGT293" s="268"/>
      <c r="WGU293" s="306"/>
      <c r="WGV293" s="268"/>
      <c r="WGW293" s="306"/>
      <c r="WGX293" s="485"/>
      <c r="WGY293" s="306"/>
      <c r="WGZ293" s="486"/>
      <c r="WHA293" s="487"/>
      <c r="WHB293" s="488"/>
      <c r="WHC293" s="489"/>
      <c r="WHD293" s="488"/>
      <c r="WHE293" s="468"/>
      <c r="WHF293" s="469"/>
      <c r="WHG293" s="470"/>
      <c r="WHH293" s="470"/>
      <c r="WHI293" s="306"/>
      <c r="WHJ293" s="317"/>
      <c r="WHK293" s="471"/>
      <c r="WHL293" s="472"/>
      <c r="WHM293" s="471"/>
      <c r="WHN293" s="473"/>
      <c r="WHO293" s="474"/>
      <c r="WHP293" s="475"/>
      <c r="WHQ293" s="476"/>
      <c r="WHR293" s="477"/>
      <c r="WHS293" s="475"/>
      <c r="WHT293" s="478"/>
      <c r="WHU293" s="479"/>
      <c r="WHV293" s="480"/>
      <c r="WHW293" s="481"/>
      <c r="WHX293" s="481"/>
      <c r="WHY293" s="482"/>
      <c r="WHZ293" s="189"/>
      <c r="WIA293" s="189"/>
      <c r="WIB293" s="483"/>
      <c r="WIC293" s="306"/>
      <c r="WID293" s="484"/>
      <c r="WIE293" s="306"/>
      <c r="WIF293" s="267"/>
      <c r="WIG293" s="268"/>
      <c r="WIH293" s="306"/>
      <c r="WII293" s="268"/>
      <c r="WIJ293" s="306"/>
      <c r="WIK293" s="485"/>
      <c r="WIL293" s="306"/>
      <c r="WIM293" s="486"/>
      <c r="WIN293" s="487"/>
      <c r="WIO293" s="488"/>
      <c r="WIP293" s="489"/>
      <c r="WIQ293" s="488"/>
      <c r="WIR293" s="468"/>
      <c r="WIS293" s="469"/>
      <c r="WIT293" s="470"/>
      <c r="WIU293" s="470"/>
      <c r="WIV293" s="306"/>
      <c r="WIW293" s="317"/>
      <c r="WIX293" s="471"/>
      <c r="WIY293" s="472"/>
      <c r="WIZ293" s="471"/>
      <c r="WJA293" s="473"/>
      <c r="WJB293" s="474"/>
      <c r="WJC293" s="475"/>
      <c r="WJD293" s="476"/>
      <c r="WJE293" s="477"/>
      <c r="WJF293" s="475"/>
      <c r="WJG293" s="478"/>
      <c r="WJH293" s="479"/>
      <c r="WJI293" s="480"/>
      <c r="WJJ293" s="481"/>
      <c r="WJK293" s="481"/>
      <c r="WJL293" s="482"/>
      <c r="WJM293" s="189"/>
      <c r="WJN293" s="189"/>
      <c r="WJO293" s="483"/>
      <c r="WJP293" s="306"/>
      <c r="WJQ293" s="484"/>
      <c r="WJR293" s="306"/>
      <c r="WJS293" s="267"/>
      <c r="WJT293" s="268"/>
      <c r="WJU293" s="306"/>
      <c r="WJV293" s="268"/>
      <c r="WJW293" s="306"/>
      <c r="WJX293" s="485"/>
      <c r="WJY293" s="306"/>
      <c r="WJZ293" s="486"/>
      <c r="WKA293" s="487"/>
      <c r="WKB293" s="488"/>
      <c r="WKC293" s="489"/>
      <c r="WKD293" s="488"/>
      <c r="WKE293" s="468"/>
      <c r="WKF293" s="469"/>
      <c r="WKG293" s="470"/>
      <c r="WKH293" s="470"/>
      <c r="WKI293" s="306"/>
      <c r="WKJ293" s="317"/>
      <c r="WKK293" s="471"/>
      <c r="WKL293" s="472"/>
      <c r="WKM293" s="471"/>
      <c r="WKN293" s="473"/>
      <c r="WKO293" s="474"/>
      <c r="WKP293" s="475"/>
      <c r="WKQ293" s="476"/>
      <c r="WKR293" s="477"/>
      <c r="WKS293" s="475"/>
      <c r="WKT293" s="478"/>
      <c r="WKU293" s="479"/>
      <c r="WKV293" s="480"/>
      <c r="WKW293" s="481"/>
      <c r="WKX293" s="481"/>
      <c r="WKY293" s="482"/>
      <c r="WKZ293" s="189"/>
      <c r="WLA293" s="189"/>
      <c r="WLB293" s="483"/>
      <c r="WLC293" s="306"/>
      <c r="WLD293" s="484"/>
      <c r="WLE293" s="306"/>
      <c r="WLF293" s="267"/>
      <c r="WLG293" s="268"/>
      <c r="WLH293" s="306"/>
      <c r="WLI293" s="268"/>
      <c r="WLJ293" s="306"/>
      <c r="WLK293" s="485"/>
      <c r="WLL293" s="306"/>
      <c r="WLM293" s="486"/>
      <c r="WLN293" s="487"/>
      <c r="WLO293" s="488"/>
      <c r="WLP293" s="489"/>
      <c r="WLQ293" s="488"/>
      <c r="WLR293" s="468"/>
      <c r="WLS293" s="469"/>
      <c r="WLT293" s="470"/>
      <c r="WLU293" s="470"/>
      <c r="WLV293" s="306"/>
      <c r="WLW293" s="317"/>
      <c r="WLX293" s="471"/>
      <c r="WLY293" s="472"/>
      <c r="WLZ293" s="471"/>
      <c r="WMA293" s="473"/>
      <c r="WMB293" s="474"/>
      <c r="WMC293" s="475"/>
      <c r="WMD293" s="476"/>
      <c r="WME293" s="477"/>
      <c r="WMF293" s="475"/>
      <c r="WMG293" s="478"/>
      <c r="WMH293" s="479"/>
      <c r="WMI293" s="480"/>
      <c r="WMJ293" s="481"/>
      <c r="WMK293" s="481"/>
      <c r="WML293" s="482"/>
      <c r="WMM293" s="189"/>
      <c r="WMN293" s="189"/>
      <c r="WMO293" s="483"/>
      <c r="WMP293" s="306"/>
      <c r="WMQ293" s="484"/>
      <c r="WMR293" s="306"/>
      <c r="WMS293" s="267"/>
      <c r="WMT293" s="268"/>
      <c r="WMU293" s="306"/>
      <c r="WMV293" s="268"/>
      <c r="WMW293" s="306"/>
      <c r="WMX293" s="485"/>
      <c r="WMY293" s="306"/>
      <c r="WMZ293" s="486"/>
      <c r="WNA293" s="487"/>
      <c r="WNB293" s="488"/>
      <c r="WNC293" s="489"/>
      <c r="WND293" s="488"/>
      <c r="WNE293" s="468"/>
      <c r="WNF293" s="469"/>
      <c r="WNG293" s="470"/>
      <c r="WNH293" s="470"/>
      <c r="WNI293" s="306"/>
      <c r="WNJ293" s="317"/>
      <c r="WNK293" s="471"/>
      <c r="WNL293" s="472"/>
      <c r="WNM293" s="471"/>
      <c r="WNN293" s="473"/>
      <c r="WNO293" s="474"/>
      <c r="WNP293" s="475"/>
      <c r="WNQ293" s="476"/>
      <c r="WNR293" s="477"/>
      <c r="WNS293" s="475"/>
      <c r="WNT293" s="478"/>
      <c r="WNU293" s="479"/>
      <c r="WNV293" s="480"/>
      <c r="WNW293" s="481"/>
      <c r="WNX293" s="481"/>
      <c r="WNY293" s="482"/>
      <c r="WNZ293" s="189"/>
      <c r="WOA293" s="189"/>
      <c r="WOB293" s="483"/>
      <c r="WOC293" s="306"/>
      <c r="WOD293" s="484"/>
      <c r="WOE293" s="306"/>
      <c r="WOF293" s="267"/>
      <c r="WOG293" s="268"/>
      <c r="WOH293" s="306"/>
      <c r="WOI293" s="268"/>
      <c r="WOJ293" s="306"/>
      <c r="WOK293" s="485"/>
      <c r="WOL293" s="306"/>
      <c r="WOM293" s="486"/>
      <c r="WON293" s="487"/>
      <c r="WOO293" s="488"/>
      <c r="WOP293" s="489"/>
      <c r="WOQ293" s="488"/>
      <c r="WOR293" s="468"/>
      <c r="WOS293" s="469"/>
      <c r="WOT293" s="470"/>
      <c r="WOU293" s="470"/>
      <c r="WOV293" s="306"/>
      <c r="WOW293" s="317"/>
      <c r="WOX293" s="471"/>
      <c r="WOY293" s="472"/>
      <c r="WOZ293" s="471"/>
      <c r="WPA293" s="473"/>
      <c r="WPB293" s="474"/>
      <c r="WPC293" s="475"/>
      <c r="WPD293" s="476"/>
      <c r="WPE293" s="477"/>
      <c r="WPF293" s="475"/>
      <c r="WPG293" s="478"/>
      <c r="WPH293" s="479"/>
      <c r="WPI293" s="480"/>
      <c r="WPJ293" s="481"/>
      <c r="WPK293" s="481"/>
      <c r="WPL293" s="482"/>
      <c r="WPM293" s="189"/>
      <c r="WPN293" s="189"/>
      <c r="WPO293" s="483"/>
      <c r="WPP293" s="306"/>
      <c r="WPQ293" s="484"/>
      <c r="WPR293" s="306"/>
      <c r="WPS293" s="267"/>
      <c r="WPT293" s="268"/>
      <c r="WPU293" s="306"/>
      <c r="WPV293" s="268"/>
      <c r="WPW293" s="306"/>
      <c r="WPX293" s="485"/>
      <c r="WPY293" s="306"/>
      <c r="WPZ293" s="486"/>
      <c r="WQA293" s="487"/>
      <c r="WQB293" s="488"/>
      <c r="WQC293" s="489"/>
      <c r="WQD293" s="488"/>
      <c r="WQE293" s="468"/>
      <c r="WQF293" s="469"/>
      <c r="WQG293" s="470"/>
      <c r="WQH293" s="470"/>
      <c r="WQI293" s="306"/>
      <c r="WQJ293" s="317"/>
      <c r="WQK293" s="471"/>
      <c r="WQL293" s="472"/>
      <c r="WQM293" s="471"/>
      <c r="WQN293" s="473"/>
      <c r="WQO293" s="474"/>
      <c r="WQP293" s="475"/>
      <c r="WQQ293" s="476"/>
      <c r="WQR293" s="477"/>
      <c r="WQS293" s="475"/>
      <c r="WQT293" s="478"/>
      <c r="WQU293" s="479"/>
      <c r="WQV293" s="480"/>
      <c r="WQW293" s="481"/>
      <c r="WQX293" s="481"/>
      <c r="WQY293" s="482"/>
      <c r="WQZ293" s="189"/>
      <c r="WRA293" s="189"/>
      <c r="WRB293" s="483"/>
      <c r="WRC293" s="306"/>
      <c r="WRD293" s="484"/>
      <c r="WRE293" s="306"/>
      <c r="WRF293" s="267"/>
      <c r="WRG293" s="268"/>
      <c r="WRH293" s="306"/>
      <c r="WRI293" s="268"/>
      <c r="WRJ293" s="306"/>
      <c r="WRK293" s="485"/>
      <c r="WRL293" s="306"/>
      <c r="WRM293" s="486"/>
      <c r="WRN293" s="487"/>
      <c r="WRO293" s="488"/>
      <c r="WRP293" s="489"/>
      <c r="WRQ293" s="488"/>
      <c r="WRR293" s="468"/>
      <c r="WRS293" s="469"/>
      <c r="WRT293" s="470"/>
      <c r="WRU293" s="470"/>
      <c r="WRV293" s="306"/>
      <c r="WRW293" s="317"/>
      <c r="WRX293" s="471"/>
      <c r="WRY293" s="472"/>
      <c r="WRZ293" s="471"/>
      <c r="WSA293" s="473"/>
      <c r="WSB293" s="474"/>
      <c r="WSC293" s="475"/>
      <c r="WSD293" s="476"/>
      <c r="WSE293" s="477"/>
      <c r="WSF293" s="475"/>
      <c r="WSG293" s="478"/>
      <c r="WSH293" s="479"/>
      <c r="WSI293" s="480"/>
      <c r="WSJ293" s="481"/>
      <c r="WSK293" s="481"/>
      <c r="WSL293" s="482"/>
      <c r="WSM293" s="189"/>
      <c r="WSN293" s="189"/>
      <c r="WSO293" s="483"/>
      <c r="WSP293" s="306"/>
      <c r="WSQ293" s="484"/>
      <c r="WSR293" s="306"/>
      <c r="WSS293" s="267"/>
      <c r="WST293" s="268"/>
      <c r="WSU293" s="306"/>
      <c r="WSV293" s="268"/>
      <c r="WSW293" s="306"/>
      <c r="WSX293" s="485"/>
      <c r="WSY293" s="306"/>
      <c r="WSZ293" s="486"/>
      <c r="WTA293" s="487"/>
      <c r="WTB293" s="488"/>
      <c r="WTC293" s="489"/>
      <c r="WTD293" s="488"/>
      <c r="WTE293" s="468"/>
      <c r="WTF293" s="469"/>
      <c r="WTG293" s="470"/>
      <c r="WTH293" s="470"/>
      <c r="WTI293" s="306"/>
      <c r="WTJ293" s="317"/>
      <c r="WTK293" s="471"/>
      <c r="WTL293" s="472"/>
      <c r="WTM293" s="471"/>
      <c r="WTN293" s="473"/>
      <c r="WTO293" s="474"/>
      <c r="WTP293" s="475"/>
      <c r="WTQ293" s="476"/>
      <c r="WTR293" s="477"/>
      <c r="WTS293" s="475"/>
      <c r="WTT293" s="478"/>
      <c r="WTU293" s="479"/>
      <c r="WTV293" s="480"/>
      <c r="WTW293" s="481"/>
      <c r="WTX293" s="481"/>
      <c r="WTY293" s="482"/>
      <c r="WTZ293" s="189"/>
      <c r="WUA293" s="189"/>
      <c r="WUB293" s="483"/>
      <c r="WUC293" s="306"/>
      <c r="WUD293" s="484"/>
      <c r="WUE293" s="306"/>
      <c r="WUF293" s="267"/>
      <c r="WUG293" s="268"/>
      <c r="WUH293" s="306"/>
      <c r="WUI293" s="268"/>
      <c r="WUJ293" s="306"/>
      <c r="WUK293" s="485"/>
      <c r="WUL293" s="306"/>
      <c r="WUM293" s="486"/>
      <c r="WUN293" s="487"/>
      <c r="WUO293" s="488"/>
      <c r="WUP293" s="489"/>
      <c r="WUQ293" s="488"/>
      <c r="WUR293" s="468"/>
      <c r="WUS293" s="469"/>
      <c r="WUT293" s="470"/>
      <c r="WUU293" s="470"/>
      <c r="WUV293" s="306"/>
      <c r="WUW293" s="317"/>
      <c r="WUX293" s="471"/>
      <c r="WUY293" s="472"/>
      <c r="WUZ293" s="471"/>
      <c r="WVA293" s="473"/>
      <c r="WVB293" s="474"/>
      <c r="WVC293" s="475"/>
      <c r="WVD293" s="476"/>
      <c r="WVE293" s="477"/>
      <c r="WVF293" s="475"/>
      <c r="WVG293" s="478"/>
      <c r="WVH293" s="479"/>
      <c r="WVI293" s="480"/>
      <c r="WVJ293" s="481"/>
      <c r="WVK293" s="481"/>
      <c r="WVL293" s="482"/>
      <c r="WVM293" s="189"/>
      <c r="WVN293" s="189"/>
      <c r="WVO293" s="483"/>
      <c r="WVP293" s="306"/>
      <c r="WVQ293" s="484"/>
      <c r="WVR293" s="306"/>
      <c r="WVS293" s="267"/>
      <c r="WVT293" s="268"/>
      <c r="WVU293" s="306"/>
      <c r="WVV293" s="268"/>
      <c r="WVW293" s="306"/>
      <c r="WVX293" s="485"/>
      <c r="WVY293" s="306"/>
      <c r="WVZ293" s="486"/>
      <c r="WWA293" s="487"/>
      <c r="WWB293" s="488"/>
      <c r="WWC293" s="489"/>
      <c r="WWD293" s="488"/>
      <c r="WWE293" s="468"/>
      <c r="WWF293" s="469"/>
      <c r="WWG293" s="470"/>
      <c r="WWH293" s="470"/>
      <c r="WWI293" s="306"/>
      <c r="WWJ293" s="317"/>
      <c r="WWK293" s="471"/>
      <c r="WWL293" s="472"/>
      <c r="WWM293" s="471"/>
      <c r="WWN293" s="473"/>
      <c r="WWO293" s="474"/>
      <c r="WWP293" s="475"/>
      <c r="WWQ293" s="476"/>
      <c r="WWR293" s="477"/>
      <c r="WWS293" s="475"/>
      <c r="WWT293" s="478"/>
      <c r="WWU293" s="479"/>
      <c r="WWV293" s="480"/>
      <c r="WWW293" s="481"/>
      <c r="WWX293" s="481"/>
      <c r="WWY293" s="482"/>
      <c r="WWZ293" s="189"/>
      <c r="WXA293" s="189"/>
      <c r="WXB293" s="483"/>
      <c r="WXC293" s="306"/>
      <c r="WXD293" s="484"/>
      <c r="WXE293" s="306"/>
      <c r="WXF293" s="267"/>
      <c r="WXG293" s="268"/>
      <c r="WXH293" s="306"/>
      <c r="WXI293" s="268"/>
      <c r="WXJ293" s="306"/>
      <c r="WXK293" s="485"/>
      <c r="WXL293" s="306"/>
      <c r="WXM293" s="486"/>
      <c r="WXN293" s="487"/>
      <c r="WXO293" s="488"/>
      <c r="WXP293" s="489"/>
      <c r="WXQ293" s="488"/>
      <c r="WXR293" s="468"/>
      <c r="WXS293" s="469"/>
      <c r="WXT293" s="470"/>
      <c r="WXU293" s="470"/>
      <c r="WXV293" s="306"/>
      <c r="WXW293" s="317"/>
      <c r="WXX293" s="471"/>
      <c r="WXY293" s="472"/>
      <c r="WXZ293" s="471"/>
      <c r="WYA293" s="473"/>
      <c r="WYB293" s="474"/>
      <c r="WYC293" s="475"/>
      <c r="WYD293" s="476"/>
      <c r="WYE293" s="477"/>
      <c r="WYF293" s="475"/>
      <c r="WYG293" s="478"/>
      <c r="WYH293" s="479"/>
      <c r="WYI293" s="480"/>
      <c r="WYJ293" s="481"/>
      <c r="WYK293" s="481"/>
      <c r="WYL293" s="482"/>
      <c r="WYM293" s="189"/>
      <c r="WYN293" s="189"/>
      <c r="WYO293" s="483"/>
      <c r="WYP293" s="306"/>
      <c r="WYQ293" s="484"/>
      <c r="WYR293" s="306"/>
      <c r="WYS293" s="267"/>
      <c r="WYT293" s="268"/>
      <c r="WYU293" s="306"/>
      <c r="WYV293" s="268"/>
      <c r="WYW293" s="306"/>
      <c r="WYX293" s="485"/>
      <c r="WYY293" s="306"/>
      <c r="WYZ293" s="486"/>
      <c r="WZA293" s="487"/>
      <c r="WZB293" s="488"/>
      <c r="WZC293" s="489"/>
      <c r="WZD293" s="488"/>
      <c r="WZE293" s="468"/>
      <c r="WZF293" s="469"/>
      <c r="WZG293" s="470"/>
      <c r="WZH293" s="470"/>
      <c r="WZI293" s="306"/>
      <c r="WZJ293" s="317"/>
      <c r="WZK293" s="471"/>
      <c r="WZL293" s="472"/>
      <c r="WZM293" s="471"/>
      <c r="WZN293" s="473"/>
      <c r="WZO293" s="474"/>
      <c r="WZP293" s="475"/>
      <c r="WZQ293" s="476"/>
      <c r="WZR293" s="477"/>
      <c r="WZS293" s="475"/>
      <c r="WZT293" s="478"/>
      <c r="WZU293" s="479"/>
      <c r="WZV293" s="480"/>
      <c r="WZW293" s="481"/>
      <c r="WZX293" s="481"/>
      <c r="WZY293" s="482"/>
      <c r="WZZ293" s="189"/>
      <c r="XAA293" s="189"/>
      <c r="XAB293" s="483"/>
      <c r="XAC293" s="306"/>
      <c r="XAD293" s="484"/>
      <c r="XAE293" s="306"/>
      <c r="XAF293" s="267"/>
      <c r="XAG293" s="268"/>
      <c r="XAH293" s="306"/>
      <c r="XAI293" s="268"/>
      <c r="XAJ293" s="306"/>
      <c r="XAK293" s="485"/>
      <c r="XAL293" s="306"/>
      <c r="XAM293" s="486"/>
      <c r="XAN293" s="487"/>
      <c r="XAO293" s="488"/>
      <c r="XAP293" s="489"/>
      <c r="XAQ293" s="488"/>
      <c r="XAR293" s="468"/>
      <c r="XAS293" s="469"/>
      <c r="XAT293" s="470"/>
      <c r="XAU293" s="470"/>
      <c r="XAV293" s="306"/>
      <c r="XAW293" s="317"/>
      <c r="XAX293" s="471"/>
      <c r="XAY293" s="472"/>
      <c r="XAZ293" s="471"/>
      <c r="XBA293" s="473"/>
      <c r="XBB293" s="474"/>
      <c r="XBC293" s="475"/>
      <c r="XBD293" s="476"/>
      <c r="XBE293" s="477"/>
      <c r="XBF293" s="475"/>
      <c r="XBG293" s="478"/>
      <c r="XBH293" s="479"/>
      <c r="XBI293" s="480"/>
      <c r="XBJ293" s="481"/>
      <c r="XBK293" s="481"/>
      <c r="XBL293" s="482"/>
      <c r="XBM293" s="189"/>
      <c r="XBN293" s="189"/>
      <c r="XBO293" s="483"/>
      <c r="XBP293" s="306"/>
      <c r="XBQ293" s="484"/>
      <c r="XBR293" s="306"/>
      <c r="XBS293" s="267"/>
      <c r="XBT293" s="268"/>
      <c r="XBU293" s="306"/>
      <c r="XBV293" s="268"/>
      <c r="XBW293" s="306"/>
      <c r="XBX293" s="485"/>
      <c r="XBY293" s="306"/>
      <c r="XBZ293" s="486"/>
      <c r="XCA293" s="487"/>
      <c r="XCB293" s="488"/>
      <c r="XCC293" s="489"/>
      <c r="XCD293" s="488"/>
      <c r="XCE293" s="468"/>
      <c r="XCF293" s="469"/>
      <c r="XCG293" s="470"/>
      <c r="XCH293" s="470"/>
      <c r="XCI293" s="306"/>
      <c r="XCJ293" s="317"/>
      <c r="XCK293" s="471"/>
      <c r="XCL293" s="472"/>
      <c r="XCM293" s="471"/>
      <c r="XCN293" s="473"/>
      <c r="XCO293" s="474"/>
      <c r="XCP293" s="475"/>
      <c r="XCQ293" s="476"/>
      <c r="XCR293" s="477"/>
      <c r="XCS293" s="475"/>
      <c r="XCT293" s="478"/>
      <c r="XCU293" s="479"/>
      <c r="XCV293" s="480"/>
      <c r="XCW293" s="481"/>
      <c r="XCX293" s="481"/>
      <c r="XCY293" s="482"/>
      <c r="XCZ293" s="189"/>
      <c r="XDA293" s="189"/>
      <c r="XDB293" s="483"/>
      <c r="XDC293" s="306"/>
      <c r="XDD293" s="484"/>
      <c r="XDE293" s="306"/>
      <c r="XDF293" s="267"/>
      <c r="XDG293" s="268"/>
      <c r="XDH293" s="306"/>
      <c r="XDI293" s="268"/>
      <c r="XDJ293" s="306"/>
      <c r="XDK293" s="485"/>
      <c r="XDL293" s="306"/>
      <c r="XDM293" s="486"/>
      <c r="XDN293" s="487"/>
      <c r="XDO293" s="488"/>
      <c r="XDP293" s="489"/>
      <c r="XDQ293" s="488"/>
      <c r="XDR293" s="468"/>
      <c r="XDS293" s="469"/>
      <c r="XDT293" s="470"/>
      <c r="XDU293" s="470"/>
      <c r="XDV293" s="306"/>
      <c r="XDW293" s="317"/>
      <c r="XDX293" s="471"/>
      <c r="XDY293" s="472"/>
      <c r="XDZ293" s="471"/>
      <c r="XEA293" s="473"/>
      <c r="XEB293" s="474"/>
      <c r="XEC293" s="475"/>
      <c r="XED293" s="476"/>
      <c r="XEE293" s="477"/>
      <c r="XEF293" s="475"/>
      <c r="XEG293" s="478"/>
      <c r="XEH293" s="479"/>
      <c r="XEI293" s="480"/>
      <c r="XEJ293" s="481"/>
      <c r="XEK293" s="481"/>
      <c r="XEL293" s="482"/>
      <c r="XEM293" s="189"/>
      <c r="XEN293" s="189"/>
      <c r="XEO293" s="483"/>
      <c r="XEP293" s="306"/>
      <c r="XEQ293" s="484"/>
      <c r="XER293" s="306"/>
      <c r="XES293" s="267"/>
      <c r="XET293" s="268"/>
      <c r="XEU293" s="306"/>
      <c r="XEV293" s="268"/>
      <c r="XEW293" s="306"/>
      <c r="XEX293" s="485"/>
      <c r="XEY293" s="306"/>
      <c r="XEZ293" s="486"/>
      <c r="XFA293" s="487"/>
      <c r="XFB293" s="488"/>
    </row>
    <row r="294" spans="1:16382" ht="34.5" customHeight="1">
      <c r="A294" s="147">
        <v>1031</v>
      </c>
      <c r="B294" s="124">
        <v>239</v>
      </c>
      <c r="C294" s="162" t="s">
        <v>2128</v>
      </c>
      <c r="D294" s="227" t="s">
        <v>602</v>
      </c>
      <c r="E294" s="128" t="s">
        <v>2148</v>
      </c>
      <c r="F294" s="163" t="s">
        <v>1376</v>
      </c>
      <c r="G294" s="190" t="s">
        <v>986</v>
      </c>
      <c r="H294" s="447">
        <v>98544258</v>
      </c>
      <c r="I294" s="455">
        <v>4293967</v>
      </c>
      <c r="J294" s="437">
        <v>12452504</v>
      </c>
      <c r="K294" s="147"/>
      <c r="L294" s="438" t="s">
        <v>2462</v>
      </c>
      <c r="M294" s="194" t="s">
        <v>605</v>
      </c>
      <c r="N294" s="195" t="e" cm="1">
        <f t="array" aca="1" ref="N294" ca="1">_xlfn.XLOOKUP(Contrato5[[#This Row],[SUPERVISOR TITULAR]],[2]!PERSONAL_ACTIVO_2024[[#All],[Nombre completo]],[2]!PERSONAL_ACTIVO_2024[[#All],[Documento identidad]],"",0)</f>
        <v>#NAME?</v>
      </c>
      <c r="O294" s="194" t="s">
        <v>984</v>
      </c>
      <c r="P294" s="135" t="e" cm="1">
        <f t="array" aca="1" ref="P294" ca="1">_xlfn.XLOOKUP(Contrato5[[#This Row],[SUPERVISOR SUPLENTE ]],[2]!PERSONAL_ACTIVO_2024[[#All],[Nombre completo]],[2]!PERSONAL_ACTIVO_2024[[#All],[Documento identidad]],"",0)</f>
        <v>#NAME?</v>
      </c>
      <c r="Q294" s="170">
        <v>1013</v>
      </c>
      <c r="R294" s="137" t="e" cm="1">
        <f t="array" aca="1" ref="R294" ca="1">_xlfn.XLOOKUP(Contrato5[[#This Row],[CDP]],[2]!DISPONIBILIDADES_2024[[#All],[consecutivo]],[2]!DISPONIBILIDADES_2024[[#All],[fecha_aprobacion]],"",0)</f>
        <v>#NAME?</v>
      </c>
      <c r="S294" s="138" t="e">
        <f>SUMIF([2]!DISPONIBILIDADES_2024[[#All],[consecutivo]],Contrato5[[#This Row],[CDP]],[2]!DISPONIBILIDADES_2024[[#All],[valor_total_rubro]])</f>
        <v>#REF!</v>
      </c>
      <c r="T294" s="139" t="e" cm="1">
        <f t="array" aca="1" ref="T294" ca="1">_xlfn.XLOOKUP(Contrato5[[#This Row],[CONTRATO]]&amp;Contrato5[[#This Row],[CDP]],[2]!Corr_Contr_CDP[[#All],[CONTRATO-CDP]],[2]!Corr_Contr_CDP[[#All],[CRP]],_xlfn.XLOOKUP(Contrato5[[#This Row],[CDP]],[2]!COMPROMISOS_2024[[#All],[disponibilidad]],[2]!COMPROMISOS_2024[[#All],[consecutivo]],"",0),0)</f>
        <v>#NAME?</v>
      </c>
      <c r="U294" s="140" t="e" cm="1">
        <f t="array" aca="1" ref="U294" ca="1">+_xlfn.XLOOKUP(Contrato5[[#This Row],[RCP]],[2]!COMPROMISOS_2024[[#All],[consecutivo]],[2]!COMPROMISOS_2024[[#All],[fecha_aprobacion]],"",0)</f>
        <v>#NAME?</v>
      </c>
      <c r="V294" s="141" t="e">
        <f ca="1">SUMIF([2]!COMPROMISOS_2024[[#All],[consecutivo]],Contrato5[[#This Row],[RCP]],[2]!COMPROMISOS_2024[[#All],[valor_total]])</f>
        <v>#REF!</v>
      </c>
      <c r="W294" s="415">
        <v>45566</v>
      </c>
      <c r="X294" s="415">
        <v>45572</v>
      </c>
      <c r="Y294" s="143">
        <v>45569</v>
      </c>
      <c r="Z294" s="262">
        <v>45657</v>
      </c>
      <c r="AA294" s="203"/>
      <c r="AB294" s="227" t="s">
        <v>2587</v>
      </c>
      <c r="AC294" s="126"/>
      <c r="AD294" s="218"/>
      <c r="AE294" s="147"/>
      <c r="AF294" s="148" t="str">
        <f>TEXT(LEFT(Contrato5[[#This Row],[CONTRATO]],3),"0")</f>
        <v>239</v>
      </c>
      <c r="AG294" s="148" t="str">
        <f>IF(LEN(Contrato5[[#This Row],[Contrato2]])=3,Contrato5[[#This Row],[Contrato2]],TEXT(Contrato5[[#This Row],[Contrato2]],"000"))</f>
        <v>239</v>
      </c>
      <c r="AH294" s="149">
        <f ca="1">IFERROR(_xlfn.DAYS(Contrato5[[#This Row],[Fecha Proyectada liquidación]],TODAY())/30,"")</f>
        <v>0.6333333333333333</v>
      </c>
      <c r="AI294" s="150">
        <f>+Contrato5[[#This Row],[FECHA TERMINACIÓN ]]+120</f>
        <v>45777</v>
      </c>
      <c r="AJ294" s="147"/>
      <c r="AK294" s="152" t="str">
        <f ca="1">IF(Contrato5[[#This Row],[FECHA TERMINACIÓN ]]&lt;TODAY(), "Terminado",IF(ISNUMBER(Contrato5[[#This Row],[Fecha Real de liquiidación ]]),"Liquidado",IF(Contrato5[[#This Row],[FECHA TERMINACIÓN ]]&gt;=TODAY(),"En ejecución","")))</f>
        <v>Terminado</v>
      </c>
      <c r="AL294" s="153" t="e">
        <f ca="1">SUMIF([2]!COMPROMISOS_2024[[#All],[consecutivo]],Contrato5[[#This Row],[RCP]],[2]!COMPROMISOS_2024[[#All],[Total pagado]])</f>
        <v>#REF!</v>
      </c>
      <c r="AM294" s="154">
        <f ca="1">IFERROR(Contrato5[[#This Row],[Pagos]]/Contrato5[[#This Row],[VALOR CONTRATO]],0)</f>
        <v>0</v>
      </c>
      <c r="AN294" s="261" t="e">
        <f ca="1">+Contrato5[[#This Row],[VALOR CONTRATO]]-Contrato5[[#This Row],[Pagos]]</f>
        <v>#REF!</v>
      </c>
      <c r="AO294" s="266" t="e" cm="1">
        <f t="array" aca="1" ref="AO294" ca="1">_xlfn.XLOOKUP(Contrato5[[#This Row],[DOCUMENTO ]],[2]!PERSONAL_ACTIVO_2024[[#All],[Documento identidad]],[2]!PERSONAL_ACTIVO_2024[[#All],[Mail ]],0,0)</f>
        <v>#NAME?</v>
      </c>
      <c r="AP294" s="200" t="e" cm="1">
        <f t="array" aca="1" ref="AP294" ca="1">_xlfn.XLOOKUP(Contrato5[[#This Row],[DOCUMENTO]],[2]!PERSONAL_ACTIVO_2024[[#All],[Documento identidad]],[2]!PERSONAL_ACTIVO_2024[[#All],[Mail ]],0,0)</f>
        <v>#NAME?</v>
      </c>
      <c r="AQ294" s="467" cm="1">
        <f t="array" aca="1" ref="AQ294" ca="1">IF(ISBLANK(Contrato5[[#This Row],[DEPENDENCIA ]]),0,IFERROR(_xlfn.XLOOKUP(Contrato5[[#This Row],[DEPENDENCIA ]],[2]!PERSONAL_ACTIVO_2024[[#All],[Dependencia]],[2]!PERSONAL_ACTIVO_2024[[#All],[Mail ]],0,0),0))</f>
        <v>0</v>
      </c>
      <c r="AR294" s="468"/>
      <c r="AS294" s="469"/>
      <c r="AT294" s="470"/>
      <c r="AU294" s="470"/>
      <c r="AV294" s="306"/>
      <c r="AW294" s="317"/>
      <c r="AX294" s="471"/>
      <c r="AY294" s="472"/>
      <c r="AZ294" s="471"/>
      <c r="BA294" s="473"/>
      <c r="BB294" s="474"/>
      <c r="BC294" s="475"/>
      <c r="BD294" s="476"/>
      <c r="BE294" s="477"/>
      <c r="BF294" s="475"/>
      <c r="BG294" s="478"/>
      <c r="BH294" s="479"/>
      <c r="BI294" s="480"/>
      <c r="BJ294" s="481"/>
      <c r="BK294" s="481"/>
      <c r="BL294" s="482"/>
      <c r="BM294" s="189"/>
      <c r="BN294" s="189"/>
      <c r="BO294" s="483"/>
      <c r="BP294" s="306"/>
      <c r="BQ294" s="484"/>
      <c r="BR294" s="306"/>
      <c r="BS294" s="267"/>
      <c r="BT294" s="268"/>
      <c r="BU294" s="306"/>
      <c r="BV294" s="268"/>
      <c r="BW294" s="306"/>
      <c r="BX294" s="485"/>
      <c r="BY294" s="306"/>
      <c r="BZ294" s="486"/>
      <c r="CA294" s="487"/>
      <c r="CB294" s="488"/>
      <c r="CC294" s="489"/>
      <c r="CD294" s="488"/>
      <c r="CE294" s="468"/>
      <c r="CF294" s="469"/>
      <c r="CG294" s="470"/>
      <c r="CH294" s="470"/>
      <c r="CI294" s="306"/>
      <c r="CJ294" s="317"/>
      <c r="CK294" s="471"/>
      <c r="CL294" s="472"/>
      <c r="CM294" s="471"/>
      <c r="CN294" s="473"/>
      <c r="CO294" s="474"/>
      <c r="CP294" s="475"/>
      <c r="CQ294" s="476"/>
      <c r="CR294" s="477"/>
      <c r="CS294" s="475"/>
      <c r="CT294" s="478"/>
      <c r="CU294" s="479"/>
      <c r="CV294" s="480"/>
      <c r="CW294" s="481"/>
      <c r="CX294" s="481"/>
      <c r="CY294" s="482"/>
      <c r="CZ294" s="189"/>
      <c r="DA294" s="189"/>
      <c r="DB294" s="483"/>
      <c r="DC294" s="306"/>
      <c r="DD294" s="484"/>
      <c r="DE294" s="306"/>
      <c r="DF294" s="267"/>
      <c r="DG294" s="268"/>
      <c r="DH294" s="306"/>
      <c r="DI294" s="268"/>
      <c r="DJ294" s="306"/>
      <c r="DK294" s="485"/>
      <c r="DL294" s="306"/>
      <c r="DM294" s="486"/>
      <c r="DN294" s="487"/>
      <c r="DO294" s="488"/>
      <c r="DP294" s="489"/>
      <c r="DQ294" s="488"/>
      <c r="DR294" s="468"/>
      <c r="DS294" s="469"/>
      <c r="DT294" s="470"/>
      <c r="DU294" s="470"/>
      <c r="DV294" s="306"/>
      <c r="DW294" s="317"/>
      <c r="DX294" s="471"/>
      <c r="DY294" s="472"/>
      <c r="DZ294" s="471"/>
      <c r="EA294" s="473"/>
      <c r="EB294" s="474"/>
      <c r="EC294" s="475"/>
      <c r="ED294" s="476"/>
      <c r="EE294" s="477"/>
      <c r="EF294" s="475"/>
      <c r="EG294" s="478"/>
      <c r="EH294" s="479"/>
      <c r="EI294" s="480"/>
      <c r="EJ294" s="481"/>
      <c r="EK294" s="481"/>
      <c r="EL294" s="482"/>
      <c r="EM294" s="189"/>
      <c r="EN294" s="189"/>
      <c r="EO294" s="483"/>
      <c r="EP294" s="306"/>
      <c r="EQ294" s="484"/>
      <c r="ER294" s="306"/>
      <c r="ES294" s="267"/>
      <c r="ET294" s="268"/>
      <c r="EU294" s="306"/>
      <c r="EV294" s="268"/>
      <c r="EW294" s="306"/>
      <c r="EX294" s="485"/>
      <c r="EY294" s="306"/>
      <c r="EZ294" s="486"/>
      <c r="FA294" s="487"/>
      <c r="FB294" s="488"/>
      <c r="FC294" s="489"/>
      <c r="FD294" s="488"/>
      <c r="FE294" s="468"/>
      <c r="FF294" s="469"/>
      <c r="FG294" s="470"/>
      <c r="FH294" s="470"/>
      <c r="FI294" s="306"/>
      <c r="FJ294" s="317"/>
      <c r="FK294" s="471"/>
      <c r="FL294" s="472"/>
      <c r="FM294" s="471"/>
      <c r="FN294" s="473"/>
      <c r="FO294" s="474"/>
      <c r="FP294" s="475"/>
      <c r="FQ294" s="476"/>
      <c r="FR294" s="477"/>
      <c r="FS294" s="475"/>
      <c r="FT294" s="478"/>
      <c r="FU294" s="479"/>
      <c r="FV294" s="480"/>
      <c r="FW294" s="481"/>
      <c r="FX294" s="481"/>
      <c r="FY294" s="482"/>
      <c r="FZ294" s="189"/>
      <c r="GA294" s="189"/>
      <c r="GB294" s="483"/>
      <c r="GC294" s="306"/>
      <c r="GD294" s="484"/>
      <c r="GE294" s="306"/>
      <c r="GF294" s="267"/>
      <c r="GG294" s="268"/>
      <c r="GH294" s="306"/>
      <c r="GI294" s="268"/>
      <c r="GJ294" s="306"/>
      <c r="GK294" s="485"/>
      <c r="GL294" s="306"/>
      <c r="GM294" s="486"/>
      <c r="GN294" s="487"/>
      <c r="GO294" s="488"/>
      <c r="GP294" s="489"/>
      <c r="GQ294" s="488"/>
      <c r="GR294" s="468"/>
      <c r="GS294" s="469"/>
      <c r="GT294" s="470"/>
      <c r="GU294" s="470"/>
      <c r="GV294" s="306"/>
      <c r="GW294" s="317"/>
      <c r="GX294" s="471"/>
      <c r="GY294" s="472"/>
      <c r="GZ294" s="471"/>
      <c r="HA294" s="473"/>
      <c r="HB294" s="474"/>
      <c r="HC294" s="475"/>
      <c r="HD294" s="476"/>
      <c r="HE294" s="477"/>
      <c r="HF294" s="475"/>
      <c r="HG294" s="478"/>
      <c r="HH294" s="479"/>
      <c r="HI294" s="480"/>
      <c r="HJ294" s="481"/>
      <c r="HK294" s="481"/>
      <c r="HL294" s="482"/>
      <c r="HM294" s="189"/>
      <c r="HN294" s="189"/>
      <c r="HO294" s="483"/>
      <c r="HP294" s="306"/>
      <c r="HQ294" s="484"/>
      <c r="HR294" s="306"/>
      <c r="HS294" s="267"/>
      <c r="HT294" s="268"/>
      <c r="HU294" s="306"/>
      <c r="HV294" s="268"/>
      <c r="HW294" s="306"/>
      <c r="HX294" s="485"/>
      <c r="HY294" s="306"/>
      <c r="HZ294" s="486"/>
      <c r="IA294" s="487"/>
      <c r="IB294" s="488"/>
      <c r="IC294" s="489"/>
      <c r="ID294" s="488"/>
      <c r="IE294" s="468"/>
      <c r="IF294" s="469"/>
      <c r="IG294" s="470"/>
      <c r="IH294" s="470"/>
      <c r="II294" s="306"/>
      <c r="IJ294" s="317"/>
      <c r="IK294" s="471"/>
      <c r="IL294" s="472"/>
      <c r="IM294" s="471"/>
      <c r="IN294" s="473"/>
      <c r="IO294" s="474"/>
      <c r="IP294" s="475"/>
      <c r="IQ294" s="476"/>
      <c r="IR294" s="477"/>
      <c r="IS294" s="475"/>
      <c r="IT294" s="478"/>
      <c r="IU294" s="479"/>
      <c r="IV294" s="480"/>
      <c r="IW294" s="481"/>
      <c r="IX294" s="481"/>
      <c r="IY294" s="482"/>
      <c r="IZ294" s="189"/>
      <c r="JA294" s="189"/>
      <c r="JB294" s="483"/>
      <c r="JC294" s="306"/>
      <c r="JD294" s="484"/>
      <c r="JE294" s="306"/>
      <c r="JF294" s="267"/>
      <c r="JG294" s="268"/>
      <c r="JH294" s="306"/>
      <c r="JI294" s="268"/>
      <c r="JJ294" s="306"/>
      <c r="JK294" s="485"/>
      <c r="JL294" s="306"/>
      <c r="JM294" s="486"/>
      <c r="JN294" s="487"/>
      <c r="JO294" s="488"/>
      <c r="JP294" s="489"/>
      <c r="JQ294" s="488"/>
      <c r="JR294" s="468"/>
      <c r="JS294" s="469"/>
      <c r="JT294" s="470"/>
      <c r="JU294" s="470"/>
      <c r="JV294" s="306"/>
      <c r="JW294" s="317"/>
      <c r="JX294" s="471"/>
      <c r="JY294" s="472"/>
      <c r="JZ294" s="471"/>
      <c r="KA294" s="473"/>
      <c r="KB294" s="474"/>
      <c r="KC294" s="475"/>
      <c r="KD294" s="476"/>
      <c r="KE294" s="477"/>
      <c r="KF294" s="475"/>
      <c r="KG294" s="478"/>
      <c r="KH294" s="479"/>
      <c r="KI294" s="480"/>
      <c r="KJ294" s="481"/>
      <c r="KK294" s="481"/>
      <c r="KL294" s="482"/>
      <c r="KM294" s="189"/>
      <c r="KN294" s="189"/>
      <c r="KO294" s="483"/>
      <c r="KP294" s="306"/>
      <c r="KQ294" s="484"/>
      <c r="KR294" s="306"/>
      <c r="KS294" s="267"/>
      <c r="KT294" s="268"/>
      <c r="KU294" s="306"/>
      <c r="KV294" s="268"/>
      <c r="KW294" s="306"/>
      <c r="KX294" s="485"/>
      <c r="KY294" s="306"/>
      <c r="KZ294" s="486"/>
      <c r="LA294" s="487"/>
      <c r="LB294" s="488"/>
      <c r="LC294" s="489"/>
      <c r="LD294" s="488"/>
      <c r="LE294" s="468"/>
      <c r="LF294" s="469"/>
      <c r="LG294" s="470"/>
      <c r="LH294" s="470"/>
      <c r="LI294" s="306"/>
      <c r="LJ294" s="317"/>
      <c r="LK294" s="471"/>
      <c r="LL294" s="472"/>
      <c r="LM294" s="471"/>
      <c r="LN294" s="473"/>
      <c r="LO294" s="474"/>
      <c r="LP294" s="475"/>
      <c r="LQ294" s="476"/>
      <c r="LR294" s="477"/>
      <c r="LS294" s="475"/>
      <c r="LT294" s="478"/>
      <c r="LU294" s="479"/>
      <c r="LV294" s="480"/>
      <c r="LW294" s="481"/>
      <c r="LX294" s="481"/>
      <c r="LY294" s="482"/>
      <c r="LZ294" s="189"/>
      <c r="MA294" s="189"/>
      <c r="MB294" s="483"/>
      <c r="MC294" s="306"/>
      <c r="MD294" s="484"/>
      <c r="ME294" s="306"/>
      <c r="MF294" s="267"/>
      <c r="MG294" s="268"/>
      <c r="MH294" s="306"/>
      <c r="MI294" s="268"/>
      <c r="MJ294" s="306"/>
      <c r="MK294" s="485"/>
      <c r="ML294" s="306"/>
      <c r="MM294" s="486"/>
      <c r="MN294" s="487"/>
      <c r="MO294" s="488"/>
      <c r="MP294" s="489"/>
      <c r="MQ294" s="488"/>
      <c r="MR294" s="468"/>
      <c r="MS294" s="469"/>
      <c r="MT294" s="470"/>
      <c r="MU294" s="470"/>
      <c r="MV294" s="306"/>
      <c r="MW294" s="317"/>
      <c r="MX294" s="471"/>
      <c r="MY294" s="472"/>
      <c r="MZ294" s="471"/>
      <c r="NA294" s="473"/>
      <c r="NB294" s="474"/>
      <c r="NC294" s="475"/>
      <c r="ND294" s="476"/>
      <c r="NE294" s="477"/>
      <c r="NF294" s="475"/>
      <c r="NG294" s="478"/>
      <c r="NH294" s="479"/>
      <c r="NI294" s="480"/>
      <c r="NJ294" s="481"/>
      <c r="NK294" s="481"/>
      <c r="NL294" s="482"/>
      <c r="NM294" s="189"/>
      <c r="NN294" s="189"/>
      <c r="NO294" s="483"/>
      <c r="NP294" s="306"/>
      <c r="NQ294" s="484"/>
      <c r="NR294" s="306"/>
      <c r="NS294" s="267"/>
      <c r="NT294" s="268"/>
      <c r="NU294" s="306"/>
      <c r="NV294" s="268"/>
      <c r="NW294" s="306"/>
      <c r="NX294" s="485"/>
      <c r="NY294" s="306"/>
      <c r="NZ294" s="486"/>
      <c r="OA294" s="487"/>
      <c r="OB294" s="488"/>
      <c r="OC294" s="489"/>
      <c r="OD294" s="488"/>
      <c r="OE294" s="468"/>
      <c r="OF294" s="469"/>
      <c r="OG294" s="470"/>
      <c r="OH294" s="470"/>
      <c r="OI294" s="306"/>
      <c r="OJ294" s="317"/>
      <c r="OK294" s="471"/>
      <c r="OL294" s="472"/>
      <c r="OM294" s="471"/>
      <c r="ON294" s="473"/>
      <c r="OO294" s="474"/>
      <c r="OP294" s="475"/>
      <c r="OQ294" s="476"/>
      <c r="OR294" s="477"/>
      <c r="OS294" s="475"/>
      <c r="OT294" s="478"/>
      <c r="OU294" s="479"/>
      <c r="OV294" s="480"/>
      <c r="OW294" s="481"/>
      <c r="OX294" s="481"/>
      <c r="OY294" s="482"/>
      <c r="OZ294" s="189"/>
      <c r="PA294" s="189"/>
      <c r="PB294" s="483"/>
      <c r="PC294" s="306"/>
      <c r="PD294" s="484"/>
      <c r="PE294" s="306"/>
      <c r="PF294" s="267"/>
      <c r="PG294" s="268"/>
      <c r="PH294" s="306"/>
      <c r="PI294" s="268"/>
      <c r="PJ294" s="306"/>
      <c r="PK294" s="485"/>
      <c r="PL294" s="306"/>
      <c r="PM294" s="486"/>
      <c r="PN294" s="487"/>
      <c r="PO294" s="488"/>
      <c r="PP294" s="489"/>
      <c r="PQ294" s="488"/>
      <c r="PR294" s="468"/>
      <c r="PS294" s="469"/>
      <c r="PT294" s="470"/>
      <c r="PU294" s="470"/>
      <c r="PV294" s="306"/>
      <c r="PW294" s="317"/>
      <c r="PX294" s="471"/>
      <c r="PY294" s="472"/>
      <c r="PZ294" s="471"/>
      <c r="QA294" s="473"/>
      <c r="QB294" s="474"/>
      <c r="QC294" s="475"/>
      <c r="QD294" s="476"/>
      <c r="QE294" s="477"/>
      <c r="QF294" s="475"/>
      <c r="QG294" s="478"/>
      <c r="QH294" s="479"/>
      <c r="QI294" s="480"/>
      <c r="QJ294" s="481"/>
      <c r="QK294" s="481"/>
      <c r="QL294" s="482"/>
      <c r="QM294" s="189"/>
      <c r="QN294" s="189"/>
      <c r="QO294" s="483"/>
      <c r="QP294" s="306"/>
      <c r="QQ294" s="484"/>
      <c r="QR294" s="306"/>
      <c r="QS294" s="267"/>
      <c r="QT294" s="268"/>
      <c r="QU294" s="306"/>
      <c r="QV294" s="268"/>
      <c r="QW294" s="306"/>
      <c r="QX294" s="485"/>
      <c r="QY294" s="306"/>
      <c r="QZ294" s="486"/>
      <c r="RA294" s="487"/>
      <c r="RB294" s="488"/>
      <c r="RC294" s="489"/>
      <c r="RD294" s="488"/>
      <c r="RE294" s="468"/>
      <c r="RF294" s="469"/>
      <c r="RG294" s="470"/>
      <c r="RH294" s="470"/>
      <c r="RI294" s="306"/>
      <c r="RJ294" s="317"/>
      <c r="RK294" s="471"/>
      <c r="RL294" s="472"/>
      <c r="RM294" s="471"/>
      <c r="RN294" s="473"/>
      <c r="RO294" s="474"/>
      <c r="RP294" s="475"/>
      <c r="RQ294" s="476"/>
      <c r="RR294" s="477"/>
      <c r="RS294" s="475"/>
      <c r="RT294" s="478"/>
      <c r="RU294" s="479"/>
      <c r="RV294" s="480"/>
      <c r="RW294" s="481"/>
      <c r="RX294" s="481"/>
      <c r="RY294" s="482"/>
      <c r="RZ294" s="189"/>
      <c r="SA294" s="189"/>
      <c r="SB294" s="483"/>
      <c r="SC294" s="306"/>
      <c r="SD294" s="484"/>
      <c r="SE294" s="306"/>
      <c r="SF294" s="267"/>
      <c r="SG294" s="268"/>
      <c r="SH294" s="306"/>
      <c r="SI294" s="268"/>
      <c r="SJ294" s="306"/>
      <c r="SK294" s="485"/>
      <c r="SL294" s="306"/>
      <c r="SM294" s="486"/>
      <c r="SN294" s="487"/>
      <c r="SO294" s="488"/>
      <c r="SP294" s="489"/>
      <c r="SQ294" s="488"/>
      <c r="SR294" s="468"/>
      <c r="SS294" s="469"/>
      <c r="ST294" s="470"/>
      <c r="SU294" s="470"/>
      <c r="SV294" s="306"/>
      <c r="SW294" s="317"/>
      <c r="SX294" s="471"/>
      <c r="SY294" s="472"/>
      <c r="SZ294" s="471"/>
      <c r="TA294" s="473"/>
      <c r="TB294" s="474"/>
      <c r="TC294" s="475"/>
      <c r="TD294" s="476"/>
      <c r="TE294" s="477"/>
      <c r="TF294" s="475"/>
      <c r="TG294" s="478"/>
      <c r="TH294" s="479"/>
      <c r="TI294" s="480"/>
      <c r="TJ294" s="481"/>
      <c r="TK294" s="481"/>
      <c r="TL294" s="482"/>
      <c r="TM294" s="189"/>
      <c r="TN294" s="189"/>
      <c r="TO294" s="483"/>
      <c r="TP294" s="306"/>
      <c r="TQ294" s="484"/>
      <c r="TR294" s="306"/>
      <c r="TS294" s="267"/>
      <c r="TT294" s="268"/>
      <c r="TU294" s="306"/>
      <c r="TV294" s="268"/>
      <c r="TW294" s="306"/>
      <c r="TX294" s="485"/>
      <c r="TY294" s="306"/>
      <c r="TZ294" s="486"/>
      <c r="UA294" s="487"/>
      <c r="UB294" s="488"/>
      <c r="UC294" s="489"/>
      <c r="UD294" s="488"/>
      <c r="UE294" s="468"/>
      <c r="UF294" s="469"/>
      <c r="UG294" s="470"/>
      <c r="UH294" s="470"/>
      <c r="UI294" s="306"/>
      <c r="UJ294" s="317"/>
      <c r="UK294" s="471"/>
      <c r="UL294" s="472"/>
      <c r="UM294" s="471"/>
      <c r="UN294" s="473"/>
      <c r="UO294" s="474"/>
      <c r="UP294" s="475"/>
      <c r="UQ294" s="476"/>
      <c r="UR294" s="477"/>
      <c r="US294" s="475"/>
      <c r="UT294" s="478"/>
      <c r="UU294" s="479"/>
      <c r="UV294" s="480"/>
      <c r="UW294" s="481"/>
      <c r="UX294" s="481"/>
      <c r="UY294" s="482"/>
      <c r="UZ294" s="189"/>
      <c r="VA294" s="189"/>
      <c r="VB294" s="483"/>
      <c r="VC294" s="306"/>
      <c r="VD294" s="484"/>
      <c r="VE294" s="306"/>
      <c r="VF294" s="267"/>
      <c r="VG294" s="268"/>
      <c r="VH294" s="306"/>
      <c r="VI294" s="268"/>
      <c r="VJ294" s="306"/>
      <c r="VK294" s="485"/>
      <c r="VL294" s="306"/>
      <c r="VM294" s="486"/>
      <c r="VN294" s="487"/>
      <c r="VO294" s="488"/>
      <c r="VP294" s="489"/>
      <c r="VQ294" s="488"/>
      <c r="VR294" s="468"/>
      <c r="VS294" s="469"/>
      <c r="VT294" s="470"/>
      <c r="VU294" s="470"/>
      <c r="VV294" s="306"/>
      <c r="VW294" s="317"/>
      <c r="VX294" s="471"/>
      <c r="VY294" s="472"/>
      <c r="VZ294" s="471"/>
      <c r="WA294" s="473"/>
      <c r="WB294" s="474"/>
      <c r="WC294" s="475"/>
      <c r="WD294" s="476"/>
      <c r="WE294" s="477"/>
      <c r="WF294" s="475"/>
      <c r="WG294" s="478"/>
      <c r="WH294" s="479"/>
      <c r="WI294" s="480"/>
      <c r="WJ294" s="481"/>
      <c r="WK294" s="481"/>
      <c r="WL294" s="482"/>
      <c r="WM294" s="189"/>
      <c r="WN294" s="189"/>
      <c r="WO294" s="483"/>
      <c r="WP294" s="306"/>
      <c r="WQ294" s="484"/>
      <c r="WR294" s="306"/>
      <c r="WS294" s="267"/>
      <c r="WT294" s="268"/>
      <c r="WU294" s="306"/>
      <c r="WV294" s="268"/>
      <c r="WW294" s="306"/>
      <c r="WX294" s="485"/>
      <c r="WY294" s="306"/>
      <c r="WZ294" s="486"/>
      <c r="XA294" s="487"/>
      <c r="XB294" s="488"/>
      <c r="XC294" s="489"/>
      <c r="XD294" s="488"/>
      <c r="XE294" s="468"/>
      <c r="XF294" s="469"/>
      <c r="XG294" s="470"/>
      <c r="XH294" s="470"/>
      <c r="XI294" s="306"/>
      <c r="XJ294" s="317"/>
      <c r="XK294" s="471"/>
      <c r="XL294" s="472"/>
      <c r="XM294" s="471"/>
      <c r="XN294" s="473"/>
      <c r="XO294" s="474"/>
      <c r="XP294" s="475"/>
      <c r="XQ294" s="476"/>
      <c r="XR294" s="477"/>
      <c r="XS294" s="475"/>
      <c r="XT294" s="478"/>
      <c r="XU294" s="479"/>
      <c r="XV294" s="480"/>
      <c r="XW294" s="481"/>
      <c r="XX294" s="481"/>
      <c r="XY294" s="482"/>
      <c r="XZ294" s="189"/>
      <c r="YA294" s="189"/>
      <c r="YB294" s="483"/>
      <c r="YC294" s="306"/>
      <c r="YD294" s="484"/>
      <c r="YE294" s="306"/>
      <c r="YF294" s="267"/>
      <c r="YG294" s="268"/>
      <c r="YH294" s="306"/>
      <c r="YI294" s="268"/>
      <c r="YJ294" s="306"/>
      <c r="YK294" s="485"/>
      <c r="YL294" s="306"/>
      <c r="YM294" s="486"/>
      <c r="YN294" s="487"/>
      <c r="YO294" s="488"/>
      <c r="YP294" s="489"/>
      <c r="YQ294" s="488"/>
      <c r="YR294" s="468"/>
      <c r="YS294" s="469"/>
      <c r="YT294" s="470"/>
      <c r="YU294" s="470"/>
      <c r="YV294" s="306"/>
      <c r="YW294" s="317"/>
      <c r="YX294" s="471"/>
      <c r="YY294" s="472"/>
      <c r="YZ294" s="471"/>
      <c r="ZA294" s="473"/>
      <c r="ZB294" s="474"/>
      <c r="ZC294" s="475"/>
      <c r="ZD294" s="476"/>
      <c r="ZE294" s="477"/>
      <c r="ZF294" s="475"/>
      <c r="ZG294" s="478"/>
      <c r="ZH294" s="479"/>
      <c r="ZI294" s="480"/>
      <c r="ZJ294" s="481"/>
      <c r="ZK294" s="481"/>
      <c r="ZL294" s="482"/>
      <c r="ZM294" s="189"/>
      <c r="ZN294" s="189"/>
      <c r="ZO294" s="483"/>
      <c r="ZP294" s="306"/>
      <c r="ZQ294" s="484"/>
      <c r="ZR294" s="306"/>
      <c r="ZS294" s="267"/>
      <c r="ZT294" s="268"/>
      <c r="ZU294" s="306"/>
      <c r="ZV294" s="268"/>
      <c r="ZW294" s="306"/>
      <c r="ZX294" s="485"/>
      <c r="ZY294" s="306"/>
      <c r="ZZ294" s="486"/>
      <c r="AAA294" s="487"/>
      <c r="AAB294" s="488"/>
      <c r="AAC294" s="489"/>
      <c r="AAD294" s="488"/>
      <c r="AAE294" s="468"/>
      <c r="AAF294" s="469"/>
      <c r="AAG294" s="470"/>
      <c r="AAH294" s="470"/>
      <c r="AAI294" s="306"/>
      <c r="AAJ294" s="317"/>
      <c r="AAK294" s="471"/>
      <c r="AAL294" s="472"/>
      <c r="AAM294" s="471"/>
      <c r="AAN294" s="473"/>
      <c r="AAO294" s="474"/>
      <c r="AAP294" s="475"/>
      <c r="AAQ294" s="476"/>
      <c r="AAR294" s="477"/>
      <c r="AAS294" s="475"/>
      <c r="AAT294" s="478"/>
      <c r="AAU294" s="479"/>
      <c r="AAV294" s="480"/>
      <c r="AAW294" s="481"/>
      <c r="AAX294" s="481"/>
      <c r="AAY294" s="482"/>
      <c r="AAZ294" s="189"/>
      <c r="ABA294" s="189"/>
      <c r="ABB294" s="483"/>
      <c r="ABC294" s="306"/>
      <c r="ABD294" s="484"/>
      <c r="ABE294" s="306"/>
      <c r="ABF294" s="267"/>
      <c r="ABG294" s="268"/>
      <c r="ABH294" s="306"/>
      <c r="ABI294" s="268"/>
      <c r="ABJ294" s="306"/>
      <c r="ABK294" s="485"/>
      <c r="ABL294" s="306"/>
      <c r="ABM294" s="486"/>
      <c r="ABN294" s="487"/>
      <c r="ABO294" s="488"/>
      <c r="ABP294" s="489"/>
      <c r="ABQ294" s="488"/>
      <c r="ABR294" s="468"/>
      <c r="ABS294" s="469"/>
      <c r="ABT294" s="470"/>
      <c r="ABU294" s="470"/>
      <c r="ABV294" s="306"/>
      <c r="ABW294" s="317"/>
      <c r="ABX294" s="471"/>
      <c r="ABY294" s="472"/>
      <c r="ABZ294" s="471"/>
      <c r="ACA294" s="473"/>
      <c r="ACB294" s="474"/>
      <c r="ACC294" s="475"/>
      <c r="ACD294" s="476"/>
      <c r="ACE294" s="477"/>
      <c r="ACF294" s="475"/>
      <c r="ACG294" s="478"/>
      <c r="ACH294" s="479"/>
      <c r="ACI294" s="480"/>
      <c r="ACJ294" s="481"/>
      <c r="ACK294" s="481"/>
      <c r="ACL294" s="482"/>
      <c r="ACM294" s="189"/>
      <c r="ACN294" s="189"/>
      <c r="ACO294" s="483"/>
      <c r="ACP294" s="306"/>
      <c r="ACQ294" s="484"/>
      <c r="ACR294" s="306"/>
      <c r="ACS294" s="267"/>
      <c r="ACT294" s="268"/>
      <c r="ACU294" s="306"/>
      <c r="ACV294" s="268"/>
      <c r="ACW294" s="306"/>
      <c r="ACX294" s="485"/>
      <c r="ACY294" s="306"/>
      <c r="ACZ294" s="486"/>
      <c r="ADA294" s="487"/>
      <c r="ADB294" s="488"/>
      <c r="ADC294" s="489"/>
      <c r="ADD294" s="488"/>
      <c r="ADE294" s="468"/>
      <c r="ADF294" s="469"/>
      <c r="ADG294" s="470"/>
      <c r="ADH294" s="470"/>
      <c r="ADI294" s="306"/>
      <c r="ADJ294" s="317"/>
      <c r="ADK294" s="471"/>
      <c r="ADL294" s="472"/>
      <c r="ADM294" s="471"/>
      <c r="ADN294" s="473"/>
      <c r="ADO294" s="474"/>
      <c r="ADP294" s="475"/>
      <c r="ADQ294" s="476"/>
      <c r="ADR294" s="477"/>
      <c r="ADS294" s="475"/>
      <c r="ADT294" s="478"/>
      <c r="ADU294" s="479"/>
      <c r="ADV294" s="480"/>
      <c r="ADW294" s="481"/>
      <c r="ADX294" s="481"/>
      <c r="ADY294" s="482"/>
      <c r="ADZ294" s="189"/>
      <c r="AEA294" s="189"/>
      <c r="AEB294" s="483"/>
      <c r="AEC294" s="306"/>
      <c r="AED294" s="484"/>
      <c r="AEE294" s="306"/>
      <c r="AEF294" s="267"/>
      <c r="AEG294" s="268"/>
      <c r="AEH294" s="306"/>
      <c r="AEI294" s="268"/>
      <c r="AEJ294" s="306"/>
      <c r="AEK294" s="485"/>
      <c r="AEL294" s="306"/>
      <c r="AEM294" s="486"/>
      <c r="AEN294" s="487"/>
      <c r="AEO294" s="488"/>
      <c r="AEP294" s="489"/>
      <c r="AEQ294" s="488"/>
      <c r="AER294" s="468"/>
      <c r="AES294" s="469"/>
      <c r="AET294" s="470"/>
      <c r="AEU294" s="470"/>
      <c r="AEV294" s="306"/>
      <c r="AEW294" s="317"/>
      <c r="AEX294" s="471"/>
      <c r="AEY294" s="472"/>
      <c r="AEZ294" s="471"/>
      <c r="AFA294" s="473"/>
      <c r="AFB294" s="474"/>
      <c r="AFC294" s="475"/>
      <c r="AFD294" s="476"/>
      <c r="AFE294" s="477"/>
      <c r="AFF294" s="475"/>
      <c r="AFG294" s="478"/>
      <c r="AFH294" s="479"/>
      <c r="AFI294" s="480"/>
      <c r="AFJ294" s="481"/>
      <c r="AFK294" s="481"/>
      <c r="AFL294" s="482"/>
      <c r="AFM294" s="189"/>
      <c r="AFN294" s="189"/>
      <c r="AFO294" s="483"/>
      <c r="AFP294" s="306"/>
      <c r="AFQ294" s="484"/>
      <c r="AFR294" s="306"/>
      <c r="AFS294" s="267"/>
      <c r="AFT294" s="268"/>
      <c r="AFU294" s="306"/>
      <c r="AFV294" s="268"/>
      <c r="AFW294" s="306"/>
      <c r="AFX294" s="485"/>
      <c r="AFY294" s="306"/>
      <c r="AFZ294" s="486"/>
      <c r="AGA294" s="487"/>
      <c r="AGB294" s="488"/>
      <c r="AGC294" s="489"/>
      <c r="AGD294" s="488"/>
      <c r="AGE294" s="468"/>
      <c r="AGF294" s="469"/>
      <c r="AGG294" s="470"/>
      <c r="AGH294" s="470"/>
      <c r="AGI294" s="306"/>
      <c r="AGJ294" s="317"/>
      <c r="AGK294" s="471"/>
      <c r="AGL294" s="472"/>
      <c r="AGM294" s="471"/>
      <c r="AGN294" s="473"/>
      <c r="AGO294" s="474"/>
      <c r="AGP294" s="475"/>
      <c r="AGQ294" s="476"/>
      <c r="AGR294" s="477"/>
      <c r="AGS294" s="475"/>
      <c r="AGT294" s="478"/>
      <c r="AGU294" s="479"/>
      <c r="AGV294" s="480"/>
      <c r="AGW294" s="481"/>
      <c r="AGX294" s="481"/>
      <c r="AGY294" s="482"/>
      <c r="AGZ294" s="189"/>
      <c r="AHA294" s="189"/>
      <c r="AHB294" s="483"/>
      <c r="AHC294" s="306"/>
      <c r="AHD294" s="484"/>
      <c r="AHE294" s="306"/>
      <c r="AHF294" s="267"/>
      <c r="AHG294" s="268"/>
      <c r="AHH294" s="306"/>
      <c r="AHI294" s="268"/>
      <c r="AHJ294" s="306"/>
      <c r="AHK294" s="485"/>
      <c r="AHL294" s="306"/>
      <c r="AHM294" s="486"/>
      <c r="AHN294" s="487"/>
      <c r="AHO294" s="488"/>
      <c r="AHP294" s="489"/>
      <c r="AHQ294" s="488"/>
      <c r="AHR294" s="468"/>
      <c r="AHS294" s="469"/>
      <c r="AHT294" s="470"/>
      <c r="AHU294" s="470"/>
      <c r="AHV294" s="306"/>
      <c r="AHW294" s="317"/>
      <c r="AHX294" s="471"/>
      <c r="AHY294" s="472"/>
      <c r="AHZ294" s="471"/>
      <c r="AIA294" s="473"/>
      <c r="AIB294" s="474"/>
      <c r="AIC294" s="475"/>
      <c r="AID294" s="476"/>
      <c r="AIE294" s="477"/>
      <c r="AIF294" s="475"/>
      <c r="AIG294" s="478"/>
      <c r="AIH294" s="479"/>
      <c r="AII294" s="480"/>
      <c r="AIJ294" s="481"/>
      <c r="AIK294" s="481"/>
      <c r="AIL294" s="482"/>
      <c r="AIM294" s="189"/>
      <c r="AIN294" s="189"/>
      <c r="AIO294" s="483"/>
      <c r="AIP294" s="306"/>
      <c r="AIQ294" s="484"/>
      <c r="AIR294" s="306"/>
      <c r="AIS294" s="267"/>
      <c r="AIT294" s="268"/>
      <c r="AIU294" s="306"/>
      <c r="AIV294" s="268"/>
      <c r="AIW294" s="306"/>
      <c r="AIX294" s="485"/>
      <c r="AIY294" s="306"/>
      <c r="AIZ294" s="486"/>
      <c r="AJA294" s="487"/>
      <c r="AJB294" s="488"/>
      <c r="AJC294" s="489"/>
      <c r="AJD294" s="488"/>
      <c r="AJE294" s="468"/>
      <c r="AJF294" s="469"/>
      <c r="AJG294" s="470"/>
      <c r="AJH294" s="470"/>
      <c r="AJI294" s="306"/>
      <c r="AJJ294" s="317"/>
      <c r="AJK294" s="471"/>
      <c r="AJL294" s="472"/>
      <c r="AJM294" s="471"/>
      <c r="AJN294" s="473"/>
      <c r="AJO294" s="474"/>
      <c r="AJP294" s="475"/>
      <c r="AJQ294" s="476"/>
      <c r="AJR294" s="477"/>
      <c r="AJS294" s="475"/>
      <c r="AJT294" s="478"/>
      <c r="AJU294" s="479"/>
      <c r="AJV294" s="480"/>
      <c r="AJW294" s="481"/>
      <c r="AJX294" s="481"/>
      <c r="AJY294" s="482"/>
      <c r="AJZ294" s="189"/>
      <c r="AKA294" s="189"/>
      <c r="AKB294" s="483"/>
      <c r="AKC294" s="306"/>
      <c r="AKD294" s="484"/>
      <c r="AKE294" s="306"/>
      <c r="AKF294" s="267"/>
      <c r="AKG294" s="268"/>
      <c r="AKH294" s="306"/>
      <c r="AKI294" s="268"/>
      <c r="AKJ294" s="306"/>
      <c r="AKK294" s="485"/>
      <c r="AKL294" s="306"/>
      <c r="AKM294" s="486"/>
      <c r="AKN294" s="487"/>
      <c r="AKO294" s="488"/>
      <c r="AKP294" s="489"/>
      <c r="AKQ294" s="488"/>
      <c r="AKR294" s="468"/>
      <c r="AKS294" s="469"/>
      <c r="AKT294" s="470"/>
      <c r="AKU294" s="470"/>
      <c r="AKV294" s="306"/>
      <c r="AKW294" s="317"/>
      <c r="AKX294" s="471"/>
      <c r="AKY294" s="472"/>
      <c r="AKZ294" s="471"/>
      <c r="ALA294" s="473"/>
      <c r="ALB294" s="474"/>
      <c r="ALC294" s="475"/>
      <c r="ALD294" s="476"/>
      <c r="ALE294" s="477"/>
      <c r="ALF294" s="475"/>
      <c r="ALG294" s="478"/>
      <c r="ALH294" s="479"/>
      <c r="ALI294" s="480"/>
      <c r="ALJ294" s="481"/>
      <c r="ALK294" s="481"/>
      <c r="ALL294" s="482"/>
      <c r="ALM294" s="189"/>
      <c r="ALN294" s="189"/>
      <c r="ALO294" s="483"/>
      <c r="ALP294" s="306"/>
      <c r="ALQ294" s="484"/>
      <c r="ALR294" s="306"/>
      <c r="ALS294" s="267"/>
      <c r="ALT294" s="268"/>
      <c r="ALU294" s="306"/>
      <c r="ALV294" s="268"/>
      <c r="ALW294" s="306"/>
      <c r="ALX294" s="485"/>
      <c r="ALY294" s="306"/>
      <c r="ALZ294" s="486"/>
      <c r="AMA294" s="487"/>
      <c r="AMB294" s="488"/>
      <c r="AMC294" s="489"/>
      <c r="AMD294" s="488"/>
      <c r="AME294" s="468"/>
      <c r="AMF294" s="469"/>
      <c r="AMG294" s="470"/>
      <c r="AMH294" s="470"/>
      <c r="AMI294" s="306"/>
      <c r="AMJ294" s="317"/>
      <c r="AMK294" s="471"/>
      <c r="AML294" s="472"/>
      <c r="AMM294" s="471"/>
      <c r="AMN294" s="473"/>
      <c r="AMO294" s="474"/>
      <c r="AMP294" s="475"/>
      <c r="AMQ294" s="476"/>
      <c r="AMR294" s="477"/>
      <c r="AMS294" s="475"/>
      <c r="AMT294" s="478"/>
      <c r="AMU294" s="479"/>
      <c r="AMV294" s="480"/>
      <c r="AMW294" s="481"/>
      <c r="AMX294" s="481"/>
      <c r="AMY294" s="482"/>
      <c r="AMZ294" s="189"/>
      <c r="ANA294" s="189"/>
      <c r="ANB294" s="483"/>
      <c r="ANC294" s="306"/>
      <c r="AND294" s="484"/>
      <c r="ANE294" s="306"/>
      <c r="ANF294" s="267"/>
      <c r="ANG294" s="268"/>
      <c r="ANH294" s="306"/>
      <c r="ANI294" s="268"/>
      <c r="ANJ294" s="306"/>
      <c r="ANK294" s="485"/>
      <c r="ANL294" s="306"/>
      <c r="ANM294" s="486"/>
      <c r="ANN294" s="487"/>
      <c r="ANO294" s="488"/>
      <c r="ANP294" s="489"/>
      <c r="ANQ294" s="488"/>
      <c r="ANR294" s="468"/>
      <c r="ANS294" s="469"/>
      <c r="ANT294" s="470"/>
      <c r="ANU294" s="470"/>
      <c r="ANV294" s="306"/>
      <c r="ANW294" s="317"/>
      <c r="ANX294" s="471"/>
      <c r="ANY294" s="472"/>
      <c r="ANZ294" s="471"/>
      <c r="AOA294" s="473"/>
      <c r="AOB294" s="474"/>
      <c r="AOC294" s="475"/>
      <c r="AOD294" s="476"/>
      <c r="AOE294" s="477"/>
      <c r="AOF294" s="475"/>
      <c r="AOG294" s="478"/>
      <c r="AOH294" s="479"/>
      <c r="AOI294" s="480"/>
      <c r="AOJ294" s="481"/>
      <c r="AOK294" s="481"/>
      <c r="AOL294" s="482"/>
      <c r="AOM294" s="189"/>
      <c r="AON294" s="189"/>
      <c r="AOO294" s="483"/>
      <c r="AOP294" s="306"/>
      <c r="AOQ294" s="484"/>
      <c r="AOR294" s="306"/>
      <c r="AOS294" s="267"/>
      <c r="AOT294" s="268"/>
      <c r="AOU294" s="306"/>
      <c r="AOV294" s="268"/>
      <c r="AOW294" s="306"/>
      <c r="AOX294" s="485"/>
      <c r="AOY294" s="306"/>
      <c r="AOZ294" s="486"/>
      <c r="APA294" s="487"/>
      <c r="APB294" s="488"/>
      <c r="APC294" s="489"/>
      <c r="APD294" s="488"/>
      <c r="APE294" s="468"/>
      <c r="APF294" s="469"/>
      <c r="APG294" s="470"/>
      <c r="APH294" s="470"/>
      <c r="API294" s="306"/>
      <c r="APJ294" s="317"/>
      <c r="APK294" s="471"/>
      <c r="APL294" s="472"/>
      <c r="APM294" s="471"/>
      <c r="APN294" s="473"/>
      <c r="APO294" s="474"/>
      <c r="APP294" s="475"/>
      <c r="APQ294" s="476"/>
      <c r="APR294" s="477"/>
      <c r="APS294" s="475"/>
      <c r="APT294" s="478"/>
      <c r="APU294" s="479"/>
      <c r="APV294" s="480"/>
      <c r="APW294" s="481"/>
      <c r="APX294" s="481"/>
      <c r="APY294" s="482"/>
      <c r="APZ294" s="189"/>
      <c r="AQA294" s="189"/>
      <c r="AQB294" s="483"/>
      <c r="AQC294" s="306"/>
      <c r="AQD294" s="484"/>
      <c r="AQE294" s="306"/>
      <c r="AQF294" s="267"/>
      <c r="AQG294" s="268"/>
      <c r="AQH294" s="306"/>
      <c r="AQI294" s="268"/>
      <c r="AQJ294" s="306"/>
      <c r="AQK294" s="485"/>
      <c r="AQL294" s="306"/>
      <c r="AQM294" s="486"/>
      <c r="AQN294" s="487"/>
      <c r="AQO294" s="488"/>
      <c r="AQP294" s="489"/>
      <c r="AQQ294" s="488"/>
      <c r="AQR294" s="468"/>
      <c r="AQS294" s="469"/>
      <c r="AQT294" s="470"/>
      <c r="AQU294" s="470"/>
      <c r="AQV294" s="306"/>
      <c r="AQW294" s="317"/>
      <c r="AQX294" s="471"/>
      <c r="AQY294" s="472"/>
      <c r="AQZ294" s="471"/>
      <c r="ARA294" s="473"/>
      <c r="ARB294" s="474"/>
      <c r="ARC294" s="475"/>
      <c r="ARD294" s="476"/>
      <c r="ARE294" s="477"/>
      <c r="ARF294" s="475"/>
      <c r="ARG294" s="478"/>
      <c r="ARH294" s="479"/>
      <c r="ARI294" s="480"/>
      <c r="ARJ294" s="481"/>
      <c r="ARK294" s="481"/>
      <c r="ARL294" s="482"/>
      <c r="ARM294" s="189"/>
      <c r="ARN294" s="189"/>
      <c r="ARO294" s="483"/>
      <c r="ARP294" s="306"/>
      <c r="ARQ294" s="484"/>
      <c r="ARR294" s="306"/>
      <c r="ARS294" s="267"/>
      <c r="ART294" s="268"/>
      <c r="ARU294" s="306"/>
      <c r="ARV294" s="268"/>
      <c r="ARW294" s="306"/>
      <c r="ARX294" s="485"/>
      <c r="ARY294" s="306"/>
      <c r="ARZ294" s="486"/>
      <c r="ASA294" s="487"/>
      <c r="ASB294" s="488"/>
      <c r="ASC294" s="489"/>
      <c r="ASD294" s="488"/>
      <c r="ASE294" s="468"/>
      <c r="ASF294" s="469"/>
      <c r="ASG294" s="470"/>
      <c r="ASH294" s="470"/>
      <c r="ASI294" s="306"/>
      <c r="ASJ294" s="317"/>
      <c r="ASK294" s="471"/>
      <c r="ASL294" s="472"/>
      <c r="ASM294" s="471"/>
      <c r="ASN294" s="473"/>
      <c r="ASO294" s="474"/>
      <c r="ASP294" s="475"/>
      <c r="ASQ294" s="476"/>
      <c r="ASR294" s="477"/>
      <c r="ASS294" s="475"/>
      <c r="AST294" s="478"/>
      <c r="ASU294" s="479"/>
      <c r="ASV294" s="480"/>
      <c r="ASW294" s="481"/>
      <c r="ASX294" s="481"/>
      <c r="ASY294" s="482"/>
      <c r="ASZ294" s="189"/>
      <c r="ATA294" s="189"/>
      <c r="ATB294" s="483"/>
      <c r="ATC294" s="306"/>
      <c r="ATD294" s="484"/>
      <c r="ATE294" s="306"/>
      <c r="ATF294" s="267"/>
      <c r="ATG294" s="268"/>
      <c r="ATH294" s="306"/>
      <c r="ATI294" s="268"/>
      <c r="ATJ294" s="306"/>
      <c r="ATK294" s="485"/>
      <c r="ATL294" s="306"/>
      <c r="ATM294" s="486"/>
      <c r="ATN294" s="487"/>
      <c r="ATO294" s="488"/>
      <c r="ATP294" s="489"/>
      <c r="ATQ294" s="488"/>
      <c r="ATR294" s="468"/>
      <c r="ATS294" s="469"/>
      <c r="ATT294" s="470"/>
      <c r="ATU294" s="470"/>
      <c r="ATV294" s="306"/>
      <c r="ATW294" s="317"/>
      <c r="ATX294" s="471"/>
      <c r="ATY294" s="472"/>
      <c r="ATZ294" s="471"/>
      <c r="AUA294" s="473"/>
      <c r="AUB294" s="474"/>
      <c r="AUC294" s="475"/>
      <c r="AUD294" s="476"/>
      <c r="AUE294" s="477"/>
      <c r="AUF294" s="475"/>
      <c r="AUG294" s="478"/>
      <c r="AUH294" s="479"/>
      <c r="AUI294" s="480"/>
      <c r="AUJ294" s="481"/>
      <c r="AUK294" s="481"/>
      <c r="AUL294" s="482"/>
      <c r="AUM294" s="189"/>
      <c r="AUN294" s="189"/>
      <c r="AUO294" s="483"/>
      <c r="AUP294" s="306"/>
      <c r="AUQ294" s="484"/>
      <c r="AUR294" s="306"/>
      <c r="AUS294" s="267"/>
      <c r="AUT294" s="268"/>
      <c r="AUU294" s="306"/>
      <c r="AUV294" s="268"/>
      <c r="AUW294" s="306"/>
      <c r="AUX294" s="485"/>
      <c r="AUY294" s="306"/>
      <c r="AUZ294" s="486"/>
      <c r="AVA294" s="487"/>
      <c r="AVB294" s="488"/>
      <c r="AVC294" s="489"/>
      <c r="AVD294" s="488"/>
      <c r="AVE294" s="468"/>
      <c r="AVF294" s="469"/>
      <c r="AVG294" s="470"/>
      <c r="AVH294" s="470"/>
      <c r="AVI294" s="306"/>
      <c r="AVJ294" s="317"/>
      <c r="AVK294" s="471"/>
      <c r="AVL294" s="472"/>
      <c r="AVM294" s="471"/>
      <c r="AVN294" s="473"/>
      <c r="AVO294" s="474"/>
      <c r="AVP294" s="475"/>
      <c r="AVQ294" s="476"/>
      <c r="AVR294" s="477"/>
      <c r="AVS294" s="475"/>
      <c r="AVT294" s="478"/>
      <c r="AVU294" s="479"/>
      <c r="AVV294" s="480"/>
      <c r="AVW294" s="481"/>
      <c r="AVX294" s="481"/>
      <c r="AVY294" s="482"/>
      <c r="AVZ294" s="189"/>
      <c r="AWA294" s="189"/>
      <c r="AWB294" s="483"/>
      <c r="AWC294" s="306"/>
      <c r="AWD294" s="484"/>
      <c r="AWE294" s="306"/>
      <c r="AWF294" s="267"/>
      <c r="AWG294" s="268"/>
      <c r="AWH294" s="306"/>
      <c r="AWI294" s="268"/>
      <c r="AWJ294" s="306"/>
      <c r="AWK294" s="485"/>
      <c r="AWL294" s="306"/>
      <c r="AWM294" s="486"/>
      <c r="AWN294" s="487"/>
      <c r="AWO294" s="488"/>
      <c r="AWP294" s="489"/>
      <c r="AWQ294" s="488"/>
      <c r="AWR294" s="468"/>
      <c r="AWS294" s="469"/>
      <c r="AWT294" s="470"/>
      <c r="AWU294" s="470"/>
      <c r="AWV294" s="306"/>
      <c r="AWW294" s="317"/>
      <c r="AWX294" s="471"/>
      <c r="AWY294" s="472"/>
      <c r="AWZ294" s="471"/>
      <c r="AXA294" s="473"/>
      <c r="AXB294" s="474"/>
      <c r="AXC294" s="475"/>
      <c r="AXD294" s="476"/>
      <c r="AXE294" s="477"/>
      <c r="AXF294" s="475"/>
      <c r="AXG294" s="478"/>
      <c r="AXH294" s="479"/>
      <c r="AXI294" s="480"/>
      <c r="AXJ294" s="481"/>
      <c r="AXK294" s="481"/>
      <c r="AXL294" s="482"/>
      <c r="AXM294" s="189"/>
      <c r="AXN294" s="189"/>
      <c r="AXO294" s="483"/>
      <c r="AXP294" s="306"/>
      <c r="AXQ294" s="484"/>
      <c r="AXR294" s="306"/>
      <c r="AXS294" s="267"/>
      <c r="AXT294" s="268"/>
      <c r="AXU294" s="306"/>
      <c r="AXV294" s="268"/>
      <c r="AXW294" s="306"/>
      <c r="AXX294" s="485"/>
      <c r="AXY294" s="306"/>
      <c r="AXZ294" s="486"/>
      <c r="AYA294" s="487"/>
      <c r="AYB294" s="488"/>
      <c r="AYC294" s="489"/>
      <c r="AYD294" s="488"/>
      <c r="AYE294" s="468"/>
      <c r="AYF294" s="469"/>
      <c r="AYG294" s="470"/>
      <c r="AYH294" s="470"/>
      <c r="AYI294" s="306"/>
      <c r="AYJ294" s="317"/>
      <c r="AYK294" s="471"/>
      <c r="AYL294" s="472"/>
      <c r="AYM294" s="471"/>
      <c r="AYN294" s="473"/>
      <c r="AYO294" s="474"/>
      <c r="AYP294" s="475"/>
      <c r="AYQ294" s="476"/>
      <c r="AYR294" s="477"/>
      <c r="AYS294" s="475"/>
      <c r="AYT294" s="478"/>
      <c r="AYU294" s="479"/>
      <c r="AYV294" s="480"/>
      <c r="AYW294" s="481"/>
      <c r="AYX294" s="481"/>
      <c r="AYY294" s="482"/>
      <c r="AYZ294" s="189"/>
      <c r="AZA294" s="189"/>
      <c r="AZB294" s="483"/>
      <c r="AZC294" s="306"/>
      <c r="AZD294" s="484"/>
      <c r="AZE294" s="306"/>
      <c r="AZF294" s="267"/>
      <c r="AZG294" s="268"/>
      <c r="AZH294" s="306"/>
      <c r="AZI294" s="268"/>
      <c r="AZJ294" s="306"/>
      <c r="AZK294" s="485"/>
      <c r="AZL294" s="306"/>
      <c r="AZM294" s="486"/>
      <c r="AZN294" s="487"/>
      <c r="AZO294" s="488"/>
      <c r="AZP294" s="489"/>
      <c r="AZQ294" s="488"/>
      <c r="AZR294" s="468"/>
      <c r="AZS294" s="469"/>
      <c r="AZT294" s="470"/>
      <c r="AZU294" s="470"/>
      <c r="AZV294" s="306"/>
      <c r="AZW294" s="317"/>
      <c r="AZX294" s="471"/>
      <c r="AZY294" s="472"/>
      <c r="AZZ294" s="471"/>
      <c r="BAA294" s="473"/>
      <c r="BAB294" s="474"/>
      <c r="BAC294" s="475"/>
      <c r="BAD294" s="476"/>
      <c r="BAE294" s="477"/>
      <c r="BAF294" s="475"/>
      <c r="BAG294" s="478"/>
      <c r="BAH294" s="479"/>
      <c r="BAI294" s="480"/>
      <c r="BAJ294" s="481"/>
      <c r="BAK294" s="481"/>
      <c r="BAL294" s="482"/>
      <c r="BAM294" s="189"/>
      <c r="BAN294" s="189"/>
      <c r="BAO294" s="483"/>
      <c r="BAP294" s="306"/>
      <c r="BAQ294" s="484"/>
      <c r="BAR294" s="306"/>
      <c r="BAS294" s="267"/>
      <c r="BAT294" s="268"/>
      <c r="BAU294" s="306"/>
      <c r="BAV294" s="268"/>
      <c r="BAW294" s="306"/>
      <c r="BAX294" s="485"/>
      <c r="BAY294" s="306"/>
      <c r="BAZ294" s="486"/>
      <c r="BBA294" s="487"/>
      <c r="BBB294" s="488"/>
      <c r="BBC294" s="489"/>
      <c r="BBD294" s="488"/>
      <c r="BBE294" s="468"/>
      <c r="BBF294" s="469"/>
      <c r="BBG294" s="470"/>
      <c r="BBH294" s="470"/>
      <c r="BBI294" s="306"/>
      <c r="BBJ294" s="317"/>
      <c r="BBK294" s="471"/>
      <c r="BBL294" s="472"/>
      <c r="BBM294" s="471"/>
      <c r="BBN294" s="473"/>
      <c r="BBO294" s="474"/>
      <c r="BBP294" s="475"/>
      <c r="BBQ294" s="476"/>
      <c r="BBR294" s="477"/>
      <c r="BBS294" s="475"/>
      <c r="BBT294" s="478"/>
      <c r="BBU294" s="479"/>
      <c r="BBV294" s="480"/>
      <c r="BBW294" s="481"/>
      <c r="BBX294" s="481"/>
      <c r="BBY294" s="482"/>
      <c r="BBZ294" s="189"/>
      <c r="BCA294" s="189"/>
      <c r="BCB294" s="483"/>
      <c r="BCC294" s="306"/>
      <c r="BCD294" s="484"/>
      <c r="BCE294" s="306"/>
      <c r="BCF294" s="267"/>
      <c r="BCG294" s="268"/>
      <c r="BCH294" s="306"/>
      <c r="BCI294" s="268"/>
      <c r="BCJ294" s="306"/>
      <c r="BCK294" s="485"/>
      <c r="BCL294" s="306"/>
      <c r="BCM294" s="486"/>
      <c r="BCN294" s="487"/>
      <c r="BCO294" s="488"/>
      <c r="BCP294" s="489"/>
      <c r="BCQ294" s="488"/>
      <c r="BCR294" s="468"/>
      <c r="BCS294" s="469"/>
      <c r="BCT294" s="470"/>
      <c r="BCU294" s="470"/>
      <c r="BCV294" s="306"/>
      <c r="BCW294" s="317"/>
      <c r="BCX294" s="471"/>
      <c r="BCY294" s="472"/>
      <c r="BCZ294" s="471"/>
      <c r="BDA294" s="473"/>
      <c r="BDB294" s="474"/>
      <c r="BDC294" s="475"/>
      <c r="BDD294" s="476"/>
      <c r="BDE294" s="477"/>
      <c r="BDF294" s="475"/>
      <c r="BDG294" s="478"/>
      <c r="BDH294" s="479"/>
      <c r="BDI294" s="480"/>
      <c r="BDJ294" s="481"/>
      <c r="BDK294" s="481"/>
      <c r="BDL294" s="482"/>
      <c r="BDM294" s="189"/>
      <c r="BDN294" s="189"/>
      <c r="BDO294" s="483"/>
      <c r="BDP294" s="306"/>
      <c r="BDQ294" s="484"/>
      <c r="BDR294" s="306"/>
      <c r="BDS294" s="267"/>
      <c r="BDT294" s="268"/>
      <c r="BDU294" s="306"/>
      <c r="BDV294" s="268"/>
      <c r="BDW294" s="306"/>
      <c r="BDX294" s="485"/>
      <c r="BDY294" s="306"/>
      <c r="BDZ294" s="486"/>
      <c r="BEA294" s="487"/>
      <c r="BEB294" s="488"/>
      <c r="BEC294" s="489"/>
      <c r="BED294" s="488"/>
      <c r="BEE294" s="468"/>
      <c r="BEF294" s="469"/>
      <c r="BEG294" s="470"/>
      <c r="BEH294" s="470"/>
      <c r="BEI294" s="306"/>
      <c r="BEJ294" s="317"/>
      <c r="BEK294" s="471"/>
      <c r="BEL294" s="472"/>
      <c r="BEM294" s="471"/>
      <c r="BEN294" s="473"/>
      <c r="BEO294" s="474"/>
      <c r="BEP294" s="475"/>
      <c r="BEQ294" s="476"/>
      <c r="BER294" s="477"/>
      <c r="BES294" s="475"/>
      <c r="BET294" s="478"/>
      <c r="BEU294" s="479"/>
      <c r="BEV294" s="480"/>
      <c r="BEW294" s="481"/>
      <c r="BEX294" s="481"/>
      <c r="BEY294" s="482"/>
      <c r="BEZ294" s="189"/>
      <c r="BFA294" s="189"/>
      <c r="BFB294" s="483"/>
      <c r="BFC294" s="306"/>
      <c r="BFD294" s="484"/>
      <c r="BFE294" s="306"/>
      <c r="BFF294" s="267"/>
      <c r="BFG294" s="268"/>
      <c r="BFH294" s="306"/>
      <c r="BFI294" s="268"/>
      <c r="BFJ294" s="306"/>
      <c r="BFK294" s="485"/>
      <c r="BFL294" s="306"/>
      <c r="BFM294" s="486"/>
      <c r="BFN294" s="487"/>
      <c r="BFO294" s="488"/>
      <c r="BFP294" s="489"/>
      <c r="BFQ294" s="488"/>
      <c r="BFR294" s="468"/>
      <c r="BFS294" s="469"/>
      <c r="BFT294" s="470"/>
      <c r="BFU294" s="470"/>
      <c r="BFV294" s="306"/>
      <c r="BFW294" s="317"/>
      <c r="BFX294" s="471"/>
      <c r="BFY294" s="472"/>
      <c r="BFZ294" s="471"/>
      <c r="BGA294" s="473"/>
      <c r="BGB294" s="474"/>
      <c r="BGC294" s="475"/>
      <c r="BGD294" s="476"/>
      <c r="BGE294" s="477"/>
      <c r="BGF294" s="475"/>
      <c r="BGG294" s="478"/>
      <c r="BGH294" s="479"/>
      <c r="BGI294" s="480"/>
      <c r="BGJ294" s="481"/>
      <c r="BGK294" s="481"/>
      <c r="BGL294" s="482"/>
      <c r="BGM294" s="189"/>
      <c r="BGN294" s="189"/>
      <c r="BGO294" s="483"/>
      <c r="BGP294" s="306"/>
      <c r="BGQ294" s="484"/>
      <c r="BGR294" s="306"/>
      <c r="BGS294" s="267"/>
      <c r="BGT294" s="268"/>
      <c r="BGU294" s="306"/>
      <c r="BGV294" s="268"/>
      <c r="BGW294" s="306"/>
      <c r="BGX294" s="485"/>
      <c r="BGY294" s="306"/>
      <c r="BGZ294" s="486"/>
      <c r="BHA294" s="487"/>
      <c r="BHB294" s="488"/>
      <c r="BHC294" s="489"/>
      <c r="BHD294" s="488"/>
      <c r="BHE294" s="468"/>
      <c r="BHF294" s="469"/>
      <c r="BHG294" s="470"/>
      <c r="BHH294" s="470"/>
      <c r="BHI294" s="306"/>
      <c r="BHJ294" s="317"/>
      <c r="BHK294" s="471"/>
      <c r="BHL294" s="472"/>
      <c r="BHM294" s="471"/>
      <c r="BHN294" s="473"/>
      <c r="BHO294" s="474"/>
      <c r="BHP294" s="475"/>
      <c r="BHQ294" s="476"/>
      <c r="BHR294" s="477"/>
      <c r="BHS294" s="475"/>
      <c r="BHT294" s="478"/>
      <c r="BHU294" s="479"/>
      <c r="BHV294" s="480"/>
      <c r="BHW294" s="481"/>
      <c r="BHX294" s="481"/>
      <c r="BHY294" s="482"/>
      <c r="BHZ294" s="189"/>
      <c r="BIA294" s="189"/>
      <c r="BIB294" s="483"/>
      <c r="BIC294" s="306"/>
      <c r="BID294" s="484"/>
      <c r="BIE294" s="306"/>
      <c r="BIF294" s="267"/>
      <c r="BIG294" s="268"/>
      <c r="BIH294" s="306"/>
      <c r="BII294" s="268"/>
      <c r="BIJ294" s="306"/>
      <c r="BIK294" s="485"/>
      <c r="BIL294" s="306"/>
      <c r="BIM294" s="486"/>
      <c r="BIN294" s="487"/>
      <c r="BIO294" s="488"/>
      <c r="BIP294" s="489"/>
      <c r="BIQ294" s="488"/>
      <c r="BIR294" s="468"/>
      <c r="BIS294" s="469"/>
      <c r="BIT294" s="470"/>
      <c r="BIU294" s="470"/>
      <c r="BIV294" s="306"/>
      <c r="BIW294" s="317"/>
      <c r="BIX294" s="471"/>
      <c r="BIY294" s="472"/>
      <c r="BIZ294" s="471"/>
      <c r="BJA294" s="473"/>
      <c r="BJB294" s="474"/>
      <c r="BJC294" s="475"/>
      <c r="BJD294" s="476"/>
      <c r="BJE294" s="477"/>
      <c r="BJF294" s="475"/>
      <c r="BJG294" s="478"/>
      <c r="BJH294" s="479"/>
      <c r="BJI294" s="480"/>
      <c r="BJJ294" s="481"/>
      <c r="BJK294" s="481"/>
      <c r="BJL294" s="482"/>
      <c r="BJM294" s="189"/>
      <c r="BJN294" s="189"/>
      <c r="BJO294" s="483"/>
      <c r="BJP294" s="306"/>
      <c r="BJQ294" s="484"/>
      <c r="BJR294" s="306"/>
      <c r="BJS294" s="267"/>
      <c r="BJT294" s="268"/>
      <c r="BJU294" s="306"/>
      <c r="BJV294" s="268"/>
      <c r="BJW294" s="306"/>
      <c r="BJX294" s="485"/>
      <c r="BJY294" s="306"/>
      <c r="BJZ294" s="486"/>
      <c r="BKA294" s="487"/>
      <c r="BKB294" s="488"/>
      <c r="BKC294" s="489"/>
      <c r="BKD294" s="488"/>
      <c r="BKE294" s="468"/>
      <c r="BKF294" s="469"/>
      <c r="BKG294" s="470"/>
      <c r="BKH294" s="470"/>
      <c r="BKI294" s="306"/>
      <c r="BKJ294" s="317"/>
      <c r="BKK294" s="471"/>
      <c r="BKL294" s="472"/>
      <c r="BKM294" s="471"/>
      <c r="BKN294" s="473"/>
      <c r="BKO294" s="474"/>
      <c r="BKP294" s="475"/>
      <c r="BKQ294" s="476"/>
      <c r="BKR294" s="477"/>
      <c r="BKS294" s="475"/>
      <c r="BKT294" s="478"/>
      <c r="BKU294" s="479"/>
      <c r="BKV294" s="480"/>
      <c r="BKW294" s="481"/>
      <c r="BKX294" s="481"/>
      <c r="BKY294" s="482"/>
      <c r="BKZ294" s="189"/>
      <c r="BLA294" s="189"/>
      <c r="BLB294" s="483"/>
      <c r="BLC294" s="306"/>
      <c r="BLD294" s="484"/>
      <c r="BLE294" s="306"/>
      <c r="BLF294" s="267"/>
      <c r="BLG294" s="268"/>
      <c r="BLH294" s="306"/>
      <c r="BLI294" s="268"/>
      <c r="BLJ294" s="306"/>
      <c r="BLK294" s="485"/>
      <c r="BLL294" s="306"/>
      <c r="BLM294" s="486"/>
      <c r="BLN294" s="487"/>
      <c r="BLO294" s="488"/>
      <c r="BLP294" s="489"/>
      <c r="BLQ294" s="488"/>
      <c r="BLR294" s="468"/>
      <c r="BLS294" s="469"/>
      <c r="BLT294" s="470"/>
      <c r="BLU294" s="470"/>
      <c r="BLV294" s="306"/>
      <c r="BLW294" s="317"/>
      <c r="BLX294" s="471"/>
      <c r="BLY294" s="472"/>
      <c r="BLZ294" s="471"/>
      <c r="BMA294" s="473"/>
      <c r="BMB294" s="474"/>
      <c r="BMC294" s="475"/>
      <c r="BMD294" s="476"/>
      <c r="BME294" s="477"/>
      <c r="BMF294" s="475"/>
      <c r="BMG294" s="478"/>
      <c r="BMH294" s="479"/>
      <c r="BMI294" s="480"/>
      <c r="BMJ294" s="481"/>
      <c r="BMK294" s="481"/>
      <c r="BML294" s="482"/>
      <c r="BMM294" s="189"/>
      <c r="BMN294" s="189"/>
      <c r="BMO294" s="483"/>
      <c r="BMP294" s="306"/>
      <c r="BMQ294" s="484"/>
      <c r="BMR294" s="306"/>
      <c r="BMS294" s="267"/>
      <c r="BMT294" s="268"/>
      <c r="BMU294" s="306"/>
      <c r="BMV294" s="268"/>
      <c r="BMW294" s="306"/>
      <c r="BMX294" s="485"/>
      <c r="BMY294" s="306"/>
      <c r="BMZ294" s="486"/>
      <c r="BNA294" s="487"/>
      <c r="BNB294" s="488"/>
      <c r="BNC294" s="489"/>
      <c r="BND294" s="488"/>
      <c r="BNE294" s="468"/>
      <c r="BNF294" s="469"/>
      <c r="BNG294" s="470"/>
      <c r="BNH294" s="470"/>
      <c r="BNI294" s="306"/>
      <c r="BNJ294" s="317"/>
      <c r="BNK294" s="471"/>
      <c r="BNL294" s="472"/>
      <c r="BNM294" s="471"/>
      <c r="BNN294" s="473"/>
      <c r="BNO294" s="474"/>
      <c r="BNP294" s="475"/>
      <c r="BNQ294" s="476"/>
      <c r="BNR294" s="477"/>
      <c r="BNS294" s="475"/>
      <c r="BNT294" s="478"/>
      <c r="BNU294" s="479"/>
      <c r="BNV294" s="480"/>
      <c r="BNW294" s="481"/>
      <c r="BNX294" s="481"/>
      <c r="BNY294" s="482"/>
      <c r="BNZ294" s="189"/>
      <c r="BOA294" s="189"/>
      <c r="BOB294" s="483"/>
      <c r="BOC294" s="306"/>
      <c r="BOD294" s="484"/>
      <c r="BOE294" s="306"/>
      <c r="BOF294" s="267"/>
      <c r="BOG294" s="268"/>
      <c r="BOH294" s="306"/>
      <c r="BOI294" s="268"/>
      <c r="BOJ294" s="306"/>
      <c r="BOK294" s="485"/>
      <c r="BOL294" s="306"/>
      <c r="BOM294" s="486"/>
      <c r="BON294" s="487"/>
      <c r="BOO294" s="488"/>
      <c r="BOP294" s="489"/>
      <c r="BOQ294" s="488"/>
      <c r="BOR294" s="468"/>
      <c r="BOS294" s="469"/>
      <c r="BOT294" s="470"/>
      <c r="BOU294" s="470"/>
      <c r="BOV294" s="306"/>
      <c r="BOW294" s="317"/>
      <c r="BOX294" s="471"/>
      <c r="BOY294" s="472"/>
      <c r="BOZ294" s="471"/>
      <c r="BPA294" s="473"/>
      <c r="BPB294" s="474"/>
      <c r="BPC294" s="475"/>
      <c r="BPD294" s="476"/>
      <c r="BPE294" s="477"/>
      <c r="BPF294" s="475"/>
      <c r="BPG294" s="478"/>
      <c r="BPH294" s="479"/>
      <c r="BPI294" s="480"/>
      <c r="BPJ294" s="481"/>
      <c r="BPK294" s="481"/>
      <c r="BPL294" s="482"/>
      <c r="BPM294" s="189"/>
      <c r="BPN294" s="189"/>
      <c r="BPO294" s="483"/>
      <c r="BPP294" s="306"/>
      <c r="BPQ294" s="484"/>
      <c r="BPR294" s="306"/>
      <c r="BPS294" s="267"/>
      <c r="BPT294" s="268"/>
      <c r="BPU294" s="306"/>
      <c r="BPV294" s="268"/>
      <c r="BPW294" s="306"/>
      <c r="BPX294" s="485"/>
      <c r="BPY294" s="306"/>
      <c r="BPZ294" s="486"/>
      <c r="BQA294" s="487"/>
      <c r="BQB294" s="488"/>
      <c r="BQC294" s="489"/>
      <c r="BQD294" s="488"/>
      <c r="BQE294" s="468"/>
      <c r="BQF294" s="469"/>
      <c r="BQG294" s="470"/>
      <c r="BQH294" s="470"/>
      <c r="BQI294" s="306"/>
      <c r="BQJ294" s="317"/>
      <c r="BQK294" s="471"/>
      <c r="BQL294" s="472"/>
      <c r="BQM294" s="471"/>
      <c r="BQN294" s="473"/>
      <c r="BQO294" s="474"/>
      <c r="BQP294" s="475"/>
      <c r="BQQ294" s="476"/>
      <c r="BQR294" s="477"/>
      <c r="BQS294" s="475"/>
      <c r="BQT294" s="478"/>
      <c r="BQU294" s="479"/>
      <c r="BQV294" s="480"/>
      <c r="BQW294" s="481"/>
      <c r="BQX294" s="481"/>
      <c r="BQY294" s="482"/>
      <c r="BQZ294" s="189"/>
      <c r="BRA294" s="189"/>
      <c r="BRB294" s="483"/>
      <c r="BRC294" s="306"/>
      <c r="BRD294" s="484"/>
      <c r="BRE294" s="306"/>
      <c r="BRF294" s="267"/>
      <c r="BRG294" s="268"/>
      <c r="BRH294" s="306"/>
      <c r="BRI294" s="268"/>
      <c r="BRJ294" s="306"/>
      <c r="BRK294" s="485"/>
      <c r="BRL294" s="306"/>
      <c r="BRM294" s="486"/>
      <c r="BRN294" s="487"/>
      <c r="BRO294" s="488"/>
      <c r="BRP294" s="489"/>
      <c r="BRQ294" s="488"/>
      <c r="BRR294" s="468"/>
      <c r="BRS294" s="469"/>
      <c r="BRT294" s="470"/>
      <c r="BRU294" s="470"/>
      <c r="BRV294" s="306"/>
      <c r="BRW294" s="317"/>
      <c r="BRX294" s="471"/>
      <c r="BRY294" s="472"/>
      <c r="BRZ294" s="471"/>
      <c r="BSA294" s="473"/>
      <c r="BSB294" s="474"/>
      <c r="BSC294" s="475"/>
      <c r="BSD294" s="476"/>
      <c r="BSE294" s="477"/>
      <c r="BSF294" s="475"/>
      <c r="BSG294" s="478"/>
      <c r="BSH294" s="479"/>
      <c r="BSI294" s="480"/>
      <c r="BSJ294" s="481"/>
      <c r="BSK294" s="481"/>
      <c r="BSL294" s="482"/>
      <c r="BSM294" s="189"/>
      <c r="BSN294" s="189"/>
      <c r="BSO294" s="483"/>
      <c r="BSP294" s="306"/>
      <c r="BSQ294" s="484"/>
      <c r="BSR294" s="306"/>
      <c r="BSS294" s="267"/>
      <c r="BST294" s="268"/>
      <c r="BSU294" s="306"/>
      <c r="BSV294" s="268"/>
      <c r="BSW294" s="306"/>
      <c r="BSX294" s="485"/>
      <c r="BSY294" s="306"/>
      <c r="BSZ294" s="486"/>
      <c r="BTA294" s="487"/>
      <c r="BTB294" s="488"/>
      <c r="BTC294" s="489"/>
      <c r="BTD294" s="488"/>
      <c r="BTE294" s="468"/>
      <c r="BTF294" s="469"/>
      <c r="BTG294" s="470"/>
      <c r="BTH294" s="470"/>
      <c r="BTI294" s="306"/>
      <c r="BTJ294" s="317"/>
      <c r="BTK294" s="471"/>
      <c r="BTL294" s="472"/>
      <c r="BTM294" s="471"/>
      <c r="BTN294" s="473"/>
      <c r="BTO294" s="474"/>
      <c r="BTP294" s="475"/>
      <c r="BTQ294" s="476"/>
      <c r="BTR294" s="477"/>
      <c r="BTS294" s="475"/>
      <c r="BTT294" s="478"/>
      <c r="BTU294" s="479"/>
      <c r="BTV294" s="480"/>
      <c r="BTW294" s="481"/>
      <c r="BTX294" s="481"/>
      <c r="BTY294" s="482"/>
      <c r="BTZ294" s="189"/>
      <c r="BUA294" s="189"/>
      <c r="BUB294" s="483"/>
      <c r="BUC294" s="306"/>
      <c r="BUD294" s="484"/>
      <c r="BUE294" s="306"/>
      <c r="BUF294" s="267"/>
      <c r="BUG294" s="268"/>
      <c r="BUH294" s="306"/>
      <c r="BUI294" s="268"/>
      <c r="BUJ294" s="306"/>
      <c r="BUK294" s="485"/>
      <c r="BUL294" s="306"/>
      <c r="BUM294" s="486"/>
      <c r="BUN294" s="487"/>
      <c r="BUO294" s="488"/>
      <c r="BUP294" s="489"/>
      <c r="BUQ294" s="488"/>
      <c r="BUR294" s="468"/>
      <c r="BUS294" s="469"/>
      <c r="BUT294" s="470"/>
      <c r="BUU294" s="470"/>
      <c r="BUV294" s="306"/>
      <c r="BUW294" s="317"/>
      <c r="BUX294" s="471"/>
      <c r="BUY294" s="472"/>
      <c r="BUZ294" s="471"/>
      <c r="BVA294" s="473"/>
      <c r="BVB294" s="474"/>
      <c r="BVC294" s="475"/>
      <c r="BVD294" s="476"/>
      <c r="BVE294" s="477"/>
      <c r="BVF294" s="475"/>
      <c r="BVG294" s="478"/>
      <c r="BVH294" s="479"/>
      <c r="BVI294" s="480"/>
      <c r="BVJ294" s="481"/>
      <c r="BVK294" s="481"/>
      <c r="BVL294" s="482"/>
      <c r="BVM294" s="189"/>
      <c r="BVN294" s="189"/>
      <c r="BVO294" s="483"/>
      <c r="BVP294" s="306"/>
      <c r="BVQ294" s="484"/>
      <c r="BVR294" s="306"/>
      <c r="BVS294" s="267"/>
      <c r="BVT294" s="268"/>
      <c r="BVU294" s="306"/>
      <c r="BVV294" s="268"/>
      <c r="BVW294" s="306"/>
      <c r="BVX294" s="485"/>
      <c r="BVY294" s="306"/>
      <c r="BVZ294" s="486"/>
      <c r="BWA294" s="487"/>
      <c r="BWB294" s="488"/>
      <c r="BWC294" s="489"/>
      <c r="BWD294" s="488"/>
      <c r="BWE294" s="468"/>
      <c r="BWF294" s="469"/>
      <c r="BWG294" s="470"/>
      <c r="BWH294" s="470"/>
      <c r="BWI294" s="306"/>
      <c r="BWJ294" s="317"/>
      <c r="BWK294" s="471"/>
      <c r="BWL294" s="472"/>
      <c r="BWM294" s="471"/>
      <c r="BWN294" s="473"/>
      <c r="BWO294" s="474"/>
      <c r="BWP294" s="475"/>
      <c r="BWQ294" s="476"/>
      <c r="BWR294" s="477"/>
      <c r="BWS294" s="475"/>
      <c r="BWT294" s="478"/>
      <c r="BWU294" s="479"/>
      <c r="BWV294" s="480"/>
      <c r="BWW294" s="481"/>
      <c r="BWX294" s="481"/>
      <c r="BWY294" s="482"/>
      <c r="BWZ294" s="189"/>
      <c r="BXA294" s="189"/>
      <c r="BXB294" s="483"/>
      <c r="BXC294" s="306"/>
      <c r="BXD294" s="484"/>
      <c r="BXE294" s="306"/>
      <c r="BXF294" s="267"/>
      <c r="BXG294" s="268"/>
      <c r="BXH294" s="306"/>
      <c r="BXI294" s="268"/>
      <c r="BXJ294" s="306"/>
      <c r="BXK294" s="485"/>
      <c r="BXL294" s="306"/>
      <c r="BXM294" s="486"/>
      <c r="BXN294" s="487"/>
      <c r="BXO294" s="488"/>
      <c r="BXP294" s="489"/>
      <c r="BXQ294" s="488"/>
      <c r="BXR294" s="468"/>
      <c r="BXS294" s="469"/>
      <c r="BXT294" s="470"/>
      <c r="BXU294" s="470"/>
      <c r="BXV294" s="306"/>
      <c r="BXW294" s="317"/>
      <c r="BXX294" s="471"/>
      <c r="BXY294" s="472"/>
      <c r="BXZ294" s="471"/>
      <c r="BYA294" s="473"/>
      <c r="BYB294" s="474"/>
      <c r="BYC294" s="475"/>
      <c r="BYD294" s="476"/>
      <c r="BYE294" s="477"/>
      <c r="BYF294" s="475"/>
      <c r="BYG294" s="478"/>
      <c r="BYH294" s="479"/>
      <c r="BYI294" s="480"/>
      <c r="BYJ294" s="481"/>
      <c r="BYK294" s="481"/>
      <c r="BYL294" s="482"/>
      <c r="BYM294" s="189"/>
      <c r="BYN294" s="189"/>
      <c r="BYO294" s="483"/>
      <c r="BYP294" s="306"/>
      <c r="BYQ294" s="484"/>
      <c r="BYR294" s="306"/>
      <c r="BYS294" s="267"/>
      <c r="BYT294" s="268"/>
      <c r="BYU294" s="306"/>
      <c r="BYV294" s="268"/>
      <c r="BYW294" s="306"/>
      <c r="BYX294" s="485"/>
      <c r="BYY294" s="306"/>
      <c r="BYZ294" s="486"/>
      <c r="BZA294" s="487"/>
      <c r="BZB294" s="488"/>
      <c r="BZC294" s="489"/>
      <c r="BZD294" s="488"/>
      <c r="BZE294" s="468"/>
      <c r="BZF294" s="469"/>
      <c r="BZG294" s="470"/>
      <c r="BZH294" s="470"/>
      <c r="BZI294" s="306"/>
      <c r="BZJ294" s="317"/>
      <c r="BZK294" s="471"/>
      <c r="BZL294" s="472"/>
      <c r="BZM294" s="471"/>
      <c r="BZN294" s="473"/>
      <c r="BZO294" s="474"/>
      <c r="BZP294" s="475"/>
      <c r="BZQ294" s="476"/>
      <c r="BZR294" s="477"/>
      <c r="BZS294" s="475"/>
      <c r="BZT294" s="478"/>
      <c r="BZU294" s="479"/>
      <c r="BZV294" s="480"/>
      <c r="BZW294" s="481"/>
      <c r="BZX294" s="481"/>
      <c r="BZY294" s="482"/>
      <c r="BZZ294" s="189"/>
      <c r="CAA294" s="189"/>
      <c r="CAB294" s="483"/>
      <c r="CAC294" s="306"/>
      <c r="CAD294" s="484"/>
      <c r="CAE294" s="306"/>
      <c r="CAF294" s="267"/>
      <c r="CAG294" s="268"/>
      <c r="CAH294" s="306"/>
      <c r="CAI294" s="268"/>
      <c r="CAJ294" s="306"/>
      <c r="CAK294" s="485"/>
      <c r="CAL294" s="306"/>
      <c r="CAM294" s="486"/>
      <c r="CAN294" s="487"/>
      <c r="CAO294" s="488"/>
      <c r="CAP294" s="489"/>
      <c r="CAQ294" s="488"/>
      <c r="CAR294" s="468"/>
      <c r="CAS294" s="469"/>
      <c r="CAT294" s="470"/>
      <c r="CAU294" s="470"/>
      <c r="CAV294" s="306"/>
      <c r="CAW294" s="317"/>
      <c r="CAX294" s="471"/>
      <c r="CAY294" s="472"/>
      <c r="CAZ294" s="471"/>
      <c r="CBA294" s="473"/>
      <c r="CBB294" s="474"/>
      <c r="CBC294" s="475"/>
      <c r="CBD294" s="476"/>
      <c r="CBE294" s="477"/>
      <c r="CBF294" s="475"/>
      <c r="CBG294" s="478"/>
      <c r="CBH294" s="479"/>
      <c r="CBI294" s="480"/>
      <c r="CBJ294" s="481"/>
      <c r="CBK294" s="481"/>
      <c r="CBL294" s="482"/>
      <c r="CBM294" s="189"/>
      <c r="CBN294" s="189"/>
      <c r="CBO294" s="483"/>
      <c r="CBP294" s="306"/>
      <c r="CBQ294" s="484"/>
      <c r="CBR294" s="306"/>
      <c r="CBS294" s="267"/>
      <c r="CBT294" s="268"/>
      <c r="CBU294" s="306"/>
      <c r="CBV294" s="268"/>
      <c r="CBW294" s="306"/>
      <c r="CBX294" s="485"/>
      <c r="CBY294" s="306"/>
      <c r="CBZ294" s="486"/>
      <c r="CCA294" s="487"/>
      <c r="CCB294" s="488"/>
      <c r="CCC294" s="489"/>
      <c r="CCD294" s="488"/>
      <c r="CCE294" s="468"/>
      <c r="CCF294" s="469"/>
      <c r="CCG294" s="470"/>
      <c r="CCH294" s="470"/>
      <c r="CCI294" s="306"/>
      <c r="CCJ294" s="317"/>
      <c r="CCK294" s="471"/>
      <c r="CCL294" s="472"/>
      <c r="CCM294" s="471"/>
      <c r="CCN294" s="473"/>
      <c r="CCO294" s="474"/>
      <c r="CCP294" s="475"/>
      <c r="CCQ294" s="476"/>
      <c r="CCR294" s="477"/>
      <c r="CCS294" s="475"/>
      <c r="CCT294" s="478"/>
      <c r="CCU294" s="479"/>
      <c r="CCV294" s="480"/>
      <c r="CCW294" s="481"/>
      <c r="CCX294" s="481"/>
      <c r="CCY294" s="482"/>
      <c r="CCZ294" s="189"/>
      <c r="CDA294" s="189"/>
      <c r="CDB294" s="483"/>
      <c r="CDC294" s="306"/>
      <c r="CDD294" s="484"/>
      <c r="CDE294" s="306"/>
      <c r="CDF294" s="267"/>
      <c r="CDG294" s="268"/>
      <c r="CDH294" s="306"/>
      <c r="CDI294" s="268"/>
      <c r="CDJ294" s="306"/>
      <c r="CDK294" s="485"/>
      <c r="CDL294" s="306"/>
      <c r="CDM294" s="486"/>
      <c r="CDN294" s="487"/>
      <c r="CDO294" s="488"/>
      <c r="CDP294" s="489"/>
      <c r="CDQ294" s="488"/>
      <c r="CDR294" s="468"/>
      <c r="CDS294" s="469"/>
      <c r="CDT294" s="470"/>
      <c r="CDU294" s="470"/>
      <c r="CDV294" s="306"/>
      <c r="CDW294" s="317"/>
      <c r="CDX294" s="471"/>
      <c r="CDY294" s="472"/>
      <c r="CDZ294" s="471"/>
      <c r="CEA294" s="473"/>
      <c r="CEB294" s="474"/>
      <c r="CEC294" s="475"/>
      <c r="CED294" s="476"/>
      <c r="CEE294" s="477"/>
      <c r="CEF294" s="475"/>
      <c r="CEG294" s="478"/>
      <c r="CEH294" s="479"/>
      <c r="CEI294" s="480"/>
      <c r="CEJ294" s="481"/>
      <c r="CEK294" s="481"/>
      <c r="CEL294" s="482"/>
      <c r="CEM294" s="189"/>
      <c r="CEN294" s="189"/>
      <c r="CEO294" s="483"/>
      <c r="CEP294" s="306"/>
      <c r="CEQ294" s="484"/>
      <c r="CER294" s="306"/>
      <c r="CES294" s="267"/>
      <c r="CET294" s="268"/>
      <c r="CEU294" s="306"/>
      <c r="CEV294" s="268"/>
      <c r="CEW294" s="306"/>
      <c r="CEX294" s="485"/>
      <c r="CEY294" s="306"/>
      <c r="CEZ294" s="486"/>
      <c r="CFA294" s="487"/>
      <c r="CFB294" s="488"/>
      <c r="CFC294" s="489"/>
      <c r="CFD294" s="488"/>
      <c r="CFE294" s="468"/>
      <c r="CFF294" s="469"/>
      <c r="CFG294" s="470"/>
      <c r="CFH294" s="470"/>
      <c r="CFI294" s="306"/>
      <c r="CFJ294" s="317"/>
      <c r="CFK294" s="471"/>
      <c r="CFL294" s="472"/>
      <c r="CFM294" s="471"/>
      <c r="CFN294" s="473"/>
      <c r="CFO294" s="474"/>
      <c r="CFP294" s="475"/>
      <c r="CFQ294" s="476"/>
      <c r="CFR294" s="477"/>
      <c r="CFS294" s="475"/>
      <c r="CFT294" s="478"/>
      <c r="CFU294" s="479"/>
      <c r="CFV294" s="480"/>
      <c r="CFW294" s="481"/>
      <c r="CFX294" s="481"/>
      <c r="CFY294" s="482"/>
      <c r="CFZ294" s="189"/>
      <c r="CGA294" s="189"/>
      <c r="CGB294" s="483"/>
      <c r="CGC294" s="306"/>
      <c r="CGD294" s="484"/>
      <c r="CGE294" s="306"/>
      <c r="CGF294" s="267"/>
      <c r="CGG294" s="268"/>
      <c r="CGH294" s="306"/>
      <c r="CGI294" s="268"/>
      <c r="CGJ294" s="306"/>
      <c r="CGK294" s="485"/>
      <c r="CGL294" s="306"/>
      <c r="CGM294" s="486"/>
      <c r="CGN294" s="487"/>
      <c r="CGO294" s="488"/>
      <c r="CGP294" s="489"/>
      <c r="CGQ294" s="488"/>
      <c r="CGR294" s="468"/>
      <c r="CGS294" s="469"/>
      <c r="CGT294" s="470"/>
      <c r="CGU294" s="470"/>
      <c r="CGV294" s="306"/>
      <c r="CGW294" s="317"/>
      <c r="CGX294" s="471"/>
      <c r="CGY294" s="472"/>
      <c r="CGZ294" s="471"/>
      <c r="CHA294" s="473"/>
      <c r="CHB294" s="474"/>
      <c r="CHC294" s="475"/>
      <c r="CHD294" s="476"/>
      <c r="CHE294" s="477"/>
      <c r="CHF294" s="475"/>
      <c r="CHG294" s="478"/>
      <c r="CHH294" s="479"/>
      <c r="CHI294" s="480"/>
      <c r="CHJ294" s="481"/>
      <c r="CHK294" s="481"/>
      <c r="CHL294" s="482"/>
      <c r="CHM294" s="189"/>
      <c r="CHN294" s="189"/>
      <c r="CHO294" s="483"/>
      <c r="CHP294" s="306"/>
      <c r="CHQ294" s="484"/>
      <c r="CHR294" s="306"/>
      <c r="CHS294" s="267"/>
      <c r="CHT294" s="268"/>
      <c r="CHU294" s="306"/>
      <c r="CHV294" s="268"/>
      <c r="CHW294" s="306"/>
      <c r="CHX294" s="485"/>
      <c r="CHY294" s="306"/>
      <c r="CHZ294" s="486"/>
      <c r="CIA294" s="487"/>
      <c r="CIB294" s="488"/>
      <c r="CIC294" s="489"/>
      <c r="CID294" s="488"/>
      <c r="CIE294" s="468"/>
      <c r="CIF294" s="469"/>
      <c r="CIG294" s="470"/>
      <c r="CIH294" s="470"/>
      <c r="CII294" s="306"/>
      <c r="CIJ294" s="317"/>
      <c r="CIK294" s="471"/>
      <c r="CIL294" s="472"/>
      <c r="CIM294" s="471"/>
      <c r="CIN294" s="473"/>
      <c r="CIO294" s="474"/>
      <c r="CIP294" s="475"/>
      <c r="CIQ294" s="476"/>
      <c r="CIR294" s="477"/>
      <c r="CIS294" s="475"/>
      <c r="CIT294" s="478"/>
      <c r="CIU294" s="479"/>
      <c r="CIV294" s="480"/>
      <c r="CIW294" s="481"/>
      <c r="CIX294" s="481"/>
      <c r="CIY294" s="482"/>
      <c r="CIZ294" s="189"/>
      <c r="CJA294" s="189"/>
      <c r="CJB294" s="483"/>
      <c r="CJC294" s="306"/>
      <c r="CJD294" s="484"/>
      <c r="CJE294" s="306"/>
      <c r="CJF294" s="267"/>
      <c r="CJG294" s="268"/>
      <c r="CJH294" s="306"/>
      <c r="CJI294" s="268"/>
      <c r="CJJ294" s="306"/>
      <c r="CJK294" s="485"/>
      <c r="CJL294" s="306"/>
      <c r="CJM294" s="486"/>
      <c r="CJN294" s="487"/>
      <c r="CJO294" s="488"/>
      <c r="CJP294" s="489"/>
      <c r="CJQ294" s="488"/>
      <c r="CJR294" s="468"/>
      <c r="CJS294" s="469"/>
      <c r="CJT294" s="470"/>
      <c r="CJU294" s="470"/>
      <c r="CJV294" s="306"/>
      <c r="CJW294" s="317"/>
      <c r="CJX294" s="471"/>
      <c r="CJY294" s="472"/>
      <c r="CJZ294" s="471"/>
      <c r="CKA294" s="473"/>
      <c r="CKB294" s="474"/>
      <c r="CKC294" s="475"/>
      <c r="CKD294" s="476"/>
      <c r="CKE294" s="477"/>
      <c r="CKF294" s="475"/>
      <c r="CKG294" s="478"/>
      <c r="CKH294" s="479"/>
      <c r="CKI294" s="480"/>
      <c r="CKJ294" s="481"/>
      <c r="CKK294" s="481"/>
      <c r="CKL294" s="482"/>
      <c r="CKM294" s="189"/>
      <c r="CKN294" s="189"/>
      <c r="CKO294" s="483"/>
      <c r="CKP294" s="306"/>
      <c r="CKQ294" s="484"/>
      <c r="CKR294" s="306"/>
      <c r="CKS294" s="267"/>
      <c r="CKT294" s="268"/>
      <c r="CKU294" s="306"/>
      <c r="CKV294" s="268"/>
      <c r="CKW294" s="306"/>
      <c r="CKX294" s="485"/>
      <c r="CKY294" s="306"/>
      <c r="CKZ294" s="486"/>
      <c r="CLA294" s="487"/>
      <c r="CLB294" s="488"/>
      <c r="CLC294" s="489"/>
      <c r="CLD294" s="488"/>
      <c r="CLE294" s="468"/>
      <c r="CLF294" s="469"/>
      <c r="CLG294" s="470"/>
      <c r="CLH294" s="470"/>
      <c r="CLI294" s="306"/>
      <c r="CLJ294" s="317"/>
      <c r="CLK294" s="471"/>
      <c r="CLL294" s="472"/>
      <c r="CLM294" s="471"/>
      <c r="CLN294" s="473"/>
      <c r="CLO294" s="474"/>
      <c r="CLP294" s="475"/>
      <c r="CLQ294" s="476"/>
      <c r="CLR294" s="477"/>
      <c r="CLS294" s="475"/>
      <c r="CLT294" s="478"/>
      <c r="CLU294" s="479"/>
      <c r="CLV294" s="480"/>
      <c r="CLW294" s="481"/>
      <c r="CLX294" s="481"/>
      <c r="CLY294" s="482"/>
      <c r="CLZ294" s="189"/>
      <c r="CMA294" s="189"/>
      <c r="CMB294" s="483"/>
      <c r="CMC294" s="306"/>
      <c r="CMD294" s="484"/>
      <c r="CME294" s="306"/>
      <c r="CMF294" s="267"/>
      <c r="CMG294" s="268"/>
      <c r="CMH294" s="306"/>
      <c r="CMI294" s="268"/>
      <c r="CMJ294" s="306"/>
      <c r="CMK294" s="485"/>
      <c r="CML294" s="306"/>
      <c r="CMM294" s="486"/>
      <c r="CMN294" s="487"/>
      <c r="CMO294" s="488"/>
      <c r="CMP294" s="489"/>
      <c r="CMQ294" s="488"/>
      <c r="CMR294" s="468"/>
      <c r="CMS294" s="469"/>
      <c r="CMT294" s="470"/>
      <c r="CMU294" s="470"/>
      <c r="CMV294" s="306"/>
      <c r="CMW294" s="317"/>
      <c r="CMX294" s="471"/>
      <c r="CMY294" s="472"/>
      <c r="CMZ294" s="471"/>
      <c r="CNA294" s="473"/>
      <c r="CNB294" s="474"/>
      <c r="CNC294" s="475"/>
      <c r="CND294" s="476"/>
      <c r="CNE294" s="477"/>
      <c r="CNF294" s="475"/>
      <c r="CNG294" s="478"/>
      <c r="CNH294" s="479"/>
      <c r="CNI294" s="480"/>
      <c r="CNJ294" s="481"/>
      <c r="CNK294" s="481"/>
      <c r="CNL294" s="482"/>
      <c r="CNM294" s="189"/>
      <c r="CNN294" s="189"/>
      <c r="CNO294" s="483"/>
      <c r="CNP294" s="306"/>
      <c r="CNQ294" s="484"/>
      <c r="CNR294" s="306"/>
      <c r="CNS294" s="267"/>
      <c r="CNT294" s="268"/>
      <c r="CNU294" s="306"/>
      <c r="CNV294" s="268"/>
      <c r="CNW294" s="306"/>
      <c r="CNX294" s="485"/>
      <c r="CNY294" s="306"/>
      <c r="CNZ294" s="486"/>
      <c r="COA294" s="487"/>
      <c r="COB294" s="488"/>
      <c r="COC294" s="489"/>
      <c r="COD294" s="488"/>
      <c r="COE294" s="468"/>
      <c r="COF294" s="469"/>
      <c r="COG294" s="470"/>
      <c r="COH294" s="470"/>
      <c r="COI294" s="306"/>
      <c r="COJ294" s="317"/>
      <c r="COK294" s="471"/>
      <c r="COL294" s="472"/>
      <c r="COM294" s="471"/>
      <c r="CON294" s="473"/>
      <c r="COO294" s="474"/>
      <c r="COP294" s="475"/>
      <c r="COQ294" s="476"/>
      <c r="COR294" s="477"/>
      <c r="COS294" s="475"/>
      <c r="COT294" s="478"/>
      <c r="COU294" s="479"/>
      <c r="COV294" s="480"/>
      <c r="COW294" s="481"/>
      <c r="COX294" s="481"/>
      <c r="COY294" s="482"/>
      <c r="COZ294" s="189"/>
      <c r="CPA294" s="189"/>
      <c r="CPB294" s="483"/>
      <c r="CPC294" s="306"/>
      <c r="CPD294" s="484"/>
      <c r="CPE294" s="306"/>
      <c r="CPF294" s="267"/>
      <c r="CPG294" s="268"/>
      <c r="CPH294" s="306"/>
      <c r="CPI294" s="268"/>
      <c r="CPJ294" s="306"/>
      <c r="CPK294" s="485"/>
      <c r="CPL294" s="306"/>
      <c r="CPM294" s="486"/>
      <c r="CPN294" s="487"/>
      <c r="CPO294" s="488"/>
      <c r="CPP294" s="489"/>
      <c r="CPQ294" s="488"/>
      <c r="CPR294" s="468"/>
      <c r="CPS294" s="469"/>
      <c r="CPT294" s="470"/>
      <c r="CPU294" s="470"/>
      <c r="CPV294" s="306"/>
      <c r="CPW294" s="317"/>
      <c r="CPX294" s="471"/>
      <c r="CPY294" s="472"/>
      <c r="CPZ294" s="471"/>
      <c r="CQA294" s="473"/>
      <c r="CQB294" s="474"/>
      <c r="CQC294" s="475"/>
      <c r="CQD294" s="476"/>
      <c r="CQE294" s="477"/>
      <c r="CQF294" s="475"/>
      <c r="CQG294" s="478"/>
      <c r="CQH294" s="479"/>
      <c r="CQI294" s="480"/>
      <c r="CQJ294" s="481"/>
      <c r="CQK294" s="481"/>
      <c r="CQL294" s="482"/>
      <c r="CQM294" s="189"/>
      <c r="CQN294" s="189"/>
      <c r="CQO294" s="483"/>
      <c r="CQP294" s="306"/>
      <c r="CQQ294" s="484"/>
      <c r="CQR294" s="306"/>
      <c r="CQS294" s="267"/>
      <c r="CQT294" s="268"/>
      <c r="CQU294" s="306"/>
      <c r="CQV294" s="268"/>
      <c r="CQW294" s="306"/>
      <c r="CQX294" s="485"/>
      <c r="CQY294" s="306"/>
      <c r="CQZ294" s="486"/>
      <c r="CRA294" s="487"/>
      <c r="CRB294" s="488"/>
      <c r="CRC294" s="489"/>
      <c r="CRD294" s="488"/>
      <c r="CRE294" s="468"/>
      <c r="CRF294" s="469"/>
      <c r="CRG294" s="470"/>
      <c r="CRH294" s="470"/>
      <c r="CRI294" s="306"/>
      <c r="CRJ294" s="317"/>
      <c r="CRK294" s="471"/>
      <c r="CRL294" s="472"/>
      <c r="CRM294" s="471"/>
      <c r="CRN294" s="473"/>
      <c r="CRO294" s="474"/>
      <c r="CRP294" s="475"/>
      <c r="CRQ294" s="476"/>
      <c r="CRR294" s="477"/>
      <c r="CRS294" s="475"/>
      <c r="CRT294" s="478"/>
      <c r="CRU294" s="479"/>
      <c r="CRV294" s="480"/>
      <c r="CRW294" s="481"/>
      <c r="CRX294" s="481"/>
      <c r="CRY294" s="482"/>
      <c r="CRZ294" s="189"/>
      <c r="CSA294" s="189"/>
      <c r="CSB294" s="483"/>
      <c r="CSC294" s="306"/>
      <c r="CSD294" s="484"/>
      <c r="CSE294" s="306"/>
      <c r="CSF294" s="267"/>
      <c r="CSG294" s="268"/>
      <c r="CSH294" s="306"/>
      <c r="CSI294" s="268"/>
      <c r="CSJ294" s="306"/>
      <c r="CSK294" s="485"/>
      <c r="CSL294" s="306"/>
      <c r="CSM294" s="486"/>
      <c r="CSN294" s="487"/>
      <c r="CSO294" s="488"/>
      <c r="CSP294" s="489"/>
      <c r="CSQ294" s="488"/>
      <c r="CSR294" s="468"/>
      <c r="CSS294" s="469"/>
      <c r="CST294" s="470"/>
      <c r="CSU294" s="470"/>
      <c r="CSV294" s="306"/>
      <c r="CSW294" s="317"/>
      <c r="CSX294" s="471"/>
      <c r="CSY294" s="472"/>
      <c r="CSZ294" s="471"/>
      <c r="CTA294" s="473"/>
      <c r="CTB294" s="474"/>
      <c r="CTC294" s="475"/>
      <c r="CTD294" s="476"/>
      <c r="CTE294" s="477"/>
      <c r="CTF294" s="475"/>
      <c r="CTG294" s="478"/>
      <c r="CTH294" s="479"/>
      <c r="CTI294" s="480"/>
      <c r="CTJ294" s="481"/>
      <c r="CTK294" s="481"/>
      <c r="CTL294" s="482"/>
      <c r="CTM294" s="189"/>
      <c r="CTN294" s="189"/>
      <c r="CTO294" s="483"/>
      <c r="CTP294" s="306"/>
      <c r="CTQ294" s="484"/>
      <c r="CTR294" s="306"/>
      <c r="CTS294" s="267"/>
      <c r="CTT294" s="268"/>
      <c r="CTU294" s="306"/>
      <c r="CTV294" s="268"/>
      <c r="CTW294" s="306"/>
      <c r="CTX294" s="485"/>
      <c r="CTY294" s="306"/>
      <c r="CTZ294" s="486"/>
      <c r="CUA294" s="487"/>
      <c r="CUB294" s="488"/>
      <c r="CUC294" s="489"/>
      <c r="CUD294" s="488"/>
      <c r="CUE294" s="468"/>
      <c r="CUF294" s="469"/>
      <c r="CUG294" s="470"/>
      <c r="CUH294" s="470"/>
      <c r="CUI294" s="306"/>
      <c r="CUJ294" s="317"/>
      <c r="CUK294" s="471"/>
      <c r="CUL294" s="472"/>
      <c r="CUM294" s="471"/>
      <c r="CUN294" s="473"/>
      <c r="CUO294" s="474"/>
      <c r="CUP294" s="475"/>
      <c r="CUQ294" s="476"/>
      <c r="CUR294" s="477"/>
      <c r="CUS294" s="475"/>
      <c r="CUT294" s="478"/>
      <c r="CUU294" s="479"/>
      <c r="CUV294" s="480"/>
      <c r="CUW294" s="481"/>
      <c r="CUX294" s="481"/>
      <c r="CUY294" s="482"/>
      <c r="CUZ294" s="189"/>
      <c r="CVA294" s="189"/>
      <c r="CVB294" s="483"/>
      <c r="CVC294" s="306"/>
      <c r="CVD294" s="484"/>
      <c r="CVE294" s="306"/>
      <c r="CVF294" s="267"/>
      <c r="CVG294" s="268"/>
      <c r="CVH294" s="306"/>
      <c r="CVI294" s="268"/>
      <c r="CVJ294" s="306"/>
      <c r="CVK294" s="485"/>
      <c r="CVL294" s="306"/>
      <c r="CVM294" s="486"/>
      <c r="CVN294" s="487"/>
      <c r="CVO294" s="488"/>
      <c r="CVP294" s="489"/>
      <c r="CVQ294" s="488"/>
      <c r="CVR294" s="468"/>
      <c r="CVS294" s="469"/>
      <c r="CVT294" s="470"/>
      <c r="CVU294" s="470"/>
      <c r="CVV294" s="306"/>
      <c r="CVW294" s="317"/>
      <c r="CVX294" s="471"/>
      <c r="CVY294" s="472"/>
      <c r="CVZ294" s="471"/>
      <c r="CWA294" s="473"/>
      <c r="CWB294" s="474"/>
      <c r="CWC294" s="475"/>
      <c r="CWD294" s="476"/>
      <c r="CWE294" s="477"/>
      <c r="CWF294" s="475"/>
      <c r="CWG294" s="478"/>
      <c r="CWH294" s="479"/>
      <c r="CWI294" s="480"/>
      <c r="CWJ294" s="481"/>
      <c r="CWK294" s="481"/>
      <c r="CWL294" s="482"/>
      <c r="CWM294" s="189"/>
      <c r="CWN294" s="189"/>
      <c r="CWO294" s="483"/>
      <c r="CWP294" s="306"/>
      <c r="CWQ294" s="484"/>
      <c r="CWR294" s="306"/>
      <c r="CWS294" s="267"/>
      <c r="CWT294" s="268"/>
      <c r="CWU294" s="306"/>
      <c r="CWV294" s="268"/>
      <c r="CWW294" s="306"/>
      <c r="CWX294" s="485"/>
      <c r="CWY294" s="306"/>
      <c r="CWZ294" s="486"/>
      <c r="CXA294" s="487"/>
      <c r="CXB294" s="488"/>
      <c r="CXC294" s="489"/>
      <c r="CXD294" s="488"/>
      <c r="CXE294" s="468"/>
      <c r="CXF294" s="469"/>
      <c r="CXG294" s="470"/>
      <c r="CXH294" s="470"/>
      <c r="CXI294" s="306"/>
      <c r="CXJ294" s="317"/>
      <c r="CXK294" s="471"/>
      <c r="CXL294" s="472"/>
      <c r="CXM294" s="471"/>
      <c r="CXN294" s="473"/>
      <c r="CXO294" s="474"/>
      <c r="CXP294" s="475"/>
      <c r="CXQ294" s="476"/>
      <c r="CXR294" s="477"/>
      <c r="CXS294" s="475"/>
      <c r="CXT294" s="478"/>
      <c r="CXU294" s="479"/>
      <c r="CXV294" s="480"/>
      <c r="CXW294" s="481"/>
      <c r="CXX294" s="481"/>
      <c r="CXY294" s="482"/>
      <c r="CXZ294" s="189"/>
      <c r="CYA294" s="189"/>
      <c r="CYB294" s="483"/>
      <c r="CYC294" s="306"/>
      <c r="CYD294" s="484"/>
      <c r="CYE294" s="306"/>
      <c r="CYF294" s="267"/>
      <c r="CYG294" s="268"/>
      <c r="CYH294" s="306"/>
      <c r="CYI294" s="268"/>
      <c r="CYJ294" s="306"/>
      <c r="CYK294" s="485"/>
      <c r="CYL294" s="306"/>
      <c r="CYM294" s="486"/>
      <c r="CYN294" s="487"/>
      <c r="CYO294" s="488"/>
      <c r="CYP294" s="489"/>
      <c r="CYQ294" s="488"/>
      <c r="CYR294" s="468"/>
      <c r="CYS294" s="469"/>
      <c r="CYT294" s="470"/>
      <c r="CYU294" s="470"/>
      <c r="CYV294" s="306"/>
      <c r="CYW294" s="317"/>
      <c r="CYX294" s="471"/>
      <c r="CYY294" s="472"/>
      <c r="CYZ294" s="471"/>
      <c r="CZA294" s="473"/>
      <c r="CZB294" s="474"/>
      <c r="CZC294" s="475"/>
      <c r="CZD294" s="476"/>
      <c r="CZE294" s="477"/>
      <c r="CZF294" s="475"/>
      <c r="CZG294" s="478"/>
      <c r="CZH294" s="479"/>
      <c r="CZI294" s="480"/>
      <c r="CZJ294" s="481"/>
      <c r="CZK294" s="481"/>
      <c r="CZL294" s="482"/>
      <c r="CZM294" s="189"/>
      <c r="CZN294" s="189"/>
      <c r="CZO294" s="483"/>
      <c r="CZP294" s="306"/>
      <c r="CZQ294" s="484"/>
      <c r="CZR294" s="306"/>
      <c r="CZS294" s="267"/>
      <c r="CZT294" s="268"/>
      <c r="CZU294" s="306"/>
      <c r="CZV294" s="268"/>
      <c r="CZW294" s="306"/>
      <c r="CZX294" s="485"/>
      <c r="CZY294" s="306"/>
      <c r="CZZ294" s="486"/>
      <c r="DAA294" s="487"/>
      <c r="DAB294" s="488"/>
      <c r="DAC294" s="489"/>
      <c r="DAD294" s="488"/>
      <c r="DAE294" s="468"/>
      <c r="DAF294" s="469"/>
      <c r="DAG294" s="470"/>
      <c r="DAH294" s="470"/>
      <c r="DAI294" s="306"/>
      <c r="DAJ294" s="317"/>
      <c r="DAK294" s="471"/>
      <c r="DAL294" s="472"/>
      <c r="DAM294" s="471"/>
      <c r="DAN294" s="473"/>
      <c r="DAO294" s="474"/>
      <c r="DAP294" s="475"/>
      <c r="DAQ294" s="476"/>
      <c r="DAR294" s="477"/>
      <c r="DAS294" s="475"/>
      <c r="DAT294" s="478"/>
      <c r="DAU294" s="479"/>
      <c r="DAV294" s="480"/>
      <c r="DAW294" s="481"/>
      <c r="DAX294" s="481"/>
      <c r="DAY294" s="482"/>
      <c r="DAZ294" s="189"/>
      <c r="DBA294" s="189"/>
      <c r="DBB294" s="483"/>
      <c r="DBC294" s="306"/>
      <c r="DBD294" s="484"/>
      <c r="DBE294" s="306"/>
      <c r="DBF294" s="267"/>
      <c r="DBG294" s="268"/>
      <c r="DBH294" s="306"/>
      <c r="DBI294" s="268"/>
      <c r="DBJ294" s="306"/>
      <c r="DBK294" s="485"/>
      <c r="DBL294" s="306"/>
      <c r="DBM294" s="486"/>
      <c r="DBN294" s="487"/>
      <c r="DBO294" s="488"/>
      <c r="DBP294" s="489"/>
      <c r="DBQ294" s="488"/>
      <c r="DBR294" s="468"/>
      <c r="DBS294" s="469"/>
      <c r="DBT294" s="470"/>
      <c r="DBU294" s="470"/>
      <c r="DBV294" s="306"/>
      <c r="DBW294" s="317"/>
      <c r="DBX294" s="471"/>
      <c r="DBY294" s="472"/>
      <c r="DBZ294" s="471"/>
      <c r="DCA294" s="473"/>
      <c r="DCB294" s="474"/>
      <c r="DCC294" s="475"/>
      <c r="DCD294" s="476"/>
      <c r="DCE294" s="477"/>
      <c r="DCF294" s="475"/>
      <c r="DCG294" s="478"/>
      <c r="DCH294" s="479"/>
      <c r="DCI294" s="480"/>
      <c r="DCJ294" s="481"/>
      <c r="DCK294" s="481"/>
      <c r="DCL294" s="482"/>
      <c r="DCM294" s="189"/>
      <c r="DCN294" s="189"/>
      <c r="DCO294" s="483"/>
      <c r="DCP294" s="306"/>
      <c r="DCQ294" s="484"/>
      <c r="DCR294" s="306"/>
      <c r="DCS294" s="267"/>
      <c r="DCT294" s="268"/>
      <c r="DCU294" s="306"/>
      <c r="DCV294" s="268"/>
      <c r="DCW294" s="306"/>
      <c r="DCX294" s="485"/>
      <c r="DCY294" s="306"/>
      <c r="DCZ294" s="486"/>
      <c r="DDA294" s="487"/>
      <c r="DDB294" s="488"/>
      <c r="DDC294" s="489"/>
      <c r="DDD294" s="488"/>
      <c r="DDE294" s="468"/>
      <c r="DDF294" s="469"/>
      <c r="DDG294" s="470"/>
      <c r="DDH294" s="470"/>
      <c r="DDI294" s="306"/>
      <c r="DDJ294" s="317"/>
      <c r="DDK294" s="471"/>
      <c r="DDL294" s="472"/>
      <c r="DDM294" s="471"/>
      <c r="DDN294" s="473"/>
      <c r="DDO294" s="474"/>
      <c r="DDP294" s="475"/>
      <c r="DDQ294" s="476"/>
      <c r="DDR294" s="477"/>
      <c r="DDS294" s="475"/>
      <c r="DDT294" s="478"/>
      <c r="DDU294" s="479"/>
      <c r="DDV294" s="480"/>
      <c r="DDW294" s="481"/>
      <c r="DDX294" s="481"/>
      <c r="DDY294" s="482"/>
      <c r="DDZ294" s="189"/>
      <c r="DEA294" s="189"/>
      <c r="DEB294" s="483"/>
      <c r="DEC294" s="306"/>
      <c r="DED294" s="484"/>
      <c r="DEE294" s="306"/>
      <c r="DEF294" s="267"/>
      <c r="DEG294" s="268"/>
      <c r="DEH294" s="306"/>
      <c r="DEI294" s="268"/>
      <c r="DEJ294" s="306"/>
      <c r="DEK294" s="485"/>
      <c r="DEL294" s="306"/>
      <c r="DEM294" s="486"/>
      <c r="DEN294" s="487"/>
      <c r="DEO294" s="488"/>
      <c r="DEP294" s="489"/>
      <c r="DEQ294" s="488"/>
      <c r="DER294" s="468"/>
      <c r="DES294" s="469"/>
      <c r="DET294" s="470"/>
      <c r="DEU294" s="470"/>
      <c r="DEV294" s="306"/>
      <c r="DEW294" s="317"/>
      <c r="DEX294" s="471"/>
      <c r="DEY294" s="472"/>
      <c r="DEZ294" s="471"/>
      <c r="DFA294" s="473"/>
      <c r="DFB294" s="474"/>
      <c r="DFC294" s="475"/>
      <c r="DFD294" s="476"/>
      <c r="DFE294" s="477"/>
      <c r="DFF294" s="475"/>
      <c r="DFG294" s="478"/>
      <c r="DFH294" s="479"/>
      <c r="DFI294" s="480"/>
      <c r="DFJ294" s="481"/>
      <c r="DFK294" s="481"/>
      <c r="DFL294" s="482"/>
      <c r="DFM294" s="189"/>
      <c r="DFN294" s="189"/>
      <c r="DFO294" s="483"/>
      <c r="DFP294" s="306"/>
      <c r="DFQ294" s="484"/>
      <c r="DFR294" s="306"/>
      <c r="DFS294" s="267"/>
      <c r="DFT294" s="268"/>
      <c r="DFU294" s="306"/>
      <c r="DFV294" s="268"/>
      <c r="DFW294" s="306"/>
      <c r="DFX294" s="485"/>
      <c r="DFY294" s="306"/>
      <c r="DFZ294" s="486"/>
      <c r="DGA294" s="487"/>
      <c r="DGB294" s="488"/>
      <c r="DGC294" s="489"/>
      <c r="DGD294" s="488"/>
      <c r="DGE294" s="468"/>
      <c r="DGF294" s="469"/>
      <c r="DGG294" s="470"/>
      <c r="DGH294" s="470"/>
      <c r="DGI294" s="306"/>
      <c r="DGJ294" s="317"/>
      <c r="DGK294" s="471"/>
      <c r="DGL294" s="472"/>
      <c r="DGM294" s="471"/>
      <c r="DGN294" s="473"/>
      <c r="DGO294" s="474"/>
      <c r="DGP294" s="475"/>
      <c r="DGQ294" s="476"/>
      <c r="DGR294" s="477"/>
      <c r="DGS294" s="475"/>
      <c r="DGT294" s="478"/>
      <c r="DGU294" s="479"/>
      <c r="DGV294" s="480"/>
      <c r="DGW294" s="481"/>
      <c r="DGX294" s="481"/>
      <c r="DGY294" s="482"/>
      <c r="DGZ294" s="189"/>
      <c r="DHA294" s="189"/>
      <c r="DHB294" s="483"/>
      <c r="DHC294" s="306"/>
      <c r="DHD294" s="484"/>
      <c r="DHE294" s="306"/>
      <c r="DHF294" s="267"/>
      <c r="DHG294" s="268"/>
      <c r="DHH294" s="306"/>
      <c r="DHI294" s="268"/>
      <c r="DHJ294" s="306"/>
      <c r="DHK294" s="485"/>
      <c r="DHL294" s="306"/>
      <c r="DHM294" s="486"/>
      <c r="DHN294" s="487"/>
      <c r="DHO294" s="488"/>
      <c r="DHP294" s="489"/>
      <c r="DHQ294" s="488"/>
      <c r="DHR294" s="468"/>
      <c r="DHS294" s="469"/>
      <c r="DHT294" s="470"/>
      <c r="DHU294" s="470"/>
      <c r="DHV294" s="306"/>
      <c r="DHW294" s="317"/>
      <c r="DHX294" s="471"/>
      <c r="DHY294" s="472"/>
      <c r="DHZ294" s="471"/>
      <c r="DIA294" s="473"/>
      <c r="DIB294" s="474"/>
      <c r="DIC294" s="475"/>
      <c r="DID294" s="476"/>
      <c r="DIE294" s="477"/>
      <c r="DIF294" s="475"/>
      <c r="DIG294" s="478"/>
      <c r="DIH294" s="479"/>
      <c r="DII294" s="480"/>
      <c r="DIJ294" s="481"/>
      <c r="DIK294" s="481"/>
      <c r="DIL294" s="482"/>
      <c r="DIM294" s="189"/>
      <c r="DIN294" s="189"/>
      <c r="DIO294" s="483"/>
      <c r="DIP294" s="306"/>
      <c r="DIQ294" s="484"/>
      <c r="DIR294" s="306"/>
      <c r="DIS294" s="267"/>
      <c r="DIT294" s="268"/>
      <c r="DIU294" s="306"/>
      <c r="DIV294" s="268"/>
      <c r="DIW294" s="306"/>
      <c r="DIX294" s="485"/>
      <c r="DIY294" s="306"/>
      <c r="DIZ294" s="486"/>
      <c r="DJA294" s="487"/>
      <c r="DJB294" s="488"/>
      <c r="DJC294" s="489"/>
      <c r="DJD294" s="488"/>
      <c r="DJE294" s="468"/>
      <c r="DJF294" s="469"/>
      <c r="DJG294" s="470"/>
      <c r="DJH294" s="470"/>
      <c r="DJI294" s="306"/>
      <c r="DJJ294" s="317"/>
      <c r="DJK294" s="471"/>
      <c r="DJL294" s="472"/>
      <c r="DJM294" s="471"/>
      <c r="DJN294" s="473"/>
      <c r="DJO294" s="474"/>
      <c r="DJP294" s="475"/>
      <c r="DJQ294" s="476"/>
      <c r="DJR294" s="477"/>
      <c r="DJS294" s="475"/>
      <c r="DJT294" s="478"/>
      <c r="DJU294" s="479"/>
      <c r="DJV294" s="480"/>
      <c r="DJW294" s="481"/>
      <c r="DJX294" s="481"/>
      <c r="DJY294" s="482"/>
      <c r="DJZ294" s="189"/>
      <c r="DKA294" s="189"/>
      <c r="DKB294" s="483"/>
      <c r="DKC294" s="306"/>
      <c r="DKD294" s="484"/>
      <c r="DKE294" s="306"/>
      <c r="DKF294" s="267"/>
      <c r="DKG294" s="268"/>
      <c r="DKH294" s="306"/>
      <c r="DKI294" s="268"/>
      <c r="DKJ294" s="306"/>
      <c r="DKK294" s="485"/>
      <c r="DKL294" s="306"/>
      <c r="DKM294" s="486"/>
      <c r="DKN294" s="487"/>
      <c r="DKO294" s="488"/>
      <c r="DKP294" s="489"/>
      <c r="DKQ294" s="488"/>
      <c r="DKR294" s="468"/>
      <c r="DKS294" s="469"/>
      <c r="DKT294" s="470"/>
      <c r="DKU294" s="470"/>
      <c r="DKV294" s="306"/>
      <c r="DKW294" s="317"/>
      <c r="DKX294" s="471"/>
      <c r="DKY294" s="472"/>
      <c r="DKZ294" s="471"/>
      <c r="DLA294" s="473"/>
      <c r="DLB294" s="474"/>
      <c r="DLC294" s="475"/>
      <c r="DLD294" s="476"/>
      <c r="DLE294" s="477"/>
      <c r="DLF294" s="475"/>
      <c r="DLG294" s="478"/>
      <c r="DLH294" s="479"/>
      <c r="DLI294" s="480"/>
      <c r="DLJ294" s="481"/>
      <c r="DLK294" s="481"/>
      <c r="DLL294" s="482"/>
      <c r="DLM294" s="189"/>
      <c r="DLN294" s="189"/>
      <c r="DLO294" s="483"/>
      <c r="DLP294" s="306"/>
      <c r="DLQ294" s="484"/>
      <c r="DLR294" s="306"/>
      <c r="DLS294" s="267"/>
      <c r="DLT294" s="268"/>
      <c r="DLU294" s="306"/>
      <c r="DLV294" s="268"/>
      <c r="DLW294" s="306"/>
      <c r="DLX294" s="485"/>
      <c r="DLY294" s="306"/>
      <c r="DLZ294" s="486"/>
      <c r="DMA294" s="487"/>
      <c r="DMB294" s="488"/>
      <c r="DMC294" s="489"/>
      <c r="DMD294" s="488"/>
      <c r="DME294" s="468"/>
      <c r="DMF294" s="469"/>
      <c r="DMG294" s="470"/>
      <c r="DMH294" s="470"/>
      <c r="DMI294" s="306"/>
      <c r="DMJ294" s="317"/>
      <c r="DMK294" s="471"/>
      <c r="DML294" s="472"/>
      <c r="DMM294" s="471"/>
      <c r="DMN294" s="473"/>
      <c r="DMO294" s="474"/>
      <c r="DMP294" s="475"/>
      <c r="DMQ294" s="476"/>
      <c r="DMR294" s="477"/>
      <c r="DMS294" s="475"/>
      <c r="DMT294" s="478"/>
      <c r="DMU294" s="479"/>
      <c r="DMV294" s="480"/>
      <c r="DMW294" s="481"/>
      <c r="DMX294" s="481"/>
      <c r="DMY294" s="482"/>
      <c r="DMZ294" s="189"/>
      <c r="DNA294" s="189"/>
      <c r="DNB294" s="483"/>
      <c r="DNC294" s="306"/>
      <c r="DND294" s="484"/>
      <c r="DNE294" s="306"/>
      <c r="DNF294" s="267"/>
      <c r="DNG294" s="268"/>
      <c r="DNH294" s="306"/>
      <c r="DNI294" s="268"/>
      <c r="DNJ294" s="306"/>
      <c r="DNK294" s="485"/>
      <c r="DNL294" s="306"/>
      <c r="DNM294" s="486"/>
      <c r="DNN294" s="487"/>
      <c r="DNO294" s="488"/>
      <c r="DNP294" s="489"/>
      <c r="DNQ294" s="488"/>
      <c r="DNR294" s="468"/>
      <c r="DNS294" s="469"/>
      <c r="DNT294" s="470"/>
      <c r="DNU294" s="470"/>
      <c r="DNV294" s="306"/>
      <c r="DNW294" s="317"/>
      <c r="DNX294" s="471"/>
      <c r="DNY294" s="472"/>
      <c r="DNZ294" s="471"/>
      <c r="DOA294" s="473"/>
      <c r="DOB294" s="474"/>
      <c r="DOC294" s="475"/>
      <c r="DOD294" s="476"/>
      <c r="DOE294" s="477"/>
      <c r="DOF294" s="475"/>
      <c r="DOG294" s="478"/>
      <c r="DOH294" s="479"/>
      <c r="DOI294" s="480"/>
      <c r="DOJ294" s="481"/>
      <c r="DOK294" s="481"/>
      <c r="DOL294" s="482"/>
      <c r="DOM294" s="189"/>
      <c r="DON294" s="189"/>
      <c r="DOO294" s="483"/>
      <c r="DOP294" s="306"/>
      <c r="DOQ294" s="484"/>
      <c r="DOR294" s="306"/>
      <c r="DOS294" s="267"/>
      <c r="DOT294" s="268"/>
      <c r="DOU294" s="306"/>
      <c r="DOV294" s="268"/>
      <c r="DOW294" s="306"/>
      <c r="DOX294" s="485"/>
      <c r="DOY294" s="306"/>
      <c r="DOZ294" s="486"/>
      <c r="DPA294" s="487"/>
      <c r="DPB294" s="488"/>
      <c r="DPC294" s="489"/>
      <c r="DPD294" s="488"/>
      <c r="DPE294" s="468"/>
      <c r="DPF294" s="469"/>
      <c r="DPG294" s="470"/>
      <c r="DPH294" s="470"/>
      <c r="DPI294" s="306"/>
      <c r="DPJ294" s="317"/>
      <c r="DPK294" s="471"/>
      <c r="DPL294" s="472"/>
      <c r="DPM294" s="471"/>
      <c r="DPN294" s="473"/>
      <c r="DPO294" s="474"/>
      <c r="DPP294" s="475"/>
      <c r="DPQ294" s="476"/>
      <c r="DPR294" s="477"/>
      <c r="DPS294" s="475"/>
      <c r="DPT294" s="478"/>
      <c r="DPU294" s="479"/>
      <c r="DPV294" s="480"/>
      <c r="DPW294" s="481"/>
      <c r="DPX294" s="481"/>
      <c r="DPY294" s="482"/>
      <c r="DPZ294" s="189"/>
      <c r="DQA294" s="189"/>
      <c r="DQB294" s="483"/>
      <c r="DQC294" s="306"/>
      <c r="DQD294" s="484"/>
      <c r="DQE294" s="306"/>
      <c r="DQF294" s="267"/>
      <c r="DQG294" s="268"/>
      <c r="DQH294" s="306"/>
      <c r="DQI294" s="268"/>
      <c r="DQJ294" s="306"/>
      <c r="DQK294" s="485"/>
      <c r="DQL294" s="306"/>
      <c r="DQM294" s="486"/>
      <c r="DQN294" s="487"/>
      <c r="DQO294" s="488"/>
      <c r="DQP294" s="489"/>
      <c r="DQQ294" s="488"/>
      <c r="DQR294" s="468"/>
      <c r="DQS294" s="469"/>
      <c r="DQT294" s="470"/>
      <c r="DQU294" s="470"/>
      <c r="DQV294" s="306"/>
      <c r="DQW294" s="317"/>
      <c r="DQX294" s="471"/>
      <c r="DQY294" s="472"/>
      <c r="DQZ294" s="471"/>
      <c r="DRA294" s="473"/>
      <c r="DRB294" s="474"/>
      <c r="DRC294" s="475"/>
      <c r="DRD294" s="476"/>
      <c r="DRE294" s="477"/>
      <c r="DRF294" s="475"/>
      <c r="DRG294" s="478"/>
      <c r="DRH294" s="479"/>
      <c r="DRI294" s="480"/>
      <c r="DRJ294" s="481"/>
      <c r="DRK294" s="481"/>
      <c r="DRL294" s="482"/>
      <c r="DRM294" s="189"/>
      <c r="DRN294" s="189"/>
      <c r="DRO294" s="483"/>
      <c r="DRP294" s="306"/>
      <c r="DRQ294" s="484"/>
      <c r="DRR294" s="306"/>
      <c r="DRS294" s="267"/>
      <c r="DRT294" s="268"/>
      <c r="DRU294" s="306"/>
      <c r="DRV294" s="268"/>
      <c r="DRW294" s="306"/>
      <c r="DRX294" s="485"/>
      <c r="DRY294" s="306"/>
      <c r="DRZ294" s="486"/>
      <c r="DSA294" s="487"/>
      <c r="DSB294" s="488"/>
      <c r="DSC294" s="489"/>
      <c r="DSD294" s="488"/>
      <c r="DSE294" s="468"/>
      <c r="DSF294" s="469"/>
      <c r="DSG294" s="470"/>
      <c r="DSH294" s="470"/>
      <c r="DSI294" s="306"/>
      <c r="DSJ294" s="317"/>
      <c r="DSK294" s="471"/>
      <c r="DSL294" s="472"/>
      <c r="DSM294" s="471"/>
      <c r="DSN294" s="473"/>
      <c r="DSO294" s="474"/>
      <c r="DSP294" s="475"/>
      <c r="DSQ294" s="476"/>
      <c r="DSR294" s="477"/>
      <c r="DSS294" s="475"/>
      <c r="DST294" s="478"/>
      <c r="DSU294" s="479"/>
      <c r="DSV294" s="480"/>
      <c r="DSW294" s="481"/>
      <c r="DSX294" s="481"/>
      <c r="DSY294" s="482"/>
      <c r="DSZ294" s="189"/>
      <c r="DTA294" s="189"/>
      <c r="DTB294" s="483"/>
      <c r="DTC294" s="306"/>
      <c r="DTD294" s="484"/>
      <c r="DTE294" s="306"/>
      <c r="DTF294" s="267"/>
      <c r="DTG294" s="268"/>
      <c r="DTH294" s="306"/>
      <c r="DTI294" s="268"/>
      <c r="DTJ294" s="306"/>
      <c r="DTK294" s="485"/>
      <c r="DTL294" s="306"/>
      <c r="DTM294" s="486"/>
      <c r="DTN294" s="487"/>
      <c r="DTO294" s="488"/>
      <c r="DTP294" s="489"/>
      <c r="DTQ294" s="488"/>
      <c r="DTR294" s="468"/>
      <c r="DTS294" s="469"/>
      <c r="DTT294" s="470"/>
      <c r="DTU294" s="470"/>
      <c r="DTV294" s="306"/>
      <c r="DTW294" s="317"/>
      <c r="DTX294" s="471"/>
      <c r="DTY294" s="472"/>
      <c r="DTZ294" s="471"/>
      <c r="DUA294" s="473"/>
      <c r="DUB294" s="474"/>
      <c r="DUC294" s="475"/>
      <c r="DUD294" s="476"/>
      <c r="DUE294" s="477"/>
      <c r="DUF294" s="475"/>
      <c r="DUG294" s="478"/>
      <c r="DUH294" s="479"/>
      <c r="DUI294" s="480"/>
      <c r="DUJ294" s="481"/>
      <c r="DUK294" s="481"/>
      <c r="DUL294" s="482"/>
      <c r="DUM294" s="189"/>
      <c r="DUN294" s="189"/>
      <c r="DUO294" s="483"/>
      <c r="DUP294" s="306"/>
      <c r="DUQ294" s="484"/>
      <c r="DUR294" s="306"/>
      <c r="DUS294" s="267"/>
      <c r="DUT294" s="268"/>
      <c r="DUU294" s="306"/>
      <c r="DUV294" s="268"/>
      <c r="DUW294" s="306"/>
      <c r="DUX294" s="485"/>
      <c r="DUY294" s="306"/>
      <c r="DUZ294" s="486"/>
      <c r="DVA294" s="487"/>
      <c r="DVB294" s="488"/>
      <c r="DVC294" s="489"/>
      <c r="DVD294" s="488"/>
      <c r="DVE294" s="468"/>
      <c r="DVF294" s="469"/>
      <c r="DVG294" s="470"/>
      <c r="DVH294" s="470"/>
      <c r="DVI294" s="306"/>
      <c r="DVJ294" s="317"/>
      <c r="DVK294" s="471"/>
      <c r="DVL294" s="472"/>
      <c r="DVM294" s="471"/>
      <c r="DVN294" s="473"/>
      <c r="DVO294" s="474"/>
      <c r="DVP294" s="475"/>
      <c r="DVQ294" s="476"/>
      <c r="DVR294" s="477"/>
      <c r="DVS294" s="475"/>
      <c r="DVT294" s="478"/>
      <c r="DVU294" s="479"/>
      <c r="DVV294" s="480"/>
      <c r="DVW294" s="481"/>
      <c r="DVX294" s="481"/>
      <c r="DVY294" s="482"/>
      <c r="DVZ294" s="189"/>
      <c r="DWA294" s="189"/>
      <c r="DWB294" s="483"/>
      <c r="DWC294" s="306"/>
      <c r="DWD294" s="484"/>
      <c r="DWE294" s="306"/>
      <c r="DWF294" s="267"/>
      <c r="DWG294" s="268"/>
      <c r="DWH294" s="306"/>
      <c r="DWI294" s="268"/>
      <c r="DWJ294" s="306"/>
      <c r="DWK294" s="485"/>
      <c r="DWL294" s="306"/>
      <c r="DWM294" s="486"/>
      <c r="DWN294" s="487"/>
      <c r="DWO294" s="488"/>
      <c r="DWP294" s="489"/>
      <c r="DWQ294" s="488"/>
      <c r="DWR294" s="468"/>
      <c r="DWS294" s="469"/>
      <c r="DWT294" s="470"/>
      <c r="DWU294" s="470"/>
      <c r="DWV294" s="306"/>
      <c r="DWW294" s="317"/>
      <c r="DWX294" s="471"/>
      <c r="DWY294" s="472"/>
      <c r="DWZ294" s="471"/>
      <c r="DXA294" s="473"/>
      <c r="DXB294" s="474"/>
      <c r="DXC294" s="475"/>
      <c r="DXD294" s="476"/>
      <c r="DXE294" s="477"/>
      <c r="DXF294" s="475"/>
      <c r="DXG294" s="478"/>
      <c r="DXH294" s="479"/>
      <c r="DXI294" s="480"/>
      <c r="DXJ294" s="481"/>
      <c r="DXK294" s="481"/>
      <c r="DXL294" s="482"/>
      <c r="DXM294" s="189"/>
      <c r="DXN294" s="189"/>
      <c r="DXO294" s="483"/>
      <c r="DXP294" s="306"/>
      <c r="DXQ294" s="484"/>
      <c r="DXR294" s="306"/>
      <c r="DXS294" s="267"/>
      <c r="DXT294" s="268"/>
      <c r="DXU294" s="306"/>
      <c r="DXV294" s="268"/>
      <c r="DXW294" s="306"/>
      <c r="DXX294" s="485"/>
      <c r="DXY294" s="306"/>
      <c r="DXZ294" s="486"/>
      <c r="DYA294" s="487"/>
      <c r="DYB294" s="488"/>
      <c r="DYC294" s="489"/>
      <c r="DYD294" s="488"/>
      <c r="DYE294" s="468"/>
      <c r="DYF294" s="469"/>
      <c r="DYG294" s="470"/>
      <c r="DYH294" s="470"/>
      <c r="DYI294" s="306"/>
      <c r="DYJ294" s="317"/>
      <c r="DYK294" s="471"/>
      <c r="DYL294" s="472"/>
      <c r="DYM294" s="471"/>
      <c r="DYN294" s="473"/>
      <c r="DYO294" s="474"/>
      <c r="DYP294" s="475"/>
      <c r="DYQ294" s="476"/>
      <c r="DYR294" s="477"/>
      <c r="DYS294" s="475"/>
      <c r="DYT294" s="478"/>
      <c r="DYU294" s="479"/>
      <c r="DYV294" s="480"/>
      <c r="DYW294" s="481"/>
      <c r="DYX294" s="481"/>
      <c r="DYY294" s="482"/>
      <c r="DYZ294" s="189"/>
      <c r="DZA294" s="189"/>
      <c r="DZB294" s="483"/>
      <c r="DZC294" s="306"/>
      <c r="DZD294" s="484"/>
      <c r="DZE294" s="306"/>
      <c r="DZF294" s="267"/>
      <c r="DZG294" s="268"/>
      <c r="DZH294" s="306"/>
      <c r="DZI294" s="268"/>
      <c r="DZJ294" s="306"/>
      <c r="DZK294" s="485"/>
      <c r="DZL294" s="306"/>
      <c r="DZM294" s="486"/>
      <c r="DZN294" s="487"/>
      <c r="DZO294" s="488"/>
      <c r="DZP294" s="489"/>
      <c r="DZQ294" s="488"/>
      <c r="DZR294" s="468"/>
      <c r="DZS294" s="469"/>
      <c r="DZT294" s="470"/>
      <c r="DZU294" s="470"/>
      <c r="DZV294" s="306"/>
      <c r="DZW294" s="317"/>
      <c r="DZX294" s="471"/>
      <c r="DZY294" s="472"/>
      <c r="DZZ294" s="471"/>
      <c r="EAA294" s="473"/>
      <c r="EAB294" s="474"/>
      <c r="EAC294" s="475"/>
      <c r="EAD294" s="476"/>
      <c r="EAE294" s="477"/>
      <c r="EAF294" s="475"/>
      <c r="EAG294" s="478"/>
      <c r="EAH294" s="479"/>
      <c r="EAI294" s="480"/>
      <c r="EAJ294" s="481"/>
      <c r="EAK294" s="481"/>
      <c r="EAL294" s="482"/>
      <c r="EAM294" s="189"/>
      <c r="EAN294" s="189"/>
      <c r="EAO294" s="483"/>
      <c r="EAP294" s="306"/>
      <c r="EAQ294" s="484"/>
      <c r="EAR294" s="306"/>
      <c r="EAS294" s="267"/>
      <c r="EAT294" s="268"/>
      <c r="EAU294" s="306"/>
      <c r="EAV294" s="268"/>
      <c r="EAW294" s="306"/>
      <c r="EAX294" s="485"/>
      <c r="EAY294" s="306"/>
      <c r="EAZ294" s="486"/>
      <c r="EBA294" s="487"/>
      <c r="EBB294" s="488"/>
      <c r="EBC294" s="489"/>
      <c r="EBD294" s="488"/>
      <c r="EBE294" s="468"/>
      <c r="EBF294" s="469"/>
      <c r="EBG294" s="470"/>
      <c r="EBH294" s="470"/>
      <c r="EBI294" s="306"/>
      <c r="EBJ294" s="317"/>
      <c r="EBK294" s="471"/>
      <c r="EBL294" s="472"/>
      <c r="EBM294" s="471"/>
      <c r="EBN294" s="473"/>
      <c r="EBO294" s="474"/>
      <c r="EBP294" s="475"/>
      <c r="EBQ294" s="476"/>
      <c r="EBR294" s="477"/>
      <c r="EBS294" s="475"/>
      <c r="EBT294" s="478"/>
      <c r="EBU294" s="479"/>
      <c r="EBV294" s="480"/>
      <c r="EBW294" s="481"/>
      <c r="EBX294" s="481"/>
      <c r="EBY294" s="482"/>
      <c r="EBZ294" s="189"/>
      <c r="ECA294" s="189"/>
      <c r="ECB294" s="483"/>
      <c r="ECC294" s="306"/>
      <c r="ECD294" s="484"/>
      <c r="ECE294" s="306"/>
      <c r="ECF294" s="267"/>
      <c r="ECG294" s="268"/>
      <c r="ECH294" s="306"/>
      <c r="ECI294" s="268"/>
      <c r="ECJ294" s="306"/>
      <c r="ECK294" s="485"/>
      <c r="ECL294" s="306"/>
      <c r="ECM294" s="486"/>
      <c r="ECN294" s="487"/>
      <c r="ECO294" s="488"/>
      <c r="ECP294" s="489"/>
      <c r="ECQ294" s="488"/>
      <c r="ECR294" s="468"/>
      <c r="ECS294" s="469"/>
      <c r="ECT294" s="470"/>
      <c r="ECU294" s="470"/>
      <c r="ECV294" s="306"/>
      <c r="ECW294" s="317"/>
      <c r="ECX294" s="471"/>
      <c r="ECY294" s="472"/>
      <c r="ECZ294" s="471"/>
      <c r="EDA294" s="473"/>
      <c r="EDB294" s="474"/>
      <c r="EDC294" s="475"/>
      <c r="EDD294" s="476"/>
      <c r="EDE294" s="477"/>
      <c r="EDF294" s="475"/>
      <c r="EDG294" s="478"/>
      <c r="EDH294" s="479"/>
      <c r="EDI294" s="480"/>
      <c r="EDJ294" s="481"/>
      <c r="EDK294" s="481"/>
      <c r="EDL294" s="482"/>
      <c r="EDM294" s="189"/>
      <c r="EDN294" s="189"/>
      <c r="EDO294" s="483"/>
      <c r="EDP294" s="306"/>
      <c r="EDQ294" s="484"/>
      <c r="EDR294" s="306"/>
      <c r="EDS294" s="267"/>
      <c r="EDT294" s="268"/>
      <c r="EDU294" s="306"/>
      <c r="EDV294" s="268"/>
      <c r="EDW294" s="306"/>
      <c r="EDX294" s="485"/>
      <c r="EDY294" s="306"/>
      <c r="EDZ294" s="486"/>
      <c r="EEA294" s="487"/>
      <c r="EEB294" s="488"/>
      <c r="EEC294" s="489"/>
      <c r="EED294" s="488"/>
      <c r="EEE294" s="468"/>
      <c r="EEF294" s="469"/>
      <c r="EEG294" s="470"/>
      <c r="EEH294" s="470"/>
      <c r="EEI294" s="306"/>
      <c r="EEJ294" s="317"/>
      <c r="EEK294" s="471"/>
      <c r="EEL294" s="472"/>
      <c r="EEM294" s="471"/>
      <c r="EEN294" s="473"/>
      <c r="EEO294" s="474"/>
      <c r="EEP294" s="475"/>
      <c r="EEQ294" s="476"/>
      <c r="EER294" s="477"/>
      <c r="EES294" s="475"/>
      <c r="EET294" s="478"/>
      <c r="EEU294" s="479"/>
      <c r="EEV294" s="480"/>
      <c r="EEW294" s="481"/>
      <c r="EEX294" s="481"/>
      <c r="EEY294" s="482"/>
      <c r="EEZ294" s="189"/>
      <c r="EFA294" s="189"/>
      <c r="EFB294" s="483"/>
      <c r="EFC294" s="306"/>
      <c r="EFD294" s="484"/>
      <c r="EFE294" s="306"/>
      <c r="EFF294" s="267"/>
      <c r="EFG294" s="268"/>
      <c r="EFH294" s="306"/>
      <c r="EFI294" s="268"/>
      <c r="EFJ294" s="306"/>
      <c r="EFK294" s="485"/>
      <c r="EFL294" s="306"/>
      <c r="EFM294" s="486"/>
      <c r="EFN294" s="487"/>
      <c r="EFO294" s="488"/>
      <c r="EFP294" s="489"/>
      <c r="EFQ294" s="488"/>
      <c r="EFR294" s="468"/>
      <c r="EFS294" s="469"/>
      <c r="EFT294" s="470"/>
      <c r="EFU294" s="470"/>
      <c r="EFV294" s="306"/>
      <c r="EFW294" s="317"/>
      <c r="EFX294" s="471"/>
      <c r="EFY294" s="472"/>
      <c r="EFZ294" s="471"/>
      <c r="EGA294" s="473"/>
      <c r="EGB294" s="474"/>
      <c r="EGC294" s="475"/>
      <c r="EGD294" s="476"/>
      <c r="EGE294" s="477"/>
      <c r="EGF294" s="475"/>
      <c r="EGG294" s="478"/>
      <c r="EGH294" s="479"/>
      <c r="EGI294" s="480"/>
      <c r="EGJ294" s="481"/>
      <c r="EGK294" s="481"/>
      <c r="EGL294" s="482"/>
      <c r="EGM294" s="189"/>
      <c r="EGN294" s="189"/>
      <c r="EGO294" s="483"/>
      <c r="EGP294" s="306"/>
      <c r="EGQ294" s="484"/>
      <c r="EGR294" s="306"/>
      <c r="EGS294" s="267"/>
      <c r="EGT294" s="268"/>
      <c r="EGU294" s="306"/>
      <c r="EGV294" s="268"/>
      <c r="EGW294" s="306"/>
      <c r="EGX294" s="485"/>
      <c r="EGY294" s="306"/>
      <c r="EGZ294" s="486"/>
      <c r="EHA294" s="487"/>
      <c r="EHB294" s="488"/>
      <c r="EHC294" s="489"/>
      <c r="EHD294" s="488"/>
      <c r="EHE294" s="468"/>
      <c r="EHF294" s="469"/>
      <c r="EHG294" s="470"/>
      <c r="EHH294" s="470"/>
      <c r="EHI294" s="306"/>
      <c r="EHJ294" s="317"/>
      <c r="EHK294" s="471"/>
      <c r="EHL294" s="472"/>
      <c r="EHM294" s="471"/>
      <c r="EHN294" s="473"/>
      <c r="EHO294" s="474"/>
      <c r="EHP294" s="475"/>
      <c r="EHQ294" s="476"/>
      <c r="EHR294" s="477"/>
      <c r="EHS294" s="475"/>
      <c r="EHT294" s="478"/>
      <c r="EHU294" s="479"/>
      <c r="EHV294" s="480"/>
      <c r="EHW294" s="481"/>
      <c r="EHX294" s="481"/>
      <c r="EHY294" s="482"/>
      <c r="EHZ294" s="189"/>
      <c r="EIA294" s="189"/>
      <c r="EIB294" s="483"/>
      <c r="EIC294" s="306"/>
      <c r="EID294" s="484"/>
      <c r="EIE294" s="306"/>
      <c r="EIF294" s="267"/>
      <c r="EIG294" s="268"/>
      <c r="EIH294" s="306"/>
      <c r="EII294" s="268"/>
      <c r="EIJ294" s="306"/>
      <c r="EIK294" s="485"/>
      <c r="EIL294" s="306"/>
      <c r="EIM294" s="486"/>
      <c r="EIN294" s="487"/>
      <c r="EIO294" s="488"/>
      <c r="EIP294" s="489"/>
      <c r="EIQ294" s="488"/>
      <c r="EIR294" s="468"/>
      <c r="EIS294" s="469"/>
      <c r="EIT294" s="470"/>
      <c r="EIU294" s="470"/>
      <c r="EIV294" s="306"/>
      <c r="EIW294" s="317"/>
      <c r="EIX294" s="471"/>
      <c r="EIY294" s="472"/>
      <c r="EIZ294" s="471"/>
      <c r="EJA294" s="473"/>
      <c r="EJB294" s="474"/>
      <c r="EJC294" s="475"/>
      <c r="EJD294" s="476"/>
      <c r="EJE294" s="477"/>
      <c r="EJF294" s="475"/>
      <c r="EJG294" s="478"/>
      <c r="EJH294" s="479"/>
      <c r="EJI294" s="480"/>
      <c r="EJJ294" s="481"/>
      <c r="EJK294" s="481"/>
      <c r="EJL294" s="482"/>
      <c r="EJM294" s="189"/>
      <c r="EJN294" s="189"/>
      <c r="EJO294" s="483"/>
      <c r="EJP294" s="306"/>
      <c r="EJQ294" s="484"/>
      <c r="EJR294" s="306"/>
      <c r="EJS294" s="267"/>
      <c r="EJT294" s="268"/>
      <c r="EJU294" s="306"/>
      <c r="EJV294" s="268"/>
      <c r="EJW294" s="306"/>
      <c r="EJX294" s="485"/>
      <c r="EJY294" s="306"/>
      <c r="EJZ294" s="486"/>
      <c r="EKA294" s="487"/>
      <c r="EKB294" s="488"/>
      <c r="EKC294" s="489"/>
      <c r="EKD294" s="488"/>
      <c r="EKE294" s="468"/>
      <c r="EKF294" s="469"/>
      <c r="EKG294" s="470"/>
      <c r="EKH294" s="470"/>
      <c r="EKI294" s="306"/>
      <c r="EKJ294" s="317"/>
      <c r="EKK294" s="471"/>
      <c r="EKL294" s="472"/>
      <c r="EKM294" s="471"/>
      <c r="EKN294" s="473"/>
      <c r="EKO294" s="474"/>
      <c r="EKP294" s="475"/>
      <c r="EKQ294" s="476"/>
      <c r="EKR294" s="477"/>
      <c r="EKS294" s="475"/>
      <c r="EKT294" s="478"/>
      <c r="EKU294" s="479"/>
      <c r="EKV294" s="480"/>
      <c r="EKW294" s="481"/>
      <c r="EKX294" s="481"/>
      <c r="EKY294" s="482"/>
      <c r="EKZ294" s="189"/>
      <c r="ELA294" s="189"/>
      <c r="ELB294" s="483"/>
      <c r="ELC294" s="306"/>
      <c r="ELD294" s="484"/>
      <c r="ELE294" s="306"/>
      <c r="ELF294" s="267"/>
      <c r="ELG294" s="268"/>
      <c r="ELH294" s="306"/>
      <c r="ELI294" s="268"/>
      <c r="ELJ294" s="306"/>
      <c r="ELK294" s="485"/>
      <c r="ELL294" s="306"/>
      <c r="ELM294" s="486"/>
      <c r="ELN294" s="487"/>
      <c r="ELO294" s="488"/>
      <c r="ELP294" s="489"/>
      <c r="ELQ294" s="488"/>
      <c r="ELR294" s="468"/>
      <c r="ELS294" s="469"/>
      <c r="ELT294" s="470"/>
      <c r="ELU294" s="470"/>
      <c r="ELV294" s="306"/>
      <c r="ELW294" s="317"/>
      <c r="ELX294" s="471"/>
      <c r="ELY294" s="472"/>
      <c r="ELZ294" s="471"/>
      <c r="EMA294" s="473"/>
      <c r="EMB294" s="474"/>
      <c r="EMC294" s="475"/>
      <c r="EMD294" s="476"/>
      <c r="EME294" s="477"/>
      <c r="EMF294" s="475"/>
      <c r="EMG294" s="478"/>
      <c r="EMH294" s="479"/>
      <c r="EMI294" s="480"/>
      <c r="EMJ294" s="481"/>
      <c r="EMK294" s="481"/>
      <c r="EML294" s="482"/>
      <c r="EMM294" s="189"/>
      <c r="EMN294" s="189"/>
      <c r="EMO294" s="483"/>
      <c r="EMP294" s="306"/>
      <c r="EMQ294" s="484"/>
      <c r="EMR294" s="306"/>
      <c r="EMS294" s="267"/>
      <c r="EMT294" s="268"/>
      <c r="EMU294" s="306"/>
      <c r="EMV294" s="268"/>
      <c r="EMW294" s="306"/>
      <c r="EMX294" s="485"/>
      <c r="EMY294" s="306"/>
      <c r="EMZ294" s="486"/>
      <c r="ENA294" s="487"/>
      <c r="ENB294" s="488"/>
      <c r="ENC294" s="489"/>
      <c r="END294" s="488"/>
      <c r="ENE294" s="468"/>
      <c r="ENF294" s="469"/>
      <c r="ENG294" s="470"/>
      <c r="ENH294" s="470"/>
      <c r="ENI294" s="306"/>
      <c r="ENJ294" s="317"/>
      <c r="ENK294" s="471"/>
      <c r="ENL294" s="472"/>
      <c r="ENM294" s="471"/>
      <c r="ENN294" s="473"/>
      <c r="ENO294" s="474"/>
      <c r="ENP294" s="475"/>
      <c r="ENQ294" s="476"/>
      <c r="ENR294" s="477"/>
      <c r="ENS294" s="475"/>
      <c r="ENT294" s="478"/>
      <c r="ENU294" s="479"/>
      <c r="ENV294" s="480"/>
      <c r="ENW294" s="481"/>
      <c r="ENX294" s="481"/>
      <c r="ENY294" s="482"/>
      <c r="ENZ294" s="189"/>
      <c r="EOA294" s="189"/>
      <c r="EOB294" s="483"/>
      <c r="EOC294" s="306"/>
      <c r="EOD294" s="484"/>
      <c r="EOE294" s="306"/>
      <c r="EOF294" s="267"/>
      <c r="EOG294" s="268"/>
      <c r="EOH294" s="306"/>
      <c r="EOI294" s="268"/>
      <c r="EOJ294" s="306"/>
      <c r="EOK294" s="485"/>
      <c r="EOL294" s="306"/>
      <c r="EOM294" s="486"/>
      <c r="EON294" s="487"/>
      <c r="EOO294" s="488"/>
      <c r="EOP294" s="489"/>
      <c r="EOQ294" s="488"/>
      <c r="EOR294" s="468"/>
      <c r="EOS294" s="469"/>
      <c r="EOT294" s="470"/>
      <c r="EOU294" s="470"/>
      <c r="EOV294" s="306"/>
      <c r="EOW294" s="317"/>
      <c r="EOX294" s="471"/>
      <c r="EOY294" s="472"/>
      <c r="EOZ294" s="471"/>
      <c r="EPA294" s="473"/>
      <c r="EPB294" s="474"/>
      <c r="EPC294" s="475"/>
      <c r="EPD294" s="476"/>
      <c r="EPE294" s="477"/>
      <c r="EPF294" s="475"/>
      <c r="EPG294" s="478"/>
      <c r="EPH294" s="479"/>
      <c r="EPI294" s="480"/>
      <c r="EPJ294" s="481"/>
      <c r="EPK294" s="481"/>
      <c r="EPL294" s="482"/>
      <c r="EPM294" s="189"/>
      <c r="EPN294" s="189"/>
      <c r="EPO294" s="483"/>
      <c r="EPP294" s="306"/>
      <c r="EPQ294" s="484"/>
      <c r="EPR294" s="306"/>
      <c r="EPS294" s="267"/>
      <c r="EPT294" s="268"/>
      <c r="EPU294" s="306"/>
      <c r="EPV294" s="268"/>
      <c r="EPW294" s="306"/>
      <c r="EPX294" s="485"/>
      <c r="EPY294" s="306"/>
      <c r="EPZ294" s="486"/>
      <c r="EQA294" s="487"/>
      <c r="EQB294" s="488"/>
      <c r="EQC294" s="489"/>
      <c r="EQD294" s="488"/>
      <c r="EQE294" s="468"/>
      <c r="EQF294" s="469"/>
      <c r="EQG294" s="470"/>
      <c r="EQH294" s="470"/>
      <c r="EQI294" s="306"/>
      <c r="EQJ294" s="317"/>
      <c r="EQK294" s="471"/>
      <c r="EQL294" s="472"/>
      <c r="EQM294" s="471"/>
      <c r="EQN294" s="473"/>
      <c r="EQO294" s="474"/>
      <c r="EQP294" s="475"/>
      <c r="EQQ294" s="476"/>
      <c r="EQR294" s="477"/>
      <c r="EQS294" s="475"/>
      <c r="EQT294" s="478"/>
      <c r="EQU294" s="479"/>
      <c r="EQV294" s="480"/>
      <c r="EQW294" s="481"/>
      <c r="EQX294" s="481"/>
      <c r="EQY294" s="482"/>
      <c r="EQZ294" s="189"/>
      <c r="ERA294" s="189"/>
      <c r="ERB294" s="483"/>
      <c r="ERC294" s="306"/>
      <c r="ERD294" s="484"/>
      <c r="ERE294" s="306"/>
      <c r="ERF294" s="267"/>
      <c r="ERG294" s="268"/>
      <c r="ERH294" s="306"/>
      <c r="ERI294" s="268"/>
      <c r="ERJ294" s="306"/>
      <c r="ERK294" s="485"/>
      <c r="ERL294" s="306"/>
      <c r="ERM294" s="486"/>
      <c r="ERN294" s="487"/>
      <c r="ERO294" s="488"/>
      <c r="ERP294" s="489"/>
      <c r="ERQ294" s="488"/>
      <c r="ERR294" s="468"/>
      <c r="ERS294" s="469"/>
      <c r="ERT294" s="470"/>
      <c r="ERU294" s="470"/>
      <c r="ERV294" s="306"/>
      <c r="ERW294" s="317"/>
      <c r="ERX294" s="471"/>
      <c r="ERY294" s="472"/>
      <c r="ERZ294" s="471"/>
      <c r="ESA294" s="473"/>
      <c r="ESB294" s="474"/>
      <c r="ESC294" s="475"/>
      <c r="ESD294" s="476"/>
      <c r="ESE294" s="477"/>
      <c r="ESF294" s="475"/>
      <c r="ESG294" s="478"/>
      <c r="ESH294" s="479"/>
      <c r="ESI294" s="480"/>
      <c r="ESJ294" s="481"/>
      <c r="ESK294" s="481"/>
      <c r="ESL294" s="482"/>
      <c r="ESM294" s="189"/>
      <c r="ESN294" s="189"/>
      <c r="ESO294" s="483"/>
      <c r="ESP294" s="306"/>
      <c r="ESQ294" s="484"/>
      <c r="ESR294" s="306"/>
      <c r="ESS294" s="267"/>
      <c r="EST294" s="268"/>
      <c r="ESU294" s="306"/>
      <c r="ESV294" s="268"/>
      <c r="ESW294" s="306"/>
      <c r="ESX294" s="485"/>
      <c r="ESY294" s="306"/>
      <c r="ESZ294" s="486"/>
      <c r="ETA294" s="487"/>
      <c r="ETB294" s="488"/>
      <c r="ETC294" s="489"/>
      <c r="ETD294" s="488"/>
      <c r="ETE294" s="468"/>
      <c r="ETF294" s="469"/>
      <c r="ETG294" s="470"/>
      <c r="ETH294" s="470"/>
      <c r="ETI294" s="306"/>
      <c r="ETJ294" s="317"/>
      <c r="ETK294" s="471"/>
      <c r="ETL294" s="472"/>
      <c r="ETM294" s="471"/>
      <c r="ETN294" s="473"/>
      <c r="ETO294" s="474"/>
      <c r="ETP294" s="475"/>
      <c r="ETQ294" s="476"/>
      <c r="ETR294" s="477"/>
      <c r="ETS294" s="475"/>
      <c r="ETT294" s="478"/>
      <c r="ETU294" s="479"/>
      <c r="ETV294" s="480"/>
      <c r="ETW294" s="481"/>
      <c r="ETX294" s="481"/>
      <c r="ETY294" s="482"/>
      <c r="ETZ294" s="189"/>
      <c r="EUA294" s="189"/>
      <c r="EUB294" s="483"/>
      <c r="EUC294" s="306"/>
      <c r="EUD294" s="484"/>
      <c r="EUE294" s="306"/>
      <c r="EUF294" s="267"/>
      <c r="EUG294" s="268"/>
      <c r="EUH294" s="306"/>
      <c r="EUI294" s="268"/>
      <c r="EUJ294" s="306"/>
      <c r="EUK294" s="485"/>
      <c r="EUL294" s="306"/>
      <c r="EUM294" s="486"/>
      <c r="EUN294" s="487"/>
      <c r="EUO294" s="488"/>
      <c r="EUP294" s="489"/>
      <c r="EUQ294" s="488"/>
      <c r="EUR294" s="468"/>
      <c r="EUS294" s="469"/>
      <c r="EUT294" s="470"/>
      <c r="EUU294" s="470"/>
      <c r="EUV294" s="306"/>
      <c r="EUW294" s="317"/>
      <c r="EUX294" s="471"/>
      <c r="EUY294" s="472"/>
      <c r="EUZ294" s="471"/>
      <c r="EVA294" s="473"/>
      <c r="EVB294" s="474"/>
      <c r="EVC294" s="475"/>
      <c r="EVD294" s="476"/>
      <c r="EVE294" s="477"/>
      <c r="EVF294" s="475"/>
      <c r="EVG294" s="478"/>
      <c r="EVH294" s="479"/>
      <c r="EVI294" s="480"/>
      <c r="EVJ294" s="481"/>
      <c r="EVK294" s="481"/>
      <c r="EVL294" s="482"/>
      <c r="EVM294" s="189"/>
      <c r="EVN294" s="189"/>
      <c r="EVO294" s="483"/>
      <c r="EVP294" s="306"/>
      <c r="EVQ294" s="484"/>
      <c r="EVR294" s="306"/>
      <c r="EVS294" s="267"/>
      <c r="EVT294" s="268"/>
      <c r="EVU294" s="306"/>
      <c r="EVV294" s="268"/>
      <c r="EVW294" s="306"/>
      <c r="EVX294" s="485"/>
      <c r="EVY294" s="306"/>
      <c r="EVZ294" s="486"/>
      <c r="EWA294" s="487"/>
      <c r="EWB294" s="488"/>
      <c r="EWC294" s="489"/>
      <c r="EWD294" s="488"/>
      <c r="EWE294" s="468"/>
      <c r="EWF294" s="469"/>
      <c r="EWG294" s="470"/>
      <c r="EWH294" s="470"/>
      <c r="EWI294" s="306"/>
      <c r="EWJ294" s="317"/>
      <c r="EWK294" s="471"/>
      <c r="EWL294" s="472"/>
      <c r="EWM294" s="471"/>
      <c r="EWN294" s="473"/>
      <c r="EWO294" s="474"/>
      <c r="EWP294" s="475"/>
      <c r="EWQ294" s="476"/>
      <c r="EWR294" s="477"/>
      <c r="EWS294" s="475"/>
      <c r="EWT294" s="478"/>
      <c r="EWU294" s="479"/>
      <c r="EWV294" s="480"/>
      <c r="EWW294" s="481"/>
      <c r="EWX294" s="481"/>
      <c r="EWY294" s="482"/>
      <c r="EWZ294" s="189"/>
      <c r="EXA294" s="189"/>
      <c r="EXB294" s="483"/>
      <c r="EXC294" s="306"/>
      <c r="EXD294" s="484"/>
      <c r="EXE294" s="306"/>
      <c r="EXF294" s="267"/>
      <c r="EXG294" s="268"/>
      <c r="EXH294" s="306"/>
      <c r="EXI294" s="268"/>
      <c r="EXJ294" s="306"/>
      <c r="EXK294" s="485"/>
      <c r="EXL294" s="306"/>
      <c r="EXM294" s="486"/>
      <c r="EXN294" s="487"/>
      <c r="EXO294" s="488"/>
      <c r="EXP294" s="489"/>
      <c r="EXQ294" s="488"/>
      <c r="EXR294" s="468"/>
      <c r="EXS294" s="469"/>
      <c r="EXT294" s="470"/>
      <c r="EXU294" s="470"/>
      <c r="EXV294" s="306"/>
      <c r="EXW294" s="317"/>
      <c r="EXX294" s="471"/>
      <c r="EXY294" s="472"/>
      <c r="EXZ294" s="471"/>
      <c r="EYA294" s="473"/>
      <c r="EYB294" s="474"/>
      <c r="EYC294" s="475"/>
      <c r="EYD294" s="476"/>
      <c r="EYE294" s="477"/>
      <c r="EYF294" s="475"/>
      <c r="EYG294" s="478"/>
      <c r="EYH294" s="479"/>
      <c r="EYI294" s="480"/>
      <c r="EYJ294" s="481"/>
      <c r="EYK294" s="481"/>
      <c r="EYL294" s="482"/>
      <c r="EYM294" s="189"/>
      <c r="EYN294" s="189"/>
      <c r="EYO294" s="483"/>
      <c r="EYP294" s="306"/>
      <c r="EYQ294" s="484"/>
      <c r="EYR294" s="306"/>
      <c r="EYS294" s="267"/>
      <c r="EYT294" s="268"/>
      <c r="EYU294" s="306"/>
      <c r="EYV294" s="268"/>
      <c r="EYW294" s="306"/>
      <c r="EYX294" s="485"/>
      <c r="EYY294" s="306"/>
      <c r="EYZ294" s="486"/>
      <c r="EZA294" s="487"/>
      <c r="EZB294" s="488"/>
      <c r="EZC294" s="489"/>
      <c r="EZD294" s="488"/>
      <c r="EZE294" s="468"/>
      <c r="EZF294" s="469"/>
      <c r="EZG294" s="470"/>
      <c r="EZH294" s="470"/>
      <c r="EZI294" s="306"/>
      <c r="EZJ294" s="317"/>
      <c r="EZK294" s="471"/>
      <c r="EZL294" s="472"/>
      <c r="EZM294" s="471"/>
      <c r="EZN294" s="473"/>
      <c r="EZO294" s="474"/>
      <c r="EZP294" s="475"/>
      <c r="EZQ294" s="476"/>
      <c r="EZR294" s="477"/>
      <c r="EZS294" s="475"/>
      <c r="EZT294" s="478"/>
      <c r="EZU294" s="479"/>
      <c r="EZV294" s="480"/>
      <c r="EZW294" s="481"/>
      <c r="EZX294" s="481"/>
      <c r="EZY294" s="482"/>
      <c r="EZZ294" s="189"/>
      <c r="FAA294" s="189"/>
      <c r="FAB294" s="483"/>
      <c r="FAC294" s="306"/>
      <c r="FAD294" s="484"/>
      <c r="FAE294" s="306"/>
      <c r="FAF294" s="267"/>
      <c r="FAG294" s="268"/>
      <c r="FAH294" s="306"/>
      <c r="FAI294" s="268"/>
      <c r="FAJ294" s="306"/>
      <c r="FAK294" s="485"/>
      <c r="FAL294" s="306"/>
      <c r="FAM294" s="486"/>
      <c r="FAN294" s="487"/>
      <c r="FAO294" s="488"/>
      <c r="FAP294" s="489"/>
      <c r="FAQ294" s="488"/>
      <c r="FAR294" s="468"/>
      <c r="FAS294" s="469"/>
      <c r="FAT294" s="470"/>
      <c r="FAU294" s="470"/>
      <c r="FAV294" s="306"/>
      <c r="FAW294" s="317"/>
      <c r="FAX294" s="471"/>
      <c r="FAY294" s="472"/>
      <c r="FAZ294" s="471"/>
      <c r="FBA294" s="473"/>
      <c r="FBB294" s="474"/>
      <c r="FBC294" s="475"/>
      <c r="FBD294" s="476"/>
      <c r="FBE294" s="477"/>
      <c r="FBF294" s="475"/>
      <c r="FBG294" s="478"/>
      <c r="FBH294" s="479"/>
      <c r="FBI294" s="480"/>
      <c r="FBJ294" s="481"/>
      <c r="FBK294" s="481"/>
      <c r="FBL294" s="482"/>
      <c r="FBM294" s="189"/>
      <c r="FBN294" s="189"/>
      <c r="FBO294" s="483"/>
      <c r="FBP294" s="306"/>
      <c r="FBQ294" s="484"/>
      <c r="FBR294" s="306"/>
      <c r="FBS294" s="267"/>
      <c r="FBT294" s="268"/>
      <c r="FBU294" s="306"/>
      <c r="FBV294" s="268"/>
      <c r="FBW294" s="306"/>
      <c r="FBX294" s="485"/>
      <c r="FBY294" s="306"/>
      <c r="FBZ294" s="486"/>
      <c r="FCA294" s="487"/>
      <c r="FCB294" s="488"/>
      <c r="FCC294" s="489"/>
      <c r="FCD294" s="488"/>
      <c r="FCE294" s="468"/>
      <c r="FCF294" s="469"/>
      <c r="FCG294" s="470"/>
      <c r="FCH294" s="470"/>
      <c r="FCI294" s="306"/>
      <c r="FCJ294" s="317"/>
      <c r="FCK294" s="471"/>
      <c r="FCL294" s="472"/>
      <c r="FCM294" s="471"/>
      <c r="FCN294" s="473"/>
      <c r="FCO294" s="474"/>
      <c r="FCP294" s="475"/>
      <c r="FCQ294" s="476"/>
      <c r="FCR294" s="477"/>
      <c r="FCS294" s="475"/>
      <c r="FCT294" s="478"/>
      <c r="FCU294" s="479"/>
      <c r="FCV294" s="480"/>
      <c r="FCW294" s="481"/>
      <c r="FCX294" s="481"/>
      <c r="FCY294" s="482"/>
      <c r="FCZ294" s="189"/>
      <c r="FDA294" s="189"/>
      <c r="FDB294" s="483"/>
      <c r="FDC294" s="306"/>
      <c r="FDD294" s="484"/>
      <c r="FDE294" s="306"/>
      <c r="FDF294" s="267"/>
      <c r="FDG294" s="268"/>
      <c r="FDH294" s="306"/>
      <c r="FDI294" s="268"/>
      <c r="FDJ294" s="306"/>
      <c r="FDK294" s="485"/>
      <c r="FDL294" s="306"/>
      <c r="FDM294" s="486"/>
      <c r="FDN294" s="487"/>
      <c r="FDO294" s="488"/>
      <c r="FDP294" s="489"/>
      <c r="FDQ294" s="488"/>
      <c r="FDR294" s="468"/>
      <c r="FDS294" s="469"/>
      <c r="FDT294" s="470"/>
      <c r="FDU294" s="470"/>
      <c r="FDV294" s="306"/>
      <c r="FDW294" s="317"/>
      <c r="FDX294" s="471"/>
      <c r="FDY294" s="472"/>
      <c r="FDZ294" s="471"/>
      <c r="FEA294" s="473"/>
      <c r="FEB294" s="474"/>
      <c r="FEC294" s="475"/>
      <c r="FED294" s="476"/>
      <c r="FEE294" s="477"/>
      <c r="FEF294" s="475"/>
      <c r="FEG294" s="478"/>
      <c r="FEH294" s="479"/>
      <c r="FEI294" s="480"/>
      <c r="FEJ294" s="481"/>
      <c r="FEK294" s="481"/>
      <c r="FEL294" s="482"/>
      <c r="FEM294" s="189"/>
      <c r="FEN294" s="189"/>
      <c r="FEO294" s="483"/>
      <c r="FEP294" s="306"/>
      <c r="FEQ294" s="484"/>
      <c r="FER294" s="306"/>
      <c r="FES294" s="267"/>
      <c r="FET294" s="268"/>
      <c r="FEU294" s="306"/>
      <c r="FEV294" s="268"/>
      <c r="FEW294" s="306"/>
      <c r="FEX294" s="485"/>
      <c r="FEY294" s="306"/>
      <c r="FEZ294" s="486"/>
      <c r="FFA294" s="487"/>
      <c r="FFB294" s="488"/>
      <c r="FFC294" s="489"/>
      <c r="FFD294" s="488"/>
      <c r="FFE294" s="468"/>
      <c r="FFF294" s="469"/>
      <c r="FFG294" s="470"/>
      <c r="FFH294" s="470"/>
      <c r="FFI294" s="306"/>
      <c r="FFJ294" s="317"/>
      <c r="FFK294" s="471"/>
      <c r="FFL294" s="472"/>
      <c r="FFM294" s="471"/>
      <c r="FFN294" s="473"/>
      <c r="FFO294" s="474"/>
      <c r="FFP294" s="475"/>
      <c r="FFQ294" s="476"/>
      <c r="FFR294" s="477"/>
      <c r="FFS294" s="475"/>
      <c r="FFT294" s="478"/>
      <c r="FFU294" s="479"/>
      <c r="FFV294" s="480"/>
      <c r="FFW294" s="481"/>
      <c r="FFX294" s="481"/>
      <c r="FFY294" s="482"/>
      <c r="FFZ294" s="189"/>
      <c r="FGA294" s="189"/>
      <c r="FGB294" s="483"/>
      <c r="FGC294" s="306"/>
      <c r="FGD294" s="484"/>
      <c r="FGE294" s="306"/>
      <c r="FGF294" s="267"/>
      <c r="FGG294" s="268"/>
      <c r="FGH294" s="306"/>
      <c r="FGI294" s="268"/>
      <c r="FGJ294" s="306"/>
      <c r="FGK294" s="485"/>
      <c r="FGL294" s="306"/>
      <c r="FGM294" s="486"/>
      <c r="FGN294" s="487"/>
      <c r="FGO294" s="488"/>
      <c r="FGP294" s="489"/>
      <c r="FGQ294" s="488"/>
      <c r="FGR294" s="468"/>
      <c r="FGS294" s="469"/>
      <c r="FGT294" s="470"/>
      <c r="FGU294" s="470"/>
      <c r="FGV294" s="306"/>
      <c r="FGW294" s="317"/>
      <c r="FGX294" s="471"/>
      <c r="FGY294" s="472"/>
      <c r="FGZ294" s="471"/>
      <c r="FHA294" s="473"/>
      <c r="FHB294" s="474"/>
      <c r="FHC294" s="475"/>
      <c r="FHD294" s="476"/>
      <c r="FHE294" s="477"/>
      <c r="FHF294" s="475"/>
      <c r="FHG294" s="478"/>
      <c r="FHH294" s="479"/>
      <c r="FHI294" s="480"/>
      <c r="FHJ294" s="481"/>
      <c r="FHK294" s="481"/>
      <c r="FHL294" s="482"/>
      <c r="FHM294" s="189"/>
      <c r="FHN294" s="189"/>
      <c r="FHO294" s="483"/>
      <c r="FHP294" s="306"/>
      <c r="FHQ294" s="484"/>
      <c r="FHR294" s="306"/>
      <c r="FHS294" s="267"/>
      <c r="FHT294" s="268"/>
      <c r="FHU294" s="306"/>
      <c r="FHV294" s="268"/>
      <c r="FHW294" s="306"/>
      <c r="FHX294" s="485"/>
      <c r="FHY294" s="306"/>
      <c r="FHZ294" s="486"/>
      <c r="FIA294" s="487"/>
      <c r="FIB294" s="488"/>
      <c r="FIC294" s="489"/>
      <c r="FID294" s="488"/>
      <c r="FIE294" s="468"/>
      <c r="FIF294" s="469"/>
      <c r="FIG294" s="470"/>
      <c r="FIH294" s="470"/>
      <c r="FII294" s="306"/>
      <c r="FIJ294" s="317"/>
      <c r="FIK294" s="471"/>
      <c r="FIL294" s="472"/>
      <c r="FIM294" s="471"/>
      <c r="FIN294" s="473"/>
      <c r="FIO294" s="474"/>
      <c r="FIP294" s="475"/>
      <c r="FIQ294" s="476"/>
      <c r="FIR294" s="477"/>
      <c r="FIS294" s="475"/>
      <c r="FIT294" s="478"/>
      <c r="FIU294" s="479"/>
      <c r="FIV294" s="480"/>
      <c r="FIW294" s="481"/>
      <c r="FIX294" s="481"/>
      <c r="FIY294" s="482"/>
      <c r="FIZ294" s="189"/>
      <c r="FJA294" s="189"/>
      <c r="FJB294" s="483"/>
      <c r="FJC294" s="306"/>
      <c r="FJD294" s="484"/>
      <c r="FJE294" s="306"/>
      <c r="FJF294" s="267"/>
      <c r="FJG294" s="268"/>
      <c r="FJH294" s="306"/>
      <c r="FJI294" s="268"/>
      <c r="FJJ294" s="306"/>
      <c r="FJK294" s="485"/>
      <c r="FJL294" s="306"/>
      <c r="FJM294" s="486"/>
      <c r="FJN294" s="487"/>
      <c r="FJO294" s="488"/>
      <c r="FJP294" s="489"/>
      <c r="FJQ294" s="488"/>
      <c r="FJR294" s="468"/>
      <c r="FJS294" s="469"/>
      <c r="FJT294" s="470"/>
      <c r="FJU294" s="470"/>
      <c r="FJV294" s="306"/>
      <c r="FJW294" s="317"/>
      <c r="FJX294" s="471"/>
      <c r="FJY294" s="472"/>
      <c r="FJZ294" s="471"/>
      <c r="FKA294" s="473"/>
      <c r="FKB294" s="474"/>
      <c r="FKC294" s="475"/>
      <c r="FKD294" s="476"/>
      <c r="FKE294" s="477"/>
      <c r="FKF294" s="475"/>
      <c r="FKG294" s="478"/>
      <c r="FKH294" s="479"/>
      <c r="FKI294" s="480"/>
      <c r="FKJ294" s="481"/>
      <c r="FKK294" s="481"/>
      <c r="FKL294" s="482"/>
      <c r="FKM294" s="189"/>
      <c r="FKN294" s="189"/>
      <c r="FKO294" s="483"/>
      <c r="FKP294" s="306"/>
      <c r="FKQ294" s="484"/>
      <c r="FKR294" s="306"/>
      <c r="FKS294" s="267"/>
      <c r="FKT294" s="268"/>
      <c r="FKU294" s="306"/>
      <c r="FKV294" s="268"/>
      <c r="FKW294" s="306"/>
      <c r="FKX294" s="485"/>
      <c r="FKY294" s="306"/>
      <c r="FKZ294" s="486"/>
      <c r="FLA294" s="487"/>
      <c r="FLB294" s="488"/>
      <c r="FLC294" s="489"/>
      <c r="FLD294" s="488"/>
      <c r="FLE294" s="468"/>
      <c r="FLF294" s="469"/>
      <c r="FLG294" s="470"/>
      <c r="FLH294" s="470"/>
      <c r="FLI294" s="306"/>
      <c r="FLJ294" s="317"/>
      <c r="FLK294" s="471"/>
      <c r="FLL294" s="472"/>
      <c r="FLM294" s="471"/>
      <c r="FLN294" s="473"/>
      <c r="FLO294" s="474"/>
      <c r="FLP294" s="475"/>
      <c r="FLQ294" s="476"/>
      <c r="FLR294" s="477"/>
      <c r="FLS294" s="475"/>
      <c r="FLT294" s="478"/>
      <c r="FLU294" s="479"/>
      <c r="FLV294" s="480"/>
      <c r="FLW294" s="481"/>
      <c r="FLX294" s="481"/>
      <c r="FLY294" s="482"/>
      <c r="FLZ294" s="189"/>
      <c r="FMA294" s="189"/>
      <c r="FMB294" s="483"/>
      <c r="FMC294" s="306"/>
      <c r="FMD294" s="484"/>
      <c r="FME294" s="306"/>
      <c r="FMF294" s="267"/>
      <c r="FMG294" s="268"/>
      <c r="FMH294" s="306"/>
      <c r="FMI294" s="268"/>
      <c r="FMJ294" s="306"/>
      <c r="FMK294" s="485"/>
      <c r="FML294" s="306"/>
      <c r="FMM294" s="486"/>
      <c r="FMN294" s="487"/>
      <c r="FMO294" s="488"/>
      <c r="FMP294" s="489"/>
      <c r="FMQ294" s="488"/>
      <c r="FMR294" s="468"/>
      <c r="FMS294" s="469"/>
      <c r="FMT294" s="470"/>
      <c r="FMU294" s="470"/>
      <c r="FMV294" s="306"/>
      <c r="FMW294" s="317"/>
      <c r="FMX294" s="471"/>
      <c r="FMY294" s="472"/>
      <c r="FMZ294" s="471"/>
      <c r="FNA294" s="473"/>
      <c r="FNB294" s="474"/>
      <c r="FNC294" s="475"/>
      <c r="FND294" s="476"/>
      <c r="FNE294" s="477"/>
      <c r="FNF294" s="475"/>
      <c r="FNG294" s="478"/>
      <c r="FNH294" s="479"/>
      <c r="FNI294" s="480"/>
      <c r="FNJ294" s="481"/>
      <c r="FNK294" s="481"/>
      <c r="FNL294" s="482"/>
      <c r="FNM294" s="189"/>
      <c r="FNN294" s="189"/>
      <c r="FNO294" s="483"/>
      <c r="FNP294" s="306"/>
      <c r="FNQ294" s="484"/>
      <c r="FNR294" s="306"/>
      <c r="FNS294" s="267"/>
      <c r="FNT294" s="268"/>
      <c r="FNU294" s="306"/>
      <c r="FNV294" s="268"/>
      <c r="FNW294" s="306"/>
      <c r="FNX294" s="485"/>
      <c r="FNY294" s="306"/>
      <c r="FNZ294" s="486"/>
      <c r="FOA294" s="487"/>
      <c r="FOB294" s="488"/>
      <c r="FOC294" s="489"/>
      <c r="FOD294" s="488"/>
      <c r="FOE294" s="468"/>
      <c r="FOF294" s="469"/>
      <c r="FOG294" s="470"/>
      <c r="FOH294" s="470"/>
      <c r="FOI294" s="306"/>
      <c r="FOJ294" s="317"/>
      <c r="FOK294" s="471"/>
      <c r="FOL294" s="472"/>
      <c r="FOM294" s="471"/>
      <c r="FON294" s="473"/>
      <c r="FOO294" s="474"/>
      <c r="FOP294" s="475"/>
      <c r="FOQ294" s="476"/>
      <c r="FOR294" s="477"/>
      <c r="FOS294" s="475"/>
      <c r="FOT294" s="478"/>
      <c r="FOU294" s="479"/>
      <c r="FOV294" s="480"/>
      <c r="FOW294" s="481"/>
      <c r="FOX294" s="481"/>
      <c r="FOY294" s="482"/>
      <c r="FOZ294" s="189"/>
      <c r="FPA294" s="189"/>
      <c r="FPB294" s="483"/>
      <c r="FPC294" s="306"/>
      <c r="FPD294" s="484"/>
      <c r="FPE294" s="306"/>
      <c r="FPF294" s="267"/>
      <c r="FPG294" s="268"/>
      <c r="FPH294" s="306"/>
      <c r="FPI294" s="268"/>
      <c r="FPJ294" s="306"/>
      <c r="FPK294" s="485"/>
      <c r="FPL294" s="306"/>
      <c r="FPM294" s="486"/>
      <c r="FPN294" s="487"/>
      <c r="FPO294" s="488"/>
      <c r="FPP294" s="489"/>
      <c r="FPQ294" s="488"/>
      <c r="FPR294" s="468"/>
      <c r="FPS294" s="469"/>
      <c r="FPT294" s="470"/>
      <c r="FPU294" s="470"/>
      <c r="FPV294" s="306"/>
      <c r="FPW294" s="317"/>
      <c r="FPX294" s="471"/>
      <c r="FPY294" s="472"/>
      <c r="FPZ294" s="471"/>
      <c r="FQA294" s="473"/>
      <c r="FQB294" s="474"/>
      <c r="FQC294" s="475"/>
      <c r="FQD294" s="476"/>
      <c r="FQE294" s="477"/>
      <c r="FQF294" s="475"/>
      <c r="FQG294" s="478"/>
      <c r="FQH294" s="479"/>
      <c r="FQI294" s="480"/>
      <c r="FQJ294" s="481"/>
      <c r="FQK294" s="481"/>
      <c r="FQL294" s="482"/>
      <c r="FQM294" s="189"/>
      <c r="FQN294" s="189"/>
      <c r="FQO294" s="483"/>
      <c r="FQP294" s="306"/>
      <c r="FQQ294" s="484"/>
      <c r="FQR294" s="306"/>
      <c r="FQS294" s="267"/>
      <c r="FQT294" s="268"/>
      <c r="FQU294" s="306"/>
      <c r="FQV294" s="268"/>
      <c r="FQW294" s="306"/>
      <c r="FQX294" s="485"/>
      <c r="FQY294" s="306"/>
      <c r="FQZ294" s="486"/>
      <c r="FRA294" s="487"/>
      <c r="FRB294" s="488"/>
      <c r="FRC294" s="489"/>
      <c r="FRD294" s="488"/>
      <c r="FRE294" s="468"/>
      <c r="FRF294" s="469"/>
      <c r="FRG294" s="470"/>
      <c r="FRH294" s="470"/>
      <c r="FRI294" s="306"/>
      <c r="FRJ294" s="317"/>
      <c r="FRK294" s="471"/>
      <c r="FRL294" s="472"/>
      <c r="FRM294" s="471"/>
      <c r="FRN294" s="473"/>
      <c r="FRO294" s="474"/>
      <c r="FRP294" s="475"/>
      <c r="FRQ294" s="476"/>
      <c r="FRR294" s="477"/>
      <c r="FRS294" s="475"/>
      <c r="FRT294" s="478"/>
      <c r="FRU294" s="479"/>
      <c r="FRV294" s="480"/>
      <c r="FRW294" s="481"/>
      <c r="FRX294" s="481"/>
      <c r="FRY294" s="482"/>
      <c r="FRZ294" s="189"/>
      <c r="FSA294" s="189"/>
      <c r="FSB294" s="483"/>
      <c r="FSC294" s="306"/>
      <c r="FSD294" s="484"/>
      <c r="FSE294" s="306"/>
      <c r="FSF294" s="267"/>
      <c r="FSG294" s="268"/>
      <c r="FSH294" s="306"/>
      <c r="FSI294" s="268"/>
      <c r="FSJ294" s="306"/>
      <c r="FSK294" s="485"/>
      <c r="FSL294" s="306"/>
      <c r="FSM294" s="486"/>
      <c r="FSN294" s="487"/>
      <c r="FSO294" s="488"/>
      <c r="FSP294" s="489"/>
      <c r="FSQ294" s="488"/>
      <c r="FSR294" s="468"/>
      <c r="FSS294" s="469"/>
      <c r="FST294" s="470"/>
      <c r="FSU294" s="470"/>
      <c r="FSV294" s="306"/>
      <c r="FSW294" s="317"/>
      <c r="FSX294" s="471"/>
      <c r="FSY294" s="472"/>
      <c r="FSZ294" s="471"/>
      <c r="FTA294" s="473"/>
      <c r="FTB294" s="474"/>
      <c r="FTC294" s="475"/>
      <c r="FTD294" s="476"/>
      <c r="FTE294" s="477"/>
      <c r="FTF294" s="475"/>
      <c r="FTG294" s="478"/>
      <c r="FTH294" s="479"/>
      <c r="FTI294" s="480"/>
      <c r="FTJ294" s="481"/>
      <c r="FTK294" s="481"/>
      <c r="FTL294" s="482"/>
      <c r="FTM294" s="189"/>
      <c r="FTN294" s="189"/>
      <c r="FTO294" s="483"/>
      <c r="FTP294" s="306"/>
      <c r="FTQ294" s="484"/>
      <c r="FTR294" s="306"/>
      <c r="FTS294" s="267"/>
      <c r="FTT294" s="268"/>
      <c r="FTU294" s="306"/>
      <c r="FTV294" s="268"/>
      <c r="FTW294" s="306"/>
      <c r="FTX294" s="485"/>
      <c r="FTY294" s="306"/>
      <c r="FTZ294" s="486"/>
      <c r="FUA294" s="487"/>
      <c r="FUB294" s="488"/>
      <c r="FUC294" s="489"/>
      <c r="FUD294" s="488"/>
      <c r="FUE294" s="468"/>
      <c r="FUF294" s="469"/>
      <c r="FUG294" s="470"/>
      <c r="FUH294" s="470"/>
      <c r="FUI294" s="306"/>
      <c r="FUJ294" s="317"/>
      <c r="FUK294" s="471"/>
      <c r="FUL294" s="472"/>
      <c r="FUM294" s="471"/>
      <c r="FUN294" s="473"/>
      <c r="FUO294" s="474"/>
      <c r="FUP294" s="475"/>
      <c r="FUQ294" s="476"/>
      <c r="FUR294" s="477"/>
      <c r="FUS294" s="475"/>
      <c r="FUT294" s="478"/>
      <c r="FUU294" s="479"/>
      <c r="FUV294" s="480"/>
      <c r="FUW294" s="481"/>
      <c r="FUX294" s="481"/>
      <c r="FUY294" s="482"/>
      <c r="FUZ294" s="189"/>
      <c r="FVA294" s="189"/>
      <c r="FVB294" s="483"/>
      <c r="FVC294" s="306"/>
      <c r="FVD294" s="484"/>
      <c r="FVE294" s="306"/>
      <c r="FVF294" s="267"/>
      <c r="FVG294" s="268"/>
      <c r="FVH294" s="306"/>
      <c r="FVI294" s="268"/>
      <c r="FVJ294" s="306"/>
      <c r="FVK294" s="485"/>
      <c r="FVL294" s="306"/>
      <c r="FVM294" s="486"/>
      <c r="FVN294" s="487"/>
      <c r="FVO294" s="488"/>
      <c r="FVP294" s="489"/>
      <c r="FVQ294" s="488"/>
      <c r="FVR294" s="468"/>
      <c r="FVS294" s="469"/>
      <c r="FVT294" s="470"/>
      <c r="FVU294" s="470"/>
      <c r="FVV294" s="306"/>
      <c r="FVW294" s="317"/>
      <c r="FVX294" s="471"/>
      <c r="FVY294" s="472"/>
      <c r="FVZ294" s="471"/>
      <c r="FWA294" s="473"/>
      <c r="FWB294" s="474"/>
      <c r="FWC294" s="475"/>
      <c r="FWD294" s="476"/>
      <c r="FWE294" s="477"/>
      <c r="FWF294" s="475"/>
      <c r="FWG294" s="478"/>
      <c r="FWH294" s="479"/>
      <c r="FWI294" s="480"/>
      <c r="FWJ294" s="481"/>
      <c r="FWK294" s="481"/>
      <c r="FWL294" s="482"/>
      <c r="FWM294" s="189"/>
      <c r="FWN294" s="189"/>
      <c r="FWO294" s="483"/>
      <c r="FWP294" s="306"/>
      <c r="FWQ294" s="484"/>
      <c r="FWR294" s="306"/>
      <c r="FWS294" s="267"/>
      <c r="FWT294" s="268"/>
      <c r="FWU294" s="306"/>
      <c r="FWV294" s="268"/>
      <c r="FWW294" s="306"/>
      <c r="FWX294" s="485"/>
      <c r="FWY294" s="306"/>
      <c r="FWZ294" s="486"/>
      <c r="FXA294" s="487"/>
      <c r="FXB294" s="488"/>
      <c r="FXC294" s="489"/>
      <c r="FXD294" s="488"/>
      <c r="FXE294" s="468"/>
      <c r="FXF294" s="469"/>
      <c r="FXG294" s="470"/>
      <c r="FXH294" s="470"/>
      <c r="FXI294" s="306"/>
      <c r="FXJ294" s="317"/>
      <c r="FXK294" s="471"/>
      <c r="FXL294" s="472"/>
      <c r="FXM294" s="471"/>
      <c r="FXN294" s="473"/>
      <c r="FXO294" s="474"/>
      <c r="FXP294" s="475"/>
      <c r="FXQ294" s="476"/>
      <c r="FXR294" s="477"/>
      <c r="FXS294" s="475"/>
      <c r="FXT294" s="478"/>
      <c r="FXU294" s="479"/>
      <c r="FXV294" s="480"/>
      <c r="FXW294" s="481"/>
      <c r="FXX294" s="481"/>
      <c r="FXY294" s="482"/>
      <c r="FXZ294" s="189"/>
      <c r="FYA294" s="189"/>
      <c r="FYB294" s="483"/>
      <c r="FYC294" s="306"/>
      <c r="FYD294" s="484"/>
      <c r="FYE294" s="306"/>
      <c r="FYF294" s="267"/>
      <c r="FYG294" s="268"/>
      <c r="FYH294" s="306"/>
      <c r="FYI294" s="268"/>
      <c r="FYJ294" s="306"/>
      <c r="FYK294" s="485"/>
      <c r="FYL294" s="306"/>
      <c r="FYM294" s="486"/>
      <c r="FYN294" s="487"/>
      <c r="FYO294" s="488"/>
      <c r="FYP294" s="489"/>
      <c r="FYQ294" s="488"/>
      <c r="FYR294" s="468"/>
      <c r="FYS294" s="469"/>
      <c r="FYT294" s="470"/>
      <c r="FYU294" s="470"/>
      <c r="FYV294" s="306"/>
      <c r="FYW294" s="317"/>
      <c r="FYX294" s="471"/>
      <c r="FYY294" s="472"/>
      <c r="FYZ294" s="471"/>
      <c r="FZA294" s="473"/>
      <c r="FZB294" s="474"/>
      <c r="FZC294" s="475"/>
      <c r="FZD294" s="476"/>
      <c r="FZE294" s="477"/>
      <c r="FZF294" s="475"/>
      <c r="FZG294" s="478"/>
      <c r="FZH294" s="479"/>
      <c r="FZI294" s="480"/>
      <c r="FZJ294" s="481"/>
      <c r="FZK294" s="481"/>
      <c r="FZL294" s="482"/>
      <c r="FZM294" s="189"/>
      <c r="FZN294" s="189"/>
      <c r="FZO294" s="483"/>
      <c r="FZP294" s="306"/>
      <c r="FZQ294" s="484"/>
      <c r="FZR294" s="306"/>
      <c r="FZS294" s="267"/>
      <c r="FZT294" s="268"/>
      <c r="FZU294" s="306"/>
      <c r="FZV294" s="268"/>
      <c r="FZW294" s="306"/>
      <c r="FZX294" s="485"/>
      <c r="FZY294" s="306"/>
      <c r="FZZ294" s="486"/>
      <c r="GAA294" s="487"/>
      <c r="GAB294" s="488"/>
      <c r="GAC294" s="489"/>
      <c r="GAD294" s="488"/>
      <c r="GAE294" s="468"/>
      <c r="GAF294" s="469"/>
      <c r="GAG294" s="470"/>
      <c r="GAH294" s="470"/>
      <c r="GAI294" s="306"/>
      <c r="GAJ294" s="317"/>
      <c r="GAK294" s="471"/>
      <c r="GAL294" s="472"/>
      <c r="GAM294" s="471"/>
      <c r="GAN294" s="473"/>
      <c r="GAO294" s="474"/>
      <c r="GAP294" s="475"/>
      <c r="GAQ294" s="476"/>
      <c r="GAR294" s="477"/>
      <c r="GAS294" s="475"/>
      <c r="GAT294" s="478"/>
      <c r="GAU294" s="479"/>
      <c r="GAV294" s="480"/>
      <c r="GAW294" s="481"/>
      <c r="GAX294" s="481"/>
      <c r="GAY294" s="482"/>
      <c r="GAZ294" s="189"/>
      <c r="GBA294" s="189"/>
      <c r="GBB294" s="483"/>
      <c r="GBC294" s="306"/>
      <c r="GBD294" s="484"/>
      <c r="GBE294" s="306"/>
      <c r="GBF294" s="267"/>
      <c r="GBG294" s="268"/>
      <c r="GBH294" s="306"/>
      <c r="GBI294" s="268"/>
      <c r="GBJ294" s="306"/>
      <c r="GBK294" s="485"/>
      <c r="GBL294" s="306"/>
      <c r="GBM294" s="486"/>
      <c r="GBN294" s="487"/>
      <c r="GBO294" s="488"/>
      <c r="GBP294" s="489"/>
      <c r="GBQ294" s="488"/>
      <c r="GBR294" s="468"/>
      <c r="GBS294" s="469"/>
      <c r="GBT294" s="470"/>
      <c r="GBU294" s="470"/>
      <c r="GBV294" s="306"/>
      <c r="GBW294" s="317"/>
      <c r="GBX294" s="471"/>
      <c r="GBY294" s="472"/>
      <c r="GBZ294" s="471"/>
      <c r="GCA294" s="473"/>
      <c r="GCB294" s="474"/>
      <c r="GCC294" s="475"/>
      <c r="GCD294" s="476"/>
      <c r="GCE294" s="477"/>
      <c r="GCF294" s="475"/>
      <c r="GCG294" s="478"/>
      <c r="GCH294" s="479"/>
      <c r="GCI294" s="480"/>
      <c r="GCJ294" s="481"/>
      <c r="GCK294" s="481"/>
      <c r="GCL294" s="482"/>
      <c r="GCM294" s="189"/>
      <c r="GCN294" s="189"/>
      <c r="GCO294" s="483"/>
      <c r="GCP294" s="306"/>
      <c r="GCQ294" s="484"/>
      <c r="GCR294" s="306"/>
      <c r="GCS294" s="267"/>
      <c r="GCT294" s="268"/>
      <c r="GCU294" s="306"/>
      <c r="GCV294" s="268"/>
      <c r="GCW294" s="306"/>
      <c r="GCX294" s="485"/>
      <c r="GCY294" s="306"/>
      <c r="GCZ294" s="486"/>
      <c r="GDA294" s="487"/>
      <c r="GDB294" s="488"/>
      <c r="GDC294" s="489"/>
      <c r="GDD294" s="488"/>
      <c r="GDE294" s="468"/>
      <c r="GDF294" s="469"/>
      <c r="GDG294" s="470"/>
      <c r="GDH294" s="470"/>
      <c r="GDI294" s="306"/>
      <c r="GDJ294" s="317"/>
      <c r="GDK294" s="471"/>
      <c r="GDL294" s="472"/>
      <c r="GDM294" s="471"/>
      <c r="GDN294" s="473"/>
      <c r="GDO294" s="474"/>
      <c r="GDP294" s="475"/>
      <c r="GDQ294" s="476"/>
      <c r="GDR294" s="477"/>
      <c r="GDS294" s="475"/>
      <c r="GDT294" s="478"/>
      <c r="GDU294" s="479"/>
      <c r="GDV294" s="480"/>
      <c r="GDW294" s="481"/>
      <c r="GDX294" s="481"/>
      <c r="GDY294" s="482"/>
      <c r="GDZ294" s="189"/>
      <c r="GEA294" s="189"/>
      <c r="GEB294" s="483"/>
      <c r="GEC294" s="306"/>
      <c r="GED294" s="484"/>
      <c r="GEE294" s="306"/>
      <c r="GEF294" s="267"/>
      <c r="GEG294" s="268"/>
      <c r="GEH294" s="306"/>
      <c r="GEI294" s="268"/>
      <c r="GEJ294" s="306"/>
      <c r="GEK294" s="485"/>
      <c r="GEL294" s="306"/>
      <c r="GEM294" s="486"/>
      <c r="GEN294" s="487"/>
      <c r="GEO294" s="488"/>
      <c r="GEP294" s="489"/>
      <c r="GEQ294" s="488"/>
      <c r="GER294" s="468"/>
      <c r="GES294" s="469"/>
      <c r="GET294" s="470"/>
      <c r="GEU294" s="470"/>
      <c r="GEV294" s="306"/>
      <c r="GEW294" s="317"/>
      <c r="GEX294" s="471"/>
      <c r="GEY294" s="472"/>
      <c r="GEZ294" s="471"/>
      <c r="GFA294" s="473"/>
      <c r="GFB294" s="474"/>
      <c r="GFC294" s="475"/>
      <c r="GFD294" s="476"/>
      <c r="GFE294" s="477"/>
      <c r="GFF294" s="475"/>
      <c r="GFG294" s="478"/>
      <c r="GFH294" s="479"/>
      <c r="GFI294" s="480"/>
      <c r="GFJ294" s="481"/>
      <c r="GFK294" s="481"/>
      <c r="GFL294" s="482"/>
      <c r="GFM294" s="189"/>
      <c r="GFN294" s="189"/>
      <c r="GFO294" s="483"/>
      <c r="GFP294" s="306"/>
      <c r="GFQ294" s="484"/>
      <c r="GFR294" s="306"/>
      <c r="GFS294" s="267"/>
      <c r="GFT294" s="268"/>
      <c r="GFU294" s="306"/>
      <c r="GFV294" s="268"/>
      <c r="GFW294" s="306"/>
      <c r="GFX294" s="485"/>
      <c r="GFY294" s="306"/>
      <c r="GFZ294" s="486"/>
      <c r="GGA294" s="487"/>
      <c r="GGB294" s="488"/>
      <c r="GGC294" s="489"/>
      <c r="GGD294" s="488"/>
      <c r="GGE294" s="468"/>
      <c r="GGF294" s="469"/>
      <c r="GGG294" s="470"/>
      <c r="GGH294" s="470"/>
      <c r="GGI294" s="306"/>
      <c r="GGJ294" s="317"/>
      <c r="GGK294" s="471"/>
      <c r="GGL294" s="472"/>
      <c r="GGM294" s="471"/>
      <c r="GGN294" s="473"/>
      <c r="GGO294" s="474"/>
      <c r="GGP294" s="475"/>
      <c r="GGQ294" s="476"/>
      <c r="GGR294" s="477"/>
      <c r="GGS294" s="475"/>
      <c r="GGT294" s="478"/>
      <c r="GGU294" s="479"/>
      <c r="GGV294" s="480"/>
      <c r="GGW294" s="481"/>
      <c r="GGX294" s="481"/>
      <c r="GGY294" s="482"/>
      <c r="GGZ294" s="189"/>
      <c r="GHA294" s="189"/>
      <c r="GHB294" s="483"/>
      <c r="GHC294" s="306"/>
      <c r="GHD294" s="484"/>
      <c r="GHE294" s="306"/>
      <c r="GHF294" s="267"/>
      <c r="GHG294" s="268"/>
      <c r="GHH294" s="306"/>
      <c r="GHI294" s="268"/>
      <c r="GHJ294" s="306"/>
      <c r="GHK294" s="485"/>
      <c r="GHL294" s="306"/>
      <c r="GHM294" s="486"/>
      <c r="GHN294" s="487"/>
      <c r="GHO294" s="488"/>
      <c r="GHP294" s="489"/>
      <c r="GHQ294" s="488"/>
      <c r="GHR294" s="468"/>
      <c r="GHS294" s="469"/>
      <c r="GHT294" s="470"/>
      <c r="GHU294" s="470"/>
      <c r="GHV294" s="306"/>
      <c r="GHW294" s="317"/>
      <c r="GHX294" s="471"/>
      <c r="GHY294" s="472"/>
      <c r="GHZ294" s="471"/>
      <c r="GIA294" s="473"/>
      <c r="GIB294" s="474"/>
      <c r="GIC294" s="475"/>
      <c r="GID294" s="476"/>
      <c r="GIE294" s="477"/>
      <c r="GIF294" s="475"/>
      <c r="GIG294" s="478"/>
      <c r="GIH294" s="479"/>
      <c r="GII294" s="480"/>
      <c r="GIJ294" s="481"/>
      <c r="GIK294" s="481"/>
      <c r="GIL294" s="482"/>
      <c r="GIM294" s="189"/>
      <c r="GIN294" s="189"/>
      <c r="GIO294" s="483"/>
      <c r="GIP294" s="306"/>
      <c r="GIQ294" s="484"/>
      <c r="GIR294" s="306"/>
      <c r="GIS294" s="267"/>
      <c r="GIT294" s="268"/>
      <c r="GIU294" s="306"/>
      <c r="GIV294" s="268"/>
      <c r="GIW294" s="306"/>
      <c r="GIX294" s="485"/>
      <c r="GIY294" s="306"/>
      <c r="GIZ294" s="486"/>
      <c r="GJA294" s="487"/>
      <c r="GJB294" s="488"/>
      <c r="GJC294" s="489"/>
      <c r="GJD294" s="488"/>
      <c r="GJE294" s="468"/>
      <c r="GJF294" s="469"/>
      <c r="GJG294" s="470"/>
      <c r="GJH294" s="470"/>
      <c r="GJI294" s="306"/>
      <c r="GJJ294" s="317"/>
      <c r="GJK294" s="471"/>
      <c r="GJL294" s="472"/>
      <c r="GJM294" s="471"/>
      <c r="GJN294" s="473"/>
      <c r="GJO294" s="474"/>
      <c r="GJP294" s="475"/>
      <c r="GJQ294" s="476"/>
      <c r="GJR294" s="477"/>
      <c r="GJS294" s="475"/>
      <c r="GJT294" s="478"/>
      <c r="GJU294" s="479"/>
      <c r="GJV294" s="480"/>
      <c r="GJW294" s="481"/>
      <c r="GJX294" s="481"/>
      <c r="GJY294" s="482"/>
      <c r="GJZ294" s="189"/>
      <c r="GKA294" s="189"/>
      <c r="GKB294" s="483"/>
      <c r="GKC294" s="306"/>
      <c r="GKD294" s="484"/>
      <c r="GKE294" s="306"/>
      <c r="GKF294" s="267"/>
      <c r="GKG294" s="268"/>
      <c r="GKH294" s="306"/>
      <c r="GKI294" s="268"/>
      <c r="GKJ294" s="306"/>
      <c r="GKK294" s="485"/>
      <c r="GKL294" s="306"/>
      <c r="GKM294" s="486"/>
      <c r="GKN294" s="487"/>
      <c r="GKO294" s="488"/>
      <c r="GKP294" s="489"/>
      <c r="GKQ294" s="488"/>
      <c r="GKR294" s="468"/>
      <c r="GKS294" s="469"/>
      <c r="GKT294" s="470"/>
      <c r="GKU294" s="470"/>
      <c r="GKV294" s="306"/>
      <c r="GKW294" s="317"/>
      <c r="GKX294" s="471"/>
      <c r="GKY294" s="472"/>
      <c r="GKZ294" s="471"/>
      <c r="GLA294" s="473"/>
      <c r="GLB294" s="474"/>
      <c r="GLC294" s="475"/>
      <c r="GLD294" s="476"/>
      <c r="GLE294" s="477"/>
      <c r="GLF294" s="475"/>
      <c r="GLG294" s="478"/>
      <c r="GLH294" s="479"/>
      <c r="GLI294" s="480"/>
      <c r="GLJ294" s="481"/>
      <c r="GLK294" s="481"/>
      <c r="GLL294" s="482"/>
      <c r="GLM294" s="189"/>
      <c r="GLN294" s="189"/>
      <c r="GLO294" s="483"/>
      <c r="GLP294" s="306"/>
      <c r="GLQ294" s="484"/>
      <c r="GLR294" s="306"/>
      <c r="GLS294" s="267"/>
      <c r="GLT294" s="268"/>
      <c r="GLU294" s="306"/>
      <c r="GLV294" s="268"/>
      <c r="GLW294" s="306"/>
      <c r="GLX294" s="485"/>
      <c r="GLY294" s="306"/>
      <c r="GLZ294" s="486"/>
      <c r="GMA294" s="487"/>
      <c r="GMB294" s="488"/>
      <c r="GMC294" s="489"/>
      <c r="GMD294" s="488"/>
      <c r="GME294" s="468"/>
      <c r="GMF294" s="469"/>
      <c r="GMG294" s="470"/>
      <c r="GMH294" s="470"/>
      <c r="GMI294" s="306"/>
      <c r="GMJ294" s="317"/>
      <c r="GMK294" s="471"/>
      <c r="GML294" s="472"/>
      <c r="GMM294" s="471"/>
      <c r="GMN294" s="473"/>
      <c r="GMO294" s="474"/>
      <c r="GMP294" s="475"/>
      <c r="GMQ294" s="476"/>
      <c r="GMR294" s="477"/>
      <c r="GMS294" s="475"/>
      <c r="GMT294" s="478"/>
      <c r="GMU294" s="479"/>
      <c r="GMV294" s="480"/>
      <c r="GMW294" s="481"/>
      <c r="GMX294" s="481"/>
      <c r="GMY294" s="482"/>
      <c r="GMZ294" s="189"/>
      <c r="GNA294" s="189"/>
      <c r="GNB294" s="483"/>
      <c r="GNC294" s="306"/>
      <c r="GND294" s="484"/>
      <c r="GNE294" s="306"/>
      <c r="GNF294" s="267"/>
      <c r="GNG294" s="268"/>
      <c r="GNH294" s="306"/>
      <c r="GNI294" s="268"/>
      <c r="GNJ294" s="306"/>
      <c r="GNK294" s="485"/>
      <c r="GNL294" s="306"/>
      <c r="GNM294" s="486"/>
      <c r="GNN294" s="487"/>
      <c r="GNO294" s="488"/>
      <c r="GNP294" s="489"/>
      <c r="GNQ294" s="488"/>
      <c r="GNR294" s="468"/>
      <c r="GNS294" s="469"/>
      <c r="GNT294" s="470"/>
      <c r="GNU294" s="470"/>
      <c r="GNV294" s="306"/>
      <c r="GNW294" s="317"/>
      <c r="GNX294" s="471"/>
      <c r="GNY294" s="472"/>
      <c r="GNZ294" s="471"/>
      <c r="GOA294" s="473"/>
      <c r="GOB294" s="474"/>
      <c r="GOC294" s="475"/>
      <c r="GOD294" s="476"/>
      <c r="GOE294" s="477"/>
      <c r="GOF294" s="475"/>
      <c r="GOG294" s="478"/>
      <c r="GOH294" s="479"/>
      <c r="GOI294" s="480"/>
      <c r="GOJ294" s="481"/>
      <c r="GOK294" s="481"/>
      <c r="GOL294" s="482"/>
      <c r="GOM294" s="189"/>
      <c r="GON294" s="189"/>
      <c r="GOO294" s="483"/>
      <c r="GOP294" s="306"/>
      <c r="GOQ294" s="484"/>
      <c r="GOR294" s="306"/>
      <c r="GOS294" s="267"/>
      <c r="GOT294" s="268"/>
      <c r="GOU294" s="306"/>
      <c r="GOV294" s="268"/>
      <c r="GOW294" s="306"/>
      <c r="GOX294" s="485"/>
      <c r="GOY294" s="306"/>
      <c r="GOZ294" s="486"/>
      <c r="GPA294" s="487"/>
      <c r="GPB294" s="488"/>
      <c r="GPC294" s="489"/>
      <c r="GPD294" s="488"/>
      <c r="GPE294" s="468"/>
      <c r="GPF294" s="469"/>
      <c r="GPG294" s="470"/>
      <c r="GPH294" s="470"/>
      <c r="GPI294" s="306"/>
      <c r="GPJ294" s="317"/>
      <c r="GPK294" s="471"/>
      <c r="GPL294" s="472"/>
      <c r="GPM294" s="471"/>
      <c r="GPN294" s="473"/>
      <c r="GPO294" s="474"/>
      <c r="GPP294" s="475"/>
      <c r="GPQ294" s="476"/>
      <c r="GPR294" s="477"/>
      <c r="GPS294" s="475"/>
      <c r="GPT294" s="478"/>
      <c r="GPU294" s="479"/>
      <c r="GPV294" s="480"/>
      <c r="GPW294" s="481"/>
      <c r="GPX294" s="481"/>
      <c r="GPY294" s="482"/>
      <c r="GPZ294" s="189"/>
      <c r="GQA294" s="189"/>
      <c r="GQB294" s="483"/>
      <c r="GQC294" s="306"/>
      <c r="GQD294" s="484"/>
      <c r="GQE294" s="306"/>
      <c r="GQF294" s="267"/>
      <c r="GQG294" s="268"/>
      <c r="GQH294" s="306"/>
      <c r="GQI294" s="268"/>
      <c r="GQJ294" s="306"/>
      <c r="GQK294" s="485"/>
      <c r="GQL294" s="306"/>
      <c r="GQM294" s="486"/>
      <c r="GQN294" s="487"/>
      <c r="GQO294" s="488"/>
      <c r="GQP294" s="489"/>
      <c r="GQQ294" s="488"/>
      <c r="GQR294" s="468"/>
      <c r="GQS294" s="469"/>
      <c r="GQT294" s="470"/>
      <c r="GQU294" s="470"/>
      <c r="GQV294" s="306"/>
      <c r="GQW294" s="317"/>
      <c r="GQX294" s="471"/>
      <c r="GQY294" s="472"/>
      <c r="GQZ294" s="471"/>
      <c r="GRA294" s="473"/>
      <c r="GRB294" s="474"/>
      <c r="GRC294" s="475"/>
      <c r="GRD294" s="476"/>
      <c r="GRE294" s="477"/>
      <c r="GRF294" s="475"/>
      <c r="GRG294" s="478"/>
      <c r="GRH294" s="479"/>
      <c r="GRI294" s="480"/>
      <c r="GRJ294" s="481"/>
      <c r="GRK294" s="481"/>
      <c r="GRL294" s="482"/>
      <c r="GRM294" s="189"/>
      <c r="GRN294" s="189"/>
      <c r="GRO294" s="483"/>
      <c r="GRP294" s="306"/>
      <c r="GRQ294" s="484"/>
      <c r="GRR294" s="306"/>
      <c r="GRS294" s="267"/>
      <c r="GRT294" s="268"/>
      <c r="GRU294" s="306"/>
      <c r="GRV294" s="268"/>
      <c r="GRW294" s="306"/>
      <c r="GRX294" s="485"/>
      <c r="GRY294" s="306"/>
      <c r="GRZ294" s="486"/>
      <c r="GSA294" s="487"/>
      <c r="GSB294" s="488"/>
      <c r="GSC294" s="489"/>
      <c r="GSD294" s="488"/>
      <c r="GSE294" s="468"/>
      <c r="GSF294" s="469"/>
      <c r="GSG294" s="470"/>
      <c r="GSH294" s="470"/>
      <c r="GSI294" s="306"/>
      <c r="GSJ294" s="317"/>
      <c r="GSK294" s="471"/>
      <c r="GSL294" s="472"/>
      <c r="GSM294" s="471"/>
      <c r="GSN294" s="473"/>
      <c r="GSO294" s="474"/>
      <c r="GSP294" s="475"/>
      <c r="GSQ294" s="476"/>
      <c r="GSR294" s="477"/>
      <c r="GSS294" s="475"/>
      <c r="GST294" s="478"/>
      <c r="GSU294" s="479"/>
      <c r="GSV294" s="480"/>
      <c r="GSW294" s="481"/>
      <c r="GSX294" s="481"/>
      <c r="GSY294" s="482"/>
      <c r="GSZ294" s="189"/>
      <c r="GTA294" s="189"/>
      <c r="GTB294" s="483"/>
      <c r="GTC294" s="306"/>
      <c r="GTD294" s="484"/>
      <c r="GTE294" s="306"/>
      <c r="GTF294" s="267"/>
      <c r="GTG294" s="268"/>
      <c r="GTH294" s="306"/>
      <c r="GTI294" s="268"/>
      <c r="GTJ294" s="306"/>
      <c r="GTK294" s="485"/>
      <c r="GTL294" s="306"/>
      <c r="GTM294" s="486"/>
      <c r="GTN294" s="487"/>
      <c r="GTO294" s="488"/>
      <c r="GTP294" s="489"/>
      <c r="GTQ294" s="488"/>
      <c r="GTR294" s="468"/>
      <c r="GTS294" s="469"/>
      <c r="GTT294" s="470"/>
      <c r="GTU294" s="470"/>
      <c r="GTV294" s="306"/>
      <c r="GTW294" s="317"/>
      <c r="GTX294" s="471"/>
      <c r="GTY294" s="472"/>
      <c r="GTZ294" s="471"/>
      <c r="GUA294" s="473"/>
      <c r="GUB294" s="474"/>
      <c r="GUC294" s="475"/>
      <c r="GUD294" s="476"/>
      <c r="GUE294" s="477"/>
      <c r="GUF294" s="475"/>
      <c r="GUG294" s="478"/>
      <c r="GUH294" s="479"/>
      <c r="GUI294" s="480"/>
      <c r="GUJ294" s="481"/>
      <c r="GUK294" s="481"/>
      <c r="GUL294" s="482"/>
      <c r="GUM294" s="189"/>
      <c r="GUN294" s="189"/>
      <c r="GUO294" s="483"/>
      <c r="GUP294" s="306"/>
      <c r="GUQ294" s="484"/>
      <c r="GUR294" s="306"/>
      <c r="GUS294" s="267"/>
      <c r="GUT294" s="268"/>
      <c r="GUU294" s="306"/>
      <c r="GUV294" s="268"/>
      <c r="GUW294" s="306"/>
      <c r="GUX294" s="485"/>
      <c r="GUY294" s="306"/>
      <c r="GUZ294" s="486"/>
      <c r="GVA294" s="487"/>
      <c r="GVB294" s="488"/>
      <c r="GVC294" s="489"/>
      <c r="GVD294" s="488"/>
      <c r="GVE294" s="468"/>
      <c r="GVF294" s="469"/>
      <c r="GVG294" s="470"/>
      <c r="GVH294" s="470"/>
      <c r="GVI294" s="306"/>
      <c r="GVJ294" s="317"/>
      <c r="GVK294" s="471"/>
      <c r="GVL294" s="472"/>
      <c r="GVM294" s="471"/>
      <c r="GVN294" s="473"/>
      <c r="GVO294" s="474"/>
      <c r="GVP294" s="475"/>
      <c r="GVQ294" s="476"/>
      <c r="GVR294" s="477"/>
      <c r="GVS294" s="475"/>
      <c r="GVT294" s="478"/>
      <c r="GVU294" s="479"/>
      <c r="GVV294" s="480"/>
      <c r="GVW294" s="481"/>
      <c r="GVX294" s="481"/>
      <c r="GVY294" s="482"/>
      <c r="GVZ294" s="189"/>
      <c r="GWA294" s="189"/>
      <c r="GWB294" s="483"/>
      <c r="GWC294" s="306"/>
      <c r="GWD294" s="484"/>
      <c r="GWE294" s="306"/>
      <c r="GWF294" s="267"/>
      <c r="GWG294" s="268"/>
      <c r="GWH294" s="306"/>
      <c r="GWI294" s="268"/>
      <c r="GWJ294" s="306"/>
      <c r="GWK294" s="485"/>
      <c r="GWL294" s="306"/>
      <c r="GWM294" s="486"/>
      <c r="GWN294" s="487"/>
      <c r="GWO294" s="488"/>
      <c r="GWP294" s="489"/>
      <c r="GWQ294" s="488"/>
      <c r="GWR294" s="468"/>
      <c r="GWS294" s="469"/>
      <c r="GWT294" s="470"/>
      <c r="GWU294" s="470"/>
      <c r="GWV294" s="306"/>
      <c r="GWW294" s="317"/>
      <c r="GWX294" s="471"/>
      <c r="GWY294" s="472"/>
      <c r="GWZ294" s="471"/>
      <c r="GXA294" s="473"/>
      <c r="GXB294" s="474"/>
      <c r="GXC294" s="475"/>
      <c r="GXD294" s="476"/>
      <c r="GXE294" s="477"/>
      <c r="GXF294" s="475"/>
      <c r="GXG294" s="478"/>
      <c r="GXH294" s="479"/>
      <c r="GXI294" s="480"/>
      <c r="GXJ294" s="481"/>
      <c r="GXK294" s="481"/>
      <c r="GXL294" s="482"/>
      <c r="GXM294" s="189"/>
      <c r="GXN294" s="189"/>
      <c r="GXO294" s="483"/>
      <c r="GXP294" s="306"/>
      <c r="GXQ294" s="484"/>
      <c r="GXR294" s="306"/>
      <c r="GXS294" s="267"/>
      <c r="GXT294" s="268"/>
      <c r="GXU294" s="306"/>
      <c r="GXV294" s="268"/>
      <c r="GXW294" s="306"/>
      <c r="GXX294" s="485"/>
      <c r="GXY294" s="306"/>
      <c r="GXZ294" s="486"/>
      <c r="GYA294" s="487"/>
      <c r="GYB294" s="488"/>
      <c r="GYC294" s="489"/>
      <c r="GYD294" s="488"/>
      <c r="GYE294" s="468"/>
      <c r="GYF294" s="469"/>
      <c r="GYG294" s="470"/>
      <c r="GYH294" s="470"/>
      <c r="GYI294" s="306"/>
      <c r="GYJ294" s="317"/>
      <c r="GYK294" s="471"/>
      <c r="GYL294" s="472"/>
      <c r="GYM294" s="471"/>
      <c r="GYN294" s="473"/>
      <c r="GYO294" s="474"/>
      <c r="GYP294" s="475"/>
      <c r="GYQ294" s="476"/>
      <c r="GYR294" s="477"/>
      <c r="GYS294" s="475"/>
      <c r="GYT294" s="478"/>
      <c r="GYU294" s="479"/>
      <c r="GYV294" s="480"/>
      <c r="GYW294" s="481"/>
      <c r="GYX294" s="481"/>
      <c r="GYY294" s="482"/>
      <c r="GYZ294" s="189"/>
      <c r="GZA294" s="189"/>
      <c r="GZB294" s="483"/>
      <c r="GZC294" s="306"/>
      <c r="GZD294" s="484"/>
      <c r="GZE294" s="306"/>
      <c r="GZF294" s="267"/>
      <c r="GZG294" s="268"/>
      <c r="GZH294" s="306"/>
      <c r="GZI294" s="268"/>
      <c r="GZJ294" s="306"/>
      <c r="GZK294" s="485"/>
      <c r="GZL294" s="306"/>
      <c r="GZM294" s="486"/>
      <c r="GZN294" s="487"/>
      <c r="GZO294" s="488"/>
      <c r="GZP294" s="489"/>
      <c r="GZQ294" s="488"/>
      <c r="GZR294" s="468"/>
      <c r="GZS294" s="469"/>
      <c r="GZT294" s="470"/>
      <c r="GZU294" s="470"/>
      <c r="GZV294" s="306"/>
      <c r="GZW294" s="317"/>
      <c r="GZX294" s="471"/>
      <c r="GZY294" s="472"/>
      <c r="GZZ294" s="471"/>
      <c r="HAA294" s="473"/>
      <c r="HAB294" s="474"/>
      <c r="HAC294" s="475"/>
      <c r="HAD294" s="476"/>
      <c r="HAE294" s="477"/>
      <c r="HAF294" s="475"/>
      <c r="HAG294" s="478"/>
      <c r="HAH294" s="479"/>
      <c r="HAI294" s="480"/>
      <c r="HAJ294" s="481"/>
      <c r="HAK294" s="481"/>
      <c r="HAL294" s="482"/>
      <c r="HAM294" s="189"/>
      <c r="HAN294" s="189"/>
      <c r="HAO294" s="483"/>
      <c r="HAP294" s="306"/>
      <c r="HAQ294" s="484"/>
      <c r="HAR294" s="306"/>
      <c r="HAS294" s="267"/>
      <c r="HAT294" s="268"/>
      <c r="HAU294" s="306"/>
      <c r="HAV294" s="268"/>
      <c r="HAW294" s="306"/>
      <c r="HAX294" s="485"/>
      <c r="HAY294" s="306"/>
      <c r="HAZ294" s="486"/>
      <c r="HBA294" s="487"/>
      <c r="HBB294" s="488"/>
      <c r="HBC294" s="489"/>
      <c r="HBD294" s="488"/>
      <c r="HBE294" s="468"/>
      <c r="HBF294" s="469"/>
      <c r="HBG294" s="470"/>
      <c r="HBH294" s="470"/>
      <c r="HBI294" s="306"/>
      <c r="HBJ294" s="317"/>
      <c r="HBK294" s="471"/>
      <c r="HBL294" s="472"/>
      <c r="HBM294" s="471"/>
      <c r="HBN294" s="473"/>
      <c r="HBO294" s="474"/>
      <c r="HBP294" s="475"/>
      <c r="HBQ294" s="476"/>
      <c r="HBR294" s="477"/>
      <c r="HBS294" s="475"/>
      <c r="HBT294" s="478"/>
      <c r="HBU294" s="479"/>
      <c r="HBV294" s="480"/>
      <c r="HBW294" s="481"/>
      <c r="HBX294" s="481"/>
      <c r="HBY294" s="482"/>
      <c r="HBZ294" s="189"/>
      <c r="HCA294" s="189"/>
      <c r="HCB294" s="483"/>
      <c r="HCC294" s="306"/>
      <c r="HCD294" s="484"/>
      <c r="HCE294" s="306"/>
      <c r="HCF294" s="267"/>
      <c r="HCG294" s="268"/>
      <c r="HCH294" s="306"/>
      <c r="HCI294" s="268"/>
      <c r="HCJ294" s="306"/>
      <c r="HCK294" s="485"/>
      <c r="HCL294" s="306"/>
      <c r="HCM294" s="486"/>
      <c r="HCN294" s="487"/>
      <c r="HCO294" s="488"/>
      <c r="HCP294" s="489"/>
      <c r="HCQ294" s="488"/>
      <c r="HCR294" s="468"/>
      <c r="HCS294" s="469"/>
      <c r="HCT294" s="470"/>
      <c r="HCU294" s="470"/>
      <c r="HCV294" s="306"/>
      <c r="HCW294" s="317"/>
      <c r="HCX294" s="471"/>
      <c r="HCY294" s="472"/>
      <c r="HCZ294" s="471"/>
      <c r="HDA294" s="473"/>
      <c r="HDB294" s="474"/>
      <c r="HDC294" s="475"/>
      <c r="HDD294" s="476"/>
      <c r="HDE294" s="477"/>
      <c r="HDF294" s="475"/>
      <c r="HDG294" s="478"/>
      <c r="HDH294" s="479"/>
      <c r="HDI294" s="480"/>
      <c r="HDJ294" s="481"/>
      <c r="HDK294" s="481"/>
      <c r="HDL294" s="482"/>
      <c r="HDM294" s="189"/>
      <c r="HDN294" s="189"/>
      <c r="HDO294" s="483"/>
      <c r="HDP294" s="306"/>
      <c r="HDQ294" s="484"/>
      <c r="HDR294" s="306"/>
      <c r="HDS294" s="267"/>
      <c r="HDT294" s="268"/>
      <c r="HDU294" s="306"/>
      <c r="HDV294" s="268"/>
      <c r="HDW294" s="306"/>
      <c r="HDX294" s="485"/>
      <c r="HDY294" s="306"/>
      <c r="HDZ294" s="486"/>
      <c r="HEA294" s="487"/>
      <c r="HEB294" s="488"/>
      <c r="HEC294" s="489"/>
      <c r="HED294" s="488"/>
      <c r="HEE294" s="468"/>
      <c r="HEF294" s="469"/>
      <c r="HEG294" s="470"/>
      <c r="HEH294" s="470"/>
      <c r="HEI294" s="306"/>
      <c r="HEJ294" s="317"/>
      <c r="HEK294" s="471"/>
      <c r="HEL294" s="472"/>
      <c r="HEM294" s="471"/>
      <c r="HEN294" s="473"/>
      <c r="HEO294" s="474"/>
      <c r="HEP294" s="475"/>
      <c r="HEQ294" s="476"/>
      <c r="HER294" s="477"/>
      <c r="HES294" s="475"/>
      <c r="HET294" s="478"/>
      <c r="HEU294" s="479"/>
      <c r="HEV294" s="480"/>
      <c r="HEW294" s="481"/>
      <c r="HEX294" s="481"/>
      <c r="HEY294" s="482"/>
      <c r="HEZ294" s="189"/>
      <c r="HFA294" s="189"/>
      <c r="HFB294" s="483"/>
      <c r="HFC294" s="306"/>
      <c r="HFD294" s="484"/>
      <c r="HFE294" s="306"/>
      <c r="HFF294" s="267"/>
      <c r="HFG294" s="268"/>
      <c r="HFH294" s="306"/>
      <c r="HFI294" s="268"/>
      <c r="HFJ294" s="306"/>
      <c r="HFK294" s="485"/>
      <c r="HFL294" s="306"/>
      <c r="HFM294" s="486"/>
      <c r="HFN294" s="487"/>
      <c r="HFO294" s="488"/>
      <c r="HFP294" s="489"/>
      <c r="HFQ294" s="488"/>
      <c r="HFR294" s="468"/>
      <c r="HFS294" s="469"/>
      <c r="HFT294" s="470"/>
      <c r="HFU294" s="470"/>
      <c r="HFV294" s="306"/>
      <c r="HFW294" s="317"/>
      <c r="HFX294" s="471"/>
      <c r="HFY294" s="472"/>
      <c r="HFZ294" s="471"/>
      <c r="HGA294" s="473"/>
      <c r="HGB294" s="474"/>
      <c r="HGC294" s="475"/>
      <c r="HGD294" s="476"/>
      <c r="HGE294" s="477"/>
      <c r="HGF294" s="475"/>
      <c r="HGG294" s="478"/>
      <c r="HGH294" s="479"/>
      <c r="HGI294" s="480"/>
      <c r="HGJ294" s="481"/>
      <c r="HGK294" s="481"/>
      <c r="HGL294" s="482"/>
      <c r="HGM294" s="189"/>
      <c r="HGN294" s="189"/>
      <c r="HGO294" s="483"/>
      <c r="HGP294" s="306"/>
      <c r="HGQ294" s="484"/>
      <c r="HGR294" s="306"/>
      <c r="HGS294" s="267"/>
      <c r="HGT294" s="268"/>
      <c r="HGU294" s="306"/>
      <c r="HGV294" s="268"/>
      <c r="HGW294" s="306"/>
      <c r="HGX294" s="485"/>
      <c r="HGY294" s="306"/>
      <c r="HGZ294" s="486"/>
      <c r="HHA294" s="487"/>
      <c r="HHB294" s="488"/>
      <c r="HHC294" s="489"/>
      <c r="HHD294" s="488"/>
      <c r="HHE294" s="468"/>
      <c r="HHF294" s="469"/>
      <c r="HHG294" s="470"/>
      <c r="HHH294" s="470"/>
      <c r="HHI294" s="306"/>
      <c r="HHJ294" s="317"/>
      <c r="HHK294" s="471"/>
      <c r="HHL294" s="472"/>
      <c r="HHM294" s="471"/>
      <c r="HHN294" s="473"/>
      <c r="HHO294" s="474"/>
      <c r="HHP294" s="475"/>
      <c r="HHQ294" s="476"/>
      <c r="HHR294" s="477"/>
      <c r="HHS294" s="475"/>
      <c r="HHT294" s="478"/>
      <c r="HHU294" s="479"/>
      <c r="HHV294" s="480"/>
      <c r="HHW294" s="481"/>
      <c r="HHX294" s="481"/>
      <c r="HHY294" s="482"/>
      <c r="HHZ294" s="189"/>
      <c r="HIA294" s="189"/>
      <c r="HIB294" s="483"/>
      <c r="HIC294" s="306"/>
      <c r="HID294" s="484"/>
      <c r="HIE294" s="306"/>
      <c r="HIF294" s="267"/>
      <c r="HIG294" s="268"/>
      <c r="HIH294" s="306"/>
      <c r="HII294" s="268"/>
      <c r="HIJ294" s="306"/>
      <c r="HIK294" s="485"/>
      <c r="HIL294" s="306"/>
      <c r="HIM294" s="486"/>
      <c r="HIN294" s="487"/>
      <c r="HIO294" s="488"/>
      <c r="HIP294" s="489"/>
      <c r="HIQ294" s="488"/>
      <c r="HIR294" s="468"/>
      <c r="HIS294" s="469"/>
      <c r="HIT294" s="470"/>
      <c r="HIU294" s="470"/>
      <c r="HIV294" s="306"/>
      <c r="HIW294" s="317"/>
      <c r="HIX294" s="471"/>
      <c r="HIY294" s="472"/>
      <c r="HIZ294" s="471"/>
      <c r="HJA294" s="473"/>
      <c r="HJB294" s="474"/>
      <c r="HJC294" s="475"/>
      <c r="HJD294" s="476"/>
      <c r="HJE294" s="477"/>
      <c r="HJF294" s="475"/>
      <c r="HJG294" s="478"/>
      <c r="HJH294" s="479"/>
      <c r="HJI294" s="480"/>
      <c r="HJJ294" s="481"/>
      <c r="HJK294" s="481"/>
      <c r="HJL294" s="482"/>
      <c r="HJM294" s="189"/>
      <c r="HJN294" s="189"/>
      <c r="HJO294" s="483"/>
      <c r="HJP294" s="306"/>
      <c r="HJQ294" s="484"/>
      <c r="HJR294" s="306"/>
      <c r="HJS294" s="267"/>
      <c r="HJT294" s="268"/>
      <c r="HJU294" s="306"/>
      <c r="HJV294" s="268"/>
      <c r="HJW294" s="306"/>
      <c r="HJX294" s="485"/>
      <c r="HJY294" s="306"/>
      <c r="HJZ294" s="486"/>
      <c r="HKA294" s="487"/>
      <c r="HKB294" s="488"/>
      <c r="HKC294" s="489"/>
      <c r="HKD294" s="488"/>
      <c r="HKE294" s="468"/>
      <c r="HKF294" s="469"/>
      <c r="HKG294" s="470"/>
      <c r="HKH294" s="470"/>
      <c r="HKI294" s="306"/>
      <c r="HKJ294" s="317"/>
      <c r="HKK294" s="471"/>
      <c r="HKL294" s="472"/>
      <c r="HKM294" s="471"/>
      <c r="HKN294" s="473"/>
      <c r="HKO294" s="474"/>
      <c r="HKP294" s="475"/>
      <c r="HKQ294" s="476"/>
      <c r="HKR294" s="477"/>
      <c r="HKS294" s="475"/>
      <c r="HKT294" s="478"/>
      <c r="HKU294" s="479"/>
      <c r="HKV294" s="480"/>
      <c r="HKW294" s="481"/>
      <c r="HKX294" s="481"/>
      <c r="HKY294" s="482"/>
      <c r="HKZ294" s="189"/>
      <c r="HLA294" s="189"/>
      <c r="HLB294" s="483"/>
      <c r="HLC294" s="306"/>
      <c r="HLD294" s="484"/>
      <c r="HLE294" s="306"/>
      <c r="HLF294" s="267"/>
      <c r="HLG294" s="268"/>
      <c r="HLH294" s="306"/>
      <c r="HLI294" s="268"/>
      <c r="HLJ294" s="306"/>
      <c r="HLK294" s="485"/>
      <c r="HLL294" s="306"/>
      <c r="HLM294" s="486"/>
      <c r="HLN294" s="487"/>
      <c r="HLO294" s="488"/>
      <c r="HLP294" s="489"/>
      <c r="HLQ294" s="488"/>
      <c r="HLR294" s="468"/>
      <c r="HLS294" s="469"/>
      <c r="HLT294" s="470"/>
      <c r="HLU294" s="470"/>
      <c r="HLV294" s="306"/>
      <c r="HLW294" s="317"/>
      <c r="HLX294" s="471"/>
      <c r="HLY294" s="472"/>
      <c r="HLZ294" s="471"/>
      <c r="HMA294" s="473"/>
      <c r="HMB294" s="474"/>
      <c r="HMC294" s="475"/>
      <c r="HMD294" s="476"/>
      <c r="HME294" s="477"/>
      <c r="HMF294" s="475"/>
      <c r="HMG294" s="478"/>
      <c r="HMH294" s="479"/>
      <c r="HMI294" s="480"/>
      <c r="HMJ294" s="481"/>
      <c r="HMK294" s="481"/>
      <c r="HML294" s="482"/>
      <c r="HMM294" s="189"/>
      <c r="HMN294" s="189"/>
      <c r="HMO294" s="483"/>
      <c r="HMP294" s="306"/>
      <c r="HMQ294" s="484"/>
      <c r="HMR294" s="306"/>
      <c r="HMS294" s="267"/>
      <c r="HMT294" s="268"/>
      <c r="HMU294" s="306"/>
      <c r="HMV294" s="268"/>
      <c r="HMW294" s="306"/>
      <c r="HMX294" s="485"/>
      <c r="HMY294" s="306"/>
      <c r="HMZ294" s="486"/>
      <c r="HNA294" s="487"/>
      <c r="HNB294" s="488"/>
      <c r="HNC294" s="489"/>
      <c r="HND294" s="488"/>
      <c r="HNE294" s="468"/>
      <c r="HNF294" s="469"/>
      <c r="HNG294" s="470"/>
      <c r="HNH294" s="470"/>
      <c r="HNI294" s="306"/>
      <c r="HNJ294" s="317"/>
      <c r="HNK294" s="471"/>
      <c r="HNL294" s="472"/>
      <c r="HNM294" s="471"/>
      <c r="HNN294" s="473"/>
      <c r="HNO294" s="474"/>
      <c r="HNP294" s="475"/>
      <c r="HNQ294" s="476"/>
      <c r="HNR294" s="477"/>
      <c r="HNS294" s="475"/>
      <c r="HNT294" s="478"/>
      <c r="HNU294" s="479"/>
      <c r="HNV294" s="480"/>
      <c r="HNW294" s="481"/>
      <c r="HNX294" s="481"/>
      <c r="HNY294" s="482"/>
      <c r="HNZ294" s="189"/>
      <c r="HOA294" s="189"/>
      <c r="HOB294" s="483"/>
      <c r="HOC294" s="306"/>
      <c r="HOD294" s="484"/>
      <c r="HOE294" s="306"/>
      <c r="HOF294" s="267"/>
      <c r="HOG294" s="268"/>
      <c r="HOH294" s="306"/>
      <c r="HOI294" s="268"/>
      <c r="HOJ294" s="306"/>
      <c r="HOK294" s="485"/>
      <c r="HOL294" s="306"/>
      <c r="HOM294" s="486"/>
      <c r="HON294" s="487"/>
      <c r="HOO294" s="488"/>
      <c r="HOP294" s="489"/>
      <c r="HOQ294" s="488"/>
      <c r="HOR294" s="468"/>
      <c r="HOS294" s="469"/>
      <c r="HOT294" s="470"/>
      <c r="HOU294" s="470"/>
      <c r="HOV294" s="306"/>
      <c r="HOW294" s="317"/>
      <c r="HOX294" s="471"/>
      <c r="HOY294" s="472"/>
      <c r="HOZ294" s="471"/>
      <c r="HPA294" s="473"/>
      <c r="HPB294" s="474"/>
      <c r="HPC294" s="475"/>
      <c r="HPD294" s="476"/>
      <c r="HPE294" s="477"/>
      <c r="HPF294" s="475"/>
      <c r="HPG294" s="478"/>
      <c r="HPH294" s="479"/>
      <c r="HPI294" s="480"/>
      <c r="HPJ294" s="481"/>
      <c r="HPK294" s="481"/>
      <c r="HPL294" s="482"/>
      <c r="HPM294" s="189"/>
      <c r="HPN294" s="189"/>
      <c r="HPO294" s="483"/>
      <c r="HPP294" s="306"/>
      <c r="HPQ294" s="484"/>
      <c r="HPR294" s="306"/>
      <c r="HPS294" s="267"/>
      <c r="HPT294" s="268"/>
      <c r="HPU294" s="306"/>
      <c r="HPV294" s="268"/>
      <c r="HPW294" s="306"/>
      <c r="HPX294" s="485"/>
      <c r="HPY294" s="306"/>
      <c r="HPZ294" s="486"/>
      <c r="HQA294" s="487"/>
      <c r="HQB294" s="488"/>
      <c r="HQC294" s="489"/>
      <c r="HQD294" s="488"/>
      <c r="HQE294" s="468"/>
      <c r="HQF294" s="469"/>
      <c r="HQG294" s="470"/>
      <c r="HQH294" s="470"/>
      <c r="HQI294" s="306"/>
      <c r="HQJ294" s="317"/>
      <c r="HQK294" s="471"/>
      <c r="HQL294" s="472"/>
      <c r="HQM294" s="471"/>
      <c r="HQN294" s="473"/>
      <c r="HQO294" s="474"/>
      <c r="HQP294" s="475"/>
      <c r="HQQ294" s="476"/>
      <c r="HQR294" s="477"/>
      <c r="HQS294" s="475"/>
      <c r="HQT294" s="478"/>
      <c r="HQU294" s="479"/>
      <c r="HQV294" s="480"/>
      <c r="HQW294" s="481"/>
      <c r="HQX294" s="481"/>
      <c r="HQY294" s="482"/>
      <c r="HQZ294" s="189"/>
      <c r="HRA294" s="189"/>
      <c r="HRB294" s="483"/>
      <c r="HRC294" s="306"/>
      <c r="HRD294" s="484"/>
      <c r="HRE294" s="306"/>
      <c r="HRF294" s="267"/>
      <c r="HRG294" s="268"/>
      <c r="HRH294" s="306"/>
      <c r="HRI294" s="268"/>
      <c r="HRJ294" s="306"/>
      <c r="HRK294" s="485"/>
      <c r="HRL294" s="306"/>
      <c r="HRM294" s="486"/>
      <c r="HRN294" s="487"/>
      <c r="HRO294" s="488"/>
      <c r="HRP294" s="489"/>
      <c r="HRQ294" s="488"/>
      <c r="HRR294" s="468"/>
      <c r="HRS294" s="469"/>
      <c r="HRT294" s="470"/>
      <c r="HRU294" s="470"/>
      <c r="HRV294" s="306"/>
      <c r="HRW294" s="317"/>
      <c r="HRX294" s="471"/>
      <c r="HRY294" s="472"/>
      <c r="HRZ294" s="471"/>
      <c r="HSA294" s="473"/>
      <c r="HSB294" s="474"/>
      <c r="HSC294" s="475"/>
      <c r="HSD294" s="476"/>
      <c r="HSE294" s="477"/>
      <c r="HSF294" s="475"/>
      <c r="HSG294" s="478"/>
      <c r="HSH294" s="479"/>
      <c r="HSI294" s="480"/>
      <c r="HSJ294" s="481"/>
      <c r="HSK294" s="481"/>
      <c r="HSL294" s="482"/>
      <c r="HSM294" s="189"/>
      <c r="HSN294" s="189"/>
      <c r="HSO294" s="483"/>
      <c r="HSP294" s="306"/>
      <c r="HSQ294" s="484"/>
      <c r="HSR294" s="306"/>
      <c r="HSS294" s="267"/>
      <c r="HST294" s="268"/>
      <c r="HSU294" s="306"/>
      <c r="HSV294" s="268"/>
      <c r="HSW294" s="306"/>
      <c r="HSX294" s="485"/>
      <c r="HSY294" s="306"/>
      <c r="HSZ294" s="486"/>
      <c r="HTA294" s="487"/>
      <c r="HTB294" s="488"/>
      <c r="HTC294" s="489"/>
      <c r="HTD294" s="488"/>
      <c r="HTE294" s="468"/>
      <c r="HTF294" s="469"/>
      <c r="HTG294" s="470"/>
      <c r="HTH294" s="470"/>
      <c r="HTI294" s="306"/>
      <c r="HTJ294" s="317"/>
      <c r="HTK294" s="471"/>
      <c r="HTL294" s="472"/>
      <c r="HTM294" s="471"/>
      <c r="HTN294" s="473"/>
      <c r="HTO294" s="474"/>
      <c r="HTP294" s="475"/>
      <c r="HTQ294" s="476"/>
      <c r="HTR294" s="477"/>
      <c r="HTS294" s="475"/>
      <c r="HTT294" s="478"/>
      <c r="HTU294" s="479"/>
      <c r="HTV294" s="480"/>
      <c r="HTW294" s="481"/>
      <c r="HTX294" s="481"/>
      <c r="HTY294" s="482"/>
      <c r="HTZ294" s="189"/>
      <c r="HUA294" s="189"/>
      <c r="HUB294" s="483"/>
      <c r="HUC294" s="306"/>
      <c r="HUD294" s="484"/>
      <c r="HUE294" s="306"/>
      <c r="HUF294" s="267"/>
      <c r="HUG294" s="268"/>
      <c r="HUH294" s="306"/>
      <c r="HUI294" s="268"/>
      <c r="HUJ294" s="306"/>
      <c r="HUK294" s="485"/>
      <c r="HUL294" s="306"/>
      <c r="HUM294" s="486"/>
      <c r="HUN294" s="487"/>
      <c r="HUO294" s="488"/>
      <c r="HUP294" s="489"/>
      <c r="HUQ294" s="488"/>
      <c r="HUR294" s="468"/>
      <c r="HUS294" s="469"/>
      <c r="HUT294" s="470"/>
      <c r="HUU294" s="470"/>
      <c r="HUV294" s="306"/>
      <c r="HUW294" s="317"/>
      <c r="HUX294" s="471"/>
      <c r="HUY294" s="472"/>
      <c r="HUZ294" s="471"/>
      <c r="HVA294" s="473"/>
      <c r="HVB294" s="474"/>
      <c r="HVC294" s="475"/>
      <c r="HVD294" s="476"/>
      <c r="HVE294" s="477"/>
      <c r="HVF294" s="475"/>
      <c r="HVG294" s="478"/>
      <c r="HVH294" s="479"/>
      <c r="HVI294" s="480"/>
      <c r="HVJ294" s="481"/>
      <c r="HVK294" s="481"/>
      <c r="HVL294" s="482"/>
      <c r="HVM294" s="189"/>
      <c r="HVN294" s="189"/>
      <c r="HVO294" s="483"/>
      <c r="HVP294" s="306"/>
      <c r="HVQ294" s="484"/>
      <c r="HVR294" s="306"/>
      <c r="HVS294" s="267"/>
      <c r="HVT294" s="268"/>
      <c r="HVU294" s="306"/>
      <c r="HVV294" s="268"/>
      <c r="HVW294" s="306"/>
      <c r="HVX294" s="485"/>
      <c r="HVY294" s="306"/>
      <c r="HVZ294" s="486"/>
      <c r="HWA294" s="487"/>
      <c r="HWB294" s="488"/>
      <c r="HWC294" s="489"/>
      <c r="HWD294" s="488"/>
      <c r="HWE294" s="468"/>
      <c r="HWF294" s="469"/>
      <c r="HWG294" s="470"/>
      <c r="HWH294" s="470"/>
      <c r="HWI294" s="306"/>
      <c r="HWJ294" s="317"/>
      <c r="HWK294" s="471"/>
      <c r="HWL294" s="472"/>
      <c r="HWM294" s="471"/>
      <c r="HWN294" s="473"/>
      <c r="HWO294" s="474"/>
      <c r="HWP294" s="475"/>
      <c r="HWQ294" s="476"/>
      <c r="HWR294" s="477"/>
      <c r="HWS294" s="475"/>
      <c r="HWT294" s="478"/>
      <c r="HWU294" s="479"/>
      <c r="HWV294" s="480"/>
      <c r="HWW294" s="481"/>
      <c r="HWX294" s="481"/>
      <c r="HWY294" s="482"/>
      <c r="HWZ294" s="189"/>
      <c r="HXA294" s="189"/>
      <c r="HXB294" s="483"/>
      <c r="HXC294" s="306"/>
      <c r="HXD294" s="484"/>
      <c r="HXE294" s="306"/>
      <c r="HXF294" s="267"/>
      <c r="HXG294" s="268"/>
      <c r="HXH294" s="306"/>
      <c r="HXI294" s="268"/>
      <c r="HXJ294" s="306"/>
      <c r="HXK294" s="485"/>
      <c r="HXL294" s="306"/>
      <c r="HXM294" s="486"/>
      <c r="HXN294" s="487"/>
      <c r="HXO294" s="488"/>
      <c r="HXP294" s="489"/>
      <c r="HXQ294" s="488"/>
      <c r="HXR294" s="468"/>
      <c r="HXS294" s="469"/>
      <c r="HXT294" s="470"/>
      <c r="HXU294" s="470"/>
      <c r="HXV294" s="306"/>
      <c r="HXW294" s="317"/>
      <c r="HXX294" s="471"/>
      <c r="HXY294" s="472"/>
      <c r="HXZ294" s="471"/>
      <c r="HYA294" s="473"/>
      <c r="HYB294" s="474"/>
      <c r="HYC294" s="475"/>
      <c r="HYD294" s="476"/>
      <c r="HYE294" s="477"/>
      <c r="HYF294" s="475"/>
      <c r="HYG294" s="478"/>
      <c r="HYH294" s="479"/>
      <c r="HYI294" s="480"/>
      <c r="HYJ294" s="481"/>
      <c r="HYK294" s="481"/>
      <c r="HYL294" s="482"/>
      <c r="HYM294" s="189"/>
      <c r="HYN294" s="189"/>
      <c r="HYO294" s="483"/>
      <c r="HYP294" s="306"/>
      <c r="HYQ294" s="484"/>
      <c r="HYR294" s="306"/>
      <c r="HYS294" s="267"/>
      <c r="HYT294" s="268"/>
      <c r="HYU294" s="306"/>
      <c r="HYV294" s="268"/>
      <c r="HYW294" s="306"/>
      <c r="HYX294" s="485"/>
      <c r="HYY294" s="306"/>
      <c r="HYZ294" s="486"/>
      <c r="HZA294" s="487"/>
      <c r="HZB294" s="488"/>
      <c r="HZC294" s="489"/>
      <c r="HZD294" s="488"/>
      <c r="HZE294" s="468"/>
      <c r="HZF294" s="469"/>
      <c r="HZG294" s="470"/>
      <c r="HZH294" s="470"/>
      <c r="HZI294" s="306"/>
      <c r="HZJ294" s="317"/>
      <c r="HZK294" s="471"/>
      <c r="HZL294" s="472"/>
      <c r="HZM294" s="471"/>
      <c r="HZN294" s="473"/>
      <c r="HZO294" s="474"/>
      <c r="HZP294" s="475"/>
      <c r="HZQ294" s="476"/>
      <c r="HZR294" s="477"/>
      <c r="HZS294" s="475"/>
      <c r="HZT294" s="478"/>
      <c r="HZU294" s="479"/>
      <c r="HZV294" s="480"/>
      <c r="HZW294" s="481"/>
      <c r="HZX294" s="481"/>
      <c r="HZY294" s="482"/>
      <c r="HZZ294" s="189"/>
      <c r="IAA294" s="189"/>
      <c r="IAB294" s="483"/>
      <c r="IAC294" s="306"/>
      <c r="IAD294" s="484"/>
      <c r="IAE294" s="306"/>
      <c r="IAF294" s="267"/>
      <c r="IAG294" s="268"/>
      <c r="IAH294" s="306"/>
      <c r="IAI294" s="268"/>
      <c r="IAJ294" s="306"/>
      <c r="IAK294" s="485"/>
      <c r="IAL294" s="306"/>
      <c r="IAM294" s="486"/>
      <c r="IAN294" s="487"/>
      <c r="IAO294" s="488"/>
      <c r="IAP294" s="489"/>
      <c r="IAQ294" s="488"/>
      <c r="IAR294" s="468"/>
      <c r="IAS294" s="469"/>
      <c r="IAT294" s="470"/>
      <c r="IAU294" s="470"/>
      <c r="IAV294" s="306"/>
      <c r="IAW294" s="317"/>
      <c r="IAX294" s="471"/>
      <c r="IAY294" s="472"/>
      <c r="IAZ294" s="471"/>
      <c r="IBA294" s="473"/>
      <c r="IBB294" s="474"/>
      <c r="IBC294" s="475"/>
      <c r="IBD294" s="476"/>
      <c r="IBE294" s="477"/>
      <c r="IBF294" s="475"/>
      <c r="IBG294" s="478"/>
      <c r="IBH294" s="479"/>
      <c r="IBI294" s="480"/>
      <c r="IBJ294" s="481"/>
      <c r="IBK294" s="481"/>
      <c r="IBL294" s="482"/>
      <c r="IBM294" s="189"/>
      <c r="IBN294" s="189"/>
      <c r="IBO294" s="483"/>
      <c r="IBP294" s="306"/>
      <c r="IBQ294" s="484"/>
      <c r="IBR294" s="306"/>
      <c r="IBS294" s="267"/>
      <c r="IBT294" s="268"/>
      <c r="IBU294" s="306"/>
      <c r="IBV294" s="268"/>
      <c r="IBW294" s="306"/>
      <c r="IBX294" s="485"/>
      <c r="IBY294" s="306"/>
      <c r="IBZ294" s="486"/>
      <c r="ICA294" s="487"/>
      <c r="ICB294" s="488"/>
      <c r="ICC294" s="489"/>
      <c r="ICD294" s="488"/>
      <c r="ICE294" s="468"/>
      <c r="ICF294" s="469"/>
      <c r="ICG294" s="470"/>
      <c r="ICH294" s="470"/>
      <c r="ICI294" s="306"/>
      <c r="ICJ294" s="317"/>
      <c r="ICK294" s="471"/>
      <c r="ICL294" s="472"/>
      <c r="ICM294" s="471"/>
      <c r="ICN294" s="473"/>
      <c r="ICO294" s="474"/>
      <c r="ICP294" s="475"/>
      <c r="ICQ294" s="476"/>
      <c r="ICR294" s="477"/>
      <c r="ICS294" s="475"/>
      <c r="ICT294" s="478"/>
      <c r="ICU294" s="479"/>
      <c r="ICV294" s="480"/>
      <c r="ICW294" s="481"/>
      <c r="ICX294" s="481"/>
      <c r="ICY294" s="482"/>
      <c r="ICZ294" s="189"/>
      <c r="IDA294" s="189"/>
      <c r="IDB294" s="483"/>
      <c r="IDC294" s="306"/>
      <c r="IDD294" s="484"/>
      <c r="IDE294" s="306"/>
      <c r="IDF294" s="267"/>
      <c r="IDG294" s="268"/>
      <c r="IDH294" s="306"/>
      <c r="IDI294" s="268"/>
      <c r="IDJ294" s="306"/>
      <c r="IDK294" s="485"/>
      <c r="IDL294" s="306"/>
      <c r="IDM294" s="486"/>
      <c r="IDN294" s="487"/>
      <c r="IDO294" s="488"/>
      <c r="IDP294" s="489"/>
      <c r="IDQ294" s="488"/>
      <c r="IDR294" s="468"/>
      <c r="IDS294" s="469"/>
      <c r="IDT294" s="470"/>
      <c r="IDU294" s="470"/>
      <c r="IDV294" s="306"/>
      <c r="IDW294" s="317"/>
      <c r="IDX294" s="471"/>
      <c r="IDY294" s="472"/>
      <c r="IDZ294" s="471"/>
      <c r="IEA294" s="473"/>
      <c r="IEB294" s="474"/>
      <c r="IEC294" s="475"/>
      <c r="IED294" s="476"/>
      <c r="IEE294" s="477"/>
      <c r="IEF294" s="475"/>
      <c r="IEG294" s="478"/>
      <c r="IEH294" s="479"/>
      <c r="IEI294" s="480"/>
      <c r="IEJ294" s="481"/>
      <c r="IEK294" s="481"/>
      <c r="IEL294" s="482"/>
      <c r="IEM294" s="189"/>
      <c r="IEN294" s="189"/>
      <c r="IEO294" s="483"/>
      <c r="IEP294" s="306"/>
      <c r="IEQ294" s="484"/>
      <c r="IER294" s="306"/>
      <c r="IES294" s="267"/>
      <c r="IET294" s="268"/>
      <c r="IEU294" s="306"/>
      <c r="IEV294" s="268"/>
      <c r="IEW294" s="306"/>
      <c r="IEX294" s="485"/>
      <c r="IEY294" s="306"/>
      <c r="IEZ294" s="486"/>
      <c r="IFA294" s="487"/>
      <c r="IFB294" s="488"/>
      <c r="IFC294" s="489"/>
      <c r="IFD294" s="488"/>
      <c r="IFE294" s="468"/>
      <c r="IFF294" s="469"/>
      <c r="IFG294" s="470"/>
      <c r="IFH294" s="470"/>
      <c r="IFI294" s="306"/>
      <c r="IFJ294" s="317"/>
      <c r="IFK294" s="471"/>
      <c r="IFL294" s="472"/>
      <c r="IFM294" s="471"/>
      <c r="IFN294" s="473"/>
      <c r="IFO294" s="474"/>
      <c r="IFP294" s="475"/>
      <c r="IFQ294" s="476"/>
      <c r="IFR294" s="477"/>
      <c r="IFS294" s="475"/>
      <c r="IFT294" s="478"/>
      <c r="IFU294" s="479"/>
      <c r="IFV294" s="480"/>
      <c r="IFW294" s="481"/>
      <c r="IFX294" s="481"/>
      <c r="IFY294" s="482"/>
      <c r="IFZ294" s="189"/>
      <c r="IGA294" s="189"/>
      <c r="IGB294" s="483"/>
      <c r="IGC294" s="306"/>
      <c r="IGD294" s="484"/>
      <c r="IGE294" s="306"/>
      <c r="IGF294" s="267"/>
      <c r="IGG294" s="268"/>
      <c r="IGH294" s="306"/>
      <c r="IGI294" s="268"/>
      <c r="IGJ294" s="306"/>
      <c r="IGK294" s="485"/>
      <c r="IGL294" s="306"/>
      <c r="IGM294" s="486"/>
      <c r="IGN294" s="487"/>
      <c r="IGO294" s="488"/>
      <c r="IGP294" s="489"/>
      <c r="IGQ294" s="488"/>
      <c r="IGR294" s="468"/>
      <c r="IGS294" s="469"/>
      <c r="IGT294" s="470"/>
      <c r="IGU294" s="470"/>
      <c r="IGV294" s="306"/>
      <c r="IGW294" s="317"/>
      <c r="IGX294" s="471"/>
      <c r="IGY294" s="472"/>
      <c r="IGZ294" s="471"/>
      <c r="IHA294" s="473"/>
      <c r="IHB294" s="474"/>
      <c r="IHC294" s="475"/>
      <c r="IHD294" s="476"/>
      <c r="IHE294" s="477"/>
      <c r="IHF294" s="475"/>
      <c r="IHG294" s="478"/>
      <c r="IHH294" s="479"/>
      <c r="IHI294" s="480"/>
      <c r="IHJ294" s="481"/>
      <c r="IHK294" s="481"/>
      <c r="IHL294" s="482"/>
      <c r="IHM294" s="189"/>
      <c r="IHN294" s="189"/>
      <c r="IHO294" s="483"/>
      <c r="IHP294" s="306"/>
      <c r="IHQ294" s="484"/>
      <c r="IHR294" s="306"/>
      <c r="IHS294" s="267"/>
      <c r="IHT294" s="268"/>
      <c r="IHU294" s="306"/>
      <c r="IHV294" s="268"/>
      <c r="IHW294" s="306"/>
      <c r="IHX294" s="485"/>
      <c r="IHY294" s="306"/>
      <c r="IHZ294" s="486"/>
      <c r="IIA294" s="487"/>
      <c r="IIB294" s="488"/>
      <c r="IIC294" s="489"/>
      <c r="IID294" s="488"/>
      <c r="IIE294" s="468"/>
      <c r="IIF294" s="469"/>
      <c r="IIG294" s="470"/>
      <c r="IIH294" s="470"/>
      <c r="III294" s="306"/>
      <c r="IIJ294" s="317"/>
      <c r="IIK294" s="471"/>
      <c r="IIL294" s="472"/>
      <c r="IIM294" s="471"/>
      <c r="IIN294" s="473"/>
      <c r="IIO294" s="474"/>
      <c r="IIP294" s="475"/>
      <c r="IIQ294" s="476"/>
      <c r="IIR294" s="477"/>
      <c r="IIS294" s="475"/>
      <c r="IIT294" s="478"/>
      <c r="IIU294" s="479"/>
      <c r="IIV294" s="480"/>
      <c r="IIW294" s="481"/>
      <c r="IIX294" s="481"/>
      <c r="IIY294" s="482"/>
      <c r="IIZ294" s="189"/>
      <c r="IJA294" s="189"/>
      <c r="IJB294" s="483"/>
      <c r="IJC294" s="306"/>
      <c r="IJD294" s="484"/>
      <c r="IJE294" s="306"/>
      <c r="IJF294" s="267"/>
      <c r="IJG294" s="268"/>
      <c r="IJH294" s="306"/>
      <c r="IJI294" s="268"/>
      <c r="IJJ294" s="306"/>
      <c r="IJK294" s="485"/>
      <c r="IJL294" s="306"/>
      <c r="IJM294" s="486"/>
      <c r="IJN294" s="487"/>
      <c r="IJO294" s="488"/>
      <c r="IJP294" s="489"/>
      <c r="IJQ294" s="488"/>
      <c r="IJR294" s="468"/>
      <c r="IJS294" s="469"/>
      <c r="IJT294" s="470"/>
      <c r="IJU294" s="470"/>
      <c r="IJV294" s="306"/>
      <c r="IJW294" s="317"/>
      <c r="IJX294" s="471"/>
      <c r="IJY294" s="472"/>
      <c r="IJZ294" s="471"/>
      <c r="IKA294" s="473"/>
      <c r="IKB294" s="474"/>
      <c r="IKC294" s="475"/>
      <c r="IKD294" s="476"/>
      <c r="IKE294" s="477"/>
      <c r="IKF294" s="475"/>
      <c r="IKG294" s="478"/>
      <c r="IKH294" s="479"/>
      <c r="IKI294" s="480"/>
      <c r="IKJ294" s="481"/>
      <c r="IKK294" s="481"/>
      <c r="IKL294" s="482"/>
      <c r="IKM294" s="189"/>
      <c r="IKN294" s="189"/>
      <c r="IKO294" s="483"/>
      <c r="IKP294" s="306"/>
      <c r="IKQ294" s="484"/>
      <c r="IKR294" s="306"/>
      <c r="IKS294" s="267"/>
      <c r="IKT294" s="268"/>
      <c r="IKU294" s="306"/>
      <c r="IKV294" s="268"/>
      <c r="IKW294" s="306"/>
      <c r="IKX294" s="485"/>
      <c r="IKY294" s="306"/>
      <c r="IKZ294" s="486"/>
      <c r="ILA294" s="487"/>
      <c r="ILB294" s="488"/>
      <c r="ILC294" s="489"/>
      <c r="ILD294" s="488"/>
      <c r="ILE294" s="468"/>
      <c r="ILF294" s="469"/>
      <c r="ILG294" s="470"/>
      <c r="ILH294" s="470"/>
      <c r="ILI294" s="306"/>
      <c r="ILJ294" s="317"/>
      <c r="ILK294" s="471"/>
      <c r="ILL294" s="472"/>
      <c r="ILM294" s="471"/>
      <c r="ILN294" s="473"/>
      <c r="ILO294" s="474"/>
      <c r="ILP294" s="475"/>
      <c r="ILQ294" s="476"/>
      <c r="ILR294" s="477"/>
      <c r="ILS294" s="475"/>
      <c r="ILT294" s="478"/>
      <c r="ILU294" s="479"/>
      <c r="ILV294" s="480"/>
      <c r="ILW294" s="481"/>
      <c r="ILX294" s="481"/>
      <c r="ILY294" s="482"/>
      <c r="ILZ294" s="189"/>
      <c r="IMA294" s="189"/>
      <c r="IMB294" s="483"/>
      <c r="IMC294" s="306"/>
      <c r="IMD294" s="484"/>
      <c r="IME294" s="306"/>
      <c r="IMF294" s="267"/>
      <c r="IMG294" s="268"/>
      <c r="IMH294" s="306"/>
      <c r="IMI294" s="268"/>
      <c r="IMJ294" s="306"/>
      <c r="IMK294" s="485"/>
      <c r="IML294" s="306"/>
      <c r="IMM294" s="486"/>
      <c r="IMN294" s="487"/>
      <c r="IMO294" s="488"/>
      <c r="IMP294" s="489"/>
      <c r="IMQ294" s="488"/>
      <c r="IMR294" s="468"/>
      <c r="IMS294" s="469"/>
      <c r="IMT294" s="470"/>
      <c r="IMU294" s="470"/>
      <c r="IMV294" s="306"/>
      <c r="IMW294" s="317"/>
      <c r="IMX294" s="471"/>
      <c r="IMY294" s="472"/>
      <c r="IMZ294" s="471"/>
      <c r="INA294" s="473"/>
      <c r="INB294" s="474"/>
      <c r="INC294" s="475"/>
      <c r="IND294" s="476"/>
      <c r="INE294" s="477"/>
      <c r="INF294" s="475"/>
      <c r="ING294" s="478"/>
      <c r="INH294" s="479"/>
      <c r="INI294" s="480"/>
      <c r="INJ294" s="481"/>
      <c r="INK294" s="481"/>
      <c r="INL294" s="482"/>
      <c r="INM294" s="189"/>
      <c r="INN294" s="189"/>
      <c r="INO294" s="483"/>
      <c r="INP294" s="306"/>
      <c r="INQ294" s="484"/>
      <c r="INR294" s="306"/>
      <c r="INS294" s="267"/>
      <c r="INT294" s="268"/>
      <c r="INU294" s="306"/>
      <c r="INV294" s="268"/>
      <c r="INW294" s="306"/>
      <c r="INX294" s="485"/>
      <c r="INY294" s="306"/>
      <c r="INZ294" s="486"/>
      <c r="IOA294" s="487"/>
      <c r="IOB294" s="488"/>
      <c r="IOC294" s="489"/>
      <c r="IOD294" s="488"/>
      <c r="IOE294" s="468"/>
      <c r="IOF294" s="469"/>
      <c r="IOG294" s="470"/>
      <c r="IOH294" s="470"/>
      <c r="IOI294" s="306"/>
      <c r="IOJ294" s="317"/>
      <c r="IOK294" s="471"/>
      <c r="IOL294" s="472"/>
      <c r="IOM294" s="471"/>
      <c r="ION294" s="473"/>
      <c r="IOO294" s="474"/>
      <c r="IOP294" s="475"/>
      <c r="IOQ294" s="476"/>
      <c r="IOR294" s="477"/>
      <c r="IOS294" s="475"/>
      <c r="IOT294" s="478"/>
      <c r="IOU294" s="479"/>
      <c r="IOV294" s="480"/>
      <c r="IOW294" s="481"/>
      <c r="IOX294" s="481"/>
      <c r="IOY294" s="482"/>
      <c r="IOZ294" s="189"/>
      <c r="IPA294" s="189"/>
      <c r="IPB294" s="483"/>
      <c r="IPC294" s="306"/>
      <c r="IPD294" s="484"/>
      <c r="IPE294" s="306"/>
      <c r="IPF294" s="267"/>
      <c r="IPG294" s="268"/>
      <c r="IPH294" s="306"/>
      <c r="IPI294" s="268"/>
      <c r="IPJ294" s="306"/>
      <c r="IPK294" s="485"/>
      <c r="IPL294" s="306"/>
      <c r="IPM294" s="486"/>
      <c r="IPN294" s="487"/>
      <c r="IPO294" s="488"/>
      <c r="IPP294" s="489"/>
      <c r="IPQ294" s="488"/>
      <c r="IPR294" s="468"/>
      <c r="IPS294" s="469"/>
      <c r="IPT294" s="470"/>
      <c r="IPU294" s="470"/>
      <c r="IPV294" s="306"/>
      <c r="IPW294" s="317"/>
      <c r="IPX294" s="471"/>
      <c r="IPY294" s="472"/>
      <c r="IPZ294" s="471"/>
      <c r="IQA294" s="473"/>
      <c r="IQB294" s="474"/>
      <c r="IQC294" s="475"/>
      <c r="IQD294" s="476"/>
      <c r="IQE294" s="477"/>
      <c r="IQF294" s="475"/>
      <c r="IQG294" s="478"/>
      <c r="IQH294" s="479"/>
      <c r="IQI294" s="480"/>
      <c r="IQJ294" s="481"/>
      <c r="IQK294" s="481"/>
      <c r="IQL294" s="482"/>
      <c r="IQM294" s="189"/>
      <c r="IQN294" s="189"/>
      <c r="IQO294" s="483"/>
      <c r="IQP294" s="306"/>
      <c r="IQQ294" s="484"/>
      <c r="IQR294" s="306"/>
      <c r="IQS294" s="267"/>
      <c r="IQT294" s="268"/>
      <c r="IQU294" s="306"/>
      <c r="IQV294" s="268"/>
      <c r="IQW294" s="306"/>
      <c r="IQX294" s="485"/>
      <c r="IQY294" s="306"/>
      <c r="IQZ294" s="486"/>
      <c r="IRA294" s="487"/>
      <c r="IRB294" s="488"/>
      <c r="IRC294" s="489"/>
      <c r="IRD294" s="488"/>
      <c r="IRE294" s="468"/>
      <c r="IRF294" s="469"/>
      <c r="IRG294" s="470"/>
      <c r="IRH294" s="470"/>
      <c r="IRI294" s="306"/>
      <c r="IRJ294" s="317"/>
      <c r="IRK294" s="471"/>
      <c r="IRL294" s="472"/>
      <c r="IRM294" s="471"/>
      <c r="IRN294" s="473"/>
      <c r="IRO294" s="474"/>
      <c r="IRP294" s="475"/>
      <c r="IRQ294" s="476"/>
      <c r="IRR294" s="477"/>
      <c r="IRS294" s="475"/>
      <c r="IRT294" s="478"/>
      <c r="IRU294" s="479"/>
      <c r="IRV294" s="480"/>
      <c r="IRW294" s="481"/>
      <c r="IRX294" s="481"/>
      <c r="IRY294" s="482"/>
      <c r="IRZ294" s="189"/>
      <c r="ISA294" s="189"/>
      <c r="ISB294" s="483"/>
      <c r="ISC294" s="306"/>
      <c r="ISD294" s="484"/>
      <c r="ISE294" s="306"/>
      <c r="ISF294" s="267"/>
      <c r="ISG294" s="268"/>
      <c r="ISH294" s="306"/>
      <c r="ISI294" s="268"/>
      <c r="ISJ294" s="306"/>
      <c r="ISK294" s="485"/>
      <c r="ISL294" s="306"/>
      <c r="ISM294" s="486"/>
      <c r="ISN294" s="487"/>
      <c r="ISO294" s="488"/>
      <c r="ISP294" s="489"/>
      <c r="ISQ294" s="488"/>
      <c r="ISR294" s="468"/>
      <c r="ISS294" s="469"/>
      <c r="IST294" s="470"/>
      <c r="ISU294" s="470"/>
      <c r="ISV294" s="306"/>
      <c r="ISW294" s="317"/>
      <c r="ISX294" s="471"/>
      <c r="ISY294" s="472"/>
      <c r="ISZ294" s="471"/>
      <c r="ITA294" s="473"/>
      <c r="ITB294" s="474"/>
      <c r="ITC294" s="475"/>
      <c r="ITD294" s="476"/>
      <c r="ITE294" s="477"/>
      <c r="ITF294" s="475"/>
      <c r="ITG294" s="478"/>
      <c r="ITH294" s="479"/>
      <c r="ITI294" s="480"/>
      <c r="ITJ294" s="481"/>
      <c r="ITK294" s="481"/>
      <c r="ITL294" s="482"/>
      <c r="ITM294" s="189"/>
      <c r="ITN294" s="189"/>
      <c r="ITO294" s="483"/>
      <c r="ITP294" s="306"/>
      <c r="ITQ294" s="484"/>
      <c r="ITR294" s="306"/>
      <c r="ITS294" s="267"/>
      <c r="ITT294" s="268"/>
      <c r="ITU294" s="306"/>
      <c r="ITV294" s="268"/>
      <c r="ITW294" s="306"/>
      <c r="ITX294" s="485"/>
      <c r="ITY294" s="306"/>
      <c r="ITZ294" s="486"/>
      <c r="IUA294" s="487"/>
      <c r="IUB294" s="488"/>
      <c r="IUC294" s="489"/>
      <c r="IUD294" s="488"/>
      <c r="IUE294" s="468"/>
      <c r="IUF294" s="469"/>
      <c r="IUG294" s="470"/>
      <c r="IUH294" s="470"/>
      <c r="IUI294" s="306"/>
      <c r="IUJ294" s="317"/>
      <c r="IUK294" s="471"/>
      <c r="IUL294" s="472"/>
      <c r="IUM294" s="471"/>
      <c r="IUN294" s="473"/>
      <c r="IUO294" s="474"/>
      <c r="IUP294" s="475"/>
      <c r="IUQ294" s="476"/>
      <c r="IUR294" s="477"/>
      <c r="IUS294" s="475"/>
      <c r="IUT294" s="478"/>
      <c r="IUU294" s="479"/>
      <c r="IUV294" s="480"/>
      <c r="IUW294" s="481"/>
      <c r="IUX294" s="481"/>
      <c r="IUY294" s="482"/>
      <c r="IUZ294" s="189"/>
      <c r="IVA294" s="189"/>
      <c r="IVB294" s="483"/>
      <c r="IVC294" s="306"/>
      <c r="IVD294" s="484"/>
      <c r="IVE294" s="306"/>
      <c r="IVF294" s="267"/>
      <c r="IVG294" s="268"/>
      <c r="IVH294" s="306"/>
      <c r="IVI294" s="268"/>
      <c r="IVJ294" s="306"/>
      <c r="IVK294" s="485"/>
      <c r="IVL294" s="306"/>
      <c r="IVM294" s="486"/>
      <c r="IVN294" s="487"/>
      <c r="IVO294" s="488"/>
      <c r="IVP294" s="489"/>
      <c r="IVQ294" s="488"/>
      <c r="IVR294" s="468"/>
      <c r="IVS294" s="469"/>
      <c r="IVT294" s="470"/>
      <c r="IVU294" s="470"/>
      <c r="IVV294" s="306"/>
      <c r="IVW294" s="317"/>
      <c r="IVX294" s="471"/>
      <c r="IVY294" s="472"/>
      <c r="IVZ294" s="471"/>
      <c r="IWA294" s="473"/>
      <c r="IWB294" s="474"/>
      <c r="IWC294" s="475"/>
      <c r="IWD294" s="476"/>
      <c r="IWE294" s="477"/>
      <c r="IWF294" s="475"/>
      <c r="IWG294" s="478"/>
      <c r="IWH294" s="479"/>
      <c r="IWI294" s="480"/>
      <c r="IWJ294" s="481"/>
      <c r="IWK294" s="481"/>
      <c r="IWL294" s="482"/>
      <c r="IWM294" s="189"/>
      <c r="IWN294" s="189"/>
      <c r="IWO294" s="483"/>
      <c r="IWP294" s="306"/>
      <c r="IWQ294" s="484"/>
      <c r="IWR294" s="306"/>
      <c r="IWS294" s="267"/>
      <c r="IWT294" s="268"/>
      <c r="IWU294" s="306"/>
      <c r="IWV294" s="268"/>
      <c r="IWW294" s="306"/>
      <c r="IWX294" s="485"/>
      <c r="IWY294" s="306"/>
      <c r="IWZ294" s="486"/>
      <c r="IXA294" s="487"/>
      <c r="IXB294" s="488"/>
      <c r="IXC294" s="489"/>
      <c r="IXD294" s="488"/>
      <c r="IXE294" s="468"/>
      <c r="IXF294" s="469"/>
      <c r="IXG294" s="470"/>
      <c r="IXH294" s="470"/>
      <c r="IXI294" s="306"/>
      <c r="IXJ294" s="317"/>
      <c r="IXK294" s="471"/>
      <c r="IXL294" s="472"/>
      <c r="IXM294" s="471"/>
      <c r="IXN294" s="473"/>
      <c r="IXO294" s="474"/>
      <c r="IXP294" s="475"/>
      <c r="IXQ294" s="476"/>
      <c r="IXR294" s="477"/>
      <c r="IXS294" s="475"/>
      <c r="IXT294" s="478"/>
      <c r="IXU294" s="479"/>
      <c r="IXV294" s="480"/>
      <c r="IXW294" s="481"/>
      <c r="IXX294" s="481"/>
      <c r="IXY294" s="482"/>
      <c r="IXZ294" s="189"/>
      <c r="IYA294" s="189"/>
      <c r="IYB294" s="483"/>
      <c r="IYC294" s="306"/>
      <c r="IYD294" s="484"/>
      <c r="IYE294" s="306"/>
      <c r="IYF294" s="267"/>
      <c r="IYG294" s="268"/>
      <c r="IYH294" s="306"/>
      <c r="IYI294" s="268"/>
      <c r="IYJ294" s="306"/>
      <c r="IYK294" s="485"/>
      <c r="IYL294" s="306"/>
      <c r="IYM294" s="486"/>
      <c r="IYN294" s="487"/>
      <c r="IYO294" s="488"/>
      <c r="IYP294" s="489"/>
      <c r="IYQ294" s="488"/>
      <c r="IYR294" s="468"/>
      <c r="IYS294" s="469"/>
      <c r="IYT294" s="470"/>
      <c r="IYU294" s="470"/>
      <c r="IYV294" s="306"/>
      <c r="IYW294" s="317"/>
      <c r="IYX294" s="471"/>
      <c r="IYY294" s="472"/>
      <c r="IYZ294" s="471"/>
      <c r="IZA294" s="473"/>
      <c r="IZB294" s="474"/>
      <c r="IZC294" s="475"/>
      <c r="IZD294" s="476"/>
      <c r="IZE294" s="477"/>
      <c r="IZF294" s="475"/>
      <c r="IZG294" s="478"/>
      <c r="IZH294" s="479"/>
      <c r="IZI294" s="480"/>
      <c r="IZJ294" s="481"/>
      <c r="IZK294" s="481"/>
      <c r="IZL294" s="482"/>
      <c r="IZM294" s="189"/>
      <c r="IZN294" s="189"/>
      <c r="IZO294" s="483"/>
      <c r="IZP294" s="306"/>
      <c r="IZQ294" s="484"/>
      <c r="IZR294" s="306"/>
      <c r="IZS294" s="267"/>
      <c r="IZT294" s="268"/>
      <c r="IZU294" s="306"/>
      <c r="IZV294" s="268"/>
      <c r="IZW294" s="306"/>
      <c r="IZX294" s="485"/>
      <c r="IZY294" s="306"/>
      <c r="IZZ294" s="486"/>
      <c r="JAA294" s="487"/>
      <c r="JAB294" s="488"/>
      <c r="JAC294" s="489"/>
      <c r="JAD294" s="488"/>
      <c r="JAE294" s="468"/>
      <c r="JAF294" s="469"/>
      <c r="JAG294" s="470"/>
      <c r="JAH294" s="470"/>
      <c r="JAI294" s="306"/>
      <c r="JAJ294" s="317"/>
      <c r="JAK294" s="471"/>
      <c r="JAL294" s="472"/>
      <c r="JAM294" s="471"/>
      <c r="JAN294" s="473"/>
      <c r="JAO294" s="474"/>
      <c r="JAP294" s="475"/>
      <c r="JAQ294" s="476"/>
      <c r="JAR294" s="477"/>
      <c r="JAS294" s="475"/>
      <c r="JAT294" s="478"/>
      <c r="JAU294" s="479"/>
      <c r="JAV294" s="480"/>
      <c r="JAW294" s="481"/>
      <c r="JAX294" s="481"/>
      <c r="JAY294" s="482"/>
      <c r="JAZ294" s="189"/>
      <c r="JBA294" s="189"/>
      <c r="JBB294" s="483"/>
      <c r="JBC294" s="306"/>
      <c r="JBD294" s="484"/>
      <c r="JBE294" s="306"/>
      <c r="JBF294" s="267"/>
      <c r="JBG294" s="268"/>
      <c r="JBH294" s="306"/>
      <c r="JBI294" s="268"/>
      <c r="JBJ294" s="306"/>
      <c r="JBK294" s="485"/>
      <c r="JBL294" s="306"/>
      <c r="JBM294" s="486"/>
      <c r="JBN294" s="487"/>
      <c r="JBO294" s="488"/>
      <c r="JBP294" s="489"/>
      <c r="JBQ294" s="488"/>
      <c r="JBR294" s="468"/>
      <c r="JBS294" s="469"/>
      <c r="JBT294" s="470"/>
      <c r="JBU294" s="470"/>
      <c r="JBV294" s="306"/>
      <c r="JBW294" s="317"/>
      <c r="JBX294" s="471"/>
      <c r="JBY294" s="472"/>
      <c r="JBZ294" s="471"/>
      <c r="JCA294" s="473"/>
      <c r="JCB294" s="474"/>
      <c r="JCC294" s="475"/>
      <c r="JCD294" s="476"/>
      <c r="JCE294" s="477"/>
      <c r="JCF294" s="475"/>
      <c r="JCG294" s="478"/>
      <c r="JCH294" s="479"/>
      <c r="JCI294" s="480"/>
      <c r="JCJ294" s="481"/>
      <c r="JCK294" s="481"/>
      <c r="JCL294" s="482"/>
      <c r="JCM294" s="189"/>
      <c r="JCN294" s="189"/>
      <c r="JCO294" s="483"/>
      <c r="JCP294" s="306"/>
      <c r="JCQ294" s="484"/>
      <c r="JCR294" s="306"/>
      <c r="JCS294" s="267"/>
      <c r="JCT294" s="268"/>
      <c r="JCU294" s="306"/>
      <c r="JCV294" s="268"/>
      <c r="JCW294" s="306"/>
      <c r="JCX294" s="485"/>
      <c r="JCY294" s="306"/>
      <c r="JCZ294" s="486"/>
      <c r="JDA294" s="487"/>
      <c r="JDB294" s="488"/>
      <c r="JDC294" s="489"/>
      <c r="JDD294" s="488"/>
      <c r="JDE294" s="468"/>
      <c r="JDF294" s="469"/>
      <c r="JDG294" s="470"/>
      <c r="JDH294" s="470"/>
      <c r="JDI294" s="306"/>
      <c r="JDJ294" s="317"/>
      <c r="JDK294" s="471"/>
      <c r="JDL294" s="472"/>
      <c r="JDM294" s="471"/>
      <c r="JDN294" s="473"/>
      <c r="JDO294" s="474"/>
      <c r="JDP294" s="475"/>
      <c r="JDQ294" s="476"/>
      <c r="JDR294" s="477"/>
      <c r="JDS294" s="475"/>
      <c r="JDT294" s="478"/>
      <c r="JDU294" s="479"/>
      <c r="JDV294" s="480"/>
      <c r="JDW294" s="481"/>
      <c r="JDX294" s="481"/>
      <c r="JDY294" s="482"/>
      <c r="JDZ294" s="189"/>
      <c r="JEA294" s="189"/>
      <c r="JEB294" s="483"/>
      <c r="JEC294" s="306"/>
      <c r="JED294" s="484"/>
      <c r="JEE294" s="306"/>
      <c r="JEF294" s="267"/>
      <c r="JEG294" s="268"/>
      <c r="JEH294" s="306"/>
      <c r="JEI294" s="268"/>
      <c r="JEJ294" s="306"/>
      <c r="JEK294" s="485"/>
      <c r="JEL294" s="306"/>
      <c r="JEM294" s="486"/>
      <c r="JEN294" s="487"/>
      <c r="JEO294" s="488"/>
      <c r="JEP294" s="489"/>
      <c r="JEQ294" s="488"/>
      <c r="JER294" s="468"/>
      <c r="JES294" s="469"/>
      <c r="JET294" s="470"/>
      <c r="JEU294" s="470"/>
      <c r="JEV294" s="306"/>
      <c r="JEW294" s="317"/>
      <c r="JEX294" s="471"/>
      <c r="JEY294" s="472"/>
      <c r="JEZ294" s="471"/>
      <c r="JFA294" s="473"/>
      <c r="JFB294" s="474"/>
      <c r="JFC294" s="475"/>
      <c r="JFD294" s="476"/>
      <c r="JFE294" s="477"/>
      <c r="JFF294" s="475"/>
      <c r="JFG294" s="478"/>
      <c r="JFH294" s="479"/>
      <c r="JFI294" s="480"/>
      <c r="JFJ294" s="481"/>
      <c r="JFK294" s="481"/>
      <c r="JFL294" s="482"/>
      <c r="JFM294" s="189"/>
      <c r="JFN294" s="189"/>
      <c r="JFO294" s="483"/>
      <c r="JFP294" s="306"/>
      <c r="JFQ294" s="484"/>
      <c r="JFR294" s="306"/>
      <c r="JFS294" s="267"/>
      <c r="JFT294" s="268"/>
      <c r="JFU294" s="306"/>
      <c r="JFV294" s="268"/>
      <c r="JFW294" s="306"/>
      <c r="JFX294" s="485"/>
      <c r="JFY294" s="306"/>
      <c r="JFZ294" s="486"/>
      <c r="JGA294" s="487"/>
      <c r="JGB294" s="488"/>
      <c r="JGC294" s="489"/>
      <c r="JGD294" s="488"/>
      <c r="JGE294" s="468"/>
      <c r="JGF294" s="469"/>
      <c r="JGG294" s="470"/>
      <c r="JGH294" s="470"/>
      <c r="JGI294" s="306"/>
      <c r="JGJ294" s="317"/>
      <c r="JGK294" s="471"/>
      <c r="JGL294" s="472"/>
      <c r="JGM294" s="471"/>
      <c r="JGN294" s="473"/>
      <c r="JGO294" s="474"/>
      <c r="JGP294" s="475"/>
      <c r="JGQ294" s="476"/>
      <c r="JGR294" s="477"/>
      <c r="JGS294" s="475"/>
      <c r="JGT294" s="478"/>
      <c r="JGU294" s="479"/>
      <c r="JGV294" s="480"/>
      <c r="JGW294" s="481"/>
      <c r="JGX294" s="481"/>
      <c r="JGY294" s="482"/>
      <c r="JGZ294" s="189"/>
      <c r="JHA294" s="189"/>
      <c r="JHB294" s="483"/>
      <c r="JHC294" s="306"/>
      <c r="JHD294" s="484"/>
      <c r="JHE294" s="306"/>
      <c r="JHF294" s="267"/>
      <c r="JHG294" s="268"/>
      <c r="JHH294" s="306"/>
      <c r="JHI294" s="268"/>
      <c r="JHJ294" s="306"/>
      <c r="JHK294" s="485"/>
      <c r="JHL294" s="306"/>
      <c r="JHM294" s="486"/>
      <c r="JHN294" s="487"/>
      <c r="JHO294" s="488"/>
      <c r="JHP294" s="489"/>
      <c r="JHQ294" s="488"/>
      <c r="JHR294" s="468"/>
      <c r="JHS294" s="469"/>
      <c r="JHT294" s="470"/>
      <c r="JHU294" s="470"/>
      <c r="JHV294" s="306"/>
      <c r="JHW294" s="317"/>
      <c r="JHX294" s="471"/>
      <c r="JHY294" s="472"/>
      <c r="JHZ294" s="471"/>
      <c r="JIA294" s="473"/>
      <c r="JIB294" s="474"/>
      <c r="JIC294" s="475"/>
      <c r="JID294" s="476"/>
      <c r="JIE294" s="477"/>
      <c r="JIF294" s="475"/>
      <c r="JIG294" s="478"/>
      <c r="JIH294" s="479"/>
      <c r="JII294" s="480"/>
      <c r="JIJ294" s="481"/>
      <c r="JIK294" s="481"/>
      <c r="JIL294" s="482"/>
      <c r="JIM294" s="189"/>
      <c r="JIN294" s="189"/>
      <c r="JIO294" s="483"/>
      <c r="JIP294" s="306"/>
      <c r="JIQ294" s="484"/>
      <c r="JIR294" s="306"/>
      <c r="JIS294" s="267"/>
      <c r="JIT294" s="268"/>
      <c r="JIU294" s="306"/>
      <c r="JIV294" s="268"/>
      <c r="JIW294" s="306"/>
      <c r="JIX294" s="485"/>
      <c r="JIY294" s="306"/>
      <c r="JIZ294" s="486"/>
      <c r="JJA294" s="487"/>
      <c r="JJB294" s="488"/>
      <c r="JJC294" s="489"/>
      <c r="JJD294" s="488"/>
      <c r="JJE294" s="468"/>
      <c r="JJF294" s="469"/>
      <c r="JJG294" s="470"/>
      <c r="JJH294" s="470"/>
      <c r="JJI294" s="306"/>
      <c r="JJJ294" s="317"/>
      <c r="JJK294" s="471"/>
      <c r="JJL294" s="472"/>
      <c r="JJM294" s="471"/>
      <c r="JJN294" s="473"/>
      <c r="JJO294" s="474"/>
      <c r="JJP294" s="475"/>
      <c r="JJQ294" s="476"/>
      <c r="JJR294" s="477"/>
      <c r="JJS294" s="475"/>
      <c r="JJT294" s="478"/>
      <c r="JJU294" s="479"/>
      <c r="JJV294" s="480"/>
      <c r="JJW294" s="481"/>
      <c r="JJX294" s="481"/>
      <c r="JJY294" s="482"/>
      <c r="JJZ294" s="189"/>
      <c r="JKA294" s="189"/>
      <c r="JKB294" s="483"/>
      <c r="JKC294" s="306"/>
      <c r="JKD294" s="484"/>
      <c r="JKE294" s="306"/>
      <c r="JKF294" s="267"/>
      <c r="JKG294" s="268"/>
      <c r="JKH294" s="306"/>
      <c r="JKI294" s="268"/>
      <c r="JKJ294" s="306"/>
      <c r="JKK294" s="485"/>
      <c r="JKL294" s="306"/>
      <c r="JKM294" s="486"/>
      <c r="JKN294" s="487"/>
      <c r="JKO294" s="488"/>
      <c r="JKP294" s="489"/>
      <c r="JKQ294" s="488"/>
      <c r="JKR294" s="468"/>
      <c r="JKS294" s="469"/>
      <c r="JKT294" s="470"/>
      <c r="JKU294" s="470"/>
      <c r="JKV294" s="306"/>
      <c r="JKW294" s="317"/>
      <c r="JKX294" s="471"/>
      <c r="JKY294" s="472"/>
      <c r="JKZ294" s="471"/>
      <c r="JLA294" s="473"/>
      <c r="JLB294" s="474"/>
      <c r="JLC294" s="475"/>
      <c r="JLD294" s="476"/>
      <c r="JLE294" s="477"/>
      <c r="JLF294" s="475"/>
      <c r="JLG294" s="478"/>
      <c r="JLH294" s="479"/>
      <c r="JLI294" s="480"/>
      <c r="JLJ294" s="481"/>
      <c r="JLK294" s="481"/>
      <c r="JLL294" s="482"/>
      <c r="JLM294" s="189"/>
      <c r="JLN294" s="189"/>
      <c r="JLO294" s="483"/>
      <c r="JLP294" s="306"/>
      <c r="JLQ294" s="484"/>
      <c r="JLR294" s="306"/>
      <c r="JLS294" s="267"/>
      <c r="JLT294" s="268"/>
      <c r="JLU294" s="306"/>
      <c r="JLV294" s="268"/>
      <c r="JLW294" s="306"/>
      <c r="JLX294" s="485"/>
      <c r="JLY294" s="306"/>
      <c r="JLZ294" s="486"/>
      <c r="JMA294" s="487"/>
      <c r="JMB294" s="488"/>
      <c r="JMC294" s="489"/>
      <c r="JMD294" s="488"/>
      <c r="JME294" s="468"/>
      <c r="JMF294" s="469"/>
      <c r="JMG294" s="470"/>
      <c r="JMH294" s="470"/>
      <c r="JMI294" s="306"/>
      <c r="JMJ294" s="317"/>
      <c r="JMK294" s="471"/>
      <c r="JML294" s="472"/>
      <c r="JMM294" s="471"/>
      <c r="JMN294" s="473"/>
      <c r="JMO294" s="474"/>
      <c r="JMP294" s="475"/>
      <c r="JMQ294" s="476"/>
      <c r="JMR294" s="477"/>
      <c r="JMS294" s="475"/>
      <c r="JMT294" s="478"/>
      <c r="JMU294" s="479"/>
      <c r="JMV294" s="480"/>
      <c r="JMW294" s="481"/>
      <c r="JMX294" s="481"/>
      <c r="JMY294" s="482"/>
      <c r="JMZ294" s="189"/>
      <c r="JNA294" s="189"/>
      <c r="JNB294" s="483"/>
      <c r="JNC294" s="306"/>
      <c r="JND294" s="484"/>
      <c r="JNE294" s="306"/>
      <c r="JNF294" s="267"/>
      <c r="JNG294" s="268"/>
      <c r="JNH294" s="306"/>
      <c r="JNI294" s="268"/>
      <c r="JNJ294" s="306"/>
      <c r="JNK294" s="485"/>
      <c r="JNL294" s="306"/>
      <c r="JNM294" s="486"/>
      <c r="JNN294" s="487"/>
      <c r="JNO294" s="488"/>
      <c r="JNP294" s="489"/>
      <c r="JNQ294" s="488"/>
      <c r="JNR294" s="468"/>
      <c r="JNS294" s="469"/>
      <c r="JNT294" s="470"/>
      <c r="JNU294" s="470"/>
      <c r="JNV294" s="306"/>
      <c r="JNW294" s="317"/>
      <c r="JNX294" s="471"/>
      <c r="JNY294" s="472"/>
      <c r="JNZ294" s="471"/>
      <c r="JOA294" s="473"/>
      <c r="JOB294" s="474"/>
      <c r="JOC294" s="475"/>
      <c r="JOD294" s="476"/>
      <c r="JOE294" s="477"/>
      <c r="JOF294" s="475"/>
      <c r="JOG294" s="478"/>
      <c r="JOH294" s="479"/>
      <c r="JOI294" s="480"/>
      <c r="JOJ294" s="481"/>
      <c r="JOK294" s="481"/>
      <c r="JOL294" s="482"/>
      <c r="JOM294" s="189"/>
      <c r="JON294" s="189"/>
      <c r="JOO294" s="483"/>
      <c r="JOP294" s="306"/>
      <c r="JOQ294" s="484"/>
      <c r="JOR294" s="306"/>
      <c r="JOS294" s="267"/>
      <c r="JOT294" s="268"/>
      <c r="JOU294" s="306"/>
      <c r="JOV294" s="268"/>
      <c r="JOW294" s="306"/>
      <c r="JOX294" s="485"/>
      <c r="JOY294" s="306"/>
      <c r="JOZ294" s="486"/>
      <c r="JPA294" s="487"/>
      <c r="JPB294" s="488"/>
      <c r="JPC294" s="489"/>
      <c r="JPD294" s="488"/>
      <c r="JPE294" s="468"/>
      <c r="JPF294" s="469"/>
      <c r="JPG294" s="470"/>
      <c r="JPH294" s="470"/>
      <c r="JPI294" s="306"/>
      <c r="JPJ294" s="317"/>
      <c r="JPK294" s="471"/>
      <c r="JPL294" s="472"/>
      <c r="JPM294" s="471"/>
      <c r="JPN294" s="473"/>
      <c r="JPO294" s="474"/>
      <c r="JPP294" s="475"/>
      <c r="JPQ294" s="476"/>
      <c r="JPR294" s="477"/>
      <c r="JPS294" s="475"/>
      <c r="JPT294" s="478"/>
      <c r="JPU294" s="479"/>
      <c r="JPV294" s="480"/>
      <c r="JPW294" s="481"/>
      <c r="JPX294" s="481"/>
      <c r="JPY294" s="482"/>
      <c r="JPZ294" s="189"/>
      <c r="JQA294" s="189"/>
      <c r="JQB294" s="483"/>
      <c r="JQC294" s="306"/>
      <c r="JQD294" s="484"/>
      <c r="JQE294" s="306"/>
      <c r="JQF294" s="267"/>
      <c r="JQG294" s="268"/>
      <c r="JQH294" s="306"/>
      <c r="JQI294" s="268"/>
      <c r="JQJ294" s="306"/>
      <c r="JQK294" s="485"/>
      <c r="JQL294" s="306"/>
      <c r="JQM294" s="486"/>
      <c r="JQN294" s="487"/>
      <c r="JQO294" s="488"/>
      <c r="JQP294" s="489"/>
      <c r="JQQ294" s="488"/>
      <c r="JQR294" s="468"/>
      <c r="JQS294" s="469"/>
      <c r="JQT294" s="470"/>
      <c r="JQU294" s="470"/>
      <c r="JQV294" s="306"/>
      <c r="JQW294" s="317"/>
      <c r="JQX294" s="471"/>
      <c r="JQY294" s="472"/>
      <c r="JQZ294" s="471"/>
      <c r="JRA294" s="473"/>
      <c r="JRB294" s="474"/>
      <c r="JRC294" s="475"/>
      <c r="JRD294" s="476"/>
      <c r="JRE294" s="477"/>
      <c r="JRF294" s="475"/>
      <c r="JRG294" s="478"/>
      <c r="JRH294" s="479"/>
      <c r="JRI294" s="480"/>
      <c r="JRJ294" s="481"/>
      <c r="JRK294" s="481"/>
      <c r="JRL294" s="482"/>
      <c r="JRM294" s="189"/>
      <c r="JRN294" s="189"/>
      <c r="JRO294" s="483"/>
      <c r="JRP294" s="306"/>
      <c r="JRQ294" s="484"/>
      <c r="JRR294" s="306"/>
      <c r="JRS294" s="267"/>
      <c r="JRT294" s="268"/>
      <c r="JRU294" s="306"/>
      <c r="JRV294" s="268"/>
      <c r="JRW294" s="306"/>
      <c r="JRX294" s="485"/>
      <c r="JRY294" s="306"/>
      <c r="JRZ294" s="486"/>
      <c r="JSA294" s="487"/>
      <c r="JSB294" s="488"/>
      <c r="JSC294" s="489"/>
      <c r="JSD294" s="488"/>
      <c r="JSE294" s="468"/>
      <c r="JSF294" s="469"/>
      <c r="JSG294" s="470"/>
      <c r="JSH294" s="470"/>
      <c r="JSI294" s="306"/>
      <c r="JSJ294" s="317"/>
      <c r="JSK294" s="471"/>
      <c r="JSL294" s="472"/>
      <c r="JSM294" s="471"/>
      <c r="JSN294" s="473"/>
      <c r="JSO294" s="474"/>
      <c r="JSP294" s="475"/>
      <c r="JSQ294" s="476"/>
      <c r="JSR294" s="477"/>
      <c r="JSS294" s="475"/>
      <c r="JST294" s="478"/>
      <c r="JSU294" s="479"/>
      <c r="JSV294" s="480"/>
      <c r="JSW294" s="481"/>
      <c r="JSX294" s="481"/>
      <c r="JSY294" s="482"/>
      <c r="JSZ294" s="189"/>
      <c r="JTA294" s="189"/>
      <c r="JTB294" s="483"/>
      <c r="JTC294" s="306"/>
      <c r="JTD294" s="484"/>
      <c r="JTE294" s="306"/>
      <c r="JTF294" s="267"/>
      <c r="JTG294" s="268"/>
      <c r="JTH294" s="306"/>
      <c r="JTI294" s="268"/>
      <c r="JTJ294" s="306"/>
      <c r="JTK294" s="485"/>
      <c r="JTL294" s="306"/>
      <c r="JTM294" s="486"/>
      <c r="JTN294" s="487"/>
      <c r="JTO294" s="488"/>
      <c r="JTP294" s="489"/>
      <c r="JTQ294" s="488"/>
      <c r="JTR294" s="468"/>
      <c r="JTS294" s="469"/>
      <c r="JTT294" s="470"/>
      <c r="JTU294" s="470"/>
      <c r="JTV294" s="306"/>
      <c r="JTW294" s="317"/>
      <c r="JTX294" s="471"/>
      <c r="JTY294" s="472"/>
      <c r="JTZ294" s="471"/>
      <c r="JUA294" s="473"/>
      <c r="JUB294" s="474"/>
      <c r="JUC294" s="475"/>
      <c r="JUD294" s="476"/>
      <c r="JUE294" s="477"/>
      <c r="JUF294" s="475"/>
      <c r="JUG294" s="478"/>
      <c r="JUH294" s="479"/>
      <c r="JUI294" s="480"/>
      <c r="JUJ294" s="481"/>
      <c r="JUK294" s="481"/>
      <c r="JUL294" s="482"/>
      <c r="JUM294" s="189"/>
      <c r="JUN294" s="189"/>
      <c r="JUO294" s="483"/>
      <c r="JUP294" s="306"/>
      <c r="JUQ294" s="484"/>
      <c r="JUR294" s="306"/>
      <c r="JUS294" s="267"/>
      <c r="JUT294" s="268"/>
      <c r="JUU294" s="306"/>
      <c r="JUV294" s="268"/>
      <c r="JUW294" s="306"/>
      <c r="JUX294" s="485"/>
      <c r="JUY294" s="306"/>
      <c r="JUZ294" s="486"/>
      <c r="JVA294" s="487"/>
      <c r="JVB294" s="488"/>
      <c r="JVC294" s="489"/>
      <c r="JVD294" s="488"/>
      <c r="JVE294" s="468"/>
      <c r="JVF294" s="469"/>
      <c r="JVG294" s="470"/>
      <c r="JVH294" s="470"/>
      <c r="JVI294" s="306"/>
      <c r="JVJ294" s="317"/>
      <c r="JVK294" s="471"/>
      <c r="JVL294" s="472"/>
      <c r="JVM294" s="471"/>
      <c r="JVN294" s="473"/>
      <c r="JVO294" s="474"/>
      <c r="JVP294" s="475"/>
      <c r="JVQ294" s="476"/>
      <c r="JVR294" s="477"/>
      <c r="JVS294" s="475"/>
      <c r="JVT294" s="478"/>
      <c r="JVU294" s="479"/>
      <c r="JVV294" s="480"/>
      <c r="JVW294" s="481"/>
      <c r="JVX294" s="481"/>
      <c r="JVY294" s="482"/>
      <c r="JVZ294" s="189"/>
      <c r="JWA294" s="189"/>
      <c r="JWB294" s="483"/>
      <c r="JWC294" s="306"/>
      <c r="JWD294" s="484"/>
      <c r="JWE294" s="306"/>
      <c r="JWF294" s="267"/>
      <c r="JWG294" s="268"/>
      <c r="JWH294" s="306"/>
      <c r="JWI294" s="268"/>
      <c r="JWJ294" s="306"/>
      <c r="JWK294" s="485"/>
      <c r="JWL294" s="306"/>
      <c r="JWM294" s="486"/>
      <c r="JWN294" s="487"/>
      <c r="JWO294" s="488"/>
      <c r="JWP294" s="489"/>
      <c r="JWQ294" s="488"/>
      <c r="JWR294" s="468"/>
      <c r="JWS294" s="469"/>
      <c r="JWT294" s="470"/>
      <c r="JWU294" s="470"/>
      <c r="JWV294" s="306"/>
      <c r="JWW294" s="317"/>
      <c r="JWX294" s="471"/>
      <c r="JWY294" s="472"/>
      <c r="JWZ294" s="471"/>
      <c r="JXA294" s="473"/>
      <c r="JXB294" s="474"/>
      <c r="JXC294" s="475"/>
      <c r="JXD294" s="476"/>
      <c r="JXE294" s="477"/>
      <c r="JXF294" s="475"/>
      <c r="JXG294" s="478"/>
      <c r="JXH294" s="479"/>
      <c r="JXI294" s="480"/>
      <c r="JXJ294" s="481"/>
      <c r="JXK294" s="481"/>
      <c r="JXL294" s="482"/>
      <c r="JXM294" s="189"/>
      <c r="JXN294" s="189"/>
      <c r="JXO294" s="483"/>
      <c r="JXP294" s="306"/>
      <c r="JXQ294" s="484"/>
      <c r="JXR294" s="306"/>
      <c r="JXS294" s="267"/>
      <c r="JXT294" s="268"/>
      <c r="JXU294" s="306"/>
      <c r="JXV294" s="268"/>
      <c r="JXW294" s="306"/>
      <c r="JXX294" s="485"/>
      <c r="JXY294" s="306"/>
      <c r="JXZ294" s="486"/>
      <c r="JYA294" s="487"/>
      <c r="JYB294" s="488"/>
      <c r="JYC294" s="489"/>
      <c r="JYD294" s="488"/>
      <c r="JYE294" s="468"/>
      <c r="JYF294" s="469"/>
      <c r="JYG294" s="470"/>
      <c r="JYH294" s="470"/>
      <c r="JYI294" s="306"/>
      <c r="JYJ294" s="317"/>
      <c r="JYK294" s="471"/>
      <c r="JYL294" s="472"/>
      <c r="JYM294" s="471"/>
      <c r="JYN294" s="473"/>
      <c r="JYO294" s="474"/>
      <c r="JYP294" s="475"/>
      <c r="JYQ294" s="476"/>
      <c r="JYR294" s="477"/>
      <c r="JYS294" s="475"/>
      <c r="JYT294" s="478"/>
      <c r="JYU294" s="479"/>
      <c r="JYV294" s="480"/>
      <c r="JYW294" s="481"/>
      <c r="JYX294" s="481"/>
      <c r="JYY294" s="482"/>
      <c r="JYZ294" s="189"/>
      <c r="JZA294" s="189"/>
      <c r="JZB294" s="483"/>
      <c r="JZC294" s="306"/>
      <c r="JZD294" s="484"/>
      <c r="JZE294" s="306"/>
      <c r="JZF294" s="267"/>
      <c r="JZG294" s="268"/>
      <c r="JZH294" s="306"/>
      <c r="JZI294" s="268"/>
      <c r="JZJ294" s="306"/>
      <c r="JZK294" s="485"/>
      <c r="JZL294" s="306"/>
      <c r="JZM294" s="486"/>
      <c r="JZN294" s="487"/>
      <c r="JZO294" s="488"/>
      <c r="JZP294" s="489"/>
      <c r="JZQ294" s="488"/>
      <c r="JZR294" s="468"/>
      <c r="JZS294" s="469"/>
      <c r="JZT294" s="470"/>
      <c r="JZU294" s="470"/>
      <c r="JZV294" s="306"/>
      <c r="JZW294" s="317"/>
      <c r="JZX294" s="471"/>
      <c r="JZY294" s="472"/>
      <c r="JZZ294" s="471"/>
      <c r="KAA294" s="473"/>
      <c r="KAB294" s="474"/>
      <c r="KAC294" s="475"/>
      <c r="KAD294" s="476"/>
      <c r="KAE294" s="477"/>
      <c r="KAF294" s="475"/>
      <c r="KAG294" s="478"/>
      <c r="KAH294" s="479"/>
      <c r="KAI294" s="480"/>
      <c r="KAJ294" s="481"/>
      <c r="KAK294" s="481"/>
      <c r="KAL294" s="482"/>
      <c r="KAM294" s="189"/>
      <c r="KAN294" s="189"/>
      <c r="KAO294" s="483"/>
      <c r="KAP294" s="306"/>
      <c r="KAQ294" s="484"/>
      <c r="KAR294" s="306"/>
      <c r="KAS294" s="267"/>
      <c r="KAT294" s="268"/>
      <c r="KAU294" s="306"/>
      <c r="KAV294" s="268"/>
      <c r="KAW294" s="306"/>
      <c r="KAX294" s="485"/>
      <c r="KAY294" s="306"/>
      <c r="KAZ294" s="486"/>
      <c r="KBA294" s="487"/>
      <c r="KBB294" s="488"/>
      <c r="KBC294" s="489"/>
      <c r="KBD294" s="488"/>
      <c r="KBE294" s="468"/>
      <c r="KBF294" s="469"/>
      <c r="KBG294" s="470"/>
      <c r="KBH294" s="470"/>
      <c r="KBI294" s="306"/>
      <c r="KBJ294" s="317"/>
      <c r="KBK294" s="471"/>
      <c r="KBL294" s="472"/>
      <c r="KBM294" s="471"/>
      <c r="KBN294" s="473"/>
      <c r="KBO294" s="474"/>
      <c r="KBP294" s="475"/>
      <c r="KBQ294" s="476"/>
      <c r="KBR294" s="477"/>
      <c r="KBS294" s="475"/>
      <c r="KBT294" s="478"/>
      <c r="KBU294" s="479"/>
      <c r="KBV294" s="480"/>
      <c r="KBW294" s="481"/>
      <c r="KBX294" s="481"/>
      <c r="KBY294" s="482"/>
      <c r="KBZ294" s="189"/>
      <c r="KCA294" s="189"/>
      <c r="KCB294" s="483"/>
      <c r="KCC294" s="306"/>
      <c r="KCD294" s="484"/>
      <c r="KCE294" s="306"/>
      <c r="KCF294" s="267"/>
      <c r="KCG294" s="268"/>
      <c r="KCH294" s="306"/>
      <c r="KCI294" s="268"/>
      <c r="KCJ294" s="306"/>
      <c r="KCK294" s="485"/>
      <c r="KCL294" s="306"/>
      <c r="KCM294" s="486"/>
      <c r="KCN294" s="487"/>
      <c r="KCO294" s="488"/>
      <c r="KCP294" s="489"/>
      <c r="KCQ294" s="488"/>
      <c r="KCR294" s="468"/>
      <c r="KCS294" s="469"/>
      <c r="KCT294" s="470"/>
      <c r="KCU294" s="470"/>
      <c r="KCV294" s="306"/>
      <c r="KCW294" s="317"/>
      <c r="KCX294" s="471"/>
      <c r="KCY294" s="472"/>
      <c r="KCZ294" s="471"/>
      <c r="KDA294" s="473"/>
      <c r="KDB294" s="474"/>
      <c r="KDC294" s="475"/>
      <c r="KDD294" s="476"/>
      <c r="KDE294" s="477"/>
      <c r="KDF294" s="475"/>
      <c r="KDG294" s="478"/>
      <c r="KDH294" s="479"/>
      <c r="KDI294" s="480"/>
      <c r="KDJ294" s="481"/>
      <c r="KDK294" s="481"/>
      <c r="KDL294" s="482"/>
      <c r="KDM294" s="189"/>
      <c r="KDN294" s="189"/>
      <c r="KDO294" s="483"/>
      <c r="KDP294" s="306"/>
      <c r="KDQ294" s="484"/>
      <c r="KDR294" s="306"/>
      <c r="KDS294" s="267"/>
      <c r="KDT294" s="268"/>
      <c r="KDU294" s="306"/>
      <c r="KDV294" s="268"/>
      <c r="KDW294" s="306"/>
      <c r="KDX294" s="485"/>
      <c r="KDY294" s="306"/>
      <c r="KDZ294" s="486"/>
      <c r="KEA294" s="487"/>
      <c r="KEB294" s="488"/>
      <c r="KEC294" s="489"/>
      <c r="KED294" s="488"/>
      <c r="KEE294" s="468"/>
      <c r="KEF294" s="469"/>
      <c r="KEG294" s="470"/>
      <c r="KEH294" s="470"/>
      <c r="KEI294" s="306"/>
      <c r="KEJ294" s="317"/>
      <c r="KEK294" s="471"/>
      <c r="KEL294" s="472"/>
      <c r="KEM294" s="471"/>
      <c r="KEN294" s="473"/>
      <c r="KEO294" s="474"/>
      <c r="KEP294" s="475"/>
      <c r="KEQ294" s="476"/>
      <c r="KER294" s="477"/>
      <c r="KES294" s="475"/>
      <c r="KET294" s="478"/>
      <c r="KEU294" s="479"/>
      <c r="KEV294" s="480"/>
      <c r="KEW294" s="481"/>
      <c r="KEX294" s="481"/>
      <c r="KEY294" s="482"/>
      <c r="KEZ294" s="189"/>
      <c r="KFA294" s="189"/>
      <c r="KFB294" s="483"/>
      <c r="KFC294" s="306"/>
      <c r="KFD294" s="484"/>
      <c r="KFE294" s="306"/>
      <c r="KFF294" s="267"/>
      <c r="KFG294" s="268"/>
      <c r="KFH294" s="306"/>
      <c r="KFI294" s="268"/>
      <c r="KFJ294" s="306"/>
      <c r="KFK294" s="485"/>
      <c r="KFL294" s="306"/>
      <c r="KFM294" s="486"/>
      <c r="KFN294" s="487"/>
      <c r="KFO294" s="488"/>
      <c r="KFP294" s="489"/>
      <c r="KFQ294" s="488"/>
      <c r="KFR294" s="468"/>
      <c r="KFS294" s="469"/>
      <c r="KFT294" s="470"/>
      <c r="KFU294" s="470"/>
      <c r="KFV294" s="306"/>
      <c r="KFW294" s="317"/>
      <c r="KFX294" s="471"/>
      <c r="KFY294" s="472"/>
      <c r="KFZ294" s="471"/>
      <c r="KGA294" s="473"/>
      <c r="KGB294" s="474"/>
      <c r="KGC294" s="475"/>
      <c r="KGD294" s="476"/>
      <c r="KGE294" s="477"/>
      <c r="KGF294" s="475"/>
      <c r="KGG294" s="478"/>
      <c r="KGH294" s="479"/>
      <c r="KGI294" s="480"/>
      <c r="KGJ294" s="481"/>
      <c r="KGK294" s="481"/>
      <c r="KGL294" s="482"/>
      <c r="KGM294" s="189"/>
      <c r="KGN294" s="189"/>
      <c r="KGO294" s="483"/>
      <c r="KGP294" s="306"/>
      <c r="KGQ294" s="484"/>
      <c r="KGR294" s="306"/>
      <c r="KGS294" s="267"/>
      <c r="KGT294" s="268"/>
      <c r="KGU294" s="306"/>
      <c r="KGV294" s="268"/>
      <c r="KGW294" s="306"/>
      <c r="KGX294" s="485"/>
      <c r="KGY294" s="306"/>
      <c r="KGZ294" s="486"/>
      <c r="KHA294" s="487"/>
      <c r="KHB294" s="488"/>
      <c r="KHC294" s="489"/>
      <c r="KHD294" s="488"/>
      <c r="KHE294" s="468"/>
      <c r="KHF294" s="469"/>
      <c r="KHG294" s="470"/>
      <c r="KHH294" s="470"/>
      <c r="KHI294" s="306"/>
      <c r="KHJ294" s="317"/>
      <c r="KHK294" s="471"/>
      <c r="KHL294" s="472"/>
      <c r="KHM294" s="471"/>
      <c r="KHN294" s="473"/>
      <c r="KHO294" s="474"/>
      <c r="KHP294" s="475"/>
      <c r="KHQ294" s="476"/>
      <c r="KHR294" s="477"/>
      <c r="KHS294" s="475"/>
      <c r="KHT294" s="478"/>
      <c r="KHU294" s="479"/>
      <c r="KHV294" s="480"/>
      <c r="KHW294" s="481"/>
      <c r="KHX294" s="481"/>
      <c r="KHY294" s="482"/>
      <c r="KHZ294" s="189"/>
      <c r="KIA294" s="189"/>
      <c r="KIB294" s="483"/>
      <c r="KIC294" s="306"/>
      <c r="KID294" s="484"/>
      <c r="KIE294" s="306"/>
      <c r="KIF294" s="267"/>
      <c r="KIG294" s="268"/>
      <c r="KIH294" s="306"/>
      <c r="KII294" s="268"/>
      <c r="KIJ294" s="306"/>
      <c r="KIK294" s="485"/>
      <c r="KIL294" s="306"/>
      <c r="KIM294" s="486"/>
      <c r="KIN294" s="487"/>
      <c r="KIO294" s="488"/>
      <c r="KIP294" s="489"/>
      <c r="KIQ294" s="488"/>
      <c r="KIR294" s="468"/>
      <c r="KIS294" s="469"/>
      <c r="KIT294" s="470"/>
      <c r="KIU294" s="470"/>
      <c r="KIV294" s="306"/>
      <c r="KIW294" s="317"/>
      <c r="KIX294" s="471"/>
      <c r="KIY294" s="472"/>
      <c r="KIZ294" s="471"/>
      <c r="KJA294" s="473"/>
      <c r="KJB294" s="474"/>
      <c r="KJC294" s="475"/>
      <c r="KJD294" s="476"/>
      <c r="KJE294" s="477"/>
      <c r="KJF294" s="475"/>
      <c r="KJG294" s="478"/>
      <c r="KJH294" s="479"/>
      <c r="KJI294" s="480"/>
      <c r="KJJ294" s="481"/>
      <c r="KJK294" s="481"/>
      <c r="KJL294" s="482"/>
      <c r="KJM294" s="189"/>
      <c r="KJN294" s="189"/>
      <c r="KJO294" s="483"/>
      <c r="KJP294" s="306"/>
      <c r="KJQ294" s="484"/>
      <c r="KJR294" s="306"/>
      <c r="KJS294" s="267"/>
      <c r="KJT294" s="268"/>
      <c r="KJU294" s="306"/>
      <c r="KJV294" s="268"/>
      <c r="KJW294" s="306"/>
      <c r="KJX294" s="485"/>
      <c r="KJY294" s="306"/>
      <c r="KJZ294" s="486"/>
      <c r="KKA294" s="487"/>
      <c r="KKB294" s="488"/>
      <c r="KKC294" s="489"/>
      <c r="KKD294" s="488"/>
      <c r="KKE294" s="468"/>
      <c r="KKF294" s="469"/>
      <c r="KKG294" s="470"/>
      <c r="KKH294" s="470"/>
      <c r="KKI294" s="306"/>
      <c r="KKJ294" s="317"/>
      <c r="KKK294" s="471"/>
      <c r="KKL294" s="472"/>
      <c r="KKM294" s="471"/>
      <c r="KKN294" s="473"/>
      <c r="KKO294" s="474"/>
      <c r="KKP294" s="475"/>
      <c r="KKQ294" s="476"/>
      <c r="KKR294" s="477"/>
      <c r="KKS294" s="475"/>
      <c r="KKT294" s="478"/>
      <c r="KKU294" s="479"/>
      <c r="KKV294" s="480"/>
      <c r="KKW294" s="481"/>
      <c r="KKX294" s="481"/>
      <c r="KKY294" s="482"/>
      <c r="KKZ294" s="189"/>
      <c r="KLA294" s="189"/>
      <c r="KLB294" s="483"/>
      <c r="KLC294" s="306"/>
      <c r="KLD294" s="484"/>
      <c r="KLE294" s="306"/>
      <c r="KLF294" s="267"/>
      <c r="KLG294" s="268"/>
      <c r="KLH294" s="306"/>
      <c r="KLI294" s="268"/>
      <c r="KLJ294" s="306"/>
      <c r="KLK294" s="485"/>
      <c r="KLL294" s="306"/>
      <c r="KLM294" s="486"/>
      <c r="KLN294" s="487"/>
      <c r="KLO294" s="488"/>
      <c r="KLP294" s="489"/>
      <c r="KLQ294" s="488"/>
      <c r="KLR294" s="468"/>
      <c r="KLS294" s="469"/>
      <c r="KLT294" s="470"/>
      <c r="KLU294" s="470"/>
      <c r="KLV294" s="306"/>
      <c r="KLW294" s="317"/>
      <c r="KLX294" s="471"/>
      <c r="KLY294" s="472"/>
      <c r="KLZ294" s="471"/>
      <c r="KMA294" s="473"/>
      <c r="KMB294" s="474"/>
      <c r="KMC294" s="475"/>
      <c r="KMD294" s="476"/>
      <c r="KME294" s="477"/>
      <c r="KMF294" s="475"/>
      <c r="KMG294" s="478"/>
      <c r="KMH294" s="479"/>
      <c r="KMI294" s="480"/>
      <c r="KMJ294" s="481"/>
      <c r="KMK294" s="481"/>
      <c r="KML294" s="482"/>
      <c r="KMM294" s="189"/>
      <c r="KMN294" s="189"/>
      <c r="KMO294" s="483"/>
      <c r="KMP294" s="306"/>
      <c r="KMQ294" s="484"/>
      <c r="KMR294" s="306"/>
      <c r="KMS294" s="267"/>
      <c r="KMT294" s="268"/>
      <c r="KMU294" s="306"/>
      <c r="KMV294" s="268"/>
      <c r="KMW294" s="306"/>
      <c r="KMX294" s="485"/>
      <c r="KMY294" s="306"/>
      <c r="KMZ294" s="486"/>
      <c r="KNA294" s="487"/>
      <c r="KNB294" s="488"/>
      <c r="KNC294" s="489"/>
      <c r="KND294" s="488"/>
      <c r="KNE294" s="468"/>
      <c r="KNF294" s="469"/>
      <c r="KNG294" s="470"/>
      <c r="KNH294" s="470"/>
      <c r="KNI294" s="306"/>
      <c r="KNJ294" s="317"/>
      <c r="KNK294" s="471"/>
      <c r="KNL294" s="472"/>
      <c r="KNM294" s="471"/>
      <c r="KNN294" s="473"/>
      <c r="KNO294" s="474"/>
      <c r="KNP294" s="475"/>
      <c r="KNQ294" s="476"/>
      <c r="KNR294" s="477"/>
      <c r="KNS294" s="475"/>
      <c r="KNT294" s="478"/>
      <c r="KNU294" s="479"/>
      <c r="KNV294" s="480"/>
      <c r="KNW294" s="481"/>
      <c r="KNX294" s="481"/>
      <c r="KNY294" s="482"/>
      <c r="KNZ294" s="189"/>
      <c r="KOA294" s="189"/>
      <c r="KOB294" s="483"/>
      <c r="KOC294" s="306"/>
      <c r="KOD294" s="484"/>
      <c r="KOE294" s="306"/>
      <c r="KOF294" s="267"/>
      <c r="KOG294" s="268"/>
      <c r="KOH294" s="306"/>
      <c r="KOI294" s="268"/>
      <c r="KOJ294" s="306"/>
      <c r="KOK294" s="485"/>
      <c r="KOL294" s="306"/>
      <c r="KOM294" s="486"/>
      <c r="KON294" s="487"/>
      <c r="KOO294" s="488"/>
      <c r="KOP294" s="489"/>
      <c r="KOQ294" s="488"/>
      <c r="KOR294" s="468"/>
      <c r="KOS294" s="469"/>
      <c r="KOT294" s="470"/>
      <c r="KOU294" s="470"/>
      <c r="KOV294" s="306"/>
      <c r="KOW294" s="317"/>
      <c r="KOX294" s="471"/>
      <c r="KOY294" s="472"/>
      <c r="KOZ294" s="471"/>
      <c r="KPA294" s="473"/>
      <c r="KPB294" s="474"/>
      <c r="KPC294" s="475"/>
      <c r="KPD294" s="476"/>
      <c r="KPE294" s="477"/>
      <c r="KPF294" s="475"/>
      <c r="KPG294" s="478"/>
      <c r="KPH294" s="479"/>
      <c r="KPI294" s="480"/>
      <c r="KPJ294" s="481"/>
      <c r="KPK294" s="481"/>
      <c r="KPL294" s="482"/>
      <c r="KPM294" s="189"/>
      <c r="KPN294" s="189"/>
      <c r="KPO294" s="483"/>
      <c r="KPP294" s="306"/>
      <c r="KPQ294" s="484"/>
      <c r="KPR294" s="306"/>
      <c r="KPS294" s="267"/>
      <c r="KPT294" s="268"/>
      <c r="KPU294" s="306"/>
      <c r="KPV294" s="268"/>
      <c r="KPW294" s="306"/>
      <c r="KPX294" s="485"/>
      <c r="KPY294" s="306"/>
      <c r="KPZ294" s="486"/>
      <c r="KQA294" s="487"/>
      <c r="KQB294" s="488"/>
      <c r="KQC294" s="489"/>
      <c r="KQD294" s="488"/>
      <c r="KQE294" s="468"/>
      <c r="KQF294" s="469"/>
      <c r="KQG294" s="470"/>
      <c r="KQH294" s="470"/>
      <c r="KQI294" s="306"/>
      <c r="KQJ294" s="317"/>
      <c r="KQK294" s="471"/>
      <c r="KQL294" s="472"/>
      <c r="KQM294" s="471"/>
      <c r="KQN294" s="473"/>
      <c r="KQO294" s="474"/>
      <c r="KQP294" s="475"/>
      <c r="KQQ294" s="476"/>
      <c r="KQR294" s="477"/>
      <c r="KQS294" s="475"/>
      <c r="KQT294" s="478"/>
      <c r="KQU294" s="479"/>
      <c r="KQV294" s="480"/>
      <c r="KQW294" s="481"/>
      <c r="KQX294" s="481"/>
      <c r="KQY294" s="482"/>
      <c r="KQZ294" s="189"/>
      <c r="KRA294" s="189"/>
      <c r="KRB294" s="483"/>
      <c r="KRC294" s="306"/>
      <c r="KRD294" s="484"/>
      <c r="KRE294" s="306"/>
      <c r="KRF294" s="267"/>
      <c r="KRG294" s="268"/>
      <c r="KRH294" s="306"/>
      <c r="KRI294" s="268"/>
      <c r="KRJ294" s="306"/>
      <c r="KRK294" s="485"/>
      <c r="KRL294" s="306"/>
      <c r="KRM294" s="486"/>
      <c r="KRN294" s="487"/>
      <c r="KRO294" s="488"/>
      <c r="KRP294" s="489"/>
      <c r="KRQ294" s="488"/>
      <c r="KRR294" s="468"/>
      <c r="KRS294" s="469"/>
      <c r="KRT294" s="470"/>
      <c r="KRU294" s="470"/>
      <c r="KRV294" s="306"/>
      <c r="KRW294" s="317"/>
      <c r="KRX294" s="471"/>
      <c r="KRY294" s="472"/>
      <c r="KRZ294" s="471"/>
      <c r="KSA294" s="473"/>
      <c r="KSB294" s="474"/>
      <c r="KSC294" s="475"/>
      <c r="KSD294" s="476"/>
      <c r="KSE294" s="477"/>
      <c r="KSF294" s="475"/>
      <c r="KSG294" s="478"/>
      <c r="KSH294" s="479"/>
      <c r="KSI294" s="480"/>
      <c r="KSJ294" s="481"/>
      <c r="KSK294" s="481"/>
      <c r="KSL294" s="482"/>
      <c r="KSM294" s="189"/>
      <c r="KSN294" s="189"/>
      <c r="KSO294" s="483"/>
      <c r="KSP294" s="306"/>
      <c r="KSQ294" s="484"/>
      <c r="KSR294" s="306"/>
      <c r="KSS294" s="267"/>
      <c r="KST294" s="268"/>
      <c r="KSU294" s="306"/>
      <c r="KSV294" s="268"/>
      <c r="KSW294" s="306"/>
      <c r="KSX294" s="485"/>
      <c r="KSY294" s="306"/>
      <c r="KSZ294" s="486"/>
      <c r="KTA294" s="487"/>
      <c r="KTB294" s="488"/>
      <c r="KTC294" s="489"/>
      <c r="KTD294" s="488"/>
      <c r="KTE294" s="468"/>
      <c r="KTF294" s="469"/>
      <c r="KTG294" s="470"/>
      <c r="KTH294" s="470"/>
      <c r="KTI294" s="306"/>
      <c r="KTJ294" s="317"/>
      <c r="KTK294" s="471"/>
      <c r="KTL294" s="472"/>
      <c r="KTM294" s="471"/>
      <c r="KTN294" s="473"/>
      <c r="KTO294" s="474"/>
      <c r="KTP294" s="475"/>
      <c r="KTQ294" s="476"/>
      <c r="KTR294" s="477"/>
      <c r="KTS294" s="475"/>
      <c r="KTT294" s="478"/>
      <c r="KTU294" s="479"/>
      <c r="KTV294" s="480"/>
      <c r="KTW294" s="481"/>
      <c r="KTX294" s="481"/>
      <c r="KTY294" s="482"/>
      <c r="KTZ294" s="189"/>
      <c r="KUA294" s="189"/>
      <c r="KUB294" s="483"/>
      <c r="KUC294" s="306"/>
      <c r="KUD294" s="484"/>
      <c r="KUE294" s="306"/>
      <c r="KUF294" s="267"/>
      <c r="KUG294" s="268"/>
      <c r="KUH294" s="306"/>
      <c r="KUI294" s="268"/>
      <c r="KUJ294" s="306"/>
      <c r="KUK294" s="485"/>
      <c r="KUL294" s="306"/>
      <c r="KUM294" s="486"/>
      <c r="KUN294" s="487"/>
      <c r="KUO294" s="488"/>
      <c r="KUP294" s="489"/>
      <c r="KUQ294" s="488"/>
      <c r="KUR294" s="468"/>
      <c r="KUS294" s="469"/>
      <c r="KUT294" s="470"/>
      <c r="KUU294" s="470"/>
      <c r="KUV294" s="306"/>
      <c r="KUW294" s="317"/>
      <c r="KUX294" s="471"/>
      <c r="KUY294" s="472"/>
      <c r="KUZ294" s="471"/>
      <c r="KVA294" s="473"/>
      <c r="KVB294" s="474"/>
      <c r="KVC294" s="475"/>
      <c r="KVD294" s="476"/>
      <c r="KVE294" s="477"/>
      <c r="KVF294" s="475"/>
      <c r="KVG294" s="478"/>
      <c r="KVH294" s="479"/>
      <c r="KVI294" s="480"/>
      <c r="KVJ294" s="481"/>
      <c r="KVK294" s="481"/>
      <c r="KVL294" s="482"/>
      <c r="KVM294" s="189"/>
      <c r="KVN294" s="189"/>
      <c r="KVO294" s="483"/>
      <c r="KVP294" s="306"/>
      <c r="KVQ294" s="484"/>
      <c r="KVR294" s="306"/>
      <c r="KVS294" s="267"/>
      <c r="KVT294" s="268"/>
      <c r="KVU294" s="306"/>
      <c r="KVV294" s="268"/>
      <c r="KVW294" s="306"/>
      <c r="KVX294" s="485"/>
      <c r="KVY294" s="306"/>
      <c r="KVZ294" s="486"/>
      <c r="KWA294" s="487"/>
      <c r="KWB294" s="488"/>
      <c r="KWC294" s="489"/>
      <c r="KWD294" s="488"/>
      <c r="KWE294" s="468"/>
      <c r="KWF294" s="469"/>
      <c r="KWG294" s="470"/>
      <c r="KWH294" s="470"/>
      <c r="KWI294" s="306"/>
      <c r="KWJ294" s="317"/>
      <c r="KWK294" s="471"/>
      <c r="KWL294" s="472"/>
      <c r="KWM294" s="471"/>
      <c r="KWN294" s="473"/>
      <c r="KWO294" s="474"/>
      <c r="KWP294" s="475"/>
      <c r="KWQ294" s="476"/>
      <c r="KWR294" s="477"/>
      <c r="KWS294" s="475"/>
      <c r="KWT294" s="478"/>
      <c r="KWU294" s="479"/>
      <c r="KWV294" s="480"/>
      <c r="KWW294" s="481"/>
      <c r="KWX294" s="481"/>
      <c r="KWY294" s="482"/>
      <c r="KWZ294" s="189"/>
      <c r="KXA294" s="189"/>
      <c r="KXB294" s="483"/>
      <c r="KXC294" s="306"/>
      <c r="KXD294" s="484"/>
      <c r="KXE294" s="306"/>
      <c r="KXF294" s="267"/>
      <c r="KXG294" s="268"/>
      <c r="KXH294" s="306"/>
      <c r="KXI294" s="268"/>
      <c r="KXJ294" s="306"/>
      <c r="KXK294" s="485"/>
      <c r="KXL294" s="306"/>
      <c r="KXM294" s="486"/>
      <c r="KXN294" s="487"/>
      <c r="KXO294" s="488"/>
      <c r="KXP294" s="489"/>
      <c r="KXQ294" s="488"/>
      <c r="KXR294" s="468"/>
      <c r="KXS294" s="469"/>
      <c r="KXT294" s="470"/>
      <c r="KXU294" s="470"/>
      <c r="KXV294" s="306"/>
      <c r="KXW294" s="317"/>
      <c r="KXX294" s="471"/>
      <c r="KXY294" s="472"/>
      <c r="KXZ294" s="471"/>
      <c r="KYA294" s="473"/>
      <c r="KYB294" s="474"/>
      <c r="KYC294" s="475"/>
      <c r="KYD294" s="476"/>
      <c r="KYE294" s="477"/>
      <c r="KYF294" s="475"/>
      <c r="KYG294" s="478"/>
      <c r="KYH294" s="479"/>
      <c r="KYI294" s="480"/>
      <c r="KYJ294" s="481"/>
      <c r="KYK294" s="481"/>
      <c r="KYL294" s="482"/>
      <c r="KYM294" s="189"/>
      <c r="KYN294" s="189"/>
      <c r="KYO294" s="483"/>
      <c r="KYP294" s="306"/>
      <c r="KYQ294" s="484"/>
      <c r="KYR294" s="306"/>
      <c r="KYS294" s="267"/>
      <c r="KYT294" s="268"/>
      <c r="KYU294" s="306"/>
      <c r="KYV294" s="268"/>
      <c r="KYW294" s="306"/>
      <c r="KYX294" s="485"/>
      <c r="KYY294" s="306"/>
      <c r="KYZ294" s="486"/>
      <c r="KZA294" s="487"/>
      <c r="KZB294" s="488"/>
      <c r="KZC294" s="489"/>
      <c r="KZD294" s="488"/>
      <c r="KZE294" s="468"/>
      <c r="KZF294" s="469"/>
      <c r="KZG294" s="470"/>
      <c r="KZH294" s="470"/>
      <c r="KZI294" s="306"/>
      <c r="KZJ294" s="317"/>
      <c r="KZK294" s="471"/>
      <c r="KZL294" s="472"/>
      <c r="KZM294" s="471"/>
      <c r="KZN294" s="473"/>
      <c r="KZO294" s="474"/>
      <c r="KZP294" s="475"/>
      <c r="KZQ294" s="476"/>
      <c r="KZR294" s="477"/>
      <c r="KZS294" s="475"/>
      <c r="KZT294" s="478"/>
      <c r="KZU294" s="479"/>
      <c r="KZV294" s="480"/>
      <c r="KZW294" s="481"/>
      <c r="KZX294" s="481"/>
      <c r="KZY294" s="482"/>
      <c r="KZZ294" s="189"/>
      <c r="LAA294" s="189"/>
      <c r="LAB294" s="483"/>
      <c r="LAC294" s="306"/>
      <c r="LAD294" s="484"/>
      <c r="LAE294" s="306"/>
      <c r="LAF294" s="267"/>
      <c r="LAG294" s="268"/>
      <c r="LAH294" s="306"/>
      <c r="LAI294" s="268"/>
      <c r="LAJ294" s="306"/>
      <c r="LAK294" s="485"/>
      <c r="LAL294" s="306"/>
      <c r="LAM294" s="486"/>
      <c r="LAN294" s="487"/>
      <c r="LAO294" s="488"/>
      <c r="LAP294" s="489"/>
      <c r="LAQ294" s="488"/>
      <c r="LAR294" s="468"/>
      <c r="LAS294" s="469"/>
      <c r="LAT294" s="470"/>
      <c r="LAU294" s="470"/>
      <c r="LAV294" s="306"/>
      <c r="LAW294" s="317"/>
      <c r="LAX294" s="471"/>
      <c r="LAY294" s="472"/>
      <c r="LAZ294" s="471"/>
      <c r="LBA294" s="473"/>
      <c r="LBB294" s="474"/>
      <c r="LBC294" s="475"/>
      <c r="LBD294" s="476"/>
      <c r="LBE294" s="477"/>
      <c r="LBF294" s="475"/>
      <c r="LBG294" s="478"/>
      <c r="LBH294" s="479"/>
      <c r="LBI294" s="480"/>
      <c r="LBJ294" s="481"/>
      <c r="LBK294" s="481"/>
      <c r="LBL294" s="482"/>
      <c r="LBM294" s="189"/>
      <c r="LBN294" s="189"/>
      <c r="LBO294" s="483"/>
      <c r="LBP294" s="306"/>
      <c r="LBQ294" s="484"/>
      <c r="LBR294" s="306"/>
      <c r="LBS294" s="267"/>
      <c r="LBT294" s="268"/>
      <c r="LBU294" s="306"/>
      <c r="LBV294" s="268"/>
      <c r="LBW294" s="306"/>
      <c r="LBX294" s="485"/>
      <c r="LBY294" s="306"/>
      <c r="LBZ294" s="486"/>
      <c r="LCA294" s="487"/>
      <c r="LCB294" s="488"/>
      <c r="LCC294" s="489"/>
      <c r="LCD294" s="488"/>
      <c r="LCE294" s="468"/>
      <c r="LCF294" s="469"/>
      <c r="LCG294" s="470"/>
      <c r="LCH294" s="470"/>
      <c r="LCI294" s="306"/>
      <c r="LCJ294" s="317"/>
      <c r="LCK294" s="471"/>
      <c r="LCL294" s="472"/>
      <c r="LCM294" s="471"/>
      <c r="LCN294" s="473"/>
      <c r="LCO294" s="474"/>
      <c r="LCP294" s="475"/>
      <c r="LCQ294" s="476"/>
      <c r="LCR294" s="477"/>
      <c r="LCS294" s="475"/>
      <c r="LCT294" s="478"/>
      <c r="LCU294" s="479"/>
      <c r="LCV294" s="480"/>
      <c r="LCW294" s="481"/>
      <c r="LCX294" s="481"/>
      <c r="LCY294" s="482"/>
      <c r="LCZ294" s="189"/>
      <c r="LDA294" s="189"/>
      <c r="LDB294" s="483"/>
      <c r="LDC294" s="306"/>
      <c r="LDD294" s="484"/>
      <c r="LDE294" s="306"/>
      <c r="LDF294" s="267"/>
      <c r="LDG294" s="268"/>
      <c r="LDH294" s="306"/>
      <c r="LDI294" s="268"/>
      <c r="LDJ294" s="306"/>
      <c r="LDK294" s="485"/>
      <c r="LDL294" s="306"/>
      <c r="LDM294" s="486"/>
      <c r="LDN294" s="487"/>
      <c r="LDO294" s="488"/>
      <c r="LDP294" s="489"/>
      <c r="LDQ294" s="488"/>
      <c r="LDR294" s="468"/>
      <c r="LDS294" s="469"/>
      <c r="LDT294" s="470"/>
      <c r="LDU294" s="470"/>
      <c r="LDV294" s="306"/>
      <c r="LDW294" s="317"/>
      <c r="LDX294" s="471"/>
      <c r="LDY294" s="472"/>
      <c r="LDZ294" s="471"/>
      <c r="LEA294" s="473"/>
      <c r="LEB294" s="474"/>
      <c r="LEC294" s="475"/>
      <c r="LED294" s="476"/>
      <c r="LEE294" s="477"/>
      <c r="LEF294" s="475"/>
      <c r="LEG294" s="478"/>
      <c r="LEH294" s="479"/>
      <c r="LEI294" s="480"/>
      <c r="LEJ294" s="481"/>
      <c r="LEK294" s="481"/>
      <c r="LEL294" s="482"/>
      <c r="LEM294" s="189"/>
      <c r="LEN294" s="189"/>
      <c r="LEO294" s="483"/>
      <c r="LEP294" s="306"/>
      <c r="LEQ294" s="484"/>
      <c r="LER294" s="306"/>
      <c r="LES294" s="267"/>
      <c r="LET294" s="268"/>
      <c r="LEU294" s="306"/>
      <c r="LEV294" s="268"/>
      <c r="LEW294" s="306"/>
      <c r="LEX294" s="485"/>
      <c r="LEY294" s="306"/>
      <c r="LEZ294" s="486"/>
      <c r="LFA294" s="487"/>
      <c r="LFB294" s="488"/>
      <c r="LFC294" s="489"/>
      <c r="LFD294" s="488"/>
      <c r="LFE294" s="468"/>
      <c r="LFF294" s="469"/>
      <c r="LFG294" s="470"/>
      <c r="LFH294" s="470"/>
      <c r="LFI294" s="306"/>
      <c r="LFJ294" s="317"/>
      <c r="LFK294" s="471"/>
      <c r="LFL294" s="472"/>
      <c r="LFM294" s="471"/>
      <c r="LFN294" s="473"/>
      <c r="LFO294" s="474"/>
      <c r="LFP294" s="475"/>
      <c r="LFQ294" s="476"/>
      <c r="LFR294" s="477"/>
      <c r="LFS294" s="475"/>
      <c r="LFT294" s="478"/>
      <c r="LFU294" s="479"/>
      <c r="LFV294" s="480"/>
      <c r="LFW294" s="481"/>
      <c r="LFX294" s="481"/>
      <c r="LFY294" s="482"/>
      <c r="LFZ294" s="189"/>
      <c r="LGA294" s="189"/>
      <c r="LGB294" s="483"/>
      <c r="LGC294" s="306"/>
      <c r="LGD294" s="484"/>
      <c r="LGE294" s="306"/>
      <c r="LGF294" s="267"/>
      <c r="LGG294" s="268"/>
      <c r="LGH294" s="306"/>
      <c r="LGI294" s="268"/>
      <c r="LGJ294" s="306"/>
      <c r="LGK294" s="485"/>
      <c r="LGL294" s="306"/>
      <c r="LGM294" s="486"/>
      <c r="LGN294" s="487"/>
      <c r="LGO294" s="488"/>
      <c r="LGP294" s="489"/>
      <c r="LGQ294" s="488"/>
      <c r="LGR294" s="468"/>
      <c r="LGS294" s="469"/>
      <c r="LGT294" s="470"/>
      <c r="LGU294" s="470"/>
      <c r="LGV294" s="306"/>
      <c r="LGW294" s="317"/>
      <c r="LGX294" s="471"/>
      <c r="LGY294" s="472"/>
      <c r="LGZ294" s="471"/>
      <c r="LHA294" s="473"/>
      <c r="LHB294" s="474"/>
      <c r="LHC294" s="475"/>
      <c r="LHD294" s="476"/>
      <c r="LHE294" s="477"/>
      <c r="LHF294" s="475"/>
      <c r="LHG294" s="478"/>
      <c r="LHH294" s="479"/>
      <c r="LHI294" s="480"/>
      <c r="LHJ294" s="481"/>
      <c r="LHK294" s="481"/>
      <c r="LHL294" s="482"/>
      <c r="LHM294" s="189"/>
      <c r="LHN294" s="189"/>
      <c r="LHO294" s="483"/>
      <c r="LHP294" s="306"/>
      <c r="LHQ294" s="484"/>
      <c r="LHR294" s="306"/>
      <c r="LHS294" s="267"/>
      <c r="LHT294" s="268"/>
      <c r="LHU294" s="306"/>
      <c r="LHV294" s="268"/>
      <c r="LHW294" s="306"/>
      <c r="LHX294" s="485"/>
      <c r="LHY294" s="306"/>
      <c r="LHZ294" s="486"/>
      <c r="LIA294" s="487"/>
      <c r="LIB294" s="488"/>
      <c r="LIC294" s="489"/>
      <c r="LID294" s="488"/>
      <c r="LIE294" s="468"/>
      <c r="LIF294" s="469"/>
      <c r="LIG294" s="470"/>
      <c r="LIH294" s="470"/>
      <c r="LII294" s="306"/>
      <c r="LIJ294" s="317"/>
      <c r="LIK294" s="471"/>
      <c r="LIL294" s="472"/>
      <c r="LIM294" s="471"/>
      <c r="LIN294" s="473"/>
      <c r="LIO294" s="474"/>
      <c r="LIP294" s="475"/>
      <c r="LIQ294" s="476"/>
      <c r="LIR294" s="477"/>
      <c r="LIS294" s="475"/>
      <c r="LIT294" s="478"/>
      <c r="LIU294" s="479"/>
      <c r="LIV294" s="480"/>
      <c r="LIW294" s="481"/>
      <c r="LIX294" s="481"/>
      <c r="LIY294" s="482"/>
      <c r="LIZ294" s="189"/>
      <c r="LJA294" s="189"/>
      <c r="LJB294" s="483"/>
      <c r="LJC294" s="306"/>
      <c r="LJD294" s="484"/>
      <c r="LJE294" s="306"/>
      <c r="LJF294" s="267"/>
      <c r="LJG294" s="268"/>
      <c r="LJH294" s="306"/>
      <c r="LJI294" s="268"/>
      <c r="LJJ294" s="306"/>
      <c r="LJK294" s="485"/>
      <c r="LJL294" s="306"/>
      <c r="LJM294" s="486"/>
      <c r="LJN294" s="487"/>
      <c r="LJO294" s="488"/>
      <c r="LJP294" s="489"/>
      <c r="LJQ294" s="488"/>
      <c r="LJR294" s="468"/>
      <c r="LJS294" s="469"/>
      <c r="LJT294" s="470"/>
      <c r="LJU294" s="470"/>
      <c r="LJV294" s="306"/>
      <c r="LJW294" s="317"/>
      <c r="LJX294" s="471"/>
      <c r="LJY294" s="472"/>
      <c r="LJZ294" s="471"/>
      <c r="LKA294" s="473"/>
      <c r="LKB294" s="474"/>
      <c r="LKC294" s="475"/>
      <c r="LKD294" s="476"/>
      <c r="LKE294" s="477"/>
      <c r="LKF294" s="475"/>
      <c r="LKG294" s="478"/>
      <c r="LKH294" s="479"/>
      <c r="LKI294" s="480"/>
      <c r="LKJ294" s="481"/>
      <c r="LKK294" s="481"/>
      <c r="LKL294" s="482"/>
      <c r="LKM294" s="189"/>
      <c r="LKN294" s="189"/>
      <c r="LKO294" s="483"/>
      <c r="LKP294" s="306"/>
      <c r="LKQ294" s="484"/>
      <c r="LKR294" s="306"/>
      <c r="LKS294" s="267"/>
      <c r="LKT294" s="268"/>
      <c r="LKU294" s="306"/>
      <c r="LKV294" s="268"/>
      <c r="LKW294" s="306"/>
      <c r="LKX294" s="485"/>
      <c r="LKY294" s="306"/>
      <c r="LKZ294" s="486"/>
      <c r="LLA294" s="487"/>
      <c r="LLB294" s="488"/>
      <c r="LLC294" s="489"/>
      <c r="LLD294" s="488"/>
      <c r="LLE294" s="468"/>
      <c r="LLF294" s="469"/>
      <c r="LLG294" s="470"/>
      <c r="LLH294" s="470"/>
      <c r="LLI294" s="306"/>
      <c r="LLJ294" s="317"/>
      <c r="LLK294" s="471"/>
      <c r="LLL294" s="472"/>
      <c r="LLM294" s="471"/>
      <c r="LLN294" s="473"/>
      <c r="LLO294" s="474"/>
      <c r="LLP294" s="475"/>
      <c r="LLQ294" s="476"/>
      <c r="LLR294" s="477"/>
      <c r="LLS294" s="475"/>
      <c r="LLT294" s="478"/>
      <c r="LLU294" s="479"/>
      <c r="LLV294" s="480"/>
      <c r="LLW294" s="481"/>
      <c r="LLX294" s="481"/>
      <c r="LLY294" s="482"/>
      <c r="LLZ294" s="189"/>
      <c r="LMA294" s="189"/>
      <c r="LMB294" s="483"/>
      <c r="LMC294" s="306"/>
      <c r="LMD294" s="484"/>
      <c r="LME294" s="306"/>
      <c r="LMF294" s="267"/>
      <c r="LMG294" s="268"/>
      <c r="LMH294" s="306"/>
      <c r="LMI294" s="268"/>
      <c r="LMJ294" s="306"/>
      <c r="LMK294" s="485"/>
      <c r="LML294" s="306"/>
      <c r="LMM294" s="486"/>
      <c r="LMN294" s="487"/>
      <c r="LMO294" s="488"/>
      <c r="LMP294" s="489"/>
      <c r="LMQ294" s="488"/>
      <c r="LMR294" s="468"/>
      <c r="LMS294" s="469"/>
      <c r="LMT294" s="470"/>
      <c r="LMU294" s="470"/>
      <c r="LMV294" s="306"/>
      <c r="LMW294" s="317"/>
      <c r="LMX294" s="471"/>
      <c r="LMY294" s="472"/>
      <c r="LMZ294" s="471"/>
      <c r="LNA294" s="473"/>
      <c r="LNB294" s="474"/>
      <c r="LNC294" s="475"/>
      <c r="LND294" s="476"/>
      <c r="LNE294" s="477"/>
      <c r="LNF294" s="475"/>
      <c r="LNG294" s="478"/>
      <c r="LNH294" s="479"/>
      <c r="LNI294" s="480"/>
      <c r="LNJ294" s="481"/>
      <c r="LNK294" s="481"/>
      <c r="LNL294" s="482"/>
      <c r="LNM294" s="189"/>
      <c r="LNN294" s="189"/>
      <c r="LNO294" s="483"/>
      <c r="LNP294" s="306"/>
      <c r="LNQ294" s="484"/>
      <c r="LNR294" s="306"/>
      <c r="LNS294" s="267"/>
      <c r="LNT294" s="268"/>
      <c r="LNU294" s="306"/>
      <c r="LNV294" s="268"/>
      <c r="LNW294" s="306"/>
      <c r="LNX294" s="485"/>
      <c r="LNY294" s="306"/>
      <c r="LNZ294" s="486"/>
      <c r="LOA294" s="487"/>
      <c r="LOB294" s="488"/>
      <c r="LOC294" s="489"/>
      <c r="LOD294" s="488"/>
      <c r="LOE294" s="468"/>
      <c r="LOF294" s="469"/>
      <c r="LOG294" s="470"/>
      <c r="LOH294" s="470"/>
      <c r="LOI294" s="306"/>
      <c r="LOJ294" s="317"/>
      <c r="LOK294" s="471"/>
      <c r="LOL294" s="472"/>
      <c r="LOM294" s="471"/>
      <c r="LON294" s="473"/>
      <c r="LOO294" s="474"/>
      <c r="LOP294" s="475"/>
      <c r="LOQ294" s="476"/>
      <c r="LOR294" s="477"/>
      <c r="LOS294" s="475"/>
      <c r="LOT294" s="478"/>
      <c r="LOU294" s="479"/>
      <c r="LOV294" s="480"/>
      <c r="LOW294" s="481"/>
      <c r="LOX294" s="481"/>
      <c r="LOY294" s="482"/>
      <c r="LOZ294" s="189"/>
      <c r="LPA294" s="189"/>
      <c r="LPB294" s="483"/>
      <c r="LPC294" s="306"/>
      <c r="LPD294" s="484"/>
      <c r="LPE294" s="306"/>
      <c r="LPF294" s="267"/>
      <c r="LPG294" s="268"/>
      <c r="LPH294" s="306"/>
      <c r="LPI294" s="268"/>
      <c r="LPJ294" s="306"/>
      <c r="LPK294" s="485"/>
      <c r="LPL294" s="306"/>
      <c r="LPM294" s="486"/>
      <c r="LPN294" s="487"/>
      <c r="LPO294" s="488"/>
      <c r="LPP294" s="489"/>
      <c r="LPQ294" s="488"/>
      <c r="LPR294" s="468"/>
      <c r="LPS294" s="469"/>
      <c r="LPT294" s="470"/>
      <c r="LPU294" s="470"/>
      <c r="LPV294" s="306"/>
      <c r="LPW294" s="317"/>
      <c r="LPX294" s="471"/>
      <c r="LPY294" s="472"/>
      <c r="LPZ294" s="471"/>
      <c r="LQA294" s="473"/>
      <c r="LQB294" s="474"/>
      <c r="LQC294" s="475"/>
      <c r="LQD294" s="476"/>
      <c r="LQE294" s="477"/>
      <c r="LQF294" s="475"/>
      <c r="LQG294" s="478"/>
      <c r="LQH294" s="479"/>
      <c r="LQI294" s="480"/>
      <c r="LQJ294" s="481"/>
      <c r="LQK294" s="481"/>
      <c r="LQL294" s="482"/>
      <c r="LQM294" s="189"/>
      <c r="LQN294" s="189"/>
      <c r="LQO294" s="483"/>
      <c r="LQP294" s="306"/>
      <c r="LQQ294" s="484"/>
      <c r="LQR294" s="306"/>
      <c r="LQS294" s="267"/>
      <c r="LQT294" s="268"/>
      <c r="LQU294" s="306"/>
      <c r="LQV294" s="268"/>
      <c r="LQW294" s="306"/>
      <c r="LQX294" s="485"/>
      <c r="LQY294" s="306"/>
      <c r="LQZ294" s="486"/>
      <c r="LRA294" s="487"/>
      <c r="LRB294" s="488"/>
      <c r="LRC294" s="489"/>
      <c r="LRD294" s="488"/>
      <c r="LRE294" s="468"/>
      <c r="LRF294" s="469"/>
      <c r="LRG294" s="470"/>
      <c r="LRH294" s="470"/>
      <c r="LRI294" s="306"/>
      <c r="LRJ294" s="317"/>
      <c r="LRK294" s="471"/>
      <c r="LRL294" s="472"/>
      <c r="LRM294" s="471"/>
      <c r="LRN294" s="473"/>
      <c r="LRO294" s="474"/>
      <c r="LRP294" s="475"/>
      <c r="LRQ294" s="476"/>
      <c r="LRR294" s="477"/>
      <c r="LRS294" s="475"/>
      <c r="LRT294" s="478"/>
      <c r="LRU294" s="479"/>
      <c r="LRV294" s="480"/>
      <c r="LRW294" s="481"/>
      <c r="LRX294" s="481"/>
      <c r="LRY294" s="482"/>
      <c r="LRZ294" s="189"/>
      <c r="LSA294" s="189"/>
      <c r="LSB294" s="483"/>
      <c r="LSC294" s="306"/>
      <c r="LSD294" s="484"/>
      <c r="LSE294" s="306"/>
      <c r="LSF294" s="267"/>
      <c r="LSG294" s="268"/>
      <c r="LSH294" s="306"/>
      <c r="LSI294" s="268"/>
      <c r="LSJ294" s="306"/>
      <c r="LSK294" s="485"/>
      <c r="LSL294" s="306"/>
      <c r="LSM294" s="486"/>
      <c r="LSN294" s="487"/>
      <c r="LSO294" s="488"/>
      <c r="LSP294" s="489"/>
      <c r="LSQ294" s="488"/>
      <c r="LSR294" s="468"/>
      <c r="LSS294" s="469"/>
      <c r="LST294" s="470"/>
      <c r="LSU294" s="470"/>
      <c r="LSV294" s="306"/>
      <c r="LSW294" s="317"/>
      <c r="LSX294" s="471"/>
      <c r="LSY294" s="472"/>
      <c r="LSZ294" s="471"/>
      <c r="LTA294" s="473"/>
      <c r="LTB294" s="474"/>
      <c r="LTC294" s="475"/>
      <c r="LTD294" s="476"/>
      <c r="LTE294" s="477"/>
      <c r="LTF294" s="475"/>
      <c r="LTG294" s="478"/>
      <c r="LTH294" s="479"/>
      <c r="LTI294" s="480"/>
      <c r="LTJ294" s="481"/>
      <c r="LTK294" s="481"/>
      <c r="LTL294" s="482"/>
      <c r="LTM294" s="189"/>
      <c r="LTN294" s="189"/>
      <c r="LTO294" s="483"/>
      <c r="LTP294" s="306"/>
      <c r="LTQ294" s="484"/>
      <c r="LTR294" s="306"/>
      <c r="LTS294" s="267"/>
      <c r="LTT294" s="268"/>
      <c r="LTU294" s="306"/>
      <c r="LTV294" s="268"/>
      <c r="LTW294" s="306"/>
      <c r="LTX294" s="485"/>
      <c r="LTY294" s="306"/>
      <c r="LTZ294" s="486"/>
      <c r="LUA294" s="487"/>
      <c r="LUB294" s="488"/>
      <c r="LUC294" s="489"/>
      <c r="LUD294" s="488"/>
      <c r="LUE294" s="468"/>
      <c r="LUF294" s="469"/>
      <c r="LUG294" s="470"/>
      <c r="LUH294" s="470"/>
      <c r="LUI294" s="306"/>
      <c r="LUJ294" s="317"/>
      <c r="LUK294" s="471"/>
      <c r="LUL294" s="472"/>
      <c r="LUM294" s="471"/>
      <c r="LUN294" s="473"/>
      <c r="LUO294" s="474"/>
      <c r="LUP294" s="475"/>
      <c r="LUQ294" s="476"/>
      <c r="LUR294" s="477"/>
      <c r="LUS294" s="475"/>
      <c r="LUT294" s="478"/>
      <c r="LUU294" s="479"/>
      <c r="LUV294" s="480"/>
      <c r="LUW294" s="481"/>
      <c r="LUX294" s="481"/>
      <c r="LUY294" s="482"/>
      <c r="LUZ294" s="189"/>
      <c r="LVA294" s="189"/>
      <c r="LVB294" s="483"/>
      <c r="LVC294" s="306"/>
      <c r="LVD294" s="484"/>
      <c r="LVE294" s="306"/>
      <c r="LVF294" s="267"/>
      <c r="LVG294" s="268"/>
      <c r="LVH294" s="306"/>
      <c r="LVI294" s="268"/>
      <c r="LVJ294" s="306"/>
      <c r="LVK294" s="485"/>
      <c r="LVL294" s="306"/>
      <c r="LVM294" s="486"/>
      <c r="LVN294" s="487"/>
      <c r="LVO294" s="488"/>
      <c r="LVP294" s="489"/>
      <c r="LVQ294" s="488"/>
      <c r="LVR294" s="468"/>
      <c r="LVS294" s="469"/>
      <c r="LVT294" s="470"/>
      <c r="LVU294" s="470"/>
      <c r="LVV294" s="306"/>
      <c r="LVW294" s="317"/>
      <c r="LVX294" s="471"/>
      <c r="LVY294" s="472"/>
      <c r="LVZ294" s="471"/>
      <c r="LWA294" s="473"/>
      <c r="LWB294" s="474"/>
      <c r="LWC294" s="475"/>
      <c r="LWD294" s="476"/>
      <c r="LWE294" s="477"/>
      <c r="LWF294" s="475"/>
      <c r="LWG294" s="478"/>
      <c r="LWH294" s="479"/>
      <c r="LWI294" s="480"/>
      <c r="LWJ294" s="481"/>
      <c r="LWK294" s="481"/>
      <c r="LWL294" s="482"/>
      <c r="LWM294" s="189"/>
      <c r="LWN294" s="189"/>
      <c r="LWO294" s="483"/>
      <c r="LWP294" s="306"/>
      <c r="LWQ294" s="484"/>
      <c r="LWR294" s="306"/>
      <c r="LWS294" s="267"/>
      <c r="LWT294" s="268"/>
      <c r="LWU294" s="306"/>
      <c r="LWV294" s="268"/>
      <c r="LWW294" s="306"/>
      <c r="LWX294" s="485"/>
      <c r="LWY294" s="306"/>
      <c r="LWZ294" s="486"/>
      <c r="LXA294" s="487"/>
      <c r="LXB294" s="488"/>
      <c r="LXC294" s="489"/>
      <c r="LXD294" s="488"/>
      <c r="LXE294" s="468"/>
      <c r="LXF294" s="469"/>
      <c r="LXG294" s="470"/>
      <c r="LXH294" s="470"/>
      <c r="LXI294" s="306"/>
      <c r="LXJ294" s="317"/>
      <c r="LXK294" s="471"/>
      <c r="LXL294" s="472"/>
      <c r="LXM294" s="471"/>
      <c r="LXN294" s="473"/>
      <c r="LXO294" s="474"/>
      <c r="LXP294" s="475"/>
      <c r="LXQ294" s="476"/>
      <c r="LXR294" s="477"/>
      <c r="LXS294" s="475"/>
      <c r="LXT294" s="478"/>
      <c r="LXU294" s="479"/>
      <c r="LXV294" s="480"/>
      <c r="LXW294" s="481"/>
      <c r="LXX294" s="481"/>
      <c r="LXY294" s="482"/>
      <c r="LXZ294" s="189"/>
      <c r="LYA294" s="189"/>
      <c r="LYB294" s="483"/>
      <c r="LYC294" s="306"/>
      <c r="LYD294" s="484"/>
      <c r="LYE294" s="306"/>
      <c r="LYF294" s="267"/>
      <c r="LYG294" s="268"/>
      <c r="LYH294" s="306"/>
      <c r="LYI294" s="268"/>
      <c r="LYJ294" s="306"/>
      <c r="LYK294" s="485"/>
      <c r="LYL294" s="306"/>
      <c r="LYM294" s="486"/>
      <c r="LYN294" s="487"/>
      <c r="LYO294" s="488"/>
      <c r="LYP294" s="489"/>
      <c r="LYQ294" s="488"/>
      <c r="LYR294" s="468"/>
      <c r="LYS294" s="469"/>
      <c r="LYT294" s="470"/>
      <c r="LYU294" s="470"/>
      <c r="LYV294" s="306"/>
      <c r="LYW294" s="317"/>
      <c r="LYX294" s="471"/>
      <c r="LYY294" s="472"/>
      <c r="LYZ294" s="471"/>
      <c r="LZA294" s="473"/>
      <c r="LZB294" s="474"/>
      <c r="LZC294" s="475"/>
      <c r="LZD294" s="476"/>
      <c r="LZE294" s="477"/>
      <c r="LZF294" s="475"/>
      <c r="LZG294" s="478"/>
      <c r="LZH294" s="479"/>
      <c r="LZI294" s="480"/>
      <c r="LZJ294" s="481"/>
      <c r="LZK294" s="481"/>
      <c r="LZL294" s="482"/>
      <c r="LZM294" s="189"/>
      <c r="LZN294" s="189"/>
      <c r="LZO294" s="483"/>
      <c r="LZP294" s="306"/>
      <c r="LZQ294" s="484"/>
      <c r="LZR294" s="306"/>
      <c r="LZS294" s="267"/>
      <c r="LZT294" s="268"/>
      <c r="LZU294" s="306"/>
      <c r="LZV294" s="268"/>
      <c r="LZW294" s="306"/>
      <c r="LZX294" s="485"/>
      <c r="LZY294" s="306"/>
      <c r="LZZ294" s="486"/>
      <c r="MAA294" s="487"/>
      <c r="MAB294" s="488"/>
      <c r="MAC294" s="489"/>
      <c r="MAD294" s="488"/>
      <c r="MAE294" s="468"/>
      <c r="MAF294" s="469"/>
      <c r="MAG294" s="470"/>
      <c r="MAH294" s="470"/>
      <c r="MAI294" s="306"/>
      <c r="MAJ294" s="317"/>
      <c r="MAK294" s="471"/>
      <c r="MAL294" s="472"/>
      <c r="MAM294" s="471"/>
      <c r="MAN294" s="473"/>
      <c r="MAO294" s="474"/>
      <c r="MAP294" s="475"/>
      <c r="MAQ294" s="476"/>
      <c r="MAR294" s="477"/>
      <c r="MAS294" s="475"/>
      <c r="MAT294" s="478"/>
      <c r="MAU294" s="479"/>
      <c r="MAV294" s="480"/>
      <c r="MAW294" s="481"/>
      <c r="MAX294" s="481"/>
      <c r="MAY294" s="482"/>
      <c r="MAZ294" s="189"/>
      <c r="MBA294" s="189"/>
      <c r="MBB294" s="483"/>
      <c r="MBC294" s="306"/>
      <c r="MBD294" s="484"/>
      <c r="MBE294" s="306"/>
      <c r="MBF294" s="267"/>
      <c r="MBG294" s="268"/>
      <c r="MBH294" s="306"/>
      <c r="MBI294" s="268"/>
      <c r="MBJ294" s="306"/>
      <c r="MBK294" s="485"/>
      <c r="MBL294" s="306"/>
      <c r="MBM294" s="486"/>
      <c r="MBN294" s="487"/>
      <c r="MBO294" s="488"/>
      <c r="MBP294" s="489"/>
      <c r="MBQ294" s="488"/>
      <c r="MBR294" s="468"/>
      <c r="MBS294" s="469"/>
      <c r="MBT294" s="470"/>
      <c r="MBU294" s="470"/>
      <c r="MBV294" s="306"/>
      <c r="MBW294" s="317"/>
      <c r="MBX294" s="471"/>
      <c r="MBY294" s="472"/>
      <c r="MBZ294" s="471"/>
      <c r="MCA294" s="473"/>
      <c r="MCB294" s="474"/>
      <c r="MCC294" s="475"/>
      <c r="MCD294" s="476"/>
      <c r="MCE294" s="477"/>
      <c r="MCF294" s="475"/>
      <c r="MCG294" s="478"/>
      <c r="MCH294" s="479"/>
      <c r="MCI294" s="480"/>
      <c r="MCJ294" s="481"/>
      <c r="MCK294" s="481"/>
      <c r="MCL294" s="482"/>
      <c r="MCM294" s="189"/>
      <c r="MCN294" s="189"/>
      <c r="MCO294" s="483"/>
      <c r="MCP294" s="306"/>
      <c r="MCQ294" s="484"/>
      <c r="MCR294" s="306"/>
      <c r="MCS294" s="267"/>
      <c r="MCT294" s="268"/>
      <c r="MCU294" s="306"/>
      <c r="MCV294" s="268"/>
      <c r="MCW294" s="306"/>
      <c r="MCX294" s="485"/>
      <c r="MCY294" s="306"/>
      <c r="MCZ294" s="486"/>
      <c r="MDA294" s="487"/>
      <c r="MDB294" s="488"/>
      <c r="MDC294" s="489"/>
      <c r="MDD294" s="488"/>
      <c r="MDE294" s="468"/>
      <c r="MDF294" s="469"/>
      <c r="MDG294" s="470"/>
      <c r="MDH294" s="470"/>
      <c r="MDI294" s="306"/>
      <c r="MDJ294" s="317"/>
      <c r="MDK294" s="471"/>
      <c r="MDL294" s="472"/>
      <c r="MDM294" s="471"/>
      <c r="MDN294" s="473"/>
      <c r="MDO294" s="474"/>
      <c r="MDP294" s="475"/>
      <c r="MDQ294" s="476"/>
      <c r="MDR294" s="477"/>
      <c r="MDS294" s="475"/>
      <c r="MDT294" s="478"/>
      <c r="MDU294" s="479"/>
      <c r="MDV294" s="480"/>
      <c r="MDW294" s="481"/>
      <c r="MDX294" s="481"/>
      <c r="MDY294" s="482"/>
      <c r="MDZ294" s="189"/>
      <c r="MEA294" s="189"/>
      <c r="MEB294" s="483"/>
      <c r="MEC294" s="306"/>
      <c r="MED294" s="484"/>
      <c r="MEE294" s="306"/>
      <c r="MEF294" s="267"/>
      <c r="MEG294" s="268"/>
      <c r="MEH294" s="306"/>
      <c r="MEI294" s="268"/>
      <c r="MEJ294" s="306"/>
      <c r="MEK294" s="485"/>
      <c r="MEL294" s="306"/>
      <c r="MEM294" s="486"/>
      <c r="MEN294" s="487"/>
      <c r="MEO294" s="488"/>
      <c r="MEP294" s="489"/>
      <c r="MEQ294" s="488"/>
      <c r="MER294" s="468"/>
      <c r="MES294" s="469"/>
      <c r="MET294" s="470"/>
      <c r="MEU294" s="470"/>
      <c r="MEV294" s="306"/>
      <c r="MEW294" s="317"/>
      <c r="MEX294" s="471"/>
      <c r="MEY294" s="472"/>
      <c r="MEZ294" s="471"/>
      <c r="MFA294" s="473"/>
      <c r="MFB294" s="474"/>
      <c r="MFC294" s="475"/>
      <c r="MFD294" s="476"/>
      <c r="MFE294" s="477"/>
      <c r="MFF294" s="475"/>
      <c r="MFG294" s="478"/>
      <c r="MFH294" s="479"/>
      <c r="MFI294" s="480"/>
      <c r="MFJ294" s="481"/>
      <c r="MFK294" s="481"/>
      <c r="MFL294" s="482"/>
      <c r="MFM294" s="189"/>
      <c r="MFN294" s="189"/>
      <c r="MFO294" s="483"/>
      <c r="MFP294" s="306"/>
      <c r="MFQ294" s="484"/>
      <c r="MFR294" s="306"/>
      <c r="MFS294" s="267"/>
      <c r="MFT294" s="268"/>
      <c r="MFU294" s="306"/>
      <c r="MFV294" s="268"/>
      <c r="MFW294" s="306"/>
      <c r="MFX294" s="485"/>
      <c r="MFY294" s="306"/>
      <c r="MFZ294" s="486"/>
      <c r="MGA294" s="487"/>
      <c r="MGB294" s="488"/>
      <c r="MGC294" s="489"/>
      <c r="MGD294" s="488"/>
      <c r="MGE294" s="468"/>
      <c r="MGF294" s="469"/>
      <c r="MGG294" s="470"/>
      <c r="MGH294" s="470"/>
      <c r="MGI294" s="306"/>
      <c r="MGJ294" s="317"/>
      <c r="MGK294" s="471"/>
      <c r="MGL294" s="472"/>
      <c r="MGM294" s="471"/>
      <c r="MGN294" s="473"/>
      <c r="MGO294" s="474"/>
      <c r="MGP294" s="475"/>
      <c r="MGQ294" s="476"/>
      <c r="MGR294" s="477"/>
      <c r="MGS294" s="475"/>
      <c r="MGT294" s="478"/>
      <c r="MGU294" s="479"/>
      <c r="MGV294" s="480"/>
      <c r="MGW294" s="481"/>
      <c r="MGX294" s="481"/>
      <c r="MGY294" s="482"/>
      <c r="MGZ294" s="189"/>
      <c r="MHA294" s="189"/>
      <c r="MHB294" s="483"/>
      <c r="MHC294" s="306"/>
      <c r="MHD294" s="484"/>
      <c r="MHE294" s="306"/>
      <c r="MHF294" s="267"/>
      <c r="MHG294" s="268"/>
      <c r="MHH294" s="306"/>
      <c r="MHI294" s="268"/>
      <c r="MHJ294" s="306"/>
      <c r="MHK294" s="485"/>
      <c r="MHL294" s="306"/>
      <c r="MHM294" s="486"/>
      <c r="MHN294" s="487"/>
      <c r="MHO294" s="488"/>
      <c r="MHP294" s="489"/>
      <c r="MHQ294" s="488"/>
      <c r="MHR294" s="468"/>
      <c r="MHS294" s="469"/>
      <c r="MHT294" s="470"/>
      <c r="MHU294" s="470"/>
      <c r="MHV294" s="306"/>
      <c r="MHW294" s="317"/>
      <c r="MHX294" s="471"/>
      <c r="MHY294" s="472"/>
      <c r="MHZ294" s="471"/>
      <c r="MIA294" s="473"/>
      <c r="MIB294" s="474"/>
      <c r="MIC294" s="475"/>
      <c r="MID294" s="476"/>
      <c r="MIE294" s="477"/>
      <c r="MIF294" s="475"/>
      <c r="MIG294" s="478"/>
      <c r="MIH294" s="479"/>
      <c r="MII294" s="480"/>
      <c r="MIJ294" s="481"/>
      <c r="MIK294" s="481"/>
      <c r="MIL294" s="482"/>
      <c r="MIM294" s="189"/>
      <c r="MIN294" s="189"/>
      <c r="MIO294" s="483"/>
      <c r="MIP294" s="306"/>
      <c r="MIQ294" s="484"/>
      <c r="MIR294" s="306"/>
      <c r="MIS294" s="267"/>
      <c r="MIT294" s="268"/>
      <c r="MIU294" s="306"/>
      <c r="MIV294" s="268"/>
      <c r="MIW294" s="306"/>
      <c r="MIX294" s="485"/>
      <c r="MIY294" s="306"/>
      <c r="MIZ294" s="486"/>
      <c r="MJA294" s="487"/>
      <c r="MJB294" s="488"/>
      <c r="MJC294" s="489"/>
      <c r="MJD294" s="488"/>
      <c r="MJE294" s="468"/>
      <c r="MJF294" s="469"/>
      <c r="MJG294" s="470"/>
      <c r="MJH294" s="470"/>
      <c r="MJI294" s="306"/>
      <c r="MJJ294" s="317"/>
      <c r="MJK294" s="471"/>
      <c r="MJL294" s="472"/>
      <c r="MJM294" s="471"/>
      <c r="MJN294" s="473"/>
      <c r="MJO294" s="474"/>
      <c r="MJP294" s="475"/>
      <c r="MJQ294" s="476"/>
      <c r="MJR294" s="477"/>
      <c r="MJS294" s="475"/>
      <c r="MJT294" s="478"/>
      <c r="MJU294" s="479"/>
      <c r="MJV294" s="480"/>
      <c r="MJW294" s="481"/>
      <c r="MJX294" s="481"/>
      <c r="MJY294" s="482"/>
      <c r="MJZ294" s="189"/>
      <c r="MKA294" s="189"/>
      <c r="MKB294" s="483"/>
      <c r="MKC294" s="306"/>
      <c r="MKD294" s="484"/>
      <c r="MKE294" s="306"/>
      <c r="MKF294" s="267"/>
      <c r="MKG294" s="268"/>
      <c r="MKH294" s="306"/>
      <c r="MKI294" s="268"/>
      <c r="MKJ294" s="306"/>
      <c r="MKK294" s="485"/>
      <c r="MKL294" s="306"/>
      <c r="MKM294" s="486"/>
      <c r="MKN294" s="487"/>
      <c r="MKO294" s="488"/>
      <c r="MKP294" s="489"/>
      <c r="MKQ294" s="488"/>
      <c r="MKR294" s="468"/>
      <c r="MKS294" s="469"/>
      <c r="MKT294" s="470"/>
      <c r="MKU294" s="470"/>
      <c r="MKV294" s="306"/>
      <c r="MKW294" s="317"/>
      <c r="MKX294" s="471"/>
      <c r="MKY294" s="472"/>
      <c r="MKZ294" s="471"/>
      <c r="MLA294" s="473"/>
      <c r="MLB294" s="474"/>
      <c r="MLC294" s="475"/>
      <c r="MLD294" s="476"/>
      <c r="MLE294" s="477"/>
      <c r="MLF294" s="475"/>
      <c r="MLG294" s="478"/>
      <c r="MLH294" s="479"/>
      <c r="MLI294" s="480"/>
      <c r="MLJ294" s="481"/>
      <c r="MLK294" s="481"/>
      <c r="MLL294" s="482"/>
      <c r="MLM294" s="189"/>
      <c r="MLN294" s="189"/>
      <c r="MLO294" s="483"/>
      <c r="MLP294" s="306"/>
      <c r="MLQ294" s="484"/>
      <c r="MLR294" s="306"/>
      <c r="MLS294" s="267"/>
      <c r="MLT294" s="268"/>
      <c r="MLU294" s="306"/>
      <c r="MLV294" s="268"/>
      <c r="MLW294" s="306"/>
      <c r="MLX294" s="485"/>
      <c r="MLY294" s="306"/>
      <c r="MLZ294" s="486"/>
      <c r="MMA294" s="487"/>
      <c r="MMB294" s="488"/>
      <c r="MMC294" s="489"/>
      <c r="MMD294" s="488"/>
      <c r="MME294" s="468"/>
      <c r="MMF294" s="469"/>
      <c r="MMG294" s="470"/>
      <c r="MMH294" s="470"/>
      <c r="MMI294" s="306"/>
      <c r="MMJ294" s="317"/>
      <c r="MMK294" s="471"/>
      <c r="MML294" s="472"/>
      <c r="MMM294" s="471"/>
      <c r="MMN294" s="473"/>
      <c r="MMO294" s="474"/>
      <c r="MMP294" s="475"/>
      <c r="MMQ294" s="476"/>
      <c r="MMR294" s="477"/>
      <c r="MMS294" s="475"/>
      <c r="MMT294" s="478"/>
      <c r="MMU294" s="479"/>
      <c r="MMV294" s="480"/>
      <c r="MMW294" s="481"/>
      <c r="MMX294" s="481"/>
      <c r="MMY294" s="482"/>
      <c r="MMZ294" s="189"/>
      <c r="MNA294" s="189"/>
      <c r="MNB294" s="483"/>
      <c r="MNC294" s="306"/>
      <c r="MND294" s="484"/>
      <c r="MNE294" s="306"/>
      <c r="MNF294" s="267"/>
      <c r="MNG294" s="268"/>
      <c r="MNH294" s="306"/>
      <c r="MNI294" s="268"/>
      <c r="MNJ294" s="306"/>
      <c r="MNK294" s="485"/>
      <c r="MNL294" s="306"/>
      <c r="MNM294" s="486"/>
      <c r="MNN294" s="487"/>
      <c r="MNO294" s="488"/>
      <c r="MNP294" s="489"/>
      <c r="MNQ294" s="488"/>
      <c r="MNR294" s="468"/>
      <c r="MNS294" s="469"/>
      <c r="MNT294" s="470"/>
      <c r="MNU294" s="470"/>
      <c r="MNV294" s="306"/>
      <c r="MNW294" s="317"/>
      <c r="MNX294" s="471"/>
      <c r="MNY294" s="472"/>
      <c r="MNZ294" s="471"/>
      <c r="MOA294" s="473"/>
      <c r="MOB294" s="474"/>
      <c r="MOC294" s="475"/>
      <c r="MOD294" s="476"/>
      <c r="MOE294" s="477"/>
      <c r="MOF294" s="475"/>
      <c r="MOG294" s="478"/>
      <c r="MOH294" s="479"/>
      <c r="MOI294" s="480"/>
      <c r="MOJ294" s="481"/>
      <c r="MOK294" s="481"/>
      <c r="MOL294" s="482"/>
      <c r="MOM294" s="189"/>
      <c r="MON294" s="189"/>
      <c r="MOO294" s="483"/>
      <c r="MOP294" s="306"/>
      <c r="MOQ294" s="484"/>
      <c r="MOR294" s="306"/>
      <c r="MOS294" s="267"/>
      <c r="MOT294" s="268"/>
      <c r="MOU294" s="306"/>
      <c r="MOV294" s="268"/>
      <c r="MOW294" s="306"/>
      <c r="MOX294" s="485"/>
      <c r="MOY294" s="306"/>
      <c r="MOZ294" s="486"/>
      <c r="MPA294" s="487"/>
      <c r="MPB294" s="488"/>
      <c r="MPC294" s="489"/>
      <c r="MPD294" s="488"/>
      <c r="MPE294" s="468"/>
      <c r="MPF294" s="469"/>
      <c r="MPG294" s="470"/>
      <c r="MPH294" s="470"/>
      <c r="MPI294" s="306"/>
      <c r="MPJ294" s="317"/>
      <c r="MPK294" s="471"/>
      <c r="MPL294" s="472"/>
      <c r="MPM294" s="471"/>
      <c r="MPN294" s="473"/>
      <c r="MPO294" s="474"/>
      <c r="MPP294" s="475"/>
      <c r="MPQ294" s="476"/>
      <c r="MPR294" s="477"/>
      <c r="MPS294" s="475"/>
      <c r="MPT294" s="478"/>
      <c r="MPU294" s="479"/>
      <c r="MPV294" s="480"/>
      <c r="MPW294" s="481"/>
      <c r="MPX294" s="481"/>
      <c r="MPY294" s="482"/>
      <c r="MPZ294" s="189"/>
      <c r="MQA294" s="189"/>
      <c r="MQB294" s="483"/>
      <c r="MQC294" s="306"/>
      <c r="MQD294" s="484"/>
      <c r="MQE294" s="306"/>
      <c r="MQF294" s="267"/>
      <c r="MQG294" s="268"/>
      <c r="MQH294" s="306"/>
      <c r="MQI294" s="268"/>
      <c r="MQJ294" s="306"/>
      <c r="MQK294" s="485"/>
      <c r="MQL294" s="306"/>
      <c r="MQM294" s="486"/>
      <c r="MQN294" s="487"/>
      <c r="MQO294" s="488"/>
      <c r="MQP294" s="489"/>
      <c r="MQQ294" s="488"/>
      <c r="MQR294" s="468"/>
      <c r="MQS294" s="469"/>
      <c r="MQT294" s="470"/>
      <c r="MQU294" s="470"/>
      <c r="MQV294" s="306"/>
      <c r="MQW294" s="317"/>
      <c r="MQX294" s="471"/>
      <c r="MQY294" s="472"/>
      <c r="MQZ294" s="471"/>
      <c r="MRA294" s="473"/>
      <c r="MRB294" s="474"/>
      <c r="MRC294" s="475"/>
      <c r="MRD294" s="476"/>
      <c r="MRE294" s="477"/>
      <c r="MRF294" s="475"/>
      <c r="MRG294" s="478"/>
      <c r="MRH294" s="479"/>
      <c r="MRI294" s="480"/>
      <c r="MRJ294" s="481"/>
      <c r="MRK294" s="481"/>
      <c r="MRL294" s="482"/>
      <c r="MRM294" s="189"/>
      <c r="MRN294" s="189"/>
      <c r="MRO294" s="483"/>
      <c r="MRP294" s="306"/>
      <c r="MRQ294" s="484"/>
      <c r="MRR294" s="306"/>
      <c r="MRS294" s="267"/>
      <c r="MRT294" s="268"/>
      <c r="MRU294" s="306"/>
      <c r="MRV294" s="268"/>
      <c r="MRW294" s="306"/>
      <c r="MRX294" s="485"/>
      <c r="MRY294" s="306"/>
      <c r="MRZ294" s="486"/>
      <c r="MSA294" s="487"/>
      <c r="MSB294" s="488"/>
      <c r="MSC294" s="489"/>
      <c r="MSD294" s="488"/>
      <c r="MSE294" s="468"/>
      <c r="MSF294" s="469"/>
      <c r="MSG294" s="470"/>
      <c r="MSH294" s="470"/>
      <c r="MSI294" s="306"/>
      <c r="MSJ294" s="317"/>
      <c r="MSK294" s="471"/>
      <c r="MSL294" s="472"/>
      <c r="MSM294" s="471"/>
      <c r="MSN294" s="473"/>
      <c r="MSO294" s="474"/>
      <c r="MSP294" s="475"/>
      <c r="MSQ294" s="476"/>
      <c r="MSR294" s="477"/>
      <c r="MSS294" s="475"/>
      <c r="MST294" s="478"/>
      <c r="MSU294" s="479"/>
      <c r="MSV294" s="480"/>
      <c r="MSW294" s="481"/>
      <c r="MSX294" s="481"/>
      <c r="MSY294" s="482"/>
      <c r="MSZ294" s="189"/>
      <c r="MTA294" s="189"/>
      <c r="MTB294" s="483"/>
      <c r="MTC294" s="306"/>
      <c r="MTD294" s="484"/>
      <c r="MTE294" s="306"/>
      <c r="MTF294" s="267"/>
      <c r="MTG294" s="268"/>
      <c r="MTH294" s="306"/>
      <c r="MTI294" s="268"/>
      <c r="MTJ294" s="306"/>
      <c r="MTK294" s="485"/>
      <c r="MTL294" s="306"/>
      <c r="MTM294" s="486"/>
      <c r="MTN294" s="487"/>
      <c r="MTO294" s="488"/>
      <c r="MTP294" s="489"/>
      <c r="MTQ294" s="488"/>
      <c r="MTR294" s="468"/>
      <c r="MTS294" s="469"/>
      <c r="MTT294" s="470"/>
      <c r="MTU294" s="470"/>
      <c r="MTV294" s="306"/>
      <c r="MTW294" s="317"/>
      <c r="MTX294" s="471"/>
      <c r="MTY294" s="472"/>
      <c r="MTZ294" s="471"/>
      <c r="MUA294" s="473"/>
      <c r="MUB294" s="474"/>
      <c r="MUC294" s="475"/>
      <c r="MUD294" s="476"/>
      <c r="MUE294" s="477"/>
      <c r="MUF294" s="475"/>
      <c r="MUG294" s="478"/>
      <c r="MUH294" s="479"/>
      <c r="MUI294" s="480"/>
      <c r="MUJ294" s="481"/>
      <c r="MUK294" s="481"/>
      <c r="MUL294" s="482"/>
      <c r="MUM294" s="189"/>
      <c r="MUN294" s="189"/>
      <c r="MUO294" s="483"/>
      <c r="MUP294" s="306"/>
      <c r="MUQ294" s="484"/>
      <c r="MUR294" s="306"/>
      <c r="MUS294" s="267"/>
      <c r="MUT294" s="268"/>
      <c r="MUU294" s="306"/>
      <c r="MUV294" s="268"/>
      <c r="MUW294" s="306"/>
      <c r="MUX294" s="485"/>
      <c r="MUY294" s="306"/>
      <c r="MUZ294" s="486"/>
      <c r="MVA294" s="487"/>
      <c r="MVB294" s="488"/>
      <c r="MVC294" s="489"/>
      <c r="MVD294" s="488"/>
      <c r="MVE294" s="468"/>
      <c r="MVF294" s="469"/>
      <c r="MVG294" s="470"/>
      <c r="MVH294" s="470"/>
      <c r="MVI294" s="306"/>
      <c r="MVJ294" s="317"/>
      <c r="MVK294" s="471"/>
      <c r="MVL294" s="472"/>
      <c r="MVM294" s="471"/>
      <c r="MVN294" s="473"/>
      <c r="MVO294" s="474"/>
      <c r="MVP294" s="475"/>
      <c r="MVQ294" s="476"/>
      <c r="MVR294" s="477"/>
      <c r="MVS294" s="475"/>
      <c r="MVT294" s="478"/>
      <c r="MVU294" s="479"/>
      <c r="MVV294" s="480"/>
      <c r="MVW294" s="481"/>
      <c r="MVX294" s="481"/>
      <c r="MVY294" s="482"/>
      <c r="MVZ294" s="189"/>
      <c r="MWA294" s="189"/>
      <c r="MWB294" s="483"/>
      <c r="MWC294" s="306"/>
      <c r="MWD294" s="484"/>
      <c r="MWE294" s="306"/>
      <c r="MWF294" s="267"/>
      <c r="MWG294" s="268"/>
      <c r="MWH294" s="306"/>
      <c r="MWI294" s="268"/>
      <c r="MWJ294" s="306"/>
      <c r="MWK294" s="485"/>
      <c r="MWL294" s="306"/>
      <c r="MWM294" s="486"/>
      <c r="MWN294" s="487"/>
      <c r="MWO294" s="488"/>
      <c r="MWP294" s="489"/>
      <c r="MWQ294" s="488"/>
      <c r="MWR294" s="468"/>
      <c r="MWS294" s="469"/>
      <c r="MWT294" s="470"/>
      <c r="MWU294" s="470"/>
      <c r="MWV294" s="306"/>
      <c r="MWW294" s="317"/>
      <c r="MWX294" s="471"/>
      <c r="MWY294" s="472"/>
      <c r="MWZ294" s="471"/>
      <c r="MXA294" s="473"/>
      <c r="MXB294" s="474"/>
      <c r="MXC294" s="475"/>
      <c r="MXD294" s="476"/>
      <c r="MXE294" s="477"/>
      <c r="MXF294" s="475"/>
      <c r="MXG294" s="478"/>
      <c r="MXH294" s="479"/>
      <c r="MXI294" s="480"/>
      <c r="MXJ294" s="481"/>
      <c r="MXK294" s="481"/>
      <c r="MXL294" s="482"/>
      <c r="MXM294" s="189"/>
      <c r="MXN294" s="189"/>
      <c r="MXO294" s="483"/>
      <c r="MXP294" s="306"/>
      <c r="MXQ294" s="484"/>
      <c r="MXR294" s="306"/>
      <c r="MXS294" s="267"/>
      <c r="MXT294" s="268"/>
      <c r="MXU294" s="306"/>
      <c r="MXV294" s="268"/>
      <c r="MXW294" s="306"/>
      <c r="MXX294" s="485"/>
      <c r="MXY294" s="306"/>
      <c r="MXZ294" s="486"/>
      <c r="MYA294" s="487"/>
      <c r="MYB294" s="488"/>
      <c r="MYC294" s="489"/>
      <c r="MYD294" s="488"/>
      <c r="MYE294" s="468"/>
      <c r="MYF294" s="469"/>
      <c r="MYG294" s="470"/>
      <c r="MYH294" s="470"/>
      <c r="MYI294" s="306"/>
      <c r="MYJ294" s="317"/>
      <c r="MYK294" s="471"/>
      <c r="MYL294" s="472"/>
      <c r="MYM294" s="471"/>
      <c r="MYN294" s="473"/>
      <c r="MYO294" s="474"/>
      <c r="MYP294" s="475"/>
      <c r="MYQ294" s="476"/>
      <c r="MYR294" s="477"/>
      <c r="MYS294" s="475"/>
      <c r="MYT294" s="478"/>
      <c r="MYU294" s="479"/>
      <c r="MYV294" s="480"/>
      <c r="MYW294" s="481"/>
      <c r="MYX294" s="481"/>
      <c r="MYY294" s="482"/>
      <c r="MYZ294" s="189"/>
      <c r="MZA294" s="189"/>
      <c r="MZB294" s="483"/>
      <c r="MZC294" s="306"/>
      <c r="MZD294" s="484"/>
      <c r="MZE294" s="306"/>
      <c r="MZF294" s="267"/>
      <c r="MZG294" s="268"/>
      <c r="MZH294" s="306"/>
      <c r="MZI294" s="268"/>
      <c r="MZJ294" s="306"/>
      <c r="MZK294" s="485"/>
      <c r="MZL294" s="306"/>
      <c r="MZM294" s="486"/>
      <c r="MZN294" s="487"/>
      <c r="MZO294" s="488"/>
      <c r="MZP294" s="489"/>
      <c r="MZQ294" s="488"/>
      <c r="MZR294" s="468"/>
      <c r="MZS294" s="469"/>
      <c r="MZT294" s="470"/>
      <c r="MZU294" s="470"/>
      <c r="MZV294" s="306"/>
      <c r="MZW294" s="317"/>
      <c r="MZX294" s="471"/>
      <c r="MZY294" s="472"/>
      <c r="MZZ294" s="471"/>
      <c r="NAA294" s="473"/>
      <c r="NAB294" s="474"/>
      <c r="NAC294" s="475"/>
      <c r="NAD294" s="476"/>
      <c r="NAE294" s="477"/>
      <c r="NAF294" s="475"/>
      <c r="NAG294" s="478"/>
      <c r="NAH294" s="479"/>
      <c r="NAI294" s="480"/>
      <c r="NAJ294" s="481"/>
      <c r="NAK294" s="481"/>
      <c r="NAL294" s="482"/>
      <c r="NAM294" s="189"/>
      <c r="NAN294" s="189"/>
      <c r="NAO294" s="483"/>
      <c r="NAP294" s="306"/>
      <c r="NAQ294" s="484"/>
      <c r="NAR294" s="306"/>
      <c r="NAS294" s="267"/>
      <c r="NAT294" s="268"/>
      <c r="NAU294" s="306"/>
      <c r="NAV294" s="268"/>
      <c r="NAW294" s="306"/>
      <c r="NAX294" s="485"/>
      <c r="NAY294" s="306"/>
      <c r="NAZ294" s="486"/>
      <c r="NBA294" s="487"/>
      <c r="NBB294" s="488"/>
      <c r="NBC294" s="489"/>
      <c r="NBD294" s="488"/>
      <c r="NBE294" s="468"/>
      <c r="NBF294" s="469"/>
      <c r="NBG294" s="470"/>
      <c r="NBH294" s="470"/>
      <c r="NBI294" s="306"/>
      <c r="NBJ294" s="317"/>
      <c r="NBK294" s="471"/>
      <c r="NBL294" s="472"/>
      <c r="NBM294" s="471"/>
      <c r="NBN294" s="473"/>
      <c r="NBO294" s="474"/>
      <c r="NBP294" s="475"/>
      <c r="NBQ294" s="476"/>
      <c r="NBR294" s="477"/>
      <c r="NBS294" s="475"/>
      <c r="NBT294" s="478"/>
      <c r="NBU294" s="479"/>
      <c r="NBV294" s="480"/>
      <c r="NBW294" s="481"/>
      <c r="NBX294" s="481"/>
      <c r="NBY294" s="482"/>
      <c r="NBZ294" s="189"/>
      <c r="NCA294" s="189"/>
      <c r="NCB294" s="483"/>
      <c r="NCC294" s="306"/>
      <c r="NCD294" s="484"/>
      <c r="NCE294" s="306"/>
      <c r="NCF294" s="267"/>
      <c r="NCG294" s="268"/>
      <c r="NCH294" s="306"/>
      <c r="NCI294" s="268"/>
      <c r="NCJ294" s="306"/>
      <c r="NCK294" s="485"/>
      <c r="NCL294" s="306"/>
      <c r="NCM294" s="486"/>
      <c r="NCN294" s="487"/>
      <c r="NCO294" s="488"/>
      <c r="NCP294" s="489"/>
      <c r="NCQ294" s="488"/>
      <c r="NCR294" s="468"/>
      <c r="NCS294" s="469"/>
      <c r="NCT294" s="470"/>
      <c r="NCU294" s="470"/>
      <c r="NCV294" s="306"/>
      <c r="NCW294" s="317"/>
      <c r="NCX294" s="471"/>
      <c r="NCY294" s="472"/>
      <c r="NCZ294" s="471"/>
      <c r="NDA294" s="473"/>
      <c r="NDB294" s="474"/>
      <c r="NDC294" s="475"/>
      <c r="NDD294" s="476"/>
      <c r="NDE294" s="477"/>
      <c r="NDF294" s="475"/>
      <c r="NDG294" s="478"/>
      <c r="NDH294" s="479"/>
      <c r="NDI294" s="480"/>
      <c r="NDJ294" s="481"/>
      <c r="NDK294" s="481"/>
      <c r="NDL294" s="482"/>
      <c r="NDM294" s="189"/>
      <c r="NDN294" s="189"/>
      <c r="NDO294" s="483"/>
      <c r="NDP294" s="306"/>
      <c r="NDQ294" s="484"/>
      <c r="NDR294" s="306"/>
      <c r="NDS294" s="267"/>
      <c r="NDT294" s="268"/>
      <c r="NDU294" s="306"/>
      <c r="NDV294" s="268"/>
      <c r="NDW294" s="306"/>
      <c r="NDX294" s="485"/>
      <c r="NDY294" s="306"/>
      <c r="NDZ294" s="486"/>
      <c r="NEA294" s="487"/>
      <c r="NEB294" s="488"/>
      <c r="NEC294" s="489"/>
      <c r="NED294" s="488"/>
      <c r="NEE294" s="468"/>
      <c r="NEF294" s="469"/>
      <c r="NEG294" s="470"/>
      <c r="NEH294" s="470"/>
      <c r="NEI294" s="306"/>
      <c r="NEJ294" s="317"/>
      <c r="NEK294" s="471"/>
      <c r="NEL294" s="472"/>
      <c r="NEM294" s="471"/>
      <c r="NEN294" s="473"/>
      <c r="NEO294" s="474"/>
      <c r="NEP294" s="475"/>
      <c r="NEQ294" s="476"/>
      <c r="NER294" s="477"/>
      <c r="NES294" s="475"/>
      <c r="NET294" s="478"/>
      <c r="NEU294" s="479"/>
      <c r="NEV294" s="480"/>
      <c r="NEW294" s="481"/>
      <c r="NEX294" s="481"/>
      <c r="NEY294" s="482"/>
      <c r="NEZ294" s="189"/>
      <c r="NFA294" s="189"/>
      <c r="NFB294" s="483"/>
      <c r="NFC294" s="306"/>
      <c r="NFD294" s="484"/>
      <c r="NFE294" s="306"/>
      <c r="NFF294" s="267"/>
      <c r="NFG294" s="268"/>
      <c r="NFH294" s="306"/>
      <c r="NFI294" s="268"/>
      <c r="NFJ294" s="306"/>
      <c r="NFK294" s="485"/>
      <c r="NFL294" s="306"/>
      <c r="NFM294" s="486"/>
      <c r="NFN294" s="487"/>
      <c r="NFO294" s="488"/>
      <c r="NFP294" s="489"/>
      <c r="NFQ294" s="488"/>
      <c r="NFR294" s="468"/>
      <c r="NFS294" s="469"/>
      <c r="NFT294" s="470"/>
      <c r="NFU294" s="470"/>
      <c r="NFV294" s="306"/>
      <c r="NFW294" s="317"/>
      <c r="NFX294" s="471"/>
      <c r="NFY294" s="472"/>
      <c r="NFZ294" s="471"/>
      <c r="NGA294" s="473"/>
      <c r="NGB294" s="474"/>
      <c r="NGC294" s="475"/>
      <c r="NGD294" s="476"/>
      <c r="NGE294" s="477"/>
      <c r="NGF294" s="475"/>
      <c r="NGG294" s="478"/>
      <c r="NGH294" s="479"/>
      <c r="NGI294" s="480"/>
      <c r="NGJ294" s="481"/>
      <c r="NGK294" s="481"/>
      <c r="NGL294" s="482"/>
      <c r="NGM294" s="189"/>
      <c r="NGN294" s="189"/>
      <c r="NGO294" s="483"/>
      <c r="NGP294" s="306"/>
      <c r="NGQ294" s="484"/>
      <c r="NGR294" s="306"/>
      <c r="NGS294" s="267"/>
      <c r="NGT294" s="268"/>
      <c r="NGU294" s="306"/>
      <c r="NGV294" s="268"/>
      <c r="NGW294" s="306"/>
      <c r="NGX294" s="485"/>
      <c r="NGY294" s="306"/>
      <c r="NGZ294" s="486"/>
      <c r="NHA294" s="487"/>
      <c r="NHB294" s="488"/>
      <c r="NHC294" s="489"/>
      <c r="NHD294" s="488"/>
      <c r="NHE294" s="468"/>
      <c r="NHF294" s="469"/>
      <c r="NHG294" s="470"/>
      <c r="NHH294" s="470"/>
      <c r="NHI294" s="306"/>
      <c r="NHJ294" s="317"/>
      <c r="NHK294" s="471"/>
      <c r="NHL294" s="472"/>
      <c r="NHM294" s="471"/>
      <c r="NHN294" s="473"/>
      <c r="NHO294" s="474"/>
      <c r="NHP294" s="475"/>
      <c r="NHQ294" s="476"/>
      <c r="NHR294" s="477"/>
      <c r="NHS294" s="475"/>
      <c r="NHT294" s="478"/>
      <c r="NHU294" s="479"/>
      <c r="NHV294" s="480"/>
      <c r="NHW294" s="481"/>
      <c r="NHX294" s="481"/>
      <c r="NHY294" s="482"/>
      <c r="NHZ294" s="189"/>
      <c r="NIA294" s="189"/>
      <c r="NIB294" s="483"/>
      <c r="NIC294" s="306"/>
      <c r="NID294" s="484"/>
      <c r="NIE294" s="306"/>
      <c r="NIF294" s="267"/>
      <c r="NIG294" s="268"/>
      <c r="NIH294" s="306"/>
      <c r="NII294" s="268"/>
      <c r="NIJ294" s="306"/>
      <c r="NIK294" s="485"/>
      <c r="NIL294" s="306"/>
      <c r="NIM294" s="486"/>
      <c r="NIN294" s="487"/>
      <c r="NIO294" s="488"/>
      <c r="NIP294" s="489"/>
      <c r="NIQ294" s="488"/>
      <c r="NIR294" s="468"/>
      <c r="NIS294" s="469"/>
      <c r="NIT294" s="470"/>
      <c r="NIU294" s="470"/>
      <c r="NIV294" s="306"/>
      <c r="NIW294" s="317"/>
      <c r="NIX294" s="471"/>
      <c r="NIY294" s="472"/>
      <c r="NIZ294" s="471"/>
      <c r="NJA294" s="473"/>
      <c r="NJB294" s="474"/>
      <c r="NJC294" s="475"/>
      <c r="NJD294" s="476"/>
      <c r="NJE294" s="477"/>
      <c r="NJF294" s="475"/>
      <c r="NJG294" s="478"/>
      <c r="NJH294" s="479"/>
      <c r="NJI294" s="480"/>
      <c r="NJJ294" s="481"/>
      <c r="NJK294" s="481"/>
      <c r="NJL294" s="482"/>
      <c r="NJM294" s="189"/>
      <c r="NJN294" s="189"/>
      <c r="NJO294" s="483"/>
      <c r="NJP294" s="306"/>
      <c r="NJQ294" s="484"/>
      <c r="NJR294" s="306"/>
      <c r="NJS294" s="267"/>
      <c r="NJT294" s="268"/>
      <c r="NJU294" s="306"/>
      <c r="NJV294" s="268"/>
      <c r="NJW294" s="306"/>
      <c r="NJX294" s="485"/>
      <c r="NJY294" s="306"/>
      <c r="NJZ294" s="486"/>
      <c r="NKA294" s="487"/>
      <c r="NKB294" s="488"/>
      <c r="NKC294" s="489"/>
      <c r="NKD294" s="488"/>
      <c r="NKE294" s="468"/>
      <c r="NKF294" s="469"/>
      <c r="NKG294" s="470"/>
      <c r="NKH294" s="470"/>
      <c r="NKI294" s="306"/>
      <c r="NKJ294" s="317"/>
      <c r="NKK294" s="471"/>
      <c r="NKL294" s="472"/>
      <c r="NKM294" s="471"/>
      <c r="NKN294" s="473"/>
      <c r="NKO294" s="474"/>
      <c r="NKP294" s="475"/>
      <c r="NKQ294" s="476"/>
      <c r="NKR294" s="477"/>
      <c r="NKS294" s="475"/>
      <c r="NKT294" s="478"/>
      <c r="NKU294" s="479"/>
      <c r="NKV294" s="480"/>
      <c r="NKW294" s="481"/>
      <c r="NKX294" s="481"/>
      <c r="NKY294" s="482"/>
      <c r="NKZ294" s="189"/>
      <c r="NLA294" s="189"/>
      <c r="NLB294" s="483"/>
      <c r="NLC294" s="306"/>
      <c r="NLD294" s="484"/>
      <c r="NLE294" s="306"/>
      <c r="NLF294" s="267"/>
      <c r="NLG294" s="268"/>
      <c r="NLH294" s="306"/>
      <c r="NLI294" s="268"/>
      <c r="NLJ294" s="306"/>
      <c r="NLK294" s="485"/>
      <c r="NLL294" s="306"/>
      <c r="NLM294" s="486"/>
      <c r="NLN294" s="487"/>
      <c r="NLO294" s="488"/>
      <c r="NLP294" s="489"/>
      <c r="NLQ294" s="488"/>
      <c r="NLR294" s="468"/>
      <c r="NLS294" s="469"/>
      <c r="NLT294" s="470"/>
      <c r="NLU294" s="470"/>
      <c r="NLV294" s="306"/>
      <c r="NLW294" s="317"/>
      <c r="NLX294" s="471"/>
      <c r="NLY294" s="472"/>
      <c r="NLZ294" s="471"/>
      <c r="NMA294" s="473"/>
      <c r="NMB294" s="474"/>
      <c r="NMC294" s="475"/>
      <c r="NMD294" s="476"/>
      <c r="NME294" s="477"/>
      <c r="NMF294" s="475"/>
      <c r="NMG294" s="478"/>
      <c r="NMH294" s="479"/>
      <c r="NMI294" s="480"/>
      <c r="NMJ294" s="481"/>
      <c r="NMK294" s="481"/>
      <c r="NML294" s="482"/>
      <c r="NMM294" s="189"/>
      <c r="NMN294" s="189"/>
      <c r="NMO294" s="483"/>
      <c r="NMP294" s="306"/>
      <c r="NMQ294" s="484"/>
      <c r="NMR294" s="306"/>
      <c r="NMS294" s="267"/>
      <c r="NMT294" s="268"/>
      <c r="NMU294" s="306"/>
      <c r="NMV294" s="268"/>
      <c r="NMW294" s="306"/>
      <c r="NMX294" s="485"/>
      <c r="NMY294" s="306"/>
      <c r="NMZ294" s="486"/>
      <c r="NNA294" s="487"/>
      <c r="NNB294" s="488"/>
      <c r="NNC294" s="489"/>
      <c r="NND294" s="488"/>
      <c r="NNE294" s="468"/>
      <c r="NNF294" s="469"/>
      <c r="NNG294" s="470"/>
      <c r="NNH294" s="470"/>
      <c r="NNI294" s="306"/>
      <c r="NNJ294" s="317"/>
      <c r="NNK294" s="471"/>
      <c r="NNL294" s="472"/>
      <c r="NNM294" s="471"/>
      <c r="NNN294" s="473"/>
      <c r="NNO294" s="474"/>
      <c r="NNP294" s="475"/>
      <c r="NNQ294" s="476"/>
      <c r="NNR294" s="477"/>
      <c r="NNS294" s="475"/>
      <c r="NNT294" s="478"/>
      <c r="NNU294" s="479"/>
      <c r="NNV294" s="480"/>
      <c r="NNW294" s="481"/>
      <c r="NNX294" s="481"/>
      <c r="NNY294" s="482"/>
      <c r="NNZ294" s="189"/>
      <c r="NOA294" s="189"/>
      <c r="NOB294" s="483"/>
      <c r="NOC294" s="306"/>
      <c r="NOD294" s="484"/>
      <c r="NOE294" s="306"/>
      <c r="NOF294" s="267"/>
      <c r="NOG294" s="268"/>
      <c r="NOH294" s="306"/>
      <c r="NOI294" s="268"/>
      <c r="NOJ294" s="306"/>
      <c r="NOK294" s="485"/>
      <c r="NOL294" s="306"/>
      <c r="NOM294" s="486"/>
      <c r="NON294" s="487"/>
      <c r="NOO294" s="488"/>
      <c r="NOP294" s="489"/>
      <c r="NOQ294" s="488"/>
      <c r="NOR294" s="468"/>
      <c r="NOS294" s="469"/>
      <c r="NOT294" s="470"/>
      <c r="NOU294" s="470"/>
      <c r="NOV294" s="306"/>
      <c r="NOW294" s="317"/>
      <c r="NOX294" s="471"/>
      <c r="NOY294" s="472"/>
      <c r="NOZ294" s="471"/>
      <c r="NPA294" s="473"/>
      <c r="NPB294" s="474"/>
      <c r="NPC294" s="475"/>
      <c r="NPD294" s="476"/>
      <c r="NPE294" s="477"/>
      <c r="NPF294" s="475"/>
      <c r="NPG294" s="478"/>
      <c r="NPH294" s="479"/>
      <c r="NPI294" s="480"/>
      <c r="NPJ294" s="481"/>
      <c r="NPK294" s="481"/>
      <c r="NPL294" s="482"/>
      <c r="NPM294" s="189"/>
      <c r="NPN294" s="189"/>
      <c r="NPO294" s="483"/>
      <c r="NPP294" s="306"/>
      <c r="NPQ294" s="484"/>
      <c r="NPR294" s="306"/>
      <c r="NPS294" s="267"/>
      <c r="NPT294" s="268"/>
      <c r="NPU294" s="306"/>
      <c r="NPV294" s="268"/>
      <c r="NPW294" s="306"/>
      <c r="NPX294" s="485"/>
      <c r="NPY294" s="306"/>
      <c r="NPZ294" s="486"/>
      <c r="NQA294" s="487"/>
      <c r="NQB294" s="488"/>
      <c r="NQC294" s="489"/>
      <c r="NQD294" s="488"/>
      <c r="NQE294" s="468"/>
      <c r="NQF294" s="469"/>
      <c r="NQG294" s="470"/>
      <c r="NQH294" s="470"/>
      <c r="NQI294" s="306"/>
      <c r="NQJ294" s="317"/>
      <c r="NQK294" s="471"/>
      <c r="NQL294" s="472"/>
      <c r="NQM294" s="471"/>
      <c r="NQN294" s="473"/>
      <c r="NQO294" s="474"/>
      <c r="NQP294" s="475"/>
      <c r="NQQ294" s="476"/>
      <c r="NQR294" s="477"/>
      <c r="NQS294" s="475"/>
      <c r="NQT294" s="478"/>
      <c r="NQU294" s="479"/>
      <c r="NQV294" s="480"/>
      <c r="NQW294" s="481"/>
      <c r="NQX294" s="481"/>
      <c r="NQY294" s="482"/>
      <c r="NQZ294" s="189"/>
      <c r="NRA294" s="189"/>
      <c r="NRB294" s="483"/>
      <c r="NRC294" s="306"/>
      <c r="NRD294" s="484"/>
      <c r="NRE294" s="306"/>
      <c r="NRF294" s="267"/>
      <c r="NRG294" s="268"/>
      <c r="NRH294" s="306"/>
      <c r="NRI294" s="268"/>
      <c r="NRJ294" s="306"/>
      <c r="NRK294" s="485"/>
      <c r="NRL294" s="306"/>
      <c r="NRM294" s="486"/>
      <c r="NRN294" s="487"/>
      <c r="NRO294" s="488"/>
      <c r="NRP294" s="489"/>
      <c r="NRQ294" s="488"/>
      <c r="NRR294" s="468"/>
      <c r="NRS294" s="469"/>
      <c r="NRT294" s="470"/>
      <c r="NRU294" s="470"/>
      <c r="NRV294" s="306"/>
      <c r="NRW294" s="317"/>
      <c r="NRX294" s="471"/>
      <c r="NRY294" s="472"/>
      <c r="NRZ294" s="471"/>
      <c r="NSA294" s="473"/>
      <c r="NSB294" s="474"/>
      <c r="NSC294" s="475"/>
      <c r="NSD294" s="476"/>
      <c r="NSE294" s="477"/>
      <c r="NSF294" s="475"/>
      <c r="NSG294" s="478"/>
      <c r="NSH294" s="479"/>
      <c r="NSI294" s="480"/>
      <c r="NSJ294" s="481"/>
      <c r="NSK294" s="481"/>
      <c r="NSL294" s="482"/>
      <c r="NSM294" s="189"/>
      <c r="NSN294" s="189"/>
      <c r="NSO294" s="483"/>
      <c r="NSP294" s="306"/>
      <c r="NSQ294" s="484"/>
      <c r="NSR294" s="306"/>
      <c r="NSS294" s="267"/>
      <c r="NST294" s="268"/>
      <c r="NSU294" s="306"/>
      <c r="NSV294" s="268"/>
      <c r="NSW294" s="306"/>
      <c r="NSX294" s="485"/>
      <c r="NSY294" s="306"/>
      <c r="NSZ294" s="486"/>
      <c r="NTA294" s="487"/>
      <c r="NTB294" s="488"/>
      <c r="NTC294" s="489"/>
      <c r="NTD294" s="488"/>
      <c r="NTE294" s="468"/>
      <c r="NTF294" s="469"/>
      <c r="NTG294" s="470"/>
      <c r="NTH294" s="470"/>
      <c r="NTI294" s="306"/>
      <c r="NTJ294" s="317"/>
      <c r="NTK294" s="471"/>
      <c r="NTL294" s="472"/>
      <c r="NTM294" s="471"/>
      <c r="NTN294" s="473"/>
      <c r="NTO294" s="474"/>
      <c r="NTP294" s="475"/>
      <c r="NTQ294" s="476"/>
      <c r="NTR294" s="477"/>
      <c r="NTS294" s="475"/>
      <c r="NTT294" s="478"/>
      <c r="NTU294" s="479"/>
      <c r="NTV294" s="480"/>
      <c r="NTW294" s="481"/>
      <c r="NTX294" s="481"/>
      <c r="NTY294" s="482"/>
      <c r="NTZ294" s="189"/>
      <c r="NUA294" s="189"/>
      <c r="NUB294" s="483"/>
      <c r="NUC294" s="306"/>
      <c r="NUD294" s="484"/>
      <c r="NUE294" s="306"/>
      <c r="NUF294" s="267"/>
      <c r="NUG294" s="268"/>
      <c r="NUH294" s="306"/>
      <c r="NUI294" s="268"/>
      <c r="NUJ294" s="306"/>
      <c r="NUK294" s="485"/>
      <c r="NUL294" s="306"/>
      <c r="NUM294" s="486"/>
      <c r="NUN294" s="487"/>
      <c r="NUO294" s="488"/>
      <c r="NUP294" s="489"/>
      <c r="NUQ294" s="488"/>
      <c r="NUR294" s="468"/>
      <c r="NUS294" s="469"/>
      <c r="NUT294" s="470"/>
      <c r="NUU294" s="470"/>
      <c r="NUV294" s="306"/>
      <c r="NUW294" s="317"/>
      <c r="NUX294" s="471"/>
      <c r="NUY294" s="472"/>
      <c r="NUZ294" s="471"/>
      <c r="NVA294" s="473"/>
      <c r="NVB294" s="474"/>
      <c r="NVC294" s="475"/>
      <c r="NVD294" s="476"/>
      <c r="NVE294" s="477"/>
      <c r="NVF294" s="475"/>
      <c r="NVG294" s="478"/>
      <c r="NVH294" s="479"/>
      <c r="NVI294" s="480"/>
      <c r="NVJ294" s="481"/>
      <c r="NVK294" s="481"/>
      <c r="NVL294" s="482"/>
      <c r="NVM294" s="189"/>
      <c r="NVN294" s="189"/>
      <c r="NVO294" s="483"/>
      <c r="NVP294" s="306"/>
      <c r="NVQ294" s="484"/>
      <c r="NVR294" s="306"/>
      <c r="NVS294" s="267"/>
      <c r="NVT294" s="268"/>
      <c r="NVU294" s="306"/>
      <c r="NVV294" s="268"/>
      <c r="NVW294" s="306"/>
      <c r="NVX294" s="485"/>
      <c r="NVY294" s="306"/>
      <c r="NVZ294" s="486"/>
      <c r="NWA294" s="487"/>
      <c r="NWB294" s="488"/>
      <c r="NWC294" s="489"/>
      <c r="NWD294" s="488"/>
      <c r="NWE294" s="468"/>
      <c r="NWF294" s="469"/>
      <c r="NWG294" s="470"/>
      <c r="NWH294" s="470"/>
      <c r="NWI294" s="306"/>
      <c r="NWJ294" s="317"/>
      <c r="NWK294" s="471"/>
      <c r="NWL294" s="472"/>
      <c r="NWM294" s="471"/>
      <c r="NWN294" s="473"/>
      <c r="NWO294" s="474"/>
      <c r="NWP294" s="475"/>
      <c r="NWQ294" s="476"/>
      <c r="NWR294" s="477"/>
      <c r="NWS294" s="475"/>
      <c r="NWT294" s="478"/>
      <c r="NWU294" s="479"/>
      <c r="NWV294" s="480"/>
      <c r="NWW294" s="481"/>
      <c r="NWX294" s="481"/>
      <c r="NWY294" s="482"/>
      <c r="NWZ294" s="189"/>
      <c r="NXA294" s="189"/>
      <c r="NXB294" s="483"/>
      <c r="NXC294" s="306"/>
      <c r="NXD294" s="484"/>
      <c r="NXE294" s="306"/>
      <c r="NXF294" s="267"/>
      <c r="NXG294" s="268"/>
      <c r="NXH294" s="306"/>
      <c r="NXI294" s="268"/>
      <c r="NXJ294" s="306"/>
      <c r="NXK294" s="485"/>
      <c r="NXL294" s="306"/>
      <c r="NXM294" s="486"/>
      <c r="NXN294" s="487"/>
      <c r="NXO294" s="488"/>
      <c r="NXP294" s="489"/>
      <c r="NXQ294" s="488"/>
      <c r="NXR294" s="468"/>
      <c r="NXS294" s="469"/>
      <c r="NXT294" s="470"/>
      <c r="NXU294" s="470"/>
      <c r="NXV294" s="306"/>
      <c r="NXW294" s="317"/>
      <c r="NXX294" s="471"/>
      <c r="NXY294" s="472"/>
      <c r="NXZ294" s="471"/>
      <c r="NYA294" s="473"/>
      <c r="NYB294" s="474"/>
      <c r="NYC294" s="475"/>
      <c r="NYD294" s="476"/>
      <c r="NYE294" s="477"/>
      <c r="NYF294" s="475"/>
      <c r="NYG294" s="478"/>
      <c r="NYH294" s="479"/>
      <c r="NYI294" s="480"/>
      <c r="NYJ294" s="481"/>
      <c r="NYK294" s="481"/>
      <c r="NYL294" s="482"/>
      <c r="NYM294" s="189"/>
      <c r="NYN294" s="189"/>
      <c r="NYO294" s="483"/>
      <c r="NYP294" s="306"/>
      <c r="NYQ294" s="484"/>
      <c r="NYR294" s="306"/>
      <c r="NYS294" s="267"/>
      <c r="NYT294" s="268"/>
      <c r="NYU294" s="306"/>
      <c r="NYV294" s="268"/>
      <c r="NYW294" s="306"/>
      <c r="NYX294" s="485"/>
      <c r="NYY294" s="306"/>
      <c r="NYZ294" s="486"/>
      <c r="NZA294" s="487"/>
      <c r="NZB294" s="488"/>
      <c r="NZC294" s="489"/>
      <c r="NZD294" s="488"/>
      <c r="NZE294" s="468"/>
      <c r="NZF294" s="469"/>
      <c r="NZG294" s="470"/>
      <c r="NZH294" s="470"/>
      <c r="NZI294" s="306"/>
      <c r="NZJ294" s="317"/>
      <c r="NZK294" s="471"/>
      <c r="NZL294" s="472"/>
      <c r="NZM294" s="471"/>
      <c r="NZN294" s="473"/>
      <c r="NZO294" s="474"/>
      <c r="NZP294" s="475"/>
      <c r="NZQ294" s="476"/>
      <c r="NZR294" s="477"/>
      <c r="NZS294" s="475"/>
      <c r="NZT294" s="478"/>
      <c r="NZU294" s="479"/>
      <c r="NZV294" s="480"/>
      <c r="NZW294" s="481"/>
      <c r="NZX294" s="481"/>
      <c r="NZY294" s="482"/>
      <c r="NZZ294" s="189"/>
      <c r="OAA294" s="189"/>
      <c r="OAB294" s="483"/>
      <c r="OAC294" s="306"/>
      <c r="OAD294" s="484"/>
      <c r="OAE294" s="306"/>
      <c r="OAF294" s="267"/>
      <c r="OAG294" s="268"/>
      <c r="OAH294" s="306"/>
      <c r="OAI294" s="268"/>
      <c r="OAJ294" s="306"/>
      <c r="OAK294" s="485"/>
      <c r="OAL294" s="306"/>
      <c r="OAM294" s="486"/>
      <c r="OAN294" s="487"/>
      <c r="OAO294" s="488"/>
      <c r="OAP294" s="489"/>
      <c r="OAQ294" s="488"/>
      <c r="OAR294" s="468"/>
      <c r="OAS294" s="469"/>
      <c r="OAT294" s="470"/>
      <c r="OAU294" s="470"/>
      <c r="OAV294" s="306"/>
      <c r="OAW294" s="317"/>
      <c r="OAX294" s="471"/>
      <c r="OAY294" s="472"/>
      <c r="OAZ294" s="471"/>
      <c r="OBA294" s="473"/>
      <c r="OBB294" s="474"/>
      <c r="OBC294" s="475"/>
      <c r="OBD294" s="476"/>
      <c r="OBE294" s="477"/>
      <c r="OBF294" s="475"/>
      <c r="OBG294" s="478"/>
      <c r="OBH294" s="479"/>
      <c r="OBI294" s="480"/>
      <c r="OBJ294" s="481"/>
      <c r="OBK294" s="481"/>
      <c r="OBL294" s="482"/>
      <c r="OBM294" s="189"/>
      <c r="OBN294" s="189"/>
      <c r="OBO294" s="483"/>
      <c r="OBP294" s="306"/>
      <c r="OBQ294" s="484"/>
      <c r="OBR294" s="306"/>
      <c r="OBS294" s="267"/>
      <c r="OBT294" s="268"/>
      <c r="OBU294" s="306"/>
      <c r="OBV294" s="268"/>
      <c r="OBW294" s="306"/>
      <c r="OBX294" s="485"/>
      <c r="OBY294" s="306"/>
      <c r="OBZ294" s="486"/>
      <c r="OCA294" s="487"/>
      <c r="OCB294" s="488"/>
      <c r="OCC294" s="489"/>
      <c r="OCD294" s="488"/>
      <c r="OCE294" s="468"/>
      <c r="OCF294" s="469"/>
      <c r="OCG294" s="470"/>
      <c r="OCH294" s="470"/>
      <c r="OCI294" s="306"/>
      <c r="OCJ294" s="317"/>
      <c r="OCK294" s="471"/>
      <c r="OCL294" s="472"/>
      <c r="OCM294" s="471"/>
      <c r="OCN294" s="473"/>
      <c r="OCO294" s="474"/>
      <c r="OCP294" s="475"/>
      <c r="OCQ294" s="476"/>
      <c r="OCR294" s="477"/>
      <c r="OCS294" s="475"/>
      <c r="OCT294" s="478"/>
      <c r="OCU294" s="479"/>
      <c r="OCV294" s="480"/>
      <c r="OCW294" s="481"/>
      <c r="OCX294" s="481"/>
      <c r="OCY294" s="482"/>
      <c r="OCZ294" s="189"/>
      <c r="ODA294" s="189"/>
      <c r="ODB294" s="483"/>
      <c r="ODC294" s="306"/>
      <c r="ODD294" s="484"/>
      <c r="ODE294" s="306"/>
      <c r="ODF294" s="267"/>
      <c r="ODG294" s="268"/>
      <c r="ODH294" s="306"/>
      <c r="ODI294" s="268"/>
      <c r="ODJ294" s="306"/>
      <c r="ODK294" s="485"/>
      <c r="ODL294" s="306"/>
      <c r="ODM294" s="486"/>
      <c r="ODN294" s="487"/>
      <c r="ODO294" s="488"/>
      <c r="ODP294" s="489"/>
      <c r="ODQ294" s="488"/>
      <c r="ODR294" s="468"/>
      <c r="ODS294" s="469"/>
      <c r="ODT294" s="470"/>
      <c r="ODU294" s="470"/>
      <c r="ODV294" s="306"/>
      <c r="ODW294" s="317"/>
      <c r="ODX294" s="471"/>
      <c r="ODY294" s="472"/>
      <c r="ODZ294" s="471"/>
      <c r="OEA294" s="473"/>
      <c r="OEB294" s="474"/>
      <c r="OEC294" s="475"/>
      <c r="OED294" s="476"/>
      <c r="OEE294" s="477"/>
      <c r="OEF294" s="475"/>
      <c r="OEG294" s="478"/>
      <c r="OEH294" s="479"/>
      <c r="OEI294" s="480"/>
      <c r="OEJ294" s="481"/>
      <c r="OEK294" s="481"/>
      <c r="OEL294" s="482"/>
      <c r="OEM294" s="189"/>
      <c r="OEN294" s="189"/>
      <c r="OEO294" s="483"/>
      <c r="OEP294" s="306"/>
      <c r="OEQ294" s="484"/>
      <c r="OER294" s="306"/>
      <c r="OES294" s="267"/>
      <c r="OET294" s="268"/>
      <c r="OEU294" s="306"/>
      <c r="OEV294" s="268"/>
      <c r="OEW294" s="306"/>
      <c r="OEX294" s="485"/>
      <c r="OEY294" s="306"/>
      <c r="OEZ294" s="486"/>
      <c r="OFA294" s="487"/>
      <c r="OFB294" s="488"/>
      <c r="OFC294" s="489"/>
      <c r="OFD294" s="488"/>
      <c r="OFE294" s="468"/>
      <c r="OFF294" s="469"/>
      <c r="OFG294" s="470"/>
      <c r="OFH294" s="470"/>
      <c r="OFI294" s="306"/>
      <c r="OFJ294" s="317"/>
      <c r="OFK294" s="471"/>
      <c r="OFL294" s="472"/>
      <c r="OFM294" s="471"/>
      <c r="OFN294" s="473"/>
      <c r="OFO294" s="474"/>
      <c r="OFP294" s="475"/>
      <c r="OFQ294" s="476"/>
      <c r="OFR294" s="477"/>
      <c r="OFS294" s="475"/>
      <c r="OFT294" s="478"/>
      <c r="OFU294" s="479"/>
      <c r="OFV294" s="480"/>
      <c r="OFW294" s="481"/>
      <c r="OFX294" s="481"/>
      <c r="OFY294" s="482"/>
      <c r="OFZ294" s="189"/>
      <c r="OGA294" s="189"/>
      <c r="OGB294" s="483"/>
      <c r="OGC294" s="306"/>
      <c r="OGD294" s="484"/>
      <c r="OGE294" s="306"/>
      <c r="OGF294" s="267"/>
      <c r="OGG294" s="268"/>
      <c r="OGH294" s="306"/>
      <c r="OGI294" s="268"/>
      <c r="OGJ294" s="306"/>
      <c r="OGK294" s="485"/>
      <c r="OGL294" s="306"/>
      <c r="OGM294" s="486"/>
      <c r="OGN294" s="487"/>
      <c r="OGO294" s="488"/>
      <c r="OGP294" s="489"/>
      <c r="OGQ294" s="488"/>
      <c r="OGR294" s="468"/>
      <c r="OGS294" s="469"/>
      <c r="OGT294" s="470"/>
      <c r="OGU294" s="470"/>
      <c r="OGV294" s="306"/>
      <c r="OGW294" s="317"/>
      <c r="OGX294" s="471"/>
      <c r="OGY294" s="472"/>
      <c r="OGZ294" s="471"/>
      <c r="OHA294" s="473"/>
      <c r="OHB294" s="474"/>
      <c r="OHC294" s="475"/>
      <c r="OHD294" s="476"/>
      <c r="OHE294" s="477"/>
      <c r="OHF294" s="475"/>
      <c r="OHG294" s="478"/>
      <c r="OHH294" s="479"/>
      <c r="OHI294" s="480"/>
      <c r="OHJ294" s="481"/>
      <c r="OHK294" s="481"/>
      <c r="OHL294" s="482"/>
      <c r="OHM294" s="189"/>
      <c r="OHN294" s="189"/>
      <c r="OHO294" s="483"/>
      <c r="OHP294" s="306"/>
      <c r="OHQ294" s="484"/>
      <c r="OHR294" s="306"/>
      <c r="OHS294" s="267"/>
      <c r="OHT294" s="268"/>
      <c r="OHU294" s="306"/>
      <c r="OHV294" s="268"/>
      <c r="OHW294" s="306"/>
      <c r="OHX294" s="485"/>
      <c r="OHY294" s="306"/>
      <c r="OHZ294" s="486"/>
      <c r="OIA294" s="487"/>
      <c r="OIB294" s="488"/>
      <c r="OIC294" s="489"/>
      <c r="OID294" s="488"/>
      <c r="OIE294" s="468"/>
      <c r="OIF294" s="469"/>
      <c r="OIG294" s="470"/>
      <c r="OIH294" s="470"/>
      <c r="OII294" s="306"/>
      <c r="OIJ294" s="317"/>
      <c r="OIK294" s="471"/>
      <c r="OIL294" s="472"/>
      <c r="OIM294" s="471"/>
      <c r="OIN294" s="473"/>
      <c r="OIO294" s="474"/>
      <c r="OIP294" s="475"/>
      <c r="OIQ294" s="476"/>
      <c r="OIR294" s="477"/>
      <c r="OIS294" s="475"/>
      <c r="OIT294" s="478"/>
      <c r="OIU294" s="479"/>
      <c r="OIV294" s="480"/>
      <c r="OIW294" s="481"/>
      <c r="OIX294" s="481"/>
      <c r="OIY294" s="482"/>
      <c r="OIZ294" s="189"/>
      <c r="OJA294" s="189"/>
      <c r="OJB294" s="483"/>
      <c r="OJC294" s="306"/>
      <c r="OJD294" s="484"/>
      <c r="OJE294" s="306"/>
      <c r="OJF294" s="267"/>
      <c r="OJG294" s="268"/>
      <c r="OJH294" s="306"/>
      <c r="OJI294" s="268"/>
      <c r="OJJ294" s="306"/>
      <c r="OJK294" s="485"/>
      <c r="OJL294" s="306"/>
      <c r="OJM294" s="486"/>
      <c r="OJN294" s="487"/>
      <c r="OJO294" s="488"/>
      <c r="OJP294" s="489"/>
      <c r="OJQ294" s="488"/>
      <c r="OJR294" s="468"/>
      <c r="OJS294" s="469"/>
      <c r="OJT294" s="470"/>
      <c r="OJU294" s="470"/>
      <c r="OJV294" s="306"/>
      <c r="OJW294" s="317"/>
      <c r="OJX294" s="471"/>
      <c r="OJY294" s="472"/>
      <c r="OJZ294" s="471"/>
      <c r="OKA294" s="473"/>
      <c r="OKB294" s="474"/>
      <c r="OKC294" s="475"/>
      <c r="OKD294" s="476"/>
      <c r="OKE294" s="477"/>
      <c r="OKF294" s="475"/>
      <c r="OKG294" s="478"/>
      <c r="OKH294" s="479"/>
      <c r="OKI294" s="480"/>
      <c r="OKJ294" s="481"/>
      <c r="OKK294" s="481"/>
      <c r="OKL294" s="482"/>
      <c r="OKM294" s="189"/>
      <c r="OKN294" s="189"/>
      <c r="OKO294" s="483"/>
      <c r="OKP294" s="306"/>
      <c r="OKQ294" s="484"/>
      <c r="OKR294" s="306"/>
      <c r="OKS294" s="267"/>
      <c r="OKT294" s="268"/>
      <c r="OKU294" s="306"/>
      <c r="OKV294" s="268"/>
      <c r="OKW294" s="306"/>
      <c r="OKX294" s="485"/>
      <c r="OKY294" s="306"/>
      <c r="OKZ294" s="486"/>
      <c r="OLA294" s="487"/>
      <c r="OLB294" s="488"/>
      <c r="OLC294" s="489"/>
      <c r="OLD294" s="488"/>
      <c r="OLE294" s="468"/>
      <c r="OLF294" s="469"/>
      <c r="OLG294" s="470"/>
      <c r="OLH294" s="470"/>
      <c r="OLI294" s="306"/>
      <c r="OLJ294" s="317"/>
      <c r="OLK294" s="471"/>
      <c r="OLL294" s="472"/>
      <c r="OLM294" s="471"/>
      <c r="OLN294" s="473"/>
      <c r="OLO294" s="474"/>
      <c r="OLP294" s="475"/>
      <c r="OLQ294" s="476"/>
      <c r="OLR294" s="477"/>
      <c r="OLS294" s="475"/>
      <c r="OLT294" s="478"/>
      <c r="OLU294" s="479"/>
      <c r="OLV294" s="480"/>
      <c r="OLW294" s="481"/>
      <c r="OLX294" s="481"/>
      <c r="OLY294" s="482"/>
      <c r="OLZ294" s="189"/>
      <c r="OMA294" s="189"/>
      <c r="OMB294" s="483"/>
      <c r="OMC294" s="306"/>
      <c r="OMD294" s="484"/>
      <c r="OME294" s="306"/>
      <c r="OMF294" s="267"/>
      <c r="OMG294" s="268"/>
      <c r="OMH294" s="306"/>
      <c r="OMI294" s="268"/>
      <c r="OMJ294" s="306"/>
      <c r="OMK294" s="485"/>
      <c r="OML294" s="306"/>
      <c r="OMM294" s="486"/>
      <c r="OMN294" s="487"/>
      <c r="OMO294" s="488"/>
      <c r="OMP294" s="489"/>
      <c r="OMQ294" s="488"/>
      <c r="OMR294" s="468"/>
      <c r="OMS294" s="469"/>
      <c r="OMT294" s="470"/>
      <c r="OMU294" s="470"/>
      <c r="OMV294" s="306"/>
      <c r="OMW294" s="317"/>
      <c r="OMX294" s="471"/>
      <c r="OMY294" s="472"/>
      <c r="OMZ294" s="471"/>
      <c r="ONA294" s="473"/>
      <c r="ONB294" s="474"/>
      <c r="ONC294" s="475"/>
      <c r="OND294" s="476"/>
      <c r="ONE294" s="477"/>
      <c r="ONF294" s="475"/>
      <c r="ONG294" s="478"/>
      <c r="ONH294" s="479"/>
      <c r="ONI294" s="480"/>
      <c r="ONJ294" s="481"/>
      <c r="ONK294" s="481"/>
      <c r="ONL294" s="482"/>
      <c r="ONM294" s="189"/>
      <c r="ONN294" s="189"/>
      <c r="ONO294" s="483"/>
      <c r="ONP294" s="306"/>
      <c r="ONQ294" s="484"/>
      <c r="ONR294" s="306"/>
      <c r="ONS294" s="267"/>
      <c r="ONT294" s="268"/>
      <c r="ONU294" s="306"/>
      <c r="ONV294" s="268"/>
      <c r="ONW294" s="306"/>
      <c r="ONX294" s="485"/>
      <c r="ONY294" s="306"/>
      <c r="ONZ294" s="486"/>
      <c r="OOA294" s="487"/>
      <c r="OOB294" s="488"/>
      <c r="OOC294" s="489"/>
      <c r="OOD294" s="488"/>
      <c r="OOE294" s="468"/>
      <c r="OOF294" s="469"/>
      <c r="OOG294" s="470"/>
      <c r="OOH294" s="470"/>
      <c r="OOI294" s="306"/>
      <c r="OOJ294" s="317"/>
      <c r="OOK294" s="471"/>
      <c r="OOL294" s="472"/>
      <c r="OOM294" s="471"/>
      <c r="OON294" s="473"/>
      <c r="OOO294" s="474"/>
      <c r="OOP294" s="475"/>
      <c r="OOQ294" s="476"/>
      <c r="OOR294" s="477"/>
      <c r="OOS294" s="475"/>
      <c r="OOT294" s="478"/>
      <c r="OOU294" s="479"/>
      <c r="OOV294" s="480"/>
      <c r="OOW294" s="481"/>
      <c r="OOX294" s="481"/>
      <c r="OOY294" s="482"/>
      <c r="OOZ294" s="189"/>
      <c r="OPA294" s="189"/>
      <c r="OPB294" s="483"/>
      <c r="OPC294" s="306"/>
      <c r="OPD294" s="484"/>
      <c r="OPE294" s="306"/>
      <c r="OPF294" s="267"/>
      <c r="OPG294" s="268"/>
      <c r="OPH294" s="306"/>
      <c r="OPI294" s="268"/>
      <c r="OPJ294" s="306"/>
      <c r="OPK294" s="485"/>
      <c r="OPL294" s="306"/>
      <c r="OPM294" s="486"/>
      <c r="OPN294" s="487"/>
      <c r="OPO294" s="488"/>
      <c r="OPP294" s="489"/>
      <c r="OPQ294" s="488"/>
      <c r="OPR294" s="468"/>
      <c r="OPS294" s="469"/>
      <c r="OPT294" s="470"/>
      <c r="OPU294" s="470"/>
      <c r="OPV294" s="306"/>
      <c r="OPW294" s="317"/>
      <c r="OPX294" s="471"/>
      <c r="OPY294" s="472"/>
      <c r="OPZ294" s="471"/>
      <c r="OQA294" s="473"/>
      <c r="OQB294" s="474"/>
      <c r="OQC294" s="475"/>
      <c r="OQD294" s="476"/>
      <c r="OQE294" s="477"/>
      <c r="OQF294" s="475"/>
      <c r="OQG294" s="478"/>
      <c r="OQH294" s="479"/>
      <c r="OQI294" s="480"/>
      <c r="OQJ294" s="481"/>
      <c r="OQK294" s="481"/>
      <c r="OQL294" s="482"/>
      <c r="OQM294" s="189"/>
      <c r="OQN294" s="189"/>
      <c r="OQO294" s="483"/>
      <c r="OQP294" s="306"/>
      <c r="OQQ294" s="484"/>
      <c r="OQR294" s="306"/>
      <c r="OQS294" s="267"/>
      <c r="OQT294" s="268"/>
      <c r="OQU294" s="306"/>
      <c r="OQV294" s="268"/>
      <c r="OQW294" s="306"/>
      <c r="OQX294" s="485"/>
      <c r="OQY294" s="306"/>
      <c r="OQZ294" s="486"/>
      <c r="ORA294" s="487"/>
      <c r="ORB294" s="488"/>
      <c r="ORC294" s="489"/>
      <c r="ORD294" s="488"/>
      <c r="ORE294" s="468"/>
      <c r="ORF294" s="469"/>
      <c r="ORG294" s="470"/>
      <c r="ORH294" s="470"/>
      <c r="ORI294" s="306"/>
      <c r="ORJ294" s="317"/>
      <c r="ORK294" s="471"/>
      <c r="ORL294" s="472"/>
      <c r="ORM294" s="471"/>
      <c r="ORN294" s="473"/>
      <c r="ORO294" s="474"/>
      <c r="ORP294" s="475"/>
      <c r="ORQ294" s="476"/>
      <c r="ORR294" s="477"/>
      <c r="ORS294" s="475"/>
      <c r="ORT294" s="478"/>
      <c r="ORU294" s="479"/>
      <c r="ORV294" s="480"/>
      <c r="ORW294" s="481"/>
      <c r="ORX294" s="481"/>
      <c r="ORY294" s="482"/>
      <c r="ORZ294" s="189"/>
      <c r="OSA294" s="189"/>
      <c r="OSB294" s="483"/>
      <c r="OSC294" s="306"/>
      <c r="OSD294" s="484"/>
      <c r="OSE294" s="306"/>
      <c r="OSF294" s="267"/>
      <c r="OSG294" s="268"/>
      <c r="OSH294" s="306"/>
      <c r="OSI294" s="268"/>
      <c r="OSJ294" s="306"/>
      <c r="OSK294" s="485"/>
      <c r="OSL294" s="306"/>
      <c r="OSM294" s="486"/>
      <c r="OSN294" s="487"/>
      <c r="OSO294" s="488"/>
      <c r="OSP294" s="489"/>
      <c r="OSQ294" s="488"/>
      <c r="OSR294" s="468"/>
      <c r="OSS294" s="469"/>
      <c r="OST294" s="470"/>
      <c r="OSU294" s="470"/>
      <c r="OSV294" s="306"/>
      <c r="OSW294" s="317"/>
      <c r="OSX294" s="471"/>
      <c r="OSY294" s="472"/>
      <c r="OSZ294" s="471"/>
      <c r="OTA294" s="473"/>
      <c r="OTB294" s="474"/>
      <c r="OTC294" s="475"/>
      <c r="OTD294" s="476"/>
      <c r="OTE294" s="477"/>
      <c r="OTF294" s="475"/>
      <c r="OTG294" s="478"/>
      <c r="OTH294" s="479"/>
      <c r="OTI294" s="480"/>
      <c r="OTJ294" s="481"/>
      <c r="OTK294" s="481"/>
      <c r="OTL294" s="482"/>
      <c r="OTM294" s="189"/>
      <c r="OTN294" s="189"/>
      <c r="OTO294" s="483"/>
      <c r="OTP294" s="306"/>
      <c r="OTQ294" s="484"/>
      <c r="OTR294" s="306"/>
      <c r="OTS294" s="267"/>
      <c r="OTT294" s="268"/>
      <c r="OTU294" s="306"/>
      <c r="OTV294" s="268"/>
      <c r="OTW294" s="306"/>
      <c r="OTX294" s="485"/>
      <c r="OTY294" s="306"/>
      <c r="OTZ294" s="486"/>
      <c r="OUA294" s="487"/>
      <c r="OUB294" s="488"/>
      <c r="OUC294" s="489"/>
      <c r="OUD294" s="488"/>
      <c r="OUE294" s="468"/>
      <c r="OUF294" s="469"/>
      <c r="OUG294" s="470"/>
      <c r="OUH294" s="470"/>
      <c r="OUI294" s="306"/>
      <c r="OUJ294" s="317"/>
      <c r="OUK294" s="471"/>
      <c r="OUL294" s="472"/>
      <c r="OUM294" s="471"/>
      <c r="OUN294" s="473"/>
      <c r="OUO294" s="474"/>
      <c r="OUP294" s="475"/>
      <c r="OUQ294" s="476"/>
      <c r="OUR294" s="477"/>
      <c r="OUS294" s="475"/>
      <c r="OUT294" s="478"/>
      <c r="OUU294" s="479"/>
      <c r="OUV294" s="480"/>
      <c r="OUW294" s="481"/>
      <c r="OUX294" s="481"/>
      <c r="OUY294" s="482"/>
      <c r="OUZ294" s="189"/>
      <c r="OVA294" s="189"/>
      <c r="OVB294" s="483"/>
      <c r="OVC294" s="306"/>
      <c r="OVD294" s="484"/>
      <c r="OVE294" s="306"/>
      <c r="OVF294" s="267"/>
      <c r="OVG294" s="268"/>
      <c r="OVH294" s="306"/>
      <c r="OVI294" s="268"/>
      <c r="OVJ294" s="306"/>
      <c r="OVK294" s="485"/>
      <c r="OVL294" s="306"/>
      <c r="OVM294" s="486"/>
      <c r="OVN294" s="487"/>
      <c r="OVO294" s="488"/>
      <c r="OVP294" s="489"/>
      <c r="OVQ294" s="488"/>
      <c r="OVR294" s="468"/>
      <c r="OVS294" s="469"/>
      <c r="OVT294" s="470"/>
      <c r="OVU294" s="470"/>
      <c r="OVV294" s="306"/>
      <c r="OVW294" s="317"/>
      <c r="OVX294" s="471"/>
      <c r="OVY294" s="472"/>
      <c r="OVZ294" s="471"/>
      <c r="OWA294" s="473"/>
      <c r="OWB294" s="474"/>
      <c r="OWC294" s="475"/>
      <c r="OWD294" s="476"/>
      <c r="OWE294" s="477"/>
      <c r="OWF294" s="475"/>
      <c r="OWG294" s="478"/>
      <c r="OWH294" s="479"/>
      <c r="OWI294" s="480"/>
      <c r="OWJ294" s="481"/>
      <c r="OWK294" s="481"/>
      <c r="OWL294" s="482"/>
      <c r="OWM294" s="189"/>
      <c r="OWN294" s="189"/>
      <c r="OWO294" s="483"/>
      <c r="OWP294" s="306"/>
      <c r="OWQ294" s="484"/>
      <c r="OWR294" s="306"/>
      <c r="OWS294" s="267"/>
      <c r="OWT294" s="268"/>
      <c r="OWU294" s="306"/>
      <c r="OWV294" s="268"/>
      <c r="OWW294" s="306"/>
      <c r="OWX294" s="485"/>
      <c r="OWY294" s="306"/>
      <c r="OWZ294" s="486"/>
      <c r="OXA294" s="487"/>
      <c r="OXB294" s="488"/>
      <c r="OXC294" s="489"/>
      <c r="OXD294" s="488"/>
      <c r="OXE294" s="468"/>
      <c r="OXF294" s="469"/>
      <c r="OXG294" s="470"/>
      <c r="OXH294" s="470"/>
      <c r="OXI294" s="306"/>
      <c r="OXJ294" s="317"/>
      <c r="OXK294" s="471"/>
      <c r="OXL294" s="472"/>
      <c r="OXM294" s="471"/>
      <c r="OXN294" s="473"/>
      <c r="OXO294" s="474"/>
      <c r="OXP294" s="475"/>
      <c r="OXQ294" s="476"/>
      <c r="OXR294" s="477"/>
      <c r="OXS294" s="475"/>
      <c r="OXT294" s="478"/>
      <c r="OXU294" s="479"/>
      <c r="OXV294" s="480"/>
      <c r="OXW294" s="481"/>
      <c r="OXX294" s="481"/>
      <c r="OXY294" s="482"/>
      <c r="OXZ294" s="189"/>
      <c r="OYA294" s="189"/>
      <c r="OYB294" s="483"/>
      <c r="OYC294" s="306"/>
      <c r="OYD294" s="484"/>
      <c r="OYE294" s="306"/>
      <c r="OYF294" s="267"/>
      <c r="OYG294" s="268"/>
      <c r="OYH294" s="306"/>
      <c r="OYI294" s="268"/>
      <c r="OYJ294" s="306"/>
      <c r="OYK294" s="485"/>
      <c r="OYL294" s="306"/>
      <c r="OYM294" s="486"/>
      <c r="OYN294" s="487"/>
      <c r="OYO294" s="488"/>
      <c r="OYP294" s="489"/>
      <c r="OYQ294" s="488"/>
      <c r="OYR294" s="468"/>
      <c r="OYS294" s="469"/>
      <c r="OYT294" s="470"/>
      <c r="OYU294" s="470"/>
      <c r="OYV294" s="306"/>
      <c r="OYW294" s="317"/>
      <c r="OYX294" s="471"/>
      <c r="OYY294" s="472"/>
      <c r="OYZ294" s="471"/>
      <c r="OZA294" s="473"/>
      <c r="OZB294" s="474"/>
      <c r="OZC294" s="475"/>
      <c r="OZD294" s="476"/>
      <c r="OZE294" s="477"/>
      <c r="OZF294" s="475"/>
      <c r="OZG294" s="478"/>
      <c r="OZH294" s="479"/>
      <c r="OZI294" s="480"/>
      <c r="OZJ294" s="481"/>
      <c r="OZK294" s="481"/>
      <c r="OZL294" s="482"/>
      <c r="OZM294" s="189"/>
      <c r="OZN294" s="189"/>
      <c r="OZO294" s="483"/>
      <c r="OZP294" s="306"/>
      <c r="OZQ294" s="484"/>
      <c r="OZR294" s="306"/>
      <c r="OZS294" s="267"/>
      <c r="OZT294" s="268"/>
      <c r="OZU294" s="306"/>
      <c r="OZV294" s="268"/>
      <c r="OZW294" s="306"/>
      <c r="OZX294" s="485"/>
      <c r="OZY294" s="306"/>
      <c r="OZZ294" s="486"/>
      <c r="PAA294" s="487"/>
      <c r="PAB294" s="488"/>
      <c r="PAC294" s="489"/>
      <c r="PAD294" s="488"/>
      <c r="PAE294" s="468"/>
      <c r="PAF294" s="469"/>
      <c r="PAG294" s="470"/>
      <c r="PAH294" s="470"/>
      <c r="PAI294" s="306"/>
      <c r="PAJ294" s="317"/>
      <c r="PAK294" s="471"/>
      <c r="PAL294" s="472"/>
      <c r="PAM294" s="471"/>
      <c r="PAN294" s="473"/>
      <c r="PAO294" s="474"/>
      <c r="PAP294" s="475"/>
      <c r="PAQ294" s="476"/>
      <c r="PAR294" s="477"/>
      <c r="PAS294" s="475"/>
      <c r="PAT294" s="478"/>
      <c r="PAU294" s="479"/>
      <c r="PAV294" s="480"/>
      <c r="PAW294" s="481"/>
      <c r="PAX294" s="481"/>
      <c r="PAY294" s="482"/>
      <c r="PAZ294" s="189"/>
      <c r="PBA294" s="189"/>
      <c r="PBB294" s="483"/>
      <c r="PBC294" s="306"/>
      <c r="PBD294" s="484"/>
      <c r="PBE294" s="306"/>
      <c r="PBF294" s="267"/>
      <c r="PBG294" s="268"/>
      <c r="PBH294" s="306"/>
      <c r="PBI294" s="268"/>
      <c r="PBJ294" s="306"/>
      <c r="PBK294" s="485"/>
      <c r="PBL294" s="306"/>
      <c r="PBM294" s="486"/>
      <c r="PBN294" s="487"/>
      <c r="PBO294" s="488"/>
      <c r="PBP294" s="489"/>
      <c r="PBQ294" s="488"/>
      <c r="PBR294" s="468"/>
      <c r="PBS294" s="469"/>
      <c r="PBT294" s="470"/>
      <c r="PBU294" s="470"/>
      <c r="PBV294" s="306"/>
      <c r="PBW294" s="317"/>
      <c r="PBX294" s="471"/>
      <c r="PBY294" s="472"/>
      <c r="PBZ294" s="471"/>
      <c r="PCA294" s="473"/>
      <c r="PCB294" s="474"/>
      <c r="PCC294" s="475"/>
      <c r="PCD294" s="476"/>
      <c r="PCE294" s="477"/>
      <c r="PCF294" s="475"/>
      <c r="PCG294" s="478"/>
      <c r="PCH294" s="479"/>
      <c r="PCI294" s="480"/>
      <c r="PCJ294" s="481"/>
      <c r="PCK294" s="481"/>
      <c r="PCL294" s="482"/>
      <c r="PCM294" s="189"/>
      <c r="PCN294" s="189"/>
      <c r="PCO294" s="483"/>
      <c r="PCP294" s="306"/>
      <c r="PCQ294" s="484"/>
      <c r="PCR294" s="306"/>
      <c r="PCS294" s="267"/>
      <c r="PCT294" s="268"/>
      <c r="PCU294" s="306"/>
      <c r="PCV294" s="268"/>
      <c r="PCW294" s="306"/>
      <c r="PCX294" s="485"/>
      <c r="PCY294" s="306"/>
      <c r="PCZ294" s="486"/>
      <c r="PDA294" s="487"/>
      <c r="PDB294" s="488"/>
      <c r="PDC294" s="489"/>
      <c r="PDD294" s="488"/>
      <c r="PDE294" s="468"/>
      <c r="PDF294" s="469"/>
      <c r="PDG294" s="470"/>
      <c r="PDH294" s="470"/>
      <c r="PDI294" s="306"/>
      <c r="PDJ294" s="317"/>
      <c r="PDK294" s="471"/>
      <c r="PDL294" s="472"/>
      <c r="PDM294" s="471"/>
      <c r="PDN294" s="473"/>
      <c r="PDO294" s="474"/>
      <c r="PDP294" s="475"/>
      <c r="PDQ294" s="476"/>
      <c r="PDR294" s="477"/>
      <c r="PDS294" s="475"/>
      <c r="PDT294" s="478"/>
      <c r="PDU294" s="479"/>
      <c r="PDV294" s="480"/>
      <c r="PDW294" s="481"/>
      <c r="PDX294" s="481"/>
      <c r="PDY294" s="482"/>
      <c r="PDZ294" s="189"/>
      <c r="PEA294" s="189"/>
      <c r="PEB294" s="483"/>
      <c r="PEC294" s="306"/>
      <c r="PED294" s="484"/>
      <c r="PEE294" s="306"/>
      <c r="PEF294" s="267"/>
      <c r="PEG294" s="268"/>
      <c r="PEH294" s="306"/>
      <c r="PEI294" s="268"/>
      <c r="PEJ294" s="306"/>
      <c r="PEK294" s="485"/>
      <c r="PEL294" s="306"/>
      <c r="PEM294" s="486"/>
      <c r="PEN294" s="487"/>
      <c r="PEO294" s="488"/>
      <c r="PEP294" s="489"/>
      <c r="PEQ294" s="488"/>
      <c r="PER294" s="468"/>
      <c r="PES294" s="469"/>
      <c r="PET294" s="470"/>
      <c r="PEU294" s="470"/>
      <c r="PEV294" s="306"/>
      <c r="PEW294" s="317"/>
      <c r="PEX294" s="471"/>
      <c r="PEY294" s="472"/>
      <c r="PEZ294" s="471"/>
      <c r="PFA294" s="473"/>
      <c r="PFB294" s="474"/>
      <c r="PFC294" s="475"/>
      <c r="PFD294" s="476"/>
      <c r="PFE294" s="477"/>
      <c r="PFF294" s="475"/>
      <c r="PFG294" s="478"/>
      <c r="PFH294" s="479"/>
      <c r="PFI294" s="480"/>
      <c r="PFJ294" s="481"/>
      <c r="PFK294" s="481"/>
      <c r="PFL294" s="482"/>
      <c r="PFM294" s="189"/>
      <c r="PFN294" s="189"/>
      <c r="PFO294" s="483"/>
      <c r="PFP294" s="306"/>
      <c r="PFQ294" s="484"/>
      <c r="PFR294" s="306"/>
      <c r="PFS294" s="267"/>
      <c r="PFT294" s="268"/>
      <c r="PFU294" s="306"/>
      <c r="PFV294" s="268"/>
      <c r="PFW294" s="306"/>
      <c r="PFX294" s="485"/>
      <c r="PFY294" s="306"/>
      <c r="PFZ294" s="486"/>
      <c r="PGA294" s="487"/>
      <c r="PGB294" s="488"/>
      <c r="PGC294" s="489"/>
      <c r="PGD294" s="488"/>
      <c r="PGE294" s="468"/>
      <c r="PGF294" s="469"/>
      <c r="PGG294" s="470"/>
      <c r="PGH294" s="470"/>
      <c r="PGI294" s="306"/>
      <c r="PGJ294" s="317"/>
      <c r="PGK294" s="471"/>
      <c r="PGL294" s="472"/>
      <c r="PGM294" s="471"/>
      <c r="PGN294" s="473"/>
      <c r="PGO294" s="474"/>
      <c r="PGP294" s="475"/>
      <c r="PGQ294" s="476"/>
      <c r="PGR294" s="477"/>
      <c r="PGS294" s="475"/>
      <c r="PGT294" s="478"/>
      <c r="PGU294" s="479"/>
      <c r="PGV294" s="480"/>
      <c r="PGW294" s="481"/>
      <c r="PGX294" s="481"/>
      <c r="PGY294" s="482"/>
      <c r="PGZ294" s="189"/>
      <c r="PHA294" s="189"/>
      <c r="PHB294" s="483"/>
      <c r="PHC294" s="306"/>
      <c r="PHD294" s="484"/>
      <c r="PHE294" s="306"/>
      <c r="PHF294" s="267"/>
      <c r="PHG294" s="268"/>
      <c r="PHH294" s="306"/>
      <c r="PHI294" s="268"/>
      <c r="PHJ294" s="306"/>
      <c r="PHK294" s="485"/>
      <c r="PHL294" s="306"/>
      <c r="PHM294" s="486"/>
      <c r="PHN294" s="487"/>
      <c r="PHO294" s="488"/>
      <c r="PHP294" s="489"/>
      <c r="PHQ294" s="488"/>
      <c r="PHR294" s="468"/>
      <c r="PHS294" s="469"/>
      <c r="PHT294" s="470"/>
      <c r="PHU294" s="470"/>
      <c r="PHV294" s="306"/>
      <c r="PHW294" s="317"/>
      <c r="PHX294" s="471"/>
      <c r="PHY294" s="472"/>
      <c r="PHZ294" s="471"/>
      <c r="PIA294" s="473"/>
      <c r="PIB294" s="474"/>
      <c r="PIC294" s="475"/>
      <c r="PID294" s="476"/>
      <c r="PIE294" s="477"/>
      <c r="PIF294" s="475"/>
      <c r="PIG294" s="478"/>
      <c r="PIH294" s="479"/>
      <c r="PII294" s="480"/>
      <c r="PIJ294" s="481"/>
      <c r="PIK294" s="481"/>
      <c r="PIL294" s="482"/>
      <c r="PIM294" s="189"/>
      <c r="PIN294" s="189"/>
      <c r="PIO294" s="483"/>
      <c r="PIP294" s="306"/>
      <c r="PIQ294" s="484"/>
      <c r="PIR294" s="306"/>
      <c r="PIS294" s="267"/>
      <c r="PIT294" s="268"/>
      <c r="PIU294" s="306"/>
      <c r="PIV294" s="268"/>
      <c r="PIW294" s="306"/>
      <c r="PIX294" s="485"/>
      <c r="PIY294" s="306"/>
      <c r="PIZ294" s="486"/>
      <c r="PJA294" s="487"/>
      <c r="PJB294" s="488"/>
      <c r="PJC294" s="489"/>
      <c r="PJD294" s="488"/>
      <c r="PJE294" s="468"/>
      <c r="PJF294" s="469"/>
      <c r="PJG294" s="470"/>
      <c r="PJH294" s="470"/>
      <c r="PJI294" s="306"/>
      <c r="PJJ294" s="317"/>
      <c r="PJK294" s="471"/>
      <c r="PJL294" s="472"/>
      <c r="PJM294" s="471"/>
      <c r="PJN294" s="473"/>
      <c r="PJO294" s="474"/>
      <c r="PJP294" s="475"/>
      <c r="PJQ294" s="476"/>
      <c r="PJR294" s="477"/>
      <c r="PJS294" s="475"/>
      <c r="PJT294" s="478"/>
      <c r="PJU294" s="479"/>
      <c r="PJV294" s="480"/>
      <c r="PJW294" s="481"/>
      <c r="PJX294" s="481"/>
      <c r="PJY294" s="482"/>
      <c r="PJZ294" s="189"/>
      <c r="PKA294" s="189"/>
      <c r="PKB294" s="483"/>
      <c r="PKC294" s="306"/>
      <c r="PKD294" s="484"/>
      <c r="PKE294" s="306"/>
      <c r="PKF294" s="267"/>
      <c r="PKG294" s="268"/>
      <c r="PKH294" s="306"/>
      <c r="PKI294" s="268"/>
      <c r="PKJ294" s="306"/>
      <c r="PKK294" s="485"/>
      <c r="PKL294" s="306"/>
      <c r="PKM294" s="486"/>
      <c r="PKN294" s="487"/>
      <c r="PKO294" s="488"/>
      <c r="PKP294" s="489"/>
      <c r="PKQ294" s="488"/>
      <c r="PKR294" s="468"/>
      <c r="PKS294" s="469"/>
      <c r="PKT294" s="470"/>
      <c r="PKU294" s="470"/>
      <c r="PKV294" s="306"/>
      <c r="PKW294" s="317"/>
      <c r="PKX294" s="471"/>
      <c r="PKY294" s="472"/>
      <c r="PKZ294" s="471"/>
      <c r="PLA294" s="473"/>
      <c r="PLB294" s="474"/>
      <c r="PLC294" s="475"/>
      <c r="PLD294" s="476"/>
      <c r="PLE294" s="477"/>
      <c r="PLF294" s="475"/>
      <c r="PLG294" s="478"/>
      <c r="PLH294" s="479"/>
      <c r="PLI294" s="480"/>
      <c r="PLJ294" s="481"/>
      <c r="PLK294" s="481"/>
      <c r="PLL294" s="482"/>
      <c r="PLM294" s="189"/>
      <c r="PLN294" s="189"/>
      <c r="PLO294" s="483"/>
      <c r="PLP294" s="306"/>
      <c r="PLQ294" s="484"/>
      <c r="PLR294" s="306"/>
      <c r="PLS294" s="267"/>
      <c r="PLT294" s="268"/>
      <c r="PLU294" s="306"/>
      <c r="PLV294" s="268"/>
      <c r="PLW294" s="306"/>
      <c r="PLX294" s="485"/>
      <c r="PLY294" s="306"/>
      <c r="PLZ294" s="486"/>
      <c r="PMA294" s="487"/>
      <c r="PMB294" s="488"/>
      <c r="PMC294" s="489"/>
      <c r="PMD294" s="488"/>
      <c r="PME294" s="468"/>
      <c r="PMF294" s="469"/>
      <c r="PMG294" s="470"/>
      <c r="PMH294" s="470"/>
      <c r="PMI294" s="306"/>
      <c r="PMJ294" s="317"/>
      <c r="PMK294" s="471"/>
      <c r="PML294" s="472"/>
      <c r="PMM294" s="471"/>
      <c r="PMN294" s="473"/>
      <c r="PMO294" s="474"/>
      <c r="PMP294" s="475"/>
      <c r="PMQ294" s="476"/>
      <c r="PMR294" s="477"/>
      <c r="PMS294" s="475"/>
      <c r="PMT294" s="478"/>
      <c r="PMU294" s="479"/>
      <c r="PMV294" s="480"/>
      <c r="PMW294" s="481"/>
      <c r="PMX294" s="481"/>
      <c r="PMY294" s="482"/>
      <c r="PMZ294" s="189"/>
      <c r="PNA294" s="189"/>
      <c r="PNB294" s="483"/>
      <c r="PNC294" s="306"/>
      <c r="PND294" s="484"/>
      <c r="PNE294" s="306"/>
      <c r="PNF294" s="267"/>
      <c r="PNG294" s="268"/>
      <c r="PNH294" s="306"/>
      <c r="PNI294" s="268"/>
      <c r="PNJ294" s="306"/>
      <c r="PNK294" s="485"/>
      <c r="PNL294" s="306"/>
      <c r="PNM294" s="486"/>
      <c r="PNN294" s="487"/>
      <c r="PNO294" s="488"/>
      <c r="PNP294" s="489"/>
      <c r="PNQ294" s="488"/>
      <c r="PNR294" s="468"/>
      <c r="PNS294" s="469"/>
      <c r="PNT294" s="470"/>
      <c r="PNU294" s="470"/>
      <c r="PNV294" s="306"/>
      <c r="PNW294" s="317"/>
      <c r="PNX294" s="471"/>
      <c r="PNY294" s="472"/>
      <c r="PNZ294" s="471"/>
      <c r="POA294" s="473"/>
      <c r="POB294" s="474"/>
      <c r="POC294" s="475"/>
      <c r="POD294" s="476"/>
      <c r="POE294" s="477"/>
      <c r="POF294" s="475"/>
      <c r="POG294" s="478"/>
      <c r="POH294" s="479"/>
      <c r="POI294" s="480"/>
      <c r="POJ294" s="481"/>
      <c r="POK294" s="481"/>
      <c r="POL294" s="482"/>
      <c r="POM294" s="189"/>
      <c r="PON294" s="189"/>
      <c r="POO294" s="483"/>
      <c r="POP294" s="306"/>
      <c r="POQ294" s="484"/>
      <c r="POR294" s="306"/>
      <c r="POS294" s="267"/>
      <c r="POT294" s="268"/>
      <c r="POU294" s="306"/>
      <c r="POV294" s="268"/>
      <c r="POW294" s="306"/>
      <c r="POX294" s="485"/>
      <c r="POY294" s="306"/>
      <c r="POZ294" s="486"/>
      <c r="PPA294" s="487"/>
      <c r="PPB294" s="488"/>
      <c r="PPC294" s="489"/>
      <c r="PPD294" s="488"/>
      <c r="PPE294" s="468"/>
      <c r="PPF294" s="469"/>
      <c r="PPG294" s="470"/>
      <c r="PPH294" s="470"/>
      <c r="PPI294" s="306"/>
      <c r="PPJ294" s="317"/>
      <c r="PPK294" s="471"/>
      <c r="PPL294" s="472"/>
      <c r="PPM294" s="471"/>
      <c r="PPN294" s="473"/>
      <c r="PPO294" s="474"/>
      <c r="PPP294" s="475"/>
      <c r="PPQ294" s="476"/>
      <c r="PPR294" s="477"/>
      <c r="PPS294" s="475"/>
      <c r="PPT294" s="478"/>
      <c r="PPU294" s="479"/>
      <c r="PPV294" s="480"/>
      <c r="PPW294" s="481"/>
      <c r="PPX294" s="481"/>
      <c r="PPY294" s="482"/>
      <c r="PPZ294" s="189"/>
      <c r="PQA294" s="189"/>
      <c r="PQB294" s="483"/>
      <c r="PQC294" s="306"/>
      <c r="PQD294" s="484"/>
      <c r="PQE294" s="306"/>
      <c r="PQF294" s="267"/>
      <c r="PQG294" s="268"/>
      <c r="PQH294" s="306"/>
      <c r="PQI294" s="268"/>
      <c r="PQJ294" s="306"/>
      <c r="PQK294" s="485"/>
      <c r="PQL294" s="306"/>
      <c r="PQM294" s="486"/>
      <c r="PQN294" s="487"/>
      <c r="PQO294" s="488"/>
      <c r="PQP294" s="489"/>
      <c r="PQQ294" s="488"/>
      <c r="PQR294" s="468"/>
      <c r="PQS294" s="469"/>
      <c r="PQT294" s="470"/>
      <c r="PQU294" s="470"/>
      <c r="PQV294" s="306"/>
      <c r="PQW294" s="317"/>
      <c r="PQX294" s="471"/>
      <c r="PQY294" s="472"/>
      <c r="PQZ294" s="471"/>
      <c r="PRA294" s="473"/>
      <c r="PRB294" s="474"/>
      <c r="PRC294" s="475"/>
      <c r="PRD294" s="476"/>
      <c r="PRE294" s="477"/>
      <c r="PRF294" s="475"/>
      <c r="PRG294" s="478"/>
      <c r="PRH294" s="479"/>
      <c r="PRI294" s="480"/>
      <c r="PRJ294" s="481"/>
      <c r="PRK294" s="481"/>
      <c r="PRL294" s="482"/>
      <c r="PRM294" s="189"/>
      <c r="PRN294" s="189"/>
      <c r="PRO294" s="483"/>
      <c r="PRP294" s="306"/>
      <c r="PRQ294" s="484"/>
      <c r="PRR294" s="306"/>
      <c r="PRS294" s="267"/>
      <c r="PRT294" s="268"/>
      <c r="PRU294" s="306"/>
      <c r="PRV294" s="268"/>
      <c r="PRW294" s="306"/>
      <c r="PRX294" s="485"/>
      <c r="PRY294" s="306"/>
      <c r="PRZ294" s="486"/>
      <c r="PSA294" s="487"/>
      <c r="PSB294" s="488"/>
      <c r="PSC294" s="489"/>
      <c r="PSD294" s="488"/>
      <c r="PSE294" s="468"/>
      <c r="PSF294" s="469"/>
      <c r="PSG294" s="470"/>
      <c r="PSH294" s="470"/>
      <c r="PSI294" s="306"/>
      <c r="PSJ294" s="317"/>
      <c r="PSK294" s="471"/>
      <c r="PSL294" s="472"/>
      <c r="PSM294" s="471"/>
      <c r="PSN294" s="473"/>
      <c r="PSO294" s="474"/>
      <c r="PSP294" s="475"/>
      <c r="PSQ294" s="476"/>
      <c r="PSR294" s="477"/>
      <c r="PSS294" s="475"/>
      <c r="PST294" s="478"/>
      <c r="PSU294" s="479"/>
      <c r="PSV294" s="480"/>
      <c r="PSW294" s="481"/>
      <c r="PSX294" s="481"/>
      <c r="PSY294" s="482"/>
      <c r="PSZ294" s="189"/>
      <c r="PTA294" s="189"/>
      <c r="PTB294" s="483"/>
      <c r="PTC294" s="306"/>
      <c r="PTD294" s="484"/>
      <c r="PTE294" s="306"/>
      <c r="PTF294" s="267"/>
      <c r="PTG294" s="268"/>
      <c r="PTH294" s="306"/>
      <c r="PTI294" s="268"/>
      <c r="PTJ294" s="306"/>
      <c r="PTK294" s="485"/>
      <c r="PTL294" s="306"/>
      <c r="PTM294" s="486"/>
      <c r="PTN294" s="487"/>
      <c r="PTO294" s="488"/>
      <c r="PTP294" s="489"/>
      <c r="PTQ294" s="488"/>
      <c r="PTR294" s="468"/>
      <c r="PTS294" s="469"/>
      <c r="PTT294" s="470"/>
      <c r="PTU294" s="470"/>
      <c r="PTV294" s="306"/>
      <c r="PTW294" s="317"/>
      <c r="PTX294" s="471"/>
      <c r="PTY294" s="472"/>
      <c r="PTZ294" s="471"/>
      <c r="PUA294" s="473"/>
      <c r="PUB294" s="474"/>
      <c r="PUC294" s="475"/>
      <c r="PUD294" s="476"/>
      <c r="PUE294" s="477"/>
      <c r="PUF294" s="475"/>
      <c r="PUG294" s="478"/>
      <c r="PUH294" s="479"/>
      <c r="PUI294" s="480"/>
      <c r="PUJ294" s="481"/>
      <c r="PUK294" s="481"/>
      <c r="PUL294" s="482"/>
      <c r="PUM294" s="189"/>
      <c r="PUN294" s="189"/>
      <c r="PUO294" s="483"/>
      <c r="PUP294" s="306"/>
      <c r="PUQ294" s="484"/>
      <c r="PUR294" s="306"/>
      <c r="PUS294" s="267"/>
      <c r="PUT294" s="268"/>
      <c r="PUU294" s="306"/>
      <c r="PUV294" s="268"/>
      <c r="PUW294" s="306"/>
      <c r="PUX294" s="485"/>
      <c r="PUY294" s="306"/>
      <c r="PUZ294" s="486"/>
      <c r="PVA294" s="487"/>
      <c r="PVB294" s="488"/>
      <c r="PVC294" s="489"/>
      <c r="PVD294" s="488"/>
      <c r="PVE294" s="468"/>
      <c r="PVF294" s="469"/>
      <c r="PVG294" s="470"/>
      <c r="PVH294" s="470"/>
      <c r="PVI294" s="306"/>
      <c r="PVJ294" s="317"/>
      <c r="PVK294" s="471"/>
      <c r="PVL294" s="472"/>
      <c r="PVM294" s="471"/>
      <c r="PVN294" s="473"/>
      <c r="PVO294" s="474"/>
      <c r="PVP294" s="475"/>
      <c r="PVQ294" s="476"/>
      <c r="PVR294" s="477"/>
      <c r="PVS294" s="475"/>
      <c r="PVT294" s="478"/>
      <c r="PVU294" s="479"/>
      <c r="PVV294" s="480"/>
      <c r="PVW294" s="481"/>
      <c r="PVX294" s="481"/>
      <c r="PVY294" s="482"/>
      <c r="PVZ294" s="189"/>
      <c r="PWA294" s="189"/>
      <c r="PWB294" s="483"/>
      <c r="PWC294" s="306"/>
      <c r="PWD294" s="484"/>
      <c r="PWE294" s="306"/>
      <c r="PWF294" s="267"/>
      <c r="PWG294" s="268"/>
      <c r="PWH294" s="306"/>
      <c r="PWI294" s="268"/>
      <c r="PWJ294" s="306"/>
      <c r="PWK294" s="485"/>
      <c r="PWL294" s="306"/>
      <c r="PWM294" s="486"/>
      <c r="PWN294" s="487"/>
      <c r="PWO294" s="488"/>
      <c r="PWP294" s="489"/>
      <c r="PWQ294" s="488"/>
      <c r="PWR294" s="468"/>
      <c r="PWS294" s="469"/>
      <c r="PWT294" s="470"/>
      <c r="PWU294" s="470"/>
      <c r="PWV294" s="306"/>
      <c r="PWW294" s="317"/>
      <c r="PWX294" s="471"/>
      <c r="PWY294" s="472"/>
      <c r="PWZ294" s="471"/>
      <c r="PXA294" s="473"/>
      <c r="PXB294" s="474"/>
      <c r="PXC294" s="475"/>
      <c r="PXD294" s="476"/>
      <c r="PXE294" s="477"/>
      <c r="PXF294" s="475"/>
      <c r="PXG294" s="478"/>
      <c r="PXH294" s="479"/>
      <c r="PXI294" s="480"/>
      <c r="PXJ294" s="481"/>
      <c r="PXK294" s="481"/>
      <c r="PXL294" s="482"/>
      <c r="PXM294" s="189"/>
      <c r="PXN294" s="189"/>
      <c r="PXO294" s="483"/>
      <c r="PXP294" s="306"/>
      <c r="PXQ294" s="484"/>
      <c r="PXR294" s="306"/>
      <c r="PXS294" s="267"/>
      <c r="PXT294" s="268"/>
      <c r="PXU294" s="306"/>
      <c r="PXV294" s="268"/>
      <c r="PXW294" s="306"/>
      <c r="PXX294" s="485"/>
      <c r="PXY294" s="306"/>
      <c r="PXZ294" s="486"/>
      <c r="PYA294" s="487"/>
      <c r="PYB294" s="488"/>
      <c r="PYC294" s="489"/>
      <c r="PYD294" s="488"/>
      <c r="PYE294" s="468"/>
      <c r="PYF294" s="469"/>
      <c r="PYG294" s="470"/>
      <c r="PYH294" s="470"/>
      <c r="PYI294" s="306"/>
      <c r="PYJ294" s="317"/>
      <c r="PYK294" s="471"/>
      <c r="PYL294" s="472"/>
      <c r="PYM294" s="471"/>
      <c r="PYN294" s="473"/>
      <c r="PYO294" s="474"/>
      <c r="PYP294" s="475"/>
      <c r="PYQ294" s="476"/>
      <c r="PYR294" s="477"/>
      <c r="PYS294" s="475"/>
      <c r="PYT294" s="478"/>
      <c r="PYU294" s="479"/>
      <c r="PYV294" s="480"/>
      <c r="PYW294" s="481"/>
      <c r="PYX294" s="481"/>
      <c r="PYY294" s="482"/>
      <c r="PYZ294" s="189"/>
      <c r="PZA294" s="189"/>
      <c r="PZB294" s="483"/>
      <c r="PZC294" s="306"/>
      <c r="PZD294" s="484"/>
      <c r="PZE294" s="306"/>
      <c r="PZF294" s="267"/>
      <c r="PZG294" s="268"/>
      <c r="PZH294" s="306"/>
      <c r="PZI294" s="268"/>
      <c r="PZJ294" s="306"/>
      <c r="PZK294" s="485"/>
      <c r="PZL294" s="306"/>
      <c r="PZM294" s="486"/>
      <c r="PZN294" s="487"/>
      <c r="PZO294" s="488"/>
      <c r="PZP294" s="489"/>
      <c r="PZQ294" s="488"/>
      <c r="PZR294" s="468"/>
      <c r="PZS294" s="469"/>
      <c r="PZT294" s="470"/>
      <c r="PZU294" s="470"/>
      <c r="PZV294" s="306"/>
      <c r="PZW294" s="317"/>
      <c r="PZX294" s="471"/>
      <c r="PZY294" s="472"/>
      <c r="PZZ294" s="471"/>
      <c r="QAA294" s="473"/>
      <c r="QAB294" s="474"/>
      <c r="QAC294" s="475"/>
      <c r="QAD294" s="476"/>
      <c r="QAE294" s="477"/>
      <c r="QAF294" s="475"/>
      <c r="QAG294" s="478"/>
      <c r="QAH294" s="479"/>
      <c r="QAI294" s="480"/>
      <c r="QAJ294" s="481"/>
      <c r="QAK294" s="481"/>
      <c r="QAL294" s="482"/>
      <c r="QAM294" s="189"/>
      <c r="QAN294" s="189"/>
      <c r="QAO294" s="483"/>
      <c r="QAP294" s="306"/>
      <c r="QAQ294" s="484"/>
      <c r="QAR294" s="306"/>
      <c r="QAS294" s="267"/>
      <c r="QAT294" s="268"/>
      <c r="QAU294" s="306"/>
      <c r="QAV294" s="268"/>
      <c r="QAW294" s="306"/>
      <c r="QAX294" s="485"/>
      <c r="QAY294" s="306"/>
      <c r="QAZ294" s="486"/>
      <c r="QBA294" s="487"/>
      <c r="QBB294" s="488"/>
      <c r="QBC294" s="489"/>
      <c r="QBD294" s="488"/>
      <c r="QBE294" s="468"/>
      <c r="QBF294" s="469"/>
      <c r="QBG294" s="470"/>
      <c r="QBH294" s="470"/>
      <c r="QBI294" s="306"/>
      <c r="QBJ294" s="317"/>
      <c r="QBK294" s="471"/>
      <c r="QBL294" s="472"/>
      <c r="QBM294" s="471"/>
      <c r="QBN294" s="473"/>
      <c r="QBO294" s="474"/>
      <c r="QBP294" s="475"/>
      <c r="QBQ294" s="476"/>
      <c r="QBR294" s="477"/>
      <c r="QBS294" s="475"/>
      <c r="QBT294" s="478"/>
      <c r="QBU294" s="479"/>
      <c r="QBV294" s="480"/>
      <c r="QBW294" s="481"/>
      <c r="QBX294" s="481"/>
      <c r="QBY294" s="482"/>
      <c r="QBZ294" s="189"/>
      <c r="QCA294" s="189"/>
      <c r="QCB294" s="483"/>
      <c r="QCC294" s="306"/>
      <c r="QCD294" s="484"/>
      <c r="QCE294" s="306"/>
      <c r="QCF294" s="267"/>
      <c r="QCG294" s="268"/>
      <c r="QCH294" s="306"/>
      <c r="QCI294" s="268"/>
      <c r="QCJ294" s="306"/>
      <c r="QCK294" s="485"/>
      <c r="QCL294" s="306"/>
      <c r="QCM294" s="486"/>
      <c r="QCN294" s="487"/>
      <c r="QCO294" s="488"/>
      <c r="QCP294" s="489"/>
      <c r="QCQ294" s="488"/>
      <c r="QCR294" s="468"/>
      <c r="QCS294" s="469"/>
      <c r="QCT294" s="470"/>
      <c r="QCU294" s="470"/>
      <c r="QCV294" s="306"/>
      <c r="QCW294" s="317"/>
      <c r="QCX294" s="471"/>
      <c r="QCY294" s="472"/>
      <c r="QCZ294" s="471"/>
      <c r="QDA294" s="473"/>
      <c r="QDB294" s="474"/>
      <c r="QDC294" s="475"/>
      <c r="QDD294" s="476"/>
      <c r="QDE294" s="477"/>
      <c r="QDF294" s="475"/>
      <c r="QDG294" s="478"/>
      <c r="QDH294" s="479"/>
      <c r="QDI294" s="480"/>
      <c r="QDJ294" s="481"/>
      <c r="QDK294" s="481"/>
      <c r="QDL294" s="482"/>
      <c r="QDM294" s="189"/>
      <c r="QDN294" s="189"/>
      <c r="QDO294" s="483"/>
      <c r="QDP294" s="306"/>
      <c r="QDQ294" s="484"/>
      <c r="QDR294" s="306"/>
      <c r="QDS294" s="267"/>
      <c r="QDT294" s="268"/>
      <c r="QDU294" s="306"/>
      <c r="QDV294" s="268"/>
      <c r="QDW294" s="306"/>
      <c r="QDX294" s="485"/>
      <c r="QDY294" s="306"/>
      <c r="QDZ294" s="486"/>
      <c r="QEA294" s="487"/>
      <c r="QEB294" s="488"/>
      <c r="QEC294" s="489"/>
      <c r="QED294" s="488"/>
      <c r="QEE294" s="468"/>
      <c r="QEF294" s="469"/>
      <c r="QEG294" s="470"/>
      <c r="QEH294" s="470"/>
      <c r="QEI294" s="306"/>
      <c r="QEJ294" s="317"/>
      <c r="QEK294" s="471"/>
      <c r="QEL294" s="472"/>
      <c r="QEM294" s="471"/>
      <c r="QEN294" s="473"/>
      <c r="QEO294" s="474"/>
      <c r="QEP294" s="475"/>
      <c r="QEQ294" s="476"/>
      <c r="QER294" s="477"/>
      <c r="QES294" s="475"/>
      <c r="QET294" s="478"/>
      <c r="QEU294" s="479"/>
      <c r="QEV294" s="480"/>
      <c r="QEW294" s="481"/>
      <c r="QEX294" s="481"/>
      <c r="QEY294" s="482"/>
      <c r="QEZ294" s="189"/>
      <c r="QFA294" s="189"/>
      <c r="QFB294" s="483"/>
      <c r="QFC294" s="306"/>
      <c r="QFD294" s="484"/>
      <c r="QFE294" s="306"/>
      <c r="QFF294" s="267"/>
      <c r="QFG294" s="268"/>
      <c r="QFH294" s="306"/>
      <c r="QFI294" s="268"/>
      <c r="QFJ294" s="306"/>
      <c r="QFK294" s="485"/>
      <c r="QFL294" s="306"/>
      <c r="QFM294" s="486"/>
      <c r="QFN294" s="487"/>
      <c r="QFO294" s="488"/>
      <c r="QFP294" s="489"/>
      <c r="QFQ294" s="488"/>
      <c r="QFR294" s="468"/>
      <c r="QFS294" s="469"/>
      <c r="QFT294" s="470"/>
      <c r="QFU294" s="470"/>
      <c r="QFV294" s="306"/>
      <c r="QFW294" s="317"/>
      <c r="QFX294" s="471"/>
      <c r="QFY294" s="472"/>
      <c r="QFZ294" s="471"/>
      <c r="QGA294" s="473"/>
      <c r="QGB294" s="474"/>
      <c r="QGC294" s="475"/>
      <c r="QGD294" s="476"/>
      <c r="QGE294" s="477"/>
      <c r="QGF294" s="475"/>
      <c r="QGG294" s="478"/>
      <c r="QGH294" s="479"/>
      <c r="QGI294" s="480"/>
      <c r="QGJ294" s="481"/>
      <c r="QGK294" s="481"/>
      <c r="QGL294" s="482"/>
      <c r="QGM294" s="189"/>
      <c r="QGN294" s="189"/>
      <c r="QGO294" s="483"/>
      <c r="QGP294" s="306"/>
      <c r="QGQ294" s="484"/>
      <c r="QGR294" s="306"/>
      <c r="QGS294" s="267"/>
      <c r="QGT294" s="268"/>
      <c r="QGU294" s="306"/>
      <c r="QGV294" s="268"/>
      <c r="QGW294" s="306"/>
      <c r="QGX294" s="485"/>
      <c r="QGY294" s="306"/>
      <c r="QGZ294" s="486"/>
      <c r="QHA294" s="487"/>
      <c r="QHB294" s="488"/>
      <c r="QHC294" s="489"/>
      <c r="QHD294" s="488"/>
      <c r="QHE294" s="468"/>
      <c r="QHF294" s="469"/>
      <c r="QHG294" s="470"/>
      <c r="QHH294" s="470"/>
      <c r="QHI294" s="306"/>
      <c r="QHJ294" s="317"/>
      <c r="QHK294" s="471"/>
      <c r="QHL294" s="472"/>
      <c r="QHM294" s="471"/>
      <c r="QHN294" s="473"/>
      <c r="QHO294" s="474"/>
      <c r="QHP294" s="475"/>
      <c r="QHQ294" s="476"/>
      <c r="QHR294" s="477"/>
      <c r="QHS294" s="475"/>
      <c r="QHT294" s="478"/>
      <c r="QHU294" s="479"/>
      <c r="QHV294" s="480"/>
      <c r="QHW294" s="481"/>
      <c r="QHX294" s="481"/>
      <c r="QHY294" s="482"/>
      <c r="QHZ294" s="189"/>
      <c r="QIA294" s="189"/>
      <c r="QIB294" s="483"/>
      <c r="QIC294" s="306"/>
      <c r="QID294" s="484"/>
      <c r="QIE294" s="306"/>
      <c r="QIF294" s="267"/>
      <c r="QIG294" s="268"/>
      <c r="QIH294" s="306"/>
      <c r="QII294" s="268"/>
      <c r="QIJ294" s="306"/>
      <c r="QIK294" s="485"/>
      <c r="QIL294" s="306"/>
      <c r="QIM294" s="486"/>
      <c r="QIN294" s="487"/>
      <c r="QIO294" s="488"/>
      <c r="QIP294" s="489"/>
      <c r="QIQ294" s="488"/>
      <c r="QIR294" s="468"/>
      <c r="QIS294" s="469"/>
      <c r="QIT294" s="470"/>
      <c r="QIU294" s="470"/>
      <c r="QIV294" s="306"/>
      <c r="QIW294" s="317"/>
      <c r="QIX294" s="471"/>
      <c r="QIY294" s="472"/>
      <c r="QIZ294" s="471"/>
      <c r="QJA294" s="473"/>
      <c r="QJB294" s="474"/>
      <c r="QJC294" s="475"/>
      <c r="QJD294" s="476"/>
      <c r="QJE294" s="477"/>
      <c r="QJF294" s="475"/>
      <c r="QJG294" s="478"/>
      <c r="QJH294" s="479"/>
      <c r="QJI294" s="480"/>
      <c r="QJJ294" s="481"/>
      <c r="QJK294" s="481"/>
      <c r="QJL294" s="482"/>
      <c r="QJM294" s="189"/>
      <c r="QJN294" s="189"/>
      <c r="QJO294" s="483"/>
      <c r="QJP294" s="306"/>
      <c r="QJQ294" s="484"/>
      <c r="QJR294" s="306"/>
      <c r="QJS294" s="267"/>
      <c r="QJT294" s="268"/>
      <c r="QJU294" s="306"/>
      <c r="QJV294" s="268"/>
      <c r="QJW294" s="306"/>
      <c r="QJX294" s="485"/>
      <c r="QJY294" s="306"/>
      <c r="QJZ294" s="486"/>
      <c r="QKA294" s="487"/>
      <c r="QKB294" s="488"/>
      <c r="QKC294" s="489"/>
      <c r="QKD294" s="488"/>
      <c r="QKE294" s="468"/>
      <c r="QKF294" s="469"/>
      <c r="QKG294" s="470"/>
      <c r="QKH294" s="470"/>
      <c r="QKI294" s="306"/>
      <c r="QKJ294" s="317"/>
      <c r="QKK294" s="471"/>
      <c r="QKL294" s="472"/>
      <c r="QKM294" s="471"/>
      <c r="QKN294" s="473"/>
      <c r="QKO294" s="474"/>
      <c r="QKP294" s="475"/>
      <c r="QKQ294" s="476"/>
      <c r="QKR294" s="477"/>
      <c r="QKS294" s="475"/>
      <c r="QKT294" s="478"/>
      <c r="QKU294" s="479"/>
      <c r="QKV294" s="480"/>
      <c r="QKW294" s="481"/>
      <c r="QKX294" s="481"/>
      <c r="QKY294" s="482"/>
      <c r="QKZ294" s="189"/>
      <c r="QLA294" s="189"/>
      <c r="QLB294" s="483"/>
      <c r="QLC294" s="306"/>
      <c r="QLD294" s="484"/>
      <c r="QLE294" s="306"/>
      <c r="QLF294" s="267"/>
      <c r="QLG294" s="268"/>
      <c r="QLH294" s="306"/>
      <c r="QLI294" s="268"/>
      <c r="QLJ294" s="306"/>
      <c r="QLK294" s="485"/>
      <c r="QLL294" s="306"/>
      <c r="QLM294" s="486"/>
      <c r="QLN294" s="487"/>
      <c r="QLO294" s="488"/>
      <c r="QLP294" s="489"/>
      <c r="QLQ294" s="488"/>
      <c r="QLR294" s="468"/>
      <c r="QLS294" s="469"/>
      <c r="QLT294" s="470"/>
      <c r="QLU294" s="470"/>
      <c r="QLV294" s="306"/>
      <c r="QLW294" s="317"/>
      <c r="QLX294" s="471"/>
      <c r="QLY294" s="472"/>
      <c r="QLZ294" s="471"/>
      <c r="QMA294" s="473"/>
      <c r="QMB294" s="474"/>
      <c r="QMC294" s="475"/>
      <c r="QMD294" s="476"/>
      <c r="QME294" s="477"/>
      <c r="QMF294" s="475"/>
      <c r="QMG294" s="478"/>
      <c r="QMH294" s="479"/>
      <c r="QMI294" s="480"/>
      <c r="QMJ294" s="481"/>
      <c r="QMK294" s="481"/>
      <c r="QML294" s="482"/>
      <c r="QMM294" s="189"/>
      <c r="QMN294" s="189"/>
      <c r="QMO294" s="483"/>
      <c r="QMP294" s="306"/>
      <c r="QMQ294" s="484"/>
      <c r="QMR294" s="306"/>
      <c r="QMS294" s="267"/>
      <c r="QMT294" s="268"/>
      <c r="QMU294" s="306"/>
      <c r="QMV294" s="268"/>
      <c r="QMW294" s="306"/>
      <c r="QMX294" s="485"/>
      <c r="QMY294" s="306"/>
      <c r="QMZ294" s="486"/>
      <c r="QNA294" s="487"/>
      <c r="QNB294" s="488"/>
      <c r="QNC294" s="489"/>
      <c r="QND294" s="488"/>
      <c r="QNE294" s="468"/>
      <c r="QNF294" s="469"/>
      <c r="QNG294" s="470"/>
      <c r="QNH294" s="470"/>
      <c r="QNI294" s="306"/>
      <c r="QNJ294" s="317"/>
      <c r="QNK294" s="471"/>
      <c r="QNL294" s="472"/>
      <c r="QNM294" s="471"/>
      <c r="QNN294" s="473"/>
      <c r="QNO294" s="474"/>
      <c r="QNP294" s="475"/>
      <c r="QNQ294" s="476"/>
      <c r="QNR294" s="477"/>
      <c r="QNS294" s="475"/>
      <c r="QNT294" s="478"/>
      <c r="QNU294" s="479"/>
      <c r="QNV294" s="480"/>
      <c r="QNW294" s="481"/>
      <c r="QNX294" s="481"/>
      <c r="QNY294" s="482"/>
      <c r="QNZ294" s="189"/>
      <c r="QOA294" s="189"/>
      <c r="QOB294" s="483"/>
      <c r="QOC294" s="306"/>
      <c r="QOD294" s="484"/>
      <c r="QOE294" s="306"/>
      <c r="QOF294" s="267"/>
      <c r="QOG294" s="268"/>
      <c r="QOH294" s="306"/>
      <c r="QOI294" s="268"/>
      <c r="QOJ294" s="306"/>
      <c r="QOK294" s="485"/>
      <c r="QOL294" s="306"/>
      <c r="QOM294" s="486"/>
      <c r="QON294" s="487"/>
      <c r="QOO294" s="488"/>
      <c r="QOP294" s="489"/>
      <c r="QOQ294" s="488"/>
      <c r="QOR294" s="468"/>
      <c r="QOS294" s="469"/>
      <c r="QOT294" s="470"/>
      <c r="QOU294" s="470"/>
      <c r="QOV294" s="306"/>
      <c r="QOW294" s="317"/>
      <c r="QOX294" s="471"/>
      <c r="QOY294" s="472"/>
      <c r="QOZ294" s="471"/>
      <c r="QPA294" s="473"/>
      <c r="QPB294" s="474"/>
      <c r="QPC294" s="475"/>
      <c r="QPD294" s="476"/>
      <c r="QPE294" s="477"/>
      <c r="QPF294" s="475"/>
      <c r="QPG294" s="478"/>
      <c r="QPH294" s="479"/>
      <c r="QPI294" s="480"/>
      <c r="QPJ294" s="481"/>
      <c r="QPK294" s="481"/>
      <c r="QPL294" s="482"/>
      <c r="QPM294" s="189"/>
      <c r="QPN294" s="189"/>
      <c r="QPO294" s="483"/>
      <c r="QPP294" s="306"/>
      <c r="QPQ294" s="484"/>
      <c r="QPR294" s="306"/>
      <c r="QPS294" s="267"/>
      <c r="QPT294" s="268"/>
      <c r="QPU294" s="306"/>
      <c r="QPV294" s="268"/>
      <c r="QPW294" s="306"/>
      <c r="QPX294" s="485"/>
      <c r="QPY294" s="306"/>
      <c r="QPZ294" s="486"/>
      <c r="QQA294" s="487"/>
      <c r="QQB294" s="488"/>
      <c r="QQC294" s="489"/>
      <c r="QQD294" s="488"/>
      <c r="QQE294" s="468"/>
      <c r="QQF294" s="469"/>
      <c r="QQG294" s="470"/>
      <c r="QQH294" s="470"/>
      <c r="QQI294" s="306"/>
      <c r="QQJ294" s="317"/>
      <c r="QQK294" s="471"/>
      <c r="QQL294" s="472"/>
      <c r="QQM294" s="471"/>
      <c r="QQN294" s="473"/>
      <c r="QQO294" s="474"/>
      <c r="QQP294" s="475"/>
      <c r="QQQ294" s="476"/>
      <c r="QQR294" s="477"/>
      <c r="QQS294" s="475"/>
      <c r="QQT294" s="478"/>
      <c r="QQU294" s="479"/>
      <c r="QQV294" s="480"/>
      <c r="QQW294" s="481"/>
      <c r="QQX294" s="481"/>
      <c r="QQY294" s="482"/>
      <c r="QQZ294" s="189"/>
      <c r="QRA294" s="189"/>
      <c r="QRB294" s="483"/>
      <c r="QRC294" s="306"/>
      <c r="QRD294" s="484"/>
      <c r="QRE294" s="306"/>
      <c r="QRF294" s="267"/>
      <c r="QRG294" s="268"/>
      <c r="QRH294" s="306"/>
      <c r="QRI294" s="268"/>
      <c r="QRJ294" s="306"/>
      <c r="QRK294" s="485"/>
      <c r="QRL294" s="306"/>
      <c r="QRM294" s="486"/>
      <c r="QRN294" s="487"/>
      <c r="QRO294" s="488"/>
      <c r="QRP294" s="489"/>
      <c r="QRQ294" s="488"/>
      <c r="QRR294" s="468"/>
      <c r="QRS294" s="469"/>
      <c r="QRT294" s="470"/>
      <c r="QRU294" s="470"/>
      <c r="QRV294" s="306"/>
      <c r="QRW294" s="317"/>
      <c r="QRX294" s="471"/>
      <c r="QRY294" s="472"/>
      <c r="QRZ294" s="471"/>
      <c r="QSA294" s="473"/>
      <c r="QSB294" s="474"/>
      <c r="QSC294" s="475"/>
      <c r="QSD294" s="476"/>
      <c r="QSE294" s="477"/>
      <c r="QSF294" s="475"/>
      <c r="QSG294" s="478"/>
      <c r="QSH294" s="479"/>
      <c r="QSI294" s="480"/>
      <c r="QSJ294" s="481"/>
      <c r="QSK294" s="481"/>
      <c r="QSL294" s="482"/>
      <c r="QSM294" s="189"/>
      <c r="QSN294" s="189"/>
      <c r="QSO294" s="483"/>
      <c r="QSP294" s="306"/>
      <c r="QSQ294" s="484"/>
      <c r="QSR294" s="306"/>
      <c r="QSS294" s="267"/>
      <c r="QST294" s="268"/>
      <c r="QSU294" s="306"/>
      <c r="QSV294" s="268"/>
      <c r="QSW294" s="306"/>
      <c r="QSX294" s="485"/>
      <c r="QSY294" s="306"/>
      <c r="QSZ294" s="486"/>
      <c r="QTA294" s="487"/>
      <c r="QTB294" s="488"/>
      <c r="QTC294" s="489"/>
      <c r="QTD294" s="488"/>
      <c r="QTE294" s="468"/>
      <c r="QTF294" s="469"/>
      <c r="QTG294" s="470"/>
      <c r="QTH294" s="470"/>
      <c r="QTI294" s="306"/>
      <c r="QTJ294" s="317"/>
      <c r="QTK294" s="471"/>
      <c r="QTL294" s="472"/>
      <c r="QTM294" s="471"/>
      <c r="QTN294" s="473"/>
      <c r="QTO294" s="474"/>
      <c r="QTP294" s="475"/>
      <c r="QTQ294" s="476"/>
      <c r="QTR294" s="477"/>
      <c r="QTS294" s="475"/>
      <c r="QTT294" s="478"/>
      <c r="QTU294" s="479"/>
      <c r="QTV294" s="480"/>
      <c r="QTW294" s="481"/>
      <c r="QTX294" s="481"/>
      <c r="QTY294" s="482"/>
      <c r="QTZ294" s="189"/>
      <c r="QUA294" s="189"/>
      <c r="QUB294" s="483"/>
      <c r="QUC294" s="306"/>
      <c r="QUD294" s="484"/>
      <c r="QUE294" s="306"/>
      <c r="QUF294" s="267"/>
      <c r="QUG294" s="268"/>
      <c r="QUH294" s="306"/>
      <c r="QUI294" s="268"/>
      <c r="QUJ294" s="306"/>
      <c r="QUK294" s="485"/>
      <c r="QUL294" s="306"/>
      <c r="QUM294" s="486"/>
      <c r="QUN294" s="487"/>
      <c r="QUO294" s="488"/>
      <c r="QUP294" s="489"/>
      <c r="QUQ294" s="488"/>
      <c r="QUR294" s="468"/>
      <c r="QUS294" s="469"/>
      <c r="QUT294" s="470"/>
      <c r="QUU294" s="470"/>
      <c r="QUV294" s="306"/>
      <c r="QUW294" s="317"/>
      <c r="QUX294" s="471"/>
      <c r="QUY294" s="472"/>
      <c r="QUZ294" s="471"/>
      <c r="QVA294" s="473"/>
      <c r="QVB294" s="474"/>
      <c r="QVC294" s="475"/>
      <c r="QVD294" s="476"/>
      <c r="QVE294" s="477"/>
      <c r="QVF294" s="475"/>
      <c r="QVG294" s="478"/>
      <c r="QVH294" s="479"/>
      <c r="QVI294" s="480"/>
      <c r="QVJ294" s="481"/>
      <c r="QVK294" s="481"/>
      <c r="QVL294" s="482"/>
      <c r="QVM294" s="189"/>
      <c r="QVN294" s="189"/>
      <c r="QVO294" s="483"/>
      <c r="QVP294" s="306"/>
      <c r="QVQ294" s="484"/>
      <c r="QVR294" s="306"/>
      <c r="QVS294" s="267"/>
      <c r="QVT294" s="268"/>
      <c r="QVU294" s="306"/>
      <c r="QVV294" s="268"/>
      <c r="QVW294" s="306"/>
      <c r="QVX294" s="485"/>
      <c r="QVY294" s="306"/>
      <c r="QVZ294" s="486"/>
      <c r="QWA294" s="487"/>
      <c r="QWB294" s="488"/>
      <c r="QWC294" s="489"/>
      <c r="QWD294" s="488"/>
      <c r="QWE294" s="468"/>
      <c r="QWF294" s="469"/>
      <c r="QWG294" s="470"/>
      <c r="QWH294" s="470"/>
      <c r="QWI294" s="306"/>
      <c r="QWJ294" s="317"/>
      <c r="QWK294" s="471"/>
      <c r="QWL294" s="472"/>
      <c r="QWM294" s="471"/>
      <c r="QWN294" s="473"/>
      <c r="QWO294" s="474"/>
      <c r="QWP294" s="475"/>
      <c r="QWQ294" s="476"/>
      <c r="QWR294" s="477"/>
      <c r="QWS294" s="475"/>
      <c r="QWT294" s="478"/>
      <c r="QWU294" s="479"/>
      <c r="QWV294" s="480"/>
      <c r="QWW294" s="481"/>
      <c r="QWX294" s="481"/>
      <c r="QWY294" s="482"/>
      <c r="QWZ294" s="189"/>
      <c r="QXA294" s="189"/>
      <c r="QXB294" s="483"/>
      <c r="QXC294" s="306"/>
      <c r="QXD294" s="484"/>
      <c r="QXE294" s="306"/>
      <c r="QXF294" s="267"/>
      <c r="QXG294" s="268"/>
      <c r="QXH294" s="306"/>
      <c r="QXI294" s="268"/>
      <c r="QXJ294" s="306"/>
      <c r="QXK294" s="485"/>
      <c r="QXL294" s="306"/>
      <c r="QXM294" s="486"/>
      <c r="QXN294" s="487"/>
      <c r="QXO294" s="488"/>
      <c r="QXP294" s="489"/>
      <c r="QXQ294" s="488"/>
      <c r="QXR294" s="468"/>
      <c r="QXS294" s="469"/>
      <c r="QXT294" s="470"/>
      <c r="QXU294" s="470"/>
      <c r="QXV294" s="306"/>
      <c r="QXW294" s="317"/>
      <c r="QXX294" s="471"/>
      <c r="QXY294" s="472"/>
      <c r="QXZ294" s="471"/>
      <c r="QYA294" s="473"/>
      <c r="QYB294" s="474"/>
      <c r="QYC294" s="475"/>
      <c r="QYD294" s="476"/>
      <c r="QYE294" s="477"/>
      <c r="QYF294" s="475"/>
      <c r="QYG294" s="478"/>
      <c r="QYH294" s="479"/>
      <c r="QYI294" s="480"/>
      <c r="QYJ294" s="481"/>
      <c r="QYK294" s="481"/>
      <c r="QYL294" s="482"/>
      <c r="QYM294" s="189"/>
      <c r="QYN294" s="189"/>
      <c r="QYO294" s="483"/>
      <c r="QYP294" s="306"/>
      <c r="QYQ294" s="484"/>
      <c r="QYR294" s="306"/>
      <c r="QYS294" s="267"/>
      <c r="QYT294" s="268"/>
      <c r="QYU294" s="306"/>
      <c r="QYV294" s="268"/>
      <c r="QYW294" s="306"/>
      <c r="QYX294" s="485"/>
      <c r="QYY294" s="306"/>
      <c r="QYZ294" s="486"/>
      <c r="QZA294" s="487"/>
      <c r="QZB294" s="488"/>
      <c r="QZC294" s="489"/>
      <c r="QZD294" s="488"/>
      <c r="QZE294" s="468"/>
      <c r="QZF294" s="469"/>
      <c r="QZG294" s="470"/>
      <c r="QZH294" s="470"/>
      <c r="QZI294" s="306"/>
      <c r="QZJ294" s="317"/>
      <c r="QZK294" s="471"/>
      <c r="QZL294" s="472"/>
      <c r="QZM294" s="471"/>
      <c r="QZN294" s="473"/>
      <c r="QZO294" s="474"/>
      <c r="QZP294" s="475"/>
      <c r="QZQ294" s="476"/>
      <c r="QZR294" s="477"/>
      <c r="QZS294" s="475"/>
      <c r="QZT294" s="478"/>
      <c r="QZU294" s="479"/>
      <c r="QZV294" s="480"/>
      <c r="QZW294" s="481"/>
      <c r="QZX294" s="481"/>
      <c r="QZY294" s="482"/>
      <c r="QZZ294" s="189"/>
      <c r="RAA294" s="189"/>
      <c r="RAB294" s="483"/>
      <c r="RAC294" s="306"/>
      <c r="RAD294" s="484"/>
      <c r="RAE294" s="306"/>
      <c r="RAF294" s="267"/>
      <c r="RAG294" s="268"/>
      <c r="RAH294" s="306"/>
      <c r="RAI294" s="268"/>
      <c r="RAJ294" s="306"/>
      <c r="RAK294" s="485"/>
      <c r="RAL294" s="306"/>
      <c r="RAM294" s="486"/>
      <c r="RAN294" s="487"/>
      <c r="RAO294" s="488"/>
      <c r="RAP294" s="489"/>
      <c r="RAQ294" s="488"/>
      <c r="RAR294" s="468"/>
      <c r="RAS294" s="469"/>
      <c r="RAT294" s="470"/>
      <c r="RAU294" s="470"/>
      <c r="RAV294" s="306"/>
      <c r="RAW294" s="317"/>
      <c r="RAX294" s="471"/>
      <c r="RAY294" s="472"/>
      <c r="RAZ294" s="471"/>
      <c r="RBA294" s="473"/>
      <c r="RBB294" s="474"/>
      <c r="RBC294" s="475"/>
      <c r="RBD294" s="476"/>
      <c r="RBE294" s="477"/>
      <c r="RBF294" s="475"/>
      <c r="RBG294" s="478"/>
      <c r="RBH294" s="479"/>
      <c r="RBI294" s="480"/>
      <c r="RBJ294" s="481"/>
      <c r="RBK294" s="481"/>
      <c r="RBL294" s="482"/>
      <c r="RBM294" s="189"/>
      <c r="RBN294" s="189"/>
      <c r="RBO294" s="483"/>
      <c r="RBP294" s="306"/>
      <c r="RBQ294" s="484"/>
      <c r="RBR294" s="306"/>
      <c r="RBS294" s="267"/>
      <c r="RBT294" s="268"/>
      <c r="RBU294" s="306"/>
      <c r="RBV294" s="268"/>
      <c r="RBW294" s="306"/>
      <c r="RBX294" s="485"/>
      <c r="RBY294" s="306"/>
      <c r="RBZ294" s="486"/>
      <c r="RCA294" s="487"/>
      <c r="RCB294" s="488"/>
      <c r="RCC294" s="489"/>
      <c r="RCD294" s="488"/>
      <c r="RCE294" s="468"/>
      <c r="RCF294" s="469"/>
      <c r="RCG294" s="470"/>
      <c r="RCH294" s="470"/>
      <c r="RCI294" s="306"/>
      <c r="RCJ294" s="317"/>
      <c r="RCK294" s="471"/>
      <c r="RCL294" s="472"/>
      <c r="RCM294" s="471"/>
      <c r="RCN294" s="473"/>
      <c r="RCO294" s="474"/>
      <c r="RCP294" s="475"/>
      <c r="RCQ294" s="476"/>
      <c r="RCR294" s="477"/>
      <c r="RCS294" s="475"/>
      <c r="RCT294" s="478"/>
      <c r="RCU294" s="479"/>
      <c r="RCV294" s="480"/>
      <c r="RCW294" s="481"/>
      <c r="RCX294" s="481"/>
      <c r="RCY294" s="482"/>
      <c r="RCZ294" s="189"/>
      <c r="RDA294" s="189"/>
      <c r="RDB294" s="483"/>
      <c r="RDC294" s="306"/>
      <c r="RDD294" s="484"/>
      <c r="RDE294" s="306"/>
      <c r="RDF294" s="267"/>
      <c r="RDG294" s="268"/>
      <c r="RDH294" s="306"/>
      <c r="RDI294" s="268"/>
      <c r="RDJ294" s="306"/>
      <c r="RDK294" s="485"/>
      <c r="RDL294" s="306"/>
      <c r="RDM294" s="486"/>
      <c r="RDN294" s="487"/>
      <c r="RDO294" s="488"/>
      <c r="RDP294" s="489"/>
      <c r="RDQ294" s="488"/>
      <c r="RDR294" s="468"/>
      <c r="RDS294" s="469"/>
      <c r="RDT294" s="470"/>
      <c r="RDU294" s="470"/>
      <c r="RDV294" s="306"/>
      <c r="RDW294" s="317"/>
      <c r="RDX294" s="471"/>
      <c r="RDY294" s="472"/>
      <c r="RDZ294" s="471"/>
      <c r="REA294" s="473"/>
      <c r="REB294" s="474"/>
      <c r="REC294" s="475"/>
      <c r="RED294" s="476"/>
      <c r="REE294" s="477"/>
      <c r="REF294" s="475"/>
      <c r="REG294" s="478"/>
      <c r="REH294" s="479"/>
      <c r="REI294" s="480"/>
      <c r="REJ294" s="481"/>
      <c r="REK294" s="481"/>
      <c r="REL294" s="482"/>
      <c r="REM294" s="189"/>
      <c r="REN294" s="189"/>
      <c r="REO294" s="483"/>
      <c r="REP294" s="306"/>
      <c r="REQ294" s="484"/>
      <c r="RER294" s="306"/>
      <c r="RES294" s="267"/>
      <c r="RET294" s="268"/>
      <c r="REU294" s="306"/>
      <c r="REV294" s="268"/>
      <c r="REW294" s="306"/>
      <c r="REX294" s="485"/>
      <c r="REY294" s="306"/>
      <c r="REZ294" s="486"/>
      <c r="RFA294" s="487"/>
      <c r="RFB294" s="488"/>
      <c r="RFC294" s="489"/>
      <c r="RFD294" s="488"/>
      <c r="RFE294" s="468"/>
      <c r="RFF294" s="469"/>
      <c r="RFG294" s="470"/>
      <c r="RFH294" s="470"/>
      <c r="RFI294" s="306"/>
      <c r="RFJ294" s="317"/>
      <c r="RFK294" s="471"/>
      <c r="RFL294" s="472"/>
      <c r="RFM294" s="471"/>
      <c r="RFN294" s="473"/>
      <c r="RFO294" s="474"/>
      <c r="RFP294" s="475"/>
      <c r="RFQ294" s="476"/>
      <c r="RFR294" s="477"/>
      <c r="RFS294" s="475"/>
      <c r="RFT294" s="478"/>
      <c r="RFU294" s="479"/>
      <c r="RFV294" s="480"/>
      <c r="RFW294" s="481"/>
      <c r="RFX294" s="481"/>
      <c r="RFY294" s="482"/>
      <c r="RFZ294" s="189"/>
      <c r="RGA294" s="189"/>
      <c r="RGB294" s="483"/>
      <c r="RGC294" s="306"/>
      <c r="RGD294" s="484"/>
      <c r="RGE294" s="306"/>
      <c r="RGF294" s="267"/>
      <c r="RGG294" s="268"/>
      <c r="RGH294" s="306"/>
      <c r="RGI294" s="268"/>
      <c r="RGJ294" s="306"/>
      <c r="RGK294" s="485"/>
      <c r="RGL294" s="306"/>
      <c r="RGM294" s="486"/>
      <c r="RGN294" s="487"/>
      <c r="RGO294" s="488"/>
      <c r="RGP294" s="489"/>
      <c r="RGQ294" s="488"/>
      <c r="RGR294" s="468"/>
      <c r="RGS294" s="469"/>
      <c r="RGT294" s="470"/>
      <c r="RGU294" s="470"/>
      <c r="RGV294" s="306"/>
      <c r="RGW294" s="317"/>
      <c r="RGX294" s="471"/>
      <c r="RGY294" s="472"/>
      <c r="RGZ294" s="471"/>
      <c r="RHA294" s="473"/>
      <c r="RHB294" s="474"/>
      <c r="RHC294" s="475"/>
      <c r="RHD294" s="476"/>
      <c r="RHE294" s="477"/>
      <c r="RHF294" s="475"/>
      <c r="RHG294" s="478"/>
      <c r="RHH294" s="479"/>
      <c r="RHI294" s="480"/>
      <c r="RHJ294" s="481"/>
      <c r="RHK294" s="481"/>
      <c r="RHL294" s="482"/>
      <c r="RHM294" s="189"/>
      <c r="RHN294" s="189"/>
      <c r="RHO294" s="483"/>
      <c r="RHP294" s="306"/>
      <c r="RHQ294" s="484"/>
      <c r="RHR294" s="306"/>
      <c r="RHS294" s="267"/>
      <c r="RHT294" s="268"/>
      <c r="RHU294" s="306"/>
      <c r="RHV294" s="268"/>
      <c r="RHW294" s="306"/>
      <c r="RHX294" s="485"/>
      <c r="RHY294" s="306"/>
      <c r="RHZ294" s="486"/>
      <c r="RIA294" s="487"/>
      <c r="RIB294" s="488"/>
      <c r="RIC294" s="489"/>
      <c r="RID294" s="488"/>
      <c r="RIE294" s="468"/>
      <c r="RIF294" s="469"/>
      <c r="RIG294" s="470"/>
      <c r="RIH294" s="470"/>
      <c r="RII294" s="306"/>
      <c r="RIJ294" s="317"/>
      <c r="RIK294" s="471"/>
      <c r="RIL294" s="472"/>
      <c r="RIM294" s="471"/>
      <c r="RIN294" s="473"/>
      <c r="RIO294" s="474"/>
      <c r="RIP294" s="475"/>
      <c r="RIQ294" s="476"/>
      <c r="RIR294" s="477"/>
      <c r="RIS294" s="475"/>
      <c r="RIT294" s="478"/>
      <c r="RIU294" s="479"/>
      <c r="RIV294" s="480"/>
      <c r="RIW294" s="481"/>
      <c r="RIX294" s="481"/>
      <c r="RIY294" s="482"/>
      <c r="RIZ294" s="189"/>
      <c r="RJA294" s="189"/>
      <c r="RJB294" s="483"/>
      <c r="RJC294" s="306"/>
      <c r="RJD294" s="484"/>
      <c r="RJE294" s="306"/>
      <c r="RJF294" s="267"/>
      <c r="RJG294" s="268"/>
      <c r="RJH294" s="306"/>
      <c r="RJI294" s="268"/>
      <c r="RJJ294" s="306"/>
      <c r="RJK294" s="485"/>
      <c r="RJL294" s="306"/>
      <c r="RJM294" s="486"/>
      <c r="RJN294" s="487"/>
      <c r="RJO294" s="488"/>
      <c r="RJP294" s="489"/>
      <c r="RJQ294" s="488"/>
      <c r="RJR294" s="468"/>
      <c r="RJS294" s="469"/>
      <c r="RJT294" s="470"/>
      <c r="RJU294" s="470"/>
      <c r="RJV294" s="306"/>
      <c r="RJW294" s="317"/>
      <c r="RJX294" s="471"/>
      <c r="RJY294" s="472"/>
      <c r="RJZ294" s="471"/>
      <c r="RKA294" s="473"/>
      <c r="RKB294" s="474"/>
      <c r="RKC294" s="475"/>
      <c r="RKD294" s="476"/>
      <c r="RKE294" s="477"/>
      <c r="RKF294" s="475"/>
      <c r="RKG294" s="478"/>
      <c r="RKH294" s="479"/>
      <c r="RKI294" s="480"/>
      <c r="RKJ294" s="481"/>
      <c r="RKK294" s="481"/>
      <c r="RKL294" s="482"/>
      <c r="RKM294" s="189"/>
      <c r="RKN294" s="189"/>
      <c r="RKO294" s="483"/>
      <c r="RKP294" s="306"/>
      <c r="RKQ294" s="484"/>
      <c r="RKR294" s="306"/>
      <c r="RKS294" s="267"/>
      <c r="RKT294" s="268"/>
      <c r="RKU294" s="306"/>
      <c r="RKV294" s="268"/>
      <c r="RKW294" s="306"/>
      <c r="RKX294" s="485"/>
      <c r="RKY294" s="306"/>
      <c r="RKZ294" s="486"/>
      <c r="RLA294" s="487"/>
      <c r="RLB294" s="488"/>
      <c r="RLC294" s="489"/>
      <c r="RLD294" s="488"/>
      <c r="RLE294" s="468"/>
      <c r="RLF294" s="469"/>
      <c r="RLG294" s="470"/>
      <c r="RLH294" s="470"/>
      <c r="RLI294" s="306"/>
      <c r="RLJ294" s="317"/>
      <c r="RLK294" s="471"/>
      <c r="RLL294" s="472"/>
      <c r="RLM294" s="471"/>
      <c r="RLN294" s="473"/>
      <c r="RLO294" s="474"/>
      <c r="RLP294" s="475"/>
      <c r="RLQ294" s="476"/>
      <c r="RLR294" s="477"/>
      <c r="RLS294" s="475"/>
      <c r="RLT294" s="478"/>
      <c r="RLU294" s="479"/>
      <c r="RLV294" s="480"/>
      <c r="RLW294" s="481"/>
      <c r="RLX294" s="481"/>
      <c r="RLY294" s="482"/>
      <c r="RLZ294" s="189"/>
      <c r="RMA294" s="189"/>
      <c r="RMB294" s="483"/>
      <c r="RMC294" s="306"/>
      <c r="RMD294" s="484"/>
      <c r="RME294" s="306"/>
      <c r="RMF294" s="267"/>
      <c r="RMG294" s="268"/>
      <c r="RMH294" s="306"/>
      <c r="RMI294" s="268"/>
      <c r="RMJ294" s="306"/>
      <c r="RMK294" s="485"/>
      <c r="RML294" s="306"/>
      <c r="RMM294" s="486"/>
      <c r="RMN294" s="487"/>
      <c r="RMO294" s="488"/>
      <c r="RMP294" s="489"/>
      <c r="RMQ294" s="488"/>
      <c r="RMR294" s="468"/>
      <c r="RMS294" s="469"/>
      <c r="RMT294" s="470"/>
      <c r="RMU294" s="470"/>
      <c r="RMV294" s="306"/>
      <c r="RMW294" s="317"/>
      <c r="RMX294" s="471"/>
      <c r="RMY294" s="472"/>
      <c r="RMZ294" s="471"/>
      <c r="RNA294" s="473"/>
      <c r="RNB294" s="474"/>
      <c r="RNC294" s="475"/>
      <c r="RND294" s="476"/>
      <c r="RNE294" s="477"/>
      <c r="RNF294" s="475"/>
      <c r="RNG294" s="478"/>
      <c r="RNH294" s="479"/>
      <c r="RNI294" s="480"/>
      <c r="RNJ294" s="481"/>
      <c r="RNK294" s="481"/>
      <c r="RNL294" s="482"/>
      <c r="RNM294" s="189"/>
      <c r="RNN294" s="189"/>
      <c r="RNO294" s="483"/>
      <c r="RNP294" s="306"/>
      <c r="RNQ294" s="484"/>
      <c r="RNR294" s="306"/>
      <c r="RNS294" s="267"/>
      <c r="RNT294" s="268"/>
      <c r="RNU294" s="306"/>
      <c r="RNV294" s="268"/>
      <c r="RNW294" s="306"/>
      <c r="RNX294" s="485"/>
      <c r="RNY294" s="306"/>
      <c r="RNZ294" s="486"/>
      <c r="ROA294" s="487"/>
      <c r="ROB294" s="488"/>
      <c r="ROC294" s="489"/>
      <c r="ROD294" s="488"/>
      <c r="ROE294" s="468"/>
      <c r="ROF294" s="469"/>
      <c r="ROG294" s="470"/>
      <c r="ROH294" s="470"/>
      <c r="ROI294" s="306"/>
      <c r="ROJ294" s="317"/>
      <c r="ROK294" s="471"/>
      <c r="ROL294" s="472"/>
      <c r="ROM294" s="471"/>
      <c r="RON294" s="473"/>
      <c r="ROO294" s="474"/>
      <c r="ROP294" s="475"/>
      <c r="ROQ294" s="476"/>
      <c r="ROR294" s="477"/>
      <c r="ROS294" s="475"/>
      <c r="ROT294" s="478"/>
      <c r="ROU294" s="479"/>
      <c r="ROV294" s="480"/>
      <c r="ROW294" s="481"/>
      <c r="ROX294" s="481"/>
      <c r="ROY294" s="482"/>
      <c r="ROZ294" s="189"/>
      <c r="RPA294" s="189"/>
      <c r="RPB294" s="483"/>
      <c r="RPC294" s="306"/>
      <c r="RPD294" s="484"/>
      <c r="RPE294" s="306"/>
      <c r="RPF294" s="267"/>
      <c r="RPG294" s="268"/>
      <c r="RPH294" s="306"/>
      <c r="RPI294" s="268"/>
      <c r="RPJ294" s="306"/>
      <c r="RPK294" s="485"/>
      <c r="RPL294" s="306"/>
      <c r="RPM294" s="486"/>
      <c r="RPN294" s="487"/>
      <c r="RPO294" s="488"/>
      <c r="RPP294" s="489"/>
      <c r="RPQ294" s="488"/>
      <c r="RPR294" s="468"/>
      <c r="RPS294" s="469"/>
      <c r="RPT294" s="470"/>
      <c r="RPU294" s="470"/>
      <c r="RPV294" s="306"/>
      <c r="RPW294" s="317"/>
      <c r="RPX294" s="471"/>
      <c r="RPY294" s="472"/>
      <c r="RPZ294" s="471"/>
      <c r="RQA294" s="473"/>
      <c r="RQB294" s="474"/>
      <c r="RQC294" s="475"/>
      <c r="RQD294" s="476"/>
      <c r="RQE294" s="477"/>
      <c r="RQF294" s="475"/>
      <c r="RQG294" s="478"/>
      <c r="RQH294" s="479"/>
      <c r="RQI294" s="480"/>
      <c r="RQJ294" s="481"/>
      <c r="RQK294" s="481"/>
      <c r="RQL294" s="482"/>
      <c r="RQM294" s="189"/>
      <c r="RQN294" s="189"/>
      <c r="RQO294" s="483"/>
      <c r="RQP294" s="306"/>
      <c r="RQQ294" s="484"/>
      <c r="RQR294" s="306"/>
      <c r="RQS294" s="267"/>
      <c r="RQT294" s="268"/>
      <c r="RQU294" s="306"/>
      <c r="RQV294" s="268"/>
      <c r="RQW294" s="306"/>
      <c r="RQX294" s="485"/>
      <c r="RQY294" s="306"/>
      <c r="RQZ294" s="486"/>
      <c r="RRA294" s="487"/>
      <c r="RRB294" s="488"/>
      <c r="RRC294" s="489"/>
      <c r="RRD294" s="488"/>
      <c r="RRE294" s="468"/>
      <c r="RRF294" s="469"/>
      <c r="RRG294" s="470"/>
      <c r="RRH294" s="470"/>
      <c r="RRI294" s="306"/>
      <c r="RRJ294" s="317"/>
      <c r="RRK294" s="471"/>
      <c r="RRL294" s="472"/>
      <c r="RRM294" s="471"/>
      <c r="RRN294" s="473"/>
      <c r="RRO294" s="474"/>
      <c r="RRP294" s="475"/>
      <c r="RRQ294" s="476"/>
      <c r="RRR294" s="477"/>
      <c r="RRS294" s="475"/>
      <c r="RRT294" s="478"/>
      <c r="RRU294" s="479"/>
      <c r="RRV294" s="480"/>
      <c r="RRW294" s="481"/>
      <c r="RRX294" s="481"/>
      <c r="RRY294" s="482"/>
      <c r="RRZ294" s="189"/>
      <c r="RSA294" s="189"/>
      <c r="RSB294" s="483"/>
      <c r="RSC294" s="306"/>
      <c r="RSD294" s="484"/>
      <c r="RSE294" s="306"/>
      <c r="RSF294" s="267"/>
      <c r="RSG294" s="268"/>
      <c r="RSH294" s="306"/>
      <c r="RSI294" s="268"/>
      <c r="RSJ294" s="306"/>
      <c r="RSK294" s="485"/>
      <c r="RSL294" s="306"/>
      <c r="RSM294" s="486"/>
      <c r="RSN294" s="487"/>
      <c r="RSO294" s="488"/>
      <c r="RSP294" s="489"/>
      <c r="RSQ294" s="488"/>
      <c r="RSR294" s="468"/>
      <c r="RSS294" s="469"/>
      <c r="RST294" s="470"/>
      <c r="RSU294" s="470"/>
      <c r="RSV294" s="306"/>
      <c r="RSW294" s="317"/>
      <c r="RSX294" s="471"/>
      <c r="RSY294" s="472"/>
      <c r="RSZ294" s="471"/>
      <c r="RTA294" s="473"/>
      <c r="RTB294" s="474"/>
      <c r="RTC294" s="475"/>
      <c r="RTD294" s="476"/>
      <c r="RTE294" s="477"/>
      <c r="RTF294" s="475"/>
      <c r="RTG294" s="478"/>
      <c r="RTH294" s="479"/>
      <c r="RTI294" s="480"/>
      <c r="RTJ294" s="481"/>
      <c r="RTK294" s="481"/>
      <c r="RTL294" s="482"/>
      <c r="RTM294" s="189"/>
      <c r="RTN294" s="189"/>
      <c r="RTO294" s="483"/>
      <c r="RTP294" s="306"/>
      <c r="RTQ294" s="484"/>
      <c r="RTR294" s="306"/>
      <c r="RTS294" s="267"/>
      <c r="RTT294" s="268"/>
      <c r="RTU294" s="306"/>
      <c r="RTV294" s="268"/>
      <c r="RTW294" s="306"/>
      <c r="RTX294" s="485"/>
      <c r="RTY294" s="306"/>
      <c r="RTZ294" s="486"/>
      <c r="RUA294" s="487"/>
      <c r="RUB294" s="488"/>
      <c r="RUC294" s="489"/>
      <c r="RUD294" s="488"/>
      <c r="RUE294" s="468"/>
      <c r="RUF294" s="469"/>
      <c r="RUG294" s="470"/>
      <c r="RUH294" s="470"/>
      <c r="RUI294" s="306"/>
      <c r="RUJ294" s="317"/>
      <c r="RUK294" s="471"/>
      <c r="RUL294" s="472"/>
      <c r="RUM294" s="471"/>
      <c r="RUN294" s="473"/>
      <c r="RUO294" s="474"/>
      <c r="RUP294" s="475"/>
      <c r="RUQ294" s="476"/>
      <c r="RUR294" s="477"/>
      <c r="RUS294" s="475"/>
      <c r="RUT294" s="478"/>
      <c r="RUU294" s="479"/>
      <c r="RUV294" s="480"/>
      <c r="RUW294" s="481"/>
      <c r="RUX294" s="481"/>
      <c r="RUY294" s="482"/>
      <c r="RUZ294" s="189"/>
      <c r="RVA294" s="189"/>
      <c r="RVB294" s="483"/>
      <c r="RVC294" s="306"/>
      <c r="RVD294" s="484"/>
      <c r="RVE294" s="306"/>
      <c r="RVF294" s="267"/>
      <c r="RVG294" s="268"/>
      <c r="RVH294" s="306"/>
      <c r="RVI294" s="268"/>
      <c r="RVJ294" s="306"/>
      <c r="RVK294" s="485"/>
      <c r="RVL294" s="306"/>
      <c r="RVM294" s="486"/>
      <c r="RVN294" s="487"/>
      <c r="RVO294" s="488"/>
      <c r="RVP294" s="489"/>
      <c r="RVQ294" s="488"/>
      <c r="RVR294" s="468"/>
      <c r="RVS294" s="469"/>
      <c r="RVT294" s="470"/>
      <c r="RVU294" s="470"/>
      <c r="RVV294" s="306"/>
      <c r="RVW294" s="317"/>
      <c r="RVX294" s="471"/>
      <c r="RVY294" s="472"/>
      <c r="RVZ294" s="471"/>
      <c r="RWA294" s="473"/>
      <c r="RWB294" s="474"/>
      <c r="RWC294" s="475"/>
      <c r="RWD294" s="476"/>
      <c r="RWE294" s="477"/>
      <c r="RWF294" s="475"/>
      <c r="RWG294" s="478"/>
      <c r="RWH294" s="479"/>
      <c r="RWI294" s="480"/>
      <c r="RWJ294" s="481"/>
      <c r="RWK294" s="481"/>
      <c r="RWL294" s="482"/>
      <c r="RWM294" s="189"/>
      <c r="RWN294" s="189"/>
      <c r="RWO294" s="483"/>
      <c r="RWP294" s="306"/>
      <c r="RWQ294" s="484"/>
      <c r="RWR294" s="306"/>
      <c r="RWS294" s="267"/>
      <c r="RWT294" s="268"/>
      <c r="RWU294" s="306"/>
      <c r="RWV294" s="268"/>
      <c r="RWW294" s="306"/>
      <c r="RWX294" s="485"/>
      <c r="RWY294" s="306"/>
      <c r="RWZ294" s="486"/>
      <c r="RXA294" s="487"/>
      <c r="RXB294" s="488"/>
      <c r="RXC294" s="489"/>
      <c r="RXD294" s="488"/>
      <c r="RXE294" s="468"/>
      <c r="RXF294" s="469"/>
      <c r="RXG294" s="470"/>
      <c r="RXH294" s="470"/>
      <c r="RXI294" s="306"/>
      <c r="RXJ294" s="317"/>
      <c r="RXK294" s="471"/>
      <c r="RXL294" s="472"/>
      <c r="RXM294" s="471"/>
      <c r="RXN294" s="473"/>
      <c r="RXO294" s="474"/>
      <c r="RXP294" s="475"/>
      <c r="RXQ294" s="476"/>
      <c r="RXR294" s="477"/>
      <c r="RXS294" s="475"/>
      <c r="RXT294" s="478"/>
      <c r="RXU294" s="479"/>
      <c r="RXV294" s="480"/>
      <c r="RXW294" s="481"/>
      <c r="RXX294" s="481"/>
      <c r="RXY294" s="482"/>
      <c r="RXZ294" s="189"/>
      <c r="RYA294" s="189"/>
      <c r="RYB294" s="483"/>
      <c r="RYC294" s="306"/>
      <c r="RYD294" s="484"/>
      <c r="RYE294" s="306"/>
      <c r="RYF294" s="267"/>
      <c r="RYG294" s="268"/>
      <c r="RYH294" s="306"/>
      <c r="RYI294" s="268"/>
      <c r="RYJ294" s="306"/>
      <c r="RYK294" s="485"/>
      <c r="RYL294" s="306"/>
      <c r="RYM294" s="486"/>
      <c r="RYN294" s="487"/>
      <c r="RYO294" s="488"/>
      <c r="RYP294" s="489"/>
      <c r="RYQ294" s="488"/>
      <c r="RYR294" s="468"/>
      <c r="RYS294" s="469"/>
      <c r="RYT294" s="470"/>
      <c r="RYU294" s="470"/>
      <c r="RYV294" s="306"/>
      <c r="RYW294" s="317"/>
      <c r="RYX294" s="471"/>
      <c r="RYY294" s="472"/>
      <c r="RYZ294" s="471"/>
      <c r="RZA294" s="473"/>
      <c r="RZB294" s="474"/>
      <c r="RZC294" s="475"/>
      <c r="RZD294" s="476"/>
      <c r="RZE294" s="477"/>
      <c r="RZF294" s="475"/>
      <c r="RZG294" s="478"/>
      <c r="RZH294" s="479"/>
      <c r="RZI294" s="480"/>
      <c r="RZJ294" s="481"/>
      <c r="RZK294" s="481"/>
      <c r="RZL294" s="482"/>
      <c r="RZM294" s="189"/>
      <c r="RZN294" s="189"/>
      <c r="RZO294" s="483"/>
      <c r="RZP294" s="306"/>
      <c r="RZQ294" s="484"/>
      <c r="RZR294" s="306"/>
      <c r="RZS294" s="267"/>
      <c r="RZT294" s="268"/>
      <c r="RZU294" s="306"/>
      <c r="RZV294" s="268"/>
      <c r="RZW294" s="306"/>
      <c r="RZX294" s="485"/>
      <c r="RZY294" s="306"/>
      <c r="RZZ294" s="486"/>
      <c r="SAA294" s="487"/>
      <c r="SAB294" s="488"/>
      <c r="SAC294" s="489"/>
      <c r="SAD294" s="488"/>
      <c r="SAE294" s="468"/>
      <c r="SAF294" s="469"/>
      <c r="SAG294" s="470"/>
      <c r="SAH294" s="470"/>
      <c r="SAI294" s="306"/>
      <c r="SAJ294" s="317"/>
      <c r="SAK294" s="471"/>
      <c r="SAL294" s="472"/>
      <c r="SAM294" s="471"/>
      <c r="SAN294" s="473"/>
      <c r="SAO294" s="474"/>
      <c r="SAP294" s="475"/>
      <c r="SAQ294" s="476"/>
      <c r="SAR294" s="477"/>
      <c r="SAS294" s="475"/>
      <c r="SAT294" s="478"/>
      <c r="SAU294" s="479"/>
      <c r="SAV294" s="480"/>
      <c r="SAW294" s="481"/>
      <c r="SAX294" s="481"/>
      <c r="SAY294" s="482"/>
      <c r="SAZ294" s="189"/>
      <c r="SBA294" s="189"/>
      <c r="SBB294" s="483"/>
      <c r="SBC294" s="306"/>
      <c r="SBD294" s="484"/>
      <c r="SBE294" s="306"/>
      <c r="SBF294" s="267"/>
      <c r="SBG294" s="268"/>
      <c r="SBH294" s="306"/>
      <c r="SBI294" s="268"/>
      <c r="SBJ294" s="306"/>
      <c r="SBK294" s="485"/>
      <c r="SBL294" s="306"/>
      <c r="SBM294" s="486"/>
      <c r="SBN294" s="487"/>
      <c r="SBO294" s="488"/>
      <c r="SBP294" s="489"/>
      <c r="SBQ294" s="488"/>
      <c r="SBR294" s="468"/>
      <c r="SBS294" s="469"/>
      <c r="SBT294" s="470"/>
      <c r="SBU294" s="470"/>
      <c r="SBV294" s="306"/>
      <c r="SBW294" s="317"/>
      <c r="SBX294" s="471"/>
      <c r="SBY294" s="472"/>
      <c r="SBZ294" s="471"/>
      <c r="SCA294" s="473"/>
      <c r="SCB294" s="474"/>
      <c r="SCC294" s="475"/>
      <c r="SCD294" s="476"/>
      <c r="SCE294" s="477"/>
      <c r="SCF294" s="475"/>
      <c r="SCG294" s="478"/>
      <c r="SCH294" s="479"/>
      <c r="SCI294" s="480"/>
      <c r="SCJ294" s="481"/>
      <c r="SCK294" s="481"/>
      <c r="SCL294" s="482"/>
      <c r="SCM294" s="189"/>
      <c r="SCN294" s="189"/>
      <c r="SCO294" s="483"/>
      <c r="SCP294" s="306"/>
      <c r="SCQ294" s="484"/>
      <c r="SCR294" s="306"/>
      <c r="SCS294" s="267"/>
      <c r="SCT294" s="268"/>
      <c r="SCU294" s="306"/>
      <c r="SCV294" s="268"/>
      <c r="SCW294" s="306"/>
      <c r="SCX294" s="485"/>
      <c r="SCY294" s="306"/>
      <c r="SCZ294" s="486"/>
      <c r="SDA294" s="487"/>
      <c r="SDB294" s="488"/>
      <c r="SDC294" s="489"/>
      <c r="SDD294" s="488"/>
      <c r="SDE294" s="468"/>
      <c r="SDF294" s="469"/>
      <c r="SDG294" s="470"/>
      <c r="SDH294" s="470"/>
      <c r="SDI294" s="306"/>
      <c r="SDJ294" s="317"/>
      <c r="SDK294" s="471"/>
      <c r="SDL294" s="472"/>
      <c r="SDM294" s="471"/>
      <c r="SDN294" s="473"/>
      <c r="SDO294" s="474"/>
      <c r="SDP294" s="475"/>
      <c r="SDQ294" s="476"/>
      <c r="SDR294" s="477"/>
      <c r="SDS294" s="475"/>
      <c r="SDT294" s="478"/>
      <c r="SDU294" s="479"/>
      <c r="SDV294" s="480"/>
      <c r="SDW294" s="481"/>
      <c r="SDX294" s="481"/>
      <c r="SDY294" s="482"/>
      <c r="SDZ294" s="189"/>
      <c r="SEA294" s="189"/>
      <c r="SEB294" s="483"/>
      <c r="SEC294" s="306"/>
      <c r="SED294" s="484"/>
      <c r="SEE294" s="306"/>
      <c r="SEF294" s="267"/>
      <c r="SEG294" s="268"/>
      <c r="SEH294" s="306"/>
      <c r="SEI294" s="268"/>
      <c r="SEJ294" s="306"/>
      <c r="SEK294" s="485"/>
      <c r="SEL294" s="306"/>
      <c r="SEM294" s="486"/>
      <c r="SEN294" s="487"/>
      <c r="SEO294" s="488"/>
      <c r="SEP294" s="489"/>
      <c r="SEQ294" s="488"/>
      <c r="SER294" s="468"/>
      <c r="SES294" s="469"/>
      <c r="SET294" s="470"/>
      <c r="SEU294" s="470"/>
      <c r="SEV294" s="306"/>
      <c r="SEW294" s="317"/>
      <c r="SEX294" s="471"/>
      <c r="SEY294" s="472"/>
      <c r="SEZ294" s="471"/>
      <c r="SFA294" s="473"/>
      <c r="SFB294" s="474"/>
      <c r="SFC294" s="475"/>
      <c r="SFD294" s="476"/>
      <c r="SFE294" s="477"/>
      <c r="SFF294" s="475"/>
      <c r="SFG294" s="478"/>
      <c r="SFH294" s="479"/>
      <c r="SFI294" s="480"/>
      <c r="SFJ294" s="481"/>
      <c r="SFK294" s="481"/>
      <c r="SFL294" s="482"/>
      <c r="SFM294" s="189"/>
      <c r="SFN294" s="189"/>
      <c r="SFO294" s="483"/>
      <c r="SFP294" s="306"/>
      <c r="SFQ294" s="484"/>
      <c r="SFR294" s="306"/>
      <c r="SFS294" s="267"/>
      <c r="SFT294" s="268"/>
      <c r="SFU294" s="306"/>
      <c r="SFV294" s="268"/>
      <c r="SFW294" s="306"/>
      <c r="SFX294" s="485"/>
      <c r="SFY294" s="306"/>
      <c r="SFZ294" s="486"/>
      <c r="SGA294" s="487"/>
      <c r="SGB294" s="488"/>
      <c r="SGC294" s="489"/>
      <c r="SGD294" s="488"/>
      <c r="SGE294" s="468"/>
      <c r="SGF294" s="469"/>
      <c r="SGG294" s="470"/>
      <c r="SGH294" s="470"/>
      <c r="SGI294" s="306"/>
      <c r="SGJ294" s="317"/>
      <c r="SGK294" s="471"/>
      <c r="SGL294" s="472"/>
      <c r="SGM294" s="471"/>
      <c r="SGN294" s="473"/>
      <c r="SGO294" s="474"/>
      <c r="SGP294" s="475"/>
      <c r="SGQ294" s="476"/>
      <c r="SGR294" s="477"/>
      <c r="SGS294" s="475"/>
      <c r="SGT294" s="478"/>
      <c r="SGU294" s="479"/>
      <c r="SGV294" s="480"/>
      <c r="SGW294" s="481"/>
      <c r="SGX294" s="481"/>
      <c r="SGY294" s="482"/>
      <c r="SGZ294" s="189"/>
      <c r="SHA294" s="189"/>
      <c r="SHB294" s="483"/>
      <c r="SHC294" s="306"/>
      <c r="SHD294" s="484"/>
      <c r="SHE294" s="306"/>
      <c r="SHF294" s="267"/>
      <c r="SHG294" s="268"/>
      <c r="SHH294" s="306"/>
      <c r="SHI294" s="268"/>
      <c r="SHJ294" s="306"/>
      <c r="SHK294" s="485"/>
      <c r="SHL294" s="306"/>
      <c r="SHM294" s="486"/>
      <c r="SHN294" s="487"/>
      <c r="SHO294" s="488"/>
      <c r="SHP294" s="489"/>
      <c r="SHQ294" s="488"/>
      <c r="SHR294" s="468"/>
      <c r="SHS294" s="469"/>
      <c r="SHT294" s="470"/>
      <c r="SHU294" s="470"/>
      <c r="SHV294" s="306"/>
      <c r="SHW294" s="317"/>
      <c r="SHX294" s="471"/>
      <c r="SHY294" s="472"/>
      <c r="SHZ294" s="471"/>
      <c r="SIA294" s="473"/>
      <c r="SIB294" s="474"/>
      <c r="SIC294" s="475"/>
      <c r="SID294" s="476"/>
      <c r="SIE294" s="477"/>
      <c r="SIF294" s="475"/>
      <c r="SIG294" s="478"/>
      <c r="SIH294" s="479"/>
      <c r="SII294" s="480"/>
      <c r="SIJ294" s="481"/>
      <c r="SIK294" s="481"/>
      <c r="SIL294" s="482"/>
      <c r="SIM294" s="189"/>
      <c r="SIN294" s="189"/>
      <c r="SIO294" s="483"/>
      <c r="SIP294" s="306"/>
      <c r="SIQ294" s="484"/>
      <c r="SIR294" s="306"/>
      <c r="SIS294" s="267"/>
      <c r="SIT294" s="268"/>
      <c r="SIU294" s="306"/>
      <c r="SIV294" s="268"/>
      <c r="SIW294" s="306"/>
      <c r="SIX294" s="485"/>
      <c r="SIY294" s="306"/>
      <c r="SIZ294" s="486"/>
      <c r="SJA294" s="487"/>
      <c r="SJB294" s="488"/>
      <c r="SJC294" s="489"/>
      <c r="SJD294" s="488"/>
      <c r="SJE294" s="468"/>
      <c r="SJF294" s="469"/>
      <c r="SJG294" s="470"/>
      <c r="SJH294" s="470"/>
      <c r="SJI294" s="306"/>
      <c r="SJJ294" s="317"/>
      <c r="SJK294" s="471"/>
      <c r="SJL294" s="472"/>
      <c r="SJM294" s="471"/>
      <c r="SJN294" s="473"/>
      <c r="SJO294" s="474"/>
      <c r="SJP294" s="475"/>
      <c r="SJQ294" s="476"/>
      <c r="SJR294" s="477"/>
      <c r="SJS294" s="475"/>
      <c r="SJT294" s="478"/>
      <c r="SJU294" s="479"/>
      <c r="SJV294" s="480"/>
      <c r="SJW294" s="481"/>
      <c r="SJX294" s="481"/>
      <c r="SJY294" s="482"/>
      <c r="SJZ294" s="189"/>
      <c r="SKA294" s="189"/>
      <c r="SKB294" s="483"/>
      <c r="SKC294" s="306"/>
      <c r="SKD294" s="484"/>
      <c r="SKE294" s="306"/>
      <c r="SKF294" s="267"/>
      <c r="SKG294" s="268"/>
      <c r="SKH294" s="306"/>
      <c r="SKI294" s="268"/>
      <c r="SKJ294" s="306"/>
      <c r="SKK294" s="485"/>
      <c r="SKL294" s="306"/>
      <c r="SKM294" s="486"/>
      <c r="SKN294" s="487"/>
      <c r="SKO294" s="488"/>
      <c r="SKP294" s="489"/>
      <c r="SKQ294" s="488"/>
      <c r="SKR294" s="468"/>
      <c r="SKS294" s="469"/>
      <c r="SKT294" s="470"/>
      <c r="SKU294" s="470"/>
      <c r="SKV294" s="306"/>
      <c r="SKW294" s="317"/>
      <c r="SKX294" s="471"/>
      <c r="SKY294" s="472"/>
      <c r="SKZ294" s="471"/>
      <c r="SLA294" s="473"/>
      <c r="SLB294" s="474"/>
      <c r="SLC294" s="475"/>
      <c r="SLD294" s="476"/>
      <c r="SLE294" s="477"/>
      <c r="SLF294" s="475"/>
      <c r="SLG294" s="478"/>
      <c r="SLH294" s="479"/>
      <c r="SLI294" s="480"/>
      <c r="SLJ294" s="481"/>
      <c r="SLK294" s="481"/>
      <c r="SLL294" s="482"/>
      <c r="SLM294" s="189"/>
      <c r="SLN294" s="189"/>
      <c r="SLO294" s="483"/>
      <c r="SLP294" s="306"/>
      <c r="SLQ294" s="484"/>
      <c r="SLR294" s="306"/>
      <c r="SLS294" s="267"/>
      <c r="SLT294" s="268"/>
      <c r="SLU294" s="306"/>
      <c r="SLV294" s="268"/>
      <c r="SLW294" s="306"/>
      <c r="SLX294" s="485"/>
      <c r="SLY294" s="306"/>
      <c r="SLZ294" s="486"/>
      <c r="SMA294" s="487"/>
      <c r="SMB294" s="488"/>
      <c r="SMC294" s="489"/>
      <c r="SMD294" s="488"/>
      <c r="SME294" s="468"/>
      <c r="SMF294" s="469"/>
      <c r="SMG294" s="470"/>
      <c r="SMH294" s="470"/>
      <c r="SMI294" s="306"/>
      <c r="SMJ294" s="317"/>
      <c r="SMK294" s="471"/>
      <c r="SML294" s="472"/>
      <c r="SMM294" s="471"/>
      <c r="SMN294" s="473"/>
      <c r="SMO294" s="474"/>
      <c r="SMP294" s="475"/>
      <c r="SMQ294" s="476"/>
      <c r="SMR294" s="477"/>
      <c r="SMS294" s="475"/>
      <c r="SMT294" s="478"/>
      <c r="SMU294" s="479"/>
      <c r="SMV294" s="480"/>
      <c r="SMW294" s="481"/>
      <c r="SMX294" s="481"/>
      <c r="SMY294" s="482"/>
      <c r="SMZ294" s="189"/>
      <c r="SNA294" s="189"/>
      <c r="SNB294" s="483"/>
      <c r="SNC294" s="306"/>
      <c r="SND294" s="484"/>
      <c r="SNE294" s="306"/>
      <c r="SNF294" s="267"/>
      <c r="SNG294" s="268"/>
      <c r="SNH294" s="306"/>
      <c r="SNI294" s="268"/>
      <c r="SNJ294" s="306"/>
      <c r="SNK294" s="485"/>
      <c r="SNL294" s="306"/>
      <c r="SNM294" s="486"/>
      <c r="SNN294" s="487"/>
      <c r="SNO294" s="488"/>
      <c r="SNP294" s="489"/>
      <c r="SNQ294" s="488"/>
      <c r="SNR294" s="468"/>
      <c r="SNS294" s="469"/>
      <c r="SNT294" s="470"/>
      <c r="SNU294" s="470"/>
      <c r="SNV294" s="306"/>
      <c r="SNW294" s="317"/>
      <c r="SNX294" s="471"/>
      <c r="SNY294" s="472"/>
      <c r="SNZ294" s="471"/>
      <c r="SOA294" s="473"/>
      <c r="SOB294" s="474"/>
      <c r="SOC294" s="475"/>
      <c r="SOD294" s="476"/>
      <c r="SOE294" s="477"/>
      <c r="SOF294" s="475"/>
      <c r="SOG294" s="478"/>
      <c r="SOH294" s="479"/>
      <c r="SOI294" s="480"/>
      <c r="SOJ294" s="481"/>
      <c r="SOK294" s="481"/>
      <c r="SOL294" s="482"/>
      <c r="SOM294" s="189"/>
      <c r="SON294" s="189"/>
      <c r="SOO294" s="483"/>
      <c r="SOP294" s="306"/>
      <c r="SOQ294" s="484"/>
      <c r="SOR294" s="306"/>
      <c r="SOS294" s="267"/>
      <c r="SOT294" s="268"/>
      <c r="SOU294" s="306"/>
      <c r="SOV294" s="268"/>
      <c r="SOW294" s="306"/>
      <c r="SOX294" s="485"/>
      <c r="SOY294" s="306"/>
      <c r="SOZ294" s="486"/>
      <c r="SPA294" s="487"/>
      <c r="SPB294" s="488"/>
      <c r="SPC294" s="489"/>
      <c r="SPD294" s="488"/>
      <c r="SPE294" s="468"/>
      <c r="SPF294" s="469"/>
      <c r="SPG294" s="470"/>
      <c r="SPH294" s="470"/>
      <c r="SPI294" s="306"/>
      <c r="SPJ294" s="317"/>
      <c r="SPK294" s="471"/>
      <c r="SPL294" s="472"/>
      <c r="SPM294" s="471"/>
      <c r="SPN294" s="473"/>
      <c r="SPO294" s="474"/>
      <c r="SPP294" s="475"/>
      <c r="SPQ294" s="476"/>
      <c r="SPR294" s="477"/>
      <c r="SPS294" s="475"/>
      <c r="SPT294" s="478"/>
      <c r="SPU294" s="479"/>
      <c r="SPV294" s="480"/>
      <c r="SPW294" s="481"/>
      <c r="SPX294" s="481"/>
      <c r="SPY294" s="482"/>
      <c r="SPZ294" s="189"/>
      <c r="SQA294" s="189"/>
      <c r="SQB294" s="483"/>
      <c r="SQC294" s="306"/>
      <c r="SQD294" s="484"/>
      <c r="SQE294" s="306"/>
      <c r="SQF294" s="267"/>
      <c r="SQG294" s="268"/>
      <c r="SQH294" s="306"/>
      <c r="SQI294" s="268"/>
      <c r="SQJ294" s="306"/>
      <c r="SQK294" s="485"/>
      <c r="SQL294" s="306"/>
      <c r="SQM294" s="486"/>
      <c r="SQN294" s="487"/>
      <c r="SQO294" s="488"/>
      <c r="SQP294" s="489"/>
      <c r="SQQ294" s="488"/>
      <c r="SQR294" s="468"/>
      <c r="SQS294" s="469"/>
      <c r="SQT294" s="470"/>
      <c r="SQU294" s="470"/>
      <c r="SQV294" s="306"/>
      <c r="SQW294" s="317"/>
      <c r="SQX294" s="471"/>
      <c r="SQY294" s="472"/>
      <c r="SQZ294" s="471"/>
      <c r="SRA294" s="473"/>
      <c r="SRB294" s="474"/>
      <c r="SRC294" s="475"/>
      <c r="SRD294" s="476"/>
      <c r="SRE294" s="477"/>
      <c r="SRF294" s="475"/>
      <c r="SRG294" s="478"/>
      <c r="SRH294" s="479"/>
      <c r="SRI294" s="480"/>
      <c r="SRJ294" s="481"/>
      <c r="SRK294" s="481"/>
      <c r="SRL294" s="482"/>
      <c r="SRM294" s="189"/>
      <c r="SRN294" s="189"/>
      <c r="SRO294" s="483"/>
      <c r="SRP294" s="306"/>
      <c r="SRQ294" s="484"/>
      <c r="SRR294" s="306"/>
      <c r="SRS294" s="267"/>
      <c r="SRT294" s="268"/>
      <c r="SRU294" s="306"/>
      <c r="SRV294" s="268"/>
      <c r="SRW294" s="306"/>
      <c r="SRX294" s="485"/>
      <c r="SRY294" s="306"/>
      <c r="SRZ294" s="486"/>
      <c r="SSA294" s="487"/>
      <c r="SSB294" s="488"/>
      <c r="SSC294" s="489"/>
      <c r="SSD294" s="488"/>
      <c r="SSE294" s="468"/>
      <c r="SSF294" s="469"/>
      <c r="SSG294" s="470"/>
      <c r="SSH294" s="470"/>
      <c r="SSI294" s="306"/>
      <c r="SSJ294" s="317"/>
      <c r="SSK294" s="471"/>
      <c r="SSL294" s="472"/>
      <c r="SSM294" s="471"/>
      <c r="SSN294" s="473"/>
      <c r="SSO294" s="474"/>
      <c r="SSP294" s="475"/>
      <c r="SSQ294" s="476"/>
      <c r="SSR294" s="477"/>
      <c r="SSS294" s="475"/>
      <c r="SST294" s="478"/>
      <c r="SSU294" s="479"/>
      <c r="SSV294" s="480"/>
      <c r="SSW294" s="481"/>
      <c r="SSX294" s="481"/>
      <c r="SSY294" s="482"/>
      <c r="SSZ294" s="189"/>
      <c r="STA294" s="189"/>
      <c r="STB294" s="483"/>
      <c r="STC294" s="306"/>
      <c r="STD294" s="484"/>
      <c r="STE294" s="306"/>
      <c r="STF294" s="267"/>
      <c r="STG294" s="268"/>
      <c r="STH294" s="306"/>
      <c r="STI294" s="268"/>
      <c r="STJ294" s="306"/>
      <c r="STK294" s="485"/>
      <c r="STL294" s="306"/>
      <c r="STM294" s="486"/>
      <c r="STN294" s="487"/>
      <c r="STO294" s="488"/>
      <c r="STP294" s="489"/>
      <c r="STQ294" s="488"/>
      <c r="STR294" s="468"/>
      <c r="STS294" s="469"/>
      <c r="STT294" s="470"/>
      <c r="STU294" s="470"/>
      <c r="STV294" s="306"/>
      <c r="STW294" s="317"/>
      <c r="STX294" s="471"/>
      <c r="STY294" s="472"/>
      <c r="STZ294" s="471"/>
      <c r="SUA294" s="473"/>
      <c r="SUB294" s="474"/>
      <c r="SUC294" s="475"/>
      <c r="SUD294" s="476"/>
      <c r="SUE294" s="477"/>
      <c r="SUF294" s="475"/>
      <c r="SUG294" s="478"/>
      <c r="SUH294" s="479"/>
      <c r="SUI294" s="480"/>
      <c r="SUJ294" s="481"/>
      <c r="SUK294" s="481"/>
      <c r="SUL294" s="482"/>
      <c r="SUM294" s="189"/>
      <c r="SUN294" s="189"/>
      <c r="SUO294" s="483"/>
      <c r="SUP294" s="306"/>
      <c r="SUQ294" s="484"/>
      <c r="SUR294" s="306"/>
      <c r="SUS294" s="267"/>
      <c r="SUT294" s="268"/>
      <c r="SUU294" s="306"/>
      <c r="SUV294" s="268"/>
      <c r="SUW294" s="306"/>
      <c r="SUX294" s="485"/>
      <c r="SUY294" s="306"/>
      <c r="SUZ294" s="486"/>
      <c r="SVA294" s="487"/>
      <c r="SVB294" s="488"/>
      <c r="SVC294" s="489"/>
      <c r="SVD294" s="488"/>
      <c r="SVE294" s="468"/>
      <c r="SVF294" s="469"/>
      <c r="SVG294" s="470"/>
      <c r="SVH294" s="470"/>
      <c r="SVI294" s="306"/>
      <c r="SVJ294" s="317"/>
      <c r="SVK294" s="471"/>
      <c r="SVL294" s="472"/>
      <c r="SVM294" s="471"/>
      <c r="SVN294" s="473"/>
      <c r="SVO294" s="474"/>
      <c r="SVP294" s="475"/>
      <c r="SVQ294" s="476"/>
      <c r="SVR294" s="477"/>
      <c r="SVS294" s="475"/>
      <c r="SVT294" s="478"/>
      <c r="SVU294" s="479"/>
      <c r="SVV294" s="480"/>
      <c r="SVW294" s="481"/>
      <c r="SVX294" s="481"/>
      <c r="SVY294" s="482"/>
      <c r="SVZ294" s="189"/>
      <c r="SWA294" s="189"/>
      <c r="SWB294" s="483"/>
      <c r="SWC294" s="306"/>
      <c r="SWD294" s="484"/>
      <c r="SWE294" s="306"/>
      <c r="SWF294" s="267"/>
      <c r="SWG294" s="268"/>
      <c r="SWH294" s="306"/>
      <c r="SWI294" s="268"/>
      <c r="SWJ294" s="306"/>
      <c r="SWK294" s="485"/>
      <c r="SWL294" s="306"/>
      <c r="SWM294" s="486"/>
      <c r="SWN294" s="487"/>
      <c r="SWO294" s="488"/>
      <c r="SWP294" s="489"/>
      <c r="SWQ294" s="488"/>
      <c r="SWR294" s="468"/>
      <c r="SWS294" s="469"/>
      <c r="SWT294" s="470"/>
      <c r="SWU294" s="470"/>
      <c r="SWV294" s="306"/>
      <c r="SWW294" s="317"/>
      <c r="SWX294" s="471"/>
      <c r="SWY294" s="472"/>
      <c r="SWZ294" s="471"/>
      <c r="SXA294" s="473"/>
      <c r="SXB294" s="474"/>
      <c r="SXC294" s="475"/>
      <c r="SXD294" s="476"/>
      <c r="SXE294" s="477"/>
      <c r="SXF294" s="475"/>
      <c r="SXG294" s="478"/>
      <c r="SXH294" s="479"/>
      <c r="SXI294" s="480"/>
      <c r="SXJ294" s="481"/>
      <c r="SXK294" s="481"/>
      <c r="SXL294" s="482"/>
      <c r="SXM294" s="189"/>
      <c r="SXN294" s="189"/>
      <c r="SXO294" s="483"/>
      <c r="SXP294" s="306"/>
      <c r="SXQ294" s="484"/>
      <c r="SXR294" s="306"/>
      <c r="SXS294" s="267"/>
      <c r="SXT294" s="268"/>
      <c r="SXU294" s="306"/>
      <c r="SXV294" s="268"/>
      <c r="SXW294" s="306"/>
      <c r="SXX294" s="485"/>
      <c r="SXY294" s="306"/>
      <c r="SXZ294" s="486"/>
      <c r="SYA294" s="487"/>
      <c r="SYB294" s="488"/>
      <c r="SYC294" s="489"/>
      <c r="SYD294" s="488"/>
      <c r="SYE294" s="468"/>
      <c r="SYF294" s="469"/>
      <c r="SYG294" s="470"/>
      <c r="SYH294" s="470"/>
      <c r="SYI294" s="306"/>
      <c r="SYJ294" s="317"/>
      <c r="SYK294" s="471"/>
      <c r="SYL294" s="472"/>
      <c r="SYM294" s="471"/>
      <c r="SYN294" s="473"/>
      <c r="SYO294" s="474"/>
      <c r="SYP294" s="475"/>
      <c r="SYQ294" s="476"/>
      <c r="SYR294" s="477"/>
      <c r="SYS294" s="475"/>
      <c r="SYT294" s="478"/>
      <c r="SYU294" s="479"/>
      <c r="SYV294" s="480"/>
      <c r="SYW294" s="481"/>
      <c r="SYX294" s="481"/>
      <c r="SYY294" s="482"/>
      <c r="SYZ294" s="189"/>
      <c r="SZA294" s="189"/>
      <c r="SZB294" s="483"/>
      <c r="SZC294" s="306"/>
      <c r="SZD294" s="484"/>
      <c r="SZE294" s="306"/>
      <c r="SZF294" s="267"/>
      <c r="SZG294" s="268"/>
      <c r="SZH294" s="306"/>
      <c r="SZI294" s="268"/>
      <c r="SZJ294" s="306"/>
      <c r="SZK294" s="485"/>
      <c r="SZL294" s="306"/>
      <c r="SZM294" s="486"/>
      <c r="SZN294" s="487"/>
      <c r="SZO294" s="488"/>
      <c r="SZP294" s="489"/>
      <c r="SZQ294" s="488"/>
      <c r="SZR294" s="468"/>
      <c r="SZS294" s="469"/>
      <c r="SZT294" s="470"/>
      <c r="SZU294" s="470"/>
      <c r="SZV294" s="306"/>
      <c r="SZW294" s="317"/>
      <c r="SZX294" s="471"/>
      <c r="SZY294" s="472"/>
      <c r="SZZ294" s="471"/>
      <c r="TAA294" s="473"/>
      <c r="TAB294" s="474"/>
      <c r="TAC294" s="475"/>
      <c r="TAD294" s="476"/>
      <c r="TAE294" s="477"/>
      <c r="TAF294" s="475"/>
      <c r="TAG294" s="478"/>
      <c r="TAH294" s="479"/>
      <c r="TAI294" s="480"/>
      <c r="TAJ294" s="481"/>
      <c r="TAK294" s="481"/>
      <c r="TAL294" s="482"/>
      <c r="TAM294" s="189"/>
      <c r="TAN294" s="189"/>
      <c r="TAO294" s="483"/>
      <c r="TAP294" s="306"/>
      <c r="TAQ294" s="484"/>
      <c r="TAR294" s="306"/>
      <c r="TAS294" s="267"/>
      <c r="TAT294" s="268"/>
      <c r="TAU294" s="306"/>
      <c r="TAV294" s="268"/>
      <c r="TAW294" s="306"/>
      <c r="TAX294" s="485"/>
      <c r="TAY294" s="306"/>
      <c r="TAZ294" s="486"/>
      <c r="TBA294" s="487"/>
      <c r="TBB294" s="488"/>
      <c r="TBC294" s="489"/>
      <c r="TBD294" s="488"/>
      <c r="TBE294" s="468"/>
      <c r="TBF294" s="469"/>
      <c r="TBG294" s="470"/>
      <c r="TBH294" s="470"/>
      <c r="TBI294" s="306"/>
      <c r="TBJ294" s="317"/>
      <c r="TBK294" s="471"/>
      <c r="TBL294" s="472"/>
      <c r="TBM294" s="471"/>
      <c r="TBN294" s="473"/>
      <c r="TBO294" s="474"/>
      <c r="TBP294" s="475"/>
      <c r="TBQ294" s="476"/>
      <c r="TBR294" s="477"/>
      <c r="TBS294" s="475"/>
      <c r="TBT294" s="478"/>
      <c r="TBU294" s="479"/>
      <c r="TBV294" s="480"/>
      <c r="TBW294" s="481"/>
      <c r="TBX294" s="481"/>
      <c r="TBY294" s="482"/>
      <c r="TBZ294" s="189"/>
      <c r="TCA294" s="189"/>
      <c r="TCB294" s="483"/>
      <c r="TCC294" s="306"/>
      <c r="TCD294" s="484"/>
      <c r="TCE294" s="306"/>
      <c r="TCF294" s="267"/>
      <c r="TCG294" s="268"/>
      <c r="TCH294" s="306"/>
      <c r="TCI294" s="268"/>
      <c r="TCJ294" s="306"/>
      <c r="TCK294" s="485"/>
      <c r="TCL294" s="306"/>
      <c r="TCM294" s="486"/>
      <c r="TCN294" s="487"/>
      <c r="TCO294" s="488"/>
      <c r="TCP294" s="489"/>
      <c r="TCQ294" s="488"/>
      <c r="TCR294" s="468"/>
      <c r="TCS294" s="469"/>
      <c r="TCT294" s="470"/>
      <c r="TCU294" s="470"/>
      <c r="TCV294" s="306"/>
      <c r="TCW294" s="317"/>
      <c r="TCX294" s="471"/>
      <c r="TCY294" s="472"/>
      <c r="TCZ294" s="471"/>
      <c r="TDA294" s="473"/>
      <c r="TDB294" s="474"/>
      <c r="TDC294" s="475"/>
      <c r="TDD294" s="476"/>
      <c r="TDE294" s="477"/>
      <c r="TDF294" s="475"/>
      <c r="TDG294" s="478"/>
      <c r="TDH294" s="479"/>
      <c r="TDI294" s="480"/>
      <c r="TDJ294" s="481"/>
      <c r="TDK294" s="481"/>
      <c r="TDL294" s="482"/>
      <c r="TDM294" s="189"/>
      <c r="TDN294" s="189"/>
      <c r="TDO294" s="483"/>
      <c r="TDP294" s="306"/>
      <c r="TDQ294" s="484"/>
      <c r="TDR294" s="306"/>
      <c r="TDS294" s="267"/>
      <c r="TDT294" s="268"/>
      <c r="TDU294" s="306"/>
      <c r="TDV294" s="268"/>
      <c r="TDW294" s="306"/>
      <c r="TDX294" s="485"/>
      <c r="TDY294" s="306"/>
      <c r="TDZ294" s="486"/>
      <c r="TEA294" s="487"/>
      <c r="TEB294" s="488"/>
      <c r="TEC294" s="489"/>
      <c r="TED294" s="488"/>
      <c r="TEE294" s="468"/>
      <c r="TEF294" s="469"/>
      <c r="TEG294" s="470"/>
      <c r="TEH294" s="470"/>
      <c r="TEI294" s="306"/>
      <c r="TEJ294" s="317"/>
      <c r="TEK294" s="471"/>
      <c r="TEL294" s="472"/>
      <c r="TEM294" s="471"/>
      <c r="TEN294" s="473"/>
      <c r="TEO294" s="474"/>
      <c r="TEP294" s="475"/>
      <c r="TEQ294" s="476"/>
      <c r="TER294" s="477"/>
      <c r="TES294" s="475"/>
      <c r="TET294" s="478"/>
      <c r="TEU294" s="479"/>
      <c r="TEV294" s="480"/>
      <c r="TEW294" s="481"/>
      <c r="TEX294" s="481"/>
      <c r="TEY294" s="482"/>
      <c r="TEZ294" s="189"/>
      <c r="TFA294" s="189"/>
      <c r="TFB294" s="483"/>
      <c r="TFC294" s="306"/>
      <c r="TFD294" s="484"/>
      <c r="TFE294" s="306"/>
      <c r="TFF294" s="267"/>
      <c r="TFG294" s="268"/>
      <c r="TFH294" s="306"/>
      <c r="TFI294" s="268"/>
      <c r="TFJ294" s="306"/>
      <c r="TFK294" s="485"/>
      <c r="TFL294" s="306"/>
      <c r="TFM294" s="486"/>
      <c r="TFN294" s="487"/>
      <c r="TFO294" s="488"/>
      <c r="TFP294" s="489"/>
      <c r="TFQ294" s="488"/>
      <c r="TFR294" s="468"/>
      <c r="TFS294" s="469"/>
      <c r="TFT294" s="470"/>
      <c r="TFU294" s="470"/>
      <c r="TFV294" s="306"/>
      <c r="TFW294" s="317"/>
      <c r="TFX294" s="471"/>
      <c r="TFY294" s="472"/>
      <c r="TFZ294" s="471"/>
      <c r="TGA294" s="473"/>
      <c r="TGB294" s="474"/>
      <c r="TGC294" s="475"/>
      <c r="TGD294" s="476"/>
      <c r="TGE294" s="477"/>
      <c r="TGF294" s="475"/>
      <c r="TGG294" s="478"/>
      <c r="TGH294" s="479"/>
      <c r="TGI294" s="480"/>
      <c r="TGJ294" s="481"/>
      <c r="TGK294" s="481"/>
      <c r="TGL294" s="482"/>
      <c r="TGM294" s="189"/>
      <c r="TGN294" s="189"/>
      <c r="TGO294" s="483"/>
      <c r="TGP294" s="306"/>
      <c r="TGQ294" s="484"/>
      <c r="TGR294" s="306"/>
      <c r="TGS294" s="267"/>
      <c r="TGT294" s="268"/>
      <c r="TGU294" s="306"/>
      <c r="TGV294" s="268"/>
      <c r="TGW294" s="306"/>
      <c r="TGX294" s="485"/>
      <c r="TGY294" s="306"/>
      <c r="TGZ294" s="486"/>
      <c r="THA294" s="487"/>
      <c r="THB294" s="488"/>
      <c r="THC294" s="489"/>
      <c r="THD294" s="488"/>
      <c r="THE294" s="468"/>
      <c r="THF294" s="469"/>
      <c r="THG294" s="470"/>
      <c r="THH294" s="470"/>
      <c r="THI294" s="306"/>
      <c r="THJ294" s="317"/>
      <c r="THK294" s="471"/>
      <c r="THL294" s="472"/>
      <c r="THM294" s="471"/>
      <c r="THN294" s="473"/>
      <c r="THO294" s="474"/>
      <c r="THP294" s="475"/>
      <c r="THQ294" s="476"/>
      <c r="THR294" s="477"/>
      <c r="THS294" s="475"/>
      <c r="THT294" s="478"/>
      <c r="THU294" s="479"/>
      <c r="THV294" s="480"/>
      <c r="THW294" s="481"/>
      <c r="THX294" s="481"/>
      <c r="THY294" s="482"/>
      <c r="THZ294" s="189"/>
      <c r="TIA294" s="189"/>
      <c r="TIB294" s="483"/>
      <c r="TIC294" s="306"/>
      <c r="TID294" s="484"/>
      <c r="TIE294" s="306"/>
      <c r="TIF294" s="267"/>
      <c r="TIG294" s="268"/>
      <c r="TIH294" s="306"/>
      <c r="TII294" s="268"/>
      <c r="TIJ294" s="306"/>
      <c r="TIK294" s="485"/>
      <c r="TIL294" s="306"/>
      <c r="TIM294" s="486"/>
      <c r="TIN294" s="487"/>
      <c r="TIO294" s="488"/>
      <c r="TIP294" s="489"/>
      <c r="TIQ294" s="488"/>
      <c r="TIR294" s="468"/>
      <c r="TIS294" s="469"/>
      <c r="TIT294" s="470"/>
      <c r="TIU294" s="470"/>
      <c r="TIV294" s="306"/>
      <c r="TIW294" s="317"/>
      <c r="TIX294" s="471"/>
      <c r="TIY294" s="472"/>
      <c r="TIZ294" s="471"/>
      <c r="TJA294" s="473"/>
      <c r="TJB294" s="474"/>
      <c r="TJC294" s="475"/>
      <c r="TJD294" s="476"/>
      <c r="TJE294" s="477"/>
      <c r="TJF294" s="475"/>
      <c r="TJG294" s="478"/>
      <c r="TJH294" s="479"/>
      <c r="TJI294" s="480"/>
      <c r="TJJ294" s="481"/>
      <c r="TJK294" s="481"/>
      <c r="TJL294" s="482"/>
      <c r="TJM294" s="189"/>
      <c r="TJN294" s="189"/>
      <c r="TJO294" s="483"/>
      <c r="TJP294" s="306"/>
      <c r="TJQ294" s="484"/>
      <c r="TJR294" s="306"/>
      <c r="TJS294" s="267"/>
      <c r="TJT294" s="268"/>
      <c r="TJU294" s="306"/>
      <c r="TJV294" s="268"/>
      <c r="TJW294" s="306"/>
      <c r="TJX294" s="485"/>
      <c r="TJY294" s="306"/>
      <c r="TJZ294" s="486"/>
      <c r="TKA294" s="487"/>
      <c r="TKB294" s="488"/>
      <c r="TKC294" s="489"/>
      <c r="TKD294" s="488"/>
      <c r="TKE294" s="468"/>
      <c r="TKF294" s="469"/>
      <c r="TKG294" s="470"/>
      <c r="TKH294" s="470"/>
      <c r="TKI294" s="306"/>
      <c r="TKJ294" s="317"/>
      <c r="TKK294" s="471"/>
      <c r="TKL294" s="472"/>
      <c r="TKM294" s="471"/>
      <c r="TKN294" s="473"/>
      <c r="TKO294" s="474"/>
      <c r="TKP294" s="475"/>
      <c r="TKQ294" s="476"/>
      <c r="TKR294" s="477"/>
      <c r="TKS294" s="475"/>
      <c r="TKT294" s="478"/>
      <c r="TKU294" s="479"/>
      <c r="TKV294" s="480"/>
      <c r="TKW294" s="481"/>
      <c r="TKX294" s="481"/>
      <c r="TKY294" s="482"/>
      <c r="TKZ294" s="189"/>
      <c r="TLA294" s="189"/>
      <c r="TLB294" s="483"/>
      <c r="TLC294" s="306"/>
      <c r="TLD294" s="484"/>
      <c r="TLE294" s="306"/>
      <c r="TLF294" s="267"/>
      <c r="TLG294" s="268"/>
      <c r="TLH294" s="306"/>
      <c r="TLI294" s="268"/>
      <c r="TLJ294" s="306"/>
      <c r="TLK294" s="485"/>
      <c r="TLL294" s="306"/>
      <c r="TLM294" s="486"/>
      <c r="TLN294" s="487"/>
      <c r="TLO294" s="488"/>
      <c r="TLP294" s="489"/>
      <c r="TLQ294" s="488"/>
      <c r="TLR294" s="468"/>
      <c r="TLS294" s="469"/>
      <c r="TLT294" s="470"/>
      <c r="TLU294" s="470"/>
      <c r="TLV294" s="306"/>
      <c r="TLW294" s="317"/>
      <c r="TLX294" s="471"/>
      <c r="TLY294" s="472"/>
      <c r="TLZ294" s="471"/>
      <c r="TMA294" s="473"/>
      <c r="TMB294" s="474"/>
      <c r="TMC294" s="475"/>
      <c r="TMD294" s="476"/>
      <c r="TME294" s="477"/>
      <c r="TMF294" s="475"/>
      <c r="TMG294" s="478"/>
      <c r="TMH294" s="479"/>
      <c r="TMI294" s="480"/>
      <c r="TMJ294" s="481"/>
      <c r="TMK294" s="481"/>
      <c r="TML294" s="482"/>
      <c r="TMM294" s="189"/>
      <c r="TMN294" s="189"/>
      <c r="TMO294" s="483"/>
      <c r="TMP294" s="306"/>
      <c r="TMQ294" s="484"/>
      <c r="TMR294" s="306"/>
      <c r="TMS294" s="267"/>
      <c r="TMT294" s="268"/>
      <c r="TMU294" s="306"/>
      <c r="TMV294" s="268"/>
      <c r="TMW294" s="306"/>
      <c r="TMX294" s="485"/>
      <c r="TMY294" s="306"/>
      <c r="TMZ294" s="486"/>
      <c r="TNA294" s="487"/>
      <c r="TNB294" s="488"/>
      <c r="TNC294" s="489"/>
      <c r="TND294" s="488"/>
      <c r="TNE294" s="468"/>
      <c r="TNF294" s="469"/>
      <c r="TNG294" s="470"/>
      <c r="TNH294" s="470"/>
      <c r="TNI294" s="306"/>
      <c r="TNJ294" s="317"/>
      <c r="TNK294" s="471"/>
      <c r="TNL294" s="472"/>
      <c r="TNM294" s="471"/>
      <c r="TNN294" s="473"/>
      <c r="TNO294" s="474"/>
      <c r="TNP294" s="475"/>
      <c r="TNQ294" s="476"/>
      <c r="TNR294" s="477"/>
      <c r="TNS294" s="475"/>
      <c r="TNT294" s="478"/>
      <c r="TNU294" s="479"/>
      <c r="TNV294" s="480"/>
      <c r="TNW294" s="481"/>
      <c r="TNX294" s="481"/>
      <c r="TNY294" s="482"/>
      <c r="TNZ294" s="189"/>
      <c r="TOA294" s="189"/>
      <c r="TOB294" s="483"/>
      <c r="TOC294" s="306"/>
      <c r="TOD294" s="484"/>
      <c r="TOE294" s="306"/>
      <c r="TOF294" s="267"/>
      <c r="TOG294" s="268"/>
      <c r="TOH294" s="306"/>
      <c r="TOI294" s="268"/>
      <c r="TOJ294" s="306"/>
      <c r="TOK294" s="485"/>
      <c r="TOL294" s="306"/>
      <c r="TOM294" s="486"/>
      <c r="TON294" s="487"/>
      <c r="TOO294" s="488"/>
      <c r="TOP294" s="489"/>
      <c r="TOQ294" s="488"/>
      <c r="TOR294" s="468"/>
      <c r="TOS294" s="469"/>
      <c r="TOT294" s="470"/>
      <c r="TOU294" s="470"/>
      <c r="TOV294" s="306"/>
      <c r="TOW294" s="317"/>
      <c r="TOX294" s="471"/>
      <c r="TOY294" s="472"/>
      <c r="TOZ294" s="471"/>
      <c r="TPA294" s="473"/>
      <c r="TPB294" s="474"/>
      <c r="TPC294" s="475"/>
      <c r="TPD294" s="476"/>
      <c r="TPE294" s="477"/>
      <c r="TPF294" s="475"/>
      <c r="TPG294" s="478"/>
      <c r="TPH294" s="479"/>
      <c r="TPI294" s="480"/>
      <c r="TPJ294" s="481"/>
      <c r="TPK294" s="481"/>
      <c r="TPL294" s="482"/>
      <c r="TPM294" s="189"/>
      <c r="TPN294" s="189"/>
      <c r="TPO294" s="483"/>
      <c r="TPP294" s="306"/>
      <c r="TPQ294" s="484"/>
      <c r="TPR294" s="306"/>
      <c r="TPS294" s="267"/>
      <c r="TPT294" s="268"/>
      <c r="TPU294" s="306"/>
      <c r="TPV294" s="268"/>
      <c r="TPW294" s="306"/>
      <c r="TPX294" s="485"/>
      <c r="TPY294" s="306"/>
      <c r="TPZ294" s="486"/>
      <c r="TQA294" s="487"/>
      <c r="TQB294" s="488"/>
      <c r="TQC294" s="489"/>
      <c r="TQD294" s="488"/>
      <c r="TQE294" s="468"/>
      <c r="TQF294" s="469"/>
      <c r="TQG294" s="470"/>
      <c r="TQH294" s="470"/>
      <c r="TQI294" s="306"/>
      <c r="TQJ294" s="317"/>
      <c r="TQK294" s="471"/>
      <c r="TQL294" s="472"/>
      <c r="TQM294" s="471"/>
      <c r="TQN294" s="473"/>
      <c r="TQO294" s="474"/>
      <c r="TQP294" s="475"/>
      <c r="TQQ294" s="476"/>
      <c r="TQR294" s="477"/>
      <c r="TQS294" s="475"/>
      <c r="TQT294" s="478"/>
      <c r="TQU294" s="479"/>
      <c r="TQV294" s="480"/>
      <c r="TQW294" s="481"/>
      <c r="TQX294" s="481"/>
      <c r="TQY294" s="482"/>
      <c r="TQZ294" s="189"/>
      <c r="TRA294" s="189"/>
      <c r="TRB294" s="483"/>
      <c r="TRC294" s="306"/>
      <c r="TRD294" s="484"/>
      <c r="TRE294" s="306"/>
      <c r="TRF294" s="267"/>
      <c r="TRG294" s="268"/>
      <c r="TRH294" s="306"/>
      <c r="TRI294" s="268"/>
      <c r="TRJ294" s="306"/>
      <c r="TRK294" s="485"/>
      <c r="TRL294" s="306"/>
      <c r="TRM294" s="486"/>
      <c r="TRN294" s="487"/>
      <c r="TRO294" s="488"/>
      <c r="TRP294" s="489"/>
      <c r="TRQ294" s="488"/>
      <c r="TRR294" s="468"/>
      <c r="TRS294" s="469"/>
      <c r="TRT294" s="470"/>
      <c r="TRU294" s="470"/>
      <c r="TRV294" s="306"/>
      <c r="TRW294" s="317"/>
      <c r="TRX294" s="471"/>
      <c r="TRY294" s="472"/>
      <c r="TRZ294" s="471"/>
      <c r="TSA294" s="473"/>
      <c r="TSB294" s="474"/>
      <c r="TSC294" s="475"/>
      <c r="TSD294" s="476"/>
      <c r="TSE294" s="477"/>
      <c r="TSF294" s="475"/>
      <c r="TSG294" s="478"/>
      <c r="TSH294" s="479"/>
      <c r="TSI294" s="480"/>
      <c r="TSJ294" s="481"/>
      <c r="TSK294" s="481"/>
      <c r="TSL294" s="482"/>
      <c r="TSM294" s="189"/>
      <c r="TSN294" s="189"/>
      <c r="TSO294" s="483"/>
      <c r="TSP294" s="306"/>
      <c r="TSQ294" s="484"/>
      <c r="TSR294" s="306"/>
      <c r="TSS294" s="267"/>
      <c r="TST294" s="268"/>
      <c r="TSU294" s="306"/>
      <c r="TSV294" s="268"/>
      <c r="TSW294" s="306"/>
      <c r="TSX294" s="485"/>
      <c r="TSY294" s="306"/>
      <c r="TSZ294" s="486"/>
      <c r="TTA294" s="487"/>
      <c r="TTB294" s="488"/>
      <c r="TTC294" s="489"/>
      <c r="TTD294" s="488"/>
      <c r="TTE294" s="468"/>
      <c r="TTF294" s="469"/>
      <c r="TTG294" s="470"/>
      <c r="TTH294" s="470"/>
      <c r="TTI294" s="306"/>
      <c r="TTJ294" s="317"/>
      <c r="TTK294" s="471"/>
      <c r="TTL294" s="472"/>
      <c r="TTM294" s="471"/>
      <c r="TTN294" s="473"/>
      <c r="TTO294" s="474"/>
      <c r="TTP294" s="475"/>
      <c r="TTQ294" s="476"/>
      <c r="TTR294" s="477"/>
      <c r="TTS294" s="475"/>
      <c r="TTT294" s="478"/>
      <c r="TTU294" s="479"/>
      <c r="TTV294" s="480"/>
      <c r="TTW294" s="481"/>
      <c r="TTX294" s="481"/>
      <c r="TTY294" s="482"/>
      <c r="TTZ294" s="189"/>
      <c r="TUA294" s="189"/>
      <c r="TUB294" s="483"/>
      <c r="TUC294" s="306"/>
      <c r="TUD294" s="484"/>
      <c r="TUE294" s="306"/>
      <c r="TUF294" s="267"/>
      <c r="TUG294" s="268"/>
      <c r="TUH294" s="306"/>
      <c r="TUI294" s="268"/>
      <c r="TUJ294" s="306"/>
      <c r="TUK294" s="485"/>
      <c r="TUL294" s="306"/>
      <c r="TUM294" s="486"/>
      <c r="TUN294" s="487"/>
      <c r="TUO294" s="488"/>
      <c r="TUP294" s="489"/>
      <c r="TUQ294" s="488"/>
      <c r="TUR294" s="468"/>
      <c r="TUS294" s="469"/>
      <c r="TUT294" s="470"/>
      <c r="TUU294" s="470"/>
      <c r="TUV294" s="306"/>
      <c r="TUW294" s="317"/>
      <c r="TUX294" s="471"/>
      <c r="TUY294" s="472"/>
      <c r="TUZ294" s="471"/>
      <c r="TVA294" s="473"/>
      <c r="TVB294" s="474"/>
      <c r="TVC294" s="475"/>
      <c r="TVD294" s="476"/>
      <c r="TVE294" s="477"/>
      <c r="TVF294" s="475"/>
      <c r="TVG294" s="478"/>
      <c r="TVH294" s="479"/>
      <c r="TVI294" s="480"/>
      <c r="TVJ294" s="481"/>
      <c r="TVK294" s="481"/>
      <c r="TVL294" s="482"/>
      <c r="TVM294" s="189"/>
      <c r="TVN294" s="189"/>
      <c r="TVO294" s="483"/>
      <c r="TVP294" s="306"/>
      <c r="TVQ294" s="484"/>
      <c r="TVR294" s="306"/>
      <c r="TVS294" s="267"/>
      <c r="TVT294" s="268"/>
      <c r="TVU294" s="306"/>
      <c r="TVV294" s="268"/>
      <c r="TVW294" s="306"/>
      <c r="TVX294" s="485"/>
      <c r="TVY294" s="306"/>
      <c r="TVZ294" s="486"/>
      <c r="TWA294" s="487"/>
      <c r="TWB294" s="488"/>
      <c r="TWC294" s="489"/>
      <c r="TWD294" s="488"/>
      <c r="TWE294" s="468"/>
      <c r="TWF294" s="469"/>
      <c r="TWG294" s="470"/>
      <c r="TWH294" s="470"/>
      <c r="TWI294" s="306"/>
      <c r="TWJ294" s="317"/>
      <c r="TWK294" s="471"/>
      <c r="TWL294" s="472"/>
      <c r="TWM294" s="471"/>
      <c r="TWN294" s="473"/>
      <c r="TWO294" s="474"/>
      <c r="TWP294" s="475"/>
      <c r="TWQ294" s="476"/>
      <c r="TWR294" s="477"/>
      <c r="TWS294" s="475"/>
      <c r="TWT294" s="478"/>
      <c r="TWU294" s="479"/>
      <c r="TWV294" s="480"/>
      <c r="TWW294" s="481"/>
      <c r="TWX294" s="481"/>
      <c r="TWY294" s="482"/>
      <c r="TWZ294" s="189"/>
      <c r="TXA294" s="189"/>
      <c r="TXB294" s="483"/>
      <c r="TXC294" s="306"/>
      <c r="TXD294" s="484"/>
      <c r="TXE294" s="306"/>
      <c r="TXF294" s="267"/>
      <c r="TXG294" s="268"/>
      <c r="TXH294" s="306"/>
      <c r="TXI294" s="268"/>
      <c r="TXJ294" s="306"/>
      <c r="TXK294" s="485"/>
      <c r="TXL294" s="306"/>
      <c r="TXM294" s="486"/>
      <c r="TXN294" s="487"/>
      <c r="TXO294" s="488"/>
      <c r="TXP294" s="489"/>
      <c r="TXQ294" s="488"/>
      <c r="TXR294" s="468"/>
      <c r="TXS294" s="469"/>
      <c r="TXT294" s="470"/>
      <c r="TXU294" s="470"/>
      <c r="TXV294" s="306"/>
      <c r="TXW294" s="317"/>
      <c r="TXX294" s="471"/>
      <c r="TXY294" s="472"/>
      <c r="TXZ294" s="471"/>
      <c r="TYA294" s="473"/>
      <c r="TYB294" s="474"/>
      <c r="TYC294" s="475"/>
      <c r="TYD294" s="476"/>
      <c r="TYE294" s="477"/>
      <c r="TYF294" s="475"/>
      <c r="TYG294" s="478"/>
      <c r="TYH294" s="479"/>
      <c r="TYI294" s="480"/>
      <c r="TYJ294" s="481"/>
      <c r="TYK294" s="481"/>
      <c r="TYL294" s="482"/>
      <c r="TYM294" s="189"/>
      <c r="TYN294" s="189"/>
      <c r="TYO294" s="483"/>
      <c r="TYP294" s="306"/>
      <c r="TYQ294" s="484"/>
      <c r="TYR294" s="306"/>
      <c r="TYS294" s="267"/>
      <c r="TYT294" s="268"/>
      <c r="TYU294" s="306"/>
      <c r="TYV294" s="268"/>
      <c r="TYW294" s="306"/>
      <c r="TYX294" s="485"/>
      <c r="TYY294" s="306"/>
      <c r="TYZ294" s="486"/>
      <c r="TZA294" s="487"/>
      <c r="TZB294" s="488"/>
      <c r="TZC294" s="489"/>
      <c r="TZD294" s="488"/>
      <c r="TZE294" s="468"/>
      <c r="TZF294" s="469"/>
      <c r="TZG294" s="470"/>
      <c r="TZH294" s="470"/>
      <c r="TZI294" s="306"/>
      <c r="TZJ294" s="317"/>
      <c r="TZK294" s="471"/>
      <c r="TZL294" s="472"/>
      <c r="TZM294" s="471"/>
      <c r="TZN294" s="473"/>
      <c r="TZO294" s="474"/>
      <c r="TZP294" s="475"/>
      <c r="TZQ294" s="476"/>
      <c r="TZR294" s="477"/>
      <c r="TZS294" s="475"/>
      <c r="TZT294" s="478"/>
      <c r="TZU294" s="479"/>
      <c r="TZV294" s="480"/>
      <c r="TZW294" s="481"/>
      <c r="TZX294" s="481"/>
      <c r="TZY294" s="482"/>
      <c r="TZZ294" s="189"/>
      <c r="UAA294" s="189"/>
      <c r="UAB294" s="483"/>
      <c r="UAC294" s="306"/>
      <c r="UAD294" s="484"/>
      <c r="UAE294" s="306"/>
      <c r="UAF294" s="267"/>
      <c r="UAG294" s="268"/>
      <c r="UAH294" s="306"/>
      <c r="UAI294" s="268"/>
      <c r="UAJ294" s="306"/>
      <c r="UAK294" s="485"/>
      <c r="UAL294" s="306"/>
      <c r="UAM294" s="486"/>
      <c r="UAN294" s="487"/>
      <c r="UAO294" s="488"/>
      <c r="UAP294" s="489"/>
      <c r="UAQ294" s="488"/>
      <c r="UAR294" s="468"/>
      <c r="UAS294" s="469"/>
      <c r="UAT294" s="470"/>
      <c r="UAU294" s="470"/>
      <c r="UAV294" s="306"/>
      <c r="UAW294" s="317"/>
      <c r="UAX294" s="471"/>
      <c r="UAY294" s="472"/>
      <c r="UAZ294" s="471"/>
      <c r="UBA294" s="473"/>
      <c r="UBB294" s="474"/>
      <c r="UBC294" s="475"/>
      <c r="UBD294" s="476"/>
      <c r="UBE294" s="477"/>
      <c r="UBF294" s="475"/>
      <c r="UBG294" s="478"/>
      <c r="UBH294" s="479"/>
      <c r="UBI294" s="480"/>
      <c r="UBJ294" s="481"/>
      <c r="UBK294" s="481"/>
      <c r="UBL294" s="482"/>
      <c r="UBM294" s="189"/>
      <c r="UBN294" s="189"/>
      <c r="UBO294" s="483"/>
      <c r="UBP294" s="306"/>
      <c r="UBQ294" s="484"/>
      <c r="UBR294" s="306"/>
      <c r="UBS294" s="267"/>
      <c r="UBT294" s="268"/>
      <c r="UBU294" s="306"/>
      <c r="UBV294" s="268"/>
      <c r="UBW294" s="306"/>
      <c r="UBX294" s="485"/>
      <c r="UBY294" s="306"/>
      <c r="UBZ294" s="486"/>
      <c r="UCA294" s="487"/>
      <c r="UCB294" s="488"/>
      <c r="UCC294" s="489"/>
      <c r="UCD294" s="488"/>
      <c r="UCE294" s="468"/>
      <c r="UCF294" s="469"/>
      <c r="UCG294" s="470"/>
      <c r="UCH294" s="470"/>
      <c r="UCI294" s="306"/>
      <c r="UCJ294" s="317"/>
      <c r="UCK294" s="471"/>
      <c r="UCL294" s="472"/>
      <c r="UCM294" s="471"/>
      <c r="UCN294" s="473"/>
      <c r="UCO294" s="474"/>
      <c r="UCP294" s="475"/>
      <c r="UCQ294" s="476"/>
      <c r="UCR294" s="477"/>
      <c r="UCS294" s="475"/>
      <c r="UCT294" s="478"/>
      <c r="UCU294" s="479"/>
      <c r="UCV294" s="480"/>
      <c r="UCW294" s="481"/>
      <c r="UCX294" s="481"/>
      <c r="UCY294" s="482"/>
      <c r="UCZ294" s="189"/>
      <c r="UDA294" s="189"/>
      <c r="UDB294" s="483"/>
      <c r="UDC294" s="306"/>
      <c r="UDD294" s="484"/>
      <c r="UDE294" s="306"/>
      <c r="UDF294" s="267"/>
      <c r="UDG294" s="268"/>
      <c r="UDH294" s="306"/>
      <c r="UDI294" s="268"/>
      <c r="UDJ294" s="306"/>
      <c r="UDK294" s="485"/>
      <c r="UDL294" s="306"/>
      <c r="UDM294" s="486"/>
      <c r="UDN294" s="487"/>
      <c r="UDO294" s="488"/>
      <c r="UDP294" s="489"/>
      <c r="UDQ294" s="488"/>
      <c r="UDR294" s="468"/>
      <c r="UDS294" s="469"/>
      <c r="UDT294" s="470"/>
      <c r="UDU294" s="470"/>
      <c r="UDV294" s="306"/>
      <c r="UDW294" s="317"/>
      <c r="UDX294" s="471"/>
      <c r="UDY294" s="472"/>
      <c r="UDZ294" s="471"/>
      <c r="UEA294" s="473"/>
      <c r="UEB294" s="474"/>
      <c r="UEC294" s="475"/>
      <c r="UED294" s="476"/>
      <c r="UEE294" s="477"/>
      <c r="UEF294" s="475"/>
      <c r="UEG294" s="478"/>
      <c r="UEH294" s="479"/>
      <c r="UEI294" s="480"/>
      <c r="UEJ294" s="481"/>
      <c r="UEK294" s="481"/>
      <c r="UEL294" s="482"/>
      <c r="UEM294" s="189"/>
      <c r="UEN294" s="189"/>
      <c r="UEO294" s="483"/>
      <c r="UEP294" s="306"/>
      <c r="UEQ294" s="484"/>
      <c r="UER294" s="306"/>
      <c r="UES294" s="267"/>
      <c r="UET294" s="268"/>
      <c r="UEU294" s="306"/>
      <c r="UEV294" s="268"/>
      <c r="UEW294" s="306"/>
      <c r="UEX294" s="485"/>
      <c r="UEY294" s="306"/>
      <c r="UEZ294" s="486"/>
      <c r="UFA294" s="487"/>
      <c r="UFB294" s="488"/>
      <c r="UFC294" s="489"/>
      <c r="UFD294" s="488"/>
      <c r="UFE294" s="468"/>
      <c r="UFF294" s="469"/>
      <c r="UFG294" s="470"/>
      <c r="UFH294" s="470"/>
      <c r="UFI294" s="306"/>
      <c r="UFJ294" s="317"/>
      <c r="UFK294" s="471"/>
      <c r="UFL294" s="472"/>
      <c r="UFM294" s="471"/>
      <c r="UFN294" s="473"/>
      <c r="UFO294" s="474"/>
      <c r="UFP294" s="475"/>
      <c r="UFQ294" s="476"/>
      <c r="UFR294" s="477"/>
      <c r="UFS294" s="475"/>
      <c r="UFT294" s="478"/>
      <c r="UFU294" s="479"/>
      <c r="UFV294" s="480"/>
      <c r="UFW294" s="481"/>
      <c r="UFX294" s="481"/>
      <c r="UFY294" s="482"/>
      <c r="UFZ294" s="189"/>
      <c r="UGA294" s="189"/>
      <c r="UGB294" s="483"/>
      <c r="UGC294" s="306"/>
      <c r="UGD294" s="484"/>
      <c r="UGE294" s="306"/>
      <c r="UGF294" s="267"/>
      <c r="UGG294" s="268"/>
      <c r="UGH294" s="306"/>
      <c r="UGI294" s="268"/>
      <c r="UGJ294" s="306"/>
      <c r="UGK294" s="485"/>
      <c r="UGL294" s="306"/>
      <c r="UGM294" s="486"/>
      <c r="UGN294" s="487"/>
      <c r="UGO294" s="488"/>
      <c r="UGP294" s="489"/>
      <c r="UGQ294" s="488"/>
      <c r="UGR294" s="468"/>
      <c r="UGS294" s="469"/>
      <c r="UGT294" s="470"/>
      <c r="UGU294" s="470"/>
      <c r="UGV294" s="306"/>
      <c r="UGW294" s="317"/>
      <c r="UGX294" s="471"/>
      <c r="UGY294" s="472"/>
      <c r="UGZ294" s="471"/>
      <c r="UHA294" s="473"/>
      <c r="UHB294" s="474"/>
      <c r="UHC294" s="475"/>
      <c r="UHD294" s="476"/>
      <c r="UHE294" s="477"/>
      <c r="UHF294" s="475"/>
      <c r="UHG294" s="478"/>
      <c r="UHH294" s="479"/>
      <c r="UHI294" s="480"/>
      <c r="UHJ294" s="481"/>
      <c r="UHK294" s="481"/>
      <c r="UHL294" s="482"/>
      <c r="UHM294" s="189"/>
      <c r="UHN294" s="189"/>
      <c r="UHO294" s="483"/>
      <c r="UHP294" s="306"/>
      <c r="UHQ294" s="484"/>
      <c r="UHR294" s="306"/>
      <c r="UHS294" s="267"/>
      <c r="UHT294" s="268"/>
      <c r="UHU294" s="306"/>
      <c r="UHV294" s="268"/>
      <c r="UHW294" s="306"/>
      <c r="UHX294" s="485"/>
      <c r="UHY294" s="306"/>
      <c r="UHZ294" s="486"/>
      <c r="UIA294" s="487"/>
      <c r="UIB294" s="488"/>
      <c r="UIC294" s="489"/>
      <c r="UID294" s="488"/>
      <c r="UIE294" s="468"/>
      <c r="UIF294" s="469"/>
      <c r="UIG294" s="470"/>
      <c r="UIH294" s="470"/>
      <c r="UII294" s="306"/>
      <c r="UIJ294" s="317"/>
      <c r="UIK294" s="471"/>
      <c r="UIL294" s="472"/>
      <c r="UIM294" s="471"/>
      <c r="UIN294" s="473"/>
      <c r="UIO294" s="474"/>
      <c r="UIP294" s="475"/>
      <c r="UIQ294" s="476"/>
      <c r="UIR294" s="477"/>
      <c r="UIS294" s="475"/>
      <c r="UIT294" s="478"/>
      <c r="UIU294" s="479"/>
      <c r="UIV294" s="480"/>
      <c r="UIW294" s="481"/>
      <c r="UIX294" s="481"/>
      <c r="UIY294" s="482"/>
      <c r="UIZ294" s="189"/>
      <c r="UJA294" s="189"/>
      <c r="UJB294" s="483"/>
      <c r="UJC294" s="306"/>
      <c r="UJD294" s="484"/>
      <c r="UJE294" s="306"/>
      <c r="UJF294" s="267"/>
      <c r="UJG294" s="268"/>
      <c r="UJH294" s="306"/>
      <c r="UJI294" s="268"/>
      <c r="UJJ294" s="306"/>
      <c r="UJK294" s="485"/>
      <c r="UJL294" s="306"/>
      <c r="UJM294" s="486"/>
      <c r="UJN294" s="487"/>
      <c r="UJO294" s="488"/>
      <c r="UJP294" s="489"/>
      <c r="UJQ294" s="488"/>
      <c r="UJR294" s="468"/>
      <c r="UJS294" s="469"/>
      <c r="UJT294" s="470"/>
      <c r="UJU294" s="470"/>
      <c r="UJV294" s="306"/>
      <c r="UJW294" s="317"/>
      <c r="UJX294" s="471"/>
      <c r="UJY294" s="472"/>
      <c r="UJZ294" s="471"/>
      <c r="UKA294" s="473"/>
      <c r="UKB294" s="474"/>
      <c r="UKC294" s="475"/>
      <c r="UKD294" s="476"/>
      <c r="UKE294" s="477"/>
      <c r="UKF294" s="475"/>
      <c r="UKG294" s="478"/>
      <c r="UKH294" s="479"/>
      <c r="UKI294" s="480"/>
      <c r="UKJ294" s="481"/>
      <c r="UKK294" s="481"/>
      <c r="UKL294" s="482"/>
      <c r="UKM294" s="189"/>
      <c r="UKN294" s="189"/>
      <c r="UKO294" s="483"/>
      <c r="UKP294" s="306"/>
      <c r="UKQ294" s="484"/>
      <c r="UKR294" s="306"/>
      <c r="UKS294" s="267"/>
      <c r="UKT294" s="268"/>
      <c r="UKU294" s="306"/>
      <c r="UKV294" s="268"/>
      <c r="UKW294" s="306"/>
      <c r="UKX294" s="485"/>
      <c r="UKY294" s="306"/>
      <c r="UKZ294" s="486"/>
      <c r="ULA294" s="487"/>
      <c r="ULB294" s="488"/>
      <c r="ULC294" s="489"/>
      <c r="ULD294" s="488"/>
      <c r="ULE294" s="468"/>
      <c r="ULF294" s="469"/>
      <c r="ULG294" s="470"/>
      <c r="ULH294" s="470"/>
      <c r="ULI294" s="306"/>
      <c r="ULJ294" s="317"/>
      <c r="ULK294" s="471"/>
      <c r="ULL294" s="472"/>
      <c r="ULM294" s="471"/>
      <c r="ULN294" s="473"/>
      <c r="ULO294" s="474"/>
      <c r="ULP294" s="475"/>
      <c r="ULQ294" s="476"/>
      <c r="ULR294" s="477"/>
      <c r="ULS294" s="475"/>
      <c r="ULT294" s="478"/>
      <c r="ULU294" s="479"/>
      <c r="ULV294" s="480"/>
      <c r="ULW294" s="481"/>
      <c r="ULX294" s="481"/>
      <c r="ULY294" s="482"/>
      <c r="ULZ294" s="189"/>
      <c r="UMA294" s="189"/>
      <c r="UMB294" s="483"/>
      <c r="UMC294" s="306"/>
      <c r="UMD294" s="484"/>
      <c r="UME294" s="306"/>
      <c r="UMF294" s="267"/>
      <c r="UMG294" s="268"/>
      <c r="UMH294" s="306"/>
      <c r="UMI294" s="268"/>
      <c r="UMJ294" s="306"/>
      <c r="UMK294" s="485"/>
      <c r="UML294" s="306"/>
      <c r="UMM294" s="486"/>
      <c r="UMN294" s="487"/>
      <c r="UMO294" s="488"/>
      <c r="UMP294" s="489"/>
      <c r="UMQ294" s="488"/>
      <c r="UMR294" s="468"/>
      <c r="UMS294" s="469"/>
      <c r="UMT294" s="470"/>
      <c r="UMU294" s="470"/>
      <c r="UMV294" s="306"/>
      <c r="UMW294" s="317"/>
      <c r="UMX294" s="471"/>
      <c r="UMY294" s="472"/>
      <c r="UMZ294" s="471"/>
      <c r="UNA294" s="473"/>
      <c r="UNB294" s="474"/>
      <c r="UNC294" s="475"/>
      <c r="UND294" s="476"/>
      <c r="UNE294" s="477"/>
      <c r="UNF294" s="475"/>
      <c r="UNG294" s="478"/>
      <c r="UNH294" s="479"/>
      <c r="UNI294" s="480"/>
      <c r="UNJ294" s="481"/>
      <c r="UNK294" s="481"/>
      <c r="UNL294" s="482"/>
      <c r="UNM294" s="189"/>
      <c r="UNN294" s="189"/>
      <c r="UNO294" s="483"/>
      <c r="UNP294" s="306"/>
      <c r="UNQ294" s="484"/>
      <c r="UNR294" s="306"/>
      <c r="UNS294" s="267"/>
      <c r="UNT294" s="268"/>
      <c r="UNU294" s="306"/>
      <c r="UNV294" s="268"/>
      <c r="UNW294" s="306"/>
      <c r="UNX294" s="485"/>
      <c r="UNY294" s="306"/>
      <c r="UNZ294" s="486"/>
      <c r="UOA294" s="487"/>
      <c r="UOB294" s="488"/>
      <c r="UOC294" s="489"/>
      <c r="UOD294" s="488"/>
      <c r="UOE294" s="468"/>
      <c r="UOF294" s="469"/>
      <c r="UOG294" s="470"/>
      <c r="UOH294" s="470"/>
      <c r="UOI294" s="306"/>
      <c r="UOJ294" s="317"/>
      <c r="UOK294" s="471"/>
      <c r="UOL294" s="472"/>
      <c r="UOM294" s="471"/>
      <c r="UON294" s="473"/>
      <c r="UOO294" s="474"/>
      <c r="UOP294" s="475"/>
      <c r="UOQ294" s="476"/>
      <c r="UOR294" s="477"/>
      <c r="UOS294" s="475"/>
      <c r="UOT294" s="478"/>
      <c r="UOU294" s="479"/>
      <c r="UOV294" s="480"/>
      <c r="UOW294" s="481"/>
      <c r="UOX294" s="481"/>
      <c r="UOY294" s="482"/>
      <c r="UOZ294" s="189"/>
      <c r="UPA294" s="189"/>
      <c r="UPB294" s="483"/>
      <c r="UPC294" s="306"/>
      <c r="UPD294" s="484"/>
      <c r="UPE294" s="306"/>
      <c r="UPF294" s="267"/>
      <c r="UPG294" s="268"/>
      <c r="UPH294" s="306"/>
      <c r="UPI294" s="268"/>
      <c r="UPJ294" s="306"/>
      <c r="UPK294" s="485"/>
      <c r="UPL294" s="306"/>
      <c r="UPM294" s="486"/>
      <c r="UPN294" s="487"/>
      <c r="UPO294" s="488"/>
      <c r="UPP294" s="489"/>
      <c r="UPQ294" s="488"/>
      <c r="UPR294" s="468"/>
      <c r="UPS294" s="469"/>
      <c r="UPT294" s="470"/>
      <c r="UPU294" s="470"/>
      <c r="UPV294" s="306"/>
      <c r="UPW294" s="317"/>
      <c r="UPX294" s="471"/>
      <c r="UPY294" s="472"/>
      <c r="UPZ294" s="471"/>
      <c r="UQA294" s="473"/>
      <c r="UQB294" s="474"/>
      <c r="UQC294" s="475"/>
      <c r="UQD294" s="476"/>
      <c r="UQE294" s="477"/>
      <c r="UQF294" s="475"/>
      <c r="UQG294" s="478"/>
      <c r="UQH294" s="479"/>
      <c r="UQI294" s="480"/>
      <c r="UQJ294" s="481"/>
      <c r="UQK294" s="481"/>
      <c r="UQL294" s="482"/>
      <c r="UQM294" s="189"/>
      <c r="UQN294" s="189"/>
      <c r="UQO294" s="483"/>
      <c r="UQP294" s="306"/>
      <c r="UQQ294" s="484"/>
      <c r="UQR294" s="306"/>
      <c r="UQS294" s="267"/>
      <c r="UQT294" s="268"/>
      <c r="UQU294" s="306"/>
      <c r="UQV294" s="268"/>
      <c r="UQW294" s="306"/>
      <c r="UQX294" s="485"/>
      <c r="UQY294" s="306"/>
      <c r="UQZ294" s="486"/>
      <c r="URA294" s="487"/>
      <c r="URB294" s="488"/>
      <c r="URC294" s="489"/>
      <c r="URD294" s="488"/>
      <c r="URE294" s="468"/>
      <c r="URF294" s="469"/>
      <c r="URG294" s="470"/>
      <c r="URH294" s="470"/>
      <c r="URI294" s="306"/>
      <c r="URJ294" s="317"/>
      <c r="URK294" s="471"/>
      <c r="URL294" s="472"/>
      <c r="URM294" s="471"/>
      <c r="URN294" s="473"/>
      <c r="URO294" s="474"/>
      <c r="URP294" s="475"/>
      <c r="URQ294" s="476"/>
      <c r="URR294" s="477"/>
      <c r="URS294" s="475"/>
      <c r="URT294" s="478"/>
      <c r="URU294" s="479"/>
      <c r="URV294" s="480"/>
      <c r="URW294" s="481"/>
      <c r="URX294" s="481"/>
      <c r="URY294" s="482"/>
      <c r="URZ294" s="189"/>
      <c r="USA294" s="189"/>
      <c r="USB294" s="483"/>
      <c r="USC294" s="306"/>
      <c r="USD294" s="484"/>
      <c r="USE294" s="306"/>
      <c r="USF294" s="267"/>
      <c r="USG294" s="268"/>
      <c r="USH294" s="306"/>
      <c r="USI294" s="268"/>
      <c r="USJ294" s="306"/>
      <c r="USK294" s="485"/>
      <c r="USL294" s="306"/>
      <c r="USM294" s="486"/>
      <c r="USN294" s="487"/>
      <c r="USO294" s="488"/>
      <c r="USP294" s="489"/>
      <c r="USQ294" s="488"/>
      <c r="USR294" s="468"/>
      <c r="USS294" s="469"/>
      <c r="UST294" s="470"/>
      <c r="USU294" s="470"/>
      <c r="USV294" s="306"/>
      <c r="USW294" s="317"/>
      <c r="USX294" s="471"/>
      <c r="USY294" s="472"/>
      <c r="USZ294" s="471"/>
      <c r="UTA294" s="473"/>
      <c r="UTB294" s="474"/>
      <c r="UTC294" s="475"/>
      <c r="UTD294" s="476"/>
      <c r="UTE294" s="477"/>
      <c r="UTF294" s="475"/>
      <c r="UTG294" s="478"/>
      <c r="UTH294" s="479"/>
      <c r="UTI294" s="480"/>
      <c r="UTJ294" s="481"/>
      <c r="UTK294" s="481"/>
      <c r="UTL294" s="482"/>
      <c r="UTM294" s="189"/>
      <c r="UTN294" s="189"/>
      <c r="UTO294" s="483"/>
      <c r="UTP294" s="306"/>
      <c r="UTQ294" s="484"/>
      <c r="UTR294" s="306"/>
      <c r="UTS294" s="267"/>
      <c r="UTT294" s="268"/>
      <c r="UTU294" s="306"/>
      <c r="UTV294" s="268"/>
      <c r="UTW294" s="306"/>
      <c r="UTX294" s="485"/>
      <c r="UTY294" s="306"/>
      <c r="UTZ294" s="486"/>
      <c r="UUA294" s="487"/>
      <c r="UUB294" s="488"/>
      <c r="UUC294" s="489"/>
      <c r="UUD294" s="488"/>
      <c r="UUE294" s="468"/>
      <c r="UUF294" s="469"/>
      <c r="UUG294" s="470"/>
      <c r="UUH294" s="470"/>
      <c r="UUI294" s="306"/>
      <c r="UUJ294" s="317"/>
      <c r="UUK294" s="471"/>
      <c r="UUL294" s="472"/>
      <c r="UUM294" s="471"/>
      <c r="UUN294" s="473"/>
      <c r="UUO294" s="474"/>
      <c r="UUP294" s="475"/>
      <c r="UUQ294" s="476"/>
      <c r="UUR294" s="477"/>
      <c r="UUS294" s="475"/>
      <c r="UUT294" s="478"/>
      <c r="UUU294" s="479"/>
      <c r="UUV294" s="480"/>
      <c r="UUW294" s="481"/>
      <c r="UUX294" s="481"/>
      <c r="UUY294" s="482"/>
      <c r="UUZ294" s="189"/>
      <c r="UVA294" s="189"/>
      <c r="UVB294" s="483"/>
      <c r="UVC294" s="306"/>
      <c r="UVD294" s="484"/>
      <c r="UVE294" s="306"/>
      <c r="UVF294" s="267"/>
      <c r="UVG294" s="268"/>
      <c r="UVH294" s="306"/>
      <c r="UVI294" s="268"/>
      <c r="UVJ294" s="306"/>
      <c r="UVK294" s="485"/>
      <c r="UVL294" s="306"/>
      <c r="UVM294" s="486"/>
      <c r="UVN294" s="487"/>
      <c r="UVO294" s="488"/>
      <c r="UVP294" s="489"/>
      <c r="UVQ294" s="488"/>
      <c r="UVR294" s="468"/>
      <c r="UVS294" s="469"/>
      <c r="UVT294" s="470"/>
      <c r="UVU294" s="470"/>
      <c r="UVV294" s="306"/>
      <c r="UVW294" s="317"/>
      <c r="UVX294" s="471"/>
      <c r="UVY294" s="472"/>
      <c r="UVZ294" s="471"/>
      <c r="UWA294" s="473"/>
      <c r="UWB294" s="474"/>
      <c r="UWC294" s="475"/>
      <c r="UWD294" s="476"/>
      <c r="UWE294" s="477"/>
      <c r="UWF294" s="475"/>
      <c r="UWG294" s="478"/>
      <c r="UWH294" s="479"/>
      <c r="UWI294" s="480"/>
      <c r="UWJ294" s="481"/>
      <c r="UWK294" s="481"/>
      <c r="UWL294" s="482"/>
      <c r="UWM294" s="189"/>
      <c r="UWN294" s="189"/>
      <c r="UWO294" s="483"/>
      <c r="UWP294" s="306"/>
      <c r="UWQ294" s="484"/>
      <c r="UWR294" s="306"/>
      <c r="UWS294" s="267"/>
      <c r="UWT294" s="268"/>
      <c r="UWU294" s="306"/>
      <c r="UWV294" s="268"/>
      <c r="UWW294" s="306"/>
      <c r="UWX294" s="485"/>
      <c r="UWY294" s="306"/>
      <c r="UWZ294" s="486"/>
      <c r="UXA294" s="487"/>
      <c r="UXB294" s="488"/>
      <c r="UXC294" s="489"/>
      <c r="UXD294" s="488"/>
      <c r="UXE294" s="468"/>
      <c r="UXF294" s="469"/>
      <c r="UXG294" s="470"/>
      <c r="UXH294" s="470"/>
      <c r="UXI294" s="306"/>
      <c r="UXJ294" s="317"/>
      <c r="UXK294" s="471"/>
      <c r="UXL294" s="472"/>
      <c r="UXM294" s="471"/>
      <c r="UXN294" s="473"/>
      <c r="UXO294" s="474"/>
      <c r="UXP294" s="475"/>
      <c r="UXQ294" s="476"/>
      <c r="UXR294" s="477"/>
      <c r="UXS294" s="475"/>
      <c r="UXT294" s="478"/>
      <c r="UXU294" s="479"/>
      <c r="UXV294" s="480"/>
      <c r="UXW294" s="481"/>
      <c r="UXX294" s="481"/>
      <c r="UXY294" s="482"/>
      <c r="UXZ294" s="189"/>
      <c r="UYA294" s="189"/>
      <c r="UYB294" s="483"/>
      <c r="UYC294" s="306"/>
      <c r="UYD294" s="484"/>
      <c r="UYE294" s="306"/>
      <c r="UYF294" s="267"/>
      <c r="UYG294" s="268"/>
      <c r="UYH294" s="306"/>
      <c r="UYI294" s="268"/>
      <c r="UYJ294" s="306"/>
      <c r="UYK294" s="485"/>
      <c r="UYL294" s="306"/>
      <c r="UYM294" s="486"/>
      <c r="UYN294" s="487"/>
      <c r="UYO294" s="488"/>
      <c r="UYP294" s="489"/>
      <c r="UYQ294" s="488"/>
      <c r="UYR294" s="468"/>
      <c r="UYS294" s="469"/>
      <c r="UYT294" s="470"/>
      <c r="UYU294" s="470"/>
      <c r="UYV294" s="306"/>
      <c r="UYW294" s="317"/>
      <c r="UYX294" s="471"/>
      <c r="UYY294" s="472"/>
      <c r="UYZ294" s="471"/>
      <c r="UZA294" s="473"/>
      <c r="UZB294" s="474"/>
      <c r="UZC294" s="475"/>
      <c r="UZD294" s="476"/>
      <c r="UZE294" s="477"/>
      <c r="UZF294" s="475"/>
      <c r="UZG294" s="478"/>
      <c r="UZH294" s="479"/>
      <c r="UZI294" s="480"/>
      <c r="UZJ294" s="481"/>
      <c r="UZK294" s="481"/>
      <c r="UZL294" s="482"/>
      <c r="UZM294" s="189"/>
      <c r="UZN294" s="189"/>
      <c r="UZO294" s="483"/>
      <c r="UZP294" s="306"/>
      <c r="UZQ294" s="484"/>
      <c r="UZR294" s="306"/>
      <c r="UZS294" s="267"/>
      <c r="UZT294" s="268"/>
      <c r="UZU294" s="306"/>
      <c r="UZV294" s="268"/>
      <c r="UZW294" s="306"/>
      <c r="UZX294" s="485"/>
      <c r="UZY294" s="306"/>
      <c r="UZZ294" s="486"/>
      <c r="VAA294" s="487"/>
      <c r="VAB294" s="488"/>
      <c r="VAC294" s="489"/>
      <c r="VAD294" s="488"/>
      <c r="VAE294" s="468"/>
      <c r="VAF294" s="469"/>
      <c r="VAG294" s="470"/>
      <c r="VAH294" s="470"/>
      <c r="VAI294" s="306"/>
      <c r="VAJ294" s="317"/>
      <c r="VAK294" s="471"/>
      <c r="VAL294" s="472"/>
      <c r="VAM294" s="471"/>
      <c r="VAN294" s="473"/>
      <c r="VAO294" s="474"/>
      <c r="VAP294" s="475"/>
      <c r="VAQ294" s="476"/>
      <c r="VAR294" s="477"/>
      <c r="VAS294" s="475"/>
      <c r="VAT294" s="478"/>
      <c r="VAU294" s="479"/>
      <c r="VAV294" s="480"/>
      <c r="VAW294" s="481"/>
      <c r="VAX294" s="481"/>
      <c r="VAY294" s="482"/>
      <c r="VAZ294" s="189"/>
      <c r="VBA294" s="189"/>
      <c r="VBB294" s="483"/>
      <c r="VBC294" s="306"/>
      <c r="VBD294" s="484"/>
      <c r="VBE294" s="306"/>
      <c r="VBF294" s="267"/>
      <c r="VBG294" s="268"/>
      <c r="VBH294" s="306"/>
      <c r="VBI294" s="268"/>
      <c r="VBJ294" s="306"/>
      <c r="VBK294" s="485"/>
      <c r="VBL294" s="306"/>
      <c r="VBM294" s="486"/>
      <c r="VBN294" s="487"/>
      <c r="VBO294" s="488"/>
      <c r="VBP294" s="489"/>
      <c r="VBQ294" s="488"/>
      <c r="VBR294" s="468"/>
      <c r="VBS294" s="469"/>
      <c r="VBT294" s="470"/>
      <c r="VBU294" s="470"/>
      <c r="VBV294" s="306"/>
      <c r="VBW294" s="317"/>
      <c r="VBX294" s="471"/>
      <c r="VBY294" s="472"/>
      <c r="VBZ294" s="471"/>
      <c r="VCA294" s="473"/>
      <c r="VCB294" s="474"/>
      <c r="VCC294" s="475"/>
      <c r="VCD294" s="476"/>
      <c r="VCE294" s="477"/>
      <c r="VCF294" s="475"/>
      <c r="VCG294" s="478"/>
      <c r="VCH294" s="479"/>
      <c r="VCI294" s="480"/>
      <c r="VCJ294" s="481"/>
      <c r="VCK294" s="481"/>
      <c r="VCL294" s="482"/>
      <c r="VCM294" s="189"/>
      <c r="VCN294" s="189"/>
      <c r="VCO294" s="483"/>
      <c r="VCP294" s="306"/>
      <c r="VCQ294" s="484"/>
      <c r="VCR294" s="306"/>
      <c r="VCS294" s="267"/>
      <c r="VCT294" s="268"/>
      <c r="VCU294" s="306"/>
      <c r="VCV294" s="268"/>
      <c r="VCW294" s="306"/>
      <c r="VCX294" s="485"/>
      <c r="VCY294" s="306"/>
      <c r="VCZ294" s="486"/>
      <c r="VDA294" s="487"/>
      <c r="VDB294" s="488"/>
      <c r="VDC294" s="489"/>
      <c r="VDD294" s="488"/>
      <c r="VDE294" s="468"/>
      <c r="VDF294" s="469"/>
      <c r="VDG294" s="470"/>
      <c r="VDH294" s="470"/>
      <c r="VDI294" s="306"/>
      <c r="VDJ294" s="317"/>
      <c r="VDK294" s="471"/>
      <c r="VDL294" s="472"/>
      <c r="VDM294" s="471"/>
      <c r="VDN294" s="473"/>
      <c r="VDO294" s="474"/>
      <c r="VDP294" s="475"/>
      <c r="VDQ294" s="476"/>
      <c r="VDR294" s="477"/>
      <c r="VDS294" s="475"/>
      <c r="VDT294" s="478"/>
      <c r="VDU294" s="479"/>
      <c r="VDV294" s="480"/>
      <c r="VDW294" s="481"/>
      <c r="VDX294" s="481"/>
      <c r="VDY294" s="482"/>
      <c r="VDZ294" s="189"/>
      <c r="VEA294" s="189"/>
      <c r="VEB294" s="483"/>
      <c r="VEC294" s="306"/>
      <c r="VED294" s="484"/>
      <c r="VEE294" s="306"/>
      <c r="VEF294" s="267"/>
      <c r="VEG294" s="268"/>
      <c r="VEH294" s="306"/>
      <c r="VEI294" s="268"/>
      <c r="VEJ294" s="306"/>
      <c r="VEK294" s="485"/>
      <c r="VEL294" s="306"/>
      <c r="VEM294" s="486"/>
      <c r="VEN294" s="487"/>
      <c r="VEO294" s="488"/>
      <c r="VEP294" s="489"/>
      <c r="VEQ294" s="488"/>
      <c r="VER294" s="468"/>
      <c r="VES294" s="469"/>
      <c r="VET294" s="470"/>
      <c r="VEU294" s="470"/>
      <c r="VEV294" s="306"/>
      <c r="VEW294" s="317"/>
      <c r="VEX294" s="471"/>
      <c r="VEY294" s="472"/>
      <c r="VEZ294" s="471"/>
      <c r="VFA294" s="473"/>
      <c r="VFB294" s="474"/>
      <c r="VFC294" s="475"/>
      <c r="VFD294" s="476"/>
      <c r="VFE294" s="477"/>
      <c r="VFF294" s="475"/>
      <c r="VFG294" s="478"/>
      <c r="VFH294" s="479"/>
      <c r="VFI294" s="480"/>
      <c r="VFJ294" s="481"/>
      <c r="VFK294" s="481"/>
      <c r="VFL294" s="482"/>
      <c r="VFM294" s="189"/>
      <c r="VFN294" s="189"/>
      <c r="VFO294" s="483"/>
      <c r="VFP294" s="306"/>
      <c r="VFQ294" s="484"/>
      <c r="VFR294" s="306"/>
      <c r="VFS294" s="267"/>
      <c r="VFT294" s="268"/>
      <c r="VFU294" s="306"/>
      <c r="VFV294" s="268"/>
      <c r="VFW294" s="306"/>
      <c r="VFX294" s="485"/>
      <c r="VFY294" s="306"/>
      <c r="VFZ294" s="486"/>
      <c r="VGA294" s="487"/>
      <c r="VGB294" s="488"/>
      <c r="VGC294" s="489"/>
      <c r="VGD294" s="488"/>
      <c r="VGE294" s="468"/>
      <c r="VGF294" s="469"/>
      <c r="VGG294" s="470"/>
      <c r="VGH294" s="470"/>
      <c r="VGI294" s="306"/>
      <c r="VGJ294" s="317"/>
      <c r="VGK294" s="471"/>
      <c r="VGL294" s="472"/>
      <c r="VGM294" s="471"/>
      <c r="VGN294" s="473"/>
      <c r="VGO294" s="474"/>
      <c r="VGP294" s="475"/>
      <c r="VGQ294" s="476"/>
      <c r="VGR294" s="477"/>
      <c r="VGS294" s="475"/>
      <c r="VGT294" s="478"/>
      <c r="VGU294" s="479"/>
      <c r="VGV294" s="480"/>
      <c r="VGW294" s="481"/>
      <c r="VGX294" s="481"/>
      <c r="VGY294" s="482"/>
      <c r="VGZ294" s="189"/>
      <c r="VHA294" s="189"/>
      <c r="VHB294" s="483"/>
      <c r="VHC294" s="306"/>
      <c r="VHD294" s="484"/>
      <c r="VHE294" s="306"/>
      <c r="VHF294" s="267"/>
      <c r="VHG294" s="268"/>
      <c r="VHH294" s="306"/>
      <c r="VHI294" s="268"/>
      <c r="VHJ294" s="306"/>
      <c r="VHK294" s="485"/>
      <c r="VHL294" s="306"/>
      <c r="VHM294" s="486"/>
      <c r="VHN294" s="487"/>
      <c r="VHO294" s="488"/>
      <c r="VHP294" s="489"/>
      <c r="VHQ294" s="488"/>
      <c r="VHR294" s="468"/>
      <c r="VHS294" s="469"/>
      <c r="VHT294" s="470"/>
      <c r="VHU294" s="470"/>
      <c r="VHV294" s="306"/>
      <c r="VHW294" s="317"/>
      <c r="VHX294" s="471"/>
      <c r="VHY294" s="472"/>
      <c r="VHZ294" s="471"/>
      <c r="VIA294" s="473"/>
      <c r="VIB294" s="474"/>
      <c r="VIC294" s="475"/>
      <c r="VID294" s="476"/>
      <c r="VIE294" s="477"/>
      <c r="VIF294" s="475"/>
      <c r="VIG294" s="478"/>
      <c r="VIH294" s="479"/>
      <c r="VII294" s="480"/>
      <c r="VIJ294" s="481"/>
      <c r="VIK294" s="481"/>
      <c r="VIL294" s="482"/>
      <c r="VIM294" s="189"/>
      <c r="VIN294" s="189"/>
      <c r="VIO294" s="483"/>
      <c r="VIP294" s="306"/>
      <c r="VIQ294" s="484"/>
      <c r="VIR294" s="306"/>
      <c r="VIS294" s="267"/>
      <c r="VIT294" s="268"/>
      <c r="VIU294" s="306"/>
      <c r="VIV294" s="268"/>
      <c r="VIW294" s="306"/>
      <c r="VIX294" s="485"/>
      <c r="VIY294" s="306"/>
      <c r="VIZ294" s="486"/>
      <c r="VJA294" s="487"/>
      <c r="VJB294" s="488"/>
      <c r="VJC294" s="489"/>
      <c r="VJD294" s="488"/>
      <c r="VJE294" s="468"/>
      <c r="VJF294" s="469"/>
      <c r="VJG294" s="470"/>
      <c r="VJH294" s="470"/>
      <c r="VJI294" s="306"/>
      <c r="VJJ294" s="317"/>
      <c r="VJK294" s="471"/>
      <c r="VJL294" s="472"/>
      <c r="VJM294" s="471"/>
      <c r="VJN294" s="473"/>
      <c r="VJO294" s="474"/>
      <c r="VJP294" s="475"/>
      <c r="VJQ294" s="476"/>
      <c r="VJR294" s="477"/>
      <c r="VJS294" s="475"/>
      <c r="VJT294" s="478"/>
      <c r="VJU294" s="479"/>
      <c r="VJV294" s="480"/>
      <c r="VJW294" s="481"/>
      <c r="VJX294" s="481"/>
      <c r="VJY294" s="482"/>
      <c r="VJZ294" s="189"/>
      <c r="VKA294" s="189"/>
      <c r="VKB294" s="483"/>
      <c r="VKC294" s="306"/>
      <c r="VKD294" s="484"/>
      <c r="VKE294" s="306"/>
      <c r="VKF294" s="267"/>
      <c r="VKG294" s="268"/>
      <c r="VKH294" s="306"/>
      <c r="VKI294" s="268"/>
      <c r="VKJ294" s="306"/>
      <c r="VKK294" s="485"/>
      <c r="VKL294" s="306"/>
      <c r="VKM294" s="486"/>
      <c r="VKN294" s="487"/>
      <c r="VKO294" s="488"/>
      <c r="VKP294" s="489"/>
      <c r="VKQ294" s="488"/>
      <c r="VKR294" s="468"/>
      <c r="VKS294" s="469"/>
      <c r="VKT294" s="470"/>
      <c r="VKU294" s="470"/>
      <c r="VKV294" s="306"/>
      <c r="VKW294" s="317"/>
      <c r="VKX294" s="471"/>
      <c r="VKY294" s="472"/>
      <c r="VKZ294" s="471"/>
      <c r="VLA294" s="473"/>
      <c r="VLB294" s="474"/>
      <c r="VLC294" s="475"/>
      <c r="VLD294" s="476"/>
      <c r="VLE294" s="477"/>
      <c r="VLF294" s="475"/>
      <c r="VLG294" s="478"/>
      <c r="VLH294" s="479"/>
      <c r="VLI294" s="480"/>
      <c r="VLJ294" s="481"/>
      <c r="VLK294" s="481"/>
      <c r="VLL294" s="482"/>
      <c r="VLM294" s="189"/>
      <c r="VLN294" s="189"/>
      <c r="VLO294" s="483"/>
      <c r="VLP294" s="306"/>
      <c r="VLQ294" s="484"/>
      <c r="VLR294" s="306"/>
      <c r="VLS294" s="267"/>
      <c r="VLT294" s="268"/>
      <c r="VLU294" s="306"/>
      <c r="VLV294" s="268"/>
      <c r="VLW294" s="306"/>
      <c r="VLX294" s="485"/>
      <c r="VLY294" s="306"/>
      <c r="VLZ294" s="486"/>
      <c r="VMA294" s="487"/>
      <c r="VMB294" s="488"/>
      <c r="VMC294" s="489"/>
      <c r="VMD294" s="488"/>
      <c r="VME294" s="468"/>
      <c r="VMF294" s="469"/>
      <c r="VMG294" s="470"/>
      <c r="VMH294" s="470"/>
      <c r="VMI294" s="306"/>
      <c r="VMJ294" s="317"/>
      <c r="VMK294" s="471"/>
      <c r="VML294" s="472"/>
      <c r="VMM294" s="471"/>
      <c r="VMN294" s="473"/>
      <c r="VMO294" s="474"/>
      <c r="VMP294" s="475"/>
      <c r="VMQ294" s="476"/>
      <c r="VMR294" s="477"/>
      <c r="VMS294" s="475"/>
      <c r="VMT294" s="478"/>
      <c r="VMU294" s="479"/>
      <c r="VMV294" s="480"/>
      <c r="VMW294" s="481"/>
      <c r="VMX294" s="481"/>
      <c r="VMY294" s="482"/>
      <c r="VMZ294" s="189"/>
      <c r="VNA294" s="189"/>
      <c r="VNB294" s="483"/>
      <c r="VNC294" s="306"/>
      <c r="VND294" s="484"/>
      <c r="VNE294" s="306"/>
      <c r="VNF294" s="267"/>
      <c r="VNG294" s="268"/>
      <c r="VNH294" s="306"/>
      <c r="VNI294" s="268"/>
      <c r="VNJ294" s="306"/>
      <c r="VNK294" s="485"/>
      <c r="VNL294" s="306"/>
      <c r="VNM294" s="486"/>
      <c r="VNN294" s="487"/>
      <c r="VNO294" s="488"/>
      <c r="VNP294" s="489"/>
      <c r="VNQ294" s="488"/>
      <c r="VNR294" s="468"/>
      <c r="VNS294" s="469"/>
      <c r="VNT294" s="470"/>
      <c r="VNU294" s="470"/>
      <c r="VNV294" s="306"/>
      <c r="VNW294" s="317"/>
      <c r="VNX294" s="471"/>
      <c r="VNY294" s="472"/>
      <c r="VNZ294" s="471"/>
      <c r="VOA294" s="473"/>
      <c r="VOB294" s="474"/>
      <c r="VOC294" s="475"/>
      <c r="VOD294" s="476"/>
      <c r="VOE294" s="477"/>
      <c r="VOF294" s="475"/>
      <c r="VOG294" s="478"/>
      <c r="VOH294" s="479"/>
      <c r="VOI294" s="480"/>
      <c r="VOJ294" s="481"/>
      <c r="VOK294" s="481"/>
      <c r="VOL294" s="482"/>
      <c r="VOM294" s="189"/>
      <c r="VON294" s="189"/>
      <c r="VOO294" s="483"/>
      <c r="VOP294" s="306"/>
      <c r="VOQ294" s="484"/>
      <c r="VOR294" s="306"/>
      <c r="VOS294" s="267"/>
      <c r="VOT294" s="268"/>
      <c r="VOU294" s="306"/>
      <c r="VOV294" s="268"/>
      <c r="VOW294" s="306"/>
      <c r="VOX294" s="485"/>
      <c r="VOY294" s="306"/>
      <c r="VOZ294" s="486"/>
      <c r="VPA294" s="487"/>
      <c r="VPB294" s="488"/>
      <c r="VPC294" s="489"/>
      <c r="VPD294" s="488"/>
      <c r="VPE294" s="468"/>
      <c r="VPF294" s="469"/>
      <c r="VPG294" s="470"/>
      <c r="VPH294" s="470"/>
      <c r="VPI294" s="306"/>
      <c r="VPJ294" s="317"/>
      <c r="VPK294" s="471"/>
      <c r="VPL294" s="472"/>
      <c r="VPM294" s="471"/>
      <c r="VPN294" s="473"/>
      <c r="VPO294" s="474"/>
      <c r="VPP294" s="475"/>
      <c r="VPQ294" s="476"/>
      <c r="VPR294" s="477"/>
      <c r="VPS294" s="475"/>
      <c r="VPT294" s="478"/>
      <c r="VPU294" s="479"/>
      <c r="VPV294" s="480"/>
      <c r="VPW294" s="481"/>
      <c r="VPX294" s="481"/>
      <c r="VPY294" s="482"/>
      <c r="VPZ294" s="189"/>
      <c r="VQA294" s="189"/>
      <c r="VQB294" s="483"/>
      <c r="VQC294" s="306"/>
      <c r="VQD294" s="484"/>
      <c r="VQE294" s="306"/>
      <c r="VQF294" s="267"/>
      <c r="VQG294" s="268"/>
      <c r="VQH294" s="306"/>
      <c r="VQI294" s="268"/>
      <c r="VQJ294" s="306"/>
      <c r="VQK294" s="485"/>
      <c r="VQL294" s="306"/>
      <c r="VQM294" s="486"/>
      <c r="VQN294" s="487"/>
      <c r="VQO294" s="488"/>
      <c r="VQP294" s="489"/>
      <c r="VQQ294" s="488"/>
      <c r="VQR294" s="468"/>
      <c r="VQS294" s="469"/>
      <c r="VQT294" s="470"/>
      <c r="VQU294" s="470"/>
      <c r="VQV294" s="306"/>
      <c r="VQW294" s="317"/>
      <c r="VQX294" s="471"/>
      <c r="VQY294" s="472"/>
      <c r="VQZ294" s="471"/>
      <c r="VRA294" s="473"/>
      <c r="VRB294" s="474"/>
      <c r="VRC294" s="475"/>
      <c r="VRD294" s="476"/>
      <c r="VRE294" s="477"/>
      <c r="VRF294" s="475"/>
      <c r="VRG294" s="478"/>
      <c r="VRH294" s="479"/>
      <c r="VRI294" s="480"/>
      <c r="VRJ294" s="481"/>
      <c r="VRK294" s="481"/>
      <c r="VRL294" s="482"/>
      <c r="VRM294" s="189"/>
      <c r="VRN294" s="189"/>
      <c r="VRO294" s="483"/>
      <c r="VRP294" s="306"/>
      <c r="VRQ294" s="484"/>
      <c r="VRR294" s="306"/>
      <c r="VRS294" s="267"/>
      <c r="VRT294" s="268"/>
      <c r="VRU294" s="306"/>
      <c r="VRV294" s="268"/>
      <c r="VRW294" s="306"/>
      <c r="VRX294" s="485"/>
      <c r="VRY294" s="306"/>
      <c r="VRZ294" s="486"/>
      <c r="VSA294" s="487"/>
      <c r="VSB294" s="488"/>
      <c r="VSC294" s="489"/>
      <c r="VSD294" s="488"/>
      <c r="VSE294" s="468"/>
      <c r="VSF294" s="469"/>
      <c r="VSG294" s="470"/>
      <c r="VSH294" s="470"/>
      <c r="VSI294" s="306"/>
      <c r="VSJ294" s="317"/>
      <c r="VSK294" s="471"/>
      <c r="VSL294" s="472"/>
      <c r="VSM294" s="471"/>
      <c r="VSN294" s="473"/>
      <c r="VSO294" s="474"/>
      <c r="VSP294" s="475"/>
      <c r="VSQ294" s="476"/>
      <c r="VSR294" s="477"/>
      <c r="VSS294" s="475"/>
      <c r="VST294" s="478"/>
      <c r="VSU294" s="479"/>
      <c r="VSV294" s="480"/>
      <c r="VSW294" s="481"/>
      <c r="VSX294" s="481"/>
      <c r="VSY294" s="482"/>
      <c r="VSZ294" s="189"/>
      <c r="VTA294" s="189"/>
      <c r="VTB294" s="483"/>
      <c r="VTC294" s="306"/>
      <c r="VTD294" s="484"/>
      <c r="VTE294" s="306"/>
      <c r="VTF294" s="267"/>
      <c r="VTG294" s="268"/>
      <c r="VTH294" s="306"/>
      <c r="VTI294" s="268"/>
      <c r="VTJ294" s="306"/>
      <c r="VTK294" s="485"/>
      <c r="VTL294" s="306"/>
      <c r="VTM294" s="486"/>
      <c r="VTN294" s="487"/>
      <c r="VTO294" s="488"/>
      <c r="VTP294" s="489"/>
      <c r="VTQ294" s="488"/>
      <c r="VTR294" s="468"/>
      <c r="VTS294" s="469"/>
      <c r="VTT294" s="470"/>
      <c r="VTU294" s="470"/>
      <c r="VTV294" s="306"/>
      <c r="VTW294" s="317"/>
      <c r="VTX294" s="471"/>
      <c r="VTY294" s="472"/>
      <c r="VTZ294" s="471"/>
      <c r="VUA294" s="473"/>
      <c r="VUB294" s="474"/>
      <c r="VUC294" s="475"/>
      <c r="VUD294" s="476"/>
      <c r="VUE294" s="477"/>
      <c r="VUF294" s="475"/>
      <c r="VUG294" s="478"/>
      <c r="VUH294" s="479"/>
      <c r="VUI294" s="480"/>
      <c r="VUJ294" s="481"/>
      <c r="VUK294" s="481"/>
      <c r="VUL294" s="482"/>
      <c r="VUM294" s="189"/>
      <c r="VUN294" s="189"/>
      <c r="VUO294" s="483"/>
      <c r="VUP294" s="306"/>
      <c r="VUQ294" s="484"/>
      <c r="VUR294" s="306"/>
      <c r="VUS294" s="267"/>
      <c r="VUT294" s="268"/>
      <c r="VUU294" s="306"/>
      <c r="VUV294" s="268"/>
      <c r="VUW294" s="306"/>
      <c r="VUX294" s="485"/>
      <c r="VUY294" s="306"/>
      <c r="VUZ294" s="486"/>
      <c r="VVA294" s="487"/>
      <c r="VVB294" s="488"/>
      <c r="VVC294" s="489"/>
      <c r="VVD294" s="488"/>
      <c r="VVE294" s="468"/>
      <c r="VVF294" s="469"/>
      <c r="VVG294" s="470"/>
      <c r="VVH294" s="470"/>
      <c r="VVI294" s="306"/>
      <c r="VVJ294" s="317"/>
      <c r="VVK294" s="471"/>
      <c r="VVL294" s="472"/>
      <c r="VVM294" s="471"/>
      <c r="VVN294" s="473"/>
      <c r="VVO294" s="474"/>
      <c r="VVP294" s="475"/>
      <c r="VVQ294" s="476"/>
      <c r="VVR294" s="477"/>
      <c r="VVS294" s="475"/>
      <c r="VVT294" s="478"/>
      <c r="VVU294" s="479"/>
      <c r="VVV294" s="480"/>
      <c r="VVW294" s="481"/>
      <c r="VVX294" s="481"/>
      <c r="VVY294" s="482"/>
      <c r="VVZ294" s="189"/>
      <c r="VWA294" s="189"/>
      <c r="VWB294" s="483"/>
      <c r="VWC294" s="306"/>
      <c r="VWD294" s="484"/>
      <c r="VWE294" s="306"/>
      <c r="VWF294" s="267"/>
      <c r="VWG294" s="268"/>
      <c r="VWH294" s="306"/>
      <c r="VWI294" s="268"/>
      <c r="VWJ294" s="306"/>
      <c r="VWK294" s="485"/>
      <c r="VWL294" s="306"/>
      <c r="VWM294" s="486"/>
      <c r="VWN294" s="487"/>
      <c r="VWO294" s="488"/>
      <c r="VWP294" s="489"/>
      <c r="VWQ294" s="488"/>
      <c r="VWR294" s="468"/>
      <c r="VWS294" s="469"/>
      <c r="VWT294" s="470"/>
      <c r="VWU294" s="470"/>
      <c r="VWV294" s="306"/>
      <c r="VWW294" s="317"/>
      <c r="VWX294" s="471"/>
      <c r="VWY294" s="472"/>
      <c r="VWZ294" s="471"/>
      <c r="VXA294" s="473"/>
      <c r="VXB294" s="474"/>
      <c r="VXC294" s="475"/>
      <c r="VXD294" s="476"/>
      <c r="VXE294" s="477"/>
      <c r="VXF294" s="475"/>
      <c r="VXG294" s="478"/>
      <c r="VXH294" s="479"/>
      <c r="VXI294" s="480"/>
      <c r="VXJ294" s="481"/>
      <c r="VXK294" s="481"/>
      <c r="VXL294" s="482"/>
      <c r="VXM294" s="189"/>
      <c r="VXN294" s="189"/>
      <c r="VXO294" s="483"/>
      <c r="VXP294" s="306"/>
      <c r="VXQ294" s="484"/>
      <c r="VXR294" s="306"/>
      <c r="VXS294" s="267"/>
      <c r="VXT294" s="268"/>
      <c r="VXU294" s="306"/>
      <c r="VXV294" s="268"/>
      <c r="VXW294" s="306"/>
      <c r="VXX294" s="485"/>
      <c r="VXY294" s="306"/>
      <c r="VXZ294" s="486"/>
      <c r="VYA294" s="487"/>
      <c r="VYB294" s="488"/>
      <c r="VYC294" s="489"/>
      <c r="VYD294" s="488"/>
      <c r="VYE294" s="468"/>
      <c r="VYF294" s="469"/>
      <c r="VYG294" s="470"/>
      <c r="VYH294" s="470"/>
      <c r="VYI294" s="306"/>
      <c r="VYJ294" s="317"/>
      <c r="VYK294" s="471"/>
      <c r="VYL294" s="472"/>
      <c r="VYM294" s="471"/>
      <c r="VYN294" s="473"/>
      <c r="VYO294" s="474"/>
      <c r="VYP294" s="475"/>
      <c r="VYQ294" s="476"/>
      <c r="VYR294" s="477"/>
      <c r="VYS294" s="475"/>
      <c r="VYT294" s="478"/>
      <c r="VYU294" s="479"/>
      <c r="VYV294" s="480"/>
      <c r="VYW294" s="481"/>
      <c r="VYX294" s="481"/>
      <c r="VYY294" s="482"/>
      <c r="VYZ294" s="189"/>
      <c r="VZA294" s="189"/>
      <c r="VZB294" s="483"/>
      <c r="VZC294" s="306"/>
      <c r="VZD294" s="484"/>
      <c r="VZE294" s="306"/>
      <c r="VZF294" s="267"/>
      <c r="VZG294" s="268"/>
      <c r="VZH294" s="306"/>
      <c r="VZI294" s="268"/>
      <c r="VZJ294" s="306"/>
      <c r="VZK294" s="485"/>
      <c r="VZL294" s="306"/>
      <c r="VZM294" s="486"/>
      <c r="VZN294" s="487"/>
      <c r="VZO294" s="488"/>
      <c r="VZP294" s="489"/>
      <c r="VZQ294" s="488"/>
      <c r="VZR294" s="468"/>
      <c r="VZS294" s="469"/>
      <c r="VZT294" s="470"/>
      <c r="VZU294" s="470"/>
      <c r="VZV294" s="306"/>
      <c r="VZW294" s="317"/>
      <c r="VZX294" s="471"/>
      <c r="VZY294" s="472"/>
      <c r="VZZ294" s="471"/>
      <c r="WAA294" s="473"/>
      <c r="WAB294" s="474"/>
      <c r="WAC294" s="475"/>
      <c r="WAD294" s="476"/>
      <c r="WAE294" s="477"/>
      <c r="WAF294" s="475"/>
      <c r="WAG294" s="478"/>
      <c r="WAH294" s="479"/>
      <c r="WAI294" s="480"/>
      <c r="WAJ294" s="481"/>
      <c r="WAK294" s="481"/>
      <c r="WAL294" s="482"/>
      <c r="WAM294" s="189"/>
      <c r="WAN294" s="189"/>
      <c r="WAO294" s="483"/>
      <c r="WAP294" s="306"/>
      <c r="WAQ294" s="484"/>
      <c r="WAR294" s="306"/>
      <c r="WAS294" s="267"/>
      <c r="WAT294" s="268"/>
      <c r="WAU294" s="306"/>
      <c r="WAV294" s="268"/>
      <c r="WAW294" s="306"/>
      <c r="WAX294" s="485"/>
      <c r="WAY294" s="306"/>
      <c r="WAZ294" s="486"/>
      <c r="WBA294" s="487"/>
      <c r="WBB294" s="488"/>
      <c r="WBC294" s="489"/>
      <c r="WBD294" s="488"/>
      <c r="WBE294" s="468"/>
      <c r="WBF294" s="469"/>
      <c r="WBG294" s="470"/>
      <c r="WBH294" s="470"/>
      <c r="WBI294" s="306"/>
      <c r="WBJ294" s="317"/>
      <c r="WBK294" s="471"/>
      <c r="WBL294" s="472"/>
      <c r="WBM294" s="471"/>
      <c r="WBN294" s="473"/>
      <c r="WBO294" s="474"/>
      <c r="WBP294" s="475"/>
      <c r="WBQ294" s="476"/>
      <c r="WBR294" s="477"/>
      <c r="WBS294" s="475"/>
      <c r="WBT294" s="478"/>
      <c r="WBU294" s="479"/>
      <c r="WBV294" s="480"/>
      <c r="WBW294" s="481"/>
      <c r="WBX294" s="481"/>
      <c r="WBY294" s="482"/>
      <c r="WBZ294" s="189"/>
      <c r="WCA294" s="189"/>
      <c r="WCB294" s="483"/>
      <c r="WCC294" s="306"/>
      <c r="WCD294" s="484"/>
      <c r="WCE294" s="306"/>
      <c r="WCF294" s="267"/>
      <c r="WCG294" s="268"/>
      <c r="WCH294" s="306"/>
      <c r="WCI294" s="268"/>
      <c r="WCJ294" s="306"/>
      <c r="WCK294" s="485"/>
      <c r="WCL294" s="306"/>
      <c r="WCM294" s="486"/>
      <c r="WCN294" s="487"/>
      <c r="WCO294" s="488"/>
      <c r="WCP294" s="489"/>
      <c r="WCQ294" s="488"/>
      <c r="WCR294" s="468"/>
      <c r="WCS294" s="469"/>
      <c r="WCT294" s="470"/>
      <c r="WCU294" s="470"/>
      <c r="WCV294" s="306"/>
      <c r="WCW294" s="317"/>
      <c r="WCX294" s="471"/>
      <c r="WCY294" s="472"/>
      <c r="WCZ294" s="471"/>
      <c r="WDA294" s="473"/>
      <c r="WDB294" s="474"/>
      <c r="WDC294" s="475"/>
      <c r="WDD294" s="476"/>
      <c r="WDE294" s="477"/>
      <c r="WDF294" s="475"/>
      <c r="WDG294" s="478"/>
      <c r="WDH294" s="479"/>
      <c r="WDI294" s="480"/>
      <c r="WDJ294" s="481"/>
      <c r="WDK294" s="481"/>
      <c r="WDL294" s="482"/>
      <c r="WDM294" s="189"/>
      <c r="WDN294" s="189"/>
      <c r="WDO294" s="483"/>
      <c r="WDP294" s="306"/>
      <c r="WDQ294" s="484"/>
      <c r="WDR294" s="306"/>
      <c r="WDS294" s="267"/>
      <c r="WDT294" s="268"/>
      <c r="WDU294" s="306"/>
      <c r="WDV294" s="268"/>
      <c r="WDW294" s="306"/>
      <c r="WDX294" s="485"/>
      <c r="WDY294" s="306"/>
      <c r="WDZ294" s="486"/>
      <c r="WEA294" s="487"/>
      <c r="WEB294" s="488"/>
      <c r="WEC294" s="489"/>
      <c r="WED294" s="488"/>
      <c r="WEE294" s="468"/>
      <c r="WEF294" s="469"/>
      <c r="WEG294" s="470"/>
      <c r="WEH294" s="470"/>
      <c r="WEI294" s="306"/>
      <c r="WEJ294" s="317"/>
      <c r="WEK294" s="471"/>
      <c r="WEL294" s="472"/>
      <c r="WEM294" s="471"/>
      <c r="WEN294" s="473"/>
      <c r="WEO294" s="474"/>
      <c r="WEP294" s="475"/>
      <c r="WEQ294" s="476"/>
      <c r="WER294" s="477"/>
      <c r="WES294" s="475"/>
      <c r="WET294" s="478"/>
      <c r="WEU294" s="479"/>
      <c r="WEV294" s="480"/>
      <c r="WEW294" s="481"/>
      <c r="WEX294" s="481"/>
      <c r="WEY294" s="482"/>
      <c r="WEZ294" s="189"/>
      <c r="WFA294" s="189"/>
      <c r="WFB294" s="483"/>
      <c r="WFC294" s="306"/>
      <c r="WFD294" s="484"/>
      <c r="WFE294" s="306"/>
      <c r="WFF294" s="267"/>
      <c r="WFG294" s="268"/>
      <c r="WFH294" s="306"/>
      <c r="WFI294" s="268"/>
      <c r="WFJ294" s="306"/>
      <c r="WFK294" s="485"/>
      <c r="WFL294" s="306"/>
      <c r="WFM294" s="486"/>
      <c r="WFN294" s="487"/>
      <c r="WFO294" s="488"/>
      <c r="WFP294" s="489"/>
      <c r="WFQ294" s="488"/>
      <c r="WFR294" s="468"/>
      <c r="WFS294" s="469"/>
      <c r="WFT294" s="470"/>
      <c r="WFU294" s="470"/>
      <c r="WFV294" s="306"/>
      <c r="WFW294" s="317"/>
      <c r="WFX294" s="471"/>
      <c r="WFY294" s="472"/>
      <c r="WFZ294" s="471"/>
      <c r="WGA294" s="473"/>
      <c r="WGB294" s="474"/>
      <c r="WGC294" s="475"/>
      <c r="WGD294" s="476"/>
      <c r="WGE294" s="477"/>
      <c r="WGF294" s="475"/>
      <c r="WGG294" s="478"/>
      <c r="WGH294" s="479"/>
      <c r="WGI294" s="480"/>
      <c r="WGJ294" s="481"/>
      <c r="WGK294" s="481"/>
      <c r="WGL294" s="482"/>
      <c r="WGM294" s="189"/>
      <c r="WGN294" s="189"/>
      <c r="WGO294" s="483"/>
      <c r="WGP294" s="306"/>
      <c r="WGQ294" s="484"/>
      <c r="WGR294" s="306"/>
      <c r="WGS294" s="267"/>
      <c r="WGT294" s="268"/>
      <c r="WGU294" s="306"/>
      <c r="WGV294" s="268"/>
      <c r="WGW294" s="306"/>
      <c r="WGX294" s="485"/>
      <c r="WGY294" s="306"/>
      <c r="WGZ294" s="486"/>
      <c r="WHA294" s="487"/>
      <c r="WHB294" s="488"/>
      <c r="WHC294" s="489"/>
      <c r="WHD294" s="488"/>
      <c r="WHE294" s="468"/>
      <c r="WHF294" s="469"/>
      <c r="WHG294" s="470"/>
      <c r="WHH294" s="470"/>
      <c r="WHI294" s="306"/>
      <c r="WHJ294" s="317"/>
      <c r="WHK294" s="471"/>
      <c r="WHL294" s="472"/>
      <c r="WHM294" s="471"/>
      <c r="WHN294" s="473"/>
      <c r="WHO294" s="474"/>
      <c r="WHP294" s="475"/>
      <c r="WHQ294" s="476"/>
      <c r="WHR294" s="477"/>
      <c r="WHS294" s="475"/>
      <c r="WHT294" s="478"/>
      <c r="WHU294" s="479"/>
      <c r="WHV294" s="480"/>
      <c r="WHW294" s="481"/>
      <c r="WHX294" s="481"/>
      <c r="WHY294" s="482"/>
      <c r="WHZ294" s="189"/>
      <c r="WIA294" s="189"/>
      <c r="WIB294" s="483"/>
      <c r="WIC294" s="306"/>
      <c r="WID294" s="484"/>
      <c r="WIE294" s="306"/>
      <c r="WIF294" s="267"/>
      <c r="WIG294" s="268"/>
      <c r="WIH294" s="306"/>
      <c r="WII294" s="268"/>
      <c r="WIJ294" s="306"/>
      <c r="WIK294" s="485"/>
      <c r="WIL294" s="306"/>
      <c r="WIM294" s="486"/>
      <c r="WIN294" s="487"/>
      <c r="WIO294" s="488"/>
      <c r="WIP294" s="489"/>
      <c r="WIQ294" s="488"/>
      <c r="WIR294" s="468"/>
      <c r="WIS294" s="469"/>
      <c r="WIT294" s="470"/>
      <c r="WIU294" s="470"/>
      <c r="WIV294" s="306"/>
      <c r="WIW294" s="317"/>
      <c r="WIX294" s="471"/>
      <c r="WIY294" s="472"/>
      <c r="WIZ294" s="471"/>
      <c r="WJA294" s="473"/>
      <c r="WJB294" s="474"/>
      <c r="WJC294" s="475"/>
      <c r="WJD294" s="476"/>
      <c r="WJE294" s="477"/>
      <c r="WJF294" s="475"/>
      <c r="WJG294" s="478"/>
      <c r="WJH294" s="479"/>
      <c r="WJI294" s="480"/>
      <c r="WJJ294" s="481"/>
      <c r="WJK294" s="481"/>
      <c r="WJL294" s="482"/>
      <c r="WJM294" s="189"/>
      <c r="WJN294" s="189"/>
      <c r="WJO294" s="483"/>
      <c r="WJP294" s="306"/>
      <c r="WJQ294" s="484"/>
      <c r="WJR294" s="306"/>
      <c r="WJS294" s="267"/>
      <c r="WJT294" s="268"/>
      <c r="WJU294" s="306"/>
      <c r="WJV294" s="268"/>
      <c r="WJW294" s="306"/>
      <c r="WJX294" s="485"/>
      <c r="WJY294" s="306"/>
      <c r="WJZ294" s="486"/>
      <c r="WKA294" s="487"/>
      <c r="WKB294" s="488"/>
      <c r="WKC294" s="489"/>
      <c r="WKD294" s="488"/>
      <c r="WKE294" s="468"/>
      <c r="WKF294" s="469"/>
      <c r="WKG294" s="470"/>
      <c r="WKH294" s="470"/>
      <c r="WKI294" s="306"/>
      <c r="WKJ294" s="317"/>
      <c r="WKK294" s="471"/>
      <c r="WKL294" s="472"/>
      <c r="WKM294" s="471"/>
      <c r="WKN294" s="473"/>
      <c r="WKO294" s="474"/>
      <c r="WKP294" s="475"/>
      <c r="WKQ294" s="476"/>
      <c r="WKR294" s="477"/>
      <c r="WKS294" s="475"/>
      <c r="WKT294" s="478"/>
      <c r="WKU294" s="479"/>
      <c r="WKV294" s="480"/>
      <c r="WKW294" s="481"/>
      <c r="WKX294" s="481"/>
      <c r="WKY294" s="482"/>
      <c r="WKZ294" s="189"/>
      <c r="WLA294" s="189"/>
      <c r="WLB294" s="483"/>
      <c r="WLC294" s="306"/>
      <c r="WLD294" s="484"/>
      <c r="WLE294" s="306"/>
      <c r="WLF294" s="267"/>
      <c r="WLG294" s="268"/>
      <c r="WLH294" s="306"/>
      <c r="WLI294" s="268"/>
      <c r="WLJ294" s="306"/>
      <c r="WLK294" s="485"/>
      <c r="WLL294" s="306"/>
      <c r="WLM294" s="486"/>
      <c r="WLN294" s="487"/>
      <c r="WLO294" s="488"/>
      <c r="WLP294" s="489"/>
      <c r="WLQ294" s="488"/>
      <c r="WLR294" s="468"/>
      <c r="WLS294" s="469"/>
      <c r="WLT294" s="470"/>
      <c r="WLU294" s="470"/>
      <c r="WLV294" s="306"/>
      <c r="WLW294" s="317"/>
      <c r="WLX294" s="471"/>
      <c r="WLY294" s="472"/>
      <c r="WLZ294" s="471"/>
      <c r="WMA294" s="473"/>
      <c r="WMB294" s="474"/>
      <c r="WMC294" s="475"/>
      <c r="WMD294" s="476"/>
      <c r="WME294" s="477"/>
      <c r="WMF294" s="475"/>
      <c r="WMG294" s="478"/>
      <c r="WMH294" s="479"/>
      <c r="WMI294" s="480"/>
      <c r="WMJ294" s="481"/>
      <c r="WMK294" s="481"/>
      <c r="WML294" s="482"/>
      <c r="WMM294" s="189"/>
      <c r="WMN294" s="189"/>
      <c r="WMO294" s="483"/>
      <c r="WMP294" s="306"/>
      <c r="WMQ294" s="484"/>
      <c r="WMR294" s="306"/>
      <c r="WMS294" s="267"/>
      <c r="WMT294" s="268"/>
      <c r="WMU294" s="306"/>
      <c r="WMV294" s="268"/>
      <c r="WMW294" s="306"/>
      <c r="WMX294" s="485"/>
      <c r="WMY294" s="306"/>
      <c r="WMZ294" s="486"/>
      <c r="WNA294" s="487"/>
      <c r="WNB294" s="488"/>
      <c r="WNC294" s="489"/>
      <c r="WND294" s="488"/>
      <c r="WNE294" s="468"/>
      <c r="WNF294" s="469"/>
      <c r="WNG294" s="470"/>
      <c r="WNH294" s="470"/>
      <c r="WNI294" s="306"/>
      <c r="WNJ294" s="317"/>
      <c r="WNK294" s="471"/>
      <c r="WNL294" s="472"/>
      <c r="WNM294" s="471"/>
      <c r="WNN294" s="473"/>
      <c r="WNO294" s="474"/>
      <c r="WNP294" s="475"/>
      <c r="WNQ294" s="476"/>
      <c r="WNR294" s="477"/>
      <c r="WNS294" s="475"/>
      <c r="WNT294" s="478"/>
      <c r="WNU294" s="479"/>
      <c r="WNV294" s="480"/>
      <c r="WNW294" s="481"/>
      <c r="WNX294" s="481"/>
      <c r="WNY294" s="482"/>
      <c r="WNZ294" s="189"/>
      <c r="WOA294" s="189"/>
      <c r="WOB294" s="483"/>
      <c r="WOC294" s="306"/>
      <c r="WOD294" s="484"/>
      <c r="WOE294" s="306"/>
      <c r="WOF294" s="267"/>
      <c r="WOG294" s="268"/>
      <c r="WOH294" s="306"/>
      <c r="WOI294" s="268"/>
      <c r="WOJ294" s="306"/>
      <c r="WOK294" s="485"/>
      <c r="WOL294" s="306"/>
      <c r="WOM294" s="486"/>
      <c r="WON294" s="487"/>
      <c r="WOO294" s="488"/>
      <c r="WOP294" s="489"/>
      <c r="WOQ294" s="488"/>
      <c r="WOR294" s="468"/>
      <c r="WOS294" s="469"/>
      <c r="WOT294" s="470"/>
      <c r="WOU294" s="470"/>
      <c r="WOV294" s="306"/>
      <c r="WOW294" s="317"/>
      <c r="WOX294" s="471"/>
      <c r="WOY294" s="472"/>
      <c r="WOZ294" s="471"/>
      <c r="WPA294" s="473"/>
      <c r="WPB294" s="474"/>
      <c r="WPC294" s="475"/>
      <c r="WPD294" s="476"/>
      <c r="WPE294" s="477"/>
      <c r="WPF294" s="475"/>
      <c r="WPG294" s="478"/>
      <c r="WPH294" s="479"/>
      <c r="WPI294" s="480"/>
      <c r="WPJ294" s="481"/>
      <c r="WPK294" s="481"/>
      <c r="WPL294" s="482"/>
      <c r="WPM294" s="189"/>
      <c r="WPN294" s="189"/>
      <c r="WPO294" s="483"/>
      <c r="WPP294" s="306"/>
      <c r="WPQ294" s="484"/>
      <c r="WPR294" s="306"/>
      <c r="WPS294" s="267"/>
      <c r="WPT294" s="268"/>
      <c r="WPU294" s="306"/>
      <c r="WPV294" s="268"/>
      <c r="WPW294" s="306"/>
      <c r="WPX294" s="485"/>
      <c r="WPY294" s="306"/>
      <c r="WPZ294" s="486"/>
      <c r="WQA294" s="487"/>
      <c r="WQB294" s="488"/>
      <c r="WQC294" s="489"/>
      <c r="WQD294" s="488"/>
      <c r="WQE294" s="468"/>
      <c r="WQF294" s="469"/>
      <c r="WQG294" s="470"/>
      <c r="WQH294" s="470"/>
      <c r="WQI294" s="306"/>
      <c r="WQJ294" s="317"/>
      <c r="WQK294" s="471"/>
      <c r="WQL294" s="472"/>
      <c r="WQM294" s="471"/>
      <c r="WQN294" s="473"/>
      <c r="WQO294" s="474"/>
      <c r="WQP294" s="475"/>
      <c r="WQQ294" s="476"/>
      <c r="WQR294" s="477"/>
      <c r="WQS294" s="475"/>
      <c r="WQT294" s="478"/>
      <c r="WQU294" s="479"/>
      <c r="WQV294" s="480"/>
      <c r="WQW294" s="481"/>
      <c r="WQX294" s="481"/>
      <c r="WQY294" s="482"/>
      <c r="WQZ294" s="189"/>
      <c r="WRA294" s="189"/>
      <c r="WRB294" s="483"/>
      <c r="WRC294" s="306"/>
      <c r="WRD294" s="484"/>
      <c r="WRE294" s="306"/>
      <c r="WRF294" s="267"/>
      <c r="WRG294" s="268"/>
      <c r="WRH294" s="306"/>
      <c r="WRI294" s="268"/>
      <c r="WRJ294" s="306"/>
      <c r="WRK294" s="485"/>
      <c r="WRL294" s="306"/>
      <c r="WRM294" s="486"/>
      <c r="WRN294" s="487"/>
      <c r="WRO294" s="488"/>
      <c r="WRP294" s="489"/>
      <c r="WRQ294" s="488"/>
      <c r="WRR294" s="468"/>
      <c r="WRS294" s="469"/>
      <c r="WRT294" s="470"/>
      <c r="WRU294" s="470"/>
      <c r="WRV294" s="306"/>
      <c r="WRW294" s="317"/>
      <c r="WRX294" s="471"/>
      <c r="WRY294" s="472"/>
      <c r="WRZ294" s="471"/>
      <c r="WSA294" s="473"/>
      <c r="WSB294" s="474"/>
      <c r="WSC294" s="475"/>
      <c r="WSD294" s="476"/>
      <c r="WSE294" s="477"/>
      <c r="WSF294" s="475"/>
      <c r="WSG294" s="478"/>
      <c r="WSH294" s="479"/>
      <c r="WSI294" s="480"/>
      <c r="WSJ294" s="481"/>
      <c r="WSK294" s="481"/>
      <c r="WSL294" s="482"/>
      <c r="WSM294" s="189"/>
      <c r="WSN294" s="189"/>
      <c r="WSO294" s="483"/>
      <c r="WSP294" s="306"/>
      <c r="WSQ294" s="484"/>
      <c r="WSR294" s="306"/>
      <c r="WSS294" s="267"/>
      <c r="WST294" s="268"/>
      <c r="WSU294" s="306"/>
      <c r="WSV294" s="268"/>
      <c r="WSW294" s="306"/>
      <c r="WSX294" s="485"/>
      <c r="WSY294" s="306"/>
      <c r="WSZ294" s="486"/>
      <c r="WTA294" s="487"/>
      <c r="WTB294" s="488"/>
      <c r="WTC294" s="489"/>
      <c r="WTD294" s="488"/>
      <c r="WTE294" s="468"/>
      <c r="WTF294" s="469"/>
      <c r="WTG294" s="470"/>
      <c r="WTH294" s="470"/>
      <c r="WTI294" s="306"/>
      <c r="WTJ294" s="317"/>
      <c r="WTK294" s="471"/>
      <c r="WTL294" s="472"/>
      <c r="WTM294" s="471"/>
      <c r="WTN294" s="473"/>
      <c r="WTO294" s="474"/>
      <c r="WTP294" s="475"/>
      <c r="WTQ294" s="476"/>
      <c r="WTR294" s="477"/>
      <c r="WTS294" s="475"/>
      <c r="WTT294" s="478"/>
      <c r="WTU294" s="479"/>
      <c r="WTV294" s="480"/>
      <c r="WTW294" s="481"/>
      <c r="WTX294" s="481"/>
      <c r="WTY294" s="482"/>
      <c r="WTZ294" s="189"/>
      <c r="WUA294" s="189"/>
      <c r="WUB294" s="483"/>
      <c r="WUC294" s="306"/>
      <c r="WUD294" s="484"/>
      <c r="WUE294" s="306"/>
      <c r="WUF294" s="267"/>
      <c r="WUG294" s="268"/>
      <c r="WUH294" s="306"/>
      <c r="WUI294" s="268"/>
      <c r="WUJ294" s="306"/>
      <c r="WUK294" s="485"/>
      <c r="WUL294" s="306"/>
      <c r="WUM294" s="486"/>
      <c r="WUN294" s="487"/>
      <c r="WUO294" s="488"/>
      <c r="WUP294" s="489"/>
      <c r="WUQ294" s="488"/>
      <c r="WUR294" s="468"/>
      <c r="WUS294" s="469"/>
      <c r="WUT294" s="470"/>
      <c r="WUU294" s="470"/>
      <c r="WUV294" s="306"/>
      <c r="WUW294" s="317"/>
      <c r="WUX294" s="471"/>
      <c r="WUY294" s="472"/>
      <c r="WUZ294" s="471"/>
      <c r="WVA294" s="473"/>
      <c r="WVB294" s="474"/>
      <c r="WVC294" s="475"/>
      <c r="WVD294" s="476"/>
      <c r="WVE294" s="477"/>
      <c r="WVF294" s="475"/>
      <c r="WVG294" s="478"/>
      <c r="WVH294" s="479"/>
      <c r="WVI294" s="480"/>
      <c r="WVJ294" s="481"/>
      <c r="WVK294" s="481"/>
      <c r="WVL294" s="482"/>
      <c r="WVM294" s="189"/>
      <c r="WVN294" s="189"/>
      <c r="WVO294" s="483"/>
      <c r="WVP294" s="306"/>
      <c r="WVQ294" s="484"/>
      <c r="WVR294" s="306"/>
      <c r="WVS294" s="267"/>
      <c r="WVT294" s="268"/>
      <c r="WVU294" s="306"/>
      <c r="WVV294" s="268"/>
      <c r="WVW294" s="306"/>
      <c r="WVX294" s="485"/>
      <c r="WVY294" s="306"/>
      <c r="WVZ294" s="486"/>
      <c r="WWA294" s="487"/>
      <c r="WWB294" s="488"/>
      <c r="WWC294" s="489"/>
      <c r="WWD294" s="488"/>
      <c r="WWE294" s="468"/>
      <c r="WWF294" s="469"/>
      <c r="WWG294" s="470"/>
      <c r="WWH294" s="470"/>
      <c r="WWI294" s="306"/>
      <c r="WWJ294" s="317"/>
      <c r="WWK294" s="471"/>
      <c r="WWL294" s="472"/>
      <c r="WWM294" s="471"/>
      <c r="WWN294" s="473"/>
      <c r="WWO294" s="474"/>
      <c r="WWP294" s="475"/>
      <c r="WWQ294" s="476"/>
      <c r="WWR294" s="477"/>
      <c r="WWS294" s="475"/>
      <c r="WWT294" s="478"/>
      <c r="WWU294" s="479"/>
      <c r="WWV294" s="480"/>
      <c r="WWW294" s="481"/>
      <c r="WWX294" s="481"/>
      <c r="WWY294" s="482"/>
      <c r="WWZ294" s="189"/>
      <c r="WXA294" s="189"/>
      <c r="WXB294" s="483"/>
      <c r="WXC294" s="306"/>
      <c r="WXD294" s="484"/>
      <c r="WXE294" s="306"/>
      <c r="WXF294" s="267"/>
      <c r="WXG294" s="268"/>
      <c r="WXH294" s="306"/>
      <c r="WXI294" s="268"/>
      <c r="WXJ294" s="306"/>
      <c r="WXK294" s="485"/>
      <c r="WXL294" s="306"/>
      <c r="WXM294" s="486"/>
      <c r="WXN294" s="487"/>
      <c r="WXO294" s="488"/>
      <c r="WXP294" s="489"/>
      <c r="WXQ294" s="488"/>
      <c r="WXR294" s="468"/>
      <c r="WXS294" s="469"/>
      <c r="WXT294" s="470"/>
      <c r="WXU294" s="470"/>
      <c r="WXV294" s="306"/>
      <c r="WXW294" s="317"/>
      <c r="WXX294" s="471"/>
      <c r="WXY294" s="472"/>
      <c r="WXZ294" s="471"/>
      <c r="WYA294" s="473"/>
      <c r="WYB294" s="474"/>
      <c r="WYC294" s="475"/>
      <c r="WYD294" s="476"/>
      <c r="WYE294" s="477"/>
      <c r="WYF294" s="475"/>
      <c r="WYG294" s="478"/>
      <c r="WYH294" s="479"/>
      <c r="WYI294" s="480"/>
      <c r="WYJ294" s="481"/>
      <c r="WYK294" s="481"/>
      <c r="WYL294" s="482"/>
      <c r="WYM294" s="189"/>
      <c r="WYN294" s="189"/>
      <c r="WYO294" s="483"/>
      <c r="WYP294" s="306"/>
      <c r="WYQ294" s="484"/>
      <c r="WYR294" s="306"/>
      <c r="WYS294" s="267"/>
      <c r="WYT294" s="268"/>
      <c r="WYU294" s="306"/>
      <c r="WYV294" s="268"/>
      <c r="WYW294" s="306"/>
      <c r="WYX294" s="485"/>
      <c r="WYY294" s="306"/>
      <c r="WYZ294" s="486"/>
      <c r="WZA294" s="487"/>
      <c r="WZB294" s="488"/>
      <c r="WZC294" s="489"/>
      <c r="WZD294" s="488"/>
      <c r="WZE294" s="468"/>
      <c r="WZF294" s="469"/>
      <c r="WZG294" s="470"/>
      <c r="WZH294" s="470"/>
      <c r="WZI294" s="306"/>
      <c r="WZJ294" s="317"/>
      <c r="WZK294" s="471"/>
      <c r="WZL294" s="472"/>
      <c r="WZM294" s="471"/>
      <c r="WZN294" s="473"/>
      <c r="WZO294" s="474"/>
      <c r="WZP294" s="475"/>
      <c r="WZQ294" s="476"/>
      <c r="WZR294" s="477"/>
      <c r="WZS294" s="475"/>
      <c r="WZT294" s="478"/>
      <c r="WZU294" s="479"/>
      <c r="WZV294" s="480"/>
      <c r="WZW294" s="481"/>
      <c r="WZX294" s="481"/>
      <c r="WZY294" s="482"/>
      <c r="WZZ294" s="189"/>
      <c r="XAA294" s="189"/>
      <c r="XAB294" s="483"/>
      <c r="XAC294" s="306"/>
      <c r="XAD294" s="484"/>
      <c r="XAE294" s="306"/>
      <c r="XAF294" s="267"/>
      <c r="XAG294" s="268"/>
      <c r="XAH294" s="306"/>
      <c r="XAI294" s="268"/>
      <c r="XAJ294" s="306"/>
      <c r="XAK294" s="485"/>
      <c r="XAL294" s="306"/>
      <c r="XAM294" s="486"/>
      <c r="XAN294" s="487"/>
      <c r="XAO294" s="488"/>
      <c r="XAP294" s="489"/>
      <c r="XAQ294" s="488"/>
      <c r="XAR294" s="468"/>
      <c r="XAS294" s="469"/>
      <c r="XAT294" s="470"/>
      <c r="XAU294" s="470"/>
      <c r="XAV294" s="306"/>
      <c r="XAW294" s="317"/>
      <c r="XAX294" s="471"/>
      <c r="XAY294" s="472"/>
      <c r="XAZ294" s="471"/>
      <c r="XBA294" s="473"/>
      <c r="XBB294" s="474"/>
      <c r="XBC294" s="475"/>
      <c r="XBD294" s="476"/>
      <c r="XBE294" s="477"/>
      <c r="XBF294" s="475"/>
      <c r="XBG294" s="478"/>
      <c r="XBH294" s="479"/>
      <c r="XBI294" s="480"/>
      <c r="XBJ294" s="481"/>
      <c r="XBK294" s="481"/>
      <c r="XBL294" s="482"/>
      <c r="XBM294" s="189"/>
      <c r="XBN294" s="189"/>
      <c r="XBO294" s="483"/>
      <c r="XBP294" s="306"/>
      <c r="XBQ294" s="484"/>
      <c r="XBR294" s="306"/>
      <c r="XBS294" s="267"/>
      <c r="XBT294" s="268"/>
      <c r="XBU294" s="306"/>
      <c r="XBV294" s="268"/>
      <c r="XBW294" s="306"/>
      <c r="XBX294" s="485"/>
      <c r="XBY294" s="306"/>
      <c r="XBZ294" s="486"/>
      <c r="XCA294" s="487"/>
      <c r="XCB294" s="488"/>
      <c r="XCC294" s="489"/>
      <c r="XCD294" s="488"/>
      <c r="XCE294" s="468"/>
      <c r="XCF294" s="469"/>
      <c r="XCG294" s="470"/>
      <c r="XCH294" s="470"/>
      <c r="XCI294" s="306"/>
      <c r="XCJ294" s="317"/>
      <c r="XCK294" s="471"/>
      <c r="XCL294" s="472"/>
      <c r="XCM294" s="471"/>
      <c r="XCN294" s="473"/>
      <c r="XCO294" s="474"/>
      <c r="XCP294" s="475"/>
      <c r="XCQ294" s="476"/>
      <c r="XCR294" s="477"/>
      <c r="XCS294" s="475"/>
      <c r="XCT294" s="478"/>
      <c r="XCU294" s="479"/>
      <c r="XCV294" s="480"/>
      <c r="XCW294" s="481"/>
      <c r="XCX294" s="481"/>
      <c r="XCY294" s="482"/>
      <c r="XCZ294" s="189"/>
      <c r="XDA294" s="189"/>
      <c r="XDB294" s="483"/>
      <c r="XDC294" s="306"/>
      <c r="XDD294" s="484"/>
      <c r="XDE294" s="306"/>
      <c r="XDF294" s="267"/>
      <c r="XDG294" s="268"/>
      <c r="XDH294" s="306"/>
      <c r="XDI294" s="268"/>
      <c r="XDJ294" s="306"/>
      <c r="XDK294" s="485"/>
      <c r="XDL294" s="306"/>
      <c r="XDM294" s="486"/>
      <c r="XDN294" s="487"/>
      <c r="XDO294" s="488"/>
      <c r="XDP294" s="489"/>
      <c r="XDQ294" s="488"/>
      <c r="XDR294" s="468"/>
      <c r="XDS294" s="469"/>
      <c r="XDT294" s="470"/>
      <c r="XDU294" s="470"/>
      <c r="XDV294" s="306"/>
      <c r="XDW294" s="317"/>
      <c r="XDX294" s="471"/>
      <c r="XDY294" s="472"/>
      <c r="XDZ294" s="471"/>
      <c r="XEA294" s="473"/>
      <c r="XEB294" s="474"/>
      <c r="XEC294" s="475"/>
      <c r="XED294" s="476"/>
      <c r="XEE294" s="477"/>
      <c r="XEF294" s="475"/>
      <c r="XEG294" s="478"/>
      <c r="XEH294" s="479"/>
      <c r="XEI294" s="480"/>
      <c r="XEJ294" s="481"/>
      <c r="XEK294" s="481"/>
      <c r="XEL294" s="482"/>
      <c r="XEM294" s="189"/>
      <c r="XEN294" s="189"/>
      <c r="XEO294" s="483"/>
      <c r="XEP294" s="306"/>
      <c r="XEQ294" s="484"/>
      <c r="XER294" s="306"/>
      <c r="XES294" s="267"/>
      <c r="XET294" s="268"/>
      <c r="XEU294" s="306"/>
      <c r="XEV294" s="268"/>
      <c r="XEW294" s="306"/>
      <c r="XEX294" s="485"/>
      <c r="XEY294" s="306"/>
      <c r="XEZ294" s="486"/>
      <c r="XFA294" s="487"/>
      <c r="XFB294" s="488"/>
    </row>
    <row r="295" spans="1:16382" ht="34.5" customHeight="1">
      <c r="A295" s="125">
        <v>48</v>
      </c>
      <c r="B295" s="124">
        <v>240</v>
      </c>
      <c r="C295" s="162" t="s">
        <v>1471</v>
      </c>
      <c r="D295" s="227" t="s">
        <v>556</v>
      </c>
      <c r="E295" s="128" t="s">
        <v>94</v>
      </c>
      <c r="F295" s="163" t="s">
        <v>1376</v>
      </c>
      <c r="G295" s="190" t="s">
        <v>988</v>
      </c>
      <c r="H295" s="447">
        <v>71582555</v>
      </c>
      <c r="I295" s="455">
        <v>7690469</v>
      </c>
      <c r="J295" s="456">
        <v>46142814</v>
      </c>
      <c r="K295" s="147" t="s">
        <v>42</v>
      </c>
      <c r="L295" s="438" t="s">
        <v>989</v>
      </c>
      <c r="M295" s="194" t="s">
        <v>560</v>
      </c>
      <c r="N295" s="177" t="e" cm="1">
        <f t="array" aca="1" ref="N295" ca="1">_xlfn.XLOOKUP(Contrato5[[#This Row],[SUPERVISOR TITULAR]],[2]!PERSONAL_ACTIVO_2024[[#All],[Nombre completo]],[2]!PERSONAL_ACTIVO_2024[[#All],[Documento identidad]],"",0)</f>
        <v>#NAME?</v>
      </c>
      <c r="O295" s="194" t="s">
        <v>559</v>
      </c>
      <c r="P295" s="196" t="e" cm="1">
        <f t="array" aca="1" ref="P295" ca="1">_xlfn.XLOOKUP(Contrato5[[#This Row],[SUPERVISOR SUPLENTE ]],[2]!PERSONAL_ACTIVO_2024[[#All],[Nombre completo]],[2]!PERSONAL_ACTIVO_2024[[#All],[Documento identidad]],"",0)</f>
        <v>#NAME?</v>
      </c>
      <c r="Q295" s="208">
        <v>327</v>
      </c>
      <c r="R295" s="137" t="e" cm="1">
        <f t="array" aca="1" ref="R295" ca="1">_xlfn.XLOOKUP(Contrato5[[#This Row],[CDP]],[2]!DISPONIBILIDADES_2024[[#All],[consecutivo]],[2]!DISPONIBILIDADES_2024[[#All],[fecha_aprobacion]],"",0)</f>
        <v>#NAME?</v>
      </c>
      <c r="S295" s="138" t="e">
        <f>SUMIF([2]!DISPONIBILIDADES_2024[[#All],[consecutivo]],Contrato5[[#This Row],[CDP]],[2]!DISPONIBILIDADES_2024[[#All],[valor_total_rubro]])</f>
        <v>#REF!</v>
      </c>
      <c r="T295" s="139" t="e" cm="1">
        <f t="array" aca="1" ref="T295" ca="1">_xlfn.XLOOKUP(Contrato5[[#This Row],[CONTRATO]]&amp;Contrato5[[#This Row],[CDP]],[2]!Corr_Contr_CDP[[#All],[CONTRATO-CDP]],[2]!Corr_Contr_CDP[[#All],[CRP]],_xlfn.XLOOKUP(Contrato5[[#This Row],[CDP]],[2]!COMPROMISOS_2024[[#All],[disponibilidad]],[2]!COMPROMISOS_2024[[#All],[consecutivo]],"",0),0)</f>
        <v>#NAME?</v>
      </c>
      <c r="U295" s="140" t="e" cm="1">
        <f t="array" aca="1" ref="U295" ca="1">+_xlfn.XLOOKUP(Contrato5[[#This Row],[RCP]],[2]!COMPROMISOS_2024[[#All],[consecutivo]],[2]!COMPROMISOS_2024[[#All],[fecha_aprobacion]],"",0)</f>
        <v>#NAME?</v>
      </c>
      <c r="V295" s="141" t="e">
        <f ca="1">SUMIF([2]!COMPROMISOS_2024[[#All],[consecutivo]],Contrato5[[#This Row],[RCP]],[2]!COMPROMISOS_2024[[#All],[valor_total]])</f>
        <v>#REF!</v>
      </c>
      <c r="W295" s="415">
        <v>45387</v>
      </c>
      <c r="X295" s="415">
        <v>45390</v>
      </c>
      <c r="Y295" s="143">
        <v>45390</v>
      </c>
      <c r="Z295" s="262">
        <v>45572</v>
      </c>
      <c r="AA295" s="183" t="s">
        <v>990</v>
      </c>
      <c r="AB295" s="172" t="s">
        <v>640</v>
      </c>
      <c r="AC295" s="172"/>
      <c r="AD295" s="263">
        <v>202000004166</v>
      </c>
      <c r="AE295" s="147" t="s">
        <v>523</v>
      </c>
      <c r="AF295" s="148" t="str">
        <f>TEXT(LEFT(Contrato5[[#This Row],[CONTRATO]],3),"0")</f>
        <v>240</v>
      </c>
      <c r="AG295" s="148" t="str">
        <f>IF(LEN(Contrato5[[#This Row],[Contrato2]])=3,Contrato5[[#This Row],[Contrato2]],TEXT(Contrato5[[#This Row],[Contrato2]],"000"))</f>
        <v>240</v>
      </c>
      <c r="AH295" s="149">
        <f ca="1">IFERROR(_xlfn.DAYS(Contrato5[[#This Row],[Fecha Proyectada liquidación]],TODAY())/30,"")</f>
        <v>-2.2000000000000002</v>
      </c>
      <c r="AI295" s="150">
        <f>+Contrato5[[#This Row],[FECHA TERMINACIÓN ]]+120</f>
        <v>45692</v>
      </c>
      <c r="AJ295" s="147"/>
      <c r="AK295" s="152" t="str">
        <f ca="1">IF(Contrato5[[#This Row],[FECHA TERMINACIÓN ]]&lt;TODAY(), "Terminado",IF(ISNUMBER(Contrato5[[#This Row],[Fecha Real de liquiidación ]]),"Liquidado",IF(Contrato5[[#This Row],[FECHA TERMINACIÓN ]]&gt;=TODAY(),"En ejecución","")))</f>
        <v>Terminado</v>
      </c>
      <c r="AL295" s="153" t="e">
        <f ca="1">SUMIF([2]!COMPROMISOS_2024[[#All],[consecutivo]],Contrato5[[#This Row],[RCP]],[2]!COMPROMISOS_2024[[#All],[Total pagado]])</f>
        <v>#REF!</v>
      </c>
      <c r="AM295" s="154">
        <f ca="1">IFERROR(Contrato5[[#This Row],[Pagos]]/Contrato5[[#This Row],[VALOR CONTRATO]],0)</f>
        <v>0</v>
      </c>
      <c r="AN295" s="198" t="e">
        <f ca="1">+Contrato5[[#This Row],[VALOR CONTRATO]]-Contrato5[[#This Row],[Pagos]]</f>
        <v>#REF!</v>
      </c>
      <c r="AO295" s="147" t="e" cm="1">
        <f t="array" aca="1" ref="AO295" ca="1">_xlfn.XLOOKUP(Contrato5[[#This Row],[DOCUMENTO ]],[2]!PERSONAL_ACTIVO_2024[[#All],[Documento identidad]],[2]!PERSONAL_ACTIVO_2024[[#All],[Mail ]],0,0)</f>
        <v>#NAME?</v>
      </c>
      <c r="AP295" s="147" t="e" cm="1">
        <f t="array" aca="1" ref="AP295" ca="1">_xlfn.XLOOKUP(Contrato5[[#This Row],[DOCUMENTO]],[2]!PERSONAL_ACTIVO_2024[[#All],[Documento identidad]],[2]!PERSONAL_ACTIVO_2024[[#All],[Mail ]],0,0)</f>
        <v>#NAME?</v>
      </c>
      <c r="AQ295" s="439" cm="1">
        <f t="array" aca="1" ref="AQ295" ca="1">IF(ISBLANK(Contrato5[[#This Row],[DEPENDENCIA ]]),0,IFERROR(_xlfn.XLOOKUP(Contrato5[[#This Row],[DEPENDENCIA ]],[2]!PERSONAL_ACTIVO_2024[[#All],[Dependencia]],[2]!PERSONAL_ACTIVO_2024[[#All],[Mail ]],0,0),0))</f>
        <v>0</v>
      </c>
    </row>
    <row r="296" spans="1:16382" ht="34.5" customHeight="1">
      <c r="A296" s="147">
        <v>1206</v>
      </c>
      <c r="B296" s="124">
        <v>240</v>
      </c>
      <c r="C296" s="162" t="s">
        <v>1927</v>
      </c>
      <c r="D296" s="227" t="s">
        <v>556</v>
      </c>
      <c r="E296" s="128" t="s">
        <v>2148</v>
      </c>
      <c r="F296" s="163" t="s">
        <v>1376</v>
      </c>
      <c r="G296" s="190" t="s">
        <v>988</v>
      </c>
      <c r="H296" s="447">
        <v>71582555</v>
      </c>
      <c r="I296" s="455">
        <v>7690469</v>
      </c>
      <c r="J296" s="437">
        <v>21533313</v>
      </c>
      <c r="K296" s="147"/>
      <c r="L296" s="438" t="s">
        <v>2564</v>
      </c>
      <c r="M296" s="194" t="s">
        <v>560</v>
      </c>
      <c r="N296" s="195" t="e" cm="1">
        <f t="array" aca="1" ref="N296" ca="1">_xlfn.XLOOKUP(Contrato5[[#This Row],[SUPERVISOR TITULAR]],[2]!PERSONAL_ACTIVO_2024[[#All],[Nombre completo]],[2]!PERSONAL_ACTIVO_2024[[#All],[Documento identidad]],"",0)</f>
        <v>#NAME?</v>
      </c>
      <c r="O296" s="194" t="s">
        <v>559</v>
      </c>
      <c r="P296" s="135" t="e" cm="1">
        <f t="array" aca="1" ref="P296" ca="1">_xlfn.XLOOKUP(Contrato5[[#This Row],[SUPERVISOR SUPLENTE ]],[2]!PERSONAL_ACTIVO_2024[[#All],[Nombre completo]],[2]!PERSONAL_ACTIVO_2024[[#All],[Documento identidad]],"",0)</f>
        <v>#NAME?</v>
      </c>
      <c r="Q296" s="170">
        <v>1021</v>
      </c>
      <c r="R296" s="137" t="e" cm="1">
        <f t="array" aca="1" ref="R296" ca="1">_xlfn.XLOOKUP(Contrato5[[#This Row],[CDP]],[2]!DISPONIBILIDADES_2024[[#All],[consecutivo]],[2]!DISPONIBILIDADES_2024[[#All],[fecha_aprobacion]],"",0)</f>
        <v>#NAME?</v>
      </c>
      <c r="S296" s="138" t="e">
        <f>SUMIF([2]!DISPONIBILIDADES_2024[[#All],[consecutivo]],Contrato5[[#This Row],[CDP]],[2]!DISPONIBILIDADES_2024[[#All],[valor_total_rubro]])</f>
        <v>#REF!</v>
      </c>
      <c r="T296" s="139" t="e" cm="1">
        <f t="array" aca="1" ref="T296" ca="1">_xlfn.XLOOKUP(Contrato5[[#This Row],[CONTRATO]]&amp;Contrato5[[#This Row],[CDP]],[2]!Corr_Contr_CDP[[#All],[CONTRATO-CDP]],[2]!Corr_Contr_CDP[[#All],[CRP]],_xlfn.XLOOKUP(Contrato5[[#This Row],[CDP]],[2]!COMPROMISOS_2024[[#All],[disponibilidad]],[2]!COMPROMISOS_2024[[#All],[consecutivo]],"",0),0)</f>
        <v>#NAME?</v>
      </c>
      <c r="U296" s="140" t="e" cm="1">
        <f t="array" aca="1" ref="U296" ca="1">+_xlfn.XLOOKUP(Contrato5[[#This Row],[RCP]],[2]!COMPROMISOS_2024[[#All],[consecutivo]],[2]!COMPROMISOS_2024[[#All],[fecha_aprobacion]],"",0)</f>
        <v>#NAME?</v>
      </c>
      <c r="V296" s="141" t="e">
        <f ca="1">SUMIF([2]!COMPROMISOS_2024[[#All],[consecutivo]],Contrato5[[#This Row],[RCP]],[2]!COMPROMISOS_2024[[#All],[valor_total]])</f>
        <v>#REF!</v>
      </c>
      <c r="W296" s="415">
        <v>45572</v>
      </c>
      <c r="X296" s="415">
        <v>45574</v>
      </c>
      <c r="Y296" s="143">
        <v>45573</v>
      </c>
      <c r="Z296" s="262">
        <v>45656</v>
      </c>
      <c r="AA296" s="225"/>
      <c r="AB296" s="172" t="s">
        <v>2588</v>
      </c>
      <c r="AC296" s="127"/>
      <c r="AD296" s="211"/>
      <c r="AE296" s="147"/>
      <c r="AF296" s="148" t="str">
        <f>TEXT(LEFT(Contrato5[[#This Row],[CONTRATO]],3),"0")</f>
        <v>240</v>
      </c>
      <c r="AG296" s="148" t="str">
        <f>IF(LEN(Contrato5[[#This Row],[Contrato2]])=3,Contrato5[[#This Row],[Contrato2]],TEXT(Contrato5[[#This Row],[Contrato2]],"000"))</f>
        <v>240</v>
      </c>
      <c r="AH296" s="149">
        <f ca="1">IFERROR(_xlfn.DAYS(Contrato5[[#This Row],[Fecha Proyectada liquidación]],TODAY())/30,"")</f>
        <v>0.6</v>
      </c>
      <c r="AI296" s="150">
        <f>+Contrato5[[#This Row],[FECHA TERMINACIÓN ]]+120</f>
        <v>45776</v>
      </c>
      <c r="AJ296" s="147"/>
      <c r="AK296" s="152" t="str">
        <f ca="1">IF(Contrato5[[#This Row],[FECHA TERMINACIÓN ]]&lt;TODAY(), "Terminado",IF(ISNUMBER(Contrato5[[#This Row],[Fecha Real de liquiidación ]]),"Liquidado",IF(Contrato5[[#This Row],[FECHA TERMINACIÓN ]]&gt;=TODAY(),"En ejecución","")))</f>
        <v>Terminado</v>
      </c>
      <c r="AL296" s="153" t="e">
        <f ca="1">SUMIF([2]!COMPROMISOS_2024[[#All],[consecutivo]],Contrato5[[#This Row],[RCP]],[2]!COMPROMISOS_2024[[#All],[Total pagado]])</f>
        <v>#REF!</v>
      </c>
      <c r="AM296" s="154">
        <f ca="1">IFERROR(Contrato5[[#This Row],[Pagos]]/Contrato5[[#This Row],[VALOR CONTRATO]],0)</f>
        <v>0</v>
      </c>
      <c r="AN296" s="198" t="e">
        <f ca="1">+Contrato5[[#This Row],[VALOR CONTRATO]]-Contrato5[[#This Row],[Pagos]]</f>
        <v>#REF!</v>
      </c>
      <c r="AO296" s="147" t="e" cm="1">
        <f t="array" aca="1" ref="AO296" ca="1">_xlfn.XLOOKUP(Contrato5[[#This Row],[DOCUMENTO ]],[2]!PERSONAL_ACTIVO_2024[[#All],[Documento identidad]],[2]!PERSONAL_ACTIVO_2024[[#All],[Mail ]],0,0)</f>
        <v>#NAME?</v>
      </c>
      <c r="AP296" s="147" t="e" cm="1">
        <f t="array" aca="1" ref="AP296" ca="1">_xlfn.XLOOKUP(Contrato5[[#This Row],[DOCUMENTO]],[2]!PERSONAL_ACTIVO_2024[[#All],[Documento identidad]],[2]!PERSONAL_ACTIVO_2024[[#All],[Mail ]],0,0)</f>
        <v>#NAME?</v>
      </c>
      <c r="AQ296" s="439" cm="1">
        <f t="array" aca="1" ref="AQ296" ca="1">IF(ISBLANK(Contrato5[[#This Row],[DEPENDENCIA ]]),0,IFERROR(_xlfn.XLOOKUP(Contrato5[[#This Row],[DEPENDENCIA ]],[2]!PERSONAL_ACTIVO_2024[[#All],[Dependencia]],[2]!PERSONAL_ACTIVO_2024[[#All],[Mail ]],0,0),0))</f>
        <v>0</v>
      </c>
    </row>
    <row r="297" spans="1:16382" ht="34.5" customHeight="1">
      <c r="A297" s="125">
        <v>585</v>
      </c>
      <c r="B297" s="124">
        <v>241</v>
      </c>
      <c r="C297" s="162" t="s">
        <v>1372</v>
      </c>
      <c r="D297" s="227" t="s">
        <v>493</v>
      </c>
      <c r="E297" s="128" t="s">
        <v>94</v>
      </c>
      <c r="F297" s="163" t="s">
        <v>1376</v>
      </c>
      <c r="G297" s="190" t="s">
        <v>991</v>
      </c>
      <c r="H297" s="447">
        <v>1152468495</v>
      </c>
      <c r="I297" s="455">
        <v>3379853</v>
      </c>
      <c r="J297" s="456">
        <v>20279118</v>
      </c>
      <c r="K297" s="147" t="s">
        <v>42</v>
      </c>
      <c r="L297" s="438" t="s">
        <v>989</v>
      </c>
      <c r="M297" s="194" t="s">
        <v>568</v>
      </c>
      <c r="N297" s="177" t="e" cm="1">
        <f t="array" aca="1" ref="N297" ca="1">_xlfn.XLOOKUP(Contrato5[[#This Row],[SUPERVISOR TITULAR]],[2]!PERSONAL_ACTIVO_2024[[#All],[Nombre completo]],[2]!PERSONAL_ACTIVO_2024[[#All],[Documento identidad]],"",0)</f>
        <v>#NAME?</v>
      </c>
      <c r="O297" s="194" t="s">
        <v>569</v>
      </c>
      <c r="P297" s="196" t="e" cm="1">
        <f t="array" aca="1" ref="P297" ca="1">_xlfn.XLOOKUP(Contrato5[[#This Row],[SUPERVISOR SUPLENTE ]],[2]!PERSONAL_ACTIVO_2024[[#All],[Nombre completo]],[2]!PERSONAL_ACTIVO_2024[[#All],[Documento identidad]],"",0)</f>
        <v>#NAME?</v>
      </c>
      <c r="Q297" s="208">
        <v>358</v>
      </c>
      <c r="R297" s="137" t="e" cm="1">
        <f t="array" aca="1" ref="R297" ca="1">_xlfn.XLOOKUP(Contrato5[[#This Row],[CDP]],[2]!DISPONIBILIDADES_2024[[#All],[consecutivo]],[2]!DISPONIBILIDADES_2024[[#All],[fecha_aprobacion]],"",0)</f>
        <v>#NAME?</v>
      </c>
      <c r="S297" s="138" t="e">
        <f>SUMIF([2]!DISPONIBILIDADES_2024[[#All],[consecutivo]],Contrato5[[#This Row],[CDP]],[2]!DISPONIBILIDADES_2024[[#All],[valor_total_rubro]])</f>
        <v>#REF!</v>
      </c>
      <c r="T297" s="139" t="e" cm="1">
        <f t="array" aca="1" ref="T297" ca="1">_xlfn.XLOOKUP(Contrato5[[#This Row],[CONTRATO]]&amp;Contrato5[[#This Row],[CDP]],[2]!Corr_Contr_CDP[[#All],[CONTRATO-CDP]],[2]!Corr_Contr_CDP[[#All],[CRP]],_xlfn.XLOOKUP(Contrato5[[#This Row],[CDP]],[2]!COMPROMISOS_2024[[#All],[disponibilidad]],[2]!COMPROMISOS_2024[[#All],[consecutivo]],"",0),0)</f>
        <v>#NAME?</v>
      </c>
      <c r="U297" s="140" t="e" cm="1">
        <f t="array" aca="1" ref="U297" ca="1">+_xlfn.XLOOKUP(Contrato5[[#This Row],[RCP]],[2]!COMPROMISOS_2024[[#All],[consecutivo]],[2]!COMPROMISOS_2024[[#All],[fecha_aprobacion]],"",0)</f>
        <v>#NAME?</v>
      </c>
      <c r="V297" s="141" t="e">
        <f ca="1">SUMIF([2]!COMPROMISOS_2024[[#All],[consecutivo]],Contrato5[[#This Row],[RCP]],[2]!COMPROMISOS_2024[[#All],[valor_total]])</f>
        <v>#REF!</v>
      </c>
      <c r="W297" s="415">
        <v>45392</v>
      </c>
      <c r="X297" s="415">
        <v>45392</v>
      </c>
      <c r="Y297" s="143">
        <v>45393</v>
      </c>
      <c r="Z297" s="262">
        <v>45575</v>
      </c>
      <c r="AA297" s="183" t="s">
        <v>992</v>
      </c>
      <c r="AB297" s="172" t="s">
        <v>640</v>
      </c>
      <c r="AC297" s="172"/>
      <c r="AD297" s="263">
        <v>202000004169</v>
      </c>
      <c r="AE297" s="131" t="s">
        <v>523</v>
      </c>
      <c r="AF297" s="148" t="str">
        <f>TEXT(LEFT(Contrato5[[#This Row],[CONTRATO]],3),"0")</f>
        <v>241</v>
      </c>
      <c r="AG297" s="148" t="str">
        <f>IF(LEN(Contrato5[[#This Row],[Contrato2]])=3,Contrato5[[#This Row],[Contrato2]],TEXT(Contrato5[[#This Row],[Contrato2]],"000"))</f>
        <v>241</v>
      </c>
      <c r="AH297" s="149">
        <f ca="1">IFERROR(_xlfn.DAYS(Contrato5[[#This Row],[Fecha Proyectada liquidación]],TODAY())/30,"")</f>
        <v>-2.1</v>
      </c>
      <c r="AI297" s="150">
        <f>+Contrato5[[#This Row],[FECHA TERMINACIÓN ]]+120</f>
        <v>45695</v>
      </c>
      <c r="AJ297" s="147"/>
      <c r="AK297" s="152" t="str">
        <f ca="1">IF(Contrato5[[#This Row],[FECHA TERMINACIÓN ]]&lt;TODAY(), "Terminado",IF(ISNUMBER(Contrato5[[#This Row],[Fecha Real de liquiidación ]]),"Liquidado",IF(Contrato5[[#This Row],[FECHA TERMINACIÓN ]]&gt;=TODAY(),"En ejecución","")))</f>
        <v>Terminado</v>
      </c>
      <c r="AL297" s="153" t="e">
        <f ca="1">SUMIF([2]!COMPROMISOS_2024[[#All],[consecutivo]],Contrato5[[#This Row],[RCP]],[2]!COMPROMISOS_2024[[#All],[Total pagado]])</f>
        <v>#REF!</v>
      </c>
      <c r="AM297" s="154">
        <f ca="1">IFERROR(Contrato5[[#This Row],[Pagos]]/Contrato5[[#This Row],[VALOR CONTRATO]],0)</f>
        <v>0</v>
      </c>
      <c r="AN297" s="198" t="e">
        <f ca="1">+Contrato5[[#This Row],[VALOR CONTRATO]]-Contrato5[[#This Row],[Pagos]]</f>
        <v>#REF!</v>
      </c>
      <c r="AO297" s="147" t="e" cm="1">
        <f t="array" aca="1" ref="AO297" ca="1">_xlfn.XLOOKUP(Contrato5[[#This Row],[DOCUMENTO ]],[2]!PERSONAL_ACTIVO_2024[[#All],[Documento identidad]],[2]!PERSONAL_ACTIVO_2024[[#All],[Mail ]],0,0)</f>
        <v>#NAME?</v>
      </c>
      <c r="AP297" s="147" t="e" cm="1">
        <f t="array" aca="1" ref="AP297" ca="1">_xlfn.XLOOKUP(Contrato5[[#This Row],[DOCUMENTO]],[2]!PERSONAL_ACTIVO_2024[[#All],[Documento identidad]],[2]!PERSONAL_ACTIVO_2024[[#All],[Mail ]],0,0)</f>
        <v>#NAME?</v>
      </c>
      <c r="AQ297" s="439" cm="1">
        <f t="array" aca="1" ref="AQ297" ca="1">IF(ISBLANK(Contrato5[[#This Row],[DEPENDENCIA ]]),0,IFERROR(_xlfn.XLOOKUP(Contrato5[[#This Row],[DEPENDENCIA ]],[2]!PERSONAL_ACTIVO_2024[[#All],[Dependencia]],[2]!PERSONAL_ACTIVO_2024[[#All],[Mail ]],0,0),0))</f>
        <v>0</v>
      </c>
    </row>
    <row r="298" spans="1:16382" ht="34.5" customHeight="1">
      <c r="A298" s="125">
        <v>1123</v>
      </c>
      <c r="B298" s="124">
        <v>241</v>
      </c>
      <c r="C298" s="162" t="s">
        <v>2065</v>
      </c>
      <c r="D298" s="227" t="s">
        <v>493</v>
      </c>
      <c r="E298" s="128" t="s">
        <v>2148</v>
      </c>
      <c r="F298" s="163" t="s">
        <v>1376</v>
      </c>
      <c r="G298" s="190" t="s">
        <v>991</v>
      </c>
      <c r="H298" s="447">
        <v>1152468495</v>
      </c>
      <c r="I298" s="455">
        <v>3379853</v>
      </c>
      <c r="J298" s="456">
        <v>9125603</v>
      </c>
      <c r="K298" s="147" t="s">
        <v>42</v>
      </c>
      <c r="L298" s="438" t="s">
        <v>2548</v>
      </c>
      <c r="M298" s="194" t="s">
        <v>568</v>
      </c>
      <c r="N298" s="177" t="e" cm="1">
        <f t="array" aca="1" ref="N298" ca="1">_xlfn.XLOOKUP(Contrato5[[#This Row],[SUPERVISOR TITULAR]],[2]!PERSONAL_ACTIVO_2024[[#All],[Nombre completo]],[2]!PERSONAL_ACTIVO_2024[[#All],[Documento identidad]],"",0)</f>
        <v>#NAME?</v>
      </c>
      <c r="O298" s="194" t="s">
        <v>569</v>
      </c>
      <c r="P298" s="196" t="e" cm="1">
        <f t="array" aca="1" ref="P298" ca="1">_xlfn.XLOOKUP(Contrato5[[#This Row],[SUPERVISOR SUPLENTE ]],[2]!PERSONAL_ACTIVO_2024[[#All],[Nombre completo]],[2]!PERSONAL_ACTIVO_2024[[#All],[Documento identidad]],"",0)</f>
        <v>#NAME?</v>
      </c>
      <c r="Q298" s="208">
        <v>924</v>
      </c>
      <c r="R298" s="137" t="e" cm="1">
        <f t="array" aca="1" ref="R298" ca="1">_xlfn.XLOOKUP(Contrato5[[#This Row],[CDP]],[2]!DISPONIBILIDADES_2024[[#All],[consecutivo]],[2]!DISPONIBILIDADES_2024[[#All],[fecha_aprobacion]],"",0)</f>
        <v>#NAME?</v>
      </c>
      <c r="S298" s="138" t="e">
        <f>SUMIF([2]!DISPONIBILIDADES_2024[[#All],[consecutivo]],Contrato5[[#This Row],[CDP]],[2]!DISPONIBILIDADES_2024[[#All],[valor_total_rubro]])</f>
        <v>#REF!</v>
      </c>
      <c r="T298" s="139" t="e" cm="1">
        <f t="array" aca="1" ref="T298" ca="1">_xlfn.XLOOKUP(Contrato5[[#This Row],[CONTRATO]]&amp;Contrato5[[#This Row],[CDP]],[2]!Corr_Contr_CDP[[#All],[CONTRATO-CDP]],[2]!Corr_Contr_CDP[[#All],[CRP]],_xlfn.XLOOKUP(Contrato5[[#This Row],[CDP]],[2]!COMPROMISOS_2024[[#All],[disponibilidad]],[2]!COMPROMISOS_2024[[#All],[consecutivo]],"",0),0)</f>
        <v>#NAME?</v>
      </c>
      <c r="U298" s="140" t="e" cm="1">
        <f t="array" aca="1" ref="U298" ca="1">+_xlfn.XLOOKUP(Contrato5[[#This Row],[RCP]],[2]!COMPROMISOS_2024[[#All],[consecutivo]],[2]!COMPROMISOS_2024[[#All],[fecha_aprobacion]],"",0)</f>
        <v>#NAME?</v>
      </c>
      <c r="V298" s="141" t="e">
        <f ca="1">SUMIF([2]!COMPROMISOS_2024[[#All],[consecutivo]],Contrato5[[#This Row],[RCP]],[2]!COMPROMISOS_2024[[#All],[valor_total]])</f>
        <v>#REF!</v>
      </c>
      <c r="W298" s="415">
        <v>45569</v>
      </c>
      <c r="X298" s="415">
        <v>45575</v>
      </c>
      <c r="Y298" s="143">
        <v>45576</v>
      </c>
      <c r="Z298" s="262">
        <v>45657</v>
      </c>
      <c r="AA298" s="183"/>
      <c r="AB298" s="172" t="s">
        <v>2589</v>
      </c>
      <c r="AC298" s="172"/>
      <c r="AD298" s="263">
        <v>202000004169</v>
      </c>
      <c r="AE298" s="131" t="s">
        <v>523</v>
      </c>
      <c r="AF298" s="148" t="str">
        <f>TEXT(LEFT(Contrato5[[#This Row],[CONTRATO]],3),"0")</f>
        <v>241</v>
      </c>
      <c r="AG298" s="148" t="str">
        <f>IF(LEN(Contrato5[[#This Row],[Contrato2]])=3,Contrato5[[#This Row],[Contrato2]],TEXT(Contrato5[[#This Row],[Contrato2]],"000"))</f>
        <v>241</v>
      </c>
      <c r="AH298" s="149">
        <f ca="1">IFERROR(_xlfn.DAYS(Contrato5[[#This Row],[Fecha Proyectada liquidación]],TODAY())/30,"")</f>
        <v>0.6333333333333333</v>
      </c>
      <c r="AI298" s="150">
        <f>+Contrato5[[#This Row],[FECHA TERMINACIÓN ]]+120</f>
        <v>45777</v>
      </c>
      <c r="AJ298" s="147"/>
      <c r="AK298" s="152" t="str">
        <f ca="1">IF(Contrato5[[#This Row],[FECHA TERMINACIÓN ]]&lt;TODAY(), "Terminado",IF(ISNUMBER(Contrato5[[#This Row],[Fecha Real de liquiidación ]]),"Liquidado",IF(Contrato5[[#This Row],[FECHA TERMINACIÓN ]]&gt;=TODAY(),"En ejecución","")))</f>
        <v>Terminado</v>
      </c>
      <c r="AL298" s="153" t="e">
        <f ca="1">SUMIF([2]!COMPROMISOS_2024[[#All],[consecutivo]],Contrato5[[#This Row],[RCP]],[2]!COMPROMISOS_2024[[#All],[Total pagado]])</f>
        <v>#REF!</v>
      </c>
      <c r="AM298" s="154">
        <f ca="1">IFERROR(Contrato5[[#This Row],[Pagos]]/Contrato5[[#This Row],[VALOR CONTRATO]],0)</f>
        <v>0</v>
      </c>
      <c r="AN298" s="198" t="e">
        <f ca="1">+Contrato5[[#This Row],[VALOR CONTRATO]]-Contrato5[[#This Row],[Pagos]]</f>
        <v>#REF!</v>
      </c>
      <c r="AO298" s="147" t="e" cm="1">
        <f t="array" aca="1" ref="AO298" ca="1">_xlfn.XLOOKUP(Contrato5[[#This Row],[DOCUMENTO ]],[2]!PERSONAL_ACTIVO_2024[[#All],[Documento identidad]],[2]!PERSONAL_ACTIVO_2024[[#All],[Mail ]],0,0)</f>
        <v>#NAME?</v>
      </c>
      <c r="AP298" s="147" t="e" cm="1">
        <f t="array" aca="1" ref="AP298" ca="1">_xlfn.XLOOKUP(Contrato5[[#This Row],[DOCUMENTO]],[2]!PERSONAL_ACTIVO_2024[[#All],[Documento identidad]],[2]!PERSONAL_ACTIVO_2024[[#All],[Mail ]],0,0)</f>
        <v>#NAME?</v>
      </c>
      <c r="AQ298" s="439" cm="1">
        <f t="array" aca="1" ref="AQ298" ca="1">IF(ISBLANK(Contrato5[[#This Row],[DEPENDENCIA ]]),0,IFERROR(_xlfn.XLOOKUP(Contrato5[[#This Row],[DEPENDENCIA ]],[2]!PERSONAL_ACTIVO_2024[[#All],[Dependencia]],[2]!PERSONAL_ACTIVO_2024[[#All],[Mail ]],0,0),0))</f>
        <v>0</v>
      </c>
    </row>
    <row r="299" spans="1:16382" ht="34.5" customHeight="1">
      <c r="A299" s="125">
        <v>583</v>
      </c>
      <c r="B299" s="124">
        <v>242</v>
      </c>
      <c r="C299" s="162" t="s">
        <v>1372</v>
      </c>
      <c r="D299" s="227" t="s">
        <v>493</v>
      </c>
      <c r="E299" s="128" t="s">
        <v>94</v>
      </c>
      <c r="F299" s="163" t="s">
        <v>1376</v>
      </c>
      <c r="G299" s="190" t="s">
        <v>993</v>
      </c>
      <c r="H299" s="447">
        <v>1038333057</v>
      </c>
      <c r="I299" s="465">
        <v>3379853</v>
      </c>
      <c r="J299" s="490">
        <v>20279118</v>
      </c>
      <c r="K299" s="147" t="s">
        <v>42</v>
      </c>
      <c r="L299" s="438" t="s">
        <v>989</v>
      </c>
      <c r="M299" s="194" t="s">
        <v>568</v>
      </c>
      <c r="N299" s="177" t="e" cm="1">
        <f t="array" aca="1" ref="N299" ca="1">_xlfn.XLOOKUP(Contrato5[[#This Row],[SUPERVISOR TITULAR]],[2]!PERSONAL_ACTIVO_2024[[#All],[Nombre completo]],[2]!PERSONAL_ACTIVO_2024[[#All],[Documento identidad]],"",0)</f>
        <v>#NAME?</v>
      </c>
      <c r="O299" s="194" t="s">
        <v>569</v>
      </c>
      <c r="P299" s="196" t="e" cm="1">
        <f t="array" aca="1" ref="P299" ca="1">_xlfn.XLOOKUP(Contrato5[[#This Row],[SUPERVISOR SUPLENTE ]],[2]!PERSONAL_ACTIVO_2024[[#All],[Nombre completo]],[2]!PERSONAL_ACTIVO_2024[[#All],[Documento identidad]],"",0)</f>
        <v>#NAME?</v>
      </c>
      <c r="Q299" s="170">
        <v>305</v>
      </c>
      <c r="R299" s="137" t="e" cm="1">
        <f t="array" aca="1" ref="R299" ca="1">_xlfn.XLOOKUP(Contrato5[[#This Row],[CDP]],[2]!DISPONIBILIDADES_2024[[#All],[consecutivo]],[2]!DISPONIBILIDADES_2024[[#All],[fecha_aprobacion]],"",0)</f>
        <v>#NAME?</v>
      </c>
      <c r="S299" s="138" t="e">
        <f>SUMIF([2]!DISPONIBILIDADES_2024[[#All],[consecutivo]],Contrato5[[#This Row],[CDP]],[2]!DISPONIBILIDADES_2024[[#All],[valor_total_rubro]])</f>
        <v>#REF!</v>
      </c>
      <c r="T299" s="139" t="e" cm="1">
        <f t="array" aca="1" ref="T299" ca="1">_xlfn.XLOOKUP(Contrato5[[#This Row],[CONTRATO]]&amp;Contrato5[[#This Row],[CDP]],[2]!Corr_Contr_CDP[[#All],[CONTRATO-CDP]],[2]!Corr_Contr_CDP[[#All],[CRP]],_xlfn.XLOOKUP(Contrato5[[#This Row],[CDP]],[2]!COMPROMISOS_2024[[#All],[disponibilidad]],[2]!COMPROMISOS_2024[[#All],[consecutivo]],"",0),0)</f>
        <v>#NAME?</v>
      </c>
      <c r="U299" s="140" t="e" cm="1">
        <f t="array" aca="1" ref="U299" ca="1">+_xlfn.XLOOKUP(Contrato5[[#This Row],[RCP]],[2]!COMPROMISOS_2024[[#All],[consecutivo]],[2]!COMPROMISOS_2024[[#All],[fecha_aprobacion]],"",0)</f>
        <v>#NAME?</v>
      </c>
      <c r="V299" s="141" t="e">
        <f ca="1">SUMIF([2]!COMPROMISOS_2024[[#All],[consecutivo]],Contrato5[[#This Row],[RCP]],[2]!COMPROMISOS_2024[[#All],[valor_total]])</f>
        <v>#REF!</v>
      </c>
      <c r="W299" s="415">
        <v>45394</v>
      </c>
      <c r="X299" s="415">
        <v>45399</v>
      </c>
      <c r="Y299" s="143">
        <v>45399</v>
      </c>
      <c r="Z299" s="262">
        <v>45581</v>
      </c>
      <c r="AA299" s="183" t="s">
        <v>994</v>
      </c>
      <c r="AB299" s="172" t="s">
        <v>640</v>
      </c>
      <c r="AC299" s="269"/>
      <c r="AD299" s="211">
        <v>202000004170</v>
      </c>
      <c r="AE299" s="147" t="s">
        <v>523</v>
      </c>
      <c r="AF299" s="148" t="str">
        <f>TEXT(LEFT(Contrato5[[#This Row],[CONTRATO]],3),"0")</f>
        <v>242</v>
      </c>
      <c r="AG299" s="148" t="str">
        <f>IF(LEN(Contrato5[[#This Row],[Contrato2]])=3,Contrato5[[#This Row],[Contrato2]],TEXT(Contrato5[[#This Row],[Contrato2]],"000"))</f>
        <v>242</v>
      </c>
      <c r="AH299" s="149">
        <f ca="1">IFERROR(_xlfn.DAYS(Contrato5[[#This Row],[Fecha Proyectada liquidación]],TODAY())/30,"")</f>
        <v>-1.9</v>
      </c>
      <c r="AI299" s="150">
        <f>+Contrato5[[#This Row],[FECHA TERMINACIÓN ]]+120</f>
        <v>45701</v>
      </c>
      <c r="AJ299" s="147"/>
      <c r="AK299" s="152" t="str">
        <f ca="1">IF(Contrato5[[#This Row],[FECHA TERMINACIÓN ]]&lt;TODAY(), "Terminado",IF(ISNUMBER(Contrato5[[#This Row],[Fecha Real de liquiidación ]]),"Liquidado",IF(Contrato5[[#This Row],[FECHA TERMINACIÓN ]]&gt;=TODAY(),"En ejecución","")))</f>
        <v>Terminado</v>
      </c>
      <c r="AL299" s="153" t="e">
        <f ca="1">SUMIF([2]!COMPROMISOS_2024[[#All],[consecutivo]],Contrato5[[#This Row],[RCP]],[2]!COMPROMISOS_2024[[#All],[Total pagado]])</f>
        <v>#REF!</v>
      </c>
      <c r="AM299" s="154">
        <f ca="1">IFERROR(Contrato5[[#This Row],[Pagos]]/Contrato5[[#This Row],[VALOR CONTRATO]],0)</f>
        <v>0</v>
      </c>
      <c r="AN299" s="198" t="e">
        <f ca="1">+Contrato5[[#This Row],[VALOR CONTRATO]]-Contrato5[[#This Row],[Pagos]]</f>
        <v>#REF!</v>
      </c>
      <c r="AO299" s="147" t="e" cm="1">
        <f t="array" aca="1" ref="AO299" ca="1">_xlfn.XLOOKUP(Contrato5[[#This Row],[DOCUMENTO ]],[2]!PERSONAL_ACTIVO_2024[[#All],[Documento identidad]],[2]!PERSONAL_ACTIVO_2024[[#All],[Mail ]],0,0)</f>
        <v>#NAME?</v>
      </c>
      <c r="AP299" s="147" t="e" cm="1">
        <f t="array" aca="1" ref="AP299" ca="1">_xlfn.XLOOKUP(Contrato5[[#This Row],[DOCUMENTO]],[2]!PERSONAL_ACTIVO_2024[[#All],[Documento identidad]],[2]!PERSONAL_ACTIVO_2024[[#All],[Mail ]],0,0)</f>
        <v>#NAME?</v>
      </c>
      <c r="AQ299" s="439" cm="1">
        <f t="array" aca="1" ref="AQ299" ca="1">IF(ISBLANK(Contrato5[[#This Row],[DEPENDENCIA ]]),0,IFERROR(_xlfn.XLOOKUP(Contrato5[[#This Row],[DEPENDENCIA ]],[2]!PERSONAL_ACTIVO_2024[[#All],[Dependencia]],[2]!PERSONAL_ACTIVO_2024[[#All],[Mail ]],0,0),0))</f>
        <v>0</v>
      </c>
    </row>
    <row r="300" spans="1:16382" ht="34.5" customHeight="1">
      <c r="A300" s="125">
        <v>1124</v>
      </c>
      <c r="B300" s="124">
        <v>242</v>
      </c>
      <c r="C300" s="162" t="s">
        <v>2066</v>
      </c>
      <c r="D300" s="227" t="s">
        <v>493</v>
      </c>
      <c r="E300" s="128" t="s">
        <v>2148</v>
      </c>
      <c r="F300" s="163" t="s">
        <v>1376</v>
      </c>
      <c r="G300" s="190" t="s">
        <v>993</v>
      </c>
      <c r="H300" s="447">
        <v>1038333057</v>
      </c>
      <c r="I300" s="465">
        <v>3379853</v>
      </c>
      <c r="J300" s="490">
        <v>8562294</v>
      </c>
      <c r="K300" s="491"/>
      <c r="L300" s="438" t="s">
        <v>989</v>
      </c>
      <c r="M300" s="194" t="s">
        <v>568</v>
      </c>
      <c r="N300" s="177" t="e" cm="1">
        <f t="array" aca="1" ref="N300" ca="1">_xlfn.XLOOKUP(Contrato5[[#This Row],[SUPERVISOR TITULAR]],[2]!PERSONAL_ACTIVO_2024[[#All],[Nombre completo]],[2]!PERSONAL_ACTIVO_2024[[#All],[Documento identidad]],"",0)</f>
        <v>#NAME?</v>
      </c>
      <c r="O300" s="194" t="s">
        <v>569</v>
      </c>
      <c r="P300" s="196" t="e" cm="1">
        <f t="array" aca="1" ref="P300" ca="1">_xlfn.XLOOKUP(Contrato5[[#This Row],[SUPERVISOR SUPLENTE ]],[2]!PERSONAL_ACTIVO_2024[[#All],[Nombre completo]],[2]!PERSONAL_ACTIVO_2024[[#All],[Documento identidad]],"",0)</f>
        <v>#NAME?</v>
      </c>
      <c r="Q300" s="170">
        <v>929</v>
      </c>
      <c r="R300" s="137" t="e" cm="1">
        <f t="array" aca="1" ref="R300" ca="1">_xlfn.XLOOKUP(Contrato5[[#This Row],[CDP]],[2]!DISPONIBILIDADES_2024[[#All],[consecutivo]],[2]!DISPONIBILIDADES_2024[[#All],[fecha_aprobacion]],"",0)</f>
        <v>#NAME?</v>
      </c>
      <c r="S300" s="138" t="e">
        <f>SUMIF([2]!DISPONIBILIDADES_2024[[#All],[consecutivo]],Contrato5[[#This Row],[CDP]],[2]!DISPONIBILIDADES_2024[[#All],[valor_total_rubro]])</f>
        <v>#REF!</v>
      </c>
      <c r="T300" s="139" t="e" cm="1">
        <f t="array" aca="1" ref="T300" ca="1">_xlfn.XLOOKUP(Contrato5[[#This Row],[CONTRATO]]&amp;Contrato5[[#This Row],[CDP]],[2]!Corr_Contr_CDP[[#All],[CONTRATO-CDP]],[2]!Corr_Contr_CDP[[#All],[CRP]],_xlfn.XLOOKUP(Contrato5[[#This Row],[CDP]],[2]!COMPROMISOS_2024[[#All],[disponibilidad]],[2]!COMPROMISOS_2024[[#All],[consecutivo]],"",0),0)</f>
        <v>#NAME?</v>
      </c>
      <c r="U300" s="140" t="e" cm="1">
        <f t="array" aca="1" ref="U300" ca="1">+_xlfn.XLOOKUP(Contrato5[[#This Row],[RCP]],[2]!COMPROMISOS_2024[[#All],[consecutivo]],[2]!COMPROMISOS_2024[[#All],[fecha_aprobacion]],"",0)</f>
        <v>#NAME?</v>
      </c>
      <c r="V300" s="141" t="e">
        <f ca="1">SUMIF([2]!COMPROMISOS_2024[[#All],[consecutivo]],Contrato5[[#This Row],[RCP]],[2]!COMPROMISOS_2024[[#All],[valor_total]])</f>
        <v>#REF!</v>
      </c>
      <c r="W300" s="415">
        <v>45574</v>
      </c>
      <c r="X300" s="415">
        <v>45580</v>
      </c>
      <c r="Y300" s="143">
        <v>45582</v>
      </c>
      <c r="Z300" s="262">
        <v>45657</v>
      </c>
      <c r="AA300" s="183"/>
      <c r="AB300" s="172" t="s">
        <v>2590</v>
      </c>
      <c r="AC300" s="269"/>
      <c r="AD300" s="211">
        <v>202000004170</v>
      </c>
      <c r="AE300" s="147" t="s">
        <v>523</v>
      </c>
      <c r="AF300" s="148" t="str">
        <f>TEXT(LEFT(Contrato5[[#This Row],[CONTRATO]],3),"0")</f>
        <v>242</v>
      </c>
      <c r="AG300" s="148" t="str">
        <f>IF(LEN(Contrato5[[#This Row],[Contrato2]])=3,Contrato5[[#This Row],[Contrato2]],TEXT(Contrato5[[#This Row],[Contrato2]],"000"))</f>
        <v>242</v>
      </c>
      <c r="AH300" s="149">
        <f ca="1">IFERROR(_xlfn.DAYS(Contrato5[[#This Row],[Fecha Proyectada liquidación]],TODAY())/30,"")</f>
        <v>0.6333333333333333</v>
      </c>
      <c r="AI300" s="150">
        <f>+Contrato5[[#This Row],[FECHA TERMINACIÓN ]]+120</f>
        <v>45777</v>
      </c>
      <c r="AJ300" s="147"/>
      <c r="AK300" s="152" t="str">
        <f ca="1">IF(Contrato5[[#This Row],[FECHA TERMINACIÓN ]]&lt;TODAY(), "Terminado",IF(ISNUMBER(Contrato5[[#This Row],[Fecha Real de liquiidación ]]),"Liquidado",IF(Contrato5[[#This Row],[FECHA TERMINACIÓN ]]&gt;=TODAY(),"En ejecución","")))</f>
        <v>Terminado</v>
      </c>
      <c r="AL300" s="153" t="e">
        <f ca="1">SUMIF([2]!COMPROMISOS_2024[[#All],[consecutivo]],Contrato5[[#This Row],[RCP]],[2]!COMPROMISOS_2024[[#All],[Total pagado]])</f>
        <v>#REF!</v>
      </c>
      <c r="AM300" s="154">
        <f ca="1">IFERROR(Contrato5[[#This Row],[Pagos]]/Contrato5[[#This Row],[VALOR CONTRATO]],0)</f>
        <v>0</v>
      </c>
      <c r="AN300" s="198" t="e">
        <f ca="1">+Contrato5[[#This Row],[VALOR CONTRATO]]-Contrato5[[#This Row],[Pagos]]</f>
        <v>#REF!</v>
      </c>
      <c r="AO300" s="147" t="e" cm="1">
        <f t="array" aca="1" ref="AO300" ca="1">_xlfn.XLOOKUP(Contrato5[[#This Row],[DOCUMENTO ]],[2]!PERSONAL_ACTIVO_2024[[#All],[Documento identidad]],[2]!PERSONAL_ACTIVO_2024[[#All],[Mail ]],0,0)</f>
        <v>#NAME?</v>
      </c>
      <c r="AP300" s="147" t="e" cm="1">
        <f t="array" aca="1" ref="AP300" ca="1">_xlfn.XLOOKUP(Contrato5[[#This Row],[DOCUMENTO]],[2]!PERSONAL_ACTIVO_2024[[#All],[Documento identidad]],[2]!PERSONAL_ACTIVO_2024[[#All],[Mail ]],0,0)</f>
        <v>#NAME?</v>
      </c>
      <c r="AQ300" s="439" cm="1">
        <f t="array" aca="1" ref="AQ300" ca="1">IF(ISBLANK(Contrato5[[#This Row],[DEPENDENCIA ]]),0,IFERROR(_xlfn.XLOOKUP(Contrato5[[#This Row],[DEPENDENCIA ]],[2]!PERSONAL_ACTIVO_2024[[#All],[Dependencia]],[2]!PERSONAL_ACTIVO_2024[[#All],[Mail ]],0,0),0))</f>
        <v>0</v>
      </c>
    </row>
    <row r="301" spans="1:16382" ht="34.5" customHeight="1">
      <c r="A301" s="125">
        <v>124</v>
      </c>
      <c r="B301" s="124">
        <v>243</v>
      </c>
      <c r="C301" s="162" t="s">
        <v>1544</v>
      </c>
      <c r="D301" s="227" t="s">
        <v>583</v>
      </c>
      <c r="E301" s="128" t="s">
        <v>94</v>
      </c>
      <c r="F301" s="163" t="s">
        <v>222</v>
      </c>
      <c r="G301" s="190" t="s">
        <v>995</v>
      </c>
      <c r="H301" s="447">
        <v>890906279</v>
      </c>
      <c r="I301" s="455" t="s">
        <v>42</v>
      </c>
      <c r="J301" s="456">
        <v>399993465</v>
      </c>
      <c r="K301" s="147" t="s">
        <v>42</v>
      </c>
      <c r="L301" s="438" t="s">
        <v>496</v>
      </c>
      <c r="M301" s="194" t="s">
        <v>600</v>
      </c>
      <c r="N301" s="177" t="e" cm="1">
        <f t="array" aca="1" ref="N301" ca="1">_xlfn.XLOOKUP(Contrato5[[#This Row],[SUPERVISOR TITULAR]],[2]!PERSONAL_ACTIVO_2024[[#All],[Nombre completo]],[2]!PERSONAL_ACTIVO_2024[[#All],[Documento identidad]],"",0)</f>
        <v>#NAME?</v>
      </c>
      <c r="O301" s="194" t="s">
        <v>2495</v>
      </c>
      <c r="P301" s="196" t="e" cm="1">
        <f t="array" aca="1" ref="P301" ca="1">_xlfn.XLOOKUP(Contrato5[[#This Row],[SUPERVISOR SUPLENTE ]],[2]!PERSONAL_ACTIVO_2024[[#All],[Nombre completo]],[2]!PERSONAL_ACTIVO_2024[[#All],[Documento identidad]],"",0)</f>
        <v>#NAME?</v>
      </c>
      <c r="Q301" s="170">
        <v>301</v>
      </c>
      <c r="R301" s="137" t="e" cm="1">
        <f t="array" aca="1" ref="R301" ca="1">_xlfn.XLOOKUP(Contrato5[[#This Row],[CDP]],[2]!DISPONIBILIDADES_2024[[#All],[consecutivo]],[2]!DISPONIBILIDADES_2024[[#All],[fecha_aprobacion]],"",0)</f>
        <v>#NAME?</v>
      </c>
      <c r="S301" s="138" t="e">
        <f>SUMIF([2]!DISPONIBILIDADES_2024[[#All],[consecutivo]],Contrato5[[#This Row],[CDP]],[2]!DISPONIBILIDADES_2024[[#All],[valor_total_rubro]])</f>
        <v>#REF!</v>
      </c>
      <c r="T301" s="139" t="e" cm="1">
        <f t="array" aca="1" ref="T301" ca="1">_xlfn.XLOOKUP(Contrato5[[#This Row],[CONTRATO]]&amp;Contrato5[[#This Row],[CDP]],[2]!Corr_Contr_CDP[[#All],[CONTRATO-CDP]],[2]!Corr_Contr_CDP[[#All],[CRP]],_xlfn.XLOOKUP(Contrato5[[#This Row],[CDP]],[2]!COMPROMISOS_2024[[#All],[disponibilidad]],[2]!COMPROMISOS_2024[[#All],[consecutivo]],"",0),0)</f>
        <v>#NAME?</v>
      </c>
      <c r="U301" s="140" t="e" cm="1">
        <f t="array" aca="1" ref="U301" ca="1">+_xlfn.XLOOKUP(Contrato5[[#This Row],[RCP]],[2]!COMPROMISOS_2024[[#All],[consecutivo]],[2]!COMPROMISOS_2024[[#All],[fecha_aprobacion]],"",0)</f>
        <v>#NAME?</v>
      </c>
      <c r="V301" s="141" t="e">
        <f ca="1">SUMIF([2]!COMPROMISOS_2024[[#All],[consecutivo]],Contrato5[[#This Row],[RCP]],[2]!COMPROMISOS_2024[[#All],[valor_total]])</f>
        <v>#REF!</v>
      </c>
      <c r="W301" s="415">
        <v>45384</v>
      </c>
      <c r="X301" s="415">
        <v>45387</v>
      </c>
      <c r="Y301" s="143">
        <v>45387</v>
      </c>
      <c r="Z301" s="262">
        <v>45657</v>
      </c>
      <c r="AA301" s="171" t="s">
        <v>996</v>
      </c>
      <c r="AB301" s="269" t="s">
        <v>997</v>
      </c>
      <c r="AC301" s="269"/>
      <c r="AD301" s="211">
        <v>202000004171</v>
      </c>
      <c r="AE301" s="131" t="s">
        <v>523</v>
      </c>
      <c r="AF301" s="148" t="str">
        <f>TEXT(LEFT(Contrato5[[#This Row],[CONTRATO]],3),"0")</f>
        <v>243</v>
      </c>
      <c r="AG301" s="148" t="str">
        <f>IF(LEN(Contrato5[[#This Row],[Contrato2]])=3,Contrato5[[#This Row],[Contrato2]],TEXT(Contrato5[[#This Row],[Contrato2]],"000"))</f>
        <v>243</v>
      </c>
      <c r="AH301" s="149">
        <f ca="1">IFERROR(_xlfn.DAYS(Contrato5[[#This Row],[Fecha Proyectada liquidación]],TODAY())/30,"")</f>
        <v>0.6333333333333333</v>
      </c>
      <c r="AI301" s="150">
        <f>+Contrato5[[#This Row],[FECHA TERMINACIÓN ]]+120</f>
        <v>45777</v>
      </c>
      <c r="AJ301" s="147"/>
      <c r="AK301" s="152" t="str">
        <f ca="1">IF(Contrato5[[#This Row],[FECHA TERMINACIÓN ]]&lt;TODAY(), "Terminado",IF(ISNUMBER(Contrato5[[#This Row],[Fecha Real de liquiidación ]]),"Liquidado",IF(Contrato5[[#This Row],[FECHA TERMINACIÓN ]]&gt;=TODAY(),"En ejecución","")))</f>
        <v>Terminado</v>
      </c>
      <c r="AL301" s="153" t="e">
        <f ca="1">SUMIF([2]!COMPROMISOS_2024[[#All],[consecutivo]],Contrato5[[#This Row],[RCP]],[2]!COMPROMISOS_2024[[#All],[Total pagado]])</f>
        <v>#REF!</v>
      </c>
      <c r="AM301" s="154">
        <f ca="1">IFERROR(Contrato5[[#This Row],[Pagos]]/Contrato5[[#This Row],[VALOR CONTRATO]],0)</f>
        <v>0</v>
      </c>
      <c r="AN301" s="198" t="e">
        <f ca="1">+Contrato5[[#This Row],[VALOR CONTRATO]]-Contrato5[[#This Row],[Pagos]]</f>
        <v>#REF!</v>
      </c>
      <c r="AO301" s="147" t="e" cm="1">
        <f t="array" aca="1" ref="AO301" ca="1">_xlfn.XLOOKUP(Contrato5[[#This Row],[DOCUMENTO ]],[2]!PERSONAL_ACTIVO_2024[[#All],[Documento identidad]],[2]!PERSONAL_ACTIVO_2024[[#All],[Mail ]],0,0)</f>
        <v>#NAME?</v>
      </c>
      <c r="AP301" s="147" t="e" cm="1">
        <f t="array" aca="1" ref="AP301" ca="1">_xlfn.XLOOKUP(Contrato5[[#This Row],[DOCUMENTO]],[2]!PERSONAL_ACTIVO_2024[[#All],[Documento identidad]],[2]!PERSONAL_ACTIVO_2024[[#All],[Mail ]],0,0)</f>
        <v>#NAME?</v>
      </c>
      <c r="AQ301" s="439" cm="1">
        <f t="array" aca="1" ref="AQ301" ca="1">IF(ISBLANK(Contrato5[[#This Row],[DEPENDENCIA ]]),0,IFERROR(_xlfn.XLOOKUP(Contrato5[[#This Row],[DEPENDENCIA ]],[2]!PERSONAL_ACTIVO_2024[[#All],[Dependencia]],[2]!PERSONAL_ACTIVO_2024[[#All],[Mail ]],0,0),0))</f>
        <v>0</v>
      </c>
    </row>
    <row r="302" spans="1:16382" ht="34.5" customHeight="1">
      <c r="A302" s="125">
        <v>74</v>
      </c>
      <c r="B302" s="124">
        <v>244</v>
      </c>
      <c r="C302" s="162" t="s">
        <v>1504</v>
      </c>
      <c r="D302" s="227" t="s">
        <v>583</v>
      </c>
      <c r="E302" s="128" t="s">
        <v>94</v>
      </c>
      <c r="F302" s="163" t="s">
        <v>222</v>
      </c>
      <c r="G302" s="190" t="s">
        <v>998</v>
      </c>
      <c r="H302" s="447">
        <v>811021812</v>
      </c>
      <c r="I302" s="455" t="s">
        <v>42</v>
      </c>
      <c r="J302" s="456">
        <v>359996701</v>
      </c>
      <c r="K302" s="147" t="s">
        <v>42</v>
      </c>
      <c r="L302" s="438" t="s">
        <v>496</v>
      </c>
      <c r="M302" s="194" t="s">
        <v>600</v>
      </c>
      <c r="N302" s="177" t="e" cm="1">
        <f t="array" aca="1" ref="N302" ca="1">_xlfn.XLOOKUP(Contrato5[[#This Row],[SUPERVISOR TITULAR]],[2]!PERSONAL_ACTIVO_2024[[#All],[Nombre completo]],[2]!PERSONAL_ACTIVO_2024[[#All],[Documento identidad]],"",0)</f>
        <v>#NAME?</v>
      </c>
      <c r="O302" s="194" t="s">
        <v>2495</v>
      </c>
      <c r="P302" s="196" t="e" cm="1">
        <f t="array" aca="1" ref="P302" ca="1">_xlfn.XLOOKUP(Contrato5[[#This Row],[SUPERVISOR SUPLENTE ]],[2]!PERSONAL_ACTIVO_2024[[#All],[Nombre completo]],[2]!PERSONAL_ACTIVO_2024[[#All],[Documento identidad]],"",0)</f>
        <v>#NAME?</v>
      </c>
      <c r="Q302" s="170">
        <v>302</v>
      </c>
      <c r="R302" s="137" t="e" cm="1">
        <f t="array" aca="1" ref="R302" ca="1">_xlfn.XLOOKUP(Contrato5[[#This Row],[CDP]],[2]!DISPONIBILIDADES_2024[[#All],[consecutivo]],[2]!DISPONIBILIDADES_2024[[#All],[fecha_aprobacion]],"",0)</f>
        <v>#NAME?</v>
      </c>
      <c r="S302" s="138" t="e">
        <f>SUMIF([2]!DISPONIBILIDADES_2024[[#All],[consecutivo]],Contrato5[[#This Row],[CDP]],[2]!DISPONIBILIDADES_2024[[#All],[valor_total_rubro]])</f>
        <v>#REF!</v>
      </c>
      <c r="T302" s="139" t="e" cm="1">
        <f t="array" aca="1" ref="T302" ca="1">_xlfn.XLOOKUP(Contrato5[[#This Row],[CONTRATO]]&amp;Contrato5[[#This Row],[CDP]],[2]!Corr_Contr_CDP[[#All],[CONTRATO-CDP]],[2]!Corr_Contr_CDP[[#All],[CRP]],_xlfn.XLOOKUP(Contrato5[[#This Row],[CDP]],[2]!COMPROMISOS_2024[[#All],[disponibilidad]],[2]!COMPROMISOS_2024[[#All],[consecutivo]],"",0),0)</f>
        <v>#NAME?</v>
      </c>
      <c r="U302" s="140" t="e" cm="1">
        <f t="array" aca="1" ref="U302" ca="1">+_xlfn.XLOOKUP(Contrato5[[#This Row],[RCP]],[2]!COMPROMISOS_2024[[#All],[consecutivo]],[2]!COMPROMISOS_2024[[#All],[fecha_aprobacion]],"",0)</f>
        <v>#NAME?</v>
      </c>
      <c r="V302" s="141" t="e">
        <f ca="1">SUMIF([2]!COMPROMISOS_2024[[#All],[consecutivo]],Contrato5[[#This Row],[RCP]],[2]!COMPROMISOS_2024[[#All],[valor_total]])</f>
        <v>#REF!</v>
      </c>
      <c r="W302" s="415">
        <v>45385</v>
      </c>
      <c r="X302" s="415">
        <v>45385</v>
      </c>
      <c r="Y302" s="143">
        <v>45386</v>
      </c>
      <c r="Z302" s="262">
        <v>45507</v>
      </c>
      <c r="AA302" s="171" t="s">
        <v>999</v>
      </c>
      <c r="AB302" s="172" t="s">
        <v>1000</v>
      </c>
      <c r="AC302" s="172"/>
      <c r="AD302" s="211">
        <v>202000004172</v>
      </c>
      <c r="AE302" s="147" t="s">
        <v>523</v>
      </c>
      <c r="AF302" s="148" t="str">
        <f>TEXT(LEFT(Contrato5[[#This Row],[CONTRATO]],3),"0")</f>
        <v>244</v>
      </c>
      <c r="AG302" s="148" t="str">
        <f>IF(LEN(Contrato5[[#This Row],[Contrato2]])=3,Contrato5[[#This Row],[Contrato2]],TEXT(Contrato5[[#This Row],[Contrato2]],"000"))</f>
        <v>244</v>
      </c>
      <c r="AH302" s="149">
        <f ca="1">IFERROR(_xlfn.DAYS(Contrato5[[#This Row],[Fecha Proyectada liquidación]],TODAY())/30,"")</f>
        <v>-4.3666666666666663</v>
      </c>
      <c r="AI302" s="150">
        <f>+Contrato5[[#This Row],[FECHA TERMINACIÓN ]]+120</f>
        <v>45627</v>
      </c>
      <c r="AJ302" s="147"/>
      <c r="AK302" s="152" t="str">
        <f ca="1">IF(Contrato5[[#This Row],[FECHA TERMINACIÓN ]]&lt;TODAY(), "Terminado",IF(ISNUMBER(Contrato5[[#This Row],[Fecha Real de liquiidación ]]),"Liquidado",IF(Contrato5[[#This Row],[FECHA TERMINACIÓN ]]&gt;=TODAY(),"En ejecución","")))</f>
        <v>Terminado</v>
      </c>
      <c r="AL302" s="153" t="e">
        <f ca="1">SUMIF([2]!COMPROMISOS_2024[[#All],[consecutivo]],Contrato5[[#This Row],[RCP]],[2]!COMPROMISOS_2024[[#All],[Total pagado]])</f>
        <v>#REF!</v>
      </c>
      <c r="AM302" s="154">
        <f ca="1">IFERROR(Contrato5[[#This Row],[Pagos]]/Contrato5[[#This Row],[VALOR CONTRATO]],0)</f>
        <v>0</v>
      </c>
      <c r="AN302" s="198" t="e">
        <f ca="1">+Contrato5[[#This Row],[VALOR CONTRATO]]-Contrato5[[#This Row],[Pagos]]</f>
        <v>#REF!</v>
      </c>
      <c r="AO302" s="147" t="e" cm="1">
        <f t="array" aca="1" ref="AO302" ca="1">_xlfn.XLOOKUP(Contrato5[[#This Row],[DOCUMENTO ]],[2]!PERSONAL_ACTIVO_2024[[#All],[Documento identidad]],[2]!PERSONAL_ACTIVO_2024[[#All],[Mail ]],0,0)</f>
        <v>#NAME?</v>
      </c>
      <c r="AP302" s="147" t="e" cm="1">
        <f t="array" aca="1" ref="AP302" ca="1">_xlfn.XLOOKUP(Contrato5[[#This Row],[DOCUMENTO]],[2]!PERSONAL_ACTIVO_2024[[#All],[Documento identidad]],[2]!PERSONAL_ACTIVO_2024[[#All],[Mail ]],0,0)</f>
        <v>#NAME?</v>
      </c>
      <c r="AQ302" s="439" cm="1">
        <f t="array" aca="1" ref="AQ302" ca="1">IF(ISBLANK(Contrato5[[#This Row],[DEPENDENCIA ]]),0,IFERROR(_xlfn.XLOOKUP(Contrato5[[#This Row],[DEPENDENCIA ]],[2]!PERSONAL_ACTIVO_2024[[#All],[Dependencia]],[2]!PERSONAL_ACTIVO_2024[[#All],[Mail ]],0,0),0))</f>
        <v>0</v>
      </c>
    </row>
    <row r="303" spans="1:16382" ht="34.5" customHeight="1">
      <c r="A303" s="125">
        <v>205</v>
      </c>
      <c r="B303" s="124">
        <v>245</v>
      </c>
      <c r="C303" s="162" t="s">
        <v>1629</v>
      </c>
      <c r="D303" s="227" t="s">
        <v>583</v>
      </c>
      <c r="E303" s="128" t="s">
        <v>94</v>
      </c>
      <c r="F303" s="163" t="s">
        <v>1376</v>
      </c>
      <c r="G303" s="190" t="s">
        <v>1001</v>
      </c>
      <c r="H303" s="447">
        <v>1037591708</v>
      </c>
      <c r="I303" s="455">
        <v>2574842</v>
      </c>
      <c r="J303" s="456">
        <v>15449052</v>
      </c>
      <c r="K303" s="147" t="s">
        <v>42</v>
      </c>
      <c r="L303" s="438" t="s">
        <v>989</v>
      </c>
      <c r="M303" s="194" t="s">
        <v>589</v>
      </c>
      <c r="N303" s="177" t="e" cm="1">
        <f t="array" aca="1" ref="N303" ca="1">_xlfn.XLOOKUP(Contrato5[[#This Row],[SUPERVISOR TITULAR]],[2]!PERSONAL_ACTIVO_2024[[#All],[Nombre completo]],[2]!PERSONAL_ACTIVO_2024[[#All],[Documento identidad]],"",0)</f>
        <v>#NAME?</v>
      </c>
      <c r="O303" s="194" t="s">
        <v>586</v>
      </c>
      <c r="P303" s="196" t="e" cm="1">
        <f t="array" aca="1" ref="P303" ca="1">_xlfn.XLOOKUP(Contrato5[[#This Row],[SUPERVISOR SUPLENTE ]],[2]!PERSONAL_ACTIVO_2024[[#All],[Nombre completo]],[2]!PERSONAL_ACTIVO_2024[[#All],[Documento identidad]],"",0)</f>
        <v>#NAME?</v>
      </c>
      <c r="Q303" s="170">
        <v>134</v>
      </c>
      <c r="R303" s="137" t="e" cm="1">
        <f t="array" aca="1" ref="R303" ca="1">_xlfn.XLOOKUP(Contrato5[[#This Row],[CDP]],[2]!DISPONIBILIDADES_2024[[#All],[consecutivo]],[2]!DISPONIBILIDADES_2024[[#All],[fecha_aprobacion]],"",0)</f>
        <v>#NAME?</v>
      </c>
      <c r="S303" s="138" t="e">
        <f>SUMIF([2]!DISPONIBILIDADES_2024[[#All],[consecutivo]],Contrato5[[#This Row],[CDP]],[2]!DISPONIBILIDADES_2024[[#All],[valor_total_rubro]])</f>
        <v>#REF!</v>
      </c>
      <c r="T303" s="139" t="e" cm="1">
        <f t="array" aca="1" ref="T303" ca="1">_xlfn.XLOOKUP(Contrato5[[#This Row],[CONTRATO]]&amp;Contrato5[[#This Row],[CDP]],[2]!Corr_Contr_CDP[[#All],[CONTRATO-CDP]],[2]!Corr_Contr_CDP[[#All],[CRP]],_xlfn.XLOOKUP(Contrato5[[#This Row],[CDP]],[2]!COMPROMISOS_2024[[#All],[disponibilidad]],[2]!COMPROMISOS_2024[[#All],[consecutivo]],"",0),0)</f>
        <v>#NAME?</v>
      </c>
      <c r="U303" s="140" t="e" cm="1">
        <f t="array" aca="1" ref="U303" ca="1">+_xlfn.XLOOKUP(Contrato5[[#This Row],[RCP]],[2]!COMPROMISOS_2024[[#All],[consecutivo]],[2]!COMPROMISOS_2024[[#All],[fecha_aprobacion]],"",0)</f>
        <v>#NAME?</v>
      </c>
      <c r="V303" s="141" t="e">
        <f ca="1">SUMIF([2]!COMPROMISOS_2024[[#All],[consecutivo]],Contrato5[[#This Row],[RCP]],[2]!COMPROMISOS_2024[[#All],[valor_total]])</f>
        <v>#REF!</v>
      </c>
      <c r="W303" s="415">
        <v>45390</v>
      </c>
      <c r="X303" s="415" t="s">
        <v>1045</v>
      </c>
      <c r="Y303" s="143">
        <v>45391</v>
      </c>
      <c r="Z303" s="262">
        <v>45573</v>
      </c>
      <c r="AA303" s="183" t="s">
        <v>1002</v>
      </c>
      <c r="AB303" s="172" t="s">
        <v>640</v>
      </c>
      <c r="AC303" s="227"/>
      <c r="AD303" s="211">
        <v>202000004174</v>
      </c>
      <c r="AE303" s="147" t="s">
        <v>523</v>
      </c>
      <c r="AF303" s="148" t="str">
        <f>TEXT(LEFT(Contrato5[[#This Row],[CONTRATO]],3),"0")</f>
        <v>245</v>
      </c>
      <c r="AG303" s="148" t="str">
        <f>IF(LEN(Contrato5[[#This Row],[Contrato2]])=3,Contrato5[[#This Row],[Contrato2]],TEXT(Contrato5[[#This Row],[Contrato2]],"000"))</f>
        <v>245</v>
      </c>
      <c r="AH303" s="149">
        <f ca="1">IFERROR(_xlfn.DAYS(Contrato5[[#This Row],[Fecha Proyectada liquidación]],TODAY())/30,"")</f>
        <v>-2.1666666666666665</v>
      </c>
      <c r="AI303" s="150">
        <f>+Contrato5[[#This Row],[FECHA TERMINACIÓN ]]+120</f>
        <v>45693</v>
      </c>
      <c r="AJ303" s="147"/>
      <c r="AK303" s="152" t="str">
        <f ca="1">IF(Contrato5[[#This Row],[FECHA TERMINACIÓN ]]&lt;TODAY(), "Terminado",IF(ISNUMBER(Contrato5[[#This Row],[Fecha Real de liquiidación ]]),"Liquidado",IF(Contrato5[[#This Row],[FECHA TERMINACIÓN ]]&gt;=TODAY(),"En ejecución","")))</f>
        <v>Terminado</v>
      </c>
      <c r="AL303" s="153" t="e">
        <f ca="1">SUMIF([2]!COMPROMISOS_2024[[#All],[consecutivo]],Contrato5[[#This Row],[RCP]],[2]!COMPROMISOS_2024[[#All],[Total pagado]])</f>
        <v>#REF!</v>
      </c>
      <c r="AM303" s="154">
        <f ca="1">IFERROR(Contrato5[[#This Row],[Pagos]]/Contrato5[[#This Row],[VALOR CONTRATO]],0)</f>
        <v>0</v>
      </c>
      <c r="AN303" s="198" t="e">
        <f ca="1">+Contrato5[[#This Row],[VALOR CONTRATO]]-Contrato5[[#This Row],[Pagos]]</f>
        <v>#REF!</v>
      </c>
      <c r="AO303" s="147" t="e" cm="1">
        <f t="array" aca="1" ref="AO303" ca="1">_xlfn.XLOOKUP(Contrato5[[#This Row],[DOCUMENTO ]],[2]!PERSONAL_ACTIVO_2024[[#All],[Documento identidad]],[2]!PERSONAL_ACTIVO_2024[[#All],[Mail ]],0,0)</f>
        <v>#NAME?</v>
      </c>
      <c r="AP303" s="147" t="e" cm="1">
        <f t="array" aca="1" ref="AP303" ca="1">_xlfn.XLOOKUP(Contrato5[[#This Row],[DOCUMENTO]],[2]!PERSONAL_ACTIVO_2024[[#All],[Documento identidad]],[2]!PERSONAL_ACTIVO_2024[[#All],[Mail ]],0,0)</f>
        <v>#NAME?</v>
      </c>
      <c r="AQ303" s="439" cm="1">
        <f t="array" aca="1" ref="AQ303" ca="1">IF(ISBLANK(Contrato5[[#This Row],[DEPENDENCIA ]]),0,IFERROR(_xlfn.XLOOKUP(Contrato5[[#This Row],[DEPENDENCIA ]],[2]!PERSONAL_ACTIVO_2024[[#All],[Dependencia]],[2]!PERSONAL_ACTIVO_2024[[#All],[Mail ]],0,0),0))</f>
        <v>0</v>
      </c>
    </row>
    <row r="304" spans="1:16382" ht="34.5" customHeight="1">
      <c r="A304" s="147">
        <v>1166</v>
      </c>
      <c r="B304" s="124">
        <v>245</v>
      </c>
      <c r="C304" s="162" t="s">
        <v>2155</v>
      </c>
      <c r="D304" s="227" t="s">
        <v>583</v>
      </c>
      <c r="E304" s="440" t="s">
        <v>78</v>
      </c>
      <c r="F304" s="126" t="s">
        <v>1376</v>
      </c>
      <c r="G304" s="190" t="s">
        <v>1001</v>
      </c>
      <c r="H304" s="447">
        <v>1037591708</v>
      </c>
      <c r="I304" s="455">
        <v>2574842</v>
      </c>
      <c r="J304" s="437">
        <v>5922137</v>
      </c>
      <c r="K304" s="147"/>
      <c r="L304" s="438" t="s">
        <v>2564</v>
      </c>
      <c r="M304" s="194" t="s">
        <v>589</v>
      </c>
      <c r="N304" s="177" t="e" cm="1">
        <f t="array" aca="1" ref="N304" ca="1">_xlfn.XLOOKUP(Contrato5[[#This Row],[SUPERVISOR TITULAR]],[2]!PERSONAL_ACTIVO_2024[[#All],[Nombre completo]],[2]!PERSONAL_ACTIVO_2024[[#All],[Documento identidad]],"",0)</f>
        <v>#NAME?</v>
      </c>
      <c r="O304" s="194" t="s">
        <v>586</v>
      </c>
      <c r="P304" s="196" t="e" cm="1">
        <f t="array" aca="1" ref="P304" ca="1">_xlfn.XLOOKUP(Contrato5[[#This Row],[SUPERVISOR SUPLENTE ]],[2]!PERSONAL_ACTIVO_2024[[#All],[Nombre completo]],[2]!PERSONAL_ACTIVO_2024[[#All],[Documento identidad]],"",0)</f>
        <v>#NAME?</v>
      </c>
      <c r="Q304" s="170">
        <v>988</v>
      </c>
      <c r="R304" s="137" t="e" cm="1">
        <f t="array" aca="1" ref="R304" ca="1">_xlfn.XLOOKUP(Contrato5[[#This Row],[CDP]],[2]!DISPONIBILIDADES_2024[[#All],[consecutivo]],[2]!DISPONIBILIDADES_2024[[#All],[fecha_aprobacion]],"",0)</f>
        <v>#NAME?</v>
      </c>
      <c r="S304" s="138" t="e">
        <f>SUMIF([2]!DISPONIBILIDADES_2024[[#All],[consecutivo]],Contrato5[[#This Row],[CDP]],[2]!DISPONIBILIDADES_2024[[#All],[valor_total_rubro]])</f>
        <v>#REF!</v>
      </c>
      <c r="T304" s="139" t="e" cm="1">
        <f t="array" aca="1" ref="T304" ca="1">_xlfn.XLOOKUP(Contrato5[[#This Row],[CONTRATO]]&amp;Contrato5[[#This Row],[CDP]],[2]!Corr_Contr_CDP[[#All],[CONTRATO-CDP]],[2]!Corr_Contr_CDP[[#All],[CRP]],_xlfn.XLOOKUP(Contrato5[[#This Row],[CDP]],[2]!COMPROMISOS_2024[[#All],[disponibilidad]],[2]!COMPROMISOS_2024[[#All],[consecutivo]],"",0),0)</f>
        <v>#NAME?</v>
      </c>
      <c r="U304" s="140" t="e" cm="1">
        <f t="array" aca="1" ref="U304" ca="1">+_xlfn.XLOOKUP(Contrato5[[#This Row],[RCP]],[2]!COMPROMISOS_2024[[#All],[consecutivo]],[2]!COMPROMISOS_2024[[#All],[fecha_aprobacion]],"",0)</f>
        <v>#NAME?</v>
      </c>
      <c r="V304" s="141" t="e">
        <f ca="1">SUMIF([2]!COMPROMISOS_2024[[#All],[consecutivo]],Contrato5[[#This Row],[RCP]],[2]!COMPROMISOS_2024[[#All],[valor_total]])</f>
        <v>#REF!</v>
      </c>
      <c r="W304" s="415">
        <v>45572</v>
      </c>
      <c r="X304" s="415" t="s">
        <v>1045</v>
      </c>
      <c r="Y304" s="143">
        <v>45574</v>
      </c>
      <c r="Z304" s="262">
        <v>45643</v>
      </c>
      <c r="AA304" s="225"/>
      <c r="AB304" s="172" t="s">
        <v>2591</v>
      </c>
      <c r="AC304" s="126"/>
      <c r="AD304" s="211"/>
      <c r="AE304" s="147"/>
      <c r="AF304" s="148" t="str">
        <f>TEXT(LEFT(Contrato5[[#This Row],[CONTRATO]],3),"0")</f>
        <v>245</v>
      </c>
      <c r="AG304" s="148" t="str">
        <f>IF(LEN(Contrato5[[#This Row],[Contrato2]])=3,Contrato5[[#This Row],[Contrato2]],TEXT(Contrato5[[#This Row],[Contrato2]],"000"))</f>
        <v>245</v>
      </c>
      <c r="AH304" s="149">
        <f ca="1">IFERROR(_xlfn.DAYS(Contrato5[[#This Row],[Fecha Proyectada liquidación]],TODAY())/30,"")</f>
        <v>0.16666666666666666</v>
      </c>
      <c r="AI304" s="150">
        <f>+Contrato5[[#This Row],[FECHA TERMINACIÓN ]]+120</f>
        <v>45763</v>
      </c>
      <c r="AJ304" s="147"/>
      <c r="AK304" s="152" t="str">
        <f ca="1">IF(Contrato5[[#This Row],[FECHA TERMINACIÓN ]]&lt;TODAY(), "Terminado",IF(ISNUMBER(Contrato5[[#This Row],[Fecha Real de liquiidación ]]),"Liquidado",IF(Contrato5[[#This Row],[FECHA TERMINACIÓN ]]&gt;=TODAY(),"En ejecución","")))</f>
        <v>Terminado</v>
      </c>
      <c r="AL304" s="153" t="e">
        <f ca="1">SUMIF([2]!COMPROMISOS_2024[[#All],[consecutivo]],Contrato5[[#This Row],[RCP]],[2]!COMPROMISOS_2024[[#All],[Total pagado]])</f>
        <v>#REF!</v>
      </c>
      <c r="AM304" s="154">
        <f ca="1">IFERROR(Contrato5[[#This Row],[Pagos]]/Contrato5[[#This Row],[VALOR CONTRATO]],0)</f>
        <v>0</v>
      </c>
      <c r="AN304" s="198" t="e">
        <f ca="1">+Contrato5[[#This Row],[VALOR CONTRATO]]-Contrato5[[#This Row],[Pagos]]</f>
        <v>#REF!</v>
      </c>
      <c r="AO304" s="147" t="e" cm="1">
        <f t="array" aca="1" ref="AO304" ca="1">_xlfn.XLOOKUP(Contrato5[[#This Row],[DOCUMENTO ]],[2]!PERSONAL_ACTIVO_2024[[#All],[Documento identidad]],[2]!PERSONAL_ACTIVO_2024[[#All],[Mail ]],0,0)</f>
        <v>#NAME?</v>
      </c>
      <c r="AP304" s="147" t="e" cm="1">
        <f t="array" aca="1" ref="AP304" ca="1">_xlfn.XLOOKUP(Contrato5[[#This Row],[DOCUMENTO]],[2]!PERSONAL_ACTIVO_2024[[#All],[Documento identidad]],[2]!PERSONAL_ACTIVO_2024[[#All],[Mail ]],0,0)</f>
        <v>#NAME?</v>
      </c>
      <c r="AQ304" s="439" cm="1">
        <f t="array" aca="1" ref="AQ304" ca="1">IF(ISBLANK(Contrato5[[#This Row],[DEPENDENCIA ]]),0,IFERROR(_xlfn.XLOOKUP(Contrato5[[#This Row],[DEPENDENCIA ]],[2]!PERSONAL_ACTIVO_2024[[#All],[Dependencia]],[2]!PERSONAL_ACTIVO_2024[[#All],[Mail ]],0,0),0))</f>
        <v>0</v>
      </c>
    </row>
    <row r="305" spans="1:43" ht="34.5" customHeight="1">
      <c r="A305" s="125">
        <v>230</v>
      </c>
      <c r="B305" s="124">
        <v>246</v>
      </c>
      <c r="C305" s="162" t="s">
        <v>1653</v>
      </c>
      <c r="D305" s="227" t="s">
        <v>583</v>
      </c>
      <c r="E305" s="128" t="s">
        <v>94</v>
      </c>
      <c r="F305" s="126" t="s">
        <v>1376</v>
      </c>
      <c r="G305" s="190" t="s">
        <v>1003</v>
      </c>
      <c r="H305" s="447">
        <v>15440443</v>
      </c>
      <c r="I305" s="455">
        <v>2574842</v>
      </c>
      <c r="J305" s="456">
        <v>15449052</v>
      </c>
      <c r="K305" s="212"/>
      <c r="L305" s="438" t="s">
        <v>989</v>
      </c>
      <c r="M305" s="194" t="s">
        <v>600</v>
      </c>
      <c r="N305" s="177" t="e" cm="1">
        <f t="array" aca="1" ref="N305" ca="1">_xlfn.XLOOKUP(Contrato5[[#This Row],[SUPERVISOR TITULAR]],[2]!PERSONAL_ACTIVO_2024[[#All],[Nombre completo]],[2]!PERSONAL_ACTIVO_2024[[#All],[Documento identidad]],"",0)</f>
        <v>#NAME?</v>
      </c>
      <c r="O305" s="194" t="s">
        <v>592</v>
      </c>
      <c r="P305" s="196" t="e" cm="1">
        <f t="array" aca="1" ref="P305" ca="1">_xlfn.XLOOKUP(Contrato5[[#This Row],[SUPERVISOR SUPLENTE ]],[2]!PERSONAL_ACTIVO_2024[[#All],[Nombre completo]],[2]!PERSONAL_ACTIVO_2024[[#All],[Documento identidad]],"",0)</f>
        <v>#NAME?</v>
      </c>
      <c r="Q305" s="170">
        <v>158</v>
      </c>
      <c r="R305" s="137" t="e" cm="1">
        <f t="array" aca="1" ref="R305" ca="1">_xlfn.XLOOKUP(Contrato5[[#This Row],[CDP]],[2]!DISPONIBILIDADES_2024[[#All],[consecutivo]],[2]!DISPONIBILIDADES_2024[[#All],[fecha_aprobacion]],"",0)</f>
        <v>#NAME?</v>
      </c>
      <c r="S305" s="138" t="e">
        <f>SUMIF([2]!DISPONIBILIDADES_2024[[#All],[consecutivo]],Contrato5[[#This Row],[CDP]],[2]!DISPONIBILIDADES_2024[[#All],[valor_total_rubro]])</f>
        <v>#REF!</v>
      </c>
      <c r="T305" s="139" t="e" cm="1">
        <f t="array" aca="1" ref="T305" ca="1">_xlfn.XLOOKUP(Contrato5[[#This Row],[CONTRATO]]&amp;Contrato5[[#This Row],[CDP]],[2]!Corr_Contr_CDP[[#All],[CONTRATO-CDP]],[2]!Corr_Contr_CDP[[#All],[CRP]],_xlfn.XLOOKUP(Contrato5[[#This Row],[CDP]],[2]!COMPROMISOS_2024[[#All],[disponibilidad]],[2]!COMPROMISOS_2024[[#All],[consecutivo]],"",0),0)</f>
        <v>#NAME?</v>
      </c>
      <c r="U305" s="140" t="e" cm="1">
        <f t="array" aca="1" ref="U305" ca="1">+_xlfn.XLOOKUP(Contrato5[[#This Row],[RCP]],[2]!COMPROMISOS_2024[[#All],[consecutivo]],[2]!COMPROMISOS_2024[[#All],[fecha_aprobacion]],"",0)</f>
        <v>#NAME?</v>
      </c>
      <c r="V305" s="141" t="e">
        <f ca="1">SUMIF([2]!COMPROMISOS_2024[[#All],[consecutivo]],Contrato5[[#This Row],[RCP]],[2]!COMPROMISOS_2024[[#All],[valor_total]])</f>
        <v>#REF!</v>
      </c>
      <c r="W305" s="415">
        <v>45391</v>
      </c>
      <c r="X305" s="415" t="s">
        <v>1045</v>
      </c>
      <c r="Y305" s="143">
        <v>45391</v>
      </c>
      <c r="Z305" s="262">
        <v>45573</v>
      </c>
      <c r="AA305" s="183" t="s">
        <v>1002</v>
      </c>
      <c r="AB305" s="172" t="s">
        <v>640</v>
      </c>
      <c r="AC305" s="172"/>
      <c r="AD305" s="221">
        <v>202000004175</v>
      </c>
      <c r="AE305" s="147" t="s">
        <v>523</v>
      </c>
      <c r="AF305" s="148" t="str">
        <f>TEXT(LEFT(Contrato5[[#This Row],[CONTRATO]],3),"0")</f>
        <v>246</v>
      </c>
      <c r="AG305" s="148" t="str">
        <f>IF(LEN(Contrato5[[#This Row],[Contrato2]])=3,Contrato5[[#This Row],[Contrato2]],TEXT(Contrato5[[#This Row],[Contrato2]],"000"))</f>
        <v>246</v>
      </c>
      <c r="AH305" s="149">
        <f ca="1">IFERROR(_xlfn.DAYS(Contrato5[[#This Row],[Fecha Proyectada liquidación]],TODAY())/30,"")</f>
        <v>-2.1666666666666665</v>
      </c>
      <c r="AI305" s="150">
        <f>+Contrato5[[#This Row],[FECHA TERMINACIÓN ]]+120</f>
        <v>45693</v>
      </c>
      <c r="AJ305" s="147"/>
      <c r="AK305" s="152" t="str">
        <f ca="1">IF(Contrato5[[#This Row],[FECHA TERMINACIÓN ]]&lt;TODAY(), "Terminado",IF(ISNUMBER(Contrato5[[#This Row],[Fecha Real de liquiidación ]]),"Liquidado",IF(Contrato5[[#This Row],[FECHA TERMINACIÓN ]]&gt;=TODAY(),"En ejecución","")))</f>
        <v>Terminado</v>
      </c>
      <c r="AL305" s="153" t="e">
        <f ca="1">SUMIF([2]!COMPROMISOS_2024[[#All],[consecutivo]],Contrato5[[#This Row],[RCP]],[2]!COMPROMISOS_2024[[#All],[Total pagado]])</f>
        <v>#REF!</v>
      </c>
      <c r="AM305" s="154">
        <f ca="1">IFERROR(Contrato5[[#This Row],[Pagos]]/Contrato5[[#This Row],[VALOR CONTRATO]],0)</f>
        <v>0</v>
      </c>
      <c r="AN305" s="198" t="e">
        <f ca="1">+Contrato5[[#This Row],[VALOR CONTRATO]]-Contrato5[[#This Row],[Pagos]]</f>
        <v>#REF!</v>
      </c>
      <c r="AO305" s="147" t="e" cm="1">
        <f t="array" aca="1" ref="AO305" ca="1">_xlfn.XLOOKUP(Contrato5[[#This Row],[DOCUMENTO ]],[2]!PERSONAL_ACTIVO_2024[[#All],[Documento identidad]],[2]!PERSONAL_ACTIVO_2024[[#All],[Mail ]],0,0)</f>
        <v>#NAME?</v>
      </c>
      <c r="AP305" s="147" t="e" cm="1">
        <f t="array" aca="1" ref="AP305" ca="1">_xlfn.XLOOKUP(Contrato5[[#This Row],[DOCUMENTO]],[2]!PERSONAL_ACTIVO_2024[[#All],[Documento identidad]],[2]!PERSONAL_ACTIVO_2024[[#All],[Mail ]],0,0)</f>
        <v>#NAME?</v>
      </c>
      <c r="AQ305" s="439" cm="1">
        <f t="array" aca="1" ref="AQ305" ca="1">IF(ISBLANK(Contrato5[[#This Row],[DEPENDENCIA ]]),0,IFERROR(_xlfn.XLOOKUP(Contrato5[[#This Row],[DEPENDENCIA ]],[2]!PERSONAL_ACTIVO_2024[[#All],[Dependencia]],[2]!PERSONAL_ACTIVO_2024[[#All],[Mail ]],0,0),0))</f>
        <v>0</v>
      </c>
    </row>
    <row r="306" spans="1:43" ht="34.5" customHeight="1">
      <c r="A306" s="147">
        <v>1167</v>
      </c>
      <c r="B306" s="124">
        <v>246</v>
      </c>
      <c r="C306" s="162" t="s">
        <v>2156</v>
      </c>
      <c r="D306" s="227" t="s">
        <v>583</v>
      </c>
      <c r="E306" s="440" t="s">
        <v>78</v>
      </c>
      <c r="F306" s="126" t="s">
        <v>1376</v>
      </c>
      <c r="G306" s="190" t="s">
        <v>1003</v>
      </c>
      <c r="H306" s="447">
        <v>15440443</v>
      </c>
      <c r="I306" s="455">
        <v>2574842</v>
      </c>
      <c r="J306" s="437">
        <v>5922137</v>
      </c>
      <c r="K306" s="147"/>
      <c r="L306" s="438" t="s">
        <v>2564</v>
      </c>
      <c r="M306" s="194" t="s">
        <v>600</v>
      </c>
      <c r="N306" s="177" t="e" cm="1">
        <f t="array" aca="1" ref="N306" ca="1">_xlfn.XLOOKUP(Contrato5[[#This Row],[SUPERVISOR TITULAR]],[2]!PERSONAL_ACTIVO_2024[[#All],[Nombre completo]],[2]!PERSONAL_ACTIVO_2024[[#All],[Documento identidad]],"",0)</f>
        <v>#NAME?</v>
      </c>
      <c r="O306" s="194" t="s">
        <v>592</v>
      </c>
      <c r="P306" s="196" t="e" cm="1">
        <f t="array" aca="1" ref="P306" ca="1">_xlfn.XLOOKUP(Contrato5[[#This Row],[SUPERVISOR SUPLENTE ]],[2]!PERSONAL_ACTIVO_2024[[#All],[Nombre completo]],[2]!PERSONAL_ACTIVO_2024[[#All],[Documento identidad]],"",0)</f>
        <v>#NAME?</v>
      </c>
      <c r="Q306" s="170">
        <v>989</v>
      </c>
      <c r="R306" s="137" t="e" cm="1">
        <f t="array" aca="1" ref="R306" ca="1">_xlfn.XLOOKUP(Contrato5[[#This Row],[CDP]],[2]!DISPONIBILIDADES_2024[[#All],[consecutivo]],[2]!DISPONIBILIDADES_2024[[#All],[fecha_aprobacion]],"",0)</f>
        <v>#NAME?</v>
      </c>
      <c r="S306" s="138" t="e">
        <f>SUMIF([2]!DISPONIBILIDADES_2024[[#All],[consecutivo]],Contrato5[[#This Row],[CDP]],[2]!DISPONIBILIDADES_2024[[#All],[valor_total_rubro]])</f>
        <v>#REF!</v>
      </c>
      <c r="T306" s="139" t="e" cm="1">
        <f t="array" aca="1" ref="T306" ca="1">_xlfn.XLOOKUP(Contrato5[[#This Row],[CONTRATO]]&amp;Contrato5[[#This Row],[CDP]],[2]!Corr_Contr_CDP[[#All],[CONTRATO-CDP]],[2]!Corr_Contr_CDP[[#All],[CRP]],_xlfn.XLOOKUP(Contrato5[[#This Row],[CDP]],[2]!COMPROMISOS_2024[[#All],[disponibilidad]],[2]!COMPROMISOS_2024[[#All],[consecutivo]],"",0),0)</f>
        <v>#NAME?</v>
      </c>
      <c r="U306" s="140" t="e" cm="1">
        <f t="array" aca="1" ref="U306" ca="1">+_xlfn.XLOOKUP(Contrato5[[#This Row],[RCP]],[2]!COMPROMISOS_2024[[#All],[consecutivo]],[2]!COMPROMISOS_2024[[#All],[fecha_aprobacion]],"",0)</f>
        <v>#NAME?</v>
      </c>
      <c r="V306" s="141" t="e">
        <f ca="1">SUMIF([2]!COMPROMISOS_2024[[#All],[consecutivo]],Contrato5[[#This Row],[RCP]],[2]!COMPROMISOS_2024[[#All],[valor_total]])</f>
        <v>#REF!</v>
      </c>
      <c r="W306" s="415">
        <v>45572</v>
      </c>
      <c r="X306" s="415" t="s">
        <v>1045</v>
      </c>
      <c r="Y306" s="143">
        <v>45574</v>
      </c>
      <c r="Z306" s="262">
        <v>45643</v>
      </c>
      <c r="AA306" s="225"/>
      <c r="AB306" s="172" t="s">
        <v>2591</v>
      </c>
      <c r="AC306" s="127"/>
      <c r="AD306" s="211"/>
      <c r="AE306" s="147"/>
      <c r="AF306" s="148" t="str">
        <f>TEXT(LEFT(Contrato5[[#This Row],[CONTRATO]],3),"0")</f>
        <v>246</v>
      </c>
      <c r="AG306" s="148" t="str">
        <f>IF(LEN(Contrato5[[#This Row],[Contrato2]])=3,Contrato5[[#This Row],[Contrato2]],TEXT(Contrato5[[#This Row],[Contrato2]],"000"))</f>
        <v>246</v>
      </c>
      <c r="AH306" s="149">
        <f ca="1">IFERROR(_xlfn.DAYS(Contrato5[[#This Row],[Fecha Proyectada liquidación]],TODAY())/30,"")</f>
        <v>0.16666666666666666</v>
      </c>
      <c r="AI306" s="150">
        <f>+Contrato5[[#This Row],[FECHA TERMINACIÓN ]]+120</f>
        <v>45763</v>
      </c>
      <c r="AJ306" s="147"/>
      <c r="AK306" s="152" t="str">
        <f ca="1">IF(Contrato5[[#This Row],[FECHA TERMINACIÓN ]]&lt;TODAY(), "Terminado",IF(ISNUMBER(Contrato5[[#This Row],[Fecha Real de liquiidación ]]),"Liquidado",IF(Contrato5[[#This Row],[FECHA TERMINACIÓN ]]&gt;=TODAY(),"En ejecución","")))</f>
        <v>Terminado</v>
      </c>
      <c r="AL306" s="153" t="e">
        <f ca="1">SUMIF([2]!COMPROMISOS_2024[[#All],[consecutivo]],Contrato5[[#This Row],[RCP]],[2]!COMPROMISOS_2024[[#All],[Total pagado]])</f>
        <v>#REF!</v>
      </c>
      <c r="AM306" s="154">
        <f ca="1">IFERROR(Contrato5[[#This Row],[Pagos]]/Contrato5[[#This Row],[VALOR CONTRATO]],0)</f>
        <v>0</v>
      </c>
      <c r="AN306" s="198" t="e">
        <f ca="1">+Contrato5[[#This Row],[VALOR CONTRATO]]-Contrato5[[#This Row],[Pagos]]</f>
        <v>#REF!</v>
      </c>
      <c r="AO306" s="147" t="e" cm="1">
        <f t="array" aca="1" ref="AO306" ca="1">_xlfn.XLOOKUP(Contrato5[[#This Row],[DOCUMENTO ]],[2]!PERSONAL_ACTIVO_2024[[#All],[Documento identidad]],[2]!PERSONAL_ACTIVO_2024[[#All],[Mail ]],0,0)</f>
        <v>#NAME?</v>
      </c>
      <c r="AP306" s="147" t="e" cm="1">
        <f t="array" aca="1" ref="AP306" ca="1">_xlfn.XLOOKUP(Contrato5[[#This Row],[DOCUMENTO]],[2]!PERSONAL_ACTIVO_2024[[#All],[Documento identidad]],[2]!PERSONAL_ACTIVO_2024[[#All],[Mail ]],0,0)</f>
        <v>#NAME?</v>
      </c>
      <c r="AQ306" s="439" cm="1">
        <f t="array" aca="1" ref="AQ306" ca="1">IF(ISBLANK(Contrato5[[#This Row],[DEPENDENCIA ]]),0,IFERROR(_xlfn.XLOOKUP(Contrato5[[#This Row],[DEPENDENCIA ]],[2]!PERSONAL_ACTIVO_2024[[#All],[Dependencia]],[2]!PERSONAL_ACTIVO_2024[[#All],[Mail ]],0,0),0))</f>
        <v>0</v>
      </c>
    </row>
    <row r="307" spans="1:43" ht="34.5" customHeight="1">
      <c r="A307" s="125">
        <v>255</v>
      </c>
      <c r="B307" s="124">
        <v>247</v>
      </c>
      <c r="C307" s="162" t="s">
        <v>1677</v>
      </c>
      <c r="D307" s="227" t="s">
        <v>583</v>
      </c>
      <c r="E307" s="128" t="s">
        <v>94</v>
      </c>
      <c r="F307" s="126" t="s">
        <v>1376</v>
      </c>
      <c r="G307" s="190" t="s">
        <v>1004</v>
      </c>
      <c r="H307" s="447">
        <v>700338749</v>
      </c>
      <c r="I307" s="455">
        <v>2574842</v>
      </c>
      <c r="J307" s="456">
        <v>15449052</v>
      </c>
      <c r="K307" s="131"/>
      <c r="L307" s="438" t="s">
        <v>989</v>
      </c>
      <c r="M307" s="194" t="s">
        <v>589</v>
      </c>
      <c r="N307" s="177" t="e" cm="1">
        <f t="array" aca="1" ref="N307" ca="1">_xlfn.XLOOKUP(Contrato5[[#This Row],[SUPERVISOR TITULAR]],[2]!PERSONAL_ACTIVO_2024[[#All],[Nombre completo]],[2]!PERSONAL_ACTIVO_2024[[#All],[Documento identidad]],"",0)</f>
        <v>#NAME?</v>
      </c>
      <c r="O307" s="194" t="s">
        <v>586</v>
      </c>
      <c r="P307" s="196" t="e" cm="1">
        <f t="array" aca="1" ref="P307" ca="1">_xlfn.XLOOKUP(Contrato5[[#This Row],[SUPERVISOR SUPLENTE ]],[2]!PERSONAL_ACTIVO_2024[[#All],[Nombre completo]],[2]!PERSONAL_ACTIVO_2024[[#All],[Documento identidad]],"",0)</f>
        <v>#NAME?</v>
      </c>
      <c r="Q307" s="170">
        <v>183</v>
      </c>
      <c r="R307" s="137" t="e" cm="1">
        <f t="array" aca="1" ref="R307" ca="1">_xlfn.XLOOKUP(Contrato5[[#This Row],[CDP]],[2]!DISPONIBILIDADES_2024[[#All],[consecutivo]],[2]!DISPONIBILIDADES_2024[[#All],[fecha_aprobacion]],"",0)</f>
        <v>#NAME?</v>
      </c>
      <c r="S307" s="138" t="e">
        <f>SUMIF([2]!DISPONIBILIDADES_2024[[#All],[consecutivo]],Contrato5[[#This Row],[CDP]],[2]!DISPONIBILIDADES_2024[[#All],[valor_total_rubro]])</f>
        <v>#REF!</v>
      </c>
      <c r="T307" s="139" t="e" cm="1">
        <f t="array" aca="1" ref="T307" ca="1">_xlfn.XLOOKUP(Contrato5[[#This Row],[CONTRATO]]&amp;Contrato5[[#This Row],[CDP]],[2]!Corr_Contr_CDP[[#All],[CONTRATO-CDP]],[2]!Corr_Contr_CDP[[#All],[CRP]],_xlfn.XLOOKUP(Contrato5[[#This Row],[CDP]],[2]!COMPROMISOS_2024[[#All],[disponibilidad]],[2]!COMPROMISOS_2024[[#All],[consecutivo]],"",0),0)</f>
        <v>#NAME?</v>
      </c>
      <c r="U307" s="140" t="e" cm="1">
        <f t="array" aca="1" ref="U307" ca="1">+_xlfn.XLOOKUP(Contrato5[[#This Row],[RCP]],[2]!COMPROMISOS_2024[[#All],[consecutivo]],[2]!COMPROMISOS_2024[[#All],[fecha_aprobacion]],"",0)</f>
        <v>#NAME?</v>
      </c>
      <c r="V307" s="141" t="e">
        <f ca="1">SUMIF([2]!COMPROMISOS_2024[[#All],[consecutivo]],Contrato5[[#This Row],[RCP]],[2]!COMPROMISOS_2024[[#All],[valor_total]])</f>
        <v>#REF!</v>
      </c>
      <c r="W307" s="415">
        <v>45390</v>
      </c>
      <c r="X307" s="415" t="s">
        <v>1045</v>
      </c>
      <c r="Y307" s="143">
        <v>45391</v>
      </c>
      <c r="Z307" s="262">
        <v>45575</v>
      </c>
      <c r="AA307" s="183" t="s">
        <v>1002</v>
      </c>
      <c r="AB307" s="172" t="s">
        <v>640</v>
      </c>
      <c r="AC307" s="172"/>
      <c r="AD307" s="211">
        <v>202000004176</v>
      </c>
      <c r="AE307" s="147" t="s">
        <v>523</v>
      </c>
      <c r="AF307" s="148" t="str">
        <f>TEXT(LEFT(Contrato5[[#This Row],[CONTRATO]],3),"0")</f>
        <v>247</v>
      </c>
      <c r="AG307" s="148" t="str">
        <f>IF(LEN(Contrato5[[#This Row],[Contrato2]])=3,Contrato5[[#This Row],[Contrato2]],TEXT(Contrato5[[#This Row],[Contrato2]],"000"))</f>
        <v>247</v>
      </c>
      <c r="AH307" s="149">
        <f ca="1">IFERROR(_xlfn.DAYS(Contrato5[[#This Row],[Fecha Proyectada liquidación]],TODAY())/30,"")</f>
        <v>-2.1</v>
      </c>
      <c r="AI307" s="150">
        <f>+Contrato5[[#This Row],[FECHA TERMINACIÓN ]]+120</f>
        <v>45695</v>
      </c>
      <c r="AJ307" s="147"/>
      <c r="AK307" s="152" t="str">
        <f ca="1">IF(Contrato5[[#This Row],[FECHA TERMINACIÓN ]]&lt;TODAY(), "Terminado",IF(ISNUMBER(Contrato5[[#This Row],[Fecha Real de liquiidación ]]),"Liquidado",IF(Contrato5[[#This Row],[FECHA TERMINACIÓN ]]&gt;=TODAY(),"En ejecución","")))</f>
        <v>Terminado</v>
      </c>
      <c r="AL307" s="153" t="e">
        <f ca="1">SUMIF([2]!COMPROMISOS_2024[[#All],[consecutivo]],Contrato5[[#This Row],[RCP]],[2]!COMPROMISOS_2024[[#All],[Total pagado]])</f>
        <v>#REF!</v>
      </c>
      <c r="AM307" s="154">
        <f ca="1">IFERROR(Contrato5[[#This Row],[Pagos]]/Contrato5[[#This Row],[VALOR CONTRATO]],0)</f>
        <v>0</v>
      </c>
      <c r="AN307" s="198" t="e">
        <f ca="1">+Contrato5[[#This Row],[VALOR CONTRATO]]-Contrato5[[#This Row],[Pagos]]</f>
        <v>#REF!</v>
      </c>
      <c r="AO307" s="147" t="e" cm="1">
        <f t="array" aca="1" ref="AO307" ca="1">_xlfn.XLOOKUP(Contrato5[[#This Row],[DOCUMENTO ]],[2]!PERSONAL_ACTIVO_2024[[#All],[Documento identidad]],[2]!PERSONAL_ACTIVO_2024[[#All],[Mail ]],0,0)</f>
        <v>#NAME?</v>
      </c>
      <c r="AP307" s="147" t="e" cm="1">
        <f t="array" aca="1" ref="AP307" ca="1">_xlfn.XLOOKUP(Contrato5[[#This Row],[DOCUMENTO]],[2]!PERSONAL_ACTIVO_2024[[#All],[Documento identidad]],[2]!PERSONAL_ACTIVO_2024[[#All],[Mail ]],0,0)</f>
        <v>#NAME?</v>
      </c>
      <c r="AQ307" s="439" cm="1">
        <f t="array" aca="1" ref="AQ307" ca="1">IF(ISBLANK(Contrato5[[#This Row],[DEPENDENCIA ]]),0,IFERROR(_xlfn.XLOOKUP(Contrato5[[#This Row],[DEPENDENCIA ]],[2]!PERSONAL_ACTIVO_2024[[#All],[Dependencia]],[2]!PERSONAL_ACTIVO_2024[[#All],[Mail ]],0,0),0))</f>
        <v>0</v>
      </c>
    </row>
    <row r="308" spans="1:43" ht="34.5" customHeight="1">
      <c r="A308" s="147">
        <v>1168</v>
      </c>
      <c r="B308" s="124">
        <v>247</v>
      </c>
      <c r="C308" s="162" t="s">
        <v>2157</v>
      </c>
      <c r="D308" s="227" t="s">
        <v>583</v>
      </c>
      <c r="E308" s="440" t="s">
        <v>78</v>
      </c>
      <c r="F308" s="126" t="s">
        <v>1376</v>
      </c>
      <c r="G308" s="190" t="s">
        <v>1004</v>
      </c>
      <c r="H308" s="447">
        <v>700338749</v>
      </c>
      <c r="I308" s="455">
        <v>2574842</v>
      </c>
      <c r="J308" s="437">
        <v>5922137</v>
      </c>
      <c r="K308" s="147"/>
      <c r="L308" s="438" t="s">
        <v>2564</v>
      </c>
      <c r="M308" s="194" t="s">
        <v>589</v>
      </c>
      <c r="N308" s="177" t="e" cm="1">
        <f t="array" aca="1" ref="N308" ca="1">_xlfn.XLOOKUP(Contrato5[[#This Row],[SUPERVISOR TITULAR]],[2]!PERSONAL_ACTIVO_2024[[#All],[Nombre completo]],[2]!PERSONAL_ACTIVO_2024[[#All],[Documento identidad]],"",0)</f>
        <v>#NAME?</v>
      </c>
      <c r="O308" s="194" t="s">
        <v>586</v>
      </c>
      <c r="P308" s="196" t="e" cm="1">
        <f t="array" aca="1" ref="P308" ca="1">_xlfn.XLOOKUP(Contrato5[[#This Row],[SUPERVISOR SUPLENTE ]],[2]!PERSONAL_ACTIVO_2024[[#All],[Nombre completo]],[2]!PERSONAL_ACTIVO_2024[[#All],[Documento identidad]],"",0)</f>
        <v>#NAME?</v>
      </c>
      <c r="Q308" s="170">
        <v>990</v>
      </c>
      <c r="R308" s="137" t="e" cm="1">
        <f t="array" aca="1" ref="R308" ca="1">_xlfn.XLOOKUP(Contrato5[[#This Row],[CDP]],[2]!DISPONIBILIDADES_2024[[#All],[consecutivo]],[2]!DISPONIBILIDADES_2024[[#All],[fecha_aprobacion]],"",0)</f>
        <v>#NAME?</v>
      </c>
      <c r="S308" s="138" t="e">
        <f>SUMIF([2]!DISPONIBILIDADES_2024[[#All],[consecutivo]],Contrato5[[#This Row],[CDP]],[2]!DISPONIBILIDADES_2024[[#All],[valor_total_rubro]])</f>
        <v>#REF!</v>
      </c>
      <c r="T308" s="139" t="e" cm="1">
        <f t="array" aca="1" ref="T308" ca="1">_xlfn.XLOOKUP(Contrato5[[#This Row],[CONTRATO]]&amp;Contrato5[[#This Row],[CDP]],[2]!Corr_Contr_CDP[[#All],[CONTRATO-CDP]],[2]!Corr_Contr_CDP[[#All],[CRP]],_xlfn.XLOOKUP(Contrato5[[#This Row],[CDP]],[2]!COMPROMISOS_2024[[#All],[disponibilidad]],[2]!COMPROMISOS_2024[[#All],[consecutivo]],"",0),0)</f>
        <v>#NAME?</v>
      </c>
      <c r="U308" s="140" t="e" cm="1">
        <f t="array" aca="1" ref="U308" ca="1">+_xlfn.XLOOKUP(Contrato5[[#This Row],[RCP]],[2]!COMPROMISOS_2024[[#All],[consecutivo]],[2]!COMPROMISOS_2024[[#All],[fecha_aprobacion]],"",0)</f>
        <v>#NAME?</v>
      </c>
      <c r="V308" s="141" t="e">
        <f ca="1">SUMIF([2]!COMPROMISOS_2024[[#All],[consecutivo]],Contrato5[[#This Row],[RCP]],[2]!COMPROMISOS_2024[[#All],[valor_total]])</f>
        <v>#REF!</v>
      </c>
      <c r="W308" s="415">
        <v>45573</v>
      </c>
      <c r="X308" s="415" t="s">
        <v>1045</v>
      </c>
      <c r="Y308" s="143">
        <v>45576</v>
      </c>
      <c r="Z308" s="262">
        <v>45643</v>
      </c>
      <c r="AA308" s="225"/>
      <c r="AB308" s="172" t="s">
        <v>2585</v>
      </c>
      <c r="AC308" s="127"/>
      <c r="AD308" s="211"/>
      <c r="AE308" s="147"/>
      <c r="AF308" s="148" t="str">
        <f>TEXT(LEFT(Contrato5[[#This Row],[CONTRATO]],3),"0")</f>
        <v>247</v>
      </c>
      <c r="AG308" s="148" t="str">
        <f>IF(LEN(Contrato5[[#This Row],[Contrato2]])=3,Contrato5[[#This Row],[Contrato2]],TEXT(Contrato5[[#This Row],[Contrato2]],"000"))</f>
        <v>247</v>
      </c>
      <c r="AH308" s="149">
        <f ca="1">IFERROR(_xlfn.DAYS(Contrato5[[#This Row],[Fecha Proyectada liquidación]],TODAY())/30,"")</f>
        <v>0.16666666666666666</v>
      </c>
      <c r="AI308" s="150">
        <f>+Contrato5[[#This Row],[FECHA TERMINACIÓN ]]+120</f>
        <v>45763</v>
      </c>
      <c r="AJ308" s="147"/>
      <c r="AK308" s="152" t="str">
        <f ca="1">IF(Contrato5[[#This Row],[FECHA TERMINACIÓN ]]&lt;TODAY(), "Terminado",IF(ISNUMBER(Contrato5[[#This Row],[Fecha Real de liquiidación ]]),"Liquidado",IF(Contrato5[[#This Row],[FECHA TERMINACIÓN ]]&gt;=TODAY(),"En ejecución","")))</f>
        <v>Terminado</v>
      </c>
      <c r="AL308" s="153" t="e">
        <f ca="1">SUMIF([2]!COMPROMISOS_2024[[#All],[consecutivo]],Contrato5[[#This Row],[RCP]],[2]!COMPROMISOS_2024[[#All],[Total pagado]])</f>
        <v>#REF!</v>
      </c>
      <c r="AM308" s="154">
        <f ca="1">IFERROR(Contrato5[[#This Row],[Pagos]]/Contrato5[[#This Row],[VALOR CONTRATO]],0)</f>
        <v>0</v>
      </c>
      <c r="AN308" s="198" t="e">
        <f ca="1">+Contrato5[[#This Row],[VALOR CONTRATO]]-Contrato5[[#This Row],[Pagos]]</f>
        <v>#REF!</v>
      </c>
      <c r="AO308" s="147" t="e" cm="1">
        <f t="array" aca="1" ref="AO308" ca="1">_xlfn.XLOOKUP(Contrato5[[#This Row],[DOCUMENTO ]],[2]!PERSONAL_ACTIVO_2024[[#All],[Documento identidad]],[2]!PERSONAL_ACTIVO_2024[[#All],[Mail ]],0,0)</f>
        <v>#NAME?</v>
      </c>
      <c r="AP308" s="147" t="e" cm="1">
        <f t="array" aca="1" ref="AP308" ca="1">_xlfn.XLOOKUP(Contrato5[[#This Row],[DOCUMENTO]],[2]!PERSONAL_ACTIVO_2024[[#All],[Documento identidad]],[2]!PERSONAL_ACTIVO_2024[[#All],[Mail ]],0,0)</f>
        <v>#NAME?</v>
      </c>
      <c r="AQ308" s="439" cm="1">
        <f t="array" aca="1" ref="AQ308" ca="1">IF(ISBLANK(Contrato5[[#This Row],[DEPENDENCIA ]]),0,IFERROR(_xlfn.XLOOKUP(Contrato5[[#This Row],[DEPENDENCIA ]],[2]!PERSONAL_ACTIVO_2024[[#All],[Dependencia]],[2]!PERSONAL_ACTIVO_2024[[#All],[Mail ]],0,0),0))</f>
        <v>0</v>
      </c>
    </row>
    <row r="309" spans="1:43" ht="34.5" customHeight="1">
      <c r="A309" s="125">
        <v>267</v>
      </c>
      <c r="B309" s="124">
        <v>248</v>
      </c>
      <c r="C309" s="162" t="s">
        <v>2592</v>
      </c>
      <c r="D309" s="227" t="s">
        <v>583</v>
      </c>
      <c r="E309" s="128" t="s">
        <v>94</v>
      </c>
      <c r="F309" s="126" t="s">
        <v>1376</v>
      </c>
      <c r="G309" s="190" t="s">
        <v>1005</v>
      </c>
      <c r="H309" s="447">
        <v>2470571</v>
      </c>
      <c r="I309" s="455">
        <v>2574842</v>
      </c>
      <c r="J309" s="456">
        <v>7724526</v>
      </c>
      <c r="K309" s="212"/>
      <c r="L309" s="438" t="s">
        <v>989</v>
      </c>
      <c r="M309" s="194" t="s">
        <v>589</v>
      </c>
      <c r="N309" s="177" t="e" cm="1">
        <f t="array" aca="1" ref="N309" ca="1">_xlfn.XLOOKUP(Contrato5[[#This Row],[SUPERVISOR TITULAR]],[2]!PERSONAL_ACTIVO_2024[[#All],[Nombre completo]],[2]!PERSONAL_ACTIVO_2024[[#All],[Documento identidad]],"",0)</f>
        <v>#NAME?</v>
      </c>
      <c r="O309" s="194" t="s">
        <v>586</v>
      </c>
      <c r="P309" s="196" t="e" cm="1">
        <f t="array" aca="1" ref="P309" ca="1">_xlfn.XLOOKUP(Contrato5[[#This Row],[SUPERVISOR SUPLENTE ]],[2]!PERSONAL_ACTIVO_2024[[#All],[Nombre completo]],[2]!PERSONAL_ACTIVO_2024[[#All],[Documento identidad]],"",0)</f>
        <v>#NAME?</v>
      </c>
      <c r="Q309" s="170">
        <v>351</v>
      </c>
      <c r="R309" s="137" t="e" cm="1">
        <f t="array" aca="1" ref="R309" ca="1">_xlfn.XLOOKUP(Contrato5[[#This Row],[CDP]],[2]!DISPONIBILIDADES_2024[[#All],[consecutivo]],[2]!DISPONIBILIDADES_2024[[#All],[fecha_aprobacion]],"",0)</f>
        <v>#NAME?</v>
      </c>
      <c r="S309" s="138" t="e">
        <f>SUMIF([2]!DISPONIBILIDADES_2024[[#All],[consecutivo]],Contrato5[[#This Row],[CDP]],[2]!DISPONIBILIDADES_2024[[#All],[valor_total_rubro]])</f>
        <v>#REF!</v>
      </c>
      <c r="T309" s="139" t="e" cm="1">
        <f t="array" aca="1" ref="T309" ca="1">_xlfn.XLOOKUP(Contrato5[[#This Row],[CONTRATO]]&amp;Contrato5[[#This Row],[CDP]],[2]!Corr_Contr_CDP[[#All],[CONTRATO-CDP]],[2]!Corr_Contr_CDP[[#All],[CRP]],_xlfn.XLOOKUP(Contrato5[[#This Row],[CDP]],[2]!COMPROMISOS_2024[[#All],[disponibilidad]],[2]!COMPROMISOS_2024[[#All],[consecutivo]],"",0),0)</f>
        <v>#NAME?</v>
      </c>
      <c r="U309" s="140" t="e" cm="1">
        <f t="array" aca="1" ref="U309" ca="1">+_xlfn.XLOOKUP(Contrato5[[#This Row],[RCP]],[2]!COMPROMISOS_2024[[#All],[consecutivo]],[2]!COMPROMISOS_2024[[#All],[fecha_aprobacion]],"",0)</f>
        <v>#NAME?</v>
      </c>
      <c r="V309" s="141" t="e">
        <f ca="1">SUMIF([2]!COMPROMISOS_2024[[#All],[consecutivo]],Contrato5[[#This Row],[RCP]],[2]!COMPROMISOS_2024[[#All],[valor_total]])</f>
        <v>#REF!</v>
      </c>
      <c r="W309" s="415">
        <v>45390</v>
      </c>
      <c r="X309" s="415" t="s">
        <v>1045</v>
      </c>
      <c r="Y309" s="143">
        <v>45391</v>
      </c>
      <c r="Z309" s="262">
        <v>45481</v>
      </c>
      <c r="AA309" s="183" t="s">
        <v>1002</v>
      </c>
      <c r="AB309" s="227" t="s">
        <v>529</v>
      </c>
      <c r="AC309" s="172"/>
      <c r="AD309" s="211">
        <v>202000004177</v>
      </c>
      <c r="AE309" s="147" t="s">
        <v>523</v>
      </c>
      <c r="AF309" s="148" t="str">
        <f>TEXT(LEFT(Contrato5[[#This Row],[CONTRATO]],3),"0")</f>
        <v>248</v>
      </c>
      <c r="AG309" s="148" t="str">
        <f>IF(LEN(Contrato5[[#This Row],[Contrato2]])=3,Contrato5[[#This Row],[Contrato2]],TEXT(Contrato5[[#This Row],[Contrato2]],"000"))</f>
        <v>248</v>
      </c>
      <c r="AH309" s="149">
        <f ca="1">IFERROR(_xlfn.DAYS(Contrato5[[#This Row],[Fecha Proyectada liquidación]],TODAY())/30,"")</f>
        <v>-5.2333333333333334</v>
      </c>
      <c r="AI309" s="150">
        <f>+Contrato5[[#This Row],[FECHA TERMINACIÓN ]]+120</f>
        <v>45601</v>
      </c>
      <c r="AJ309" s="147"/>
      <c r="AK309" s="152" t="str">
        <f ca="1">IF(Contrato5[[#This Row],[FECHA TERMINACIÓN ]]&lt;TODAY(), "Terminado",IF(ISNUMBER(Contrato5[[#This Row],[Fecha Real de liquiidación ]]),"Liquidado",IF(Contrato5[[#This Row],[FECHA TERMINACIÓN ]]&gt;=TODAY(),"En ejecución","")))</f>
        <v>Terminado</v>
      </c>
      <c r="AL309" s="153" t="e">
        <f ca="1">SUMIF([2]!COMPROMISOS_2024[[#All],[consecutivo]],Contrato5[[#This Row],[RCP]],[2]!COMPROMISOS_2024[[#All],[Total pagado]])</f>
        <v>#REF!</v>
      </c>
      <c r="AM309" s="154">
        <f ca="1">IFERROR(Contrato5[[#This Row],[Pagos]]/Contrato5[[#This Row],[VALOR CONTRATO]],0)</f>
        <v>0</v>
      </c>
      <c r="AN309" s="198" t="e">
        <f ca="1">+Contrato5[[#This Row],[VALOR CONTRATO]]-Contrato5[[#This Row],[Pagos]]</f>
        <v>#REF!</v>
      </c>
      <c r="AO309" s="147" t="e" cm="1">
        <f t="array" aca="1" ref="AO309" ca="1">_xlfn.XLOOKUP(Contrato5[[#This Row],[DOCUMENTO ]],[2]!PERSONAL_ACTIVO_2024[[#All],[Documento identidad]],[2]!PERSONAL_ACTIVO_2024[[#All],[Mail ]],0,0)</f>
        <v>#NAME?</v>
      </c>
      <c r="AP309" s="147" t="e" cm="1">
        <f t="array" aca="1" ref="AP309" ca="1">_xlfn.XLOOKUP(Contrato5[[#This Row],[DOCUMENTO]],[2]!PERSONAL_ACTIVO_2024[[#All],[Documento identidad]],[2]!PERSONAL_ACTIVO_2024[[#All],[Mail ]],0,0)</f>
        <v>#NAME?</v>
      </c>
      <c r="AQ309" s="439" cm="1">
        <f t="array" aca="1" ref="AQ309" ca="1">IF(ISBLANK(Contrato5[[#This Row],[DEPENDENCIA ]]),0,IFERROR(_xlfn.XLOOKUP(Contrato5[[#This Row],[DEPENDENCIA ]],[2]!PERSONAL_ACTIVO_2024[[#All],[Dependencia]],[2]!PERSONAL_ACTIVO_2024[[#All],[Mail ]],0,0),0))</f>
        <v>0</v>
      </c>
    </row>
    <row r="310" spans="1:43" ht="34.5" customHeight="1">
      <c r="A310" s="125">
        <v>270</v>
      </c>
      <c r="B310" s="124">
        <v>249</v>
      </c>
      <c r="C310" s="162" t="s">
        <v>1692</v>
      </c>
      <c r="D310" s="227" t="s">
        <v>583</v>
      </c>
      <c r="E310" s="128" t="s">
        <v>94</v>
      </c>
      <c r="F310" s="126" t="s">
        <v>1376</v>
      </c>
      <c r="G310" s="190" t="s">
        <v>1006</v>
      </c>
      <c r="H310" s="447">
        <v>6918861</v>
      </c>
      <c r="I310" s="455">
        <v>4908936</v>
      </c>
      <c r="J310" s="456">
        <v>29453616</v>
      </c>
      <c r="K310" s="131"/>
      <c r="L310" s="438" t="s">
        <v>989</v>
      </c>
      <c r="M310" s="194" t="s">
        <v>600</v>
      </c>
      <c r="N310" s="177" t="e" cm="1">
        <f t="array" aca="1" ref="N310" ca="1">_xlfn.XLOOKUP(Contrato5[[#This Row],[SUPERVISOR TITULAR]],[2]!PERSONAL_ACTIVO_2024[[#All],[Nombre completo]],[2]!PERSONAL_ACTIVO_2024[[#All],[Documento identidad]],"",0)</f>
        <v>#NAME?</v>
      </c>
      <c r="O310" s="194" t="s">
        <v>592</v>
      </c>
      <c r="P310" s="196" t="e" cm="1">
        <f t="array" aca="1" ref="P310" ca="1">_xlfn.XLOOKUP(Contrato5[[#This Row],[SUPERVISOR SUPLENTE ]],[2]!PERSONAL_ACTIVO_2024[[#All],[Nombre completo]],[2]!PERSONAL_ACTIVO_2024[[#All],[Documento identidad]],"",0)</f>
        <v>#NAME?</v>
      </c>
      <c r="Q310" s="170">
        <v>198</v>
      </c>
      <c r="R310" s="137" t="e" cm="1">
        <f t="array" aca="1" ref="R310" ca="1">_xlfn.XLOOKUP(Contrato5[[#This Row],[CDP]],[2]!DISPONIBILIDADES_2024[[#All],[consecutivo]],[2]!DISPONIBILIDADES_2024[[#All],[fecha_aprobacion]],"",0)</f>
        <v>#NAME?</v>
      </c>
      <c r="S310" s="138" t="e">
        <f>SUMIF([2]!DISPONIBILIDADES_2024[[#All],[consecutivo]],Contrato5[[#This Row],[CDP]],[2]!DISPONIBILIDADES_2024[[#All],[valor_total_rubro]])</f>
        <v>#REF!</v>
      </c>
      <c r="T310" s="139" t="e" cm="1">
        <f t="array" aca="1" ref="T310" ca="1">_xlfn.XLOOKUP(Contrato5[[#This Row],[CONTRATO]]&amp;Contrato5[[#This Row],[CDP]],[2]!Corr_Contr_CDP[[#All],[CONTRATO-CDP]],[2]!Corr_Contr_CDP[[#All],[CRP]],_xlfn.XLOOKUP(Contrato5[[#This Row],[CDP]],[2]!COMPROMISOS_2024[[#All],[disponibilidad]],[2]!COMPROMISOS_2024[[#All],[consecutivo]],"",0),0)</f>
        <v>#NAME?</v>
      </c>
      <c r="U310" s="140" t="e" cm="1">
        <f t="array" aca="1" ref="U310" ca="1">+_xlfn.XLOOKUP(Contrato5[[#This Row],[RCP]],[2]!COMPROMISOS_2024[[#All],[consecutivo]],[2]!COMPROMISOS_2024[[#All],[fecha_aprobacion]],"",0)</f>
        <v>#NAME?</v>
      </c>
      <c r="V310" s="141" t="e">
        <f ca="1">SUMIF([2]!COMPROMISOS_2024[[#All],[consecutivo]],Contrato5[[#This Row],[RCP]],[2]!COMPROMISOS_2024[[#All],[valor_total]])</f>
        <v>#REF!</v>
      </c>
      <c r="W310" s="415">
        <v>45391</v>
      </c>
      <c r="X310" s="415" t="s">
        <v>1045</v>
      </c>
      <c r="Y310" s="143">
        <v>45391</v>
      </c>
      <c r="Z310" s="262">
        <v>45573</v>
      </c>
      <c r="AA310" s="183" t="s">
        <v>1002</v>
      </c>
      <c r="AB310" s="172" t="s">
        <v>640</v>
      </c>
      <c r="AC310" s="172"/>
      <c r="AD310" s="211">
        <v>202000004178</v>
      </c>
      <c r="AE310" s="147" t="s">
        <v>523</v>
      </c>
      <c r="AF310" s="148" t="str">
        <f>TEXT(LEFT(Contrato5[[#This Row],[CONTRATO]],3),"0")</f>
        <v>249</v>
      </c>
      <c r="AG310" s="148" t="str">
        <f>IF(LEN(Contrato5[[#This Row],[Contrato2]])=3,Contrato5[[#This Row],[Contrato2]],TEXT(Contrato5[[#This Row],[Contrato2]],"000"))</f>
        <v>249</v>
      </c>
      <c r="AH310" s="149">
        <f ca="1">IFERROR(_xlfn.DAYS(Contrato5[[#This Row],[Fecha Proyectada liquidación]],TODAY())/30,"")</f>
        <v>-2.1666666666666665</v>
      </c>
      <c r="AI310" s="150">
        <f>+Contrato5[[#This Row],[FECHA TERMINACIÓN ]]+120</f>
        <v>45693</v>
      </c>
      <c r="AJ310" s="147"/>
      <c r="AK310" s="152" t="str">
        <f ca="1">IF(Contrato5[[#This Row],[FECHA TERMINACIÓN ]]&lt;TODAY(), "Terminado",IF(ISNUMBER(Contrato5[[#This Row],[Fecha Real de liquiidación ]]),"Liquidado",IF(Contrato5[[#This Row],[FECHA TERMINACIÓN ]]&gt;=TODAY(),"En ejecución","")))</f>
        <v>Terminado</v>
      </c>
      <c r="AL310" s="153" t="e">
        <f ca="1">SUMIF([2]!COMPROMISOS_2024[[#All],[consecutivo]],Contrato5[[#This Row],[RCP]],[2]!COMPROMISOS_2024[[#All],[Total pagado]])</f>
        <v>#REF!</v>
      </c>
      <c r="AM310" s="154">
        <f ca="1">IFERROR(Contrato5[[#This Row],[Pagos]]/Contrato5[[#This Row],[VALOR CONTRATO]],0)</f>
        <v>0</v>
      </c>
      <c r="AN310" s="198" t="e">
        <f ca="1">+Contrato5[[#This Row],[VALOR CONTRATO]]-Contrato5[[#This Row],[Pagos]]</f>
        <v>#REF!</v>
      </c>
      <c r="AO310" s="147" t="e" cm="1">
        <f t="array" aca="1" ref="AO310" ca="1">_xlfn.XLOOKUP(Contrato5[[#This Row],[DOCUMENTO ]],[2]!PERSONAL_ACTIVO_2024[[#All],[Documento identidad]],[2]!PERSONAL_ACTIVO_2024[[#All],[Mail ]],0,0)</f>
        <v>#NAME?</v>
      </c>
      <c r="AP310" s="147" t="e" cm="1">
        <f t="array" aca="1" ref="AP310" ca="1">_xlfn.XLOOKUP(Contrato5[[#This Row],[DOCUMENTO]],[2]!PERSONAL_ACTIVO_2024[[#All],[Documento identidad]],[2]!PERSONAL_ACTIVO_2024[[#All],[Mail ]],0,0)</f>
        <v>#NAME?</v>
      </c>
      <c r="AQ310" s="439" cm="1">
        <f t="array" aca="1" ref="AQ310" ca="1">IF(ISBLANK(Contrato5[[#This Row],[DEPENDENCIA ]]),0,IFERROR(_xlfn.XLOOKUP(Contrato5[[#This Row],[DEPENDENCIA ]],[2]!PERSONAL_ACTIVO_2024[[#All],[Dependencia]],[2]!PERSONAL_ACTIVO_2024[[#All],[Mail ]],0,0),0))</f>
        <v>0</v>
      </c>
    </row>
    <row r="311" spans="1:43" ht="34.5" customHeight="1">
      <c r="A311" s="147">
        <v>1169</v>
      </c>
      <c r="B311" s="124">
        <v>249</v>
      </c>
      <c r="C311" s="162" t="s">
        <v>2158</v>
      </c>
      <c r="D311" s="227" t="s">
        <v>583</v>
      </c>
      <c r="E311" s="440" t="s">
        <v>78</v>
      </c>
      <c r="F311" s="126" t="s">
        <v>1376</v>
      </c>
      <c r="G311" s="190" t="s">
        <v>1006</v>
      </c>
      <c r="H311" s="447">
        <v>6918861</v>
      </c>
      <c r="I311" s="455">
        <v>4908936</v>
      </c>
      <c r="J311" s="437">
        <v>11290553</v>
      </c>
      <c r="K311" s="147"/>
      <c r="L311" s="438" t="s">
        <v>2564</v>
      </c>
      <c r="M311" s="194" t="s">
        <v>600</v>
      </c>
      <c r="N311" s="177" t="e" cm="1">
        <f t="array" aca="1" ref="N311" ca="1">_xlfn.XLOOKUP(Contrato5[[#This Row],[SUPERVISOR TITULAR]],[2]!PERSONAL_ACTIVO_2024[[#All],[Nombre completo]],[2]!PERSONAL_ACTIVO_2024[[#All],[Documento identidad]],"",0)</f>
        <v>#NAME?</v>
      </c>
      <c r="O311" s="194" t="s">
        <v>592</v>
      </c>
      <c r="P311" s="196" t="e" cm="1">
        <f t="array" aca="1" ref="P311" ca="1">_xlfn.XLOOKUP(Contrato5[[#This Row],[SUPERVISOR SUPLENTE ]],[2]!PERSONAL_ACTIVO_2024[[#All],[Nombre completo]],[2]!PERSONAL_ACTIVO_2024[[#All],[Documento identidad]],"",0)</f>
        <v>#NAME?</v>
      </c>
      <c r="Q311" s="170">
        <v>977</v>
      </c>
      <c r="R311" s="137" t="e" cm="1">
        <f t="array" aca="1" ref="R311" ca="1">_xlfn.XLOOKUP(Contrato5[[#This Row],[CDP]],[2]!DISPONIBILIDADES_2024[[#All],[consecutivo]],[2]!DISPONIBILIDADES_2024[[#All],[fecha_aprobacion]],"",0)</f>
        <v>#NAME?</v>
      </c>
      <c r="S311" s="138" t="e">
        <f>SUMIF([2]!DISPONIBILIDADES_2024[[#All],[consecutivo]],Contrato5[[#This Row],[CDP]],[2]!DISPONIBILIDADES_2024[[#All],[valor_total_rubro]])</f>
        <v>#REF!</v>
      </c>
      <c r="T311" s="139" t="e" cm="1">
        <f t="array" aca="1" ref="T311" ca="1">_xlfn.XLOOKUP(Contrato5[[#This Row],[CONTRATO]]&amp;Contrato5[[#This Row],[CDP]],[2]!Corr_Contr_CDP[[#All],[CONTRATO-CDP]],[2]!Corr_Contr_CDP[[#All],[CRP]],_xlfn.XLOOKUP(Contrato5[[#This Row],[CDP]],[2]!COMPROMISOS_2024[[#All],[disponibilidad]],[2]!COMPROMISOS_2024[[#All],[consecutivo]],"",0),0)</f>
        <v>#NAME?</v>
      </c>
      <c r="U311" s="140" t="e" cm="1">
        <f t="array" aca="1" ref="U311" ca="1">+_xlfn.XLOOKUP(Contrato5[[#This Row],[RCP]],[2]!COMPROMISOS_2024[[#All],[consecutivo]],[2]!COMPROMISOS_2024[[#All],[fecha_aprobacion]],"",0)</f>
        <v>#NAME?</v>
      </c>
      <c r="V311" s="141" t="e">
        <f ca="1">SUMIF([2]!COMPROMISOS_2024[[#All],[consecutivo]],Contrato5[[#This Row],[RCP]],[2]!COMPROMISOS_2024[[#All],[valor_total]])</f>
        <v>#REF!</v>
      </c>
      <c r="W311" s="415">
        <v>45572</v>
      </c>
      <c r="X311" s="415" t="s">
        <v>1045</v>
      </c>
      <c r="Y311" s="143">
        <v>45392</v>
      </c>
      <c r="Z311" s="262">
        <v>45643</v>
      </c>
      <c r="AA311" s="225"/>
      <c r="AB311" s="172" t="s">
        <v>2591</v>
      </c>
      <c r="AC311" s="127"/>
      <c r="AD311" s="211"/>
      <c r="AE311" s="147"/>
      <c r="AF311" s="148" t="str">
        <f>TEXT(LEFT(Contrato5[[#This Row],[CONTRATO]],3),"0")</f>
        <v>249</v>
      </c>
      <c r="AG311" s="148" t="str">
        <f>IF(LEN(Contrato5[[#This Row],[Contrato2]])=3,Contrato5[[#This Row],[Contrato2]],TEXT(Contrato5[[#This Row],[Contrato2]],"000"))</f>
        <v>249</v>
      </c>
      <c r="AH311" s="149">
        <f ca="1">IFERROR(_xlfn.DAYS(Contrato5[[#This Row],[Fecha Proyectada liquidación]],TODAY())/30,"")</f>
        <v>0.16666666666666666</v>
      </c>
      <c r="AI311" s="150">
        <f>+Contrato5[[#This Row],[FECHA TERMINACIÓN ]]+120</f>
        <v>45763</v>
      </c>
      <c r="AJ311" s="147"/>
      <c r="AK311" s="152" t="str">
        <f ca="1">IF(Contrato5[[#This Row],[FECHA TERMINACIÓN ]]&lt;TODAY(), "Terminado",IF(ISNUMBER(Contrato5[[#This Row],[Fecha Real de liquiidación ]]),"Liquidado",IF(Contrato5[[#This Row],[FECHA TERMINACIÓN ]]&gt;=TODAY(),"En ejecución","")))</f>
        <v>Terminado</v>
      </c>
      <c r="AL311" s="153" t="e">
        <f ca="1">SUMIF([2]!COMPROMISOS_2024[[#All],[consecutivo]],Contrato5[[#This Row],[RCP]],[2]!COMPROMISOS_2024[[#All],[Total pagado]])</f>
        <v>#REF!</v>
      </c>
      <c r="AM311" s="154">
        <f ca="1">IFERROR(Contrato5[[#This Row],[Pagos]]/Contrato5[[#This Row],[VALOR CONTRATO]],0)</f>
        <v>0</v>
      </c>
      <c r="AN311" s="198" t="e">
        <f ca="1">+Contrato5[[#This Row],[VALOR CONTRATO]]-Contrato5[[#This Row],[Pagos]]</f>
        <v>#REF!</v>
      </c>
      <c r="AO311" s="147" t="e" cm="1">
        <f t="array" aca="1" ref="AO311" ca="1">_xlfn.XLOOKUP(Contrato5[[#This Row],[DOCUMENTO ]],[2]!PERSONAL_ACTIVO_2024[[#All],[Documento identidad]],[2]!PERSONAL_ACTIVO_2024[[#All],[Mail ]],0,0)</f>
        <v>#NAME?</v>
      </c>
      <c r="AP311" s="147" t="e" cm="1">
        <f t="array" aca="1" ref="AP311" ca="1">_xlfn.XLOOKUP(Contrato5[[#This Row],[DOCUMENTO]],[2]!PERSONAL_ACTIVO_2024[[#All],[Documento identidad]],[2]!PERSONAL_ACTIVO_2024[[#All],[Mail ]],0,0)</f>
        <v>#NAME?</v>
      </c>
      <c r="AQ311" s="439" cm="1">
        <f t="array" aca="1" ref="AQ311" ca="1">IF(ISBLANK(Contrato5[[#This Row],[DEPENDENCIA ]]),0,IFERROR(_xlfn.XLOOKUP(Contrato5[[#This Row],[DEPENDENCIA ]],[2]!PERSONAL_ACTIVO_2024[[#All],[Dependencia]],[2]!PERSONAL_ACTIVO_2024[[#All],[Mail ]],0,0),0))</f>
        <v>0</v>
      </c>
    </row>
    <row r="312" spans="1:43" ht="34.5" customHeight="1">
      <c r="A312" s="125">
        <v>561</v>
      </c>
      <c r="B312" s="124">
        <v>250</v>
      </c>
      <c r="C312" s="162" t="s">
        <v>1706</v>
      </c>
      <c r="D312" s="227" t="s">
        <v>583</v>
      </c>
      <c r="E312" s="128" t="s">
        <v>94</v>
      </c>
      <c r="F312" s="163" t="s">
        <v>1376</v>
      </c>
      <c r="G312" s="190" t="s">
        <v>1007</v>
      </c>
      <c r="H312" s="447">
        <v>15434878</v>
      </c>
      <c r="I312" s="455">
        <v>5931149</v>
      </c>
      <c r="J312" s="456">
        <v>35586894</v>
      </c>
      <c r="K312" s="131"/>
      <c r="L312" s="438" t="s">
        <v>989</v>
      </c>
      <c r="M312" s="194" t="s">
        <v>592</v>
      </c>
      <c r="N312" s="177" t="e" cm="1">
        <f t="array" aca="1" ref="N312" ca="1">_xlfn.XLOOKUP(Contrato5[[#This Row],[SUPERVISOR TITULAR]],[2]!PERSONAL_ACTIVO_2024[[#All],[Nombre completo]],[2]!PERSONAL_ACTIVO_2024[[#All],[Documento identidad]],"",0)</f>
        <v>#NAME?</v>
      </c>
      <c r="O312" s="194" t="s">
        <v>600</v>
      </c>
      <c r="P312" s="196" t="e" cm="1">
        <f t="array" aca="1" ref="P312" ca="1">_xlfn.XLOOKUP(Contrato5[[#This Row],[SUPERVISOR SUPLENTE ]],[2]!PERSONAL_ACTIVO_2024[[#All],[Nombre completo]],[2]!PERSONAL_ACTIVO_2024[[#All],[Documento identidad]],"",0)</f>
        <v>#NAME?</v>
      </c>
      <c r="Q312" s="170">
        <v>362</v>
      </c>
      <c r="R312" s="137" t="e" cm="1">
        <f t="array" aca="1" ref="R312" ca="1">_xlfn.XLOOKUP(Contrato5[[#This Row],[CDP]],[2]!DISPONIBILIDADES_2024[[#All],[consecutivo]],[2]!DISPONIBILIDADES_2024[[#All],[fecha_aprobacion]],"",0)</f>
        <v>#NAME?</v>
      </c>
      <c r="S312" s="138" t="e">
        <f>SUMIF([2]!DISPONIBILIDADES_2024[[#All],[consecutivo]],Contrato5[[#This Row],[CDP]],[2]!DISPONIBILIDADES_2024[[#All],[valor_total_rubro]])</f>
        <v>#REF!</v>
      </c>
      <c r="T312" s="139" t="e" cm="1">
        <f t="array" aca="1" ref="T312" ca="1">_xlfn.XLOOKUP(Contrato5[[#This Row],[CONTRATO]]&amp;Contrato5[[#This Row],[CDP]],[2]!Corr_Contr_CDP[[#All],[CONTRATO-CDP]],[2]!Corr_Contr_CDP[[#All],[CRP]],_xlfn.XLOOKUP(Contrato5[[#This Row],[CDP]],[2]!COMPROMISOS_2024[[#All],[disponibilidad]],[2]!COMPROMISOS_2024[[#All],[consecutivo]],"",0),0)</f>
        <v>#NAME?</v>
      </c>
      <c r="U312" s="140" t="e" cm="1">
        <f t="array" aca="1" ref="U312" ca="1">+_xlfn.XLOOKUP(Contrato5[[#This Row],[RCP]],[2]!COMPROMISOS_2024[[#All],[consecutivo]],[2]!COMPROMISOS_2024[[#All],[fecha_aprobacion]],"",0)</f>
        <v>#NAME?</v>
      </c>
      <c r="V312" s="141" t="e">
        <f ca="1">SUMIF([2]!COMPROMISOS_2024[[#All],[consecutivo]],Contrato5[[#This Row],[RCP]],[2]!COMPROMISOS_2024[[#All],[valor_total]])</f>
        <v>#REF!</v>
      </c>
      <c r="W312" s="415">
        <v>45391</v>
      </c>
      <c r="X312" s="415" t="s">
        <v>1045</v>
      </c>
      <c r="Y312" s="143">
        <v>45391</v>
      </c>
      <c r="Z312" s="262">
        <v>45573</v>
      </c>
      <c r="AA312" s="183" t="s">
        <v>1002</v>
      </c>
      <c r="AB312" s="172" t="s">
        <v>640</v>
      </c>
      <c r="AC312" s="172"/>
      <c r="AD312" s="211">
        <v>202000004180</v>
      </c>
      <c r="AE312" s="147" t="s">
        <v>523</v>
      </c>
      <c r="AF312" s="148" t="str">
        <f>TEXT(LEFT(Contrato5[[#This Row],[CONTRATO]],3),"0")</f>
        <v>250</v>
      </c>
      <c r="AG312" s="148" t="str">
        <f>IF(LEN(Contrato5[[#This Row],[Contrato2]])=3,Contrato5[[#This Row],[Contrato2]],TEXT(Contrato5[[#This Row],[Contrato2]],"000"))</f>
        <v>250</v>
      </c>
      <c r="AH312" s="149">
        <f ca="1">IFERROR(_xlfn.DAYS(Contrato5[[#This Row],[Fecha Proyectada liquidación]],TODAY())/30,"")</f>
        <v>-2.1666666666666665</v>
      </c>
      <c r="AI312" s="150">
        <f>+Contrato5[[#This Row],[FECHA TERMINACIÓN ]]+120</f>
        <v>45693</v>
      </c>
      <c r="AJ312" s="147"/>
      <c r="AK312" s="152" t="str">
        <f ca="1">IF(Contrato5[[#This Row],[FECHA TERMINACIÓN ]]&lt;TODAY(), "Terminado",IF(ISNUMBER(Contrato5[[#This Row],[Fecha Real de liquiidación ]]),"Liquidado",IF(Contrato5[[#This Row],[FECHA TERMINACIÓN ]]&gt;=TODAY(),"En ejecución","")))</f>
        <v>Terminado</v>
      </c>
      <c r="AL312" s="153" t="e">
        <f ca="1">SUMIF([2]!COMPROMISOS_2024[[#All],[consecutivo]],Contrato5[[#This Row],[RCP]],[2]!COMPROMISOS_2024[[#All],[Total pagado]])</f>
        <v>#REF!</v>
      </c>
      <c r="AM312" s="154">
        <f ca="1">IFERROR(Contrato5[[#This Row],[Pagos]]/Contrato5[[#This Row],[VALOR CONTRATO]],0)</f>
        <v>0</v>
      </c>
      <c r="AN312" s="198" t="e">
        <f ca="1">+Contrato5[[#This Row],[VALOR CONTRATO]]-Contrato5[[#This Row],[Pagos]]</f>
        <v>#REF!</v>
      </c>
      <c r="AO312" s="147" t="e" cm="1">
        <f t="array" aca="1" ref="AO312" ca="1">_xlfn.XLOOKUP(Contrato5[[#This Row],[DOCUMENTO ]],[2]!PERSONAL_ACTIVO_2024[[#All],[Documento identidad]],[2]!PERSONAL_ACTIVO_2024[[#All],[Mail ]],0,0)</f>
        <v>#NAME?</v>
      </c>
      <c r="AP312" s="147" t="e" cm="1">
        <f t="array" aca="1" ref="AP312" ca="1">_xlfn.XLOOKUP(Contrato5[[#This Row],[DOCUMENTO]],[2]!PERSONAL_ACTIVO_2024[[#All],[Documento identidad]],[2]!PERSONAL_ACTIVO_2024[[#All],[Mail ]],0,0)</f>
        <v>#NAME?</v>
      </c>
      <c r="AQ312" s="439" cm="1">
        <f t="array" aca="1" ref="AQ312" ca="1">IF(ISBLANK(Contrato5[[#This Row],[DEPENDENCIA ]]),0,IFERROR(_xlfn.XLOOKUP(Contrato5[[#This Row],[DEPENDENCIA ]],[2]!PERSONAL_ACTIVO_2024[[#All],[Dependencia]],[2]!PERSONAL_ACTIVO_2024[[#All],[Mail ]],0,0),0))</f>
        <v>0</v>
      </c>
    </row>
    <row r="313" spans="1:43" ht="34.5" customHeight="1">
      <c r="A313" s="125">
        <v>570</v>
      </c>
      <c r="B313" s="124">
        <v>251</v>
      </c>
      <c r="C313" s="162" t="s">
        <v>1715</v>
      </c>
      <c r="D313" s="227" t="s">
        <v>583</v>
      </c>
      <c r="E313" s="128" t="s">
        <v>94</v>
      </c>
      <c r="F313" s="163" t="s">
        <v>1376</v>
      </c>
      <c r="G313" s="190" t="s">
        <v>1008</v>
      </c>
      <c r="H313" s="447">
        <v>15443173</v>
      </c>
      <c r="I313" s="455">
        <v>4908936</v>
      </c>
      <c r="J313" s="456">
        <v>29453616</v>
      </c>
      <c r="K313" s="131" t="s">
        <v>42</v>
      </c>
      <c r="L313" s="438" t="s">
        <v>989</v>
      </c>
      <c r="M313" s="194" t="s">
        <v>592</v>
      </c>
      <c r="N313" s="177" t="e" cm="1">
        <f t="array" aca="1" ref="N313" ca="1">_xlfn.XLOOKUP(Contrato5[[#This Row],[SUPERVISOR TITULAR]],[2]!PERSONAL_ACTIVO_2024[[#All],[Nombre completo]],[2]!PERSONAL_ACTIVO_2024[[#All],[Documento identidad]],"",0)</f>
        <v>#NAME?</v>
      </c>
      <c r="O313" s="194" t="s">
        <v>600</v>
      </c>
      <c r="P313" s="196" t="e" cm="1">
        <f t="array" aca="1" ref="P313" ca="1">_xlfn.XLOOKUP(Contrato5[[#This Row],[SUPERVISOR SUPLENTE ]],[2]!PERSONAL_ACTIVO_2024[[#All],[Nombre completo]],[2]!PERSONAL_ACTIVO_2024[[#All],[Documento identidad]],"",0)</f>
        <v>#NAME?</v>
      </c>
      <c r="Q313" s="170">
        <v>263</v>
      </c>
      <c r="R313" s="137" t="e" cm="1">
        <f t="array" aca="1" ref="R313" ca="1">_xlfn.XLOOKUP(Contrato5[[#This Row],[CDP]],[2]!DISPONIBILIDADES_2024[[#All],[consecutivo]],[2]!DISPONIBILIDADES_2024[[#All],[fecha_aprobacion]],"",0)</f>
        <v>#NAME?</v>
      </c>
      <c r="S313" s="138" t="e">
        <f>SUMIF([2]!DISPONIBILIDADES_2024[[#All],[consecutivo]],Contrato5[[#This Row],[CDP]],[2]!DISPONIBILIDADES_2024[[#All],[valor_total_rubro]])</f>
        <v>#REF!</v>
      </c>
      <c r="T313" s="139" t="e" cm="1">
        <f t="array" aca="1" ref="T313" ca="1">_xlfn.XLOOKUP(Contrato5[[#This Row],[CONTRATO]]&amp;Contrato5[[#This Row],[CDP]],[2]!Corr_Contr_CDP[[#All],[CONTRATO-CDP]],[2]!Corr_Contr_CDP[[#All],[CRP]],_xlfn.XLOOKUP(Contrato5[[#This Row],[CDP]],[2]!COMPROMISOS_2024[[#All],[disponibilidad]],[2]!COMPROMISOS_2024[[#All],[consecutivo]],"",0),0)</f>
        <v>#NAME?</v>
      </c>
      <c r="U313" s="140" t="e" cm="1">
        <f t="array" aca="1" ref="U313" ca="1">+_xlfn.XLOOKUP(Contrato5[[#This Row],[RCP]],[2]!COMPROMISOS_2024[[#All],[consecutivo]],[2]!COMPROMISOS_2024[[#All],[fecha_aprobacion]],"",0)</f>
        <v>#NAME?</v>
      </c>
      <c r="V313" s="141" t="e">
        <f ca="1">SUMIF([2]!COMPROMISOS_2024[[#All],[consecutivo]],Contrato5[[#This Row],[RCP]],[2]!COMPROMISOS_2024[[#All],[valor_total]])</f>
        <v>#REF!</v>
      </c>
      <c r="W313" s="415">
        <v>45391</v>
      </c>
      <c r="X313" s="415" t="s">
        <v>1045</v>
      </c>
      <c r="Y313" s="143">
        <v>45392</v>
      </c>
      <c r="Z313" s="262">
        <v>45573</v>
      </c>
      <c r="AA313" s="183" t="s">
        <v>1002</v>
      </c>
      <c r="AB313" s="172" t="s">
        <v>640</v>
      </c>
      <c r="AC313" s="172"/>
      <c r="AD313" s="211">
        <v>202000004181</v>
      </c>
      <c r="AE313" s="147" t="s">
        <v>523</v>
      </c>
      <c r="AF313" s="148" t="str">
        <f>TEXT(LEFT(Contrato5[[#This Row],[CONTRATO]],3),"0")</f>
        <v>251</v>
      </c>
      <c r="AG313" s="148" t="str">
        <f>IF(LEN(Contrato5[[#This Row],[Contrato2]])=3,Contrato5[[#This Row],[Contrato2]],TEXT(Contrato5[[#This Row],[Contrato2]],"000"))</f>
        <v>251</v>
      </c>
      <c r="AH313" s="149">
        <f ca="1">IFERROR(_xlfn.DAYS(Contrato5[[#This Row],[Fecha Proyectada liquidación]],TODAY())/30,"")</f>
        <v>-2.1666666666666665</v>
      </c>
      <c r="AI313" s="150">
        <f>+Contrato5[[#This Row],[FECHA TERMINACIÓN ]]+120</f>
        <v>45693</v>
      </c>
      <c r="AJ313" s="147"/>
      <c r="AK313" s="152" t="str">
        <f ca="1">IF(Contrato5[[#This Row],[FECHA TERMINACIÓN ]]&lt;TODAY(), "Terminado",IF(ISNUMBER(Contrato5[[#This Row],[Fecha Real de liquiidación ]]),"Liquidado",IF(Contrato5[[#This Row],[FECHA TERMINACIÓN ]]&gt;=TODAY(),"En ejecución","")))</f>
        <v>Terminado</v>
      </c>
      <c r="AL313" s="153" t="e">
        <f ca="1">SUMIF([2]!COMPROMISOS_2024[[#All],[consecutivo]],Contrato5[[#This Row],[RCP]],[2]!COMPROMISOS_2024[[#All],[Total pagado]])</f>
        <v>#REF!</v>
      </c>
      <c r="AM313" s="154">
        <f ca="1">IFERROR(Contrato5[[#This Row],[Pagos]]/Contrato5[[#This Row],[VALOR CONTRATO]],0)</f>
        <v>0</v>
      </c>
      <c r="AN313" s="198" t="e">
        <f ca="1">+Contrato5[[#This Row],[VALOR CONTRATO]]-Contrato5[[#This Row],[Pagos]]</f>
        <v>#REF!</v>
      </c>
      <c r="AO313" s="147" t="e" cm="1">
        <f t="array" aca="1" ref="AO313" ca="1">_xlfn.XLOOKUP(Contrato5[[#This Row],[DOCUMENTO ]],[2]!PERSONAL_ACTIVO_2024[[#All],[Documento identidad]],[2]!PERSONAL_ACTIVO_2024[[#All],[Mail ]],0,0)</f>
        <v>#NAME?</v>
      </c>
      <c r="AP313" s="147" t="e" cm="1">
        <f t="array" aca="1" ref="AP313" ca="1">_xlfn.XLOOKUP(Contrato5[[#This Row],[DOCUMENTO]],[2]!PERSONAL_ACTIVO_2024[[#All],[Documento identidad]],[2]!PERSONAL_ACTIVO_2024[[#All],[Mail ]],0,0)</f>
        <v>#NAME?</v>
      </c>
      <c r="AQ313" s="439" cm="1">
        <f t="array" aca="1" ref="AQ313" ca="1">IF(ISBLANK(Contrato5[[#This Row],[DEPENDENCIA ]]),0,IFERROR(_xlfn.XLOOKUP(Contrato5[[#This Row],[DEPENDENCIA ]],[2]!PERSONAL_ACTIVO_2024[[#All],[Dependencia]],[2]!PERSONAL_ACTIVO_2024[[#All],[Mail ]],0,0),0))</f>
        <v>0</v>
      </c>
    </row>
    <row r="314" spans="1:43" ht="34.5" customHeight="1">
      <c r="A314" s="147">
        <v>1190</v>
      </c>
      <c r="B314" s="124">
        <v>251</v>
      </c>
      <c r="C314" s="162" t="s">
        <v>2179</v>
      </c>
      <c r="D314" s="227" t="s">
        <v>583</v>
      </c>
      <c r="E314" s="440" t="s">
        <v>78</v>
      </c>
      <c r="F314" s="126" t="s">
        <v>1376</v>
      </c>
      <c r="G314" s="190" t="s">
        <v>1008</v>
      </c>
      <c r="H314" s="447">
        <v>15443173</v>
      </c>
      <c r="I314" s="455">
        <v>4908936</v>
      </c>
      <c r="J314" s="437">
        <v>11290553</v>
      </c>
      <c r="K314" s="147"/>
      <c r="L314" s="438" t="s">
        <v>2564</v>
      </c>
      <c r="M314" s="194" t="s">
        <v>592</v>
      </c>
      <c r="N314" s="177" t="e" cm="1">
        <f t="array" aca="1" ref="N314" ca="1">_xlfn.XLOOKUP(Contrato5[[#This Row],[SUPERVISOR TITULAR]],[2]!PERSONAL_ACTIVO_2024[[#All],[Nombre completo]],[2]!PERSONAL_ACTIVO_2024[[#All],[Documento identidad]],"",0)</f>
        <v>#NAME?</v>
      </c>
      <c r="O314" s="194" t="s">
        <v>600</v>
      </c>
      <c r="P314" s="196" t="e" cm="1">
        <f t="array" aca="1" ref="P314" ca="1">_xlfn.XLOOKUP(Contrato5[[#This Row],[SUPERVISOR SUPLENTE ]],[2]!PERSONAL_ACTIVO_2024[[#All],[Nombre completo]],[2]!PERSONAL_ACTIVO_2024[[#All],[Documento identidad]],"",0)</f>
        <v>#NAME?</v>
      </c>
      <c r="Q314" s="170">
        <v>1001</v>
      </c>
      <c r="R314" s="137" t="e" cm="1">
        <f t="array" aca="1" ref="R314" ca="1">_xlfn.XLOOKUP(Contrato5[[#This Row],[CDP]],[2]!DISPONIBILIDADES_2024[[#All],[consecutivo]],[2]!DISPONIBILIDADES_2024[[#All],[fecha_aprobacion]],"",0)</f>
        <v>#NAME?</v>
      </c>
      <c r="S314" s="138" t="e">
        <f>SUMIF([2]!DISPONIBILIDADES_2024[[#All],[consecutivo]],Contrato5[[#This Row],[CDP]],[2]!DISPONIBILIDADES_2024[[#All],[valor_total_rubro]])</f>
        <v>#REF!</v>
      </c>
      <c r="T314" s="139" t="e" cm="1">
        <f t="array" aca="1" ref="T314" ca="1">_xlfn.XLOOKUP(Contrato5[[#This Row],[CONTRATO]]&amp;Contrato5[[#This Row],[CDP]],[2]!Corr_Contr_CDP[[#All],[CONTRATO-CDP]],[2]!Corr_Contr_CDP[[#All],[CRP]],_xlfn.XLOOKUP(Contrato5[[#This Row],[CDP]],[2]!COMPROMISOS_2024[[#All],[disponibilidad]],[2]!COMPROMISOS_2024[[#All],[consecutivo]],"",0),0)</f>
        <v>#NAME?</v>
      </c>
      <c r="U314" s="140" t="e" cm="1">
        <f t="array" aca="1" ref="U314" ca="1">+_xlfn.XLOOKUP(Contrato5[[#This Row],[RCP]],[2]!COMPROMISOS_2024[[#All],[consecutivo]],[2]!COMPROMISOS_2024[[#All],[fecha_aprobacion]],"",0)</f>
        <v>#NAME?</v>
      </c>
      <c r="V314" s="141" t="e">
        <f ca="1">SUMIF([2]!COMPROMISOS_2024[[#All],[consecutivo]],Contrato5[[#This Row],[RCP]],[2]!COMPROMISOS_2024[[#All],[valor_total]])</f>
        <v>#REF!</v>
      </c>
      <c r="W314" s="415">
        <v>45572</v>
      </c>
      <c r="X314" s="415" t="s">
        <v>1045</v>
      </c>
      <c r="Y314" s="143">
        <v>45574</v>
      </c>
      <c r="Z314" s="262">
        <v>45613</v>
      </c>
      <c r="AA314" s="225"/>
      <c r="AB314" s="172" t="s">
        <v>2591</v>
      </c>
      <c r="AC314" s="127"/>
      <c r="AD314" s="211"/>
      <c r="AE314" s="147"/>
      <c r="AF314" s="148" t="str">
        <f>TEXT(LEFT(Contrato5[[#This Row],[CONTRATO]],3),"0")</f>
        <v>251</v>
      </c>
      <c r="AG314" s="148" t="str">
        <f>IF(LEN(Contrato5[[#This Row],[Contrato2]])=3,Contrato5[[#This Row],[Contrato2]],TEXT(Contrato5[[#This Row],[Contrato2]],"000"))</f>
        <v>251</v>
      </c>
      <c r="AH314" s="149">
        <f ca="1">IFERROR(_xlfn.DAYS(Contrato5[[#This Row],[Fecha Proyectada liquidación]],TODAY())/30,"")</f>
        <v>-0.83333333333333337</v>
      </c>
      <c r="AI314" s="150">
        <f>+Contrato5[[#This Row],[FECHA TERMINACIÓN ]]+120</f>
        <v>45733</v>
      </c>
      <c r="AJ314" s="147"/>
      <c r="AK314" s="152" t="str">
        <f ca="1">IF(Contrato5[[#This Row],[FECHA TERMINACIÓN ]]&lt;TODAY(), "Terminado",IF(ISNUMBER(Contrato5[[#This Row],[Fecha Real de liquiidación ]]),"Liquidado",IF(Contrato5[[#This Row],[FECHA TERMINACIÓN ]]&gt;=TODAY(),"En ejecución","")))</f>
        <v>Terminado</v>
      </c>
      <c r="AL314" s="153" t="e">
        <f ca="1">SUMIF([2]!COMPROMISOS_2024[[#All],[consecutivo]],Contrato5[[#This Row],[RCP]],[2]!COMPROMISOS_2024[[#All],[Total pagado]])</f>
        <v>#REF!</v>
      </c>
      <c r="AM314" s="154">
        <f ca="1">IFERROR(Contrato5[[#This Row],[Pagos]]/Contrato5[[#This Row],[VALOR CONTRATO]],0)</f>
        <v>0</v>
      </c>
      <c r="AN314" s="198" t="e">
        <f ca="1">+Contrato5[[#This Row],[VALOR CONTRATO]]-Contrato5[[#This Row],[Pagos]]</f>
        <v>#REF!</v>
      </c>
      <c r="AO314" s="147" t="e" cm="1">
        <f t="array" aca="1" ref="AO314" ca="1">_xlfn.XLOOKUP(Contrato5[[#This Row],[DOCUMENTO ]],[2]!PERSONAL_ACTIVO_2024[[#All],[Documento identidad]],[2]!PERSONAL_ACTIVO_2024[[#All],[Mail ]],0,0)</f>
        <v>#NAME?</v>
      </c>
      <c r="AP314" s="147" t="e" cm="1">
        <f t="array" aca="1" ref="AP314" ca="1">_xlfn.XLOOKUP(Contrato5[[#This Row],[DOCUMENTO]],[2]!PERSONAL_ACTIVO_2024[[#All],[Documento identidad]],[2]!PERSONAL_ACTIVO_2024[[#All],[Mail ]],0,0)</f>
        <v>#NAME?</v>
      </c>
      <c r="AQ314" s="439" cm="1">
        <f t="array" aca="1" ref="AQ314" ca="1">IF(ISBLANK(Contrato5[[#This Row],[DEPENDENCIA ]]),0,IFERROR(_xlfn.XLOOKUP(Contrato5[[#This Row],[DEPENDENCIA ]],[2]!PERSONAL_ACTIVO_2024[[#All],[Dependencia]],[2]!PERSONAL_ACTIVO_2024[[#All],[Mail ]],0,0),0))</f>
        <v>0</v>
      </c>
    </row>
    <row r="315" spans="1:43" ht="34.5" customHeight="1">
      <c r="A315" s="125">
        <v>594</v>
      </c>
      <c r="B315" s="124">
        <v>252</v>
      </c>
      <c r="C315" s="162" t="s">
        <v>1725</v>
      </c>
      <c r="D315" s="227" t="s">
        <v>583</v>
      </c>
      <c r="E315" s="128" t="s">
        <v>94</v>
      </c>
      <c r="F315" s="163" t="s">
        <v>1376</v>
      </c>
      <c r="G315" s="190" t="s">
        <v>1009</v>
      </c>
      <c r="H315" s="447">
        <v>80195539</v>
      </c>
      <c r="I315" s="455">
        <v>4908936</v>
      </c>
      <c r="J315" s="456">
        <v>29453616</v>
      </c>
      <c r="K315" s="131" t="s">
        <v>42</v>
      </c>
      <c r="L315" s="438" t="s">
        <v>989</v>
      </c>
      <c r="M315" s="194" t="s">
        <v>600</v>
      </c>
      <c r="N315" s="177" t="e" cm="1">
        <f t="array" aca="1" ref="N315" ca="1">_xlfn.XLOOKUP(Contrato5[[#This Row],[SUPERVISOR TITULAR]],[2]!PERSONAL_ACTIVO_2024[[#All],[Nombre completo]],[2]!PERSONAL_ACTIVO_2024[[#All],[Documento identidad]],"",0)</f>
        <v>#NAME?</v>
      </c>
      <c r="O315" s="194" t="s">
        <v>2495</v>
      </c>
      <c r="P315" s="196" t="e" cm="1">
        <f t="array" aca="1" ref="P315" ca="1">_xlfn.XLOOKUP(Contrato5[[#This Row],[SUPERVISOR SUPLENTE ]],[2]!PERSONAL_ACTIVO_2024[[#All],[Nombre completo]],[2]!PERSONAL_ACTIVO_2024[[#All],[Documento identidad]],"",0)</f>
        <v>#NAME?</v>
      </c>
      <c r="Q315" s="170">
        <v>352</v>
      </c>
      <c r="R315" s="137" t="e" cm="1">
        <f t="array" aca="1" ref="R315" ca="1">_xlfn.XLOOKUP(Contrato5[[#This Row],[CDP]],[2]!DISPONIBILIDADES_2024[[#All],[consecutivo]],[2]!DISPONIBILIDADES_2024[[#All],[fecha_aprobacion]],"",0)</f>
        <v>#NAME?</v>
      </c>
      <c r="S315" s="138" t="e">
        <f>SUMIF([2]!DISPONIBILIDADES_2024[[#All],[consecutivo]],Contrato5[[#This Row],[CDP]],[2]!DISPONIBILIDADES_2024[[#All],[valor_total_rubro]])</f>
        <v>#REF!</v>
      </c>
      <c r="T315" s="139" t="e" cm="1">
        <f t="array" aca="1" ref="T315" ca="1">_xlfn.XLOOKUP(Contrato5[[#This Row],[CONTRATO]]&amp;Contrato5[[#This Row],[CDP]],[2]!Corr_Contr_CDP[[#All],[CONTRATO-CDP]],[2]!Corr_Contr_CDP[[#All],[CRP]],_xlfn.XLOOKUP(Contrato5[[#This Row],[CDP]],[2]!COMPROMISOS_2024[[#All],[disponibilidad]],[2]!COMPROMISOS_2024[[#All],[consecutivo]],"",0),0)</f>
        <v>#NAME?</v>
      </c>
      <c r="U315" s="140" t="e" cm="1">
        <f t="array" aca="1" ref="U315" ca="1">+_xlfn.XLOOKUP(Contrato5[[#This Row],[RCP]],[2]!COMPROMISOS_2024[[#All],[consecutivo]],[2]!COMPROMISOS_2024[[#All],[fecha_aprobacion]],"",0)</f>
        <v>#NAME?</v>
      </c>
      <c r="V315" s="141" t="e">
        <f ca="1">SUMIF([2]!COMPROMISOS_2024[[#All],[consecutivo]],Contrato5[[#This Row],[RCP]],[2]!COMPROMISOS_2024[[#All],[valor_total]])</f>
        <v>#REF!</v>
      </c>
      <c r="W315" s="415">
        <v>45390</v>
      </c>
      <c r="X315" s="415" t="s">
        <v>1045</v>
      </c>
      <c r="Y315" s="143">
        <v>45391</v>
      </c>
      <c r="Z315" s="262">
        <v>45573</v>
      </c>
      <c r="AA315" s="183" t="s">
        <v>1002</v>
      </c>
      <c r="AB315" s="172" t="s">
        <v>640</v>
      </c>
      <c r="AC315" s="172"/>
      <c r="AD315" s="211">
        <v>202000004182</v>
      </c>
      <c r="AE315" s="147" t="s">
        <v>523</v>
      </c>
      <c r="AF315" s="148" t="str">
        <f>TEXT(LEFT(Contrato5[[#This Row],[CONTRATO]],3),"0")</f>
        <v>252</v>
      </c>
      <c r="AG315" s="148" t="str">
        <f>IF(LEN(Contrato5[[#This Row],[Contrato2]])=3,Contrato5[[#This Row],[Contrato2]],TEXT(Contrato5[[#This Row],[Contrato2]],"000"))</f>
        <v>252</v>
      </c>
      <c r="AH315" s="149">
        <f ca="1">IFERROR(_xlfn.DAYS(Contrato5[[#This Row],[Fecha Proyectada liquidación]],TODAY())/30,"")</f>
        <v>-2.1666666666666665</v>
      </c>
      <c r="AI315" s="150">
        <f>+Contrato5[[#This Row],[FECHA TERMINACIÓN ]]+120</f>
        <v>45693</v>
      </c>
      <c r="AJ315" s="147"/>
      <c r="AK315" s="152" t="str">
        <f ca="1">IF(Contrato5[[#This Row],[FECHA TERMINACIÓN ]]&lt;TODAY(), "Terminado",IF(ISNUMBER(Contrato5[[#This Row],[Fecha Real de liquiidación ]]),"Liquidado",IF(Contrato5[[#This Row],[FECHA TERMINACIÓN ]]&gt;=TODAY(),"En ejecución","")))</f>
        <v>Terminado</v>
      </c>
      <c r="AL315" s="153" t="e">
        <f ca="1">SUMIF([2]!COMPROMISOS_2024[[#All],[consecutivo]],Contrato5[[#This Row],[RCP]],[2]!COMPROMISOS_2024[[#All],[Total pagado]])</f>
        <v>#REF!</v>
      </c>
      <c r="AM315" s="154">
        <f ca="1">IFERROR(Contrato5[[#This Row],[Pagos]]/Contrato5[[#This Row],[VALOR CONTRATO]],0)</f>
        <v>0</v>
      </c>
      <c r="AN315" s="198" t="e">
        <f ca="1">+Contrato5[[#This Row],[VALOR CONTRATO]]-Contrato5[[#This Row],[Pagos]]</f>
        <v>#REF!</v>
      </c>
      <c r="AO315" s="147" t="e" cm="1">
        <f t="array" aca="1" ref="AO315" ca="1">_xlfn.XLOOKUP(Contrato5[[#This Row],[DOCUMENTO ]],[2]!PERSONAL_ACTIVO_2024[[#All],[Documento identidad]],[2]!PERSONAL_ACTIVO_2024[[#All],[Mail ]],0,0)</f>
        <v>#NAME?</v>
      </c>
      <c r="AP315" s="147" t="e" cm="1">
        <f t="array" aca="1" ref="AP315" ca="1">_xlfn.XLOOKUP(Contrato5[[#This Row],[DOCUMENTO]],[2]!PERSONAL_ACTIVO_2024[[#All],[Documento identidad]],[2]!PERSONAL_ACTIVO_2024[[#All],[Mail ]],0,0)</f>
        <v>#NAME?</v>
      </c>
      <c r="AQ315" s="439" cm="1">
        <f t="array" aca="1" ref="AQ315" ca="1">IF(ISBLANK(Contrato5[[#This Row],[DEPENDENCIA ]]),0,IFERROR(_xlfn.XLOOKUP(Contrato5[[#This Row],[DEPENDENCIA ]],[2]!PERSONAL_ACTIVO_2024[[#All],[Dependencia]],[2]!PERSONAL_ACTIVO_2024[[#All],[Mail ]],0,0),0))</f>
        <v>0</v>
      </c>
    </row>
    <row r="316" spans="1:43" ht="34.5" customHeight="1">
      <c r="A316" s="147">
        <v>1170</v>
      </c>
      <c r="B316" s="124">
        <v>252</v>
      </c>
      <c r="C316" s="162" t="s">
        <v>2159</v>
      </c>
      <c r="D316" s="227" t="s">
        <v>583</v>
      </c>
      <c r="E316" s="440" t="s">
        <v>78</v>
      </c>
      <c r="F316" s="126" t="s">
        <v>1376</v>
      </c>
      <c r="G316" s="190" t="s">
        <v>1009</v>
      </c>
      <c r="H316" s="447">
        <v>80195539</v>
      </c>
      <c r="I316" s="455">
        <v>4908936</v>
      </c>
      <c r="J316" s="437">
        <v>11290553</v>
      </c>
      <c r="K316" s="147"/>
      <c r="L316" s="438" t="s">
        <v>2564</v>
      </c>
      <c r="M316" s="194" t="s">
        <v>600</v>
      </c>
      <c r="N316" s="177" t="e" cm="1">
        <f t="array" aca="1" ref="N316" ca="1">_xlfn.XLOOKUP(Contrato5[[#This Row],[SUPERVISOR TITULAR]],[2]!PERSONAL_ACTIVO_2024[[#All],[Nombre completo]],[2]!PERSONAL_ACTIVO_2024[[#All],[Documento identidad]],"",0)</f>
        <v>#NAME?</v>
      </c>
      <c r="O316" s="194" t="s">
        <v>2495</v>
      </c>
      <c r="P316" s="196" t="e" cm="1">
        <f t="array" aca="1" ref="P316" ca="1">_xlfn.XLOOKUP(Contrato5[[#This Row],[SUPERVISOR SUPLENTE ]],[2]!PERSONAL_ACTIVO_2024[[#All],[Nombre completo]],[2]!PERSONAL_ACTIVO_2024[[#All],[Documento identidad]],"",0)</f>
        <v>#NAME?</v>
      </c>
      <c r="Q316" s="170">
        <v>978</v>
      </c>
      <c r="R316" s="137" t="e" cm="1">
        <f t="array" aca="1" ref="R316" ca="1">_xlfn.XLOOKUP(Contrato5[[#This Row],[CDP]],[2]!DISPONIBILIDADES_2024[[#All],[consecutivo]],[2]!DISPONIBILIDADES_2024[[#All],[fecha_aprobacion]],"",0)</f>
        <v>#NAME?</v>
      </c>
      <c r="S316" s="138" t="e">
        <f>SUMIF([2]!DISPONIBILIDADES_2024[[#All],[consecutivo]],Contrato5[[#This Row],[CDP]],[2]!DISPONIBILIDADES_2024[[#All],[valor_total_rubro]])</f>
        <v>#REF!</v>
      </c>
      <c r="T316" s="139" t="e" cm="1">
        <f t="array" aca="1" ref="T316" ca="1">_xlfn.XLOOKUP(Contrato5[[#This Row],[CONTRATO]]&amp;Contrato5[[#This Row],[CDP]],[2]!Corr_Contr_CDP[[#All],[CONTRATO-CDP]],[2]!Corr_Contr_CDP[[#All],[CRP]],_xlfn.XLOOKUP(Contrato5[[#This Row],[CDP]],[2]!COMPROMISOS_2024[[#All],[disponibilidad]],[2]!COMPROMISOS_2024[[#All],[consecutivo]],"",0),0)</f>
        <v>#NAME?</v>
      </c>
      <c r="U316" s="140" t="e" cm="1">
        <f t="array" aca="1" ref="U316" ca="1">+_xlfn.XLOOKUP(Contrato5[[#This Row],[RCP]],[2]!COMPROMISOS_2024[[#All],[consecutivo]],[2]!COMPROMISOS_2024[[#All],[fecha_aprobacion]],"",0)</f>
        <v>#NAME?</v>
      </c>
      <c r="V316" s="141" t="e">
        <f ca="1">SUMIF([2]!COMPROMISOS_2024[[#All],[consecutivo]],Contrato5[[#This Row],[RCP]],[2]!COMPROMISOS_2024[[#All],[valor_total]])</f>
        <v>#REF!</v>
      </c>
      <c r="W316" s="415">
        <v>45572</v>
      </c>
      <c r="X316" s="415" t="s">
        <v>1045</v>
      </c>
      <c r="Y316" s="143">
        <v>45574</v>
      </c>
      <c r="Z316" s="262">
        <v>45643</v>
      </c>
      <c r="AA316" s="225"/>
      <c r="AB316" s="172" t="s">
        <v>2593</v>
      </c>
      <c r="AC316" s="127"/>
      <c r="AD316" s="211"/>
      <c r="AE316" s="147"/>
      <c r="AF316" s="148" t="str">
        <f>TEXT(LEFT(Contrato5[[#This Row],[CONTRATO]],3),"0")</f>
        <v>252</v>
      </c>
      <c r="AG316" s="148" t="str">
        <f>IF(LEN(Contrato5[[#This Row],[Contrato2]])=3,Contrato5[[#This Row],[Contrato2]],TEXT(Contrato5[[#This Row],[Contrato2]],"000"))</f>
        <v>252</v>
      </c>
      <c r="AH316" s="149">
        <f ca="1">IFERROR(_xlfn.DAYS(Contrato5[[#This Row],[Fecha Proyectada liquidación]],TODAY())/30,"")</f>
        <v>0.16666666666666666</v>
      </c>
      <c r="AI316" s="150">
        <f>+Contrato5[[#This Row],[FECHA TERMINACIÓN ]]+120</f>
        <v>45763</v>
      </c>
      <c r="AJ316" s="147"/>
      <c r="AK316" s="152" t="str">
        <f ca="1">IF(Contrato5[[#This Row],[FECHA TERMINACIÓN ]]&lt;TODAY(), "Terminado",IF(ISNUMBER(Contrato5[[#This Row],[Fecha Real de liquiidación ]]),"Liquidado",IF(Contrato5[[#This Row],[FECHA TERMINACIÓN ]]&gt;=TODAY(),"En ejecución","")))</f>
        <v>Terminado</v>
      </c>
      <c r="AL316" s="153" t="e">
        <f ca="1">SUMIF([2]!COMPROMISOS_2024[[#All],[consecutivo]],Contrato5[[#This Row],[RCP]],[2]!COMPROMISOS_2024[[#All],[Total pagado]])</f>
        <v>#REF!</v>
      </c>
      <c r="AM316" s="154">
        <f ca="1">IFERROR(Contrato5[[#This Row],[Pagos]]/Contrato5[[#This Row],[VALOR CONTRATO]],0)</f>
        <v>0</v>
      </c>
      <c r="AN316" s="198" t="e">
        <f ca="1">+Contrato5[[#This Row],[VALOR CONTRATO]]-Contrato5[[#This Row],[Pagos]]</f>
        <v>#REF!</v>
      </c>
      <c r="AO316" s="147" t="e" cm="1">
        <f t="array" aca="1" ref="AO316" ca="1">_xlfn.XLOOKUP(Contrato5[[#This Row],[DOCUMENTO ]],[2]!PERSONAL_ACTIVO_2024[[#All],[Documento identidad]],[2]!PERSONAL_ACTIVO_2024[[#All],[Mail ]],0,0)</f>
        <v>#NAME?</v>
      </c>
      <c r="AP316" s="147" t="e" cm="1">
        <f t="array" aca="1" ref="AP316" ca="1">_xlfn.XLOOKUP(Contrato5[[#This Row],[DOCUMENTO]],[2]!PERSONAL_ACTIVO_2024[[#All],[Documento identidad]],[2]!PERSONAL_ACTIVO_2024[[#All],[Mail ]],0,0)</f>
        <v>#NAME?</v>
      </c>
      <c r="AQ316" s="439" cm="1">
        <f t="array" aca="1" ref="AQ316" ca="1">IF(ISBLANK(Contrato5[[#This Row],[DEPENDENCIA ]]),0,IFERROR(_xlfn.XLOOKUP(Contrato5[[#This Row],[DEPENDENCIA ]],[2]!PERSONAL_ACTIVO_2024[[#All],[Dependencia]],[2]!PERSONAL_ACTIVO_2024[[#All],[Mail ]],0,0),0))</f>
        <v>0</v>
      </c>
    </row>
    <row r="317" spans="1:43" ht="34.5" customHeight="1">
      <c r="A317" s="125">
        <v>595</v>
      </c>
      <c r="B317" s="124">
        <v>253</v>
      </c>
      <c r="C317" s="162" t="s">
        <v>1726</v>
      </c>
      <c r="D317" s="227" t="s">
        <v>583</v>
      </c>
      <c r="E317" s="128" t="s">
        <v>94</v>
      </c>
      <c r="F317" s="163" t="s">
        <v>1376</v>
      </c>
      <c r="G317" s="190" t="s">
        <v>1010</v>
      </c>
      <c r="H317" s="447">
        <v>98778700</v>
      </c>
      <c r="I317" s="455">
        <v>3952382</v>
      </c>
      <c r="J317" s="456">
        <v>23714292</v>
      </c>
      <c r="K317" s="131" t="s">
        <v>42</v>
      </c>
      <c r="L317" s="438" t="s">
        <v>989</v>
      </c>
      <c r="M317" s="194" t="s">
        <v>586</v>
      </c>
      <c r="N317" s="177" t="e" cm="1">
        <f t="array" aca="1" ref="N317" ca="1">_xlfn.XLOOKUP(Contrato5[[#This Row],[SUPERVISOR TITULAR]],[2]!PERSONAL_ACTIVO_2024[[#All],[Nombre completo]],[2]!PERSONAL_ACTIVO_2024[[#All],[Documento identidad]],"",0)</f>
        <v>#NAME?</v>
      </c>
      <c r="O317" s="194" t="s">
        <v>589</v>
      </c>
      <c r="P317" s="196" t="e" cm="1">
        <f t="array" aca="1" ref="P317" ca="1">_xlfn.XLOOKUP(Contrato5[[#This Row],[SUPERVISOR SUPLENTE ]],[2]!PERSONAL_ACTIVO_2024[[#All],[Nombre completo]],[2]!PERSONAL_ACTIVO_2024[[#All],[Documento identidad]],"",0)</f>
        <v>#NAME?</v>
      </c>
      <c r="Q317" s="170">
        <v>347</v>
      </c>
      <c r="R317" s="137" t="e" cm="1">
        <f t="array" aca="1" ref="R317" ca="1">_xlfn.XLOOKUP(Contrato5[[#This Row],[CDP]],[2]!DISPONIBILIDADES_2024[[#All],[consecutivo]],[2]!DISPONIBILIDADES_2024[[#All],[fecha_aprobacion]],"",0)</f>
        <v>#NAME?</v>
      </c>
      <c r="S317" s="138" t="e">
        <f>SUMIF([2]!DISPONIBILIDADES_2024[[#All],[consecutivo]],Contrato5[[#This Row],[CDP]],[2]!DISPONIBILIDADES_2024[[#All],[valor_total_rubro]])</f>
        <v>#REF!</v>
      </c>
      <c r="T317" s="139" t="e" cm="1">
        <f t="array" aca="1" ref="T317" ca="1">_xlfn.XLOOKUP(Contrato5[[#This Row],[CONTRATO]]&amp;Contrato5[[#This Row],[CDP]],[2]!Corr_Contr_CDP[[#All],[CONTRATO-CDP]],[2]!Corr_Contr_CDP[[#All],[CRP]],_xlfn.XLOOKUP(Contrato5[[#This Row],[CDP]],[2]!COMPROMISOS_2024[[#All],[disponibilidad]],[2]!COMPROMISOS_2024[[#All],[consecutivo]],"",0),0)</f>
        <v>#NAME?</v>
      </c>
      <c r="U317" s="140" t="e" cm="1">
        <f t="array" aca="1" ref="U317" ca="1">+_xlfn.XLOOKUP(Contrato5[[#This Row],[RCP]],[2]!COMPROMISOS_2024[[#All],[consecutivo]],[2]!COMPROMISOS_2024[[#All],[fecha_aprobacion]],"",0)</f>
        <v>#NAME?</v>
      </c>
      <c r="V317" s="141" t="e">
        <f ca="1">SUMIF([2]!COMPROMISOS_2024[[#All],[consecutivo]],Contrato5[[#This Row],[RCP]],[2]!COMPROMISOS_2024[[#All],[valor_total]])</f>
        <v>#REF!</v>
      </c>
      <c r="W317" s="415">
        <v>45390</v>
      </c>
      <c r="X317" s="415" t="s">
        <v>1045</v>
      </c>
      <c r="Y317" s="143">
        <v>45391</v>
      </c>
      <c r="Z317" s="262">
        <v>45573</v>
      </c>
      <c r="AA317" s="183" t="s">
        <v>1002</v>
      </c>
      <c r="AB317" s="172" t="s">
        <v>640</v>
      </c>
      <c r="AC317" s="172"/>
      <c r="AD317" s="211">
        <v>202000004183</v>
      </c>
      <c r="AE317" s="147" t="s">
        <v>523</v>
      </c>
      <c r="AF317" s="148" t="str">
        <f>TEXT(LEFT(Contrato5[[#This Row],[CONTRATO]],3),"0")</f>
        <v>253</v>
      </c>
      <c r="AG317" s="148" t="str">
        <f>IF(LEN(Contrato5[[#This Row],[Contrato2]])=3,Contrato5[[#This Row],[Contrato2]],TEXT(Contrato5[[#This Row],[Contrato2]],"000"))</f>
        <v>253</v>
      </c>
      <c r="AH317" s="149">
        <f ca="1">IFERROR(_xlfn.DAYS(Contrato5[[#This Row],[Fecha Proyectada liquidación]],TODAY())/30,"")</f>
        <v>-2.1666666666666665</v>
      </c>
      <c r="AI317" s="150">
        <f>+Contrato5[[#This Row],[FECHA TERMINACIÓN ]]+120</f>
        <v>45693</v>
      </c>
      <c r="AJ317" s="147"/>
      <c r="AK317" s="152" t="str">
        <f ca="1">IF(Contrato5[[#This Row],[FECHA TERMINACIÓN ]]&lt;TODAY(), "Terminado",IF(ISNUMBER(Contrato5[[#This Row],[Fecha Real de liquiidación ]]),"Liquidado",IF(Contrato5[[#This Row],[FECHA TERMINACIÓN ]]&gt;=TODAY(),"En ejecución","")))</f>
        <v>Terminado</v>
      </c>
      <c r="AL317" s="153" t="e">
        <f ca="1">SUMIF([2]!COMPROMISOS_2024[[#All],[consecutivo]],Contrato5[[#This Row],[RCP]],[2]!COMPROMISOS_2024[[#All],[Total pagado]])</f>
        <v>#REF!</v>
      </c>
      <c r="AM317" s="154">
        <f ca="1">IFERROR(Contrato5[[#This Row],[Pagos]]/Contrato5[[#This Row],[VALOR CONTRATO]],0)</f>
        <v>0</v>
      </c>
      <c r="AN317" s="198" t="e">
        <f ca="1">+Contrato5[[#This Row],[VALOR CONTRATO]]-Contrato5[[#This Row],[Pagos]]</f>
        <v>#REF!</v>
      </c>
      <c r="AO317" s="147" t="e" cm="1">
        <f t="array" aca="1" ref="AO317" ca="1">_xlfn.XLOOKUP(Contrato5[[#This Row],[DOCUMENTO ]],[2]!PERSONAL_ACTIVO_2024[[#All],[Documento identidad]],[2]!PERSONAL_ACTIVO_2024[[#All],[Mail ]],0,0)</f>
        <v>#NAME?</v>
      </c>
      <c r="AP317" s="147" t="e" cm="1">
        <f t="array" aca="1" ref="AP317" ca="1">_xlfn.XLOOKUP(Contrato5[[#This Row],[DOCUMENTO]],[2]!PERSONAL_ACTIVO_2024[[#All],[Documento identidad]],[2]!PERSONAL_ACTIVO_2024[[#All],[Mail ]],0,0)</f>
        <v>#NAME?</v>
      </c>
      <c r="AQ317" s="439" cm="1">
        <f t="array" aca="1" ref="AQ317" ca="1">IF(ISBLANK(Contrato5[[#This Row],[DEPENDENCIA ]]),0,IFERROR(_xlfn.XLOOKUP(Contrato5[[#This Row],[DEPENDENCIA ]],[2]!PERSONAL_ACTIVO_2024[[#All],[Dependencia]],[2]!PERSONAL_ACTIVO_2024[[#All],[Mail ]],0,0),0))</f>
        <v>0</v>
      </c>
    </row>
    <row r="318" spans="1:43" ht="34.5" customHeight="1">
      <c r="A318" s="147">
        <v>1171</v>
      </c>
      <c r="B318" s="124">
        <v>253</v>
      </c>
      <c r="C318" s="162" t="s">
        <v>2160</v>
      </c>
      <c r="D318" s="227" t="s">
        <v>583</v>
      </c>
      <c r="E318" s="440" t="s">
        <v>78</v>
      </c>
      <c r="F318" s="126" t="s">
        <v>1376</v>
      </c>
      <c r="G318" s="190" t="s">
        <v>1010</v>
      </c>
      <c r="H318" s="447">
        <v>98778700</v>
      </c>
      <c r="I318" s="455">
        <v>3952382</v>
      </c>
      <c r="J318" s="437">
        <v>9090479</v>
      </c>
      <c r="K318" s="147"/>
      <c r="L318" s="438" t="s">
        <v>2564</v>
      </c>
      <c r="M318" s="194" t="s">
        <v>586</v>
      </c>
      <c r="N318" s="177" t="e" cm="1">
        <f t="array" aca="1" ref="N318" ca="1">_xlfn.XLOOKUP(Contrato5[[#This Row],[SUPERVISOR TITULAR]],[2]!PERSONAL_ACTIVO_2024[[#All],[Nombre completo]],[2]!PERSONAL_ACTIVO_2024[[#All],[Documento identidad]],"",0)</f>
        <v>#NAME?</v>
      </c>
      <c r="O318" s="194" t="s">
        <v>589</v>
      </c>
      <c r="P318" s="196" t="e" cm="1">
        <f t="array" aca="1" ref="P318" ca="1">_xlfn.XLOOKUP(Contrato5[[#This Row],[SUPERVISOR SUPLENTE ]],[2]!PERSONAL_ACTIVO_2024[[#All],[Nombre completo]],[2]!PERSONAL_ACTIVO_2024[[#All],[Documento identidad]],"",0)</f>
        <v>#NAME?</v>
      </c>
      <c r="Q318" s="170">
        <v>980</v>
      </c>
      <c r="R318" s="137" t="e" cm="1">
        <f t="array" aca="1" ref="R318" ca="1">_xlfn.XLOOKUP(Contrato5[[#This Row],[CDP]],[2]!DISPONIBILIDADES_2024[[#All],[consecutivo]],[2]!DISPONIBILIDADES_2024[[#All],[fecha_aprobacion]],"",0)</f>
        <v>#NAME?</v>
      </c>
      <c r="S318" s="138" t="e">
        <f>SUMIF([2]!DISPONIBILIDADES_2024[[#All],[consecutivo]],Contrato5[[#This Row],[CDP]],[2]!DISPONIBILIDADES_2024[[#All],[valor_total_rubro]])</f>
        <v>#REF!</v>
      </c>
      <c r="T318" s="139" t="e" cm="1">
        <f t="array" aca="1" ref="T318" ca="1">_xlfn.XLOOKUP(Contrato5[[#This Row],[CONTRATO]]&amp;Contrato5[[#This Row],[CDP]],[2]!Corr_Contr_CDP[[#All],[CONTRATO-CDP]],[2]!Corr_Contr_CDP[[#All],[CRP]],_xlfn.XLOOKUP(Contrato5[[#This Row],[CDP]],[2]!COMPROMISOS_2024[[#All],[disponibilidad]],[2]!COMPROMISOS_2024[[#All],[consecutivo]],"",0),0)</f>
        <v>#NAME?</v>
      </c>
      <c r="U318" s="140" t="e" cm="1">
        <f t="array" aca="1" ref="U318" ca="1">+_xlfn.XLOOKUP(Contrato5[[#This Row],[RCP]],[2]!COMPROMISOS_2024[[#All],[consecutivo]],[2]!COMPROMISOS_2024[[#All],[fecha_aprobacion]],"",0)</f>
        <v>#NAME?</v>
      </c>
      <c r="V318" s="141" t="e">
        <f ca="1">SUMIF([2]!COMPROMISOS_2024[[#All],[consecutivo]],Contrato5[[#This Row],[RCP]],[2]!COMPROMISOS_2024[[#All],[valor_total]])</f>
        <v>#REF!</v>
      </c>
      <c r="W318" s="415">
        <v>45572</v>
      </c>
      <c r="X318" s="415" t="s">
        <v>1045</v>
      </c>
      <c r="Y318" s="143">
        <v>45574</v>
      </c>
      <c r="Z318" s="262">
        <v>45643</v>
      </c>
      <c r="AA318" s="225"/>
      <c r="AB318" s="172" t="s">
        <v>2591</v>
      </c>
      <c r="AC318" s="127"/>
      <c r="AD318" s="211"/>
      <c r="AE318" s="147"/>
      <c r="AF318" s="148" t="str">
        <f>TEXT(LEFT(Contrato5[[#This Row],[CONTRATO]],3),"0")</f>
        <v>253</v>
      </c>
      <c r="AG318" s="148" t="str">
        <f>IF(LEN(Contrato5[[#This Row],[Contrato2]])=3,Contrato5[[#This Row],[Contrato2]],TEXT(Contrato5[[#This Row],[Contrato2]],"000"))</f>
        <v>253</v>
      </c>
      <c r="AH318" s="149">
        <f ca="1">IFERROR(_xlfn.DAYS(Contrato5[[#This Row],[Fecha Proyectada liquidación]],TODAY())/30,"")</f>
        <v>0.16666666666666666</v>
      </c>
      <c r="AI318" s="150">
        <f>+Contrato5[[#This Row],[FECHA TERMINACIÓN ]]+120</f>
        <v>45763</v>
      </c>
      <c r="AJ318" s="147"/>
      <c r="AK318" s="152" t="str">
        <f ca="1">IF(Contrato5[[#This Row],[FECHA TERMINACIÓN ]]&lt;TODAY(), "Terminado",IF(ISNUMBER(Contrato5[[#This Row],[Fecha Real de liquiidación ]]),"Liquidado",IF(Contrato5[[#This Row],[FECHA TERMINACIÓN ]]&gt;=TODAY(),"En ejecución","")))</f>
        <v>Terminado</v>
      </c>
      <c r="AL318" s="153" t="e">
        <f ca="1">SUMIF([2]!COMPROMISOS_2024[[#All],[consecutivo]],Contrato5[[#This Row],[RCP]],[2]!COMPROMISOS_2024[[#All],[Total pagado]])</f>
        <v>#REF!</v>
      </c>
      <c r="AM318" s="154">
        <f ca="1">IFERROR(Contrato5[[#This Row],[Pagos]]/Contrato5[[#This Row],[VALOR CONTRATO]],0)</f>
        <v>0</v>
      </c>
      <c r="AN318" s="198" t="e">
        <f ca="1">+Contrato5[[#This Row],[VALOR CONTRATO]]-Contrato5[[#This Row],[Pagos]]</f>
        <v>#REF!</v>
      </c>
      <c r="AO318" s="147" t="e" cm="1">
        <f t="array" aca="1" ref="AO318" ca="1">_xlfn.XLOOKUP(Contrato5[[#This Row],[DOCUMENTO ]],[2]!PERSONAL_ACTIVO_2024[[#All],[Documento identidad]],[2]!PERSONAL_ACTIVO_2024[[#All],[Mail ]],0,0)</f>
        <v>#NAME?</v>
      </c>
      <c r="AP318" s="147" t="e" cm="1">
        <f t="array" aca="1" ref="AP318" ca="1">_xlfn.XLOOKUP(Contrato5[[#This Row],[DOCUMENTO]],[2]!PERSONAL_ACTIVO_2024[[#All],[Documento identidad]],[2]!PERSONAL_ACTIVO_2024[[#All],[Mail ]],0,0)</f>
        <v>#NAME?</v>
      </c>
      <c r="AQ318" s="439" cm="1">
        <f t="array" aca="1" ref="AQ318" ca="1">IF(ISBLANK(Contrato5[[#This Row],[DEPENDENCIA ]]),0,IFERROR(_xlfn.XLOOKUP(Contrato5[[#This Row],[DEPENDENCIA ]],[2]!PERSONAL_ACTIVO_2024[[#All],[Dependencia]],[2]!PERSONAL_ACTIVO_2024[[#All],[Mail ]],0,0),0))</f>
        <v>0</v>
      </c>
    </row>
    <row r="319" spans="1:43" ht="34.5" customHeight="1">
      <c r="A319" s="125">
        <v>596</v>
      </c>
      <c r="B319" s="124">
        <v>254</v>
      </c>
      <c r="C319" s="162" t="s">
        <v>1727</v>
      </c>
      <c r="D319" s="227" t="s">
        <v>583</v>
      </c>
      <c r="E319" s="128" t="s">
        <v>94</v>
      </c>
      <c r="F319" s="163" t="s">
        <v>1376</v>
      </c>
      <c r="G319" s="190" t="s">
        <v>1011</v>
      </c>
      <c r="H319" s="447">
        <v>1017246519</v>
      </c>
      <c r="I319" s="455">
        <v>2574842</v>
      </c>
      <c r="J319" s="456">
        <v>15449052</v>
      </c>
      <c r="K319" s="131" t="s">
        <v>42</v>
      </c>
      <c r="L319" s="438" t="s">
        <v>989</v>
      </c>
      <c r="M319" s="194" t="s">
        <v>586</v>
      </c>
      <c r="N319" s="177" t="e" cm="1">
        <f t="array" aca="1" ref="N319" ca="1">_xlfn.XLOOKUP(Contrato5[[#This Row],[SUPERVISOR TITULAR]],[2]!PERSONAL_ACTIVO_2024[[#All],[Nombre completo]],[2]!PERSONAL_ACTIVO_2024[[#All],[Documento identidad]],"",0)</f>
        <v>#NAME?</v>
      </c>
      <c r="O319" s="194" t="s">
        <v>589</v>
      </c>
      <c r="P319" s="196" t="e" cm="1">
        <f t="array" aca="1" ref="P319" ca="1">_xlfn.XLOOKUP(Contrato5[[#This Row],[SUPERVISOR SUPLENTE ]],[2]!PERSONAL_ACTIVO_2024[[#All],[Nombre completo]],[2]!PERSONAL_ACTIVO_2024[[#All],[Documento identidad]],"",0)</f>
        <v>#NAME?</v>
      </c>
      <c r="Q319" s="170">
        <v>318</v>
      </c>
      <c r="R319" s="137" t="e" cm="1">
        <f t="array" aca="1" ref="R319" ca="1">_xlfn.XLOOKUP(Contrato5[[#This Row],[CDP]],[2]!DISPONIBILIDADES_2024[[#All],[consecutivo]],[2]!DISPONIBILIDADES_2024[[#All],[fecha_aprobacion]],"",0)</f>
        <v>#NAME?</v>
      </c>
      <c r="S319" s="138" t="e">
        <f>SUMIF([2]!DISPONIBILIDADES_2024[[#All],[consecutivo]],Contrato5[[#This Row],[CDP]],[2]!DISPONIBILIDADES_2024[[#All],[valor_total_rubro]])</f>
        <v>#REF!</v>
      </c>
      <c r="T319" s="139" t="e" cm="1">
        <f t="array" aca="1" ref="T319" ca="1">_xlfn.XLOOKUP(Contrato5[[#This Row],[CONTRATO]]&amp;Contrato5[[#This Row],[CDP]],[2]!Corr_Contr_CDP[[#All],[CONTRATO-CDP]],[2]!Corr_Contr_CDP[[#All],[CRP]],_xlfn.XLOOKUP(Contrato5[[#This Row],[CDP]],[2]!COMPROMISOS_2024[[#All],[disponibilidad]],[2]!COMPROMISOS_2024[[#All],[consecutivo]],"",0),0)</f>
        <v>#NAME?</v>
      </c>
      <c r="U319" s="140" t="e" cm="1">
        <f t="array" aca="1" ref="U319" ca="1">+_xlfn.XLOOKUP(Contrato5[[#This Row],[RCP]],[2]!COMPROMISOS_2024[[#All],[consecutivo]],[2]!COMPROMISOS_2024[[#All],[fecha_aprobacion]],"",0)</f>
        <v>#NAME?</v>
      </c>
      <c r="V319" s="141" t="e">
        <f ca="1">SUMIF([2]!COMPROMISOS_2024[[#All],[consecutivo]],Contrato5[[#This Row],[RCP]],[2]!COMPROMISOS_2024[[#All],[valor_total]])</f>
        <v>#REF!</v>
      </c>
      <c r="W319" s="415">
        <v>45390</v>
      </c>
      <c r="X319" s="415" t="s">
        <v>1045</v>
      </c>
      <c r="Y319" s="143">
        <v>45391</v>
      </c>
      <c r="Z319" s="262">
        <v>45573</v>
      </c>
      <c r="AA319" s="171" t="s">
        <v>1002</v>
      </c>
      <c r="AB319" s="172" t="s">
        <v>640</v>
      </c>
      <c r="AC319" s="172"/>
      <c r="AD319" s="211">
        <v>202000004184</v>
      </c>
      <c r="AE319" s="147" t="s">
        <v>523</v>
      </c>
      <c r="AF319" s="148" t="str">
        <f>TEXT(LEFT(Contrato5[[#This Row],[CONTRATO]],3),"0")</f>
        <v>254</v>
      </c>
      <c r="AG319" s="148" t="str">
        <f>IF(LEN(Contrato5[[#This Row],[Contrato2]])=3,Contrato5[[#This Row],[Contrato2]],TEXT(Contrato5[[#This Row],[Contrato2]],"000"))</f>
        <v>254</v>
      </c>
      <c r="AH319" s="149">
        <f ca="1">IFERROR(_xlfn.DAYS(Contrato5[[#This Row],[Fecha Proyectada liquidación]],TODAY())/30,"")</f>
        <v>-2.1666666666666665</v>
      </c>
      <c r="AI319" s="150">
        <f>+Contrato5[[#This Row],[FECHA TERMINACIÓN ]]+120</f>
        <v>45693</v>
      </c>
      <c r="AJ319" s="147"/>
      <c r="AK319" s="152" t="str">
        <f ca="1">IF(Contrato5[[#This Row],[FECHA TERMINACIÓN ]]&lt;TODAY(), "Terminado",IF(ISNUMBER(Contrato5[[#This Row],[Fecha Real de liquiidación ]]),"Liquidado",IF(Contrato5[[#This Row],[FECHA TERMINACIÓN ]]&gt;=TODAY(),"En ejecución","")))</f>
        <v>Terminado</v>
      </c>
      <c r="AL319" s="153" t="e">
        <f ca="1">SUMIF([2]!COMPROMISOS_2024[[#All],[consecutivo]],Contrato5[[#This Row],[RCP]],[2]!COMPROMISOS_2024[[#All],[Total pagado]])</f>
        <v>#REF!</v>
      </c>
      <c r="AM319" s="154">
        <f ca="1">IFERROR(Contrato5[[#This Row],[Pagos]]/Contrato5[[#This Row],[VALOR CONTRATO]],0)</f>
        <v>0</v>
      </c>
      <c r="AN319" s="198" t="e">
        <f ca="1">+Contrato5[[#This Row],[VALOR CONTRATO]]-Contrato5[[#This Row],[Pagos]]</f>
        <v>#REF!</v>
      </c>
      <c r="AO319" s="147" t="e" cm="1">
        <f t="array" aca="1" ref="AO319" ca="1">_xlfn.XLOOKUP(Contrato5[[#This Row],[DOCUMENTO ]],[2]!PERSONAL_ACTIVO_2024[[#All],[Documento identidad]],[2]!PERSONAL_ACTIVO_2024[[#All],[Mail ]],0,0)</f>
        <v>#NAME?</v>
      </c>
      <c r="AP319" s="147" t="e" cm="1">
        <f t="array" aca="1" ref="AP319" ca="1">_xlfn.XLOOKUP(Contrato5[[#This Row],[DOCUMENTO]],[2]!PERSONAL_ACTIVO_2024[[#All],[Documento identidad]],[2]!PERSONAL_ACTIVO_2024[[#All],[Mail ]],0,0)</f>
        <v>#NAME?</v>
      </c>
      <c r="AQ319" s="439" cm="1">
        <f t="array" aca="1" ref="AQ319" ca="1">IF(ISBLANK(Contrato5[[#This Row],[DEPENDENCIA ]]),0,IFERROR(_xlfn.XLOOKUP(Contrato5[[#This Row],[DEPENDENCIA ]],[2]!PERSONAL_ACTIVO_2024[[#All],[Dependencia]],[2]!PERSONAL_ACTIVO_2024[[#All],[Mail ]],0,0),0))</f>
        <v>0</v>
      </c>
    </row>
    <row r="320" spans="1:43" ht="34.5" customHeight="1">
      <c r="A320" s="147">
        <v>1172</v>
      </c>
      <c r="B320" s="124">
        <v>254</v>
      </c>
      <c r="C320" s="162" t="s">
        <v>2161</v>
      </c>
      <c r="D320" s="227" t="s">
        <v>583</v>
      </c>
      <c r="E320" s="440" t="s">
        <v>78</v>
      </c>
      <c r="F320" s="126" t="s">
        <v>1376</v>
      </c>
      <c r="G320" s="190" t="s">
        <v>1011</v>
      </c>
      <c r="H320" s="447">
        <v>1017246519</v>
      </c>
      <c r="I320" s="455">
        <v>2574842</v>
      </c>
      <c r="J320" s="437">
        <v>5922137</v>
      </c>
      <c r="K320" s="147"/>
      <c r="L320" s="438" t="s">
        <v>2564</v>
      </c>
      <c r="M320" s="194" t="s">
        <v>586</v>
      </c>
      <c r="N320" s="177" t="e" cm="1">
        <f t="array" aca="1" ref="N320" ca="1">_xlfn.XLOOKUP(Contrato5[[#This Row],[SUPERVISOR TITULAR]],[2]!PERSONAL_ACTIVO_2024[[#All],[Nombre completo]],[2]!PERSONAL_ACTIVO_2024[[#All],[Documento identidad]],"",0)</f>
        <v>#NAME?</v>
      </c>
      <c r="O320" s="194" t="s">
        <v>589</v>
      </c>
      <c r="P320" s="196" t="e" cm="1">
        <f t="array" aca="1" ref="P320" ca="1">_xlfn.XLOOKUP(Contrato5[[#This Row],[SUPERVISOR SUPLENTE ]],[2]!PERSONAL_ACTIVO_2024[[#All],[Nombre completo]],[2]!PERSONAL_ACTIVO_2024[[#All],[Documento identidad]],"",0)</f>
        <v>#NAME?</v>
      </c>
      <c r="Q320" s="170">
        <v>981</v>
      </c>
      <c r="R320" s="137" t="e" cm="1">
        <f t="array" aca="1" ref="R320" ca="1">_xlfn.XLOOKUP(Contrato5[[#This Row],[CDP]],[2]!DISPONIBILIDADES_2024[[#All],[consecutivo]],[2]!DISPONIBILIDADES_2024[[#All],[fecha_aprobacion]],"",0)</f>
        <v>#NAME?</v>
      </c>
      <c r="S320" s="138" t="e">
        <f>SUMIF([2]!DISPONIBILIDADES_2024[[#All],[consecutivo]],Contrato5[[#This Row],[CDP]],[2]!DISPONIBILIDADES_2024[[#All],[valor_total_rubro]])</f>
        <v>#REF!</v>
      </c>
      <c r="T320" s="139" t="e" cm="1">
        <f t="array" aca="1" ref="T320" ca="1">_xlfn.XLOOKUP(Contrato5[[#This Row],[CONTRATO]]&amp;Contrato5[[#This Row],[CDP]],[2]!Corr_Contr_CDP[[#All],[CONTRATO-CDP]],[2]!Corr_Contr_CDP[[#All],[CRP]],_xlfn.XLOOKUP(Contrato5[[#This Row],[CDP]],[2]!COMPROMISOS_2024[[#All],[disponibilidad]],[2]!COMPROMISOS_2024[[#All],[consecutivo]],"",0),0)</f>
        <v>#NAME?</v>
      </c>
      <c r="U320" s="140" t="e" cm="1">
        <f t="array" aca="1" ref="U320" ca="1">+_xlfn.XLOOKUP(Contrato5[[#This Row],[RCP]],[2]!COMPROMISOS_2024[[#All],[consecutivo]],[2]!COMPROMISOS_2024[[#All],[fecha_aprobacion]],"",0)</f>
        <v>#NAME?</v>
      </c>
      <c r="V320" s="141" t="e">
        <f ca="1">SUMIF([2]!COMPROMISOS_2024[[#All],[consecutivo]],Contrato5[[#This Row],[RCP]],[2]!COMPROMISOS_2024[[#All],[valor_total]])</f>
        <v>#REF!</v>
      </c>
      <c r="W320" s="415">
        <v>45572</v>
      </c>
      <c r="X320" s="415" t="s">
        <v>1045</v>
      </c>
      <c r="Y320" s="143">
        <v>45574</v>
      </c>
      <c r="Z320" s="262">
        <v>45643</v>
      </c>
      <c r="AA320" s="203"/>
      <c r="AB320" s="172" t="s">
        <v>2591</v>
      </c>
      <c r="AC320" s="127"/>
      <c r="AD320" s="211"/>
      <c r="AE320" s="147"/>
      <c r="AF320" s="148" t="str">
        <f>TEXT(LEFT(Contrato5[[#This Row],[CONTRATO]],3),"0")</f>
        <v>254</v>
      </c>
      <c r="AG320" s="148" t="str">
        <f>IF(LEN(Contrato5[[#This Row],[Contrato2]])=3,Contrato5[[#This Row],[Contrato2]],TEXT(Contrato5[[#This Row],[Contrato2]],"000"))</f>
        <v>254</v>
      </c>
      <c r="AH320" s="149">
        <f ca="1">IFERROR(_xlfn.DAYS(Contrato5[[#This Row],[Fecha Proyectada liquidación]],TODAY())/30,"")</f>
        <v>0.16666666666666666</v>
      </c>
      <c r="AI320" s="150">
        <f>+Contrato5[[#This Row],[FECHA TERMINACIÓN ]]+120</f>
        <v>45763</v>
      </c>
      <c r="AJ320" s="147"/>
      <c r="AK320" s="152" t="str">
        <f ca="1">IF(Contrato5[[#This Row],[FECHA TERMINACIÓN ]]&lt;TODAY(), "Terminado",IF(ISNUMBER(Contrato5[[#This Row],[Fecha Real de liquiidación ]]),"Liquidado",IF(Contrato5[[#This Row],[FECHA TERMINACIÓN ]]&gt;=TODAY(),"En ejecución","")))</f>
        <v>Terminado</v>
      </c>
      <c r="AL320" s="153" t="e">
        <f ca="1">SUMIF([2]!COMPROMISOS_2024[[#All],[consecutivo]],Contrato5[[#This Row],[RCP]],[2]!COMPROMISOS_2024[[#All],[Total pagado]])</f>
        <v>#REF!</v>
      </c>
      <c r="AM320" s="154">
        <f ca="1">IFERROR(Contrato5[[#This Row],[Pagos]]/Contrato5[[#This Row],[VALOR CONTRATO]],0)</f>
        <v>0</v>
      </c>
      <c r="AN320" s="198" t="e">
        <f ca="1">+Contrato5[[#This Row],[VALOR CONTRATO]]-Contrato5[[#This Row],[Pagos]]</f>
        <v>#REF!</v>
      </c>
      <c r="AO320" s="147" t="e" cm="1">
        <f t="array" aca="1" ref="AO320" ca="1">_xlfn.XLOOKUP(Contrato5[[#This Row],[DOCUMENTO ]],[2]!PERSONAL_ACTIVO_2024[[#All],[Documento identidad]],[2]!PERSONAL_ACTIVO_2024[[#All],[Mail ]],0,0)</f>
        <v>#NAME?</v>
      </c>
      <c r="AP320" s="147" t="e" cm="1">
        <f t="array" aca="1" ref="AP320" ca="1">_xlfn.XLOOKUP(Contrato5[[#This Row],[DOCUMENTO]],[2]!PERSONAL_ACTIVO_2024[[#All],[Documento identidad]],[2]!PERSONAL_ACTIVO_2024[[#All],[Mail ]],0,0)</f>
        <v>#NAME?</v>
      </c>
      <c r="AQ320" s="439" cm="1">
        <f t="array" aca="1" ref="AQ320" ca="1">IF(ISBLANK(Contrato5[[#This Row],[DEPENDENCIA ]]),0,IFERROR(_xlfn.XLOOKUP(Contrato5[[#This Row],[DEPENDENCIA ]],[2]!PERSONAL_ACTIVO_2024[[#All],[Dependencia]],[2]!PERSONAL_ACTIVO_2024[[#All],[Mail ]],0,0),0))</f>
        <v>0</v>
      </c>
    </row>
    <row r="321" spans="1:43" ht="34.5" customHeight="1">
      <c r="A321" s="125">
        <v>597</v>
      </c>
      <c r="B321" s="124">
        <v>255</v>
      </c>
      <c r="C321" s="162" t="s">
        <v>1728</v>
      </c>
      <c r="D321" s="227" t="s">
        <v>583</v>
      </c>
      <c r="E321" s="128" t="s">
        <v>94</v>
      </c>
      <c r="F321" s="163" t="s">
        <v>1376</v>
      </c>
      <c r="G321" s="190" t="s">
        <v>1012</v>
      </c>
      <c r="H321" s="447">
        <v>71374824</v>
      </c>
      <c r="I321" s="455">
        <v>3952382</v>
      </c>
      <c r="J321" s="456">
        <v>23714292</v>
      </c>
      <c r="K321" s="131" t="s">
        <v>42</v>
      </c>
      <c r="L321" s="438" t="s">
        <v>989</v>
      </c>
      <c r="M321" s="194" t="s">
        <v>586</v>
      </c>
      <c r="N321" s="177" t="e" cm="1">
        <f t="array" aca="1" ref="N321" ca="1">_xlfn.XLOOKUP(Contrato5[[#This Row],[SUPERVISOR TITULAR]],[2]!PERSONAL_ACTIVO_2024[[#All],[Nombre completo]],[2]!PERSONAL_ACTIVO_2024[[#All],[Documento identidad]],"",0)</f>
        <v>#NAME?</v>
      </c>
      <c r="O321" s="194" t="s">
        <v>589</v>
      </c>
      <c r="P321" s="196" t="e" cm="1">
        <f t="array" aca="1" ref="P321" ca="1">_xlfn.XLOOKUP(Contrato5[[#This Row],[SUPERVISOR SUPLENTE ]],[2]!PERSONAL_ACTIVO_2024[[#All],[Nombre completo]],[2]!PERSONAL_ACTIVO_2024[[#All],[Documento identidad]],"",0)</f>
        <v>#NAME?</v>
      </c>
      <c r="Q321" s="170">
        <v>319</v>
      </c>
      <c r="R321" s="137" t="e" cm="1">
        <f t="array" aca="1" ref="R321" ca="1">_xlfn.XLOOKUP(Contrato5[[#This Row],[CDP]],[2]!DISPONIBILIDADES_2024[[#All],[consecutivo]],[2]!DISPONIBILIDADES_2024[[#All],[fecha_aprobacion]],"",0)</f>
        <v>#NAME?</v>
      </c>
      <c r="S321" s="138" t="e">
        <f>SUMIF([2]!DISPONIBILIDADES_2024[[#All],[consecutivo]],Contrato5[[#This Row],[CDP]],[2]!DISPONIBILIDADES_2024[[#All],[valor_total_rubro]])</f>
        <v>#REF!</v>
      </c>
      <c r="T321" s="139" t="e" cm="1">
        <f t="array" aca="1" ref="T321" ca="1">_xlfn.XLOOKUP(Contrato5[[#This Row],[CONTRATO]]&amp;Contrato5[[#This Row],[CDP]],[2]!Corr_Contr_CDP[[#All],[CONTRATO-CDP]],[2]!Corr_Contr_CDP[[#All],[CRP]],_xlfn.XLOOKUP(Contrato5[[#This Row],[CDP]],[2]!COMPROMISOS_2024[[#All],[disponibilidad]],[2]!COMPROMISOS_2024[[#All],[consecutivo]],"",0),0)</f>
        <v>#NAME?</v>
      </c>
      <c r="U321" s="140" t="e" cm="1">
        <f t="array" aca="1" ref="U321" ca="1">+_xlfn.XLOOKUP(Contrato5[[#This Row],[RCP]],[2]!COMPROMISOS_2024[[#All],[consecutivo]],[2]!COMPROMISOS_2024[[#All],[fecha_aprobacion]],"",0)</f>
        <v>#NAME?</v>
      </c>
      <c r="V321" s="141" t="e">
        <f ca="1">SUMIF([2]!COMPROMISOS_2024[[#All],[consecutivo]],Contrato5[[#This Row],[RCP]],[2]!COMPROMISOS_2024[[#All],[valor_total]])</f>
        <v>#REF!</v>
      </c>
      <c r="W321" s="415">
        <v>45390</v>
      </c>
      <c r="X321" s="415" t="s">
        <v>1045</v>
      </c>
      <c r="Y321" s="143">
        <v>45391</v>
      </c>
      <c r="Z321" s="262">
        <v>45573</v>
      </c>
      <c r="AA321" s="171" t="s">
        <v>1002</v>
      </c>
      <c r="AB321" s="172" t="s">
        <v>640</v>
      </c>
      <c r="AC321" s="172"/>
      <c r="AD321" s="211">
        <v>202000004185</v>
      </c>
      <c r="AE321" s="147" t="s">
        <v>523</v>
      </c>
      <c r="AF321" s="148" t="str">
        <f>TEXT(LEFT(Contrato5[[#This Row],[CONTRATO]],3),"0")</f>
        <v>255</v>
      </c>
      <c r="AG321" s="148" t="str">
        <f>IF(LEN(Contrato5[[#This Row],[Contrato2]])=3,Contrato5[[#This Row],[Contrato2]],TEXT(Contrato5[[#This Row],[Contrato2]],"000"))</f>
        <v>255</v>
      </c>
      <c r="AH321" s="149">
        <f ca="1">IFERROR(_xlfn.DAYS(Contrato5[[#This Row],[Fecha Proyectada liquidación]],TODAY())/30,"")</f>
        <v>-2.1666666666666665</v>
      </c>
      <c r="AI321" s="150">
        <f>+Contrato5[[#This Row],[FECHA TERMINACIÓN ]]+120</f>
        <v>45693</v>
      </c>
      <c r="AJ321" s="147"/>
      <c r="AK321" s="152" t="str">
        <f ca="1">IF(Contrato5[[#This Row],[FECHA TERMINACIÓN ]]&lt;TODAY(), "Terminado",IF(ISNUMBER(Contrato5[[#This Row],[Fecha Real de liquiidación ]]),"Liquidado",IF(Contrato5[[#This Row],[FECHA TERMINACIÓN ]]&gt;=TODAY(),"En ejecución","")))</f>
        <v>Terminado</v>
      </c>
      <c r="AL321" s="153" t="e">
        <f ca="1">SUMIF([2]!COMPROMISOS_2024[[#All],[consecutivo]],Contrato5[[#This Row],[RCP]],[2]!COMPROMISOS_2024[[#All],[Total pagado]])</f>
        <v>#REF!</v>
      </c>
      <c r="AM321" s="154">
        <f ca="1">IFERROR(Contrato5[[#This Row],[Pagos]]/Contrato5[[#This Row],[VALOR CONTRATO]],0)</f>
        <v>0</v>
      </c>
      <c r="AN321" s="198" t="e">
        <f ca="1">+Contrato5[[#This Row],[VALOR CONTRATO]]-Contrato5[[#This Row],[Pagos]]</f>
        <v>#REF!</v>
      </c>
      <c r="AO321" s="147" t="e" cm="1">
        <f t="array" aca="1" ref="AO321" ca="1">_xlfn.XLOOKUP(Contrato5[[#This Row],[DOCUMENTO ]],[2]!PERSONAL_ACTIVO_2024[[#All],[Documento identidad]],[2]!PERSONAL_ACTIVO_2024[[#All],[Mail ]],0,0)</f>
        <v>#NAME?</v>
      </c>
      <c r="AP321" s="147" t="e" cm="1">
        <f t="array" aca="1" ref="AP321" ca="1">_xlfn.XLOOKUP(Contrato5[[#This Row],[DOCUMENTO]],[2]!PERSONAL_ACTIVO_2024[[#All],[Documento identidad]],[2]!PERSONAL_ACTIVO_2024[[#All],[Mail ]],0,0)</f>
        <v>#NAME?</v>
      </c>
      <c r="AQ321" s="439" cm="1">
        <f t="array" aca="1" ref="AQ321" ca="1">IF(ISBLANK(Contrato5[[#This Row],[DEPENDENCIA ]]),0,IFERROR(_xlfn.XLOOKUP(Contrato5[[#This Row],[DEPENDENCIA ]],[2]!PERSONAL_ACTIVO_2024[[#All],[Dependencia]],[2]!PERSONAL_ACTIVO_2024[[#All],[Mail ]],0,0),0))</f>
        <v>0</v>
      </c>
    </row>
    <row r="322" spans="1:43" ht="34.5" customHeight="1">
      <c r="A322" s="492">
        <v>1173</v>
      </c>
      <c r="B322" s="493">
        <v>255</v>
      </c>
      <c r="C322" s="494" t="s">
        <v>2162</v>
      </c>
      <c r="D322" s="495" t="s">
        <v>583</v>
      </c>
      <c r="E322" s="440" t="s">
        <v>78</v>
      </c>
      <c r="F322" s="126" t="s">
        <v>1376</v>
      </c>
      <c r="G322" s="190" t="s">
        <v>1012</v>
      </c>
      <c r="H322" s="447">
        <v>71374824</v>
      </c>
      <c r="I322" s="455">
        <v>3952382</v>
      </c>
      <c r="J322" s="437">
        <v>9090479</v>
      </c>
      <c r="K322" s="147"/>
      <c r="L322" s="438" t="s">
        <v>2564</v>
      </c>
      <c r="M322" s="194" t="s">
        <v>586</v>
      </c>
      <c r="N322" s="177" t="e" cm="1">
        <f t="array" aca="1" ref="N322" ca="1">_xlfn.XLOOKUP(Contrato5[[#This Row],[SUPERVISOR TITULAR]],[2]!PERSONAL_ACTIVO_2024[[#All],[Nombre completo]],[2]!PERSONAL_ACTIVO_2024[[#All],[Documento identidad]],"",0)</f>
        <v>#NAME?</v>
      </c>
      <c r="O322" s="194" t="s">
        <v>589</v>
      </c>
      <c r="P322" s="196" t="e" cm="1">
        <f t="array" aca="1" ref="P322" ca="1">_xlfn.XLOOKUP(Contrato5[[#This Row],[SUPERVISOR SUPLENTE ]],[2]!PERSONAL_ACTIVO_2024[[#All],[Nombre completo]],[2]!PERSONAL_ACTIVO_2024[[#All],[Documento identidad]],"",0)</f>
        <v>#NAME?</v>
      </c>
      <c r="Q322" s="170">
        <v>979</v>
      </c>
      <c r="R322" s="137" t="e" cm="1">
        <f t="array" aca="1" ref="R322" ca="1">_xlfn.XLOOKUP(Contrato5[[#This Row],[CDP]],[2]!DISPONIBILIDADES_2024[[#All],[consecutivo]],[2]!DISPONIBILIDADES_2024[[#All],[fecha_aprobacion]],"",0)</f>
        <v>#NAME?</v>
      </c>
      <c r="S322" s="138" t="e">
        <f>SUMIF([2]!DISPONIBILIDADES_2024[[#All],[consecutivo]],Contrato5[[#This Row],[CDP]],[2]!DISPONIBILIDADES_2024[[#All],[valor_total_rubro]])</f>
        <v>#REF!</v>
      </c>
      <c r="T322" s="139" t="e" cm="1">
        <f t="array" aca="1" ref="T322" ca="1">_xlfn.XLOOKUP(Contrato5[[#This Row],[CONTRATO]]&amp;Contrato5[[#This Row],[CDP]],[2]!Corr_Contr_CDP[[#All],[CONTRATO-CDP]],[2]!Corr_Contr_CDP[[#All],[CRP]],_xlfn.XLOOKUP(Contrato5[[#This Row],[CDP]],[2]!COMPROMISOS_2024[[#All],[disponibilidad]],[2]!COMPROMISOS_2024[[#All],[consecutivo]],"",0),0)</f>
        <v>#NAME?</v>
      </c>
      <c r="U322" s="140" t="e" cm="1">
        <f t="array" aca="1" ref="U322" ca="1">+_xlfn.XLOOKUP(Contrato5[[#This Row],[RCP]],[2]!COMPROMISOS_2024[[#All],[consecutivo]],[2]!COMPROMISOS_2024[[#All],[fecha_aprobacion]],"",0)</f>
        <v>#NAME?</v>
      </c>
      <c r="V322" s="141" t="e">
        <f ca="1">SUMIF([2]!COMPROMISOS_2024[[#All],[consecutivo]],Contrato5[[#This Row],[RCP]],[2]!COMPROMISOS_2024[[#All],[valor_total]])</f>
        <v>#REF!</v>
      </c>
      <c r="W322" s="415">
        <v>45572</v>
      </c>
      <c r="X322" s="415" t="s">
        <v>1045</v>
      </c>
      <c r="Y322" s="143">
        <v>45574</v>
      </c>
      <c r="Z322" s="262">
        <v>45643</v>
      </c>
      <c r="AA322" s="203"/>
      <c r="AB322" s="172" t="s">
        <v>2591</v>
      </c>
      <c r="AC322" s="127"/>
      <c r="AD322" s="211"/>
      <c r="AE322" s="147"/>
      <c r="AF322" s="148" t="str">
        <f>TEXT(LEFT(Contrato5[[#This Row],[CONTRATO]],3),"0")</f>
        <v>255</v>
      </c>
      <c r="AG322" s="148" t="str">
        <f>IF(LEN(Contrato5[[#This Row],[Contrato2]])=3,Contrato5[[#This Row],[Contrato2]],TEXT(Contrato5[[#This Row],[Contrato2]],"000"))</f>
        <v>255</v>
      </c>
      <c r="AH322" s="149">
        <f ca="1">IFERROR(_xlfn.DAYS(Contrato5[[#This Row],[Fecha Proyectada liquidación]],TODAY())/30,"")</f>
        <v>0.16666666666666666</v>
      </c>
      <c r="AI322" s="150">
        <f>+Contrato5[[#This Row],[FECHA TERMINACIÓN ]]+120</f>
        <v>45763</v>
      </c>
      <c r="AJ322" s="147"/>
      <c r="AK322" s="152" t="str">
        <f ca="1">IF(Contrato5[[#This Row],[FECHA TERMINACIÓN ]]&lt;TODAY(), "Terminado",IF(ISNUMBER(Contrato5[[#This Row],[Fecha Real de liquiidación ]]),"Liquidado",IF(Contrato5[[#This Row],[FECHA TERMINACIÓN ]]&gt;=TODAY(),"En ejecución","")))</f>
        <v>Terminado</v>
      </c>
      <c r="AL322" s="153" t="e">
        <f ca="1">SUMIF([2]!COMPROMISOS_2024[[#All],[consecutivo]],Contrato5[[#This Row],[RCP]],[2]!COMPROMISOS_2024[[#All],[Total pagado]])</f>
        <v>#REF!</v>
      </c>
      <c r="AM322" s="154">
        <f ca="1">IFERROR(Contrato5[[#This Row],[Pagos]]/Contrato5[[#This Row],[VALOR CONTRATO]],0)</f>
        <v>0</v>
      </c>
      <c r="AN322" s="198" t="e">
        <f ca="1">+Contrato5[[#This Row],[VALOR CONTRATO]]-Contrato5[[#This Row],[Pagos]]</f>
        <v>#REF!</v>
      </c>
      <c r="AO322" s="147" t="e" cm="1">
        <f t="array" aca="1" ref="AO322" ca="1">_xlfn.XLOOKUP(Contrato5[[#This Row],[DOCUMENTO ]],[2]!PERSONAL_ACTIVO_2024[[#All],[Documento identidad]],[2]!PERSONAL_ACTIVO_2024[[#All],[Mail ]],0,0)</f>
        <v>#NAME?</v>
      </c>
      <c r="AP322" s="147" t="e" cm="1">
        <f t="array" aca="1" ref="AP322" ca="1">_xlfn.XLOOKUP(Contrato5[[#This Row],[DOCUMENTO]],[2]!PERSONAL_ACTIVO_2024[[#All],[Documento identidad]],[2]!PERSONAL_ACTIVO_2024[[#All],[Mail ]],0,0)</f>
        <v>#NAME?</v>
      </c>
      <c r="AQ322" s="439" cm="1">
        <f t="array" aca="1" ref="AQ322" ca="1">IF(ISBLANK(Contrato5[[#This Row],[DEPENDENCIA ]]),0,IFERROR(_xlfn.XLOOKUP(Contrato5[[#This Row],[DEPENDENCIA ]],[2]!PERSONAL_ACTIVO_2024[[#All],[Dependencia]],[2]!PERSONAL_ACTIVO_2024[[#All],[Mail ]],0,0),0))</f>
        <v>0</v>
      </c>
    </row>
    <row r="323" spans="1:43" ht="34.5" customHeight="1">
      <c r="A323" s="125">
        <v>598</v>
      </c>
      <c r="B323" s="124">
        <v>256</v>
      </c>
      <c r="C323" s="162" t="s">
        <v>1729</v>
      </c>
      <c r="D323" s="227" t="s">
        <v>583</v>
      </c>
      <c r="E323" s="128" t="s">
        <v>94</v>
      </c>
      <c r="F323" s="163" t="s">
        <v>1376</v>
      </c>
      <c r="G323" s="190" t="s">
        <v>1013</v>
      </c>
      <c r="H323" s="447">
        <v>1017207409</v>
      </c>
      <c r="I323" s="455">
        <v>2574842</v>
      </c>
      <c r="J323" s="456">
        <v>15449052</v>
      </c>
      <c r="K323" s="131" t="s">
        <v>42</v>
      </c>
      <c r="L323" s="438" t="s">
        <v>989</v>
      </c>
      <c r="M323" s="194" t="s">
        <v>586</v>
      </c>
      <c r="N323" s="177" t="e" cm="1">
        <f t="array" aca="1" ref="N323" ca="1">_xlfn.XLOOKUP(Contrato5[[#This Row],[SUPERVISOR TITULAR]],[2]!PERSONAL_ACTIVO_2024[[#All],[Nombre completo]],[2]!PERSONAL_ACTIVO_2024[[#All],[Documento identidad]],"",0)</f>
        <v>#NAME?</v>
      </c>
      <c r="O323" s="194" t="s">
        <v>589</v>
      </c>
      <c r="P323" s="196" t="e" cm="1">
        <f t="array" aca="1" ref="P323" ca="1">_xlfn.XLOOKUP(Contrato5[[#This Row],[SUPERVISOR SUPLENTE ]],[2]!PERSONAL_ACTIVO_2024[[#All],[Nombre completo]],[2]!PERSONAL_ACTIVO_2024[[#All],[Documento identidad]],"",0)</f>
        <v>#NAME?</v>
      </c>
      <c r="Q323" s="170">
        <v>348</v>
      </c>
      <c r="R323" s="137" t="e" cm="1">
        <f t="array" aca="1" ref="R323" ca="1">_xlfn.XLOOKUP(Contrato5[[#This Row],[CDP]],[2]!DISPONIBILIDADES_2024[[#All],[consecutivo]],[2]!DISPONIBILIDADES_2024[[#All],[fecha_aprobacion]],"",0)</f>
        <v>#NAME?</v>
      </c>
      <c r="S323" s="138" t="e">
        <f>SUMIF([2]!DISPONIBILIDADES_2024[[#All],[consecutivo]],Contrato5[[#This Row],[CDP]],[2]!DISPONIBILIDADES_2024[[#All],[valor_total_rubro]])</f>
        <v>#REF!</v>
      </c>
      <c r="T323" s="139" t="e" cm="1">
        <f t="array" aca="1" ref="T323" ca="1">_xlfn.XLOOKUP(Contrato5[[#This Row],[CONTRATO]]&amp;Contrato5[[#This Row],[CDP]],[2]!Corr_Contr_CDP[[#All],[CONTRATO-CDP]],[2]!Corr_Contr_CDP[[#All],[CRP]],_xlfn.XLOOKUP(Contrato5[[#This Row],[CDP]],[2]!COMPROMISOS_2024[[#All],[disponibilidad]],[2]!COMPROMISOS_2024[[#All],[consecutivo]],"",0),0)</f>
        <v>#NAME?</v>
      </c>
      <c r="U323" s="140" t="e" cm="1">
        <f t="array" aca="1" ref="U323" ca="1">+_xlfn.XLOOKUP(Contrato5[[#This Row],[RCP]],[2]!COMPROMISOS_2024[[#All],[consecutivo]],[2]!COMPROMISOS_2024[[#All],[fecha_aprobacion]],"",0)</f>
        <v>#NAME?</v>
      </c>
      <c r="V323" s="141" t="e">
        <f ca="1">SUMIF([2]!COMPROMISOS_2024[[#All],[consecutivo]],Contrato5[[#This Row],[RCP]],[2]!COMPROMISOS_2024[[#All],[valor_total]])</f>
        <v>#REF!</v>
      </c>
      <c r="W323" s="415">
        <v>45391</v>
      </c>
      <c r="X323" s="415" t="s">
        <v>1045</v>
      </c>
      <c r="Y323" s="143">
        <v>45391</v>
      </c>
      <c r="Z323" s="262">
        <v>45573</v>
      </c>
      <c r="AA323" s="171" t="s">
        <v>1002</v>
      </c>
      <c r="AB323" s="172" t="s">
        <v>640</v>
      </c>
      <c r="AC323" s="172"/>
      <c r="AD323" s="211">
        <v>202000004186</v>
      </c>
      <c r="AE323" s="147" t="s">
        <v>523</v>
      </c>
      <c r="AF323" s="148" t="str">
        <f>TEXT(LEFT(Contrato5[[#This Row],[CONTRATO]],3),"0")</f>
        <v>256</v>
      </c>
      <c r="AG323" s="148" t="str">
        <f>IF(LEN(Contrato5[[#This Row],[Contrato2]])=3,Contrato5[[#This Row],[Contrato2]],TEXT(Contrato5[[#This Row],[Contrato2]],"000"))</f>
        <v>256</v>
      </c>
      <c r="AH323" s="149">
        <f ca="1">IFERROR(_xlfn.DAYS(Contrato5[[#This Row],[Fecha Proyectada liquidación]],TODAY())/30,"")</f>
        <v>-2.1666666666666665</v>
      </c>
      <c r="AI323" s="150">
        <f>+Contrato5[[#This Row],[FECHA TERMINACIÓN ]]+120</f>
        <v>45693</v>
      </c>
      <c r="AJ323" s="147"/>
      <c r="AK323" s="152" t="str">
        <f ca="1">IF(Contrato5[[#This Row],[FECHA TERMINACIÓN ]]&lt;TODAY(), "Terminado",IF(ISNUMBER(Contrato5[[#This Row],[Fecha Real de liquiidación ]]),"Liquidado",IF(Contrato5[[#This Row],[FECHA TERMINACIÓN ]]&gt;=TODAY(),"En ejecución","")))</f>
        <v>Terminado</v>
      </c>
      <c r="AL323" s="153" t="e">
        <f ca="1">SUMIF([2]!COMPROMISOS_2024[[#All],[consecutivo]],Contrato5[[#This Row],[RCP]],[2]!COMPROMISOS_2024[[#All],[Total pagado]])</f>
        <v>#REF!</v>
      </c>
      <c r="AM323" s="154">
        <f ca="1">IFERROR(Contrato5[[#This Row],[Pagos]]/Contrato5[[#This Row],[VALOR CONTRATO]],0)</f>
        <v>0</v>
      </c>
      <c r="AN323" s="198" t="e">
        <f ca="1">+Contrato5[[#This Row],[VALOR CONTRATO]]-Contrato5[[#This Row],[Pagos]]</f>
        <v>#REF!</v>
      </c>
      <c r="AO323" s="147" t="e" cm="1">
        <f t="array" aca="1" ref="AO323" ca="1">_xlfn.XLOOKUP(Contrato5[[#This Row],[DOCUMENTO ]],[2]!PERSONAL_ACTIVO_2024[[#All],[Documento identidad]],[2]!PERSONAL_ACTIVO_2024[[#All],[Mail ]],0,0)</f>
        <v>#NAME?</v>
      </c>
      <c r="AP323" s="147" t="e" cm="1">
        <f t="array" aca="1" ref="AP323" ca="1">_xlfn.XLOOKUP(Contrato5[[#This Row],[DOCUMENTO]],[2]!PERSONAL_ACTIVO_2024[[#All],[Documento identidad]],[2]!PERSONAL_ACTIVO_2024[[#All],[Mail ]],0,0)</f>
        <v>#NAME?</v>
      </c>
      <c r="AQ323" s="439" cm="1">
        <f t="array" aca="1" ref="AQ323" ca="1">IF(ISBLANK(Contrato5[[#This Row],[DEPENDENCIA ]]),0,IFERROR(_xlfn.XLOOKUP(Contrato5[[#This Row],[DEPENDENCIA ]],[2]!PERSONAL_ACTIVO_2024[[#All],[Dependencia]],[2]!PERSONAL_ACTIVO_2024[[#All],[Mail ]],0,0),0))</f>
        <v>0</v>
      </c>
    </row>
    <row r="324" spans="1:43" ht="34.5" customHeight="1">
      <c r="A324" s="147">
        <v>1174</v>
      </c>
      <c r="B324" s="124">
        <v>256</v>
      </c>
      <c r="C324" s="162" t="s">
        <v>2163</v>
      </c>
      <c r="D324" s="227" t="s">
        <v>583</v>
      </c>
      <c r="E324" s="440" t="s">
        <v>78</v>
      </c>
      <c r="F324" s="126" t="s">
        <v>1376</v>
      </c>
      <c r="G324" s="190" t="s">
        <v>1013</v>
      </c>
      <c r="H324" s="447">
        <v>1017207409</v>
      </c>
      <c r="I324" s="455">
        <v>2574842</v>
      </c>
      <c r="J324" s="437">
        <v>5922137</v>
      </c>
      <c r="K324" s="147"/>
      <c r="L324" s="438" t="s">
        <v>2564</v>
      </c>
      <c r="M324" s="194" t="s">
        <v>586</v>
      </c>
      <c r="N324" s="177" t="e" cm="1">
        <f t="array" aca="1" ref="N324" ca="1">_xlfn.XLOOKUP(Contrato5[[#This Row],[SUPERVISOR TITULAR]],[2]!PERSONAL_ACTIVO_2024[[#All],[Nombre completo]],[2]!PERSONAL_ACTIVO_2024[[#All],[Documento identidad]],"",0)</f>
        <v>#NAME?</v>
      </c>
      <c r="O324" s="194" t="s">
        <v>589</v>
      </c>
      <c r="P324" s="196" t="e" cm="1">
        <f t="array" aca="1" ref="P324" ca="1">_xlfn.XLOOKUP(Contrato5[[#This Row],[SUPERVISOR SUPLENTE ]],[2]!PERSONAL_ACTIVO_2024[[#All],[Nombre completo]],[2]!PERSONAL_ACTIVO_2024[[#All],[Documento identidad]],"",0)</f>
        <v>#NAME?</v>
      </c>
      <c r="Q324" s="170">
        <v>986</v>
      </c>
      <c r="R324" s="137" t="e" cm="1">
        <f t="array" aca="1" ref="R324" ca="1">_xlfn.XLOOKUP(Contrato5[[#This Row],[CDP]],[2]!DISPONIBILIDADES_2024[[#All],[consecutivo]],[2]!DISPONIBILIDADES_2024[[#All],[fecha_aprobacion]],"",0)</f>
        <v>#NAME?</v>
      </c>
      <c r="S324" s="138" t="e">
        <f>SUMIF([2]!DISPONIBILIDADES_2024[[#All],[consecutivo]],Contrato5[[#This Row],[CDP]],[2]!DISPONIBILIDADES_2024[[#All],[valor_total_rubro]])</f>
        <v>#REF!</v>
      </c>
      <c r="T324" s="139" t="e" cm="1">
        <f t="array" aca="1" ref="T324" ca="1">_xlfn.XLOOKUP(Contrato5[[#This Row],[CONTRATO]]&amp;Contrato5[[#This Row],[CDP]],[2]!Corr_Contr_CDP[[#All],[CONTRATO-CDP]],[2]!Corr_Contr_CDP[[#All],[CRP]],_xlfn.XLOOKUP(Contrato5[[#This Row],[CDP]],[2]!COMPROMISOS_2024[[#All],[disponibilidad]],[2]!COMPROMISOS_2024[[#All],[consecutivo]],"",0),0)</f>
        <v>#NAME?</v>
      </c>
      <c r="U324" s="140" t="e" cm="1">
        <f t="array" aca="1" ref="U324" ca="1">+_xlfn.XLOOKUP(Contrato5[[#This Row],[RCP]],[2]!COMPROMISOS_2024[[#All],[consecutivo]],[2]!COMPROMISOS_2024[[#All],[fecha_aprobacion]],"",0)</f>
        <v>#NAME?</v>
      </c>
      <c r="V324" s="141" t="e">
        <f ca="1">SUMIF([2]!COMPROMISOS_2024[[#All],[consecutivo]],Contrato5[[#This Row],[RCP]],[2]!COMPROMISOS_2024[[#All],[valor_total]])</f>
        <v>#REF!</v>
      </c>
      <c r="W324" s="415">
        <v>45572</v>
      </c>
      <c r="X324" s="415" t="s">
        <v>1045</v>
      </c>
      <c r="Y324" s="143">
        <v>45574</v>
      </c>
      <c r="Z324" s="262">
        <v>45643</v>
      </c>
      <c r="AA324" s="203"/>
      <c r="AB324" s="172" t="s">
        <v>2591</v>
      </c>
      <c r="AC324" s="127"/>
      <c r="AD324" s="211"/>
      <c r="AE324" s="147"/>
      <c r="AF324" s="148" t="str">
        <f>TEXT(LEFT(Contrato5[[#This Row],[CONTRATO]],3),"0")</f>
        <v>256</v>
      </c>
      <c r="AG324" s="148" t="str">
        <f>IF(LEN(Contrato5[[#This Row],[Contrato2]])=3,Contrato5[[#This Row],[Contrato2]],TEXT(Contrato5[[#This Row],[Contrato2]],"000"))</f>
        <v>256</v>
      </c>
      <c r="AH324" s="149">
        <f ca="1">IFERROR(_xlfn.DAYS(Contrato5[[#This Row],[Fecha Proyectada liquidación]],TODAY())/30,"")</f>
        <v>0.16666666666666666</v>
      </c>
      <c r="AI324" s="150">
        <f>+Contrato5[[#This Row],[FECHA TERMINACIÓN ]]+120</f>
        <v>45763</v>
      </c>
      <c r="AJ324" s="147"/>
      <c r="AK324" s="152" t="str">
        <f ca="1">IF(Contrato5[[#This Row],[FECHA TERMINACIÓN ]]&lt;TODAY(), "Terminado",IF(ISNUMBER(Contrato5[[#This Row],[Fecha Real de liquiidación ]]),"Liquidado",IF(Contrato5[[#This Row],[FECHA TERMINACIÓN ]]&gt;=TODAY(),"En ejecución","")))</f>
        <v>Terminado</v>
      </c>
      <c r="AL324" s="153" t="e">
        <f ca="1">SUMIF([2]!COMPROMISOS_2024[[#All],[consecutivo]],Contrato5[[#This Row],[RCP]],[2]!COMPROMISOS_2024[[#All],[Total pagado]])</f>
        <v>#REF!</v>
      </c>
      <c r="AM324" s="154">
        <f ca="1">IFERROR(Contrato5[[#This Row],[Pagos]]/Contrato5[[#This Row],[VALOR CONTRATO]],0)</f>
        <v>0</v>
      </c>
      <c r="AN324" s="198" t="e">
        <f ca="1">+Contrato5[[#This Row],[VALOR CONTRATO]]-Contrato5[[#This Row],[Pagos]]</f>
        <v>#REF!</v>
      </c>
      <c r="AO324" s="147" t="e" cm="1">
        <f t="array" aca="1" ref="AO324" ca="1">_xlfn.XLOOKUP(Contrato5[[#This Row],[DOCUMENTO ]],[2]!PERSONAL_ACTIVO_2024[[#All],[Documento identidad]],[2]!PERSONAL_ACTIVO_2024[[#All],[Mail ]],0,0)</f>
        <v>#NAME?</v>
      </c>
      <c r="AP324" s="147" t="e" cm="1">
        <f t="array" aca="1" ref="AP324" ca="1">_xlfn.XLOOKUP(Contrato5[[#This Row],[DOCUMENTO]],[2]!PERSONAL_ACTIVO_2024[[#All],[Documento identidad]],[2]!PERSONAL_ACTIVO_2024[[#All],[Mail ]],0,0)</f>
        <v>#NAME?</v>
      </c>
      <c r="AQ324" s="439" cm="1">
        <f t="array" aca="1" ref="AQ324" ca="1">IF(ISBLANK(Contrato5[[#This Row],[DEPENDENCIA ]]),0,IFERROR(_xlfn.XLOOKUP(Contrato5[[#This Row],[DEPENDENCIA ]],[2]!PERSONAL_ACTIVO_2024[[#All],[Dependencia]],[2]!PERSONAL_ACTIVO_2024[[#All],[Mail ]],0,0),0))</f>
        <v>0</v>
      </c>
    </row>
    <row r="325" spans="1:43" ht="34.5" customHeight="1">
      <c r="A325" s="125">
        <v>599</v>
      </c>
      <c r="B325" s="124">
        <v>257</v>
      </c>
      <c r="C325" s="162" t="s">
        <v>1730</v>
      </c>
      <c r="D325" s="227" t="s">
        <v>583</v>
      </c>
      <c r="E325" s="128" t="s">
        <v>94</v>
      </c>
      <c r="F325" s="163" t="s">
        <v>1376</v>
      </c>
      <c r="G325" s="190" t="s">
        <v>1014</v>
      </c>
      <c r="H325" s="447">
        <v>71277601</v>
      </c>
      <c r="I325" s="455">
        <v>2574842</v>
      </c>
      <c r="J325" s="456">
        <v>15449052</v>
      </c>
      <c r="K325" s="131" t="s">
        <v>42</v>
      </c>
      <c r="L325" s="438" t="s">
        <v>989</v>
      </c>
      <c r="M325" s="194" t="s">
        <v>586</v>
      </c>
      <c r="N325" s="177" t="e" cm="1">
        <f t="array" aca="1" ref="N325" ca="1">_xlfn.XLOOKUP(Contrato5[[#This Row],[SUPERVISOR TITULAR]],[2]!PERSONAL_ACTIVO_2024[[#All],[Nombre completo]],[2]!PERSONAL_ACTIVO_2024[[#All],[Documento identidad]],"",0)</f>
        <v>#NAME?</v>
      </c>
      <c r="O325" s="194" t="s">
        <v>589</v>
      </c>
      <c r="P325" s="196" t="e" cm="1">
        <f t="array" aca="1" ref="P325" ca="1">_xlfn.XLOOKUP(Contrato5[[#This Row],[SUPERVISOR SUPLENTE ]],[2]!PERSONAL_ACTIVO_2024[[#All],[Nombre completo]],[2]!PERSONAL_ACTIVO_2024[[#All],[Documento identidad]],"",0)</f>
        <v>#NAME?</v>
      </c>
      <c r="Q325" s="170">
        <v>342</v>
      </c>
      <c r="R325" s="137" t="e" cm="1">
        <f t="array" aca="1" ref="R325" ca="1">_xlfn.XLOOKUP(Contrato5[[#This Row],[CDP]],[2]!DISPONIBILIDADES_2024[[#All],[consecutivo]],[2]!DISPONIBILIDADES_2024[[#All],[fecha_aprobacion]],"",0)</f>
        <v>#NAME?</v>
      </c>
      <c r="S325" s="138" t="e">
        <f>SUMIF([2]!DISPONIBILIDADES_2024[[#All],[consecutivo]],Contrato5[[#This Row],[CDP]],[2]!DISPONIBILIDADES_2024[[#All],[valor_total_rubro]])</f>
        <v>#REF!</v>
      </c>
      <c r="T325" s="139" t="e" cm="1">
        <f t="array" aca="1" ref="T325" ca="1">_xlfn.XLOOKUP(Contrato5[[#This Row],[CONTRATO]]&amp;Contrato5[[#This Row],[CDP]],[2]!Corr_Contr_CDP[[#All],[CONTRATO-CDP]],[2]!Corr_Contr_CDP[[#All],[CRP]],_xlfn.XLOOKUP(Contrato5[[#This Row],[CDP]],[2]!COMPROMISOS_2024[[#All],[disponibilidad]],[2]!COMPROMISOS_2024[[#All],[consecutivo]],"",0),0)</f>
        <v>#NAME?</v>
      </c>
      <c r="U325" s="140" t="e" cm="1">
        <f t="array" aca="1" ref="U325" ca="1">+_xlfn.XLOOKUP(Contrato5[[#This Row],[RCP]],[2]!COMPROMISOS_2024[[#All],[consecutivo]],[2]!COMPROMISOS_2024[[#All],[fecha_aprobacion]],"",0)</f>
        <v>#NAME?</v>
      </c>
      <c r="V325" s="141" t="e">
        <f ca="1">SUMIF([2]!COMPROMISOS_2024[[#All],[consecutivo]],Contrato5[[#This Row],[RCP]],[2]!COMPROMISOS_2024[[#All],[valor_total]])</f>
        <v>#REF!</v>
      </c>
      <c r="W325" s="415">
        <v>45391</v>
      </c>
      <c r="X325" s="415" t="s">
        <v>1045</v>
      </c>
      <c r="Y325" s="143">
        <v>45391</v>
      </c>
      <c r="Z325" s="262">
        <v>45573</v>
      </c>
      <c r="AA325" s="171" t="s">
        <v>1002</v>
      </c>
      <c r="AB325" s="172" t="s">
        <v>640</v>
      </c>
      <c r="AC325" s="172"/>
      <c r="AD325" s="211">
        <v>202000004187</v>
      </c>
      <c r="AE325" s="147" t="s">
        <v>523</v>
      </c>
      <c r="AF325" s="148" t="str">
        <f>TEXT(LEFT(Contrato5[[#This Row],[CONTRATO]],3),"0")</f>
        <v>257</v>
      </c>
      <c r="AG325" s="148" t="str">
        <f>IF(LEN(Contrato5[[#This Row],[Contrato2]])=3,Contrato5[[#This Row],[Contrato2]],TEXT(Contrato5[[#This Row],[Contrato2]],"000"))</f>
        <v>257</v>
      </c>
      <c r="AH325" s="149">
        <f ca="1">IFERROR(_xlfn.DAYS(Contrato5[[#This Row],[Fecha Proyectada liquidación]],TODAY())/30,"")</f>
        <v>-2.1666666666666665</v>
      </c>
      <c r="AI325" s="150">
        <f>+Contrato5[[#This Row],[FECHA TERMINACIÓN ]]+120</f>
        <v>45693</v>
      </c>
      <c r="AJ325" s="147"/>
      <c r="AK325" s="152" t="str">
        <f ca="1">IF(Contrato5[[#This Row],[FECHA TERMINACIÓN ]]&lt;TODAY(), "Terminado",IF(ISNUMBER(Contrato5[[#This Row],[Fecha Real de liquiidación ]]),"Liquidado",IF(Contrato5[[#This Row],[FECHA TERMINACIÓN ]]&gt;=TODAY(),"En ejecución","")))</f>
        <v>Terminado</v>
      </c>
      <c r="AL325" s="153" t="e">
        <f ca="1">SUMIF([2]!COMPROMISOS_2024[[#All],[consecutivo]],Contrato5[[#This Row],[RCP]],[2]!COMPROMISOS_2024[[#All],[Total pagado]])</f>
        <v>#REF!</v>
      </c>
      <c r="AM325" s="154">
        <f ca="1">IFERROR(Contrato5[[#This Row],[Pagos]]/Contrato5[[#This Row],[VALOR CONTRATO]],0)</f>
        <v>0</v>
      </c>
      <c r="AN325" s="198" t="e">
        <f ca="1">+Contrato5[[#This Row],[VALOR CONTRATO]]-Contrato5[[#This Row],[Pagos]]</f>
        <v>#REF!</v>
      </c>
      <c r="AO325" s="147" t="e" cm="1">
        <f t="array" aca="1" ref="AO325" ca="1">_xlfn.XLOOKUP(Contrato5[[#This Row],[DOCUMENTO ]],[2]!PERSONAL_ACTIVO_2024[[#All],[Documento identidad]],[2]!PERSONAL_ACTIVO_2024[[#All],[Mail ]],0,0)</f>
        <v>#NAME?</v>
      </c>
      <c r="AP325" s="147" t="e" cm="1">
        <f t="array" aca="1" ref="AP325" ca="1">_xlfn.XLOOKUP(Contrato5[[#This Row],[DOCUMENTO]],[2]!PERSONAL_ACTIVO_2024[[#All],[Documento identidad]],[2]!PERSONAL_ACTIVO_2024[[#All],[Mail ]],0,0)</f>
        <v>#NAME?</v>
      </c>
      <c r="AQ325" s="439" cm="1">
        <f t="array" aca="1" ref="AQ325" ca="1">IF(ISBLANK(Contrato5[[#This Row],[DEPENDENCIA ]]),0,IFERROR(_xlfn.XLOOKUP(Contrato5[[#This Row],[DEPENDENCIA ]],[2]!PERSONAL_ACTIVO_2024[[#All],[Dependencia]],[2]!PERSONAL_ACTIVO_2024[[#All],[Mail ]],0,0),0))</f>
        <v>0</v>
      </c>
    </row>
    <row r="326" spans="1:43" ht="34.5" customHeight="1">
      <c r="A326" s="147">
        <v>1175</v>
      </c>
      <c r="B326" s="124">
        <v>257</v>
      </c>
      <c r="C326" s="162" t="s">
        <v>2164</v>
      </c>
      <c r="D326" s="227" t="s">
        <v>583</v>
      </c>
      <c r="E326" s="440" t="s">
        <v>78</v>
      </c>
      <c r="F326" s="126" t="s">
        <v>1376</v>
      </c>
      <c r="G326" s="190" t="s">
        <v>1014</v>
      </c>
      <c r="H326" s="447">
        <v>71277601</v>
      </c>
      <c r="I326" s="455">
        <v>2574842</v>
      </c>
      <c r="J326" s="437">
        <v>5922137</v>
      </c>
      <c r="K326" s="147"/>
      <c r="L326" s="438" t="s">
        <v>2564</v>
      </c>
      <c r="M326" s="194" t="s">
        <v>586</v>
      </c>
      <c r="N326" s="177" t="e" cm="1">
        <f t="array" aca="1" ref="N326" ca="1">_xlfn.XLOOKUP(Contrato5[[#This Row],[SUPERVISOR TITULAR]],[2]!PERSONAL_ACTIVO_2024[[#All],[Nombre completo]],[2]!PERSONAL_ACTIVO_2024[[#All],[Documento identidad]],"",0)</f>
        <v>#NAME?</v>
      </c>
      <c r="O326" s="194" t="s">
        <v>589</v>
      </c>
      <c r="P326" s="196" t="e" cm="1">
        <f t="array" aca="1" ref="P326" ca="1">_xlfn.XLOOKUP(Contrato5[[#This Row],[SUPERVISOR SUPLENTE ]],[2]!PERSONAL_ACTIVO_2024[[#All],[Nombre completo]],[2]!PERSONAL_ACTIVO_2024[[#All],[Documento identidad]],"",0)</f>
        <v>#NAME?</v>
      </c>
      <c r="Q326" s="170">
        <v>982</v>
      </c>
      <c r="R326" s="137" t="e" cm="1">
        <f t="array" aca="1" ref="R326" ca="1">_xlfn.XLOOKUP(Contrato5[[#This Row],[CDP]],[2]!DISPONIBILIDADES_2024[[#All],[consecutivo]],[2]!DISPONIBILIDADES_2024[[#All],[fecha_aprobacion]],"",0)</f>
        <v>#NAME?</v>
      </c>
      <c r="S326" s="138" t="e">
        <f>SUMIF([2]!DISPONIBILIDADES_2024[[#All],[consecutivo]],Contrato5[[#This Row],[CDP]],[2]!DISPONIBILIDADES_2024[[#All],[valor_total_rubro]])</f>
        <v>#REF!</v>
      </c>
      <c r="T326" s="139" t="e" cm="1">
        <f t="array" aca="1" ref="T326" ca="1">_xlfn.XLOOKUP(Contrato5[[#This Row],[CONTRATO]]&amp;Contrato5[[#This Row],[CDP]],[2]!Corr_Contr_CDP[[#All],[CONTRATO-CDP]],[2]!Corr_Contr_CDP[[#All],[CRP]],_xlfn.XLOOKUP(Contrato5[[#This Row],[CDP]],[2]!COMPROMISOS_2024[[#All],[disponibilidad]],[2]!COMPROMISOS_2024[[#All],[consecutivo]],"",0),0)</f>
        <v>#NAME?</v>
      </c>
      <c r="U326" s="140" t="e" cm="1">
        <f t="array" aca="1" ref="U326" ca="1">+_xlfn.XLOOKUP(Contrato5[[#This Row],[RCP]],[2]!COMPROMISOS_2024[[#All],[consecutivo]],[2]!COMPROMISOS_2024[[#All],[fecha_aprobacion]],"",0)</f>
        <v>#NAME?</v>
      </c>
      <c r="V326" s="141" t="e">
        <f ca="1">SUMIF([2]!COMPROMISOS_2024[[#All],[consecutivo]],Contrato5[[#This Row],[RCP]],[2]!COMPROMISOS_2024[[#All],[valor_total]])</f>
        <v>#REF!</v>
      </c>
      <c r="W326" s="415">
        <v>45572</v>
      </c>
      <c r="X326" s="415" t="s">
        <v>1045</v>
      </c>
      <c r="Y326" s="143">
        <v>45574</v>
      </c>
      <c r="Z326" s="262">
        <v>45643</v>
      </c>
      <c r="AA326" s="203"/>
      <c r="AB326" s="172" t="s">
        <v>2591</v>
      </c>
      <c r="AC326" s="127"/>
      <c r="AD326" s="211"/>
      <c r="AE326" s="147"/>
      <c r="AF326" s="148" t="str">
        <f>TEXT(LEFT(Contrato5[[#This Row],[CONTRATO]],3),"0")</f>
        <v>257</v>
      </c>
      <c r="AG326" s="148" t="str">
        <f>IF(LEN(Contrato5[[#This Row],[Contrato2]])=3,Contrato5[[#This Row],[Contrato2]],TEXT(Contrato5[[#This Row],[Contrato2]],"000"))</f>
        <v>257</v>
      </c>
      <c r="AH326" s="149">
        <f ca="1">IFERROR(_xlfn.DAYS(Contrato5[[#This Row],[Fecha Proyectada liquidación]],TODAY())/30,"")</f>
        <v>0.16666666666666666</v>
      </c>
      <c r="AI326" s="150">
        <f>+Contrato5[[#This Row],[FECHA TERMINACIÓN ]]+120</f>
        <v>45763</v>
      </c>
      <c r="AJ326" s="147"/>
      <c r="AK326" s="152" t="str">
        <f ca="1">IF(Contrato5[[#This Row],[FECHA TERMINACIÓN ]]&lt;TODAY(), "Terminado",IF(ISNUMBER(Contrato5[[#This Row],[Fecha Real de liquiidación ]]),"Liquidado",IF(Contrato5[[#This Row],[FECHA TERMINACIÓN ]]&gt;=TODAY(),"En ejecución","")))</f>
        <v>Terminado</v>
      </c>
      <c r="AL326" s="153" t="e">
        <f ca="1">SUMIF([2]!COMPROMISOS_2024[[#All],[consecutivo]],Contrato5[[#This Row],[RCP]],[2]!COMPROMISOS_2024[[#All],[Total pagado]])</f>
        <v>#REF!</v>
      </c>
      <c r="AM326" s="154">
        <f ca="1">IFERROR(Contrato5[[#This Row],[Pagos]]/Contrato5[[#This Row],[VALOR CONTRATO]],0)</f>
        <v>0</v>
      </c>
      <c r="AN326" s="198" t="e">
        <f ca="1">+Contrato5[[#This Row],[VALOR CONTRATO]]-Contrato5[[#This Row],[Pagos]]</f>
        <v>#REF!</v>
      </c>
      <c r="AO326" s="147" t="e" cm="1">
        <f t="array" aca="1" ref="AO326" ca="1">_xlfn.XLOOKUP(Contrato5[[#This Row],[DOCUMENTO ]],[2]!PERSONAL_ACTIVO_2024[[#All],[Documento identidad]],[2]!PERSONAL_ACTIVO_2024[[#All],[Mail ]],0,0)</f>
        <v>#NAME?</v>
      </c>
      <c r="AP326" s="147" t="e" cm="1">
        <f t="array" aca="1" ref="AP326" ca="1">_xlfn.XLOOKUP(Contrato5[[#This Row],[DOCUMENTO]],[2]!PERSONAL_ACTIVO_2024[[#All],[Documento identidad]],[2]!PERSONAL_ACTIVO_2024[[#All],[Mail ]],0,0)</f>
        <v>#NAME?</v>
      </c>
      <c r="AQ326" s="439" cm="1">
        <f t="array" aca="1" ref="AQ326" ca="1">IF(ISBLANK(Contrato5[[#This Row],[DEPENDENCIA ]]),0,IFERROR(_xlfn.XLOOKUP(Contrato5[[#This Row],[DEPENDENCIA ]],[2]!PERSONAL_ACTIVO_2024[[#All],[Dependencia]],[2]!PERSONAL_ACTIVO_2024[[#All],[Mail ]],0,0),0))</f>
        <v>0</v>
      </c>
    </row>
    <row r="327" spans="1:43" ht="34.5" customHeight="1">
      <c r="A327" s="125">
        <v>600</v>
      </c>
      <c r="B327" s="124">
        <v>258</v>
      </c>
      <c r="C327" s="162" t="s">
        <v>1731</v>
      </c>
      <c r="D327" s="227" t="s">
        <v>583</v>
      </c>
      <c r="E327" s="128" t="s">
        <v>94</v>
      </c>
      <c r="F327" s="163" t="s">
        <v>1376</v>
      </c>
      <c r="G327" s="190" t="s">
        <v>1015</v>
      </c>
      <c r="H327" s="447">
        <v>1037624083</v>
      </c>
      <c r="I327" s="455">
        <v>4908936</v>
      </c>
      <c r="J327" s="456">
        <v>29453616</v>
      </c>
      <c r="K327" s="131" t="s">
        <v>42</v>
      </c>
      <c r="L327" s="438" t="s">
        <v>989</v>
      </c>
      <c r="M327" s="194" t="s">
        <v>586</v>
      </c>
      <c r="N327" s="177" t="e" cm="1">
        <f t="array" aca="1" ref="N327" ca="1">_xlfn.XLOOKUP(Contrato5[[#This Row],[SUPERVISOR TITULAR]],[2]!PERSONAL_ACTIVO_2024[[#All],[Nombre completo]],[2]!PERSONAL_ACTIVO_2024[[#All],[Documento identidad]],"",0)</f>
        <v>#NAME?</v>
      </c>
      <c r="O327" s="194" t="s">
        <v>589</v>
      </c>
      <c r="P327" s="196" t="e" cm="1">
        <f t="array" aca="1" ref="P327" ca="1">_xlfn.XLOOKUP(Contrato5[[#This Row],[SUPERVISOR SUPLENTE ]],[2]!PERSONAL_ACTIVO_2024[[#All],[Nombre completo]],[2]!PERSONAL_ACTIVO_2024[[#All],[Documento identidad]],"",0)</f>
        <v>#NAME?</v>
      </c>
      <c r="Q327" s="170">
        <v>357</v>
      </c>
      <c r="R327" s="137" t="e" cm="1">
        <f t="array" aca="1" ref="R327" ca="1">_xlfn.XLOOKUP(Contrato5[[#This Row],[CDP]],[2]!DISPONIBILIDADES_2024[[#All],[consecutivo]],[2]!DISPONIBILIDADES_2024[[#All],[fecha_aprobacion]],"",0)</f>
        <v>#NAME?</v>
      </c>
      <c r="S327" s="138" t="e">
        <f>SUMIF([2]!DISPONIBILIDADES_2024[[#All],[consecutivo]],Contrato5[[#This Row],[CDP]],[2]!DISPONIBILIDADES_2024[[#All],[valor_total_rubro]])</f>
        <v>#REF!</v>
      </c>
      <c r="T327" s="139" t="e" cm="1">
        <f t="array" aca="1" ref="T327" ca="1">_xlfn.XLOOKUP(Contrato5[[#This Row],[CONTRATO]]&amp;Contrato5[[#This Row],[CDP]],[2]!Corr_Contr_CDP[[#All],[CONTRATO-CDP]],[2]!Corr_Contr_CDP[[#All],[CRP]],_xlfn.XLOOKUP(Contrato5[[#This Row],[CDP]],[2]!COMPROMISOS_2024[[#All],[disponibilidad]],[2]!COMPROMISOS_2024[[#All],[consecutivo]],"",0),0)</f>
        <v>#NAME?</v>
      </c>
      <c r="U327" s="140" t="e" cm="1">
        <f t="array" aca="1" ref="U327" ca="1">+_xlfn.XLOOKUP(Contrato5[[#This Row],[RCP]],[2]!COMPROMISOS_2024[[#All],[consecutivo]],[2]!COMPROMISOS_2024[[#All],[fecha_aprobacion]],"",0)</f>
        <v>#NAME?</v>
      </c>
      <c r="V327" s="141" t="e">
        <f ca="1">SUMIF([2]!COMPROMISOS_2024[[#All],[consecutivo]],Contrato5[[#This Row],[RCP]],[2]!COMPROMISOS_2024[[#All],[valor_total]])</f>
        <v>#REF!</v>
      </c>
      <c r="W327" s="415">
        <v>45391</v>
      </c>
      <c r="X327" s="415" t="s">
        <v>1045</v>
      </c>
      <c r="Y327" s="143">
        <v>45391</v>
      </c>
      <c r="Z327" s="262">
        <v>45573</v>
      </c>
      <c r="AA327" s="171" t="s">
        <v>1002</v>
      </c>
      <c r="AB327" s="172" t="s">
        <v>640</v>
      </c>
      <c r="AC327" s="172"/>
      <c r="AD327" s="211">
        <v>202000004188</v>
      </c>
      <c r="AE327" s="147" t="s">
        <v>523</v>
      </c>
      <c r="AF327" s="148" t="str">
        <f>TEXT(LEFT(Contrato5[[#This Row],[CONTRATO]],3),"0")</f>
        <v>258</v>
      </c>
      <c r="AG327" s="148" t="str">
        <f>IF(LEN(Contrato5[[#This Row],[Contrato2]])=3,Contrato5[[#This Row],[Contrato2]],TEXT(Contrato5[[#This Row],[Contrato2]],"000"))</f>
        <v>258</v>
      </c>
      <c r="AH327" s="149">
        <f ca="1">IFERROR(_xlfn.DAYS(Contrato5[[#This Row],[Fecha Proyectada liquidación]],TODAY())/30,"")</f>
        <v>-2.1666666666666665</v>
      </c>
      <c r="AI327" s="150">
        <f>+Contrato5[[#This Row],[FECHA TERMINACIÓN ]]+120</f>
        <v>45693</v>
      </c>
      <c r="AJ327" s="147"/>
      <c r="AK327" s="152" t="str">
        <f ca="1">IF(Contrato5[[#This Row],[FECHA TERMINACIÓN ]]&lt;TODAY(), "Terminado",IF(ISNUMBER(Contrato5[[#This Row],[Fecha Real de liquiidación ]]),"Liquidado",IF(Contrato5[[#This Row],[FECHA TERMINACIÓN ]]&gt;=TODAY(),"En ejecución","")))</f>
        <v>Terminado</v>
      </c>
      <c r="AL327" s="153" t="e">
        <f ca="1">SUMIF([2]!COMPROMISOS_2024[[#All],[consecutivo]],Contrato5[[#This Row],[RCP]],[2]!COMPROMISOS_2024[[#All],[Total pagado]])</f>
        <v>#REF!</v>
      </c>
      <c r="AM327" s="154">
        <f ca="1">IFERROR(Contrato5[[#This Row],[Pagos]]/Contrato5[[#This Row],[VALOR CONTRATO]],0)</f>
        <v>0</v>
      </c>
      <c r="AN327" s="198" t="e">
        <f ca="1">+Contrato5[[#This Row],[VALOR CONTRATO]]-Contrato5[[#This Row],[Pagos]]</f>
        <v>#REF!</v>
      </c>
      <c r="AO327" s="147" t="e" cm="1">
        <f t="array" aca="1" ref="AO327" ca="1">_xlfn.XLOOKUP(Contrato5[[#This Row],[DOCUMENTO ]],[2]!PERSONAL_ACTIVO_2024[[#All],[Documento identidad]],[2]!PERSONAL_ACTIVO_2024[[#All],[Mail ]],0,0)</f>
        <v>#NAME?</v>
      </c>
      <c r="AP327" s="147" t="e" cm="1">
        <f t="array" aca="1" ref="AP327" ca="1">_xlfn.XLOOKUP(Contrato5[[#This Row],[DOCUMENTO]],[2]!PERSONAL_ACTIVO_2024[[#All],[Documento identidad]],[2]!PERSONAL_ACTIVO_2024[[#All],[Mail ]],0,0)</f>
        <v>#NAME?</v>
      </c>
      <c r="AQ327" s="439" cm="1">
        <f t="array" aca="1" ref="AQ327" ca="1">IF(ISBLANK(Contrato5[[#This Row],[DEPENDENCIA ]]),0,IFERROR(_xlfn.XLOOKUP(Contrato5[[#This Row],[DEPENDENCIA ]],[2]!PERSONAL_ACTIVO_2024[[#All],[Dependencia]],[2]!PERSONAL_ACTIVO_2024[[#All],[Mail ]],0,0),0))</f>
        <v>0</v>
      </c>
    </row>
    <row r="328" spans="1:43" ht="34.5" customHeight="1">
      <c r="A328" s="147">
        <v>1176</v>
      </c>
      <c r="B328" s="124">
        <v>258</v>
      </c>
      <c r="C328" s="162" t="s">
        <v>2165</v>
      </c>
      <c r="D328" s="227" t="s">
        <v>583</v>
      </c>
      <c r="E328" s="440" t="s">
        <v>78</v>
      </c>
      <c r="F328" s="126" t="s">
        <v>1376</v>
      </c>
      <c r="G328" s="190" t="s">
        <v>1015</v>
      </c>
      <c r="H328" s="447">
        <v>1037624083</v>
      </c>
      <c r="I328" s="455">
        <v>4908936</v>
      </c>
      <c r="J328" s="437">
        <v>11290553</v>
      </c>
      <c r="K328" s="147"/>
      <c r="L328" s="438" t="s">
        <v>2564</v>
      </c>
      <c r="M328" s="194" t="s">
        <v>586</v>
      </c>
      <c r="N328" s="177" t="e" cm="1">
        <f t="array" aca="1" ref="N328" ca="1">_xlfn.XLOOKUP(Contrato5[[#This Row],[SUPERVISOR TITULAR]],[2]!PERSONAL_ACTIVO_2024[[#All],[Nombre completo]],[2]!PERSONAL_ACTIVO_2024[[#All],[Documento identidad]],"",0)</f>
        <v>#NAME?</v>
      </c>
      <c r="O328" s="194" t="s">
        <v>589</v>
      </c>
      <c r="P328" s="196" t="e" cm="1">
        <f t="array" aca="1" ref="P328" ca="1">_xlfn.XLOOKUP(Contrato5[[#This Row],[SUPERVISOR SUPLENTE ]],[2]!PERSONAL_ACTIVO_2024[[#All],[Nombre completo]],[2]!PERSONAL_ACTIVO_2024[[#All],[Documento identidad]],"",0)</f>
        <v>#NAME?</v>
      </c>
      <c r="Q328" s="170">
        <v>983</v>
      </c>
      <c r="R328" s="137" t="e" cm="1">
        <f t="array" aca="1" ref="R328" ca="1">_xlfn.XLOOKUP(Contrato5[[#This Row],[CDP]],[2]!DISPONIBILIDADES_2024[[#All],[consecutivo]],[2]!DISPONIBILIDADES_2024[[#All],[fecha_aprobacion]],"",0)</f>
        <v>#NAME?</v>
      </c>
      <c r="S328" s="138" t="e">
        <f>SUMIF([2]!DISPONIBILIDADES_2024[[#All],[consecutivo]],Contrato5[[#This Row],[CDP]],[2]!DISPONIBILIDADES_2024[[#All],[valor_total_rubro]])</f>
        <v>#REF!</v>
      </c>
      <c r="T328" s="139" t="e" cm="1">
        <f t="array" aca="1" ref="T328" ca="1">_xlfn.XLOOKUP(Contrato5[[#This Row],[CONTRATO]]&amp;Contrato5[[#This Row],[CDP]],[2]!Corr_Contr_CDP[[#All],[CONTRATO-CDP]],[2]!Corr_Contr_CDP[[#All],[CRP]],_xlfn.XLOOKUP(Contrato5[[#This Row],[CDP]],[2]!COMPROMISOS_2024[[#All],[disponibilidad]],[2]!COMPROMISOS_2024[[#All],[consecutivo]],"",0),0)</f>
        <v>#NAME?</v>
      </c>
      <c r="U328" s="140" t="e" cm="1">
        <f t="array" aca="1" ref="U328" ca="1">+_xlfn.XLOOKUP(Contrato5[[#This Row],[RCP]],[2]!COMPROMISOS_2024[[#All],[consecutivo]],[2]!COMPROMISOS_2024[[#All],[fecha_aprobacion]],"",0)</f>
        <v>#NAME?</v>
      </c>
      <c r="V328" s="141" t="e">
        <f ca="1">SUMIF([2]!COMPROMISOS_2024[[#All],[consecutivo]],Contrato5[[#This Row],[RCP]],[2]!COMPROMISOS_2024[[#All],[valor_total]])</f>
        <v>#REF!</v>
      </c>
      <c r="W328" s="415">
        <v>45572</v>
      </c>
      <c r="X328" s="415" t="s">
        <v>1045</v>
      </c>
      <c r="Y328" s="143">
        <v>45574</v>
      </c>
      <c r="Z328" s="262">
        <v>45643</v>
      </c>
      <c r="AA328" s="203"/>
      <c r="AB328" s="172" t="s">
        <v>2591</v>
      </c>
      <c r="AC328" s="127"/>
      <c r="AD328" s="211"/>
      <c r="AE328" s="147"/>
      <c r="AF328" s="148" t="str">
        <f>TEXT(LEFT(Contrato5[[#This Row],[CONTRATO]],3),"0")</f>
        <v>258</v>
      </c>
      <c r="AG328" s="148" t="str">
        <f>IF(LEN(Contrato5[[#This Row],[Contrato2]])=3,Contrato5[[#This Row],[Contrato2]],TEXT(Contrato5[[#This Row],[Contrato2]],"000"))</f>
        <v>258</v>
      </c>
      <c r="AH328" s="149">
        <f ca="1">IFERROR(_xlfn.DAYS(Contrato5[[#This Row],[Fecha Proyectada liquidación]],TODAY())/30,"")</f>
        <v>0.16666666666666666</v>
      </c>
      <c r="AI328" s="150">
        <f>+Contrato5[[#This Row],[FECHA TERMINACIÓN ]]+120</f>
        <v>45763</v>
      </c>
      <c r="AJ328" s="147"/>
      <c r="AK328" s="152" t="str">
        <f ca="1">IF(Contrato5[[#This Row],[FECHA TERMINACIÓN ]]&lt;TODAY(), "Terminado",IF(ISNUMBER(Contrato5[[#This Row],[Fecha Real de liquiidación ]]),"Liquidado",IF(Contrato5[[#This Row],[FECHA TERMINACIÓN ]]&gt;=TODAY(),"En ejecución","")))</f>
        <v>Terminado</v>
      </c>
      <c r="AL328" s="153" t="e">
        <f ca="1">SUMIF([2]!COMPROMISOS_2024[[#All],[consecutivo]],Contrato5[[#This Row],[RCP]],[2]!COMPROMISOS_2024[[#All],[Total pagado]])</f>
        <v>#REF!</v>
      </c>
      <c r="AM328" s="154">
        <f ca="1">IFERROR(Contrato5[[#This Row],[Pagos]]/Contrato5[[#This Row],[VALOR CONTRATO]],0)</f>
        <v>0</v>
      </c>
      <c r="AN328" s="198" t="e">
        <f ca="1">+Contrato5[[#This Row],[VALOR CONTRATO]]-Contrato5[[#This Row],[Pagos]]</f>
        <v>#REF!</v>
      </c>
      <c r="AO328" s="147" t="e" cm="1">
        <f t="array" aca="1" ref="AO328" ca="1">_xlfn.XLOOKUP(Contrato5[[#This Row],[DOCUMENTO ]],[2]!PERSONAL_ACTIVO_2024[[#All],[Documento identidad]],[2]!PERSONAL_ACTIVO_2024[[#All],[Mail ]],0,0)</f>
        <v>#NAME?</v>
      </c>
      <c r="AP328" s="147" t="e" cm="1">
        <f t="array" aca="1" ref="AP328" ca="1">_xlfn.XLOOKUP(Contrato5[[#This Row],[DOCUMENTO]],[2]!PERSONAL_ACTIVO_2024[[#All],[Documento identidad]],[2]!PERSONAL_ACTIVO_2024[[#All],[Mail ]],0,0)</f>
        <v>#NAME?</v>
      </c>
      <c r="AQ328" s="439" cm="1">
        <f t="array" aca="1" ref="AQ328" ca="1">IF(ISBLANK(Contrato5[[#This Row],[DEPENDENCIA ]]),0,IFERROR(_xlfn.XLOOKUP(Contrato5[[#This Row],[DEPENDENCIA ]],[2]!PERSONAL_ACTIVO_2024[[#All],[Dependencia]],[2]!PERSONAL_ACTIVO_2024[[#All],[Mail ]],0,0),0))</f>
        <v>0</v>
      </c>
    </row>
    <row r="329" spans="1:43" ht="34.5" customHeight="1">
      <c r="A329" s="125">
        <v>601</v>
      </c>
      <c r="B329" s="124">
        <v>259</v>
      </c>
      <c r="C329" s="162" t="s">
        <v>1685</v>
      </c>
      <c r="D329" s="227" t="s">
        <v>583</v>
      </c>
      <c r="E329" s="128" t="s">
        <v>94</v>
      </c>
      <c r="F329" s="163" t="s">
        <v>1376</v>
      </c>
      <c r="G329" s="190" t="s">
        <v>1016</v>
      </c>
      <c r="H329" s="447">
        <v>15349318</v>
      </c>
      <c r="I329" s="455">
        <v>2574842</v>
      </c>
      <c r="J329" s="456">
        <v>15449052</v>
      </c>
      <c r="K329" s="131" t="s">
        <v>42</v>
      </c>
      <c r="L329" s="438" t="s">
        <v>989</v>
      </c>
      <c r="M329" s="194" t="s">
        <v>586</v>
      </c>
      <c r="N329" s="177" t="e" cm="1">
        <f t="array" aca="1" ref="N329" ca="1">_xlfn.XLOOKUP(Contrato5[[#This Row],[SUPERVISOR TITULAR]],[2]!PERSONAL_ACTIVO_2024[[#All],[Nombre completo]],[2]!PERSONAL_ACTIVO_2024[[#All],[Documento identidad]],"",0)</f>
        <v>#NAME?</v>
      </c>
      <c r="O329" s="194" t="s">
        <v>589</v>
      </c>
      <c r="P329" s="196" t="e" cm="1">
        <f t="array" aca="1" ref="P329" ca="1">_xlfn.XLOOKUP(Contrato5[[#This Row],[SUPERVISOR SUPLENTE ]],[2]!PERSONAL_ACTIVO_2024[[#All],[Nombre completo]],[2]!PERSONAL_ACTIVO_2024[[#All],[Documento identidad]],"",0)</f>
        <v>#NAME?</v>
      </c>
      <c r="Q329" s="170">
        <v>353</v>
      </c>
      <c r="R329" s="137" t="e" cm="1">
        <f t="array" aca="1" ref="R329" ca="1">_xlfn.XLOOKUP(Contrato5[[#This Row],[CDP]],[2]!DISPONIBILIDADES_2024[[#All],[consecutivo]],[2]!DISPONIBILIDADES_2024[[#All],[fecha_aprobacion]],"",0)</f>
        <v>#NAME?</v>
      </c>
      <c r="S329" s="138" t="e">
        <f>SUMIF([2]!DISPONIBILIDADES_2024[[#All],[consecutivo]],Contrato5[[#This Row],[CDP]],[2]!DISPONIBILIDADES_2024[[#All],[valor_total_rubro]])</f>
        <v>#REF!</v>
      </c>
      <c r="T329" s="139" t="e" cm="1">
        <f t="array" aca="1" ref="T329" ca="1">_xlfn.XLOOKUP(Contrato5[[#This Row],[CONTRATO]]&amp;Contrato5[[#This Row],[CDP]],[2]!Corr_Contr_CDP[[#All],[CONTRATO-CDP]],[2]!Corr_Contr_CDP[[#All],[CRP]],_xlfn.XLOOKUP(Contrato5[[#This Row],[CDP]],[2]!COMPROMISOS_2024[[#All],[disponibilidad]],[2]!COMPROMISOS_2024[[#All],[consecutivo]],"",0),0)</f>
        <v>#NAME?</v>
      </c>
      <c r="U329" s="140" t="e" cm="1">
        <f t="array" aca="1" ref="U329" ca="1">+_xlfn.XLOOKUP(Contrato5[[#This Row],[RCP]],[2]!COMPROMISOS_2024[[#All],[consecutivo]],[2]!COMPROMISOS_2024[[#All],[fecha_aprobacion]],"",0)</f>
        <v>#NAME?</v>
      </c>
      <c r="V329" s="141" t="e">
        <f ca="1">SUMIF([2]!COMPROMISOS_2024[[#All],[consecutivo]],Contrato5[[#This Row],[RCP]],[2]!COMPROMISOS_2024[[#All],[valor_total]])</f>
        <v>#REF!</v>
      </c>
      <c r="W329" s="415">
        <v>45391</v>
      </c>
      <c r="X329" s="415" t="s">
        <v>1045</v>
      </c>
      <c r="Y329" s="143">
        <v>45391</v>
      </c>
      <c r="Z329" s="262">
        <v>45573</v>
      </c>
      <c r="AA329" s="171" t="s">
        <v>1002</v>
      </c>
      <c r="AB329" s="172" t="s">
        <v>640</v>
      </c>
      <c r="AC329" s="172"/>
      <c r="AD329" s="211">
        <v>202000004189</v>
      </c>
      <c r="AE329" s="147" t="s">
        <v>523</v>
      </c>
      <c r="AF329" s="148" t="str">
        <f>TEXT(LEFT(Contrato5[[#This Row],[CONTRATO]],3),"0")</f>
        <v>259</v>
      </c>
      <c r="AG329" s="148" t="str">
        <f>IF(LEN(Contrato5[[#This Row],[Contrato2]])=3,Contrato5[[#This Row],[Contrato2]],TEXT(Contrato5[[#This Row],[Contrato2]],"000"))</f>
        <v>259</v>
      </c>
      <c r="AH329" s="149">
        <f ca="1">IFERROR(_xlfn.DAYS(Contrato5[[#This Row],[Fecha Proyectada liquidación]],TODAY())/30,"")</f>
        <v>-2.1666666666666665</v>
      </c>
      <c r="AI329" s="150">
        <f>+Contrato5[[#This Row],[FECHA TERMINACIÓN ]]+120</f>
        <v>45693</v>
      </c>
      <c r="AJ329" s="147"/>
      <c r="AK329" s="152" t="str">
        <f ca="1">IF(Contrato5[[#This Row],[FECHA TERMINACIÓN ]]&lt;TODAY(), "Terminado",IF(ISNUMBER(Contrato5[[#This Row],[Fecha Real de liquiidación ]]),"Liquidado",IF(Contrato5[[#This Row],[FECHA TERMINACIÓN ]]&gt;=TODAY(),"En ejecución","")))</f>
        <v>Terminado</v>
      </c>
      <c r="AL329" s="153" t="e">
        <f ca="1">SUMIF([2]!COMPROMISOS_2024[[#All],[consecutivo]],Contrato5[[#This Row],[RCP]],[2]!COMPROMISOS_2024[[#All],[Total pagado]])</f>
        <v>#REF!</v>
      </c>
      <c r="AM329" s="154">
        <f ca="1">IFERROR(Contrato5[[#This Row],[Pagos]]/Contrato5[[#This Row],[VALOR CONTRATO]],0)</f>
        <v>0</v>
      </c>
      <c r="AN329" s="198" t="e">
        <f ca="1">+Contrato5[[#This Row],[VALOR CONTRATO]]-Contrato5[[#This Row],[Pagos]]</f>
        <v>#REF!</v>
      </c>
      <c r="AO329" s="147" t="e" cm="1">
        <f t="array" aca="1" ref="AO329" ca="1">_xlfn.XLOOKUP(Contrato5[[#This Row],[DOCUMENTO ]],[2]!PERSONAL_ACTIVO_2024[[#All],[Documento identidad]],[2]!PERSONAL_ACTIVO_2024[[#All],[Mail ]],0,0)</f>
        <v>#NAME?</v>
      </c>
      <c r="AP329" s="147" t="e" cm="1">
        <f t="array" aca="1" ref="AP329" ca="1">_xlfn.XLOOKUP(Contrato5[[#This Row],[DOCUMENTO]],[2]!PERSONAL_ACTIVO_2024[[#All],[Documento identidad]],[2]!PERSONAL_ACTIVO_2024[[#All],[Mail ]],0,0)</f>
        <v>#NAME?</v>
      </c>
      <c r="AQ329" s="439" cm="1">
        <f t="array" aca="1" ref="AQ329" ca="1">IF(ISBLANK(Contrato5[[#This Row],[DEPENDENCIA ]]),0,IFERROR(_xlfn.XLOOKUP(Contrato5[[#This Row],[DEPENDENCIA ]],[2]!PERSONAL_ACTIVO_2024[[#All],[Dependencia]],[2]!PERSONAL_ACTIVO_2024[[#All],[Mail ]],0,0),0))</f>
        <v>0</v>
      </c>
    </row>
    <row r="330" spans="1:43" ht="34.5" customHeight="1">
      <c r="A330" s="147">
        <v>1177</v>
      </c>
      <c r="B330" s="124">
        <v>259</v>
      </c>
      <c r="C330" s="162" t="s">
        <v>2166</v>
      </c>
      <c r="D330" s="227" t="s">
        <v>583</v>
      </c>
      <c r="E330" s="440" t="s">
        <v>78</v>
      </c>
      <c r="F330" s="126" t="s">
        <v>1376</v>
      </c>
      <c r="G330" s="190" t="s">
        <v>1016</v>
      </c>
      <c r="H330" s="447">
        <v>15349318</v>
      </c>
      <c r="I330" s="455">
        <v>2574842</v>
      </c>
      <c r="J330" s="437">
        <v>5922137</v>
      </c>
      <c r="K330" s="147"/>
      <c r="L330" s="438" t="s">
        <v>2564</v>
      </c>
      <c r="M330" s="194" t="s">
        <v>586</v>
      </c>
      <c r="N330" s="177" t="e" cm="1">
        <f t="array" aca="1" ref="N330" ca="1">_xlfn.XLOOKUP(Contrato5[[#This Row],[SUPERVISOR TITULAR]],[2]!PERSONAL_ACTIVO_2024[[#All],[Nombre completo]],[2]!PERSONAL_ACTIVO_2024[[#All],[Documento identidad]],"",0)</f>
        <v>#NAME?</v>
      </c>
      <c r="O330" s="194" t="s">
        <v>589</v>
      </c>
      <c r="P330" s="196" t="e" cm="1">
        <f t="array" aca="1" ref="P330" ca="1">_xlfn.XLOOKUP(Contrato5[[#This Row],[SUPERVISOR SUPLENTE ]],[2]!PERSONAL_ACTIVO_2024[[#All],[Nombre completo]],[2]!PERSONAL_ACTIVO_2024[[#All],[Documento identidad]],"",0)</f>
        <v>#NAME?</v>
      </c>
      <c r="Q330" s="170">
        <v>984</v>
      </c>
      <c r="R330" s="137" t="e" cm="1">
        <f t="array" aca="1" ref="R330" ca="1">_xlfn.XLOOKUP(Contrato5[[#This Row],[CDP]],[2]!DISPONIBILIDADES_2024[[#All],[consecutivo]],[2]!DISPONIBILIDADES_2024[[#All],[fecha_aprobacion]],"",0)</f>
        <v>#NAME?</v>
      </c>
      <c r="S330" s="138" t="e">
        <f>SUMIF([2]!DISPONIBILIDADES_2024[[#All],[consecutivo]],Contrato5[[#This Row],[CDP]],[2]!DISPONIBILIDADES_2024[[#All],[valor_total_rubro]])</f>
        <v>#REF!</v>
      </c>
      <c r="T330" s="139" t="e" cm="1">
        <f t="array" aca="1" ref="T330" ca="1">_xlfn.XLOOKUP(Contrato5[[#This Row],[CONTRATO]]&amp;Contrato5[[#This Row],[CDP]],[2]!Corr_Contr_CDP[[#All],[CONTRATO-CDP]],[2]!Corr_Contr_CDP[[#All],[CRP]],_xlfn.XLOOKUP(Contrato5[[#This Row],[CDP]],[2]!COMPROMISOS_2024[[#All],[disponibilidad]],[2]!COMPROMISOS_2024[[#All],[consecutivo]],"",0),0)</f>
        <v>#NAME?</v>
      </c>
      <c r="U330" s="140" t="e" cm="1">
        <f t="array" aca="1" ref="U330" ca="1">+_xlfn.XLOOKUP(Contrato5[[#This Row],[RCP]],[2]!COMPROMISOS_2024[[#All],[consecutivo]],[2]!COMPROMISOS_2024[[#All],[fecha_aprobacion]],"",0)</f>
        <v>#NAME?</v>
      </c>
      <c r="V330" s="141" t="e">
        <f ca="1">SUMIF([2]!COMPROMISOS_2024[[#All],[consecutivo]],Contrato5[[#This Row],[RCP]],[2]!COMPROMISOS_2024[[#All],[valor_total]])</f>
        <v>#REF!</v>
      </c>
      <c r="W330" s="415">
        <v>45572</v>
      </c>
      <c r="X330" s="415" t="s">
        <v>1045</v>
      </c>
      <c r="Y330" s="143">
        <v>45574</v>
      </c>
      <c r="Z330" s="262">
        <v>45643</v>
      </c>
      <c r="AA330" s="203"/>
      <c r="AB330" s="172" t="s">
        <v>2591</v>
      </c>
      <c r="AC330" s="127"/>
      <c r="AD330" s="211"/>
      <c r="AE330" s="147"/>
      <c r="AF330" s="148" t="str">
        <f>TEXT(LEFT(Contrato5[[#This Row],[CONTRATO]],3),"0")</f>
        <v>259</v>
      </c>
      <c r="AG330" s="148" t="str">
        <f>IF(LEN(Contrato5[[#This Row],[Contrato2]])=3,Contrato5[[#This Row],[Contrato2]],TEXT(Contrato5[[#This Row],[Contrato2]],"000"))</f>
        <v>259</v>
      </c>
      <c r="AH330" s="149">
        <f ca="1">IFERROR(_xlfn.DAYS(Contrato5[[#This Row],[Fecha Proyectada liquidación]],TODAY())/30,"")</f>
        <v>0.16666666666666666</v>
      </c>
      <c r="AI330" s="150">
        <f>+Contrato5[[#This Row],[FECHA TERMINACIÓN ]]+120</f>
        <v>45763</v>
      </c>
      <c r="AJ330" s="147"/>
      <c r="AK330" s="152" t="str">
        <f ca="1">IF(Contrato5[[#This Row],[FECHA TERMINACIÓN ]]&lt;TODAY(), "Terminado",IF(ISNUMBER(Contrato5[[#This Row],[Fecha Real de liquiidación ]]),"Liquidado",IF(Contrato5[[#This Row],[FECHA TERMINACIÓN ]]&gt;=TODAY(),"En ejecución","")))</f>
        <v>Terminado</v>
      </c>
      <c r="AL330" s="153" t="e">
        <f ca="1">SUMIF([2]!COMPROMISOS_2024[[#All],[consecutivo]],Contrato5[[#This Row],[RCP]],[2]!COMPROMISOS_2024[[#All],[Total pagado]])</f>
        <v>#REF!</v>
      </c>
      <c r="AM330" s="154">
        <f ca="1">IFERROR(Contrato5[[#This Row],[Pagos]]/Contrato5[[#This Row],[VALOR CONTRATO]],0)</f>
        <v>0</v>
      </c>
      <c r="AN330" s="198" t="e">
        <f ca="1">+Contrato5[[#This Row],[VALOR CONTRATO]]-Contrato5[[#This Row],[Pagos]]</f>
        <v>#REF!</v>
      </c>
      <c r="AO330" s="147" t="e" cm="1">
        <f t="array" aca="1" ref="AO330" ca="1">_xlfn.XLOOKUP(Contrato5[[#This Row],[DOCUMENTO ]],[2]!PERSONAL_ACTIVO_2024[[#All],[Documento identidad]],[2]!PERSONAL_ACTIVO_2024[[#All],[Mail ]],0,0)</f>
        <v>#NAME?</v>
      </c>
      <c r="AP330" s="147" t="e" cm="1">
        <f t="array" aca="1" ref="AP330" ca="1">_xlfn.XLOOKUP(Contrato5[[#This Row],[DOCUMENTO]],[2]!PERSONAL_ACTIVO_2024[[#All],[Documento identidad]],[2]!PERSONAL_ACTIVO_2024[[#All],[Mail ]],0,0)</f>
        <v>#NAME?</v>
      </c>
      <c r="AQ330" s="439" cm="1">
        <f t="array" aca="1" ref="AQ330" ca="1">IF(ISBLANK(Contrato5[[#This Row],[DEPENDENCIA ]]),0,IFERROR(_xlfn.XLOOKUP(Contrato5[[#This Row],[DEPENDENCIA ]],[2]!PERSONAL_ACTIVO_2024[[#All],[Dependencia]],[2]!PERSONAL_ACTIVO_2024[[#All],[Mail ]],0,0),0))</f>
        <v>0</v>
      </c>
    </row>
    <row r="331" spans="1:43" ht="34.5" customHeight="1">
      <c r="A331" s="125">
        <v>603</v>
      </c>
      <c r="B331" s="124">
        <v>260</v>
      </c>
      <c r="C331" s="162" t="s">
        <v>1732</v>
      </c>
      <c r="D331" s="227" t="s">
        <v>583</v>
      </c>
      <c r="E331" s="128" t="s">
        <v>94</v>
      </c>
      <c r="F331" s="163" t="s">
        <v>1376</v>
      </c>
      <c r="G331" s="190" t="s">
        <v>1017</v>
      </c>
      <c r="H331" s="447">
        <v>71363078</v>
      </c>
      <c r="I331" s="455">
        <v>3952382</v>
      </c>
      <c r="J331" s="456">
        <v>23714292</v>
      </c>
      <c r="K331" s="131" t="s">
        <v>42</v>
      </c>
      <c r="L331" s="438" t="s">
        <v>989</v>
      </c>
      <c r="M331" s="194" t="s">
        <v>589</v>
      </c>
      <c r="N331" s="177" t="e" cm="1">
        <f t="array" aca="1" ref="N331" ca="1">_xlfn.XLOOKUP(Contrato5[[#This Row],[SUPERVISOR TITULAR]],[2]!PERSONAL_ACTIVO_2024[[#All],[Nombre completo]],[2]!PERSONAL_ACTIVO_2024[[#All],[Documento identidad]],"",0)</f>
        <v>#NAME?</v>
      </c>
      <c r="O331" s="194" t="s">
        <v>586</v>
      </c>
      <c r="P331" s="196" t="e" cm="1">
        <f t="array" aca="1" ref="P331" ca="1">_xlfn.XLOOKUP(Contrato5[[#This Row],[SUPERVISOR SUPLENTE ]],[2]!PERSONAL_ACTIVO_2024[[#All],[Nombre completo]],[2]!PERSONAL_ACTIVO_2024[[#All],[Documento identidad]],"",0)</f>
        <v>#NAME?</v>
      </c>
      <c r="Q331" s="170">
        <v>341</v>
      </c>
      <c r="R331" s="137" t="e" cm="1">
        <f t="array" aca="1" ref="R331" ca="1">_xlfn.XLOOKUP(Contrato5[[#This Row],[CDP]],[2]!DISPONIBILIDADES_2024[[#All],[consecutivo]],[2]!DISPONIBILIDADES_2024[[#All],[fecha_aprobacion]],"",0)</f>
        <v>#NAME?</v>
      </c>
      <c r="S331" s="138" t="e">
        <f>SUMIF([2]!DISPONIBILIDADES_2024[[#All],[consecutivo]],Contrato5[[#This Row],[CDP]],[2]!DISPONIBILIDADES_2024[[#All],[valor_total_rubro]])</f>
        <v>#REF!</v>
      </c>
      <c r="T331" s="139" t="e" cm="1">
        <f t="array" aca="1" ref="T331" ca="1">_xlfn.XLOOKUP(Contrato5[[#This Row],[CONTRATO]]&amp;Contrato5[[#This Row],[CDP]],[2]!Corr_Contr_CDP[[#All],[CONTRATO-CDP]],[2]!Corr_Contr_CDP[[#All],[CRP]],_xlfn.XLOOKUP(Contrato5[[#This Row],[CDP]],[2]!COMPROMISOS_2024[[#All],[disponibilidad]],[2]!COMPROMISOS_2024[[#All],[consecutivo]],"",0),0)</f>
        <v>#NAME?</v>
      </c>
      <c r="U331" s="140" t="e" cm="1">
        <f t="array" aca="1" ref="U331" ca="1">+_xlfn.XLOOKUP(Contrato5[[#This Row],[RCP]],[2]!COMPROMISOS_2024[[#All],[consecutivo]],[2]!COMPROMISOS_2024[[#All],[fecha_aprobacion]],"",0)</f>
        <v>#NAME?</v>
      </c>
      <c r="V331" s="141" t="e">
        <f ca="1">SUMIF([2]!COMPROMISOS_2024[[#All],[consecutivo]],Contrato5[[#This Row],[RCP]],[2]!COMPROMISOS_2024[[#All],[valor_total]])</f>
        <v>#REF!</v>
      </c>
      <c r="W331" s="415">
        <v>45391</v>
      </c>
      <c r="X331" s="415" t="s">
        <v>1045</v>
      </c>
      <c r="Y331" s="143">
        <v>45391</v>
      </c>
      <c r="Z331" s="262">
        <v>45573</v>
      </c>
      <c r="AA331" s="171" t="s">
        <v>1002</v>
      </c>
      <c r="AB331" s="172" t="s">
        <v>640</v>
      </c>
      <c r="AC331" s="172"/>
      <c r="AD331" s="211">
        <v>202000004190</v>
      </c>
      <c r="AE331" s="147" t="s">
        <v>523</v>
      </c>
      <c r="AF331" s="148" t="str">
        <f>TEXT(LEFT(Contrato5[[#This Row],[CONTRATO]],3),"0")</f>
        <v>260</v>
      </c>
      <c r="AG331" s="148" t="str">
        <f>IF(LEN(Contrato5[[#This Row],[Contrato2]])=3,Contrato5[[#This Row],[Contrato2]],TEXT(Contrato5[[#This Row],[Contrato2]],"000"))</f>
        <v>260</v>
      </c>
      <c r="AH331" s="149">
        <f ca="1">IFERROR(_xlfn.DAYS(Contrato5[[#This Row],[Fecha Proyectada liquidación]],TODAY())/30,"")</f>
        <v>-2.1666666666666665</v>
      </c>
      <c r="AI331" s="150">
        <f>+Contrato5[[#This Row],[FECHA TERMINACIÓN ]]+120</f>
        <v>45693</v>
      </c>
      <c r="AJ331" s="147"/>
      <c r="AK331" s="152" t="str">
        <f ca="1">IF(Contrato5[[#This Row],[FECHA TERMINACIÓN ]]&lt;TODAY(), "Terminado",IF(ISNUMBER(Contrato5[[#This Row],[Fecha Real de liquiidación ]]),"Liquidado",IF(Contrato5[[#This Row],[FECHA TERMINACIÓN ]]&gt;=TODAY(),"En ejecución","")))</f>
        <v>Terminado</v>
      </c>
      <c r="AL331" s="153" t="e">
        <f ca="1">SUMIF([2]!COMPROMISOS_2024[[#All],[consecutivo]],Contrato5[[#This Row],[RCP]],[2]!COMPROMISOS_2024[[#All],[Total pagado]])</f>
        <v>#REF!</v>
      </c>
      <c r="AM331" s="154">
        <f ca="1">IFERROR(Contrato5[[#This Row],[Pagos]]/Contrato5[[#This Row],[VALOR CONTRATO]],0)</f>
        <v>0</v>
      </c>
      <c r="AN331" s="198" t="e">
        <f ca="1">+Contrato5[[#This Row],[VALOR CONTRATO]]-Contrato5[[#This Row],[Pagos]]</f>
        <v>#REF!</v>
      </c>
      <c r="AO331" s="147" t="e" cm="1">
        <f t="array" aca="1" ref="AO331" ca="1">_xlfn.XLOOKUP(Contrato5[[#This Row],[DOCUMENTO ]],[2]!PERSONAL_ACTIVO_2024[[#All],[Documento identidad]],[2]!PERSONAL_ACTIVO_2024[[#All],[Mail ]],0,0)</f>
        <v>#NAME?</v>
      </c>
      <c r="AP331" s="147" t="e" cm="1">
        <f t="array" aca="1" ref="AP331" ca="1">_xlfn.XLOOKUP(Contrato5[[#This Row],[DOCUMENTO]],[2]!PERSONAL_ACTIVO_2024[[#All],[Documento identidad]],[2]!PERSONAL_ACTIVO_2024[[#All],[Mail ]],0,0)</f>
        <v>#NAME?</v>
      </c>
      <c r="AQ331" s="439" cm="1">
        <f t="array" aca="1" ref="AQ331" ca="1">IF(ISBLANK(Contrato5[[#This Row],[DEPENDENCIA ]]),0,IFERROR(_xlfn.XLOOKUP(Contrato5[[#This Row],[DEPENDENCIA ]],[2]!PERSONAL_ACTIVO_2024[[#All],[Dependencia]],[2]!PERSONAL_ACTIVO_2024[[#All],[Mail ]],0,0),0))</f>
        <v>0</v>
      </c>
    </row>
    <row r="332" spans="1:43" ht="34.5" customHeight="1">
      <c r="A332" s="147">
        <v>1178</v>
      </c>
      <c r="B332" s="124">
        <v>260</v>
      </c>
      <c r="C332" s="162" t="s">
        <v>2167</v>
      </c>
      <c r="D332" s="227" t="s">
        <v>583</v>
      </c>
      <c r="E332" s="440" t="s">
        <v>78</v>
      </c>
      <c r="F332" s="126" t="s">
        <v>1376</v>
      </c>
      <c r="G332" s="190" t="s">
        <v>1017</v>
      </c>
      <c r="H332" s="447">
        <v>71363078</v>
      </c>
      <c r="I332" s="455">
        <v>3952382</v>
      </c>
      <c r="J332" s="437">
        <v>9090479</v>
      </c>
      <c r="K332" s="147"/>
      <c r="L332" s="438" t="s">
        <v>2564</v>
      </c>
      <c r="M332" s="194" t="s">
        <v>589</v>
      </c>
      <c r="N332" s="177" t="e" cm="1">
        <f t="array" aca="1" ref="N332" ca="1">_xlfn.XLOOKUP(Contrato5[[#This Row],[SUPERVISOR TITULAR]],[2]!PERSONAL_ACTIVO_2024[[#All],[Nombre completo]],[2]!PERSONAL_ACTIVO_2024[[#All],[Documento identidad]],"",0)</f>
        <v>#NAME?</v>
      </c>
      <c r="O332" s="194" t="s">
        <v>586</v>
      </c>
      <c r="P332" s="196" t="e" cm="1">
        <f t="array" aca="1" ref="P332" ca="1">_xlfn.XLOOKUP(Contrato5[[#This Row],[SUPERVISOR SUPLENTE ]],[2]!PERSONAL_ACTIVO_2024[[#All],[Nombre completo]],[2]!PERSONAL_ACTIVO_2024[[#All],[Documento identidad]],"",0)</f>
        <v>#NAME?</v>
      </c>
      <c r="Q332" s="170">
        <v>985</v>
      </c>
      <c r="R332" s="137" t="e" cm="1">
        <f t="array" aca="1" ref="R332" ca="1">_xlfn.XLOOKUP(Contrato5[[#This Row],[CDP]],[2]!DISPONIBILIDADES_2024[[#All],[consecutivo]],[2]!DISPONIBILIDADES_2024[[#All],[fecha_aprobacion]],"",0)</f>
        <v>#NAME?</v>
      </c>
      <c r="S332" s="138" t="e">
        <f>SUMIF([2]!DISPONIBILIDADES_2024[[#All],[consecutivo]],Contrato5[[#This Row],[CDP]],[2]!DISPONIBILIDADES_2024[[#All],[valor_total_rubro]])</f>
        <v>#REF!</v>
      </c>
      <c r="T332" s="139" t="e" cm="1">
        <f t="array" aca="1" ref="T332" ca="1">_xlfn.XLOOKUP(Contrato5[[#This Row],[CONTRATO]]&amp;Contrato5[[#This Row],[CDP]],[2]!Corr_Contr_CDP[[#All],[CONTRATO-CDP]],[2]!Corr_Contr_CDP[[#All],[CRP]],_xlfn.XLOOKUP(Contrato5[[#This Row],[CDP]],[2]!COMPROMISOS_2024[[#All],[disponibilidad]],[2]!COMPROMISOS_2024[[#All],[consecutivo]],"",0),0)</f>
        <v>#NAME?</v>
      </c>
      <c r="U332" s="140" t="e" cm="1">
        <f t="array" aca="1" ref="U332" ca="1">+_xlfn.XLOOKUP(Contrato5[[#This Row],[RCP]],[2]!COMPROMISOS_2024[[#All],[consecutivo]],[2]!COMPROMISOS_2024[[#All],[fecha_aprobacion]],"",0)</f>
        <v>#NAME?</v>
      </c>
      <c r="V332" s="141" t="e">
        <f ca="1">SUMIF([2]!COMPROMISOS_2024[[#All],[consecutivo]],Contrato5[[#This Row],[RCP]],[2]!COMPROMISOS_2024[[#All],[valor_total]])</f>
        <v>#REF!</v>
      </c>
      <c r="W332" s="415">
        <v>45572</v>
      </c>
      <c r="X332" s="415" t="s">
        <v>1045</v>
      </c>
      <c r="Y332" s="143">
        <v>45574</v>
      </c>
      <c r="Z332" s="262">
        <v>45643</v>
      </c>
      <c r="AA332" s="203"/>
      <c r="AB332" s="172" t="s">
        <v>2591</v>
      </c>
      <c r="AC332" s="127"/>
      <c r="AD332" s="211"/>
      <c r="AE332" s="147"/>
      <c r="AF332" s="148" t="str">
        <f>TEXT(LEFT(Contrato5[[#This Row],[CONTRATO]],3),"0")</f>
        <v>260</v>
      </c>
      <c r="AG332" s="148" t="str">
        <f>IF(LEN(Contrato5[[#This Row],[Contrato2]])=3,Contrato5[[#This Row],[Contrato2]],TEXT(Contrato5[[#This Row],[Contrato2]],"000"))</f>
        <v>260</v>
      </c>
      <c r="AH332" s="149">
        <f ca="1">IFERROR(_xlfn.DAYS(Contrato5[[#This Row],[Fecha Proyectada liquidación]],TODAY())/30,"")</f>
        <v>0.16666666666666666</v>
      </c>
      <c r="AI332" s="150">
        <f>+Contrato5[[#This Row],[FECHA TERMINACIÓN ]]+120</f>
        <v>45763</v>
      </c>
      <c r="AJ332" s="147"/>
      <c r="AK332" s="152" t="str">
        <f ca="1">IF(Contrato5[[#This Row],[FECHA TERMINACIÓN ]]&lt;TODAY(), "Terminado",IF(ISNUMBER(Contrato5[[#This Row],[Fecha Real de liquiidación ]]),"Liquidado",IF(Contrato5[[#This Row],[FECHA TERMINACIÓN ]]&gt;=TODAY(),"En ejecución","")))</f>
        <v>Terminado</v>
      </c>
      <c r="AL332" s="153" t="e">
        <f ca="1">SUMIF([2]!COMPROMISOS_2024[[#All],[consecutivo]],Contrato5[[#This Row],[RCP]],[2]!COMPROMISOS_2024[[#All],[Total pagado]])</f>
        <v>#REF!</v>
      </c>
      <c r="AM332" s="154">
        <f ca="1">IFERROR(Contrato5[[#This Row],[Pagos]]/Contrato5[[#This Row],[VALOR CONTRATO]],0)</f>
        <v>0</v>
      </c>
      <c r="AN332" s="198" t="e">
        <f ca="1">+Contrato5[[#This Row],[VALOR CONTRATO]]-Contrato5[[#This Row],[Pagos]]</f>
        <v>#REF!</v>
      </c>
      <c r="AO332" s="147" t="e" cm="1">
        <f t="array" aca="1" ref="AO332" ca="1">_xlfn.XLOOKUP(Contrato5[[#This Row],[DOCUMENTO ]],[2]!PERSONAL_ACTIVO_2024[[#All],[Documento identidad]],[2]!PERSONAL_ACTIVO_2024[[#All],[Mail ]],0,0)</f>
        <v>#NAME?</v>
      </c>
      <c r="AP332" s="147" t="e" cm="1">
        <f t="array" aca="1" ref="AP332" ca="1">_xlfn.XLOOKUP(Contrato5[[#This Row],[DOCUMENTO]],[2]!PERSONAL_ACTIVO_2024[[#All],[Documento identidad]],[2]!PERSONAL_ACTIVO_2024[[#All],[Mail ]],0,0)</f>
        <v>#NAME?</v>
      </c>
      <c r="AQ332" s="439" cm="1">
        <f t="array" aca="1" ref="AQ332" ca="1">IF(ISBLANK(Contrato5[[#This Row],[DEPENDENCIA ]]),0,IFERROR(_xlfn.XLOOKUP(Contrato5[[#This Row],[DEPENDENCIA ]],[2]!PERSONAL_ACTIVO_2024[[#All],[Dependencia]],[2]!PERSONAL_ACTIVO_2024[[#All],[Mail ]],0,0),0))</f>
        <v>0</v>
      </c>
    </row>
    <row r="333" spans="1:43" ht="34.5" customHeight="1">
      <c r="A333" s="125">
        <v>604</v>
      </c>
      <c r="B333" s="124">
        <v>261</v>
      </c>
      <c r="C333" s="162" t="s">
        <v>1733</v>
      </c>
      <c r="D333" s="227" t="s">
        <v>583</v>
      </c>
      <c r="E333" s="128" t="s">
        <v>94</v>
      </c>
      <c r="F333" s="163" t="s">
        <v>1376</v>
      </c>
      <c r="G333" s="190" t="s">
        <v>1018</v>
      </c>
      <c r="H333" s="447">
        <v>258616</v>
      </c>
      <c r="I333" s="455">
        <v>5931149</v>
      </c>
      <c r="J333" s="456">
        <v>35586894</v>
      </c>
      <c r="K333" s="131" t="s">
        <v>42</v>
      </c>
      <c r="L333" s="438" t="s">
        <v>989</v>
      </c>
      <c r="M333" s="194" t="s">
        <v>592</v>
      </c>
      <c r="N333" s="177" t="e" cm="1">
        <f t="array" aca="1" ref="N333" ca="1">_xlfn.XLOOKUP(Contrato5[[#This Row],[SUPERVISOR TITULAR]],[2]!PERSONAL_ACTIVO_2024[[#All],[Nombre completo]],[2]!PERSONAL_ACTIVO_2024[[#All],[Documento identidad]],"",0)</f>
        <v>#NAME?</v>
      </c>
      <c r="O333" s="194" t="s">
        <v>600</v>
      </c>
      <c r="P333" s="196" t="e" cm="1">
        <f t="array" aca="1" ref="P333" ca="1">_xlfn.XLOOKUP(Contrato5[[#This Row],[SUPERVISOR SUPLENTE ]],[2]!PERSONAL_ACTIVO_2024[[#All],[Nombre completo]],[2]!PERSONAL_ACTIVO_2024[[#All],[Documento identidad]],"",0)</f>
        <v>#NAME?</v>
      </c>
      <c r="Q333" s="170">
        <v>317</v>
      </c>
      <c r="R333" s="137" t="e" cm="1">
        <f t="array" aca="1" ref="R333" ca="1">_xlfn.XLOOKUP(Contrato5[[#This Row],[CDP]],[2]!DISPONIBILIDADES_2024[[#All],[consecutivo]],[2]!DISPONIBILIDADES_2024[[#All],[fecha_aprobacion]],"",0)</f>
        <v>#NAME?</v>
      </c>
      <c r="S333" s="138" t="e">
        <f>SUMIF([2]!DISPONIBILIDADES_2024[[#All],[consecutivo]],Contrato5[[#This Row],[CDP]],[2]!DISPONIBILIDADES_2024[[#All],[valor_total_rubro]])</f>
        <v>#REF!</v>
      </c>
      <c r="T333" s="139" t="e" cm="1">
        <f t="array" aca="1" ref="T333" ca="1">_xlfn.XLOOKUP(Contrato5[[#This Row],[CONTRATO]]&amp;Contrato5[[#This Row],[CDP]],[2]!Corr_Contr_CDP[[#All],[CONTRATO-CDP]],[2]!Corr_Contr_CDP[[#All],[CRP]],_xlfn.XLOOKUP(Contrato5[[#This Row],[CDP]],[2]!COMPROMISOS_2024[[#All],[disponibilidad]],[2]!COMPROMISOS_2024[[#All],[consecutivo]],"",0),0)</f>
        <v>#NAME?</v>
      </c>
      <c r="U333" s="140" t="e" cm="1">
        <f t="array" aca="1" ref="U333" ca="1">+_xlfn.XLOOKUP(Contrato5[[#This Row],[RCP]],[2]!COMPROMISOS_2024[[#All],[consecutivo]],[2]!COMPROMISOS_2024[[#All],[fecha_aprobacion]],"",0)</f>
        <v>#NAME?</v>
      </c>
      <c r="V333" s="141" t="e">
        <f ca="1">SUMIF([2]!COMPROMISOS_2024[[#All],[consecutivo]],Contrato5[[#This Row],[RCP]],[2]!COMPROMISOS_2024[[#All],[valor_total]])</f>
        <v>#REF!</v>
      </c>
      <c r="W333" s="415">
        <v>45391</v>
      </c>
      <c r="X333" s="415" t="s">
        <v>1045</v>
      </c>
      <c r="Y333" s="143">
        <v>45401</v>
      </c>
      <c r="Z333" s="262">
        <v>45583</v>
      </c>
      <c r="AA333" s="183" t="s">
        <v>1002</v>
      </c>
      <c r="AB333" s="172" t="s">
        <v>640</v>
      </c>
      <c r="AC333" s="172"/>
      <c r="AD333" s="211">
        <v>202000004191</v>
      </c>
      <c r="AE333" s="147" t="s">
        <v>523</v>
      </c>
      <c r="AF333" s="148" t="str">
        <f>TEXT(LEFT(Contrato5[[#This Row],[CONTRATO]],3),"0")</f>
        <v>261</v>
      </c>
      <c r="AG333" s="148" t="str">
        <f>IF(LEN(Contrato5[[#This Row],[Contrato2]])=3,Contrato5[[#This Row],[Contrato2]],TEXT(Contrato5[[#This Row],[Contrato2]],"000"))</f>
        <v>261</v>
      </c>
      <c r="AH333" s="149">
        <f ca="1">IFERROR(_xlfn.DAYS(Contrato5[[#This Row],[Fecha Proyectada liquidación]],TODAY())/30,"")</f>
        <v>-1.8333333333333333</v>
      </c>
      <c r="AI333" s="150">
        <f>+Contrato5[[#This Row],[FECHA TERMINACIÓN ]]+120</f>
        <v>45703</v>
      </c>
      <c r="AJ333" s="147"/>
      <c r="AK333" s="152" t="str">
        <f ca="1">IF(Contrato5[[#This Row],[FECHA TERMINACIÓN ]]&lt;TODAY(), "Terminado",IF(ISNUMBER(Contrato5[[#This Row],[Fecha Real de liquiidación ]]),"Liquidado",IF(Contrato5[[#This Row],[FECHA TERMINACIÓN ]]&gt;=TODAY(),"En ejecución","")))</f>
        <v>Terminado</v>
      </c>
      <c r="AL333" s="153" t="e">
        <f ca="1">SUMIF([2]!COMPROMISOS_2024[[#All],[consecutivo]],Contrato5[[#This Row],[RCP]],[2]!COMPROMISOS_2024[[#All],[Total pagado]])</f>
        <v>#REF!</v>
      </c>
      <c r="AM333" s="154">
        <f ca="1">IFERROR(Contrato5[[#This Row],[Pagos]]/Contrato5[[#This Row],[VALOR CONTRATO]],0)</f>
        <v>0</v>
      </c>
      <c r="AN333" s="198" t="e">
        <f ca="1">+Contrato5[[#This Row],[VALOR CONTRATO]]-Contrato5[[#This Row],[Pagos]]</f>
        <v>#REF!</v>
      </c>
      <c r="AO333" s="147" t="e" cm="1">
        <f t="array" aca="1" ref="AO333" ca="1">_xlfn.XLOOKUP(Contrato5[[#This Row],[DOCUMENTO ]],[2]!PERSONAL_ACTIVO_2024[[#All],[Documento identidad]],[2]!PERSONAL_ACTIVO_2024[[#All],[Mail ]],0,0)</f>
        <v>#NAME?</v>
      </c>
      <c r="AP333" s="147" t="e" cm="1">
        <f t="array" aca="1" ref="AP333" ca="1">_xlfn.XLOOKUP(Contrato5[[#This Row],[DOCUMENTO]],[2]!PERSONAL_ACTIVO_2024[[#All],[Documento identidad]],[2]!PERSONAL_ACTIVO_2024[[#All],[Mail ]],0,0)</f>
        <v>#NAME?</v>
      </c>
      <c r="AQ333" s="439" cm="1">
        <f t="array" aca="1" ref="AQ333" ca="1">IF(ISBLANK(Contrato5[[#This Row],[DEPENDENCIA ]]),0,IFERROR(_xlfn.XLOOKUP(Contrato5[[#This Row],[DEPENDENCIA ]],[2]!PERSONAL_ACTIVO_2024[[#All],[Dependencia]],[2]!PERSONAL_ACTIVO_2024[[#All],[Mail ]],0,0),0))</f>
        <v>0</v>
      </c>
    </row>
    <row r="334" spans="1:43" ht="34.5" customHeight="1">
      <c r="A334" s="147">
        <v>1179</v>
      </c>
      <c r="B334" s="124">
        <v>261</v>
      </c>
      <c r="C334" s="162" t="s">
        <v>2168</v>
      </c>
      <c r="D334" s="227" t="s">
        <v>583</v>
      </c>
      <c r="E334" s="440" t="s">
        <v>78</v>
      </c>
      <c r="F334" s="126" t="s">
        <v>1376</v>
      </c>
      <c r="G334" s="190" t="s">
        <v>1018</v>
      </c>
      <c r="H334" s="447">
        <v>258616</v>
      </c>
      <c r="I334" s="455">
        <v>5931149</v>
      </c>
      <c r="J334" s="437">
        <v>11664593</v>
      </c>
      <c r="K334" s="147"/>
      <c r="L334" s="438" t="s">
        <v>2564</v>
      </c>
      <c r="M334" s="194" t="s">
        <v>592</v>
      </c>
      <c r="N334" s="177" t="e" cm="1">
        <f t="array" aca="1" ref="N334" ca="1">_xlfn.XLOOKUP(Contrato5[[#This Row],[SUPERVISOR TITULAR]],[2]!PERSONAL_ACTIVO_2024[[#All],[Nombre completo]],[2]!PERSONAL_ACTIVO_2024[[#All],[Documento identidad]],"",0)</f>
        <v>#NAME?</v>
      </c>
      <c r="O334" s="194" t="s">
        <v>600</v>
      </c>
      <c r="P334" s="196" t="e" cm="1">
        <f t="array" aca="1" ref="P334" ca="1">_xlfn.XLOOKUP(Contrato5[[#This Row],[SUPERVISOR SUPLENTE ]],[2]!PERSONAL_ACTIVO_2024[[#All],[Nombre completo]],[2]!PERSONAL_ACTIVO_2024[[#All],[Documento identidad]],"",0)</f>
        <v>#NAME?</v>
      </c>
      <c r="Q334" s="170">
        <v>991</v>
      </c>
      <c r="R334" s="137" t="e" cm="1">
        <f t="array" aca="1" ref="R334" ca="1">_xlfn.XLOOKUP(Contrato5[[#This Row],[CDP]],[2]!DISPONIBILIDADES_2024[[#All],[consecutivo]],[2]!DISPONIBILIDADES_2024[[#All],[fecha_aprobacion]],"",0)</f>
        <v>#NAME?</v>
      </c>
      <c r="S334" s="138" t="e">
        <f>SUMIF([2]!DISPONIBILIDADES_2024[[#All],[consecutivo]],Contrato5[[#This Row],[CDP]],[2]!DISPONIBILIDADES_2024[[#All],[valor_total_rubro]])</f>
        <v>#REF!</v>
      </c>
      <c r="T334" s="139" t="e" cm="1">
        <f t="array" aca="1" ref="T334" ca="1">_xlfn.XLOOKUP(Contrato5[[#This Row],[CONTRATO]]&amp;Contrato5[[#This Row],[CDP]],[2]!Corr_Contr_CDP[[#All],[CONTRATO-CDP]],[2]!Corr_Contr_CDP[[#All],[CRP]],_xlfn.XLOOKUP(Contrato5[[#This Row],[CDP]],[2]!COMPROMISOS_2024[[#All],[disponibilidad]],[2]!COMPROMISOS_2024[[#All],[consecutivo]],"",0),0)</f>
        <v>#NAME?</v>
      </c>
      <c r="U334" s="140" t="e" cm="1">
        <f t="array" aca="1" ref="U334" ca="1">+_xlfn.XLOOKUP(Contrato5[[#This Row],[RCP]],[2]!COMPROMISOS_2024[[#All],[consecutivo]],[2]!COMPROMISOS_2024[[#All],[fecha_aprobacion]],"",0)</f>
        <v>#NAME?</v>
      </c>
      <c r="V334" s="141" t="e">
        <f ca="1">SUMIF([2]!COMPROMISOS_2024[[#All],[consecutivo]],Contrato5[[#This Row],[RCP]],[2]!COMPROMISOS_2024[[#All],[valor_total]])</f>
        <v>#REF!</v>
      </c>
      <c r="W334" s="415">
        <v>45572</v>
      </c>
      <c r="X334" s="415" t="s">
        <v>1045</v>
      </c>
      <c r="Y334" s="143">
        <v>45584</v>
      </c>
      <c r="Z334" s="262">
        <v>45643</v>
      </c>
      <c r="AA334" s="225"/>
      <c r="AB334" s="172" t="s">
        <v>2594</v>
      </c>
      <c r="AC334" s="127"/>
      <c r="AD334" s="211"/>
      <c r="AE334" s="147"/>
      <c r="AF334" s="148" t="str">
        <f>TEXT(LEFT(Contrato5[[#This Row],[CONTRATO]],3),"0")</f>
        <v>261</v>
      </c>
      <c r="AG334" s="148" t="str">
        <f>IF(LEN(Contrato5[[#This Row],[Contrato2]])=3,Contrato5[[#This Row],[Contrato2]],TEXT(Contrato5[[#This Row],[Contrato2]],"000"))</f>
        <v>261</v>
      </c>
      <c r="AH334" s="149">
        <f ca="1">IFERROR(_xlfn.DAYS(Contrato5[[#This Row],[Fecha Proyectada liquidación]],TODAY())/30,"")</f>
        <v>0.16666666666666666</v>
      </c>
      <c r="AI334" s="150">
        <f>+Contrato5[[#This Row],[FECHA TERMINACIÓN ]]+120</f>
        <v>45763</v>
      </c>
      <c r="AJ334" s="147"/>
      <c r="AK334" s="152" t="str">
        <f ca="1">IF(Contrato5[[#This Row],[FECHA TERMINACIÓN ]]&lt;TODAY(), "Terminado",IF(ISNUMBER(Contrato5[[#This Row],[Fecha Real de liquiidación ]]),"Liquidado",IF(Contrato5[[#This Row],[FECHA TERMINACIÓN ]]&gt;=TODAY(),"En ejecución","")))</f>
        <v>Terminado</v>
      </c>
      <c r="AL334" s="153" t="e">
        <f ca="1">SUMIF([2]!COMPROMISOS_2024[[#All],[consecutivo]],Contrato5[[#This Row],[RCP]],[2]!COMPROMISOS_2024[[#All],[Total pagado]])</f>
        <v>#REF!</v>
      </c>
      <c r="AM334" s="154">
        <f ca="1">IFERROR(Contrato5[[#This Row],[Pagos]]/Contrato5[[#This Row],[VALOR CONTRATO]],0)</f>
        <v>0</v>
      </c>
      <c r="AN334" s="198" t="e">
        <f ca="1">+Contrato5[[#This Row],[VALOR CONTRATO]]-Contrato5[[#This Row],[Pagos]]</f>
        <v>#REF!</v>
      </c>
      <c r="AO334" s="147" t="e" cm="1">
        <f t="array" aca="1" ref="AO334" ca="1">_xlfn.XLOOKUP(Contrato5[[#This Row],[DOCUMENTO ]],[2]!PERSONAL_ACTIVO_2024[[#All],[Documento identidad]],[2]!PERSONAL_ACTIVO_2024[[#All],[Mail ]],0,0)</f>
        <v>#NAME?</v>
      </c>
      <c r="AP334" s="147" t="e" cm="1">
        <f t="array" aca="1" ref="AP334" ca="1">_xlfn.XLOOKUP(Contrato5[[#This Row],[DOCUMENTO]],[2]!PERSONAL_ACTIVO_2024[[#All],[Documento identidad]],[2]!PERSONAL_ACTIVO_2024[[#All],[Mail ]],0,0)</f>
        <v>#NAME?</v>
      </c>
      <c r="AQ334" s="439" cm="1">
        <f t="array" aca="1" ref="AQ334" ca="1">IF(ISBLANK(Contrato5[[#This Row],[DEPENDENCIA ]]),0,IFERROR(_xlfn.XLOOKUP(Contrato5[[#This Row],[DEPENDENCIA ]],[2]!PERSONAL_ACTIVO_2024[[#All],[Dependencia]],[2]!PERSONAL_ACTIVO_2024[[#All],[Mail ]],0,0),0))</f>
        <v>0</v>
      </c>
    </row>
    <row r="335" spans="1:43" ht="34.5" customHeight="1">
      <c r="A335" s="125">
        <v>607</v>
      </c>
      <c r="B335" s="124">
        <v>262</v>
      </c>
      <c r="C335" s="162" t="s">
        <v>1736</v>
      </c>
      <c r="D335" s="227" t="s">
        <v>583</v>
      </c>
      <c r="E335" s="128" t="s">
        <v>94</v>
      </c>
      <c r="F335" s="163" t="s">
        <v>1376</v>
      </c>
      <c r="G335" s="190" t="s">
        <v>1019</v>
      </c>
      <c r="H335" s="447">
        <v>1128478840</v>
      </c>
      <c r="I335" s="455">
        <v>2574842</v>
      </c>
      <c r="J335" s="456">
        <v>15449052</v>
      </c>
      <c r="K335" s="131" t="s">
        <v>42</v>
      </c>
      <c r="L335" s="438" t="s">
        <v>989</v>
      </c>
      <c r="M335" s="194" t="s">
        <v>586</v>
      </c>
      <c r="N335" s="177" t="e" cm="1">
        <f t="array" aca="1" ref="N335" ca="1">_xlfn.XLOOKUP(Contrato5[[#This Row],[SUPERVISOR TITULAR]],[2]!PERSONAL_ACTIVO_2024[[#All],[Nombre completo]],[2]!PERSONAL_ACTIVO_2024[[#All],[Documento identidad]],"",0)</f>
        <v>#NAME?</v>
      </c>
      <c r="O335" s="194" t="s">
        <v>589</v>
      </c>
      <c r="P335" s="196" t="e" cm="1">
        <f t="array" aca="1" ref="P335" ca="1">_xlfn.XLOOKUP(Contrato5[[#This Row],[SUPERVISOR SUPLENTE ]],[2]!PERSONAL_ACTIVO_2024[[#All],[Nombre completo]],[2]!PERSONAL_ACTIVO_2024[[#All],[Documento identidad]],"",0)</f>
        <v>#NAME?</v>
      </c>
      <c r="Q335" s="170">
        <v>355</v>
      </c>
      <c r="R335" s="137" t="e" cm="1">
        <f t="array" aca="1" ref="R335" ca="1">_xlfn.XLOOKUP(Contrato5[[#This Row],[CDP]],[2]!DISPONIBILIDADES_2024[[#All],[consecutivo]],[2]!DISPONIBILIDADES_2024[[#All],[fecha_aprobacion]],"",0)</f>
        <v>#NAME?</v>
      </c>
      <c r="S335" s="138" t="e">
        <f>SUMIF([2]!DISPONIBILIDADES_2024[[#All],[consecutivo]],Contrato5[[#This Row],[CDP]],[2]!DISPONIBILIDADES_2024[[#All],[valor_total_rubro]])</f>
        <v>#REF!</v>
      </c>
      <c r="T335" s="139" t="e" cm="1">
        <f t="array" aca="1" ref="T335" ca="1">_xlfn.XLOOKUP(Contrato5[[#This Row],[CONTRATO]]&amp;Contrato5[[#This Row],[CDP]],[2]!Corr_Contr_CDP[[#All],[CONTRATO-CDP]],[2]!Corr_Contr_CDP[[#All],[CRP]],_xlfn.XLOOKUP(Contrato5[[#This Row],[CDP]],[2]!COMPROMISOS_2024[[#All],[disponibilidad]],[2]!COMPROMISOS_2024[[#All],[consecutivo]],"",0),0)</f>
        <v>#NAME?</v>
      </c>
      <c r="U335" s="140" t="e" cm="1">
        <f t="array" aca="1" ref="U335" ca="1">+_xlfn.XLOOKUP(Contrato5[[#This Row],[RCP]],[2]!COMPROMISOS_2024[[#All],[consecutivo]],[2]!COMPROMISOS_2024[[#All],[fecha_aprobacion]],"",0)</f>
        <v>#NAME?</v>
      </c>
      <c r="V335" s="141" t="e">
        <f ca="1">SUMIF([2]!COMPROMISOS_2024[[#All],[consecutivo]],Contrato5[[#This Row],[RCP]],[2]!COMPROMISOS_2024[[#All],[valor_total]])</f>
        <v>#REF!</v>
      </c>
      <c r="W335" s="415">
        <v>45390</v>
      </c>
      <c r="X335" s="415" t="s">
        <v>1045</v>
      </c>
      <c r="Y335" s="143">
        <v>45391</v>
      </c>
      <c r="Z335" s="262">
        <v>45573</v>
      </c>
      <c r="AA335" s="183" t="s">
        <v>1002</v>
      </c>
      <c r="AB335" s="172" t="s">
        <v>640</v>
      </c>
      <c r="AC335" s="172"/>
      <c r="AD335" s="211">
        <v>202000004192</v>
      </c>
      <c r="AE335" s="147" t="s">
        <v>523</v>
      </c>
      <c r="AF335" s="148" t="str">
        <f>TEXT(LEFT(Contrato5[[#This Row],[CONTRATO]],3),"0")</f>
        <v>262</v>
      </c>
      <c r="AG335" s="148" t="str">
        <f>IF(LEN(Contrato5[[#This Row],[Contrato2]])=3,Contrato5[[#This Row],[Contrato2]],TEXT(Contrato5[[#This Row],[Contrato2]],"000"))</f>
        <v>262</v>
      </c>
      <c r="AH335" s="149">
        <f ca="1">IFERROR(_xlfn.DAYS(Contrato5[[#This Row],[Fecha Proyectada liquidación]],TODAY())/30,"")</f>
        <v>-2.1666666666666665</v>
      </c>
      <c r="AI335" s="150">
        <f>+Contrato5[[#This Row],[FECHA TERMINACIÓN ]]+120</f>
        <v>45693</v>
      </c>
      <c r="AJ335" s="147"/>
      <c r="AK335" s="152" t="str">
        <f ca="1">IF(Contrato5[[#This Row],[FECHA TERMINACIÓN ]]&lt;TODAY(), "Terminado",IF(ISNUMBER(Contrato5[[#This Row],[Fecha Real de liquiidación ]]),"Liquidado",IF(Contrato5[[#This Row],[FECHA TERMINACIÓN ]]&gt;=TODAY(),"En ejecución","")))</f>
        <v>Terminado</v>
      </c>
      <c r="AL335" s="153" t="e">
        <f ca="1">SUMIF([2]!COMPROMISOS_2024[[#All],[consecutivo]],Contrato5[[#This Row],[RCP]],[2]!COMPROMISOS_2024[[#All],[Total pagado]])</f>
        <v>#REF!</v>
      </c>
      <c r="AM335" s="154">
        <f ca="1">IFERROR(Contrato5[[#This Row],[Pagos]]/Contrato5[[#This Row],[VALOR CONTRATO]],0)</f>
        <v>0</v>
      </c>
      <c r="AN335" s="198" t="e">
        <f ca="1">+Contrato5[[#This Row],[VALOR CONTRATO]]-Contrato5[[#This Row],[Pagos]]</f>
        <v>#REF!</v>
      </c>
      <c r="AO335" s="147" t="e" cm="1">
        <f t="array" aca="1" ref="AO335" ca="1">_xlfn.XLOOKUP(Contrato5[[#This Row],[DOCUMENTO ]],[2]!PERSONAL_ACTIVO_2024[[#All],[Documento identidad]],[2]!PERSONAL_ACTIVO_2024[[#All],[Mail ]],0,0)</f>
        <v>#NAME?</v>
      </c>
      <c r="AP335" s="147" t="e" cm="1">
        <f t="array" aca="1" ref="AP335" ca="1">_xlfn.XLOOKUP(Contrato5[[#This Row],[DOCUMENTO]],[2]!PERSONAL_ACTIVO_2024[[#All],[Documento identidad]],[2]!PERSONAL_ACTIVO_2024[[#All],[Mail ]],0,0)</f>
        <v>#NAME?</v>
      </c>
      <c r="AQ335" s="439" cm="1">
        <f t="array" aca="1" ref="AQ335" ca="1">IF(ISBLANK(Contrato5[[#This Row],[DEPENDENCIA ]]),0,IFERROR(_xlfn.XLOOKUP(Contrato5[[#This Row],[DEPENDENCIA ]],[2]!PERSONAL_ACTIVO_2024[[#All],[Dependencia]],[2]!PERSONAL_ACTIVO_2024[[#All],[Mail ]],0,0),0))</f>
        <v>0</v>
      </c>
    </row>
    <row r="336" spans="1:43" ht="34.5" customHeight="1">
      <c r="A336" s="147">
        <v>1180</v>
      </c>
      <c r="B336" s="124">
        <v>262</v>
      </c>
      <c r="C336" s="162" t="s">
        <v>2169</v>
      </c>
      <c r="D336" s="227" t="s">
        <v>583</v>
      </c>
      <c r="E336" s="440" t="s">
        <v>78</v>
      </c>
      <c r="F336" s="126" t="s">
        <v>1376</v>
      </c>
      <c r="G336" s="190" t="s">
        <v>1019</v>
      </c>
      <c r="H336" s="447">
        <v>1128478840</v>
      </c>
      <c r="I336" s="455">
        <v>2574842</v>
      </c>
      <c r="J336" s="437">
        <v>5922137</v>
      </c>
      <c r="K336" s="147"/>
      <c r="L336" s="438" t="s">
        <v>2564</v>
      </c>
      <c r="M336" s="194" t="s">
        <v>586</v>
      </c>
      <c r="N336" s="177" t="e" cm="1">
        <f t="array" aca="1" ref="N336" ca="1">_xlfn.XLOOKUP(Contrato5[[#This Row],[SUPERVISOR TITULAR]],[2]!PERSONAL_ACTIVO_2024[[#All],[Nombre completo]],[2]!PERSONAL_ACTIVO_2024[[#All],[Documento identidad]],"",0)</f>
        <v>#NAME?</v>
      </c>
      <c r="O336" s="194" t="s">
        <v>589</v>
      </c>
      <c r="P336" s="196" t="e" cm="1">
        <f t="array" aca="1" ref="P336" ca="1">_xlfn.XLOOKUP(Contrato5[[#This Row],[SUPERVISOR SUPLENTE ]],[2]!PERSONAL_ACTIVO_2024[[#All],[Nombre completo]],[2]!PERSONAL_ACTIVO_2024[[#All],[Documento identidad]],"",0)</f>
        <v>#NAME?</v>
      </c>
      <c r="Q336" s="170">
        <v>992</v>
      </c>
      <c r="R336" s="137" t="e" cm="1">
        <f t="array" aca="1" ref="R336" ca="1">_xlfn.XLOOKUP(Contrato5[[#This Row],[CDP]],[2]!DISPONIBILIDADES_2024[[#All],[consecutivo]],[2]!DISPONIBILIDADES_2024[[#All],[fecha_aprobacion]],"",0)</f>
        <v>#NAME?</v>
      </c>
      <c r="S336" s="138" t="e">
        <f>SUMIF([2]!DISPONIBILIDADES_2024[[#All],[consecutivo]],Contrato5[[#This Row],[CDP]],[2]!DISPONIBILIDADES_2024[[#All],[valor_total_rubro]])</f>
        <v>#REF!</v>
      </c>
      <c r="T336" s="139" t="e" cm="1">
        <f t="array" aca="1" ref="T336" ca="1">_xlfn.XLOOKUP(Contrato5[[#This Row],[CONTRATO]]&amp;Contrato5[[#This Row],[CDP]],[2]!Corr_Contr_CDP[[#All],[CONTRATO-CDP]],[2]!Corr_Contr_CDP[[#All],[CRP]],_xlfn.XLOOKUP(Contrato5[[#This Row],[CDP]],[2]!COMPROMISOS_2024[[#All],[disponibilidad]],[2]!COMPROMISOS_2024[[#All],[consecutivo]],"",0),0)</f>
        <v>#NAME?</v>
      </c>
      <c r="U336" s="140" t="e" cm="1">
        <f t="array" aca="1" ref="U336" ca="1">+_xlfn.XLOOKUP(Contrato5[[#This Row],[RCP]],[2]!COMPROMISOS_2024[[#All],[consecutivo]],[2]!COMPROMISOS_2024[[#All],[fecha_aprobacion]],"",0)</f>
        <v>#NAME?</v>
      </c>
      <c r="V336" s="141" t="e">
        <f ca="1">SUMIF([2]!COMPROMISOS_2024[[#All],[consecutivo]],Contrato5[[#This Row],[RCP]],[2]!COMPROMISOS_2024[[#All],[valor_total]])</f>
        <v>#REF!</v>
      </c>
      <c r="W336" s="415">
        <v>45572</v>
      </c>
      <c r="X336" s="415" t="s">
        <v>1045</v>
      </c>
      <c r="Y336" s="143">
        <v>45574</v>
      </c>
      <c r="Z336" s="262">
        <v>45643</v>
      </c>
      <c r="AA336" s="225"/>
      <c r="AB336" s="172" t="s">
        <v>2591</v>
      </c>
      <c r="AC336" s="127"/>
      <c r="AD336" s="211"/>
      <c r="AE336" s="147"/>
      <c r="AF336" s="148" t="str">
        <f>TEXT(LEFT(Contrato5[[#This Row],[CONTRATO]],3),"0")</f>
        <v>262</v>
      </c>
      <c r="AG336" s="148" t="str">
        <f>IF(LEN(Contrato5[[#This Row],[Contrato2]])=3,Contrato5[[#This Row],[Contrato2]],TEXT(Contrato5[[#This Row],[Contrato2]],"000"))</f>
        <v>262</v>
      </c>
      <c r="AH336" s="149">
        <f ca="1">IFERROR(_xlfn.DAYS(Contrato5[[#This Row],[Fecha Proyectada liquidación]],TODAY())/30,"")</f>
        <v>0.16666666666666666</v>
      </c>
      <c r="AI336" s="150">
        <f>+Contrato5[[#This Row],[FECHA TERMINACIÓN ]]+120</f>
        <v>45763</v>
      </c>
      <c r="AJ336" s="147"/>
      <c r="AK336" s="152" t="str">
        <f ca="1">IF(Contrato5[[#This Row],[FECHA TERMINACIÓN ]]&lt;TODAY(), "Terminado",IF(ISNUMBER(Contrato5[[#This Row],[Fecha Real de liquiidación ]]),"Liquidado",IF(Contrato5[[#This Row],[FECHA TERMINACIÓN ]]&gt;=TODAY(),"En ejecución","")))</f>
        <v>Terminado</v>
      </c>
      <c r="AL336" s="153" t="e">
        <f ca="1">SUMIF([2]!COMPROMISOS_2024[[#All],[consecutivo]],Contrato5[[#This Row],[RCP]],[2]!COMPROMISOS_2024[[#All],[Total pagado]])</f>
        <v>#REF!</v>
      </c>
      <c r="AM336" s="154">
        <f ca="1">IFERROR(Contrato5[[#This Row],[Pagos]]/Contrato5[[#This Row],[VALOR CONTRATO]],0)</f>
        <v>0</v>
      </c>
      <c r="AN336" s="198" t="e">
        <f ca="1">+Contrato5[[#This Row],[VALOR CONTRATO]]-Contrato5[[#This Row],[Pagos]]</f>
        <v>#REF!</v>
      </c>
      <c r="AO336" s="147" t="e" cm="1">
        <f t="array" aca="1" ref="AO336" ca="1">_xlfn.XLOOKUP(Contrato5[[#This Row],[DOCUMENTO ]],[2]!PERSONAL_ACTIVO_2024[[#All],[Documento identidad]],[2]!PERSONAL_ACTIVO_2024[[#All],[Mail ]],0,0)</f>
        <v>#NAME?</v>
      </c>
      <c r="AP336" s="147" t="e" cm="1">
        <f t="array" aca="1" ref="AP336" ca="1">_xlfn.XLOOKUP(Contrato5[[#This Row],[DOCUMENTO]],[2]!PERSONAL_ACTIVO_2024[[#All],[Documento identidad]],[2]!PERSONAL_ACTIVO_2024[[#All],[Mail ]],0,0)</f>
        <v>#NAME?</v>
      </c>
      <c r="AQ336" s="439" cm="1">
        <f t="array" aca="1" ref="AQ336" ca="1">IF(ISBLANK(Contrato5[[#This Row],[DEPENDENCIA ]]),0,IFERROR(_xlfn.XLOOKUP(Contrato5[[#This Row],[DEPENDENCIA ]],[2]!PERSONAL_ACTIVO_2024[[#All],[Dependencia]],[2]!PERSONAL_ACTIVO_2024[[#All],[Mail ]],0,0),0))</f>
        <v>0</v>
      </c>
    </row>
    <row r="337" spans="1:43" ht="34.5" customHeight="1">
      <c r="A337" s="125">
        <v>608</v>
      </c>
      <c r="B337" s="124">
        <v>263</v>
      </c>
      <c r="C337" s="162" t="s">
        <v>1737</v>
      </c>
      <c r="D337" s="227" t="s">
        <v>583</v>
      </c>
      <c r="E337" s="128" t="s">
        <v>94</v>
      </c>
      <c r="F337" s="163" t="s">
        <v>1376</v>
      </c>
      <c r="G337" s="190" t="s">
        <v>1020</v>
      </c>
      <c r="H337" s="447">
        <v>9081673</v>
      </c>
      <c r="I337" s="455">
        <v>2574842</v>
      </c>
      <c r="J337" s="456">
        <v>15449052</v>
      </c>
      <c r="K337" s="131" t="s">
        <v>42</v>
      </c>
      <c r="L337" s="438" t="s">
        <v>989</v>
      </c>
      <c r="M337" s="194" t="s">
        <v>586</v>
      </c>
      <c r="N337" s="177" t="e" cm="1">
        <f t="array" aca="1" ref="N337" ca="1">_xlfn.XLOOKUP(Contrato5[[#This Row],[SUPERVISOR TITULAR]],[2]!PERSONAL_ACTIVO_2024[[#All],[Nombre completo]],[2]!PERSONAL_ACTIVO_2024[[#All],[Documento identidad]],"",0)</f>
        <v>#NAME?</v>
      </c>
      <c r="O337" s="194" t="s">
        <v>589</v>
      </c>
      <c r="P337" s="196" t="e" cm="1">
        <f t="array" aca="1" ref="P337" ca="1">_xlfn.XLOOKUP(Contrato5[[#This Row],[SUPERVISOR SUPLENTE ]],[2]!PERSONAL_ACTIVO_2024[[#All],[Nombre completo]],[2]!PERSONAL_ACTIVO_2024[[#All],[Documento identidad]],"",0)</f>
        <v>#NAME?</v>
      </c>
      <c r="Q337" s="170">
        <v>337</v>
      </c>
      <c r="R337" s="137" t="e" cm="1">
        <f t="array" aca="1" ref="R337" ca="1">_xlfn.XLOOKUP(Contrato5[[#This Row],[CDP]],[2]!DISPONIBILIDADES_2024[[#All],[consecutivo]],[2]!DISPONIBILIDADES_2024[[#All],[fecha_aprobacion]],"",0)</f>
        <v>#NAME?</v>
      </c>
      <c r="S337" s="138" t="e">
        <f>SUMIF([2]!DISPONIBILIDADES_2024[[#All],[consecutivo]],Contrato5[[#This Row],[CDP]],[2]!DISPONIBILIDADES_2024[[#All],[valor_total_rubro]])</f>
        <v>#REF!</v>
      </c>
      <c r="T337" s="139" t="e" cm="1">
        <f t="array" aca="1" ref="T337" ca="1">_xlfn.XLOOKUP(Contrato5[[#This Row],[CONTRATO]]&amp;Contrato5[[#This Row],[CDP]],[2]!Corr_Contr_CDP[[#All],[CONTRATO-CDP]],[2]!Corr_Contr_CDP[[#All],[CRP]],_xlfn.XLOOKUP(Contrato5[[#This Row],[CDP]],[2]!COMPROMISOS_2024[[#All],[disponibilidad]],[2]!COMPROMISOS_2024[[#All],[consecutivo]],"",0),0)</f>
        <v>#NAME?</v>
      </c>
      <c r="U337" s="140" t="e" cm="1">
        <f t="array" aca="1" ref="U337" ca="1">+_xlfn.XLOOKUP(Contrato5[[#This Row],[RCP]],[2]!COMPROMISOS_2024[[#All],[consecutivo]],[2]!COMPROMISOS_2024[[#All],[fecha_aprobacion]],"",0)</f>
        <v>#NAME?</v>
      </c>
      <c r="V337" s="141" t="e">
        <f ca="1">SUMIF([2]!COMPROMISOS_2024[[#All],[consecutivo]],Contrato5[[#This Row],[RCP]],[2]!COMPROMISOS_2024[[#All],[valor_total]])</f>
        <v>#REF!</v>
      </c>
      <c r="W337" s="415">
        <v>45391</v>
      </c>
      <c r="X337" s="415" t="s">
        <v>1045</v>
      </c>
      <c r="Y337" s="143">
        <v>45391</v>
      </c>
      <c r="Z337" s="262">
        <v>45573</v>
      </c>
      <c r="AA337" s="171" t="s">
        <v>1002</v>
      </c>
      <c r="AB337" s="172" t="s">
        <v>640</v>
      </c>
      <c r="AC337" s="172"/>
      <c r="AD337" s="211">
        <v>202000004193</v>
      </c>
      <c r="AE337" s="147" t="s">
        <v>523</v>
      </c>
      <c r="AF337" s="148" t="str">
        <f>TEXT(LEFT(Contrato5[[#This Row],[CONTRATO]],3),"0")</f>
        <v>263</v>
      </c>
      <c r="AG337" s="148" t="str">
        <f>IF(LEN(Contrato5[[#This Row],[Contrato2]])=3,Contrato5[[#This Row],[Contrato2]],TEXT(Contrato5[[#This Row],[Contrato2]],"000"))</f>
        <v>263</v>
      </c>
      <c r="AH337" s="149">
        <f ca="1">IFERROR(_xlfn.DAYS(Contrato5[[#This Row],[Fecha Proyectada liquidación]],TODAY())/30,"")</f>
        <v>-2.1666666666666665</v>
      </c>
      <c r="AI337" s="150">
        <f>+Contrato5[[#This Row],[FECHA TERMINACIÓN ]]+120</f>
        <v>45693</v>
      </c>
      <c r="AJ337" s="147"/>
      <c r="AK337" s="152" t="str">
        <f ca="1">IF(Contrato5[[#This Row],[FECHA TERMINACIÓN ]]&lt;TODAY(), "Terminado",IF(ISNUMBER(Contrato5[[#This Row],[Fecha Real de liquiidación ]]),"Liquidado",IF(Contrato5[[#This Row],[FECHA TERMINACIÓN ]]&gt;=TODAY(),"En ejecución","")))</f>
        <v>Terminado</v>
      </c>
      <c r="AL337" s="153" t="e">
        <f ca="1">SUMIF([2]!COMPROMISOS_2024[[#All],[consecutivo]],Contrato5[[#This Row],[RCP]],[2]!COMPROMISOS_2024[[#All],[Total pagado]])</f>
        <v>#REF!</v>
      </c>
      <c r="AM337" s="154">
        <f ca="1">IFERROR(Contrato5[[#This Row],[Pagos]]/Contrato5[[#This Row],[VALOR CONTRATO]],0)</f>
        <v>0</v>
      </c>
      <c r="AN337" s="198" t="e">
        <f ca="1">+Contrato5[[#This Row],[VALOR CONTRATO]]-Contrato5[[#This Row],[Pagos]]</f>
        <v>#REF!</v>
      </c>
      <c r="AO337" s="147" t="e" cm="1">
        <f t="array" aca="1" ref="AO337" ca="1">_xlfn.XLOOKUP(Contrato5[[#This Row],[DOCUMENTO ]],[2]!PERSONAL_ACTIVO_2024[[#All],[Documento identidad]],[2]!PERSONAL_ACTIVO_2024[[#All],[Mail ]],0,0)</f>
        <v>#NAME?</v>
      </c>
      <c r="AP337" s="147" t="e" cm="1">
        <f t="array" aca="1" ref="AP337" ca="1">_xlfn.XLOOKUP(Contrato5[[#This Row],[DOCUMENTO]],[2]!PERSONAL_ACTIVO_2024[[#All],[Documento identidad]],[2]!PERSONAL_ACTIVO_2024[[#All],[Mail ]],0,0)</f>
        <v>#NAME?</v>
      </c>
      <c r="AQ337" s="439" cm="1">
        <f t="array" aca="1" ref="AQ337" ca="1">IF(ISBLANK(Contrato5[[#This Row],[DEPENDENCIA ]]),0,IFERROR(_xlfn.XLOOKUP(Contrato5[[#This Row],[DEPENDENCIA ]],[2]!PERSONAL_ACTIVO_2024[[#All],[Dependencia]],[2]!PERSONAL_ACTIVO_2024[[#All],[Mail ]],0,0),0))</f>
        <v>0</v>
      </c>
    </row>
    <row r="338" spans="1:43" ht="34.5" customHeight="1">
      <c r="A338" s="147">
        <v>1181</v>
      </c>
      <c r="B338" s="124">
        <v>263</v>
      </c>
      <c r="C338" s="162" t="s">
        <v>2170</v>
      </c>
      <c r="D338" s="227" t="s">
        <v>583</v>
      </c>
      <c r="E338" s="440" t="s">
        <v>78</v>
      </c>
      <c r="F338" s="126" t="s">
        <v>1376</v>
      </c>
      <c r="G338" s="190" t="s">
        <v>1020</v>
      </c>
      <c r="H338" s="447">
        <v>9081673</v>
      </c>
      <c r="I338" s="455">
        <v>2574842</v>
      </c>
      <c r="J338" s="437">
        <v>5922137</v>
      </c>
      <c r="K338" s="147"/>
      <c r="L338" s="438" t="s">
        <v>2564</v>
      </c>
      <c r="M338" s="194" t="s">
        <v>586</v>
      </c>
      <c r="N338" s="177" t="e" cm="1">
        <f t="array" aca="1" ref="N338" ca="1">_xlfn.XLOOKUP(Contrato5[[#This Row],[SUPERVISOR TITULAR]],[2]!PERSONAL_ACTIVO_2024[[#All],[Nombre completo]],[2]!PERSONAL_ACTIVO_2024[[#All],[Documento identidad]],"",0)</f>
        <v>#NAME?</v>
      </c>
      <c r="O338" s="194" t="s">
        <v>589</v>
      </c>
      <c r="P338" s="196" t="e" cm="1">
        <f t="array" aca="1" ref="P338" ca="1">_xlfn.XLOOKUP(Contrato5[[#This Row],[SUPERVISOR SUPLENTE ]],[2]!PERSONAL_ACTIVO_2024[[#All],[Nombre completo]],[2]!PERSONAL_ACTIVO_2024[[#All],[Documento identidad]],"",0)</f>
        <v>#NAME?</v>
      </c>
      <c r="Q338" s="170">
        <v>993</v>
      </c>
      <c r="R338" s="137" t="e" cm="1">
        <f t="array" aca="1" ref="R338" ca="1">_xlfn.XLOOKUP(Contrato5[[#This Row],[CDP]],[2]!DISPONIBILIDADES_2024[[#All],[consecutivo]],[2]!DISPONIBILIDADES_2024[[#All],[fecha_aprobacion]],"",0)</f>
        <v>#NAME?</v>
      </c>
      <c r="S338" s="138" t="e">
        <f>SUMIF([2]!DISPONIBILIDADES_2024[[#All],[consecutivo]],Contrato5[[#This Row],[CDP]],[2]!DISPONIBILIDADES_2024[[#All],[valor_total_rubro]])</f>
        <v>#REF!</v>
      </c>
      <c r="T338" s="139" t="e" cm="1">
        <f t="array" aca="1" ref="T338" ca="1">_xlfn.XLOOKUP(Contrato5[[#This Row],[CONTRATO]]&amp;Contrato5[[#This Row],[CDP]],[2]!Corr_Contr_CDP[[#All],[CONTRATO-CDP]],[2]!Corr_Contr_CDP[[#All],[CRP]],_xlfn.XLOOKUP(Contrato5[[#This Row],[CDP]],[2]!COMPROMISOS_2024[[#All],[disponibilidad]],[2]!COMPROMISOS_2024[[#All],[consecutivo]],"",0),0)</f>
        <v>#NAME?</v>
      </c>
      <c r="U338" s="140" t="e" cm="1">
        <f t="array" aca="1" ref="U338" ca="1">+_xlfn.XLOOKUP(Contrato5[[#This Row],[RCP]],[2]!COMPROMISOS_2024[[#All],[consecutivo]],[2]!COMPROMISOS_2024[[#All],[fecha_aprobacion]],"",0)</f>
        <v>#NAME?</v>
      </c>
      <c r="V338" s="141" t="e">
        <f ca="1">SUMIF([2]!COMPROMISOS_2024[[#All],[consecutivo]],Contrato5[[#This Row],[RCP]],[2]!COMPROMISOS_2024[[#All],[valor_total]])</f>
        <v>#REF!</v>
      </c>
      <c r="W338" s="415">
        <v>45572</v>
      </c>
      <c r="X338" s="415" t="s">
        <v>1045</v>
      </c>
      <c r="Y338" s="143">
        <v>45574</v>
      </c>
      <c r="Z338" s="262">
        <v>45643</v>
      </c>
      <c r="AA338" s="203"/>
      <c r="AB338" s="172" t="s">
        <v>2591</v>
      </c>
      <c r="AC338" s="127"/>
      <c r="AD338" s="211"/>
      <c r="AE338" s="147"/>
      <c r="AF338" s="148" t="str">
        <f>TEXT(LEFT(Contrato5[[#This Row],[CONTRATO]],3),"0")</f>
        <v>263</v>
      </c>
      <c r="AG338" s="148" t="str">
        <f>IF(LEN(Contrato5[[#This Row],[Contrato2]])=3,Contrato5[[#This Row],[Contrato2]],TEXT(Contrato5[[#This Row],[Contrato2]],"000"))</f>
        <v>263</v>
      </c>
      <c r="AH338" s="149">
        <f ca="1">IFERROR(_xlfn.DAYS(Contrato5[[#This Row],[Fecha Proyectada liquidación]],TODAY())/30,"")</f>
        <v>0.16666666666666666</v>
      </c>
      <c r="AI338" s="150">
        <f>+Contrato5[[#This Row],[FECHA TERMINACIÓN ]]+120</f>
        <v>45763</v>
      </c>
      <c r="AJ338" s="147"/>
      <c r="AK338" s="152" t="str">
        <f ca="1">IF(Contrato5[[#This Row],[FECHA TERMINACIÓN ]]&lt;TODAY(), "Terminado",IF(ISNUMBER(Contrato5[[#This Row],[Fecha Real de liquiidación ]]),"Liquidado",IF(Contrato5[[#This Row],[FECHA TERMINACIÓN ]]&gt;=TODAY(),"En ejecución","")))</f>
        <v>Terminado</v>
      </c>
      <c r="AL338" s="153" t="e">
        <f ca="1">SUMIF([2]!COMPROMISOS_2024[[#All],[consecutivo]],Contrato5[[#This Row],[RCP]],[2]!COMPROMISOS_2024[[#All],[Total pagado]])</f>
        <v>#REF!</v>
      </c>
      <c r="AM338" s="154">
        <f ca="1">IFERROR(Contrato5[[#This Row],[Pagos]]/Contrato5[[#This Row],[VALOR CONTRATO]],0)</f>
        <v>0</v>
      </c>
      <c r="AN338" s="198" t="e">
        <f ca="1">+Contrato5[[#This Row],[VALOR CONTRATO]]-Contrato5[[#This Row],[Pagos]]</f>
        <v>#REF!</v>
      </c>
      <c r="AO338" s="147" t="e" cm="1">
        <f t="array" aca="1" ref="AO338" ca="1">_xlfn.XLOOKUP(Contrato5[[#This Row],[DOCUMENTO ]],[2]!PERSONAL_ACTIVO_2024[[#All],[Documento identidad]],[2]!PERSONAL_ACTIVO_2024[[#All],[Mail ]],0,0)</f>
        <v>#NAME?</v>
      </c>
      <c r="AP338" s="147" t="e" cm="1">
        <f t="array" aca="1" ref="AP338" ca="1">_xlfn.XLOOKUP(Contrato5[[#This Row],[DOCUMENTO]],[2]!PERSONAL_ACTIVO_2024[[#All],[Documento identidad]],[2]!PERSONAL_ACTIVO_2024[[#All],[Mail ]],0,0)</f>
        <v>#NAME?</v>
      </c>
      <c r="AQ338" s="439" cm="1">
        <f t="array" aca="1" ref="AQ338" ca="1">IF(ISBLANK(Contrato5[[#This Row],[DEPENDENCIA ]]),0,IFERROR(_xlfn.XLOOKUP(Contrato5[[#This Row],[DEPENDENCIA ]],[2]!PERSONAL_ACTIVO_2024[[#All],[Dependencia]],[2]!PERSONAL_ACTIVO_2024[[#All],[Mail ]],0,0),0))</f>
        <v>0</v>
      </c>
    </row>
    <row r="339" spans="1:43" ht="34.5" customHeight="1">
      <c r="A339" s="125">
        <v>609</v>
      </c>
      <c r="B339" s="124">
        <v>264</v>
      </c>
      <c r="C339" s="162" t="s">
        <v>1738</v>
      </c>
      <c r="D339" s="227" t="s">
        <v>583</v>
      </c>
      <c r="E339" s="128" t="s">
        <v>94</v>
      </c>
      <c r="F339" s="163" t="s">
        <v>1376</v>
      </c>
      <c r="G339" s="190" t="s">
        <v>1021</v>
      </c>
      <c r="H339" s="447">
        <v>1017179736</v>
      </c>
      <c r="I339" s="455">
        <v>2574842</v>
      </c>
      <c r="J339" s="456">
        <v>15449052</v>
      </c>
      <c r="K339" s="131" t="s">
        <v>42</v>
      </c>
      <c r="L339" s="438" t="s">
        <v>989</v>
      </c>
      <c r="M339" s="194" t="s">
        <v>586</v>
      </c>
      <c r="N339" s="177" t="e" cm="1">
        <f t="array" aca="1" ref="N339" ca="1">_xlfn.XLOOKUP(Contrato5[[#This Row],[SUPERVISOR TITULAR]],[2]!PERSONAL_ACTIVO_2024[[#All],[Nombre completo]],[2]!PERSONAL_ACTIVO_2024[[#All],[Documento identidad]],"",0)</f>
        <v>#NAME?</v>
      </c>
      <c r="O339" s="194" t="s">
        <v>589</v>
      </c>
      <c r="P339" s="196" t="e" cm="1">
        <f t="array" aca="1" ref="P339" ca="1">_xlfn.XLOOKUP(Contrato5[[#This Row],[SUPERVISOR SUPLENTE ]],[2]!PERSONAL_ACTIVO_2024[[#All],[Nombre completo]],[2]!PERSONAL_ACTIVO_2024[[#All],[Documento identidad]],"",0)</f>
        <v>#NAME?</v>
      </c>
      <c r="Q339" s="170">
        <v>344</v>
      </c>
      <c r="R339" s="137" t="e" cm="1">
        <f t="array" aca="1" ref="R339" ca="1">_xlfn.XLOOKUP(Contrato5[[#This Row],[CDP]],[2]!DISPONIBILIDADES_2024[[#All],[consecutivo]],[2]!DISPONIBILIDADES_2024[[#All],[fecha_aprobacion]],"",0)</f>
        <v>#NAME?</v>
      </c>
      <c r="S339" s="138" t="e">
        <f>SUMIF([2]!DISPONIBILIDADES_2024[[#All],[consecutivo]],Contrato5[[#This Row],[CDP]],[2]!DISPONIBILIDADES_2024[[#All],[valor_total_rubro]])</f>
        <v>#REF!</v>
      </c>
      <c r="T339" s="139" t="e" cm="1">
        <f t="array" aca="1" ref="T339" ca="1">_xlfn.XLOOKUP(Contrato5[[#This Row],[CONTRATO]]&amp;Contrato5[[#This Row],[CDP]],[2]!Corr_Contr_CDP[[#All],[CONTRATO-CDP]],[2]!Corr_Contr_CDP[[#All],[CRP]],_xlfn.XLOOKUP(Contrato5[[#This Row],[CDP]],[2]!COMPROMISOS_2024[[#All],[disponibilidad]],[2]!COMPROMISOS_2024[[#All],[consecutivo]],"",0),0)</f>
        <v>#NAME?</v>
      </c>
      <c r="U339" s="140" t="e" cm="1">
        <f t="array" aca="1" ref="U339" ca="1">+_xlfn.XLOOKUP(Contrato5[[#This Row],[RCP]],[2]!COMPROMISOS_2024[[#All],[consecutivo]],[2]!COMPROMISOS_2024[[#All],[fecha_aprobacion]],"",0)</f>
        <v>#NAME?</v>
      </c>
      <c r="V339" s="141" t="e">
        <f ca="1">SUMIF([2]!COMPROMISOS_2024[[#All],[consecutivo]],Contrato5[[#This Row],[RCP]],[2]!COMPROMISOS_2024[[#All],[valor_total]])</f>
        <v>#REF!</v>
      </c>
      <c r="W339" s="415">
        <v>45394</v>
      </c>
      <c r="X339" s="415" t="s">
        <v>1045</v>
      </c>
      <c r="Y339" s="143">
        <v>45397</v>
      </c>
      <c r="Z339" s="262">
        <v>45579</v>
      </c>
      <c r="AA339" s="171" t="s">
        <v>1002</v>
      </c>
      <c r="AB339" s="172" t="s">
        <v>640</v>
      </c>
      <c r="AC339" s="172"/>
      <c r="AD339" s="211">
        <v>202000004194</v>
      </c>
      <c r="AE339" s="147" t="s">
        <v>523</v>
      </c>
      <c r="AF339" s="148" t="str">
        <f>TEXT(LEFT(Contrato5[[#This Row],[CONTRATO]],3),"0")</f>
        <v>264</v>
      </c>
      <c r="AG339" s="148" t="str">
        <f>IF(LEN(Contrato5[[#This Row],[Contrato2]])=3,Contrato5[[#This Row],[Contrato2]],TEXT(Contrato5[[#This Row],[Contrato2]],"000"))</f>
        <v>264</v>
      </c>
      <c r="AH339" s="149">
        <f ca="1">IFERROR(_xlfn.DAYS(Contrato5[[#This Row],[Fecha Proyectada liquidación]],TODAY())/30,"")</f>
        <v>-1.9666666666666666</v>
      </c>
      <c r="AI339" s="150">
        <f>+Contrato5[[#This Row],[FECHA TERMINACIÓN ]]+120</f>
        <v>45699</v>
      </c>
      <c r="AJ339" s="147"/>
      <c r="AK339" s="152" t="str">
        <f ca="1">IF(Contrato5[[#This Row],[FECHA TERMINACIÓN ]]&lt;TODAY(), "Terminado",IF(ISNUMBER(Contrato5[[#This Row],[Fecha Real de liquiidación ]]),"Liquidado",IF(Contrato5[[#This Row],[FECHA TERMINACIÓN ]]&gt;=TODAY(),"En ejecución","")))</f>
        <v>Terminado</v>
      </c>
      <c r="AL339" s="153" t="e">
        <f ca="1">SUMIF([2]!COMPROMISOS_2024[[#All],[consecutivo]],Contrato5[[#This Row],[RCP]],[2]!COMPROMISOS_2024[[#All],[Total pagado]])</f>
        <v>#REF!</v>
      </c>
      <c r="AM339" s="154">
        <f ca="1">IFERROR(Contrato5[[#This Row],[Pagos]]/Contrato5[[#This Row],[VALOR CONTRATO]],0)</f>
        <v>0</v>
      </c>
      <c r="AN339" s="198" t="e">
        <f ca="1">+Contrato5[[#This Row],[VALOR CONTRATO]]-Contrato5[[#This Row],[Pagos]]</f>
        <v>#REF!</v>
      </c>
      <c r="AO339" s="147" t="e" cm="1">
        <f t="array" aca="1" ref="AO339" ca="1">_xlfn.XLOOKUP(Contrato5[[#This Row],[DOCUMENTO ]],[2]!PERSONAL_ACTIVO_2024[[#All],[Documento identidad]],[2]!PERSONAL_ACTIVO_2024[[#All],[Mail ]],0,0)</f>
        <v>#NAME?</v>
      </c>
      <c r="AP339" s="147" t="e" cm="1">
        <f t="array" aca="1" ref="AP339" ca="1">_xlfn.XLOOKUP(Contrato5[[#This Row],[DOCUMENTO]],[2]!PERSONAL_ACTIVO_2024[[#All],[Documento identidad]],[2]!PERSONAL_ACTIVO_2024[[#All],[Mail ]],0,0)</f>
        <v>#NAME?</v>
      </c>
      <c r="AQ339" s="439" cm="1">
        <f t="array" aca="1" ref="AQ339" ca="1">IF(ISBLANK(Contrato5[[#This Row],[DEPENDENCIA ]]),0,IFERROR(_xlfn.XLOOKUP(Contrato5[[#This Row],[DEPENDENCIA ]],[2]!PERSONAL_ACTIVO_2024[[#All],[Dependencia]],[2]!PERSONAL_ACTIVO_2024[[#All],[Mail ]],0,0),0))</f>
        <v>0</v>
      </c>
    </row>
    <row r="340" spans="1:43" ht="34.5" customHeight="1">
      <c r="A340" s="147">
        <v>1182</v>
      </c>
      <c r="B340" s="124">
        <v>264</v>
      </c>
      <c r="C340" s="162" t="s">
        <v>2171</v>
      </c>
      <c r="D340" s="227" t="s">
        <v>583</v>
      </c>
      <c r="E340" s="440" t="s">
        <v>78</v>
      </c>
      <c r="F340" s="126" t="s">
        <v>1376</v>
      </c>
      <c r="G340" s="190" t="s">
        <v>1021</v>
      </c>
      <c r="H340" s="447">
        <v>1017179736</v>
      </c>
      <c r="I340" s="455">
        <v>2574842</v>
      </c>
      <c r="J340" s="437">
        <v>5407168</v>
      </c>
      <c r="K340" s="147"/>
      <c r="L340" s="438" t="s">
        <v>2564</v>
      </c>
      <c r="M340" s="194" t="s">
        <v>586</v>
      </c>
      <c r="N340" s="177" t="e" cm="1">
        <f t="array" aca="1" ref="N340" ca="1">_xlfn.XLOOKUP(Contrato5[[#This Row],[SUPERVISOR TITULAR]],[2]!PERSONAL_ACTIVO_2024[[#All],[Nombre completo]],[2]!PERSONAL_ACTIVO_2024[[#All],[Documento identidad]],"",0)</f>
        <v>#NAME?</v>
      </c>
      <c r="O340" s="194" t="s">
        <v>589</v>
      </c>
      <c r="P340" s="196" t="e" cm="1">
        <f t="array" aca="1" ref="P340" ca="1">_xlfn.XLOOKUP(Contrato5[[#This Row],[SUPERVISOR SUPLENTE ]],[2]!PERSONAL_ACTIVO_2024[[#All],[Nombre completo]],[2]!PERSONAL_ACTIVO_2024[[#All],[Documento identidad]],"",0)</f>
        <v>#NAME?</v>
      </c>
      <c r="Q340" s="170">
        <v>994</v>
      </c>
      <c r="R340" s="137" t="e" cm="1">
        <f t="array" aca="1" ref="R340" ca="1">_xlfn.XLOOKUP(Contrato5[[#This Row],[CDP]],[2]!DISPONIBILIDADES_2024[[#All],[consecutivo]],[2]!DISPONIBILIDADES_2024[[#All],[fecha_aprobacion]],"",0)</f>
        <v>#NAME?</v>
      </c>
      <c r="S340" s="138" t="e">
        <f>SUMIF([2]!DISPONIBILIDADES_2024[[#All],[consecutivo]],Contrato5[[#This Row],[CDP]],[2]!DISPONIBILIDADES_2024[[#All],[valor_total_rubro]])</f>
        <v>#REF!</v>
      </c>
      <c r="T340" s="139" t="e" cm="1">
        <f t="array" aca="1" ref="T340" ca="1">_xlfn.XLOOKUP(Contrato5[[#This Row],[CONTRATO]]&amp;Contrato5[[#This Row],[CDP]],[2]!Corr_Contr_CDP[[#All],[CONTRATO-CDP]],[2]!Corr_Contr_CDP[[#All],[CRP]],_xlfn.XLOOKUP(Contrato5[[#This Row],[CDP]],[2]!COMPROMISOS_2024[[#All],[disponibilidad]],[2]!COMPROMISOS_2024[[#All],[consecutivo]],"",0),0)</f>
        <v>#NAME?</v>
      </c>
      <c r="U340" s="140" t="e" cm="1">
        <f t="array" aca="1" ref="U340" ca="1">+_xlfn.XLOOKUP(Contrato5[[#This Row],[RCP]],[2]!COMPROMISOS_2024[[#All],[consecutivo]],[2]!COMPROMISOS_2024[[#All],[fecha_aprobacion]],"",0)</f>
        <v>#NAME?</v>
      </c>
      <c r="V340" s="141" t="e">
        <f ca="1">SUMIF([2]!COMPROMISOS_2024[[#All],[consecutivo]],Contrato5[[#This Row],[RCP]],[2]!COMPROMISOS_2024[[#All],[valor_total]])</f>
        <v>#REF!</v>
      </c>
      <c r="W340" s="415">
        <v>45572</v>
      </c>
      <c r="X340" s="415" t="s">
        <v>1045</v>
      </c>
      <c r="Y340" s="143">
        <v>45580</v>
      </c>
      <c r="Z340" s="262">
        <v>45582</v>
      </c>
      <c r="AA340" s="203"/>
      <c r="AB340" s="172" t="s">
        <v>2475</v>
      </c>
      <c r="AC340" s="127"/>
      <c r="AD340" s="211"/>
      <c r="AE340" s="147"/>
      <c r="AF340" s="148" t="str">
        <f>TEXT(LEFT(Contrato5[[#This Row],[CONTRATO]],3),"0")</f>
        <v>264</v>
      </c>
      <c r="AG340" s="148" t="str">
        <f>IF(LEN(Contrato5[[#This Row],[Contrato2]])=3,Contrato5[[#This Row],[Contrato2]],TEXT(Contrato5[[#This Row],[Contrato2]],"000"))</f>
        <v>264</v>
      </c>
      <c r="AH340" s="149">
        <f ca="1">IFERROR(_xlfn.DAYS(Contrato5[[#This Row],[Fecha Proyectada liquidación]],TODAY())/30,"")</f>
        <v>-1.8666666666666667</v>
      </c>
      <c r="AI340" s="150">
        <f>+Contrato5[[#This Row],[FECHA TERMINACIÓN ]]+120</f>
        <v>45702</v>
      </c>
      <c r="AJ340" s="147"/>
      <c r="AK340" s="152" t="str">
        <f ca="1">IF(Contrato5[[#This Row],[FECHA TERMINACIÓN ]]&lt;TODAY(), "Terminado",IF(ISNUMBER(Contrato5[[#This Row],[Fecha Real de liquiidación ]]),"Liquidado",IF(Contrato5[[#This Row],[FECHA TERMINACIÓN ]]&gt;=TODAY(),"En ejecución","")))</f>
        <v>Terminado</v>
      </c>
      <c r="AL340" s="153" t="e">
        <f ca="1">SUMIF([2]!COMPROMISOS_2024[[#All],[consecutivo]],Contrato5[[#This Row],[RCP]],[2]!COMPROMISOS_2024[[#All],[Total pagado]])</f>
        <v>#REF!</v>
      </c>
      <c r="AM340" s="154">
        <f ca="1">IFERROR(Contrato5[[#This Row],[Pagos]]/Contrato5[[#This Row],[VALOR CONTRATO]],0)</f>
        <v>0</v>
      </c>
      <c r="AN340" s="198" t="e">
        <f ca="1">+Contrato5[[#This Row],[VALOR CONTRATO]]-Contrato5[[#This Row],[Pagos]]</f>
        <v>#REF!</v>
      </c>
      <c r="AO340" s="147" t="e" cm="1">
        <f t="array" aca="1" ref="AO340" ca="1">_xlfn.XLOOKUP(Contrato5[[#This Row],[DOCUMENTO ]],[2]!PERSONAL_ACTIVO_2024[[#All],[Documento identidad]],[2]!PERSONAL_ACTIVO_2024[[#All],[Mail ]],0,0)</f>
        <v>#NAME?</v>
      </c>
      <c r="AP340" s="147" t="e" cm="1">
        <f t="array" aca="1" ref="AP340" ca="1">_xlfn.XLOOKUP(Contrato5[[#This Row],[DOCUMENTO]],[2]!PERSONAL_ACTIVO_2024[[#All],[Documento identidad]],[2]!PERSONAL_ACTIVO_2024[[#All],[Mail ]],0,0)</f>
        <v>#NAME?</v>
      </c>
      <c r="AQ340" s="439" cm="1">
        <f t="array" aca="1" ref="AQ340" ca="1">IF(ISBLANK(Contrato5[[#This Row],[DEPENDENCIA ]]),0,IFERROR(_xlfn.XLOOKUP(Contrato5[[#This Row],[DEPENDENCIA ]],[2]!PERSONAL_ACTIVO_2024[[#All],[Dependencia]],[2]!PERSONAL_ACTIVO_2024[[#All],[Mail ]],0,0),0))</f>
        <v>0</v>
      </c>
    </row>
    <row r="341" spans="1:43" ht="34.5" customHeight="1">
      <c r="A341" s="125">
        <v>610</v>
      </c>
      <c r="B341" s="124">
        <v>265</v>
      </c>
      <c r="C341" s="162" t="s">
        <v>1739</v>
      </c>
      <c r="D341" s="227" t="s">
        <v>583</v>
      </c>
      <c r="E341" s="128" t="s">
        <v>94</v>
      </c>
      <c r="F341" s="163" t="s">
        <v>1376</v>
      </c>
      <c r="G341" s="190" t="s">
        <v>1022</v>
      </c>
      <c r="H341" s="447">
        <v>9729766</v>
      </c>
      <c r="I341" s="455">
        <v>7908765</v>
      </c>
      <c r="J341" s="456">
        <v>47452590</v>
      </c>
      <c r="K341" s="131" t="s">
        <v>42</v>
      </c>
      <c r="L341" s="438" t="s">
        <v>989</v>
      </c>
      <c r="M341" s="194" t="s">
        <v>586</v>
      </c>
      <c r="N341" s="177" t="e" cm="1">
        <f t="array" aca="1" ref="N341" ca="1">_xlfn.XLOOKUP(Contrato5[[#This Row],[SUPERVISOR TITULAR]],[2]!PERSONAL_ACTIVO_2024[[#All],[Nombre completo]],[2]!PERSONAL_ACTIVO_2024[[#All],[Documento identidad]],"",0)</f>
        <v>#NAME?</v>
      </c>
      <c r="O341" s="194" t="s">
        <v>589</v>
      </c>
      <c r="P341" s="196" t="e" cm="1">
        <f t="array" aca="1" ref="P341" ca="1">_xlfn.XLOOKUP(Contrato5[[#This Row],[SUPERVISOR SUPLENTE ]],[2]!PERSONAL_ACTIVO_2024[[#All],[Nombre completo]],[2]!PERSONAL_ACTIVO_2024[[#All],[Documento identidad]],"",0)</f>
        <v>#NAME?</v>
      </c>
      <c r="Q341" s="170">
        <v>345</v>
      </c>
      <c r="R341" s="137" t="e" cm="1">
        <f t="array" aca="1" ref="R341" ca="1">_xlfn.XLOOKUP(Contrato5[[#This Row],[CDP]],[2]!DISPONIBILIDADES_2024[[#All],[consecutivo]],[2]!DISPONIBILIDADES_2024[[#All],[fecha_aprobacion]],"",0)</f>
        <v>#NAME?</v>
      </c>
      <c r="S341" s="138" t="e">
        <f>SUMIF([2]!DISPONIBILIDADES_2024[[#All],[consecutivo]],Contrato5[[#This Row],[CDP]],[2]!DISPONIBILIDADES_2024[[#All],[valor_total_rubro]])</f>
        <v>#REF!</v>
      </c>
      <c r="T341" s="139" t="e" cm="1">
        <f t="array" aca="1" ref="T341" ca="1">_xlfn.XLOOKUP(Contrato5[[#This Row],[CONTRATO]]&amp;Contrato5[[#This Row],[CDP]],[2]!Corr_Contr_CDP[[#All],[CONTRATO-CDP]],[2]!Corr_Contr_CDP[[#All],[CRP]],_xlfn.XLOOKUP(Contrato5[[#This Row],[CDP]],[2]!COMPROMISOS_2024[[#All],[disponibilidad]],[2]!COMPROMISOS_2024[[#All],[consecutivo]],"",0),0)</f>
        <v>#NAME?</v>
      </c>
      <c r="U341" s="140" t="e" cm="1">
        <f t="array" aca="1" ref="U341" ca="1">+_xlfn.XLOOKUP(Contrato5[[#This Row],[RCP]],[2]!COMPROMISOS_2024[[#All],[consecutivo]],[2]!COMPROMISOS_2024[[#All],[fecha_aprobacion]],"",0)</f>
        <v>#NAME?</v>
      </c>
      <c r="V341" s="141" t="e">
        <f ca="1">SUMIF([2]!COMPROMISOS_2024[[#All],[consecutivo]],Contrato5[[#This Row],[RCP]],[2]!COMPROMISOS_2024[[#All],[valor_total]])</f>
        <v>#REF!</v>
      </c>
      <c r="W341" s="415">
        <v>45391</v>
      </c>
      <c r="X341" s="415" t="s">
        <v>1045</v>
      </c>
      <c r="Y341" s="143">
        <v>45391</v>
      </c>
      <c r="Z341" s="262">
        <v>45573</v>
      </c>
      <c r="AA341" s="183" t="s">
        <v>1002</v>
      </c>
      <c r="AB341" s="172" t="s">
        <v>640</v>
      </c>
      <c r="AC341" s="172"/>
      <c r="AD341" s="211">
        <v>202000004195</v>
      </c>
      <c r="AE341" s="147" t="s">
        <v>523</v>
      </c>
      <c r="AF341" s="148" t="str">
        <f>TEXT(LEFT(Contrato5[[#This Row],[CONTRATO]],3),"0")</f>
        <v>265</v>
      </c>
      <c r="AG341" s="148" t="str">
        <f>IF(LEN(Contrato5[[#This Row],[Contrato2]])=3,Contrato5[[#This Row],[Contrato2]],TEXT(Contrato5[[#This Row],[Contrato2]],"000"))</f>
        <v>265</v>
      </c>
      <c r="AH341" s="149">
        <f ca="1">IFERROR(_xlfn.DAYS(Contrato5[[#This Row],[Fecha Proyectada liquidación]],TODAY())/30,"")</f>
        <v>-2.1666666666666665</v>
      </c>
      <c r="AI341" s="150">
        <f>+Contrato5[[#This Row],[FECHA TERMINACIÓN ]]+120</f>
        <v>45693</v>
      </c>
      <c r="AJ341" s="147"/>
      <c r="AK341" s="152" t="str">
        <f ca="1">IF(Contrato5[[#This Row],[FECHA TERMINACIÓN ]]&lt;TODAY(), "Terminado",IF(ISNUMBER(Contrato5[[#This Row],[Fecha Real de liquiidación ]]),"Liquidado",IF(Contrato5[[#This Row],[FECHA TERMINACIÓN ]]&gt;=TODAY(),"En ejecución","")))</f>
        <v>Terminado</v>
      </c>
      <c r="AL341" s="153" t="e">
        <f ca="1">SUMIF([2]!COMPROMISOS_2024[[#All],[consecutivo]],Contrato5[[#This Row],[RCP]],[2]!COMPROMISOS_2024[[#All],[Total pagado]])</f>
        <v>#REF!</v>
      </c>
      <c r="AM341" s="154">
        <f ca="1">IFERROR(Contrato5[[#This Row],[Pagos]]/Contrato5[[#This Row],[VALOR CONTRATO]],0)</f>
        <v>0</v>
      </c>
      <c r="AN341" s="198" t="e">
        <f ca="1">+Contrato5[[#This Row],[VALOR CONTRATO]]-Contrato5[[#This Row],[Pagos]]</f>
        <v>#REF!</v>
      </c>
      <c r="AO341" s="147" t="e" cm="1">
        <f t="array" aca="1" ref="AO341" ca="1">_xlfn.XLOOKUP(Contrato5[[#This Row],[DOCUMENTO ]],[2]!PERSONAL_ACTIVO_2024[[#All],[Documento identidad]],[2]!PERSONAL_ACTIVO_2024[[#All],[Mail ]],0,0)</f>
        <v>#NAME?</v>
      </c>
      <c r="AP341" s="147" t="e" cm="1">
        <f t="array" aca="1" ref="AP341" ca="1">_xlfn.XLOOKUP(Contrato5[[#This Row],[DOCUMENTO]],[2]!PERSONAL_ACTIVO_2024[[#All],[Documento identidad]],[2]!PERSONAL_ACTIVO_2024[[#All],[Mail ]],0,0)</f>
        <v>#NAME?</v>
      </c>
      <c r="AQ341" s="439" cm="1">
        <f t="array" aca="1" ref="AQ341" ca="1">IF(ISBLANK(Contrato5[[#This Row],[DEPENDENCIA ]]),0,IFERROR(_xlfn.XLOOKUP(Contrato5[[#This Row],[DEPENDENCIA ]],[2]!PERSONAL_ACTIVO_2024[[#All],[Dependencia]],[2]!PERSONAL_ACTIVO_2024[[#All],[Mail ]],0,0),0))</f>
        <v>0</v>
      </c>
    </row>
    <row r="342" spans="1:43" ht="34.5" customHeight="1">
      <c r="A342" s="147">
        <v>1183</v>
      </c>
      <c r="B342" s="124">
        <v>265</v>
      </c>
      <c r="C342" s="162" t="s">
        <v>2172</v>
      </c>
      <c r="D342" s="227" t="s">
        <v>583</v>
      </c>
      <c r="E342" s="440" t="s">
        <v>78</v>
      </c>
      <c r="F342" s="126" t="s">
        <v>1376</v>
      </c>
      <c r="G342" s="190" t="s">
        <v>1022</v>
      </c>
      <c r="H342" s="447">
        <v>9729766</v>
      </c>
      <c r="I342" s="455">
        <v>7908765</v>
      </c>
      <c r="J342" s="437">
        <v>18190160</v>
      </c>
      <c r="K342" s="147"/>
      <c r="L342" s="438" t="s">
        <v>2564</v>
      </c>
      <c r="M342" s="194" t="s">
        <v>586</v>
      </c>
      <c r="N342" s="177" t="e" cm="1">
        <f t="array" aca="1" ref="N342" ca="1">_xlfn.XLOOKUP(Contrato5[[#This Row],[SUPERVISOR TITULAR]],[2]!PERSONAL_ACTIVO_2024[[#All],[Nombre completo]],[2]!PERSONAL_ACTIVO_2024[[#All],[Documento identidad]],"",0)</f>
        <v>#NAME?</v>
      </c>
      <c r="O342" s="194" t="s">
        <v>589</v>
      </c>
      <c r="P342" s="196" t="e" cm="1">
        <f t="array" aca="1" ref="P342" ca="1">_xlfn.XLOOKUP(Contrato5[[#This Row],[SUPERVISOR SUPLENTE ]],[2]!PERSONAL_ACTIVO_2024[[#All],[Nombre completo]],[2]!PERSONAL_ACTIVO_2024[[#All],[Documento identidad]],"",0)</f>
        <v>#NAME?</v>
      </c>
      <c r="Q342" s="170">
        <v>995</v>
      </c>
      <c r="R342" s="137" t="e" cm="1">
        <f t="array" aca="1" ref="R342" ca="1">_xlfn.XLOOKUP(Contrato5[[#This Row],[CDP]],[2]!DISPONIBILIDADES_2024[[#All],[consecutivo]],[2]!DISPONIBILIDADES_2024[[#All],[fecha_aprobacion]],"",0)</f>
        <v>#NAME?</v>
      </c>
      <c r="S342" s="138" t="e">
        <f>SUMIF([2]!DISPONIBILIDADES_2024[[#All],[consecutivo]],Contrato5[[#This Row],[CDP]],[2]!DISPONIBILIDADES_2024[[#All],[valor_total_rubro]])</f>
        <v>#REF!</v>
      </c>
      <c r="T342" s="139" t="e" cm="1">
        <f t="array" aca="1" ref="T342" ca="1">_xlfn.XLOOKUP(Contrato5[[#This Row],[CONTRATO]]&amp;Contrato5[[#This Row],[CDP]],[2]!Corr_Contr_CDP[[#All],[CONTRATO-CDP]],[2]!Corr_Contr_CDP[[#All],[CRP]],_xlfn.XLOOKUP(Contrato5[[#This Row],[CDP]],[2]!COMPROMISOS_2024[[#All],[disponibilidad]],[2]!COMPROMISOS_2024[[#All],[consecutivo]],"",0),0)</f>
        <v>#NAME?</v>
      </c>
      <c r="U342" s="140" t="e" cm="1">
        <f t="array" aca="1" ref="U342" ca="1">+_xlfn.XLOOKUP(Contrato5[[#This Row],[RCP]],[2]!COMPROMISOS_2024[[#All],[consecutivo]],[2]!COMPROMISOS_2024[[#All],[fecha_aprobacion]],"",0)</f>
        <v>#NAME?</v>
      </c>
      <c r="V342" s="141" t="e">
        <f ca="1">SUMIF([2]!COMPROMISOS_2024[[#All],[consecutivo]],Contrato5[[#This Row],[RCP]],[2]!COMPROMISOS_2024[[#All],[valor_total]])</f>
        <v>#REF!</v>
      </c>
      <c r="W342" s="415">
        <v>45572</v>
      </c>
      <c r="X342" s="415" t="s">
        <v>1045</v>
      </c>
      <c r="Y342" s="143">
        <v>45574</v>
      </c>
      <c r="Z342" s="262">
        <v>45643</v>
      </c>
      <c r="AA342" s="225"/>
      <c r="AB342" s="172" t="s">
        <v>2591</v>
      </c>
      <c r="AC342" s="127"/>
      <c r="AD342" s="211"/>
      <c r="AE342" s="147"/>
      <c r="AF342" s="148" t="str">
        <f>TEXT(LEFT(Contrato5[[#This Row],[CONTRATO]],3),"0")</f>
        <v>265</v>
      </c>
      <c r="AG342" s="148" t="str">
        <f>IF(LEN(Contrato5[[#This Row],[Contrato2]])=3,Contrato5[[#This Row],[Contrato2]],TEXT(Contrato5[[#This Row],[Contrato2]],"000"))</f>
        <v>265</v>
      </c>
      <c r="AH342" s="149">
        <f ca="1">IFERROR(_xlfn.DAYS(Contrato5[[#This Row],[Fecha Proyectada liquidación]],TODAY())/30,"")</f>
        <v>0.16666666666666666</v>
      </c>
      <c r="AI342" s="150">
        <f>+Contrato5[[#This Row],[FECHA TERMINACIÓN ]]+120</f>
        <v>45763</v>
      </c>
      <c r="AJ342" s="147"/>
      <c r="AK342" s="152" t="str">
        <f ca="1">IF(Contrato5[[#This Row],[FECHA TERMINACIÓN ]]&lt;TODAY(), "Terminado",IF(ISNUMBER(Contrato5[[#This Row],[Fecha Real de liquiidación ]]),"Liquidado",IF(Contrato5[[#This Row],[FECHA TERMINACIÓN ]]&gt;=TODAY(),"En ejecución","")))</f>
        <v>Terminado</v>
      </c>
      <c r="AL342" s="153" t="e">
        <f ca="1">SUMIF([2]!COMPROMISOS_2024[[#All],[consecutivo]],Contrato5[[#This Row],[RCP]],[2]!COMPROMISOS_2024[[#All],[Total pagado]])</f>
        <v>#REF!</v>
      </c>
      <c r="AM342" s="154">
        <f ca="1">IFERROR(Contrato5[[#This Row],[Pagos]]/Contrato5[[#This Row],[VALOR CONTRATO]],0)</f>
        <v>0</v>
      </c>
      <c r="AN342" s="198" t="e">
        <f ca="1">+Contrato5[[#This Row],[VALOR CONTRATO]]-Contrato5[[#This Row],[Pagos]]</f>
        <v>#REF!</v>
      </c>
      <c r="AO342" s="147" t="e" cm="1">
        <f t="array" aca="1" ref="AO342" ca="1">_xlfn.XLOOKUP(Contrato5[[#This Row],[DOCUMENTO ]],[2]!PERSONAL_ACTIVO_2024[[#All],[Documento identidad]],[2]!PERSONAL_ACTIVO_2024[[#All],[Mail ]],0,0)</f>
        <v>#NAME?</v>
      </c>
      <c r="AP342" s="147" t="e" cm="1">
        <f t="array" aca="1" ref="AP342" ca="1">_xlfn.XLOOKUP(Contrato5[[#This Row],[DOCUMENTO]],[2]!PERSONAL_ACTIVO_2024[[#All],[Documento identidad]],[2]!PERSONAL_ACTIVO_2024[[#All],[Mail ]],0,0)</f>
        <v>#NAME?</v>
      </c>
      <c r="AQ342" s="439" cm="1">
        <f t="array" aca="1" ref="AQ342" ca="1">IF(ISBLANK(Contrato5[[#This Row],[DEPENDENCIA ]]),0,IFERROR(_xlfn.XLOOKUP(Contrato5[[#This Row],[DEPENDENCIA ]],[2]!PERSONAL_ACTIVO_2024[[#All],[Dependencia]],[2]!PERSONAL_ACTIVO_2024[[#All],[Mail ]],0,0),0))</f>
        <v>0</v>
      </c>
    </row>
    <row r="343" spans="1:43" ht="34.5" customHeight="1">
      <c r="A343" s="125">
        <v>611</v>
      </c>
      <c r="B343" s="124">
        <v>266</v>
      </c>
      <c r="C343" s="162" t="s">
        <v>1740</v>
      </c>
      <c r="D343" s="227" t="s">
        <v>583</v>
      </c>
      <c r="E343" s="128" t="s">
        <v>94</v>
      </c>
      <c r="F343" s="163" t="s">
        <v>1376</v>
      </c>
      <c r="G343" s="190" t="s">
        <v>1023</v>
      </c>
      <c r="H343" s="447">
        <v>98627095</v>
      </c>
      <c r="I343" s="455">
        <v>3952382</v>
      </c>
      <c r="J343" s="456">
        <v>23714292</v>
      </c>
      <c r="K343" s="131" t="s">
        <v>42</v>
      </c>
      <c r="L343" s="438" t="s">
        <v>989</v>
      </c>
      <c r="M343" s="194" t="s">
        <v>589</v>
      </c>
      <c r="N343" s="177" t="e" cm="1">
        <f t="array" aca="1" ref="N343" ca="1">_xlfn.XLOOKUP(Contrato5[[#This Row],[SUPERVISOR TITULAR]],[2]!PERSONAL_ACTIVO_2024[[#All],[Nombre completo]],[2]!PERSONAL_ACTIVO_2024[[#All],[Documento identidad]],"",0)</f>
        <v>#NAME?</v>
      </c>
      <c r="O343" s="194" t="s">
        <v>586</v>
      </c>
      <c r="P343" s="196" t="e" cm="1">
        <f t="array" aca="1" ref="P343" ca="1">_xlfn.XLOOKUP(Contrato5[[#This Row],[SUPERVISOR SUPLENTE ]],[2]!PERSONAL_ACTIVO_2024[[#All],[Nombre completo]],[2]!PERSONAL_ACTIVO_2024[[#All],[Documento identidad]],"",0)</f>
        <v>#NAME?</v>
      </c>
      <c r="Q343" s="170">
        <v>338</v>
      </c>
      <c r="R343" s="137" t="e" cm="1">
        <f t="array" aca="1" ref="R343" ca="1">_xlfn.XLOOKUP(Contrato5[[#This Row],[CDP]],[2]!DISPONIBILIDADES_2024[[#All],[consecutivo]],[2]!DISPONIBILIDADES_2024[[#All],[fecha_aprobacion]],"",0)</f>
        <v>#NAME?</v>
      </c>
      <c r="S343" s="138" t="e">
        <f>SUMIF([2]!DISPONIBILIDADES_2024[[#All],[consecutivo]],Contrato5[[#This Row],[CDP]],[2]!DISPONIBILIDADES_2024[[#All],[valor_total_rubro]])</f>
        <v>#REF!</v>
      </c>
      <c r="T343" s="139" t="e" cm="1">
        <f t="array" aca="1" ref="T343" ca="1">_xlfn.XLOOKUP(Contrato5[[#This Row],[CONTRATO]]&amp;Contrato5[[#This Row],[CDP]],[2]!Corr_Contr_CDP[[#All],[CONTRATO-CDP]],[2]!Corr_Contr_CDP[[#All],[CRP]],_xlfn.XLOOKUP(Contrato5[[#This Row],[CDP]],[2]!COMPROMISOS_2024[[#All],[disponibilidad]],[2]!COMPROMISOS_2024[[#All],[consecutivo]],"",0),0)</f>
        <v>#NAME?</v>
      </c>
      <c r="U343" s="140" t="e" cm="1">
        <f t="array" aca="1" ref="U343" ca="1">+_xlfn.XLOOKUP(Contrato5[[#This Row],[RCP]],[2]!COMPROMISOS_2024[[#All],[consecutivo]],[2]!COMPROMISOS_2024[[#All],[fecha_aprobacion]],"",0)</f>
        <v>#NAME?</v>
      </c>
      <c r="V343" s="141" t="e">
        <f ca="1">SUMIF([2]!COMPROMISOS_2024[[#All],[consecutivo]],Contrato5[[#This Row],[RCP]],[2]!COMPROMISOS_2024[[#All],[valor_total]])</f>
        <v>#REF!</v>
      </c>
      <c r="W343" s="415">
        <v>45391</v>
      </c>
      <c r="X343" s="415" t="s">
        <v>1045</v>
      </c>
      <c r="Y343" s="143">
        <v>45391</v>
      </c>
      <c r="Z343" s="262">
        <v>45391</v>
      </c>
      <c r="AA343" s="183" t="s">
        <v>1002</v>
      </c>
      <c r="AB343" s="172" t="s">
        <v>640</v>
      </c>
      <c r="AC343" s="227"/>
      <c r="AD343" s="211">
        <v>202000004196</v>
      </c>
      <c r="AE343" s="147" t="s">
        <v>523</v>
      </c>
      <c r="AF343" s="148" t="str">
        <f>TEXT(LEFT(Contrato5[[#This Row],[CONTRATO]],3),"0")</f>
        <v>266</v>
      </c>
      <c r="AG343" s="148" t="str">
        <f>IF(LEN(Contrato5[[#This Row],[Contrato2]])=3,Contrato5[[#This Row],[Contrato2]],TEXT(Contrato5[[#This Row],[Contrato2]],"000"))</f>
        <v>266</v>
      </c>
      <c r="AH343" s="149">
        <f ca="1">IFERROR(_xlfn.DAYS(Contrato5[[#This Row],[Fecha Proyectada liquidación]],TODAY())/30,"")</f>
        <v>-8.2333333333333325</v>
      </c>
      <c r="AI343" s="150">
        <f>+Contrato5[[#This Row],[FECHA TERMINACIÓN ]]+120</f>
        <v>45511</v>
      </c>
      <c r="AJ343" s="147"/>
      <c r="AK343" s="152" t="str">
        <f ca="1">IF(Contrato5[[#This Row],[FECHA TERMINACIÓN ]]&lt;TODAY(), "Terminado",IF(ISNUMBER(Contrato5[[#This Row],[Fecha Real de liquiidación ]]),"Liquidado",IF(Contrato5[[#This Row],[FECHA TERMINACIÓN ]]&gt;=TODAY(),"En ejecución","")))</f>
        <v>Terminado</v>
      </c>
      <c r="AL343" s="153" t="e">
        <f ca="1">SUMIF([2]!COMPROMISOS_2024[[#All],[consecutivo]],Contrato5[[#This Row],[RCP]],[2]!COMPROMISOS_2024[[#All],[Total pagado]])</f>
        <v>#REF!</v>
      </c>
      <c r="AM343" s="154">
        <f ca="1">IFERROR(Contrato5[[#This Row],[Pagos]]/Contrato5[[#This Row],[VALOR CONTRATO]],0)</f>
        <v>0</v>
      </c>
      <c r="AN343" s="198" t="e">
        <f ca="1">+Contrato5[[#This Row],[VALOR CONTRATO]]-Contrato5[[#This Row],[Pagos]]</f>
        <v>#REF!</v>
      </c>
      <c r="AO343" s="147" t="e" cm="1">
        <f t="array" aca="1" ref="AO343" ca="1">_xlfn.XLOOKUP(Contrato5[[#This Row],[DOCUMENTO ]],[2]!PERSONAL_ACTIVO_2024[[#All],[Documento identidad]],[2]!PERSONAL_ACTIVO_2024[[#All],[Mail ]],0,0)</f>
        <v>#NAME?</v>
      </c>
      <c r="AP343" s="147" t="e" cm="1">
        <f t="array" aca="1" ref="AP343" ca="1">_xlfn.XLOOKUP(Contrato5[[#This Row],[DOCUMENTO]],[2]!PERSONAL_ACTIVO_2024[[#All],[Documento identidad]],[2]!PERSONAL_ACTIVO_2024[[#All],[Mail ]],0,0)</f>
        <v>#NAME?</v>
      </c>
      <c r="AQ343" s="439" cm="1">
        <f t="array" aca="1" ref="AQ343" ca="1">IF(ISBLANK(Contrato5[[#This Row],[DEPENDENCIA ]]),0,IFERROR(_xlfn.XLOOKUP(Contrato5[[#This Row],[DEPENDENCIA ]],[2]!PERSONAL_ACTIVO_2024[[#All],[Dependencia]],[2]!PERSONAL_ACTIVO_2024[[#All],[Mail ]],0,0),0))</f>
        <v>0</v>
      </c>
    </row>
    <row r="344" spans="1:43" ht="34.5" customHeight="1">
      <c r="A344" s="147">
        <v>1184</v>
      </c>
      <c r="B344" s="124">
        <v>266</v>
      </c>
      <c r="C344" s="162" t="s">
        <v>2173</v>
      </c>
      <c r="D344" s="227" t="s">
        <v>583</v>
      </c>
      <c r="E344" s="440" t="s">
        <v>78</v>
      </c>
      <c r="F344" s="126" t="s">
        <v>1376</v>
      </c>
      <c r="G344" s="190" t="s">
        <v>1023</v>
      </c>
      <c r="H344" s="447">
        <v>98627095</v>
      </c>
      <c r="I344" s="455">
        <v>3952382</v>
      </c>
      <c r="J344" s="437">
        <v>9090479</v>
      </c>
      <c r="K344" s="147"/>
      <c r="L344" s="438" t="s">
        <v>2564</v>
      </c>
      <c r="M344" s="194" t="s">
        <v>589</v>
      </c>
      <c r="N344" s="177" t="e" cm="1">
        <f t="array" aca="1" ref="N344" ca="1">_xlfn.XLOOKUP(Contrato5[[#This Row],[SUPERVISOR TITULAR]],[2]!PERSONAL_ACTIVO_2024[[#All],[Nombre completo]],[2]!PERSONAL_ACTIVO_2024[[#All],[Documento identidad]],"",0)</f>
        <v>#NAME?</v>
      </c>
      <c r="O344" s="194" t="s">
        <v>586</v>
      </c>
      <c r="P344" s="196" t="e" cm="1">
        <f t="array" aca="1" ref="P344" ca="1">_xlfn.XLOOKUP(Contrato5[[#This Row],[SUPERVISOR SUPLENTE ]],[2]!PERSONAL_ACTIVO_2024[[#All],[Nombre completo]],[2]!PERSONAL_ACTIVO_2024[[#All],[Documento identidad]],"",0)</f>
        <v>#NAME?</v>
      </c>
      <c r="Q344" s="170">
        <v>996</v>
      </c>
      <c r="R344" s="137" t="e" cm="1">
        <f t="array" aca="1" ref="R344" ca="1">_xlfn.XLOOKUP(Contrato5[[#This Row],[CDP]],[2]!DISPONIBILIDADES_2024[[#All],[consecutivo]],[2]!DISPONIBILIDADES_2024[[#All],[fecha_aprobacion]],"",0)</f>
        <v>#NAME?</v>
      </c>
      <c r="S344" s="138" t="e">
        <f>SUMIF([2]!DISPONIBILIDADES_2024[[#All],[consecutivo]],Contrato5[[#This Row],[CDP]],[2]!DISPONIBILIDADES_2024[[#All],[valor_total_rubro]])</f>
        <v>#REF!</v>
      </c>
      <c r="T344" s="139" t="e" cm="1">
        <f t="array" aca="1" ref="T344" ca="1">_xlfn.XLOOKUP(Contrato5[[#This Row],[CONTRATO]]&amp;Contrato5[[#This Row],[CDP]],[2]!Corr_Contr_CDP[[#All],[CONTRATO-CDP]],[2]!Corr_Contr_CDP[[#All],[CRP]],_xlfn.XLOOKUP(Contrato5[[#This Row],[CDP]],[2]!COMPROMISOS_2024[[#All],[disponibilidad]],[2]!COMPROMISOS_2024[[#All],[consecutivo]],"",0),0)</f>
        <v>#NAME?</v>
      </c>
      <c r="U344" s="140" t="e" cm="1">
        <f t="array" aca="1" ref="U344" ca="1">+_xlfn.XLOOKUP(Contrato5[[#This Row],[RCP]],[2]!COMPROMISOS_2024[[#All],[consecutivo]],[2]!COMPROMISOS_2024[[#All],[fecha_aprobacion]],"",0)</f>
        <v>#NAME?</v>
      </c>
      <c r="V344" s="141" t="e">
        <f ca="1">SUMIF([2]!COMPROMISOS_2024[[#All],[consecutivo]],Contrato5[[#This Row],[RCP]],[2]!COMPROMISOS_2024[[#All],[valor_total]])</f>
        <v>#REF!</v>
      </c>
      <c r="W344" s="415">
        <v>45572</v>
      </c>
      <c r="X344" s="415" t="s">
        <v>1045</v>
      </c>
      <c r="Y344" s="143">
        <v>45574</v>
      </c>
      <c r="Z344" s="262">
        <v>45643</v>
      </c>
      <c r="AA344" s="225"/>
      <c r="AB344" s="172" t="s">
        <v>2591</v>
      </c>
      <c r="AC344" s="126"/>
      <c r="AD344" s="211"/>
      <c r="AE344" s="147"/>
      <c r="AF344" s="148" t="str">
        <f>TEXT(LEFT(Contrato5[[#This Row],[CONTRATO]],3),"0")</f>
        <v>266</v>
      </c>
      <c r="AG344" s="148" t="str">
        <f>IF(LEN(Contrato5[[#This Row],[Contrato2]])=3,Contrato5[[#This Row],[Contrato2]],TEXT(Contrato5[[#This Row],[Contrato2]],"000"))</f>
        <v>266</v>
      </c>
      <c r="AH344" s="149">
        <f ca="1">IFERROR(_xlfn.DAYS(Contrato5[[#This Row],[Fecha Proyectada liquidación]],TODAY())/30,"")</f>
        <v>0.16666666666666666</v>
      </c>
      <c r="AI344" s="150">
        <f>+Contrato5[[#This Row],[FECHA TERMINACIÓN ]]+120</f>
        <v>45763</v>
      </c>
      <c r="AJ344" s="147"/>
      <c r="AK344" s="152" t="str">
        <f ca="1">IF(Contrato5[[#This Row],[FECHA TERMINACIÓN ]]&lt;TODAY(), "Terminado",IF(ISNUMBER(Contrato5[[#This Row],[Fecha Real de liquiidación ]]),"Liquidado",IF(Contrato5[[#This Row],[FECHA TERMINACIÓN ]]&gt;=TODAY(),"En ejecución","")))</f>
        <v>Terminado</v>
      </c>
      <c r="AL344" s="153" t="e">
        <f ca="1">SUMIF([2]!COMPROMISOS_2024[[#All],[consecutivo]],Contrato5[[#This Row],[RCP]],[2]!COMPROMISOS_2024[[#All],[Total pagado]])</f>
        <v>#REF!</v>
      </c>
      <c r="AM344" s="154">
        <f ca="1">IFERROR(Contrato5[[#This Row],[Pagos]]/Contrato5[[#This Row],[VALOR CONTRATO]],0)</f>
        <v>0</v>
      </c>
      <c r="AN344" s="198" t="e">
        <f ca="1">+Contrato5[[#This Row],[VALOR CONTRATO]]-Contrato5[[#This Row],[Pagos]]</f>
        <v>#REF!</v>
      </c>
      <c r="AO344" s="147" t="e" cm="1">
        <f t="array" aca="1" ref="AO344" ca="1">_xlfn.XLOOKUP(Contrato5[[#This Row],[DOCUMENTO ]],[2]!PERSONAL_ACTIVO_2024[[#All],[Documento identidad]],[2]!PERSONAL_ACTIVO_2024[[#All],[Mail ]],0,0)</f>
        <v>#NAME?</v>
      </c>
      <c r="AP344" s="147" t="e" cm="1">
        <f t="array" aca="1" ref="AP344" ca="1">_xlfn.XLOOKUP(Contrato5[[#This Row],[DOCUMENTO]],[2]!PERSONAL_ACTIVO_2024[[#All],[Documento identidad]],[2]!PERSONAL_ACTIVO_2024[[#All],[Mail ]],0,0)</f>
        <v>#NAME?</v>
      </c>
      <c r="AQ344" s="439" cm="1">
        <f t="array" aca="1" ref="AQ344" ca="1">IF(ISBLANK(Contrato5[[#This Row],[DEPENDENCIA ]]),0,IFERROR(_xlfn.XLOOKUP(Contrato5[[#This Row],[DEPENDENCIA ]],[2]!PERSONAL_ACTIVO_2024[[#All],[Dependencia]],[2]!PERSONAL_ACTIVO_2024[[#All],[Mail ]],0,0),0))</f>
        <v>0</v>
      </c>
    </row>
    <row r="345" spans="1:43" ht="34.5" customHeight="1">
      <c r="A345" s="125">
        <v>612</v>
      </c>
      <c r="B345" s="124">
        <v>267</v>
      </c>
      <c r="C345" s="162" t="s">
        <v>1741</v>
      </c>
      <c r="D345" s="227" t="s">
        <v>583</v>
      </c>
      <c r="E345" s="128" t="s">
        <v>94</v>
      </c>
      <c r="F345" s="163" t="s">
        <v>1376</v>
      </c>
      <c r="G345" s="190" t="s">
        <v>1024</v>
      </c>
      <c r="H345" s="447">
        <v>1001034125</v>
      </c>
      <c r="I345" s="455">
        <v>2574842</v>
      </c>
      <c r="J345" s="456">
        <v>15449052</v>
      </c>
      <c r="K345" s="131" t="s">
        <v>42</v>
      </c>
      <c r="L345" s="438" t="s">
        <v>989</v>
      </c>
      <c r="M345" s="194" t="s">
        <v>589</v>
      </c>
      <c r="N345" s="177" t="e" cm="1">
        <f t="array" aca="1" ref="N345" ca="1">_xlfn.XLOOKUP(Contrato5[[#This Row],[SUPERVISOR TITULAR]],[2]!PERSONAL_ACTIVO_2024[[#All],[Nombre completo]],[2]!PERSONAL_ACTIVO_2024[[#All],[Documento identidad]],"",0)</f>
        <v>#NAME?</v>
      </c>
      <c r="O345" s="194" t="s">
        <v>586</v>
      </c>
      <c r="P345" s="196" t="e" cm="1">
        <f t="array" aca="1" ref="P345" ca="1">_xlfn.XLOOKUP(Contrato5[[#This Row],[SUPERVISOR SUPLENTE ]],[2]!PERSONAL_ACTIVO_2024[[#All],[Nombre completo]],[2]!PERSONAL_ACTIVO_2024[[#All],[Documento identidad]],"",0)</f>
        <v>#NAME?</v>
      </c>
      <c r="Q345" s="170">
        <v>350</v>
      </c>
      <c r="R345" s="137" t="e" cm="1">
        <f t="array" aca="1" ref="R345" ca="1">_xlfn.XLOOKUP(Contrato5[[#This Row],[CDP]],[2]!DISPONIBILIDADES_2024[[#All],[consecutivo]],[2]!DISPONIBILIDADES_2024[[#All],[fecha_aprobacion]],"",0)</f>
        <v>#NAME?</v>
      </c>
      <c r="S345" s="138" t="e">
        <f>SUMIF([2]!DISPONIBILIDADES_2024[[#All],[consecutivo]],Contrato5[[#This Row],[CDP]],[2]!DISPONIBILIDADES_2024[[#All],[valor_total_rubro]])</f>
        <v>#REF!</v>
      </c>
      <c r="T345" s="139" t="e" cm="1">
        <f t="array" aca="1" ref="T345" ca="1">_xlfn.XLOOKUP(Contrato5[[#This Row],[CONTRATO]]&amp;Contrato5[[#This Row],[CDP]],[2]!Corr_Contr_CDP[[#All],[CONTRATO-CDP]],[2]!Corr_Contr_CDP[[#All],[CRP]],_xlfn.XLOOKUP(Contrato5[[#This Row],[CDP]],[2]!COMPROMISOS_2024[[#All],[disponibilidad]],[2]!COMPROMISOS_2024[[#All],[consecutivo]],"",0),0)</f>
        <v>#NAME?</v>
      </c>
      <c r="U345" s="140" t="e" cm="1">
        <f t="array" aca="1" ref="U345" ca="1">+_xlfn.XLOOKUP(Contrato5[[#This Row],[RCP]],[2]!COMPROMISOS_2024[[#All],[consecutivo]],[2]!COMPROMISOS_2024[[#All],[fecha_aprobacion]],"",0)</f>
        <v>#NAME?</v>
      </c>
      <c r="V345" s="141" t="e">
        <f ca="1">SUMIF([2]!COMPROMISOS_2024[[#All],[consecutivo]],Contrato5[[#This Row],[RCP]],[2]!COMPROMISOS_2024[[#All],[valor_total]])</f>
        <v>#REF!</v>
      </c>
      <c r="W345" s="415">
        <v>45391</v>
      </c>
      <c r="X345" s="415" t="s">
        <v>1045</v>
      </c>
      <c r="Y345" s="143">
        <v>45391</v>
      </c>
      <c r="Z345" s="262">
        <v>45573</v>
      </c>
      <c r="AA345" s="171" t="s">
        <v>1002</v>
      </c>
      <c r="AB345" s="172" t="s">
        <v>640</v>
      </c>
      <c r="AC345" s="227"/>
      <c r="AD345" s="211">
        <v>202000004197</v>
      </c>
      <c r="AE345" s="147" t="s">
        <v>523</v>
      </c>
      <c r="AF345" s="148" t="str">
        <f>TEXT(LEFT(Contrato5[[#This Row],[CONTRATO]],3),"0")</f>
        <v>267</v>
      </c>
      <c r="AG345" s="148" t="str">
        <f>IF(LEN(Contrato5[[#This Row],[Contrato2]])=3,Contrato5[[#This Row],[Contrato2]],TEXT(Contrato5[[#This Row],[Contrato2]],"000"))</f>
        <v>267</v>
      </c>
      <c r="AH345" s="149">
        <f ca="1">IFERROR(_xlfn.DAYS(Contrato5[[#This Row],[Fecha Proyectada liquidación]],TODAY())/30,"")</f>
        <v>-2.1666666666666665</v>
      </c>
      <c r="AI345" s="150">
        <f>+Contrato5[[#This Row],[FECHA TERMINACIÓN ]]+120</f>
        <v>45693</v>
      </c>
      <c r="AJ345" s="147"/>
      <c r="AK345" s="152" t="str">
        <f ca="1">IF(Contrato5[[#This Row],[FECHA TERMINACIÓN ]]&lt;TODAY(), "Terminado",IF(ISNUMBER(Contrato5[[#This Row],[Fecha Real de liquiidación ]]),"Liquidado",IF(Contrato5[[#This Row],[FECHA TERMINACIÓN ]]&gt;=TODAY(),"En ejecución","")))</f>
        <v>Terminado</v>
      </c>
      <c r="AL345" s="153" t="e">
        <f ca="1">SUMIF([2]!COMPROMISOS_2024[[#All],[consecutivo]],Contrato5[[#This Row],[RCP]],[2]!COMPROMISOS_2024[[#All],[Total pagado]])</f>
        <v>#REF!</v>
      </c>
      <c r="AM345" s="154">
        <f ca="1">IFERROR(Contrato5[[#This Row],[Pagos]]/Contrato5[[#This Row],[VALOR CONTRATO]],0)</f>
        <v>0</v>
      </c>
      <c r="AN345" s="198" t="e">
        <f ca="1">+Contrato5[[#This Row],[VALOR CONTRATO]]-Contrato5[[#This Row],[Pagos]]</f>
        <v>#REF!</v>
      </c>
      <c r="AO345" s="147" t="e" cm="1">
        <f t="array" aca="1" ref="AO345" ca="1">_xlfn.XLOOKUP(Contrato5[[#This Row],[DOCUMENTO ]],[2]!PERSONAL_ACTIVO_2024[[#All],[Documento identidad]],[2]!PERSONAL_ACTIVO_2024[[#All],[Mail ]],0,0)</f>
        <v>#NAME?</v>
      </c>
      <c r="AP345" s="147" t="e" cm="1">
        <f t="array" aca="1" ref="AP345" ca="1">_xlfn.XLOOKUP(Contrato5[[#This Row],[DOCUMENTO]],[2]!PERSONAL_ACTIVO_2024[[#All],[Documento identidad]],[2]!PERSONAL_ACTIVO_2024[[#All],[Mail ]],0,0)</f>
        <v>#NAME?</v>
      </c>
      <c r="AQ345" s="439" cm="1">
        <f t="array" aca="1" ref="AQ345" ca="1">IF(ISBLANK(Contrato5[[#This Row],[DEPENDENCIA ]]),0,IFERROR(_xlfn.XLOOKUP(Contrato5[[#This Row],[DEPENDENCIA ]],[2]!PERSONAL_ACTIVO_2024[[#All],[Dependencia]],[2]!PERSONAL_ACTIVO_2024[[#All],[Mail ]],0,0),0))</f>
        <v>0</v>
      </c>
    </row>
    <row r="346" spans="1:43" ht="34.5" customHeight="1">
      <c r="A346" s="147">
        <v>1191</v>
      </c>
      <c r="B346" s="124">
        <v>267</v>
      </c>
      <c r="C346" s="162" t="s">
        <v>2180</v>
      </c>
      <c r="D346" s="227" t="s">
        <v>583</v>
      </c>
      <c r="E346" s="440" t="s">
        <v>78</v>
      </c>
      <c r="F346" s="126" t="s">
        <v>1376</v>
      </c>
      <c r="G346" s="190" t="s">
        <v>1024</v>
      </c>
      <c r="H346" s="447">
        <v>1001034125</v>
      </c>
      <c r="I346" s="455">
        <v>2574842</v>
      </c>
      <c r="J346" s="437">
        <v>5922137</v>
      </c>
      <c r="K346" s="147"/>
      <c r="L346" s="438" t="s">
        <v>2564</v>
      </c>
      <c r="M346" s="194" t="s">
        <v>589</v>
      </c>
      <c r="N346" s="177" t="e" cm="1">
        <f t="array" aca="1" ref="N346" ca="1">_xlfn.XLOOKUP(Contrato5[[#This Row],[SUPERVISOR TITULAR]],[2]!PERSONAL_ACTIVO_2024[[#All],[Nombre completo]],[2]!PERSONAL_ACTIVO_2024[[#All],[Documento identidad]],"",0)</f>
        <v>#NAME?</v>
      </c>
      <c r="O346" s="194" t="s">
        <v>586</v>
      </c>
      <c r="P346" s="196" t="e" cm="1">
        <f t="array" aca="1" ref="P346" ca="1">_xlfn.XLOOKUP(Contrato5[[#This Row],[SUPERVISOR SUPLENTE ]],[2]!PERSONAL_ACTIVO_2024[[#All],[Nombre completo]],[2]!PERSONAL_ACTIVO_2024[[#All],[Documento identidad]],"",0)</f>
        <v>#NAME?</v>
      </c>
      <c r="Q346" s="170">
        <v>1003</v>
      </c>
      <c r="R346" s="137" t="e" cm="1">
        <f t="array" aca="1" ref="R346" ca="1">_xlfn.XLOOKUP(Contrato5[[#This Row],[CDP]],[2]!DISPONIBILIDADES_2024[[#All],[consecutivo]],[2]!DISPONIBILIDADES_2024[[#All],[fecha_aprobacion]],"",0)</f>
        <v>#NAME?</v>
      </c>
      <c r="S346" s="138" t="e">
        <f>SUMIF([2]!DISPONIBILIDADES_2024[[#All],[consecutivo]],Contrato5[[#This Row],[CDP]],[2]!DISPONIBILIDADES_2024[[#All],[valor_total_rubro]])</f>
        <v>#REF!</v>
      </c>
      <c r="T346" s="139" t="e" cm="1">
        <f t="array" aca="1" ref="T346" ca="1">_xlfn.XLOOKUP(Contrato5[[#This Row],[CONTRATO]]&amp;Contrato5[[#This Row],[CDP]],[2]!Corr_Contr_CDP[[#All],[CONTRATO-CDP]],[2]!Corr_Contr_CDP[[#All],[CRP]],_xlfn.XLOOKUP(Contrato5[[#This Row],[CDP]],[2]!COMPROMISOS_2024[[#All],[disponibilidad]],[2]!COMPROMISOS_2024[[#All],[consecutivo]],"",0),0)</f>
        <v>#NAME?</v>
      </c>
      <c r="U346" s="140" t="e" cm="1">
        <f t="array" aca="1" ref="U346" ca="1">+_xlfn.XLOOKUP(Contrato5[[#This Row],[RCP]],[2]!COMPROMISOS_2024[[#All],[consecutivo]],[2]!COMPROMISOS_2024[[#All],[fecha_aprobacion]],"",0)</f>
        <v>#NAME?</v>
      </c>
      <c r="V346" s="141" t="e">
        <f ca="1">SUMIF([2]!COMPROMISOS_2024[[#All],[consecutivo]],Contrato5[[#This Row],[RCP]],[2]!COMPROMISOS_2024[[#All],[valor_total]])</f>
        <v>#REF!</v>
      </c>
      <c r="W346" s="415">
        <v>45572</v>
      </c>
      <c r="X346" s="415" t="s">
        <v>1045</v>
      </c>
      <c r="Y346" s="143">
        <v>45574</v>
      </c>
      <c r="Z346" s="262">
        <v>45643</v>
      </c>
      <c r="AA346" s="203"/>
      <c r="AB346" s="172" t="s">
        <v>2591</v>
      </c>
      <c r="AC346" s="126"/>
      <c r="AD346" s="211"/>
      <c r="AE346" s="147"/>
      <c r="AF346" s="148" t="str">
        <f>TEXT(LEFT(Contrato5[[#This Row],[CONTRATO]],3),"0")</f>
        <v>267</v>
      </c>
      <c r="AG346" s="148" t="str">
        <f>IF(LEN(Contrato5[[#This Row],[Contrato2]])=3,Contrato5[[#This Row],[Contrato2]],TEXT(Contrato5[[#This Row],[Contrato2]],"000"))</f>
        <v>267</v>
      </c>
      <c r="AH346" s="149">
        <f ca="1">IFERROR(_xlfn.DAYS(Contrato5[[#This Row],[Fecha Proyectada liquidación]],TODAY())/30,"")</f>
        <v>0.16666666666666666</v>
      </c>
      <c r="AI346" s="150">
        <f>+Contrato5[[#This Row],[FECHA TERMINACIÓN ]]+120</f>
        <v>45763</v>
      </c>
      <c r="AJ346" s="147"/>
      <c r="AK346" s="152" t="str">
        <f ca="1">IF(Contrato5[[#This Row],[FECHA TERMINACIÓN ]]&lt;TODAY(), "Terminado",IF(ISNUMBER(Contrato5[[#This Row],[Fecha Real de liquiidación ]]),"Liquidado",IF(Contrato5[[#This Row],[FECHA TERMINACIÓN ]]&gt;=TODAY(),"En ejecución","")))</f>
        <v>Terminado</v>
      </c>
      <c r="AL346" s="153" t="e">
        <f ca="1">SUMIF([2]!COMPROMISOS_2024[[#All],[consecutivo]],Contrato5[[#This Row],[RCP]],[2]!COMPROMISOS_2024[[#All],[Total pagado]])</f>
        <v>#REF!</v>
      </c>
      <c r="AM346" s="154">
        <f ca="1">IFERROR(Contrato5[[#This Row],[Pagos]]/Contrato5[[#This Row],[VALOR CONTRATO]],0)</f>
        <v>0</v>
      </c>
      <c r="AN346" s="198" t="e">
        <f ca="1">+Contrato5[[#This Row],[VALOR CONTRATO]]-Contrato5[[#This Row],[Pagos]]</f>
        <v>#REF!</v>
      </c>
      <c r="AO346" s="147" t="e" cm="1">
        <f t="array" aca="1" ref="AO346" ca="1">_xlfn.XLOOKUP(Contrato5[[#This Row],[DOCUMENTO ]],[2]!PERSONAL_ACTIVO_2024[[#All],[Documento identidad]],[2]!PERSONAL_ACTIVO_2024[[#All],[Mail ]],0,0)</f>
        <v>#NAME?</v>
      </c>
      <c r="AP346" s="147" t="e" cm="1">
        <f t="array" aca="1" ref="AP346" ca="1">_xlfn.XLOOKUP(Contrato5[[#This Row],[DOCUMENTO]],[2]!PERSONAL_ACTIVO_2024[[#All],[Documento identidad]],[2]!PERSONAL_ACTIVO_2024[[#All],[Mail ]],0,0)</f>
        <v>#NAME?</v>
      </c>
      <c r="AQ346" s="439" cm="1">
        <f t="array" aca="1" ref="AQ346" ca="1">IF(ISBLANK(Contrato5[[#This Row],[DEPENDENCIA ]]),0,IFERROR(_xlfn.XLOOKUP(Contrato5[[#This Row],[DEPENDENCIA ]],[2]!PERSONAL_ACTIVO_2024[[#All],[Dependencia]],[2]!PERSONAL_ACTIVO_2024[[#All],[Mail ]],0,0),0))</f>
        <v>0</v>
      </c>
    </row>
    <row r="347" spans="1:43" ht="34.5" customHeight="1">
      <c r="A347" s="125">
        <v>613</v>
      </c>
      <c r="B347" s="124">
        <v>268</v>
      </c>
      <c r="C347" s="162" t="s">
        <v>1742</v>
      </c>
      <c r="D347" s="227" t="s">
        <v>583</v>
      </c>
      <c r="E347" s="128" t="s">
        <v>94</v>
      </c>
      <c r="F347" s="163" t="s">
        <v>1376</v>
      </c>
      <c r="G347" s="190" t="s">
        <v>1025</v>
      </c>
      <c r="H347" s="447">
        <v>1017240769</v>
      </c>
      <c r="I347" s="455">
        <v>2574842</v>
      </c>
      <c r="J347" s="456">
        <v>15449052</v>
      </c>
      <c r="K347" s="131" t="s">
        <v>42</v>
      </c>
      <c r="L347" s="438" t="s">
        <v>989</v>
      </c>
      <c r="M347" s="194" t="s">
        <v>589</v>
      </c>
      <c r="N347" s="177" t="e" cm="1">
        <f t="array" aca="1" ref="N347" ca="1">_xlfn.XLOOKUP(Contrato5[[#This Row],[SUPERVISOR TITULAR]],[2]!PERSONAL_ACTIVO_2024[[#All],[Nombre completo]],[2]!PERSONAL_ACTIVO_2024[[#All],[Documento identidad]],"",0)</f>
        <v>#NAME?</v>
      </c>
      <c r="O347" s="194" t="s">
        <v>586</v>
      </c>
      <c r="P347" s="196" t="e" cm="1">
        <f t="array" aca="1" ref="P347" ca="1">_xlfn.XLOOKUP(Contrato5[[#This Row],[SUPERVISOR SUPLENTE ]],[2]!PERSONAL_ACTIVO_2024[[#All],[Nombre completo]],[2]!PERSONAL_ACTIVO_2024[[#All],[Documento identidad]],"",0)</f>
        <v>#NAME?</v>
      </c>
      <c r="Q347" s="170">
        <v>343</v>
      </c>
      <c r="R347" s="137" t="e" cm="1">
        <f t="array" aca="1" ref="R347" ca="1">_xlfn.XLOOKUP(Contrato5[[#This Row],[CDP]],[2]!DISPONIBILIDADES_2024[[#All],[consecutivo]],[2]!DISPONIBILIDADES_2024[[#All],[fecha_aprobacion]],"",0)</f>
        <v>#NAME?</v>
      </c>
      <c r="S347" s="138" t="e">
        <f>SUMIF([2]!DISPONIBILIDADES_2024[[#All],[consecutivo]],Contrato5[[#This Row],[CDP]],[2]!DISPONIBILIDADES_2024[[#All],[valor_total_rubro]])</f>
        <v>#REF!</v>
      </c>
      <c r="T347" s="139" t="e" cm="1">
        <f t="array" aca="1" ref="T347" ca="1">_xlfn.XLOOKUP(Contrato5[[#This Row],[CONTRATO]]&amp;Contrato5[[#This Row],[CDP]],[2]!Corr_Contr_CDP[[#All],[CONTRATO-CDP]],[2]!Corr_Contr_CDP[[#All],[CRP]],_xlfn.XLOOKUP(Contrato5[[#This Row],[CDP]],[2]!COMPROMISOS_2024[[#All],[disponibilidad]],[2]!COMPROMISOS_2024[[#All],[consecutivo]],"",0),0)</f>
        <v>#NAME?</v>
      </c>
      <c r="U347" s="140" t="e" cm="1">
        <f t="array" aca="1" ref="U347" ca="1">+_xlfn.XLOOKUP(Contrato5[[#This Row],[RCP]],[2]!COMPROMISOS_2024[[#All],[consecutivo]],[2]!COMPROMISOS_2024[[#All],[fecha_aprobacion]],"",0)</f>
        <v>#NAME?</v>
      </c>
      <c r="V347" s="141" t="e">
        <f ca="1">SUMIF([2]!COMPROMISOS_2024[[#All],[consecutivo]],Contrato5[[#This Row],[RCP]],[2]!COMPROMISOS_2024[[#All],[valor_total]])</f>
        <v>#REF!</v>
      </c>
      <c r="W347" s="415">
        <v>45390</v>
      </c>
      <c r="X347" s="415" t="s">
        <v>1045</v>
      </c>
      <c r="Y347" s="143">
        <v>45391</v>
      </c>
      <c r="Z347" s="262">
        <v>45573</v>
      </c>
      <c r="AA347" s="171" t="s">
        <v>1002</v>
      </c>
      <c r="AB347" s="172" t="s">
        <v>640</v>
      </c>
      <c r="AC347" s="172"/>
      <c r="AD347" s="211">
        <v>202000004198</v>
      </c>
      <c r="AE347" s="147" t="s">
        <v>523</v>
      </c>
      <c r="AF347" s="148" t="str">
        <f>TEXT(LEFT(Contrato5[[#This Row],[CONTRATO]],3),"0")</f>
        <v>268</v>
      </c>
      <c r="AG347" s="148" t="str">
        <f>IF(LEN(Contrato5[[#This Row],[Contrato2]])=3,Contrato5[[#This Row],[Contrato2]],TEXT(Contrato5[[#This Row],[Contrato2]],"000"))</f>
        <v>268</v>
      </c>
      <c r="AH347" s="149">
        <f ca="1">IFERROR(_xlfn.DAYS(Contrato5[[#This Row],[Fecha Proyectada liquidación]],TODAY())/30,"")</f>
        <v>-2.1666666666666665</v>
      </c>
      <c r="AI347" s="150">
        <f>+Contrato5[[#This Row],[FECHA TERMINACIÓN ]]+120</f>
        <v>45693</v>
      </c>
      <c r="AJ347" s="147"/>
      <c r="AK347" s="152" t="str">
        <f ca="1">IF(Contrato5[[#This Row],[FECHA TERMINACIÓN ]]&lt;TODAY(), "Terminado",IF(ISNUMBER(Contrato5[[#This Row],[Fecha Real de liquiidación ]]),"Liquidado",IF(Contrato5[[#This Row],[FECHA TERMINACIÓN ]]&gt;=TODAY(),"En ejecución","")))</f>
        <v>Terminado</v>
      </c>
      <c r="AL347" s="153" t="e">
        <f ca="1">SUMIF([2]!COMPROMISOS_2024[[#All],[consecutivo]],Contrato5[[#This Row],[RCP]],[2]!COMPROMISOS_2024[[#All],[Total pagado]])</f>
        <v>#REF!</v>
      </c>
      <c r="AM347" s="154">
        <f ca="1">IFERROR(Contrato5[[#This Row],[Pagos]]/Contrato5[[#This Row],[VALOR CONTRATO]],0)</f>
        <v>0</v>
      </c>
      <c r="AN347" s="198" t="e">
        <f ca="1">+Contrato5[[#This Row],[VALOR CONTRATO]]-Contrato5[[#This Row],[Pagos]]</f>
        <v>#REF!</v>
      </c>
      <c r="AO347" s="147" t="e" cm="1">
        <f t="array" aca="1" ref="AO347" ca="1">_xlfn.XLOOKUP(Contrato5[[#This Row],[DOCUMENTO ]],[2]!PERSONAL_ACTIVO_2024[[#All],[Documento identidad]],[2]!PERSONAL_ACTIVO_2024[[#All],[Mail ]],0,0)</f>
        <v>#NAME?</v>
      </c>
      <c r="AP347" s="147" t="e" cm="1">
        <f t="array" aca="1" ref="AP347" ca="1">_xlfn.XLOOKUP(Contrato5[[#This Row],[DOCUMENTO]],[2]!PERSONAL_ACTIVO_2024[[#All],[Documento identidad]],[2]!PERSONAL_ACTIVO_2024[[#All],[Mail ]],0,0)</f>
        <v>#NAME?</v>
      </c>
      <c r="AQ347" s="439" cm="1">
        <f t="array" aca="1" ref="AQ347" ca="1">IF(ISBLANK(Contrato5[[#This Row],[DEPENDENCIA ]]),0,IFERROR(_xlfn.XLOOKUP(Contrato5[[#This Row],[DEPENDENCIA ]],[2]!PERSONAL_ACTIVO_2024[[#All],[Dependencia]],[2]!PERSONAL_ACTIVO_2024[[#All],[Mail ]],0,0),0))</f>
        <v>0</v>
      </c>
    </row>
    <row r="348" spans="1:43" ht="34.5" customHeight="1">
      <c r="A348" s="147">
        <v>1185</v>
      </c>
      <c r="B348" s="124">
        <v>268</v>
      </c>
      <c r="C348" s="162" t="s">
        <v>2174</v>
      </c>
      <c r="D348" s="227" t="s">
        <v>583</v>
      </c>
      <c r="E348" s="440" t="s">
        <v>78</v>
      </c>
      <c r="F348" s="126" t="s">
        <v>1376</v>
      </c>
      <c r="G348" s="190" t="s">
        <v>1025</v>
      </c>
      <c r="H348" s="447">
        <v>1017240769</v>
      </c>
      <c r="I348" s="455">
        <v>2574842</v>
      </c>
      <c r="J348" s="437">
        <v>5922137</v>
      </c>
      <c r="K348" s="147"/>
      <c r="L348" s="438" t="s">
        <v>2564</v>
      </c>
      <c r="M348" s="194" t="s">
        <v>589</v>
      </c>
      <c r="N348" s="177" t="e" cm="1">
        <f t="array" aca="1" ref="N348" ca="1">_xlfn.XLOOKUP(Contrato5[[#This Row],[SUPERVISOR TITULAR]],[2]!PERSONAL_ACTIVO_2024[[#All],[Nombre completo]],[2]!PERSONAL_ACTIVO_2024[[#All],[Documento identidad]],"",0)</f>
        <v>#NAME?</v>
      </c>
      <c r="O348" s="194" t="s">
        <v>586</v>
      </c>
      <c r="P348" s="196" t="e" cm="1">
        <f t="array" aca="1" ref="P348" ca="1">_xlfn.XLOOKUP(Contrato5[[#This Row],[SUPERVISOR SUPLENTE ]],[2]!PERSONAL_ACTIVO_2024[[#All],[Nombre completo]],[2]!PERSONAL_ACTIVO_2024[[#All],[Documento identidad]],"",0)</f>
        <v>#NAME?</v>
      </c>
      <c r="Q348" s="170">
        <v>997</v>
      </c>
      <c r="R348" s="137" t="e" cm="1">
        <f t="array" aca="1" ref="R348" ca="1">_xlfn.XLOOKUP(Contrato5[[#This Row],[CDP]],[2]!DISPONIBILIDADES_2024[[#All],[consecutivo]],[2]!DISPONIBILIDADES_2024[[#All],[fecha_aprobacion]],"",0)</f>
        <v>#NAME?</v>
      </c>
      <c r="S348" s="138" t="e">
        <f>SUMIF([2]!DISPONIBILIDADES_2024[[#All],[consecutivo]],Contrato5[[#This Row],[CDP]],[2]!DISPONIBILIDADES_2024[[#All],[valor_total_rubro]])</f>
        <v>#REF!</v>
      </c>
      <c r="T348" s="139" t="e" cm="1">
        <f t="array" aca="1" ref="T348" ca="1">_xlfn.XLOOKUP(Contrato5[[#This Row],[CONTRATO]]&amp;Contrato5[[#This Row],[CDP]],[2]!Corr_Contr_CDP[[#All],[CONTRATO-CDP]],[2]!Corr_Contr_CDP[[#All],[CRP]],_xlfn.XLOOKUP(Contrato5[[#This Row],[CDP]],[2]!COMPROMISOS_2024[[#All],[disponibilidad]],[2]!COMPROMISOS_2024[[#All],[consecutivo]],"",0),0)</f>
        <v>#NAME?</v>
      </c>
      <c r="U348" s="140" t="e" cm="1">
        <f t="array" aca="1" ref="U348" ca="1">+_xlfn.XLOOKUP(Contrato5[[#This Row],[RCP]],[2]!COMPROMISOS_2024[[#All],[consecutivo]],[2]!COMPROMISOS_2024[[#All],[fecha_aprobacion]],"",0)</f>
        <v>#NAME?</v>
      </c>
      <c r="V348" s="141" t="e">
        <f ca="1">SUMIF([2]!COMPROMISOS_2024[[#All],[consecutivo]],Contrato5[[#This Row],[RCP]],[2]!COMPROMISOS_2024[[#All],[valor_total]])</f>
        <v>#REF!</v>
      </c>
      <c r="W348" s="415">
        <v>45572</v>
      </c>
      <c r="X348" s="415" t="s">
        <v>1045</v>
      </c>
      <c r="Y348" s="143">
        <v>45574</v>
      </c>
      <c r="Z348" s="262">
        <v>45643</v>
      </c>
      <c r="AA348" s="203"/>
      <c r="AB348" s="172" t="s">
        <v>2591</v>
      </c>
      <c r="AC348" s="127"/>
      <c r="AD348" s="211"/>
      <c r="AE348" s="147"/>
      <c r="AF348" s="148" t="str">
        <f>TEXT(LEFT(Contrato5[[#This Row],[CONTRATO]],3),"0")</f>
        <v>268</v>
      </c>
      <c r="AG348" s="148" t="str">
        <f>IF(LEN(Contrato5[[#This Row],[Contrato2]])=3,Contrato5[[#This Row],[Contrato2]],TEXT(Contrato5[[#This Row],[Contrato2]],"000"))</f>
        <v>268</v>
      </c>
      <c r="AH348" s="149">
        <f ca="1">IFERROR(_xlfn.DAYS(Contrato5[[#This Row],[Fecha Proyectada liquidación]],TODAY())/30,"")</f>
        <v>0.16666666666666666</v>
      </c>
      <c r="AI348" s="150">
        <f>+Contrato5[[#This Row],[FECHA TERMINACIÓN ]]+120</f>
        <v>45763</v>
      </c>
      <c r="AJ348" s="147"/>
      <c r="AK348" s="152" t="str">
        <f ca="1">IF(Contrato5[[#This Row],[FECHA TERMINACIÓN ]]&lt;TODAY(), "Terminado",IF(ISNUMBER(Contrato5[[#This Row],[Fecha Real de liquiidación ]]),"Liquidado",IF(Contrato5[[#This Row],[FECHA TERMINACIÓN ]]&gt;=TODAY(),"En ejecución","")))</f>
        <v>Terminado</v>
      </c>
      <c r="AL348" s="153" t="e">
        <f ca="1">SUMIF([2]!COMPROMISOS_2024[[#All],[consecutivo]],Contrato5[[#This Row],[RCP]],[2]!COMPROMISOS_2024[[#All],[Total pagado]])</f>
        <v>#REF!</v>
      </c>
      <c r="AM348" s="154">
        <f ca="1">IFERROR(Contrato5[[#This Row],[Pagos]]/Contrato5[[#This Row],[VALOR CONTRATO]],0)</f>
        <v>0</v>
      </c>
      <c r="AN348" s="198" t="e">
        <f ca="1">+Contrato5[[#This Row],[VALOR CONTRATO]]-Contrato5[[#This Row],[Pagos]]</f>
        <v>#REF!</v>
      </c>
      <c r="AO348" s="147" t="e" cm="1">
        <f t="array" aca="1" ref="AO348" ca="1">_xlfn.XLOOKUP(Contrato5[[#This Row],[DOCUMENTO ]],[2]!PERSONAL_ACTIVO_2024[[#All],[Documento identidad]],[2]!PERSONAL_ACTIVO_2024[[#All],[Mail ]],0,0)</f>
        <v>#NAME?</v>
      </c>
      <c r="AP348" s="147" t="e" cm="1">
        <f t="array" aca="1" ref="AP348" ca="1">_xlfn.XLOOKUP(Contrato5[[#This Row],[DOCUMENTO]],[2]!PERSONAL_ACTIVO_2024[[#All],[Documento identidad]],[2]!PERSONAL_ACTIVO_2024[[#All],[Mail ]],0,0)</f>
        <v>#NAME?</v>
      </c>
      <c r="AQ348" s="439" cm="1">
        <f t="array" aca="1" ref="AQ348" ca="1">IF(ISBLANK(Contrato5[[#This Row],[DEPENDENCIA ]]),0,IFERROR(_xlfn.XLOOKUP(Contrato5[[#This Row],[DEPENDENCIA ]],[2]!PERSONAL_ACTIVO_2024[[#All],[Dependencia]],[2]!PERSONAL_ACTIVO_2024[[#All],[Mail ]],0,0),0))</f>
        <v>0</v>
      </c>
    </row>
    <row r="349" spans="1:43" ht="34.5" customHeight="1">
      <c r="A349" s="125">
        <v>614</v>
      </c>
      <c r="B349" s="124">
        <v>269</v>
      </c>
      <c r="C349" s="162" t="s">
        <v>1743</v>
      </c>
      <c r="D349" s="227" t="s">
        <v>583</v>
      </c>
      <c r="E349" s="128" t="s">
        <v>94</v>
      </c>
      <c r="F349" s="163" t="s">
        <v>1376</v>
      </c>
      <c r="G349" s="190" t="s">
        <v>1026</v>
      </c>
      <c r="H349" s="447">
        <v>42888951</v>
      </c>
      <c r="I349" s="455">
        <v>2574842</v>
      </c>
      <c r="J349" s="456">
        <v>15449052</v>
      </c>
      <c r="K349" s="131" t="s">
        <v>42</v>
      </c>
      <c r="L349" s="438" t="s">
        <v>989</v>
      </c>
      <c r="M349" s="194" t="s">
        <v>589</v>
      </c>
      <c r="N349" s="177" t="e" cm="1">
        <f t="array" aca="1" ref="N349" ca="1">_xlfn.XLOOKUP(Contrato5[[#This Row],[SUPERVISOR TITULAR]],[2]!PERSONAL_ACTIVO_2024[[#All],[Nombre completo]],[2]!PERSONAL_ACTIVO_2024[[#All],[Documento identidad]],"",0)</f>
        <v>#NAME?</v>
      </c>
      <c r="O349" s="194" t="s">
        <v>586</v>
      </c>
      <c r="P349" s="196" t="e" cm="1">
        <f t="array" aca="1" ref="P349" ca="1">_xlfn.XLOOKUP(Contrato5[[#This Row],[SUPERVISOR SUPLENTE ]],[2]!PERSONAL_ACTIVO_2024[[#All],[Nombre completo]],[2]!PERSONAL_ACTIVO_2024[[#All],[Documento identidad]],"",0)</f>
        <v>#NAME?</v>
      </c>
      <c r="Q349" s="170">
        <v>356</v>
      </c>
      <c r="R349" s="137" t="e" cm="1">
        <f t="array" aca="1" ref="R349" ca="1">_xlfn.XLOOKUP(Contrato5[[#This Row],[CDP]],[2]!DISPONIBILIDADES_2024[[#All],[consecutivo]],[2]!DISPONIBILIDADES_2024[[#All],[fecha_aprobacion]],"",0)</f>
        <v>#NAME?</v>
      </c>
      <c r="S349" s="138" t="e">
        <f>SUMIF([2]!DISPONIBILIDADES_2024[[#All],[consecutivo]],Contrato5[[#This Row],[CDP]],[2]!DISPONIBILIDADES_2024[[#All],[valor_total_rubro]])</f>
        <v>#REF!</v>
      </c>
      <c r="T349" s="139" t="e" cm="1">
        <f t="array" aca="1" ref="T349" ca="1">_xlfn.XLOOKUP(Contrato5[[#This Row],[CONTRATO]]&amp;Contrato5[[#This Row],[CDP]],[2]!Corr_Contr_CDP[[#All],[CONTRATO-CDP]],[2]!Corr_Contr_CDP[[#All],[CRP]],_xlfn.XLOOKUP(Contrato5[[#This Row],[CDP]],[2]!COMPROMISOS_2024[[#All],[disponibilidad]],[2]!COMPROMISOS_2024[[#All],[consecutivo]],"",0),0)</f>
        <v>#NAME?</v>
      </c>
      <c r="U349" s="140" t="e" cm="1">
        <f t="array" aca="1" ref="U349" ca="1">+_xlfn.XLOOKUP(Contrato5[[#This Row],[RCP]],[2]!COMPROMISOS_2024[[#All],[consecutivo]],[2]!COMPROMISOS_2024[[#All],[fecha_aprobacion]],"",0)</f>
        <v>#NAME?</v>
      </c>
      <c r="V349" s="141" t="e">
        <f ca="1">SUMIF([2]!COMPROMISOS_2024[[#All],[consecutivo]],Contrato5[[#This Row],[RCP]],[2]!COMPROMISOS_2024[[#All],[valor_total]])</f>
        <v>#REF!</v>
      </c>
      <c r="W349" s="415">
        <v>45391</v>
      </c>
      <c r="X349" s="415" t="s">
        <v>1045</v>
      </c>
      <c r="Y349" s="143">
        <v>45391</v>
      </c>
      <c r="Z349" s="262">
        <v>45573</v>
      </c>
      <c r="AA349" s="171" t="s">
        <v>1002</v>
      </c>
      <c r="AB349" s="172" t="s">
        <v>640</v>
      </c>
      <c r="AC349" s="172"/>
      <c r="AD349" s="211">
        <v>202000004199</v>
      </c>
      <c r="AE349" s="147" t="s">
        <v>523</v>
      </c>
      <c r="AF349" s="148" t="str">
        <f>TEXT(LEFT(Contrato5[[#This Row],[CONTRATO]],3),"0")</f>
        <v>269</v>
      </c>
      <c r="AG349" s="148" t="str">
        <f>IF(LEN(Contrato5[[#This Row],[Contrato2]])=3,Contrato5[[#This Row],[Contrato2]],TEXT(Contrato5[[#This Row],[Contrato2]],"000"))</f>
        <v>269</v>
      </c>
      <c r="AH349" s="149">
        <f ca="1">IFERROR(_xlfn.DAYS(Contrato5[[#This Row],[Fecha Proyectada liquidación]],TODAY())/30,"")</f>
        <v>-2.1666666666666665</v>
      </c>
      <c r="AI349" s="150">
        <f>+Contrato5[[#This Row],[FECHA TERMINACIÓN ]]+120</f>
        <v>45693</v>
      </c>
      <c r="AJ349" s="147"/>
      <c r="AK349" s="152" t="str">
        <f ca="1">IF(Contrato5[[#This Row],[FECHA TERMINACIÓN ]]&lt;TODAY(), "Terminado",IF(ISNUMBER(Contrato5[[#This Row],[Fecha Real de liquiidación ]]),"Liquidado",IF(Contrato5[[#This Row],[FECHA TERMINACIÓN ]]&gt;=TODAY(),"En ejecución","")))</f>
        <v>Terminado</v>
      </c>
      <c r="AL349" s="153" t="e">
        <f ca="1">SUMIF([2]!COMPROMISOS_2024[[#All],[consecutivo]],Contrato5[[#This Row],[RCP]],[2]!COMPROMISOS_2024[[#All],[Total pagado]])</f>
        <v>#REF!</v>
      </c>
      <c r="AM349" s="154">
        <f ca="1">IFERROR(Contrato5[[#This Row],[Pagos]]/Contrato5[[#This Row],[VALOR CONTRATO]],0)</f>
        <v>0</v>
      </c>
      <c r="AN349" s="198" t="e">
        <f ca="1">+Contrato5[[#This Row],[VALOR CONTRATO]]-Contrato5[[#This Row],[Pagos]]</f>
        <v>#REF!</v>
      </c>
      <c r="AO349" s="147" t="e" cm="1">
        <f t="array" aca="1" ref="AO349" ca="1">_xlfn.XLOOKUP(Contrato5[[#This Row],[DOCUMENTO ]],[2]!PERSONAL_ACTIVO_2024[[#All],[Documento identidad]],[2]!PERSONAL_ACTIVO_2024[[#All],[Mail ]],0,0)</f>
        <v>#NAME?</v>
      </c>
      <c r="AP349" s="147" t="e" cm="1">
        <f t="array" aca="1" ref="AP349" ca="1">_xlfn.XLOOKUP(Contrato5[[#This Row],[DOCUMENTO]],[2]!PERSONAL_ACTIVO_2024[[#All],[Documento identidad]],[2]!PERSONAL_ACTIVO_2024[[#All],[Mail ]],0,0)</f>
        <v>#NAME?</v>
      </c>
      <c r="AQ349" s="439" cm="1">
        <f t="array" aca="1" ref="AQ349" ca="1">IF(ISBLANK(Contrato5[[#This Row],[DEPENDENCIA ]]),0,IFERROR(_xlfn.XLOOKUP(Contrato5[[#This Row],[DEPENDENCIA ]],[2]!PERSONAL_ACTIVO_2024[[#All],[Dependencia]],[2]!PERSONAL_ACTIVO_2024[[#All],[Mail ]],0,0),0))</f>
        <v>0</v>
      </c>
    </row>
    <row r="350" spans="1:43" ht="34.5" customHeight="1">
      <c r="A350" s="147">
        <v>1186</v>
      </c>
      <c r="B350" s="124">
        <v>269</v>
      </c>
      <c r="C350" s="162" t="s">
        <v>2175</v>
      </c>
      <c r="D350" s="227" t="s">
        <v>583</v>
      </c>
      <c r="E350" s="440" t="s">
        <v>78</v>
      </c>
      <c r="F350" s="126" t="s">
        <v>1376</v>
      </c>
      <c r="G350" s="190" t="s">
        <v>1026</v>
      </c>
      <c r="H350" s="447">
        <v>42888951</v>
      </c>
      <c r="I350" s="455">
        <v>2574842</v>
      </c>
      <c r="J350" s="437">
        <v>5922137</v>
      </c>
      <c r="K350" s="147"/>
      <c r="L350" s="438" t="s">
        <v>2564</v>
      </c>
      <c r="M350" s="194" t="s">
        <v>589</v>
      </c>
      <c r="N350" s="177" t="e" cm="1">
        <f t="array" aca="1" ref="N350" ca="1">_xlfn.XLOOKUP(Contrato5[[#This Row],[SUPERVISOR TITULAR]],[2]!PERSONAL_ACTIVO_2024[[#All],[Nombre completo]],[2]!PERSONAL_ACTIVO_2024[[#All],[Documento identidad]],"",0)</f>
        <v>#NAME?</v>
      </c>
      <c r="O350" s="194" t="s">
        <v>586</v>
      </c>
      <c r="P350" s="196" t="e" cm="1">
        <f t="array" aca="1" ref="P350" ca="1">_xlfn.XLOOKUP(Contrato5[[#This Row],[SUPERVISOR SUPLENTE ]],[2]!PERSONAL_ACTIVO_2024[[#All],[Nombre completo]],[2]!PERSONAL_ACTIVO_2024[[#All],[Documento identidad]],"",0)</f>
        <v>#NAME?</v>
      </c>
      <c r="Q350" s="170">
        <v>998</v>
      </c>
      <c r="R350" s="137" t="e" cm="1">
        <f t="array" aca="1" ref="R350" ca="1">_xlfn.XLOOKUP(Contrato5[[#This Row],[CDP]],[2]!DISPONIBILIDADES_2024[[#All],[consecutivo]],[2]!DISPONIBILIDADES_2024[[#All],[fecha_aprobacion]],"",0)</f>
        <v>#NAME?</v>
      </c>
      <c r="S350" s="138" t="e">
        <f>SUMIF([2]!DISPONIBILIDADES_2024[[#All],[consecutivo]],Contrato5[[#This Row],[CDP]],[2]!DISPONIBILIDADES_2024[[#All],[valor_total_rubro]])</f>
        <v>#REF!</v>
      </c>
      <c r="T350" s="139" t="e" cm="1">
        <f t="array" aca="1" ref="T350" ca="1">_xlfn.XLOOKUP(Contrato5[[#This Row],[CONTRATO]]&amp;Contrato5[[#This Row],[CDP]],[2]!Corr_Contr_CDP[[#All],[CONTRATO-CDP]],[2]!Corr_Contr_CDP[[#All],[CRP]],_xlfn.XLOOKUP(Contrato5[[#This Row],[CDP]],[2]!COMPROMISOS_2024[[#All],[disponibilidad]],[2]!COMPROMISOS_2024[[#All],[consecutivo]],"",0),0)</f>
        <v>#NAME?</v>
      </c>
      <c r="U350" s="140" t="e" cm="1">
        <f t="array" aca="1" ref="U350" ca="1">+_xlfn.XLOOKUP(Contrato5[[#This Row],[RCP]],[2]!COMPROMISOS_2024[[#All],[consecutivo]],[2]!COMPROMISOS_2024[[#All],[fecha_aprobacion]],"",0)</f>
        <v>#NAME?</v>
      </c>
      <c r="V350" s="141" t="e">
        <f ca="1">SUMIF([2]!COMPROMISOS_2024[[#All],[consecutivo]],Contrato5[[#This Row],[RCP]],[2]!COMPROMISOS_2024[[#All],[valor_total]])</f>
        <v>#REF!</v>
      </c>
      <c r="W350" s="415">
        <v>45572</v>
      </c>
      <c r="X350" s="415" t="s">
        <v>1045</v>
      </c>
      <c r="Y350" s="143">
        <v>45574</v>
      </c>
      <c r="Z350" s="262">
        <v>45643</v>
      </c>
      <c r="AA350" s="203"/>
      <c r="AB350" s="172" t="s">
        <v>2591</v>
      </c>
      <c r="AC350" s="127"/>
      <c r="AD350" s="211"/>
      <c r="AE350" s="147"/>
      <c r="AF350" s="148" t="str">
        <f>TEXT(LEFT(Contrato5[[#This Row],[CONTRATO]],3),"0")</f>
        <v>269</v>
      </c>
      <c r="AG350" s="148" t="str">
        <f>IF(LEN(Contrato5[[#This Row],[Contrato2]])=3,Contrato5[[#This Row],[Contrato2]],TEXT(Contrato5[[#This Row],[Contrato2]],"000"))</f>
        <v>269</v>
      </c>
      <c r="AH350" s="149">
        <f ca="1">IFERROR(_xlfn.DAYS(Contrato5[[#This Row],[Fecha Proyectada liquidación]],TODAY())/30,"")</f>
        <v>0.16666666666666666</v>
      </c>
      <c r="AI350" s="150">
        <f>+Contrato5[[#This Row],[FECHA TERMINACIÓN ]]+120</f>
        <v>45763</v>
      </c>
      <c r="AJ350" s="147"/>
      <c r="AK350" s="152" t="str">
        <f ca="1">IF(Contrato5[[#This Row],[FECHA TERMINACIÓN ]]&lt;TODAY(), "Terminado",IF(ISNUMBER(Contrato5[[#This Row],[Fecha Real de liquiidación ]]),"Liquidado",IF(Contrato5[[#This Row],[FECHA TERMINACIÓN ]]&gt;=TODAY(),"En ejecución","")))</f>
        <v>Terminado</v>
      </c>
      <c r="AL350" s="153" t="e">
        <f ca="1">SUMIF([2]!COMPROMISOS_2024[[#All],[consecutivo]],Contrato5[[#This Row],[RCP]],[2]!COMPROMISOS_2024[[#All],[Total pagado]])</f>
        <v>#REF!</v>
      </c>
      <c r="AM350" s="154">
        <f ca="1">IFERROR(Contrato5[[#This Row],[Pagos]]/Contrato5[[#This Row],[VALOR CONTRATO]],0)</f>
        <v>0</v>
      </c>
      <c r="AN350" s="198" t="e">
        <f ca="1">+Contrato5[[#This Row],[VALOR CONTRATO]]-Contrato5[[#This Row],[Pagos]]</f>
        <v>#REF!</v>
      </c>
      <c r="AO350" s="147" t="e" cm="1">
        <f t="array" aca="1" ref="AO350" ca="1">_xlfn.XLOOKUP(Contrato5[[#This Row],[DOCUMENTO ]],[2]!PERSONAL_ACTIVO_2024[[#All],[Documento identidad]],[2]!PERSONAL_ACTIVO_2024[[#All],[Mail ]],0,0)</f>
        <v>#NAME?</v>
      </c>
      <c r="AP350" s="147" t="e" cm="1">
        <f t="array" aca="1" ref="AP350" ca="1">_xlfn.XLOOKUP(Contrato5[[#This Row],[DOCUMENTO]],[2]!PERSONAL_ACTIVO_2024[[#All],[Documento identidad]],[2]!PERSONAL_ACTIVO_2024[[#All],[Mail ]],0,0)</f>
        <v>#NAME?</v>
      </c>
      <c r="AQ350" s="439" cm="1">
        <f t="array" aca="1" ref="AQ350" ca="1">IF(ISBLANK(Contrato5[[#This Row],[DEPENDENCIA ]]),0,IFERROR(_xlfn.XLOOKUP(Contrato5[[#This Row],[DEPENDENCIA ]],[2]!PERSONAL_ACTIVO_2024[[#All],[Dependencia]],[2]!PERSONAL_ACTIVO_2024[[#All],[Mail ]],0,0),0))</f>
        <v>0</v>
      </c>
    </row>
    <row r="351" spans="1:43" ht="34.5" customHeight="1">
      <c r="A351" s="125">
        <v>615</v>
      </c>
      <c r="B351" s="124">
        <v>270</v>
      </c>
      <c r="C351" s="162" t="s">
        <v>1744</v>
      </c>
      <c r="D351" s="227" t="s">
        <v>583</v>
      </c>
      <c r="E351" s="128" t="s">
        <v>94</v>
      </c>
      <c r="F351" s="163" t="s">
        <v>1376</v>
      </c>
      <c r="G351" s="190" t="s">
        <v>1027</v>
      </c>
      <c r="H351" s="447">
        <v>1028020725</v>
      </c>
      <c r="I351" s="455">
        <v>2574842</v>
      </c>
      <c r="J351" s="456">
        <v>15449052</v>
      </c>
      <c r="K351" s="147" t="s">
        <v>42</v>
      </c>
      <c r="L351" s="438" t="s">
        <v>989</v>
      </c>
      <c r="M351" s="194" t="s">
        <v>586</v>
      </c>
      <c r="N351" s="177" t="e" cm="1">
        <f t="array" aca="1" ref="N351" ca="1">_xlfn.XLOOKUP(Contrato5[[#This Row],[SUPERVISOR TITULAR]],[2]!PERSONAL_ACTIVO_2024[[#All],[Nombre completo]],[2]!PERSONAL_ACTIVO_2024[[#All],[Documento identidad]],"",0)</f>
        <v>#NAME?</v>
      </c>
      <c r="O351" s="194" t="s">
        <v>589</v>
      </c>
      <c r="P351" s="196" t="e" cm="1">
        <f t="array" aca="1" ref="P351" ca="1">_xlfn.XLOOKUP(Contrato5[[#This Row],[SUPERVISOR SUPLENTE ]],[2]!PERSONAL_ACTIVO_2024[[#All],[Nombre completo]],[2]!PERSONAL_ACTIVO_2024[[#All],[Documento identidad]],"",0)</f>
        <v>#NAME?</v>
      </c>
      <c r="Q351" s="170">
        <v>346</v>
      </c>
      <c r="R351" s="137" t="e" cm="1">
        <f t="array" aca="1" ref="R351" ca="1">_xlfn.XLOOKUP(Contrato5[[#This Row],[CDP]],[2]!DISPONIBILIDADES_2024[[#All],[consecutivo]],[2]!DISPONIBILIDADES_2024[[#All],[fecha_aprobacion]],"",0)</f>
        <v>#NAME?</v>
      </c>
      <c r="S351" s="138" t="e">
        <f>SUMIF([2]!DISPONIBILIDADES_2024[[#All],[consecutivo]],Contrato5[[#This Row],[CDP]],[2]!DISPONIBILIDADES_2024[[#All],[valor_total_rubro]])</f>
        <v>#REF!</v>
      </c>
      <c r="T351" s="139" t="e" cm="1">
        <f t="array" aca="1" ref="T351" ca="1">_xlfn.XLOOKUP(Contrato5[[#This Row],[CONTRATO]]&amp;Contrato5[[#This Row],[CDP]],[2]!Corr_Contr_CDP[[#All],[CONTRATO-CDP]],[2]!Corr_Contr_CDP[[#All],[CRP]],_xlfn.XLOOKUP(Contrato5[[#This Row],[CDP]],[2]!COMPROMISOS_2024[[#All],[disponibilidad]],[2]!COMPROMISOS_2024[[#All],[consecutivo]],"",0),0)</f>
        <v>#NAME?</v>
      </c>
      <c r="U351" s="140" t="e" cm="1">
        <f t="array" aca="1" ref="U351" ca="1">+_xlfn.XLOOKUP(Contrato5[[#This Row],[RCP]],[2]!COMPROMISOS_2024[[#All],[consecutivo]],[2]!COMPROMISOS_2024[[#All],[fecha_aprobacion]],"",0)</f>
        <v>#NAME?</v>
      </c>
      <c r="V351" s="141" t="e">
        <f ca="1">SUMIF([2]!COMPROMISOS_2024[[#All],[consecutivo]],Contrato5[[#This Row],[RCP]],[2]!COMPROMISOS_2024[[#All],[valor_total]])</f>
        <v>#REF!</v>
      </c>
      <c r="W351" s="415">
        <v>45391</v>
      </c>
      <c r="X351" s="415" t="s">
        <v>1045</v>
      </c>
      <c r="Y351" s="143">
        <v>45391</v>
      </c>
      <c r="Z351" s="262">
        <v>45573</v>
      </c>
      <c r="AA351" s="171" t="s">
        <v>1002</v>
      </c>
      <c r="AB351" s="172" t="s">
        <v>640</v>
      </c>
      <c r="AC351" s="172"/>
      <c r="AD351" s="211">
        <v>202000004200</v>
      </c>
      <c r="AE351" s="147" t="s">
        <v>523</v>
      </c>
      <c r="AF351" s="148" t="str">
        <f>TEXT(LEFT(Contrato5[[#This Row],[CONTRATO]],3),"0")</f>
        <v>270</v>
      </c>
      <c r="AG351" s="148" t="str">
        <f>IF(LEN(Contrato5[[#This Row],[Contrato2]])=3,Contrato5[[#This Row],[Contrato2]],TEXT(Contrato5[[#This Row],[Contrato2]],"000"))</f>
        <v>270</v>
      </c>
      <c r="AH351" s="149">
        <f ca="1">IFERROR(_xlfn.DAYS(Contrato5[[#This Row],[Fecha Proyectada liquidación]],TODAY())/30,"")</f>
        <v>-2.1666666666666665</v>
      </c>
      <c r="AI351" s="150">
        <f>+Contrato5[[#This Row],[FECHA TERMINACIÓN ]]+120</f>
        <v>45693</v>
      </c>
      <c r="AJ351" s="147"/>
      <c r="AK351" s="152" t="str">
        <f ca="1">IF(Contrato5[[#This Row],[FECHA TERMINACIÓN ]]&lt;TODAY(), "Terminado",IF(ISNUMBER(Contrato5[[#This Row],[Fecha Real de liquiidación ]]),"Liquidado",IF(Contrato5[[#This Row],[FECHA TERMINACIÓN ]]&gt;=TODAY(),"En ejecución","")))</f>
        <v>Terminado</v>
      </c>
      <c r="AL351" s="153" t="e">
        <f ca="1">SUMIF([2]!COMPROMISOS_2024[[#All],[consecutivo]],Contrato5[[#This Row],[RCP]],[2]!COMPROMISOS_2024[[#All],[Total pagado]])</f>
        <v>#REF!</v>
      </c>
      <c r="AM351" s="154">
        <f ca="1">IFERROR(Contrato5[[#This Row],[Pagos]]/Contrato5[[#This Row],[VALOR CONTRATO]],0)</f>
        <v>0</v>
      </c>
      <c r="AN351" s="198" t="e">
        <f ca="1">+Contrato5[[#This Row],[VALOR CONTRATO]]-Contrato5[[#This Row],[Pagos]]</f>
        <v>#REF!</v>
      </c>
      <c r="AO351" s="147" t="e" cm="1">
        <f t="array" aca="1" ref="AO351" ca="1">_xlfn.XLOOKUP(Contrato5[[#This Row],[DOCUMENTO ]],[2]!PERSONAL_ACTIVO_2024[[#All],[Documento identidad]],[2]!PERSONAL_ACTIVO_2024[[#All],[Mail ]],0,0)</f>
        <v>#NAME?</v>
      </c>
      <c r="AP351" s="147" t="e" cm="1">
        <f t="array" aca="1" ref="AP351" ca="1">_xlfn.XLOOKUP(Contrato5[[#This Row],[DOCUMENTO]],[2]!PERSONAL_ACTIVO_2024[[#All],[Documento identidad]],[2]!PERSONAL_ACTIVO_2024[[#All],[Mail ]],0,0)</f>
        <v>#NAME?</v>
      </c>
      <c r="AQ351" s="439" cm="1">
        <f t="array" aca="1" ref="AQ351" ca="1">IF(ISBLANK(Contrato5[[#This Row],[DEPENDENCIA ]]),0,IFERROR(_xlfn.XLOOKUP(Contrato5[[#This Row],[DEPENDENCIA ]],[2]!PERSONAL_ACTIVO_2024[[#All],[Dependencia]],[2]!PERSONAL_ACTIVO_2024[[#All],[Mail ]],0,0),0))</f>
        <v>0</v>
      </c>
    </row>
    <row r="352" spans="1:43" ht="34.5" customHeight="1">
      <c r="A352" s="147">
        <v>1187</v>
      </c>
      <c r="B352" s="124">
        <v>270</v>
      </c>
      <c r="C352" s="162" t="s">
        <v>2176</v>
      </c>
      <c r="D352" s="227" t="s">
        <v>583</v>
      </c>
      <c r="E352" s="440" t="s">
        <v>78</v>
      </c>
      <c r="F352" s="126" t="s">
        <v>1376</v>
      </c>
      <c r="G352" s="190" t="s">
        <v>1027</v>
      </c>
      <c r="H352" s="447">
        <v>1028020725</v>
      </c>
      <c r="I352" s="455">
        <v>2574842</v>
      </c>
      <c r="J352" s="437">
        <v>5922137</v>
      </c>
      <c r="K352" s="147"/>
      <c r="L352" s="438" t="s">
        <v>2564</v>
      </c>
      <c r="M352" s="194" t="s">
        <v>586</v>
      </c>
      <c r="N352" s="177" t="e" cm="1">
        <f t="array" aca="1" ref="N352" ca="1">_xlfn.XLOOKUP(Contrato5[[#This Row],[SUPERVISOR TITULAR]],[2]!PERSONAL_ACTIVO_2024[[#All],[Nombre completo]],[2]!PERSONAL_ACTIVO_2024[[#All],[Documento identidad]],"",0)</f>
        <v>#NAME?</v>
      </c>
      <c r="O352" s="194" t="s">
        <v>589</v>
      </c>
      <c r="P352" s="196" t="e" cm="1">
        <f t="array" aca="1" ref="P352" ca="1">_xlfn.XLOOKUP(Contrato5[[#This Row],[SUPERVISOR SUPLENTE ]],[2]!PERSONAL_ACTIVO_2024[[#All],[Nombre completo]],[2]!PERSONAL_ACTIVO_2024[[#All],[Documento identidad]],"",0)</f>
        <v>#NAME?</v>
      </c>
      <c r="Q352" s="170">
        <v>999</v>
      </c>
      <c r="R352" s="137" t="e" cm="1">
        <f t="array" aca="1" ref="R352" ca="1">_xlfn.XLOOKUP(Contrato5[[#This Row],[CDP]],[2]!DISPONIBILIDADES_2024[[#All],[consecutivo]],[2]!DISPONIBILIDADES_2024[[#All],[fecha_aprobacion]],"",0)</f>
        <v>#NAME?</v>
      </c>
      <c r="S352" s="138" t="e">
        <f>SUMIF([2]!DISPONIBILIDADES_2024[[#All],[consecutivo]],Contrato5[[#This Row],[CDP]],[2]!DISPONIBILIDADES_2024[[#All],[valor_total_rubro]])</f>
        <v>#REF!</v>
      </c>
      <c r="T352" s="139" t="e" cm="1">
        <f t="array" aca="1" ref="T352" ca="1">_xlfn.XLOOKUP(Contrato5[[#This Row],[CONTRATO]]&amp;Contrato5[[#This Row],[CDP]],[2]!Corr_Contr_CDP[[#All],[CONTRATO-CDP]],[2]!Corr_Contr_CDP[[#All],[CRP]],_xlfn.XLOOKUP(Contrato5[[#This Row],[CDP]],[2]!COMPROMISOS_2024[[#All],[disponibilidad]],[2]!COMPROMISOS_2024[[#All],[consecutivo]],"",0),0)</f>
        <v>#NAME?</v>
      </c>
      <c r="U352" s="140" t="e" cm="1">
        <f t="array" aca="1" ref="U352" ca="1">+_xlfn.XLOOKUP(Contrato5[[#This Row],[RCP]],[2]!COMPROMISOS_2024[[#All],[consecutivo]],[2]!COMPROMISOS_2024[[#All],[fecha_aprobacion]],"",0)</f>
        <v>#NAME?</v>
      </c>
      <c r="V352" s="141" t="e">
        <f ca="1">SUMIF([2]!COMPROMISOS_2024[[#All],[consecutivo]],Contrato5[[#This Row],[RCP]],[2]!COMPROMISOS_2024[[#All],[valor_total]])</f>
        <v>#REF!</v>
      </c>
      <c r="W352" s="415">
        <v>45572</v>
      </c>
      <c r="X352" s="415" t="s">
        <v>1045</v>
      </c>
      <c r="Y352" s="143">
        <v>45574</v>
      </c>
      <c r="Z352" s="262">
        <v>45643</v>
      </c>
      <c r="AA352" s="203"/>
      <c r="AB352" s="172" t="s">
        <v>2591</v>
      </c>
      <c r="AC352" s="127"/>
      <c r="AD352" s="211"/>
      <c r="AE352" s="147"/>
      <c r="AF352" s="148" t="str">
        <f>TEXT(LEFT(Contrato5[[#This Row],[CONTRATO]],3),"0")</f>
        <v>270</v>
      </c>
      <c r="AG352" s="148" t="str">
        <f>IF(LEN(Contrato5[[#This Row],[Contrato2]])=3,Contrato5[[#This Row],[Contrato2]],TEXT(Contrato5[[#This Row],[Contrato2]],"000"))</f>
        <v>270</v>
      </c>
      <c r="AH352" s="149">
        <f ca="1">IFERROR(_xlfn.DAYS(Contrato5[[#This Row],[Fecha Proyectada liquidación]],TODAY())/30,"")</f>
        <v>0.16666666666666666</v>
      </c>
      <c r="AI352" s="150">
        <f>+Contrato5[[#This Row],[FECHA TERMINACIÓN ]]+120</f>
        <v>45763</v>
      </c>
      <c r="AJ352" s="147"/>
      <c r="AK352" s="152" t="str">
        <f ca="1">IF(Contrato5[[#This Row],[FECHA TERMINACIÓN ]]&lt;TODAY(), "Terminado",IF(ISNUMBER(Contrato5[[#This Row],[Fecha Real de liquiidación ]]),"Liquidado",IF(Contrato5[[#This Row],[FECHA TERMINACIÓN ]]&gt;=TODAY(),"En ejecución","")))</f>
        <v>Terminado</v>
      </c>
      <c r="AL352" s="153" t="e">
        <f ca="1">SUMIF([2]!COMPROMISOS_2024[[#All],[consecutivo]],Contrato5[[#This Row],[RCP]],[2]!COMPROMISOS_2024[[#All],[Total pagado]])</f>
        <v>#REF!</v>
      </c>
      <c r="AM352" s="154">
        <f ca="1">IFERROR(Contrato5[[#This Row],[Pagos]]/Contrato5[[#This Row],[VALOR CONTRATO]],0)</f>
        <v>0</v>
      </c>
      <c r="AN352" s="198" t="e">
        <f ca="1">+Contrato5[[#This Row],[VALOR CONTRATO]]-Contrato5[[#This Row],[Pagos]]</f>
        <v>#REF!</v>
      </c>
      <c r="AO352" s="147" t="e" cm="1">
        <f t="array" aca="1" ref="AO352" ca="1">_xlfn.XLOOKUP(Contrato5[[#This Row],[DOCUMENTO ]],[2]!PERSONAL_ACTIVO_2024[[#All],[Documento identidad]],[2]!PERSONAL_ACTIVO_2024[[#All],[Mail ]],0,0)</f>
        <v>#NAME?</v>
      </c>
      <c r="AP352" s="147" t="e" cm="1">
        <f t="array" aca="1" ref="AP352" ca="1">_xlfn.XLOOKUP(Contrato5[[#This Row],[DOCUMENTO]],[2]!PERSONAL_ACTIVO_2024[[#All],[Documento identidad]],[2]!PERSONAL_ACTIVO_2024[[#All],[Mail ]],0,0)</f>
        <v>#NAME?</v>
      </c>
      <c r="AQ352" s="439" cm="1">
        <f t="array" aca="1" ref="AQ352" ca="1">IF(ISBLANK(Contrato5[[#This Row],[DEPENDENCIA ]]),0,IFERROR(_xlfn.XLOOKUP(Contrato5[[#This Row],[DEPENDENCIA ]],[2]!PERSONAL_ACTIVO_2024[[#All],[Dependencia]],[2]!PERSONAL_ACTIVO_2024[[#All],[Mail ]],0,0),0))</f>
        <v>0</v>
      </c>
    </row>
    <row r="353" spans="1:43" ht="34.5" customHeight="1">
      <c r="A353" s="125">
        <v>616</v>
      </c>
      <c r="B353" s="124">
        <v>271</v>
      </c>
      <c r="C353" s="162" t="s">
        <v>1745</v>
      </c>
      <c r="D353" s="227" t="s">
        <v>583</v>
      </c>
      <c r="E353" s="128" t="s">
        <v>94</v>
      </c>
      <c r="F353" s="163" t="s">
        <v>1376</v>
      </c>
      <c r="G353" s="190" t="s">
        <v>1028</v>
      </c>
      <c r="H353" s="447">
        <v>1017133137</v>
      </c>
      <c r="I353" s="455">
        <v>3952382</v>
      </c>
      <c r="J353" s="456">
        <v>23714292</v>
      </c>
      <c r="K353" s="131" t="s">
        <v>42</v>
      </c>
      <c r="L353" s="438" t="s">
        <v>989</v>
      </c>
      <c r="M353" s="194" t="s">
        <v>589</v>
      </c>
      <c r="N353" s="177" t="e" cm="1">
        <f t="array" aca="1" ref="N353" ca="1">_xlfn.XLOOKUP(Contrato5[[#This Row],[SUPERVISOR TITULAR]],[2]!PERSONAL_ACTIVO_2024[[#All],[Nombre completo]],[2]!PERSONAL_ACTIVO_2024[[#All],[Documento identidad]],"",0)</f>
        <v>#NAME?</v>
      </c>
      <c r="O353" s="194" t="s">
        <v>586</v>
      </c>
      <c r="P353" s="196" t="e" cm="1">
        <f t="array" aca="1" ref="P353" ca="1">_xlfn.XLOOKUP(Contrato5[[#This Row],[SUPERVISOR SUPLENTE ]],[2]!PERSONAL_ACTIVO_2024[[#All],[Nombre completo]],[2]!PERSONAL_ACTIVO_2024[[#All],[Documento identidad]],"",0)</f>
        <v>#NAME?</v>
      </c>
      <c r="Q353" s="170">
        <v>339</v>
      </c>
      <c r="R353" s="137" t="e" cm="1">
        <f t="array" aca="1" ref="R353" ca="1">_xlfn.XLOOKUP(Contrato5[[#This Row],[CDP]],[2]!DISPONIBILIDADES_2024[[#All],[consecutivo]],[2]!DISPONIBILIDADES_2024[[#All],[fecha_aprobacion]],"",0)</f>
        <v>#NAME?</v>
      </c>
      <c r="S353" s="138" t="e">
        <f>SUMIF([2]!DISPONIBILIDADES_2024[[#All],[consecutivo]],Contrato5[[#This Row],[CDP]],[2]!DISPONIBILIDADES_2024[[#All],[valor_total_rubro]])</f>
        <v>#REF!</v>
      </c>
      <c r="T353" s="139" t="e" cm="1">
        <f t="array" aca="1" ref="T353" ca="1">_xlfn.XLOOKUP(Contrato5[[#This Row],[CONTRATO]]&amp;Contrato5[[#This Row],[CDP]],[2]!Corr_Contr_CDP[[#All],[CONTRATO-CDP]],[2]!Corr_Contr_CDP[[#All],[CRP]],_xlfn.XLOOKUP(Contrato5[[#This Row],[CDP]],[2]!COMPROMISOS_2024[[#All],[disponibilidad]],[2]!COMPROMISOS_2024[[#All],[consecutivo]],"",0),0)</f>
        <v>#NAME?</v>
      </c>
      <c r="U353" s="140" t="e" cm="1">
        <f t="array" aca="1" ref="U353" ca="1">+_xlfn.XLOOKUP(Contrato5[[#This Row],[RCP]],[2]!COMPROMISOS_2024[[#All],[consecutivo]],[2]!COMPROMISOS_2024[[#All],[fecha_aprobacion]],"",0)</f>
        <v>#NAME?</v>
      </c>
      <c r="V353" s="141" t="e">
        <f ca="1">SUMIF([2]!COMPROMISOS_2024[[#All],[consecutivo]],Contrato5[[#This Row],[RCP]],[2]!COMPROMISOS_2024[[#All],[valor_total]])</f>
        <v>#REF!</v>
      </c>
      <c r="W353" s="415">
        <v>45391</v>
      </c>
      <c r="X353" s="415" t="s">
        <v>1045</v>
      </c>
      <c r="Y353" s="143">
        <v>45391</v>
      </c>
      <c r="Z353" s="262">
        <v>45573</v>
      </c>
      <c r="AA353" s="171" t="s">
        <v>1002</v>
      </c>
      <c r="AB353" s="172" t="s">
        <v>640</v>
      </c>
      <c r="AC353" s="273"/>
      <c r="AD353" s="221">
        <v>202000004201</v>
      </c>
      <c r="AE353" s="147" t="s">
        <v>523</v>
      </c>
      <c r="AF353" s="148" t="str">
        <f>TEXT(LEFT(Contrato5[[#This Row],[CONTRATO]],3),"0")</f>
        <v>271</v>
      </c>
      <c r="AG353" s="148" t="str">
        <f>IF(LEN(Contrato5[[#This Row],[Contrato2]])=3,Contrato5[[#This Row],[Contrato2]],TEXT(Contrato5[[#This Row],[Contrato2]],"000"))</f>
        <v>271</v>
      </c>
      <c r="AH353" s="149">
        <f ca="1">IFERROR(_xlfn.DAYS(Contrato5[[#This Row],[Fecha Proyectada liquidación]],TODAY())/30,"")</f>
        <v>-2.1666666666666665</v>
      </c>
      <c r="AI353" s="150">
        <f>+Contrato5[[#This Row],[FECHA TERMINACIÓN ]]+120</f>
        <v>45693</v>
      </c>
      <c r="AJ353" s="147"/>
      <c r="AK353" s="152" t="str">
        <f ca="1">IF(Contrato5[[#This Row],[FECHA TERMINACIÓN ]]&lt;TODAY(), "Terminado",IF(ISNUMBER(Contrato5[[#This Row],[Fecha Real de liquiidación ]]),"Liquidado",IF(Contrato5[[#This Row],[FECHA TERMINACIÓN ]]&gt;=TODAY(),"En ejecución","")))</f>
        <v>Terminado</v>
      </c>
      <c r="AL353" s="153" t="e">
        <f ca="1">SUMIF([2]!COMPROMISOS_2024[[#All],[consecutivo]],Contrato5[[#This Row],[RCP]],[2]!COMPROMISOS_2024[[#All],[Total pagado]])</f>
        <v>#REF!</v>
      </c>
      <c r="AM353" s="154">
        <f ca="1">IFERROR(Contrato5[[#This Row],[Pagos]]/Contrato5[[#This Row],[VALOR CONTRATO]],0)</f>
        <v>0</v>
      </c>
      <c r="AN353" s="198" t="e">
        <f ca="1">+Contrato5[[#This Row],[VALOR CONTRATO]]-Contrato5[[#This Row],[Pagos]]</f>
        <v>#REF!</v>
      </c>
      <c r="AO353" s="147" t="e" cm="1">
        <f t="array" aca="1" ref="AO353" ca="1">_xlfn.XLOOKUP(Contrato5[[#This Row],[DOCUMENTO ]],[2]!PERSONAL_ACTIVO_2024[[#All],[Documento identidad]],[2]!PERSONAL_ACTIVO_2024[[#All],[Mail ]],0,0)</f>
        <v>#NAME?</v>
      </c>
      <c r="AP353" s="147" t="e" cm="1">
        <f t="array" aca="1" ref="AP353" ca="1">_xlfn.XLOOKUP(Contrato5[[#This Row],[DOCUMENTO]],[2]!PERSONAL_ACTIVO_2024[[#All],[Documento identidad]],[2]!PERSONAL_ACTIVO_2024[[#All],[Mail ]],0,0)</f>
        <v>#NAME?</v>
      </c>
      <c r="AQ353" s="439" cm="1">
        <f t="array" aca="1" ref="AQ353" ca="1">IF(ISBLANK(Contrato5[[#This Row],[DEPENDENCIA ]]),0,IFERROR(_xlfn.XLOOKUP(Contrato5[[#This Row],[DEPENDENCIA ]],[2]!PERSONAL_ACTIVO_2024[[#All],[Dependencia]],[2]!PERSONAL_ACTIVO_2024[[#All],[Mail ]],0,0),0))</f>
        <v>0</v>
      </c>
    </row>
    <row r="354" spans="1:43" ht="34.5" customHeight="1">
      <c r="A354" s="125">
        <v>617</v>
      </c>
      <c r="B354" s="124">
        <v>272</v>
      </c>
      <c r="C354" s="162" t="s">
        <v>1746</v>
      </c>
      <c r="D354" s="227" t="s">
        <v>583</v>
      </c>
      <c r="E354" s="128" t="s">
        <v>94</v>
      </c>
      <c r="F354" s="163" t="s">
        <v>1376</v>
      </c>
      <c r="G354" s="190" t="s">
        <v>1029</v>
      </c>
      <c r="H354" s="447">
        <v>1037571618</v>
      </c>
      <c r="I354" s="455">
        <v>2574842</v>
      </c>
      <c r="J354" s="456">
        <v>15449052</v>
      </c>
      <c r="K354" s="147" t="s">
        <v>42</v>
      </c>
      <c r="L354" s="438" t="s">
        <v>989</v>
      </c>
      <c r="M354" s="194" t="s">
        <v>589</v>
      </c>
      <c r="N354" s="177" t="e" cm="1">
        <f t="array" aca="1" ref="N354" ca="1">_xlfn.XLOOKUP(Contrato5[[#This Row],[SUPERVISOR TITULAR]],[2]!PERSONAL_ACTIVO_2024[[#All],[Nombre completo]],[2]!PERSONAL_ACTIVO_2024[[#All],[Documento identidad]],"",0)</f>
        <v>#NAME?</v>
      </c>
      <c r="O354" s="194" t="s">
        <v>586</v>
      </c>
      <c r="P354" s="196" t="e" cm="1">
        <f t="array" aca="1" ref="P354" ca="1">_xlfn.XLOOKUP(Contrato5[[#This Row],[SUPERVISOR SUPLENTE ]],[2]!PERSONAL_ACTIVO_2024[[#All],[Nombre completo]],[2]!PERSONAL_ACTIVO_2024[[#All],[Documento identidad]],"",0)</f>
        <v>#NAME?</v>
      </c>
      <c r="Q354" s="170">
        <v>349</v>
      </c>
      <c r="R354" s="137" t="e" cm="1">
        <f t="array" aca="1" ref="R354" ca="1">_xlfn.XLOOKUP(Contrato5[[#This Row],[CDP]],[2]!DISPONIBILIDADES_2024[[#All],[consecutivo]],[2]!DISPONIBILIDADES_2024[[#All],[fecha_aprobacion]],"",0)</f>
        <v>#NAME?</v>
      </c>
      <c r="S354" s="138" t="e">
        <f>SUMIF([2]!DISPONIBILIDADES_2024[[#All],[consecutivo]],Contrato5[[#This Row],[CDP]],[2]!DISPONIBILIDADES_2024[[#All],[valor_total_rubro]])</f>
        <v>#REF!</v>
      </c>
      <c r="T354" s="139" t="e" cm="1">
        <f t="array" aca="1" ref="T354" ca="1">_xlfn.XLOOKUP(Contrato5[[#This Row],[CONTRATO]]&amp;Contrato5[[#This Row],[CDP]],[2]!Corr_Contr_CDP[[#All],[CONTRATO-CDP]],[2]!Corr_Contr_CDP[[#All],[CRP]],_xlfn.XLOOKUP(Contrato5[[#This Row],[CDP]],[2]!COMPROMISOS_2024[[#All],[disponibilidad]],[2]!COMPROMISOS_2024[[#All],[consecutivo]],"",0),0)</f>
        <v>#NAME?</v>
      </c>
      <c r="U354" s="140" t="e" cm="1">
        <f t="array" aca="1" ref="U354" ca="1">+_xlfn.XLOOKUP(Contrato5[[#This Row],[RCP]],[2]!COMPROMISOS_2024[[#All],[consecutivo]],[2]!COMPROMISOS_2024[[#All],[fecha_aprobacion]],"",0)</f>
        <v>#NAME?</v>
      </c>
      <c r="V354" s="141" t="e">
        <f ca="1">SUMIF([2]!COMPROMISOS_2024[[#All],[consecutivo]],Contrato5[[#This Row],[RCP]],[2]!COMPROMISOS_2024[[#All],[valor_total]])</f>
        <v>#REF!</v>
      </c>
      <c r="W354" s="415">
        <v>45391</v>
      </c>
      <c r="X354" s="415" t="s">
        <v>1045</v>
      </c>
      <c r="Y354" s="143">
        <v>45391</v>
      </c>
      <c r="Z354" s="262">
        <v>45573</v>
      </c>
      <c r="AA354" s="171" t="s">
        <v>1002</v>
      </c>
      <c r="AB354" s="172" t="s">
        <v>640</v>
      </c>
      <c r="AC354" s="172"/>
      <c r="AD354" s="211">
        <v>202000004202</v>
      </c>
      <c r="AE354" s="147" t="s">
        <v>523</v>
      </c>
      <c r="AF354" s="148" t="str">
        <f>TEXT(LEFT(Contrato5[[#This Row],[CONTRATO]],3),"0")</f>
        <v>272</v>
      </c>
      <c r="AG354" s="148" t="str">
        <f>IF(LEN(Contrato5[[#This Row],[Contrato2]])=3,Contrato5[[#This Row],[Contrato2]],TEXT(Contrato5[[#This Row],[Contrato2]],"000"))</f>
        <v>272</v>
      </c>
      <c r="AH354" s="149">
        <f ca="1">IFERROR(_xlfn.DAYS(Contrato5[[#This Row],[Fecha Proyectada liquidación]],TODAY())/30,"")</f>
        <v>-2.1666666666666665</v>
      </c>
      <c r="AI354" s="150">
        <f>+Contrato5[[#This Row],[FECHA TERMINACIÓN ]]+120</f>
        <v>45693</v>
      </c>
      <c r="AJ354" s="147"/>
      <c r="AK354" s="152" t="str">
        <f ca="1">IF(Contrato5[[#This Row],[FECHA TERMINACIÓN ]]&lt;TODAY(), "Terminado",IF(ISNUMBER(Contrato5[[#This Row],[Fecha Real de liquiidación ]]),"Liquidado",IF(Contrato5[[#This Row],[FECHA TERMINACIÓN ]]&gt;=TODAY(),"En ejecución","")))</f>
        <v>Terminado</v>
      </c>
      <c r="AL354" s="153" t="e">
        <f ca="1">SUMIF([2]!COMPROMISOS_2024[[#All],[consecutivo]],Contrato5[[#This Row],[RCP]],[2]!COMPROMISOS_2024[[#All],[Total pagado]])</f>
        <v>#REF!</v>
      </c>
      <c r="AM354" s="154">
        <f ca="1">IFERROR(Contrato5[[#This Row],[Pagos]]/Contrato5[[#This Row],[VALOR CONTRATO]],0)</f>
        <v>0</v>
      </c>
      <c r="AN354" s="198" t="e">
        <f ca="1">+Contrato5[[#This Row],[VALOR CONTRATO]]-Contrato5[[#This Row],[Pagos]]</f>
        <v>#REF!</v>
      </c>
      <c r="AO354" s="147" t="e" cm="1">
        <f t="array" aca="1" ref="AO354" ca="1">_xlfn.XLOOKUP(Contrato5[[#This Row],[DOCUMENTO ]],[2]!PERSONAL_ACTIVO_2024[[#All],[Documento identidad]],[2]!PERSONAL_ACTIVO_2024[[#All],[Mail ]],0,0)</f>
        <v>#NAME?</v>
      </c>
      <c r="AP354" s="147" t="e" cm="1">
        <f t="array" aca="1" ref="AP354" ca="1">_xlfn.XLOOKUP(Contrato5[[#This Row],[DOCUMENTO]],[2]!PERSONAL_ACTIVO_2024[[#All],[Documento identidad]],[2]!PERSONAL_ACTIVO_2024[[#All],[Mail ]],0,0)</f>
        <v>#NAME?</v>
      </c>
      <c r="AQ354" s="439" cm="1">
        <f t="array" aca="1" ref="AQ354" ca="1">IF(ISBLANK(Contrato5[[#This Row],[DEPENDENCIA ]]),0,IFERROR(_xlfn.XLOOKUP(Contrato5[[#This Row],[DEPENDENCIA ]],[2]!PERSONAL_ACTIVO_2024[[#All],[Dependencia]],[2]!PERSONAL_ACTIVO_2024[[#All],[Mail ]],0,0),0))</f>
        <v>0</v>
      </c>
    </row>
    <row r="355" spans="1:43" ht="34.5" customHeight="1">
      <c r="A355" s="147">
        <v>1188</v>
      </c>
      <c r="B355" s="124">
        <v>272</v>
      </c>
      <c r="C355" s="162" t="s">
        <v>2177</v>
      </c>
      <c r="D355" s="227" t="s">
        <v>583</v>
      </c>
      <c r="E355" s="440" t="s">
        <v>78</v>
      </c>
      <c r="F355" s="126" t="s">
        <v>1376</v>
      </c>
      <c r="G355" s="190" t="s">
        <v>1029</v>
      </c>
      <c r="H355" s="447">
        <v>1037571618</v>
      </c>
      <c r="I355" s="455">
        <v>2574842</v>
      </c>
      <c r="J355" s="437">
        <v>5922137</v>
      </c>
      <c r="K355" s="147"/>
      <c r="L355" s="438" t="s">
        <v>2564</v>
      </c>
      <c r="M355" s="194" t="s">
        <v>589</v>
      </c>
      <c r="N355" s="177" t="e" cm="1">
        <f t="array" aca="1" ref="N355" ca="1">_xlfn.XLOOKUP(Contrato5[[#This Row],[SUPERVISOR TITULAR]],[2]!PERSONAL_ACTIVO_2024[[#All],[Nombre completo]],[2]!PERSONAL_ACTIVO_2024[[#All],[Documento identidad]],"",0)</f>
        <v>#NAME?</v>
      </c>
      <c r="O355" s="194" t="s">
        <v>586</v>
      </c>
      <c r="P355" s="196" t="e" cm="1">
        <f t="array" aca="1" ref="P355" ca="1">_xlfn.XLOOKUP(Contrato5[[#This Row],[SUPERVISOR SUPLENTE ]],[2]!PERSONAL_ACTIVO_2024[[#All],[Nombre completo]],[2]!PERSONAL_ACTIVO_2024[[#All],[Documento identidad]],"",0)</f>
        <v>#NAME?</v>
      </c>
      <c r="Q355" s="170">
        <v>1019</v>
      </c>
      <c r="R355" s="137" t="e" cm="1">
        <f t="array" aca="1" ref="R355" ca="1">_xlfn.XLOOKUP(Contrato5[[#This Row],[CDP]],[2]!DISPONIBILIDADES_2024[[#All],[consecutivo]],[2]!DISPONIBILIDADES_2024[[#All],[fecha_aprobacion]],"",0)</f>
        <v>#NAME?</v>
      </c>
      <c r="S355" s="138" t="e">
        <f>SUMIF([2]!DISPONIBILIDADES_2024[[#All],[consecutivo]],Contrato5[[#This Row],[CDP]],[2]!DISPONIBILIDADES_2024[[#All],[valor_total_rubro]])</f>
        <v>#REF!</v>
      </c>
      <c r="T355" s="139" t="e" cm="1">
        <f t="array" aca="1" ref="T355" ca="1">_xlfn.XLOOKUP(Contrato5[[#This Row],[CONTRATO]]&amp;Contrato5[[#This Row],[CDP]],[2]!Corr_Contr_CDP[[#All],[CONTRATO-CDP]],[2]!Corr_Contr_CDP[[#All],[CRP]],_xlfn.XLOOKUP(Contrato5[[#This Row],[CDP]],[2]!COMPROMISOS_2024[[#All],[disponibilidad]],[2]!COMPROMISOS_2024[[#All],[consecutivo]],"",0),0)</f>
        <v>#NAME?</v>
      </c>
      <c r="U355" s="140" t="e" cm="1">
        <f t="array" aca="1" ref="U355" ca="1">+_xlfn.XLOOKUP(Contrato5[[#This Row],[RCP]],[2]!COMPROMISOS_2024[[#All],[consecutivo]],[2]!COMPROMISOS_2024[[#All],[fecha_aprobacion]],"",0)</f>
        <v>#NAME?</v>
      </c>
      <c r="V355" s="141" t="e">
        <f ca="1">SUMIF([2]!COMPROMISOS_2024[[#All],[consecutivo]],Contrato5[[#This Row],[RCP]],[2]!COMPROMISOS_2024[[#All],[valor_total]])</f>
        <v>#REF!</v>
      </c>
      <c r="W355" s="415">
        <v>45572</v>
      </c>
      <c r="X355" s="415" t="s">
        <v>1045</v>
      </c>
      <c r="Y355" s="143">
        <v>45574</v>
      </c>
      <c r="Z355" s="262">
        <v>45643</v>
      </c>
      <c r="AA355" s="203"/>
      <c r="AB355" s="172" t="s">
        <v>2591</v>
      </c>
      <c r="AC355" s="127"/>
      <c r="AD355" s="211"/>
      <c r="AE355" s="147"/>
      <c r="AF355" s="148" t="str">
        <f>TEXT(LEFT(Contrato5[[#This Row],[CONTRATO]],3),"0")</f>
        <v>272</v>
      </c>
      <c r="AG355" s="148" t="str">
        <f>IF(LEN(Contrato5[[#This Row],[Contrato2]])=3,Contrato5[[#This Row],[Contrato2]],TEXT(Contrato5[[#This Row],[Contrato2]],"000"))</f>
        <v>272</v>
      </c>
      <c r="AH355" s="149">
        <f ca="1">IFERROR(_xlfn.DAYS(Contrato5[[#This Row],[Fecha Proyectada liquidación]],TODAY())/30,"")</f>
        <v>0.16666666666666666</v>
      </c>
      <c r="AI355" s="150">
        <f>+Contrato5[[#This Row],[FECHA TERMINACIÓN ]]+120</f>
        <v>45763</v>
      </c>
      <c r="AJ355" s="147"/>
      <c r="AK355" s="152" t="str">
        <f ca="1">IF(Contrato5[[#This Row],[FECHA TERMINACIÓN ]]&lt;TODAY(), "Terminado",IF(ISNUMBER(Contrato5[[#This Row],[Fecha Real de liquiidación ]]),"Liquidado",IF(Contrato5[[#This Row],[FECHA TERMINACIÓN ]]&gt;=TODAY(),"En ejecución","")))</f>
        <v>Terminado</v>
      </c>
      <c r="AL355" s="153" t="e">
        <f ca="1">SUMIF([2]!COMPROMISOS_2024[[#All],[consecutivo]],Contrato5[[#This Row],[RCP]],[2]!COMPROMISOS_2024[[#All],[Total pagado]])</f>
        <v>#REF!</v>
      </c>
      <c r="AM355" s="154">
        <f ca="1">IFERROR(Contrato5[[#This Row],[Pagos]]/Contrato5[[#This Row],[VALOR CONTRATO]],0)</f>
        <v>0</v>
      </c>
      <c r="AN355" s="198" t="e">
        <f ca="1">+Contrato5[[#This Row],[VALOR CONTRATO]]-Contrato5[[#This Row],[Pagos]]</f>
        <v>#REF!</v>
      </c>
      <c r="AO355" s="147" t="e" cm="1">
        <f t="array" aca="1" ref="AO355" ca="1">_xlfn.XLOOKUP(Contrato5[[#This Row],[DOCUMENTO ]],[2]!PERSONAL_ACTIVO_2024[[#All],[Documento identidad]],[2]!PERSONAL_ACTIVO_2024[[#All],[Mail ]],0,0)</f>
        <v>#NAME?</v>
      </c>
      <c r="AP355" s="147" t="e" cm="1">
        <f t="array" aca="1" ref="AP355" ca="1">_xlfn.XLOOKUP(Contrato5[[#This Row],[DOCUMENTO]],[2]!PERSONAL_ACTIVO_2024[[#All],[Documento identidad]],[2]!PERSONAL_ACTIVO_2024[[#All],[Mail ]],0,0)</f>
        <v>#NAME?</v>
      </c>
      <c r="AQ355" s="439" cm="1">
        <f t="array" aca="1" ref="AQ355" ca="1">IF(ISBLANK(Contrato5[[#This Row],[DEPENDENCIA ]]),0,IFERROR(_xlfn.XLOOKUP(Contrato5[[#This Row],[DEPENDENCIA ]],[2]!PERSONAL_ACTIVO_2024[[#All],[Dependencia]],[2]!PERSONAL_ACTIVO_2024[[#All],[Mail ]],0,0),0))</f>
        <v>0</v>
      </c>
    </row>
    <row r="356" spans="1:43" ht="34.5" customHeight="1">
      <c r="A356" s="125">
        <v>618</v>
      </c>
      <c r="B356" s="124">
        <v>273</v>
      </c>
      <c r="C356" s="162" t="s">
        <v>1747</v>
      </c>
      <c r="D356" s="227" t="s">
        <v>583</v>
      </c>
      <c r="E356" s="128" t="s">
        <v>94</v>
      </c>
      <c r="F356" s="163" t="s">
        <v>1376</v>
      </c>
      <c r="G356" s="190" t="s">
        <v>1030</v>
      </c>
      <c r="H356" s="447">
        <v>15446640</v>
      </c>
      <c r="I356" s="455">
        <v>3952382</v>
      </c>
      <c r="J356" s="456">
        <v>23714292</v>
      </c>
      <c r="K356" s="147" t="s">
        <v>42</v>
      </c>
      <c r="L356" s="438" t="s">
        <v>989</v>
      </c>
      <c r="M356" s="194" t="s">
        <v>586</v>
      </c>
      <c r="N356" s="177" t="e" cm="1">
        <f t="array" aca="1" ref="N356" ca="1">_xlfn.XLOOKUP(Contrato5[[#This Row],[SUPERVISOR TITULAR]],[2]!PERSONAL_ACTIVO_2024[[#All],[Nombre completo]],[2]!PERSONAL_ACTIVO_2024[[#All],[Documento identidad]],"",0)</f>
        <v>#NAME?</v>
      </c>
      <c r="O356" s="194" t="s">
        <v>589</v>
      </c>
      <c r="P356" s="196" t="e" cm="1">
        <f t="array" aca="1" ref="P356" ca="1">_xlfn.XLOOKUP(Contrato5[[#This Row],[SUPERVISOR SUPLENTE ]],[2]!PERSONAL_ACTIVO_2024[[#All],[Nombre completo]],[2]!PERSONAL_ACTIVO_2024[[#All],[Documento identidad]],"",0)</f>
        <v>#NAME?</v>
      </c>
      <c r="Q356" s="170">
        <v>329</v>
      </c>
      <c r="R356" s="137" t="e" cm="1">
        <f t="array" aca="1" ref="R356" ca="1">_xlfn.XLOOKUP(Contrato5[[#This Row],[CDP]],[2]!DISPONIBILIDADES_2024[[#All],[consecutivo]],[2]!DISPONIBILIDADES_2024[[#All],[fecha_aprobacion]],"",0)</f>
        <v>#NAME?</v>
      </c>
      <c r="S356" s="138" t="e">
        <f>SUMIF([2]!DISPONIBILIDADES_2024[[#All],[consecutivo]],Contrato5[[#This Row],[CDP]],[2]!DISPONIBILIDADES_2024[[#All],[valor_total_rubro]])</f>
        <v>#REF!</v>
      </c>
      <c r="T356" s="139" t="e" cm="1">
        <f t="array" aca="1" ref="T356" ca="1">_xlfn.XLOOKUP(Contrato5[[#This Row],[CONTRATO]]&amp;Contrato5[[#This Row],[CDP]],[2]!Corr_Contr_CDP[[#All],[CONTRATO-CDP]],[2]!Corr_Contr_CDP[[#All],[CRP]],_xlfn.XLOOKUP(Contrato5[[#This Row],[CDP]],[2]!COMPROMISOS_2024[[#All],[disponibilidad]],[2]!COMPROMISOS_2024[[#All],[consecutivo]],"",0),0)</f>
        <v>#NAME?</v>
      </c>
      <c r="U356" s="140" t="e" cm="1">
        <f t="array" aca="1" ref="U356" ca="1">+_xlfn.XLOOKUP(Contrato5[[#This Row],[RCP]],[2]!COMPROMISOS_2024[[#All],[consecutivo]],[2]!COMPROMISOS_2024[[#All],[fecha_aprobacion]],"",0)</f>
        <v>#NAME?</v>
      </c>
      <c r="V356" s="141" t="e">
        <f ca="1">SUMIF([2]!COMPROMISOS_2024[[#All],[consecutivo]],Contrato5[[#This Row],[RCP]],[2]!COMPROMISOS_2024[[#All],[valor_total]])</f>
        <v>#REF!</v>
      </c>
      <c r="W356" s="415">
        <v>45391</v>
      </c>
      <c r="X356" s="415" t="s">
        <v>1045</v>
      </c>
      <c r="Y356" s="143">
        <v>45391</v>
      </c>
      <c r="Z356" s="262">
        <v>45573</v>
      </c>
      <c r="AA356" s="171" t="s">
        <v>1002</v>
      </c>
      <c r="AB356" s="172" t="s">
        <v>640</v>
      </c>
      <c r="AC356" s="172"/>
      <c r="AD356" s="211">
        <v>202000004203</v>
      </c>
      <c r="AE356" s="147" t="s">
        <v>523</v>
      </c>
      <c r="AF356" s="148" t="str">
        <f>TEXT(LEFT(Contrato5[[#This Row],[CONTRATO]],3),"0")</f>
        <v>273</v>
      </c>
      <c r="AG356" s="148" t="str">
        <f>IF(LEN(Contrato5[[#This Row],[Contrato2]])=3,Contrato5[[#This Row],[Contrato2]],TEXT(Contrato5[[#This Row],[Contrato2]],"000"))</f>
        <v>273</v>
      </c>
      <c r="AH356" s="149">
        <f ca="1">IFERROR(_xlfn.DAYS(Contrato5[[#This Row],[Fecha Proyectada liquidación]],TODAY())/30,"")</f>
        <v>-2.1666666666666665</v>
      </c>
      <c r="AI356" s="150">
        <f>+Contrato5[[#This Row],[FECHA TERMINACIÓN ]]+120</f>
        <v>45693</v>
      </c>
      <c r="AJ356" s="147"/>
      <c r="AK356" s="152" t="str">
        <f ca="1">IF(Contrato5[[#This Row],[FECHA TERMINACIÓN ]]&lt;TODAY(), "Terminado",IF(ISNUMBER(Contrato5[[#This Row],[Fecha Real de liquiidación ]]),"Liquidado",IF(Contrato5[[#This Row],[FECHA TERMINACIÓN ]]&gt;=TODAY(),"En ejecución","")))</f>
        <v>Terminado</v>
      </c>
      <c r="AL356" s="153" t="e">
        <f ca="1">SUMIF([2]!COMPROMISOS_2024[[#All],[consecutivo]],Contrato5[[#This Row],[RCP]],[2]!COMPROMISOS_2024[[#All],[Total pagado]])</f>
        <v>#REF!</v>
      </c>
      <c r="AM356" s="154">
        <f ca="1">IFERROR(Contrato5[[#This Row],[Pagos]]/Contrato5[[#This Row],[VALOR CONTRATO]],0)</f>
        <v>0</v>
      </c>
      <c r="AN356" s="198" t="e">
        <f ca="1">+Contrato5[[#This Row],[VALOR CONTRATO]]-Contrato5[[#This Row],[Pagos]]</f>
        <v>#REF!</v>
      </c>
      <c r="AO356" s="147" t="e" cm="1">
        <f t="array" aca="1" ref="AO356" ca="1">_xlfn.XLOOKUP(Contrato5[[#This Row],[DOCUMENTO ]],[2]!PERSONAL_ACTIVO_2024[[#All],[Documento identidad]],[2]!PERSONAL_ACTIVO_2024[[#All],[Mail ]],0,0)</f>
        <v>#NAME?</v>
      </c>
      <c r="AP356" s="147" t="e" cm="1">
        <f t="array" aca="1" ref="AP356" ca="1">_xlfn.XLOOKUP(Contrato5[[#This Row],[DOCUMENTO]],[2]!PERSONAL_ACTIVO_2024[[#All],[Documento identidad]],[2]!PERSONAL_ACTIVO_2024[[#All],[Mail ]],0,0)</f>
        <v>#NAME?</v>
      </c>
      <c r="AQ356" s="439" cm="1">
        <f t="array" aca="1" ref="AQ356" ca="1">IF(ISBLANK(Contrato5[[#This Row],[DEPENDENCIA ]]),0,IFERROR(_xlfn.XLOOKUP(Contrato5[[#This Row],[DEPENDENCIA ]],[2]!PERSONAL_ACTIVO_2024[[#All],[Dependencia]],[2]!PERSONAL_ACTIVO_2024[[#All],[Mail ]],0,0),0))</f>
        <v>0</v>
      </c>
    </row>
    <row r="357" spans="1:43" ht="34.5" customHeight="1">
      <c r="A357" s="147">
        <v>1189</v>
      </c>
      <c r="B357" s="124">
        <v>273</v>
      </c>
      <c r="C357" s="162" t="s">
        <v>2178</v>
      </c>
      <c r="D357" s="227" t="s">
        <v>583</v>
      </c>
      <c r="E357" s="440" t="s">
        <v>78</v>
      </c>
      <c r="F357" s="126" t="s">
        <v>1376</v>
      </c>
      <c r="G357" s="190" t="s">
        <v>1030</v>
      </c>
      <c r="H357" s="447">
        <v>15446640</v>
      </c>
      <c r="I357" s="455">
        <v>3952382</v>
      </c>
      <c r="J357" s="437">
        <v>9090479</v>
      </c>
      <c r="K357" s="147"/>
      <c r="L357" s="438" t="s">
        <v>2564</v>
      </c>
      <c r="M357" s="194" t="s">
        <v>586</v>
      </c>
      <c r="N357" s="177" t="e" cm="1">
        <f t="array" aca="1" ref="N357" ca="1">_xlfn.XLOOKUP(Contrato5[[#This Row],[SUPERVISOR TITULAR]],[2]!PERSONAL_ACTIVO_2024[[#All],[Nombre completo]],[2]!PERSONAL_ACTIVO_2024[[#All],[Documento identidad]],"",0)</f>
        <v>#NAME?</v>
      </c>
      <c r="O357" s="194" t="s">
        <v>589</v>
      </c>
      <c r="P357" s="196" t="e" cm="1">
        <f t="array" aca="1" ref="P357" ca="1">_xlfn.XLOOKUP(Contrato5[[#This Row],[SUPERVISOR SUPLENTE ]],[2]!PERSONAL_ACTIVO_2024[[#All],[Nombre completo]],[2]!PERSONAL_ACTIVO_2024[[#All],[Documento identidad]],"",0)</f>
        <v>#NAME?</v>
      </c>
      <c r="Q357" s="170">
        <v>1000</v>
      </c>
      <c r="R357" s="137" t="e" cm="1">
        <f t="array" aca="1" ref="R357" ca="1">_xlfn.XLOOKUP(Contrato5[[#This Row],[CDP]],[2]!DISPONIBILIDADES_2024[[#All],[consecutivo]],[2]!DISPONIBILIDADES_2024[[#All],[fecha_aprobacion]],"",0)</f>
        <v>#NAME?</v>
      </c>
      <c r="S357" s="138" t="e">
        <f>SUMIF([2]!DISPONIBILIDADES_2024[[#All],[consecutivo]],Contrato5[[#This Row],[CDP]],[2]!DISPONIBILIDADES_2024[[#All],[valor_total_rubro]])</f>
        <v>#REF!</v>
      </c>
      <c r="T357" s="139" t="e" cm="1">
        <f t="array" aca="1" ref="T357" ca="1">_xlfn.XLOOKUP(Contrato5[[#This Row],[CONTRATO]]&amp;Contrato5[[#This Row],[CDP]],[2]!Corr_Contr_CDP[[#All],[CONTRATO-CDP]],[2]!Corr_Contr_CDP[[#All],[CRP]],_xlfn.XLOOKUP(Contrato5[[#This Row],[CDP]],[2]!COMPROMISOS_2024[[#All],[disponibilidad]],[2]!COMPROMISOS_2024[[#All],[consecutivo]],"",0),0)</f>
        <v>#NAME?</v>
      </c>
      <c r="U357" s="140" t="e" cm="1">
        <f t="array" aca="1" ref="U357" ca="1">+_xlfn.XLOOKUP(Contrato5[[#This Row],[RCP]],[2]!COMPROMISOS_2024[[#All],[consecutivo]],[2]!COMPROMISOS_2024[[#All],[fecha_aprobacion]],"",0)</f>
        <v>#NAME?</v>
      </c>
      <c r="V357" s="141" t="e">
        <f ca="1">SUMIF([2]!COMPROMISOS_2024[[#All],[consecutivo]],Contrato5[[#This Row],[RCP]],[2]!COMPROMISOS_2024[[#All],[valor_total]])</f>
        <v>#REF!</v>
      </c>
      <c r="W357" s="415">
        <v>45572</v>
      </c>
      <c r="X357" s="415" t="s">
        <v>1045</v>
      </c>
      <c r="Y357" s="143">
        <v>45574</v>
      </c>
      <c r="Z357" s="262">
        <v>45643</v>
      </c>
      <c r="AA357" s="203"/>
      <c r="AB357" s="172" t="s">
        <v>2591</v>
      </c>
      <c r="AC357" s="127"/>
      <c r="AD357" s="211"/>
      <c r="AE357" s="147"/>
      <c r="AF357" s="148" t="str">
        <f>TEXT(LEFT(Contrato5[[#This Row],[CONTRATO]],3),"0")</f>
        <v>273</v>
      </c>
      <c r="AG357" s="148" t="str">
        <f>IF(LEN(Contrato5[[#This Row],[Contrato2]])=3,Contrato5[[#This Row],[Contrato2]],TEXT(Contrato5[[#This Row],[Contrato2]],"000"))</f>
        <v>273</v>
      </c>
      <c r="AH357" s="149">
        <f ca="1">IFERROR(_xlfn.DAYS(Contrato5[[#This Row],[Fecha Proyectada liquidación]],TODAY())/30,"")</f>
        <v>0.16666666666666666</v>
      </c>
      <c r="AI357" s="150">
        <f>+Contrato5[[#This Row],[FECHA TERMINACIÓN ]]+120</f>
        <v>45763</v>
      </c>
      <c r="AJ357" s="147"/>
      <c r="AK357" s="152" t="str">
        <f ca="1">IF(Contrato5[[#This Row],[FECHA TERMINACIÓN ]]&lt;TODAY(), "Terminado",IF(ISNUMBER(Contrato5[[#This Row],[Fecha Real de liquiidación ]]),"Liquidado",IF(Contrato5[[#This Row],[FECHA TERMINACIÓN ]]&gt;=TODAY(),"En ejecución","")))</f>
        <v>Terminado</v>
      </c>
      <c r="AL357" s="153" t="e">
        <f ca="1">SUMIF([2]!COMPROMISOS_2024[[#All],[consecutivo]],Contrato5[[#This Row],[RCP]],[2]!COMPROMISOS_2024[[#All],[Total pagado]])</f>
        <v>#REF!</v>
      </c>
      <c r="AM357" s="154">
        <f ca="1">IFERROR(Contrato5[[#This Row],[Pagos]]/Contrato5[[#This Row],[VALOR CONTRATO]],0)</f>
        <v>0</v>
      </c>
      <c r="AN357" s="198" t="e">
        <f ca="1">+Contrato5[[#This Row],[VALOR CONTRATO]]-Contrato5[[#This Row],[Pagos]]</f>
        <v>#REF!</v>
      </c>
      <c r="AO357" s="147" t="e" cm="1">
        <f t="array" aca="1" ref="AO357" ca="1">_xlfn.XLOOKUP(Contrato5[[#This Row],[DOCUMENTO ]],[2]!PERSONAL_ACTIVO_2024[[#All],[Documento identidad]],[2]!PERSONAL_ACTIVO_2024[[#All],[Mail ]],0,0)</f>
        <v>#NAME?</v>
      </c>
      <c r="AP357" s="147" t="e" cm="1">
        <f t="array" aca="1" ref="AP357" ca="1">_xlfn.XLOOKUP(Contrato5[[#This Row],[DOCUMENTO]],[2]!PERSONAL_ACTIVO_2024[[#All],[Documento identidad]],[2]!PERSONAL_ACTIVO_2024[[#All],[Mail ]],0,0)</f>
        <v>#NAME?</v>
      </c>
      <c r="AQ357" s="439" cm="1">
        <f t="array" aca="1" ref="AQ357" ca="1">IF(ISBLANK(Contrato5[[#This Row],[DEPENDENCIA ]]),0,IFERROR(_xlfn.XLOOKUP(Contrato5[[#This Row],[DEPENDENCIA ]],[2]!PERSONAL_ACTIVO_2024[[#All],[Dependencia]],[2]!PERSONAL_ACTIVO_2024[[#All],[Mail ]],0,0),0))</f>
        <v>0</v>
      </c>
    </row>
    <row r="358" spans="1:43" ht="34.5" customHeight="1">
      <c r="A358" s="125">
        <v>624</v>
      </c>
      <c r="B358" s="124">
        <v>274</v>
      </c>
      <c r="C358" s="162" t="s">
        <v>332</v>
      </c>
      <c r="D358" s="227" t="s">
        <v>515</v>
      </c>
      <c r="E358" s="128" t="s">
        <v>94</v>
      </c>
      <c r="F358" s="163" t="s">
        <v>1376</v>
      </c>
      <c r="G358" s="190" t="s">
        <v>1031</v>
      </c>
      <c r="H358" s="447">
        <v>1017164201</v>
      </c>
      <c r="I358" s="455">
        <v>4191468</v>
      </c>
      <c r="J358" s="456">
        <v>39340276</v>
      </c>
      <c r="K358" s="131" t="s">
        <v>919</v>
      </c>
      <c r="L358" s="438" t="s">
        <v>989</v>
      </c>
      <c r="M358" s="194" t="s">
        <v>549</v>
      </c>
      <c r="N358" s="177" t="e" cm="1">
        <f t="array" aca="1" ref="N358" ca="1">_xlfn.XLOOKUP(Contrato5[[#This Row],[SUPERVISOR TITULAR]],[2]!PERSONAL_ACTIVO_2024[[#All],[Nombre completo]],[2]!PERSONAL_ACTIVO_2024[[#All],[Documento identidad]],"",0)</f>
        <v>#NAME?</v>
      </c>
      <c r="O358" s="194" t="s">
        <v>550</v>
      </c>
      <c r="P358" s="196" t="e" cm="1">
        <f t="array" aca="1" ref="P358" ca="1">_xlfn.XLOOKUP(Contrato5[[#This Row],[SUPERVISOR SUPLENTE ]],[2]!PERSONAL_ACTIVO_2024[[#All],[Nombre completo]],[2]!PERSONAL_ACTIVO_2024[[#All],[Documento identidad]],"",0)</f>
        <v>#NAME?</v>
      </c>
      <c r="Q358" s="222">
        <v>335</v>
      </c>
      <c r="R358" s="137" t="e" cm="1">
        <f t="array" aca="1" ref="R358" ca="1">_xlfn.XLOOKUP(Contrato5[[#This Row],[CDP]],[2]!DISPONIBILIDADES_2024[[#All],[consecutivo]],[2]!DISPONIBILIDADES_2024[[#All],[fecha_aprobacion]],"",0)</f>
        <v>#NAME?</v>
      </c>
      <c r="S358" s="138" t="e">
        <f>SUMIF([2]!DISPONIBILIDADES_2024[[#All],[consecutivo]],Contrato5[[#This Row],[CDP]],[2]!DISPONIBILIDADES_2024[[#All],[valor_total_rubro]])</f>
        <v>#REF!</v>
      </c>
      <c r="T358" s="139" t="e" cm="1">
        <f t="array" aca="1" ref="T358" ca="1">_xlfn.XLOOKUP(Contrato5[[#This Row],[CONTRATO]]&amp;Contrato5[[#This Row],[CDP]],[2]!Corr_Contr_CDP[[#All],[CONTRATO-CDP]],[2]!Corr_Contr_CDP[[#All],[CRP]],_xlfn.XLOOKUP(Contrato5[[#This Row],[CDP]],[2]!COMPROMISOS_2024[[#All],[disponibilidad]],[2]!COMPROMISOS_2024[[#All],[consecutivo]],"",0),0)</f>
        <v>#NAME?</v>
      </c>
      <c r="U358" s="140" t="e" cm="1">
        <f t="array" aca="1" ref="U358" ca="1">+_xlfn.XLOOKUP(Contrato5[[#This Row],[RCP]],[2]!COMPROMISOS_2024[[#All],[consecutivo]],[2]!COMPROMISOS_2024[[#All],[fecha_aprobacion]],"",0)</f>
        <v>#NAME?</v>
      </c>
      <c r="V358" s="141" t="e">
        <f ca="1">SUMIF([2]!COMPROMISOS_2024[[#All],[consecutivo]],Contrato5[[#This Row],[RCP]],[2]!COMPROMISOS_2024[[#All],[valor_total]])</f>
        <v>#REF!</v>
      </c>
      <c r="W358" s="415">
        <v>45392</v>
      </c>
      <c r="X358" s="415">
        <v>45392</v>
      </c>
      <c r="Y358" s="143">
        <v>45393</v>
      </c>
      <c r="Z358" s="262">
        <v>45607</v>
      </c>
      <c r="AA358" s="171" t="s">
        <v>1032</v>
      </c>
      <c r="AB358" s="172" t="s">
        <v>618</v>
      </c>
      <c r="AC358" s="172"/>
      <c r="AD358" s="211">
        <v>202000004204</v>
      </c>
      <c r="AE358" s="147" t="s">
        <v>523</v>
      </c>
      <c r="AF358" s="148" t="str">
        <f>TEXT(LEFT(Contrato5[[#This Row],[CONTRATO]],3),"0")</f>
        <v>274</v>
      </c>
      <c r="AG358" s="148" t="str">
        <f>IF(LEN(Contrato5[[#This Row],[Contrato2]])=3,Contrato5[[#This Row],[Contrato2]],TEXT(Contrato5[[#This Row],[Contrato2]],"000"))</f>
        <v>274</v>
      </c>
      <c r="AH358" s="149">
        <f ca="1">IFERROR(_xlfn.DAYS(Contrato5[[#This Row],[Fecha Proyectada liquidación]],TODAY())/30,"")</f>
        <v>-1.0333333333333334</v>
      </c>
      <c r="AI358" s="150">
        <f>+Contrato5[[#This Row],[FECHA TERMINACIÓN ]]+120</f>
        <v>45727</v>
      </c>
      <c r="AJ358" s="147"/>
      <c r="AK358" s="152" t="str">
        <f ca="1">IF(Contrato5[[#This Row],[FECHA TERMINACIÓN ]]&lt;TODAY(), "Terminado",IF(ISNUMBER(Contrato5[[#This Row],[Fecha Real de liquiidación ]]),"Liquidado",IF(Contrato5[[#This Row],[FECHA TERMINACIÓN ]]&gt;=TODAY(),"En ejecución","")))</f>
        <v>Terminado</v>
      </c>
      <c r="AL358" s="153" t="e">
        <f ca="1">SUMIF([2]!COMPROMISOS_2024[[#All],[consecutivo]],Contrato5[[#This Row],[RCP]],[2]!COMPROMISOS_2024[[#All],[Total pagado]])</f>
        <v>#REF!</v>
      </c>
      <c r="AM358" s="154">
        <f ca="1">IFERROR(Contrato5[[#This Row],[Pagos]]/Contrato5[[#This Row],[VALOR CONTRATO]],0)</f>
        <v>0</v>
      </c>
      <c r="AN358" s="198" t="e">
        <f ca="1">+Contrato5[[#This Row],[VALOR CONTRATO]]-Contrato5[[#This Row],[Pagos]]</f>
        <v>#REF!</v>
      </c>
      <c r="AO358" s="147" t="e" cm="1">
        <f t="array" aca="1" ref="AO358" ca="1">_xlfn.XLOOKUP(Contrato5[[#This Row],[DOCUMENTO ]],[2]!PERSONAL_ACTIVO_2024[[#All],[Documento identidad]],[2]!PERSONAL_ACTIVO_2024[[#All],[Mail ]],0,0)</f>
        <v>#NAME?</v>
      </c>
      <c r="AP358" s="147" t="e" cm="1">
        <f t="array" aca="1" ref="AP358" ca="1">_xlfn.XLOOKUP(Contrato5[[#This Row],[DOCUMENTO]],[2]!PERSONAL_ACTIVO_2024[[#All],[Documento identidad]],[2]!PERSONAL_ACTIVO_2024[[#All],[Mail ]],0,0)</f>
        <v>#NAME?</v>
      </c>
      <c r="AQ358" s="439" cm="1">
        <f t="array" aca="1" ref="AQ358" ca="1">IF(ISBLANK(Contrato5[[#This Row],[DEPENDENCIA ]]),0,IFERROR(_xlfn.XLOOKUP(Contrato5[[#This Row],[DEPENDENCIA ]],[2]!PERSONAL_ACTIVO_2024[[#All],[Dependencia]],[2]!PERSONAL_ACTIVO_2024[[#All],[Mail ]],0,0),0))</f>
        <v>0</v>
      </c>
    </row>
    <row r="359" spans="1:43" ht="34.5" customHeight="1">
      <c r="A359" s="147">
        <v>1126</v>
      </c>
      <c r="B359" s="124">
        <v>274</v>
      </c>
      <c r="C359" s="162" t="s">
        <v>2340</v>
      </c>
      <c r="D359" s="227" t="s">
        <v>515</v>
      </c>
      <c r="E359" s="128" t="s">
        <v>2148</v>
      </c>
      <c r="F359" s="163" t="s">
        <v>1376</v>
      </c>
      <c r="G359" s="190" t="s">
        <v>1031</v>
      </c>
      <c r="H359" s="447">
        <v>1017164201</v>
      </c>
      <c r="I359" s="455">
        <v>4191468</v>
      </c>
      <c r="J359" s="456">
        <v>8985780</v>
      </c>
      <c r="K359" s="131" t="s">
        <v>2566</v>
      </c>
      <c r="L359" s="438" t="s">
        <v>2595</v>
      </c>
      <c r="M359" s="194" t="s">
        <v>549</v>
      </c>
      <c r="N359" s="177" t="e" cm="1">
        <f t="array" aca="1" ref="N359" ca="1">_xlfn.XLOOKUP(Contrato5[[#This Row],[SUPERVISOR TITULAR]],[2]!PERSONAL_ACTIVO_2024[[#All],[Nombre completo]],[2]!PERSONAL_ACTIVO_2024[[#All],[Documento identidad]],"",0)</f>
        <v>#NAME?</v>
      </c>
      <c r="O359" s="194" t="s">
        <v>550</v>
      </c>
      <c r="P359" s="196" t="e" cm="1">
        <f t="array" aca="1" ref="P359" ca="1">_xlfn.XLOOKUP(Contrato5[[#This Row],[SUPERVISOR SUPLENTE ]],[2]!PERSONAL_ACTIVO_2024[[#All],[Nombre completo]],[2]!PERSONAL_ACTIVO_2024[[#All],[Documento identidad]],"",0)</f>
        <v>#NAME?</v>
      </c>
      <c r="Q359" s="222">
        <v>925</v>
      </c>
      <c r="R359" s="137" t="e" cm="1">
        <f t="array" aca="1" ref="R359" ca="1">_xlfn.XLOOKUP(Contrato5[[#This Row],[CDP]],[2]!DISPONIBILIDADES_2024[[#All],[consecutivo]],[2]!DISPONIBILIDADES_2024[[#All],[fecha_aprobacion]],"",0)</f>
        <v>#NAME?</v>
      </c>
      <c r="S359" s="138" t="e">
        <f>SUMIF([2]!DISPONIBILIDADES_2024[[#All],[consecutivo]],Contrato5[[#This Row],[CDP]],[2]!DISPONIBILIDADES_2024[[#All],[valor_total_rubro]])</f>
        <v>#REF!</v>
      </c>
      <c r="T359" s="139" t="e" cm="1">
        <f t="array" aca="1" ref="T359" ca="1">_xlfn.XLOOKUP(Contrato5[[#This Row],[CONTRATO]]&amp;Contrato5[[#This Row],[CDP]],[2]!Corr_Contr_CDP[[#All],[CONTRATO-CDP]],[2]!Corr_Contr_CDP[[#All],[CRP]],_xlfn.XLOOKUP(Contrato5[[#This Row],[CDP]],[2]!COMPROMISOS_2024[[#All],[disponibilidad]],[2]!COMPROMISOS_2024[[#All],[consecutivo]],"",0),0)</f>
        <v>#NAME?</v>
      </c>
      <c r="U359" s="140" t="e" cm="1">
        <f t="array" aca="1" ref="U359" ca="1">+_xlfn.XLOOKUP(Contrato5[[#This Row],[RCP]],[2]!COMPROMISOS_2024[[#All],[consecutivo]],[2]!COMPROMISOS_2024[[#All],[fecha_aprobacion]],"",0)</f>
        <v>#NAME?</v>
      </c>
      <c r="V359" s="141" t="e">
        <f ca="1">SUMIF([2]!COMPROMISOS_2024[[#All],[consecutivo]],Contrato5[[#This Row],[RCP]],[2]!COMPROMISOS_2024[[#All],[valor_total]])</f>
        <v>#REF!</v>
      </c>
      <c r="W359" s="415">
        <v>45604</v>
      </c>
      <c r="X359" s="415">
        <v>45604</v>
      </c>
      <c r="Y359" s="143">
        <v>45608</v>
      </c>
      <c r="Z359" s="262">
        <v>45656</v>
      </c>
      <c r="AA359" s="171"/>
      <c r="AB359" s="172" t="s">
        <v>2596</v>
      </c>
      <c r="AC359" s="127"/>
      <c r="AD359" s="211"/>
      <c r="AE359" s="147"/>
      <c r="AF359" s="148" t="str">
        <f>TEXT(LEFT(Contrato5[[#This Row],[CONTRATO]],3),"0")</f>
        <v>274</v>
      </c>
      <c r="AG359" s="148" t="str">
        <f>IF(LEN(Contrato5[[#This Row],[Contrato2]])=3,Contrato5[[#This Row],[Contrato2]],TEXT(Contrato5[[#This Row],[Contrato2]],"000"))</f>
        <v>274</v>
      </c>
      <c r="AH359" s="149">
        <f ca="1">IFERROR(_xlfn.DAYS(Contrato5[[#This Row],[Fecha Proyectada liquidación]],TODAY())/30,"")</f>
        <v>0.6</v>
      </c>
      <c r="AI359" s="150">
        <f>+Contrato5[[#This Row],[FECHA TERMINACIÓN ]]+120</f>
        <v>45776</v>
      </c>
      <c r="AJ359" s="147"/>
      <c r="AK359" s="152" t="str">
        <f ca="1">IF(Contrato5[[#This Row],[FECHA TERMINACIÓN ]]&lt;TODAY(), "Terminado",IF(ISNUMBER(Contrato5[[#This Row],[Fecha Real de liquiidación ]]),"Liquidado",IF(Contrato5[[#This Row],[FECHA TERMINACIÓN ]]&gt;=TODAY(),"En ejecución","")))</f>
        <v>Terminado</v>
      </c>
      <c r="AL359" s="153" t="e">
        <f ca="1">SUMIF([2]!COMPROMISOS_2024[[#All],[consecutivo]],Contrato5[[#This Row],[RCP]],[2]!COMPROMISOS_2024[[#All],[Total pagado]])</f>
        <v>#REF!</v>
      </c>
      <c r="AM359" s="154">
        <f ca="1">IFERROR(Contrato5[[#This Row],[Pagos]]/Contrato5[[#This Row],[VALOR CONTRATO]],0)</f>
        <v>0</v>
      </c>
      <c r="AN359" s="198" t="e">
        <f ca="1">+Contrato5[[#This Row],[VALOR CONTRATO]]-Contrato5[[#This Row],[Pagos]]</f>
        <v>#REF!</v>
      </c>
      <c r="AO359" s="147" t="e" cm="1">
        <f t="array" aca="1" ref="AO359" ca="1">_xlfn.XLOOKUP(Contrato5[[#This Row],[DOCUMENTO ]],[2]!PERSONAL_ACTIVO_2024[[#All],[Documento identidad]],[2]!PERSONAL_ACTIVO_2024[[#All],[Mail ]],0,0)</f>
        <v>#NAME?</v>
      </c>
      <c r="AP359" s="147" t="e" cm="1">
        <f t="array" aca="1" ref="AP359" ca="1">_xlfn.XLOOKUP(Contrato5[[#This Row],[DOCUMENTO]],[2]!PERSONAL_ACTIVO_2024[[#All],[Documento identidad]],[2]!PERSONAL_ACTIVO_2024[[#All],[Mail ]],0,0)</f>
        <v>#NAME?</v>
      </c>
      <c r="AQ359" s="439" cm="1">
        <f t="array" aca="1" ref="AQ359" ca="1">IF(ISBLANK(Contrato5[[#This Row],[DEPENDENCIA ]]),0,IFERROR(_xlfn.XLOOKUP(Contrato5[[#This Row],[DEPENDENCIA ]],[2]!PERSONAL_ACTIVO_2024[[#All],[Dependencia]],[2]!PERSONAL_ACTIVO_2024[[#All],[Mail ]],0,0),0))</f>
        <v>0</v>
      </c>
    </row>
    <row r="360" spans="1:43" ht="34.5" customHeight="1">
      <c r="A360" s="125">
        <v>578</v>
      </c>
      <c r="B360" s="124">
        <v>275</v>
      </c>
      <c r="C360" s="162" t="s">
        <v>407</v>
      </c>
      <c r="D360" s="227" t="s">
        <v>515</v>
      </c>
      <c r="E360" s="128" t="s">
        <v>94</v>
      </c>
      <c r="F360" s="163" t="s">
        <v>1376</v>
      </c>
      <c r="G360" s="190" t="s">
        <v>1033</v>
      </c>
      <c r="H360" s="447">
        <v>70166500</v>
      </c>
      <c r="I360" s="455">
        <v>6879081</v>
      </c>
      <c r="J360" s="456">
        <v>60153567</v>
      </c>
      <c r="K360" s="131" t="s">
        <v>889</v>
      </c>
      <c r="L360" s="438" t="s">
        <v>989</v>
      </c>
      <c r="M360" s="194" t="s">
        <v>519</v>
      </c>
      <c r="N360" s="177" t="e" cm="1">
        <f t="array" aca="1" ref="N360" ca="1">_xlfn.XLOOKUP(Contrato5[[#This Row],[SUPERVISOR TITULAR]],[2]!PERSONAL_ACTIVO_2024[[#All],[Nombre completo]],[2]!PERSONAL_ACTIVO_2024[[#All],[Documento identidad]],"",0)</f>
        <v>#NAME?</v>
      </c>
      <c r="O360" s="194" t="s">
        <v>910</v>
      </c>
      <c r="P360" s="196" t="e" cm="1">
        <f t="array" aca="1" ref="P360" ca="1">_xlfn.XLOOKUP(Contrato5[[#This Row],[SUPERVISOR SUPLENTE ]],[2]!PERSONAL_ACTIVO_2024[[#All],[Nombre completo]],[2]!PERSONAL_ACTIVO_2024[[#All],[Documento identidad]],"",0)</f>
        <v>#NAME?</v>
      </c>
      <c r="Q360" s="222">
        <v>371</v>
      </c>
      <c r="R360" s="137" t="e" cm="1">
        <f t="array" aca="1" ref="R360" ca="1">_xlfn.XLOOKUP(Contrato5[[#This Row],[CDP]],[2]!DISPONIBILIDADES_2024[[#All],[consecutivo]],[2]!DISPONIBILIDADES_2024[[#All],[fecha_aprobacion]],"",0)</f>
        <v>#NAME?</v>
      </c>
      <c r="S360" s="138" t="e">
        <f>SUMIF([2]!DISPONIBILIDADES_2024[[#All],[consecutivo]],Contrato5[[#This Row],[CDP]],[2]!DISPONIBILIDADES_2024[[#All],[valor_total_rubro]])</f>
        <v>#REF!</v>
      </c>
      <c r="T360" s="139" t="e" cm="1">
        <f t="array" aca="1" ref="T360" ca="1">_xlfn.XLOOKUP(Contrato5[[#This Row],[CONTRATO]]&amp;Contrato5[[#This Row],[CDP]],[2]!Corr_Contr_CDP[[#All],[CONTRATO-CDP]],[2]!Corr_Contr_CDP[[#All],[CRP]],_xlfn.XLOOKUP(Contrato5[[#This Row],[CDP]],[2]!COMPROMISOS_2024[[#All],[disponibilidad]],[2]!COMPROMISOS_2024[[#All],[consecutivo]],"",0),0)</f>
        <v>#NAME?</v>
      </c>
      <c r="U360" s="140" t="e" cm="1">
        <f t="array" aca="1" ref="U360" ca="1">+_xlfn.XLOOKUP(Contrato5[[#This Row],[RCP]],[2]!COMPROMISOS_2024[[#All],[consecutivo]],[2]!COMPROMISOS_2024[[#All],[fecha_aprobacion]],"",0)</f>
        <v>#NAME?</v>
      </c>
      <c r="V360" s="141" t="e">
        <f ca="1">SUMIF([2]!COMPROMISOS_2024[[#All],[consecutivo]],Contrato5[[#This Row],[RCP]],[2]!COMPROMISOS_2024[[#All],[valor_total]])</f>
        <v>#REF!</v>
      </c>
      <c r="W360" s="415">
        <v>45391</v>
      </c>
      <c r="X360" s="415">
        <v>45392</v>
      </c>
      <c r="Y360" s="143">
        <v>45392</v>
      </c>
      <c r="Z360" s="262">
        <v>45605</v>
      </c>
      <c r="AA360" s="171" t="s">
        <v>1034</v>
      </c>
      <c r="AB360" s="172" t="s">
        <v>618</v>
      </c>
      <c r="AC360" s="172"/>
      <c r="AD360" s="211">
        <v>202000004205</v>
      </c>
      <c r="AE360" s="147" t="s">
        <v>523</v>
      </c>
      <c r="AF360" s="148" t="str">
        <f>TEXT(LEFT(Contrato5[[#This Row],[CONTRATO]],3),"0")</f>
        <v>275</v>
      </c>
      <c r="AG360" s="148" t="str">
        <f>IF(LEN(Contrato5[[#This Row],[Contrato2]])=3,Contrato5[[#This Row],[Contrato2]],TEXT(Contrato5[[#This Row],[Contrato2]],"000"))</f>
        <v>275</v>
      </c>
      <c r="AH360" s="149">
        <f ca="1">IFERROR(_xlfn.DAYS(Contrato5[[#This Row],[Fecha Proyectada liquidación]],TODAY())/30,"")</f>
        <v>-1.1000000000000001</v>
      </c>
      <c r="AI360" s="150">
        <f>+Contrato5[[#This Row],[FECHA TERMINACIÓN ]]+120</f>
        <v>45725</v>
      </c>
      <c r="AJ360" s="147"/>
      <c r="AK360" s="152" t="str">
        <f ca="1">IF(Contrato5[[#This Row],[FECHA TERMINACIÓN ]]&lt;TODAY(), "Terminado",IF(ISNUMBER(Contrato5[[#This Row],[Fecha Real de liquiidación ]]),"Liquidado",IF(Contrato5[[#This Row],[FECHA TERMINACIÓN ]]&gt;=TODAY(),"En ejecución","")))</f>
        <v>Terminado</v>
      </c>
      <c r="AL360" s="153" t="e">
        <f ca="1">SUMIF([2]!COMPROMISOS_2024[[#All],[consecutivo]],Contrato5[[#This Row],[RCP]],[2]!COMPROMISOS_2024[[#All],[Total pagado]])</f>
        <v>#REF!</v>
      </c>
      <c r="AM360" s="154">
        <f ca="1">IFERROR(Contrato5[[#This Row],[Pagos]]/Contrato5[[#This Row],[VALOR CONTRATO]],0)</f>
        <v>0</v>
      </c>
      <c r="AN360" s="198" t="e">
        <f ca="1">+Contrato5[[#This Row],[VALOR CONTRATO]]-Contrato5[[#This Row],[Pagos]]</f>
        <v>#REF!</v>
      </c>
      <c r="AO360" s="147" t="e" cm="1">
        <f t="array" aca="1" ref="AO360" ca="1">_xlfn.XLOOKUP(Contrato5[[#This Row],[DOCUMENTO ]],[2]!PERSONAL_ACTIVO_2024[[#All],[Documento identidad]],[2]!PERSONAL_ACTIVO_2024[[#All],[Mail ]],0,0)</f>
        <v>#NAME?</v>
      </c>
      <c r="AP360" s="147" t="e" cm="1">
        <f t="array" aca="1" ref="AP360" ca="1">_xlfn.XLOOKUP(Contrato5[[#This Row],[DOCUMENTO]],[2]!PERSONAL_ACTIVO_2024[[#All],[Documento identidad]],[2]!PERSONAL_ACTIVO_2024[[#All],[Mail ]],0,0)</f>
        <v>#NAME?</v>
      </c>
      <c r="AQ360" s="439" cm="1">
        <f t="array" aca="1" ref="AQ360" ca="1">IF(ISBLANK(Contrato5[[#This Row],[DEPENDENCIA ]]),0,IFERROR(_xlfn.XLOOKUP(Contrato5[[#This Row],[DEPENDENCIA ]],[2]!PERSONAL_ACTIVO_2024[[#All],[Dependencia]],[2]!PERSONAL_ACTIVO_2024[[#All],[Mail ]],0,0),0))</f>
        <v>0</v>
      </c>
    </row>
    <row r="361" spans="1:43" ht="34.5" customHeight="1">
      <c r="A361" s="147">
        <v>1142</v>
      </c>
      <c r="B361" s="124">
        <v>275</v>
      </c>
      <c r="C361" s="162" t="s">
        <v>2405</v>
      </c>
      <c r="D361" s="227" t="s">
        <v>515</v>
      </c>
      <c r="E361" s="128" t="s">
        <v>78</v>
      </c>
      <c r="F361" s="163" t="s">
        <v>1376</v>
      </c>
      <c r="G361" s="190" t="s">
        <v>1033</v>
      </c>
      <c r="H361" s="447">
        <v>70166500</v>
      </c>
      <c r="I361" s="455">
        <v>6879081</v>
      </c>
      <c r="J361" s="437">
        <v>16694438</v>
      </c>
      <c r="K361" s="131" t="s">
        <v>2569</v>
      </c>
      <c r="L361" s="438" t="s">
        <v>2564</v>
      </c>
      <c r="M361" s="194" t="s">
        <v>519</v>
      </c>
      <c r="N361" s="195" t="e" cm="1">
        <f t="array" aca="1" ref="N361" ca="1">_xlfn.XLOOKUP(Contrato5[[#This Row],[SUPERVISOR TITULAR]],[2]!PERSONAL_ACTIVO_2024[[#All],[Nombre completo]],[2]!PERSONAL_ACTIVO_2024[[#All],[Documento identidad]],"",0)</f>
        <v>#NAME?</v>
      </c>
      <c r="O361" s="194" t="s">
        <v>910</v>
      </c>
      <c r="P361" s="135" t="e" cm="1">
        <f t="array" aca="1" ref="P361" ca="1">_xlfn.XLOOKUP(Contrato5[[#This Row],[SUPERVISOR SUPLENTE ]],[2]!PERSONAL_ACTIVO_2024[[#All],[Nombre completo]],[2]!PERSONAL_ACTIVO_2024[[#All],[Documento identidad]],"",0)</f>
        <v>#NAME?</v>
      </c>
      <c r="Q361" s="222">
        <v>941</v>
      </c>
      <c r="R361" s="137" t="e" cm="1">
        <f t="array" aca="1" ref="R361" ca="1">_xlfn.XLOOKUP(Contrato5[[#This Row],[CDP]],[2]!DISPONIBILIDADES_2024[[#All],[consecutivo]],[2]!DISPONIBILIDADES_2024[[#All],[fecha_aprobacion]],"",0)</f>
        <v>#NAME?</v>
      </c>
      <c r="S361" s="138" t="e">
        <f>SUMIF([2]!DISPONIBILIDADES_2024[[#All],[consecutivo]],Contrato5[[#This Row],[CDP]],[2]!DISPONIBILIDADES_2024[[#All],[valor_total_rubro]])</f>
        <v>#REF!</v>
      </c>
      <c r="T361" s="139" t="e" cm="1">
        <f t="array" aca="1" ref="T361" ca="1">_xlfn.XLOOKUP(Contrato5[[#This Row],[CONTRATO]]&amp;Contrato5[[#This Row],[CDP]],[2]!Corr_Contr_CDP[[#All],[CONTRATO-CDP]],[2]!Corr_Contr_CDP[[#All],[CRP]],_xlfn.XLOOKUP(Contrato5[[#This Row],[CDP]],[2]!COMPROMISOS_2024[[#All],[disponibilidad]],[2]!COMPROMISOS_2024[[#All],[consecutivo]],"",0),0)</f>
        <v>#NAME?</v>
      </c>
      <c r="U361" s="140" t="e" cm="1">
        <f t="array" aca="1" ref="U361" ca="1">+_xlfn.XLOOKUP(Contrato5[[#This Row],[RCP]],[2]!COMPROMISOS_2024[[#All],[consecutivo]],[2]!COMPROMISOS_2024[[#All],[fecha_aprobacion]],"",0)</f>
        <v>#NAME?</v>
      </c>
      <c r="V361" s="141" t="e">
        <f ca="1">SUMIF([2]!COMPROMISOS_2024[[#All],[consecutivo]],Contrato5[[#This Row],[RCP]],[2]!COMPROMISOS_2024[[#All],[valor_total]])</f>
        <v>#REF!</v>
      </c>
      <c r="W361" s="415">
        <v>45604</v>
      </c>
      <c r="X361" s="415">
        <v>45604</v>
      </c>
      <c r="Y361" s="143">
        <v>45606</v>
      </c>
      <c r="Z361" s="262">
        <v>45656</v>
      </c>
      <c r="AA361" s="203"/>
      <c r="AB361" s="172" t="s">
        <v>2597</v>
      </c>
      <c r="AC361" s="127"/>
      <c r="AD361" s="211"/>
      <c r="AE361" s="147"/>
      <c r="AF361" s="148" t="str">
        <f>TEXT(LEFT(Contrato5[[#This Row],[CONTRATO]],3),"0")</f>
        <v>275</v>
      </c>
      <c r="AG361" s="148" t="str">
        <f>IF(LEN(Contrato5[[#This Row],[Contrato2]])=3,Contrato5[[#This Row],[Contrato2]],TEXT(Contrato5[[#This Row],[Contrato2]],"000"))</f>
        <v>275</v>
      </c>
      <c r="AH361" s="149">
        <f ca="1">IFERROR(_xlfn.DAYS(Contrato5[[#This Row],[Fecha Proyectada liquidación]],TODAY())/30,"")</f>
        <v>0.6</v>
      </c>
      <c r="AI361" s="150">
        <f>+Contrato5[[#This Row],[FECHA TERMINACIÓN ]]+120</f>
        <v>45776</v>
      </c>
      <c r="AJ361" s="147"/>
      <c r="AK361" s="152" t="str">
        <f ca="1">IF(Contrato5[[#This Row],[FECHA TERMINACIÓN ]]&lt;TODAY(), "Terminado",IF(ISNUMBER(Contrato5[[#This Row],[Fecha Real de liquiidación ]]),"Liquidado",IF(Contrato5[[#This Row],[FECHA TERMINACIÓN ]]&gt;=TODAY(),"En ejecución","")))</f>
        <v>Terminado</v>
      </c>
      <c r="AL361" s="153" t="e">
        <f ca="1">SUMIF([2]!COMPROMISOS_2024[[#All],[consecutivo]],Contrato5[[#This Row],[RCP]],[2]!COMPROMISOS_2024[[#All],[Total pagado]])</f>
        <v>#REF!</v>
      </c>
      <c r="AM361" s="154">
        <f ca="1">IFERROR(Contrato5[[#This Row],[Pagos]]/Contrato5[[#This Row],[VALOR CONTRATO]],0)</f>
        <v>0</v>
      </c>
      <c r="AN361" s="198" t="e">
        <f ca="1">+Contrato5[[#This Row],[VALOR CONTRATO]]-Contrato5[[#This Row],[Pagos]]</f>
        <v>#REF!</v>
      </c>
      <c r="AO361" s="147" t="e" cm="1">
        <f t="array" aca="1" ref="AO361" ca="1">_xlfn.XLOOKUP(Contrato5[[#This Row],[DOCUMENTO ]],[2]!PERSONAL_ACTIVO_2024[[#All],[Documento identidad]],[2]!PERSONAL_ACTIVO_2024[[#All],[Mail ]],0,0)</f>
        <v>#NAME?</v>
      </c>
      <c r="AP361" s="147" t="e" cm="1">
        <f t="array" aca="1" ref="AP361" ca="1">_xlfn.XLOOKUP(Contrato5[[#This Row],[DOCUMENTO]],[2]!PERSONAL_ACTIVO_2024[[#All],[Documento identidad]],[2]!PERSONAL_ACTIVO_2024[[#All],[Mail ]],0,0)</f>
        <v>#NAME?</v>
      </c>
      <c r="AQ361" s="439" cm="1">
        <f t="array" aca="1" ref="AQ361" ca="1">IF(ISBLANK(Contrato5[[#This Row],[DEPENDENCIA ]]),0,IFERROR(_xlfn.XLOOKUP(Contrato5[[#This Row],[DEPENDENCIA ]],[2]!PERSONAL_ACTIVO_2024[[#All],[Dependencia]],[2]!PERSONAL_ACTIVO_2024[[#All],[Mail ]],0,0),0))</f>
        <v>0</v>
      </c>
    </row>
    <row r="362" spans="1:43" ht="34.5" customHeight="1">
      <c r="A362" s="125">
        <v>40</v>
      </c>
      <c r="B362" s="124">
        <v>276</v>
      </c>
      <c r="C362" s="162" t="s">
        <v>1451</v>
      </c>
      <c r="D362" s="227" t="s">
        <v>623</v>
      </c>
      <c r="E362" s="128" t="s">
        <v>94</v>
      </c>
      <c r="F362" s="163" t="s">
        <v>161</v>
      </c>
      <c r="G362" s="281" t="s">
        <v>2598</v>
      </c>
      <c r="H362" s="447">
        <v>890937233</v>
      </c>
      <c r="I362" s="455" t="s">
        <v>42</v>
      </c>
      <c r="J362" s="456">
        <v>93253160</v>
      </c>
      <c r="K362" s="131" t="s">
        <v>42</v>
      </c>
      <c r="L362" s="438" t="s">
        <v>989</v>
      </c>
      <c r="M362" s="194" t="s">
        <v>1035</v>
      </c>
      <c r="N362" s="177" t="e" cm="1">
        <f t="array" aca="1" ref="N362" ca="1">_xlfn.XLOOKUP(Contrato5[[#This Row],[SUPERVISOR TITULAR]],[2]!PERSONAL_ACTIVO_2024[[#All],[Nombre completo]],[2]!PERSONAL_ACTIVO_2024[[#All],[Documento identidad]],"",0)</f>
        <v>#NAME?</v>
      </c>
      <c r="O362" s="194" t="s">
        <v>626</v>
      </c>
      <c r="P362" s="196" t="e" cm="1">
        <f t="array" aca="1" ref="P362" ca="1">_xlfn.XLOOKUP(Contrato5[[#This Row],[SUPERVISOR SUPLENTE ]],[2]!PERSONAL_ACTIVO_2024[[#All],[Nombre completo]],[2]!PERSONAL_ACTIVO_2024[[#All],[Documento identidad]],"",0)</f>
        <v>#NAME?</v>
      </c>
      <c r="Q362" s="208">
        <v>373</v>
      </c>
      <c r="R362" s="137" t="e" cm="1">
        <f t="array" aca="1" ref="R362" ca="1">_xlfn.XLOOKUP(Contrato5[[#This Row],[CDP]],[2]!DISPONIBILIDADES_2024[[#All],[consecutivo]],[2]!DISPONIBILIDADES_2024[[#All],[fecha_aprobacion]],"",0)</f>
        <v>#NAME?</v>
      </c>
      <c r="S362" s="138" t="e">
        <f>SUMIF([2]!DISPONIBILIDADES_2024[[#All],[consecutivo]],Contrato5[[#This Row],[CDP]],[2]!DISPONIBILIDADES_2024[[#All],[valor_total_rubro]])</f>
        <v>#REF!</v>
      </c>
      <c r="T362" s="139" t="e" cm="1">
        <f t="array" aca="1" ref="T362" ca="1">_xlfn.XLOOKUP(Contrato5[[#This Row],[CONTRATO]]&amp;Contrato5[[#This Row],[CDP]],[2]!Corr_Contr_CDP[[#All],[CONTRATO-CDP]],[2]!Corr_Contr_CDP[[#All],[CRP]],_xlfn.XLOOKUP(Contrato5[[#This Row],[CDP]],[2]!COMPROMISOS_2024[[#All],[disponibilidad]],[2]!COMPROMISOS_2024[[#All],[consecutivo]],"",0),0)</f>
        <v>#NAME?</v>
      </c>
      <c r="U362" s="140" t="e" cm="1">
        <f t="array" aca="1" ref="U362" ca="1">+_xlfn.XLOOKUP(Contrato5[[#This Row],[RCP]],[2]!COMPROMISOS_2024[[#All],[consecutivo]],[2]!COMPROMISOS_2024[[#All],[fecha_aprobacion]],"",0)</f>
        <v>#NAME?</v>
      </c>
      <c r="V362" s="141" t="e">
        <f ca="1">SUMIF([2]!COMPROMISOS_2024[[#All],[consecutivo]],Contrato5[[#This Row],[RCP]],[2]!COMPROMISOS_2024[[#All],[valor_total]])</f>
        <v>#REF!</v>
      </c>
      <c r="W362" s="415">
        <v>45393</v>
      </c>
      <c r="X362" s="415">
        <v>45404</v>
      </c>
      <c r="Y362" s="143">
        <v>45404</v>
      </c>
      <c r="Z362" s="262">
        <v>45656</v>
      </c>
      <c r="AA362" s="171" t="s">
        <v>1036</v>
      </c>
      <c r="AB362" s="172" t="s">
        <v>1037</v>
      </c>
      <c r="AC362" s="172"/>
      <c r="AD362" s="211">
        <v>202000004206</v>
      </c>
      <c r="AE362" s="147" t="s">
        <v>523</v>
      </c>
      <c r="AF362" s="148" t="str">
        <f>TEXT(LEFT(Contrato5[[#This Row],[CONTRATO]],3),"0")</f>
        <v>276</v>
      </c>
      <c r="AG362" s="148" t="str">
        <f>IF(LEN(Contrato5[[#This Row],[Contrato2]])=3,Contrato5[[#This Row],[Contrato2]],TEXT(Contrato5[[#This Row],[Contrato2]],"000"))</f>
        <v>276</v>
      </c>
      <c r="AH362" s="149">
        <f ca="1">IFERROR(_xlfn.DAYS(Contrato5[[#This Row],[Fecha Proyectada liquidación]],TODAY())/30,"")</f>
        <v>0.6</v>
      </c>
      <c r="AI362" s="150">
        <f>+Contrato5[[#This Row],[FECHA TERMINACIÓN ]]+120</f>
        <v>45776</v>
      </c>
      <c r="AJ362" s="147"/>
      <c r="AK362" s="152" t="str">
        <f ca="1">IF(Contrato5[[#This Row],[FECHA TERMINACIÓN ]]&lt;TODAY(), "Terminado",IF(ISNUMBER(Contrato5[[#This Row],[Fecha Real de liquiidación ]]),"Liquidado",IF(Contrato5[[#This Row],[FECHA TERMINACIÓN ]]&gt;=TODAY(),"En ejecución","")))</f>
        <v>Terminado</v>
      </c>
      <c r="AL362" s="153" t="e">
        <f ca="1">SUMIF([2]!COMPROMISOS_2024[[#All],[consecutivo]],Contrato5[[#This Row],[RCP]],[2]!COMPROMISOS_2024[[#All],[Total pagado]])</f>
        <v>#REF!</v>
      </c>
      <c r="AM362" s="154">
        <f ca="1">IFERROR(Contrato5[[#This Row],[Pagos]]/Contrato5[[#This Row],[VALOR CONTRATO]],0)</f>
        <v>0</v>
      </c>
      <c r="AN362" s="198" t="e">
        <f ca="1">+Contrato5[[#This Row],[VALOR CONTRATO]]-Contrato5[[#This Row],[Pagos]]</f>
        <v>#REF!</v>
      </c>
      <c r="AO362" s="147" t="e" cm="1">
        <f t="array" aca="1" ref="AO362" ca="1">_xlfn.XLOOKUP(Contrato5[[#This Row],[DOCUMENTO ]],[2]!PERSONAL_ACTIVO_2024[[#All],[Documento identidad]],[2]!PERSONAL_ACTIVO_2024[[#All],[Mail ]],0,0)</f>
        <v>#NAME?</v>
      </c>
      <c r="AP362" s="147" t="e" cm="1">
        <f t="array" aca="1" ref="AP362" ca="1">_xlfn.XLOOKUP(Contrato5[[#This Row],[DOCUMENTO]],[2]!PERSONAL_ACTIVO_2024[[#All],[Documento identidad]],[2]!PERSONAL_ACTIVO_2024[[#All],[Mail ]],0,0)</f>
        <v>#NAME?</v>
      </c>
      <c r="AQ362" s="439" cm="1">
        <f t="array" aca="1" ref="AQ362" ca="1">IF(ISBLANK(Contrato5[[#This Row],[DEPENDENCIA ]]),0,IFERROR(_xlfn.XLOOKUP(Contrato5[[#This Row],[DEPENDENCIA ]],[2]!PERSONAL_ACTIVO_2024[[#All],[Dependencia]],[2]!PERSONAL_ACTIVO_2024[[#All],[Mail ]],0,0),0))</f>
        <v>0</v>
      </c>
    </row>
    <row r="363" spans="1:43" ht="34.5" customHeight="1">
      <c r="A363" s="125">
        <v>628</v>
      </c>
      <c r="B363" s="124">
        <v>277</v>
      </c>
      <c r="C363" s="162" t="s">
        <v>1538</v>
      </c>
      <c r="D363" s="227" t="s">
        <v>602</v>
      </c>
      <c r="E363" s="128" t="s">
        <v>94</v>
      </c>
      <c r="F363" s="163" t="s">
        <v>1376</v>
      </c>
      <c r="G363" s="190" t="s">
        <v>1038</v>
      </c>
      <c r="H363" s="447">
        <v>79456026</v>
      </c>
      <c r="I363" s="455">
        <v>9346824</v>
      </c>
      <c r="J363" s="456">
        <v>46734120</v>
      </c>
      <c r="K363" s="147" t="s">
        <v>42</v>
      </c>
      <c r="L363" s="438" t="s">
        <v>989</v>
      </c>
      <c r="M363" s="194" t="s">
        <v>605</v>
      </c>
      <c r="N363" s="177" t="e" cm="1">
        <f t="array" aca="1" ref="N363" ca="1">_xlfn.XLOOKUP(Contrato5[[#This Row],[SUPERVISOR TITULAR]],[2]!PERSONAL_ACTIVO_2024[[#All],[Nombre completo]],[2]!PERSONAL_ACTIVO_2024[[#All],[Documento identidad]],"",0)</f>
        <v>#NAME?</v>
      </c>
      <c r="O363" s="194" t="s">
        <v>1039</v>
      </c>
      <c r="P363" s="196" t="e" cm="1">
        <f t="array" aca="1" ref="P363" ca="1">_xlfn.XLOOKUP(Contrato5[[#This Row],[SUPERVISOR SUPLENTE ]],[2]!PERSONAL_ACTIVO_2024[[#All],[Nombre completo]],[2]!PERSONAL_ACTIVO_2024[[#All],[Documento identidad]],"",0)</f>
        <v>#NAME?</v>
      </c>
      <c r="Q363" s="208">
        <v>365</v>
      </c>
      <c r="R363" s="137" t="e" cm="1">
        <f t="array" aca="1" ref="R363" ca="1">_xlfn.XLOOKUP(Contrato5[[#This Row],[CDP]],[2]!DISPONIBILIDADES_2024[[#All],[consecutivo]],[2]!DISPONIBILIDADES_2024[[#All],[fecha_aprobacion]],"",0)</f>
        <v>#NAME?</v>
      </c>
      <c r="S363" s="138" t="e">
        <f>SUMIF([2]!DISPONIBILIDADES_2024[[#All],[consecutivo]],Contrato5[[#This Row],[CDP]],[2]!DISPONIBILIDADES_2024[[#All],[valor_total_rubro]])</f>
        <v>#REF!</v>
      </c>
      <c r="T363" s="139" t="e" cm="1">
        <f t="array" aca="1" ref="T363" ca="1">_xlfn.XLOOKUP(Contrato5[[#This Row],[CONTRATO]]&amp;Contrato5[[#This Row],[CDP]],[2]!Corr_Contr_CDP[[#All],[CONTRATO-CDP]],[2]!Corr_Contr_CDP[[#All],[CRP]],_xlfn.XLOOKUP(Contrato5[[#This Row],[CDP]],[2]!COMPROMISOS_2024[[#All],[disponibilidad]],[2]!COMPROMISOS_2024[[#All],[consecutivo]],"",0),0)</f>
        <v>#NAME?</v>
      </c>
      <c r="U363" s="140" t="e" cm="1">
        <f t="array" aca="1" ref="U363" ca="1">+_xlfn.XLOOKUP(Contrato5[[#This Row],[RCP]],[2]!COMPROMISOS_2024[[#All],[consecutivo]],[2]!COMPROMISOS_2024[[#All],[fecha_aprobacion]],"",0)</f>
        <v>#NAME?</v>
      </c>
      <c r="V363" s="141" t="e">
        <f ca="1">SUMIF([2]!COMPROMISOS_2024[[#All],[consecutivo]],Contrato5[[#This Row],[RCP]],[2]!COMPROMISOS_2024[[#All],[valor_total]])</f>
        <v>#REF!</v>
      </c>
      <c r="W363" s="415">
        <v>45390</v>
      </c>
      <c r="X363" s="415">
        <v>45390</v>
      </c>
      <c r="Y363" s="143">
        <v>45391</v>
      </c>
      <c r="Z363" s="262">
        <v>45543</v>
      </c>
      <c r="AA363" s="171" t="s">
        <v>1040</v>
      </c>
      <c r="AB363" s="227" t="s">
        <v>1041</v>
      </c>
      <c r="AC363" s="172"/>
      <c r="AD363" s="211">
        <v>202000004207</v>
      </c>
      <c r="AE363" s="147" t="s">
        <v>523</v>
      </c>
      <c r="AF363" s="148" t="str">
        <f>TEXT(LEFT(Contrato5[[#This Row],[CONTRATO]],3),"0")</f>
        <v>277</v>
      </c>
      <c r="AG363" s="148" t="str">
        <f>IF(LEN(Contrato5[[#This Row],[Contrato2]])=3,Contrato5[[#This Row],[Contrato2]],TEXT(Contrato5[[#This Row],[Contrato2]],"000"))</f>
        <v>277</v>
      </c>
      <c r="AH363" s="149">
        <f ca="1">IFERROR(_xlfn.DAYS(Contrato5[[#This Row],[Fecha Proyectada liquidación]],TODAY())/30,"")</f>
        <v>-3.1666666666666665</v>
      </c>
      <c r="AI363" s="150">
        <f>+Contrato5[[#This Row],[FECHA TERMINACIÓN ]]+120</f>
        <v>45663</v>
      </c>
      <c r="AJ363" s="147"/>
      <c r="AK363" s="152" t="str">
        <f ca="1">IF(Contrato5[[#This Row],[FECHA TERMINACIÓN ]]&lt;TODAY(), "Terminado",IF(ISNUMBER(Contrato5[[#This Row],[Fecha Real de liquiidación ]]),"Liquidado",IF(Contrato5[[#This Row],[FECHA TERMINACIÓN ]]&gt;=TODAY(),"En ejecución","")))</f>
        <v>Terminado</v>
      </c>
      <c r="AL363" s="153" t="e">
        <f ca="1">SUMIF([2]!COMPROMISOS_2024[[#All],[consecutivo]],Contrato5[[#This Row],[RCP]],[2]!COMPROMISOS_2024[[#All],[Total pagado]])</f>
        <v>#REF!</v>
      </c>
      <c r="AM363" s="154">
        <f ca="1">IFERROR(Contrato5[[#This Row],[Pagos]]/Contrato5[[#This Row],[VALOR CONTRATO]],0)</f>
        <v>0</v>
      </c>
      <c r="AN363" s="198" t="e">
        <f ca="1">+Contrato5[[#This Row],[VALOR CONTRATO]]-Contrato5[[#This Row],[Pagos]]</f>
        <v>#REF!</v>
      </c>
      <c r="AO363" s="147" t="e" cm="1">
        <f t="array" aca="1" ref="AO363" ca="1">_xlfn.XLOOKUP(Contrato5[[#This Row],[DOCUMENTO ]],[2]!PERSONAL_ACTIVO_2024[[#All],[Documento identidad]],[2]!PERSONAL_ACTIVO_2024[[#All],[Mail ]],0,0)</f>
        <v>#NAME?</v>
      </c>
      <c r="AP363" s="147" t="e" cm="1">
        <f t="array" aca="1" ref="AP363" ca="1">_xlfn.XLOOKUP(Contrato5[[#This Row],[DOCUMENTO]],[2]!PERSONAL_ACTIVO_2024[[#All],[Documento identidad]],[2]!PERSONAL_ACTIVO_2024[[#All],[Mail ]],0,0)</f>
        <v>#NAME?</v>
      </c>
      <c r="AQ363" s="439" cm="1">
        <f t="array" aca="1" ref="AQ363" ca="1">IF(ISBLANK(Contrato5[[#This Row],[DEPENDENCIA ]]),0,IFERROR(_xlfn.XLOOKUP(Contrato5[[#This Row],[DEPENDENCIA ]],[2]!PERSONAL_ACTIVO_2024[[#All],[Dependencia]],[2]!PERSONAL_ACTIVO_2024[[#All],[Mail ]],0,0),0))</f>
        <v>0</v>
      </c>
    </row>
    <row r="364" spans="1:43" ht="34.5" customHeight="1">
      <c r="A364" s="125">
        <v>579</v>
      </c>
      <c r="B364" s="124">
        <v>278</v>
      </c>
      <c r="C364" s="162" t="s">
        <v>408</v>
      </c>
      <c r="D364" s="227" t="s">
        <v>515</v>
      </c>
      <c r="E364" s="128" t="s">
        <v>94</v>
      </c>
      <c r="F364" s="163" t="s">
        <v>1376</v>
      </c>
      <c r="G364" s="190" t="s">
        <v>1042</v>
      </c>
      <c r="H364" s="447">
        <v>1020453274</v>
      </c>
      <c r="I364" s="455">
        <v>3986061</v>
      </c>
      <c r="J364" s="456">
        <v>37402427</v>
      </c>
      <c r="K364" s="131" t="s">
        <v>1043</v>
      </c>
      <c r="L364" s="438" t="s">
        <v>1044</v>
      </c>
      <c r="M364" s="194" t="s">
        <v>910</v>
      </c>
      <c r="N364" s="177" t="e" cm="1">
        <f t="array" aca="1" ref="N364" ca="1">_xlfn.XLOOKUP(Contrato5[[#This Row],[SUPERVISOR TITULAR]],[2]!PERSONAL_ACTIVO_2024[[#All],[Nombre completo]],[2]!PERSONAL_ACTIVO_2024[[#All],[Documento identidad]],"",0)</f>
        <v>#NAME?</v>
      </c>
      <c r="O364" s="194" t="s">
        <v>823</v>
      </c>
      <c r="P364" s="196" t="e" cm="1">
        <f t="array" aca="1" ref="P364" ca="1">_xlfn.XLOOKUP(Contrato5[[#This Row],[SUPERVISOR SUPLENTE ]],[2]!PERSONAL_ACTIVO_2024[[#All],[Nombre completo]],[2]!PERSONAL_ACTIVO_2024[[#All],[Documento identidad]],"",0)</f>
        <v>#NAME?</v>
      </c>
      <c r="Q364" s="208">
        <v>293</v>
      </c>
      <c r="R364" s="137" t="e" cm="1">
        <f t="array" aca="1" ref="R364" ca="1">_xlfn.XLOOKUP(Contrato5[[#This Row],[CDP]],[2]!DISPONIBILIDADES_2024[[#All],[consecutivo]],[2]!DISPONIBILIDADES_2024[[#All],[fecha_aprobacion]],"",0)</f>
        <v>#NAME?</v>
      </c>
      <c r="S364" s="138" t="e">
        <f>SUMIF([2]!DISPONIBILIDADES_2024[[#All],[consecutivo]],Contrato5[[#This Row],[CDP]],[2]!DISPONIBILIDADES_2024[[#All],[valor_total_rubro]])</f>
        <v>#REF!</v>
      </c>
      <c r="T364" s="139" t="e" cm="1">
        <f t="array" aca="1" ref="T364" ca="1">_xlfn.XLOOKUP(Contrato5[[#This Row],[CONTRATO]]&amp;Contrato5[[#This Row],[CDP]],[2]!Corr_Contr_CDP[[#All],[CONTRATO-CDP]],[2]!Corr_Contr_CDP[[#All],[CRP]],_xlfn.XLOOKUP(Contrato5[[#This Row],[CDP]],[2]!COMPROMISOS_2024[[#All],[disponibilidad]],[2]!COMPROMISOS_2024[[#All],[consecutivo]],"",0),0)</f>
        <v>#NAME?</v>
      </c>
      <c r="U364" s="140" t="e" cm="1">
        <f t="array" aca="1" ref="U364" ca="1">+_xlfn.XLOOKUP(Contrato5[[#This Row],[RCP]],[2]!COMPROMISOS_2024[[#All],[consecutivo]],[2]!COMPROMISOS_2024[[#All],[fecha_aprobacion]],"",0)</f>
        <v>#NAME?</v>
      </c>
      <c r="V364" s="141" t="e">
        <f ca="1">SUMIF([2]!COMPROMISOS_2024[[#All],[consecutivo]],Contrato5[[#This Row],[RCP]],[2]!COMPROMISOS_2024[[#All],[valor_total]])</f>
        <v>#REF!</v>
      </c>
      <c r="W364" s="415">
        <v>45397</v>
      </c>
      <c r="X364" s="415" t="s">
        <v>1045</v>
      </c>
      <c r="Y364" s="143">
        <v>45399</v>
      </c>
      <c r="Z364" s="262">
        <v>45612</v>
      </c>
      <c r="AA364" s="171" t="s">
        <v>1046</v>
      </c>
      <c r="AB364" s="227" t="s">
        <v>618</v>
      </c>
      <c r="AC364" s="172"/>
      <c r="AD364" s="211">
        <v>202000004208</v>
      </c>
      <c r="AE364" s="147" t="s">
        <v>523</v>
      </c>
      <c r="AF364" s="148" t="str">
        <f>TEXT(LEFT(Contrato5[[#This Row],[CONTRATO]],3),"0")</f>
        <v>278</v>
      </c>
      <c r="AG364" s="148" t="str">
        <f>IF(LEN(Contrato5[[#This Row],[Contrato2]])=3,Contrato5[[#This Row],[Contrato2]],TEXT(Contrato5[[#This Row],[Contrato2]],"000"))</f>
        <v>278</v>
      </c>
      <c r="AH364" s="149">
        <f ca="1">IFERROR(_xlfn.DAYS(Contrato5[[#This Row],[Fecha Proyectada liquidación]],TODAY())/30,"")</f>
        <v>-0.8666666666666667</v>
      </c>
      <c r="AI364" s="150">
        <f>+Contrato5[[#This Row],[FECHA TERMINACIÓN ]]+120</f>
        <v>45732</v>
      </c>
      <c r="AJ364" s="147"/>
      <c r="AK364" s="152" t="str">
        <f ca="1">IF(Contrato5[[#This Row],[FECHA TERMINACIÓN ]]&lt;TODAY(), "Terminado",IF(ISNUMBER(Contrato5[[#This Row],[Fecha Real de liquiidación ]]),"Liquidado",IF(Contrato5[[#This Row],[FECHA TERMINACIÓN ]]&gt;=TODAY(),"En ejecución","")))</f>
        <v>Terminado</v>
      </c>
      <c r="AL364" s="153" t="e">
        <f ca="1">SUMIF([2]!COMPROMISOS_2024[[#All],[consecutivo]],Contrato5[[#This Row],[RCP]],[2]!COMPROMISOS_2024[[#All],[Total pagado]])</f>
        <v>#REF!</v>
      </c>
      <c r="AM364" s="154">
        <f ca="1">IFERROR(Contrato5[[#This Row],[Pagos]]/Contrato5[[#This Row],[VALOR CONTRATO]],0)</f>
        <v>0</v>
      </c>
      <c r="AN364" s="198" t="e">
        <f ca="1">+Contrato5[[#This Row],[VALOR CONTRATO]]-Contrato5[[#This Row],[Pagos]]</f>
        <v>#REF!</v>
      </c>
      <c r="AO364" s="147" t="e" cm="1">
        <f t="array" aca="1" ref="AO364" ca="1">_xlfn.XLOOKUP(Contrato5[[#This Row],[DOCUMENTO ]],[2]!PERSONAL_ACTIVO_2024[[#All],[Documento identidad]],[2]!PERSONAL_ACTIVO_2024[[#All],[Mail ]],0,0)</f>
        <v>#NAME?</v>
      </c>
      <c r="AP364" s="147" t="e" cm="1">
        <f t="array" aca="1" ref="AP364" ca="1">_xlfn.XLOOKUP(Contrato5[[#This Row],[DOCUMENTO]],[2]!PERSONAL_ACTIVO_2024[[#All],[Documento identidad]],[2]!PERSONAL_ACTIVO_2024[[#All],[Mail ]],0,0)</f>
        <v>#NAME?</v>
      </c>
      <c r="AQ364" s="439" cm="1">
        <f t="array" aca="1" ref="AQ364" ca="1">IF(ISBLANK(Contrato5[[#This Row],[DEPENDENCIA ]]),0,IFERROR(_xlfn.XLOOKUP(Contrato5[[#This Row],[DEPENDENCIA ]],[2]!PERSONAL_ACTIVO_2024[[#All],[Dependencia]],[2]!PERSONAL_ACTIVO_2024[[#All],[Mail ]],0,0),0))</f>
        <v>0</v>
      </c>
    </row>
    <row r="365" spans="1:43" ht="34.5" customHeight="1">
      <c r="A365" s="147">
        <v>1144</v>
      </c>
      <c r="B365" s="124">
        <v>278</v>
      </c>
      <c r="C365" s="162" t="s">
        <v>2407</v>
      </c>
      <c r="D365" s="227" t="s">
        <v>515</v>
      </c>
      <c r="E365" s="128" t="s">
        <v>78</v>
      </c>
      <c r="F365" s="163" t="s">
        <v>1376</v>
      </c>
      <c r="G365" s="190" t="s">
        <v>1042</v>
      </c>
      <c r="H365" s="447">
        <v>1020453274</v>
      </c>
      <c r="I365" s="455">
        <v>3986061</v>
      </c>
      <c r="J365" s="188">
        <v>10846223</v>
      </c>
      <c r="K365" s="131" t="s">
        <v>2569</v>
      </c>
      <c r="L365" s="166" t="s">
        <v>2599</v>
      </c>
      <c r="M365" s="194" t="s">
        <v>910</v>
      </c>
      <c r="N365" s="195" t="e" cm="1">
        <f t="array" aca="1" ref="N365" ca="1">_xlfn.XLOOKUP(Contrato5[[#This Row],[SUPERVISOR TITULAR]],[2]!PERSONAL_ACTIVO_2024[[#All],[Nombre completo]],[2]!PERSONAL_ACTIVO_2024[[#All],[Documento identidad]],"",0)</f>
        <v>#NAME?</v>
      </c>
      <c r="O365" s="194" t="s">
        <v>823</v>
      </c>
      <c r="P365" s="135" t="e" cm="1">
        <f t="array" aca="1" ref="P365" ca="1">_xlfn.XLOOKUP(Contrato5[[#This Row],[SUPERVISOR SUPLENTE ]],[2]!PERSONAL_ACTIVO_2024[[#All],[Nombre completo]],[2]!PERSONAL_ACTIVO_2024[[#All],[Documento identidad]],"",0)</f>
        <v>#NAME?</v>
      </c>
      <c r="Q365" s="170">
        <v>934</v>
      </c>
      <c r="R365" s="137" t="e" cm="1">
        <f t="array" aca="1" ref="R365" ca="1">_xlfn.XLOOKUP(Contrato5[[#This Row],[CDP]],[2]!DISPONIBILIDADES_2024[[#All],[consecutivo]],[2]!DISPONIBILIDADES_2024[[#All],[fecha_aprobacion]],"",0)</f>
        <v>#NAME?</v>
      </c>
      <c r="S365" s="138" t="e">
        <f>SUMIF([2]!DISPONIBILIDADES_2024[[#All],[consecutivo]],Contrato5[[#This Row],[CDP]],[2]!DISPONIBILIDADES_2024[[#All],[valor_total_rubro]])</f>
        <v>#REF!</v>
      </c>
      <c r="T365" s="139" t="e" cm="1">
        <f t="array" aca="1" ref="T365" ca="1">_xlfn.XLOOKUP(Contrato5[[#This Row],[CONTRATO]]&amp;Contrato5[[#This Row],[CDP]],[2]!Corr_Contr_CDP[[#All],[CONTRATO-CDP]],[2]!Corr_Contr_CDP[[#All],[CRP]],_xlfn.XLOOKUP(Contrato5[[#This Row],[CDP]],[2]!COMPROMISOS_2024[[#All],[disponibilidad]],[2]!COMPROMISOS_2024[[#All],[consecutivo]],"",0),0)</f>
        <v>#NAME?</v>
      </c>
      <c r="U365" s="140" t="e" cm="1">
        <f t="array" aca="1" ref="U365" ca="1">+_xlfn.XLOOKUP(Contrato5[[#This Row],[RCP]],[2]!COMPROMISOS_2024[[#All],[consecutivo]],[2]!COMPROMISOS_2024[[#All],[fecha_aprobacion]],"",0)</f>
        <v>#NAME?</v>
      </c>
      <c r="V365" s="141" t="e">
        <f ca="1">SUMIF([2]!COMPROMISOS_2024[[#All],[consecutivo]],Contrato5[[#This Row],[RCP]],[2]!COMPROMISOS_2024[[#All],[valor_total]])</f>
        <v>#REF!</v>
      </c>
      <c r="W365" s="422">
        <v>45611</v>
      </c>
      <c r="X365" s="415" t="s">
        <v>1045</v>
      </c>
      <c r="Y365" s="143">
        <v>45613</v>
      </c>
      <c r="Z365" s="262">
        <v>45656</v>
      </c>
      <c r="AA365" s="203"/>
      <c r="AB365" s="227" t="s">
        <v>2600</v>
      </c>
      <c r="AC365" s="127"/>
      <c r="AD365" s="263"/>
      <c r="AE365" s="147"/>
      <c r="AF365" s="148" t="str">
        <f>TEXT(LEFT(Contrato5[[#This Row],[CONTRATO]],3),"0")</f>
        <v>278</v>
      </c>
      <c r="AG365" s="148" t="str">
        <f>IF(LEN(Contrato5[[#This Row],[Contrato2]])=3,Contrato5[[#This Row],[Contrato2]],TEXT(Contrato5[[#This Row],[Contrato2]],"000"))</f>
        <v>278</v>
      </c>
      <c r="AH365" s="149">
        <f ca="1">IFERROR(_xlfn.DAYS(Contrato5[[#This Row],[Fecha Proyectada liquidación]],TODAY())/30,"")</f>
        <v>0.6</v>
      </c>
      <c r="AI365" s="150">
        <f>+Contrato5[[#This Row],[FECHA TERMINACIÓN ]]+120</f>
        <v>45776</v>
      </c>
      <c r="AJ365" s="147"/>
      <c r="AK365" s="152" t="str">
        <f ca="1">IF(Contrato5[[#This Row],[FECHA TERMINACIÓN ]]&lt;TODAY(), "Terminado",IF(ISNUMBER(Contrato5[[#This Row],[Fecha Real de liquiidación ]]),"Liquidado",IF(Contrato5[[#This Row],[FECHA TERMINACIÓN ]]&gt;=TODAY(),"En ejecución","")))</f>
        <v>Terminado</v>
      </c>
      <c r="AL365" s="153" t="e">
        <f ca="1">SUMIF([2]!COMPROMISOS_2024[[#All],[consecutivo]],Contrato5[[#This Row],[RCP]],[2]!COMPROMISOS_2024[[#All],[Total pagado]])</f>
        <v>#REF!</v>
      </c>
      <c r="AM365" s="154">
        <f ca="1">IFERROR(Contrato5[[#This Row],[Pagos]]/Contrato5[[#This Row],[VALOR CONTRATO]],0)</f>
        <v>0</v>
      </c>
      <c r="AN365" s="198" t="e">
        <f ca="1">+Contrato5[[#This Row],[VALOR CONTRATO]]-Contrato5[[#This Row],[Pagos]]</f>
        <v>#REF!</v>
      </c>
      <c r="AO365" s="147" t="e" cm="1">
        <f t="array" aca="1" ref="AO365" ca="1">_xlfn.XLOOKUP(Contrato5[[#This Row],[DOCUMENTO ]],[2]!PERSONAL_ACTIVO_2024[[#All],[Documento identidad]],[2]!PERSONAL_ACTIVO_2024[[#All],[Mail ]],0,0)</f>
        <v>#NAME?</v>
      </c>
      <c r="AP365" s="147" t="e" cm="1">
        <f t="array" aca="1" ref="AP365" ca="1">_xlfn.XLOOKUP(Contrato5[[#This Row],[DOCUMENTO]],[2]!PERSONAL_ACTIVO_2024[[#All],[Documento identidad]],[2]!PERSONAL_ACTIVO_2024[[#All],[Mail ]],0,0)</f>
        <v>#NAME?</v>
      </c>
      <c r="AQ365" s="439" cm="1">
        <f t="array" aca="1" ref="AQ365" ca="1">IF(ISBLANK(Contrato5[[#This Row],[DEPENDENCIA ]]),0,IFERROR(_xlfn.XLOOKUP(Contrato5[[#This Row],[DEPENDENCIA ]],[2]!PERSONAL_ACTIVO_2024[[#All],[Dependencia]],[2]!PERSONAL_ACTIVO_2024[[#All],[Mail ]],0,0),0))</f>
        <v>0</v>
      </c>
    </row>
    <row r="366" spans="1:43" ht="34.5" customHeight="1">
      <c r="A366" s="125">
        <v>633</v>
      </c>
      <c r="B366" s="124">
        <v>279</v>
      </c>
      <c r="C366" s="162" t="s">
        <v>390</v>
      </c>
      <c r="D366" s="227" t="s">
        <v>515</v>
      </c>
      <c r="E366" s="128" t="s">
        <v>94</v>
      </c>
      <c r="F366" s="163" t="s">
        <v>1376</v>
      </c>
      <c r="G366" s="190" t="s">
        <v>1047</v>
      </c>
      <c r="H366" s="447">
        <v>8434876</v>
      </c>
      <c r="I366" s="455">
        <v>6879081</v>
      </c>
      <c r="J366" s="456">
        <v>60153567</v>
      </c>
      <c r="K366" s="131" t="s">
        <v>889</v>
      </c>
      <c r="L366" s="438" t="s">
        <v>1044</v>
      </c>
      <c r="M366" s="194" t="s">
        <v>893</v>
      </c>
      <c r="N366" s="177" t="e" cm="1">
        <f t="array" aca="1" ref="N366" ca="1">_xlfn.XLOOKUP(Contrato5[[#This Row],[SUPERVISOR TITULAR]],[2]!PERSONAL_ACTIVO_2024[[#All],[Nombre completo]],[2]!PERSONAL_ACTIVO_2024[[#All],[Documento identidad]],"",0)</f>
        <v>#NAME?</v>
      </c>
      <c r="O366" s="194" t="s">
        <v>906</v>
      </c>
      <c r="P366" s="196" t="e" cm="1">
        <f t="array" aca="1" ref="P366" ca="1">_xlfn.XLOOKUP(Contrato5[[#This Row],[SUPERVISOR SUPLENTE ]],[2]!PERSONAL_ACTIVO_2024[[#All],[Nombre completo]],[2]!PERSONAL_ACTIVO_2024[[#All],[Documento identidad]],"",0)</f>
        <v>#NAME?</v>
      </c>
      <c r="Q366" s="208">
        <v>380</v>
      </c>
      <c r="R366" s="137" t="e" cm="1">
        <f t="array" aca="1" ref="R366" ca="1">_xlfn.XLOOKUP(Contrato5[[#This Row],[CDP]],[2]!DISPONIBILIDADES_2024[[#All],[consecutivo]],[2]!DISPONIBILIDADES_2024[[#All],[fecha_aprobacion]],"",0)</f>
        <v>#NAME?</v>
      </c>
      <c r="S366" s="138" t="e">
        <f>SUMIF([2]!DISPONIBILIDADES_2024[[#All],[consecutivo]],Contrato5[[#This Row],[CDP]],[2]!DISPONIBILIDADES_2024[[#All],[valor_total_rubro]])</f>
        <v>#REF!</v>
      </c>
      <c r="T366" s="139" t="e" cm="1">
        <f t="array" aca="1" ref="T366" ca="1">_xlfn.XLOOKUP(Contrato5[[#This Row],[CONTRATO]]&amp;Contrato5[[#This Row],[CDP]],[2]!Corr_Contr_CDP[[#All],[CONTRATO-CDP]],[2]!Corr_Contr_CDP[[#All],[CRP]],_xlfn.XLOOKUP(Contrato5[[#This Row],[CDP]],[2]!COMPROMISOS_2024[[#All],[disponibilidad]],[2]!COMPROMISOS_2024[[#All],[consecutivo]],"",0),0)</f>
        <v>#NAME?</v>
      </c>
      <c r="U366" s="140" t="e" cm="1">
        <f t="array" aca="1" ref="U366" ca="1">+_xlfn.XLOOKUP(Contrato5[[#This Row],[RCP]],[2]!COMPROMISOS_2024[[#All],[consecutivo]],[2]!COMPROMISOS_2024[[#All],[fecha_aprobacion]],"",0)</f>
        <v>#NAME?</v>
      </c>
      <c r="V366" s="141" t="e">
        <f ca="1">SUMIF([2]!COMPROMISOS_2024[[#All],[consecutivo]],Contrato5[[#This Row],[RCP]],[2]!COMPROMISOS_2024[[#All],[valor_total]])</f>
        <v>#REF!</v>
      </c>
      <c r="W366" s="415">
        <v>45398</v>
      </c>
      <c r="X366" s="415" t="s">
        <v>1045</v>
      </c>
      <c r="Y366" s="143">
        <v>45400</v>
      </c>
      <c r="Z366" s="262">
        <v>45613</v>
      </c>
      <c r="AA366" s="171" t="s">
        <v>1048</v>
      </c>
      <c r="AB366" s="227" t="s">
        <v>618</v>
      </c>
      <c r="AC366" s="172"/>
      <c r="AD366" s="211">
        <v>202000004209</v>
      </c>
      <c r="AE366" s="147" t="s">
        <v>523</v>
      </c>
      <c r="AF366" s="148" t="str">
        <f>TEXT(LEFT(Contrato5[[#This Row],[CONTRATO]],3),"0")</f>
        <v>279</v>
      </c>
      <c r="AG366" s="148" t="str">
        <f>IF(LEN(Contrato5[[#This Row],[Contrato2]])=3,Contrato5[[#This Row],[Contrato2]],TEXT(Contrato5[[#This Row],[Contrato2]],"000"))</f>
        <v>279</v>
      </c>
      <c r="AH366" s="149">
        <f ca="1">IFERROR(_xlfn.DAYS(Contrato5[[#This Row],[Fecha Proyectada liquidación]],TODAY())/30,"")</f>
        <v>-0.83333333333333337</v>
      </c>
      <c r="AI366" s="150">
        <f>+Contrato5[[#This Row],[FECHA TERMINACIÓN ]]+120</f>
        <v>45733</v>
      </c>
      <c r="AJ366" s="147"/>
      <c r="AK366" s="152" t="str">
        <f ca="1">IF(Contrato5[[#This Row],[FECHA TERMINACIÓN ]]&lt;TODAY(), "Terminado",IF(ISNUMBER(Contrato5[[#This Row],[Fecha Real de liquiidación ]]),"Liquidado",IF(Contrato5[[#This Row],[FECHA TERMINACIÓN ]]&gt;=TODAY(),"En ejecución","")))</f>
        <v>Terminado</v>
      </c>
      <c r="AL366" s="153" t="e">
        <f ca="1">SUMIF([2]!COMPROMISOS_2024[[#All],[consecutivo]],Contrato5[[#This Row],[RCP]],[2]!COMPROMISOS_2024[[#All],[Total pagado]])</f>
        <v>#REF!</v>
      </c>
      <c r="AM366" s="154">
        <f ca="1">IFERROR(Contrato5[[#This Row],[Pagos]]/Contrato5[[#This Row],[VALOR CONTRATO]],0)</f>
        <v>0</v>
      </c>
      <c r="AN366" s="198" t="e">
        <f ca="1">+Contrato5[[#This Row],[VALOR CONTRATO]]-Contrato5[[#This Row],[Pagos]]</f>
        <v>#REF!</v>
      </c>
      <c r="AO366" s="147" t="e" cm="1">
        <f t="array" aca="1" ref="AO366" ca="1">_xlfn.XLOOKUP(Contrato5[[#This Row],[DOCUMENTO ]],[2]!PERSONAL_ACTIVO_2024[[#All],[Documento identidad]],[2]!PERSONAL_ACTIVO_2024[[#All],[Mail ]],0,0)</f>
        <v>#NAME?</v>
      </c>
      <c r="AP366" s="147" t="e" cm="1">
        <f t="array" aca="1" ref="AP366" ca="1">_xlfn.XLOOKUP(Contrato5[[#This Row],[DOCUMENTO]],[2]!PERSONAL_ACTIVO_2024[[#All],[Documento identidad]],[2]!PERSONAL_ACTIVO_2024[[#All],[Mail ]],0,0)</f>
        <v>#NAME?</v>
      </c>
      <c r="AQ366" s="439" cm="1">
        <f t="array" aca="1" ref="AQ366" ca="1">IF(ISBLANK(Contrato5[[#This Row],[DEPENDENCIA ]]),0,IFERROR(_xlfn.XLOOKUP(Contrato5[[#This Row],[DEPENDENCIA ]],[2]!PERSONAL_ACTIVO_2024[[#All],[Dependencia]],[2]!PERSONAL_ACTIVO_2024[[#All],[Mail ]],0,0),0))</f>
        <v>0</v>
      </c>
    </row>
    <row r="367" spans="1:43" ht="34.5" customHeight="1">
      <c r="A367" s="147">
        <v>1161</v>
      </c>
      <c r="B367" s="124">
        <v>279</v>
      </c>
      <c r="C367" s="162" t="s">
        <v>2317</v>
      </c>
      <c r="D367" s="227" t="s">
        <v>515</v>
      </c>
      <c r="E367" s="128" t="s">
        <v>78</v>
      </c>
      <c r="F367" s="163" t="s">
        <v>1376</v>
      </c>
      <c r="G367" s="190" t="s">
        <v>1047</v>
      </c>
      <c r="H367" s="447">
        <v>8434876</v>
      </c>
      <c r="I367" s="455">
        <v>6879081</v>
      </c>
      <c r="J367" s="437">
        <v>10860016</v>
      </c>
      <c r="K367" s="131" t="s">
        <v>919</v>
      </c>
      <c r="L367" s="438" t="s">
        <v>2564</v>
      </c>
      <c r="M367" s="194" t="s">
        <v>893</v>
      </c>
      <c r="N367" s="195" t="e" cm="1">
        <f t="array" aca="1" ref="N367" ca="1">_xlfn.XLOOKUP(Contrato5[[#This Row],[SUPERVISOR TITULAR]],[2]!PERSONAL_ACTIVO_2024[[#All],[Nombre completo]],[2]!PERSONAL_ACTIVO_2024[[#All],[Documento identidad]],"",0)</f>
        <v>#NAME?</v>
      </c>
      <c r="O367" s="194" t="s">
        <v>906</v>
      </c>
      <c r="P367" s="135" t="e" cm="1">
        <f t="array" aca="1" ref="P367" ca="1">_xlfn.XLOOKUP(Contrato5[[#This Row],[SUPERVISOR SUPLENTE ]],[2]!PERSONAL_ACTIVO_2024[[#All],[Nombre completo]],[2]!PERSONAL_ACTIVO_2024[[#All],[Documento identidad]],"",0)</f>
        <v>#NAME?</v>
      </c>
      <c r="Q367" s="170">
        <v>968</v>
      </c>
      <c r="R367" s="137" t="e" cm="1">
        <f t="array" aca="1" ref="R367" ca="1">_xlfn.XLOOKUP(Contrato5[[#This Row],[CDP]],[2]!DISPONIBILIDADES_2024[[#All],[consecutivo]],[2]!DISPONIBILIDADES_2024[[#All],[fecha_aprobacion]],"",0)</f>
        <v>#NAME?</v>
      </c>
      <c r="S367" s="138" t="e">
        <f>SUMIF([2]!DISPONIBILIDADES_2024[[#All],[consecutivo]],Contrato5[[#This Row],[CDP]],[2]!DISPONIBILIDADES_2024[[#All],[valor_total_rubro]])</f>
        <v>#REF!</v>
      </c>
      <c r="T367" s="139" t="e" cm="1">
        <f t="array" aca="1" ref="T367" ca="1">_xlfn.XLOOKUP(Contrato5[[#This Row],[CONTRATO]]&amp;Contrato5[[#This Row],[CDP]],[2]!Corr_Contr_CDP[[#All],[CONTRATO-CDP]],[2]!Corr_Contr_CDP[[#All],[CRP]],_xlfn.XLOOKUP(Contrato5[[#This Row],[CDP]],[2]!COMPROMISOS_2024[[#All],[disponibilidad]],[2]!COMPROMISOS_2024[[#All],[consecutivo]],"",0),0)</f>
        <v>#NAME?</v>
      </c>
      <c r="U367" s="140" t="e" cm="1">
        <f t="array" aca="1" ref="U367" ca="1">+_xlfn.XLOOKUP(Contrato5[[#This Row],[RCP]],[2]!COMPROMISOS_2024[[#All],[consecutivo]],[2]!COMPROMISOS_2024[[#All],[fecha_aprobacion]],"",0)</f>
        <v>#NAME?</v>
      </c>
      <c r="V367" s="141" t="e">
        <f ca="1">SUMIF([2]!COMPROMISOS_2024[[#All],[consecutivo]],Contrato5[[#This Row],[RCP]],[2]!COMPROMISOS_2024[[#All],[valor_total]])</f>
        <v>#REF!</v>
      </c>
      <c r="W367" s="415">
        <v>45609</v>
      </c>
      <c r="X367" s="415" t="s">
        <v>1045</v>
      </c>
      <c r="Y367" s="143">
        <v>45614</v>
      </c>
      <c r="Z367" s="262">
        <v>45626</v>
      </c>
      <c r="AA367" s="203"/>
      <c r="AB367" s="227" t="s">
        <v>2601</v>
      </c>
      <c r="AC367" s="127"/>
      <c r="AD367" s="211"/>
      <c r="AE367" s="147"/>
      <c r="AF367" s="148" t="str">
        <f>TEXT(LEFT(Contrato5[[#This Row],[CONTRATO]],3),"0")</f>
        <v>279</v>
      </c>
      <c r="AG367" s="148" t="str">
        <f>IF(LEN(Contrato5[[#This Row],[Contrato2]])=3,Contrato5[[#This Row],[Contrato2]],TEXT(Contrato5[[#This Row],[Contrato2]],"000"))</f>
        <v>279</v>
      </c>
      <c r="AH367" s="149">
        <f ca="1">IFERROR(_xlfn.DAYS(Contrato5[[#This Row],[Fecha Proyectada liquidación]],TODAY())/30,"")</f>
        <v>-0.4</v>
      </c>
      <c r="AI367" s="150">
        <f>+Contrato5[[#This Row],[FECHA TERMINACIÓN ]]+120</f>
        <v>45746</v>
      </c>
      <c r="AJ367" s="147"/>
      <c r="AK367" s="152" t="str">
        <f ca="1">IF(Contrato5[[#This Row],[FECHA TERMINACIÓN ]]&lt;TODAY(), "Terminado",IF(ISNUMBER(Contrato5[[#This Row],[Fecha Real de liquiidación ]]),"Liquidado",IF(Contrato5[[#This Row],[FECHA TERMINACIÓN ]]&gt;=TODAY(),"En ejecución","")))</f>
        <v>Terminado</v>
      </c>
      <c r="AL367" s="153" t="e">
        <f ca="1">SUMIF([2]!COMPROMISOS_2024[[#All],[consecutivo]],Contrato5[[#This Row],[RCP]],[2]!COMPROMISOS_2024[[#All],[Total pagado]])</f>
        <v>#REF!</v>
      </c>
      <c r="AM367" s="154">
        <f ca="1">IFERROR(Contrato5[[#This Row],[Pagos]]/Contrato5[[#This Row],[VALOR CONTRATO]],0)</f>
        <v>0</v>
      </c>
      <c r="AN367" s="198" t="e">
        <f ca="1">+Contrato5[[#This Row],[VALOR CONTRATO]]-Contrato5[[#This Row],[Pagos]]</f>
        <v>#REF!</v>
      </c>
      <c r="AO367" s="147" t="e" cm="1">
        <f t="array" aca="1" ref="AO367" ca="1">_xlfn.XLOOKUP(Contrato5[[#This Row],[DOCUMENTO ]],[2]!PERSONAL_ACTIVO_2024[[#All],[Documento identidad]],[2]!PERSONAL_ACTIVO_2024[[#All],[Mail ]],0,0)</f>
        <v>#NAME?</v>
      </c>
      <c r="AP367" s="147" t="e" cm="1">
        <f t="array" aca="1" ref="AP367" ca="1">_xlfn.XLOOKUP(Contrato5[[#This Row],[DOCUMENTO]],[2]!PERSONAL_ACTIVO_2024[[#All],[Documento identidad]],[2]!PERSONAL_ACTIVO_2024[[#All],[Mail ]],0,0)</f>
        <v>#NAME?</v>
      </c>
      <c r="AQ367" s="439" cm="1">
        <f t="array" aca="1" ref="AQ367" ca="1">IF(ISBLANK(Contrato5[[#This Row],[DEPENDENCIA ]]),0,IFERROR(_xlfn.XLOOKUP(Contrato5[[#This Row],[DEPENDENCIA ]],[2]!PERSONAL_ACTIVO_2024[[#All],[Dependencia]],[2]!PERSONAL_ACTIVO_2024[[#All],[Mail ]],0,0),0))</f>
        <v>0</v>
      </c>
    </row>
    <row r="368" spans="1:43" ht="34.5" customHeight="1">
      <c r="A368" s="125">
        <v>352</v>
      </c>
      <c r="B368" s="124">
        <v>280</v>
      </c>
      <c r="C368" s="162" t="s">
        <v>1819</v>
      </c>
      <c r="D368" s="227" t="s">
        <v>510</v>
      </c>
      <c r="E368" s="128" t="s">
        <v>94</v>
      </c>
      <c r="F368" s="163" t="s">
        <v>1376</v>
      </c>
      <c r="G368" s="190" t="s">
        <v>1049</v>
      </c>
      <c r="H368" s="447">
        <v>1042063929</v>
      </c>
      <c r="I368" s="455">
        <v>7690469</v>
      </c>
      <c r="J368" s="456">
        <v>78059456</v>
      </c>
      <c r="K368" s="131" t="s">
        <v>1050</v>
      </c>
      <c r="L368" s="438" t="s">
        <v>989</v>
      </c>
      <c r="M368" s="194" t="s">
        <v>514</v>
      </c>
      <c r="N368" s="177" t="e" cm="1">
        <f t="array" aca="1" ref="N368" ca="1">_xlfn.XLOOKUP(Contrato5[[#This Row],[SUPERVISOR TITULAR]],[2]!PERSONAL_ACTIVO_2024[[#All],[Nombre completo]],[2]!PERSONAL_ACTIVO_2024[[#All],[Documento identidad]],"",0)</f>
        <v>#NAME?</v>
      </c>
      <c r="O368" s="194" t="s">
        <v>597</v>
      </c>
      <c r="P368" s="196" t="e" cm="1">
        <f t="array" aca="1" ref="P368" ca="1">_xlfn.XLOOKUP(Contrato5[[#This Row],[SUPERVISOR SUPLENTE ]],[2]!PERSONAL_ACTIVO_2024[[#All],[Nombre completo]],[2]!PERSONAL_ACTIVO_2024[[#All],[Documento identidad]],"",0)</f>
        <v>#NAME?</v>
      </c>
      <c r="Q368" s="208">
        <v>381</v>
      </c>
      <c r="R368" s="137" t="e" cm="1">
        <f t="array" aca="1" ref="R368" ca="1">_xlfn.XLOOKUP(Contrato5[[#This Row],[CDP]],[2]!DISPONIBILIDADES_2024[[#All],[consecutivo]],[2]!DISPONIBILIDADES_2024[[#All],[fecha_aprobacion]],"",0)</f>
        <v>#NAME?</v>
      </c>
      <c r="S368" s="138" t="e">
        <f>SUMIF([2]!DISPONIBILIDADES_2024[[#All],[consecutivo]],Contrato5[[#This Row],[CDP]],[2]!DISPONIBILIDADES_2024[[#All],[valor_total_rubro]])</f>
        <v>#REF!</v>
      </c>
      <c r="T368" s="139" t="e" cm="1">
        <f t="array" aca="1" ref="T368" ca="1">_xlfn.XLOOKUP(Contrato5[[#This Row],[CONTRATO]]&amp;Contrato5[[#This Row],[CDP]],[2]!Corr_Contr_CDP[[#All],[CONTRATO-CDP]],[2]!Corr_Contr_CDP[[#All],[CRP]],_xlfn.XLOOKUP(Contrato5[[#This Row],[CDP]],[2]!COMPROMISOS_2024[[#All],[disponibilidad]],[2]!COMPROMISOS_2024[[#All],[consecutivo]],"",0),0)</f>
        <v>#NAME?</v>
      </c>
      <c r="U368" s="140" t="e" cm="1">
        <f t="array" aca="1" ref="U368" ca="1">+_xlfn.XLOOKUP(Contrato5[[#This Row],[RCP]],[2]!COMPROMISOS_2024[[#All],[consecutivo]],[2]!COMPROMISOS_2024[[#All],[fecha_aprobacion]],"",0)</f>
        <v>#NAME?</v>
      </c>
      <c r="V368" s="141" t="e">
        <f ca="1">SUMIF([2]!COMPROMISOS_2024[[#All],[consecutivo]],Contrato5[[#This Row],[RCP]],[2]!COMPROMISOS_2024[[#All],[valor_total]])</f>
        <v>#REF!</v>
      </c>
      <c r="W368" s="415">
        <v>45392</v>
      </c>
      <c r="X368" s="415" t="s">
        <v>1045</v>
      </c>
      <c r="Y368" s="143">
        <v>45393</v>
      </c>
      <c r="Z368" s="262">
        <v>45657</v>
      </c>
      <c r="AA368" s="171" t="s">
        <v>1051</v>
      </c>
      <c r="AB368" s="227" t="s">
        <v>874</v>
      </c>
      <c r="AC368" s="172"/>
      <c r="AD368" s="211">
        <v>202000004210</v>
      </c>
      <c r="AE368" s="147" t="s">
        <v>523</v>
      </c>
      <c r="AF368" s="148" t="str">
        <f>TEXT(LEFT(Contrato5[[#This Row],[CONTRATO]],3),"0")</f>
        <v>280</v>
      </c>
      <c r="AG368" s="148" t="str">
        <f>IF(LEN(Contrato5[[#This Row],[Contrato2]])=3,Contrato5[[#This Row],[Contrato2]],TEXT(Contrato5[[#This Row],[Contrato2]],"000"))</f>
        <v>280</v>
      </c>
      <c r="AH368" s="149">
        <f ca="1">IFERROR(_xlfn.DAYS(Contrato5[[#This Row],[Fecha Proyectada liquidación]],TODAY())/30,"")</f>
        <v>0.6333333333333333</v>
      </c>
      <c r="AI368" s="150">
        <f>+Contrato5[[#This Row],[FECHA TERMINACIÓN ]]+120</f>
        <v>45777</v>
      </c>
      <c r="AJ368" s="147"/>
      <c r="AK368" s="152" t="str">
        <f ca="1">IF(Contrato5[[#This Row],[FECHA TERMINACIÓN ]]&lt;TODAY(), "Terminado",IF(ISNUMBER(Contrato5[[#This Row],[Fecha Real de liquiidación ]]),"Liquidado",IF(Contrato5[[#This Row],[FECHA TERMINACIÓN ]]&gt;=TODAY(),"En ejecución","")))</f>
        <v>Terminado</v>
      </c>
      <c r="AL368" s="153" t="e">
        <f ca="1">SUMIF([2]!COMPROMISOS_2024[[#All],[consecutivo]],Contrato5[[#This Row],[RCP]],[2]!COMPROMISOS_2024[[#All],[Total pagado]])</f>
        <v>#REF!</v>
      </c>
      <c r="AM368" s="154">
        <f ca="1">IFERROR(Contrato5[[#This Row],[Pagos]]/Contrato5[[#This Row],[VALOR CONTRATO]],0)</f>
        <v>0</v>
      </c>
      <c r="AN368" s="198" t="e">
        <f ca="1">+Contrato5[[#This Row],[VALOR CONTRATO]]-Contrato5[[#This Row],[Pagos]]</f>
        <v>#REF!</v>
      </c>
      <c r="AO368" s="147" t="e" cm="1">
        <f t="array" aca="1" ref="AO368" ca="1">_xlfn.XLOOKUP(Contrato5[[#This Row],[DOCUMENTO ]],[2]!PERSONAL_ACTIVO_2024[[#All],[Documento identidad]],[2]!PERSONAL_ACTIVO_2024[[#All],[Mail ]],0,0)</f>
        <v>#NAME?</v>
      </c>
      <c r="AP368" s="147" t="e" cm="1">
        <f t="array" aca="1" ref="AP368" ca="1">_xlfn.XLOOKUP(Contrato5[[#This Row],[DOCUMENTO]],[2]!PERSONAL_ACTIVO_2024[[#All],[Documento identidad]],[2]!PERSONAL_ACTIVO_2024[[#All],[Mail ]],0,0)</f>
        <v>#NAME?</v>
      </c>
      <c r="AQ368" s="439" cm="1">
        <f t="array" aca="1" ref="AQ368" ca="1">IF(ISBLANK(Contrato5[[#This Row],[DEPENDENCIA ]]),0,IFERROR(_xlfn.XLOOKUP(Contrato5[[#This Row],[DEPENDENCIA ]],[2]!PERSONAL_ACTIVO_2024[[#All],[Dependencia]],[2]!PERSONAL_ACTIVO_2024[[#All],[Mail ]],0,0),0))</f>
        <v>0</v>
      </c>
    </row>
    <row r="369" spans="1:43" ht="34.5" customHeight="1">
      <c r="A369" s="125">
        <v>46</v>
      </c>
      <c r="B369" s="124">
        <v>281</v>
      </c>
      <c r="C369" s="162" t="s">
        <v>1468</v>
      </c>
      <c r="D369" s="227" t="s">
        <v>556</v>
      </c>
      <c r="E369" s="128" t="s">
        <v>94</v>
      </c>
      <c r="F369" s="163" t="s">
        <v>1376</v>
      </c>
      <c r="G369" s="190" t="s">
        <v>1052</v>
      </c>
      <c r="H369" s="447">
        <v>43684995</v>
      </c>
      <c r="I369" s="455">
        <v>9346824</v>
      </c>
      <c r="J369" s="456">
        <v>67297133</v>
      </c>
      <c r="K369" s="131" t="s">
        <v>42</v>
      </c>
      <c r="L369" s="438" t="s">
        <v>608</v>
      </c>
      <c r="M369" s="194" t="s">
        <v>559</v>
      </c>
      <c r="N369" s="177" t="e" cm="1">
        <f t="array" aca="1" ref="N369" ca="1">_xlfn.XLOOKUP(Contrato5[[#This Row],[SUPERVISOR TITULAR]],[2]!PERSONAL_ACTIVO_2024[[#All],[Nombre completo]],[2]!PERSONAL_ACTIVO_2024[[#All],[Documento identidad]],"",0)</f>
        <v>#NAME?</v>
      </c>
      <c r="O369" s="194" t="s">
        <v>2487</v>
      </c>
      <c r="P369" s="196" t="e" cm="1">
        <f t="array" aca="1" ref="P369" ca="1">_xlfn.XLOOKUP(Contrato5[[#This Row],[SUPERVISOR SUPLENTE ]],[2]!PERSONAL_ACTIVO_2024[[#All],[Nombre completo]],[2]!PERSONAL_ACTIVO_2024[[#All],[Documento identidad]],"",0)</f>
        <v>#NAME?</v>
      </c>
      <c r="Q369" s="208">
        <v>378</v>
      </c>
      <c r="R369" s="137" t="e" cm="1">
        <f t="array" aca="1" ref="R369" ca="1">_xlfn.XLOOKUP(Contrato5[[#This Row],[CDP]],[2]!DISPONIBILIDADES_2024[[#All],[consecutivo]],[2]!DISPONIBILIDADES_2024[[#All],[fecha_aprobacion]],"",0)</f>
        <v>#NAME?</v>
      </c>
      <c r="S369" s="138" t="e">
        <f>SUMIF([2]!DISPONIBILIDADES_2024[[#All],[consecutivo]],Contrato5[[#This Row],[CDP]],[2]!DISPONIBILIDADES_2024[[#All],[valor_total_rubro]])</f>
        <v>#REF!</v>
      </c>
      <c r="T369" s="139" t="e" cm="1">
        <f t="array" aca="1" ref="T369" ca="1">_xlfn.XLOOKUP(Contrato5[[#This Row],[CONTRATO]]&amp;Contrato5[[#This Row],[CDP]],[2]!Corr_Contr_CDP[[#All],[CONTRATO-CDP]],[2]!Corr_Contr_CDP[[#All],[CRP]],_xlfn.XLOOKUP(Contrato5[[#This Row],[CDP]],[2]!COMPROMISOS_2024[[#All],[disponibilidad]],[2]!COMPROMISOS_2024[[#All],[consecutivo]],"",0),0)</f>
        <v>#NAME?</v>
      </c>
      <c r="U369" s="140" t="e" cm="1">
        <f t="array" aca="1" ref="U369" ca="1">+_xlfn.XLOOKUP(Contrato5[[#This Row],[RCP]],[2]!COMPROMISOS_2024[[#All],[consecutivo]],[2]!COMPROMISOS_2024[[#All],[fecha_aprobacion]],"",0)</f>
        <v>#NAME?</v>
      </c>
      <c r="V369" s="141" t="e">
        <f ca="1">SUMIF([2]!COMPROMISOS_2024[[#All],[consecutivo]],Contrato5[[#This Row],[RCP]],[2]!COMPROMISOS_2024[[#All],[valor_total]])</f>
        <v>#REF!</v>
      </c>
      <c r="W369" s="415">
        <v>45404</v>
      </c>
      <c r="X369" s="415" t="s">
        <v>1045</v>
      </c>
      <c r="Y369" s="143">
        <v>45405</v>
      </c>
      <c r="Z369" s="262">
        <v>45625</v>
      </c>
      <c r="AA369" s="171" t="s">
        <v>1053</v>
      </c>
      <c r="AB369" s="227" t="s">
        <v>1054</v>
      </c>
      <c r="AC369" s="172"/>
      <c r="AD369" s="211">
        <v>202000004212</v>
      </c>
      <c r="AE369" s="147" t="s">
        <v>523</v>
      </c>
      <c r="AF369" s="148" t="str">
        <f>TEXT(LEFT(Contrato5[[#This Row],[CONTRATO]],3),"0")</f>
        <v>281</v>
      </c>
      <c r="AG369" s="148" t="str">
        <f>IF(LEN(Contrato5[[#This Row],[Contrato2]])=3,Contrato5[[#This Row],[Contrato2]],TEXT(Contrato5[[#This Row],[Contrato2]],"000"))</f>
        <v>281</v>
      </c>
      <c r="AH369" s="149">
        <f ca="1">IFERROR(_xlfn.DAYS(Contrato5[[#This Row],[Fecha Proyectada liquidación]],TODAY())/30,"")</f>
        <v>-0.43333333333333335</v>
      </c>
      <c r="AI369" s="150">
        <f>+Contrato5[[#This Row],[FECHA TERMINACIÓN ]]+120</f>
        <v>45745</v>
      </c>
      <c r="AJ369" s="147"/>
      <c r="AK369" s="152" t="str">
        <f ca="1">IF(Contrato5[[#This Row],[FECHA TERMINACIÓN ]]&lt;TODAY(), "Terminado",IF(ISNUMBER(Contrato5[[#This Row],[Fecha Real de liquiidación ]]),"Liquidado",IF(Contrato5[[#This Row],[FECHA TERMINACIÓN ]]&gt;=TODAY(),"En ejecución","")))</f>
        <v>Terminado</v>
      </c>
      <c r="AL369" s="153" t="e">
        <f ca="1">SUMIF([2]!COMPROMISOS_2024[[#All],[consecutivo]],Contrato5[[#This Row],[RCP]],[2]!COMPROMISOS_2024[[#All],[Total pagado]])</f>
        <v>#REF!</v>
      </c>
      <c r="AM369" s="154">
        <f ca="1">IFERROR(Contrato5[[#This Row],[Pagos]]/Contrato5[[#This Row],[VALOR CONTRATO]],0)</f>
        <v>0</v>
      </c>
      <c r="AN369" s="198" t="e">
        <f ca="1">+Contrato5[[#This Row],[VALOR CONTRATO]]-Contrato5[[#This Row],[Pagos]]</f>
        <v>#REF!</v>
      </c>
      <c r="AO369" s="147" t="e" cm="1">
        <f t="array" aca="1" ref="AO369" ca="1">_xlfn.XLOOKUP(Contrato5[[#This Row],[DOCUMENTO ]],[2]!PERSONAL_ACTIVO_2024[[#All],[Documento identidad]],[2]!PERSONAL_ACTIVO_2024[[#All],[Mail ]],0,0)</f>
        <v>#NAME?</v>
      </c>
      <c r="AP369" s="147" t="e" cm="1">
        <f t="array" aca="1" ref="AP369" ca="1">_xlfn.XLOOKUP(Contrato5[[#This Row],[DOCUMENTO]],[2]!PERSONAL_ACTIVO_2024[[#All],[Documento identidad]],[2]!PERSONAL_ACTIVO_2024[[#All],[Mail ]],0,0)</f>
        <v>#NAME?</v>
      </c>
      <c r="AQ369" s="439" cm="1">
        <f t="array" aca="1" ref="AQ369" ca="1">IF(ISBLANK(Contrato5[[#This Row],[DEPENDENCIA ]]),0,IFERROR(_xlfn.XLOOKUP(Contrato5[[#This Row],[DEPENDENCIA ]],[2]!PERSONAL_ACTIVO_2024[[#All],[Dependencia]],[2]!PERSONAL_ACTIVO_2024[[#All],[Mail ]],0,0),0))</f>
        <v>0</v>
      </c>
    </row>
    <row r="370" spans="1:43" ht="34.5" customHeight="1">
      <c r="A370" s="125">
        <v>56</v>
      </c>
      <c r="B370" s="124">
        <v>282</v>
      </c>
      <c r="C370" s="162" t="s">
        <v>1478</v>
      </c>
      <c r="D370" s="227" t="s">
        <v>556</v>
      </c>
      <c r="E370" s="128" t="s">
        <v>151</v>
      </c>
      <c r="F370" s="163" t="s">
        <v>494</v>
      </c>
      <c r="G370" s="190" t="s">
        <v>1055</v>
      </c>
      <c r="H370" s="447">
        <v>900260048</v>
      </c>
      <c r="I370" s="455" t="s">
        <v>42</v>
      </c>
      <c r="J370" s="456">
        <v>33448333</v>
      </c>
      <c r="K370" s="131" t="s">
        <v>1056</v>
      </c>
      <c r="L370" s="438" t="s">
        <v>496</v>
      </c>
      <c r="M370" s="194" t="s">
        <v>559</v>
      </c>
      <c r="N370" s="177" t="e" cm="1">
        <f t="array" aca="1" ref="N370" ca="1">_xlfn.XLOOKUP(Contrato5[[#This Row],[SUPERVISOR TITULAR]],[2]!PERSONAL_ACTIVO_2024[[#All],[Nombre completo]],[2]!PERSONAL_ACTIVO_2024[[#All],[Documento identidad]],"",0)</f>
        <v>#NAME?</v>
      </c>
      <c r="O370" s="194" t="s">
        <v>2487</v>
      </c>
      <c r="P370" s="196" t="e" cm="1">
        <f t="array" aca="1" ref="P370" ca="1">_xlfn.XLOOKUP(Contrato5[[#This Row],[SUPERVISOR SUPLENTE ]],[2]!PERSONAL_ACTIVO_2024[[#All],[Nombre completo]],[2]!PERSONAL_ACTIVO_2024[[#All],[Documento identidad]],"",0)</f>
        <v>#NAME?</v>
      </c>
      <c r="Q370" s="208">
        <v>289</v>
      </c>
      <c r="R370" s="137" t="e" cm="1">
        <f t="array" aca="1" ref="R370" ca="1">_xlfn.XLOOKUP(Contrato5[[#This Row],[CDP]],[2]!DISPONIBILIDADES_2024[[#All],[consecutivo]],[2]!DISPONIBILIDADES_2024[[#All],[fecha_aprobacion]],"",0)</f>
        <v>#NAME?</v>
      </c>
      <c r="S370" s="138" t="e">
        <f>SUMIF([2]!DISPONIBILIDADES_2024[[#All],[consecutivo]],Contrato5[[#This Row],[CDP]],[2]!DISPONIBILIDADES_2024[[#All],[valor_total_rubro]])</f>
        <v>#REF!</v>
      </c>
      <c r="T370" s="139" t="e" cm="1">
        <f t="array" aca="1" ref="T370" ca="1">_xlfn.XLOOKUP(Contrato5[[#This Row],[CONTRATO]]&amp;Contrato5[[#This Row],[CDP]],[2]!Corr_Contr_CDP[[#All],[CONTRATO-CDP]],[2]!Corr_Contr_CDP[[#All],[CRP]],_xlfn.XLOOKUP(Contrato5[[#This Row],[CDP]],[2]!COMPROMISOS_2024[[#All],[disponibilidad]],[2]!COMPROMISOS_2024[[#All],[consecutivo]],"",0),0)</f>
        <v>#NAME?</v>
      </c>
      <c r="U370" s="140" t="e" cm="1">
        <f t="array" aca="1" ref="U370" ca="1">+_xlfn.XLOOKUP(Contrato5[[#This Row],[RCP]],[2]!COMPROMISOS_2024[[#All],[consecutivo]],[2]!COMPROMISOS_2024[[#All],[fecha_aprobacion]],"",0)</f>
        <v>#NAME?</v>
      </c>
      <c r="V370" s="141" t="e">
        <f ca="1">SUMIF([2]!COMPROMISOS_2024[[#All],[consecutivo]],Contrato5[[#This Row],[RCP]],[2]!COMPROMISOS_2024[[#All],[valor_total]])</f>
        <v>#REF!</v>
      </c>
      <c r="W370" s="415">
        <v>45394</v>
      </c>
      <c r="X370" s="415">
        <v>45399</v>
      </c>
      <c r="Y370" s="143">
        <v>45399</v>
      </c>
      <c r="Z370" s="262">
        <v>45490</v>
      </c>
      <c r="AA370" s="171" t="s">
        <v>1057</v>
      </c>
      <c r="AB370" s="227" t="s">
        <v>529</v>
      </c>
      <c r="AC370" s="172"/>
      <c r="AD370" s="211">
        <v>202000004213</v>
      </c>
      <c r="AE370" s="147" t="s">
        <v>523</v>
      </c>
      <c r="AF370" s="148" t="str">
        <f>TEXT(LEFT(Contrato5[[#This Row],[CONTRATO]],3),"0")</f>
        <v>282</v>
      </c>
      <c r="AG370" s="148" t="str">
        <f>IF(LEN(Contrato5[[#This Row],[Contrato2]])=3,Contrato5[[#This Row],[Contrato2]],TEXT(Contrato5[[#This Row],[Contrato2]],"000"))</f>
        <v>282</v>
      </c>
      <c r="AH370" s="149">
        <f ca="1">IFERROR(_xlfn.DAYS(Contrato5[[#This Row],[Fecha Proyectada liquidación]],TODAY())/30,"")</f>
        <v>-4.9333333333333336</v>
      </c>
      <c r="AI370" s="150">
        <f>+Contrato5[[#This Row],[FECHA TERMINACIÓN ]]+120</f>
        <v>45610</v>
      </c>
      <c r="AJ370" s="147"/>
      <c r="AK370" s="152" t="str">
        <f ca="1">IF(Contrato5[[#This Row],[FECHA TERMINACIÓN ]]&lt;TODAY(), "Terminado",IF(ISNUMBER(Contrato5[[#This Row],[Fecha Real de liquiidación ]]),"Liquidado",IF(Contrato5[[#This Row],[FECHA TERMINACIÓN ]]&gt;=TODAY(),"En ejecución","")))</f>
        <v>Terminado</v>
      </c>
      <c r="AL370" s="153" t="e">
        <f ca="1">SUMIF([2]!COMPROMISOS_2024[[#All],[consecutivo]],Contrato5[[#This Row],[RCP]],[2]!COMPROMISOS_2024[[#All],[Total pagado]])</f>
        <v>#REF!</v>
      </c>
      <c r="AM370" s="154">
        <f ca="1">IFERROR(Contrato5[[#This Row],[Pagos]]/Contrato5[[#This Row],[VALOR CONTRATO]],0)</f>
        <v>0</v>
      </c>
      <c r="AN370" s="198" t="e">
        <f ca="1">+Contrato5[[#This Row],[VALOR CONTRATO]]-Contrato5[[#This Row],[Pagos]]</f>
        <v>#REF!</v>
      </c>
      <c r="AO370" s="147" t="e" cm="1">
        <f t="array" aca="1" ref="AO370" ca="1">_xlfn.XLOOKUP(Contrato5[[#This Row],[DOCUMENTO ]],[2]!PERSONAL_ACTIVO_2024[[#All],[Documento identidad]],[2]!PERSONAL_ACTIVO_2024[[#All],[Mail ]],0,0)</f>
        <v>#NAME?</v>
      </c>
      <c r="AP370" s="147" t="e" cm="1">
        <f t="array" aca="1" ref="AP370" ca="1">_xlfn.XLOOKUP(Contrato5[[#This Row],[DOCUMENTO]],[2]!PERSONAL_ACTIVO_2024[[#All],[Documento identidad]],[2]!PERSONAL_ACTIVO_2024[[#All],[Mail ]],0,0)</f>
        <v>#NAME?</v>
      </c>
      <c r="AQ370" s="439" cm="1">
        <f t="array" aca="1" ref="AQ370" ca="1">IF(ISBLANK(Contrato5[[#This Row],[DEPENDENCIA ]]),0,IFERROR(_xlfn.XLOOKUP(Contrato5[[#This Row],[DEPENDENCIA ]],[2]!PERSONAL_ACTIVO_2024[[#All],[Dependencia]],[2]!PERSONAL_ACTIVO_2024[[#All],[Mail ]],0,0),0))</f>
        <v>0</v>
      </c>
    </row>
    <row r="371" spans="1:43" ht="34.5" customHeight="1">
      <c r="A371" s="125">
        <v>631</v>
      </c>
      <c r="B371" s="124">
        <v>283</v>
      </c>
      <c r="C371" s="162" t="s">
        <v>1724</v>
      </c>
      <c r="D371" s="227" t="s">
        <v>583</v>
      </c>
      <c r="E371" s="128" t="s">
        <v>94</v>
      </c>
      <c r="F371" s="163" t="s">
        <v>1376</v>
      </c>
      <c r="G371" s="190" t="s">
        <v>1058</v>
      </c>
      <c r="H371" s="447">
        <v>1039471177</v>
      </c>
      <c r="I371" s="455">
        <v>6879081</v>
      </c>
      <c r="J371" s="456">
        <v>41274486</v>
      </c>
      <c r="K371" s="131" t="s">
        <v>42</v>
      </c>
      <c r="L371" s="438" t="s">
        <v>989</v>
      </c>
      <c r="M371" s="194" t="s">
        <v>795</v>
      </c>
      <c r="N371" s="177" t="e" cm="1">
        <f t="array" aca="1" ref="N371" ca="1">_xlfn.XLOOKUP(Contrato5[[#This Row],[SUPERVISOR TITULAR]],[2]!PERSONAL_ACTIVO_2024[[#All],[Nombre completo]],[2]!PERSONAL_ACTIVO_2024[[#All],[Documento identidad]],"",0)</f>
        <v>#NAME?</v>
      </c>
      <c r="O371" s="194" t="s">
        <v>796</v>
      </c>
      <c r="P371" s="196" t="e" cm="1">
        <f t="array" aca="1" ref="P371" ca="1">_xlfn.XLOOKUP(Contrato5[[#This Row],[SUPERVISOR SUPLENTE ]],[2]!PERSONAL_ACTIVO_2024[[#All],[Nombre completo]],[2]!PERSONAL_ACTIVO_2024[[#All],[Documento identidad]],"",0)</f>
        <v>#NAME?</v>
      </c>
      <c r="Q371" s="208">
        <v>379</v>
      </c>
      <c r="R371" s="137" t="e" cm="1">
        <f t="array" aca="1" ref="R371" ca="1">_xlfn.XLOOKUP(Contrato5[[#This Row],[CDP]],[2]!DISPONIBILIDADES_2024[[#All],[consecutivo]],[2]!DISPONIBILIDADES_2024[[#All],[fecha_aprobacion]],"",0)</f>
        <v>#NAME?</v>
      </c>
      <c r="S371" s="138" t="e">
        <f>SUMIF([2]!DISPONIBILIDADES_2024[[#All],[consecutivo]],Contrato5[[#This Row],[CDP]],[2]!DISPONIBILIDADES_2024[[#All],[valor_total_rubro]])</f>
        <v>#REF!</v>
      </c>
      <c r="T371" s="139" t="e" cm="1">
        <f t="array" aca="1" ref="T371" ca="1">_xlfn.XLOOKUP(Contrato5[[#This Row],[CONTRATO]]&amp;Contrato5[[#This Row],[CDP]],[2]!Corr_Contr_CDP[[#All],[CONTRATO-CDP]],[2]!Corr_Contr_CDP[[#All],[CRP]],_xlfn.XLOOKUP(Contrato5[[#This Row],[CDP]],[2]!COMPROMISOS_2024[[#All],[disponibilidad]],[2]!COMPROMISOS_2024[[#All],[consecutivo]],"",0),0)</f>
        <v>#NAME?</v>
      </c>
      <c r="U371" s="140" t="e" cm="1">
        <f t="array" aca="1" ref="U371" ca="1">+_xlfn.XLOOKUP(Contrato5[[#This Row],[RCP]],[2]!COMPROMISOS_2024[[#All],[consecutivo]],[2]!COMPROMISOS_2024[[#All],[fecha_aprobacion]],"",0)</f>
        <v>#NAME?</v>
      </c>
      <c r="V371" s="141" t="e">
        <f ca="1">SUMIF([2]!COMPROMISOS_2024[[#All],[consecutivo]],Contrato5[[#This Row],[RCP]],[2]!COMPROMISOS_2024[[#All],[valor_total]])</f>
        <v>#REF!</v>
      </c>
      <c r="W371" s="415">
        <v>45397</v>
      </c>
      <c r="X371" s="415">
        <v>45398</v>
      </c>
      <c r="Y371" s="143">
        <v>45400</v>
      </c>
      <c r="Z371" s="262">
        <v>45580</v>
      </c>
      <c r="AA371" s="171" t="s">
        <v>1059</v>
      </c>
      <c r="AB371" s="227" t="s">
        <v>640</v>
      </c>
      <c r="AC371" s="172"/>
      <c r="AD371" s="211">
        <v>202000004214</v>
      </c>
      <c r="AE371" s="147" t="s">
        <v>523</v>
      </c>
      <c r="AF371" s="148" t="str">
        <f>TEXT(LEFT(Contrato5[[#This Row],[CONTRATO]],3),"0")</f>
        <v>283</v>
      </c>
      <c r="AG371" s="148" t="str">
        <f>IF(LEN(Contrato5[[#This Row],[Contrato2]])=3,Contrato5[[#This Row],[Contrato2]],TEXT(Contrato5[[#This Row],[Contrato2]],"000"))</f>
        <v>283</v>
      </c>
      <c r="AH371" s="149">
        <f ca="1">IFERROR(_xlfn.DAYS(Contrato5[[#This Row],[Fecha Proyectada liquidación]],TODAY())/30,"")</f>
        <v>-1.9333333333333333</v>
      </c>
      <c r="AI371" s="150">
        <f>+Contrato5[[#This Row],[FECHA TERMINACIÓN ]]+120</f>
        <v>45700</v>
      </c>
      <c r="AJ371" s="147"/>
      <c r="AK371" s="152" t="str">
        <f ca="1">IF(Contrato5[[#This Row],[FECHA TERMINACIÓN ]]&lt;TODAY(), "Terminado",IF(ISNUMBER(Contrato5[[#This Row],[Fecha Real de liquiidación ]]),"Liquidado",IF(Contrato5[[#This Row],[FECHA TERMINACIÓN ]]&gt;=TODAY(),"En ejecución","")))</f>
        <v>Terminado</v>
      </c>
      <c r="AL371" s="153" t="e">
        <f ca="1">SUMIF([2]!COMPROMISOS_2024[[#All],[consecutivo]],Contrato5[[#This Row],[RCP]],[2]!COMPROMISOS_2024[[#All],[Total pagado]])</f>
        <v>#REF!</v>
      </c>
      <c r="AM371" s="154">
        <f ca="1">IFERROR(Contrato5[[#This Row],[Pagos]]/Contrato5[[#This Row],[VALOR CONTRATO]],0)</f>
        <v>0</v>
      </c>
      <c r="AN371" s="198" t="e">
        <f ca="1">+Contrato5[[#This Row],[VALOR CONTRATO]]-Contrato5[[#This Row],[Pagos]]</f>
        <v>#REF!</v>
      </c>
      <c r="AO371" s="147" t="e" cm="1">
        <f t="array" aca="1" ref="AO371" ca="1">_xlfn.XLOOKUP(Contrato5[[#This Row],[DOCUMENTO ]],[2]!PERSONAL_ACTIVO_2024[[#All],[Documento identidad]],[2]!PERSONAL_ACTIVO_2024[[#All],[Mail ]],0,0)</f>
        <v>#NAME?</v>
      </c>
      <c r="AP371" s="147" t="e" cm="1">
        <f t="array" aca="1" ref="AP371" ca="1">_xlfn.XLOOKUP(Contrato5[[#This Row],[DOCUMENTO]],[2]!PERSONAL_ACTIVO_2024[[#All],[Documento identidad]],[2]!PERSONAL_ACTIVO_2024[[#All],[Mail ]],0,0)</f>
        <v>#NAME?</v>
      </c>
      <c r="AQ371" s="439" cm="1">
        <f t="array" aca="1" ref="AQ371" ca="1">IF(ISBLANK(Contrato5[[#This Row],[DEPENDENCIA ]]),0,IFERROR(_xlfn.XLOOKUP(Contrato5[[#This Row],[DEPENDENCIA ]],[2]!PERSONAL_ACTIVO_2024[[#All],[Dependencia]],[2]!PERSONAL_ACTIVO_2024[[#All],[Mail ]],0,0),0))</f>
        <v>0</v>
      </c>
    </row>
    <row r="372" spans="1:43" ht="34.5" customHeight="1">
      <c r="A372" s="125">
        <v>641</v>
      </c>
      <c r="B372" s="124">
        <v>284</v>
      </c>
      <c r="C372" s="162" t="s">
        <v>1721</v>
      </c>
      <c r="D372" s="227" t="s">
        <v>583</v>
      </c>
      <c r="E372" s="128" t="s">
        <v>94</v>
      </c>
      <c r="F372" s="163" t="s">
        <v>1376</v>
      </c>
      <c r="G372" s="190" t="s">
        <v>1060</v>
      </c>
      <c r="H372" s="447">
        <v>8104231</v>
      </c>
      <c r="I372" s="455">
        <v>9346824</v>
      </c>
      <c r="J372" s="456">
        <v>91332396</v>
      </c>
      <c r="K372" s="131" t="s">
        <v>1061</v>
      </c>
      <c r="L372" s="438" t="s">
        <v>608</v>
      </c>
      <c r="M372" s="194" t="s">
        <v>592</v>
      </c>
      <c r="N372" s="177" t="e" cm="1">
        <f t="array" aca="1" ref="N372" ca="1">_xlfn.XLOOKUP(Contrato5[[#This Row],[SUPERVISOR TITULAR]],[2]!PERSONAL_ACTIVO_2024[[#All],[Nombre completo]],[2]!PERSONAL_ACTIVO_2024[[#All],[Documento identidad]],"",0)</f>
        <v>#NAME?</v>
      </c>
      <c r="O372" s="194" t="s">
        <v>600</v>
      </c>
      <c r="P372" s="196" t="e" cm="1">
        <f t="array" aca="1" ref="P372" ca="1">_xlfn.XLOOKUP(Contrato5[[#This Row],[SUPERVISOR SUPLENTE ]],[2]!PERSONAL_ACTIVO_2024[[#All],[Nombre completo]],[2]!PERSONAL_ACTIVO_2024[[#All],[Documento identidad]],"",0)</f>
        <v>#NAME?</v>
      </c>
      <c r="Q372" s="208">
        <v>397</v>
      </c>
      <c r="R372" s="137" t="e" cm="1">
        <f t="array" aca="1" ref="R372" ca="1">_xlfn.XLOOKUP(Contrato5[[#This Row],[CDP]],[2]!DISPONIBILIDADES_2024[[#All],[consecutivo]],[2]!DISPONIBILIDADES_2024[[#All],[fecha_aprobacion]],"",0)</f>
        <v>#NAME?</v>
      </c>
      <c r="S372" s="138" t="e">
        <f>SUMIF([2]!DISPONIBILIDADES_2024[[#All],[consecutivo]],Contrato5[[#This Row],[CDP]],[2]!DISPONIBILIDADES_2024[[#All],[valor_total_rubro]])</f>
        <v>#REF!</v>
      </c>
      <c r="T372" s="139" t="e" cm="1">
        <f t="array" aca="1" ref="T372" ca="1">_xlfn.XLOOKUP(Contrato5[[#This Row],[CONTRATO]]&amp;Contrato5[[#This Row],[CDP]],[2]!Corr_Contr_CDP[[#All],[CONTRATO-CDP]],[2]!Corr_Contr_CDP[[#All],[CRP]],_xlfn.XLOOKUP(Contrato5[[#This Row],[CDP]],[2]!COMPROMISOS_2024[[#All],[disponibilidad]],[2]!COMPROMISOS_2024[[#All],[consecutivo]],"",0),0)</f>
        <v>#NAME?</v>
      </c>
      <c r="U372" s="140" t="e" cm="1">
        <f t="array" aca="1" ref="U372" ca="1">+_xlfn.XLOOKUP(Contrato5[[#This Row],[RCP]],[2]!COMPROMISOS_2024[[#All],[consecutivo]],[2]!COMPROMISOS_2024[[#All],[fecha_aprobacion]],"",0)</f>
        <v>#NAME?</v>
      </c>
      <c r="V372" s="141" t="e">
        <f ca="1">SUMIF([2]!COMPROMISOS_2024[[#All],[consecutivo]],Contrato5[[#This Row],[RCP]],[2]!COMPROMISOS_2024[[#All],[valor_total]])</f>
        <v>#REF!</v>
      </c>
      <c r="W372" s="415">
        <v>45408</v>
      </c>
      <c r="X372" s="415" t="s">
        <v>1045</v>
      </c>
      <c r="Y372" s="143">
        <v>45408</v>
      </c>
      <c r="Z372" s="262">
        <v>45657</v>
      </c>
      <c r="AA372" s="171" t="s">
        <v>1062</v>
      </c>
      <c r="AB372" s="227" t="s">
        <v>640</v>
      </c>
      <c r="AC372" s="172"/>
      <c r="AD372" s="211">
        <v>202000004215</v>
      </c>
      <c r="AE372" s="147" t="s">
        <v>523</v>
      </c>
      <c r="AF372" s="148" t="str">
        <f>TEXT(LEFT(Contrato5[[#This Row],[CONTRATO]],3),"0")</f>
        <v>284</v>
      </c>
      <c r="AG372" s="148" t="str">
        <f>IF(LEN(Contrato5[[#This Row],[Contrato2]])=3,Contrato5[[#This Row],[Contrato2]],TEXT(Contrato5[[#This Row],[Contrato2]],"000"))</f>
        <v>284</v>
      </c>
      <c r="AH372" s="149">
        <f ca="1">IFERROR(_xlfn.DAYS(Contrato5[[#This Row],[Fecha Proyectada liquidación]],TODAY())/30,"")</f>
        <v>0.6333333333333333</v>
      </c>
      <c r="AI372" s="150">
        <f>+Contrato5[[#This Row],[FECHA TERMINACIÓN ]]+120</f>
        <v>45777</v>
      </c>
      <c r="AJ372" s="147"/>
      <c r="AK372" s="152" t="str">
        <f ca="1">IF(Contrato5[[#This Row],[FECHA TERMINACIÓN ]]&lt;TODAY(), "Terminado",IF(ISNUMBER(Contrato5[[#This Row],[Fecha Real de liquiidación ]]),"Liquidado",IF(Contrato5[[#This Row],[FECHA TERMINACIÓN ]]&gt;=TODAY(),"En ejecución","")))</f>
        <v>Terminado</v>
      </c>
      <c r="AL372" s="153" t="e">
        <f ca="1">SUMIF([2]!COMPROMISOS_2024[[#All],[consecutivo]],Contrato5[[#This Row],[RCP]],[2]!COMPROMISOS_2024[[#All],[Total pagado]])</f>
        <v>#REF!</v>
      </c>
      <c r="AM372" s="154">
        <f ca="1">IFERROR(Contrato5[[#This Row],[Pagos]]/Contrato5[[#This Row],[VALOR CONTRATO]],0)</f>
        <v>0</v>
      </c>
      <c r="AN372" s="198" t="e">
        <f ca="1">+Contrato5[[#This Row],[VALOR CONTRATO]]-Contrato5[[#This Row],[Pagos]]</f>
        <v>#REF!</v>
      </c>
      <c r="AO372" s="147" t="e" cm="1">
        <f t="array" aca="1" ref="AO372" ca="1">_xlfn.XLOOKUP(Contrato5[[#This Row],[DOCUMENTO ]],[2]!PERSONAL_ACTIVO_2024[[#All],[Documento identidad]],[2]!PERSONAL_ACTIVO_2024[[#All],[Mail ]],0,0)</f>
        <v>#NAME?</v>
      </c>
      <c r="AP372" s="147" t="e" cm="1">
        <f t="array" aca="1" ref="AP372" ca="1">_xlfn.XLOOKUP(Contrato5[[#This Row],[DOCUMENTO]],[2]!PERSONAL_ACTIVO_2024[[#All],[Documento identidad]],[2]!PERSONAL_ACTIVO_2024[[#All],[Mail ]],0,0)</f>
        <v>#NAME?</v>
      </c>
      <c r="AQ372" s="439" cm="1">
        <f t="array" aca="1" ref="AQ372" ca="1">IF(ISBLANK(Contrato5[[#This Row],[DEPENDENCIA ]]),0,IFERROR(_xlfn.XLOOKUP(Contrato5[[#This Row],[DEPENDENCIA ]],[2]!PERSONAL_ACTIVO_2024[[#All],[Dependencia]],[2]!PERSONAL_ACTIVO_2024[[#All],[Mail ]],0,0),0))</f>
        <v>0</v>
      </c>
    </row>
    <row r="373" spans="1:43" ht="34.5" customHeight="1">
      <c r="A373" s="125">
        <v>632</v>
      </c>
      <c r="B373" s="124">
        <v>285</v>
      </c>
      <c r="C373" s="162" t="s">
        <v>1439</v>
      </c>
      <c r="D373" s="227" t="s">
        <v>623</v>
      </c>
      <c r="E373" s="128" t="s">
        <v>94</v>
      </c>
      <c r="F373" s="163" t="s">
        <v>161</v>
      </c>
      <c r="G373" s="190" t="s">
        <v>516</v>
      </c>
      <c r="H373" s="447">
        <v>901437957</v>
      </c>
      <c r="I373" s="455" t="s">
        <v>42</v>
      </c>
      <c r="J373" s="456">
        <v>1000000000</v>
      </c>
      <c r="K373" s="147" t="s">
        <v>42</v>
      </c>
      <c r="L373" s="438" t="s">
        <v>496</v>
      </c>
      <c r="M373" s="194" t="s">
        <v>2602</v>
      </c>
      <c r="N373" s="177" t="e" cm="1">
        <f t="array" aca="1" ref="N373" ca="1">_xlfn.XLOOKUP(Contrato5[[#This Row],[SUPERVISOR TITULAR]],[2]!PERSONAL_ACTIVO_2024[[#All],[Nombre completo]],[2]!PERSONAL_ACTIVO_2024[[#All],[Documento identidad]],"",0)</f>
        <v>#NAME?</v>
      </c>
      <c r="O373" s="194" t="s">
        <v>925</v>
      </c>
      <c r="P373" s="196" t="e" cm="1">
        <f t="array" aca="1" ref="P373" ca="1">_xlfn.XLOOKUP(Contrato5[[#This Row],[SUPERVISOR SUPLENTE ]],[2]!PERSONAL_ACTIVO_2024[[#All],[Nombre completo]],[2]!PERSONAL_ACTIVO_2024[[#All],[Documento identidad]],"",0)</f>
        <v>#NAME?</v>
      </c>
      <c r="Q373" s="208">
        <v>369</v>
      </c>
      <c r="R373" s="137" t="e" cm="1">
        <f t="array" aca="1" ref="R373" ca="1">_xlfn.XLOOKUP(Contrato5[[#This Row],[CDP]],[2]!DISPONIBILIDADES_2024[[#All],[consecutivo]],[2]!DISPONIBILIDADES_2024[[#All],[fecha_aprobacion]],"",0)</f>
        <v>#NAME?</v>
      </c>
      <c r="S373" s="138" t="e">
        <f>SUMIF([2]!DISPONIBILIDADES_2024[[#All],[consecutivo]],Contrato5[[#This Row],[CDP]],[2]!DISPONIBILIDADES_2024[[#All],[valor_total_rubro]])</f>
        <v>#REF!</v>
      </c>
      <c r="T373" s="139" t="e" cm="1">
        <f t="array" aca="1" ref="T373" ca="1">_xlfn.XLOOKUP(Contrato5[[#This Row],[CONTRATO]]&amp;Contrato5[[#This Row],[CDP]],[2]!Corr_Contr_CDP[[#All],[CONTRATO-CDP]],[2]!Corr_Contr_CDP[[#All],[CRP]],_xlfn.XLOOKUP(Contrato5[[#This Row],[CDP]],[2]!COMPROMISOS_2024[[#All],[disponibilidad]],[2]!COMPROMISOS_2024[[#All],[consecutivo]],"",0),0)</f>
        <v>#NAME?</v>
      </c>
      <c r="U373" s="140" t="e" cm="1">
        <f t="array" aca="1" ref="U373" ca="1">+_xlfn.XLOOKUP(Contrato5[[#This Row],[RCP]],[2]!COMPROMISOS_2024[[#All],[consecutivo]],[2]!COMPROMISOS_2024[[#All],[fecha_aprobacion]],"",0)</f>
        <v>#NAME?</v>
      </c>
      <c r="V373" s="141" t="e">
        <f ca="1">SUMIF([2]!COMPROMISOS_2024[[#All],[consecutivo]],Contrato5[[#This Row],[RCP]],[2]!COMPROMISOS_2024[[#All],[valor_total]])</f>
        <v>#REF!</v>
      </c>
      <c r="W373" s="415">
        <v>45397</v>
      </c>
      <c r="X373" s="415">
        <v>45397</v>
      </c>
      <c r="Y373" s="143">
        <v>45398</v>
      </c>
      <c r="Z373" s="262">
        <v>45657</v>
      </c>
      <c r="AA373" s="183" t="s">
        <v>1063</v>
      </c>
      <c r="AB373" s="172" t="s">
        <v>1037</v>
      </c>
      <c r="AC373" s="172"/>
      <c r="AD373" s="211">
        <v>202000004216</v>
      </c>
      <c r="AE373" s="147" t="s">
        <v>523</v>
      </c>
      <c r="AF373" s="148" t="str">
        <f>TEXT(LEFT(Contrato5[[#This Row],[CONTRATO]],3),"0")</f>
        <v>285</v>
      </c>
      <c r="AG373" s="148" t="str">
        <f>IF(LEN(Contrato5[[#This Row],[Contrato2]])=3,Contrato5[[#This Row],[Contrato2]],TEXT(Contrato5[[#This Row],[Contrato2]],"000"))</f>
        <v>285</v>
      </c>
      <c r="AH373" s="149">
        <f ca="1">IFERROR(_xlfn.DAYS(Contrato5[[#This Row],[Fecha Proyectada liquidación]],TODAY())/30,"")</f>
        <v>0.6333333333333333</v>
      </c>
      <c r="AI373" s="150">
        <f>+Contrato5[[#This Row],[FECHA TERMINACIÓN ]]+120</f>
        <v>45777</v>
      </c>
      <c r="AJ373" s="147"/>
      <c r="AK373" s="152" t="str">
        <f ca="1">IF(Contrato5[[#This Row],[FECHA TERMINACIÓN ]]&lt;TODAY(), "Terminado",IF(ISNUMBER(Contrato5[[#This Row],[Fecha Real de liquiidación ]]),"Liquidado",IF(Contrato5[[#This Row],[FECHA TERMINACIÓN ]]&gt;=TODAY(),"En ejecución","")))</f>
        <v>Terminado</v>
      </c>
      <c r="AL373" s="153" t="e">
        <f ca="1">SUMIF([2]!COMPROMISOS_2024[[#All],[consecutivo]],Contrato5[[#This Row],[RCP]],[2]!COMPROMISOS_2024[[#All],[Total pagado]])</f>
        <v>#REF!</v>
      </c>
      <c r="AM373" s="154">
        <f ca="1">IFERROR(Contrato5[[#This Row],[Pagos]]/Contrato5[[#This Row],[VALOR CONTRATO]],0)</f>
        <v>0</v>
      </c>
      <c r="AN373" s="198" t="e">
        <f ca="1">+Contrato5[[#This Row],[VALOR CONTRATO]]-Contrato5[[#This Row],[Pagos]]</f>
        <v>#REF!</v>
      </c>
      <c r="AO373" s="147" t="e" cm="1">
        <f t="array" aca="1" ref="AO373" ca="1">_xlfn.XLOOKUP(Contrato5[[#This Row],[DOCUMENTO ]],[2]!PERSONAL_ACTIVO_2024[[#All],[Documento identidad]],[2]!PERSONAL_ACTIVO_2024[[#All],[Mail ]],0,0)</f>
        <v>#NAME?</v>
      </c>
      <c r="AP373" s="147" t="e" cm="1">
        <f t="array" aca="1" ref="AP373" ca="1">_xlfn.XLOOKUP(Contrato5[[#This Row],[DOCUMENTO]],[2]!PERSONAL_ACTIVO_2024[[#All],[Documento identidad]],[2]!PERSONAL_ACTIVO_2024[[#All],[Mail ]],0,0)</f>
        <v>#NAME?</v>
      </c>
      <c r="AQ373" s="439" cm="1">
        <f t="array" aca="1" ref="AQ373" ca="1">IF(ISBLANK(Contrato5[[#This Row],[DEPENDENCIA ]]),0,IFERROR(_xlfn.XLOOKUP(Contrato5[[#This Row],[DEPENDENCIA ]],[2]!PERSONAL_ACTIVO_2024[[#All],[Dependencia]],[2]!PERSONAL_ACTIVO_2024[[#All],[Mail ]],0,0),0))</f>
        <v>0</v>
      </c>
    </row>
    <row r="374" spans="1:43" ht="34.5" customHeight="1">
      <c r="A374" s="147">
        <v>1231</v>
      </c>
      <c r="B374" s="124">
        <v>285</v>
      </c>
      <c r="C374" s="162" t="s">
        <v>2058</v>
      </c>
      <c r="D374" s="227" t="s">
        <v>623</v>
      </c>
      <c r="E374" s="440" t="s">
        <v>2148</v>
      </c>
      <c r="F374" s="163" t="s">
        <v>161</v>
      </c>
      <c r="G374" s="190" t="s">
        <v>516</v>
      </c>
      <c r="H374" s="447">
        <v>901437957</v>
      </c>
      <c r="I374" s="455" t="s">
        <v>42</v>
      </c>
      <c r="J374" s="456">
        <v>500000000</v>
      </c>
      <c r="K374" s="147" t="s">
        <v>42</v>
      </c>
      <c r="L374" s="438" t="s">
        <v>2595</v>
      </c>
      <c r="M374" s="194" t="s">
        <v>2602</v>
      </c>
      <c r="N374" s="177" t="e" cm="1">
        <f t="array" aca="1" ref="N374" ca="1">_xlfn.XLOOKUP(Contrato5[[#This Row],[SUPERVISOR TITULAR]],[2]!PERSONAL_ACTIVO_2024[[#All],[Nombre completo]],[2]!PERSONAL_ACTIVO_2024[[#All],[Documento identidad]],"",0)</f>
        <v>#NAME?</v>
      </c>
      <c r="O374" s="194" t="s">
        <v>925</v>
      </c>
      <c r="P374" s="196" t="e" cm="1">
        <f t="array" aca="1" ref="P374" ca="1">_xlfn.XLOOKUP(Contrato5[[#This Row],[SUPERVISOR SUPLENTE ]],[2]!PERSONAL_ACTIVO_2024[[#All],[Nombre completo]],[2]!PERSONAL_ACTIVO_2024[[#All],[Documento identidad]],"",0)</f>
        <v>#NAME?</v>
      </c>
      <c r="Q374" s="208">
        <v>1051</v>
      </c>
      <c r="R374" s="137" t="e" cm="1">
        <f t="array" aca="1" ref="R374" ca="1">_xlfn.XLOOKUP(Contrato5[[#This Row],[CDP]],[2]!DISPONIBILIDADES_2024[[#All],[consecutivo]],[2]!DISPONIBILIDADES_2024[[#All],[fecha_aprobacion]],"",0)</f>
        <v>#NAME?</v>
      </c>
      <c r="S374" s="138" t="e">
        <f>SUMIF([2]!DISPONIBILIDADES_2024[[#All],[consecutivo]],Contrato5[[#This Row],[CDP]],[2]!DISPONIBILIDADES_2024[[#All],[valor_total_rubro]])</f>
        <v>#REF!</v>
      </c>
      <c r="T374" s="139" t="e" cm="1">
        <f t="array" aca="1" ref="T374" ca="1">_xlfn.XLOOKUP(Contrato5[[#This Row],[CONTRATO]]&amp;Contrato5[[#This Row],[CDP]],[2]!Corr_Contr_CDP[[#All],[CONTRATO-CDP]],[2]!Corr_Contr_CDP[[#All],[CRP]],_xlfn.XLOOKUP(Contrato5[[#This Row],[CDP]],[2]!COMPROMISOS_2024[[#All],[disponibilidad]],[2]!COMPROMISOS_2024[[#All],[consecutivo]],"",0),0)</f>
        <v>#NAME?</v>
      </c>
      <c r="U374" s="140" t="e" cm="1">
        <f t="array" aca="1" ref="U374" ca="1">+_xlfn.XLOOKUP(Contrato5[[#This Row],[RCP]],[2]!COMPROMISOS_2024[[#All],[consecutivo]],[2]!COMPROMISOS_2024[[#All],[fecha_aprobacion]],"",0)</f>
        <v>#NAME?</v>
      </c>
      <c r="V374" s="141" t="e">
        <f ca="1">SUMIF([2]!COMPROMISOS_2024[[#All],[consecutivo]],Contrato5[[#This Row],[RCP]],[2]!COMPROMISOS_2024[[#All],[valor_total]])</f>
        <v>#REF!</v>
      </c>
      <c r="W374" s="415">
        <v>45590</v>
      </c>
      <c r="X374" s="415">
        <v>45591</v>
      </c>
      <c r="Y374" s="143">
        <v>45398</v>
      </c>
      <c r="Z374" s="262">
        <v>45657</v>
      </c>
      <c r="AA374" s="183"/>
      <c r="AB374" s="172" t="s">
        <v>42</v>
      </c>
      <c r="AC374" s="127"/>
      <c r="AD374" s="211"/>
      <c r="AE374" s="147"/>
      <c r="AF374" s="148" t="str">
        <f>TEXT(LEFT(Contrato5[[#This Row],[CONTRATO]],3),"0")</f>
        <v>285</v>
      </c>
      <c r="AG374" s="148" t="str">
        <f>IF(LEN(Contrato5[[#This Row],[Contrato2]])=3,Contrato5[[#This Row],[Contrato2]],TEXT(Contrato5[[#This Row],[Contrato2]],"000"))</f>
        <v>285</v>
      </c>
      <c r="AH374" s="149">
        <f ca="1">IFERROR(_xlfn.DAYS(Contrato5[[#This Row],[Fecha Proyectada liquidación]],TODAY())/30,"")</f>
        <v>0.6333333333333333</v>
      </c>
      <c r="AI374" s="150">
        <f>+Contrato5[[#This Row],[FECHA TERMINACIÓN ]]+120</f>
        <v>45777</v>
      </c>
      <c r="AJ374" s="147"/>
      <c r="AK374" s="152" t="str">
        <f ca="1">IF(Contrato5[[#This Row],[FECHA TERMINACIÓN ]]&lt;TODAY(), "Terminado",IF(ISNUMBER(Contrato5[[#This Row],[Fecha Real de liquiidación ]]),"Liquidado",IF(Contrato5[[#This Row],[FECHA TERMINACIÓN ]]&gt;=TODAY(),"En ejecución","")))</f>
        <v>Terminado</v>
      </c>
      <c r="AL374" s="153" t="e">
        <f ca="1">SUMIF([2]!COMPROMISOS_2024[[#All],[consecutivo]],Contrato5[[#This Row],[RCP]],[2]!COMPROMISOS_2024[[#All],[Total pagado]])</f>
        <v>#REF!</v>
      </c>
      <c r="AM374" s="154">
        <f ca="1">IFERROR(Contrato5[[#This Row],[Pagos]]/Contrato5[[#This Row],[VALOR CONTRATO]],0)</f>
        <v>0</v>
      </c>
      <c r="AN374" s="198" t="e">
        <f ca="1">+Contrato5[[#This Row],[VALOR CONTRATO]]-Contrato5[[#This Row],[Pagos]]</f>
        <v>#REF!</v>
      </c>
      <c r="AO374" s="147" t="e" cm="1">
        <f t="array" aca="1" ref="AO374" ca="1">_xlfn.XLOOKUP(Contrato5[[#This Row],[DOCUMENTO ]],[2]!PERSONAL_ACTIVO_2024[[#All],[Documento identidad]],[2]!PERSONAL_ACTIVO_2024[[#All],[Mail ]],0,0)</f>
        <v>#NAME?</v>
      </c>
      <c r="AP374" s="147" t="e" cm="1">
        <f t="array" aca="1" ref="AP374" ca="1">_xlfn.XLOOKUP(Contrato5[[#This Row],[DOCUMENTO]],[2]!PERSONAL_ACTIVO_2024[[#All],[Documento identidad]],[2]!PERSONAL_ACTIVO_2024[[#All],[Mail ]],0,0)</f>
        <v>#NAME?</v>
      </c>
      <c r="AQ374" s="439" cm="1">
        <f t="array" aca="1" ref="AQ374" ca="1">IF(ISBLANK(Contrato5[[#This Row],[DEPENDENCIA ]]),0,IFERROR(_xlfn.XLOOKUP(Contrato5[[#This Row],[DEPENDENCIA ]],[2]!PERSONAL_ACTIVO_2024[[#All],[Dependencia]],[2]!PERSONAL_ACTIVO_2024[[#All],[Mail ]],0,0),0))</f>
        <v>0</v>
      </c>
    </row>
    <row r="375" spans="1:43" ht="34.5" customHeight="1">
      <c r="A375" s="125">
        <v>645</v>
      </c>
      <c r="B375" s="124">
        <v>286</v>
      </c>
      <c r="C375" s="162" t="s">
        <v>1719</v>
      </c>
      <c r="D375" s="227" t="s">
        <v>583</v>
      </c>
      <c r="E375" s="128" t="s">
        <v>94</v>
      </c>
      <c r="F375" s="163" t="s">
        <v>1376</v>
      </c>
      <c r="G375" s="190" t="s">
        <v>1064</v>
      </c>
      <c r="H375" s="447">
        <v>1039453965</v>
      </c>
      <c r="I375" s="455">
        <v>9346824</v>
      </c>
      <c r="J375" s="456">
        <v>76332396</v>
      </c>
      <c r="K375" s="147" t="s">
        <v>42</v>
      </c>
      <c r="L375" s="438" t="s">
        <v>608</v>
      </c>
      <c r="M375" s="194" t="s">
        <v>585</v>
      </c>
      <c r="N375" s="177" t="e" cm="1">
        <f t="array" aca="1" ref="N375" ca="1">_xlfn.XLOOKUP(Contrato5[[#This Row],[SUPERVISOR TITULAR]],[2]!PERSONAL_ACTIVO_2024[[#All],[Nombre completo]],[2]!PERSONAL_ACTIVO_2024[[#All],[Documento identidad]],"",0)</f>
        <v>#NAME?</v>
      </c>
      <c r="O375" s="194" t="s">
        <v>586</v>
      </c>
      <c r="P375" s="196" t="e" cm="1">
        <f t="array" aca="1" ref="P375" ca="1">_xlfn.XLOOKUP(Contrato5[[#This Row],[SUPERVISOR SUPLENTE ]],[2]!PERSONAL_ACTIVO_2024[[#All],[Nombre completo]],[2]!PERSONAL_ACTIVO_2024[[#All],[Documento identidad]],"",0)</f>
        <v>#NAME?</v>
      </c>
      <c r="Q375" s="208">
        <v>412</v>
      </c>
      <c r="R375" s="137" t="e" cm="1">
        <f t="array" aca="1" ref="R375" ca="1">_xlfn.XLOOKUP(Contrato5[[#This Row],[CDP]],[2]!DISPONIBILIDADES_2024[[#All],[consecutivo]],[2]!DISPONIBILIDADES_2024[[#All],[fecha_aprobacion]],"",0)</f>
        <v>#NAME?</v>
      </c>
      <c r="S375" s="138" t="e">
        <f>SUMIF([2]!DISPONIBILIDADES_2024[[#All],[consecutivo]],Contrato5[[#This Row],[CDP]],[2]!DISPONIBILIDADES_2024[[#All],[valor_total_rubro]])</f>
        <v>#REF!</v>
      </c>
      <c r="T375" s="139" t="e" cm="1">
        <f t="array" aca="1" ref="T375" ca="1">_xlfn.XLOOKUP(Contrato5[[#This Row],[CONTRATO]]&amp;Contrato5[[#This Row],[CDP]],[2]!Corr_Contr_CDP[[#All],[CONTRATO-CDP]],[2]!Corr_Contr_CDP[[#All],[CRP]],_xlfn.XLOOKUP(Contrato5[[#This Row],[CDP]],[2]!COMPROMISOS_2024[[#All],[disponibilidad]],[2]!COMPROMISOS_2024[[#All],[consecutivo]],"",0),0)</f>
        <v>#NAME?</v>
      </c>
      <c r="U375" s="140" t="e" cm="1">
        <f t="array" aca="1" ref="U375" ca="1">+_xlfn.XLOOKUP(Contrato5[[#This Row],[RCP]],[2]!COMPROMISOS_2024[[#All],[consecutivo]],[2]!COMPROMISOS_2024[[#All],[fecha_aprobacion]],"",0)</f>
        <v>#NAME?</v>
      </c>
      <c r="V375" s="141" t="e">
        <f ca="1">SUMIF([2]!COMPROMISOS_2024[[#All],[consecutivo]],Contrato5[[#This Row],[RCP]],[2]!COMPROMISOS_2024[[#All],[valor_total]])</f>
        <v>#REF!</v>
      </c>
      <c r="W375" s="415">
        <v>45408</v>
      </c>
      <c r="X375" s="415" t="s">
        <v>1045</v>
      </c>
      <c r="Y375" s="143">
        <v>45408</v>
      </c>
      <c r="Z375" s="262">
        <v>45657</v>
      </c>
      <c r="AA375" s="171" t="s">
        <v>1065</v>
      </c>
      <c r="AB375" s="227" t="s">
        <v>1066</v>
      </c>
      <c r="AC375" s="172"/>
      <c r="AD375" s="263">
        <v>202000004217</v>
      </c>
      <c r="AE375" s="147" t="s">
        <v>523</v>
      </c>
      <c r="AF375" s="148" t="str">
        <f>TEXT(LEFT(Contrato5[[#This Row],[CONTRATO]],3),"0")</f>
        <v>286</v>
      </c>
      <c r="AG375" s="148" t="str">
        <f>IF(LEN(Contrato5[[#This Row],[Contrato2]])=3,Contrato5[[#This Row],[Contrato2]],TEXT(Contrato5[[#This Row],[Contrato2]],"000"))</f>
        <v>286</v>
      </c>
      <c r="AH375" s="149">
        <f ca="1">IFERROR(_xlfn.DAYS(Contrato5[[#This Row],[Fecha Proyectada liquidación]],TODAY())/30,"")</f>
        <v>0.6333333333333333</v>
      </c>
      <c r="AI375" s="150">
        <f>+Contrato5[[#This Row],[FECHA TERMINACIÓN ]]+120</f>
        <v>45777</v>
      </c>
      <c r="AJ375" s="147"/>
      <c r="AK375" s="152" t="str">
        <f ca="1">IF(Contrato5[[#This Row],[FECHA TERMINACIÓN ]]&lt;TODAY(), "Terminado",IF(ISNUMBER(Contrato5[[#This Row],[Fecha Real de liquiidación ]]),"Liquidado",IF(Contrato5[[#This Row],[FECHA TERMINACIÓN ]]&gt;=TODAY(),"En ejecución","")))</f>
        <v>Terminado</v>
      </c>
      <c r="AL375" s="153" t="e">
        <f ca="1">SUMIF([2]!COMPROMISOS_2024[[#All],[consecutivo]],Contrato5[[#This Row],[RCP]],[2]!COMPROMISOS_2024[[#All],[Total pagado]])</f>
        <v>#REF!</v>
      </c>
      <c r="AM375" s="154">
        <f ca="1">IFERROR(Contrato5[[#This Row],[Pagos]]/Contrato5[[#This Row],[VALOR CONTRATO]],0)</f>
        <v>0</v>
      </c>
      <c r="AN375" s="198" t="e">
        <f ca="1">+Contrato5[[#This Row],[VALOR CONTRATO]]-Contrato5[[#This Row],[Pagos]]</f>
        <v>#REF!</v>
      </c>
      <c r="AO375" s="147" t="e" cm="1">
        <f t="array" aca="1" ref="AO375" ca="1">_xlfn.XLOOKUP(Contrato5[[#This Row],[DOCUMENTO ]],[2]!PERSONAL_ACTIVO_2024[[#All],[Documento identidad]],[2]!PERSONAL_ACTIVO_2024[[#All],[Mail ]],0,0)</f>
        <v>#NAME?</v>
      </c>
      <c r="AP375" s="147" t="e" cm="1">
        <f t="array" aca="1" ref="AP375" ca="1">_xlfn.XLOOKUP(Contrato5[[#This Row],[DOCUMENTO]],[2]!PERSONAL_ACTIVO_2024[[#All],[Documento identidad]],[2]!PERSONAL_ACTIVO_2024[[#All],[Mail ]],0,0)</f>
        <v>#NAME?</v>
      </c>
      <c r="AQ375" s="439" cm="1">
        <f t="array" aca="1" ref="AQ375" ca="1">IF(ISBLANK(Contrato5[[#This Row],[DEPENDENCIA ]]),0,IFERROR(_xlfn.XLOOKUP(Contrato5[[#This Row],[DEPENDENCIA ]],[2]!PERSONAL_ACTIVO_2024[[#All],[Dependencia]],[2]!PERSONAL_ACTIVO_2024[[#All],[Mail ]],0,0),0))</f>
        <v>0</v>
      </c>
    </row>
    <row r="376" spans="1:43" ht="34.5" customHeight="1">
      <c r="A376" s="125" t="s">
        <v>42</v>
      </c>
      <c r="B376" s="124">
        <v>287</v>
      </c>
      <c r="C376" s="162" t="s">
        <v>1817</v>
      </c>
      <c r="D376" s="227" t="s">
        <v>510</v>
      </c>
      <c r="E376" s="281" t="s">
        <v>813</v>
      </c>
      <c r="F376" s="163" t="s">
        <v>1376</v>
      </c>
      <c r="G376" s="190" t="s">
        <v>1067</v>
      </c>
      <c r="H376" s="447">
        <v>1017222456</v>
      </c>
      <c r="I376" s="455">
        <v>6879081</v>
      </c>
      <c r="J376" s="456">
        <v>69851270</v>
      </c>
      <c r="K376" s="131" t="s">
        <v>813</v>
      </c>
      <c r="L376" s="438" t="s">
        <v>42</v>
      </c>
      <c r="M376" s="194"/>
      <c r="N376" s="177" t="e" cm="1">
        <f t="array" aca="1" ref="N376" ca="1">_xlfn.XLOOKUP(Contrato5[[#This Row],[SUPERVISOR TITULAR]],[2]!PERSONAL_ACTIVO_2024[[#All],[Nombre completo]],[2]!PERSONAL_ACTIVO_2024[[#All],[Documento identidad]],"",0)</f>
        <v>#NAME?</v>
      </c>
      <c r="O376" s="194"/>
      <c r="P376" s="196" t="e" cm="1">
        <f t="array" aca="1" ref="P376" ca="1">_xlfn.XLOOKUP(Contrato5[[#This Row],[SUPERVISOR SUPLENTE ]],[2]!PERSONAL_ACTIVO_2024[[#All],[Nombre completo]],[2]!PERSONAL_ACTIVO_2024[[#All],[Documento identidad]],"",0)</f>
        <v>#NAME?</v>
      </c>
      <c r="Q376" s="208"/>
      <c r="R376" s="137" t="e" cm="1">
        <f t="array" aca="1" ref="R376" ca="1">_xlfn.XLOOKUP(Contrato5[[#This Row],[CDP]],[2]!DISPONIBILIDADES_2024[[#All],[consecutivo]],[2]!DISPONIBILIDADES_2024[[#All],[fecha_aprobacion]],"",0)</f>
        <v>#NAME?</v>
      </c>
      <c r="S376" s="138" t="e">
        <f>SUMIF([2]!DISPONIBILIDADES_2024[[#All],[consecutivo]],Contrato5[[#This Row],[CDP]],[2]!DISPONIBILIDADES_2024[[#All],[valor_total_rubro]])</f>
        <v>#REF!</v>
      </c>
      <c r="T376" s="139" t="e" cm="1">
        <f t="array" aca="1" ref="T376" ca="1">_xlfn.XLOOKUP(Contrato5[[#This Row],[CONTRATO]]&amp;Contrato5[[#This Row],[CDP]],[2]!Corr_Contr_CDP[[#All],[CONTRATO-CDP]],[2]!Corr_Contr_CDP[[#All],[CRP]],_xlfn.XLOOKUP(Contrato5[[#This Row],[CDP]],[2]!COMPROMISOS_2024[[#All],[disponibilidad]],[2]!COMPROMISOS_2024[[#All],[consecutivo]],"",0),0)</f>
        <v>#NAME?</v>
      </c>
      <c r="U376" s="140" t="e" cm="1">
        <f t="array" aca="1" ref="U376" ca="1">+_xlfn.XLOOKUP(Contrato5[[#This Row],[RCP]],[2]!COMPROMISOS_2024[[#All],[consecutivo]],[2]!COMPROMISOS_2024[[#All],[fecha_aprobacion]],"",0)</f>
        <v>#NAME?</v>
      </c>
      <c r="V376" s="141" t="e">
        <f ca="1">SUMIF([2]!COMPROMISOS_2024[[#All],[consecutivo]],Contrato5[[#This Row],[RCP]],[2]!COMPROMISOS_2024[[#All],[valor_total]])</f>
        <v>#REF!</v>
      </c>
      <c r="W376" s="415"/>
      <c r="X376" s="415"/>
      <c r="Y376" s="143" t="e">
        <f ca="1">+LEFT(_xlfn.XLOOKUP(Contrato5[[#This Row],[CONTRATO3DIG]],[2]SECOP_II!AE:AE,[2]SECOP_II!F:F,"",0),10)</f>
        <v>#NAME?</v>
      </c>
      <c r="Z376" s="262"/>
      <c r="AA376" s="183"/>
      <c r="AB376" s="227" t="s">
        <v>874</v>
      </c>
      <c r="AC376" s="172"/>
      <c r="AD376" s="263"/>
      <c r="AE376" s="147"/>
      <c r="AF376" s="148" t="str">
        <f>TEXT(LEFT(Contrato5[[#This Row],[CONTRATO]],3),"0")</f>
        <v>287</v>
      </c>
      <c r="AG376" s="148" t="str">
        <f>IF(LEN(Contrato5[[#This Row],[Contrato2]])=3,Contrato5[[#This Row],[Contrato2]],TEXT(Contrato5[[#This Row],[Contrato2]],"000"))</f>
        <v>287</v>
      </c>
      <c r="AH376" s="149">
        <f ca="1">IFERROR(_xlfn.DAYS(Contrato5[[#This Row],[Fecha Proyectada liquidación]],TODAY())/30,"")</f>
        <v>-1521.2666666666667</v>
      </c>
      <c r="AI376" s="150">
        <f>+Contrato5[[#This Row],[FECHA TERMINACIÓN ]]+120</f>
        <v>120</v>
      </c>
      <c r="AJ376" s="147"/>
      <c r="AK376" s="152" t="str">
        <f ca="1">IF(Contrato5[[#This Row],[FECHA TERMINACIÓN ]]&lt;TODAY(), "Terminado",IF(ISNUMBER(Contrato5[[#This Row],[Fecha Real de liquiidación ]]),"Liquidado",IF(Contrato5[[#This Row],[FECHA TERMINACIÓN ]]&gt;=TODAY(),"En ejecución","")))</f>
        <v>Terminado</v>
      </c>
      <c r="AL376" s="153" t="e">
        <f ca="1">SUMIF([2]!COMPROMISOS_2024[[#All],[consecutivo]],Contrato5[[#This Row],[RCP]],[2]!COMPROMISOS_2024[[#All],[Total pagado]])</f>
        <v>#REF!</v>
      </c>
      <c r="AM376" s="154">
        <f ca="1">IFERROR(Contrato5[[#This Row],[Pagos]]/Contrato5[[#This Row],[VALOR CONTRATO]],0)</f>
        <v>0</v>
      </c>
      <c r="AN376" s="198" t="e">
        <f ca="1">+Contrato5[[#This Row],[VALOR CONTRATO]]-Contrato5[[#This Row],[Pagos]]</f>
        <v>#REF!</v>
      </c>
      <c r="AO376" s="147" t="e" cm="1">
        <f t="array" aca="1" ref="AO376" ca="1">_xlfn.XLOOKUP(Contrato5[[#This Row],[DOCUMENTO ]],[2]!PERSONAL_ACTIVO_2024[[#All],[Documento identidad]],[2]!PERSONAL_ACTIVO_2024[[#All],[Mail ]],0,0)</f>
        <v>#NAME?</v>
      </c>
      <c r="AP376" s="147" t="e" cm="1">
        <f t="array" aca="1" ref="AP376" ca="1">_xlfn.XLOOKUP(Contrato5[[#This Row],[DOCUMENTO]],[2]!PERSONAL_ACTIVO_2024[[#All],[Documento identidad]],[2]!PERSONAL_ACTIVO_2024[[#All],[Mail ]],0,0)</f>
        <v>#NAME?</v>
      </c>
      <c r="AQ376" s="439" cm="1">
        <f t="array" aca="1" ref="AQ376" ca="1">IF(ISBLANK(Contrato5[[#This Row],[DEPENDENCIA ]]),0,IFERROR(_xlfn.XLOOKUP(Contrato5[[#This Row],[DEPENDENCIA ]],[2]!PERSONAL_ACTIVO_2024[[#All],[Dependencia]],[2]!PERSONAL_ACTIVO_2024[[#All],[Mail ]],0,0),0))</f>
        <v>0</v>
      </c>
    </row>
    <row r="377" spans="1:43" ht="34.5" customHeight="1">
      <c r="A377" s="125">
        <v>125</v>
      </c>
      <c r="B377" s="124">
        <v>288</v>
      </c>
      <c r="C377" s="162" t="s">
        <v>1545</v>
      </c>
      <c r="D377" s="227" t="s">
        <v>583</v>
      </c>
      <c r="E377" s="128" t="s">
        <v>94</v>
      </c>
      <c r="F377" s="163" t="s">
        <v>222</v>
      </c>
      <c r="G377" s="190" t="s">
        <v>1068</v>
      </c>
      <c r="H377" s="447">
        <v>890906266</v>
      </c>
      <c r="I377" s="455" t="s">
        <v>42</v>
      </c>
      <c r="J377" s="456">
        <v>450000000</v>
      </c>
      <c r="K377" s="147" t="s">
        <v>42</v>
      </c>
      <c r="L377" s="438" t="s">
        <v>1044</v>
      </c>
      <c r="M377" s="194" t="s">
        <v>600</v>
      </c>
      <c r="N377" s="177" t="e" cm="1">
        <f t="array" aca="1" ref="N377" ca="1">_xlfn.XLOOKUP(Contrato5[[#This Row],[SUPERVISOR TITULAR]],[2]!PERSONAL_ACTIVO_2024[[#All],[Nombre completo]],[2]!PERSONAL_ACTIVO_2024[[#All],[Documento identidad]],"",0)</f>
        <v>#NAME?</v>
      </c>
      <c r="O377" s="194" t="s">
        <v>592</v>
      </c>
      <c r="P377" s="196" t="e" cm="1">
        <f t="array" aca="1" ref="P377" ca="1">_xlfn.XLOOKUP(Contrato5[[#This Row],[SUPERVISOR SUPLENTE ]],[2]!PERSONAL_ACTIVO_2024[[#All],[Nombre completo]],[2]!PERSONAL_ACTIVO_2024[[#All],[Documento identidad]],"",0)</f>
        <v>#NAME?</v>
      </c>
      <c r="Q377" s="208">
        <v>388</v>
      </c>
      <c r="R377" s="137" t="e" cm="1">
        <f t="array" aca="1" ref="R377" ca="1">_xlfn.XLOOKUP(Contrato5[[#This Row],[CDP]],[2]!DISPONIBILIDADES_2024[[#All],[consecutivo]],[2]!DISPONIBILIDADES_2024[[#All],[fecha_aprobacion]],"",0)</f>
        <v>#NAME?</v>
      </c>
      <c r="S377" s="138" t="e">
        <f>SUMIF([2]!DISPONIBILIDADES_2024[[#All],[consecutivo]],Contrato5[[#This Row],[CDP]],[2]!DISPONIBILIDADES_2024[[#All],[valor_total_rubro]])</f>
        <v>#REF!</v>
      </c>
      <c r="T377" s="139" t="e" cm="1">
        <f t="array" aca="1" ref="T377" ca="1">_xlfn.XLOOKUP(Contrato5[[#This Row],[CONTRATO]]&amp;Contrato5[[#This Row],[CDP]],[2]!Corr_Contr_CDP[[#All],[CONTRATO-CDP]],[2]!Corr_Contr_CDP[[#All],[CRP]],_xlfn.XLOOKUP(Contrato5[[#This Row],[CDP]],[2]!COMPROMISOS_2024[[#All],[disponibilidad]],[2]!COMPROMISOS_2024[[#All],[consecutivo]],"",0),0)</f>
        <v>#NAME?</v>
      </c>
      <c r="U377" s="140" t="e" cm="1">
        <f t="array" aca="1" ref="U377" ca="1">+_xlfn.XLOOKUP(Contrato5[[#This Row],[RCP]],[2]!COMPROMISOS_2024[[#All],[consecutivo]],[2]!COMPROMISOS_2024[[#All],[fecha_aprobacion]],"",0)</f>
        <v>#NAME?</v>
      </c>
      <c r="V377" s="141" t="e">
        <f ca="1">SUMIF([2]!COMPROMISOS_2024[[#All],[consecutivo]],Contrato5[[#This Row],[RCP]],[2]!COMPROMISOS_2024[[#All],[valor_total]])</f>
        <v>#REF!</v>
      </c>
      <c r="W377" s="415">
        <v>45398</v>
      </c>
      <c r="X377" s="415">
        <v>45398</v>
      </c>
      <c r="Y377" s="143">
        <v>45399</v>
      </c>
      <c r="Z377" s="262">
        <v>45581</v>
      </c>
      <c r="AA377" s="171" t="s">
        <v>1069</v>
      </c>
      <c r="AB377" s="172" t="s">
        <v>640</v>
      </c>
      <c r="AC377" s="172"/>
      <c r="AD377" s="211">
        <v>202000004218</v>
      </c>
      <c r="AE377" s="147" t="s">
        <v>523</v>
      </c>
      <c r="AF377" s="148" t="str">
        <f>TEXT(LEFT(Contrato5[[#This Row],[CONTRATO]],3),"0")</f>
        <v>288</v>
      </c>
      <c r="AG377" s="148" t="str">
        <f>IF(LEN(Contrato5[[#This Row],[Contrato2]])=3,Contrato5[[#This Row],[Contrato2]],TEXT(Contrato5[[#This Row],[Contrato2]],"000"))</f>
        <v>288</v>
      </c>
      <c r="AH377" s="149">
        <f ca="1">IFERROR(_xlfn.DAYS(Contrato5[[#This Row],[Fecha Proyectada liquidación]],TODAY())/30,"")</f>
        <v>-1.9</v>
      </c>
      <c r="AI377" s="150">
        <f>+Contrato5[[#This Row],[FECHA TERMINACIÓN ]]+120</f>
        <v>45701</v>
      </c>
      <c r="AJ377" s="125"/>
      <c r="AK377" s="152" t="str">
        <f ca="1">IF(Contrato5[[#This Row],[FECHA TERMINACIÓN ]]&lt;TODAY(), "Terminado",IF(ISNUMBER(Contrato5[[#This Row],[Fecha Real de liquiidación ]]),"Liquidado",IF(Contrato5[[#This Row],[FECHA TERMINACIÓN ]]&gt;=TODAY(),"En ejecución","")))</f>
        <v>Terminado</v>
      </c>
      <c r="AL377" s="153" t="e">
        <f ca="1">SUMIF([2]!COMPROMISOS_2024[[#All],[consecutivo]],Contrato5[[#This Row],[RCP]],[2]!COMPROMISOS_2024[[#All],[Total pagado]])</f>
        <v>#REF!</v>
      </c>
      <c r="AM377" s="154">
        <f ca="1">IFERROR(Contrato5[[#This Row],[Pagos]]/Contrato5[[#This Row],[VALOR CONTRATO]],0)</f>
        <v>0</v>
      </c>
      <c r="AN377" s="275" t="e">
        <f ca="1">+Contrato5[[#This Row],[VALOR CONTRATO]]-Contrato5[[#This Row],[Pagos]]</f>
        <v>#REF!</v>
      </c>
      <c r="AO377" s="125" t="e" cm="1">
        <f t="array" aca="1" ref="AO377" ca="1">_xlfn.XLOOKUP(Contrato5[[#This Row],[DOCUMENTO ]],[2]!PERSONAL_ACTIVO_2024[[#All],[Documento identidad]],[2]!PERSONAL_ACTIVO_2024[[#All],[Mail ]],0,0)</f>
        <v>#NAME?</v>
      </c>
      <c r="AP377" s="125" t="e" cm="1">
        <f t="array" aca="1" ref="AP377" ca="1">_xlfn.XLOOKUP(Contrato5[[#This Row],[DOCUMENTO]],[2]!PERSONAL_ACTIVO_2024[[#All],[Documento identidad]],[2]!PERSONAL_ACTIVO_2024[[#All],[Mail ]],0,0)</f>
        <v>#NAME?</v>
      </c>
      <c r="AQ377" s="496" cm="1">
        <f t="array" aca="1" ref="AQ377" ca="1">IF(ISBLANK(Contrato5[[#This Row],[DEPENDENCIA ]]),0,IFERROR(_xlfn.XLOOKUP(Contrato5[[#This Row],[DEPENDENCIA ]],[2]!PERSONAL_ACTIVO_2024[[#All],[Dependencia]],[2]!PERSONAL_ACTIVO_2024[[#All],[Mail ]],0,0),0))</f>
        <v>0</v>
      </c>
    </row>
    <row r="378" spans="1:43" ht="34.5" customHeight="1">
      <c r="A378" s="125">
        <v>1023</v>
      </c>
      <c r="B378" s="124">
        <v>288</v>
      </c>
      <c r="C378" s="162" t="s">
        <v>2107</v>
      </c>
      <c r="D378" s="227" t="s">
        <v>583</v>
      </c>
      <c r="E378" s="128" t="s">
        <v>2148</v>
      </c>
      <c r="F378" s="163" t="s">
        <v>222</v>
      </c>
      <c r="G378" s="190" t="s">
        <v>1068</v>
      </c>
      <c r="H378" s="447">
        <v>890906266</v>
      </c>
      <c r="I378" s="455" t="s">
        <v>42</v>
      </c>
      <c r="J378" s="456">
        <v>217074515</v>
      </c>
      <c r="K378" s="147"/>
      <c r="L378" s="438" t="s">
        <v>2570</v>
      </c>
      <c r="M378" s="194" t="s">
        <v>600</v>
      </c>
      <c r="N378" s="177" t="e" cm="1">
        <f t="array" aca="1" ref="N378" ca="1">_xlfn.XLOOKUP(Contrato5[[#This Row],[SUPERVISOR TITULAR]],[2]!PERSONAL_ACTIVO_2024[[#All],[Nombre completo]],[2]!PERSONAL_ACTIVO_2024[[#All],[Documento identidad]],"",0)</f>
        <v>#NAME?</v>
      </c>
      <c r="O378" s="194" t="s">
        <v>592</v>
      </c>
      <c r="P378" s="196" t="e" cm="1">
        <f t="array" aca="1" ref="P378" ca="1">_xlfn.XLOOKUP(Contrato5[[#This Row],[SUPERVISOR SUPLENTE ]],[2]!PERSONAL_ACTIVO_2024[[#All],[Nombre completo]],[2]!PERSONAL_ACTIVO_2024[[#All],[Documento identidad]],"",0)</f>
        <v>#NAME?</v>
      </c>
      <c r="Q378" s="208">
        <v>1035</v>
      </c>
      <c r="R378" s="137" t="e" cm="1">
        <f t="array" aca="1" ref="R378" ca="1">_xlfn.XLOOKUP(Contrato5[[#This Row],[CDP]],[2]!DISPONIBILIDADES_2024[[#All],[consecutivo]],[2]!DISPONIBILIDADES_2024[[#All],[fecha_aprobacion]],"",0)</f>
        <v>#NAME?</v>
      </c>
      <c r="S378" s="138" t="e">
        <f>SUMIF([2]!DISPONIBILIDADES_2024[[#All],[consecutivo]],Contrato5[[#This Row],[CDP]],[2]!DISPONIBILIDADES_2024[[#All],[valor_total_rubro]])</f>
        <v>#REF!</v>
      </c>
      <c r="T378" s="139" t="e" cm="1">
        <f t="array" aca="1" ref="T378" ca="1">_xlfn.XLOOKUP(Contrato5[[#This Row],[CONTRATO]]&amp;Contrato5[[#This Row],[CDP]],[2]!Corr_Contr_CDP[[#All],[CONTRATO-CDP]],[2]!Corr_Contr_CDP[[#All],[CRP]],_xlfn.XLOOKUP(Contrato5[[#This Row],[CDP]],[2]!COMPROMISOS_2024[[#All],[disponibilidad]],[2]!COMPROMISOS_2024[[#All],[consecutivo]],"",0),0)</f>
        <v>#NAME?</v>
      </c>
      <c r="U378" s="140" t="e" cm="1">
        <f t="array" aca="1" ref="U378" ca="1">+_xlfn.XLOOKUP(Contrato5[[#This Row],[RCP]],[2]!COMPROMISOS_2024[[#All],[consecutivo]],[2]!COMPROMISOS_2024[[#All],[fecha_aprobacion]],"",0)</f>
        <v>#NAME?</v>
      </c>
      <c r="V378" s="141" t="e">
        <f ca="1">SUMIF([2]!COMPROMISOS_2024[[#All],[consecutivo]],Contrato5[[#This Row],[RCP]],[2]!COMPROMISOS_2024[[#All],[valor_total]])</f>
        <v>#REF!</v>
      </c>
      <c r="W378" s="415">
        <v>45581</v>
      </c>
      <c r="X378" s="415">
        <v>45586</v>
      </c>
      <c r="Y378" s="143">
        <v>45582</v>
      </c>
      <c r="Z378" s="262">
        <v>45657</v>
      </c>
      <c r="AA378" s="171"/>
      <c r="AB378" s="172" t="s">
        <v>2590</v>
      </c>
      <c r="AC378" s="172"/>
      <c r="AD378" s="211">
        <v>202000004218</v>
      </c>
      <c r="AE378" s="147" t="s">
        <v>523</v>
      </c>
      <c r="AF378" s="148" t="str">
        <f>TEXT(LEFT(Contrato5[[#This Row],[CONTRATO]],3),"0")</f>
        <v>288</v>
      </c>
      <c r="AG378" s="148" t="str">
        <f>IF(LEN(Contrato5[[#This Row],[Contrato2]])=3,Contrato5[[#This Row],[Contrato2]],TEXT(Contrato5[[#This Row],[Contrato2]],"000"))</f>
        <v>288</v>
      </c>
      <c r="AH378" s="149">
        <f ca="1">IFERROR(_xlfn.DAYS(Contrato5[[#This Row],[Fecha Proyectada liquidación]],TODAY())/30,"")</f>
        <v>0.6333333333333333</v>
      </c>
      <c r="AI378" s="150">
        <f>+Contrato5[[#This Row],[FECHA TERMINACIÓN ]]+120</f>
        <v>45777</v>
      </c>
      <c r="AJ378" s="125"/>
      <c r="AK378" s="152" t="str">
        <f ca="1">IF(Contrato5[[#This Row],[FECHA TERMINACIÓN ]]&lt;TODAY(), "Terminado",IF(ISNUMBER(Contrato5[[#This Row],[Fecha Real de liquiidación ]]),"Liquidado",IF(Contrato5[[#This Row],[FECHA TERMINACIÓN ]]&gt;=TODAY(),"En ejecución","")))</f>
        <v>Terminado</v>
      </c>
      <c r="AL378" s="153" t="e">
        <f ca="1">SUMIF([2]!COMPROMISOS_2024[[#All],[consecutivo]],Contrato5[[#This Row],[RCP]],[2]!COMPROMISOS_2024[[#All],[Total pagado]])</f>
        <v>#REF!</v>
      </c>
      <c r="AM378" s="154">
        <f ca="1">IFERROR(Contrato5[[#This Row],[Pagos]]/Contrato5[[#This Row],[VALOR CONTRATO]],0)</f>
        <v>0</v>
      </c>
      <c r="AN378" s="275" t="e">
        <f ca="1">+Contrato5[[#This Row],[VALOR CONTRATO]]-Contrato5[[#This Row],[Pagos]]</f>
        <v>#REF!</v>
      </c>
      <c r="AO378" s="125" t="e" cm="1">
        <f t="array" aca="1" ref="AO378" ca="1">_xlfn.XLOOKUP(Contrato5[[#This Row],[DOCUMENTO ]],[2]!PERSONAL_ACTIVO_2024[[#All],[Documento identidad]],[2]!PERSONAL_ACTIVO_2024[[#All],[Mail ]],0,0)</f>
        <v>#NAME?</v>
      </c>
      <c r="AP378" s="125" t="e" cm="1">
        <f t="array" aca="1" ref="AP378" ca="1">_xlfn.XLOOKUP(Contrato5[[#This Row],[DOCUMENTO]],[2]!PERSONAL_ACTIVO_2024[[#All],[Documento identidad]],[2]!PERSONAL_ACTIVO_2024[[#All],[Mail ]],0,0)</f>
        <v>#NAME?</v>
      </c>
      <c r="AQ378" s="496" cm="1">
        <f t="array" aca="1" ref="AQ378" ca="1">IF(ISBLANK(Contrato5[[#This Row],[DEPENDENCIA ]]),0,IFERROR(_xlfn.XLOOKUP(Contrato5[[#This Row],[DEPENDENCIA ]],[2]!PERSONAL_ACTIVO_2024[[#All],[Dependencia]],[2]!PERSONAL_ACTIVO_2024[[#All],[Mail ]],0,0),0))</f>
        <v>0</v>
      </c>
    </row>
    <row r="379" spans="1:43" ht="34.5" customHeight="1">
      <c r="A379" s="125">
        <v>644</v>
      </c>
      <c r="B379" s="124">
        <v>289</v>
      </c>
      <c r="C379" s="162" t="s">
        <v>1718</v>
      </c>
      <c r="D379" s="227" t="s">
        <v>583</v>
      </c>
      <c r="E379" s="128" t="s">
        <v>94</v>
      </c>
      <c r="F379" s="163" t="s">
        <v>1376</v>
      </c>
      <c r="G379" s="190" t="s">
        <v>588</v>
      </c>
      <c r="H379" s="447">
        <v>32209970</v>
      </c>
      <c r="I379" s="455">
        <v>9346824</v>
      </c>
      <c r="J379" s="456">
        <v>76643956</v>
      </c>
      <c r="K379" s="147" t="s">
        <v>42</v>
      </c>
      <c r="L379" s="438" t="s">
        <v>608</v>
      </c>
      <c r="M379" s="194" t="s">
        <v>585</v>
      </c>
      <c r="N379" s="177" t="e" cm="1">
        <f t="array" aca="1" ref="N379" ca="1">_xlfn.XLOOKUP(Contrato5[[#This Row],[SUPERVISOR TITULAR]],[2]!PERSONAL_ACTIVO_2024[[#All],[Nombre completo]],[2]!PERSONAL_ACTIVO_2024[[#All],[Documento identidad]],"",0)</f>
        <v>#NAME?</v>
      </c>
      <c r="O379" s="194" t="s">
        <v>589</v>
      </c>
      <c r="P379" s="196" t="e" cm="1">
        <f t="array" aca="1" ref="P379" ca="1">_xlfn.XLOOKUP(Contrato5[[#This Row],[SUPERVISOR SUPLENTE ]],[2]!PERSONAL_ACTIVO_2024[[#All],[Nombre completo]],[2]!PERSONAL_ACTIVO_2024[[#All],[Documento identidad]],"",0)</f>
        <v>#NAME?</v>
      </c>
      <c r="Q379" s="497">
        <v>408</v>
      </c>
      <c r="R379" s="137" t="e" cm="1">
        <f t="array" aca="1" ref="R379" ca="1">_xlfn.XLOOKUP(Contrato5[[#This Row],[CDP]],[2]!DISPONIBILIDADES_2024[[#All],[consecutivo]],[2]!DISPONIBILIDADES_2024[[#All],[fecha_aprobacion]],"",0)</f>
        <v>#NAME?</v>
      </c>
      <c r="S379" s="138" t="e">
        <f>SUMIF([2]!DISPONIBILIDADES_2024[[#All],[consecutivo]],Contrato5[[#This Row],[CDP]],[2]!DISPONIBILIDADES_2024[[#All],[valor_total_rubro]])</f>
        <v>#REF!</v>
      </c>
      <c r="T379" s="139" t="e" cm="1">
        <f t="array" aca="1" ref="T379" ca="1">_xlfn.XLOOKUP(Contrato5[[#This Row],[CONTRATO]]&amp;Contrato5[[#This Row],[CDP]],[2]!Corr_Contr_CDP[[#All],[CONTRATO-CDP]],[2]!Corr_Contr_CDP[[#All],[CRP]],_xlfn.XLOOKUP(Contrato5[[#This Row],[CDP]],[2]!COMPROMISOS_2024[[#All],[disponibilidad]],[2]!COMPROMISOS_2024[[#All],[consecutivo]],"",0),0)</f>
        <v>#NAME?</v>
      </c>
      <c r="U379" s="140" t="e" cm="1">
        <f t="array" aca="1" ref="U379" ca="1">+_xlfn.XLOOKUP(Contrato5[[#This Row],[RCP]],[2]!COMPROMISOS_2024[[#All],[consecutivo]],[2]!COMPROMISOS_2024[[#All],[fecha_aprobacion]],"",0)</f>
        <v>#NAME?</v>
      </c>
      <c r="V379" s="141" t="e">
        <f ca="1">SUMIF([2]!COMPROMISOS_2024[[#All],[consecutivo]],Contrato5[[#This Row],[RCP]],[2]!COMPROMISOS_2024[[#All],[valor_total]])</f>
        <v>#REF!</v>
      </c>
      <c r="W379" s="415">
        <v>45407</v>
      </c>
      <c r="X379" s="415" t="s">
        <v>1045</v>
      </c>
      <c r="Y379" s="143">
        <v>45407</v>
      </c>
      <c r="Z379" s="262">
        <v>45657</v>
      </c>
      <c r="AA379" s="183" t="s">
        <v>1070</v>
      </c>
      <c r="AB379" s="227" t="s">
        <v>1071</v>
      </c>
      <c r="AC379" s="127"/>
      <c r="AD379" s="276">
        <v>202000004219</v>
      </c>
      <c r="AE379" s="147" t="s">
        <v>523</v>
      </c>
      <c r="AF379" s="148" t="str">
        <f>TEXT(LEFT(Contrato5[[#This Row],[CONTRATO]],3),"0")</f>
        <v>289</v>
      </c>
      <c r="AG379" s="148" t="str">
        <f>IF(LEN(Contrato5[[#This Row],[Contrato2]])=3,Contrato5[[#This Row],[Contrato2]],TEXT(Contrato5[[#This Row],[Contrato2]],"000"))</f>
        <v>289</v>
      </c>
      <c r="AH379" s="149">
        <f ca="1">IFERROR(_xlfn.DAYS(Contrato5[[#This Row],[Fecha Proyectada liquidación]],TODAY())/30,"")</f>
        <v>0.6333333333333333</v>
      </c>
      <c r="AI379" s="150">
        <f>+Contrato5[[#This Row],[FECHA TERMINACIÓN ]]+120</f>
        <v>45777</v>
      </c>
      <c r="AJ379" s="277"/>
      <c r="AK379" s="152" t="str">
        <f ca="1">IF(Contrato5[[#This Row],[FECHA TERMINACIÓN ]]&lt;TODAY(), "Terminado",IF(ISNUMBER(Contrato5[[#This Row],[Fecha Real de liquiidación ]]),"Liquidado",IF(Contrato5[[#This Row],[FECHA TERMINACIÓN ]]&gt;=TODAY(),"En ejecución","")))</f>
        <v>Terminado</v>
      </c>
      <c r="AL379" s="153" t="e">
        <f ca="1">SUMIF([2]!COMPROMISOS_2024[[#All],[consecutivo]],Contrato5[[#This Row],[RCP]],[2]!COMPROMISOS_2024[[#All],[Total pagado]])</f>
        <v>#REF!</v>
      </c>
      <c r="AM379" s="154">
        <f ca="1">IFERROR(Contrato5[[#This Row],[Pagos]]/Contrato5[[#This Row],[VALOR CONTRATO]],0)</f>
        <v>0</v>
      </c>
      <c r="AN379" s="278" t="e">
        <f ca="1">+Contrato5[[#This Row],[VALOR CONTRATO]]-Contrato5[[#This Row],[Pagos]]</f>
        <v>#REF!</v>
      </c>
      <c r="AO379" s="277" t="e" cm="1">
        <f t="array" aca="1" ref="AO379" ca="1">_xlfn.XLOOKUP(Contrato5[[#This Row],[DOCUMENTO ]],[2]!PERSONAL_ACTIVO_2024[[#All],[Documento identidad]],[2]!PERSONAL_ACTIVO_2024[[#All],[Mail ]],0,0)</f>
        <v>#NAME?</v>
      </c>
      <c r="AP379" s="277" t="e" cm="1">
        <f t="array" aca="1" ref="AP379" ca="1">_xlfn.XLOOKUP(Contrato5[[#This Row],[DOCUMENTO]],[2]!PERSONAL_ACTIVO_2024[[#All],[Documento identidad]],[2]!PERSONAL_ACTIVO_2024[[#All],[Mail ]],0,0)</f>
        <v>#NAME?</v>
      </c>
      <c r="AQ379" s="498" cm="1">
        <f t="array" aca="1" ref="AQ379" ca="1">IF(ISBLANK(Contrato5[[#This Row],[DEPENDENCIA ]]),0,IFERROR(_xlfn.XLOOKUP(Contrato5[[#This Row],[DEPENDENCIA ]],[2]!PERSONAL_ACTIVO_2024[[#All],[Dependencia]],[2]!PERSONAL_ACTIVO_2024[[#All],[Mail ]],0,0),0))</f>
        <v>0</v>
      </c>
    </row>
    <row r="380" spans="1:43" ht="34.5" customHeight="1">
      <c r="A380" s="125">
        <v>339</v>
      </c>
      <c r="B380" s="124">
        <v>290</v>
      </c>
      <c r="C380" s="162" t="s">
        <v>1814</v>
      </c>
      <c r="D380" s="227" t="s">
        <v>510</v>
      </c>
      <c r="E380" s="128" t="s">
        <v>94</v>
      </c>
      <c r="F380" s="163" t="s">
        <v>1376</v>
      </c>
      <c r="G380" s="190" t="s">
        <v>1072</v>
      </c>
      <c r="H380" s="447">
        <v>1037630288</v>
      </c>
      <c r="I380" s="455">
        <v>6879081</v>
      </c>
      <c r="J380" s="456">
        <v>69851270</v>
      </c>
      <c r="K380" s="131" t="s">
        <v>1073</v>
      </c>
      <c r="L380" s="438" t="s">
        <v>1044</v>
      </c>
      <c r="M380" s="194" t="s">
        <v>2603</v>
      </c>
      <c r="N380" s="177" t="e" cm="1">
        <f t="array" aca="1" ref="N380" ca="1">_xlfn.XLOOKUP(Contrato5[[#This Row],[SUPERVISOR TITULAR]],[2]!PERSONAL_ACTIVO_2024[[#All],[Nombre completo]],[2]!PERSONAL_ACTIVO_2024[[#All],[Documento identidad]],"",0)</f>
        <v>#NAME?</v>
      </c>
      <c r="O380" s="194" t="s">
        <v>514</v>
      </c>
      <c r="P380" s="196" t="e" cm="1">
        <f t="array" aca="1" ref="P380" ca="1">_xlfn.XLOOKUP(Contrato5[[#This Row],[SUPERVISOR SUPLENTE ]],[2]!PERSONAL_ACTIVO_2024[[#All],[Nombre completo]],[2]!PERSONAL_ACTIVO_2024[[#All],[Documento identidad]],"",0)</f>
        <v>#NAME?</v>
      </c>
      <c r="Q380" s="497">
        <v>384</v>
      </c>
      <c r="R380" s="137" t="e" cm="1">
        <f t="array" aca="1" ref="R380" ca="1">_xlfn.XLOOKUP(Contrato5[[#This Row],[CDP]],[2]!DISPONIBILIDADES_2024[[#All],[consecutivo]],[2]!DISPONIBILIDADES_2024[[#All],[fecha_aprobacion]],"",0)</f>
        <v>#NAME?</v>
      </c>
      <c r="S380" s="138" t="e">
        <f>SUMIF([2]!DISPONIBILIDADES_2024[[#All],[consecutivo]],Contrato5[[#This Row],[CDP]],[2]!DISPONIBILIDADES_2024[[#All],[valor_total_rubro]])</f>
        <v>#REF!</v>
      </c>
      <c r="T380" s="139" t="e" cm="1">
        <f t="array" aca="1" ref="T380" ca="1">_xlfn.XLOOKUP(Contrato5[[#This Row],[CONTRATO]]&amp;Contrato5[[#This Row],[CDP]],[2]!Corr_Contr_CDP[[#All],[CONTRATO-CDP]],[2]!Corr_Contr_CDP[[#All],[CRP]],_xlfn.XLOOKUP(Contrato5[[#This Row],[CDP]],[2]!COMPROMISOS_2024[[#All],[disponibilidad]],[2]!COMPROMISOS_2024[[#All],[consecutivo]],"",0),0)</f>
        <v>#NAME?</v>
      </c>
      <c r="U380" s="140" t="e" cm="1">
        <f t="array" aca="1" ref="U380" ca="1">+_xlfn.XLOOKUP(Contrato5[[#This Row],[RCP]],[2]!COMPROMISOS_2024[[#All],[consecutivo]],[2]!COMPROMISOS_2024[[#All],[fecha_aprobacion]],"",0)</f>
        <v>#NAME?</v>
      </c>
      <c r="V380" s="141" t="e">
        <f ca="1">SUMIF([2]!COMPROMISOS_2024[[#All],[consecutivo]],Contrato5[[#This Row],[RCP]],[2]!COMPROMISOS_2024[[#All],[valor_total]])</f>
        <v>#REF!</v>
      </c>
      <c r="W380" s="415">
        <v>45397</v>
      </c>
      <c r="X380" s="415" t="s">
        <v>1045</v>
      </c>
      <c r="Y380" s="143">
        <v>45400</v>
      </c>
      <c r="Z380" s="262">
        <v>45657</v>
      </c>
      <c r="AA380" s="183" t="s">
        <v>1075</v>
      </c>
      <c r="AB380" s="227" t="s">
        <v>874</v>
      </c>
      <c r="AC380" s="127"/>
      <c r="AD380" s="276">
        <v>202000004220</v>
      </c>
      <c r="AE380" s="147" t="s">
        <v>523</v>
      </c>
      <c r="AF380" s="148" t="str">
        <f>TEXT(LEFT(Contrato5[[#This Row],[CONTRATO]],3),"0")</f>
        <v>290</v>
      </c>
      <c r="AG380" s="148" t="str">
        <f>IF(LEN(Contrato5[[#This Row],[Contrato2]])=3,Contrato5[[#This Row],[Contrato2]],TEXT(Contrato5[[#This Row],[Contrato2]],"000"))</f>
        <v>290</v>
      </c>
      <c r="AH380" s="149">
        <f ca="1">IFERROR(_xlfn.DAYS(Contrato5[[#This Row],[Fecha Proyectada liquidación]],TODAY())/30,"")</f>
        <v>0.6333333333333333</v>
      </c>
      <c r="AI380" s="150">
        <f>+Contrato5[[#This Row],[FECHA TERMINACIÓN ]]+120</f>
        <v>45777</v>
      </c>
      <c r="AJ380" s="277"/>
      <c r="AK380" s="152" t="str">
        <f ca="1">IF(Contrato5[[#This Row],[FECHA TERMINACIÓN ]]&lt;TODAY(), "Terminado",IF(ISNUMBER(Contrato5[[#This Row],[Fecha Real de liquiidación ]]),"Liquidado",IF(Contrato5[[#This Row],[FECHA TERMINACIÓN ]]&gt;=TODAY(),"En ejecución","")))</f>
        <v>Terminado</v>
      </c>
      <c r="AL380" s="153" t="e">
        <f ca="1">SUMIF([2]!COMPROMISOS_2024[[#All],[consecutivo]],Contrato5[[#This Row],[RCP]],[2]!COMPROMISOS_2024[[#All],[Total pagado]])</f>
        <v>#REF!</v>
      </c>
      <c r="AM380" s="154">
        <f ca="1">IFERROR(Contrato5[[#This Row],[Pagos]]/Contrato5[[#This Row],[VALOR CONTRATO]],0)</f>
        <v>0</v>
      </c>
      <c r="AN380" s="278" t="e">
        <f ca="1">+Contrato5[[#This Row],[VALOR CONTRATO]]-Contrato5[[#This Row],[Pagos]]</f>
        <v>#REF!</v>
      </c>
      <c r="AO380" s="277" t="e" cm="1">
        <f t="array" aca="1" ref="AO380" ca="1">_xlfn.XLOOKUP(Contrato5[[#This Row],[DOCUMENTO ]],[2]!PERSONAL_ACTIVO_2024[[#All],[Documento identidad]],[2]!PERSONAL_ACTIVO_2024[[#All],[Mail ]],0,0)</f>
        <v>#NAME?</v>
      </c>
      <c r="AP380" s="277" t="e" cm="1">
        <f t="array" aca="1" ref="AP380" ca="1">_xlfn.XLOOKUP(Contrato5[[#This Row],[DOCUMENTO]],[2]!PERSONAL_ACTIVO_2024[[#All],[Documento identidad]],[2]!PERSONAL_ACTIVO_2024[[#All],[Mail ]],0,0)</f>
        <v>#NAME?</v>
      </c>
      <c r="AQ380" s="498" cm="1">
        <f t="array" aca="1" ref="AQ380" ca="1">IF(ISBLANK(Contrato5[[#This Row],[DEPENDENCIA ]]),0,IFERROR(_xlfn.XLOOKUP(Contrato5[[#This Row],[DEPENDENCIA ]],[2]!PERSONAL_ACTIVO_2024[[#All],[Dependencia]],[2]!PERSONAL_ACTIVO_2024[[#All],[Mail ]],0,0),0))</f>
        <v>0</v>
      </c>
    </row>
    <row r="381" spans="1:43" ht="34.5" customHeight="1">
      <c r="A381" s="125">
        <v>338</v>
      </c>
      <c r="B381" s="124">
        <v>291</v>
      </c>
      <c r="C381" s="162" t="s">
        <v>1814</v>
      </c>
      <c r="D381" s="227" t="s">
        <v>510</v>
      </c>
      <c r="E381" s="128" t="s">
        <v>94</v>
      </c>
      <c r="F381" s="163" t="s">
        <v>1376</v>
      </c>
      <c r="G381" s="190" t="s">
        <v>1076</v>
      </c>
      <c r="H381" s="447">
        <v>1036951700</v>
      </c>
      <c r="I381" s="455">
        <v>6879081</v>
      </c>
      <c r="J381" s="456">
        <v>69851270</v>
      </c>
      <c r="K381" s="131" t="s">
        <v>1073</v>
      </c>
      <c r="L381" s="438" t="s">
        <v>1044</v>
      </c>
      <c r="M381" s="194" t="s">
        <v>597</v>
      </c>
      <c r="N381" s="177" t="e" cm="1">
        <f t="array" aca="1" ref="N381" ca="1">_xlfn.XLOOKUP(Contrato5[[#This Row],[SUPERVISOR TITULAR]],[2]!PERSONAL_ACTIVO_2024[[#All],[Nombre completo]],[2]!PERSONAL_ACTIVO_2024[[#All],[Documento identidad]],"",0)</f>
        <v>#NAME?</v>
      </c>
      <c r="O381" s="194" t="s">
        <v>1074</v>
      </c>
      <c r="P381" s="196" t="e" cm="1">
        <f t="array" aca="1" ref="P381" ca="1">_xlfn.XLOOKUP(Contrato5[[#This Row],[SUPERVISOR SUPLENTE ]],[2]!PERSONAL_ACTIVO_2024[[#All],[Nombre completo]],[2]!PERSONAL_ACTIVO_2024[[#All],[Documento identidad]],"",0)</f>
        <v>#NAME?</v>
      </c>
      <c r="Q381" s="497">
        <v>385</v>
      </c>
      <c r="R381" s="137" t="e" cm="1">
        <f t="array" aca="1" ref="R381" ca="1">_xlfn.XLOOKUP(Contrato5[[#This Row],[CDP]],[2]!DISPONIBILIDADES_2024[[#All],[consecutivo]],[2]!DISPONIBILIDADES_2024[[#All],[fecha_aprobacion]],"",0)</f>
        <v>#NAME?</v>
      </c>
      <c r="S381" s="138" t="e">
        <f>SUMIF([2]!DISPONIBILIDADES_2024[[#All],[consecutivo]],Contrato5[[#This Row],[CDP]],[2]!DISPONIBILIDADES_2024[[#All],[valor_total_rubro]])</f>
        <v>#REF!</v>
      </c>
      <c r="T381" s="139" t="e" cm="1">
        <f t="array" aca="1" ref="T381" ca="1">_xlfn.XLOOKUP(Contrato5[[#This Row],[CONTRATO]]&amp;Contrato5[[#This Row],[CDP]],[2]!Corr_Contr_CDP[[#All],[CONTRATO-CDP]],[2]!Corr_Contr_CDP[[#All],[CRP]],_xlfn.XLOOKUP(Contrato5[[#This Row],[CDP]],[2]!COMPROMISOS_2024[[#All],[disponibilidad]],[2]!COMPROMISOS_2024[[#All],[consecutivo]],"",0),0)</f>
        <v>#NAME?</v>
      </c>
      <c r="U381" s="140" t="e" cm="1">
        <f t="array" aca="1" ref="U381" ca="1">+_xlfn.XLOOKUP(Contrato5[[#This Row],[RCP]],[2]!COMPROMISOS_2024[[#All],[consecutivo]],[2]!COMPROMISOS_2024[[#All],[fecha_aprobacion]],"",0)</f>
        <v>#NAME?</v>
      </c>
      <c r="V381" s="141" t="e">
        <f ca="1">SUMIF([2]!COMPROMISOS_2024[[#All],[consecutivo]],Contrato5[[#This Row],[RCP]],[2]!COMPROMISOS_2024[[#All],[valor_total]])</f>
        <v>#REF!</v>
      </c>
      <c r="W381" s="415">
        <v>45397</v>
      </c>
      <c r="X381" s="415" t="s">
        <v>1045</v>
      </c>
      <c r="Y381" s="143">
        <v>45401</v>
      </c>
      <c r="Z381" s="262">
        <v>45657</v>
      </c>
      <c r="AA381" s="171" t="s">
        <v>1077</v>
      </c>
      <c r="AB381" s="227" t="s">
        <v>874</v>
      </c>
      <c r="AC381" s="127"/>
      <c r="AD381" s="276">
        <v>202000004221</v>
      </c>
      <c r="AE381" s="125" t="s">
        <v>523</v>
      </c>
      <c r="AF381" s="148" t="str">
        <f>TEXT(LEFT(Contrato5[[#This Row],[CONTRATO]],3),"0")</f>
        <v>291</v>
      </c>
      <c r="AG381" s="148" t="str">
        <f>IF(LEN(Contrato5[[#This Row],[Contrato2]])=3,Contrato5[[#This Row],[Contrato2]],TEXT(Contrato5[[#This Row],[Contrato2]],"000"))</f>
        <v>291</v>
      </c>
      <c r="AH381" s="149">
        <f ca="1">IFERROR(_xlfn.DAYS(Contrato5[[#This Row],[Fecha Proyectada liquidación]],TODAY())/30,"")</f>
        <v>0.6333333333333333</v>
      </c>
      <c r="AI381" s="150">
        <f>+Contrato5[[#This Row],[FECHA TERMINACIÓN ]]+120</f>
        <v>45777</v>
      </c>
      <c r="AJ381" s="277"/>
      <c r="AK381" s="152" t="str">
        <f ca="1">IF(Contrato5[[#This Row],[FECHA TERMINACIÓN ]]&lt;TODAY(), "Terminado",IF(ISNUMBER(Contrato5[[#This Row],[Fecha Real de liquiidación ]]),"Liquidado",IF(Contrato5[[#This Row],[FECHA TERMINACIÓN ]]&gt;=TODAY(),"En ejecución","")))</f>
        <v>Terminado</v>
      </c>
      <c r="AL381" s="153" t="e">
        <f ca="1">SUMIF([2]!COMPROMISOS_2024[[#All],[consecutivo]],Contrato5[[#This Row],[RCP]],[2]!COMPROMISOS_2024[[#All],[Total pagado]])</f>
        <v>#REF!</v>
      </c>
      <c r="AM381" s="154">
        <f ca="1">IFERROR(Contrato5[[#This Row],[Pagos]]/Contrato5[[#This Row],[VALOR CONTRATO]],0)</f>
        <v>0</v>
      </c>
      <c r="AN381" s="278" t="e">
        <f ca="1">+Contrato5[[#This Row],[VALOR CONTRATO]]-Contrato5[[#This Row],[Pagos]]</f>
        <v>#REF!</v>
      </c>
      <c r="AO381" s="277" t="e" cm="1">
        <f t="array" aca="1" ref="AO381" ca="1">_xlfn.XLOOKUP(Contrato5[[#This Row],[DOCUMENTO ]],[2]!PERSONAL_ACTIVO_2024[[#All],[Documento identidad]],[2]!PERSONAL_ACTIVO_2024[[#All],[Mail ]],0,0)</f>
        <v>#NAME?</v>
      </c>
      <c r="AP381" s="277" t="e" cm="1">
        <f t="array" aca="1" ref="AP381" ca="1">_xlfn.XLOOKUP(Contrato5[[#This Row],[DOCUMENTO]],[2]!PERSONAL_ACTIVO_2024[[#All],[Documento identidad]],[2]!PERSONAL_ACTIVO_2024[[#All],[Mail ]],0,0)</f>
        <v>#NAME?</v>
      </c>
      <c r="AQ381" s="498" cm="1">
        <f t="array" aca="1" ref="AQ381" ca="1">IF(ISBLANK(Contrato5[[#This Row],[DEPENDENCIA ]]),0,IFERROR(_xlfn.XLOOKUP(Contrato5[[#This Row],[DEPENDENCIA ]],[2]!PERSONAL_ACTIVO_2024[[#All],[Dependencia]],[2]!PERSONAL_ACTIVO_2024[[#All],[Mail ]],0,0),0))</f>
        <v>0</v>
      </c>
    </row>
    <row r="382" spans="1:43" ht="34.5" customHeight="1">
      <c r="A382" s="125">
        <v>648</v>
      </c>
      <c r="B382" s="124">
        <v>292</v>
      </c>
      <c r="C382" s="162" t="s">
        <v>364</v>
      </c>
      <c r="D382" s="227" t="s">
        <v>515</v>
      </c>
      <c r="E382" s="128" t="s">
        <v>94</v>
      </c>
      <c r="F382" s="163" t="s">
        <v>89</v>
      </c>
      <c r="G382" s="190" t="s">
        <v>896</v>
      </c>
      <c r="H382" s="447">
        <v>890908939</v>
      </c>
      <c r="I382" s="455" t="s">
        <v>42</v>
      </c>
      <c r="J382" s="456">
        <v>54882300</v>
      </c>
      <c r="K382" s="147" t="s">
        <v>42</v>
      </c>
      <c r="L382" s="438" t="s">
        <v>608</v>
      </c>
      <c r="M382" s="194" t="s">
        <v>549</v>
      </c>
      <c r="N382" s="177" t="e" cm="1">
        <f t="array" aca="1" ref="N382" ca="1">_xlfn.XLOOKUP(Contrato5[[#This Row],[SUPERVISOR TITULAR]],[2]!PERSONAL_ACTIVO_2024[[#All],[Nombre completo]],[2]!PERSONAL_ACTIVO_2024[[#All],[Documento identidad]],"",0)</f>
        <v>#NAME?</v>
      </c>
      <c r="O382" s="194" t="s">
        <v>550</v>
      </c>
      <c r="P382" s="196" t="e" cm="1">
        <f t="array" aca="1" ref="P382" ca="1">_xlfn.XLOOKUP(Contrato5[[#This Row],[SUPERVISOR SUPLENTE ]],[2]!PERSONAL_ACTIVO_2024[[#All],[Nombre completo]],[2]!PERSONAL_ACTIVO_2024[[#All],[Documento identidad]],"",0)</f>
        <v>#NAME?</v>
      </c>
      <c r="Q382" s="497">
        <v>407</v>
      </c>
      <c r="R382" s="137" t="e" cm="1">
        <f t="array" aca="1" ref="R382" ca="1">_xlfn.XLOOKUP(Contrato5[[#This Row],[CDP]],[2]!DISPONIBILIDADES_2024[[#All],[consecutivo]],[2]!DISPONIBILIDADES_2024[[#All],[fecha_aprobacion]],"",0)</f>
        <v>#NAME?</v>
      </c>
      <c r="S382" s="138" t="e">
        <f>SUMIF([2]!DISPONIBILIDADES_2024[[#All],[consecutivo]],Contrato5[[#This Row],[CDP]],[2]!DISPONIBILIDADES_2024[[#All],[valor_total_rubro]])</f>
        <v>#REF!</v>
      </c>
      <c r="T382" s="139" t="e" cm="1">
        <f t="array" aca="1" ref="T382" ca="1">_xlfn.XLOOKUP(Contrato5[[#This Row],[CONTRATO]]&amp;Contrato5[[#This Row],[CDP]],[2]!Corr_Contr_CDP[[#All],[CONTRATO-CDP]],[2]!Corr_Contr_CDP[[#All],[CRP]],_xlfn.XLOOKUP(Contrato5[[#This Row],[CDP]],[2]!COMPROMISOS_2024[[#All],[disponibilidad]],[2]!COMPROMISOS_2024[[#All],[consecutivo]],"",0),0)</f>
        <v>#NAME?</v>
      </c>
      <c r="U382" s="140" t="e" cm="1">
        <f t="array" aca="1" ref="U382" ca="1">+_xlfn.XLOOKUP(Contrato5[[#This Row],[RCP]],[2]!COMPROMISOS_2024[[#All],[consecutivo]],[2]!COMPROMISOS_2024[[#All],[fecha_aprobacion]],"",0)</f>
        <v>#NAME?</v>
      </c>
      <c r="V382" s="141" t="e">
        <f ca="1">SUMIF([2]!COMPROMISOS_2024[[#All],[consecutivo]],Contrato5[[#This Row],[RCP]],[2]!COMPROMISOS_2024[[#All],[valor_total]])</f>
        <v>#REF!</v>
      </c>
      <c r="W382" s="415">
        <v>45405</v>
      </c>
      <c r="X382" s="415">
        <v>45405</v>
      </c>
      <c r="Y382" s="143">
        <v>45405</v>
      </c>
      <c r="Z382" s="262">
        <v>45443</v>
      </c>
      <c r="AA382" s="171" t="s">
        <v>1078</v>
      </c>
      <c r="AB382" s="227" t="s">
        <v>1079</v>
      </c>
      <c r="AC382" s="127"/>
      <c r="AD382" s="276">
        <v>202000004222</v>
      </c>
      <c r="AE382" s="125" t="s">
        <v>523</v>
      </c>
      <c r="AF382" s="148" t="str">
        <f>TEXT(LEFT(Contrato5[[#This Row],[CONTRATO]],3),"0")</f>
        <v>292</v>
      </c>
      <c r="AG382" s="148" t="str">
        <f>IF(LEN(Contrato5[[#This Row],[Contrato2]])=3,Contrato5[[#This Row],[Contrato2]],TEXT(Contrato5[[#This Row],[Contrato2]],"000"))</f>
        <v>292</v>
      </c>
      <c r="AH382" s="149">
        <f ca="1">IFERROR(_xlfn.DAYS(Contrato5[[#This Row],[Fecha Proyectada liquidación]],TODAY())/30,"")</f>
        <v>-6.5</v>
      </c>
      <c r="AI382" s="150">
        <f>+Contrato5[[#This Row],[FECHA TERMINACIÓN ]]+120</f>
        <v>45563</v>
      </c>
      <c r="AJ382" s="277"/>
      <c r="AK382" s="152" t="str">
        <f ca="1">IF(Contrato5[[#This Row],[FECHA TERMINACIÓN ]]&lt;TODAY(), "Terminado",IF(ISNUMBER(Contrato5[[#This Row],[Fecha Real de liquiidación ]]),"Liquidado",IF(Contrato5[[#This Row],[FECHA TERMINACIÓN ]]&gt;=TODAY(),"En ejecución","")))</f>
        <v>Terminado</v>
      </c>
      <c r="AL382" s="153" t="e">
        <f ca="1">SUMIF([2]!COMPROMISOS_2024[[#All],[consecutivo]],Contrato5[[#This Row],[RCP]],[2]!COMPROMISOS_2024[[#All],[Total pagado]])</f>
        <v>#REF!</v>
      </c>
      <c r="AM382" s="154">
        <f ca="1">IFERROR(Contrato5[[#This Row],[Pagos]]/Contrato5[[#This Row],[VALOR CONTRATO]],0)</f>
        <v>0</v>
      </c>
      <c r="AN382" s="278" t="e">
        <f ca="1">+Contrato5[[#This Row],[VALOR CONTRATO]]-Contrato5[[#This Row],[Pagos]]</f>
        <v>#REF!</v>
      </c>
      <c r="AO382" s="277" t="e" cm="1">
        <f t="array" aca="1" ref="AO382" ca="1">_xlfn.XLOOKUP(Contrato5[[#This Row],[DOCUMENTO ]],[2]!PERSONAL_ACTIVO_2024[[#All],[Documento identidad]],[2]!PERSONAL_ACTIVO_2024[[#All],[Mail ]],0,0)</f>
        <v>#NAME?</v>
      </c>
      <c r="AP382" s="277" t="e" cm="1">
        <f t="array" aca="1" ref="AP382" ca="1">_xlfn.XLOOKUP(Contrato5[[#This Row],[DOCUMENTO]],[2]!PERSONAL_ACTIVO_2024[[#All],[Documento identidad]],[2]!PERSONAL_ACTIVO_2024[[#All],[Mail ]],0,0)</f>
        <v>#NAME?</v>
      </c>
      <c r="AQ382" s="498" cm="1">
        <f t="array" aca="1" ref="AQ382" ca="1">IF(ISBLANK(Contrato5[[#This Row],[DEPENDENCIA ]]),0,IFERROR(_xlfn.XLOOKUP(Contrato5[[#This Row],[DEPENDENCIA ]],[2]!PERSONAL_ACTIVO_2024[[#All],[Dependencia]],[2]!PERSONAL_ACTIVO_2024[[#All],[Mail ]],0,0),0))</f>
        <v>0</v>
      </c>
    </row>
    <row r="383" spans="1:43" ht="34.5" customHeight="1">
      <c r="A383" s="125">
        <v>630</v>
      </c>
      <c r="B383" s="124">
        <v>293</v>
      </c>
      <c r="C383" s="162" t="s">
        <v>1723</v>
      </c>
      <c r="D383" s="227" t="s">
        <v>583</v>
      </c>
      <c r="E383" s="128" t="s">
        <v>94</v>
      </c>
      <c r="F383" s="163" t="s">
        <v>1376</v>
      </c>
      <c r="G383" s="190" t="s">
        <v>1080</v>
      </c>
      <c r="H383" s="447">
        <v>1036933694</v>
      </c>
      <c r="I383" s="455">
        <v>6879081</v>
      </c>
      <c r="J383" s="456">
        <v>41274486</v>
      </c>
      <c r="K383" s="147" t="s">
        <v>42</v>
      </c>
      <c r="L383" s="438" t="s">
        <v>608</v>
      </c>
      <c r="M383" s="194" t="s">
        <v>844</v>
      </c>
      <c r="N383" s="177" t="e" cm="1">
        <f t="array" aca="1" ref="N383" ca="1">_xlfn.XLOOKUP(Contrato5[[#This Row],[SUPERVISOR TITULAR]],[2]!PERSONAL_ACTIVO_2024[[#All],[Nombre completo]],[2]!PERSONAL_ACTIVO_2024[[#All],[Documento identidad]],"",0)</f>
        <v>#NAME?</v>
      </c>
      <c r="O383" s="194" t="s">
        <v>526</v>
      </c>
      <c r="P383" s="196" t="e" cm="1">
        <f t="array" aca="1" ref="P383" ca="1">_xlfn.XLOOKUP(Contrato5[[#This Row],[SUPERVISOR SUPLENTE ]],[2]!PERSONAL_ACTIVO_2024[[#All],[Nombre completo]],[2]!PERSONAL_ACTIVO_2024[[#All],[Documento identidad]],"",0)</f>
        <v>#NAME?</v>
      </c>
      <c r="Q383" s="208">
        <v>411</v>
      </c>
      <c r="R383" s="137" t="e" cm="1">
        <f t="array" aca="1" ref="R383" ca="1">_xlfn.XLOOKUP(Contrato5[[#This Row],[CDP]],[2]!DISPONIBILIDADES_2024[[#All],[consecutivo]],[2]!DISPONIBILIDADES_2024[[#All],[fecha_aprobacion]],"",0)</f>
        <v>#NAME?</v>
      </c>
      <c r="S383" s="138" t="e">
        <f>SUMIF([2]!DISPONIBILIDADES_2024[[#All],[consecutivo]],Contrato5[[#This Row],[CDP]],[2]!DISPONIBILIDADES_2024[[#All],[valor_total_rubro]])</f>
        <v>#REF!</v>
      </c>
      <c r="T383" s="139" t="e" cm="1">
        <f t="array" aca="1" ref="T383" ca="1">_xlfn.XLOOKUP(Contrato5[[#This Row],[CONTRATO]]&amp;Contrato5[[#This Row],[CDP]],[2]!Corr_Contr_CDP[[#All],[CONTRATO-CDP]],[2]!Corr_Contr_CDP[[#All],[CRP]],_xlfn.XLOOKUP(Contrato5[[#This Row],[CDP]],[2]!COMPROMISOS_2024[[#All],[disponibilidad]],[2]!COMPROMISOS_2024[[#All],[consecutivo]],"",0),0)</f>
        <v>#NAME?</v>
      </c>
      <c r="U383" s="140" t="e" cm="1">
        <f t="array" aca="1" ref="U383" ca="1">+_xlfn.XLOOKUP(Contrato5[[#This Row],[RCP]],[2]!COMPROMISOS_2024[[#All],[consecutivo]],[2]!COMPROMISOS_2024[[#All],[fecha_aprobacion]],"",0)</f>
        <v>#NAME?</v>
      </c>
      <c r="V383" s="141" t="e">
        <f ca="1">SUMIF([2]!COMPROMISOS_2024[[#All],[consecutivo]],Contrato5[[#This Row],[RCP]],[2]!COMPROMISOS_2024[[#All],[valor_total]])</f>
        <v>#REF!</v>
      </c>
      <c r="W383" s="415">
        <v>45404</v>
      </c>
      <c r="X383" s="415" t="s">
        <v>1045</v>
      </c>
      <c r="Y383" s="143">
        <v>45405</v>
      </c>
      <c r="Z383" s="262">
        <v>45588</v>
      </c>
      <c r="AA383" s="171" t="s">
        <v>1081</v>
      </c>
      <c r="AB383" s="172" t="s">
        <v>640</v>
      </c>
      <c r="AC383" s="172"/>
      <c r="AD383" s="211">
        <v>202000004224</v>
      </c>
      <c r="AE383" s="125" t="s">
        <v>523</v>
      </c>
      <c r="AF383" s="148" t="str">
        <f>TEXT(LEFT(Contrato5[[#This Row],[CONTRATO]],3),"0")</f>
        <v>293</v>
      </c>
      <c r="AG383" s="148" t="str">
        <f>IF(LEN(Contrato5[[#This Row],[Contrato2]])=3,Contrato5[[#This Row],[Contrato2]],TEXT(Contrato5[[#This Row],[Contrato2]],"000"))</f>
        <v>293</v>
      </c>
      <c r="AH383" s="149">
        <f ca="1">IFERROR(_xlfn.DAYS(Contrato5[[#This Row],[Fecha Proyectada liquidación]],TODAY())/30,"")</f>
        <v>-1.6666666666666667</v>
      </c>
      <c r="AI383" s="150">
        <f>+Contrato5[[#This Row],[FECHA TERMINACIÓN ]]+120</f>
        <v>45708</v>
      </c>
      <c r="AJ383" s="147"/>
      <c r="AK383" s="152" t="str">
        <f ca="1">IF(Contrato5[[#This Row],[FECHA TERMINACIÓN ]]&lt;TODAY(), "Terminado",IF(ISNUMBER(Contrato5[[#This Row],[Fecha Real de liquiidación ]]),"Liquidado",IF(Contrato5[[#This Row],[FECHA TERMINACIÓN ]]&gt;=TODAY(),"En ejecución","")))</f>
        <v>Terminado</v>
      </c>
      <c r="AL383" s="153" t="e">
        <f ca="1">SUMIF([2]!COMPROMISOS_2024[[#All],[consecutivo]],Contrato5[[#This Row],[RCP]],[2]!COMPROMISOS_2024[[#All],[Total pagado]])</f>
        <v>#REF!</v>
      </c>
      <c r="AM383" s="154">
        <f ca="1">IFERROR(Contrato5[[#This Row],[Pagos]]/Contrato5[[#This Row],[VALOR CONTRATO]],0)</f>
        <v>0</v>
      </c>
      <c r="AN383" s="198" t="e">
        <f ca="1">+Contrato5[[#This Row],[VALOR CONTRATO]]-Contrato5[[#This Row],[Pagos]]</f>
        <v>#REF!</v>
      </c>
      <c r="AO383" s="147" t="e" cm="1">
        <f t="array" aca="1" ref="AO383" ca="1">_xlfn.XLOOKUP(Contrato5[[#This Row],[DOCUMENTO ]],[2]!PERSONAL_ACTIVO_2024[[#All],[Documento identidad]],[2]!PERSONAL_ACTIVO_2024[[#All],[Mail ]],0,0)</f>
        <v>#NAME?</v>
      </c>
      <c r="AP383" s="147" t="e" cm="1">
        <f t="array" aca="1" ref="AP383" ca="1">_xlfn.XLOOKUP(Contrato5[[#This Row],[DOCUMENTO]],[2]!PERSONAL_ACTIVO_2024[[#All],[Documento identidad]],[2]!PERSONAL_ACTIVO_2024[[#All],[Mail ]],0,0)</f>
        <v>#NAME?</v>
      </c>
      <c r="AQ383" s="439" cm="1">
        <f t="array" aca="1" ref="AQ383" ca="1">IF(ISBLANK(Contrato5[[#This Row],[DEPENDENCIA ]]),0,IFERROR(_xlfn.XLOOKUP(Contrato5[[#This Row],[DEPENDENCIA ]],[2]!PERSONAL_ACTIVO_2024[[#All],[Dependencia]],[2]!PERSONAL_ACTIVO_2024[[#All],[Mail ]],0,0),0))</f>
        <v>0</v>
      </c>
    </row>
    <row r="384" spans="1:43" ht="34.5" customHeight="1">
      <c r="A384" s="147">
        <v>1198</v>
      </c>
      <c r="B384" s="124">
        <v>293</v>
      </c>
      <c r="C384" s="162" t="s">
        <v>2186</v>
      </c>
      <c r="D384" s="227" t="s">
        <v>583</v>
      </c>
      <c r="E384" s="128" t="s">
        <v>2148</v>
      </c>
      <c r="F384" s="163" t="s">
        <v>1376</v>
      </c>
      <c r="G384" s="190" t="s">
        <v>1080</v>
      </c>
      <c r="H384" s="447">
        <v>1036933694</v>
      </c>
      <c r="I384" s="455">
        <v>6879081</v>
      </c>
      <c r="J384" s="456">
        <v>15363281</v>
      </c>
      <c r="K384" s="147"/>
      <c r="L384" s="438" t="s">
        <v>2570</v>
      </c>
      <c r="M384" s="194" t="s">
        <v>844</v>
      </c>
      <c r="N384" s="177" t="e" cm="1">
        <f t="array" aca="1" ref="N384" ca="1">_xlfn.XLOOKUP(Contrato5[[#This Row],[SUPERVISOR TITULAR]],[2]!PERSONAL_ACTIVO_2024[[#All],[Nombre completo]],[2]!PERSONAL_ACTIVO_2024[[#All],[Documento identidad]],"",0)</f>
        <v>#NAME?</v>
      </c>
      <c r="O384" s="194" t="s">
        <v>526</v>
      </c>
      <c r="P384" s="196" t="e" cm="1">
        <f t="array" aca="1" ref="P384" ca="1">_xlfn.XLOOKUP(Contrato5[[#This Row],[SUPERVISOR SUPLENTE ]],[2]!PERSONAL_ACTIVO_2024[[#All],[Nombre completo]],[2]!PERSONAL_ACTIVO_2024[[#All],[Documento identidad]],"",0)</f>
        <v>#NAME?</v>
      </c>
      <c r="Q384" s="208">
        <v>1010</v>
      </c>
      <c r="R384" s="137" t="e" cm="1">
        <f t="array" aca="1" ref="R384" ca="1">_xlfn.XLOOKUP(Contrato5[[#This Row],[CDP]],[2]!DISPONIBILIDADES_2024[[#All],[consecutivo]],[2]!DISPONIBILIDADES_2024[[#All],[fecha_aprobacion]],"",0)</f>
        <v>#NAME?</v>
      </c>
      <c r="S384" s="138" t="e">
        <f>SUMIF([2]!DISPONIBILIDADES_2024[[#All],[consecutivo]],Contrato5[[#This Row],[CDP]],[2]!DISPONIBILIDADES_2024[[#All],[valor_total_rubro]])</f>
        <v>#REF!</v>
      </c>
      <c r="T384" s="139" t="e" cm="1">
        <f t="array" aca="1" ref="T384" ca="1">_xlfn.XLOOKUP(Contrato5[[#This Row],[CONTRATO]]&amp;Contrato5[[#This Row],[CDP]],[2]!Corr_Contr_CDP[[#All],[CONTRATO-CDP]],[2]!Corr_Contr_CDP[[#All],[CRP]],_xlfn.XLOOKUP(Contrato5[[#This Row],[CDP]],[2]!COMPROMISOS_2024[[#All],[disponibilidad]],[2]!COMPROMISOS_2024[[#All],[consecutivo]],"",0),0)</f>
        <v>#NAME?</v>
      </c>
      <c r="U384" s="140" t="e" cm="1">
        <f t="array" aca="1" ref="U384" ca="1">+_xlfn.XLOOKUP(Contrato5[[#This Row],[RCP]],[2]!COMPROMISOS_2024[[#All],[consecutivo]],[2]!COMPROMISOS_2024[[#All],[fecha_aprobacion]],"",0)</f>
        <v>#NAME?</v>
      </c>
      <c r="V384" s="141" t="e">
        <f ca="1">SUMIF([2]!COMPROMISOS_2024[[#All],[consecutivo]],Contrato5[[#This Row],[RCP]],[2]!COMPROMISOS_2024[[#All],[valor_total]])</f>
        <v>#REF!</v>
      </c>
      <c r="W384" s="415">
        <v>45579</v>
      </c>
      <c r="X384" s="415" t="s">
        <v>1045</v>
      </c>
      <c r="Y384" s="143">
        <v>45589</v>
      </c>
      <c r="Z384" s="262">
        <v>45657</v>
      </c>
      <c r="AA384" s="171"/>
      <c r="AB384" s="172" t="s">
        <v>2604</v>
      </c>
      <c r="AC384" s="127"/>
      <c r="AD384" s="211"/>
      <c r="AE384" s="147"/>
      <c r="AF384" s="148" t="str">
        <f>TEXT(LEFT(Contrato5[[#This Row],[CONTRATO]],3),"0")</f>
        <v>293</v>
      </c>
      <c r="AG384" s="148" t="str">
        <f>IF(LEN(Contrato5[[#This Row],[Contrato2]])=3,Contrato5[[#This Row],[Contrato2]],TEXT(Contrato5[[#This Row],[Contrato2]],"000"))</f>
        <v>293</v>
      </c>
      <c r="AH384" s="149">
        <f ca="1">IFERROR(_xlfn.DAYS(Contrato5[[#This Row],[Fecha Proyectada liquidación]],TODAY())/30,"")</f>
        <v>0.6333333333333333</v>
      </c>
      <c r="AI384" s="150">
        <f>+Contrato5[[#This Row],[FECHA TERMINACIÓN ]]+120</f>
        <v>45777</v>
      </c>
      <c r="AJ384" s="147"/>
      <c r="AK384" s="152" t="str">
        <f ca="1">IF(Contrato5[[#This Row],[FECHA TERMINACIÓN ]]&lt;TODAY(), "Terminado",IF(ISNUMBER(Contrato5[[#This Row],[Fecha Real de liquiidación ]]),"Liquidado",IF(Contrato5[[#This Row],[FECHA TERMINACIÓN ]]&gt;=TODAY(),"En ejecución","")))</f>
        <v>Terminado</v>
      </c>
      <c r="AL384" s="153" t="e">
        <f ca="1">SUMIF([2]!COMPROMISOS_2024[[#All],[consecutivo]],Contrato5[[#This Row],[RCP]],[2]!COMPROMISOS_2024[[#All],[Total pagado]])</f>
        <v>#REF!</v>
      </c>
      <c r="AM384" s="154">
        <f ca="1">IFERROR(Contrato5[[#This Row],[Pagos]]/Contrato5[[#This Row],[VALOR CONTRATO]],0)</f>
        <v>0</v>
      </c>
      <c r="AN384" s="198" t="e">
        <f ca="1">+Contrato5[[#This Row],[VALOR CONTRATO]]-Contrato5[[#This Row],[Pagos]]</f>
        <v>#REF!</v>
      </c>
      <c r="AO384" s="147" t="e" cm="1">
        <f t="array" aca="1" ref="AO384" ca="1">_xlfn.XLOOKUP(Contrato5[[#This Row],[DOCUMENTO ]],[2]!PERSONAL_ACTIVO_2024[[#All],[Documento identidad]],[2]!PERSONAL_ACTIVO_2024[[#All],[Mail ]],0,0)</f>
        <v>#NAME?</v>
      </c>
      <c r="AP384" s="147" t="e" cm="1">
        <f t="array" aca="1" ref="AP384" ca="1">_xlfn.XLOOKUP(Contrato5[[#This Row],[DOCUMENTO]],[2]!PERSONAL_ACTIVO_2024[[#All],[Documento identidad]],[2]!PERSONAL_ACTIVO_2024[[#All],[Mail ]],0,0)</f>
        <v>#NAME?</v>
      </c>
      <c r="AQ384" s="439" cm="1">
        <f t="array" aca="1" ref="AQ384" ca="1">IF(ISBLANK(Contrato5[[#This Row],[DEPENDENCIA ]]),0,IFERROR(_xlfn.XLOOKUP(Contrato5[[#This Row],[DEPENDENCIA ]],[2]!PERSONAL_ACTIVO_2024[[#All],[Dependencia]],[2]!PERSONAL_ACTIVO_2024[[#All],[Mail ]],0,0),0))</f>
        <v>0</v>
      </c>
    </row>
    <row r="385" spans="1:43" ht="34.5" customHeight="1">
      <c r="A385" s="125">
        <v>642</v>
      </c>
      <c r="B385" s="124">
        <v>294</v>
      </c>
      <c r="C385" s="162" t="s">
        <v>1722</v>
      </c>
      <c r="D385" s="227" t="s">
        <v>583</v>
      </c>
      <c r="E385" s="128" t="s">
        <v>94</v>
      </c>
      <c r="F385" s="163" t="s">
        <v>1376</v>
      </c>
      <c r="G385" s="190" t="s">
        <v>1082</v>
      </c>
      <c r="H385" s="447">
        <v>1036607096</v>
      </c>
      <c r="I385" s="455">
        <v>6879081</v>
      </c>
      <c r="J385" s="456">
        <v>41274486</v>
      </c>
      <c r="K385" s="147" t="s">
        <v>42</v>
      </c>
      <c r="L385" s="438" t="s">
        <v>608</v>
      </c>
      <c r="M385" s="194" t="s">
        <v>600</v>
      </c>
      <c r="N385" s="177" t="e" cm="1">
        <f t="array" aca="1" ref="N385" ca="1">_xlfn.XLOOKUP(Contrato5[[#This Row],[SUPERVISOR TITULAR]],[2]!PERSONAL_ACTIVO_2024[[#All],[Nombre completo]],[2]!PERSONAL_ACTIVO_2024[[#All],[Documento identidad]],"",0)</f>
        <v>#NAME?</v>
      </c>
      <c r="O385" s="194" t="s">
        <v>592</v>
      </c>
      <c r="P385" s="196" t="e" cm="1">
        <f t="array" aca="1" ref="P385" ca="1">_xlfn.XLOOKUP(Contrato5[[#This Row],[SUPERVISOR SUPLENTE ]],[2]!PERSONAL_ACTIVO_2024[[#All],[Nombre completo]],[2]!PERSONAL_ACTIVO_2024[[#All],[Documento identidad]],"",0)</f>
        <v>#NAME?</v>
      </c>
      <c r="Q385" s="208">
        <v>400</v>
      </c>
      <c r="R385" s="137" t="e" cm="1">
        <f t="array" aca="1" ref="R385" ca="1">_xlfn.XLOOKUP(Contrato5[[#This Row],[CDP]],[2]!DISPONIBILIDADES_2024[[#All],[consecutivo]],[2]!DISPONIBILIDADES_2024[[#All],[fecha_aprobacion]],"",0)</f>
        <v>#NAME?</v>
      </c>
      <c r="S385" s="138" t="e">
        <f>SUMIF([2]!DISPONIBILIDADES_2024[[#All],[consecutivo]],Contrato5[[#This Row],[CDP]],[2]!DISPONIBILIDADES_2024[[#All],[valor_total_rubro]])</f>
        <v>#REF!</v>
      </c>
      <c r="T385" s="139" t="e" cm="1">
        <f t="array" aca="1" ref="T385" ca="1">_xlfn.XLOOKUP(Contrato5[[#This Row],[CONTRATO]]&amp;Contrato5[[#This Row],[CDP]],[2]!Corr_Contr_CDP[[#All],[CONTRATO-CDP]],[2]!Corr_Contr_CDP[[#All],[CRP]],_xlfn.XLOOKUP(Contrato5[[#This Row],[CDP]],[2]!COMPROMISOS_2024[[#All],[disponibilidad]],[2]!COMPROMISOS_2024[[#All],[consecutivo]],"",0),0)</f>
        <v>#NAME?</v>
      </c>
      <c r="U385" s="140" t="e" cm="1">
        <f t="array" aca="1" ref="U385" ca="1">+_xlfn.XLOOKUP(Contrato5[[#This Row],[RCP]],[2]!COMPROMISOS_2024[[#All],[consecutivo]],[2]!COMPROMISOS_2024[[#All],[fecha_aprobacion]],"",0)</f>
        <v>#NAME?</v>
      </c>
      <c r="V385" s="141" t="e">
        <f ca="1">SUMIF([2]!COMPROMISOS_2024[[#All],[consecutivo]],Contrato5[[#This Row],[RCP]],[2]!COMPROMISOS_2024[[#All],[valor_total]])</f>
        <v>#REF!</v>
      </c>
      <c r="W385" s="415">
        <v>45400</v>
      </c>
      <c r="X385" s="415" t="s">
        <v>1045</v>
      </c>
      <c r="Y385" s="143">
        <v>45401</v>
      </c>
      <c r="Z385" s="262">
        <v>45583</v>
      </c>
      <c r="AA385" s="171" t="s">
        <v>1083</v>
      </c>
      <c r="AB385" s="172" t="s">
        <v>640</v>
      </c>
      <c r="AC385" s="172"/>
      <c r="AD385" s="211">
        <v>202000004228</v>
      </c>
      <c r="AE385" s="125" t="s">
        <v>523</v>
      </c>
      <c r="AF385" s="148" t="str">
        <f>TEXT(LEFT(Contrato5[[#This Row],[CONTRATO]],3),"0")</f>
        <v>294</v>
      </c>
      <c r="AG385" s="148" t="str">
        <f>IF(LEN(Contrato5[[#This Row],[Contrato2]])=3,Contrato5[[#This Row],[Contrato2]],TEXT(Contrato5[[#This Row],[Contrato2]],"000"))</f>
        <v>294</v>
      </c>
      <c r="AH385" s="149">
        <f ca="1">IFERROR(_xlfn.DAYS(Contrato5[[#This Row],[Fecha Proyectada liquidación]],TODAY())/30,"")</f>
        <v>-1.8333333333333333</v>
      </c>
      <c r="AI385" s="150">
        <f>+Contrato5[[#This Row],[FECHA TERMINACIÓN ]]+120</f>
        <v>45703</v>
      </c>
      <c r="AJ385" s="147"/>
      <c r="AK385" s="152" t="str">
        <f ca="1">IF(Contrato5[[#This Row],[FECHA TERMINACIÓN ]]&lt;TODAY(), "Terminado",IF(ISNUMBER(Contrato5[[#This Row],[Fecha Real de liquiidación ]]),"Liquidado",IF(Contrato5[[#This Row],[FECHA TERMINACIÓN ]]&gt;=TODAY(),"En ejecución","")))</f>
        <v>Terminado</v>
      </c>
      <c r="AL385" s="153" t="e">
        <f ca="1">SUMIF([2]!COMPROMISOS_2024[[#All],[consecutivo]],Contrato5[[#This Row],[RCP]],[2]!COMPROMISOS_2024[[#All],[Total pagado]])</f>
        <v>#REF!</v>
      </c>
      <c r="AM385" s="154">
        <f ca="1">IFERROR(Contrato5[[#This Row],[Pagos]]/Contrato5[[#This Row],[VALOR CONTRATO]],0)</f>
        <v>0</v>
      </c>
      <c r="AN385" s="198" t="e">
        <f ca="1">+Contrato5[[#This Row],[VALOR CONTRATO]]-Contrato5[[#This Row],[Pagos]]</f>
        <v>#REF!</v>
      </c>
      <c r="AO385" s="147" t="e" cm="1">
        <f t="array" aca="1" ref="AO385" ca="1">_xlfn.XLOOKUP(Contrato5[[#This Row],[DOCUMENTO ]],[2]!PERSONAL_ACTIVO_2024[[#All],[Documento identidad]],[2]!PERSONAL_ACTIVO_2024[[#All],[Mail ]],0,0)</f>
        <v>#NAME?</v>
      </c>
      <c r="AP385" s="147" t="e" cm="1">
        <f t="array" aca="1" ref="AP385" ca="1">_xlfn.XLOOKUP(Contrato5[[#This Row],[DOCUMENTO]],[2]!PERSONAL_ACTIVO_2024[[#All],[Documento identidad]],[2]!PERSONAL_ACTIVO_2024[[#All],[Mail ]],0,0)</f>
        <v>#NAME?</v>
      </c>
      <c r="AQ385" s="439" cm="1">
        <f t="array" aca="1" ref="AQ385" ca="1">IF(ISBLANK(Contrato5[[#This Row],[DEPENDENCIA ]]),0,IFERROR(_xlfn.XLOOKUP(Contrato5[[#This Row],[DEPENDENCIA ]],[2]!PERSONAL_ACTIVO_2024[[#All],[Dependencia]],[2]!PERSONAL_ACTIVO_2024[[#All],[Mail ]],0,0),0))</f>
        <v>0</v>
      </c>
    </row>
    <row r="386" spans="1:43" ht="34.5" customHeight="1">
      <c r="A386" s="125">
        <v>1195</v>
      </c>
      <c r="B386" s="124">
        <v>294</v>
      </c>
      <c r="C386" s="162" t="s">
        <v>2183</v>
      </c>
      <c r="D386" s="227" t="s">
        <v>583</v>
      </c>
      <c r="E386" s="128" t="s">
        <v>2148</v>
      </c>
      <c r="F386" s="163" t="s">
        <v>1376</v>
      </c>
      <c r="G386" s="190" t="s">
        <v>1082</v>
      </c>
      <c r="H386" s="447">
        <v>1036607096</v>
      </c>
      <c r="I386" s="455">
        <v>6879081</v>
      </c>
      <c r="J386" s="456">
        <v>16509794</v>
      </c>
      <c r="K386" s="147" t="s">
        <v>42</v>
      </c>
      <c r="L386" s="438" t="s">
        <v>2570</v>
      </c>
      <c r="M386" s="194" t="s">
        <v>600</v>
      </c>
      <c r="N386" s="177" t="e" cm="1">
        <f t="array" aca="1" ref="N386" ca="1">_xlfn.XLOOKUP(Contrato5[[#This Row],[SUPERVISOR TITULAR]],[2]!PERSONAL_ACTIVO_2024[[#All],[Nombre completo]],[2]!PERSONAL_ACTIVO_2024[[#All],[Documento identidad]],"",0)</f>
        <v>#NAME?</v>
      </c>
      <c r="O386" s="194" t="s">
        <v>592</v>
      </c>
      <c r="P386" s="196" t="e" cm="1">
        <f t="array" aca="1" ref="P386" ca="1">_xlfn.XLOOKUP(Contrato5[[#This Row],[SUPERVISOR SUPLENTE ]],[2]!PERSONAL_ACTIVO_2024[[#All],[Nombre completo]],[2]!PERSONAL_ACTIVO_2024[[#All],[Documento identidad]],"",0)</f>
        <v>#NAME?</v>
      </c>
      <c r="Q386" s="208">
        <v>1007</v>
      </c>
      <c r="R386" s="137" t="e" cm="1">
        <f t="array" aca="1" ref="R386" ca="1">_xlfn.XLOOKUP(Contrato5[[#This Row],[CDP]],[2]!DISPONIBILIDADES_2024[[#All],[consecutivo]],[2]!DISPONIBILIDADES_2024[[#All],[fecha_aprobacion]],"",0)</f>
        <v>#NAME?</v>
      </c>
      <c r="S386" s="138" t="e">
        <f>SUMIF([2]!DISPONIBILIDADES_2024[[#All],[consecutivo]],Contrato5[[#This Row],[CDP]],[2]!DISPONIBILIDADES_2024[[#All],[valor_total_rubro]])</f>
        <v>#REF!</v>
      </c>
      <c r="T386" s="139" t="e" cm="1">
        <f t="array" aca="1" ref="T386" ca="1">_xlfn.XLOOKUP(Contrato5[[#This Row],[CONTRATO]]&amp;Contrato5[[#This Row],[CDP]],[2]!Corr_Contr_CDP[[#All],[CONTRATO-CDP]],[2]!Corr_Contr_CDP[[#All],[CRP]],_xlfn.XLOOKUP(Contrato5[[#This Row],[CDP]],[2]!COMPROMISOS_2024[[#All],[disponibilidad]],[2]!COMPROMISOS_2024[[#All],[consecutivo]],"",0),0)</f>
        <v>#NAME?</v>
      </c>
      <c r="U386" s="140" t="e" cm="1">
        <f t="array" aca="1" ref="U386" ca="1">+_xlfn.XLOOKUP(Contrato5[[#This Row],[RCP]],[2]!COMPROMISOS_2024[[#All],[consecutivo]],[2]!COMPROMISOS_2024[[#All],[fecha_aprobacion]],"",0)</f>
        <v>#NAME?</v>
      </c>
      <c r="V386" s="141" t="e">
        <f ca="1">SUMIF([2]!COMPROMISOS_2024[[#All],[consecutivo]],Contrato5[[#This Row],[RCP]],[2]!COMPROMISOS_2024[[#All],[valor_total]])</f>
        <v>#REF!</v>
      </c>
      <c r="W386" s="415">
        <v>45580</v>
      </c>
      <c r="X386" s="415" t="s">
        <v>1045</v>
      </c>
      <c r="Y386" s="143">
        <v>45584</v>
      </c>
      <c r="Z386" s="262">
        <v>45657</v>
      </c>
      <c r="AA386" s="171"/>
      <c r="AB386" s="172" t="s">
        <v>2571</v>
      </c>
      <c r="AC386" s="172"/>
      <c r="AD386" s="211">
        <v>202000004228</v>
      </c>
      <c r="AE386" s="125" t="s">
        <v>523</v>
      </c>
      <c r="AF386" s="148" t="str">
        <f>TEXT(LEFT(Contrato5[[#This Row],[CONTRATO]],3),"0")</f>
        <v>294</v>
      </c>
      <c r="AG386" s="148" t="str">
        <f>IF(LEN(Contrato5[[#This Row],[Contrato2]])=3,Contrato5[[#This Row],[Contrato2]],TEXT(Contrato5[[#This Row],[Contrato2]],"000"))</f>
        <v>294</v>
      </c>
      <c r="AH386" s="149">
        <f ca="1">IFERROR(_xlfn.DAYS(Contrato5[[#This Row],[Fecha Proyectada liquidación]],TODAY())/30,"")</f>
        <v>0.6333333333333333</v>
      </c>
      <c r="AI386" s="150">
        <f>+Contrato5[[#This Row],[FECHA TERMINACIÓN ]]+120</f>
        <v>45777</v>
      </c>
      <c r="AJ386" s="147"/>
      <c r="AK386" s="152" t="str">
        <f ca="1">IF(Contrato5[[#This Row],[FECHA TERMINACIÓN ]]&lt;TODAY(), "Terminado",IF(ISNUMBER(Contrato5[[#This Row],[Fecha Real de liquiidación ]]),"Liquidado",IF(Contrato5[[#This Row],[FECHA TERMINACIÓN ]]&gt;=TODAY(),"En ejecución","")))</f>
        <v>Terminado</v>
      </c>
      <c r="AL386" s="153" t="e">
        <f ca="1">SUMIF([2]!COMPROMISOS_2024[[#All],[consecutivo]],Contrato5[[#This Row],[RCP]],[2]!COMPROMISOS_2024[[#All],[Total pagado]])</f>
        <v>#REF!</v>
      </c>
      <c r="AM386" s="154">
        <f ca="1">IFERROR(Contrato5[[#This Row],[Pagos]]/Contrato5[[#This Row],[VALOR CONTRATO]],0)</f>
        <v>0</v>
      </c>
      <c r="AN386" s="198" t="e">
        <f ca="1">+Contrato5[[#This Row],[VALOR CONTRATO]]-Contrato5[[#This Row],[Pagos]]</f>
        <v>#REF!</v>
      </c>
      <c r="AO386" s="147" t="e" cm="1">
        <f t="array" aca="1" ref="AO386" ca="1">_xlfn.XLOOKUP(Contrato5[[#This Row],[DOCUMENTO ]],[2]!PERSONAL_ACTIVO_2024[[#All],[Documento identidad]],[2]!PERSONAL_ACTIVO_2024[[#All],[Mail ]],0,0)</f>
        <v>#NAME?</v>
      </c>
      <c r="AP386" s="147" t="e" cm="1">
        <f t="array" aca="1" ref="AP386" ca="1">_xlfn.XLOOKUP(Contrato5[[#This Row],[DOCUMENTO]],[2]!PERSONAL_ACTIVO_2024[[#All],[Documento identidad]],[2]!PERSONAL_ACTIVO_2024[[#All],[Mail ]],0,0)</f>
        <v>#NAME?</v>
      </c>
      <c r="AQ386" s="439" cm="1">
        <f t="array" aca="1" ref="AQ386" ca="1">IF(ISBLANK(Contrato5[[#This Row],[DEPENDENCIA ]]),0,IFERROR(_xlfn.XLOOKUP(Contrato5[[#This Row],[DEPENDENCIA ]],[2]!PERSONAL_ACTIVO_2024[[#All],[Dependencia]],[2]!PERSONAL_ACTIVO_2024[[#All],[Mail ]],0,0),0))</f>
        <v>0</v>
      </c>
    </row>
    <row r="387" spans="1:43" ht="34.5" customHeight="1">
      <c r="A387" s="125">
        <v>626</v>
      </c>
      <c r="B387" s="124">
        <v>295</v>
      </c>
      <c r="C387" s="162" t="s">
        <v>1536</v>
      </c>
      <c r="D387" s="227" t="s">
        <v>602</v>
      </c>
      <c r="E387" s="128" t="s">
        <v>94</v>
      </c>
      <c r="F387" s="163" t="s">
        <v>1376</v>
      </c>
      <c r="G387" s="190" t="s">
        <v>1084</v>
      </c>
      <c r="H387" s="447">
        <v>1128417583</v>
      </c>
      <c r="I387" s="455">
        <v>6879081</v>
      </c>
      <c r="J387" s="456">
        <v>20637243</v>
      </c>
      <c r="K387" s="147" t="s">
        <v>42</v>
      </c>
      <c r="L387" s="438" t="s">
        <v>608</v>
      </c>
      <c r="M387" s="194" t="s">
        <v>610</v>
      </c>
      <c r="N387" s="177" t="e" cm="1">
        <f t="array" aca="1" ref="N387" ca="1">_xlfn.XLOOKUP(Contrato5[[#This Row],[SUPERVISOR TITULAR]],[2]!PERSONAL_ACTIVO_2024[[#All],[Nombre completo]],[2]!PERSONAL_ACTIVO_2024[[#All],[Documento identidad]],"",0)</f>
        <v>#NAME?</v>
      </c>
      <c r="O387" s="194" t="s">
        <v>847</v>
      </c>
      <c r="P387" s="196" t="e" cm="1">
        <f t="array" aca="1" ref="P387" ca="1">_xlfn.XLOOKUP(Contrato5[[#This Row],[SUPERVISOR SUPLENTE ]],[2]!PERSONAL_ACTIVO_2024[[#All],[Nombre completo]],[2]!PERSONAL_ACTIVO_2024[[#All],[Documento identidad]],"",0)</f>
        <v>#NAME?</v>
      </c>
      <c r="Q387" s="208">
        <v>405</v>
      </c>
      <c r="R387" s="137" t="e" cm="1">
        <f t="array" aca="1" ref="R387" ca="1">_xlfn.XLOOKUP(Contrato5[[#This Row],[CDP]],[2]!DISPONIBILIDADES_2024[[#All],[consecutivo]],[2]!DISPONIBILIDADES_2024[[#All],[fecha_aprobacion]],"",0)</f>
        <v>#NAME?</v>
      </c>
      <c r="S387" s="138" t="e">
        <f>SUMIF([2]!DISPONIBILIDADES_2024[[#All],[consecutivo]],Contrato5[[#This Row],[CDP]],[2]!DISPONIBILIDADES_2024[[#All],[valor_total_rubro]])</f>
        <v>#REF!</v>
      </c>
      <c r="T387" s="139" t="e" cm="1">
        <f t="array" aca="1" ref="T387" ca="1">_xlfn.XLOOKUP(Contrato5[[#This Row],[CONTRATO]]&amp;Contrato5[[#This Row],[CDP]],[2]!Corr_Contr_CDP[[#All],[CONTRATO-CDP]],[2]!Corr_Contr_CDP[[#All],[CRP]],_xlfn.XLOOKUP(Contrato5[[#This Row],[CDP]],[2]!COMPROMISOS_2024[[#All],[disponibilidad]],[2]!COMPROMISOS_2024[[#All],[consecutivo]],"",0),0)</f>
        <v>#NAME?</v>
      </c>
      <c r="U387" s="140" t="e" cm="1">
        <f t="array" aca="1" ref="U387" ca="1">+_xlfn.XLOOKUP(Contrato5[[#This Row],[RCP]],[2]!COMPROMISOS_2024[[#All],[consecutivo]],[2]!COMPROMISOS_2024[[#All],[fecha_aprobacion]],"",0)</f>
        <v>#NAME?</v>
      </c>
      <c r="V387" s="141" t="e">
        <f ca="1">SUMIF([2]!COMPROMISOS_2024[[#All],[consecutivo]],Contrato5[[#This Row],[RCP]],[2]!COMPROMISOS_2024[[#All],[valor_total]])</f>
        <v>#REF!</v>
      </c>
      <c r="W387" s="415">
        <v>45401</v>
      </c>
      <c r="X387" s="415" t="s">
        <v>1045</v>
      </c>
      <c r="Y387" s="143">
        <v>45404</v>
      </c>
      <c r="Z387" s="262">
        <v>45494</v>
      </c>
      <c r="AA387" s="171" t="s">
        <v>1085</v>
      </c>
      <c r="AB387" s="172" t="s">
        <v>529</v>
      </c>
      <c r="AC387" s="172"/>
      <c r="AD387" s="211">
        <v>202000004229</v>
      </c>
      <c r="AE387" s="125" t="s">
        <v>523</v>
      </c>
      <c r="AF387" s="148" t="str">
        <f>TEXT(LEFT(Contrato5[[#This Row],[CONTRATO]],3),"0")</f>
        <v>295</v>
      </c>
      <c r="AG387" s="148" t="str">
        <f>IF(LEN(Contrato5[[#This Row],[Contrato2]])=3,Contrato5[[#This Row],[Contrato2]],TEXT(Contrato5[[#This Row],[Contrato2]],"000"))</f>
        <v>295</v>
      </c>
      <c r="AH387" s="149">
        <f ca="1">IFERROR(_xlfn.DAYS(Contrato5[[#This Row],[Fecha Proyectada liquidación]],TODAY())/30,"")</f>
        <v>-4.8</v>
      </c>
      <c r="AI387" s="150">
        <f>+Contrato5[[#This Row],[FECHA TERMINACIÓN ]]+120</f>
        <v>45614</v>
      </c>
      <c r="AJ387" s="147"/>
      <c r="AK387" s="152" t="str">
        <f ca="1">IF(Contrato5[[#This Row],[FECHA TERMINACIÓN ]]&lt;TODAY(), "Terminado",IF(ISNUMBER(Contrato5[[#This Row],[Fecha Real de liquiidación ]]),"Liquidado",IF(Contrato5[[#This Row],[FECHA TERMINACIÓN ]]&gt;=TODAY(),"En ejecución","")))</f>
        <v>Terminado</v>
      </c>
      <c r="AL387" s="153" t="e">
        <f ca="1">SUMIF([2]!COMPROMISOS_2024[[#All],[consecutivo]],Contrato5[[#This Row],[RCP]],[2]!COMPROMISOS_2024[[#All],[Total pagado]])</f>
        <v>#REF!</v>
      </c>
      <c r="AM387" s="154">
        <f ca="1">IFERROR(Contrato5[[#This Row],[Pagos]]/Contrato5[[#This Row],[VALOR CONTRATO]],0)</f>
        <v>0</v>
      </c>
      <c r="AN387" s="198" t="e">
        <f ca="1">+Contrato5[[#This Row],[VALOR CONTRATO]]-Contrato5[[#This Row],[Pagos]]</f>
        <v>#REF!</v>
      </c>
      <c r="AO387" s="147" t="e" cm="1">
        <f t="array" aca="1" ref="AO387" ca="1">_xlfn.XLOOKUP(Contrato5[[#This Row],[DOCUMENTO ]],[2]!PERSONAL_ACTIVO_2024[[#All],[Documento identidad]],[2]!PERSONAL_ACTIVO_2024[[#All],[Mail ]],0,0)</f>
        <v>#NAME?</v>
      </c>
      <c r="AP387" s="147" t="e" cm="1">
        <f t="array" aca="1" ref="AP387" ca="1">_xlfn.XLOOKUP(Contrato5[[#This Row],[DOCUMENTO]],[2]!PERSONAL_ACTIVO_2024[[#All],[Documento identidad]],[2]!PERSONAL_ACTIVO_2024[[#All],[Mail ]],0,0)</f>
        <v>#NAME?</v>
      </c>
      <c r="AQ387" s="439" cm="1">
        <f t="array" aca="1" ref="AQ387" ca="1">IF(ISBLANK(Contrato5[[#This Row],[DEPENDENCIA ]]),0,IFERROR(_xlfn.XLOOKUP(Contrato5[[#This Row],[DEPENDENCIA ]],[2]!PERSONAL_ACTIVO_2024[[#All],[Dependencia]],[2]!PERSONAL_ACTIVO_2024[[#All],[Mail ]],0,0),0))</f>
        <v>0</v>
      </c>
    </row>
    <row r="388" spans="1:43" ht="34.5" customHeight="1">
      <c r="A388" s="125">
        <v>627</v>
      </c>
      <c r="B388" s="124">
        <v>296</v>
      </c>
      <c r="C388" s="162" t="s">
        <v>1537</v>
      </c>
      <c r="D388" s="227" t="s">
        <v>602</v>
      </c>
      <c r="E388" s="128" t="s">
        <v>94</v>
      </c>
      <c r="F388" s="163" t="s">
        <v>1376</v>
      </c>
      <c r="G388" s="190" t="s">
        <v>1086</v>
      </c>
      <c r="H388" s="447">
        <v>1038417615</v>
      </c>
      <c r="I388" s="455">
        <v>6879081</v>
      </c>
      <c r="J388" s="456">
        <v>34395405</v>
      </c>
      <c r="K388" s="147" t="s">
        <v>42</v>
      </c>
      <c r="L388" s="438" t="s">
        <v>608</v>
      </c>
      <c r="M388" s="194" t="s">
        <v>605</v>
      </c>
      <c r="N388" s="177" t="e" cm="1">
        <f t="array" aca="1" ref="N388" ca="1">_xlfn.XLOOKUP(Contrato5[[#This Row],[SUPERVISOR TITULAR]],[2]!PERSONAL_ACTIVO_2024[[#All],[Nombre completo]],[2]!PERSONAL_ACTIVO_2024[[#All],[Documento identidad]],"",0)</f>
        <v>#NAME?</v>
      </c>
      <c r="O388" s="194" t="s">
        <v>1087</v>
      </c>
      <c r="P388" s="196" t="e" cm="1">
        <f t="array" aca="1" ref="P388" ca="1">_xlfn.XLOOKUP(Contrato5[[#This Row],[SUPERVISOR SUPLENTE ]],[2]!PERSONAL_ACTIVO_2024[[#All],[Nombre completo]],[2]!PERSONAL_ACTIVO_2024[[#All],[Documento identidad]],"",0)</f>
        <v>#NAME?</v>
      </c>
      <c r="Q388" s="208">
        <v>426</v>
      </c>
      <c r="R388" s="137" t="e" cm="1">
        <f t="array" aca="1" ref="R388" ca="1">_xlfn.XLOOKUP(Contrato5[[#This Row],[CDP]],[2]!DISPONIBILIDADES_2024[[#All],[consecutivo]],[2]!DISPONIBILIDADES_2024[[#All],[fecha_aprobacion]],"",0)</f>
        <v>#NAME?</v>
      </c>
      <c r="S388" s="138" t="e">
        <f>SUMIF([2]!DISPONIBILIDADES_2024[[#All],[consecutivo]],Contrato5[[#This Row],[CDP]],[2]!DISPONIBILIDADES_2024[[#All],[valor_total_rubro]])</f>
        <v>#REF!</v>
      </c>
      <c r="T388" s="139" t="e" cm="1">
        <f t="array" aca="1" ref="T388" ca="1">_xlfn.XLOOKUP(Contrato5[[#This Row],[CONTRATO]]&amp;Contrato5[[#This Row],[CDP]],[2]!Corr_Contr_CDP[[#All],[CONTRATO-CDP]],[2]!Corr_Contr_CDP[[#All],[CRP]],_xlfn.XLOOKUP(Contrato5[[#This Row],[CDP]],[2]!COMPROMISOS_2024[[#All],[disponibilidad]],[2]!COMPROMISOS_2024[[#All],[consecutivo]],"",0),0)</f>
        <v>#NAME?</v>
      </c>
      <c r="U388" s="140" t="e" cm="1">
        <f t="array" aca="1" ref="U388" ca="1">+_xlfn.XLOOKUP(Contrato5[[#This Row],[RCP]],[2]!COMPROMISOS_2024[[#All],[consecutivo]],[2]!COMPROMISOS_2024[[#All],[fecha_aprobacion]],"",0)</f>
        <v>#NAME?</v>
      </c>
      <c r="V388" s="141" t="e">
        <f ca="1">SUMIF([2]!COMPROMISOS_2024[[#All],[consecutivo]],Contrato5[[#This Row],[RCP]],[2]!COMPROMISOS_2024[[#All],[valor_total]])</f>
        <v>#REF!</v>
      </c>
      <c r="W388" s="415">
        <v>45401</v>
      </c>
      <c r="X388" s="415" t="s">
        <v>1045</v>
      </c>
      <c r="Y388" s="143">
        <v>45404</v>
      </c>
      <c r="Z388" s="262">
        <v>45556</v>
      </c>
      <c r="AA388" s="171" t="s">
        <v>1088</v>
      </c>
      <c r="AB388" s="172" t="s">
        <v>1041</v>
      </c>
      <c r="AC388" s="172"/>
      <c r="AD388" s="211">
        <v>202000004232</v>
      </c>
      <c r="AE388" s="125" t="s">
        <v>523</v>
      </c>
      <c r="AF388" s="148" t="str">
        <f>TEXT(LEFT(Contrato5[[#This Row],[CONTRATO]],3),"0")</f>
        <v>296</v>
      </c>
      <c r="AG388" s="148" t="str">
        <f>IF(LEN(Contrato5[[#This Row],[Contrato2]])=3,Contrato5[[#This Row],[Contrato2]],TEXT(Contrato5[[#This Row],[Contrato2]],"000"))</f>
        <v>296</v>
      </c>
      <c r="AH388" s="149">
        <f ca="1">IFERROR(_xlfn.DAYS(Contrato5[[#This Row],[Fecha Proyectada liquidación]],TODAY())/30,"")</f>
        <v>-2.7333333333333334</v>
      </c>
      <c r="AI388" s="150">
        <f>+Contrato5[[#This Row],[FECHA TERMINACIÓN ]]+120</f>
        <v>45676</v>
      </c>
      <c r="AJ388" s="147"/>
      <c r="AK388" s="152" t="str">
        <f ca="1">IF(Contrato5[[#This Row],[FECHA TERMINACIÓN ]]&lt;TODAY(), "Terminado",IF(ISNUMBER(Contrato5[[#This Row],[Fecha Real de liquiidación ]]),"Liquidado",IF(Contrato5[[#This Row],[FECHA TERMINACIÓN ]]&gt;=TODAY(),"En ejecución","")))</f>
        <v>Terminado</v>
      </c>
      <c r="AL388" s="153" t="e">
        <f ca="1">SUMIF([2]!COMPROMISOS_2024[[#All],[consecutivo]],Contrato5[[#This Row],[RCP]],[2]!COMPROMISOS_2024[[#All],[Total pagado]])</f>
        <v>#REF!</v>
      </c>
      <c r="AM388" s="154">
        <f ca="1">IFERROR(Contrato5[[#This Row],[Pagos]]/Contrato5[[#This Row],[VALOR CONTRATO]],0)</f>
        <v>0</v>
      </c>
      <c r="AN388" s="198" t="e">
        <f ca="1">+Contrato5[[#This Row],[VALOR CONTRATO]]-Contrato5[[#This Row],[Pagos]]</f>
        <v>#REF!</v>
      </c>
      <c r="AO388" s="147" t="e" cm="1">
        <f t="array" aca="1" ref="AO388" ca="1">_xlfn.XLOOKUP(Contrato5[[#This Row],[DOCUMENTO ]],[2]!PERSONAL_ACTIVO_2024[[#All],[Documento identidad]],[2]!PERSONAL_ACTIVO_2024[[#All],[Mail ]],0,0)</f>
        <v>#NAME?</v>
      </c>
      <c r="AP388" s="147" t="e" cm="1">
        <f t="array" aca="1" ref="AP388" ca="1">_xlfn.XLOOKUP(Contrato5[[#This Row],[DOCUMENTO]],[2]!PERSONAL_ACTIVO_2024[[#All],[Documento identidad]],[2]!PERSONAL_ACTIVO_2024[[#All],[Mail ]],0,0)</f>
        <v>#NAME?</v>
      </c>
      <c r="AQ388" s="439" cm="1">
        <f t="array" aca="1" ref="AQ388" ca="1">IF(ISBLANK(Contrato5[[#This Row],[DEPENDENCIA ]]),0,IFERROR(_xlfn.XLOOKUP(Contrato5[[#This Row],[DEPENDENCIA ]],[2]!PERSONAL_ACTIVO_2024[[#All],[Dependencia]],[2]!PERSONAL_ACTIVO_2024[[#All],[Mail ]],0,0),0))</f>
        <v>0</v>
      </c>
    </row>
    <row r="389" spans="1:43" ht="34.5" customHeight="1">
      <c r="A389" s="125">
        <v>647</v>
      </c>
      <c r="B389" s="124">
        <v>297</v>
      </c>
      <c r="C389" s="162" t="s">
        <v>1350</v>
      </c>
      <c r="D389" s="227" t="s">
        <v>493</v>
      </c>
      <c r="E389" s="128" t="s">
        <v>94</v>
      </c>
      <c r="F389" s="163" t="s">
        <v>1376</v>
      </c>
      <c r="G389" s="190" t="s">
        <v>1089</v>
      </c>
      <c r="H389" s="447">
        <v>1039450430</v>
      </c>
      <c r="I389" s="455">
        <v>6879081</v>
      </c>
      <c r="J389" s="456">
        <v>55032648</v>
      </c>
      <c r="K389" s="147" t="s">
        <v>42</v>
      </c>
      <c r="L389" s="438" t="s">
        <v>1044</v>
      </c>
      <c r="M389" s="194" t="s">
        <v>527</v>
      </c>
      <c r="N389" s="177" t="e" cm="1">
        <f t="array" aca="1" ref="N389" ca="1">_xlfn.XLOOKUP(Contrato5[[#This Row],[SUPERVISOR TITULAR]],[2]!PERSONAL_ACTIVO_2024[[#All],[Nombre completo]],[2]!PERSONAL_ACTIVO_2024[[#All],[Documento identidad]],"",0)</f>
        <v>#NAME?</v>
      </c>
      <c r="O389" s="194" t="s">
        <v>795</v>
      </c>
      <c r="P389" s="196" t="e" cm="1">
        <f t="array" aca="1" ref="P389" ca="1">_xlfn.XLOOKUP(Contrato5[[#This Row],[SUPERVISOR SUPLENTE ]],[2]!PERSONAL_ACTIVO_2024[[#All],[Nombre completo]],[2]!PERSONAL_ACTIVO_2024[[#All],[Documento identidad]],"",0)</f>
        <v>#NAME?</v>
      </c>
      <c r="Q389" s="208">
        <v>414</v>
      </c>
      <c r="R389" s="137" t="e" cm="1">
        <f t="array" aca="1" ref="R389" ca="1">_xlfn.XLOOKUP(Contrato5[[#This Row],[CDP]],[2]!DISPONIBILIDADES_2024[[#All],[consecutivo]],[2]!DISPONIBILIDADES_2024[[#All],[fecha_aprobacion]],"",0)</f>
        <v>#NAME?</v>
      </c>
      <c r="S389" s="138" t="e">
        <f>SUMIF([2]!DISPONIBILIDADES_2024[[#All],[consecutivo]],Contrato5[[#This Row],[CDP]],[2]!DISPONIBILIDADES_2024[[#All],[valor_total_rubro]])</f>
        <v>#REF!</v>
      </c>
      <c r="T389" s="139" t="e" cm="1">
        <f t="array" aca="1" ref="T389" ca="1">_xlfn.XLOOKUP(Contrato5[[#This Row],[CONTRATO]]&amp;Contrato5[[#This Row],[CDP]],[2]!Corr_Contr_CDP[[#All],[CONTRATO-CDP]],[2]!Corr_Contr_CDP[[#All],[CRP]],_xlfn.XLOOKUP(Contrato5[[#This Row],[CDP]],[2]!COMPROMISOS_2024[[#All],[disponibilidad]],[2]!COMPROMISOS_2024[[#All],[consecutivo]],"",0),0)</f>
        <v>#NAME?</v>
      </c>
      <c r="U389" s="140" t="e" cm="1">
        <f t="array" aca="1" ref="U389" ca="1">+_xlfn.XLOOKUP(Contrato5[[#This Row],[RCP]],[2]!COMPROMISOS_2024[[#All],[consecutivo]],[2]!COMPROMISOS_2024[[#All],[fecha_aprobacion]],"",0)</f>
        <v>#NAME?</v>
      </c>
      <c r="V389" s="141" t="e">
        <f ca="1">SUMIF([2]!COMPROMISOS_2024[[#All],[consecutivo]],Contrato5[[#This Row],[RCP]],[2]!COMPROMISOS_2024[[#All],[valor_total]])</f>
        <v>#REF!</v>
      </c>
      <c r="W389" s="415">
        <v>45398</v>
      </c>
      <c r="X389" s="415" t="s">
        <v>1045</v>
      </c>
      <c r="Y389" s="143">
        <v>45399</v>
      </c>
      <c r="Z389" s="262">
        <v>45642</v>
      </c>
      <c r="AA389" s="183" t="s">
        <v>1090</v>
      </c>
      <c r="AB389" s="172" t="s">
        <v>1037</v>
      </c>
      <c r="AC389" s="172"/>
      <c r="AD389" s="263">
        <v>202000004233</v>
      </c>
      <c r="AE389" s="125" t="s">
        <v>523</v>
      </c>
      <c r="AF389" s="148" t="str">
        <f>TEXT(LEFT(Contrato5[[#This Row],[CONTRATO]],3),"0")</f>
        <v>297</v>
      </c>
      <c r="AG389" s="148" t="str">
        <f>IF(LEN(Contrato5[[#This Row],[Contrato2]])=3,Contrato5[[#This Row],[Contrato2]],TEXT(Contrato5[[#This Row],[Contrato2]],"000"))</f>
        <v>297</v>
      </c>
      <c r="AH389" s="149">
        <f ca="1">IFERROR(_xlfn.DAYS(Contrato5[[#This Row],[Fecha Proyectada liquidación]],TODAY())/30,"")</f>
        <v>0.13333333333333333</v>
      </c>
      <c r="AI389" s="150">
        <f>+Contrato5[[#This Row],[FECHA TERMINACIÓN ]]+120</f>
        <v>45762</v>
      </c>
      <c r="AJ389" s="147"/>
      <c r="AK389" s="152" t="str">
        <f ca="1">IF(Contrato5[[#This Row],[FECHA TERMINACIÓN ]]&lt;TODAY(), "Terminado",IF(ISNUMBER(Contrato5[[#This Row],[Fecha Real de liquiidación ]]),"Liquidado",IF(Contrato5[[#This Row],[FECHA TERMINACIÓN ]]&gt;=TODAY(),"En ejecución","")))</f>
        <v>Terminado</v>
      </c>
      <c r="AL389" s="153" t="e">
        <f ca="1">SUMIF([2]!COMPROMISOS_2024[[#All],[consecutivo]],Contrato5[[#This Row],[RCP]],[2]!COMPROMISOS_2024[[#All],[Total pagado]])</f>
        <v>#REF!</v>
      </c>
      <c r="AM389" s="154">
        <f ca="1">IFERROR(Contrato5[[#This Row],[Pagos]]/Contrato5[[#This Row],[VALOR CONTRATO]],0)</f>
        <v>0</v>
      </c>
      <c r="AN389" s="198" t="e">
        <f ca="1">+Contrato5[[#This Row],[VALOR CONTRATO]]-Contrato5[[#This Row],[Pagos]]</f>
        <v>#REF!</v>
      </c>
      <c r="AO389" s="147" t="e" cm="1">
        <f t="array" aca="1" ref="AO389" ca="1">_xlfn.XLOOKUP(Contrato5[[#This Row],[DOCUMENTO ]],[2]!PERSONAL_ACTIVO_2024[[#All],[Documento identidad]],[2]!PERSONAL_ACTIVO_2024[[#All],[Mail ]],0,0)</f>
        <v>#NAME?</v>
      </c>
      <c r="AP389" s="147" t="e" cm="1">
        <f t="array" aca="1" ref="AP389" ca="1">_xlfn.XLOOKUP(Contrato5[[#This Row],[DOCUMENTO]],[2]!PERSONAL_ACTIVO_2024[[#All],[Documento identidad]],[2]!PERSONAL_ACTIVO_2024[[#All],[Mail ]],0,0)</f>
        <v>#NAME?</v>
      </c>
      <c r="AQ389" s="439" cm="1">
        <f t="array" aca="1" ref="AQ389" ca="1">IF(ISBLANK(Contrato5[[#This Row],[DEPENDENCIA ]]),0,IFERROR(_xlfn.XLOOKUP(Contrato5[[#This Row],[DEPENDENCIA ]],[2]!PERSONAL_ACTIVO_2024[[#All],[Dependencia]],[2]!PERSONAL_ACTIVO_2024[[#All],[Mail ]],0,0),0))</f>
        <v>0</v>
      </c>
    </row>
    <row r="390" spans="1:43" ht="34.5" customHeight="1">
      <c r="A390" s="147">
        <v>1307</v>
      </c>
      <c r="B390" s="499">
        <v>297</v>
      </c>
      <c r="C390" s="162" t="s">
        <v>1322</v>
      </c>
      <c r="D390" s="227" t="s">
        <v>493</v>
      </c>
      <c r="E390" s="128" t="s">
        <v>2148</v>
      </c>
      <c r="F390" s="163" t="s">
        <v>1376</v>
      </c>
      <c r="G390" s="190" t="s">
        <v>1089</v>
      </c>
      <c r="H390" s="447">
        <v>1039450430</v>
      </c>
      <c r="I390" s="455">
        <v>3210237</v>
      </c>
      <c r="J390" s="456">
        <v>3210237</v>
      </c>
      <c r="K390" s="147" t="s">
        <v>42</v>
      </c>
      <c r="L390" s="438" t="s">
        <v>2605</v>
      </c>
      <c r="M390" s="194" t="s">
        <v>527</v>
      </c>
      <c r="N390" s="177" t="e" cm="1">
        <f t="array" aca="1" ref="N390" ca="1">_xlfn.XLOOKUP(Contrato5[[#This Row],[SUPERVISOR TITULAR]],[2]!PERSONAL_ACTIVO_2024[[#All],[Nombre completo]],[2]!PERSONAL_ACTIVO_2024[[#All],[Documento identidad]],"",0)</f>
        <v>#NAME?</v>
      </c>
      <c r="O390" s="194" t="s">
        <v>795</v>
      </c>
      <c r="P390" s="196" t="e" cm="1">
        <f t="array" aca="1" ref="P390" ca="1">_xlfn.XLOOKUP(Contrato5[[#This Row],[SUPERVISOR SUPLENTE ]],[2]!PERSONAL_ACTIVO_2024[[#All],[Nombre completo]],[2]!PERSONAL_ACTIVO_2024[[#All],[Documento identidad]],"",0)</f>
        <v>#NAME?</v>
      </c>
      <c r="Q390" s="170">
        <v>1199</v>
      </c>
      <c r="R390" s="137" t="e" cm="1">
        <f t="array" aca="1" ref="R390" ca="1">_xlfn.XLOOKUP(Contrato5[[#This Row],[CDP]],[2]!DISPONIBILIDADES_2024[[#All],[consecutivo]],[2]!DISPONIBILIDADES_2024[[#All],[fecha_aprobacion]],"",0)</f>
        <v>#NAME?</v>
      </c>
      <c r="S390" s="138" t="e">
        <f>SUMIF([2]!DISPONIBILIDADES_2024[[#All],[consecutivo]],Contrato5[[#This Row],[CDP]],[2]!DISPONIBILIDADES_2024[[#All],[valor_total_rubro]])</f>
        <v>#REF!</v>
      </c>
      <c r="T390" s="139" t="e" cm="1">
        <f t="array" aca="1" ref="T390" ca="1">_xlfn.XLOOKUP(Contrato5[[#This Row],[CONTRATO]]&amp;Contrato5[[#This Row],[CDP]],[2]!Corr_Contr_CDP[[#All],[CONTRATO-CDP]],[2]!Corr_Contr_CDP[[#All],[CRP]],_xlfn.XLOOKUP(Contrato5[[#This Row],[CDP]],[2]!COMPROMISOS_2024[[#All],[disponibilidad]],[2]!COMPROMISOS_2024[[#All],[consecutivo]],"",0),0)</f>
        <v>#NAME?</v>
      </c>
      <c r="U390" s="140" t="e" cm="1">
        <f t="array" aca="1" ref="U390" ca="1">+_xlfn.XLOOKUP(Contrato5[[#This Row],[RCP]],[2]!COMPROMISOS_2024[[#All],[consecutivo]],[2]!COMPROMISOS_2024[[#All],[fecha_aprobacion]],"",0)</f>
        <v>#NAME?</v>
      </c>
      <c r="V390" s="141" t="e">
        <f ca="1">SUMIF([2]!COMPROMISOS_2024[[#All],[consecutivo]],Contrato5[[#This Row],[RCP]],[2]!COMPROMISOS_2024[[#All],[valor_total]])</f>
        <v>#REF!</v>
      </c>
      <c r="W390" s="422">
        <v>45642</v>
      </c>
      <c r="X390" s="415" t="s">
        <v>1045</v>
      </c>
      <c r="Y390" s="143">
        <v>45643</v>
      </c>
      <c r="Z390" s="262">
        <v>45657</v>
      </c>
      <c r="AA390" s="225"/>
      <c r="AB390" s="172" t="s">
        <v>2446</v>
      </c>
      <c r="AC390" s="127"/>
      <c r="AD390" s="211"/>
      <c r="AE390" s="147"/>
      <c r="AF390" s="148" t="str">
        <f>TEXT(LEFT(Contrato5[[#This Row],[CONTRATO]],3),"0")</f>
        <v>297</v>
      </c>
      <c r="AG390" s="148" t="str">
        <f>IF(LEN(Contrato5[[#This Row],[Contrato2]])=3,Contrato5[[#This Row],[Contrato2]],TEXT(Contrato5[[#This Row],[Contrato2]],"000"))</f>
        <v>297</v>
      </c>
      <c r="AH390" s="149">
        <f ca="1">IFERROR(_xlfn.DAYS(Contrato5[[#This Row],[Fecha Proyectada liquidación]],TODAY())/30,"")</f>
        <v>0.6333333333333333</v>
      </c>
      <c r="AI390" s="150">
        <f>+Contrato5[[#This Row],[FECHA TERMINACIÓN ]]+120</f>
        <v>45777</v>
      </c>
      <c r="AJ390" s="147"/>
      <c r="AK390" s="152" t="str">
        <f ca="1">IF(Contrato5[[#This Row],[FECHA TERMINACIÓN ]]&lt;TODAY(), "Terminado",IF(ISNUMBER(Contrato5[[#This Row],[Fecha Real de liquiidación ]]),"Liquidado",IF(Contrato5[[#This Row],[FECHA TERMINACIÓN ]]&gt;=TODAY(),"En ejecución","")))</f>
        <v>Terminado</v>
      </c>
      <c r="AL390" s="153" t="e">
        <f ca="1">SUMIF([2]!COMPROMISOS_2024[[#All],[consecutivo]],Contrato5[[#This Row],[RCP]],[2]!COMPROMISOS_2024[[#All],[Total pagado]])</f>
        <v>#REF!</v>
      </c>
      <c r="AM390" s="154">
        <f ca="1">IFERROR(Contrato5[[#This Row],[Pagos]]/Contrato5[[#This Row],[VALOR CONTRATO]],0)</f>
        <v>0</v>
      </c>
      <c r="AN390" s="198" t="e">
        <f ca="1">+Contrato5[[#This Row],[VALOR CONTRATO]]-Contrato5[[#This Row],[Pagos]]</f>
        <v>#REF!</v>
      </c>
      <c r="AO390" s="147" t="e" cm="1">
        <f t="array" aca="1" ref="AO390" ca="1">_xlfn.XLOOKUP(Contrato5[[#This Row],[DOCUMENTO ]],[2]!PERSONAL_ACTIVO_2024[[#All],[Documento identidad]],[2]!PERSONAL_ACTIVO_2024[[#All],[Mail ]],0,0)</f>
        <v>#NAME?</v>
      </c>
      <c r="AP390" s="147" t="e" cm="1">
        <f t="array" aca="1" ref="AP390" ca="1">_xlfn.XLOOKUP(Contrato5[[#This Row],[DOCUMENTO]],[2]!PERSONAL_ACTIVO_2024[[#All],[Documento identidad]],[2]!PERSONAL_ACTIVO_2024[[#All],[Mail ]],0,0)</f>
        <v>#NAME?</v>
      </c>
      <c r="AQ390" s="439" cm="1">
        <f t="array" aca="1" ref="AQ390" ca="1">IF(ISBLANK(Contrato5[[#This Row],[DEPENDENCIA ]]),0,IFERROR(_xlfn.XLOOKUP(Contrato5[[#This Row],[DEPENDENCIA ]],[2]!PERSONAL_ACTIVO_2024[[#All],[Dependencia]],[2]!PERSONAL_ACTIVO_2024[[#All],[Mail ]],0,0),0))</f>
        <v>0</v>
      </c>
    </row>
    <row r="391" spans="1:43" ht="34.5" customHeight="1">
      <c r="A391" s="125">
        <v>650</v>
      </c>
      <c r="B391" s="124">
        <v>298</v>
      </c>
      <c r="C391" s="162" t="s">
        <v>146</v>
      </c>
      <c r="D391" s="227" t="s">
        <v>493</v>
      </c>
      <c r="E391" s="128" t="s">
        <v>94</v>
      </c>
      <c r="F391" s="163" t="s">
        <v>494</v>
      </c>
      <c r="G391" s="190" t="s">
        <v>1091</v>
      </c>
      <c r="H391" s="447">
        <v>900336802</v>
      </c>
      <c r="I391" s="455">
        <v>16660000</v>
      </c>
      <c r="J391" s="456">
        <v>139944000</v>
      </c>
      <c r="K391" s="147" t="s">
        <v>42</v>
      </c>
      <c r="L391" s="438" t="s">
        <v>608</v>
      </c>
      <c r="M391" s="194" t="s">
        <v>526</v>
      </c>
      <c r="N391" s="177" t="e" cm="1">
        <f t="array" aca="1" ref="N391" ca="1">_xlfn.XLOOKUP(Contrato5[[#This Row],[SUPERVISOR TITULAR]],[2]!PERSONAL_ACTIVO_2024[[#All],[Nombre completo]],[2]!PERSONAL_ACTIVO_2024[[#All],[Documento identidad]],"",0)</f>
        <v>#NAME?</v>
      </c>
      <c r="O391" s="194" t="s">
        <v>795</v>
      </c>
      <c r="P391" s="196" t="e" cm="1">
        <f t="array" aca="1" ref="P391" ca="1">_xlfn.XLOOKUP(Contrato5[[#This Row],[SUPERVISOR SUPLENTE ]],[2]!PERSONAL_ACTIVO_2024[[#All],[Nombre completo]],[2]!PERSONAL_ACTIVO_2024[[#All],[Documento identidad]],"",0)</f>
        <v>#NAME?</v>
      </c>
      <c r="Q391" s="208">
        <v>415</v>
      </c>
      <c r="R391" s="137" t="e" cm="1">
        <f t="array" aca="1" ref="R391" ca="1">_xlfn.XLOOKUP(Contrato5[[#This Row],[CDP]],[2]!DISPONIBILIDADES_2024[[#All],[consecutivo]],[2]!DISPONIBILIDADES_2024[[#All],[fecha_aprobacion]],"",0)</f>
        <v>#NAME?</v>
      </c>
      <c r="S391" s="138" t="e">
        <f>SUMIF([2]!DISPONIBILIDADES_2024[[#All],[consecutivo]],Contrato5[[#This Row],[CDP]],[2]!DISPONIBILIDADES_2024[[#All],[valor_total_rubro]])</f>
        <v>#REF!</v>
      </c>
      <c r="T391" s="139" t="e" cm="1">
        <f t="array" aca="1" ref="T391" ca="1">_xlfn.XLOOKUP(Contrato5[[#This Row],[CONTRATO]]&amp;Contrato5[[#This Row],[CDP]],[2]!Corr_Contr_CDP[[#All],[CONTRATO-CDP]],[2]!Corr_Contr_CDP[[#All],[CRP]],_xlfn.XLOOKUP(Contrato5[[#This Row],[CDP]],[2]!COMPROMISOS_2024[[#All],[disponibilidad]],[2]!COMPROMISOS_2024[[#All],[consecutivo]],"",0),0)</f>
        <v>#NAME?</v>
      </c>
      <c r="U391" s="140" t="e" cm="1">
        <f t="array" aca="1" ref="U391" ca="1">+_xlfn.XLOOKUP(Contrato5[[#This Row],[RCP]],[2]!COMPROMISOS_2024[[#All],[consecutivo]],[2]!COMPROMISOS_2024[[#All],[fecha_aprobacion]],"",0)</f>
        <v>#NAME?</v>
      </c>
      <c r="V391" s="141" t="e">
        <f ca="1">SUMIF([2]!COMPROMISOS_2024[[#All],[consecutivo]],Contrato5[[#This Row],[RCP]],[2]!COMPROMISOS_2024[[#All],[valor_total]])</f>
        <v>#REF!</v>
      </c>
      <c r="W391" s="415">
        <v>45400</v>
      </c>
      <c r="X391" s="415">
        <v>45401</v>
      </c>
      <c r="Y391" s="143">
        <v>45404</v>
      </c>
      <c r="Z391" s="262">
        <v>45656</v>
      </c>
      <c r="AA391" s="171" t="s">
        <v>1092</v>
      </c>
      <c r="AB391" s="172" t="s">
        <v>1093</v>
      </c>
      <c r="AC391" s="172"/>
      <c r="AD391" s="211">
        <v>202000004234</v>
      </c>
      <c r="AE391" s="125" t="s">
        <v>523</v>
      </c>
      <c r="AF391" s="148" t="str">
        <f>TEXT(LEFT(Contrato5[[#This Row],[CONTRATO]],3),"0")</f>
        <v>298</v>
      </c>
      <c r="AG391" s="148" t="str">
        <f>IF(LEN(Contrato5[[#This Row],[Contrato2]])=3,Contrato5[[#This Row],[Contrato2]],TEXT(Contrato5[[#This Row],[Contrato2]],"000"))</f>
        <v>298</v>
      </c>
      <c r="AH391" s="149">
        <f ca="1">IFERROR(_xlfn.DAYS(Contrato5[[#This Row],[Fecha Proyectada liquidación]],TODAY())/30,"")</f>
        <v>0.6</v>
      </c>
      <c r="AI391" s="150">
        <f>+Contrato5[[#This Row],[FECHA TERMINACIÓN ]]+120</f>
        <v>45776</v>
      </c>
      <c r="AJ391" s="147"/>
      <c r="AK391" s="152" t="str">
        <f ca="1">IF(Contrato5[[#This Row],[FECHA TERMINACIÓN ]]&lt;TODAY(), "Terminado",IF(ISNUMBER(Contrato5[[#This Row],[Fecha Real de liquiidación ]]),"Liquidado",IF(Contrato5[[#This Row],[FECHA TERMINACIÓN ]]&gt;=TODAY(),"En ejecución","")))</f>
        <v>Terminado</v>
      </c>
      <c r="AL391" s="153" t="e">
        <f ca="1">SUMIF([2]!COMPROMISOS_2024[[#All],[consecutivo]],Contrato5[[#This Row],[RCP]],[2]!COMPROMISOS_2024[[#All],[Total pagado]])</f>
        <v>#REF!</v>
      </c>
      <c r="AM391" s="154">
        <f ca="1">IFERROR(Contrato5[[#This Row],[Pagos]]/Contrato5[[#This Row],[VALOR CONTRATO]],0)</f>
        <v>0</v>
      </c>
      <c r="AN391" s="198" t="e">
        <f ca="1">+Contrato5[[#This Row],[VALOR CONTRATO]]-Contrato5[[#This Row],[Pagos]]</f>
        <v>#REF!</v>
      </c>
      <c r="AO391" s="147" t="e" cm="1">
        <f t="array" aca="1" ref="AO391" ca="1">_xlfn.XLOOKUP(Contrato5[[#This Row],[DOCUMENTO ]],[2]!PERSONAL_ACTIVO_2024[[#All],[Documento identidad]],[2]!PERSONAL_ACTIVO_2024[[#All],[Mail ]],0,0)</f>
        <v>#NAME?</v>
      </c>
      <c r="AP391" s="147" t="e" cm="1">
        <f t="array" aca="1" ref="AP391" ca="1">_xlfn.XLOOKUP(Contrato5[[#This Row],[DOCUMENTO]],[2]!PERSONAL_ACTIVO_2024[[#All],[Documento identidad]],[2]!PERSONAL_ACTIVO_2024[[#All],[Mail ]],0,0)</f>
        <v>#NAME?</v>
      </c>
      <c r="AQ391" s="439" cm="1">
        <f t="array" aca="1" ref="AQ391" ca="1">IF(ISBLANK(Contrato5[[#This Row],[DEPENDENCIA ]]),0,IFERROR(_xlfn.XLOOKUP(Contrato5[[#This Row],[DEPENDENCIA ]],[2]!PERSONAL_ACTIVO_2024[[#All],[Dependencia]],[2]!PERSONAL_ACTIVO_2024[[#All],[Mail ]],0,0),0))</f>
        <v>0</v>
      </c>
    </row>
    <row r="392" spans="1:43" ht="34.5" customHeight="1">
      <c r="A392" s="125">
        <v>660</v>
      </c>
      <c r="B392" s="124">
        <v>299</v>
      </c>
      <c r="C392" s="162" t="s">
        <v>1345</v>
      </c>
      <c r="D392" s="227" t="s">
        <v>493</v>
      </c>
      <c r="E392" s="128" t="s">
        <v>94</v>
      </c>
      <c r="F392" s="163" t="s">
        <v>1376</v>
      </c>
      <c r="G392" s="190" t="s">
        <v>530</v>
      </c>
      <c r="H392" s="447">
        <v>43676890</v>
      </c>
      <c r="I392" s="455">
        <v>3986061</v>
      </c>
      <c r="J392" s="456">
        <v>31888488</v>
      </c>
      <c r="K392" s="147" t="s">
        <v>42</v>
      </c>
      <c r="L392" s="438" t="s">
        <v>1094</v>
      </c>
      <c r="M392" s="178" t="s">
        <v>2481</v>
      </c>
      <c r="N392" s="177" t="e" cm="1">
        <f t="array" aca="1" ref="N392" ca="1">_xlfn.XLOOKUP(Contrato5[[#This Row],[SUPERVISOR TITULAR]],[2]!PERSONAL_ACTIVO_2024[[#All],[Nombre completo]],[2]!PERSONAL_ACTIVO_2024[[#All],[Documento identidad]],"",0)</f>
        <v>#NAME?</v>
      </c>
      <c r="O392" s="194" t="s">
        <v>532</v>
      </c>
      <c r="P392" s="196" t="e" cm="1">
        <f t="array" aca="1" ref="P392" ca="1">_xlfn.XLOOKUP(Contrato5[[#This Row],[SUPERVISOR SUPLENTE ]],[2]!PERSONAL_ACTIVO_2024[[#All],[Nombre completo]],[2]!PERSONAL_ACTIVO_2024[[#All],[Documento identidad]],"",0)</f>
        <v>#NAME?</v>
      </c>
      <c r="Q392" s="208">
        <v>437</v>
      </c>
      <c r="R392" s="137" t="e" cm="1">
        <f t="array" aca="1" ref="R392" ca="1">_xlfn.XLOOKUP(Contrato5[[#This Row],[CDP]],[2]!DISPONIBILIDADES_2024[[#All],[consecutivo]],[2]!DISPONIBILIDADES_2024[[#All],[fecha_aprobacion]],"",0)</f>
        <v>#NAME?</v>
      </c>
      <c r="S392" s="138" t="e">
        <f>SUMIF([2]!DISPONIBILIDADES_2024[[#All],[consecutivo]],Contrato5[[#This Row],[CDP]],[2]!DISPONIBILIDADES_2024[[#All],[valor_total_rubro]])</f>
        <v>#REF!</v>
      </c>
      <c r="T392" s="139" t="e" cm="1">
        <f t="array" aca="1" ref="T392" ca="1">_xlfn.XLOOKUP(Contrato5[[#This Row],[CONTRATO]]&amp;Contrato5[[#This Row],[CDP]],[2]!Corr_Contr_CDP[[#All],[CONTRATO-CDP]],[2]!Corr_Contr_CDP[[#All],[CRP]],_xlfn.XLOOKUP(Contrato5[[#This Row],[CDP]],[2]!COMPROMISOS_2024[[#All],[disponibilidad]],[2]!COMPROMISOS_2024[[#All],[consecutivo]],"",0),0)</f>
        <v>#NAME?</v>
      </c>
      <c r="U392" s="140" t="e" cm="1">
        <f t="array" aca="1" ref="U392" ca="1">+_xlfn.XLOOKUP(Contrato5[[#This Row],[RCP]],[2]!COMPROMISOS_2024[[#All],[consecutivo]],[2]!COMPROMISOS_2024[[#All],[fecha_aprobacion]],"",0)</f>
        <v>#NAME?</v>
      </c>
      <c r="V392" s="141" t="e">
        <f ca="1">SUMIF([2]!COMPROMISOS_2024[[#All],[consecutivo]],Contrato5[[#This Row],[RCP]],[2]!COMPROMISOS_2024[[#All],[valor_total]])</f>
        <v>#REF!</v>
      </c>
      <c r="W392" s="415">
        <v>45411</v>
      </c>
      <c r="X392" s="415" t="s">
        <v>1045</v>
      </c>
      <c r="Y392" s="143">
        <v>45412</v>
      </c>
      <c r="Z392" s="262">
        <v>45655</v>
      </c>
      <c r="AA392" s="171" t="s">
        <v>1095</v>
      </c>
      <c r="AB392" s="227" t="s">
        <v>1037</v>
      </c>
      <c r="AC392" s="227"/>
      <c r="AD392" s="211">
        <v>202000004235</v>
      </c>
      <c r="AE392" s="125" t="s">
        <v>523</v>
      </c>
      <c r="AF392" s="148" t="str">
        <f>TEXT(LEFT(Contrato5[[#This Row],[CONTRATO]],3),"0")</f>
        <v>299</v>
      </c>
      <c r="AG392" s="148" t="str">
        <f>IF(LEN(Contrato5[[#This Row],[Contrato2]])=3,Contrato5[[#This Row],[Contrato2]],TEXT(Contrato5[[#This Row],[Contrato2]],"000"))</f>
        <v>299</v>
      </c>
      <c r="AH392" s="149">
        <f ca="1">IFERROR(_xlfn.DAYS(Contrato5[[#This Row],[Fecha Proyectada liquidación]],TODAY())/30,"")</f>
        <v>0.56666666666666665</v>
      </c>
      <c r="AI392" s="150">
        <f>+Contrato5[[#This Row],[FECHA TERMINACIÓN ]]+120</f>
        <v>45775</v>
      </c>
      <c r="AJ392" s="147"/>
      <c r="AK392" s="152" t="str">
        <f ca="1">IF(Contrato5[[#This Row],[FECHA TERMINACIÓN ]]&lt;TODAY(), "Terminado",IF(ISNUMBER(Contrato5[[#This Row],[Fecha Real de liquiidación ]]),"Liquidado",IF(Contrato5[[#This Row],[FECHA TERMINACIÓN ]]&gt;=TODAY(),"En ejecución","")))</f>
        <v>Terminado</v>
      </c>
      <c r="AL392" s="153" t="e">
        <f ca="1">SUMIF([2]!COMPROMISOS_2024[[#All],[consecutivo]],Contrato5[[#This Row],[RCP]],[2]!COMPROMISOS_2024[[#All],[Total pagado]])</f>
        <v>#REF!</v>
      </c>
      <c r="AM392" s="154">
        <f ca="1">IFERROR(Contrato5[[#This Row],[Pagos]]/Contrato5[[#This Row],[VALOR CONTRATO]],0)</f>
        <v>0</v>
      </c>
      <c r="AN392" s="198" t="e">
        <f ca="1">+Contrato5[[#This Row],[VALOR CONTRATO]]-Contrato5[[#This Row],[Pagos]]</f>
        <v>#REF!</v>
      </c>
      <c r="AO392" s="147" t="e" cm="1">
        <f t="array" aca="1" ref="AO392" ca="1">_xlfn.XLOOKUP(Contrato5[[#This Row],[DOCUMENTO ]],[2]!PERSONAL_ACTIVO_2024[[#All],[Documento identidad]],[2]!PERSONAL_ACTIVO_2024[[#All],[Mail ]],0,0)</f>
        <v>#NAME?</v>
      </c>
      <c r="AP392" s="147" t="e" cm="1">
        <f t="array" aca="1" ref="AP392" ca="1">_xlfn.XLOOKUP(Contrato5[[#This Row],[DOCUMENTO]],[2]!PERSONAL_ACTIVO_2024[[#All],[Documento identidad]],[2]!PERSONAL_ACTIVO_2024[[#All],[Mail ]],0,0)</f>
        <v>#NAME?</v>
      </c>
      <c r="AQ392" s="439" cm="1">
        <f t="array" aca="1" ref="AQ392" ca="1">IF(ISBLANK(Contrato5[[#This Row],[DEPENDENCIA ]]),0,IFERROR(_xlfn.XLOOKUP(Contrato5[[#This Row],[DEPENDENCIA ]],[2]!PERSONAL_ACTIVO_2024[[#All],[Dependencia]],[2]!PERSONAL_ACTIVO_2024[[#All],[Mail ]],0,0),0))</f>
        <v>0</v>
      </c>
    </row>
    <row r="393" spans="1:43" ht="34.5" customHeight="1">
      <c r="A393" s="125">
        <v>584</v>
      </c>
      <c r="B393" s="124">
        <v>300</v>
      </c>
      <c r="C393" s="162" t="s">
        <v>1374</v>
      </c>
      <c r="D393" s="227" t="s">
        <v>493</v>
      </c>
      <c r="E393" s="128" t="s">
        <v>94</v>
      </c>
      <c r="F393" s="163" t="s">
        <v>494</v>
      </c>
      <c r="G393" s="190" t="s">
        <v>1096</v>
      </c>
      <c r="H393" s="447">
        <v>900158114</v>
      </c>
      <c r="I393" s="455" t="s">
        <v>42</v>
      </c>
      <c r="J393" s="456">
        <v>2970000</v>
      </c>
      <c r="K393" s="147" t="s">
        <v>42</v>
      </c>
      <c r="L393" s="438" t="s">
        <v>1044</v>
      </c>
      <c r="M393" s="194" t="s">
        <v>526</v>
      </c>
      <c r="N393" s="177" t="e" cm="1">
        <f t="array" aca="1" ref="N393" ca="1">_xlfn.XLOOKUP(Contrato5[[#This Row],[SUPERVISOR TITULAR]],[2]!PERSONAL_ACTIVO_2024[[#All],[Nombre completo]],[2]!PERSONAL_ACTIVO_2024[[#All],[Documento identidad]],"",0)</f>
        <v>#NAME?</v>
      </c>
      <c r="O393" s="194" t="s">
        <v>2480</v>
      </c>
      <c r="P393" s="196" t="e" cm="1">
        <f t="array" aca="1" ref="P393" ca="1">_xlfn.XLOOKUP(Contrato5[[#This Row],[SUPERVISOR SUPLENTE ]],[2]!PERSONAL_ACTIVO_2024[[#All],[Nombre completo]],[2]!PERSONAL_ACTIVO_2024[[#All],[Documento identidad]],"",0)</f>
        <v>#NAME?</v>
      </c>
      <c r="Q393" s="170">
        <v>297</v>
      </c>
      <c r="R393" s="137" t="e" cm="1">
        <f t="array" aca="1" ref="R393" ca="1">_xlfn.XLOOKUP(Contrato5[[#This Row],[CDP]],[2]!DISPONIBILIDADES_2024[[#All],[consecutivo]],[2]!DISPONIBILIDADES_2024[[#All],[fecha_aprobacion]],"",0)</f>
        <v>#NAME?</v>
      </c>
      <c r="S393" s="138" t="e">
        <f>SUMIF([2]!DISPONIBILIDADES_2024[[#All],[consecutivo]],Contrato5[[#This Row],[CDP]],[2]!DISPONIBILIDADES_2024[[#All],[valor_total_rubro]])</f>
        <v>#REF!</v>
      </c>
      <c r="T393" s="139" t="e" cm="1">
        <f t="array" aca="1" ref="T393" ca="1">_xlfn.XLOOKUP(Contrato5[[#This Row],[CONTRATO]]&amp;Contrato5[[#This Row],[CDP]],[2]!Corr_Contr_CDP[[#All],[CONTRATO-CDP]],[2]!Corr_Contr_CDP[[#All],[CRP]],_xlfn.XLOOKUP(Contrato5[[#This Row],[CDP]],[2]!COMPROMISOS_2024[[#All],[disponibilidad]],[2]!COMPROMISOS_2024[[#All],[consecutivo]],"",0),0)</f>
        <v>#NAME?</v>
      </c>
      <c r="U393" s="140" t="e" cm="1">
        <f t="array" aca="1" ref="U393" ca="1">+_xlfn.XLOOKUP(Contrato5[[#This Row],[RCP]],[2]!COMPROMISOS_2024[[#All],[consecutivo]],[2]!COMPROMISOS_2024[[#All],[fecha_aprobacion]],"",0)</f>
        <v>#NAME?</v>
      </c>
      <c r="V393" s="141" t="e">
        <f ca="1">SUMIF([2]!COMPROMISOS_2024[[#All],[consecutivo]],Contrato5[[#This Row],[RCP]],[2]!COMPROMISOS_2024[[#All],[valor_total]])</f>
        <v>#REF!</v>
      </c>
      <c r="W393" s="415">
        <v>45401</v>
      </c>
      <c r="X393" s="415">
        <v>45401</v>
      </c>
      <c r="Y393" s="143">
        <v>45404</v>
      </c>
      <c r="Z393" s="262">
        <v>45649</v>
      </c>
      <c r="AA393" s="183" t="s">
        <v>1097</v>
      </c>
      <c r="AB393" s="227" t="s">
        <v>618</v>
      </c>
      <c r="AC393" s="227"/>
      <c r="AD393" s="211">
        <v>202000004236</v>
      </c>
      <c r="AE393" s="125" t="s">
        <v>523</v>
      </c>
      <c r="AF393" s="148" t="str">
        <f>TEXT(LEFT(Contrato5[[#This Row],[CONTRATO]],3),"0")</f>
        <v>300</v>
      </c>
      <c r="AG393" s="148" t="str">
        <f>IF(LEN(Contrato5[[#This Row],[Contrato2]])=3,Contrato5[[#This Row],[Contrato2]],TEXT(Contrato5[[#This Row],[Contrato2]],"000"))</f>
        <v>300</v>
      </c>
      <c r="AH393" s="149">
        <f ca="1">IFERROR(_xlfn.DAYS(Contrato5[[#This Row],[Fecha Proyectada liquidación]],TODAY())/30,"")</f>
        <v>0.36666666666666664</v>
      </c>
      <c r="AI393" s="150">
        <f>+Contrato5[[#This Row],[FECHA TERMINACIÓN ]]+120</f>
        <v>45769</v>
      </c>
      <c r="AJ393" s="147"/>
      <c r="AK393" s="152" t="str">
        <f ca="1">IF(Contrato5[[#This Row],[FECHA TERMINACIÓN ]]&lt;TODAY(), "Terminado",IF(ISNUMBER(Contrato5[[#This Row],[Fecha Real de liquiidación ]]),"Liquidado",IF(Contrato5[[#This Row],[FECHA TERMINACIÓN ]]&gt;=TODAY(),"En ejecución","")))</f>
        <v>Terminado</v>
      </c>
      <c r="AL393" s="153" t="e">
        <f ca="1">SUMIF([2]!COMPROMISOS_2024[[#All],[consecutivo]],Contrato5[[#This Row],[RCP]],[2]!COMPROMISOS_2024[[#All],[Total pagado]])</f>
        <v>#REF!</v>
      </c>
      <c r="AM393" s="154">
        <f ca="1">IFERROR(Contrato5[[#This Row],[Pagos]]/Contrato5[[#This Row],[VALOR CONTRATO]],0)</f>
        <v>0</v>
      </c>
      <c r="AN393" s="198" t="e">
        <f ca="1">+Contrato5[[#This Row],[VALOR CONTRATO]]-Contrato5[[#This Row],[Pagos]]</f>
        <v>#REF!</v>
      </c>
      <c r="AO393" s="147" t="e" cm="1">
        <f t="array" aca="1" ref="AO393" ca="1">_xlfn.XLOOKUP(Contrato5[[#This Row],[DOCUMENTO ]],[2]!PERSONAL_ACTIVO_2024[[#All],[Documento identidad]],[2]!PERSONAL_ACTIVO_2024[[#All],[Mail ]],0,0)</f>
        <v>#NAME?</v>
      </c>
      <c r="AP393" s="147" t="e" cm="1">
        <f t="array" aca="1" ref="AP393" ca="1">_xlfn.XLOOKUP(Contrato5[[#This Row],[DOCUMENTO]],[2]!PERSONAL_ACTIVO_2024[[#All],[Documento identidad]],[2]!PERSONAL_ACTIVO_2024[[#All],[Mail ]],0,0)</f>
        <v>#NAME?</v>
      </c>
      <c r="AQ393" s="439" cm="1">
        <f t="array" aca="1" ref="AQ393" ca="1">IF(ISBLANK(Contrato5[[#This Row],[DEPENDENCIA ]]),0,IFERROR(_xlfn.XLOOKUP(Contrato5[[#This Row],[DEPENDENCIA ]],[2]!PERSONAL_ACTIVO_2024[[#All],[Dependencia]],[2]!PERSONAL_ACTIVO_2024[[#All],[Mail ]],0,0),0))</f>
        <v>0</v>
      </c>
    </row>
    <row r="394" spans="1:43" ht="34.5" customHeight="1">
      <c r="A394" s="125">
        <v>639</v>
      </c>
      <c r="B394" s="124">
        <v>301</v>
      </c>
      <c r="C394" s="162" t="s">
        <v>1838</v>
      </c>
      <c r="D394" s="227" t="s">
        <v>510</v>
      </c>
      <c r="E394" s="128" t="s">
        <v>94</v>
      </c>
      <c r="F394" s="163" t="s">
        <v>161</v>
      </c>
      <c r="G394" s="190" t="s">
        <v>1098</v>
      </c>
      <c r="H394" s="447">
        <v>901105143</v>
      </c>
      <c r="I394" s="455" t="s">
        <v>42</v>
      </c>
      <c r="J394" s="456">
        <v>784064944</v>
      </c>
      <c r="K394" s="147" t="s">
        <v>42</v>
      </c>
      <c r="L394" s="438" t="s">
        <v>989</v>
      </c>
      <c r="M394" s="194" t="s">
        <v>514</v>
      </c>
      <c r="N394" s="177" t="e" cm="1">
        <f t="array" aca="1" ref="N394" ca="1">_xlfn.XLOOKUP(Contrato5[[#This Row],[SUPERVISOR TITULAR]],[2]!PERSONAL_ACTIVO_2024[[#All],[Nombre completo]],[2]!PERSONAL_ACTIVO_2024[[#All],[Documento identidad]],"",0)</f>
        <v>#NAME?</v>
      </c>
      <c r="O394" s="194" t="s">
        <v>597</v>
      </c>
      <c r="P394" s="196" t="e" cm="1">
        <f t="array" aca="1" ref="P394" ca="1">_xlfn.XLOOKUP(Contrato5[[#This Row],[SUPERVISOR SUPLENTE ]],[2]!PERSONAL_ACTIVO_2024[[#All],[Nombre completo]],[2]!PERSONAL_ACTIVO_2024[[#All],[Documento identidad]],"",0)</f>
        <v>#NAME?</v>
      </c>
      <c r="Q394" s="208">
        <v>392</v>
      </c>
      <c r="R394" s="137" t="e" cm="1">
        <f t="array" aca="1" ref="R394" ca="1">_xlfn.XLOOKUP(Contrato5[[#This Row],[CDP]],[2]!DISPONIBILIDADES_2024[[#All],[consecutivo]],[2]!DISPONIBILIDADES_2024[[#All],[fecha_aprobacion]],"",0)</f>
        <v>#NAME?</v>
      </c>
      <c r="S394" s="138" t="e">
        <f>SUMIF([2]!DISPONIBILIDADES_2024[[#All],[consecutivo]],Contrato5[[#This Row],[CDP]],[2]!DISPONIBILIDADES_2024[[#All],[valor_total_rubro]])</f>
        <v>#REF!</v>
      </c>
      <c r="T394" s="139" t="e" cm="1">
        <f t="array" aca="1" ref="T394" ca="1">_xlfn.XLOOKUP(Contrato5[[#This Row],[CONTRATO]]&amp;Contrato5[[#This Row],[CDP]],[2]!Corr_Contr_CDP[[#All],[CONTRATO-CDP]],[2]!Corr_Contr_CDP[[#All],[CRP]],_xlfn.XLOOKUP(Contrato5[[#This Row],[CDP]],[2]!COMPROMISOS_2024[[#All],[disponibilidad]],[2]!COMPROMISOS_2024[[#All],[consecutivo]],"",0),0)</f>
        <v>#NAME?</v>
      </c>
      <c r="U394" s="140" t="e" cm="1">
        <f t="array" aca="1" ref="U394" ca="1">+_xlfn.XLOOKUP(Contrato5[[#This Row],[RCP]],[2]!COMPROMISOS_2024[[#All],[consecutivo]],[2]!COMPROMISOS_2024[[#All],[fecha_aprobacion]],"",0)</f>
        <v>#NAME?</v>
      </c>
      <c r="V394" s="141" t="e">
        <f ca="1">SUMIF([2]!COMPROMISOS_2024[[#All],[consecutivo]],Contrato5[[#This Row],[RCP]],[2]!COMPROMISOS_2024[[#All],[valor_total]])</f>
        <v>#REF!</v>
      </c>
      <c r="W394" s="415">
        <v>45401</v>
      </c>
      <c r="X394" s="415">
        <v>45411</v>
      </c>
      <c r="Y394" s="143">
        <v>45411</v>
      </c>
      <c r="Z394" s="262">
        <v>45615</v>
      </c>
      <c r="AA394" s="171" t="s">
        <v>1099</v>
      </c>
      <c r="AB394" s="172" t="s">
        <v>618</v>
      </c>
      <c r="AC394" s="172"/>
      <c r="AD394" s="211">
        <v>202000004237</v>
      </c>
      <c r="AE394" s="125" t="s">
        <v>523</v>
      </c>
      <c r="AF394" s="148" t="str">
        <f>TEXT(LEFT(Contrato5[[#This Row],[CONTRATO]],3),"0")</f>
        <v>301</v>
      </c>
      <c r="AG394" s="148" t="str">
        <f>IF(LEN(Contrato5[[#This Row],[Contrato2]])=3,Contrato5[[#This Row],[Contrato2]],TEXT(Contrato5[[#This Row],[Contrato2]],"000"))</f>
        <v>301</v>
      </c>
      <c r="AH394" s="149">
        <f ca="1">IFERROR(_xlfn.DAYS(Contrato5[[#This Row],[Fecha Proyectada liquidación]],TODAY())/30,"")</f>
        <v>-0.76666666666666672</v>
      </c>
      <c r="AI394" s="150">
        <f>+Contrato5[[#This Row],[FECHA TERMINACIÓN ]]+120</f>
        <v>45735</v>
      </c>
      <c r="AJ394" s="147"/>
      <c r="AK394" s="152" t="str">
        <f ca="1">IF(Contrato5[[#This Row],[FECHA TERMINACIÓN ]]&lt;TODAY(), "Terminado",IF(ISNUMBER(Contrato5[[#This Row],[Fecha Real de liquiidación ]]),"Liquidado",IF(Contrato5[[#This Row],[FECHA TERMINACIÓN ]]&gt;=TODAY(),"En ejecución","")))</f>
        <v>Terminado</v>
      </c>
      <c r="AL394" s="153" t="e">
        <f ca="1">SUMIF([2]!COMPROMISOS_2024[[#All],[consecutivo]],Contrato5[[#This Row],[RCP]],[2]!COMPROMISOS_2024[[#All],[Total pagado]])</f>
        <v>#REF!</v>
      </c>
      <c r="AM394" s="154">
        <f ca="1">IFERROR(Contrato5[[#This Row],[Pagos]]/Contrato5[[#This Row],[VALOR CONTRATO]],0)</f>
        <v>0</v>
      </c>
      <c r="AN394" s="198" t="e">
        <f ca="1">+Contrato5[[#This Row],[VALOR CONTRATO]]-Contrato5[[#This Row],[Pagos]]</f>
        <v>#REF!</v>
      </c>
      <c r="AO394" s="147" t="e" cm="1">
        <f t="array" aca="1" ref="AO394" ca="1">_xlfn.XLOOKUP(Contrato5[[#This Row],[DOCUMENTO ]],[2]!PERSONAL_ACTIVO_2024[[#All],[Documento identidad]],[2]!PERSONAL_ACTIVO_2024[[#All],[Mail ]],0,0)</f>
        <v>#NAME?</v>
      </c>
      <c r="AP394" s="147" t="e" cm="1">
        <f t="array" aca="1" ref="AP394" ca="1">_xlfn.XLOOKUP(Contrato5[[#This Row],[DOCUMENTO]],[2]!PERSONAL_ACTIVO_2024[[#All],[Documento identidad]],[2]!PERSONAL_ACTIVO_2024[[#All],[Mail ]],0,0)</f>
        <v>#NAME?</v>
      </c>
      <c r="AQ394" s="439" cm="1">
        <f t="array" aca="1" ref="AQ394" ca="1">IF(ISBLANK(Contrato5[[#This Row],[DEPENDENCIA ]]),0,IFERROR(_xlfn.XLOOKUP(Contrato5[[#This Row],[DEPENDENCIA ]],[2]!PERSONAL_ACTIVO_2024[[#All],[Dependencia]],[2]!PERSONAL_ACTIVO_2024[[#All],[Mail ]],0,0),0))</f>
        <v>0</v>
      </c>
    </row>
    <row r="395" spans="1:43" ht="34.5" customHeight="1">
      <c r="A395" s="147">
        <v>1318</v>
      </c>
      <c r="B395" s="124">
        <v>301</v>
      </c>
      <c r="C395" s="162" t="s">
        <v>2297</v>
      </c>
      <c r="D395" s="227" t="s">
        <v>510</v>
      </c>
      <c r="E395" s="128" t="s">
        <v>2148</v>
      </c>
      <c r="F395" s="163" t="s">
        <v>161</v>
      </c>
      <c r="G395" s="190" t="s">
        <v>1098</v>
      </c>
      <c r="H395" s="447">
        <v>901105143</v>
      </c>
      <c r="I395" s="455" t="s">
        <v>42</v>
      </c>
      <c r="J395" s="456">
        <v>319626397</v>
      </c>
      <c r="K395" s="147"/>
      <c r="L395" s="438" t="s">
        <v>2606</v>
      </c>
      <c r="M395" s="194" t="s">
        <v>514</v>
      </c>
      <c r="N395" s="177" t="e" cm="1">
        <f t="array" aca="1" ref="N395" ca="1">_xlfn.XLOOKUP(Contrato5[[#This Row],[SUPERVISOR TITULAR]],[2]!PERSONAL_ACTIVO_2024[[#All],[Nombre completo]],[2]!PERSONAL_ACTIVO_2024[[#All],[Documento identidad]],"",0)</f>
        <v>#NAME?</v>
      </c>
      <c r="O395" s="194" t="s">
        <v>597</v>
      </c>
      <c r="P395" s="196" t="e" cm="1">
        <f t="array" aca="1" ref="P395" ca="1">_xlfn.XLOOKUP(Contrato5[[#This Row],[SUPERVISOR SUPLENTE ]],[2]!PERSONAL_ACTIVO_2024[[#All],[Nombre completo]],[2]!PERSONAL_ACTIVO_2024[[#All],[Documento identidad]],"",0)</f>
        <v>#NAME?</v>
      </c>
      <c r="Q395" s="170">
        <v>1189</v>
      </c>
      <c r="R395" s="137" t="e" cm="1">
        <f t="array" aca="1" ref="R395" ca="1">_xlfn.XLOOKUP(Contrato5[[#This Row],[CDP]],[2]!DISPONIBILIDADES_2024[[#All],[consecutivo]],[2]!DISPONIBILIDADES_2024[[#All],[fecha_aprobacion]],"",0)</f>
        <v>#NAME?</v>
      </c>
      <c r="S395" s="138" t="e">
        <f>SUMIF([2]!DISPONIBILIDADES_2024[[#All],[consecutivo]],Contrato5[[#This Row],[CDP]],[2]!DISPONIBILIDADES_2024[[#All],[valor_total_rubro]])</f>
        <v>#REF!</v>
      </c>
      <c r="T395" s="139" t="e" cm="1">
        <f t="array" aca="1" ref="T395" ca="1">_xlfn.XLOOKUP(Contrato5[[#This Row],[CONTRATO]]&amp;Contrato5[[#This Row],[CDP]],[2]!Corr_Contr_CDP[[#All],[CONTRATO-CDP]],[2]!Corr_Contr_CDP[[#All],[CRP]],_xlfn.XLOOKUP(Contrato5[[#This Row],[CDP]],[2]!COMPROMISOS_2024[[#All],[disponibilidad]],[2]!COMPROMISOS_2024[[#All],[consecutivo]],"",0),0)</f>
        <v>#NAME?</v>
      </c>
      <c r="U395" s="140" t="e" cm="1">
        <f t="array" aca="1" ref="U395" ca="1">+_xlfn.XLOOKUP(Contrato5[[#This Row],[RCP]],[2]!COMPROMISOS_2024[[#All],[consecutivo]],[2]!COMPROMISOS_2024[[#All],[fecha_aprobacion]],"",0)</f>
        <v>#NAME?</v>
      </c>
      <c r="V395" s="141" t="e">
        <f ca="1">SUMIF([2]!COMPROMISOS_2024[[#All],[consecutivo]],Contrato5[[#This Row],[RCP]],[2]!COMPROMISOS_2024[[#All],[valor_total]])</f>
        <v>#REF!</v>
      </c>
      <c r="W395" s="500">
        <v>45623</v>
      </c>
      <c r="X395" s="500"/>
      <c r="Y395" s="501">
        <v>45616</v>
      </c>
      <c r="Z395" s="235">
        <v>45762</v>
      </c>
      <c r="AA395" s="171"/>
      <c r="AB395" s="172" t="s">
        <v>2607</v>
      </c>
      <c r="AC395" s="127"/>
      <c r="AD395" s="263"/>
      <c r="AE395" s="147"/>
      <c r="AF395" s="148" t="str">
        <f>TEXT(LEFT(Contrato5[[#This Row],[CONTRATO]],3),"0")</f>
        <v>301</v>
      </c>
      <c r="AG395" s="148" t="str">
        <f>IF(LEN(Contrato5[[#This Row],[Contrato2]])=3,Contrato5[[#This Row],[Contrato2]],TEXT(Contrato5[[#This Row],[Contrato2]],"000"))</f>
        <v>301</v>
      </c>
      <c r="AH395" s="149">
        <f ca="1">IFERROR(_xlfn.DAYS(Contrato5[[#This Row],[Fecha Proyectada liquidación]],TODAY())/30,"")</f>
        <v>4.1333333333333337</v>
      </c>
      <c r="AI395" s="150">
        <f>+Contrato5[[#This Row],[FECHA TERMINACIÓN ]]+120</f>
        <v>45882</v>
      </c>
      <c r="AJ395" s="147"/>
      <c r="AK395" s="152" t="str">
        <f ca="1">IF(Contrato5[[#This Row],[FECHA TERMINACIÓN ]]&lt;TODAY(), "Terminado",IF(ISNUMBER(Contrato5[[#This Row],[Fecha Real de liquiidación ]]),"Liquidado",IF(Contrato5[[#This Row],[FECHA TERMINACIÓN ]]&gt;=TODAY(),"En ejecución","")))</f>
        <v>En ejecución</v>
      </c>
      <c r="AL395" s="153" t="e">
        <f ca="1">SUMIF([2]!COMPROMISOS_2024[[#All],[consecutivo]],Contrato5[[#This Row],[RCP]],[2]!COMPROMISOS_2024[[#All],[Total pagado]])</f>
        <v>#REF!</v>
      </c>
      <c r="AM395" s="154">
        <f ca="1">IFERROR(Contrato5[[#This Row],[Pagos]]/Contrato5[[#This Row],[VALOR CONTRATO]],0)</f>
        <v>0</v>
      </c>
      <c r="AN395" s="198" t="e">
        <f ca="1">+Contrato5[[#This Row],[VALOR CONTRATO]]-Contrato5[[#This Row],[Pagos]]</f>
        <v>#REF!</v>
      </c>
      <c r="AO395" s="147" t="e" cm="1">
        <f t="array" aca="1" ref="AO395" ca="1">_xlfn.XLOOKUP(Contrato5[[#This Row],[DOCUMENTO ]],[2]!PERSONAL_ACTIVO_2024[[#All],[Documento identidad]],[2]!PERSONAL_ACTIVO_2024[[#All],[Mail ]],0,0)</f>
        <v>#NAME?</v>
      </c>
      <c r="AP395" s="147" t="e" cm="1">
        <f t="array" aca="1" ref="AP395" ca="1">_xlfn.XLOOKUP(Contrato5[[#This Row],[DOCUMENTO]],[2]!PERSONAL_ACTIVO_2024[[#All],[Documento identidad]],[2]!PERSONAL_ACTIVO_2024[[#All],[Mail ]],0,0)</f>
        <v>#NAME?</v>
      </c>
      <c r="AQ395" s="439" cm="1">
        <f t="array" aca="1" ref="AQ395" ca="1">IF(ISBLANK(Contrato5[[#This Row],[DEPENDENCIA ]]),0,IFERROR(_xlfn.XLOOKUP(Contrato5[[#This Row],[DEPENDENCIA ]],[2]!PERSONAL_ACTIVO_2024[[#All],[Dependencia]],[2]!PERSONAL_ACTIVO_2024[[#All],[Mail ]],0,0),0))</f>
        <v>0</v>
      </c>
    </row>
    <row r="396" spans="1:43" ht="34.5" customHeight="1">
      <c r="A396" s="125">
        <v>640</v>
      </c>
      <c r="B396" s="124">
        <v>302</v>
      </c>
      <c r="C396" s="162" t="s">
        <v>338</v>
      </c>
      <c r="D396" s="227" t="s">
        <v>515</v>
      </c>
      <c r="E396" s="128" t="s">
        <v>94</v>
      </c>
      <c r="F396" s="163" t="s">
        <v>1376</v>
      </c>
      <c r="G396" s="190" t="s">
        <v>1100</v>
      </c>
      <c r="H396" s="447">
        <v>1037612757</v>
      </c>
      <c r="I396" s="455">
        <v>6879081</v>
      </c>
      <c r="J396" s="456">
        <v>48153567</v>
      </c>
      <c r="K396" s="147" t="s">
        <v>42</v>
      </c>
      <c r="L396" s="438" t="s">
        <v>1044</v>
      </c>
      <c r="M396" s="194" t="s">
        <v>544</v>
      </c>
      <c r="N396" s="177" t="e" cm="1">
        <f t="array" aca="1" ref="N396" ca="1">_xlfn.XLOOKUP(Contrato5[[#This Row],[SUPERVISOR TITULAR]],[2]!PERSONAL_ACTIVO_2024[[#All],[Nombre completo]],[2]!PERSONAL_ACTIVO_2024[[#All],[Documento identidad]],"",0)</f>
        <v>#NAME?</v>
      </c>
      <c r="O396" s="194" t="s">
        <v>549</v>
      </c>
      <c r="P396" s="196" t="e" cm="1">
        <f t="array" aca="1" ref="P396" ca="1">_xlfn.XLOOKUP(Contrato5[[#This Row],[SUPERVISOR SUPLENTE ]],[2]!PERSONAL_ACTIVO_2024[[#All],[Nombre completo]],[2]!PERSONAL_ACTIVO_2024[[#All],[Documento identidad]],"",0)</f>
        <v>#NAME?</v>
      </c>
      <c r="Q396" s="208">
        <v>394</v>
      </c>
      <c r="R396" s="137" t="e" cm="1">
        <f t="array" aca="1" ref="R396" ca="1">_xlfn.XLOOKUP(Contrato5[[#This Row],[CDP]],[2]!DISPONIBILIDADES_2024[[#All],[consecutivo]],[2]!DISPONIBILIDADES_2024[[#All],[fecha_aprobacion]],"",0)</f>
        <v>#NAME?</v>
      </c>
      <c r="S396" s="138" t="e">
        <f>SUMIF([2]!DISPONIBILIDADES_2024[[#All],[consecutivo]],Contrato5[[#This Row],[CDP]],[2]!DISPONIBILIDADES_2024[[#All],[valor_total_rubro]])</f>
        <v>#REF!</v>
      </c>
      <c r="T396" s="139" t="e" cm="1">
        <f t="array" aca="1" ref="T396" ca="1">_xlfn.XLOOKUP(Contrato5[[#This Row],[CONTRATO]]&amp;Contrato5[[#This Row],[CDP]],[2]!Corr_Contr_CDP[[#All],[CONTRATO-CDP]],[2]!Corr_Contr_CDP[[#All],[CRP]],_xlfn.XLOOKUP(Contrato5[[#This Row],[CDP]],[2]!COMPROMISOS_2024[[#All],[disponibilidad]],[2]!COMPROMISOS_2024[[#All],[consecutivo]],"",0),0)</f>
        <v>#NAME?</v>
      </c>
      <c r="U396" s="140" t="e" cm="1">
        <f t="array" aca="1" ref="U396" ca="1">+_xlfn.XLOOKUP(Contrato5[[#This Row],[RCP]],[2]!COMPROMISOS_2024[[#All],[consecutivo]],[2]!COMPROMISOS_2024[[#All],[fecha_aprobacion]],"",0)</f>
        <v>#NAME?</v>
      </c>
      <c r="V396" s="141" t="e">
        <f ca="1">SUMIF([2]!COMPROMISOS_2024[[#All],[consecutivo]],Contrato5[[#This Row],[RCP]],[2]!COMPROMISOS_2024[[#All],[valor_total]])</f>
        <v>#REF!</v>
      </c>
      <c r="W396" s="415">
        <v>45401</v>
      </c>
      <c r="X396" s="415" t="s">
        <v>1045</v>
      </c>
      <c r="Y396" s="143">
        <v>45405</v>
      </c>
      <c r="Z396" s="262">
        <v>45618</v>
      </c>
      <c r="AA396" s="171" t="s">
        <v>1101</v>
      </c>
      <c r="AB396" s="172" t="s">
        <v>618</v>
      </c>
      <c r="AC396" s="172"/>
      <c r="AD396" s="211">
        <v>202000004241</v>
      </c>
      <c r="AE396" s="125" t="s">
        <v>523</v>
      </c>
      <c r="AF396" s="148" t="str">
        <f>TEXT(LEFT(Contrato5[[#This Row],[CONTRATO]],3),"0")</f>
        <v>302</v>
      </c>
      <c r="AG396" s="148" t="str">
        <f>IF(LEN(Contrato5[[#This Row],[Contrato2]])=3,Contrato5[[#This Row],[Contrato2]],TEXT(Contrato5[[#This Row],[Contrato2]],"000"))</f>
        <v>302</v>
      </c>
      <c r="AH396" s="149">
        <f ca="1">IFERROR(_xlfn.DAYS(Contrato5[[#This Row],[Fecha Proyectada liquidación]],TODAY())/30,"")</f>
        <v>-0.66666666666666663</v>
      </c>
      <c r="AI396" s="150">
        <f>+Contrato5[[#This Row],[FECHA TERMINACIÓN ]]+120</f>
        <v>45738</v>
      </c>
      <c r="AJ396" s="147"/>
      <c r="AK396" s="152" t="str">
        <f ca="1">IF(Contrato5[[#This Row],[FECHA TERMINACIÓN ]]&lt;TODAY(), "Terminado",IF(ISNUMBER(Contrato5[[#This Row],[Fecha Real de liquiidación ]]),"Liquidado",IF(Contrato5[[#This Row],[FECHA TERMINACIÓN ]]&gt;=TODAY(),"En ejecución","")))</f>
        <v>Terminado</v>
      </c>
      <c r="AL396" s="153" t="e">
        <f ca="1">SUMIF([2]!COMPROMISOS_2024[[#All],[consecutivo]],Contrato5[[#This Row],[RCP]],[2]!COMPROMISOS_2024[[#All],[Total pagado]])</f>
        <v>#REF!</v>
      </c>
      <c r="AM396" s="154">
        <f ca="1">IFERROR(Contrato5[[#This Row],[Pagos]]/Contrato5[[#This Row],[VALOR CONTRATO]],0)</f>
        <v>0</v>
      </c>
      <c r="AN396" s="198" t="e">
        <f ca="1">+Contrato5[[#This Row],[VALOR CONTRATO]]-Contrato5[[#This Row],[Pagos]]</f>
        <v>#REF!</v>
      </c>
      <c r="AO396" s="147" t="e" cm="1">
        <f t="array" aca="1" ref="AO396" ca="1">_xlfn.XLOOKUP(Contrato5[[#This Row],[DOCUMENTO ]],[2]!PERSONAL_ACTIVO_2024[[#All],[Documento identidad]],[2]!PERSONAL_ACTIVO_2024[[#All],[Mail ]],0,0)</f>
        <v>#NAME?</v>
      </c>
      <c r="AP396" s="147" t="e" cm="1">
        <f t="array" aca="1" ref="AP396" ca="1">_xlfn.XLOOKUP(Contrato5[[#This Row],[DOCUMENTO]],[2]!PERSONAL_ACTIVO_2024[[#All],[Documento identidad]],[2]!PERSONAL_ACTIVO_2024[[#All],[Mail ]],0,0)</f>
        <v>#NAME?</v>
      </c>
      <c r="AQ396" s="439" cm="1">
        <f t="array" aca="1" ref="AQ396" ca="1">IF(ISBLANK(Contrato5[[#This Row],[DEPENDENCIA ]]),0,IFERROR(_xlfn.XLOOKUP(Contrato5[[#This Row],[DEPENDENCIA ]],[2]!PERSONAL_ACTIVO_2024[[#All],[Dependencia]],[2]!PERSONAL_ACTIVO_2024[[#All],[Mail ]],0,0),0))</f>
        <v>0</v>
      </c>
    </row>
    <row r="397" spans="1:43" ht="34.5" customHeight="1">
      <c r="A397" s="147">
        <v>1204</v>
      </c>
      <c r="B397" s="124">
        <v>302</v>
      </c>
      <c r="C397" s="162" t="s">
        <v>2347</v>
      </c>
      <c r="D397" s="227" t="s">
        <v>515</v>
      </c>
      <c r="E397" s="128" t="s">
        <v>2148</v>
      </c>
      <c r="F397" s="163" t="s">
        <v>1376</v>
      </c>
      <c r="G397" s="190" t="s">
        <v>1100</v>
      </c>
      <c r="H397" s="447">
        <v>1037612757</v>
      </c>
      <c r="I397" s="455">
        <v>6879081</v>
      </c>
      <c r="J397" s="188">
        <v>8713503</v>
      </c>
      <c r="K397" s="147"/>
      <c r="L397" s="166" t="s">
        <v>2445</v>
      </c>
      <c r="M397" s="194" t="s">
        <v>544</v>
      </c>
      <c r="N397" s="177" t="e" cm="1">
        <f t="array" aca="1" ref="N397" ca="1">_xlfn.XLOOKUP(Contrato5[[#This Row],[SUPERVISOR TITULAR]],[2]!PERSONAL_ACTIVO_2024[[#All],[Nombre completo]],[2]!PERSONAL_ACTIVO_2024[[#All],[Documento identidad]],"",0)</f>
        <v>#NAME?</v>
      </c>
      <c r="O397" s="194" t="s">
        <v>549</v>
      </c>
      <c r="P397" s="196" t="e" cm="1">
        <f t="array" aca="1" ref="P397" ca="1">_xlfn.XLOOKUP(Contrato5[[#This Row],[SUPERVISOR SUPLENTE ]],[2]!PERSONAL_ACTIVO_2024[[#All],[Nombre completo]],[2]!PERSONAL_ACTIVO_2024[[#All],[Documento identidad]],"",0)</f>
        <v>#NAME?</v>
      </c>
      <c r="Q397" s="170">
        <v>1014</v>
      </c>
      <c r="R397" s="137" t="e" cm="1">
        <f t="array" aca="1" ref="R397" ca="1">_xlfn.XLOOKUP(Contrato5[[#This Row],[CDP]],[2]!DISPONIBILIDADES_2024[[#All],[consecutivo]],[2]!DISPONIBILIDADES_2024[[#All],[fecha_aprobacion]],"",0)</f>
        <v>#NAME?</v>
      </c>
      <c r="S397" s="138" t="e">
        <f>SUMIF([2]!DISPONIBILIDADES_2024[[#All],[consecutivo]],Contrato5[[#This Row],[CDP]],[2]!DISPONIBILIDADES_2024[[#All],[valor_total_rubro]])</f>
        <v>#REF!</v>
      </c>
      <c r="T397" s="139" t="e" cm="1">
        <f t="array" aca="1" ref="T397" ca="1">_xlfn.XLOOKUP(Contrato5[[#This Row],[CONTRATO]]&amp;Contrato5[[#This Row],[CDP]],[2]!Corr_Contr_CDP[[#All],[CONTRATO-CDP]],[2]!Corr_Contr_CDP[[#All],[CRP]],_xlfn.XLOOKUP(Contrato5[[#This Row],[CDP]],[2]!COMPROMISOS_2024[[#All],[disponibilidad]],[2]!COMPROMISOS_2024[[#All],[consecutivo]],"",0),0)</f>
        <v>#NAME?</v>
      </c>
      <c r="U397" s="140" t="e" cm="1">
        <f t="array" aca="1" ref="U397" ca="1">+_xlfn.XLOOKUP(Contrato5[[#This Row],[RCP]],[2]!COMPROMISOS_2024[[#All],[consecutivo]],[2]!COMPROMISOS_2024[[#All],[fecha_aprobacion]],"",0)</f>
        <v>#NAME?</v>
      </c>
      <c r="V397" s="141" t="e">
        <f ca="1">SUMIF([2]!COMPROMISOS_2024[[#All],[consecutivo]],Contrato5[[#This Row],[RCP]],[2]!COMPROMISOS_2024[[#All],[valor_total]])</f>
        <v>#REF!</v>
      </c>
      <c r="W397" s="415">
        <v>45617</v>
      </c>
      <c r="X397" s="415" t="s">
        <v>1045</v>
      </c>
      <c r="Y397" s="143">
        <v>45619</v>
      </c>
      <c r="Z397" s="262">
        <v>45656</v>
      </c>
      <c r="AA397" s="203"/>
      <c r="AB397" s="172" t="s">
        <v>2608</v>
      </c>
      <c r="AC397" s="127"/>
      <c r="AD397" s="211"/>
      <c r="AE397" s="147"/>
      <c r="AF397" s="148" t="str">
        <f>TEXT(LEFT(Contrato5[[#This Row],[CONTRATO]],3),"0")</f>
        <v>302</v>
      </c>
      <c r="AG397" s="148" t="str">
        <f>IF(LEN(Contrato5[[#This Row],[Contrato2]])=3,Contrato5[[#This Row],[Contrato2]],TEXT(Contrato5[[#This Row],[Contrato2]],"000"))</f>
        <v>302</v>
      </c>
      <c r="AH397" s="149">
        <f ca="1">IFERROR(_xlfn.DAYS(Contrato5[[#This Row],[Fecha Proyectada liquidación]],TODAY())/30,"")</f>
        <v>0.6</v>
      </c>
      <c r="AI397" s="150">
        <f>+Contrato5[[#This Row],[FECHA TERMINACIÓN ]]+120</f>
        <v>45776</v>
      </c>
      <c r="AJ397" s="147"/>
      <c r="AK397" s="152" t="str">
        <f ca="1">IF(Contrato5[[#This Row],[FECHA TERMINACIÓN ]]&lt;TODAY(), "Terminado",IF(ISNUMBER(Contrato5[[#This Row],[Fecha Real de liquiidación ]]),"Liquidado",IF(Contrato5[[#This Row],[FECHA TERMINACIÓN ]]&gt;=TODAY(),"En ejecución","")))</f>
        <v>Terminado</v>
      </c>
      <c r="AL397" s="153" t="e">
        <f ca="1">SUMIF([2]!COMPROMISOS_2024[[#All],[consecutivo]],Contrato5[[#This Row],[RCP]],[2]!COMPROMISOS_2024[[#All],[Total pagado]])</f>
        <v>#REF!</v>
      </c>
      <c r="AM397" s="154">
        <f ca="1">IFERROR(Contrato5[[#This Row],[Pagos]]/Contrato5[[#This Row],[VALOR CONTRATO]],0)</f>
        <v>0</v>
      </c>
      <c r="AN397" s="198" t="e">
        <f ca="1">+Contrato5[[#This Row],[VALOR CONTRATO]]-Contrato5[[#This Row],[Pagos]]</f>
        <v>#REF!</v>
      </c>
      <c r="AO397" s="147" t="e" cm="1">
        <f t="array" aca="1" ref="AO397" ca="1">_xlfn.XLOOKUP(Contrato5[[#This Row],[DOCUMENTO ]],[2]!PERSONAL_ACTIVO_2024[[#All],[Documento identidad]],[2]!PERSONAL_ACTIVO_2024[[#All],[Mail ]],0,0)</f>
        <v>#NAME?</v>
      </c>
      <c r="AP397" s="147" t="e" cm="1">
        <f t="array" aca="1" ref="AP397" ca="1">_xlfn.XLOOKUP(Contrato5[[#This Row],[DOCUMENTO]],[2]!PERSONAL_ACTIVO_2024[[#All],[Documento identidad]],[2]!PERSONAL_ACTIVO_2024[[#All],[Mail ]],0,0)</f>
        <v>#NAME?</v>
      </c>
      <c r="AQ397" s="439" cm="1">
        <f t="array" aca="1" ref="AQ397" ca="1">IF(ISBLANK(Contrato5[[#This Row],[DEPENDENCIA ]]),0,IFERROR(_xlfn.XLOOKUP(Contrato5[[#This Row],[DEPENDENCIA ]],[2]!PERSONAL_ACTIVO_2024[[#All],[Dependencia]],[2]!PERSONAL_ACTIVO_2024[[#All],[Mail ]],0,0),0))</f>
        <v>0</v>
      </c>
    </row>
    <row r="398" spans="1:43" ht="34.5" customHeight="1">
      <c r="A398" s="125">
        <v>63</v>
      </c>
      <c r="B398" s="124">
        <v>303</v>
      </c>
      <c r="C398" s="162" t="s">
        <v>1497</v>
      </c>
      <c r="D398" s="227" t="s">
        <v>602</v>
      </c>
      <c r="E398" s="128" t="s">
        <v>94</v>
      </c>
      <c r="F398" s="163" t="s">
        <v>1376</v>
      </c>
      <c r="G398" s="190" t="s">
        <v>1102</v>
      </c>
      <c r="H398" s="447">
        <v>1040751203</v>
      </c>
      <c r="I398" s="455">
        <v>6879081</v>
      </c>
      <c r="J398" s="456">
        <v>20637243</v>
      </c>
      <c r="K398" s="147" t="s">
        <v>42</v>
      </c>
      <c r="L398" s="438" t="s">
        <v>1094</v>
      </c>
      <c r="M398" s="194" t="s">
        <v>604</v>
      </c>
      <c r="N398" s="177" t="e" cm="1">
        <f t="array" aca="1" ref="N398" ca="1">_xlfn.XLOOKUP(Contrato5[[#This Row],[SUPERVISOR TITULAR]],[2]!PERSONAL_ACTIVO_2024[[#All],[Nombre completo]],[2]!PERSONAL_ACTIVO_2024[[#All],[Documento identidad]],"",0)</f>
        <v>#NAME?</v>
      </c>
      <c r="O398" s="194" t="s">
        <v>605</v>
      </c>
      <c r="P398" s="196" t="e" cm="1">
        <f t="array" aca="1" ref="P398" ca="1">_xlfn.XLOOKUP(Contrato5[[#This Row],[SUPERVISOR SUPLENTE ]],[2]!PERSONAL_ACTIVO_2024[[#All],[Nombre completo]],[2]!PERSONAL_ACTIVO_2024[[#All],[Documento identidad]],"",0)</f>
        <v>#NAME?</v>
      </c>
      <c r="Q398" s="208">
        <v>402</v>
      </c>
      <c r="R398" s="137" t="e" cm="1">
        <f t="array" aca="1" ref="R398" ca="1">_xlfn.XLOOKUP(Contrato5[[#This Row],[CDP]],[2]!DISPONIBILIDADES_2024[[#All],[consecutivo]],[2]!DISPONIBILIDADES_2024[[#All],[fecha_aprobacion]],"",0)</f>
        <v>#NAME?</v>
      </c>
      <c r="S398" s="138" t="e">
        <f>SUMIF([2]!DISPONIBILIDADES_2024[[#All],[consecutivo]],Contrato5[[#This Row],[CDP]],[2]!DISPONIBILIDADES_2024[[#All],[valor_total_rubro]])</f>
        <v>#REF!</v>
      </c>
      <c r="T398" s="139" t="e" cm="1">
        <f t="array" aca="1" ref="T398" ca="1">_xlfn.XLOOKUP(Contrato5[[#This Row],[CONTRATO]]&amp;Contrato5[[#This Row],[CDP]],[2]!Corr_Contr_CDP[[#All],[CONTRATO-CDP]],[2]!Corr_Contr_CDP[[#All],[CRP]],_xlfn.XLOOKUP(Contrato5[[#This Row],[CDP]],[2]!COMPROMISOS_2024[[#All],[disponibilidad]],[2]!COMPROMISOS_2024[[#All],[consecutivo]],"",0),0)</f>
        <v>#NAME?</v>
      </c>
      <c r="U398" s="140" t="e" cm="1">
        <f t="array" aca="1" ref="U398" ca="1">+_xlfn.XLOOKUP(Contrato5[[#This Row],[RCP]],[2]!COMPROMISOS_2024[[#All],[consecutivo]],[2]!COMPROMISOS_2024[[#All],[fecha_aprobacion]],"",0)</f>
        <v>#NAME?</v>
      </c>
      <c r="V398" s="141" t="e">
        <f ca="1">SUMIF([2]!COMPROMISOS_2024[[#All],[consecutivo]],Contrato5[[#This Row],[RCP]],[2]!COMPROMISOS_2024[[#All],[valor_total]])</f>
        <v>#REF!</v>
      </c>
      <c r="W398" s="415">
        <v>45411</v>
      </c>
      <c r="X398" s="415" t="s">
        <v>1045</v>
      </c>
      <c r="Y398" s="143">
        <v>45415</v>
      </c>
      <c r="Z398" s="262">
        <v>45506</v>
      </c>
      <c r="AA398" s="171" t="s">
        <v>1103</v>
      </c>
      <c r="AB398" s="172" t="s">
        <v>529</v>
      </c>
      <c r="AC398" s="172"/>
      <c r="AD398" s="502">
        <v>202000004323</v>
      </c>
      <c r="AE398" s="125" t="s">
        <v>523</v>
      </c>
      <c r="AF398" s="148" t="str">
        <f>TEXT(LEFT(Contrato5[[#This Row],[CONTRATO]],3),"0")</f>
        <v>303</v>
      </c>
      <c r="AG398" s="148" t="str">
        <f>IF(LEN(Contrato5[[#This Row],[Contrato2]])=3,Contrato5[[#This Row],[Contrato2]],TEXT(Contrato5[[#This Row],[Contrato2]],"000"))</f>
        <v>303</v>
      </c>
      <c r="AH398" s="149">
        <f ca="1">IFERROR(_xlfn.DAYS(Contrato5[[#This Row],[Fecha Proyectada liquidación]],TODAY())/30,"")</f>
        <v>-4.4000000000000004</v>
      </c>
      <c r="AI398" s="150">
        <f>+Contrato5[[#This Row],[FECHA TERMINACIÓN ]]+120</f>
        <v>45626</v>
      </c>
      <c r="AJ398" s="147"/>
      <c r="AK398" s="152" t="str">
        <f ca="1">IF(Contrato5[[#This Row],[FECHA TERMINACIÓN ]]&lt;TODAY(), "Terminado",IF(ISNUMBER(Contrato5[[#This Row],[Fecha Real de liquiidación ]]),"Liquidado",IF(Contrato5[[#This Row],[FECHA TERMINACIÓN ]]&gt;=TODAY(),"En ejecución","")))</f>
        <v>Terminado</v>
      </c>
      <c r="AL398" s="153" t="e">
        <f ca="1">SUMIF([2]!COMPROMISOS_2024[[#All],[consecutivo]],Contrato5[[#This Row],[RCP]],[2]!COMPROMISOS_2024[[#All],[Total pagado]])</f>
        <v>#REF!</v>
      </c>
      <c r="AM398" s="154">
        <f ca="1">IFERROR(Contrato5[[#This Row],[Pagos]]/Contrato5[[#This Row],[VALOR CONTRATO]],0)</f>
        <v>0</v>
      </c>
      <c r="AN398" s="198" t="e">
        <f ca="1">+Contrato5[[#This Row],[VALOR CONTRATO]]-Contrato5[[#This Row],[Pagos]]</f>
        <v>#REF!</v>
      </c>
      <c r="AO398" s="147" t="e" cm="1">
        <f t="array" aca="1" ref="AO398" ca="1">_xlfn.XLOOKUP(Contrato5[[#This Row],[DOCUMENTO ]],[2]!PERSONAL_ACTIVO_2024[[#All],[Documento identidad]],[2]!PERSONAL_ACTIVO_2024[[#All],[Mail ]],0,0)</f>
        <v>#NAME?</v>
      </c>
      <c r="AP398" s="147" t="e" cm="1">
        <f t="array" aca="1" ref="AP398" ca="1">_xlfn.XLOOKUP(Contrato5[[#This Row],[DOCUMENTO]],[2]!PERSONAL_ACTIVO_2024[[#All],[Documento identidad]],[2]!PERSONAL_ACTIVO_2024[[#All],[Mail ]],0,0)</f>
        <v>#NAME?</v>
      </c>
      <c r="AQ398" s="439" cm="1">
        <f t="array" aca="1" ref="AQ398" ca="1">IF(ISBLANK(Contrato5[[#This Row],[DEPENDENCIA ]]),0,IFERROR(_xlfn.XLOOKUP(Contrato5[[#This Row],[DEPENDENCIA ]],[2]!PERSONAL_ACTIVO_2024[[#All],[Dependencia]],[2]!PERSONAL_ACTIVO_2024[[#All],[Mail ]],0,0),0))</f>
        <v>0</v>
      </c>
    </row>
    <row r="399" spans="1:43" ht="34.5" customHeight="1">
      <c r="A399" s="125">
        <v>666</v>
      </c>
      <c r="B399" s="124">
        <v>304</v>
      </c>
      <c r="C399" s="162" t="s">
        <v>347</v>
      </c>
      <c r="D399" s="227" t="s">
        <v>515</v>
      </c>
      <c r="E399" s="128" t="s">
        <v>94</v>
      </c>
      <c r="F399" s="163" t="s">
        <v>1376</v>
      </c>
      <c r="G399" s="190" t="s">
        <v>1104</v>
      </c>
      <c r="H399" s="447">
        <v>1017165383</v>
      </c>
      <c r="I399" s="455">
        <v>7690469</v>
      </c>
      <c r="J399" s="456">
        <v>63318195</v>
      </c>
      <c r="K399" s="147" t="s">
        <v>42</v>
      </c>
      <c r="L399" s="438" t="s">
        <v>1094</v>
      </c>
      <c r="M399" s="194" t="s">
        <v>520</v>
      </c>
      <c r="N399" s="177" t="e" cm="1">
        <f t="array" aca="1" ref="N399" ca="1">_xlfn.XLOOKUP(Contrato5[[#This Row],[SUPERVISOR TITULAR]],[2]!PERSONAL_ACTIVO_2024[[#All],[Nombre completo]],[2]!PERSONAL_ACTIVO_2024[[#All],[Documento identidad]],"",0)</f>
        <v>#NAME?</v>
      </c>
      <c r="O399" s="194" t="s">
        <v>574</v>
      </c>
      <c r="P399" s="196" t="e" cm="1">
        <f t="array" aca="1" ref="P399" ca="1">_xlfn.XLOOKUP(Contrato5[[#This Row],[SUPERVISOR SUPLENTE ]],[2]!PERSONAL_ACTIVO_2024[[#All],[Nombre completo]],[2]!PERSONAL_ACTIVO_2024[[#All],[Documento identidad]],"",0)</f>
        <v>#NAME?</v>
      </c>
      <c r="Q399" s="208">
        <v>433</v>
      </c>
      <c r="R399" s="137" t="e" cm="1">
        <f t="array" aca="1" ref="R399" ca="1">_xlfn.XLOOKUP(Contrato5[[#This Row],[CDP]],[2]!DISPONIBILIDADES_2024[[#All],[consecutivo]],[2]!DISPONIBILIDADES_2024[[#All],[fecha_aprobacion]],"",0)</f>
        <v>#NAME?</v>
      </c>
      <c r="S399" s="138" t="e">
        <f>SUMIF([2]!DISPONIBILIDADES_2024[[#All],[consecutivo]],Contrato5[[#This Row],[CDP]],[2]!DISPONIBILIDADES_2024[[#All],[valor_total_rubro]])</f>
        <v>#REF!</v>
      </c>
      <c r="T399" s="139" t="e" cm="1">
        <f t="array" aca="1" ref="T399" ca="1">_xlfn.XLOOKUP(Contrato5[[#This Row],[CONTRATO]]&amp;Contrato5[[#This Row],[CDP]],[2]!Corr_Contr_CDP[[#All],[CONTRATO-CDP]],[2]!Corr_Contr_CDP[[#All],[CRP]],_xlfn.XLOOKUP(Contrato5[[#This Row],[CDP]],[2]!COMPROMISOS_2024[[#All],[disponibilidad]],[2]!COMPROMISOS_2024[[#All],[consecutivo]],"",0),0)</f>
        <v>#NAME?</v>
      </c>
      <c r="U399" s="140" t="e" cm="1">
        <f t="array" aca="1" ref="U399" ca="1">+_xlfn.XLOOKUP(Contrato5[[#This Row],[RCP]],[2]!COMPROMISOS_2024[[#All],[consecutivo]],[2]!COMPROMISOS_2024[[#All],[fecha_aprobacion]],"",0)</f>
        <v>#NAME?</v>
      </c>
      <c r="V399" s="141" t="e">
        <f ca="1">SUMIF([2]!COMPROMISOS_2024[[#All],[consecutivo]],Contrato5[[#This Row],[RCP]],[2]!COMPROMISOS_2024[[#All],[valor_total]])</f>
        <v>#REF!</v>
      </c>
      <c r="W399" s="415">
        <v>45408</v>
      </c>
      <c r="X399" s="415" t="s">
        <v>1045</v>
      </c>
      <c r="Y399" s="143">
        <v>45411</v>
      </c>
      <c r="Z399" s="262">
        <v>45656</v>
      </c>
      <c r="AA399" s="171" t="s">
        <v>1105</v>
      </c>
      <c r="AB399" s="172" t="s">
        <v>1106</v>
      </c>
      <c r="AC399" s="172"/>
      <c r="AD399" s="211">
        <v>202000004238</v>
      </c>
      <c r="AE399" s="125" t="s">
        <v>523</v>
      </c>
      <c r="AF399" s="148" t="str">
        <f>TEXT(LEFT(Contrato5[[#This Row],[CONTRATO]],3),"0")</f>
        <v>304</v>
      </c>
      <c r="AG399" s="148" t="str">
        <f>IF(LEN(Contrato5[[#This Row],[Contrato2]])=3,Contrato5[[#This Row],[Contrato2]],TEXT(Contrato5[[#This Row],[Contrato2]],"000"))</f>
        <v>304</v>
      </c>
      <c r="AH399" s="149">
        <f ca="1">IFERROR(_xlfn.DAYS(Contrato5[[#This Row],[Fecha Proyectada liquidación]],TODAY())/30,"")</f>
        <v>0.6</v>
      </c>
      <c r="AI399" s="150">
        <f>+Contrato5[[#This Row],[FECHA TERMINACIÓN ]]+120</f>
        <v>45776</v>
      </c>
      <c r="AJ399" s="147"/>
      <c r="AK399" s="152" t="str">
        <f ca="1">IF(Contrato5[[#This Row],[FECHA TERMINACIÓN ]]&lt;TODAY(), "Terminado",IF(ISNUMBER(Contrato5[[#This Row],[Fecha Real de liquiidación ]]),"Liquidado",IF(Contrato5[[#This Row],[FECHA TERMINACIÓN ]]&gt;=TODAY(),"En ejecución","")))</f>
        <v>Terminado</v>
      </c>
      <c r="AL399" s="153" t="e">
        <f ca="1">SUMIF([2]!COMPROMISOS_2024[[#All],[consecutivo]],Contrato5[[#This Row],[RCP]],[2]!COMPROMISOS_2024[[#All],[Total pagado]])</f>
        <v>#REF!</v>
      </c>
      <c r="AM399" s="154">
        <f ca="1">IFERROR(Contrato5[[#This Row],[Pagos]]/Contrato5[[#This Row],[VALOR CONTRATO]],0)</f>
        <v>0</v>
      </c>
      <c r="AN399" s="198" t="e">
        <f ca="1">+Contrato5[[#This Row],[VALOR CONTRATO]]-Contrato5[[#This Row],[Pagos]]</f>
        <v>#REF!</v>
      </c>
      <c r="AO399" s="147" t="e" cm="1">
        <f t="array" aca="1" ref="AO399" ca="1">_xlfn.XLOOKUP(Contrato5[[#This Row],[DOCUMENTO ]],[2]!PERSONAL_ACTIVO_2024[[#All],[Documento identidad]],[2]!PERSONAL_ACTIVO_2024[[#All],[Mail ]],0,0)</f>
        <v>#NAME?</v>
      </c>
      <c r="AP399" s="147" t="e" cm="1">
        <f t="array" aca="1" ref="AP399" ca="1">_xlfn.XLOOKUP(Contrato5[[#This Row],[DOCUMENTO]],[2]!PERSONAL_ACTIVO_2024[[#All],[Documento identidad]],[2]!PERSONAL_ACTIVO_2024[[#All],[Mail ]],0,0)</f>
        <v>#NAME?</v>
      </c>
      <c r="AQ399" s="439" cm="1">
        <f t="array" aca="1" ref="AQ399" ca="1">IF(ISBLANK(Contrato5[[#This Row],[DEPENDENCIA ]]),0,IFERROR(_xlfn.XLOOKUP(Contrato5[[#This Row],[DEPENDENCIA ]],[2]!PERSONAL_ACTIVO_2024[[#All],[Dependencia]],[2]!PERSONAL_ACTIVO_2024[[#All],[Mail ]],0,0),0))</f>
        <v>0</v>
      </c>
    </row>
    <row r="400" spans="1:43" ht="34.5" customHeight="1">
      <c r="A400" s="125">
        <v>66</v>
      </c>
      <c r="B400" s="124">
        <v>305</v>
      </c>
      <c r="C400" s="162" t="s">
        <v>1497</v>
      </c>
      <c r="D400" s="227" t="s">
        <v>602</v>
      </c>
      <c r="E400" s="128" t="s">
        <v>94</v>
      </c>
      <c r="F400" s="163" t="s">
        <v>1376</v>
      </c>
      <c r="G400" s="190" t="s">
        <v>1107</v>
      </c>
      <c r="H400" s="447">
        <v>1039461033</v>
      </c>
      <c r="I400" s="455">
        <v>6879081</v>
      </c>
      <c r="J400" s="456">
        <v>20637243</v>
      </c>
      <c r="K400" s="147" t="s">
        <v>42</v>
      </c>
      <c r="L400" s="438" t="s">
        <v>1094</v>
      </c>
      <c r="M400" s="194" t="s">
        <v>613</v>
      </c>
      <c r="N400" s="177" t="e" cm="1">
        <f t="array" aca="1" ref="N400" ca="1">_xlfn.XLOOKUP(Contrato5[[#This Row],[SUPERVISOR TITULAR]],[2]!PERSONAL_ACTIVO_2024[[#All],[Nombre completo]],[2]!PERSONAL_ACTIVO_2024[[#All],[Documento identidad]],"",0)</f>
        <v>#NAME?</v>
      </c>
      <c r="O400" s="194" t="s">
        <v>605</v>
      </c>
      <c r="P400" s="196" t="e" cm="1">
        <f t="array" aca="1" ref="P400" ca="1">_xlfn.XLOOKUP(Contrato5[[#This Row],[SUPERVISOR SUPLENTE ]],[2]!PERSONAL_ACTIVO_2024[[#All],[Nombre completo]],[2]!PERSONAL_ACTIVO_2024[[#All],[Documento identidad]],"",0)</f>
        <v>#NAME?</v>
      </c>
      <c r="Q400" s="208">
        <v>403</v>
      </c>
      <c r="R400" s="137" t="e" cm="1">
        <f t="array" aca="1" ref="R400" ca="1">_xlfn.XLOOKUP(Contrato5[[#This Row],[CDP]],[2]!DISPONIBILIDADES_2024[[#All],[consecutivo]],[2]!DISPONIBILIDADES_2024[[#All],[fecha_aprobacion]],"",0)</f>
        <v>#NAME?</v>
      </c>
      <c r="S400" s="138" t="e">
        <f>SUMIF([2]!DISPONIBILIDADES_2024[[#All],[consecutivo]],Contrato5[[#This Row],[CDP]],[2]!DISPONIBILIDADES_2024[[#All],[valor_total_rubro]])</f>
        <v>#REF!</v>
      </c>
      <c r="T400" s="139" t="e" cm="1">
        <f t="array" aca="1" ref="T400" ca="1">_xlfn.XLOOKUP(Contrato5[[#This Row],[CONTRATO]]&amp;Contrato5[[#This Row],[CDP]],[2]!Corr_Contr_CDP[[#All],[CONTRATO-CDP]],[2]!Corr_Contr_CDP[[#All],[CRP]],_xlfn.XLOOKUP(Contrato5[[#This Row],[CDP]],[2]!COMPROMISOS_2024[[#All],[disponibilidad]],[2]!COMPROMISOS_2024[[#All],[consecutivo]],"",0),0)</f>
        <v>#NAME?</v>
      </c>
      <c r="U400" s="140" t="e" cm="1">
        <f t="array" aca="1" ref="U400" ca="1">+_xlfn.XLOOKUP(Contrato5[[#This Row],[RCP]],[2]!COMPROMISOS_2024[[#All],[consecutivo]],[2]!COMPROMISOS_2024[[#All],[fecha_aprobacion]],"",0)</f>
        <v>#NAME?</v>
      </c>
      <c r="V400" s="141" t="e">
        <f ca="1">SUMIF([2]!COMPROMISOS_2024[[#All],[consecutivo]],Contrato5[[#This Row],[RCP]],[2]!COMPROMISOS_2024[[#All],[valor_total]])</f>
        <v>#REF!</v>
      </c>
      <c r="W400" s="415">
        <v>45411</v>
      </c>
      <c r="X400" s="415" t="s">
        <v>1045</v>
      </c>
      <c r="Y400" s="143">
        <v>45414</v>
      </c>
      <c r="Z400" s="262">
        <v>45505</v>
      </c>
      <c r="AA400" s="171" t="s">
        <v>1108</v>
      </c>
      <c r="AB400" s="172" t="s">
        <v>529</v>
      </c>
      <c r="AC400" s="172"/>
      <c r="AD400" s="503">
        <v>202000004324</v>
      </c>
      <c r="AE400" s="125" t="s">
        <v>523</v>
      </c>
      <c r="AF400" s="148" t="str">
        <f>TEXT(LEFT(Contrato5[[#This Row],[CONTRATO]],3),"0")</f>
        <v>305</v>
      </c>
      <c r="AG400" s="148" t="str">
        <f>IF(LEN(Contrato5[[#This Row],[Contrato2]])=3,Contrato5[[#This Row],[Contrato2]],TEXT(Contrato5[[#This Row],[Contrato2]],"000"))</f>
        <v>305</v>
      </c>
      <c r="AH400" s="149">
        <f ca="1">IFERROR(_xlfn.DAYS(Contrato5[[#This Row],[Fecha Proyectada liquidación]],TODAY())/30,"")</f>
        <v>-4.4333333333333336</v>
      </c>
      <c r="AI400" s="150">
        <f>+Contrato5[[#This Row],[FECHA TERMINACIÓN ]]+120</f>
        <v>45625</v>
      </c>
      <c r="AJ400" s="147"/>
      <c r="AK400" s="152" t="str">
        <f ca="1">IF(Contrato5[[#This Row],[FECHA TERMINACIÓN ]]&lt;TODAY(), "Terminado",IF(ISNUMBER(Contrato5[[#This Row],[Fecha Real de liquiidación ]]),"Liquidado",IF(Contrato5[[#This Row],[FECHA TERMINACIÓN ]]&gt;=TODAY(),"En ejecución","")))</f>
        <v>Terminado</v>
      </c>
      <c r="AL400" s="153" t="e">
        <f ca="1">SUMIF([2]!COMPROMISOS_2024[[#All],[consecutivo]],Contrato5[[#This Row],[RCP]],[2]!COMPROMISOS_2024[[#All],[Total pagado]])</f>
        <v>#REF!</v>
      </c>
      <c r="AM400" s="154">
        <f ca="1">IFERROR(Contrato5[[#This Row],[Pagos]]/Contrato5[[#This Row],[VALOR CONTRATO]],0)</f>
        <v>0</v>
      </c>
      <c r="AN400" s="198" t="e">
        <f ca="1">+Contrato5[[#This Row],[VALOR CONTRATO]]-Contrato5[[#This Row],[Pagos]]</f>
        <v>#REF!</v>
      </c>
      <c r="AO400" s="147" t="e" cm="1">
        <f t="array" aca="1" ref="AO400" ca="1">_xlfn.XLOOKUP(Contrato5[[#This Row],[DOCUMENTO ]],[2]!PERSONAL_ACTIVO_2024[[#All],[Documento identidad]],[2]!PERSONAL_ACTIVO_2024[[#All],[Mail ]],0,0)</f>
        <v>#NAME?</v>
      </c>
      <c r="AP400" s="147" t="e" cm="1">
        <f t="array" aca="1" ref="AP400" ca="1">_xlfn.XLOOKUP(Contrato5[[#This Row],[DOCUMENTO]],[2]!PERSONAL_ACTIVO_2024[[#All],[Documento identidad]],[2]!PERSONAL_ACTIVO_2024[[#All],[Mail ]],0,0)</f>
        <v>#NAME?</v>
      </c>
      <c r="AQ400" s="439" cm="1">
        <f t="array" aca="1" ref="AQ400" ca="1">IF(ISBLANK(Contrato5[[#This Row],[DEPENDENCIA ]]),0,IFERROR(_xlfn.XLOOKUP(Contrato5[[#This Row],[DEPENDENCIA ]],[2]!PERSONAL_ACTIVO_2024[[#All],[Dependencia]],[2]!PERSONAL_ACTIVO_2024[[#All],[Mail ]],0,0),0))</f>
        <v>0</v>
      </c>
    </row>
    <row r="401" spans="1:43" ht="34.5" customHeight="1">
      <c r="A401" s="125">
        <v>643</v>
      </c>
      <c r="B401" s="124">
        <v>306</v>
      </c>
      <c r="C401" s="162" t="s">
        <v>1717</v>
      </c>
      <c r="D401" s="227" t="s">
        <v>583</v>
      </c>
      <c r="E401" s="128" t="s">
        <v>94</v>
      </c>
      <c r="F401" s="163" t="s">
        <v>1376</v>
      </c>
      <c r="G401" s="190" t="s">
        <v>584</v>
      </c>
      <c r="H401" s="447">
        <v>1037577309</v>
      </c>
      <c r="I401" s="455">
        <v>9346824</v>
      </c>
      <c r="J401" s="456">
        <v>77267078</v>
      </c>
      <c r="K401" s="147" t="s">
        <v>42</v>
      </c>
      <c r="L401" s="438" t="s">
        <v>608</v>
      </c>
      <c r="M401" s="194" t="s">
        <v>796</v>
      </c>
      <c r="N401" s="177" t="e" cm="1">
        <f t="array" aca="1" ref="N401" ca="1">_xlfn.XLOOKUP(Contrato5[[#This Row],[SUPERVISOR TITULAR]],[2]!PERSONAL_ACTIVO_2024[[#All],[Nombre completo]],[2]!PERSONAL_ACTIVO_2024[[#All],[Documento identidad]],"",0)</f>
        <v>#NAME?</v>
      </c>
      <c r="O401" s="194" t="s">
        <v>844</v>
      </c>
      <c r="P401" s="196" t="e" cm="1">
        <f t="array" aca="1" ref="P401" ca="1">_xlfn.XLOOKUP(Contrato5[[#This Row],[SUPERVISOR SUPLENTE ]],[2]!PERSONAL_ACTIVO_2024[[#All],[Nombre completo]],[2]!PERSONAL_ACTIVO_2024[[#All],[Documento identidad]],"",0)</f>
        <v>#NAME?</v>
      </c>
      <c r="Q401" s="208">
        <v>410</v>
      </c>
      <c r="R401" s="137" t="e" cm="1">
        <f t="array" aca="1" ref="R401" ca="1">_xlfn.XLOOKUP(Contrato5[[#This Row],[CDP]],[2]!DISPONIBILIDADES_2024[[#All],[consecutivo]],[2]!DISPONIBILIDADES_2024[[#All],[fecha_aprobacion]],"",0)</f>
        <v>#NAME?</v>
      </c>
      <c r="S401" s="138" t="e">
        <f>SUMIF([2]!DISPONIBILIDADES_2024[[#All],[consecutivo]],Contrato5[[#This Row],[CDP]],[2]!DISPONIBILIDADES_2024[[#All],[valor_total_rubro]])</f>
        <v>#REF!</v>
      </c>
      <c r="T401" s="139" t="e" cm="1">
        <f t="array" aca="1" ref="T401" ca="1">_xlfn.XLOOKUP(Contrato5[[#This Row],[CONTRATO]]&amp;Contrato5[[#This Row],[CDP]],[2]!Corr_Contr_CDP[[#All],[CONTRATO-CDP]],[2]!Corr_Contr_CDP[[#All],[CRP]],_xlfn.XLOOKUP(Contrato5[[#This Row],[CDP]],[2]!COMPROMISOS_2024[[#All],[disponibilidad]],[2]!COMPROMISOS_2024[[#All],[consecutivo]],"",0),0)</f>
        <v>#NAME?</v>
      </c>
      <c r="U401" s="140" t="e" cm="1">
        <f t="array" aca="1" ref="U401" ca="1">+_xlfn.XLOOKUP(Contrato5[[#This Row],[RCP]],[2]!COMPROMISOS_2024[[#All],[consecutivo]],[2]!COMPROMISOS_2024[[#All],[fecha_aprobacion]],"",0)</f>
        <v>#NAME?</v>
      </c>
      <c r="V401" s="141" t="e">
        <f ca="1">SUMIF([2]!COMPROMISOS_2024[[#All],[consecutivo]],Contrato5[[#This Row],[RCP]],[2]!COMPROMISOS_2024[[#All],[valor_total]])</f>
        <v>#REF!</v>
      </c>
      <c r="W401" s="415">
        <v>45405</v>
      </c>
      <c r="X401" s="415" t="s">
        <v>1045</v>
      </c>
      <c r="Y401" s="143">
        <v>45405</v>
      </c>
      <c r="Z401" s="262">
        <v>45657</v>
      </c>
      <c r="AA401" s="183" t="s">
        <v>1109</v>
      </c>
      <c r="AB401" s="172" t="s">
        <v>1110</v>
      </c>
      <c r="AC401" s="172"/>
      <c r="AD401" s="211">
        <v>202000004239</v>
      </c>
      <c r="AE401" s="125" t="s">
        <v>523</v>
      </c>
      <c r="AF401" s="148" t="str">
        <f>TEXT(LEFT(Contrato5[[#This Row],[CONTRATO]],3),"0")</f>
        <v>306</v>
      </c>
      <c r="AG401" s="148" t="str">
        <f>IF(LEN(Contrato5[[#This Row],[Contrato2]])=3,Contrato5[[#This Row],[Contrato2]],TEXT(Contrato5[[#This Row],[Contrato2]],"000"))</f>
        <v>306</v>
      </c>
      <c r="AH401" s="149">
        <f ca="1">IFERROR(_xlfn.DAYS(Contrato5[[#This Row],[Fecha Proyectada liquidación]],TODAY())/30,"")</f>
        <v>0.6333333333333333</v>
      </c>
      <c r="AI401" s="150">
        <f>+Contrato5[[#This Row],[FECHA TERMINACIÓN ]]+120</f>
        <v>45777</v>
      </c>
      <c r="AJ401" s="147"/>
      <c r="AK401" s="152" t="str">
        <f ca="1">IF(Contrato5[[#This Row],[FECHA TERMINACIÓN ]]&lt;TODAY(), "Terminado",IF(ISNUMBER(Contrato5[[#This Row],[Fecha Real de liquiidación ]]),"Liquidado",IF(Contrato5[[#This Row],[FECHA TERMINACIÓN ]]&gt;=TODAY(),"En ejecución","")))</f>
        <v>Terminado</v>
      </c>
      <c r="AL401" s="153" t="e">
        <f ca="1">SUMIF([2]!COMPROMISOS_2024[[#All],[consecutivo]],Contrato5[[#This Row],[RCP]],[2]!COMPROMISOS_2024[[#All],[Total pagado]])</f>
        <v>#REF!</v>
      </c>
      <c r="AM401" s="154">
        <f ca="1">IFERROR(Contrato5[[#This Row],[Pagos]]/Contrato5[[#This Row],[VALOR CONTRATO]],0)</f>
        <v>0</v>
      </c>
      <c r="AN401" s="198" t="e">
        <f ca="1">+Contrato5[[#This Row],[VALOR CONTRATO]]-Contrato5[[#This Row],[Pagos]]</f>
        <v>#REF!</v>
      </c>
      <c r="AO401" s="147" t="e" cm="1">
        <f t="array" aca="1" ref="AO401" ca="1">_xlfn.XLOOKUP(Contrato5[[#This Row],[DOCUMENTO ]],[2]!PERSONAL_ACTIVO_2024[[#All],[Documento identidad]],[2]!PERSONAL_ACTIVO_2024[[#All],[Mail ]],0,0)</f>
        <v>#NAME?</v>
      </c>
      <c r="AP401" s="147" t="e" cm="1">
        <f t="array" aca="1" ref="AP401" ca="1">_xlfn.XLOOKUP(Contrato5[[#This Row],[DOCUMENTO]],[2]!PERSONAL_ACTIVO_2024[[#All],[Documento identidad]],[2]!PERSONAL_ACTIVO_2024[[#All],[Mail ]],0,0)</f>
        <v>#NAME?</v>
      </c>
      <c r="AQ401" s="439" cm="1">
        <f t="array" aca="1" ref="AQ401" ca="1">IF(ISBLANK(Contrato5[[#This Row],[DEPENDENCIA ]]),0,IFERROR(_xlfn.XLOOKUP(Contrato5[[#This Row],[DEPENDENCIA ]],[2]!PERSONAL_ACTIVO_2024[[#All],[Dependencia]],[2]!PERSONAL_ACTIVO_2024[[#All],[Mail ]],0,0),0))</f>
        <v>0</v>
      </c>
    </row>
    <row r="402" spans="1:43" ht="34.5" customHeight="1">
      <c r="A402" s="125">
        <v>661</v>
      </c>
      <c r="B402" s="124">
        <v>307</v>
      </c>
      <c r="C402" s="162" t="s">
        <v>1341</v>
      </c>
      <c r="D402" s="227" t="s">
        <v>493</v>
      </c>
      <c r="E402" s="128" t="s">
        <v>94</v>
      </c>
      <c r="F402" s="163" t="s">
        <v>1376</v>
      </c>
      <c r="G402" s="190" t="s">
        <v>1111</v>
      </c>
      <c r="H402" s="447">
        <v>15512612</v>
      </c>
      <c r="I402" s="455">
        <v>6879081</v>
      </c>
      <c r="J402" s="456">
        <v>55032648</v>
      </c>
      <c r="K402" s="147" t="s">
        <v>42</v>
      </c>
      <c r="L402" s="438" t="s">
        <v>1094</v>
      </c>
      <c r="M402" s="194" t="s">
        <v>580</v>
      </c>
      <c r="N402" s="177" t="e" cm="1">
        <f t="array" aca="1" ref="N402" ca="1">_xlfn.XLOOKUP(Contrato5[[#This Row],[SUPERVISOR TITULAR]],[2]!PERSONAL_ACTIVO_2024[[#All],[Nombre completo]],[2]!PERSONAL_ACTIVO_2024[[#All],[Documento identidad]],"",0)</f>
        <v>#NAME?</v>
      </c>
      <c r="O402" s="194" t="s">
        <v>565</v>
      </c>
      <c r="P402" s="196" t="e" cm="1">
        <f t="array" aca="1" ref="P402" ca="1">_xlfn.XLOOKUP(Contrato5[[#This Row],[SUPERVISOR SUPLENTE ]],[2]!PERSONAL_ACTIVO_2024[[#All],[Nombre completo]],[2]!PERSONAL_ACTIVO_2024[[#All],[Documento identidad]],"",0)</f>
        <v>#NAME?</v>
      </c>
      <c r="Q402" s="208">
        <v>421</v>
      </c>
      <c r="R402" s="137" t="e" cm="1">
        <f t="array" aca="1" ref="R402" ca="1">_xlfn.XLOOKUP(Contrato5[[#This Row],[CDP]],[2]!DISPONIBILIDADES_2024[[#All],[consecutivo]],[2]!DISPONIBILIDADES_2024[[#All],[fecha_aprobacion]],"",0)</f>
        <v>#NAME?</v>
      </c>
      <c r="S402" s="138" t="e">
        <f>SUMIF([2]!DISPONIBILIDADES_2024[[#All],[consecutivo]],Contrato5[[#This Row],[CDP]],[2]!DISPONIBILIDADES_2024[[#All],[valor_total_rubro]])</f>
        <v>#REF!</v>
      </c>
      <c r="T402" s="139" t="e" cm="1">
        <f t="array" aca="1" ref="T402" ca="1">_xlfn.XLOOKUP(Contrato5[[#This Row],[CONTRATO]]&amp;Contrato5[[#This Row],[CDP]],[2]!Corr_Contr_CDP[[#All],[CONTRATO-CDP]],[2]!Corr_Contr_CDP[[#All],[CRP]],_xlfn.XLOOKUP(Contrato5[[#This Row],[CDP]],[2]!COMPROMISOS_2024[[#All],[disponibilidad]],[2]!COMPROMISOS_2024[[#All],[consecutivo]],"",0),0)</f>
        <v>#NAME?</v>
      </c>
      <c r="U402" s="140" t="e" cm="1">
        <f t="array" aca="1" ref="U402" ca="1">+_xlfn.XLOOKUP(Contrato5[[#This Row],[RCP]],[2]!COMPROMISOS_2024[[#All],[consecutivo]],[2]!COMPROMISOS_2024[[#All],[fecha_aprobacion]],"",0)</f>
        <v>#NAME?</v>
      </c>
      <c r="V402" s="141" t="e">
        <f ca="1">SUMIF([2]!COMPROMISOS_2024[[#All],[consecutivo]],Contrato5[[#This Row],[RCP]],[2]!COMPROMISOS_2024[[#All],[valor_total]])</f>
        <v>#REF!</v>
      </c>
      <c r="W402" s="415">
        <v>45411</v>
      </c>
      <c r="X402" s="415" t="s">
        <v>1045</v>
      </c>
      <c r="Y402" s="143">
        <v>45412</v>
      </c>
      <c r="Z402" s="262">
        <v>45657</v>
      </c>
      <c r="AA402" s="183" t="s">
        <v>1112</v>
      </c>
      <c r="AB402" s="172" t="s">
        <v>1037</v>
      </c>
      <c r="AC402" s="172"/>
      <c r="AD402" s="211">
        <v>202000004246</v>
      </c>
      <c r="AE402" s="125" t="s">
        <v>523</v>
      </c>
      <c r="AF402" s="148" t="str">
        <f>TEXT(LEFT(Contrato5[[#This Row],[CONTRATO]],3),"0")</f>
        <v>307</v>
      </c>
      <c r="AG402" s="148" t="str">
        <f>IF(LEN(Contrato5[[#This Row],[Contrato2]])=3,Contrato5[[#This Row],[Contrato2]],TEXT(Contrato5[[#This Row],[Contrato2]],"000"))</f>
        <v>307</v>
      </c>
      <c r="AH402" s="149">
        <f ca="1">IFERROR(_xlfn.DAYS(Contrato5[[#This Row],[Fecha Proyectada liquidación]],TODAY())/30,"")</f>
        <v>0.6333333333333333</v>
      </c>
      <c r="AI402" s="150">
        <f>+Contrato5[[#This Row],[FECHA TERMINACIÓN ]]+120</f>
        <v>45777</v>
      </c>
      <c r="AJ402" s="147"/>
      <c r="AK402" s="152" t="str">
        <f ca="1">IF(Contrato5[[#This Row],[FECHA TERMINACIÓN ]]&lt;TODAY(), "Terminado",IF(ISNUMBER(Contrato5[[#This Row],[Fecha Real de liquiidación ]]),"Liquidado",IF(Contrato5[[#This Row],[FECHA TERMINACIÓN ]]&gt;=TODAY(),"En ejecución","")))</f>
        <v>Terminado</v>
      </c>
      <c r="AL402" s="153" t="e">
        <f ca="1">SUMIF([2]!COMPROMISOS_2024[[#All],[consecutivo]],Contrato5[[#This Row],[RCP]],[2]!COMPROMISOS_2024[[#All],[Total pagado]])</f>
        <v>#REF!</v>
      </c>
      <c r="AM402" s="154">
        <f ca="1">IFERROR(Contrato5[[#This Row],[Pagos]]/Contrato5[[#This Row],[VALOR CONTRATO]],0)</f>
        <v>0</v>
      </c>
      <c r="AN402" s="198" t="e">
        <f ca="1">+Contrato5[[#This Row],[VALOR CONTRATO]]-Contrato5[[#This Row],[Pagos]]</f>
        <v>#REF!</v>
      </c>
      <c r="AO402" s="147" t="e" cm="1">
        <f t="array" aca="1" ref="AO402" ca="1">_xlfn.XLOOKUP(Contrato5[[#This Row],[DOCUMENTO ]],[2]!PERSONAL_ACTIVO_2024[[#All],[Documento identidad]],[2]!PERSONAL_ACTIVO_2024[[#All],[Mail ]],0,0)</f>
        <v>#NAME?</v>
      </c>
      <c r="AP402" s="147" t="e" cm="1">
        <f t="array" aca="1" ref="AP402" ca="1">_xlfn.XLOOKUP(Contrato5[[#This Row],[DOCUMENTO]],[2]!PERSONAL_ACTIVO_2024[[#All],[Documento identidad]],[2]!PERSONAL_ACTIVO_2024[[#All],[Mail ]],0,0)</f>
        <v>#NAME?</v>
      </c>
      <c r="AQ402" s="439" cm="1">
        <f t="array" aca="1" ref="AQ402" ca="1">IF(ISBLANK(Contrato5[[#This Row],[DEPENDENCIA ]]),0,IFERROR(_xlfn.XLOOKUP(Contrato5[[#This Row],[DEPENDENCIA ]],[2]!PERSONAL_ACTIVO_2024[[#All],[Dependencia]],[2]!PERSONAL_ACTIVO_2024[[#All],[Mail ]],0,0),0))</f>
        <v>0</v>
      </c>
    </row>
    <row r="403" spans="1:43" ht="34.5" customHeight="1">
      <c r="A403" s="125">
        <v>670</v>
      </c>
      <c r="B403" s="124">
        <v>308</v>
      </c>
      <c r="C403" s="162" t="s">
        <v>1457</v>
      </c>
      <c r="D403" s="227" t="s">
        <v>536</v>
      </c>
      <c r="E403" s="128" t="s">
        <v>94</v>
      </c>
      <c r="F403" s="163" t="s">
        <v>1376</v>
      </c>
      <c r="G403" s="190" t="s">
        <v>541</v>
      </c>
      <c r="H403" s="447">
        <v>1128430986</v>
      </c>
      <c r="I403" s="455">
        <v>9346824</v>
      </c>
      <c r="J403" s="456">
        <v>78824882</v>
      </c>
      <c r="K403" s="147" t="s">
        <v>344</v>
      </c>
      <c r="L403" s="438" t="s">
        <v>608</v>
      </c>
      <c r="M403" s="194" t="s">
        <v>539</v>
      </c>
      <c r="N403" s="177" t="e" cm="1">
        <f t="array" aca="1" ref="N403" ca="1">_xlfn.XLOOKUP(Contrato5[[#This Row],[SUPERVISOR TITULAR]],[2]!PERSONAL_ACTIVO_2024[[#All],[Nombre completo]],[2]!PERSONAL_ACTIVO_2024[[#All],[Documento identidad]],"",0)</f>
        <v>#NAME?</v>
      </c>
      <c r="O403" s="194" t="s">
        <v>538</v>
      </c>
      <c r="P403" s="196" t="e" cm="1">
        <f t="array" aca="1" ref="P403" ca="1">_xlfn.XLOOKUP(Contrato5[[#This Row],[SUPERVISOR SUPLENTE ]],[2]!PERSONAL_ACTIVO_2024[[#All],[Nombre completo]],[2]!PERSONAL_ACTIVO_2024[[#All],[Documento identidad]],"",0)</f>
        <v>#NAME?</v>
      </c>
      <c r="Q403" s="208">
        <v>427</v>
      </c>
      <c r="R403" s="137" t="e" cm="1">
        <f t="array" aca="1" ref="R403" ca="1">_xlfn.XLOOKUP(Contrato5[[#This Row],[CDP]],[2]!DISPONIBILIDADES_2024[[#All],[consecutivo]],[2]!DISPONIBILIDADES_2024[[#All],[fecha_aprobacion]],"",0)</f>
        <v>#NAME?</v>
      </c>
      <c r="S403" s="138" t="e">
        <f>SUMIF([2]!DISPONIBILIDADES_2024[[#All],[consecutivo]],Contrato5[[#This Row],[CDP]],[2]!DISPONIBILIDADES_2024[[#All],[valor_total_rubro]])</f>
        <v>#REF!</v>
      </c>
      <c r="T403" s="139" t="e" cm="1">
        <f t="array" aca="1" ref="T403" ca="1">_xlfn.XLOOKUP(Contrato5[[#This Row],[CONTRATO]]&amp;Contrato5[[#This Row],[CDP]],[2]!Corr_Contr_CDP[[#All],[CONTRATO-CDP]],[2]!Corr_Contr_CDP[[#All],[CRP]],_xlfn.XLOOKUP(Contrato5[[#This Row],[CDP]],[2]!COMPROMISOS_2024[[#All],[disponibilidad]],[2]!COMPROMISOS_2024[[#All],[consecutivo]],"",0),0)</f>
        <v>#NAME?</v>
      </c>
      <c r="U403" s="140" t="e" cm="1">
        <f t="array" aca="1" ref="U403" ca="1">+_xlfn.XLOOKUP(Contrato5[[#This Row],[RCP]],[2]!COMPROMISOS_2024[[#All],[consecutivo]],[2]!COMPROMISOS_2024[[#All],[fecha_aprobacion]],"",0)</f>
        <v>#NAME?</v>
      </c>
      <c r="V403" s="141" t="e">
        <f ca="1">SUMIF([2]!COMPROMISOS_2024[[#All],[consecutivo]],Contrato5[[#This Row],[RCP]],[2]!COMPROMISOS_2024[[#All],[valor_total]])</f>
        <v>#REF!</v>
      </c>
      <c r="W403" s="415">
        <v>45401</v>
      </c>
      <c r="X403" s="415" t="s">
        <v>1045</v>
      </c>
      <c r="Y403" s="143">
        <v>45404</v>
      </c>
      <c r="Z403" s="262">
        <v>45656</v>
      </c>
      <c r="AA403" s="183" t="s">
        <v>1113</v>
      </c>
      <c r="AB403" s="172" t="s">
        <v>1114</v>
      </c>
      <c r="AC403" s="172"/>
      <c r="AD403" s="211">
        <v>202000004242</v>
      </c>
      <c r="AE403" s="125" t="s">
        <v>523</v>
      </c>
      <c r="AF403" s="148" t="str">
        <f>TEXT(LEFT(Contrato5[[#This Row],[CONTRATO]],3),"0")</f>
        <v>308</v>
      </c>
      <c r="AG403" s="148" t="str">
        <f>IF(LEN(Contrato5[[#This Row],[Contrato2]])=3,Contrato5[[#This Row],[Contrato2]],TEXT(Contrato5[[#This Row],[Contrato2]],"000"))</f>
        <v>308</v>
      </c>
      <c r="AH403" s="149">
        <f ca="1">IFERROR(_xlfn.DAYS(Contrato5[[#This Row],[Fecha Proyectada liquidación]],TODAY())/30,"")</f>
        <v>0.6</v>
      </c>
      <c r="AI403" s="150">
        <f>+Contrato5[[#This Row],[FECHA TERMINACIÓN ]]+120</f>
        <v>45776</v>
      </c>
      <c r="AJ403" s="147"/>
      <c r="AK403" s="152" t="str">
        <f ca="1">IF(Contrato5[[#This Row],[FECHA TERMINACIÓN ]]&lt;TODAY(), "Terminado",IF(ISNUMBER(Contrato5[[#This Row],[Fecha Real de liquiidación ]]),"Liquidado",IF(Contrato5[[#This Row],[FECHA TERMINACIÓN ]]&gt;=TODAY(),"En ejecución","")))</f>
        <v>Terminado</v>
      </c>
      <c r="AL403" s="153" t="e">
        <f ca="1">SUMIF([2]!COMPROMISOS_2024[[#All],[consecutivo]],Contrato5[[#This Row],[RCP]],[2]!COMPROMISOS_2024[[#All],[Total pagado]])</f>
        <v>#REF!</v>
      </c>
      <c r="AM403" s="154">
        <f ca="1">IFERROR(Contrato5[[#This Row],[Pagos]]/Contrato5[[#This Row],[VALOR CONTRATO]],0)</f>
        <v>0</v>
      </c>
      <c r="AN403" s="198" t="e">
        <f ca="1">+Contrato5[[#This Row],[VALOR CONTRATO]]-Contrato5[[#This Row],[Pagos]]</f>
        <v>#REF!</v>
      </c>
      <c r="AO403" s="147" t="e" cm="1">
        <f t="array" aca="1" ref="AO403" ca="1">_xlfn.XLOOKUP(Contrato5[[#This Row],[DOCUMENTO ]],[2]!PERSONAL_ACTIVO_2024[[#All],[Documento identidad]],[2]!PERSONAL_ACTIVO_2024[[#All],[Mail ]],0,0)</f>
        <v>#NAME?</v>
      </c>
      <c r="AP403" s="147" t="e" cm="1">
        <f t="array" aca="1" ref="AP403" ca="1">_xlfn.XLOOKUP(Contrato5[[#This Row],[DOCUMENTO]],[2]!PERSONAL_ACTIVO_2024[[#All],[Documento identidad]],[2]!PERSONAL_ACTIVO_2024[[#All],[Mail ]],0,0)</f>
        <v>#NAME?</v>
      </c>
      <c r="AQ403" s="439" cm="1">
        <f t="array" aca="1" ref="AQ403" ca="1">IF(ISBLANK(Contrato5[[#This Row],[DEPENDENCIA ]]),0,IFERROR(_xlfn.XLOOKUP(Contrato5[[#This Row],[DEPENDENCIA ]],[2]!PERSONAL_ACTIVO_2024[[#All],[Dependencia]],[2]!PERSONAL_ACTIVO_2024[[#All],[Mail ]],0,0),0))</f>
        <v>0</v>
      </c>
    </row>
    <row r="404" spans="1:43" ht="34.5" customHeight="1">
      <c r="A404" s="125">
        <v>654</v>
      </c>
      <c r="B404" s="124">
        <v>309</v>
      </c>
      <c r="C404" s="162" t="s">
        <v>1338</v>
      </c>
      <c r="D404" s="227" t="s">
        <v>493</v>
      </c>
      <c r="E404" s="128" t="s">
        <v>94</v>
      </c>
      <c r="F404" s="163" t="s">
        <v>1376</v>
      </c>
      <c r="G404" s="190" t="s">
        <v>1115</v>
      </c>
      <c r="H404" s="447">
        <v>43603848</v>
      </c>
      <c r="I404" s="455">
        <v>3379853</v>
      </c>
      <c r="J404" s="456">
        <v>27038824</v>
      </c>
      <c r="K404" s="147" t="s">
        <v>42</v>
      </c>
      <c r="L404" s="438" t="s">
        <v>1094</v>
      </c>
      <c r="M404" s="194" t="s">
        <v>531</v>
      </c>
      <c r="N404" s="177" t="e" cm="1">
        <f t="array" aca="1" ref="N404" ca="1">_xlfn.XLOOKUP(Contrato5[[#This Row],[SUPERVISOR TITULAR]],[2]!PERSONAL_ACTIVO_2024[[#All],[Nombre completo]],[2]!PERSONAL_ACTIVO_2024[[#All],[Documento identidad]],"",0)</f>
        <v>#NAME?</v>
      </c>
      <c r="O404" s="194" t="s">
        <v>2555</v>
      </c>
      <c r="P404" s="196" t="e" cm="1">
        <f t="array" aca="1" ref="P404" ca="1">_xlfn.XLOOKUP(Contrato5[[#This Row],[SUPERVISOR SUPLENTE ]],[2]!PERSONAL_ACTIVO_2024[[#All],[Nombre completo]],[2]!PERSONAL_ACTIVO_2024[[#All],[Documento identidad]],"",0)</f>
        <v>#NAME?</v>
      </c>
      <c r="Q404" s="208">
        <v>436</v>
      </c>
      <c r="R404" s="137" t="e" cm="1">
        <f t="array" aca="1" ref="R404" ca="1">_xlfn.XLOOKUP(Contrato5[[#This Row],[CDP]],[2]!DISPONIBILIDADES_2024[[#All],[consecutivo]],[2]!DISPONIBILIDADES_2024[[#All],[fecha_aprobacion]],"",0)</f>
        <v>#NAME?</v>
      </c>
      <c r="S404" s="138" t="e">
        <f>SUMIF([2]!DISPONIBILIDADES_2024[[#All],[consecutivo]],Contrato5[[#This Row],[CDP]],[2]!DISPONIBILIDADES_2024[[#All],[valor_total_rubro]])</f>
        <v>#REF!</v>
      </c>
      <c r="T404" s="139" t="e" cm="1">
        <f t="array" aca="1" ref="T404" ca="1">_xlfn.XLOOKUP(Contrato5[[#This Row],[CONTRATO]]&amp;Contrato5[[#This Row],[CDP]],[2]!Corr_Contr_CDP[[#All],[CONTRATO-CDP]],[2]!Corr_Contr_CDP[[#All],[CRP]],_xlfn.XLOOKUP(Contrato5[[#This Row],[CDP]],[2]!COMPROMISOS_2024[[#All],[disponibilidad]],[2]!COMPROMISOS_2024[[#All],[consecutivo]],"",0),0)</f>
        <v>#NAME?</v>
      </c>
      <c r="U404" s="140" t="e" cm="1">
        <f t="array" aca="1" ref="U404" ca="1">+_xlfn.XLOOKUP(Contrato5[[#This Row],[RCP]],[2]!COMPROMISOS_2024[[#All],[consecutivo]],[2]!COMPROMISOS_2024[[#All],[fecha_aprobacion]],"",0)</f>
        <v>#NAME?</v>
      </c>
      <c r="V404" s="141" t="e">
        <f ca="1">SUMIF([2]!COMPROMISOS_2024[[#All],[consecutivo]],Contrato5[[#This Row],[RCP]],[2]!COMPROMISOS_2024[[#All],[valor_total]])</f>
        <v>#REF!</v>
      </c>
      <c r="W404" s="415">
        <v>45408</v>
      </c>
      <c r="X404" s="415" t="s">
        <v>1045</v>
      </c>
      <c r="Y404" s="143">
        <v>45412</v>
      </c>
      <c r="Z404" s="262">
        <v>45655</v>
      </c>
      <c r="AA404" s="183" t="s">
        <v>1116</v>
      </c>
      <c r="AB404" s="172" t="s">
        <v>1037</v>
      </c>
      <c r="AC404" s="172"/>
      <c r="AD404" s="211">
        <v>202000004243</v>
      </c>
      <c r="AE404" s="125" t="s">
        <v>523</v>
      </c>
      <c r="AF404" s="148" t="str">
        <f>TEXT(LEFT(Contrato5[[#This Row],[CONTRATO]],3),"0")</f>
        <v>309</v>
      </c>
      <c r="AG404" s="148" t="str">
        <f>IF(LEN(Contrato5[[#This Row],[Contrato2]])=3,Contrato5[[#This Row],[Contrato2]],TEXT(Contrato5[[#This Row],[Contrato2]],"000"))</f>
        <v>309</v>
      </c>
      <c r="AH404" s="149">
        <f ca="1">IFERROR(_xlfn.DAYS(Contrato5[[#This Row],[Fecha Proyectada liquidación]],TODAY())/30,"")</f>
        <v>0.56666666666666665</v>
      </c>
      <c r="AI404" s="150">
        <f>+Contrato5[[#This Row],[FECHA TERMINACIÓN ]]+120</f>
        <v>45775</v>
      </c>
      <c r="AJ404" s="147"/>
      <c r="AK404" s="152" t="str">
        <f ca="1">IF(Contrato5[[#This Row],[FECHA TERMINACIÓN ]]&lt;TODAY(), "Terminado",IF(ISNUMBER(Contrato5[[#This Row],[Fecha Real de liquiidación ]]),"Liquidado",IF(Contrato5[[#This Row],[FECHA TERMINACIÓN ]]&gt;=TODAY(),"En ejecución","")))</f>
        <v>Terminado</v>
      </c>
      <c r="AL404" s="153" t="e">
        <f ca="1">SUMIF([2]!COMPROMISOS_2024[[#All],[consecutivo]],Contrato5[[#This Row],[RCP]],[2]!COMPROMISOS_2024[[#All],[Total pagado]])</f>
        <v>#REF!</v>
      </c>
      <c r="AM404" s="154">
        <f ca="1">IFERROR(Contrato5[[#This Row],[Pagos]]/Contrato5[[#This Row],[VALOR CONTRATO]],0)</f>
        <v>0</v>
      </c>
      <c r="AN404" s="198" t="e">
        <f ca="1">+Contrato5[[#This Row],[VALOR CONTRATO]]-Contrato5[[#This Row],[Pagos]]</f>
        <v>#REF!</v>
      </c>
      <c r="AO404" s="147" t="e" cm="1">
        <f t="array" aca="1" ref="AO404" ca="1">_xlfn.XLOOKUP(Contrato5[[#This Row],[DOCUMENTO ]],[2]!PERSONAL_ACTIVO_2024[[#All],[Documento identidad]],[2]!PERSONAL_ACTIVO_2024[[#All],[Mail ]],0,0)</f>
        <v>#NAME?</v>
      </c>
      <c r="AP404" s="147" t="e" cm="1">
        <f t="array" aca="1" ref="AP404" ca="1">_xlfn.XLOOKUP(Contrato5[[#This Row],[DOCUMENTO]],[2]!PERSONAL_ACTIVO_2024[[#All],[Documento identidad]],[2]!PERSONAL_ACTIVO_2024[[#All],[Mail ]],0,0)</f>
        <v>#NAME?</v>
      </c>
      <c r="AQ404" s="439" cm="1">
        <f t="array" aca="1" ref="AQ404" ca="1">IF(ISBLANK(Contrato5[[#This Row],[DEPENDENCIA ]]),0,IFERROR(_xlfn.XLOOKUP(Contrato5[[#This Row],[DEPENDENCIA ]],[2]!PERSONAL_ACTIVO_2024[[#All],[Dependencia]],[2]!PERSONAL_ACTIVO_2024[[#All],[Mail ]],0,0),0))</f>
        <v>0</v>
      </c>
    </row>
    <row r="405" spans="1:43" ht="34.5" customHeight="1">
      <c r="A405" s="125">
        <v>665</v>
      </c>
      <c r="B405" s="124">
        <v>310</v>
      </c>
      <c r="C405" s="162" t="s">
        <v>347</v>
      </c>
      <c r="D405" s="227" t="s">
        <v>515</v>
      </c>
      <c r="E405" s="128" t="s">
        <v>94</v>
      </c>
      <c r="F405" s="163" t="s">
        <v>1376</v>
      </c>
      <c r="G405" s="190" t="s">
        <v>552</v>
      </c>
      <c r="H405" s="447">
        <v>1039451091</v>
      </c>
      <c r="I405" s="455">
        <v>7690469</v>
      </c>
      <c r="J405" s="456">
        <v>63318195</v>
      </c>
      <c r="K405" s="147" t="s">
        <v>42</v>
      </c>
      <c r="L405" s="438" t="s">
        <v>1094</v>
      </c>
      <c r="M405" s="194" t="s">
        <v>836</v>
      </c>
      <c r="N405" s="177" t="e" cm="1">
        <f t="array" aca="1" ref="N405" ca="1">_xlfn.XLOOKUP(Contrato5[[#This Row],[SUPERVISOR TITULAR]],[2]!PERSONAL_ACTIVO_2024[[#All],[Nombre completo]],[2]!PERSONAL_ACTIVO_2024[[#All],[Documento identidad]],"",0)</f>
        <v>#NAME?</v>
      </c>
      <c r="O405" s="194" t="s">
        <v>2546</v>
      </c>
      <c r="P405" s="196" t="e" cm="1">
        <f t="array" aca="1" ref="P405" ca="1">_xlfn.XLOOKUP(Contrato5[[#This Row],[SUPERVISOR SUPLENTE ]],[2]!PERSONAL_ACTIVO_2024[[#All],[Nombre completo]],[2]!PERSONAL_ACTIVO_2024[[#All],[Documento identidad]],"",0)</f>
        <v>#NAME?</v>
      </c>
      <c r="Q405" s="208">
        <v>434</v>
      </c>
      <c r="R405" s="137" t="e" cm="1">
        <f t="array" aca="1" ref="R405" ca="1">_xlfn.XLOOKUP(Contrato5[[#This Row],[CDP]],[2]!DISPONIBILIDADES_2024[[#All],[consecutivo]],[2]!DISPONIBILIDADES_2024[[#All],[fecha_aprobacion]],"",0)</f>
        <v>#NAME?</v>
      </c>
      <c r="S405" s="138" t="e">
        <f>SUMIF([2]!DISPONIBILIDADES_2024[[#All],[consecutivo]],Contrato5[[#This Row],[CDP]],[2]!DISPONIBILIDADES_2024[[#All],[valor_total_rubro]])</f>
        <v>#REF!</v>
      </c>
      <c r="T405" s="139" t="e" cm="1">
        <f t="array" aca="1" ref="T405" ca="1">_xlfn.XLOOKUP(Contrato5[[#This Row],[CONTRATO]]&amp;Contrato5[[#This Row],[CDP]],[2]!Corr_Contr_CDP[[#All],[CONTRATO-CDP]],[2]!Corr_Contr_CDP[[#All],[CRP]],_xlfn.XLOOKUP(Contrato5[[#This Row],[CDP]],[2]!COMPROMISOS_2024[[#All],[disponibilidad]],[2]!COMPROMISOS_2024[[#All],[consecutivo]],"",0),0)</f>
        <v>#NAME?</v>
      </c>
      <c r="U405" s="140" t="e" cm="1">
        <f t="array" aca="1" ref="U405" ca="1">+_xlfn.XLOOKUP(Contrato5[[#This Row],[RCP]],[2]!COMPROMISOS_2024[[#All],[consecutivo]],[2]!COMPROMISOS_2024[[#All],[fecha_aprobacion]],"",0)</f>
        <v>#NAME?</v>
      </c>
      <c r="V405" s="141" t="e">
        <f ca="1">SUMIF([2]!COMPROMISOS_2024[[#All],[consecutivo]],Contrato5[[#This Row],[RCP]],[2]!COMPROMISOS_2024[[#All],[valor_total]])</f>
        <v>#REF!</v>
      </c>
      <c r="W405" s="415">
        <v>45411</v>
      </c>
      <c r="X405" s="415" t="s">
        <v>1045</v>
      </c>
      <c r="Y405" s="143">
        <v>45411</v>
      </c>
      <c r="Z405" s="262">
        <v>45657</v>
      </c>
      <c r="AA405" s="183" t="s">
        <v>1117</v>
      </c>
      <c r="AB405" s="504" t="s">
        <v>1118</v>
      </c>
      <c r="AC405" s="172"/>
      <c r="AD405" s="211">
        <v>202000004245</v>
      </c>
      <c r="AE405" s="125" t="s">
        <v>523</v>
      </c>
      <c r="AF405" s="148" t="str">
        <f>TEXT(LEFT(Contrato5[[#This Row],[CONTRATO]],3),"0")</f>
        <v>310</v>
      </c>
      <c r="AG405" s="148" t="str">
        <f>IF(LEN(Contrato5[[#This Row],[Contrato2]])=3,Contrato5[[#This Row],[Contrato2]],TEXT(Contrato5[[#This Row],[Contrato2]],"000"))</f>
        <v>310</v>
      </c>
      <c r="AH405" s="149">
        <f ca="1">IFERROR(_xlfn.DAYS(Contrato5[[#This Row],[Fecha Proyectada liquidación]],TODAY())/30,"")</f>
        <v>0.6333333333333333</v>
      </c>
      <c r="AI405" s="150">
        <f>+Contrato5[[#This Row],[FECHA TERMINACIÓN ]]+120</f>
        <v>45777</v>
      </c>
      <c r="AJ405" s="147"/>
      <c r="AK405" s="152" t="str">
        <f ca="1">IF(Contrato5[[#This Row],[FECHA TERMINACIÓN ]]&lt;TODAY(), "Terminado",IF(ISNUMBER(Contrato5[[#This Row],[Fecha Real de liquiidación ]]),"Liquidado",IF(Contrato5[[#This Row],[FECHA TERMINACIÓN ]]&gt;=TODAY(),"En ejecución","")))</f>
        <v>Terminado</v>
      </c>
      <c r="AL405" s="153" t="e">
        <f ca="1">SUMIF([2]!COMPROMISOS_2024[[#All],[consecutivo]],Contrato5[[#This Row],[RCP]],[2]!COMPROMISOS_2024[[#All],[Total pagado]])</f>
        <v>#REF!</v>
      </c>
      <c r="AM405" s="154">
        <f ca="1">IFERROR(Contrato5[[#This Row],[Pagos]]/Contrato5[[#This Row],[VALOR CONTRATO]],0)</f>
        <v>0</v>
      </c>
      <c r="AN405" s="198" t="e">
        <f ca="1">+Contrato5[[#This Row],[VALOR CONTRATO]]-Contrato5[[#This Row],[Pagos]]</f>
        <v>#REF!</v>
      </c>
      <c r="AO405" s="147" t="e" cm="1">
        <f t="array" aca="1" ref="AO405" ca="1">_xlfn.XLOOKUP(Contrato5[[#This Row],[DOCUMENTO ]],[2]!PERSONAL_ACTIVO_2024[[#All],[Documento identidad]],[2]!PERSONAL_ACTIVO_2024[[#All],[Mail ]],0,0)</f>
        <v>#NAME?</v>
      </c>
      <c r="AP405" s="147" t="e" cm="1">
        <f t="array" aca="1" ref="AP405" ca="1">_xlfn.XLOOKUP(Contrato5[[#This Row],[DOCUMENTO]],[2]!PERSONAL_ACTIVO_2024[[#All],[Documento identidad]],[2]!PERSONAL_ACTIVO_2024[[#All],[Mail ]],0,0)</f>
        <v>#NAME?</v>
      </c>
      <c r="AQ405" s="439" cm="1">
        <f t="array" aca="1" ref="AQ405" ca="1">IF(ISBLANK(Contrato5[[#This Row],[DEPENDENCIA ]]),0,IFERROR(_xlfn.XLOOKUP(Contrato5[[#This Row],[DEPENDENCIA ]],[2]!PERSONAL_ACTIVO_2024[[#All],[Dependencia]],[2]!PERSONAL_ACTIVO_2024[[#All],[Mail ]],0,0),0))</f>
        <v>0</v>
      </c>
    </row>
    <row r="406" spans="1:43" ht="34.5" customHeight="1">
      <c r="A406" s="125">
        <v>669</v>
      </c>
      <c r="B406" s="124">
        <v>311</v>
      </c>
      <c r="C406" s="162" t="s">
        <v>354</v>
      </c>
      <c r="D406" s="227" t="s">
        <v>515</v>
      </c>
      <c r="E406" s="128" t="s">
        <v>94</v>
      </c>
      <c r="F406" s="163" t="s">
        <v>1376</v>
      </c>
      <c r="G406" s="190" t="s">
        <v>1119</v>
      </c>
      <c r="H406" s="447">
        <v>71654167</v>
      </c>
      <c r="I406" s="455">
        <v>6879081</v>
      </c>
      <c r="J406" s="456">
        <v>66803345</v>
      </c>
      <c r="K406" s="131" t="s">
        <v>889</v>
      </c>
      <c r="L406" s="438" t="s">
        <v>1094</v>
      </c>
      <c r="M406" s="194" t="s">
        <v>894</v>
      </c>
      <c r="N406" s="177" t="e" cm="1">
        <f t="array" aca="1" ref="N406" ca="1">_xlfn.XLOOKUP(Contrato5[[#This Row],[SUPERVISOR TITULAR]],[2]!PERSONAL_ACTIVO_2024[[#All],[Nombre completo]],[2]!PERSONAL_ACTIVO_2024[[#All],[Documento identidad]],"",0)</f>
        <v>#NAME?</v>
      </c>
      <c r="O406" s="194" t="s">
        <v>906</v>
      </c>
      <c r="P406" s="196" t="e" cm="1">
        <f t="array" aca="1" ref="P406" ca="1">_xlfn.XLOOKUP(Contrato5[[#This Row],[SUPERVISOR SUPLENTE ]],[2]!PERSONAL_ACTIVO_2024[[#All],[Nombre completo]],[2]!PERSONAL_ACTIVO_2024[[#All],[Documento identidad]],"",0)</f>
        <v>#NAME?</v>
      </c>
      <c r="Q406" s="208">
        <v>435</v>
      </c>
      <c r="R406" s="137" t="e" cm="1">
        <f t="array" aca="1" ref="R406" ca="1">_xlfn.XLOOKUP(Contrato5[[#This Row],[CDP]],[2]!DISPONIBILIDADES_2024[[#All],[consecutivo]],[2]!DISPONIBILIDADES_2024[[#All],[fecha_aprobacion]],"",0)</f>
        <v>#NAME?</v>
      </c>
      <c r="S406" s="138" t="e">
        <f>SUMIF([2]!DISPONIBILIDADES_2024[[#All],[consecutivo]],Contrato5[[#This Row],[CDP]],[2]!DISPONIBILIDADES_2024[[#All],[valor_total_rubro]])</f>
        <v>#REF!</v>
      </c>
      <c r="T406" s="139" t="e" cm="1">
        <f t="array" aca="1" ref="T406" ca="1">_xlfn.XLOOKUP(Contrato5[[#This Row],[CONTRATO]]&amp;Contrato5[[#This Row],[CDP]],[2]!Corr_Contr_CDP[[#All],[CONTRATO-CDP]],[2]!Corr_Contr_CDP[[#All],[CRP]],_xlfn.XLOOKUP(Contrato5[[#This Row],[CDP]],[2]!COMPROMISOS_2024[[#All],[disponibilidad]],[2]!COMPROMISOS_2024[[#All],[consecutivo]],"",0),0)</f>
        <v>#NAME?</v>
      </c>
      <c r="U406" s="140" t="e" cm="1">
        <f t="array" aca="1" ref="U406" ca="1">+_xlfn.XLOOKUP(Contrato5[[#This Row],[RCP]],[2]!COMPROMISOS_2024[[#All],[consecutivo]],[2]!COMPROMISOS_2024[[#All],[fecha_aprobacion]],"",0)</f>
        <v>#NAME?</v>
      </c>
      <c r="V406" s="141" t="e">
        <f ca="1">SUMIF([2]!COMPROMISOS_2024[[#All],[consecutivo]],Contrato5[[#This Row],[RCP]],[2]!COMPROMISOS_2024[[#All],[valor_total]])</f>
        <v>#REF!</v>
      </c>
      <c r="W406" s="415">
        <v>45411</v>
      </c>
      <c r="X406" s="415" t="s">
        <v>1045</v>
      </c>
      <c r="Y406" s="143">
        <v>45414</v>
      </c>
      <c r="Z406" s="262">
        <v>45657</v>
      </c>
      <c r="AA406" s="171" t="s">
        <v>1120</v>
      </c>
      <c r="AB406" s="172" t="s">
        <v>1121</v>
      </c>
      <c r="AC406" s="172"/>
      <c r="AD406" s="211">
        <v>202000004325</v>
      </c>
      <c r="AE406" s="125" t="s">
        <v>523</v>
      </c>
      <c r="AF406" s="148" t="str">
        <f>TEXT(LEFT(Contrato5[[#This Row],[CONTRATO]],3),"0")</f>
        <v>311</v>
      </c>
      <c r="AG406" s="148" t="str">
        <f>IF(LEN(Contrato5[[#This Row],[Contrato2]])=3,Contrato5[[#This Row],[Contrato2]],TEXT(Contrato5[[#This Row],[Contrato2]],"000"))</f>
        <v>311</v>
      </c>
      <c r="AH406" s="149">
        <f ca="1">IFERROR(_xlfn.DAYS(Contrato5[[#This Row],[Fecha Proyectada liquidación]],TODAY())/30,"")</f>
        <v>0.6333333333333333</v>
      </c>
      <c r="AI406" s="150">
        <f>+Contrato5[[#This Row],[FECHA TERMINACIÓN ]]+120</f>
        <v>45777</v>
      </c>
      <c r="AJ406" s="147"/>
      <c r="AK406" s="152" t="str">
        <f ca="1">IF(Contrato5[[#This Row],[FECHA TERMINACIÓN ]]&lt;TODAY(), "Terminado",IF(ISNUMBER(Contrato5[[#This Row],[Fecha Real de liquiidación ]]),"Liquidado",IF(Contrato5[[#This Row],[FECHA TERMINACIÓN ]]&gt;=TODAY(),"En ejecución","")))</f>
        <v>Terminado</v>
      </c>
      <c r="AL406" s="153" t="e">
        <f ca="1">SUMIF([2]!COMPROMISOS_2024[[#All],[consecutivo]],Contrato5[[#This Row],[RCP]],[2]!COMPROMISOS_2024[[#All],[Total pagado]])</f>
        <v>#REF!</v>
      </c>
      <c r="AM406" s="154">
        <f ca="1">IFERROR(Contrato5[[#This Row],[Pagos]]/Contrato5[[#This Row],[VALOR CONTRATO]],0)</f>
        <v>0</v>
      </c>
      <c r="AN406" s="198" t="e">
        <f ca="1">+Contrato5[[#This Row],[VALOR CONTRATO]]-Contrato5[[#This Row],[Pagos]]</f>
        <v>#REF!</v>
      </c>
      <c r="AO406" s="147" t="e" cm="1">
        <f t="array" aca="1" ref="AO406" ca="1">_xlfn.XLOOKUP(Contrato5[[#This Row],[DOCUMENTO ]],[2]!PERSONAL_ACTIVO_2024[[#All],[Documento identidad]],[2]!PERSONAL_ACTIVO_2024[[#All],[Mail ]],0,0)</f>
        <v>#NAME?</v>
      </c>
      <c r="AP406" s="147" t="e" cm="1">
        <f t="array" aca="1" ref="AP406" ca="1">_xlfn.XLOOKUP(Contrato5[[#This Row],[DOCUMENTO]],[2]!PERSONAL_ACTIVO_2024[[#All],[Documento identidad]],[2]!PERSONAL_ACTIVO_2024[[#All],[Mail ]],0,0)</f>
        <v>#NAME?</v>
      </c>
      <c r="AQ406" s="439" cm="1">
        <f t="array" aca="1" ref="AQ406" ca="1">IF(ISBLANK(Contrato5[[#This Row],[DEPENDENCIA ]]),0,IFERROR(_xlfn.XLOOKUP(Contrato5[[#This Row],[DEPENDENCIA ]],[2]!PERSONAL_ACTIVO_2024[[#All],[Dependencia]],[2]!PERSONAL_ACTIVO_2024[[#All],[Mail ]],0,0),0))</f>
        <v>0</v>
      </c>
    </row>
    <row r="407" spans="1:43" ht="34.5" customHeight="1">
      <c r="A407" s="125">
        <v>646</v>
      </c>
      <c r="B407" s="124">
        <v>312</v>
      </c>
      <c r="C407" s="162" t="s">
        <v>1695</v>
      </c>
      <c r="D407" s="227" t="s">
        <v>583</v>
      </c>
      <c r="E407" s="128" t="s">
        <v>94</v>
      </c>
      <c r="F407" s="163" t="s">
        <v>1376</v>
      </c>
      <c r="G407" s="190" t="s">
        <v>629</v>
      </c>
      <c r="H407" s="447">
        <v>1017126471</v>
      </c>
      <c r="I407" s="455">
        <v>4191468</v>
      </c>
      <c r="J407" s="456">
        <v>33392028</v>
      </c>
      <c r="K407" s="147" t="s">
        <v>42</v>
      </c>
      <c r="L407" s="438" t="s">
        <v>1094</v>
      </c>
      <c r="M407" s="194" t="s">
        <v>497</v>
      </c>
      <c r="N407" s="177" t="e" cm="1">
        <f t="array" aca="1" ref="N407" ca="1">_xlfn.XLOOKUP(Contrato5[[#This Row],[SUPERVISOR TITULAR]],[2]!PERSONAL_ACTIVO_2024[[#All],[Nombre completo]],[2]!PERSONAL_ACTIVO_2024[[#All],[Documento identidad]],"",0)</f>
        <v>#NAME?</v>
      </c>
      <c r="O407" s="194" t="s">
        <v>498</v>
      </c>
      <c r="P407" s="196" t="e" cm="1">
        <f t="array" aca="1" ref="P407" ca="1">_xlfn.XLOOKUP(Contrato5[[#This Row],[SUPERVISOR SUPLENTE ]],[2]!PERSONAL_ACTIVO_2024[[#All],[Nombre completo]],[2]!PERSONAL_ACTIVO_2024[[#All],[Documento identidad]],"",0)</f>
        <v>#NAME?</v>
      </c>
      <c r="Q407" s="208">
        <v>409</v>
      </c>
      <c r="R407" s="137" t="e" cm="1">
        <f t="array" aca="1" ref="R407" ca="1">_xlfn.XLOOKUP(Contrato5[[#This Row],[CDP]],[2]!DISPONIBILIDADES_2024[[#All],[consecutivo]],[2]!DISPONIBILIDADES_2024[[#All],[fecha_aprobacion]],"",0)</f>
        <v>#NAME?</v>
      </c>
      <c r="S407" s="138" t="e">
        <f>SUMIF([2]!DISPONIBILIDADES_2024[[#All],[consecutivo]],Contrato5[[#This Row],[CDP]],[2]!DISPONIBILIDADES_2024[[#All],[valor_total_rubro]])</f>
        <v>#REF!</v>
      </c>
      <c r="T407" s="139" t="e" cm="1">
        <f t="array" aca="1" ref="T407" ca="1">_xlfn.XLOOKUP(Contrato5[[#This Row],[CONTRATO]]&amp;Contrato5[[#This Row],[CDP]],[2]!Corr_Contr_CDP[[#All],[CONTRATO-CDP]],[2]!Corr_Contr_CDP[[#All],[CRP]],_xlfn.XLOOKUP(Contrato5[[#This Row],[CDP]],[2]!COMPROMISOS_2024[[#All],[disponibilidad]],[2]!COMPROMISOS_2024[[#All],[consecutivo]],"",0),0)</f>
        <v>#NAME?</v>
      </c>
      <c r="U407" s="140" t="e" cm="1">
        <f t="array" aca="1" ref="U407" ca="1">+_xlfn.XLOOKUP(Contrato5[[#This Row],[RCP]],[2]!COMPROMISOS_2024[[#All],[consecutivo]],[2]!COMPROMISOS_2024[[#All],[fecha_aprobacion]],"",0)</f>
        <v>#NAME?</v>
      </c>
      <c r="V407" s="141" t="e">
        <f ca="1">SUMIF([2]!COMPROMISOS_2024[[#All],[consecutivo]],Contrato5[[#This Row],[RCP]],[2]!COMPROMISOS_2024[[#All],[valor_total]])</f>
        <v>#REF!</v>
      </c>
      <c r="W407" s="415">
        <v>45412</v>
      </c>
      <c r="X407" s="415" t="s">
        <v>1045</v>
      </c>
      <c r="Y407" s="143">
        <v>45414</v>
      </c>
      <c r="Z407" s="262">
        <v>45657</v>
      </c>
      <c r="AA407" s="171" t="s">
        <v>1122</v>
      </c>
      <c r="AB407" s="172" t="s">
        <v>1121</v>
      </c>
      <c r="AC407" s="172"/>
      <c r="AD407" s="211">
        <v>202000004326</v>
      </c>
      <c r="AE407" s="125" t="s">
        <v>523</v>
      </c>
      <c r="AF407" s="148" t="str">
        <f>TEXT(LEFT(Contrato5[[#This Row],[CONTRATO]],3),"0")</f>
        <v>312</v>
      </c>
      <c r="AG407" s="148" t="str">
        <f>IF(LEN(Contrato5[[#This Row],[Contrato2]])=3,Contrato5[[#This Row],[Contrato2]],TEXT(Contrato5[[#This Row],[Contrato2]],"000"))</f>
        <v>312</v>
      </c>
      <c r="AH407" s="149">
        <f ca="1">IFERROR(_xlfn.DAYS(Contrato5[[#This Row],[Fecha Proyectada liquidación]],TODAY())/30,"")</f>
        <v>0.6333333333333333</v>
      </c>
      <c r="AI407" s="150">
        <f>+Contrato5[[#This Row],[FECHA TERMINACIÓN ]]+120</f>
        <v>45777</v>
      </c>
      <c r="AJ407" s="147"/>
      <c r="AK407" s="152" t="str">
        <f ca="1">IF(Contrato5[[#This Row],[FECHA TERMINACIÓN ]]&lt;TODAY(), "Terminado",IF(ISNUMBER(Contrato5[[#This Row],[Fecha Real de liquiidación ]]),"Liquidado",IF(Contrato5[[#This Row],[FECHA TERMINACIÓN ]]&gt;=TODAY(),"En ejecución","")))</f>
        <v>Terminado</v>
      </c>
      <c r="AL407" s="153" t="e">
        <f ca="1">SUMIF([2]!COMPROMISOS_2024[[#All],[consecutivo]],Contrato5[[#This Row],[RCP]],[2]!COMPROMISOS_2024[[#All],[Total pagado]])</f>
        <v>#REF!</v>
      </c>
      <c r="AM407" s="154">
        <f ca="1">IFERROR(Contrato5[[#This Row],[Pagos]]/Contrato5[[#This Row],[VALOR CONTRATO]],0)</f>
        <v>0</v>
      </c>
      <c r="AN407" s="198" t="e">
        <f ca="1">+Contrato5[[#This Row],[VALOR CONTRATO]]-Contrato5[[#This Row],[Pagos]]</f>
        <v>#REF!</v>
      </c>
      <c r="AO407" s="147" t="e" cm="1">
        <f t="array" aca="1" ref="AO407" ca="1">_xlfn.XLOOKUP(Contrato5[[#This Row],[DOCUMENTO ]],[2]!PERSONAL_ACTIVO_2024[[#All],[Documento identidad]],[2]!PERSONAL_ACTIVO_2024[[#All],[Mail ]],0,0)</f>
        <v>#NAME?</v>
      </c>
      <c r="AP407" s="147" t="e" cm="1">
        <f t="array" aca="1" ref="AP407" ca="1">_xlfn.XLOOKUP(Contrato5[[#This Row],[DOCUMENTO]],[2]!PERSONAL_ACTIVO_2024[[#All],[Documento identidad]],[2]!PERSONAL_ACTIVO_2024[[#All],[Mail ]],0,0)</f>
        <v>#NAME?</v>
      </c>
      <c r="AQ407" s="439" cm="1">
        <f t="array" aca="1" ref="AQ407" ca="1">IF(ISBLANK(Contrato5[[#This Row],[DEPENDENCIA ]]),0,IFERROR(_xlfn.XLOOKUP(Contrato5[[#This Row],[DEPENDENCIA ]],[2]!PERSONAL_ACTIVO_2024[[#All],[Dependencia]],[2]!PERSONAL_ACTIVO_2024[[#All],[Mail ]],0,0),0))</f>
        <v>0</v>
      </c>
    </row>
    <row r="408" spans="1:43" ht="34.5" customHeight="1">
      <c r="A408" s="125">
        <v>655</v>
      </c>
      <c r="B408" s="124">
        <v>313</v>
      </c>
      <c r="C408" s="162" t="s">
        <v>1339</v>
      </c>
      <c r="D408" s="227" t="s">
        <v>493</v>
      </c>
      <c r="E408" s="128" t="s">
        <v>94</v>
      </c>
      <c r="F408" s="163" t="s">
        <v>1376</v>
      </c>
      <c r="G408" s="190" t="s">
        <v>1123</v>
      </c>
      <c r="H408" s="447">
        <v>1128469940</v>
      </c>
      <c r="I408" s="455">
        <v>3379853</v>
      </c>
      <c r="J408" s="456">
        <v>27038824</v>
      </c>
      <c r="K408" s="147" t="s">
        <v>42</v>
      </c>
      <c r="L408" s="438" t="s">
        <v>1094</v>
      </c>
      <c r="M408" s="194" t="s">
        <v>497</v>
      </c>
      <c r="N408" s="177" t="e" cm="1">
        <f t="array" aca="1" ref="N408" ca="1">_xlfn.XLOOKUP(Contrato5[[#This Row],[SUPERVISOR TITULAR]],[2]!PERSONAL_ACTIVO_2024[[#All],[Nombre completo]],[2]!PERSONAL_ACTIVO_2024[[#All],[Documento identidad]],"",0)</f>
        <v>#NAME?</v>
      </c>
      <c r="O408" s="194" t="s">
        <v>1124</v>
      </c>
      <c r="P408" s="196" t="e" cm="1">
        <f t="array" aca="1" ref="P408" ca="1">_xlfn.XLOOKUP(Contrato5[[#This Row],[SUPERVISOR SUPLENTE ]],[2]!PERSONAL_ACTIVO_2024[[#All],[Nombre completo]],[2]!PERSONAL_ACTIVO_2024[[#All],[Documento identidad]],"",0)</f>
        <v>#NAME?</v>
      </c>
      <c r="Q408" s="208">
        <v>420</v>
      </c>
      <c r="R408" s="137" t="e" cm="1">
        <f t="array" aca="1" ref="R408" ca="1">_xlfn.XLOOKUP(Contrato5[[#This Row],[CDP]],[2]!DISPONIBILIDADES_2024[[#All],[consecutivo]],[2]!DISPONIBILIDADES_2024[[#All],[fecha_aprobacion]],"",0)</f>
        <v>#NAME?</v>
      </c>
      <c r="S408" s="138" t="e">
        <f>SUMIF([2]!DISPONIBILIDADES_2024[[#All],[consecutivo]],Contrato5[[#This Row],[CDP]],[2]!DISPONIBILIDADES_2024[[#All],[valor_total_rubro]])</f>
        <v>#REF!</v>
      </c>
      <c r="T408" s="139" t="e" cm="1">
        <f t="array" aca="1" ref="T408" ca="1">_xlfn.XLOOKUP(Contrato5[[#This Row],[CONTRATO]]&amp;Contrato5[[#This Row],[CDP]],[2]!Corr_Contr_CDP[[#All],[CONTRATO-CDP]],[2]!Corr_Contr_CDP[[#All],[CRP]],_xlfn.XLOOKUP(Contrato5[[#This Row],[CDP]],[2]!COMPROMISOS_2024[[#All],[disponibilidad]],[2]!COMPROMISOS_2024[[#All],[consecutivo]],"",0),0)</f>
        <v>#NAME?</v>
      </c>
      <c r="U408" s="140" t="e" cm="1">
        <f t="array" aca="1" ref="U408" ca="1">+_xlfn.XLOOKUP(Contrato5[[#This Row],[RCP]],[2]!COMPROMISOS_2024[[#All],[consecutivo]],[2]!COMPROMISOS_2024[[#All],[fecha_aprobacion]],"",0)</f>
        <v>#NAME?</v>
      </c>
      <c r="V408" s="141" t="e">
        <f ca="1">SUMIF([2]!COMPROMISOS_2024[[#All],[consecutivo]],Contrato5[[#This Row],[RCP]],[2]!COMPROMISOS_2024[[#All],[valor_total]])</f>
        <v>#REF!</v>
      </c>
      <c r="W408" s="415">
        <v>45411</v>
      </c>
      <c r="X408" s="415" t="s">
        <v>1045</v>
      </c>
      <c r="Y408" s="143">
        <v>45414</v>
      </c>
      <c r="Z408" s="262">
        <v>45657</v>
      </c>
      <c r="AA408" s="171" t="s">
        <v>1125</v>
      </c>
      <c r="AB408" s="172" t="s">
        <v>1037</v>
      </c>
      <c r="AC408" s="172"/>
      <c r="AD408" s="211">
        <v>202000004327</v>
      </c>
      <c r="AE408" s="125" t="s">
        <v>523</v>
      </c>
      <c r="AF408" s="148" t="str">
        <f>TEXT(LEFT(Contrato5[[#This Row],[CONTRATO]],3),"0")</f>
        <v>313</v>
      </c>
      <c r="AG408" s="148" t="str">
        <f>IF(LEN(Contrato5[[#This Row],[Contrato2]])=3,Contrato5[[#This Row],[Contrato2]],TEXT(Contrato5[[#This Row],[Contrato2]],"000"))</f>
        <v>313</v>
      </c>
      <c r="AH408" s="149">
        <f ca="1">IFERROR(_xlfn.DAYS(Contrato5[[#This Row],[Fecha Proyectada liquidación]],TODAY())/30,"")</f>
        <v>0.6333333333333333</v>
      </c>
      <c r="AI408" s="150">
        <f>+Contrato5[[#This Row],[FECHA TERMINACIÓN ]]+120</f>
        <v>45777</v>
      </c>
      <c r="AJ408" s="147"/>
      <c r="AK408" s="152" t="str">
        <f ca="1">IF(Contrato5[[#This Row],[FECHA TERMINACIÓN ]]&lt;TODAY(), "Terminado",IF(ISNUMBER(Contrato5[[#This Row],[Fecha Real de liquiidación ]]),"Liquidado",IF(Contrato5[[#This Row],[FECHA TERMINACIÓN ]]&gt;=TODAY(),"En ejecución","")))</f>
        <v>Terminado</v>
      </c>
      <c r="AL408" s="153" t="e">
        <f ca="1">SUMIF([2]!COMPROMISOS_2024[[#All],[consecutivo]],Contrato5[[#This Row],[RCP]],[2]!COMPROMISOS_2024[[#All],[Total pagado]])</f>
        <v>#REF!</v>
      </c>
      <c r="AM408" s="154">
        <f ca="1">IFERROR(Contrato5[[#This Row],[Pagos]]/Contrato5[[#This Row],[VALOR CONTRATO]],0)</f>
        <v>0</v>
      </c>
      <c r="AN408" s="198" t="e">
        <f ca="1">+Contrato5[[#This Row],[VALOR CONTRATO]]-Contrato5[[#This Row],[Pagos]]</f>
        <v>#REF!</v>
      </c>
      <c r="AO408" s="147" t="e" cm="1">
        <f t="array" aca="1" ref="AO408" ca="1">_xlfn.XLOOKUP(Contrato5[[#This Row],[DOCUMENTO ]],[2]!PERSONAL_ACTIVO_2024[[#All],[Documento identidad]],[2]!PERSONAL_ACTIVO_2024[[#All],[Mail ]],0,0)</f>
        <v>#NAME?</v>
      </c>
      <c r="AP408" s="147" t="e" cm="1">
        <f t="array" aca="1" ref="AP408" ca="1">_xlfn.XLOOKUP(Contrato5[[#This Row],[DOCUMENTO]],[2]!PERSONAL_ACTIVO_2024[[#All],[Documento identidad]],[2]!PERSONAL_ACTIVO_2024[[#All],[Mail ]],0,0)</f>
        <v>#NAME?</v>
      </c>
      <c r="AQ408" s="439" cm="1">
        <f t="array" aca="1" ref="AQ408" ca="1">IF(ISBLANK(Contrato5[[#This Row],[DEPENDENCIA ]]),0,IFERROR(_xlfn.XLOOKUP(Contrato5[[#This Row],[DEPENDENCIA ]],[2]!PERSONAL_ACTIVO_2024[[#All],[Dependencia]],[2]!PERSONAL_ACTIVO_2024[[#All],[Mail ]],0,0),0))</f>
        <v>0</v>
      </c>
    </row>
    <row r="409" spans="1:43" ht="34.5" customHeight="1">
      <c r="A409" s="125">
        <v>656</v>
      </c>
      <c r="B409" s="124">
        <v>314</v>
      </c>
      <c r="C409" s="162" t="s">
        <v>1341</v>
      </c>
      <c r="D409" s="227" t="s">
        <v>493</v>
      </c>
      <c r="E409" s="128" t="s">
        <v>94</v>
      </c>
      <c r="F409" s="163" t="s">
        <v>1376</v>
      </c>
      <c r="G409" s="190" t="s">
        <v>1126</v>
      </c>
      <c r="H409" s="447">
        <v>43560822</v>
      </c>
      <c r="I409" s="455">
        <v>6879081</v>
      </c>
      <c r="J409" s="456">
        <v>55032648</v>
      </c>
      <c r="K409" s="147" t="s">
        <v>42</v>
      </c>
      <c r="L409" s="438" t="s">
        <v>1094</v>
      </c>
      <c r="M409" s="194" t="s">
        <v>532</v>
      </c>
      <c r="N409" s="177" t="e" cm="1">
        <f t="array" aca="1" ref="N409" ca="1">_xlfn.XLOOKUP(Contrato5[[#This Row],[SUPERVISOR TITULAR]],[2]!PERSONAL_ACTIVO_2024[[#All],[Nombre completo]],[2]!PERSONAL_ACTIVO_2024[[#All],[Documento identidad]],"",0)</f>
        <v>#NAME?</v>
      </c>
      <c r="O409" s="194" t="s">
        <v>2609</v>
      </c>
      <c r="P409" s="196" t="e" cm="1">
        <f t="array" aca="1" ref="P409" ca="1">_xlfn.XLOOKUP(Contrato5[[#This Row],[SUPERVISOR SUPLENTE ]],[2]!PERSONAL_ACTIVO_2024[[#All],[Nombre completo]],[2]!PERSONAL_ACTIVO_2024[[#All],[Documento identidad]],"",0)</f>
        <v>#NAME?</v>
      </c>
      <c r="Q409" s="208">
        <v>446</v>
      </c>
      <c r="R409" s="137" t="e" cm="1">
        <f t="array" aca="1" ref="R409" ca="1">_xlfn.XLOOKUP(Contrato5[[#This Row],[CDP]],[2]!DISPONIBILIDADES_2024[[#All],[consecutivo]],[2]!DISPONIBILIDADES_2024[[#All],[fecha_aprobacion]],"",0)</f>
        <v>#NAME?</v>
      </c>
      <c r="S409" s="138" t="e">
        <f>SUMIF([2]!DISPONIBILIDADES_2024[[#All],[consecutivo]],Contrato5[[#This Row],[CDP]],[2]!DISPONIBILIDADES_2024[[#All],[valor_total_rubro]])</f>
        <v>#REF!</v>
      </c>
      <c r="T409" s="139" t="e" cm="1">
        <f t="array" aca="1" ref="T409" ca="1">_xlfn.XLOOKUP(Contrato5[[#This Row],[CONTRATO]]&amp;Contrato5[[#This Row],[CDP]],[2]!Corr_Contr_CDP[[#All],[CONTRATO-CDP]],[2]!Corr_Contr_CDP[[#All],[CRP]],_xlfn.XLOOKUP(Contrato5[[#This Row],[CDP]],[2]!COMPROMISOS_2024[[#All],[disponibilidad]],[2]!COMPROMISOS_2024[[#All],[consecutivo]],"",0),0)</f>
        <v>#NAME?</v>
      </c>
      <c r="U409" s="140" t="e" cm="1">
        <f t="array" aca="1" ref="U409" ca="1">+_xlfn.XLOOKUP(Contrato5[[#This Row],[RCP]],[2]!COMPROMISOS_2024[[#All],[consecutivo]],[2]!COMPROMISOS_2024[[#All],[fecha_aprobacion]],"",0)</f>
        <v>#NAME?</v>
      </c>
      <c r="V409" s="141" t="e">
        <f ca="1">SUMIF([2]!COMPROMISOS_2024[[#All],[consecutivo]],Contrato5[[#This Row],[RCP]],[2]!COMPROMISOS_2024[[#All],[valor_total]])</f>
        <v>#REF!</v>
      </c>
      <c r="W409" s="415">
        <v>45412</v>
      </c>
      <c r="X409" s="415" t="s">
        <v>1045</v>
      </c>
      <c r="Y409" s="143">
        <v>45414</v>
      </c>
      <c r="Z409" s="262">
        <v>45657</v>
      </c>
      <c r="AA409" s="171" t="s">
        <v>1127</v>
      </c>
      <c r="AB409" s="172" t="s">
        <v>1037</v>
      </c>
      <c r="AC409" s="172"/>
      <c r="AD409" s="211">
        <v>202000004328</v>
      </c>
      <c r="AE409" s="147" t="s">
        <v>523</v>
      </c>
      <c r="AF409" s="148" t="str">
        <f>TEXT(LEFT(Contrato5[[#This Row],[CONTRATO]],3),"0")</f>
        <v>314</v>
      </c>
      <c r="AG409" s="148" t="str">
        <f>IF(LEN(Contrato5[[#This Row],[Contrato2]])=3,Contrato5[[#This Row],[Contrato2]],TEXT(Contrato5[[#This Row],[Contrato2]],"000"))</f>
        <v>314</v>
      </c>
      <c r="AH409" s="149">
        <f ca="1">IFERROR(_xlfn.DAYS(Contrato5[[#This Row],[Fecha Proyectada liquidación]],TODAY())/30,"")</f>
        <v>0.6333333333333333</v>
      </c>
      <c r="AI409" s="150">
        <f>+Contrato5[[#This Row],[FECHA TERMINACIÓN ]]+120</f>
        <v>45777</v>
      </c>
      <c r="AJ409" s="147"/>
      <c r="AK409" s="152" t="str">
        <f ca="1">IF(Contrato5[[#This Row],[FECHA TERMINACIÓN ]]&lt;TODAY(), "Terminado",IF(ISNUMBER(Contrato5[[#This Row],[Fecha Real de liquiidación ]]),"Liquidado",IF(Contrato5[[#This Row],[FECHA TERMINACIÓN ]]&gt;=TODAY(),"En ejecución","")))</f>
        <v>Terminado</v>
      </c>
      <c r="AL409" s="153" t="e">
        <f ca="1">SUMIF([2]!COMPROMISOS_2024[[#All],[consecutivo]],Contrato5[[#This Row],[RCP]],[2]!COMPROMISOS_2024[[#All],[Total pagado]])</f>
        <v>#REF!</v>
      </c>
      <c r="AM409" s="154">
        <f ca="1">IFERROR(Contrato5[[#This Row],[Pagos]]/Contrato5[[#This Row],[VALOR CONTRATO]],0)</f>
        <v>0</v>
      </c>
      <c r="AN409" s="198" t="e">
        <f ca="1">+Contrato5[[#This Row],[VALOR CONTRATO]]-Contrato5[[#This Row],[Pagos]]</f>
        <v>#REF!</v>
      </c>
      <c r="AO409" s="147" t="e" cm="1">
        <f t="array" aca="1" ref="AO409" ca="1">_xlfn.XLOOKUP(Contrato5[[#This Row],[DOCUMENTO ]],[2]!PERSONAL_ACTIVO_2024[[#All],[Documento identidad]],[2]!PERSONAL_ACTIVO_2024[[#All],[Mail ]],0,0)</f>
        <v>#NAME?</v>
      </c>
      <c r="AP409" s="147" t="e" cm="1">
        <f t="array" aca="1" ref="AP409" ca="1">_xlfn.XLOOKUP(Contrato5[[#This Row],[DOCUMENTO]],[2]!PERSONAL_ACTIVO_2024[[#All],[Documento identidad]],[2]!PERSONAL_ACTIVO_2024[[#All],[Mail ]],0,0)</f>
        <v>#NAME?</v>
      </c>
      <c r="AQ409" s="439" cm="1">
        <f t="array" aca="1" ref="AQ409" ca="1">IF(ISBLANK(Contrato5[[#This Row],[DEPENDENCIA ]]),0,IFERROR(_xlfn.XLOOKUP(Contrato5[[#This Row],[DEPENDENCIA ]],[2]!PERSONAL_ACTIVO_2024[[#All],[Dependencia]],[2]!PERSONAL_ACTIVO_2024[[#All],[Mail ]],0,0),0))</f>
        <v>0</v>
      </c>
    </row>
    <row r="410" spans="1:43" ht="34.5" customHeight="1">
      <c r="A410" s="125">
        <v>657</v>
      </c>
      <c r="B410" s="124">
        <v>315</v>
      </c>
      <c r="C410" s="162" t="s">
        <v>1341</v>
      </c>
      <c r="D410" s="227" t="s">
        <v>493</v>
      </c>
      <c r="E410" s="128" t="s">
        <v>94</v>
      </c>
      <c r="F410" s="163" t="s">
        <v>1376</v>
      </c>
      <c r="G410" s="190" t="s">
        <v>1128</v>
      </c>
      <c r="H410" s="447">
        <v>43816660</v>
      </c>
      <c r="I410" s="455">
        <v>6879081</v>
      </c>
      <c r="J410" s="456">
        <v>55032648</v>
      </c>
      <c r="K410" s="147" t="s">
        <v>42</v>
      </c>
      <c r="L410" s="438" t="s">
        <v>1094</v>
      </c>
      <c r="M410" s="194" t="s">
        <v>532</v>
      </c>
      <c r="N410" s="177" t="e" cm="1">
        <f t="array" aca="1" ref="N410" ca="1">_xlfn.XLOOKUP(Contrato5[[#This Row],[SUPERVISOR TITULAR]],[2]!PERSONAL_ACTIVO_2024[[#All],[Nombre completo]],[2]!PERSONAL_ACTIVO_2024[[#All],[Documento identidad]],"",0)</f>
        <v>#NAME?</v>
      </c>
      <c r="O410" s="194" t="s">
        <v>1129</v>
      </c>
      <c r="P410" s="196" t="e" cm="1">
        <f t="array" aca="1" ref="P410" ca="1">_xlfn.XLOOKUP(Contrato5[[#This Row],[SUPERVISOR SUPLENTE ]],[2]!PERSONAL_ACTIVO_2024[[#All],[Nombre completo]],[2]!PERSONAL_ACTIVO_2024[[#All],[Documento identidad]],"",0)</f>
        <v>#NAME?</v>
      </c>
      <c r="Q410" s="208">
        <v>445</v>
      </c>
      <c r="R410" s="137" t="e" cm="1">
        <f t="array" aca="1" ref="R410" ca="1">_xlfn.XLOOKUP(Contrato5[[#This Row],[CDP]],[2]!DISPONIBILIDADES_2024[[#All],[consecutivo]],[2]!DISPONIBILIDADES_2024[[#All],[fecha_aprobacion]],"",0)</f>
        <v>#NAME?</v>
      </c>
      <c r="S410" s="138" t="e">
        <f>SUMIF([2]!DISPONIBILIDADES_2024[[#All],[consecutivo]],Contrato5[[#This Row],[CDP]],[2]!DISPONIBILIDADES_2024[[#All],[valor_total_rubro]])</f>
        <v>#REF!</v>
      </c>
      <c r="T410" s="139" t="e" cm="1">
        <f t="array" aca="1" ref="T410" ca="1">_xlfn.XLOOKUP(Contrato5[[#This Row],[CONTRATO]]&amp;Contrato5[[#This Row],[CDP]],[2]!Corr_Contr_CDP[[#All],[CONTRATO-CDP]],[2]!Corr_Contr_CDP[[#All],[CRP]],_xlfn.XLOOKUP(Contrato5[[#This Row],[CDP]],[2]!COMPROMISOS_2024[[#All],[disponibilidad]],[2]!COMPROMISOS_2024[[#All],[consecutivo]],"",0),0)</f>
        <v>#NAME?</v>
      </c>
      <c r="U410" s="140" t="e" cm="1">
        <f t="array" aca="1" ref="U410" ca="1">+_xlfn.XLOOKUP(Contrato5[[#This Row],[RCP]],[2]!COMPROMISOS_2024[[#All],[consecutivo]],[2]!COMPROMISOS_2024[[#All],[fecha_aprobacion]],"",0)</f>
        <v>#NAME?</v>
      </c>
      <c r="V410" s="141" t="e">
        <f ca="1">SUMIF([2]!COMPROMISOS_2024[[#All],[consecutivo]],Contrato5[[#This Row],[RCP]],[2]!COMPROMISOS_2024[[#All],[valor_total]])</f>
        <v>#REF!</v>
      </c>
      <c r="W410" s="415">
        <v>45411</v>
      </c>
      <c r="X410" s="415" t="s">
        <v>1045</v>
      </c>
      <c r="Y410" s="143">
        <v>45412</v>
      </c>
      <c r="Z410" s="262">
        <v>45657</v>
      </c>
      <c r="AA410" s="171" t="s">
        <v>1130</v>
      </c>
      <c r="AB410" s="172" t="s">
        <v>1037</v>
      </c>
      <c r="AC410" s="172"/>
      <c r="AD410" s="211">
        <v>202000004253</v>
      </c>
      <c r="AE410" s="147" t="s">
        <v>523</v>
      </c>
      <c r="AF410" s="148" t="str">
        <f>TEXT(LEFT(Contrato5[[#This Row],[CONTRATO]],3),"0")</f>
        <v>315</v>
      </c>
      <c r="AG410" s="148" t="str">
        <f>IF(LEN(Contrato5[[#This Row],[Contrato2]])=3,Contrato5[[#This Row],[Contrato2]],TEXT(Contrato5[[#This Row],[Contrato2]],"000"))</f>
        <v>315</v>
      </c>
      <c r="AH410" s="149">
        <f ca="1">IFERROR(_xlfn.DAYS(Contrato5[[#This Row],[Fecha Proyectada liquidación]],TODAY())/30,"")</f>
        <v>0.6333333333333333</v>
      </c>
      <c r="AI410" s="150">
        <f>+Contrato5[[#This Row],[FECHA TERMINACIÓN ]]+120</f>
        <v>45777</v>
      </c>
      <c r="AJ410" s="147"/>
      <c r="AK410" s="152" t="str">
        <f ca="1">IF(Contrato5[[#This Row],[FECHA TERMINACIÓN ]]&lt;TODAY(), "Terminado",IF(ISNUMBER(Contrato5[[#This Row],[Fecha Real de liquiidación ]]),"Liquidado",IF(Contrato5[[#This Row],[FECHA TERMINACIÓN ]]&gt;=TODAY(),"En ejecución","")))</f>
        <v>Terminado</v>
      </c>
      <c r="AL410" s="153" t="e">
        <f ca="1">SUMIF([2]!COMPROMISOS_2024[[#All],[consecutivo]],Contrato5[[#This Row],[RCP]],[2]!COMPROMISOS_2024[[#All],[Total pagado]])</f>
        <v>#REF!</v>
      </c>
      <c r="AM410" s="154">
        <f ca="1">IFERROR(Contrato5[[#This Row],[Pagos]]/Contrato5[[#This Row],[VALOR CONTRATO]],0)</f>
        <v>0</v>
      </c>
      <c r="AN410" s="198" t="e">
        <f ca="1">+Contrato5[[#This Row],[VALOR CONTRATO]]-Contrato5[[#This Row],[Pagos]]</f>
        <v>#REF!</v>
      </c>
      <c r="AO410" s="147" t="e" cm="1">
        <f t="array" aca="1" ref="AO410" ca="1">_xlfn.XLOOKUP(Contrato5[[#This Row],[DOCUMENTO ]],[2]!PERSONAL_ACTIVO_2024[[#All],[Documento identidad]],[2]!PERSONAL_ACTIVO_2024[[#All],[Mail ]],0,0)</f>
        <v>#NAME?</v>
      </c>
      <c r="AP410" s="147" t="e" cm="1">
        <f t="array" aca="1" ref="AP410" ca="1">_xlfn.XLOOKUP(Contrato5[[#This Row],[DOCUMENTO]],[2]!PERSONAL_ACTIVO_2024[[#All],[Documento identidad]],[2]!PERSONAL_ACTIVO_2024[[#All],[Mail ]],0,0)</f>
        <v>#NAME?</v>
      </c>
      <c r="AQ410" s="439" cm="1">
        <f t="array" aca="1" ref="AQ410" ca="1">IF(ISBLANK(Contrato5[[#This Row],[DEPENDENCIA ]]),0,IFERROR(_xlfn.XLOOKUP(Contrato5[[#This Row],[DEPENDENCIA ]],[2]!PERSONAL_ACTIVO_2024[[#All],[Dependencia]],[2]!PERSONAL_ACTIVO_2024[[#All],[Mail ]],0,0),0))</f>
        <v>0</v>
      </c>
    </row>
    <row r="411" spans="1:43" ht="34.5" customHeight="1">
      <c r="A411" s="125">
        <v>658</v>
      </c>
      <c r="B411" s="124">
        <v>316</v>
      </c>
      <c r="C411" s="162" t="s">
        <v>1343</v>
      </c>
      <c r="D411" s="227" t="s">
        <v>493</v>
      </c>
      <c r="E411" s="128" t="s">
        <v>94</v>
      </c>
      <c r="F411" s="163" t="s">
        <v>1376</v>
      </c>
      <c r="G411" s="190" t="s">
        <v>567</v>
      </c>
      <c r="H411" s="447">
        <v>1039050471</v>
      </c>
      <c r="I411" s="455">
        <v>4171510</v>
      </c>
      <c r="J411" s="456">
        <v>33372080</v>
      </c>
      <c r="K411" s="147" t="s">
        <v>42</v>
      </c>
      <c r="L411" s="438" t="s">
        <v>1094</v>
      </c>
      <c r="M411" s="194" t="s">
        <v>568</v>
      </c>
      <c r="N411" s="177" t="e" cm="1">
        <f t="array" aca="1" ref="N411" ca="1">_xlfn.XLOOKUP(Contrato5[[#This Row],[SUPERVISOR TITULAR]],[2]!PERSONAL_ACTIVO_2024[[#All],[Nombre completo]],[2]!PERSONAL_ACTIVO_2024[[#All],[Documento identidad]],"",0)</f>
        <v>#NAME?</v>
      </c>
      <c r="O411" s="194" t="s">
        <v>2489</v>
      </c>
      <c r="P411" s="196" t="e" cm="1">
        <f t="array" aca="1" ref="P411" ca="1">_xlfn.XLOOKUP(Contrato5[[#This Row],[SUPERVISOR SUPLENTE ]],[2]!PERSONAL_ACTIVO_2024[[#All],[Nombre completo]],[2]!PERSONAL_ACTIVO_2024[[#All],[Documento identidad]],"",0)</f>
        <v>#NAME?</v>
      </c>
      <c r="Q411" s="208">
        <v>444</v>
      </c>
      <c r="R411" s="137" t="e" cm="1">
        <f t="array" aca="1" ref="R411" ca="1">_xlfn.XLOOKUP(Contrato5[[#This Row],[CDP]],[2]!DISPONIBILIDADES_2024[[#All],[consecutivo]],[2]!DISPONIBILIDADES_2024[[#All],[fecha_aprobacion]],"",0)</f>
        <v>#NAME?</v>
      </c>
      <c r="S411" s="138" t="e">
        <f>SUMIF([2]!DISPONIBILIDADES_2024[[#All],[consecutivo]],Contrato5[[#This Row],[CDP]],[2]!DISPONIBILIDADES_2024[[#All],[valor_total_rubro]])</f>
        <v>#REF!</v>
      </c>
      <c r="T411" s="139" t="e" cm="1">
        <f t="array" aca="1" ref="T411" ca="1">_xlfn.XLOOKUP(Contrato5[[#This Row],[CONTRATO]]&amp;Contrato5[[#This Row],[CDP]],[2]!Corr_Contr_CDP[[#All],[CONTRATO-CDP]],[2]!Corr_Contr_CDP[[#All],[CRP]],_xlfn.XLOOKUP(Contrato5[[#This Row],[CDP]],[2]!COMPROMISOS_2024[[#All],[disponibilidad]],[2]!COMPROMISOS_2024[[#All],[consecutivo]],"",0),0)</f>
        <v>#NAME?</v>
      </c>
      <c r="U411" s="140" t="e" cm="1">
        <f t="array" aca="1" ref="U411" ca="1">+_xlfn.XLOOKUP(Contrato5[[#This Row],[RCP]],[2]!COMPROMISOS_2024[[#All],[consecutivo]],[2]!COMPROMISOS_2024[[#All],[fecha_aprobacion]],"",0)</f>
        <v>#NAME?</v>
      </c>
      <c r="V411" s="141" t="e">
        <f ca="1">SUMIF([2]!COMPROMISOS_2024[[#All],[consecutivo]],Contrato5[[#This Row],[RCP]],[2]!COMPROMISOS_2024[[#All],[valor_total]])</f>
        <v>#REF!</v>
      </c>
      <c r="W411" s="415">
        <v>45411</v>
      </c>
      <c r="X411" s="415" t="s">
        <v>1045</v>
      </c>
      <c r="Y411" s="143">
        <v>45414</v>
      </c>
      <c r="Z411" s="262">
        <v>45657</v>
      </c>
      <c r="AA411" s="171" t="s">
        <v>1131</v>
      </c>
      <c r="AB411" s="172" t="s">
        <v>1037</v>
      </c>
      <c r="AC411" s="172"/>
      <c r="AD411" s="211">
        <v>202000004329</v>
      </c>
      <c r="AE411" s="147" t="s">
        <v>523</v>
      </c>
      <c r="AF411" s="148" t="str">
        <f>TEXT(LEFT(Contrato5[[#This Row],[CONTRATO]],3),"0")</f>
        <v>316</v>
      </c>
      <c r="AG411" s="148" t="str">
        <f>IF(LEN(Contrato5[[#This Row],[Contrato2]])=3,Contrato5[[#This Row],[Contrato2]],TEXT(Contrato5[[#This Row],[Contrato2]],"000"))</f>
        <v>316</v>
      </c>
      <c r="AH411" s="149">
        <f ca="1">IFERROR(_xlfn.DAYS(Contrato5[[#This Row],[Fecha Proyectada liquidación]],TODAY())/30,"")</f>
        <v>0.6333333333333333</v>
      </c>
      <c r="AI411" s="150">
        <f>+Contrato5[[#This Row],[FECHA TERMINACIÓN ]]+120</f>
        <v>45777</v>
      </c>
      <c r="AJ411" s="147"/>
      <c r="AK411" s="152" t="str">
        <f ca="1">IF(Contrato5[[#This Row],[FECHA TERMINACIÓN ]]&lt;TODAY(), "Terminado",IF(ISNUMBER(Contrato5[[#This Row],[Fecha Real de liquiidación ]]),"Liquidado",IF(Contrato5[[#This Row],[FECHA TERMINACIÓN ]]&gt;=TODAY(),"En ejecución","")))</f>
        <v>Terminado</v>
      </c>
      <c r="AL411" s="153" t="e">
        <f ca="1">SUMIF([2]!COMPROMISOS_2024[[#All],[consecutivo]],Contrato5[[#This Row],[RCP]],[2]!COMPROMISOS_2024[[#All],[Total pagado]])</f>
        <v>#REF!</v>
      </c>
      <c r="AM411" s="154">
        <f ca="1">IFERROR(Contrato5[[#This Row],[Pagos]]/Contrato5[[#This Row],[VALOR CONTRATO]],0)</f>
        <v>0</v>
      </c>
      <c r="AN411" s="198" t="e">
        <f ca="1">+Contrato5[[#This Row],[VALOR CONTRATO]]-Contrato5[[#This Row],[Pagos]]</f>
        <v>#REF!</v>
      </c>
      <c r="AO411" s="147" t="e" cm="1">
        <f t="array" aca="1" ref="AO411" ca="1">_xlfn.XLOOKUP(Contrato5[[#This Row],[DOCUMENTO ]],[2]!PERSONAL_ACTIVO_2024[[#All],[Documento identidad]],[2]!PERSONAL_ACTIVO_2024[[#All],[Mail ]],0,0)</f>
        <v>#NAME?</v>
      </c>
      <c r="AP411" s="147" t="e" cm="1">
        <f t="array" aca="1" ref="AP411" ca="1">_xlfn.XLOOKUP(Contrato5[[#This Row],[DOCUMENTO]],[2]!PERSONAL_ACTIVO_2024[[#All],[Documento identidad]],[2]!PERSONAL_ACTIVO_2024[[#All],[Mail ]],0,0)</f>
        <v>#NAME?</v>
      </c>
      <c r="AQ411" s="439" cm="1">
        <f t="array" aca="1" ref="AQ411" ca="1">IF(ISBLANK(Contrato5[[#This Row],[DEPENDENCIA ]]),0,IFERROR(_xlfn.XLOOKUP(Contrato5[[#This Row],[DEPENDENCIA ]],[2]!PERSONAL_ACTIVO_2024[[#All],[Dependencia]],[2]!PERSONAL_ACTIVO_2024[[#All],[Mail ]],0,0),0))</f>
        <v>0</v>
      </c>
    </row>
    <row r="412" spans="1:43" ht="34.5" customHeight="1">
      <c r="A412" s="125">
        <v>659</v>
      </c>
      <c r="B412" s="124">
        <v>317</v>
      </c>
      <c r="C412" s="162" t="s">
        <v>1344</v>
      </c>
      <c r="D412" s="227" t="s">
        <v>493</v>
      </c>
      <c r="E412" s="128" t="s">
        <v>94</v>
      </c>
      <c r="F412" s="163" t="s">
        <v>1376</v>
      </c>
      <c r="G412" s="190" t="s">
        <v>571</v>
      </c>
      <c r="H412" s="447">
        <v>43063996</v>
      </c>
      <c r="I412" s="455">
        <v>4171510</v>
      </c>
      <c r="J412" s="456">
        <v>33372080</v>
      </c>
      <c r="K412" s="147" t="s">
        <v>42</v>
      </c>
      <c r="L412" s="438" t="s">
        <v>1094</v>
      </c>
      <c r="M412" s="194" t="s">
        <v>568</v>
      </c>
      <c r="N412" s="177" t="e" cm="1">
        <f t="array" aca="1" ref="N412" ca="1">_xlfn.XLOOKUP(Contrato5[[#This Row],[SUPERVISOR TITULAR]],[2]!PERSONAL_ACTIVO_2024[[#All],[Nombre completo]],[2]!PERSONAL_ACTIVO_2024[[#All],[Documento identidad]],"",0)</f>
        <v>#NAME?</v>
      </c>
      <c r="O412" s="194" t="s">
        <v>2489</v>
      </c>
      <c r="P412" s="196" t="e" cm="1">
        <f t="array" aca="1" ref="P412" ca="1">_xlfn.XLOOKUP(Contrato5[[#This Row],[SUPERVISOR SUPLENTE ]],[2]!PERSONAL_ACTIVO_2024[[#All],[Nombre completo]],[2]!PERSONAL_ACTIVO_2024[[#All],[Documento identidad]],"",0)</f>
        <v>#NAME?</v>
      </c>
      <c r="Q412" s="208">
        <v>443</v>
      </c>
      <c r="R412" s="137" t="e" cm="1">
        <f t="array" aca="1" ref="R412" ca="1">_xlfn.XLOOKUP(Contrato5[[#This Row],[CDP]],[2]!DISPONIBILIDADES_2024[[#All],[consecutivo]],[2]!DISPONIBILIDADES_2024[[#All],[fecha_aprobacion]],"",0)</f>
        <v>#NAME?</v>
      </c>
      <c r="S412" s="138" t="e">
        <f>SUMIF([2]!DISPONIBILIDADES_2024[[#All],[consecutivo]],Contrato5[[#This Row],[CDP]],[2]!DISPONIBILIDADES_2024[[#All],[valor_total_rubro]])</f>
        <v>#REF!</v>
      </c>
      <c r="T412" s="139" t="e" cm="1">
        <f t="array" aca="1" ref="T412" ca="1">_xlfn.XLOOKUP(Contrato5[[#This Row],[CONTRATO]]&amp;Contrato5[[#This Row],[CDP]],[2]!Corr_Contr_CDP[[#All],[CONTRATO-CDP]],[2]!Corr_Contr_CDP[[#All],[CRP]],_xlfn.XLOOKUP(Contrato5[[#This Row],[CDP]],[2]!COMPROMISOS_2024[[#All],[disponibilidad]],[2]!COMPROMISOS_2024[[#All],[consecutivo]],"",0),0)</f>
        <v>#NAME?</v>
      </c>
      <c r="U412" s="140" t="e" cm="1">
        <f t="array" aca="1" ref="U412" ca="1">+_xlfn.XLOOKUP(Contrato5[[#This Row],[RCP]],[2]!COMPROMISOS_2024[[#All],[consecutivo]],[2]!COMPROMISOS_2024[[#All],[fecha_aprobacion]],"",0)</f>
        <v>#NAME?</v>
      </c>
      <c r="V412" s="141" t="e">
        <f ca="1">SUMIF([2]!COMPROMISOS_2024[[#All],[consecutivo]],Contrato5[[#This Row],[RCP]],[2]!COMPROMISOS_2024[[#All],[valor_total]])</f>
        <v>#REF!</v>
      </c>
      <c r="W412" s="415">
        <v>45411</v>
      </c>
      <c r="X412" s="415" t="s">
        <v>1045</v>
      </c>
      <c r="Y412" s="143">
        <v>45412</v>
      </c>
      <c r="Z412" s="262">
        <v>45657</v>
      </c>
      <c r="AA412" s="171" t="s">
        <v>1132</v>
      </c>
      <c r="AB412" s="172" t="s">
        <v>1037</v>
      </c>
      <c r="AC412" s="172"/>
      <c r="AD412" s="211">
        <v>202000004247</v>
      </c>
      <c r="AE412" s="147" t="s">
        <v>523</v>
      </c>
      <c r="AF412" s="148" t="str">
        <f>TEXT(LEFT(Contrato5[[#This Row],[CONTRATO]],3),"0")</f>
        <v>317</v>
      </c>
      <c r="AG412" s="148" t="str">
        <f>IF(LEN(Contrato5[[#This Row],[Contrato2]])=3,Contrato5[[#This Row],[Contrato2]],TEXT(Contrato5[[#This Row],[Contrato2]],"000"))</f>
        <v>317</v>
      </c>
      <c r="AH412" s="149">
        <f ca="1">IFERROR(_xlfn.DAYS(Contrato5[[#This Row],[Fecha Proyectada liquidación]],TODAY())/30,"")</f>
        <v>0.6333333333333333</v>
      </c>
      <c r="AI412" s="150">
        <f>+Contrato5[[#This Row],[FECHA TERMINACIÓN ]]+120</f>
        <v>45777</v>
      </c>
      <c r="AJ412" s="147"/>
      <c r="AK412" s="152" t="str">
        <f ca="1">IF(Contrato5[[#This Row],[FECHA TERMINACIÓN ]]&lt;TODAY(), "Terminado",IF(ISNUMBER(Contrato5[[#This Row],[Fecha Real de liquiidación ]]),"Liquidado",IF(Contrato5[[#This Row],[FECHA TERMINACIÓN ]]&gt;=TODAY(),"En ejecución","")))</f>
        <v>Terminado</v>
      </c>
      <c r="AL412" s="153" t="e">
        <f ca="1">SUMIF([2]!COMPROMISOS_2024[[#All],[consecutivo]],Contrato5[[#This Row],[RCP]],[2]!COMPROMISOS_2024[[#All],[Total pagado]])</f>
        <v>#REF!</v>
      </c>
      <c r="AM412" s="154">
        <f ca="1">IFERROR(Contrato5[[#This Row],[Pagos]]/Contrato5[[#This Row],[VALOR CONTRATO]],0)</f>
        <v>0</v>
      </c>
      <c r="AN412" s="198" t="e">
        <f ca="1">+Contrato5[[#This Row],[VALOR CONTRATO]]-Contrato5[[#This Row],[Pagos]]</f>
        <v>#REF!</v>
      </c>
      <c r="AO412" s="147" t="e" cm="1">
        <f t="array" aca="1" ref="AO412" ca="1">_xlfn.XLOOKUP(Contrato5[[#This Row],[DOCUMENTO ]],[2]!PERSONAL_ACTIVO_2024[[#All],[Documento identidad]],[2]!PERSONAL_ACTIVO_2024[[#All],[Mail ]],0,0)</f>
        <v>#NAME?</v>
      </c>
      <c r="AP412" s="147" t="e" cm="1">
        <f t="array" aca="1" ref="AP412" ca="1">_xlfn.XLOOKUP(Contrato5[[#This Row],[DOCUMENTO]],[2]!PERSONAL_ACTIVO_2024[[#All],[Documento identidad]],[2]!PERSONAL_ACTIVO_2024[[#All],[Mail ]],0,0)</f>
        <v>#NAME?</v>
      </c>
      <c r="AQ412" s="439" cm="1">
        <f t="array" aca="1" ref="AQ412" ca="1">IF(ISBLANK(Contrato5[[#This Row],[DEPENDENCIA ]]),0,IFERROR(_xlfn.XLOOKUP(Contrato5[[#This Row],[DEPENDENCIA ]],[2]!PERSONAL_ACTIVO_2024[[#All],[Dependencia]],[2]!PERSONAL_ACTIVO_2024[[#All],[Mail ]],0,0),0))</f>
        <v>0</v>
      </c>
    </row>
    <row r="413" spans="1:43" ht="34.5" customHeight="1">
      <c r="A413" s="125">
        <v>52</v>
      </c>
      <c r="B413" s="124">
        <v>318</v>
      </c>
      <c r="C413" s="162" t="s">
        <v>1473</v>
      </c>
      <c r="D413" s="227" t="s">
        <v>556</v>
      </c>
      <c r="E413" s="128" t="s">
        <v>94</v>
      </c>
      <c r="F413" s="163" t="s">
        <v>1376</v>
      </c>
      <c r="G413" s="190" t="s">
        <v>1133</v>
      </c>
      <c r="H413" s="447">
        <v>1214728340</v>
      </c>
      <c r="I413" s="455">
        <v>4171510</v>
      </c>
      <c r="J413" s="456">
        <v>25449128</v>
      </c>
      <c r="K413" s="147" t="s">
        <v>42</v>
      </c>
      <c r="L413" s="438" t="s">
        <v>1094</v>
      </c>
      <c r="M413" s="194" t="s">
        <v>559</v>
      </c>
      <c r="N413" s="177" t="e" cm="1">
        <f t="array" aca="1" ref="N413" ca="1">_xlfn.XLOOKUP(Contrato5[[#This Row],[SUPERVISOR TITULAR]],[2]!PERSONAL_ACTIVO_2024[[#All],[Nombre completo]],[2]!PERSONAL_ACTIVO_2024[[#All],[Documento identidad]],"",0)</f>
        <v>#NAME?</v>
      </c>
      <c r="O413" s="194" t="s">
        <v>2487</v>
      </c>
      <c r="P413" s="196" t="e" cm="1">
        <f t="array" aca="1" ref="P413" ca="1">_xlfn.XLOOKUP(Contrato5[[#This Row],[SUPERVISOR SUPLENTE ]],[2]!PERSONAL_ACTIVO_2024[[#All],[Nombre completo]],[2]!PERSONAL_ACTIVO_2024[[#All],[Documento identidad]],"",0)</f>
        <v>#NAME?</v>
      </c>
      <c r="Q413" s="208">
        <v>438</v>
      </c>
      <c r="R413" s="137" t="e" cm="1">
        <f t="array" aca="1" ref="R413" ca="1">_xlfn.XLOOKUP(Contrato5[[#This Row],[CDP]],[2]!DISPONIBILIDADES_2024[[#All],[consecutivo]],[2]!DISPONIBILIDADES_2024[[#All],[fecha_aprobacion]],"",0)</f>
        <v>#NAME?</v>
      </c>
      <c r="S413" s="138" t="e">
        <f>SUMIF([2]!DISPONIBILIDADES_2024[[#All],[consecutivo]],Contrato5[[#This Row],[CDP]],[2]!DISPONIBILIDADES_2024[[#All],[valor_total_rubro]])</f>
        <v>#REF!</v>
      </c>
      <c r="T413" s="139" t="e" cm="1">
        <f t="array" aca="1" ref="T413" ca="1">_xlfn.XLOOKUP(Contrato5[[#This Row],[CONTRATO]]&amp;Contrato5[[#This Row],[CDP]],[2]!Corr_Contr_CDP[[#All],[CONTRATO-CDP]],[2]!Corr_Contr_CDP[[#All],[CRP]],_xlfn.XLOOKUP(Contrato5[[#This Row],[CDP]],[2]!COMPROMISOS_2024[[#All],[disponibilidad]],[2]!COMPROMISOS_2024[[#All],[consecutivo]],"",0),0)</f>
        <v>#NAME?</v>
      </c>
      <c r="U413" s="140" t="e" cm="1">
        <f t="array" aca="1" ref="U413" ca="1">+_xlfn.XLOOKUP(Contrato5[[#This Row],[RCP]],[2]!COMPROMISOS_2024[[#All],[consecutivo]],[2]!COMPROMISOS_2024[[#All],[fecha_aprobacion]],"",0)</f>
        <v>#NAME?</v>
      </c>
      <c r="V413" s="141" t="e">
        <f ca="1">SUMIF([2]!COMPROMISOS_2024[[#All],[consecutivo]],Contrato5[[#This Row],[RCP]],[2]!COMPROMISOS_2024[[#All],[valor_total]])</f>
        <v>#REF!</v>
      </c>
      <c r="W413" s="415">
        <v>45412</v>
      </c>
      <c r="X413" s="415" t="s">
        <v>1045</v>
      </c>
      <c r="Y413" s="143">
        <v>45414</v>
      </c>
      <c r="Z413" s="262">
        <v>45601</v>
      </c>
      <c r="AA413" s="171" t="s">
        <v>1134</v>
      </c>
      <c r="AB413" s="172" t="s">
        <v>1135</v>
      </c>
      <c r="AC413" s="172"/>
      <c r="AD413" s="211">
        <v>202000004330</v>
      </c>
      <c r="AE413" s="147" t="s">
        <v>523</v>
      </c>
      <c r="AF413" s="148" t="str">
        <f>TEXT(LEFT(Contrato5[[#This Row],[CONTRATO]],3),"0")</f>
        <v>318</v>
      </c>
      <c r="AG413" s="148" t="str">
        <f>IF(LEN(Contrato5[[#This Row],[Contrato2]])=3,Contrato5[[#This Row],[Contrato2]],TEXT(Contrato5[[#This Row],[Contrato2]],"000"))</f>
        <v>318</v>
      </c>
      <c r="AH413" s="149">
        <f ca="1">IFERROR(_xlfn.DAYS(Contrato5[[#This Row],[Fecha Proyectada liquidación]],TODAY())/30,"")</f>
        <v>-1.2333333333333334</v>
      </c>
      <c r="AI413" s="150">
        <f>+Contrato5[[#This Row],[FECHA TERMINACIÓN ]]+120</f>
        <v>45721</v>
      </c>
      <c r="AJ413" s="147"/>
      <c r="AK413" s="152" t="str">
        <f ca="1">IF(Contrato5[[#This Row],[FECHA TERMINACIÓN ]]&lt;TODAY(), "Terminado",IF(ISNUMBER(Contrato5[[#This Row],[Fecha Real de liquiidación ]]),"Liquidado",IF(Contrato5[[#This Row],[FECHA TERMINACIÓN ]]&gt;=TODAY(),"En ejecución","")))</f>
        <v>Terminado</v>
      </c>
      <c r="AL413" s="153" t="e">
        <f ca="1">SUMIF([2]!COMPROMISOS_2024[[#All],[consecutivo]],Contrato5[[#This Row],[RCP]],[2]!COMPROMISOS_2024[[#All],[Total pagado]])</f>
        <v>#REF!</v>
      </c>
      <c r="AM413" s="154">
        <f ca="1">IFERROR(Contrato5[[#This Row],[Pagos]]/Contrato5[[#This Row],[VALOR CONTRATO]],0)</f>
        <v>0</v>
      </c>
      <c r="AN413" s="198" t="e">
        <f ca="1">+Contrato5[[#This Row],[VALOR CONTRATO]]-Contrato5[[#This Row],[Pagos]]</f>
        <v>#REF!</v>
      </c>
      <c r="AO413" s="147" t="e" cm="1">
        <f t="array" aca="1" ref="AO413" ca="1">_xlfn.XLOOKUP(Contrato5[[#This Row],[DOCUMENTO ]],[2]!PERSONAL_ACTIVO_2024[[#All],[Documento identidad]],[2]!PERSONAL_ACTIVO_2024[[#All],[Mail ]],0,0)</f>
        <v>#NAME?</v>
      </c>
      <c r="AP413" s="147" t="e" cm="1">
        <f t="array" aca="1" ref="AP413" ca="1">_xlfn.XLOOKUP(Contrato5[[#This Row],[DOCUMENTO]],[2]!PERSONAL_ACTIVO_2024[[#All],[Documento identidad]],[2]!PERSONAL_ACTIVO_2024[[#All],[Mail ]],0,0)</f>
        <v>#NAME?</v>
      </c>
      <c r="AQ413" s="439" cm="1">
        <f t="array" aca="1" ref="AQ413" ca="1">IF(ISBLANK(Contrato5[[#This Row],[DEPENDENCIA ]]),0,IFERROR(_xlfn.XLOOKUP(Contrato5[[#This Row],[DEPENDENCIA ]],[2]!PERSONAL_ACTIVO_2024[[#All],[Dependencia]],[2]!PERSONAL_ACTIVO_2024[[#All],[Mail ]],0,0),0))</f>
        <v>0</v>
      </c>
    </row>
    <row r="414" spans="1:43" ht="34.5" customHeight="1">
      <c r="A414" s="125">
        <v>1241</v>
      </c>
      <c r="B414" s="124">
        <v>318</v>
      </c>
      <c r="C414" s="162" t="s">
        <v>1927</v>
      </c>
      <c r="D414" s="227" t="s">
        <v>556</v>
      </c>
      <c r="E414" s="128" t="s">
        <v>2148</v>
      </c>
      <c r="F414" s="163" t="s">
        <v>1376</v>
      </c>
      <c r="G414" s="190" t="s">
        <v>1133</v>
      </c>
      <c r="H414" s="447">
        <v>1214728340</v>
      </c>
      <c r="I414" s="455">
        <v>4171510</v>
      </c>
      <c r="J414" s="456">
        <v>7647768</v>
      </c>
      <c r="K414" s="147"/>
      <c r="L414" s="438" t="s">
        <v>2595</v>
      </c>
      <c r="M414" s="194" t="s">
        <v>559</v>
      </c>
      <c r="N414" s="177" t="e" cm="1">
        <f t="array" aca="1" ref="N414" ca="1">_xlfn.XLOOKUP(Contrato5[[#This Row],[SUPERVISOR TITULAR]],[2]!PERSONAL_ACTIVO_2024[[#All],[Nombre completo]],[2]!PERSONAL_ACTIVO_2024[[#All],[Documento identidad]],"",0)</f>
        <v>#NAME?</v>
      </c>
      <c r="O414" s="194" t="s">
        <v>560</v>
      </c>
      <c r="P414" s="196" t="e" cm="1">
        <f t="array" aca="1" ref="P414" ca="1">_xlfn.XLOOKUP(Contrato5[[#This Row],[SUPERVISOR SUPLENTE ]],[2]!PERSONAL_ACTIVO_2024[[#All],[Nombre completo]],[2]!PERSONAL_ACTIVO_2024[[#All],[Documento identidad]],"",0)</f>
        <v>#NAME?</v>
      </c>
      <c r="Q414" s="208">
        <v>1073</v>
      </c>
      <c r="R414" s="137" t="e" cm="1">
        <f t="array" aca="1" ref="R414" ca="1">_xlfn.XLOOKUP(Contrato5[[#This Row],[CDP]],[2]!DISPONIBILIDADES_2024[[#All],[consecutivo]],[2]!DISPONIBILIDADES_2024[[#All],[fecha_aprobacion]],"",0)</f>
        <v>#NAME?</v>
      </c>
      <c r="S414" s="138" t="e">
        <f>SUMIF([2]!DISPONIBILIDADES_2024[[#All],[consecutivo]],Contrato5[[#This Row],[CDP]],[2]!DISPONIBILIDADES_2024[[#All],[valor_total_rubro]])</f>
        <v>#REF!</v>
      </c>
      <c r="T414" s="139" t="e" cm="1">
        <f t="array" aca="1" ref="T414" ca="1">_xlfn.XLOOKUP(Contrato5[[#This Row],[CONTRATO]]&amp;Contrato5[[#This Row],[CDP]],[2]!Corr_Contr_CDP[[#All],[CONTRATO-CDP]],[2]!Corr_Contr_CDP[[#All],[CRP]],_xlfn.XLOOKUP(Contrato5[[#This Row],[CDP]],[2]!COMPROMISOS_2024[[#All],[disponibilidad]],[2]!COMPROMISOS_2024[[#All],[consecutivo]],"",0),0)</f>
        <v>#NAME?</v>
      </c>
      <c r="U414" s="140" t="e" cm="1">
        <f t="array" aca="1" ref="U414" ca="1">+_xlfn.XLOOKUP(Contrato5[[#This Row],[RCP]],[2]!COMPROMISOS_2024[[#All],[consecutivo]],[2]!COMPROMISOS_2024[[#All],[fecha_aprobacion]],"",0)</f>
        <v>#NAME?</v>
      </c>
      <c r="V414" s="141" t="e">
        <f ca="1">SUMIF([2]!COMPROMISOS_2024[[#All],[consecutivo]],Contrato5[[#This Row],[RCP]],[2]!COMPROMISOS_2024[[#All],[valor_total]])</f>
        <v>#REF!</v>
      </c>
      <c r="W414" s="415">
        <v>45601</v>
      </c>
      <c r="X414" s="415" t="s">
        <v>1045</v>
      </c>
      <c r="Y414" s="143">
        <v>45601</v>
      </c>
      <c r="Z414" s="262">
        <v>45656</v>
      </c>
      <c r="AA414" s="171" t="s">
        <v>1134</v>
      </c>
      <c r="AB414" s="172" t="s">
        <v>2610</v>
      </c>
      <c r="AC414" s="172"/>
      <c r="AD414" s="211">
        <v>202000004330</v>
      </c>
      <c r="AE414" s="147" t="s">
        <v>523</v>
      </c>
      <c r="AF414" s="148" t="str">
        <f>TEXT(LEFT(Contrato5[[#This Row],[CONTRATO]],3),"0")</f>
        <v>318</v>
      </c>
      <c r="AG414" s="148" t="str">
        <f>IF(LEN(Contrato5[[#This Row],[Contrato2]])=3,Contrato5[[#This Row],[Contrato2]],TEXT(Contrato5[[#This Row],[Contrato2]],"000"))</f>
        <v>318</v>
      </c>
      <c r="AH414" s="149">
        <f ca="1">IFERROR(_xlfn.DAYS(Contrato5[[#This Row],[Fecha Proyectada liquidación]],TODAY())/30,"")</f>
        <v>0.6</v>
      </c>
      <c r="AI414" s="150">
        <f>+Contrato5[[#This Row],[FECHA TERMINACIÓN ]]+120</f>
        <v>45776</v>
      </c>
      <c r="AJ414" s="147"/>
      <c r="AK414" s="152" t="str">
        <f ca="1">IF(Contrato5[[#This Row],[FECHA TERMINACIÓN ]]&lt;TODAY(), "Terminado",IF(ISNUMBER(Contrato5[[#This Row],[Fecha Real de liquiidación ]]),"Liquidado",IF(Contrato5[[#This Row],[FECHA TERMINACIÓN ]]&gt;=TODAY(),"En ejecución","")))</f>
        <v>Terminado</v>
      </c>
      <c r="AL414" s="153" t="e">
        <f ca="1">SUMIF([2]!COMPROMISOS_2024[[#All],[consecutivo]],Contrato5[[#This Row],[RCP]],[2]!COMPROMISOS_2024[[#All],[Total pagado]])</f>
        <v>#REF!</v>
      </c>
      <c r="AM414" s="154">
        <f ca="1">IFERROR(Contrato5[[#This Row],[Pagos]]/Contrato5[[#This Row],[VALOR CONTRATO]],0)</f>
        <v>0</v>
      </c>
      <c r="AN414" s="198" t="e">
        <f ca="1">+Contrato5[[#This Row],[VALOR CONTRATO]]-Contrato5[[#This Row],[Pagos]]</f>
        <v>#REF!</v>
      </c>
      <c r="AO414" s="147" t="e" cm="1">
        <f t="array" aca="1" ref="AO414" ca="1">_xlfn.XLOOKUP(Contrato5[[#This Row],[DOCUMENTO ]],[2]!PERSONAL_ACTIVO_2024[[#All],[Documento identidad]],[2]!PERSONAL_ACTIVO_2024[[#All],[Mail ]],0,0)</f>
        <v>#NAME?</v>
      </c>
      <c r="AP414" s="147" t="e" cm="1">
        <f t="array" aca="1" ref="AP414" ca="1">_xlfn.XLOOKUP(Contrato5[[#This Row],[DOCUMENTO]],[2]!PERSONAL_ACTIVO_2024[[#All],[Documento identidad]],[2]!PERSONAL_ACTIVO_2024[[#All],[Mail ]],0,0)</f>
        <v>#NAME?</v>
      </c>
      <c r="AQ414" s="439" cm="1">
        <f t="array" aca="1" ref="AQ414" ca="1">IF(ISBLANK(Contrato5[[#This Row],[DEPENDENCIA ]]),0,IFERROR(_xlfn.XLOOKUP(Contrato5[[#This Row],[DEPENDENCIA ]],[2]!PERSONAL_ACTIVO_2024[[#All],[Dependencia]],[2]!PERSONAL_ACTIVO_2024[[#All],[Mail ]],0,0),0))</f>
        <v>0</v>
      </c>
    </row>
    <row r="415" spans="1:43" ht="34.5" customHeight="1">
      <c r="A415" s="125">
        <v>671</v>
      </c>
      <c r="B415" s="124">
        <v>319</v>
      </c>
      <c r="C415" s="162" t="s">
        <v>1822</v>
      </c>
      <c r="D415" s="227" t="s">
        <v>510</v>
      </c>
      <c r="E415" s="128" t="s">
        <v>94</v>
      </c>
      <c r="F415" s="163" t="s">
        <v>1376</v>
      </c>
      <c r="G415" s="190" t="s">
        <v>563</v>
      </c>
      <c r="H415" s="447">
        <v>3377434</v>
      </c>
      <c r="I415" s="455">
        <v>7690469</v>
      </c>
      <c r="J415" s="456">
        <v>71907081</v>
      </c>
      <c r="K415" s="131" t="s">
        <v>1050</v>
      </c>
      <c r="L415" s="438" t="s">
        <v>1094</v>
      </c>
      <c r="M415" s="194" t="s">
        <v>597</v>
      </c>
      <c r="N415" s="177" t="e" cm="1">
        <f t="array" aca="1" ref="N415" ca="1">_xlfn.XLOOKUP(Contrato5[[#This Row],[SUPERVISOR TITULAR]],[2]!PERSONAL_ACTIVO_2024[[#All],[Nombre completo]],[2]!PERSONAL_ACTIVO_2024[[#All],[Documento identidad]],"",0)</f>
        <v>#NAME?</v>
      </c>
      <c r="O415" s="194" t="s">
        <v>514</v>
      </c>
      <c r="P415" s="196" t="e" cm="1">
        <f t="array" aca="1" ref="P415" ca="1">_xlfn.XLOOKUP(Contrato5[[#This Row],[SUPERVISOR SUPLENTE ]],[2]!PERSONAL_ACTIVO_2024[[#All],[Nombre completo]],[2]!PERSONAL_ACTIVO_2024[[#All],[Documento identidad]],"",0)</f>
        <v>#NAME?</v>
      </c>
      <c r="Q415" s="208">
        <v>440</v>
      </c>
      <c r="R415" s="137" t="e" cm="1">
        <f t="array" aca="1" ref="R415" ca="1">_xlfn.XLOOKUP(Contrato5[[#This Row],[CDP]],[2]!DISPONIBILIDADES_2024[[#All],[consecutivo]],[2]!DISPONIBILIDADES_2024[[#All],[fecha_aprobacion]],"",0)</f>
        <v>#NAME?</v>
      </c>
      <c r="S415" s="138" t="e">
        <f>SUMIF([2]!DISPONIBILIDADES_2024[[#All],[consecutivo]],Contrato5[[#This Row],[CDP]],[2]!DISPONIBILIDADES_2024[[#All],[valor_total_rubro]])</f>
        <v>#REF!</v>
      </c>
      <c r="T415" s="139" t="e" cm="1">
        <f t="array" aca="1" ref="T415" ca="1">_xlfn.XLOOKUP(Contrato5[[#This Row],[CONTRATO]]&amp;Contrato5[[#This Row],[CDP]],[2]!Corr_Contr_CDP[[#All],[CONTRATO-CDP]],[2]!Corr_Contr_CDP[[#All],[CRP]],_xlfn.XLOOKUP(Contrato5[[#This Row],[CDP]],[2]!COMPROMISOS_2024[[#All],[disponibilidad]],[2]!COMPROMISOS_2024[[#All],[consecutivo]],"",0),0)</f>
        <v>#NAME?</v>
      </c>
      <c r="U415" s="140" t="e" cm="1">
        <f t="array" aca="1" ref="U415" ca="1">+_xlfn.XLOOKUP(Contrato5[[#This Row],[RCP]],[2]!COMPROMISOS_2024[[#All],[consecutivo]],[2]!COMPROMISOS_2024[[#All],[fecha_aprobacion]],"",0)</f>
        <v>#NAME?</v>
      </c>
      <c r="V415" s="141" t="e">
        <f ca="1">SUMIF([2]!COMPROMISOS_2024[[#All],[consecutivo]],Contrato5[[#This Row],[RCP]],[2]!COMPROMISOS_2024[[#All],[valor_total]])</f>
        <v>#REF!</v>
      </c>
      <c r="W415" s="415">
        <v>45408</v>
      </c>
      <c r="X415" s="415" t="s">
        <v>1045</v>
      </c>
      <c r="Y415" s="143">
        <v>45411</v>
      </c>
      <c r="Z415" s="262">
        <v>45656</v>
      </c>
      <c r="AA415" s="183" t="s">
        <v>1136</v>
      </c>
      <c r="AB415" s="172" t="s">
        <v>1137</v>
      </c>
      <c r="AC415" s="172"/>
      <c r="AD415" s="211">
        <v>202000004248</v>
      </c>
      <c r="AE415" s="147" t="s">
        <v>523</v>
      </c>
      <c r="AF415" s="148" t="str">
        <f>TEXT(LEFT(Contrato5[[#This Row],[CONTRATO]],3),"0")</f>
        <v>319</v>
      </c>
      <c r="AG415" s="148" t="str">
        <f>IF(LEN(Contrato5[[#This Row],[Contrato2]])=3,Contrato5[[#This Row],[Contrato2]],TEXT(Contrato5[[#This Row],[Contrato2]],"000"))</f>
        <v>319</v>
      </c>
      <c r="AH415" s="149">
        <f ca="1">IFERROR(_xlfn.DAYS(Contrato5[[#This Row],[Fecha Proyectada liquidación]],TODAY())/30,"")</f>
        <v>0.6</v>
      </c>
      <c r="AI415" s="150">
        <f>+Contrato5[[#This Row],[FECHA TERMINACIÓN ]]+120</f>
        <v>45776</v>
      </c>
      <c r="AJ415" s="147"/>
      <c r="AK415" s="152" t="str">
        <f ca="1">IF(Contrato5[[#This Row],[FECHA TERMINACIÓN ]]&lt;TODAY(), "Terminado",IF(ISNUMBER(Contrato5[[#This Row],[Fecha Real de liquiidación ]]),"Liquidado",IF(Contrato5[[#This Row],[FECHA TERMINACIÓN ]]&gt;=TODAY(),"En ejecución","")))</f>
        <v>Terminado</v>
      </c>
      <c r="AL415" s="153" t="e">
        <f ca="1">SUMIF([2]!COMPROMISOS_2024[[#All],[consecutivo]],Contrato5[[#This Row],[RCP]],[2]!COMPROMISOS_2024[[#All],[Total pagado]])</f>
        <v>#REF!</v>
      </c>
      <c r="AM415" s="154">
        <f ca="1">IFERROR(Contrato5[[#This Row],[Pagos]]/Contrato5[[#This Row],[VALOR CONTRATO]],0)</f>
        <v>0</v>
      </c>
      <c r="AN415" s="198" t="e">
        <f ca="1">+Contrato5[[#This Row],[VALOR CONTRATO]]-Contrato5[[#This Row],[Pagos]]</f>
        <v>#REF!</v>
      </c>
      <c r="AO415" s="147" t="e" cm="1">
        <f t="array" aca="1" ref="AO415" ca="1">_xlfn.XLOOKUP(Contrato5[[#This Row],[DOCUMENTO ]],[2]!PERSONAL_ACTIVO_2024[[#All],[Documento identidad]],[2]!PERSONAL_ACTIVO_2024[[#All],[Mail ]],0,0)</f>
        <v>#NAME?</v>
      </c>
      <c r="AP415" s="147" t="e" cm="1">
        <f t="array" aca="1" ref="AP415" ca="1">_xlfn.XLOOKUP(Contrato5[[#This Row],[DOCUMENTO]],[2]!PERSONAL_ACTIVO_2024[[#All],[Documento identidad]],[2]!PERSONAL_ACTIVO_2024[[#All],[Mail ]],0,0)</f>
        <v>#NAME?</v>
      </c>
      <c r="AQ415" s="439" cm="1">
        <f t="array" aca="1" ref="AQ415" ca="1">IF(ISBLANK(Contrato5[[#This Row],[DEPENDENCIA ]]),0,IFERROR(_xlfn.XLOOKUP(Contrato5[[#This Row],[DEPENDENCIA ]],[2]!PERSONAL_ACTIVO_2024[[#All],[Dependencia]],[2]!PERSONAL_ACTIVO_2024[[#All],[Mail ]],0,0),0))</f>
        <v>0</v>
      </c>
    </row>
    <row r="416" spans="1:43" ht="34.5" customHeight="1">
      <c r="A416" s="125">
        <v>664</v>
      </c>
      <c r="B416" s="124">
        <v>320</v>
      </c>
      <c r="C416" s="162" t="s">
        <v>346</v>
      </c>
      <c r="D416" s="227" t="s">
        <v>515</v>
      </c>
      <c r="E416" s="128" t="s">
        <v>94</v>
      </c>
      <c r="F416" s="163" t="s">
        <v>1376</v>
      </c>
      <c r="G416" s="190" t="s">
        <v>1138</v>
      </c>
      <c r="H416" s="447">
        <v>1128276230</v>
      </c>
      <c r="I416" s="455">
        <v>7690469</v>
      </c>
      <c r="J416" s="456">
        <v>63830893</v>
      </c>
      <c r="K416" s="147" t="s">
        <v>42</v>
      </c>
      <c r="L416" s="438" t="s">
        <v>608</v>
      </c>
      <c r="M416" s="194" t="s">
        <v>549</v>
      </c>
      <c r="N416" s="177" t="e" cm="1">
        <f t="array" aca="1" ref="N416" ca="1">_xlfn.XLOOKUP(Contrato5[[#This Row],[SUPERVISOR TITULAR]],[2]!PERSONAL_ACTIVO_2024[[#All],[Nombre completo]],[2]!PERSONAL_ACTIVO_2024[[#All],[Documento identidad]],"",0)</f>
        <v>#NAME?</v>
      </c>
      <c r="O416" s="194" t="s">
        <v>550</v>
      </c>
      <c r="P416" s="196" t="e" cm="1">
        <f t="array" aca="1" ref="P416" ca="1">_xlfn.XLOOKUP(Contrato5[[#This Row],[SUPERVISOR SUPLENTE ]],[2]!PERSONAL_ACTIVO_2024[[#All],[Nombre completo]],[2]!PERSONAL_ACTIVO_2024[[#All],[Documento identidad]],"",0)</f>
        <v>#NAME?</v>
      </c>
      <c r="Q416" s="208">
        <v>432</v>
      </c>
      <c r="R416" s="137" t="e" cm="1">
        <f t="array" aca="1" ref="R416" ca="1">_xlfn.XLOOKUP(Contrato5[[#This Row],[CDP]],[2]!DISPONIBILIDADES_2024[[#All],[consecutivo]],[2]!DISPONIBILIDADES_2024[[#All],[fecha_aprobacion]],"",0)</f>
        <v>#NAME?</v>
      </c>
      <c r="S416" s="138" t="e">
        <f>SUMIF([2]!DISPONIBILIDADES_2024[[#All],[consecutivo]],Contrato5[[#This Row],[CDP]],[2]!DISPONIBILIDADES_2024[[#All],[valor_total_rubro]])</f>
        <v>#REF!</v>
      </c>
      <c r="T416" s="139" t="e" cm="1">
        <f t="array" aca="1" ref="T416" ca="1">_xlfn.XLOOKUP(Contrato5[[#This Row],[CONTRATO]]&amp;Contrato5[[#This Row],[CDP]],[2]!Corr_Contr_CDP[[#All],[CONTRATO-CDP]],[2]!Corr_Contr_CDP[[#All],[CRP]],_xlfn.XLOOKUP(Contrato5[[#This Row],[CDP]],[2]!COMPROMISOS_2024[[#All],[disponibilidad]],[2]!COMPROMISOS_2024[[#All],[consecutivo]],"",0),0)</f>
        <v>#NAME?</v>
      </c>
      <c r="U416" s="140" t="e" cm="1">
        <f t="array" aca="1" ref="U416" ca="1">+_xlfn.XLOOKUP(Contrato5[[#This Row],[RCP]],[2]!COMPROMISOS_2024[[#All],[consecutivo]],[2]!COMPROMISOS_2024[[#All],[fecha_aprobacion]],"",0)</f>
        <v>#NAME?</v>
      </c>
      <c r="V416" s="141" t="e">
        <f ca="1">SUMIF([2]!COMPROMISOS_2024[[#All],[consecutivo]],Contrato5[[#This Row],[RCP]],[2]!COMPROMISOS_2024[[#All],[valor_total]])</f>
        <v>#REF!</v>
      </c>
      <c r="W416" s="415">
        <v>45405</v>
      </c>
      <c r="X416" s="415" t="s">
        <v>1045</v>
      </c>
      <c r="Y416" s="143">
        <v>45406</v>
      </c>
      <c r="Z416" s="262">
        <v>45656</v>
      </c>
      <c r="AA416" s="183" t="s">
        <v>1139</v>
      </c>
      <c r="AB416" s="172" t="s">
        <v>1140</v>
      </c>
      <c r="AC416" s="172"/>
      <c r="AD416" s="211">
        <v>202000004249</v>
      </c>
      <c r="AE416" s="147" t="s">
        <v>523</v>
      </c>
      <c r="AF416" s="148" t="str">
        <f>TEXT(LEFT(Contrato5[[#This Row],[CONTRATO]],3),"0")</f>
        <v>320</v>
      </c>
      <c r="AG416" s="148" t="str">
        <f>IF(LEN(Contrato5[[#This Row],[Contrato2]])=3,Contrato5[[#This Row],[Contrato2]],TEXT(Contrato5[[#This Row],[Contrato2]],"000"))</f>
        <v>320</v>
      </c>
      <c r="AH416" s="149">
        <f ca="1">IFERROR(_xlfn.DAYS(Contrato5[[#This Row],[Fecha Proyectada liquidación]],TODAY())/30,"")</f>
        <v>0.6</v>
      </c>
      <c r="AI416" s="150">
        <f>+Contrato5[[#This Row],[FECHA TERMINACIÓN ]]+120</f>
        <v>45776</v>
      </c>
      <c r="AJ416" s="147"/>
      <c r="AK416" s="152" t="str">
        <f ca="1">IF(Contrato5[[#This Row],[FECHA TERMINACIÓN ]]&lt;TODAY(), "Terminado",IF(ISNUMBER(Contrato5[[#This Row],[Fecha Real de liquiidación ]]),"Liquidado",IF(Contrato5[[#This Row],[FECHA TERMINACIÓN ]]&gt;=TODAY(),"En ejecución","")))</f>
        <v>Terminado</v>
      </c>
      <c r="AL416" s="153" t="e">
        <f ca="1">SUMIF([2]!COMPROMISOS_2024[[#All],[consecutivo]],Contrato5[[#This Row],[RCP]],[2]!COMPROMISOS_2024[[#All],[Total pagado]])</f>
        <v>#REF!</v>
      </c>
      <c r="AM416" s="154">
        <f ca="1">IFERROR(Contrato5[[#This Row],[Pagos]]/Contrato5[[#This Row],[VALOR CONTRATO]],0)</f>
        <v>0</v>
      </c>
      <c r="AN416" s="198" t="e">
        <f ca="1">+Contrato5[[#This Row],[VALOR CONTRATO]]-Contrato5[[#This Row],[Pagos]]</f>
        <v>#REF!</v>
      </c>
      <c r="AO416" s="147" t="e" cm="1">
        <f t="array" aca="1" ref="AO416" ca="1">_xlfn.XLOOKUP(Contrato5[[#This Row],[DOCUMENTO ]],[2]!PERSONAL_ACTIVO_2024[[#All],[Documento identidad]],[2]!PERSONAL_ACTIVO_2024[[#All],[Mail ]],0,0)</f>
        <v>#NAME?</v>
      </c>
      <c r="AP416" s="147" t="e" cm="1">
        <f t="array" aca="1" ref="AP416" ca="1">_xlfn.XLOOKUP(Contrato5[[#This Row],[DOCUMENTO]],[2]!PERSONAL_ACTIVO_2024[[#All],[Documento identidad]],[2]!PERSONAL_ACTIVO_2024[[#All],[Mail ]],0,0)</f>
        <v>#NAME?</v>
      </c>
      <c r="AQ416" s="439" cm="1">
        <f t="array" aca="1" ref="AQ416" ca="1">IF(ISBLANK(Contrato5[[#This Row],[DEPENDENCIA ]]),0,IFERROR(_xlfn.XLOOKUP(Contrato5[[#This Row],[DEPENDENCIA ]],[2]!PERSONAL_ACTIVO_2024[[#All],[Dependencia]],[2]!PERSONAL_ACTIVO_2024[[#All],[Mail ]],0,0),0))</f>
        <v>0</v>
      </c>
    </row>
    <row r="417" spans="1:43" ht="34.5" customHeight="1">
      <c r="A417" s="125">
        <v>663</v>
      </c>
      <c r="B417" s="124">
        <v>321</v>
      </c>
      <c r="C417" s="162" t="s">
        <v>345</v>
      </c>
      <c r="D417" s="227" t="s">
        <v>515</v>
      </c>
      <c r="E417" s="128" t="s">
        <v>94</v>
      </c>
      <c r="F417" s="163" t="s">
        <v>1376</v>
      </c>
      <c r="G417" s="190" t="s">
        <v>1141</v>
      </c>
      <c r="H417" s="447">
        <v>1017208914</v>
      </c>
      <c r="I417" s="455">
        <v>7690469</v>
      </c>
      <c r="J417" s="456">
        <v>63830893</v>
      </c>
      <c r="K417" s="147" t="s">
        <v>42</v>
      </c>
      <c r="L417" s="438" t="s">
        <v>608</v>
      </c>
      <c r="M417" s="194" t="s">
        <v>544</v>
      </c>
      <c r="N417" s="177" t="e" cm="1">
        <f t="array" aca="1" ref="N417" ca="1">_xlfn.XLOOKUP(Contrato5[[#This Row],[SUPERVISOR TITULAR]],[2]!PERSONAL_ACTIVO_2024[[#All],[Nombre completo]],[2]!PERSONAL_ACTIVO_2024[[#All],[Documento identidad]],"",0)</f>
        <v>#NAME?</v>
      </c>
      <c r="O417" s="194" t="s">
        <v>545</v>
      </c>
      <c r="P417" s="196" t="e" cm="1">
        <f t="array" aca="1" ref="P417" ca="1">_xlfn.XLOOKUP(Contrato5[[#This Row],[SUPERVISOR SUPLENTE ]],[2]!PERSONAL_ACTIVO_2024[[#All],[Nombre completo]],[2]!PERSONAL_ACTIVO_2024[[#All],[Documento identidad]],"",0)</f>
        <v>#NAME?</v>
      </c>
      <c r="Q417" s="208">
        <v>429</v>
      </c>
      <c r="R417" s="137" t="e" cm="1">
        <f t="array" aca="1" ref="R417" ca="1">_xlfn.XLOOKUP(Contrato5[[#This Row],[CDP]],[2]!DISPONIBILIDADES_2024[[#All],[consecutivo]],[2]!DISPONIBILIDADES_2024[[#All],[fecha_aprobacion]],"",0)</f>
        <v>#NAME?</v>
      </c>
      <c r="S417" s="138" t="e">
        <f>SUMIF([2]!DISPONIBILIDADES_2024[[#All],[consecutivo]],Contrato5[[#This Row],[CDP]],[2]!DISPONIBILIDADES_2024[[#All],[valor_total_rubro]])</f>
        <v>#REF!</v>
      </c>
      <c r="T417" s="139" t="e" cm="1">
        <f t="array" aca="1" ref="T417" ca="1">_xlfn.XLOOKUP(Contrato5[[#This Row],[CONTRATO]]&amp;Contrato5[[#This Row],[CDP]],[2]!Corr_Contr_CDP[[#All],[CONTRATO-CDP]],[2]!Corr_Contr_CDP[[#All],[CRP]],_xlfn.XLOOKUP(Contrato5[[#This Row],[CDP]],[2]!COMPROMISOS_2024[[#All],[disponibilidad]],[2]!COMPROMISOS_2024[[#All],[consecutivo]],"",0),0)</f>
        <v>#NAME?</v>
      </c>
      <c r="U417" s="140" t="e" cm="1">
        <f t="array" aca="1" ref="U417" ca="1">+_xlfn.XLOOKUP(Contrato5[[#This Row],[RCP]],[2]!COMPROMISOS_2024[[#All],[consecutivo]],[2]!COMPROMISOS_2024[[#All],[fecha_aprobacion]],"",0)</f>
        <v>#NAME?</v>
      </c>
      <c r="V417" s="141" t="e">
        <f ca="1">SUMIF([2]!COMPROMISOS_2024[[#All],[consecutivo]],Contrato5[[#This Row],[RCP]],[2]!COMPROMISOS_2024[[#All],[valor_total]])</f>
        <v>#REF!</v>
      </c>
      <c r="W417" s="415">
        <v>45405</v>
      </c>
      <c r="X417" s="415" t="s">
        <v>1045</v>
      </c>
      <c r="Y417" s="143">
        <v>45405</v>
      </c>
      <c r="Z417" s="262">
        <v>45656</v>
      </c>
      <c r="AA417" s="183" t="s">
        <v>1142</v>
      </c>
      <c r="AB417" s="172" t="s">
        <v>1140</v>
      </c>
      <c r="AC417" s="172"/>
      <c r="AD417" s="211">
        <v>202000004250</v>
      </c>
      <c r="AE417" s="147" t="s">
        <v>523</v>
      </c>
      <c r="AF417" s="148" t="str">
        <f>TEXT(LEFT(Contrato5[[#This Row],[CONTRATO]],3),"0")</f>
        <v>321</v>
      </c>
      <c r="AG417" s="148" t="str">
        <f>IF(LEN(Contrato5[[#This Row],[Contrato2]])=3,Contrato5[[#This Row],[Contrato2]],TEXT(Contrato5[[#This Row],[Contrato2]],"000"))</f>
        <v>321</v>
      </c>
      <c r="AH417" s="149">
        <f ca="1">IFERROR(_xlfn.DAYS(Contrato5[[#This Row],[Fecha Proyectada liquidación]],TODAY())/30,"")</f>
        <v>0.6</v>
      </c>
      <c r="AI417" s="150">
        <f>+Contrato5[[#This Row],[FECHA TERMINACIÓN ]]+120</f>
        <v>45776</v>
      </c>
      <c r="AJ417" s="147"/>
      <c r="AK417" s="152" t="str">
        <f ca="1">IF(Contrato5[[#This Row],[FECHA TERMINACIÓN ]]&lt;TODAY(), "Terminado",IF(ISNUMBER(Contrato5[[#This Row],[Fecha Real de liquiidación ]]),"Liquidado",IF(Contrato5[[#This Row],[FECHA TERMINACIÓN ]]&gt;=TODAY(),"En ejecución","")))</f>
        <v>Terminado</v>
      </c>
      <c r="AL417" s="153" t="e">
        <f ca="1">SUMIF([2]!COMPROMISOS_2024[[#All],[consecutivo]],Contrato5[[#This Row],[RCP]],[2]!COMPROMISOS_2024[[#All],[Total pagado]])</f>
        <v>#REF!</v>
      </c>
      <c r="AM417" s="154">
        <f ca="1">IFERROR(Contrato5[[#This Row],[Pagos]]/Contrato5[[#This Row],[VALOR CONTRATO]],0)</f>
        <v>0</v>
      </c>
      <c r="AN417" s="198" t="e">
        <f ca="1">+Contrato5[[#This Row],[VALOR CONTRATO]]-Contrato5[[#This Row],[Pagos]]</f>
        <v>#REF!</v>
      </c>
      <c r="AO417" s="147" t="e" cm="1">
        <f t="array" aca="1" ref="AO417" ca="1">_xlfn.XLOOKUP(Contrato5[[#This Row],[DOCUMENTO ]],[2]!PERSONAL_ACTIVO_2024[[#All],[Documento identidad]],[2]!PERSONAL_ACTIVO_2024[[#All],[Mail ]],0,0)</f>
        <v>#NAME?</v>
      </c>
      <c r="AP417" s="147" t="e" cm="1">
        <f t="array" aca="1" ref="AP417" ca="1">_xlfn.XLOOKUP(Contrato5[[#This Row],[DOCUMENTO]],[2]!PERSONAL_ACTIVO_2024[[#All],[Documento identidad]],[2]!PERSONAL_ACTIVO_2024[[#All],[Mail ]],0,0)</f>
        <v>#NAME?</v>
      </c>
      <c r="AQ417" s="439" cm="1">
        <f t="array" aca="1" ref="AQ417" ca="1">IF(ISBLANK(Contrato5[[#This Row],[DEPENDENCIA ]]),0,IFERROR(_xlfn.XLOOKUP(Contrato5[[#This Row],[DEPENDENCIA ]],[2]!PERSONAL_ACTIVO_2024[[#All],[Dependencia]],[2]!PERSONAL_ACTIVO_2024[[#All],[Mail ]],0,0),0))</f>
        <v>0</v>
      </c>
    </row>
    <row r="418" spans="1:43" ht="34.5" customHeight="1">
      <c r="A418" s="125">
        <v>672</v>
      </c>
      <c r="B418" s="124">
        <v>322</v>
      </c>
      <c r="C418" s="162" t="s">
        <v>1823</v>
      </c>
      <c r="D418" s="227" t="s">
        <v>510</v>
      </c>
      <c r="E418" s="128" t="s">
        <v>94</v>
      </c>
      <c r="F418" s="163" t="s">
        <v>1376</v>
      </c>
      <c r="G418" s="190" t="s">
        <v>1143</v>
      </c>
      <c r="H418" s="447">
        <v>98564999</v>
      </c>
      <c r="I418" s="455">
        <v>9346824</v>
      </c>
      <c r="J418" s="456">
        <v>77267078</v>
      </c>
      <c r="K418" s="131" t="s">
        <v>42</v>
      </c>
      <c r="L418" s="438" t="s">
        <v>1094</v>
      </c>
      <c r="M418" s="194" t="s">
        <v>514</v>
      </c>
      <c r="N418" s="177" t="e" cm="1">
        <f t="array" aca="1" ref="N418" ca="1">_xlfn.XLOOKUP(Contrato5[[#This Row],[SUPERVISOR TITULAR]],[2]!PERSONAL_ACTIVO_2024[[#All],[Nombre completo]],[2]!PERSONAL_ACTIVO_2024[[#All],[Documento identidad]],"",0)</f>
        <v>#NAME?</v>
      </c>
      <c r="O418" s="194" t="s">
        <v>597</v>
      </c>
      <c r="P418" s="196" t="e" cm="1">
        <f t="array" aca="1" ref="P418" ca="1">_xlfn.XLOOKUP(Contrato5[[#This Row],[SUPERVISOR SUPLENTE ]],[2]!PERSONAL_ACTIVO_2024[[#All],[Nombre completo]],[2]!PERSONAL_ACTIVO_2024[[#All],[Documento identidad]],"",0)</f>
        <v>#NAME?</v>
      </c>
      <c r="Q418" s="208">
        <v>441</v>
      </c>
      <c r="R418" s="137" t="e" cm="1">
        <f t="array" aca="1" ref="R418" ca="1">_xlfn.XLOOKUP(Contrato5[[#This Row],[CDP]],[2]!DISPONIBILIDADES_2024[[#All],[consecutivo]],[2]!DISPONIBILIDADES_2024[[#All],[fecha_aprobacion]],"",0)</f>
        <v>#NAME?</v>
      </c>
      <c r="S418" s="138" t="e">
        <f>SUMIF([2]!DISPONIBILIDADES_2024[[#All],[consecutivo]],Contrato5[[#This Row],[CDP]],[2]!DISPONIBILIDADES_2024[[#All],[valor_total_rubro]])</f>
        <v>#REF!</v>
      </c>
      <c r="T418" s="139" t="e" cm="1">
        <f t="array" aca="1" ref="T418" ca="1">_xlfn.XLOOKUP(Contrato5[[#This Row],[CONTRATO]]&amp;Contrato5[[#This Row],[CDP]],[2]!Corr_Contr_CDP[[#All],[CONTRATO-CDP]],[2]!Corr_Contr_CDP[[#All],[CRP]],_xlfn.XLOOKUP(Contrato5[[#This Row],[CDP]],[2]!COMPROMISOS_2024[[#All],[disponibilidad]],[2]!COMPROMISOS_2024[[#All],[consecutivo]],"",0),0)</f>
        <v>#NAME?</v>
      </c>
      <c r="U418" s="140" t="e" cm="1">
        <f t="array" aca="1" ref="U418" ca="1">+_xlfn.XLOOKUP(Contrato5[[#This Row],[RCP]],[2]!COMPROMISOS_2024[[#All],[consecutivo]],[2]!COMPROMISOS_2024[[#All],[fecha_aprobacion]],"",0)</f>
        <v>#NAME?</v>
      </c>
      <c r="V418" s="141" t="e">
        <f ca="1">SUMIF([2]!COMPROMISOS_2024[[#All],[consecutivo]],Contrato5[[#This Row],[RCP]],[2]!COMPROMISOS_2024[[#All],[valor_total]])</f>
        <v>#REF!</v>
      </c>
      <c r="W418" s="415">
        <v>45408</v>
      </c>
      <c r="X418" s="415" t="s">
        <v>1045</v>
      </c>
      <c r="Y418" s="143">
        <v>45411</v>
      </c>
      <c r="Z418" s="262">
        <v>45656</v>
      </c>
      <c r="AA418" s="183" t="s">
        <v>1144</v>
      </c>
      <c r="AB418" s="172" t="s">
        <v>1145</v>
      </c>
      <c r="AC418" s="172"/>
      <c r="AD418" s="211">
        <v>202000004251</v>
      </c>
      <c r="AE418" s="147" t="s">
        <v>523</v>
      </c>
      <c r="AF418" s="148" t="str">
        <f>TEXT(LEFT(Contrato5[[#This Row],[CONTRATO]],3),"0")</f>
        <v>322</v>
      </c>
      <c r="AG418" s="148" t="str">
        <f>IF(LEN(Contrato5[[#This Row],[Contrato2]])=3,Contrato5[[#This Row],[Contrato2]],TEXT(Contrato5[[#This Row],[Contrato2]],"000"))</f>
        <v>322</v>
      </c>
      <c r="AH418" s="149">
        <f ca="1">IFERROR(_xlfn.DAYS(Contrato5[[#This Row],[Fecha Proyectada liquidación]],TODAY())/30,"")</f>
        <v>0.6</v>
      </c>
      <c r="AI418" s="150">
        <f>+Contrato5[[#This Row],[FECHA TERMINACIÓN ]]+120</f>
        <v>45776</v>
      </c>
      <c r="AJ418" s="147"/>
      <c r="AK418" s="152" t="str">
        <f ca="1">IF(Contrato5[[#This Row],[FECHA TERMINACIÓN ]]&lt;TODAY(), "Terminado",IF(ISNUMBER(Contrato5[[#This Row],[Fecha Real de liquiidación ]]),"Liquidado",IF(Contrato5[[#This Row],[FECHA TERMINACIÓN ]]&gt;=TODAY(),"En ejecución","")))</f>
        <v>Terminado</v>
      </c>
      <c r="AL418" s="153" t="e">
        <f ca="1">SUMIF([2]!COMPROMISOS_2024[[#All],[consecutivo]],Contrato5[[#This Row],[RCP]],[2]!COMPROMISOS_2024[[#All],[Total pagado]])</f>
        <v>#REF!</v>
      </c>
      <c r="AM418" s="154">
        <f ca="1">IFERROR(Contrato5[[#This Row],[Pagos]]/Contrato5[[#This Row],[VALOR CONTRATO]],0)</f>
        <v>0</v>
      </c>
      <c r="AN418" s="198" t="e">
        <f ca="1">+Contrato5[[#This Row],[VALOR CONTRATO]]-Contrato5[[#This Row],[Pagos]]</f>
        <v>#REF!</v>
      </c>
      <c r="AO418" s="147" t="e" cm="1">
        <f t="array" aca="1" ref="AO418" ca="1">_xlfn.XLOOKUP(Contrato5[[#This Row],[DOCUMENTO ]],[2]!PERSONAL_ACTIVO_2024[[#All],[Documento identidad]],[2]!PERSONAL_ACTIVO_2024[[#All],[Mail ]],0,0)</f>
        <v>#NAME?</v>
      </c>
      <c r="AP418" s="147" t="e" cm="1">
        <f t="array" aca="1" ref="AP418" ca="1">_xlfn.XLOOKUP(Contrato5[[#This Row],[DOCUMENTO]],[2]!PERSONAL_ACTIVO_2024[[#All],[Documento identidad]],[2]!PERSONAL_ACTIVO_2024[[#All],[Mail ]],0,0)</f>
        <v>#NAME?</v>
      </c>
      <c r="AQ418" s="439" cm="1">
        <f t="array" aca="1" ref="AQ418" ca="1">IF(ISBLANK(Contrato5[[#This Row],[DEPENDENCIA ]]),0,IFERROR(_xlfn.XLOOKUP(Contrato5[[#This Row],[DEPENDENCIA ]],[2]!PERSONAL_ACTIVO_2024[[#All],[Dependencia]],[2]!PERSONAL_ACTIVO_2024[[#All],[Mail ]],0,0),0))</f>
        <v>0</v>
      </c>
    </row>
    <row r="419" spans="1:43" ht="34.5" customHeight="1">
      <c r="A419" s="125">
        <v>340</v>
      </c>
      <c r="B419" s="124">
        <v>323</v>
      </c>
      <c r="C419" s="162" t="s">
        <v>1817</v>
      </c>
      <c r="D419" s="227" t="s">
        <v>510</v>
      </c>
      <c r="E419" s="128" t="s">
        <v>94</v>
      </c>
      <c r="F419" s="163" t="s">
        <v>1376</v>
      </c>
      <c r="G419" s="190" t="s">
        <v>1067</v>
      </c>
      <c r="H419" s="447">
        <v>1017222456</v>
      </c>
      <c r="I419" s="455">
        <v>6879081</v>
      </c>
      <c r="J419" s="456">
        <v>62032648</v>
      </c>
      <c r="K419" s="131" t="s">
        <v>1146</v>
      </c>
      <c r="L419" s="438" t="s">
        <v>989</v>
      </c>
      <c r="M419" s="194" t="s">
        <v>1074</v>
      </c>
      <c r="N419" s="177" t="e" cm="1">
        <f t="array" aca="1" ref="N419" ca="1">_xlfn.XLOOKUP(Contrato5[[#This Row],[SUPERVISOR TITULAR]],[2]!PERSONAL_ACTIVO_2024[[#All],[Nombre completo]],[2]!PERSONAL_ACTIVO_2024[[#All],[Documento identidad]],"",0)</f>
        <v>#NAME?</v>
      </c>
      <c r="O419" s="194" t="s">
        <v>597</v>
      </c>
      <c r="P419" s="196" t="e" cm="1">
        <f t="array" aca="1" ref="P419" ca="1">_xlfn.XLOOKUP(Contrato5[[#This Row],[SUPERVISOR SUPLENTE ]],[2]!PERSONAL_ACTIVO_2024[[#All],[Nombre completo]],[2]!PERSONAL_ACTIVO_2024[[#All],[Documento identidad]],"",0)</f>
        <v>#NAME?</v>
      </c>
      <c r="Q419" s="208">
        <v>439</v>
      </c>
      <c r="R419" s="137" t="e" cm="1">
        <f t="array" aca="1" ref="R419" ca="1">_xlfn.XLOOKUP(Contrato5[[#This Row],[CDP]],[2]!DISPONIBILIDADES_2024[[#All],[consecutivo]],[2]!DISPONIBILIDADES_2024[[#All],[fecha_aprobacion]],"",0)</f>
        <v>#NAME?</v>
      </c>
      <c r="S419" s="138" t="e">
        <f>SUMIF([2]!DISPONIBILIDADES_2024[[#All],[consecutivo]],Contrato5[[#This Row],[CDP]],[2]!DISPONIBILIDADES_2024[[#All],[valor_total_rubro]])</f>
        <v>#REF!</v>
      </c>
      <c r="T419" s="139" t="e" cm="1">
        <f t="array" aca="1" ref="T419" ca="1">_xlfn.XLOOKUP(Contrato5[[#This Row],[CONTRATO]]&amp;Contrato5[[#This Row],[CDP]],[2]!Corr_Contr_CDP[[#All],[CONTRATO-CDP]],[2]!Corr_Contr_CDP[[#All],[CRP]],_xlfn.XLOOKUP(Contrato5[[#This Row],[CDP]],[2]!COMPROMISOS_2024[[#All],[disponibilidad]],[2]!COMPROMISOS_2024[[#All],[consecutivo]],"",0),0)</f>
        <v>#NAME?</v>
      </c>
      <c r="U419" s="140" t="e" cm="1">
        <f t="array" aca="1" ref="U419" ca="1">+_xlfn.XLOOKUP(Contrato5[[#This Row],[RCP]],[2]!COMPROMISOS_2024[[#All],[consecutivo]],[2]!COMPROMISOS_2024[[#All],[fecha_aprobacion]],"",0)</f>
        <v>#NAME?</v>
      </c>
      <c r="V419" s="141" t="e">
        <f ca="1">SUMIF([2]!COMPROMISOS_2024[[#All],[consecutivo]],Contrato5[[#This Row],[RCP]],[2]!COMPROMISOS_2024[[#All],[valor_total]])</f>
        <v>#REF!</v>
      </c>
      <c r="W419" s="415">
        <v>45406</v>
      </c>
      <c r="X419" s="415" t="s">
        <v>1045</v>
      </c>
      <c r="Y419" s="143">
        <v>45407</v>
      </c>
      <c r="Z419" s="262">
        <v>45651</v>
      </c>
      <c r="AA419" s="183" t="s">
        <v>1147</v>
      </c>
      <c r="AB419" s="172" t="s">
        <v>1037</v>
      </c>
      <c r="AC419" s="172"/>
      <c r="AD419" s="211">
        <v>202000004256</v>
      </c>
      <c r="AE419" s="147" t="s">
        <v>523</v>
      </c>
      <c r="AF419" s="148" t="str">
        <f>TEXT(LEFT(Contrato5[[#This Row],[CONTRATO]],3),"0")</f>
        <v>323</v>
      </c>
      <c r="AG419" s="148" t="str">
        <f>IF(LEN(Contrato5[[#This Row],[Contrato2]])=3,Contrato5[[#This Row],[Contrato2]],TEXT(Contrato5[[#This Row],[Contrato2]],"000"))</f>
        <v>323</v>
      </c>
      <c r="AH419" s="149">
        <f ca="1">IFERROR(_xlfn.DAYS(Contrato5[[#This Row],[Fecha Proyectada liquidación]],TODAY())/30,"")</f>
        <v>0.43333333333333335</v>
      </c>
      <c r="AI419" s="150">
        <f>+Contrato5[[#This Row],[FECHA TERMINACIÓN ]]+120</f>
        <v>45771</v>
      </c>
      <c r="AJ419" s="147"/>
      <c r="AK419" s="152" t="str">
        <f ca="1">IF(Contrato5[[#This Row],[FECHA TERMINACIÓN ]]&lt;TODAY(), "Terminado",IF(ISNUMBER(Contrato5[[#This Row],[Fecha Real de liquiidación ]]),"Liquidado",IF(Contrato5[[#This Row],[FECHA TERMINACIÓN ]]&gt;=TODAY(),"En ejecución","")))</f>
        <v>Terminado</v>
      </c>
      <c r="AL419" s="153" t="e">
        <f ca="1">SUMIF([2]!COMPROMISOS_2024[[#All],[consecutivo]],Contrato5[[#This Row],[RCP]],[2]!COMPROMISOS_2024[[#All],[Total pagado]])</f>
        <v>#REF!</v>
      </c>
      <c r="AM419" s="154">
        <f ca="1">IFERROR(Contrato5[[#This Row],[Pagos]]/Contrato5[[#This Row],[VALOR CONTRATO]],0)</f>
        <v>0</v>
      </c>
      <c r="AN419" s="198" t="e">
        <f ca="1">+Contrato5[[#This Row],[VALOR CONTRATO]]-Contrato5[[#This Row],[Pagos]]</f>
        <v>#REF!</v>
      </c>
      <c r="AO419" s="147" t="e" cm="1">
        <f t="array" aca="1" ref="AO419" ca="1">_xlfn.XLOOKUP(Contrato5[[#This Row],[DOCUMENTO ]],[2]!PERSONAL_ACTIVO_2024[[#All],[Documento identidad]],[2]!PERSONAL_ACTIVO_2024[[#All],[Mail ]],0,0)</f>
        <v>#NAME?</v>
      </c>
      <c r="AP419" s="147" t="e" cm="1">
        <f t="array" aca="1" ref="AP419" ca="1">_xlfn.XLOOKUP(Contrato5[[#This Row],[DOCUMENTO]],[2]!PERSONAL_ACTIVO_2024[[#All],[Documento identidad]],[2]!PERSONAL_ACTIVO_2024[[#All],[Mail ]],0,0)</f>
        <v>#NAME?</v>
      </c>
      <c r="AQ419" s="439" cm="1">
        <f t="array" aca="1" ref="AQ419" ca="1">IF(ISBLANK(Contrato5[[#This Row],[DEPENDENCIA ]]),0,IFERROR(_xlfn.XLOOKUP(Contrato5[[#This Row],[DEPENDENCIA ]],[2]!PERSONAL_ACTIVO_2024[[#All],[Dependencia]],[2]!PERSONAL_ACTIVO_2024[[#All],[Mail ]],0,0),0))</f>
        <v>0</v>
      </c>
    </row>
    <row r="420" spans="1:43" ht="34.5" customHeight="1">
      <c r="A420" s="125">
        <v>662</v>
      </c>
      <c r="B420" s="124">
        <v>324</v>
      </c>
      <c r="C420" s="162" t="s">
        <v>1346</v>
      </c>
      <c r="D420" s="227" t="s">
        <v>493</v>
      </c>
      <c r="E420" s="128" t="s">
        <v>94</v>
      </c>
      <c r="F420" s="163" t="s">
        <v>1376</v>
      </c>
      <c r="G420" s="216" t="s">
        <v>594</v>
      </c>
      <c r="H420" s="447">
        <v>42676131</v>
      </c>
      <c r="I420" s="455">
        <v>6879081</v>
      </c>
      <c r="J420" s="456">
        <v>55032648</v>
      </c>
      <c r="K420" s="131" t="s">
        <v>42</v>
      </c>
      <c r="L420" s="438" t="s">
        <v>1094</v>
      </c>
      <c r="M420" s="194" t="s">
        <v>580</v>
      </c>
      <c r="N420" s="177" t="e" cm="1">
        <f t="array" aca="1" ref="N420" ca="1">_xlfn.XLOOKUP(Contrato5[[#This Row],[SUPERVISOR TITULAR]],[2]!PERSONAL_ACTIVO_2024[[#All],[Nombre completo]],[2]!PERSONAL_ACTIVO_2024[[#All],[Documento identidad]],"",0)</f>
        <v>#NAME?</v>
      </c>
      <c r="O420" s="194" t="s">
        <v>565</v>
      </c>
      <c r="P420" s="196" t="e" cm="1">
        <f t="array" aca="1" ref="P420" ca="1">_xlfn.XLOOKUP(Contrato5[[#This Row],[SUPERVISOR SUPLENTE ]],[2]!PERSONAL_ACTIVO_2024[[#All],[Nombre completo]],[2]!PERSONAL_ACTIVO_2024[[#All],[Documento identidad]],"",0)</f>
        <v>#NAME?</v>
      </c>
      <c r="Q420" s="208">
        <v>423</v>
      </c>
      <c r="R420" s="137" t="e" cm="1">
        <f t="array" aca="1" ref="R420" ca="1">_xlfn.XLOOKUP(Contrato5[[#This Row],[CDP]],[2]!DISPONIBILIDADES_2024[[#All],[consecutivo]],[2]!DISPONIBILIDADES_2024[[#All],[fecha_aprobacion]],"",0)</f>
        <v>#NAME?</v>
      </c>
      <c r="S420" s="138" t="e">
        <f>SUMIF([2]!DISPONIBILIDADES_2024[[#All],[consecutivo]],Contrato5[[#This Row],[CDP]],[2]!DISPONIBILIDADES_2024[[#All],[valor_total_rubro]])</f>
        <v>#REF!</v>
      </c>
      <c r="T420" s="139" t="e" cm="1">
        <f t="array" aca="1" ref="T420" ca="1">_xlfn.XLOOKUP(Contrato5[[#This Row],[CONTRATO]]&amp;Contrato5[[#This Row],[CDP]],[2]!Corr_Contr_CDP[[#All],[CONTRATO-CDP]],[2]!Corr_Contr_CDP[[#All],[CRP]],_xlfn.XLOOKUP(Contrato5[[#This Row],[CDP]],[2]!COMPROMISOS_2024[[#All],[disponibilidad]],[2]!COMPROMISOS_2024[[#All],[consecutivo]],"",0),0)</f>
        <v>#NAME?</v>
      </c>
      <c r="U420" s="140" t="e" cm="1">
        <f t="array" aca="1" ref="U420" ca="1">+_xlfn.XLOOKUP(Contrato5[[#This Row],[RCP]],[2]!COMPROMISOS_2024[[#All],[consecutivo]],[2]!COMPROMISOS_2024[[#All],[fecha_aprobacion]],"",0)</f>
        <v>#NAME?</v>
      </c>
      <c r="V420" s="141" t="e">
        <f ca="1">SUMIF([2]!COMPROMISOS_2024[[#All],[consecutivo]],Contrato5[[#This Row],[RCP]],[2]!COMPROMISOS_2024[[#All],[valor_total]])</f>
        <v>#REF!</v>
      </c>
      <c r="W420" s="415">
        <v>45411</v>
      </c>
      <c r="X420" s="415" t="s">
        <v>1045</v>
      </c>
      <c r="Y420" s="143">
        <v>45412</v>
      </c>
      <c r="Z420" s="262">
        <v>45657</v>
      </c>
      <c r="AA420" s="183" t="s">
        <v>1148</v>
      </c>
      <c r="AB420" s="172" t="s">
        <v>1037</v>
      </c>
      <c r="AC420" s="172"/>
      <c r="AD420" s="211">
        <v>202000004254</v>
      </c>
      <c r="AE420" s="147" t="s">
        <v>523</v>
      </c>
      <c r="AF420" s="148" t="str">
        <f>TEXT(LEFT(Contrato5[[#This Row],[CONTRATO]],3),"0")</f>
        <v>324</v>
      </c>
      <c r="AG420" s="148" t="str">
        <f>IF(LEN(Contrato5[[#This Row],[Contrato2]])=3,Contrato5[[#This Row],[Contrato2]],TEXT(Contrato5[[#This Row],[Contrato2]],"000"))</f>
        <v>324</v>
      </c>
      <c r="AH420" s="149">
        <f ca="1">IFERROR(_xlfn.DAYS(Contrato5[[#This Row],[Fecha Proyectada liquidación]],TODAY())/30,"")</f>
        <v>0.6333333333333333</v>
      </c>
      <c r="AI420" s="150">
        <f>+Contrato5[[#This Row],[FECHA TERMINACIÓN ]]+120</f>
        <v>45777</v>
      </c>
      <c r="AJ420" s="147"/>
      <c r="AK420" s="152" t="str">
        <f ca="1">IF(Contrato5[[#This Row],[FECHA TERMINACIÓN ]]&lt;TODAY(), "Terminado",IF(ISNUMBER(Contrato5[[#This Row],[Fecha Real de liquiidación ]]),"Liquidado",IF(Contrato5[[#This Row],[FECHA TERMINACIÓN ]]&gt;=TODAY(),"En ejecución","")))</f>
        <v>Terminado</v>
      </c>
      <c r="AL420" s="153" t="e">
        <f ca="1">SUMIF([2]!COMPROMISOS_2024[[#All],[consecutivo]],Contrato5[[#This Row],[RCP]],[2]!COMPROMISOS_2024[[#All],[Total pagado]])</f>
        <v>#REF!</v>
      </c>
      <c r="AM420" s="154">
        <f ca="1">IFERROR(Contrato5[[#This Row],[Pagos]]/Contrato5[[#This Row],[VALOR CONTRATO]],0)</f>
        <v>0</v>
      </c>
      <c r="AN420" s="198" t="e">
        <f ca="1">+Contrato5[[#This Row],[VALOR CONTRATO]]-Contrato5[[#This Row],[Pagos]]</f>
        <v>#REF!</v>
      </c>
      <c r="AO420" s="147" t="e" cm="1">
        <f t="array" aca="1" ref="AO420" ca="1">_xlfn.XLOOKUP(Contrato5[[#This Row],[DOCUMENTO ]],[2]!PERSONAL_ACTIVO_2024[[#All],[Documento identidad]],[2]!PERSONAL_ACTIVO_2024[[#All],[Mail ]],0,0)</f>
        <v>#NAME?</v>
      </c>
      <c r="AP420" s="147" t="e" cm="1">
        <f t="array" aca="1" ref="AP420" ca="1">_xlfn.XLOOKUP(Contrato5[[#This Row],[DOCUMENTO]],[2]!PERSONAL_ACTIVO_2024[[#All],[Documento identidad]],[2]!PERSONAL_ACTIVO_2024[[#All],[Mail ]],0,0)</f>
        <v>#NAME?</v>
      </c>
      <c r="AQ420" s="439" cm="1">
        <f t="array" aca="1" ref="AQ420" ca="1">IF(ISBLANK(Contrato5[[#This Row],[DEPENDENCIA ]]),0,IFERROR(_xlfn.XLOOKUP(Contrato5[[#This Row],[DEPENDENCIA ]],[2]!PERSONAL_ACTIVO_2024[[#All],[Dependencia]],[2]!PERSONAL_ACTIVO_2024[[#All],[Mail ]],0,0),0))</f>
        <v>0</v>
      </c>
    </row>
    <row r="421" spans="1:43" ht="34.5" customHeight="1">
      <c r="A421" s="125">
        <v>341</v>
      </c>
      <c r="B421" s="124">
        <v>325</v>
      </c>
      <c r="C421" s="162" t="s">
        <v>1819</v>
      </c>
      <c r="D421" s="227" t="s">
        <v>510</v>
      </c>
      <c r="E421" s="128" t="s">
        <v>94</v>
      </c>
      <c r="F421" s="163" t="s">
        <v>1376</v>
      </c>
      <c r="G421" s="190" t="s">
        <v>1149</v>
      </c>
      <c r="H421" s="447">
        <v>1216971942</v>
      </c>
      <c r="I421" s="455">
        <v>6879081</v>
      </c>
      <c r="J421" s="456">
        <v>69851270</v>
      </c>
      <c r="K421" s="131" t="s">
        <v>1073</v>
      </c>
      <c r="L421" s="438" t="s">
        <v>989</v>
      </c>
      <c r="M421" s="194" t="s">
        <v>2603</v>
      </c>
      <c r="N421" s="177" t="e" cm="1">
        <f t="array" aca="1" ref="N421" ca="1">_xlfn.XLOOKUP(Contrato5[[#This Row],[SUPERVISOR TITULAR]],[2]!PERSONAL_ACTIVO_2024[[#All],[Nombre completo]],[2]!PERSONAL_ACTIVO_2024[[#All],[Documento identidad]],"",0)</f>
        <v>#NAME?</v>
      </c>
      <c r="O421" s="194" t="s">
        <v>597</v>
      </c>
      <c r="P421" s="196" t="e" cm="1">
        <f t="array" aca="1" ref="P421" ca="1">_xlfn.XLOOKUP(Contrato5[[#This Row],[SUPERVISOR SUPLENTE ]],[2]!PERSONAL_ACTIVO_2024[[#All],[Nombre completo]],[2]!PERSONAL_ACTIVO_2024[[#All],[Documento identidad]],"",0)</f>
        <v>#NAME?</v>
      </c>
      <c r="Q421" s="208">
        <v>386</v>
      </c>
      <c r="R421" s="137" t="e" cm="1">
        <f t="array" aca="1" ref="R421" ca="1">_xlfn.XLOOKUP(Contrato5[[#This Row],[CDP]],[2]!DISPONIBILIDADES_2024[[#All],[consecutivo]],[2]!DISPONIBILIDADES_2024[[#All],[fecha_aprobacion]],"",0)</f>
        <v>#NAME?</v>
      </c>
      <c r="S421" s="138" t="e">
        <f>SUMIF([2]!DISPONIBILIDADES_2024[[#All],[consecutivo]],Contrato5[[#This Row],[CDP]],[2]!DISPONIBILIDADES_2024[[#All],[valor_total_rubro]])</f>
        <v>#REF!</v>
      </c>
      <c r="T421" s="139" t="e" cm="1">
        <f t="array" aca="1" ref="T421" ca="1">_xlfn.XLOOKUP(Contrato5[[#This Row],[CONTRATO]]&amp;Contrato5[[#This Row],[CDP]],[2]!Corr_Contr_CDP[[#All],[CONTRATO-CDP]],[2]!Corr_Contr_CDP[[#All],[CRP]],_xlfn.XLOOKUP(Contrato5[[#This Row],[CDP]],[2]!COMPROMISOS_2024[[#All],[disponibilidad]],[2]!COMPROMISOS_2024[[#All],[consecutivo]],"",0),0)</f>
        <v>#NAME?</v>
      </c>
      <c r="U421" s="140" t="e" cm="1">
        <f t="array" aca="1" ref="U421" ca="1">+_xlfn.XLOOKUP(Contrato5[[#This Row],[RCP]],[2]!COMPROMISOS_2024[[#All],[consecutivo]],[2]!COMPROMISOS_2024[[#All],[fecha_aprobacion]],"",0)</f>
        <v>#NAME?</v>
      </c>
      <c r="V421" s="141" t="e">
        <f ca="1">SUMIF([2]!COMPROMISOS_2024[[#All],[consecutivo]],Contrato5[[#This Row],[RCP]],[2]!COMPROMISOS_2024[[#All],[valor_total]])</f>
        <v>#REF!</v>
      </c>
      <c r="W421" s="415">
        <v>45420</v>
      </c>
      <c r="X421" s="415" t="s">
        <v>1045</v>
      </c>
      <c r="Y421" s="143">
        <v>45421</v>
      </c>
      <c r="Z421" s="262">
        <v>45657</v>
      </c>
      <c r="AA421" s="171" t="s">
        <v>1150</v>
      </c>
      <c r="AB421" s="172" t="s">
        <v>874</v>
      </c>
      <c r="AC421" s="172"/>
      <c r="AD421" s="211">
        <v>202000004331</v>
      </c>
      <c r="AE421" s="147" t="s">
        <v>523</v>
      </c>
      <c r="AF421" s="148" t="str">
        <f>TEXT(LEFT(Contrato5[[#This Row],[CONTRATO]],3),"0")</f>
        <v>325</v>
      </c>
      <c r="AG421" s="148" t="str">
        <f>IF(LEN(Contrato5[[#This Row],[Contrato2]])=3,Contrato5[[#This Row],[Contrato2]],TEXT(Contrato5[[#This Row],[Contrato2]],"000"))</f>
        <v>325</v>
      </c>
      <c r="AH421" s="149">
        <f ca="1">IFERROR(_xlfn.DAYS(Contrato5[[#This Row],[Fecha Proyectada liquidación]],TODAY())/30,"")</f>
        <v>0.6333333333333333</v>
      </c>
      <c r="AI421" s="150">
        <f>+Contrato5[[#This Row],[FECHA TERMINACIÓN ]]+120</f>
        <v>45777</v>
      </c>
      <c r="AJ421" s="147"/>
      <c r="AK421" s="152" t="str">
        <f ca="1">IF(Contrato5[[#This Row],[FECHA TERMINACIÓN ]]&lt;TODAY(), "Terminado",IF(ISNUMBER(Contrato5[[#This Row],[Fecha Real de liquiidación ]]),"Liquidado",IF(Contrato5[[#This Row],[FECHA TERMINACIÓN ]]&gt;=TODAY(),"En ejecución","")))</f>
        <v>Terminado</v>
      </c>
      <c r="AL421" s="153" t="e">
        <f ca="1">SUMIF([2]!COMPROMISOS_2024[[#All],[consecutivo]],Contrato5[[#This Row],[RCP]],[2]!COMPROMISOS_2024[[#All],[Total pagado]])</f>
        <v>#REF!</v>
      </c>
      <c r="AM421" s="154">
        <f ca="1">IFERROR(Contrato5[[#This Row],[Pagos]]/Contrato5[[#This Row],[VALOR CONTRATO]],0)</f>
        <v>0</v>
      </c>
      <c r="AN421" s="198" t="e">
        <f ca="1">+Contrato5[[#This Row],[VALOR CONTRATO]]-Contrato5[[#This Row],[Pagos]]</f>
        <v>#REF!</v>
      </c>
      <c r="AO421" s="147" t="e" cm="1">
        <f t="array" aca="1" ref="AO421" ca="1">_xlfn.XLOOKUP(Contrato5[[#This Row],[DOCUMENTO ]],[2]!PERSONAL_ACTIVO_2024[[#All],[Documento identidad]],[2]!PERSONAL_ACTIVO_2024[[#All],[Mail ]],0,0)</f>
        <v>#NAME?</v>
      </c>
      <c r="AP421" s="147" t="e" cm="1">
        <f t="array" aca="1" ref="AP421" ca="1">_xlfn.XLOOKUP(Contrato5[[#This Row],[DOCUMENTO]],[2]!PERSONAL_ACTIVO_2024[[#All],[Documento identidad]],[2]!PERSONAL_ACTIVO_2024[[#All],[Mail ]],0,0)</f>
        <v>#NAME?</v>
      </c>
      <c r="AQ421" s="439" cm="1">
        <f t="array" aca="1" ref="AQ421" ca="1">IF(ISBLANK(Contrato5[[#This Row],[DEPENDENCIA ]]),0,IFERROR(_xlfn.XLOOKUP(Contrato5[[#This Row],[DEPENDENCIA ]],[2]!PERSONAL_ACTIVO_2024[[#All],[Dependencia]],[2]!PERSONAL_ACTIVO_2024[[#All],[Mail ]],0,0),0))</f>
        <v>0</v>
      </c>
    </row>
    <row r="422" spans="1:43" ht="34.5" customHeight="1">
      <c r="A422" s="125">
        <v>667</v>
      </c>
      <c r="B422" s="124">
        <v>326</v>
      </c>
      <c r="C422" s="162" t="s">
        <v>348</v>
      </c>
      <c r="D422" s="227" t="s">
        <v>515</v>
      </c>
      <c r="E422" s="440" t="s">
        <v>94</v>
      </c>
      <c r="F422" s="163" t="s">
        <v>1376</v>
      </c>
      <c r="G422" s="190" t="s">
        <v>1151</v>
      </c>
      <c r="H422" s="447">
        <v>1036966995</v>
      </c>
      <c r="I422" s="455">
        <v>6879081</v>
      </c>
      <c r="J422" s="456">
        <v>65160750</v>
      </c>
      <c r="K422" s="131" t="s">
        <v>956</v>
      </c>
      <c r="L422" s="438" t="s">
        <v>507</v>
      </c>
      <c r="M422" s="194" t="s">
        <v>545</v>
      </c>
      <c r="N422" s="177" t="e" cm="1">
        <f t="array" aca="1" ref="N422" ca="1">_xlfn.XLOOKUP(Contrato5[[#This Row],[SUPERVISOR TITULAR]],[2]!PERSONAL_ACTIVO_2024[[#All],[Nombre completo]],[2]!PERSONAL_ACTIVO_2024[[#All],[Documento identidad]],"",0)</f>
        <v>#NAME?</v>
      </c>
      <c r="O422" s="194" t="s">
        <v>544</v>
      </c>
      <c r="P422" s="196" t="e" cm="1">
        <f t="array" aca="1" ref="P422" ca="1">_xlfn.XLOOKUP(Contrato5[[#This Row],[SUPERVISOR SUPLENTE ]],[2]!PERSONAL_ACTIVO_2024[[#All],[Nombre completo]],[2]!PERSONAL_ACTIVO_2024[[#All],[Documento identidad]],"",0)</f>
        <v>#NAME?</v>
      </c>
      <c r="Q422" s="208">
        <v>431</v>
      </c>
      <c r="R422" s="137" t="e" cm="1">
        <f t="array" aca="1" ref="R422" ca="1">_xlfn.XLOOKUP(Contrato5[[#This Row],[CDP]],[2]!DISPONIBILIDADES_2024[[#All],[consecutivo]],[2]!DISPONIBILIDADES_2024[[#All],[fecha_aprobacion]],"",0)</f>
        <v>#NAME?</v>
      </c>
      <c r="S422" s="138" t="e">
        <f>SUMIF([2]!DISPONIBILIDADES_2024[[#All],[consecutivo]],Contrato5[[#This Row],[CDP]],[2]!DISPONIBILIDADES_2024[[#All],[valor_total_rubro]])</f>
        <v>#REF!</v>
      </c>
      <c r="T422" s="139" t="e" cm="1">
        <f t="array" aca="1" ref="T422" ca="1">_xlfn.XLOOKUP(Contrato5[[#This Row],[CONTRATO]]&amp;Contrato5[[#This Row],[CDP]],[2]!Corr_Contr_CDP[[#All],[CONTRATO-CDP]],[2]!Corr_Contr_CDP[[#All],[CRP]],_xlfn.XLOOKUP(Contrato5[[#This Row],[CDP]],[2]!COMPROMISOS_2024[[#All],[disponibilidad]],[2]!COMPROMISOS_2024[[#All],[consecutivo]],"",0),0)</f>
        <v>#NAME?</v>
      </c>
      <c r="U422" s="140" t="e" cm="1">
        <f t="array" aca="1" ref="U422" ca="1">+_xlfn.XLOOKUP(Contrato5[[#This Row],[RCP]],[2]!COMPROMISOS_2024[[#All],[consecutivo]],[2]!COMPROMISOS_2024[[#All],[fecha_aprobacion]],"",0)</f>
        <v>#NAME?</v>
      </c>
      <c r="V422" s="141" t="e">
        <f ca="1">SUMIF([2]!COMPROMISOS_2024[[#All],[consecutivo]],Contrato5[[#This Row],[RCP]],[2]!COMPROMISOS_2024[[#All],[valor_total]])</f>
        <v>#REF!</v>
      </c>
      <c r="W422" s="415">
        <v>45422</v>
      </c>
      <c r="X422" s="415" t="s">
        <v>1045</v>
      </c>
      <c r="Y422" s="143">
        <v>45427</v>
      </c>
      <c r="Z422" s="262">
        <v>45657</v>
      </c>
      <c r="AA422" s="171" t="s">
        <v>1152</v>
      </c>
      <c r="AB422" s="172" t="s">
        <v>1037</v>
      </c>
      <c r="AC422" s="172"/>
      <c r="AD422" s="211">
        <v>202000004332</v>
      </c>
      <c r="AE422" s="147" t="s">
        <v>523</v>
      </c>
      <c r="AF422" s="148" t="str">
        <f>TEXT(LEFT(Contrato5[[#This Row],[CONTRATO]],3),"0")</f>
        <v>326</v>
      </c>
      <c r="AG422" s="148" t="str">
        <f>IF(LEN(Contrato5[[#This Row],[Contrato2]])=3,Contrato5[[#This Row],[Contrato2]],TEXT(Contrato5[[#This Row],[Contrato2]],"000"))</f>
        <v>326</v>
      </c>
      <c r="AH422" s="149">
        <f ca="1">IFERROR(_xlfn.DAYS(Contrato5[[#This Row],[Fecha Proyectada liquidación]],TODAY())/30,"")</f>
        <v>0.6333333333333333</v>
      </c>
      <c r="AI422" s="150">
        <f>+Contrato5[[#This Row],[FECHA TERMINACIÓN ]]+120</f>
        <v>45777</v>
      </c>
      <c r="AJ422" s="147"/>
      <c r="AK422" s="152" t="str">
        <f ca="1">IF(Contrato5[[#This Row],[FECHA TERMINACIÓN ]]&lt;TODAY(), "Terminado",IF(ISNUMBER(Contrato5[[#This Row],[Fecha Real de liquiidación ]]),"Liquidado",IF(Contrato5[[#This Row],[FECHA TERMINACIÓN ]]&gt;=TODAY(),"En ejecución","")))</f>
        <v>Terminado</v>
      </c>
      <c r="AL422" s="153" t="e">
        <f ca="1">SUMIF([2]!COMPROMISOS_2024[[#All],[consecutivo]],Contrato5[[#This Row],[RCP]],[2]!COMPROMISOS_2024[[#All],[Total pagado]])</f>
        <v>#REF!</v>
      </c>
      <c r="AM422" s="154">
        <f ca="1">IFERROR(Contrato5[[#This Row],[Pagos]]/Contrato5[[#This Row],[VALOR CONTRATO]],0)</f>
        <v>0</v>
      </c>
      <c r="AN422" s="198" t="e">
        <f ca="1">+Contrato5[[#This Row],[VALOR CONTRATO]]-Contrato5[[#This Row],[Pagos]]</f>
        <v>#REF!</v>
      </c>
      <c r="AO422" s="147" t="e" cm="1">
        <f t="array" aca="1" ref="AO422" ca="1">_xlfn.XLOOKUP(Contrato5[[#This Row],[DOCUMENTO ]],[2]!PERSONAL_ACTIVO_2024[[#All],[Documento identidad]],[2]!PERSONAL_ACTIVO_2024[[#All],[Mail ]],0,0)</f>
        <v>#NAME?</v>
      </c>
      <c r="AP422" s="147" t="e" cm="1">
        <f t="array" aca="1" ref="AP422" ca="1">_xlfn.XLOOKUP(Contrato5[[#This Row],[DOCUMENTO]],[2]!PERSONAL_ACTIVO_2024[[#All],[Documento identidad]],[2]!PERSONAL_ACTIVO_2024[[#All],[Mail ]],0,0)</f>
        <v>#NAME?</v>
      </c>
      <c r="AQ422" s="439" cm="1">
        <f t="array" aca="1" ref="AQ422" ca="1">IF(ISBLANK(Contrato5[[#This Row],[DEPENDENCIA ]]),0,IFERROR(_xlfn.XLOOKUP(Contrato5[[#This Row],[DEPENDENCIA ]],[2]!PERSONAL_ACTIVO_2024[[#All],[Dependencia]],[2]!PERSONAL_ACTIVO_2024[[#All],[Mail ]],0,0),0))</f>
        <v>0</v>
      </c>
    </row>
    <row r="423" spans="1:43" ht="34.5" customHeight="1">
      <c r="A423" s="125">
        <v>104</v>
      </c>
      <c r="B423" s="124">
        <v>327</v>
      </c>
      <c r="C423" s="162" t="s">
        <v>1523</v>
      </c>
      <c r="D423" s="227" t="s">
        <v>583</v>
      </c>
      <c r="E423" s="440" t="s">
        <v>94</v>
      </c>
      <c r="F423" s="227" t="s">
        <v>222</v>
      </c>
      <c r="G423" s="190" t="s">
        <v>1153</v>
      </c>
      <c r="H423" s="447">
        <v>811028621</v>
      </c>
      <c r="I423" s="455" t="s">
        <v>42</v>
      </c>
      <c r="J423" s="456">
        <v>120000000</v>
      </c>
      <c r="K423" s="147" t="s">
        <v>42</v>
      </c>
      <c r="L423" s="438" t="s">
        <v>1094</v>
      </c>
      <c r="M423" s="194" t="s">
        <v>592</v>
      </c>
      <c r="N423" s="177" t="e" cm="1">
        <f t="array" aca="1" ref="N423" ca="1">_xlfn.XLOOKUP(Contrato5[[#This Row],[SUPERVISOR TITULAR]],[2]!PERSONAL_ACTIVO_2024[[#All],[Nombre completo]],[2]!PERSONAL_ACTIVO_2024[[#All],[Documento identidad]],"",0)</f>
        <v>#NAME?</v>
      </c>
      <c r="O423" s="194" t="s">
        <v>600</v>
      </c>
      <c r="P423" s="196" t="e" cm="1">
        <f t="array" aca="1" ref="P423" ca="1">_xlfn.XLOOKUP(Contrato5[[#This Row],[SUPERVISOR SUPLENTE ]],[2]!PERSONAL_ACTIVO_2024[[#All],[Nombre completo]],[2]!PERSONAL_ACTIVO_2024[[#All],[Documento identidad]],"",0)</f>
        <v>#NAME?</v>
      </c>
      <c r="Q423" s="208">
        <v>447</v>
      </c>
      <c r="R423" s="137" t="e" cm="1">
        <f t="array" aca="1" ref="R423" ca="1">_xlfn.XLOOKUP(Contrato5[[#This Row],[CDP]],[2]!DISPONIBILIDADES_2024[[#All],[consecutivo]],[2]!DISPONIBILIDADES_2024[[#All],[fecha_aprobacion]],"",0)</f>
        <v>#NAME?</v>
      </c>
      <c r="S423" s="138" t="e">
        <f>SUMIF([2]!DISPONIBILIDADES_2024[[#All],[consecutivo]],Contrato5[[#This Row],[CDP]],[2]!DISPONIBILIDADES_2024[[#All],[valor_total_rubro]])</f>
        <v>#REF!</v>
      </c>
      <c r="T423" s="139" t="e" cm="1">
        <f t="array" aca="1" ref="T423" ca="1">_xlfn.XLOOKUP(Contrato5[[#This Row],[CONTRATO]]&amp;Contrato5[[#This Row],[CDP]],[2]!Corr_Contr_CDP[[#All],[CONTRATO-CDP]],[2]!Corr_Contr_CDP[[#All],[CRP]],_xlfn.XLOOKUP(Contrato5[[#This Row],[CDP]],[2]!COMPROMISOS_2024[[#All],[disponibilidad]],[2]!COMPROMISOS_2024[[#All],[consecutivo]],"",0),0)</f>
        <v>#NAME?</v>
      </c>
      <c r="U423" s="140" t="e" cm="1">
        <f t="array" aca="1" ref="U423" ca="1">+_xlfn.XLOOKUP(Contrato5[[#This Row],[RCP]],[2]!COMPROMISOS_2024[[#All],[consecutivo]],[2]!COMPROMISOS_2024[[#All],[fecha_aprobacion]],"",0)</f>
        <v>#NAME?</v>
      </c>
      <c r="V423" s="141" t="e">
        <f ca="1">SUMIF([2]!COMPROMISOS_2024[[#All],[consecutivo]],Contrato5[[#This Row],[RCP]],[2]!COMPROMISOS_2024[[#All],[valor_total]])</f>
        <v>#REF!</v>
      </c>
      <c r="W423" s="415">
        <v>45419</v>
      </c>
      <c r="X423" s="415" t="s">
        <v>1045</v>
      </c>
      <c r="Y423" s="143">
        <v>45450</v>
      </c>
      <c r="Z423" s="262">
        <v>45656</v>
      </c>
      <c r="AA423" s="171" t="s">
        <v>2611</v>
      </c>
      <c r="AB423" s="172" t="s">
        <v>1037</v>
      </c>
      <c r="AC423" s="172"/>
      <c r="AD423" s="211">
        <v>202000004455</v>
      </c>
      <c r="AE423" s="147" t="s">
        <v>523</v>
      </c>
      <c r="AF423" s="148" t="str">
        <f>TEXT(LEFT(Contrato5[[#This Row],[CONTRATO]],3),"0")</f>
        <v>327</v>
      </c>
      <c r="AG423" s="148" t="str">
        <f>IF(LEN(Contrato5[[#This Row],[Contrato2]])=3,Contrato5[[#This Row],[Contrato2]],TEXT(Contrato5[[#This Row],[Contrato2]],"000"))</f>
        <v>327</v>
      </c>
      <c r="AH423" s="149">
        <f ca="1">IFERROR(_xlfn.DAYS(Contrato5[[#This Row],[Fecha Proyectada liquidación]],TODAY())/30,"")</f>
        <v>0.6</v>
      </c>
      <c r="AI423" s="150">
        <f>+Contrato5[[#This Row],[FECHA TERMINACIÓN ]]+120</f>
        <v>45776</v>
      </c>
      <c r="AJ423" s="147"/>
      <c r="AK423" s="152" t="str">
        <f ca="1">IF(Contrato5[[#This Row],[FECHA TERMINACIÓN ]]&lt;TODAY(), "Terminado",IF(ISNUMBER(Contrato5[[#This Row],[Fecha Real de liquiidación ]]),"Liquidado",IF(Contrato5[[#This Row],[FECHA TERMINACIÓN ]]&gt;=TODAY(),"En ejecución","")))</f>
        <v>Terminado</v>
      </c>
      <c r="AL423" s="153" t="e">
        <f ca="1">SUMIF([2]!COMPROMISOS_2024[[#All],[consecutivo]],Contrato5[[#This Row],[RCP]],[2]!COMPROMISOS_2024[[#All],[Total pagado]])</f>
        <v>#REF!</v>
      </c>
      <c r="AM423" s="154">
        <f ca="1">IFERROR(Contrato5[[#This Row],[Pagos]]/Contrato5[[#This Row],[VALOR CONTRATO]],0)</f>
        <v>0</v>
      </c>
      <c r="AN423" s="198" t="e">
        <f ca="1">+Contrato5[[#This Row],[VALOR CONTRATO]]-Contrato5[[#This Row],[Pagos]]</f>
        <v>#REF!</v>
      </c>
      <c r="AO423" s="147" t="e" cm="1">
        <f t="array" aca="1" ref="AO423" ca="1">_xlfn.XLOOKUP(Contrato5[[#This Row],[DOCUMENTO ]],[2]!PERSONAL_ACTIVO_2024[[#All],[Documento identidad]],[2]!PERSONAL_ACTIVO_2024[[#All],[Mail ]],0,0)</f>
        <v>#NAME?</v>
      </c>
      <c r="AP423" s="147" t="e" cm="1">
        <f t="array" aca="1" ref="AP423" ca="1">_xlfn.XLOOKUP(Contrato5[[#This Row],[DOCUMENTO]],[2]!PERSONAL_ACTIVO_2024[[#All],[Documento identidad]],[2]!PERSONAL_ACTIVO_2024[[#All],[Mail ]],0,0)</f>
        <v>#NAME?</v>
      </c>
      <c r="AQ423" s="439" cm="1">
        <f t="array" aca="1" ref="AQ423" ca="1">IF(ISBLANK(Contrato5[[#This Row],[DEPENDENCIA ]]),0,IFERROR(_xlfn.XLOOKUP(Contrato5[[#This Row],[DEPENDENCIA ]],[2]!PERSONAL_ACTIVO_2024[[#All],[Dependencia]],[2]!PERSONAL_ACTIVO_2024[[#All],[Mail ]],0,0),0))</f>
        <v>0</v>
      </c>
    </row>
    <row r="424" spans="1:43" ht="34.5" customHeight="1">
      <c r="A424" s="147">
        <v>1244</v>
      </c>
      <c r="B424" s="124">
        <v>327</v>
      </c>
      <c r="C424" s="162" t="s">
        <v>2188</v>
      </c>
      <c r="D424" s="227" t="s">
        <v>583</v>
      </c>
      <c r="E424" s="440" t="s">
        <v>2148</v>
      </c>
      <c r="F424" s="227" t="s">
        <v>222</v>
      </c>
      <c r="G424" s="190" t="s">
        <v>1153</v>
      </c>
      <c r="H424" s="447">
        <v>811028621</v>
      </c>
      <c r="I424" s="455" t="s">
        <v>42</v>
      </c>
      <c r="J424" s="456">
        <v>40000000</v>
      </c>
      <c r="K424" s="147" t="s">
        <v>42</v>
      </c>
      <c r="L424" s="438" t="s">
        <v>2595</v>
      </c>
      <c r="M424" s="194" t="s">
        <v>592</v>
      </c>
      <c r="N424" s="177" t="e" cm="1">
        <f t="array" aca="1" ref="N424" ca="1">_xlfn.XLOOKUP(Contrato5[[#This Row],[SUPERVISOR TITULAR]],[2]!PERSONAL_ACTIVO_2024[[#All],[Nombre completo]],[2]!PERSONAL_ACTIVO_2024[[#All],[Documento identidad]],"",0)</f>
        <v>#NAME?</v>
      </c>
      <c r="O424" s="194" t="s">
        <v>600</v>
      </c>
      <c r="P424" s="196" t="e" cm="1">
        <f t="array" aca="1" ref="P424" ca="1">_xlfn.XLOOKUP(Contrato5[[#This Row],[SUPERVISOR SUPLENTE ]],[2]!PERSONAL_ACTIVO_2024[[#All],[Nombre completo]],[2]!PERSONAL_ACTIVO_2024[[#All],[Documento identidad]],"",0)</f>
        <v>#NAME?</v>
      </c>
      <c r="Q424" s="208">
        <v>1071</v>
      </c>
      <c r="R424" s="137" t="e" cm="1">
        <f t="array" aca="1" ref="R424" ca="1">_xlfn.XLOOKUP(Contrato5[[#This Row],[CDP]],[2]!DISPONIBILIDADES_2024[[#All],[consecutivo]],[2]!DISPONIBILIDADES_2024[[#All],[fecha_aprobacion]],"",0)</f>
        <v>#NAME?</v>
      </c>
      <c r="S424" s="138" t="e">
        <f>SUMIF([2]!DISPONIBILIDADES_2024[[#All],[consecutivo]],Contrato5[[#This Row],[CDP]],[2]!DISPONIBILIDADES_2024[[#All],[valor_total_rubro]])</f>
        <v>#REF!</v>
      </c>
      <c r="T424" s="139" t="e" cm="1">
        <f t="array" aca="1" ref="T424" ca="1">_xlfn.XLOOKUP(Contrato5[[#This Row],[CONTRATO]]&amp;Contrato5[[#This Row],[CDP]],[2]!Corr_Contr_CDP[[#All],[CONTRATO-CDP]],[2]!Corr_Contr_CDP[[#All],[CRP]],_xlfn.XLOOKUP(Contrato5[[#This Row],[CDP]],[2]!COMPROMISOS_2024[[#All],[disponibilidad]],[2]!COMPROMISOS_2024[[#All],[consecutivo]],"",0),0)</f>
        <v>#NAME?</v>
      </c>
      <c r="U424" s="140" t="e" cm="1">
        <f t="array" aca="1" ref="U424" ca="1">+_xlfn.XLOOKUP(Contrato5[[#This Row],[RCP]],[2]!COMPROMISOS_2024[[#All],[consecutivo]],[2]!COMPROMISOS_2024[[#All],[fecha_aprobacion]],"",0)</f>
        <v>#NAME?</v>
      </c>
      <c r="V424" s="141" t="e">
        <f ca="1">SUMIF([2]!COMPROMISOS_2024[[#All],[consecutivo]],Contrato5[[#This Row],[RCP]],[2]!COMPROMISOS_2024[[#All],[valor_total]])</f>
        <v>#REF!</v>
      </c>
      <c r="W424" s="415">
        <v>45590</v>
      </c>
      <c r="X424" s="415">
        <v>45606</v>
      </c>
      <c r="Y424" s="143">
        <v>45450</v>
      </c>
      <c r="Z424" s="262">
        <v>45656</v>
      </c>
      <c r="AA424" s="171"/>
      <c r="AB424" s="172" t="s">
        <v>42</v>
      </c>
      <c r="AC424" s="127"/>
      <c r="AD424" s="211"/>
      <c r="AE424" s="147"/>
      <c r="AF424" s="148" t="str">
        <f>TEXT(LEFT(Contrato5[[#This Row],[CONTRATO]],3),"0")</f>
        <v>327</v>
      </c>
      <c r="AG424" s="148" t="str">
        <f>IF(LEN(Contrato5[[#This Row],[Contrato2]])=3,Contrato5[[#This Row],[Contrato2]],TEXT(Contrato5[[#This Row],[Contrato2]],"000"))</f>
        <v>327</v>
      </c>
      <c r="AH424" s="149">
        <f ca="1">IFERROR(_xlfn.DAYS(Contrato5[[#This Row],[Fecha Proyectada liquidación]],TODAY())/30,"")</f>
        <v>0.6</v>
      </c>
      <c r="AI424" s="150">
        <f>+Contrato5[[#This Row],[FECHA TERMINACIÓN ]]+120</f>
        <v>45776</v>
      </c>
      <c r="AJ424" s="147"/>
      <c r="AK424" s="152" t="str">
        <f ca="1">IF(Contrato5[[#This Row],[FECHA TERMINACIÓN ]]&lt;TODAY(), "Terminado",IF(ISNUMBER(Contrato5[[#This Row],[Fecha Real de liquiidación ]]),"Liquidado",IF(Contrato5[[#This Row],[FECHA TERMINACIÓN ]]&gt;=TODAY(),"En ejecución","")))</f>
        <v>Terminado</v>
      </c>
      <c r="AL424" s="153" t="e">
        <f ca="1">SUMIF([2]!COMPROMISOS_2024[[#All],[consecutivo]],Contrato5[[#This Row],[RCP]],[2]!COMPROMISOS_2024[[#All],[Total pagado]])</f>
        <v>#REF!</v>
      </c>
      <c r="AM424" s="154">
        <f ca="1">IFERROR(Contrato5[[#This Row],[Pagos]]/Contrato5[[#This Row],[VALOR CONTRATO]],0)</f>
        <v>0</v>
      </c>
      <c r="AN424" s="198" t="e">
        <f ca="1">+Contrato5[[#This Row],[VALOR CONTRATO]]-Contrato5[[#This Row],[Pagos]]</f>
        <v>#REF!</v>
      </c>
      <c r="AO424" s="147" t="e" cm="1">
        <f t="array" aca="1" ref="AO424" ca="1">_xlfn.XLOOKUP(Contrato5[[#This Row],[DOCUMENTO ]],[2]!PERSONAL_ACTIVO_2024[[#All],[Documento identidad]],[2]!PERSONAL_ACTIVO_2024[[#All],[Mail ]],0,0)</f>
        <v>#NAME?</v>
      </c>
      <c r="AP424" s="147" t="e" cm="1">
        <f t="array" aca="1" ref="AP424" ca="1">_xlfn.XLOOKUP(Contrato5[[#This Row],[DOCUMENTO]],[2]!PERSONAL_ACTIVO_2024[[#All],[Documento identidad]],[2]!PERSONAL_ACTIVO_2024[[#All],[Mail ]],0,0)</f>
        <v>#NAME?</v>
      </c>
      <c r="AQ424" s="439" cm="1">
        <f t="array" aca="1" ref="AQ424" ca="1">IF(ISBLANK(Contrato5[[#This Row],[DEPENDENCIA ]]),0,IFERROR(_xlfn.XLOOKUP(Contrato5[[#This Row],[DEPENDENCIA ]],[2]!PERSONAL_ACTIVO_2024[[#All],[Dependencia]],[2]!PERSONAL_ACTIVO_2024[[#All],[Mail ]],0,0),0))</f>
        <v>0</v>
      </c>
    </row>
    <row r="425" spans="1:43" ht="34.5" customHeight="1">
      <c r="A425" s="125">
        <v>629</v>
      </c>
      <c r="B425" s="124">
        <v>328</v>
      </c>
      <c r="C425" s="162" t="s">
        <v>1543</v>
      </c>
      <c r="D425" s="227" t="s">
        <v>602</v>
      </c>
      <c r="E425" s="440" t="s">
        <v>94</v>
      </c>
      <c r="F425" s="163" t="s">
        <v>1376</v>
      </c>
      <c r="G425" s="190" t="s">
        <v>1154</v>
      </c>
      <c r="H425" s="447">
        <v>1039472270</v>
      </c>
      <c r="I425" s="455">
        <v>4171510</v>
      </c>
      <c r="J425" s="456">
        <v>12514530</v>
      </c>
      <c r="K425" s="131" t="s">
        <v>42</v>
      </c>
      <c r="L425" s="438" t="s">
        <v>507</v>
      </c>
      <c r="M425" s="194" t="s">
        <v>604</v>
      </c>
      <c r="N425" s="177" t="e" cm="1">
        <f t="array" aca="1" ref="N425" ca="1">_xlfn.XLOOKUP(Contrato5[[#This Row],[SUPERVISOR TITULAR]],[2]!PERSONAL_ACTIVO_2024[[#All],[Nombre completo]],[2]!PERSONAL_ACTIVO_2024[[#All],[Documento identidad]],"",0)</f>
        <v>#NAME?</v>
      </c>
      <c r="O425" s="194" t="s">
        <v>1155</v>
      </c>
      <c r="P425" s="196" t="e" cm="1">
        <f t="array" aca="1" ref="P425" ca="1">_xlfn.XLOOKUP(Contrato5[[#This Row],[SUPERVISOR SUPLENTE ]],[2]!PERSONAL_ACTIVO_2024[[#All],[Nombre completo]],[2]!PERSONAL_ACTIVO_2024[[#All],[Documento identidad]],"",0)</f>
        <v>#NAME?</v>
      </c>
      <c r="Q425" s="208">
        <v>422</v>
      </c>
      <c r="R425" s="137" t="e" cm="1">
        <f t="array" aca="1" ref="R425" ca="1">_xlfn.XLOOKUP(Contrato5[[#This Row],[CDP]],[2]!DISPONIBILIDADES_2024[[#All],[consecutivo]],[2]!DISPONIBILIDADES_2024[[#All],[fecha_aprobacion]],"",0)</f>
        <v>#NAME?</v>
      </c>
      <c r="S425" s="138" t="e">
        <f>SUMIF([2]!DISPONIBILIDADES_2024[[#All],[consecutivo]],Contrato5[[#This Row],[CDP]],[2]!DISPONIBILIDADES_2024[[#All],[valor_total_rubro]])</f>
        <v>#REF!</v>
      </c>
      <c r="T425" s="139" t="e" cm="1">
        <f t="array" aca="1" ref="T425" ca="1">_xlfn.XLOOKUP(Contrato5[[#This Row],[CONTRATO]]&amp;Contrato5[[#This Row],[CDP]],[2]!Corr_Contr_CDP[[#All],[CONTRATO-CDP]],[2]!Corr_Contr_CDP[[#All],[CRP]],_xlfn.XLOOKUP(Contrato5[[#This Row],[CDP]],[2]!COMPROMISOS_2024[[#All],[disponibilidad]],[2]!COMPROMISOS_2024[[#All],[consecutivo]],"",0),0)</f>
        <v>#NAME?</v>
      </c>
      <c r="U425" s="140" t="e" cm="1">
        <f t="array" aca="1" ref="U425" ca="1">+_xlfn.XLOOKUP(Contrato5[[#This Row],[RCP]],[2]!COMPROMISOS_2024[[#All],[consecutivo]],[2]!COMPROMISOS_2024[[#All],[fecha_aprobacion]],"",0)</f>
        <v>#NAME?</v>
      </c>
      <c r="V425" s="141" t="e">
        <f ca="1">SUMIF([2]!COMPROMISOS_2024[[#All],[consecutivo]],Contrato5[[#This Row],[RCP]],[2]!COMPROMISOS_2024[[#All],[valor_total]])</f>
        <v>#REF!</v>
      </c>
      <c r="W425" s="415">
        <v>45419</v>
      </c>
      <c r="X425" s="415" t="s">
        <v>1045</v>
      </c>
      <c r="Y425" s="143">
        <v>45420</v>
      </c>
      <c r="Z425" s="262">
        <v>45511</v>
      </c>
      <c r="AA425" s="171" t="s">
        <v>1156</v>
      </c>
      <c r="AB425" s="172" t="s">
        <v>529</v>
      </c>
      <c r="AC425" s="172"/>
      <c r="AD425" s="211">
        <v>202000004333</v>
      </c>
      <c r="AE425" s="147" t="s">
        <v>523</v>
      </c>
      <c r="AF425" s="148" t="str">
        <f>TEXT(LEFT(Contrato5[[#This Row],[CONTRATO]],3),"0")</f>
        <v>328</v>
      </c>
      <c r="AG425" s="148" t="str">
        <f>IF(LEN(Contrato5[[#This Row],[Contrato2]])=3,Contrato5[[#This Row],[Contrato2]],TEXT(Contrato5[[#This Row],[Contrato2]],"000"))</f>
        <v>328</v>
      </c>
      <c r="AH425" s="149">
        <f ca="1">IFERROR(_xlfn.DAYS(Contrato5[[#This Row],[Fecha Proyectada liquidación]],TODAY())/30,"")</f>
        <v>-4.2333333333333334</v>
      </c>
      <c r="AI425" s="150">
        <f>+Contrato5[[#This Row],[FECHA TERMINACIÓN ]]+120</f>
        <v>45631</v>
      </c>
      <c r="AJ425" s="147"/>
      <c r="AK425" s="152" t="str">
        <f ca="1">IF(Contrato5[[#This Row],[FECHA TERMINACIÓN ]]&lt;TODAY(), "Terminado",IF(ISNUMBER(Contrato5[[#This Row],[Fecha Real de liquiidación ]]),"Liquidado",IF(Contrato5[[#This Row],[FECHA TERMINACIÓN ]]&gt;=TODAY(),"En ejecución","")))</f>
        <v>Terminado</v>
      </c>
      <c r="AL425" s="153" t="e">
        <f ca="1">SUMIF([2]!COMPROMISOS_2024[[#All],[consecutivo]],Contrato5[[#This Row],[RCP]],[2]!COMPROMISOS_2024[[#All],[Total pagado]])</f>
        <v>#REF!</v>
      </c>
      <c r="AM425" s="154">
        <f ca="1">IFERROR(Contrato5[[#This Row],[Pagos]]/Contrato5[[#This Row],[VALOR CONTRATO]],0)</f>
        <v>0</v>
      </c>
      <c r="AN425" s="198" t="e">
        <f ca="1">+Contrato5[[#This Row],[VALOR CONTRATO]]-Contrato5[[#This Row],[Pagos]]</f>
        <v>#REF!</v>
      </c>
      <c r="AO425" s="147" t="e" cm="1">
        <f t="array" aca="1" ref="AO425" ca="1">_xlfn.XLOOKUP(Contrato5[[#This Row],[DOCUMENTO ]],[2]!PERSONAL_ACTIVO_2024[[#All],[Documento identidad]],[2]!PERSONAL_ACTIVO_2024[[#All],[Mail ]],0,0)</f>
        <v>#NAME?</v>
      </c>
      <c r="AP425" s="147" t="e" cm="1">
        <f t="array" aca="1" ref="AP425" ca="1">_xlfn.XLOOKUP(Contrato5[[#This Row],[DOCUMENTO]],[2]!PERSONAL_ACTIVO_2024[[#All],[Documento identidad]],[2]!PERSONAL_ACTIVO_2024[[#All],[Mail ]],0,0)</f>
        <v>#NAME?</v>
      </c>
      <c r="AQ425" s="439" cm="1">
        <f t="array" aca="1" ref="AQ425" ca="1">IF(ISBLANK(Contrato5[[#This Row],[DEPENDENCIA ]]),0,IFERROR(_xlfn.XLOOKUP(Contrato5[[#This Row],[DEPENDENCIA ]],[2]!PERSONAL_ACTIVO_2024[[#All],[Dependencia]],[2]!PERSONAL_ACTIVO_2024[[#All],[Mail ]],0,0),0))</f>
        <v>0</v>
      </c>
    </row>
    <row r="426" spans="1:43" ht="34.5" customHeight="1">
      <c r="A426" s="125">
        <v>668</v>
      </c>
      <c r="B426" s="124">
        <v>329</v>
      </c>
      <c r="C426" s="162" t="s">
        <v>351</v>
      </c>
      <c r="D426" s="227" t="s">
        <v>515</v>
      </c>
      <c r="E426" s="440" t="s">
        <v>94</v>
      </c>
      <c r="F426" s="163" t="s">
        <v>1376</v>
      </c>
      <c r="G426" s="190" t="s">
        <v>1157</v>
      </c>
      <c r="H426" s="447">
        <v>98606974</v>
      </c>
      <c r="I426" s="273">
        <v>6879081</v>
      </c>
      <c r="J426" s="437">
        <v>64803345</v>
      </c>
      <c r="K426" s="131" t="s">
        <v>919</v>
      </c>
      <c r="L426" s="438" t="s">
        <v>507</v>
      </c>
      <c r="M426" s="194" t="s">
        <v>853</v>
      </c>
      <c r="N426" s="177" t="e" cm="1">
        <f t="array" aca="1" ref="N426" ca="1">_xlfn.XLOOKUP(Contrato5[[#This Row],[SUPERVISOR TITULAR]],[2]!PERSONAL_ACTIVO_2024[[#All],[Nombre completo]],[2]!PERSONAL_ACTIVO_2024[[#All],[Documento identidad]],"",0)</f>
        <v>#NAME?</v>
      </c>
      <c r="O426" s="194" t="s">
        <v>954</v>
      </c>
      <c r="P426" s="196" t="e" cm="1">
        <f t="array" aca="1" ref="P426" ca="1">_xlfn.XLOOKUP(Contrato5[[#This Row],[SUPERVISOR SUPLENTE ]],[2]!PERSONAL_ACTIVO_2024[[#All],[Nombre completo]],[2]!PERSONAL_ACTIVO_2024[[#All],[Documento identidad]],"",0)</f>
        <v>#NAME?</v>
      </c>
      <c r="Q426" s="208">
        <v>428</v>
      </c>
      <c r="R426" s="137" t="e" cm="1">
        <f t="array" aca="1" ref="R426" ca="1">_xlfn.XLOOKUP(Contrato5[[#This Row],[CDP]],[2]!DISPONIBILIDADES_2024[[#All],[consecutivo]],[2]!DISPONIBILIDADES_2024[[#All],[fecha_aprobacion]],"",0)</f>
        <v>#NAME?</v>
      </c>
      <c r="S426" s="138" t="e">
        <f>SUMIF([2]!DISPONIBILIDADES_2024[[#All],[consecutivo]],Contrato5[[#This Row],[CDP]],[2]!DISPONIBILIDADES_2024[[#All],[valor_total_rubro]])</f>
        <v>#REF!</v>
      </c>
      <c r="T426" s="139" t="e" cm="1">
        <f t="array" aca="1" ref="T426" ca="1">_xlfn.XLOOKUP(Contrato5[[#This Row],[CONTRATO]]&amp;Contrato5[[#This Row],[CDP]],[2]!Corr_Contr_CDP[[#All],[CONTRATO-CDP]],[2]!Corr_Contr_CDP[[#All],[CRP]],_xlfn.XLOOKUP(Contrato5[[#This Row],[CDP]],[2]!COMPROMISOS_2024[[#All],[disponibilidad]],[2]!COMPROMISOS_2024[[#All],[consecutivo]],"",0),0)</f>
        <v>#NAME?</v>
      </c>
      <c r="U426" s="140" t="e" cm="1">
        <f t="array" aca="1" ref="U426" ca="1">+_xlfn.XLOOKUP(Contrato5[[#This Row],[RCP]],[2]!COMPROMISOS_2024[[#All],[consecutivo]],[2]!COMPROMISOS_2024[[#All],[fecha_aprobacion]],"",0)</f>
        <v>#NAME?</v>
      </c>
      <c r="V426" s="141" t="e">
        <f ca="1">SUMIF([2]!COMPROMISOS_2024[[#All],[consecutivo]],Contrato5[[#This Row],[RCP]],[2]!COMPROMISOS_2024[[#All],[valor_total]])</f>
        <v>#REF!</v>
      </c>
      <c r="W426" s="415">
        <v>45422</v>
      </c>
      <c r="X426" s="415" t="s">
        <v>1045</v>
      </c>
      <c r="Y426" s="143">
        <v>45427</v>
      </c>
      <c r="Z426" s="262">
        <v>45657</v>
      </c>
      <c r="AA426" s="171" t="s">
        <v>1158</v>
      </c>
      <c r="AB426" s="280" t="s">
        <v>1159</v>
      </c>
      <c r="AC426" s="280"/>
      <c r="AD426" s="211">
        <v>202000004334</v>
      </c>
      <c r="AE426" s="147" t="s">
        <v>523</v>
      </c>
      <c r="AF426" s="148" t="str">
        <f>TEXT(LEFT(Contrato5[[#This Row],[CONTRATO]],3),"0")</f>
        <v>329</v>
      </c>
      <c r="AG426" s="148" t="str">
        <f>IF(LEN(Contrato5[[#This Row],[Contrato2]])=3,Contrato5[[#This Row],[Contrato2]],TEXT(Contrato5[[#This Row],[Contrato2]],"000"))</f>
        <v>329</v>
      </c>
      <c r="AH426" s="149">
        <f ca="1">IFERROR(_xlfn.DAYS(Contrato5[[#This Row],[Fecha Proyectada liquidación]],TODAY())/30,"")</f>
        <v>0.6333333333333333</v>
      </c>
      <c r="AI426" s="150">
        <f>+Contrato5[[#This Row],[FECHA TERMINACIÓN ]]+120</f>
        <v>45777</v>
      </c>
      <c r="AJ426" s="147"/>
      <c r="AK426" s="152" t="str">
        <f ca="1">IF(Contrato5[[#This Row],[FECHA TERMINACIÓN ]]&lt;TODAY(), "Terminado",IF(ISNUMBER(Contrato5[[#This Row],[Fecha Real de liquiidación ]]),"Liquidado",IF(Contrato5[[#This Row],[FECHA TERMINACIÓN ]]&gt;=TODAY(),"En ejecución","")))</f>
        <v>Terminado</v>
      </c>
      <c r="AL426" s="153" t="e">
        <f ca="1">SUMIF([2]!COMPROMISOS_2024[[#All],[consecutivo]],Contrato5[[#This Row],[RCP]],[2]!COMPROMISOS_2024[[#All],[Total pagado]])</f>
        <v>#REF!</v>
      </c>
      <c r="AM426" s="154">
        <f ca="1">IFERROR(Contrato5[[#This Row],[Pagos]]/Contrato5[[#This Row],[VALOR CONTRATO]],0)</f>
        <v>0</v>
      </c>
      <c r="AN426" s="198" t="e">
        <f ca="1">+Contrato5[[#This Row],[VALOR CONTRATO]]-Contrato5[[#This Row],[Pagos]]</f>
        <v>#REF!</v>
      </c>
      <c r="AO426" s="147" t="e" cm="1">
        <f t="array" aca="1" ref="AO426" ca="1">_xlfn.XLOOKUP(Contrato5[[#This Row],[DOCUMENTO ]],[2]!PERSONAL_ACTIVO_2024[[#All],[Documento identidad]],[2]!PERSONAL_ACTIVO_2024[[#All],[Mail ]],0,0)</f>
        <v>#NAME?</v>
      </c>
      <c r="AP426" s="147" t="e" cm="1">
        <f t="array" aca="1" ref="AP426" ca="1">_xlfn.XLOOKUP(Contrato5[[#This Row],[DOCUMENTO]],[2]!PERSONAL_ACTIVO_2024[[#All],[Documento identidad]],[2]!PERSONAL_ACTIVO_2024[[#All],[Mail ]],0,0)</f>
        <v>#NAME?</v>
      </c>
      <c r="AQ426" s="439" cm="1">
        <f t="array" aca="1" ref="AQ426" ca="1">IF(ISBLANK(Contrato5[[#This Row],[DEPENDENCIA ]]),0,IFERROR(_xlfn.XLOOKUP(Contrato5[[#This Row],[DEPENDENCIA ]],[2]!PERSONAL_ACTIVO_2024[[#All],[Dependencia]],[2]!PERSONAL_ACTIVO_2024[[#All],[Mail ]],0,0),0))</f>
        <v>0</v>
      </c>
    </row>
    <row r="427" spans="1:43" ht="34.5" customHeight="1">
      <c r="A427" s="125">
        <v>31</v>
      </c>
      <c r="B427" s="124">
        <v>330</v>
      </c>
      <c r="C427" s="162" t="s">
        <v>109</v>
      </c>
      <c r="D427" s="227" t="s">
        <v>493</v>
      </c>
      <c r="E427" s="61" t="s">
        <v>110</v>
      </c>
      <c r="F427" s="61" t="s">
        <v>107</v>
      </c>
      <c r="G427" s="190" t="s">
        <v>1160</v>
      </c>
      <c r="H427" s="447">
        <v>811009788</v>
      </c>
      <c r="I427" s="273" t="s">
        <v>42</v>
      </c>
      <c r="J427" s="505">
        <v>40000000</v>
      </c>
      <c r="K427" s="131" t="s">
        <v>42</v>
      </c>
      <c r="L427" s="506" t="s">
        <v>2612</v>
      </c>
      <c r="M427" s="194" t="s">
        <v>498</v>
      </c>
      <c r="N427" s="177" t="e" cm="1">
        <f t="array" aca="1" ref="N427" ca="1">_xlfn.XLOOKUP(Contrato5[[#This Row],[SUPERVISOR TITULAR]],[2]!PERSONAL_ACTIVO_2024[[#All],[Nombre completo]],[2]!PERSONAL_ACTIVO_2024[[#All],[Documento identidad]],"",0)</f>
        <v>#NAME?</v>
      </c>
      <c r="O427" s="194" t="s">
        <v>497</v>
      </c>
      <c r="P427" s="196" t="e" cm="1">
        <f t="array" aca="1" ref="P427" ca="1">_xlfn.XLOOKUP(Contrato5[[#This Row],[SUPERVISOR SUPLENTE ]],[2]!PERSONAL_ACTIVO_2024[[#All],[Nombre completo]],[2]!PERSONAL_ACTIVO_2024[[#All],[Documento identidad]],"",0)</f>
        <v>#NAME?</v>
      </c>
      <c r="Q427" s="208">
        <v>307</v>
      </c>
      <c r="R427" s="137" t="e" cm="1">
        <f t="array" aca="1" ref="R427" ca="1">_xlfn.XLOOKUP(Contrato5[[#This Row],[CDP]],[2]!DISPONIBILIDADES_2024[[#All],[consecutivo]],[2]!DISPONIBILIDADES_2024[[#All],[fecha_aprobacion]],"",0)</f>
        <v>#NAME?</v>
      </c>
      <c r="S427" s="138" t="e">
        <f>SUMIF([2]!DISPONIBILIDADES_2024[[#All],[consecutivo]],Contrato5[[#This Row],[CDP]],[2]!DISPONIBILIDADES_2024[[#All],[valor_total_rubro]])</f>
        <v>#REF!</v>
      </c>
      <c r="T427" s="139" t="e" cm="1">
        <f t="array" aca="1" ref="T427" ca="1">_xlfn.XLOOKUP(Contrato5[[#This Row],[CONTRATO]]&amp;Contrato5[[#This Row],[CDP]],[2]!Corr_Contr_CDP[[#All],[CONTRATO-CDP]],[2]!Corr_Contr_CDP[[#All],[CRP]],_xlfn.XLOOKUP(Contrato5[[#This Row],[CDP]],[2]!COMPROMISOS_2024[[#All],[disponibilidad]],[2]!COMPROMISOS_2024[[#All],[consecutivo]],"",0),0)</f>
        <v>#NAME?</v>
      </c>
      <c r="U427" s="140" t="e" cm="1">
        <f t="array" aca="1" ref="U427" ca="1">+_xlfn.XLOOKUP(Contrato5[[#This Row],[RCP]],[2]!COMPROMISOS_2024[[#All],[consecutivo]],[2]!COMPROMISOS_2024[[#All],[fecha_aprobacion]],"",0)</f>
        <v>#NAME?</v>
      </c>
      <c r="V427" s="141" t="e">
        <f ca="1">SUMIF([2]!COMPROMISOS_2024[[#All],[consecutivo]],Contrato5[[#This Row],[RCP]],[2]!COMPROMISOS_2024[[#All],[valor_total]])</f>
        <v>#REF!</v>
      </c>
      <c r="W427" s="415">
        <v>45401</v>
      </c>
      <c r="X427" s="415">
        <v>45412</v>
      </c>
      <c r="Y427" s="143">
        <v>45413</v>
      </c>
      <c r="Z427" s="262">
        <v>45777</v>
      </c>
      <c r="AA427" s="183" t="s">
        <v>1161</v>
      </c>
      <c r="AB427" s="280" t="s">
        <v>2613</v>
      </c>
      <c r="AC427" s="280"/>
      <c r="AD427" s="211">
        <v>202000004335</v>
      </c>
      <c r="AE427" s="147" t="s">
        <v>523</v>
      </c>
      <c r="AF427" s="148" t="str">
        <f>TEXT(LEFT(Contrato5[[#This Row],[CONTRATO]],3),"0")</f>
        <v>330</v>
      </c>
      <c r="AG427" s="148" t="str">
        <f>IF(LEN(Contrato5[[#This Row],[Contrato2]])=3,Contrato5[[#This Row],[Contrato2]],TEXT(Contrato5[[#This Row],[Contrato2]],"000"))</f>
        <v>330</v>
      </c>
      <c r="AH427" s="149">
        <f ca="1">IFERROR(_xlfn.DAYS(Contrato5[[#This Row],[Fecha Proyectada liquidación]],TODAY())/30,"")</f>
        <v>4.6333333333333337</v>
      </c>
      <c r="AI427" s="150">
        <f>+Contrato5[[#This Row],[FECHA TERMINACIÓN ]]+120</f>
        <v>45897</v>
      </c>
      <c r="AJ427" s="147"/>
      <c r="AK427" s="152" t="str">
        <f ca="1">IF(Contrato5[[#This Row],[FECHA TERMINACIÓN ]]&lt;TODAY(), "Terminado",IF(ISNUMBER(Contrato5[[#This Row],[Fecha Real de liquiidación ]]),"Liquidado",IF(Contrato5[[#This Row],[FECHA TERMINACIÓN ]]&gt;=TODAY(),"En ejecución","")))</f>
        <v>En ejecución</v>
      </c>
      <c r="AL427" s="153" t="e">
        <f ca="1">SUMIF([2]!COMPROMISOS_2024[[#All],[consecutivo]],Contrato5[[#This Row],[RCP]],[2]!COMPROMISOS_2024[[#All],[Total pagado]])</f>
        <v>#REF!</v>
      </c>
      <c r="AM427" s="154">
        <f ca="1">IFERROR(Contrato5[[#This Row],[Pagos]]/Contrato5[[#This Row],[VALOR CONTRATO]],0)</f>
        <v>0</v>
      </c>
      <c r="AN427" s="198" t="e">
        <f ca="1">+Contrato5[[#This Row],[VALOR CONTRATO]]-Contrato5[[#This Row],[Pagos]]</f>
        <v>#REF!</v>
      </c>
      <c r="AO427" s="147" t="e" cm="1">
        <f t="array" aca="1" ref="AO427" ca="1">_xlfn.XLOOKUP(Contrato5[[#This Row],[DOCUMENTO ]],[2]!PERSONAL_ACTIVO_2024[[#All],[Documento identidad]],[2]!PERSONAL_ACTIVO_2024[[#All],[Mail ]],0,0)</f>
        <v>#NAME?</v>
      </c>
      <c r="AP427" s="147" t="e" cm="1">
        <f t="array" aca="1" ref="AP427" ca="1">_xlfn.XLOOKUP(Contrato5[[#This Row],[DOCUMENTO]],[2]!PERSONAL_ACTIVO_2024[[#All],[Documento identidad]],[2]!PERSONAL_ACTIVO_2024[[#All],[Mail ]],0,0)</f>
        <v>#NAME?</v>
      </c>
      <c r="AQ427" s="439" cm="1">
        <f t="array" aca="1" ref="AQ427" ca="1">IF(ISBLANK(Contrato5[[#This Row],[DEPENDENCIA ]]),0,IFERROR(_xlfn.XLOOKUP(Contrato5[[#This Row],[DEPENDENCIA ]],[2]!PERSONAL_ACTIVO_2024[[#All],[Dependencia]],[2]!PERSONAL_ACTIVO_2024[[#All],[Mail ]],0,0),0))</f>
        <v>0</v>
      </c>
    </row>
    <row r="428" spans="1:43" ht="34.5" customHeight="1">
      <c r="A428" s="125">
        <v>165</v>
      </c>
      <c r="B428" s="124">
        <v>331</v>
      </c>
      <c r="C428" s="162" t="s">
        <v>1588</v>
      </c>
      <c r="D428" s="227" t="s">
        <v>583</v>
      </c>
      <c r="E428" s="440" t="s">
        <v>94</v>
      </c>
      <c r="F428" s="163" t="s">
        <v>1376</v>
      </c>
      <c r="G428" s="190" t="s">
        <v>1162</v>
      </c>
      <c r="H428" s="447">
        <v>71988040</v>
      </c>
      <c r="I428" s="273">
        <v>5931149</v>
      </c>
      <c r="J428" s="437">
        <v>42308863</v>
      </c>
      <c r="K428" s="131" t="s">
        <v>42</v>
      </c>
      <c r="L428" s="438" t="s">
        <v>513</v>
      </c>
      <c r="M428" s="194" t="s">
        <v>600</v>
      </c>
      <c r="N428" s="177" t="e" cm="1">
        <f t="array" aca="1" ref="N428" ca="1">_xlfn.XLOOKUP(Contrato5[[#This Row],[SUPERVISOR TITULAR]],[2]!PERSONAL_ACTIVO_2024[[#All],[Nombre completo]],[2]!PERSONAL_ACTIVO_2024[[#All],[Documento identidad]],"",0)</f>
        <v>#NAME?</v>
      </c>
      <c r="O428" s="194" t="s">
        <v>2495</v>
      </c>
      <c r="P428" s="196" t="e" cm="1">
        <f t="array" aca="1" ref="P428" ca="1">_xlfn.XLOOKUP(Contrato5[[#This Row],[SUPERVISOR SUPLENTE ]],[2]!PERSONAL_ACTIVO_2024[[#All],[Nombre completo]],[2]!PERSONAL_ACTIVO_2024[[#All],[Documento identidad]],"",0)</f>
        <v>#NAME?</v>
      </c>
      <c r="Q428" s="208">
        <v>453</v>
      </c>
      <c r="R428" s="137" t="e" cm="1">
        <f t="array" aca="1" ref="R428" ca="1">_xlfn.XLOOKUP(Contrato5[[#This Row],[CDP]],[2]!DISPONIBILIDADES_2024[[#All],[consecutivo]],[2]!DISPONIBILIDADES_2024[[#All],[fecha_aprobacion]],"",0)</f>
        <v>#NAME?</v>
      </c>
      <c r="S428" s="138" t="e">
        <f>SUMIF([2]!DISPONIBILIDADES_2024[[#All],[consecutivo]],Contrato5[[#This Row],[CDP]],[2]!DISPONIBILIDADES_2024[[#All],[valor_total_rubro]])</f>
        <v>#REF!</v>
      </c>
      <c r="T428" s="139" t="e" cm="1">
        <f t="array" aca="1" ref="T428" ca="1">_xlfn.XLOOKUP(Contrato5[[#This Row],[CONTRATO]]&amp;Contrato5[[#This Row],[CDP]],[2]!Corr_Contr_CDP[[#All],[CONTRATO-CDP]],[2]!Corr_Contr_CDP[[#All],[CRP]],_xlfn.XLOOKUP(Contrato5[[#This Row],[CDP]],[2]!COMPROMISOS_2024[[#All],[disponibilidad]],[2]!COMPROMISOS_2024[[#All],[consecutivo]],"",0),0)</f>
        <v>#NAME?</v>
      </c>
      <c r="U428" s="140" t="e" cm="1">
        <f t="array" aca="1" ref="U428" ca="1">+_xlfn.XLOOKUP(Contrato5[[#This Row],[RCP]],[2]!COMPROMISOS_2024[[#All],[consecutivo]],[2]!COMPROMISOS_2024[[#All],[fecha_aprobacion]],"",0)</f>
        <v>#NAME?</v>
      </c>
      <c r="V428" s="141" t="e">
        <f ca="1">SUMIF([2]!COMPROMISOS_2024[[#All],[consecutivo]],Contrato5[[#This Row],[RCP]],[2]!COMPROMISOS_2024[[#All],[valor_total]])</f>
        <v>#REF!</v>
      </c>
      <c r="W428" s="415">
        <v>45422</v>
      </c>
      <c r="X428" s="415" t="s">
        <v>1045</v>
      </c>
      <c r="Y428" s="143">
        <v>45426</v>
      </c>
      <c r="Z428" s="262">
        <v>45643</v>
      </c>
      <c r="AA428" s="171" t="s">
        <v>1163</v>
      </c>
      <c r="AB428" s="280" t="s">
        <v>1164</v>
      </c>
      <c r="AC428" s="280"/>
      <c r="AD428" s="211">
        <v>202000004336</v>
      </c>
      <c r="AE428" s="147" t="s">
        <v>523</v>
      </c>
      <c r="AF428" s="148" t="str">
        <f>TEXT(LEFT(Contrato5[[#This Row],[CONTRATO]],3),"0")</f>
        <v>331</v>
      </c>
      <c r="AG428" s="148" t="str">
        <f>IF(LEN(Contrato5[[#This Row],[Contrato2]])=3,Contrato5[[#This Row],[Contrato2]],TEXT(Contrato5[[#This Row],[Contrato2]],"000"))</f>
        <v>331</v>
      </c>
      <c r="AH428" s="149">
        <f ca="1">IFERROR(_xlfn.DAYS(Contrato5[[#This Row],[Fecha Proyectada liquidación]],TODAY())/30,"")</f>
        <v>0.16666666666666666</v>
      </c>
      <c r="AI428" s="150">
        <f>+Contrato5[[#This Row],[FECHA TERMINACIÓN ]]+120</f>
        <v>45763</v>
      </c>
      <c r="AJ428" s="147"/>
      <c r="AK428" s="152" t="str">
        <f ca="1">IF(Contrato5[[#This Row],[FECHA TERMINACIÓN ]]&lt;TODAY(), "Terminado",IF(ISNUMBER(Contrato5[[#This Row],[Fecha Real de liquiidación ]]),"Liquidado",IF(Contrato5[[#This Row],[FECHA TERMINACIÓN ]]&gt;=TODAY(),"En ejecución","")))</f>
        <v>Terminado</v>
      </c>
      <c r="AL428" s="153" t="e">
        <f ca="1">SUMIF([2]!COMPROMISOS_2024[[#All],[consecutivo]],Contrato5[[#This Row],[RCP]],[2]!COMPROMISOS_2024[[#All],[Total pagado]])</f>
        <v>#REF!</v>
      </c>
      <c r="AM428" s="154">
        <f ca="1">IFERROR(Contrato5[[#This Row],[Pagos]]/Contrato5[[#This Row],[VALOR CONTRATO]],0)</f>
        <v>0</v>
      </c>
      <c r="AN428" s="198" t="e">
        <f ca="1">+Contrato5[[#This Row],[VALOR CONTRATO]]-Contrato5[[#This Row],[Pagos]]</f>
        <v>#REF!</v>
      </c>
      <c r="AO428" s="147" t="e" cm="1">
        <f t="array" aca="1" ref="AO428" ca="1">_xlfn.XLOOKUP(Contrato5[[#This Row],[DOCUMENTO ]],[2]!PERSONAL_ACTIVO_2024[[#All],[Documento identidad]],[2]!PERSONAL_ACTIVO_2024[[#All],[Mail ]],0,0)</f>
        <v>#NAME?</v>
      </c>
      <c r="AP428" s="147" t="e" cm="1">
        <f t="array" aca="1" ref="AP428" ca="1">_xlfn.XLOOKUP(Contrato5[[#This Row],[DOCUMENTO]],[2]!PERSONAL_ACTIVO_2024[[#All],[Documento identidad]],[2]!PERSONAL_ACTIVO_2024[[#All],[Mail ]],0,0)</f>
        <v>#NAME?</v>
      </c>
      <c r="AQ428" s="439" cm="1">
        <f t="array" aca="1" ref="AQ428" ca="1">IF(ISBLANK(Contrato5[[#This Row],[DEPENDENCIA ]]),0,IFERROR(_xlfn.XLOOKUP(Contrato5[[#This Row],[DEPENDENCIA ]],[2]!PERSONAL_ACTIVO_2024[[#All],[Dependencia]],[2]!PERSONAL_ACTIVO_2024[[#All],[Mail ]],0,0),0))</f>
        <v>0</v>
      </c>
    </row>
    <row r="429" spans="1:43" ht="34.5" customHeight="1">
      <c r="A429" s="125">
        <v>602</v>
      </c>
      <c r="B429" s="124">
        <v>332</v>
      </c>
      <c r="C429" s="162" t="s">
        <v>1588</v>
      </c>
      <c r="D429" s="227" t="s">
        <v>583</v>
      </c>
      <c r="E429" s="440" t="s">
        <v>94</v>
      </c>
      <c r="F429" s="163" t="s">
        <v>1376</v>
      </c>
      <c r="G429" s="281" t="s">
        <v>1165</v>
      </c>
      <c r="H429" s="447">
        <v>71353580</v>
      </c>
      <c r="I429" s="273">
        <v>2574842</v>
      </c>
      <c r="J429" s="437">
        <v>18367206</v>
      </c>
      <c r="K429" s="131" t="s">
        <v>42</v>
      </c>
      <c r="L429" s="438" t="s">
        <v>513</v>
      </c>
      <c r="M429" s="194" t="s">
        <v>600</v>
      </c>
      <c r="N429" s="177" t="e" cm="1">
        <f t="array" aca="1" ref="N429" ca="1">_xlfn.XLOOKUP(Contrato5[[#This Row],[SUPERVISOR TITULAR]],[2]!PERSONAL_ACTIVO_2024[[#All],[Nombre completo]],[2]!PERSONAL_ACTIVO_2024[[#All],[Documento identidad]],"",0)</f>
        <v>#NAME?</v>
      </c>
      <c r="O429" s="194" t="s">
        <v>2495</v>
      </c>
      <c r="P429" s="196" t="e" cm="1">
        <f t="array" aca="1" ref="P429" ca="1">_xlfn.XLOOKUP(Contrato5[[#This Row],[SUPERVISOR SUPLENTE ]],[2]!PERSONAL_ACTIVO_2024[[#All],[Nombre completo]],[2]!PERSONAL_ACTIVO_2024[[#All],[Documento identidad]],"",0)</f>
        <v>#NAME?</v>
      </c>
      <c r="Q429" s="208">
        <v>459</v>
      </c>
      <c r="R429" s="137" t="e" cm="1">
        <f t="array" aca="1" ref="R429" ca="1">_xlfn.XLOOKUP(Contrato5[[#This Row],[CDP]],[2]!DISPONIBILIDADES_2024[[#All],[consecutivo]],[2]!DISPONIBILIDADES_2024[[#All],[fecha_aprobacion]],"",0)</f>
        <v>#NAME?</v>
      </c>
      <c r="S429" s="138" t="e">
        <f>SUMIF([2]!DISPONIBILIDADES_2024[[#All],[consecutivo]],Contrato5[[#This Row],[CDP]],[2]!DISPONIBILIDADES_2024[[#All],[valor_total_rubro]])</f>
        <v>#REF!</v>
      </c>
      <c r="T429" s="139" t="e" cm="1">
        <f t="array" aca="1" ref="T429" ca="1">_xlfn.XLOOKUP(Contrato5[[#This Row],[CONTRATO]]&amp;Contrato5[[#This Row],[CDP]],[2]!Corr_Contr_CDP[[#All],[CONTRATO-CDP]],[2]!Corr_Contr_CDP[[#All],[CRP]],_xlfn.XLOOKUP(Contrato5[[#This Row],[CDP]],[2]!COMPROMISOS_2024[[#All],[disponibilidad]],[2]!COMPROMISOS_2024[[#All],[consecutivo]],"",0),0)</f>
        <v>#NAME?</v>
      </c>
      <c r="U429" s="140" t="e" cm="1">
        <f t="array" aca="1" ref="U429" ca="1">+_xlfn.XLOOKUP(Contrato5[[#This Row],[RCP]],[2]!COMPROMISOS_2024[[#All],[consecutivo]],[2]!COMPROMISOS_2024[[#All],[fecha_aprobacion]],"",0)</f>
        <v>#NAME?</v>
      </c>
      <c r="V429" s="141" t="e">
        <f ca="1">SUMIF([2]!COMPROMISOS_2024[[#All],[consecutivo]],Contrato5[[#This Row],[RCP]],[2]!COMPROMISOS_2024[[#All],[valor_total]])</f>
        <v>#REF!</v>
      </c>
      <c r="W429" s="415">
        <v>45422</v>
      </c>
      <c r="X429" s="415" t="s">
        <v>1045</v>
      </c>
      <c r="Y429" s="143">
        <v>45426</v>
      </c>
      <c r="Z429" s="262">
        <v>45643</v>
      </c>
      <c r="AA429" s="171" t="s">
        <v>1163</v>
      </c>
      <c r="AB429" s="280" t="s">
        <v>1164</v>
      </c>
      <c r="AC429" s="280"/>
      <c r="AD429" s="211">
        <v>202000004337</v>
      </c>
      <c r="AE429" s="147" t="s">
        <v>523</v>
      </c>
      <c r="AF429" s="148" t="str">
        <f>TEXT(LEFT(Contrato5[[#This Row],[CONTRATO]],3),"0")</f>
        <v>332</v>
      </c>
      <c r="AG429" s="148" t="str">
        <f>IF(LEN(Contrato5[[#This Row],[Contrato2]])=3,Contrato5[[#This Row],[Contrato2]],TEXT(Contrato5[[#This Row],[Contrato2]],"000"))</f>
        <v>332</v>
      </c>
      <c r="AH429" s="149">
        <f ca="1">IFERROR(_xlfn.DAYS(Contrato5[[#This Row],[Fecha Proyectada liquidación]],TODAY())/30,"")</f>
        <v>0.16666666666666666</v>
      </c>
      <c r="AI429" s="150">
        <f>+Contrato5[[#This Row],[FECHA TERMINACIÓN ]]+120</f>
        <v>45763</v>
      </c>
      <c r="AJ429" s="147"/>
      <c r="AK429" s="152" t="str">
        <f ca="1">IF(Contrato5[[#This Row],[FECHA TERMINACIÓN ]]&lt;TODAY(), "Terminado",IF(ISNUMBER(Contrato5[[#This Row],[Fecha Real de liquiidación ]]),"Liquidado",IF(Contrato5[[#This Row],[FECHA TERMINACIÓN ]]&gt;=TODAY(),"En ejecución","")))</f>
        <v>Terminado</v>
      </c>
      <c r="AL429" s="153" t="e">
        <f ca="1">SUMIF([2]!COMPROMISOS_2024[[#All],[consecutivo]],Contrato5[[#This Row],[RCP]],[2]!COMPROMISOS_2024[[#All],[Total pagado]])</f>
        <v>#REF!</v>
      </c>
      <c r="AM429" s="154">
        <f ca="1">IFERROR(Contrato5[[#This Row],[Pagos]]/Contrato5[[#This Row],[VALOR CONTRATO]],0)</f>
        <v>0</v>
      </c>
      <c r="AN429" s="198" t="e">
        <f ca="1">+Contrato5[[#This Row],[VALOR CONTRATO]]-Contrato5[[#This Row],[Pagos]]</f>
        <v>#REF!</v>
      </c>
      <c r="AO429" s="147" t="e" cm="1">
        <f t="array" aca="1" ref="AO429" ca="1">_xlfn.XLOOKUP(Contrato5[[#This Row],[DOCUMENTO ]],[2]!PERSONAL_ACTIVO_2024[[#All],[Documento identidad]],[2]!PERSONAL_ACTIVO_2024[[#All],[Mail ]],0,0)</f>
        <v>#NAME?</v>
      </c>
      <c r="AP429" s="147" t="e" cm="1">
        <f t="array" aca="1" ref="AP429" ca="1">_xlfn.XLOOKUP(Contrato5[[#This Row],[DOCUMENTO]],[2]!PERSONAL_ACTIVO_2024[[#All],[Documento identidad]],[2]!PERSONAL_ACTIVO_2024[[#All],[Mail ]],0,0)</f>
        <v>#NAME?</v>
      </c>
      <c r="AQ429" s="439" cm="1">
        <f t="array" aca="1" ref="AQ429" ca="1">IF(ISBLANK(Contrato5[[#This Row],[DEPENDENCIA ]]),0,IFERROR(_xlfn.XLOOKUP(Contrato5[[#This Row],[DEPENDENCIA ]],[2]!PERSONAL_ACTIVO_2024[[#All],[Dependencia]],[2]!PERSONAL_ACTIVO_2024[[#All],[Mail ]],0,0),0))</f>
        <v>0</v>
      </c>
    </row>
    <row r="430" spans="1:43" ht="34.5" customHeight="1">
      <c r="A430" s="125">
        <v>211</v>
      </c>
      <c r="B430" s="124">
        <v>333</v>
      </c>
      <c r="C430" s="162" t="s">
        <v>1634</v>
      </c>
      <c r="D430" s="227" t="s">
        <v>583</v>
      </c>
      <c r="E430" s="440" t="s">
        <v>94</v>
      </c>
      <c r="F430" s="163" t="s">
        <v>1376</v>
      </c>
      <c r="G430" s="281" t="s">
        <v>1166</v>
      </c>
      <c r="H430" s="447">
        <v>10011429</v>
      </c>
      <c r="I430" s="507">
        <v>4908936</v>
      </c>
      <c r="J430" s="445">
        <v>35017077</v>
      </c>
      <c r="K430" s="131" t="s">
        <v>42</v>
      </c>
      <c r="L430" s="438" t="s">
        <v>513</v>
      </c>
      <c r="M430" s="194" t="s">
        <v>600</v>
      </c>
      <c r="N430" s="177" t="e" cm="1">
        <f t="array" aca="1" ref="N430" ca="1">_xlfn.XLOOKUP(Contrato5[[#This Row],[SUPERVISOR TITULAR]],[2]!PERSONAL_ACTIVO_2024[[#All],[Nombre completo]],[2]!PERSONAL_ACTIVO_2024[[#All],[Documento identidad]],"",0)</f>
        <v>#NAME?</v>
      </c>
      <c r="O430" s="194" t="s">
        <v>2495</v>
      </c>
      <c r="P430" s="196" t="e" cm="1">
        <f t="array" aca="1" ref="P430" ca="1">_xlfn.XLOOKUP(Contrato5[[#This Row],[SUPERVISOR SUPLENTE ]],[2]!PERSONAL_ACTIVO_2024[[#All],[Nombre completo]],[2]!PERSONAL_ACTIVO_2024[[#All],[Documento identidad]],"",0)</f>
        <v>#NAME?</v>
      </c>
      <c r="Q430" s="208">
        <v>456</v>
      </c>
      <c r="R430" s="137" t="e" cm="1">
        <f t="array" aca="1" ref="R430" ca="1">_xlfn.XLOOKUP(Contrato5[[#This Row],[CDP]],[2]!DISPONIBILIDADES_2024[[#All],[consecutivo]],[2]!DISPONIBILIDADES_2024[[#All],[fecha_aprobacion]],"",0)</f>
        <v>#NAME?</v>
      </c>
      <c r="S430" s="138" t="e">
        <f>SUMIF([2]!DISPONIBILIDADES_2024[[#All],[consecutivo]],Contrato5[[#This Row],[CDP]],[2]!DISPONIBILIDADES_2024[[#All],[valor_total_rubro]])</f>
        <v>#REF!</v>
      </c>
      <c r="T430" s="139" t="e" cm="1">
        <f t="array" aca="1" ref="T430" ca="1">_xlfn.XLOOKUP(Contrato5[[#This Row],[CONTRATO]]&amp;Contrato5[[#This Row],[CDP]],[2]!Corr_Contr_CDP[[#All],[CONTRATO-CDP]],[2]!Corr_Contr_CDP[[#All],[CRP]],_xlfn.XLOOKUP(Contrato5[[#This Row],[CDP]],[2]!COMPROMISOS_2024[[#All],[disponibilidad]],[2]!COMPROMISOS_2024[[#All],[consecutivo]],"",0),0)</f>
        <v>#NAME?</v>
      </c>
      <c r="U430" s="140" t="e" cm="1">
        <f t="array" aca="1" ref="U430" ca="1">+_xlfn.XLOOKUP(Contrato5[[#This Row],[RCP]],[2]!COMPROMISOS_2024[[#All],[consecutivo]],[2]!COMPROMISOS_2024[[#All],[fecha_aprobacion]],"",0)</f>
        <v>#NAME?</v>
      </c>
      <c r="V430" s="141" t="e">
        <f ca="1">SUMIF([2]!COMPROMISOS_2024[[#All],[consecutivo]],Contrato5[[#This Row],[RCP]],[2]!COMPROMISOS_2024[[#All],[valor_total]])</f>
        <v>#REF!</v>
      </c>
      <c r="W430" s="415">
        <v>45422</v>
      </c>
      <c r="X430" s="415" t="s">
        <v>1045</v>
      </c>
      <c r="Y430" s="143">
        <v>45426</v>
      </c>
      <c r="Z430" s="262">
        <v>45426</v>
      </c>
      <c r="AA430" s="171" t="s">
        <v>1163</v>
      </c>
      <c r="AB430" s="280" t="s">
        <v>1164</v>
      </c>
      <c r="AC430" s="280"/>
      <c r="AD430" s="211">
        <v>202000004338</v>
      </c>
      <c r="AE430" s="147" t="s">
        <v>523</v>
      </c>
      <c r="AF430" s="148" t="str">
        <f>TEXT(LEFT(Contrato5[[#This Row],[CONTRATO]],3),"0")</f>
        <v>333</v>
      </c>
      <c r="AG430" s="148" t="str">
        <f>IF(LEN(Contrato5[[#This Row],[Contrato2]])=3,Contrato5[[#This Row],[Contrato2]],TEXT(Contrato5[[#This Row],[Contrato2]],"000"))</f>
        <v>333</v>
      </c>
      <c r="AH430" s="149">
        <f ca="1">IFERROR(_xlfn.DAYS(Contrato5[[#This Row],[Fecha Proyectada liquidación]],TODAY())/30,"")</f>
        <v>-7.0666666666666664</v>
      </c>
      <c r="AI430" s="150">
        <f>+Contrato5[[#This Row],[FECHA TERMINACIÓN ]]+120</f>
        <v>45546</v>
      </c>
      <c r="AJ430" s="147"/>
      <c r="AK430" s="152" t="str">
        <f ca="1">IF(Contrato5[[#This Row],[FECHA TERMINACIÓN ]]&lt;TODAY(), "Terminado",IF(ISNUMBER(Contrato5[[#This Row],[Fecha Real de liquiidación ]]),"Liquidado",IF(Contrato5[[#This Row],[FECHA TERMINACIÓN ]]&gt;=TODAY(),"En ejecución","")))</f>
        <v>Terminado</v>
      </c>
      <c r="AL430" s="153" t="e">
        <f ca="1">SUMIF([2]!COMPROMISOS_2024[[#All],[consecutivo]],Contrato5[[#This Row],[RCP]],[2]!COMPROMISOS_2024[[#All],[Total pagado]])</f>
        <v>#REF!</v>
      </c>
      <c r="AM430" s="154">
        <f ca="1">IFERROR(Contrato5[[#This Row],[Pagos]]/Contrato5[[#This Row],[VALOR CONTRATO]],0)</f>
        <v>0</v>
      </c>
      <c r="AN430" s="198" t="e">
        <f ca="1">+Contrato5[[#This Row],[VALOR CONTRATO]]-Contrato5[[#This Row],[Pagos]]</f>
        <v>#REF!</v>
      </c>
      <c r="AO430" s="147" t="e" cm="1">
        <f t="array" aca="1" ref="AO430" ca="1">_xlfn.XLOOKUP(Contrato5[[#This Row],[DOCUMENTO ]],[2]!PERSONAL_ACTIVO_2024[[#All],[Documento identidad]],[2]!PERSONAL_ACTIVO_2024[[#All],[Mail ]],0,0)</f>
        <v>#NAME?</v>
      </c>
      <c r="AP430" s="147" t="e" cm="1">
        <f t="array" aca="1" ref="AP430" ca="1">_xlfn.XLOOKUP(Contrato5[[#This Row],[DOCUMENTO]],[2]!PERSONAL_ACTIVO_2024[[#All],[Documento identidad]],[2]!PERSONAL_ACTIVO_2024[[#All],[Mail ]],0,0)</f>
        <v>#NAME?</v>
      </c>
      <c r="AQ430" s="439" cm="1">
        <f t="array" aca="1" ref="AQ430" ca="1">IF(ISBLANK(Contrato5[[#This Row],[DEPENDENCIA ]]),0,IFERROR(_xlfn.XLOOKUP(Contrato5[[#This Row],[DEPENDENCIA ]],[2]!PERSONAL_ACTIVO_2024[[#All],[Dependencia]],[2]!PERSONAL_ACTIVO_2024[[#All],[Mail ]],0,0),0))</f>
        <v>0</v>
      </c>
    </row>
    <row r="431" spans="1:43" ht="34.5" customHeight="1">
      <c r="A431" s="125">
        <v>231</v>
      </c>
      <c r="B431" s="124">
        <v>334</v>
      </c>
      <c r="C431" s="162" t="s">
        <v>1634</v>
      </c>
      <c r="D431" s="227" t="s">
        <v>583</v>
      </c>
      <c r="E431" s="440" t="s">
        <v>94</v>
      </c>
      <c r="F431" s="163" t="s">
        <v>1376</v>
      </c>
      <c r="G431" s="281" t="s">
        <v>1167</v>
      </c>
      <c r="H431" s="447">
        <v>8154096</v>
      </c>
      <c r="I431" s="273">
        <v>4908936</v>
      </c>
      <c r="J431" s="437">
        <v>35017077</v>
      </c>
      <c r="K431" s="131" t="s">
        <v>42</v>
      </c>
      <c r="L431" s="438" t="s">
        <v>513</v>
      </c>
      <c r="M431" s="194" t="s">
        <v>600</v>
      </c>
      <c r="N431" s="177" t="e" cm="1">
        <f t="array" aca="1" ref="N431" ca="1">_xlfn.XLOOKUP(Contrato5[[#This Row],[SUPERVISOR TITULAR]],[2]!PERSONAL_ACTIVO_2024[[#All],[Nombre completo]],[2]!PERSONAL_ACTIVO_2024[[#All],[Documento identidad]],"",0)</f>
        <v>#NAME?</v>
      </c>
      <c r="O431" s="194" t="s">
        <v>2495</v>
      </c>
      <c r="P431" s="196" t="e" cm="1">
        <f t="array" aca="1" ref="P431" ca="1">_xlfn.XLOOKUP(Contrato5[[#This Row],[SUPERVISOR SUPLENTE ]],[2]!PERSONAL_ACTIVO_2024[[#All],[Nombre completo]],[2]!PERSONAL_ACTIVO_2024[[#All],[Documento identidad]],"",0)</f>
        <v>#NAME?</v>
      </c>
      <c r="Q431" s="208">
        <v>455</v>
      </c>
      <c r="R431" s="137" t="e" cm="1">
        <f t="array" aca="1" ref="R431" ca="1">_xlfn.XLOOKUP(Contrato5[[#This Row],[CDP]],[2]!DISPONIBILIDADES_2024[[#All],[consecutivo]],[2]!DISPONIBILIDADES_2024[[#All],[fecha_aprobacion]],"",0)</f>
        <v>#NAME?</v>
      </c>
      <c r="S431" s="138" t="e">
        <f>SUMIF([2]!DISPONIBILIDADES_2024[[#All],[consecutivo]],Contrato5[[#This Row],[CDP]],[2]!DISPONIBILIDADES_2024[[#All],[valor_total_rubro]])</f>
        <v>#REF!</v>
      </c>
      <c r="T431" s="139" t="e" cm="1">
        <f t="array" aca="1" ref="T431" ca="1">_xlfn.XLOOKUP(Contrato5[[#This Row],[CONTRATO]]&amp;Contrato5[[#This Row],[CDP]],[2]!Corr_Contr_CDP[[#All],[CONTRATO-CDP]],[2]!Corr_Contr_CDP[[#All],[CRP]],_xlfn.XLOOKUP(Contrato5[[#This Row],[CDP]],[2]!COMPROMISOS_2024[[#All],[disponibilidad]],[2]!COMPROMISOS_2024[[#All],[consecutivo]],"",0),0)</f>
        <v>#NAME?</v>
      </c>
      <c r="U431" s="140" t="e" cm="1">
        <f t="array" aca="1" ref="U431" ca="1">+_xlfn.XLOOKUP(Contrato5[[#This Row],[RCP]],[2]!COMPROMISOS_2024[[#All],[consecutivo]],[2]!COMPROMISOS_2024[[#All],[fecha_aprobacion]],"",0)</f>
        <v>#NAME?</v>
      </c>
      <c r="V431" s="141" t="e">
        <f ca="1">SUMIF([2]!COMPROMISOS_2024[[#All],[consecutivo]],Contrato5[[#This Row],[RCP]],[2]!COMPROMISOS_2024[[#All],[valor_total]])</f>
        <v>#REF!</v>
      </c>
      <c r="W431" s="415">
        <v>45422</v>
      </c>
      <c r="X431" s="415" t="s">
        <v>1045</v>
      </c>
      <c r="Y431" s="143">
        <v>45426</v>
      </c>
      <c r="Z431" s="262">
        <v>45643</v>
      </c>
      <c r="AA431" s="171" t="s">
        <v>1163</v>
      </c>
      <c r="AB431" s="280" t="s">
        <v>1164</v>
      </c>
      <c r="AC431" s="280"/>
      <c r="AD431" s="211">
        <v>202000004339</v>
      </c>
      <c r="AE431" s="147" t="s">
        <v>523</v>
      </c>
      <c r="AF431" s="148" t="str">
        <f>TEXT(LEFT(Contrato5[[#This Row],[CONTRATO]],3),"0")</f>
        <v>334</v>
      </c>
      <c r="AG431" s="148" t="str">
        <f>IF(LEN(Contrato5[[#This Row],[Contrato2]])=3,Contrato5[[#This Row],[Contrato2]],TEXT(Contrato5[[#This Row],[Contrato2]],"000"))</f>
        <v>334</v>
      </c>
      <c r="AH431" s="149">
        <f ca="1">IFERROR(_xlfn.DAYS(Contrato5[[#This Row],[Fecha Proyectada liquidación]],TODAY())/30,"")</f>
        <v>0.16666666666666666</v>
      </c>
      <c r="AI431" s="150">
        <f>+Contrato5[[#This Row],[FECHA TERMINACIÓN ]]+120</f>
        <v>45763</v>
      </c>
      <c r="AJ431" s="147"/>
      <c r="AK431" s="152" t="str">
        <f ca="1">IF(Contrato5[[#This Row],[FECHA TERMINACIÓN ]]&lt;TODAY(), "Terminado",IF(ISNUMBER(Contrato5[[#This Row],[Fecha Real de liquiidación ]]),"Liquidado",IF(Contrato5[[#This Row],[FECHA TERMINACIÓN ]]&gt;=TODAY(),"En ejecución","")))</f>
        <v>Terminado</v>
      </c>
      <c r="AL431" s="153" t="e">
        <f ca="1">SUMIF([2]!COMPROMISOS_2024[[#All],[consecutivo]],Contrato5[[#This Row],[RCP]],[2]!COMPROMISOS_2024[[#All],[Total pagado]])</f>
        <v>#REF!</v>
      </c>
      <c r="AM431" s="154">
        <f ca="1">IFERROR(Contrato5[[#This Row],[Pagos]]/Contrato5[[#This Row],[VALOR CONTRATO]],0)</f>
        <v>0</v>
      </c>
      <c r="AN431" s="198" t="e">
        <f ca="1">+Contrato5[[#This Row],[VALOR CONTRATO]]-Contrato5[[#This Row],[Pagos]]</f>
        <v>#REF!</v>
      </c>
      <c r="AO431" s="147" t="e" cm="1">
        <f t="array" aca="1" ref="AO431" ca="1">_xlfn.XLOOKUP(Contrato5[[#This Row],[DOCUMENTO ]],[2]!PERSONAL_ACTIVO_2024[[#All],[Documento identidad]],[2]!PERSONAL_ACTIVO_2024[[#All],[Mail ]],0,0)</f>
        <v>#NAME?</v>
      </c>
      <c r="AP431" s="147" t="e" cm="1">
        <f t="array" aca="1" ref="AP431" ca="1">_xlfn.XLOOKUP(Contrato5[[#This Row],[DOCUMENTO]],[2]!PERSONAL_ACTIVO_2024[[#All],[Documento identidad]],[2]!PERSONAL_ACTIVO_2024[[#All],[Mail ]],0,0)</f>
        <v>#NAME?</v>
      </c>
      <c r="AQ431" s="439" cm="1">
        <f t="array" aca="1" ref="AQ431" ca="1">IF(ISBLANK(Contrato5[[#This Row],[DEPENDENCIA ]]),0,IFERROR(_xlfn.XLOOKUP(Contrato5[[#This Row],[DEPENDENCIA ]],[2]!PERSONAL_ACTIVO_2024[[#All],[Dependencia]],[2]!PERSONAL_ACTIVO_2024[[#All],[Mail ]],0,0),0))</f>
        <v>0</v>
      </c>
    </row>
    <row r="432" spans="1:43" ht="34.5" customHeight="1">
      <c r="A432" s="125">
        <v>239</v>
      </c>
      <c r="B432" s="124">
        <v>335</v>
      </c>
      <c r="C432" s="162" t="s">
        <v>1634</v>
      </c>
      <c r="D432" s="227" t="s">
        <v>583</v>
      </c>
      <c r="E432" s="440" t="s">
        <v>94</v>
      </c>
      <c r="F432" s="163" t="s">
        <v>1376</v>
      </c>
      <c r="G432" s="281" t="s">
        <v>1168</v>
      </c>
      <c r="H432" s="447">
        <v>15488736</v>
      </c>
      <c r="I432" s="273">
        <v>4908936</v>
      </c>
      <c r="J432" s="437">
        <v>35017077</v>
      </c>
      <c r="K432" s="131" t="s">
        <v>42</v>
      </c>
      <c r="L432" s="438" t="s">
        <v>513</v>
      </c>
      <c r="M432" s="194" t="s">
        <v>600</v>
      </c>
      <c r="N432" s="177" t="e" cm="1">
        <f t="array" aca="1" ref="N432" ca="1">_xlfn.XLOOKUP(Contrato5[[#This Row],[SUPERVISOR TITULAR]],[2]!PERSONAL_ACTIVO_2024[[#All],[Nombre completo]],[2]!PERSONAL_ACTIVO_2024[[#All],[Documento identidad]],"",0)</f>
        <v>#NAME?</v>
      </c>
      <c r="O432" s="194" t="s">
        <v>2495</v>
      </c>
      <c r="P432" s="196" t="e" cm="1">
        <f t="array" aca="1" ref="P432" ca="1">_xlfn.XLOOKUP(Contrato5[[#This Row],[SUPERVISOR SUPLENTE ]],[2]!PERSONAL_ACTIVO_2024[[#All],[Nombre completo]],[2]!PERSONAL_ACTIVO_2024[[#All],[Documento identidad]],"",0)</f>
        <v>#NAME?</v>
      </c>
      <c r="Q432" s="170">
        <v>454</v>
      </c>
      <c r="R432" s="137" t="e" cm="1">
        <f t="array" aca="1" ref="R432" ca="1">_xlfn.XLOOKUP(Contrato5[[#This Row],[CDP]],[2]!DISPONIBILIDADES_2024[[#All],[consecutivo]],[2]!DISPONIBILIDADES_2024[[#All],[fecha_aprobacion]],"",0)</f>
        <v>#NAME?</v>
      </c>
      <c r="S432" s="138" t="e">
        <f>SUMIF([2]!DISPONIBILIDADES_2024[[#All],[consecutivo]],Contrato5[[#This Row],[CDP]],[2]!DISPONIBILIDADES_2024[[#All],[valor_total_rubro]])</f>
        <v>#REF!</v>
      </c>
      <c r="T432" s="139" t="e" cm="1">
        <f t="array" aca="1" ref="T432" ca="1">_xlfn.XLOOKUP(Contrato5[[#This Row],[CONTRATO]]&amp;Contrato5[[#This Row],[CDP]],[2]!Corr_Contr_CDP[[#All],[CONTRATO-CDP]],[2]!Corr_Contr_CDP[[#All],[CRP]],_xlfn.XLOOKUP(Contrato5[[#This Row],[CDP]],[2]!COMPROMISOS_2024[[#All],[disponibilidad]],[2]!COMPROMISOS_2024[[#All],[consecutivo]],"",0),0)</f>
        <v>#NAME?</v>
      </c>
      <c r="U432" s="140" t="e" cm="1">
        <f t="array" aca="1" ref="U432" ca="1">+_xlfn.XLOOKUP(Contrato5[[#This Row],[RCP]],[2]!COMPROMISOS_2024[[#All],[consecutivo]],[2]!COMPROMISOS_2024[[#All],[fecha_aprobacion]],"",0)</f>
        <v>#NAME?</v>
      </c>
      <c r="V432" s="141" t="e">
        <f ca="1">SUMIF([2]!COMPROMISOS_2024[[#All],[consecutivo]],Contrato5[[#This Row],[RCP]],[2]!COMPROMISOS_2024[[#All],[valor_total]])</f>
        <v>#REF!</v>
      </c>
      <c r="W432" s="415">
        <v>45422</v>
      </c>
      <c r="X432" s="415" t="s">
        <v>1045</v>
      </c>
      <c r="Y432" s="143">
        <v>45426</v>
      </c>
      <c r="Z432" s="262">
        <v>45643</v>
      </c>
      <c r="AA432" s="171" t="s">
        <v>1163</v>
      </c>
      <c r="AB432" s="172" t="s">
        <v>1164</v>
      </c>
      <c r="AC432" s="172"/>
      <c r="AD432" s="211">
        <v>202000004340</v>
      </c>
      <c r="AE432" s="147" t="s">
        <v>523</v>
      </c>
      <c r="AF432" s="148" t="str">
        <f>TEXT(LEFT(Contrato5[[#This Row],[CONTRATO]],3),"0")</f>
        <v>335</v>
      </c>
      <c r="AG432" s="148" t="str">
        <f>IF(LEN(Contrato5[[#This Row],[Contrato2]])=3,Contrato5[[#This Row],[Contrato2]],TEXT(Contrato5[[#This Row],[Contrato2]],"000"))</f>
        <v>335</v>
      </c>
      <c r="AH432" s="149">
        <f ca="1">IFERROR(_xlfn.DAYS(Contrato5[[#This Row],[Fecha Proyectada liquidación]],TODAY())/30,"")</f>
        <v>0.16666666666666666</v>
      </c>
      <c r="AI432" s="150">
        <f>+Contrato5[[#This Row],[FECHA TERMINACIÓN ]]+120</f>
        <v>45763</v>
      </c>
      <c r="AJ432" s="147"/>
      <c r="AK432" s="152" t="str">
        <f ca="1">IF(Contrato5[[#This Row],[FECHA TERMINACIÓN ]]&lt;TODAY(), "Terminado",IF(ISNUMBER(Contrato5[[#This Row],[Fecha Real de liquiidación ]]),"Liquidado",IF(Contrato5[[#This Row],[FECHA TERMINACIÓN ]]&gt;=TODAY(),"En ejecución","")))</f>
        <v>Terminado</v>
      </c>
      <c r="AL432" s="153" t="e">
        <f ca="1">SUMIF([2]!COMPROMISOS_2024[[#All],[consecutivo]],Contrato5[[#This Row],[RCP]],[2]!COMPROMISOS_2024[[#All],[Total pagado]])</f>
        <v>#REF!</v>
      </c>
      <c r="AM432" s="154">
        <f ca="1">IFERROR(Contrato5[[#This Row],[Pagos]]/Contrato5[[#This Row],[VALOR CONTRATO]],0)</f>
        <v>0</v>
      </c>
      <c r="AN432" s="198" t="e">
        <f ca="1">+Contrato5[[#This Row],[VALOR CONTRATO]]-Contrato5[[#This Row],[Pagos]]</f>
        <v>#REF!</v>
      </c>
      <c r="AO432" s="147" t="e" cm="1">
        <f t="array" aca="1" ref="AO432" ca="1">_xlfn.XLOOKUP(Contrato5[[#This Row],[DOCUMENTO ]],[2]!PERSONAL_ACTIVO_2024[[#All],[Documento identidad]],[2]!PERSONAL_ACTIVO_2024[[#All],[Mail ]],0,0)</f>
        <v>#NAME?</v>
      </c>
      <c r="AP432" s="147" t="e" cm="1">
        <f t="array" aca="1" ref="AP432" ca="1">_xlfn.XLOOKUP(Contrato5[[#This Row],[DOCUMENTO]],[2]!PERSONAL_ACTIVO_2024[[#All],[Documento identidad]],[2]!PERSONAL_ACTIVO_2024[[#All],[Mail ]],0,0)</f>
        <v>#NAME?</v>
      </c>
      <c r="AQ432" s="439" cm="1">
        <f t="array" aca="1" ref="AQ432" ca="1">IF(ISBLANK(Contrato5[[#This Row],[DEPENDENCIA ]]),0,IFERROR(_xlfn.XLOOKUP(Contrato5[[#This Row],[DEPENDENCIA ]],[2]!PERSONAL_ACTIVO_2024[[#All],[Dependencia]],[2]!PERSONAL_ACTIVO_2024[[#All],[Mail ]],0,0),0))</f>
        <v>0</v>
      </c>
    </row>
    <row r="433" spans="1:43" ht="34.5" customHeight="1">
      <c r="A433" s="125">
        <v>674</v>
      </c>
      <c r="B433" s="124">
        <v>336</v>
      </c>
      <c r="C433" s="162" t="s">
        <v>1634</v>
      </c>
      <c r="D433" s="227" t="s">
        <v>583</v>
      </c>
      <c r="E433" s="440" t="s">
        <v>94</v>
      </c>
      <c r="F433" s="163" t="s">
        <v>1376</v>
      </c>
      <c r="G433" s="281" t="s">
        <v>1169</v>
      </c>
      <c r="H433" s="447">
        <v>1152193370</v>
      </c>
      <c r="I433" s="273">
        <v>4908936</v>
      </c>
      <c r="J433" s="437">
        <v>35017077</v>
      </c>
      <c r="K433" s="131" t="s">
        <v>42</v>
      </c>
      <c r="L433" s="438" t="s">
        <v>513</v>
      </c>
      <c r="M433" s="194" t="s">
        <v>600</v>
      </c>
      <c r="N433" s="177" t="e" cm="1">
        <f t="array" aca="1" ref="N433" ca="1">_xlfn.XLOOKUP(Contrato5[[#This Row],[SUPERVISOR TITULAR]],[2]!PERSONAL_ACTIVO_2024[[#All],[Nombre completo]],[2]!PERSONAL_ACTIVO_2024[[#All],[Documento identidad]],"",0)</f>
        <v>#NAME?</v>
      </c>
      <c r="O433" s="194" t="s">
        <v>2495</v>
      </c>
      <c r="P433" s="196" t="e" cm="1">
        <f t="array" aca="1" ref="P433" ca="1">_xlfn.XLOOKUP(Contrato5[[#This Row],[SUPERVISOR SUPLENTE ]],[2]!PERSONAL_ACTIVO_2024[[#All],[Nombre completo]],[2]!PERSONAL_ACTIVO_2024[[#All],[Documento identidad]],"",0)</f>
        <v>#NAME?</v>
      </c>
      <c r="Q433" s="170">
        <v>465</v>
      </c>
      <c r="R433" s="137" t="e" cm="1">
        <f t="array" aca="1" ref="R433" ca="1">_xlfn.XLOOKUP(Contrato5[[#This Row],[CDP]],[2]!DISPONIBILIDADES_2024[[#All],[consecutivo]],[2]!DISPONIBILIDADES_2024[[#All],[fecha_aprobacion]],"",0)</f>
        <v>#NAME?</v>
      </c>
      <c r="S433" s="138" t="e">
        <f>SUMIF([2]!DISPONIBILIDADES_2024[[#All],[consecutivo]],Contrato5[[#This Row],[CDP]],[2]!DISPONIBILIDADES_2024[[#All],[valor_total_rubro]])</f>
        <v>#REF!</v>
      </c>
      <c r="T433" s="139" t="e" cm="1">
        <f t="array" aca="1" ref="T433" ca="1">_xlfn.XLOOKUP(Contrato5[[#This Row],[CONTRATO]]&amp;Contrato5[[#This Row],[CDP]],[2]!Corr_Contr_CDP[[#All],[CONTRATO-CDP]],[2]!Corr_Contr_CDP[[#All],[CRP]],_xlfn.XLOOKUP(Contrato5[[#This Row],[CDP]],[2]!COMPROMISOS_2024[[#All],[disponibilidad]],[2]!COMPROMISOS_2024[[#All],[consecutivo]],"",0),0)</f>
        <v>#NAME?</v>
      </c>
      <c r="U433" s="140" t="e" cm="1">
        <f t="array" aca="1" ref="U433" ca="1">+_xlfn.XLOOKUP(Contrato5[[#This Row],[RCP]],[2]!COMPROMISOS_2024[[#All],[consecutivo]],[2]!COMPROMISOS_2024[[#All],[fecha_aprobacion]],"",0)</f>
        <v>#NAME?</v>
      </c>
      <c r="V433" s="141" t="e">
        <f ca="1">SUMIF([2]!COMPROMISOS_2024[[#All],[consecutivo]],Contrato5[[#This Row],[RCP]],[2]!COMPROMISOS_2024[[#All],[valor_total]])</f>
        <v>#REF!</v>
      </c>
      <c r="W433" s="415">
        <v>45422</v>
      </c>
      <c r="X433" s="415" t="s">
        <v>1045</v>
      </c>
      <c r="Y433" s="143">
        <v>45426</v>
      </c>
      <c r="Z433" s="262">
        <v>45643</v>
      </c>
      <c r="AA433" s="171" t="s">
        <v>1163</v>
      </c>
      <c r="AB433" s="172" t="s">
        <v>1164</v>
      </c>
      <c r="AC433" s="172"/>
      <c r="AD433" s="211">
        <v>202000004341</v>
      </c>
      <c r="AE433" s="147" t="s">
        <v>523</v>
      </c>
      <c r="AF433" s="148" t="str">
        <f>TEXT(LEFT(Contrato5[[#This Row],[CONTRATO]],3),"0")</f>
        <v>336</v>
      </c>
      <c r="AG433" s="148" t="str">
        <f>IF(LEN(Contrato5[[#This Row],[Contrato2]])=3,Contrato5[[#This Row],[Contrato2]],TEXT(Contrato5[[#This Row],[Contrato2]],"000"))</f>
        <v>336</v>
      </c>
      <c r="AH433" s="149">
        <f ca="1">IFERROR(_xlfn.DAYS(Contrato5[[#This Row],[Fecha Proyectada liquidación]],TODAY())/30,"")</f>
        <v>0.16666666666666666</v>
      </c>
      <c r="AI433" s="150">
        <f>+Contrato5[[#This Row],[FECHA TERMINACIÓN ]]+120</f>
        <v>45763</v>
      </c>
      <c r="AJ433" s="147"/>
      <c r="AK433" s="152" t="str">
        <f ca="1">IF(Contrato5[[#This Row],[FECHA TERMINACIÓN ]]&lt;TODAY(), "Terminado",IF(ISNUMBER(Contrato5[[#This Row],[Fecha Real de liquiidación ]]),"Liquidado",IF(Contrato5[[#This Row],[FECHA TERMINACIÓN ]]&gt;=TODAY(),"En ejecución","")))</f>
        <v>Terminado</v>
      </c>
      <c r="AL433" s="153" t="e">
        <f ca="1">SUMIF([2]!COMPROMISOS_2024[[#All],[consecutivo]],Contrato5[[#This Row],[RCP]],[2]!COMPROMISOS_2024[[#All],[Total pagado]])</f>
        <v>#REF!</v>
      </c>
      <c r="AM433" s="154">
        <f ca="1">IFERROR(Contrato5[[#This Row],[Pagos]]/Contrato5[[#This Row],[VALOR CONTRATO]],0)</f>
        <v>0</v>
      </c>
      <c r="AN433" s="198" t="e">
        <f ca="1">+Contrato5[[#This Row],[VALOR CONTRATO]]-Contrato5[[#This Row],[Pagos]]</f>
        <v>#REF!</v>
      </c>
      <c r="AO433" s="147" t="e" cm="1">
        <f t="array" aca="1" ref="AO433" ca="1">_xlfn.XLOOKUP(Contrato5[[#This Row],[DOCUMENTO ]],[2]!PERSONAL_ACTIVO_2024[[#All],[Documento identidad]],[2]!PERSONAL_ACTIVO_2024[[#All],[Mail ]],0,0)</f>
        <v>#NAME?</v>
      </c>
      <c r="AP433" s="147" t="e" cm="1">
        <f t="array" aca="1" ref="AP433" ca="1">_xlfn.XLOOKUP(Contrato5[[#This Row],[DOCUMENTO]],[2]!PERSONAL_ACTIVO_2024[[#All],[Documento identidad]],[2]!PERSONAL_ACTIVO_2024[[#All],[Mail ]],0,0)</f>
        <v>#NAME?</v>
      </c>
      <c r="AQ433" s="439" cm="1">
        <f t="array" aca="1" ref="AQ433" ca="1">IF(ISBLANK(Contrato5[[#This Row],[DEPENDENCIA ]]),0,IFERROR(_xlfn.XLOOKUP(Contrato5[[#This Row],[DEPENDENCIA ]],[2]!PERSONAL_ACTIVO_2024[[#All],[Dependencia]],[2]!PERSONAL_ACTIVO_2024[[#All],[Mail ]],0,0),0))</f>
        <v>0</v>
      </c>
    </row>
    <row r="434" spans="1:43" ht="34.5" customHeight="1">
      <c r="A434" s="125">
        <v>605</v>
      </c>
      <c r="B434" s="124">
        <v>337</v>
      </c>
      <c r="C434" s="162" t="s">
        <v>1734</v>
      </c>
      <c r="D434" s="227" t="s">
        <v>583</v>
      </c>
      <c r="E434" s="440" t="s">
        <v>94</v>
      </c>
      <c r="F434" s="163" t="s">
        <v>1376</v>
      </c>
      <c r="G434" s="281" t="s">
        <v>1170</v>
      </c>
      <c r="H434" s="447">
        <v>1017236440</v>
      </c>
      <c r="I434" s="273">
        <v>2574842</v>
      </c>
      <c r="J434" s="437">
        <v>18367206</v>
      </c>
      <c r="K434" s="131" t="s">
        <v>42</v>
      </c>
      <c r="L434" s="438" t="s">
        <v>513</v>
      </c>
      <c r="M434" s="194" t="s">
        <v>592</v>
      </c>
      <c r="N434" s="177" t="e" cm="1">
        <f t="array" aca="1" ref="N434" ca="1">_xlfn.XLOOKUP(Contrato5[[#This Row],[SUPERVISOR TITULAR]],[2]!PERSONAL_ACTIVO_2024[[#All],[Nombre completo]],[2]!PERSONAL_ACTIVO_2024[[#All],[Documento identidad]],"",0)</f>
        <v>#NAME?</v>
      </c>
      <c r="O434" s="194" t="s">
        <v>600</v>
      </c>
      <c r="P434" s="196" t="e" cm="1">
        <f t="array" aca="1" ref="P434" ca="1">_xlfn.XLOOKUP(Contrato5[[#This Row],[SUPERVISOR SUPLENTE ]],[2]!PERSONAL_ACTIVO_2024[[#All],[Nombre completo]],[2]!PERSONAL_ACTIVO_2024[[#All],[Documento identidad]],"",0)</f>
        <v>#NAME?</v>
      </c>
      <c r="Q434" s="170">
        <v>462</v>
      </c>
      <c r="R434" s="137" t="e" cm="1">
        <f t="array" aca="1" ref="R434" ca="1">_xlfn.XLOOKUP(Contrato5[[#This Row],[CDP]],[2]!DISPONIBILIDADES_2024[[#All],[consecutivo]],[2]!DISPONIBILIDADES_2024[[#All],[fecha_aprobacion]],"",0)</f>
        <v>#NAME?</v>
      </c>
      <c r="S434" s="138" t="e">
        <f>SUMIF([2]!DISPONIBILIDADES_2024[[#All],[consecutivo]],Contrato5[[#This Row],[CDP]],[2]!DISPONIBILIDADES_2024[[#All],[valor_total_rubro]])</f>
        <v>#REF!</v>
      </c>
      <c r="T434" s="139" t="e" cm="1">
        <f t="array" aca="1" ref="T434" ca="1">_xlfn.XLOOKUP(Contrato5[[#This Row],[CONTRATO]]&amp;Contrato5[[#This Row],[CDP]],[2]!Corr_Contr_CDP[[#All],[CONTRATO-CDP]],[2]!Corr_Contr_CDP[[#All],[CRP]],_xlfn.XLOOKUP(Contrato5[[#This Row],[CDP]],[2]!COMPROMISOS_2024[[#All],[disponibilidad]],[2]!COMPROMISOS_2024[[#All],[consecutivo]],"",0),0)</f>
        <v>#NAME?</v>
      </c>
      <c r="U434" s="140" t="e" cm="1">
        <f t="array" aca="1" ref="U434" ca="1">+_xlfn.XLOOKUP(Contrato5[[#This Row],[RCP]],[2]!COMPROMISOS_2024[[#All],[consecutivo]],[2]!COMPROMISOS_2024[[#All],[fecha_aprobacion]],"",0)</f>
        <v>#NAME?</v>
      </c>
      <c r="V434" s="141" t="e">
        <f ca="1">SUMIF([2]!COMPROMISOS_2024[[#All],[consecutivo]],Contrato5[[#This Row],[RCP]],[2]!COMPROMISOS_2024[[#All],[valor_total]])</f>
        <v>#REF!</v>
      </c>
      <c r="W434" s="415">
        <v>45422</v>
      </c>
      <c r="X434" s="415" t="s">
        <v>1045</v>
      </c>
      <c r="Y434" s="143">
        <v>45426</v>
      </c>
      <c r="Z434" s="262">
        <v>45643</v>
      </c>
      <c r="AA434" s="171" t="s">
        <v>1163</v>
      </c>
      <c r="AB434" s="172" t="s">
        <v>1164</v>
      </c>
      <c r="AC434" s="172"/>
      <c r="AD434" s="211">
        <v>202000004342</v>
      </c>
      <c r="AE434" s="147" t="s">
        <v>523</v>
      </c>
      <c r="AF434" s="148" t="str">
        <f>TEXT(LEFT(Contrato5[[#This Row],[CONTRATO]],3),"0")</f>
        <v>337</v>
      </c>
      <c r="AG434" s="148" t="str">
        <f>IF(LEN(Contrato5[[#This Row],[Contrato2]])=3,Contrato5[[#This Row],[Contrato2]],TEXT(Contrato5[[#This Row],[Contrato2]],"000"))</f>
        <v>337</v>
      </c>
      <c r="AH434" s="149">
        <f ca="1">IFERROR(_xlfn.DAYS(Contrato5[[#This Row],[Fecha Proyectada liquidación]],TODAY())/30,"")</f>
        <v>0.16666666666666666</v>
      </c>
      <c r="AI434" s="150">
        <f>+Contrato5[[#This Row],[FECHA TERMINACIÓN ]]+120</f>
        <v>45763</v>
      </c>
      <c r="AJ434" s="147"/>
      <c r="AK434" s="152" t="str">
        <f ca="1">IF(Contrato5[[#This Row],[FECHA TERMINACIÓN ]]&lt;TODAY(), "Terminado",IF(ISNUMBER(Contrato5[[#This Row],[Fecha Real de liquiidación ]]),"Liquidado",IF(Contrato5[[#This Row],[FECHA TERMINACIÓN ]]&gt;=TODAY(),"En ejecución","")))</f>
        <v>Terminado</v>
      </c>
      <c r="AL434" s="153" t="e">
        <f ca="1">SUMIF([2]!COMPROMISOS_2024[[#All],[consecutivo]],Contrato5[[#This Row],[RCP]],[2]!COMPROMISOS_2024[[#All],[Total pagado]])</f>
        <v>#REF!</v>
      </c>
      <c r="AM434" s="154">
        <f ca="1">IFERROR(Contrato5[[#This Row],[Pagos]]/Contrato5[[#This Row],[VALOR CONTRATO]],0)</f>
        <v>0</v>
      </c>
      <c r="AN434" s="198" t="e">
        <f ca="1">+Contrato5[[#This Row],[VALOR CONTRATO]]-Contrato5[[#This Row],[Pagos]]</f>
        <v>#REF!</v>
      </c>
      <c r="AO434" s="147" t="e" cm="1">
        <f t="array" aca="1" ref="AO434" ca="1">_xlfn.XLOOKUP(Contrato5[[#This Row],[DOCUMENTO ]],[2]!PERSONAL_ACTIVO_2024[[#All],[Documento identidad]],[2]!PERSONAL_ACTIVO_2024[[#All],[Mail ]],0,0)</f>
        <v>#NAME?</v>
      </c>
      <c r="AP434" s="147" t="e" cm="1">
        <f t="array" aca="1" ref="AP434" ca="1">_xlfn.XLOOKUP(Contrato5[[#This Row],[DOCUMENTO]],[2]!PERSONAL_ACTIVO_2024[[#All],[Documento identidad]],[2]!PERSONAL_ACTIVO_2024[[#All],[Mail ]],0,0)</f>
        <v>#NAME?</v>
      </c>
      <c r="AQ434" s="439" cm="1">
        <f t="array" aca="1" ref="AQ434" ca="1">IF(ISBLANK(Contrato5[[#This Row],[DEPENDENCIA ]]),0,IFERROR(_xlfn.XLOOKUP(Contrato5[[#This Row],[DEPENDENCIA ]],[2]!PERSONAL_ACTIVO_2024[[#All],[Dependencia]],[2]!PERSONAL_ACTIVO_2024[[#All],[Mail ]],0,0),0))</f>
        <v>0</v>
      </c>
    </row>
    <row r="435" spans="1:43" ht="34.5" customHeight="1">
      <c r="A435" s="125">
        <v>606</v>
      </c>
      <c r="B435" s="124">
        <v>338</v>
      </c>
      <c r="C435" s="162" t="s">
        <v>1735</v>
      </c>
      <c r="D435" s="227" t="s">
        <v>583</v>
      </c>
      <c r="E435" s="440" t="s">
        <v>94</v>
      </c>
      <c r="F435" s="163" t="s">
        <v>1376</v>
      </c>
      <c r="G435" s="281" t="s">
        <v>1171</v>
      </c>
      <c r="H435" s="447">
        <v>700373079</v>
      </c>
      <c r="I435" s="273">
        <v>9849414</v>
      </c>
      <c r="J435" s="437">
        <v>69602526</v>
      </c>
      <c r="K435" s="131" t="s">
        <v>42</v>
      </c>
      <c r="L435" s="438" t="s">
        <v>513</v>
      </c>
      <c r="M435" s="194" t="s">
        <v>592</v>
      </c>
      <c r="N435" s="177" t="e" cm="1">
        <f t="array" aca="1" ref="N435" ca="1">_xlfn.XLOOKUP(Contrato5[[#This Row],[SUPERVISOR TITULAR]],[2]!PERSONAL_ACTIVO_2024[[#All],[Nombre completo]],[2]!PERSONAL_ACTIVO_2024[[#All],[Documento identidad]],"",0)</f>
        <v>#NAME?</v>
      </c>
      <c r="O435" s="194" t="s">
        <v>600</v>
      </c>
      <c r="P435" s="196" t="e" cm="1">
        <f t="array" aca="1" ref="P435" ca="1">_xlfn.XLOOKUP(Contrato5[[#This Row],[SUPERVISOR SUPLENTE ]],[2]!PERSONAL_ACTIVO_2024[[#All],[Nombre completo]],[2]!PERSONAL_ACTIVO_2024[[#All],[Documento identidad]],"",0)</f>
        <v>#NAME?</v>
      </c>
      <c r="Q435" s="170">
        <v>463</v>
      </c>
      <c r="R435" s="137" t="e" cm="1">
        <f t="array" aca="1" ref="R435" ca="1">_xlfn.XLOOKUP(Contrato5[[#This Row],[CDP]],[2]!DISPONIBILIDADES_2024[[#All],[consecutivo]],[2]!DISPONIBILIDADES_2024[[#All],[fecha_aprobacion]],"",0)</f>
        <v>#NAME?</v>
      </c>
      <c r="S435" s="138" t="e">
        <f>SUMIF([2]!DISPONIBILIDADES_2024[[#All],[consecutivo]],Contrato5[[#This Row],[CDP]],[2]!DISPONIBILIDADES_2024[[#All],[valor_total_rubro]])</f>
        <v>#REF!</v>
      </c>
      <c r="T435" s="139" t="e" cm="1">
        <f t="array" aca="1" ref="T435" ca="1">_xlfn.XLOOKUP(Contrato5[[#This Row],[CONTRATO]]&amp;Contrato5[[#This Row],[CDP]],[2]!Corr_Contr_CDP[[#All],[CONTRATO-CDP]],[2]!Corr_Contr_CDP[[#All],[CRP]],_xlfn.XLOOKUP(Contrato5[[#This Row],[CDP]],[2]!COMPROMISOS_2024[[#All],[disponibilidad]],[2]!COMPROMISOS_2024[[#All],[consecutivo]],"",0),0)</f>
        <v>#NAME?</v>
      </c>
      <c r="U435" s="140" t="e" cm="1">
        <f t="array" aca="1" ref="U435" ca="1">+_xlfn.XLOOKUP(Contrato5[[#This Row],[RCP]],[2]!COMPROMISOS_2024[[#All],[consecutivo]],[2]!COMPROMISOS_2024[[#All],[fecha_aprobacion]],"",0)</f>
        <v>#NAME?</v>
      </c>
      <c r="V435" s="141" t="e">
        <f ca="1">SUMIF([2]!COMPROMISOS_2024[[#All],[consecutivo]],Contrato5[[#This Row],[RCP]],[2]!COMPROMISOS_2024[[#All],[valor_total]])</f>
        <v>#REF!</v>
      </c>
      <c r="W435" s="415">
        <v>45422</v>
      </c>
      <c r="X435" s="415" t="s">
        <v>1045</v>
      </c>
      <c r="Y435" s="143">
        <v>45426</v>
      </c>
      <c r="Z435" s="262">
        <v>45426</v>
      </c>
      <c r="AA435" s="171" t="s">
        <v>1163</v>
      </c>
      <c r="AB435" s="172" t="s">
        <v>1172</v>
      </c>
      <c r="AC435" s="172"/>
      <c r="AD435" s="211">
        <v>202000004344</v>
      </c>
      <c r="AE435" s="147" t="s">
        <v>523</v>
      </c>
      <c r="AF435" s="148" t="str">
        <f>TEXT(LEFT(Contrato5[[#This Row],[CONTRATO]],3),"0")</f>
        <v>338</v>
      </c>
      <c r="AG435" s="148" t="str">
        <f>IF(LEN(Contrato5[[#This Row],[Contrato2]])=3,Contrato5[[#This Row],[Contrato2]],TEXT(Contrato5[[#This Row],[Contrato2]],"000"))</f>
        <v>338</v>
      </c>
      <c r="AH435" s="149">
        <f ca="1">IFERROR(_xlfn.DAYS(Contrato5[[#This Row],[Fecha Proyectada liquidación]],TODAY())/30,"")</f>
        <v>-7.0666666666666664</v>
      </c>
      <c r="AI435" s="150">
        <f>+Contrato5[[#This Row],[FECHA TERMINACIÓN ]]+120</f>
        <v>45546</v>
      </c>
      <c r="AJ435" s="147"/>
      <c r="AK435" s="152" t="str">
        <f ca="1">IF(Contrato5[[#This Row],[FECHA TERMINACIÓN ]]&lt;TODAY(), "Terminado",IF(ISNUMBER(Contrato5[[#This Row],[Fecha Real de liquiidación ]]),"Liquidado",IF(Contrato5[[#This Row],[FECHA TERMINACIÓN ]]&gt;=TODAY(),"En ejecución","")))</f>
        <v>Terminado</v>
      </c>
      <c r="AL435" s="153" t="e">
        <f ca="1">SUMIF([2]!COMPROMISOS_2024[[#All],[consecutivo]],Contrato5[[#This Row],[RCP]],[2]!COMPROMISOS_2024[[#All],[Total pagado]])</f>
        <v>#REF!</v>
      </c>
      <c r="AM435" s="154">
        <f ca="1">IFERROR(Contrato5[[#This Row],[Pagos]]/Contrato5[[#This Row],[VALOR CONTRATO]],0)</f>
        <v>0</v>
      </c>
      <c r="AN435" s="198" t="e">
        <f ca="1">+Contrato5[[#This Row],[VALOR CONTRATO]]-Contrato5[[#This Row],[Pagos]]</f>
        <v>#REF!</v>
      </c>
      <c r="AO435" s="147" t="e" cm="1">
        <f t="array" aca="1" ref="AO435" ca="1">_xlfn.XLOOKUP(Contrato5[[#This Row],[DOCUMENTO ]],[2]!PERSONAL_ACTIVO_2024[[#All],[Documento identidad]],[2]!PERSONAL_ACTIVO_2024[[#All],[Mail ]],0,0)</f>
        <v>#NAME?</v>
      </c>
      <c r="AP435" s="147" t="e" cm="1">
        <f t="array" aca="1" ref="AP435" ca="1">_xlfn.XLOOKUP(Contrato5[[#This Row],[DOCUMENTO]],[2]!PERSONAL_ACTIVO_2024[[#All],[Documento identidad]],[2]!PERSONAL_ACTIVO_2024[[#All],[Mail ]],0,0)</f>
        <v>#NAME?</v>
      </c>
      <c r="AQ435" s="439" cm="1">
        <f t="array" aca="1" ref="AQ435" ca="1">IF(ISBLANK(Contrato5[[#This Row],[DEPENDENCIA ]]),0,IFERROR(_xlfn.XLOOKUP(Contrato5[[#This Row],[DEPENDENCIA ]],[2]!PERSONAL_ACTIVO_2024[[#All],[Dependencia]],[2]!PERSONAL_ACTIVO_2024[[#All],[Mail ]],0,0),0))</f>
        <v>0</v>
      </c>
    </row>
    <row r="436" spans="1:43" ht="34.5" customHeight="1">
      <c r="A436" s="125" t="s">
        <v>42</v>
      </c>
      <c r="B436" s="124">
        <v>339</v>
      </c>
      <c r="C436" s="162" t="s">
        <v>1735</v>
      </c>
      <c r="D436" s="227" t="s">
        <v>583</v>
      </c>
      <c r="E436" s="440" t="s">
        <v>2614</v>
      </c>
      <c r="F436" s="163" t="s">
        <v>1376</v>
      </c>
      <c r="G436" s="281" t="s">
        <v>687</v>
      </c>
      <c r="H436" s="447">
        <v>71773738</v>
      </c>
      <c r="I436" s="273">
        <v>3952382</v>
      </c>
      <c r="J436" s="437">
        <v>28193658</v>
      </c>
      <c r="K436" s="131" t="s">
        <v>2614</v>
      </c>
      <c r="L436" s="438" t="s">
        <v>513</v>
      </c>
      <c r="M436" s="194" t="s">
        <v>592</v>
      </c>
      <c r="N436" s="177" t="e" cm="1">
        <f t="array" aca="1" ref="N436" ca="1">_xlfn.XLOOKUP(Contrato5[[#This Row],[SUPERVISOR TITULAR]],[2]!PERSONAL_ACTIVO_2024[[#All],[Nombre completo]],[2]!PERSONAL_ACTIVO_2024[[#All],[Documento identidad]],"",0)</f>
        <v>#NAME?</v>
      </c>
      <c r="O436" s="194" t="s">
        <v>600</v>
      </c>
      <c r="P436" s="196" t="e" cm="1">
        <f t="array" aca="1" ref="P436" ca="1">_xlfn.XLOOKUP(Contrato5[[#This Row],[SUPERVISOR SUPLENTE ]],[2]!PERSONAL_ACTIVO_2024[[#All],[Nombre completo]],[2]!PERSONAL_ACTIVO_2024[[#All],[Documento identidad]],"",0)</f>
        <v>#NAME?</v>
      </c>
      <c r="Q436" s="170">
        <v>460</v>
      </c>
      <c r="R436" s="137" t="e" cm="1">
        <f t="array" aca="1" ref="R436" ca="1">_xlfn.XLOOKUP(Contrato5[[#This Row],[CDP]],[2]!DISPONIBILIDADES_2024[[#All],[consecutivo]],[2]!DISPONIBILIDADES_2024[[#All],[fecha_aprobacion]],"",0)</f>
        <v>#NAME?</v>
      </c>
      <c r="S436" s="138" t="e">
        <f>SUMIF([2]!DISPONIBILIDADES_2024[[#All],[consecutivo]],Contrato5[[#This Row],[CDP]],[2]!DISPONIBILIDADES_2024[[#All],[valor_total_rubro]])</f>
        <v>#REF!</v>
      </c>
      <c r="T436" s="139" t="e" cm="1">
        <f t="array" aca="1" ref="T436" ca="1">_xlfn.XLOOKUP(Contrato5[[#This Row],[CONTRATO]]&amp;Contrato5[[#This Row],[CDP]],[2]!Corr_Contr_CDP[[#All],[CONTRATO-CDP]],[2]!Corr_Contr_CDP[[#All],[CRP]],_xlfn.XLOOKUP(Contrato5[[#This Row],[CDP]],[2]!COMPROMISOS_2024[[#All],[disponibilidad]],[2]!COMPROMISOS_2024[[#All],[consecutivo]],"",0),0)</f>
        <v>#NAME?</v>
      </c>
      <c r="U436" s="140" t="e" cm="1">
        <f t="array" aca="1" ref="U436" ca="1">+_xlfn.XLOOKUP(Contrato5[[#This Row],[RCP]],[2]!COMPROMISOS_2024[[#All],[consecutivo]],[2]!COMPROMISOS_2024[[#All],[fecha_aprobacion]],"",0)</f>
        <v>#NAME?</v>
      </c>
      <c r="V436" s="141" t="e">
        <f ca="1">SUMIF([2]!COMPROMISOS_2024[[#All],[consecutivo]],Contrato5[[#This Row],[RCP]],[2]!COMPROMISOS_2024[[#All],[valor_total]])</f>
        <v>#REF!</v>
      </c>
      <c r="W436" s="415">
        <v>45422</v>
      </c>
      <c r="X436" s="415" t="s">
        <v>1045</v>
      </c>
      <c r="Y436" s="143"/>
      <c r="Z436" s="262"/>
      <c r="AA436" s="183"/>
      <c r="AB436" s="172" t="s">
        <v>1164</v>
      </c>
      <c r="AC436" s="172"/>
      <c r="AD436" s="211"/>
      <c r="AE436" s="147"/>
      <c r="AF436" s="148" t="str">
        <f>TEXT(LEFT(Contrato5[[#This Row],[CONTRATO]],3),"0")</f>
        <v>339</v>
      </c>
      <c r="AG436" s="148" t="str">
        <f>IF(LEN(Contrato5[[#This Row],[Contrato2]])=3,Contrato5[[#This Row],[Contrato2]],TEXT(Contrato5[[#This Row],[Contrato2]],"000"))</f>
        <v>339</v>
      </c>
      <c r="AH436" s="149">
        <f ca="1">IFERROR(_xlfn.DAYS(Contrato5[[#This Row],[Fecha Proyectada liquidación]],TODAY())/30,"")</f>
        <v>-1521.2666666666667</v>
      </c>
      <c r="AI436" s="150">
        <f>+Contrato5[[#This Row],[FECHA TERMINACIÓN ]]+120</f>
        <v>120</v>
      </c>
      <c r="AJ436" s="147"/>
      <c r="AK436" s="152" t="str">
        <f ca="1">IF(Contrato5[[#This Row],[FECHA TERMINACIÓN ]]&lt;TODAY(), "Terminado",IF(ISNUMBER(Contrato5[[#This Row],[Fecha Real de liquiidación ]]),"Liquidado",IF(Contrato5[[#This Row],[FECHA TERMINACIÓN ]]&gt;=TODAY(),"En ejecución","")))</f>
        <v>Terminado</v>
      </c>
      <c r="AL436" s="153" t="e">
        <f ca="1">SUMIF([2]!COMPROMISOS_2024[[#All],[consecutivo]],Contrato5[[#This Row],[RCP]],[2]!COMPROMISOS_2024[[#All],[Total pagado]])</f>
        <v>#REF!</v>
      </c>
      <c r="AM436" s="154">
        <f ca="1">IFERROR(Contrato5[[#This Row],[Pagos]]/Contrato5[[#This Row],[VALOR CONTRATO]],0)</f>
        <v>0</v>
      </c>
      <c r="AN436" s="198" t="e">
        <f ca="1">+Contrato5[[#This Row],[VALOR CONTRATO]]-Contrato5[[#This Row],[Pagos]]</f>
        <v>#REF!</v>
      </c>
      <c r="AO436" s="147" t="e" cm="1">
        <f t="array" aca="1" ref="AO436" ca="1">_xlfn.XLOOKUP(Contrato5[[#This Row],[DOCUMENTO ]],[2]!PERSONAL_ACTIVO_2024[[#All],[Documento identidad]],[2]!PERSONAL_ACTIVO_2024[[#All],[Mail ]],0,0)</f>
        <v>#NAME?</v>
      </c>
      <c r="AP436" s="147" t="e" cm="1">
        <f t="array" aca="1" ref="AP436" ca="1">_xlfn.XLOOKUP(Contrato5[[#This Row],[DOCUMENTO]],[2]!PERSONAL_ACTIVO_2024[[#All],[Documento identidad]],[2]!PERSONAL_ACTIVO_2024[[#All],[Mail ]],0,0)</f>
        <v>#NAME?</v>
      </c>
      <c r="AQ436" s="439" cm="1">
        <f t="array" aca="1" ref="AQ436" ca="1">IF(ISBLANK(Contrato5[[#This Row],[DEPENDENCIA ]]),0,IFERROR(_xlfn.XLOOKUP(Contrato5[[#This Row],[DEPENDENCIA ]],[2]!PERSONAL_ACTIVO_2024[[#All],[Dependencia]],[2]!PERSONAL_ACTIVO_2024[[#All],[Mail ]],0,0),0))</f>
        <v>0</v>
      </c>
    </row>
    <row r="437" spans="1:43" ht="34.5" customHeight="1">
      <c r="A437" s="125">
        <v>676</v>
      </c>
      <c r="B437" s="124">
        <v>340</v>
      </c>
      <c r="C437" s="162" t="s">
        <v>1752</v>
      </c>
      <c r="D437" s="227" t="s">
        <v>583</v>
      </c>
      <c r="E437" s="440" t="s">
        <v>94</v>
      </c>
      <c r="F437" s="163" t="s">
        <v>1376</v>
      </c>
      <c r="G437" s="281" t="s">
        <v>1173</v>
      </c>
      <c r="H437" s="447">
        <v>1048019747</v>
      </c>
      <c r="I437" s="273">
        <v>5931149</v>
      </c>
      <c r="J437" s="437">
        <v>42308863</v>
      </c>
      <c r="K437" s="131" t="s">
        <v>42</v>
      </c>
      <c r="L437" s="438" t="s">
        <v>513</v>
      </c>
      <c r="M437" s="194" t="s">
        <v>586</v>
      </c>
      <c r="N437" s="177" t="e" cm="1">
        <f t="array" aca="1" ref="N437" ca="1">_xlfn.XLOOKUP(Contrato5[[#This Row],[SUPERVISOR TITULAR]],[2]!PERSONAL_ACTIVO_2024[[#All],[Nombre completo]],[2]!PERSONAL_ACTIVO_2024[[#All],[Documento identidad]],"",0)</f>
        <v>#NAME?</v>
      </c>
      <c r="O437" s="194" t="s">
        <v>589</v>
      </c>
      <c r="P437" s="196" t="e" cm="1">
        <f t="array" aca="1" ref="P437" ca="1">_xlfn.XLOOKUP(Contrato5[[#This Row],[SUPERVISOR SUPLENTE ]],[2]!PERSONAL_ACTIVO_2024[[#All],[Nombre completo]],[2]!PERSONAL_ACTIVO_2024[[#All],[Documento identidad]],"",0)</f>
        <v>#NAME?</v>
      </c>
      <c r="Q437" s="170">
        <v>458</v>
      </c>
      <c r="R437" s="137" t="e" cm="1">
        <f t="array" aca="1" ref="R437" ca="1">_xlfn.XLOOKUP(Contrato5[[#This Row],[CDP]],[2]!DISPONIBILIDADES_2024[[#All],[consecutivo]],[2]!DISPONIBILIDADES_2024[[#All],[fecha_aprobacion]],"",0)</f>
        <v>#NAME?</v>
      </c>
      <c r="S437" s="138" t="e">
        <f>SUMIF([2]!DISPONIBILIDADES_2024[[#All],[consecutivo]],Contrato5[[#This Row],[CDP]],[2]!DISPONIBILIDADES_2024[[#All],[valor_total_rubro]])</f>
        <v>#REF!</v>
      </c>
      <c r="T437" s="139" t="e" cm="1">
        <f t="array" aca="1" ref="T437" ca="1">_xlfn.XLOOKUP(Contrato5[[#This Row],[CONTRATO]]&amp;Contrato5[[#This Row],[CDP]],[2]!Corr_Contr_CDP[[#All],[CONTRATO-CDP]],[2]!Corr_Contr_CDP[[#All],[CRP]],_xlfn.XLOOKUP(Contrato5[[#This Row],[CDP]],[2]!COMPROMISOS_2024[[#All],[disponibilidad]],[2]!COMPROMISOS_2024[[#All],[consecutivo]],"",0),0)</f>
        <v>#NAME?</v>
      </c>
      <c r="U437" s="140" t="e" cm="1">
        <f t="array" aca="1" ref="U437" ca="1">+_xlfn.XLOOKUP(Contrato5[[#This Row],[RCP]],[2]!COMPROMISOS_2024[[#All],[consecutivo]],[2]!COMPROMISOS_2024[[#All],[fecha_aprobacion]],"",0)</f>
        <v>#NAME?</v>
      </c>
      <c r="V437" s="141" t="e">
        <f ca="1">SUMIF([2]!COMPROMISOS_2024[[#All],[consecutivo]],Contrato5[[#This Row],[RCP]],[2]!COMPROMISOS_2024[[#All],[valor_total]])</f>
        <v>#REF!</v>
      </c>
      <c r="W437" s="415">
        <v>45422</v>
      </c>
      <c r="X437" s="415" t="s">
        <v>1045</v>
      </c>
      <c r="Y437" s="143">
        <v>45426</v>
      </c>
      <c r="Z437" s="262">
        <v>45643</v>
      </c>
      <c r="AA437" s="171" t="s">
        <v>1163</v>
      </c>
      <c r="AB437" s="172" t="s">
        <v>1164</v>
      </c>
      <c r="AC437" s="172"/>
      <c r="AD437" s="211">
        <v>202000004345</v>
      </c>
      <c r="AE437" s="147" t="s">
        <v>523</v>
      </c>
      <c r="AF437" s="148" t="str">
        <f>TEXT(LEFT(Contrato5[[#This Row],[CONTRATO]],3),"0")</f>
        <v>340</v>
      </c>
      <c r="AG437" s="148" t="str">
        <f>IF(LEN(Contrato5[[#This Row],[Contrato2]])=3,Contrato5[[#This Row],[Contrato2]],TEXT(Contrato5[[#This Row],[Contrato2]],"000"))</f>
        <v>340</v>
      </c>
      <c r="AH437" s="149">
        <f ca="1">IFERROR(_xlfn.DAYS(Contrato5[[#This Row],[Fecha Proyectada liquidación]],TODAY())/30,"")</f>
        <v>0.16666666666666666</v>
      </c>
      <c r="AI437" s="150">
        <f>+Contrato5[[#This Row],[FECHA TERMINACIÓN ]]+120</f>
        <v>45763</v>
      </c>
      <c r="AJ437" s="147"/>
      <c r="AK437" s="152" t="str">
        <f ca="1">IF(Contrato5[[#This Row],[FECHA TERMINACIÓN ]]&lt;TODAY(), "Terminado",IF(ISNUMBER(Contrato5[[#This Row],[Fecha Real de liquiidación ]]),"Liquidado",IF(Contrato5[[#This Row],[FECHA TERMINACIÓN ]]&gt;=TODAY(),"En ejecución","")))</f>
        <v>Terminado</v>
      </c>
      <c r="AL437" s="153" t="e">
        <f ca="1">SUMIF([2]!COMPROMISOS_2024[[#All],[consecutivo]],Contrato5[[#This Row],[RCP]],[2]!COMPROMISOS_2024[[#All],[Total pagado]])</f>
        <v>#REF!</v>
      </c>
      <c r="AM437" s="154">
        <f ca="1">IFERROR(Contrato5[[#This Row],[Pagos]]/Contrato5[[#This Row],[VALOR CONTRATO]],0)</f>
        <v>0</v>
      </c>
      <c r="AN437" s="198" t="e">
        <f ca="1">+Contrato5[[#This Row],[VALOR CONTRATO]]-Contrato5[[#This Row],[Pagos]]</f>
        <v>#REF!</v>
      </c>
      <c r="AO437" s="147" t="e" cm="1">
        <f t="array" aca="1" ref="AO437" ca="1">_xlfn.XLOOKUP(Contrato5[[#This Row],[DOCUMENTO ]],[2]!PERSONAL_ACTIVO_2024[[#All],[Documento identidad]],[2]!PERSONAL_ACTIVO_2024[[#All],[Mail ]],0,0)</f>
        <v>#NAME?</v>
      </c>
      <c r="AP437" s="147" t="e" cm="1">
        <f t="array" aca="1" ref="AP437" ca="1">_xlfn.XLOOKUP(Contrato5[[#This Row],[DOCUMENTO]],[2]!PERSONAL_ACTIVO_2024[[#All],[Documento identidad]],[2]!PERSONAL_ACTIVO_2024[[#All],[Mail ]],0,0)</f>
        <v>#NAME?</v>
      </c>
      <c r="AQ437" s="439" cm="1">
        <f t="array" aca="1" ref="AQ437" ca="1">IF(ISBLANK(Contrato5[[#This Row],[DEPENDENCIA ]]),0,IFERROR(_xlfn.XLOOKUP(Contrato5[[#This Row],[DEPENDENCIA ]],[2]!PERSONAL_ACTIVO_2024[[#All],[Dependencia]],[2]!PERSONAL_ACTIVO_2024[[#All],[Mail ]],0,0),0))</f>
        <v>0</v>
      </c>
    </row>
    <row r="438" spans="1:43" ht="34.5" customHeight="1">
      <c r="A438" s="125">
        <v>677</v>
      </c>
      <c r="B438" s="124">
        <v>341</v>
      </c>
      <c r="C438" s="162" t="s">
        <v>1753</v>
      </c>
      <c r="D438" s="227" t="s">
        <v>583</v>
      </c>
      <c r="E438" s="440" t="s">
        <v>94</v>
      </c>
      <c r="F438" s="163" t="s">
        <v>1376</v>
      </c>
      <c r="G438" s="281" t="s">
        <v>1174</v>
      </c>
      <c r="H438" s="447">
        <v>1036962292</v>
      </c>
      <c r="I438" s="273">
        <v>4908936</v>
      </c>
      <c r="J438" s="437">
        <v>35017077</v>
      </c>
      <c r="K438" s="131" t="s">
        <v>42</v>
      </c>
      <c r="L438" s="438" t="s">
        <v>513</v>
      </c>
      <c r="M438" s="194" t="s">
        <v>586</v>
      </c>
      <c r="N438" s="177" t="e" cm="1">
        <f t="array" aca="1" ref="N438" ca="1">_xlfn.XLOOKUP(Contrato5[[#This Row],[SUPERVISOR TITULAR]],[2]!PERSONAL_ACTIVO_2024[[#All],[Nombre completo]],[2]!PERSONAL_ACTIVO_2024[[#All],[Documento identidad]],"",0)</f>
        <v>#NAME?</v>
      </c>
      <c r="O438" s="194" t="s">
        <v>589</v>
      </c>
      <c r="P438" s="196" t="e" cm="1">
        <f t="array" aca="1" ref="P438" ca="1">_xlfn.XLOOKUP(Contrato5[[#This Row],[SUPERVISOR SUPLENTE ]],[2]!PERSONAL_ACTIVO_2024[[#All],[Nombre completo]],[2]!PERSONAL_ACTIVO_2024[[#All],[Documento identidad]],"",0)</f>
        <v>#NAME?</v>
      </c>
      <c r="Q438" s="170">
        <v>461</v>
      </c>
      <c r="R438" s="137" t="e" cm="1">
        <f t="array" aca="1" ref="R438" ca="1">_xlfn.XLOOKUP(Contrato5[[#This Row],[CDP]],[2]!DISPONIBILIDADES_2024[[#All],[consecutivo]],[2]!DISPONIBILIDADES_2024[[#All],[fecha_aprobacion]],"",0)</f>
        <v>#NAME?</v>
      </c>
      <c r="S438" s="138" t="e">
        <f>SUMIF([2]!DISPONIBILIDADES_2024[[#All],[consecutivo]],Contrato5[[#This Row],[CDP]],[2]!DISPONIBILIDADES_2024[[#All],[valor_total_rubro]])</f>
        <v>#REF!</v>
      </c>
      <c r="T438" s="139" t="e" cm="1">
        <f t="array" aca="1" ref="T438" ca="1">_xlfn.XLOOKUP(Contrato5[[#This Row],[CONTRATO]]&amp;Contrato5[[#This Row],[CDP]],[2]!Corr_Contr_CDP[[#All],[CONTRATO-CDP]],[2]!Corr_Contr_CDP[[#All],[CRP]],_xlfn.XLOOKUP(Contrato5[[#This Row],[CDP]],[2]!COMPROMISOS_2024[[#All],[disponibilidad]],[2]!COMPROMISOS_2024[[#All],[consecutivo]],"",0),0)</f>
        <v>#NAME?</v>
      </c>
      <c r="U438" s="140" t="e" cm="1">
        <f t="array" aca="1" ref="U438" ca="1">+_xlfn.XLOOKUP(Contrato5[[#This Row],[RCP]],[2]!COMPROMISOS_2024[[#All],[consecutivo]],[2]!COMPROMISOS_2024[[#All],[fecha_aprobacion]],"",0)</f>
        <v>#NAME?</v>
      </c>
      <c r="V438" s="141" t="e">
        <f ca="1">SUMIF([2]!COMPROMISOS_2024[[#All],[consecutivo]],Contrato5[[#This Row],[RCP]],[2]!COMPROMISOS_2024[[#All],[valor_total]])</f>
        <v>#REF!</v>
      </c>
      <c r="W438" s="415">
        <v>45422</v>
      </c>
      <c r="X438" s="415" t="s">
        <v>1045</v>
      </c>
      <c r="Y438" s="143">
        <v>45426</v>
      </c>
      <c r="Z438" s="262">
        <v>45643</v>
      </c>
      <c r="AA438" s="171" t="s">
        <v>1163</v>
      </c>
      <c r="AB438" s="172" t="s">
        <v>1164</v>
      </c>
      <c r="AC438" s="172"/>
      <c r="AD438" s="211">
        <v>202000004346</v>
      </c>
      <c r="AE438" s="147" t="s">
        <v>523</v>
      </c>
      <c r="AF438" s="148" t="str">
        <f>TEXT(LEFT(Contrato5[[#This Row],[CONTRATO]],3),"0")</f>
        <v>341</v>
      </c>
      <c r="AG438" s="148" t="str">
        <f>IF(LEN(Contrato5[[#This Row],[Contrato2]])=3,Contrato5[[#This Row],[Contrato2]],TEXT(Contrato5[[#This Row],[Contrato2]],"000"))</f>
        <v>341</v>
      </c>
      <c r="AH438" s="149">
        <f ca="1">IFERROR(_xlfn.DAYS(Contrato5[[#This Row],[Fecha Proyectada liquidación]],TODAY())/30,"")</f>
        <v>0.16666666666666666</v>
      </c>
      <c r="AI438" s="150">
        <f>+Contrato5[[#This Row],[FECHA TERMINACIÓN ]]+120</f>
        <v>45763</v>
      </c>
      <c r="AJ438" s="147"/>
      <c r="AK438" s="152" t="str">
        <f ca="1">IF(Contrato5[[#This Row],[FECHA TERMINACIÓN ]]&lt;TODAY(), "Terminado",IF(ISNUMBER(Contrato5[[#This Row],[Fecha Real de liquiidación ]]),"Liquidado",IF(Contrato5[[#This Row],[FECHA TERMINACIÓN ]]&gt;=TODAY(),"En ejecución","")))</f>
        <v>Terminado</v>
      </c>
      <c r="AL438" s="153" t="e">
        <f ca="1">SUMIF([2]!COMPROMISOS_2024[[#All],[consecutivo]],Contrato5[[#This Row],[RCP]],[2]!COMPROMISOS_2024[[#All],[Total pagado]])</f>
        <v>#REF!</v>
      </c>
      <c r="AM438" s="154">
        <f ca="1">IFERROR(Contrato5[[#This Row],[Pagos]]/Contrato5[[#This Row],[VALOR CONTRATO]],0)</f>
        <v>0</v>
      </c>
      <c r="AN438" s="198" t="e">
        <f ca="1">+Contrato5[[#This Row],[VALOR CONTRATO]]-Contrato5[[#This Row],[Pagos]]</f>
        <v>#REF!</v>
      </c>
      <c r="AO438" s="147" t="e" cm="1">
        <f t="array" aca="1" ref="AO438" ca="1">_xlfn.XLOOKUP(Contrato5[[#This Row],[DOCUMENTO ]],[2]!PERSONAL_ACTIVO_2024[[#All],[Documento identidad]],[2]!PERSONAL_ACTIVO_2024[[#All],[Mail ]],0,0)</f>
        <v>#NAME?</v>
      </c>
      <c r="AP438" s="147" t="e" cm="1">
        <f t="array" aca="1" ref="AP438" ca="1">_xlfn.XLOOKUP(Contrato5[[#This Row],[DOCUMENTO]],[2]!PERSONAL_ACTIVO_2024[[#All],[Documento identidad]],[2]!PERSONAL_ACTIVO_2024[[#All],[Mail ]],0,0)</f>
        <v>#NAME?</v>
      </c>
      <c r="AQ438" s="439" cm="1">
        <f t="array" aca="1" ref="AQ438" ca="1">IF(ISBLANK(Contrato5[[#This Row],[DEPENDENCIA ]]),0,IFERROR(_xlfn.XLOOKUP(Contrato5[[#This Row],[DEPENDENCIA ]],[2]!PERSONAL_ACTIVO_2024[[#All],[Dependencia]],[2]!PERSONAL_ACTIVO_2024[[#All],[Mail ]],0,0),0))</f>
        <v>0</v>
      </c>
    </row>
    <row r="439" spans="1:43" ht="34.5" customHeight="1">
      <c r="A439" s="125">
        <v>372</v>
      </c>
      <c r="B439" s="124">
        <v>342</v>
      </c>
      <c r="C439" s="162" t="s">
        <v>385</v>
      </c>
      <c r="D439" s="227" t="s">
        <v>515</v>
      </c>
      <c r="E439" s="440" t="s">
        <v>94</v>
      </c>
      <c r="F439" s="508" t="s">
        <v>384</v>
      </c>
      <c r="G439" s="281" t="s">
        <v>1175</v>
      </c>
      <c r="H439" s="436">
        <v>800140973</v>
      </c>
      <c r="I439" s="273" t="s">
        <v>42</v>
      </c>
      <c r="J439" s="437">
        <v>413500782</v>
      </c>
      <c r="K439" s="131" t="s">
        <v>42</v>
      </c>
      <c r="L439" s="438" t="s">
        <v>513</v>
      </c>
      <c r="M439" s="194" t="s">
        <v>893</v>
      </c>
      <c r="N439" s="177" t="e" cm="1">
        <f t="array" aca="1" ref="N439" ca="1">_xlfn.XLOOKUP(Contrato5[[#This Row],[SUPERVISOR TITULAR]],[2]!PERSONAL_ACTIVO_2024[[#All],[Nombre completo]],[2]!PERSONAL_ACTIVO_2024[[#All],[Documento identidad]],"",0)</f>
        <v>#NAME?</v>
      </c>
      <c r="O439" s="194" t="s">
        <v>894</v>
      </c>
      <c r="P439" s="196" t="e" cm="1">
        <f t="array" aca="1" ref="P439" ca="1">_xlfn.XLOOKUP(Contrato5[[#This Row],[SUPERVISOR SUPLENTE ]],[2]!PERSONAL_ACTIVO_2024[[#All],[Nombre completo]],[2]!PERSONAL_ACTIVO_2024[[#All],[Documento identidad]],"",0)</f>
        <v>#NAME?</v>
      </c>
      <c r="Q439" s="170">
        <v>457</v>
      </c>
      <c r="R439" s="137" t="e" cm="1">
        <f t="array" aca="1" ref="R439" ca="1">_xlfn.XLOOKUP(Contrato5[[#This Row],[CDP]],[2]!DISPONIBILIDADES_2024[[#All],[consecutivo]],[2]!DISPONIBILIDADES_2024[[#All],[fecha_aprobacion]],"",0)</f>
        <v>#NAME?</v>
      </c>
      <c r="S439" s="138" t="e">
        <f>SUMIF([2]!DISPONIBILIDADES_2024[[#All],[consecutivo]],Contrato5[[#This Row],[CDP]],[2]!DISPONIBILIDADES_2024[[#All],[valor_total_rubro]])</f>
        <v>#REF!</v>
      </c>
      <c r="T439" s="139" t="e" cm="1">
        <f t="array" aca="1" ref="T439" ca="1">_xlfn.XLOOKUP(Contrato5[[#This Row],[CONTRATO]]&amp;Contrato5[[#This Row],[CDP]],[2]!Corr_Contr_CDP[[#All],[CONTRATO-CDP]],[2]!Corr_Contr_CDP[[#All],[CRP]],_xlfn.XLOOKUP(Contrato5[[#This Row],[CDP]],[2]!COMPROMISOS_2024[[#All],[disponibilidad]],[2]!COMPROMISOS_2024[[#All],[consecutivo]],"",0),0)</f>
        <v>#NAME?</v>
      </c>
      <c r="U439" s="140" t="e" cm="1">
        <f t="array" aca="1" ref="U439" ca="1">+_xlfn.XLOOKUP(Contrato5[[#This Row],[RCP]],[2]!COMPROMISOS_2024[[#All],[consecutivo]],[2]!COMPROMISOS_2024[[#All],[fecha_aprobacion]],"",0)</f>
        <v>#NAME?</v>
      </c>
      <c r="V439" s="141" t="e">
        <f ca="1">SUMIF([2]!COMPROMISOS_2024[[#All],[consecutivo]],Contrato5[[#This Row],[RCP]],[2]!COMPROMISOS_2024[[#All],[valor_total]])</f>
        <v>#REF!</v>
      </c>
      <c r="W439" s="415">
        <v>45429</v>
      </c>
      <c r="X439" s="415">
        <v>45429</v>
      </c>
      <c r="Y439" s="143">
        <v>45429</v>
      </c>
      <c r="Z439" s="262">
        <v>45535</v>
      </c>
      <c r="AA439" s="171" t="s">
        <v>1176</v>
      </c>
      <c r="AB439" s="172" t="s">
        <v>1041</v>
      </c>
      <c r="AC439" s="172"/>
      <c r="AD439" s="509">
        <v>202000004348</v>
      </c>
      <c r="AE439" s="147" t="s">
        <v>523</v>
      </c>
      <c r="AF439" s="148" t="str">
        <f>TEXT(LEFT(Contrato5[[#This Row],[CONTRATO]],3),"0")</f>
        <v>342</v>
      </c>
      <c r="AG439" s="148" t="str">
        <f>IF(LEN(Contrato5[[#This Row],[Contrato2]])=3,Contrato5[[#This Row],[Contrato2]],TEXT(Contrato5[[#This Row],[Contrato2]],"000"))</f>
        <v>342</v>
      </c>
      <c r="AH439" s="149">
        <f ca="1">IFERROR(_xlfn.DAYS(Contrato5[[#This Row],[Fecha Proyectada liquidación]],TODAY())/30,"")</f>
        <v>-3.4333333333333331</v>
      </c>
      <c r="AI439" s="150">
        <f>+Contrato5[[#This Row],[FECHA TERMINACIÓN ]]+120</f>
        <v>45655</v>
      </c>
      <c r="AJ439" s="147"/>
      <c r="AK439" s="152" t="str">
        <f ca="1">IF(Contrato5[[#This Row],[FECHA TERMINACIÓN ]]&lt;TODAY(), "Terminado",IF(ISNUMBER(Contrato5[[#This Row],[Fecha Real de liquiidación ]]),"Liquidado",IF(Contrato5[[#This Row],[FECHA TERMINACIÓN ]]&gt;=TODAY(),"En ejecución","")))</f>
        <v>Terminado</v>
      </c>
      <c r="AL439" s="153" t="e">
        <f ca="1">SUMIF([2]!COMPROMISOS_2024[[#All],[consecutivo]],Contrato5[[#This Row],[RCP]],[2]!COMPROMISOS_2024[[#All],[Total pagado]])</f>
        <v>#REF!</v>
      </c>
      <c r="AM439" s="154">
        <f ca="1">IFERROR(Contrato5[[#This Row],[Pagos]]/Contrato5[[#This Row],[VALOR CONTRATO]],0)</f>
        <v>0</v>
      </c>
      <c r="AN439" s="198" t="e">
        <f ca="1">+Contrato5[[#This Row],[VALOR CONTRATO]]-Contrato5[[#This Row],[Pagos]]</f>
        <v>#REF!</v>
      </c>
      <c r="AO439" s="147" t="e" cm="1">
        <f t="array" aca="1" ref="AO439" ca="1">_xlfn.XLOOKUP(Contrato5[[#This Row],[DOCUMENTO ]],[2]!PERSONAL_ACTIVO_2024[[#All],[Documento identidad]],[2]!PERSONAL_ACTIVO_2024[[#All],[Mail ]],0,0)</f>
        <v>#NAME?</v>
      </c>
      <c r="AP439" s="147" t="e" cm="1">
        <f t="array" aca="1" ref="AP439" ca="1">_xlfn.XLOOKUP(Contrato5[[#This Row],[DOCUMENTO]],[2]!PERSONAL_ACTIVO_2024[[#All],[Documento identidad]],[2]!PERSONAL_ACTIVO_2024[[#All],[Mail ]],0,0)</f>
        <v>#NAME?</v>
      </c>
      <c r="AQ439" s="439" cm="1">
        <f t="array" aca="1" ref="AQ439" ca="1">IF(ISBLANK(Contrato5[[#This Row],[DEPENDENCIA ]]),0,IFERROR(_xlfn.XLOOKUP(Contrato5[[#This Row],[DEPENDENCIA ]],[2]!PERSONAL_ACTIVO_2024[[#All],[Dependencia]],[2]!PERSONAL_ACTIVO_2024[[#All],[Mail ]],0,0),0))</f>
        <v>0</v>
      </c>
    </row>
    <row r="440" spans="1:43" ht="34.5" customHeight="1">
      <c r="A440" s="125">
        <v>29</v>
      </c>
      <c r="B440" s="124">
        <v>343</v>
      </c>
      <c r="C440" s="162" t="s">
        <v>2615</v>
      </c>
      <c r="D440" s="227" t="s">
        <v>493</v>
      </c>
      <c r="E440" s="440" t="s">
        <v>1177</v>
      </c>
      <c r="F440" s="227" t="s">
        <v>107</v>
      </c>
      <c r="G440" s="281" t="s">
        <v>1178</v>
      </c>
      <c r="H440" s="436">
        <v>900975633</v>
      </c>
      <c r="I440" s="273" t="s">
        <v>42</v>
      </c>
      <c r="J440" s="437">
        <v>120000000</v>
      </c>
      <c r="K440" s="131" t="s">
        <v>42</v>
      </c>
      <c r="L440" s="438" t="s">
        <v>496</v>
      </c>
      <c r="M440" s="194" t="s">
        <v>497</v>
      </c>
      <c r="N440" s="177" t="e" cm="1">
        <f t="array" aca="1" ref="N440" ca="1">_xlfn.XLOOKUP(Contrato5[[#This Row],[SUPERVISOR TITULAR]],[2]!PERSONAL_ACTIVO_2024[[#All],[Nombre completo]],[2]!PERSONAL_ACTIVO_2024[[#All],[Documento identidad]],"",0)</f>
        <v>#NAME?</v>
      </c>
      <c r="O440" s="194" t="s">
        <v>498</v>
      </c>
      <c r="P440" s="196" t="e" cm="1">
        <f t="array" aca="1" ref="P440" ca="1">_xlfn.XLOOKUP(Contrato5[[#This Row],[SUPERVISOR SUPLENTE ]],[2]!PERSONAL_ACTIVO_2024[[#All],[Nombre completo]],[2]!PERSONAL_ACTIVO_2024[[#All],[Documento identidad]],"",0)</f>
        <v>#NAME?</v>
      </c>
      <c r="Q440" s="170">
        <v>303</v>
      </c>
      <c r="R440" s="137" t="e" cm="1">
        <f t="array" aca="1" ref="R440" ca="1">_xlfn.XLOOKUP(Contrato5[[#This Row],[CDP]],[2]!DISPONIBILIDADES_2024[[#All],[consecutivo]],[2]!DISPONIBILIDADES_2024[[#All],[fecha_aprobacion]],"",0)</f>
        <v>#NAME?</v>
      </c>
      <c r="S440" s="138" t="e">
        <f>SUMIF([2]!DISPONIBILIDADES_2024[[#All],[consecutivo]],Contrato5[[#This Row],[CDP]],[2]!DISPONIBILIDADES_2024[[#All],[valor_total_rubro]])</f>
        <v>#REF!</v>
      </c>
      <c r="T440" s="139" t="e" cm="1">
        <f t="array" aca="1" ref="T440" ca="1">_xlfn.XLOOKUP(Contrato5[[#This Row],[CONTRATO]]&amp;Contrato5[[#This Row],[CDP]],[2]!Corr_Contr_CDP[[#All],[CONTRATO-CDP]],[2]!Corr_Contr_CDP[[#All],[CRP]],_xlfn.XLOOKUP(Contrato5[[#This Row],[CDP]],[2]!COMPROMISOS_2024[[#All],[disponibilidad]],[2]!COMPROMISOS_2024[[#All],[consecutivo]],"",0),0)</f>
        <v>#NAME?</v>
      </c>
      <c r="U440" s="140" t="e" cm="1">
        <f t="array" aca="1" ref="U440" ca="1">+_xlfn.XLOOKUP(Contrato5[[#This Row],[RCP]],[2]!COMPROMISOS_2024[[#All],[consecutivo]],[2]!COMPROMISOS_2024[[#All],[fecha_aprobacion]],"",0)</f>
        <v>#NAME?</v>
      </c>
      <c r="V440" s="141" t="e">
        <f ca="1">SUMIF([2]!COMPROMISOS_2024[[#All],[consecutivo]],Contrato5[[#This Row],[RCP]],[2]!COMPROMISOS_2024[[#All],[valor_total]])</f>
        <v>#REF!</v>
      </c>
      <c r="W440" s="415">
        <v>45422</v>
      </c>
      <c r="X440" s="415">
        <v>45427</v>
      </c>
      <c r="Y440" s="143">
        <v>45427</v>
      </c>
      <c r="Z440" s="262">
        <v>45657</v>
      </c>
      <c r="AA440" s="171" t="s">
        <v>1179</v>
      </c>
      <c r="AB440" s="172" t="s">
        <v>1180</v>
      </c>
      <c r="AC440" s="172"/>
      <c r="AD440" s="211">
        <v>202000004349</v>
      </c>
      <c r="AE440" s="147" t="s">
        <v>523</v>
      </c>
      <c r="AF440" s="148" t="str">
        <f>TEXT(LEFT(Contrato5[[#This Row],[CONTRATO]],3),"0")</f>
        <v>343</v>
      </c>
      <c r="AG440" s="148" t="str">
        <f>IF(LEN(Contrato5[[#This Row],[Contrato2]])=3,Contrato5[[#This Row],[Contrato2]],TEXT(Contrato5[[#This Row],[Contrato2]],"000"))</f>
        <v>343</v>
      </c>
      <c r="AH440" s="149">
        <f ca="1">IFERROR(_xlfn.DAYS(Contrato5[[#This Row],[Fecha Proyectada liquidación]],TODAY())/30,"")</f>
        <v>0.6333333333333333</v>
      </c>
      <c r="AI440" s="150">
        <f>+Contrato5[[#This Row],[FECHA TERMINACIÓN ]]+120</f>
        <v>45777</v>
      </c>
      <c r="AJ440" s="147"/>
      <c r="AK440" s="152" t="str">
        <f ca="1">IF(Contrato5[[#This Row],[FECHA TERMINACIÓN ]]&lt;TODAY(), "Terminado",IF(ISNUMBER(Contrato5[[#This Row],[Fecha Real de liquiidación ]]),"Liquidado",IF(Contrato5[[#This Row],[FECHA TERMINACIÓN ]]&gt;=TODAY(),"En ejecución","")))</f>
        <v>Terminado</v>
      </c>
      <c r="AL440" s="153" t="e">
        <f ca="1">SUMIF([2]!COMPROMISOS_2024[[#All],[consecutivo]],Contrato5[[#This Row],[RCP]],[2]!COMPROMISOS_2024[[#All],[Total pagado]])</f>
        <v>#REF!</v>
      </c>
      <c r="AM440" s="154">
        <f ca="1">IFERROR(Contrato5[[#This Row],[Pagos]]/Contrato5[[#This Row],[VALOR CONTRATO]],0)</f>
        <v>0</v>
      </c>
      <c r="AN440" s="198" t="e">
        <f ca="1">+Contrato5[[#This Row],[VALOR CONTRATO]]-Contrato5[[#This Row],[Pagos]]</f>
        <v>#REF!</v>
      </c>
      <c r="AO440" s="147" t="e" cm="1">
        <f t="array" aca="1" ref="AO440" ca="1">_xlfn.XLOOKUP(Contrato5[[#This Row],[DOCUMENTO ]],[2]!PERSONAL_ACTIVO_2024[[#All],[Documento identidad]],[2]!PERSONAL_ACTIVO_2024[[#All],[Mail ]],0,0)</f>
        <v>#NAME?</v>
      </c>
      <c r="AP440" s="147" t="e" cm="1">
        <f t="array" aca="1" ref="AP440" ca="1">_xlfn.XLOOKUP(Contrato5[[#This Row],[DOCUMENTO]],[2]!PERSONAL_ACTIVO_2024[[#All],[Documento identidad]],[2]!PERSONAL_ACTIVO_2024[[#All],[Mail ]],0,0)</f>
        <v>#NAME?</v>
      </c>
      <c r="AQ440" s="439" cm="1">
        <f t="array" aca="1" ref="AQ440" ca="1">IF(ISBLANK(Contrato5[[#This Row],[DEPENDENCIA ]]),0,IFERROR(_xlfn.XLOOKUP(Contrato5[[#This Row],[DEPENDENCIA ]],[2]!PERSONAL_ACTIVO_2024[[#All],[Dependencia]],[2]!PERSONAL_ACTIVO_2024[[#All],[Mail ]],0,0),0))</f>
        <v>0</v>
      </c>
    </row>
    <row r="441" spans="1:43" ht="34.5" customHeight="1">
      <c r="A441" s="125">
        <v>589</v>
      </c>
      <c r="B441" s="124">
        <v>344</v>
      </c>
      <c r="C441" s="162" t="s">
        <v>1315</v>
      </c>
      <c r="D441" s="227" t="s">
        <v>493</v>
      </c>
      <c r="E441" s="440" t="s">
        <v>1177</v>
      </c>
      <c r="F441" s="227" t="s">
        <v>494</v>
      </c>
      <c r="G441" s="281" t="s">
        <v>1181</v>
      </c>
      <c r="H441" s="436">
        <v>900285123</v>
      </c>
      <c r="I441" s="273" t="s">
        <v>42</v>
      </c>
      <c r="J441" s="437">
        <v>100000000</v>
      </c>
      <c r="K441" s="131" t="s">
        <v>42</v>
      </c>
      <c r="L441" s="438" t="s">
        <v>989</v>
      </c>
      <c r="M441" s="194" t="s">
        <v>505</v>
      </c>
      <c r="N441" s="177" t="e" cm="1">
        <f t="array" aca="1" ref="N441" ca="1">_xlfn.XLOOKUP(Contrato5[[#This Row],[SUPERVISOR TITULAR]],[2]!PERSONAL_ACTIVO_2024[[#All],[Nombre completo]],[2]!PERSONAL_ACTIVO_2024[[#All],[Documento identidad]],"",0)</f>
        <v>#NAME?</v>
      </c>
      <c r="O441" s="194" t="s">
        <v>818</v>
      </c>
      <c r="P441" s="196" t="e" cm="1">
        <f t="array" aca="1" ref="P441" ca="1">_xlfn.XLOOKUP(Contrato5[[#This Row],[SUPERVISOR SUPLENTE ]],[2]!PERSONAL_ACTIVO_2024[[#All],[Nombre completo]],[2]!PERSONAL_ACTIVO_2024[[#All],[Documento identidad]],"",0)</f>
        <v>#NAME?</v>
      </c>
      <c r="Q441" s="170">
        <v>306</v>
      </c>
      <c r="R441" s="137" t="e" cm="1">
        <f t="array" aca="1" ref="R441" ca="1">_xlfn.XLOOKUP(Contrato5[[#This Row],[CDP]],[2]!DISPONIBILIDADES_2024[[#All],[consecutivo]],[2]!DISPONIBILIDADES_2024[[#All],[fecha_aprobacion]],"",0)</f>
        <v>#NAME?</v>
      </c>
      <c r="S441" s="138" t="e">
        <f>SUMIF([2]!DISPONIBILIDADES_2024[[#All],[consecutivo]],Contrato5[[#This Row],[CDP]],[2]!DISPONIBILIDADES_2024[[#All],[valor_total_rubro]])</f>
        <v>#REF!</v>
      </c>
      <c r="T441" s="139" t="e" cm="1">
        <f t="array" aca="1" ref="T441" ca="1">_xlfn.XLOOKUP(Contrato5[[#This Row],[CONTRATO]]&amp;Contrato5[[#This Row],[CDP]],[2]!Corr_Contr_CDP[[#All],[CONTRATO-CDP]],[2]!Corr_Contr_CDP[[#All],[CRP]],_xlfn.XLOOKUP(Contrato5[[#This Row],[CDP]],[2]!COMPROMISOS_2024[[#All],[disponibilidad]],[2]!COMPROMISOS_2024[[#All],[consecutivo]],"",0),0)</f>
        <v>#NAME?</v>
      </c>
      <c r="U441" s="140" t="e" cm="1">
        <f t="array" aca="1" ref="U441" ca="1">+_xlfn.XLOOKUP(Contrato5[[#This Row],[RCP]],[2]!COMPROMISOS_2024[[#All],[consecutivo]],[2]!COMPROMISOS_2024[[#All],[fecha_aprobacion]],"",0)</f>
        <v>#NAME?</v>
      </c>
      <c r="V441" s="141" t="e">
        <f ca="1">SUMIF([2]!COMPROMISOS_2024[[#All],[consecutivo]],Contrato5[[#This Row],[RCP]],[2]!COMPROMISOS_2024[[#All],[valor_total]])</f>
        <v>#REF!</v>
      </c>
      <c r="W441" s="415">
        <v>45427</v>
      </c>
      <c r="X441" s="415">
        <v>45428</v>
      </c>
      <c r="Y441" s="143">
        <v>45432</v>
      </c>
      <c r="Z441" s="262">
        <v>45657</v>
      </c>
      <c r="AA441" s="171" t="s">
        <v>1182</v>
      </c>
      <c r="AB441" s="172" t="s">
        <v>874</v>
      </c>
      <c r="AC441" s="172"/>
      <c r="AD441" s="211">
        <v>202000004350</v>
      </c>
      <c r="AE441" s="147" t="s">
        <v>523</v>
      </c>
      <c r="AF441" s="148" t="str">
        <f>TEXT(LEFT(Contrato5[[#This Row],[CONTRATO]],3),"0")</f>
        <v>344</v>
      </c>
      <c r="AG441" s="148" t="str">
        <f>IF(LEN(Contrato5[[#This Row],[Contrato2]])=3,Contrato5[[#This Row],[Contrato2]],TEXT(Contrato5[[#This Row],[Contrato2]],"000"))</f>
        <v>344</v>
      </c>
      <c r="AH441" s="149">
        <f ca="1">IFERROR(_xlfn.DAYS(Contrato5[[#This Row],[Fecha Proyectada liquidación]],TODAY())/30,"")</f>
        <v>0.6333333333333333</v>
      </c>
      <c r="AI441" s="150">
        <f>+Contrato5[[#This Row],[FECHA TERMINACIÓN ]]+120</f>
        <v>45777</v>
      </c>
      <c r="AJ441" s="147"/>
      <c r="AK441" s="152" t="str">
        <f ca="1">IF(Contrato5[[#This Row],[FECHA TERMINACIÓN ]]&lt;TODAY(), "Terminado",IF(ISNUMBER(Contrato5[[#This Row],[Fecha Real de liquiidación ]]),"Liquidado",IF(Contrato5[[#This Row],[FECHA TERMINACIÓN ]]&gt;=TODAY(),"En ejecución","")))</f>
        <v>Terminado</v>
      </c>
      <c r="AL441" s="153" t="e">
        <f ca="1">SUMIF([2]!COMPROMISOS_2024[[#All],[consecutivo]],Contrato5[[#This Row],[RCP]],[2]!COMPROMISOS_2024[[#All],[Total pagado]])</f>
        <v>#REF!</v>
      </c>
      <c r="AM441" s="154">
        <f ca="1">IFERROR(Contrato5[[#This Row],[Pagos]]/Contrato5[[#This Row],[VALOR CONTRATO]],0)</f>
        <v>0</v>
      </c>
      <c r="AN441" s="198" t="e">
        <f ca="1">+Contrato5[[#This Row],[VALOR CONTRATO]]-Contrato5[[#This Row],[Pagos]]</f>
        <v>#REF!</v>
      </c>
      <c r="AO441" s="147" t="e" cm="1">
        <f t="array" aca="1" ref="AO441" ca="1">_xlfn.XLOOKUP(Contrato5[[#This Row],[DOCUMENTO ]],[2]!PERSONAL_ACTIVO_2024[[#All],[Documento identidad]],[2]!PERSONAL_ACTIVO_2024[[#All],[Mail ]],0,0)</f>
        <v>#NAME?</v>
      </c>
      <c r="AP441" s="147" t="e" cm="1">
        <f t="array" aca="1" ref="AP441" ca="1">_xlfn.XLOOKUP(Contrato5[[#This Row],[DOCUMENTO]],[2]!PERSONAL_ACTIVO_2024[[#All],[Documento identidad]],[2]!PERSONAL_ACTIVO_2024[[#All],[Mail ]],0,0)</f>
        <v>#NAME?</v>
      </c>
      <c r="AQ441" s="439" cm="1">
        <f t="array" aca="1" ref="AQ441" ca="1">IF(ISBLANK(Contrato5[[#This Row],[DEPENDENCIA ]]),0,IFERROR(_xlfn.XLOOKUP(Contrato5[[#This Row],[DEPENDENCIA ]],[2]!PERSONAL_ACTIVO_2024[[#All],[Dependencia]],[2]!PERSONAL_ACTIVO_2024[[#All],[Mail ]],0,0),0))</f>
        <v>0</v>
      </c>
    </row>
    <row r="442" spans="1:43" ht="34.5" customHeight="1">
      <c r="A442" s="147">
        <v>1254</v>
      </c>
      <c r="B442" s="124">
        <v>344</v>
      </c>
      <c r="C442" s="162" t="s">
        <v>2424</v>
      </c>
      <c r="D442" s="227" t="s">
        <v>493</v>
      </c>
      <c r="E442" s="440" t="s">
        <v>2148</v>
      </c>
      <c r="F442" s="227" t="s">
        <v>494</v>
      </c>
      <c r="G442" s="281" t="s">
        <v>1181</v>
      </c>
      <c r="H442" s="436">
        <v>900285123</v>
      </c>
      <c r="I442" s="273" t="s">
        <v>42</v>
      </c>
      <c r="J442" s="437">
        <v>50000000</v>
      </c>
      <c r="K442" s="131" t="s">
        <v>42</v>
      </c>
      <c r="L442" s="438" t="s">
        <v>2578</v>
      </c>
      <c r="M442" s="194" t="s">
        <v>505</v>
      </c>
      <c r="N442" s="177" t="e" cm="1">
        <f t="array" aca="1" ref="N442" ca="1">_xlfn.XLOOKUP(Contrato5[[#This Row],[SUPERVISOR TITULAR]],[2]!PERSONAL_ACTIVO_2024[[#All],[Nombre completo]],[2]!PERSONAL_ACTIVO_2024[[#All],[Documento identidad]],"",0)</f>
        <v>#NAME?</v>
      </c>
      <c r="O442" s="194" t="s">
        <v>818</v>
      </c>
      <c r="P442" s="196" t="e" cm="1">
        <f t="array" aca="1" ref="P442" ca="1">_xlfn.XLOOKUP(Contrato5[[#This Row],[SUPERVISOR SUPLENTE ]],[2]!PERSONAL_ACTIVO_2024[[#All],[Nombre completo]],[2]!PERSONAL_ACTIVO_2024[[#All],[Documento identidad]],"",0)</f>
        <v>#NAME?</v>
      </c>
      <c r="Q442" s="170">
        <v>1082</v>
      </c>
      <c r="R442" s="137" t="e" cm="1">
        <f t="array" aca="1" ref="R442" ca="1">_xlfn.XLOOKUP(Contrato5[[#This Row],[CDP]],[2]!DISPONIBILIDADES_2024[[#All],[consecutivo]],[2]!DISPONIBILIDADES_2024[[#All],[fecha_aprobacion]],"",0)</f>
        <v>#NAME?</v>
      </c>
      <c r="S442" s="138" t="e">
        <f>SUMIF([2]!DISPONIBILIDADES_2024[[#All],[consecutivo]],Contrato5[[#This Row],[CDP]],[2]!DISPONIBILIDADES_2024[[#All],[valor_total_rubro]])</f>
        <v>#REF!</v>
      </c>
      <c r="T442" s="139" t="e" cm="1">
        <f t="array" aca="1" ref="T442" ca="1">_xlfn.XLOOKUP(Contrato5[[#This Row],[CONTRATO]]&amp;Contrato5[[#This Row],[CDP]],[2]!Corr_Contr_CDP[[#All],[CONTRATO-CDP]],[2]!Corr_Contr_CDP[[#All],[CRP]],_xlfn.XLOOKUP(Contrato5[[#This Row],[CDP]],[2]!COMPROMISOS_2024[[#All],[disponibilidad]],[2]!COMPROMISOS_2024[[#All],[consecutivo]],"",0),0)</f>
        <v>#NAME?</v>
      </c>
      <c r="U442" s="140" t="e" cm="1">
        <f t="array" aca="1" ref="U442" ca="1">+_xlfn.XLOOKUP(Contrato5[[#This Row],[RCP]],[2]!COMPROMISOS_2024[[#All],[consecutivo]],[2]!COMPROMISOS_2024[[#All],[fecha_aprobacion]],"",0)</f>
        <v>#NAME?</v>
      </c>
      <c r="V442" s="141" t="e">
        <f ca="1">SUMIF([2]!COMPROMISOS_2024[[#All],[consecutivo]],Contrato5[[#This Row],[RCP]],[2]!COMPROMISOS_2024[[#All],[valor_total]])</f>
        <v>#REF!</v>
      </c>
      <c r="W442" s="415">
        <v>45589</v>
      </c>
      <c r="X442" s="415">
        <v>45589</v>
      </c>
      <c r="Y442" s="143">
        <v>45432</v>
      </c>
      <c r="Z442" s="262">
        <v>45657</v>
      </c>
      <c r="AA442" s="171"/>
      <c r="AB442" s="172" t="s">
        <v>42</v>
      </c>
      <c r="AC442" s="127"/>
      <c r="AD442" s="211"/>
      <c r="AE442" s="147"/>
      <c r="AF442" s="148" t="str">
        <f>TEXT(LEFT(Contrato5[[#This Row],[CONTRATO]],3),"0")</f>
        <v>344</v>
      </c>
      <c r="AG442" s="148" t="str">
        <f>IF(LEN(Contrato5[[#This Row],[Contrato2]])=3,Contrato5[[#This Row],[Contrato2]],TEXT(Contrato5[[#This Row],[Contrato2]],"000"))</f>
        <v>344</v>
      </c>
      <c r="AH442" s="149">
        <f ca="1">IFERROR(_xlfn.DAYS(Contrato5[[#This Row],[Fecha Proyectada liquidación]],TODAY())/30,"")</f>
        <v>0.6333333333333333</v>
      </c>
      <c r="AI442" s="150">
        <f>+Contrato5[[#This Row],[FECHA TERMINACIÓN ]]+120</f>
        <v>45777</v>
      </c>
      <c r="AJ442" s="147"/>
      <c r="AK442" s="152" t="str">
        <f ca="1">IF(Contrato5[[#This Row],[FECHA TERMINACIÓN ]]&lt;TODAY(), "Terminado",IF(ISNUMBER(Contrato5[[#This Row],[Fecha Real de liquiidación ]]),"Liquidado",IF(Contrato5[[#This Row],[FECHA TERMINACIÓN ]]&gt;=TODAY(),"En ejecución","")))</f>
        <v>Terminado</v>
      </c>
      <c r="AL442" s="153" t="e">
        <f ca="1">SUMIF([2]!COMPROMISOS_2024[[#All],[consecutivo]],Contrato5[[#This Row],[RCP]],[2]!COMPROMISOS_2024[[#All],[Total pagado]])</f>
        <v>#REF!</v>
      </c>
      <c r="AM442" s="154">
        <f ca="1">IFERROR(Contrato5[[#This Row],[Pagos]]/Contrato5[[#This Row],[VALOR CONTRATO]],0)</f>
        <v>0</v>
      </c>
      <c r="AN442" s="198" t="e">
        <f ca="1">+Contrato5[[#This Row],[VALOR CONTRATO]]-Contrato5[[#This Row],[Pagos]]</f>
        <v>#REF!</v>
      </c>
      <c r="AO442" s="147" t="e" cm="1">
        <f t="array" aca="1" ref="AO442" ca="1">_xlfn.XLOOKUP(Contrato5[[#This Row],[DOCUMENTO ]],[2]!PERSONAL_ACTIVO_2024[[#All],[Documento identidad]],[2]!PERSONAL_ACTIVO_2024[[#All],[Mail ]],0,0)</f>
        <v>#NAME?</v>
      </c>
      <c r="AP442" s="147" t="e" cm="1">
        <f t="array" aca="1" ref="AP442" ca="1">_xlfn.XLOOKUP(Contrato5[[#This Row],[DOCUMENTO]],[2]!PERSONAL_ACTIVO_2024[[#All],[Documento identidad]],[2]!PERSONAL_ACTIVO_2024[[#All],[Mail ]],0,0)</f>
        <v>#NAME?</v>
      </c>
      <c r="AQ442" s="439" cm="1">
        <f t="array" aca="1" ref="AQ442" ca="1">IF(ISBLANK(Contrato5[[#This Row],[DEPENDENCIA ]]),0,IFERROR(_xlfn.XLOOKUP(Contrato5[[#This Row],[DEPENDENCIA ]],[2]!PERSONAL_ACTIVO_2024[[#All],[Dependencia]],[2]!PERSONAL_ACTIVO_2024[[#All],[Mail ]],0,0),0))</f>
        <v>0</v>
      </c>
    </row>
    <row r="443" spans="1:43" ht="34.5" customHeight="1">
      <c r="A443" s="125">
        <v>68</v>
      </c>
      <c r="B443" s="124">
        <v>345</v>
      </c>
      <c r="C443" s="162" t="s">
        <v>1500</v>
      </c>
      <c r="D443" s="227" t="s">
        <v>602</v>
      </c>
      <c r="E443" s="440" t="s">
        <v>94</v>
      </c>
      <c r="F443" s="163" t="s">
        <v>1376</v>
      </c>
      <c r="G443" s="281" t="s">
        <v>1183</v>
      </c>
      <c r="H443" s="436">
        <v>1015067883</v>
      </c>
      <c r="I443" s="273">
        <v>4171510</v>
      </c>
      <c r="J443" s="437">
        <v>12514530</v>
      </c>
      <c r="K443" s="131" t="s">
        <v>42</v>
      </c>
      <c r="L443" s="438" t="s">
        <v>807</v>
      </c>
      <c r="M443" s="194" t="s">
        <v>1184</v>
      </c>
      <c r="N443" s="177" t="e" cm="1">
        <f t="array" aca="1" ref="N443" ca="1">_xlfn.XLOOKUP(Contrato5[[#This Row],[SUPERVISOR TITULAR]],[2]!PERSONAL_ACTIVO_2024[[#All],[Nombre completo]],[2]!PERSONAL_ACTIVO_2024[[#All],[Documento identidad]],"",0)</f>
        <v>#NAME?</v>
      </c>
      <c r="O443" s="194" t="s">
        <v>1185</v>
      </c>
      <c r="P443" s="196" t="e" cm="1">
        <f t="array" aca="1" ref="P443" ca="1">_xlfn.XLOOKUP(Contrato5[[#This Row],[SUPERVISOR SUPLENTE ]],[2]!PERSONAL_ACTIVO_2024[[#All],[Nombre completo]],[2]!PERSONAL_ACTIVO_2024[[#All],[Documento identidad]],"",0)</f>
        <v>#NAME?</v>
      </c>
      <c r="Q443" s="170">
        <v>401</v>
      </c>
      <c r="R443" s="137" t="e" cm="1">
        <f t="array" aca="1" ref="R443" ca="1">_xlfn.XLOOKUP(Contrato5[[#This Row],[CDP]],[2]!DISPONIBILIDADES_2024[[#All],[consecutivo]],[2]!DISPONIBILIDADES_2024[[#All],[fecha_aprobacion]],"",0)</f>
        <v>#NAME?</v>
      </c>
      <c r="S443" s="138" t="e">
        <f>SUMIF([2]!DISPONIBILIDADES_2024[[#All],[consecutivo]],Contrato5[[#This Row],[CDP]],[2]!DISPONIBILIDADES_2024[[#All],[valor_total_rubro]])</f>
        <v>#REF!</v>
      </c>
      <c r="T443" s="139" t="e" cm="1">
        <f t="array" aca="1" ref="T443" ca="1">_xlfn.XLOOKUP(Contrato5[[#This Row],[CONTRATO]]&amp;Contrato5[[#This Row],[CDP]],[2]!Corr_Contr_CDP[[#All],[CONTRATO-CDP]],[2]!Corr_Contr_CDP[[#All],[CRP]],_xlfn.XLOOKUP(Contrato5[[#This Row],[CDP]],[2]!COMPROMISOS_2024[[#All],[disponibilidad]],[2]!COMPROMISOS_2024[[#All],[consecutivo]],"",0),0)</f>
        <v>#NAME?</v>
      </c>
      <c r="U443" s="140" t="e" cm="1">
        <f t="array" aca="1" ref="U443" ca="1">+_xlfn.XLOOKUP(Contrato5[[#This Row],[RCP]],[2]!COMPROMISOS_2024[[#All],[consecutivo]],[2]!COMPROMISOS_2024[[#All],[fecha_aprobacion]],"",0)</f>
        <v>#NAME?</v>
      </c>
      <c r="V443" s="141" t="e">
        <f ca="1">SUMIF([2]!COMPROMISOS_2024[[#All],[consecutivo]],Contrato5[[#This Row],[RCP]],[2]!COMPROMISOS_2024[[#All],[valor_total]])</f>
        <v>#REF!</v>
      </c>
      <c r="W443" s="415">
        <v>45429</v>
      </c>
      <c r="X443" s="415" t="s">
        <v>1045</v>
      </c>
      <c r="Y443" s="143">
        <v>45429</v>
      </c>
      <c r="Z443" s="262">
        <v>45520</v>
      </c>
      <c r="AA443" s="171" t="s">
        <v>1186</v>
      </c>
      <c r="AB443" s="172" t="s">
        <v>529</v>
      </c>
      <c r="AC443" s="172"/>
      <c r="AD443" s="263">
        <v>202000004351</v>
      </c>
      <c r="AE443" s="147" t="s">
        <v>523</v>
      </c>
      <c r="AF443" s="148" t="str">
        <f>TEXT(LEFT(Contrato5[[#This Row],[CONTRATO]],3),"0")</f>
        <v>345</v>
      </c>
      <c r="AG443" s="148" t="str">
        <f>IF(LEN(Contrato5[[#This Row],[Contrato2]])=3,Contrato5[[#This Row],[Contrato2]],TEXT(Contrato5[[#This Row],[Contrato2]],"000"))</f>
        <v>345</v>
      </c>
      <c r="AH443" s="149">
        <f ca="1">IFERROR(_xlfn.DAYS(Contrato5[[#This Row],[Fecha Proyectada liquidación]],TODAY())/30,"")</f>
        <v>-3.9333333333333331</v>
      </c>
      <c r="AI443" s="150">
        <f>+Contrato5[[#This Row],[FECHA TERMINACIÓN ]]+120</f>
        <v>45640</v>
      </c>
      <c r="AJ443" s="147"/>
      <c r="AK443" s="152" t="str">
        <f ca="1">IF(Contrato5[[#This Row],[FECHA TERMINACIÓN ]]&lt;TODAY(), "Terminado",IF(ISNUMBER(Contrato5[[#This Row],[Fecha Real de liquiidación ]]),"Liquidado",IF(Contrato5[[#This Row],[FECHA TERMINACIÓN ]]&gt;=TODAY(),"En ejecución","")))</f>
        <v>Terminado</v>
      </c>
      <c r="AL443" s="153" t="e">
        <f ca="1">SUMIF([2]!COMPROMISOS_2024[[#All],[consecutivo]],Contrato5[[#This Row],[RCP]],[2]!COMPROMISOS_2024[[#All],[Total pagado]])</f>
        <v>#REF!</v>
      </c>
      <c r="AM443" s="154">
        <f ca="1">IFERROR(Contrato5[[#This Row],[Pagos]]/Contrato5[[#This Row],[VALOR CONTRATO]],0)</f>
        <v>0</v>
      </c>
      <c r="AN443" s="198" t="e">
        <f ca="1">+Contrato5[[#This Row],[VALOR CONTRATO]]-Contrato5[[#This Row],[Pagos]]</f>
        <v>#REF!</v>
      </c>
      <c r="AO443" s="147" t="e" cm="1">
        <f t="array" aca="1" ref="AO443" ca="1">_xlfn.XLOOKUP(Contrato5[[#This Row],[DOCUMENTO ]],[2]!PERSONAL_ACTIVO_2024[[#All],[Documento identidad]],[2]!PERSONAL_ACTIVO_2024[[#All],[Mail ]],0,0)</f>
        <v>#NAME?</v>
      </c>
      <c r="AP443" s="147" t="e" cm="1">
        <f t="array" aca="1" ref="AP443" ca="1">_xlfn.XLOOKUP(Contrato5[[#This Row],[DOCUMENTO]],[2]!PERSONAL_ACTIVO_2024[[#All],[Documento identidad]],[2]!PERSONAL_ACTIVO_2024[[#All],[Mail ]],0,0)</f>
        <v>#NAME?</v>
      </c>
      <c r="AQ443" s="439" cm="1">
        <f t="array" aca="1" ref="AQ443" ca="1">IF(ISBLANK(Contrato5[[#This Row],[DEPENDENCIA ]]),0,IFERROR(_xlfn.XLOOKUP(Contrato5[[#This Row],[DEPENDENCIA ]],[2]!PERSONAL_ACTIVO_2024[[#All],[Dependencia]],[2]!PERSONAL_ACTIVO_2024[[#All],[Mail ]],0,0),0))</f>
        <v>0</v>
      </c>
    </row>
    <row r="444" spans="1:43" ht="34.5" customHeight="1">
      <c r="A444" s="125">
        <v>111</v>
      </c>
      <c r="B444" s="124">
        <v>346</v>
      </c>
      <c r="C444" s="162" t="s">
        <v>1525</v>
      </c>
      <c r="D444" s="227" t="s">
        <v>583</v>
      </c>
      <c r="E444" s="440" t="s">
        <v>94</v>
      </c>
      <c r="F444" s="227" t="s">
        <v>222</v>
      </c>
      <c r="G444" s="281" t="s">
        <v>1187</v>
      </c>
      <c r="H444" s="436">
        <v>900591848</v>
      </c>
      <c r="I444" s="273" t="s">
        <v>42</v>
      </c>
      <c r="J444" s="505">
        <v>147556103</v>
      </c>
      <c r="K444" s="131" t="s">
        <v>42</v>
      </c>
      <c r="L444" s="438" t="s">
        <v>807</v>
      </c>
      <c r="M444" s="194" t="s">
        <v>589</v>
      </c>
      <c r="N444" s="177" t="e" cm="1">
        <f t="array" aca="1" ref="N444" ca="1">_xlfn.XLOOKUP(Contrato5[[#This Row],[SUPERVISOR TITULAR]],[2]!PERSONAL_ACTIVO_2024[[#All],[Nombre completo]],[2]!PERSONAL_ACTIVO_2024[[#All],[Documento identidad]],"",0)</f>
        <v>#NAME?</v>
      </c>
      <c r="O444" s="194" t="s">
        <v>586</v>
      </c>
      <c r="P444" s="196" t="e" cm="1">
        <f t="array" aca="1" ref="P444" ca="1">_xlfn.XLOOKUP(Contrato5[[#This Row],[SUPERVISOR SUPLENTE ]],[2]!PERSONAL_ACTIVO_2024[[#All],[Nombre completo]],[2]!PERSONAL_ACTIVO_2024[[#All],[Documento identidad]],"",0)</f>
        <v>#NAME?</v>
      </c>
      <c r="Q444" s="170">
        <v>475</v>
      </c>
      <c r="R444" s="137" t="e" cm="1">
        <f t="array" aca="1" ref="R444" ca="1">_xlfn.XLOOKUP(Contrato5[[#This Row],[CDP]],[2]!DISPONIBILIDADES_2024[[#All],[consecutivo]],[2]!DISPONIBILIDADES_2024[[#All],[fecha_aprobacion]],"",0)</f>
        <v>#NAME?</v>
      </c>
      <c r="S444" s="138" t="e">
        <f>SUMIF([2]!DISPONIBILIDADES_2024[[#All],[consecutivo]],Contrato5[[#This Row],[CDP]],[2]!DISPONIBILIDADES_2024[[#All],[valor_total_rubro]])</f>
        <v>#REF!</v>
      </c>
      <c r="T444" s="139" t="e" cm="1">
        <f t="array" aca="1" ref="T444" ca="1">_xlfn.XLOOKUP(Contrato5[[#This Row],[CONTRATO]]&amp;Contrato5[[#This Row],[CDP]],[2]!Corr_Contr_CDP[[#All],[CONTRATO-CDP]],[2]!Corr_Contr_CDP[[#All],[CRP]],_xlfn.XLOOKUP(Contrato5[[#This Row],[CDP]],[2]!COMPROMISOS_2024[[#All],[disponibilidad]],[2]!COMPROMISOS_2024[[#All],[consecutivo]],"",0),0)</f>
        <v>#NAME?</v>
      </c>
      <c r="U444" s="140" t="e" cm="1">
        <f t="array" aca="1" ref="U444" ca="1">+_xlfn.XLOOKUP(Contrato5[[#This Row],[RCP]],[2]!COMPROMISOS_2024[[#All],[consecutivo]],[2]!COMPROMISOS_2024[[#All],[fecha_aprobacion]],"",0)</f>
        <v>#NAME?</v>
      </c>
      <c r="V444" s="141" t="e">
        <f ca="1">SUMIF([2]!COMPROMISOS_2024[[#All],[consecutivo]],Contrato5[[#This Row],[RCP]],[2]!COMPROMISOS_2024[[#All],[valor_total]])</f>
        <v>#REF!</v>
      </c>
      <c r="W444" s="415">
        <v>45433</v>
      </c>
      <c r="X444" s="415">
        <v>45434</v>
      </c>
      <c r="Y444" s="143">
        <v>45434</v>
      </c>
      <c r="Z444" s="262">
        <v>45656</v>
      </c>
      <c r="AA444" s="171" t="s">
        <v>1188</v>
      </c>
      <c r="AB444" s="172" t="s">
        <v>1189</v>
      </c>
      <c r="AC444" s="172"/>
      <c r="AD444" s="211">
        <v>202000004352</v>
      </c>
      <c r="AE444" s="147" t="s">
        <v>523</v>
      </c>
      <c r="AF444" s="148" t="str">
        <f>TEXT(LEFT(Contrato5[[#This Row],[CONTRATO]],3),"0")</f>
        <v>346</v>
      </c>
      <c r="AG444" s="148" t="str">
        <f>IF(LEN(Contrato5[[#This Row],[Contrato2]])=3,Contrato5[[#This Row],[Contrato2]],TEXT(Contrato5[[#This Row],[Contrato2]],"000"))</f>
        <v>346</v>
      </c>
      <c r="AH444" s="149">
        <f ca="1">IFERROR(_xlfn.DAYS(Contrato5[[#This Row],[Fecha Proyectada liquidación]],TODAY())/30,"")</f>
        <v>0.6</v>
      </c>
      <c r="AI444" s="150">
        <f>+Contrato5[[#This Row],[FECHA TERMINACIÓN ]]+120</f>
        <v>45776</v>
      </c>
      <c r="AJ444" s="147"/>
      <c r="AK444" s="152" t="str">
        <f ca="1">IF(Contrato5[[#This Row],[FECHA TERMINACIÓN ]]&lt;TODAY(), "Terminado",IF(ISNUMBER(Contrato5[[#This Row],[Fecha Real de liquiidación ]]),"Liquidado",IF(Contrato5[[#This Row],[FECHA TERMINACIÓN ]]&gt;=TODAY(),"En ejecución","")))</f>
        <v>Terminado</v>
      </c>
      <c r="AL444" s="153" t="e">
        <f ca="1">SUMIF([2]!COMPROMISOS_2024[[#All],[consecutivo]],Contrato5[[#This Row],[RCP]],[2]!COMPROMISOS_2024[[#All],[Total pagado]])</f>
        <v>#REF!</v>
      </c>
      <c r="AM444" s="154">
        <f ca="1">IFERROR(Contrato5[[#This Row],[Pagos]]/Contrato5[[#This Row],[VALOR CONTRATO]],0)</f>
        <v>0</v>
      </c>
      <c r="AN444" s="198" t="e">
        <f ca="1">+Contrato5[[#This Row],[VALOR CONTRATO]]-Contrato5[[#This Row],[Pagos]]</f>
        <v>#REF!</v>
      </c>
      <c r="AO444" s="147" t="e" cm="1">
        <f t="array" aca="1" ref="AO444" ca="1">_xlfn.XLOOKUP(Contrato5[[#This Row],[DOCUMENTO ]],[2]!PERSONAL_ACTIVO_2024[[#All],[Documento identidad]],[2]!PERSONAL_ACTIVO_2024[[#All],[Mail ]],0,0)</f>
        <v>#NAME?</v>
      </c>
      <c r="AP444" s="147" t="e" cm="1">
        <f t="array" aca="1" ref="AP444" ca="1">_xlfn.XLOOKUP(Contrato5[[#This Row],[DOCUMENTO]],[2]!PERSONAL_ACTIVO_2024[[#All],[Documento identidad]],[2]!PERSONAL_ACTIVO_2024[[#All],[Mail ]],0,0)</f>
        <v>#NAME?</v>
      </c>
      <c r="AQ444" s="439" cm="1">
        <f t="array" aca="1" ref="AQ444" ca="1">IF(ISBLANK(Contrato5[[#This Row],[DEPENDENCIA ]]),0,IFERROR(_xlfn.XLOOKUP(Contrato5[[#This Row],[DEPENDENCIA ]],[2]!PERSONAL_ACTIVO_2024[[#All],[Dependencia]],[2]!PERSONAL_ACTIVO_2024[[#All],[Mail ]],0,0),0))</f>
        <v>0</v>
      </c>
    </row>
    <row r="445" spans="1:43" ht="34.5" customHeight="1">
      <c r="A445" s="125">
        <v>1147</v>
      </c>
      <c r="B445" s="124">
        <v>346</v>
      </c>
      <c r="C445" s="162" t="s">
        <v>2139</v>
      </c>
      <c r="D445" s="227" t="s">
        <v>583</v>
      </c>
      <c r="E445" s="440" t="s">
        <v>2148</v>
      </c>
      <c r="F445" s="227" t="s">
        <v>222</v>
      </c>
      <c r="G445" s="281" t="s">
        <v>1187</v>
      </c>
      <c r="H445" s="436">
        <v>900591848</v>
      </c>
      <c r="I445" s="273" t="s">
        <v>42</v>
      </c>
      <c r="J445" s="505">
        <v>73778000</v>
      </c>
      <c r="K445" s="131"/>
      <c r="L445" s="438" t="s">
        <v>2570</v>
      </c>
      <c r="M445" s="194" t="s">
        <v>589</v>
      </c>
      <c r="N445" s="177" t="e" cm="1">
        <f t="array" aca="1" ref="N445" ca="1">_xlfn.XLOOKUP(Contrato5[[#This Row],[SUPERVISOR TITULAR]],[2]!PERSONAL_ACTIVO_2024[[#All],[Nombre completo]],[2]!PERSONAL_ACTIVO_2024[[#All],[Documento identidad]],"",0)</f>
        <v>#NAME?</v>
      </c>
      <c r="O445" s="194" t="s">
        <v>586</v>
      </c>
      <c r="P445" s="196" t="e" cm="1">
        <f t="array" aca="1" ref="P445" ca="1">_xlfn.XLOOKUP(Contrato5[[#This Row],[SUPERVISOR SUPLENTE ]],[2]!PERSONAL_ACTIVO_2024[[#All],[Nombre completo]],[2]!PERSONAL_ACTIVO_2024[[#All],[Documento identidad]],"",0)</f>
        <v>#NAME?</v>
      </c>
      <c r="Q445" s="170">
        <v>949</v>
      </c>
      <c r="R445" s="137" t="e" cm="1">
        <f t="array" aca="1" ref="R445" ca="1">_xlfn.XLOOKUP(Contrato5[[#This Row],[CDP]],[2]!DISPONIBILIDADES_2024[[#All],[consecutivo]],[2]!DISPONIBILIDADES_2024[[#All],[fecha_aprobacion]],"",0)</f>
        <v>#NAME?</v>
      </c>
      <c r="S445" s="138" t="e">
        <f>SUMIF([2]!DISPONIBILIDADES_2024[[#All],[consecutivo]],Contrato5[[#This Row],[CDP]],[2]!DISPONIBILIDADES_2024[[#All],[valor_total_rubro]])</f>
        <v>#REF!</v>
      </c>
      <c r="T445" s="139" t="e" cm="1">
        <f t="array" aca="1" ref="T445" ca="1">_xlfn.XLOOKUP(Contrato5[[#This Row],[CONTRATO]]&amp;Contrato5[[#This Row],[CDP]],[2]!Corr_Contr_CDP[[#All],[CONTRATO-CDP]],[2]!Corr_Contr_CDP[[#All],[CRP]],_xlfn.XLOOKUP(Contrato5[[#This Row],[CDP]],[2]!COMPROMISOS_2024[[#All],[disponibilidad]],[2]!COMPROMISOS_2024[[#All],[consecutivo]],"",0),0)</f>
        <v>#NAME?</v>
      </c>
      <c r="U445" s="140" t="e" cm="1">
        <f t="array" aca="1" ref="U445" ca="1">+_xlfn.XLOOKUP(Contrato5[[#This Row],[RCP]],[2]!COMPROMISOS_2024[[#All],[consecutivo]],[2]!COMPROMISOS_2024[[#All],[fecha_aprobacion]],"",0)</f>
        <v>#NAME?</v>
      </c>
      <c r="V445" s="141" t="e">
        <f ca="1">SUMIF([2]!COMPROMISOS_2024[[#All],[consecutivo]],Contrato5[[#This Row],[RCP]],[2]!COMPROMISOS_2024[[#All],[valor_total]])</f>
        <v>#REF!</v>
      </c>
      <c r="W445" s="415">
        <v>45583</v>
      </c>
      <c r="X445" s="415">
        <v>45587</v>
      </c>
      <c r="Y445" s="143">
        <v>45434</v>
      </c>
      <c r="Z445" s="262">
        <v>45656</v>
      </c>
      <c r="AA445" s="171"/>
      <c r="AB445" s="172" t="s">
        <v>42</v>
      </c>
      <c r="AC445" s="172"/>
      <c r="AD445" s="211">
        <v>202000004352</v>
      </c>
      <c r="AE445" s="147" t="s">
        <v>523</v>
      </c>
      <c r="AF445" s="148" t="str">
        <f>TEXT(LEFT(Contrato5[[#This Row],[CONTRATO]],3),"0")</f>
        <v>346</v>
      </c>
      <c r="AG445" s="148" t="str">
        <f>IF(LEN(Contrato5[[#This Row],[Contrato2]])=3,Contrato5[[#This Row],[Contrato2]],TEXT(Contrato5[[#This Row],[Contrato2]],"000"))</f>
        <v>346</v>
      </c>
      <c r="AH445" s="149">
        <f ca="1">IFERROR(_xlfn.DAYS(Contrato5[[#This Row],[Fecha Proyectada liquidación]],TODAY())/30,"")</f>
        <v>0.6</v>
      </c>
      <c r="AI445" s="150">
        <f>+Contrato5[[#This Row],[FECHA TERMINACIÓN ]]+120</f>
        <v>45776</v>
      </c>
      <c r="AJ445" s="147"/>
      <c r="AK445" s="152" t="str">
        <f ca="1">IF(Contrato5[[#This Row],[FECHA TERMINACIÓN ]]&lt;TODAY(), "Terminado",IF(ISNUMBER(Contrato5[[#This Row],[Fecha Real de liquiidación ]]),"Liquidado",IF(Contrato5[[#This Row],[FECHA TERMINACIÓN ]]&gt;=TODAY(),"En ejecución","")))</f>
        <v>Terminado</v>
      </c>
      <c r="AL445" s="153" t="e">
        <f ca="1">SUMIF([2]!COMPROMISOS_2024[[#All],[consecutivo]],Contrato5[[#This Row],[RCP]],[2]!COMPROMISOS_2024[[#All],[Total pagado]])</f>
        <v>#REF!</v>
      </c>
      <c r="AM445" s="154">
        <f ca="1">IFERROR(Contrato5[[#This Row],[Pagos]]/Contrato5[[#This Row],[VALOR CONTRATO]],0)</f>
        <v>0</v>
      </c>
      <c r="AN445" s="198" t="e">
        <f ca="1">+Contrato5[[#This Row],[VALOR CONTRATO]]-Contrato5[[#This Row],[Pagos]]</f>
        <v>#REF!</v>
      </c>
      <c r="AO445" s="147" t="e" cm="1">
        <f t="array" aca="1" ref="AO445" ca="1">_xlfn.XLOOKUP(Contrato5[[#This Row],[DOCUMENTO ]],[2]!PERSONAL_ACTIVO_2024[[#All],[Documento identidad]],[2]!PERSONAL_ACTIVO_2024[[#All],[Mail ]],0,0)</f>
        <v>#NAME?</v>
      </c>
      <c r="AP445" s="147" t="e" cm="1">
        <f t="array" aca="1" ref="AP445" ca="1">_xlfn.XLOOKUP(Contrato5[[#This Row],[DOCUMENTO]],[2]!PERSONAL_ACTIVO_2024[[#All],[Documento identidad]],[2]!PERSONAL_ACTIVO_2024[[#All],[Mail ]],0,0)</f>
        <v>#NAME?</v>
      </c>
      <c r="AQ445" s="439" cm="1">
        <f t="array" aca="1" ref="AQ445" ca="1">IF(ISBLANK(Contrato5[[#This Row],[DEPENDENCIA ]]),0,IFERROR(_xlfn.XLOOKUP(Contrato5[[#This Row],[DEPENDENCIA ]],[2]!PERSONAL_ACTIVO_2024[[#All],[Dependencia]],[2]!PERSONAL_ACTIVO_2024[[#All],[Mail ]],0,0),0))</f>
        <v>0</v>
      </c>
    </row>
    <row r="446" spans="1:43" ht="34.5" customHeight="1">
      <c r="A446" s="125">
        <v>684</v>
      </c>
      <c r="B446" s="124">
        <v>347</v>
      </c>
      <c r="C446" s="162" t="s">
        <v>1328</v>
      </c>
      <c r="D446" s="227" t="s">
        <v>493</v>
      </c>
      <c r="E446" s="440" t="s">
        <v>94</v>
      </c>
      <c r="F446" s="163" t="s">
        <v>1376</v>
      </c>
      <c r="G446" s="281" t="s">
        <v>1190</v>
      </c>
      <c r="H446" s="436">
        <v>43162960</v>
      </c>
      <c r="I446" s="273">
        <v>6879081</v>
      </c>
      <c r="J446" s="505">
        <v>48153567</v>
      </c>
      <c r="K446" s="131" t="s">
        <v>42</v>
      </c>
      <c r="L446" s="438" t="s">
        <v>807</v>
      </c>
      <c r="M446" s="194" t="s">
        <v>526</v>
      </c>
      <c r="N446" s="177" t="e" cm="1">
        <f t="array" aca="1" ref="N446" ca="1">_xlfn.XLOOKUP(Contrato5[[#This Row],[SUPERVISOR TITULAR]],[2]!PERSONAL_ACTIVO_2024[[#All],[Nombre completo]],[2]!PERSONAL_ACTIVO_2024[[#All],[Documento identidad]],"",0)</f>
        <v>#NAME?</v>
      </c>
      <c r="O446" s="194" t="s">
        <v>796</v>
      </c>
      <c r="P446" s="196" t="e" cm="1">
        <f t="array" aca="1" ref="P446" ca="1">_xlfn.XLOOKUP(Contrato5[[#This Row],[SUPERVISOR SUPLENTE ]],[2]!PERSONAL_ACTIVO_2024[[#All],[Nombre completo]],[2]!PERSONAL_ACTIVO_2024[[#All],[Documento identidad]],"",0)</f>
        <v>#NAME?</v>
      </c>
      <c r="Q446" s="170">
        <v>478</v>
      </c>
      <c r="R446" s="137" t="e" cm="1">
        <f t="array" aca="1" ref="R446" ca="1">_xlfn.XLOOKUP(Contrato5[[#This Row],[CDP]],[2]!DISPONIBILIDADES_2024[[#All],[consecutivo]],[2]!DISPONIBILIDADES_2024[[#All],[fecha_aprobacion]],"",0)</f>
        <v>#NAME?</v>
      </c>
      <c r="S446" s="138" t="e">
        <f>SUMIF([2]!DISPONIBILIDADES_2024[[#All],[consecutivo]],Contrato5[[#This Row],[CDP]],[2]!DISPONIBILIDADES_2024[[#All],[valor_total_rubro]])</f>
        <v>#REF!</v>
      </c>
      <c r="T446" s="139" t="e" cm="1">
        <f t="array" aca="1" ref="T446" ca="1">_xlfn.XLOOKUP(Contrato5[[#This Row],[CONTRATO]]&amp;Contrato5[[#This Row],[CDP]],[2]!Corr_Contr_CDP[[#All],[CONTRATO-CDP]],[2]!Corr_Contr_CDP[[#All],[CRP]],_xlfn.XLOOKUP(Contrato5[[#This Row],[CDP]],[2]!COMPROMISOS_2024[[#All],[disponibilidad]],[2]!COMPROMISOS_2024[[#All],[consecutivo]],"",0),0)</f>
        <v>#NAME?</v>
      </c>
      <c r="U446" s="140" t="e" cm="1">
        <f t="array" aca="1" ref="U446" ca="1">+_xlfn.XLOOKUP(Contrato5[[#This Row],[RCP]],[2]!COMPROMISOS_2024[[#All],[consecutivo]],[2]!COMPROMISOS_2024[[#All],[fecha_aprobacion]],"",0)</f>
        <v>#NAME?</v>
      </c>
      <c r="V446" s="141" t="e">
        <f ca="1">SUMIF([2]!COMPROMISOS_2024[[#All],[consecutivo]],Contrato5[[#This Row],[RCP]],[2]!COMPROMISOS_2024[[#All],[valor_total]])</f>
        <v>#REF!</v>
      </c>
      <c r="W446" s="415">
        <v>45432</v>
      </c>
      <c r="X446" s="415" t="s">
        <v>1045</v>
      </c>
      <c r="Y446" s="143">
        <v>45433</v>
      </c>
      <c r="Z446" s="262">
        <v>45647</v>
      </c>
      <c r="AA446" s="183" t="s">
        <v>1191</v>
      </c>
      <c r="AB446" s="285" t="s">
        <v>618</v>
      </c>
      <c r="AC446" s="285"/>
      <c r="AD446" s="211">
        <v>202000004353</v>
      </c>
      <c r="AE446" s="147" t="s">
        <v>523</v>
      </c>
      <c r="AF446" s="148" t="str">
        <f>TEXT(LEFT(Contrato5[[#This Row],[CONTRATO]],3),"0")</f>
        <v>347</v>
      </c>
      <c r="AG446" s="148" t="str">
        <f>IF(LEN(Contrato5[[#This Row],[Contrato2]])=3,Contrato5[[#This Row],[Contrato2]],TEXT(Contrato5[[#This Row],[Contrato2]],"000"))</f>
        <v>347</v>
      </c>
      <c r="AH446" s="149">
        <f ca="1">IFERROR(_xlfn.DAYS(Contrato5[[#This Row],[Fecha Proyectada liquidación]],TODAY())/30,"")</f>
        <v>0.3</v>
      </c>
      <c r="AI446" s="150">
        <f>+Contrato5[[#This Row],[FECHA TERMINACIÓN ]]+120</f>
        <v>45767</v>
      </c>
      <c r="AJ446" s="147"/>
      <c r="AK446" s="152" t="str">
        <f ca="1">IF(Contrato5[[#This Row],[FECHA TERMINACIÓN ]]&lt;TODAY(), "Terminado",IF(ISNUMBER(Contrato5[[#This Row],[Fecha Real de liquiidación ]]),"Liquidado",IF(Contrato5[[#This Row],[FECHA TERMINACIÓN ]]&gt;=TODAY(),"En ejecución","")))</f>
        <v>Terminado</v>
      </c>
      <c r="AL446" s="153" t="e">
        <f ca="1">SUMIF([2]!COMPROMISOS_2024[[#All],[consecutivo]],Contrato5[[#This Row],[RCP]],[2]!COMPROMISOS_2024[[#All],[Total pagado]])</f>
        <v>#REF!</v>
      </c>
      <c r="AM446" s="154">
        <f ca="1">IFERROR(Contrato5[[#This Row],[Pagos]]/Contrato5[[#This Row],[VALOR CONTRATO]],0)</f>
        <v>0</v>
      </c>
      <c r="AN446" s="198" t="e">
        <f ca="1">+Contrato5[[#This Row],[VALOR CONTRATO]]-Contrato5[[#This Row],[Pagos]]</f>
        <v>#REF!</v>
      </c>
      <c r="AO446" s="147" t="e" cm="1">
        <f t="array" aca="1" ref="AO446" ca="1">_xlfn.XLOOKUP(Contrato5[[#This Row],[DOCUMENTO ]],[2]!PERSONAL_ACTIVO_2024[[#All],[Documento identidad]],[2]!PERSONAL_ACTIVO_2024[[#All],[Mail ]],0,0)</f>
        <v>#NAME?</v>
      </c>
      <c r="AP446" s="147" t="e" cm="1">
        <f t="array" aca="1" ref="AP446" ca="1">_xlfn.XLOOKUP(Contrato5[[#This Row],[DOCUMENTO]],[2]!PERSONAL_ACTIVO_2024[[#All],[Documento identidad]],[2]!PERSONAL_ACTIVO_2024[[#All],[Mail ]],0,0)</f>
        <v>#NAME?</v>
      </c>
      <c r="AQ446" s="439" cm="1">
        <f t="array" aca="1" ref="AQ446" ca="1">IF(ISBLANK(Contrato5[[#This Row],[DEPENDENCIA ]]),0,IFERROR(_xlfn.XLOOKUP(Contrato5[[#This Row],[DEPENDENCIA ]],[2]!PERSONAL_ACTIVO_2024[[#All],[Dependencia]],[2]!PERSONAL_ACTIVO_2024[[#All],[Mail ]],0,0),0))</f>
        <v>0</v>
      </c>
    </row>
    <row r="447" spans="1:43" ht="34.5" customHeight="1">
      <c r="A447" s="147">
        <v>1336</v>
      </c>
      <c r="B447" s="124">
        <v>347</v>
      </c>
      <c r="C447" s="162" t="s">
        <v>1375</v>
      </c>
      <c r="D447" s="227" t="s">
        <v>493</v>
      </c>
      <c r="E447" s="440" t="s">
        <v>78</v>
      </c>
      <c r="F447" s="163" t="s">
        <v>1376</v>
      </c>
      <c r="G447" s="281" t="s">
        <v>1190</v>
      </c>
      <c r="H447" s="436">
        <v>43162960</v>
      </c>
      <c r="I447" s="188">
        <v>1375816</v>
      </c>
      <c r="J447" s="188">
        <v>1375816</v>
      </c>
      <c r="K447" s="147"/>
      <c r="L447" s="166" t="s">
        <v>2616</v>
      </c>
      <c r="M447" s="194" t="s">
        <v>526</v>
      </c>
      <c r="N447" s="177" t="e" cm="1">
        <f t="array" aca="1" ref="N447" ca="1">_xlfn.XLOOKUP(Contrato5[[#This Row],[SUPERVISOR TITULAR]],[2]!PERSONAL_ACTIVO_2024[[#All],[Nombre completo]],[2]!PERSONAL_ACTIVO_2024[[#All],[Documento identidad]],"",0)</f>
        <v>#NAME?</v>
      </c>
      <c r="O447" s="194" t="s">
        <v>796</v>
      </c>
      <c r="P447" s="196" t="e" cm="1">
        <f t="array" aca="1" ref="P447" ca="1">_xlfn.XLOOKUP(Contrato5[[#This Row],[SUPERVISOR SUPLENTE ]],[2]!PERSONAL_ACTIVO_2024[[#All],[Nombre completo]],[2]!PERSONAL_ACTIVO_2024[[#All],[Documento identidad]],"",0)</f>
        <v>#NAME?</v>
      </c>
      <c r="Q447" s="170">
        <v>1232</v>
      </c>
      <c r="R447" s="137" t="e" cm="1">
        <f t="array" aca="1" ref="R447" ca="1">_xlfn.XLOOKUP(Contrato5[[#This Row],[CDP]],[2]!DISPONIBILIDADES_2024[[#All],[consecutivo]],[2]!DISPONIBILIDADES_2024[[#All],[fecha_aprobacion]],"",0)</f>
        <v>#NAME?</v>
      </c>
      <c r="S447" s="138" t="e">
        <f>SUMIF([2]!DISPONIBILIDADES_2024[[#All],[consecutivo]],Contrato5[[#This Row],[CDP]],[2]!DISPONIBILIDADES_2024[[#All],[valor_total_rubro]])</f>
        <v>#REF!</v>
      </c>
      <c r="T447" s="139" t="e" cm="1">
        <f t="array" aca="1" ref="T447" ca="1">_xlfn.XLOOKUP(Contrato5[[#This Row],[CONTRATO]]&amp;Contrato5[[#This Row],[CDP]],[2]!Corr_Contr_CDP[[#All],[CONTRATO-CDP]],[2]!Corr_Contr_CDP[[#All],[CRP]],_xlfn.XLOOKUP(Contrato5[[#This Row],[CDP]],[2]!COMPROMISOS_2024[[#All],[disponibilidad]],[2]!COMPROMISOS_2024[[#All],[consecutivo]],"",0),0)</f>
        <v>#NAME?</v>
      </c>
      <c r="U447" s="140" t="e" cm="1">
        <f t="array" aca="1" ref="U447" ca="1">+_xlfn.XLOOKUP(Contrato5[[#This Row],[RCP]],[2]!COMPROMISOS_2024[[#All],[consecutivo]],[2]!COMPROMISOS_2024[[#All],[fecha_aprobacion]],"",0)</f>
        <v>#NAME?</v>
      </c>
      <c r="V447" s="141" t="e">
        <f ca="1">SUMIF([2]!COMPROMISOS_2024[[#All],[consecutivo]],Contrato5[[#This Row],[RCP]],[2]!COMPROMISOS_2024[[#All],[valor_total]])</f>
        <v>#REF!</v>
      </c>
      <c r="W447" s="422">
        <v>45646</v>
      </c>
      <c r="X447" s="415" t="s">
        <v>1045</v>
      </c>
      <c r="Y447" s="143" t="e">
        <f ca="1">+LEFT(_xlfn.XLOOKUP(Contrato5[[#This Row],[CONTRATO3DIG]],[2]SECOP_II!AE:AE,[2]SECOP_II!F:F,"",0),10)</f>
        <v>#NAME?</v>
      </c>
      <c r="Z447" s="262" t="e">
        <f ca="1">+LEFT(_xlfn.XLOOKUP(Contrato5[[#This Row],[CONTRATO3DIG]],[2]SECOP_II!AE:AE,[2]SECOP_II!G:G,"",0),10)</f>
        <v>#NAME?</v>
      </c>
      <c r="AA447" s="225"/>
      <c r="AB447" s="172" t="s">
        <v>2617</v>
      </c>
      <c r="AC447" s="127"/>
      <c r="AD447" s="211"/>
      <c r="AE447" s="147"/>
      <c r="AF447" s="148" t="str">
        <f>TEXT(LEFT(Contrato5[[#This Row],[CONTRATO]],3),"0")</f>
        <v>347</v>
      </c>
      <c r="AG447" s="148" t="str">
        <f>IF(LEN(Contrato5[[#This Row],[Contrato2]])=3,Contrato5[[#This Row],[Contrato2]],TEXT(Contrato5[[#This Row],[Contrato2]],"000"))</f>
        <v>347</v>
      </c>
      <c r="AH447" s="149" t="str">
        <f ca="1">IFERROR(_xlfn.DAYS(Contrato5[[#This Row],[Fecha Proyectada liquidación]],TODAY())/30,"")</f>
        <v/>
      </c>
      <c r="AI447" s="150" t="e">
        <f ca="1">+Contrato5[[#This Row],[FECHA TERMINACIÓN ]]+120</f>
        <v>#NAME?</v>
      </c>
      <c r="AJ447" s="147"/>
      <c r="AK447" s="152" t="e">
        <f ca="1">IF(Contrato5[[#This Row],[FECHA TERMINACIÓN ]]&lt;TODAY(), "Terminado",IF(ISNUMBER(Contrato5[[#This Row],[Fecha Real de liquiidación ]]),"Liquidado",IF(Contrato5[[#This Row],[FECHA TERMINACIÓN ]]&gt;=TODAY(),"En ejecución","")))</f>
        <v>#NAME?</v>
      </c>
      <c r="AL447" s="153" t="e">
        <f ca="1">SUMIF([2]!COMPROMISOS_2024[[#All],[consecutivo]],Contrato5[[#This Row],[RCP]],[2]!COMPROMISOS_2024[[#All],[Total pagado]])</f>
        <v>#REF!</v>
      </c>
      <c r="AM447" s="154">
        <f ca="1">IFERROR(Contrato5[[#This Row],[Pagos]]/Contrato5[[#This Row],[VALOR CONTRATO]],0)</f>
        <v>0</v>
      </c>
      <c r="AN447" s="198" t="e">
        <f ca="1">+Contrato5[[#This Row],[VALOR CONTRATO]]-Contrato5[[#This Row],[Pagos]]</f>
        <v>#REF!</v>
      </c>
      <c r="AO447" s="147" t="e" cm="1">
        <f t="array" aca="1" ref="AO447" ca="1">_xlfn.XLOOKUP(Contrato5[[#This Row],[DOCUMENTO ]],[2]!PERSONAL_ACTIVO_2024[[#All],[Documento identidad]],[2]!PERSONAL_ACTIVO_2024[[#All],[Mail ]],0,0)</f>
        <v>#NAME?</v>
      </c>
      <c r="AP447" s="147" t="e" cm="1">
        <f t="array" aca="1" ref="AP447" ca="1">_xlfn.XLOOKUP(Contrato5[[#This Row],[DOCUMENTO]],[2]!PERSONAL_ACTIVO_2024[[#All],[Documento identidad]],[2]!PERSONAL_ACTIVO_2024[[#All],[Mail ]],0,0)</f>
        <v>#NAME?</v>
      </c>
      <c r="AQ447" s="439" cm="1">
        <f t="array" aca="1" ref="AQ447" ca="1">IF(ISBLANK(Contrato5[[#This Row],[DEPENDENCIA ]]),0,IFERROR(_xlfn.XLOOKUP(Contrato5[[#This Row],[DEPENDENCIA ]],[2]!PERSONAL_ACTIVO_2024[[#All],[Dependencia]],[2]!PERSONAL_ACTIVO_2024[[#All],[Mail ]],0,0),0))</f>
        <v>0</v>
      </c>
    </row>
    <row r="448" spans="1:43" ht="34.5" customHeight="1">
      <c r="A448" s="125">
        <v>681</v>
      </c>
      <c r="B448" s="124">
        <v>348</v>
      </c>
      <c r="C448" s="162" t="s">
        <v>118</v>
      </c>
      <c r="D448" s="227" t="s">
        <v>493</v>
      </c>
      <c r="E448" s="440" t="s">
        <v>94</v>
      </c>
      <c r="F448" s="163" t="s">
        <v>1376</v>
      </c>
      <c r="G448" s="281" t="s">
        <v>1192</v>
      </c>
      <c r="H448" s="436">
        <v>15444242</v>
      </c>
      <c r="I448" s="273">
        <v>6879081</v>
      </c>
      <c r="J448" s="505">
        <v>50675897</v>
      </c>
      <c r="K448" s="131" t="s">
        <v>42</v>
      </c>
      <c r="L448" s="438" t="s">
        <v>807</v>
      </c>
      <c r="M448" s="194" t="s">
        <v>2618</v>
      </c>
      <c r="N448" s="177" t="e" cm="1">
        <f t="array" aca="1" ref="N448" ca="1">_xlfn.XLOOKUP(Contrato5[[#This Row],[SUPERVISOR TITULAR]],[2]!PERSONAL_ACTIVO_2024[[#All],[Nombre completo]],[2]!PERSONAL_ACTIVO_2024[[#All],[Documento identidad]],"",0)</f>
        <v>#NAME?</v>
      </c>
      <c r="O448" s="194" t="s">
        <v>505</v>
      </c>
      <c r="P448" s="196" t="e" cm="1">
        <f t="array" aca="1" ref="P448" ca="1">_xlfn.XLOOKUP(Contrato5[[#This Row],[SUPERVISOR SUPLENTE ]],[2]!PERSONAL_ACTIVO_2024[[#All],[Nombre completo]],[2]!PERSONAL_ACTIVO_2024[[#All],[Documento identidad]],"",0)</f>
        <v>#NAME?</v>
      </c>
      <c r="Q448" s="170">
        <v>479</v>
      </c>
      <c r="R448" s="137" t="e" cm="1">
        <f t="array" aca="1" ref="R448" ca="1">_xlfn.XLOOKUP(Contrato5[[#This Row],[CDP]],[2]!DISPONIBILIDADES_2024[[#All],[consecutivo]],[2]!DISPONIBILIDADES_2024[[#All],[fecha_aprobacion]],"",0)</f>
        <v>#NAME?</v>
      </c>
      <c r="S448" s="138" t="e">
        <f>SUMIF([2]!DISPONIBILIDADES_2024[[#All],[consecutivo]],Contrato5[[#This Row],[CDP]],[2]!DISPONIBILIDADES_2024[[#All],[valor_total_rubro]])</f>
        <v>#REF!</v>
      </c>
      <c r="T448" s="139" t="e" cm="1">
        <f t="array" aca="1" ref="T448" ca="1">_xlfn.XLOOKUP(Contrato5[[#This Row],[CONTRATO]]&amp;Contrato5[[#This Row],[CDP]],[2]!Corr_Contr_CDP[[#All],[CONTRATO-CDP]],[2]!Corr_Contr_CDP[[#All],[CRP]],_xlfn.XLOOKUP(Contrato5[[#This Row],[CDP]],[2]!COMPROMISOS_2024[[#All],[disponibilidad]],[2]!COMPROMISOS_2024[[#All],[consecutivo]],"",0),0)</f>
        <v>#NAME?</v>
      </c>
      <c r="U448" s="140" t="e" cm="1">
        <f t="array" aca="1" ref="U448" ca="1">+_xlfn.XLOOKUP(Contrato5[[#This Row],[RCP]],[2]!COMPROMISOS_2024[[#All],[consecutivo]],[2]!COMPROMISOS_2024[[#All],[fecha_aprobacion]],"",0)</f>
        <v>#NAME?</v>
      </c>
      <c r="V448" s="141" t="e">
        <f ca="1">SUMIF([2]!COMPROMISOS_2024[[#All],[consecutivo]],Contrato5[[#This Row],[RCP]],[2]!COMPROMISOS_2024[[#All],[valor_total]])</f>
        <v>#REF!</v>
      </c>
      <c r="W448" s="415">
        <v>45432</v>
      </c>
      <c r="X448" s="415" t="s">
        <v>1045</v>
      </c>
      <c r="Y448" s="143">
        <v>45433</v>
      </c>
      <c r="Z448" s="262">
        <v>45657</v>
      </c>
      <c r="AA448" s="183" t="s">
        <v>1193</v>
      </c>
      <c r="AB448" s="286" t="s">
        <v>1194</v>
      </c>
      <c r="AC448" s="285"/>
      <c r="AD448" s="211">
        <v>202000004354</v>
      </c>
      <c r="AE448" s="147" t="s">
        <v>523</v>
      </c>
      <c r="AF448" s="148" t="str">
        <f>TEXT(LEFT(Contrato5[[#This Row],[CONTRATO]],3),"0")</f>
        <v>348</v>
      </c>
      <c r="AG448" s="148" t="str">
        <f>IF(LEN(Contrato5[[#This Row],[Contrato2]])=3,Contrato5[[#This Row],[Contrato2]],TEXT(Contrato5[[#This Row],[Contrato2]],"000"))</f>
        <v>348</v>
      </c>
      <c r="AH448" s="149">
        <f ca="1">IFERROR(_xlfn.DAYS(Contrato5[[#This Row],[Fecha Proyectada liquidación]],TODAY())/30,"")</f>
        <v>0.6333333333333333</v>
      </c>
      <c r="AI448" s="150">
        <f>+Contrato5[[#This Row],[FECHA TERMINACIÓN ]]+120</f>
        <v>45777</v>
      </c>
      <c r="AJ448" s="147"/>
      <c r="AK448" s="152" t="str">
        <f ca="1">IF(Contrato5[[#This Row],[FECHA TERMINACIÓN ]]&lt;TODAY(), "Terminado",IF(ISNUMBER(Contrato5[[#This Row],[Fecha Real de liquiidación ]]),"Liquidado",IF(Contrato5[[#This Row],[FECHA TERMINACIÓN ]]&gt;=TODAY(),"En ejecución","")))</f>
        <v>Terminado</v>
      </c>
      <c r="AL448" s="153" t="e">
        <f ca="1">SUMIF([2]!COMPROMISOS_2024[[#All],[consecutivo]],Contrato5[[#This Row],[RCP]],[2]!COMPROMISOS_2024[[#All],[Total pagado]])</f>
        <v>#REF!</v>
      </c>
      <c r="AM448" s="154">
        <f ca="1">IFERROR(Contrato5[[#This Row],[Pagos]]/Contrato5[[#This Row],[VALOR CONTRATO]],0)</f>
        <v>0</v>
      </c>
      <c r="AN448" s="198" t="e">
        <f ca="1">+Contrato5[[#This Row],[VALOR CONTRATO]]-Contrato5[[#This Row],[Pagos]]</f>
        <v>#REF!</v>
      </c>
      <c r="AO448" s="147" t="e" cm="1">
        <f t="array" aca="1" ref="AO448" ca="1">_xlfn.XLOOKUP(Contrato5[[#This Row],[DOCUMENTO ]],[2]!PERSONAL_ACTIVO_2024[[#All],[Documento identidad]],[2]!PERSONAL_ACTIVO_2024[[#All],[Mail ]],0,0)</f>
        <v>#NAME?</v>
      </c>
      <c r="AP448" s="147" t="e" cm="1">
        <f t="array" aca="1" ref="AP448" ca="1">_xlfn.XLOOKUP(Contrato5[[#This Row],[DOCUMENTO]],[2]!PERSONAL_ACTIVO_2024[[#All],[Documento identidad]],[2]!PERSONAL_ACTIVO_2024[[#All],[Mail ]],0,0)</f>
        <v>#NAME?</v>
      </c>
      <c r="AQ448" s="439" cm="1">
        <f t="array" aca="1" ref="AQ448" ca="1">IF(ISBLANK(Contrato5[[#This Row],[DEPENDENCIA ]]),0,IFERROR(_xlfn.XLOOKUP(Contrato5[[#This Row],[DEPENDENCIA ]],[2]!PERSONAL_ACTIVO_2024[[#All],[Dependencia]],[2]!PERSONAL_ACTIVO_2024[[#All],[Mail ]],0,0),0))</f>
        <v>0</v>
      </c>
    </row>
    <row r="449" spans="1:43" ht="34.5" customHeight="1">
      <c r="A449" s="125">
        <v>268</v>
      </c>
      <c r="B449" s="124">
        <v>349</v>
      </c>
      <c r="C449" s="162" t="s">
        <v>1690</v>
      </c>
      <c r="D449" s="227" t="s">
        <v>583</v>
      </c>
      <c r="E449" s="440" t="s">
        <v>94</v>
      </c>
      <c r="F449" s="163" t="s">
        <v>1376</v>
      </c>
      <c r="G449" s="281" t="s">
        <v>1195</v>
      </c>
      <c r="H449" s="436">
        <v>700457303</v>
      </c>
      <c r="I449" s="273">
        <v>9849414</v>
      </c>
      <c r="J449" s="437">
        <v>67632643</v>
      </c>
      <c r="K449" s="131" t="s">
        <v>42</v>
      </c>
      <c r="L449" s="438" t="s">
        <v>807</v>
      </c>
      <c r="M449" s="194" t="s">
        <v>600</v>
      </c>
      <c r="N449" s="177" t="e" cm="1">
        <f t="array" aca="1" ref="N449" ca="1">_xlfn.XLOOKUP(Contrato5[[#This Row],[SUPERVISOR TITULAR]],[2]!PERSONAL_ACTIVO_2024[[#All],[Nombre completo]],[2]!PERSONAL_ACTIVO_2024[[#All],[Documento identidad]],"",0)</f>
        <v>#NAME?</v>
      </c>
      <c r="O449" s="194" t="s">
        <v>2495</v>
      </c>
      <c r="P449" s="196" t="e" cm="1">
        <f t="array" aca="1" ref="P449" ca="1">_xlfn.XLOOKUP(Contrato5[[#This Row],[SUPERVISOR SUPLENTE ]],[2]!PERSONAL_ACTIVO_2024[[#All],[Nombre completo]],[2]!PERSONAL_ACTIVO_2024[[#All],[Documento identidad]],"",0)</f>
        <v>#NAME?</v>
      </c>
      <c r="Q449" s="170">
        <v>464</v>
      </c>
      <c r="R449" s="137" t="e" cm="1">
        <f t="array" aca="1" ref="R449" ca="1">_xlfn.XLOOKUP(Contrato5[[#This Row],[CDP]],[2]!DISPONIBILIDADES_2024[[#All],[consecutivo]],[2]!DISPONIBILIDADES_2024[[#All],[fecha_aprobacion]],"",0)</f>
        <v>#NAME?</v>
      </c>
      <c r="S449" s="138" t="e">
        <f>SUMIF([2]!DISPONIBILIDADES_2024[[#All],[consecutivo]],Contrato5[[#This Row],[CDP]],[2]!DISPONIBILIDADES_2024[[#All],[valor_total_rubro]])</f>
        <v>#REF!</v>
      </c>
      <c r="T449" s="139" t="e" cm="1">
        <f t="array" aca="1" ref="T449" ca="1">_xlfn.XLOOKUP(Contrato5[[#This Row],[CONTRATO]]&amp;Contrato5[[#This Row],[CDP]],[2]!Corr_Contr_CDP[[#All],[CONTRATO-CDP]],[2]!Corr_Contr_CDP[[#All],[CRP]],_xlfn.XLOOKUP(Contrato5[[#This Row],[CDP]],[2]!COMPROMISOS_2024[[#All],[disponibilidad]],[2]!COMPROMISOS_2024[[#All],[consecutivo]],"",0),0)</f>
        <v>#NAME?</v>
      </c>
      <c r="U449" s="140" t="e" cm="1">
        <f t="array" aca="1" ref="U449" ca="1">+_xlfn.XLOOKUP(Contrato5[[#This Row],[RCP]],[2]!COMPROMISOS_2024[[#All],[consecutivo]],[2]!COMPROMISOS_2024[[#All],[fecha_aprobacion]],"",0)</f>
        <v>#NAME?</v>
      </c>
      <c r="V449" s="141" t="e">
        <f ca="1">SUMIF([2]!COMPROMISOS_2024[[#All],[consecutivo]],Contrato5[[#This Row],[RCP]],[2]!COMPROMISOS_2024[[#All],[valor_total]])</f>
        <v>#REF!</v>
      </c>
      <c r="W449" s="415">
        <v>45432</v>
      </c>
      <c r="X449" s="415" t="s">
        <v>1045</v>
      </c>
      <c r="Y449" s="143">
        <v>45432</v>
      </c>
      <c r="Z449" s="262">
        <v>45641</v>
      </c>
      <c r="AA449" s="171" t="s">
        <v>1196</v>
      </c>
      <c r="AB449" s="285" t="s">
        <v>1197</v>
      </c>
      <c r="AC449" s="285"/>
      <c r="AD449" s="211">
        <v>202000004356</v>
      </c>
      <c r="AE449" s="147" t="s">
        <v>523</v>
      </c>
      <c r="AF449" s="148" t="str">
        <f>TEXT(LEFT(Contrato5[[#This Row],[CONTRATO]],3),"0")</f>
        <v>349</v>
      </c>
      <c r="AG449" s="148" t="str">
        <f>IF(LEN(Contrato5[[#This Row],[Contrato2]])=3,Contrato5[[#This Row],[Contrato2]],TEXT(Contrato5[[#This Row],[Contrato2]],"000"))</f>
        <v>349</v>
      </c>
      <c r="AH449" s="149">
        <f ca="1">IFERROR(_xlfn.DAYS(Contrato5[[#This Row],[Fecha Proyectada liquidación]],TODAY())/30,"")</f>
        <v>0.1</v>
      </c>
      <c r="AI449" s="150">
        <f>+Contrato5[[#This Row],[FECHA TERMINACIÓN ]]+120</f>
        <v>45761</v>
      </c>
      <c r="AJ449" s="147"/>
      <c r="AK449" s="152" t="str">
        <f ca="1">IF(Contrato5[[#This Row],[FECHA TERMINACIÓN ]]&lt;TODAY(), "Terminado",IF(ISNUMBER(Contrato5[[#This Row],[Fecha Real de liquiidación ]]),"Liquidado",IF(Contrato5[[#This Row],[FECHA TERMINACIÓN ]]&gt;=TODAY(),"En ejecución","")))</f>
        <v>Terminado</v>
      </c>
      <c r="AL449" s="153" t="e">
        <f ca="1">SUMIF([2]!COMPROMISOS_2024[[#All],[consecutivo]],Contrato5[[#This Row],[RCP]],[2]!COMPROMISOS_2024[[#All],[Total pagado]])</f>
        <v>#REF!</v>
      </c>
      <c r="AM449" s="154">
        <f ca="1">IFERROR(Contrato5[[#This Row],[Pagos]]/Contrato5[[#This Row],[VALOR CONTRATO]],0)</f>
        <v>0</v>
      </c>
      <c r="AN449" s="198" t="e">
        <f ca="1">+Contrato5[[#This Row],[VALOR CONTRATO]]-Contrato5[[#This Row],[Pagos]]</f>
        <v>#REF!</v>
      </c>
      <c r="AO449" s="147" t="e" cm="1">
        <f t="array" aca="1" ref="AO449" ca="1">_xlfn.XLOOKUP(Contrato5[[#This Row],[DOCUMENTO ]],[2]!PERSONAL_ACTIVO_2024[[#All],[Documento identidad]],[2]!PERSONAL_ACTIVO_2024[[#All],[Mail ]],0,0)</f>
        <v>#NAME?</v>
      </c>
      <c r="AP449" s="147" t="e" cm="1">
        <f t="array" aca="1" ref="AP449" ca="1">_xlfn.XLOOKUP(Contrato5[[#This Row],[DOCUMENTO]],[2]!PERSONAL_ACTIVO_2024[[#All],[Documento identidad]],[2]!PERSONAL_ACTIVO_2024[[#All],[Mail ]],0,0)</f>
        <v>#NAME?</v>
      </c>
      <c r="AQ449" s="439" cm="1">
        <f t="array" aca="1" ref="AQ449" ca="1">IF(ISBLANK(Contrato5[[#This Row],[DEPENDENCIA ]]),0,IFERROR(_xlfn.XLOOKUP(Contrato5[[#This Row],[DEPENDENCIA ]],[2]!PERSONAL_ACTIVO_2024[[#All],[Dependencia]],[2]!PERSONAL_ACTIVO_2024[[#All],[Mail ]],0,0),0))</f>
        <v>0</v>
      </c>
    </row>
    <row r="450" spans="1:43" ht="34.5" customHeight="1">
      <c r="A450" s="125">
        <v>683</v>
      </c>
      <c r="B450" s="124">
        <v>350</v>
      </c>
      <c r="C450" s="162" t="s">
        <v>1328</v>
      </c>
      <c r="D450" s="227" t="s">
        <v>493</v>
      </c>
      <c r="E450" s="440" t="s">
        <v>94</v>
      </c>
      <c r="F450" s="163" t="s">
        <v>1376</v>
      </c>
      <c r="G450" s="281" t="s">
        <v>1198</v>
      </c>
      <c r="H450" s="436">
        <v>1077448363</v>
      </c>
      <c r="I450" s="273">
        <v>6879081</v>
      </c>
      <c r="J450" s="505">
        <v>48153567</v>
      </c>
      <c r="K450" s="131" t="s">
        <v>42</v>
      </c>
      <c r="L450" s="438" t="s">
        <v>807</v>
      </c>
      <c r="M450" s="194" t="s">
        <v>527</v>
      </c>
      <c r="N450" s="177" t="e" cm="1">
        <f t="array" aca="1" ref="N450" ca="1">_xlfn.XLOOKUP(Contrato5[[#This Row],[SUPERVISOR TITULAR]],[2]!PERSONAL_ACTIVO_2024[[#All],[Nombre completo]],[2]!PERSONAL_ACTIVO_2024[[#All],[Documento identidad]],"",0)</f>
        <v>#NAME?</v>
      </c>
      <c r="O450" s="194" t="s">
        <v>844</v>
      </c>
      <c r="P450" s="196" t="e" cm="1">
        <f t="array" aca="1" ref="P450" ca="1">_xlfn.XLOOKUP(Contrato5[[#This Row],[SUPERVISOR SUPLENTE ]],[2]!PERSONAL_ACTIVO_2024[[#All],[Nombre completo]],[2]!PERSONAL_ACTIVO_2024[[#All],[Documento identidad]],"",0)</f>
        <v>#NAME?</v>
      </c>
      <c r="Q450" s="170">
        <v>482</v>
      </c>
      <c r="R450" s="137" t="e" cm="1">
        <f t="array" aca="1" ref="R450" ca="1">_xlfn.XLOOKUP(Contrato5[[#This Row],[CDP]],[2]!DISPONIBILIDADES_2024[[#All],[consecutivo]],[2]!DISPONIBILIDADES_2024[[#All],[fecha_aprobacion]],"",0)</f>
        <v>#NAME?</v>
      </c>
      <c r="S450" s="138" t="e">
        <f>SUMIF([2]!DISPONIBILIDADES_2024[[#All],[consecutivo]],Contrato5[[#This Row],[CDP]],[2]!DISPONIBILIDADES_2024[[#All],[valor_total_rubro]])</f>
        <v>#REF!</v>
      </c>
      <c r="T450" s="139" t="e" cm="1">
        <f t="array" aca="1" ref="T450" ca="1">_xlfn.XLOOKUP(Contrato5[[#This Row],[CONTRATO]]&amp;Contrato5[[#This Row],[CDP]],[2]!Corr_Contr_CDP[[#All],[CONTRATO-CDP]],[2]!Corr_Contr_CDP[[#All],[CRP]],_xlfn.XLOOKUP(Contrato5[[#This Row],[CDP]],[2]!COMPROMISOS_2024[[#All],[disponibilidad]],[2]!COMPROMISOS_2024[[#All],[consecutivo]],"",0),0)</f>
        <v>#NAME?</v>
      </c>
      <c r="U450" s="140" t="e" cm="1">
        <f t="array" aca="1" ref="U450" ca="1">+_xlfn.XLOOKUP(Contrato5[[#This Row],[RCP]],[2]!COMPROMISOS_2024[[#All],[consecutivo]],[2]!COMPROMISOS_2024[[#All],[fecha_aprobacion]],"",0)</f>
        <v>#NAME?</v>
      </c>
      <c r="V450" s="141" t="e">
        <f ca="1">SUMIF([2]!COMPROMISOS_2024[[#All],[consecutivo]],Contrato5[[#This Row],[RCP]],[2]!COMPROMISOS_2024[[#All],[valor_total]])</f>
        <v>#REF!</v>
      </c>
      <c r="W450" s="415">
        <v>45429</v>
      </c>
      <c r="X450" s="415" t="s">
        <v>1045</v>
      </c>
      <c r="Y450" s="143">
        <v>45432</v>
      </c>
      <c r="Z450" s="262">
        <v>45646</v>
      </c>
      <c r="AA450" s="183" t="s">
        <v>1199</v>
      </c>
      <c r="AB450" s="285" t="s">
        <v>618</v>
      </c>
      <c r="AC450" s="285"/>
      <c r="AD450" s="211">
        <v>202000004357</v>
      </c>
      <c r="AE450" s="147" t="s">
        <v>523</v>
      </c>
      <c r="AF450" s="148" t="str">
        <f>TEXT(LEFT(Contrato5[[#This Row],[CONTRATO]],3),"0")</f>
        <v>350</v>
      </c>
      <c r="AG450" s="148" t="str">
        <f>IF(LEN(Contrato5[[#This Row],[Contrato2]])=3,Contrato5[[#This Row],[Contrato2]],TEXT(Contrato5[[#This Row],[Contrato2]],"000"))</f>
        <v>350</v>
      </c>
      <c r="AH450" s="149">
        <f ca="1">IFERROR(_xlfn.DAYS(Contrato5[[#This Row],[Fecha Proyectada liquidación]],TODAY())/30,"")</f>
        <v>0.26666666666666666</v>
      </c>
      <c r="AI450" s="150">
        <f>+Contrato5[[#This Row],[FECHA TERMINACIÓN ]]+120</f>
        <v>45766</v>
      </c>
      <c r="AJ450" s="147"/>
      <c r="AK450" s="152" t="str">
        <f ca="1">IF(Contrato5[[#This Row],[FECHA TERMINACIÓN ]]&lt;TODAY(), "Terminado",IF(ISNUMBER(Contrato5[[#This Row],[Fecha Real de liquiidación ]]),"Liquidado",IF(Contrato5[[#This Row],[FECHA TERMINACIÓN ]]&gt;=TODAY(),"En ejecución","")))</f>
        <v>Terminado</v>
      </c>
      <c r="AL450" s="153" t="e">
        <f ca="1">SUMIF([2]!COMPROMISOS_2024[[#All],[consecutivo]],Contrato5[[#This Row],[RCP]],[2]!COMPROMISOS_2024[[#All],[Total pagado]])</f>
        <v>#REF!</v>
      </c>
      <c r="AM450" s="154">
        <f ca="1">IFERROR(Contrato5[[#This Row],[Pagos]]/Contrato5[[#This Row],[VALOR CONTRATO]],0)</f>
        <v>0</v>
      </c>
      <c r="AN450" s="198" t="e">
        <f ca="1">+Contrato5[[#This Row],[VALOR CONTRATO]]-Contrato5[[#This Row],[Pagos]]</f>
        <v>#REF!</v>
      </c>
      <c r="AO450" s="147" t="e" cm="1">
        <f t="array" aca="1" ref="AO450" ca="1">_xlfn.XLOOKUP(Contrato5[[#This Row],[DOCUMENTO ]],[2]!PERSONAL_ACTIVO_2024[[#All],[Documento identidad]],[2]!PERSONAL_ACTIVO_2024[[#All],[Mail ]],0,0)</f>
        <v>#NAME?</v>
      </c>
      <c r="AP450" s="147" t="e" cm="1">
        <f t="array" aca="1" ref="AP450" ca="1">_xlfn.XLOOKUP(Contrato5[[#This Row],[DOCUMENTO]],[2]!PERSONAL_ACTIVO_2024[[#All],[Documento identidad]],[2]!PERSONAL_ACTIVO_2024[[#All],[Mail ]],0,0)</f>
        <v>#NAME?</v>
      </c>
      <c r="AQ450" s="439" cm="1">
        <f t="array" aca="1" ref="AQ450" ca="1">IF(ISBLANK(Contrato5[[#This Row],[DEPENDENCIA ]]),0,IFERROR(_xlfn.XLOOKUP(Contrato5[[#This Row],[DEPENDENCIA ]],[2]!PERSONAL_ACTIVO_2024[[#All],[Dependencia]],[2]!PERSONAL_ACTIVO_2024[[#All],[Mail ]],0,0),0))</f>
        <v>0</v>
      </c>
    </row>
    <row r="451" spans="1:43" ht="34.5" customHeight="1">
      <c r="A451" s="147">
        <v>1335</v>
      </c>
      <c r="B451" s="124">
        <v>350</v>
      </c>
      <c r="C451" s="162" t="s">
        <v>1296</v>
      </c>
      <c r="D451" s="227" t="s">
        <v>493</v>
      </c>
      <c r="E451" s="440" t="s">
        <v>2148</v>
      </c>
      <c r="F451" s="163" t="s">
        <v>1376</v>
      </c>
      <c r="G451" s="281" t="s">
        <v>1198</v>
      </c>
      <c r="H451" s="436">
        <v>1077448363</v>
      </c>
      <c r="I451" s="505">
        <v>2293027</v>
      </c>
      <c r="J451" s="505">
        <v>2293027</v>
      </c>
      <c r="K451" s="131" t="s">
        <v>42</v>
      </c>
      <c r="L451" s="166" t="s">
        <v>2616</v>
      </c>
      <c r="M451" s="194" t="s">
        <v>527</v>
      </c>
      <c r="N451" s="177" t="e" cm="1">
        <f t="array" aca="1" ref="N451" ca="1">_xlfn.XLOOKUP(Contrato5[[#This Row],[SUPERVISOR TITULAR]],[2]!PERSONAL_ACTIVO_2024[[#All],[Nombre completo]],[2]!PERSONAL_ACTIVO_2024[[#All],[Documento identidad]],"",0)</f>
        <v>#NAME?</v>
      </c>
      <c r="O451" s="194" t="s">
        <v>844</v>
      </c>
      <c r="P451" s="196" t="e" cm="1">
        <f t="array" aca="1" ref="P451" ca="1">_xlfn.XLOOKUP(Contrato5[[#This Row],[SUPERVISOR SUPLENTE ]],[2]!PERSONAL_ACTIVO_2024[[#All],[Nombre completo]],[2]!PERSONAL_ACTIVO_2024[[#All],[Documento identidad]],"",0)</f>
        <v>#NAME?</v>
      </c>
      <c r="Q451" s="170">
        <v>1226</v>
      </c>
      <c r="R451" s="137" t="e" cm="1">
        <f t="array" aca="1" ref="R451" ca="1">_xlfn.XLOOKUP(Contrato5[[#This Row],[CDP]],[2]!DISPONIBILIDADES_2024[[#All],[consecutivo]],[2]!DISPONIBILIDADES_2024[[#All],[fecha_aprobacion]],"",0)</f>
        <v>#NAME?</v>
      </c>
      <c r="S451" s="138" t="e">
        <f>SUMIF([2]!DISPONIBILIDADES_2024[[#All],[consecutivo]],Contrato5[[#This Row],[CDP]],[2]!DISPONIBILIDADES_2024[[#All],[valor_total_rubro]])</f>
        <v>#REF!</v>
      </c>
      <c r="T451" s="139" t="e" cm="1">
        <f t="array" aca="1" ref="T451" ca="1">_xlfn.XLOOKUP(Contrato5[[#This Row],[CONTRATO]]&amp;Contrato5[[#This Row],[CDP]],[2]!Corr_Contr_CDP[[#All],[CONTRATO-CDP]],[2]!Corr_Contr_CDP[[#All],[CRP]],_xlfn.XLOOKUP(Contrato5[[#This Row],[CDP]],[2]!COMPROMISOS_2024[[#All],[disponibilidad]],[2]!COMPROMISOS_2024[[#All],[consecutivo]],"",0),0)</f>
        <v>#NAME?</v>
      </c>
      <c r="U451" s="140" t="e" cm="1">
        <f t="array" aca="1" ref="U451" ca="1">+_xlfn.XLOOKUP(Contrato5[[#This Row],[RCP]],[2]!COMPROMISOS_2024[[#All],[consecutivo]],[2]!COMPROMISOS_2024[[#All],[fecha_aprobacion]],"",0)</f>
        <v>#NAME?</v>
      </c>
      <c r="V451" s="141" t="e">
        <f ca="1">SUMIF([2]!COMPROMISOS_2024[[#All],[consecutivo]],Contrato5[[#This Row],[RCP]],[2]!COMPROMISOS_2024[[#All],[valor_total]])</f>
        <v>#REF!</v>
      </c>
      <c r="W451" s="422">
        <v>45645</v>
      </c>
      <c r="X451" s="415" t="s">
        <v>1045</v>
      </c>
      <c r="Y451" s="143">
        <v>45647</v>
      </c>
      <c r="Z451" s="262">
        <v>45656</v>
      </c>
      <c r="AA451" s="225"/>
      <c r="AB451" s="172" t="s">
        <v>2619</v>
      </c>
      <c r="AC451" s="127"/>
      <c r="AD451" s="211"/>
      <c r="AE451" s="147"/>
      <c r="AF451" s="148" t="str">
        <f>TEXT(LEFT(Contrato5[[#This Row],[CONTRATO]],3),"0")</f>
        <v>350</v>
      </c>
      <c r="AG451" s="148" t="str">
        <f>IF(LEN(Contrato5[[#This Row],[Contrato2]])=3,Contrato5[[#This Row],[Contrato2]],TEXT(Contrato5[[#This Row],[Contrato2]],"000"))</f>
        <v>350</v>
      </c>
      <c r="AH451" s="149">
        <f ca="1">IFERROR(_xlfn.DAYS(Contrato5[[#This Row],[Fecha Proyectada liquidación]],TODAY())/30,"")</f>
        <v>0.6</v>
      </c>
      <c r="AI451" s="150">
        <f>+Contrato5[[#This Row],[FECHA TERMINACIÓN ]]+120</f>
        <v>45776</v>
      </c>
      <c r="AJ451" s="147"/>
      <c r="AK451" s="152" t="str">
        <f ca="1">IF(Contrato5[[#This Row],[FECHA TERMINACIÓN ]]&lt;TODAY(), "Terminado",IF(ISNUMBER(Contrato5[[#This Row],[Fecha Real de liquiidación ]]),"Liquidado",IF(Contrato5[[#This Row],[FECHA TERMINACIÓN ]]&gt;=TODAY(),"En ejecución","")))</f>
        <v>Terminado</v>
      </c>
      <c r="AL451" s="153" t="e">
        <f ca="1">SUMIF([2]!COMPROMISOS_2024[[#All],[consecutivo]],Contrato5[[#This Row],[RCP]],[2]!COMPROMISOS_2024[[#All],[Total pagado]])</f>
        <v>#REF!</v>
      </c>
      <c r="AM451" s="154">
        <f ca="1">IFERROR(Contrato5[[#This Row],[Pagos]]/Contrato5[[#This Row],[VALOR CONTRATO]],0)</f>
        <v>0</v>
      </c>
      <c r="AN451" s="198" t="e">
        <f ca="1">+Contrato5[[#This Row],[VALOR CONTRATO]]-Contrato5[[#This Row],[Pagos]]</f>
        <v>#REF!</v>
      </c>
      <c r="AO451" s="147" t="e" cm="1">
        <f t="array" aca="1" ref="AO451" ca="1">_xlfn.XLOOKUP(Contrato5[[#This Row],[DOCUMENTO ]],[2]!PERSONAL_ACTIVO_2024[[#All],[Documento identidad]],[2]!PERSONAL_ACTIVO_2024[[#All],[Mail ]],0,0)</f>
        <v>#NAME?</v>
      </c>
      <c r="AP451" s="147" t="e" cm="1">
        <f t="array" aca="1" ref="AP451" ca="1">_xlfn.XLOOKUP(Contrato5[[#This Row],[DOCUMENTO]],[2]!PERSONAL_ACTIVO_2024[[#All],[Documento identidad]],[2]!PERSONAL_ACTIVO_2024[[#All],[Mail ]],0,0)</f>
        <v>#NAME?</v>
      </c>
      <c r="AQ451" s="439" cm="1">
        <f t="array" aca="1" ref="AQ451" ca="1">IF(ISBLANK(Contrato5[[#This Row],[DEPENDENCIA ]]),0,IFERROR(_xlfn.XLOOKUP(Contrato5[[#This Row],[DEPENDENCIA ]],[2]!PERSONAL_ACTIVO_2024[[#All],[Dependencia]],[2]!PERSONAL_ACTIVO_2024[[#All],[Mail ]],0,0),0))</f>
        <v>0</v>
      </c>
    </row>
    <row r="452" spans="1:43" ht="34.5" customHeight="1">
      <c r="A452" s="125">
        <v>370</v>
      </c>
      <c r="B452" s="124">
        <v>351</v>
      </c>
      <c r="C452" s="162" t="s">
        <v>368</v>
      </c>
      <c r="D452" s="227" t="s">
        <v>515</v>
      </c>
      <c r="E452" s="440" t="s">
        <v>94</v>
      </c>
      <c r="F452" s="227" t="s">
        <v>161</v>
      </c>
      <c r="G452" s="281" t="s">
        <v>1200</v>
      </c>
      <c r="H452" s="436">
        <v>830507669</v>
      </c>
      <c r="I452" s="273" t="s">
        <v>42</v>
      </c>
      <c r="J452" s="505">
        <v>701424600</v>
      </c>
      <c r="K452" s="131" t="s">
        <v>42</v>
      </c>
      <c r="L452" s="438" t="s">
        <v>689</v>
      </c>
      <c r="M452" s="194" t="s">
        <v>549</v>
      </c>
      <c r="N452" s="177" t="e" cm="1">
        <f t="array" aca="1" ref="N452" ca="1">_xlfn.XLOOKUP(Contrato5[[#This Row],[SUPERVISOR TITULAR]],[2]!PERSONAL_ACTIVO_2024[[#All],[Nombre completo]],[2]!PERSONAL_ACTIVO_2024[[#All],[Documento identidad]],"",0)</f>
        <v>#NAME?</v>
      </c>
      <c r="O452" s="194" t="s">
        <v>550</v>
      </c>
      <c r="P452" s="196" t="e" cm="1">
        <f t="array" aca="1" ref="P452" ca="1">_xlfn.XLOOKUP(Contrato5[[#This Row],[SUPERVISOR SUPLENTE ]],[2]!PERSONAL_ACTIVO_2024[[#All],[Nombre completo]],[2]!PERSONAL_ACTIVO_2024[[#All],[Documento identidad]],"",0)</f>
        <v>#NAME?</v>
      </c>
      <c r="Q452" s="170">
        <v>480</v>
      </c>
      <c r="R452" s="137" t="e" cm="1">
        <f t="array" aca="1" ref="R452" ca="1">_xlfn.XLOOKUP(Contrato5[[#This Row],[CDP]],[2]!DISPONIBILIDADES_2024[[#All],[consecutivo]],[2]!DISPONIBILIDADES_2024[[#All],[fecha_aprobacion]],"",0)</f>
        <v>#NAME?</v>
      </c>
      <c r="S452" s="138" t="e">
        <f>SUMIF([2]!DISPONIBILIDADES_2024[[#All],[consecutivo]],Contrato5[[#This Row],[CDP]],[2]!DISPONIBILIDADES_2024[[#All],[valor_total_rubro]])</f>
        <v>#REF!</v>
      </c>
      <c r="T452" s="139" t="e" cm="1">
        <f t="array" aca="1" ref="T452" ca="1">_xlfn.XLOOKUP(Contrato5[[#This Row],[CONTRATO]]&amp;Contrato5[[#This Row],[CDP]],[2]!Corr_Contr_CDP[[#All],[CONTRATO-CDP]],[2]!Corr_Contr_CDP[[#All],[CRP]],_xlfn.XLOOKUP(Contrato5[[#This Row],[CDP]],[2]!COMPROMISOS_2024[[#All],[disponibilidad]],[2]!COMPROMISOS_2024[[#All],[consecutivo]],"",0),0)</f>
        <v>#NAME?</v>
      </c>
      <c r="U452" s="140" t="e" cm="1">
        <f t="array" aca="1" ref="U452" ca="1">+_xlfn.XLOOKUP(Contrato5[[#This Row],[RCP]],[2]!COMPROMISOS_2024[[#All],[consecutivo]],[2]!COMPROMISOS_2024[[#All],[fecha_aprobacion]],"",0)</f>
        <v>#NAME?</v>
      </c>
      <c r="V452" s="141" t="e">
        <f ca="1">SUMIF([2]!COMPROMISOS_2024[[#All],[consecutivo]],Contrato5[[#This Row],[RCP]],[2]!COMPROMISOS_2024[[#All],[valor_total]])</f>
        <v>#REF!</v>
      </c>
      <c r="W452" s="415">
        <v>45440</v>
      </c>
      <c r="X452" s="415">
        <v>45443</v>
      </c>
      <c r="Y452" s="143">
        <v>45443</v>
      </c>
      <c r="Z452" s="262">
        <v>45625</v>
      </c>
      <c r="AA452" s="183" t="s">
        <v>1201</v>
      </c>
      <c r="AB452" s="285" t="s">
        <v>500</v>
      </c>
      <c r="AC452" s="285"/>
      <c r="AD452" s="211">
        <v>202000004360</v>
      </c>
      <c r="AE452" s="147" t="s">
        <v>523</v>
      </c>
      <c r="AF452" s="148" t="str">
        <f>TEXT(LEFT(Contrato5[[#This Row],[CONTRATO]],3),"0")</f>
        <v>351</v>
      </c>
      <c r="AG452" s="148" t="str">
        <f>IF(LEN(Contrato5[[#This Row],[Contrato2]])=3,Contrato5[[#This Row],[Contrato2]],TEXT(Contrato5[[#This Row],[Contrato2]],"000"))</f>
        <v>351</v>
      </c>
      <c r="AH452" s="149">
        <f ca="1">IFERROR(_xlfn.DAYS(Contrato5[[#This Row],[Fecha Proyectada liquidación]],TODAY())/30,"")</f>
        <v>-0.43333333333333335</v>
      </c>
      <c r="AI452" s="150">
        <f>+Contrato5[[#This Row],[FECHA TERMINACIÓN ]]+120</f>
        <v>45745</v>
      </c>
      <c r="AJ452" s="147"/>
      <c r="AK452" s="152" t="str">
        <f ca="1">IF(Contrato5[[#This Row],[FECHA TERMINACIÓN ]]&lt;TODAY(), "Terminado",IF(ISNUMBER(Contrato5[[#This Row],[Fecha Real de liquiidación ]]),"Liquidado",IF(Contrato5[[#This Row],[FECHA TERMINACIÓN ]]&gt;=TODAY(),"En ejecución","")))</f>
        <v>Terminado</v>
      </c>
      <c r="AL452" s="153" t="e">
        <f ca="1">SUMIF([2]!COMPROMISOS_2024[[#All],[consecutivo]],Contrato5[[#This Row],[RCP]],[2]!COMPROMISOS_2024[[#All],[Total pagado]])</f>
        <v>#REF!</v>
      </c>
      <c r="AM452" s="154">
        <f ca="1">IFERROR(Contrato5[[#This Row],[Pagos]]/Contrato5[[#This Row],[VALOR CONTRATO]],0)</f>
        <v>0</v>
      </c>
      <c r="AN452" s="198" t="e">
        <f ca="1">+Contrato5[[#This Row],[VALOR CONTRATO]]-Contrato5[[#This Row],[Pagos]]</f>
        <v>#REF!</v>
      </c>
      <c r="AO452" s="147" t="e" cm="1">
        <f t="array" aca="1" ref="AO452" ca="1">_xlfn.XLOOKUP(Contrato5[[#This Row],[DOCUMENTO ]],[2]!PERSONAL_ACTIVO_2024[[#All],[Documento identidad]],[2]!PERSONAL_ACTIVO_2024[[#All],[Mail ]],0,0)</f>
        <v>#NAME?</v>
      </c>
      <c r="AP452" s="147" t="e" cm="1">
        <f t="array" aca="1" ref="AP452" ca="1">_xlfn.XLOOKUP(Contrato5[[#This Row],[DOCUMENTO]],[2]!PERSONAL_ACTIVO_2024[[#All],[Documento identidad]],[2]!PERSONAL_ACTIVO_2024[[#All],[Mail ]],0,0)</f>
        <v>#NAME?</v>
      </c>
      <c r="AQ452" s="439" cm="1">
        <f t="array" aca="1" ref="AQ452" ca="1">IF(ISBLANK(Contrato5[[#This Row],[DEPENDENCIA ]]),0,IFERROR(_xlfn.XLOOKUP(Contrato5[[#This Row],[DEPENDENCIA ]],[2]!PERSONAL_ACTIVO_2024[[#All],[Dependencia]],[2]!PERSONAL_ACTIVO_2024[[#All],[Mail ]],0,0),0))</f>
        <v>0</v>
      </c>
    </row>
    <row r="453" spans="1:43" ht="34.5" customHeight="1">
      <c r="A453" s="125">
        <v>1289</v>
      </c>
      <c r="B453" s="124">
        <v>351</v>
      </c>
      <c r="C453" s="162" t="s">
        <v>368</v>
      </c>
      <c r="D453" s="227" t="s">
        <v>515</v>
      </c>
      <c r="E453" s="440" t="s">
        <v>2148</v>
      </c>
      <c r="F453" s="227" t="s">
        <v>161</v>
      </c>
      <c r="G453" s="281" t="s">
        <v>1200</v>
      </c>
      <c r="H453" s="436">
        <v>830507669</v>
      </c>
      <c r="I453" s="273" t="s">
        <v>42</v>
      </c>
      <c r="J453" s="505">
        <v>134860500</v>
      </c>
      <c r="K453" s="131" t="s">
        <v>42</v>
      </c>
      <c r="L453" s="438" t="s">
        <v>689</v>
      </c>
      <c r="M453" s="194" t="s">
        <v>549</v>
      </c>
      <c r="N453" s="177" t="e" cm="1">
        <f t="array" aca="1" ref="N453" ca="1">_xlfn.XLOOKUP(Contrato5[[#This Row],[SUPERVISOR TITULAR]],[2]!PERSONAL_ACTIVO_2024[[#All],[Nombre completo]],[2]!PERSONAL_ACTIVO_2024[[#All],[Documento identidad]],"",0)</f>
        <v>#NAME?</v>
      </c>
      <c r="O453" s="194" t="s">
        <v>550</v>
      </c>
      <c r="P453" s="196" t="e" cm="1">
        <f t="array" aca="1" ref="P453" ca="1">_xlfn.XLOOKUP(Contrato5[[#This Row],[SUPERVISOR SUPLENTE ]],[2]!PERSONAL_ACTIVO_2024[[#All],[Nombre completo]],[2]!PERSONAL_ACTIVO_2024[[#All],[Documento identidad]],"",0)</f>
        <v>#NAME?</v>
      </c>
      <c r="Q453" s="170">
        <v>1126</v>
      </c>
      <c r="R453" s="137" t="e" cm="1">
        <f t="array" aca="1" ref="R453" ca="1">_xlfn.XLOOKUP(Contrato5[[#This Row],[CDP]],[2]!DISPONIBILIDADES_2024[[#All],[consecutivo]],[2]!DISPONIBILIDADES_2024[[#All],[fecha_aprobacion]],"",0)</f>
        <v>#NAME?</v>
      </c>
      <c r="S453" s="138" t="e">
        <f>SUMIF([2]!DISPONIBILIDADES_2024[[#All],[consecutivo]],Contrato5[[#This Row],[CDP]],[2]!DISPONIBILIDADES_2024[[#All],[valor_total_rubro]])</f>
        <v>#REF!</v>
      </c>
      <c r="T453" s="139" t="e" cm="1">
        <f t="array" aca="1" ref="T453" ca="1">_xlfn.XLOOKUP(Contrato5[[#This Row],[CONTRATO]]&amp;Contrato5[[#This Row],[CDP]],[2]!Corr_Contr_CDP[[#All],[CONTRATO-CDP]],[2]!Corr_Contr_CDP[[#All],[CRP]],_xlfn.XLOOKUP(Contrato5[[#This Row],[CDP]],[2]!COMPROMISOS_2024[[#All],[disponibilidad]],[2]!COMPROMISOS_2024[[#All],[consecutivo]],"",0),0)</f>
        <v>#NAME?</v>
      </c>
      <c r="U453" s="140" t="e" cm="1">
        <f t="array" aca="1" ref="U453" ca="1">+_xlfn.XLOOKUP(Contrato5[[#This Row],[RCP]],[2]!COMPROMISOS_2024[[#All],[consecutivo]],[2]!COMPROMISOS_2024[[#All],[fecha_aprobacion]],"",0)</f>
        <v>#NAME?</v>
      </c>
      <c r="V453" s="141" t="e">
        <f ca="1">SUMIF([2]!COMPROMISOS_2024[[#All],[consecutivo]],Contrato5[[#This Row],[RCP]],[2]!COMPROMISOS_2024[[#All],[valor_total]])</f>
        <v>#REF!</v>
      </c>
      <c r="W453" s="415">
        <v>45609</v>
      </c>
      <c r="X453" s="415">
        <v>45614</v>
      </c>
      <c r="Y453" s="143">
        <v>45626</v>
      </c>
      <c r="Z453" s="262">
        <v>45640</v>
      </c>
      <c r="AA453" s="183"/>
      <c r="AB453" s="285" t="s">
        <v>2446</v>
      </c>
      <c r="AC453" s="285"/>
      <c r="AD453" s="263">
        <v>202000004360</v>
      </c>
      <c r="AE453" s="147" t="s">
        <v>523</v>
      </c>
      <c r="AF453" s="148" t="str">
        <f>TEXT(LEFT(Contrato5[[#This Row],[CONTRATO]],3),"0")</f>
        <v>351</v>
      </c>
      <c r="AG453" s="148" t="str">
        <f>IF(LEN(Contrato5[[#This Row],[Contrato2]])=3,Contrato5[[#This Row],[Contrato2]],TEXT(Contrato5[[#This Row],[Contrato2]],"000"))</f>
        <v>351</v>
      </c>
      <c r="AH453" s="149">
        <f ca="1">IFERROR(_xlfn.DAYS(Contrato5[[#This Row],[Fecha Proyectada liquidación]],TODAY())/30,"")</f>
        <v>6.6666666666666666E-2</v>
      </c>
      <c r="AI453" s="150">
        <f>+Contrato5[[#This Row],[FECHA TERMINACIÓN ]]+120</f>
        <v>45760</v>
      </c>
      <c r="AJ453" s="147"/>
      <c r="AK453" s="152" t="str">
        <f ca="1">IF(Contrato5[[#This Row],[FECHA TERMINACIÓN ]]&lt;TODAY(), "Terminado",IF(ISNUMBER(Contrato5[[#This Row],[Fecha Real de liquiidación ]]),"Liquidado",IF(Contrato5[[#This Row],[FECHA TERMINACIÓN ]]&gt;=TODAY(),"En ejecución","")))</f>
        <v>Terminado</v>
      </c>
      <c r="AL453" s="153" t="e">
        <f ca="1">SUMIF([2]!COMPROMISOS_2024[[#All],[consecutivo]],Contrato5[[#This Row],[RCP]],[2]!COMPROMISOS_2024[[#All],[Total pagado]])</f>
        <v>#REF!</v>
      </c>
      <c r="AM453" s="154">
        <f ca="1">IFERROR(Contrato5[[#This Row],[Pagos]]/Contrato5[[#This Row],[VALOR CONTRATO]],0)</f>
        <v>0</v>
      </c>
      <c r="AN453" s="198" t="e">
        <f ca="1">+Contrato5[[#This Row],[VALOR CONTRATO]]-Contrato5[[#This Row],[Pagos]]</f>
        <v>#REF!</v>
      </c>
      <c r="AO453" s="147" t="e" cm="1">
        <f t="array" aca="1" ref="AO453" ca="1">_xlfn.XLOOKUP(Contrato5[[#This Row],[DOCUMENTO ]],[2]!PERSONAL_ACTIVO_2024[[#All],[Documento identidad]],[2]!PERSONAL_ACTIVO_2024[[#All],[Mail ]],0,0)</f>
        <v>#NAME?</v>
      </c>
      <c r="AP453" s="147" t="e" cm="1">
        <f t="array" aca="1" ref="AP453" ca="1">_xlfn.XLOOKUP(Contrato5[[#This Row],[DOCUMENTO]],[2]!PERSONAL_ACTIVO_2024[[#All],[Documento identidad]],[2]!PERSONAL_ACTIVO_2024[[#All],[Mail ]],0,0)</f>
        <v>#NAME?</v>
      </c>
      <c r="AQ453" s="439" cm="1">
        <f t="array" aca="1" ref="AQ453" ca="1">IF(ISBLANK(Contrato5[[#This Row],[DEPENDENCIA ]]),0,IFERROR(_xlfn.XLOOKUP(Contrato5[[#This Row],[DEPENDENCIA ]],[2]!PERSONAL_ACTIVO_2024[[#All],[Dependencia]],[2]!PERSONAL_ACTIVO_2024[[#All],[Mail ]],0,0),0))</f>
        <v>0</v>
      </c>
    </row>
    <row r="454" spans="1:43" ht="34.5" customHeight="1">
      <c r="A454" s="125">
        <v>127</v>
      </c>
      <c r="B454" s="124">
        <v>352</v>
      </c>
      <c r="C454" s="162" t="s">
        <v>1546</v>
      </c>
      <c r="D454" s="227" t="s">
        <v>583</v>
      </c>
      <c r="E454" s="440" t="s">
        <v>94</v>
      </c>
      <c r="F454" s="227" t="s">
        <v>222</v>
      </c>
      <c r="G454" s="281" t="s">
        <v>896</v>
      </c>
      <c r="H454" s="447">
        <v>890908939</v>
      </c>
      <c r="I454" s="273" t="s">
        <v>42</v>
      </c>
      <c r="J454" s="490">
        <v>720000000</v>
      </c>
      <c r="K454" s="131" t="s">
        <v>42</v>
      </c>
      <c r="L454" s="438" t="s">
        <v>689</v>
      </c>
      <c r="M454" s="194" t="s">
        <v>592</v>
      </c>
      <c r="N454" s="177" t="e" cm="1">
        <f t="array" aca="1" ref="N454" ca="1">_xlfn.XLOOKUP(Contrato5[[#This Row],[SUPERVISOR TITULAR]],[2]!PERSONAL_ACTIVO_2024[[#All],[Nombre completo]],[2]!PERSONAL_ACTIVO_2024[[#All],[Documento identidad]],"",0)</f>
        <v>#NAME?</v>
      </c>
      <c r="O454" s="194" t="s">
        <v>600</v>
      </c>
      <c r="P454" s="196" t="e" cm="1">
        <f t="array" aca="1" ref="P454" ca="1">_xlfn.XLOOKUP(Contrato5[[#This Row],[SUPERVISOR SUPLENTE ]],[2]!PERSONAL_ACTIVO_2024[[#All],[Nombre completo]],[2]!PERSONAL_ACTIVO_2024[[#All],[Documento identidad]],"",0)</f>
        <v>#NAME?</v>
      </c>
      <c r="Q454" s="170">
        <v>476</v>
      </c>
      <c r="R454" s="137" t="e" cm="1">
        <f t="array" aca="1" ref="R454" ca="1">_xlfn.XLOOKUP(Contrato5[[#This Row],[CDP]],[2]!DISPONIBILIDADES_2024[[#All],[consecutivo]],[2]!DISPONIBILIDADES_2024[[#All],[fecha_aprobacion]],"",0)</f>
        <v>#NAME?</v>
      </c>
      <c r="S454" s="138" t="e">
        <f>SUMIF([2]!DISPONIBILIDADES_2024[[#All],[consecutivo]],Contrato5[[#This Row],[CDP]],[2]!DISPONIBILIDADES_2024[[#All],[valor_total_rubro]])</f>
        <v>#REF!</v>
      </c>
      <c r="T454" s="139" t="e" cm="1">
        <f t="array" aca="1" ref="T454" ca="1">_xlfn.XLOOKUP(Contrato5[[#This Row],[CONTRATO]]&amp;Contrato5[[#This Row],[CDP]],[2]!Corr_Contr_CDP[[#All],[CONTRATO-CDP]],[2]!Corr_Contr_CDP[[#All],[CRP]],_xlfn.XLOOKUP(Contrato5[[#This Row],[CDP]],[2]!COMPROMISOS_2024[[#All],[disponibilidad]],[2]!COMPROMISOS_2024[[#All],[consecutivo]],"",0),0)</f>
        <v>#NAME?</v>
      </c>
      <c r="U454" s="140" t="e" cm="1">
        <f t="array" aca="1" ref="U454" ca="1">+_xlfn.XLOOKUP(Contrato5[[#This Row],[RCP]],[2]!COMPROMISOS_2024[[#All],[consecutivo]],[2]!COMPROMISOS_2024[[#All],[fecha_aprobacion]],"",0)</f>
        <v>#NAME?</v>
      </c>
      <c r="V454" s="141" t="e">
        <f ca="1">SUMIF([2]!COMPROMISOS_2024[[#All],[consecutivo]],Contrato5[[#This Row],[RCP]],[2]!COMPROMISOS_2024[[#All],[valor_total]])</f>
        <v>#REF!</v>
      </c>
      <c r="W454" s="415">
        <v>45439</v>
      </c>
      <c r="X454" s="415">
        <v>45440</v>
      </c>
      <c r="Y454" s="143">
        <v>45444</v>
      </c>
      <c r="Z454" s="262">
        <v>45657</v>
      </c>
      <c r="AA454" s="171" t="s">
        <v>2620</v>
      </c>
      <c r="AB454" s="172" t="s">
        <v>1189</v>
      </c>
      <c r="AC454" s="172"/>
      <c r="AD454" s="211">
        <v>202000004464</v>
      </c>
      <c r="AE454" s="147" t="s">
        <v>523</v>
      </c>
      <c r="AF454" s="148" t="str">
        <f>TEXT(LEFT(Contrato5[[#This Row],[CONTRATO]],3),"0")</f>
        <v>352</v>
      </c>
      <c r="AG454" s="148" t="str">
        <f>IF(LEN(Contrato5[[#This Row],[Contrato2]])=3,Contrato5[[#This Row],[Contrato2]],TEXT(Contrato5[[#This Row],[Contrato2]],"000"))</f>
        <v>352</v>
      </c>
      <c r="AH454" s="149">
        <f ca="1">IFERROR(_xlfn.DAYS(Contrato5[[#This Row],[Fecha Proyectada liquidación]],TODAY())/30,"")</f>
        <v>0.6333333333333333</v>
      </c>
      <c r="AI454" s="150">
        <f>+Contrato5[[#This Row],[FECHA TERMINACIÓN ]]+120</f>
        <v>45777</v>
      </c>
      <c r="AJ454" s="147"/>
      <c r="AK454" s="152" t="str">
        <f ca="1">IF(Contrato5[[#This Row],[FECHA TERMINACIÓN ]]&lt;TODAY(), "Terminado",IF(ISNUMBER(Contrato5[[#This Row],[Fecha Real de liquiidación ]]),"Liquidado",IF(Contrato5[[#This Row],[FECHA TERMINACIÓN ]]&gt;=TODAY(),"En ejecución","")))</f>
        <v>Terminado</v>
      </c>
      <c r="AL454" s="153" t="e">
        <f ca="1">SUMIF([2]!COMPROMISOS_2024[[#All],[consecutivo]],Contrato5[[#This Row],[RCP]],[2]!COMPROMISOS_2024[[#All],[Total pagado]])</f>
        <v>#REF!</v>
      </c>
      <c r="AM454" s="154">
        <f ca="1">IFERROR(Contrato5[[#This Row],[Pagos]]/Contrato5[[#This Row],[VALOR CONTRATO]],0)</f>
        <v>0</v>
      </c>
      <c r="AN454" s="198" t="e">
        <f ca="1">+Contrato5[[#This Row],[VALOR CONTRATO]]-Contrato5[[#This Row],[Pagos]]</f>
        <v>#REF!</v>
      </c>
      <c r="AO454" s="147" t="e" cm="1">
        <f t="array" aca="1" ref="AO454" ca="1">_xlfn.XLOOKUP(Contrato5[[#This Row],[DOCUMENTO ]],[2]!PERSONAL_ACTIVO_2024[[#All],[Documento identidad]],[2]!PERSONAL_ACTIVO_2024[[#All],[Mail ]],0,0)</f>
        <v>#NAME?</v>
      </c>
      <c r="AP454" s="147" t="e" cm="1">
        <f t="array" aca="1" ref="AP454" ca="1">_xlfn.XLOOKUP(Contrato5[[#This Row],[DOCUMENTO]],[2]!PERSONAL_ACTIVO_2024[[#All],[Documento identidad]],[2]!PERSONAL_ACTIVO_2024[[#All],[Mail ]],0,0)</f>
        <v>#NAME?</v>
      </c>
      <c r="AQ454" s="439" cm="1">
        <f t="array" aca="1" ref="AQ454" ca="1">IF(ISBLANK(Contrato5[[#This Row],[DEPENDENCIA ]]),0,IFERROR(_xlfn.XLOOKUP(Contrato5[[#This Row],[DEPENDENCIA ]],[2]!PERSONAL_ACTIVO_2024[[#All],[Dependencia]],[2]!PERSONAL_ACTIVO_2024[[#All],[Mail ]],0,0),0))</f>
        <v>0</v>
      </c>
    </row>
    <row r="455" spans="1:43" ht="34.5" customHeight="1">
      <c r="A455" s="125">
        <v>88</v>
      </c>
      <c r="B455" s="124">
        <v>353</v>
      </c>
      <c r="C455" s="162" t="s">
        <v>1509</v>
      </c>
      <c r="D455" s="227" t="s">
        <v>583</v>
      </c>
      <c r="E455" s="440" t="s">
        <v>94</v>
      </c>
      <c r="F455" s="227" t="s">
        <v>222</v>
      </c>
      <c r="G455" s="281" t="s">
        <v>1202</v>
      </c>
      <c r="H455" s="447">
        <v>890906297</v>
      </c>
      <c r="I455" s="273" t="s">
        <v>42</v>
      </c>
      <c r="J455" s="490">
        <v>70000000</v>
      </c>
      <c r="K455" s="131" t="s">
        <v>42</v>
      </c>
      <c r="L455" s="438" t="s">
        <v>689</v>
      </c>
      <c r="M455" s="194" t="s">
        <v>592</v>
      </c>
      <c r="N455" s="177" t="e" cm="1">
        <f t="array" aca="1" ref="N455" ca="1">_xlfn.XLOOKUP(Contrato5[[#This Row],[SUPERVISOR TITULAR]],[2]!PERSONAL_ACTIVO_2024[[#All],[Nombre completo]],[2]!PERSONAL_ACTIVO_2024[[#All],[Documento identidad]],"",0)</f>
        <v>#NAME?</v>
      </c>
      <c r="O455" s="194" t="s">
        <v>600</v>
      </c>
      <c r="P455" s="196" t="e" cm="1">
        <f t="array" aca="1" ref="P455" ca="1">_xlfn.XLOOKUP(Contrato5[[#This Row],[SUPERVISOR SUPLENTE ]],[2]!PERSONAL_ACTIVO_2024[[#All],[Nombre completo]],[2]!PERSONAL_ACTIVO_2024[[#All],[Documento identidad]],"",0)</f>
        <v>#NAME?</v>
      </c>
      <c r="Q455" s="170">
        <v>474</v>
      </c>
      <c r="R455" s="137" t="e" cm="1">
        <f t="array" aca="1" ref="R455" ca="1">_xlfn.XLOOKUP(Contrato5[[#This Row],[CDP]],[2]!DISPONIBILIDADES_2024[[#All],[consecutivo]],[2]!DISPONIBILIDADES_2024[[#All],[fecha_aprobacion]],"",0)</f>
        <v>#NAME?</v>
      </c>
      <c r="S455" s="138" t="e">
        <f>SUMIF([2]!DISPONIBILIDADES_2024[[#All],[consecutivo]],Contrato5[[#This Row],[CDP]],[2]!DISPONIBILIDADES_2024[[#All],[valor_total_rubro]])</f>
        <v>#REF!</v>
      </c>
      <c r="T455" s="139" t="e" cm="1">
        <f t="array" aca="1" ref="T455" ca="1">_xlfn.XLOOKUP(Contrato5[[#This Row],[CONTRATO]]&amp;Contrato5[[#This Row],[CDP]],[2]!Corr_Contr_CDP[[#All],[CONTRATO-CDP]],[2]!Corr_Contr_CDP[[#All],[CRP]],_xlfn.XLOOKUP(Contrato5[[#This Row],[CDP]],[2]!COMPROMISOS_2024[[#All],[disponibilidad]],[2]!COMPROMISOS_2024[[#All],[consecutivo]],"",0),0)</f>
        <v>#NAME?</v>
      </c>
      <c r="U455" s="140" t="e" cm="1">
        <f t="array" aca="1" ref="U455" ca="1">+_xlfn.XLOOKUP(Contrato5[[#This Row],[RCP]],[2]!COMPROMISOS_2024[[#All],[consecutivo]],[2]!COMPROMISOS_2024[[#All],[fecha_aprobacion]],"",0)</f>
        <v>#NAME?</v>
      </c>
      <c r="V455" s="141" t="e">
        <f ca="1">SUMIF([2]!COMPROMISOS_2024[[#All],[consecutivo]],Contrato5[[#This Row],[RCP]],[2]!COMPROMISOS_2024[[#All],[valor_total]])</f>
        <v>#REF!</v>
      </c>
      <c r="W455" s="415">
        <v>45439</v>
      </c>
      <c r="X455" s="415">
        <v>45441</v>
      </c>
      <c r="Y455" s="143">
        <v>45444</v>
      </c>
      <c r="Z455" s="262">
        <v>45656</v>
      </c>
      <c r="AA455" s="171" t="s">
        <v>2621</v>
      </c>
      <c r="AB455" s="172" t="s">
        <v>1189</v>
      </c>
      <c r="AC455" s="172"/>
      <c r="AD455" s="211">
        <v>202000004466</v>
      </c>
      <c r="AE455" s="147" t="s">
        <v>523</v>
      </c>
      <c r="AF455" s="148" t="str">
        <f>TEXT(LEFT(Contrato5[[#This Row],[CONTRATO]],3),"0")</f>
        <v>353</v>
      </c>
      <c r="AG455" s="148" t="str">
        <f>IF(LEN(Contrato5[[#This Row],[Contrato2]])=3,Contrato5[[#This Row],[Contrato2]],TEXT(Contrato5[[#This Row],[Contrato2]],"000"))</f>
        <v>353</v>
      </c>
      <c r="AH455" s="149">
        <f ca="1">IFERROR(_xlfn.DAYS(Contrato5[[#This Row],[Fecha Proyectada liquidación]],TODAY())/30,"")</f>
        <v>0.6</v>
      </c>
      <c r="AI455" s="150">
        <f>+Contrato5[[#This Row],[FECHA TERMINACIÓN ]]+120</f>
        <v>45776</v>
      </c>
      <c r="AJ455" s="147"/>
      <c r="AK455" s="152" t="str">
        <f ca="1">IF(Contrato5[[#This Row],[FECHA TERMINACIÓN ]]&lt;TODAY(), "Terminado",IF(ISNUMBER(Contrato5[[#This Row],[Fecha Real de liquiidación ]]),"Liquidado",IF(Contrato5[[#This Row],[FECHA TERMINACIÓN ]]&gt;=TODAY(),"En ejecución","")))</f>
        <v>Terminado</v>
      </c>
      <c r="AL455" s="153" t="e">
        <f ca="1">SUMIF([2]!COMPROMISOS_2024[[#All],[consecutivo]],Contrato5[[#This Row],[RCP]],[2]!COMPROMISOS_2024[[#All],[Total pagado]])</f>
        <v>#REF!</v>
      </c>
      <c r="AM455" s="154">
        <f ca="1">IFERROR(Contrato5[[#This Row],[Pagos]]/Contrato5[[#This Row],[VALOR CONTRATO]],0)</f>
        <v>0</v>
      </c>
      <c r="AN455" s="198" t="e">
        <f ca="1">+Contrato5[[#This Row],[VALOR CONTRATO]]-Contrato5[[#This Row],[Pagos]]</f>
        <v>#REF!</v>
      </c>
      <c r="AO455" s="147" t="e" cm="1">
        <f t="array" aca="1" ref="AO455" ca="1">_xlfn.XLOOKUP(Contrato5[[#This Row],[DOCUMENTO ]],[2]!PERSONAL_ACTIVO_2024[[#All],[Documento identidad]],[2]!PERSONAL_ACTIVO_2024[[#All],[Mail ]],0,0)</f>
        <v>#NAME?</v>
      </c>
      <c r="AP455" s="147" t="e" cm="1">
        <f t="array" aca="1" ref="AP455" ca="1">_xlfn.XLOOKUP(Contrato5[[#This Row],[DOCUMENTO]],[2]!PERSONAL_ACTIVO_2024[[#All],[Documento identidad]],[2]!PERSONAL_ACTIVO_2024[[#All],[Mail ]],0,0)</f>
        <v>#NAME?</v>
      </c>
      <c r="AQ455" s="439" cm="1">
        <f t="array" aca="1" ref="AQ455" ca="1">IF(ISBLANK(Contrato5[[#This Row],[DEPENDENCIA ]]),0,IFERROR(_xlfn.XLOOKUP(Contrato5[[#This Row],[DEPENDENCIA ]],[2]!PERSONAL_ACTIVO_2024[[#All],[Dependencia]],[2]!PERSONAL_ACTIVO_2024[[#All],[Mail ]],0,0),0))</f>
        <v>0</v>
      </c>
    </row>
    <row r="456" spans="1:43" ht="34.5" customHeight="1">
      <c r="A456" s="125">
        <v>625</v>
      </c>
      <c r="B456" s="124">
        <v>354</v>
      </c>
      <c r="C456" s="162" t="s">
        <v>1535</v>
      </c>
      <c r="D456" s="227" t="s">
        <v>602</v>
      </c>
      <c r="E456" s="440" t="s">
        <v>94</v>
      </c>
      <c r="F456" s="227" t="s">
        <v>1376</v>
      </c>
      <c r="G456" s="281" t="s">
        <v>1203</v>
      </c>
      <c r="H456" s="436">
        <v>98763224</v>
      </c>
      <c r="I456" s="273">
        <v>6879081</v>
      </c>
      <c r="J456" s="437">
        <v>20637243</v>
      </c>
      <c r="K456" s="131" t="s">
        <v>42</v>
      </c>
      <c r="L456" s="438" t="s">
        <v>689</v>
      </c>
      <c r="M456" s="194" t="s">
        <v>1204</v>
      </c>
      <c r="N456" s="177" t="e" cm="1">
        <f t="array" aca="1" ref="N456" ca="1">_xlfn.XLOOKUP(Contrato5[[#This Row],[SUPERVISOR TITULAR]],[2]!PERSONAL_ACTIVO_2024[[#All],[Nombre completo]],[2]!PERSONAL_ACTIVO_2024[[#All],[Documento identidad]],"",0)</f>
        <v>#NAME?</v>
      </c>
      <c r="O456" s="194" t="s">
        <v>1205</v>
      </c>
      <c r="P456" s="196" t="e" cm="1">
        <f t="array" aca="1" ref="P456" ca="1">_xlfn.XLOOKUP(Contrato5[[#This Row],[SUPERVISOR SUPLENTE ]],[2]!PERSONAL_ACTIVO_2024[[#All],[Nombre completo]],[2]!PERSONAL_ACTIVO_2024[[#All],[Documento identidad]],"",0)</f>
        <v>#NAME?</v>
      </c>
      <c r="Q456" s="170">
        <v>404</v>
      </c>
      <c r="R456" s="137" t="e" cm="1">
        <f t="array" aca="1" ref="R456" ca="1">_xlfn.XLOOKUP(Contrato5[[#This Row],[CDP]],[2]!DISPONIBILIDADES_2024[[#All],[consecutivo]],[2]!DISPONIBILIDADES_2024[[#All],[fecha_aprobacion]],"",0)</f>
        <v>#NAME?</v>
      </c>
      <c r="S456" s="138" t="e">
        <f>SUMIF([2]!DISPONIBILIDADES_2024[[#All],[consecutivo]],Contrato5[[#This Row],[CDP]],[2]!DISPONIBILIDADES_2024[[#All],[valor_total_rubro]])</f>
        <v>#REF!</v>
      </c>
      <c r="T456" s="139" t="e" cm="1">
        <f t="array" aca="1" ref="T456" ca="1">_xlfn.XLOOKUP(Contrato5[[#This Row],[CONTRATO]]&amp;Contrato5[[#This Row],[CDP]],[2]!Corr_Contr_CDP[[#All],[CONTRATO-CDP]],[2]!Corr_Contr_CDP[[#All],[CRP]],_xlfn.XLOOKUP(Contrato5[[#This Row],[CDP]],[2]!COMPROMISOS_2024[[#All],[disponibilidad]],[2]!COMPROMISOS_2024[[#All],[consecutivo]],"",0),0)</f>
        <v>#NAME?</v>
      </c>
      <c r="U456" s="140" t="e" cm="1">
        <f t="array" aca="1" ref="U456" ca="1">+_xlfn.XLOOKUP(Contrato5[[#This Row],[RCP]],[2]!COMPROMISOS_2024[[#All],[consecutivo]],[2]!COMPROMISOS_2024[[#All],[fecha_aprobacion]],"",0)</f>
        <v>#NAME?</v>
      </c>
      <c r="V456" s="141" t="e">
        <f ca="1">SUMIF([2]!COMPROMISOS_2024[[#All],[consecutivo]],Contrato5[[#This Row],[RCP]],[2]!COMPROMISOS_2024[[#All],[valor_total]])</f>
        <v>#REF!</v>
      </c>
      <c r="W456" s="415">
        <v>45435</v>
      </c>
      <c r="X456" s="415" t="s">
        <v>1045</v>
      </c>
      <c r="Y456" s="143">
        <v>45441</v>
      </c>
      <c r="Z456" s="262">
        <v>45532</v>
      </c>
      <c r="AA456" s="183" t="s">
        <v>1206</v>
      </c>
      <c r="AB456" s="172" t="s">
        <v>529</v>
      </c>
      <c r="AC456" s="172"/>
      <c r="AD456" s="211">
        <v>202000004363</v>
      </c>
      <c r="AE456" s="147" t="s">
        <v>523</v>
      </c>
      <c r="AF456" s="148" t="str">
        <f>TEXT(LEFT(Contrato5[[#This Row],[CONTRATO]],3),"0")</f>
        <v>354</v>
      </c>
      <c r="AG456" s="148" t="str">
        <f>IF(LEN(Contrato5[[#This Row],[Contrato2]])=3,Contrato5[[#This Row],[Contrato2]],TEXT(Contrato5[[#This Row],[Contrato2]],"000"))</f>
        <v>354</v>
      </c>
      <c r="AH456" s="149">
        <f ca="1">IFERROR(_xlfn.DAYS(Contrato5[[#This Row],[Fecha Proyectada liquidación]],TODAY())/30,"")</f>
        <v>-3.5333333333333332</v>
      </c>
      <c r="AI456" s="150">
        <f>+Contrato5[[#This Row],[FECHA TERMINACIÓN ]]+120</f>
        <v>45652</v>
      </c>
      <c r="AJ456" s="147"/>
      <c r="AK456" s="152" t="str">
        <f ca="1">IF(Contrato5[[#This Row],[FECHA TERMINACIÓN ]]&lt;TODAY(), "Terminado",IF(ISNUMBER(Contrato5[[#This Row],[Fecha Real de liquiidación ]]),"Liquidado",IF(Contrato5[[#This Row],[FECHA TERMINACIÓN ]]&gt;=TODAY(),"En ejecución","")))</f>
        <v>Terminado</v>
      </c>
      <c r="AL456" s="153" t="e">
        <f ca="1">SUMIF([2]!COMPROMISOS_2024[[#All],[consecutivo]],Contrato5[[#This Row],[RCP]],[2]!COMPROMISOS_2024[[#All],[Total pagado]])</f>
        <v>#REF!</v>
      </c>
      <c r="AM456" s="154">
        <f ca="1">IFERROR(Contrato5[[#This Row],[Pagos]]/Contrato5[[#This Row],[VALOR CONTRATO]],0)</f>
        <v>0</v>
      </c>
      <c r="AN456" s="198" t="e">
        <f ca="1">+Contrato5[[#This Row],[VALOR CONTRATO]]-Contrato5[[#This Row],[Pagos]]</f>
        <v>#REF!</v>
      </c>
      <c r="AO456" s="147" t="e" cm="1">
        <f t="array" aca="1" ref="AO456" ca="1">_xlfn.XLOOKUP(Contrato5[[#This Row],[DOCUMENTO ]],[2]!PERSONAL_ACTIVO_2024[[#All],[Documento identidad]],[2]!PERSONAL_ACTIVO_2024[[#All],[Mail ]],0,0)</f>
        <v>#NAME?</v>
      </c>
      <c r="AP456" s="147" t="e" cm="1">
        <f t="array" aca="1" ref="AP456" ca="1">_xlfn.XLOOKUP(Contrato5[[#This Row],[DOCUMENTO]],[2]!PERSONAL_ACTIVO_2024[[#All],[Documento identidad]],[2]!PERSONAL_ACTIVO_2024[[#All],[Mail ]],0,0)</f>
        <v>#NAME?</v>
      </c>
      <c r="AQ456" s="439" cm="1">
        <f t="array" aca="1" ref="AQ456" ca="1">IF(ISBLANK(Contrato5[[#This Row],[DEPENDENCIA ]]),0,IFERROR(_xlfn.XLOOKUP(Contrato5[[#This Row],[DEPENDENCIA ]],[2]!PERSONAL_ACTIVO_2024[[#All],[Dependencia]],[2]!PERSONAL_ACTIVO_2024[[#All],[Mail ]],0,0),0))</f>
        <v>0</v>
      </c>
    </row>
    <row r="457" spans="1:43" ht="34.5" customHeight="1">
      <c r="A457" s="125">
        <v>682</v>
      </c>
      <c r="B457" s="124">
        <v>355</v>
      </c>
      <c r="C457" s="162" t="s">
        <v>1327</v>
      </c>
      <c r="D457" s="227" t="s">
        <v>493</v>
      </c>
      <c r="E457" s="440" t="s">
        <v>94</v>
      </c>
      <c r="F457" s="163" t="s">
        <v>1376</v>
      </c>
      <c r="G457" s="281" t="s">
        <v>1207</v>
      </c>
      <c r="H457" s="436">
        <v>70135960</v>
      </c>
      <c r="I457" s="273">
        <v>3986061</v>
      </c>
      <c r="J457" s="437">
        <v>29231114</v>
      </c>
      <c r="K457" s="131" t="s">
        <v>42</v>
      </c>
      <c r="L457" s="438" t="s">
        <v>807</v>
      </c>
      <c r="M457" s="194" t="s">
        <v>497</v>
      </c>
      <c r="N457" s="177" t="e" cm="1">
        <f t="array" aca="1" ref="N457" ca="1">_xlfn.XLOOKUP(Contrato5[[#This Row],[SUPERVISOR TITULAR]],[2]!PERSONAL_ACTIVO_2024[[#All],[Nombre completo]],[2]!PERSONAL_ACTIVO_2024[[#All],[Documento identidad]],"",0)</f>
        <v>#NAME?</v>
      </c>
      <c r="O457" s="194" t="s">
        <v>818</v>
      </c>
      <c r="P457" s="196" t="e" cm="1">
        <f t="array" aca="1" ref="P457" ca="1">_xlfn.XLOOKUP(Contrato5[[#This Row],[SUPERVISOR SUPLENTE ]],[2]!PERSONAL_ACTIVO_2024[[#All],[Nombre completo]],[2]!PERSONAL_ACTIVO_2024[[#All],[Documento identidad]],"",0)</f>
        <v>#NAME?</v>
      </c>
      <c r="Q457" s="222">
        <v>489</v>
      </c>
      <c r="R457" s="137" t="e" cm="1">
        <f t="array" aca="1" ref="R457" ca="1">_xlfn.XLOOKUP(Contrato5[[#This Row],[CDP]],[2]!DISPONIBILIDADES_2024[[#All],[consecutivo]],[2]!DISPONIBILIDADES_2024[[#All],[fecha_aprobacion]],"",0)</f>
        <v>#NAME?</v>
      </c>
      <c r="S457" s="138" t="e">
        <f>SUMIF([2]!DISPONIBILIDADES_2024[[#All],[consecutivo]],Contrato5[[#This Row],[CDP]],[2]!DISPONIBILIDADES_2024[[#All],[valor_total_rubro]])</f>
        <v>#REF!</v>
      </c>
      <c r="T457" s="139" t="e" cm="1">
        <f t="array" aca="1" ref="T457" ca="1">_xlfn.XLOOKUP(Contrato5[[#This Row],[CONTRATO]]&amp;Contrato5[[#This Row],[CDP]],[2]!Corr_Contr_CDP[[#All],[CONTRATO-CDP]],[2]!Corr_Contr_CDP[[#All],[CRP]],_xlfn.XLOOKUP(Contrato5[[#This Row],[CDP]],[2]!COMPROMISOS_2024[[#All],[disponibilidad]],[2]!COMPROMISOS_2024[[#All],[consecutivo]],"",0),0)</f>
        <v>#NAME?</v>
      </c>
      <c r="U457" s="140" t="e" cm="1">
        <f t="array" aca="1" ref="U457" ca="1">+_xlfn.XLOOKUP(Contrato5[[#This Row],[RCP]],[2]!COMPROMISOS_2024[[#All],[consecutivo]],[2]!COMPROMISOS_2024[[#All],[fecha_aprobacion]],"",0)</f>
        <v>#NAME?</v>
      </c>
      <c r="V457" s="141" t="e">
        <f ca="1">SUMIF([2]!COMPROMISOS_2024[[#All],[consecutivo]],Contrato5[[#This Row],[RCP]],[2]!COMPROMISOS_2024[[#All],[valor_total]])</f>
        <v>#REF!</v>
      </c>
      <c r="W457" s="415">
        <v>45433</v>
      </c>
      <c r="X457" s="415" t="s">
        <v>1045</v>
      </c>
      <c r="Y457" s="143">
        <v>45434</v>
      </c>
      <c r="Z457" s="262">
        <v>45656</v>
      </c>
      <c r="AA457" s="171" t="s">
        <v>1208</v>
      </c>
      <c r="AB457" s="273" t="s">
        <v>1209</v>
      </c>
      <c r="AC457" s="273"/>
      <c r="AD457" s="263">
        <v>202000004361</v>
      </c>
      <c r="AE457" s="147" t="s">
        <v>523</v>
      </c>
      <c r="AF457" s="148" t="str">
        <f>TEXT(LEFT(Contrato5[[#This Row],[CONTRATO]],3),"0")</f>
        <v>355</v>
      </c>
      <c r="AG457" s="148" t="str">
        <f>IF(LEN(Contrato5[[#This Row],[Contrato2]])=3,Contrato5[[#This Row],[Contrato2]],TEXT(Contrato5[[#This Row],[Contrato2]],"000"))</f>
        <v>355</v>
      </c>
      <c r="AH457" s="149">
        <f ca="1">IFERROR(_xlfn.DAYS(Contrato5[[#This Row],[Fecha Proyectada liquidación]],TODAY())/30,"")</f>
        <v>0.6</v>
      </c>
      <c r="AI457" s="150">
        <f>+Contrato5[[#This Row],[FECHA TERMINACIÓN ]]+120</f>
        <v>45776</v>
      </c>
      <c r="AJ457" s="147"/>
      <c r="AK457" s="152" t="str">
        <f ca="1">IF(Contrato5[[#This Row],[FECHA TERMINACIÓN ]]&lt;TODAY(), "Terminado",IF(ISNUMBER(Contrato5[[#This Row],[Fecha Real de liquiidación ]]),"Liquidado",IF(Contrato5[[#This Row],[FECHA TERMINACIÓN ]]&gt;=TODAY(),"En ejecución","")))</f>
        <v>Terminado</v>
      </c>
      <c r="AL457" s="153" t="e">
        <f ca="1">SUMIF([2]!COMPROMISOS_2024[[#All],[consecutivo]],Contrato5[[#This Row],[RCP]],[2]!COMPROMISOS_2024[[#All],[Total pagado]])</f>
        <v>#REF!</v>
      </c>
      <c r="AM457" s="154">
        <f ca="1">IFERROR(Contrato5[[#This Row],[Pagos]]/Contrato5[[#This Row],[VALOR CONTRATO]],0)</f>
        <v>0</v>
      </c>
      <c r="AN457" s="198" t="e">
        <f ca="1">+Contrato5[[#This Row],[VALOR CONTRATO]]-Contrato5[[#This Row],[Pagos]]</f>
        <v>#REF!</v>
      </c>
      <c r="AO457" s="147" t="e" cm="1">
        <f t="array" aca="1" ref="AO457" ca="1">_xlfn.XLOOKUP(Contrato5[[#This Row],[DOCUMENTO ]],[2]!PERSONAL_ACTIVO_2024[[#All],[Documento identidad]],[2]!PERSONAL_ACTIVO_2024[[#All],[Mail ]],0,0)</f>
        <v>#NAME?</v>
      </c>
      <c r="AP457" s="147" t="e" cm="1">
        <f t="array" aca="1" ref="AP457" ca="1">_xlfn.XLOOKUP(Contrato5[[#This Row],[DOCUMENTO]],[2]!PERSONAL_ACTIVO_2024[[#All],[Documento identidad]],[2]!PERSONAL_ACTIVO_2024[[#All],[Mail ]],0,0)</f>
        <v>#NAME?</v>
      </c>
      <c r="AQ457" s="439" cm="1">
        <f t="array" aca="1" ref="AQ457" ca="1">IF(ISBLANK(Contrato5[[#This Row],[DEPENDENCIA ]]),0,IFERROR(_xlfn.XLOOKUP(Contrato5[[#This Row],[DEPENDENCIA ]],[2]!PERSONAL_ACTIVO_2024[[#All],[Dependencia]],[2]!PERSONAL_ACTIVO_2024[[#All],[Mail ]],0,0),0))</f>
        <v>0</v>
      </c>
    </row>
    <row r="458" spans="1:43" ht="34.5" customHeight="1">
      <c r="A458" s="125">
        <v>688</v>
      </c>
      <c r="B458" s="124">
        <v>356</v>
      </c>
      <c r="C458" s="162" t="s">
        <v>395</v>
      </c>
      <c r="D458" s="227" t="s">
        <v>515</v>
      </c>
      <c r="E458" s="440" t="s">
        <v>94</v>
      </c>
      <c r="F458" s="227" t="s">
        <v>255</v>
      </c>
      <c r="G458" s="281" t="s">
        <v>1210</v>
      </c>
      <c r="H458" s="436">
        <v>890981367</v>
      </c>
      <c r="I458" s="273" t="s">
        <v>42</v>
      </c>
      <c r="J458" s="437">
        <v>298903670</v>
      </c>
      <c r="K458" s="131" t="s">
        <v>42</v>
      </c>
      <c r="L458" s="438" t="s">
        <v>689</v>
      </c>
      <c r="M458" s="194" t="s">
        <v>823</v>
      </c>
      <c r="N458" s="177" t="e" cm="1">
        <f t="array" aca="1" ref="N458" ca="1">_xlfn.XLOOKUP(Contrato5[[#This Row],[SUPERVISOR TITULAR]],[2]!PERSONAL_ACTIVO_2024[[#All],[Nombre completo]],[2]!PERSONAL_ACTIVO_2024[[#All],[Documento identidad]],"",0)</f>
        <v>#NAME?</v>
      </c>
      <c r="O458" s="194" t="s">
        <v>2546</v>
      </c>
      <c r="P458" s="196" t="e" cm="1">
        <f t="array" aca="1" ref="P458" ca="1">_xlfn.XLOOKUP(Contrato5[[#This Row],[SUPERVISOR SUPLENTE ]],[2]!PERSONAL_ACTIVO_2024[[#All],[Nombre completo]],[2]!PERSONAL_ACTIVO_2024[[#All],[Documento identidad]],"",0)</f>
        <v>#NAME?</v>
      </c>
      <c r="Q458" s="170">
        <v>501</v>
      </c>
      <c r="R458" s="137" t="e" cm="1">
        <f t="array" aca="1" ref="R458" ca="1">_xlfn.XLOOKUP(Contrato5[[#This Row],[CDP]],[2]!DISPONIBILIDADES_2024[[#All],[consecutivo]],[2]!DISPONIBILIDADES_2024[[#All],[fecha_aprobacion]],"",0)</f>
        <v>#NAME?</v>
      </c>
      <c r="S458" s="138" t="e">
        <f>SUMIF([2]!DISPONIBILIDADES_2024[[#All],[consecutivo]],Contrato5[[#This Row],[CDP]],[2]!DISPONIBILIDADES_2024[[#All],[valor_total_rubro]])</f>
        <v>#REF!</v>
      </c>
      <c r="T458" s="139" t="e" cm="1">
        <f t="array" aca="1" ref="T458" ca="1">_xlfn.XLOOKUP(Contrato5[[#This Row],[CONTRATO]]&amp;Contrato5[[#This Row],[CDP]],[2]!Corr_Contr_CDP[[#All],[CONTRATO-CDP]],[2]!Corr_Contr_CDP[[#All],[CRP]],_xlfn.XLOOKUP(Contrato5[[#This Row],[CDP]],[2]!COMPROMISOS_2024[[#All],[disponibilidad]],[2]!COMPROMISOS_2024[[#All],[consecutivo]],"",0),0)</f>
        <v>#NAME?</v>
      </c>
      <c r="U458" s="140" t="e" cm="1">
        <f t="array" aca="1" ref="U458" ca="1">+_xlfn.XLOOKUP(Contrato5[[#This Row],[RCP]],[2]!COMPROMISOS_2024[[#All],[consecutivo]],[2]!COMPROMISOS_2024[[#All],[fecha_aprobacion]],"",0)</f>
        <v>#NAME?</v>
      </c>
      <c r="V458" s="141" t="e">
        <f ca="1">SUMIF([2]!COMPROMISOS_2024[[#All],[consecutivo]],Contrato5[[#This Row],[RCP]],[2]!COMPROMISOS_2024[[#All],[valor_total]])</f>
        <v>#REF!</v>
      </c>
      <c r="W458" s="415">
        <v>45436</v>
      </c>
      <c r="X458" s="415" t="s">
        <v>1045</v>
      </c>
      <c r="Y458" s="143">
        <v>45441</v>
      </c>
      <c r="Z458" s="262">
        <v>45497</v>
      </c>
      <c r="AA458" s="183" t="s">
        <v>1211</v>
      </c>
      <c r="AB458" s="172" t="s">
        <v>500</v>
      </c>
      <c r="AC458" s="172"/>
      <c r="AD458" s="211">
        <v>202000004364</v>
      </c>
      <c r="AE458" s="147" t="s">
        <v>523</v>
      </c>
      <c r="AF458" s="148" t="str">
        <f>TEXT(LEFT(Contrato5[[#This Row],[CONTRATO]],3),"0")</f>
        <v>356</v>
      </c>
      <c r="AG458" s="148" t="str">
        <f>IF(LEN(Contrato5[[#This Row],[Contrato2]])=3,Contrato5[[#This Row],[Contrato2]],TEXT(Contrato5[[#This Row],[Contrato2]],"000"))</f>
        <v>356</v>
      </c>
      <c r="AH458" s="149">
        <f ca="1">IFERROR(_xlfn.DAYS(Contrato5[[#This Row],[Fecha Proyectada liquidación]],TODAY())/30,"")</f>
        <v>-4.7</v>
      </c>
      <c r="AI458" s="150">
        <f>+Contrato5[[#This Row],[FECHA TERMINACIÓN ]]+120</f>
        <v>45617</v>
      </c>
      <c r="AJ458" s="147"/>
      <c r="AK458" s="152" t="str">
        <f ca="1">IF(Contrato5[[#This Row],[FECHA TERMINACIÓN ]]&lt;TODAY(), "Terminado",IF(ISNUMBER(Contrato5[[#This Row],[Fecha Real de liquiidación ]]),"Liquidado",IF(Contrato5[[#This Row],[FECHA TERMINACIÓN ]]&gt;=TODAY(),"En ejecución","")))</f>
        <v>Terminado</v>
      </c>
      <c r="AL458" s="153" t="e">
        <f ca="1">SUMIF([2]!COMPROMISOS_2024[[#All],[consecutivo]],Contrato5[[#This Row],[RCP]],[2]!COMPROMISOS_2024[[#All],[Total pagado]])</f>
        <v>#REF!</v>
      </c>
      <c r="AM458" s="154">
        <f ca="1">IFERROR(Contrato5[[#This Row],[Pagos]]/Contrato5[[#This Row],[VALOR CONTRATO]],0)</f>
        <v>0</v>
      </c>
      <c r="AN458" s="198" t="e">
        <f ca="1">+Contrato5[[#This Row],[VALOR CONTRATO]]-Contrato5[[#This Row],[Pagos]]</f>
        <v>#REF!</v>
      </c>
      <c r="AO458" s="147" t="e" cm="1">
        <f t="array" aca="1" ref="AO458" ca="1">_xlfn.XLOOKUP(Contrato5[[#This Row],[DOCUMENTO ]],[2]!PERSONAL_ACTIVO_2024[[#All],[Documento identidad]],[2]!PERSONAL_ACTIVO_2024[[#All],[Mail ]],0,0)</f>
        <v>#NAME?</v>
      </c>
      <c r="AP458" s="147" t="e" cm="1">
        <f t="array" aca="1" ref="AP458" ca="1">_xlfn.XLOOKUP(Contrato5[[#This Row],[DOCUMENTO]],[2]!PERSONAL_ACTIVO_2024[[#All],[Documento identidad]],[2]!PERSONAL_ACTIVO_2024[[#All],[Mail ]],0,0)</f>
        <v>#NAME?</v>
      </c>
      <c r="AQ458" s="439" cm="1">
        <f t="array" aca="1" ref="AQ458" ca="1">IF(ISBLANK(Contrato5[[#This Row],[DEPENDENCIA ]]),0,IFERROR(_xlfn.XLOOKUP(Contrato5[[#This Row],[DEPENDENCIA ]],[2]!PERSONAL_ACTIVO_2024[[#All],[Dependencia]],[2]!PERSONAL_ACTIVO_2024[[#All],[Mail ]],0,0),0))</f>
        <v>0</v>
      </c>
    </row>
    <row r="459" spans="1:43" ht="34.5" customHeight="1">
      <c r="A459" s="125">
        <v>689</v>
      </c>
      <c r="B459" s="124">
        <v>357</v>
      </c>
      <c r="C459" s="162" t="s">
        <v>397</v>
      </c>
      <c r="D459" s="227" t="s">
        <v>515</v>
      </c>
      <c r="E459" s="440" t="s">
        <v>94</v>
      </c>
      <c r="F459" s="227" t="s">
        <v>255</v>
      </c>
      <c r="G459" s="281" t="s">
        <v>1212</v>
      </c>
      <c r="H459" s="436">
        <v>890980850</v>
      </c>
      <c r="I459" s="273" t="s">
        <v>42</v>
      </c>
      <c r="J459" s="437">
        <v>215686451</v>
      </c>
      <c r="K459" s="131" t="s">
        <v>42</v>
      </c>
      <c r="L459" s="438" t="s">
        <v>689</v>
      </c>
      <c r="M459" s="194" t="s">
        <v>519</v>
      </c>
      <c r="N459" s="177" t="e" cm="1">
        <f t="array" aca="1" ref="N459" ca="1">_xlfn.XLOOKUP(Contrato5[[#This Row],[SUPERVISOR TITULAR]],[2]!PERSONAL_ACTIVO_2024[[#All],[Nombre completo]],[2]!PERSONAL_ACTIVO_2024[[#All],[Documento identidad]],"",0)</f>
        <v>#NAME?</v>
      </c>
      <c r="O459" s="194" t="s">
        <v>822</v>
      </c>
      <c r="P459" s="196" t="e" cm="1">
        <f t="array" aca="1" ref="P459" ca="1">_xlfn.XLOOKUP(Contrato5[[#This Row],[SUPERVISOR SUPLENTE ]],[2]!PERSONAL_ACTIVO_2024[[#All],[Nombre completo]],[2]!PERSONAL_ACTIVO_2024[[#All],[Documento identidad]],"",0)</f>
        <v>#NAME?</v>
      </c>
      <c r="Q459" s="170">
        <v>502</v>
      </c>
      <c r="R459" s="137" t="e" cm="1">
        <f t="array" aca="1" ref="R459" ca="1">_xlfn.XLOOKUP(Contrato5[[#This Row],[CDP]],[2]!DISPONIBILIDADES_2024[[#All],[consecutivo]],[2]!DISPONIBILIDADES_2024[[#All],[fecha_aprobacion]],"",0)</f>
        <v>#NAME?</v>
      </c>
      <c r="S459" s="138" t="e">
        <f>SUMIF([2]!DISPONIBILIDADES_2024[[#All],[consecutivo]],Contrato5[[#This Row],[CDP]],[2]!DISPONIBILIDADES_2024[[#All],[valor_total_rubro]])</f>
        <v>#REF!</v>
      </c>
      <c r="T459" s="139" t="e" cm="1">
        <f t="array" aca="1" ref="T459" ca="1">_xlfn.XLOOKUP(Contrato5[[#This Row],[CONTRATO]]&amp;Contrato5[[#This Row],[CDP]],[2]!Corr_Contr_CDP[[#All],[CONTRATO-CDP]],[2]!Corr_Contr_CDP[[#All],[CRP]],_xlfn.XLOOKUP(Contrato5[[#This Row],[CDP]],[2]!COMPROMISOS_2024[[#All],[disponibilidad]],[2]!COMPROMISOS_2024[[#All],[consecutivo]],"",0),0)</f>
        <v>#NAME?</v>
      </c>
      <c r="U459" s="140" t="e" cm="1">
        <f t="array" aca="1" ref="U459" ca="1">+_xlfn.XLOOKUP(Contrato5[[#This Row],[RCP]],[2]!COMPROMISOS_2024[[#All],[consecutivo]],[2]!COMPROMISOS_2024[[#All],[fecha_aprobacion]],"",0)</f>
        <v>#NAME?</v>
      </c>
      <c r="V459" s="141" t="e">
        <f ca="1">SUMIF([2]!COMPROMISOS_2024[[#All],[consecutivo]],Contrato5[[#This Row],[RCP]],[2]!COMPROMISOS_2024[[#All],[valor_total]])</f>
        <v>#REF!</v>
      </c>
      <c r="W459" s="415">
        <v>45436</v>
      </c>
      <c r="X459" s="415" t="s">
        <v>1045</v>
      </c>
      <c r="Y459" s="143">
        <v>45439</v>
      </c>
      <c r="Z459" s="262">
        <v>45497</v>
      </c>
      <c r="AA459" s="183" t="s">
        <v>1213</v>
      </c>
      <c r="AB459" s="172" t="s">
        <v>500</v>
      </c>
      <c r="AC459" s="172"/>
      <c r="AD459" s="211">
        <v>202000004365</v>
      </c>
      <c r="AE459" s="147" t="s">
        <v>523</v>
      </c>
      <c r="AF459" s="148" t="str">
        <f>TEXT(LEFT(Contrato5[[#This Row],[CONTRATO]],3),"0")</f>
        <v>357</v>
      </c>
      <c r="AG459" s="148" t="str">
        <f>IF(LEN(Contrato5[[#This Row],[Contrato2]])=3,Contrato5[[#This Row],[Contrato2]],TEXT(Contrato5[[#This Row],[Contrato2]],"000"))</f>
        <v>357</v>
      </c>
      <c r="AH459" s="149">
        <f ca="1">IFERROR(_xlfn.DAYS(Contrato5[[#This Row],[Fecha Proyectada liquidación]],TODAY())/30,"")</f>
        <v>-4.7</v>
      </c>
      <c r="AI459" s="150">
        <f>+Contrato5[[#This Row],[FECHA TERMINACIÓN ]]+120</f>
        <v>45617</v>
      </c>
      <c r="AJ459" s="147"/>
      <c r="AK459" s="152" t="str">
        <f ca="1">IF(Contrato5[[#This Row],[FECHA TERMINACIÓN ]]&lt;TODAY(), "Terminado",IF(ISNUMBER(Contrato5[[#This Row],[Fecha Real de liquiidación ]]),"Liquidado",IF(Contrato5[[#This Row],[FECHA TERMINACIÓN ]]&gt;=TODAY(),"En ejecución","")))</f>
        <v>Terminado</v>
      </c>
      <c r="AL459" s="153" t="e">
        <f ca="1">SUMIF([2]!COMPROMISOS_2024[[#All],[consecutivo]],Contrato5[[#This Row],[RCP]],[2]!COMPROMISOS_2024[[#All],[Total pagado]])</f>
        <v>#REF!</v>
      </c>
      <c r="AM459" s="154">
        <f ca="1">IFERROR(Contrato5[[#This Row],[Pagos]]/Contrato5[[#This Row],[VALOR CONTRATO]],0)</f>
        <v>0</v>
      </c>
      <c r="AN459" s="198" t="e">
        <f ca="1">+Contrato5[[#This Row],[VALOR CONTRATO]]-Contrato5[[#This Row],[Pagos]]</f>
        <v>#REF!</v>
      </c>
      <c r="AO459" s="147" t="e" cm="1">
        <f t="array" aca="1" ref="AO459" ca="1">_xlfn.XLOOKUP(Contrato5[[#This Row],[DOCUMENTO ]],[2]!PERSONAL_ACTIVO_2024[[#All],[Documento identidad]],[2]!PERSONAL_ACTIVO_2024[[#All],[Mail ]],0,0)</f>
        <v>#NAME?</v>
      </c>
      <c r="AP459" s="147" t="e" cm="1">
        <f t="array" aca="1" ref="AP459" ca="1">_xlfn.XLOOKUP(Contrato5[[#This Row],[DOCUMENTO]],[2]!PERSONAL_ACTIVO_2024[[#All],[Documento identidad]],[2]!PERSONAL_ACTIVO_2024[[#All],[Mail ]],0,0)</f>
        <v>#NAME?</v>
      </c>
      <c r="AQ459" s="439" cm="1">
        <f t="array" aca="1" ref="AQ459" ca="1">IF(ISBLANK(Contrato5[[#This Row],[DEPENDENCIA ]]),0,IFERROR(_xlfn.XLOOKUP(Contrato5[[#This Row],[DEPENDENCIA ]],[2]!PERSONAL_ACTIVO_2024[[#All],[Dependencia]],[2]!PERSONAL_ACTIVO_2024[[#All],[Mail ]],0,0),0))</f>
        <v>0</v>
      </c>
    </row>
    <row r="460" spans="1:43" ht="34.5" customHeight="1">
      <c r="A460" s="125">
        <v>75</v>
      </c>
      <c r="B460" s="124">
        <v>358</v>
      </c>
      <c r="C460" s="162" t="s">
        <v>1505</v>
      </c>
      <c r="D460" s="227" t="s">
        <v>583</v>
      </c>
      <c r="E460" s="440" t="s">
        <v>94</v>
      </c>
      <c r="F460" s="227" t="s">
        <v>222</v>
      </c>
      <c r="G460" s="281" t="s">
        <v>896</v>
      </c>
      <c r="H460" s="447">
        <v>890908939</v>
      </c>
      <c r="I460" s="273" t="s">
        <v>42</v>
      </c>
      <c r="J460" s="505">
        <v>250000000</v>
      </c>
      <c r="K460" s="131" t="s">
        <v>42</v>
      </c>
      <c r="L460" s="438" t="s">
        <v>877</v>
      </c>
      <c r="M460" s="194" t="s">
        <v>592</v>
      </c>
      <c r="N460" s="177" t="e" cm="1">
        <f t="array" aca="1" ref="N460" ca="1">_xlfn.XLOOKUP(Contrato5[[#This Row],[SUPERVISOR TITULAR]],[2]!PERSONAL_ACTIVO_2024[[#All],[Nombre completo]],[2]!PERSONAL_ACTIVO_2024[[#All],[Documento identidad]],"",0)</f>
        <v>#NAME?</v>
      </c>
      <c r="O460" s="194" t="s">
        <v>600</v>
      </c>
      <c r="P460" s="196" t="e" cm="1">
        <f t="array" aca="1" ref="P460" ca="1">_xlfn.XLOOKUP(Contrato5[[#This Row],[SUPERVISOR SUPLENTE ]],[2]!PERSONAL_ACTIVO_2024[[#All],[Nombre completo]],[2]!PERSONAL_ACTIVO_2024[[#All],[Documento identidad]],"",0)</f>
        <v>#NAME?</v>
      </c>
      <c r="Q460" s="170">
        <v>500</v>
      </c>
      <c r="R460" s="137" t="e" cm="1">
        <f t="array" aca="1" ref="R460" ca="1">_xlfn.XLOOKUP(Contrato5[[#This Row],[CDP]],[2]!DISPONIBILIDADES_2024[[#All],[consecutivo]],[2]!DISPONIBILIDADES_2024[[#All],[fecha_aprobacion]],"",0)</f>
        <v>#NAME?</v>
      </c>
      <c r="S460" s="138" t="e">
        <f>SUMIF([2]!DISPONIBILIDADES_2024[[#All],[consecutivo]],Contrato5[[#This Row],[CDP]],[2]!DISPONIBILIDADES_2024[[#All],[valor_total_rubro]])</f>
        <v>#REF!</v>
      </c>
      <c r="T460" s="139" t="e" cm="1">
        <f t="array" aca="1" ref="T460" ca="1">_xlfn.XLOOKUP(Contrato5[[#This Row],[CONTRATO]]&amp;Contrato5[[#This Row],[CDP]],[2]!Corr_Contr_CDP[[#All],[CONTRATO-CDP]],[2]!Corr_Contr_CDP[[#All],[CRP]],_xlfn.XLOOKUP(Contrato5[[#This Row],[CDP]],[2]!COMPROMISOS_2024[[#All],[disponibilidad]],[2]!COMPROMISOS_2024[[#All],[consecutivo]],"",0),0)</f>
        <v>#NAME?</v>
      </c>
      <c r="U460" s="140" t="e" cm="1">
        <f t="array" aca="1" ref="U460" ca="1">+_xlfn.XLOOKUP(Contrato5[[#This Row],[RCP]],[2]!COMPROMISOS_2024[[#All],[consecutivo]],[2]!COMPROMISOS_2024[[#All],[fecha_aprobacion]],"",0)</f>
        <v>#NAME?</v>
      </c>
      <c r="V460" s="141" t="e">
        <f ca="1">SUMIF([2]!COMPROMISOS_2024[[#All],[consecutivo]],Contrato5[[#This Row],[RCP]],[2]!COMPROMISOS_2024[[#All],[valor_total]])</f>
        <v>#REF!</v>
      </c>
      <c r="W460" s="415">
        <v>45442</v>
      </c>
      <c r="X460" s="415">
        <v>45442</v>
      </c>
      <c r="Y460" s="143">
        <v>45442</v>
      </c>
      <c r="Z460" s="262">
        <v>45656</v>
      </c>
      <c r="AA460" s="171" t="s">
        <v>1214</v>
      </c>
      <c r="AB460" s="172" t="s">
        <v>1189</v>
      </c>
      <c r="AC460" s="172"/>
      <c r="AD460" s="211">
        <v>202000004366</v>
      </c>
      <c r="AE460" s="147" t="s">
        <v>523</v>
      </c>
      <c r="AF460" s="148" t="str">
        <f>TEXT(LEFT(Contrato5[[#This Row],[CONTRATO]],3),"0")</f>
        <v>358</v>
      </c>
      <c r="AG460" s="148" t="str">
        <f>IF(LEN(Contrato5[[#This Row],[Contrato2]])=3,Contrato5[[#This Row],[Contrato2]],TEXT(Contrato5[[#This Row],[Contrato2]],"000"))</f>
        <v>358</v>
      </c>
      <c r="AH460" s="149">
        <f ca="1">IFERROR(_xlfn.DAYS(Contrato5[[#This Row],[Fecha Proyectada liquidación]],TODAY())/30,"")</f>
        <v>0.6</v>
      </c>
      <c r="AI460" s="150">
        <f>+Contrato5[[#This Row],[FECHA TERMINACIÓN ]]+120</f>
        <v>45776</v>
      </c>
      <c r="AJ460" s="147"/>
      <c r="AK460" s="152" t="str">
        <f ca="1">IF(Contrato5[[#This Row],[FECHA TERMINACIÓN ]]&lt;TODAY(), "Terminado",IF(ISNUMBER(Contrato5[[#This Row],[Fecha Real de liquiidación ]]),"Liquidado",IF(Contrato5[[#This Row],[FECHA TERMINACIÓN ]]&gt;=TODAY(),"En ejecución","")))</f>
        <v>Terminado</v>
      </c>
      <c r="AL460" s="153" t="e">
        <f ca="1">SUMIF([2]!COMPROMISOS_2024[[#All],[consecutivo]],Contrato5[[#This Row],[RCP]],[2]!COMPROMISOS_2024[[#All],[Total pagado]])</f>
        <v>#REF!</v>
      </c>
      <c r="AM460" s="154">
        <f ca="1">IFERROR(Contrato5[[#This Row],[Pagos]]/Contrato5[[#This Row],[VALOR CONTRATO]],0)</f>
        <v>0</v>
      </c>
      <c r="AN460" s="198" t="e">
        <f ca="1">+Contrato5[[#This Row],[VALOR CONTRATO]]-Contrato5[[#This Row],[Pagos]]</f>
        <v>#REF!</v>
      </c>
      <c r="AO460" s="147" t="e" cm="1">
        <f t="array" aca="1" ref="AO460" ca="1">_xlfn.XLOOKUP(Contrato5[[#This Row],[DOCUMENTO ]],[2]!PERSONAL_ACTIVO_2024[[#All],[Documento identidad]],[2]!PERSONAL_ACTIVO_2024[[#All],[Mail ]],0,0)</f>
        <v>#NAME?</v>
      </c>
      <c r="AP460" s="147" t="e" cm="1">
        <f t="array" aca="1" ref="AP460" ca="1">_xlfn.XLOOKUP(Contrato5[[#This Row],[DOCUMENTO]],[2]!PERSONAL_ACTIVO_2024[[#All],[Documento identidad]],[2]!PERSONAL_ACTIVO_2024[[#All],[Mail ]],0,0)</f>
        <v>#NAME?</v>
      </c>
      <c r="AQ460" s="439" cm="1">
        <f t="array" aca="1" ref="AQ460" ca="1">IF(ISBLANK(Contrato5[[#This Row],[DEPENDENCIA ]]),0,IFERROR(_xlfn.XLOOKUP(Contrato5[[#This Row],[DEPENDENCIA ]],[2]!PERSONAL_ACTIVO_2024[[#All],[Dependencia]],[2]!PERSONAL_ACTIVO_2024[[#All],[Mail ]],0,0),0))</f>
        <v>0</v>
      </c>
    </row>
    <row r="461" spans="1:43" ht="34.5" customHeight="1">
      <c r="A461" s="147">
        <v>1297</v>
      </c>
      <c r="B461" s="124">
        <v>358</v>
      </c>
      <c r="C461" s="162" t="s">
        <v>2233</v>
      </c>
      <c r="D461" s="227" t="s">
        <v>583</v>
      </c>
      <c r="E461" s="440" t="s">
        <v>2148</v>
      </c>
      <c r="F461" s="227" t="s">
        <v>222</v>
      </c>
      <c r="G461" s="281" t="s">
        <v>896</v>
      </c>
      <c r="H461" s="447">
        <v>890908939</v>
      </c>
      <c r="I461" s="273" t="s">
        <v>42</v>
      </c>
      <c r="J461" s="505">
        <v>75126966</v>
      </c>
      <c r="K461" s="147"/>
      <c r="L461" s="166" t="s">
        <v>2606</v>
      </c>
      <c r="M461" s="194" t="s">
        <v>592</v>
      </c>
      <c r="N461" s="177" t="e" cm="1">
        <f t="array" aca="1" ref="N461" ca="1">_xlfn.XLOOKUP(Contrato5[[#This Row],[SUPERVISOR TITULAR]],[2]!PERSONAL_ACTIVO_2024[[#All],[Nombre completo]],[2]!PERSONAL_ACTIVO_2024[[#All],[Documento identidad]],"",0)</f>
        <v>#NAME?</v>
      </c>
      <c r="O461" s="194" t="s">
        <v>600</v>
      </c>
      <c r="P461" s="196" t="e" cm="1">
        <f t="array" aca="1" ref="P461" ca="1">_xlfn.XLOOKUP(Contrato5[[#This Row],[SUPERVISOR SUPLENTE ]],[2]!PERSONAL_ACTIVO_2024[[#All],[Nombre completo]],[2]!PERSONAL_ACTIVO_2024[[#All],[Documento identidad]],"",0)</f>
        <v>#NAME?</v>
      </c>
      <c r="Q461" s="170">
        <v>1157</v>
      </c>
      <c r="R461" s="137" t="e" cm="1">
        <f t="array" aca="1" ref="R461" ca="1">_xlfn.XLOOKUP(Contrato5[[#This Row],[CDP]],[2]!DISPONIBILIDADES_2024[[#All],[consecutivo]],[2]!DISPONIBILIDADES_2024[[#All],[fecha_aprobacion]],"",0)</f>
        <v>#NAME?</v>
      </c>
      <c r="S461" s="138" t="e">
        <f>SUMIF([2]!DISPONIBILIDADES_2024[[#All],[consecutivo]],Contrato5[[#This Row],[CDP]],[2]!DISPONIBILIDADES_2024[[#All],[valor_total_rubro]])</f>
        <v>#REF!</v>
      </c>
      <c r="T461" s="139" t="e" cm="1">
        <f t="array" aca="1" ref="T461" ca="1">_xlfn.XLOOKUP(Contrato5[[#This Row],[CONTRATO]]&amp;Contrato5[[#This Row],[CDP]],[2]!Corr_Contr_CDP[[#All],[CONTRATO-CDP]],[2]!Corr_Contr_CDP[[#All],[CRP]],_xlfn.XLOOKUP(Contrato5[[#This Row],[CDP]],[2]!COMPROMISOS_2024[[#All],[disponibilidad]],[2]!COMPROMISOS_2024[[#All],[consecutivo]],"",0),0)</f>
        <v>#NAME?</v>
      </c>
      <c r="U461" s="140" t="e" cm="1">
        <f t="array" aca="1" ref="U461" ca="1">+_xlfn.XLOOKUP(Contrato5[[#This Row],[RCP]],[2]!COMPROMISOS_2024[[#All],[consecutivo]],[2]!COMPROMISOS_2024[[#All],[fecha_aprobacion]],"",0)</f>
        <v>#NAME?</v>
      </c>
      <c r="V461" s="141" t="e">
        <f ca="1">SUMIF([2]!COMPROMISOS_2024[[#All],[consecutivo]],Contrato5[[#This Row],[RCP]],[2]!COMPROMISOS_2024[[#All],[valor_total]])</f>
        <v>#REF!</v>
      </c>
      <c r="W461" s="422">
        <v>45624</v>
      </c>
      <c r="X461" s="422">
        <v>45635</v>
      </c>
      <c r="Y461" s="143" t="e">
        <f ca="1">+LEFT(_xlfn.XLOOKUP(Contrato5[[#This Row],[CONTRATO3DIG]],[2]SECOP_II!AE:AE,[2]SECOP_II!F:F,"",0),10)</f>
        <v>#NAME?</v>
      </c>
      <c r="Z461" s="262" t="e">
        <f ca="1">+LEFT(_xlfn.XLOOKUP(Contrato5[[#This Row],[CONTRATO3DIG]],[2]SECOP_II!AE:AE,[2]SECOP_II!G:G,"",0),10)</f>
        <v>#NAME?</v>
      </c>
      <c r="AA461" s="203"/>
      <c r="AB461" s="172" t="s">
        <v>42</v>
      </c>
      <c r="AC461" s="127"/>
      <c r="AD461" s="211"/>
      <c r="AE461" s="147"/>
      <c r="AF461" s="148" t="str">
        <f>TEXT(LEFT(Contrato5[[#This Row],[CONTRATO]],3),"0")</f>
        <v>358</v>
      </c>
      <c r="AG461" s="148" t="str">
        <f>IF(LEN(Contrato5[[#This Row],[Contrato2]])=3,Contrato5[[#This Row],[Contrato2]],TEXT(Contrato5[[#This Row],[Contrato2]],"000"))</f>
        <v>358</v>
      </c>
      <c r="AH461" s="149" t="str">
        <f ca="1">IFERROR(_xlfn.DAYS(Contrato5[[#This Row],[Fecha Proyectada liquidación]],TODAY())/30,"")</f>
        <v/>
      </c>
      <c r="AI461" s="150" t="e">
        <f ca="1">+Contrato5[[#This Row],[FECHA TERMINACIÓN ]]+120</f>
        <v>#NAME?</v>
      </c>
      <c r="AJ461" s="147"/>
      <c r="AK461" s="152" t="e">
        <f ca="1">IF(Contrato5[[#This Row],[FECHA TERMINACIÓN ]]&lt;TODAY(), "Terminado",IF(ISNUMBER(Contrato5[[#This Row],[Fecha Real de liquiidación ]]),"Liquidado",IF(Contrato5[[#This Row],[FECHA TERMINACIÓN ]]&gt;=TODAY(),"En ejecución","")))</f>
        <v>#NAME?</v>
      </c>
      <c r="AL461" s="153" t="e">
        <f ca="1">SUMIF([2]!COMPROMISOS_2024[[#All],[consecutivo]],Contrato5[[#This Row],[RCP]],[2]!COMPROMISOS_2024[[#All],[Total pagado]])</f>
        <v>#REF!</v>
      </c>
      <c r="AM461" s="154">
        <f ca="1">IFERROR(Contrato5[[#This Row],[Pagos]]/Contrato5[[#This Row],[VALOR CONTRATO]],0)</f>
        <v>0</v>
      </c>
      <c r="AN461" s="198" t="e">
        <f ca="1">+Contrato5[[#This Row],[VALOR CONTRATO]]-Contrato5[[#This Row],[Pagos]]</f>
        <v>#REF!</v>
      </c>
      <c r="AO461" s="147" t="e" cm="1">
        <f t="array" aca="1" ref="AO461" ca="1">_xlfn.XLOOKUP(Contrato5[[#This Row],[DOCUMENTO ]],[2]!PERSONAL_ACTIVO_2024[[#All],[Documento identidad]],[2]!PERSONAL_ACTIVO_2024[[#All],[Mail ]],0,0)</f>
        <v>#NAME?</v>
      </c>
      <c r="AP461" s="147" t="e" cm="1">
        <f t="array" aca="1" ref="AP461" ca="1">_xlfn.XLOOKUP(Contrato5[[#This Row],[DOCUMENTO]],[2]!PERSONAL_ACTIVO_2024[[#All],[Documento identidad]],[2]!PERSONAL_ACTIVO_2024[[#All],[Mail ]],0,0)</f>
        <v>#NAME?</v>
      </c>
      <c r="AQ461" s="439" cm="1">
        <f t="array" aca="1" ref="AQ461" ca="1">IF(ISBLANK(Contrato5[[#This Row],[DEPENDENCIA ]]),0,IFERROR(_xlfn.XLOOKUP(Contrato5[[#This Row],[DEPENDENCIA ]],[2]!PERSONAL_ACTIVO_2024[[#All],[Dependencia]],[2]!PERSONAL_ACTIVO_2024[[#All],[Mail ]],0,0),0))</f>
        <v>0</v>
      </c>
    </row>
    <row r="462" spans="1:43" ht="34.5" customHeight="1">
      <c r="A462" s="125" t="s">
        <v>886</v>
      </c>
      <c r="B462" s="124">
        <v>359</v>
      </c>
      <c r="C462" s="162" t="s">
        <v>887</v>
      </c>
      <c r="D462" s="128" t="s">
        <v>42</v>
      </c>
      <c r="E462" s="128" t="s">
        <v>42</v>
      </c>
      <c r="F462" s="227" t="s">
        <v>222</v>
      </c>
      <c r="G462" s="190">
        <v>0</v>
      </c>
      <c r="H462" s="447">
        <v>0</v>
      </c>
      <c r="I462" s="455">
        <v>0</v>
      </c>
      <c r="J462" s="456">
        <v>0</v>
      </c>
      <c r="K462" s="131" t="s">
        <v>2622</v>
      </c>
      <c r="L462" s="438">
        <v>0</v>
      </c>
      <c r="M462" s="194"/>
      <c r="N462" s="177" t="e" cm="1">
        <f t="array" aca="1" ref="N462" ca="1">_xlfn.XLOOKUP(Contrato5[[#This Row],[SUPERVISOR TITULAR]],[2]!PERSONAL_ACTIVO_2024[[#All],[Nombre completo]],[2]!PERSONAL_ACTIVO_2024[[#All],[Documento identidad]],"",0)</f>
        <v>#NAME?</v>
      </c>
      <c r="O462" s="194"/>
      <c r="P462" s="196" t="e" cm="1">
        <f t="array" aca="1" ref="P462" ca="1">_xlfn.XLOOKUP(Contrato5[[#This Row],[SUPERVISOR SUPLENTE ]],[2]!PERSONAL_ACTIVO_2024[[#All],[Nombre completo]],[2]!PERSONAL_ACTIVO_2024[[#All],[Documento identidad]],"",0)</f>
        <v>#NAME?</v>
      </c>
      <c r="Q462" s="191">
        <v>0</v>
      </c>
      <c r="R462" s="137" t="e" cm="1">
        <f t="array" aca="1" ref="R462" ca="1">_xlfn.XLOOKUP(Contrato5[[#This Row],[CDP]],[2]!DISPONIBILIDADES_2024[[#All],[consecutivo]],[2]!DISPONIBILIDADES_2024[[#All],[fecha_aprobacion]],"",0)</f>
        <v>#NAME?</v>
      </c>
      <c r="S462" s="138" t="e">
        <f>SUMIF([2]!DISPONIBILIDADES_2024[[#All],[consecutivo]],Contrato5[[#This Row],[CDP]],[2]!DISPONIBILIDADES_2024[[#All],[valor_total_rubro]])</f>
        <v>#REF!</v>
      </c>
      <c r="T462" s="139" t="e" cm="1">
        <f t="array" aca="1" ref="T462" ca="1">_xlfn.XLOOKUP(Contrato5[[#This Row],[CONTRATO]]&amp;Contrato5[[#This Row],[CDP]],[2]!Corr_Contr_CDP[[#All],[CONTRATO-CDP]],[2]!Corr_Contr_CDP[[#All],[CRP]],_xlfn.XLOOKUP(Contrato5[[#This Row],[CDP]],[2]!COMPROMISOS_2024[[#All],[disponibilidad]],[2]!COMPROMISOS_2024[[#All],[consecutivo]],"",0),0)</f>
        <v>#NAME?</v>
      </c>
      <c r="U462" s="140" t="e" cm="1">
        <f t="array" aca="1" ref="U462" ca="1">+_xlfn.XLOOKUP(Contrato5[[#This Row],[RCP]],[2]!COMPROMISOS_2024[[#All],[consecutivo]],[2]!COMPROMISOS_2024[[#All],[fecha_aprobacion]],"",0)</f>
        <v>#NAME?</v>
      </c>
      <c r="V462" s="141" t="e">
        <f ca="1">SUMIF([2]!COMPROMISOS_2024[[#All],[consecutivo]],Contrato5[[#This Row],[RCP]],[2]!COMPROMISOS_2024[[#All],[valor_total]])</f>
        <v>#REF!</v>
      </c>
      <c r="W462" s="415" t="s">
        <v>2563</v>
      </c>
      <c r="X462" s="415" t="s">
        <v>2563</v>
      </c>
      <c r="Y462" s="143" t="e">
        <f ca="1">+LEFT(_xlfn.XLOOKUP(Contrato5[[#This Row],[CONTRATO3DIG]],[2]SECOP_II!AE:AE,[2]SECOP_II!F:F,"",0),10)</f>
        <v>#NAME?</v>
      </c>
      <c r="Z462" s="262"/>
      <c r="AA462" s="183"/>
      <c r="AB462" s="191">
        <v>0</v>
      </c>
      <c r="AC462" s="172"/>
      <c r="AD462" s="211"/>
      <c r="AE462" s="147"/>
      <c r="AF462" s="148" t="str">
        <f>TEXT(LEFT(Contrato5[[#This Row],[CONTRATO]],3),"0")</f>
        <v>359</v>
      </c>
      <c r="AG462" s="148" t="str">
        <f>IF(LEN(Contrato5[[#This Row],[Contrato2]])=3,Contrato5[[#This Row],[Contrato2]],TEXT(Contrato5[[#This Row],[Contrato2]],"000"))</f>
        <v>359</v>
      </c>
      <c r="AH462" s="149">
        <f ca="1">IFERROR(_xlfn.DAYS(Contrato5[[#This Row],[Fecha Proyectada liquidación]],TODAY())/30,"")</f>
        <v>-1521.2666666666667</v>
      </c>
      <c r="AI462" s="150">
        <f>+Contrato5[[#This Row],[FECHA TERMINACIÓN ]]+120</f>
        <v>120</v>
      </c>
      <c r="AJ462" s="147"/>
      <c r="AK462" s="152" t="str">
        <f ca="1">IF(Contrato5[[#This Row],[FECHA TERMINACIÓN ]]&lt;TODAY(), "Terminado",IF(ISNUMBER(Contrato5[[#This Row],[Fecha Real de liquiidación ]]),"Liquidado",IF(Contrato5[[#This Row],[FECHA TERMINACIÓN ]]&gt;=TODAY(),"En ejecución","")))</f>
        <v>Terminado</v>
      </c>
      <c r="AL462" s="153" t="e">
        <f ca="1">SUMIF([2]!COMPROMISOS_2024[[#All],[consecutivo]],Contrato5[[#This Row],[RCP]],[2]!COMPROMISOS_2024[[#All],[Total pagado]])</f>
        <v>#REF!</v>
      </c>
      <c r="AM462" s="154">
        <f ca="1">IFERROR(Contrato5[[#This Row],[Pagos]]/Contrato5[[#This Row],[VALOR CONTRATO]],0)</f>
        <v>0</v>
      </c>
      <c r="AN462" s="198" t="e">
        <f ca="1">+Contrato5[[#This Row],[VALOR CONTRATO]]-Contrato5[[#This Row],[Pagos]]</f>
        <v>#REF!</v>
      </c>
      <c r="AO462" s="147" t="e" cm="1">
        <f t="array" aca="1" ref="AO462" ca="1">_xlfn.XLOOKUP(Contrato5[[#This Row],[DOCUMENTO ]],[2]!PERSONAL_ACTIVO_2024[[#All],[Documento identidad]],[2]!PERSONAL_ACTIVO_2024[[#All],[Mail ]],0,0)</f>
        <v>#NAME?</v>
      </c>
      <c r="AP462" s="147" t="e" cm="1">
        <f t="array" aca="1" ref="AP462" ca="1">_xlfn.XLOOKUP(Contrato5[[#This Row],[DOCUMENTO]],[2]!PERSONAL_ACTIVO_2024[[#All],[Documento identidad]],[2]!PERSONAL_ACTIVO_2024[[#All],[Mail ]],0,0)</f>
        <v>#NAME?</v>
      </c>
      <c r="AQ462" s="439" cm="1">
        <f t="array" aca="1" ref="AQ462" ca="1">IF(ISBLANK(Contrato5[[#This Row],[DEPENDENCIA ]]),0,IFERROR(_xlfn.XLOOKUP(Contrato5[[#This Row],[DEPENDENCIA ]],[2]!PERSONAL_ACTIVO_2024[[#All],[Dependencia]],[2]!PERSONAL_ACTIVO_2024[[#All],[Mail ]],0,0),0))</f>
        <v>0</v>
      </c>
    </row>
    <row r="463" spans="1:43" ht="34.5" customHeight="1">
      <c r="A463" s="125">
        <v>98</v>
      </c>
      <c r="B463" s="124">
        <v>360</v>
      </c>
      <c r="C463" s="162" t="s">
        <v>1511</v>
      </c>
      <c r="D463" s="227" t="s">
        <v>583</v>
      </c>
      <c r="E463" s="440" t="s">
        <v>94</v>
      </c>
      <c r="F463" s="227" t="s">
        <v>222</v>
      </c>
      <c r="G463" s="281" t="s">
        <v>1215</v>
      </c>
      <c r="H463" s="436">
        <v>811013033</v>
      </c>
      <c r="I463" s="273" t="s">
        <v>42</v>
      </c>
      <c r="J463" s="505">
        <v>100000000</v>
      </c>
      <c r="K463" s="131" t="s">
        <v>42</v>
      </c>
      <c r="L463" s="438" t="s">
        <v>877</v>
      </c>
      <c r="M463" s="194" t="s">
        <v>589</v>
      </c>
      <c r="N463" s="177" t="e" cm="1">
        <f t="array" aca="1" ref="N463" ca="1">_xlfn.XLOOKUP(Contrato5[[#This Row],[SUPERVISOR TITULAR]],[2]!PERSONAL_ACTIVO_2024[[#All],[Nombre completo]],[2]!PERSONAL_ACTIVO_2024[[#All],[Documento identidad]],"",0)</f>
        <v>#NAME?</v>
      </c>
      <c r="O463" s="194" t="s">
        <v>586</v>
      </c>
      <c r="P463" s="196" t="e" cm="1">
        <f t="array" aca="1" ref="P463" ca="1">_xlfn.XLOOKUP(Contrato5[[#This Row],[SUPERVISOR SUPLENTE ]],[2]!PERSONAL_ACTIVO_2024[[#All],[Nombre completo]],[2]!PERSONAL_ACTIVO_2024[[#All],[Documento identidad]],"",0)</f>
        <v>#NAME?</v>
      </c>
      <c r="Q463" s="170">
        <v>497</v>
      </c>
      <c r="R463" s="137" t="e" cm="1">
        <f t="array" aca="1" ref="R463" ca="1">_xlfn.XLOOKUP(Contrato5[[#This Row],[CDP]],[2]!DISPONIBILIDADES_2024[[#All],[consecutivo]],[2]!DISPONIBILIDADES_2024[[#All],[fecha_aprobacion]],"",0)</f>
        <v>#NAME?</v>
      </c>
      <c r="S463" s="138" t="e">
        <f>SUMIF([2]!DISPONIBILIDADES_2024[[#All],[consecutivo]],Contrato5[[#This Row],[CDP]],[2]!DISPONIBILIDADES_2024[[#All],[valor_total_rubro]])</f>
        <v>#REF!</v>
      </c>
      <c r="T463" s="139" t="e" cm="1">
        <f t="array" aca="1" ref="T463" ca="1">_xlfn.XLOOKUP(Contrato5[[#This Row],[CONTRATO]]&amp;Contrato5[[#This Row],[CDP]],[2]!Corr_Contr_CDP[[#All],[CONTRATO-CDP]],[2]!Corr_Contr_CDP[[#All],[CRP]],_xlfn.XLOOKUP(Contrato5[[#This Row],[CDP]],[2]!COMPROMISOS_2024[[#All],[disponibilidad]],[2]!COMPROMISOS_2024[[#All],[consecutivo]],"",0),0)</f>
        <v>#NAME?</v>
      </c>
      <c r="U463" s="140" t="e" cm="1">
        <f t="array" aca="1" ref="U463" ca="1">+_xlfn.XLOOKUP(Contrato5[[#This Row],[RCP]],[2]!COMPROMISOS_2024[[#All],[consecutivo]],[2]!COMPROMISOS_2024[[#All],[fecha_aprobacion]],"",0)</f>
        <v>#NAME?</v>
      </c>
      <c r="V463" s="141" t="e">
        <f ca="1">SUMIF([2]!COMPROMISOS_2024[[#All],[consecutivo]],Contrato5[[#This Row],[RCP]],[2]!COMPROMISOS_2024[[#All],[valor_total]])</f>
        <v>#REF!</v>
      </c>
      <c r="W463" s="415">
        <v>45442</v>
      </c>
      <c r="X463" s="415">
        <v>45442</v>
      </c>
      <c r="Y463" s="143">
        <v>45442</v>
      </c>
      <c r="Z463" s="262">
        <v>45656</v>
      </c>
      <c r="AA463" s="171" t="s">
        <v>1216</v>
      </c>
      <c r="AB463" s="172" t="s">
        <v>1189</v>
      </c>
      <c r="AC463" s="172"/>
      <c r="AD463" s="211">
        <v>202000004367</v>
      </c>
      <c r="AE463" s="147" t="s">
        <v>523</v>
      </c>
      <c r="AF463" s="148" t="str">
        <f>TEXT(LEFT(Contrato5[[#This Row],[CONTRATO]],3),"0")</f>
        <v>360</v>
      </c>
      <c r="AG463" s="148" t="str">
        <f>IF(LEN(Contrato5[[#This Row],[Contrato2]])=3,Contrato5[[#This Row],[Contrato2]],TEXT(Contrato5[[#This Row],[Contrato2]],"000"))</f>
        <v>360</v>
      </c>
      <c r="AH463" s="149">
        <f ca="1">IFERROR(_xlfn.DAYS(Contrato5[[#This Row],[Fecha Proyectada liquidación]],TODAY())/30,"")</f>
        <v>0.6</v>
      </c>
      <c r="AI463" s="150">
        <f>+Contrato5[[#This Row],[FECHA TERMINACIÓN ]]+120</f>
        <v>45776</v>
      </c>
      <c r="AJ463" s="147"/>
      <c r="AK463" s="152" t="str">
        <f ca="1">IF(Contrato5[[#This Row],[FECHA TERMINACIÓN ]]&lt;TODAY(), "Terminado",IF(ISNUMBER(Contrato5[[#This Row],[Fecha Real de liquiidación ]]),"Liquidado",IF(Contrato5[[#This Row],[FECHA TERMINACIÓN ]]&gt;=TODAY(),"En ejecución","")))</f>
        <v>Terminado</v>
      </c>
      <c r="AL463" s="153" t="e">
        <f ca="1">SUMIF([2]!COMPROMISOS_2024[[#All],[consecutivo]],Contrato5[[#This Row],[RCP]],[2]!COMPROMISOS_2024[[#All],[Total pagado]])</f>
        <v>#REF!</v>
      </c>
      <c r="AM463" s="154">
        <f ca="1">IFERROR(Contrato5[[#This Row],[Pagos]]/Contrato5[[#This Row],[VALOR CONTRATO]],0)</f>
        <v>0</v>
      </c>
      <c r="AN463" s="198" t="e">
        <f ca="1">+Contrato5[[#This Row],[VALOR CONTRATO]]-Contrato5[[#This Row],[Pagos]]</f>
        <v>#REF!</v>
      </c>
      <c r="AO463" s="147" t="e" cm="1">
        <f t="array" aca="1" ref="AO463" ca="1">_xlfn.XLOOKUP(Contrato5[[#This Row],[DOCUMENTO ]],[2]!PERSONAL_ACTIVO_2024[[#All],[Documento identidad]],[2]!PERSONAL_ACTIVO_2024[[#All],[Mail ]],0,0)</f>
        <v>#NAME?</v>
      </c>
      <c r="AP463" s="147" t="e" cm="1">
        <f t="array" aca="1" ref="AP463" ca="1">_xlfn.XLOOKUP(Contrato5[[#This Row],[DOCUMENTO]],[2]!PERSONAL_ACTIVO_2024[[#All],[Documento identidad]],[2]!PERSONAL_ACTIVO_2024[[#All],[Mail ]],0,0)</f>
        <v>#NAME?</v>
      </c>
      <c r="AQ463" s="439" cm="1">
        <f t="array" aca="1" ref="AQ463" ca="1">IF(ISBLANK(Contrato5[[#This Row],[DEPENDENCIA ]]),0,IFERROR(_xlfn.XLOOKUP(Contrato5[[#This Row],[DEPENDENCIA ]],[2]!PERSONAL_ACTIVO_2024[[#All],[Dependencia]],[2]!PERSONAL_ACTIVO_2024[[#All],[Mail ]],0,0),0))</f>
        <v>0</v>
      </c>
    </row>
    <row r="464" spans="1:43" ht="34.5" customHeight="1">
      <c r="A464" s="492">
        <v>1247</v>
      </c>
      <c r="B464" s="499">
        <v>360</v>
      </c>
      <c r="C464" s="494" t="s">
        <v>2623</v>
      </c>
      <c r="D464" s="495" t="s">
        <v>583</v>
      </c>
      <c r="E464" s="510" t="s">
        <v>78</v>
      </c>
      <c r="F464" s="495" t="s">
        <v>222</v>
      </c>
      <c r="G464" s="281" t="s">
        <v>1215</v>
      </c>
      <c r="H464" s="436">
        <v>811013033</v>
      </c>
      <c r="I464" s="308" t="s">
        <v>42</v>
      </c>
      <c r="J464" s="188">
        <v>50000000</v>
      </c>
      <c r="K464" s="131"/>
      <c r="L464" s="166" t="s">
        <v>2605</v>
      </c>
      <c r="M464" s="194"/>
      <c r="N464" s="195" t="e" cm="1">
        <f t="array" aca="1" ref="N464" ca="1">_xlfn.XLOOKUP(Contrato5[[#This Row],[SUPERVISOR TITULAR]],[2]!PERSONAL_ACTIVO_2024[[#All],[Nombre completo]],[2]!PERSONAL_ACTIVO_2024[[#All],[Documento identidad]],"",0)</f>
        <v>#NAME?</v>
      </c>
      <c r="O464" s="194"/>
      <c r="P464" s="135" t="e" cm="1">
        <f t="array" aca="1" ref="P464" ca="1">_xlfn.XLOOKUP(Contrato5[[#This Row],[SUPERVISOR SUPLENTE ]],[2]!PERSONAL_ACTIVO_2024[[#All],[Nombre completo]],[2]!PERSONAL_ACTIVO_2024[[#All],[Documento identidad]],"",0)</f>
        <v>#NAME?</v>
      </c>
      <c r="Q464" s="170">
        <v>1075</v>
      </c>
      <c r="R464" s="137" t="e" cm="1">
        <f t="array" aca="1" ref="R464" ca="1">_xlfn.XLOOKUP(Contrato5[[#This Row],[CDP]],[2]!DISPONIBILIDADES_2024[[#All],[consecutivo]],[2]!DISPONIBILIDADES_2024[[#All],[fecha_aprobacion]],"",0)</f>
        <v>#NAME?</v>
      </c>
      <c r="S464" s="138" t="e">
        <f>SUMIF([2]!DISPONIBILIDADES_2024[[#All],[consecutivo]],Contrato5[[#This Row],[CDP]],[2]!DISPONIBILIDADES_2024[[#All],[valor_total_rubro]])</f>
        <v>#REF!</v>
      </c>
      <c r="T464" s="139" t="e" cm="1">
        <f t="array" aca="1" ref="T464" ca="1">_xlfn.XLOOKUP(Contrato5[[#This Row],[CONTRATO]]&amp;Contrato5[[#This Row],[CDP]],[2]!Corr_Contr_CDP[[#All],[CONTRATO-CDP]],[2]!Corr_Contr_CDP[[#All],[CRP]],_xlfn.XLOOKUP(Contrato5[[#This Row],[CDP]],[2]!COMPROMISOS_2024[[#All],[disponibilidad]],[2]!COMPROMISOS_2024[[#All],[consecutivo]],"",0),0)</f>
        <v>#NAME?</v>
      </c>
      <c r="U464" s="140" t="e" cm="1">
        <f t="array" aca="1" ref="U464" ca="1">+_xlfn.XLOOKUP(Contrato5[[#This Row],[RCP]],[2]!COMPROMISOS_2024[[#All],[consecutivo]],[2]!COMPROMISOS_2024[[#All],[fecha_aprobacion]],"",0)</f>
        <v>#NAME?</v>
      </c>
      <c r="V464" s="141" t="e">
        <f ca="1">SUMIF([2]!COMPROMISOS_2024[[#All],[consecutivo]],Contrato5[[#This Row],[RCP]],[2]!COMPROMISOS_2024[[#All],[valor_total]])</f>
        <v>#REF!</v>
      </c>
      <c r="W464" s="422"/>
      <c r="X464" s="415"/>
      <c r="Y464" s="143">
        <v>45442</v>
      </c>
      <c r="Z464" s="262">
        <v>45656</v>
      </c>
      <c r="AA464" s="203"/>
      <c r="AB464" s="172" t="s">
        <v>42</v>
      </c>
      <c r="AC464" s="127"/>
      <c r="AD464" s="211"/>
      <c r="AE464" s="147"/>
      <c r="AF464" s="148" t="str">
        <f>TEXT(LEFT(Contrato5[[#This Row],[CONTRATO]],3),"0")</f>
        <v>360</v>
      </c>
      <c r="AG464" s="148" t="str">
        <f>IF(LEN(Contrato5[[#This Row],[Contrato2]])=3,Contrato5[[#This Row],[Contrato2]],TEXT(Contrato5[[#This Row],[Contrato2]],"000"))</f>
        <v>360</v>
      </c>
      <c r="AH464" s="149">
        <f ca="1">IFERROR(_xlfn.DAYS(Contrato5[[#This Row],[Fecha Proyectada liquidación]],TODAY())/30,"")</f>
        <v>0.6</v>
      </c>
      <c r="AI464" s="150">
        <f>+Contrato5[[#This Row],[FECHA TERMINACIÓN ]]+120</f>
        <v>45776</v>
      </c>
      <c r="AJ464" s="147"/>
      <c r="AK464" s="152" t="str">
        <f ca="1">IF(Contrato5[[#This Row],[FECHA TERMINACIÓN ]]&lt;TODAY(), "Terminado",IF(ISNUMBER(Contrato5[[#This Row],[Fecha Real de liquiidación ]]),"Liquidado",IF(Contrato5[[#This Row],[FECHA TERMINACIÓN ]]&gt;=TODAY(),"En ejecución","")))</f>
        <v>Terminado</v>
      </c>
      <c r="AL464" s="153" t="e">
        <f ca="1">SUMIF([2]!COMPROMISOS_2024[[#All],[consecutivo]],Contrato5[[#This Row],[RCP]],[2]!COMPROMISOS_2024[[#All],[Total pagado]])</f>
        <v>#REF!</v>
      </c>
      <c r="AM464" s="154">
        <f ca="1">IFERROR(Contrato5[[#This Row],[Pagos]]/Contrato5[[#This Row],[VALOR CONTRATO]],0)</f>
        <v>0</v>
      </c>
      <c r="AN464" s="198" t="e">
        <f ca="1">+Contrato5[[#This Row],[VALOR CONTRATO]]-Contrato5[[#This Row],[Pagos]]</f>
        <v>#REF!</v>
      </c>
      <c r="AO464" s="147" t="e" cm="1">
        <f t="array" aca="1" ref="AO464" ca="1">_xlfn.XLOOKUP(Contrato5[[#This Row],[DOCUMENTO ]],[2]!PERSONAL_ACTIVO_2024[[#All],[Documento identidad]],[2]!PERSONAL_ACTIVO_2024[[#All],[Mail ]],0,0)</f>
        <v>#NAME?</v>
      </c>
      <c r="AP464" s="147" t="e" cm="1">
        <f t="array" aca="1" ref="AP464" ca="1">_xlfn.XLOOKUP(Contrato5[[#This Row],[DOCUMENTO]],[2]!PERSONAL_ACTIVO_2024[[#All],[Documento identidad]],[2]!PERSONAL_ACTIVO_2024[[#All],[Mail ]],0,0)</f>
        <v>#NAME?</v>
      </c>
      <c r="AQ464" s="439" cm="1">
        <f t="array" aca="1" ref="AQ464" ca="1">IF(ISBLANK(Contrato5[[#This Row],[DEPENDENCIA ]]),0,IFERROR(_xlfn.XLOOKUP(Contrato5[[#This Row],[DEPENDENCIA ]],[2]!PERSONAL_ACTIVO_2024[[#All],[Dependencia]],[2]!PERSONAL_ACTIVO_2024[[#All],[Mail ]],0,0),0))</f>
        <v>0</v>
      </c>
    </row>
    <row r="465" spans="1:43" ht="34.5" customHeight="1">
      <c r="A465" s="125">
        <v>679</v>
      </c>
      <c r="B465" s="124">
        <v>361</v>
      </c>
      <c r="C465" s="162" t="s">
        <v>1217</v>
      </c>
      <c r="D465" s="227" t="s">
        <v>510</v>
      </c>
      <c r="E465" s="440" t="s">
        <v>94</v>
      </c>
      <c r="F465" s="227" t="s">
        <v>1376</v>
      </c>
      <c r="G465" s="281" t="s">
        <v>1218</v>
      </c>
      <c r="H465" s="436">
        <v>1040182805</v>
      </c>
      <c r="I465" s="309">
        <v>6879081</v>
      </c>
      <c r="J465" s="511">
        <v>48153567</v>
      </c>
      <c r="K465" s="131" t="s">
        <v>42</v>
      </c>
      <c r="L465" s="438" t="s">
        <v>877</v>
      </c>
      <c r="M465" s="194" t="s">
        <v>2624</v>
      </c>
      <c r="N465" s="177" t="e" cm="1">
        <f t="array" aca="1" ref="N465" ca="1">_xlfn.XLOOKUP(Contrato5[[#This Row],[SUPERVISOR TITULAR]],[2]!PERSONAL_ACTIVO_2024[[#All],[Nombre completo]],[2]!PERSONAL_ACTIVO_2024[[#All],[Documento identidad]],"",0)</f>
        <v>#NAME?</v>
      </c>
      <c r="O465" s="194" t="s">
        <v>597</v>
      </c>
      <c r="P465" s="196" t="e" cm="1">
        <f t="array" aca="1" ref="P465" ca="1">_xlfn.XLOOKUP(Contrato5[[#This Row],[SUPERVISOR SUPLENTE ]],[2]!PERSONAL_ACTIVO_2024[[#All],[Nombre completo]],[2]!PERSONAL_ACTIVO_2024[[#All],[Documento identidad]],"",0)</f>
        <v>#NAME?</v>
      </c>
      <c r="Q465" s="170">
        <v>466</v>
      </c>
      <c r="R465" s="137" t="e" cm="1">
        <f t="array" aca="1" ref="R465" ca="1">_xlfn.XLOOKUP(Contrato5[[#This Row],[CDP]],[2]!DISPONIBILIDADES_2024[[#All],[consecutivo]],[2]!DISPONIBILIDADES_2024[[#All],[fecha_aprobacion]],"",0)</f>
        <v>#NAME?</v>
      </c>
      <c r="S465" s="138" t="e">
        <f>SUMIF([2]!DISPONIBILIDADES_2024[[#All],[consecutivo]],Contrato5[[#This Row],[CDP]],[2]!DISPONIBILIDADES_2024[[#All],[valor_total_rubro]])</f>
        <v>#REF!</v>
      </c>
      <c r="T465" s="139" t="e" cm="1">
        <f t="array" aca="1" ref="T465" ca="1">_xlfn.XLOOKUP(Contrato5[[#This Row],[CONTRATO]]&amp;Contrato5[[#This Row],[CDP]],[2]!Corr_Contr_CDP[[#All],[CONTRATO-CDP]],[2]!Corr_Contr_CDP[[#All],[CRP]],_xlfn.XLOOKUP(Contrato5[[#This Row],[CDP]],[2]!COMPROMISOS_2024[[#All],[disponibilidad]],[2]!COMPROMISOS_2024[[#All],[consecutivo]],"",0),0)</f>
        <v>#NAME?</v>
      </c>
      <c r="U465" s="140" t="e" cm="1">
        <f t="array" aca="1" ref="U465" ca="1">+_xlfn.XLOOKUP(Contrato5[[#This Row],[RCP]],[2]!COMPROMISOS_2024[[#All],[consecutivo]],[2]!COMPROMISOS_2024[[#All],[fecha_aprobacion]],"",0)</f>
        <v>#NAME?</v>
      </c>
      <c r="V465" s="141" t="e">
        <f ca="1">SUMIF([2]!COMPROMISOS_2024[[#All],[consecutivo]],Contrato5[[#This Row],[RCP]],[2]!COMPROMISOS_2024[[#All],[valor_total]])</f>
        <v>#REF!</v>
      </c>
      <c r="W465" s="415">
        <v>45449</v>
      </c>
      <c r="X465" s="415" t="s">
        <v>1045</v>
      </c>
      <c r="Y465" s="143">
        <v>45450</v>
      </c>
      <c r="Z465" s="262">
        <v>45656</v>
      </c>
      <c r="AA465" s="171" t="s">
        <v>2625</v>
      </c>
      <c r="AB465" s="172" t="s">
        <v>618</v>
      </c>
      <c r="AC465" s="172"/>
      <c r="AD465" s="211">
        <v>202000004467</v>
      </c>
      <c r="AE465" s="147" t="s">
        <v>523</v>
      </c>
      <c r="AF465" s="148" t="str">
        <f>TEXT(LEFT(Contrato5[[#This Row],[CONTRATO]],3),"0")</f>
        <v>361</v>
      </c>
      <c r="AG465" s="148" t="str">
        <f>IF(LEN(Contrato5[[#This Row],[Contrato2]])=3,Contrato5[[#This Row],[Contrato2]],TEXT(Contrato5[[#This Row],[Contrato2]],"000"))</f>
        <v>361</v>
      </c>
      <c r="AH465" s="149">
        <f ca="1">IFERROR(_xlfn.DAYS(Contrato5[[#This Row],[Fecha Proyectada liquidación]],TODAY())/30,"")</f>
        <v>0.6</v>
      </c>
      <c r="AI465" s="150">
        <f>+Contrato5[[#This Row],[FECHA TERMINACIÓN ]]+120</f>
        <v>45776</v>
      </c>
      <c r="AJ465" s="147"/>
      <c r="AK465" s="152" t="str">
        <f ca="1">IF(Contrato5[[#This Row],[FECHA TERMINACIÓN ]]&lt;TODAY(), "Terminado",IF(ISNUMBER(Contrato5[[#This Row],[Fecha Real de liquiidación ]]),"Liquidado",IF(Contrato5[[#This Row],[FECHA TERMINACIÓN ]]&gt;=TODAY(),"En ejecución","")))</f>
        <v>Terminado</v>
      </c>
      <c r="AL465" s="153" t="e">
        <f ca="1">SUMIF([2]!COMPROMISOS_2024[[#All],[consecutivo]],Contrato5[[#This Row],[RCP]],[2]!COMPROMISOS_2024[[#All],[Total pagado]])</f>
        <v>#REF!</v>
      </c>
      <c r="AM465" s="154">
        <f ca="1">IFERROR(Contrato5[[#This Row],[Pagos]]/Contrato5[[#This Row],[VALOR CONTRATO]],0)</f>
        <v>0</v>
      </c>
      <c r="AN465" s="198" t="e">
        <f ca="1">+Contrato5[[#This Row],[VALOR CONTRATO]]-Contrato5[[#This Row],[Pagos]]</f>
        <v>#REF!</v>
      </c>
      <c r="AO465" s="147" t="e" cm="1">
        <f t="array" aca="1" ref="AO465" ca="1">_xlfn.XLOOKUP(Contrato5[[#This Row],[DOCUMENTO ]],[2]!PERSONAL_ACTIVO_2024[[#All],[Documento identidad]],[2]!PERSONAL_ACTIVO_2024[[#All],[Mail ]],0,0)</f>
        <v>#NAME?</v>
      </c>
      <c r="AP465" s="147" t="e" cm="1">
        <f t="array" aca="1" ref="AP465" ca="1">_xlfn.XLOOKUP(Contrato5[[#This Row],[DOCUMENTO]],[2]!PERSONAL_ACTIVO_2024[[#All],[Documento identidad]],[2]!PERSONAL_ACTIVO_2024[[#All],[Mail ]],0,0)</f>
        <v>#NAME?</v>
      </c>
      <c r="AQ465" s="439" cm="1">
        <f t="array" aca="1" ref="AQ465" ca="1">IF(ISBLANK(Contrato5[[#This Row],[DEPENDENCIA ]]),0,IFERROR(_xlfn.XLOOKUP(Contrato5[[#This Row],[DEPENDENCIA ]],[2]!PERSONAL_ACTIVO_2024[[#All],[Dependencia]],[2]!PERSONAL_ACTIVO_2024[[#All],[Mail ]],0,0),0))</f>
        <v>0</v>
      </c>
    </row>
    <row r="466" spans="1:43" ht="34.5" customHeight="1">
      <c r="A466" s="125">
        <v>516</v>
      </c>
      <c r="B466" s="124">
        <v>362</v>
      </c>
      <c r="C466" s="162" t="s">
        <v>1310</v>
      </c>
      <c r="D466" s="227" t="s">
        <v>493</v>
      </c>
      <c r="E466" s="440" t="s">
        <v>151</v>
      </c>
      <c r="F466" s="227" t="s">
        <v>494</v>
      </c>
      <c r="G466" s="281" t="s">
        <v>1219</v>
      </c>
      <c r="H466" s="436">
        <v>890904615</v>
      </c>
      <c r="I466" s="273" t="s">
        <v>42</v>
      </c>
      <c r="J466" s="505">
        <v>8725207</v>
      </c>
      <c r="K466" s="131" t="s">
        <v>42</v>
      </c>
      <c r="L466" s="438" t="s">
        <v>496</v>
      </c>
      <c r="M466" s="194" t="s">
        <v>497</v>
      </c>
      <c r="N466" s="177" t="e" cm="1">
        <f t="array" aca="1" ref="N466" ca="1">_xlfn.XLOOKUP(Contrato5[[#This Row],[SUPERVISOR TITULAR]],[2]!PERSONAL_ACTIVO_2024[[#All],[Nombre completo]],[2]!PERSONAL_ACTIVO_2024[[#All],[Documento identidad]],"",0)</f>
        <v>#NAME?</v>
      </c>
      <c r="O466" s="194" t="s">
        <v>498</v>
      </c>
      <c r="P466" s="196" t="e" cm="1">
        <f t="array" aca="1" ref="P466" ca="1">_xlfn.XLOOKUP(Contrato5[[#This Row],[SUPERVISOR SUPLENTE ]],[2]!PERSONAL_ACTIVO_2024[[#All],[Nombre completo]],[2]!PERSONAL_ACTIVO_2024[[#All],[Documento identidad]],"",0)</f>
        <v>#NAME?</v>
      </c>
      <c r="Q466" s="170">
        <v>334</v>
      </c>
      <c r="R466" s="137" t="e" cm="1">
        <f t="array" aca="1" ref="R466" ca="1">_xlfn.XLOOKUP(Contrato5[[#This Row],[CDP]],[2]!DISPONIBILIDADES_2024[[#All],[consecutivo]],[2]!DISPONIBILIDADES_2024[[#All],[fecha_aprobacion]],"",0)</f>
        <v>#NAME?</v>
      </c>
      <c r="S466" s="138" t="e">
        <f>SUMIF([2]!DISPONIBILIDADES_2024[[#All],[consecutivo]],Contrato5[[#This Row],[CDP]],[2]!DISPONIBILIDADES_2024[[#All],[valor_total_rubro]])</f>
        <v>#REF!</v>
      </c>
      <c r="T466" s="139" t="e" cm="1">
        <f t="array" aca="1" ref="T466" ca="1">_xlfn.XLOOKUP(Contrato5[[#This Row],[CONTRATO]]&amp;Contrato5[[#This Row],[CDP]],[2]!Corr_Contr_CDP[[#All],[CONTRATO-CDP]],[2]!Corr_Contr_CDP[[#All],[CRP]],_xlfn.XLOOKUP(Contrato5[[#This Row],[CDP]],[2]!COMPROMISOS_2024[[#All],[disponibilidad]],[2]!COMPROMISOS_2024[[#All],[consecutivo]],"",0),0)</f>
        <v>#NAME?</v>
      </c>
      <c r="U466" s="140" t="e" cm="1">
        <f t="array" aca="1" ref="U466" ca="1">+_xlfn.XLOOKUP(Contrato5[[#This Row],[RCP]],[2]!COMPROMISOS_2024[[#All],[consecutivo]],[2]!COMPROMISOS_2024[[#All],[fecha_aprobacion]],"",0)</f>
        <v>#NAME?</v>
      </c>
      <c r="V466" s="141" t="e">
        <f ca="1">SUMIF([2]!COMPROMISOS_2024[[#All],[consecutivo]],Contrato5[[#This Row],[RCP]],[2]!COMPROMISOS_2024[[#All],[valor_total]])</f>
        <v>#REF!</v>
      </c>
      <c r="W466" s="415">
        <v>45440</v>
      </c>
      <c r="X466" s="415">
        <v>45447</v>
      </c>
      <c r="Y466" s="143">
        <v>45450</v>
      </c>
      <c r="Z466" s="262">
        <v>45746</v>
      </c>
      <c r="AA466" s="171" t="s">
        <v>2626</v>
      </c>
      <c r="AB466" s="172" t="s">
        <v>1209</v>
      </c>
      <c r="AC466" s="172"/>
      <c r="AD466" s="211">
        <v>202000004470</v>
      </c>
      <c r="AE466" s="147" t="s">
        <v>523</v>
      </c>
      <c r="AF466" s="148" t="str">
        <f>TEXT(LEFT(Contrato5[[#This Row],[CONTRATO]],3),"0")</f>
        <v>362</v>
      </c>
      <c r="AG466" s="148" t="str">
        <f>IF(LEN(Contrato5[[#This Row],[Contrato2]])=3,Contrato5[[#This Row],[Contrato2]],TEXT(Contrato5[[#This Row],[Contrato2]],"000"))</f>
        <v>362</v>
      </c>
      <c r="AH466" s="149">
        <f ca="1">IFERROR(_xlfn.DAYS(Contrato5[[#This Row],[Fecha Proyectada liquidación]],TODAY())/30,"")</f>
        <v>3.6</v>
      </c>
      <c r="AI466" s="150">
        <f>+Contrato5[[#This Row],[FECHA TERMINACIÓN ]]+120</f>
        <v>45866</v>
      </c>
      <c r="AJ466" s="147"/>
      <c r="AK466" s="152" t="str">
        <f ca="1">IF(Contrato5[[#This Row],[FECHA TERMINACIÓN ]]&lt;TODAY(), "Terminado",IF(ISNUMBER(Contrato5[[#This Row],[Fecha Real de liquiidación ]]),"Liquidado",IF(Contrato5[[#This Row],[FECHA TERMINACIÓN ]]&gt;=TODAY(),"En ejecución","")))</f>
        <v>Terminado</v>
      </c>
      <c r="AL466" s="153" t="e">
        <f ca="1">SUMIF([2]!COMPROMISOS_2024[[#All],[consecutivo]],Contrato5[[#This Row],[RCP]],[2]!COMPROMISOS_2024[[#All],[Total pagado]])</f>
        <v>#REF!</v>
      </c>
      <c r="AM466" s="154">
        <f ca="1">IFERROR(Contrato5[[#This Row],[Pagos]]/Contrato5[[#This Row],[VALOR CONTRATO]],0)</f>
        <v>0</v>
      </c>
      <c r="AN466" s="198" t="e">
        <f ca="1">+Contrato5[[#This Row],[VALOR CONTRATO]]-Contrato5[[#This Row],[Pagos]]</f>
        <v>#REF!</v>
      </c>
      <c r="AO466" s="147" t="e" cm="1">
        <f t="array" aca="1" ref="AO466" ca="1">_xlfn.XLOOKUP(Contrato5[[#This Row],[DOCUMENTO ]],[2]!PERSONAL_ACTIVO_2024[[#All],[Documento identidad]],[2]!PERSONAL_ACTIVO_2024[[#All],[Mail ]],0,0)</f>
        <v>#NAME?</v>
      </c>
      <c r="AP466" s="147" t="e" cm="1">
        <f t="array" aca="1" ref="AP466" ca="1">_xlfn.XLOOKUP(Contrato5[[#This Row],[DOCUMENTO]],[2]!PERSONAL_ACTIVO_2024[[#All],[Documento identidad]],[2]!PERSONAL_ACTIVO_2024[[#All],[Mail ]],0,0)</f>
        <v>#NAME?</v>
      </c>
      <c r="AQ466" s="439" cm="1">
        <f t="array" aca="1" ref="AQ466" ca="1">IF(ISBLANK(Contrato5[[#This Row],[DEPENDENCIA ]]),0,IFERROR(_xlfn.XLOOKUP(Contrato5[[#This Row],[DEPENDENCIA ]],[2]!PERSONAL_ACTIVO_2024[[#All],[Dependencia]],[2]!PERSONAL_ACTIVO_2024[[#All],[Mail ]],0,0),0))</f>
        <v>0</v>
      </c>
    </row>
    <row r="467" spans="1:43" ht="34.5" customHeight="1">
      <c r="A467" s="125">
        <v>1038</v>
      </c>
      <c r="B467" s="124">
        <v>362</v>
      </c>
      <c r="C467" s="162" t="s">
        <v>1408</v>
      </c>
      <c r="D467" s="227" t="s">
        <v>493</v>
      </c>
      <c r="E467" s="440" t="s">
        <v>2148</v>
      </c>
      <c r="F467" s="227" t="s">
        <v>494</v>
      </c>
      <c r="G467" s="281" t="s">
        <v>1219</v>
      </c>
      <c r="H467" s="436">
        <v>890904615</v>
      </c>
      <c r="I467" s="273" t="s">
        <v>42</v>
      </c>
      <c r="J467" s="505">
        <v>4035618</v>
      </c>
      <c r="K467" s="131" t="s">
        <v>42</v>
      </c>
      <c r="L467" s="438" t="s">
        <v>2564</v>
      </c>
      <c r="M467" s="194" t="s">
        <v>497</v>
      </c>
      <c r="N467" s="177" t="e" cm="1">
        <f t="array" aca="1" ref="N467" ca="1">_xlfn.XLOOKUP(Contrato5[[#This Row],[SUPERVISOR TITULAR]],[2]!PERSONAL_ACTIVO_2024[[#All],[Nombre completo]],[2]!PERSONAL_ACTIVO_2024[[#All],[Documento identidad]],"",0)</f>
        <v>#NAME?</v>
      </c>
      <c r="O467" s="194" t="s">
        <v>498</v>
      </c>
      <c r="P467" s="196" t="e" cm="1">
        <f t="array" aca="1" ref="P467" ca="1">_xlfn.XLOOKUP(Contrato5[[#This Row],[SUPERVISOR SUPLENTE ]],[2]!PERSONAL_ACTIVO_2024[[#All],[Nombre completo]],[2]!PERSONAL_ACTIVO_2024[[#All],[Documento identidad]],"",0)</f>
        <v>#NAME?</v>
      </c>
      <c r="Q467" s="170">
        <v>973</v>
      </c>
      <c r="R467" s="137" t="e" cm="1">
        <f t="array" aca="1" ref="R467" ca="1">_xlfn.XLOOKUP(Contrato5[[#This Row],[CDP]],[2]!DISPONIBILIDADES_2024[[#All],[consecutivo]],[2]!DISPONIBILIDADES_2024[[#All],[fecha_aprobacion]],"",0)</f>
        <v>#NAME?</v>
      </c>
      <c r="S467" s="138" t="e">
        <f>SUMIF([2]!DISPONIBILIDADES_2024[[#All],[consecutivo]],Contrato5[[#This Row],[CDP]],[2]!DISPONIBILIDADES_2024[[#All],[valor_total_rubro]])</f>
        <v>#REF!</v>
      </c>
      <c r="T467" s="139" t="e" cm="1">
        <f t="array" aca="1" ref="T467" ca="1">_xlfn.XLOOKUP(Contrato5[[#This Row],[CONTRATO]]&amp;Contrato5[[#This Row],[CDP]],[2]!Corr_Contr_CDP[[#All],[CONTRATO-CDP]],[2]!Corr_Contr_CDP[[#All],[CRP]],_xlfn.XLOOKUP(Contrato5[[#This Row],[CDP]],[2]!COMPROMISOS_2024[[#All],[disponibilidad]],[2]!COMPROMISOS_2024[[#All],[consecutivo]],"",0),0)</f>
        <v>#NAME?</v>
      </c>
      <c r="U467" s="140" t="e" cm="1">
        <f t="array" aca="1" ref="U467" ca="1">+_xlfn.XLOOKUP(Contrato5[[#This Row],[RCP]],[2]!COMPROMISOS_2024[[#All],[consecutivo]],[2]!COMPROMISOS_2024[[#All],[fecha_aprobacion]],"",0)</f>
        <v>#NAME?</v>
      </c>
      <c r="V467" s="141" t="e">
        <f ca="1">SUMIF([2]!COMPROMISOS_2024[[#All],[consecutivo]],Contrato5[[#This Row],[RCP]],[2]!COMPROMISOS_2024[[#All],[valor_total]])</f>
        <v>#REF!</v>
      </c>
      <c r="W467" s="415">
        <v>45589</v>
      </c>
      <c r="X467" s="415">
        <v>45586</v>
      </c>
      <c r="Y467" s="143">
        <v>45450</v>
      </c>
      <c r="Z467" s="262">
        <v>45746</v>
      </c>
      <c r="AA467" s="171"/>
      <c r="AB467" s="172" t="s">
        <v>42</v>
      </c>
      <c r="AC467" s="172"/>
      <c r="AD467" s="211">
        <v>202000004470</v>
      </c>
      <c r="AE467" s="147" t="s">
        <v>523</v>
      </c>
      <c r="AF467" s="148" t="str">
        <f>TEXT(LEFT(Contrato5[[#This Row],[CONTRATO]],3),"0")</f>
        <v>362</v>
      </c>
      <c r="AG467" s="148" t="str">
        <f>IF(LEN(Contrato5[[#This Row],[Contrato2]])=3,Contrato5[[#This Row],[Contrato2]],TEXT(Contrato5[[#This Row],[Contrato2]],"000"))</f>
        <v>362</v>
      </c>
      <c r="AH467" s="149">
        <f ca="1">IFERROR(_xlfn.DAYS(Contrato5[[#This Row],[Fecha Proyectada liquidación]],TODAY())/30,"")</f>
        <v>3.6</v>
      </c>
      <c r="AI467" s="150">
        <f>+Contrato5[[#This Row],[FECHA TERMINACIÓN ]]+120</f>
        <v>45866</v>
      </c>
      <c r="AJ467" s="147"/>
      <c r="AK467" s="152" t="str">
        <f ca="1">IF(Contrato5[[#This Row],[FECHA TERMINACIÓN ]]&lt;TODAY(), "Terminado",IF(ISNUMBER(Contrato5[[#This Row],[Fecha Real de liquiidación ]]),"Liquidado",IF(Contrato5[[#This Row],[FECHA TERMINACIÓN ]]&gt;=TODAY(),"En ejecución","")))</f>
        <v>Terminado</v>
      </c>
      <c r="AL467" s="153" t="e">
        <f ca="1">SUMIF([2]!COMPROMISOS_2024[[#All],[consecutivo]],Contrato5[[#This Row],[RCP]],[2]!COMPROMISOS_2024[[#All],[Total pagado]])</f>
        <v>#REF!</v>
      </c>
      <c r="AM467" s="154">
        <f ca="1">IFERROR(Contrato5[[#This Row],[Pagos]]/Contrato5[[#This Row],[VALOR CONTRATO]],0)</f>
        <v>0</v>
      </c>
      <c r="AN467" s="198" t="e">
        <f ca="1">+Contrato5[[#This Row],[VALOR CONTRATO]]-Contrato5[[#This Row],[Pagos]]</f>
        <v>#REF!</v>
      </c>
      <c r="AO467" s="147" t="e" cm="1">
        <f t="array" aca="1" ref="AO467" ca="1">_xlfn.XLOOKUP(Contrato5[[#This Row],[DOCUMENTO ]],[2]!PERSONAL_ACTIVO_2024[[#All],[Documento identidad]],[2]!PERSONAL_ACTIVO_2024[[#All],[Mail ]],0,0)</f>
        <v>#NAME?</v>
      </c>
      <c r="AP467" s="147" t="e" cm="1">
        <f t="array" aca="1" ref="AP467" ca="1">_xlfn.XLOOKUP(Contrato5[[#This Row],[DOCUMENTO]],[2]!PERSONAL_ACTIVO_2024[[#All],[Documento identidad]],[2]!PERSONAL_ACTIVO_2024[[#All],[Mail ]],0,0)</f>
        <v>#NAME?</v>
      </c>
      <c r="AQ467" s="439" cm="1">
        <f t="array" aca="1" ref="AQ467" ca="1">IF(ISBLANK(Contrato5[[#This Row],[DEPENDENCIA ]]),0,IFERROR(_xlfn.XLOOKUP(Contrato5[[#This Row],[DEPENDENCIA ]],[2]!PERSONAL_ACTIVO_2024[[#All],[Dependencia]],[2]!PERSONAL_ACTIVO_2024[[#All],[Mail ]],0,0),0))</f>
        <v>0</v>
      </c>
    </row>
    <row r="468" spans="1:43" ht="34.5" customHeight="1">
      <c r="A468" s="125">
        <v>86</v>
      </c>
      <c r="B468" s="124">
        <v>363</v>
      </c>
      <c r="C468" s="162" t="s">
        <v>1508</v>
      </c>
      <c r="D468" s="227" t="s">
        <v>583</v>
      </c>
      <c r="E468" s="440" t="s">
        <v>94</v>
      </c>
      <c r="F468" s="227" t="s">
        <v>222</v>
      </c>
      <c r="G468" s="281" t="s">
        <v>1220</v>
      </c>
      <c r="H468" s="436">
        <v>890984432</v>
      </c>
      <c r="I468" s="273" t="s">
        <v>42</v>
      </c>
      <c r="J468" s="505">
        <v>80000000</v>
      </c>
      <c r="K468" s="131" t="s">
        <v>42</v>
      </c>
      <c r="L468" s="438" t="s">
        <v>877</v>
      </c>
      <c r="M468" s="194" t="s">
        <v>589</v>
      </c>
      <c r="N468" s="177" t="e" cm="1">
        <f t="array" aca="1" ref="N468" ca="1">_xlfn.XLOOKUP(Contrato5[[#This Row],[SUPERVISOR TITULAR]],[2]!PERSONAL_ACTIVO_2024[[#All],[Nombre completo]],[2]!PERSONAL_ACTIVO_2024[[#All],[Documento identidad]],"",0)</f>
        <v>#NAME?</v>
      </c>
      <c r="O468" s="194" t="s">
        <v>586</v>
      </c>
      <c r="P468" s="196" t="e" cm="1">
        <f t="array" aca="1" ref="P468" ca="1">_xlfn.XLOOKUP(Contrato5[[#This Row],[SUPERVISOR SUPLENTE ]],[2]!PERSONAL_ACTIVO_2024[[#All],[Nombre completo]],[2]!PERSONAL_ACTIVO_2024[[#All],[Documento identidad]],"",0)</f>
        <v>#NAME?</v>
      </c>
      <c r="Q468" s="170">
        <v>495</v>
      </c>
      <c r="R468" s="137" t="e" cm="1">
        <f t="array" aca="1" ref="R468" ca="1">_xlfn.XLOOKUP(Contrato5[[#This Row],[CDP]],[2]!DISPONIBILIDADES_2024[[#All],[consecutivo]],[2]!DISPONIBILIDADES_2024[[#All],[fecha_aprobacion]],"",0)</f>
        <v>#NAME?</v>
      </c>
      <c r="S468" s="138" t="e">
        <f>SUMIF([2]!DISPONIBILIDADES_2024[[#All],[consecutivo]],Contrato5[[#This Row],[CDP]],[2]!DISPONIBILIDADES_2024[[#All],[valor_total_rubro]])</f>
        <v>#REF!</v>
      </c>
      <c r="T468" s="139" t="e" cm="1">
        <f t="array" aca="1" ref="T468" ca="1">_xlfn.XLOOKUP(Contrato5[[#This Row],[CONTRATO]]&amp;Contrato5[[#This Row],[CDP]],[2]!Corr_Contr_CDP[[#All],[CONTRATO-CDP]],[2]!Corr_Contr_CDP[[#All],[CRP]],_xlfn.XLOOKUP(Contrato5[[#This Row],[CDP]],[2]!COMPROMISOS_2024[[#All],[disponibilidad]],[2]!COMPROMISOS_2024[[#All],[consecutivo]],"",0),0)</f>
        <v>#NAME?</v>
      </c>
      <c r="U468" s="140" t="e" cm="1">
        <f t="array" aca="1" ref="U468" ca="1">+_xlfn.XLOOKUP(Contrato5[[#This Row],[RCP]],[2]!COMPROMISOS_2024[[#All],[consecutivo]],[2]!COMPROMISOS_2024[[#All],[fecha_aprobacion]],"",0)</f>
        <v>#NAME?</v>
      </c>
      <c r="V468" s="141" t="e">
        <f ca="1">SUMIF([2]!COMPROMISOS_2024[[#All],[consecutivo]],Contrato5[[#This Row],[RCP]],[2]!COMPROMISOS_2024[[#All],[valor_total]])</f>
        <v>#REF!</v>
      </c>
      <c r="W468" s="415">
        <v>45442</v>
      </c>
      <c r="X468" s="415">
        <v>45442</v>
      </c>
      <c r="Y468" s="143">
        <v>45443</v>
      </c>
      <c r="Z468" s="262">
        <v>45656</v>
      </c>
      <c r="AA468" s="183" t="s">
        <v>1221</v>
      </c>
      <c r="AB468" s="172" t="s">
        <v>1189</v>
      </c>
      <c r="AC468" s="172"/>
      <c r="AD468" s="211">
        <v>202000004368</v>
      </c>
      <c r="AE468" s="147" t="s">
        <v>523</v>
      </c>
      <c r="AF468" s="148" t="str">
        <f>TEXT(LEFT(Contrato5[[#This Row],[CONTRATO]],3),"0")</f>
        <v>363</v>
      </c>
      <c r="AG468" s="148" t="str">
        <f>IF(LEN(Contrato5[[#This Row],[Contrato2]])=3,Contrato5[[#This Row],[Contrato2]],TEXT(Contrato5[[#This Row],[Contrato2]],"000"))</f>
        <v>363</v>
      </c>
      <c r="AH468" s="149">
        <f ca="1">IFERROR(_xlfn.DAYS(Contrato5[[#This Row],[Fecha Proyectada liquidación]],TODAY())/30,"")</f>
        <v>0.6</v>
      </c>
      <c r="AI468" s="150">
        <f>+Contrato5[[#This Row],[FECHA TERMINACIÓN ]]+120</f>
        <v>45776</v>
      </c>
      <c r="AJ468" s="147"/>
      <c r="AK468" s="152" t="str">
        <f ca="1">IF(Contrato5[[#This Row],[FECHA TERMINACIÓN ]]&lt;TODAY(), "Terminado",IF(ISNUMBER(Contrato5[[#This Row],[Fecha Real de liquiidación ]]),"Liquidado",IF(Contrato5[[#This Row],[FECHA TERMINACIÓN ]]&gt;=TODAY(),"En ejecución","")))</f>
        <v>Terminado</v>
      </c>
      <c r="AL468" s="153" t="e">
        <f ca="1">SUMIF([2]!COMPROMISOS_2024[[#All],[consecutivo]],Contrato5[[#This Row],[RCP]],[2]!COMPROMISOS_2024[[#All],[Total pagado]])</f>
        <v>#REF!</v>
      </c>
      <c r="AM468" s="154">
        <f ca="1">IFERROR(Contrato5[[#This Row],[Pagos]]/Contrato5[[#This Row],[VALOR CONTRATO]],0)</f>
        <v>0</v>
      </c>
      <c r="AN468" s="198" t="e">
        <f ca="1">+Contrato5[[#This Row],[VALOR CONTRATO]]-Contrato5[[#This Row],[Pagos]]</f>
        <v>#REF!</v>
      </c>
      <c r="AO468" s="147" t="e" cm="1">
        <f t="array" aca="1" ref="AO468" ca="1">_xlfn.XLOOKUP(Contrato5[[#This Row],[DOCUMENTO ]],[2]!PERSONAL_ACTIVO_2024[[#All],[Documento identidad]],[2]!PERSONAL_ACTIVO_2024[[#All],[Mail ]],0,0)</f>
        <v>#NAME?</v>
      </c>
      <c r="AP468" s="147" t="e" cm="1">
        <f t="array" aca="1" ref="AP468" ca="1">_xlfn.XLOOKUP(Contrato5[[#This Row],[DOCUMENTO]],[2]!PERSONAL_ACTIVO_2024[[#All],[Documento identidad]],[2]!PERSONAL_ACTIVO_2024[[#All],[Mail ]],0,0)</f>
        <v>#NAME?</v>
      </c>
      <c r="AQ468" s="439" cm="1">
        <f t="array" aca="1" ref="AQ468" ca="1">IF(ISBLANK(Contrato5[[#This Row],[DEPENDENCIA ]]),0,IFERROR(_xlfn.XLOOKUP(Contrato5[[#This Row],[DEPENDENCIA ]],[2]!PERSONAL_ACTIVO_2024[[#All],[Dependencia]],[2]!PERSONAL_ACTIVO_2024[[#All],[Mail ]],0,0),0))</f>
        <v>0</v>
      </c>
    </row>
    <row r="469" spans="1:43" ht="34.5" customHeight="1">
      <c r="A469" s="125">
        <v>1226</v>
      </c>
      <c r="B469" s="124">
        <v>363</v>
      </c>
      <c r="C469" s="162" t="s">
        <v>2094</v>
      </c>
      <c r="D469" s="227" t="s">
        <v>583</v>
      </c>
      <c r="E469" s="440" t="s">
        <v>2148</v>
      </c>
      <c r="F469" s="227" t="s">
        <v>222</v>
      </c>
      <c r="G469" s="281" t="s">
        <v>1220</v>
      </c>
      <c r="H469" s="436">
        <v>890984432</v>
      </c>
      <c r="I469" s="273" t="s">
        <v>42</v>
      </c>
      <c r="J469" s="505">
        <v>40000000</v>
      </c>
      <c r="K469" s="131"/>
      <c r="L469" s="438" t="s">
        <v>2578</v>
      </c>
      <c r="M469" s="194" t="s">
        <v>589</v>
      </c>
      <c r="N469" s="177" t="e" cm="1">
        <f t="array" aca="1" ref="N469" ca="1">_xlfn.XLOOKUP(Contrato5[[#This Row],[SUPERVISOR TITULAR]],[2]!PERSONAL_ACTIVO_2024[[#All],[Nombre completo]],[2]!PERSONAL_ACTIVO_2024[[#All],[Documento identidad]],"",0)</f>
        <v>#NAME?</v>
      </c>
      <c r="O469" s="194" t="s">
        <v>586</v>
      </c>
      <c r="P469" s="196" t="e" cm="1">
        <f t="array" aca="1" ref="P469" ca="1">_xlfn.XLOOKUP(Contrato5[[#This Row],[SUPERVISOR SUPLENTE ]],[2]!PERSONAL_ACTIVO_2024[[#All],[Nombre completo]],[2]!PERSONAL_ACTIVO_2024[[#All],[Documento identidad]],"",0)</f>
        <v>#NAME?</v>
      </c>
      <c r="Q469" s="170">
        <v>1043</v>
      </c>
      <c r="R469" s="137" t="e" cm="1">
        <f t="array" aca="1" ref="R469" ca="1">_xlfn.XLOOKUP(Contrato5[[#This Row],[CDP]],[2]!DISPONIBILIDADES_2024[[#All],[consecutivo]],[2]!DISPONIBILIDADES_2024[[#All],[fecha_aprobacion]],"",0)</f>
        <v>#NAME?</v>
      </c>
      <c r="S469" s="138" t="e">
        <f>SUMIF([2]!DISPONIBILIDADES_2024[[#All],[consecutivo]],Contrato5[[#This Row],[CDP]],[2]!DISPONIBILIDADES_2024[[#All],[valor_total_rubro]])</f>
        <v>#REF!</v>
      </c>
      <c r="T469" s="139" t="e" cm="1">
        <f t="array" aca="1" ref="T469" ca="1">_xlfn.XLOOKUP(Contrato5[[#This Row],[CONTRATO]]&amp;Contrato5[[#This Row],[CDP]],[2]!Corr_Contr_CDP[[#All],[CONTRATO-CDP]],[2]!Corr_Contr_CDP[[#All],[CRP]],_xlfn.XLOOKUP(Contrato5[[#This Row],[CDP]],[2]!COMPROMISOS_2024[[#All],[disponibilidad]],[2]!COMPROMISOS_2024[[#All],[consecutivo]],"",0),0)</f>
        <v>#NAME?</v>
      </c>
      <c r="U469" s="140" t="e" cm="1">
        <f t="array" aca="1" ref="U469" ca="1">+_xlfn.XLOOKUP(Contrato5[[#This Row],[RCP]],[2]!COMPROMISOS_2024[[#All],[consecutivo]],[2]!COMPROMISOS_2024[[#All],[fecha_aprobacion]],"",0)</f>
        <v>#NAME?</v>
      </c>
      <c r="V469" s="141" t="e">
        <f ca="1">SUMIF([2]!COMPROMISOS_2024[[#All],[consecutivo]],Contrato5[[#This Row],[RCP]],[2]!COMPROMISOS_2024[[#All],[valor_total]])</f>
        <v>#REF!</v>
      </c>
      <c r="W469" s="415">
        <v>45582</v>
      </c>
      <c r="X469" s="415">
        <v>45583</v>
      </c>
      <c r="Y469" s="143">
        <v>45443</v>
      </c>
      <c r="Z469" s="262">
        <v>45656</v>
      </c>
      <c r="AA469" s="183"/>
      <c r="AB469" s="172" t="s">
        <v>42</v>
      </c>
      <c r="AC469" s="172"/>
      <c r="AD469" s="211">
        <v>202000004368</v>
      </c>
      <c r="AE469" s="147" t="s">
        <v>523</v>
      </c>
      <c r="AF469" s="148" t="str">
        <f>TEXT(LEFT(Contrato5[[#This Row],[CONTRATO]],3),"0")</f>
        <v>363</v>
      </c>
      <c r="AG469" s="148" t="str">
        <f>IF(LEN(Contrato5[[#This Row],[Contrato2]])=3,Contrato5[[#This Row],[Contrato2]],TEXT(Contrato5[[#This Row],[Contrato2]],"000"))</f>
        <v>363</v>
      </c>
      <c r="AH469" s="149">
        <f ca="1">IFERROR(_xlfn.DAYS(Contrato5[[#This Row],[Fecha Proyectada liquidación]],TODAY())/30,"")</f>
        <v>0.6</v>
      </c>
      <c r="AI469" s="150">
        <f>+Contrato5[[#This Row],[FECHA TERMINACIÓN ]]+120</f>
        <v>45776</v>
      </c>
      <c r="AJ469" s="147"/>
      <c r="AK469" s="152" t="str">
        <f ca="1">IF(Contrato5[[#This Row],[FECHA TERMINACIÓN ]]&lt;TODAY(), "Terminado",IF(ISNUMBER(Contrato5[[#This Row],[Fecha Real de liquiidación ]]),"Liquidado",IF(Contrato5[[#This Row],[FECHA TERMINACIÓN ]]&gt;=TODAY(),"En ejecución","")))</f>
        <v>Terminado</v>
      </c>
      <c r="AL469" s="153" t="e">
        <f ca="1">SUMIF([2]!COMPROMISOS_2024[[#All],[consecutivo]],Contrato5[[#This Row],[RCP]],[2]!COMPROMISOS_2024[[#All],[Total pagado]])</f>
        <v>#REF!</v>
      </c>
      <c r="AM469" s="154">
        <f ca="1">IFERROR(Contrato5[[#This Row],[Pagos]]/Contrato5[[#This Row],[VALOR CONTRATO]],0)</f>
        <v>0</v>
      </c>
      <c r="AN469" s="198" t="e">
        <f ca="1">+Contrato5[[#This Row],[VALOR CONTRATO]]-Contrato5[[#This Row],[Pagos]]</f>
        <v>#REF!</v>
      </c>
      <c r="AO469" s="147" t="e" cm="1">
        <f t="array" aca="1" ref="AO469" ca="1">_xlfn.XLOOKUP(Contrato5[[#This Row],[DOCUMENTO ]],[2]!PERSONAL_ACTIVO_2024[[#All],[Documento identidad]],[2]!PERSONAL_ACTIVO_2024[[#All],[Mail ]],0,0)</f>
        <v>#NAME?</v>
      </c>
      <c r="AP469" s="147" t="e" cm="1">
        <f t="array" aca="1" ref="AP469" ca="1">_xlfn.XLOOKUP(Contrato5[[#This Row],[DOCUMENTO]],[2]!PERSONAL_ACTIVO_2024[[#All],[Documento identidad]],[2]!PERSONAL_ACTIVO_2024[[#All],[Mail ]],0,0)</f>
        <v>#NAME?</v>
      </c>
      <c r="AQ469" s="439" cm="1">
        <f t="array" aca="1" ref="AQ469" ca="1">IF(ISBLANK(Contrato5[[#This Row],[DEPENDENCIA ]]),0,IFERROR(_xlfn.XLOOKUP(Contrato5[[#This Row],[DEPENDENCIA ]],[2]!PERSONAL_ACTIVO_2024[[#All],[Dependencia]],[2]!PERSONAL_ACTIVO_2024[[#All],[Mail ]],0,0),0))</f>
        <v>0</v>
      </c>
    </row>
    <row r="470" spans="1:43" ht="34.5" customHeight="1">
      <c r="A470" s="125">
        <v>113</v>
      </c>
      <c r="B470" s="124">
        <v>364</v>
      </c>
      <c r="C470" s="162" t="s">
        <v>1526</v>
      </c>
      <c r="D470" s="227" t="s">
        <v>583</v>
      </c>
      <c r="E470" s="440" t="s">
        <v>94</v>
      </c>
      <c r="F470" s="227" t="s">
        <v>222</v>
      </c>
      <c r="G470" s="281" t="s">
        <v>1222</v>
      </c>
      <c r="H470" s="436">
        <v>900636926</v>
      </c>
      <c r="I470" s="273" t="s">
        <v>42</v>
      </c>
      <c r="J470" s="505">
        <v>160000000</v>
      </c>
      <c r="K470" s="131" t="s">
        <v>42</v>
      </c>
      <c r="L470" s="438" t="s">
        <v>877</v>
      </c>
      <c r="M470" s="194" t="s">
        <v>589</v>
      </c>
      <c r="N470" s="177" t="e" cm="1">
        <f t="array" aca="1" ref="N470" ca="1">_xlfn.XLOOKUP(Contrato5[[#This Row],[SUPERVISOR TITULAR]],[2]!PERSONAL_ACTIVO_2024[[#All],[Nombre completo]],[2]!PERSONAL_ACTIVO_2024[[#All],[Documento identidad]],"",0)</f>
        <v>#NAME?</v>
      </c>
      <c r="O470" s="194" t="s">
        <v>586</v>
      </c>
      <c r="P470" s="196" t="e" cm="1">
        <f t="array" aca="1" ref="P470" ca="1">_xlfn.XLOOKUP(Contrato5[[#This Row],[SUPERVISOR SUPLENTE ]],[2]!PERSONAL_ACTIVO_2024[[#All],[Nombre completo]],[2]!PERSONAL_ACTIVO_2024[[#All],[Documento identidad]],"",0)</f>
        <v>#NAME?</v>
      </c>
      <c r="Q470" s="170">
        <v>514</v>
      </c>
      <c r="R470" s="137" t="e" cm="1">
        <f t="array" aca="1" ref="R470" ca="1">_xlfn.XLOOKUP(Contrato5[[#This Row],[CDP]],[2]!DISPONIBILIDADES_2024[[#All],[consecutivo]],[2]!DISPONIBILIDADES_2024[[#All],[fecha_aprobacion]],"",0)</f>
        <v>#NAME?</v>
      </c>
      <c r="S470" s="138" t="e">
        <f>SUMIF([2]!DISPONIBILIDADES_2024[[#All],[consecutivo]],Contrato5[[#This Row],[CDP]],[2]!DISPONIBILIDADES_2024[[#All],[valor_total_rubro]])</f>
        <v>#REF!</v>
      </c>
      <c r="T470" s="139" t="e" cm="1">
        <f t="array" aca="1" ref="T470" ca="1">_xlfn.XLOOKUP(Contrato5[[#This Row],[CONTRATO]]&amp;Contrato5[[#This Row],[CDP]],[2]!Corr_Contr_CDP[[#All],[CONTRATO-CDP]],[2]!Corr_Contr_CDP[[#All],[CRP]],_xlfn.XLOOKUP(Contrato5[[#This Row],[CDP]],[2]!COMPROMISOS_2024[[#All],[disponibilidad]],[2]!COMPROMISOS_2024[[#All],[consecutivo]],"",0),0)</f>
        <v>#NAME?</v>
      </c>
      <c r="U470" s="140" t="e" cm="1">
        <f t="array" aca="1" ref="U470" ca="1">+_xlfn.XLOOKUP(Contrato5[[#This Row],[RCP]],[2]!COMPROMISOS_2024[[#All],[consecutivo]],[2]!COMPROMISOS_2024[[#All],[fecha_aprobacion]],"",0)</f>
        <v>#NAME?</v>
      </c>
      <c r="V470" s="141" t="e">
        <f ca="1">SUMIF([2]!COMPROMISOS_2024[[#All],[consecutivo]],Contrato5[[#This Row],[RCP]],[2]!COMPROMISOS_2024[[#All],[valor_total]])</f>
        <v>#REF!</v>
      </c>
      <c r="W470" s="415">
        <v>45442</v>
      </c>
      <c r="X470" s="415">
        <v>45442</v>
      </c>
      <c r="Y470" s="143">
        <v>45447</v>
      </c>
      <c r="Z470" s="262">
        <v>45656</v>
      </c>
      <c r="AA470" s="171" t="s">
        <v>2627</v>
      </c>
      <c r="AB470" s="172" t="s">
        <v>618</v>
      </c>
      <c r="AC470" s="172"/>
      <c r="AD470" s="211">
        <v>202000004471</v>
      </c>
      <c r="AE470" s="147" t="s">
        <v>523</v>
      </c>
      <c r="AF470" s="148" t="str">
        <f>TEXT(LEFT(Contrato5[[#This Row],[CONTRATO]],3),"0")</f>
        <v>364</v>
      </c>
      <c r="AG470" s="148" t="str">
        <f>IF(LEN(Contrato5[[#This Row],[Contrato2]])=3,Contrato5[[#This Row],[Contrato2]],TEXT(Contrato5[[#This Row],[Contrato2]],"000"))</f>
        <v>364</v>
      </c>
      <c r="AH470" s="149">
        <f ca="1">IFERROR(_xlfn.DAYS(Contrato5[[#This Row],[Fecha Proyectada liquidación]],TODAY())/30,"")</f>
        <v>0.6</v>
      </c>
      <c r="AI470" s="150">
        <f>+Contrato5[[#This Row],[FECHA TERMINACIÓN ]]+120</f>
        <v>45776</v>
      </c>
      <c r="AJ470" s="147"/>
      <c r="AK470" s="152" t="str">
        <f ca="1">IF(Contrato5[[#This Row],[FECHA TERMINACIÓN ]]&lt;TODAY(), "Terminado",IF(ISNUMBER(Contrato5[[#This Row],[Fecha Real de liquiidación ]]),"Liquidado",IF(Contrato5[[#This Row],[FECHA TERMINACIÓN ]]&gt;=TODAY(),"En ejecución","")))</f>
        <v>Terminado</v>
      </c>
      <c r="AL470" s="153" t="e">
        <f ca="1">SUMIF([2]!COMPROMISOS_2024[[#All],[consecutivo]],Contrato5[[#This Row],[RCP]],[2]!COMPROMISOS_2024[[#All],[Total pagado]])</f>
        <v>#REF!</v>
      </c>
      <c r="AM470" s="154">
        <f ca="1">IFERROR(Contrato5[[#This Row],[Pagos]]/Contrato5[[#This Row],[VALOR CONTRATO]],0)</f>
        <v>0</v>
      </c>
      <c r="AN470" s="198" t="e">
        <f ca="1">+Contrato5[[#This Row],[VALOR CONTRATO]]-Contrato5[[#This Row],[Pagos]]</f>
        <v>#REF!</v>
      </c>
      <c r="AO470" s="147" t="e" cm="1">
        <f t="array" aca="1" ref="AO470" ca="1">_xlfn.XLOOKUP(Contrato5[[#This Row],[DOCUMENTO ]],[2]!PERSONAL_ACTIVO_2024[[#All],[Documento identidad]],[2]!PERSONAL_ACTIVO_2024[[#All],[Mail ]],0,0)</f>
        <v>#NAME?</v>
      </c>
      <c r="AP470" s="147" t="e" cm="1">
        <f t="array" aca="1" ref="AP470" ca="1">_xlfn.XLOOKUP(Contrato5[[#This Row],[DOCUMENTO]],[2]!PERSONAL_ACTIVO_2024[[#All],[Documento identidad]],[2]!PERSONAL_ACTIVO_2024[[#All],[Mail ]],0,0)</f>
        <v>#NAME?</v>
      </c>
      <c r="AQ470" s="439" cm="1">
        <f t="array" aca="1" ref="AQ470" ca="1">IF(ISBLANK(Contrato5[[#This Row],[DEPENDENCIA ]]),0,IFERROR(_xlfn.XLOOKUP(Contrato5[[#This Row],[DEPENDENCIA ]],[2]!PERSONAL_ACTIVO_2024[[#All],[Dependencia]],[2]!PERSONAL_ACTIVO_2024[[#All],[Mail ]],0,0),0))</f>
        <v>0</v>
      </c>
    </row>
    <row r="471" spans="1:43" ht="34.5" customHeight="1">
      <c r="A471" s="147">
        <v>1146</v>
      </c>
      <c r="B471" s="124">
        <v>364</v>
      </c>
      <c r="C471" s="162" t="s">
        <v>2138</v>
      </c>
      <c r="D471" s="227" t="s">
        <v>583</v>
      </c>
      <c r="E471" s="440" t="s">
        <v>2148</v>
      </c>
      <c r="F471" s="227" t="s">
        <v>222</v>
      </c>
      <c r="G471" s="281" t="s">
        <v>1222</v>
      </c>
      <c r="H471" s="436">
        <v>900636926</v>
      </c>
      <c r="I471" s="273" t="s">
        <v>42</v>
      </c>
      <c r="J471" s="437">
        <v>80000000</v>
      </c>
      <c r="K471" s="131" t="s">
        <v>42</v>
      </c>
      <c r="L471" s="438" t="s">
        <v>2462</v>
      </c>
      <c r="M471" s="194" t="s">
        <v>589</v>
      </c>
      <c r="N471" s="195" t="e" cm="1">
        <f t="array" aca="1" ref="N471" ca="1">_xlfn.XLOOKUP(Contrato5[[#This Row],[SUPERVISOR TITULAR]],[2]!PERSONAL_ACTIVO_2024[[#All],[Nombre completo]],[2]!PERSONAL_ACTIVO_2024[[#All],[Documento identidad]],"",0)</f>
        <v>#NAME?</v>
      </c>
      <c r="O471" s="194" t="s">
        <v>586</v>
      </c>
      <c r="P471" s="196" t="e" cm="1">
        <f t="array" aca="1" ref="P471" ca="1">_xlfn.XLOOKUP(Contrato5[[#This Row],[SUPERVISOR SUPLENTE ]],[2]!PERSONAL_ACTIVO_2024[[#All],[Nombre completo]],[2]!PERSONAL_ACTIVO_2024[[#All],[Documento identidad]],"",0)</f>
        <v>#NAME?</v>
      </c>
      <c r="Q471" s="170">
        <v>948</v>
      </c>
      <c r="R471" s="137" t="e" cm="1">
        <f t="array" aca="1" ref="R471" ca="1">_xlfn.XLOOKUP(Contrato5[[#This Row],[CDP]],[2]!DISPONIBILIDADES_2024[[#All],[consecutivo]],[2]!DISPONIBILIDADES_2024[[#All],[fecha_aprobacion]],"",0)</f>
        <v>#NAME?</v>
      </c>
      <c r="S471" s="138" t="e">
        <f>SUMIF([2]!DISPONIBILIDADES_2024[[#All],[consecutivo]],Contrato5[[#This Row],[CDP]],[2]!DISPONIBILIDADES_2024[[#All],[valor_total_rubro]])</f>
        <v>#REF!</v>
      </c>
      <c r="T471" s="139" t="e" cm="1">
        <f t="array" aca="1" ref="T471" ca="1">_xlfn.XLOOKUP(Contrato5[[#This Row],[CONTRATO]]&amp;Contrato5[[#This Row],[CDP]],[2]!Corr_Contr_CDP[[#All],[CONTRATO-CDP]],[2]!Corr_Contr_CDP[[#All],[CRP]],_xlfn.XLOOKUP(Contrato5[[#This Row],[CDP]],[2]!COMPROMISOS_2024[[#All],[disponibilidad]],[2]!COMPROMISOS_2024[[#All],[consecutivo]],"",0),0)</f>
        <v>#NAME?</v>
      </c>
      <c r="U471" s="140" t="e" cm="1">
        <f t="array" aca="1" ref="U471" ca="1">+_xlfn.XLOOKUP(Contrato5[[#This Row],[RCP]],[2]!COMPROMISOS_2024[[#All],[consecutivo]],[2]!COMPROMISOS_2024[[#All],[fecha_aprobacion]],"",0)</f>
        <v>#NAME?</v>
      </c>
      <c r="V471" s="141" t="e">
        <f ca="1">SUMIF([2]!COMPROMISOS_2024[[#All],[consecutivo]],Contrato5[[#This Row],[RCP]],[2]!COMPROMISOS_2024[[#All],[valor_total]])</f>
        <v>#REF!</v>
      </c>
      <c r="W471" s="415">
        <v>45566</v>
      </c>
      <c r="X471" s="415">
        <v>45442</v>
      </c>
      <c r="Y471" s="143">
        <v>45447</v>
      </c>
      <c r="Z471" s="262">
        <v>45656</v>
      </c>
      <c r="AA471" s="203"/>
      <c r="AB471" s="172" t="s">
        <v>42</v>
      </c>
      <c r="AC471" s="127"/>
      <c r="AD471" s="211"/>
      <c r="AE471" s="147"/>
      <c r="AF471" s="148" t="str">
        <f>TEXT(LEFT(Contrato5[[#This Row],[CONTRATO]],3),"0")</f>
        <v>364</v>
      </c>
      <c r="AG471" s="148" t="str">
        <f>IF(LEN(Contrato5[[#This Row],[Contrato2]])=3,Contrato5[[#This Row],[Contrato2]],TEXT(Contrato5[[#This Row],[Contrato2]],"000"))</f>
        <v>364</v>
      </c>
      <c r="AH471" s="149">
        <f ca="1">IFERROR(_xlfn.DAYS(Contrato5[[#This Row],[Fecha Proyectada liquidación]],TODAY())/30,"")</f>
        <v>0.6</v>
      </c>
      <c r="AI471" s="150">
        <f>+Contrato5[[#This Row],[FECHA TERMINACIÓN ]]+120</f>
        <v>45776</v>
      </c>
      <c r="AJ471" s="147"/>
      <c r="AK471" s="152" t="str">
        <f ca="1">IF(Contrato5[[#This Row],[FECHA TERMINACIÓN ]]&lt;TODAY(), "Terminado",IF(ISNUMBER(Contrato5[[#This Row],[Fecha Real de liquiidación ]]),"Liquidado",IF(Contrato5[[#This Row],[FECHA TERMINACIÓN ]]&gt;=TODAY(),"En ejecución","")))</f>
        <v>Terminado</v>
      </c>
      <c r="AL471" s="153" t="e">
        <f ca="1">SUMIF([2]!COMPROMISOS_2024[[#All],[consecutivo]],Contrato5[[#This Row],[RCP]],[2]!COMPROMISOS_2024[[#All],[Total pagado]])</f>
        <v>#REF!</v>
      </c>
      <c r="AM471" s="154">
        <f ca="1">IFERROR(Contrato5[[#This Row],[Pagos]]/Contrato5[[#This Row],[VALOR CONTRATO]],0)</f>
        <v>0</v>
      </c>
      <c r="AN471" s="198" t="e">
        <f ca="1">+Contrato5[[#This Row],[VALOR CONTRATO]]-Contrato5[[#This Row],[Pagos]]</f>
        <v>#REF!</v>
      </c>
      <c r="AO471" s="147" t="e" cm="1">
        <f t="array" aca="1" ref="AO471" ca="1">_xlfn.XLOOKUP(Contrato5[[#This Row],[DOCUMENTO ]],[2]!PERSONAL_ACTIVO_2024[[#All],[Documento identidad]],[2]!PERSONAL_ACTIVO_2024[[#All],[Mail ]],0,0)</f>
        <v>#NAME?</v>
      </c>
      <c r="AP471" s="147" t="e" cm="1">
        <f t="array" aca="1" ref="AP471" ca="1">_xlfn.XLOOKUP(Contrato5[[#This Row],[DOCUMENTO]],[2]!PERSONAL_ACTIVO_2024[[#All],[Documento identidad]],[2]!PERSONAL_ACTIVO_2024[[#All],[Mail ]],0,0)</f>
        <v>#NAME?</v>
      </c>
      <c r="AQ471" s="439" cm="1">
        <f t="array" aca="1" ref="AQ471" ca="1">IF(ISBLANK(Contrato5[[#This Row],[DEPENDENCIA ]]),0,IFERROR(_xlfn.XLOOKUP(Contrato5[[#This Row],[DEPENDENCIA ]],[2]!PERSONAL_ACTIVO_2024[[#All],[Dependencia]],[2]!PERSONAL_ACTIVO_2024[[#All],[Mail ]],0,0),0))</f>
        <v>0</v>
      </c>
    </row>
    <row r="472" spans="1:43" ht="34.5" customHeight="1">
      <c r="A472" s="125">
        <v>34</v>
      </c>
      <c r="B472" s="124">
        <v>365</v>
      </c>
      <c r="C472" s="162" t="s">
        <v>116</v>
      </c>
      <c r="D472" s="227" t="s">
        <v>493</v>
      </c>
      <c r="E472" s="440" t="s">
        <v>117</v>
      </c>
      <c r="F472" s="227" t="s">
        <v>494</v>
      </c>
      <c r="G472" s="281" t="s">
        <v>1223</v>
      </c>
      <c r="H472" s="436">
        <v>900453988</v>
      </c>
      <c r="I472" s="273" t="s">
        <v>42</v>
      </c>
      <c r="J472" s="505">
        <v>483583136</v>
      </c>
      <c r="K472" s="131" t="s">
        <v>42</v>
      </c>
      <c r="L472" s="438" t="s">
        <v>989</v>
      </c>
      <c r="M472" s="194" t="s">
        <v>498</v>
      </c>
      <c r="N472" s="177" t="e" cm="1">
        <f t="array" aca="1" ref="N472" ca="1">_xlfn.XLOOKUP(Contrato5[[#This Row],[SUPERVISOR TITULAR]],[2]!PERSONAL_ACTIVO_2024[[#All],[Nombre completo]],[2]!PERSONAL_ACTIVO_2024[[#All],[Documento identidad]],"",0)</f>
        <v>#NAME?</v>
      </c>
      <c r="O472" s="194" t="s">
        <v>497</v>
      </c>
      <c r="P472" s="196" t="e" cm="1">
        <f t="array" aca="1" ref="P472" ca="1">_xlfn.XLOOKUP(Contrato5[[#This Row],[SUPERVISOR SUPLENTE ]],[2]!PERSONAL_ACTIVO_2024[[#All],[Nombre completo]],[2]!PERSONAL_ACTIVO_2024[[#All],[Documento identidad]],"",0)</f>
        <v>#NAME?</v>
      </c>
      <c r="Q472" s="170">
        <v>304</v>
      </c>
      <c r="R472" s="137" t="e" cm="1">
        <f t="array" aca="1" ref="R472" ca="1">_xlfn.XLOOKUP(Contrato5[[#This Row],[CDP]],[2]!DISPONIBILIDADES_2024[[#All],[consecutivo]],[2]!DISPONIBILIDADES_2024[[#All],[fecha_aprobacion]],"",0)</f>
        <v>#NAME?</v>
      </c>
      <c r="S472" s="138" t="e">
        <f>SUMIF([2]!DISPONIBILIDADES_2024[[#All],[consecutivo]],Contrato5[[#This Row],[CDP]],[2]!DISPONIBILIDADES_2024[[#All],[valor_total_rubro]])</f>
        <v>#REF!</v>
      </c>
      <c r="T472" s="139" t="e" cm="1">
        <f t="array" aca="1" ref="T472" ca="1">_xlfn.XLOOKUP(Contrato5[[#This Row],[CONTRATO]]&amp;Contrato5[[#This Row],[CDP]],[2]!Corr_Contr_CDP[[#All],[CONTRATO-CDP]],[2]!Corr_Contr_CDP[[#All],[CRP]],_xlfn.XLOOKUP(Contrato5[[#This Row],[CDP]],[2]!COMPROMISOS_2024[[#All],[disponibilidad]],[2]!COMPROMISOS_2024[[#All],[consecutivo]],"",0),0)</f>
        <v>#NAME?</v>
      </c>
      <c r="U472" s="140" t="e" cm="1">
        <f t="array" aca="1" ref="U472" ca="1">+_xlfn.XLOOKUP(Contrato5[[#This Row],[RCP]],[2]!COMPROMISOS_2024[[#All],[consecutivo]],[2]!COMPROMISOS_2024[[#All],[fecha_aprobacion]],"",0)</f>
        <v>#NAME?</v>
      </c>
      <c r="V472" s="141" t="e">
        <f ca="1">SUMIF([2]!COMPROMISOS_2024[[#All],[consecutivo]],Contrato5[[#This Row],[RCP]],[2]!COMPROMISOS_2024[[#All],[valor_total]])</f>
        <v>#REF!</v>
      </c>
      <c r="W472" s="415">
        <v>45441</v>
      </c>
      <c r="X472" s="415">
        <v>45441</v>
      </c>
      <c r="Y472" s="143">
        <v>45444</v>
      </c>
      <c r="Z472" s="262">
        <v>45762</v>
      </c>
      <c r="AA472" s="171" t="s">
        <v>2628</v>
      </c>
      <c r="AB472" s="172" t="s">
        <v>1224</v>
      </c>
      <c r="AC472" s="172"/>
      <c r="AD472" s="211">
        <v>202000004472</v>
      </c>
      <c r="AE472" s="147" t="s">
        <v>523</v>
      </c>
      <c r="AF472" s="148" t="str">
        <f>TEXT(LEFT(Contrato5[[#This Row],[CONTRATO]],3),"0")</f>
        <v>365</v>
      </c>
      <c r="AG472" s="148" t="str">
        <f>IF(LEN(Contrato5[[#This Row],[Contrato2]])=3,Contrato5[[#This Row],[Contrato2]],TEXT(Contrato5[[#This Row],[Contrato2]],"000"))</f>
        <v>365</v>
      </c>
      <c r="AH472" s="149">
        <f ca="1">IFERROR(_xlfn.DAYS(Contrato5[[#This Row],[Fecha Proyectada liquidación]],TODAY())/30,"")</f>
        <v>4.1333333333333337</v>
      </c>
      <c r="AI472" s="150">
        <f>+Contrato5[[#This Row],[FECHA TERMINACIÓN ]]+120</f>
        <v>45882</v>
      </c>
      <c r="AJ472" s="147"/>
      <c r="AK472" s="152" t="str">
        <f ca="1">IF(Contrato5[[#This Row],[FECHA TERMINACIÓN ]]&lt;TODAY(), "Terminado",IF(ISNUMBER(Contrato5[[#This Row],[Fecha Real de liquiidación ]]),"Liquidado",IF(Contrato5[[#This Row],[FECHA TERMINACIÓN ]]&gt;=TODAY(),"En ejecución","")))</f>
        <v>En ejecución</v>
      </c>
      <c r="AL472" s="153" t="e">
        <f ca="1">SUMIF([2]!COMPROMISOS_2024[[#All],[consecutivo]],Contrato5[[#This Row],[RCP]],[2]!COMPROMISOS_2024[[#All],[Total pagado]])</f>
        <v>#REF!</v>
      </c>
      <c r="AM472" s="154">
        <f ca="1">IFERROR(Contrato5[[#This Row],[Pagos]]/Contrato5[[#This Row],[VALOR CONTRATO]],0)</f>
        <v>0</v>
      </c>
      <c r="AN472" s="198" t="e">
        <f ca="1">+Contrato5[[#This Row],[VALOR CONTRATO]]-Contrato5[[#This Row],[Pagos]]</f>
        <v>#REF!</v>
      </c>
      <c r="AO472" s="147" t="e" cm="1">
        <f t="array" aca="1" ref="AO472" ca="1">_xlfn.XLOOKUP(Contrato5[[#This Row],[DOCUMENTO ]],[2]!PERSONAL_ACTIVO_2024[[#All],[Documento identidad]],[2]!PERSONAL_ACTIVO_2024[[#All],[Mail ]],0,0)</f>
        <v>#NAME?</v>
      </c>
      <c r="AP472" s="147" t="e" cm="1">
        <f t="array" aca="1" ref="AP472" ca="1">_xlfn.XLOOKUP(Contrato5[[#This Row],[DOCUMENTO]],[2]!PERSONAL_ACTIVO_2024[[#All],[Documento identidad]],[2]!PERSONAL_ACTIVO_2024[[#All],[Mail ]],0,0)</f>
        <v>#NAME?</v>
      </c>
      <c r="AQ472" s="439" cm="1">
        <f t="array" aca="1" ref="AQ472" ca="1">IF(ISBLANK(Contrato5[[#This Row],[DEPENDENCIA ]]),0,IFERROR(_xlfn.XLOOKUP(Contrato5[[#This Row],[DEPENDENCIA ]],[2]!PERSONAL_ACTIVO_2024[[#All],[Dependencia]],[2]!PERSONAL_ACTIVO_2024[[#All],[Mail ]],0,0),0))</f>
        <v>0</v>
      </c>
    </row>
    <row r="473" spans="1:43" ht="34.5" customHeight="1">
      <c r="A473" s="125">
        <v>705</v>
      </c>
      <c r="B473" s="124">
        <v>366</v>
      </c>
      <c r="C473" s="162" t="s">
        <v>1761</v>
      </c>
      <c r="D473" s="227" t="s">
        <v>583</v>
      </c>
      <c r="E473" s="440" t="s">
        <v>94</v>
      </c>
      <c r="F473" s="227" t="s">
        <v>255</v>
      </c>
      <c r="G473" s="281" t="s">
        <v>2629</v>
      </c>
      <c r="H473" s="436">
        <v>890906312</v>
      </c>
      <c r="I473" s="273" t="s">
        <v>42</v>
      </c>
      <c r="J473" s="505">
        <v>300000000</v>
      </c>
      <c r="K473" s="131" t="s">
        <v>42</v>
      </c>
      <c r="L473" s="438" t="s">
        <v>1225</v>
      </c>
      <c r="M473" s="194" t="s">
        <v>600</v>
      </c>
      <c r="N473" s="177" t="e" cm="1">
        <f t="array" aca="1" ref="N473" ca="1">_xlfn.XLOOKUP(Contrato5[[#This Row],[SUPERVISOR TITULAR]],[2]!PERSONAL_ACTIVO_2024[[#All],[Nombre completo]],[2]!PERSONAL_ACTIVO_2024[[#All],[Documento identidad]],"",0)</f>
        <v>#NAME?</v>
      </c>
      <c r="O473" s="194" t="s">
        <v>592</v>
      </c>
      <c r="P473" s="196" t="e" cm="1">
        <f t="array" aca="1" ref="P473" ca="1">_xlfn.XLOOKUP(Contrato5[[#This Row],[SUPERVISOR SUPLENTE ]],[2]!PERSONAL_ACTIVO_2024[[#All],[Nombre completo]],[2]!PERSONAL_ACTIVO_2024[[#All],[Documento identidad]],"",0)</f>
        <v>#NAME?</v>
      </c>
      <c r="Q473" s="170">
        <v>521</v>
      </c>
      <c r="R473" s="137" t="e" cm="1">
        <f t="array" aca="1" ref="R473" ca="1">_xlfn.XLOOKUP(Contrato5[[#This Row],[CDP]],[2]!DISPONIBILIDADES_2024[[#All],[consecutivo]],[2]!DISPONIBILIDADES_2024[[#All],[fecha_aprobacion]],"",0)</f>
        <v>#NAME?</v>
      </c>
      <c r="S473" s="138" t="e">
        <f>SUMIF([2]!DISPONIBILIDADES_2024[[#All],[consecutivo]],Contrato5[[#This Row],[CDP]],[2]!DISPONIBILIDADES_2024[[#All],[valor_total_rubro]])</f>
        <v>#REF!</v>
      </c>
      <c r="T473" s="139" t="e" cm="1">
        <f t="array" aca="1" ref="T473" ca="1">_xlfn.XLOOKUP(Contrato5[[#This Row],[CONTRATO]]&amp;Contrato5[[#This Row],[CDP]],[2]!Corr_Contr_CDP[[#All],[CONTRATO-CDP]],[2]!Corr_Contr_CDP[[#All],[CRP]],_xlfn.XLOOKUP(Contrato5[[#This Row],[CDP]],[2]!COMPROMISOS_2024[[#All],[disponibilidad]],[2]!COMPROMISOS_2024[[#All],[consecutivo]],"",0),0)</f>
        <v>#NAME?</v>
      </c>
      <c r="U473" s="140" t="e" cm="1">
        <f t="array" aca="1" ref="U473" ca="1">+_xlfn.XLOOKUP(Contrato5[[#This Row],[RCP]],[2]!COMPROMISOS_2024[[#All],[consecutivo]],[2]!COMPROMISOS_2024[[#All],[fecha_aprobacion]],"",0)</f>
        <v>#NAME?</v>
      </c>
      <c r="V473" s="141" t="e">
        <f ca="1">SUMIF([2]!COMPROMISOS_2024[[#All],[consecutivo]],Contrato5[[#This Row],[RCP]],[2]!COMPROMISOS_2024[[#All],[valor_total]])</f>
        <v>#REF!</v>
      </c>
      <c r="W473" s="415">
        <v>45447</v>
      </c>
      <c r="X473" s="415">
        <v>45447</v>
      </c>
      <c r="Y473" s="143">
        <v>45447</v>
      </c>
      <c r="Z473" s="262">
        <v>45656</v>
      </c>
      <c r="AA473" s="171" t="s">
        <v>2630</v>
      </c>
      <c r="AB473" s="172" t="s">
        <v>1226</v>
      </c>
      <c r="AC473" s="172"/>
      <c r="AD473" s="211">
        <v>202000004473</v>
      </c>
      <c r="AE473" s="147" t="s">
        <v>523</v>
      </c>
      <c r="AF473" s="148" t="str">
        <f>TEXT(LEFT(Contrato5[[#This Row],[CONTRATO]],3),"0")</f>
        <v>366</v>
      </c>
      <c r="AG473" s="148" t="str">
        <f>IF(LEN(Contrato5[[#This Row],[Contrato2]])=3,Contrato5[[#This Row],[Contrato2]],TEXT(Contrato5[[#This Row],[Contrato2]],"000"))</f>
        <v>366</v>
      </c>
      <c r="AH473" s="149">
        <f ca="1">IFERROR(_xlfn.DAYS(Contrato5[[#This Row],[Fecha Proyectada liquidación]],TODAY())/30,"")</f>
        <v>0.6</v>
      </c>
      <c r="AI473" s="150">
        <f>+Contrato5[[#This Row],[FECHA TERMINACIÓN ]]+120</f>
        <v>45776</v>
      </c>
      <c r="AJ473" s="147"/>
      <c r="AK473" s="152" t="str">
        <f ca="1">IF(Contrato5[[#This Row],[FECHA TERMINACIÓN ]]&lt;TODAY(), "Terminado",IF(ISNUMBER(Contrato5[[#This Row],[Fecha Real de liquiidación ]]),"Liquidado",IF(Contrato5[[#This Row],[FECHA TERMINACIÓN ]]&gt;=TODAY(),"En ejecución","")))</f>
        <v>Terminado</v>
      </c>
      <c r="AL473" s="153" t="e">
        <f ca="1">SUMIF([2]!COMPROMISOS_2024[[#All],[consecutivo]],Contrato5[[#This Row],[RCP]],[2]!COMPROMISOS_2024[[#All],[Total pagado]])</f>
        <v>#REF!</v>
      </c>
      <c r="AM473" s="154">
        <f ca="1">IFERROR(Contrato5[[#This Row],[Pagos]]/Contrato5[[#This Row],[VALOR CONTRATO]],0)</f>
        <v>0</v>
      </c>
      <c r="AN473" s="198" t="e">
        <f ca="1">+Contrato5[[#This Row],[VALOR CONTRATO]]-Contrato5[[#This Row],[Pagos]]</f>
        <v>#REF!</v>
      </c>
      <c r="AO473" s="147" t="e" cm="1">
        <f t="array" aca="1" ref="AO473" ca="1">_xlfn.XLOOKUP(Contrato5[[#This Row],[DOCUMENTO ]],[2]!PERSONAL_ACTIVO_2024[[#All],[Documento identidad]],[2]!PERSONAL_ACTIVO_2024[[#All],[Mail ]],0,0)</f>
        <v>#NAME?</v>
      </c>
      <c r="AP473" s="147" t="e" cm="1">
        <f t="array" aca="1" ref="AP473" ca="1">_xlfn.XLOOKUP(Contrato5[[#This Row],[DOCUMENTO]],[2]!PERSONAL_ACTIVO_2024[[#All],[Documento identidad]],[2]!PERSONAL_ACTIVO_2024[[#All],[Mail ]],0,0)</f>
        <v>#NAME?</v>
      </c>
      <c r="AQ473" s="439" cm="1">
        <f t="array" aca="1" ref="AQ473" ca="1">IF(ISBLANK(Contrato5[[#This Row],[DEPENDENCIA ]]),0,IFERROR(_xlfn.XLOOKUP(Contrato5[[#This Row],[DEPENDENCIA ]],[2]!PERSONAL_ACTIVO_2024[[#All],[Dependencia]],[2]!PERSONAL_ACTIVO_2024[[#All],[Mail ]],0,0),0))</f>
        <v>0</v>
      </c>
    </row>
    <row r="474" spans="1:43" ht="34.5" customHeight="1">
      <c r="A474" s="147">
        <v>1164</v>
      </c>
      <c r="B474" s="499">
        <v>366</v>
      </c>
      <c r="C474" s="162" t="s">
        <v>2153</v>
      </c>
      <c r="D474" s="227" t="s">
        <v>583</v>
      </c>
      <c r="E474" s="440" t="s">
        <v>2148</v>
      </c>
      <c r="F474" s="227" t="s">
        <v>255</v>
      </c>
      <c r="G474" s="281" t="s">
        <v>2629</v>
      </c>
      <c r="H474" s="436">
        <v>890906312</v>
      </c>
      <c r="I474" s="273" t="s">
        <v>42</v>
      </c>
      <c r="J474" s="188">
        <v>100000000</v>
      </c>
      <c r="K474" s="147"/>
      <c r="L474" s="166" t="s">
        <v>2616</v>
      </c>
      <c r="M474" s="194" t="s">
        <v>600</v>
      </c>
      <c r="N474" s="177" t="e" cm="1">
        <f t="array" aca="1" ref="N474" ca="1">_xlfn.XLOOKUP(Contrato5[[#This Row],[SUPERVISOR TITULAR]],[2]!PERSONAL_ACTIVO_2024[[#All],[Nombre completo]],[2]!PERSONAL_ACTIVO_2024[[#All],[Documento identidad]],"",0)</f>
        <v>#NAME?</v>
      </c>
      <c r="O474" s="194" t="s">
        <v>592</v>
      </c>
      <c r="P474" s="196" t="e" cm="1">
        <f t="array" aca="1" ref="P474" ca="1">_xlfn.XLOOKUP(Contrato5[[#This Row],[SUPERVISOR SUPLENTE ]],[2]!PERSONAL_ACTIVO_2024[[#All],[Nombre completo]],[2]!PERSONAL_ACTIVO_2024[[#All],[Documento identidad]],"",0)</f>
        <v>#NAME?</v>
      </c>
      <c r="Q474" s="170">
        <v>1017</v>
      </c>
      <c r="R474" s="137" t="e" cm="1">
        <f t="array" aca="1" ref="R474" ca="1">_xlfn.XLOOKUP(Contrato5[[#This Row],[CDP]],[2]!DISPONIBILIDADES_2024[[#All],[consecutivo]],[2]!DISPONIBILIDADES_2024[[#All],[fecha_aprobacion]],"",0)</f>
        <v>#NAME?</v>
      </c>
      <c r="S474" s="138" t="e">
        <f>SUMIF([2]!DISPONIBILIDADES_2024[[#All],[consecutivo]],Contrato5[[#This Row],[CDP]],[2]!DISPONIBILIDADES_2024[[#All],[valor_total_rubro]])</f>
        <v>#REF!</v>
      </c>
      <c r="T474" s="139" t="e" cm="1">
        <f t="array" aca="1" ref="T474" ca="1">_xlfn.XLOOKUP(Contrato5[[#This Row],[CONTRATO]]&amp;Contrato5[[#This Row],[CDP]],[2]!Corr_Contr_CDP[[#All],[CONTRATO-CDP]],[2]!Corr_Contr_CDP[[#All],[CRP]],_xlfn.XLOOKUP(Contrato5[[#This Row],[CDP]],[2]!COMPROMISOS_2024[[#All],[disponibilidad]],[2]!COMPROMISOS_2024[[#All],[consecutivo]],"",0),0)</f>
        <v>#NAME?</v>
      </c>
      <c r="U474" s="140" t="e" cm="1">
        <f t="array" aca="1" ref="U474" ca="1">+_xlfn.XLOOKUP(Contrato5[[#This Row],[RCP]],[2]!COMPROMISOS_2024[[#All],[consecutivo]],[2]!COMPROMISOS_2024[[#All],[fecha_aprobacion]],"",0)</f>
        <v>#NAME?</v>
      </c>
      <c r="V474" s="141" t="e">
        <f ca="1">SUMIF([2]!COMPROMISOS_2024[[#All],[consecutivo]],Contrato5[[#This Row],[RCP]],[2]!COMPROMISOS_2024[[#All],[valor_total]])</f>
        <v>#REF!</v>
      </c>
      <c r="W474" s="422">
        <v>45642</v>
      </c>
      <c r="X474" s="415">
        <v>45644</v>
      </c>
      <c r="Y474" s="143">
        <v>45447</v>
      </c>
      <c r="Z474" s="262">
        <v>45656</v>
      </c>
      <c r="AA474" s="203"/>
      <c r="AB474" s="172" t="s">
        <v>42</v>
      </c>
      <c r="AC474" s="127"/>
      <c r="AD474" s="211"/>
      <c r="AE474" s="147"/>
      <c r="AF474" s="148" t="str">
        <f>TEXT(LEFT(Contrato5[[#This Row],[CONTRATO]],3),"0")</f>
        <v>366</v>
      </c>
      <c r="AG474" s="148" t="str">
        <f>IF(LEN(Contrato5[[#This Row],[Contrato2]])=3,Contrato5[[#This Row],[Contrato2]],TEXT(Contrato5[[#This Row],[Contrato2]],"000"))</f>
        <v>366</v>
      </c>
      <c r="AH474" s="149">
        <f ca="1">IFERROR(_xlfn.DAYS(Contrato5[[#This Row],[Fecha Proyectada liquidación]],TODAY())/30,"")</f>
        <v>0.6</v>
      </c>
      <c r="AI474" s="150">
        <f>+Contrato5[[#This Row],[FECHA TERMINACIÓN ]]+120</f>
        <v>45776</v>
      </c>
      <c r="AJ474" s="147"/>
      <c r="AK474" s="152" t="str">
        <f ca="1">IF(Contrato5[[#This Row],[FECHA TERMINACIÓN ]]&lt;TODAY(), "Terminado",IF(ISNUMBER(Contrato5[[#This Row],[Fecha Real de liquiidación ]]),"Liquidado",IF(Contrato5[[#This Row],[FECHA TERMINACIÓN ]]&gt;=TODAY(),"En ejecución","")))</f>
        <v>Terminado</v>
      </c>
      <c r="AL474" s="153" t="e">
        <f ca="1">SUMIF([2]!COMPROMISOS_2024[[#All],[consecutivo]],Contrato5[[#This Row],[RCP]],[2]!COMPROMISOS_2024[[#All],[Total pagado]])</f>
        <v>#REF!</v>
      </c>
      <c r="AM474" s="154">
        <f ca="1">IFERROR(Contrato5[[#This Row],[Pagos]]/Contrato5[[#This Row],[VALOR CONTRATO]],0)</f>
        <v>0</v>
      </c>
      <c r="AN474" s="198" t="e">
        <f ca="1">+Contrato5[[#This Row],[VALOR CONTRATO]]-Contrato5[[#This Row],[Pagos]]</f>
        <v>#REF!</v>
      </c>
      <c r="AO474" s="147" t="e" cm="1">
        <f t="array" aca="1" ref="AO474" ca="1">_xlfn.XLOOKUP(Contrato5[[#This Row],[DOCUMENTO ]],[2]!PERSONAL_ACTIVO_2024[[#All],[Documento identidad]],[2]!PERSONAL_ACTIVO_2024[[#All],[Mail ]],0,0)</f>
        <v>#NAME?</v>
      </c>
      <c r="AP474" s="147" t="e" cm="1">
        <f t="array" aca="1" ref="AP474" ca="1">_xlfn.XLOOKUP(Contrato5[[#This Row],[DOCUMENTO]],[2]!PERSONAL_ACTIVO_2024[[#All],[Documento identidad]],[2]!PERSONAL_ACTIVO_2024[[#All],[Mail ]],0,0)</f>
        <v>#NAME?</v>
      </c>
      <c r="AQ474" s="439" cm="1">
        <f t="array" aca="1" ref="AQ474" ca="1">IF(ISBLANK(Contrato5[[#This Row],[DEPENDENCIA ]]),0,IFERROR(_xlfn.XLOOKUP(Contrato5[[#This Row],[DEPENDENCIA ]],[2]!PERSONAL_ACTIVO_2024[[#All],[Dependencia]],[2]!PERSONAL_ACTIVO_2024[[#All],[Mail ]],0,0),0))</f>
        <v>0</v>
      </c>
    </row>
    <row r="475" spans="1:43" ht="34.5" customHeight="1">
      <c r="A475" s="125">
        <v>752</v>
      </c>
      <c r="B475" s="124">
        <v>367</v>
      </c>
      <c r="C475" s="162" t="s">
        <v>1797</v>
      </c>
      <c r="D475" s="227" t="s">
        <v>602</v>
      </c>
      <c r="E475" s="440" t="s">
        <v>94</v>
      </c>
      <c r="F475" s="227" t="s">
        <v>1376</v>
      </c>
      <c r="G475" s="281" t="s">
        <v>1227</v>
      </c>
      <c r="H475" s="436">
        <v>1040181548</v>
      </c>
      <c r="I475" s="273">
        <v>7690469</v>
      </c>
      <c r="J475" s="505">
        <v>55669793</v>
      </c>
      <c r="K475" s="131" t="s">
        <v>1228</v>
      </c>
      <c r="L475" s="438" t="s">
        <v>2465</v>
      </c>
      <c r="M475" s="194" t="s">
        <v>610</v>
      </c>
      <c r="N475" s="177" t="e" cm="1">
        <f t="array" aca="1" ref="N475" ca="1">_xlfn.XLOOKUP(Contrato5[[#This Row],[SUPERVISOR TITULAR]],[2]!PERSONAL_ACTIVO_2024[[#All],[Nombre completo]],[2]!PERSONAL_ACTIVO_2024[[#All],[Documento identidad]],"",0)</f>
        <v>#NAME?</v>
      </c>
      <c r="O475" s="194" t="s">
        <v>847</v>
      </c>
      <c r="P475" s="196" t="e" cm="1">
        <f t="array" aca="1" ref="P475" ca="1">_xlfn.XLOOKUP(Contrato5[[#This Row],[SUPERVISOR SUPLENTE ]],[2]!PERSONAL_ACTIVO_2024[[#All],[Nombre completo]],[2]!PERSONAL_ACTIVO_2024[[#All],[Documento identidad]],"",0)</f>
        <v>#NAME?</v>
      </c>
      <c r="Q475" s="170">
        <v>523</v>
      </c>
      <c r="R475" s="137" t="e" cm="1">
        <f t="array" aca="1" ref="R475" ca="1">_xlfn.XLOOKUP(Contrato5[[#This Row],[CDP]],[2]!DISPONIBILIDADES_2024[[#All],[consecutivo]],[2]!DISPONIBILIDADES_2024[[#All],[fecha_aprobacion]],"",0)</f>
        <v>#NAME?</v>
      </c>
      <c r="S475" s="138" t="e">
        <f>SUMIF([2]!DISPONIBILIDADES_2024[[#All],[consecutivo]],Contrato5[[#This Row],[CDP]],[2]!DISPONIBILIDADES_2024[[#All],[valor_total_rubro]])</f>
        <v>#REF!</v>
      </c>
      <c r="T475" s="139" t="e" cm="1">
        <f t="array" aca="1" ref="T475" ca="1">_xlfn.XLOOKUP(Contrato5[[#This Row],[CONTRATO]]&amp;Contrato5[[#This Row],[CDP]],[2]!Corr_Contr_CDP[[#All],[CONTRATO-CDP]],[2]!Corr_Contr_CDP[[#All],[CRP]],_xlfn.XLOOKUP(Contrato5[[#This Row],[CDP]],[2]!COMPROMISOS_2024[[#All],[disponibilidad]],[2]!COMPROMISOS_2024[[#All],[consecutivo]],"",0),0)</f>
        <v>#NAME?</v>
      </c>
      <c r="U475" s="140" t="e" cm="1">
        <f t="array" aca="1" ref="U475" ca="1">+_xlfn.XLOOKUP(Contrato5[[#This Row],[RCP]],[2]!COMPROMISOS_2024[[#All],[consecutivo]],[2]!COMPROMISOS_2024[[#All],[fecha_aprobacion]],"",0)</f>
        <v>#NAME?</v>
      </c>
      <c r="V475" s="141" t="e">
        <f ca="1">SUMIF([2]!COMPROMISOS_2024[[#All],[consecutivo]],Contrato5[[#This Row],[RCP]],[2]!COMPROMISOS_2024[[#All],[valor_total]])</f>
        <v>#REF!</v>
      </c>
      <c r="W475" s="415">
        <v>45461</v>
      </c>
      <c r="X475" s="415" t="s">
        <v>1045</v>
      </c>
      <c r="Y475" s="143">
        <v>45461</v>
      </c>
      <c r="Z475" s="262">
        <v>45657</v>
      </c>
      <c r="AA475" s="171" t="s">
        <v>2631</v>
      </c>
      <c r="AB475" s="172" t="s">
        <v>1229</v>
      </c>
      <c r="AC475" s="172"/>
      <c r="AD475" s="211">
        <v>202000004474</v>
      </c>
      <c r="AE475" s="147" t="s">
        <v>523</v>
      </c>
      <c r="AF475" s="148" t="str">
        <f>TEXT(LEFT(Contrato5[[#This Row],[CONTRATO]],3),"0")</f>
        <v>367</v>
      </c>
      <c r="AG475" s="148" t="str">
        <f>IF(LEN(Contrato5[[#This Row],[Contrato2]])=3,Contrato5[[#This Row],[Contrato2]],TEXT(Contrato5[[#This Row],[Contrato2]],"000"))</f>
        <v>367</v>
      </c>
      <c r="AH475" s="149">
        <f ca="1">IFERROR(_xlfn.DAYS(Contrato5[[#This Row],[Fecha Proyectada liquidación]],TODAY())/30,"")</f>
        <v>0.6333333333333333</v>
      </c>
      <c r="AI475" s="150">
        <f>+Contrato5[[#This Row],[FECHA TERMINACIÓN ]]+120</f>
        <v>45777</v>
      </c>
      <c r="AJ475" s="147"/>
      <c r="AK475" s="152" t="str">
        <f ca="1">IF(Contrato5[[#This Row],[FECHA TERMINACIÓN ]]&lt;TODAY(), "Terminado",IF(ISNUMBER(Contrato5[[#This Row],[Fecha Real de liquiidación ]]),"Liquidado",IF(Contrato5[[#This Row],[FECHA TERMINACIÓN ]]&gt;=TODAY(),"En ejecución","")))</f>
        <v>Terminado</v>
      </c>
      <c r="AL475" s="153" t="e">
        <f ca="1">SUMIF([2]!COMPROMISOS_2024[[#All],[consecutivo]],Contrato5[[#This Row],[RCP]],[2]!COMPROMISOS_2024[[#All],[Total pagado]])</f>
        <v>#REF!</v>
      </c>
      <c r="AM475" s="154">
        <f ca="1">IFERROR(Contrato5[[#This Row],[Pagos]]/Contrato5[[#This Row],[VALOR CONTRATO]],0)</f>
        <v>0</v>
      </c>
      <c r="AN475" s="198" t="e">
        <f ca="1">+Contrato5[[#This Row],[VALOR CONTRATO]]-Contrato5[[#This Row],[Pagos]]</f>
        <v>#REF!</v>
      </c>
      <c r="AO475" s="147" t="e" cm="1">
        <f t="array" aca="1" ref="AO475" ca="1">_xlfn.XLOOKUP(Contrato5[[#This Row],[DOCUMENTO ]],[2]!PERSONAL_ACTIVO_2024[[#All],[Documento identidad]],[2]!PERSONAL_ACTIVO_2024[[#All],[Mail ]],0,0)</f>
        <v>#NAME?</v>
      </c>
      <c r="AP475" s="147" t="e" cm="1">
        <f t="array" aca="1" ref="AP475" ca="1">_xlfn.XLOOKUP(Contrato5[[#This Row],[DOCUMENTO]],[2]!PERSONAL_ACTIVO_2024[[#All],[Documento identidad]],[2]!PERSONAL_ACTIVO_2024[[#All],[Mail ]],0,0)</f>
        <v>#NAME?</v>
      </c>
      <c r="AQ475" s="439" cm="1">
        <f t="array" aca="1" ref="AQ475" ca="1">IF(ISBLANK(Contrato5[[#This Row],[DEPENDENCIA ]]),0,IFERROR(_xlfn.XLOOKUP(Contrato5[[#This Row],[DEPENDENCIA ]],[2]!PERSONAL_ACTIVO_2024[[#All],[Dependencia]],[2]!PERSONAL_ACTIVO_2024[[#All],[Mail ]],0,0),0))</f>
        <v>0</v>
      </c>
    </row>
    <row r="476" spans="1:43" ht="34.5" customHeight="1">
      <c r="A476" s="125">
        <v>751</v>
      </c>
      <c r="B476" s="124">
        <v>368</v>
      </c>
      <c r="C476" s="162" t="s">
        <v>1497</v>
      </c>
      <c r="D476" s="227" t="s">
        <v>602</v>
      </c>
      <c r="E476" s="440" t="s">
        <v>94</v>
      </c>
      <c r="F476" s="227" t="s">
        <v>1376</v>
      </c>
      <c r="G476" s="281" t="s">
        <v>603</v>
      </c>
      <c r="H476" s="436">
        <v>43182812</v>
      </c>
      <c r="I476" s="273">
        <v>6879081</v>
      </c>
      <c r="J476" s="437">
        <v>53860540</v>
      </c>
      <c r="K476" s="131" t="s">
        <v>1230</v>
      </c>
      <c r="L476" s="438" t="s">
        <v>2465</v>
      </c>
      <c r="M476" s="194" t="s">
        <v>613</v>
      </c>
      <c r="N476" s="177" t="e" cm="1">
        <f t="array" aca="1" ref="N476" ca="1">_xlfn.XLOOKUP(Contrato5[[#This Row],[SUPERVISOR TITULAR]],[2]!PERSONAL_ACTIVO_2024[[#All],[Nombre completo]],[2]!PERSONAL_ACTIVO_2024[[#All],[Documento identidad]],"",0)</f>
        <v>#NAME?</v>
      </c>
      <c r="O476" s="194" t="s">
        <v>604</v>
      </c>
      <c r="P476" s="196" t="e" cm="1">
        <f t="array" aca="1" ref="P476" ca="1">_xlfn.XLOOKUP(Contrato5[[#This Row],[SUPERVISOR SUPLENTE ]],[2]!PERSONAL_ACTIVO_2024[[#All],[Nombre completo]],[2]!PERSONAL_ACTIVO_2024[[#All],[Documento identidad]],"",0)</f>
        <v>#NAME?</v>
      </c>
      <c r="Q476" s="170">
        <v>522</v>
      </c>
      <c r="R476" s="137" t="e" cm="1">
        <f t="array" aca="1" ref="R476" ca="1">_xlfn.XLOOKUP(Contrato5[[#This Row],[CDP]],[2]!DISPONIBILIDADES_2024[[#All],[consecutivo]],[2]!DISPONIBILIDADES_2024[[#All],[fecha_aprobacion]],"",0)</f>
        <v>#NAME?</v>
      </c>
      <c r="S476" s="138" t="e">
        <f>SUMIF([2]!DISPONIBILIDADES_2024[[#All],[consecutivo]],Contrato5[[#This Row],[CDP]],[2]!DISPONIBILIDADES_2024[[#All],[valor_total_rubro]])</f>
        <v>#REF!</v>
      </c>
      <c r="T476" s="139" t="e" cm="1">
        <f t="array" aca="1" ref="T476" ca="1">_xlfn.XLOOKUP(Contrato5[[#This Row],[CONTRATO]]&amp;Contrato5[[#This Row],[CDP]],[2]!Corr_Contr_CDP[[#All],[CONTRATO-CDP]],[2]!Corr_Contr_CDP[[#All],[CRP]],_xlfn.XLOOKUP(Contrato5[[#This Row],[CDP]],[2]!COMPROMISOS_2024[[#All],[disponibilidad]],[2]!COMPROMISOS_2024[[#All],[consecutivo]],"",0),0)</f>
        <v>#NAME?</v>
      </c>
      <c r="U476" s="140" t="e" cm="1">
        <f t="array" aca="1" ref="U476" ca="1">+_xlfn.XLOOKUP(Contrato5[[#This Row],[RCP]],[2]!COMPROMISOS_2024[[#All],[consecutivo]],[2]!COMPROMISOS_2024[[#All],[fecha_aprobacion]],"",0)</f>
        <v>#NAME?</v>
      </c>
      <c r="V476" s="141" t="e">
        <f ca="1">SUMIF([2]!COMPROMISOS_2024[[#All],[consecutivo]],Contrato5[[#This Row],[RCP]],[2]!COMPROMISOS_2024[[#All],[valor_total]])</f>
        <v>#REF!</v>
      </c>
      <c r="W476" s="415">
        <v>45461</v>
      </c>
      <c r="X476" s="415" t="s">
        <v>1045</v>
      </c>
      <c r="Y476" s="143">
        <v>45462</v>
      </c>
      <c r="Z476" s="262">
        <v>45657</v>
      </c>
      <c r="AA476" s="183" t="s">
        <v>2632</v>
      </c>
      <c r="AB476" s="172" t="s">
        <v>1229</v>
      </c>
      <c r="AC476" s="172"/>
      <c r="AD476" s="211">
        <v>202000004475</v>
      </c>
      <c r="AE476" s="147" t="s">
        <v>523</v>
      </c>
      <c r="AF476" s="148" t="str">
        <f>TEXT(LEFT(Contrato5[[#This Row],[CONTRATO]],3),"0")</f>
        <v>368</v>
      </c>
      <c r="AG476" s="148" t="str">
        <f>IF(LEN(Contrato5[[#This Row],[Contrato2]])=3,Contrato5[[#This Row],[Contrato2]],TEXT(Contrato5[[#This Row],[Contrato2]],"000"))</f>
        <v>368</v>
      </c>
      <c r="AH476" s="149">
        <f ca="1">IFERROR(_xlfn.DAYS(Contrato5[[#This Row],[Fecha Proyectada liquidación]],TODAY())/30,"")</f>
        <v>0.6333333333333333</v>
      </c>
      <c r="AI476" s="150">
        <f>+Contrato5[[#This Row],[FECHA TERMINACIÓN ]]+120</f>
        <v>45777</v>
      </c>
      <c r="AJ476" s="147"/>
      <c r="AK476" s="152" t="str">
        <f ca="1">IF(Contrato5[[#This Row],[FECHA TERMINACIÓN ]]&lt;TODAY(), "Terminado",IF(ISNUMBER(Contrato5[[#This Row],[Fecha Real de liquiidación ]]),"Liquidado",IF(Contrato5[[#This Row],[FECHA TERMINACIÓN ]]&gt;=TODAY(),"En ejecución","")))</f>
        <v>Terminado</v>
      </c>
      <c r="AL476" s="153" t="e">
        <f ca="1">SUMIF([2]!COMPROMISOS_2024[[#All],[consecutivo]],Contrato5[[#This Row],[RCP]],[2]!COMPROMISOS_2024[[#All],[Total pagado]])</f>
        <v>#REF!</v>
      </c>
      <c r="AM476" s="154">
        <f ca="1">IFERROR(Contrato5[[#This Row],[Pagos]]/Contrato5[[#This Row],[VALOR CONTRATO]],0)</f>
        <v>0</v>
      </c>
      <c r="AN476" s="198" t="e">
        <f ca="1">+Contrato5[[#This Row],[VALOR CONTRATO]]-Contrato5[[#This Row],[Pagos]]</f>
        <v>#REF!</v>
      </c>
      <c r="AO476" s="147" t="e" cm="1">
        <f t="array" aca="1" ref="AO476" ca="1">_xlfn.XLOOKUP(Contrato5[[#This Row],[DOCUMENTO ]],[2]!PERSONAL_ACTIVO_2024[[#All],[Documento identidad]],[2]!PERSONAL_ACTIVO_2024[[#All],[Mail ]],0,0)</f>
        <v>#NAME?</v>
      </c>
      <c r="AP476" s="147" t="e" cm="1">
        <f t="array" aca="1" ref="AP476" ca="1">_xlfn.XLOOKUP(Contrato5[[#This Row],[DOCUMENTO]],[2]!PERSONAL_ACTIVO_2024[[#All],[Documento identidad]],[2]!PERSONAL_ACTIVO_2024[[#All],[Mail ]],0,0)</f>
        <v>#NAME?</v>
      </c>
      <c r="AQ476" s="439" cm="1">
        <f t="array" aca="1" ref="AQ476" ca="1">IF(ISBLANK(Contrato5[[#This Row],[DEPENDENCIA ]]),0,IFERROR(_xlfn.XLOOKUP(Contrato5[[#This Row],[DEPENDENCIA ]],[2]!PERSONAL_ACTIVO_2024[[#All],[Dependencia]],[2]!PERSONAL_ACTIVO_2024[[#All],[Mail ]],0,0),0))</f>
        <v>0</v>
      </c>
    </row>
    <row r="477" spans="1:43" ht="34.5" customHeight="1">
      <c r="A477" s="125">
        <v>753</v>
      </c>
      <c r="B477" s="124">
        <v>369</v>
      </c>
      <c r="C477" s="162" t="s">
        <v>1497</v>
      </c>
      <c r="D477" s="227" t="s">
        <v>602</v>
      </c>
      <c r="E477" s="440" t="s">
        <v>94</v>
      </c>
      <c r="F477" s="227" t="s">
        <v>1376</v>
      </c>
      <c r="G477" s="281" t="s">
        <v>612</v>
      </c>
      <c r="H477" s="436">
        <v>15534920</v>
      </c>
      <c r="I477" s="273">
        <v>6879081</v>
      </c>
      <c r="J477" s="505">
        <v>53860540</v>
      </c>
      <c r="K477" s="131" t="s">
        <v>1230</v>
      </c>
      <c r="L477" s="438" t="s">
        <v>2465</v>
      </c>
      <c r="M477" s="194" t="s">
        <v>613</v>
      </c>
      <c r="N477" s="177" t="e" cm="1">
        <f t="array" aca="1" ref="N477" ca="1">_xlfn.XLOOKUP(Contrato5[[#This Row],[SUPERVISOR TITULAR]],[2]!PERSONAL_ACTIVO_2024[[#All],[Nombre completo]],[2]!PERSONAL_ACTIVO_2024[[#All],[Documento identidad]],"",0)</f>
        <v>#NAME?</v>
      </c>
      <c r="O477" s="194" t="s">
        <v>604</v>
      </c>
      <c r="P477" s="196" t="e" cm="1">
        <f t="array" aca="1" ref="P477" ca="1">_xlfn.XLOOKUP(Contrato5[[#This Row],[SUPERVISOR SUPLENTE ]],[2]!PERSONAL_ACTIVO_2024[[#All],[Nombre completo]],[2]!PERSONAL_ACTIVO_2024[[#All],[Documento identidad]],"",0)</f>
        <v>#NAME?</v>
      </c>
      <c r="Q477" s="170">
        <v>524</v>
      </c>
      <c r="R477" s="137" t="e" cm="1">
        <f t="array" aca="1" ref="R477" ca="1">_xlfn.XLOOKUP(Contrato5[[#This Row],[CDP]],[2]!DISPONIBILIDADES_2024[[#All],[consecutivo]],[2]!DISPONIBILIDADES_2024[[#All],[fecha_aprobacion]],"",0)</f>
        <v>#NAME?</v>
      </c>
      <c r="S477" s="138" t="e">
        <f>SUMIF([2]!DISPONIBILIDADES_2024[[#All],[consecutivo]],Contrato5[[#This Row],[CDP]],[2]!DISPONIBILIDADES_2024[[#All],[valor_total_rubro]])</f>
        <v>#REF!</v>
      </c>
      <c r="T477" s="139" t="e" cm="1">
        <f t="array" aca="1" ref="T477" ca="1">_xlfn.XLOOKUP(Contrato5[[#This Row],[CONTRATO]]&amp;Contrato5[[#This Row],[CDP]],[2]!Corr_Contr_CDP[[#All],[CONTRATO-CDP]],[2]!Corr_Contr_CDP[[#All],[CRP]],_xlfn.XLOOKUP(Contrato5[[#This Row],[CDP]],[2]!COMPROMISOS_2024[[#All],[disponibilidad]],[2]!COMPROMISOS_2024[[#All],[consecutivo]],"",0),0)</f>
        <v>#NAME?</v>
      </c>
      <c r="U477" s="140" t="e" cm="1">
        <f t="array" aca="1" ref="U477" ca="1">+_xlfn.XLOOKUP(Contrato5[[#This Row],[RCP]],[2]!COMPROMISOS_2024[[#All],[consecutivo]],[2]!COMPROMISOS_2024[[#All],[fecha_aprobacion]],"",0)</f>
        <v>#NAME?</v>
      </c>
      <c r="V477" s="141" t="e">
        <f ca="1">SUMIF([2]!COMPROMISOS_2024[[#All],[consecutivo]],Contrato5[[#This Row],[RCP]],[2]!COMPROMISOS_2024[[#All],[valor_total]])</f>
        <v>#REF!</v>
      </c>
      <c r="W477" s="415">
        <v>45460</v>
      </c>
      <c r="X477" s="415" t="s">
        <v>1045</v>
      </c>
      <c r="Y477" s="143">
        <v>45461</v>
      </c>
      <c r="Z477" s="262">
        <v>45657</v>
      </c>
      <c r="AA477" s="183" t="s">
        <v>2633</v>
      </c>
      <c r="AB477" s="172" t="s">
        <v>1229</v>
      </c>
      <c r="AC477" s="172"/>
      <c r="AD477" s="211">
        <v>202000004476</v>
      </c>
      <c r="AE477" s="147" t="s">
        <v>523</v>
      </c>
      <c r="AF477" s="148" t="str">
        <f>TEXT(LEFT(Contrato5[[#This Row],[CONTRATO]],3),"0")</f>
        <v>369</v>
      </c>
      <c r="AG477" s="148" t="str">
        <f>IF(LEN(Contrato5[[#This Row],[Contrato2]])=3,Contrato5[[#This Row],[Contrato2]],TEXT(Contrato5[[#This Row],[Contrato2]],"000"))</f>
        <v>369</v>
      </c>
      <c r="AH477" s="149">
        <f ca="1">IFERROR(_xlfn.DAYS(Contrato5[[#This Row],[Fecha Proyectada liquidación]],TODAY())/30,"")</f>
        <v>0.6333333333333333</v>
      </c>
      <c r="AI477" s="150">
        <f>+Contrato5[[#This Row],[FECHA TERMINACIÓN ]]+120</f>
        <v>45777</v>
      </c>
      <c r="AJ477" s="147"/>
      <c r="AK477" s="152" t="str">
        <f ca="1">IF(Contrato5[[#This Row],[FECHA TERMINACIÓN ]]&lt;TODAY(), "Terminado",IF(ISNUMBER(Contrato5[[#This Row],[Fecha Real de liquiidación ]]),"Liquidado",IF(Contrato5[[#This Row],[FECHA TERMINACIÓN ]]&gt;=TODAY(),"En ejecución","")))</f>
        <v>Terminado</v>
      </c>
      <c r="AL477" s="153" t="e">
        <f ca="1">SUMIF([2]!COMPROMISOS_2024[[#All],[consecutivo]],Contrato5[[#This Row],[RCP]],[2]!COMPROMISOS_2024[[#All],[Total pagado]])</f>
        <v>#REF!</v>
      </c>
      <c r="AM477" s="154">
        <f ca="1">IFERROR(Contrato5[[#This Row],[Pagos]]/Contrato5[[#This Row],[VALOR CONTRATO]],0)</f>
        <v>0</v>
      </c>
      <c r="AN477" s="198" t="e">
        <f ca="1">+Contrato5[[#This Row],[VALOR CONTRATO]]-Contrato5[[#This Row],[Pagos]]</f>
        <v>#REF!</v>
      </c>
      <c r="AO477" s="147" t="e" cm="1">
        <f t="array" aca="1" ref="AO477" ca="1">_xlfn.XLOOKUP(Contrato5[[#This Row],[DOCUMENTO ]],[2]!PERSONAL_ACTIVO_2024[[#All],[Documento identidad]],[2]!PERSONAL_ACTIVO_2024[[#All],[Mail ]],0,0)</f>
        <v>#NAME?</v>
      </c>
      <c r="AP477" s="147" t="e" cm="1">
        <f t="array" aca="1" ref="AP477" ca="1">_xlfn.XLOOKUP(Contrato5[[#This Row],[DOCUMENTO]],[2]!PERSONAL_ACTIVO_2024[[#All],[Documento identidad]],[2]!PERSONAL_ACTIVO_2024[[#All],[Mail ]],0,0)</f>
        <v>#NAME?</v>
      </c>
      <c r="AQ477" s="439" cm="1">
        <f t="array" aca="1" ref="AQ477" ca="1">IF(ISBLANK(Contrato5[[#This Row],[DEPENDENCIA ]]),0,IFERROR(_xlfn.XLOOKUP(Contrato5[[#This Row],[DEPENDENCIA ]],[2]!PERSONAL_ACTIVO_2024[[#All],[Dependencia]],[2]!PERSONAL_ACTIVO_2024[[#All],[Mail ]],0,0),0))</f>
        <v>0</v>
      </c>
    </row>
    <row r="478" spans="1:43" ht="34.5" customHeight="1">
      <c r="A478" s="125">
        <v>735</v>
      </c>
      <c r="B478" s="124">
        <v>370</v>
      </c>
      <c r="C478" s="162" t="s">
        <v>1784</v>
      </c>
      <c r="D478" s="227" t="s">
        <v>583</v>
      </c>
      <c r="E478" s="440" t="s">
        <v>94</v>
      </c>
      <c r="F478" s="227" t="s">
        <v>1376</v>
      </c>
      <c r="G478" s="281" t="s">
        <v>727</v>
      </c>
      <c r="H478" s="436">
        <v>700269733</v>
      </c>
      <c r="I478" s="273">
        <v>7908765</v>
      </c>
      <c r="J478" s="505">
        <v>48507092</v>
      </c>
      <c r="K478" s="131" t="s">
        <v>42</v>
      </c>
      <c r="L478" s="438" t="s">
        <v>2465</v>
      </c>
      <c r="M478" s="194" t="s">
        <v>586</v>
      </c>
      <c r="N478" s="177" t="e" cm="1">
        <f t="array" aca="1" ref="N478" ca="1">_xlfn.XLOOKUP(Contrato5[[#This Row],[SUPERVISOR TITULAR]],[2]!PERSONAL_ACTIVO_2024[[#All],[Nombre completo]],[2]!PERSONAL_ACTIVO_2024[[#All],[Documento identidad]],"",0)</f>
        <v>#NAME?</v>
      </c>
      <c r="O478" s="194" t="s">
        <v>589</v>
      </c>
      <c r="P478" s="196" t="e" cm="1">
        <f t="array" aca="1" ref="P478" ca="1">_xlfn.XLOOKUP(Contrato5[[#This Row],[SUPERVISOR SUPLENTE ]],[2]!PERSONAL_ACTIVO_2024[[#All],[Nombre completo]],[2]!PERSONAL_ACTIVO_2024[[#All],[Documento identidad]],"",0)</f>
        <v>#NAME?</v>
      </c>
      <c r="Q478" s="170">
        <v>540</v>
      </c>
      <c r="R478" s="137" t="e" cm="1">
        <f t="array" aca="1" ref="R478" ca="1">_xlfn.XLOOKUP(Contrato5[[#This Row],[CDP]],[2]!DISPONIBILIDADES_2024[[#All],[consecutivo]],[2]!DISPONIBILIDADES_2024[[#All],[fecha_aprobacion]],"",0)</f>
        <v>#NAME?</v>
      </c>
      <c r="S478" s="138" t="e">
        <f>SUMIF([2]!DISPONIBILIDADES_2024[[#All],[consecutivo]],Contrato5[[#This Row],[CDP]],[2]!DISPONIBILIDADES_2024[[#All],[valor_total_rubro]])</f>
        <v>#REF!</v>
      </c>
      <c r="T478" s="139" t="e" cm="1">
        <f t="array" aca="1" ref="T478" ca="1">_xlfn.XLOOKUP(Contrato5[[#This Row],[CONTRATO]]&amp;Contrato5[[#This Row],[CDP]],[2]!Corr_Contr_CDP[[#All],[CONTRATO-CDP]],[2]!Corr_Contr_CDP[[#All],[CRP]],_xlfn.XLOOKUP(Contrato5[[#This Row],[CDP]],[2]!COMPROMISOS_2024[[#All],[disponibilidad]],[2]!COMPROMISOS_2024[[#All],[consecutivo]],"",0),0)</f>
        <v>#NAME?</v>
      </c>
      <c r="U478" s="140" t="e" cm="1">
        <f t="array" aca="1" ref="U478" ca="1">+_xlfn.XLOOKUP(Contrato5[[#This Row],[RCP]],[2]!COMPROMISOS_2024[[#All],[consecutivo]],[2]!COMPROMISOS_2024[[#All],[fecha_aprobacion]],"",0)</f>
        <v>#NAME?</v>
      </c>
      <c r="V478" s="141" t="e">
        <f ca="1">SUMIF([2]!COMPROMISOS_2024[[#All],[consecutivo]],Contrato5[[#This Row],[RCP]],[2]!COMPROMISOS_2024[[#All],[valor_total]])</f>
        <v>#REF!</v>
      </c>
      <c r="W478" s="415">
        <v>45460</v>
      </c>
      <c r="X478" s="415" t="s">
        <v>1045</v>
      </c>
      <c r="Y478" s="143">
        <v>45461</v>
      </c>
      <c r="Z478" s="262">
        <v>45643</v>
      </c>
      <c r="AA478" s="446" t="s">
        <v>2634</v>
      </c>
      <c r="AB478" s="172" t="s">
        <v>1231</v>
      </c>
      <c r="AC478" s="172"/>
      <c r="AD478" s="211">
        <v>202000004477</v>
      </c>
      <c r="AE478" s="147" t="s">
        <v>523</v>
      </c>
      <c r="AF478" s="148" t="str">
        <f>TEXT(LEFT(Contrato5[[#This Row],[CONTRATO]],3),"0")</f>
        <v>370</v>
      </c>
      <c r="AG478" s="148" t="str">
        <f>IF(LEN(Contrato5[[#This Row],[Contrato2]])=3,Contrato5[[#This Row],[Contrato2]],TEXT(Contrato5[[#This Row],[Contrato2]],"000"))</f>
        <v>370</v>
      </c>
      <c r="AH478" s="149">
        <f ca="1">IFERROR(_xlfn.DAYS(Contrato5[[#This Row],[Fecha Proyectada liquidación]],TODAY())/30,"")</f>
        <v>0.16666666666666666</v>
      </c>
      <c r="AI478" s="150">
        <f>+Contrato5[[#This Row],[FECHA TERMINACIÓN ]]+120</f>
        <v>45763</v>
      </c>
      <c r="AJ478" s="147"/>
      <c r="AK478" s="152" t="str">
        <f ca="1">IF(Contrato5[[#This Row],[FECHA TERMINACIÓN ]]&lt;TODAY(), "Terminado",IF(ISNUMBER(Contrato5[[#This Row],[Fecha Real de liquiidación ]]),"Liquidado",IF(Contrato5[[#This Row],[FECHA TERMINACIÓN ]]&gt;=TODAY(),"En ejecución","")))</f>
        <v>Terminado</v>
      </c>
      <c r="AL478" s="153" t="e">
        <f ca="1">SUMIF([2]!COMPROMISOS_2024[[#All],[consecutivo]],Contrato5[[#This Row],[RCP]],[2]!COMPROMISOS_2024[[#All],[Total pagado]])</f>
        <v>#REF!</v>
      </c>
      <c r="AM478" s="154">
        <f ca="1">IFERROR(Contrato5[[#This Row],[Pagos]]/Contrato5[[#This Row],[VALOR CONTRATO]],0)</f>
        <v>0</v>
      </c>
      <c r="AN478" s="198" t="e">
        <f ca="1">+Contrato5[[#This Row],[VALOR CONTRATO]]-Contrato5[[#This Row],[Pagos]]</f>
        <v>#REF!</v>
      </c>
      <c r="AO478" s="147" t="e" cm="1">
        <f t="array" aca="1" ref="AO478" ca="1">_xlfn.XLOOKUP(Contrato5[[#This Row],[DOCUMENTO ]],[2]!PERSONAL_ACTIVO_2024[[#All],[Documento identidad]],[2]!PERSONAL_ACTIVO_2024[[#All],[Mail ]],0,0)</f>
        <v>#NAME?</v>
      </c>
      <c r="AP478" s="147" t="e" cm="1">
        <f t="array" aca="1" ref="AP478" ca="1">_xlfn.XLOOKUP(Contrato5[[#This Row],[DOCUMENTO]],[2]!PERSONAL_ACTIVO_2024[[#All],[Documento identidad]],[2]!PERSONAL_ACTIVO_2024[[#All],[Mail ]],0,0)</f>
        <v>#NAME?</v>
      </c>
      <c r="AQ478" s="439" cm="1">
        <f t="array" aca="1" ref="AQ478" ca="1">IF(ISBLANK(Contrato5[[#This Row],[DEPENDENCIA ]]),0,IFERROR(_xlfn.XLOOKUP(Contrato5[[#This Row],[DEPENDENCIA ]],[2]!PERSONAL_ACTIVO_2024[[#All],[Dependencia]],[2]!PERSONAL_ACTIVO_2024[[#All],[Mail ]],0,0),0))</f>
        <v>0</v>
      </c>
    </row>
    <row r="479" spans="1:43" ht="34.5" customHeight="1">
      <c r="A479" s="125">
        <v>57</v>
      </c>
      <c r="B479" s="124">
        <v>371</v>
      </c>
      <c r="C479" s="162" t="s">
        <v>1479</v>
      </c>
      <c r="D479" s="227" t="s">
        <v>556</v>
      </c>
      <c r="E479" s="440" t="s">
        <v>151</v>
      </c>
      <c r="F479" s="227" t="s">
        <v>494</v>
      </c>
      <c r="G479" s="281" t="s">
        <v>1232</v>
      </c>
      <c r="H479" s="436">
        <v>900306068</v>
      </c>
      <c r="I479" s="273" t="s">
        <v>42</v>
      </c>
      <c r="J479" s="505">
        <v>29700000</v>
      </c>
      <c r="K479" s="131" t="s">
        <v>42</v>
      </c>
      <c r="L479" s="438" t="s">
        <v>877</v>
      </c>
      <c r="M479" s="194" t="s">
        <v>559</v>
      </c>
      <c r="N479" s="177" t="e" cm="1">
        <f t="array" aca="1" ref="N479" ca="1">_xlfn.XLOOKUP(Contrato5[[#This Row],[SUPERVISOR TITULAR]],[2]!PERSONAL_ACTIVO_2024[[#All],[Nombre completo]],[2]!PERSONAL_ACTIVO_2024[[#All],[Documento identidad]],"",0)</f>
        <v>#NAME?</v>
      </c>
      <c r="O479" s="194" t="s">
        <v>2487</v>
      </c>
      <c r="P479" s="196" t="e" cm="1">
        <f t="array" aca="1" ref="P479" ca="1">_xlfn.XLOOKUP(Contrato5[[#This Row],[SUPERVISOR SUPLENTE ]],[2]!PERSONAL_ACTIVO_2024[[#All],[Nombre completo]],[2]!PERSONAL_ACTIVO_2024[[#All],[Documento identidad]],"",0)</f>
        <v>#NAME?</v>
      </c>
      <c r="Q479" s="170">
        <v>503</v>
      </c>
      <c r="R479" s="137" t="e" cm="1">
        <f t="array" aca="1" ref="R479" ca="1">_xlfn.XLOOKUP(Contrato5[[#This Row],[CDP]],[2]!DISPONIBILIDADES_2024[[#All],[consecutivo]],[2]!DISPONIBILIDADES_2024[[#All],[fecha_aprobacion]],"",0)</f>
        <v>#NAME?</v>
      </c>
      <c r="S479" s="138" t="e">
        <f>SUMIF([2]!DISPONIBILIDADES_2024[[#All],[consecutivo]],Contrato5[[#This Row],[CDP]],[2]!DISPONIBILIDADES_2024[[#All],[valor_total_rubro]])</f>
        <v>#REF!</v>
      </c>
      <c r="T479" s="139" t="e" cm="1">
        <f t="array" aca="1" ref="T479" ca="1">_xlfn.XLOOKUP(Contrato5[[#This Row],[CONTRATO]]&amp;Contrato5[[#This Row],[CDP]],[2]!Corr_Contr_CDP[[#All],[CONTRATO-CDP]],[2]!Corr_Contr_CDP[[#All],[CRP]],_xlfn.XLOOKUP(Contrato5[[#This Row],[CDP]],[2]!COMPROMISOS_2024[[#All],[disponibilidad]],[2]!COMPROMISOS_2024[[#All],[consecutivo]],"",0),0)</f>
        <v>#NAME?</v>
      </c>
      <c r="U479" s="140" t="e" cm="1">
        <f t="array" aca="1" ref="U479" ca="1">+_xlfn.XLOOKUP(Contrato5[[#This Row],[RCP]],[2]!COMPROMISOS_2024[[#All],[consecutivo]],[2]!COMPROMISOS_2024[[#All],[fecha_aprobacion]],"",0)</f>
        <v>#NAME?</v>
      </c>
      <c r="V479" s="141" t="e">
        <f ca="1">SUMIF([2]!COMPROMISOS_2024[[#All],[consecutivo]],Contrato5[[#This Row],[RCP]],[2]!COMPROMISOS_2024[[#All],[valor_total]])</f>
        <v>#REF!</v>
      </c>
      <c r="W479" s="415">
        <v>45455</v>
      </c>
      <c r="X479" s="415">
        <v>45457</v>
      </c>
      <c r="Y479" s="143">
        <v>45460</v>
      </c>
      <c r="Z479" s="262">
        <v>45643</v>
      </c>
      <c r="AA479" s="183" t="s">
        <v>2635</v>
      </c>
      <c r="AB479" s="172" t="s">
        <v>640</v>
      </c>
      <c r="AC479" s="172"/>
      <c r="AD479" s="211">
        <v>202000004478</v>
      </c>
      <c r="AE479" s="147" t="s">
        <v>523</v>
      </c>
      <c r="AF479" s="148" t="str">
        <f>TEXT(LEFT(Contrato5[[#This Row],[CONTRATO]],3),"0")</f>
        <v>371</v>
      </c>
      <c r="AG479" s="148" t="str">
        <f>IF(LEN(Contrato5[[#This Row],[Contrato2]])=3,Contrato5[[#This Row],[Contrato2]],TEXT(Contrato5[[#This Row],[Contrato2]],"000"))</f>
        <v>371</v>
      </c>
      <c r="AH479" s="149">
        <f ca="1">IFERROR(_xlfn.DAYS(Contrato5[[#This Row],[Fecha Proyectada liquidación]],TODAY())/30,"")</f>
        <v>0.16666666666666666</v>
      </c>
      <c r="AI479" s="150">
        <f>+Contrato5[[#This Row],[FECHA TERMINACIÓN ]]+120</f>
        <v>45763</v>
      </c>
      <c r="AJ479" s="147"/>
      <c r="AK479" s="152" t="str">
        <f ca="1">IF(Contrato5[[#This Row],[FECHA TERMINACIÓN ]]&lt;TODAY(), "Terminado",IF(ISNUMBER(Contrato5[[#This Row],[Fecha Real de liquiidación ]]),"Liquidado",IF(Contrato5[[#This Row],[FECHA TERMINACIÓN ]]&gt;=TODAY(),"En ejecución","")))</f>
        <v>Terminado</v>
      </c>
      <c r="AL479" s="153" t="e">
        <f ca="1">SUMIF([2]!COMPROMISOS_2024[[#All],[consecutivo]],Contrato5[[#This Row],[RCP]],[2]!COMPROMISOS_2024[[#All],[Total pagado]])</f>
        <v>#REF!</v>
      </c>
      <c r="AM479" s="154">
        <f ca="1">IFERROR(Contrato5[[#This Row],[Pagos]]/Contrato5[[#This Row],[VALOR CONTRATO]],0)</f>
        <v>0</v>
      </c>
      <c r="AN479" s="198" t="e">
        <f ca="1">+Contrato5[[#This Row],[VALOR CONTRATO]]-Contrato5[[#This Row],[Pagos]]</f>
        <v>#REF!</v>
      </c>
      <c r="AO479" s="147" t="e" cm="1">
        <f t="array" aca="1" ref="AO479" ca="1">_xlfn.XLOOKUP(Contrato5[[#This Row],[DOCUMENTO ]],[2]!PERSONAL_ACTIVO_2024[[#All],[Documento identidad]],[2]!PERSONAL_ACTIVO_2024[[#All],[Mail ]],0,0)</f>
        <v>#NAME?</v>
      </c>
      <c r="AP479" s="147" t="e" cm="1">
        <f t="array" aca="1" ref="AP479" ca="1">_xlfn.XLOOKUP(Contrato5[[#This Row],[DOCUMENTO]],[2]!PERSONAL_ACTIVO_2024[[#All],[Documento identidad]],[2]!PERSONAL_ACTIVO_2024[[#All],[Mail ]],0,0)</f>
        <v>#NAME?</v>
      </c>
      <c r="AQ479" s="439" cm="1">
        <f t="array" aca="1" ref="AQ479" ca="1">IF(ISBLANK(Contrato5[[#This Row],[DEPENDENCIA ]]),0,IFERROR(_xlfn.XLOOKUP(Contrato5[[#This Row],[DEPENDENCIA ]],[2]!PERSONAL_ACTIVO_2024[[#All],[Dependencia]],[2]!PERSONAL_ACTIVO_2024[[#All],[Mail ]],0,0),0))</f>
        <v>0</v>
      </c>
    </row>
    <row r="480" spans="1:43" ht="34.5" customHeight="1">
      <c r="A480" s="125">
        <v>690</v>
      </c>
      <c r="B480" s="124">
        <v>372</v>
      </c>
      <c r="C480" s="162" t="s">
        <v>398</v>
      </c>
      <c r="D480" s="227" t="s">
        <v>515</v>
      </c>
      <c r="E480" s="440" t="s">
        <v>94</v>
      </c>
      <c r="F480" s="227" t="s">
        <v>255</v>
      </c>
      <c r="G480" s="281" t="s">
        <v>2636</v>
      </c>
      <c r="H480" s="436">
        <v>890984376</v>
      </c>
      <c r="I480" s="273" t="s">
        <v>42</v>
      </c>
      <c r="J480" s="505">
        <v>371254394</v>
      </c>
      <c r="K480" s="131" t="s">
        <v>42</v>
      </c>
      <c r="L480" s="438" t="s">
        <v>2469</v>
      </c>
      <c r="M480" s="194" t="s">
        <v>2637</v>
      </c>
      <c r="N480" s="177" t="e" cm="1">
        <f t="array" aca="1" ref="N480" ca="1">_xlfn.XLOOKUP(Contrato5[[#This Row],[SUPERVISOR TITULAR]],[2]!PERSONAL_ACTIVO_2024[[#All],[Nombre completo]],[2]!PERSONAL_ACTIVO_2024[[#All],[Documento identidad]],"",0)</f>
        <v>#NAME?</v>
      </c>
      <c r="O480" s="194" t="s">
        <v>822</v>
      </c>
      <c r="P480" s="196" t="e" cm="1">
        <f t="array" aca="1" ref="P480" ca="1">_xlfn.XLOOKUP(Contrato5[[#This Row],[SUPERVISOR SUPLENTE ]],[2]!PERSONAL_ACTIVO_2024[[#All],[Nombre completo]],[2]!PERSONAL_ACTIVO_2024[[#All],[Documento identidad]],"",0)</f>
        <v>#NAME?</v>
      </c>
      <c r="Q480" s="170">
        <v>510</v>
      </c>
      <c r="R480" s="137" t="e" cm="1">
        <f t="array" aca="1" ref="R480" ca="1">_xlfn.XLOOKUP(Contrato5[[#This Row],[CDP]],[2]!DISPONIBILIDADES_2024[[#All],[consecutivo]],[2]!DISPONIBILIDADES_2024[[#All],[fecha_aprobacion]],"",0)</f>
        <v>#NAME?</v>
      </c>
      <c r="S480" s="138" t="e">
        <f>SUMIF([2]!DISPONIBILIDADES_2024[[#All],[consecutivo]],Contrato5[[#This Row],[CDP]],[2]!DISPONIBILIDADES_2024[[#All],[valor_total_rubro]])</f>
        <v>#REF!</v>
      </c>
      <c r="T480" s="139" t="e" cm="1">
        <f t="array" aca="1" ref="T480" ca="1">_xlfn.XLOOKUP(Contrato5[[#This Row],[CONTRATO]]&amp;Contrato5[[#This Row],[CDP]],[2]!Corr_Contr_CDP[[#All],[CONTRATO-CDP]],[2]!Corr_Contr_CDP[[#All],[CRP]],_xlfn.XLOOKUP(Contrato5[[#This Row],[CDP]],[2]!COMPROMISOS_2024[[#All],[disponibilidad]],[2]!COMPROMISOS_2024[[#All],[consecutivo]],"",0),0)</f>
        <v>#NAME?</v>
      </c>
      <c r="U480" s="140" t="e" cm="1">
        <f t="array" aca="1" ref="U480" ca="1">+_xlfn.XLOOKUP(Contrato5[[#This Row],[RCP]],[2]!COMPROMISOS_2024[[#All],[consecutivo]],[2]!COMPROMISOS_2024[[#All],[fecha_aprobacion]],"",0)</f>
        <v>#NAME?</v>
      </c>
      <c r="V480" s="141" t="e">
        <f ca="1">SUMIF([2]!COMPROMISOS_2024[[#All],[consecutivo]],Contrato5[[#This Row],[RCP]],[2]!COMPROMISOS_2024[[#All],[valor_total]])</f>
        <v>#REF!</v>
      </c>
      <c r="W480" s="415">
        <v>45456</v>
      </c>
      <c r="X480" s="415">
        <v>45457</v>
      </c>
      <c r="Y480" s="143">
        <v>45457</v>
      </c>
      <c r="Z480" s="262">
        <v>45518</v>
      </c>
      <c r="AA480" s="183" t="s">
        <v>2638</v>
      </c>
      <c r="AB480" s="172" t="s">
        <v>500</v>
      </c>
      <c r="AC480" s="172"/>
      <c r="AD480" s="211">
        <v>202000004479</v>
      </c>
      <c r="AE480" s="147" t="s">
        <v>523</v>
      </c>
      <c r="AF480" s="148" t="str">
        <f>TEXT(LEFT(Contrato5[[#This Row],[CONTRATO]],3),"0")</f>
        <v>372</v>
      </c>
      <c r="AG480" s="148" t="str">
        <f>IF(LEN(Contrato5[[#This Row],[Contrato2]])=3,Contrato5[[#This Row],[Contrato2]],TEXT(Contrato5[[#This Row],[Contrato2]],"000"))</f>
        <v>372</v>
      </c>
      <c r="AH480" s="149">
        <f ca="1">IFERROR(_xlfn.DAYS(Contrato5[[#This Row],[Fecha Proyectada liquidación]],TODAY())/30,"")</f>
        <v>-4</v>
      </c>
      <c r="AI480" s="150">
        <f>+Contrato5[[#This Row],[FECHA TERMINACIÓN ]]+120</f>
        <v>45638</v>
      </c>
      <c r="AJ480" s="147"/>
      <c r="AK480" s="152" t="str">
        <f ca="1">IF(Contrato5[[#This Row],[FECHA TERMINACIÓN ]]&lt;TODAY(), "Terminado",IF(ISNUMBER(Contrato5[[#This Row],[Fecha Real de liquiidación ]]),"Liquidado",IF(Contrato5[[#This Row],[FECHA TERMINACIÓN ]]&gt;=TODAY(),"En ejecución","")))</f>
        <v>Terminado</v>
      </c>
      <c r="AL480" s="153" t="e">
        <f ca="1">SUMIF([2]!COMPROMISOS_2024[[#All],[consecutivo]],Contrato5[[#This Row],[RCP]],[2]!COMPROMISOS_2024[[#All],[Total pagado]])</f>
        <v>#REF!</v>
      </c>
      <c r="AM480" s="154">
        <f ca="1">IFERROR(Contrato5[[#This Row],[Pagos]]/Contrato5[[#This Row],[VALOR CONTRATO]],0)</f>
        <v>0</v>
      </c>
      <c r="AN480" s="198" t="e">
        <f ca="1">+Contrato5[[#This Row],[VALOR CONTRATO]]-Contrato5[[#This Row],[Pagos]]</f>
        <v>#REF!</v>
      </c>
      <c r="AO480" s="147" t="e" cm="1">
        <f t="array" aca="1" ref="AO480" ca="1">_xlfn.XLOOKUP(Contrato5[[#This Row],[DOCUMENTO ]],[2]!PERSONAL_ACTIVO_2024[[#All],[Documento identidad]],[2]!PERSONAL_ACTIVO_2024[[#All],[Mail ]],0,0)</f>
        <v>#NAME?</v>
      </c>
      <c r="AP480" s="147" t="e" cm="1">
        <f t="array" aca="1" ref="AP480" ca="1">_xlfn.XLOOKUP(Contrato5[[#This Row],[DOCUMENTO]],[2]!PERSONAL_ACTIVO_2024[[#All],[Documento identidad]],[2]!PERSONAL_ACTIVO_2024[[#All],[Mail ]],0,0)</f>
        <v>#NAME?</v>
      </c>
      <c r="AQ480" s="439" cm="1">
        <f t="array" aca="1" ref="AQ480" ca="1">IF(ISBLANK(Contrato5[[#This Row],[DEPENDENCIA ]]),0,IFERROR(_xlfn.XLOOKUP(Contrato5[[#This Row],[DEPENDENCIA ]],[2]!PERSONAL_ACTIVO_2024[[#All],[Dependencia]],[2]!PERSONAL_ACTIVO_2024[[#All],[Mail ]],0,0),0))</f>
        <v>0</v>
      </c>
    </row>
    <row r="481" spans="1:43" ht="34.5" customHeight="1">
      <c r="A481" s="125">
        <v>693</v>
      </c>
      <c r="B481" s="124">
        <v>373</v>
      </c>
      <c r="C481" s="162" t="s">
        <v>401</v>
      </c>
      <c r="D481" s="227" t="s">
        <v>515</v>
      </c>
      <c r="E481" s="440" t="s">
        <v>94</v>
      </c>
      <c r="F481" s="227" t="s">
        <v>255</v>
      </c>
      <c r="G481" s="281" t="s">
        <v>2639</v>
      </c>
      <c r="H481" s="436">
        <v>800013676</v>
      </c>
      <c r="I481" s="273" t="s">
        <v>42</v>
      </c>
      <c r="J481" s="505">
        <v>339015088</v>
      </c>
      <c r="K481" s="131" t="s">
        <v>42</v>
      </c>
      <c r="L481" s="438" t="s">
        <v>2469</v>
      </c>
      <c r="M481" s="194" t="s">
        <v>823</v>
      </c>
      <c r="N481" s="177" t="e" cm="1">
        <f t="array" aca="1" ref="N481" ca="1">_xlfn.XLOOKUP(Contrato5[[#This Row],[SUPERVISOR TITULAR]],[2]!PERSONAL_ACTIVO_2024[[#All],[Nombre completo]],[2]!PERSONAL_ACTIVO_2024[[#All],[Documento identidad]],"",0)</f>
        <v>#NAME?</v>
      </c>
      <c r="O481" s="194" t="s">
        <v>2546</v>
      </c>
      <c r="P481" s="196" t="e" cm="1">
        <f t="array" aca="1" ref="P481" ca="1">_xlfn.XLOOKUP(Contrato5[[#This Row],[SUPERVISOR SUPLENTE ]],[2]!PERSONAL_ACTIVO_2024[[#All],[Nombre completo]],[2]!PERSONAL_ACTIVO_2024[[#All],[Documento identidad]],"",0)</f>
        <v>#NAME?</v>
      </c>
      <c r="Q481" s="170">
        <v>508</v>
      </c>
      <c r="R481" s="137" t="e" cm="1">
        <f t="array" aca="1" ref="R481" ca="1">_xlfn.XLOOKUP(Contrato5[[#This Row],[CDP]],[2]!DISPONIBILIDADES_2024[[#All],[consecutivo]],[2]!DISPONIBILIDADES_2024[[#All],[fecha_aprobacion]],"",0)</f>
        <v>#NAME?</v>
      </c>
      <c r="S481" s="138" t="e">
        <f>SUMIF([2]!DISPONIBILIDADES_2024[[#All],[consecutivo]],Contrato5[[#This Row],[CDP]],[2]!DISPONIBILIDADES_2024[[#All],[valor_total_rubro]])</f>
        <v>#REF!</v>
      </c>
      <c r="T481" s="139" t="e" cm="1">
        <f t="array" aca="1" ref="T481" ca="1">_xlfn.XLOOKUP(Contrato5[[#This Row],[CONTRATO]]&amp;Contrato5[[#This Row],[CDP]],[2]!Corr_Contr_CDP[[#All],[CONTRATO-CDP]],[2]!Corr_Contr_CDP[[#All],[CRP]],_xlfn.XLOOKUP(Contrato5[[#This Row],[CDP]],[2]!COMPROMISOS_2024[[#All],[disponibilidad]],[2]!COMPROMISOS_2024[[#All],[consecutivo]],"",0),0)</f>
        <v>#NAME?</v>
      </c>
      <c r="U481" s="140" t="e" cm="1">
        <f t="array" aca="1" ref="U481" ca="1">+_xlfn.XLOOKUP(Contrato5[[#This Row],[RCP]],[2]!COMPROMISOS_2024[[#All],[consecutivo]],[2]!COMPROMISOS_2024[[#All],[fecha_aprobacion]],"",0)</f>
        <v>#NAME?</v>
      </c>
      <c r="V481" s="141" t="e">
        <f ca="1">SUMIF([2]!COMPROMISOS_2024[[#All],[consecutivo]],Contrato5[[#This Row],[RCP]],[2]!COMPROMISOS_2024[[#All],[valor_total]])</f>
        <v>#REF!</v>
      </c>
      <c r="W481" s="415">
        <v>45457</v>
      </c>
      <c r="X481" s="415">
        <v>45463</v>
      </c>
      <c r="Y481" s="143">
        <v>45463</v>
      </c>
      <c r="Z481" s="262">
        <v>45521</v>
      </c>
      <c r="AA481" s="183" t="s">
        <v>2640</v>
      </c>
      <c r="AB481" s="172" t="s">
        <v>500</v>
      </c>
      <c r="AC481" s="172"/>
      <c r="AD481" s="211">
        <v>202000004480</v>
      </c>
      <c r="AE481" s="147" t="s">
        <v>523</v>
      </c>
      <c r="AF481" s="148" t="str">
        <f>TEXT(LEFT(Contrato5[[#This Row],[CONTRATO]],3),"0")</f>
        <v>373</v>
      </c>
      <c r="AG481" s="148" t="str">
        <f>IF(LEN(Contrato5[[#This Row],[Contrato2]])=3,Contrato5[[#This Row],[Contrato2]],TEXT(Contrato5[[#This Row],[Contrato2]],"000"))</f>
        <v>373</v>
      </c>
      <c r="AH481" s="149">
        <f ca="1">IFERROR(_xlfn.DAYS(Contrato5[[#This Row],[Fecha Proyectada liquidación]],TODAY())/30,"")</f>
        <v>-3.9</v>
      </c>
      <c r="AI481" s="150">
        <f>+Contrato5[[#This Row],[FECHA TERMINACIÓN ]]+120</f>
        <v>45641</v>
      </c>
      <c r="AJ481" s="147"/>
      <c r="AK481" s="152" t="str">
        <f ca="1">IF(Contrato5[[#This Row],[FECHA TERMINACIÓN ]]&lt;TODAY(), "Terminado",IF(ISNUMBER(Contrato5[[#This Row],[Fecha Real de liquiidación ]]),"Liquidado",IF(Contrato5[[#This Row],[FECHA TERMINACIÓN ]]&gt;=TODAY(),"En ejecución","")))</f>
        <v>Terminado</v>
      </c>
      <c r="AL481" s="153" t="e">
        <f ca="1">SUMIF([2]!COMPROMISOS_2024[[#All],[consecutivo]],Contrato5[[#This Row],[RCP]],[2]!COMPROMISOS_2024[[#All],[Total pagado]])</f>
        <v>#REF!</v>
      </c>
      <c r="AM481" s="154">
        <f ca="1">IFERROR(Contrato5[[#This Row],[Pagos]]/Contrato5[[#This Row],[VALOR CONTRATO]],0)</f>
        <v>0</v>
      </c>
      <c r="AN481" s="198" t="e">
        <f ca="1">+Contrato5[[#This Row],[VALOR CONTRATO]]-Contrato5[[#This Row],[Pagos]]</f>
        <v>#REF!</v>
      </c>
      <c r="AO481" s="147" t="e" cm="1">
        <f t="array" aca="1" ref="AO481" ca="1">_xlfn.XLOOKUP(Contrato5[[#This Row],[DOCUMENTO ]],[2]!PERSONAL_ACTIVO_2024[[#All],[Documento identidad]],[2]!PERSONAL_ACTIVO_2024[[#All],[Mail ]],0,0)</f>
        <v>#NAME?</v>
      </c>
      <c r="AP481" s="147" t="e" cm="1">
        <f t="array" aca="1" ref="AP481" ca="1">_xlfn.XLOOKUP(Contrato5[[#This Row],[DOCUMENTO]],[2]!PERSONAL_ACTIVO_2024[[#All],[Documento identidad]],[2]!PERSONAL_ACTIVO_2024[[#All],[Mail ]],0,0)</f>
        <v>#NAME?</v>
      </c>
      <c r="AQ481" s="439" cm="1">
        <f t="array" aca="1" ref="AQ481" ca="1">IF(ISBLANK(Contrato5[[#This Row],[DEPENDENCIA ]]),0,IFERROR(_xlfn.XLOOKUP(Contrato5[[#This Row],[DEPENDENCIA ]],[2]!PERSONAL_ACTIVO_2024[[#All],[Dependencia]],[2]!PERSONAL_ACTIVO_2024[[#All],[Mail ]],0,0),0))</f>
        <v>0</v>
      </c>
    </row>
    <row r="482" spans="1:43" ht="34.5" customHeight="1">
      <c r="A482" s="125">
        <v>686</v>
      </c>
      <c r="B482" s="124">
        <v>374</v>
      </c>
      <c r="C482" s="162" t="s">
        <v>1332</v>
      </c>
      <c r="D482" s="227" t="s">
        <v>493</v>
      </c>
      <c r="E482" s="440" t="s">
        <v>94</v>
      </c>
      <c r="F482" s="227" t="s">
        <v>494</v>
      </c>
      <c r="G482" s="281" t="s">
        <v>2641</v>
      </c>
      <c r="H482" s="436">
        <v>890980040</v>
      </c>
      <c r="I482" s="273" t="s">
        <v>42</v>
      </c>
      <c r="J482" s="505">
        <v>91412000</v>
      </c>
      <c r="K482" s="131" t="s">
        <v>42</v>
      </c>
      <c r="L482" s="438" t="s">
        <v>2465</v>
      </c>
      <c r="M482" s="194" t="s">
        <v>502</v>
      </c>
      <c r="N482" s="177" t="e" cm="1">
        <f t="array" aca="1" ref="N482" ca="1">_xlfn.XLOOKUP(Contrato5[[#This Row],[SUPERVISOR TITULAR]],[2]!PERSONAL_ACTIVO_2024[[#All],[Nombre completo]],[2]!PERSONAL_ACTIVO_2024[[#All],[Documento identidad]],"",0)</f>
        <v>#NAME?</v>
      </c>
      <c r="O482" s="194" t="s">
        <v>2536</v>
      </c>
      <c r="P482" s="196" t="e" cm="1">
        <f t="array" aca="1" ref="P482" ca="1">_xlfn.XLOOKUP(Contrato5[[#This Row],[SUPERVISOR SUPLENTE ]],[2]!PERSONAL_ACTIVO_2024[[#All],[Nombre completo]],[2]!PERSONAL_ACTIVO_2024[[#All],[Documento identidad]],"",0)</f>
        <v>#NAME?</v>
      </c>
      <c r="Q482" s="170">
        <v>507</v>
      </c>
      <c r="R482" s="137" t="e" cm="1">
        <f t="array" aca="1" ref="R482" ca="1">_xlfn.XLOOKUP(Contrato5[[#This Row],[CDP]],[2]!DISPONIBILIDADES_2024[[#All],[consecutivo]],[2]!DISPONIBILIDADES_2024[[#All],[fecha_aprobacion]],"",0)</f>
        <v>#NAME?</v>
      </c>
      <c r="S482" s="138" t="e">
        <f>SUMIF([2]!DISPONIBILIDADES_2024[[#All],[consecutivo]],Contrato5[[#This Row],[CDP]],[2]!DISPONIBILIDADES_2024[[#All],[valor_total_rubro]])</f>
        <v>#REF!</v>
      </c>
      <c r="T482" s="139" t="e" cm="1">
        <f t="array" aca="1" ref="T482" ca="1">_xlfn.XLOOKUP(Contrato5[[#This Row],[CONTRATO]]&amp;Contrato5[[#This Row],[CDP]],[2]!Corr_Contr_CDP[[#All],[CONTRATO-CDP]],[2]!Corr_Contr_CDP[[#All],[CRP]],_xlfn.XLOOKUP(Contrato5[[#This Row],[CDP]],[2]!COMPROMISOS_2024[[#All],[disponibilidad]],[2]!COMPROMISOS_2024[[#All],[consecutivo]],"",0),0)</f>
        <v>#NAME?</v>
      </c>
      <c r="U482" s="140" t="e" cm="1">
        <f t="array" aca="1" ref="U482" ca="1">+_xlfn.XLOOKUP(Contrato5[[#This Row],[RCP]],[2]!COMPROMISOS_2024[[#All],[consecutivo]],[2]!COMPROMISOS_2024[[#All],[fecha_aprobacion]],"",0)</f>
        <v>#NAME?</v>
      </c>
      <c r="V482" s="141" t="e">
        <f ca="1">SUMIF([2]!COMPROMISOS_2024[[#All],[consecutivo]],Contrato5[[#This Row],[RCP]],[2]!COMPROMISOS_2024[[#All],[valor_total]])</f>
        <v>#REF!</v>
      </c>
      <c r="W482" s="415">
        <v>45475</v>
      </c>
      <c r="X482" s="415">
        <v>45485</v>
      </c>
      <c r="Y482" s="143">
        <v>45488</v>
      </c>
      <c r="Z482" s="262">
        <v>45657</v>
      </c>
      <c r="AA482" s="183" t="s">
        <v>2642</v>
      </c>
      <c r="AB482" s="172" t="s">
        <v>964</v>
      </c>
      <c r="AC482" s="172"/>
      <c r="AD482" s="211">
        <v>202000004599</v>
      </c>
      <c r="AE482" s="147" t="s">
        <v>523</v>
      </c>
      <c r="AF482" s="148" t="str">
        <f>TEXT(LEFT(Contrato5[[#This Row],[CONTRATO]],3),"0")</f>
        <v>374</v>
      </c>
      <c r="AG482" s="148" t="str">
        <f>IF(LEN(Contrato5[[#This Row],[Contrato2]])=3,Contrato5[[#This Row],[Contrato2]],TEXT(Contrato5[[#This Row],[Contrato2]],"000"))</f>
        <v>374</v>
      </c>
      <c r="AH482" s="149">
        <f ca="1">IFERROR(_xlfn.DAYS(Contrato5[[#This Row],[Fecha Proyectada liquidación]],TODAY())/30,"")</f>
        <v>0.6333333333333333</v>
      </c>
      <c r="AI482" s="150">
        <f>+Contrato5[[#This Row],[FECHA TERMINACIÓN ]]+120</f>
        <v>45777</v>
      </c>
      <c r="AJ482" s="125"/>
      <c r="AK482" s="152" t="str">
        <f ca="1">IF(Contrato5[[#This Row],[FECHA TERMINACIÓN ]]&lt;TODAY(), "Terminado",IF(ISNUMBER(Contrato5[[#This Row],[Fecha Real de liquiidación ]]),"Liquidado",IF(Contrato5[[#This Row],[FECHA TERMINACIÓN ]]&gt;=TODAY(),"En ejecución","")))</f>
        <v>Terminado</v>
      </c>
      <c r="AL482" s="153" t="e">
        <f ca="1">SUMIF([2]!COMPROMISOS_2024[[#All],[consecutivo]],Contrato5[[#This Row],[RCP]],[2]!COMPROMISOS_2024[[#All],[Total pagado]])</f>
        <v>#REF!</v>
      </c>
      <c r="AM482" s="154">
        <f ca="1">IFERROR(Contrato5[[#This Row],[Pagos]]/Contrato5[[#This Row],[VALOR CONTRATO]],0)</f>
        <v>0</v>
      </c>
      <c r="AN482" s="275" t="e">
        <f ca="1">+Contrato5[[#This Row],[VALOR CONTRATO]]-Contrato5[[#This Row],[Pagos]]</f>
        <v>#REF!</v>
      </c>
      <c r="AO482" s="125" t="e" cm="1">
        <f t="array" aca="1" ref="AO482" ca="1">_xlfn.XLOOKUP(Contrato5[[#This Row],[DOCUMENTO ]],[2]!PERSONAL_ACTIVO_2024[[#All],[Documento identidad]],[2]!PERSONAL_ACTIVO_2024[[#All],[Mail ]],0,0)</f>
        <v>#NAME?</v>
      </c>
      <c r="AP482" s="125" t="e" cm="1">
        <f t="array" aca="1" ref="AP482" ca="1">_xlfn.XLOOKUP(Contrato5[[#This Row],[DOCUMENTO]],[2]!PERSONAL_ACTIVO_2024[[#All],[Documento identidad]],[2]!PERSONAL_ACTIVO_2024[[#All],[Mail ]],0,0)</f>
        <v>#NAME?</v>
      </c>
      <c r="AQ482" s="496" cm="1">
        <f t="array" aca="1" ref="AQ482" ca="1">IF(ISBLANK(Contrato5[[#This Row],[DEPENDENCIA ]]),0,IFERROR(_xlfn.XLOOKUP(Contrato5[[#This Row],[DEPENDENCIA ]],[2]!PERSONAL_ACTIVO_2024[[#All],[Dependencia]],[2]!PERSONAL_ACTIVO_2024[[#All],[Mail ]],0,0),0))</f>
        <v>0</v>
      </c>
    </row>
    <row r="483" spans="1:43" ht="34.5" customHeight="1">
      <c r="A483" s="125">
        <v>692</v>
      </c>
      <c r="B483" s="124">
        <v>375</v>
      </c>
      <c r="C483" s="162" t="s">
        <v>400</v>
      </c>
      <c r="D483" s="227" t="s">
        <v>515</v>
      </c>
      <c r="E483" s="440" t="s">
        <v>94</v>
      </c>
      <c r="F483" s="227" t="s">
        <v>255</v>
      </c>
      <c r="G483" s="289" t="s">
        <v>2643</v>
      </c>
      <c r="H483" s="436">
        <v>890980577</v>
      </c>
      <c r="I483" s="308" t="s">
        <v>42</v>
      </c>
      <c r="J483" s="512">
        <v>233412467</v>
      </c>
      <c r="K483" s="131" t="s">
        <v>42</v>
      </c>
      <c r="L483" s="454" t="s">
        <v>2469</v>
      </c>
      <c r="M483" s="194" t="s">
        <v>822</v>
      </c>
      <c r="N483" s="177" t="e" cm="1">
        <f t="array" aca="1" ref="N483" ca="1">_xlfn.XLOOKUP(Contrato5[[#This Row],[SUPERVISOR TITULAR]],[2]!PERSONAL_ACTIVO_2024[[#All],[Nombre completo]],[2]!PERSONAL_ACTIVO_2024[[#All],[Documento identidad]],"",0)</f>
        <v>#NAME?</v>
      </c>
      <c r="O483" s="194" t="s">
        <v>823</v>
      </c>
      <c r="P483" s="196" t="e" cm="1">
        <f t="array" aca="1" ref="P483" ca="1">_xlfn.XLOOKUP(Contrato5[[#This Row],[SUPERVISOR SUPLENTE ]],[2]!PERSONAL_ACTIVO_2024[[#All],[Nombre completo]],[2]!PERSONAL_ACTIVO_2024[[#All],[Documento identidad]],"",0)</f>
        <v>#NAME?</v>
      </c>
      <c r="Q483" s="182">
        <v>506</v>
      </c>
      <c r="R483" s="137" t="e" cm="1">
        <f t="array" aca="1" ref="R483" ca="1">_xlfn.XLOOKUP(Contrato5[[#This Row],[CDP]],[2]!DISPONIBILIDADES_2024[[#All],[consecutivo]],[2]!DISPONIBILIDADES_2024[[#All],[fecha_aprobacion]],"",0)</f>
        <v>#NAME?</v>
      </c>
      <c r="S483" s="138" t="e">
        <f>SUMIF([2]!DISPONIBILIDADES_2024[[#All],[consecutivo]],Contrato5[[#This Row],[CDP]],[2]!DISPONIBILIDADES_2024[[#All],[valor_total_rubro]])</f>
        <v>#REF!</v>
      </c>
      <c r="T483" s="139" t="e" cm="1">
        <f t="array" aca="1" ref="T483" ca="1">_xlfn.XLOOKUP(Contrato5[[#This Row],[CONTRATO]]&amp;Contrato5[[#This Row],[CDP]],[2]!Corr_Contr_CDP[[#All],[CONTRATO-CDP]],[2]!Corr_Contr_CDP[[#All],[CRP]],_xlfn.XLOOKUP(Contrato5[[#This Row],[CDP]],[2]!COMPROMISOS_2024[[#All],[disponibilidad]],[2]!COMPROMISOS_2024[[#All],[consecutivo]],"",0),0)</f>
        <v>#NAME?</v>
      </c>
      <c r="U483" s="140" t="e" cm="1">
        <f t="array" aca="1" ref="U483" ca="1">+_xlfn.XLOOKUP(Contrato5[[#This Row],[RCP]],[2]!COMPROMISOS_2024[[#All],[consecutivo]],[2]!COMPROMISOS_2024[[#All],[fecha_aprobacion]],"",0)</f>
        <v>#NAME?</v>
      </c>
      <c r="V483" s="141" t="e">
        <f ca="1">SUMIF([2]!COMPROMISOS_2024[[#All],[consecutivo]],Contrato5[[#This Row],[RCP]],[2]!COMPROMISOS_2024[[#All],[valor_total]])</f>
        <v>#REF!</v>
      </c>
      <c r="W483" s="415">
        <v>45457</v>
      </c>
      <c r="X483" s="415">
        <v>45462</v>
      </c>
      <c r="Y483" s="143">
        <v>45457</v>
      </c>
      <c r="Z483" s="262">
        <v>45521</v>
      </c>
      <c r="AA483" s="171" t="s">
        <v>2644</v>
      </c>
      <c r="AB483" s="127" t="s">
        <v>500</v>
      </c>
      <c r="AC483" s="127"/>
      <c r="AD483" s="276">
        <v>202000004481</v>
      </c>
      <c r="AE483" s="147" t="s">
        <v>523</v>
      </c>
      <c r="AF483" s="148" t="str">
        <f>TEXT(LEFT(Contrato5[[#This Row],[CONTRATO]],3),"0")</f>
        <v>375</v>
      </c>
      <c r="AG483" s="148" t="str">
        <f>IF(LEN(Contrato5[[#This Row],[Contrato2]])=3,Contrato5[[#This Row],[Contrato2]],TEXT(Contrato5[[#This Row],[Contrato2]],"000"))</f>
        <v>375</v>
      </c>
      <c r="AH483" s="149">
        <f ca="1">IFERROR(_xlfn.DAYS(Contrato5[[#This Row],[Fecha Proyectada liquidación]],TODAY())/30,"")</f>
        <v>-3.9</v>
      </c>
      <c r="AI483" s="150">
        <f>+Contrato5[[#This Row],[FECHA TERMINACIÓN ]]+120</f>
        <v>45641</v>
      </c>
      <c r="AJ483" s="277"/>
      <c r="AK483" s="152" t="str">
        <f ca="1">IF(Contrato5[[#This Row],[FECHA TERMINACIÓN ]]&lt;TODAY(), "Terminado",IF(ISNUMBER(Contrato5[[#This Row],[Fecha Real de liquiidación ]]),"Liquidado",IF(Contrato5[[#This Row],[FECHA TERMINACIÓN ]]&gt;=TODAY(),"En ejecución","")))</f>
        <v>Terminado</v>
      </c>
      <c r="AL483" s="153" t="e">
        <f ca="1">SUMIF([2]!COMPROMISOS_2024[[#All],[consecutivo]],Contrato5[[#This Row],[RCP]],[2]!COMPROMISOS_2024[[#All],[Total pagado]])</f>
        <v>#REF!</v>
      </c>
      <c r="AM483" s="154">
        <f ca="1">IFERROR(Contrato5[[#This Row],[Pagos]]/Contrato5[[#This Row],[VALOR CONTRATO]],0)</f>
        <v>0</v>
      </c>
      <c r="AN483" s="278" t="e">
        <f ca="1">+Contrato5[[#This Row],[VALOR CONTRATO]]-Contrato5[[#This Row],[Pagos]]</f>
        <v>#REF!</v>
      </c>
      <c r="AO483" s="277" t="e" cm="1">
        <f t="array" aca="1" ref="AO483" ca="1">_xlfn.XLOOKUP(Contrato5[[#This Row],[DOCUMENTO ]],[2]!PERSONAL_ACTIVO_2024[[#All],[Documento identidad]],[2]!PERSONAL_ACTIVO_2024[[#All],[Mail ]],0,0)</f>
        <v>#NAME?</v>
      </c>
      <c r="AP483" s="277" t="e" cm="1">
        <f t="array" aca="1" ref="AP483" ca="1">_xlfn.XLOOKUP(Contrato5[[#This Row],[DOCUMENTO]],[2]!PERSONAL_ACTIVO_2024[[#All],[Documento identidad]],[2]!PERSONAL_ACTIVO_2024[[#All],[Mail ]],0,0)</f>
        <v>#NAME?</v>
      </c>
      <c r="AQ483" s="498" cm="1">
        <f t="array" aca="1" ref="AQ483" ca="1">IF(ISBLANK(Contrato5[[#This Row],[DEPENDENCIA ]]),0,IFERROR(_xlfn.XLOOKUP(Contrato5[[#This Row],[DEPENDENCIA ]],[2]!PERSONAL_ACTIVO_2024[[#All],[Dependencia]],[2]!PERSONAL_ACTIVO_2024[[#All],[Mail ]],0,0),0))</f>
        <v>0</v>
      </c>
    </row>
    <row r="484" spans="1:43" ht="34.5" customHeight="1">
      <c r="A484" s="125" t="s">
        <v>886</v>
      </c>
      <c r="B484" s="124">
        <v>376</v>
      </c>
      <c r="C484" s="162" t="s">
        <v>887</v>
      </c>
      <c r="D484" s="128" t="s">
        <v>42</v>
      </c>
      <c r="E484" s="128" t="s">
        <v>42</v>
      </c>
      <c r="F484" s="163" t="s">
        <v>1376</v>
      </c>
      <c r="G484" s="290" t="s">
        <v>887</v>
      </c>
      <c r="H484" s="447">
        <v>0</v>
      </c>
      <c r="I484" s="455">
        <v>0</v>
      </c>
      <c r="J484" s="456">
        <v>0</v>
      </c>
      <c r="K484" s="131" t="s">
        <v>2645</v>
      </c>
      <c r="L484" s="513" t="s">
        <v>2646</v>
      </c>
      <c r="M484" s="194"/>
      <c r="N484" s="177" t="e" cm="1">
        <f t="array" aca="1" ref="N484" ca="1">_xlfn.XLOOKUP(Contrato5[[#This Row],[SUPERVISOR TITULAR]],[2]!PERSONAL_ACTIVO_2024[[#All],[Nombre completo]],[2]!PERSONAL_ACTIVO_2024[[#All],[Documento identidad]],"",0)</f>
        <v>#NAME?</v>
      </c>
      <c r="O484" s="194"/>
      <c r="P484" s="196" t="e" cm="1">
        <f t="array" aca="1" ref="P484" ca="1">_xlfn.XLOOKUP(Contrato5[[#This Row],[SUPERVISOR SUPLENTE ]],[2]!PERSONAL_ACTIVO_2024[[#All],[Nombre completo]],[2]!PERSONAL_ACTIVO_2024[[#All],[Documento identidad]],"",0)</f>
        <v>#NAME?</v>
      </c>
      <c r="Q484" s="191">
        <v>0</v>
      </c>
      <c r="R484" s="137" t="e" cm="1">
        <f t="array" aca="1" ref="R484" ca="1">_xlfn.XLOOKUP(Contrato5[[#This Row],[CDP]],[2]!DISPONIBILIDADES_2024[[#All],[consecutivo]],[2]!DISPONIBILIDADES_2024[[#All],[fecha_aprobacion]],"",0)</f>
        <v>#NAME?</v>
      </c>
      <c r="S484" s="138" t="e">
        <f>SUMIF([2]!DISPONIBILIDADES_2024[[#All],[consecutivo]],Contrato5[[#This Row],[CDP]],[2]!DISPONIBILIDADES_2024[[#All],[valor_total_rubro]])</f>
        <v>#REF!</v>
      </c>
      <c r="T484" s="139" t="e" cm="1">
        <f t="array" aca="1" ref="T484" ca="1">_xlfn.XLOOKUP(Contrato5[[#This Row],[CONTRATO]]&amp;Contrato5[[#This Row],[CDP]],[2]!Corr_Contr_CDP[[#All],[CONTRATO-CDP]],[2]!Corr_Contr_CDP[[#All],[CRP]],_xlfn.XLOOKUP(Contrato5[[#This Row],[CDP]],[2]!COMPROMISOS_2024[[#All],[disponibilidad]],[2]!COMPROMISOS_2024[[#All],[consecutivo]],"",0),0)</f>
        <v>#NAME?</v>
      </c>
      <c r="U484" s="140" t="e" cm="1">
        <f t="array" aca="1" ref="U484" ca="1">+_xlfn.XLOOKUP(Contrato5[[#This Row],[RCP]],[2]!COMPROMISOS_2024[[#All],[consecutivo]],[2]!COMPROMISOS_2024[[#All],[fecha_aprobacion]],"",0)</f>
        <v>#NAME?</v>
      </c>
      <c r="V484" s="141" t="e">
        <f ca="1">SUMIF([2]!COMPROMISOS_2024[[#All],[consecutivo]],Contrato5[[#This Row],[RCP]],[2]!COMPROMISOS_2024[[#All],[valor_total]])</f>
        <v>#REF!</v>
      </c>
      <c r="W484" s="415" t="s">
        <v>2563</v>
      </c>
      <c r="X484" s="415" t="s">
        <v>2563</v>
      </c>
      <c r="Y484" s="143" t="e">
        <f ca="1">+LEFT(_xlfn.XLOOKUP(Contrato5[[#This Row],[CONTRATO3DIG]],[2]SECOP_II!AE:AE,[2]SECOP_II!F:F,"",0),10)</f>
        <v>#NAME?</v>
      </c>
      <c r="Z484" s="262"/>
      <c r="AA484" s="183"/>
      <c r="AB484" s="191">
        <v>0</v>
      </c>
      <c r="AC484" s="291"/>
      <c r="AD484" s="292"/>
      <c r="AE484" s="147"/>
      <c r="AF484" s="148" t="str">
        <f>TEXT(LEFT(Contrato5[[#This Row],[CONTRATO]],3),"0")</f>
        <v>376</v>
      </c>
      <c r="AG484" s="148" t="str">
        <f>IF(LEN(Contrato5[[#This Row],[Contrato2]])=3,Contrato5[[#This Row],[Contrato2]],TEXT(Contrato5[[#This Row],[Contrato2]],"000"))</f>
        <v>376</v>
      </c>
      <c r="AH484" s="149">
        <f ca="1">IFERROR(_xlfn.DAYS(Contrato5[[#This Row],[Fecha Proyectada liquidación]],TODAY())/30,"")</f>
        <v>-1521.2666666666667</v>
      </c>
      <c r="AI484" s="150">
        <f>+Contrato5[[#This Row],[FECHA TERMINACIÓN ]]+120</f>
        <v>120</v>
      </c>
      <c r="AJ484" s="293"/>
      <c r="AK484" s="152" t="str">
        <f ca="1">IF(Contrato5[[#This Row],[FECHA TERMINACIÓN ]]&lt;TODAY(), "Terminado",IF(ISNUMBER(Contrato5[[#This Row],[Fecha Real de liquiidación ]]),"Liquidado",IF(Contrato5[[#This Row],[FECHA TERMINACIÓN ]]&gt;=TODAY(),"En ejecución","")))</f>
        <v>Terminado</v>
      </c>
      <c r="AL484" s="153" t="e">
        <f ca="1">SUMIF([2]!COMPROMISOS_2024[[#All],[consecutivo]],Contrato5[[#This Row],[RCP]],[2]!COMPROMISOS_2024[[#All],[Total pagado]])</f>
        <v>#REF!</v>
      </c>
      <c r="AM484" s="154">
        <f ca="1">IFERROR(Contrato5[[#This Row],[Pagos]]/Contrato5[[#This Row],[VALOR CONTRATO]],0)</f>
        <v>0</v>
      </c>
      <c r="AN484" s="294" t="e">
        <f ca="1">+Contrato5[[#This Row],[VALOR CONTRATO]]-Contrato5[[#This Row],[Pagos]]</f>
        <v>#REF!</v>
      </c>
      <c r="AO484" s="293" t="e" cm="1">
        <f t="array" aca="1" ref="AO484" ca="1">_xlfn.XLOOKUP(Contrato5[[#This Row],[DOCUMENTO ]],[2]!PERSONAL_ACTIVO_2024[[#All],[Documento identidad]],[2]!PERSONAL_ACTIVO_2024[[#All],[Mail ]],0,0)</f>
        <v>#NAME?</v>
      </c>
      <c r="AP484" s="293" t="e" cm="1">
        <f t="array" aca="1" ref="AP484" ca="1">_xlfn.XLOOKUP(Contrato5[[#This Row],[DOCUMENTO]],[2]!PERSONAL_ACTIVO_2024[[#All],[Documento identidad]],[2]!PERSONAL_ACTIVO_2024[[#All],[Mail ]],0,0)</f>
        <v>#NAME?</v>
      </c>
      <c r="AQ484" s="514" cm="1">
        <f t="array" aca="1" ref="AQ484" ca="1">IF(ISBLANK(Contrato5[[#This Row],[DEPENDENCIA ]]),0,IFERROR(_xlfn.XLOOKUP(Contrato5[[#This Row],[DEPENDENCIA ]],[2]!PERSONAL_ACTIVO_2024[[#All],[Dependencia]],[2]!PERSONAL_ACTIVO_2024[[#All],[Mail ]],0,0),0))</f>
        <v>0</v>
      </c>
    </row>
    <row r="485" spans="1:43" ht="34.5" customHeight="1">
      <c r="A485" s="125">
        <v>691</v>
      </c>
      <c r="B485" s="124">
        <v>377</v>
      </c>
      <c r="C485" s="162" t="s">
        <v>399</v>
      </c>
      <c r="D485" s="227" t="s">
        <v>515</v>
      </c>
      <c r="E485" s="440" t="s">
        <v>94</v>
      </c>
      <c r="F485" s="227" t="s">
        <v>255</v>
      </c>
      <c r="G485" s="296" t="s">
        <v>2647</v>
      </c>
      <c r="H485" s="436">
        <v>800169283</v>
      </c>
      <c r="I485" s="308" t="s">
        <v>42</v>
      </c>
      <c r="J485" s="515">
        <v>278351169</v>
      </c>
      <c r="K485" s="131" t="s">
        <v>42</v>
      </c>
      <c r="L485" s="516" t="s">
        <v>2469</v>
      </c>
      <c r="M485" s="194" t="s">
        <v>577</v>
      </c>
      <c r="N485" s="177" t="e" cm="1">
        <f t="array" aca="1" ref="N485" ca="1">_xlfn.XLOOKUP(Contrato5[[#This Row],[SUPERVISOR TITULAR]],[2]!PERSONAL_ACTIVO_2024[[#All],[Nombre completo]],[2]!PERSONAL_ACTIVO_2024[[#All],[Documento identidad]],"",0)</f>
        <v>#NAME?</v>
      </c>
      <c r="O485" s="194" t="s">
        <v>2637</v>
      </c>
      <c r="P485" s="196" t="e" cm="1">
        <f t="array" aca="1" ref="P485" ca="1">_xlfn.XLOOKUP(Contrato5[[#This Row],[SUPERVISOR SUPLENTE ]],[2]!PERSONAL_ACTIVO_2024[[#All],[Nombre completo]],[2]!PERSONAL_ACTIVO_2024[[#All],[Documento identidad]],"",0)</f>
        <v>#NAME?</v>
      </c>
      <c r="Q485" s="297">
        <v>509</v>
      </c>
      <c r="R485" s="137" t="e" cm="1">
        <f t="array" aca="1" ref="R485" ca="1">_xlfn.XLOOKUP(Contrato5[[#This Row],[CDP]],[2]!DISPONIBILIDADES_2024[[#All],[consecutivo]],[2]!DISPONIBILIDADES_2024[[#All],[fecha_aprobacion]],"",0)</f>
        <v>#NAME?</v>
      </c>
      <c r="S485" s="138" t="e">
        <f>SUMIF([2]!DISPONIBILIDADES_2024[[#All],[consecutivo]],Contrato5[[#This Row],[CDP]],[2]!DISPONIBILIDADES_2024[[#All],[valor_total_rubro]])</f>
        <v>#REF!</v>
      </c>
      <c r="T485" s="139" t="e" cm="1">
        <f t="array" aca="1" ref="T485" ca="1">_xlfn.XLOOKUP(Contrato5[[#This Row],[CONTRATO]]&amp;Contrato5[[#This Row],[CDP]],[2]!Corr_Contr_CDP[[#All],[CONTRATO-CDP]],[2]!Corr_Contr_CDP[[#All],[CRP]],_xlfn.XLOOKUP(Contrato5[[#This Row],[CDP]],[2]!COMPROMISOS_2024[[#All],[disponibilidad]],[2]!COMPROMISOS_2024[[#All],[consecutivo]],"",0),0)</f>
        <v>#NAME?</v>
      </c>
      <c r="U485" s="140" t="e" cm="1">
        <f t="array" aca="1" ref="U485" ca="1">+_xlfn.XLOOKUP(Contrato5[[#This Row],[RCP]],[2]!COMPROMISOS_2024[[#All],[consecutivo]],[2]!COMPROMISOS_2024[[#All],[fecha_aprobacion]],"",0)</f>
        <v>#NAME?</v>
      </c>
      <c r="V485" s="141" t="e">
        <f ca="1">SUMIF([2]!COMPROMISOS_2024[[#All],[consecutivo]],Contrato5[[#This Row],[RCP]],[2]!COMPROMISOS_2024[[#All],[valor_total]])</f>
        <v>#REF!</v>
      </c>
      <c r="W485" s="415">
        <v>45456</v>
      </c>
      <c r="X485" s="415">
        <v>45460</v>
      </c>
      <c r="Y485" s="143">
        <v>45460</v>
      </c>
      <c r="Z485" s="262">
        <v>45521</v>
      </c>
      <c r="AA485" s="171" t="s">
        <v>2648</v>
      </c>
      <c r="AB485" s="127" t="s">
        <v>500</v>
      </c>
      <c r="AC485" s="298"/>
      <c r="AD485" s="299">
        <v>202000004482</v>
      </c>
      <c r="AE485" s="147" t="s">
        <v>523</v>
      </c>
      <c r="AF485" s="148" t="str">
        <f>TEXT(LEFT(Contrato5[[#This Row],[CONTRATO]],3),"0")</f>
        <v>377</v>
      </c>
      <c r="AG485" s="148" t="str">
        <f>IF(LEN(Contrato5[[#This Row],[Contrato2]])=3,Contrato5[[#This Row],[Contrato2]],TEXT(Contrato5[[#This Row],[Contrato2]],"000"))</f>
        <v>377</v>
      </c>
      <c r="AH485" s="149">
        <f ca="1">IFERROR(_xlfn.DAYS(Contrato5[[#This Row],[Fecha Proyectada liquidación]],TODAY())/30,"")</f>
        <v>-3.9</v>
      </c>
      <c r="AI485" s="150">
        <f>+Contrato5[[#This Row],[FECHA TERMINACIÓN ]]+120</f>
        <v>45641</v>
      </c>
      <c r="AJ485" s="147"/>
      <c r="AK485" s="152" t="str">
        <f ca="1">IF(Contrato5[[#This Row],[FECHA TERMINACIÓN ]]&lt;TODAY(), "Terminado",IF(ISNUMBER(Contrato5[[#This Row],[Fecha Real de liquiidación ]]),"Liquidado",IF(Contrato5[[#This Row],[FECHA TERMINACIÓN ]]&gt;=TODAY(),"En ejecución","")))</f>
        <v>Terminado</v>
      </c>
      <c r="AL485" s="153" t="e">
        <f ca="1">SUMIF([2]!COMPROMISOS_2024[[#All],[consecutivo]],Contrato5[[#This Row],[RCP]],[2]!COMPROMISOS_2024[[#All],[Total pagado]])</f>
        <v>#REF!</v>
      </c>
      <c r="AM485" s="154">
        <f ca="1">IFERROR(Contrato5[[#This Row],[Pagos]]/Contrato5[[#This Row],[VALOR CONTRATO]],0)</f>
        <v>0</v>
      </c>
      <c r="AN485" s="198" t="e">
        <f ca="1">+Contrato5[[#This Row],[VALOR CONTRATO]]-Contrato5[[#This Row],[Pagos]]</f>
        <v>#REF!</v>
      </c>
      <c r="AO485" s="147" t="e" cm="1">
        <f t="array" aca="1" ref="AO485" ca="1">_xlfn.XLOOKUP(Contrato5[[#This Row],[DOCUMENTO ]],[2]!PERSONAL_ACTIVO_2024[[#All],[Documento identidad]],[2]!PERSONAL_ACTIVO_2024[[#All],[Mail ]],0,0)</f>
        <v>#NAME?</v>
      </c>
      <c r="AP485" s="147" t="e" cm="1">
        <f t="array" aca="1" ref="AP485" ca="1">_xlfn.XLOOKUP(Contrato5[[#This Row],[DOCUMENTO]],[2]!PERSONAL_ACTIVO_2024[[#All],[Documento identidad]],[2]!PERSONAL_ACTIVO_2024[[#All],[Mail ]],0,0)</f>
        <v>#NAME?</v>
      </c>
      <c r="AQ485" s="439" cm="1">
        <f t="array" aca="1" ref="AQ485" ca="1">IF(ISBLANK(Contrato5[[#This Row],[DEPENDENCIA ]]),0,IFERROR(_xlfn.XLOOKUP(Contrato5[[#This Row],[DEPENDENCIA ]],[2]!PERSONAL_ACTIVO_2024[[#All],[Dependencia]],[2]!PERSONAL_ACTIVO_2024[[#All],[Mail ]],0,0),0))</f>
        <v>0</v>
      </c>
    </row>
    <row r="486" spans="1:43" ht="34.5" customHeight="1">
      <c r="A486" s="125">
        <v>709</v>
      </c>
      <c r="B486" s="124">
        <v>378</v>
      </c>
      <c r="C486" s="162" t="s">
        <v>1762</v>
      </c>
      <c r="D486" s="227" t="s">
        <v>583</v>
      </c>
      <c r="E486" s="440" t="s">
        <v>94</v>
      </c>
      <c r="F486" s="227" t="s">
        <v>255</v>
      </c>
      <c r="G486" s="281" t="s">
        <v>2649</v>
      </c>
      <c r="H486" s="436">
        <v>890906355</v>
      </c>
      <c r="I486" s="308" t="s">
        <v>42</v>
      </c>
      <c r="J486" s="505">
        <v>80000000</v>
      </c>
      <c r="K486" s="131" t="s">
        <v>42</v>
      </c>
      <c r="L486" s="438" t="s">
        <v>2465</v>
      </c>
      <c r="M486" s="194" t="s">
        <v>586</v>
      </c>
      <c r="N486" s="177" t="e" cm="1">
        <f t="array" aca="1" ref="N486" ca="1">_xlfn.XLOOKUP(Contrato5[[#This Row],[SUPERVISOR TITULAR]],[2]!PERSONAL_ACTIVO_2024[[#All],[Nombre completo]],[2]!PERSONAL_ACTIVO_2024[[#All],[Documento identidad]],"",0)</f>
        <v>#NAME?</v>
      </c>
      <c r="O486" s="194" t="s">
        <v>589</v>
      </c>
      <c r="P486" s="196" t="e" cm="1">
        <f t="array" aca="1" ref="P486" ca="1">_xlfn.XLOOKUP(Contrato5[[#This Row],[SUPERVISOR SUPLENTE ]],[2]!PERSONAL_ACTIVO_2024[[#All],[Nombre completo]],[2]!PERSONAL_ACTIVO_2024[[#All],[Documento identidad]],"",0)</f>
        <v>#NAME?</v>
      </c>
      <c r="Q486" s="170">
        <v>539</v>
      </c>
      <c r="R486" s="137" t="e" cm="1">
        <f t="array" aca="1" ref="R486" ca="1">_xlfn.XLOOKUP(Contrato5[[#This Row],[CDP]],[2]!DISPONIBILIDADES_2024[[#All],[consecutivo]],[2]!DISPONIBILIDADES_2024[[#All],[fecha_aprobacion]],"",0)</f>
        <v>#NAME?</v>
      </c>
      <c r="S486" s="138" t="e">
        <f>SUMIF([2]!DISPONIBILIDADES_2024[[#All],[consecutivo]],Contrato5[[#This Row],[CDP]],[2]!DISPONIBILIDADES_2024[[#All],[valor_total_rubro]])</f>
        <v>#REF!</v>
      </c>
      <c r="T486" s="139" t="e" cm="1">
        <f t="array" aca="1" ref="T486" ca="1">_xlfn.XLOOKUP(Contrato5[[#This Row],[CONTRATO]]&amp;Contrato5[[#This Row],[CDP]],[2]!Corr_Contr_CDP[[#All],[CONTRATO-CDP]],[2]!Corr_Contr_CDP[[#All],[CRP]],_xlfn.XLOOKUP(Contrato5[[#This Row],[CDP]],[2]!COMPROMISOS_2024[[#All],[disponibilidad]],[2]!COMPROMISOS_2024[[#All],[consecutivo]],"",0),0)</f>
        <v>#NAME?</v>
      </c>
      <c r="U486" s="140" t="e" cm="1">
        <f t="array" aca="1" ref="U486" ca="1">+_xlfn.XLOOKUP(Contrato5[[#This Row],[RCP]],[2]!COMPROMISOS_2024[[#All],[consecutivo]],[2]!COMPROMISOS_2024[[#All],[fecha_aprobacion]],"",0)</f>
        <v>#NAME?</v>
      </c>
      <c r="V486" s="141" t="e">
        <f ca="1">SUMIF([2]!COMPROMISOS_2024[[#All],[consecutivo]],Contrato5[[#This Row],[RCP]],[2]!COMPROMISOS_2024[[#All],[valor_total]])</f>
        <v>#REF!</v>
      </c>
      <c r="W486" s="415">
        <v>45460</v>
      </c>
      <c r="X486" s="415">
        <v>45462</v>
      </c>
      <c r="Y486" s="143">
        <v>45462</v>
      </c>
      <c r="Z486" s="262">
        <v>45656</v>
      </c>
      <c r="AA486" s="171" t="s">
        <v>2650</v>
      </c>
      <c r="AB486" s="291" t="s">
        <v>2651</v>
      </c>
      <c r="AC486" s="172"/>
      <c r="AD486" s="211">
        <v>202000004483</v>
      </c>
      <c r="AE486" s="147" t="s">
        <v>523</v>
      </c>
      <c r="AF486" s="148" t="str">
        <f>TEXT(LEFT(Contrato5[[#This Row],[CONTRATO]],3),"0")</f>
        <v>378</v>
      </c>
      <c r="AG486" s="148" t="str">
        <f>IF(LEN(Contrato5[[#This Row],[Contrato2]])=3,Contrato5[[#This Row],[Contrato2]],TEXT(Contrato5[[#This Row],[Contrato2]],"000"))</f>
        <v>378</v>
      </c>
      <c r="AH486" s="149">
        <f ca="1">IFERROR(_xlfn.DAYS(Contrato5[[#This Row],[Fecha Proyectada liquidación]],TODAY())/30,"")</f>
        <v>0.6</v>
      </c>
      <c r="AI486" s="150">
        <f>+Contrato5[[#This Row],[FECHA TERMINACIÓN ]]+120</f>
        <v>45776</v>
      </c>
      <c r="AJ486" s="147"/>
      <c r="AK486" s="152" t="str">
        <f ca="1">IF(Contrato5[[#This Row],[FECHA TERMINACIÓN ]]&lt;TODAY(), "Terminado",IF(ISNUMBER(Contrato5[[#This Row],[Fecha Real de liquiidación ]]),"Liquidado",IF(Contrato5[[#This Row],[FECHA TERMINACIÓN ]]&gt;=TODAY(),"En ejecución","")))</f>
        <v>Terminado</v>
      </c>
      <c r="AL486" s="153" t="e">
        <f ca="1">SUMIF([2]!COMPROMISOS_2024[[#All],[consecutivo]],Contrato5[[#This Row],[RCP]],[2]!COMPROMISOS_2024[[#All],[Total pagado]])</f>
        <v>#REF!</v>
      </c>
      <c r="AM486" s="154">
        <f ca="1">IFERROR(Contrato5[[#This Row],[Pagos]]/Contrato5[[#This Row],[VALOR CONTRATO]],0)</f>
        <v>0</v>
      </c>
      <c r="AN486" s="198" t="e">
        <f ca="1">+Contrato5[[#This Row],[VALOR CONTRATO]]-Contrato5[[#This Row],[Pagos]]</f>
        <v>#REF!</v>
      </c>
      <c r="AO486" s="147" t="e" cm="1">
        <f t="array" aca="1" ref="AO486" ca="1">_xlfn.XLOOKUP(Contrato5[[#This Row],[DOCUMENTO ]],[2]!PERSONAL_ACTIVO_2024[[#All],[Documento identidad]],[2]!PERSONAL_ACTIVO_2024[[#All],[Mail ]],0,0)</f>
        <v>#NAME?</v>
      </c>
      <c r="AP486" s="147" t="e" cm="1">
        <f t="array" aca="1" ref="AP486" ca="1">_xlfn.XLOOKUP(Contrato5[[#This Row],[DOCUMENTO]],[2]!PERSONAL_ACTIVO_2024[[#All],[Documento identidad]],[2]!PERSONAL_ACTIVO_2024[[#All],[Mail ]],0,0)</f>
        <v>#NAME?</v>
      </c>
      <c r="AQ486" s="439" cm="1">
        <f t="array" aca="1" ref="AQ486" ca="1">IF(ISBLANK(Contrato5[[#This Row],[DEPENDENCIA ]]),0,IFERROR(_xlfn.XLOOKUP(Contrato5[[#This Row],[DEPENDENCIA ]],[2]!PERSONAL_ACTIVO_2024[[#All],[Dependencia]],[2]!PERSONAL_ACTIVO_2024[[#All],[Mail ]],0,0),0))</f>
        <v>0</v>
      </c>
    </row>
    <row r="487" spans="1:43" ht="34.5" customHeight="1">
      <c r="A487" s="492">
        <v>1308</v>
      </c>
      <c r="B487" s="499">
        <v>378</v>
      </c>
      <c r="C487" s="494" t="s">
        <v>2146</v>
      </c>
      <c r="D487" s="495" t="s">
        <v>583</v>
      </c>
      <c r="E487" s="510" t="s">
        <v>78</v>
      </c>
      <c r="F487" s="495" t="s">
        <v>255</v>
      </c>
      <c r="G487" s="281" t="s">
        <v>2649</v>
      </c>
      <c r="H487" s="436">
        <v>890906355</v>
      </c>
      <c r="I487" s="308" t="s">
        <v>42</v>
      </c>
      <c r="J487" s="188">
        <v>40000000</v>
      </c>
      <c r="K487" s="131" t="s">
        <v>42</v>
      </c>
      <c r="L487" s="166" t="s">
        <v>2605</v>
      </c>
      <c r="M487" s="194"/>
      <c r="N487" s="195" t="e" cm="1">
        <f t="array" aca="1" ref="N487" ca="1">_xlfn.XLOOKUP(Contrato5[[#This Row],[SUPERVISOR TITULAR]],[2]!PERSONAL_ACTIVO_2024[[#All],[Nombre completo]],[2]!PERSONAL_ACTIVO_2024[[#All],[Documento identidad]],"",0)</f>
        <v>#NAME?</v>
      </c>
      <c r="O487" s="194"/>
      <c r="P487" s="135" t="e" cm="1">
        <f t="array" aca="1" ref="P487" ca="1">_xlfn.XLOOKUP(Contrato5[[#This Row],[SUPERVISOR SUPLENTE ]],[2]!PERSONAL_ACTIVO_2024[[#All],[Nombre completo]],[2]!PERSONAL_ACTIVO_2024[[#All],[Documento identidad]],"",0)</f>
        <v>#NAME?</v>
      </c>
      <c r="Q487" s="170">
        <v>1185</v>
      </c>
      <c r="R487" s="137" t="e" cm="1">
        <f t="array" aca="1" ref="R487" ca="1">_xlfn.XLOOKUP(Contrato5[[#This Row],[CDP]],[2]!DISPONIBILIDADES_2024[[#All],[consecutivo]],[2]!DISPONIBILIDADES_2024[[#All],[fecha_aprobacion]],"",0)</f>
        <v>#NAME?</v>
      </c>
      <c r="S487" s="138" t="e">
        <f>SUMIF([2]!DISPONIBILIDADES_2024[[#All],[consecutivo]],Contrato5[[#This Row],[CDP]],[2]!DISPONIBILIDADES_2024[[#All],[valor_total_rubro]])</f>
        <v>#REF!</v>
      </c>
      <c r="T487" s="139">
        <v>14497</v>
      </c>
      <c r="U487" s="140">
        <v>45637</v>
      </c>
      <c r="V487" s="141">
        <v>40000000</v>
      </c>
      <c r="W487" s="422"/>
      <c r="X487" s="415"/>
      <c r="Y487" s="143">
        <v>45462</v>
      </c>
      <c r="Z487" s="262">
        <v>45656</v>
      </c>
      <c r="AA487" s="203"/>
      <c r="AB487" s="172" t="s">
        <v>42</v>
      </c>
      <c r="AC487" s="127"/>
      <c r="AD487" s="211"/>
      <c r="AE487" s="147"/>
      <c r="AF487" s="148" t="str">
        <f>TEXT(LEFT(Contrato5[[#This Row],[CONTRATO]],3),"0")</f>
        <v>378</v>
      </c>
      <c r="AG487" s="148" t="str">
        <f>IF(LEN(Contrato5[[#This Row],[Contrato2]])=3,Contrato5[[#This Row],[Contrato2]],TEXT(Contrato5[[#This Row],[Contrato2]],"000"))</f>
        <v>378</v>
      </c>
      <c r="AH487" s="149">
        <f ca="1">IFERROR(_xlfn.DAYS(Contrato5[[#This Row],[Fecha Proyectada liquidación]],TODAY())/30,"")</f>
        <v>0.6</v>
      </c>
      <c r="AI487" s="150">
        <f>+Contrato5[[#This Row],[FECHA TERMINACIÓN ]]+120</f>
        <v>45776</v>
      </c>
      <c r="AJ487" s="147"/>
      <c r="AK487" s="152" t="str">
        <f ca="1">IF(Contrato5[[#This Row],[FECHA TERMINACIÓN ]]&lt;TODAY(), "Terminado",IF(ISNUMBER(Contrato5[[#This Row],[Fecha Real de liquiidación ]]),"Liquidado",IF(Contrato5[[#This Row],[FECHA TERMINACIÓN ]]&gt;=TODAY(),"En ejecución","")))</f>
        <v>Terminado</v>
      </c>
      <c r="AL487" s="153" t="e">
        <f>SUMIF([2]!COMPROMISOS_2024[[#All],[consecutivo]],Contrato5[[#This Row],[RCP]],[2]!COMPROMISOS_2024[[#All],[Total pagado]])</f>
        <v>#REF!</v>
      </c>
      <c r="AM487" s="154">
        <f>IFERROR(Contrato5[[#This Row],[Pagos]]/Contrato5[[#This Row],[VALOR CONTRATO]],0)</f>
        <v>0</v>
      </c>
      <c r="AN487" s="198" t="e">
        <f>+Contrato5[[#This Row],[VALOR CONTRATO]]-Contrato5[[#This Row],[Pagos]]</f>
        <v>#REF!</v>
      </c>
      <c r="AO487" s="147" t="e" cm="1">
        <f t="array" aca="1" ref="AO487" ca="1">_xlfn.XLOOKUP(Contrato5[[#This Row],[DOCUMENTO ]],[2]!PERSONAL_ACTIVO_2024[[#All],[Documento identidad]],[2]!PERSONAL_ACTIVO_2024[[#All],[Mail ]],0,0)</f>
        <v>#NAME?</v>
      </c>
      <c r="AP487" s="147" t="e" cm="1">
        <f t="array" aca="1" ref="AP487" ca="1">_xlfn.XLOOKUP(Contrato5[[#This Row],[DOCUMENTO]],[2]!PERSONAL_ACTIVO_2024[[#All],[Documento identidad]],[2]!PERSONAL_ACTIVO_2024[[#All],[Mail ]],0,0)</f>
        <v>#NAME?</v>
      </c>
      <c r="AQ487" s="439" cm="1">
        <f t="array" aca="1" ref="AQ487" ca="1">IF(ISBLANK(Contrato5[[#This Row],[DEPENDENCIA ]]),0,IFERROR(_xlfn.XLOOKUP(Contrato5[[#This Row],[DEPENDENCIA ]],[2]!PERSONAL_ACTIVO_2024[[#All],[Dependencia]],[2]!PERSONAL_ACTIVO_2024[[#All],[Mail ]],0,0),0))</f>
        <v>0</v>
      </c>
    </row>
    <row r="488" spans="1:43" ht="34.5" customHeight="1">
      <c r="A488" s="125">
        <v>103</v>
      </c>
      <c r="B488" s="124">
        <v>379</v>
      </c>
      <c r="C488" s="162" t="s">
        <v>1512</v>
      </c>
      <c r="D488" s="227" t="s">
        <v>583</v>
      </c>
      <c r="E488" s="440" t="s">
        <v>94</v>
      </c>
      <c r="F488" s="227" t="s">
        <v>222</v>
      </c>
      <c r="G488" s="281" t="s">
        <v>2652</v>
      </c>
      <c r="H488" s="436">
        <v>890982308</v>
      </c>
      <c r="I488" s="308" t="s">
        <v>42</v>
      </c>
      <c r="J488" s="505">
        <v>95000000</v>
      </c>
      <c r="K488" s="131" t="s">
        <v>42</v>
      </c>
      <c r="L488" s="438" t="s">
        <v>2465</v>
      </c>
      <c r="M488" s="194" t="s">
        <v>586</v>
      </c>
      <c r="N488" s="177" t="e" cm="1">
        <f t="array" aca="1" ref="N488" ca="1">_xlfn.XLOOKUP(Contrato5[[#This Row],[SUPERVISOR TITULAR]],[2]!PERSONAL_ACTIVO_2024[[#All],[Nombre completo]],[2]!PERSONAL_ACTIVO_2024[[#All],[Documento identidad]],"",0)</f>
        <v>#NAME?</v>
      </c>
      <c r="O488" s="194" t="s">
        <v>589</v>
      </c>
      <c r="P488" s="196" t="e" cm="1">
        <f t="array" aca="1" ref="P488" ca="1">_xlfn.XLOOKUP(Contrato5[[#This Row],[SUPERVISOR SUPLENTE ]],[2]!PERSONAL_ACTIVO_2024[[#All],[Nombre completo]],[2]!PERSONAL_ACTIVO_2024[[#All],[Documento identidad]],"",0)</f>
        <v>#NAME?</v>
      </c>
      <c r="Q488" s="170">
        <v>551</v>
      </c>
      <c r="R488" s="137" t="e" cm="1">
        <f t="array" aca="1" ref="R488" ca="1">_xlfn.XLOOKUP(Contrato5[[#This Row],[CDP]],[2]!DISPONIBILIDADES_2024[[#All],[consecutivo]],[2]!DISPONIBILIDADES_2024[[#All],[fecha_aprobacion]],"",0)</f>
        <v>#NAME?</v>
      </c>
      <c r="S488" s="138" t="e">
        <f>SUMIF([2]!DISPONIBILIDADES_2024[[#All],[consecutivo]],Contrato5[[#This Row],[CDP]],[2]!DISPONIBILIDADES_2024[[#All],[valor_total_rubro]])</f>
        <v>#REF!</v>
      </c>
      <c r="T488" s="139" t="e" cm="1">
        <f t="array" aca="1" ref="T488" ca="1">_xlfn.XLOOKUP(Contrato5[[#This Row],[CONTRATO]]&amp;Contrato5[[#This Row],[CDP]],[2]!Corr_Contr_CDP[[#All],[CONTRATO-CDP]],[2]!Corr_Contr_CDP[[#All],[CRP]],_xlfn.XLOOKUP(Contrato5[[#This Row],[CDP]],[2]!COMPROMISOS_2024[[#All],[disponibilidad]],[2]!COMPROMISOS_2024[[#All],[consecutivo]],"",0),0)</f>
        <v>#NAME?</v>
      </c>
      <c r="U488" s="140" t="e" cm="1">
        <f t="array" aca="1" ref="U488" ca="1">+_xlfn.XLOOKUP(Contrato5[[#This Row],[RCP]],[2]!COMPROMISOS_2024[[#All],[consecutivo]],[2]!COMPROMISOS_2024[[#All],[fecha_aprobacion]],"",0)</f>
        <v>#NAME?</v>
      </c>
      <c r="V488" s="141" t="e">
        <f ca="1">SUMIF([2]!COMPROMISOS_2024[[#All],[consecutivo]],Contrato5[[#This Row],[RCP]],[2]!COMPROMISOS_2024[[#All],[valor_total]])</f>
        <v>#REF!</v>
      </c>
      <c r="W488" s="415">
        <v>45460</v>
      </c>
      <c r="X488" s="415">
        <v>45461</v>
      </c>
      <c r="Y488" s="143">
        <v>45461</v>
      </c>
      <c r="Z488" s="262">
        <v>45656</v>
      </c>
      <c r="AA488" s="171" t="s">
        <v>2653</v>
      </c>
      <c r="AB488" s="172" t="s">
        <v>2654</v>
      </c>
      <c r="AC488" s="172"/>
      <c r="AD488" s="211">
        <v>202000004484</v>
      </c>
      <c r="AE488" s="147" t="s">
        <v>523</v>
      </c>
      <c r="AF488" s="148" t="str">
        <f>TEXT(LEFT(Contrato5[[#This Row],[CONTRATO]],3),"0")</f>
        <v>379</v>
      </c>
      <c r="AG488" s="148" t="str">
        <f>IF(LEN(Contrato5[[#This Row],[Contrato2]])=3,Contrato5[[#This Row],[Contrato2]],TEXT(Contrato5[[#This Row],[Contrato2]],"000"))</f>
        <v>379</v>
      </c>
      <c r="AH488" s="149">
        <f ca="1">IFERROR(_xlfn.DAYS(Contrato5[[#This Row],[Fecha Proyectada liquidación]],TODAY())/30,"")</f>
        <v>0.6</v>
      </c>
      <c r="AI488" s="150">
        <f>+Contrato5[[#This Row],[FECHA TERMINACIÓN ]]+120</f>
        <v>45776</v>
      </c>
      <c r="AJ488" s="147"/>
      <c r="AK488" s="152" t="str">
        <f ca="1">IF(Contrato5[[#This Row],[FECHA TERMINACIÓN ]]&lt;TODAY(), "Terminado",IF(ISNUMBER(Contrato5[[#This Row],[Fecha Real de liquiidación ]]),"Liquidado",IF(Contrato5[[#This Row],[FECHA TERMINACIÓN ]]&gt;=TODAY(),"En ejecución","")))</f>
        <v>Terminado</v>
      </c>
      <c r="AL488" s="153" t="e">
        <f ca="1">SUMIF([2]!COMPROMISOS_2024[[#All],[consecutivo]],Contrato5[[#This Row],[RCP]],[2]!COMPROMISOS_2024[[#All],[Total pagado]])</f>
        <v>#REF!</v>
      </c>
      <c r="AM488" s="154">
        <f ca="1">IFERROR(Contrato5[[#This Row],[Pagos]]/Contrato5[[#This Row],[VALOR CONTRATO]],0)</f>
        <v>0</v>
      </c>
      <c r="AN488" s="198" t="e">
        <f ca="1">+Contrato5[[#This Row],[VALOR CONTRATO]]-Contrato5[[#This Row],[Pagos]]</f>
        <v>#REF!</v>
      </c>
      <c r="AO488" s="147" t="e" cm="1">
        <f t="array" aca="1" ref="AO488" ca="1">_xlfn.XLOOKUP(Contrato5[[#This Row],[DOCUMENTO ]],[2]!PERSONAL_ACTIVO_2024[[#All],[Documento identidad]],[2]!PERSONAL_ACTIVO_2024[[#All],[Mail ]],0,0)</f>
        <v>#NAME?</v>
      </c>
      <c r="AP488" s="147" t="e" cm="1">
        <f t="array" aca="1" ref="AP488" ca="1">_xlfn.XLOOKUP(Contrato5[[#This Row],[DOCUMENTO]],[2]!PERSONAL_ACTIVO_2024[[#All],[Documento identidad]],[2]!PERSONAL_ACTIVO_2024[[#All],[Mail ]],0,0)</f>
        <v>#NAME?</v>
      </c>
      <c r="AQ488" s="439" cm="1">
        <f t="array" aca="1" ref="AQ488" ca="1">IF(ISBLANK(Contrato5[[#This Row],[DEPENDENCIA ]]),0,IFERROR(_xlfn.XLOOKUP(Contrato5[[#This Row],[DEPENDENCIA ]],[2]!PERSONAL_ACTIVO_2024[[#All],[Dependencia]],[2]!PERSONAL_ACTIVO_2024[[#All],[Mail ]],0,0),0))</f>
        <v>0</v>
      </c>
    </row>
    <row r="489" spans="1:43" ht="34.5" customHeight="1">
      <c r="A489" s="125">
        <v>1149</v>
      </c>
      <c r="B489" s="124">
        <v>379</v>
      </c>
      <c r="C489" s="162" t="s">
        <v>2141</v>
      </c>
      <c r="D489" s="227" t="s">
        <v>583</v>
      </c>
      <c r="E489" s="440" t="s">
        <v>2148</v>
      </c>
      <c r="F489" s="227" t="s">
        <v>222</v>
      </c>
      <c r="G489" s="281" t="s">
        <v>2652</v>
      </c>
      <c r="H489" s="436">
        <v>890982308</v>
      </c>
      <c r="I489" s="308" t="s">
        <v>42</v>
      </c>
      <c r="J489" s="505">
        <v>45000000</v>
      </c>
      <c r="K489" s="131"/>
      <c r="L489" s="438" t="s">
        <v>2570</v>
      </c>
      <c r="M489" s="194" t="s">
        <v>586</v>
      </c>
      <c r="N489" s="177" t="e" cm="1">
        <f t="array" aca="1" ref="N489" ca="1">_xlfn.XLOOKUP(Contrato5[[#This Row],[SUPERVISOR TITULAR]],[2]!PERSONAL_ACTIVO_2024[[#All],[Nombre completo]],[2]!PERSONAL_ACTIVO_2024[[#All],[Documento identidad]],"",0)</f>
        <v>#NAME?</v>
      </c>
      <c r="O489" s="194" t="s">
        <v>589</v>
      </c>
      <c r="P489" s="196" t="e" cm="1">
        <f t="array" aca="1" ref="P489" ca="1">_xlfn.XLOOKUP(Contrato5[[#This Row],[SUPERVISOR SUPLENTE ]],[2]!PERSONAL_ACTIVO_2024[[#All],[Nombre completo]],[2]!PERSONAL_ACTIVO_2024[[#All],[Documento identidad]],"",0)</f>
        <v>#NAME?</v>
      </c>
      <c r="Q489" s="170">
        <v>952</v>
      </c>
      <c r="R489" s="137" t="e" cm="1">
        <f t="array" aca="1" ref="R489" ca="1">_xlfn.XLOOKUP(Contrato5[[#This Row],[CDP]],[2]!DISPONIBILIDADES_2024[[#All],[consecutivo]],[2]!DISPONIBILIDADES_2024[[#All],[fecha_aprobacion]],"",0)</f>
        <v>#NAME?</v>
      </c>
      <c r="S489" s="138" t="e">
        <f>SUMIF([2]!DISPONIBILIDADES_2024[[#All],[consecutivo]],Contrato5[[#This Row],[CDP]],[2]!DISPONIBILIDADES_2024[[#All],[valor_total_rubro]])</f>
        <v>#REF!</v>
      </c>
      <c r="T489" s="139" t="e" cm="1">
        <f t="array" aca="1" ref="T489" ca="1">_xlfn.XLOOKUP(Contrato5[[#This Row],[CONTRATO]]&amp;Contrato5[[#This Row],[CDP]],[2]!Corr_Contr_CDP[[#All],[CONTRATO-CDP]],[2]!Corr_Contr_CDP[[#All],[CRP]],_xlfn.XLOOKUP(Contrato5[[#This Row],[CDP]],[2]!COMPROMISOS_2024[[#All],[disponibilidad]],[2]!COMPROMISOS_2024[[#All],[consecutivo]],"",0),0)</f>
        <v>#NAME?</v>
      </c>
      <c r="U489" s="140" t="e" cm="1">
        <f t="array" aca="1" ref="U489" ca="1">+_xlfn.XLOOKUP(Contrato5[[#This Row],[RCP]],[2]!COMPROMISOS_2024[[#All],[consecutivo]],[2]!COMPROMISOS_2024[[#All],[fecha_aprobacion]],"",0)</f>
        <v>#NAME?</v>
      </c>
      <c r="V489" s="141" t="e">
        <f ca="1">SUMIF([2]!COMPROMISOS_2024[[#All],[consecutivo]],Contrato5[[#This Row],[RCP]],[2]!COMPROMISOS_2024[[#All],[valor_total]])</f>
        <v>#REF!</v>
      </c>
      <c r="W489" s="415">
        <v>45581</v>
      </c>
      <c r="X489" s="415">
        <v>45583</v>
      </c>
      <c r="Y489" s="143">
        <v>45461</v>
      </c>
      <c r="Z489" s="262">
        <v>45656</v>
      </c>
      <c r="AA489" s="171"/>
      <c r="AB489" s="172" t="s">
        <v>42</v>
      </c>
      <c r="AC489" s="172"/>
      <c r="AD489" s="211">
        <v>202000004484</v>
      </c>
      <c r="AE489" s="147" t="s">
        <v>523</v>
      </c>
      <c r="AF489" s="148" t="str">
        <f>TEXT(LEFT(Contrato5[[#This Row],[CONTRATO]],3),"0")</f>
        <v>379</v>
      </c>
      <c r="AG489" s="148" t="str">
        <f>IF(LEN(Contrato5[[#This Row],[Contrato2]])=3,Contrato5[[#This Row],[Contrato2]],TEXT(Contrato5[[#This Row],[Contrato2]],"000"))</f>
        <v>379</v>
      </c>
      <c r="AH489" s="149">
        <f ca="1">IFERROR(_xlfn.DAYS(Contrato5[[#This Row],[Fecha Proyectada liquidación]],TODAY())/30,"")</f>
        <v>0.6</v>
      </c>
      <c r="AI489" s="150">
        <f>+Contrato5[[#This Row],[FECHA TERMINACIÓN ]]+120</f>
        <v>45776</v>
      </c>
      <c r="AJ489" s="147"/>
      <c r="AK489" s="152" t="str">
        <f ca="1">IF(Contrato5[[#This Row],[FECHA TERMINACIÓN ]]&lt;TODAY(), "Terminado",IF(ISNUMBER(Contrato5[[#This Row],[Fecha Real de liquiidación ]]),"Liquidado",IF(Contrato5[[#This Row],[FECHA TERMINACIÓN ]]&gt;=TODAY(),"En ejecución","")))</f>
        <v>Terminado</v>
      </c>
      <c r="AL489" s="153" t="e">
        <f ca="1">SUMIF([2]!COMPROMISOS_2024[[#All],[consecutivo]],Contrato5[[#This Row],[RCP]],[2]!COMPROMISOS_2024[[#All],[Total pagado]])</f>
        <v>#REF!</v>
      </c>
      <c r="AM489" s="154">
        <f ca="1">IFERROR(Contrato5[[#This Row],[Pagos]]/Contrato5[[#This Row],[VALOR CONTRATO]],0)</f>
        <v>0</v>
      </c>
      <c r="AN489" s="198" t="e">
        <f ca="1">+Contrato5[[#This Row],[VALOR CONTRATO]]-Contrato5[[#This Row],[Pagos]]</f>
        <v>#REF!</v>
      </c>
      <c r="AO489" s="147" t="e" cm="1">
        <f t="array" aca="1" ref="AO489" ca="1">_xlfn.XLOOKUP(Contrato5[[#This Row],[DOCUMENTO ]],[2]!PERSONAL_ACTIVO_2024[[#All],[Documento identidad]],[2]!PERSONAL_ACTIVO_2024[[#All],[Mail ]],0,0)</f>
        <v>#NAME?</v>
      </c>
      <c r="AP489" s="147" t="e" cm="1">
        <f t="array" aca="1" ref="AP489" ca="1">_xlfn.XLOOKUP(Contrato5[[#This Row],[DOCUMENTO]],[2]!PERSONAL_ACTIVO_2024[[#All],[Documento identidad]],[2]!PERSONAL_ACTIVO_2024[[#All],[Mail ]],0,0)</f>
        <v>#NAME?</v>
      </c>
      <c r="AQ489" s="439" cm="1">
        <f t="array" aca="1" ref="AQ489" ca="1">IF(ISBLANK(Contrato5[[#This Row],[DEPENDENCIA ]]),0,IFERROR(_xlfn.XLOOKUP(Contrato5[[#This Row],[DEPENDENCIA ]],[2]!PERSONAL_ACTIVO_2024[[#All],[Dependencia]],[2]!PERSONAL_ACTIVO_2024[[#All],[Mail ]],0,0),0))</f>
        <v>0</v>
      </c>
    </row>
    <row r="490" spans="1:43" ht="34.5" customHeight="1">
      <c r="A490" s="125">
        <v>80</v>
      </c>
      <c r="B490" s="124">
        <v>380</v>
      </c>
      <c r="C490" s="162" t="s">
        <v>1506</v>
      </c>
      <c r="D490" s="227" t="s">
        <v>583</v>
      </c>
      <c r="E490" s="440" t="s">
        <v>94</v>
      </c>
      <c r="F490" s="227" t="s">
        <v>222</v>
      </c>
      <c r="G490" s="281" t="s">
        <v>2655</v>
      </c>
      <c r="H490" s="436">
        <v>890984031</v>
      </c>
      <c r="I490" s="308" t="s">
        <v>42</v>
      </c>
      <c r="J490" s="505">
        <v>80000000</v>
      </c>
      <c r="K490" s="131" t="s">
        <v>42</v>
      </c>
      <c r="L490" s="438" t="s">
        <v>2465</v>
      </c>
      <c r="M490" s="194" t="s">
        <v>586</v>
      </c>
      <c r="N490" s="177" t="e" cm="1">
        <f t="array" aca="1" ref="N490" ca="1">_xlfn.XLOOKUP(Contrato5[[#This Row],[SUPERVISOR TITULAR]],[2]!PERSONAL_ACTIVO_2024[[#All],[Nombre completo]],[2]!PERSONAL_ACTIVO_2024[[#All],[Documento identidad]],"",0)</f>
        <v>#NAME?</v>
      </c>
      <c r="O490" s="194" t="s">
        <v>589</v>
      </c>
      <c r="P490" s="196" t="e" cm="1">
        <f t="array" aca="1" ref="P490" ca="1">_xlfn.XLOOKUP(Contrato5[[#This Row],[SUPERVISOR SUPLENTE ]],[2]!PERSONAL_ACTIVO_2024[[#All],[Nombre completo]],[2]!PERSONAL_ACTIVO_2024[[#All],[Documento identidad]],"",0)</f>
        <v>#NAME?</v>
      </c>
      <c r="Q490" s="170">
        <v>542</v>
      </c>
      <c r="R490" s="137" t="e" cm="1">
        <f t="array" aca="1" ref="R490" ca="1">_xlfn.XLOOKUP(Contrato5[[#This Row],[CDP]],[2]!DISPONIBILIDADES_2024[[#All],[consecutivo]],[2]!DISPONIBILIDADES_2024[[#All],[fecha_aprobacion]],"",0)</f>
        <v>#NAME?</v>
      </c>
      <c r="S490" s="138" t="e">
        <f>SUMIF([2]!DISPONIBILIDADES_2024[[#All],[consecutivo]],Contrato5[[#This Row],[CDP]],[2]!DISPONIBILIDADES_2024[[#All],[valor_total_rubro]])</f>
        <v>#REF!</v>
      </c>
      <c r="T490" s="139" t="e" cm="1">
        <f t="array" aca="1" ref="T490" ca="1">_xlfn.XLOOKUP(Contrato5[[#This Row],[CONTRATO]]&amp;Contrato5[[#This Row],[CDP]],[2]!Corr_Contr_CDP[[#All],[CONTRATO-CDP]],[2]!Corr_Contr_CDP[[#All],[CRP]],_xlfn.XLOOKUP(Contrato5[[#This Row],[CDP]],[2]!COMPROMISOS_2024[[#All],[disponibilidad]],[2]!COMPROMISOS_2024[[#All],[consecutivo]],"",0),0)</f>
        <v>#NAME?</v>
      </c>
      <c r="U490" s="140" t="e" cm="1">
        <f t="array" aca="1" ref="U490" ca="1">+_xlfn.XLOOKUP(Contrato5[[#This Row],[RCP]],[2]!COMPROMISOS_2024[[#All],[consecutivo]],[2]!COMPROMISOS_2024[[#All],[fecha_aprobacion]],"",0)</f>
        <v>#NAME?</v>
      </c>
      <c r="V490" s="141" t="e">
        <f ca="1">SUMIF([2]!COMPROMISOS_2024[[#All],[consecutivo]],Contrato5[[#This Row],[RCP]],[2]!COMPROMISOS_2024[[#All],[valor_total]])</f>
        <v>#REF!</v>
      </c>
      <c r="W490" s="415">
        <v>45461</v>
      </c>
      <c r="X490" s="415">
        <v>45462</v>
      </c>
      <c r="Y490" s="143">
        <v>45462</v>
      </c>
      <c r="Z490" s="262">
        <v>45656</v>
      </c>
      <c r="AA490" s="171" t="s">
        <v>2656</v>
      </c>
      <c r="AB490" s="172" t="s">
        <v>2657</v>
      </c>
      <c r="AC490" s="172"/>
      <c r="AD490" s="211">
        <v>202000004485</v>
      </c>
      <c r="AE490" s="147" t="s">
        <v>523</v>
      </c>
      <c r="AF490" s="148" t="str">
        <f>TEXT(LEFT(Contrato5[[#This Row],[CONTRATO]],3),"0")</f>
        <v>380</v>
      </c>
      <c r="AG490" s="148" t="str">
        <f>IF(LEN(Contrato5[[#This Row],[Contrato2]])=3,Contrato5[[#This Row],[Contrato2]],TEXT(Contrato5[[#This Row],[Contrato2]],"000"))</f>
        <v>380</v>
      </c>
      <c r="AH490" s="149">
        <f ca="1">IFERROR(_xlfn.DAYS(Contrato5[[#This Row],[Fecha Proyectada liquidación]],TODAY())/30,"")</f>
        <v>0.6</v>
      </c>
      <c r="AI490" s="150">
        <f>+Contrato5[[#This Row],[FECHA TERMINACIÓN ]]+120</f>
        <v>45776</v>
      </c>
      <c r="AJ490" s="147"/>
      <c r="AK490" s="152" t="str">
        <f ca="1">IF(Contrato5[[#This Row],[FECHA TERMINACIÓN ]]&lt;TODAY(), "Terminado",IF(ISNUMBER(Contrato5[[#This Row],[Fecha Real de liquiidación ]]),"Liquidado",IF(Contrato5[[#This Row],[FECHA TERMINACIÓN ]]&gt;=TODAY(),"En ejecución","")))</f>
        <v>Terminado</v>
      </c>
      <c r="AL490" s="153" t="e">
        <f ca="1">SUMIF([2]!COMPROMISOS_2024[[#All],[consecutivo]],Contrato5[[#This Row],[RCP]],[2]!COMPROMISOS_2024[[#All],[Total pagado]])</f>
        <v>#REF!</v>
      </c>
      <c r="AM490" s="154">
        <f ca="1">IFERROR(Contrato5[[#This Row],[Pagos]]/Contrato5[[#This Row],[VALOR CONTRATO]],0)</f>
        <v>0</v>
      </c>
      <c r="AN490" s="198" t="e">
        <f ca="1">+Contrato5[[#This Row],[VALOR CONTRATO]]-Contrato5[[#This Row],[Pagos]]</f>
        <v>#REF!</v>
      </c>
      <c r="AO490" s="147" t="e" cm="1">
        <f t="array" aca="1" ref="AO490" ca="1">_xlfn.XLOOKUP(Contrato5[[#This Row],[DOCUMENTO ]],[2]!PERSONAL_ACTIVO_2024[[#All],[Documento identidad]],[2]!PERSONAL_ACTIVO_2024[[#All],[Mail ]],0,0)</f>
        <v>#NAME?</v>
      </c>
      <c r="AP490" s="147" t="e" cm="1">
        <f t="array" aca="1" ref="AP490" ca="1">_xlfn.XLOOKUP(Contrato5[[#This Row],[DOCUMENTO]],[2]!PERSONAL_ACTIVO_2024[[#All],[Documento identidad]],[2]!PERSONAL_ACTIVO_2024[[#All],[Mail ]],0,0)</f>
        <v>#NAME?</v>
      </c>
      <c r="AQ490" s="439" cm="1">
        <f t="array" aca="1" ref="AQ490" ca="1">IF(ISBLANK(Contrato5[[#This Row],[DEPENDENCIA ]]),0,IFERROR(_xlfn.XLOOKUP(Contrato5[[#This Row],[DEPENDENCIA ]],[2]!PERSONAL_ACTIVO_2024[[#All],[Dependencia]],[2]!PERSONAL_ACTIVO_2024[[#All],[Mail ]],0,0),0))</f>
        <v>0</v>
      </c>
    </row>
    <row r="491" spans="1:43" ht="34.5" customHeight="1">
      <c r="A491" s="125">
        <v>1148</v>
      </c>
      <c r="B491" s="124">
        <v>380</v>
      </c>
      <c r="C491" s="162" t="s">
        <v>2140</v>
      </c>
      <c r="D491" s="227" t="s">
        <v>583</v>
      </c>
      <c r="E491" s="440" t="s">
        <v>2148</v>
      </c>
      <c r="F491" s="227" t="s">
        <v>222</v>
      </c>
      <c r="G491" s="281" t="s">
        <v>2655</v>
      </c>
      <c r="H491" s="436">
        <v>890984031</v>
      </c>
      <c r="I491" s="308" t="s">
        <v>42</v>
      </c>
      <c r="J491" s="505">
        <v>30000000</v>
      </c>
      <c r="K491" s="131"/>
      <c r="L491" s="438" t="s">
        <v>2570</v>
      </c>
      <c r="M491" s="194" t="s">
        <v>586</v>
      </c>
      <c r="N491" s="177" t="e" cm="1">
        <f t="array" aca="1" ref="N491" ca="1">_xlfn.XLOOKUP(Contrato5[[#This Row],[SUPERVISOR TITULAR]],[2]!PERSONAL_ACTIVO_2024[[#All],[Nombre completo]],[2]!PERSONAL_ACTIVO_2024[[#All],[Documento identidad]],"",0)</f>
        <v>#NAME?</v>
      </c>
      <c r="O491" s="194" t="s">
        <v>589</v>
      </c>
      <c r="P491" s="196" t="e" cm="1">
        <f t="array" aca="1" ref="P491" ca="1">_xlfn.XLOOKUP(Contrato5[[#This Row],[SUPERVISOR SUPLENTE ]],[2]!PERSONAL_ACTIVO_2024[[#All],[Nombre completo]],[2]!PERSONAL_ACTIVO_2024[[#All],[Documento identidad]],"",0)</f>
        <v>#NAME?</v>
      </c>
      <c r="Q491" s="170">
        <v>951</v>
      </c>
      <c r="R491" s="137" t="e" cm="1">
        <f t="array" aca="1" ref="R491" ca="1">_xlfn.XLOOKUP(Contrato5[[#This Row],[CDP]],[2]!DISPONIBILIDADES_2024[[#All],[consecutivo]],[2]!DISPONIBILIDADES_2024[[#All],[fecha_aprobacion]],"",0)</f>
        <v>#NAME?</v>
      </c>
      <c r="S491" s="138" t="e">
        <f>SUMIF([2]!DISPONIBILIDADES_2024[[#All],[consecutivo]],Contrato5[[#This Row],[CDP]],[2]!DISPONIBILIDADES_2024[[#All],[valor_total_rubro]])</f>
        <v>#REF!</v>
      </c>
      <c r="T491" s="139" t="e" cm="1">
        <f t="array" aca="1" ref="T491" ca="1">_xlfn.XLOOKUP(Contrato5[[#This Row],[CONTRATO]]&amp;Contrato5[[#This Row],[CDP]],[2]!Corr_Contr_CDP[[#All],[CONTRATO-CDP]],[2]!Corr_Contr_CDP[[#All],[CRP]],_xlfn.XLOOKUP(Contrato5[[#This Row],[CDP]],[2]!COMPROMISOS_2024[[#All],[disponibilidad]],[2]!COMPROMISOS_2024[[#All],[consecutivo]],"",0),0)</f>
        <v>#NAME?</v>
      </c>
      <c r="U491" s="140" t="e" cm="1">
        <f t="array" aca="1" ref="U491" ca="1">+_xlfn.XLOOKUP(Contrato5[[#This Row],[RCP]],[2]!COMPROMISOS_2024[[#All],[consecutivo]],[2]!COMPROMISOS_2024[[#All],[fecha_aprobacion]],"",0)</f>
        <v>#NAME?</v>
      </c>
      <c r="V491" s="141" t="e">
        <f ca="1">SUMIF([2]!COMPROMISOS_2024[[#All],[consecutivo]],Contrato5[[#This Row],[RCP]],[2]!COMPROMISOS_2024[[#All],[valor_total]])</f>
        <v>#REF!</v>
      </c>
      <c r="W491" s="415">
        <v>45583</v>
      </c>
      <c r="X491" s="415">
        <v>45586</v>
      </c>
      <c r="Y491" s="143">
        <v>45462</v>
      </c>
      <c r="Z491" s="262">
        <v>45656</v>
      </c>
      <c r="AA491" s="171"/>
      <c r="AB491" s="172" t="s">
        <v>42</v>
      </c>
      <c r="AC491" s="172"/>
      <c r="AD491" s="211">
        <v>202000004485</v>
      </c>
      <c r="AE491" s="147" t="s">
        <v>523</v>
      </c>
      <c r="AF491" s="148" t="str">
        <f>TEXT(LEFT(Contrato5[[#This Row],[CONTRATO]],3),"0")</f>
        <v>380</v>
      </c>
      <c r="AG491" s="148" t="str">
        <f>IF(LEN(Contrato5[[#This Row],[Contrato2]])=3,Contrato5[[#This Row],[Contrato2]],TEXT(Contrato5[[#This Row],[Contrato2]],"000"))</f>
        <v>380</v>
      </c>
      <c r="AH491" s="149">
        <f ca="1">IFERROR(_xlfn.DAYS(Contrato5[[#This Row],[Fecha Proyectada liquidación]],TODAY())/30,"")</f>
        <v>0.6</v>
      </c>
      <c r="AI491" s="150">
        <f>+Contrato5[[#This Row],[FECHA TERMINACIÓN ]]+120</f>
        <v>45776</v>
      </c>
      <c r="AJ491" s="147"/>
      <c r="AK491" s="152" t="str">
        <f ca="1">IF(Contrato5[[#This Row],[FECHA TERMINACIÓN ]]&lt;TODAY(), "Terminado",IF(ISNUMBER(Contrato5[[#This Row],[Fecha Real de liquiidación ]]),"Liquidado",IF(Contrato5[[#This Row],[FECHA TERMINACIÓN ]]&gt;=TODAY(),"En ejecución","")))</f>
        <v>Terminado</v>
      </c>
      <c r="AL491" s="153" t="e">
        <f ca="1">SUMIF([2]!COMPROMISOS_2024[[#All],[consecutivo]],Contrato5[[#This Row],[RCP]],[2]!COMPROMISOS_2024[[#All],[Total pagado]])</f>
        <v>#REF!</v>
      </c>
      <c r="AM491" s="154">
        <f ca="1">IFERROR(Contrato5[[#This Row],[Pagos]]/Contrato5[[#This Row],[VALOR CONTRATO]],0)</f>
        <v>0</v>
      </c>
      <c r="AN491" s="198" t="e">
        <f ca="1">+Contrato5[[#This Row],[VALOR CONTRATO]]-Contrato5[[#This Row],[Pagos]]</f>
        <v>#REF!</v>
      </c>
      <c r="AO491" s="147" t="e" cm="1">
        <f t="array" aca="1" ref="AO491" ca="1">_xlfn.XLOOKUP(Contrato5[[#This Row],[DOCUMENTO ]],[2]!PERSONAL_ACTIVO_2024[[#All],[Documento identidad]],[2]!PERSONAL_ACTIVO_2024[[#All],[Mail ]],0,0)</f>
        <v>#NAME?</v>
      </c>
      <c r="AP491" s="147" t="e" cm="1">
        <f t="array" aca="1" ref="AP491" ca="1">_xlfn.XLOOKUP(Contrato5[[#This Row],[DOCUMENTO]],[2]!PERSONAL_ACTIVO_2024[[#All],[Documento identidad]],[2]!PERSONAL_ACTIVO_2024[[#All],[Mail ]],0,0)</f>
        <v>#NAME?</v>
      </c>
      <c r="AQ491" s="439" cm="1">
        <f t="array" aca="1" ref="AQ491" ca="1">IF(ISBLANK(Contrato5[[#This Row],[DEPENDENCIA ]]),0,IFERROR(_xlfn.XLOOKUP(Contrato5[[#This Row],[DEPENDENCIA ]],[2]!PERSONAL_ACTIVO_2024[[#All],[Dependencia]],[2]!PERSONAL_ACTIVO_2024[[#All],[Mail ]],0,0),0))</f>
        <v>0</v>
      </c>
    </row>
    <row r="492" spans="1:43" ht="34.5" customHeight="1">
      <c r="A492" s="125">
        <v>109</v>
      </c>
      <c r="B492" s="124">
        <v>381</v>
      </c>
      <c r="C492" s="162" t="s">
        <v>1524</v>
      </c>
      <c r="D492" s="227" t="s">
        <v>583</v>
      </c>
      <c r="E492" s="440" t="s">
        <v>94</v>
      </c>
      <c r="F492" s="227" t="s">
        <v>222</v>
      </c>
      <c r="G492" s="281" t="s">
        <v>2658</v>
      </c>
      <c r="H492" s="436">
        <v>890984251</v>
      </c>
      <c r="I492" s="308" t="s">
        <v>42</v>
      </c>
      <c r="J492" s="505">
        <v>15000000</v>
      </c>
      <c r="K492" s="131" t="s">
        <v>42</v>
      </c>
      <c r="L492" s="438" t="s">
        <v>2659</v>
      </c>
      <c r="M492" s="194" t="s">
        <v>586</v>
      </c>
      <c r="N492" s="177" t="e" cm="1">
        <f t="array" aca="1" ref="N492" ca="1">_xlfn.XLOOKUP(Contrato5[[#This Row],[SUPERVISOR TITULAR]],[2]!PERSONAL_ACTIVO_2024[[#All],[Nombre completo]],[2]!PERSONAL_ACTIVO_2024[[#All],[Documento identidad]],"",0)</f>
        <v>#NAME?</v>
      </c>
      <c r="O492" s="194" t="s">
        <v>589</v>
      </c>
      <c r="P492" s="196" t="e" cm="1">
        <f t="array" aca="1" ref="P492" ca="1">_xlfn.XLOOKUP(Contrato5[[#This Row],[SUPERVISOR SUPLENTE ]],[2]!PERSONAL_ACTIVO_2024[[#All],[Nombre completo]],[2]!PERSONAL_ACTIVO_2024[[#All],[Documento identidad]],"",0)</f>
        <v>#NAME?</v>
      </c>
      <c r="Q492" s="170">
        <v>499</v>
      </c>
      <c r="R492" s="137" t="e" cm="1">
        <f t="array" aca="1" ref="R492" ca="1">_xlfn.XLOOKUP(Contrato5[[#This Row],[CDP]],[2]!DISPONIBILIDADES_2024[[#All],[consecutivo]],[2]!DISPONIBILIDADES_2024[[#All],[fecha_aprobacion]],"",0)</f>
        <v>#NAME?</v>
      </c>
      <c r="S492" s="138" t="e">
        <f>SUMIF([2]!DISPONIBILIDADES_2024[[#All],[consecutivo]],Contrato5[[#This Row],[CDP]],[2]!DISPONIBILIDADES_2024[[#All],[valor_total_rubro]])</f>
        <v>#REF!</v>
      </c>
      <c r="T492" s="139" t="e" cm="1">
        <f t="array" aca="1" ref="T492" ca="1">_xlfn.XLOOKUP(Contrato5[[#This Row],[CONTRATO]]&amp;Contrato5[[#This Row],[CDP]],[2]!Corr_Contr_CDP[[#All],[CONTRATO-CDP]],[2]!Corr_Contr_CDP[[#All],[CRP]],_xlfn.XLOOKUP(Contrato5[[#This Row],[CDP]],[2]!COMPROMISOS_2024[[#All],[disponibilidad]],[2]!COMPROMISOS_2024[[#All],[consecutivo]],"",0),0)</f>
        <v>#NAME?</v>
      </c>
      <c r="U492" s="140" t="e" cm="1">
        <f t="array" aca="1" ref="U492" ca="1">+_xlfn.XLOOKUP(Contrato5[[#This Row],[RCP]],[2]!COMPROMISOS_2024[[#All],[consecutivo]],[2]!COMPROMISOS_2024[[#All],[fecha_aprobacion]],"",0)</f>
        <v>#NAME?</v>
      </c>
      <c r="V492" s="141" t="e">
        <f ca="1">SUMIF([2]!COMPROMISOS_2024[[#All],[consecutivo]],Contrato5[[#This Row],[RCP]],[2]!COMPROMISOS_2024[[#All],[valor_total]])</f>
        <v>#REF!</v>
      </c>
      <c r="W492" s="415">
        <v>45467</v>
      </c>
      <c r="X492" s="415">
        <v>45485</v>
      </c>
      <c r="Y492" s="143">
        <v>45485</v>
      </c>
      <c r="Z492" s="262">
        <v>45656</v>
      </c>
      <c r="AA492" s="183" t="s">
        <v>2660</v>
      </c>
      <c r="AB492" s="172" t="s">
        <v>1189</v>
      </c>
      <c r="AC492" s="172"/>
      <c r="AD492" s="211">
        <v>202000004600</v>
      </c>
      <c r="AE492" s="147" t="s">
        <v>523</v>
      </c>
      <c r="AF492" s="148" t="str">
        <f>TEXT(LEFT(Contrato5[[#This Row],[CONTRATO]],3),"0")</f>
        <v>381</v>
      </c>
      <c r="AG492" s="148" t="str">
        <f>IF(LEN(Contrato5[[#This Row],[Contrato2]])=3,Contrato5[[#This Row],[Contrato2]],TEXT(Contrato5[[#This Row],[Contrato2]],"000"))</f>
        <v>381</v>
      </c>
      <c r="AH492" s="149">
        <f ca="1">IFERROR(_xlfn.DAYS(Contrato5[[#This Row],[Fecha Proyectada liquidación]],TODAY())/30,"")</f>
        <v>0.6</v>
      </c>
      <c r="AI492" s="150">
        <f>+Contrato5[[#This Row],[FECHA TERMINACIÓN ]]+120</f>
        <v>45776</v>
      </c>
      <c r="AJ492" s="147"/>
      <c r="AK492" s="152" t="str">
        <f ca="1">IF(Contrato5[[#This Row],[FECHA TERMINACIÓN ]]&lt;TODAY(), "Terminado",IF(ISNUMBER(Contrato5[[#This Row],[Fecha Real de liquiidación ]]),"Liquidado",IF(Contrato5[[#This Row],[FECHA TERMINACIÓN ]]&gt;=TODAY(),"En ejecución","")))</f>
        <v>Terminado</v>
      </c>
      <c r="AL492" s="153" t="e">
        <f ca="1">SUMIF([2]!COMPROMISOS_2024[[#All],[consecutivo]],Contrato5[[#This Row],[RCP]],[2]!COMPROMISOS_2024[[#All],[Total pagado]])</f>
        <v>#REF!</v>
      </c>
      <c r="AM492" s="154">
        <f ca="1">IFERROR(Contrato5[[#This Row],[Pagos]]/Contrato5[[#This Row],[VALOR CONTRATO]],0)</f>
        <v>0</v>
      </c>
      <c r="AN492" s="198" t="e">
        <f ca="1">+Contrato5[[#This Row],[VALOR CONTRATO]]-Contrato5[[#This Row],[Pagos]]</f>
        <v>#REF!</v>
      </c>
      <c r="AO492" s="147" t="e" cm="1">
        <f t="array" aca="1" ref="AO492" ca="1">_xlfn.XLOOKUP(Contrato5[[#This Row],[DOCUMENTO ]],[2]!PERSONAL_ACTIVO_2024[[#All],[Documento identidad]],[2]!PERSONAL_ACTIVO_2024[[#All],[Mail ]],0,0)</f>
        <v>#NAME?</v>
      </c>
      <c r="AP492" s="147" t="e" cm="1">
        <f t="array" aca="1" ref="AP492" ca="1">_xlfn.XLOOKUP(Contrato5[[#This Row],[DOCUMENTO]],[2]!PERSONAL_ACTIVO_2024[[#All],[Documento identidad]],[2]!PERSONAL_ACTIVO_2024[[#All],[Mail ]],0,0)</f>
        <v>#NAME?</v>
      </c>
      <c r="AQ492" s="439" cm="1">
        <f t="array" aca="1" ref="AQ492" ca="1">IF(ISBLANK(Contrato5[[#This Row],[DEPENDENCIA ]]),0,IFERROR(_xlfn.XLOOKUP(Contrato5[[#This Row],[DEPENDENCIA ]],[2]!PERSONAL_ACTIVO_2024[[#All],[Dependencia]],[2]!PERSONAL_ACTIVO_2024[[#All],[Mail ]],0,0),0))</f>
        <v>0</v>
      </c>
    </row>
    <row r="493" spans="1:43" ht="34.5" customHeight="1">
      <c r="A493" s="125">
        <v>725</v>
      </c>
      <c r="B493" s="124">
        <v>382</v>
      </c>
      <c r="C493" s="162" t="s">
        <v>2661</v>
      </c>
      <c r="D493" s="227" t="s">
        <v>583</v>
      </c>
      <c r="E493" s="440" t="s">
        <v>94</v>
      </c>
      <c r="F493" s="163" t="s">
        <v>1376</v>
      </c>
      <c r="G493" s="281" t="s">
        <v>2662</v>
      </c>
      <c r="H493" s="436">
        <v>700464130</v>
      </c>
      <c r="I493" s="273">
        <v>9212989</v>
      </c>
      <c r="J493" s="437">
        <v>55277934</v>
      </c>
      <c r="K493" s="131" t="s">
        <v>42</v>
      </c>
      <c r="L493" s="438" t="s">
        <v>2659</v>
      </c>
      <c r="M493" s="194" t="s">
        <v>586</v>
      </c>
      <c r="N493" s="177" t="e" cm="1">
        <f t="array" aca="1" ref="N493" ca="1">_xlfn.XLOOKUP(Contrato5[[#This Row],[SUPERVISOR TITULAR]],[2]!PERSONAL_ACTIVO_2024[[#All],[Nombre completo]],[2]!PERSONAL_ACTIVO_2024[[#All],[Documento identidad]],"",0)</f>
        <v>#NAME?</v>
      </c>
      <c r="O493" s="194" t="s">
        <v>589</v>
      </c>
      <c r="P493" s="196" t="e" cm="1">
        <f t="array" aca="1" ref="P493" ca="1">_xlfn.XLOOKUP(Contrato5[[#This Row],[SUPERVISOR SUPLENTE ]],[2]!PERSONAL_ACTIVO_2024[[#All],[Nombre completo]],[2]!PERSONAL_ACTIVO_2024[[#All],[Documento identidad]],"",0)</f>
        <v>#NAME?</v>
      </c>
      <c r="Q493" s="170">
        <v>558</v>
      </c>
      <c r="R493" s="137" t="e" cm="1">
        <f t="array" aca="1" ref="R493" ca="1">_xlfn.XLOOKUP(Contrato5[[#This Row],[CDP]],[2]!DISPONIBILIDADES_2024[[#All],[consecutivo]],[2]!DISPONIBILIDADES_2024[[#All],[fecha_aprobacion]],"",0)</f>
        <v>#NAME?</v>
      </c>
      <c r="S493" s="138" t="e">
        <f>SUMIF([2]!DISPONIBILIDADES_2024[[#All],[consecutivo]],Contrato5[[#This Row],[CDP]],[2]!DISPONIBILIDADES_2024[[#All],[valor_total_rubro]])</f>
        <v>#REF!</v>
      </c>
      <c r="T493" s="139" t="e" cm="1">
        <f t="array" aca="1" ref="T493" ca="1">_xlfn.XLOOKUP(Contrato5[[#This Row],[CONTRATO]]&amp;Contrato5[[#This Row],[CDP]],[2]!Corr_Contr_CDP[[#All],[CONTRATO-CDP]],[2]!Corr_Contr_CDP[[#All],[CRP]],_xlfn.XLOOKUP(Contrato5[[#This Row],[CDP]],[2]!COMPROMISOS_2024[[#All],[disponibilidad]],[2]!COMPROMISOS_2024[[#All],[consecutivo]],"",0),0)</f>
        <v>#NAME?</v>
      </c>
      <c r="U493" s="140" t="e" cm="1">
        <f t="array" aca="1" ref="U493" ca="1">+_xlfn.XLOOKUP(Contrato5[[#This Row],[RCP]],[2]!COMPROMISOS_2024[[#All],[consecutivo]],[2]!COMPROMISOS_2024[[#All],[fecha_aprobacion]],"",0)</f>
        <v>#NAME?</v>
      </c>
      <c r="V493" s="141" t="e">
        <f ca="1">SUMIF([2]!COMPROMISOS_2024[[#All],[consecutivo]],Contrato5[[#This Row],[RCP]],[2]!COMPROMISOS_2024[[#All],[valor_total]])</f>
        <v>#REF!</v>
      </c>
      <c r="W493" s="415">
        <v>45460</v>
      </c>
      <c r="X493" s="415" t="s">
        <v>1045</v>
      </c>
      <c r="Y493" s="143">
        <v>45461</v>
      </c>
      <c r="Z493" s="262">
        <v>45643</v>
      </c>
      <c r="AA493" s="171" t="s">
        <v>2663</v>
      </c>
      <c r="AB493" s="172" t="s">
        <v>640</v>
      </c>
      <c r="AC493" s="172"/>
      <c r="AD493" s="211">
        <v>202000004486</v>
      </c>
      <c r="AE493" s="147" t="s">
        <v>523</v>
      </c>
      <c r="AF493" s="148" t="str">
        <f>TEXT(LEFT(Contrato5[[#This Row],[CONTRATO]],3),"0")</f>
        <v>382</v>
      </c>
      <c r="AG493" s="148" t="str">
        <f>IF(LEN(Contrato5[[#This Row],[Contrato2]])=3,Contrato5[[#This Row],[Contrato2]],TEXT(Contrato5[[#This Row],[Contrato2]],"000"))</f>
        <v>382</v>
      </c>
      <c r="AH493" s="149">
        <f ca="1">IFERROR(_xlfn.DAYS(Contrato5[[#This Row],[Fecha Proyectada liquidación]],TODAY())/30,"")</f>
        <v>0.16666666666666666</v>
      </c>
      <c r="AI493" s="150">
        <f>+Contrato5[[#This Row],[FECHA TERMINACIÓN ]]+120</f>
        <v>45763</v>
      </c>
      <c r="AJ493" s="147"/>
      <c r="AK493" s="152" t="str">
        <f ca="1">IF(Contrato5[[#This Row],[FECHA TERMINACIÓN ]]&lt;TODAY(), "Terminado",IF(ISNUMBER(Contrato5[[#This Row],[Fecha Real de liquiidación ]]),"Liquidado",IF(Contrato5[[#This Row],[FECHA TERMINACIÓN ]]&gt;=TODAY(),"En ejecución","")))</f>
        <v>Terminado</v>
      </c>
      <c r="AL493" s="153" t="e">
        <f ca="1">SUMIF([2]!COMPROMISOS_2024[[#All],[consecutivo]],Contrato5[[#This Row],[RCP]],[2]!COMPROMISOS_2024[[#All],[Total pagado]])</f>
        <v>#REF!</v>
      </c>
      <c r="AM493" s="154">
        <f ca="1">IFERROR(Contrato5[[#This Row],[Pagos]]/Contrato5[[#This Row],[VALOR CONTRATO]],0)</f>
        <v>0</v>
      </c>
      <c r="AN493" s="198" t="e">
        <f ca="1">+Contrato5[[#This Row],[VALOR CONTRATO]]-Contrato5[[#This Row],[Pagos]]</f>
        <v>#REF!</v>
      </c>
      <c r="AO493" s="147" t="e" cm="1">
        <f t="array" aca="1" ref="AO493" ca="1">_xlfn.XLOOKUP(Contrato5[[#This Row],[DOCUMENTO ]],[2]!PERSONAL_ACTIVO_2024[[#All],[Documento identidad]],[2]!PERSONAL_ACTIVO_2024[[#All],[Mail ]],0,0)</f>
        <v>#NAME?</v>
      </c>
      <c r="AP493" s="147" t="e" cm="1">
        <f t="array" aca="1" ref="AP493" ca="1">_xlfn.XLOOKUP(Contrato5[[#This Row],[DOCUMENTO]],[2]!PERSONAL_ACTIVO_2024[[#All],[Documento identidad]],[2]!PERSONAL_ACTIVO_2024[[#All],[Mail ]],0,0)</f>
        <v>#NAME?</v>
      </c>
      <c r="AQ493" s="439" cm="1">
        <f t="array" aca="1" ref="AQ493" ca="1">IF(ISBLANK(Contrato5[[#This Row],[DEPENDENCIA ]]),0,IFERROR(_xlfn.XLOOKUP(Contrato5[[#This Row],[DEPENDENCIA ]],[2]!PERSONAL_ACTIVO_2024[[#All],[Dependencia]],[2]!PERSONAL_ACTIVO_2024[[#All],[Mail ]],0,0),0))</f>
        <v>0</v>
      </c>
    </row>
    <row r="494" spans="1:43" ht="34.5" customHeight="1">
      <c r="A494" s="125">
        <v>726</v>
      </c>
      <c r="B494" s="124">
        <v>383</v>
      </c>
      <c r="C494" s="162" t="s">
        <v>2661</v>
      </c>
      <c r="D494" s="227" t="s">
        <v>583</v>
      </c>
      <c r="E494" s="440" t="s">
        <v>94</v>
      </c>
      <c r="F494" s="163" t="s">
        <v>1376</v>
      </c>
      <c r="G494" s="281" t="s">
        <v>2664</v>
      </c>
      <c r="H494" s="436">
        <v>700464144</v>
      </c>
      <c r="I494" s="273">
        <v>9212989</v>
      </c>
      <c r="J494" s="437">
        <v>55277934</v>
      </c>
      <c r="K494" s="131" t="s">
        <v>42</v>
      </c>
      <c r="L494" s="438" t="s">
        <v>2659</v>
      </c>
      <c r="M494" s="194" t="s">
        <v>586</v>
      </c>
      <c r="N494" s="177" t="e" cm="1">
        <f t="array" aca="1" ref="N494" ca="1">_xlfn.XLOOKUP(Contrato5[[#This Row],[SUPERVISOR TITULAR]],[2]!PERSONAL_ACTIVO_2024[[#All],[Nombre completo]],[2]!PERSONAL_ACTIVO_2024[[#All],[Documento identidad]],"",0)</f>
        <v>#NAME?</v>
      </c>
      <c r="O494" s="194" t="s">
        <v>589</v>
      </c>
      <c r="P494" s="196" t="e" cm="1">
        <f t="array" aca="1" ref="P494" ca="1">_xlfn.XLOOKUP(Contrato5[[#This Row],[SUPERVISOR SUPLENTE ]],[2]!PERSONAL_ACTIVO_2024[[#All],[Nombre completo]],[2]!PERSONAL_ACTIVO_2024[[#All],[Documento identidad]],"",0)</f>
        <v>#NAME?</v>
      </c>
      <c r="Q494" s="170">
        <v>559</v>
      </c>
      <c r="R494" s="137" t="e" cm="1">
        <f t="array" aca="1" ref="R494" ca="1">_xlfn.XLOOKUP(Contrato5[[#This Row],[CDP]],[2]!DISPONIBILIDADES_2024[[#All],[consecutivo]],[2]!DISPONIBILIDADES_2024[[#All],[fecha_aprobacion]],"",0)</f>
        <v>#NAME?</v>
      </c>
      <c r="S494" s="138" t="e">
        <f>SUMIF([2]!DISPONIBILIDADES_2024[[#All],[consecutivo]],Contrato5[[#This Row],[CDP]],[2]!DISPONIBILIDADES_2024[[#All],[valor_total_rubro]])</f>
        <v>#REF!</v>
      </c>
      <c r="T494" s="139" t="e" cm="1">
        <f t="array" aca="1" ref="T494" ca="1">_xlfn.XLOOKUP(Contrato5[[#This Row],[CONTRATO]]&amp;Contrato5[[#This Row],[CDP]],[2]!Corr_Contr_CDP[[#All],[CONTRATO-CDP]],[2]!Corr_Contr_CDP[[#All],[CRP]],_xlfn.XLOOKUP(Contrato5[[#This Row],[CDP]],[2]!COMPROMISOS_2024[[#All],[disponibilidad]],[2]!COMPROMISOS_2024[[#All],[consecutivo]],"",0),0)</f>
        <v>#NAME?</v>
      </c>
      <c r="U494" s="140" t="e" cm="1">
        <f t="array" aca="1" ref="U494" ca="1">+_xlfn.XLOOKUP(Contrato5[[#This Row],[RCP]],[2]!COMPROMISOS_2024[[#All],[consecutivo]],[2]!COMPROMISOS_2024[[#All],[fecha_aprobacion]],"",0)</f>
        <v>#NAME?</v>
      </c>
      <c r="V494" s="141" t="e">
        <f ca="1">SUMIF([2]!COMPROMISOS_2024[[#All],[consecutivo]],Contrato5[[#This Row],[RCP]],[2]!COMPROMISOS_2024[[#All],[valor_total]])</f>
        <v>#REF!</v>
      </c>
      <c r="W494" s="415">
        <v>45460</v>
      </c>
      <c r="X494" s="415" t="s">
        <v>1045</v>
      </c>
      <c r="Y494" s="143">
        <v>45461</v>
      </c>
      <c r="Z494" s="262">
        <v>45643</v>
      </c>
      <c r="AA494" s="171" t="s">
        <v>2663</v>
      </c>
      <c r="AB494" s="172" t="s">
        <v>640</v>
      </c>
      <c r="AC494" s="172"/>
      <c r="AD494" s="211">
        <v>202000004487</v>
      </c>
      <c r="AE494" s="147" t="s">
        <v>523</v>
      </c>
      <c r="AF494" s="148" t="str">
        <f>TEXT(LEFT(Contrato5[[#This Row],[CONTRATO]],3),"0")</f>
        <v>383</v>
      </c>
      <c r="AG494" s="148" t="str">
        <f>IF(LEN(Contrato5[[#This Row],[Contrato2]])=3,Contrato5[[#This Row],[Contrato2]],TEXT(Contrato5[[#This Row],[Contrato2]],"000"))</f>
        <v>383</v>
      </c>
      <c r="AH494" s="149">
        <f ca="1">IFERROR(_xlfn.DAYS(Contrato5[[#This Row],[Fecha Proyectada liquidación]],TODAY())/30,"")</f>
        <v>0.16666666666666666</v>
      </c>
      <c r="AI494" s="150">
        <f>+Contrato5[[#This Row],[FECHA TERMINACIÓN ]]+120</f>
        <v>45763</v>
      </c>
      <c r="AJ494" s="147"/>
      <c r="AK494" s="152" t="str">
        <f ca="1">IF(Contrato5[[#This Row],[FECHA TERMINACIÓN ]]&lt;TODAY(), "Terminado",IF(ISNUMBER(Contrato5[[#This Row],[Fecha Real de liquiidación ]]),"Liquidado",IF(Contrato5[[#This Row],[FECHA TERMINACIÓN ]]&gt;=TODAY(),"En ejecución","")))</f>
        <v>Terminado</v>
      </c>
      <c r="AL494" s="153" t="e">
        <f ca="1">SUMIF([2]!COMPROMISOS_2024[[#All],[consecutivo]],Contrato5[[#This Row],[RCP]],[2]!COMPROMISOS_2024[[#All],[Total pagado]])</f>
        <v>#REF!</v>
      </c>
      <c r="AM494" s="154">
        <f ca="1">IFERROR(Contrato5[[#This Row],[Pagos]]/Contrato5[[#This Row],[VALOR CONTRATO]],0)</f>
        <v>0</v>
      </c>
      <c r="AN494" s="198" t="e">
        <f ca="1">+Contrato5[[#This Row],[VALOR CONTRATO]]-Contrato5[[#This Row],[Pagos]]</f>
        <v>#REF!</v>
      </c>
      <c r="AO494" s="147" t="e" cm="1">
        <f t="array" aca="1" ref="AO494" ca="1">_xlfn.XLOOKUP(Contrato5[[#This Row],[DOCUMENTO ]],[2]!PERSONAL_ACTIVO_2024[[#All],[Documento identidad]],[2]!PERSONAL_ACTIVO_2024[[#All],[Mail ]],0,0)</f>
        <v>#NAME?</v>
      </c>
      <c r="AP494" s="147" t="e" cm="1">
        <f t="array" aca="1" ref="AP494" ca="1">_xlfn.XLOOKUP(Contrato5[[#This Row],[DOCUMENTO]],[2]!PERSONAL_ACTIVO_2024[[#All],[Documento identidad]],[2]!PERSONAL_ACTIVO_2024[[#All],[Mail ]],0,0)</f>
        <v>#NAME?</v>
      </c>
      <c r="AQ494" s="439" cm="1">
        <f t="array" aca="1" ref="AQ494" ca="1">IF(ISBLANK(Contrato5[[#This Row],[DEPENDENCIA ]]),0,IFERROR(_xlfn.XLOOKUP(Contrato5[[#This Row],[DEPENDENCIA ]],[2]!PERSONAL_ACTIVO_2024[[#All],[Dependencia]],[2]!PERSONAL_ACTIVO_2024[[#All],[Mail ]],0,0),0))</f>
        <v>0</v>
      </c>
    </row>
    <row r="495" spans="1:43" ht="34.5" customHeight="1">
      <c r="A495" s="125">
        <v>727</v>
      </c>
      <c r="B495" s="124">
        <v>384</v>
      </c>
      <c r="C495" s="162" t="s">
        <v>2661</v>
      </c>
      <c r="D495" s="227" t="s">
        <v>583</v>
      </c>
      <c r="E495" s="440" t="s">
        <v>94</v>
      </c>
      <c r="F495" s="163" t="s">
        <v>1376</v>
      </c>
      <c r="G495" s="281" t="s">
        <v>2665</v>
      </c>
      <c r="H495" s="436">
        <v>700464145</v>
      </c>
      <c r="I495" s="273">
        <v>9212989</v>
      </c>
      <c r="J495" s="437">
        <v>55277934</v>
      </c>
      <c r="K495" s="131" t="s">
        <v>42</v>
      </c>
      <c r="L495" s="438" t="s">
        <v>2659</v>
      </c>
      <c r="M495" s="194" t="s">
        <v>600</v>
      </c>
      <c r="N495" s="177" t="e" cm="1">
        <f t="array" aca="1" ref="N495" ca="1">_xlfn.XLOOKUP(Contrato5[[#This Row],[SUPERVISOR TITULAR]],[2]!PERSONAL_ACTIVO_2024[[#All],[Nombre completo]],[2]!PERSONAL_ACTIVO_2024[[#All],[Documento identidad]],"",0)</f>
        <v>#NAME?</v>
      </c>
      <c r="O495" s="194" t="s">
        <v>2495</v>
      </c>
      <c r="P495" s="196" t="e" cm="1">
        <f t="array" aca="1" ref="P495" ca="1">_xlfn.XLOOKUP(Contrato5[[#This Row],[SUPERVISOR SUPLENTE ]],[2]!PERSONAL_ACTIVO_2024[[#All],[Nombre completo]],[2]!PERSONAL_ACTIVO_2024[[#All],[Documento identidad]],"",0)</f>
        <v>#NAME?</v>
      </c>
      <c r="Q495" s="170">
        <v>556</v>
      </c>
      <c r="R495" s="137" t="e" cm="1">
        <f t="array" aca="1" ref="R495" ca="1">_xlfn.XLOOKUP(Contrato5[[#This Row],[CDP]],[2]!DISPONIBILIDADES_2024[[#All],[consecutivo]],[2]!DISPONIBILIDADES_2024[[#All],[fecha_aprobacion]],"",0)</f>
        <v>#NAME?</v>
      </c>
      <c r="S495" s="138" t="e">
        <f>SUMIF([2]!DISPONIBILIDADES_2024[[#All],[consecutivo]],Contrato5[[#This Row],[CDP]],[2]!DISPONIBILIDADES_2024[[#All],[valor_total_rubro]])</f>
        <v>#REF!</v>
      </c>
      <c r="T495" s="139" t="e" cm="1">
        <f t="array" aca="1" ref="T495" ca="1">_xlfn.XLOOKUP(Contrato5[[#This Row],[CONTRATO]]&amp;Contrato5[[#This Row],[CDP]],[2]!Corr_Contr_CDP[[#All],[CONTRATO-CDP]],[2]!Corr_Contr_CDP[[#All],[CRP]],_xlfn.XLOOKUP(Contrato5[[#This Row],[CDP]],[2]!COMPROMISOS_2024[[#All],[disponibilidad]],[2]!COMPROMISOS_2024[[#All],[consecutivo]],"",0),0)</f>
        <v>#NAME?</v>
      </c>
      <c r="U495" s="140" t="e" cm="1">
        <f t="array" aca="1" ref="U495" ca="1">+_xlfn.XLOOKUP(Contrato5[[#This Row],[RCP]],[2]!COMPROMISOS_2024[[#All],[consecutivo]],[2]!COMPROMISOS_2024[[#All],[fecha_aprobacion]],"",0)</f>
        <v>#NAME?</v>
      </c>
      <c r="V495" s="141" t="e">
        <f ca="1">SUMIF([2]!COMPROMISOS_2024[[#All],[consecutivo]],Contrato5[[#This Row],[RCP]],[2]!COMPROMISOS_2024[[#All],[valor_total]])</f>
        <v>#REF!</v>
      </c>
      <c r="W495" s="415">
        <v>45460</v>
      </c>
      <c r="X495" s="415" t="s">
        <v>1045</v>
      </c>
      <c r="Y495" s="143">
        <v>45461</v>
      </c>
      <c r="Z495" s="262">
        <v>45643</v>
      </c>
      <c r="AA495" s="171" t="s">
        <v>2663</v>
      </c>
      <c r="AB495" s="172" t="s">
        <v>640</v>
      </c>
      <c r="AC495" s="172"/>
      <c r="AD495" s="211">
        <v>202000004488</v>
      </c>
      <c r="AE495" s="147" t="s">
        <v>523</v>
      </c>
      <c r="AF495" s="148" t="str">
        <f>TEXT(LEFT(Contrato5[[#This Row],[CONTRATO]],3),"0")</f>
        <v>384</v>
      </c>
      <c r="AG495" s="148" t="str">
        <f>IF(LEN(Contrato5[[#This Row],[Contrato2]])=3,Contrato5[[#This Row],[Contrato2]],TEXT(Contrato5[[#This Row],[Contrato2]],"000"))</f>
        <v>384</v>
      </c>
      <c r="AH495" s="149">
        <f ca="1">IFERROR(_xlfn.DAYS(Contrato5[[#This Row],[Fecha Proyectada liquidación]],TODAY())/30,"")</f>
        <v>0.16666666666666666</v>
      </c>
      <c r="AI495" s="150">
        <f>+Contrato5[[#This Row],[FECHA TERMINACIÓN ]]+120</f>
        <v>45763</v>
      </c>
      <c r="AJ495" s="147"/>
      <c r="AK495" s="152" t="str">
        <f ca="1">IF(Contrato5[[#This Row],[FECHA TERMINACIÓN ]]&lt;TODAY(), "Terminado",IF(ISNUMBER(Contrato5[[#This Row],[Fecha Real de liquiidación ]]),"Liquidado",IF(Contrato5[[#This Row],[FECHA TERMINACIÓN ]]&gt;=TODAY(),"En ejecución","")))</f>
        <v>Terminado</v>
      </c>
      <c r="AL495" s="153" t="e">
        <f ca="1">SUMIF([2]!COMPROMISOS_2024[[#All],[consecutivo]],Contrato5[[#This Row],[RCP]],[2]!COMPROMISOS_2024[[#All],[Total pagado]])</f>
        <v>#REF!</v>
      </c>
      <c r="AM495" s="154">
        <f ca="1">IFERROR(Contrato5[[#This Row],[Pagos]]/Contrato5[[#This Row],[VALOR CONTRATO]],0)</f>
        <v>0</v>
      </c>
      <c r="AN495" s="198" t="e">
        <f ca="1">+Contrato5[[#This Row],[VALOR CONTRATO]]-Contrato5[[#This Row],[Pagos]]</f>
        <v>#REF!</v>
      </c>
      <c r="AO495" s="147" t="e" cm="1">
        <f t="array" aca="1" ref="AO495" ca="1">_xlfn.XLOOKUP(Contrato5[[#This Row],[DOCUMENTO ]],[2]!PERSONAL_ACTIVO_2024[[#All],[Documento identidad]],[2]!PERSONAL_ACTIVO_2024[[#All],[Mail ]],0,0)</f>
        <v>#NAME?</v>
      </c>
      <c r="AP495" s="147" t="e" cm="1">
        <f t="array" aca="1" ref="AP495" ca="1">_xlfn.XLOOKUP(Contrato5[[#This Row],[DOCUMENTO]],[2]!PERSONAL_ACTIVO_2024[[#All],[Documento identidad]],[2]!PERSONAL_ACTIVO_2024[[#All],[Mail ]],0,0)</f>
        <v>#NAME?</v>
      </c>
      <c r="AQ495" s="439" cm="1">
        <f t="array" aca="1" ref="AQ495" ca="1">IF(ISBLANK(Contrato5[[#This Row],[DEPENDENCIA ]]),0,IFERROR(_xlfn.XLOOKUP(Contrato5[[#This Row],[DEPENDENCIA ]],[2]!PERSONAL_ACTIVO_2024[[#All],[Dependencia]],[2]!PERSONAL_ACTIVO_2024[[#All],[Mail ]],0,0),0))</f>
        <v>0</v>
      </c>
    </row>
    <row r="496" spans="1:43" ht="34.5" customHeight="1">
      <c r="A496" s="125">
        <v>728</v>
      </c>
      <c r="B496" s="124">
        <v>385</v>
      </c>
      <c r="C496" s="162" t="s">
        <v>2661</v>
      </c>
      <c r="D496" s="227" t="s">
        <v>583</v>
      </c>
      <c r="E496" s="440" t="s">
        <v>94</v>
      </c>
      <c r="F496" s="163" t="s">
        <v>1376</v>
      </c>
      <c r="G496" s="281" t="s">
        <v>2666</v>
      </c>
      <c r="H496" s="436">
        <v>700464098</v>
      </c>
      <c r="I496" s="273">
        <v>9212989</v>
      </c>
      <c r="J496" s="437">
        <v>55277934</v>
      </c>
      <c r="K496" s="131" t="s">
        <v>42</v>
      </c>
      <c r="L496" s="438" t="s">
        <v>2659</v>
      </c>
      <c r="M496" s="194" t="s">
        <v>592</v>
      </c>
      <c r="N496" s="177" t="e" cm="1">
        <f t="array" aca="1" ref="N496" ca="1">_xlfn.XLOOKUP(Contrato5[[#This Row],[SUPERVISOR TITULAR]],[2]!PERSONAL_ACTIVO_2024[[#All],[Nombre completo]],[2]!PERSONAL_ACTIVO_2024[[#All],[Documento identidad]],"",0)</f>
        <v>#NAME?</v>
      </c>
      <c r="O496" s="194" t="s">
        <v>600</v>
      </c>
      <c r="P496" s="196" t="e" cm="1">
        <f t="array" aca="1" ref="P496" ca="1">_xlfn.XLOOKUP(Contrato5[[#This Row],[SUPERVISOR SUPLENTE ]],[2]!PERSONAL_ACTIVO_2024[[#All],[Nombre completo]],[2]!PERSONAL_ACTIVO_2024[[#All],[Documento identidad]],"",0)</f>
        <v>#NAME?</v>
      </c>
      <c r="Q496" s="170">
        <v>557</v>
      </c>
      <c r="R496" s="137" t="e" cm="1">
        <f t="array" aca="1" ref="R496" ca="1">_xlfn.XLOOKUP(Contrato5[[#This Row],[CDP]],[2]!DISPONIBILIDADES_2024[[#All],[consecutivo]],[2]!DISPONIBILIDADES_2024[[#All],[fecha_aprobacion]],"",0)</f>
        <v>#NAME?</v>
      </c>
      <c r="S496" s="138" t="e">
        <f>SUMIF([2]!DISPONIBILIDADES_2024[[#All],[consecutivo]],Contrato5[[#This Row],[CDP]],[2]!DISPONIBILIDADES_2024[[#All],[valor_total_rubro]])</f>
        <v>#REF!</v>
      </c>
      <c r="T496" s="139" t="e" cm="1">
        <f t="array" aca="1" ref="T496" ca="1">_xlfn.XLOOKUP(Contrato5[[#This Row],[CONTRATO]]&amp;Contrato5[[#This Row],[CDP]],[2]!Corr_Contr_CDP[[#All],[CONTRATO-CDP]],[2]!Corr_Contr_CDP[[#All],[CRP]],_xlfn.XLOOKUP(Contrato5[[#This Row],[CDP]],[2]!COMPROMISOS_2024[[#All],[disponibilidad]],[2]!COMPROMISOS_2024[[#All],[consecutivo]],"",0),0)</f>
        <v>#NAME?</v>
      </c>
      <c r="U496" s="140" t="e" cm="1">
        <f t="array" aca="1" ref="U496" ca="1">+_xlfn.XLOOKUP(Contrato5[[#This Row],[RCP]],[2]!COMPROMISOS_2024[[#All],[consecutivo]],[2]!COMPROMISOS_2024[[#All],[fecha_aprobacion]],"",0)</f>
        <v>#NAME?</v>
      </c>
      <c r="V496" s="141" t="e">
        <f ca="1">SUMIF([2]!COMPROMISOS_2024[[#All],[consecutivo]],Contrato5[[#This Row],[RCP]],[2]!COMPROMISOS_2024[[#All],[valor_total]])</f>
        <v>#REF!</v>
      </c>
      <c r="W496" s="415">
        <v>45460</v>
      </c>
      <c r="X496" s="415" t="s">
        <v>1045</v>
      </c>
      <c r="Y496" s="143">
        <v>45461</v>
      </c>
      <c r="Z496" s="262">
        <v>45643</v>
      </c>
      <c r="AA496" s="171" t="s">
        <v>2663</v>
      </c>
      <c r="AB496" s="172" t="s">
        <v>640</v>
      </c>
      <c r="AC496" s="172"/>
      <c r="AD496" s="211">
        <v>202000004491</v>
      </c>
      <c r="AE496" s="147" t="s">
        <v>523</v>
      </c>
      <c r="AF496" s="148" t="str">
        <f>TEXT(LEFT(Contrato5[[#This Row],[CONTRATO]],3),"0")</f>
        <v>385</v>
      </c>
      <c r="AG496" s="148" t="str">
        <f>IF(LEN(Contrato5[[#This Row],[Contrato2]])=3,Contrato5[[#This Row],[Contrato2]],TEXT(Contrato5[[#This Row],[Contrato2]],"000"))</f>
        <v>385</v>
      </c>
      <c r="AH496" s="149">
        <f ca="1">IFERROR(_xlfn.DAYS(Contrato5[[#This Row],[Fecha Proyectada liquidación]],TODAY())/30,"")</f>
        <v>0.16666666666666666</v>
      </c>
      <c r="AI496" s="150">
        <f>+Contrato5[[#This Row],[FECHA TERMINACIÓN ]]+120</f>
        <v>45763</v>
      </c>
      <c r="AJ496" s="147"/>
      <c r="AK496" s="152" t="str">
        <f ca="1">IF(Contrato5[[#This Row],[FECHA TERMINACIÓN ]]&lt;TODAY(), "Terminado",IF(ISNUMBER(Contrato5[[#This Row],[Fecha Real de liquiidación ]]),"Liquidado",IF(Contrato5[[#This Row],[FECHA TERMINACIÓN ]]&gt;=TODAY(),"En ejecución","")))</f>
        <v>Terminado</v>
      </c>
      <c r="AL496" s="153" t="e">
        <f ca="1">SUMIF([2]!COMPROMISOS_2024[[#All],[consecutivo]],Contrato5[[#This Row],[RCP]],[2]!COMPROMISOS_2024[[#All],[Total pagado]])</f>
        <v>#REF!</v>
      </c>
      <c r="AM496" s="154">
        <f ca="1">IFERROR(Contrato5[[#This Row],[Pagos]]/Contrato5[[#This Row],[VALOR CONTRATO]],0)</f>
        <v>0</v>
      </c>
      <c r="AN496" s="198" t="e">
        <f ca="1">+Contrato5[[#This Row],[VALOR CONTRATO]]-Contrato5[[#This Row],[Pagos]]</f>
        <v>#REF!</v>
      </c>
      <c r="AO496" s="147" t="e" cm="1">
        <f t="array" aca="1" ref="AO496" ca="1">_xlfn.XLOOKUP(Contrato5[[#This Row],[DOCUMENTO ]],[2]!PERSONAL_ACTIVO_2024[[#All],[Documento identidad]],[2]!PERSONAL_ACTIVO_2024[[#All],[Mail ]],0,0)</f>
        <v>#NAME?</v>
      </c>
      <c r="AP496" s="147" t="e" cm="1">
        <f t="array" aca="1" ref="AP496" ca="1">_xlfn.XLOOKUP(Contrato5[[#This Row],[DOCUMENTO]],[2]!PERSONAL_ACTIVO_2024[[#All],[Documento identidad]],[2]!PERSONAL_ACTIVO_2024[[#All],[Mail ]],0,0)</f>
        <v>#NAME?</v>
      </c>
      <c r="AQ496" s="439" cm="1">
        <f t="array" aca="1" ref="AQ496" ca="1">IF(ISBLANK(Contrato5[[#This Row],[DEPENDENCIA ]]),0,IFERROR(_xlfn.XLOOKUP(Contrato5[[#This Row],[DEPENDENCIA ]],[2]!PERSONAL_ACTIVO_2024[[#All],[Dependencia]],[2]!PERSONAL_ACTIVO_2024[[#All],[Mail ]],0,0),0))</f>
        <v>0</v>
      </c>
    </row>
    <row r="497" spans="1:43" ht="34.5" customHeight="1">
      <c r="A497" s="125">
        <v>732</v>
      </c>
      <c r="B497" s="124">
        <v>386</v>
      </c>
      <c r="C497" s="162" t="s">
        <v>1780</v>
      </c>
      <c r="D497" s="227" t="s">
        <v>583</v>
      </c>
      <c r="E497" s="440" t="s">
        <v>94</v>
      </c>
      <c r="F497" s="163" t="s">
        <v>1376</v>
      </c>
      <c r="G497" s="281" t="s">
        <v>2667</v>
      </c>
      <c r="H497" s="436">
        <v>700464160</v>
      </c>
      <c r="I497" s="273">
        <v>9212989</v>
      </c>
      <c r="J497" s="437">
        <v>55277934</v>
      </c>
      <c r="K497" s="131" t="s">
        <v>42</v>
      </c>
      <c r="L497" s="438" t="s">
        <v>2659</v>
      </c>
      <c r="M497" s="194" t="s">
        <v>586</v>
      </c>
      <c r="N497" s="177" t="e" cm="1">
        <f t="array" aca="1" ref="N497" ca="1">_xlfn.XLOOKUP(Contrato5[[#This Row],[SUPERVISOR TITULAR]],[2]!PERSONAL_ACTIVO_2024[[#All],[Nombre completo]],[2]!PERSONAL_ACTIVO_2024[[#All],[Documento identidad]],"",0)</f>
        <v>#NAME?</v>
      </c>
      <c r="O497" s="194" t="s">
        <v>589</v>
      </c>
      <c r="P497" s="196" t="e" cm="1">
        <f t="array" aca="1" ref="P497" ca="1">_xlfn.XLOOKUP(Contrato5[[#This Row],[SUPERVISOR SUPLENTE ]],[2]!PERSONAL_ACTIVO_2024[[#All],[Nombre completo]],[2]!PERSONAL_ACTIVO_2024[[#All],[Documento identidad]],"",0)</f>
        <v>#NAME?</v>
      </c>
      <c r="Q497" s="170">
        <v>537</v>
      </c>
      <c r="R497" s="137" t="e" cm="1">
        <f t="array" aca="1" ref="R497" ca="1">_xlfn.XLOOKUP(Contrato5[[#This Row],[CDP]],[2]!DISPONIBILIDADES_2024[[#All],[consecutivo]],[2]!DISPONIBILIDADES_2024[[#All],[fecha_aprobacion]],"",0)</f>
        <v>#NAME?</v>
      </c>
      <c r="S497" s="138" t="e">
        <f>SUMIF([2]!DISPONIBILIDADES_2024[[#All],[consecutivo]],Contrato5[[#This Row],[CDP]],[2]!DISPONIBILIDADES_2024[[#All],[valor_total_rubro]])</f>
        <v>#REF!</v>
      </c>
      <c r="T497" s="139" t="e" cm="1">
        <f t="array" aca="1" ref="T497" ca="1">_xlfn.XLOOKUP(Contrato5[[#This Row],[CONTRATO]]&amp;Contrato5[[#This Row],[CDP]],[2]!Corr_Contr_CDP[[#All],[CONTRATO-CDP]],[2]!Corr_Contr_CDP[[#All],[CRP]],_xlfn.XLOOKUP(Contrato5[[#This Row],[CDP]],[2]!COMPROMISOS_2024[[#All],[disponibilidad]],[2]!COMPROMISOS_2024[[#All],[consecutivo]],"",0),0)</f>
        <v>#NAME?</v>
      </c>
      <c r="U497" s="140" t="e" cm="1">
        <f t="array" aca="1" ref="U497" ca="1">+_xlfn.XLOOKUP(Contrato5[[#This Row],[RCP]],[2]!COMPROMISOS_2024[[#All],[consecutivo]],[2]!COMPROMISOS_2024[[#All],[fecha_aprobacion]],"",0)</f>
        <v>#NAME?</v>
      </c>
      <c r="V497" s="141" t="e">
        <f ca="1">SUMIF([2]!COMPROMISOS_2024[[#All],[consecutivo]],Contrato5[[#This Row],[RCP]],[2]!COMPROMISOS_2024[[#All],[valor_total]])</f>
        <v>#REF!</v>
      </c>
      <c r="W497" s="415">
        <v>45460</v>
      </c>
      <c r="X497" s="415" t="s">
        <v>1045</v>
      </c>
      <c r="Y497" s="143">
        <v>45461</v>
      </c>
      <c r="Z497" s="262">
        <v>45643</v>
      </c>
      <c r="AA497" s="171" t="s">
        <v>2663</v>
      </c>
      <c r="AB497" s="172" t="s">
        <v>640</v>
      </c>
      <c r="AC497" s="172"/>
      <c r="AD497" s="211">
        <v>202000004492</v>
      </c>
      <c r="AE497" s="147" t="s">
        <v>523</v>
      </c>
      <c r="AF497" s="148" t="str">
        <f>TEXT(LEFT(Contrato5[[#This Row],[CONTRATO]],3),"0")</f>
        <v>386</v>
      </c>
      <c r="AG497" s="148" t="str">
        <f>IF(LEN(Contrato5[[#This Row],[Contrato2]])=3,Contrato5[[#This Row],[Contrato2]],TEXT(Contrato5[[#This Row],[Contrato2]],"000"))</f>
        <v>386</v>
      </c>
      <c r="AH497" s="149">
        <f ca="1">IFERROR(_xlfn.DAYS(Contrato5[[#This Row],[Fecha Proyectada liquidación]],TODAY())/30,"")</f>
        <v>0.16666666666666666</v>
      </c>
      <c r="AI497" s="150">
        <f>+Contrato5[[#This Row],[FECHA TERMINACIÓN ]]+120</f>
        <v>45763</v>
      </c>
      <c r="AJ497" s="147"/>
      <c r="AK497" s="152" t="str">
        <f ca="1">IF(Contrato5[[#This Row],[FECHA TERMINACIÓN ]]&lt;TODAY(), "Terminado",IF(ISNUMBER(Contrato5[[#This Row],[Fecha Real de liquiidación ]]),"Liquidado",IF(Contrato5[[#This Row],[FECHA TERMINACIÓN ]]&gt;=TODAY(),"En ejecución","")))</f>
        <v>Terminado</v>
      </c>
      <c r="AL497" s="153" t="e">
        <f ca="1">SUMIF([2]!COMPROMISOS_2024[[#All],[consecutivo]],Contrato5[[#This Row],[RCP]],[2]!COMPROMISOS_2024[[#All],[Total pagado]])</f>
        <v>#REF!</v>
      </c>
      <c r="AM497" s="154">
        <f ca="1">IFERROR(Contrato5[[#This Row],[Pagos]]/Contrato5[[#This Row],[VALOR CONTRATO]],0)</f>
        <v>0</v>
      </c>
      <c r="AN497" s="198" t="e">
        <f ca="1">+Contrato5[[#This Row],[VALOR CONTRATO]]-Contrato5[[#This Row],[Pagos]]</f>
        <v>#REF!</v>
      </c>
      <c r="AO497" s="147" t="e" cm="1">
        <f t="array" aca="1" ref="AO497" ca="1">_xlfn.XLOOKUP(Contrato5[[#This Row],[DOCUMENTO ]],[2]!PERSONAL_ACTIVO_2024[[#All],[Documento identidad]],[2]!PERSONAL_ACTIVO_2024[[#All],[Mail ]],0,0)</f>
        <v>#NAME?</v>
      </c>
      <c r="AP497" s="147" t="e" cm="1">
        <f t="array" aca="1" ref="AP497" ca="1">_xlfn.XLOOKUP(Contrato5[[#This Row],[DOCUMENTO]],[2]!PERSONAL_ACTIVO_2024[[#All],[Documento identidad]],[2]!PERSONAL_ACTIVO_2024[[#All],[Mail ]],0,0)</f>
        <v>#NAME?</v>
      </c>
      <c r="AQ497" s="439" cm="1">
        <f t="array" aca="1" ref="AQ497" ca="1">IF(ISBLANK(Contrato5[[#This Row],[DEPENDENCIA ]]),0,IFERROR(_xlfn.XLOOKUP(Contrato5[[#This Row],[DEPENDENCIA ]],[2]!PERSONAL_ACTIVO_2024[[#All],[Dependencia]],[2]!PERSONAL_ACTIVO_2024[[#All],[Mail ]],0,0),0))</f>
        <v>0</v>
      </c>
    </row>
    <row r="498" spans="1:43" ht="34.5" customHeight="1">
      <c r="A498" s="125">
        <v>733</v>
      </c>
      <c r="B498" s="124">
        <v>387</v>
      </c>
      <c r="C498" s="162" t="s">
        <v>1781</v>
      </c>
      <c r="D498" s="227" t="s">
        <v>583</v>
      </c>
      <c r="E498" s="440" t="s">
        <v>94</v>
      </c>
      <c r="F498" s="163" t="s">
        <v>1376</v>
      </c>
      <c r="G498" s="281" t="s">
        <v>2668</v>
      </c>
      <c r="H498" s="436">
        <v>700464157</v>
      </c>
      <c r="I498" s="273">
        <v>9212989</v>
      </c>
      <c r="J498" s="437">
        <v>55277934</v>
      </c>
      <c r="K498" s="131" t="s">
        <v>42</v>
      </c>
      <c r="L498" s="438" t="s">
        <v>2659</v>
      </c>
      <c r="M498" s="194" t="s">
        <v>600</v>
      </c>
      <c r="N498" s="177" t="e" cm="1">
        <f t="array" aca="1" ref="N498" ca="1">_xlfn.XLOOKUP(Contrato5[[#This Row],[SUPERVISOR TITULAR]],[2]!PERSONAL_ACTIVO_2024[[#All],[Nombre completo]],[2]!PERSONAL_ACTIVO_2024[[#All],[Documento identidad]],"",0)</f>
        <v>#NAME?</v>
      </c>
      <c r="O498" s="194" t="s">
        <v>2495</v>
      </c>
      <c r="P498" s="196" t="e" cm="1">
        <f t="array" aca="1" ref="P498" ca="1">_xlfn.XLOOKUP(Contrato5[[#This Row],[SUPERVISOR SUPLENTE ]],[2]!PERSONAL_ACTIVO_2024[[#All],[Nombre completo]],[2]!PERSONAL_ACTIVO_2024[[#All],[Documento identidad]],"",0)</f>
        <v>#NAME?</v>
      </c>
      <c r="Q498" s="170">
        <v>534</v>
      </c>
      <c r="R498" s="137" t="e" cm="1">
        <f t="array" aca="1" ref="R498" ca="1">_xlfn.XLOOKUP(Contrato5[[#This Row],[CDP]],[2]!DISPONIBILIDADES_2024[[#All],[consecutivo]],[2]!DISPONIBILIDADES_2024[[#All],[fecha_aprobacion]],"",0)</f>
        <v>#NAME?</v>
      </c>
      <c r="S498" s="138" t="e">
        <f>SUMIF([2]!DISPONIBILIDADES_2024[[#All],[consecutivo]],Contrato5[[#This Row],[CDP]],[2]!DISPONIBILIDADES_2024[[#All],[valor_total_rubro]])</f>
        <v>#REF!</v>
      </c>
      <c r="T498" s="139" t="e" cm="1">
        <f t="array" aca="1" ref="T498" ca="1">_xlfn.XLOOKUP(Contrato5[[#This Row],[CONTRATO]]&amp;Contrato5[[#This Row],[CDP]],[2]!Corr_Contr_CDP[[#All],[CONTRATO-CDP]],[2]!Corr_Contr_CDP[[#All],[CRP]],_xlfn.XLOOKUP(Contrato5[[#This Row],[CDP]],[2]!COMPROMISOS_2024[[#All],[disponibilidad]],[2]!COMPROMISOS_2024[[#All],[consecutivo]],"",0),0)</f>
        <v>#NAME?</v>
      </c>
      <c r="U498" s="140" t="e" cm="1">
        <f t="array" aca="1" ref="U498" ca="1">+_xlfn.XLOOKUP(Contrato5[[#This Row],[RCP]],[2]!COMPROMISOS_2024[[#All],[consecutivo]],[2]!COMPROMISOS_2024[[#All],[fecha_aprobacion]],"",0)</f>
        <v>#NAME?</v>
      </c>
      <c r="V498" s="141" t="e">
        <f ca="1">SUMIF([2]!COMPROMISOS_2024[[#All],[consecutivo]],Contrato5[[#This Row],[RCP]],[2]!COMPROMISOS_2024[[#All],[valor_total]])</f>
        <v>#REF!</v>
      </c>
      <c r="W498" s="415">
        <v>45460</v>
      </c>
      <c r="X498" s="415" t="s">
        <v>1045</v>
      </c>
      <c r="Y498" s="143">
        <v>45461</v>
      </c>
      <c r="Z498" s="262">
        <v>45643</v>
      </c>
      <c r="AA498" s="171" t="s">
        <v>2663</v>
      </c>
      <c r="AB498" s="172" t="s">
        <v>640</v>
      </c>
      <c r="AC498" s="172"/>
      <c r="AD498" s="211">
        <v>202000004493</v>
      </c>
      <c r="AE498" s="147" t="s">
        <v>523</v>
      </c>
      <c r="AF498" s="148" t="str">
        <f>TEXT(LEFT(Contrato5[[#This Row],[CONTRATO]],3),"0")</f>
        <v>387</v>
      </c>
      <c r="AG498" s="148" t="str">
        <f>IF(LEN(Contrato5[[#This Row],[Contrato2]])=3,Contrato5[[#This Row],[Contrato2]],TEXT(Contrato5[[#This Row],[Contrato2]],"000"))</f>
        <v>387</v>
      </c>
      <c r="AH498" s="149">
        <f ca="1">IFERROR(_xlfn.DAYS(Contrato5[[#This Row],[Fecha Proyectada liquidación]],TODAY())/30,"")</f>
        <v>0.16666666666666666</v>
      </c>
      <c r="AI498" s="150">
        <f>+Contrato5[[#This Row],[FECHA TERMINACIÓN ]]+120</f>
        <v>45763</v>
      </c>
      <c r="AJ498" s="147"/>
      <c r="AK498" s="152" t="str">
        <f ca="1">IF(Contrato5[[#This Row],[FECHA TERMINACIÓN ]]&lt;TODAY(), "Terminado",IF(ISNUMBER(Contrato5[[#This Row],[Fecha Real de liquiidación ]]),"Liquidado",IF(Contrato5[[#This Row],[FECHA TERMINACIÓN ]]&gt;=TODAY(),"En ejecución","")))</f>
        <v>Terminado</v>
      </c>
      <c r="AL498" s="153" t="e">
        <f ca="1">SUMIF([2]!COMPROMISOS_2024[[#All],[consecutivo]],Contrato5[[#This Row],[RCP]],[2]!COMPROMISOS_2024[[#All],[Total pagado]])</f>
        <v>#REF!</v>
      </c>
      <c r="AM498" s="154">
        <f ca="1">IFERROR(Contrato5[[#This Row],[Pagos]]/Contrato5[[#This Row],[VALOR CONTRATO]],0)</f>
        <v>0</v>
      </c>
      <c r="AN498" s="198" t="e">
        <f ca="1">+Contrato5[[#This Row],[VALOR CONTRATO]]-Contrato5[[#This Row],[Pagos]]</f>
        <v>#REF!</v>
      </c>
      <c r="AO498" s="147" t="e" cm="1">
        <f t="array" aca="1" ref="AO498" ca="1">_xlfn.XLOOKUP(Contrato5[[#This Row],[DOCUMENTO ]],[2]!PERSONAL_ACTIVO_2024[[#All],[Documento identidad]],[2]!PERSONAL_ACTIVO_2024[[#All],[Mail ]],0,0)</f>
        <v>#NAME?</v>
      </c>
      <c r="AP498" s="147" t="e" cm="1">
        <f t="array" aca="1" ref="AP498" ca="1">_xlfn.XLOOKUP(Contrato5[[#This Row],[DOCUMENTO]],[2]!PERSONAL_ACTIVO_2024[[#All],[Documento identidad]],[2]!PERSONAL_ACTIVO_2024[[#All],[Mail ]],0,0)</f>
        <v>#NAME?</v>
      </c>
      <c r="AQ498" s="439" cm="1">
        <f t="array" aca="1" ref="AQ498" ca="1">IF(ISBLANK(Contrato5[[#This Row],[DEPENDENCIA ]]),0,IFERROR(_xlfn.XLOOKUP(Contrato5[[#This Row],[DEPENDENCIA ]],[2]!PERSONAL_ACTIVO_2024[[#All],[Dependencia]],[2]!PERSONAL_ACTIVO_2024[[#All],[Mail ]],0,0),0))</f>
        <v>0</v>
      </c>
    </row>
    <row r="499" spans="1:43" ht="34.5" customHeight="1">
      <c r="A499" s="125">
        <v>734</v>
      </c>
      <c r="B499" s="124">
        <v>388</v>
      </c>
      <c r="C499" s="162" t="s">
        <v>1782</v>
      </c>
      <c r="D499" s="227" t="s">
        <v>583</v>
      </c>
      <c r="E499" s="440" t="s">
        <v>94</v>
      </c>
      <c r="F499" s="163" t="s">
        <v>1376</v>
      </c>
      <c r="G499" s="281" t="s">
        <v>2669</v>
      </c>
      <c r="H499" s="436">
        <v>700464106</v>
      </c>
      <c r="I499" s="273">
        <v>9212989</v>
      </c>
      <c r="J499" s="437">
        <v>55277934</v>
      </c>
      <c r="K499" s="131" t="s">
        <v>42</v>
      </c>
      <c r="L499" s="438" t="s">
        <v>2659</v>
      </c>
      <c r="M499" s="194" t="s">
        <v>592</v>
      </c>
      <c r="N499" s="177" t="e" cm="1">
        <f t="array" aca="1" ref="N499" ca="1">_xlfn.XLOOKUP(Contrato5[[#This Row],[SUPERVISOR TITULAR]],[2]!PERSONAL_ACTIVO_2024[[#All],[Nombre completo]],[2]!PERSONAL_ACTIVO_2024[[#All],[Documento identidad]],"",0)</f>
        <v>#NAME?</v>
      </c>
      <c r="O499" s="194" t="s">
        <v>600</v>
      </c>
      <c r="P499" s="196" t="e" cm="1">
        <f t="array" aca="1" ref="P499" ca="1">_xlfn.XLOOKUP(Contrato5[[#This Row],[SUPERVISOR SUPLENTE ]],[2]!PERSONAL_ACTIVO_2024[[#All],[Nombre completo]],[2]!PERSONAL_ACTIVO_2024[[#All],[Documento identidad]],"",0)</f>
        <v>#NAME?</v>
      </c>
      <c r="Q499" s="170">
        <v>538</v>
      </c>
      <c r="R499" s="137" t="e" cm="1">
        <f t="array" aca="1" ref="R499" ca="1">_xlfn.XLOOKUP(Contrato5[[#This Row],[CDP]],[2]!DISPONIBILIDADES_2024[[#All],[consecutivo]],[2]!DISPONIBILIDADES_2024[[#All],[fecha_aprobacion]],"",0)</f>
        <v>#NAME?</v>
      </c>
      <c r="S499" s="138" t="e">
        <f>SUMIF([2]!DISPONIBILIDADES_2024[[#All],[consecutivo]],Contrato5[[#This Row],[CDP]],[2]!DISPONIBILIDADES_2024[[#All],[valor_total_rubro]])</f>
        <v>#REF!</v>
      </c>
      <c r="T499" s="139" t="e" cm="1">
        <f t="array" aca="1" ref="T499" ca="1">_xlfn.XLOOKUP(Contrato5[[#This Row],[CONTRATO]]&amp;Contrato5[[#This Row],[CDP]],[2]!Corr_Contr_CDP[[#All],[CONTRATO-CDP]],[2]!Corr_Contr_CDP[[#All],[CRP]],_xlfn.XLOOKUP(Contrato5[[#This Row],[CDP]],[2]!COMPROMISOS_2024[[#All],[disponibilidad]],[2]!COMPROMISOS_2024[[#All],[consecutivo]],"",0),0)</f>
        <v>#NAME?</v>
      </c>
      <c r="U499" s="140" t="e" cm="1">
        <f t="array" aca="1" ref="U499" ca="1">+_xlfn.XLOOKUP(Contrato5[[#This Row],[RCP]],[2]!COMPROMISOS_2024[[#All],[consecutivo]],[2]!COMPROMISOS_2024[[#All],[fecha_aprobacion]],"",0)</f>
        <v>#NAME?</v>
      </c>
      <c r="V499" s="141" t="e">
        <f ca="1">SUMIF([2]!COMPROMISOS_2024[[#All],[consecutivo]],Contrato5[[#This Row],[RCP]],[2]!COMPROMISOS_2024[[#All],[valor_total]])</f>
        <v>#REF!</v>
      </c>
      <c r="W499" s="415">
        <v>45460</v>
      </c>
      <c r="X499" s="415" t="s">
        <v>1045</v>
      </c>
      <c r="Y499" s="143">
        <v>45461</v>
      </c>
      <c r="Z499" s="262">
        <v>45643</v>
      </c>
      <c r="AA499" s="171" t="s">
        <v>2663</v>
      </c>
      <c r="AB499" s="172" t="s">
        <v>640</v>
      </c>
      <c r="AC499" s="172"/>
      <c r="AD499" s="211">
        <v>202000004494</v>
      </c>
      <c r="AE499" s="147" t="s">
        <v>523</v>
      </c>
      <c r="AF499" s="148" t="str">
        <f>TEXT(LEFT(Contrato5[[#This Row],[CONTRATO]],3),"0")</f>
        <v>388</v>
      </c>
      <c r="AG499" s="148" t="str">
        <f>IF(LEN(Contrato5[[#This Row],[Contrato2]])=3,Contrato5[[#This Row],[Contrato2]],TEXT(Contrato5[[#This Row],[Contrato2]],"000"))</f>
        <v>388</v>
      </c>
      <c r="AH499" s="149">
        <f ca="1">IFERROR(_xlfn.DAYS(Contrato5[[#This Row],[Fecha Proyectada liquidación]],TODAY())/30,"")</f>
        <v>0.16666666666666666</v>
      </c>
      <c r="AI499" s="150">
        <f>+Contrato5[[#This Row],[FECHA TERMINACIÓN ]]+120</f>
        <v>45763</v>
      </c>
      <c r="AJ499" s="147"/>
      <c r="AK499" s="152" t="str">
        <f ca="1">IF(Contrato5[[#This Row],[FECHA TERMINACIÓN ]]&lt;TODAY(), "Terminado",IF(ISNUMBER(Contrato5[[#This Row],[Fecha Real de liquiidación ]]),"Liquidado",IF(Contrato5[[#This Row],[FECHA TERMINACIÓN ]]&gt;=TODAY(),"En ejecución","")))</f>
        <v>Terminado</v>
      </c>
      <c r="AL499" s="153" t="e">
        <f ca="1">SUMIF([2]!COMPROMISOS_2024[[#All],[consecutivo]],Contrato5[[#This Row],[RCP]],[2]!COMPROMISOS_2024[[#All],[Total pagado]])</f>
        <v>#REF!</v>
      </c>
      <c r="AM499" s="154">
        <f ca="1">IFERROR(Contrato5[[#This Row],[Pagos]]/Contrato5[[#This Row],[VALOR CONTRATO]],0)</f>
        <v>0</v>
      </c>
      <c r="AN499" s="198" t="e">
        <f ca="1">+Contrato5[[#This Row],[VALOR CONTRATO]]-Contrato5[[#This Row],[Pagos]]</f>
        <v>#REF!</v>
      </c>
      <c r="AO499" s="147" t="e" cm="1">
        <f t="array" aca="1" ref="AO499" ca="1">_xlfn.XLOOKUP(Contrato5[[#This Row],[DOCUMENTO ]],[2]!PERSONAL_ACTIVO_2024[[#All],[Documento identidad]],[2]!PERSONAL_ACTIVO_2024[[#All],[Mail ]],0,0)</f>
        <v>#NAME?</v>
      </c>
      <c r="AP499" s="147" t="e" cm="1">
        <f t="array" aca="1" ref="AP499" ca="1">_xlfn.XLOOKUP(Contrato5[[#This Row],[DOCUMENTO]],[2]!PERSONAL_ACTIVO_2024[[#All],[Documento identidad]],[2]!PERSONAL_ACTIVO_2024[[#All],[Mail ]],0,0)</f>
        <v>#NAME?</v>
      </c>
      <c r="AQ499" s="439" cm="1">
        <f t="array" aca="1" ref="AQ499" ca="1">IF(ISBLANK(Contrato5[[#This Row],[DEPENDENCIA ]]),0,IFERROR(_xlfn.XLOOKUP(Contrato5[[#This Row],[DEPENDENCIA ]],[2]!PERSONAL_ACTIVO_2024[[#All],[Dependencia]],[2]!PERSONAL_ACTIVO_2024[[#All],[Mail ]],0,0),0))</f>
        <v>0</v>
      </c>
    </row>
    <row r="500" spans="1:43" ht="34.5" customHeight="1">
      <c r="A500" s="125">
        <v>761</v>
      </c>
      <c r="B500" s="124">
        <v>389</v>
      </c>
      <c r="C500" s="162" t="s">
        <v>1462</v>
      </c>
      <c r="D500" s="227" t="s">
        <v>536</v>
      </c>
      <c r="E500" s="440" t="s">
        <v>94</v>
      </c>
      <c r="F500" s="163" t="s">
        <v>1376</v>
      </c>
      <c r="G500" s="281" t="s">
        <v>2670</v>
      </c>
      <c r="H500" s="436">
        <v>1017223580</v>
      </c>
      <c r="I500" s="273">
        <v>6879081</v>
      </c>
      <c r="J500" s="437">
        <v>44484724</v>
      </c>
      <c r="K500" s="131" t="s">
        <v>42</v>
      </c>
      <c r="L500" s="438" t="s">
        <v>2465</v>
      </c>
      <c r="M500" s="194" t="s">
        <v>539</v>
      </c>
      <c r="N500" s="177" t="e" cm="1">
        <f t="array" aca="1" ref="N500" ca="1">_xlfn.XLOOKUP(Contrato5[[#This Row],[SUPERVISOR TITULAR]],[2]!PERSONAL_ACTIVO_2024[[#All],[Nombre completo]],[2]!PERSONAL_ACTIVO_2024[[#All],[Documento identidad]],"",0)</f>
        <v>#NAME?</v>
      </c>
      <c r="O500" s="194" t="s">
        <v>538</v>
      </c>
      <c r="P500" s="196" t="e" cm="1">
        <f t="array" aca="1" ref="P500" ca="1">_xlfn.XLOOKUP(Contrato5[[#This Row],[SUPERVISOR SUPLENTE ]],[2]!PERSONAL_ACTIVO_2024[[#All],[Nombre completo]],[2]!PERSONAL_ACTIVO_2024[[#All],[Documento identidad]],"",0)</f>
        <v>#NAME?</v>
      </c>
      <c r="Q500" s="170">
        <v>529</v>
      </c>
      <c r="R500" s="137" t="e" cm="1">
        <f t="array" aca="1" ref="R500" ca="1">_xlfn.XLOOKUP(Contrato5[[#This Row],[CDP]],[2]!DISPONIBILIDADES_2024[[#All],[consecutivo]],[2]!DISPONIBILIDADES_2024[[#All],[fecha_aprobacion]],"",0)</f>
        <v>#NAME?</v>
      </c>
      <c r="S500" s="138" t="e">
        <f>SUMIF([2]!DISPONIBILIDADES_2024[[#All],[consecutivo]],Contrato5[[#This Row],[CDP]],[2]!DISPONIBILIDADES_2024[[#All],[valor_total_rubro]])</f>
        <v>#REF!</v>
      </c>
      <c r="T500" s="139" t="e" cm="1">
        <f t="array" aca="1" ref="T500" ca="1">_xlfn.XLOOKUP(Contrato5[[#This Row],[CONTRATO]]&amp;Contrato5[[#This Row],[CDP]],[2]!Corr_Contr_CDP[[#All],[CONTRATO-CDP]],[2]!Corr_Contr_CDP[[#All],[CRP]],_xlfn.XLOOKUP(Contrato5[[#This Row],[CDP]],[2]!COMPROMISOS_2024[[#All],[disponibilidad]],[2]!COMPROMISOS_2024[[#All],[consecutivo]],"",0),0)</f>
        <v>#NAME?</v>
      </c>
      <c r="U500" s="140" t="e" cm="1">
        <f t="array" aca="1" ref="U500" ca="1">+_xlfn.XLOOKUP(Contrato5[[#This Row],[RCP]],[2]!COMPROMISOS_2024[[#All],[consecutivo]],[2]!COMPROMISOS_2024[[#All],[fecha_aprobacion]],"",0)</f>
        <v>#NAME?</v>
      </c>
      <c r="V500" s="141" t="e">
        <f ca="1">SUMIF([2]!COMPROMISOS_2024[[#All],[consecutivo]],Contrato5[[#This Row],[RCP]],[2]!COMPROMISOS_2024[[#All],[valor_total]])</f>
        <v>#REF!</v>
      </c>
      <c r="W500" s="415">
        <v>45457</v>
      </c>
      <c r="X500" s="415" t="s">
        <v>1045</v>
      </c>
      <c r="Y500" s="143">
        <v>45460</v>
      </c>
      <c r="Z500" s="262">
        <v>45656</v>
      </c>
      <c r="AA500" s="171" t="s">
        <v>2671</v>
      </c>
      <c r="AB500" s="172" t="s">
        <v>2672</v>
      </c>
      <c r="AC500" s="172"/>
      <c r="AD500" s="211">
        <v>202000004495</v>
      </c>
      <c r="AE500" s="147" t="s">
        <v>523</v>
      </c>
      <c r="AF500" s="148" t="str">
        <f>TEXT(LEFT(Contrato5[[#This Row],[CONTRATO]],3),"0")</f>
        <v>389</v>
      </c>
      <c r="AG500" s="148" t="str">
        <f>IF(LEN(Contrato5[[#This Row],[Contrato2]])=3,Contrato5[[#This Row],[Contrato2]],TEXT(Contrato5[[#This Row],[Contrato2]],"000"))</f>
        <v>389</v>
      </c>
      <c r="AH500" s="149">
        <f ca="1">IFERROR(_xlfn.DAYS(Contrato5[[#This Row],[Fecha Proyectada liquidación]],TODAY())/30,"")</f>
        <v>0.6</v>
      </c>
      <c r="AI500" s="150">
        <f>+Contrato5[[#This Row],[FECHA TERMINACIÓN ]]+120</f>
        <v>45776</v>
      </c>
      <c r="AJ500" s="147"/>
      <c r="AK500" s="152" t="str">
        <f ca="1">IF(Contrato5[[#This Row],[FECHA TERMINACIÓN ]]&lt;TODAY(), "Terminado",IF(ISNUMBER(Contrato5[[#This Row],[Fecha Real de liquiidación ]]),"Liquidado",IF(Contrato5[[#This Row],[FECHA TERMINACIÓN ]]&gt;=TODAY(),"En ejecución","")))</f>
        <v>Terminado</v>
      </c>
      <c r="AL500" s="153" t="e">
        <f ca="1">SUMIF([2]!COMPROMISOS_2024[[#All],[consecutivo]],Contrato5[[#This Row],[RCP]],[2]!COMPROMISOS_2024[[#All],[Total pagado]])</f>
        <v>#REF!</v>
      </c>
      <c r="AM500" s="154">
        <f ca="1">IFERROR(Contrato5[[#This Row],[Pagos]]/Contrato5[[#This Row],[VALOR CONTRATO]],0)</f>
        <v>0</v>
      </c>
      <c r="AN500" s="198" t="e">
        <f ca="1">+Contrato5[[#This Row],[VALOR CONTRATO]]-Contrato5[[#This Row],[Pagos]]</f>
        <v>#REF!</v>
      </c>
      <c r="AO500" s="147" t="e" cm="1">
        <f t="array" aca="1" ref="AO500" ca="1">_xlfn.XLOOKUP(Contrato5[[#This Row],[DOCUMENTO ]],[2]!PERSONAL_ACTIVO_2024[[#All],[Documento identidad]],[2]!PERSONAL_ACTIVO_2024[[#All],[Mail ]],0,0)</f>
        <v>#NAME?</v>
      </c>
      <c r="AP500" s="147" t="e" cm="1">
        <f t="array" aca="1" ref="AP500" ca="1">_xlfn.XLOOKUP(Contrato5[[#This Row],[DOCUMENTO]],[2]!PERSONAL_ACTIVO_2024[[#All],[Documento identidad]],[2]!PERSONAL_ACTIVO_2024[[#All],[Mail ]],0,0)</f>
        <v>#NAME?</v>
      </c>
      <c r="AQ500" s="439" cm="1">
        <f t="array" aca="1" ref="AQ500" ca="1">IF(ISBLANK(Contrato5[[#This Row],[DEPENDENCIA ]]),0,IFERROR(_xlfn.XLOOKUP(Contrato5[[#This Row],[DEPENDENCIA ]],[2]!PERSONAL_ACTIVO_2024[[#All],[Dependencia]],[2]!PERSONAL_ACTIVO_2024[[#All],[Mail ]],0,0),0))</f>
        <v>0</v>
      </c>
    </row>
    <row r="501" spans="1:43" ht="34.5" customHeight="1">
      <c r="A501" s="125">
        <v>365</v>
      </c>
      <c r="B501" s="124">
        <v>390</v>
      </c>
      <c r="C501" s="162" t="s">
        <v>324</v>
      </c>
      <c r="D501" s="227" t="s">
        <v>515</v>
      </c>
      <c r="E501" s="227" t="s">
        <v>2673</v>
      </c>
      <c r="F501" s="227" t="s">
        <v>107</v>
      </c>
      <c r="G501" s="281" t="s">
        <v>2674</v>
      </c>
      <c r="H501" s="436">
        <v>901841641</v>
      </c>
      <c r="I501" s="273" t="s">
        <v>42</v>
      </c>
      <c r="J501" s="437">
        <v>1322444000</v>
      </c>
      <c r="K501" s="131" t="s">
        <v>42</v>
      </c>
      <c r="L501" s="438" t="s">
        <v>1094</v>
      </c>
      <c r="M501" s="194" t="s">
        <v>852</v>
      </c>
      <c r="N501" s="177" t="e" cm="1">
        <f t="array" aca="1" ref="N501" ca="1">_xlfn.XLOOKUP(Contrato5[[#This Row],[SUPERVISOR TITULAR]],[2]!PERSONAL_ACTIVO_2024[[#All],[Nombre completo]],[2]!PERSONAL_ACTIVO_2024[[#All],[Documento identidad]],"",0)</f>
        <v>#NAME?</v>
      </c>
      <c r="O501" s="194" t="s">
        <v>954</v>
      </c>
      <c r="P501" s="196" t="e" cm="1">
        <f t="array" aca="1" ref="P501" ca="1">_xlfn.XLOOKUP(Contrato5[[#This Row],[SUPERVISOR SUPLENTE ]],[2]!PERSONAL_ACTIVO_2024[[#All],[Nombre completo]],[2]!PERSONAL_ACTIVO_2024[[#All],[Documento identidad]],"",0)</f>
        <v>#NAME?</v>
      </c>
      <c r="Q501" s="170">
        <v>387</v>
      </c>
      <c r="R501" s="137" t="e" cm="1">
        <f t="array" aca="1" ref="R501" ca="1">_xlfn.XLOOKUP(Contrato5[[#This Row],[CDP]],[2]!DISPONIBILIDADES_2024[[#All],[consecutivo]],[2]!DISPONIBILIDADES_2024[[#All],[fecha_aprobacion]],"",0)</f>
        <v>#NAME?</v>
      </c>
      <c r="S501" s="138" t="e">
        <f>SUMIF([2]!DISPONIBILIDADES_2024[[#All],[consecutivo]],Contrato5[[#This Row],[CDP]],[2]!DISPONIBILIDADES_2024[[#All],[valor_total_rubro]])</f>
        <v>#REF!</v>
      </c>
      <c r="T501" s="139" t="e" cm="1">
        <f t="array" aca="1" ref="T501" ca="1">_xlfn.XLOOKUP(Contrato5[[#This Row],[CONTRATO]]&amp;Contrato5[[#This Row],[CDP]],[2]!Corr_Contr_CDP[[#All],[CONTRATO-CDP]],[2]!Corr_Contr_CDP[[#All],[CRP]],_xlfn.XLOOKUP(Contrato5[[#This Row],[CDP]],[2]!COMPROMISOS_2024[[#All],[disponibilidad]],[2]!COMPROMISOS_2024[[#All],[consecutivo]],"",0),0)</f>
        <v>#NAME?</v>
      </c>
      <c r="U501" s="140" t="e" cm="1">
        <f t="array" aca="1" ref="U501" ca="1">+_xlfn.XLOOKUP(Contrato5[[#This Row],[RCP]],[2]!COMPROMISOS_2024[[#All],[consecutivo]],[2]!COMPROMISOS_2024[[#All],[fecha_aprobacion]],"",0)</f>
        <v>#NAME?</v>
      </c>
      <c r="V501" s="141" t="e">
        <f ca="1">SUMIF([2]!COMPROMISOS_2024[[#All],[consecutivo]],Contrato5[[#This Row],[RCP]],[2]!COMPROMISOS_2024[[#All],[valor_total]])</f>
        <v>#REF!</v>
      </c>
      <c r="W501" s="415">
        <v>45462</v>
      </c>
      <c r="X501" s="415">
        <v>45469</v>
      </c>
      <c r="Y501" s="143">
        <v>45470</v>
      </c>
      <c r="Z501" s="262">
        <v>45625</v>
      </c>
      <c r="AA501" s="171" t="s">
        <v>2675</v>
      </c>
      <c r="AB501" s="172" t="s">
        <v>1041</v>
      </c>
      <c r="AC501" s="172"/>
      <c r="AD501" s="211">
        <v>202000004498</v>
      </c>
      <c r="AE501" s="147" t="s">
        <v>523</v>
      </c>
      <c r="AF501" s="148" t="str">
        <f>TEXT(LEFT(Contrato5[[#This Row],[CONTRATO]],3),"0")</f>
        <v>390</v>
      </c>
      <c r="AG501" s="148" t="str">
        <f>IF(LEN(Contrato5[[#This Row],[Contrato2]])=3,Contrato5[[#This Row],[Contrato2]],TEXT(Contrato5[[#This Row],[Contrato2]],"000"))</f>
        <v>390</v>
      </c>
      <c r="AH501" s="149">
        <f ca="1">IFERROR(_xlfn.DAYS(Contrato5[[#This Row],[Fecha Proyectada liquidación]],TODAY())/30,"")</f>
        <v>-0.43333333333333335</v>
      </c>
      <c r="AI501" s="150">
        <f>+Contrato5[[#This Row],[FECHA TERMINACIÓN ]]+120</f>
        <v>45745</v>
      </c>
      <c r="AJ501" s="147"/>
      <c r="AK501" s="152" t="str">
        <f ca="1">IF(Contrato5[[#This Row],[FECHA TERMINACIÓN ]]&lt;TODAY(), "Terminado",IF(ISNUMBER(Contrato5[[#This Row],[Fecha Real de liquiidación ]]),"Liquidado",IF(Contrato5[[#This Row],[FECHA TERMINACIÓN ]]&gt;=TODAY(),"En ejecución","")))</f>
        <v>Terminado</v>
      </c>
      <c r="AL501" s="153" t="e">
        <f ca="1">SUMIF([2]!COMPROMISOS_2024[[#All],[consecutivo]],Contrato5[[#This Row],[RCP]],[2]!COMPROMISOS_2024[[#All],[Total pagado]])</f>
        <v>#REF!</v>
      </c>
      <c r="AM501" s="154">
        <f ca="1">IFERROR(Contrato5[[#This Row],[Pagos]]/Contrato5[[#This Row],[VALOR CONTRATO]],0)</f>
        <v>0</v>
      </c>
      <c r="AN501" s="198" t="e">
        <f ca="1">+Contrato5[[#This Row],[VALOR CONTRATO]]-Contrato5[[#This Row],[Pagos]]</f>
        <v>#REF!</v>
      </c>
      <c r="AO501" s="147" t="e" cm="1">
        <f t="array" aca="1" ref="AO501" ca="1">_xlfn.XLOOKUP(Contrato5[[#This Row],[DOCUMENTO ]],[2]!PERSONAL_ACTIVO_2024[[#All],[Documento identidad]],[2]!PERSONAL_ACTIVO_2024[[#All],[Mail ]],0,0)</f>
        <v>#NAME?</v>
      </c>
      <c r="AP501" s="147" t="e" cm="1">
        <f t="array" aca="1" ref="AP501" ca="1">_xlfn.XLOOKUP(Contrato5[[#This Row],[DOCUMENTO]],[2]!PERSONAL_ACTIVO_2024[[#All],[Documento identidad]],[2]!PERSONAL_ACTIVO_2024[[#All],[Mail ]],0,0)</f>
        <v>#NAME?</v>
      </c>
      <c r="AQ501" s="439" cm="1">
        <f t="array" aca="1" ref="AQ501" ca="1">IF(ISBLANK(Contrato5[[#This Row],[DEPENDENCIA ]]),0,IFERROR(_xlfn.XLOOKUP(Contrato5[[#This Row],[DEPENDENCIA ]],[2]!PERSONAL_ACTIVO_2024[[#All],[Dependencia]],[2]!PERSONAL_ACTIVO_2024[[#All],[Mail ]],0,0),0))</f>
        <v>0</v>
      </c>
    </row>
    <row r="502" spans="1:43" ht="34.5" customHeight="1">
      <c r="A502" s="125">
        <v>754</v>
      </c>
      <c r="B502" s="124">
        <v>391</v>
      </c>
      <c r="C502" s="162" t="s">
        <v>1543</v>
      </c>
      <c r="D502" s="227" t="s">
        <v>602</v>
      </c>
      <c r="E502" s="440" t="s">
        <v>94</v>
      </c>
      <c r="F502" s="163" t="s">
        <v>1376</v>
      </c>
      <c r="G502" s="281" t="s">
        <v>619</v>
      </c>
      <c r="H502" s="436">
        <v>39424784</v>
      </c>
      <c r="I502" s="273">
        <v>4191468</v>
      </c>
      <c r="J502" s="437">
        <v>35244542</v>
      </c>
      <c r="K502" s="131" t="s">
        <v>2676</v>
      </c>
      <c r="L502" s="438" t="s">
        <v>2465</v>
      </c>
      <c r="M502" s="194" t="s">
        <v>1155</v>
      </c>
      <c r="N502" s="177" t="e" cm="1">
        <f t="array" aca="1" ref="N502" ca="1">_xlfn.XLOOKUP(Contrato5[[#This Row],[SUPERVISOR TITULAR]],[2]!PERSONAL_ACTIVO_2024[[#All],[Nombre completo]],[2]!PERSONAL_ACTIVO_2024[[#All],[Documento identidad]],"",0)</f>
        <v>#NAME?</v>
      </c>
      <c r="O502" s="194" t="s">
        <v>1204</v>
      </c>
      <c r="P502" s="196" t="e" cm="1">
        <f t="array" aca="1" ref="P502" ca="1">_xlfn.XLOOKUP(Contrato5[[#This Row],[SUPERVISOR SUPLENTE ]],[2]!PERSONAL_ACTIVO_2024[[#All],[Nombre completo]],[2]!PERSONAL_ACTIVO_2024[[#All],[Documento identidad]],"",0)</f>
        <v>#NAME?</v>
      </c>
      <c r="Q502" s="170">
        <v>525</v>
      </c>
      <c r="R502" s="137" t="e" cm="1">
        <f t="array" aca="1" ref="R502" ca="1">_xlfn.XLOOKUP(Contrato5[[#This Row],[CDP]],[2]!DISPONIBILIDADES_2024[[#All],[consecutivo]],[2]!DISPONIBILIDADES_2024[[#All],[fecha_aprobacion]],"",0)</f>
        <v>#NAME?</v>
      </c>
      <c r="S502" s="138" t="e">
        <f>SUMIF([2]!DISPONIBILIDADES_2024[[#All],[consecutivo]],Contrato5[[#This Row],[CDP]],[2]!DISPONIBILIDADES_2024[[#All],[valor_total_rubro]])</f>
        <v>#REF!</v>
      </c>
      <c r="T502" s="139" t="e" cm="1">
        <f t="array" aca="1" ref="T502" ca="1">_xlfn.XLOOKUP(Contrato5[[#This Row],[CONTRATO]]&amp;Contrato5[[#This Row],[CDP]],[2]!Corr_Contr_CDP[[#All],[CONTRATO-CDP]],[2]!Corr_Contr_CDP[[#All],[CRP]],_xlfn.XLOOKUP(Contrato5[[#This Row],[CDP]],[2]!COMPROMISOS_2024[[#All],[disponibilidad]],[2]!COMPROMISOS_2024[[#All],[consecutivo]],"",0),0)</f>
        <v>#NAME?</v>
      </c>
      <c r="U502" s="140" t="e" cm="1">
        <f t="array" aca="1" ref="U502" ca="1">+_xlfn.XLOOKUP(Contrato5[[#This Row],[RCP]],[2]!COMPROMISOS_2024[[#All],[consecutivo]],[2]!COMPROMISOS_2024[[#All],[fecha_aprobacion]],"",0)</f>
        <v>#NAME?</v>
      </c>
      <c r="V502" s="141" t="e">
        <f ca="1">SUMIF([2]!COMPROMISOS_2024[[#All],[consecutivo]],Contrato5[[#This Row],[RCP]],[2]!COMPROMISOS_2024[[#All],[valor_total]])</f>
        <v>#REF!</v>
      </c>
      <c r="W502" s="415">
        <v>45461</v>
      </c>
      <c r="X502" s="415" t="s">
        <v>1045</v>
      </c>
      <c r="Y502" s="143">
        <v>45461</v>
      </c>
      <c r="Z502" s="262">
        <v>45657</v>
      </c>
      <c r="AA502" s="171" t="s">
        <v>2677</v>
      </c>
      <c r="AB502" s="172" t="s">
        <v>2678</v>
      </c>
      <c r="AC502" s="172"/>
      <c r="AD502" s="211">
        <v>202000004496</v>
      </c>
      <c r="AE502" s="147" t="s">
        <v>523</v>
      </c>
      <c r="AF502" s="148" t="str">
        <f>TEXT(LEFT(Contrato5[[#This Row],[CONTRATO]],3),"0")</f>
        <v>391</v>
      </c>
      <c r="AG502" s="148" t="str">
        <f>IF(LEN(Contrato5[[#This Row],[Contrato2]])=3,Contrato5[[#This Row],[Contrato2]],TEXT(Contrato5[[#This Row],[Contrato2]],"000"))</f>
        <v>391</v>
      </c>
      <c r="AH502" s="149">
        <f ca="1">IFERROR(_xlfn.DAYS(Contrato5[[#This Row],[Fecha Proyectada liquidación]],TODAY())/30,"")</f>
        <v>0.6333333333333333</v>
      </c>
      <c r="AI502" s="150">
        <f>+Contrato5[[#This Row],[FECHA TERMINACIÓN ]]+120</f>
        <v>45777</v>
      </c>
      <c r="AJ502" s="147"/>
      <c r="AK502" s="152" t="str">
        <f ca="1">IF(Contrato5[[#This Row],[FECHA TERMINACIÓN ]]&lt;TODAY(), "Terminado",IF(ISNUMBER(Contrato5[[#This Row],[Fecha Real de liquiidación ]]),"Liquidado",IF(Contrato5[[#This Row],[FECHA TERMINACIÓN ]]&gt;=TODAY(),"En ejecución","")))</f>
        <v>Terminado</v>
      </c>
      <c r="AL502" s="153" t="e">
        <f ca="1">SUMIF([2]!COMPROMISOS_2024[[#All],[consecutivo]],Contrato5[[#This Row],[RCP]],[2]!COMPROMISOS_2024[[#All],[Total pagado]])</f>
        <v>#REF!</v>
      </c>
      <c r="AM502" s="154">
        <f ca="1">IFERROR(Contrato5[[#This Row],[Pagos]]/Contrato5[[#This Row],[VALOR CONTRATO]],0)</f>
        <v>0</v>
      </c>
      <c r="AN502" s="198" t="e">
        <f ca="1">+Contrato5[[#This Row],[VALOR CONTRATO]]-Contrato5[[#This Row],[Pagos]]</f>
        <v>#REF!</v>
      </c>
      <c r="AO502" s="147" t="e" cm="1">
        <f t="array" aca="1" ref="AO502" ca="1">_xlfn.XLOOKUP(Contrato5[[#This Row],[DOCUMENTO ]],[2]!PERSONAL_ACTIVO_2024[[#All],[Documento identidad]],[2]!PERSONAL_ACTIVO_2024[[#All],[Mail ]],0,0)</f>
        <v>#NAME?</v>
      </c>
      <c r="AP502" s="147" t="e" cm="1">
        <f t="array" aca="1" ref="AP502" ca="1">_xlfn.XLOOKUP(Contrato5[[#This Row],[DOCUMENTO]],[2]!PERSONAL_ACTIVO_2024[[#All],[Documento identidad]],[2]!PERSONAL_ACTIVO_2024[[#All],[Mail ]],0,0)</f>
        <v>#NAME?</v>
      </c>
      <c r="AQ502" s="439" cm="1">
        <f t="array" aca="1" ref="AQ502" ca="1">IF(ISBLANK(Contrato5[[#This Row],[DEPENDENCIA ]]),0,IFERROR(_xlfn.XLOOKUP(Contrato5[[#This Row],[DEPENDENCIA ]],[2]!PERSONAL_ACTIVO_2024[[#All],[Dependencia]],[2]!PERSONAL_ACTIVO_2024[[#All],[Mail ]],0,0),0))</f>
        <v>0</v>
      </c>
    </row>
    <row r="503" spans="1:43" ht="34.5" customHeight="1">
      <c r="A503" s="125">
        <v>711</v>
      </c>
      <c r="B503" s="124">
        <v>392</v>
      </c>
      <c r="C503" s="162" t="s">
        <v>1764</v>
      </c>
      <c r="D503" s="227" t="s">
        <v>583</v>
      </c>
      <c r="E503" s="440" t="s">
        <v>94</v>
      </c>
      <c r="F503" s="227" t="s">
        <v>255</v>
      </c>
      <c r="G503" s="281" t="s">
        <v>1202</v>
      </c>
      <c r="H503" s="436">
        <v>890906297</v>
      </c>
      <c r="I503" s="273" t="s">
        <v>42</v>
      </c>
      <c r="J503" s="437">
        <v>100000000</v>
      </c>
      <c r="K503" s="131" t="s">
        <v>42</v>
      </c>
      <c r="L503" s="438" t="s">
        <v>2679</v>
      </c>
      <c r="M503" s="194" t="s">
        <v>592</v>
      </c>
      <c r="N503" s="177" t="e" cm="1">
        <f t="array" aca="1" ref="N503" ca="1">_xlfn.XLOOKUP(Contrato5[[#This Row],[SUPERVISOR TITULAR]],[2]!PERSONAL_ACTIVO_2024[[#All],[Nombre completo]],[2]!PERSONAL_ACTIVO_2024[[#All],[Documento identidad]],"",0)</f>
        <v>#NAME?</v>
      </c>
      <c r="O503" s="194" t="s">
        <v>600</v>
      </c>
      <c r="P503" s="196" t="e" cm="1">
        <f t="array" aca="1" ref="P503" ca="1">_xlfn.XLOOKUP(Contrato5[[#This Row],[SUPERVISOR SUPLENTE ]],[2]!PERSONAL_ACTIVO_2024[[#All],[Nombre completo]],[2]!PERSONAL_ACTIVO_2024[[#All],[Documento identidad]],"",0)</f>
        <v>#NAME?</v>
      </c>
      <c r="Q503" s="170">
        <v>564</v>
      </c>
      <c r="R503" s="137" t="e" cm="1">
        <f t="array" aca="1" ref="R503" ca="1">_xlfn.XLOOKUP(Contrato5[[#This Row],[CDP]],[2]!DISPONIBILIDADES_2024[[#All],[consecutivo]],[2]!DISPONIBILIDADES_2024[[#All],[fecha_aprobacion]],"",0)</f>
        <v>#NAME?</v>
      </c>
      <c r="S503" s="138" t="e">
        <f>SUMIF([2]!DISPONIBILIDADES_2024[[#All],[consecutivo]],Contrato5[[#This Row],[CDP]],[2]!DISPONIBILIDADES_2024[[#All],[valor_total_rubro]])</f>
        <v>#REF!</v>
      </c>
      <c r="T503" s="139" t="e" cm="1">
        <f t="array" aca="1" ref="T503" ca="1">_xlfn.XLOOKUP(Contrato5[[#This Row],[CONTRATO]]&amp;Contrato5[[#This Row],[CDP]],[2]!Corr_Contr_CDP[[#All],[CONTRATO-CDP]],[2]!Corr_Contr_CDP[[#All],[CRP]],_xlfn.XLOOKUP(Contrato5[[#This Row],[CDP]],[2]!COMPROMISOS_2024[[#All],[disponibilidad]],[2]!COMPROMISOS_2024[[#All],[consecutivo]],"",0),0)</f>
        <v>#NAME?</v>
      </c>
      <c r="U503" s="140" t="e" cm="1">
        <f t="array" aca="1" ref="U503" ca="1">+_xlfn.XLOOKUP(Contrato5[[#This Row],[RCP]],[2]!COMPROMISOS_2024[[#All],[consecutivo]],[2]!COMPROMISOS_2024[[#All],[fecha_aprobacion]],"",0)</f>
        <v>#NAME?</v>
      </c>
      <c r="V503" s="141" t="e">
        <f ca="1">SUMIF([2]!COMPROMISOS_2024[[#All],[consecutivo]],Contrato5[[#This Row],[RCP]],[2]!COMPROMISOS_2024[[#All],[valor_total]])</f>
        <v>#REF!</v>
      </c>
      <c r="W503" s="415">
        <v>45464</v>
      </c>
      <c r="X503" s="415">
        <v>45468</v>
      </c>
      <c r="Y503" s="143">
        <v>45469</v>
      </c>
      <c r="Z503" s="262">
        <v>45656</v>
      </c>
      <c r="AA503" s="171" t="s">
        <v>2680</v>
      </c>
      <c r="AB503" s="172" t="s">
        <v>2681</v>
      </c>
      <c r="AC503" s="172"/>
      <c r="AD503" s="211">
        <v>202000004499</v>
      </c>
      <c r="AE503" s="147" t="s">
        <v>523</v>
      </c>
      <c r="AF503" s="148" t="str">
        <f>TEXT(LEFT(Contrato5[[#This Row],[CONTRATO]],3),"0")</f>
        <v>392</v>
      </c>
      <c r="AG503" s="148" t="str">
        <f>IF(LEN(Contrato5[[#This Row],[Contrato2]])=3,Contrato5[[#This Row],[Contrato2]],TEXT(Contrato5[[#This Row],[Contrato2]],"000"))</f>
        <v>392</v>
      </c>
      <c r="AH503" s="149">
        <f ca="1">IFERROR(_xlfn.DAYS(Contrato5[[#This Row],[Fecha Proyectada liquidación]],TODAY())/30,"")</f>
        <v>0.6</v>
      </c>
      <c r="AI503" s="150">
        <f>+Contrato5[[#This Row],[FECHA TERMINACIÓN ]]+120</f>
        <v>45776</v>
      </c>
      <c r="AJ503" s="147"/>
      <c r="AK503" s="152" t="str">
        <f ca="1">IF(Contrato5[[#This Row],[FECHA TERMINACIÓN ]]&lt;TODAY(), "Terminado",IF(ISNUMBER(Contrato5[[#This Row],[Fecha Real de liquiidación ]]),"Liquidado",IF(Contrato5[[#This Row],[FECHA TERMINACIÓN ]]&gt;=TODAY(),"En ejecución","")))</f>
        <v>Terminado</v>
      </c>
      <c r="AL503" s="153" t="e">
        <f ca="1">SUMIF([2]!COMPROMISOS_2024[[#All],[consecutivo]],Contrato5[[#This Row],[RCP]],[2]!COMPROMISOS_2024[[#All],[Total pagado]])</f>
        <v>#REF!</v>
      </c>
      <c r="AM503" s="154">
        <f ca="1">IFERROR(Contrato5[[#This Row],[Pagos]]/Contrato5[[#This Row],[VALOR CONTRATO]],0)</f>
        <v>0</v>
      </c>
      <c r="AN503" s="198" t="e">
        <f ca="1">+Contrato5[[#This Row],[VALOR CONTRATO]]-Contrato5[[#This Row],[Pagos]]</f>
        <v>#REF!</v>
      </c>
      <c r="AO503" s="147" t="e" cm="1">
        <f t="array" aca="1" ref="AO503" ca="1">_xlfn.XLOOKUP(Contrato5[[#This Row],[DOCUMENTO ]],[2]!PERSONAL_ACTIVO_2024[[#All],[Documento identidad]],[2]!PERSONAL_ACTIVO_2024[[#All],[Mail ]],0,0)</f>
        <v>#NAME?</v>
      </c>
      <c r="AP503" s="147" t="e" cm="1">
        <f t="array" aca="1" ref="AP503" ca="1">_xlfn.XLOOKUP(Contrato5[[#This Row],[DOCUMENTO]],[2]!PERSONAL_ACTIVO_2024[[#All],[Documento identidad]],[2]!PERSONAL_ACTIVO_2024[[#All],[Mail ]],0,0)</f>
        <v>#NAME?</v>
      </c>
      <c r="AQ503" s="439" cm="1">
        <f t="array" aca="1" ref="AQ503" ca="1">IF(ISBLANK(Contrato5[[#This Row],[DEPENDENCIA ]]),0,IFERROR(_xlfn.XLOOKUP(Contrato5[[#This Row],[DEPENDENCIA ]],[2]!PERSONAL_ACTIVO_2024[[#All],[Dependencia]],[2]!PERSONAL_ACTIVO_2024[[#All],[Mail ]],0,0),0))</f>
        <v>0</v>
      </c>
    </row>
    <row r="504" spans="1:43" ht="34.5" customHeight="1">
      <c r="A504" s="125">
        <v>702</v>
      </c>
      <c r="B504" s="124">
        <v>393</v>
      </c>
      <c r="C504" s="162" t="s">
        <v>1758</v>
      </c>
      <c r="D504" s="227" t="s">
        <v>583</v>
      </c>
      <c r="E504" s="440" t="s">
        <v>94</v>
      </c>
      <c r="F504" s="227" t="s">
        <v>1767</v>
      </c>
      <c r="G504" s="281" t="s">
        <v>995</v>
      </c>
      <c r="H504" s="436">
        <v>890906279</v>
      </c>
      <c r="I504" s="309" t="s">
        <v>42</v>
      </c>
      <c r="J504" s="445">
        <v>180000000</v>
      </c>
      <c r="K504" s="131" t="s">
        <v>42</v>
      </c>
      <c r="L504" s="438" t="s">
        <v>2679</v>
      </c>
      <c r="M504" s="194" t="s">
        <v>600</v>
      </c>
      <c r="N504" s="177" t="e" cm="1">
        <f t="array" aca="1" ref="N504" ca="1">_xlfn.XLOOKUP(Contrato5[[#This Row],[SUPERVISOR TITULAR]],[2]!PERSONAL_ACTIVO_2024[[#All],[Nombre completo]],[2]!PERSONAL_ACTIVO_2024[[#All],[Documento identidad]],"",0)</f>
        <v>#NAME?</v>
      </c>
      <c r="O504" s="194" t="s">
        <v>592</v>
      </c>
      <c r="P504" s="196" t="e" cm="1">
        <f t="array" aca="1" ref="P504" ca="1">_xlfn.XLOOKUP(Contrato5[[#This Row],[SUPERVISOR SUPLENTE ]],[2]!PERSONAL_ACTIVO_2024[[#All],[Nombre completo]],[2]!PERSONAL_ACTIVO_2024[[#All],[Documento identidad]],"",0)</f>
        <v>#NAME?</v>
      </c>
      <c r="Q504" s="170">
        <v>560</v>
      </c>
      <c r="R504" s="137" t="e" cm="1">
        <f t="array" aca="1" ref="R504" ca="1">_xlfn.XLOOKUP(Contrato5[[#This Row],[CDP]],[2]!DISPONIBILIDADES_2024[[#All],[consecutivo]],[2]!DISPONIBILIDADES_2024[[#All],[fecha_aprobacion]],"",0)</f>
        <v>#NAME?</v>
      </c>
      <c r="S504" s="138" t="e">
        <f>SUMIF([2]!DISPONIBILIDADES_2024[[#All],[consecutivo]],Contrato5[[#This Row],[CDP]],[2]!DISPONIBILIDADES_2024[[#All],[valor_total_rubro]])</f>
        <v>#REF!</v>
      </c>
      <c r="T504" s="139" t="e" cm="1">
        <f t="array" aca="1" ref="T504" ca="1">_xlfn.XLOOKUP(Contrato5[[#This Row],[CONTRATO]]&amp;Contrato5[[#This Row],[CDP]],[2]!Corr_Contr_CDP[[#All],[CONTRATO-CDP]],[2]!Corr_Contr_CDP[[#All],[CRP]],_xlfn.XLOOKUP(Contrato5[[#This Row],[CDP]],[2]!COMPROMISOS_2024[[#All],[disponibilidad]],[2]!COMPROMISOS_2024[[#All],[consecutivo]],"",0),0)</f>
        <v>#NAME?</v>
      </c>
      <c r="U504" s="140" t="e" cm="1">
        <f t="array" aca="1" ref="U504" ca="1">+_xlfn.XLOOKUP(Contrato5[[#This Row],[RCP]],[2]!COMPROMISOS_2024[[#All],[consecutivo]],[2]!COMPROMISOS_2024[[#All],[fecha_aprobacion]],"",0)</f>
        <v>#NAME?</v>
      </c>
      <c r="V504" s="141" t="e">
        <f ca="1">SUMIF([2]!COMPROMISOS_2024[[#All],[consecutivo]],Contrato5[[#This Row],[RCP]],[2]!COMPROMISOS_2024[[#All],[valor_total]])</f>
        <v>#REF!</v>
      </c>
      <c r="W504" s="415">
        <v>45464</v>
      </c>
      <c r="X504" s="415">
        <v>45468</v>
      </c>
      <c r="Y504" s="143">
        <v>45469</v>
      </c>
      <c r="Z504" s="262">
        <v>45656</v>
      </c>
      <c r="AA504" s="171" t="s">
        <v>2682</v>
      </c>
      <c r="AB504" s="172" t="s">
        <v>640</v>
      </c>
      <c r="AC504" s="172"/>
      <c r="AD504" s="211">
        <v>202000004501</v>
      </c>
      <c r="AE504" s="147" t="s">
        <v>523</v>
      </c>
      <c r="AF504" s="148" t="str">
        <f>TEXT(LEFT(Contrato5[[#This Row],[CONTRATO]],3),"0")</f>
        <v>393</v>
      </c>
      <c r="AG504" s="148" t="str">
        <f>IF(LEN(Contrato5[[#This Row],[Contrato2]])=3,Contrato5[[#This Row],[Contrato2]],TEXT(Contrato5[[#This Row],[Contrato2]],"000"))</f>
        <v>393</v>
      </c>
      <c r="AH504" s="149">
        <f ca="1">IFERROR(_xlfn.DAYS(Contrato5[[#This Row],[Fecha Proyectada liquidación]],TODAY())/30,"")</f>
        <v>0.6</v>
      </c>
      <c r="AI504" s="150">
        <f>+Contrato5[[#This Row],[FECHA TERMINACIÓN ]]+120</f>
        <v>45776</v>
      </c>
      <c r="AJ504" s="147"/>
      <c r="AK504" s="152" t="str">
        <f ca="1">IF(Contrato5[[#This Row],[FECHA TERMINACIÓN ]]&lt;TODAY(), "Terminado",IF(ISNUMBER(Contrato5[[#This Row],[Fecha Real de liquiidación ]]),"Liquidado",IF(Contrato5[[#This Row],[FECHA TERMINACIÓN ]]&gt;=TODAY(),"En ejecución","")))</f>
        <v>Terminado</v>
      </c>
      <c r="AL504" s="153" t="e">
        <f ca="1">SUMIF([2]!COMPROMISOS_2024[[#All],[consecutivo]],Contrato5[[#This Row],[RCP]],[2]!COMPROMISOS_2024[[#All],[Total pagado]])</f>
        <v>#REF!</v>
      </c>
      <c r="AM504" s="154">
        <f ca="1">IFERROR(Contrato5[[#This Row],[Pagos]]/Contrato5[[#This Row],[VALOR CONTRATO]],0)</f>
        <v>0</v>
      </c>
      <c r="AN504" s="198" t="e">
        <f ca="1">+Contrato5[[#This Row],[VALOR CONTRATO]]-Contrato5[[#This Row],[Pagos]]</f>
        <v>#REF!</v>
      </c>
      <c r="AO504" s="147" t="e" cm="1">
        <f t="array" aca="1" ref="AO504" ca="1">_xlfn.XLOOKUP(Contrato5[[#This Row],[DOCUMENTO ]],[2]!PERSONAL_ACTIVO_2024[[#All],[Documento identidad]],[2]!PERSONAL_ACTIVO_2024[[#All],[Mail ]],0,0)</f>
        <v>#NAME?</v>
      </c>
      <c r="AP504" s="147" t="e" cm="1">
        <f t="array" aca="1" ref="AP504" ca="1">_xlfn.XLOOKUP(Contrato5[[#This Row],[DOCUMENTO]],[2]!PERSONAL_ACTIVO_2024[[#All],[Documento identidad]],[2]!PERSONAL_ACTIVO_2024[[#All],[Mail ]],0,0)</f>
        <v>#NAME?</v>
      </c>
      <c r="AQ504" s="439" cm="1">
        <f t="array" aca="1" ref="AQ504" ca="1">IF(ISBLANK(Contrato5[[#This Row],[DEPENDENCIA ]]),0,IFERROR(_xlfn.XLOOKUP(Contrato5[[#This Row],[DEPENDENCIA ]],[2]!PERSONAL_ACTIVO_2024[[#All],[Dependencia]],[2]!PERSONAL_ACTIVO_2024[[#All],[Mail ]],0,0),0))</f>
        <v>0</v>
      </c>
    </row>
    <row r="505" spans="1:43" ht="34.5" customHeight="1">
      <c r="A505" s="147">
        <v>1248</v>
      </c>
      <c r="B505" s="124">
        <v>393</v>
      </c>
      <c r="C505" s="162" t="s">
        <v>2192</v>
      </c>
      <c r="D505" s="227" t="s">
        <v>583</v>
      </c>
      <c r="E505" s="227" t="s">
        <v>2148</v>
      </c>
      <c r="F505" s="227" t="s">
        <v>1767</v>
      </c>
      <c r="G505" s="281" t="s">
        <v>995</v>
      </c>
      <c r="H505" s="436">
        <v>890906279</v>
      </c>
      <c r="I505" s="517" t="s">
        <v>42</v>
      </c>
      <c r="J505" s="445">
        <v>90000000</v>
      </c>
      <c r="K505" s="147" t="s">
        <v>42</v>
      </c>
      <c r="L505" s="438" t="s">
        <v>2683</v>
      </c>
      <c r="M505" s="194" t="s">
        <v>600</v>
      </c>
      <c r="N505" s="177" t="e" cm="1">
        <f t="array" aca="1" ref="N505" ca="1">_xlfn.XLOOKUP(Contrato5[[#This Row],[SUPERVISOR TITULAR]],[2]!PERSONAL_ACTIVO_2024[[#All],[Nombre completo]],[2]!PERSONAL_ACTIVO_2024[[#All],[Documento identidad]],"",0)</f>
        <v>#NAME?</v>
      </c>
      <c r="O505" s="194" t="s">
        <v>592</v>
      </c>
      <c r="P505" s="196" t="e" cm="1">
        <f t="array" aca="1" ref="P505" ca="1">_xlfn.XLOOKUP(Contrato5[[#This Row],[SUPERVISOR SUPLENTE ]],[2]!PERSONAL_ACTIVO_2024[[#All],[Nombre completo]],[2]!PERSONAL_ACTIVO_2024[[#All],[Documento identidad]],"",0)</f>
        <v>#NAME?</v>
      </c>
      <c r="Q505" s="170">
        <v>1067</v>
      </c>
      <c r="R505" s="137" t="e" cm="1">
        <f t="array" aca="1" ref="R505" ca="1">_xlfn.XLOOKUP(Contrato5[[#This Row],[CDP]],[2]!DISPONIBILIDADES_2024[[#All],[consecutivo]],[2]!DISPONIBILIDADES_2024[[#All],[fecha_aprobacion]],"",0)</f>
        <v>#NAME?</v>
      </c>
      <c r="S505" s="138" t="e">
        <f>SUMIF([2]!DISPONIBILIDADES_2024[[#All],[consecutivo]],Contrato5[[#This Row],[CDP]],[2]!DISPONIBILIDADES_2024[[#All],[valor_total_rubro]])</f>
        <v>#REF!</v>
      </c>
      <c r="T505" s="139" t="e" cm="1">
        <f t="array" aca="1" ref="T505" ca="1">_xlfn.XLOOKUP(Contrato5[[#This Row],[CONTRATO]]&amp;Contrato5[[#This Row],[CDP]],[2]!Corr_Contr_CDP[[#All],[CONTRATO-CDP]],[2]!Corr_Contr_CDP[[#All],[CRP]],_xlfn.XLOOKUP(Contrato5[[#This Row],[CDP]],[2]!COMPROMISOS_2024[[#All],[disponibilidad]],[2]!COMPROMISOS_2024[[#All],[consecutivo]],"",0),0)</f>
        <v>#NAME?</v>
      </c>
      <c r="U505" s="140" t="e" cm="1">
        <f t="array" aca="1" ref="U505" ca="1">+_xlfn.XLOOKUP(Contrato5[[#This Row],[RCP]],[2]!COMPROMISOS_2024[[#All],[consecutivo]],[2]!COMPROMISOS_2024[[#All],[fecha_aprobacion]],"",0)</f>
        <v>#NAME?</v>
      </c>
      <c r="V505" s="141" t="e">
        <f ca="1">SUMIF([2]!COMPROMISOS_2024[[#All],[consecutivo]],Contrato5[[#This Row],[RCP]],[2]!COMPROMISOS_2024[[#All],[valor_total]])</f>
        <v>#REF!</v>
      </c>
      <c r="W505" s="415">
        <v>45609</v>
      </c>
      <c r="X505" s="415">
        <v>45611</v>
      </c>
      <c r="Y505" s="143">
        <v>45469</v>
      </c>
      <c r="Z505" s="262">
        <v>45656</v>
      </c>
      <c r="AA505" s="183"/>
      <c r="AB505" s="172" t="s">
        <v>42</v>
      </c>
      <c r="AC505" s="172"/>
      <c r="AD505" s="288"/>
      <c r="AE505" s="147"/>
      <c r="AF505" s="148" t="str">
        <f>TEXT(LEFT(Contrato5[[#This Row],[CONTRATO]],3),"0")</f>
        <v>393</v>
      </c>
      <c r="AG505" s="148" t="str">
        <f>IF(LEN(Contrato5[[#This Row],[Contrato2]])=3,Contrato5[[#This Row],[Contrato2]],TEXT(Contrato5[[#This Row],[Contrato2]],"000"))</f>
        <v>393</v>
      </c>
      <c r="AH505" s="149">
        <f ca="1">IFERROR(_xlfn.DAYS(Contrato5[[#This Row],[Fecha Proyectada liquidación]],TODAY())/30,"")</f>
        <v>0.6</v>
      </c>
      <c r="AI505" s="150">
        <f>+Contrato5[[#This Row],[FECHA TERMINACIÓN ]]+120</f>
        <v>45776</v>
      </c>
      <c r="AJ505" s="147"/>
      <c r="AK505" s="152" t="str">
        <f ca="1">IF(Contrato5[[#This Row],[FECHA TERMINACIÓN ]]&lt;TODAY(), "Terminado",IF(ISNUMBER(Contrato5[[#This Row],[Fecha Real de liquiidación ]]),"Liquidado",IF(Contrato5[[#This Row],[FECHA TERMINACIÓN ]]&gt;=TODAY(),"En ejecución","")))</f>
        <v>Terminado</v>
      </c>
      <c r="AL505" s="153" t="e">
        <f ca="1">SUMIF([2]!COMPROMISOS_2024[[#All],[consecutivo]],Contrato5[[#This Row],[RCP]],[2]!COMPROMISOS_2024[[#All],[Total pagado]])</f>
        <v>#REF!</v>
      </c>
      <c r="AM505" s="154">
        <f ca="1">IFERROR(Contrato5[[#This Row],[Pagos]]/Contrato5[[#This Row],[VALOR CONTRATO]],0)</f>
        <v>0</v>
      </c>
      <c r="AN505" s="198" t="e">
        <f ca="1">+Contrato5[[#This Row],[VALOR CONTRATO]]-Contrato5[[#This Row],[Pagos]]</f>
        <v>#REF!</v>
      </c>
      <c r="AO505" s="147" t="e" cm="1">
        <f t="array" aca="1" ref="AO505" ca="1">_xlfn.XLOOKUP(Contrato5[[#This Row],[DOCUMENTO ]],[2]!PERSONAL_ACTIVO_2024[[#All],[Documento identidad]],[2]!PERSONAL_ACTIVO_2024[[#All],[Mail ]],0,0)</f>
        <v>#NAME?</v>
      </c>
      <c r="AP505" s="147" t="e" cm="1">
        <f t="array" aca="1" ref="AP505" ca="1">_xlfn.XLOOKUP(Contrato5[[#This Row],[DOCUMENTO]],[2]!PERSONAL_ACTIVO_2024[[#All],[Documento identidad]],[2]!PERSONAL_ACTIVO_2024[[#All],[Mail ]],0,0)</f>
        <v>#NAME?</v>
      </c>
      <c r="AQ505" s="439" cm="1">
        <f t="array" aca="1" ref="AQ505" ca="1">IF(ISBLANK(Contrato5[[#This Row],[DEPENDENCIA ]]),0,IFERROR(_xlfn.XLOOKUP(Contrato5[[#This Row],[DEPENDENCIA ]],[2]!PERSONAL_ACTIVO_2024[[#All],[Dependencia]],[2]!PERSONAL_ACTIVO_2024[[#All],[Mail ]],0,0),0))</f>
        <v>0</v>
      </c>
    </row>
    <row r="506" spans="1:43" ht="34.5" customHeight="1">
      <c r="A506" s="125">
        <v>782</v>
      </c>
      <c r="B506" s="124">
        <v>394</v>
      </c>
      <c r="C506" s="162" t="s">
        <v>447</v>
      </c>
      <c r="D506" s="227" t="s">
        <v>515</v>
      </c>
      <c r="E506" s="440" t="s">
        <v>94</v>
      </c>
      <c r="F506" s="227" t="s">
        <v>255</v>
      </c>
      <c r="G506" s="281" t="s">
        <v>516</v>
      </c>
      <c r="H506" s="436">
        <v>901437957</v>
      </c>
      <c r="I506" s="273" t="s">
        <v>42</v>
      </c>
      <c r="J506" s="437">
        <v>2149349648</v>
      </c>
      <c r="K506" s="131" t="s">
        <v>42</v>
      </c>
      <c r="L506" s="438" t="s">
        <v>2465</v>
      </c>
      <c r="M506" s="194" t="s">
        <v>954</v>
      </c>
      <c r="N506" s="177" t="e" cm="1">
        <f t="array" aca="1" ref="N506" ca="1">_xlfn.XLOOKUP(Contrato5[[#This Row],[SUPERVISOR TITULAR]],[2]!PERSONAL_ACTIVO_2024[[#All],[Nombre completo]],[2]!PERSONAL_ACTIVO_2024[[#All],[Documento identidad]],"",0)</f>
        <v>#NAME?</v>
      </c>
      <c r="O506" s="194" t="s">
        <v>867</v>
      </c>
      <c r="P506" s="196" t="e" cm="1">
        <f t="array" aca="1" ref="P506" ca="1">_xlfn.XLOOKUP(Contrato5[[#This Row],[SUPERVISOR SUPLENTE ]],[2]!PERSONAL_ACTIVO_2024[[#All],[Nombre completo]],[2]!PERSONAL_ACTIVO_2024[[#All],[Documento identidad]],"",0)</f>
        <v>#NAME?</v>
      </c>
      <c r="Q506" s="170">
        <v>545</v>
      </c>
      <c r="R506" s="137" t="e" cm="1">
        <f t="array" aca="1" ref="R506" ca="1">_xlfn.XLOOKUP(Contrato5[[#This Row],[CDP]],[2]!DISPONIBILIDADES_2024[[#All],[consecutivo]],[2]!DISPONIBILIDADES_2024[[#All],[fecha_aprobacion]],"",0)</f>
        <v>#NAME?</v>
      </c>
      <c r="S506" s="138" t="e">
        <f>SUMIF([2]!DISPONIBILIDADES_2024[[#All],[consecutivo]],Contrato5[[#This Row],[CDP]],[2]!DISPONIBILIDADES_2024[[#All],[valor_total_rubro]])</f>
        <v>#REF!</v>
      </c>
      <c r="T506" s="139" t="e" cm="1">
        <f t="array" aca="1" ref="T506" ca="1">_xlfn.XLOOKUP(Contrato5[[#This Row],[CONTRATO]]&amp;Contrato5[[#This Row],[CDP]],[2]!Corr_Contr_CDP[[#All],[CONTRATO-CDP]],[2]!Corr_Contr_CDP[[#All],[CRP]],_xlfn.XLOOKUP(Contrato5[[#This Row],[CDP]],[2]!COMPROMISOS_2024[[#All],[disponibilidad]],[2]!COMPROMISOS_2024[[#All],[consecutivo]],"",0),0)</f>
        <v>#NAME?</v>
      </c>
      <c r="U506" s="140" t="e" cm="1">
        <f t="array" aca="1" ref="U506" ca="1">+_xlfn.XLOOKUP(Contrato5[[#This Row],[RCP]],[2]!COMPROMISOS_2024[[#All],[consecutivo]],[2]!COMPROMISOS_2024[[#All],[fecha_aprobacion]],"",0)</f>
        <v>#NAME?</v>
      </c>
      <c r="V506" s="141" t="e">
        <f ca="1">SUMIF([2]!COMPROMISOS_2024[[#All],[consecutivo]],Contrato5[[#This Row],[RCP]],[2]!COMPROMISOS_2024[[#All],[valor_total]])</f>
        <v>#REF!</v>
      </c>
      <c r="W506" s="415">
        <v>45476</v>
      </c>
      <c r="X506" s="415">
        <v>45477</v>
      </c>
      <c r="Y506" s="143">
        <v>45478</v>
      </c>
      <c r="Z506" s="262">
        <v>45656</v>
      </c>
      <c r="AA506" s="183" t="s">
        <v>2684</v>
      </c>
      <c r="AB506" s="172" t="s">
        <v>618</v>
      </c>
      <c r="AC506" s="172"/>
      <c r="AD506" s="211">
        <v>202000004601</v>
      </c>
      <c r="AE506" s="147" t="s">
        <v>523</v>
      </c>
      <c r="AF506" s="148" t="str">
        <f>TEXT(LEFT(Contrato5[[#This Row],[CONTRATO]],3),"0")</f>
        <v>394</v>
      </c>
      <c r="AG506" s="148" t="str">
        <f>IF(LEN(Contrato5[[#This Row],[Contrato2]])=3,Contrato5[[#This Row],[Contrato2]],TEXT(Contrato5[[#This Row],[Contrato2]],"000"))</f>
        <v>394</v>
      </c>
      <c r="AH506" s="149">
        <f ca="1">IFERROR(_xlfn.DAYS(Contrato5[[#This Row],[Fecha Proyectada liquidación]],TODAY())/30,"")</f>
        <v>0.6</v>
      </c>
      <c r="AI506" s="150">
        <f>+Contrato5[[#This Row],[FECHA TERMINACIÓN ]]+120</f>
        <v>45776</v>
      </c>
      <c r="AJ506" s="147"/>
      <c r="AK506" s="152" t="str">
        <f ca="1">IF(Contrato5[[#This Row],[FECHA TERMINACIÓN ]]&lt;TODAY(), "Terminado",IF(ISNUMBER(Contrato5[[#This Row],[Fecha Real de liquiidación ]]),"Liquidado",IF(Contrato5[[#This Row],[FECHA TERMINACIÓN ]]&gt;=TODAY(),"En ejecución","")))</f>
        <v>Terminado</v>
      </c>
      <c r="AL506" s="153" t="e">
        <f ca="1">SUMIF([2]!COMPROMISOS_2024[[#All],[consecutivo]],Contrato5[[#This Row],[RCP]],[2]!COMPROMISOS_2024[[#All],[Total pagado]])</f>
        <v>#REF!</v>
      </c>
      <c r="AM506" s="154">
        <f ca="1">IFERROR(Contrato5[[#This Row],[Pagos]]/Contrato5[[#This Row],[VALOR CONTRATO]],0)</f>
        <v>0</v>
      </c>
      <c r="AN506" s="198" t="e">
        <f ca="1">+Contrato5[[#This Row],[VALOR CONTRATO]]-Contrato5[[#This Row],[Pagos]]</f>
        <v>#REF!</v>
      </c>
      <c r="AO506" s="147" t="e" cm="1">
        <f t="array" aca="1" ref="AO506" ca="1">_xlfn.XLOOKUP(Contrato5[[#This Row],[DOCUMENTO ]],[2]!PERSONAL_ACTIVO_2024[[#All],[Documento identidad]],[2]!PERSONAL_ACTIVO_2024[[#All],[Mail ]],0,0)</f>
        <v>#NAME?</v>
      </c>
      <c r="AP506" s="147" t="e" cm="1">
        <f t="array" aca="1" ref="AP506" ca="1">_xlfn.XLOOKUP(Contrato5[[#This Row],[DOCUMENTO]],[2]!PERSONAL_ACTIVO_2024[[#All],[Documento identidad]],[2]!PERSONAL_ACTIVO_2024[[#All],[Mail ]],0,0)</f>
        <v>#NAME?</v>
      </c>
      <c r="AQ506" s="439" cm="1">
        <f t="array" aca="1" ref="AQ506" ca="1">IF(ISBLANK(Contrato5[[#This Row],[DEPENDENCIA ]]),0,IFERROR(_xlfn.XLOOKUP(Contrato5[[#This Row],[DEPENDENCIA ]],[2]!PERSONAL_ACTIVO_2024[[#All],[Dependencia]],[2]!PERSONAL_ACTIVO_2024[[#All],[Mail ]],0,0),0))</f>
        <v>0</v>
      </c>
    </row>
    <row r="507" spans="1:43" ht="34.5" customHeight="1">
      <c r="A507" s="125">
        <v>712</v>
      </c>
      <c r="B507" s="124">
        <v>395</v>
      </c>
      <c r="C507" s="162" t="s">
        <v>1765</v>
      </c>
      <c r="D507" s="227" t="s">
        <v>583</v>
      </c>
      <c r="E507" s="440" t="s">
        <v>94</v>
      </c>
      <c r="F507" s="227" t="s">
        <v>255</v>
      </c>
      <c r="G507" s="281" t="s">
        <v>2685</v>
      </c>
      <c r="H507" s="436">
        <v>890984385</v>
      </c>
      <c r="I507" s="273" t="s">
        <v>42</v>
      </c>
      <c r="J507" s="437">
        <v>100000000</v>
      </c>
      <c r="K507" s="131" t="s">
        <v>42</v>
      </c>
      <c r="L507" s="438" t="s">
        <v>2443</v>
      </c>
      <c r="M507" s="194" t="s">
        <v>592</v>
      </c>
      <c r="N507" s="177" t="e" cm="1">
        <f t="array" aca="1" ref="N507" ca="1">_xlfn.XLOOKUP(Contrato5[[#This Row],[SUPERVISOR TITULAR]],[2]!PERSONAL_ACTIVO_2024[[#All],[Nombre completo]],[2]!PERSONAL_ACTIVO_2024[[#All],[Documento identidad]],"",0)</f>
        <v>#NAME?</v>
      </c>
      <c r="O507" s="194" t="s">
        <v>600</v>
      </c>
      <c r="P507" s="196" t="e" cm="1">
        <f t="array" aca="1" ref="P507" ca="1">_xlfn.XLOOKUP(Contrato5[[#This Row],[SUPERVISOR SUPLENTE ]],[2]!PERSONAL_ACTIVO_2024[[#All],[Nombre completo]],[2]!PERSONAL_ACTIVO_2024[[#All],[Documento identidad]],"",0)</f>
        <v>#NAME?</v>
      </c>
      <c r="Q507" s="170">
        <v>561</v>
      </c>
      <c r="R507" s="137" t="e" cm="1">
        <f t="array" aca="1" ref="R507" ca="1">_xlfn.XLOOKUP(Contrato5[[#This Row],[CDP]],[2]!DISPONIBILIDADES_2024[[#All],[consecutivo]],[2]!DISPONIBILIDADES_2024[[#All],[fecha_aprobacion]],"",0)</f>
        <v>#NAME?</v>
      </c>
      <c r="S507" s="138" t="e">
        <f>SUMIF([2]!DISPONIBILIDADES_2024[[#All],[consecutivo]],Contrato5[[#This Row],[CDP]],[2]!DISPONIBILIDADES_2024[[#All],[valor_total_rubro]])</f>
        <v>#REF!</v>
      </c>
      <c r="T507" s="139" t="e" cm="1">
        <f t="array" aca="1" ref="T507" ca="1">_xlfn.XLOOKUP(Contrato5[[#This Row],[CONTRATO]]&amp;Contrato5[[#This Row],[CDP]],[2]!Corr_Contr_CDP[[#All],[CONTRATO-CDP]],[2]!Corr_Contr_CDP[[#All],[CRP]],_xlfn.XLOOKUP(Contrato5[[#This Row],[CDP]],[2]!COMPROMISOS_2024[[#All],[disponibilidad]],[2]!COMPROMISOS_2024[[#All],[consecutivo]],"",0),0)</f>
        <v>#NAME?</v>
      </c>
      <c r="U507" s="140" t="e" cm="1">
        <f t="array" aca="1" ref="U507" ca="1">+_xlfn.XLOOKUP(Contrato5[[#This Row],[RCP]],[2]!COMPROMISOS_2024[[#All],[consecutivo]],[2]!COMPROMISOS_2024[[#All],[fecha_aprobacion]],"",0)</f>
        <v>#NAME?</v>
      </c>
      <c r="V507" s="141" t="e">
        <f ca="1">SUMIF([2]!COMPROMISOS_2024[[#All],[consecutivo]],Contrato5[[#This Row],[RCP]],[2]!COMPROMISOS_2024[[#All],[valor_total]])</f>
        <v>#REF!</v>
      </c>
      <c r="W507" s="415">
        <v>45475</v>
      </c>
      <c r="X507" s="415">
        <v>45477</v>
      </c>
      <c r="Y507" s="143">
        <v>45481</v>
      </c>
      <c r="Z507" s="262">
        <v>45656</v>
      </c>
      <c r="AA507" s="183" t="s">
        <v>2686</v>
      </c>
      <c r="AB507" s="172" t="s">
        <v>1226</v>
      </c>
      <c r="AC507" s="172"/>
      <c r="AD507" s="211">
        <v>202000004602</v>
      </c>
      <c r="AE507" s="147" t="s">
        <v>523</v>
      </c>
      <c r="AF507" s="148" t="str">
        <f>TEXT(LEFT(Contrato5[[#This Row],[CONTRATO]],3),"0")</f>
        <v>395</v>
      </c>
      <c r="AG507" s="148" t="str">
        <f>IF(LEN(Contrato5[[#This Row],[Contrato2]])=3,Contrato5[[#This Row],[Contrato2]],TEXT(Contrato5[[#This Row],[Contrato2]],"000"))</f>
        <v>395</v>
      </c>
      <c r="AH507" s="149">
        <f ca="1">IFERROR(_xlfn.DAYS(Contrato5[[#This Row],[Fecha Proyectada liquidación]],TODAY())/30,"")</f>
        <v>0.6</v>
      </c>
      <c r="AI507" s="150">
        <f>+Contrato5[[#This Row],[FECHA TERMINACIÓN ]]+120</f>
        <v>45776</v>
      </c>
      <c r="AJ507" s="147"/>
      <c r="AK507" s="152" t="str">
        <f ca="1">IF(Contrato5[[#This Row],[FECHA TERMINACIÓN ]]&lt;TODAY(), "Terminado",IF(ISNUMBER(Contrato5[[#This Row],[Fecha Real de liquiidación ]]),"Liquidado",IF(Contrato5[[#This Row],[FECHA TERMINACIÓN ]]&gt;=TODAY(),"En ejecución","")))</f>
        <v>Terminado</v>
      </c>
      <c r="AL507" s="153" t="e">
        <f ca="1">SUMIF([2]!COMPROMISOS_2024[[#All],[consecutivo]],Contrato5[[#This Row],[RCP]],[2]!COMPROMISOS_2024[[#All],[Total pagado]])</f>
        <v>#REF!</v>
      </c>
      <c r="AM507" s="154">
        <f ca="1">IFERROR(Contrato5[[#This Row],[Pagos]]/Contrato5[[#This Row],[VALOR CONTRATO]],0)</f>
        <v>0</v>
      </c>
      <c r="AN507" s="198" t="e">
        <f ca="1">+Contrato5[[#This Row],[VALOR CONTRATO]]-Contrato5[[#This Row],[Pagos]]</f>
        <v>#REF!</v>
      </c>
      <c r="AO507" s="147" t="e" cm="1">
        <f t="array" aca="1" ref="AO507" ca="1">_xlfn.XLOOKUP(Contrato5[[#This Row],[DOCUMENTO ]],[2]!PERSONAL_ACTIVO_2024[[#All],[Documento identidad]],[2]!PERSONAL_ACTIVO_2024[[#All],[Mail ]],0,0)</f>
        <v>#NAME?</v>
      </c>
      <c r="AP507" s="147" t="e" cm="1">
        <f t="array" aca="1" ref="AP507" ca="1">_xlfn.XLOOKUP(Contrato5[[#This Row],[DOCUMENTO]],[2]!PERSONAL_ACTIVO_2024[[#All],[Documento identidad]],[2]!PERSONAL_ACTIVO_2024[[#All],[Mail ]],0,0)</f>
        <v>#NAME?</v>
      </c>
      <c r="AQ507" s="439" cm="1">
        <f t="array" aca="1" ref="AQ507" ca="1">IF(ISBLANK(Contrato5[[#This Row],[DEPENDENCIA ]]),0,IFERROR(_xlfn.XLOOKUP(Contrato5[[#This Row],[DEPENDENCIA ]],[2]!PERSONAL_ACTIVO_2024[[#All],[Dependencia]],[2]!PERSONAL_ACTIVO_2024[[#All],[Mail ]],0,0),0))</f>
        <v>0</v>
      </c>
    </row>
    <row r="508" spans="1:43" ht="34.5" customHeight="1">
      <c r="A508" s="125">
        <v>1245</v>
      </c>
      <c r="B508" s="499">
        <v>395</v>
      </c>
      <c r="C508" s="162" t="s">
        <v>2189</v>
      </c>
      <c r="D508" s="227" t="s">
        <v>583</v>
      </c>
      <c r="E508" s="440" t="s">
        <v>78</v>
      </c>
      <c r="F508" s="227" t="s">
        <v>255</v>
      </c>
      <c r="G508" s="281" t="s">
        <v>2685</v>
      </c>
      <c r="H508" s="436">
        <v>890984385</v>
      </c>
      <c r="I508" s="273" t="s">
        <v>42</v>
      </c>
      <c r="J508" s="188">
        <v>50000000</v>
      </c>
      <c r="K508" s="147"/>
      <c r="L508" s="166" t="s">
        <v>2687</v>
      </c>
      <c r="M508" s="194" t="s">
        <v>592</v>
      </c>
      <c r="N508" s="177" t="e" cm="1">
        <f t="array" aca="1" ref="N508" ca="1">_xlfn.XLOOKUP(Contrato5[[#This Row],[SUPERVISOR TITULAR]],[2]!PERSONAL_ACTIVO_2024[[#All],[Nombre completo]],[2]!PERSONAL_ACTIVO_2024[[#All],[Documento identidad]],"",0)</f>
        <v>#NAME?</v>
      </c>
      <c r="O508" s="194" t="s">
        <v>600</v>
      </c>
      <c r="P508" s="196" t="e" cm="1">
        <f t="array" aca="1" ref="P508" ca="1">_xlfn.XLOOKUP(Contrato5[[#This Row],[SUPERVISOR SUPLENTE ]],[2]!PERSONAL_ACTIVO_2024[[#All],[Nombre completo]],[2]!PERSONAL_ACTIVO_2024[[#All],[Documento identidad]],"",0)</f>
        <v>#NAME?</v>
      </c>
      <c r="Q508" s="170">
        <v>1072</v>
      </c>
      <c r="R508" s="137" t="e" cm="1">
        <f t="array" aca="1" ref="R508" ca="1">_xlfn.XLOOKUP(Contrato5[[#This Row],[CDP]],[2]!DISPONIBILIDADES_2024[[#All],[consecutivo]],[2]!DISPONIBILIDADES_2024[[#All],[fecha_aprobacion]],"",0)</f>
        <v>#NAME?</v>
      </c>
      <c r="S508" s="138" t="e">
        <f>SUMIF([2]!DISPONIBILIDADES_2024[[#All],[consecutivo]],Contrato5[[#This Row],[CDP]],[2]!DISPONIBILIDADES_2024[[#All],[valor_total_rubro]])</f>
        <v>#REF!</v>
      </c>
      <c r="T508" s="139" t="e" cm="1">
        <f t="array" aca="1" ref="T508" ca="1">_xlfn.XLOOKUP(Contrato5[[#This Row],[CONTRATO]]&amp;Contrato5[[#This Row],[CDP]],[2]!Corr_Contr_CDP[[#All],[CONTRATO-CDP]],[2]!Corr_Contr_CDP[[#All],[CRP]],_xlfn.XLOOKUP(Contrato5[[#This Row],[CDP]],[2]!COMPROMISOS_2024[[#All],[disponibilidad]],[2]!COMPROMISOS_2024[[#All],[consecutivo]],"",0),0)</f>
        <v>#NAME?</v>
      </c>
      <c r="U508" s="140" t="e" cm="1">
        <f t="array" aca="1" ref="U508" ca="1">+_xlfn.XLOOKUP(Contrato5[[#This Row],[RCP]],[2]!COMPROMISOS_2024[[#All],[consecutivo]],[2]!COMPROMISOS_2024[[#All],[fecha_aprobacion]],"",0)</f>
        <v>#NAME?</v>
      </c>
      <c r="V508" s="141" t="e">
        <f ca="1">SUMIF([2]!COMPROMISOS_2024[[#All],[consecutivo]],Contrato5[[#This Row],[RCP]],[2]!COMPROMISOS_2024[[#All],[valor_total]])</f>
        <v>#REF!</v>
      </c>
      <c r="W508" s="422">
        <v>45630</v>
      </c>
      <c r="X508" s="415">
        <v>45632</v>
      </c>
      <c r="Y508" s="143">
        <v>45481</v>
      </c>
      <c r="Z508" s="262">
        <v>45656</v>
      </c>
      <c r="AA508" s="225"/>
      <c r="AB508" s="172" t="s">
        <v>42</v>
      </c>
      <c r="AC508" s="127"/>
      <c r="AD508" s="211"/>
      <c r="AE508" s="147"/>
      <c r="AF508" s="148" t="str">
        <f>TEXT(LEFT(Contrato5[[#This Row],[CONTRATO]],3),"0")</f>
        <v>395</v>
      </c>
      <c r="AG508" s="148" t="str">
        <f>IF(LEN(Contrato5[[#This Row],[Contrato2]])=3,Contrato5[[#This Row],[Contrato2]],TEXT(Contrato5[[#This Row],[Contrato2]],"000"))</f>
        <v>395</v>
      </c>
      <c r="AH508" s="149">
        <f ca="1">IFERROR(_xlfn.DAYS(Contrato5[[#This Row],[Fecha Proyectada liquidación]],TODAY())/30,"")</f>
        <v>0.6</v>
      </c>
      <c r="AI508" s="150">
        <f>+Contrato5[[#This Row],[FECHA TERMINACIÓN ]]+120</f>
        <v>45776</v>
      </c>
      <c r="AJ508" s="147"/>
      <c r="AK508" s="152" t="str">
        <f ca="1">IF(Contrato5[[#This Row],[FECHA TERMINACIÓN ]]&lt;TODAY(), "Terminado",IF(ISNUMBER(Contrato5[[#This Row],[Fecha Real de liquiidación ]]),"Liquidado",IF(Contrato5[[#This Row],[FECHA TERMINACIÓN ]]&gt;=TODAY(),"En ejecución","")))</f>
        <v>Terminado</v>
      </c>
      <c r="AL508" s="153" t="e">
        <f ca="1">SUMIF([2]!COMPROMISOS_2024[[#All],[consecutivo]],Contrato5[[#This Row],[RCP]],[2]!COMPROMISOS_2024[[#All],[Total pagado]])</f>
        <v>#REF!</v>
      </c>
      <c r="AM508" s="154">
        <f ca="1">IFERROR(Contrato5[[#This Row],[Pagos]]/Contrato5[[#This Row],[VALOR CONTRATO]],0)</f>
        <v>0</v>
      </c>
      <c r="AN508" s="198" t="e">
        <f ca="1">+Contrato5[[#This Row],[VALOR CONTRATO]]-Contrato5[[#This Row],[Pagos]]</f>
        <v>#REF!</v>
      </c>
      <c r="AO508" s="147" t="e" cm="1">
        <f t="array" aca="1" ref="AO508" ca="1">_xlfn.XLOOKUP(Contrato5[[#This Row],[DOCUMENTO ]],[2]!PERSONAL_ACTIVO_2024[[#All],[Documento identidad]],[2]!PERSONAL_ACTIVO_2024[[#All],[Mail ]],0,0)</f>
        <v>#NAME?</v>
      </c>
      <c r="AP508" s="147" t="e" cm="1">
        <f t="array" aca="1" ref="AP508" ca="1">_xlfn.XLOOKUP(Contrato5[[#This Row],[DOCUMENTO]],[2]!PERSONAL_ACTIVO_2024[[#All],[Documento identidad]],[2]!PERSONAL_ACTIVO_2024[[#All],[Mail ]],0,0)</f>
        <v>#NAME?</v>
      </c>
      <c r="AQ508" s="439" cm="1">
        <f t="array" aca="1" ref="AQ508" ca="1">IF(ISBLANK(Contrato5[[#This Row],[DEPENDENCIA ]]),0,IFERROR(_xlfn.XLOOKUP(Contrato5[[#This Row],[DEPENDENCIA ]],[2]!PERSONAL_ACTIVO_2024[[#All],[Dependencia]],[2]!PERSONAL_ACTIVO_2024[[#All],[Mail ]],0,0),0))</f>
        <v>0</v>
      </c>
    </row>
    <row r="509" spans="1:43" ht="34.5" customHeight="1">
      <c r="A509" s="125">
        <v>37</v>
      </c>
      <c r="B509" s="124">
        <v>396</v>
      </c>
      <c r="C509" s="162" t="s">
        <v>1435</v>
      </c>
      <c r="D509" s="227" t="s">
        <v>623</v>
      </c>
      <c r="E509" s="440" t="s">
        <v>94</v>
      </c>
      <c r="F509" s="163" t="s">
        <v>1376</v>
      </c>
      <c r="G509" s="281" t="s">
        <v>2688</v>
      </c>
      <c r="H509" s="436">
        <v>1036939603</v>
      </c>
      <c r="I509" s="273">
        <v>6879081</v>
      </c>
      <c r="J509" s="437">
        <v>38461316</v>
      </c>
      <c r="K509" s="131" t="s">
        <v>42</v>
      </c>
      <c r="L509" s="438" t="s">
        <v>2679</v>
      </c>
      <c r="M509" s="194" t="s">
        <v>925</v>
      </c>
      <c r="N509" s="177" t="e" cm="1">
        <f t="array" aca="1" ref="N509" ca="1">_xlfn.XLOOKUP(Contrato5[[#This Row],[SUPERVISOR TITULAR]],[2]!PERSONAL_ACTIVO_2024[[#All],[Nombre completo]],[2]!PERSONAL_ACTIVO_2024[[#All],[Documento identidad]],"",0)</f>
        <v>#NAME?</v>
      </c>
      <c r="O509" s="194" t="s">
        <v>1035</v>
      </c>
      <c r="P509" s="196" t="e" cm="1">
        <f t="array" aca="1" ref="P509" ca="1">_xlfn.XLOOKUP(Contrato5[[#This Row],[SUPERVISOR SUPLENTE ]],[2]!PERSONAL_ACTIVO_2024[[#All],[Nombre completo]],[2]!PERSONAL_ACTIVO_2024[[#All],[Documento identidad]],"",0)</f>
        <v>#NAME?</v>
      </c>
      <c r="Q509" s="170">
        <v>527</v>
      </c>
      <c r="R509" s="137" t="e" cm="1">
        <f t="array" aca="1" ref="R509" ca="1">_xlfn.XLOOKUP(Contrato5[[#This Row],[CDP]],[2]!DISPONIBILIDADES_2024[[#All],[consecutivo]],[2]!DISPONIBILIDADES_2024[[#All],[fecha_aprobacion]],"",0)</f>
        <v>#NAME?</v>
      </c>
      <c r="S509" s="138" t="e">
        <f>SUMIF([2]!DISPONIBILIDADES_2024[[#All],[consecutivo]],Contrato5[[#This Row],[CDP]],[2]!DISPONIBILIDADES_2024[[#All],[valor_total_rubro]])</f>
        <v>#REF!</v>
      </c>
      <c r="T509" s="139" t="e" cm="1">
        <f t="array" aca="1" ref="T509" ca="1">_xlfn.XLOOKUP(Contrato5[[#This Row],[CONTRATO]]&amp;Contrato5[[#This Row],[CDP]],[2]!Corr_Contr_CDP[[#All],[CONTRATO-CDP]],[2]!Corr_Contr_CDP[[#All],[CRP]],_xlfn.XLOOKUP(Contrato5[[#This Row],[CDP]],[2]!COMPROMISOS_2024[[#All],[disponibilidad]],[2]!COMPROMISOS_2024[[#All],[consecutivo]],"",0),0)</f>
        <v>#NAME?</v>
      </c>
      <c r="U509" s="140" t="e" cm="1">
        <f t="array" aca="1" ref="U509" ca="1">+_xlfn.XLOOKUP(Contrato5[[#This Row],[RCP]],[2]!COMPROMISOS_2024[[#All],[consecutivo]],[2]!COMPROMISOS_2024[[#All],[fecha_aprobacion]],"",0)</f>
        <v>#NAME?</v>
      </c>
      <c r="V509" s="141" t="e">
        <f ca="1">SUMIF([2]!COMPROMISOS_2024[[#All],[consecutivo]],Contrato5[[#This Row],[RCP]],[2]!COMPROMISOS_2024[[#All],[valor_total]])</f>
        <v>#REF!</v>
      </c>
      <c r="W509" s="415">
        <v>45475</v>
      </c>
      <c r="X509" s="415" t="s">
        <v>1045</v>
      </c>
      <c r="Y509" s="143">
        <v>45478</v>
      </c>
      <c r="Z509" s="262">
        <v>45647</v>
      </c>
      <c r="AA509" s="183" t="s">
        <v>2689</v>
      </c>
      <c r="AB509" s="227" t="s">
        <v>930</v>
      </c>
      <c r="AC509" s="172"/>
      <c r="AD509" s="211">
        <v>202000004604</v>
      </c>
      <c r="AE509" s="147" t="s">
        <v>523</v>
      </c>
      <c r="AF509" s="148" t="str">
        <f>TEXT(LEFT(Contrato5[[#This Row],[CONTRATO]],3),"0")</f>
        <v>396</v>
      </c>
      <c r="AG509" s="148" t="str">
        <f>IF(LEN(Contrato5[[#This Row],[Contrato2]])=3,Contrato5[[#This Row],[Contrato2]],TEXT(Contrato5[[#This Row],[Contrato2]],"000"))</f>
        <v>396</v>
      </c>
      <c r="AH509" s="149">
        <f ca="1">IFERROR(_xlfn.DAYS(Contrato5[[#This Row],[Fecha Proyectada liquidación]],TODAY())/30,"")</f>
        <v>0.3</v>
      </c>
      <c r="AI509" s="150">
        <f>+Contrato5[[#This Row],[FECHA TERMINACIÓN ]]+120</f>
        <v>45767</v>
      </c>
      <c r="AJ509" s="147"/>
      <c r="AK509" s="152" t="str">
        <f ca="1">IF(Contrato5[[#This Row],[FECHA TERMINACIÓN ]]&lt;TODAY(), "Terminado",IF(ISNUMBER(Contrato5[[#This Row],[Fecha Real de liquiidación ]]),"Liquidado",IF(Contrato5[[#This Row],[FECHA TERMINACIÓN ]]&gt;=TODAY(),"En ejecución","")))</f>
        <v>Terminado</v>
      </c>
      <c r="AL509" s="153" t="e">
        <f ca="1">SUMIF([2]!COMPROMISOS_2024[[#All],[consecutivo]],Contrato5[[#This Row],[RCP]],[2]!COMPROMISOS_2024[[#All],[Total pagado]])</f>
        <v>#REF!</v>
      </c>
      <c r="AM509" s="154">
        <f ca="1">IFERROR(Contrato5[[#This Row],[Pagos]]/Contrato5[[#This Row],[VALOR CONTRATO]],0)</f>
        <v>0</v>
      </c>
      <c r="AN509" s="198" t="e">
        <f ca="1">+Contrato5[[#This Row],[VALOR CONTRATO]]-Contrato5[[#This Row],[Pagos]]</f>
        <v>#REF!</v>
      </c>
      <c r="AO509" s="147" t="e" cm="1">
        <f t="array" aca="1" ref="AO509" ca="1">_xlfn.XLOOKUP(Contrato5[[#This Row],[DOCUMENTO ]],[2]!PERSONAL_ACTIVO_2024[[#All],[Documento identidad]],[2]!PERSONAL_ACTIVO_2024[[#All],[Mail ]],0,0)</f>
        <v>#NAME?</v>
      </c>
      <c r="AP509" s="147" t="e" cm="1">
        <f t="array" aca="1" ref="AP509" ca="1">_xlfn.XLOOKUP(Contrato5[[#This Row],[DOCUMENTO]],[2]!PERSONAL_ACTIVO_2024[[#All],[Documento identidad]],[2]!PERSONAL_ACTIVO_2024[[#All],[Mail ]],0,0)</f>
        <v>#NAME?</v>
      </c>
      <c r="AQ509" s="439" cm="1">
        <f t="array" aca="1" ref="AQ509" ca="1">IF(ISBLANK(Contrato5[[#This Row],[DEPENDENCIA ]]),0,IFERROR(_xlfn.XLOOKUP(Contrato5[[#This Row],[DEPENDENCIA ]],[2]!PERSONAL_ACTIVO_2024[[#All],[Dependencia]],[2]!PERSONAL_ACTIVO_2024[[#All],[Mail ]],0,0),0))</f>
        <v>0</v>
      </c>
    </row>
    <row r="510" spans="1:43" ht="34.5" customHeight="1">
      <c r="A510" s="147">
        <v>1332</v>
      </c>
      <c r="B510" s="124">
        <v>396</v>
      </c>
      <c r="C510" s="162" t="s">
        <v>2053</v>
      </c>
      <c r="D510" s="227" t="s">
        <v>623</v>
      </c>
      <c r="E510" s="440" t="s">
        <v>2148</v>
      </c>
      <c r="F510" s="163" t="s">
        <v>1376</v>
      </c>
      <c r="G510" s="281" t="s">
        <v>2688</v>
      </c>
      <c r="H510" s="436">
        <v>1036939603</v>
      </c>
      <c r="I510" s="273">
        <v>2063724</v>
      </c>
      <c r="J510" s="188">
        <v>2063724</v>
      </c>
      <c r="K510" s="147"/>
      <c r="L510" s="166" t="s">
        <v>2477</v>
      </c>
      <c r="M510" s="194" t="s">
        <v>925</v>
      </c>
      <c r="N510" s="177" t="e" cm="1">
        <f t="array" aca="1" ref="N510" ca="1">_xlfn.XLOOKUP(Contrato5[[#This Row],[SUPERVISOR TITULAR]],[2]!PERSONAL_ACTIVO_2024[[#All],[Nombre completo]],[2]!PERSONAL_ACTIVO_2024[[#All],[Documento identidad]],"",0)</f>
        <v>#NAME?</v>
      </c>
      <c r="O510" s="194" t="s">
        <v>1035</v>
      </c>
      <c r="P510" s="196" t="e" cm="1">
        <f t="array" aca="1" ref="P510" ca="1">_xlfn.XLOOKUP(Contrato5[[#This Row],[SUPERVISOR SUPLENTE ]],[2]!PERSONAL_ACTIVO_2024[[#All],[Nombre completo]],[2]!PERSONAL_ACTIVO_2024[[#All],[Documento identidad]],"",0)</f>
        <v>#NAME?</v>
      </c>
      <c r="Q510" s="170">
        <v>1222</v>
      </c>
      <c r="R510" s="137" t="e" cm="1">
        <f t="array" aca="1" ref="R510" ca="1">_xlfn.XLOOKUP(Contrato5[[#This Row],[CDP]],[2]!DISPONIBILIDADES_2024[[#All],[consecutivo]],[2]!DISPONIBILIDADES_2024[[#All],[fecha_aprobacion]],"",0)</f>
        <v>#NAME?</v>
      </c>
      <c r="S510" s="138" t="e">
        <f>SUMIF([2]!DISPONIBILIDADES_2024[[#All],[consecutivo]],Contrato5[[#This Row],[CDP]],[2]!DISPONIBILIDADES_2024[[#All],[valor_total_rubro]])</f>
        <v>#REF!</v>
      </c>
      <c r="T510" s="139" t="e" cm="1">
        <f t="array" aca="1" ref="T510" ca="1">_xlfn.XLOOKUP(Contrato5[[#This Row],[CONTRATO]]&amp;Contrato5[[#This Row],[CDP]],[2]!Corr_Contr_CDP[[#All],[CONTRATO-CDP]],[2]!Corr_Contr_CDP[[#All],[CRP]],_xlfn.XLOOKUP(Contrato5[[#This Row],[CDP]],[2]!COMPROMISOS_2024[[#All],[disponibilidad]],[2]!COMPROMISOS_2024[[#All],[consecutivo]],"",0),0)</f>
        <v>#NAME?</v>
      </c>
      <c r="U510" s="140" t="e" cm="1">
        <f t="array" aca="1" ref="U510" ca="1">+_xlfn.XLOOKUP(Contrato5[[#This Row],[RCP]],[2]!COMPROMISOS_2024[[#All],[consecutivo]],[2]!COMPROMISOS_2024[[#All],[fecha_aprobacion]],"",0)</f>
        <v>#NAME?</v>
      </c>
      <c r="V510" s="141" t="e">
        <f ca="1">SUMIF([2]!COMPROMISOS_2024[[#All],[consecutivo]],Contrato5[[#This Row],[RCP]],[2]!COMPROMISOS_2024[[#All],[valor_total]])</f>
        <v>#REF!</v>
      </c>
      <c r="W510" s="422">
        <v>45646</v>
      </c>
      <c r="X510" s="415" t="s">
        <v>1045</v>
      </c>
      <c r="Y510" s="143" t="e">
        <f ca="1">+LEFT(_xlfn.XLOOKUP(Contrato5[[#This Row],[CONTRATO3DIG]],[2]SECOP_II!AE:AE,[2]SECOP_II!F:F,"",0),10)</f>
        <v>#NAME?</v>
      </c>
      <c r="Z510" s="262" t="e">
        <f ca="1">+LEFT(_xlfn.XLOOKUP(Contrato5[[#This Row],[CONTRATO3DIG]],[2]SECOP_II!AE:AE,[2]SECOP_II!G:G,"",0),10)</f>
        <v>#NAME?</v>
      </c>
      <c r="AA510" s="225"/>
      <c r="AB510" s="227" t="s">
        <v>2690</v>
      </c>
      <c r="AC510" s="127"/>
      <c r="AD510" s="211"/>
      <c r="AE510" s="147"/>
      <c r="AF510" s="148" t="str">
        <f>TEXT(LEFT(Contrato5[[#This Row],[CONTRATO]],3),"0")</f>
        <v>396</v>
      </c>
      <c r="AG510" s="148" t="str">
        <f>IF(LEN(Contrato5[[#This Row],[Contrato2]])=3,Contrato5[[#This Row],[Contrato2]],TEXT(Contrato5[[#This Row],[Contrato2]],"000"))</f>
        <v>396</v>
      </c>
      <c r="AH510" s="149" t="str">
        <f ca="1">IFERROR(_xlfn.DAYS(Contrato5[[#This Row],[Fecha Proyectada liquidación]],TODAY())/30,"")</f>
        <v/>
      </c>
      <c r="AI510" s="150" t="e">
        <f ca="1">+Contrato5[[#This Row],[FECHA TERMINACIÓN ]]+120</f>
        <v>#NAME?</v>
      </c>
      <c r="AJ510" s="147"/>
      <c r="AK510" s="152" t="e">
        <f ca="1">IF(Contrato5[[#This Row],[FECHA TERMINACIÓN ]]&lt;TODAY(), "Terminado",IF(ISNUMBER(Contrato5[[#This Row],[Fecha Real de liquiidación ]]),"Liquidado",IF(Contrato5[[#This Row],[FECHA TERMINACIÓN ]]&gt;=TODAY(),"En ejecución","")))</f>
        <v>#NAME?</v>
      </c>
      <c r="AL510" s="153" t="e">
        <f ca="1">SUMIF([2]!COMPROMISOS_2024[[#All],[consecutivo]],Contrato5[[#This Row],[RCP]],[2]!COMPROMISOS_2024[[#All],[Total pagado]])</f>
        <v>#REF!</v>
      </c>
      <c r="AM510" s="154">
        <f ca="1">IFERROR(Contrato5[[#This Row],[Pagos]]/Contrato5[[#This Row],[VALOR CONTRATO]],0)</f>
        <v>0</v>
      </c>
      <c r="AN510" s="198" t="e">
        <f ca="1">+Contrato5[[#This Row],[VALOR CONTRATO]]-Contrato5[[#This Row],[Pagos]]</f>
        <v>#REF!</v>
      </c>
      <c r="AO510" s="147" t="e" cm="1">
        <f t="array" aca="1" ref="AO510" ca="1">_xlfn.XLOOKUP(Contrato5[[#This Row],[DOCUMENTO ]],[2]!PERSONAL_ACTIVO_2024[[#All],[Documento identidad]],[2]!PERSONAL_ACTIVO_2024[[#All],[Mail ]],0,0)</f>
        <v>#NAME?</v>
      </c>
      <c r="AP510" s="147" t="e" cm="1">
        <f t="array" aca="1" ref="AP510" ca="1">_xlfn.XLOOKUP(Contrato5[[#This Row],[DOCUMENTO]],[2]!PERSONAL_ACTIVO_2024[[#All],[Documento identidad]],[2]!PERSONAL_ACTIVO_2024[[#All],[Mail ]],0,0)</f>
        <v>#NAME?</v>
      </c>
      <c r="AQ510" s="439" cm="1">
        <f t="array" aca="1" ref="AQ510" ca="1">IF(ISBLANK(Contrato5[[#This Row],[DEPENDENCIA ]]),0,IFERROR(_xlfn.XLOOKUP(Contrato5[[#This Row],[DEPENDENCIA ]],[2]!PERSONAL_ACTIVO_2024[[#All],[Dependencia]],[2]!PERSONAL_ACTIVO_2024[[#All],[Mail ]],0,0),0))</f>
        <v>0</v>
      </c>
    </row>
    <row r="511" spans="1:43" ht="34.5" customHeight="1">
      <c r="A511" s="125">
        <v>792</v>
      </c>
      <c r="B511" s="124">
        <v>397</v>
      </c>
      <c r="C511" s="162" t="s">
        <v>1389</v>
      </c>
      <c r="D511" s="227" t="s">
        <v>493</v>
      </c>
      <c r="E511" s="440" t="s">
        <v>94</v>
      </c>
      <c r="F511" s="227" t="s">
        <v>1376</v>
      </c>
      <c r="G511" s="281" t="s">
        <v>2691</v>
      </c>
      <c r="H511" s="436">
        <v>1022327516</v>
      </c>
      <c r="I511" s="273">
        <v>6879081</v>
      </c>
      <c r="J511" s="437">
        <v>42879605</v>
      </c>
      <c r="K511" s="131" t="s">
        <v>42</v>
      </c>
      <c r="L511" s="438" t="s">
        <v>2679</v>
      </c>
      <c r="M511" s="194" t="s">
        <v>844</v>
      </c>
      <c r="N511" s="177" t="e" cm="1">
        <f t="array" aca="1" ref="N511" ca="1">_xlfn.XLOOKUP(Contrato5[[#This Row],[SUPERVISOR TITULAR]],[2]!PERSONAL_ACTIVO_2024[[#All],[Nombre completo]],[2]!PERSONAL_ACTIVO_2024[[#All],[Documento identidad]],"",0)</f>
        <v>#NAME?</v>
      </c>
      <c r="O511" s="194" t="s">
        <v>526</v>
      </c>
      <c r="P511" s="196" t="e" cm="1">
        <f t="array" aca="1" ref="P511" ca="1">_xlfn.XLOOKUP(Contrato5[[#This Row],[SUPERVISOR SUPLENTE ]],[2]!PERSONAL_ACTIVO_2024[[#All],[Nombre completo]],[2]!PERSONAL_ACTIVO_2024[[#All],[Documento identidad]],"",0)</f>
        <v>#NAME?</v>
      </c>
      <c r="Q511" s="170">
        <v>580</v>
      </c>
      <c r="R511" s="137" t="e" cm="1">
        <f t="array" aca="1" ref="R511" ca="1">_xlfn.XLOOKUP(Contrato5[[#This Row],[CDP]],[2]!DISPONIBILIDADES_2024[[#All],[consecutivo]],[2]!DISPONIBILIDADES_2024[[#All],[fecha_aprobacion]],"",0)</f>
        <v>#NAME?</v>
      </c>
      <c r="S511" s="138" t="e">
        <f>SUMIF([2]!DISPONIBILIDADES_2024[[#All],[consecutivo]],Contrato5[[#This Row],[CDP]],[2]!DISPONIBILIDADES_2024[[#All],[valor_total_rubro]])</f>
        <v>#REF!</v>
      </c>
      <c r="T511" s="139" t="e" cm="1">
        <f t="array" aca="1" ref="T511" ca="1">_xlfn.XLOOKUP(Contrato5[[#This Row],[CONTRATO]]&amp;Contrato5[[#This Row],[CDP]],[2]!Corr_Contr_CDP[[#All],[CONTRATO-CDP]],[2]!Corr_Contr_CDP[[#All],[CRP]],_xlfn.XLOOKUP(Contrato5[[#This Row],[CDP]],[2]!COMPROMISOS_2024[[#All],[disponibilidad]],[2]!COMPROMISOS_2024[[#All],[consecutivo]],"",0),0)</f>
        <v>#NAME?</v>
      </c>
      <c r="U511" s="140" t="e" cm="1">
        <f t="array" aca="1" ref="U511" ca="1">+_xlfn.XLOOKUP(Contrato5[[#This Row],[RCP]],[2]!COMPROMISOS_2024[[#All],[consecutivo]],[2]!COMPROMISOS_2024[[#All],[fecha_aprobacion]],"",0)</f>
        <v>#NAME?</v>
      </c>
      <c r="V511" s="141" t="e">
        <f ca="1">SUMIF([2]!COMPROMISOS_2024[[#All],[consecutivo]],Contrato5[[#This Row],[RCP]],[2]!COMPROMISOS_2024[[#All],[valor_total]])</f>
        <v>#REF!</v>
      </c>
      <c r="W511" s="415">
        <v>45464</v>
      </c>
      <c r="X511" s="415" t="s">
        <v>1045</v>
      </c>
      <c r="Y511" s="143">
        <v>45468</v>
      </c>
      <c r="Z511" s="262">
        <v>45657</v>
      </c>
      <c r="AA511" s="171" t="s">
        <v>2692</v>
      </c>
      <c r="AB511" s="172" t="s">
        <v>2693</v>
      </c>
      <c r="AC511" s="172"/>
      <c r="AD511" s="211">
        <v>202000004505</v>
      </c>
      <c r="AE511" s="147" t="s">
        <v>523</v>
      </c>
      <c r="AF511" s="148" t="str">
        <f>TEXT(LEFT(Contrato5[[#This Row],[CONTRATO]],3),"0")</f>
        <v>397</v>
      </c>
      <c r="AG511" s="148" t="str">
        <f>IF(LEN(Contrato5[[#This Row],[Contrato2]])=3,Contrato5[[#This Row],[Contrato2]],TEXT(Contrato5[[#This Row],[Contrato2]],"000"))</f>
        <v>397</v>
      </c>
      <c r="AH511" s="149">
        <f ca="1">IFERROR(_xlfn.DAYS(Contrato5[[#This Row],[Fecha Proyectada liquidación]],TODAY())/30,"")</f>
        <v>0.6333333333333333</v>
      </c>
      <c r="AI511" s="150">
        <f>+Contrato5[[#This Row],[FECHA TERMINACIÓN ]]+120</f>
        <v>45777</v>
      </c>
      <c r="AJ511" s="147"/>
      <c r="AK511" s="152" t="str">
        <f ca="1">IF(Contrato5[[#This Row],[FECHA TERMINACIÓN ]]&lt;TODAY(), "Terminado",IF(ISNUMBER(Contrato5[[#This Row],[Fecha Real de liquiidación ]]),"Liquidado",IF(Contrato5[[#This Row],[FECHA TERMINACIÓN ]]&gt;=TODAY(),"En ejecución","")))</f>
        <v>Terminado</v>
      </c>
      <c r="AL511" s="153" t="e">
        <f ca="1">SUMIF([2]!COMPROMISOS_2024[[#All],[consecutivo]],Contrato5[[#This Row],[RCP]],[2]!COMPROMISOS_2024[[#All],[Total pagado]])</f>
        <v>#REF!</v>
      </c>
      <c r="AM511" s="154">
        <f ca="1">IFERROR(Contrato5[[#This Row],[Pagos]]/Contrato5[[#This Row],[VALOR CONTRATO]],0)</f>
        <v>0</v>
      </c>
      <c r="AN511" s="198" t="e">
        <f ca="1">+Contrato5[[#This Row],[VALOR CONTRATO]]-Contrato5[[#This Row],[Pagos]]</f>
        <v>#REF!</v>
      </c>
      <c r="AO511" s="147" t="e" cm="1">
        <f t="array" aca="1" ref="AO511" ca="1">_xlfn.XLOOKUP(Contrato5[[#This Row],[DOCUMENTO ]],[2]!PERSONAL_ACTIVO_2024[[#All],[Documento identidad]],[2]!PERSONAL_ACTIVO_2024[[#All],[Mail ]],0,0)</f>
        <v>#NAME?</v>
      </c>
      <c r="AP511" s="147" t="e" cm="1">
        <f t="array" aca="1" ref="AP511" ca="1">_xlfn.XLOOKUP(Contrato5[[#This Row],[DOCUMENTO]],[2]!PERSONAL_ACTIVO_2024[[#All],[Documento identidad]],[2]!PERSONAL_ACTIVO_2024[[#All],[Mail ]],0,0)</f>
        <v>#NAME?</v>
      </c>
      <c r="AQ511" s="439" cm="1">
        <f t="array" aca="1" ref="AQ511" ca="1">IF(ISBLANK(Contrato5[[#This Row],[DEPENDENCIA ]]),0,IFERROR(_xlfn.XLOOKUP(Contrato5[[#This Row],[DEPENDENCIA ]],[2]!PERSONAL_ACTIVO_2024[[#All],[Dependencia]],[2]!PERSONAL_ACTIVO_2024[[#All],[Mail ]],0,0),0))</f>
        <v>0</v>
      </c>
    </row>
    <row r="512" spans="1:43" ht="34.5" customHeight="1">
      <c r="A512" s="125">
        <v>801</v>
      </c>
      <c r="B512" s="124">
        <v>398</v>
      </c>
      <c r="C512" s="162" t="s">
        <v>1416</v>
      </c>
      <c r="D512" s="227" t="s">
        <v>493</v>
      </c>
      <c r="E512" s="440" t="s">
        <v>94</v>
      </c>
      <c r="F512" s="227" t="s">
        <v>1376</v>
      </c>
      <c r="G512" s="281" t="s">
        <v>2694</v>
      </c>
      <c r="H512" s="436">
        <v>43689871</v>
      </c>
      <c r="I512" s="273">
        <v>6879081</v>
      </c>
      <c r="J512" s="437">
        <v>41274486</v>
      </c>
      <c r="K512" s="131" t="s">
        <v>42</v>
      </c>
      <c r="L512" s="438" t="s">
        <v>2443</v>
      </c>
      <c r="M512" s="194" t="s">
        <v>498</v>
      </c>
      <c r="N512" s="177" t="e" cm="1">
        <f t="array" aca="1" ref="N512" ca="1">_xlfn.XLOOKUP(Contrato5[[#This Row],[SUPERVISOR TITULAR]],[2]!PERSONAL_ACTIVO_2024[[#All],[Nombre completo]],[2]!PERSONAL_ACTIVO_2024[[#All],[Documento identidad]],"",0)</f>
        <v>#NAME?</v>
      </c>
      <c r="O512" s="194" t="s">
        <v>818</v>
      </c>
      <c r="P512" s="196" t="e" cm="1">
        <f t="array" aca="1" ref="P512" ca="1">_xlfn.XLOOKUP(Contrato5[[#This Row],[SUPERVISOR SUPLENTE ]],[2]!PERSONAL_ACTIVO_2024[[#All],[Nombre completo]],[2]!PERSONAL_ACTIVO_2024[[#All],[Documento identidad]],"",0)</f>
        <v>#NAME?</v>
      </c>
      <c r="Q512" s="170">
        <v>582</v>
      </c>
      <c r="R512" s="137" t="e" cm="1">
        <f t="array" aca="1" ref="R512" ca="1">_xlfn.XLOOKUP(Contrato5[[#This Row],[CDP]],[2]!DISPONIBILIDADES_2024[[#All],[consecutivo]],[2]!DISPONIBILIDADES_2024[[#All],[fecha_aprobacion]],"",0)</f>
        <v>#NAME?</v>
      </c>
      <c r="S512" s="138" t="e">
        <f>SUMIF([2]!DISPONIBILIDADES_2024[[#All],[consecutivo]],Contrato5[[#This Row],[CDP]],[2]!DISPONIBILIDADES_2024[[#All],[valor_total_rubro]])</f>
        <v>#REF!</v>
      </c>
      <c r="T512" s="139" t="e" cm="1">
        <f t="array" aca="1" ref="T512" ca="1">_xlfn.XLOOKUP(Contrato5[[#This Row],[CONTRATO]]&amp;Contrato5[[#This Row],[CDP]],[2]!Corr_Contr_CDP[[#All],[CONTRATO-CDP]],[2]!Corr_Contr_CDP[[#All],[CRP]],_xlfn.XLOOKUP(Contrato5[[#This Row],[CDP]],[2]!COMPROMISOS_2024[[#All],[disponibilidad]],[2]!COMPROMISOS_2024[[#All],[consecutivo]],"",0),0)</f>
        <v>#NAME?</v>
      </c>
      <c r="U512" s="140" t="e" cm="1">
        <f t="array" aca="1" ref="U512" ca="1">+_xlfn.XLOOKUP(Contrato5[[#This Row],[RCP]],[2]!COMPROMISOS_2024[[#All],[consecutivo]],[2]!COMPROMISOS_2024[[#All],[fecha_aprobacion]],"",0)</f>
        <v>#NAME?</v>
      </c>
      <c r="V512" s="141" t="e">
        <f ca="1">SUMIF([2]!COMPROMISOS_2024[[#All],[consecutivo]],Contrato5[[#This Row],[RCP]],[2]!COMPROMISOS_2024[[#All],[valor_total]])</f>
        <v>#REF!</v>
      </c>
      <c r="W512" s="415">
        <v>45471</v>
      </c>
      <c r="X512" s="415" t="s">
        <v>1045</v>
      </c>
      <c r="Y512" s="143">
        <v>45475</v>
      </c>
      <c r="Z512" s="262">
        <v>45657</v>
      </c>
      <c r="AA512" s="183" t="s">
        <v>2695</v>
      </c>
      <c r="AB512" s="172" t="s">
        <v>640</v>
      </c>
      <c r="AC512" s="172"/>
      <c r="AD512" s="211">
        <v>202000004605</v>
      </c>
      <c r="AE512" s="147" t="s">
        <v>523</v>
      </c>
      <c r="AF512" s="148" t="str">
        <f>TEXT(LEFT(Contrato5[[#This Row],[CONTRATO]],3),"0")</f>
        <v>398</v>
      </c>
      <c r="AG512" s="148" t="str">
        <f>IF(LEN(Contrato5[[#This Row],[Contrato2]])=3,Contrato5[[#This Row],[Contrato2]],TEXT(Contrato5[[#This Row],[Contrato2]],"000"))</f>
        <v>398</v>
      </c>
      <c r="AH512" s="149">
        <f ca="1">IFERROR(_xlfn.DAYS(Contrato5[[#This Row],[Fecha Proyectada liquidación]],TODAY())/30,"")</f>
        <v>0.6333333333333333</v>
      </c>
      <c r="AI512" s="150">
        <f>+Contrato5[[#This Row],[FECHA TERMINACIÓN ]]+120</f>
        <v>45777</v>
      </c>
      <c r="AJ512" s="147"/>
      <c r="AK512" s="152" t="str">
        <f ca="1">IF(Contrato5[[#This Row],[FECHA TERMINACIÓN ]]&lt;TODAY(), "Terminado",IF(ISNUMBER(Contrato5[[#This Row],[Fecha Real de liquiidación ]]),"Liquidado",IF(Contrato5[[#This Row],[FECHA TERMINACIÓN ]]&gt;=TODAY(),"En ejecución","")))</f>
        <v>Terminado</v>
      </c>
      <c r="AL512" s="153" t="e">
        <f ca="1">SUMIF([2]!COMPROMISOS_2024[[#All],[consecutivo]],Contrato5[[#This Row],[RCP]],[2]!COMPROMISOS_2024[[#All],[Total pagado]])</f>
        <v>#REF!</v>
      </c>
      <c r="AM512" s="154">
        <f ca="1">IFERROR(Contrato5[[#This Row],[Pagos]]/Contrato5[[#This Row],[VALOR CONTRATO]],0)</f>
        <v>0</v>
      </c>
      <c r="AN512" s="198" t="e">
        <f ca="1">+Contrato5[[#This Row],[VALOR CONTRATO]]-Contrato5[[#This Row],[Pagos]]</f>
        <v>#REF!</v>
      </c>
      <c r="AO512" s="147" t="e" cm="1">
        <f t="array" aca="1" ref="AO512" ca="1">_xlfn.XLOOKUP(Contrato5[[#This Row],[DOCUMENTO ]],[2]!PERSONAL_ACTIVO_2024[[#All],[Documento identidad]],[2]!PERSONAL_ACTIVO_2024[[#All],[Mail ]],0,0)</f>
        <v>#NAME?</v>
      </c>
      <c r="AP512" s="147" t="e" cm="1">
        <f t="array" aca="1" ref="AP512" ca="1">_xlfn.XLOOKUP(Contrato5[[#This Row],[DOCUMENTO]],[2]!PERSONAL_ACTIVO_2024[[#All],[Documento identidad]],[2]!PERSONAL_ACTIVO_2024[[#All],[Mail ]],0,0)</f>
        <v>#NAME?</v>
      </c>
      <c r="AQ512" s="439" cm="1">
        <f t="array" aca="1" ref="AQ512" ca="1">IF(ISBLANK(Contrato5[[#This Row],[DEPENDENCIA ]]),0,IFERROR(_xlfn.XLOOKUP(Contrato5[[#This Row],[DEPENDENCIA ]],[2]!PERSONAL_ACTIVO_2024[[#All],[Dependencia]],[2]!PERSONAL_ACTIVO_2024[[#All],[Mail ]],0,0),0))</f>
        <v>0</v>
      </c>
    </row>
    <row r="513" spans="1:43" ht="34.5" customHeight="1">
      <c r="A513" s="125">
        <v>697</v>
      </c>
      <c r="B513" s="124">
        <v>399</v>
      </c>
      <c r="C513" s="162" t="s">
        <v>371</v>
      </c>
      <c r="D513" s="227" t="s">
        <v>515</v>
      </c>
      <c r="E513" s="440" t="s">
        <v>94</v>
      </c>
      <c r="F513" s="227" t="s">
        <v>1376</v>
      </c>
      <c r="G513" s="281" t="s">
        <v>2696</v>
      </c>
      <c r="H513" s="436">
        <v>1017141114</v>
      </c>
      <c r="I513" s="273">
        <v>6879081</v>
      </c>
      <c r="J513" s="437">
        <v>56484724</v>
      </c>
      <c r="K513" s="131" t="s">
        <v>889</v>
      </c>
      <c r="L513" s="438" t="s">
        <v>2679</v>
      </c>
      <c r="M513" s="194" t="s">
        <v>852</v>
      </c>
      <c r="N513" s="177" t="e" cm="1">
        <f t="array" aca="1" ref="N513" ca="1">_xlfn.XLOOKUP(Contrato5[[#This Row],[SUPERVISOR TITULAR]],[2]!PERSONAL_ACTIVO_2024[[#All],[Nombre completo]],[2]!PERSONAL_ACTIVO_2024[[#All],[Documento identidad]],"",0)</f>
        <v>#NAME?</v>
      </c>
      <c r="O513" s="194" t="s">
        <v>954</v>
      </c>
      <c r="P513" s="196" t="e" cm="1">
        <f t="array" aca="1" ref="P513" ca="1">_xlfn.XLOOKUP(Contrato5[[#This Row],[SUPERVISOR SUPLENTE ]],[2]!PERSONAL_ACTIVO_2024[[#All],[Nombre completo]],[2]!PERSONAL_ACTIVO_2024[[#All],[Documento identidad]],"",0)</f>
        <v>#NAME?</v>
      </c>
      <c r="Q513" s="170">
        <v>518</v>
      </c>
      <c r="R513" s="137" t="e" cm="1">
        <f t="array" aca="1" ref="R513" ca="1">_xlfn.XLOOKUP(Contrato5[[#This Row],[CDP]],[2]!DISPONIBILIDADES_2024[[#All],[consecutivo]],[2]!DISPONIBILIDADES_2024[[#All],[fecha_aprobacion]],"",0)</f>
        <v>#NAME?</v>
      </c>
      <c r="S513" s="138" t="e">
        <f>SUMIF([2]!DISPONIBILIDADES_2024[[#All],[consecutivo]],Contrato5[[#This Row],[CDP]],[2]!DISPONIBILIDADES_2024[[#All],[valor_total_rubro]])</f>
        <v>#REF!</v>
      </c>
      <c r="T513" s="139" t="e" cm="1">
        <f t="array" aca="1" ref="T513" ca="1">_xlfn.XLOOKUP(Contrato5[[#This Row],[CONTRATO]]&amp;Contrato5[[#This Row],[CDP]],[2]!Corr_Contr_CDP[[#All],[CONTRATO-CDP]],[2]!Corr_Contr_CDP[[#All],[CRP]],_xlfn.XLOOKUP(Contrato5[[#This Row],[CDP]],[2]!COMPROMISOS_2024[[#All],[disponibilidad]],[2]!COMPROMISOS_2024[[#All],[consecutivo]],"",0),0)</f>
        <v>#NAME?</v>
      </c>
      <c r="U513" s="140" t="e" cm="1">
        <f t="array" aca="1" ref="U513" ca="1">+_xlfn.XLOOKUP(Contrato5[[#This Row],[RCP]],[2]!COMPROMISOS_2024[[#All],[consecutivo]],[2]!COMPROMISOS_2024[[#All],[fecha_aprobacion]],"",0)</f>
        <v>#NAME?</v>
      </c>
      <c r="V513" s="141" t="e">
        <f ca="1">SUMIF([2]!COMPROMISOS_2024[[#All],[consecutivo]],Contrato5[[#This Row],[RCP]],[2]!COMPROMISOS_2024[[#All],[valor_total]])</f>
        <v>#REF!</v>
      </c>
      <c r="W513" s="415">
        <v>45471</v>
      </c>
      <c r="X513" s="415" t="s">
        <v>1045</v>
      </c>
      <c r="Y513" s="143">
        <v>45475</v>
      </c>
      <c r="Z513" s="262">
        <v>45657</v>
      </c>
      <c r="AA513" s="183" t="s">
        <v>2697</v>
      </c>
      <c r="AB513" s="172" t="s">
        <v>2698</v>
      </c>
      <c r="AC513" s="172"/>
      <c r="AD513" s="211">
        <v>202000004606</v>
      </c>
      <c r="AE513" s="147" t="s">
        <v>523</v>
      </c>
      <c r="AF513" s="148" t="str">
        <f>TEXT(LEFT(Contrato5[[#This Row],[CONTRATO]],3),"0")</f>
        <v>399</v>
      </c>
      <c r="AG513" s="148" t="str">
        <f>IF(LEN(Contrato5[[#This Row],[Contrato2]])=3,Contrato5[[#This Row],[Contrato2]],TEXT(Contrato5[[#This Row],[Contrato2]],"000"))</f>
        <v>399</v>
      </c>
      <c r="AH513" s="149">
        <f ca="1">IFERROR(_xlfn.DAYS(Contrato5[[#This Row],[Fecha Proyectada liquidación]],TODAY())/30,"")</f>
        <v>0.6333333333333333</v>
      </c>
      <c r="AI513" s="150">
        <f>+Contrato5[[#This Row],[FECHA TERMINACIÓN ]]+120</f>
        <v>45777</v>
      </c>
      <c r="AJ513" s="147"/>
      <c r="AK513" s="152" t="str">
        <f ca="1">IF(Contrato5[[#This Row],[FECHA TERMINACIÓN ]]&lt;TODAY(), "Terminado",IF(ISNUMBER(Contrato5[[#This Row],[Fecha Real de liquiidación ]]),"Liquidado",IF(Contrato5[[#This Row],[FECHA TERMINACIÓN ]]&gt;=TODAY(),"En ejecución","")))</f>
        <v>Terminado</v>
      </c>
      <c r="AL513" s="153" t="e">
        <f ca="1">SUMIF([2]!COMPROMISOS_2024[[#All],[consecutivo]],Contrato5[[#This Row],[RCP]],[2]!COMPROMISOS_2024[[#All],[Total pagado]])</f>
        <v>#REF!</v>
      </c>
      <c r="AM513" s="154">
        <f ca="1">IFERROR(Contrato5[[#This Row],[Pagos]]/Contrato5[[#This Row],[VALOR CONTRATO]],0)</f>
        <v>0</v>
      </c>
      <c r="AN513" s="198" t="e">
        <f ca="1">+Contrato5[[#This Row],[VALOR CONTRATO]]-Contrato5[[#This Row],[Pagos]]</f>
        <v>#REF!</v>
      </c>
      <c r="AO513" s="147" t="e" cm="1">
        <f t="array" aca="1" ref="AO513" ca="1">_xlfn.XLOOKUP(Contrato5[[#This Row],[DOCUMENTO ]],[2]!PERSONAL_ACTIVO_2024[[#All],[Documento identidad]],[2]!PERSONAL_ACTIVO_2024[[#All],[Mail ]],0,0)</f>
        <v>#NAME?</v>
      </c>
      <c r="AP513" s="147" t="e" cm="1">
        <f t="array" aca="1" ref="AP513" ca="1">_xlfn.XLOOKUP(Contrato5[[#This Row],[DOCUMENTO]],[2]!PERSONAL_ACTIVO_2024[[#All],[Documento identidad]],[2]!PERSONAL_ACTIVO_2024[[#All],[Mail ]],0,0)</f>
        <v>#NAME?</v>
      </c>
      <c r="AQ513" s="439" cm="1">
        <f t="array" aca="1" ref="AQ513" ca="1">IF(ISBLANK(Contrato5[[#This Row],[DEPENDENCIA ]]),0,IFERROR(_xlfn.XLOOKUP(Contrato5[[#This Row],[DEPENDENCIA ]],[2]!PERSONAL_ACTIVO_2024[[#All],[Dependencia]],[2]!PERSONAL_ACTIVO_2024[[#All],[Mail ]],0,0),0))</f>
        <v>0</v>
      </c>
    </row>
    <row r="514" spans="1:43" ht="34.5" customHeight="1">
      <c r="A514" s="125">
        <v>695</v>
      </c>
      <c r="B514" s="124">
        <v>400</v>
      </c>
      <c r="C514" s="162" t="s">
        <v>415</v>
      </c>
      <c r="D514" s="227" t="s">
        <v>515</v>
      </c>
      <c r="E514" s="440" t="s">
        <v>94</v>
      </c>
      <c r="F514" s="227" t="s">
        <v>1376</v>
      </c>
      <c r="G514" s="281" t="s">
        <v>912</v>
      </c>
      <c r="H514" s="436">
        <v>1036938032</v>
      </c>
      <c r="I514" s="273">
        <v>3379853</v>
      </c>
      <c r="J514" s="437">
        <v>28067750</v>
      </c>
      <c r="K514" s="131" t="s">
        <v>1146</v>
      </c>
      <c r="L514" s="438" t="s">
        <v>2443</v>
      </c>
      <c r="M514" s="194" t="s">
        <v>822</v>
      </c>
      <c r="N514" s="177" t="e" cm="1">
        <f t="array" aca="1" ref="N514" ca="1">_xlfn.XLOOKUP(Contrato5[[#This Row],[SUPERVISOR TITULAR]],[2]!PERSONAL_ACTIVO_2024[[#All],[Nombre completo]],[2]!PERSONAL_ACTIVO_2024[[#All],[Documento identidad]],"",0)</f>
        <v>#NAME?</v>
      </c>
      <c r="O514" s="194" t="s">
        <v>910</v>
      </c>
      <c r="P514" s="196" t="e" cm="1">
        <f t="array" aca="1" ref="P514" ca="1">_xlfn.XLOOKUP(Contrato5[[#This Row],[SUPERVISOR SUPLENTE ]],[2]!PERSONAL_ACTIVO_2024[[#All],[Nombre completo]],[2]!PERSONAL_ACTIVO_2024[[#All],[Documento identidad]],"",0)</f>
        <v>#NAME?</v>
      </c>
      <c r="Q514" s="170">
        <v>526</v>
      </c>
      <c r="R514" s="137" t="e" cm="1">
        <f t="array" aca="1" ref="R514" ca="1">_xlfn.XLOOKUP(Contrato5[[#This Row],[CDP]],[2]!DISPONIBILIDADES_2024[[#All],[consecutivo]],[2]!DISPONIBILIDADES_2024[[#All],[fecha_aprobacion]],"",0)</f>
        <v>#NAME?</v>
      </c>
      <c r="S514" s="138" t="e">
        <f>SUMIF([2]!DISPONIBILIDADES_2024[[#All],[consecutivo]],Contrato5[[#This Row],[CDP]],[2]!DISPONIBILIDADES_2024[[#All],[valor_total_rubro]])</f>
        <v>#REF!</v>
      </c>
      <c r="T514" s="139" t="e" cm="1">
        <f t="array" aca="1" ref="T514" ca="1">_xlfn.XLOOKUP(Contrato5[[#This Row],[CONTRATO]]&amp;Contrato5[[#This Row],[CDP]],[2]!Corr_Contr_CDP[[#All],[CONTRATO-CDP]],[2]!Corr_Contr_CDP[[#All],[CRP]],_xlfn.XLOOKUP(Contrato5[[#This Row],[CDP]],[2]!COMPROMISOS_2024[[#All],[disponibilidad]],[2]!COMPROMISOS_2024[[#All],[consecutivo]],"",0),0)</f>
        <v>#NAME?</v>
      </c>
      <c r="U514" s="140" t="e" cm="1">
        <f t="array" aca="1" ref="U514" ca="1">+_xlfn.XLOOKUP(Contrato5[[#This Row],[RCP]],[2]!COMPROMISOS_2024[[#All],[consecutivo]],[2]!COMPROMISOS_2024[[#All],[fecha_aprobacion]],"",0)</f>
        <v>#NAME?</v>
      </c>
      <c r="V514" s="141" t="e">
        <f ca="1">SUMIF([2]!COMPROMISOS_2024[[#All],[consecutivo]],Contrato5[[#This Row],[RCP]],[2]!COMPROMISOS_2024[[#All],[valor_total]])</f>
        <v>#REF!</v>
      </c>
      <c r="W514" s="415">
        <v>45485</v>
      </c>
      <c r="X514" s="415" t="s">
        <v>1045</v>
      </c>
      <c r="Y514" s="143">
        <v>45488</v>
      </c>
      <c r="Z514" s="262">
        <v>45656</v>
      </c>
      <c r="AA514" s="183" t="s">
        <v>2699</v>
      </c>
      <c r="AB514" s="172" t="s">
        <v>2700</v>
      </c>
      <c r="AC514" s="172"/>
      <c r="AD514" s="211">
        <v>202000004607</v>
      </c>
      <c r="AE514" s="147" t="s">
        <v>523</v>
      </c>
      <c r="AF514" s="148" t="str">
        <f>TEXT(LEFT(Contrato5[[#This Row],[CONTRATO]],3),"0")</f>
        <v>400</v>
      </c>
      <c r="AG514" s="148" t="str">
        <f>IF(LEN(Contrato5[[#This Row],[Contrato2]])=3,Contrato5[[#This Row],[Contrato2]],TEXT(Contrato5[[#This Row],[Contrato2]],"000"))</f>
        <v>400</v>
      </c>
      <c r="AH514" s="149">
        <f ca="1">IFERROR(_xlfn.DAYS(Contrato5[[#This Row],[Fecha Proyectada liquidación]],TODAY())/30,"")</f>
        <v>0.6</v>
      </c>
      <c r="AI514" s="150">
        <f>+Contrato5[[#This Row],[FECHA TERMINACIÓN ]]+120</f>
        <v>45776</v>
      </c>
      <c r="AJ514" s="147"/>
      <c r="AK514" s="152" t="str">
        <f ca="1">IF(Contrato5[[#This Row],[FECHA TERMINACIÓN ]]&lt;TODAY(), "Terminado",IF(ISNUMBER(Contrato5[[#This Row],[Fecha Real de liquiidación ]]),"Liquidado",IF(Contrato5[[#This Row],[FECHA TERMINACIÓN ]]&gt;=TODAY(),"En ejecución","")))</f>
        <v>Terminado</v>
      </c>
      <c r="AL514" s="153" t="e">
        <f ca="1">SUMIF([2]!COMPROMISOS_2024[[#All],[consecutivo]],Contrato5[[#This Row],[RCP]],[2]!COMPROMISOS_2024[[#All],[Total pagado]])</f>
        <v>#REF!</v>
      </c>
      <c r="AM514" s="154">
        <f ca="1">IFERROR(Contrato5[[#This Row],[Pagos]]/Contrato5[[#This Row],[VALOR CONTRATO]],0)</f>
        <v>0</v>
      </c>
      <c r="AN514" s="198" t="e">
        <f ca="1">+Contrato5[[#This Row],[VALOR CONTRATO]]-Contrato5[[#This Row],[Pagos]]</f>
        <v>#REF!</v>
      </c>
      <c r="AO514" s="147" t="e" cm="1">
        <f t="array" aca="1" ref="AO514" ca="1">_xlfn.XLOOKUP(Contrato5[[#This Row],[DOCUMENTO ]],[2]!PERSONAL_ACTIVO_2024[[#All],[Documento identidad]],[2]!PERSONAL_ACTIVO_2024[[#All],[Mail ]],0,0)</f>
        <v>#NAME?</v>
      </c>
      <c r="AP514" s="147" t="e" cm="1">
        <f t="array" aca="1" ref="AP514" ca="1">_xlfn.XLOOKUP(Contrato5[[#This Row],[DOCUMENTO]],[2]!PERSONAL_ACTIVO_2024[[#All],[Documento identidad]],[2]!PERSONAL_ACTIVO_2024[[#All],[Mail ]],0,0)</f>
        <v>#NAME?</v>
      </c>
      <c r="AQ514" s="439" cm="1">
        <f t="array" aca="1" ref="AQ514" ca="1">IF(ISBLANK(Contrato5[[#This Row],[DEPENDENCIA ]]),0,IFERROR(_xlfn.XLOOKUP(Contrato5[[#This Row],[DEPENDENCIA ]],[2]!PERSONAL_ACTIVO_2024[[#All],[Dependencia]],[2]!PERSONAL_ACTIVO_2024[[#All],[Mail ]],0,0),0))</f>
        <v>0</v>
      </c>
    </row>
    <row r="515" spans="1:43" ht="34.5" customHeight="1">
      <c r="A515" s="125">
        <v>694</v>
      </c>
      <c r="B515" s="124">
        <v>401</v>
      </c>
      <c r="C515" s="162" t="s">
        <v>414</v>
      </c>
      <c r="D515" s="227" t="s">
        <v>515</v>
      </c>
      <c r="E515" s="440" t="s">
        <v>94</v>
      </c>
      <c r="F515" s="227" t="s">
        <v>1376</v>
      </c>
      <c r="G515" s="281" t="s">
        <v>908</v>
      </c>
      <c r="H515" s="436">
        <v>15444940</v>
      </c>
      <c r="I515" s="273">
        <v>3379853</v>
      </c>
      <c r="J515" s="437">
        <v>28067750</v>
      </c>
      <c r="K515" s="131" t="s">
        <v>1146</v>
      </c>
      <c r="L515" s="438" t="s">
        <v>2443</v>
      </c>
      <c r="M515" s="194" t="s">
        <v>822</v>
      </c>
      <c r="N515" s="177" t="e" cm="1">
        <f t="array" aca="1" ref="N515" ca="1">_xlfn.XLOOKUP(Contrato5[[#This Row],[SUPERVISOR TITULAR]],[2]!PERSONAL_ACTIVO_2024[[#All],[Nombre completo]],[2]!PERSONAL_ACTIVO_2024[[#All],[Documento identidad]],"",0)</f>
        <v>#NAME?</v>
      </c>
      <c r="O515" s="194" t="s">
        <v>910</v>
      </c>
      <c r="P515" s="196" t="e" cm="1">
        <f t="array" aca="1" ref="P515" ca="1">_xlfn.XLOOKUP(Contrato5[[#This Row],[SUPERVISOR SUPLENTE ]],[2]!PERSONAL_ACTIVO_2024[[#All],[Nombre completo]],[2]!PERSONAL_ACTIVO_2024[[#All],[Documento identidad]],"",0)</f>
        <v>#NAME?</v>
      </c>
      <c r="Q515" s="170">
        <v>530</v>
      </c>
      <c r="R515" s="137" t="e" cm="1">
        <f t="array" aca="1" ref="R515" ca="1">_xlfn.XLOOKUP(Contrato5[[#This Row],[CDP]],[2]!DISPONIBILIDADES_2024[[#All],[consecutivo]],[2]!DISPONIBILIDADES_2024[[#All],[fecha_aprobacion]],"",0)</f>
        <v>#NAME?</v>
      </c>
      <c r="S515" s="138" t="e">
        <f>SUMIF([2]!DISPONIBILIDADES_2024[[#All],[consecutivo]],Contrato5[[#This Row],[CDP]],[2]!DISPONIBILIDADES_2024[[#All],[valor_total_rubro]])</f>
        <v>#REF!</v>
      </c>
      <c r="T515" s="139" t="e" cm="1">
        <f t="array" aca="1" ref="T515" ca="1">_xlfn.XLOOKUP(Contrato5[[#This Row],[CONTRATO]]&amp;Contrato5[[#This Row],[CDP]],[2]!Corr_Contr_CDP[[#All],[CONTRATO-CDP]],[2]!Corr_Contr_CDP[[#All],[CRP]],_xlfn.XLOOKUP(Contrato5[[#This Row],[CDP]],[2]!COMPROMISOS_2024[[#All],[disponibilidad]],[2]!COMPROMISOS_2024[[#All],[consecutivo]],"",0),0)</f>
        <v>#NAME?</v>
      </c>
      <c r="U515" s="140" t="e" cm="1">
        <f t="array" aca="1" ref="U515" ca="1">+_xlfn.XLOOKUP(Contrato5[[#This Row],[RCP]],[2]!COMPROMISOS_2024[[#All],[consecutivo]],[2]!COMPROMISOS_2024[[#All],[fecha_aprobacion]],"",0)</f>
        <v>#NAME?</v>
      </c>
      <c r="V515" s="141" t="e">
        <f ca="1">SUMIF([2]!COMPROMISOS_2024[[#All],[consecutivo]],Contrato5[[#This Row],[RCP]],[2]!COMPROMISOS_2024[[#All],[valor_total]])</f>
        <v>#REF!</v>
      </c>
      <c r="W515" s="415">
        <v>45483</v>
      </c>
      <c r="X515" s="415" t="s">
        <v>1045</v>
      </c>
      <c r="Y515" s="143">
        <v>45488</v>
      </c>
      <c r="Z515" s="262">
        <v>45656</v>
      </c>
      <c r="AA515" s="183" t="s">
        <v>2701</v>
      </c>
      <c r="AB515" s="172" t="s">
        <v>2700</v>
      </c>
      <c r="AC515" s="172"/>
      <c r="AD515" s="211">
        <v>202000004608</v>
      </c>
      <c r="AE515" s="147" t="s">
        <v>523</v>
      </c>
      <c r="AF515" s="148" t="str">
        <f>TEXT(LEFT(Contrato5[[#This Row],[CONTRATO]],3),"0")</f>
        <v>401</v>
      </c>
      <c r="AG515" s="148" t="str">
        <f>IF(LEN(Contrato5[[#This Row],[Contrato2]])=3,Contrato5[[#This Row],[Contrato2]],TEXT(Contrato5[[#This Row],[Contrato2]],"000"))</f>
        <v>401</v>
      </c>
      <c r="AH515" s="149">
        <f ca="1">IFERROR(_xlfn.DAYS(Contrato5[[#This Row],[Fecha Proyectada liquidación]],TODAY())/30,"")</f>
        <v>0.6</v>
      </c>
      <c r="AI515" s="150">
        <f>+Contrato5[[#This Row],[FECHA TERMINACIÓN ]]+120</f>
        <v>45776</v>
      </c>
      <c r="AJ515" s="147"/>
      <c r="AK515" s="152" t="str">
        <f ca="1">IF(Contrato5[[#This Row],[FECHA TERMINACIÓN ]]&lt;TODAY(), "Terminado",IF(ISNUMBER(Contrato5[[#This Row],[Fecha Real de liquiidación ]]),"Liquidado",IF(Contrato5[[#This Row],[FECHA TERMINACIÓN ]]&gt;=TODAY(),"En ejecución","")))</f>
        <v>Terminado</v>
      </c>
      <c r="AL515" s="153" t="e">
        <f ca="1">SUMIF([2]!COMPROMISOS_2024[[#All],[consecutivo]],Contrato5[[#This Row],[RCP]],[2]!COMPROMISOS_2024[[#All],[Total pagado]])</f>
        <v>#REF!</v>
      </c>
      <c r="AM515" s="154">
        <f ca="1">IFERROR(Contrato5[[#This Row],[Pagos]]/Contrato5[[#This Row],[VALOR CONTRATO]],0)</f>
        <v>0</v>
      </c>
      <c r="AN515" s="198" t="e">
        <f ca="1">+Contrato5[[#This Row],[VALOR CONTRATO]]-Contrato5[[#This Row],[Pagos]]</f>
        <v>#REF!</v>
      </c>
      <c r="AO515" s="147" t="e" cm="1">
        <f t="array" aca="1" ref="AO515" ca="1">_xlfn.XLOOKUP(Contrato5[[#This Row],[DOCUMENTO ]],[2]!PERSONAL_ACTIVO_2024[[#All],[Documento identidad]],[2]!PERSONAL_ACTIVO_2024[[#All],[Mail ]],0,0)</f>
        <v>#NAME?</v>
      </c>
      <c r="AP515" s="147" t="e" cm="1">
        <f t="array" aca="1" ref="AP515" ca="1">_xlfn.XLOOKUP(Contrato5[[#This Row],[DOCUMENTO]],[2]!PERSONAL_ACTIVO_2024[[#All],[Documento identidad]],[2]!PERSONAL_ACTIVO_2024[[#All],[Mail ]],0,0)</f>
        <v>#NAME?</v>
      </c>
      <c r="AQ515" s="439" cm="1">
        <f t="array" aca="1" ref="AQ515" ca="1">IF(ISBLANK(Contrato5[[#This Row],[DEPENDENCIA ]]),0,IFERROR(_xlfn.XLOOKUP(Contrato5[[#This Row],[DEPENDENCIA ]],[2]!PERSONAL_ACTIVO_2024[[#All],[Dependencia]],[2]!PERSONAL_ACTIVO_2024[[#All],[Mail ]],0,0),0))</f>
        <v>0</v>
      </c>
    </row>
    <row r="516" spans="1:43" ht="34.5" customHeight="1">
      <c r="A516" s="125">
        <v>39</v>
      </c>
      <c r="B516" s="124">
        <v>402</v>
      </c>
      <c r="C516" s="162" t="s">
        <v>1441</v>
      </c>
      <c r="D516" s="227" t="s">
        <v>623</v>
      </c>
      <c r="E516" s="440" t="s">
        <v>94</v>
      </c>
      <c r="F516" s="227" t="s">
        <v>161</v>
      </c>
      <c r="G516" s="281" t="s">
        <v>2598</v>
      </c>
      <c r="H516" s="436">
        <v>890937233</v>
      </c>
      <c r="I516" s="273" t="s">
        <v>42</v>
      </c>
      <c r="J516" s="437">
        <v>305506854</v>
      </c>
      <c r="K516" s="131" t="s">
        <v>42</v>
      </c>
      <c r="L516" s="438" t="s">
        <v>2465</v>
      </c>
      <c r="M516" s="194" t="s">
        <v>1035</v>
      </c>
      <c r="N516" s="177" t="e" cm="1">
        <f t="array" aca="1" ref="N516" ca="1">_xlfn.XLOOKUP(Contrato5[[#This Row],[SUPERVISOR TITULAR]],[2]!PERSONAL_ACTIVO_2024[[#All],[Nombre completo]],[2]!PERSONAL_ACTIVO_2024[[#All],[Documento identidad]],"",0)</f>
        <v>#NAME?</v>
      </c>
      <c r="O516" s="194" t="s">
        <v>925</v>
      </c>
      <c r="P516" s="196" t="e" cm="1">
        <f t="array" aca="1" ref="P516" ca="1">_xlfn.XLOOKUP(Contrato5[[#This Row],[SUPERVISOR SUPLENTE ]],[2]!PERSONAL_ACTIVO_2024[[#All],[Nombre completo]],[2]!PERSONAL_ACTIVO_2024[[#All],[Documento identidad]],"",0)</f>
        <v>#NAME?</v>
      </c>
      <c r="Q516" s="170">
        <v>528</v>
      </c>
      <c r="R516" s="137" t="e" cm="1">
        <f t="array" aca="1" ref="R516" ca="1">_xlfn.XLOOKUP(Contrato5[[#This Row],[CDP]],[2]!DISPONIBILIDADES_2024[[#All],[consecutivo]],[2]!DISPONIBILIDADES_2024[[#All],[fecha_aprobacion]],"",0)</f>
        <v>#NAME?</v>
      </c>
      <c r="S516" s="138" t="e">
        <f>SUMIF([2]!DISPONIBILIDADES_2024[[#All],[consecutivo]],Contrato5[[#This Row],[CDP]],[2]!DISPONIBILIDADES_2024[[#All],[valor_total_rubro]])</f>
        <v>#REF!</v>
      </c>
      <c r="T516" s="139" t="e" cm="1">
        <f t="array" aca="1" ref="T516" ca="1">_xlfn.XLOOKUP(Contrato5[[#This Row],[CONTRATO]]&amp;Contrato5[[#This Row],[CDP]],[2]!Corr_Contr_CDP[[#All],[CONTRATO-CDP]],[2]!Corr_Contr_CDP[[#All],[CRP]],_xlfn.XLOOKUP(Contrato5[[#This Row],[CDP]],[2]!COMPROMISOS_2024[[#All],[disponibilidad]],[2]!COMPROMISOS_2024[[#All],[consecutivo]],"",0),0)</f>
        <v>#NAME?</v>
      </c>
      <c r="U516" s="140" t="e" cm="1">
        <f t="array" aca="1" ref="U516" ca="1">+_xlfn.XLOOKUP(Contrato5[[#This Row],[RCP]],[2]!COMPROMISOS_2024[[#All],[consecutivo]],[2]!COMPROMISOS_2024[[#All],[fecha_aprobacion]],"",0)</f>
        <v>#NAME?</v>
      </c>
      <c r="V516" s="141" t="e">
        <f ca="1">SUMIF([2]!COMPROMISOS_2024[[#All],[consecutivo]],Contrato5[[#This Row],[RCP]],[2]!COMPROMISOS_2024[[#All],[valor_total]])</f>
        <v>#REF!</v>
      </c>
      <c r="W516" s="415">
        <v>45481</v>
      </c>
      <c r="X516" s="415">
        <v>45488</v>
      </c>
      <c r="Y516" s="143">
        <v>45488</v>
      </c>
      <c r="Z516" s="262">
        <v>45656</v>
      </c>
      <c r="AA516" s="183" t="s">
        <v>2702</v>
      </c>
      <c r="AB516" s="172" t="s">
        <v>640</v>
      </c>
      <c r="AC516" s="172"/>
      <c r="AD516" s="211">
        <v>202000004609</v>
      </c>
      <c r="AE516" s="147" t="s">
        <v>523</v>
      </c>
      <c r="AF516" s="148" t="str">
        <f>TEXT(LEFT(Contrato5[[#This Row],[CONTRATO]],3),"0")</f>
        <v>402</v>
      </c>
      <c r="AG516" s="148" t="str">
        <f>IF(LEN(Contrato5[[#This Row],[Contrato2]])=3,Contrato5[[#This Row],[Contrato2]],TEXT(Contrato5[[#This Row],[Contrato2]],"000"))</f>
        <v>402</v>
      </c>
      <c r="AH516" s="149">
        <f ca="1">IFERROR(_xlfn.DAYS(Contrato5[[#This Row],[Fecha Proyectada liquidación]],TODAY())/30,"")</f>
        <v>0.6</v>
      </c>
      <c r="AI516" s="150">
        <f>+Contrato5[[#This Row],[FECHA TERMINACIÓN ]]+120</f>
        <v>45776</v>
      </c>
      <c r="AJ516" s="147"/>
      <c r="AK516" s="152" t="str">
        <f ca="1">IF(Contrato5[[#This Row],[FECHA TERMINACIÓN ]]&lt;TODAY(), "Terminado",IF(ISNUMBER(Contrato5[[#This Row],[Fecha Real de liquiidación ]]),"Liquidado",IF(Contrato5[[#This Row],[FECHA TERMINACIÓN ]]&gt;=TODAY(),"En ejecución","")))</f>
        <v>Terminado</v>
      </c>
      <c r="AL516" s="153" t="e">
        <f ca="1">SUMIF([2]!COMPROMISOS_2024[[#All],[consecutivo]],Contrato5[[#This Row],[RCP]],[2]!COMPROMISOS_2024[[#All],[Total pagado]])</f>
        <v>#REF!</v>
      </c>
      <c r="AM516" s="154">
        <f ca="1">IFERROR(Contrato5[[#This Row],[Pagos]]/Contrato5[[#This Row],[VALOR CONTRATO]],0)</f>
        <v>0</v>
      </c>
      <c r="AN516" s="198" t="e">
        <f ca="1">+Contrato5[[#This Row],[VALOR CONTRATO]]-Contrato5[[#This Row],[Pagos]]</f>
        <v>#REF!</v>
      </c>
      <c r="AO516" s="147" t="e" cm="1">
        <f t="array" aca="1" ref="AO516" ca="1">_xlfn.XLOOKUP(Contrato5[[#This Row],[DOCUMENTO ]],[2]!PERSONAL_ACTIVO_2024[[#All],[Documento identidad]],[2]!PERSONAL_ACTIVO_2024[[#All],[Mail ]],0,0)</f>
        <v>#NAME?</v>
      </c>
      <c r="AP516" s="147" t="e" cm="1">
        <f t="array" aca="1" ref="AP516" ca="1">_xlfn.XLOOKUP(Contrato5[[#This Row],[DOCUMENTO]],[2]!PERSONAL_ACTIVO_2024[[#All],[Documento identidad]],[2]!PERSONAL_ACTIVO_2024[[#All],[Mail ]],0,0)</f>
        <v>#NAME?</v>
      </c>
      <c r="AQ516" s="439" cm="1">
        <f t="array" aca="1" ref="AQ516" ca="1">IF(ISBLANK(Contrato5[[#This Row],[DEPENDENCIA ]]),0,IFERROR(_xlfn.XLOOKUP(Contrato5[[#This Row],[DEPENDENCIA ]],[2]!PERSONAL_ACTIVO_2024[[#All],[Dependencia]],[2]!PERSONAL_ACTIVO_2024[[#All],[Mail ]],0,0),0))</f>
        <v>0</v>
      </c>
    </row>
    <row r="517" spans="1:43" ht="34.5" customHeight="1">
      <c r="A517" s="125">
        <v>780</v>
      </c>
      <c r="B517" s="124">
        <v>403</v>
      </c>
      <c r="C517" s="162" t="s">
        <v>1801</v>
      </c>
      <c r="D517" s="227" t="s">
        <v>583</v>
      </c>
      <c r="E517" s="440" t="s">
        <v>94</v>
      </c>
      <c r="F517" s="227" t="s">
        <v>1376</v>
      </c>
      <c r="G517" s="281" t="s">
        <v>2703</v>
      </c>
      <c r="H517" s="436">
        <v>70113908</v>
      </c>
      <c r="I517" s="273">
        <v>3379853</v>
      </c>
      <c r="J517" s="437">
        <v>20279118</v>
      </c>
      <c r="K517" s="131" t="s">
        <v>42</v>
      </c>
      <c r="L517" s="438" t="s">
        <v>2443</v>
      </c>
      <c r="M517" s="194" t="s">
        <v>497</v>
      </c>
      <c r="N517" s="177" t="e" cm="1">
        <f t="array" aca="1" ref="N517" ca="1">_xlfn.XLOOKUP(Contrato5[[#This Row],[SUPERVISOR TITULAR]],[2]!PERSONAL_ACTIVO_2024[[#All],[Nombre completo]],[2]!PERSONAL_ACTIVO_2024[[#All],[Documento identidad]],"",0)</f>
        <v>#NAME?</v>
      </c>
      <c r="O517" s="194" t="s">
        <v>2486</v>
      </c>
      <c r="P517" s="196" t="e" cm="1">
        <f t="array" aca="1" ref="P517" ca="1">_xlfn.XLOOKUP(Contrato5[[#This Row],[SUPERVISOR SUPLENTE ]],[2]!PERSONAL_ACTIVO_2024[[#All],[Nombre completo]],[2]!PERSONAL_ACTIVO_2024[[#All],[Documento identidad]],"",0)</f>
        <v>#NAME?</v>
      </c>
      <c r="Q517" s="170">
        <v>550</v>
      </c>
      <c r="R517" s="137" t="e" cm="1">
        <f t="array" aca="1" ref="R517" ca="1">_xlfn.XLOOKUP(Contrato5[[#This Row],[CDP]],[2]!DISPONIBILIDADES_2024[[#All],[consecutivo]],[2]!DISPONIBILIDADES_2024[[#All],[fecha_aprobacion]],"",0)</f>
        <v>#NAME?</v>
      </c>
      <c r="S517" s="138" t="e">
        <f>SUMIF([2]!DISPONIBILIDADES_2024[[#All],[consecutivo]],Contrato5[[#This Row],[CDP]],[2]!DISPONIBILIDADES_2024[[#All],[valor_total_rubro]])</f>
        <v>#REF!</v>
      </c>
      <c r="T517" s="139" t="e" cm="1">
        <f t="array" aca="1" ref="T517" ca="1">_xlfn.XLOOKUP(Contrato5[[#This Row],[CONTRATO]]&amp;Contrato5[[#This Row],[CDP]],[2]!Corr_Contr_CDP[[#All],[CONTRATO-CDP]],[2]!Corr_Contr_CDP[[#All],[CRP]],_xlfn.XLOOKUP(Contrato5[[#This Row],[CDP]],[2]!COMPROMISOS_2024[[#All],[disponibilidad]],[2]!COMPROMISOS_2024[[#All],[consecutivo]],"",0),0)</f>
        <v>#NAME?</v>
      </c>
      <c r="U517" s="140" t="e" cm="1">
        <f t="array" aca="1" ref="U517" ca="1">+_xlfn.XLOOKUP(Contrato5[[#This Row],[RCP]],[2]!COMPROMISOS_2024[[#All],[consecutivo]],[2]!COMPROMISOS_2024[[#All],[fecha_aprobacion]],"",0)</f>
        <v>#NAME?</v>
      </c>
      <c r="V517" s="141" t="e">
        <f ca="1">SUMIF([2]!COMPROMISOS_2024[[#All],[consecutivo]],Contrato5[[#This Row],[RCP]],[2]!COMPROMISOS_2024[[#All],[valor_total]])</f>
        <v>#REF!</v>
      </c>
      <c r="W517" s="415">
        <v>45470</v>
      </c>
      <c r="X517" s="415" t="s">
        <v>1045</v>
      </c>
      <c r="Y517" s="143">
        <v>45475</v>
      </c>
      <c r="Z517" s="262">
        <v>45657</v>
      </c>
      <c r="AA517" s="183" t="s">
        <v>2704</v>
      </c>
      <c r="AB517" s="172" t="s">
        <v>640</v>
      </c>
      <c r="AC517" s="172"/>
      <c r="AD517" s="425">
        <v>202000004610</v>
      </c>
      <c r="AE517" s="147" t="s">
        <v>523</v>
      </c>
      <c r="AF517" s="148" t="str">
        <f>TEXT(LEFT(Contrato5[[#This Row],[CONTRATO]],3),"0")</f>
        <v>403</v>
      </c>
      <c r="AG517" s="148" t="str">
        <f>IF(LEN(Contrato5[[#This Row],[Contrato2]])=3,Contrato5[[#This Row],[Contrato2]],TEXT(Contrato5[[#This Row],[Contrato2]],"000"))</f>
        <v>403</v>
      </c>
      <c r="AH517" s="149">
        <f ca="1">IFERROR(_xlfn.DAYS(Contrato5[[#This Row],[Fecha Proyectada liquidación]],TODAY())/30,"")</f>
        <v>0.6333333333333333</v>
      </c>
      <c r="AI517" s="150">
        <f>+Contrato5[[#This Row],[FECHA TERMINACIÓN ]]+120</f>
        <v>45777</v>
      </c>
      <c r="AJ517" s="147"/>
      <c r="AK517" s="152" t="str">
        <f ca="1">IF(Contrato5[[#This Row],[FECHA TERMINACIÓN ]]&lt;TODAY(), "Terminado",IF(ISNUMBER(Contrato5[[#This Row],[Fecha Real de liquiidación ]]),"Liquidado",IF(Contrato5[[#This Row],[FECHA TERMINACIÓN ]]&gt;=TODAY(),"En ejecución","")))</f>
        <v>Terminado</v>
      </c>
      <c r="AL517" s="153" t="e">
        <f ca="1">SUMIF([2]!COMPROMISOS_2024[[#All],[consecutivo]],Contrato5[[#This Row],[RCP]],[2]!COMPROMISOS_2024[[#All],[Total pagado]])</f>
        <v>#REF!</v>
      </c>
      <c r="AM517" s="154">
        <f ca="1">IFERROR(Contrato5[[#This Row],[Pagos]]/Contrato5[[#This Row],[VALOR CONTRATO]],0)</f>
        <v>0</v>
      </c>
      <c r="AN517" s="198" t="e">
        <f ca="1">+Contrato5[[#This Row],[VALOR CONTRATO]]-Contrato5[[#This Row],[Pagos]]</f>
        <v>#REF!</v>
      </c>
      <c r="AO517" s="147" t="e" cm="1">
        <f t="array" aca="1" ref="AO517" ca="1">_xlfn.XLOOKUP(Contrato5[[#This Row],[DOCUMENTO ]],[2]!PERSONAL_ACTIVO_2024[[#All],[Documento identidad]],[2]!PERSONAL_ACTIVO_2024[[#All],[Mail ]],0,0)</f>
        <v>#NAME?</v>
      </c>
      <c r="AP517" s="147" t="e" cm="1">
        <f t="array" aca="1" ref="AP517" ca="1">_xlfn.XLOOKUP(Contrato5[[#This Row],[DOCUMENTO]],[2]!PERSONAL_ACTIVO_2024[[#All],[Documento identidad]],[2]!PERSONAL_ACTIVO_2024[[#All],[Mail ]],0,0)</f>
        <v>#NAME?</v>
      </c>
      <c r="AQ517" s="439" cm="1">
        <f t="array" aca="1" ref="AQ517" ca="1">IF(ISBLANK(Contrato5[[#This Row],[DEPENDENCIA ]]),0,IFERROR(_xlfn.XLOOKUP(Contrato5[[#This Row],[DEPENDENCIA ]],[2]!PERSONAL_ACTIVO_2024[[#All],[Dependencia]],[2]!PERSONAL_ACTIVO_2024[[#All],[Mail ]],0,0),0))</f>
        <v>0</v>
      </c>
    </row>
    <row r="518" spans="1:43" ht="34.5" customHeight="1">
      <c r="A518" s="125">
        <v>685</v>
      </c>
      <c r="B518" s="124">
        <v>404</v>
      </c>
      <c r="C518" s="162" t="s">
        <v>1330</v>
      </c>
      <c r="D518" s="227" t="s">
        <v>493</v>
      </c>
      <c r="E518" s="61" t="s">
        <v>94</v>
      </c>
      <c r="F518" s="518" t="s">
        <v>161</v>
      </c>
      <c r="G518" s="281" t="s">
        <v>2641</v>
      </c>
      <c r="H518" s="436">
        <v>890980040</v>
      </c>
      <c r="I518" s="273" t="s">
        <v>42</v>
      </c>
      <c r="J518" s="505">
        <v>189600000</v>
      </c>
      <c r="K518" s="131" t="s">
        <v>42</v>
      </c>
      <c r="L518" s="438" t="s">
        <v>2443</v>
      </c>
      <c r="M518" s="194" t="s">
        <v>799</v>
      </c>
      <c r="N518" s="177" t="e" cm="1">
        <f t="array" aca="1" ref="N518" ca="1">_xlfn.XLOOKUP(Contrato5[[#This Row],[SUPERVISOR TITULAR]],[2]!PERSONAL_ACTIVO_2024[[#All],[Nombre completo]],[2]!PERSONAL_ACTIVO_2024[[#All],[Documento identidad]],"",0)</f>
        <v>#NAME?</v>
      </c>
      <c r="O518" s="194" t="s">
        <v>503</v>
      </c>
      <c r="P518" s="196" t="e" cm="1">
        <f t="array" aca="1" ref="P518" ca="1">_xlfn.XLOOKUP(Contrato5[[#This Row],[SUPERVISOR SUPLENTE ]],[2]!PERSONAL_ACTIVO_2024[[#All],[Nombre completo]],[2]!PERSONAL_ACTIVO_2024[[#All],[Documento identidad]],"",0)</f>
        <v>#NAME?</v>
      </c>
      <c r="Q518" s="170">
        <v>565</v>
      </c>
      <c r="R518" s="137" t="e" cm="1">
        <f t="array" aca="1" ref="R518" ca="1">_xlfn.XLOOKUP(Contrato5[[#This Row],[CDP]],[2]!DISPONIBILIDADES_2024[[#All],[consecutivo]],[2]!DISPONIBILIDADES_2024[[#All],[fecha_aprobacion]],"",0)</f>
        <v>#NAME?</v>
      </c>
      <c r="S518" s="138" t="e">
        <f>SUMIF([2]!DISPONIBILIDADES_2024[[#All],[consecutivo]],Contrato5[[#This Row],[CDP]],[2]!DISPONIBILIDADES_2024[[#All],[valor_total_rubro]])</f>
        <v>#REF!</v>
      </c>
      <c r="T518" s="139" t="e" cm="1">
        <f t="array" aca="1" ref="T518" ca="1">_xlfn.XLOOKUP(Contrato5[[#This Row],[CONTRATO]]&amp;Contrato5[[#This Row],[CDP]],[2]!Corr_Contr_CDP[[#All],[CONTRATO-CDP]],[2]!Corr_Contr_CDP[[#All],[CRP]],_xlfn.XLOOKUP(Contrato5[[#This Row],[CDP]],[2]!COMPROMISOS_2024[[#All],[disponibilidad]],[2]!COMPROMISOS_2024[[#All],[consecutivo]],"",0),0)</f>
        <v>#NAME?</v>
      </c>
      <c r="U518" s="140" t="e" cm="1">
        <f t="array" aca="1" ref="U518" ca="1">+_xlfn.XLOOKUP(Contrato5[[#This Row],[RCP]],[2]!COMPROMISOS_2024[[#All],[consecutivo]],[2]!COMPROMISOS_2024[[#All],[fecha_aprobacion]],"",0)</f>
        <v>#NAME?</v>
      </c>
      <c r="V518" s="141" t="e">
        <f ca="1">SUMIF([2]!COMPROMISOS_2024[[#All],[consecutivo]],Contrato5[[#This Row],[RCP]],[2]!COMPROMISOS_2024[[#All],[valor_total]])</f>
        <v>#REF!</v>
      </c>
      <c r="W518" s="415">
        <v>45498</v>
      </c>
      <c r="X518" s="415">
        <v>45506</v>
      </c>
      <c r="Y518" s="143">
        <v>45509</v>
      </c>
      <c r="Z518" s="262">
        <v>45688</v>
      </c>
      <c r="AA518" s="519" t="s">
        <v>2705</v>
      </c>
      <c r="AB518" s="172" t="s">
        <v>640</v>
      </c>
      <c r="AC518" s="172"/>
      <c r="AD518" s="211">
        <v>202000005008</v>
      </c>
      <c r="AE518" s="147" t="s">
        <v>523</v>
      </c>
      <c r="AF518" s="148" t="str">
        <f>TEXT(LEFT(Contrato5[[#This Row],[CONTRATO]],3),"0")</f>
        <v>404</v>
      </c>
      <c r="AG518" s="148" t="str">
        <f>IF(LEN(Contrato5[[#This Row],[Contrato2]])=3,Contrato5[[#This Row],[Contrato2]],TEXT(Contrato5[[#This Row],[Contrato2]],"000"))</f>
        <v>404</v>
      </c>
      <c r="AH518" s="149">
        <f ca="1">IFERROR(_xlfn.DAYS(Contrato5[[#This Row],[Fecha Proyectada liquidación]],TODAY())/30,"")</f>
        <v>1.6666666666666667</v>
      </c>
      <c r="AI518" s="150">
        <f>+Contrato5[[#This Row],[FECHA TERMINACIÓN ]]+120</f>
        <v>45808</v>
      </c>
      <c r="AJ518" s="147"/>
      <c r="AK518" s="152" t="str">
        <f ca="1">IF(Contrato5[[#This Row],[FECHA TERMINACIÓN ]]&lt;TODAY(), "Terminado",IF(ISNUMBER(Contrato5[[#This Row],[Fecha Real de liquiidación ]]),"Liquidado",IF(Contrato5[[#This Row],[FECHA TERMINACIÓN ]]&gt;=TODAY(),"En ejecución","")))</f>
        <v>Terminado</v>
      </c>
      <c r="AL518" s="153" t="e">
        <f ca="1">SUMIF([2]!COMPROMISOS_2024[[#All],[consecutivo]],Contrato5[[#This Row],[RCP]],[2]!COMPROMISOS_2024[[#All],[Total pagado]])</f>
        <v>#REF!</v>
      </c>
      <c r="AM518" s="154">
        <f ca="1">IFERROR(Contrato5[[#This Row],[Pagos]]/Contrato5[[#This Row],[VALOR CONTRATO]],0)</f>
        <v>0</v>
      </c>
      <c r="AN518" s="198" t="e">
        <f ca="1">+Contrato5[[#This Row],[VALOR CONTRATO]]-Contrato5[[#This Row],[Pagos]]</f>
        <v>#REF!</v>
      </c>
      <c r="AO518" s="147" t="e" cm="1">
        <f t="array" aca="1" ref="AO518" ca="1">_xlfn.XLOOKUP(Contrato5[[#This Row],[DOCUMENTO ]],[2]!PERSONAL_ACTIVO_2024[[#All],[Documento identidad]],[2]!PERSONAL_ACTIVO_2024[[#All],[Mail ]],0,0)</f>
        <v>#NAME?</v>
      </c>
      <c r="AP518" s="147" t="e" cm="1">
        <f t="array" aca="1" ref="AP518" ca="1">_xlfn.XLOOKUP(Contrato5[[#This Row],[DOCUMENTO]],[2]!PERSONAL_ACTIVO_2024[[#All],[Documento identidad]],[2]!PERSONAL_ACTIVO_2024[[#All],[Mail ]],0,0)</f>
        <v>#NAME?</v>
      </c>
      <c r="AQ518" s="439" cm="1">
        <f t="array" aca="1" ref="AQ518" ca="1">IF(ISBLANK(Contrato5[[#This Row],[DEPENDENCIA ]]),0,IFERROR(_xlfn.XLOOKUP(Contrato5[[#This Row],[DEPENDENCIA ]],[2]!PERSONAL_ACTIVO_2024[[#All],[Dependencia]],[2]!PERSONAL_ACTIVO_2024[[#All],[Mail ]],0,0),0))</f>
        <v>0</v>
      </c>
    </row>
    <row r="519" spans="1:43" ht="34.5" customHeight="1">
      <c r="A519" s="125">
        <v>762</v>
      </c>
      <c r="B519" s="124">
        <v>405</v>
      </c>
      <c r="C519" s="162" t="s">
        <v>1463</v>
      </c>
      <c r="D519" s="227" t="s">
        <v>536</v>
      </c>
      <c r="E519" s="440" t="s">
        <v>94</v>
      </c>
      <c r="F519" s="227" t="s">
        <v>161</v>
      </c>
      <c r="G519" s="281" t="s">
        <v>2641</v>
      </c>
      <c r="H519" s="436">
        <v>890980040</v>
      </c>
      <c r="I519" s="273" t="s">
        <v>42</v>
      </c>
      <c r="J519" s="437">
        <v>24860000</v>
      </c>
      <c r="K519" s="131" t="s">
        <v>42</v>
      </c>
      <c r="L519" s="438" t="s">
        <v>2443</v>
      </c>
      <c r="M519" s="194" t="s">
        <v>539</v>
      </c>
      <c r="N519" s="177" t="e" cm="1">
        <f t="array" aca="1" ref="N519" ca="1">_xlfn.XLOOKUP(Contrato5[[#This Row],[SUPERVISOR TITULAR]],[2]!PERSONAL_ACTIVO_2024[[#All],[Nombre completo]],[2]!PERSONAL_ACTIVO_2024[[#All],[Documento identidad]],"",0)</f>
        <v>#NAME?</v>
      </c>
      <c r="O519" s="194" t="s">
        <v>538</v>
      </c>
      <c r="P519" s="196" t="e" cm="1">
        <f t="array" aca="1" ref="P519" ca="1">_xlfn.XLOOKUP(Contrato5[[#This Row],[SUPERVISOR SUPLENTE ]],[2]!PERSONAL_ACTIVO_2024[[#All],[Nombre completo]],[2]!PERSONAL_ACTIVO_2024[[#All],[Documento identidad]],"",0)</f>
        <v>#NAME?</v>
      </c>
      <c r="Q519" s="170">
        <v>536</v>
      </c>
      <c r="R519" s="137" t="e" cm="1">
        <f t="array" aca="1" ref="R519" ca="1">_xlfn.XLOOKUP(Contrato5[[#This Row],[CDP]],[2]!DISPONIBILIDADES_2024[[#All],[consecutivo]],[2]!DISPONIBILIDADES_2024[[#All],[fecha_aprobacion]],"",0)</f>
        <v>#NAME?</v>
      </c>
      <c r="S519" s="138" t="e">
        <f>SUMIF([2]!DISPONIBILIDADES_2024[[#All],[consecutivo]],Contrato5[[#This Row],[CDP]],[2]!DISPONIBILIDADES_2024[[#All],[valor_total_rubro]])</f>
        <v>#REF!</v>
      </c>
      <c r="T519" s="139" t="e" cm="1">
        <f t="array" aca="1" ref="T519" ca="1">_xlfn.XLOOKUP(Contrato5[[#This Row],[CONTRATO]]&amp;Contrato5[[#This Row],[CDP]],[2]!Corr_Contr_CDP[[#All],[CONTRATO-CDP]],[2]!Corr_Contr_CDP[[#All],[CRP]],_xlfn.XLOOKUP(Contrato5[[#This Row],[CDP]],[2]!COMPROMISOS_2024[[#All],[disponibilidad]],[2]!COMPROMISOS_2024[[#All],[consecutivo]],"",0),0)</f>
        <v>#NAME?</v>
      </c>
      <c r="U519" s="140" t="e" cm="1">
        <f t="array" aca="1" ref="U519" ca="1">+_xlfn.XLOOKUP(Contrato5[[#This Row],[RCP]],[2]!COMPROMISOS_2024[[#All],[consecutivo]],[2]!COMPROMISOS_2024[[#All],[fecha_aprobacion]],"",0)</f>
        <v>#NAME?</v>
      </c>
      <c r="V519" s="141" t="e">
        <f ca="1">SUMIF([2]!COMPROMISOS_2024[[#All],[consecutivo]],Contrato5[[#This Row],[RCP]],[2]!COMPROMISOS_2024[[#All],[valor_total]])</f>
        <v>#REF!</v>
      </c>
      <c r="W519" s="415">
        <v>45481</v>
      </c>
      <c r="X519" s="415">
        <v>45489</v>
      </c>
      <c r="Y519" s="143">
        <v>45491</v>
      </c>
      <c r="Z519" s="262">
        <v>45575</v>
      </c>
      <c r="AA519" s="171" t="s">
        <v>2706</v>
      </c>
      <c r="AB519" s="172" t="s">
        <v>529</v>
      </c>
      <c r="AC519" s="172"/>
      <c r="AD519" s="211">
        <v>202000004611</v>
      </c>
      <c r="AE519" s="147" t="s">
        <v>523</v>
      </c>
      <c r="AF519" s="148" t="str">
        <f>TEXT(LEFT(Contrato5[[#This Row],[CONTRATO]],3),"0")</f>
        <v>405</v>
      </c>
      <c r="AG519" s="148" t="str">
        <f>IF(LEN(Contrato5[[#This Row],[Contrato2]])=3,Contrato5[[#This Row],[Contrato2]],TEXT(Contrato5[[#This Row],[Contrato2]],"000"))</f>
        <v>405</v>
      </c>
      <c r="AH519" s="149">
        <f ca="1">IFERROR(_xlfn.DAYS(Contrato5[[#This Row],[Fecha Proyectada liquidación]],TODAY())/30,"")</f>
        <v>-2.1</v>
      </c>
      <c r="AI519" s="150">
        <f>+Contrato5[[#This Row],[FECHA TERMINACIÓN ]]+120</f>
        <v>45695</v>
      </c>
      <c r="AJ519" s="147"/>
      <c r="AK519" s="152" t="str">
        <f ca="1">IF(Contrato5[[#This Row],[FECHA TERMINACIÓN ]]&lt;TODAY(), "Terminado",IF(ISNUMBER(Contrato5[[#This Row],[Fecha Real de liquiidación ]]),"Liquidado",IF(Contrato5[[#This Row],[FECHA TERMINACIÓN ]]&gt;=TODAY(),"En ejecución","")))</f>
        <v>Terminado</v>
      </c>
      <c r="AL519" s="153" t="e">
        <f ca="1">SUMIF([2]!COMPROMISOS_2024[[#All],[consecutivo]],Contrato5[[#This Row],[RCP]],[2]!COMPROMISOS_2024[[#All],[Total pagado]])</f>
        <v>#REF!</v>
      </c>
      <c r="AM519" s="154">
        <f ca="1">IFERROR(Contrato5[[#This Row],[Pagos]]/Contrato5[[#This Row],[VALOR CONTRATO]],0)</f>
        <v>0</v>
      </c>
      <c r="AN519" s="198" t="e">
        <f ca="1">+Contrato5[[#This Row],[VALOR CONTRATO]]-Contrato5[[#This Row],[Pagos]]</f>
        <v>#REF!</v>
      </c>
      <c r="AO519" s="147" t="e" cm="1">
        <f t="array" aca="1" ref="AO519" ca="1">_xlfn.XLOOKUP(Contrato5[[#This Row],[DOCUMENTO ]],[2]!PERSONAL_ACTIVO_2024[[#All],[Documento identidad]],[2]!PERSONAL_ACTIVO_2024[[#All],[Mail ]],0,0)</f>
        <v>#NAME?</v>
      </c>
      <c r="AP519" s="147" t="e" cm="1">
        <f t="array" aca="1" ref="AP519" ca="1">_xlfn.XLOOKUP(Contrato5[[#This Row],[DOCUMENTO]],[2]!PERSONAL_ACTIVO_2024[[#All],[Documento identidad]],[2]!PERSONAL_ACTIVO_2024[[#All],[Mail ]],0,0)</f>
        <v>#NAME?</v>
      </c>
      <c r="AQ519" s="439" cm="1">
        <f t="array" aca="1" ref="AQ519" ca="1">IF(ISBLANK(Contrato5[[#This Row],[DEPENDENCIA ]]),0,IFERROR(_xlfn.XLOOKUP(Contrato5[[#This Row],[DEPENDENCIA ]],[2]!PERSONAL_ACTIVO_2024[[#All],[Dependencia]],[2]!PERSONAL_ACTIVO_2024[[#All],[Mail ]],0,0),0))</f>
        <v>0</v>
      </c>
    </row>
    <row r="520" spans="1:43" ht="34.5" customHeight="1">
      <c r="A520" s="125">
        <v>703</v>
      </c>
      <c r="B520" s="124">
        <v>406</v>
      </c>
      <c r="C520" s="162" t="s">
        <v>1759</v>
      </c>
      <c r="D520" s="227" t="s">
        <v>583</v>
      </c>
      <c r="E520" s="440" t="s">
        <v>94</v>
      </c>
      <c r="F520" s="227" t="s">
        <v>222</v>
      </c>
      <c r="G520" s="281" t="s">
        <v>2707</v>
      </c>
      <c r="H520" s="436">
        <v>890983937</v>
      </c>
      <c r="I520" s="273" t="s">
        <v>42</v>
      </c>
      <c r="J520" s="437">
        <v>120000000</v>
      </c>
      <c r="K520" s="131" t="s">
        <v>42</v>
      </c>
      <c r="L520" s="438" t="s">
        <v>2443</v>
      </c>
      <c r="M520" s="194" t="s">
        <v>586</v>
      </c>
      <c r="N520" s="177" t="e" cm="1">
        <f t="array" aca="1" ref="N520" ca="1">_xlfn.XLOOKUP(Contrato5[[#This Row],[SUPERVISOR TITULAR]],[2]!PERSONAL_ACTIVO_2024[[#All],[Nombre completo]],[2]!PERSONAL_ACTIVO_2024[[#All],[Documento identidad]],"",0)</f>
        <v>#NAME?</v>
      </c>
      <c r="O520" s="194" t="s">
        <v>589</v>
      </c>
      <c r="P520" s="196" t="e" cm="1">
        <f t="array" aca="1" ref="P520" ca="1">_xlfn.XLOOKUP(Contrato5[[#This Row],[SUPERVISOR SUPLENTE ]],[2]!PERSONAL_ACTIVO_2024[[#All],[Nombre completo]],[2]!PERSONAL_ACTIVO_2024[[#All],[Documento identidad]],"",0)</f>
        <v>#NAME?</v>
      </c>
      <c r="Q520" s="170">
        <v>587</v>
      </c>
      <c r="R520" s="137" t="e" cm="1">
        <f t="array" aca="1" ref="R520" ca="1">_xlfn.XLOOKUP(Contrato5[[#This Row],[CDP]],[2]!DISPONIBILIDADES_2024[[#All],[consecutivo]],[2]!DISPONIBILIDADES_2024[[#All],[fecha_aprobacion]],"",0)</f>
        <v>#NAME?</v>
      </c>
      <c r="S520" s="138" t="e">
        <f>SUMIF([2]!DISPONIBILIDADES_2024[[#All],[consecutivo]],Contrato5[[#This Row],[CDP]],[2]!DISPONIBILIDADES_2024[[#All],[valor_total_rubro]])</f>
        <v>#REF!</v>
      </c>
      <c r="T520" s="139" t="e" cm="1">
        <f t="array" aca="1" ref="T520" ca="1">_xlfn.XLOOKUP(Contrato5[[#This Row],[CONTRATO]]&amp;Contrato5[[#This Row],[CDP]],[2]!Corr_Contr_CDP[[#All],[CONTRATO-CDP]],[2]!Corr_Contr_CDP[[#All],[CRP]],_xlfn.XLOOKUP(Contrato5[[#This Row],[CDP]],[2]!COMPROMISOS_2024[[#All],[disponibilidad]],[2]!COMPROMISOS_2024[[#All],[consecutivo]],"",0),0)</f>
        <v>#NAME?</v>
      </c>
      <c r="U520" s="140" t="e" cm="1">
        <f t="array" aca="1" ref="U520" ca="1">+_xlfn.XLOOKUP(Contrato5[[#This Row],[RCP]],[2]!COMPROMISOS_2024[[#All],[consecutivo]],[2]!COMPROMISOS_2024[[#All],[fecha_aprobacion]],"",0)</f>
        <v>#NAME?</v>
      </c>
      <c r="V520" s="141" t="e">
        <f ca="1">SUMIF([2]!COMPROMISOS_2024[[#All],[consecutivo]],Contrato5[[#This Row],[RCP]],[2]!COMPROMISOS_2024[[#All],[valor_total]])</f>
        <v>#REF!</v>
      </c>
      <c r="W520" s="415">
        <v>45477</v>
      </c>
      <c r="X520" s="415">
        <v>45478</v>
      </c>
      <c r="Y520" s="143">
        <v>45478</v>
      </c>
      <c r="Z520" s="262">
        <v>45656</v>
      </c>
      <c r="AA520" s="183" t="s">
        <v>2708</v>
      </c>
      <c r="AB520" s="172" t="s">
        <v>2709</v>
      </c>
      <c r="AC520" s="172"/>
      <c r="AD520" s="211">
        <v>202000004612</v>
      </c>
      <c r="AE520" s="147" t="s">
        <v>523</v>
      </c>
      <c r="AF520" s="148" t="str">
        <f>TEXT(LEFT(Contrato5[[#This Row],[CONTRATO]],3),"0")</f>
        <v>406</v>
      </c>
      <c r="AG520" s="148" t="str">
        <f>IF(LEN(Contrato5[[#This Row],[Contrato2]])=3,Contrato5[[#This Row],[Contrato2]],TEXT(Contrato5[[#This Row],[Contrato2]],"000"))</f>
        <v>406</v>
      </c>
      <c r="AH520" s="149">
        <f ca="1">IFERROR(_xlfn.DAYS(Contrato5[[#This Row],[Fecha Proyectada liquidación]],TODAY())/30,"")</f>
        <v>0.6</v>
      </c>
      <c r="AI520" s="150">
        <f>+Contrato5[[#This Row],[FECHA TERMINACIÓN ]]+120</f>
        <v>45776</v>
      </c>
      <c r="AJ520" s="147"/>
      <c r="AK520" s="152" t="str">
        <f ca="1">IF(Contrato5[[#This Row],[FECHA TERMINACIÓN ]]&lt;TODAY(), "Terminado",IF(ISNUMBER(Contrato5[[#This Row],[Fecha Real de liquiidación ]]),"Liquidado",IF(Contrato5[[#This Row],[FECHA TERMINACIÓN ]]&gt;=TODAY(),"En ejecución","")))</f>
        <v>Terminado</v>
      </c>
      <c r="AL520" s="153" t="e">
        <f ca="1">SUMIF([2]!COMPROMISOS_2024[[#All],[consecutivo]],Contrato5[[#This Row],[RCP]],[2]!COMPROMISOS_2024[[#All],[Total pagado]])</f>
        <v>#REF!</v>
      </c>
      <c r="AM520" s="154">
        <f ca="1">IFERROR(Contrato5[[#This Row],[Pagos]]/Contrato5[[#This Row],[VALOR CONTRATO]],0)</f>
        <v>0</v>
      </c>
      <c r="AN520" s="198" t="e">
        <f ca="1">+Contrato5[[#This Row],[VALOR CONTRATO]]-Contrato5[[#This Row],[Pagos]]</f>
        <v>#REF!</v>
      </c>
      <c r="AO520" s="147" t="e" cm="1">
        <f t="array" aca="1" ref="AO520" ca="1">_xlfn.XLOOKUP(Contrato5[[#This Row],[DOCUMENTO ]],[2]!PERSONAL_ACTIVO_2024[[#All],[Documento identidad]],[2]!PERSONAL_ACTIVO_2024[[#All],[Mail ]],0,0)</f>
        <v>#NAME?</v>
      </c>
      <c r="AP520" s="147" t="e" cm="1">
        <f t="array" aca="1" ref="AP520" ca="1">_xlfn.XLOOKUP(Contrato5[[#This Row],[DOCUMENTO]],[2]!PERSONAL_ACTIVO_2024[[#All],[Documento identidad]],[2]!PERSONAL_ACTIVO_2024[[#All],[Mail ]],0,0)</f>
        <v>#NAME?</v>
      </c>
      <c r="AQ520" s="439" cm="1">
        <f t="array" aca="1" ref="AQ520" ca="1">IF(ISBLANK(Contrato5[[#This Row],[DEPENDENCIA ]]),0,IFERROR(_xlfn.XLOOKUP(Contrato5[[#This Row],[DEPENDENCIA ]],[2]!PERSONAL_ACTIVO_2024[[#All],[Dependencia]],[2]!PERSONAL_ACTIVO_2024[[#All],[Mail ]],0,0),0))</f>
        <v>0</v>
      </c>
    </row>
    <row r="521" spans="1:43" ht="34.5" customHeight="1">
      <c r="A521" s="125" t="s">
        <v>1863</v>
      </c>
      <c r="B521" s="124">
        <v>407</v>
      </c>
      <c r="C521" s="162" t="s">
        <v>321</v>
      </c>
      <c r="D521" s="227" t="s">
        <v>515</v>
      </c>
      <c r="E521" s="62" t="s">
        <v>264</v>
      </c>
      <c r="F521" s="62" t="s">
        <v>107</v>
      </c>
      <c r="G521" s="289" t="s">
        <v>2710</v>
      </c>
      <c r="H521" s="311">
        <v>900838631</v>
      </c>
      <c r="I521" s="308" t="s">
        <v>42</v>
      </c>
      <c r="J521" s="437">
        <v>1333079384</v>
      </c>
      <c r="K521" s="131" t="s">
        <v>42</v>
      </c>
      <c r="L521" s="438" t="s">
        <v>1094</v>
      </c>
      <c r="M521" s="194" t="s">
        <v>520</v>
      </c>
      <c r="N521" s="177" t="e" cm="1">
        <f t="array" aca="1" ref="N521" ca="1">_xlfn.XLOOKUP(Contrato5[[#This Row],[SUPERVISOR TITULAR]],[2]!PERSONAL_ACTIVO_2024[[#All],[Nombre completo]],[2]!PERSONAL_ACTIVO_2024[[#All],[Documento identidad]],"",0)</f>
        <v>#NAME?</v>
      </c>
      <c r="O521" s="194" t="s">
        <v>867</v>
      </c>
      <c r="P521" s="196" t="e" cm="1">
        <f t="array" aca="1" ref="P521" ca="1">_xlfn.XLOOKUP(Contrato5[[#This Row],[SUPERVISOR SUPLENTE ]],[2]!PERSONAL_ACTIVO_2024[[#All],[Nombre completo]],[2]!PERSONAL_ACTIVO_2024[[#All],[Documento identidad]],"",0)</f>
        <v>#NAME?</v>
      </c>
      <c r="Q521" s="170">
        <v>382</v>
      </c>
      <c r="R521" s="137" t="e" cm="1">
        <f t="array" aca="1" ref="R521" ca="1">_xlfn.XLOOKUP(Contrato5[[#This Row],[CDP]],[2]!DISPONIBILIDADES_2024[[#All],[consecutivo]],[2]!DISPONIBILIDADES_2024[[#All],[fecha_aprobacion]],"",0)</f>
        <v>#NAME?</v>
      </c>
      <c r="S521" s="138" t="e">
        <f>SUMIF([2]!DISPONIBILIDADES_2024[[#All],[consecutivo]],Contrato5[[#This Row],[CDP]],[2]!DISPONIBILIDADES_2024[[#All],[valor_total_rubro]])</f>
        <v>#REF!</v>
      </c>
      <c r="T521" s="139" t="e" cm="1">
        <f t="array" aca="1" ref="T521" ca="1">_xlfn.XLOOKUP(Contrato5[[#This Row],[CONTRATO]]&amp;Contrato5[[#This Row],[CDP]],[2]!Corr_Contr_CDP[[#All],[CONTRATO-CDP]],[2]!Corr_Contr_CDP[[#All],[CRP]],_xlfn.XLOOKUP(Contrato5[[#This Row],[CDP]],[2]!COMPROMISOS_2024[[#All],[disponibilidad]],[2]!COMPROMISOS_2024[[#All],[consecutivo]],"",0),0)</f>
        <v>#NAME?</v>
      </c>
      <c r="U521" s="140" t="e" cm="1">
        <f t="array" aca="1" ref="U521" ca="1">+_xlfn.XLOOKUP(Contrato5[[#This Row],[RCP]],[2]!COMPROMISOS_2024[[#All],[consecutivo]],[2]!COMPROMISOS_2024[[#All],[fecha_aprobacion]],"",0)</f>
        <v>#NAME?</v>
      </c>
      <c r="V521" s="141" t="e">
        <f ca="1">SUMIF([2]!COMPROMISOS_2024[[#All],[consecutivo]],Contrato5[[#This Row],[RCP]],[2]!COMPROMISOS_2024[[#All],[valor_total]])</f>
        <v>#REF!</v>
      </c>
      <c r="W521" s="415">
        <v>45485</v>
      </c>
      <c r="X521" s="415">
        <v>45490</v>
      </c>
      <c r="Y521" s="143">
        <v>45491</v>
      </c>
      <c r="Z521" s="262">
        <v>45565</v>
      </c>
      <c r="AA521" s="171" t="s">
        <v>2711</v>
      </c>
      <c r="AB521" s="172" t="s">
        <v>500</v>
      </c>
      <c r="AC521" s="172"/>
      <c r="AD521" s="425">
        <v>202000004614</v>
      </c>
      <c r="AE521" s="147" t="s">
        <v>523</v>
      </c>
      <c r="AF521" s="148" t="str">
        <f>TEXT(LEFT(Contrato5[[#This Row],[CONTRATO]],3),"0")</f>
        <v>407</v>
      </c>
      <c r="AG521" s="148" t="str">
        <f>IF(LEN(Contrato5[[#This Row],[Contrato2]])=3,Contrato5[[#This Row],[Contrato2]],TEXT(Contrato5[[#This Row],[Contrato2]],"000"))</f>
        <v>407</v>
      </c>
      <c r="AH521" s="149">
        <f ca="1">IFERROR(_xlfn.DAYS(Contrato5[[#This Row],[Fecha Proyectada liquidación]],TODAY())/30,"")</f>
        <v>-2.4333333333333331</v>
      </c>
      <c r="AI521" s="150">
        <f>+Contrato5[[#This Row],[FECHA TERMINACIÓN ]]+120</f>
        <v>45685</v>
      </c>
      <c r="AJ521" s="147"/>
      <c r="AK521" s="152" t="str">
        <f ca="1">IF(Contrato5[[#This Row],[FECHA TERMINACIÓN ]]&lt;TODAY(), "Terminado",IF(ISNUMBER(Contrato5[[#This Row],[Fecha Real de liquiidación ]]),"Liquidado",IF(Contrato5[[#This Row],[FECHA TERMINACIÓN ]]&gt;=TODAY(),"En ejecución","")))</f>
        <v>Terminado</v>
      </c>
      <c r="AL521" s="153" t="e">
        <f ca="1">SUMIF([2]!COMPROMISOS_2024[[#All],[consecutivo]],Contrato5[[#This Row],[RCP]],[2]!COMPROMISOS_2024[[#All],[Total pagado]])</f>
        <v>#REF!</v>
      </c>
      <c r="AM521" s="154">
        <f ca="1">IFERROR(Contrato5[[#This Row],[Pagos]]/Contrato5[[#This Row],[VALOR CONTRATO]],0)</f>
        <v>0</v>
      </c>
      <c r="AN521" s="198" t="e">
        <f ca="1">+Contrato5[[#This Row],[VALOR CONTRATO]]-Contrato5[[#This Row],[Pagos]]</f>
        <v>#REF!</v>
      </c>
      <c r="AO521" s="147" t="e" cm="1">
        <f t="array" aca="1" ref="AO521" ca="1">_xlfn.XLOOKUP(Contrato5[[#This Row],[DOCUMENTO ]],[2]!PERSONAL_ACTIVO_2024[[#All],[Documento identidad]],[2]!PERSONAL_ACTIVO_2024[[#All],[Mail ]],0,0)</f>
        <v>#NAME?</v>
      </c>
      <c r="AP521" s="147" t="e" cm="1">
        <f t="array" aca="1" ref="AP521" ca="1">_xlfn.XLOOKUP(Contrato5[[#This Row],[DOCUMENTO]],[2]!PERSONAL_ACTIVO_2024[[#All],[Documento identidad]],[2]!PERSONAL_ACTIVO_2024[[#All],[Mail ]],0,0)</f>
        <v>#NAME?</v>
      </c>
      <c r="AQ521" s="439" cm="1">
        <f t="array" aca="1" ref="AQ521" ca="1">IF(ISBLANK(Contrato5[[#This Row],[DEPENDENCIA ]]),0,IFERROR(_xlfn.XLOOKUP(Contrato5[[#This Row],[DEPENDENCIA ]],[2]!PERSONAL_ACTIVO_2024[[#All],[Dependencia]],[2]!PERSONAL_ACTIVO_2024[[#All],[Mail ]],0,0),0))</f>
        <v>0</v>
      </c>
    </row>
    <row r="522" spans="1:43" ht="34.5" customHeight="1">
      <c r="A522" s="125" t="s">
        <v>1869</v>
      </c>
      <c r="B522" s="124">
        <v>408</v>
      </c>
      <c r="C522" s="162" t="s">
        <v>321</v>
      </c>
      <c r="D522" s="227" t="s">
        <v>515</v>
      </c>
      <c r="E522" s="62" t="s">
        <v>264</v>
      </c>
      <c r="F522" s="520" t="s">
        <v>107</v>
      </c>
      <c r="G522" s="281" t="s">
        <v>2712</v>
      </c>
      <c r="H522" s="436">
        <v>900409231</v>
      </c>
      <c r="I522" s="273" t="s">
        <v>42</v>
      </c>
      <c r="J522" s="521">
        <v>570000000</v>
      </c>
      <c r="K522" s="131" t="s">
        <v>42</v>
      </c>
      <c r="L522" s="438" t="s">
        <v>1094</v>
      </c>
      <c r="M522" s="194" t="s">
        <v>893</v>
      </c>
      <c r="N522" s="177" t="e" cm="1">
        <f t="array" aca="1" ref="N522" ca="1">_xlfn.XLOOKUP(Contrato5[[#This Row],[SUPERVISOR TITULAR]],[2]!PERSONAL_ACTIVO_2024[[#All],[Nombre completo]],[2]!PERSONAL_ACTIVO_2024[[#All],[Documento identidad]],"",0)</f>
        <v>#NAME?</v>
      </c>
      <c r="O522" s="194" t="s">
        <v>906</v>
      </c>
      <c r="P522" s="196" t="e" cm="1">
        <f t="array" aca="1" ref="P522" ca="1">_xlfn.XLOOKUP(Contrato5[[#This Row],[SUPERVISOR SUPLENTE ]],[2]!PERSONAL_ACTIVO_2024[[#All],[Nombre completo]],[2]!PERSONAL_ACTIVO_2024[[#All],[Documento identidad]],"",0)</f>
        <v>#NAME?</v>
      </c>
      <c r="Q522" s="170">
        <v>382</v>
      </c>
      <c r="R522" s="137" t="e" cm="1">
        <f t="array" aca="1" ref="R522" ca="1">_xlfn.XLOOKUP(Contrato5[[#This Row],[CDP]],[2]!DISPONIBILIDADES_2024[[#All],[consecutivo]],[2]!DISPONIBILIDADES_2024[[#All],[fecha_aprobacion]],"",0)</f>
        <v>#NAME?</v>
      </c>
      <c r="S522" s="138" t="e">
        <f>SUMIF([2]!DISPONIBILIDADES_2024[[#All],[consecutivo]],Contrato5[[#This Row],[CDP]],[2]!DISPONIBILIDADES_2024[[#All],[valor_total_rubro]])</f>
        <v>#REF!</v>
      </c>
      <c r="T522" s="139" t="e" cm="1">
        <f t="array" aca="1" ref="T522" ca="1">_xlfn.XLOOKUP(Contrato5[[#This Row],[CONTRATO]]&amp;Contrato5[[#This Row],[CDP]],[2]!Corr_Contr_CDP[[#All],[CONTRATO-CDP]],[2]!Corr_Contr_CDP[[#All],[CRP]],_xlfn.XLOOKUP(Contrato5[[#This Row],[CDP]],[2]!COMPROMISOS_2024[[#All],[disponibilidad]],[2]!COMPROMISOS_2024[[#All],[consecutivo]],"",0),0)</f>
        <v>#NAME?</v>
      </c>
      <c r="U522" s="140" t="e" cm="1">
        <f t="array" aca="1" ref="U522" ca="1">+_xlfn.XLOOKUP(Contrato5[[#This Row],[RCP]],[2]!COMPROMISOS_2024[[#All],[consecutivo]],[2]!COMPROMISOS_2024[[#All],[fecha_aprobacion]],"",0)</f>
        <v>#NAME?</v>
      </c>
      <c r="V522" s="141" t="e">
        <f ca="1">SUMIF([2]!COMPROMISOS_2024[[#All],[consecutivo]],Contrato5[[#This Row],[RCP]],[2]!COMPROMISOS_2024[[#All],[valor_total]])</f>
        <v>#REF!</v>
      </c>
      <c r="W522" s="415">
        <v>45485</v>
      </c>
      <c r="X522" s="415">
        <v>45491</v>
      </c>
      <c r="Y522" s="143">
        <v>45491</v>
      </c>
      <c r="Z522" s="262">
        <v>45565</v>
      </c>
      <c r="AA522" s="171" t="s">
        <v>2711</v>
      </c>
      <c r="AB522" s="172" t="s">
        <v>2567</v>
      </c>
      <c r="AC522" s="172"/>
      <c r="AD522" s="211">
        <v>202000004667</v>
      </c>
      <c r="AE522" s="147" t="s">
        <v>523</v>
      </c>
      <c r="AF522" s="148" t="str">
        <f>TEXT(LEFT(Contrato5[[#This Row],[CONTRATO]],3),"0")</f>
        <v>408</v>
      </c>
      <c r="AG522" s="148" t="str">
        <f>IF(LEN(Contrato5[[#This Row],[Contrato2]])=3,Contrato5[[#This Row],[Contrato2]],TEXT(Contrato5[[#This Row],[Contrato2]],"000"))</f>
        <v>408</v>
      </c>
      <c r="AH522" s="149">
        <f ca="1">IFERROR(_xlfn.DAYS(Contrato5[[#This Row],[Fecha Proyectada liquidación]],TODAY())/30,"")</f>
        <v>-2.4333333333333331</v>
      </c>
      <c r="AI522" s="150">
        <f>+Contrato5[[#This Row],[FECHA TERMINACIÓN ]]+120</f>
        <v>45685</v>
      </c>
      <c r="AJ522" s="147"/>
      <c r="AK522" s="152" t="str">
        <f ca="1">IF(Contrato5[[#This Row],[FECHA TERMINACIÓN ]]&lt;TODAY(), "Terminado",IF(ISNUMBER(Contrato5[[#This Row],[Fecha Real de liquiidación ]]),"Liquidado",IF(Contrato5[[#This Row],[FECHA TERMINACIÓN ]]&gt;=TODAY(),"En ejecución","")))</f>
        <v>Terminado</v>
      </c>
      <c r="AL522" s="153" t="e">
        <f ca="1">SUMIF([2]!COMPROMISOS_2024[[#All],[consecutivo]],Contrato5[[#This Row],[RCP]],[2]!COMPROMISOS_2024[[#All],[Total pagado]])</f>
        <v>#REF!</v>
      </c>
      <c r="AM522" s="154">
        <f ca="1">IFERROR(Contrato5[[#This Row],[Pagos]]/Contrato5[[#This Row],[VALOR CONTRATO]],0)</f>
        <v>0</v>
      </c>
      <c r="AN522" s="198" t="e">
        <f ca="1">+Contrato5[[#This Row],[VALOR CONTRATO]]-Contrato5[[#This Row],[Pagos]]</f>
        <v>#REF!</v>
      </c>
      <c r="AO522" s="147" t="e" cm="1">
        <f t="array" aca="1" ref="AO522" ca="1">_xlfn.XLOOKUP(Contrato5[[#This Row],[DOCUMENTO ]],[2]!PERSONAL_ACTIVO_2024[[#All],[Documento identidad]],[2]!PERSONAL_ACTIVO_2024[[#All],[Mail ]],0,0)</f>
        <v>#NAME?</v>
      </c>
      <c r="AP522" s="147" t="e" cm="1">
        <f t="array" aca="1" ref="AP522" ca="1">_xlfn.XLOOKUP(Contrato5[[#This Row],[DOCUMENTO]],[2]!PERSONAL_ACTIVO_2024[[#All],[Documento identidad]],[2]!PERSONAL_ACTIVO_2024[[#All],[Mail ]],0,0)</f>
        <v>#NAME?</v>
      </c>
      <c r="AQ522" s="439" cm="1">
        <f t="array" aca="1" ref="AQ522" ca="1">IF(ISBLANK(Contrato5[[#This Row],[DEPENDENCIA ]]),0,IFERROR(_xlfn.XLOOKUP(Contrato5[[#This Row],[DEPENDENCIA ]],[2]!PERSONAL_ACTIVO_2024[[#All],[Dependencia]],[2]!PERSONAL_ACTIVO_2024[[#All],[Mail ]],0,0),0))</f>
        <v>0</v>
      </c>
    </row>
    <row r="523" spans="1:43" ht="34.5" customHeight="1">
      <c r="A523" s="125" t="s">
        <v>1849</v>
      </c>
      <c r="B523" s="124">
        <v>409</v>
      </c>
      <c r="C523" s="162" t="s">
        <v>321</v>
      </c>
      <c r="D523" s="227" t="s">
        <v>515</v>
      </c>
      <c r="E523" s="62" t="s">
        <v>264</v>
      </c>
      <c r="F523" s="520" t="s">
        <v>107</v>
      </c>
      <c r="G523" s="281" t="s">
        <v>2674</v>
      </c>
      <c r="H523" s="436">
        <v>901841641</v>
      </c>
      <c r="I523" s="273" t="s">
        <v>42</v>
      </c>
      <c r="J523" s="521">
        <v>482814600</v>
      </c>
      <c r="K523" s="131" t="s">
        <v>42</v>
      </c>
      <c r="L523" s="438" t="s">
        <v>1094</v>
      </c>
      <c r="M523" s="194" t="s">
        <v>852</v>
      </c>
      <c r="N523" s="177" t="e" cm="1">
        <f t="array" aca="1" ref="N523" ca="1">_xlfn.XLOOKUP(Contrato5[[#This Row],[SUPERVISOR TITULAR]],[2]!PERSONAL_ACTIVO_2024[[#All],[Nombre completo]],[2]!PERSONAL_ACTIVO_2024[[#All],[Documento identidad]],"",0)</f>
        <v>#NAME?</v>
      </c>
      <c r="O523" s="194" t="s">
        <v>954</v>
      </c>
      <c r="P523" s="196" t="e" cm="1">
        <f t="array" aca="1" ref="P523" ca="1">_xlfn.XLOOKUP(Contrato5[[#This Row],[SUPERVISOR SUPLENTE ]],[2]!PERSONAL_ACTIVO_2024[[#All],[Nombre completo]],[2]!PERSONAL_ACTIVO_2024[[#All],[Documento identidad]],"",0)</f>
        <v>#NAME?</v>
      </c>
      <c r="Q523" s="170">
        <v>382</v>
      </c>
      <c r="R523" s="137" t="e" cm="1">
        <f t="array" aca="1" ref="R523" ca="1">_xlfn.XLOOKUP(Contrato5[[#This Row],[CDP]],[2]!DISPONIBILIDADES_2024[[#All],[consecutivo]],[2]!DISPONIBILIDADES_2024[[#All],[fecha_aprobacion]],"",0)</f>
        <v>#NAME?</v>
      </c>
      <c r="S523" s="138" t="e">
        <f>SUMIF([2]!DISPONIBILIDADES_2024[[#All],[consecutivo]],Contrato5[[#This Row],[CDP]],[2]!DISPONIBILIDADES_2024[[#All],[valor_total_rubro]])</f>
        <v>#REF!</v>
      </c>
      <c r="T523" s="139" t="e" cm="1">
        <f t="array" aca="1" ref="T523" ca="1">_xlfn.XLOOKUP(Contrato5[[#This Row],[CONTRATO]]&amp;Contrato5[[#This Row],[CDP]],[2]!Corr_Contr_CDP[[#All],[CONTRATO-CDP]],[2]!Corr_Contr_CDP[[#All],[CRP]],_xlfn.XLOOKUP(Contrato5[[#This Row],[CDP]],[2]!COMPROMISOS_2024[[#All],[disponibilidad]],[2]!COMPROMISOS_2024[[#All],[consecutivo]],"",0),0)</f>
        <v>#NAME?</v>
      </c>
      <c r="U523" s="140" t="e" cm="1">
        <f t="array" aca="1" ref="U523" ca="1">+_xlfn.XLOOKUP(Contrato5[[#This Row],[RCP]],[2]!COMPROMISOS_2024[[#All],[consecutivo]],[2]!COMPROMISOS_2024[[#All],[fecha_aprobacion]],"",0)</f>
        <v>#NAME?</v>
      </c>
      <c r="V523" s="141" t="e">
        <f ca="1">SUMIF([2]!COMPROMISOS_2024[[#All],[consecutivo]],Contrato5[[#This Row],[RCP]],[2]!COMPROMISOS_2024[[#All],[valor_total]])</f>
        <v>#REF!</v>
      </c>
      <c r="W523" s="415">
        <v>45485</v>
      </c>
      <c r="X523" s="415">
        <v>45492</v>
      </c>
      <c r="Y523" s="143">
        <v>45496</v>
      </c>
      <c r="Z523" s="262">
        <v>45565</v>
      </c>
      <c r="AA523" s="171" t="s">
        <v>2711</v>
      </c>
      <c r="AB523" s="172" t="s">
        <v>2567</v>
      </c>
      <c r="AC523" s="172"/>
      <c r="AD523" s="211">
        <v>202000004615</v>
      </c>
      <c r="AE523" s="147" t="s">
        <v>523</v>
      </c>
      <c r="AF523" s="148" t="str">
        <f>TEXT(LEFT(Contrato5[[#This Row],[CONTRATO]],3),"0")</f>
        <v>409</v>
      </c>
      <c r="AG523" s="148" t="str">
        <f>IF(LEN(Contrato5[[#This Row],[Contrato2]])=3,Contrato5[[#This Row],[Contrato2]],TEXT(Contrato5[[#This Row],[Contrato2]],"000"))</f>
        <v>409</v>
      </c>
      <c r="AH523" s="149">
        <f ca="1">IFERROR(_xlfn.DAYS(Contrato5[[#This Row],[Fecha Proyectada liquidación]],TODAY())/30,"")</f>
        <v>-2.4333333333333331</v>
      </c>
      <c r="AI523" s="150">
        <f>+Contrato5[[#This Row],[FECHA TERMINACIÓN ]]+120</f>
        <v>45685</v>
      </c>
      <c r="AJ523" s="147"/>
      <c r="AK523" s="152" t="str">
        <f ca="1">IF(Contrato5[[#This Row],[FECHA TERMINACIÓN ]]&lt;TODAY(), "Terminado",IF(ISNUMBER(Contrato5[[#This Row],[Fecha Real de liquiidación ]]),"Liquidado",IF(Contrato5[[#This Row],[FECHA TERMINACIÓN ]]&gt;=TODAY(),"En ejecución","")))</f>
        <v>Terminado</v>
      </c>
      <c r="AL523" s="153" t="e">
        <f ca="1">SUMIF([2]!COMPROMISOS_2024[[#All],[consecutivo]],Contrato5[[#This Row],[RCP]],[2]!COMPROMISOS_2024[[#All],[Total pagado]])</f>
        <v>#REF!</v>
      </c>
      <c r="AM523" s="154">
        <f ca="1">IFERROR(Contrato5[[#This Row],[Pagos]]/Contrato5[[#This Row],[VALOR CONTRATO]],0)</f>
        <v>0</v>
      </c>
      <c r="AN523" s="198" t="e">
        <f ca="1">+Contrato5[[#This Row],[VALOR CONTRATO]]-Contrato5[[#This Row],[Pagos]]</f>
        <v>#REF!</v>
      </c>
      <c r="AO523" s="147" t="e" cm="1">
        <f t="array" aca="1" ref="AO523" ca="1">_xlfn.XLOOKUP(Contrato5[[#This Row],[DOCUMENTO ]],[2]!PERSONAL_ACTIVO_2024[[#All],[Documento identidad]],[2]!PERSONAL_ACTIVO_2024[[#All],[Mail ]],0,0)</f>
        <v>#NAME?</v>
      </c>
      <c r="AP523" s="147" t="e" cm="1">
        <f t="array" aca="1" ref="AP523" ca="1">_xlfn.XLOOKUP(Contrato5[[#This Row],[DOCUMENTO]],[2]!PERSONAL_ACTIVO_2024[[#All],[Documento identidad]],[2]!PERSONAL_ACTIVO_2024[[#All],[Mail ]],0,0)</f>
        <v>#NAME?</v>
      </c>
      <c r="AQ523" s="439" cm="1">
        <f t="array" aca="1" ref="AQ523" ca="1">IF(ISBLANK(Contrato5[[#This Row],[DEPENDENCIA ]]),0,IFERROR(_xlfn.XLOOKUP(Contrato5[[#This Row],[DEPENDENCIA ]],[2]!PERSONAL_ACTIVO_2024[[#All],[Dependencia]],[2]!PERSONAL_ACTIVO_2024[[#All],[Mail ]],0,0),0))</f>
        <v>0</v>
      </c>
    </row>
    <row r="524" spans="1:43" ht="34.5" customHeight="1">
      <c r="A524" s="125">
        <v>784</v>
      </c>
      <c r="B524" s="124">
        <v>410</v>
      </c>
      <c r="C524" s="162" t="s">
        <v>1879</v>
      </c>
      <c r="D524" s="227" t="s">
        <v>515</v>
      </c>
      <c r="E524" s="440" t="s">
        <v>94</v>
      </c>
      <c r="F524" s="522" t="s">
        <v>255</v>
      </c>
      <c r="G524" s="281" t="s">
        <v>2713</v>
      </c>
      <c r="H524" s="436">
        <v>890984634</v>
      </c>
      <c r="I524" s="273" t="s">
        <v>42</v>
      </c>
      <c r="J524" s="521">
        <v>722187275</v>
      </c>
      <c r="K524" s="281" t="s">
        <v>2714</v>
      </c>
      <c r="L524" s="438" t="s">
        <v>2443</v>
      </c>
      <c r="M524" s="194" t="s">
        <v>520</v>
      </c>
      <c r="N524" s="177" t="e" cm="1">
        <f t="array" aca="1" ref="N524" ca="1">_xlfn.XLOOKUP(Contrato5[[#This Row],[SUPERVISOR TITULAR]],[2]!PERSONAL_ACTIVO_2024[[#All],[Nombre completo]],[2]!PERSONAL_ACTIVO_2024[[#All],[Documento identidad]],"",0)</f>
        <v>#NAME?</v>
      </c>
      <c r="O524" s="194" t="s">
        <v>577</v>
      </c>
      <c r="P524" s="196" t="e" cm="1">
        <f t="array" aca="1" ref="P524" ca="1">_xlfn.XLOOKUP(Contrato5[[#This Row],[SUPERVISOR SUPLENTE ]],[2]!PERSONAL_ACTIVO_2024[[#All],[Nombre completo]],[2]!PERSONAL_ACTIVO_2024[[#All],[Documento identidad]],"",0)</f>
        <v>#NAME?</v>
      </c>
      <c r="Q524" s="170">
        <v>568</v>
      </c>
      <c r="R524" s="137" t="e" cm="1">
        <f t="array" aca="1" ref="R524" ca="1">_xlfn.XLOOKUP(Contrato5[[#This Row],[CDP]],[2]!DISPONIBILIDADES_2024[[#All],[consecutivo]],[2]!DISPONIBILIDADES_2024[[#All],[fecha_aprobacion]],"",0)</f>
        <v>#NAME?</v>
      </c>
      <c r="S524" s="138" t="e">
        <f>SUMIF([2]!DISPONIBILIDADES_2024[[#All],[consecutivo]],Contrato5[[#This Row],[CDP]],[2]!DISPONIBILIDADES_2024[[#All],[valor_total_rubro]])</f>
        <v>#REF!</v>
      </c>
      <c r="T524" s="139" t="e" cm="1">
        <f t="array" aca="1" ref="T524" ca="1">_xlfn.XLOOKUP(Contrato5[[#This Row],[CONTRATO]]&amp;Contrato5[[#This Row],[CDP]],[2]!Corr_Contr_CDP[[#All],[CONTRATO-CDP]],[2]!Corr_Contr_CDP[[#All],[CRP]],_xlfn.XLOOKUP(Contrato5[[#This Row],[CDP]],[2]!COMPROMISOS_2024[[#All],[disponibilidad]],[2]!COMPROMISOS_2024[[#All],[consecutivo]],"",0),0)</f>
        <v>#NAME?</v>
      </c>
      <c r="U524" s="140" t="e" cm="1">
        <f t="array" aca="1" ref="U524" ca="1">+_xlfn.XLOOKUP(Contrato5[[#This Row],[RCP]],[2]!COMPROMISOS_2024[[#All],[consecutivo]],[2]!COMPROMISOS_2024[[#All],[fecha_aprobacion]],"",0)</f>
        <v>#NAME?</v>
      </c>
      <c r="V524" s="141" t="e">
        <f ca="1">SUMIF([2]!COMPROMISOS_2024[[#All],[consecutivo]],Contrato5[[#This Row],[RCP]],[2]!COMPROMISOS_2024[[#All],[valor_total]])</f>
        <v>#REF!</v>
      </c>
      <c r="W524" s="415">
        <v>45477</v>
      </c>
      <c r="X524" s="415">
        <v>45478</v>
      </c>
      <c r="Y524" s="143">
        <v>45478</v>
      </c>
      <c r="Z524" s="262">
        <v>45656</v>
      </c>
      <c r="AA524" s="183" t="s">
        <v>2715</v>
      </c>
      <c r="AB524" s="172" t="s">
        <v>640</v>
      </c>
      <c r="AC524" s="172"/>
      <c r="AD524" s="211">
        <v>202000004618</v>
      </c>
      <c r="AE524" s="147" t="s">
        <v>523</v>
      </c>
      <c r="AF524" s="148" t="str">
        <f>TEXT(LEFT(Contrato5[[#This Row],[CONTRATO]],3),"0")</f>
        <v>410</v>
      </c>
      <c r="AG524" s="148" t="str">
        <f>IF(LEN(Contrato5[[#This Row],[Contrato2]])=3,Contrato5[[#This Row],[Contrato2]],TEXT(Contrato5[[#This Row],[Contrato2]],"000"))</f>
        <v>410</v>
      </c>
      <c r="AH524" s="149">
        <f ca="1">IFERROR(_xlfn.DAYS(Contrato5[[#This Row],[Fecha Proyectada liquidación]],TODAY())/30,"")</f>
        <v>0.6</v>
      </c>
      <c r="AI524" s="150">
        <f>+Contrato5[[#This Row],[FECHA TERMINACIÓN ]]+120</f>
        <v>45776</v>
      </c>
      <c r="AJ524" s="147"/>
      <c r="AK524" s="152" t="str">
        <f ca="1">IF(Contrato5[[#This Row],[FECHA TERMINACIÓN ]]&lt;TODAY(), "Terminado",IF(ISNUMBER(Contrato5[[#This Row],[Fecha Real de liquiidación ]]),"Liquidado",IF(Contrato5[[#This Row],[FECHA TERMINACIÓN ]]&gt;=TODAY(),"En ejecución","")))</f>
        <v>Terminado</v>
      </c>
      <c r="AL524" s="153" t="e">
        <f ca="1">SUMIF([2]!COMPROMISOS_2024[[#All],[consecutivo]],Contrato5[[#This Row],[RCP]],[2]!COMPROMISOS_2024[[#All],[Total pagado]])</f>
        <v>#REF!</v>
      </c>
      <c r="AM524" s="154">
        <f ca="1">IFERROR(Contrato5[[#This Row],[Pagos]]/Contrato5[[#This Row],[VALOR CONTRATO]],0)</f>
        <v>0</v>
      </c>
      <c r="AN524" s="198" t="e">
        <f ca="1">+Contrato5[[#This Row],[VALOR CONTRATO]]-Contrato5[[#This Row],[Pagos]]</f>
        <v>#REF!</v>
      </c>
      <c r="AO524" s="147" t="e" cm="1">
        <f t="array" aca="1" ref="AO524" ca="1">_xlfn.XLOOKUP(Contrato5[[#This Row],[DOCUMENTO ]],[2]!PERSONAL_ACTIVO_2024[[#All],[Documento identidad]],[2]!PERSONAL_ACTIVO_2024[[#All],[Mail ]],0,0)</f>
        <v>#NAME?</v>
      </c>
      <c r="AP524" s="147" t="e" cm="1">
        <f t="array" aca="1" ref="AP524" ca="1">_xlfn.XLOOKUP(Contrato5[[#This Row],[DOCUMENTO]],[2]!PERSONAL_ACTIVO_2024[[#All],[Documento identidad]],[2]!PERSONAL_ACTIVO_2024[[#All],[Mail ]],0,0)</f>
        <v>#NAME?</v>
      </c>
      <c r="AQ524" s="439" cm="1">
        <f t="array" aca="1" ref="AQ524" ca="1">IF(ISBLANK(Contrato5[[#This Row],[DEPENDENCIA ]]),0,IFERROR(_xlfn.XLOOKUP(Contrato5[[#This Row],[DEPENDENCIA ]],[2]!PERSONAL_ACTIVO_2024[[#All],[Dependencia]],[2]!PERSONAL_ACTIVO_2024[[#All],[Mail ]],0,0),0))</f>
        <v>0</v>
      </c>
    </row>
    <row r="525" spans="1:43" ht="34.5" customHeight="1">
      <c r="A525" s="125">
        <v>785</v>
      </c>
      <c r="B525" s="124">
        <v>411</v>
      </c>
      <c r="C525" s="162" t="s">
        <v>1882</v>
      </c>
      <c r="D525" s="227" t="s">
        <v>515</v>
      </c>
      <c r="E525" s="440" t="s">
        <v>94</v>
      </c>
      <c r="F525" s="522" t="s">
        <v>255</v>
      </c>
      <c r="G525" s="281" t="s">
        <v>2716</v>
      </c>
      <c r="H525" s="436">
        <v>890983736</v>
      </c>
      <c r="I525" s="273" t="s">
        <v>42</v>
      </c>
      <c r="J525" s="521">
        <v>348215045</v>
      </c>
      <c r="K525" s="281" t="s">
        <v>2717</v>
      </c>
      <c r="L525" s="438" t="s">
        <v>2443</v>
      </c>
      <c r="M525" s="194" t="s">
        <v>853</v>
      </c>
      <c r="N525" s="177" t="e" cm="1">
        <f t="array" aca="1" ref="N525" ca="1">_xlfn.XLOOKUP(Contrato5[[#This Row],[SUPERVISOR TITULAR]],[2]!PERSONAL_ACTIVO_2024[[#All],[Nombre completo]],[2]!PERSONAL_ACTIVO_2024[[#All],[Documento identidad]],"",0)</f>
        <v>#NAME?</v>
      </c>
      <c r="O525" s="194" t="s">
        <v>822</v>
      </c>
      <c r="P525" s="196" t="e" cm="1">
        <f t="array" aca="1" ref="P525" ca="1">_xlfn.XLOOKUP(Contrato5[[#This Row],[SUPERVISOR SUPLENTE ]],[2]!PERSONAL_ACTIVO_2024[[#All],[Nombre completo]],[2]!PERSONAL_ACTIVO_2024[[#All],[Documento identidad]],"",0)</f>
        <v>#NAME?</v>
      </c>
      <c r="Q525" s="170">
        <v>573</v>
      </c>
      <c r="R525" s="137" t="e" cm="1">
        <f t="array" aca="1" ref="R525" ca="1">_xlfn.XLOOKUP(Contrato5[[#This Row],[CDP]],[2]!DISPONIBILIDADES_2024[[#All],[consecutivo]],[2]!DISPONIBILIDADES_2024[[#All],[fecha_aprobacion]],"",0)</f>
        <v>#NAME?</v>
      </c>
      <c r="S525" s="138" t="e">
        <f>SUMIF([2]!DISPONIBILIDADES_2024[[#All],[consecutivo]],Contrato5[[#This Row],[CDP]],[2]!DISPONIBILIDADES_2024[[#All],[valor_total_rubro]])</f>
        <v>#REF!</v>
      </c>
      <c r="T525" s="139" t="e" cm="1">
        <f t="array" aca="1" ref="T525" ca="1">_xlfn.XLOOKUP(Contrato5[[#This Row],[CONTRATO]]&amp;Contrato5[[#This Row],[CDP]],[2]!Corr_Contr_CDP[[#All],[CONTRATO-CDP]],[2]!Corr_Contr_CDP[[#All],[CRP]],_xlfn.XLOOKUP(Contrato5[[#This Row],[CDP]],[2]!COMPROMISOS_2024[[#All],[disponibilidad]],[2]!COMPROMISOS_2024[[#All],[consecutivo]],"",0),0)</f>
        <v>#NAME?</v>
      </c>
      <c r="U525" s="140" t="e" cm="1">
        <f t="array" aca="1" ref="U525" ca="1">+_xlfn.XLOOKUP(Contrato5[[#This Row],[RCP]],[2]!COMPROMISOS_2024[[#All],[consecutivo]],[2]!COMPROMISOS_2024[[#All],[fecha_aprobacion]],"",0)</f>
        <v>#NAME?</v>
      </c>
      <c r="V525" s="141" t="e">
        <f ca="1">SUMIF([2]!COMPROMISOS_2024[[#All],[consecutivo]],Contrato5[[#This Row],[RCP]],[2]!COMPROMISOS_2024[[#All],[valor_total]])</f>
        <v>#REF!</v>
      </c>
      <c r="W525" s="415">
        <v>45476</v>
      </c>
      <c r="X525" s="415">
        <v>45477</v>
      </c>
      <c r="Y525" s="143">
        <v>45477</v>
      </c>
      <c r="Z525" s="262">
        <v>45539</v>
      </c>
      <c r="AA525" s="183" t="s">
        <v>2718</v>
      </c>
      <c r="AB525" s="172" t="s">
        <v>2719</v>
      </c>
      <c r="AC525" s="172"/>
      <c r="AD525" s="211">
        <v>202000004621</v>
      </c>
      <c r="AE525" s="147" t="s">
        <v>523</v>
      </c>
      <c r="AF525" s="148" t="str">
        <f>TEXT(LEFT(Contrato5[[#This Row],[CONTRATO]],3),"0")</f>
        <v>411</v>
      </c>
      <c r="AG525" s="148" t="str">
        <f>IF(LEN(Contrato5[[#This Row],[Contrato2]])=3,Contrato5[[#This Row],[Contrato2]],TEXT(Contrato5[[#This Row],[Contrato2]],"000"))</f>
        <v>411</v>
      </c>
      <c r="AH525" s="149">
        <f ca="1">IFERROR(_xlfn.DAYS(Contrato5[[#This Row],[Fecha Proyectada liquidación]],TODAY())/30,"")</f>
        <v>-3.3</v>
      </c>
      <c r="AI525" s="150">
        <f>+Contrato5[[#This Row],[FECHA TERMINACIÓN ]]+120</f>
        <v>45659</v>
      </c>
      <c r="AJ525" s="147"/>
      <c r="AK525" s="152" t="str">
        <f ca="1">IF(Contrato5[[#This Row],[FECHA TERMINACIÓN ]]&lt;TODAY(), "Terminado",IF(ISNUMBER(Contrato5[[#This Row],[Fecha Real de liquiidación ]]),"Liquidado",IF(Contrato5[[#This Row],[FECHA TERMINACIÓN ]]&gt;=TODAY(),"En ejecución","")))</f>
        <v>Terminado</v>
      </c>
      <c r="AL525" s="153" t="e">
        <f ca="1">SUMIF([2]!COMPROMISOS_2024[[#All],[consecutivo]],Contrato5[[#This Row],[RCP]],[2]!COMPROMISOS_2024[[#All],[Total pagado]])</f>
        <v>#REF!</v>
      </c>
      <c r="AM525" s="154">
        <f ca="1">IFERROR(Contrato5[[#This Row],[Pagos]]/Contrato5[[#This Row],[VALOR CONTRATO]],0)</f>
        <v>0</v>
      </c>
      <c r="AN525" s="198" t="e">
        <f ca="1">+Contrato5[[#This Row],[VALOR CONTRATO]]-Contrato5[[#This Row],[Pagos]]</f>
        <v>#REF!</v>
      </c>
      <c r="AO525" s="147" t="e" cm="1">
        <f t="array" aca="1" ref="AO525" ca="1">_xlfn.XLOOKUP(Contrato5[[#This Row],[DOCUMENTO ]],[2]!PERSONAL_ACTIVO_2024[[#All],[Documento identidad]],[2]!PERSONAL_ACTIVO_2024[[#All],[Mail ]],0,0)</f>
        <v>#NAME?</v>
      </c>
      <c r="AP525" s="147" t="e" cm="1">
        <f t="array" aca="1" ref="AP525" ca="1">_xlfn.XLOOKUP(Contrato5[[#This Row],[DOCUMENTO]],[2]!PERSONAL_ACTIVO_2024[[#All],[Documento identidad]],[2]!PERSONAL_ACTIVO_2024[[#All],[Mail ]],0,0)</f>
        <v>#NAME?</v>
      </c>
      <c r="AQ525" s="439" cm="1">
        <f t="array" aca="1" ref="AQ525" ca="1">IF(ISBLANK(Contrato5[[#This Row],[DEPENDENCIA ]]),0,IFERROR(_xlfn.XLOOKUP(Contrato5[[#This Row],[DEPENDENCIA ]],[2]!PERSONAL_ACTIVO_2024[[#All],[Dependencia]],[2]!PERSONAL_ACTIVO_2024[[#All],[Mail ]],0,0),0))</f>
        <v>0</v>
      </c>
    </row>
    <row r="526" spans="1:43" ht="34.5" customHeight="1">
      <c r="A526" s="125" t="s">
        <v>42</v>
      </c>
      <c r="B526" s="124">
        <v>412</v>
      </c>
      <c r="C526" s="162" t="s">
        <v>1966</v>
      </c>
      <c r="D526" s="227" t="s">
        <v>583</v>
      </c>
      <c r="E526" s="440" t="s">
        <v>2614</v>
      </c>
      <c r="F526" s="227" t="s">
        <v>161</v>
      </c>
      <c r="G526" s="296" t="s">
        <v>2641</v>
      </c>
      <c r="H526" s="436">
        <v>890980040</v>
      </c>
      <c r="I526" s="523" t="s">
        <v>42</v>
      </c>
      <c r="J526" s="437">
        <v>79950000</v>
      </c>
      <c r="K526" s="281" t="s">
        <v>2720</v>
      </c>
      <c r="L526" s="438" t="s">
        <v>2443</v>
      </c>
      <c r="M526" s="194"/>
      <c r="N526" s="177" t="e" cm="1">
        <f t="array" aca="1" ref="N526" ca="1">_xlfn.XLOOKUP(Contrato5[[#This Row],[SUPERVISOR TITULAR]],[2]!PERSONAL_ACTIVO_2024[[#All],[Nombre completo]],[2]!PERSONAL_ACTIVO_2024[[#All],[Documento identidad]],"",0)</f>
        <v>#NAME?</v>
      </c>
      <c r="O526" s="194"/>
      <c r="P526" s="196" t="e" cm="1">
        <f t="array" aca="1" ref="P526" ca="1">_xlfn.XLOOKUP(Contrato5[[#This Row],[SUPERVISOR SUPLENTE ]],[2]!PERSONAL_ACTIVO_2024[[#All],[Nombre completo]],[2]!PERSONAL_ACTIVO_2024[[#All],[Documento identidad]],"",0)</f>
        <v>#NAME?</v>
      </c>
      <c r="Q526" s="170">
        <v>610</v>
      </c>
      <c r="R526" s="137" t="e" cm="1">
        <f t="array" aca="1" ref="R526" ca="1">_xlfn.XLOOKUP(Contrato5[[#This Row],[CDP]],[2]!DISPONIBILIDADES_2024[[#All],[consecutivo]],[2]!DISPONIBILIDADES_2024[[#All],[fecha_aprobacion]],"",0)</f>
        <v>#NAME?</v>
      </c>
      <c r="S526" s="138" t="e">
        <f>SUMIF([2]!DISPONIBILIDADES_2024[[#All],[consecutivo]],Contrato5[[#This Row],[CDP]],[2]!DISPONIBILIDADES_2024[[#All],[valor_total_rubro]])</f>
        <v>#REF!</v>
      </c>
      <c r="T526" s="139" t="e" cm="1">
        <f t="array" aca="1" ref="T526" ca="1">_xlfn.XLOOKUP(Contrato5[[#This Row],[CONTRATO]]&amp;Contrato5[[#This Row],[CDP]],[2]!Corr_Contr_CDP[[#All],[CONTRATO-CDP]],[2]!Corr_Contr_CDP[[#All],[CRP]],_xlfn.XLOOKUP(Contrato5[[#This Row],[CDP]],[2]!COMPROMISOS_2024[[#All],[disponibilidad]],[2]!COMPROMISOS_2024[[#All],[consecutivo]],"",0),0)</f>
        <v>#NAME?</v>
      </c>
      <c r="U526" s="140" t="e" cm="1">
        <f t="array" aca="1" ref="U526" ca="1">+_xlfn.XLOOKUP(Contrato5[[#This Row],[RCP]],[2]!COMPROMISOS_2024[[#All],[consecutivo]],[2]!COMPROMISOS_2024[[#All],[fecha_aprobacion]],"",0)</f>
        <v>#NAME?</v>
      </c>
      <c r="V526" s="141" t="e">
        <f ca="1">SUMIF([2]!COMPROMISOS_2024[[#All],[consecutivo]],Contrato5[[#This Row],[RCP]],[2]!COMPROMISOS_2024[[#All],[valor_total]])</f>
        <v>#REF!</v>
      </c>
      <c r="W526" s="415"/>
      <c r="X526" s="415"/>
      <c r="Y526" s="143" t="e">
        <f ca="1">+LEFT(_xlfn.XLOOKUP(Contrato5[[#This Row],[CONTRATO3DIG]],[2]SECOP_II!AE:AE,[2]SECOP_II!F:F,"",0),10)</f>
        <v>#NAME?</v>
      </c>
      <c r="Z526" s="262"/>
      <c r="AA526" s="183"/>
      <c r="AB526" s="172" t="s">
        <v>529</v>
      </c>
      <c r="AC526" s="172"/>
      <c r="AD526" s="288"/>
      <c r="AE526" s="147"/>
      <c r="AF526" s="148" t="str">
        <f>TEXT(LEFT(Contrato5[[#This Row],[CONTRATO]],3),"0")</f>
        <v>412</v>
      </c>
      <c r="AG526" s="148" t="str">
        <f>IF(LEN(Contrato5[[#This Row],[Contrato2]])=3,Contrato5[[#This Row],[Contrato2]],TEXT(Contrato5[[#This Row],[Contrato2]],"000"))</f>
        <v>412</v>
      </c>
      <c r="AH526" s="149">
        <f ca="1">IFERROR(_xlfn.DAYS(Contrato5[[#This Row],[Fecha Proyectada liquidación]],TODAY())/30,"")</f>
        <v>-1521.2666666666667</v>
      </c>
      <c r="AI526" s="150">
        <f>+Contrato5[[#This Row],[FECHA TERMINACIÓN ]]+120</f>
        <v>120</v>
      </c>
      <c r="AJ526" s="147"/>
      <c r="AK526" s="152" t="str">
        <f ca="1">IF(Contrato5[[#This Row],[FECHA TERMINACIÓN ]]&lt;TODAY(), "Terminado",IF(ISNUMBER(Contrato5[[#This Row],[Fecha Real de liquiidación ]]),"Liquidado",IF(Contrato5[[#This Row],[FECHA TERMINACIÓN ]]&gt;=TODAY(),"En ejecución","")))</f>
        <v>Terminado</v>
      </c>
      <c r="AL526" s="153" t="e">
        <f ca="1">SUMIF([2]!COMPROMISOS_2024[[#All],[consecutivo]],Contrato5[[#This Row],[RCP]],[2]!COMPROMISOS_2024[[#All],[Total pagado]])</f>
        <v>#REF!</v>
      </c>
      <c r="AM526" s="154">
        <f ca="1">IFERROR(Contrato5[[#This Row],[Pagos]]/Contrato5[[#This Row],[VALOR CONTRATO]],0)</f>
        <v>0</v>
      </c>
      <c r="AN526" s="198" t="e">
        <f ca="1">+Contrato5[[#This Row],[VALOR CONTRATO]]-Contrato5[[#This Row],[Pagos]]</f>
        <v>#REF!</v>
      </c>
      <c r="AO526" s="147" t="e" cm="1">
        <f t="array" aca="1" ref="AO526" ca="1">_xlfn.XLOOKUP(Contrato5[[#This Row],[DOCUMENTO ]],[2]!PERSONAL_ACTIVO_2024[[#All],[Documento identidad]],[2]!PERSONAL_ACTIVO_2024[[#All],[Mail ]],0,0)</f>
        <v>#NAME?</v>
      </c>
      <c r="AP526" s="147" t="e" cm="1">
        <f t="array" aca="1" ref="AP526" ca="1">_xlfn.XLOOKUP(Contrato5[[#This Row],[DOCUMENTO]],[2]!PERSONAL_ACTIVO_2024[[#All],[Documento identidad]],[2]!PERSONAL_ACTIVO_2024[[#All],[Mail ]],0,0)</f>
        <v>#NAME?</v>
      </c>
      <c r="AQ526" s="439" cm="1">
        <f t="array" aca="1" ref="AQ526" ca="1">IF(ISBLANK(Contrato5[[#This Row],[DEPENDENCIA ]]),0,IFERROR(_xlfn.XLOOKUP(Contrato5[[#This Row],[DEPENDENCIA ]],[2]!PERSONAL_ACTIVO_2024[[#All],[Dependencia]],[2]!PERSONAL_ACTIVO_2024[[#All],[Mail ]],0,0),0))</f>
        <v>0</v>
      </c>
    </row>
    <row r="527" spans="1:43" ht="34.5" customHeight="1">
      <c r="A527" s="125">
        <v>795</v>
      </c>
      <c r="B527" s="124">
        <v>413</v>
      </c>
      <c r="C527" s="162" t="s">
        <v>1896</v>
      </c>
      <c r="D527" s="227" t="s">
        <v>515</v>
      </c>
      <c r="E527" s="440" t="s">
        <v>94</v>
      </c>
      <c r="F527" s="227" t="s">
        <v>1376</v>
      </c>
      <c r="G527" s="281" t="s">
        <v>2721</v>
      </c>
      <c r="H527" s="436">
        <v>890984746</v>
      </c>
      <c r="I527" s="523" t="s">
        <v>42</v>
      </c>
      <c r="J527" s="437">
        <v>160025000</v>
      </c>
      <c r="K527" s="131" t="s">
        <v>42</v>
      </c>
      <c r="L527" s="438" t="s">
        <v>2473</v>
      </c>
      <c r="M527" s="194" t="s">
        <v>544</v>
      </c>
      <c r="N527" s="177" t="e" cm="1">
        <f t="array" aca="1" ref="N527" ca="1">_xlfn.XLOOKUP(Contrato5[[#This Row],[SUPERVISOR TITULAR]],[2]!PERSONAL_ACTIVO_2024[[#All],[Nombre completo]],[2]!PERSONAL_ACTIVO_2024[[#All],[Documento identidad]],"",0)</f>
        <v>#NAME?</v>
      </c>
      <c r="O527" s="194" t="s">
        <v>545</v>
      </c>
      <c r="P527" s="196" t="e" cm="1">
        <f t="array" aca="1" ref="P527" ca="1">_xlfn.XLOOKUP(Contrato5[[#This Row],[SUPERVISOR SUPLENTE ]],[2]!PERSONAL_ACTIVO_2024[[#All],[Nombre completo]],[2]!PERSONAL_ACTIVO_2024[[#All],[Documento identidad]],"",0)</f>
        <v>#NAME?</v>
      </c>
      <c r="Q527" s="301">
        <v>572</v>
      </c>
      <c r="R527" s="137" t="e" cm="1">
        <f t="array" aca="1" ref="R527" ca="1">_xlfn.XLOOKUP(Contrato5[[#This Row],[CDP]],[2]!DISPONIBILIDADES_2024[[#All],[consecutivo]],[2]!DISPONIBILIDADES_2024[[#All],[fecha_aprobacion]],"",0)</f>
        <v>#NAME?</v>
      </c>
      <c r="S527" s="138" t="e">
        <f>SUMIF([2]!DISPONIBILIDADES_2024[[#All],[consecutivo]],Contrato5[[#This Row],[CDP]],[2]!DISPONIBILIDADES_2024[[#All],[valor_total_rubro]])</f>
        <v>#REF!</v>
      </c>
      <c r="T527" s="139" t="e" cm="1">
        <f t="array" aca="1" ref="T527" ca="1">_xlfn.XLOOKUP(Contrato5[[#This Row],[CONTRATO]]&amp;Contrato5[[#This Row],[CDP]],[2]!Corr_Contr_CDP[[#All],[CONTRATO-CDP]],[2]!Corr_Contr_CDP[[#All],[CRP]],_xlfn.XLOOKUP(Contrato5[[#This Row],[CDP]],[2]!COMPROMISOS_2024[[#All],[disponibilidad]],[2]!COMPROMISOS_2024[[#All],[consecutivo]],"",0),0)</f>
        <v>#NAME?</v>
      </c>
      <c r="U527" s="140" t="e" cm="1">
        <f t="array" aca="1" ref="U527" ca="1">+_xlfn.XLOOKUP(Contrato5[[#This Row],[RCP]],[2]!COMPROMISOS_2024[[#All],[consecutivo]],[2]!COMPROMISOS_2024[[#All],[fecha_aprobacion]],"",0)</f>
        <v>#NAME?</v>
      </c>
      <c r="V527" s="141" t="e">
        <f ca="1">SUMIF([2]!COMPROMISOS_2024[[#All],[consecutivo]],Contrato5[[#This Row],[RCP]],[2]!COMPROMISOS_2024[[#All],[valor_total]])</f>
        <v>#REF!</v>
      </c>
      <c r="W527" s="415">
        <v>45490</v>
      </c>
      <c r="X527" s="415">
        <v>45498</v>
      </c>
      <c r="Y527" s="143">
        <v>45490</v>
      </c>
      <c r="Z527" s="262">
        <v>45498</v>
      </c>
      <c r="AA527" s="171" t="s">
        <v>2722</v>
      </c>
      <c r="AB527" s="172" t="s">
        <v>640</v>
      </c>
      <c r="AC527" s="172"/>
      <c r="AD527" s="211">
        <v>202000004622</v>
      </c>
      <c r="AE527" s="147" t="s">
        <v>523</v>
      </c>
      <c r="AF527" s="148" t="str">
        <f>TEXT(LEFT(Contrato5[[#This Row],[CONTRATO]],3),"0")</f>
        <v>413</v>
      </c>
      <c r="AG527" s="148" t="str">
        <f>IF(LEN(Contrato5[[#This Row],[Contrato2]])=3,Contrato5[[#This Row],[Contrato2]],TEXT(Contrato5[[#This Row],[Contrato2]],"000"))</f>
        <v>413</v>
      </c>
      <c r="AH527" s="149">
        <f ca="1">IFERROR(_xlfn.DAYS(Contrato5[[#This Row],[Fecha Proyectada liquidación]],TODAY())/30,"")</f>
        <v>-4.666666666666667</v>
      </c>
      <c r="AI527" s="150">
        <f>+Contrato5[[#This Row],[FECHA TERMINACIÓN ]]+120</f>
        <v>45618</v>
      </c>
      <c r="AJ527" s="147"/>
      <c r="AK527" s="152" t="str">
        <f ca="1">IF(Contrato5[[#This Row],[FECHA TERMINACIÓN ]]&lt;TODAY(), "Terminado",IF(ISNUMBER(Contrato5[[#This Row],[Fecha Real de liquiidación ]]),"Liquidado",IF(Contrato5[[#This Row],[FECHA TERMINACIÓN ]]&gt;=TODAY(),"En ejecución","")))</f>
        <v>Terminado</v>
      </c>
      <c r="AL527" s="153" t="e">
        <f ca="1">SUMIF([2]!COMPROMISOS_2024[[#All],[consecutivo]],Contrato5[[#This Row],[RCP]],[2]!COMPROMISOS_2024[[#All],[Total pagado]])</f>
        <v>#REF!</v>
      </c>
      <c r="AM527" s="154">
        <f ca="1">IFERROR(Contrato5[[#This Row],[Pagos]]/Contrato5[[#This Row],[VALOR CONTRATO]],0)</f>
        <v>0</v>
      </c>
      <c r="AN527" s="198" t="e">
        <f ca="1">+Contrato5[[#This Row],[VALOR CONTRATO]]-Contrato5[[#This Row],[Pagos]]</f>
        <v>#REF!</v>
      </c>
      <c r="AO527" s="147" t="e" cm="1">
        <f t="array" aca="1" ref="AO527" ca="1">_xlfn.XLOOKUP(Contrato5[[#This Row],[DOCUMENTO ]],[2]!PERSONAL_ACTIVO_2024[[#All],[Documento identidad]],[2]!PERSONAL_ACTIVO_2024[[#All],[Mail ]],0,0)</f>
        <v>#NAME?</v>
      </c>
      <c r="AP527" s="147" t="e" cm="1">
        <f t="array" aca="1" ref="AP527" ca="1">_xlfn.XLOOKUP(Contrato5[[#This Row],[DOCUMENTO]],[2]!PERSONAL_ACTIVO_2024[[#All],[Documento identidad]],[2]!PERSONAL_ACTIVO_2024[[#All],[Mail ]],0,0)</f>
        <v>#NAME?</v>
      </c>
      <c r="AQ527" s="439" cm="1">
        <f t="array" aca="1" ref="AQ527" ca="1">IF(ISBLANK(Contrato5[[#This Row],[DEPENDENCIA ]]),0,IFERROR(_xlfn.XLOOKUP(Contrato5[[#This Row],[DEPENDENCIA ]],[2]!PERSONAL_ACTIVO_2024[[#All],[Dependencia]],[2]!PERSONAL_ACTIVO_2024[[#All],[Mail ]],0,0),0))</f>
        <v>0</v>
      </c>
    </row>
    <row r="528" spans="1:43" ht="34.5" customHeight="1">
      <c r="A528" s="125" t="s">
        <v>1964</v>
      </c>
      <c r="B528" s="124">
        <v>414</v>
      </c>
      <c r="C528" s="162" t="s">
        <v>1966</v>
      </c>
      <c r="D528" s="227" t="s">
        <v>583</v>
      </c>
      <c r="E528" s="440" t="s">
        <v>94</v>
      </c>
      <c r="F528" s="227" t="s">
        <v>161</v>
      </c>
      <c r="G528" s="296" t="s">
        <v>2641</v>
      </c>
      <c r="H528" s="436">
        <v>890980040</v>
      </c>
      <c r="I528" s="523" t="s">
        <v>42</v>
      </c>
      <c r="J528" s="437">
        <v>79950000</v>
      </c>
      <c r="K528" s="131" t="s">
        <v>42</v>
      </c>
      <c r="L528" s="438" t="s">
        <v>2443</v>
      </c>
      <c r="M528" s="194" t="s">
        <v>2723</v>
      </c>
      <c r="N528" s="524">
        <v>15511283</v>
      </c>
      <c r="O528" s="194" t="s">
        <v>538</v>
      </c>
      <c r="P528" s="196" t="e" cm="1">
        <f t="array" aca="1" ref="P528" ca="1">_xlfn.XLOOKUP(Contrato5[[#This Row],[SUPERVISOR SUPLENTE ]],[2]!PERSONAL_ACTIVO_2024[[#All],[Nombre completo]],[2]!PERSONAL_ACTIVO_2024[[#All],[Documento identidad]],"",0)</f>
        <v>#NAME?</v>
      </c>
      <c r="Q528" s="170">
        <v>610</v>
      </c>
      <c r="R528" s="137" t="e" cm="1">
        <f t="array" aca="1" ref="R528" ca="1">_xlfn.XLOOKUP(Contrato5[[#This Row],[CDP]],[2]!DISPONIBILIDADES_2024[[#All],[consecutivo]],[2]!DISPONIBILIDADES_2024[[#All],[fecha_aprobacion]],"",0)</f>
        <v>#NAME?</v>
      </c>
      <c r="S528" s="138" t="e">
        <f>SUMIF([2]!DISPONIBILIDADES_2024[[#All],[consecutivo]],Contrato5[[#This Row],[CDP]],[2]!DISPONIBILIDADES_2024[[#All],[valor_total_rubro]])</f>
        <v>#REF!</v>
      </c>
      <c r="T528" s="139" t="e" cm="1">
        <f t="array" aca="1" ref="T528" ca="1">_xlfn.XLOOKUP(Contrato5[[#This Row],[CONTRATO]]&amp;Contrato5[[#This Row],[CDP]],[2]!Corr_Contr_CDP[[#All],[CONTRATO-CDP]],[2]!Corr_Contr_CDP[[#All],[CRP]],_xlfn.XLOOKUP(Contrato5[[#This Row],[CDP]],[2]!COMPROMISOS_2024[[#All],[disponibilidad]],[2]!COMPROMISOS_2024[[#All],[consecutivo]],"",0),0)</f>
        <v>#NAME?</v>
      </c>
      <c r="U528" s="140" t="e" cm="1">
        <f t="array" aca="1" ref="U528" ca="1">+_xlfn.XLOOKUP(Contrato5[[#This Row],[RCP]],[2]!COMPROMISOS_2024[[#All],[consecutivo]],[2]!COMPROMISOS_2024[[#All],[fecha_aprobacion]],"",0)</f>
        <v>#NAME?</v>
      </c>
      <c r="V528" s="141" t="e">
        <f ca="1">SUMIF([2]!COMPROMISOS_2024[[#All],[consecutivo]],Contrato5[[#This Row],[RCP]],[2]!COMPROMISOS_2024[[#All],[valor_total]])</f>
        <v>#REF!</v>
      </c>
      <c r="W528" s="415">
        <v>45482</v>
      </c>
      <c r="X528" s="415">
        <v>45485</v>
      </c>
      <c r="Y528" s="143">
        <v>45485</v>
      </c>
      <c r="Z528" s="262">
        <v>45577</v>
      </c>
      <c r="AA528" s="171" t="s">
        <v>2724</v>
      </c>
      <c r="AB528" s="172" t="s">
        <v>529</v>
      </c>
      <c r="AC528" s="172"/>
      <c r="AD528" s="263">
        <v>202000004623</v>
      </c>
      <c r="AE528" s="147" t="s">
        <v>523</v>
      </c>
      <c r="AF528" s="148" t="str">
        <f>TEXT(LEFT(Contrato5[[#This Row],[CONTRATO]],3),"0")</f>
        <v>414</v>
      </c>
      <c r="AG528" s="148" t="str">
        <f>IF(LEN(Contrato5[[#This Row],[Contrato2]])=3,Contrato5[[#This Row],[Contrato2]],TEXT(Contrato5[[#This Row],[Contrato2]],"000"))</f>
        <v>414</v>
      </c>
      <c r="AH528" s="149">
        <f ca="1">IFERROR(_xlfn.DAYS(Contrato5[[#This Row],[Fecha Proyectada liquidación]],TODAY())/30,"")</f>
        <v>-2.0333333333333332</v>
      </c>
      <c r="AI528" s="150">
        <f>+Contrato5[[#This Row],[FECHA TERMINACIÓN ]]+120</f>
        <v>45697</v>
      </c>
      <c r="AJ528" s="147"/>
      <c r="AK528" s="152" t="str">
        <f ca="1">IF(Contrato5[[#This Row],[FECHA TERMINACIÓN ]]&lt;TODAY(), "Terminado",IF(ISNUMBER(Contrato5[[#This Row],[Fecha Real de liquiidación ]]),"Liquidado",IF(Contrato5[[#This Row],[FECHA TERMINACIÓN ]]&gt;=TODAY(),"En ejecución","")))</f>
        <v>Terminado</v>
      </c>
      <c r="AL528" s="153" t="e">
        <f ca="1">SUMIF([2]!COMPROMISOS_2024[[#All],[consecutivo]],Contrato5[[#This Row],[RCP]],[2]!COMPROMISOS_2024[[#All],[Total pagado]])</f>
        <v>#REF!</v>
      </c>
      <c r="AM528" s="154">
        <f ca="1">IFERROR(Contrato5[[#This Row],[Pagos]]/Contrato5[[#This Row],[VALOR CONTRATO]],0)</f>
        <v>0</v>
      </c>
      <c r="AN528" s="198" t="e">
        <f ca="1">+Contrato5[[#This Row],[VALOR CONTRATO]]-Contrato5[[#This Row],[Pagos]]</f>
        <v>#REF!</v>
      </c>
      <c r="AO528" s="147" t="e" cm="1">
        <f t="array" aca="1" ref="AO528" ca="1">_xlfn.XLOOKUP(Contrato5[[#This Row],[DOCUMENTO ]],[2]!PERSONAL_ACTIVO_2024[[#All],[Documento identidad]],[2]!PERSONAL_ACTIVO_2024[[#All],[Mail ]],0,0)</f>
        <v>#NAME?</v>
      </c>
      <c r="AP528" s="147" t="e" cm="1">
        <f t="array" aca="1" ref="AP528" ca="1">_xlfn.XLOOKUP(Contrato5[[#This Row],[DOCUMENTO]],[2]!PERSONAL_ACTIVO_2024[[#All],[Documento identidad]],[2]!PERSONAL_ACTIVO_2024[[#All],[Mail ]],0,0)</f>
        <v>#NAME?</v>
      </c>
      <c r="AQ528" s="439" cm="1">
        <f t="array" aca="1" ref="AQ528" ca="1">IF(ISBLANK(Contrato5[[#This Row],[DEPENDENCIA ]]),0,IFERROR(_xlfn.XLOOKUP(Contrato5[[#This Row],[DEPENDENCIA ]],[2]!PERSONAL_ACTIVO_2024[[#All],[Dependencia]],[2]!PERSONAL_ACTIVO_2024[[#All],[Mail ]],0,0),0))</f>
        <v>0</v>
      </c>
    </row>
    <row r="529" spans="1:43" ht="34.5" customHeight="1">
      <c r="A529" s="125">
        <v>788</v>
      </c>
      <c r="B529" s="124">
        <v>415</v>
      </c>
      <c r="C529" s="162" t="s">
        <v>1887</v>
      </c>
      <c r="D529" s="227" t="s">
        <v>515</v>
      </c>
      <c r="E529" s="440" t="s">
        <v>94</v>
      </c>
      <c r="F529" s="227" t="s">
        <v>255</v>
      </c>
      <c r="G529" s="281" t="s">
        <v>2725</v>
      </c>
      <c r="H529" s="436">
        <v>890910913</v>
      </c>
      <c r="I529" s="309" t="s">
        <v>344</v>
      </c>
      <c r="J529" s="437">
        <v>619531776</v>
      </c>
      <c r="K529" s="131" t="s">
        <v>2726</v>
      </c>
      <c r="L529" s="438" t="s">
        <v>2473</v>
      </c>
      <c r="M529" s="194" t="s">
        <v>550</v>
      </c>
      <c r="N529" s="177" t="e" cm="1">
        <f t="array" aca="1" ref="N529" ca="1">_xlfn.XLOOKUP(Contrato5[[#This Row],[SUPERVISOR TITULAR]],[2]!PERSONAL_ACTIVO_2024[[#All],[Nombre completo]],[2]!PERSONAL_ACTIVO_2024[[#All],[Documento identidad]],"",0)</f>
        <v>#NAME?</v>
      </c>
      <c r="O529" s="194" t="s">
        <v>2637</v>
      </c>
      <c r="P529" s="196" t="e" cm="1">
        <f t="array" aca="1" ref="P529" ca="1">_xlfn.XLOOKUP(Contrato5[[#This Row],[SUPERVISOR SUPLENTE ]],[2]!PERSONAL_ACTIVO_2024[[#All],[Nombre completo]],[2]!PERSONAL_ACTIVO_2024[[#All],[Documento identidad]],"",0)</f>
        <v>#NAME?</v>
      </c>
      <c r="Q529" s="170">
        <v>566</v>
      </c>
      <c r="R529" s="137" t="e" cm="1">
        <f t="array" aca="1" ref="R529" ca="1">_xlfn.XLOOKUP(Contrato5[[#This Row],[CDP]],[2]!DISPONIBILIDADES_2024[[#All],[consecutivo]],[2]!DISPONIBILIDADES_2024[[#All],[fecha_aprobacion]],"",0)</f>
        <v>#NAME?</v>
      </c>
      <c r="S529" s="138" t="e">
        <f>SUMIF([2]!DISPONIBILIDADES_2024[[#All],[consecutivo]],Contrato5[[#This Row],[CDP]],[2]!DISPONIBILIDADES_2024[[#All],[valor_total_rubro]])</f>
        <v>#REF!</v>
      </c>
      <c r="T529" s="139" t="e" cm="1">
        <f t="array" aca="1" ref="T529" ca="1">_xlfn.XLOOKUP(Contrato5[[#This Row],[CONTRATO]]&amp;Contrato5[[#This Row],[CDP]],[2]!Corr_Contr_CDP[[#All],[CONTRATO-CDP]],[2]!Corr_Contr_CDP[[#All],[CRP]],_xlfn.XLOOKUP(Contrato5[[#This Row],[CDP]],[2]!COMPROMISOS_2024[[#All],[disponibilidad]],[2]!COMPROMISOS_2024[[#All],[consecutivo]],"",0),0)</f>
        <v>#NAME?</v>
      </c>
      <c r="U529" s="140" t="e" cm="1">
        <f t="array" aca="1" ref="U529" ca="1">+_xlfn.XLOOKUP(Contrato5[[#This Row],[RCP]],[2]!COMPROMISOS_2024[[#All],[consecutivo]],[2]!COMPROMISOS_2024[[#All],[fecha_aprobacion]],"",0)</f>
        <v>#NAME?</v>
      </c>
      <c r="V529" s="141" t="e">
        <f ca="1">SUMIF([2]!COMPROMISOS_2024[[#All],[consecutivo]],Contrato5[[#This Row],[RCP]],[2]!COMPROMISOS_2024[[#All],[valor_total]])</f>
        <v>#REF!</v>
      </c>
      <c r="W529" s="415">
        <v>45485</v>
      </c>
      <c r="X529" s="415">
        <v>45488</v>
      </c>
      <c r="Y529" s="143">
        <v>45488</v>
      </c>
      <c r="Z529" s="262">
        <v>45565</v>
      </c>
      <c r="AA529" s="171" t="s">
        <v>2727</v>
      </c>
      <c r="AB529" s="172" t="s">
        <v>500</v>
      </c>
      <c r="AC529" s="172"/>
      <c r="AD529" s="263">
        <v>202000004624</v>
      </c>
      <c r="AE529" s="147" t="s">
        <v>523</v>
      </c>
      <c r="AF529" s="148" t="str">
        <f>TEXT(LEFT(Contrato5[[#This Row],[CONTRATO]],3),"0")</f>
        <v>415</v>
      </c>
      <c r="AG529" s="148" t="str">
        <f>IF(LEN(Contrato5[[#This Row],[Contrato2]])=3,Contrato5[[#This Row],[Contrato2]],TEXT(Contrato5[[#This Row],[Contrato2]],"000"))</f>
        <v>415</v>
      </c>
      <c r="AH529" s="149">
        <f ca="1">IFERROR(_xlfn.DAYS(Contrato5[[#This Row],[Fecha Proyectada liquidación]],TODAY())/30,"")</f>
        <v>-2.4333333333333331</v>
      </c>
      <c r="AI529" s="150">
        <f>+Contrato5[[#This Row],[FECHA TERMINACIÓN ]]+120</f>
        <v>45685</v>
      </c>
      <c r="AJ529" s="147"/>
      <c r="AK529" s="152" t="str">
        <f ca="1">IF(Contrato5[[#This Row],[FECHA TERMINACIÓN ]]&lt;TODAY(), "Terminado",IF(ISNUMBER(Contrato5[[#This Row],[Fecha Real de liquiidación ]]),"Liquidado",IF(Contrato5[[#This Row],[FECHA TERMINACIÓN ]]&gt;=TODAY(),"En ejecución","")))</f>
        <v>Terminado</v>
      </c>
      <c r="AL529" s="153" t="e">
        <f ca="1">SUMIF([2]!COMPROMISOS_2024[[#All],[consecutivo]],Contrato5[[#This Row],[RCP]],[2]!COMPROMISOS_2024[[#All],[Total pagado]])</f>
        <v>#REF!</v>
      </c>
      <c r="AM529" s="154">
        <f ca="1">IFERROR(Contrato5[[#This Row],[Pagos]]/Contrato5[[#This Row],[VALOR CONTRATO]],0)</f>
        <v>0</v>
      </c>
      <c r="AN529" s="198" t="e">
        <f ca="1">+Contrato5[[#This Row],[VALOR CONTRATO]]-Contrato5[[#This Row],[Pagos]]</f>
        <v>#REF!</v>
      </c>
      <c r="AO529" s="147" t="e" cm="1">
        <f t="array" aca="1" ref="AO529" ca="1">_xlfn.XLOOKUP(Contrato5[[#This Row],[DOCUMENTO ]],[2]!PERSONAL_ACTIVO_2024[[#All],[Documento identidad]],[2]!PERSONAL_ACTIVO_2024[[#All],[Mail ]],0,0)</f>
        <v>#NAME?</v>
      </c>
      <c r="AP529" s="147" t="e" cm="1">
        <f t="array" aca="1" ref="AP529" ca="1">_xlfn.XLOOKUP(Contrato5[[#This Row],[DOCUMENTO]],[2]!PERSONAL_ACTIVO_2024[[#All],[Documento identidad]],[2]!PERSONAL_ACTIVO_2024[[#All],[Mail ]],0,0)</f>
        <v>#NAME?</v>
      </c>
      <c r="AQ529" s="439" cm="1">
        <f t="array" aca="1" ref="AQ529" ca="1">IF(ISBLANK(Contrato5[[#This Row],[DEPENDENCIA ]]),0,IFERROR(_xlfn.XLOOKUP(Contrato5[[#This Row],[DEPENDENCIA ]],[2]!PERSONAL_ACTIVO_2024[[#All],[Dependencia]],[2]!PERSONAL_ACTIVO_2024[[#All],[Mail ]],0,0),0))</f>
        <v>0</v>
      </c>
    </row>
    <row r="530" spans="1:43" ht="34.5" customHeight="1">
      <c r="A530" s="125">
        <v>783</v>
      </c>
      <c r="B530" s="124">
        <v>416</v>
      </c>
      <c r="C530" s="162" t="s">
        <v>1803</v>
      </c>
      <c r="D530" s="227" t="s">
        <v>583</v>
      </c>
      <c r="E530" s="440" t="s">
        <v>94</v>
      </c>
      <c r="F530" s="227" t="s">
        <v>1376</v>
      </c>
      <c r="G530" s="281" t="s">
        <v>2728</v>
      </c>
      <c r="H530" s="436">
        <v>1035920530</v>
      </c>
      <c r="I530" s="273">
        <v>6879081</v>
      </c>
      <c r="J530" s="437">
        <v>40357275</v>
      </c>
      <c r="K530" s="131" t="s">
        <v>42</v>
      </c>
      <c r="L530" s="438" t="s">
        <v>2473</v>
      </c>
      <c r="M530" s="194" t="s">
        <v>586</v>
      </c>
      <c r="N530" s="177" t="e" cm="1">
        <f t="array" aca="1" ref="N530" ca="1">_xlfn.XLOOKUP(Contrato5[[#This Row],[SUPERVISOR TITULAR]],[2]!PERSONAL_ACTIVO_2024[[#All],[Nombre completo]],[2]!PERSONAL_ACTIVO_2024[[#All],[Documento identidad]],"",0)</f>
        <v>#NAME?</v>
      </c>
      <c r="O530" s="194" t="s">
        <v>589</v>
      </c>
      <c r="P530" s="196" t="e" cm="1">
        <f t="array" aca="1" ref="P530" ca="1">_xlfn.XLOOKUP(Contrato5[[#This Row],[SUPERVISOR SUPLENTE ]],[2]!PERSONAL_ACTIVO_2024[[#All],[Nombre completo]],[2]!PERSONAL_ACTIVO_2024[[#All],[Documento identidad]],"",0)</f>
        <v>#NAME?</v>
      </c>
      <c r="Q530" s="170">
        <v>563</v>
      </c>
      <c r="R530" s="137" t="e" cm="1">
        <f t="array" aca="1" ref="R530" ca="1">_xlfn.XLOOKUP(Contrato5[[#This Row],[CDP]],[2]!DISPONIBILIDADES_2024[[#All],[consecutivo]],[2]!DISPONIBILIDADES_2024[[#All],[fecha_aprobacion]],"",0)</f>
        <v>#NAME?</v>
      </c>
      <c r="S530" s="138" t="e">
        <f>SUMIF([2]!DISPONIBILIDADES_2024[[#All],[consecutivo]],Contrato5[[#This Row],[CDP]],[2]!DISPONIBILIDADES_2024[[#All],[valor_total_rubro]])</f>
        <v>#REF!</v>
      </c>
      <c r="T530" s="139" t="e" cm="1">
        <f t="array" aca="1" ref="T530" ca="1">_xlfn.XLOOKUP(Contrato5[[#This Row],[CONTRATO]]&amp;Contrato5[[#This Row],[CDP]],[2]!Corr_Contr_CDP[[#All],[CONTRATO-CDP]],[2]!Corr_Contr_CDP[[#All],[CRP]],_xlfn.XLOOKUP(Contrato5[[#This Row],[CDP]],[2]!COMPROMISOS_2024[[#All],[disponibilidad]],[2]!COMPROMISOS_2024[[#All],[consecutivo]],"",0),0)</f>
        <v>#NAME?</v>
      </c>
      <c r="U530" s="140" t="e" cm="1">
        <f t="array" aca="1" ref="U530" ca="1">+_xlfn.XLOOKUP(Contrato5[[#This Row],[RCP]],[2]!COMPROMISOS_2024[[#All],[consecutivo]],[2]!COMPROMISOS_2024[[#All],[fecha_aprobacion]],"",0)</f>
        <v>#NAME?</v>
      </c>
      <c r="V530" s="141" t="e">
        <f ca="1">SUMIF([2]!COMPROMISOS_2024[[#All],[consecutivo]],Contrato5[[#This Row],[RCP]],[2]!COMPROMISOS_2024[[#All],[valor_total]])</f>
        <v>#REF!</v>
      </c>
      <c r="W530" s="415">
        <v>45481</v>
      </c>
      <c r="X530" s="415" t="s">
        <v>2729</v>
      </c>
      <c r="Y530" s="143">
        <v>45482</v>
      </c>
      <c r="Z530" s="262">
        <v>45657</v>
      </c>
      <c r="AA530" s="171" t="s">
        <v>2730</v>
      </c>
      <c r="AB530" s="525" t="s">
        <v>2731</v>
      </c>
      <c r="AC530" s="172"/>
      <c r="AD530" s="211">
        <v>202000004630</v>
      </c>
      <c r="AE530" s="147" t="s">
        <v>523</v>
      </c>
      <c r="AF530" s="148" t="str">
        <f>TEXT(LEFT(Contrato5[[#This Row],[CONTRATO]],3),"0")</f>
        <v>416</v>
      </c>
      <c r="AG530" s="148" t="str">
        <f>IF(LEN(Contrato5[[#This Row],[Contrato2]])=3,Contrato5[[#This Row],[Contrato2]],TEXT(Contrato5[[#This Row],[Contrato2]],"000"))</f>
        <v>416</v>
      </c>
      <c r="AH530" s="149">
        <f ca="1">IFERROR(_xlfn.DAYS(Contrato5[[#This Row],[Fecha Proyectada liquidación]],TODAY())/30,"")</f>
        <v>0.6333333333333333</v>
      </c>
      <c r="AI530" s="150">
        <f>+Contrato5[[#This Row],[FECHA TERMINACIÓN ]]+120</f>
        <v>45777</v>
      </c>
      <c r="AJ530" s="147"/>
      <c r="AK530" s="152" t="str">
        <f ca="1">IF(Contrato5[[#This Row],[FECHA TERMINACIÓN ]]&lt;TODAY(), "Terminado",IF(ISNUMBER(Contrato5[[#This Row],[Fecha Real de liquiidación ]]),"Liquidado",IF(Contrato5[[#This Row],[FECHA TERMINACIÓN ]]&gt;=TODAY(),"En ejecución","")))</f>
        <v>Terminado</v>
      </c>
      <c r="AL530" s="153" t="e">
        <f ca="1">SUMIF([2]!COMPROMISOS_2024[[#All],[consecutivo]],Contrato5[[#This Row],[RCP]],[2]!COMPROMISOS_2024[[#All],[Total pagado]])</f>
        <v>#REF!</v>
      </c>
      <c r="AM530" s="154">
        <f ca="1">IFERROR(Contrato5[[#This Row],[Pagos]]/Contrato5[[#This Row],[VALOR CONTRATO]],0)</f>
        <v>0</v>
      </c>
      <c r="AN530" s="198" t="e">
        <f ca="1">+Contrato5[[#This Row],[VALOR CONTRATO]]-Contrato5[[#This Row],[Pagos]]</f>
        <v>#REF!</v>
      </c>
      <c r="AO530" s="147" t="e" cm="1">
        <f t="array" aca="1" ref="AO530" ca="1">_xlfn.XLOOKUP(Contrato5[[#This Row],[DOCUMENTO ]],[2]!PERSONAL_ACTIVO_2024[[#All],[Documento identidad]],[2]!PERSONAL_ACTIVO_2024[[#All],[Mail ]],0,0)</f>
        <v>#NAME?</v>
      </c>
      <c r="AP530" s="147" t="e" cm="1">
        <f t="array" aca="1" ref="AP530" ca="1">_xlfn.XLOOKUP(Contrato5[[#This Row],[DOCUMENTO]],[2]!PERSONAL_ACTIVO_2024[[#All],[Documento identidad]],[2]!PERSONAL_ACTIVO_2024[[#All],[Mail ]],0,0)</f>
        <v>#NAME?</v>
      </c>
      <c r="AQ530" s="439" cm="1">
        <f t="array" aca="1" ref="AQ530" ca="1">IF(ISBLANK(Contrato5[[#This Row],[DEPENDENCIA ]]),0,IFERROR(_xlfn.XLOOKUP(Contrato5[[#This Row],[DEPENDENCIA ]],[2]!PERSONAL_ACTIVO_2024[[#All],[Dependencia]],[2]!PERSONAL_ACTIVO_2024[[#All],[Mail ]],0,0),0))</f>
        <v>0</v>
      </c>
    </row>
    <row r="531" spans="1:43" ht="34.5" customHeight="1">
      <c r="A531" s="125">
        <v>781</v>
      </c>
      <c r="B531" s="124">
        <v>417</v>
      </c>
      <c r="C531" s="162" t="s">
        <v>2732</v>
      </c>
      <c r="D531" s="227" t="s">
        <v>583</v>
      </c>
      <c r="E531" s="440" t="s">
        <v>94</v>
      </c>
      <c r="F531" s="227" t="s">
        <v>1376</v>
      </c>
      <c r="G531" s="281" t="s">
        <v>2733</v>
      </c>
      <c r="H531" s="436">
        <v>1001539130</v>
      </c>
      <c r="I531" s="273">
        <v>6879081</v>
      </c>
      <c r="J531" s="437">
        <v>44714027</v>
      </c>
      <c r="K531" s="131" t="s">
        <v>2734</v>
      </c>
      <c r="L531" s="438" t="s">
        <v>2473</v>
      </c>
      <c r="M531" s="194" t="s">
        <v>592</v>
      </c>
      <c r="N531" s="177" t="e" cm="1">
        <f t="array" aca="1" ref="N531" ca="1">_xlfn.XLOOKUP(Contrato5[[#This Row],[SUPERVISOR TITULAR]],[2]!PERSONAL_ACTIVO_2024[[#All],[Nombre completo]],[2]!PERSONAL_ACTIVO_2024[[#All],[Documento identidad]],"",0)</f>
        <v>#NAME?</v>
      </c>
      <c r="O531" s="194" t="s">
        <v>600</v>
      </c>
      <c r="P531" s="196" t="e" cm="1">
        <f t="array" aca="1" ref="P531" ca="1">_xlfn.XLOOKUP(Contrato5[[#This Row],[SUPERVISOR SUPLENTE ]],[2]!PERSONAL_ACTIVO_2024[[#All],[Nombre completo]],[2]!PERSONAL_ACTIVO_2024[[#All],[Documento identidad]],"",0)</f>
        <v>#NAME?</v>
      </c>
      <c r="Q531" s="170">
        <v>611</v>
      </c>
      <c r="R531" s="137" t="e" cm="1">
        <f t="array" aca="1" ref="R531" ca="1">_xlfn.XLOOKUP(Contrato5[[#This Row],[CDP]],[2]!DISPONIBILIDADES_2024[[#All],[consecutivo]],[2]!DISPONIBILIDADES_2024[[#All],[fecha_aprobacion]],"",0)</f>
        <v>#NAME?</v>
      </c>
      <c r="S531" s="138" t="e">
        <f>SUMIF([2]!DISPONIBILIDADES_2024[[#All],[consecutivo]],Contrato5[[#This Row],[CDP]],[2]!DISPONIBILIDADES_2024[[#All],[valor_total_rubro]])</f>
        <v>#REF!</v>
      </c>
      <c r="T531" s="139" t="e" cm="1">
        <f t="array" aca="1" ref="T531" ca="1">_xlfn.XLOOKUP(Contrato5[[#This Row],[CONTRATO]]&amp;Contrato5[[#This Row],[CDP]],[2]!Corr_Contr_CDP[[#All],[CONTRATO-CDP]],[2]!Corr_Contr_CDP[[#All],[CRP]],_xlfn.XLOOKUP(Contrato5[[#This Row],[CDP]],[2]!COMPROMISOS_2024[[#All],[disponibilidad]],[2]!COMPROMISOS_2024[[#All],[consecutivo]],"",0),0)</f>
        <v>#NAME?</v>
      </c>
      <c r="U531" s="140" t="e" cm="1">
        <f t="array" aca="1" ref="U531" ca="1">+_xlfn.XLOOKUP(Contrato5[[#This Row],[RCP]],[2]!COMPROMISOS_2024[[#All],[consecutivo]],[2]!COMPROMISOS_2024[[#All],[fecha_aprobacion]],"",0)</f>
        <v>#NAME?</v>
      </c>
      <c r="V531" s="141" t="e">
        <f ca="1">SUMIF([2]!COMPROMISOS_2024[[#All],[consecutivo]],Contrato5[[#This Row],[RCP]],[2]!COMPROMISOS_2024[[#All],[valor_total]])</f>
        <v>#REF!</v>
      </c>
      <c r="W531" s="415">
        <v>45482</v>
      </c>
      <c r="X531" s="415" t="s">
        <v>2729</v>
      </c>
      <c r="Y531" s="143">
        <v>45484</v>
      </c>
      <c r="Z531" s="262">
        <v>45657</v>
      </c>
      <c r="AA531" s="171" t="s">
        <v>2735</v>
      </c>
      <c r="AB531" s="172" t="s">
        <v>2736</v>
      </c>
      <c r="AC531" s="172"/>
      <c r="AD531" s="211">
        <v>202000004631</v>
      </c>
      <c r="AE531" s="147" t="s">
        <v>523</v>
      </c>
      <c r="AF531" s="148" t="str">
        <f>TEXT(LEFT(Contrato5[[#This Row],[CONTRATO]],3),"0")</f>
        <v>417</v>
      </c>
      <c r="AG531" s="148" t="str">
        <f>IF(LEN(Contrato5[[#This Row],[Contrato2]])=3,Contrato5[[#This Row],[Contrato2]],TEXT(Contrato5[[#This Row],[Contrato2]],"000"))</f>
        <v>417</v>
      </c>
      <c r="AH531" s="149">
        <f ca="1">IFERROR(_xlfn.DAYS(Contrato5[[#This Row],[Fecha Proyectada liquidación]],TODAY())/30,"")</f>
        <v>0.6333333333333333</v>
      </c>
      <c r="AI531" s="150">
        <f>+Contrato5[[#This Row],[FECHA TERMINACIÓN ]]+120</f>
        <v>45777</v>
      </c>
      <c r="AJ531" s="147"/>
      <c r="AK531" s="152" t="str">
        <f ca="1">IF(Contrato5[[#This Row],[FECHA TERMINACIÓN ]]&lt;TODAY(), "Terminado",IF(ISNUMBER(Contrato5[[#This Row],[Fecha Real de liquiidación ]]),"Liquidado",IF(Contrato5[[#This Row],[FECHA TERMINACIÓN ]]&gt;=TODAY(),"En ejecución","")))</f>
        <v>Terminado</v>
      </c>
      <c r="AL531" s="153" t="e">
        <f ca="1">SUMIF([2]!COMPROMISOS_2024[[#All],[consecutivo]],Contrato5[[#This Row],[RCP]],[2]!COMPROMISOS_2024[[#All],[Total pagado]])</f>
        <v>#REF!</v>
      </c>
      <c r="AM531" s="154">
        <f ca="1">IFERROR(Contrato5[[#This Row],[Pagos]]/Contrato5[[#This Row],[VALOR CONTRATO]],0)</f>
        <v>0</v>
      </c>
      <c r="AN531" s="198" t="e">
        <f ca="1">+Contrato5[[#This Row],[VALOR CONTRATO]]-Contrato5[[#This Row],[Pagos]]</f>
        <v>#REF!</v>
      </c>
      <c r="AO531" s="147" t="e" cm="1">
        <f t="array" aca="1" ref="AO531" ca="1">_xlfn.XLOOKUP(Contrato5[[#This Row],[DOCUMENTO ]],[2]!PERSONAL_ACTIVO_2024[[#All],[Documento identidad]],[2]!PERSONAL_ACTIVO_2024[[#All],[Mail ]],0,0)</f>
        <v>#NAME?</v>
      </c>
      <c r="AP531" s="147" t="e" cm="1">
        <f t="array" aca="1" ref="AP531" ca="1">_xlfn.XLOOKUP(Contrato5[[#This Row],[DOCUMENTO]],[2]!PERSONAL_ACTIVO_2024[[#All],[Documento identidad]],[2]!PERSONAL_ACTIVO_2024[[#All],[Mail ]],0,0)</f>
        <v>#NAME?</v>
      </c>
      <c r="AQ531" s="439" cm="1">
        <f t="array" aca="1" ref="AQ531" ca="1">IF(ISBLANK(Contrato5[[#This Row],[DEPENDENCIA ]]),0,IFERROR(_xlfn.XLOOKUP(Contrato5[[#This Row],[DEPENDENCIA ]],[2]!PERSONAL_ACTIVO_2024[[#All],[Dependencia]],[2]!PERSONAL_ACTIVO_2024[[#All],[Mail ]],0,0),0))</f>
        <v>0</v>
      </c>
    </row>
    <row r="532" spans="1:43" ht="34.5" customHeight="1">
      <c r="A532" s="125">
        <v>807</v>
      </c>
      <c r="B532" s="124">
        <v>418</v>
      </c>
      <c r="C532" s="162" t="s">
        <v>1953</v>
      </c>
      <c r="D532" s="227" t="s">
        <v>583</v>
      </c>
      <c r="E532" s="440" t="s">
        <v>94</v>
      </c>
      <c r="F532" s="227" t="s">
        <v>1376</v>
      </c>
      <c r="G532" s="281" t="s">
        <v>2737</v>
      </c>
      <c r="H532" s="526" t="s">
        <v>2738</v>
      </c>
      <c r="I532" s="273" t="s">
        <v>2739</v>
      </c>
      <c r="J532" s="437">
        <v>26180992</v>
      </c>
      <c r="K532" s="131" t="s">
        <v>42</v>
      </c>
      <c r="L532" s="438" t="s">
        <v>2473</v>
      </c>
      <c r="M532" s="194" t="s">
        <v>592</v>
      </c>
      <c r="N532" s="177" t="e" cm="1">
        <f t="array" aca="1" ref="N532" ca="1">_xlfn.XLOOKUP(Contrato5[[#This Row],[SUPERVISOR TITULAR]],[2]!PERSONAL_ACTIVO_2024[[#All],[Nombre completo]],[2]!PERSONAL_ACTIVO_2024[[#All],[Documento identidad]],"",0)</f>
        <v>#NAME?</v>
      </c>
      <c r="O532" s="194" t="s">
        <v>600</v>
      </c>
      <c r="P532" s="196" t="e" cm="1">
        <f t="array" aca="1" ref="P532" ca="1">_xlfn.XLOOKUP(Contrato5[[#This Row],[SUPERVISOR SUPLENTE ]],[2]!PERSONAL_ACTIVO_2024[[#All],[Nombre completo]],[2]!PERSONAL_ACTIVO_2024[[#All],[Documento identidad]],"",0)</f>
        <v>#NAME?</v>
      </c>
      <c r="Q532" s="170">
        <v>603</v>
      </c>
      <c r="R532" s="137" t="e" cm="1">
        <f t="array" aca="1" ref="R532" ca="1">_xlfn.XLOOKUP(Contrato5[[#This Row],[CDP]],[2]!DISPONIBILIDADES_2024[[#All],[consecutivo]],[2]!DISPONIBILIDADES_2024[[#All],[fecha_aprobacion]],"",0)</f>
        <v>#NAME?</v>
      </c>
      <c r="S532" s="138" t="e">
        <f>SUMIF([2]!DISPONIBILIDADES_2024[[#All],[consecutivo]],Contrato5[[#This Row],[CDP]],[2]!DISPONIBILIDADES_2024[[#All],[valor_total_rubro]])</f>
        <v>#REF!</v>
      </c>
      <c r="T532" s="139" t="e" cm="1">
        <f t="array" aca="1" ref="T532" ca="1">_xlfn.XLOOKUP(Contrato5[[#This Row],[CONTRATO]]&amp;Contrato5[[#This Row],[CDP]],[2]!Corr_Contr_CDP[[#All],[CONTRATO-CDP]],[2]!Corr_Contr_CDP[[#All],[CRP]],_xlfn.XLOOKUP(Contrato5[[#This Row],[CDP]],[2]!COMPROMISOS_2024[[#All],[disponibilidad]],[2]!COMPROMISOS_2024[[#All],[consecutivo]],"",0),0)</f>
        <v>#NAME?</v>
      </c>
      <c r="U532" s="140" t="e" cm="1">
        <f t="array" aca="1" ref="U532" ca="1">+_xlfn.XLOOKUP(Contrato5[[#This Row],[RCP]],[2]!COMPROMISOS_2024[[#All],[consecutivo]],[2]!COMPROMISOS_2024[[#All],[fecha_aprobacion]],"",0)</f>
        <v>#NAME?</v>
      </c>
      <c r="V532" s="141" t="e">
        <f ca="1">SUMIF([2]!COMPROMISOS_2024[[#All],[consecutivo]],Contrato5[[#This Row],[RCP]],[2]!COMPROMISOS_2024[[#All],[valor_total]])</f>
        <v>#REF!</v>
      </c>
      <c r="W532" s="415">
        <v>45482</v>
      </c>
      <c r="X532" s="415" t="s">
        <v>2729</v>
      </c>
      <c r="Y532" s="143">
        <v>45484</v>
      </c>
      <c r="Z532" s="262">
        <v>45643</v>
      </c>
      <c r="AA532" s="171" t="s">
        <v>2740</v>
      </c>
      <c r="AB532" s="172" t="s">
        <v>2741</v>
      </c>
      <c r="AC532" s="172"/>
      <c r="AD532" s="211">
        <v>202000004632</v>
      </c>
      <c r="AE532" s="147" t="s">
        <v>523</v>
      </c>
      <c r="AF532" s="148" t="str">
        <f>TEXT(LEFT(Contrato5[[#This Row],[CONTRATO]],3),"0")</f>
        <v>418</v>
      </c>
      <c r="AG532" s="148" t="str">
        <f>IF(LEN(Contrato5[[#This Row],[Contrato2]])=3,Contrato5[[#This Row],[Contrato2]],TEXT(Contrato5[[#This Row],[Contrato2]],"000"))</f>
        <v>418</v>
      </c>
      <c r="AH532" s="149">
        <f ca="1">IFERROR(_xlfn.DAYS(Contrato5[[#This Row],[Fecha Proyectada liquidación]],TODAY())/30,"")</f>
        <v>0.16666666666666666</v>
      </c>
      <c r="AI532" s="150">
        <f>+Contrato5[[#This Row],[FECHA TERMINACIÓN ]]+120</f>
        <v>45763</v>
      </c>
      <c r="AJ532" s="147"/>
      <c r="AK532" s="152" t="str">
        <f ca="1">IF(Contrato5[[#This Row],[FECHA TERMINACIÓN ]]&lt;TODAY(), "Terminado",IF(ISNUMBER(Contrato5[[#This Row],[Fecha Real de liquiidación ]]),"Liquidado",IF(Contrato5[[#This Row],[FECHA TERMINACIÓN ]]&gt;=TODAY(),"En ejecución","")))</f>
        <v>Terminado</v>
      </c>
      <c r="AL532" s="153" t="e">
        <f ca="1">SUMIF([2]!COMPROMISOS_2024[[#All],[consecutivo]],Contrato5[[#This Row],[RCP]],[2]!COMPROMISOS_2024[[#All],[Total pagado]])</f>
        <v>#REF!</v>
      </c>
      <c r="AM532" s="154">
        <f ca="1">IFERROR(Contrato5[[#This Row],[Pagos]]/Contrato5[[#This Row],[VALOR CONTRATO]],0)</f>
        <v>0</v>
      </c>
      <c r="AN532" s="198" t="e">
        <f ca="1">+Contrato5[[#This Row],[VALOR CONTRATO]]-Contrato5[[#This Row],[Pagos]]</f>
        <v>#REF!</v>
      </c>
      <c r="AO532" s="147" t="e" cm="1">
        <f t="array" aca="1" ref="AO532" ca="1">_xlfn.XLOOKUP(Contrato5[[#This Row],[DOCUMENTO ]],[2]!PERSONAL_ACTIVO_2024[[#All],[Documento identidad]],[2]!PERSONAL_ACTIVO_2024[[#All],[Mail ]],0,0)</f>
        <v>#NAME?</v>
      </c>
      <c r="AP532" s="147" t="e" cm="1">
        <f t="array" aca="1" ref="AP532" ca="1">_xlfn.XLOOKUP(Contrato5[[#This Row],[DOCUMENTO]],[2]!PERSONAL_ACTIVO_2024[[#All],[Documento identidad]],[2]!PERSONAL_ACTIVO_2024[[#All],[Mail ]],0,0)</f>
        <v>#NAME?</v>
      </c>
      <c r="AQ532" s="439" cm="1">
        <f t="array" aca="1" ref="AQ532" ca="1">IF(ISBLANK(Contrato5[[#This Row],[DEPENDENCIA ]]),0,IFERROR(_xlfn.XLOOKUP(Contrato5[[#This Row],[DEPENDENCIA ]],[2]!PERSONAL_ACTIVO_2024[[#All],[Dependencia]],[2]!PERSONAL_ACTIVO_2024[[#All],[Mail ]],0,0),0))</f>
        <v>0</v>
      </c>
    </row>
    <row r="533" spans="1:43" ht="34.5" customHeight="1">
      <c r="A533" s="125">
        <v>808</v>
      </c>
      <c r="B533" s="124">
        <v>419</v>
      </c>
      <c r="C533" s="162" t="s">
        <v>1953</v>
      </c>
      <c r="D533" s="227" t="s">
        <v>583</v>
      </c>
      <c r="E533" s="440" t="s">
        <v>94</v>
      </c>
      <c r="F533" s="227" t="s">
        <v>1376</v>
      </c>
      <c r="G533" s="190" t="s">
        <v>2742</v>
      </c>
      <c r="H533" s="436">
        <v>71989906</v>
      </c>
      <c r="I533" s="273" t="s">
        <v>2739</v>
      </c>
      <c r="J533" s="437">
        <v>26180992</v>
      </c>
      <c r="K533" s="131" t="s">
        <v>42</v>
      </c>
      <c r="L533" s="438" t="s">
        <v>2473</v>
      </c>
      <c r="M533" s="194" t="s">
        <v>592</v>
      </c>
      <c r="N533" s="177" t="e" cm="1">
        <f t="array" aca="1" ref="N533" ca="1">_xlfn.XLOOKUP(Contrato5[[#This Row],[SUPERVISOR TITULAR]],[2]!PERSONAL_ACTIVO_2024[[#All],[Nombre completo]],[2]!PERSONAL_ACTIVO_2024[[#All],[Documento identidad]],"",0)</f>
        <v>#NAME?</v>
      </c>
      <c r="O533" s="194" t="s">
        <v>600</v>
      </c>
      <c r="P533" s="196" t="e" cm="1">
        <f t="array" aca="1" ref="P533" ca="1">_xlfn.XLOOKUP(Contrato5[[#This Row],[SUPERVISOR SUPLENTE ]],[2]!PERSONAL_ACTIVO_2024[[#All],[Nombre completo]],[2]!PERSONAL_ACTIVO_2024[[#All],[Documento identidad]],"",0)</f>
        <v>#NAME?</v>
      </c>
      <c r="Q533" s="170">
        <v>601</v>
      </c>
      <c r="R533" s="137" t="e" cm="1">
        <f t="array" aca="1" ref="R533" ca="1">_xlfn.XLOOKUP(Contrato5[[#This Row],[CDP]],[2]!DISPONIBILIDADES_2024[[#All],[consecutivo]],[2]!DISPONIBILIDADES_2024[[#All],[fecha_aprobacion]],"",0)</f>
        <v>#NAME?</v>
      </c>
      <c r="S533" s="138" t="e">
        <f>SUMIF([2]!DISPONIBILIDADES_2024[[#All],[consecutivo]],Contrato5[[#This Row],[CDP]],[2]!DISPONIBILIDADES_2024[[#All],[valor_total_rubro]])</f>
        <v>#REF!</v>
      </c>
      <c r="T533" s="139" t="e" cm="1">
        <f t="array" aca="1" ref="T533" ca="1">_xlfn.XLOOKUP(Contrato5[[#This Row],[CONTRATO]]&amp;Contrato5[[#This Row],[CDP]],[2]!Corr_Contr_CDP[[#All],[CONTRATO-CDP]],[2]!Corr_Contr_CDP[[#All],[CRP]],_xlfn.XLOOKUP(Contrato5[[#This Row],[CDP]],[2]!COMPROMISOS_2024[[#All],[disponibilidad]],[2]!COMPROMISOS_2024[[#All],[consecutivo]],"",0),0)</f>
        <v>#NAME?</v>
      </c>
      <c r="U533" s="140" t="e" cm="1">
        <f t="array" aca="1" ref="U533" ca="1">+_xlfn.XLOOKUP(Contrato5[[#This Row],[RCP]],[2]!COMPROMISOS_2024[[#All],[consecutivo]],[2]!COMPROMISOS_2024[[#All],[fecha_aprobacion]],"",0)</f>
        <v>#NAME?</v>
      </c>
      <c r="V533" s="141" t="e">
        <f ca="1">SUMIF([2]!COMPROMISOS_2024[[#All],[consecutivo]],Contrato5[[#This Row],[RCP]],[2]!COMPROMISOS_2024[[#All],[valor_total]])</f>
        <v>#REF!</v>
      </c>
      <c r="W533" s="415">
        <v>45482</v>
      </c>
      <c r="X533" s="415" t="s">
        <v>2729</v>
      </c>
      <c r="Y533" s="143">
        <v>45484</v>
      </c>
      <c r="Z533" s="262">
        <v>45643</v>
      </c>
      <c r="AA533" s="171" t="s">
        <v>2740</v>
      </c>
      <c r="AB533" s="172" t="s">
        <v>2741</v>
      </c>
      <c r="AC533" s="172"/>
      <c r="AD533" s="211">
        <v>202000004633</v>
      </c>
      <c r="AE533" s="147" t="s">
        <v>523</v>
      </c>
      <c r="AF533" s="148" t="str">
        <f>TEXT(LEFT(Contrato5[[#This Row],[CONTRATO]],3),"0")</f>
        <v>419</v>
      </c>
      <c r="AG533" s="148" t="str">
        <f>IF(LEN(Contrato5[[#This Row],[Contrato2]])=3,Contrato5[[#This Row],[Contrato2]],TEXT(Contrato5[[#This Row],[Contrato2]],"000"))</f>
        <v>419</v>
      </c>
      <c r="AH533" s="149">
        <f ca="1">IFERROR(_xlfn.DAYS(Contrato5[[#This Row],[Fecha Proyectada liquidación]],TODAY())/30,"")</f>
        <v>0.16666666666666666</v>
      </c>
      <c r="AI533" s="150">
        <f>+Contrato5[[#This Row],[FECHA TERMINACIÓN ]]+120</f>
        <v>45763</v>
      </c>
      <c r="AJ533" s="147"/>
      <c r="AK533" s="152" t="str">
        <f ca="1">IF(Contrato5[[#This Row],[FECHA TERMINACIÓN ]]&lt;TODAY(), "Terminado",IF(ISNUMBER(Contrato5[[#This Row],[Fecha Real de liquiidación ]]),"Liquidado",IF(Contrato5[[#This Row],[FECHA TERMINACIÓN ]]&gt;=TODAY(),"En ejecución","")))</f>
        <v>Terminado</v>
      </c>
      <c r="AL533" s="153" t="e">
        <f ca="1">SUMIF([2]!COMPROMISOS_2024[[#All],[consecutivo]],Contrato5[[#This Row],[RCP]],[2]!COMPROMISOS_2024[[#All],[Total pagado]])</f>
        <v>#REF!</v>
      </c>
      <c r="AM533" s="154">
        <f ca="1">IFERROR(Contrato5[[#This Row],[Pagos]]/Contrato5[[#This Row],[VALOR CONTRATO]],0)</f>
        <v>0</v>
      </c>
      <c r="AN533" s="198" t="e">
        <f ca="1">+Contrato5[[#This Row],[VALOR CONTRATO]]-Contrato5[[#This Row],[Pagos]]</f>
        <v>#REF!</v>
      </c>
      <c r="AO533" s="147" t="e" cm="1">
        <f t="array" aca="1" ref="AO533" ca="1">_xlfn.XLOOKUP(Contrato5[[#This Row],[DOCUMENTO ]],[2]!PERSONAL_ACTIVO_2024[[#All],[Documento identidad]],[2]!PERSONAL_ACTIVO_2024[[#All],[Mail ]],0,0)</f>
        <v>#NAME?</v>
      </c>
      <c r="AP533" s="147" t="e" cm="1">
        <f t="array" aca="1" ref="AP533" ca="1">_xlfn.XLOOKUP(Contrato5[[#This Row],[DOCUMENTO]],[2]!PERSONAL_ACTIVO_2024[[#All],[Documento identidad]],[2]!PERSONAL_ACTIVO_2024[[#All],[Mail ]],0,0)</f>
        <v>#NAME?</v>
      </c>
      <c r="AQ533" s="439" cm="1">
        <f t="array" aca="1" ref="AQ533" ca="1">IF(ISBLANK(Contrato5[[#This Row],[DEPENDENCIA ]]),0,IFERROR(_xlfn.XLOOKUP(Contrato5[[#This Row],[DEPENDENCIA ]],[2]!PERSONAL_ACTIVO_2024[[#All],[Dependencia]],[2]!PERSONAL_ACTIVO_2024[[#All],[Mail ]],0,0),0))</f>
        <v>0</v>
      </c>
    </row>
    <row r="534" spans="1:43" ht="34.5" customHeight="1">
      <c r="A534" s="125">
        <v>809</v>
      </c>
      <c r="B534" s="124">
        <v>420</v>
      </c>
      <c r="C534" s="162" t="s">
        <v>1953</v>
      </c>
      <c r="D534" s="227" t="s">
        <v>583</v>
      </c>
      <c r="E534" s="440" t="s">
        <v>94</v>
      </c>
      <c r="F534" s="227" t="s">
        <v>1376</v>
      </c>
      <c r="G534" s="190" t="s">
        <v>2743</v>
      </c>
      <c r="H534" s="436">
        <v>98761390</v>
      </c>
      <c r="I534" s="273" t="s">
        <v>2739</v>
      </c>
      <c r="J534" s="437">
        <v>26180992</v>
      </c>
      <c r="K534" s="131" t="s">
        <v>42</v>
      </c>
      <c r="L534" s="438" t="s">
        <v>2473</v>
      </c>
      <c r="M534" s="194" t="s">
        <v>592</v>
      </c>
      <c r="N534" s="177" t="e" cm="1">
        <f t="array" aca="1" ref="N534" ca="1">_xlfn.XLOOKUP(Contrato5[[#This Row],[SUPERVISOR TITULAR]],[2]!PERSONAL_ACTIVO_2024[[#All],[Nombre completo]],[2]!PERSONAL_ACTIVO_2024[[#All],[Documento identidad]],"",0)</f>
        <v>#NAME?</v>
      </c>
      <c r="O534" s="194" t="s">
        <v>600</v>
      </c>
      <c r="P534" s="196" t="e" cm="1">
        <f t="array" aca="1" ref="P534" ca="1">_xlfn.XLOOKUP(Contrato5[[#This Row],[SUPERVISOR SUPLENTE ]],[2]!PERSONAL_ACTIVO_2024[[#All],[Nombre completo]],[2]!PERSONAL_ACTIVO_2024[[#All],[Documento identidad]],"",0)</f>
        <v>#NAME?</v>
      </c>
      <c r="Q534" s="170">
        <v>599</v>
      </c>
      <c r="R534" s="137" t="e" cm="1">
        <f t="array" aca="1" ref="R534" ca="1">_xlfn.XLOOKUP(Contrato5[[#This Row],[CDP]],[2]!DISPONIBILIDADES_2024[[#All],[consecutivo]],[2]!DISPONIBILIDADES_2024[[#All],[fecha_aprobacion]],"",0)</f>
        <v>#NAME?</v>
      </c>
      <c r="S534" s="138" t="e">
        <f>SUMIF([2]!DISPONIBILIDADES_2024[[#All],[consecutivo]],Contrato5[[#This Row],[CDP]],[2]!DISPONIBILIDADES_2024[[#All],[valor_total_rubro]])</f>
        <v>#REF!</v>
      </c>
      <c r="T534" s="139" t="e" cm="1">
        <f t="array" aca="1" ref="T534" ca="1">_xlfn.XLOOKUP(Contrato5[[#This Row],[CONTRATO]]&amp;Contrato5[[#This Row],[CDP]],[2]!Corr_Contr_CDP[[#All],[CONTRATO-CDP]],[2]!Corr_Contr_CDP[[#All],[CRP]],_xlfn.XLOOKUP(Contrato5[[#This Row],[CDP]],[2]!COMPROMISOS_2024[[#All],[disponibilidad]],[2]!COMPROMISOS_2024[[#All],[consecutivo]],"",0),0)</f>
        <v>#NAME?</v>
      </c>
      <c r="U534" s="140" t="e" cm="1">
        <f t="array" aca="1" ref="U534" ca="1">+_xlfn.XLOOKUP(Contrato5[[#This Row],[RCP]],[2]!COMPROMISOS_2024[[#All],[consecutivo]],[2]!COMPROMISOS_2024[[#All],[fecha_aprobacion]],"",0)</f>
        <v>#NAME?</v>
      </c>
      <c r="V534" s="141" t="e">
        <f ca="1">SUMIF([2]!COMPROMISOS_2024[[#All],[consecutivo]],Contrato5[[#This Row],[RCP]],[2]!COMPROMISOS_2024[[#All],[valor_total]])</f>
        <v>#REF!</v>
      </c>
      <c r="W534" s="415">
        <v>45482</v>
      </c>
      <c r="X534" s="415" t="s">
        <v>2729</v>
      </c>
      <c r="Y534" s="143">
        <v>45484</v>
      </c>
      <c r="Z534" s="262">
        <v>45643</v>
      </c>
      <c r="AA534" s="171" t="s">
        <v>2740</v>
      </c>
      <c r="AB534" s="172" t="s">
        <v>2741</v>
      </c>
      <c r="AC534" s="172"/>
      <c r="AD534" s="211">
        <v>202000004635</v>
      </c>
      <c r="AE534" s="147" t="s">
        <v>523</v>
      </c>
      <c r="AF534" s="148" t="str">
        <f>TEXT(LEFT(Contrato5[[#This Row],[CONTRATO]],3),"0")</f>
        <v>420</v>
      </c>
      <c r="AG534" s="148" t="str">
        <f>IF(LEN(Contrato5[[#This Row],[Contrato2]])=3,Contrato5[[#This Row],[Contrato2]],TEXT(Contrato5[[#This Row],[Contrato2]],"000"))</f>
        <v>420</v>
      </c>
      <c r="AH534" s="149">
        <f ca="1">IFERROR(_xlfn.DAYS(Contrato5[[#This Row],[Fecha Proyectada liquidación]],TODAY())/30,"")</f>
        <v>0.16666666666666666</v>
      </c>
      <c r="AI534" s="150">
        <f>+Contrato5[[#This Row],[FECHA TERMINACIÓN ]]+120</f>
        <v>45763</v>
      </c>
      <c r="AJ534" s="147"/>
      <c r="AK534" s="152" t="str">
        <f ca="1">IF(Contrato5[[#This Row],[FECHA TERMINACIÓN ]]&lt;TODAY(), "Terminado",IF(ISNUMBER(Contrato5[[#This Row],[Fecha Real de liquiidación ]]),"Liquidado",IF(Contrato5[[#This Row],[FECHA TERMINACIÓN ]]&gt;=TODAY(),"En ejecución","")))</f>
        <v>Terminado</v>
      </c>
      <c r="AL534" s="153" t="e">
        <f ca="1">SUMIF([2]!COMPROMISOS_2024[[#All],[consecutivo]],Contrato5[[#This Row],[RCP]],[2]!COMPROMISOS_2024[[#All],[Total pagado]])</f>
        <v>#REF!</v>
      </c>
      <c r="AM534" s="154">
        <f ca="1">IFERROR(Contrato5[[#This Row],[Pagos]]/Contrato5[[#This Row],[VALOR CONTRATO]],0)</f>
        <v>0</v>
      </c>
      <c r="AN534" s="198" t="e">
        <f ca="1">+Contrato5[[#This Row],[VALOR CONTRATO]]-Contrato5[[#This Row],[Pagos]]</f>
        <v>#REF!</v>
      </c>
      <c r="AO534" s="147" t="e" cm="1">
        <f t="array" aca="1" ref="AO534" ca="1">_xlfn.XLOOKUP(Contrato5[[#This Row],[DOCUMENTO ]],[2]!PERSONAL_ACTIVO_2024[[#All],[Documento identidad]],[2]!PERSONAL_ACTIVO_2024[[#All],[Mail ]],0,0)</f>
        <v>#NAME?</v>
      </c>
      <c r="AP534" s="147" t="e" cm="1">
        <f t="array" aca="1" ref="AP534" ca="1">_xlfn.XLOOKUP(Contrato5[[#This Row],[DOCUMENTO]],[2]!PERSONAL_ACTIVO_2024[[#All],[Documento identidad]],[2]!PERSONAL_ACTIVO_2024[[#All],[Mail ]],0,0)</f>
        <v>#NAME?</v>
      </c>
      <c r="AQ534" s="439" cm="1">
        <f t="array" aca="1" ref="AQ534" ca="1">IF(ISBLANK(Contrato5[[#This Row],[DEPENDENCIA ]]),0,IFERROR(_xlfn.XLOOKUP(Contrato5[[#This Row],[DEPENDENCIA ]],[2]!PERSONAL_ACTIVO_2024[[#All],[Dependencia]],[2]!PERSONAL_ACTIVO_2024[[#All],[Mail ]],0,0),0))</f>
        <v>0</v>
      </c>
    </row>
    <row r="535" spans="1:43" ht="34.5" customHeight="1">
      <c r="A535" s="125">
        <v>836</v>
      </c>
      <c r="B535" s="124">
        <v>421</v>
      </c>
      <c r="C535" s="162" t="s">
        <v>1961</v>
      </c>
      <c r="D535" s="227" t="s">
        <v>583</v>
      </c>
      <c r="E535" s="440" t="s">
        <v>94</v>
      </c>
      <c r="F535" s="227" t="s">
        <v>1376</v>
      </c>
      <c r="G535" s="281" t="s">
        <v>2744</v>
      </c>
      <c r="H535" s="436">
        <v>1040355894</v>
      </c>
      <c r="I535" s="273" t="s">
        <v>2745</v>
      </c>
      <c r="J535" s="437">
        <v>21079371</v>
      </c>
      <c r="K535" s="131" t="s">
        <v>42</v>
      </c>
      <c r="L535" s="438" t="s">
        <v>2473</v>
      </c>
      <c r="M535" s="194" t="s">
        <v>589</v>
      </c>
      <c r="N535" s="177" t="e" cm="1">
        <f t="array" aca="1" ref="N535" ca="1">_xlfn.XLOOKUP(Contrato5[[#This Row],[SUPERVISOR TITULAR]],[2]!PERSONAL_ACTIVO_2024[[#All],[Nombre completo]],[2]!PERSONAL_ACTIVO_2024[[#All],[Documento identidad]],"",0)</f>
        <v>#NAME?</v>
      </c>
      <c r="O535" s="194" t="s">
        <v>586</v>
      </c>
      <c r="P535" s="196" t="e" cm="1">
        <f t="array" aca="1" ref="P535" ca="1">_xlfn.XLOOKUP(Contrato5[[#This Row],[SUPERVISOR SUPLENTE ]],[2]!PERSONAL_ACTIVO_2024[[#All],[Nombre completo]],[2]!PERSONAL_ACTIVO_2024[[#All],[Documento identidad]],"",0)</f>
        <v>#NAME?</v>
      </c>
      <c r="Q535" s="170">
        <v>613</v>
      </c>
      <c r="R535" s="137" t="e" cm="1">
        <f t="array" aca="1" ref="R535" ca="1">_xlfn.XLOOKUP(Contrato5[[#This Row],[CDP]],[2]!DISPONIBILIDADES_2024[[#All],[consecutivo]],[2]!DISPONIBILIDADES_2024[[#All],[fecha_aprobacion]],"",0)</f>
        <v>#NAME?</v>
      </c>
      <c r="S535" s="138" t="e">
        <f>SUMIF([2]!DISPONIBILIDADES_2024[[#All],[consecutivo]],Contrato5[[#This Row],[CDP]],[2]!DISPONIBILIDADES_2024[[#All],[valor_total_rubro]])</f>
        <v>#REF!</v>
      </c>
      <c r="T535" s="139" t="e" cm="1">
        <f t="array" aca="1" ref="T535" ca="1">_xlfn.XLOOKUP(Contrato5[[#This Row],[CONTRATO]]&amp;Contrato5[[#This Row],[CDP]],[2]!Corr_Contr_CDP[[#All],[CONTRATO-CDP]],[2]!Corr_Contr_CDP[[#All],[CRP]],_xlfn.XLOOKUP(Contrato5[[#This Row],[CDP]],[2]!COMPROMISOS_2024[[#All],[disponibilidad]],[2]!COMPROMISOS_2024[[#All],[consecutivo]],"",0),0)</f>
        <v>#NAME?</v>
      </c>
      <c r="U535" s="140" t="e" cm="1">
        <f t="array" aca="1" ref="U535" ca="1">+_xlfn.XLOOKUP(Contrato5[[#This Row],[RCP]],[2]!COMPROMISOS_2024[[#All],[consecutivo]],[2]!COMPROMISOS_2024[[#All],[fecha_aprobacion]],"",0)</f>
        <v>#NAME?</v>
      </c>
      <c r="V535" s="141" t="e">
        <f ca="1">SUMIF([2]!COMPROMISOS_2024[[#All],[consecutivo]],Contrato5[[#This Row],[RCP]],[2]!COMPROMISOS_2024[[#All],[valor_total]])</f>
        <v>#REF!</v>
      </c>
      <c r="W535" s="415">
        <v>45482</v>
      </c>
      <c r="X535" s="415" t="s">
        <v>2729</v>
      </c>
      <c r="Y535" s="143">
        <v>45484</v>
      </c>
      <c r="Z535" s="262">
        <v>45643</v>
      </c>
      <c r="AA535" s="171" t="s">
        <v>2740</v>
      </c>
      <c r="AB535" s="172" t="s">
        <v>2741</v>
      </c>
      <c r="AC535" s="172"/>
      <c r="AD535" s="211">
        <v>202000004636</v>
      </c>
      <c r="AE535" s="147" t="s">
        <v>523</v>
      </c>
      <c r="AF535" s="148" t="str">
        <f>TEXT(LEFT(Contrato5[[#This Row],[CONTRATO]],3),"0")</f>
        <v>421</v>
      </c>
      <c r="AG535" s="148" t="str">
        <f>IF(LEN(Contrato5[[#This Row],[Contrato2]])=3,Contrato5[[#This Row],[Contrato2]],TEXT(Contrato5[[#This Row],[Contrato2]],"000"))</f>
        <v>421</v>
      </c>
      <c r="AH535" s="149">
        <f ca="1">IFERROR(_xlfn.DAYS(Contrato5[[#This Row],[Fecha Proyectada liquidación]],TODAY())/30,"")</f>
        <v>0.16666666666666666</v>
      </c>
      <c r="AI535" s="150">
        <f>+Contrato5[[#This Row],[FECHA TERMINACIÓN ]]+120</f>
        <v>45763</v>
      </c>
      <c r="AJ535" s="147"/>
      <c r="AK535" s="152" t="str">
        <f ca="1">IF(Contrato5[[#This Row],[FECHA TERMINACIÓN ]]&lt;TODAY(), "Terminado",IF(ISNUMBER(Contrato5[[#This Row],[Fecha Real de liquiidación ]]),"Liquidado",IF(Contrato5[[#This Row],[FECHA TERMINACIÓN ]]&gt;=TODAY(),"En ejecución","")))</f>
        <v>Terminado</v>
      </c>
      <c r="AL535" s="153" t="e">
        <f ca="1">SUMIF([2]!COMPROMISOS_2024[[#All],[consecutivo]],Contrato5[[#This Row],[RCP]],[2]!COMPROMISOS_2024[[#All],[Total pagado]])</f>
        <v>#REF!</v>
      </c>
      <c r="AM535" s="154">
        <f ca="1">IFERROR(Contrato5[[#This Row],[Pagos]]/Contrato5[[#This Row],[VALOR CONTRATO]],0)</f>
        <v>0</v>
      </c>
      <c r="AN535" s="198" t="e">
        <f ca="1">+Contrato5[[#This Row],[VALOR CONTRATO]]-Contrato5[[#This Row],[Pagos]]</f>
        <v>#REF!</v>
      </c>
      <c r="AO535" s="147" t="e" cm="1">
        <f t="array" aca="1" ref="AO535" ca="1">_xlfn.XLOOKUP(Contrato5[[#This Row],[DOCUMENTO ]],[2]!PERSONAL_ACTIVO_2024[[#All],[Documento identidad]],[2]!PERSONAL_ACTIVO_2024[[#All],[Mail ]],0,0)</f>
        <v>#NAME?</v>
      </c>
      <c r="AP535" s="147" t="e" cm="1">
        <f t="array" aca="1" ref="AP535" ca="1">_xlfn.XLOOKUP(Contrato5[[#This Row],[DOCUMENTO]],[2]!PERSONAL_ACTIVO_2024[[#All],[Documento identidad]],[2]!PERSONAL_ACTIVO_2024[[#All],[Mail ]],0,0)</f>
        <v>#NAME?</v>
      </c>
      <c r="AQ535" s="439" cm="1">
        <f t="array" aca="1" ref="AQ535" ca="1">IF(ISBLANK(Contrato5[[#This Row],[DEPENDENCIA ]]),0,IFERROR(_xlfn.XLOOKUP(Contrato5[[#This Row],[DEPENDENCIA ]],[2]!PERSONAL_ACTIVO_2024[[#All],[Dependencia]],[2]!PERSONAL_ACTIVO_2024[[#All],[Mail ]],0,0),0))</f>
        <v>0</v>
      </c>
    </row>
    <row r="536" spans="1:43" ht="34.5" customHeight="1">
      <c r="A536" s="125">
        <v>834</v>
      </c>
      <c r="B536" s="124">
        <v>422</v>
      </c>
      <c r="C536" s="162" t="s">
        <v>1967</v>
      </c>
      <c r="D536" s="227" t="s">
        <v>583</v>
      </c>
      <c r="E536" s="440" t="s">
        <v>94</v>
      </c>
      <c r="F536" s="227" t="s">
        <v>1376</v>
      </c>
      <c r="G536" s="281" t="s">
        <v>2746</v>
      </c>
      <c r="H536" s="436">
        <v>1036935231</v>
      </c>
      <c r="I536" s="273" t="s">
        <v>2739</v>
      </c>
      <c r="J536" s="437">
        <v>26180992</v>
      </c>
      <c r="K536" s="131" t="s">
        <v>42</v>
      </c>
      <c r="L536" s="438" t="s">
        <v>2473</v>
      </c>
      <c r="M536" s="194" t="s">
        <v>586</v>
      </c>
      <c r="N536" s="177" t="e" cm="1">
        <f t="array" aca="1" ref="N536" ca="1">_xlfn.XLOOKUP(Contrato5[[#This Row],[SUPERVISOR TITULAR]],[2]!PERSONAL_ACTIVO_2024[[#All],[Nombre completo]],[2]!PERSONAL_ACTIVO_2024[[#All],[Documento identidad]],"",0)</f>
        <v>#NAME?</v>
      </c>
      <c r="O536" s="194" t="s">
        <v>589</v>
      </c>
      <c r="P536" s="196" t="e" cm="1">
        <f t="array" aca="1" ref="P536" ca="1">_xlfn.XLOOKUP(Contrato5[[#This Row],[SUPERVISOR SUPLENTE ]],[2]!PERSONAL_ACTIVO_2024[[#All],[Nombre completo]],[2]!PERSONAL_ACTIVO_2024[[#All],[Documento identidad]],"",0)</f>
        <v>#NAME?</v>
      </c>
      <c r="Q536" s="170">
        <v>612</v>
      </c>
      <c r="R536" s="137" t="e" cm="1">
        <f t="array" aca="1" ref="R536" ca="1">_xlfn.XLOOKUP(Contrato5[[#This Row],[CDP]],[2]!DISPONIBILIDADES_2024[[#All],[consecutivo]],[2]!DISPONIBILIDADES_2024[[#All],[fecha_aprobacion]],"",0)</f>
        <v>#NAME?</v>
      </c>
      <c r="S536" s="138" t="e">
        <f>SUMIF([2]!DISPONIBILIDADES_2024[[#All],[consecutivo]],Contrato5[[#This Row],[CDP]],[2]!DISPONIBILIDADES_2024[[#All],[valor_total_rubro]])</f>
        <v>#REF!</v>
      </c>
      <c r="T536" s="139" t="e" cm="1">
        <f t="array" aca="1" ref="T536" ca="1">_xlfn.XLOOKUP(Contrato5[[#This Row],[CONTRATO]]&amp;Contrato5[[#This Row],[CDP]],[2]!Corr_Contr_CDP[[#All],[CONTRATO-CDP]],[2]!Corr_Contr_CDP[[#All],[CRP]],_xlfn.XLOOKUP(Contrato5[[#This Row],[CDP]],[2]!COMPROMISOS_2024[[#All],[disponibilidad]],[2]!COMPROMISOS_2024[[#All],[consecutivo]],"",0),0)</f>
        <v>#NAME?</v>
      </c>
      <c r="U536" s="140" t="e" cm="1">
        <f t="array" aca="1" ref="U536" ca="1">+_xlfn.XLOOKUP(Contrato5[[#This Row],[RCP]],[2]!COMPROMISOS_2024[[#All],[consecutivo]],[2]!COMPROMISOS_2024[[#All],[fecha_aprobacion]],"",0)</f>
        <v>#NAME?</v>
      </c>
      <c r="V536" s="141" t="e">
        <f ca="1">SUMIF([2]!COMPROMISOS_2024[[#All],[consecutivo]],Contrato5[[#This Row],[RCP]],[2]!COMPROMISOS_2024[[#All],[valor_total]])</f>
        <v>#REF!</v>
      </c>
      <c r="W536" s="415">
        <v>45482</v>
      </c>
      <c r="X536" s="415" t="s">
        <v>2729</v>
      </c>
      <c r="Y536" s="143">
        <v>45484</v>
      </c>
      <c r="Z536" s="262">
        <v>45643</v>
      </c>
      <c r="AA536" s="171" t="s">
        <v>2740</v>
      </c>
      <c r="AB536" s="172" t="s">
        <v>2741</v>
      </c>
      <c r="AC536" s="172"/>
      <c r="AD536" s="211">
        <v>202000004637</v>
      </c>
      <c r="AE536" s="147" t="s">
        <v>523</v>
      </c>
      <c r="AF536" s="148" t="str">
        <f>TEXT(LEFT(Contrato5[[#This Row],[CONTRATO]],3),"0")</f>
        <v>422</v>
      </c>
      <c r="AG536" s="148" t="str">
        <f>IF(LEN(Contrato5[[#This Row],[Contrato2]])=3,Contrato5[[#This Row],[Contrato2]],TEXT(Contrato5[[#This Row],[Contrato2]],"000"))</f>
        <v>422</v>
      </c>
      <c r="AH536" s="149">
        <f ca="1">IFERROR(_xlfn.DAYS(Contrato5[[#This Row],[Fecha Proyectada liquidación]],TODAY())/30,"")</f>
        <v>0.16666666666666666</v>
      </c>
      <c r="AI536" s="150">
        <f>+Contrato5[[#This Row],[FECHA TERMINACIÓN ]]+120</f>
        <v>45763</v>
      </c>
      <c r="AJ536" s="147"/>
      <c r="AK536" s="152" t="str">
        <f ca="1">IF(Contrato5[[#This Row],[FECHA TERMINACIÓN ]]&lt;TODAY(), "Terminado",IF(ISNUMBER(Contrato5[[#This Row],[Fecha Real de liquiidación ]]),"Liquidado",IF(Contrato5[[#This Row],[FECHA TERMINACIÓN ]]&gt;=TODAY(),"En ejecución","")))</f>
        <v>Terminado</v>
      </c>
      <c r="AL536" s="153" t="e">
        <f ca="1">SUMIF([2]!COMPROMISOS_2024[[#All],[consecutivo]],Contrato5[[#This Row],[RCP]],[2]!COMPROMISOS_2024[[#All],[Total pagado]])</f>
        <v>#REF!</v>
      </c>
      <c r="AM536" s="154">
        <f ca="1">IFERROR(Contrato5[[#This Row],[Pagos]]/Contrato5[[#This Row],[VALOR CONTRATO]],0)</f>
        <v>0</v>
      </c>
      <c r="AN536" s="198" t="e">
        <f ca="1">+Contrato5[[#This Row],[VALOR CONTRATO]]-Contrato5[[#This Row],[Pagos]]</f>
        <v>#REF!</v>
      </c>
      <c r="AO536" s="147" t="e" cm="1">
        <f t="array" aca="1" ref="AO536" ca="1">_xlfn.XLOOKUP(Contrato5[[#This Row],[DOCUMENTO ]],[2]!PERSONAL_ACTIVO_2024[[#All],[Documento identidad]],[2]!PERSONAL_ACTIVO_2024[[#All],[Mail ]],0,0)</f>
        <v>#NAME?</v>
      </c>
      <c r="AP536" s="147" t="e" cm="1">
        <f t="array" aca="1" ref="AP536" ca="1">_xlfn.XLOOKUP(Contrato5[[#This Row],[DOCUMENTO]],[2]!PERSONAL_ACTIVO_2024[[#All],[Documento identidad]],[2]!PERSONAL_ACTIVO_2024[[#All],[Mail ]],0,0)</f>
        <v>#NAME?</v>
      </c>
      <c r="AQ536" s="439" cm="1">
        <f t="array" aca="1" ref="AQ536" ca="1">IF(ISBLANK(Contrato5[[#This Row],[DEPENDENCIA ]]),0,IFERROR(_xlfn.XLOOKUP(Contrato5[[#This Row],[DEPENDENCIA ]],[2]!PERSONAL_ACTIVO_2024[[#All],[Dependencia]],[2]!PERSONAL_ACTIVO_2024[[#All],[Mail ]],0,0),0))</f>
        <v>0</v>
      </c>
    </row>
    <row r="537" spans="1:43" ht="34.5" customHeight="1">
      <c r="A537" s="125">
        <v>817</v>
      </c>
      <c r="B537" s="124">
        <v>423</v>
      </c>
      <c r="C537" s="162" t="s">
        <v>1959</v>
      </c>
      <c r="D537" s="227" t="s">
        <v>583</v>
      </c>
      <c r="E537" s="440" t="s">
        <v>94</v>
      </c>
      <c r="F537" s="227" t="s">
        <v>1376</v>
      </c>
      <c r="G537" s="281" t="s">
        <v>1005</v>
      </c>
      <c r="H537" s="436">
        <v>2470571</v>
      </c>
      <c r="I537" s="273" t="s">
        <v>2747</v>
      </c>
      <c r="J537" s="437">
        <v>13646663</v>
      </c>
      <c r="K537" s="131" t="s">
        <v>42</v>
      </c>
      <c r="L537" s="438" t="s">
        <v>2473</v>
      </c>
      <c r="M537" s="194" t="s">
        <v>586</v>
      </c>
      <c r="N537" s="177" t="e" cm="1">
        <f t="array" aca="1" ref="N537" ca="1">_xlfn.XLOOKUP(Contrato5[[#This Row],[SUPERVISOR TITULAR]],[2]!PERSONAL_ACTIVO_2024[[#All],[Nombre completo]],[2]!PERSONAL_ACTIVO_2024[[#All],[Documento identidad]],"",0)</f>
        <v>#NAME?</v>
      </c>
      <c r="O537" s="194" t="s">
        <v>589</v>
      </c>
      <c r="P537" s="196" t="e" cm="1">
        <f t="array" aca="1" ref="P537" ca="1">_xlfn.XLOOKUP(Contrato5[[#This Row],[SUPERVISOR SUPLENTE ]],[2]!PERSONAL_ACTIVO_2024[[#All],[Nombre completo]],[2]!PERSONAL_ACTIVO_2024[[#All],[Documento identidad]],"",0)</f>
        <v>#NAME?</v>
      </c>
      <c r="Q537" s="170">
        <v>595</v>
      </c>
      <c r="R537" s="137" t="e" cm="1">
        <f t="array" aca="1" ref="R537" ca="1">_xlfn.XLOOKUP(Contrato5[[#This Row],[CDP]],[2]!DISPONIBILIDADES_2024[[#All],[consecutivo]],[2]!DISPONIBILIDADES_2024[[#All],[fecha_aprobacion]],"",0)</f>
        <v>#NAME?</v>
      </c>
      <c r="S537" s="138" t="e">
        <f>SUMIF([2]!DISPONIBILIDADES_2024[[#All],[consecutivo]],Contrato5[[#This Row],[CDP]],[2]!DISPONIBILIDADES_2024[[#All],[valor_total_rubro]])</f>
        <v>#REF!</v>
      </c>
      <c r="T537" s="139" t="e" cm="1">
        <f t="array" aca="1" ref="T537" ca="1">_xlfn.XLOOKUP(Contrato5[[#This Row],[CONTRATO]]&amp;Contrato5[[#This Row],[CDP]],[2]!Corr_Contr_CDP[[#All],[CONTRATO-CDP]],[2]!Corr_Contr_CDP[[#All],[CRP]],_xlfn.XLOOKUP(Contrato5[[#This Row],[CDP]],[2]!COMPROMISOS_2024[[#All],[disponibilidad]],[2]!COMPROMISOS_2024[[#All],[consecutivo]],"",0),0)</f>
        <v>#NAME?</v>
      </c>
      <c r="U537" s="140" t="e" cm="1">
        <f t="array" aca="1" ref="U537" ca="1">+_xlfn.XLOOKUP(Contrato5[[#This Row],[RCP]],[2]!COMPROMISOS_2024[[#All],[consecutivo]],[2]!COMPROMISOS_2024[[#All],[fecha_aprobacion]],"",0)</f>
        <v>#NAME?</v>
      </c>
      <c r="V537" s="141" t="e">
        <f ca="1">SUMIF([2]!COMPROMISOS_2024[[#All],[consecutivo]],Contrato5[[#This Row],[RCP]],[2]!COMPROMISOS_2024[[#All],[valor_total]])</f>
        <v>#REF!</v>
      </c>
      <c r="W537" s="415">
        <v>45483</v>
      </c>
      <c r="X537" s="415" t="s">
        <v>2729</v>
      </c>
      <c r="Y537" s="143">
        <v>45484</v>
      </c>
      <c r="Z537" s="262">
        <v>45643</v>
      </c>
      <c r="AA537" s="171" t="s">
        <v>2740</v>
      </c>
      <c r="AB537" s="172" t="s">
        <v>2748</v>
      </c>
      <c r="AC537" s="172"/>
      <c r="AD537" s="211">
        <v>202000004638</v>
      </c>
      <c r="AE537" s="147" t="s">
        <v>523</v>
      </c>
      <c r="AF537" s="148" t="str">
        <f>TEXT(LEFT(Contrato5[[#This Row],[CONTRATO]],3),"0")</f>
        <v>423</v>
      </c>
      <c r="AG537" s="148" t="str">
        <f>IF(LEN(Contrato5[[#This Row],[Contrato2]])=3,Contrato5[[#This Row],[Contrato2]],TEXT(Contrato5[[#This Row],[Contrato2]],"000"))</f>
        <v>423</v>
      </c>
      <c r="AH537" s="149">
        <f ca="1">IFERROR(_xlfn.DAYS(Contrato5[[#This Row],[Fecha Proyectada liquidación]],TODAY())/30,"")</f>
        <v>0.16666666666666666</v>
      </c>
      <c r="AI537" s="150">
        <f>+Contrato5[[#This Row],[FECHA TERMINACIÓN ]]+120</f>
        <v>45763</v>
      </c>
      <c r="AJ537" s="147"/>
      <c r="AK537" s="152" t="str">
        <f ca="1">IF(Contrato5[[#This Row],[FECHA TERMINACIÓN ]]&lt;TODAY(), "Terminado",IF(ISNUMBER(Contrato5[[#This Row],[Fecha Real de liquiidación ]]),"Liquidado",IF(Contrato5[[#This Row],[FECHA TERMINACIÓN ]]&gt;=TODAY(),"En ejecución","")))</f>
        <v>Terminado</v>
      </c>
      <c r="AL537" s="153" t="e">
        <f ca="1">SUMIF([2]!COMPROMISOS_2024[[#All],[consecutivo]],Contrato5[[#This Row],[RCP]],[2]!COMPROMISOS_2024[[#All],[Total pagado]])</f>
        <v>#REF!</v>
      </c>
      <c r="AM537" s="154">
        <f ca="1">IFERROR(Contrato5[[#This Row],[Pagos]]/Contrato5[[#This Row],[VALOR CONTRATO]],0)</f>
        <v>0</v>
      </c>
      <c r="AN537" s="198" t="e">
        <f ca="1">+Contrato5[[#This Row],[VALOR CONTRATO]]-Contrato5[[#This Row],[Pagos]]</f>
        <v>#REF!</v>
      </c>
      <c r="AO537" s="147" t="e" cm="1">
        <f t="array" aca="1" ref="AO537" ca="1">_xlfn.XLOOKUP(Contrato5[[#This Row],[DOCUMENTO ]],[2]!PERSONAL_ACTIVO_2024[[#All],[Documento identidad]],[2]!PERSONAL_ACTIVO_2024[[#All],[Mail ]],0,0)</f>
        <v>#NAME?</v>
      </c>
      <c r="AP537" s="147" t="e" cm="1">
        <f t="array" aca="1" ref="AP537" ca="1">_xlfn.XLOOKUP(Contrato5[[#This Row],[DOCUMENTO]],[2]!PERSONAL_ACTIVO_2024[[#All],[Documento identidad]],[2]!PERSONAL_ACTIVO_2024[[#All],[Mail ]],0,0)</f>
        <v>#NAME?</v>
      </c>
      <c r="AQ537" s="439" cm="1">
        <f t="array" aca="1" ref="AQ537" ca="1">IF(ISBLANK(Contrato5[[#This Row],[DEPENDENCIA ]]),0,IFERROR(_xlfn.XLOOKUP(Contrato5[[#This Row],[DEPENDENCIA ]],[2]!PERSONAL_ACTIVO_2024[[#All],[Dependencia]],[2]!PERSONAL_ACTIVO_2024[[#All],[Mail ]],0,0),0))</f>
        <v>0</v>
      </c>
    </row>
    <row r="538" spans="1:43" ht="34.5" customHeight="1">
      <c r="A538" s="125">
        <v>811</v>
      </c>
      <c r="B538" s="124">
        <v>424</v>
      </c>
      <c r="C538" s="162" t="s">
        <v>1735</v>
      </c>
      <c r="D538" s="227" t="s">
        <v>583</v>
      </c>
      <c r="E538" s="440" t="s">
        <v>94</v>
      </c>
      <c r="F538" s="227" t="s">
        <v>1376</v>
      </c>
      <c r="G538" s="281" t="s">
        <v>2749</v>
      </c>
      <c r="H538" s="436">
        <v>1152452785</v>
      </c>
      <c r="I538" s="273" t="s">
        <v>2745</v>
      </c>
      <c r="J538" s="437">
        <v>21079371</v>
      </c>
      <c r="K538" s="131" t="s">
        <v>42</v>
      </c>
      <c r="L538" s="438" t="s">
        <v>2473</v>
      </c>
      <c r="M538" s="194" t="s">
        <v>592</v>
      </c>
      <c r="N538" s="177" t="e" cm="1">
        <f t="array" aca="1" ref="N538" ca="1">_xlfn.XLOOKUP(Contrato5[[#This Row],[SUPERVISOR TITULAR]],[2]!PERSONAL_ACTIVO_2024[[#All],[Nombre completo]],[2]!PERSONAL_ACTIVO_2024[[#All],[Documento identidad]],"",0)</f>
        <v>#NAME?</v>
      </c>
      <c r="O538" s="194" t="s">
        <v>600</v>
      </c>
      <c r="P538" s="196" t="e" cm="1">
        <f t="array" aca="1" ref="P538" ca="1">_xlfn.XLOOKUP(Contrato5[[#This Row],[SUPERVISOR SUPLENTE ]],[2]!PERSONAL_ACTIVO_2024[[#All],[Nombre completo]],[2]!PERSONAL_ACTIVO_2024[[#All],[Documento identidad]],"",0)</f>
        <v>#NAME?</v>
      </c>
      <c r="Q538" s="170">
        <v>597</v>
      </c>
      <c r="R538" s="137" t="e" cm="1">
        <f t="array" aca="1" ref="R538" ca="1">_xlfn.XLOOKUP(Contrato5[[#This Row],[CDP]],[2]!DISPONIBILIDADES_2024[[#All],[consecutivo]],[2]!DISPONIBILIDADES_2024[[#All],[fecha_aprobacion]],"",0)</f>
        <v>#NAME?</v>
      </c>
      <c r="S538" s="138" t="e">
        <f>SUMIF([2]!DISPONIBILIDADES_2024[[#All],[consecutivo]],Contrato5[[#This Row],[CDP]],[2]!DISPONIBILIDADES_2024[[#All],[valor_total_rubro]])</f>
        <v>#REF!</v>
      </c>
      <c r="T538" s="139" t="e" cm="1">
        <f t="array" aca="1" ref="T538" ca="1">_xlfn.XLOOKUP(Contrato5[[#This Row],[CONTRATO]]&amp;Contrato5[[#This Row],[CDP]],[2]!Corr_Contr_CDP[[#All],[CONTRATO-CDP]],[2]!Corr_Contr_CDP[[#All],[CRP]],_xlfn.XLOOKUP(Contrato5[[#This Row],[CDP]],[2]!COMPROMISOS_2024[[#All],[disponibilidad]],[2]!COMPROMISOS_2024[[#All],[consecutivo]],"",0),0)</f>
        <v>#NAME?</v>
      </c>
      <c r="U538" s="140" t="e" cm="1">
        <f t="array" aca="1" ref="U538" ca="1">+_xlfn.XLOOKUP(Contrato5[[#This Row],[RCP]],[2]!COMPROMISOS_2024[[#All],[consecutivo]],[2]!COMPROMISOS_2024[[#All],[fecha_aprobacion]],"",0)</f>
        <v>#NAME?</v>
      </c>
      <c r="V538" s="141" t="e">
        <f ca="1">SUMIF([2]!COMPROMISOS_2024[[#All],[consecutivo]],Contrato5[[#This Row],[RCP]],[2]!COMPROMISOS_2024[[#All],[valor_total]])</f>
        <v>#REF!</v>
      </c>
      <c r="W538" s="415">
        <v>45482</v>
      </c>
      <c r="X538" s="415" t="s">
        <v>2729</v>
      </c>
      <c r="Y538" s="143">
        <v>45484</v>
      </c>
      <c r="Z538" s="262">
        <v>45643</v>
      </c>
      <c r="AA538" s="171" t="s">
        <v>2740</v>
      </c>
      <c r="AB538" s="172" t="s">
        <v>2741</v>
      </c>
      <c r="AC538" s="172"/>
      <c r="AD538" s="211">
        <v>202000004639</v>
      </c>
      <c r="AE538" s="147" t="s">
        <v>523</v>
      </c>
      <c r="AF538" s="148" t="str">
        <f>TEXT(LEFT(Contrato5[[#This Row],[CONTRATO]],3),"0")</f>
        <v>424</v>
      </c>
      <c r="AG538" s="148" t="str">
        <f>IF(LEN(Contrato5[[#This Row],[Contrato2]])=3,Contrato5[[#This Row],[Contrato2]],TEXT(Contrato5[[#This Row],[Contrato2]],"000"))</f>
        <v>424</v>
      </c>
      <c r="AH538" s="149">
        <f ca="1">IFERROR(_xlfn.DAYS(Contrato5[[#This Row],[Fecha Proyectada liquidación]],TODAY())/30,"")</f>
        <v>0.16666666666666666</v>
      </c>
      <c r="AI538" s="150">
        <f>+Contrato5[[#This Row],[FECHA TERMINACIÓN ]]+120</f>
        <v>45763</v>
      </c>
      <c r="AJ538" s="147"/>
      <c r="AK538" s="152" t="str">
        <f ca="1">IF(Contrato5[[#This Row],[FECHA TERMINACIÓN ]]&lt;TODAY(), "Terminado",IF(ISNUMBER(Contrato5[[#This Row],[Fecha Real de liquiidación ]]),"Liquidado",IF(Contrato5[[#This Row],[FECHA TERMINACIÓN ]]&gt;=TODAY(),"En ejecución","")))</f>
        <v>Terminado</v>
      </c>
      <c r="AL538" s="153" t="e">
        <f ca="1">SUMIF([2]!COMPROMISOS_2024[[#All],[consecutivo]],Contrato5[[#This Row],[RCP]],[2]!COMPROMISOS_2024[[#All],[Total pagado]])</f>
        <v>#REF!</v>
      </c>
      <c r="AM538" s="154">
        <f ca="1">IFERROR(Contrato5[[#This Row],[Pagos]]/Contrato5[[#This Row],[VALOR CONTRATO]],0)</f>
        <v>0</v>
      </c>
      <c r="AN538" s="198" t="e">
        <f ca="1">+Contrato5[[#This Row],[VALOR CONTRATO]]-Contrato5[[#This Row],[Pagos]]</f>
        <v>#REF!</v>
      </c>
      <c r="AO538" s="147" t="e" cm="1">
        <f t="array" aca="1" ref="AO538" ca="1">_xlfn.XLOOKUP(Contrato5[[#This Row],[DOCUMENTO ]],[2]!PERSONAL_ACTIVO_2024[[#All],[Documento identidad]],[2]!PERSONAL_ACTIVO_2024[[#All],[Mail ]],0,0)</f>
        <v>#NAME?</v>
      </c>
      <c r="AP538" s="147" t="e" cm="1">
        <f t="array" aca="1" ref="AP538" ca="1">_xlfn.XLOOKUP(Contrato5[[#This Row],[DOCUMENTO]],[2]!PERSONAL_ACTIVO_2024[[#All],[Documento identidad]],[2]!PERSONAL_ACTIVO_2024[[#All],[Mail ]],0,0)</f>
        <v>#NAME?</v>
      </c>
      <c r="AQ538" s="439" cm="1">
        <f t="array" aca="1" ref="AQ538" ca="1">IF(ISBLANK(Contrato5[[#This Row],[DEPENDENCIA ]]),0,IFERROR(_xlfn.XLOOKUP(Contrato5[[#This Row],[DEPENDENCIA ]],[2]!PERSONAL_ACTIVO_2024[[#All],[Dependencia]],[2]!PERSONAL_ACTIVO_2024[[#All],[Mail ]],0,0),0))</f>
        <v>0</v>
      </c>
    </row>
    <row r="539" spans="1:43" ht="34.5" customHeight="1">
      <c r="A539" s="125">
        <v>815</v>
      </c>
      <c r="B539" s="124">
        <v>425</v>
      </c>
      <c r="C539" s="162" t="s">
        <v>1957</v>
      </c>
      <c r="D539" s="227" t="s">
        <v>583</v>
      </c>
      <c r="E539" s="440" t="s">
        <v>94</v>
      </c>
      <c r="F539" s="227" t="s">
        <v>1376</v>
      </c>
      <c r="G539" s="281" t="s">
        <v>2750</v>
      </c>
      <c r="H539" s="436">
        <v>1152464295</v>
      </c>
      <c r="I539" s="273" t="s">
        <v>2747</v>
      </c>
      <c r="J539" s="437">
        <v>13732491</v>
      </c>
      <c r="K539" s="131" t="s">
        <v>42</v>
      </c>
      <c r="L539" s="438" t="s">
        <v>2473</v>
      </c>
      <c r="M539" s="194" t="s">
        <v>600</v>
      </c>
      <c r="N539" s="177" t="e" cm="1">
        <f t="array" aca="1" ref="N539" ca="1">_xlfn.XLOOKUP(Contrato5[[#This Row],[SUPERVISOR TITULAR]],[2]!PERSONAL_ACTIVO_2024[[#All],[Nombre completo]],[2]!PERSONAL_ACTIVO_2024[[#All],[Documento identidad]],"",0)</f>
        <v>#NAME?</v>
      </c>
      <c r="O539" s="194" t="s">
        <v>2495</v>
      </c>
      <c r="P539" s="196" t="e" cm="1">
        <f t="array" aca="1" ref="P539" ca="1">_xlfn.XLOOKUP(Contrato5[[#This Row],[SUPERVISOR SUPLENTE ]],[2]!PERSONAL_ACTIVO_2024[[#All],[Nombre completo]],[2]!PERSONAL_ACTIVO_2024[[#All],[Documento identidad]],"",0)</f>
        <v>#NAME?</v>
      </c>
      <c r="Q539" s="170">
        <v>600</v>
      </c>
      <c r="R539" s="137" t="e" cm="1">
        <f t="array" aca="1" ref="R539" ca="1">_xlfn.XLOOKUP(Contrato5[[#This Row],[CDP]],[2]!DISPONIBILIDADES_2024[[#All],[consecutivo]],[2]!DISPONIBILIDADES_2024[[#All],[fecha_aprobacion]],"",0)</f>
        <v>#NAME?</v>
      </c>
      <c r="S539" s="138" t="e">
        <f>SUMIF([2]!DISPONIBILIDADES_2024[[#All],[consecutivo]],Contrato5[[#This Row],[CDP]],[2]!DISPONIBILIDADES_2024[[#All],[valor_total_rubro]])</f>
        <v>#REF!</v>
      </c>
      <c r="T539" s="139" t="e" cm="1">
        <f t="array" aca="1" ref="T539" ca="1">_xlfn.XLOOKUP(Contrato5[[#This Row],[CONTRATO]]&amp;Contrato5[[#This Row],[CDP]],[2]!Corr_Contr_CDP[[#All],[CONTRATO-CDP]],[2]!Corr_Contr_CDP[[#All],[CRP]],_xlfn.XLOOKUP(Contrato5[[#This Row],[CDP]],[2]!COMPROMISOS_2024[[#All],[disponibilidad]],[2]!COMPROMISOS_2024[[#All],[consecutivo]],"",0),0)</f>
        <v>#NAME?</v>
      </c>
      <c r="U539" s="140" t="e" cm="1">
        <f t="array" aca="1" ref="U539" ca="1">+_xlfn.XLOOKUP(Contrato5[[#This Row],[RCP]],[2]!COMPROMISOS_2024[[#All],[consecutivo]],[2]!COMPROMISOS_2024[[#All],[fecha_aprobacion]],"",0)</f>
        <v>#NAME?</v>
      </c>
      <c r="V539" s="141" t="e">
        <f ca="1">SUMIF([2]!COMPROMISOS_2024[[#All],[consecutivo]],Contrato5[[#This Row],[RCP]],[2]!COMPROMISOS_2024[[#All],[valor_total]])</f>
        <v>#REF!</v>
      </c>
      <c r="W539" s="415">
        <v>45482</v>
      </c>
      <c r="X539" s="415" t="s">
        <v>2729</v>
      </c>
      <c r="Y539" s="143">
        <v>45484</v>
      </c>
      <c r="Z539" s="262">
        <v>45643</v>
      </c>
      <c r="AA539" s="171" t="s">
        <v>2740</v>
      </c>
      <c r="AB539" s="172" t="s">
        <v>2741</v>
      </c>
      <c r="AC539" s="172"/>
      <c r="AD539" s="211">
        <v>202000004640</v>
      </c>
      <c r="AE539" s="147" t="s">
        <v>523</v>
      </c>
      <c r="AF539" s="148" t="str">
        <f>TEXT(LEFT(Contrato5[[#This Row],[CONTRATO]],3),"0")</f>
        <v>425</v>
      </c>
      <c r="AG539" s="148" t="str">
        <f>IF(LEN(Contrato5[[#This Row],[Contrato2]])=3,Contrato5[[#This Row],[Contrato2]],TEXT(Contrato5[[#This Row],[Contrato2]],"000"))</f>
        <v>425</v>
      </c>
      <c r="AH539" s="149">
        <f ca="1">IFERROR(_xlfn.DAYS(Contrato5[[#This Row],[Fecha Proyectada liquidación]],TODAY())/30,"")</f>
        <v>0.16666666666666666</v>
      </c>
      <c r="AI539" s="150">
        <f>+Contrato5[[#This Row],[FECHA TERMINACIÓN ]]+120</f>
        <v>45763</v>
      </c>
      <c r="AJ539" s="147"/>
      <c r="AK539" s="152" t="str">
        <f ca="1">IF(Contrato5[[#This Row],[FECHA TERMINACIÓN ]]&lt;TODAY(), "Terminado",IF(ISNUMBER(Contrato5[[#This Row],[Fecha Real de liquiidación ]]),"Liquidado",IF(Contrato5[[#This Row],[FECHA TERMINACIÓN ]]&gt;=TODAY(),"En ejecución","")))</f>
        <v>Terminado</v>
      </c>
      <c r="AL539" s="153" t="e">
        <f ca="1">SUMIF([2]!COMPROMISOS_2024[[#All],[consecutivo]],Contrato5[[#This Row],[RCP]],[2]!COMPROMISOS_2024[[#All],[Total pagado]])</f>
        <v>#REF!</v>
      </c>
      <c r="AM539" s="154">
        <f ca="1">IFERROR(Contrato5[[#This Row],[Pagos]]/Contrato5[[#This Row],[VALOR CONTRATO]],0)</f>
        <v>0</v>
      </c>
      <c r="AN539" s="198" t="e">
        <f ca="1">+Contrato5[[#This Row],[VALOR CONTRATO]]-Contrato5[[#This Row],[Pagos]]</f>
        <v>#REF!</v>
      </c>
      <c r="AO539" s="147" t="e" cm="1">
        <f t="array" aca="1" ref="AO539" ca="1">_xlfn.XLOOKUP(Contrato5[[#This Row],[DOCUMENTO ]],[2]!PERSONAL_ACTIVO_2024[[#All],[Documento identidad]],[2]!PERSONAL_ACTIVO_2024[[#All],[Mail ]],0,0)</f>
        <v>#NAME?</v>
      </c>
      <c r="AP539" s="147" t="e" cm="1">
        <f t="array" aca="1" ref="AP539" ca="1">_xlfn.XLOOKUP(Contrato5[[#This Row],[DOCUMENTO]],[2]!PERSONAL_ACTIVO_2024[[#All],[Documento identidad]],[2]!PERSONAL_ACTIVO_2024[[#All],[Mail ]],0,0)</f>
        <v>#NAME?</v>
      </c>
      <c r="AQ539" s="439" cm="1">
        <f t="array" aca="1" ref="AQ539" ca="1">IF(ISBLANK(Contrato5[[#This Row],[DEPENDENCIA ]]),0,IFERROR(_xlfn.XLOOKUP(Contrato5[[#This Row],[DEPENDENCIA ]],[2]!PERSONAL_ACTIVO_2024[[#All],[Dependencia]],[2]!PERSONAL_ACTIVO_2024[[#All],[Mail ]],0,0),0))</f>
        <v>0</v>
      </c>
    </row>
    <row r="540" spans="1:43" ht="34.5" customHeight="1">
      <c r="A540" s="125">
        <v>812</v>
      </c>
      <c r="B540" s="124">
        <v>426</v>
      </c>
      <c r="C540" s="162" t="s">
        <v>1956</v>
      </c>
      <c r="D540" s="227" t="s">
        <v>583</v>
      </c>
      <c r="E540" s="440" t="s">
        <v>94</v>
      </c>
      <c r="F540" s="227" t="s">
        <v>1376</v>
      </c>
      <c r="G540" s="281" t="s">
        <v>2751</v>
      </c>
      <c r="H540" s="436">
        <v>1017143577</v>
      </c>
      <c r="I540" s="273" t="s">
        <v>2747</v>
      </c>
      <c r="J540" s="437">
        <v>13732491</v>
      </c>
      <c r="K540" s="131" t="s">
        <v>42</v>
      </c>
      <c r="L540" s="438" t="s">
        <v>2473</v>
      </c>
      <c r="M540" s="194" t="s">
        <v>589</v>
      </c>
      <c r="N540" s="177" t="e" cm="1">
        <f t="array" aca="1" ref="N540" ca="1">_xlfn.XLOOKUP(Contrato5[[#This Row],[SUPERVISOR TITULAR]],[2]!PERSONAL_ACTIVO_2024[[#All],[Nombre completo]],[2]!PERSONAL_ACTIVO_2024[[#All],[Documento identidad]],"",0)</f>
        <v>#NAME?</v>
      </c>
      <c r="O540" s="194" t="s">
        <v>586</v>
      </c>
      <c r="P540" s="196" t="e" cm="1">
        <f t="array" aca="1" ref="P540" ca="1">_xlfn.XLOOKUP(Contrato5[[#This Row],[SUPERVISOR SUPLENTE ]],[2]!PERSONAL_ACTIVO_2024[[#All],[Nombre completo]],[2]!PERSONAL_ACTIVO_2024[[#All],[Documento identidad]],"",0)</f>
        <v>#NAME?</v>
      </c>
      <c r="Q540" s="170">
        <v>593</v>
      </c>
      <c r="R540" s="137" t="e" cm="1">
        <f t="array" aca="1" ref="R540" ca="1">_xlfn.XLOOKUP(Contrato5[[#This Row],[CDP]],[2]!DISPONIBILIDADES_2024[[#All],[consecutivo]],[2]!DISPONIBILIDADES_2024[[#All],[fecha_aprobacion]],"",0)</f>
        <v>#NAME?</v>
      </c>
      <c r="S540" s="138" t="e">
        <f>SUMIF([2]!DISPONIBILIDADES_2024[[#All],[consecutivo]],Contrato5[[#This Row],[CDP]],[2]!DISPONIBILIDADES_2024[[#All],[valor_total_rubro]])</f>
        <v>#REF!</v>
      </c>
      <c r="T540" s="139" t="e" cm="1">
        <f t="array" aca="1" ref="T540" ca="1">_xlfn.XLOOKUP(Contrato5[[#This Row],[CONTRATO]]&amp;Contrato5[[#This Row],[CDP]],[2]!Corr_Contr_CDP[[#All],[CONTRATO-CDP]],[2]!Corr_Contr_CDP[[#All],[CRP]],_xlfn.XLOOKUP(Contrato5[[#This Row],[CDP]],[2]!COMPROMISOS_2024[[#All],[disponibilidad]],[2]!COMPROMISOS_2024[[#All],[consecutivo]],"",0),0)</f>
        <v>#NAME?</v>
      </c>
      <c r="U540" s="140" t="e" cm="1">
        <f t="array" aca="1" ref="U540" ca="1">+_xlfn.XLOOKUP(Contrato5[[#This Row],[RCP]],[2]!COMPROMISOS_2024[[#All],[consecutivo]],[2]!COMPROMISOS_2024[[#All],[fecha_aprobacion]],"",0)</f>
        <v>#NAME?</v>
      </c>
      <c r="V540" s="141" t="e">
        <f ca="1">SUMIF([2]!COMPROMISOS_2024[[#All],[consecutivo]],Contrato5[[#This Row],[RCP]],[2]!COMPROMISOS_2024[[#All],[valor_total]])</f>
        <v>#REF!</v>
      </c>
      <c r="W540" s="415">
        <v>45482</v>
      </c>
      <c r="X540" s="415" t="s">
        <v>2729</v>
      </c>
      <c r="Y540" s="143">
        <v>45484</v>
      </c>
      <c r="Z540" s="262">
        <v>45643</v>
      </c>
      <c r="AA540" s="171" t="s">
        <v>2740</v>
      </c>
      <c r="AB540" s="172" t="s">
        <v>2741</v>
      </c>
      <c r="AC540" s="172"/>
      <c r="AD540" s="211">
        <v>202000004641</v>
      </c>
      <c r="AE540" s="147" t="s">
        <v>523</v>
      </c>
      <c r="AF540" s="148" t="str">
        <f>TEXT(LEFT(Contrato5[[#This Row],[CONTRATO]],3),"0")</f>
        <v>426</v>
      </c>
      <c r="AG540" s="148" t="str">
        <f>IF(LEN(Contrato5[[#This Row],[Contrato2]])=3,Contrato5[[#This Row],[Contrato2]],TEXT(Contrato5[[#This Row],[Contrato2]],"000"))</f>
        <v>426</v>
      </c>
      <c r="AH540" s="149">
        <f ca="1">IFERROR(_xlfn.DAYS(Contrato5[[#This Row],[Fecha Proyectada liquidación]],TODAY())/30,"")</f>
        <v>0.16666666666666666</v>
      </c>
      <c r="AI540" s="150">
        <f>+Contrato5[[#This Row],[FECHA TERMINACIÓN ]]+120</f>
        <v>45763</v>
      </c>
      <c r="AJ540" s="147"/>
      <c r="AK540" s="152" t="str">
        <f ca="1">IF(Contrato5[[#This Row],[FECHA TERMINACIÓN ]]&lt;TODAY(), "Terminado",IF(ISNUMBER(Contrato5[[#This Row],[Fecha Real de liquiidación ]]),"Liquidado",IF(Contrato5[[#This Row],[FECHA TERMINACIÓN ]]&gt;=TODAY(),"En ejecución","")))</f>
        <v>Terminado</v>
      </c>
      <c r="AL540" s="153" t="e">
        <f ca="1">SUMIF([2]!COMPROMISOS_2024[[#All],[consecutivo]],Contrato5[[#This Row],[RCP]],[2]!COMPROMISOS_2024[[#All],[Total pagado]])</f>
        <v>#REF!</v>
      </c>
      <c r="AM540" s="154">
        <f ca="1">IFERROR(Contrato5[[#This Row],[Pagos]]/Contrato5[[#This Row],[VALOR CONTRATO]],0)</f>
        <v>0</v>
      </c>
      <c r="AN540" s="198" t="e">
        <f ca="1">+Contrato5[[#This Row],[VALOR CONTRATO]]-Contrato5[[#This Row],[Pagos]]</f>
        <v>#REF!</v>
      </c>
      <c r="AO540" s="147" t="e" cm="1">
        <f t="array" aca="1" ref="AO540" ca="1">_xlfn.XLOOKUP(Contrato5[[#This Row],[DOCUMENTO ]],[2]!PERSONAL_ACTIVO_2024[[#All],[Documento identidad]],[2]!PERSONAL_ACTIVO_2024[[#All],[Mail ]],0,0)</f>
        <v>#NAME?</v>
      </c>
      <c r="AP540" s="147" t="e" cm="1">
        <f t="array" aca="1" ref="AP540" ca="1">_xlfn.XLOOKUP(Contrato5[[#This Row],[DOCUMENTO]],[2]!PERSONAL_ACTIVO_2024[[#All],[Documento identidad]],[2]!PERSONAL_ACTIVO_2024[[#All],[Mail ]],0,0)</f>
        <v>#NAME?</v>
      </c>
      <c r="AQ540" s="439" cm="1">
        <f t="array" aca="1" ref="AQ540" ca="1">IF(ISBLANK(Contrato5[[#This Row],[DEPENDENCIA ]]),0,IFERROR(_xlfn.XLOOKUP(Contrato5[[#This Row],[DEPENDENCIA ]],[2]!PERSONAL_ACTIVO_2024[[#All],[Dependencia]],[2]!PERSONAL_ACTIVO_2024[[#All],[Mail ]],0,0),0))</f>
        <v>0</v>
      </c>
    </row>
    <row r="541" spans="1:43" ht="34.5" customHeight="1">
      <c r="A541" s="125">
        <v>813</v>
      </c>
      <c r="B541" s="124">
        <v>427</v>
      </c>
      <c r="C541" s="162" t="s">
        <v>1956</v>
      </c>
      <c r="D541" s="227" t="s">
        <v>583</v>
      </c>
      <c r="E541" s="440" t="s">
        <v>94</v>
      </c>
      <c r="F541" s="227" t="s">
        <v>1376</v>
      </c>
      <c r="G541" s="281" t="s">
        <v>2752</v>
      </c>
      <c r="H541" s="436">
        <v>71366839</v>
      </c>
      <c r="I541" s="273" t="s">
        <v>2753</v>
      </c>
      <c r="J541" s="437">
        <v>36907568</v>
      </c>
      <c r="K541" s="131" t="s">
        <v>42</v>
      </c>
      <c r="L541" s="438" t="s">
        <v>2473</v>
      </c>
      <c r="M541" s="194" t="s">
        <v>589</v>
      </c>
      <c r="N541" s="177" t="e" cm="1">
        <f t="array" aca="1" ref="N541" ca="1">_xlfn.XLOOKUP(Contrato5[[#This Row],[SUPERVISOR TITULAR]],[2]!PERSONAL_ACTIVO_2024[[#All],[Nombre completo]],[2]!PERSONAL_ACTIVO_2024[[#All],[Documento identidad]],"",0)</f>
        <v>#NAME?</v>
      </c>
      <c r="O541" s="194" t="s">
        <v>586</v>
      </c>
      <c r="P541" s="196" t="e" cm="1">
        <f t="array" aca="1" ref="P541" ca="1">_xlfn.XLOOKUP(Contrato5[[#This Row],[SUPERVISOR SUPLENTE ]],[2]!PERSONAL_ACTIVO_2024[[#All],[Nombre completo]],[2]!PERSONAL_ACTIVO_2024[[#All],[Documento identidad]],"",0)</f>
        <v>#NAME?</v>
      </c>
      <c r="Q541" s="170">
        <v>596</v>
      </c>
      <c r="R541" s="137" t="e" cm="1">
        <f t="array" aca="1" ref="R541" ca="1">_xlfn.XLOOKUP(Contrato5[[#This Row],[CDP]],[2]!DISPONIBILIDADES_2024[[#All],[consecutivo]],[2]!DISPONIBILIDADES_2024[[#All],[fecha_aprobacion]],"",0)</f>
        <v>#NAME?</v>
      </c>
      <c r="S541" s="138" t="e">
        <f>SUMIF([2]!DISPONIBILIDADES_2024[[#All],[consecutivo]],Contrato5[[#This Row],[CDP]],[2]!DISPONIBILIDADES_2024[[#All],[valor_total_rubro]])</f>
        <v>#REF!</v>
      </c>
      <c r="T541" s="139" t="e" cm="1">
        <f t="array" aca="1" ref="T541" ca="1">_xlfn.XLOOKUP(Contrato5[[#This Row],[CONTRATO]]&amp;Contrato5[[#This Row],[CDP]],[2]!Corr_Contr_CDP[[#All],[CONTRATO-CDP]],[2]!Corr_Contr_CDP[[#All],[CRP]],_xlfn.XLOOKUP(Contrato5[[#This Row],[CDP]],[2]!COMPROMISOS_2024[[#All],[disponibilidad]],[2]!COMPROMISOS_2024[[#All],[consecutivo]],"",0),0)</f>
        <v>#NAME?</v>
      </c>
      <c r="U541" s="140" t="e" cm="1">
        <f t="array" aca="1" ref="U541" ca="1">+_xlfn.XLOOKUP(Contrato5[[#This Row],[RCP]],[2]!COMPROMISOS_2024[[#All],[consecutivo]],[2]!COMPROMISOS_2024[[#All],[fecha_aprobacion]],"",0)</f>
        <v>#NAME?</v>
      </c>
      <c r="V541" s="141" t="e">
        <f ca="1">SUMIF([2]!COMPROMISOS_2024[[#All],[consecutivo]],Contrato5[[#This Row],[RCP]],[2]!COMPROMISOS_2024[[#All],[valor_total]])</f>
        <v>#REF!</v>
      </c>
      <c r="W541" s="415">
        <v>45482</v>
      </c>
      <c r="X541" s="415" t="s">
        <v>2729</v>
      </c>
      <c r="Y541" s="143">
        <v>45484</v>
      </c>
      <c r="Z541" s="262">
        <v>45643</v>
      </c>
      <c r="AA541" s="171" t="s">
        <v>2740</v>
      </c>
      <c r="AB541" s="172" t="s">
        <v>2741</v>
      </c>
      <c r="AC541" s="172"/>
      <c r="AD541" s="425">
        <v>202000004642</v>
      </c>
      <c r="AE541" s="147" t="s">
        <v>523</v>
      </c>
      <c r="AF541" s="148" t="str">
        <f>TEXT(LEFT(Contrato5[[#This Row],[CONTRATO]],3),"0")</f>
        <v>427</v>
      </c>
      <c r="AG541" s="148" t="str">
        <f>IF(LEN(Contrato5[[#This Row],[Contrato2]])=3,Contrato5[[#This Row],[Contrato2]],TEXT(Contrato5[[#This Row],[Contrato2]],"000"))</f>
        <v>427</v>
      </c>
      <c r="AH541" s="149">
        <f ca="1">IFERROR(_xlfn.DAYS(Contrato5[[#This Row],[Fecha Proyectada liquidación]],TODAY())/30,"")</f>
        <v>0.16666666666666666</v>
      </c>
      <c r="AI541" s="150">
        <f>+Contrato5[[#This Row],[FECHA TERMINACIÓN ]]+120</f>
        <v>45763</v>
      </c>
      <c r="AJ541" s="147"/>
      <c r="AK541" s="152" t="str">
        <f ca="1">IF(Contrato5[[#This Row],[FECHA TERMINACIÓN ]]&lt;TODAY(), "Terminado",IF(ISNUMBER(Contrato5[[#This Row],[Fecha Real de liquiidación ]]),"Liquidado",IF(Contrato5[[#This Row],[FECHA TERMINACIÓN ]]&gt;=TODAY(),"En ejecución","")))</f>
        <v>Terminado</v>
      </c>
      <c r="AL541" s="153" t="e">
        <f ca="1">SUMIF([2]!COMPROMISOS_2024[[#All],[consecutivo]],Contrato5[[#This Row],[RCP]],[2]!COMPROMISOS_2024[[#All],[Total pagado]])</f>
        <v>#REF!</v>
      </c>
      <c r="AM541" s="154">
        <f ca="1">IFERROR(Contrato5[[#This Row],[Pagos]]/Contrato5[[#This Row],[VALOR CONTRATO]],0)</f>
        <v>0</v>
      </c>
      <c r="AN541" s="198" t="e">
        <f ca="1">+Contrato5[[#This Row],[VALOR CONTRATO]]-Contrato5[[#This Row],[Pagos]]</f>
        <v>#REF!</v>
      </c>
      <c r="AO541" s="147" t="e" cm="1">
        <f t="array" aca="1" ref="AO541" ca="1">_xlfn.XLOOKUP(Contrato5[[#This Row],[DOCUMENTO ]],[2]!PERSONAL_ACTIVO_2024[[#All],[Documento identidad]],[2]!PERSONAL_ACTIVO_2024[[#All],[Mail ]],0,0)</f>
        <v>#NAME?</v>
      </c>
      <c r="AP541" s="147" t="e" cm="1">
        <f t="array" aca="1" ref="AP541" ca="1">_xlfn.XLOOKUP(Contrato5[[#This Row],[DOCUMENTO]],[2]!PERSONAL_ACTIVO_2024[[#All],[Documento identidad]],[2]!PERSONAL_ACTIVO_2024[[#All],[Mail ]],0,0)</f>
        <v>#NAME?</v>
      </c>
      <c r="AQ541" s="439" cm="1">
        <f t="array" aca="1" ref="AQ541" ca="1">IF(ISBLANK(Contrato5[[#This Row],[DEPENDENCIA ]]),0,IFERROR(_xlfn.XLOOKUP(Contrato5[[#This Row],[DEPENDENCIA ]],[2]!PERSONAL_ACTIVO_2024[[#All],[Dependencia]],[2]!PERSONAL_ACTIVO_2024[[#All],[Mail ]],0,0),0))</f>
        <v>0</v>
      </c>
    </row>
    <row r="542" spans="1:43" ht="34.5" customHeight="1">
      <c r="A542" s="125">
        <v>818</v>
      </c>
      <c r="B542" s="124">
        <v>428</v>
      </c>
      <c r="C542" s="162" t="s">
        <v>1960</v>
      </c>
      <c r="D542" s="227" t="s">
        <v>583</v>
      </c>
      <c r="E542" s="440" t="s">
        <v>94</v>
      </c>
      <c r="F542" s="227" t="s">
        <v>1376</v>
      </c>
      <c r="G542" s="281" t="s">
        <v>2754</v>
      </c>
      <c r="H542" s="436">
        <v>1041234805</v>
      </c>
      <c r="I542" s="273" t="s">
        <v>2747</v>
      </c>
      <c r="J542" s="437">
        <v>13732491</v>
      </c>
      <c r="K542" s="131" t="s">
        <v>42</v>
      </c>
      <c r="L542" s="438" t="s">
        <v>2473</v>
      </c>
      <c r="M542" s="194" t="s">
        <v>600</v>
      </c>
      <c r="N542" s="177" t="e" cm="1">
        <f t="array" aca="1" ref="N542" ca="1">_xlfn.XLOOKUP(Contrato5[[#This Row],[SUPERVISOR TITULAR]],[2]!PERSONAL_ACTIVO_2024[[#All],[Nombre completo]],[2]!PERSONAL_ACTIVO_2024[[#All],[Documento identidad]],"",0)</f>
        <v>#NAME?</v>
      </c>
      <c r="O542" s="194" t="s">
        <v>2495</v>
      </c>
      <c r="P542" s="196" t="e" cm="1">
        <f t="array" aca="1" ref="P542" ca="1">_xlfn.XLOOKUP(Contrato5[[#This Row],[SUPERVISOR SUPLENTE ]],[2]!PERSONAL_ACTIVO_2024[[#All],[Nombre completo]],[2]!PERSONAL_ACTIVO_2024[[#All],[Documento identidad]],"",0)</f>
        <v>#NAME?</v>
      </c>
      <c r="Q542" s="170">
        <v>606</v>
      </c>
      <c r="R542" s="137" t="e" cm="1">
        <f t="array" aca="1" ref="R542" ca="1">_xlfn.XLOOKUP(Contrato5[[#This Row],[CDP]],[2]!DISPONIBILIDADES_2024[[#All],[consecutivo]],[2]!DISPONIBILIDADES_2024[[#All],[fecha_aprobacion]],"",0)</f>
        <v>#NAME?</v>
      </c>
      <c r="S542" s="138" t="e">
        <f>SUMIF([2]!DISPONIBILIDADES_2024[[#All],[consecutivo]],Contrato5[[#This Row],[CDP]],[2]!DISPONIBILIDADES_2024[[#All],[valor_total_rubro]])</f>
        <v>#REF!</v>
      </c>
      <c r="T542" s="139" t="e" cm="1">
        <f t="array" aca="1" ref="T542" ca="1">_xlfn.XLOOKUP(Contrato5[[#This Row],[CONTRATO]]&amp;Contrato5[[#This Row],[CDP]],[2]!Corr_Contr_CDP[[#All],[CONTRATO-CDP]],[2]!Corr_Contr_CDP[[#All],[CRP]],_xlfn.XLOOKUP(Contrato5[[#This Row],[CDP]],[2]!COMPROMISOS_2024[[#All],[disponibilidad]],[2]!COMPROMISOS_2024[[#All],[consecutivo]],"",0),0)</f>
        <v>#NAME?</v>
      </c>
      <c r="U542" s="140" t="e" cm="1">
        <f t="array" aca="1" ref="U542" ca="1">+_xlfn.XLOOKUP(Contrato5[[#This Row],[RCP]],[2]!COMPROMISOS_2024[[#All],[consecutivo]],[2]!COMPROMISOS_2024[[#All],[fecha_aprobacion]],"",0)</f>
        <v>#NAME?</v>
      </c>
      <c r="V542" s="141" t="e">
        <f ca="1">SUMIF([2]!COMPROMISOS_2024[[#All],[consecutivo]],Contrato5[[#This Row],[RCP]],[2]!COMPROMISOS_2024[[#All],[valor_total]])</f>
        <v>#REF!</v>
      </c>
      <c r="W542" s="415">
        <v>45482</v>
      </c>
      <c r="X542" s="415" t="s">
        <v>2729</v>
      </c>
      <c r="Y542" s="143">
        <v>45484</v>
      </c>
      <c r="Z542" s="262">
        <v>45643</v>
      </c>
      <c r="AA542" s="171" t="s">
        <v>2740</v>
      </c>
      <c r="AB542" s="172" t="s">
        <v>2741</v>
      </c>
      <c r="AC542" s="172"/>
      <c r="AD542" s="425">
        <v>202000004643</v>
      </c>
      <c r="AE542" s="147" t="s">
        <v>523</v>
      </c>
      <c r="AF542" s="148" t="str">
        <f>TEXT(LEFT(Contrato5[[#This Row],[CONTRATO]],3),"0")</f>
        <v>428</v>
      </c>
      <c r="AG542" s="148" t="str">
        <f>IF(LEN(Contrato5[[#This Row],[Contrato2]])=3,Contrato5[[#This Row],[Contrato2]],TEXT(Contrato5[[#This Row],[Contrato2]],"000"))</f>
        <v>428</v>
      </c>
      <c r="AH542" s="149">
        <f ca="1">IFERROR(_xlfn.DAYS(Contrato5[[#This Row],[Fecha Proyectada liquidación]],TODAY())/30,"")</f>
        <v>0.16666666666666666</v>
      </c>
      <c r="AI542" s="150">
        <f>+Contrato5[[#This Row],[FECHA TERMINACIÓN ]]+120</f>
        <v>45763</v>
      </c>
      <c r="AJ542" s="147"/>
      <c r="AK542" s="152" t="str">
        <f ca="1">IF(Contrato5[[#This Row],[FECHA TERMINACIÓN ]]&lt;TODAY(), "Terminado",IF(ISNUMBER(Contrato5[[#This Row],[Fecha Real de liquiidación ]]),"Liquidado",IF(Contrato5[[#This Row],[FECHA TERMINACIÓN ]]&gt;=TODAY(),"En ejecución","")))</f>
        <v>Terminado</v>
      </c>
      <c r="AL542" s="153" t="e">
        <f ca="1">SUMIF([2]!COMPROMISOS_2024[[#All],[consecutivo]],Contrato5[[#This Row],[RCP]],[2]!COMPROMISOS_2024[[#All],[Total pagado]])</f>
        <v>#REF!</v>
      </c>
      <c r="AM542" s="154">
        <f ca="1">IFERROR(Contrato5[[#This Row],[Pagos]]/Contrato5[[#This Row],[VALOR CONTRATO]],0)</f>
        <v>0</v>
      </c>
      <c r="AN542" s="198" t="e">
        <f ca="1">+Contrato5[[#This Row],[VALOR CONTRATO]]-Contrato5[[#This Row],[Pagos]]</f>
        <v>#REF!</v>
      </c>
      <c r="AO542" s="147" t="e" cm="1">
        <f t="array" aca="1" ref="AO542" ca="1">_xlfn.XLOOKUP(Contrato5[[#This Row],[DOCUMENTO ]],[2]!PERSONAL_ACTIVO_2024[[#All],[Documento identidad]],[2]!PERSONAL_ACTIVO_2024[[#All],[Mail ]],0,0)</f>
        <v>#NAME?</v>
      </c>
      <c r="AP542" s="147" t="e" cm="1">
        <f t="array" aca="1" ref="AP542" ca="1">_xlfn.XLOOKUP(Contrato5[[#This Row],[DOCUMENTO]],[2]!PERSONAL_ACTIVO_2024[[#All],[Documento identidad]],[2]!PERSONAL_ACTIVO_2024[[#All],[Mail ]],0,0)</f>
        <v>#NAME?</v>
      </c>
      <c r="AQ542" s="439" cm="1">
        <f t="array" aca="1" ref="AQ542" ca="1">IF(ISBLANK(Contrato5[[#This Row],[DEPENDENCIA ]]),0,IFERROR(_xlfn.XLOOKUP(Contrato5[[#This Row],[DEPENDENCIA ]],[2]!PERSONAL_ACTIVO_2024[[#All],[Dependencia]],[2]!PERSONAL_ACTIVO_2024[[#All],[Mail ]],0,0),0))</f>
        <v>0</v>
      </c>
    </row>
    <row r="543" spans="1:43" ht="34.5" customHeight="1">
      <c r="A543" s="125">
        <v>816</v>
      </c>
      <c r="B543" s="124">
        <v>429</v>
      </c>
      <c r="C543" s="162" t="s">
        <v>1958</v>
      </c>
      <c r="D543" s="227" t="s">
        <v>583</v>
      </c>
      <c r="E543" s="440" t="s">
        <v>94</v>
      </c>
      <c r="F543" s="227" t="s">
        <v>1376</v>
      </c>
      <c r="G543" s="281" t="s">
        <v>2755</v>
      </c>
      <c r="H543" s="436">
        <v>1017257043</v>
      </c>
      <c r="I543" s="273" t="s">
        <v>2747</v>
      </c>
      <c r="J543" s="437">
        <v>13732491</v>
      </c>
      <c r="K543" s="131" t="s">
        <v>42</v>
      </c>
      <c r="L543" s="438" t="s">
        <v>2473</v>
      </c>
      <c r="M543" s="194" t="s">
        <v>586</v>
      </c>
      <c r="N543" s="177" t="e" cm="1">
        <f t="array" aca="1" ref="N543" ca="1">_xlfn.XLOOKUP(Contrato5[[#This Row],[SUPERVISOR TITULAR]],[2]!PERSONAL_ACTIVO_2024[[#All],[Nombre completo]],[2]!PERSONAL_ACTIVO_2024[[#All],[Documento identidad]],"",0)</f>
        <v>#NAME?</v>
      </c>
      <c r="O543" s="194" t="s">
        <v>589</v>
      </c>
      <c r="P543" s="196" t="e" cm="1">
        <f t="array" aca="1" ref="P543" ca="1">_xlfn.XLOOKUP(Contrato5[[#This Row],[SUPERVISOR SUPLENTE ]],[2]!PERSONAL_ACTIVO_2024[[#All],[Nombre completo]],[2]!PERSONAL_ACTIVO_2024[[#All],[Documento identidad]],"",0)</f>
        <v>#NAME?</v>
      </c>
      <c r="Q543" s="301">
        <v>605</v>
      </c>
      <c r="R543" s="137" t="e" cm="1">
        <f t="array" aca="1" ref="R543" ca="1">_xlfn.XLOOKUP(Contrato5[[#This Row],[CDP]],[2]!DISPONIBILIDADES_2024[[#All],[consecutivo]],[2]!DISPONIBILIDADES_2024[[#All],[fecha_aprobacion]],"",0)</f>
        <v>#NAME?</v>
      </c>
      <c r="S543" s="138" t="e">
        <f>SUMIF([2]!DISPONIBILIDADES_2024[[#All],[consecutivo]],Contrato5[[#This Row],[CDP]],[2]!DISPONIBILIDADES_2024[[#All],[valor_total_rubro]])</f>
        <v>#REF!</v>
      </c>
      <c r="T543" s="139" t="e" cm="1">
        <f t="array" aca="1" ref="T543" ca="1">_xlfn.XLOOKUP(Contrato5[[#This Row],[CONTRATO]]&amp;Contrato5[[#This Row],[CDP]],[2]!Corr_Contr_CDP[[#All],[CONTRATO-CDP]],[2]!Corr_Contr_CDP[[#All],[CRP]],_xlfn.XLOOKUP(Contrato5[[#This Row],[CDP]],[2]!COMPROMISOS_2024[[#All],[disponibilidad]],[2]!COMPROMISOS_2024[[#All],[consecutivo]],"",0),0)</f>
        <v>#NAME?</v>
      </c>
      <c r="U543" s="140" t="e" cm="1">
        <f t="array" aca="1" ref="U543" ca="1">+_xlfn.XLOOKUP(Contrato5[[#This Row],[RCP]],[2]!COMPROMISOS_2024[[#All],[consecutivo]],[2]!COMPROMISOS_2024[[#All],[fecha_aprobacion]],"",0)</f>
        <v>#NAME?</v>
      </c>
      <c r="V543" s="141" t="e">
        <f ca="1">SUMIF([2]!COMPROMISOS_2024[[#All],[consecutivo]],Contrato5[[#This Row],[RCP]],[2]!COMPROMISOS_2024[[#All],[valor_total]])</f>
        <v>#REF!</v>
      </c>
      <c r="W543" s="415">
        <v>45482</v>
      </c>
      <c r="X543" s="415" t="s">
        <v>2729</v>
      </c>
      <c r="Y543" s="143">
        <v>45484</v>
      </c>
      <c r="Z543" s="262">
        <v>45643</v>
      </c>
      <c r="AA543" s="171" t="s">
        <v>2740</v>
      </c>
      <c r="AB543" s="172" t="s">
        <v>2741</v>
      </c>
      <c r="AC543" s="172"/>
      <c r="AD543" s="211">
        <v>202000004644</v>
      </c>
      <c r="AE543" s="147" t="s">
        <v>523</v>
      </c>
      <c r="AF543" s="148" t="str">
        <f>TEXT(LEFT(Contrato5[[#This Row],[CONTRATO]],3),"0")</f>
        <v>429</v>
      </c>
      <c r="AG543" s="148" t="str">
        <f>IF(LEN(Contrato5[[#This Row],[Contrato2]])=3,Contrato5[[#This Row],[Contrato2]],TEXT(Contrato5[[#This Row],[Contrato2]],"000"))</f>
        <v>429</v>
      </c>
      <c r="AH543" s="149">
        <f ca="1">IFERROR(_xlfn.DAYS(Contrato5[[#This Row],[Fecha Proyectada liquidación]],TODAY())/30,"")</f>
        <v>0.16666666666666666</v>
      </c>
      <c r="AI543" s="150">
        <f>+Contrato5[[#This Row],[FECHA TERMINACIÓN ]]+120</f>
        <v>45763</v>
      </c>
      <c r="AJ543" s="147"/>
      <c r="AK543" s="152" t="str">
        <f ca="1">IF(Contrato5[[#This Row],[FECHA TERMINACIÓN ]]&lt;TODAY(), "Terminado",IF(ISNUMBER(Contrato5[[#This Row],[Fecha Real de liquiidación ]]),"Liquidado",IF(Contrato5[[#This Row],[FECHA TERMINACIÓN ]]&gt;=TODAY(),"En ejecución","")))</f>
        <v>Terminado</v>
      </c>
      <c r="AL543" s="153" t="e">
        <f ca="1">SUMIF([2]!COMPROMISOS_2024[[#All],[consecutivo]],Contrato5[[#This Row],[RCP]],[2]!COMPROMISOS_2024[[#All],[Total pagado]])</f>
        <v>#REF!</v>
      </c>
      <c r="AM543" s="154">
        <f ca="1">IFERROR(Contrato5[[#This Row],[Pagos]]/Contrato5[[#This Row],[VALOR CONTRATO]],0)</f>
        <v>0</v>
      </c>
      <c r="AN543" s="198" t="e">
        <f ca="1">+Contrato5[[#This Row],[VALOR CONTRATO]]-Contrato5[[#This Row],[Pagos]]</f>
        <v>#REF!</v>
      </c>
      <c r="AO543" s="147" t="e" cm="1">
        <f t="array" aca="1" ref="AO543" ca="1">_xlfn.XLOOKUP(Contrato5[[#This Row],[DOCUMENTO ]],[2]!PERSONAL_ACTIVO_2024[[#All],[Documento identidad]],[2]!PERSONAL_ACTIVO_2024[[#All],[Mail ]],0,0)</f>
        <v>#NAME?</v>
      </c>
      <c r="AP543" s="147" t="e" cm="1">
        <f t="array" aca="1" ref="AP543" ca="1">_xlfn.XLOOKUP(Contrato5[[#This Row],[DOCUMENTO]],[2]!PERSONAL_ACTIVO_2024[[#All],[Documento identidad]],[2]!PERSONAL_ACTIVO_2024[[#All],[Mail ]],0,0)</f>
        <v>#NAME?</v>
      </c>
      <c r="AQ543" s="439" cm="1">
        <f t="array" aca="1" ref="AQ543" ca="1">IF(ISBLANK(Contrato5[[#This Row],[DEPENDENCIA ]]),0,IFERROR(_xlfn.XLOOKUP(Contrato5[[#This Row],[DEPENDENCIA ]],[2]!PERSONAL_ACTIVO_2024[[#All],[Dependencia]],[2]!PERSONAL_ACTIVO_2024[[#All],[Mail ]],0,0),0))</f>
        <v>0</v>
      </c>
    </row>
    <row r="544" spans="1:43" ht="34.5" customHeight="1">
      <c r="A544" s="125">
        <v>789</v>
      </c>
      <c r="B544" s="124">
        <v>430</v>
      </c>
      <c r="C544" s="162" t="s">
        <v>1889</v>
      </c>
      <c r="D544" s="227" t="s">
        <v>515</v>
      </c>
      <c r="E544" s="440" t="s">
        <v>94</v>
      </c>
      <c r="F544" s="227" t="s">
        <v>255</v>
      </c>
      <c r="G544" s="281" t="s">
        <v>2756</v>
      </c>
      <c r="H544" s="436">
        <v>890984068</v>
      </c>
      <c r="I544" s="309" t="s">
        <v>344</v>
      </c>
      <c r="J544" s="437">
        <v>686065943</v>
      </c>
      <c r="K544" s="131" t="s">
        <v>2757</v>
      </c>
      <c r="L544" s="438" t="s">
        <v>2473</v>
      </c>
      <c r="M544" s="194" t="s">
        <v>836</v>
      </c>
      <c r="N544" s="177" t="e" cm="1">
        <f t="array" aca="1" ref="N544" ca="1">_xlfn.XLOOKUP(Contrato5[[#This Row],[SUPERVISOR TITULAR]],[2]!PERSONAL_ACTIVO_2024[[#All],[Nombre completo]],[2]!PERSONAL_ACTIVO_2024[[#All],[Documento identidad]],"",0)</f>
        <v>#NAME?</v>
      </c>
      <c r="O544" s="194" t="s">
        <v>906</v>
      </c>
      <c r="P544" s="196" t="e" cm="1">
        <f t="array" aca="1" ref="P544" ca="1">_xlfn.XLOOKUP(Contrato5[[#This Row],[SUPERVISOR SUPLENTE ]],[2]!PERSONAL_ACTIVO_2024[[#All],[Nombre completo]],[2]!PERSONAL_ACTIVO_2024[[#All],[Documento identidad]],"",0)</f>
        <v>#NAME?</v>
      </c>
      <c r="Q544" s="170">
        <v>570</v>
      </c>
      <c r="R544" s="137" t="e" cm="1">
        <f t="array" aca="1" ref="R544" ca="1">_xlfn.XLOOKUP(Contrato5[[#This Row],[CDP]],[2]!DISPONIBILIDADES_2024[[#All],[consecutivo]],[2]!DISPONIBILIDADES_2024[[#All],[fecha_aprobacion]],"",0)</f>
        <v>#NAME?</v>
      </c>
      <c r="S544" s="138" t="e">
        <f>SUMIF([2]!DISPONIBILIDADES_2024[[#All],[consecutivo]],Contrato5[[#This Row],[CDP]],[2]!DISPONIBILIDADES_2024[[#All],[valor_total_rubro]])</f>
        <v>#REF!</v>
      </c>
      <c r="T544" s="139" t="e" cm="1">
        <f t="array" aca="1" ref="T544" ca="1">_xlfn.XLOOKUP(Contrato5[[#This Row],[CONTRATO]]&amp;Contrato5[[#This Row],[CDP]],[2]!Corr_Contr_CDP[[#All],[CONTRATO-CDP]],[2]!Corr_Contr_CDP[[#All],[CRP]],_xlfn.XLOOKUP(Contrato5[[#This Row],[CDP]],[2]!COMPROMISOS_2024[[#All],[disponibilidad]],[2]!COMPROMISOS_2024[[#All],[consecutivo]],"",0),0)</f>
        <v>#NAME?</v>
      </c>
      <c r="U544" s="140" t="e" cm="1">
        <f t="array" aca="1" ref="U544" ca="1">+_xlfn.XLOOKUP(Contrato5[[#This Row],[RCP]],[2]!COMPROMISOS_2024[[#All],[consecutivo]],[2]!COMPROMISOS_2024[[#All],[fecha_aprobacion]],"",0)</f>
        <v>#NAME?</v>
      </c>
      <c r="V544" s="141" t="e">
        <f ca="1">SUMIF([2]!COMPROMISOS_2024[[#All],[consecutivo]],Contrato5[[#This Row],[RCP]],[2]!COMPROMISOS_2024[[#All],[valor_total]])</f>
        <v>#REF!</v>
      </c>
      <c r="W544" s="415">
        <v>45492</v>
      </c>
      <c r="X544" s="415">
        <v>45495</v>
      </c>
      <c r="Y544" s="143">
        <v>45495</v>
      </c>
      <c r="Z544" s="262">
        <v>45557</v>
      </c>
      <c r="AA544" s="171" t="s">
        <v>2758</v>
      </c>
      <c r="AB544" s="172" t="s">
        <v>2759</v>
      </c>
      <c r="AC544" s="172"/>
      <c r="AD544" s="211">
        <v>202000004645</v>
      </c>
      <c r="AE544" s="147" t="s">
        <v>523</v>
      </c>
      <c r="AF544" s="148" t="str">
        <f>TEXT(LEFT(Contrato5[[#This Row],[CONTRATO]],3),"0")</f>
        <v>430</v>
      </c>
      <c r="AG544" s="148" t="str">
        <f>IF(LEN(Contrato5[[#This Row],[Contrato2]])=3,Contrato5[[#This Row],[Contrato2]],TEXT(Contrato5[[#This Row],[Contrato2]],"000"))</f>
        <v>430</v>
      </c>
      <c r="AH544" s="149">
        <f ca="1">IFERROR(_xlfn.DAYS(Contrato5[[#This Row],[Fecha Proyectada liquidación]],TODAY())/30,"")</f>
        <v>-2.7</v>
      </c>
      <c r="AI544" s="150">
        <f>+Contrato5[[#This Row],[FECHA TERMINACIÓN ]]+120</f>
        <v>45677</v>
      </c>
      <c r="AJ544" s="147"/>
      <c r="AK544" s="152" t="str">
        <f ca="1">IF(Contrato5[[#This Row],[FECHA TERMINACIÓN ]]&lt;TODAY(), "Terminado",IF(ISNUMBER(Contrato5[[#This Row],[Fecha Real de liquiidación ]]),"Liquidado",IF(Contrato5[[#This Row],[FECHA TERMINACIÓN ]]&gt;=TODAY(),"En ejecución","")))</f>
        <v>Terminado</v>
      </c>
      <c r="AL544" s="153" t="e">
        <f ca="1">SUMIF([2]!COMPROMISOS_2024[[#All],[consecutivo]],Contrato5[[#This Row],[RCP]],[2]!COMPROMISOS_2024[[#All],[Total pagado]])</f>
        <v>#REF!</v>
      </c>
      <c r="AM544" s="154">
        <f ca="1">IFERROR(Contrato5[[#This Row],[Pagos]]/Contrato5[[#This Row],[VALOR CONTRATO]],0)</f>
        <v>0</v>
      </c>
      <c r="AN544" s="198" t="e">
        <f ca="1">+Contrato5[[#This Row],[VALOR CONTRATO]]-Contrato5[[#This Row],[Pagos]]</f>
        <v>#REF!</v>
      </c>
      <c r="AO544" s="147" t="e" cm="1">
        <f t="array" aca="1" ref="AO544" ca="1">_xlfn.XLOOKUP(Contrato5[[#This Row],[DOCUMENTO ]],[2]!PERSONAL_ACTIVO_2024[[#All],[Documento identidad]],[2]!PERSONAL_ACTIVO_2024[[#All],[Mail ]],0,0)</f>
        <v>#NAME?</v>
      </c>
      <c r="AP544" s="147" t="e" cm="1">
        <f t="array" aca="1" ref="AP544" ca="1">_xlfn.XLOOKUP(Contrato5[[#This Row],[DOCUMENTO]],[2]!PERSONAL_ACTIVO_2024[[#All],[Documento identidad]],[2]!PERSONAL_ACTIVO_2024[[#All],[Mail ]],0,0)</f>
        <v>#NAME?</v>
      </c>
      <c r="AQ544" s="439" cm="1">
        <f t="array" aca="1" ref="AQ544" ca="1">IF(ISBLANK(Contrato5[[#This Row],[DEPENDENCIA ]]),0,IFERROR(_xlfn.XLOOKUP(Contrato5[[#This Row],[DEPENDENCIA ]],[2]!PERSONAL_ACTIVO_2024[[#All],[Dependencia]],[2]!PERSONAL_ACTIVO_2024[[#All],[Mail ]],0,0),0))</f>
        <v>0</v>
      </c>
    </row>
    <row r="545" spans="1:43" ht="34.5" customHeight="1">
      <c r="A545" s="125">
        <v>699</v>
      </c>
      <c r="B545" s="124">
        <v>431</v>
      </c>
      <c r="C545" s="162" t="s">
        <v>1754</v>
      </c>
      <c r="D545" s="227" t="s">
        <v>583</v>
      </c>
      <c r="E545" s="440" t="s">
        <v>94</v>
      </c>
      <c r="F545" s="227" t="s">
        <v>1767</v>
      </c>
      <c r="G545" s="281" t="s">
        <v>2760</v>
      </c>
      <c r="H545" s="436">
        <v>890984144</v>
      </c>
      <c r="I545" s="273" t="s">
        <v>42</v>
      </c>
      <c r="J545" s="437">
        <v>60000000</v>
      </c>
      <c r="K545" s="413" t="s">
        <v>42</v>
      </c>
      <c r="L545" s="438" t="s">
        <v>2473</v>
      </c>
      <c r="M545" s="194" t="s">
        <v>592</v>
      </c>
      <c r="N545" s="177" t="e" cm="1">
        <f t="array" aca="1" ref="N545" ca="1">_xlfn.XLOOKUP(Contrato5[[#This Row],[SUPERVISOR TITULAR]],[2]!PERSONAL_ACTIVO_2024[[#All],[Nombre completo]],[2]!PERSONAL_ACTIVO_2024[[#All],[Documento identidad]],"",0)</f>
        <v>#NAME?</v>
      </c>
      <c r="O545" s="194" t="s">
        <v>600</v>
      </c>
      <c r="P545" s="196" t="e" cm="1">
        <f t="array" aca="1" ref="P545" ca="1">_xlfn.XLOOKUP(Contrato5[[#This Row],[SUPERVISOR SUPLENTE ]],[2]!PERSONAL_ACTIVO_2024[[#All],[Nombre completo]],[2]!PERSONAL_ACTIVO_2024[[#All],[Documento identidad]],"",0)</f>
        <v>#NAME?</v>
      </c>
      <c r="Q545" s="170">
        <v>555</v>
      </c>
      <c r="R545" s="137" t="e" cm="1">
        <f t="array" aca="1" ref="R545" ca="1">_xlfn.XLOOKUP(Contrato5[[#This Row],[CDP]],[2]!DISPONIBILIDADES_2024[[#All],[consecutivo]],[2]!DISPONIBILIDADES_2024[[#All],[fecha_aprobacion]],"",0)</f>
        <v>#NAME?</v>
      </c>
      <c r="S545" s="138" t="e">
        <f>SUMIF([2]!DISPONIBILIDADES_2024[[#All],[consecutivo]],Contrato5[[#This Row],[CDP]],[2]!DISPONIBILIDADES_2024[[#All],[valor_total_rubro]])</f>
        <v>#REF!</v>
      </c>
      <c r="T545" s="139" t="e" cm="1">
        <f t="array" aca="1" ref="T545" ca="1">_xlfn.XLOOKUP(Contrato5[[#This Row],[CONTRATO]]&amp;Contrato5[[#This Row],[CDP]],[2]!Corr_Contr_CDP[[#All],[CONTRATO-CDP]],[2]!Corr_Contr_CDP[[#All],[CRP]],_xlfn.XLOOKUP(Contrato5[[#This Row],[CDP]],[2]!COMPROMISOS_2024[[#All],[disponibilidad]],[2]!COMPROMISOS_2024[[#All],[consecutivo]],"",0),0)</f>
        <v>#NAME?</v>
      </c>
      <c r="U545" s="140" t="e" cm="1">
        <f t="array" aca="1" ref="U545" ca="1">+_xlfn.XLOOKUP(Contrato5[[#This Row],[RCP]],[2]!COMPROMISOS_2024[[#All],[consecutivo]],[2]!COMPROMISOS_2024[[#All],[fecha_aprobacion]],"",0)</f>
        <v>#NAME?</v>
      </c>
      <c r="V545" s="141" t="e">
        <f ca="1">SUMIF([2]!COMPROMISOS_2024[[#All],[consecutivo]],Contrato5[[#This Row],[RCP]],[2]!COMPROMISOS_2024[[#All],[valor_total]])</f>
        <v>#REF!</v>
      </c>
      <c r="W545" s="415">
        <v>45484</v>
      </c>
      <c r="X545" s="415">
        <v>45490</v>
      </c>
      <c r="Y545" s="143">
        <v>45491</v>
      </c>
      <c r="Z545" s="262">
        <v>45656</v>
      </c>
      <c r="AA545" s="171" t="s">
        <v>2761</v>
      </c>
      <c r="AB545" s="527" t="s">
        <v>2762</v>
      </c>
      <c r="AC545" s="172"/>
      <c r="AD545" s="211">
        <v>202000004646</v>
      </c>
      <c r="AE545" s="147" t="s">
        <v>523</v>
      </c>
      <c r="AF545" s="148" t="str">
        <f>TEXT(LEFT(Contrato5[[#This Row],[CONTRATO]],3),"0")</f>
        <v>431</v>
      </c>
      <c r="AG545" s="148" t="str">
        <f>IF(LEN(Contrato5[[#This Row],[Contrato2]])=3,Contrato5[[#This Row],[Contrato2]],TEXT(Contrato5[[#This Row],[Contrato2]],"000"))</f>
        <v>431</v>
      </c>
      <c r="AH545" s="149">
        <f ca="1">IFERROR(_xlfn.DAYS(Contrato5[[#This Row],[Fecha Proyectada liquidación]],TODAY())/30,"")</f>
        <v>0.6</v>
      </c>
      <c r="AI545" s="150">
        <f>+Contrato5[[#This Row],[FECHA TERMINACIÓN ]]+120</f>
        <v>45776</v>
      </c>
      <c r="AJ545" s="147"/>
      <c r="AK545" s="152" t="str">
        <f ca="1">IF(Contrato5[[#This Row],[FECHA TERMINACIÓN ]]&lt;TODAY(), "Terminado",IF(ISNUMBER(Contrato5[[#This Row],[Fecha Real de liquiidación ]]),"Liquidado",IF(Contrato5[[#This Row],[FECHA TERMINACIÓN ]]&gt;=TODAY(),"En ejecución","")))</f>
        <v>Terminado</v>
      </c>
      <c r="AL545" s="153" t="e">
        <f ca="1">SUMIF([2]!COMPROMISOS_2024[[#All],[consecutivo]],Contrato5[[#This Row],[RCP]],[2]!COMPROMISOS_2024[[#All],[Total pagado]])</f>
        <v>#REF!</v>
      </c>
      <c r="AM545" s="154">
        <f ca="1">IFERROR(Contrato5[[#This Row],[Pagos]]/Contrato5[[#This Row],[VALOR CONTRATO]],0)</f>
        <v>0</v>
      </c>
      <c r="AN545" s="198" t="e">
        <f ca="1">+Contrato5[[#This Row],[VALOR CONTRATO]]-Contrato5[[#This Row],[Pagos]]</f>
        <v>#REF!</v>
      </c>
      <c r="AO545" s="147" t="e" cm="1">
        <f t="array" aca="1" ref="AO545" ca="1">_xlfn.XLOOKUP(Contrato5[[#This Row],[DOCUMENTO ]],[2]!PERSONAL_ACTIVO_2024[[#All],[Documento identidad]],[2]!PERSONAL_ACTIVO_2024[[#All],[Mail ]],0,0)</f>
        <v>#NAME?</v>
      </c>
      <c r="AP545" s="147" t="e" cm="1">
        <f t="array" aca="1" ref="AP545" ca="1">_xlfn.XLOOKUP(Contrato5[[#This Row],[DOCUMENTO]],[2]!PERSONAL_ACTIVO_2024[[#All],[Documento identidad]],[2]!PERSONAL_ACTIVO_2024[[#All],[Mail ]],0,0)</f>
        <v>#NAME?</v>
      </c>
      <c r="AQ545" s="439" cm="1">
        <f t="array" aca="1" ref="AQ545" ca="1">IF(ISBLANK(Contrato5[[#This Row],[DEPENDENCIA ]]),0,IFERROR(_xlfn.XLOOKUP(Contrato5[[#This Row],[DEPENDENCIA ]],[2]!PERSONAL_ACTIVO_2024[[#All],[Dependencia]],[2]!PERSONAL_ACTIVO_2024[[#All],[Mail ]],0,0),0))</f>
        <v>0</v>
      </c>
    </row>
    <row r="546" spans="1:43" ht="34.5" customHeight="1">
      <c r="A546" s="147">
        <v>1306</v>
      </c>
      <c r="B546" s="124">
        <v>431</v>
      </c>
      <c r="C546" s="162" t="s">
        <v>2145</v>
      </c>
      <c r="D546" s="227" t="s">
        <v>583</v>
      </c>
      <c r="E546" s="440" t="s">
        <v>2148</v>
      </c>
      <c r="F546" s="227" t="s">
        <v>1767</v>
      </c>
      <c r="G546" s="281" t="s">
        <v>2760</v>
      </c>
      <c r="H546" s="436">
        <v>890984144</v>
      </c>
      <c r="I546" s="273" t="s">
        <v>42</v>
      </c>
      <c r="J546" s="188">
        <v>30000000</v>
      </c>
      <c r="K546" s="413"/>
      <c r="L546" s="166" t="s">
        <v>2606</v>
      </c>
      <c r="M546" s="194" t="s">
        <v>592</v>
      </c>
      <c r="N546" s="177" t="e" cm="1">
        <f t="array" aca="1" ref="N546" ca="1">_xlfn.XLOOKUP(Contrato5[[#This Row],[SUPERVISOR TITULAR]],[2]!PERSONAL_ACTIVO_2024[[#All],[Nombre completo]],[2]!PERSONAL_ACTIVO_2024[[#All],[Documento identidad]],"",0)</f>
        <v>#NAME?</v>
      </c>
      <c r="O546" s="194" t="s">
        <v>600</v>
      </c>
      <c r="P546" s="196" t="e" cm="1">
        <f t="array" aca="1" ref="P546" ca="1">_xlfn.XLOOKUP(Contrato5[[#This Row],[SUPERVISOR SUPLENTE ]],[2]!PERSONAL_ACTIVO_2024[[#All],[Nombre completo]],[2]!PERSONAL_ACTIVO_2024[[#All],[Documento identidad]],"",0)</f>
        <v>#NAME?</v>
      </c>
      <c r="Q546" s="170">
        <v>1170</v>
      </c>
      <c r="R546" s="137" t="e" cm="1">
        <f t="array" aca="1" ref="R546" ca="1">_xlfn.XLOOKUP(Contrato5[[#This Row],[CDP]],[2]!DISPONIBILIDADES_2024[[#All],[consecutivo]],[2]!DISPONIBILIDADES_2024[[#All],[fecha_aprobacion]],"",0)</f>
        <v>#NAME?</v>
      </c>
      <c r="S546" s="138" t="e">
        <f>SUMIF([2]!DISPONIBILIDADES_2024[[#All],[consecutivo]],Contrato5[[#This Row],[CDP]],[2]!DISPONIBILIDADES_2024[[#All],[valor_total_rubro]])</f>
        <v>#REF!</v>
      </c>
      <c r="T546" s="139" t="e" cm="1">
        <f t="array" aca="1" ref="T546" ca="1">_xlfn.XLOOKUP(Contrato5[[#This Row],[CONTRATO]]&amp;Contrato5[[#This Row],[CDP]],[2]!Corr_Contr_CDP[[#All],[CONTRATO-CDP]],[2]!Corr_Contr_CDP[[#All],[CRP]],_xlfn.XLOOKUP(Contrato5[[#This Row],[CDP]],[2]!COMPROMISOS_2024[[#All],[disponibilidad]],[2]!COMPROMISOS_2024[[#All],[consecutivo]],"",0),0)</f>
        <v>#NAME?</v>
      </c>
      <c r="U546" s="140" t="e" cm="1">
        <f t="array" aca="1" ref="U546" ca="1">+_xlfn.XLOOKUP(Contrato5[[#This Row],[RCP]],[2]!COMPROMISOS_2024[[#All],[consecutivo]],[2]!COMPROMISOS_2024[[#All],[fecha_aprobacion]],"",0)</f>
        <v>#NAME?</v>
      </c>
      <c r="V546" s="141" t="e">
        <f ca="1">SUMIF([2]!COMPROMISOS_2024[[#All],[consecutivo]],Contrato5[[#This Row],[RCP]],[2]!COMPROMISOS_2024[[#All],[valor_total]])</f>
        <v>#REF!</v>
      </c>
      <c r="W546" s="415">
        <v>45624</v>
      </c>
      <c r="X546" s="415">
        <v>45625</v>
      </c>
      <c r="Y546" s="143">
        <v>45491</v>
      </c>
      <c r="Z546" s="262">
        <v>45656</v>
      </c>
      <c r="AA546" s="171"/>
      <c r="AB546" s="527" t="s">
        <v>42</v>
      </c>
      <c r="AC546" s="127"/>
      <c r="AD546" s="211"/>
      <c r="AE546" s="147"/>
      <c r="AF546" s="148" t="str">
        <f>TEXT(LEFT(Contrato5[[#This Row],[CONTRATO]],3),"0")</f>
        <v>431</v>
      </c>
      <c r="AG546" s="148" t="str">
        <f>IF(LEN(Contrato5[[#This Row],[Contrato2]])=3,Contrato5[[#This Row],[Contrato2]],TEXT(Contrato5[[#This Row],[Contrato2]],"000"))</f>
        <v>431</v>
      </c>
      <c r="AH546" s="149">
        <f ca="1">IFERROR(_xlfn.DAYS(Contrato5[[#This Row],[Fecha Proyectada liquidación]],TODAY())/30,"")</f>
        <v>0.6</v>
      </c>
      <c r="AI546" s="150">
        <f>+Contrato5[[#This Row],[FECHA TERMINACIÓN ]]+120</f>
        <v>45776</v>
      </c>
      <c r="AJ546" s="147"/>
      <c r="AK546" s="152" t="str">
        <f ca="1">IF(Contrato5[[#This Row],[FECHA TERMINACIÓN ]]&lt;TODAY(), "Terminado",IF(ISNUMBER(Contrato5[[#This Row],[Fecha Real de liquiidación ]]),"Liquidado",IF(Contrato5[[#This Row],[FECHA TERMINACIÓN ]]&gt;=TODAY(),"En ejecución","")))</f>
        <v>Terminado</v>
      </c>
      <c r="AL546" s="153" t="e">
        <f ca="1">SUMIF([2]!COMPROMISOS_2024[[#All],[consecutivo]],Contrato5[[#This Row],[RCP]],[2]!COMPROMISOS_2024[[#All],[Total pagado]])</f>
        <v>#REF!</v>
      </c>
      <c r="AM546" s="154">
        <f ca="1">IFERROR(Contrato5[[#This Row],[Pagos]]/Contrato5[[#This Row],[VALOR CONTRATO]],0)</f>
        <v>0</v>
      </c>
      <c r="AN546" s="198" t="e">
        <f ca="1">+Contrato5[[#This Row],[VALOR CONTRATO]]-Contrato5[[#This Row],[Pagos]]</f>
        <v>#REF!</v>
      </c>
      <c r="AO546" s="147" t="e" cm="1">
        <f t="array" aca="1" ref="AO546" ca="1">_xlfn.XLOOKUP(Contrato5[[#This Row],[DOCUMENTO ]],[2]!PERSONAL_ACTIVO_2024[[#All],[Documento identidad]],[2]!PERSONAL_ACTIVO_2024[[#All],[Mail ]],0,0)</f>
        <v>#NAME?</v>
      </c>
      <c r="AP546" s="147" t="e" cm="1">
        <f t="array" aca="1" ref="AP546" ca="1">_xlfn.XLOOKUP(Contrato5[[#This Row],[DOCUMENTO]],[2]!PERSONAL_ACTIVO_2024[[#All],[Documento identidad]],[2]!PERSONAL_ACTIVO_2024[[#All],[Mail ]],0,0)</f>
        <v>#NAME?</v>
      </c>
      <c r="AQ546" s="439" cm="1">
        <f t="array" aca="1" ref="AQ546" ca="1">IF(ISBLANK(Contrato5[[#This Row],[DEPENDENCIA ]]),0,IFERROR(_xlfn.XLOOKUP(Contrato5[[#This Row],[DEPENDENCIA ]],[2]!PERSONAL_ACTIVO_2024[[#All],[Dependencia]],[2]!PERSONAL_ACTIVO_2024[[#All],[Mail ]],0,0),0))</f>
        <v>0</v>
      </c>
    </row>
    <row r="547" spans="1:43" ht="34.5" customHeight="1">
      <c r="A547" s="125">
        <v>759</v>
      </c>
      <c r="B547" s="124">
        <v>432</v>
      </c>
      <c r="C547" s="162" t="s">
        <v>1799</v>
      </c>
      <c r="D547" s="227" t="s">
        <v>602</v>
      </c>
      <c r="E547" s="440" t="s">
        <v>94</v>
      </c>
      <c r="F547" s="227" t="s">
        <v>1376</v>
      </c>
      <c r="G547" s="281" t="s">
        <v>2763</v>
      </c>
      <c r="H547" s="436">
        <v>1037644733</v>
      </c>
      <c r="I547" s="273">
        <v>6879081</v>
      </c>
      <c r="J547" s="437">
        <v>42166102</v>
      </c>
      <c r="K547" s="147"/>
      <c r="L547" s="438" t="s">
        <v>2473</v>
      </c>
      <c r="M547" s="194" t="s">
        <v>604</v>
      </c>
      <c r="N547" s="177" t="e" cm="1">
        <f t="array" aca="1" ref="N547" ca="1">_xlfn.XLOOKUP(Contrato5[[#This Row],[SUPERVISOR TITULAR]],[2]!PERSONAL_ACTIVO_2024[[#All],[Nombre completo]],[2]!PERSONAL_ACTIVO_2024[[#All],[Documento identidad]],"",0)</f>
        <v>#NAME?</v>
      </c>
      <c r="O547" s="194" t="s">
        <v>613</v>
      </c>
      <c r="P547" s="196" t="e" cm="1">
        <f t="array" aca="1" ref="P547" ca="1">_xlfn.XLOOKUP(Contrato5[[#This Row],[SUPERVISOR SUPLENTE ]],[2]!PERSONAL_ACTIVO_2024[[#All],[Nombre completo]],[2]!PERSONAL_ACTIVO_2024[[#All],[Documento identidad]],"",0)</f>
        <v>#NAME?</v>
      </c>
      <c r="Q547" s="170">
        <v>592</v>
      </c>
      <c r="R547" s="137" t="e" cm="1">
        <f t="array" aca="1" ref="R547" ca="1">_xlfn.XLOOKUP(Contrato5[[#This Row],[CDP]],[2]!DISPONIBILIDADES_2024[[#All],[consecutivo]],[2]!DISPONIBILIDADES_2024[[#All],[fecha_aprobacion]],"",0)</f>
        <v>#NAME?</v>
      </c>
      <c r="S547" s="138" t="e">
        <f>SUMIF([2]!DISPONIBILIDADES_2024[[#All],[consecutivo]],Contrato5[[#This Row],[CDP]],[2]!DISPONIBILIDADES_2024[[#All],[valor_total_rubro]])</f>
        <v>#REF!</v>
      </c>
      <c r="T547" s="139" t="e" cm="1">
        <f t="array" aca="1" ref="T547" ca="1">_xlfn.XLOOKUP(Contrato5[[#This Row],[CONTRATO]]&amp;Contrato5[[#This Row],[CDP]],[2]!Corr_Contr_CDP[[#All],[CONTRATO-CDP]],[2]!Corr_Contr_CDP[[#All],[CRP]],_xlfn.XLOOKUP(Contrato5[[#This Row],[CDP]],[2]!COMPROMISOS_2024[[#All],[disponibilidad]],[2]!COMPROMISOS_2024[[#All],[consecutivo]],"",0),0)</f>
        <v>#NAME?</v>
      </c>
      <c r="U547" s="140" t="e" cm="1">
        <f t="array" aca="1" ref="U547" ca="1">+_xlfn.XLOOKUP(Contrato5[[#This Row],[RCP]],[2]!COMPROMISOS_2024[[#All],[consecutivo]],[2]!COMPROMISOS_2024[[#All],[fecha_aprobacion]],"",0)</f>
        <v>#NAME?</v>
      </c>
      <c r="V547" s="141" t="e">
        <f ca="1">SUMIF([2]!COMPROMISOS_2024[[#All],[consecutivo]],Contrato5[[#This Row],[RCP]],[2]!COMPROMISOS_2024[[#All],[valor_total]])</f>
        <v>#REF!</v>
      </c>
      <c r="W547" s="415">
        <v>45483</v>
      </c>
      <c r="X547" s="415" t="s">
        <v>2729</v>
      </c>
      <c r="Y547" s="143">
        <v>45485</v>
      </c>
      <c r="Z547" s="262">
        <v>45657</v>
      </c>
      <c r="AA547" s="171" t="s">
        <v>2764</v>
      </c>
      <c r="AB547" s="172" t="s">
        <v>2765</v>
      </c>
      <c r="AC547" s="172"/>
      <c r="AD547" s="211">
        <v>202000004647</v>
      </c>
      <c r="AE547" s="147" t="s">
        <v>523</v>
      </c>
      <c r="AF547" s="148" t="str">
        <f>TEXT(LEFT(Contrato5[[#This Row],[CONTRATO]],3),"0")</f>
        <v>432</v>
      </c>
      <c r="AG547" s="148" t="str">
        <f>IF(LEN(Contrato5[[#This Row],[Contrato2]])=3,Contrato5[[#This Row],[Contrato2]],TEXT(Contrato5[[#This Row],[Contrato2]],"000"))</f>
        <v>432</v>
      </c>
      <c r="AH547" s="149">
        <f ca="1">IFERROR(_xlfn.DAYS(Contrato5[[#This Row],[Fecha Proyectada liquidación]],TODAY())/30,"")</f>
        <v>0.6333333333333333</v>
      </c>
      <c r="AI547" s="150">
        <f>+Contrato5[[#This Row],[FECHA TERMINACIÓN ]]+120</f>
        <v>45777</v>
      </c>
      <c r="AJ547" s="147"/>
      <c r="AK547" s="152" t="str">
        <f ca="1">IF(Contrato5[[#This Row],[FECHA TERMINACIÓN ]]&lt;TODAY(), "Terminado",IF(ISNUMBER(Contrato5[[#This Row],[Fecha Real de liquiidación ]]),"Liquidado",IF(Contrato5[[#This Row],[FECHA TERMINACIÓN ]]&gt;=TODAY(),"En ejecución","")))</f>
        <v>Terminado</v>
      </c>
      <c r="AL547" s="153" t="e">
        <f ca="1">SUMIF([2]!COMPROMISOS_2024[[#All],[consecutivo]],Contrato5[[#This Row],[RCP]],[2]!COMPROMISOS_2024[[#All],[Total pagado]])</f>
        <v>#REF!</v>
      </c>
      <c r="AM547" s="154">
        <f ca="1">IFERROR(Contrato5[[#This Row],[Pagos]]/Contrato5[[#This Row],[VALOR CONTRATO]],0)</f>
        <v>0</v>
      </c>
      <c r="AN547" s="198" t="e">
        <f ca="1">+Contrato5[[#This Row],[VALOR CONTRATO]]-Contrato5[[#This Row],[Pagos]]</f>
        <v>#REF!</v>
      </c>
      <c r="AO547" s="147" t="e" cm="1">
        <f t="array" aca="1" ref="AO547" ca="1">_xlfn.XLOOKUP(Contrato5[[#This Row],[DOCUMENTO ]],[2]!PERSONAL_ACTIVO_2024[[#All],[Documento identidad]],[2]!PERSONAL_ACTIVO_2024[[#All],[Mail ]],0,0)</f>
        <v>#NAME?</v>
      </c>
      <c r="AP547" s="147" t="e" cm="1">
        <f t="array" aca="1" ref="AP547" ca="1">_xlfn.XLOOKUP(Contrato5[[#This Row],[DOCUMENTO]],[2]!PERSONAL_ACTIVO_2024[[#All],[Documento identidad]],[2]!PERSONAL_ACTIVO_2024[[#All],[Mail ]],0,0)</f>
        <v>#NAME?</v>
      </c>
      <c r="AQ547" s="439" cm="1">
        <f t="array" aca="1" ref="AQ547" ca="1">IF(ISBLANK(Contrato5[[#This Row],[DEPENDENCIA ]]),0,IFERROR(_xlfn.XLOOKUP(Contrato5[[#This Row],[DEPENDENCIA ]],[2]!PERSONAL_ACTIVO_2024[[#All],[Dependencia]],[2]!PERSONAL_ACTIVO_2024[[#All],[Mail ]],0,0),0))</f>
        <v>0</v>
      </c>
    </row>
    <row r="548" spans="1:43" ht="34.5" customHeight="1">
      <c r="A548" s="125">
        <v>786</v>
      </c>
      <c r="B548" s="124">
        <v>433</v>
      </c>
      <c r="C548" s="162" t="s">
        <v>1883</v>
      </c>
      <c r="D548" s="227" t="s">
        <v>515</v>
      </c>
      <c r="E548" s="440" t="s">
        <v>94</v>
      </c>
      <c r="F548" s="227" t="s">
        <v>255</v>
      </c>
      <c r="G548" s="281" t="s">
        <v>2766</v>
      </c>
      <c r="H548" s="436">
        <v>890981069</v>
      </c>
      <c r="I548" s="309" t="s">
        <v>344</v>
      </c>
      <c r="J548" s="437">
        <v>442406770</v>
      </c>
      <c r="K548" s="131" t="s">
        <v>2767</v>
      </c>
      <c r="L548" s="438" t="s">
        <v>2768</v>
      </c>
      <c r="M548" s="194" t="s">
        <v>836</v>
      </c>
      <c r="N548" s="177" t="e" cm="1">
        <f t="array" aca="1" ref="N548" ca="1">_xlfn.XLOOKUP(Contrato5[[#This Row],[SUPERVISOR TITULAR]],[2]!PERSONAL_ACTIVO_2024[[#All],[Nombre completo]],[2]!PERSONAL_ACTIVO_2024[[#All],[Documento identidad]],"",0)</f>
        <v>#NAME?</v>
      </c>
      <c r="O548" s="194" t="s">
        <v>2546</v>
      </c>
      <c r="P548" s="196" t="e" cm="1">
        <f t="array" aca="1" ref="P548" ca="1">_xlfn.XLOOKUP(Contrato5[[#This Row],[SUPERVISOR SUPLENTE ]],[2]!PERSONAL_ACTIVO_2024[[#All],[Nombre completo]],[2]!PERSONAL_ACTIVO_2024[[#All],[Documento identidad]],"",0)</f>
        <v>#NAME?</v>
      </c>
      <c r="Q548" s="170">
        <v>589</v>
      </c>
      <c r="R548" s="137" t="e" cm="1">
        <f t="array" aca="1" ref="R548" ca="1">_xlfn.XLOOKUP(Contrato5[[#This Row],[CDP]],[2]!DISPONIBILIDADES_2024[[#All],[consecutivo]],[2]!DISPONIBILIDADES_2024[[#All],[fecha_aprobacion]],"",0)</f>
        <v>#NAME?</v>
      </c>
      <c r="S548" s="138" t="e">
        <f>SUMIF([2]!DISPONIBILIDADES_2024[[#All],[consecutivo]],Contrato5[[#This Row],[CDP]],[2]!DISPONIBILIDADES_2024[[#All],[valor_total_rubro]])</f>
        <v>#REF!</v>
      </c>
      <c r="T548" s="139" t="e" cm="1">
        <f t="array" aca="1" ref="T548" ca="1">_xlfn.XLOOKUP(Contrato5[[#This Row],[CONTRATO]]&amp;Contrato5[[#This Row],[CDP]],[2]!Corr_Contr_CDP[[#All],[CONTRATO-CDP]],[2]!Corr_Contr_CDP[[#All],[CRP]],_xlfn.XLOOKUP(Contrato5[[#This Row],[CDP]],[2]!COMPROMISOS_2024[[#All],[disponibilidad]],[2]!COMPROMISOS_2024[[#All],[consecutivo]],"",0),0)</f>
        <v>#NAME?</v>
      </c>
      <c r="U548" s="140" t="e" cm="1">
        <f t="array" aca="1" ref="U548" ca="1">+_xlfn.XLOOKUP(Contrato5[[#This Row],[RCP]],[2]!COMPROMISOS_2024[[#All],[consecutivo]],[2]!COMPROMISOS_2024[[#All],[fecha_aprobacion]],"",0)</f>
        <v>#NAME?</v>
      </c>
      <c r="V548" s="141" t="e">
        <f ca="1">SUMIF([2]!COMPROMISOS_2024[[#All],[consecutivo]],Contrato5[[#This Row],[RCP]],[2]!COMPROMISOS_2024[[#All],[valor_total]])</f>
        <v>#REF!</v>
      </c>
      <c r="W548" s="415">
        <v>45485</v>
      </c>
      <c r="X548" s="415">
        <v>45488</v>
      </c>
      <c r="Y548" s="143">
        <v>45488</v>
      </c>
      <c r="Z548" s="262">
        <v>45550</v>
      </c>
      <c r="AA548" s="171" t="s">
        <v>2769</v>
      </c>
      <c r="AB548" s="172" t="s">
        <v>2759</v>
      </c>
      <c r="AC548" s="172"/>
      <c r="AD548" s="425">
        <v>202000004651</v>
      </c>
      <c r="AE548" s="147" t="s">
        <v>523</v>
      </c>
      <c r="AF548" s="148" t="str">
        <f>TEXT(LEFT(Contrato5[[#This Row],[CONTRATO]],3),"0")</f>
        <v>433</v>
      </c>
      <c r="AG548" s="148" t="str">
        <f>IF(LEN(Contrato5[[#This Row],[Contrato2]])=3,Contrato5[[#This Row],[Contrato2]],TEXT(Contrato5[[#This Row],[Contrato2]],"000"))</f>
        <v>433</v>
      </c>
      <c r="AH548" s="149">
        <f ca="1">IFERROR(_xlfn.DAYS(Contrato5[[#This Row],[Fecha Proyectada liquidación]],TODAY())/30,"")</f>
        <v>-2.9333333333333331</v>
      </c>
      <c r="AI548" s="150">
        <f>+Contrato5[[#This Row],[FECHA TERMINACIÓN ]]+120</f>
        <v>45670</v>
      </c>
      <c r="AJ548" s="147"/>
      <c r="AK548" s="152" t="str">
        <f ca="1">IF(Contrato5[[#This Row],[FECHA TERMINACIÓN ]]&lt;TODAY(), "Terminado",IF(ISNUMBER(Contrato5[[#This Row],[Fecha Real de liquiidación ]]),"Liquidado",IF(Contrato5[[#This Row],[FECHA TERMINACIÓN ]]&gt;=TODAY(),"En ejecución","")))</f>
        <v>Terminado</v>
      </c>
      <c r="AL548" s="153" t="e">
        <f ca="1">SUMIF([2]!COMPROMISOS_2024[[#All],[consecutivo]],Contrato5[[#This Row],[RCP]],[2]!COMPROMISOS_2024[[#All],[Total pagado]])</f>
        <v>#REF!</v>
      </c>
      <c r="AM548" s="154">
        <f ca="1">IFERROR(Contrato5[[#This Row],[Pagos]]/Contrato5[[#This Row],[VALOR CONTRATO]],0)</f>
        <v>0</v>
      </c>
      <c r="AN548" s="198" t="e">
        <f ca="1">+Contrato5[[#This Row],[VALOR CONTRATO]]-Contrato5[[#This Row],[Pagos]]</f>
        <v>#REF!</v>
      </c>
      <c r="AO548" s="147" t="e" cm="1">
        <f t="array" aca="1" ref="AO548" ca="1">_xlfn.XLOOKUP(Contrato5[[#This Row],[DOCUMENTO ]],[2]!PERSONAL_ACTIVO_2024[[#All],[Documento identidad]],[2]!PERSONAL_ACTIVO_2024[[#All],[Mail ]],0,0)</f>
        <v>#NAME?</v>
      </c>
      <c r="AP548" s="147" t="e" cm="1">
        <f t="array" aca="1" ref="AP548" ca="1">_xlfn.XLOOKUP(Contrato5[[#This Row],[DOCUMENTO]],[2]!PERSONAL_ACTIVO_2024[[#All],[Documento identidad]],[2]!PERSONAL_ACTIVO_2024[[#All],[Mail ]],0,0)</f>
        <v>#NAME?</v>
      </c>
      <c r="AQ548" s="439" cm="1">
        <f t="array" aca="1" ref="AQ548" ca="1">IF(ISBLANK(Contrato5[[#This Row],[DEPENDENCIA ]]),0,IFERROR(_xlfn.XLOOKUP(Contrato5[[#This Row],[DEPENDENCIA ]],[2]!PERSONAL_ACTIVO_2024[[#All],[Dependencia]],[2]!PERSONAL_ACTIVO_2024[[#All],[Mail ]],0,0),0))</f>
        <v>0</v>
      </c>
    </row>
    <row r="549" spans="1:43" ht="34.5" customHeight="1">
      <c r="A549" s="125">
        <v>841</v>
      </c>
      <c r="B549" s="124">
        <v>434</v>
      </c>
      <c r="C549" s="162" t="s">
        <v>1776</v>
      </c>
      <c r="D549" s="227" t="s">
        <v>583</v>
      </c>
      <c r="E549" s="440" t="s">
        <v>94</v>
      </c>
      <c r="F549" s="227" t="s">
        <v>1376</v>
      </c>
      <c r="G549" s="281" t="s">
        <v>2770</v>
      </c>
      <c r="H549" s="436">
        <v>71701839</v>
      </c>
      <c r="I549" s="273">
        <v>9346824</v>
      </c>
      <c r="J549" s="437">
        <v>60965336</v>
      </c>
      <c r="K549" s="131" t="s">
        <v>2771</v>
      </c>
      <c r="L549" s="438" t="s">
        <v>2768</v>
      </c>
      <c r="M549" s="194" t="s">
        <v>600</v>
      </c>
      <c r="N549" s="177" t="e" cm="1">
        <f t="array" aca="1" ref="N549" ca="1">_xlfn.XLOOKUP(Contrato5[[#This Row],[SUPERVISOR TITULAR]],[2]!PERSONAL_ACTIVO_2024[[#All],[Nombre completo]],[2]!PERSONAL_ACTIVO_2024[[#All],[Documento identidad]],"",0)</f>
        <v>#NAME?</v>
      </c>
      <c r="O549" s="194" t="s">
        <v>2495</v>
      </c>
      <c r="P549" s="196" t="e" cm="1">
        <f t="array" aca="1" ref="P549" ca="1">_xlfn.XLOOKUP(Contrato5[[#This Row],[SUPERVISOR SUPLENTE ]],[2]!PERSONAL_ACTIVO_2024[[#All],[Nombre completo]],[2]!PERSONAL_ACTIVO_2024[[#All],[Documento identidad]],"",0)</f>
        <v>#NAME?</v>
      </c>
      <c r="Q549" s="170">
        <v>622</v>
      </c>
      <c r="R549" s="137" t="e" cm="1">
        <f t="array" aca="1" ref="R549" ca="1">_xlfn.XLOOKUP(Contrato5[[#This Row],[CDP]],[2]!DISPONIBILIDADES_2024[[#All],[consecutivo]],[2]!DISPONIBILIDADES_2024[[#All],[fecha_aprobacion]],"",0)</f>
        <v>#NAME?</v>
      </c>
      <c r="S549" s="138" t="e">
        <f>SUMIF([2]!DISPONIBILIDADES_2024[[#All],[consecutivo]],Contrato5[[#This Row],[CDP]],[2]!DISPONIBILIDADES_2024[[#All],[valor_total_rubro]])</f>
        <v>#REF!</v>
      </c>
      <c r="T549" s="139" t="e" cm="1">
        <f t="array" aca="1" ref="T549" ca="1">_xlfn.XLOOKUP(Contrato5[[#This Row],[CONTRATO]]&amp;Contrato5[[#This Row],[CDP]],[2]!Corr_Contr_CDP[[#All],[CONTRATO-CDP]],[2]!Corr_Contr_CDP[[#All],[CRP]],_xlfn.XLOOKUP(Contrato5[[#This Row],[CDP]],[2]!COMPROMISOS_2024[[#All],[disponibilidad]],[2]!COMPROMISOS_2024[[#All],[consecutivo]],"",0),0)</f>
        <v>#NAME?</v>
      </c>
      <c r="U549" s="140" t="e" cm="1">
        <f t="array" aca="1" ref="U549" ca="1">+_xlfn.XLOOKUP(Contrato5[[#This Row],[RCP]],[2]!COMPROMISOS_2024[[#All],[consecutivo]],[2]!COMPROMISOS_2024[[#All],[fecha_aprobacion]],"",0)</f>
        <v>#NAME?</v>
      </c>
      <c r="V549" s="141" t="e">
        <f ca="1">SUMIF([2]!COMPROMISOS_2024[[#All],[consecutivo]],Contrato5[[#This Row],[RCP]],[2]!COMPROMISOS_2024[[#All],[valor_total]])</f>
        <v>#REF!</v>
      </c>
      <c r="W549" s="415">
        <v>45488</v>
      </c>
      <c r="X549" s="415" t="s">
        <v>2729</v>
      </c>
      <c r="Y549" s="143">
        <v>45488</v>
      </c>
      <c r="Z549" s="262">
        <v>45657</v>
      </c>
      <c r="AA549" s="183" t="s">
        <v>2772</v>
      </c>
      <c r="AB549" s="172" t="s">
        <v>2773</v>
      </c>
      <c r="AC549" s="172"/>
      <c r="AD549" s="211">
        <v>202000004653</v>
      </c>
      <c r="AE549" s="147" t="s">
        <v>523</v>
      </c>
      <c r="AF549" s="148" t="str">
        <f>TEXT(LEFT(Contrato5[[#This Row],[CONTRATO]],3),"0")</f>
        <v>434</v>
      </c>
      <c r="AG549" s="148" t="str">
        <f>IF(LEN(Contrato5[[#This Row],[Contrato2]])=3,Contrato5[[#This Row],[Contrato2]],TEXT(Contrato5[[#This Row],[Contrato2]],"000"))</f>
        <v>434</v>
      </c>
      <c r="AH549" s="149">
        <f ca="1">IFERROR(_xlfn.DAYS(Contrato5[[#This Row],[Fecha Proyectada liquidación]],TODAY())/30,"")</f>
        <v>0.6333333333333333</v>
      </c>
      <c r="AI549" s="150">
        <f>+Contrato5[[#This Row],[FECHA TERMINACIÓN ]]+120</f>
        <v>45777</v>
      </c>
      <c r="AJ549" s="147"/>
      <c r="AK549" s="152" t="str">
        <f ca="1">IF(Contrato5[[#This Row],[FECHA TERMINACIÓN ]]&lt;TODAY(), "Terminado",IF(ISNUMBER(Contrato5[[#This Row],[Fecha Real de liquiidación ]]),"Liquidado",IF(Contrato5[[#This Row],[FECHA TERMINACIÓN ]]&gt;=TODAY(),"En ejecución","")))</f>
        <v>Terminado</v>
      </c>
      <c r="AL549" s="153" t="e">
        <f ca="1">SUMIF([2]!COMPROMISOS_2024[[#All],[consecutivo]],Contrato5[[#This Row],[RCP]],[2]!COMPROMISOS_2024[[#All],[Total pagado]])</f>
        <v>#REF!</v>
      </c>
      <c r="AM549" s="154">
        <f ca="1">IFERROR(Contrato5[[#This Row],[Pagos]]/Contrato5[[#This Row],[VALOR CONTRATO]],0)</f>
        <v>0</v>
      </c>
      <c r="AN549" s="198" t="e">
        <f ca="1">+Contrato5[[#This Row],[VALOR CONTRATO]]-Contrato5[[#This Row],[Pagos]]</f>
        <v>#REF!</v>
      </c>
      <c r="AO549" s="147" t="e" cm="1">
        <f t="array" aca="1" ref="AO549" ca="1">_xlfn.XLOOKUP(Contrato5[[#This Row],[DOCUMENTO ]],[2]!PERSONAL_ACTIVO_2024[[#All],[Documento identidad]],[2]!PERSONAL_ACTIVO_2024[[#All],[Mail ]],0,0)</f>
        <v>#NAME?</v>
      </c>
      <c r="AP549" s="147" t="e" cm="1">
        <f t="array" aca="1" ref="AP549" ca="1">_xlfn.XLOOKUP(Contrato5[[#This Row],[DOCUMENTO]],[2]!PERSONAL_ACTIVO_2024[[#All],[Documento identidad]],[2]!PERSONAL_ACTIVO_2024[[#All],[Mail ]],0,0)</f>
        <v>#NAME?</v>
      </c>
      <c r="AQ549" s="439" cm="1">
        <f t="array" aca="1" ref="AQ549" ca="1">IF(ISBLANK(Contrato5[[#This Row],[DEPENDENCIA ]]),0,IFERROR(_xlfn.XLOOKUP(Contrato5[[#This Row],[DEPENDENCIA ]],[2]!PERSONAL_ACTIVO_2024[[#All],[Dependencia]],[2]!PERSONAL_ACTIVO_2024[[#All],[Mail ]],0,0),0))</f>
        <v>0</v>
      </c>
    </row>
    <row r="550" spans="1:43" ht="34.5" customHeight="1">
      <c r="A550" s="125">
        <v>787</v>
      </c>
      <c r="B550" s="124">
        <v>435</v>
      </c>
      <c r="C550" s="162" t="s">
        <v>2774</v>
      </c>
      <c r="D550" s="227" t="s">
        <v>515</v>
      </c>
      <c r="E550" s="440" t="s">
        <v>94</v>
      </c>
      <c r="F550" s="227" t="s">
        <v>255</v>
      </c>
      <c r="G550" s="281" t="s">
        <v>2775</v>
      </c>
      <c r="H550" s="436">
        <v>811005365</v>
      </c>
      <c r="I550" s="309" t="s">
        <v>344</v>
      </c>
      <c r="J550" s="437">
        <v>769463661</v>
      </c>
      <c r="K550" s="131" t="s">
        <v>2776</v>
      </c>
      <c r="L550" s="438" t="s">
        <v>2768</v>
      </c>
      <c r="M550" s="194" t="s">
        <v>894</v>
      </c>
      <c r="N550" s="177" t="e" cm="1">
        <f t="array" aca="1" ref="N550" ca="1">_xlfn.XLOOKUP(Contrato5[[#This Row],[SUPERVISOR TITULAR]],[2]!PERSONAL_ACTIVO_2024[[#All],[Nombre completo]],[2]!PERSONAL_ACTIVO_2024[[#All],[Documento identidad]],"",0)</f>
        <v>#NAME?</v>
      </c>
      <c r="O550" s="194" t="s">
        <v>823</v>
      </c>
      <c r="P550" s="196" t="e" cm="1">
        <f t="array" aca="1" ref="P550" ca="1">_xlfn.XLOOKUP(Contrato5[[#This Row],[SUPERVISOR SUPLENTE ]],[2]!PERSONAL_ACTIVO_2024[[#All],[Nombre completo]],[2]!PERSONAL_ACTIVO_2024[[#All],[Documento identidad]],"",0)</f>
        <v>#NAME?</v>
      </c>
      <c r="Q550" s="170">
        <v>629</v>
      </c>
      <c r="R550" s="137" t="e" cm="1">
        <f t="array" aca="1" ref="R550" ca="1">_xlfn.XLOOKUP(Contrato5[[#This Row],[CDP]],[2]!DISPONIBILIDADES_2024[[#All],[consecutivo]],[2]!DISPONIBILIDADES_2024[[#All],[fecha_aprobacion]],"",0)</f>
        <v>#NAME?</v>
      </c>
      <c r="S550" s="138" t="e">
        <f>SUMIF([2]!DISPONIBILIDADES_2024[[#All],[consecutivo]],Contrato5[[#This Row],[CDP]],[2]!DISPONIBILIDADES_2024[[#All],[valor_total_rubro]])</f>
        <v>#REF!</v>
      </c>
      <c r="T550" s="139" t="e" cm="1">
        <f t="array" aca="1" ref="T550" ca="1">_xlfn.XLOOKUP(Contrato5[[#This Row],[CONTRATO]]&amp;Contrato5[[#This Row],[CDP]],[2]!Corr_Contr_CDP[[#All],[CONTRATO-CDP]],[2]!Corr_Contr_CDP[[#All],[CRP]],_xlfn.XLOOKUP(Contrato5[[#This Row],[CDP]],[2]!COMPROMISOS_2024[[#All],[disponibilidad]],[2]!COMPROMISOS_2024[[#All],[consecutivo]],"",0),0)</f>
        <v>#NAME?</v>
      </c>
      <c r="U550" s="140" t="e" cm="1">
        <f t="array" aca="1" ref="U550" ca="1">+_xlfn.XLOOKUP(Contrato5[[#This Row],[RCP]],[2]!COMPROMISOS_2024[[#All],[consecutivo]],[2]!COMPROMISOS_2024[[#All],[fecha_aprobacion]],"",0)</f>
        <v>#NAME?</v>
      </c>
      <c r="V550" s="141" t="e">
        <f ca="1">SUMIF([2]!COMPROMISOS_2024[[#All],[consecutivo]],Contrato5[[#This Row],[RCP]],[2]!COMPROMISOS_2024[[#All],[valor_total]])</f>
        <v>#REF!</v>
      </c>
      <c r="W550" s="415">
        <v>45488</v>
      </c>
      <c r="X550" s="415">
        <v>45488</v>
      </c>
      <c r="Y550" s="143">
        <v>45488</v>
      </c>
      <c r="Z550" s="262">
        <v>45551</v>
      </c>
      <c r="AA550" s="183" t="s">
        <v>2777</v>
      </c>
      <c r="AB550" s="172" t="s">
        <v>2759</v>
      </c>
      <c r="AC550" s="172"/>
      <c r="AD550" s="211">
        <v>202000004656</v>
      </c>
      <c r="AE550" s="147" t="s">
        <v>523</v>
      </c>
      <c r="AF550" s="148" t="str">
        <f>TEXT(LEFT(Contrato5[[#This Row],[CONTRATO]],3),"0")</f>
        <v>435</v>
      </c>
      <c r="AG550" s="148" t="str">
        <f>IF(LEN(Contrato5[[#This Row],[Contrato2]])=3,Contrato5[[#This Row],[Contrato2]],TEXT(Contrato5[[#This Row],[Contrato2]],"000"))</f>
        <v>435</v>
      </c>
      <c r="AH550" s="149">
        <f ca="1">IFERROR(_xlfn.DAYS(Contrato5[[#This Row],[Fecha Proyectada liquidación]],TODAY())/30,"")</f>
        <v>-2.9</v>
      </c>
      <c r="AI550" s="150">
        <f>+Contrato5[[#This Row],[FECHA TERMINACIÓN ]]+120</f>
        <v>45671</v>
      </c>
      <c r="AJ550" s="147"/>
      <c r="AK550" s="152" t="str">
        <f ca="1">IF(Contrato5[[#This Row],[FECHA TERMINACIÓN ]]&lt;TODAY(), "Terminado",IF(ISNUMBER(Contrato5[[#This Row],[Fecha Real de liquiidación ]]),"Liquidado",IF(Contrato5[[#This Row],[FECHA TERMINACIÓN ]]&gt;=TODAY(),"En ejecución","")))</f>
        <v>Terminado</v>
      </c>
      <c r="AL550" s="153" t="e">
        <f ca="1">SUMIF([2]!COMPROMISOS_2024[[#All],[consecutivo]],Contrato5[[#This Row],[RCP]],[2]!COMPROMISOS_2024[[#All],[Total pagado]])</f>
        <v>#REF!</v>
      </c>
      <c r="AM550" s="154">
        <f ca="1">IFERROR(Contrato5[[#This Row],[Pagos]]/Contrato5[[#This Row],[VALOR CONTRATO]],0)</f>
        <v>0</v>
      </c>
      <c r="AN550" s="198" t="e">
        <f ca="1">+Contrato5[[#This Row],[VALOR CONTRATO]]-Contrato5[[#This Row],[Pagos]]</f>
        <v>#REF!</v>
      </c>
      <c r="AO550" s="147" t="e" cm="1">
        <f t="array" aca="1" ref="AO550" ca="1">_xlfn.XLOOKUP(Contrato5[[#This Row],[DOCUMENTO ]],[2]!PERSONAL_ACTIVO_2024[[#All],[Documento identidad]],[2]!PERSONAL_ACTIVO_2024[[#All],[Mail ]],0,0)</f>
        <v>#NAME?</v>
      </c>
      <c r="AP550" s="147" t="e" cm="1">
        <f t="array" aca="1" ref="AP550" ca="1">_xlfn.XLOOKUP(Contrato5[[#This Row],[DOCUMENTO]],[2]!PERSONAL_ACTIVO_2024[[#All],[Documento identidad]],[2]!PERSONAL_ACTIVO_2024[[#All],[Mail ]],0,0)</f>
        <v>#NAME?</v>
      </c>
      <c r="AQ550" s="439" cm="1">
        <f t="array" aca="1" ref="AQ550" ca="1">IF(ISBLANK(Contrato5[[#This Row],[DEPENDENCIA ]]),0,IFERROR(_xlfn.XLOOKUP(Contrato5[[#This Row],[DEPENDENCIA ]],[2]!PERSONAL_ACTIVO_2024[[#All],[Dependencia]],[2]!PERSONAL_ACTIVO_2024[[#All],[Mail ]],0,0),0))</f>
        <v>0</v>
      </c>
    </row>
    <row r="551" spans="1:43" ht="34.5" customHeight="1">
      <c r="A551" s="125">
        <v>844</v>
      </c>
      <c r="B551" s="124">
        <v>436</v>
      </c>
      <c r="C551" s="162" t="s">
        <v>1900</v>
      </c>
      <c r="D551" s="227" t="s">
        <v>515</v>
      </c>
      <c r="E551" s="440" t="s">
        <v>94</v>
      </c>
      <c r="F551" s="227" t="s">
        <v>2363</v>
      </c>
      <c r="G551" s="281" t="s">
        <v>2778</v>
      </c>
      <c r="H551" s="436">
        <v>890908939</v>
      </c>
      <c r="I551" s="309" t="s">
        <v>344</v>
      </c>
      <c r="J551" s="437">
        <v>24000000</v>
      </c>
      <c r="K551" s="147" t="s">
        <v>42</v>
      </c>
      <c r="L551" s="438" t="s">
        <v>2768</v>
      </c>
      <c r="M551" s="194" t="s">
        <v>544</v>
      </c>
      <c r="N551" s="177" t="e" cm="1">
        <f t="array" aca="1" ref="N551" ca="1">_xlfn.XLOOKUP(Contrato5[[#This Row],[SUPERVISOR TITULAR]],[2]!PERSONAL_ACTIVO_2024[[#All],[Nombre completo]],[2]!PERSONAL_ACTIVO_2024[[#All],[Documento identidad]],"",0)</f>
        <v>#NAME?</v>
      </c>
      <c r="O551" s="194" t="s">
        <v>545</v>
      </c>
      <c r="P551" s="196" t="e" cm="1">
        <f t="array" aca="1" ref="P551" ca="1">_xlfn.XLOOKUP(Contrato5[[#This Row],[SUPERVISOR SUPLENTE ]],[2]!PERSONAL_ACTIVO_2024[[#All],[Nombre completo]],[2]!PERSONAL_ACTIVO_2024[[#All],[Documento identidad]],"",0)</f>
        <v>#NAME?</v>
      </c>
      <c r="Q551" s="170">
        <v>638</v>
      </c>
      <c r="R551" s="137" t="e" cm="1">
        <f t="array" aca="1" ref="R551" ca="1">_xlfn.XLOOKUP(Contrato5[[#This Row],[CDP]],[2]!DISPONIBILIDADES_2024[[#All],[consecutivo]],[2]!DISPONIBILIDADES_2024[[#All],[fecha_aprobacion]],"",0)</f>
        <v>#NAME?</v>
      </c>
      <c r="S551" s="138" t="e">
        <f>SUMIF([2]!DISPONIBILIDADES_2024[[#All],[consecutivo]],Contrato5[[#This Row],[CDP]],[2]!DISPONIBILIDADES_2024[[#All],[valor_total_rubro]])</f>
        <v>#REF!</v>
      </c>
      <c r="T551" s="139" t="e" cm="1">
        <f t="array" aca="1" ref="T551" ca="1">_xlfn.XLOOKUP(Contrato5[[#This Row],[CONTRATO]]&amp;Contrato5[[#This Row],[CDP]],[2]!Corr_Contr_CDP[[#All],[CONTRATO-CDP]],[2]!Corr_Contr_CDP[[#All],[CRP]],_xlfn.XLOOKUP(Contrato5[[#This Row],[CDP]],[2]!COMPROMISOS_2024[[#All],[disponibilidad]],[2]!COMPROMISOS_2024[[#All],[consecutivo]],"",0),0)</f>
        <v>#NAME?</v>
      </c>
      <c r="U551" s="140" t="e" cm="1">
        <f t="array" aca="1" ref="U551" ca="1">+_xlfn.XLOOKUP(Contrato5[[#This Row],[RCP]],[2]!COMPROMISOS_2024[[#All],[consecutivo]],[2]!COMPROMISOS_2024[[#All],[fecha_aprobacion]],"",0)</f>
        <v>#NAME?</v>
      </c>
      <c r="V551" s="141" t="e">
        <f ca="1">SUMIF([2]!COMPROMISOS_2024[[#All],[consecutivo]],Contrato5[[#This Row],[RCP]],[2]!COMPROMISOS_2024[[#All],[valor_total]])</f>
        <v>#REF!</v>
      </c>
      <c r="W551" s="415">
        <v>45485</v>
      </c>
      <c r="X551" s="415">
        <v>45485</v>
      </c>
      <c r="Y551" s="143">
        <v>45485</v>
      </c>
      <c r="Z551" s="262">
        <v>45516</v>
      </c>
      <c r="AA551" s="171" t="s">
        <v>2779</v>
      </c>
      <c r="AB551" s="172" t="s">
        <v>2780</v>
      </c>
      <c r="AC551" s="172"/>
      <c r="AD551" s="211">
        <v>202000004658</v>
      </c>
      <c r="AE551" s="147" t="s">
        <v>523</v>
      </c>
      <c r="AF551" s="148" t="str">
        <f>TEXT(LEFT(Contrato5[[#This Row],[CONTRATO]],3),"0")</f>
        <v>436</v>
      </c>
      <c r="AG551" s="148" t="str">
        <f>IF(LEN(Contrato5[[#This Row],[Contrato2]])=3,Contrato5[[#This Row],[Contrato2]],TEXT(Contrato5[[#This Row],[Contrato2]],"000"))</f>
        <v>436</v>
      </c>
      <c r="AH551" s="149">
        <f ca="1">IFERROR(_xlfn.DAYS(Contrato5[[#This Row],[Fecha Proyectada liquidación]],TODAY())/30,"")</f>
        <v>-4.0666666666666664</v>
      </c>
      <c r="AI551" s="150">
        <f>+Contrato5[[#This Row],[FECHA TERMINACIÓN ]]+120</f>
        <v>45636</v>
      </c>
      <c r="AJ551" s="147"/>
      <c r="AK551" s="152" t="str">
        <f ca="1">IF(Contrato5[[#This Row],[FECHA TERMINACIÓN ]]&lt;TODAY(), "Terminado",IF(ISNUMBER(Contrato5[[#This Row],[Fecha Real de liquiidación ]]),"Liquidado",IF(Contrato5[[#This Row],[FECHA TERMINACIÓN ]]&gt;=TODAY(),"En ejecución","")))</f>
        <v>Terminado</v>
      </c>
      <c r="AL551" s="153" t="e">
        <f ca="1">SUMIF([2]!COMPROMISOS_2024[[#All],[consecutivo]],Contrato5[[#This Row],[RCP]],[2]!COMPROMISOS_2024[[#All],[Total pagado]])</f>
        <v>#REF!</v>
      </c>
      <c r="AM551" s="154">
        <f ca="1">IFERROR(Contrato5[[#This Row],[Pagos]]/Contrato5[[#This Row],[VALOR CONTRATO]],0)</f>
        <v>0</v>
      </c>
      <c r="AN551" s="198" t="e">
        <f ca="1">+Contrato5[[#This Row],[VALOR CONTRATO]]-Contrato5[[#This Row],[Pagos]]</f>
        <v>#REF!</v>
      </c>
      <c r="AO551" s="147" t="e" cm="1">
        <f t="array" aca="1" ref="AO551" ca="1">_xlfn.XLOOKUP(Contrato5[[#This Row],[DOCUMENTO ]],[2]!PERSONAL_ACTIVO_2024[[#All],[Documento identidad]],[2]!PERSONAL_ACTIVO_2024[[#All],[Mail ]],0,0)</f>
        <v>#NAME?</v>
      </c>
      <c r="AP551" s="147" t="e" cm="1">
        <f t="array" aca="1" ref="AP551" ca="1">_xlfn.XLOOKUP(Contrato5[[#This Row],[DOCUMENTO]],[2]!PERSONAL_ACTIVO_2024[[#All],[Documento identidad]],[2]!PERSONAL_ACTIVO_2024[[#All],[Mail ]],0,0)</f>
        <v>#NAME?</v>
      </c>
      <c r="AQ551" s="439" cm="1">
        <f t="array" aca="1" ref="AQ551" ca="1">IF(ISBLANK(Contrato5[[#This Row],[DEPENDENCIA ]]),0,IFERROR(_xlfn.XLOOKUP(Contrato5[[#This Row],[DEPENDENCIA ]],[2]!PERSONAL_ACTIVO_2024[[#All],[Dependencia]],[2]!PERSONAL_ACTIVO_2024[[#All],[Mail ]],0,0),0))</f>
        <v>0</v>
      </c>
    </row>
    <row r="552" spans="1:43" ht="34.5" customHeight="1">
      <c r="A552" s="125">
        <v>838</v>
      </c>
      <c r="B552" s="124">
        <v>437</v>
      </c>
      <c r="C552" s="162" t="s">
        <v>1417</v>
      </c>
      <c r="D552" s="227" t="s">
        <v>493</v>
      </c>
      <c r="E552" s="440" t="s">
        <v>94</v>
      </c>
      <c r="F552" s="227" t="s">
        <v>2781</v>
      </c>
      <c r="G552" s="281" t="s">
        <v>1068</v>
      </c>
      <c r="H552" s="436">
        <v>890906266</v>
      </c>
      <c r="I552" s="309" t="s">
        <v>344</v>
      </c>
      <c r="J552" s="437">
        <v>0</v>
      </c>
      <c r="K552" s="131" t="s">
        <v>2782</v>
      </c>
      <c r="L552" s="438" t="s">
        <v>2768</v>
      </c>
      <c r="M552" s="194" t="s">
        <v>497</v>
      </c>
      <c r="N552" s="177" t="e" cm="1">
        <f t="array" aca="1" ref="N552" ca="1">_xlfn.XLOOKUP(Contrato5[[#This Row],[SUPERVISOR TITULAR]],[2]!PERSONAL_ACTIVO_2024[[#All],[Nombre completo]],[2]!PERSONAL_ACTIVO_2024[[#All],[Documento identidad]],"",0)</f>
        <v>#NAME?</v>
      </c>
      <c r="O552" s="194" t="s">
        <v>498</v>
      </c>
      <c r="P552" s="196" t="e" cm="1">
        <f t="array" aca="1" ref="P552" ca="1">_xlfn.XLOOKUP(Contrato5[[#This Row],[SUPERVISOR SUPLENTE ]],[2]!PERSONAL_ACTIVO_2024[[#All],[Nombre completo]],[2]!PERSONAL_ACTIVO_2024[[#All],[Documento identidad]],"",0)</f>
        <v>#NAME?</v>
      </c>
      <c r="Q552" s="202" t="s">
        <v>344</v>
      </c>
      <c r="R552" s="137" t="e" cm="1">
        <f t="array" aca="1" ref="R552" ca="1">_xlfn.XLOOKUP(Contrato5[[#This Row],[CDP]],[2]!DISPONIBILIDADES_2024[[#All],[consecutivo]],[2]!DISPONIBILIDADES_2024[[#All],[fecha_aprobacion]],"",0)</f>
        <v>#NAME?</v>
      </c>
      <c r="S552" s="138" t="e">
        <f>SUMIF([2]!DISPONIBILIDADES_2024[[#All],[consecutivo]],Contrato5[[#This Row],[CDP]],[2]!DISPONIBILIDADES_2024[[#All],[valor_total_rubro]])</f>
        <v>#REF!</v>
      </c>
      <c r="T552" s="139" t="e" cm="1">
        <f t="array" aca="1" ref="T552" ca="1">_xlfn.XLOOKUP(Contrato5[[#This Row],[CONTRATO]]&amp;Contrato5[[#This Row],[CDP]],[2]!Corr_Contr_CDP[[#All],[CONTRATO-CDP]],[2]!Corr_Contr_CDP[[#All],[CRP]],_xlfn.XLOOKUP(Contrato5[[#This Row],[CDP]],[2]!COMPROMISOS_2024[[#All],[disponibilidad]],[2]!COMPROMISOS_2024[[#All],[consecutivo]],"",0),0)</f>
        <v>#NAME?</v>
      </c>
      <c r="U552" s="140" t="e" cm="1">
        <f t="array" aca="1" ref="U552" ca="1">+_xlfn.XLOOKUP(Contrato5[[#This Row],[RCP]],[2]!COMPROMISOS_2024[[#All],[consecutivo]],[2]!COMPROMISOS_2024[[#All],[fecha_aprobacion]],"",0)</f>
        <v>#NAME?</v>
      </c>
      <c r="V552" s="141" t="e">
        <f ca="1">SUMIF([2]!COMPROMISOS_2024[[#All],[consecutivo]],Contrato5[[#This Row],[RCP]],[2]!COMPROMISOS_2024[[#All],[valor_total]])</f>
        <v>#REF!</v>
      </c>
      <c r="W552" s="415">
        <v>45495</v>
      </c>
      <c r="X552" s="415">
        <v>45505</v>
      </c>
      <c r="Y552" s="143">
        <v>45505</v>
      </c>
      <c r="Z552" s="262">
        <v>45657</v>
      </c>
      <c r="AA552" s="183" t="s">
        <v>2783</v>
      </c>
      <c r="AB552" s="172" t="s">
        <v>2784</v>
      </c>
      <c r="AC552" s="172"/>
      <c r="AD552" s="211">
        <v>202000005009</v>
      </c>
      <c r="AE552" s="147" t="s">
        <v>523</v>
      </c>
      <c r="AF552" s="148" t="str">
        <f>TEXT(LEFT(Contrato5[[#This Row],[CONTRATO]],3),"0")</f>
        <v>437</v>
      </c>
      <c r="AG552" s="148" t="str">
        <f>IF(LEN(Contrato5[[#This Row],[Contrato2]])=3,Contrato5[[#This Row],[Contrato2]],TEXT(Contrato5[[#This Row],[Contrato2]],"000"))</f>
        <v>437</v>
      </c>
      <c r="AH552" s="149">
        <f ca="1">IFERROR(_xlfn.DAYS(Contrato5[[#This Row],[Fecha Proyectada liquidación]],TODAY())/30,"")</f>
        <v>0.6333333333333333</v>
      </c>
      <c r="AI552" s="150">
        <f>+Contrato5[[#This Row],[FECHA TERMINACIÓN ]]+120</f>
        <v>45777</v>
      </c>
      <c r="AJ552" s="147"/>
      <c r="AK552" s="152" t="str">
        <f ca="1">IF(Contrato5[[#This Row],[FECHA TERMINACIÓN ]]&lt;TODAY(), "Terminado",IF(ISNUMBER(Contrato5[[#This Row],[Fecha Real de liquiidación ]]),"Liquidado",IF(Contrato5[[#This Row],[FECHA TERMINACIÓN ]]&gt;=TODAY(),"En ejecución","")))</f>
        <v>Terminado</v>
      </c>
      <c r="AL552" s="153" t="e">
        <f ca="1">SUMIF([2]!COMPROMISOS_2024[[#All],[consecutivo]],Contrato5[[#This Row],[RCP]],[2]!COMPROMISOS_2024[[#All],[Total pagado]])</f>
        <v>#REF!</v>
      </c>
      <c r="AM552" s="154">
        <f ca="1">IFERROR(Contrato5[[#This Row],[Pagos]]/Contrato5[[#This Row],[VALOR CONTRATO]],0)</f>
        <v>0</v>
      </c>
      <c r="AN552" s="198" t="e">
        <f ca="1">+Contrato5[[#This Row],[VALOR CONTRATO]]-Contrato5[[#This Row],[Pagos]]</f>
        <v>#REF!</v>
      </c>
      <c r="AO552" s="147" t="e" cm="1">
        <f t="array" aca="1" ref="AO552" ca="1">_xlfn.XLOOKUP(Contrato5[[#This Row],[DOCUMENTO ]],[2]!PERSONAL_ACTIVO_2024[[#All],[Documento identidad]],[2]!PERSONAL_ACTIVO_2024[[#All],[Mail ]],0,0)</f>
        <v>#NAME?</v>
      </c>
      <c r="AP552" s="147" t="e" cm="1">
        <f t="array" aca="1" ref="AP552" ca="1">_xlfn.XLOOKUP(Contrato5[[#This Row],[DOCUMENTO]],[2]!PERSONAL_ACTIVO_2024[[#All],[Documento identidad]],[2]!PERSONAL_ACTIVO_2024[[#All],[Mail ]],0,0)</f>
        <v>#NAME?</v>
      </c>
      <c r="AQ552" s="439" cm="1">
        <f t="array" aca="1" ref="AQ552" ca="1">IF(ISBLANK(Contrato5[[#This Row],[DEPENDENCIA ]]),0,IFERROR(_xlfn.XLOOKUP(Contrato5[[#This Row],[DEPENDENCIA ]],[2]!PERSONAL_ACTIVO_2024[[#All],[Dependencia]],[2]!PERSONAL_ACTIVO_2024[[#All],[Mail ]],0,0),0))</f>
        <v>0</v>
      </c>
    </row>
    <row r="553" spans="1:43" ht="34.5" customHeight="1">
      <c r="A553" s="147">
        <v>837</v>
      </c>
      <c r="B553" s="124">
        <v>438</v>
      </c>
      <c r="C553" s="162" t="s">
        <v>1854</v>
      </c>
      <c r="D553" s="227" t="s">
        <v>515</v>
      </c>
      <c r="E553" s="440" t="s">
        <v>94</v>
      </c>
      <c r="F553" s="126" t="s">
        <v>1376</v>
      </c>
      <c r="G553" s="289" t="s">
        <v>2785</v>
      </c>
      <c r="H553" s="436">
        <v>1036400227</v>
      </c>
      <c r="I553" s="273">
        <v>6879081</v>
      </c>
      <c r="J553" s="437">
        <v>41045183</v>
      </c>
      <c r="K553" s="147" t="s">
        <v>42</v>
      </c>
      <c r="L553" s="438" t="s">
        <v>2768</v>
      </c>
      <c r="M553" s="194" t="s">
        <v>844</v>
      </c>
      <c r="N553" s="195" t="e" cm="1">
        <f t="array" aca="1" ref="N553" ca="1">_xlfn.XLOOKUP(Contrato5[[#This Row],[SUPERVISOR TITULAR]],[2]!PERSONAL_ACTIVO_2024[[#All],[Nombre completo]],[2]!PERSONAL_ACTIVO_2024[[#All],[Documento identidad]],"",0)</f>
        <v>#NAME?</v>
      </c>
      <c r="O553" s="194" t="s">
        <v>526</v>
      </c>
      <c r="P553" s="135" t="e" cm="1">
        <f t="array" aca="1" ref="P553" ca="1">_xlfn.XLOOKUP(Contrato5[[#This Row],[SUPERVISOR SUPLENTE ]],[2]!PERSONAL_ACTIVO_2024[[#All],[Nombre completo]],[2]!PERSONAL_ACTIVO_2024[[#All],[Documento identidad]],"",0)</f>
        <v>#NAME?</v>
      </c>
      <c r="Q553" s="170">
        <v>615</v>
      </c>
      <c r="R553" s="137" t="e" cm="1">
        <f t="array" aca="1" ref="R553" ca="1">_xlfn.XLOOKUP(Contrato5[[#This Row],[CDP]],[2]!DISPONIBILIDADES_2024[[#All],[consecutivo]],[2]!DISPONIBILIDADES_2024[[#All],[fecha_aprobacion]],"",0)</f>
        <v>#NAME?</v>
      </c>
      <c r="S553" s="138" t="e">
        <f>SUMIF([2]!DISPONIBILIDADES_2024[[#All],[consecutivo]],Contrato5[[#This Row],[CDP]],[2]!DISPONIBILIDADES_2024[[#All],[valor_total_rubro]])</f>
        <v>#REF!</v>
      </c>
      <c r="T553" s="139" t="e" cm="1">
        <f t="array" aca="1" ref="T553" ca="1">_xlfn.XLOOKUP(Contrato5[[#This Row],[CONTRATO]]&amp;Contrato5[[#This Row],[CDP]],[2]!Corr_Contr_CDP[[#All],[CONTRATO-CDP]],[2]!Corr_Contr_CDP[[#All],[CRP]],_xlfn.XLOOKUP(Contrato5[[#This Row],[CDP]],[2]!COMPROMISOS_2024[[#All],[disponibilidad]],[2]!COMPROMISOS_2024[[#All],[consecutivo]],"",0),0)</f>
        <v>#NAME?</v>
      </c>
      <c r="U553" s="140" t="e" cm="1">
        <f t="array" aca="1" ref="U553" ca="1">+_xlfn.XLOOKUP(Contrato5[[#This Row],[RCP]],[2]!COMPROMISOS_2024[[#All],[consecutivo]],[2]!COMPROMISOS_2024[[#All],[fecha_aprobacion]],"",0)</f>
        <v>#NAME?</v>
      </c>
      <c r="V553" s="141" t="e">
        <f ca="1">SUMIF([2]!COMPROMISOS_2024[[#All],[consecutivo]],Contrato5[[#This Row],[RCP]],[2]!COMPROMISOS_2024[[#All],[valor_total]])</f>
        <v>#REF!</v>
      </c>
      <c r="W553" s="415">
        <v>45503</v>
      </c>
      <c r="X553" s="415" t="s">
        <v>1045</v>
      </c>
      <c r="Y553" s="143">
        <v>45509</v>
      </c>
      <c r="Z553" s="262">
        <v>45656</v>
      </c>
      <c r="AA553" s="183" t="s">
        <v>2786</v>
      </c>
      <c r="AB553" s="172" t="s">
        <v>2787</v>
      </c>
      <c r="AC553" s="127"/>
      <c r="AD553" s="211">
        <v>202000005010</v>
      </c>
      <c r="AE553" s="147" t="s">
        <v>523</v>
      </c>
      <c r="AF553" s="148" t="str">
        <f>TEXT(LEFT(Contrato5[[#This Row],[CONTRATO]],3),"0")</f>
        <v>438</v>
      </c>
      <c r="AG553" s="148" t="str">
        <f>IF(LEN(Contrato5[[#This Row],[Contrato2]])=3,Contrato5[[#This Row],[Contrato2]],TEXT(Contrato5[[#This Row],[Contrato2]],"000"))</f>
        <v>438</v>
      </c>
      <c r="AH553" s="149">
        <f ca="1">IFERROR(_xlfn.DAYS(Contrato5[[#This Row],[Fecha Proyectada liquidación]],TODAY())/30,"")</f>
        <v>0.6</v>
      </c>
      <c r="AI553" s="150">
        <f>+Contrato5[[#This Row],[FECHA TERMINACIÓN ]]+120</f>
        <v>45776</v>
      </c>
      <c r="AJ553" s="147"/>
      <c r="AK553" s="152" t="str">
        <f ca="1">IF(Contrato5[[#This Row],[FECHA TERMINACIÓN ]]&lt;TODAY(), "Terminado",IF(ISNUMBER(Contrato5[[#This Row],[Fecha Real de liquiidación ]]),"Liquidado",IF(Contrato5[[#This Row],[FECHA TERMINACIÓN ]]&gt;=TODAY(),"En ejecución","")))</f>
        <v>Terminado</v>
      </c>
      <c r="AL553" s="153" t="e">
        <f ca="1">SUMIF([2]!COMPROMISOS_2024[[#All],[consecutivo]],Contrato5[[#This Row],[RCP]],[2]!COMPROMISOS_2024[[#All],[Total pagado]])</f>
        <v>#REF!</v>
      </c>
      <c r="AM553" s="154">
        <f ca="1">IFERROR(Contrato5[[#This Row],[Pagos]]/Contrato5[[#This Row],[VALOR CONTRATO]],0)</f>
        <v>0</v>
      </c>
      <c r="AN553" s="198" t="e">
        <f ca="1">+Contrato5[[#This Row],[VALOR CONTRATO]]-Contrato5[[#This Row],[Pagos]]</f>
        <v>#REF!</v>
      </c>
      <c r="AO553" s="147" t="e" cm="1">
        <f t="array" aca="1" ref="AO553" ca="1">_xlfn.XLOOKUP(Contrato5[[#This Row],[DOCUMENTO ]],[2]!PERSONAL_ACTIVO_2024[[#All],[Documento identidad]],[2]!PERSONAL_ACTIVO_2024[[#All],[Mail ]],0,0)</f>
        <v>#NAME?</v>
      </c>
      <c r="AP553" s="147" t="e" cm="1">
        <f t="array" aca="1" ref="AP553" ca="1">_xlfn.XLOOKUP(Contrato5[[#This Row],[DOCUMENTO]],[2]!PERSONAL_ACTIVO_2024[[#All],[Documento identidad]],[2]!PERSONAL_ACTIVO_2024[[#All],[Mail ]],0,0)</f>
        <v>#NAME?</v>
      </c>
      <c r="AQ553" s="439" cm="1">
        <f t="array" aca="1" ref="AQ553" ca="1">IF(ISBLANK(Contrato5[[#This Row],[DEPENDENCIA ]]),0,IFERROR(_xlfn.XLOOKUP(Contrato5[[#This Row],[DEPENDENCIA ]],[2]!PERSONAL_ACTIVO_2024[[#All],[Dependencia]],[2]!PERSONAL_ACTIVO_2024[[#All],[Mail ]],0,0),0))</f>
        <v>0</v>
      </c>
    </row>
    <row r="554" spans="1:43" ht="34.5" customHeight="1">
      <c r="A554" s="125">
        <v>814</v>
      </c>
      <c r="B554" s="124">
        <v>439</v>
      </c>
      <c r="C554" s="162" t="s">
        <v>2788</v>
      </c>
      <c r="D554" s="227" t="s">
        <v>583</v>
      </c>
      <c r="E554" s="440" t="s">
        <v>94</v>
      </c>
      <c r="F554" s="126" t="s">
        <v>1376</v>
      </c>
      <c r="G554" s="281" t="s">
        <v>2789</v>
      </c>
      <c r="H554" s="436">
        <v>1088318330</v>
      </c>
      <c r="I554" s="273">
        <v>2574842</v>
      </c>
      <c r="J554" s="437">
        <v>13131694</v>
      </c>
      <c r="K554" s="147" t="s">
        <v>42</v>
      </c>
      <c r="L554" s="438" t="s">
        <v>2768</v>
      </c>
      <c r="M554" s="194" t="s">
        <v>600</v>
      </c>
      <c r="N554" s="177" t="e" cm="1">
        <f t="array" aca="1" ref="N554" ca="1">_xlfn.XLOOKUP(Contrato5[[#This Row],[SUPERVISOR TITULAR]],[2]!PERSONAL_ACTIVO_2024[[#All],[Nombre completo]],[2]!PERSONAL_ACTIVO_2024[[#All],[Documento identidad]],"",0)</f>
        <v>#NAME?</v>
      </c>
      <c r="O554" s="194" t="s">
        <v>2495</v>
      </c>
      <c r="P554" s="196" t="e" cm="1">
        <f t="array" aca="1" ref="P554" ca="1">_xlfn.XLOOKUP(Contrato5[[#This Row],[SUPERVISOR SUPLENTE ]],[2]!PERSONAL_ACTIVO_2024[[#All],[Nombre completo]],[2]!PERSONAL_ACTIVO_2024[[#All],[Documento identidad]],"",0)</f>
        <v>#NAME?</v>
      </c>
      <c r="Q554" s="170">
        <v>594</v>
      </c>
      <c r="R554" s="137" t="e" cm="1">
        <f t="array" aca="1" ref="R554" ca="1">_xlfn.XLOOKUP(Contrato5[[#This Row],[CDP]],[2]!DISPONIBILIDADES_2024[[#All],[consecutivo]],[2]!DISPONIBILIDADES_2024[[#All],[fecha_aprobacion]],"",0)</f>
        <v>#NAME?</v>
      </c>
      <c r="S554" s="138" t="e">
        <f>SUMIF([2]!DISPONIBILIDADES_2024[[#All],[consecutivo]],Contrato5[[#This Row],[CDP]],[2]!DISPONIBILIDADES_2024[[#All],[valor_total_rubro]])</f>
        <v>#REF!</v>
      </c>
      <c r="T554" s="139" t="e" cm="1">
        <f t="array" aca="1" ref="T554" ca="1">_xlfn.XLOOKUP(Contrato5[[#This Row],[CONTRATO]]&amp;Contrato5[[#This Row],[CDP]],[2]!Corr_Contr_CDP[[#All],[CONTRATO-CDP]],[2]!Corr_Contr_CDP[[#All],[CRP]],_xlfn.XLOOKUP(Contrato5[[#This Row],[CDP]],[2]!COMPROMISOS_2024[[#All],[disponibilidad]],[2]!COMPROMISOS_2024[[#All],[consecutivo]],"",0),0)</f>
        <v>#NAME?</v>
      </c>
      <c r="U554" s="140" t="e" cm="1">
        <f t="array" aca="1" ref="U554" ca="1">+_xlfn.XLOOKUP(Contrato5[[#This Row],[RCP]],[2]!COMPROMISOS_2024[[#All],[consecutivo]],[2]!COMPROMISOS_2024[[#All],[fecha_aprobacion]],"",0)</f>
        <v>#NAME?</v>
      </c>
      <c r="V554" s="141" t="e">
        <f ca="1">SUMIF([2]!COMPROMISOS_2024[[#All],[consecutivo]],Contrato5[[#This Row],[RCP]],[2]!COMPROMISOS_2024[[#All],[valor_total]])</f>
        <v>#REF!</v>
      </c>
      <c r="W554" s="415">
        <v>45489</v>
      </c>
      <c r="X554" s="415" t="s">
        <v>1045</v>
      </c>
      <c r="Y554" s="143">
        <v>45489</v>
      </c>
      <c r="Z554" s="262">
        <v>45643</v>
      </c>
      <c r="AA554" s="183" t="s">
        <v>2790</v>
      </c>
      <c r="AB554" s="280" t="s">
        <v>1041</v>
      </c>
      <c r="AC554" s="280"/>
      <c r="AD554" s="211">
        <v>202000004659</v>
      </c>
      <c r="AE554" s="147" t="s">
        <v>523</v>
      </c>
      <c r="AF554" s="148" t="str">
        <f>TEXT(LEFT(Contrato5[[#This Row],[CONTRATO]],3),"0")</f>
        <v>439</v>
      </c>
      <c r="AG554" s="148" t="str">
        <f>IF(LEN(Contrato5[[#This Row],[Contrato2]])=3,Contrato5[[#This Row],[Contrato2]],TEXT(Contrato5[[#This Row],[Contrato2]],"000"))</f>
        <v>439</v>
      </c>
      <c r="AH554" s="149">
        <f ca="1">IFERROR(_xlfn.DAYS(Contrato5[[#This Row],[Fecha Proyectada liquidación]],TODAY())/30,"")</f>
        <v>0.16666666666666666</v>
      </c>
      <c r="AI554" s="150">
        <f>+Contrato5[[#This Row],[FECHA TERMINACIÓN ]]+120</f>
        <v>45763</v>
      </c>
      <c r="AJ554" s="147"/>
      <c r="AK554" s="152" t="str">
        <f ca="1">IF(Contrato5[[#This Row],[FECHA TERMINACIÓN ]]&lt;TODAY(), "Terminado",IF(ISNUMBER(Contrato5[[#This Row],[Fecha Real de liquiidación ]]),"Liquidado",IF(Contrato5[[#This Row],[FECHA TERMINACIÓN ]]&gt;=TODAY(),"En ejecución","")))</f>
        <v>Terminado</v>
      </c>
      <c r="AL554" s="153" t="e">
        <f ca="1">SUMIF([2]!COMPROMISOS_2024[[#All],[consecutivo]],Contrato5[[#This Row],[RCP]],[2]!COMPROMISOS_2024[[#All],[Total pagado]])</f>
        <v>#REF!</v>
      </c>
      <c r="AM554" s="154">
        <f ca="1">IFERROR(Contrato5[[#This Row],[Pagos]]/Contrato5[[#This Row],[VALOR CONTRATO]],0)</f>
        <v>0</v>
      </c>
      <c r="AN554" s="198" t="e">
        <f ca="1">+Contrato5[[#This Row],[VALOR CONTRATO]]-Contrato5[[#This Row],[Pagos]]</f>
        <v>#REF!</v>
      </c>
      <c r="AO554" s="147" t="e" cm="1">
        <f t="array" aca="1" ref="AO554" ca="1">_xlfn.XLOOKUP(Contrato5[[#This Row],[DOCUMENTO ]],[2]!PERSONAL_ACTIVO_2024[[#All],[Documento identidad]],[2]!PERSONAL_ACTIVO_2024[[#All],[Mail ]],0,0)</f>
        <v>#NAME?</v>
      </c>
      <c r="AP554" s="147" t="e" cm="1">
        <f t="array" aca="1" ref="AP554" ca="1">_xlfn.XLOOKUP(Contrato5[[#This Row],[DOCUMENTO]],[2]!PERSONAL_ACTIVO_2024[[#All],[Documento identidad]],[2]!PERSONAL_ACTIVO_2024[[#All],[Mail ]],0,0)</f>
        <v>#NAME?</v>
      </c>
      <c r="AQ554" s="439" cm="1">
        <f t="array" aca="1" ref="AQ554" ca="1">IF(ISBLANK(Contrato5[[#This Row],[DEPENDENCIA ]]),0,IFERROR(_xlfn.XLOOKUP(Contrato5[[#This Row],[DEPENDENCIA ]],[2]!PERSONAL_ACTIVO_2024[[#All],[Dependencia]],[2]!PERSONAL_ACTIVO_2024[[#All],[Mail ]],0,0),0))</f>
        <v>0</v>
      </c>
    </row>
    <row r="555" spans="1:43" ht="34.5" customHeight="1">
      <c r="A555" s="125">
        <v>819</v>
      </c>
      <c r="B555" s="124">
        <v>440</v>
      </c>
      <c r="C555" s="162" t="s">
        <v>2791</v>
      </c>
      <c r="D555" s="227" t="s">
        <v>583</v>
      </c>
      <c r="E555" s="440" t="s">
        <v>94</v>
      </c>
      <c r="F555" s="126" t="s">
        <v>1376</v>
      </c>
      <c r="G555" s="281" t="s">
        <v>2792</v>
      </c>
      <c r="H555" s="436">
        <v>15308617</v>
      </c>
      <c r="I555" s="273">
        <v>2574842</v>
      </c>
      <c r="J555" s="437">
        <v>13131694</v>
      </c>
      <c r="K555" s="147" t="s">
        <v>42</v>
      </c>
      <c r="L555" s="438" t="s">
        <v>2768</v>
      </c>
      <c r="M555" s="194" t="s">
        <v>589</v>
      </c>
      <c r="N555" s="177" t="e" cm="1">
        <f t="array" aca="1" ref="N555" ca="1">_xlfn.XLOOKUP(Contrato5[[#This Row],[SUPERVISOR TITULAR]],[2]!PERSONAL_ACTIVO_2024[[#All],[Nombre completo]],[2]!PERSONAL_ACTIVO_2024[[#All],[Documento identidad]],"",0)</f>
        <v>#NAME?</v>
      </c>
      <c r="O555" s="194" t="s">
        <v>586</v>
      </c>
      <c r="P555" s="196" t="e" cm="1">
        <f t="array" aca="1" ref="P555" ca="1">_xlfn.XLOOKUP(Contrato5[[#This Row],[SUPERVISOR SUPLENTE ]],[2]!PERSONAL_ACTIVO_2024[[#All],[Nombre completo]],[2]!PERSONAL_ACTIVO_2024[[#All],[Documento identidad]],"",0)</f>
        <v>#NAME?</v>
      </c>
      <c r="Q555" s="170">
        <v>598</v>
      </c>
      <c r="R555" s="137" t="e" cm="1">
        <f t="array" aca="1" ref="R555" ca="1">_xlfn.XLOOKUP(Contrato5[[#This Row],[CDP]],[2]!DISPONIBILIDADES_2024[[#All],[consecutivo]],[2]!DISPONIBILIDADES_2024[[#All],[fecha_aprobacion]],"",0)</f>
        <v>#NAME?</v>
      </c>
      <c r="S555" s="138" t="e">
        <f>SUMIF([2]!DISPONIBILIDADES_2024[[#All],[consecutivo]],Contrato5[[#This Row],[CDP]],[2]!DISPONIBILIDADES_2024[[#All],[valor_total_rubro]])</f>
        <v>#REF!</v>
      </c>
      <c r="T555" s="139" t="e" cm="1">
        <f t="array" aca="1" ref="T555" ca="1">_xlfn.XLOOKUP(Contrato5[[#This Row],[CONTRATO]]&amp;Contrato5[[#This Row],[CDP]],[2]!Corr_Contr_CDP[[#All],[CONTRATO-CDP]],[2]!Corr_Contr_CDP[[#All],[CRP]],_xlfn.XLOOKUP(Contrato5[[#This Row],[CDP]],[2]!COMPROMISOS_2024[[#All],[disponibilidad]],[2]!COMPROMISOS_2024[[#All],[consecutivo]],"",0),0)</f>
        <v>#NAME?</v>
      </c>
      <c r="U555" s="140" t="e" cm="1">
        <f t="array" aca="1" ref="U555" ca="1">+_xlfn.XLOOKUP(Contrato5[[#This Row],[RCP]],[2]!COMPROMISOS_2024[[#All],[consecutivo]],[2]!COMPROMISOS_2024[[#All],[fecha_aprobacion]],"",0)</f>
        <v>#NAME?</v>
      </c>
      <c r="V555" s="141" t="e">
        <f ca="1">SUMIF([2]!COMPROMISOS_2024[[#All],[consecutivo]],Contrato5[[#This Row],[RCP]],[2]!COMPROMISOS_2024[[#All],[valor_total]])</f>
        <v>#REF!</v>
      </c>
      <c r="W555" s="415">
        <v>45489</v>
      </c>
      <c r="X555" s="415" t="s">
        <v>1045</v>
      </c>
      <c r="Y555" s="143">
        <v>45489</v>
      </c>
      <c r="Z555" s="262">
        <v>45643</v>
      </c>
      <c r="AA555" s="171" t="s">
        <v>2793</v>
      </c>
      <c r="AB555" s="172" t="s">
        <v>1041</v>
      </c>
      <c r="AC555" s="172"/>
      <c r="AD555" s="211">
        <v>202000004660</v>
      </c>
      <c r="AE555" s="147" t="s">
        <v>523</v>
      </c>
      <c r="AF555" s="148" t="str">
        <f>TEXT(LEFT(Contrato5[[#This Row],[CONTRATO]],3),"0")</f>
        <v>440</v>
      </c>
      <c r="AG555" s="148" t="str">
        <f>IF(LEN(Contrato5[[#This Row],[Contrato2]])=3,Contrato5[[#This Row],[Contrato2]],TEXT(Contrato5[[#This Row],[Contrato2]],"000"))</f>
        <v>440</v>
      </c>
      <c r="AH555" s="149">
        <f ca="1">IFERROR(_xlfn.DAYS(Contrato5[[#This Row],[Fecha Proyectada liquidación]],TODAY())/30,"")</f>
        <v>0.16666666666666666</v>
      </c>
      <c r="AI555" s="150">
        <f>+Contrato5[[#This Row],[FECHA TERMINACIÓN ]]+120</f>
        <v>45763</v>
      </c>
      <c r="AJ555" s="147"/>
      <c r="AK555" s="152" t="str">
        <f ca="1">IF(Contrato5[[#This Row],[FECHA TERMINACIÓN ]]&lt;TODAY(), "Terminado",IF(ISNUMBER(Contrato5[[#This Row],[Fecha Real de liquiidación ]]),"Liquidado",IF(Contrato5[[#This Row],[FECHA TERMINACIÓN ]]&gt;=TODAY(),"En ejecución","")))</f>
        <v>Terminado</v>
      </c>
      <c r="AL555" s="153" t="e">
        <f ca="1">SUMIF([2]!COMPROMISOS_2024[[#All],[consecutivo]],Contrato5[[#This Row],[RCP]],[2]!COMPROMISOS_2024[[#All],[Total pagado]])</f>
        <v>#REF!</v>
      </c>
      <c r="AM555" s="154">
        <f ca="1">IFERROR(Contrato5[[#This Row],[Pagos]]/Contrato5[[#This Row],[VALOR CONTRATO]],0)</f>
        <v>0</v>
      </c>
      <c r="AN555" s="198" t="e">
        <f ca="1">+Contrato5[[#This Row],[VALOR CONTRATO]]-Contrato5[[#This Row],[Pagos]]</f>
        <v>#REF!</v>
      </c>
      <c r="AO555" s="147" t="e" cm="1">
        <f t="array" aca="1" ref="AO555" ca="1">_xlfn.XLOOKUP(Contrato5[[#This Row],[DOCUMENTO ]],[2]!PERSONAL_ACTIVO_2024[[#All],[Documento identidad]],[2]!PERSONAL_ACTIVO_2024[[#All],[Mail ]],0,0)</f>
        <v>#NAME?</v>
      </c>
      <c r="AP555" s="147" t="e" cm="1">
        <f t="array" aca="1" ref="AP555" ca="1">_xlfn.XLOOKUP(Contrato5[[#This Row],[DOCUMENTO]],[2]!PERSONAL_ACTIVO_2024[[#All],[Documento identidad]],[2]!PERSONAL_ACTIVO_2024[[#All],[Mail ]],0,0)</f>
        <v>#NAME?</v>
      </c>
      <c r="AQ555" s="439" cm="1">
        <f t="array" aca="1" ref="AQ555" ca="1">IF(ISBLANK(Contrato5[[#This Row],[DEPENDENCIA ]]),0,IFERROR(_xlfn.XLOOKUP(Contrato5[[#This Row],[DEPENDENCIA ]],[2]!PERSONAL_ACTIVO_2024[[#All],[Dependencia]],[2]!PERSONAL_ACTIVO_2024[[#All],[Mail ]],0,0),0))</f>
        <v>0</v>
      </c>
    </row>
    <row r="556" spans="1:43" ht="34.5" customHeight="1">
      <c r="A556" s="125">
        <v>717</v>
      </c>
      <c r="B556" s="124">
        <v>441</v>
      </c>
      <c r="C556" s="162" t="s">
        <v>2794</v>
      </c>
      <c r="D556" s="227" t="s">
        <v>583</v>
      </c>
      <c r="E556" s="440" t="s">
        <v>94</v>
      </c>
      <c r="F556" s="227" t="s">
        <v>1767</v>
      </c>
      <c r="G556" s="281" t="s">
        <v>2795</v>
      </c>
      <c r="H556" s="436">
        <v>890906348</v>
      </c>
      <c r="I556" s="273" t="s">
        <v>2468</v>
      </c>
      <c r="J556" s="437">
        <v>130000000</v>
      </c>
      <c r="K556" s="147" t="s">
        <v>42</v>
      </c>
      <c r="L556" s="438" t="s">
        <v>2768</v>
      </c>
      <c r="M556" s="194" t="s">
        <v>586</v>
      </c>
      <c r="N556" s="177" t="e" cm="1">
        <f t="array" aca="1" ref="N556" ca="1">_xlfn.XLOOKUP(Contrato5[[#This Row],[SUPERVISOR TITULAR]],[2]!PERSONAL_ACTIVO_2024[[#All],[Nombre completo]],[2]!PERSONAL_ACTIVO_2024[[#All],[Documento identidad]],"",0)</f>
        <v>#NAME?</v>
      </c>
      <c r="O556" s="194" t="s">
        <v>589</v>
      </c>
      <c r="P556" s="196" t="e" cm="1">
        <f t="array" aca="1" ref="P556" ca="1">_xlfn.XLOOKUP(Contrato5[[#This Row],[SUPERVISOR SUPLENTE ]],[2]!PERSONAL_ACTIVO_2024[[#All],[Nombre completo]],[2]!PERSONAL_ACTIVO_2024[[#All],[Documento identidad]],"",0)</f>
        <v>#NAME?</v>
      </c>
      <c r="Q556" s="170">
        <v>621</v>
      </c>
      <c r="R556" s="137" t="e" cm="1">
        <f t="array" aca="1" ref="R556" ca="1">_xlfn.XLOOKUP(Contrato5[[#This Row],[CDP]],[2]!DISPONIBILIDADES_2024[[#All],[consecutivo]],[2]!DISPONIBILIDADES_2024[[#All],[fecha_aprobacion]],"",0)</f>
        <v>#NAME?</v>
      </c>
      <c r="S556" s="138" t="e">
        <f>SUMIF([2]!DISPONIBILIDADES_2024[[#All],[consecutivo]],Contrato5[[#This Row],[CDP]],[2]!DISPONIBILIDADES_2024[[#All],[valor_total_rubro]])</f>
        <v>#REF!</v>
      </c>
      <c r="T556" s="139" t="e" cm="1">
        <f t="array" aca="1" ref="T556" ca="1">_xlfn.XLOOKUP(Contrato5[[#This Row],[CONTRATO]]&amp;Contrato5[[#This Row],[CDP]],[2]!Corr_Contr_CDP[[#All],[CONTRATO-CDP]],[2]!Corr_Contr_CDP[[#All],[CRP]],_xlfn.XLOOKUP(Contrato5[[#This Row],[CDP]],[2]!COMPROMISOS_2024[[#All],[disponibilidad]],[2]!COMPROMISOS_2024[[#All],[consecutivo]],"",0),0)</f>
        <v>#NAME?</v>
      </c>
      <c r="U556" s="140" t="e" cm="1">
        <f t="array" aca="1" ref="U556" ca="1">+_xlfn.XLOOKUP(Contrato5[[#This Row],[RCP]],[2]!COMPROMISOS_2024[[#All],[consecutivo]],[2]!COMPROMISOS_2024[[#All],[fecha_aprobacion]],"",0)</f>
        <v>#NAME?</v>
      </c>
      <c r="V556" s="141" t="e">
        <f ca="1">SUMIF([2]!COMPROMISOS_2024[[#All],[consecutivo]],Contrato5[[#This Row],[RCP]],[2]!COMPROMISOS_2024[[#All],[valor_total]])</f>
        <v>#REF!</v>
      </c>
      <c r="W556" s="415">
        <v>45491</v>
      </c>
      <c r="X556" s="415">
        <v>45497</v>
      </c>
      <c r="Y556" s="143">
        <v>45497</v>
      </c>
      <c r="Z556" s="262">
        <v>45656</v>
      </c>
      <c r="AA556" s="183" t="s">
        <v>2796</v>
      </c>
      <c r="AB556" s="172" t="s">
        <v>2797</v>
      </c>
      <c r="AC556" s="172"/>
      <c r="AD556" s="211">
        <v>202000004661</v>
      </c>
      <c r="AE556" s="147" t="s">
        <v>523</v>
      </c>
      <c r="AF556" s="148" t="str">
        <f>TEXT(LEFT(Contrato5[[#This Row],[CONTRATO]],3),"0")</f>
        <v>441</v>
      </c>
      <c r="AG556" s="148" t="str">
        <f>IF(LEN(Contrato5[[#This Row],[Contrato2]])=3,Contrato5[[#This Row],[Contrato2]],TEXT(Contrato5[[#This Row],[Contrato2]],"000"))</f>
        <v>441</v>
      </c>
      <c r="AH556" s="149">
        <f ca="1">IFERROR(_xlfn.DAYS(Contrato5[[#This Row],[Fecha Proyectada liquidación]],TODAY())/30,"")</f>
        <v>0.6</v>
      </c>
      <c r="AI556" s="150">
        <f>+Contrato5[[#This Row],[FECHA TERMINACIÓN ]]+120</f>
        <v>45776</v>
      </c>
      <c r="AJ556" s="147"/>
      <c r="AK556" s="152" t="str">
        <f ca="1">IF(Contrato5[[#This Row],[FECHA TERMINACIÓN ]]&lt;TODAY(), "Terminado",IF(ISNUMBER(Contrato5[[#This Row],[Fecha Real de liquiidación ]]),"Liquidado",IF(Contrato5[[#This Row],[FECHA TERMINACIÓN ]]&gt;=TODAY(),"En ejecución","")))</f>
        <v>Terminado</v>
      </c>
      <c r="AL556" s="153" t="e">
        <f ca="1">SUMIF([2]!COMPROMISOS_2024[[#All],[consecutivo]],Contrato5[[#This Row],[RCP]],[2]!COMPROMISOS_2024[[#All],[Total pagado]])</f>
        <v>#REF!</v>
      </c>
      <c r="AM556" s="154">
        <f ca="1">IFERROR(Contrato5[[#This Row],[Pagos]]/Contrato5[[#This Row],[VALOR CONTRATO]],0)</f>
        <v>0</v>
      </c>
      <c r="AN556" s="198" t="e">
        <f ca="1">+Contrato5[[#This Row],[VALOR CONTRATO]]-Contrato5[[#This Row],[Pagos]]</f>
        <v>#REF!</v>
      </c>
      <c r="AO556" s="147" t="e" cm="1">
        <f t="array" aca="1" ref="AO556" ca="1">_xlfn.XLOOKUP(Contrato5[[#This Row],[DOCUMENTO ]],[2]!PERSONAL_ACTIVO_2024[[#All],[Documento identidad]],[2]!PERSONAL_ACTIVO_2024[[#All],[Mail ]],0,0)</f>
        <v>#NAME?</v>
      </c>
      <c r="AP556" s="147" t="e" cm="1">
        <f t="array" aca="1" ref="AP556" ca="1">_xlfn.XLOOKUP(Contrato5[[#This Row],[DOCUMENTO]],[2]!PERSONAL_ACTIVO_2024[[#All],[Documento identidad]],[2]!PERSONAL_ACTIVO_2024[[#All],[Mail ]],0,0)</f>
        <v>#NAME?</v>
      </c>
      <c r="AQ556" s="439" cm="1">
        <f t="array" aca="1" ref="AQ556" ca="1">IF(ISBLANK(Contrato5[[#This Row],[DEPENDENCIA ]]),0,IFERROR(_xlfn.XLOOKUP(Contrato5[[#This Row],[DEPENDENCIA ]],[2]!PERSONAL_ACTIVO_2024[[#All],[Dependencia]],[2]!PERSONAL_ACTIVO_2024[[#All],[Mail ]],0,0),0))</f>
        <v>0</v>
      </c>
    </row>
    <row r="557" spans="1:43" ht="34.5" customHeight="1">
      <c r="A557" s="147">
        <v>1285</v>
      </c>
      <c r="B557" s="124">
        <v>441</v>
      </c>
      <c r="C557" s="162" t="s">
        <v>2228</v>
      </c>
      <c r="D557" s="227" t="s">
        <v>583</v>
      </c>
      <c r="E557" s="440" t="s">
        <v>2148</v>
      </c>
      <c r="F557" s="227" t="s">
        <v>1767</v>
      </c>
      <c r="G557" s="281" t="s">
        <v>2795</v>
      </c>
      <c r="H557" s="436">
        <v>890906348</v>
      </c>
      <c r="I557" s="273" t="s">
        <v>2468</v>
      </c>
      <c r="J557" s="188">
        <v>65000000</v>
      </c>
      <c r="K557" s="147"/>
      <c r="L557" s="166" t="s">
        <v>2599</v>
      </c>
      <c r="M557" s="194" t="s">
        <v>586</v>
      </c>
      <c r="N557" s="177" t="e" cm="1">
        <f t="array" aca="1" ref="N557" ca="1">_xlfn.XLOOKUP(Contrato5[[#This Row],[SUPERVISOR TITULAR]],[2]!PERSONAL_ACTIVO_2024[[#All],[Nombre completo]],[2]!PERSONAL_ACTIVO_2024[[#All],[Documento identidad]],"",0)</f>
        <v>#NAME?</v>
      </c>
      <c r="O557" s="194" t="s">
        <v>589</v>
      </c>
      <c r="P557" s="196" t="e" cm="1">
        <f t="array" aca="1" ref="P557" ca="1">_xlfn.XLOOKUP(Contrato5[[#This Row],[SUPERVISOR SUPLENTE ]],[2]!PERSONAL_ACTIVO_2024[[#All],[Nombre completo]],[2]!PERSONAL_ACTIVO_2024[[#All],[Documento identidad]],"",0)</f>
        <v>#NAME?</v>
      </c>
      <c r="Q557" s="170">
        <v>1130</v>
      </c>
      <c r="R557" s="137" t="e" cm="1">
        <f t="array" aca="1" ref="R557" ca="1">_xlfn.XLOOKUP(Contrato5[[#This Row],[CDP]],[2]!DISPONIBILIDADES_2024[[#All],[consecutivo]],[2]!DISPONIBILIDADES_2024[[#All],[fecha_aprobacion]],"",0)</f>
        <v>#NAME?</v>
      </c>
      <c r="S557" s="138" t="e">
        <f>SUMIF([2]!DISPONIBILIDADES_2024[[#All],[consecutivo]],Contrato5[[#This Row],[CDP]],[2]!DISPONIBILIDADES_2024[[#All],[valor_total_rubro]])</f>
        <v>#REF!</v>
      </c>
      <c r="T557" s="139" t="e" cm="1">
        <f t="array" aca="1" ref="T557" ca="1">_xlfn.XLOOKUP(Contrato5[[#This Row],[CONTRATO]]&amp;Contrato5[[#This Row],[CDP]],[2]!Corr_Contr_CDP[[#All],[CONTRATO-CDP]],[2]!Corr_Contr_CDP[[#All],[CRP]],_xlfn.XLOOKUP(Contrato5[[#This Row],[CDP]],[2]!COMPROMISOS_2024[[#All],[disponibilidad]],[2]!COMPROMISOS_2024[[#All],[consecutivo]],"",0),0)</f>
        <v>#NAME?</v>
      </c>
      <c r="U557" s="140" t="e" cm="1">
        <f t="array" aca="1" ref="U557" ca="1">+_xlfn.XLOOKUP(Contrato5[[#This Row],[RCP]],[2]!COMPROMISOS_2024[[#All],[consecutivo]],[2]!COMPROMISOS_2024[[#All],[fecha_aprobacion]],"",0)</f>
        <v>#NAME?</v>
      </c>
      <c r="V557" s="141" t="e">
        <f ca="1">SUMIF([2]!COMPROMISOS_2024[[#All],[consecutivo]],Contrato5[[#This Row],[RCP]],[2]!COMPROMISOS_2024[[#All],[valor_total]])</f>
        <v>#REF!</v>
      </c>
      <c r="W557" s="422">
        <v>45611</v>
      </c>
      <c r="X557" s="415">
        <v>45614</v>
      </c>
      <c r="Y557" s="143">
        <v>45497</v>
      </c>
      <c r="Z557" s="262">
        <v>45656</v>
      </c>
      <c r="AA557" s="225"/>
      <c r="AB557" s="172" t="s">
        <v>42</v>
      </c>
      <c r="AC557" s="127"/>
      <c r="AD557" s="263"/>
      <c r="AE557" s="147"/>
      <c r="AF557" s="148" t="str">
        <f>TEXT(LEFT(Contrato5[[#This Row],[CONTRATO]],3),"0")</f>
        <v>441</v>
      </c>
      <c r="AG557" s="148" t="str">
        <f>IF(LEN(Contrato5[[#This Row],[Contrato2]])=3,Contrato5[[#This Row],[Contrato2]],TEXT(Contrato5[[#This Row],[Contrato2]],"000"))</f>
        <v>441</v>
      </c>
      <c r="AH557" s="149">
        <f ca="1">IFERROR(_xlfn.DAYS(Contrato5[[#This Row],[Fecha Proyectada liquidación]],TODAY())/30,"")</f>
        <v>0.6</v>
      </c>
      <c r="AI557" s="150">
        <f>+Contrato5[[#This Row],[FECHA TERMINACIÓN ]]+120</f>
        <v>45776</v>
      </c>
      <c r="AJ557" s="147"/>
      <c r="AK557" s="152" t="str">
        <f ca="1">IF(Contrato5[[#This Row],[FECHA TERMINACIÓN ]]&lt;TODAY(), "Terminado",IF(ISNUMBER(Contrato5[[#This Row],[Fecha Real de liquiidación ]]),"Liquidado",IF(Contrato5[[#This Row],[FECHA TERMINACIÓN ]]&gt;=TODAY(),"En ejecución","")))</f>
        <v>Terminado</v>
      </c>
      <c r="AL557" s="153" t="e">
        <f ca="1">SUMIF([2]!COMPROMISOS_2024[[#All],[consecutivo]],Contrato5[[#This Row],[RCP]],[2]!COMPROMISOS_2024[[#All],[Total pagado]])</f>
        <v>#REF!</v>
      </c>
      <c r="AM557" s="154">
        <f ca="1">IFERROR(Contrato5[[#This Row],[Pagos]]/Contrato5[[#This Row],[VALOR CONTRATO]],0)</f>
        <v>0</v>
      </c>
      <c r="AN557" s="198" t="e">
        <f ca="1">+Contrato5[[#This Row],[VALOR CONTRATO]]-Contrato5[[#This Row],[Pagos]]</f>
        <v>#REF!</v>
      </c>
      <c r="AO557" s="147" t="e" cm="1">
        <f t="array" aca="1" ref="AO557" ca="1">_xlfn.XLOOKUP(Contrato5[[#This Row],[DOCUMENTO ]],[2]!PERSONAL_ACTIVO_2024[[#All],[Documento identidad]],[2]!PERSONAL_ACTIVO_2024[[#All],[Mail ]],0,0)</f>
        <v>#NAME?</v>
      </c>
      <c r="AP557" s="147" t="e" cm="1">
        <f t="array" aca="1" ref="AP557" ca="1">_xlfn.XLOOKUP(Contrato5[[#This Row],[DOCUMENTO]],[2]!PERSONAL_ACTIVO_2024[[#All],[Documento identidad]],[2]!PERSONAL_ACTIVO_2024[[#All],[Mail ]],0,0)</f>
        <v>#NAME?</v>
      </c>
      <c r="AQ557" s="439" cm="1">
        <f t="array" aca="1" ref="AQ557" ca="1">IF(ISBLANK(Contrato5[[#This Row],[DEPENDENCIA ]]),0,IFERROR(_xlfn.XLOOKUP(Contrato5[[#This Row],[DEPENDENCIA ]],[2]!PERSONAL_ACTIVO_2024[[#All],[Dependencia]],[2]!PERSONAL_ACTIVO_2024[[#All],[Mail ]],0,0),0))</f>
        <v>0</v>
      </c>
    </row>
    <row r="558" spans="1:43" ht="34.5" customHeight="1">
      <c r="A558" s="125">
        <v>700</v>
      </c>
      <c r="B558" s="124">
        <v>442</v>
      </c>
      <c r="C558" s="162" t="s">
        <v>2798</v>
      </c>
      <c r="D558" s="227" t="s">
        <v>583</v>
      </c>
      <c r="E558" s="440" t="s">
        <v>94</v>
      </c>
      <c r="F558" s="227" t="s">
        <v>1767</v>
      </c>
      <c r="G558" s="281" t="s">
        <v>2799</v>
      </c>
      <c r="H558" s="436">
        <v>890900609</v>
      </c>
      <c r="I558" s="273" t="s">
        <v>2468</v>
      </c>
      <c r="J558" s="437">
        <v>80000000</v>
      </c>
      <c r="K558" s="272" t="s">
        <v>42</v>
      </c>
      <c r="L558" s="528" t="s">
        <v>2768</v>
      </c>
      <c r="M558" s="194" t="s">
        <v>586</v>
      </c>
      <c r="N558" s="177" t="e" cm="1">
        <f t="array" aca="1" ref="N558" ca="1">_xlfn.XLOOKUP(Contrato5[[#This Row],[SUPERVISOR TITULAR]],[2]!PERSONAL_ACTIVO_2024[[#All],[Nombre completo]],[2]!PERSONAL_ACTIVO_2024[[#All],[Documento identidad]],"",0)</f>
        <v>#NAME?</v>
      </c>
      <c r="O558" s="194" t="s">
        <v>589</v>
      </c>
      <c r="P558" s="196" t="e" cm="1">
        <f t="array" aca="1" ref="P558" ca="1">_xlfn.XLOOKUP(Contrato5[[#This Row],[SUPERVISOR SUPLENTE ]],[2]!PERSONAL_ACTIVO_2024[[#All],[Nombre completo]],[2]!PERSONAL_ACTIVO_2024[[#All],[Documento identidad]],"",0)</f>
        <v>#NAME?</v>
      </c>
      <c r="Q558" s="270">
        <v>625</v>
      </c>
      <c r="R558" s="137" t="e" cm="1">
        <f t="array" aca="1" ref="R558" ca="1">_xlfn.XLOOKUP(Contrato5[[#This Row],[CDP]],[2]!DISPONIBILIDADES_2024[[#All],[consecutivo]],[2]!DISPONIBILIDADES_2024[[#All],[fecha_aprobacion]],"",0)</f>
        <v>#NAME?</v>
      </c>
      <c r="S558" s="138" t="e">
        <f>SUMIF([2]!DISPONIBILIDADES_2024[[#All],[consecutivo]],Contrato5[[#This Row],[CDP]],[2]!DISPONIBILIDADES_2024[[#All],[valor_total_rubro]])</f>
        <v>#REF!</v>
      </c>
      <c r="T558" s="139" t="e" cm="1">
        <f t="array" aca="1" ref="T558" ca="1">_xlfn.XLOOKUP(Contrato5[[#This Row],[CONTRATO]]&amp;Contrato5[[#This Row],[CDP]],[2]!Corr_Contr_CDP[[#All],[CONTRATO-CDP]],[2]!Corr_Contr_CDP[[#All],[CRP]],_xlfn.XLOOKUP(Contrato5[[#This Row],[CDP]],[2]!COMPROMISOS_2024[[#All],[disponibilidad]],[2]!COMPROMISOS_2024[[#All],[consecutivo]],"",0),0)</f>
        <v>#NAME?</v>
      </c>
      <c r="U558" s="140" t="e" cm="1">
        <f t="array" aca="1" ref="U558" ca="1">+_xlfn.XLOOKUP(Contrato5[[#This Row],[RCP]],[2]!COMPROMISOS_2024[[#All],[consecutivo]],[2]!COMPROMISOS_2024[[#All],[fecha_aprobacion]],"",0)</f>
        <v>#NAME?</v>
      </c>
      <c r="V558" s="141" t="e">
        <f ca="1">SUMIF([2]!COMPROMISOS_2024[[#All],[consecutivo]],Contrato5[[#This Row],[RCP]],[2]!COMPROMISOS_2024[[#All],[valor_total]])</f>
        <v>#REF!</v>
      </c>
      <c r="W558" s="415">
        <v>45491</v>
      </c>
      <c r="X558" s="415">
        <v>45502</v>
      </c>
      <c r="Y558" s="143">
        <v>45491</v>
      </c>
      <c r="Z558" s="262">
        <v>45656</v>
      </c>
      <c r="AA558" s="183" t="s">
        <v>2800</v>
      </c>
      <c r="AB558" s="279" t="s">
        <v>1041</v>
      </c>
      <c r="AC558" s="280"/>
      <c r="AD558" s="218">
        <v>202000004671</v>
      </c>
      <c r="AE558" s="272" t="s">
        <v>523</v>
      </c>
      <c r="AF558" s="148" t="str">
        <f>TEXT(LEFT(Contrato5[[#This Row],[CONTRATO]],3),"0")</f>
        <v>442</v>
      </c>
      <c r="AG558" s="148" t="str">
        <f>IF(LEN(Contrato5[[#This Row],[Contrato2]])=3,Contrato5[[#This Row],[Contrato2]],TEXT(Contrato5[[#This Row],[Contrato2]],"000"))</f>
        <v>442</v>
      </c>
      <c r="AH558" s="149">
        <f ca="1">IFERROR(_xlfn.DAYS(Contrato5[[#This Row],[Fecha Proyectada liquidación]],TODAY())/30,"")</f>
        <v>0.6</v>
      </c>
      <c r="AI558" s="150">
        <f>+Contrato5[[#This Row],[FECHA TERMINACIÓN ]]+120</f>
        <v>45776</v>
      </c>
      <c r="AJ558" s="147"/>
      <c r="AK558" s="152" t="str">
        <f ca="1">IF(Contrato5[[#This Row],[FECHA TERMINACIÓN ]]&lt;TODAY(), "Terminado",IF(ISNUMBER(Contrato5[[#This Row],[Fecha Real de liquiidación ]]),"Liquidado",IF(Contrato5[[#This Row],[FECHA TERMINACIÓN ]]&gt;=TODAY(),"En ejecución","")))</f>
        <v>Terminado</v>
      </c>
      <c r="AL558" s="153" t="e">
        <f ca="1">SUMIF([2]!COMPROMISOS_2024[[#All],[consecutivo]],Contrato5[[#This Row],[RCP]],[2]!COMPROMISOS_2024[[#All],[Total pagado]])</f>
        <v>#REF!</v>
      </c>
      <c r="AM558" s="154">
        <f ca="1">IFERROR(Contrato5[[#This Row],[Pagos]]/Contrato5[[#This Row],[VALOR CONTRATO]],0)</f>
        <v>0</v>
      </c>
      <c r="AN558" s="198" t="e">
        <f ca="1">+Contrato5[[#This Row],[VALOR CONTRATO]]-Contrato5[[#This Row],[Pagos]]</f>
        <v>#REF!</v>
      </c>
      <c r="AO558" s="147" t="e" cm="1">
        <f t="array" aca="1" ref="AO558" ca="1">_xlfn.XLOOKUP(Contrato5[[#This Row],[DOCUMENTO ]],[2]!PERSONAL_ACTIVO_2024[[#All],[Documento identidad]],[2]!PERSONAL_ACTIVO_2024[[#All],[Mail ]],0,0)</f>
        <v>#NAME?</v>
      </c>
      <c r="AP558" s="147" t="e" cm="1">
        <f t="array" aca="1" ref="AP558" ca="1">_xlfn.XLOOKUP(Contrato5[[#This Row],[DOCUMENTO]],[2]!PERSONAL_ACTIVO_2024[[#All],[Documento identidad]],[2]!PERSONAL_ACTIVO_2024[[#All],[Mail ]],0,0)</f>
        <v>#NAME?</v>
      </c>
      <c r="AQ558" s="439" cm="1">
        <f t="array" aca="1" ref="AQ558" ca="1">IF(ISBLANK(Contrato5[[#This Row],[DEPENDENCIA ]]),0,IFERROR(_xlfn.XLOOKUP(Contrato5[[#This Row],[DEPENDENCIA ]],[2]!PERSONAL_ACTIVO_2024[[#All],[Dependencia]],[2]!PERSONAL_ACTIVO_2024[[#All],[Mail ]],0,0),0))</f>
        <v>0</v>
      </c>
    </row>
    <row r="559" spans="1:43" ht="34.5" customHeight="1">
      <c r="A559" s="147">
        <v>1287</v>
      </c>
      <c r="B559" s="499">
        <v>442</v>
      </c>
      <c r="C559" s="162" t="s">
        <v>2230</v>
      </c>
      <c r="D559" s="227" t="s">
        <v>583</v>
      </c>
      <c r="E559" s="440" t="s">
        <v>2148</v>
      </c>
      <c r="F559" s="227" t="s">
        <v>1767</v>
      </c>
      <c r="G559" s="281" t="s">
        <v>2799</v>
      </c>
      <c r="H559" s="436">
        <v>890900609</v>
      </c>
      <c r="I559" s="273" t="s">
        <v>2468</v>
      </c>
      <c r="J559" s="188">
        <v>25000000</v>
      </c>
      <c r="K559" s="147"/>
      <c r="L559" s="166" t="s">
        <v>2605</v>
      </c>
      <c r="M559" s="194"/>
      <c r="N559" s="195" t="e" cm="1">
        <f t="array" aca="1" ref="N559" ca="1">_xlfn.XLOOKUP(Contrato5[[#This Row],[SUPERVISOR TITULAR]],[2]!PERSONAL_ACTIVO_2024[[#All],[Nombre completo]],[2]!PERSONAL_ACTIVO_2024[[#All],[Documento identidad]],"",0)</f>
        <v>#NAME?</v>
      </c>
      <c r="O559" s="194"/>
      <c r="P559" s="135" t="e" cm="1">
        <f t="array" aca="1" ref="P559" ca="1">_xlfn.XLOOKUP(Contrato5[[#This Row],[SUPERVISOR SUPLENTE ]],[2]!PERSONAL_ACTIVO_2024[[#All],[Nombre completo]],[2]!PERSONAL_ACTIVO_2024[[#All],[Documento identidad]],"",0)</f>
        <v>#NAME?</v>
      </c>
      <c r="Q559" s="170">
        <v>1127</v>
      </c>
      <c r="R559" s="137" t="e" cm="1">
        <f t="array" aca="1" ref="R559" ca="1">_xlfn.XLOOKUP(Contrato5[[#This Row],[CDP]],[2]!DISPONIBILIDADES_2024[[#All],[consecutivo]],[2]!DISPONIBILIDADES_2024[[#All],[fecha_aprobacion]],"",0)</f>
        <v>#NAME?</v>
      </c>
      <c r="S559" s="138" t="e">
        <f>SUMIF([2]!DISPONIBILIDADES_2024[[#All],[consecutivo]],Contrato5[[#This Row],[CDP]],[2]!DISPONIBILIDADES_2024[[#All],[valor_total_rubro]])</f>
        <v>#REF!</v>
      </c>
      <c r="T559" s="139" t="e" cm="1">
        <f t="array" aca="1" ref="T559" ca="1">_xlfn.XLOOKUP(Contrato5[[#This Row],[CONTRATO]]&amp;Contrato5[[#This Row],[CDP]],[2]!Corr_Contr_CDP[[#All],[CONTRATO-CDP]],[2]!Corr_Contr_CDP[[#All],[CRP]],_xlfn.XLOOKUP(Contrato5[[#This Row],[CDP]],[2]!COMPROMISOS_2024[[#All],[disponibilidad]],[2]!COMPROMISOS_2024[[#All],[consecutivo]],"",0),0)</f>
        <v>#NAME?</v>
      </c>
      <c r="U559" s="140" t="e" cm="1">
        <f t="array" aca="1" ref="U559" ca="1">+_xlfn.XLOOKUP(Contrato5[[#This Row],[RCP]],[2]!COMPROMISOS_2024[[#All],[consecutivo]],[2]!COMPROMISOS_2024[[#All],[fecha_aprobacion]],"",0)</f>
        <v>#NAME?</v>
      </c>
      <c r="V559" s="141" t="e">
        <f ca="1">SUMIF([2]!COMPROMISOS_2024[[#All],[consecutivo]],Contrato5[[#This Row],[RCP]],[2]!COMPROMISOS_2024[[#All],[valor_total]])</f>
        <v>#REF!</v>
      </c>
      <c r="W559" s="422"/>
      <c r="X559" s="415"/>
      <c r="Y559" s="143">
        <v>45491</v>
      </c>
      <c r="Z559" s="262">
        <v>45656</v>
      </c>
      <c r="AA559" s="225"/>
      <c r="AB559" s="172" t="s">
        <v>42</v>
      </c>
      <c r="AC559" s="529"/>
      <c r="AD559" s="218"/>
      <c r="AE559" s="147"/>
      <c r="AF559" s="148" t="str">
        <f>TEXT(LEFT(Contrato5[[#This Row],[CONTRATO]],3),"0")</f>
        <v>442</v>
      </c>
      <c r="AG559" s="148" t="str">
        <f>IF(LEN(Contrato5[[#This Row],[Contrato2]])=3,Contrato5[[#This Row],[Contrato2]],TEXT(Contrato5[[#This Row],[Contrato2]],"000"))</f>
        <v>442</v>
      </c>
      <c r="AH559" s="149">
        <f ca="1">IFERROR(_xlfn.DAYS(Contrato5[[#This Row],[Fecha Proyectada liquidación]],TODAY())/30,"")</f>
        <v>0.6</v>
      </c>
      <c r="AI559" s="150">
        <f>+Contrato5[[#This Row],[FECHA TERMINACIÓN ]]+120</f>
        <v>45776</v>
      </c>
      <c r="AJ559" s="147"/>
      <c r="AK559" s="152" t="str">
        <f ca="1">IF(Contrato5[[#This Row],[FECHA TERMINACIÓN ]]&lt;TODAY(), "Terminado",IF(ISNUMBER(Contrato5[[#This Row],[Fecha Real de liquiidación ]]),"Liquidado",IF(Contrato5[[#This Row],[FECHA TERMINACIÓN ]]&gt;=TODAY(),"En ejecución","")))</f>
        <v>Terminado</v>
      </c>
      <c r="AL559" s="153" t="e">
        <f ca="1">SUMIF([2]!COMPROMISOS_2024[[#All],[consecutivo]],Contrato5[[#This Row],[RCP]],[2]!COMPROMISOS_2024[[#All],[Total pagado]])</f>
        <v>#REF!</v>
      </c>
      <c r="AM559" s="154">
        <f ca="1">IFERROR(Contrato5[[#This Row],[Pagos]]/Contrato5[[#This Row],[VALOR CONTRATO]],0)</f>
        <v>0</v>
      </c>
      <c r="AN559" s="198" t="e">
        <f ca="1">+Contrato5[[#This Row],[VALOR CONTRATO]]-Contrato5[[#This Row],[Pagos]]</f>
        <v>#REF!</v>
      </c>
      <c r="AO559" s="147" t="e" cm="1">
        <f t="array" aca="1" ref="AO559" ca="1">_xlfn.XLOOKUP(Contrato5[[#This Row],[DOCUMENTO ]],[2]!PERSONAL_ACTIVO_2024[[#All],[Documento identidad]],[2]!PERSONAL_ACTIVO_2024[[#All],[Mail ]],0,0)</f>
        <v>#NAME?</v>
      </c>
      <c r="AP559" s="147" t="e" cm="1">
        <f t="array" aca="1" ref="AP559" ca="1">_xlfn.XLOOKUP(Contrato5[[#This Row],[DOCUMENTO]],[2]!PERSONAL_ACTIVO_2024[[#All],[Documento identidad]],[2]!PERSONAL_ACTIVO_2024[[#All],[Mail ]],0,0)</f>
        <v>#NAME?</v>
      </c>
      <c r="AQ559" s="439" cm="1">
        <f t="array" aca="1" ref="AQ559" ca="1">IF(ISBLANK(Contrato5[[#This Row],[DEPENDENCIA ]]),0,IFERROR(_xlfn.XLOOKUP(Contrato5[[#This Row],[DEPENDENCIA ]],[2]!PERSONAL_ACTIVO_2024[[#All],[Dependencia]],[2]!PERSONAL_ACTIVO_2024[[#All],[Mail ]],0,0),0))</f>
        <v>0</v>
      </c>
    </row>
    <row r="560" spans="1:43" ht="34.5" customHeight="1">
      <c r="A560" s="125">
        <v>723</v>
      </c>
      <c r="B560" s="124">
        <v>443</v>
      </c>
      <c r="C560" s="162" t="s">
        <v>2801</v>
      </c>
      <c r="D560" s="227" t="s">
        <v>583</v>
      </c>
      <c r="E560" s="440" t="s">
        <v>94</v>
      </c>
      <c r="F560" s="227" t="s">
        <v>1767</v>
      </c>
      <c r="G560" s="281" t="s">
        <v>2802</v>
      </c>
      <c r="H560" s="436">
        <v>900652587</v>
      </c>
      <c r="I560" s="273" t="s">
        <v>2468</v>
      </c>
      <c r="J560" s="437">
        <v>70000000</v>
      </c>
      <c r="K560" s="147" t="s">
        <v>42</v>
      </c>
      <c r="L560" s="438" t="s">
        <v>2768</v>
      </c>
      <c r="M560" s="194" t="s">
        <v>586</v>
      </c>
      <c r="N560" s="177" t="e" cm="1">
        <f t="array" aca="1" ref="N560" ca="1">_xlfn.XLOOKUP(Contrato5[[#This Row],[SUPERVISOR TITULAR]],[2]!PERSONAL_ACTIVO_2024[[#All],[Nombre completo]],[2]!PERSONAL_ACTIVO_2024[[#All],[Documento identidad]],"",0)</f>
        <v>#NAME?</v>
      </c>
      <c r="O560" s="194" t="s">
        <v>589</v>
      </c>
      <c r="P560" s="196" t="e" cm="1">
        <f t="array" aca="1" ref="P560" ca="1">_xlfn.XLOOKUP(Contrato5[[#This Row],[SUPERVISOR SUPLENTE ]],[2]!PERSONAL_ACTIVO_2024[[#All],[Nombre completo]],[2]!PERSONAL_ACTIVO_2024[[#All],[Documento identidad]],"",0)</f>
        <v>#NAME?</v>
      </c>
      <c r="Q560" s="170">
        <v>616</v>
      </c>
      <c r="R560" s="137" t="e" cm="1">
        <f t="array" aca="1" ref="R560" ca="1">_xlfn.XLOOKUP(Contrato5[[#This Row],[CDP]],[2]!DISPONIBILIDADES_2024[[#All],[consecutivo]],[2]!DISPONIBILIDADES_2024[[#All],[fecha_aprobacion]],"",0)</f>
        <v>#NAME?</v>
      </c>
      <c r="S560" s="138" t="e">
        <f>SUMIF([2]!DISPONIBILIDADES_2024[[#All],[consecutivo]],Contrato5[[#This Row],[CDP]],[2]!DISPONIBILIDADES_2024[[#All],[valor_total_rubro]])</f>
        <v>#REF!</v>
      </c>
      <c r="T560" s="139" t="e" cm="1">
        <f t="array" aca="1" ref="T560" ca="1">_xlfn.XLOOKUP(Contrato5[[#This Row],[CONTRATO]]&amp;Contrato5[[#This Row],[CDP]],[2]!Corr_Contr_CDP[[#All],[CONTRATO-CDP]],[2]!Corr_Contr_CDP[[#All],[CRP]],_xlfn.XLOOKUP(Contrato5[[#This Row],[CDP]],[2]!COMPROMISOS_2024[[#All],[disponibilidad]],[2]!COMPROMISOS_2024[[#All],[consecutivo]],"",0),0)</f>
        <v>#NAME?</v>
      </c>
      <c r="U560" s="140" t="e" cm="1">
        <f t="array" aca="1" ref="U560" ca="1">+_xlfn.XLOOKUP(Contrato5[[#This Row],[RCP]],[2]!COMPROMISOS_2024[[#All],[consecutivo]],[2]!COMPROMISOS_2024[[#All],[fecha_aprobacion]],"",0)</f>
        <v>#NAME?</v>
      </c>
      <c r="V560" s="141" t="e">
        <f ca="1">SUMIF([2]!COMPROMISOS_2024[[#All],[consecutivo]],Contrato5[[#This Row],[RCP]],[2]!COMPROMISOS_2024[[#All],[valor_total]])</f>
        <v>#REF!</v>
      </c>
      <c r="W560" s="415">
        <v>45492</v>
      </c>
      <c r="X560" s="415">
        <v>45497</v>
      </c>
      <c r="Y560" s="143">
        <v>45497</v>
      </c>
      <c r="Z560" s="262">
        <v>45656</v>
      </c>
      <c r="AA560" s="171" t="s">
        <v>2803</v>
      </c>
      <c r="AB560" s="280" t="s">
        <v>2804</v>
      </c>
      <c r="AC560" s="280"/>
      <c r="AD560" s="211">
        <v>202000004662</v>
      </c>
      <c r="AE560" s="147" t="s">
        <v>523</v>
      </c>
      <c r="AF560" s="148" t="str">
        <f>TEXT(LEFT(Contrato5[[#This Row],[CONTRATO]],3),"0")</f>
        <v>443</v>
      </c>
      <c r="AG560" s="148" t="str">
        <f>IF(LEN(Contrato5[[#This Row],[Contrato2]])=3,Contrato5[[#This Row],[Contrato2]],TEXT(Contrato5[[#This Row],[Contrato2]],"000"))</f>
        <v>443</v>
      </c>
      <c r="AH560" s="149">
        <f ca="1">IFERROR(_xlfn.DAYS(Contrato5[[#This Row],[Fecha Proyectada liquidación]],TODAY())/30,"")</f>
        <v>0.6</v>
      </c>
      <c r="AI560" s="150">
        <f>+Contrato5[[#This Row],[FECHA TERMINACIÓN ]]+120</f>
        <v>45776</v>
      </c>
      <c r="AJ560" s="147"/>
      <c r="AK560" s="152" t="str">
        <f ca="1">IF(Contrato5[[#This Row],[FECHA TERMINACIÓN ]]&lt;TODAY(), "Terminado",IF(ISNUMBER(Contrato5[[#This Row],[Fecha Real de liquiidación ]]),"Liquidado",IF(Contrato5[[#This Row],[FECHA TERMINACIÓN ]]&gt;=TODAY(),"En ejecución","")))</f>
        <v>Terminado</v>
      </c>
      <c r="AL560" s="153" t="e">
        <f ca="1">SUMIF([2]!COMPROMISOS_2024[[#All],[consecutivo]],Contrato5[[#This Row],[RCP]],[2]!COMPROMISOS_2024[[#All],[Total pagado]])</f>
        <v>#REF!</v>
      </c>
      <c r="AM560" s="154">
        <f ca="1">IFERROR(Contrato5[[#This Row],[Pagos]]/Contrato5[[#This Row],[VALOR CONTRATO]],0)</f>
        <v>0</v>
      </c>
      <c r="AN560" s="198" t="e">
        <f ca="1">+Contrato5[[#This Row],[VALOR CONTRATO]]-Contrato5[[#This Row],[Pagos]]</f>
        <v>#REF!</v>
      </c>
      <c r="AO560" s="147" t="e" cm="1">
        <f t="array" aca="1" ref="AO560" ca="1">_xlfn.XLOOKUP(Contrato5[[#This Row],[DOCUMENTO ]],[2]!PERSONAL_ACTIVO_2024[[#All],[Documento identidad]],[2]!PERSONAL_ACTIVO_2024[[#All],[Mail ]],0,0)</f>
        <v>#NAME?</v>
      </c>
      <c r="AP560" s="147" t="e" cm="1">
        <f t="array" aca="1" ref="AP560" ca="1">_xlfn.XLOOKUP(Contrato5[[#This Row],[DOCUMENTO]],[2]!PERSONAL_ACTIVO_2024[[#All],[Documento identidad]],[2]!PERSONAL_ACTIVO_2024[[#All],[Mail ]],0,0)</f>
        <v>#NAME?</v>
      </c>
      <c r="AQ560" s="439" cm="1">
        <f t="array" aca="1" ref="AQ560" ca="1">IF(ISBLANK(Contrato5[[#This Row],[DEPENDENCIA ]]),0,IFERROR(_xlfn.XLOOKUP(Contrato5[[#This Row],[DEPENDENCIA ]],[2]!PERSONAL_ACTIVO_2024[[#All],[Dependencia]],[2]!PERSONAL_ACTIVO_2024[[#All],[Mail ]],0,0),0))</f>
        <v>0</v>
      </c>
    </row>
    <row r="561" spans="1:16382" ht="34.5" customHeight="1">
      <c r="A561" s="147">
        <v>1155</v>
      </c>
      <c r="B561" s="124">
        <v>443</v>
      </c>
      <c r="C561" s="162" t="s">
        <v>2137</v>
      </c>
      <c r="D561" s="227" t="s">
        <v>583</v>
      </c>
      <c r="E561" s="227" t="s">
        <v>2148</v>
      </c>
      <c r="F561" s="227" t="s">
        <v>1767</v>
      </c>
      <c r="G561" s="281" t="s">
        <v>2802</v>
      </c>
      <c r="H561" s="436">
        <v>900652587</v>
      </c>
      <c r="I561" s="273" t="s">
        <v>2468</v>
      </c>
      <c r="J561" s="445">
        <v>15000000</v>
      </c>
      <c r="K561" s="147" t="s">
        <v>42</v>
      </c>
      <c r="L561" s="438" t="s">
        <v>2683</v>
      </c>
      <c r="M561" s="194" t="s">
        <v>586</v>
      </c>
      <c r="N561" s="177" t="e" cm="1">
        <f t="array" aca="1" ref="N561" ca="1">_xlfn.XLOOKUP(Contrato5[[#This Row],[SUPERVISOR TITULAR]],[2]!PERSONAL_ACTIVO_2024[[#All],[Nombre completo]],[2]!PERSONAL_ACTIVO_2024[[#All],[Documento identidad]],"",0)</f>
        <v>#NAME?</v>
      </c>
      <c r="O561" s="194" t="s">
        <v>589</v>
      </c>
      <c r="P561" s="196" t="e" cm="1">
        <f t="array" aca="1" ref="P561" ca="1">_xlfn.XLOOKUP(Contrato5[[#This Row],[SUPERVISOR SUPLENTE ]],[2]!PERSONAL_ACTIVO_2024[[#All],[Nombre completo]],[2]!PERSONAL_ACTIVO_2024[[#All],[Documento identidad]],"",0)</f>
        <v>#NAME?</v>
      </c>
      <c r="Q561" s="170">
        <v>946</v>
      </c>
      <c r="R561" s="137" t="e" cm="1">
        <f t="array" aca="1" ref="R561" ca="1">_xlfn.XLOOKUP(Contrato5[[#This Row],[CDP]],[2]!DISPONIBILIDADES_2024[[#All],[consecutivo]],[2]!DISPONIBILIDADES_2024[[#All],[fecha_aprobacion]],"",0)</f>
        <v>#NAME?</v>
      </c>
      <c r="S561" s="138" t="e">
        <f>SUMIF([2]!DISPONIBILIDADES_2024[[#All],[consecutivo]],Contrato5[[#This Row],[CDP]],[2]!DISPONIBILIDADES_2024[[#All],[valor_total_rubro]])</f>
        <v>#REF!</v>
      </c>
      <c r="T561" s="139" t="e" cm="1">
        <f t="array" aca="1" ref="T561" ca="1">_xlfn.XLOOKUP(Contrato5[[#This Row],[CONTRATO]]&amp;Contrato5[[#This Row],[CDP]],[2]!Corr_Contr_CDP[[#All],[CONTRATO-CDP]],[2]!Corr_Contr_CDP[[#All],[CRP]],_xlfn.XLOOKUP(Contrato5[[#This Row],[CDP]],[2]!COMPROMISOS_2024[[#All],[disponibilidad]],[2]!COMPROMISOS_2024[[#All],[consecutivo]],"",0),0)</f>
        <v>#NAME?</v>
      </c>
      <c r="U561" s="140" t="e" cm="1">
        <f t="array" aca="1" ref="U561" ca="1">+_xlfn.XLOOKUP(Contrato5[[#This Row],[RCP]],[2]!COMPROMISOS_2024[[#All],[consecutivo]],[2]!COMPROMISOS_2024[[#All],[fecha_aprobacion]],"",0)</f>
        <v>#NAME?</v>
      </c>
      <c r="V561" s="141" t="e">
        <f ca="1">SUMIF([2]!COMPROMISOS_2024[[#All],[consecutivo]],Contrato5[[#This Row],[RCP]],[2]!COMPROMISOS_2024[[#All],[valor_total]])</f>
        <v>#REF!</v>
      </c>
      <c r="W561" s="415">
        <v>45609</v>
      </c>
      <c r="X561" s="415">
        <v>45611</v>
      </c>
      <c r="Y561" s="143">
        <v>45497</v>
      </c>
      <c r="Z561" s="262">
        <v>45656</v>
      </c>
      <c r="AA561" s="183"/>
      <c r="AB561" s="172" t="s">
        <v>42</v>
      </c>
      <c r="AC561" s="172"/>
      <c r="AD561" s="288"/>
      <c r="AE561" s="147"/>
      <c r="AF561" s="148" t="str">
        <f>TEXT(LEFT(Contrato5[[#This Row],[CONTRATO]],3),"0")</f>
        <v>443</v>
      </c>
      <c r="AG561" s="148" t="str">
        <f>IF(LEN(Contrato5[[#This Row],[Contrato2]])=3,Contrato5[[#This Row],[Contrato2]],TEXT(Contrato5[[#This Row],[Contrato2]],"000"))</f>
        <v>443</v>
      </c>
      <c r="AH561" s="149">
        <f ca="1">IFERROR(_xlfn.DAYS(Contrato5[[#This Row],[Fecha Proyectada liquidación]],TODAY())/30,"")</f>
        <v>0.6</v>
      </c>
      <c r="AI561" s="150">
        <f>+Contrato5[[#This Row],[FECHA TERMINACIÓN ]]+120</f>
        <v>45776</v>
      </c>
      <c r="AJ561" s="147"/>
      <c r="AK561" s="152" t="str">
        <f ca="1">IF(Contrato5[[#This Row],[FECHA TERMINACIÓN ]]&lt;TODAY(), "Terminado",IF(ISNUMBER(Contrato5[[#This Row],[Fecha Real de liquiidación ]]),"Liquidado",IF(Contrato5[[#This Row],[FECHA TERMINACIÓN ]]&gt;=TODAY(),"En ejecución","")))</f>
        <v>Terminado</v>
      </c>
      <c r="AL561" s="153" t="e">
        <f ca="1">SUMIF([2]!COMPROMISOS_2024[[#All],[consecutivo]],Contrato5[[#This Row],[RCP]],[2]!COMPROMISOS_2024[[#All],[Total pagado]])</f>
        <v>#REF!</v>
      </c>
      <c r="AM561" s="154">
        <f ca="1">IFERROR(Contrato5[[#This Row],[Pagos]]/Contrato5[[#This Row],[VALOR CONTRATO]],0)</f>
        <v>0</v>
      </c>
      <c r="AN561" s="198" t="e">
        <f ca="1">+Contrato5[[#This Row],[VALOR CONTRATO]]-Contrato5[[#This Row],[Pagos]]</f>
        <v>#REF!</v>
      </c>
      <c r="AO561" s="147" t="e" cm="1">
        <f t="array" aca="1" ref="AO561" ca="1">_xlfn.XLOOKUP(Contrato5[[#This Row],[DOCUMENTO ]],[2]!PERSONAL_ACTIVO_2024[[#All],[Documento identidad]],[2]!PERSONAL_ACTIVO_2024[[#All],[Mail ]],0,0)</f>
        <v>#NAME?</v>
      </c>
      <c r="AP561" s="147" t="e" cm="1">
        <f t="array" aca="1" ref="AP561" ca="1">_xlfn.XLOOKUP(Contrato5[[#This Row],[DOCUMENTO]],[2]!PERSONAL_ACTIVO_2024[[#All],[Documento identidad]],[2]!PERSONAL_ACTIVO_2024[[#All],[Mail ]],0,0)</f>
        <v>#NAME?</v>
      </c>
      <c r="AQ561" s="439" cm="1">
        <f t="array" aca="1" ref="AQ561" ca="1">IF(ISBLANK(Contrato5[[#This Row],[DEPENDENCIA ]]),0,IFERROR(_xlfn.XLOOKUP(Contrato5[[#This Row],[DEPENDENCIA ]],[2]!PERSONAL_ACTIVO_2024[[#All],[Dependencia]],[2]!PERSONAL_ACTIVO_2024[[#All],[Mail ]],0,0),0))</f>
        <v>0</v>
      </c>
    </row>
    <row r="562" spans="1:16382" ht="34.5" customHeight="1">
      <c r="A562" s="125">
        <v>740</v>
      </c>
      <c r="B562" s="124">
        <v>444</v>
      </c>
      <c r="C562" s="162" t="s">
        <v>2805</v>
      </c>
      <c r="D562" s="227" t="s">
        <v>583</v>
      </c>
      <c r="E562" s="440" t="s">
        <v>94</v>
      </c>
      <c r="F562" s="227" t="s">
        <v>161</v>
      </c>
      <c r="G562" s="281" t="s">
        <v>2806</v>
      </c>
      <c r="H562" s="436">
        <v>900285704</v>
      </c>
      <c r="I562" s="273" t="s">
        <v>2468</v>
      </c>
      <c r="J562" s="437">
        <v>510079552</v>
      </c>
      <c r="K562" s="272" t="s">
        <v>42</v>
      </c>
      <c r="L562" s="438" t="s">
        <v>2768</v>
      </c>
      <c r="M562" s="194" t="s">
        <v>2807</v>
      </c>
      <c r="N562" s="177" t="e" cm="1">
        <f t="array" aca="1" ref="N562" ca="1">_xlfn.XLOOKUP(Contrato5[[#This Row],[SUPERVISOR TITULAR]],[2]!PERSONAL_ACTIVO_2024[[#All],[Nombre completo]],[2]!PERSONAL_ACTIVO_2024[[#All],[Documento identidad]],"",0)</f>
        <v>#NAME?</v>
      </c>
      <c r="O562" s="194" t="s">
        <v>906</v>
      </c>
      <c r="P562" s="196" t="e" cm="1">
        <f t="array" aca="1" ref="P562" ca="1">_xlfn.XLOOKUP(Contrato5[[#This Row],[SUPERVISOR SUPLENTE ]],[2]!PERSONAL_ACTIVO_2024[[#All],[Nombre completo]],[2]!PERSONAL_ACTIVO_2024[[#All],[Documento identidad]],"",0)</f>
        <v>#NAME?</v>
      </c>
      <c r="Q562" s="530">
        <v>588</v>
      </c>
      <c r="R562" s="137" t="e" cm="1">
        <f t="array" aca="1" ref="R562" ca="1">_xlfn.XLOOKUP(Contrato5[[#This Row],[CDP]],[2]!DISPONIBILIDADES_2024[[#All],[consecutivo]],[2]!DISPONIBILIDADES_2024[[#All],[fecha_aprobacion]],"",0)</f>
        <v>#NAME?</v>
      </c>
      <c r="S562" s="138" t="e">
        <f>SUMIF([2]!DISPONIBILIDADES_2024[[#All],[consecutivo]],Contrato5[[#This Row],[CDP]],[2]!DISPONIBILIDADES_2024[[#All],[valor_total_rubro]])</f>
        <v>#REF!</v>
      </c>
      <c r="T562" s="139" t="e" cm="1">
        <f t="array" aca="1" ref="T562" ca="1">_xlfn.XLOOKUP(Contrato5[[#This Row],[CONTRATO]]&amp;Contrato5[[#This Row],[CDP]],[2]!Corr_Contr_CDP[[#All],[CONTRATO-CDP]],[2]!Corr_Contr_CDP[[#All],[CRP]],_xlfn.XLOOKUP(Contrato5[[#This Row],[CDP]],[2]!COMPROMISOS_2024[[#All],[disponibilidad]],[2]!COMPROMISOS_2024[[#All],[consecutivo]],"",0),0)</f>
        <v>#NAME?</v>
      </c>
      <c r="U562" s="140" t="e" cm="1">
        <f t="array" aca="1" ref="U562" ca="1">+_xlfn.XLOOKUP(Contrato5[[#This Row],[RCP]],[2]!COMPROMISOS_2024[[#All],[consecutivo]],[2]!COMPROMISOS_2024[[#All],[fecha_aprobacion]],"",0)</f>
        <v>#NAME?</v>
      </c>
      <c r="V562" s="141" t="e">
        <f ca="1">SUMIF([2]!COMPROMISOS_2024[[#All],[consecutivo]],Contrato5[[#This Row],[RCP]],[2]!COMPROMISOS_2024[[#All],[valor_total]])</f>
        <v>#REF!</v>
      </c>
      <c r="W562" s="415">
        <v>45499</v>
      </c>
      <c r="X562" s="415">
        <v>45506</v>
      </c>
      <c r="Y562" s="143">
        <v>45506</v>
      </c>
      <c r="Z562" s="262">
        <v>45657</v>
      </c>
      <c r="AA562" s="183" t="s">
        <v>2786</v>
      </c>
      <c r="AB562" s="280" t="s">
        <v>2808</v>
      </c>
      <c r="AC562" s="280"/>
      <c r="AD562" s="218">
        <v>202000005011</v>
      </c>
      <c r="AE562" s="147" t="s">
        <v>523</v>
      </c>
      <c r="AF562" s="148" t="str">
        <f>TEXT(LEFT(Contrato5[[#This Row],[CONTRATO]],3),"0")</f>
        <v>444</v>
      </c>
      <c r="AG562" s="148" t="str">
        <f>IF(LEN(Contrato5[[#This Row],[Contrato2]])=3,Contrato5[[#This Row],[Contrato2]],TEXT(Contrato5[[#This Row],[Contrato2]],"000"))</f>
        <v>444</v>
      </c>
      <c r="AH562" s="149">
        <f ca="1">IFERROR(_xlfn.DAYS(Contrato5[[#This Row],[Fecha Proyectada liquidación]],TODAY())/30,"")</f>
        <v>0.6333333333333333</v>
      </c>
      <c r="AI562" s="150">
        <f>+Contrato5[[#This Row],[FECHA TERMINACIÓN ]]+120</f>
        <v>45777</v>
      </c>
      <c r="AJ562" s="147"/>
      <c r="AK562" s="152" t="str">
        <f ca="1">IF(Contrato5[[#This Row],[FECHA TERMINACIÓN ]]&lt;TODAY(), "Terminado",IF(ISNUMBER(Contrato5[[#This Row],[Fecha Real de liquiidación ]]),"Liquidado",IF(Contrato5[[#This Row],[FECHA TERMINACIÓN ]]&gt;=TODAY(),"En ejecución","")))</f>
        <v>Terminado</v>
      </c>
      <c r="AL562" s="153" t="e">
        <f ca="1">SUMIF([2]!COMPROMISOS_2024[[#All],[consecutivo]],Contrato5[[#This Row],[RCP]],[2]!COMPROMISOS_2024[[#All],[Total pagado]])</f>
        <v>#REF!</v>
      </c>
      <c r="AM562" s="154">
        <f ca="1">IFERROR(Contrato5[[#This Row],[Pagos]]/Contrato5[[#This Row],[VALOR CONTRATO]],0)</f>
        <v>0</v>
      </c>
      <c r="AN562" s="198" t="e">
        <f ca="1">+Contrato5[[#This Row],[VALOR CONTRATO]]-Contrato5[[#This Row],[Pagos]]</f>
        <v>#REF!</v>
      </c>
      <c r="AO562" s="147" t="e" cm="1">
        <f t="array" aca="1" ref="AO562" ca="1">_xlfn.XLOOKUP(Contrato5[[#This Row],[DOCUMENTO ]],[2]!PERSONAL_ACTIVO_2024[[#All],[Documento identidad]],[2]!PERSONAL_ACTIVO_2024[[#All],[Mail ]],0,0)</f>
        <v>#NAME?</v>
      </c>
      <c r="AP562" s="147" t="e" cm="1">
        <f t="array" aca="1" ref="AP562" ca="1">_xlfn.XLOOKUP(Contrato5[[#This Row],[DOCUMENTO]],[2]!PERSONAL_ACTIVO_2024[[#All],[Documento identidad]],[2]!PERSONAL_ACTIVO_2024[[#All],[Mail ]],0,0)</f>
        <v>#NAME?</v>
      </c>
      <c r="AQ562" s="439" cm="1">
        <f t="array" aca="1" ref="AQ562" ca="1">IF(ISBLANK(Contrato5[[#This Row],[DEPENDENCIA ]]),0,IFERROR(_xlfn.XLOOKUP(Contrato5[[#This Row],[DEPENDENCIA ]],[2]!PERSONAL_ACTIVO_2024[[#All],[Dependencia]],[2]!PERSONAL_ACTIVO_2024[[#All],[Mail ]],0,0),0))</f>
        <v>0</v>
      </c>
    </row>
    <row r="563" spans="1:16382" ht="34.5" customHeight="1">
      <c r="A563" s="125" t="s">
        <v>1410</v>
      </c>
      <c r="B563" s="124">
        <v>444</v>
      </c>
      <c r="C563" s="162" t="s">
        <v>2805</v>
      </c>
      <c r="D563" s="227" t="s">
        <v>583</v>
      </c>
      <c r="E563" s="440" t="s">
        <v>94</v>
      </c>
      <c r="F563" s="227" t="s">
        <v>161</v>
      </c>
      <c r="G563" s="281" t="s">
        <v>2806</v>
      </c>
      <c r="H563" s="436">
        <v>900285704</v>
      </c>
      <c r="I563" s="273" t="s">
        <v>2468</v>
      </c>
      <c r="J563" s="437">
        <v>510079552</v>
      </c>
      <c r="K563" s="272" t="s">
        <v>42</v>
      </c>
      <c r="L563" s="438" t="s">
        <v>2768</v>
      </c>
      <c r="M563" s="194" t="s">
        <v>2807</v>
      </c>
      <c r="N563" s="177" t="e" cm="1">
        <f t="array" aca="1" ref="N563" ca="1">_xlfn.XLOOKUP(Contrato5[[#This Row],[SUPERVISOR TITULAR]],[2]!PERSONAL_ACTIVO_2024[[#All],[Nombre completo]],[2]!PERSONAL_ACTIVO_2024[[#All],[Documento identidad]],"",0)</f>
        <v>#NAME?</v>
      </c>
      <c r="O563" s="194" t="s">
        <v>906</v>
      </c>
      <c r="P563" s="196" t="e" cm="1">
        <f t="array" aca="1" ref="P563" ca="1">_xlfn.XLOOKUP(Contrato5[[#This Row],[SUPERVISOR SUPLENTE ]],[2]!PERSONAL_ACTIVO_2024[[#All],[Nombre completo]],[2]!PERSONAL_ACTIVO_2024[[#All],[Documento identidad]],"",0)</f>
        <v>#NAME?</v>
      </c>
      <c r="Q563" s="530">
        <v>628</v>
      </c>
      <c r="R563" s="137" t="e" cm="1">
        <f t="array" aca="1" ref="R563" ca="1">_xlfn.XLOOKUP(Contrato5[[#This Row],[CDP]],[2]!DISPONIBILIDADES_2024[[#All],[consecutivo]],[2]!DISPONIBILIDADES_2024[[#All],[fecha_aprobacion]],"",0)</f>
        <v>#NAME?</v>
      </c>
      <c r="S563" s="138" t="e">
        <f>SUMIF([2]!DISPONIBILIDADES_2024[[#All],[consecutivo]],Contrato5[[#This Row],[CDP]],[2]!DISPONIBILIDADES_2024[[#All],[valor_total_rubro]])</f>
        <v>#REF!</v>
      </c>
      <c r="T563" s="139" t="e" cm="1">
        <f t="array" aca="1" ref="T563" ca="1">_xlfn.XLOOKUP(Contrato5[[#This Row],[CONTRATO]]&amp;Contrato5[[#This Row],[CDP]],[2]!Corr_Contr_CDP[[#All],[CONTRATO-CDP]],[2]!Corr_Contr_CDP[[#All],[CRP]],_xlfn.XLOOKUP(Contrato5[[#This Row],[CDP]],[2]!COMPROMISOS_2024[[#All],[disponibilidad]],[2]!COMPROMISOS_2024[[#All],[consecutivo]],"",0),0)</f>
        <v>#NAME?</v>
      </c>
      <c r="U563" s="140" t="e" cm="1">
        <f t="array" aca="1" ref="U563" ca="1">+_xlfn.XLOOKUP(Contrato5[[#This Row],[RCP]],[2]!COMPROMISOS_2024[[#All],[consecutivo]],[2]!COMPROMISOS_2024[[#All],[fecha_aprobacion]],"",0)</f>
        <v>#NAME?</v>
      </c>
      <c r="V563" s="141" t="e">
        <f ca="1">SUMIF([2]!COMPROMISOS_2024[[#All],[consecutivo]],Contrato5[[#This Row],[RCP]],[2]!COMPROMISOS_2024[[#All],[valor_total]])</f>
        <v>#REF!</v>
      </c>
      <c r="W563" s="415">
        <v>45499</v>
      </c>
      <c r="X563" s="415">
        <v>45506</v>
      </c>
      <c r="Y563" s="143">
        <v>45506</v>
      </c>
      <c r="Z563" s="262">
        <v>45657</v>
      </c>
      <c r="AA563" s="183" t="s">
        <v>2786</v>
      </c>
      <c r="AB563" s="280" t="s">
        <v>2808</v>
      </c>
      <c r="AC563" s="280"/>
      <c r="AD563" s="218">
        <v>202000005011</v>
      </c>
      <c r="AE563" s="147" t="s">
        <v>523</v>
      </c>
      <c r="AF563" s="148" t="str">
        <f>TEXT(LEFT(Contrato5[[#This Row],[CONTRATO]],3),"0")</f>
        <v>444</v>
      </c>
      <c r="AG563" s="148" t="str">
        <f>IF(LEN(Contrato5[[#This Row],[Contrato2]])=3,Contrato5[[#This Row],[Contrato2]],TEXT(Contrato5[[#This Row],[Contrato2]],"000"))</f>
        <v>444</v>
      </c>
      <c r="AH563" s="149">
        <f ca="1">IFERROR(_xlfn.DAYS(Contrato5[[#This Row],[Fecha Proyectada liquidación]],TODAY())/30,"")</f>
        <v>0.6333333333333333</v>
      </c>
      <c r="AI563" s="150">
        <f>+Contrato5[[#This Row],[FECHA TERMINACIÓN ]]+120</f>
        <v>45777</v>
      </c>
      <c r="AJ563" s="147"/>
      <c r="AK563" s="152" t="str">
        <f ca="1">IF(Contrato5[[#This Row],[FECHA TERMINACIÓN ]]&lt;TODAY(), "Terminado",IF(ISNUMBER(Contrato5[[#This Row],[Fecha Real de liquiidación ]]),"Liquidado",IF(Contrato5[[#This Row],[FECHA TERMINACIÓN ]]&gt;=TODAY(),"En ejecución","")))</f>
        <v>Terminado</v>
      </c>
      <c r="AL563" s="153" t="e">
        <f ca="1">SUMIF([2]!COMPROMISOS_2024[[#All],[consecutivo]],Contrato5[[#This Row],[RCP]],[2]!COMPROMISOS_2024[[#All],[Total pagado]])</f>
        <v>#REF!</v>
      </c>
      <c r="AM563" s="154">
        <f ca="1">IFERROR(Contrato5[[#This Row],[Pagos]]/Contrato5[[#This Row],[VALOR CONTRATO]],0)</f>
        <v>0</v>
      </c>
      <c r="AN563" s="198" t="e">
        <f ca="1">+Contrato5[[#This Row],[VALOR CONTRATO]]-Contrato5[[#This Row],[Pagos]]</f>
        <v>#REF!</v>
      </c>
      <c r="AO563" s="147" t="e" cm="1">
        <f t="array" aca="1" ref="AO563" ca="1">_xlfn.XLOOKUP(Contrato5[[#This Row],[DOCUMENTO ]],[2]!PERSONAL_ACTIVO_2024[[#All],[Documento identidad]],[2]!PERSONAL_ACTIVO_2024[[#All],[Mail ]],0,0)</f>
        <v>#NAME?</v>
      </c>
      <c r="AP563" s="147" t="e" cm="1">
        <f t="array" aca="1" ref="AP563" ca="1">_xlfn.XLOOKUP(Contrato5[[#This Row],[DOCUMENTO]],[2]!PERSONAL_ACTIVO_2024[[#All],[Documento identidad]],[2]!PERSONAL_ACTIVO_2024[[#All],[Mail ]],0,0)</f>
        <v>#NAME?</v>
      </c>
      <c r="AQ563" s="439" cm="1">
        <f t="array" aca="1" ref="AQ563" ca="1">IF(ISBLANK(Contrato5[[#This Row],[DEPENDENCIA ]]),0,IFERROR(_xlfn.XLOOKUP(Contrato5[[#This Row],[DEPENDENCIA ]],[2]!PERSONAL_ACTIVO_2024[[#All],[Dependencia]],[2]!PERSONAL_ACTIVO_2024[[#All],[Mail ]],0,0),0))</f>
        <v>0</v>
      </c>
    </row>
    <row r="564" spans="1:16382" ht="34.5" customHeight="1">
      <c r="A564" s="125">
        <v>796</v>
      </c>
      <c r="B564" s="124">
        <v>445</v>
      </c>
      <c r="C564" s="162" t="s">
        <v>1897</v>
      </c>
      <c r="D564" s="227" t="s">
        <v>515</v>
      </c>
      <c r="E564" s="440" t="s">
        <v>94</v>
      </c>
      <c r="F564" s="227" t="s">
        <v>2363</v>
      </c>
      <c r="G564" s="281" t="s">
        <v>2809</v>
      </c>
      <c r="H564" s="436">
        <v>900382513</v>
      </c>
      <c r="I564" s="273" t="s">
        <v>2468</v>
      </c>
      <c r="J564" s="437">
        <v>18830000</v>
      </c>
      <c r="K564" s="147" t="s">
        <v>42</v>
      </c>
      <c r="L564" s="438" t="s">
        <v>2443</v>
      </c>
      <c r="M564" s="194" t="s">
        <v>544</v>
      </c>
      <c r="N564" s="177" t="e" cm="1">
        <f t="array" aca="1" ref="N564" ca="1">_xlfn.XLOOKUP(Contrato5[[#This Row],[SUPERVISOR TITULAR]],[2]!PERSONAL_ACTIVO_2024[[#All],[Nombre completo]],[2]!PERSONAL_ACTIVO_2024[[#All],[Documento identidad]],"",0)</f>
        <v>#NAME?</v>
      </c>
      <c r="O564" s="194" t="s">
        <v>545</v>
      </c>
      <c r="P564" s="196" t="e" cm="1">
        <f t="array" aca="1" ref="P564" ca="1">_xlfn.XLOOKUP(Contrato5[[#This Row],[SUPERVISOR SUPLENTE ]],[2]!PERSONAL_ACTIVO_2024[[#All],[Nombre completo]],[2]!PERSONAL_ACTIVO_2024[[#All],[Documento identidad]],"",0)</f>
        <v>#NAME?</v>
      </c>
      <c r="Q564" s="170">
        <v>569</v>
      </c>
      <c r="R564" s="137" t="e" cm="1">
        <f t="array" aca="1" ref="R564" ca="1">_xlfn.XLOOKUP(Contrato5[[#This Row],[CDP]],[2]!DISPONIBILIDADES_2024[[#All],[consecutivo]],[2]!DISPONIBILIDADES_2024[[#All],[fecha_aprobacion]],"",0)</f>
        <v>#NAME?</v>
      </c>
      <c r="S564" s="138" t="e">
        <f>SUMIF([2]!DISPONIBILIDADES_2024[[#All],[consecutivo]],Contrato5[[#This Row],[CDP]],[2]!DISPONIBILIDADES_2024[[#All],[valor_total_rubro]])</f>
        <v>#REF!</v>
      </c>
      <c r="T564" s="139" t="e" cm="1">
        <f t="array" aca="1" ref="T564" ca="1">_xlfn.XLOOKUP(Contrato5[[#This Row],[CONTRATO]]&amp;Contrato5[[#This Row],[CDP]],[2]!Corr_Contr_CDP[[#All],[CONTRATO-CDP]],[2]!Corr_Contr_CDP[[#All],[CRP]],_xlfn.XLOOKUP(Contrato5[[#This Row],[CDP]],[2]!COMPROMISOS_2024[[#All],[disponibilidad]],[2]!COMPROMISOS_2024[[#All],[consecutivo]],"",0),0)</f>
        <v>#NAME?</v>
      </c>
      <c r="U564" s="140" t="e" cm="1">
        <f t="array" aca="1" ref="U564" ca="1">+_xlfn.XLOOKUP(Contrato5[[#This Row],[RCP]],[2]!COMPROMISOS_2024[[#All],[consecutivo]],[2]!COMPROMISOS_2024[[#All],[fecha_aprobacion]],"",0)</f>
        <v>#NAME?</v>
      </c>
      <c r="V564" s="141" t="e">
        <f ca="1">SUMIF([2]!COMPROMISOS_2024[[#All],[consecutivo]],Contrato5[[#This Row],[RCP]],[2]!COMPROMISOS_2024[[#All],[valor_total]])</f>
        <v>#REF!</v>
      </c>
      <c r="W564" s="415">
        <v>45509</v>
      </c>
      <c r="X564" s="415">
        <v>45512</v>
      </c>
      <c r="Y564" s="143">
        <v>45512</v>
      </c>
      <c r="Z564" s="262">
        <v>45656</v>
      </c>
      <c r="AA564" s="183" t="s">
        <v>2810</v>
      </c>
      <c r="AB564" s="274" t="s">
        <v>640</v>
      </c>
      <c r="AC564" s="274"/>
      <c r="AD564" s="211">
        <v>202000005012</v>
      </c>
      <c r="AE564" s="147" t="s">
        <v>523</v>
      </c>
      <c r="AF564" s="148" t="str">
        <f>TEXT(LEFT(Contrato5[[#This Row],[CONTRATO]],3),"0")</f>
        <v>445</v>
      </c>
      <c r="AG564" s="148" t="str">
        <f>IF(LEN(Contrato5[[#This Row],[Contrato2]])=3,Contrato5[[#This Row],[Contrato2]],TEXT(Contrato5[[#This Row],[Contrato2]],"000"))</f>
        <v>445</v>
      </c>
      <c r="AH564" s="149">
        <f ca="1">IFERROR(_xlfn.DAYS(Contrato5[[#This Row],[Fecha Proyectada liquidación]],TODAY())/30,"")</f>
        <v>0.6</v>
      </c>
      <c r="AI564" s="150">
        <f>+Contrato5[[#This Row],[FECHA TERMINACIÓN ]]+120</f>
        <v>45776</v>
      </c>
      <c r="AJ564" s="147"/>
      <c r="AK564" s="152" t="str">
        <f ca="1">IF(Contrato5[[#This Row],[FECHA TERMINACIÓN ]]&lt;TODAY(), "Terminado",IF(ISNUMBER(Contrato5[[#This Row],[Fecha Real de liquiidación ]]),"Liquidado",IF(Contrato5[[#This Row],[FECHA TERMINACIÓN ]]&gt;=TODAY(),"En ejecución","")))</f>
        <v>Terminado</v>
      </c>
      <c r="AL564" s="153" t="e">
        <f ca="1">SUMIF([2]!COMPROMISOS_2024[[#All],[consecutivo]],Contrato5[[#This Row],[RCP]],[2]!COMPROMISOS_2024[[#All],[Total pagado]])</f>
        <v>#REF!</v>
      </c>
      <c r="AM564" s="154">
        <f ca="1">IFERROR(Contrato5[[#This Row],[Pagos]]/Contrato5[[#This Row],[VALOR CONTRATO]],0)</f>
        <v>0</v>
      </c>
      <c r="AN564" s="198" t="e">
        <f ca="1">+Contrato5[[#This Row],[VALOR CONTRATO]]-Contrato5[[#This Row],[Pagos]]</f>
        <v>#REF!</v>
      </c>
      <c r="AO564" s="147" t="e" cm="1">
        <f t="array" aca="1" ref="AO564" ca="1">_xlfn.XLOOKUP(Contrato5[[#This Row],[DOCUMENTO ]],[2]!PERSONAL_ACTIVO_2024[[#All],[Documento identidad]],[2]!PERSONAL_ACTIVO_2024[[#All],[Mail ]],0,0)</f>
        <v>#NAME?</v>
      </c>
      <c r="AP564" s="147" t="e" cm="1">
        <f t="array" aca="1" ref="AP564" ca="1">_xlfn.XLOOKUP(Contrato5[[#This Row],[DOCUMENTO]],[2]!PERSONAL_ACTIVO_2024[[#All],[Documento identidad]],[2]!PERSONAL_ACTIVO_2024[[#All],[Mail ]],0,0)</f>
        <v>#NAME?</v>
      </c>
      <c r="AQ564" s="439" cm="1">
        <f t="array" aca="1" ref="AQ564" ca="1">IF(ISBLANK(Contrato5[[#This Row],[DEPENDENCIA ]]),0,IFERROR(_xlfn.XLOOKUP(Contrato5[[#This Row],[DEPENDENCIA ]],[2]!PERSONAL_ACTIVO_2024[[#All],[Dependencia]],[2]!PERSONAL_ACTIVO_2024[[#All],[Mail ]],0,0),0))</f>
        <v>0</v>
      </c>
    </row>
    <row r="565" spans="1:16382" ht="34.5" customHeight="1">
      <c r="A565" s="125">
        <v>794</v>
      </c>
      <c r="B565" s="124">
        <v>446</v>
      </c>
      <c r="C565" s="162" t="s">
        <v>2811</v>
      </c>
      <c r="D565" s="227" t="s">
        <v>515</v>
      </c>
      <c r="E565" s="440" t="s">
        <v>94</v>
      </c>
      <c r="F565" s="227" t="s">
        <v>2363</v>
      </c>
      <c r="G565" s="281" t="s">
        <v>2812</v>
      </c>
      <c r="H565" s="436">
        <v>890905456</v>
      </c>
      <c r="I565" s="273" t="s">
        <v>2468</v>
      </c>
      <c r="J565" s="437">
        <v>106131000</v>
      </c>
      <c r="K565" s="272" t="s">
        <v>42</v>
      </c>
      <c r="L565" s="438" t="s">
        <v>2443</v>
      </c>
      <c r="M565" s="194" t="s">
        <v>544</v>
      </c>
      <c r="N565" s="177" t="e" cm="1">
        <f t="array" aca="1" ref="N565" ca="1">_xlfn.XLOOKUP(Contrato5[[#This Row],[SUPERVISOR TITULAR]],[2]!PERSONAL_ACTIVO_2024[[#All],[Nombre completo]],[2]!PERSONAL_ACTIVO_2024[[#All],[Documento identidad]],"",0)</f>
        <v>#NAME?</v>
      </c>
      <c r="O565" s="194" t="s">
        <v>545</v>
      </c>
      <c r="P565" s="196" t="e" cm="1">
        <f t="array" aca="1" ref="P565" ca="1">_xlfn.XLOOKUP(Contrato5[[#This Row],[SUPERVISOR SUPLENTE ]],[2]!PERSONAL_ACTIVO_2024[[#All],[Nombre completo]],[2]!PERSONAL_ACTIVO_2024[[#All],[Documento identidad]],"",0)</f>
        <v>#NAME?</v>
      </c>
      <c r="Q565" s="170">
        <v>571</v>
      </c>
      <c r="R565" s="137" t="e" cm="1">
        <f t="array" aca="1" ref="R565" ca="1">_xlfn.XLOOKUP(Contrato5[[#This Row],[CDP]],[2]!DISPONIBILIDADES_2024[[#All],[consecutivo]],[2]!DISPONIBILIDADES_2024[[#All],[fecha_aprobacion]],"",0)</f>
        <v>#NAME?</v>
      </c>
      <c r="S565" s="138" t="e">
        <f>SUMIF([2]!DISPONIBILIDADES_2024[[#All],[consecutivo]],Contrato5[[#This Row],[CDP]],[2]!DISPONIBILIDADES_2024[[#All],[valor_total_rubro]])</f>
        <v>#REF!</v>
      </c>
      <c r="T565" s="139" t="e" cm="1">
        <f t="array" aca="1" ref="T565" ca="1">_xlfn.XLOOKUP(Contrato5[[#This Row],[CONTRATO]]&amp;Contrato5[[#This Row],[CDP]],[2]!Corr_Contr_CDP[[#All],[CONTRATO-CDP]],[2]!Corr_Contr_CDP[[#All],[CRP]],_xlfn.XLOOKUP(Contrato5[[#This Row],[CDP]],[2]!COMPROMISOS_2024[[#All],[disponibilidad]],[2]!COMPROMISOS_2024[[#All],[consecutivo]],"",0),0)</f>
        <v>#NAME?</v>
      </c>
      <c r="U565" s="140" t="e" cm="1">
        <f t="array" aca="1" ref="U565" ca="1">+_xlfn.XLOOKUP(Contrato5[[#This Row],[RCP]],[2]!COMPROMISOS_2024[[#All],[consecutivo]],[2]!COMPROMISOS_2024[[#All],[fecha_aprobacion]],"",0)</f>
        <v>#NAME?</v>
      </c>
      <c r="V565" s="141" t="e">
        <f ca="1">SUMIF([2]!COMPROMISOS_2024[[#All],[consecutivo]],Contrato5[[#This Row],[RCP]],[2]!COMPROMISOS_2024[[#All],[valor_total]])</f>
        <v>#REF!</v>
      </c>
      <c r="W565" s="415">
        <v>45510</v>
      </c>
      <c r="X565" s="415">
        <v>45517</v>
      </c>
      <c r="Y565" s="143">
        <v>45517</v>
      </c>
      <c r="Z565" s="262">
        <v>45656</v>
      </c>
      <c r="AA565" s="183" t="s">
        <v>2813</v>
      </c>
      <c r="AB565" s="280" t="s">
        <v>640</v>
      </c>
      <c r="AC565" s="280"/>
      <c r="AD565" s="211">
        <v>202000005013</v>
      </c>
      <c r="AE565" s="147" t="s">
        <v>523</v>
      </c>
      <c r="AF565" s="148" t="str">
        <f>TEXT(LEFT(Contrato5[[#This Row],[CONTRATO]],3),"0")</f>
        <v>446</v>
      </c>
      <c r="AG565" s="148" t="str">
        <f>IF(LEN(Contrato5[[#This Row],[Contrato2]])=3,Contrato5[[#This Row],[Contrato2]],TEXT(Contrato5[[#This Row],[Contrato2]],"000"))</f>
        <v>446</v>
      </c>
      <c r="AH565" s="149">
        <f ca="1">IFERROR(_xlfn.DAYS(Contrato5[[#This Row],[Fecha Proyectada liquidación]],TODAY())/30,"")</f>
        <v>0.6</v>
      </c>
      <c r="AI565" s="150">
        <f>+Contrato5[[#This Row],[FECHA TERMINACIÓN ]]+120</f>
        <v>45776</v>
      </c>
      <c r="AJ565" s="147"/>
      <c r="AK565" s="152" t="str">
        <f ca="1">IF(Contrato5[[#This Row],[FECHA TERMINACIÓN ]]&lt;TODAY(), "Terminado",IF(ISNUMBER(Contrato5[[#This Row],[Fecha Real de liquiidación ]]),"Liquidado",IF(Contrato5[[#This Row],[FECHA TERMINACIÓN ]]&gt;=TODAY(),"En ejecución","")))</f>
        <v>Terminado</v>
      </c>
      <c r="AL565" s="153" t="e">
        <f ca="1">SUMIF([2]!COMPROMISOS_2024[[#All],[consecutivo]],Contrato5[[#This Row],[RCP]],[2]!COMPROMISOS_2024[[#All],[Total pagado]])</f>
        <v>#REF!</v>
      </c>
      <c r="AM565" s="154">
        <f ca="1">IFERROR(Contrato5[[#This Row],[Pagos]]/Contrato5[[#This Row],[VALOR CONTRATO]],0)</f>
        <v>0</v>
      </c>
      <c r="AN565" s="198" t="e">
        <f ca="1">+Contrato5[[#This Row],[VALOR CONTRATO]]-Contrato5[[#This Row],[Pagos]]</f>
        <v>#REF!</v>
      </c>
      <c r="AO565" s="147" t="e" cm="1">
        <f t="array" aca="1" ref="AO565" ca="1">_xlfn.XLOOKUP(Contrato5[[#This Row],[DOCUMENTO ]],[2]!PERSONAL_ACTIVO_2024[[#All],[Documento identidad]],[2]!PERSONAL_ACTIVO_2024[[#All],[Mail ]],0,0)</f>
        <v>#NAME?</v>
      </c>
      <c r="AP565" s="147" t="e" cm="1">
        <f t="array" aca="1" ref="AP565" ca="1">_xlfn.XLOOKUP(Contrato5[[#This Row],[DOCUMENTO]],[2]!PERSONAL_ACTIVO_2024[[#All],[Documento identidad]],[2]!PERSONAL_ACTIVO_2024[[#All],[Mail ]],0,0)</f>
        <v>#NAME?</v>
      </c>
      <c r="AQ565" s="439" cm="1">
        <f t="array" aca="1" ref="AQ565" ca="1">IF(ISBLANK(Contrato5[[#This Row],[DEPENDENCIA ]]),0,IFERROR(_xlfn.XLOOKUP(Contrato5[[#This Row],[DEPENDENCIA ]],[2]!PERSONAL_ACTIVO_2024[[#All],[Dependencia]],[2]!PERSONAL_ACTIVO_2024[[#All],[Mail ]],0,0),0))</f>
        <v>0</v>
      </c>
    </row>
    <row r="566" spans="1:16382" ht="34.5" customHeight="1">
      <c r="A566" s="125">
        <v>1145</v>
      </c>
      <c r="B566" s="124">
        <v>446</v>
      </c>
      <c r="C566" s="162" t="s">
        <v>2362</v>
      </c>
      <c r="D566" s="227" t="s">
        <v>515</v>
      </c>
      <c r="E566" s="440" t="s">
        <v>2148</v>
      </c>
      <c r="F566" s="227" t="s">
        <v>2363</v>
      </c>
      <c r="G566" s="281" t="s">
        <v>2812</v>
      </c>
      <c r="H566" s="436">
        <v>890905456</v>
      </c>
      <c r="I566" s="273" t="s">
        <v>2468</v>
      </c>
      <c r="J566" s="437">
        <v>31300000</v>
      </c>
      <c r="K566" s="272"/>
      <c r="L566" s="438" t="s">
        <v>2578</v>
      </c>
      <c r="M566" s="194" t="s">
        <v>544</v>
      </c>
      <c r="N566" s="177" t="e" cm="1">
        <f t="array" aca="1" ref="N566" ca="1">_xlfn.XLOOKUP(Contrato5[[#This Row],[SUPERVISOR TITULAR]],[2]!PERSONAL_ACTIVO_2024[[#All],[Nombre completo]],[2]!PERSONAL_ACTIVO_2024[[#All],[Documento identidad]],"",0)</f>
        <v>#NAME?</v>
      </c>
      <c r="O566" s="194" t="s">
        <v>545</v>
      </c>
      <c r="P566" s="196" t="e" cm="1">
        <f t="array" aca="1" ref="P566" ca="1">_xlfn.XLOOKUP(Contrato5[[#This Row],[SUPERVISOR SUPLENTE ]],[2]!PERSONAL_ACTIVO_2024[[#All],[Nombre completo]],[2]!PERSONAL_ACTIVO_2024[[#All],[Documento identidad]],"",0)</f>
        <v>#NAME?</v>
      </c>
      <c r="Q566" s="170">
        <v>940</v>
      </c>
      <c r="R566" s="137" t="e" cm="1">
        <f t="array" aca="1" ref="R566" ca="1">_xlfn.XLOOKUP(Contrato5[[#This Row],[CDP]],[2]!DISPONIBILIDADES_2024[[#All],[consecutivo]],[2]!DISPONIBILIDADES_2024[[#All],[fecha_aprobacion]],"",0)</f>
        <v>#NAME?</v>
      </c>
      <c r="S566" s="138" t="e">
        <f>SUMIF([2]!DISPONIBILIDADES_2024[[#All],[consecutivo]],Contrato5[[#This Row],[CDP]],[2]!DISPONIBILIDADES_2024[[#All],[valor_total_rubro]])</f>
        <v>#REF!</v>
      </c>
      <c r="T566" s="139" t="e" cm="1">
        <f t="array" aca="1" ref="T566" ca="1">_xlfn.XLOOKUP(Contrato5[[#This Row],[CONTRATO]]&amp;Contrato5[[#This Row],[CDP]],[2]!Corr_Contr_CDP[[#All],[CONTRATO-CDP]],[2]!Corr_Contr_CDP[[#All],[CRP]],_xlfn.XLOOKUP(Contrato5[[#This Row],[CDP]],[2]!COMPROMISOS_2024[[#All],[disponibilidad]],[2]!COMPROMISOS_2024[[#All],[consecutivo]],"",0),0)</f>
        <v>#NAME?</v>
      </c>
      <c r="U566" s="140" t="e" cm="1">
        <f t="array" aca="1" ref="U566" ca="1">+_xlfn.XLOOKUP(Contrato5[[#This Row],[RCP]],[2]!COMPROMISOS_2024[[#All],[consecutivo]],[2]!COMPROMISOS_2024[[#All],[fecha_aprobacion]],"",0)</f>
        <v>#NAME?</v>
      </c>
      <c r="V566" s="141" t="e">
        <f ca="1">SUMIF([2]!COMPROMISOS_2024[[#All],[consecutivo]],Contrato5[[#This Row],[RCP]],[2]!COMPROMISOS_2024[[#All],[valor_total]])</f>
        <v>#REF!</v>
      </c>
      <c r="W566" s="415">
        <v>45587</v>
      </c>
      <c r="X566" s="415">
        <v>45596</v>
      </c>
      <c r="Y566" s="143">
        <v>45517</v>
      </c>
      <c r="Z566" s="262">
        <v>45656</v>
      </c>
      <c r="AA566" s="183"/>
      <c r="AB566" s="280" t="s">
        <v>42</v>
      </c>
      <c r="AC566" s="280"/>
      <c r="AD566" s="211">
        <v>202000005013</v>
      </c>
      <c r="AE566" s="147" t="s">
        <v>523</v>
      </c>
      <c r="AF566" s="148" t="str">
        <f>TEXT(LEFT(Contrato5[[#This Row],[CONTRATO]],3),"0")</f>
        <v>446</v>
      </c>
      <c r="AG566" s="148" t="str">
        <f>IF(LEN(Contrato5[[#This Row],[Contrato2]])=3,Contrato5[[#This Row],[Contrato2]],TEXT(Contrato5[[#This Row],[Contrato2]],"000"))</f>
        <v>446</v>
      </c>
      <c r="AH566" s="149">
        <f ca="1">IFERROR(_xlfn.DAYS(Contrato5[[#This Row],[Fecha Proyectada liquidación]],TODAY())/30,"")</f>
        <v>0.6</v>
      </c>
      <c r="AI566" s="150">
        <f>+Contrato5[[#This Row],[FECHA TERMINACIÓN ]]+120</f>
        <v>45776</v>
      </c>
      <c r="AJ566" s="147"/>
      <c r="AK566" s="152" t="str">
        <f ca="1">IF(Contrato5[[#This Row],[FECHA TERMINACIÓN ]]&lt;TODAY(), "Terminado",IF(ISNUMBER(Contrato5[[#This Row],[Fecha Real de liquiidación ]]),"Liquidado",IF(Contrato5[[#This Row],[FECHA TERMINACIÓN ]]&gt;=TODAY(),"En ejecución","")))</f>
        <v>Terminado</v>
      </c>
      <c r="AL566" s="153" t="e">
        <f ca="1">SUMIF([2]!COMPROMISOS_2024[[#All],[consecutivo]],Contrato5[[#This Row],[RCP]],[2]!COMPROMISOS_2024[[#All],[Total pagado]])</f>
        <v>#REF!</v>
      </c>
      <c r="AM566" s="154">
        <f ca="1">IFERROR(Contrato5[[#This Row],[Pagos]]/Contrato5[[#This Row],[VALOR CONTRATO]],0)</f>
        <v>0</v>
      </c>
      <c r="AN566" s="198" t="e">
        <f ca="1">+Contrato5[[#This Row],[VALOR CONTRATO]]-Contrato5[[#This Row],[Pagos]]</f>
        <v>#REF!</v>
      </c>
      <c r="AO566" s="147" t="e" cm="1">
        <f t="array" aca="1" ref="AO566" ca="1">_xlfn.XLOOKUP(Contrato5[[#This Row],[DOCUMENTO ]],[2]!PERSONAL_ACTIVO_2024[[#All],[Documento identidad]],[2]!PERSONAL_ACTIVO_2024[[#All],[Mail ]],0,0)</f>
        <v>#NAME?</v>
      </c>
      <c r="AP566" s="147" t="e" cm="1">
        <f t="array" aca="1" ref="AP566" ca="1">_xlfn.XLOOKUP(Contrato5[[#This Row],[DOCUMENTO]],[2]!PERSONAL_ACTIVO_2024[[#All],[Documento identidad]],[2]!PERSONAL_ACTIVO_2024[[#All],[Mail ]],0,0)</f>
        <v>#NAME?</v>
      </c>
      <c r="AQ566" s="439" cm="1">
        <f t="array" aca="1" ref="AQ566" ca="1">IF(ISBLANK(Contrato5[[#This Row],[DEPENDENCIA ]]),0,IFERROR(_xlfn.XLOOKUP(Contrato5[[#This Row],[DEPENDENCIA ]],[2]!PERSONAL_ACTIVO_2024[[#All],[Dependencia]],[2]!PERSONAL_ACTIVO_2024[[#All],[Mail ]],0,0),0))</f>
        <v>0</v>
      </c>
    </row>
    <row r="567" spans="1:16382" ht="34.5" customHeight="1">
      <c r="A567" s="125">
        <v>757</v>
      </c>
      <c r="B567" s="124">
        <v>447</v>
      </c>
      <c r="C567" s="162" t="s">
        <v>1798</v>
      </c>
      <c r="D567" s="227" t="s">
        <v>602</v>
      </c>
      <c r="E567" s="440" t="s">
        <v>94</v>
      </c>
      <c r="F567" s="227" t="s">
        <v>1376</v>
      </c>
      <c r="G567" s="281" t="s">
        <v>1084</v>
      </c>
      <c r="H567" s="436">
        <v>1128417583</v>
      </c>
      <c r="I567" s="273">
        <v>6879081</v>
      </c>
      <c r="J567" s="437">
        <v>40859129</v>
      </c>
      <c r="K567" s="131" t="s">
        <v>2814</v>
      </c>
      <c r="L567" s="438" t="s">
        <v>2815</v>
      </c>
      <c r="M567" s="194" t="s">
        <v>610</v>
      </c>
      <c r="N567" s="177" t="e" cm="1">
        <f t="array" aca="1" ref="N567" ca="1">_xlfn.XLOOKUP(Contrato5[[#This Row],[SUPERVISOR TITULAR]],[2]!PERSONAL_ACTIVO_2024[[#All],[Nombre completo]],[2]!PERSONAL_ACTIVO_2024[[#All],[Documento identidad]],"",0)</f>
        <v>#NAME?</v>
      </c>
      <c r="O567" s="194" t="s">
        <v>847</v>
      </c>
      <c r="P567" s="196" t="e" cm="1">
        <f t="array" aca="1" ref="P567" ca="1">_xlfn.XLOOKUP(Contrato5[[#This Row],[SUPERVISOR SUPLENTE ]],[2]!PERSONAL_ACTIVO_2024[[#All],[Nombre completo]],[2]!PERSONAL_ACTIVO_2024[[#All],[Documento identidad]],"",0)</f>
        <v>#NAME?</v>
      </c>
      <c r="Q567" s="170">
        <v>637</v>
      </c>
      <c r="R567" s="137" t="e" cm="1">
        <f t="array" aca="1" ref="R567" ca="1">_xlfn.XLOOKUP(Contrato5[[#This Row],[CDP]],[2]!DISPONIBILIDADES_2024[[#All],[consecutivo]],[2]!DISPONIBILIDADES_2024[[#All],[fecha_aprobacion]],"",0)</f>
        <v>#NAME?</v>
      </c>
      <c r="S567" s="138" t="e">
        <f>SUMIF([2]!DISPONIBILIDADES_2024[[#All],[consecutivo]],Contrato5[[#This Row],[CDP]],[2]!DISPONIBILIDADES_2024[[#All],[valor_total_rubro]])</f>
        <v>#REF!</v>
      </c>
      <c r="T567" s="139" t="e" cm="1">
        <f t="array" aca="1" ref="T567" ca="1">_xlfn.XLOOKUP(Contrato5[[#This Row],[CONTRATO]]&amp;Contrato5[[#This Row],[CDP]],[2]!Corr_Contr_CDP[[#All],[CONTRATO-CDP]],[2]!Corr_Contr_CDP[[#All],[CRP]],_xlfn.XLOOKUP(Contrato5[[#This Row],[CDP]],[2]!COMPROMISOS_2024[[#All],[disponibilidad]],[2]!COMPROMISOS_2024[[#All],[consecutivo]],"",0),0)</f>
        <v>#NAME?</v>
      </c>
      <c r="U567" s="140" t="e" cm="1">
        <f t="array" aca="1" ref="U567" ca="1">+_xlfn.XLOOKUP(Contrato5[[#This Row],[RCP]],[2]!COMPROMISOS_2024[[#All],[consecutivo]],[2]!COMPROMISOS_2024[[#All],[fecha_aprobacion]],"",0)</f>
        <v>#NAME?</v>
      </c>
      <c r="V567" s="141" t="e">
        <f ca="1">SUMIF([2]!COMPROMISOS_2024[[#All],[consecutivo]],Contrato5[[#This Row],[RCP]],[2]!COMPROMISOS_2024[[#All],[valor_total]])</f>
        <v>#REF!</v>
      </c>
      <c r="W567" s="415">
        <v>45495</v>
      </c>
      <c r="X567" s="415" t="s">
        <v>2729</v>
      </c>
      <c r="Y567" s="143">
        <v>45495</v>
      </c>
      <c r="Z567" s="262">
        <v>45655</v>
      </c>
      <c r="AA567" s="183" t="s">
        <v>2816</v>
      </c>
      <c r="AB567" s="172" t="s">
        <v>2817</v>
      </c>
      <c r="AC567" s="172"/>
      <c r="AD567" s="211">
        <v>202000004663</v>
      </c>
      <c r="AE567" s="147" t="s">
        <v>523</v>
      </c>
      <c r="AF567" s="148" t="str">
        <f>TEXT(LEFT(Contrato5[[#This Row],[CONTRATO]],3),"0")</f>
        <v>447</v>
      </c>
      <c r="AG567" s="148" t="str">
        <f>IF(LEN(Contrato5[[#This Row],[Contrato2]])=3,Contrato5[[#This Row],[Contrato2]],TEXT(Contrato5[[#This Row],[Contrato2]],"000"))</f>
        <v>447</v>
      </c>
      <c r="AH567" s="149">
        <f ca="1">IFERROR(_xlfn.DAYS(Contrato5[[#This Row],[Fecha Proyectada liquidación]],TODAY())/30,"")</f>
        <v>0.56666666666666665</v>
      </c>
      <c r="AI567" s="150">
        <f>+Contrato5[[#This Row],[FECHA TERMINACIÓN ]]+120</f>
        <v>45775</v>
      </c>
      <c r="AJ567" s="147"/>
      <c r="AK567" s="152" t="str">
        <f ca="1">IF(Contrato5[[#This Row],[FECHA TERMINACIÓN ]]&lt;TODAY(), "Terminado",IF(ISNUMBER(Contrato5[[#This Row],[Fecha Real de liquiidación ]]),"Liquidado",IF(Contrato5[[#This Row],[FECHA TERMINACIÓN ]]&gt;=TODAY(),"En ejecución","")))</f>
        <v>Terminado</v>
      </c>
      <c r="AL567" s="153" t="e">
        <f ca="1">SUMIF([2]!COMPROMISOS_2024[[#All],[consecutivo]],Contrato5[[#This Row],[RCP]],[2]!COMPROMISOS_2024[[#All],[Total pagado]])</f>
        <v>#REF!</v>
      </c>
      <c r="AM567" s="154">
        <f ca="1">IFERROR(Contrato5[[#This Row],[Pagos]]/Contrato5[[#This Row],[VALOR CONTRATO]],0)</f>
        <v>0</v>
      </c>
      <c r="AN567" s="198" t="e">
        <f ca="1">+Contrato5[[#This Row],[VALOR CONTRATO]]-Contrato5[[#This Row],[Pagos]]</f>
        <v>#REF!</v>
      </c>
      <c r="AO567" s="147" t="e" cm="1">
        <f t="array" aca="1" ref="AO567" ca="1">_xlfn.XLOOKUP(Contrato5[[#This Row],[DOCUMENTO ]],[2]!PERSONAL_ACTIVO_2024[[#All],[Documento identidad]],[2]!PERSONAL_ACTIVO_2024[[#All],[Mail ]],0,0)</f>
        <v>#NAME?</v>
      </c>
      <c r="AP567" s="147" t="e" cm="1">
        <f t="array" aca="1" ref="AP567" ca="1">_xlfn.XLOOKUP(Contrato5[[#This Row],[DOCUMENTO]],[2]!PERSONAL_ACTIVO_2024[[#All],[Documento identidad]],[2]!PERSONAL_ACTIVO_2024[[#All],[Mail ]],0,0)</f>
        <v>#NAME?</v>
      </c>
      <c r="AQ567" s="439" cm="1">
        <f t="array" aca="1" ref="AQ567" ca="1">IF(ISBLANK(Contrato5[[#This Row],[DEPENDENCIA ]]),0,IFERROR(_xlfn.XLOOKUP(Contrato5[[#This Row],[DEPENDENCIA ]],[2]!PERSONAL_ACTIVO_2024[[#All],[Dependencia]],[2]!PERSONAL_ACTIVO_2024[[#All],[Mail ]],0,0),0))</f>
        <v>0</v>
      </c>
    </row>
    <row r="568" spans="1:16382" ht="34.5" customHeight="1">
      <c r="A568" s="125">
        <v>710</v>
      </c>
      <c r="B568" s="124">
        <v>448</v>
      </c>
      <c r="C568" s="162" t="s">
        <v>2818</v>
      </c>
      <c r="D568" s="227" t="s">
        <v>583</v>
      </c>
      <c r="E568" s="440" t="s">
        <v>94</v>
      </c>
      <c r="F568" s="227" t="s">
        <v>1767</v>
      </c>
      <c r="G568" s="281" t="s">
        <v>2819</v>
      </c>
      <c r="H568" s="436">
        <v>890982451</v>
      </c>
      <c r="I568" s="273" t="s">
        <v>2468</v>
      </c>
      <c r="J568" s="437">
        <v>95000000</v>
      </c>
      <c r="K568" s="131" t="s">
        <v>42</v>
      </c>
      <c r="L568" s="438" t="s">
        <v>2815</v>
      </c>
      <c r="M568" s="194" t="s">
        <v>589</v>
      </c>
      <c r="N568" s="177" t="e" cm="1">
        <f t="array" aca="1" ref="N568" ca="1">_xlfn.XLOOKUP(Contrato5[[#This Row],[SUPERVISOR TITULAR]],[2]!PERSONAL_ACTIVO_2024[[#All],[Nombre completo]],[2]!PERSONAL_ACTIVO_2024[[#All],[Documento identidad]],"",0)</f>
        <v>#NAME?</v>
      </c>
      <c r="O568" s="194" t="s">
        <v>586</v>
      </c>
      <c r="P568" s="196" t="e" cm="1">
        <f t="array" aca="1" ref="P568" ca="1">_xlfn.XLOOKUP(Contrato5[[#This Row],[SUPERVISOR SUPLENTE ]],[2]!PERSONAL_ACTIVO_2024[[#All],[Nombre completo]],[2]!PERSONAL_ACTIVO_2024[[#All],[Documento identidad]],"",0)</f>
        <v>#NAME?</v>
      </c>
      <c r="Q568" s="170">
        <v>620</v>
      </c>
      <c r="R568" s="137" t="e" cm="1">
        <f t="array" aca="1" ref="R568" ca="1">_xlfn.XLOOKUP(Contrato5[[#This Row],[CDP]],[2]!DISPONIBILIDADES_2024[[#All],[consecutivo]],[2]!DISPONIBILIDADES_2024[[#All],[fecha_aprobacion]],"",0)</f>
        <v>#NAME?</v>
      </c>
      <c r="S568" s="138" t="e">
        <f>SUMIF([2]!DISPONIBILIDADES_2024[[#All],[consecutivo]],Contrato5[[#This Row],[CDP]],[2]!DISPONIBILIDADES_2024[[#All],[valor_total_rubro]])</f>
        <v>#REF!</v>
      </c>
      <c r="T568" s="139" t="e" cm="1">
        <f t="array" aca="1" ref="T568" ca="1">_xlfn.XLOOKUP(Contrato5[[#This Row],[CONTRATO]]&amp;Contrato5[[#This Row],[CDP]],[2]!Corr_Contr_CDP[[#All],[CONTRATO-CDP]],[2]!Corr_Contr_CDP[[#All],[CRP]],_xlfn.XLOOKUP(Contrato5[[#This Row],[CDP]],[2]!COMPROMISOS_2024[[#All],[disponibilidad]],[2]!COMPROMISOS_2024[[#All],[consecutivo]],"",0),0)</f>
        <v>#NAME?</v>
      </c>
      <c r="U568" s="140" t="e" cm="1">
        <f t="array" aca="1" ref="U568" ca="1">+_xlfn.XLOOKUP(Contrato5[[#This Row],[RCP]],[2]!COMPROMISOS_2024[[#All],[consecutivo]],[2]!COMPROMISOS_2024[[#All],[fecha_aprobacion]],"",0)</f>
        <v>#NAME?</v>
      </c>
      <c r="V568" s="141" t="e">
        <f ca="1">SUMIF([2]!COMPROMISOS_2024[[#All],[consecutivo]],Contrato5[[#This Row],[RCP]],[2]!COMPROMISOS_2024[[#All],[valor_total]])</f>
        <v>#REF!</v>
      </c>
      <c r="W568" s="415">
        <v>45497</v>
      </c>
      <c r="X568" s="415">
        <v>45408</v>
      </c>
      <c r="Y568" s="143">
        <v>45499</v>
      </c>
      <c r="Z568" s="262">
        <v>45656</v>
      </c>
      <c r="AA568" s="171" t="s">
        <v>2820</v>
      </c>
      <c r="AB568" s="172" t="s">
        <v>1041</v>
      </c>
      <c r="AC568" s="172"/>
      <c r="AD568" s="211">
        <v>202000004664</v>
      </c>
      <c r="AE568" s="147" t="s">
        <v>523</v>
      </c>
      <c r="AF568" s="148" t="str">
        <f>TEXT(LEFT(Contrato5[[#This Row],[CONTRATO]],3),"0")</f>
        <v>448</v>
      </c>
      <c r="AG568" s="148" t="str">
        <f>IF(LEN(Contrato5[[#This Row],[Contrato2]])=3,Contrato5[[#This Row],[Contrato2]],TEXT(Contrato5[[#This Row],[Contrato2]],"000"))</f>
        <v>448</v>
      </c>
      <c r="AH568" s="149">
        <f ca="1">IFERROR(_xlfn.DAYS(Contrato5[[#This Row],[Fecha Proyectada liquidación]],TODAY())/30,"")</f>
        <v>0.6</v>
      </c>
      <c r="AI568" s="150">
        <f>+Contrato5[[#This Row],[FECHA TERMINACIÓN ]]+120</f>
        <v>45776</v>
      </c>
      <c r="AJ568" s="147"/>
      <c r="AK568" s="152" t="str">
        <f ca="1">IF(Contrato5[[#This Row],[FECHA TERMINACIÓN ]]&lt;TODAY(), "Terminado",IF(ISNUMBER(Contrato5[[#This Row],[Fecha Real de liquiidación ]]),"Liquidado",IF(Contrato5[[#This Row],[FECHA TERMINACIÓN ]]&gt;=TODAY(),"En ejecución","")))</f>
        <v>Terminado</v>
      </c>
      <c r="AL568" s="153" t="e">
        <f ca="1">SUMIF([2]!COMPROMISOS_2024[[#All],[consecutivo]],Contrato5[[#This Row],[RCP]],[2]!COMPROMISOS_2024[[#All],[Total pagado]])</f>
        <v>#REF!</v>
      </c>
      <c r="AM568" s="154">
        <f ca="1">IFERROR(Contrato5[[#This Row],[Pagos]]/Contrato5[[#This Row],[VALOR CONTRATO]],0)</f>
        <v>0</v>
      </c>
      <c r="AN568" s="198" t="e">
        <f ca="1">+Contrato5[[#This Row],[VALOR CONTRATO]]-Contrato5[[#This Row],[Pagos]]</f>
        <v>#REF!</v>
      </c>
      <c r="AO568" s="147" t="e" cm="1">
        <f t="array" aca="1" ref="AO568" ca="1">_xlfn.XLOOKUP(Contrato5[[#This Row],[DOCUMENTO ]],[2]!PERSONAL_ACTIVO_2024[[#All],[Documento identidad]],[2]!PERSONAL_ACTIVO_2024[[#All],[Mail ]],0,0)</f>
        <v>#NAME?</v>
      </c>
      <c r="AP568" s="147" t="e" cm="1">
        <f t="array" aca="1" ref="AP568" ca="1">_xlfn.XLOOKUP(Contrato5[[#This Row],[DOCUMENTO]],[2]!PERSONAL_ACTIVO_2024[[#All],[Documento identidad]],[2]!PERSONAL_ACTIVO_2024[[#All],[Mail ]],0,0)</f>
        <v>#NAME?</v>
      </c>
      <c r="AQ568" s="439" cm="1">
        <f t="array" aca="1" ref="AQ568" ca="1">IF(ISBLANK(Contrato5[[#This Row],[DEPENDENCIA ]]),0,IFERROR(_xlfn.XLOOKUP(Contrato5[[#This Row],[DEPENDENCIA ]],[2]!PERSONAL_ACTIVO_2024[[#All],[Dependencia]],[2]!PERSONAL_ACTIVO_2024[[#All],[Mail ]],0,0),0))</f>
        <v>0</v>
      </c>
    </row>
    <row r="569" spans="1:16382" ht="34.5" customHeight="1">
      <c r="A569" s="125">
        <v>850</v>
      </c>
      <c r="B569" s="124">
        <v>449</v>
      </c>
      <c r="C569" s="162" t="s">
        <v>2821</v>
      </c>
      <c r="D569" s="227" t="s">
        <v>583</v>
      </c>
      <c r="E569" s="440" t="s">
        <v>94</v>
      </c>
      <c r="F569" s="227" t="s">
        <v>1767</v>
      </c>
      <c r="G569" s="281" t="s">
        <v>2822</v>
      </c>
      <c r="H569" s="436">
        <v>811028621</v>
      </c>
      <c r="I569" s="273" t="s">
        <v>2468</v>
      </c>
      <c r="J569" s="505">
        <v>80000000</v>
      </c>
      <c r="K569" s="131" t="s">
        <v>42</v>
      </c>
      <c r="L569" s="438" t="s">
        <v>2815</v>
      </c>
      <c r="M569" s="194" t="s">
        <v>592</v>
      </c>
      <c r="N569" s="177" t="e" cm="1">
        <f t="array" aca="1" ref="N569" ca="1">_xlfn.XLOOKUP(Contrato5[[#This Row],[SUPERVISOR TITULAR]],[2]!PERSONAL_ACTIVO_2024[[#All],[Nombre completo]],[2]!PERSONAL_ACTIVO_2024[[#All],[Documento identidad]],"",0)</f>
        <v>#NAME?</v>
      </c>
      <c r="O569" s="194" t="s">
        <v>600</v>
      </c>
      <c r="P569" s="196" t="e" cm="1">
        <f t="array" aca="1" ref="P569" ca="1">_xlfn.XLOOKUP(Contrato5[[#This Row],[SUPERVISOR SUPLENTE ]],[2]!PERSONAL_ACTIVO_2024[[#All],[Nombre completo]],[2]!PERSONAL_ACTIVO_2024[[#All],[Documento identidad]],"",0)</f>
        <v>#NAME?</v>
      </c>
      <c r="Q569" s="302">
        <v>650</v>
      </c>
      <c r="R569" s="137" t="e" cm="1">
        <f t="array" aca="1" ref="R569" ca="1">_xlfn.XLOOKUP(Contrato5[[#This Row],[CDP]],[2]!DISPONIBILIDADES_2024[[#All],[consecutivo]],[2]!DISPONIBILIDADES_2024[[#All],[fecha_aprobacion]],"",0)</f>
        <v>#NAME?</v>
      </c>
      <c r="S569" s="138" t="e">
        <f>SUMIF([2]!DISPONIBILIDADES_2024[[#All],[consecutivo]],Contrato5[[#This Row],[CDP]],[2]!DISPONIBILIDADES_2024[[#All],[valor_total_rubro]])</f>
        <v>#REF!</v>
      </c>
      <c r="T569" s="139" t="e" cm="1">
        <f t="array" aca="1" ref="T569" ca="1">_xlfn.XLOOKUP(Contrato5[[#This Row],[CONTRATO]]&amp;Contrato5[[#This Row],[CDP]],[2]!Corr_Contr_CDP[[#All],[CONTRATO-CDP]],[2]!Corr_Contr_CDP[[#All],[CRP]],_xlfn.XLOOKUP(Contrato5[[#This Row],[CDP]],[2]!COMPROMISOS_2024[[#All],[disponibilidad]],[2]!COMPROMISOS_2024[[#All],[consecutivo]],"",0),0)</f>
        <v>#NAME?</v>
      </c>
      <c r="U569" s="140" t="e" cm="1">
        <f t="array" aca="1" ref="U569" ca="1">+_xlfn.XLOOKUP(Contrato5[[#This Row],[RCP]],[2]!COMPROMISOS_2024[[#All],[consecutivo]],[2]!COMPROMISOS_2024[[#All],[fecha_aprobacion]],"",0)</f>
        <v>#NAME?</v>
      </c>
      <c r="V569" s="141" t="e">
        <f ca="1">SUMIF([2]!COMPROMISOS_2024[[#All],[consecutivo]],Contrato5[[#This Row],[RCP]],[2]!COMPROMISOS_2024[[#All],[valor_total]])</f>
        <v>#REF!</v>
      </c>
      <c r="W569" s="415">
        <v>45498</v>
      </c>
      <c r="X569" s="415">
        <v>45510</v>
      </c>
      <c r="Y569" s="143">
        <v>45512</v>
      </c>
      <c r="Z569" s="262">
        <v>45656</v>
      </c>
      <c r="AA569" s="183" t="s">
        <v>2823</v>
      </c>
      <c r="AB569" s="172" t="s">
        <v>1041</v>
      </c>
      <c r="AC569" s="172"/>
      <c r="AD569" s="211">
        <v>202000005014</v>
      </c>
      <c r="AE569" s="147" t="s">
        <v>523</v>
      </c>
      <c r="AF569" s="148" t="str">
        <f>TEXT(LEFT(Contrato5[[#This Row],[CONTRATO]],3),"0")</f>
        <v>449</v>
      </c>
      <c r="AG569" s="148" t="str">
        <f>IF(LEN(Contrato5[[#This Row],[Contrato2]])=3,Contrato5[[#This Row],[Contrato2]],TEXT(Contrato5[[#This Row],[Contrato2]],"000"))</f>
        <v>449</v>
      </c>
      <c r="AH569" s="149">
        <f ca="1">IFERROR(_xlfn.DAYS(Contrato5[[#This Row],[Fecha Proyectada liquidación]],TODAY())/30,"")</f>
        <v>0.6</v>
      </c>
      <c r="AI569" s="150">
        <f>+Contrato5[[#This Row],[FECHA TERMINACIÓN ]]+120</f>
        <v>45776</v>
      </c>
      <c r="AJ569" s="147"/>
      <c r="AK569" s="152" t="str">
        <f ca="1">IF(Contrato5[[#This Row],[FECHA TERMINACIÓN ]]&lt;TODAY(), "Terminado",IF(ISNUMBER(Contrato5[[#This Row],[Fecha Real de liquiidación ]]),"Liquidado",IF(Contrato5[[#This Row],[FECHA TERMINACIÓN ]]&gt;=TODAY(),"En ejecución","")))</f>
        <v>Terminado</v>
      </c>
      <c r="AL569" s="153" t="e">
        <f ca="1">SUMIF([2]!COMPROMISOS_2024[[#All],[consecutivo]],Contrato5[[#This Row],[RCP]],[2]!COMPROMISOS_2024[[#All],[Total pagado]])</f>
        <v>#REF!</v>
      </c>
      <c r="AM569" s="154">
        <f ca="1">IFERROR(Contrato5[[#This Row],[Pagos]]/Contrato5[[#This Row],[VALOR CONTRATO]],0)</f>
        <v>0</v>
      </c>
      <c r="AN569" s="198" t="e">
        <f ca="1">+Contrato5[[#This Row],[VALOR CONTRATO]]-Contrato5[[#This Row],[Pagos]]</f>
        <v>#REF!</v>
      </c>
      <c r="AO569" s="147" t="e" cm="1">
        <f t="array" aca="1" ref="AO569" ca="1">_xlfn.XLOOKUP(Contrato5[[#This Row],[DOCUMENTO ]],[2]!PERSONAL_ACTIVO_2024[[#All],[Documento identidad]],[2]!PERSONAL_ACTIVO_2024[[#All],[Mail ]],0,0)</f>
        <v>#NAME?</v>
      </c>
      <c r="AP569" s="147" t="e" cm="1">
        <f t="array" aca="1" ref="AP569" ca="1">_xlfn.XLOOKUP(Contrato5[[#This Row],[DOCUMENTO]],[2]!PERSONAL_ACTIVO_2024[[#All],[Documento identidad]],[2]!PERSONAL_ACTIVO_2024[[#All],[Mail ]],0,0)</f>
        <v>#NAME?</v>
      </c>
      <c r="AQ569" s="439" cm="1">
        <f t="array" aca="1" ref="AQ569" ca="1">IF(ISBLANK(Contrato5[[#This Row],[DEPENDENCIA ]]),0,IFERROR(_xlfn.XLOOKUP(Contrato5[[#This Row],[DEPENDENCIA ]],[2]!PERSONAL_ACTIVO_2024[[#All],[Dependencia]],[2]!PERSONAL_ACTIVO_2024[[#All],[Mail ]],0,0),0))</f>
        <v>0</v>
      </c>
    </row>
    <row r="570" spans="1:16382" ht="34.5" customHeight="1">
      <c r="A570" s="125">
        <v>91</v>
      </c>
      <c r="B570" s="124">
        <v>450</v>
      </c>
      <c r="C570" s="162" t="s">
        <v>2824</v>
      </c>
      <c r="D570" s="227" t="s">
        <v>583</v>
      </c>
      <c r="E570" s="440" t="s">
        <v>94</v>
      </c>
      <c r="F570" s="227" t="s">
        <v>1767</v>
      </c>
      <c r="G570" s="281" t="s">
        <v>2825</v>
      </c>
      <c r="H570" s="436">
        <v>890984495</v>
      </c>
      <c r="I570" s="273" t="s">
        <v>2468</v>
      </c>
      <c r="J570" s="437">
        <v>190000000</v>
      </c>
      <c r="K570" s="131" t="s">
        <v>42</v>
      </c>
      <c r="L570" s="438" t="s">
        <v>2815</v>
      </c>
      <c r="M570" s="194" t="s">
        <v>589</v>
      </c>
      <c r="N570" s="177" t="e" cm="1">
        <f t="array" aca="1" ref="N570" ca="1">_xlfn.XLOOKUP(Contrato5[[#This Row],[SUPERVISOR TITULAR]],[2]!PERSONAL_ACTIVO_2024[[#All],[Nombre completo]],[2]!PERSONAL_ACTIVO_2024[[#All],[Documento identidad]],"",0)</f>
        <v>#NAME?</v>
      </c>
      <c r="O570" s="194" t="s">
        <v>586</v>
      </c>
      <c r="P570" s="196" t="e" cm="1">
        <f t="array" aca="1" ref="P570" ca="1">_xlfn.XLOOKUP(Contrato5[[#This Row],[SUPERVISOR SUPLENTE ]],[2]!PERSONAL_ACTIVO_2024[[#All],[Nombre completo]],[2]!PERSONAL_ACTIVO_2024[[#All],[Documento identidad]],"",0)</f>
        <v>#NAME?</v>
      </c>
      <c r="Q570" s="170">
        <v>617</v>
      </c>
      <c r="R570" s="137" t="e" cm="1">
        <f t="array" aca="1" ref="R570" ca="1">_xlfn.XLOOKUP(Contrato5[[#This Row],[CDP]],[2]!DISPONIBILIDADES_2024[[#All],[consecutivo]],[2]!DISPONIBILIDADES_2024[[#All],[fecha_aprobacion]],"",0)</f>
        <v>#NAME?</v>
      </c>
      <c r="S570" s="138" t="e">
        <f>SUMIF([2]!DISPONIBILIDADES_2024[[#All],[consecutivo]],Contrato5[[#This Row],[CDP]],[2]!DISPONIBILIDADES_2024[[#All],[valor_total_rubro]])</f>
        <v>#REF!</v>
      </c>
      <c r="T570" s="139" t="e" cm="1">
        <f t="array" aca="1" ref="T570" ca="1">_xlfn.XLOOKUP(Contrato5[[#This Row],[CONTRATO]]&amp;Contrato5[[#This Row],[CDP]],[2]!Corr_Contr_CDP[[#All],[CONTRATO-CDP]],[2]!Corr_Contr_CDP[[#All],[CRP]],_xlfn.XLOOKUP(Contrato5[[#This Row],[CDP]],[2]!COMPROMISOS_2024[[#All],[disponibilidad]],[2]!COMPROMISOS_2024[[#All],[consecutivo]],"",0),0)</f>
        <v>#NAME?</v>
      </c>
      <c r="U570" s="140" t="e" cm="1">
        <f t="array" aca="1" ref="U570" ca="1">+_xlfn.XLOOKUP(Contrato5[[#This Row],[RCP]],[2]!COMPROMISOS_2024[[#All],[consecutivo]],[2]!COMPROMISOS_2024[[#All],[fecha_aprobacion]],"",0)</f>
        <v>#NAME?</v>
      </c>
      <c r="V570" s="141" t="e">
        <f ca="1">SUMIF([2]!COMPROMISOS_2024[[#All],[consecutivo]],Contrato5[[#This Row],[RCP]],[2]!COMPROMISOS_2024[[#All],[valor_total]])</f>
        <v>#REF!</v>
      </c>
      <c r="W570" s="415">
        <v>45497</v>
      </c>
      <c r="X570" s="415">
        <v>45498</v>
      </c>
      <c r="Y570" s="143">
        <v>45499</v>
      </c>
      <c r="Z570" s="262">
        <v>45656</v>
      </c>
      <c r="AA570" s="171" t="s">
        <v>2826</v>
      </c>
      <c r="AB570" s="280" t="s">
        <v>1041</v>
      </c>
      <c r="AC570" s="280"/>
      <c r="AD570" s="211">
        <v>202000004665</v>
      </c>
      <c r="AE570" s="147" t="s">
        <v>523</v>
      </c>
      <c r="AF570" s="148" t="str">
        <f>TEXT(LEFT(Contrato5[[#This Row],[CONTRATO]],3),"0")</f>
        <v>450</v>
      </c>
      <c r="AG570" s="148" t="str">
        <f>IF(LEN(Contrato5[[#This Row],[Contrato2]])=3,Contrato5[[#This Row],[Contrato2]],TEXT(Contrato5[[#This Row],[Contrato2]],"000"))</f>
        <v>450</v>
      </c>
      <c r="AH570" s="149">
        <f ca="1">IFERROR(_xlfn.DAYS(Contrato5[[#This Row],[Fecha Proyectada liquidación]],TODAY())/30,"")</f>
        <v>0.6</v>
      </c>
      <c r="AI570" s="150">
        <f>+Contrato5[[#This Row],[FECHA TERMINACIÓN ]]+120</f>
        <v>45776</v>
      </c>
      <c r="AJ570" s="147"/>
      <c r="AK570" s="152" t="str">
        <f ca="1">IF(Contrato5[[#This Row],[FECHA TERMINACIÓN ]]&lt;TODAY(), "Terminado",IF(ISNUMBER(Contrato5[[#This Row],[Fecha Real de liquiidación ]]),"Liquidado",IF(Contrato5[[#This Row],[FECHA TERMINACIÓN ]]&gt;=TODAY(),"En ejecución","")))</f>
        <v>Terminado</v>
      </c>
      <c r="AL570" s="153" t="e">
        <f ca="1">SUMIF([2]!COMPROMISOS_2024[[#All],[consecutivo]],Contrato5[[#This Row],[RCP]],[2]!COMPROMISOS_2024[[#All],[Total pagado]])</f>
        <v>#REF!</v>
      </c>
      <c r="AM570" s="154">
        <f ca="1">IFERROR(Contrato5[[#This Row],[Pagos]]/Contrato5[[#This Row],[VALOR CONTRATO]],0)</f>
        <v>0</v>
      </c>
      <c r="AN570" s="198" t="e">
        <f ca="1">+Contrato5[[#This Row],[VALOR CONTRATO]]-Contrato5[[#This Row],[Pagos]]</f>
        <v>#REF!</v>
      </c>
      <c r="AO570" s="147" t="e" cm="1">
        <f t="array" aca="1" ref="AO570" ca="1">_xlfn.XLOOKUP(Contrato5[[#This Row],[DOCUMENTO ]],[2]!PERSONAL_ACTIVO_2024[[#All],[Documento identidad]],[2]!PERSONAL_ACTIVO_2024[[#All],[Mail ]],0,0)</f>
        <v>#NAME?</v>
      </c>
      <c r="AP570" s="147" t="e" cm="1">
        <f t="array" aca="1" ref="AP570" ca="1">_xlfn.XLOOKUP(Contrato5[[#This Row],[DOCUMENTO]],[2]!PERSONAL_ACTIVO_2024[[#All],[Documento identidad]],[2]!PERSONAL_ACTIVO_2024[[#All],[Mail ]],0,0)</f>
        <v>#NAME?</v>
      </c>
      <c r="AQ570" s="439" cm="1">
        <f t="array" aca="1" ref="AQ570" ca="1">IF(ISBLANK(Contrato5[[#This Row],[DEPENDENCIA ]]),0,IFERROR(_xlfn.XLOOKUP(Contrato5[[#This Row],[DEPENDENCIA ]],[2]!PERSONAL_ACTIVO_2024[[#All],[Dependencia]],[2]!PERSONAL_ACTIVO_2024[[#All],[Mail ]],0,0),0))</f>
        <v>0</v>
      </c>
    </row>
    <row r="571" spans="1:16382" ht="34.5" customHeight="1">
      <c r="A571" s="125">
        <v>1243</v>
      </c>
      <c r="B571" s="124">
        <v>450</v>
      </c>
      <c r="C571" s="162" t="s">
        <v>2187</v>
      </c>
      <c r="D571" s="227" t="s">
        <v>583</v>
      </c>
      <c r="E571" s="440" t="s">
        <v>2148</v>
      </c>
      <c r="F571" s="227" t="s">
        <v>1767</v>
      </c>
      <c r="G571" s="281" t="s">
        <v>2825</v>
      </c>
      <c r="H571" s="436">
        <v>890984495</v>
      </c>
      <c r="I571" s="273" t="s">
        <v>2468</v>
      </c>
      <c r="J571" s="437">
        <v>95000000</v>
      </c>
      <c r="K571" s="131" t="s">
        <v>42</v>
      </c>
      <c r="L571" s="438" t="s">
        <v>2595</v>
      </c>
      <c r="M571" s="194" t="s">
        <v>589</v>
      </c>
      <c r="N571" s="177" t="e" cm="1">
        <f t="array" aca="1" ref="N571" ca="1">_xlfn.XLOOKUP(Contrato5[[#This Row],[SUPERVISOR TITULAR]],[2]!PERSONAL_ACTIVO_2024[[#All],[Nombre completo]],[2]!PERSONAL_ACTIVO_2024[[#All],[Documento identidad]],"",0)</f>
        <v>#NAME?</v>
      </c>
      <c r="O571" s="194" t="s">
        <v>586</v>
      </c>
      <c r="P571" s="196" t="e" cm="1">
        <f t="array" aca="1" ref="P571" ca="1">_xlfn.XLOOKUP(Contrato5[[#This Row],[SUPERVISOR SUPLENTE ]],[2]!PERSONAL_ACTIVO_2024[[#All],[Nombre completo]],[2]!PERSONAL_ACTIVO_2024[[#All],[Documento identidad]],"",0)</f>
        <v>#NAME?</v>
      </c>
      <c r="Q571" s="170">
        <v>1076</v>
      </c>
      <c r="R571" s="137" t="e" cm="1">
        <f t="array" aca="1" ref="R571" ca="1">_xlfn.XLOOKUP(Contrato5[[#This Row],[CDP]],[2]!DISPONIBILIDADES_2024[[#All],[consecutivo]],[2]!DISPONIBILIDADES_2024[[#All],[fecha_aprobacion]],"",0)</f>
        <v>#NAME?</v>
      </c>
      <c r="S571" s="138" t="e">
        <f>SUMIF([2]!DISPONIBILIDADES_2024[[#All],[consecutivo]],Contrato5[[#This Row],[CDP]],[2]!DISPONIBILIDADES_2024[[#All],[valor_total_rubro]])</f>
        <v>#REF!</v>
      </c>
      <c r="T571" s="139" t="e" cm="1">
        <f t="array" aca="1" ref="T571" ca="1">_xlfn.XLOOKUP(Contrato5[[#This Row],[CONTRATO]]&amp;Contrato5[[#This Row],[CDP]],[2]!Corr_Contr_CDP[[#All],[CONTRATO-CDP]],[2]!Corr_Contr_CDP[[#All],[CRP]],_xlfn.XLOOKUP(Contrato5[[#This Row],[CDP]],[2]!COMPROMISOS_2024[[#All],[disponibilidad]],[2]!COMPROMISOS_2024[[#All],[consecutivo]],"",0),0)</f>
        <v>#NAME?</v>
      </c>
      <c r="U571" s="140" t="e" cm="1">
        <f t="array" aca="1" ref="U571" ca="1">+_xlfn.XLOOKUP(Contrato5[[#This Row],[RCP]],[2]!COMPROMISOS_2024[[#All],[consecutivo]],[2]!COMPROMISOS_2024[[#All],[fecha_aprobacion]],"",0)</f>
        <v>#NAME?</v>
      </c>
      <c r="V571" s="141" t="e">
        <f ca="1">SUMIF([2]!COMPROMISOS_2024[[#All],[consecutivo]],Contrato5[[#This Row],[RCP]],[2]!COMPROMISOS_2024[[#All],[valor_total]])</f>
        <v>#REF!</v>
      </c>
      <c r="W571" s="415">
        <v>45590</v>
      </c>
      <c r="X571" s="415">
        <v>45597</v>
      </c>
      <c r="Y571" s="143">
        <v>45499</v>
      </c>
      <c r="Z571" s="262">
        <v>45656</v>
      </c>
      <c r="AA571" s="171"/>
      <c r="AB571" s="280" t="s">
        <v>42</v>
      </c>
      <c r="AC571" s="280"/>
      <c r="AD571" s="211">
        <v>202000004665</v>
      </c>
      <c r="AE571" s="147" t="s">
        <v>523</v>
      </c>
      <c r="AF571" s="148" t="str">
        <f>TEXT(LEFT(Contrato5[[#This Row],[CONTRATO]],3),"0")</f>
        <v>450</v>
      </c>
      <c r="AG571" s="148" t="str">
        <f>IF(LEN(Contrato5[[#This Row],[Contrato2]])=3,Contrato5[[#This Row],[Contrato2]],TEXT(Contrato5[[#This Row],[Contrato2]],"000"))</f>
        <v>450</v>
      </c>
      <c r="AH571" s="149">
        <f ca="1">IFERROR(_xlfn.DAYS(Contrato5[[#This Row],[Fecha Proyectada liquidación]],TODAY())/30,"")</f>
        <v>0.6</v>
      </c>
      <c r="AI571" s="150">
        <f>+Contrato5[[#This Row],[FECHA TERMINACIÓN ]]+120</f>
        <v>45776</v>
      </c>
      <c r="AJ571" s="147"/>
      <c r="AK571" s="152" t="str">
        <f ca="1">IF(Contrato5[[#This Row],[FECHA TERMINACIÓN ]]&lt;TODAY(), "Terminado",IF(ISNUMBER(Contrato5[[#This Row],[Fecha Real de liquiidación ]]),"Liquidado",IF(Contrato5[[#This Row],[FECHA TERMINACIÓN ]]&gt;=TODAY(),"En ejecución","")))</f>
        <v>Terminado</v>
      </c>
      <c r="AL571" s="153" t="e">
        <f ca="1">SUMIF([2]!COMPROMISOS_2024[[#All],[consecutivo]],Contrato5[[#This Row],[RCP]],[2]!COMPROMISOS_2024[[#All],[Total pagado]])</f>
        <v>#REF!</v>
      </c>
      <c r="AM571" s="154">
        <f ca="1">IFERROR(Contrato5[[#This Row],[Pagos]]/Contrato5[[#This Row],[VALOR CONTRATO]],0)</f>
        <v>0</v>
      </c>
      <c r="AN571" s="198" t="e">
        <f ca="1">+Contrato5[[#This Row],[VALOR CONTRATO]]-Contrato5[[#This Row],[Pagos]]</f>
        <v>#REF!</v>
      </c>
      <c r="AO571" s="147" t="e" cm="1">
        <f t="array" aca="1" ref="AO571" ca="1">_xlfn.XLOOKUP(Contrato5[[#This Row],[DOCUMENTO ]],[2]!PERSONAL_ACTIVO_2024[[#All],[Documento identidad]],[2]!PERSONAL_ACTIVO_2024[[#All],[Mail ]],0,0)</f>
        <v>#NAME?</v>
      </c>
      <c r="AP571" s="147" t="e" cm="1">
        <f t="array" aca="1" ref="AP571" ca="1">_xlfn.XLOOKUP(Contrato5[[#This Row],[DOCUMENTO]],[2]!PERSONAL_ACTIVO_2024[[#All],[Documento identidad]],[2]!PERSONAL_ACTIVO_2024[[#All],[Mail ]],0,0)</f>
        <v>#NAME?</v>
      </c>
      <c r="AQ571" s="439" cm="1">
        <f t="array" aca="1" ref="AQ571" ca="1">IF(ISBLANK(Contrato5[[#This Row],[DEPENDENCIA ]]),0,IFERROR(_xlfn.XLOOKUP(Contrato5[[#This Row],[DEPENDENCIA ]],[2]!PERSONAL_ACTIVO_2024[[#All],[Dependencia]],[2]!PERSONAL_ACTIVO_2024[[#All],[Mail ]],0,0),0))</f>
        <v>0</v>
      </c>
    </row>
    <row r="572" spans="1:16382" ht="34.5" customHeight="1">
      <c r="A572" s="125">
        <v>805</v>
      </c>
      <c r="B572" s="124">
        <v>451</v>
      </c>
      <c r="C572" s="162" t="s">
        <v>2827</v>
      </c>
      <c r="D572" s="227" t="s">
        <v>583</v>
      </c>
      <c r="E572" s="440" t="s">
        <v>94</v>
      </c>
      <c r="F572" s="227" t="s">
        <v>1767</v>
      </c>
      <c r="G572" s="281" t="s">
        <v>2828</v>
      </c>
      <c r="H572" s="436">
        <v>890906245</v>
      </c>
      <c r="I572" s="309" t="s">
        <v>2829</v>
      </c>
      <c r="J572" s="511">
        <v>120000000</v>
      </c>
      <c r="K572" s="131" t="s">
        <v>42</v>
      </c>
      <c r="L572" s="438" t="s">
        <v>2815</v>
      </c>
      <c r="M572" s="194" t="s">
        <v>592</v>
      </c>
      <c r="N572" s="177" t="e" cm="1">
        <f t="array" aca="1" ref="N572" ca="1">_xlfn.XLOOKUP(Contrato5[[#This Row],[SUPERVISOR TITULAR]],[2]!PERSONAL_ACTIVO_2024[[#All],[Nombre completo]],[2]!PERSONAL_ACTIVO_2024[[#All],[Documento identidad]],"",0)</f>
        <v>#NAME?</v>
      </c>
      <c r="O572" s="194" t="s">
        <v>600</v>
      </c>
      <c r="P572" s="196" t="e" cm="1">
        <f t="array" aca="1" ref="P572" ca="1">_xlfn.XLOOKUP(Contrato5[[#This Row],[SUPERVISOR SUPLENTE ]],[2]!PERSONAL_ACTIVO_2024[[#All],[Nombre completo]],[2]!PERSONAL_ACTIVO_2024[[#All],[Documento identidad]],"",0)</f>
        <v>#NAME?</v>
      </c>
      <c r="Q572" s="170">
        <v>639</v>
      </c>
      <c r="R572" s="137" t="e" cm="1">
        <f t="array" aca="1" ref="R572" ca="1">_xlfn.XLOOKUP(Contrato5[[#This Row],[CDP]],[2]!DISPONIBILIDADES_2024[[#All],[consecutivo]],[2]!DISPONIBILIDADES_2024[[#All],[fecha_aprobacion]],"",0)</f>
        <v>#NAME?</v>
      </c>
      <c r="S572" s="138" t="e">
        <f>SUMIF([2]!DISPONIBILIDADES_2024[[#All],[consecutivo]],Contrato5[[#This Row],[CDP]],[2]!DISPONIBILIDADES_2024[[#All],[valor_total_rubro]])</f>
        <v>#REF!</v>
      </c>
      <c r="T572" s="139" t="e" cm="1">
        <f t="array" aca="1" ref="T572" ca="1">_xlfn.XLOOKUP(Contrato5[[#This Row],[CONTRATO]]&amp;Contrato5[[#This Row],[CDP]],[2]!Corr_Contr_CDP[[#All],[CONTRATO-CDP]],[2]!Corr_Contr_CDP[[#All],[CRP]],_xlfn.XLOOKUP(Contrato5[[#This Row],[CDP]],[2]!COMPROMISOS_2024[[#All],[disponibilidad]],[2]!COMPROMISOS_2024[[#All],[consecutivo]],"",0),0)</f>
        <v>#NAME?</v>
      </c>
      <c r="U572" s="140" t="e" cm="1">
        <f t="array" aca="1" ref="U572" ca="1">+_xlfn.XLOOKUP(Contrato5[[#This Row],[RCP]],[2]!COMPROMISOS_2024[[#All],[consecutivo]],[2]!COMPROMISOS_2024[[#All],[fecha_aprobacion]],"",0)</f>
        <v>#NAME?</v>
      </c>
      <c r="V572" s="141" t="e">
        <f ca="1">SUMIF([2]!COMPROMISOS_2024[[#All],[consecutivo]],Contrato5[[#This Row],[RCP]],[2]!COMPROMISOS_2024[[#All],[valor_total]])</f>
        <v>#REF!</v>
      </c>
      <c r="W572" s="415">
        <v>45498</v>
      </c>
      <c r="X572" s="415">
        <v>45502</v>
      </c>
      <c r="Y572" s="143">
        <v>45503</v>
      </c>
      <c r="Z572" s="262">
        <v>45656</v>
      </c>
      <c r="AA572" s="171" t="s">
        <v>2830</v>
      </c>
      <c r="AB572" s="280" t="s">
        <v>1041</v>
      </c>
      <c r="AC572" s="172"/>
      <c r="AD572" s="211">
        <v>202000004666</v>
      </c>
      <c r="AE572" s="147" t="s">
        <v>523</v>
      </c>
      <c r="AF572" s="148" t="str">
        <f>TEXT(LEFT(Contrato5[[#This Row],[CONTRATO]],3),"0")</f>
        <v>451</v>
      </c>
      <c r="AG572" s="148" t="str">
        <f>IF(LEN(Contrato5[[#This Row],[Contrato2]])=3,Contrato5[[#This Row],[Contrato2]],TEXT(Contrato5[[#This Row],[Contrato2]],"000"))</f>
        <v>451</v>
      </c>
      <c r="AH572" s="149">
        <f ca="1">IFERROR(_xlfn.DAYS(Contrato5[[#This Row],[Fecha Proyectada liquidación]],TODAY())/30,"")</f>
        <v>0.6</v>
      </c>
      <c r="AI572" s="150">
        <f>+Contrato5[[#This Row],[FECHA TERMINACIÓN ]]+120</f>
        <v>45776</v>
      </c>
      <c r="AJ572" s="147"/>
      <c r="AK572" s="152" t="str">
        <f ca="1">IF(Contrato5[[#This Row],[FECHA TERMINACIÓN ]]&lt;TODAY(), "Terminado",IF(ISNUMBER(Contrato5[[#This Row],[Fecha Real de liquiidación ]]),"Liquidado",IF(Contrato5[[#This Row],[FECHA TERMINACIÓN ]]&gt;=TODAY(),"En ejecución","")))</f>
        <v>Terminado</v>
      </c>
      <c r="AL572" s="153" t="e">
        <f ca="1">SUMIF([2]!COMPROMISOS_2024[[#All],[consecutivo]],Contrato5[[#This Row],[RCP]],[2]!COMPROMISOS_2024[[#All],[Total pagado]])</f>
        <v>#REF!</v>
      </c>
      <c r="AM572" s="154">
        <f ca="1">IFERROR(Contrato5[[#This Row],[Pagos]]/Contrato5[[#This Row],[VALOR CONTRATO]],0)</f>
        <v>0</v>
      </c>
      <c r="AN572" s="198" t="e">
        <f ca="1">+Contrato5[[#This Row],[VALOR CONTRATO]]-Contrato5[[#This Row],[Pagos]]</f>
        <v>#REF!</v>
      </c>
      <c r="AO572" s="147" t="e" cm="1">
        <f t="array" aca="1" ref="AO572" ca="1">_xlfn.XLOOKUP(Contrato5[[#This Row],[DOCUMENTO ]],[2]!PERSONAL_ACTIVO_2024[[#All],[Documento identidad]],[2]!PERSONAL_ACTIVO_2024[[#All],[Mail ]],0,0)</f>
        <v>#NAME?</v>
      </c>
      <c r="AP572" s="147" t="e" cm="1">
        <f t="array" aca="1" ref="AP572" ca="1">_xlfn.XLOOKUP(Contrato5[[#This Row],[DOCUMENTO]],[2]!PERSONAL_ACTIVO_2024[[#All],[Documento identidad]],[2]!PERSONAL_ACTIVO_2024[[#All],[Mail ]],0,0)</f>
        <v>#NAME?</v>
      </c>
      <c r="AQ572" s="439" cm="1">
        <f t="array" aca="1" ref="AQ572" ca="1">IF(ISBLANK(Contrato5[[#This Row],[DEPENDENCIA ]]),0,IFERROR(_xlfn.XLOOKUP(Contrato5[[#This Row],[DEPENDENCIA ]],[2]!PERSONAL_ACTIVO_2024[[#All],[Dependencia]],[2]!PERSONAL_ACTIVO_2024[[#All],[Mail ]],0,0),0))</f>
        <v>0</v>
      </c>
    </row>
    <row r="573" spans="1:16382" ht="34.5" customHeight="1">
      <c r="A573" s="147">
        <v>1261</v>
      </c>
      <c r="B573" s="124">
        <v>451</v>
      </c>
      <c r="C573" s="162" t="s">
        <v>2119</v>
      </c>
      <c r="D573" s="227" t="s">
        <v>583</v>
      </c>
      <c r="E573" s="440" t="s">
        <v>2148</v>
      </c>
      <c r="F573" s="227" t="s">
        <v>1767</v>
      </c>
      <c r="G573" s="281" t="s">
        <v>2828</v>
      </c>
      <c r="H573" s="436">
        <v>890906245</v>
      </c>
      <c r="I573" s="309" t="s">
        <v>2829</v>
      </c>
      <c r="J573" s="445">
        <v>56000000</v>
      </c>
      <c r="K573" s="147" t="s">
        <v>42</v>
      </c>
      <c r="L573" s="438" t="s">
        <v>2683</v>
      </c>
      <c r="M573" s="194" t="s">
        <v>592</v>
      </c>
      <c r="N573" s="177" t="e" cm="1">
        <f t="array" aca="1" ref="N573" ca="1">_xlfn.XLOOKUP(Contrato5[[#This Row],[SUPERVISOR TITULAR]],[2]!PERSONAL_ACTIVO_2024[[#All],[Nombre completo]],[2]!PERSONAL_ACTIVO_2024[[#All],[Documento identidad]],"",0)</f>
        <v>#NAME?</v>
      </c>
      <c r="O573" s="194" t="s">
        <v>600</v>
      </c>
      <c r="P573" s="196" t="e" cm="1">
        <f t="array" aca="1" ref="P573" ca="1">_xlfn.XLOOKUP(Contrato5[[#This Row],[SUPERVISOR SUPLENTE ]],[2]!PERSONAL_ACTIVO_2024[[#All],[Nombre completo]],[2]!PERSONAL_ACTIVO_2024[[#All],[Documento identidad]],"",0)</f>
        <v>#NAME?</v>
      </c>
      <c r="Q573" s="170">
        <v>1103</v>
      </c>
      <c r="R573" s="137" t="e" cm="1">
        <f t="array" aca="1" ref="R573" ca="1">_xlfn.XLOOKUP(Contrato5[[#This Row],[CDP]],[2]!DISPONIBILIDADES_2024[[#All],[consecutivo]],[2]!DISPONIBILIDADES_2024[[#All],[fecha_aprobacion]],"",0)</f>
        <v>#NAME?</v>
      </c>
      <c r="S573" s="138" t="e">
        <f>SUMIF([2]!DISPONIBILIDADES_2024[[#All],[consecutivo]],Contrato5[[#This Row],[CDP]],[2]!DISPONIBILIDADES_2024[[#All],[valor_total_rubro]])</f>
        <v>#REF!</v>
      </c>
      <c r="T573" s="139" t="e" cm="1">
        <f t="array" aca="1" ref="T573" ca="1">_xlfn.XLOOKUP(Contrato5[[#This Row],[CONTRATO]]&amp;Contrato5[[#This Row],[CDP]],[2]!Corr_Contr_CDP[[#All],[CONTRATO-CDP]],[2]!Corr_Contr_CDP[[#All],[CRP]],_xlfn.XLOOKUP(Contrato5[[#This Row],[CDP]],[2]!COMPROMISOS_2024[[#All],[disponibilidad]],[2]!COMPROMISOS_2024[[#All],[consecutivo]],"",0),0)</f>
        <v>#NAME?</v>
      </c>
      <c r="U573" s="140" t="e" cm="1">
        <f t="array" aca="1" ref="U573" ca="1">+_xlfn.XLOOKUP(Contrato5[[#This Row],[RCP]],[2]!COMPROMISOS_2024[[#All],[consecutivo]],[2]!COMPROMISOS_2024[[#All],[fecha_aprobacion]],"",0)</f>
        <v>#NAME?</v>
      </c>
      <c r="V573" s="141" t="e">
        <f ca="1">SUMIF([2]!COMPROMISOS_2024[[#All],[consecutivo]],Contrato5[[#This Row],[RCP]],[2]!COMPROMISOS_2024[[#All],[valor_total]])</f>
        <v>#REF!</v>
      </c>
      <c r="W573" s="415">
        <v>45609</v>
      </c>
      <c r="X573" s="415">
        <v>45615</v>
      </c>
      <c r="Y573" s="143">
        <v>45503</v>
      </c>
      <c r="Z573" s="262">
        <v>45656</v>
      </c>
      <c r="AA573" s="183"/>
      <c r="AB573" s="172" t="s">
        <v>42</v>
      </c>
      <c r="AC573" s="172"/>
      <c r="AD573" s="288"/>
      <c r="AE573" s="147"/>
      <c r="AF573" s="148" t="str">
        <f>TEXT(LEFT(Contrato5[[#This Row],[CONTRATO]],3),"0")</f>
        <v>451</v>
      </c>
      <c r="AG573" s="148" t="str">
        <f>IF(LEN(Contrato5[[#This Row],[Contrato2]])=3,Contrato5[[#This Row],[Contrato2]],TEXT(Contrato5[[#This Row],[Contrato2]],"000"))</f>
        <v>451</v>
      </c>
      <c r="AH573" s="149">
        <f ca="1">IFERROR(_xlfn.DAYS(Contrato5[[#This Row],[Fecha Proyectada liquidación]],TODAY())/30,"")</f>
        <v>0.6</v>
      </c>
      <c r="AI573" s="150">
        <f>+Contrato5[[#This Row],[FECHA TERMINACIÓN ]]+120</f>
        <v>45776</v>
      </c>
      <c r="AJ573" s="147"/>
      <c r="AK573" s="152" t="str">
        <f ca="1">IF(Contrato5[[#This Row],[FECHA TERMINACIÓN ]]&lt;TODAY(), "Terminado",IF(ISNUMBER(Contrato5[[#This Row],[Fecha Real de liquiidación ]]),"Liquidado",IF(Contrato5[[#This Row],[FECHA TERMINACIÓN ]]&gt;=TODAY(),"En ejecución","")))</f>
        <v>Terminado</v>
      </c>
      <c r="AL573" s="153" t="e">
        <f ca="1">SUMIF([2]!COMPROMISOS_2024[[#All],[consecutivo]],Contrato5[[#This Row],[RCP]],[2]!COMPROMISOS_2024[[#All],[Total pagado]])</f>
        <v>#REF!</v>
      </c>
      <c r="AM573" s="154">
        <f ca="1">IFERROR(Contrato5[[#This Row],[Pagos]]/Contrato5[[#This Row],[VALOR CONTRATO]],0)</f>
        <v>0</v>
      </c>
      <c r="AN573" s="198" t="e">
        <f ca="1">+Contrato5[[#This Row],[VALOR CONTRATO]]-Contrato5[[#This Row],[Pagos]]</f>
        <v>#REF!</v>
      </c>
      <c r="AO573" s="147" t="e" cm="1">
        <f t="array" aca="1" ref="AO573" ca="1">_xlfn.XLOOKUP(Contrato5[[#This Row],[DOCUMENTO ]],[2]!PERSONAL_ACTIVO_2024[[#All],[Documento identidad]],[2]!PERSONAL_ACTIVO_2024[[#All],[Mail ]],0,0)</f>
        <v>#NAME?</v>
      </c>
      <c r="AP573" s="147" t="e" cm="1">
        <f t="array" aca="1" ref="AP573" ca="1">_xlfn.XLOOKUP(Contrato5[[#This Row],[DOCUMENTO]],[2]!PERSONAL_ACTIVO_2024[[#All],[Documento identidad]],[2]!PERSONAL_ACTIVO_2024[[#All],[Mail ]],0,0)</f>
        <v>#NAME?</v>
      </c>
      <c r="AQ573" s="439" cm="1">
        <f t="array" aca="1" ref="AQ573" ca="1">IF(ISBLANK(Contrato5[[#This Row],[DEPENDENCIA ]]),0,IFERROR(_xlfn.XLOOKUP(Contrato5[[#This Row],[DEPENDENCIA ]],[2]!PERSONAL_ACTIVO_2024[[#All],[Dependencia]],[2]!PERSONAL_ACTIVO_2024[[#All],[Mail ]],0,0),0))</f>
        <v>0</v>
      </c>
    </row>
    <row r="574" spans="1:16382" ht="34.5" customHeight="1">
      <c r="A574" s="125">
        <v>701</v>
      </c>
      <c r="B574" s="124">
        <v>452</v>
      </c>
      <c r="C574" s="162" t="s">
        <v>2831</v>
      </c>
      <c r="D574" s="227" t="s">
        <v>583</v>
      </c>
      <c r="E574" s="440" t="s">
        <v>94</v>
      </c>
      <c r="F574" s="227" t="s">
        <v>1767</v>
      </c>
      <c r="G574" s="281" t="s">
        <v>1068</v>
      </c>
      <c r="H574" s="436">
        <v>890906266</v>
      </c>
      <c r="I574" s="273" t="s">
        <v>2829</v>
      </c>
      <c r="J574" s="505">
        <v>260000000</v>
      </c>
      <c r="K574" s="131" t="s">
        <v>42</v>
      </c>
      <c r="L574" s="438" t="s">
        <v>2815</v>
      </c>
      <c r="M574" s="194" t="s">
        <v>592</v>
      </c>
      <c r="N574" s="177" t="e" cm="1">
        <f t="array" aca="1" ref="N574" ca="1">_xlfn.XLOOKUP(Contrato5[[#This Row],[SUPERVISOR TITULAR]],[2]!PERSONAL_ACTIVO_2024[[#All],[Nombre completo]],[2]!PERSONAL_ACTIVO_2024[[#All],[Documento identidad]],"",0)</f>
        <v>#NAME?</v>
      </c>
      <c r="O574" s="194" t="s">
        <v>600</v>
      </c>
      <c r="P574" s="196" t="e" cm="1">
        <f t="array" aca="1" ref="P574" ca="1">_xlfn.XLOOKUP(Contrato5[[#This Row],[SUPERVISOR SUPLENTE ]],[2]!PERSONAL_ACTIVO_2024[[#All],[Nombre completo]],[2]!PERSONAL_ACTIVO_2024[[#All],[Documento identidad]],"",0)</f>
        <v>#NAME?</v>
      </c>
      <c r="Q574" s="170">
        <v>618</v>
      </c>
      <c r="R574" s="137" t="e" cm="1">
        <f t="array" aca="1" ref="R574" ca="1">_xlfn.XLOOKUP(Contrato5[[#This Row],[CDP]],[2]!DISPONIBILIDADES_2024[[#All],[consecutivo]],[2]!DISPONIBILIDADES_2024[[#All],[fecha_aprobacion]],"",0)</f>
        <v>#NAME?</v>
      </c>
      <c r="S574" s="138" t="e">
        <f>SUMIF([2]!DISPONIBILIDADES_2024[[#All],[consecutivo]],Contrato5[[#This Row],[CDP]],[2]!DISPONIBILIDADES_2024[[#All],[valor_total_rubro]])</f>
        <v>#REF!</v>
      </c>
      <c r="T574" s="139" t="e" cm="1">
        <f t="array" aca="1" ref="T574" ca="1">_xlfn.XLOOKUP(Contrato5[[#This Row],[CONTRATO]]&amp;Contrato5[[#This Row],[CDP]],[2]!Corr_Contr_CDP[[#All],[CONTRATO-CDP]],[2]!Corr_Contr_CDP[[#All],[CRP]],_xlfn.XLOOKUP(Contrato5[[#This Row],[CDP]],[2]!COMPROMISOS_2024[[#All],[disponibilidad]],[2]!COMPROMISOS_2024[[#All],[consecutivo]],"",0),0)</f>
        <v>#NAME?</v>
      </c>
      <c r="U574" s="140" t="e" cm="1">
        <f t="array" aca="1" ref="U574" ca="1">+_xlfn.XLOOKUP(Contrato5[[#This Row],[RCP]],[2]!COMPROMISOS_2024[[#All],[consecutivo]],[2]!COMPROMISOS_2024[[#All],[fecha_aprobacion]],"",0)</f>
        <v>#NAME?</v>
      </c>
      <c r="V574" s="141" t="e">
        <f ca="1">SUMIF([2]!COMPROMISOS_2024[[#All],[consecutivo]],Contrato5[[#This Row],[RCP]],[2]!COMPROMISOS_2024[[#All],[valor_total]])</f>
        <v>#REF!</v>
      </c>
      <c r="W574" s="160">
        <v>45497</v>
      </c>
      <c r="X574" s="161">
        <v>45499</v>
      </c>
      <c r="Y574" s="143">
        <v>45504</v>
      </c>
      <c r="Z574" s="262">
        <v>45656</v>
      </c>
      <c r="AA574" s="183" t="s">
        <v>2832</v>
      </c>
      <c r="AB574" s="172" t="s">
        <v>1041</v>
      </c>
      <c r="AC574" s="172"/>
      <c r="AD574" s="211">
        <v>202000004672</v>
      </c>
      <c r="AE574" s="147" t="s">
        <v>523</v>
      </c>
      <c r="AF574" s="148" t="str">
        <f>TEXT(LEFT(Contrato5[[#This Row],[CONTRATO]],3),"0")</f>
        <v>452</v>
      </c>
      <c r="AG574" s="148" t="str">
        <f>IF(LEN(Contrato5[[#This Row],[Contrato2]])=3,Contrato5[[#This Row],[Contrato2]],TEXT(Contrato5[[#This Row],[Contrato2]],"000"))</f>
        <v>452</v>
      </c>
      <c r="AH574" s="149">
        <f ca="1">IFERROR(_xlfn.DAYS(Contrato5[[#This Row],[Fecha Proyectada liquidación]],TODAY())/30,"")</f>
        <v>0.6</v>
      </c>
      <c r="AI574" s="150">
        <f>+Contrato5[[#This Row],[FECHA TERMINACIÓN ]]+120</f>
        <v>45776</v>
      </c>
      <c r="AJ574" s="147"/>
      <c r="AK574" s="152" t="str">
        <f ca="1">IF(Contrato5[[#This Row],[FECHA TERMINACIÓN ]]&lt;TODAY(), "Terminado",IF(ISNUMBER(Contrato5[[#This Row],[Fecha Real de liquiidación ]]),"Liquidado",IF(Contrato5[[#This Row],[FECHA TERMINACIÓN ]]&gt;=TODAY(),"En ejecución","")))</f>
        <v>Terminado</v>
      </c>
      <c r="AL574" s="153" t="e">
        <f ca="1">SUMIF([2]!COMPROMISOS_2024[[#All],[consecutivo]],Contrato5[[#This Row],[RCP]],[2]!COMPROMISOS_2024[[#All],[Total pagado]])</f>
        <v>#REF!</v>
      </c>
      <c r="AM574" s="154">
        <f ca="1">IFERROR(Contrato5[[#This Row],[Pagos]]/Contrato5[[#This Row],[VALOR CONTRATO]],0)</f>
        <v>0</v>
      </c>
      <c r="AN574" s="198" t="e">
        <f ca="1">+Contrato5[[#This Row],[VALOR CONTRATO]]-Contrato5[[#This Row],[Pagos]]</f>
        <v>#REF!</v>
      </c>
      <c r="AO574" s="125" t="e" cm="1">
        <f t="array" aca="1" ref="AO574" ca="1">_xlfn.XLOOKUP(Contrato5[[#This Row],[DOCUMENTO ]],[2]!PERSONAL_ACTIVO_2024[[#All],[Documento identidad]],[2]!PERSONAL_ACTIVO_2024[[#All],[Mail ]],0,0)</f>
        <v>#NAME?</v>
      </c>
      <c r="AP574" s="124" t="e" cm="1">
        <f t="array" aca="1" ref="AP574" ca="1">_xlfn.XLOOKUP(Contrato5[[#This Row],[DOCUMENTO]],[2]!PERSONAL_ACTIVO_2024[[#All],[Documento identidad]],[2]!PERSONAL_ACTIVO_2024[[#All],[Mail ]],0,0)</f>
        <v>#NAME?</v>
      </c>
      <c r="AQ574" s="531" cm="1">
        <f t="array" aca="1" ref="AQ574" ca="1">IF(ISBLANK(Contrato5[[#This Row],[DEPENDENCIA ]]),0,IFERROR(_xlfn.XLOOKUP(Contrato5[[#This Row],[DEPENDENCIA ]],[2]!PERSONAL_ACTIVO_2024[[#All],[Dependencia]],[2]!PERSONAL_ACTIVO_2024[[#All],[Mail ]],0,0),0))</f>
        <v>0</v>
      </c>
      <c r="AR574" s="488"/>
      <c r="AS574" s="300"/>
      <c r="AT574" s="532"/>
      <c r="AU574" s="533"/>
      <c r="AV574" s="534"/>
      <c r="AW574" s="316"/>
      <c r="AX574" s="316"/>
      <c r="AY574" s="471"/>
      <c r="AZ574" s="472"/>
      <c r="BA574" s="471"/>
      <c r="BB574" s="473"/>
      <c r="BC574" s="313"/>
      <c r="BD574" s="535"/>
      <c r="BE574" s="536"/>
      <c r="BF574" s="537"/>
      <c r="BG574" s="538"/>
      <c r="BH574" s="539"/>
      <c r="BI574" s="540"/>
      <c r="BJ574" s="209"/>
      <c r="BK574" s="541"/>
      <c r="BL574" s="541"/>
      <c r="BM574" s="482"/>
      <c r="BN574" s="173"/>
      <c r="BO574" s="173"/>
      <c r="BP574" s="509"/>
      <c r="BR574" s="148"/>
      <c r="BS574" s="148"/>
      <c r="BT574" s="149"/>
      <c r="BU574" s="150"/>
      <c r="BW574" s="152"/>
      <c r="BX574" s="542"/>
      <c r="BY574" s="154"/>
      <c r="BZ574" s="175"/>
      <c r="CB574" s="156"/>
      <c r="CC574" s="287"/>
      <c r="CD574" s="488"/>
      <c r="CE574" s="489"/>
      <c r="CF574" s="488"/>
      <c r="CG574" s="300"/>
      <c r="CH574" s="532"/>
      <c r="CI574" s="533"/>
      <c r="CJ574" s="534"/>
      <c r="CK574" s="316"/>
      <c r="CL574" s="316"/>
      <c r="CM574" s="471"/>
      <c r="CN574" s="472"/>
      <c r="CO574" s="471"/>
      <c r="CP574" s="473"/>
      <c r="CQ574" s="313"/>
      <c r="CR574" s="535"/>
      <c r="CS574" s="536"/>
      <c r="CT574" s="537"/>
      <c r="CU574" s="538"/>
      <c r="CV574" s="539"/>
      <c r="CW574" s="540"/>
      <c r="CX574" s="209"/>
      <c r="CY574" s="541"/>
      <c r="CZ574" s="541"/>
      <c r="DA574" s="482"/>
      <c r="DB574" s="173"/>
      <c r="DC574" s="173"/>
      <c r="DD574" s="509"/>
      <c r="DF574" s="148"/>
      <c r="DG574" s="148"/>
      <c r="DH574" s="149"/>
      <c r="DI574" s="150"/>
      <c r="DK574" s="152"/>
      <c r="DL574" s="542"/>
      <c r="DM574" s="154"/>
      <c r="DN574" s="175"/>
      <c r="DP574" s="156"/>
      <c r="DQ574" s="287"/>
      <c r="DR574" s="488"/>
      <c r="DS574" s="489"/>
      <c r="DT574" s="488"/>
      <c r="DU574" s="300"/>
      <c r="DV574" s="532"/>
      <c r="DW574" s="533"/>
      <c r="DX574" s="534"/>
      <c r="DY574" s="316"/>
      <c r="DZ574" s="316"/>
      <c r="EA574" s="471"/>
      <c r="EB574" s="472"/>
      <c r="EC574" s="471"/>
      <c r="ED574" s="473"/>
      <c r="EE574" s="313"/>
      <c r="EF574" s="535"/>
      <c r="EG574" s="536"/>
      <c r="EH574" s="537"/>
      <c r="EI574" s="538"/>
      <c r="EJ574" s="539"/>
      <c r="EK574" s="540"/>
      <c r="EL574" s="209"/>
      <c r="EM574" s="541"/>
      <c r="EN574" s="541"/>
      <c r="EO574" s="482"/>
      <c r="EP574" s="173"/>
      <c r="EQ574" s="173"/>
      <c r="ER574" s="509"/>
      <c r="ET574" s="148"/>
      <c r="EU574" s="148"/>
      <c r="EV574" s="149"/>
      <c r="EW574" s="150"/>
      <c r="EY574" s="152"/>
      <c r="EZ574" s="542"/>
      <c r="FA574" s="154"/>
      <c r="FB574" s="175"/>
      <c r="FD574" s="156"/>
      <c r="FE574" s="287"/>
      <c r="FF574" s="488"/>
      <c r="FG574" s="489"/>
      <c r="FH574" s="488"/>
      <c r="FI574" s="300"/>
      <c r="FJ574" s="532"/>
      <c r="FK574" s="533"/>
      <c r="FL574" s="534"/>
      <c r="FM574" s="316"/>
      <c r="FN574" s="316"/>
      <c r="FO574" s="471"/>
      <c r="FP574" s="472"/>
      <c r="FQ574" s="471"/>
      <c r="FR574" s="473"/>
      <c r="FS574" s="313"/>
      <c r="FT574" s="535"/>
      <c r="FU574" s="536"/>
      <c r="FV574" s="537"/>
      <c r="FW574" s="538"/>
      <c r="FX574" s="539"/>
      <c r="FY574" s="540"/>
      <c r="FZ574" s="209"/>
      <c r="GA574" s="541"/>
      <c r="GB574" s="541"/>
      <c r="GC574" s="482"/>
      <c r="GD574" s="173"/>
      <c r="GE574" s="173"/>
      <c r="GF574" s="509"/>
      <c r="GH574" s="148"/>
      <c r="GI574" s="148"/>
      <c r="GJ574" s="149"/>
      <c r="GK574" s="150"/>
      <c r="GM574" s="152"/>
      <c r="GN574" s="542"/>
      <c r="GO574" s="154"/>
      <c r="GP574" s="175"/>
      <c r="GR574" s="156"/>
      <c r="GS574" s="287"/>
      <c r="GT574" s="488"/>
      <c r="GU574" s="489"/>
      <c r="GV574" s="488"/>
      <c r="GW574" s="300"/>
      <c r="GX574" s="532"/>
      <c r="GY574" s="533"/>
      <c r="GZ574" s="534"/>
      <c r="HA574" s="316"/>
      <c r="HB574" s="316"/>
      <c r="HC574" s="471"/>
      <c r="HD574" s="472"/>
      <c r="HE574" s="471"/>
      <c r="HF574" s="473"/>
      <c r="HG574" s="313"/>
      <c r="HH574" s="535"/>
      <c r="HI574" s="536"/>
      <c r="HJ574" s="537"/>
      <c r="HK574" s="538"/>
      <c r="HL574" s="539"/>
      <c r="HM574" s="540"/>
      <c r="HN574" s="209"/>
      <c r="HO574" s="541"/>
      <c r="HP574" s="541"/>
      <c r="HQ574" s="482"/>
      <c r="HR574" s="173"/>
      <c r="HS574" s="173"/>
      <c r="HT574" s="509"/>
      <c r="HV574" s="148"/>
      <c r="HW574" s="148"/>
      <c r="HX574" s="149"/>
      <c r="HY574" s="150"/>
      <c r="IA574" s="152"/>
      <c r="IB574" s="542"/>
      <c r="IC574" s="154"/>
      <c r="ID574" s="175"/>
      <c r="IF574" s="156"/>
      <c r="IG574" s="287"/>
      <c r="IH574" s="488"/>
      <c r="II574" s="489"/>
      <c r="IJ574" s="488"/>
      <c r="IK574" s="300"/>
      <c r="IL574" s="532"/>
      <c r="IM574" s="533"/>
      <c r="IN574" s="534"/>
      <c r="IO574" s="316"/>
      <c r="IP574" s="316"/>
      <c r="IQ574" s="471"/>
      <c r="IR574" s="472"/>
      <c r="IS574" s="471"/>
      <c r="IT574" s="473"/>
      <c r="IU574" s="313"/>
      <c r="IV574" s="535"/>
      <c r="IW574" s="536"/>
      <c r="IX574" s="537"/>
      <c r="IY574" s="538"/>
      <c r="IZ574" s="539"/>
      <c r="JA574" s="540"/>
      <c r="JB574" s="209"/>
      <c r="JC574" s="541"/>
      <c r="JD574" s="541"/>
      <c r="JE574" s="482"/>
      <c r="JF574" s="173"/>
      <c r="JG574" s="173"/>
      <c r="JH574" s="509"/>
      <c r="JJ574" s="148"/>
      <c r="JK574" s="148"/>
      <c r="JL574" s="149"/>
      <c r="JM574" s="150"/>
      <c r="JO574" s="152"/>
      <c r="JP574" s="542"/>
      <c r="JQ574" s="154"/>
      <c r="JR574" s="175"/>
      <c r="JT574" s="156"/>
      <c r="JU574" s="287"/>
      <c r="JV574" s="488"/>
      <c r="JW574" s="489"/>
      <c r="JX574" s="488"/>
      <c r="JY574" s="300"/>
      <c r="JZ574" s="532"/>
      <c r="KA574" s="533"/>
      <c r="KB574" s="534"/>
      <c r="KC574" s="316"/>
      <c r="KD574" s="316"/>
      <c r="KE574" s="471"/>
      <c r="KF574" s="472"/>
      <c r="KG574" s="471"/>
      <c r="KH574" s="473"/>
      <c r="KI574" s="313"/>
      <c r="KJ574" s="535"/>
      <c r="KK574" s="536"/>
      <c r="KL574" s="537"/>
      <c r="KM574" s="538"/>
      <c r="KN574" s="539"/>
      <c r="KO574" s="540"/>
      <c r="KP574" s="209"/>
      <c r="KQ574" s="541"/>
      <c r="KR574" s="541"/>
      <c r="KS574" s="482"/>
      <c r="KT574" s="173"/>
      <c r="KU574" s="173"/>
      <c r="KV574" s="509"/>
      <c r="KX574" s="148"/>
      <c r="KY574" s="148"/>
      <c r="KZ574" s="149"/>
      <c r="LA574" s="150"/>
      <c r="LC574" s="152"/>
      <c r="LD574" s="542"/>
      <c r="LE574" s="154"/>
      <c r="LF574" s="175"/>
      <c r="LH574" s="156"/>
      <c r="LI574" s="287"/>
      <c r="LJ574" s="488"/>
      <c r="LK574" s="489"/>
      <c r="LL574" s="488"/>
      <c r="LM574" s="300"/>
      <c r="LN574" s="532"/>
      <c r="LO574" s="533"/>
      <c r="LP574" s="534"/>
      <c r="LQ574" s="316"/>
      <c r="LR574" s="316"/>
      <c r="LS574" s="471"/>
      <c r="LT574" s="472"/>
      <c r="LU574" s="471"/>
      <c r="LV574" s="473"/>
      <c r="LW574" s="313"/>
      <c r="LX574" s="535"/>
      <c r="LY574" s="536"/>
      <c r="LZ574" s="537"/>
      <c r="MA574" s="538"/>
      <c r="MB574" s="539"/>
      <c r="MC574" s="540"/>
      <c r="MD574" s="209"/>
      <c r="ME574" s="541"/>
      <c r="MF574" s="541"/>
      <c r="MG574" s="482"/>
      <c r="MH574" s="173"/>
      <c r="MI574" s="173"/>
      <c r="MJ574" s="509"/>
      <c r="ML574" s="148"/>
      <c r="MM574" s="148"/>
      <c r="MN574" s="149"/>
      <c r="MO574" s="150"/>
      <c r="MQ574" s="152"/>
      <c r="MR574" s="542"/>
      <c r="MS574" s="154"/>
      <c r="MT574" s="175"/>
      <c r="MV574" s="156"/>
      <c r="MW574" s="287"/>
      <c r="MX574" s="488"/>
      <c r="MY574" s="489"/>
      <c r="MZ574" s="488"/>
      <c r="NA574" s="300"/>
      <c r="NB574" s="532"/>
      <c r="NC574" s="533"/>
      <c r="ND574" s="534"/>
      <c r="NE574" s="316"/>
      <c r="NF574" s="316"/>
      <c r="NG574" s="471"/>
      <c r="NH574" s="472"/>
      <c r="NI574" s="471"/>
      <c r="NJ574" s="473"/>
      <c r="NK574" s="313"/>
      <c r="NL574" s="535"/>
      <c r="NM574" s="536"/>
      <c r="NN574" s="537"/>
      <c r="NO574" s="538"/>
      <c r="NP574" s="539"/>
      <c r="NQ574" s="540"/>
      <c r="NR574" s="209"/>
      <c r="NS574" s="541"/>
      <c r="NT574" s="541"/>
      <c r="NU574" s="482"/>
      <c r="NV574" s="173"/>
      <c r="NW574" s="173"/>
      <c r="NX574" s="509"/>
      <c r="NZ574" s="148"/>
      <c r="OA574" s="148"/>
      <c r="OB574" s="149"/>
      <c r="OC574" s="150"/>
      <c r="OE574" s="152"/>
      <c r="OF574" s="542"/>
      <c r="OG574" s="154"/>
      <c r="OH574" s="175"/>
      <c r="OJ574" s="156"/>
      <c r="OK574" s="287"/>
      <c r="OL574" s="488"/>
      <c r="OM574" s="489"/>
      <c r="ON574" s="488"/>
      <c r="OO574" s="300"/>
      <c r="OP574" s="532"/>
      <c r="OQ574" s="533"/>
      <c r="OR574" s="534"/>
      <c r="OS574" s="316"/>
      <c r="OT574" s="316"/>
      <c r="OU574" s="471"/>
      <c r="OV574" s="472"/>
      <c r="OW574" s="471"/>
      <c r="OX574" s="473"/>
      <c r="OY574" s="313"/>
      <c r="OZ574" s="535"/>
      <c r="PA574" s="536"/>
      <c r="PB574" s="537"/>
      <c r="PC574" s="538"/>
      <c r="PD574" s="539"/>
      <c r="PE574" s="540"/>
      <c r="PF574" s="209"/>
      <c r="PG574" s="541"/>
      <c r="PH574" s="541"/>
      <c r="PI574" s="482"/>
      <c r="PJ574" s="173"/>
      <c r="PK574" s="173"/>
      <c r="PL574" s="509"/>
      <c r="PN574" s="148"/>
      <c r="PO574" s="148"/>
      <c r="PP574" s="149"/>
      <c r="PQ574" s="150"/>
      <c r="PS574" s="152"/>
      <c r="PT574" s="542"/>
      <c r="PU574" s="154"/>
      <c r="PV574" s="175"/>
      <c r="PX574" s="156"/>
      <c r="PY574" s="287"/>
      <c r="PZ574" s="488"/>
      <c r="QA574" s="489"/>
      <c r="QB574" s="488"/>
      <c r="QC574" s="300"/>
      <c r="QD574" s="532"/>
      <c r="QE574" s="533"/>
      <c r="QF574" s="534"/>
      <c r="QG574" s="316"/>
      <c r="QH574" s="316"/>
      <c r="QI574" s="471"/>
      <c r="QJ574" s="472"/>
      <c r="QK574" s="471"/>
      <c r="QL574" s="473"/>
      <c r="QM574" s="313"/>
      <c r="QN574" s="535"/>
      <c r="QO574" s="536"/>
      <c r="QP574" s="537"/>
      <c r="QQ574" s="538"/>
      <c r="QR574" s="539"/>
      <c r="QS574" s="540"/>
      <c r="QT574" s="209"/>
      <c r="QU574" s="541"/>
      <c r="QV574" s="541"/>
      <c r="QW574" s="482"/>
      <c r="QX574" s="173"/>
      <c r="QY574" s="173"/>
      <c r="QZ574" s="509"/>
      <c r="RB574" s="148"/>
      <c r="RC574" s="148"/>
      <c r="RD574" s="149"/>
      <c r="RE574" s="150"/>
      <c r="RG574" s="152"/>
      <c r="RH574" s="542"/>
      <c r="RI574" s="154"/>
      <c r="RJ574" s="175"/>
      <c r="RL574" s="156"/>
      <c r="RM574" s="287"/>
      <c r="RN574" s="488"/>
      <c r="RO574" s="489"/>
      <c r="RP574" s="488"/>
      <c r="RQ574" s="300"/>
      <c r="RR574" s="532"/>
      <c r="RS574" s="533"/>
      <c r="RT574" s="534"/>
      <c r="RU574" s="316"/>
      <c r="RV574" s="316"/>
      <c r="RW574" s="471"/>
      <c r="RX574" s="472"/>
      <c r="RY574" s="471"/>
      <c r="RZ574" s="473"/>
      <c r="SA574" s="313"/>
      <c r="SB574" s="535"/>
      <c r="SC574" s="536"/>
      <c r="SD574" s="537"/>
      <c r="SE574" s="538"/>
      <c r="SF574" s="539"/>
      <c r="SG574" s="540"/>
      <c r="SH574" s="209"/>
      <c r="SI574" s="541"/>
      <c r="SJ574" s="541"/>
      <c r="SK574" s="482"/>
      <c r="SL574" s="173"/>
      <c r="SM574" s="173"/>
      <c r="SN574" s="509"/>
      <c r="SP574" s="148"/>
      <c r="SQ574" s="148"/>
      <c r="SR574" s="149"/>
      <c r="SS574" s="150"/>
      <c r="SU574" s="152"/>
      <c r="SV574" s="542"/>
      <c r="SW574" s="154"/>
      <c r="SX574" s="175"/>
      <c r="SZ574" s="156"/>
      <c r="TA574" s="287"/>
      <c r="TB574" s="488"/>
      <c r="TC574" s="489"/>
      <c r="TD574" s="488"/>
      <c r="TE574" s="300"/>
      <c r="TF574" s="532"/>
      <c r="TG574" s="533"/>
      <c r="TH574" s="534"/>
      <c r="TI574" s="316"/>
      <c r="TJ574" s="316"/>
      <c r="TK574" s="471"/>
      <c r="TL574" s="472"/>
      <c r="TM574" s="471"/>
      <c r="TN574" s="473"/>
      <c r="TO574" s="313"/>
      <c r="TP574" s="535"/>
      <c r="TQ574" s="536"/>
      <c r="TR574" s="537"/>
      <c r="TS574" s="538"/>
      <c r="TT574" s="539"/>
      <c r="TU574" s="540"/>
      <c r="TV574" s="209"/>
      <c r="TW574" s="541"/>
      <c r="TX574" s="541"/>
      <c r="TY574" s="482"/>
      <c r="TZ574" s="173"/>
      <c r="UA574" s="173"/>
      <c r="UB574" s="509"/>
      <c r="UD574" s="148"/>
      <c r="UE574" s="148"/>
      <c r="UF574" s="149"/>
      <c r="UG574" s="150"/>
      <c r="UI574" s="152"/>
      <c r="UJ574" s="542"/>
      <c r="UK574" s="154"/>
      <c r="UL574" s="175"/>
      <c r="UN574" s="156"/>
      <c r="UO574" s="287"/>
      <c r="UP574" s="488"/>
      <c r="UQ574" s="489"/>
      <c r="UR574" s="488"/>
      <c r="US574" s="300"/>
      <c r="UT574" s="532"/>
      <c r="UU574" s="533"/>
      <c r="UV574" s="534"/>
      <c r="UW574" s="316"/>
      <c r="UX574" s="316"/>
      <c r="UY574" s="471"/>
      <c r="UZ574" s="472"/>
      <c r="VA574" s="471"/>
      <c r="VB574" s="473"/>
      <c r="VC574" s="313"/>
      <c r="VD574" s="535"/>
      <c r="VE574" s="536"/>
      <c r="VF574" s="537"/>
      <c r="VG574" s="538"/>
      <c r="VH574" s="539"/>
      <c r="VI574" s="540"/>
      <c r="VJ574" s="209"/>
      <c r="VK574" s="541"/>
      <c r="VL574" s="541"/>
      <c r="VM574" s="482"/>
      <c r="VN574" s="173"/>
      <c r="VO574" s="173"/>
      <c r="VP574" s="509"/>
      <c r="VR574" s="148"/>
      <c r="VS574" s="148"/>
      <c r="VT574" s="149"/>
      <c r="VU574" s="150"/>
      <c r="VW574" s="152"/>
      <c r="VX574" s="542"/>
      <c r="VY574" s="154"/>
      <c r="VZ574" s="175"/>
      <c r="WB574" s="156"/>
      <c r="WC574" s="287"/>
      <c r="WD574" s="488"/>
      <c r="WE574" s="489"/>
      <c r="WF574" s="488"/>
      <c r="WG574" s="300"/>
      <c r="WH574" s="532"/>
      <c r="WI574" s="533"/>
      <c r="WJ574" s="534"/>
      <c r="WK574" s="316"/>
      <c r="WL574" s="316"/>
      <c r="WM574" s="471"/>
      <c r="WN574" s="472"/>
      <c r="WO574" s="471"/>
      <c r="WP574" s="473"/>
      <c r="WQ574" s="313"/>
      <c r="WR574" s="535"/>
      <c r="WS574" s="536"/>
      <c r="WT574" s="537"/>
      <c r="WU574" s="538"/>
      <c r="WV574" s="539"/>
      <c r="WW574" s="540"/>
      <c r="WX574" s="209"/>
      <c r="WY574" s="541"/>
      <c r="WZ574" s="541"/>
      <c r="XA574" s="482"/>
      <c r="XB574" s="173"/>
      <c r="XC574" s="173"/>
      <c r="XD574" s="509"/>
      <c r="XF574" s="148"/>
      <c r="XG574" s="148"/>
      <c r="XH574" s="149"/>
      <c r="XI574" s="150"/>
      <c r="XK574" s="152"/>
      <c r="XL574" s="542"/>
      <c r="XM574" s="154"/>
      <c r="XN574" s="175"/>
      <c r="XP574" s="156"/>
      <c r="XQ574" s="287"/>
      <c r="XR574" s="488"/>
      <c r="XS574" s="489"/>
      <c r="XT574" s="488"/>
      <c r="XU574" s="300"/>
      <c r="XV574" s="532"/>
      <c r="XW574" s="533"/>
      <c r="XX574" s="534"/>
      <c r="XY574" s="316"/>
      <c r="XZ574" s="316"/>
      <c r="YA574" s="471"/>
      <c r="YB574" s="472"/>
      <c r="YC574" s="471"/>
      <c r="YD574" s="473"/>
      <c r="YE574" s="313"/>
      <c r="YF574" s="535"/>
      <c r="YG574" s="536"/>
      <c r="YH574" s="537"/>
      <c r="YI574" s="538"/>
      <c r="YJ574" s="539"/>
      <c r="YK574" s="540"/>
      <c r="YL574" s="209"/>
      <c r="YM574" s="541"/>
      <c r="YN574" s="541"/>
      <c r="YO574" s="482"/>
      <c r="YP574" s="173"/>
      <c r="YQ574" s="173"/>
      <c r="YR574" s="509"/>
      <c r="YT574" s="148"/>
      <c r="YU574" s="148"/>
      <c r="YV574" s="149"/>
      <c r="YW574" s="150"/>
      <c r="YY574" s="152"/>
      <c r="YZ574" s="542"/>
      <c r="ZA574" s="154"/>
      <c r="ZB574" s="175"/>
      <c r="ZD574" s="156"/>
      <c r="ZE574" s="287"/>
      <c r="ZF574" s="488"/>
      <c r="ZG574" s="489"/>
      <c r="ZH574" s="488"/>
      <c r="ZI574" s="300"/>
      <c r="ZJ574" s="532"/>
      <c r="ZK574" s="533"/>
      <c r="ZL574" s="534"/>
      <c r="ZM574" s="316"/>
      <c r="ZN574" s="316"/>
      <c r="ZO574" s="471"/>
      <c r="ZP574" s="472"/>
      <c r="ZQ574" s="471"/>
      <c r="ZR574" s="473"/>
      <c r="ZS574" s="313"/>
      <c r="ZT574" s="535"/>
      <c r="ZU574" s="536"/>
      <c r="ZV574" s="537"/>
      <c r="ZW574" s="538"/>
      <c r="ZX574" s="539"/>
      <c r="ZY574" s="540"/>
      <c r="ZZ574" s="209"/>
      <c r="AAA574" s="541"/>
      <c r="AAB574" s="541"/>
      <c r="AAC574" s="482"/>
      <c r="AAD574" s="173"/>
      <c r="AAE574" s="173"/>
      <c r="AAF574" s="509"/>
      <c r="AAH574" s="148"/>
      <c r="AAI574" s="148"/>
      <c r="AAJ574" s="149"/>
      <c r="AAK574" s="150"/>
      <c r="AAM574" s="152"/>
      <c r="AAN574" s="542"/>
      <c r="AAO574" s="154"/>
      <c r="AAP574" s="175"/>
      <c r="AAR574" s="156"/>
      <c r="AAS574" s="287"/>
      <c r="AAT574" s="488"/>
      <c r="AAU574" s="489"/>
      <c r="AAV574" s="488"/>
      <c r="AAW574" s="300"/>
      <c r="AAX574" s="532"/>
      <c r="AAY574" s="533"/>
      <c r="AAZ574" s="534"/>
      <c r="ABA574" s="316"/>
      <c r="ABB574" s="316"/>
      <c r="ABC574" s="471"/>
      <c r="ABD574" s="472"/>
      <c r="ABE574" s="471"/>
      <c r="ABF574" s="473"/>
      <c r="ABG574" s="313"/>
      <c r="ABH574" s="535"/>
      <c r="ABI574" s="536"/>
      <c r="ABJ574" s="537"/>
      <c r="ABK574" s="538"/>
      <c r="ABL574" s="539"/>
      <c r="ABM574" s="540"/>
      <c r="ABN574" s="209"/>
      <c r="ABO574" s="541"/>
      <c r="ABP574" s="541"/>
      <c r="ABQ574" s="482"/>
      <c r="ABR574" s="173"/>
      <c r="ABS574" s="173"/>
      <c r="ABT574" s="509"/>
      <c r="ABV574" s="148"/>
      <c r="ABW574" s="148"/>
      <c r="ABX574" s="149"/>
      <c r="ABY574" s="150"/>
      <c r="ACA574" s="152"/>
      <c r="ACB574" s="542"/>
      <c r="ACC574" s="154"/>
      <c r="ACD574" s="175"/>
      <c r="ACF574" s="156"/>
      <c r="ACG574" s="287"/>
      <c r="ACH574" s="488"/>
      <c r="ACI574" s="489"/>
      <c r="ACJ574" s="488"/>
      <c r="ACK574" s="300"/>
      <c r="ACL574" s="532"/>
      <c r="ACM574" s="533"/>
      <c r="ACN574" s="534"/>
      <c r="ACO574" s="316"/>
      <c r="ACP574" s="316"/>
      <c r="ACQ574" s="471"/>
      <c r="ACR574" s="472"/>
      <c r="ACS574" s="471"/>
      <c r="ACT574" s="473"/>
      <c r="ACU574" s="313"/>
      <c r="ACV574" s="535"/>
      <c r="ACW574" s="536"/>
      <c r="ACX574" s="537"/>
      <c r="ACY574" s="538"/>
      <c r="ACZ574" s="539"/>
      <c r="ADA574" s="540"/>
      <c r="ADB574" s="209"/>
      <c r="ADC574" s="541"/>
      <c r="ADD574" s="541"/>
      <c r="ADE574" s="482"/>
      <c r="ADF574" s="173"/>
      <c r="ADG574" s="173"/>
      <c r="ADH574" s="509"/>
      <c r="ADJ574" s="148"/>
      <c r="ADK574" s="148"/>
      <c r="ADL574" s="149"/>
      <c r="ADM574" s="150"/>
      <c r="ADO574" s="152"/>
      <c r="ADP574" s="542"/>
      <c r="ADQ574" s="154"/>
      <c r="ADR574" s="175"/>
      <c r="ADT574" s="156"/>
      <c r="ADU574" s="287"/>
      <c r="ADV574" s="488"/>
      <c r="ADW574" s="489"/>
      <c r="ADX574" s="488"/>
      <c r="ADY574" s="300"/>
      <c r="ADZ574" s="532"/>
      <c r="AEA574" s="533"/>
      <c r="AEB574" s="534"/>
      <c r="AEC574" s="316"/>
      <c r="AED574" s="316"/>
      <c r="AEE574" s="471"/>
      <c r="AEF574" s="472"/>
      <c r="AEG574" s="471"/>
      <c r="AEH574" s="473"/>
      <c r="AEI574" s="313"/>
      <c r="AEJ574" s="535"/>
      <c r="AEK574" s="536"/>
      <c r="AEL574" s="537"/>
      <c r="AEM574" s="538"/>
      <c r="AEN574" s="539"/>
      <c r="AEO574" s="540"/>
      <c r="AEP574" s="209"/>
      <c r="AEQ574" s="541"/>
      <c r="AER574" s="541"/>
      <c r="AES574" s="482"/>
      <c r="AET574" s="173"/>
      <c r="AEU574" s="173"/>
      <c r="AEV574" s="509"/>
      <c r="AEX574" s="148"/>
      <c r="AEY574" s="148"/>
      <c r="AEZ574" s="149"/>
      <c r="AFA574" s="150"/>
      <c r="AFC574" s="152"/>
      <c r="AFD574" s="542"/>
      <c r="AFE574" s="154"/>
      <c r="AFF574" s="175"/>
      <c r="AFH574" s="156"/>
      <c r="AFI574" s="287"/>
      <c r="AFJ574" s="488"/>
      <c r="AFK574" s="489"/>
      <c r="AFL574" s="488"/>
      <c r="AFM574" s="300"/>
      <c r="AFN574" s="532"/>
      <c r="AFO574" s="533"/>
      <c r="AFP574" s="534"/>
      <c r="AFQ574" s="316"/>
      <c r="AFR574" s="316"/>
      <c r="AFS574" s="471"/>
      <c r="AFT574" s="472"/>
      <c r="AFU574" s="471"/>
      <c r="AFV574" s="473"/>
      <c r="AFW574" s="313"/>
      <c r="AFX574" s="535"/>
      <c r="AFY574" s="536"/>
      <c r="AFZ574" s="537"/>
      <c r="AGA574" s="538"/>
      <c r="AGB574" s="539"/>
      <c r="AGC574" s="540"/>
      <c r="AGD574" s="209"/>
      <c r="AGE574" s="541"/>
      <c r="AGF574" s="541"/>
      <c r="AGG574" s="482"/>
      <c r="AGH574" s="173"/>
      <c r="AGI574" s="173"/>
      <c r="AGJ574" s="509"/>
      <c r="AGL574" s="148"/>
      <c r="AGM574" s="148"/>
      <c r="AGN574" s="149"/>
      <c r="AGO574" s="150"/>
      <c r="AGQ574" s="152"/>
      <c r="AGR574" s="542"/>
      <c r="AGS574" s="154"/>
      <c r="AGT574" s="175"/>
      <c r="AGV574" s="156"/>
      <c r="AGW574" s="287"/>
      <c r="AGX574" s="488"/>
      <c r="AGY574" s="489"/>
      <c r="AGZ574" s="488"/>
      <c r="AHA574" s="300"/>
      <c r="AHB574" s="532"/>
      <c r="AHC574" s="533"/>
      <c r="AHD574" s="534"/>
      <c r="AHE574" s="316"/>
      <c r="AHF574" s="316"/>
      <c r="AHG574" s="471"/>
      <c r="AHH574" s="472"/>
      <c r="AHI574" s="471"/>
      <c r="AHJ574" s="473"/>
      <c r="AHK574" s="313"/>
      <c r="AHL574" s="535"/>
      <c r="AHM574" s="536"/>
      <c r="AHN574" s="537"/>
      <c r="AHO574" s="538"/>
      <c r="AHP574" s="539"/>
      <c r="AHQ574" s="540"/>
      <c r="AHR574" s="209"/>
      <c r="AHS574" s="541"/>
      <c r="AHT574" s="541"/>
      <c r="AHU574" s="482"/>
      <c r="AHV574" s="173"/>
      <c r="AHW574" s="173"/>
      <c r="AHX574" s="509"/>
      <c r="AHZ574" s="148"/>
      <c r="AIA574" s="148"/>
      <c r="AIB574" s="149"/>
      <c r="AIC574" s="150"/>
      <c r="AIE574" s="152"/>
      <c r="AIF574" s="542"/>
      <c r="AIG574" s="154"/>
      <c r="AIH574" s="175"/>
      <c r="AIJ574" s="156"/>
      <c r="AIK574" s="287"/>
      <c r="AIL574" s="488"/>
      <c r="AIM574" s="489"/>
      <c r="AIN574" s="488"/>
      <c r="AIO574" s="300"/>
      <c r="AIP574" s="532"/>
      <c r="AIQ574" s="533"/>
      <c r="AIR574" s="534"/>
      <c r="AIS574" s="316"/>
      <c r="AIT574" s="316"/>
      <c r="AIU574" s="471"/>
      <c r="AIV574" s="472"/>
      <c r="AIW574" s="471"/>
      <c r="AIX574" s="473"/>
      <c r="AIY574" s="313"/>
      <c r="AIZ574" s="535"/>
      <c r="AJA574" s="536"/>
      <c r="AJB574" s="537"/>
      <c r="AJC574" s="538"/>
      <c r="AJD574" s="539"/>
      <c r="AJE574" s="540"/>
      <c r="AJF574" s="209"/>
      <c r="AJG574" s="541"/>
      <c r="AJH574" s="541"/>
      <c r="AJI574" s="482"/>
      <c r="AJJ574" s="173"/>
      <c r="AJK574" s="173"/>
      <c r="AJL574" s="509"/>
      <c r="AJN574" s="148"/>
      <c r="AJO574" s="148"/>
      <c r="AJP574" s="149"/>
      <c r="AJQ574" s="150"/>
      <c r="AJS574" s="152"/>
      <c r="AJT574" s="542"/>
      <c r="AJU574" s="154"/>
      <c r="AJV574" s="175"/>
      <c r="AJX574" s="156"/>
      <c r="AJY574" s="287"/>
      <c r="AJZ574" s="488"/>
      <c r="AKA574" s="489"/>
      <c r="AKB574" s="488"/>
      <c r="AKC574" s="300"/>
      <c r="AKD574" s="532"/>
      <c r="AKE574" s="533"/>
      <c r="AKF574" s="534"/>
      <c r="AKG574" s="316"/>
      <c r="AKH574" s="316"/>
      <c r="AKI574" s="471"/>
      <c r="AKJ574" s="472"/>
      <c r="AKK574" s="471"/>
      <c r="AKL574" s="473"/>
      <c r="AKM574" s="313"/>
      <c r="AKN574" s="535"/>
      <c r="AKO574" s="536"/>
      <c r="AKP574" s="537"/>
      <c r="AKQ574" s="538"/>
      <c r="AKR574" s="539"/>
      <c r="AKS574" s="540"/>
      <c r="AKT574" s="209"/>
      <c r="AKU574" s="541"/>
      <c r="AKV574" s="541"/>
      <c r="AKW574" s="482"/>
      <c r="AKX574" s="173"/>
      <c r="AKY574" s="173"/>
      <c r="AKZ574" s="509"/>
      <c r="ALB574" s="148"/>
      <c r="ALC574" s="148"/>
      <c r="ALD574" s="149"/>
      <c r="ALE574" s="150"/>
      <c r="ALG574" s="152"/>
      <c r="ALH574" s="542"/>
      <c r="ALI574" s="154"/>
      <c r="ALJ574" s="175"/>
      <c r="ALL574" s="156"/>
      <c r="ALM574" s="287"/>
      <c r="ALN574" s="488"/>
      <c r="ALO574" s="489"/>
      <c r="ALP574" s="488"/>
      <c r="ALQ574" s="300"/>
      <c r="ALR574" s="532"/>
      <c r="ALS574" s="533"/>
      <c r="ALT574" s="534"/>
      <c r="ALU574" s="316"/>
      <c r="ALV574" s="316"/>
      <c r="ALW574" s="471"/>
      <c r="ALX574" s="472"/>
      <c r="ALY574" s="471"/>
      <c r="ALZ574" s="473"/>
      <c r="AMA574" s="313"/>
      <c r="AMB574" s="535"/>
      <c r="AMC574" s="536"/>
      <c r="AMD574" s="537"/>
      <c r="AME574" s="538"/>
      <c r="AMF574" s="539"/>
      <c r="AMG574" s="540"/>
      <c r="AMH574" s="209"/>
      <c r="AMI574" s="541"/>
      <c r="AMJ574" s="541"/>
      <c r="AMK574" s="482"/>
      <c r="AML574" s="173"/>
      <c r="AMM574" s="173"/>
      <c r="AMN574" s="509"/>
      <c r="AMP574" s="148"/>
      <c r="AMQ574" s="148"/>
      <c r="AMR574" s="149"/>
      <c r="AMS574" s="150"/>
      <c r="AMU574" s="152"/>
      <c r="AMV574" s="542"/>
      <c r="AMW574" s="154"/>
      <c r="AMX574" s="175"/>
      <c r="AMZ574" s="156"/>
      <c r="ANA574" s="287"/>
      <c r="ANB574" s="488"/>
      <c r="ANC574" s="489"/>
      <c r="AND574" s="488"/>
      <c r="ANE574" s="300"/>
      <c r="ANF574" s="532"/>
      <c r="ANG574" s="533"/>
      <c r="ANH574" s="534"/>
      <c r="ANI574" s="316"/>
      <c r="ANJ574" s="316"/>
      <c r="ANK574" s="471"/>
      <c r="ANL574" s="472"/>
      <c r="ANM574" s="471"/>
      <c r="ANN574" s="473"/>
      <c r="ANO574" s="313"/>
      <c r="ANP574" s="535"/>
      <c r="ANQ574" s="536"/>
      <c r="ANR574" s="537"/>
      <c r="ANS574" s="538"/>
      <c r="ANT574" s="539"/>
      <c r="ANU574" s="540"/>
      <c r="ANV574" s="209"/>
      <c r="ANW574" s="541"/>
      <c r="ANX574" s="541"/>
      <c r="ANY574" s="482"/>
      <c r="ANZ574" s="173"/>
      <c r="AOA574" s="173"/>
      <c r="AOB574" s="509"/>
      <c r="AOD574" s="148"/>
      <c r="AOE574" s="148"/>
      <c r="AOF574" s="149"/>
      <c r="AOG574" s="150"/>
      <c r="AOI574" s="152"/>
      <c r="AOJ574" s="542"/>
      <c r="AOK574" s="154"/>
      <c r="AOL574" s="175"/>
      <c r="AON574" s="156"/>
      <c r="AOO574" s="287"/>
      <c r="AOP574" s="488"/>
      <c r="AOQ574" s="489"/>
      <c r="AOR574" s="488"/>
      <c r="AOS574" s="300"/>
      <c r="AOT574" s="532"/>
      <c r="AOU574" s="533"/>
      <c r="AOV574" s="534"/>
      <c r="AOW574" s="316"/>
      <c r="AOX574" s="316"/>
      <c r="AOY574" s="471"/>
      <c r="AOZ574" s="472"/>
      <c r="APA574" s="471"/>
      <c r="APB574" s="473"/>
      <c r="APC574" s="313"/>
      <c r="APD574" s="535"/>
      <c r="APE574" s="536"/>
      <c r="APF574" s="537"/>
      <c r="APG574" s="538"/>
      <c r="APH574" s="539"/>
      <c r="API574" s="540"/>
      <c r="APJ574" s="209"/>
      <c r="APK574" s="541"/>
      <c r="APL574" s="541"/>
      <c r="APM574" s="482"/>
      <c r="APN574" s="173"/>
      <c r="APO574" s="173"/>
      <c r="APP574" s="509"/>
      <c r="APR574" s="148"/>
      <c r="APS574" s="148"/>
      <c r="APT574" s="149"/>
      <c r="APU574" s="150"/>
      <c r="APW574" s="152"/>
      <c r="APX574" s="542"/>
      <c r="APY574" s="154"/>
      <c r="APZ574" s="175"/>
      <c r="AQB574" s="156"/>
      <c r="AQC574" s="287"/>
      <c r="AQD574" s="488"/>
      <c r="AQE574" s="489"/>
      <c r="AQF574" s="488"/>
      <c r="AQG574" s="300"/>
      <c r="AQH574" s="532"/>
      <c r="AQI574" s="533"/>
      <c r="AQJ574" s="534"/>
      <c r="AQK574" s="316"/>
      <c r="AQL574" s="316"/>
      <c r="AQM574" s="471"/>
      <c r="AQN574" s="472"/>
      <c r="AQO574" s="471"/>
      <c r="AQP574" s="473"/>
      <c r="AQQ574" s="313"/>
      <c r="AQR574" s="535"/>
      <c r="AQS574" s="536"/>
      <c r="AQT574" s="537"/>
      <c r="AQU574" s="538"/>
      <c r="AQV574" s="539"/>
      <c r="AQW574" s="540"/>
      <c r="AQX574" s="209"/>
      <c r="AQY574" s="541"/>
      <c r="AQZ574" s="541"/>
      <c r="ARA574" s="482"/>
      <c r="ARB574" s="173"/>
      <c r="ARC574" s="173"/>
      <c r="ARD574" s="509"/>
      <c r="ARF574" s="148"/>
      <c r="ARG574" s="148"/>
      <c r="ARH574" s="149"/>
      <c r="ARI574" s="150"/>
      <c r="ARK574" s="152"/>
      <c r="ARL574" s="542"/>
      <c r="ARM574" s="154"/>
      <c r="ARN574" s="175"/>
      <c r="ARP574" s="156"/>
      <c r="ARQ574" s="287"/>
      <c r="ARR574" s="488"/>
      <c r="ARS574" s="489"/>
      <c r="ART574" s="488"/>
      <c r="ARU574" s="300"/>
      <c r="ARV574" s="532"/>
      <c r="ARW574" s="533"/>
      <c r="ARX574" s="534"/>
      <c r="ARY574" s="316"/>
      <c r="ARZ574" s="316"/>
      <c r="ASA574" s="471"/>
      <c r="ASB574" s="472"/>
      <c r="ASC574" s="471"/>
      <c r="ASD574" s="473"/>
      <c r="ASE574" s="313"/>
      <c r="ASF574" s="535"/>
      <c r="ASG574" s="536"/>
      <c r="ASH574" s="537"/>
      <c r="ASI574" s="538"/>
      <c r="ASJ574" s="539"/>
      <c r="ASK574" s="540"/>
      <c r="ASL574" s="209"/>
      <c r="ASM574" s="541"/>
      <c r="ASN574" s="541"/>
      <c r="ASO574" s="482"/>
      <c r="ASP574" s="173"/>
      <c r="ASQ574" s="173"/>
      <c r="ASR574" s="509"/>
      <c r="AST574" s="148"/>
      <c r="ASU574" s="148"/>
      <c r="ASV574" s="149"/>
      <c r="ASW574" s="150"/>
      <c r="ASY574" s="152"/>
      <c r="ASZ574" s="542"/>
      <c r="ATA574" s="154"/>
      <c r="ATB574" s="175"/>
      <c r="ATD574" s="156"/>
      <c r="ATE574" s="287"/>
      <c r="ATF574" s="488"/>
      <c r="ATG574" s="489"/>
      <c r="ATH574" s="488"/>
      <c r="ATI574" s="300"/>
      <c r="ATJ574" s="532"/>
      <c r="ATK574" s="533"/>
      <c r="ATL574" s="534"/>
      <c r="ATM574" s="316"/>
      <c r="ATN574" s="316"/>
      <c r="ATO574" s="471"/>
      <c r="ATP574" s="472"/>
      <c r="ATQ574" s="471"/>
      <c r="ATR574" s="473"/>
      <c r="ATS574" s="313"/>
      <c r="ATT574" s="535"/>
      <c r="ATU574" s="536"/>
      <c r="ATV574" s="537"/>
      <c r="ATW574" s="538"/>
      <c r="ATX574" s="539"/>
      <c r="ATY574" s="540"/>
      <c r="ATZ574" s="209"/>
      <c r="AUA574" s="541"/>
      <c r="AUB574" s="541"/>
      <c r="AUC574" s="482"/>
      <c r="AUD574" s="173"/>
      <c r="AUE574" s="173"/>
      <c r="AUF574" s="509"/>
      <c r="AUH574" s="148"/>
      <c r="AUI574" s="148"/>
      <c r="AUJ574" s="149"/>
      <c r="AUK574" s="150"/>
      <c r="AUM574" s="152"/>
      <c r="AUN574" s="542"/>
      <c r="AUO574" s="154"/>
      <c r="AUP574" s="175"/>
      <c r="AUR574" s="156"/>
      <c r="AUS574" s="287"/>
      <c r="AUT574" s="488"/>
      <c r="AUU574" s="489"/>
      <c r="AUV574" s="488"/>
      <c r="AUW574" s="300"/>
      <c r="AUX574" s="532"/>
      <c r="AUY574" s="533"/>
      <c r="AUZ574" s="534"/>
      <c r="AVA574" s="316"/>
      <c r="AVB574" s="316"/>
      <c r="AVC574" s="471"/>
      <c r="AVD574" s="472"/>
      <c r="AVE574" s="471"/>
      <c r="AVF574" s="473"/>
      <c r="AVG574" s="313"/>
      <c r="AVH574" s="535"/>
      <c r="AVI574" s="536"/>
      <c r="AVJ574" s="537"/>
      <c r="AVK574" s="538"/>
      <c r="AVL574" s="539"/>
      <c r="AVM574" s="540"/>
      <c r="AVN574" s="209"/>
      <c r="AVO574" s="541"/>
      <c r="AVP574" s="541"/>
      <c r="AVQ574" s="482"/>
      <c r="AVR574" s="173"/>
      <c r="AVS574" s="173"/>
      <c r="AVT574" s="509"/>
      <c r="AVV574" s="148"/>
      <c r="AVW574" s="148"/>
      <c r="AVX574" s="149"/>
      <c r="AVY574" s="150"/>
      <c r="AWA574" s="152"/>
      <c r="AWB574" s="542"/>
      <c r="AWC574" s="154"/>
      <c r="AWD574" s="175"/>
      <c r="AWF574" s="156"/>
      <c r="AWG574" s="287"/>
      <c r="AWH574" s="488"/>
      <c r="AWI574" s="489"/>
      <c r="AWJ574" s="488"/>
      <c r="AWK574" s="300"/>
      <c r="AWL574" s="532"/>
      <c r="AWM574" s="533"/>
      <c r="AWN574" s="534"/>
      <c r="AWO574" s="316"/>
      <c r="AWP574" s="316"/>
      <c r="AWQ574" s="471"/>
      <c r="AWR574" s="472"/>
      <c r="AWS574" s="471"/>
      <c r="AWT574" s="473"/>
      <c r="AWU574" s="313"/>
      <c r="AWV574" s="535"/>
      <c r="AWW574" s="536"/>
      <c r="AWX574" s="537"/>
      <c r="AWY574" s="538"/>
      <c r="AWZ574" s="539"/>
      <c r="AXA574" s="540"/>
      <c r="AXB574" s="209"/>
      <c r="AXC574" s="541"/>
      <c r="AXD574" s="541"/>
      <c r="AXE574" s="482"/>
      <c r="AXF574" s="173"/>
      <c r="AXG574" s="173"/>
      <c r="AXH574" s="509"/>
      <c r="AXJ574" s="148"/>
      <c r="AXK574" s="148"/>
      <c r="AXL574" s="149"/>
      <c r="AXM574" s="150"/>
      <c r="AXO574" s="152"/>
      <c r="AXP574" s="542"/>
      <c r="AXQ574" s="154"/>
      <c r="AXR574" s="175"/>
      <c r="AXT574" s="156"/>
      <c r="AXU574" s="287"/>
      <c r="AXV574" s="488"/>
      <c r="AXW574" s="489"/>
      <c r="AXX574" s="488"/>
      <c r="AXY574" s="300"/>
      <c r="AXZ574" s="532"/>
      <c r="AYA574" s="533"/>
      <c r="AYB574" s="534"/>
      <c r="AYC574" s="316"/>
      <c r="AYD574" s="316"/>
      <c r="AYE574" s="471"/>
      <c r="AYF574" s="472"/>
      <c r="AYG574" s="471"/>
      <c r="AYH574" s="473"/>
      <c r="AYI574" s="313"/>
      <c r="AYJ574" s="535"/>
      <c r="AYK574" s="536"/>
      <c r="AYL574" s="537"/>
      <c r="AYM574" s="538"/>
      <c r="AYN574" s="539"/>
      <c r="AYO574" s="540"/>
      <c r="AYP574" s="209"/>
      <c r="AYQ574" s="541"/>
      <c r="AYR574" s="541"/>
      <c r="AYS574" s="482"/>
      <c r="AYT574" s="173"/>
      <c r="AYU574" s="173"/>
      <c r="AYV574" s="509"/>
      <c r="AYX574" s="148"/>
      <c r="AYY574" s="148"/>
      <c r="AYZ574" s="149"/>
      <c r="AZA574" s="150"/>
      <c r="AZC574" s="152"/>
      <c r="AZD574" s="542"/>
      <c r="AZE574" s="154"/>
      <c r="AZF574" s="175"/>
      <c r="AZH574" s="156"/>
      <c r="AZI574" s="287"/>
      <c r="AZJ574" s="488"/>
      <c r="AZK574" s="489"/>
      <c r="AZL574" s="488"/>
      <c r="AZM574" s="300"/>
      <c r="AZN574" s="532"/>
      <c r="AZO574" s="533"/>
      <c r="AZP574" s="534"/>
      <c r="AZQ574" s="316"/>
      <c r="AZR574" s="316"/>
      <c r="AZS574" s="471"/>
      <c r="AZT574" s="472"/>
      <c r="AZU574" s="471"/>
      <c r="AZV574" s="473"/>
      <c r="AZW574" s="313"/>
      <c r="AZX574" s="535"/>
      <c r="AZY574" s="536"/>
      <c r="AZZ574" s="537"/>
      <c r="BAA574" s="538"/>
      <c r="BAB574" s="539"/>
      <c r="BAC574" s="540"/>
      <c r="BAD574" s="209"/>
      <c r="BAE574" s="541"/>
      <c r="BAF574" s="541"/>
      <c r="BAG574" s="482"/>
      <c r="BAH574" s="173"/>
      <c r="BAI574" s="173"/>
      <c r="BAJ574" s="509"/>
      <c r="BAL574" s="148"/>
      <c r="BAM574" s="148"/>
      <c r="BAN574" s="149"/>
      <c r="BAO574" s="150"/>
      <c r="BAQ574" s="152"/>
      <c r="BAR574" s="542"/>
      <c r="BAS574" s="154"/>
      <c r="BAT574" s="175"/>
      <c r="BAV574" s="156"/>
      <c r="BAW574" s="287"/>
      <c r="BAX574" s="488"/>
      <c r="BAY574" s="489"/>
      <c r="BAZ574" s="488"/>
      <c r="BBA574" s="300"/>
      <c r="BBB574" s="532"/>
      <c r="BBC574" s="533"/>
      <c r="BBD574" s="534"/>
      <c r="BBE574" s="316"/>
      <c r="BBF574" s="316"/>
      <c r="BBG574" s="471"/>
      <c r="BBH574" s="472"/>
      <c r="BBI574" s="471"/>
      <c r="BBJ574" s="473"/>
      <c r="BBK574" s="313"/>
      <c r="BBL574" s="535"/>
      <c r="BBM574" s="536"/>
      <c r="BBN574" s="537"/>
      <c r="BBO574" s="538"/>
      <c r="BBP574" s="539"/>
      <c r="BBQ574" s="540"/>
      <c r="BBR574" s="209"/>
      <c r="BBS574" s="541"/>
      <c r="BBT574" s="541"/>
      <c r="BBU574" s="482"/>
      <c r="BBV574" s="173"/>
      <c r="BBW574" s="173"/>
      <c r="BBX574" s="509"/>
      <c r="BBZ574" s="148"/>
      <c r="BCA574" s="148"/>
      <c r="BCB574" s="149"/>
      <c r="BCC574" s="150"/>
      <c r="BCE574" s="152"/>
      <c r="BCF574" s="542"/>
      <c r="BCG574" s="154"/>
      <c r="BCH574" s="175"/>
      <c r="BCJ574" s="156"/>
      <c r="BCK574" s="287"/>
      <c r="BCL574" s="488"/>
      <c r="BCM574" s="489"/>
      <c r="BCN574" s="488"/>
      <c r="BCO574" s="300"/>
      <c r="BCP574" s="532"/>
      <c r="BCQ574" s="533"/>
      <c r="BCR574" s="534"/>
      <c r="BCS574" s="316"/>
      <c r="BCT574" s="316"/>
      <c r="BCU574" s="471"/>
      <c r="BCV574" s="472"/>
      <c r="BCW574" s="471"/>
      <c r="BCX574" s="473"/>
      <c r="BCY574" s="313"/>
      <c r="BCZ574" s="535"/>
      <c r="BDA574" s="536"/>
      <c r="BDB574" s="537"/>
      <c r="BDC574" s="538"/>
      <c r="BDD574" s="539"/>
      <c r="BDE574" s="540"/>
      <c r="BDF574" s="209"/>
      <c r="BDG574" s="541"/>
      <c r="BDH574" s="541"/>
      <c r="BDI574" s="482"/>
      <c r="BDJ574" s="173"/>
      <c r="BDK574" s="173"/>
      <c r="BDL574" s="509"/>
      <c r="BDN574" s="148"/>
      <c r="BDO574" s="148"/>
      <c r="BDP574" s="149"/>
      <c r="BDQ574" s="150"/>
      <c r="BDS574" s="152"/>
      <c r="BDT574" s="542"/>
      <c r="BDU574" s="154"/>
      <c r="BDV574" s="175"/>
      <c r="BDX574" s="156"/>
      <c r="BDY574" s="287"/>
      <c r="BDZ574" s="488"/>
      <c r="BEA574" s="489"/>
      <c r="BEB574" s="488"/>
      <c r="BEC574" s="300"/>
      <c r="BED574" s="532"/>
      <c r="BEE574" s="533"/>
      <c r="BEF574" s="534"/>
      <c r="BEG574" s="316"/>
      <c r="BEH574" s="316"/>
      <c r="BEI574" s="471"/>
      <c r="BEJ574" s="472"/>
      <c r="BEK574" s="471"/>
      <c r="BEL574" s="473"/>
      <c r="BEM574" s="313"/>
      <c r="BEN574" s="535"/>
      <c r="BEO574" s="536"/>
      <c r="BEP574" s="537"/>
      <c r="BEQ574" s="538"/>
      <c r="BER574" s="539"/>
      <c r="BES574" s="540"/>
      <c r="BET574" s="209"/>
      <c r="BEU574" s="541"/>
      <c r="BEV574" s="541"/>
      <c r="BEW574" s="482"/>
      <c r="BEX574" s="173"/>
      <c r="BEY574" s="173"/>
      <c r="BEZ574" s="509"/>
      <c r="BFB574" s="148"/>
      <c r="BFC574" s="148"/>
      <c r="BFD574" s="149"/>
      <c r="BFE574" s="150"/>
      <c r="BFG574" s="152"/>
      <c r="BFH574" s="542"/>
      <c r="BFI574" s="154"/>
      <c r="BFJ574" s="175"/>
      <c r="BFL574" s="156"/>
      <c r="BFM574" s="287"/>
      <c r="BFN574" s="488"/>
      <c r="BFO574" s="489"/>
      <c r="BFP574" s="488"/>
      <c r="BFQ574" s="300"/>
      <c r="BFR574" s="532"/>
      <c r="BFS574" s="533"/>
      <c r="BFT574" s="534"/>
      <c r="BFU574" s="316"/>
      <c r="BFV574" s="316"/>
      <c r="BFW574" s="471"/>
      <c r="BFX574" s="472"/>
      <c r="BFY574" s="471"/>
      <c r="BFZ574" s="473"/>
      <c r="BGA574" s="313"/>
      <c r="BGB574" s="535"/>
      <c r="BGC574" s="536"/>
      <c r="BGD574" s="537"/>
      <c r="BGE574" s="538"/>
      <c r="BGF574" s="539"/>
      <c r="BGG574" s="540"/>
      <c r="BGH574" s="209"/>
      <c r="BGI574" s="541"/>
      <c r="BGJ574" s="541"/>
      <c r="BGK574" s="482"/>
      <c r="BGL574" s="173"/>
      <c r="BGM574" s="173"/>
      <c r="BGN574" s="509"/>
      <c r="BGP574" s="148"/>
      <c r="BGQ574" s="148"/>
      <c r="BGR574" s="149"/>
      <c r="BGS574" s="150"/>
      <c r="BGU574" s="152"/>
      <c r="BGV574" s="542"/>
      <c r="BGW574" s="154"/>
      <c r="BGX574" s="175"/>
      <c r="BGZ574" s="156"/>
      <c r="BHA574" s="287"/>
      <c r="BHB574" s="488"/>
      <c r="BHC574" s="489"/>
      <c r="BHD574" s="488"/>
      <c r="BHE574" s="300"/>
      <c r="BHF574" s="532"/>
      <c r="BHG574" s="533"/>
      <c r="BHH574" s="534"/>
      <c r="BHI574" s="316"/>
      <c r="BHJ574" s="316"/>
      <c r="BHK574" s="471"/>
      <c r="BHL574" s="472"/>
      <c r="BHM574" s="471"/>
      <c r="BHN574" s="473"/>
      <c r="BHO574" s="313"/>
      <c r="BHP574" s="535"/>
      <c r="BHQ574" s="536"/>
      <c r="BHR574" s="537"/>
      <c r="BHS574" s="538"/>
      <c r="BHT574" s="539"/>
      <c r="BHU574" s="540"/>
      <c r="BHV574" s="209"/>
      <c r="BHW574" s="541"/>
      <c r="BHX574" s="541"/>
      <c r="BHY574" s="482"/>
      <c r="BHZ574" s="173"/>
      <c r="BIA574" s="173"/>
      <c r="BIB574" s="509"/>
      <c r="BID574" s="148"/>
      <c r="BIE574" s="148"/>
      <c r="BIF574" s="149"/>
      <c r="BIG574" s="150"/>
      <c r="BII574" s="152"/>
      <c r="BIJ574" s="542"/>
      <c r="BIK574" s="154"/>
      <c r="BIL574" s="175"/>
      <c r="BIN574" s="156"/>
      <c r="BIO574" s="287"/>
      <c r="BIP574" s="488"/>
      <c r="BIQ574" s="489"/>
      <c r="BIR574" s="488"/>
      <c r="BIS574" s="300"/>
      <c r="BIT574" s="532"/>
      <c r="BIU574" s="533"/>
      <c r="BIV574" s="534"/>
      <c r="BIW574" s="316"/>
      <c r="BIX574" s="316"/>
      <c r="BIY574" s="471"/>
      <c r="BIZ574" s="472"/>
      <c r="BJA574" s="471"/>
      <c r="BJB574" s="473"/>
      <c r="BJC574" s="313"/>
      <c r="BJD574" s="535"/>
      <c r="BJE574" s="536"/>
      <c r="BJF574" s="537"/>
      <c r="BJG574" s="538"/>
      <c r="BJH574" s="539"/>
      <c r="BJI574" s="540"/>
      <c r="BJJ574" s="209"/>
      <c r="BJK574" s="541"/>
      <c r="BJL574" s="541"/>
      <c r="BJM574" s="482"/>
      <c r="BJN574" s="173"/>
      <c r="BJO574" s="173"/>
      <c r="BJP574" s="509"/>
      <c r="BJR574" s="148"/>
      <c r="BJS574" s="148"/>
      <c r="BJT574" s="149"/>
      <c r="BJU574" s="150"/>
      <c r="BJW574" s="152"/>
      <c r="BJX574" s="542"/>
      <c r="BJY574" s="154"/>
      <c r="BJZ574" s="175"/>
      <c r="BKB574" s="156"/>
      <c r="BKC574" s="287"/>
      <c r="BKD574" s="488"/>
      <c r="BKE574" s="489"/>
      <c r="BKF574" s="488"/>
      <c r="BKG574" s="300"/>
      <c r="BKH574" s="532"/>
      <c r="BKI574" s="533"/>
      <c r="BKJ574" s="534"/>
      <c r="BKK574" s="316"/>
      <c r="BKL574" s="316"/>
      <c r="BKM574" s="471"/>
      <c r="BKN574" s="472"/>
      <c r="BKO574" s="471"/>
      <c r="BKP574" s="473"/>
      <c r="BKQ574" s="313"/>
      <c r="BKR574" s="535"/>
      <c r="BKS574" s="536"/>
      <c r="BKT574" s="537"/>
      <c r="BKU574" s="538"/>
      <c r="BKV574" s="539"/>
      <c r="BKW574" s="540"/>
      <c r="BKX574" s="209"/>
      <c r="BKY574" s="541"/>
      <c r="BKZ574" s="541"/>
      <c r="BLA574" s="482"/>
      <c r="BLB574" s="173"/>
      <c r="BLC574" s="173"/>
      <c r="BLD574" s="509"/>
      <c r="BLF574" s="148"/>
      <c r="BLG574" s="148"/>
      <c r="BLH574" s="149"/>
      <c r="BLI574" s="150"/>
      <c r="BLK574" s="152"/>
      <c r="BLL574" s="542"/>
      <c r="BLM574" s="154"/>
      <c r="BLN574" s="175"/>
      <c r="BLP574" s="156"/>
      <c r="BLQ574" s="287"/>
      <c r="BLR574" s="488"/>
      <c r="BLS574" s="489"/>
      <c r="BLT574" s="488"/>
      <c r="BLU574" s="300"/>
      <c r="BLV574" s="532"/>
      <c r="BLW574" s="533"/>
      <c r="BLX574" s="534"/>
      <c r="BLY574" s="316"/>
      <c r="BLZ574" s="316"/>
      <c r="BMA574" s="471"/>
      <c r="BMB574" s="472"/>
      <c r="BMC574" s="471"/>
      <c r="BMD574" s="473"/>
      <c r="BME574" s="313"/>
      <c r="BMF574" s="535"/>
      <c r="BMG574" s="536"/>
      <c r="BMH574" s="537"/>
      <c r="BMI574" s="538"/>
      <c r="BMJ574" s="539"/>
      <c r="BMK574" s="540"/>
      <c r="BML574" s="209"/>
      <c r="BMM574" s="541"/>
      <c r="BMN574" s="541"/>
      <c r="BMO574" s="482"/>
      <c r="BMP574" s="173"/>
      <c r="BMQ574" s="173"/>
      <c r="BMR574" s="509"/>
      <c r="BMT574" s="148"/>
      <c r="BMU574" s="148"/>
      <c r="BMV574" s="149"/>
      <c r="BMW574" s="150"/>
      <c r="BMY574" s="152"/>
      <c r="BMZ574" s="542"/>
      <c r="BNA574" s="154"/>
      <c r="BNB574" s="175"/>
      <c r="BND574" s="156"/>
      <c r="BNE574" s="287"/>
      <c r="BNF574" s="488"/>
      <c r="BNG574" s="489"/>
      <c r="BNH574" s="488"/>
      <c r="BNI574" s="300"/>
      <c r="BNJ574" s="532"/>
      <c r="BNK574" s="533"/>
      <c r="BNL574" s="534"/>
      <c r="BNM574" s="316"/>
      <c r="BNN574" s="316"/>
      <c r="BNO574" s="471"/>
      <c r="BNP574" s="472"/>
      <c r="BNQ574" s="471"/>
      <c r="BNR574" s="473"/>
      <c r="BNS574" s="313"/>
      <c r="BNT574" s="535"/>
      <c r="BNU574" s="536"/>
      <c r="BNV574" s="537"/>
      <c r="BNW574" s="538"/>
      <c r="BNX574" s="539"/>
      <c r="BNY574" s="540"/>
      <c r="BNZ574" s="209"/>
      <c r="BOA574" s="541"/>
      <c r="BOB574" s="541"/>
      <c r="BOC574" s="482"/>
      <c r="BOD574" s="173"/>
      <c r="BOE574" s="173"/>
      <c r="BOF574" s="509"/>
      <c r="BOH574" s="148"/>
      <c r="BOI574" s="148"/>
      <c r="BOJ574" s="149"/>
      <c r="BOK574" s="150"/>
      <c r="BOM574" s="152"/>
      <c r="BON574" s="542"/>
      <c r="BOO574" s="154"/>
      <c r="BOP574" s="175"/>
      <c r="BOR574" s="156"/>
      <c r="BOS574" s="287"/>
      <c r="BOT574" s="488"/>
      <c r="BOU574" s="489"/>
      <c r="BOV574" s="488"/>
      <c r="BOW574" s="300"/>
      <c r="BOX574" s="532"/>
      <c r="BOY574" s="533"/>
      <c r="BOZ574" s="534"/>
      <c r="BPA574" s="316"/>
      <c r="BPB574" s="316"/>
      <c r="BPC574" s="471"/>
      <c r="BPD574" s="472"/>
      <c r="BPE574" s="471"/>
      <c r="BPF574" s="473"/>
      <c r="BPG574" s="313"/>
      <c r="BPH574" s="535"/>
      <c r="BPI574" s="536"/>
      <c r="BPJ574" s="537"/>
      <c r="BPK574" s="538"/>
      <c r="BPL574" s="539"/>
      <c r="BPM574" s="540"/>
      <c r="BPN574" s="209"/>
      <c r="BPO574" s="541"/>
      <c r="BPP574" s="541"/>
      <c r="BPQ574" s="482"/>
      <c r="BPR574" s="173"/>
      <c r="BPS574" s="173"/>
      <c r="BPT574" s="509"/>
      <c r="BPV574" s="148"/>
      <c r="BPW574" s="148"/>
      <c r="BPX574" s="149"/>
      <c r="BPY574" s="150"/>
      <c r="BQA574" s="152"/>
      <c r="BQB574" s="542"/>
      <c r="BQC574" s="154"/>
      <c r="BQD574" s="175"/>
      <c r="BQF574" s="156"/>
      <c r="BQG574" s="287"/>
      <c r="BQH574" s="488"/>
      <c r="BQI574" s="489"/>
      <c r="BQJ574" s="488"/>
      <c r="BQK574" s="300"/>
      <c r="BQL574" s="532"/>
      <c r="BQM574" s="533"/>
      <c r="BQN574" s="534"/>
      <c r="BQO574" s="316"/>
      <c r="BQP574" s="316"/>
      <c r="BQQ574" s="471"/>
      <c r="BQR574" s="472"/>
      <c r="BQS574" s="471"/>
      <c r="BQT574" s="473"/>
      <c r="BQU574" s="313"/>
      <c r="BQV574" s="535"/>
      <c r="BQW574" s="536"/>
      <c r="BQX574" s="537"/>
      <c r="BQY574" s="538"/>
      <c r="BQZ574" s="539"/>
      <c r="BRA574" s="540"/>
      <c r="BRB574" s="209"/>
      <c r="BRC574" s="541"/>
      <c r="BRD574" s="541"/>
      <c r="BRE574" s="482"/>
      <c r="BRF574" s="173"/>
      <c r="BRG574" s="173"/>
      <c r="BRH574" s="509"/>
      <c r="BRJ574" s="148"/>
      <c r="BRK574" s="148"/>
      <c r="BRL574" s="149"/>
      <c r="BRM574" s="150"/>
      <c r="BRO574" s="152"/>
      <c r="BRP574" s="542"/>
      <c r="BRQ574" s="154"/>
      <c r="BRR574" s="175"/>
      <c r="BRT574" s="156"/>
      <c r="BRU574" s="287"/>
      <c r="BRV574" s="488"/>
      <c r="BRW574" s="489"/>
      <c r="BRX574" s="488"/>
      <c r="BRY574" s="300"/>
      <c r="BRZ574" s="532"/>
      <c r="BSA574" s="533"/>
      <c r="BSB574" s="534"/>
      <c r="BSC574" s="316"/>
      <c r="BSD574" s="316"/>
      <c r="BSE574" s="471"/>
      <c r="BSF574" s="472"/>
      <c r="BSG574" s="471"/>
      <c r="BSH574" s="473"/>
      <c r="BSI574" s="313"/>
      <c r="BSJ574" s="535"/>
      <c r="BSK574" s="536"/>
      <c r="BSL574" s="537"/>
      <c r="BSM574" s="538"/>
      <c r="BSN574" s="539"/>
      <c r="BSO574" s="540"/>
      <c r="BSP574" s="209"/>
      <c r="BSQ574" s="541"/>
      <c r="BSR574" s="541"/>
      <c r="BSS574" s="482"/>
      <c r="BST574" s="173"/>
      <c r="BSU574" s="173"/>
      <c r="BSV574" s="509"/>
      <c r="BSX574" s="148"/>
      <c r="BSY574" s="148"/>
      <c r="BSZ574" s="149"/>
      <c r="BTA574" s="150"/>
      <c r="BTC574" s="152"/>
      <c r="BTD574" s="542"/>
      <c r="BTE574" s="154"/>
      <c r="BTF574" s="175"/>
      <c r="BTH574" s="156"/>
      <c r="BTI574" s="287"/>
      <c r="BTJ574" s="488"/>
      <c r="BTK574" s="489"/>
      <c r="BTL574" s="488"/>
      <c r="BTM574" s="300"/>
      <c r="BTN574" s="532"/>
      <c r="BTO574" s="533"/>
      <c r="BTP574" s="534"/>
      <c r="BTQ574" s="316"/>
      <c r="BTR574" s="316"/>
      <c r="BTS574" s="471"/>
      <c r="BTT574" s="472"/>
      <c r="BTU574" s="471"/>
      <c r="BTV574" s="473"/>
      <c r="BTW574" s="313"/>
      <c r="BTX574" s="535"/>
      <c r="BTY574" s="536"/>
      <c r="BTZ574" s="537"/>
      <c r="BUA574" s="538"/>
      <c r="BUB574" s="539"/>
      <c r="BUC574" s="540"/>
      <c r="BUD574" s="209"/>
      <c r="BUE574" s="541"/>
      <c r="BUF574" s="541"/>
      <c r="BUG574" s="482"/>
      <c r="BUH574" s="173"/>
      <c r="BUI574" s="173"/>
      <c r="BUJ574" s="509"/>
      <c r="BUL574" s="148"/>
      <c r="BUM574" s="148"/>
      <c r="BUN574" s="149"/>
      <c r="BUO574" s="150"/>
      <c r="BUQ574" s="152"/>
      <c r="BUR574" s="542"/>
      <c r="BUS574" s="154"/>
      <c r="BUT574" s="175"/>
      <c r="BUV574" s="156"/>
      <c r="BUW574" s="287"/>
      <c r="BUX574" s="488"/>
      <c r="BUY574" s="489"/>
      <c r="BUZ574" s="488"/>
      <c r="BVA574" s="300"/>
      <c r="BVB574" s="532"/>
      <c r="BVC574" s="533"/>
      <c r="BVD574" s="534"/>
      <c r="BVE574" s="316"/>
      <c r="BVF574" s="316"/>
      <c r="BVG574" s="471"/>
      <c r="BVH574" s="472"/>
      <c r="BVI574" s="471"/>
      <c r="BVJ574" s="473"/>
      <c r="BVK574" s="313"/>
      <c r="BVL574" s="535"/>
      <c r="BVM574" s="536"/>
      <c r="BVN574" s="537"/>
      <c r="BVO574" s="538"/>
      <c r="BVP574" s="539"/>
      <c r="BVQ574" s="540"/>
      <c r="BVR574" s="209"/>
      <c r="BVS574" s="541"/>
      <c r="BVT574" s="541"/>
      <c r="BVU574" s="482"/>
      <c r="BVV574" s="173"/>
      <c r="BVW574" s="173"/>
      <c r="BVX574" s="509"/>
      <c r="BVZ574" s="148"/>
      <c r="BWA574" s="148"/>
      <c r="BWB574" s="149"/>
      <c r="BWC574" s="150"/>
      <c r="BWE574" s="152"/>
      <c r="BWF574" s="542"/>
      <c r="BWG574" s="154"/>
      <c r="BWH574" s="175"/>
      <c r="BWJ574" s="156"/>
      <c r="BWK574" s="287"/>
      <c r="BWL574" s="488"/>
      <c r="BWM574" s="489"/>
      <c r="BWN574" s="488"/>
      <c r="BWO574" s="300"/>
      <c r="BWP574" s="532"/>
      <c r="BWQ574" s="533"/>
      <c r="BWR574" s="534"/>
      <c r="BWS574" s="316"/>
      <c r="BWT574" s="316"/>
      <c r="BWU574" s="471"/>
      <c r="BWV574" s="472"/>
      <c r="BWW574" s="471"/>
      <c r="BWX574" s="473"/>
      <c r="BWY574" s="313"/>
      <c r="BWZ574" s="535"/>
      <c r="BXA574" s="536"/>
      <c r="BXB574" s="537"/>
      <c r="BXC574" s="538"/>
      <c r="BXD574" s="539"/>
      <c r="BXE574" s="540"/>
      <c r="BXF574" s="209"/>
      <c r="BXG574" s="541"/>
      <c r="BXH574" s="541"/>
      <c r="BXI574" s="482"/>
      <c r="BXJ574" s="173"/>
      <c r="BXK574" s="173"/>
      <c r="BXL574" s="509"/>
      <c r="BXN574" s="148"/>
      <c r="BXO574" s="148"/>
      <c r="BXP574" s="149"/>
      <c r="BXQ574" s="150"/>
      <c r="BXS574" s="152"/>
      <c r="BXT574" s="542"/>
      <c r="BXU574" s="154"/>
      <c r="BXV574" s="175"/>
      <c r="BXX574" s="156"/>
      <c r="BXY574" s="287"/>
      <c r="BXZ574" s="488"/>
      <c r="BYA574" s="489"/>
      <c r="BYB574" s="488"/>
      <c r="BYC574" s="300"/>
      <c r="BYD574" s="532"/>
      <c r="BYE574" s="533"/>
      <c r="BYF574" s="534"/>
      <c r="BYG574" s="316"/>
      <c r="BYH574" s="316"/>
      <c r="BYI574" s="471"/>
      <c r="BYJ574" s="472"/>
      <c r="BYK574" s="471"/>
      <c r="BYL574" s="473"/>
      <c r="BYM574" s="313"/>
      <c r="BYN574" s="535"/>
      <c r="BYO574" s="536"/>
      <c r="BYP574" s="537"/>
      <c r="BYQ574" s="538"/>
      <c r="BYR574" s="539"/>
      <c r="BYS574" s="540"/>
      <c r="BYT574" s="209"/>
      <c r="BYU574" s="541"/>
      <c r="BYV574" s="541"/>
      <c r="BYW574" s="482"/>
      <c r="BYX574" s="173"/>
      <c r="BYY574" s="173"/>
      <c r="BYZ574" s="509"/>
      <c r="BZB574" s="148"/>
      <c r="BZC574" s="148"/>
      <c r="BZD574" s="149"/>
      <c r="BZE574" s="150"/>
      <c r="BZG574" s="152"/>
      <c r="BZH574" s="542"/>
      <c r="BZI574" s="154"/>
      <c r="BZJ574" s="175"/>
      <c r="BZL574" s="156"/>
      <c r="BZM574" s="287"/>
      <c r="BZN574" s="488"/>
      <c r="BZO574" s="489"/>
      <c r="BZP574" s="488"/>
      <c r="BZQ574" s="300"/>
      <c r="BZR574" s="532"/>
      <c r="BZS574" s="533"/>
      <c r="BZT574" s="534"/>
      <c r="BZU574" s="316"/>
      <c r="BZV574" s="316"/>
      <c r="BZW574" s="471"/>
      <c r="BZX574" s="472"/>
      <c r="BZY574" s="471"/>
      <c r="BZZ574" s="473"/>
      <c r="CAA574" s="313"/>
      <c r="CAB574" s="535"/>
      <c r="CAC574" s="536"/>
      <c r="CAD574" s="537"/>
      <c r="CAE574" s="538"/>
      <c r="CAF574" s="539"/>
      <c r="CAG574" s="540"/>
      <c r="CAH574" s="209"/>
      <c r="CAI574" s="541"/>
      <c r="CAJ574" s="541"/>
      <c r="CAK574" s="482"/>
      <c r="CAL574" s="173"/>
      <c r="CAM574" s="173"/>
      <c r="CAN574" s="509"/>
      <c r="CAP574" s="148"/>
      <c r="CAQ574" s="148"/>
      <c r="CAR574" s="149"/>
      <c r="CAS574" s="150"/>
      <c r="CAU574" s="152"/>
      <c r="CAV574" s="542"/>
      <c r="CAW574" s="154"/>
      <c r="CAX574" s="175"/>
      <c r="CAZ574" s="156"/>
      <c r="CBA574" s="287"/>
      <c r="CBB574" s="488"/>
      <c r="CBC574" s="489"/>
      <c r="CBD574" s="488"/>
      <c r="CBE574" s="300"/>
      <c r="CBF574" s="532"/>
      <c r="CBG574" s="533"/>
      <c r="CBH574" s="534"/>
      <c r="CBI574" s="316"/>
      <c r="CBJ574" s="316"/>
      <c r="CBK574" s="471"/>
      <c r="CBL574" s="472"/>
      <c r="CBM574" s="471"/>
      <c r="CBN574" s="473"/>
      <c r="CBO574" s="313"/>
      <c r="CBP574" s="535"/>
      <c r="CBQ574" s="536"/>
      <c r="CBR574" s="537"/>
      <c r="CBS574" s="538"/>
      <c r="CBT574" s="539"/>
      <c r="CBU574" s="540"/>
      <c r="CBV574" s="209"/>
      <c r="CBW574" s="541"/>
      <c r="CBX574" s="541"/>
      <c r="CBY574" s="482"/>
      <c r="CBZ574" s="173"/>
      <c r="CCA574" s="173"/>
      <c r="CCB574" s="509"/>
      <c r="CCD574" s="148"/>
      <c r="CCE574" s="148"/>
      <c r="CCF574" s="149"/>
      <c r="CCG574" s="150"/>
      <c r="CCI574" s="152"/>
      <c r="CCJ574" s="542"/>
      <c r="CCK574" s="154"/>
      <c r="CCL574" s="175"/>
      <c r="CCN574" s="156"/>
      <c r="CCO574" s="287"/>
      <c r="CCP574" s="488"/>
      <c r="CCQ574" s="489"/>
      <c r="CCR574" s="488"/>
      <c r="CCS574" s="300"/>
      <c r="CCT574" s="532"/>
      <c r="CCU574" s="533"/>
      <c r="CCV574" s="534"/>
      <c r="CCW574" s="316"/>
      <c r="CCX574" s="316"/>
      <c r="CCY574" s="471"/>
      <c r="CCZ574" s="472"/>
      <c r="CDA574" s="471"/>
      <c r="CDB574" s="473"/>
      <c r="CDC574" s="313"/>
      <c r="CDD574" s="535"/>
      <c r="CDE574" s="536"/>
      <c r="CDF574" s="537"/>
      <c r="CDG574" s="538"/>
      <c r="CDH574" s="539"/>
      <c r="CDI574" s="540"/>
      <c r="CDJ574" s="209"/>
      <c r="CDK574" s="541"/>
      <c r="CDL574" s="541"/>
      <c r="CDM574" s="482"/>
      <c r="CDN574" s="173"/>
      <c r="CDO574" s="173"/>
      <c r="CDP574" s="509"/>
      <c r="CDR574" s="148"/>
      <c r="CDS574" s="148"/>
      <c r="CDT574" s="149"/>
      <c r="CDU574" s="150"/>
      <c r="CDW574" s="152"/>
      <c r="CDX574" s="542"/>
      <c r="CDY574" s="154"/>
      <c r="CDZ574" s="175"/>
      <c r="CEB574" s="156"/>
      <c r="CEC574" s="287"/>
      <c r="CED574" s="488"/>
      <c r="CEE574" s="489"/>
      <c r="CEF574" s="488"/>
      <c r="CEG574" s="300"/>
      <c r="CEH574" s="532"/>
      <c r="CEI574" s="533"/>
      <c r="CEJ574" s="534"/>
      <c r="CEK574" s="316"/>
      <c r="CEL574" s="316"/>
      <c r="CEM574" s="471"/>
      <c r="CEN574" s="472"/>
      <c r="CEO574" s="471"/>
      <c r="CEP574" s="473"/>
      <c r="CEQ574" s="313"/>
      <c r="CER574" s="535"/>
      <c r="CES574" s="536"/>
      <c r="CET574" s="537"/>
      <c r="CEU574" s="538"/>
      <c r="CEV574" s="539"/>
      <c r="CEW574" s="540"/>
      <c r="CEX574" s="209"/>
      <c r="CEY574" s="541"/>
      <c r="CEZ574" s="541"/>
      <c r="CFA574" s="482"/>
      <c r="CFB574" s="173"/>
      <c r="CFC574" s="173"/>
      <c r="CFD574" s="509"/>
      <c r="CFF574" s="148"/>
      <c r="CFG574" s="148"/>
      <c r="CFH574" s="149"/>
      <c r="CFI574" s="150"/>
      <c r="CFK574" s="152"/>
      <c r="CFL574" s="542"/>
      <c r="CFM574" s="154"/>
      <c r="CFN574" s="175"/>
      <c r="CFP574" s="156"/>
      <c r="CFQ574" s="287"/>
      <c r="CFR574" s="488"/>
      <c r="CFS574" s="489"/>
      <c r="CFT574" s="488"/>
      <c r="CFU574" s="300"/>
      <c r="CFV574" s="532"/>
      <c r="CFW574" s="533"/>
      <c r="CFX574" s="534"/>
      <c r="CFY574" s="316"/>
      <c r="CFZ574" s="316"/>
      <c r="CGA574" s="471"/>
      <c r="CGB574" s="472"/>
      <c r="CGC574" s="471"/>
      <c r="CGD574" s="473"/>
      <c r="CGE574" s="313"/>
      <c r="CGF574" s="535"/>
      <c r="CGG574" s="536"/>
      <c r="CGH574" s="537"/>
      <c r="CGI574" s="538"/>
      <c r="CGJ574" s="539"/>
      <c r="CGK574" s="540"/>
      <c r="CGL574" s="209"/>
      <c r="CGM574" s="541"/>
      <c r="CGN574" s="541"/>
      <c r="CGO574" s="482"/>
      <c r="CGP574" s="173"/>
      <c r="CGQ574" s="173"/>
      <c r="CGR574" s="509"/>
      <c r="CGT574" s="148"/>
      <c r="CGU574" s="148"/>
      <c r="CGV574" s="149"/>
      <c r="CGW574" s="150"/>
      <c r="CGY574" s="152"/>
      <c r="CGZ574" s="542"/>
      <c r="CHA574" s="154"/>
      <c r="CHB574" s="175"/>
      <c r="CHD574" s="156"/>
      <c r="CHE574" s="287"/>
      <c r="CHF574" s="488"/>
      <c r="CHG574" s="489"/>
      <c r="CHH574" s="488"/>
      <c r="CHI574" s="300"/>
      <c r="CHJ574" s="532"/>
      <c r="CHK574" s="533"/>
      <c r="CHL574" s="534"/>
      <c r="CHM574" s="316"/>
      <c r="CHN574" s="316"/>
      <c r="CHO574" s="471"/>
      <c r="CHP574" s="472"/>
      <c r="CHQ574" s="471"/>
      <c r="CHR574" s="473"/>
      <c r="CHS574" s="313"/>
      <c r="CHT574" s="535"/>
      <c r="CHU574" s="536"/>
      <c r="CHV574" s="537"/>
      <c r="CHW574" s="538"/>
      <c r="CHX574" s="539"/>
      <c r="CHY574" s="540"/>
      <c r="CHZ574" s="209"/>
      <c r="CIA574" s="541"/>
      <c r="CIB574" s="541"/>
      <c r="CIC574" s="482"/>
      <c r="CID574" s="173"/>
      <c r="CIE574" s="173"/>
      <c r="CIF574" s="509"/>
      <c r="CIH574" s="148"/>
      <c r="CII574" s="148"/>
      <c r="CIJ574" s="149"/>
      <c r="CIK574" s="150"/>
      <c r="CIM574" s="152"/>
      <c r="CIN574" s="542"/>
      <c r="CIO574" s="154"/>
      <c r="CIP574" s="175"/>
      <c r="CIR574" s="156"/>
      <c r="CIS574" s="287"/>
      <c r="CIT574" s="488"/>
      <c r="CIU574" s="489"/>
      <c r="CIV574" s="488"/>
      <c r="CIW574" s="300"/>
      <c r="CIX574" s="532"/>
      <c r="CIY574" s="533"/>
      <c r="CIZ574" s="534"/>
      <c r="CJA574" s="316"/>
      <c r="CJB574" s="316"/>
      <c r="CJC574" s="471"/>
      <c r="CJD574" s="472"/>
      <c r="CJE574" s="471"/>
      <c r="CJF574" s="473"/>
      <c r="CJG574" s="313"/>
      <c r="CJH574" s="535"/>
      <c r="CJI574" s="536"/>
      <c r="CJJ574" s="537"/>
      <c r="CJK574" s="538"/>
      <c r="CJL574" s="539"/>
      <c r="CJM574" s="540"/>
      <c r="CJN574" s="209"/>
      <c r="CJO574" s="541"/>
      <c r="CJP574" s="541"/>
      <c r="CJQ574" s="482"/>
      <c r="CJR574" s="173"/>
      <c r="CJS574" s="173"/>
      <c r="CJT574" s="509"/>
      <c r="CJV574" s="148"/>
      <c r="CJW574" s="148"/>
      <c r="CJX574" s="149"/>
      <c r="CJY574" s="150"/>
      <c r="CKA574" s="152"/>
      <c r="CKB574" s="542"/>
      <c r="CKC574" s="154"/>
      <c r="CKD574" s="175"/>
      <c r="CKF574" s="156"/>
      <c r="CKG574" s="287"/>
      <c r="CKH574" s="488"/>
      <c r="CKI574" s="489"/>
      <c r="CKJ574" s="488"/>
      <c r="CKK574" s="300"/>
      <c r="CKL574" s="532"/>
      <c r="CKM574" s="533"/>
      <c r="CKN574" s="534"/>
      <c r="CKO574" s="316"/>
      <c r="CKP574" s="316"/>
      <c r="CKQ574" s="471"/>
      <c r="CKR574" s="472"/>
      <c r="CKS574" s="471"/>
      <c r="CKT574" s="473"/>
      <c r="CKU574" s="313"/>
      <c r="CKV574" s="535"/>
      <c r="CKW574" s="536"/>
      <c r="CKX574" s="537"/>
      <c r="CKY574" s="538"/>
      <c r="CKZ574" s="539"/>
      <c r="CLA574" s="540"/>
      <c r="CLB574" s="209"/>
      <c r="CLC574" s="541"/>
      <c r="CLD574" s="541"/>
      <c r="CLE574" s="482"/>
      <c r="CLF574" s="173"/>
      <c r="CLG574" s="173"/>
      <c r="CLH574" s="509"/>
      <c r="CLJ574" s="148"/>
      <c r="CLK574" s="148"/>
      <c r="CLL574" s="149"/>
      <c r="CLM574" s="150"/>
      <c r="CLO574" s="152"/>
      <c r="CLP574" s="542"/>
      <c r="CLQ574" s="154"/>
      <c r="CLR574" s="175"/>
      <c r="CLT574" s="156"/>
      <c r="CLU574" s="287"/>
      <c r="CLV574" s="488"/>
      <c r="CLW574" s="489"/>
      <c r="CLX574" s="488"/>
      <c r="CLY574" s="300"/>
      <c r="CLZ574" s="532"/>
      <c r="CMA574" s="533"/>
      <c r="CMB574" s="534"/>
      <c r="CMC574" s="316"/>
      <c r="CMD574" s="316"/>
      <c r="CME574" s="471"/>
      <c r="CMF574" s="472"/>
      <c r="CMG574" s="471"/>
      <c r="CMH574" s="473"/>
      <c r="CMI574" s="313"/>
      <c r="CMJ574" s="535"/>
      <c r="CMK574" s="536"/>
      <c r="CML574" s="537"/>
      <c r="CMM574" s="538"/>
      <c r="CMN574" s="539"/>
      <c r="CMO574" s="540"/>
      <c r="CMP574" s="209"/>
      <c r="CMQ574" s="541"/>
      <c r="CMR574" s="541"/>
      <c r="CMS574" s="482"/>
      <c r="CMT574" s="173"/>
      <c r="CMU574" s="173"/>
      <c r="CMV574" s="509"/>
      <c r="CMX574" s="148"/>
      <c r="CMY574" s="148"/>
      <c r="CMZ574" s="149"/>
      <c r="CNA574" s="150"/>
      <c r="CNC574" s="152"/>
      <c r="CND574" s="542"/>
      <c r="CNE574" s="154"/>
      <c r="CNF574" s="175"/>
      <c r="CNH574" s="156"/>
      <c r="CNI574" s="287"/>
      <c r="CNJ574" s="488"/>
      <c r="CNK574" s="489"/>
      <c r="CNL574" s="488"/>
      <c r="CNM574" s="300"/>
      <c r="CNN574" s="532"/>
      <c r="CNO574" s="533"/>
      <c r="CNP574" s="534"/>
      <c r="CNQ574" s="316"/>
      <c r="CNR574" s="316"/>
      <c r="CNS574" s="471"/>
      <c r="CNT574" s="472"/>
      <c r="CNU574" s="471"/>
      <c r="CNV574" s="473"/>
      <c r="CNW574" s="313"/>
      <c r="CNX574" s="535"/>
      <c r="CNY574" s="536"/>
      <c r="CNZ574" s="537"/>
      <c r="COA574" s="538"/>
      <c r="COB574" s="539"/>
      <c r="COC574" s="540"/>
      <c r="COD574" s="209"/>
      <c r="COE574" s="541"/>
      <c r="COF574" s="541"/>
      <c r="COG574" s="482"/>
      <c r="COH574" s="173"/>
      <c r="COI574" s="173"/>
      <c r="COJ574" s="509"/>
      <c r="COL574" s="148"/>
      <c r="COM574" s="148"/>
      <c r="CON574" s="149"/>
      <c r="COO574" s="150"/>
      <c r="COQ574" s="152"/>
      <c r="COR574" s="542"/>
      <c r="COS574" s="154"/>
      <c r="COT574" s="175"/>
      <c r="COV574" s="156"/>
      <c r="COW574" s="287"/>
      <c r="COX574" s="488"/>
      <c r="COY574" s="489"/>
      <c r="COZ574" s="488"/>
      <c r="CPA574" s="300"/>
      <c r="CPB574" s="532"/>
      <c r="CPC574" s="533"/>
      <c r="CPD574" s="534"/>
      <c r="CPE574" s="316"/>
      <c r="CPF574" s="316"/>
      <c r="CPG574" s="471"/>
      <c r="CPH574" s="472"/>
      <c r="CPI574" s="471"/>
      <c r="CPJ574" s="473"/>
      <c r="CPK574" s="313"/>
      <c r="CPL574" s="535"/>
      <c r="CPM574" s="536"/>
      <c r="CPN574" s="537"/>
      <c r="CPO574" s="538"/>
      <c r="CPP574" s="539"/>
      <c r="CPQ574" s="540"/>
      <c r="CPR574" s="209"/>
      <c r="CPS574" s="541"/>
      <c r="CPT574" s="541"/>
      <c r="CPU574" s="482"/>
      <c r="CPV574" s="173"/>
      <c r="CPW574" s="173"/>
      <c r="CPX574" s="509"/>
      <c r="CPZ574" s="148"/>
      <c r="CQA574" s="148"/>
      <c r="CQB574" s="149"/>
      <c r="CQC574" s="150"/>
      <c r="CQE574" s="152"/>
      <c r="CQF574" s="542"/>
      <c r="CQG574" s="154"/>
      <c r="CQH574" s="175"/>
      <c r="CQJ574" s="156"/>
      <c r="CQK574" s="287"/>
      <c r="CQL574" s="488"/>
      <c r="CQM574" s="489"/>
      <c r="CQN574" s="488"/>
      <c r="CQO574" s="300"/>
      <c r="CQP574" s="532"/>
      <c r="CQQ574" s="533"/>
      <c r="CQR574" s="534"/>
      <c r="CQS574" s="316"/>
      <c r="CQT574" s="316"/>
      <c r="CQU574" s="471"/>
      <c r="CQV574" s="472"/>
      <c r="CQW574" s="471"/>
      <c r="CQX574" s="473"/>
      <c r="CQY574" s="313"/>
      <c r="CQZ574" s="535"/>
      <c r="CRA574" s="536"/>
      <c r="CRB574" s="537"/>
      <c r="CRC574" s="538"/>
      <c r="CRD574" s="539"/>
      <c r="CRE574" s="540"/>
      <c r="CRF574" s="209"/>
      <c r="CRG574" s="541"/>
      <c r="CRH574" s="541"/>
      <c r="CRI574" s="482"/>
      <c r="CRJ574" s="173"/>
      <c r="CRK574" s="173"/>
      <c r="CRL574" s="509"/>
      <c r="CRN574" s="148"/>
      <c r="CRO574" s="148"/>
      <c r="CRP574" s="149"/>
      <c r="CRQ574" s="150"/>
      <c r="CRS574" s="152"/>
      <c r="CRT574" s="542"/>
      <c r="CRU574" s="154"/>
      <c r="CRV574" s="175"/>
      <c r="CRX574" s="156"/>
      <c r="CRY574" s="287"/>
      <c r="CRZ574" s="488"/>
      <c r="CSA574" s="489"/>
      <c r="CSB574" s="488"/>
      <c r="CSC574" s="300"/>
      <c r="CSD574" s="532"/>
      <c r="CSE574" s="533"/>
      <c r="CSF574" s="534"/>
      <c r="CSG574" s="316"/>
      <c r="CSH574" s="316"/>
      <c r="CSI574" s="471"/>
      <c r="CSJ574" s="472"/>
      <c r="CSK574" s="471"/>
      <c r="CSL574" s="473"/>
      <c r="CSM574" s="313"/>
      <c r="CSN574" s="535"/>
      <c r="CSO574" s="536"/>
      <c r="CSP574" s="537"/>
      <c r="CSQ574" s="538"/>
      <c r="CSR574" s="539"/>
      <c r="CSS574" s="540"/>
      <c r="CST574" s="209"/>
      <c r="CSU574" s="541"/>
      <c r="CSV574" s="541"/>
      <c r="CSW574" s="482"/>
      <c r="CSX574" s="173"/>
      <c r="CSY574" s="173"/>
      <c r="CSZ574" s="509"/>
      <c r="CTB574" s="148"/>
      <c r="CTC574" s="148"/>
      <c r="CTD574" s="149"/>
      <c r="CTE574" s="150"/>
      <c r="CTG574" s="152"/>
      <c r="CTH574" s="542"/>
      <c r="CTI574" s="154"/>
      <c r="CTJ574" s="175"/>
      <c r="CTL574" s="156"/>
      <c r="CTM574" s="287"/>
      <c r="CTN574" s="488"/>
      <c r="CTO574" s="489"/>
      <c r="CTP574" s="488"/>
      <c r="CTQ574" s="300"/>
      <c r="CTR574" s="532"/>
      <c r="CTS574" s="533"/>
      <c r="CTT574" s="534"/>
      <c r="CTU574" s="316"/>
      <c r="CTV574" s="316"/>
      <c r="CTW574" s="471"/>
      <c r="CTX574" s="472"/>
      <c r="CTY574" s="471"/>
      <c r="CTZ574" s="473"/>
      <c r="CUA574" s="313"/>
      <c r="CUB574" s="535"/>
      <c r="CUC574" s="536"/>
      <c r="CUD574" s="537"/>
      <c r="CUE574" s="538"/>
      <c r="CUF574" s="539"/>
      <c r="CUG574" s="540"/>
      <c r="CUH574" s="209"/>
      <c r="CUI574" s="541"/>
      <c r="CUJ574" s="541"/>
      <c r="CUK574" s="482"/>
      <c r="CUL574" s="173"/>
      <c r="CUM574" s="173"/>
      <c r="CUN574" s="509"/>
      <c r="CUP574" s="148"/>
      <c r="CUQ574" s="148"/>
      <c r="CUR574" s="149"/>
      <c r="CUS574" s="150"/>
      <c r="CUU574" s="152"/>
      <c r="CUV574" s="542"/>
      <c r="CUW574" s="154"/>
      <c r="CUX574" s="175"/>
      <c r="CUZ574" s="156"/>
      <c r="CVA574" s="287"/>
      <c r="CVB574" s="488"/>
      <c r="CVC574" s="489"/>
      <c r="CVD574" s="488"/>
      <c r="CVE574" s="300"/>
      <c r="CVF574" s="532"/>
      <c r="CVG574" s="533"/>
      <c r="CVH574" s="534"/>
      <c r="CVI574" s="316"/>
      <c r="CVJ574" s="316"/>
      <c r="CVK574" s="471"/>
      <c r="CVL574" s="472"/>
      <c r="CVM574" s="471"/>
      <c r="CVN574" s="473"/>
      <c r="CVO574" s="313"/>
      <c r="CVP574" s="535"/>
      <c r="CVQ574" s="536"/>
      <c r="CVR574" s="537"/>
      <c r="CVS574" s="538"/>
      <c r="CVT574" s="539"/>
      <c r="CVU574" s="540"/>
      <c r="CVV574" s="209"/>
      <c r="CVW574" s="541"/>
      <c r="CVX574" s="541"/>
      <c r="CVY574" s="482"/>
      <c r="CVZ574" s="173"/>
      <c r="CWA574" s="173"/>
      <c r="CWB574" s="509"/>
      <c r="CWD574" s="148"/>
      <c r="CWE574" s="148"/>
      <c r="CWF574" s="149"/>
      <c r="CWG574" s="150"/>
      <c r="CWI574" s="152"/>
      <c r="CWJ574" s="542"/>
      <c r="CWK574" s="154"/>
      <c r="CWL574" s="175"/>
      <c r="CWN574" s="156"/>
      <c r="CWO574" s="287"/>
      <c r="CWP574" s="488"/>
      <c r="CWQ574" s="489"/>
      <c r="CWR574" s="488"/>
      <c r="CWS574" s="300"/>
      <c r="CWT574" s="532"/>
      <c r="CWU574" s="533"/>
      <c r="CWV574" s="534"/>
      <c r="CWW574" s="316"/>
      <c r="CWX574" s="316"/>
      <c r="CWY574" s="471"/>
      <c r="CWZ574" s="472"/>
      <c r="CXA574" s="471"/>
      <c r="CXB574" s="473"/>
      <c r="CXC574" s="313"/>
      <c r="CXD574" s="535"/>
      <c r="CXE574" s="536"/>
      <c r="CXF574" s="537"/>
      <c r="CXG574" s="538"/>
      <c r="CXH574" s="539"/>
      <c r="CXI574" s="540"/>
      <c r="CXJ574" s="209"/>
      <c r="CXK574" s="541"/>
      <c r="CXL574" s="541"/>
      <c r="CXM574" s="482"/>
      <c r="CXN574" s="173"/>
      <c r="CXO574" s="173"/>
      <c r="CXP574" s="509"/>
      <c r="CXR574" s="148"/>
      <c r="CXS574" s="148"/>
      <c r="CXT574" s="149"/>
      <c r="CXU574" s="150"/>
      <c r="CXW574" s="152"/>
      <c r="CXX574" s="542"/>
      <c r="CXY574" s="154"/>
      <c r="CXZ574" s="175"/>
      <c r="CYB574" s="156"/>
      <c r="CYC574" s="287"/>
      <c r="CYD574" s="488"/>
      <c r="CYE574" s="489"/>
      <c r="CYF574" s="488"/>
      <c r="CYG574" s="300"/>
      <c r="CYH574" s="532"/>
      <c r="CYI574" s="533"/>
      <c r="CYJ574" s="534"/>
      <c r="CYK574" s="316"/>
      <c r="CYL574" s="316"/>
      <c r="CYM574" s="471"/>
      <c r="CYN574" s="472"/>
      <c r="CYO574" s="471"/>
      <c r="CYP574" s="473"/>
      <c r="CYQ574" s="313"/>
      <c r="CYR574" s="535"/>
      <c r="CYS574" s="536"/>
      <c r="CYT574" s="537"/>
      <c r="CYU574" s="538"/>
      <c r="CYV574" s="539"/>
      <c r="CYW574" s="540"/>
      <c r="CYX574" s="209"/>
      <c r="CYY574" s="541"/>
      <c r="CYZ574" s="541"/>
      <c r="CZA574" s="482"/>
      <c r="CZB574" s="173"/>
      <c r="CZC574" s="173"/>
      <c r="CZD574" s="509"/>
      <c r="CZF574" s="148"/>
      <c r="CZG574" s="148"/>
      <c r="CZH574" s="149"/>
      <c r="CZI574" s="150"/>
      <c r="CZK574" s="152"/>
      <c r="CZL574" s="542"/>
      <c r="CZM574" s="154"/>
      <c r="CZN574" s="175"/>
      <c r="CZP574" s="156"/>
      <c r="CZQ574" s="287"/>
      <c r="CZR574" s="488"/>
      <c r="CZS574" s="489"/>
      <c r="CZT574" s="488"/>
      <c r="CZU574" s="300"/>
      <c r="CZV574" s="532"/>
      <c r="CZW574" s="533"/>
      <c r="CZX574" s="534"/>
      <c r="CZY574" s="316"/>
      <c r="CZZ574" s="316"/>
      <c r="DAA574" s="471"/>
      <c r="DAB574" s="472"/>
      <c r="DAC574" s="471"/>
      <c r="DAD574" s="473"/>
      <c r="DAE574" s="313"/>
      <c r="DAF574" s="535"/>
      <c r="DAG574" s="536"/>
      <c r="DAH574" s="537"/>
      <c r="DAI574" s="538"/>
      <c r="DAJ574" s="539"/>
      <c r="DAK574" s="540"/>
      <c r="DAL574" s="209"/>
      <c r="DAM574" s="541"/>
      <c r="DAN574" s="541"/>
      <c r="DAO574" s="482"/>
      <c r="DAP574" s="173"/>
      <c r="DAQ574" s="173"/>
      <c r="DAR574" s="509"/>
      <c r="DAT574" s="148"/>
      <c r="DAU574" s="148"/>
      <c r="DAV574" s="149"/>
      <c r="DAW574" s="150"/>
      <c r="DAY574" s="152"/>
      <c r="DAZ574" s="542"/>
      <c r="DBA574" s="154"/>
      <c r="DBB574" s="175"/>
      <c r="DBD574" s="156"/>
      <c r="DBE574" s="287"/>
      <c r="DBF574" s="488"/>
      <c r="DBG574" s="489"/>
      <c r="DBH574" s="488"/>
      <c r="DBI574" s="300"/>
      <c r="DBJ574" s="532"/>
      <c r="DBK574" s="533"/>
      <c r="DBL574" s="534"/>
      <c r="DBM574" s="316"/>
      <c r="DBN574" s="316"/>
      <c r="DBO574" s="471"/>
      <c r="DBP574" s="472"/>
      <c r="DBQ574" s="471"/>
      <c r="DBR574" s="473"/>
      <c r="DBS574" s="313"/>
      <c r="DBT574" s="535"/>
      <c r="DBU574" s="536"/>
      <c r="DBV574" s="537"/>
      <c r="DBW574" s="538"/>
      <c r="DBX574" s="539"/>
      <c r="DBY574" s="540"/>
      <c r="DBZ574" s="209"/>
      <c r="DCA574" s="541"/>
      <c r="DCB574" s="541"/>
      <c r="DCC574" s="482"/>
      <c r="DCD574" s="173"/>
      <c r="DCE574" s="173"/>
      <c r="DCF574" s="509"/>
      <c r="DCH574" s="148"/>
      <c r="DCI574" s="148"/>
      <c r="DCJ574" s="149"/>
      <c r="DCK574" s="150"/>
      <c r="DCM574" s="152"/>
      <c r="DCN574" s="542"/>
      <c r="DCO574" s="154"/>
      <c r="DCP574" s="175"/>
      <c r="DCR574" s="156"/>
      <c r="DCS574" s="287"/>
      <c r="DCT574" s="488"/>
      <c r="DCU574" s="489"/>
      <c r="DCV574" s="488"/>
      <c r="DCW574" s="300"/>
      <c r="DCX574" s="532"/>
      <c r="DCY574" s="533"/>
      <c r="DCZ574" s="534"/>
      <c r="DDA574" s="316"/>
      <c r="DDB574" s="316"/>
      <c r="DDC574" s="471"/>
      <c r="DDD574" s="472"/>
      <c r="DDE574" s="471"/>
      <c r="DDF574" s="473"/>
      <c r="DDG574" s="313"/>
      <c r="DDH574" s="535"/>
      <c r="DDI574" s="536"/>
      <c r="DDJ574" s="537"/>
      <c r="DDK574" s="538"/>
      <c r="DDL574" s="539"/>
      <c r="DDM574" s="540"/>
      <c r="DDN574" s="209"/>
      <c r="DDO574" s="541"/>
      <c r="DDP574" s="541"/>
      <c r="DDQ574" s="482"/>
      <c r="DDR574" s="173"/>
      <c r="DDS574" s="173"/>
      <c r="DDT574" s="509"/>
      <c r="DDV574" s="148"/>
      <c r="DDW574" s="148"/>
      <c r="DDX574" s="149"/>
      <c r="DDY574" s="150"/>
      <c r="DEA574" s="152"/>
      <c r="DEB574" s="542"/>
      <c r="DEC574" s="154"/>
      <c r="DED574" s="175"/>
      <c r="DEF574" s="156"/>
      <c r="DEG574" s="287"/>
      <c r="DEH574" s="488"/>
      <c r="DEI574" s="489"/>
      <c r="DEJ574" s="488"/>
      <c r="DEK574" s="300"/>
      <c r="DEL574" s="532"/>
      <c r="DEM574" s="533"/>
      <c r="DEN574" s="534"/>
      <c r="DEO574" s="316"/>
      <c r="DEP574" s="316"/>
      <c r="DEQ574" s="471"/>
      <c r="DER574" s="472"/>
      <c r="DES574" s="471"/>
      <c r="DET574" s="473"/>
      <c r="DEU574" s="313"/>
      <c r="DEV574" s="535"/>
      <c r="DEW574" s="536"/>
      <c r="DEX574" s="537"/>
      <c r="DEY574" s="538"/>
      <c r="DEZ574" s="539"/>
      <c r="DFA574" s="540"/>
      <c r="DFB574" s="209"/>
      <c r="DFC574" s="541"/>
      <c r="DFD574" s="541"/>
      <c r="DFE574" s="482"/>
      <c r="DFF574" s="173"/>
      <c r="DFG574" s="173"/>
      <c r="DFH574" s="509"/>
      <c r="DFJ574" s="148"/>
      <c r="DFK574" s="148"/>
      <c r="DFL574" s="149"/>
      <c r="DFM574" s="150"/>
      <c r="DFO574" s="152"/>
      <c r="DFP574" s="542"/>
      <c r="DFQ574" s="154"/>
      <c r="DFR574" s="175"/>
      <c r="DFT574" s="156"/>
      <c r="DFU574" s="287"/>
      <c r="DFV574" s="488"/>
      <c r="DFW574" s="489"/>
      <c r="DFX574" s="488"/>
      <c r="DFY574" s="300"/>
      <c r="DFZ574" s="532"/>
      <c r="DGA574" s="533"/>
      <c r="DGB574" s="534"/>
      <c r="DGC574" s="316"/>
      <c r="DGD574" s="316"/>
      <c r="DGE574" s="471"/>
      <c r="DGF574" s="472"/>
      <c r="DGG574" s="471"/>
      <c r="DGH574" s="473"/>
      <c r="DGI574" s="313"/>
      <c r="DGJ574" s="535"/>
      <c r="DGK574" s="536"/>
      <c r="DGL574" s="537"/>
      <c r="DGM574" s="538"/>
      <c r="DGN574" s="539"/>
      <c r="DGO574" s="540"/>
      <c r="DGP574" s="209"/>
      <c r="DGQ574" s="541"/>
      <c r="DGR574" s="541"/>
      <c r="DGS574" s="482"/>
      <c r="DGT574" s="173"/>
      <c r="DGU574" s="173"/>
      <c r="DGV574" s="509"/>
      <c r="DGX574" s="148"/>
      <c r="DGY574" s="148"/>
      <c r="DGZ574" s="149"/>
      <c r="DHA574" s="150"/>
      <c r="DHC574" s="152"/>
      <c r="DHD574" s="542"/>
      <c r="DHE574" s="154"/>
      <c r="DHF574" s="175"/>
      <c r="DHH574" s="156"/>
      <c r="DHI574" s="287"/>
      <c r="DHJ574" s="488"/>
      <c r="DHK574" s="489"/>
      <c r="DHL574" s="488"/>
      <c r="DHM574" s="300"/>
      <c r="DHN574" s="532"/>
      <c r="DHO574" s="533"/>
      <c r="DHP574" s="534"/>
      <c r="DHQ574" s="316"/>
      <c r="DHR574" s="316"/>
      <c r="DHS574" s="471"/>
      <c r="DHT574" s="472"/>
      <c r="DHU574" s="471"/>
      <c r="DHV574" s="473"/>
      <c r="DHW574" s="313"/>
      <c r="DHX574" s="535"/>
      <c r="DHY574" s="536"/>
      <c r="DHZ574" s="537"/>
      <c r="DIA574" s="538"/>
      <c r="DIB574" s="539"/>
      <c r="DIC574" s="540"/>
      <c r="DID574" s="209"/>
      <c r="DIE574" s="541"/>
      <c r="DIF574" s="541"/>
      <c r="DIG574" s="482"/>
      <c r="DIH574" s="173"/>
      <c r="DII574" s="173"/>
      <c r="DIJ574" s="509"/>
      <c r="DIL574" s="148"/>
      <c r="DIM574" s="148"/>
      <c r="DIN574" s="149"/>
      <c r="DIO574" s="150"/>
      <c r="DIQ574" s="152"/>
      <c r="DIR574" s="542"/>
      <c r="DIS574" s="154"/>
      <c r="DIT574" s="175"/>
      <c r="DIV574" s="156"/>
      <c r="DIW574" s="287"/>
      <c r="DIX574" s="488"/>
      <c r="DIY574" s="489"/>
      <c r="DIZ574" s="488"/>
      <c r="DJA574" s="300"/>
      <c r="DJB574" s="532"/>
      <c r="DJC574" s="533"/>
      <c r="DJD574" s="534"/>
      <c r="DJE574" s="316"/>
      <c r="DJF574" s="316"/>
      <c r="DJG574" s="471"/>
      <c r="DJH574" s="472"/>
      <c r="DJI574" s="471"/>
      <c r="DJJ574" s="473"/>
      <c r="DJK574" s="313"/>
      <c r="DJL574" s="535"/>
      <c r="DJM574" s="536"/>
      <c r="DJN574" s="537"/>
      <c r="DJO574" s="538"/>
      <c r="DJP574" s="539"/>
      <c r="DJQ574" s="540"/>
      <c r="DJR574" s="209"/>
      <c r="DJS574" s="541"/>
      <c r="DJT574" s="541"/>
      <c r="DJU574" s="482"/>
      <c r="DJV574" s="173"/>
      <c r="DJW574" s="173"/>
      <c r="DJX574" s="509"/>
      <c r="DJZ574" s="148"/>
      <c r="DKA574" s="148"/>
      <c r="DKB574" s="149"/>
      <c r="DKC574" s="150"/>
      <c r="DKE574" s="152"/>
      <c r="DKF574" s="542"/>
      <c r="DKG574" s="154"/>
      <c r="DKH574" s="175"/>
      <c r="DKJ574" s="156"/>
      <c r="DKK574" s="287"/>
      <c r="DKL574" s="488"/>
      <c r="DKM574" s="489"/>
      <c r="DKN574" s="488"/>
      <c r="DKO574" s="300"/>
      <c r="DKP574" s="532"/>
      <c r="DKQ574" s="533"/>
      <c r="DKR574" s="534"/>
      <c r="DKS574" s="316"/>
      <c r="DKT574" s="316"/>
      <c r="DKU574" s="471"/>
      <c r="DKV574" s="472"/>
      <c r="DKW574" s="471"/>
      <c r="DKX574" s="473"/>
      <c r="DKY574" s="313"/>
      <c r="DKZ574" s="535"/>
      <c r="DLA574" s="536"/>
      <c r="DLB574" s="537"/>
      <c r="DLC574" s="538"/>
      <c r="DLD574" s="539"/>
      <c r="DLE574" s="540"/>
      <c r="DLF574" s="209"/>
      <c r="DLG574" s="541"/>
      <c r="DLH574" s="541"/>
      <c r="DLI574" s="482"/>
      <c r="DLJ574" s="173"/>
      <c r="DLK574" s="173"/>
      <c r="DLL574" s="509"/>
      <c r="DLN574" s="148"/>
      <c r="DLO574" s="148"/>
      <c r="DLP574" s="149"/>
      <c r="DLQ574" s="150"/>
      <c r="DLS574" s="152"/>
      <c r="DLT574" s="542"/>
      <c r="DLU574" s="154"/>
      <c r="DLV574" s="175"/>
      <c r="DLX574" s="156"/>
      <c r="DLY574" s="287"/>
      <c r="DLZ574" s="488"/>
      <c r="DMA574" s="489"/>
      <c r="DMB574" s="488"/>
      <c r="DMC574" s="300"/>
      <c r="DMD574" s="532"/>
      <c r="DME574" s="533"/>
      <c r="DMF574" s="534"/>
      <c r="DMG574" s="316"/>
      <c r="DMH574" s="316"/>
      <c r="DMI574" s="471"/>
      <c r="DMJ574" s="472"/>
      <c r="DMK574" s="471"/>
      <c r="DML574" s="473"/>
      <c r="DMM574" s="313"/>
      <c r="DMN574" s="535"/>
      <c r="DMO574" s="536"/>
      <c r="DMP574" s="537"/>
      <c r="DMQ574" s="538"/>
      <c r="DMR574" s="539"/>
      <c r="DMS574" s="540"/>
      <c r="DMT574" s="209"/>
      <c r="DMU574" s="541"/>
      <c r="DMV574" s="541"/>
      <c r="DMW574" s="482"/>
      <c r="DMX574" s="173"/>
      <c r="DMY574" s="173"/>
      <c r="DMZ574" s="509"/>
      <c r="DNB574" s="148"/>
      <c r="DNC574" s="148"/>
      <c r="DND574" s="149"/>
      <c r="DNE574" s="150"/>
      <c r="DNG574" s="152"/>
      <c r="DNH574" s="542"/>
      <c r="DNI574" s="154"/>
      <c r="DNJ574" s="175"/>
      <c r="DNL574" s="156"/>
      <c r="DNM574" s="287"/>
      <c r="DNN574" s="488"/>
      <c r="DNO574" s="489"/>
      <c r="DNP574" s="488"/>
      <c r="DNQ574" s="300"/>
      <c r="DNR574" s="532"/>
      <c r="DNS574" s="533"/>
      <c r="DNT574" s="534"/>
      <c r="DNU574" s="316"/>
      <c r="DNV574" s="316"/>
      <c r="DNW574" s="471"/>
      <c r="DNX574" s="472"/>
      <c r="DNY574" s="471"/>
      <c r="DNZ574" s="473"/>
      <c r="DOA574" s="313"/>
      <c r="DOB574" s="535"/>
      <c r="DOC574" s="536"/>
      <c r="DOD574" s="537"/>
      <c r="DOE574" s="538"/>
      <c r="DOF574" s="539"/>
      <c r="DOG574" s="540"/>
      <c r="DOH574" s="209"/>
      <c r="DOI574" s="541"/>
      <c r="DOJ574" s="541"/>
      <c r="DOK574" s="482"/>
      <c r="DOL574" s="173"/>
      <c r="DOM574" s="173"/>
      <c r="DON574" s="509"/>
      <c r="DOP574" s="148"/>
      <c r="DOQ574" s="148"/>
      <c r="DOR574" s="149"/>
      <c r="DOS574" s="150"/>
      <c r="DOU574" s="152"/>
      <c r="DOV574" s="542"/>
      <c r="DOW574" s="154"/>
      <c r="DOX574" s="175"/>
      <c r="DOZ574" s="156"/>
      <c r="DPA574" s="287"/>
      <c r="DPB574" s="488"/>
      <c r="DPC574" s="489"/>
      <c r="DPD574" s="488"/>
      <c r="DPE574" s="300"/>
      <c r="DPF574" s="532"/>
      <c r="DPG574" s="533"/>
      <c r="DPH574" s="534"/>
      <c r="DPI574" s="316"/>
      <c r="DPJ574" s="316"/>
      <c r="DPK574" s="471"/>
      <c r="DPL574" s="472"/>
      <c r="DPM574" s="471"/>
      <c r="DPN574" s="473"/>
      <c r="DPO574" s="313"/>
      <c r="DPP574" s="535"/>
      <c r="DPQ574" s="536"/>
      <c r="DPR574" s="537"/>
      <c r="DPS574" s="538"/>
      <c r="DPT574" s="539"/>
      <c r="DPU574" s="540"/>
      <c r="DPV574" s="209"/>
      <c r="DPW574" s="541"/>
      <c r="DPX574" s="541"/>
      <c r="DPY574" s="482"/>
      <c r="DPZ574" s="173"/>
      <c r="DQA574" s="173"/>
      <c r="DQB574" s="509"/>
      <c r="DQD574" s="148"/>
      <c r="DQE574" s="148"/>
      <c r="DQF574" s="149"/>
      <c r="DQG574" s="150"/>
      <c r="DQI574" s="152"/>
      <c r="DQJ574" s="542"/>
      <c r="DQK574" s="154"/>
      <c r="DQL574" s="175"/>
      <c r="DQN574" s="156"/>
      <c r="DQO574" s="287"/>
      <c r="DQP574" s="488"/>
      <c r="DQQ574" s="489"/>
      <c r="DQR574" s="488"/>
      <c r="DQS574" s="300"/>
      <c r="DQT574" s="532"/>
      <c r="DQU574" s="533"/>
      <c r="DQV574" s="534"/>
      <c r="DQW574" s="316"/>
      <c r="DQX574" s="316"/>
      <c r="DQY574" s="471"/>
      <c r="DQZ574" s="472"/>
      <c r="DRA574" s="471"/>
      <c r="DRB574" s="473"/>
      <c r="DRC574" s="313"/>
      <c r="DRD574" s="535"/>
      <c r="DRE574" s="536"/>
      <c r="DRF574" s="537"/>
      <c r="DRG574" s="538"/>
      <c r="DRH574" s="539"/>
      <c r="DRI574" s="540"/>
      <c r="DRJ574" s="209"/>
      <c r="DRK574" s="541"/>
      <c r="DRL574" s="541"/>
      <c r="DRM574" s="482"/>
      <c r="DRN574" s="173"/>
      <c r="DRO574" s="173"/>
      <c r="DRP574" s="509"/>
      <c r="DRR574" s="148"/>
      <c r="DRS574" s="148"/>
      <c r="DRT574" s="149"/>
      <c r="DRU574" s="150"/>
      <c r="DRW574" s="152"/>
      <c r="DRX574" s="542"/>
      <c r="DRY574" s="154"/>
      <c r="DRZ574" s="175"/>
      <c r="DSB574" s="156"/>
      <c r="DSC574" s="287"/>
      <c r="DSD574" s="488"/>
      <c r="DSE574" s="489"/>
      <c r="DSF574" s="488"/>
      <c r="DSG574" s="300"/>
      <c r="DSH574" s="532"/>
      <c r="DSI574" s="533"/>
      <c r="DSJ574" s="534"/>
      <c r="DSK574" s="316"/>
      <c r="DSL574" s="316"/>
      <c r="DSM574" s="471"/>
      <c r="DSN574" s="472"/>
      <c r="DSO574" s="471"/>
      <c r="DSP574" s="473"/>
      <c r="DSQ574" s="313"/>
      <c r="DSR574" s="535"/>
      <c r="DSS574" s="536"/>
      <c r="DST574" s="537"/>
      <c r="DSU574" s="538"/>
      <c r="DSV574" s="539"/>
      <c r="DSW574" s="540"/>
      <c r="DSX574" s="209"/>
      <c r="DSY574" s="541"/>
      <c r="DSZ574" s="541"/>
      <c r="DTA574" s="482"/>
      <c r="DTB574" s="173"/>
      <c r="DTC574" s="173"/>
      <c r="DTD574" s="509"/>
      <c r="DTF574" s="148"/>
      <c r="DTG574" s="148"/>
      <c r="DTH574" s="149"/>
      <c r="DTI574" s="150"/>
      <c r="DTK574" s="152"/>
      <c r="DTL574" s="542"/>
      <c r="DTM574" s="154"/>
      <c r="DTN574" s="175"/>
      <c r="DTP574" s="156"/>
      <c r="DTQ574" s="287"/>
      <c r="DTR574" s="488"/>
      <c r="DTS574" s="489"/>
      <c r="DTT574" s="488"/>
      <c r="DTU574" s="300"/>
      <c r="DTV574" s="532"/>
      <c r="DTW574" s="533"/>
      <c r="DTX574" s="534"/>
      <c r="DTY574" s="316"/>
      <c r="DTZ574" s="316"/>
      <c r="DUA574" s="471"/>
      <c r="DUB574" s="472"/>
      <c r="DUC574" s="471"/>
      <c r="DUD574" s="473"/>
      <c r="DUE574" s="313"/>
      <c r="DUF574" s="535"/>
      <c r="DUG574" s="536"/>
      <c r="DUH574" s="537"/>
      <c r="DUI574" s="538"/>
      <c r="DUJ574" s="539"/>
      <c r="DUK574" s="540"/>
      <c r="DUL574" s="209"/>
      <c r="DUM574" s="541"/>
      <c r="DUN574" s="541"/>
      <c r="DUO574" s="482"/>
      <c r="DUP574" s="173"/>
      <c r="DUQ574" s="173"/>
      <c r="DUR574" s="509"/>
      <c r="DUT574" s="148"/>
      <c r="DUU574" s="148"/>
      <c r="DUV574" s="149"/>
      <c r="DUW574" s="150"/>
      <c r="DUY574" s="152"/>
      <c r="DUZ574" s="542"/>
      <c r="DVA574" s="154"/>
      <c r="DVB574" s="175"/>
      <c r="DVD574" s="156"/>
      <c r="DVE574" s="287"/>
      <c r="DVF574" s="488"/>
      <c r="DVG574" s="489"/>
      <c r="DVH574" s="488"/>
      <c r="DVI574" s="300"/>
      <c r="DVJ574" s="532"/>
      <c r="DVK574" s="533"/>
      <c r="DVL574" s="534"/>
      <c r="DVM574" s="316"/>
      <c r="DVN574" s="316"/>
      <c r="DVO574" s="471"/>
      <c r="DVP574" s="472"/>
      <c r="DVQ574" s="471"/>
      <c r="DVR574" s="473"/>
      <c r="DVS574" s="313"/>
      <c r="DVT574" s="535"/>
      <c r="DVU574" s="536"/>
      <c r="DVV574" s="537"/>
      <c r="DVW574" s="538"/>
      <c r="DVX574" s="539"/>
      <c r="DVY574" s="540"/>
      <c r="DVZ574" s="209"/>
      <c r="DWA574" s="541"/>
      <c r="DWB574" s="541"/>
      <c r="DWC574" s="482"/>
      <c r="DWD574" s="173"/>
      <c r="DWE574" s="173"/>
      <c r="DWF574" s="509"/>
      <c r="DWH574" s="148"/>
      <c r="DWI574" s="148"/>
      <c r="DWJ574" s="149"/>
      <c r="DWK574" s="150"/>
      <c r="DWM574" s="152"/>
      <c r="DWN574" s="542"/>
      <c r="DWO574" s="154"/>
      <c r="DWP574" s="175"/>
      <c r="DWR574" s="156"/>
      <c r="DWS574" s="287"/>
      <c r="DWT574" s="488"/>
      <c r="DWU574" s="489"/>
      <c r="DWV574" s="488"/>
      <c r="DWW574" s="300"/>
      <c r="DWX574" s="532"/>
      <c r="DWY574" s="533"/>
      <c r="DWZ574" s="534"/>
      <c r="DXA574" s="316"/>
      <c r="DXB574" s="316"/>
      <c r="DXC574" s="471"/>
      <c r="DXD574" s="472"/>
      <c r="DXE574" s="471"/>
      <c r="DXF574" s="473"/>
      <c r="DXG574" s="313"/>
      <c r="DXH574" s="535"/>
      <c r="DXI574" s="536"/>
      <c r="DXJ574" s="537"/>
      <c r="DXK574" s="538"/>
      <c r="DXL574" s="539"/>
      <c r="DXM574" s="540"/>
      <c r="DXN574" s="209"/>
      <c r="DXO574" s="541"/>
      <c r="DXP574" s="541"/>
      <c r="DXQ574" s="482"/>
      <c r="DXR574" s="173"/>
      <c r="DXS574" s="173"/>
      <c r="DXT574" s="509"/>
      <c r="DXV574" s="148"/>
      <c r="DXW574" s="148"/>
      <c r="DXX574" s="149"/>
      <c r="DXY574" s="150"/>
      <c r="DYA574" s="152"/>
      <c r="DYB574" s="542"/>
      <c r="DYC574" s="154"/>
      <c r="DYD574" s="175"/>
      <c r="DYF574" s="156"/>
      <c r="DYG574" s="287"/>
      <c r="DYH574" s="488"/>
      <c r="DYI574" s="489"/>
      <c r="DYJ574" s="488"/>
      <c r="DYK574" s="300"/>
      <c r="DYL574" s="532"/>
      <c r="DYM574" s="533"/>
      <c r="DYN574" s="534"/>
      <c r="DYO574" s="316"/>
      <c r="DYP574" s="316"/>
      <c r="DYQ574" s="471"/>
      <c r="DYR574" s="472"/>
      <c r="DYS574" s="471"/>
      <c r="DYT574" s="473"/>
      <c r="DYU574" s="313"/>
      <c r="DYV574" s="535"/>
      <c r="DYW574" s="536"/>
      <c r="DYX574" s="537"/>
      <c r="DYY574" s="538"/>
      <c r="DYZ574" s="539"/>
      <c r="DZA574" s="540"/>
      <c r="DZB574" s="209"/>
      <c r="DZC574" s="541"/>
      <c r="DZD574" s="541"/>
      <c r="DZE574" s="482"/>
      <c r="DZF574" s="173"/>
      <c r="DZG574" s="173"/>
      <c r="DZH574" s="509"/>
      <c r="DZJ574" s="148"/>
      <c r="DZK574" s="148"/>
      <c r="DZL574" s="149"/>
      <c r="DZM574" s="150"/>
      <c r="DZO574" s="152"/>
      <c r="DZP574" s="542"/>
      <c r="DZQ574" s="154"/>
      <c r="DZR574" s="175"/>
      <c r="DZT574" s="156"/>
      <c r="DZU574" s="287"/>
      <c r="DZV574" s="488"/>
      <c r="DZW574" s="489"/>
      <c r="DZX574" s="488"/>
      <c r="DZY574" s="300"/>
      <c r="DZZ574" s="532"/>
      <c r="EAA574" s="533"/>
      <c r="EAB574" s="534"/>
      <c r="EAC574" s="316"/>
      <c r="EAD574" s="316"/>
      <c r="EAE574" s="471"/>
      <c r="EAF574" s="472"/>
      <c r="EAG574" s="471"/>
      <c r="EAH574" s="473"/>
      <c r="EAI574" s="313"/>
      <c r="EAJ574" s="535"/>
      <c r="EAK574" s="536"/>
      <c r="EAL574" s="537"/>
      <c r="EAM574" s="538"/>
      <c r="EAN574" s="539"/>
      <c r="EAO574" s="540"/>
      <c r="EAP574" s="209"/>
      <c r="EAQ574" s="541"/>
      <c r="EAR574" s="541"/>
      <c r="EAS574" s="482"/>
      <c r="EAT574" s="173"/>
      <c r="EAU574" s="173"/>
      <c r="EAV574" s="509"/>
      <c r="EAX574" s="148"/>
      <c r="EAY574" s="148"/>
      <c r="EAZ574" s="149"/>
      <c r="EBA574" s="150"/>
      <c r="EBC574" s="152"/>
      <c r="EBD574" s="542"/>
      <c r="EBE574" s="154"/>
      <c r="EBF574" s="175"/>
      <c r="EBH574" s="156"/>
      <c r="EBI574" s="287"/>
      <c r="EBJ574" s="488"/>
      <c r="EBK574" s="489"/>
      <c r="EBL574" s="488"/>
      <c r="EBM574" s="300"/>
      <c r="EBN574" s="532"/>
      <c r="EBO574" s="533"/>
      <c r="EBP574" s="534"/>
      <c r="EBQ574" s="316"/>
      <c r="EBR574" s="316"/>
      <c r="EBS574" s="471"/>
      <c r="EBT574" s="472"/>
      <c r="EBU574" s="471"/>
      <c r="EBV574" s="473"/>
      <c r="EBW574" s="313"/>
      <c r="EBX574" s="535"/>
      <c r="EBY574" s="536"/>
      <c r="EBZ574" s="537"/>
      <c r="ECA574" s="538"/>
      <c r="ECB574" s="539"/>
      <c r="ECC574" s="540"/>
      <c r="ECD574" s="209"/>
      <c r="ECE574" s="541"/>
      <c r="ECF574" s="541"/>
      <c r="ECG574" s="482"/>
      <c r="ECH574" s="173"/>
      <c r="ECI574" s="173"/>
      <c r="ECJ574" s="509"/>
      <c r="ECL574" s="148"/>
      <c r="ECM574" s="148"/>
      <c r="ECN574" s="149"/>
      <c r="ECO574" s="150"/>
      <c r="ECQ574" s="152"/>
      <c r="ECR574" s="542"/>
      <c r="ECS574" s="154"/>
      <c r="ECT574" s="175"/>
      <c r="ECV574" s="156"/>
      <c r="ECW574" s="287"/>
      <c r="ECX574" s="488"/>
      <c r="ECY574" s="489"/>
      <c r="ECZ574" s="488"/>
      <c r="EDA574" s="300"/>
      <c r="EDB574" s="532"/>
      <c r="EDC574" s="533"/>
      <c r="EDD574" s="534"/>
      <c r="EDE574" s="316"/>
      <c r="EDF574" s="316"/>
      <c r="EDG574" s="471"/>
      <c r="EDH574" s="472"/>
      <c r="EDI574" s="471"/>
      <c r="EDJ574" s="473"/>
      <c r="EDK574" s="313"/>
      <c r="EDL574" s="535"/>
      <c r="EDM574" s="536"/>
      <c r="EDN574" s="537"/>
      <c r="EDO574" s="538"/>
      <c r="EDP574" s="539"/>
      <c r="EDQ574" s="540"/>
      <c r="EDR574" s="209"/>
      <c r="EDS574" s="541"/>
      <c r="EDT574" s="541"/>
      <c r="EDU574" s="482"/>
      <c r="EDV574" s="173"/>
      <c r="EDW574" s="173"/>
      <c r="EDX574" s="509"/>
      <c r="EDZ574" s="148"/>
      <c r="EEA574" s="148"/>
      <c r="EEB574" s="149"/>
      <c r="EEC574" s="150"/>
      <c r="EEE574" s="152"/>
      <c r="EEF574" s="542"/>
      <c r="EEG574" s="154"/>
      <c r="EEH574" s="175"/>
      <c r="EEJ574" s="156"/>
      <c r="EEK574" s="287"/>
      <c r="EEL574" s="488"/>
      <c r="EEM574" s="489"/>
      <c r="EEN574" s="488"/>
      <c r="EEO574" s="300"/>
      <c r="EEP574" s="532"/>
      <c r="EEQ574" s="533"/>
      <c r="EER574" s="534"/>
      <c r="EES574" s="316"/>
      <c r="EET574" s="316"/>
      <c r="EEU574" s="471"/>
      <c r="EEV574" s="472"/>
      <c r="EEW574" s="471"/>
      <c r="EEX574" s="473"/>
      <c r="EEY574" s="313"/>
      <c r="EEZ574" s="535"/>
      <c r="EFA574" s="536"/>
      <c r="EFB574" s="537"/>
      <c r="EFC574" s="538"/>
      <c r="EFD574" s="539"/>
      <c r="EFE574" s="540"/>
      <c r="EFF574" s="209"/>
      <c r="EFG574" s="541"/>
      <c r="EFH574" s="541"/>
      <c r="EFI574" s="482"/>
      <c r="EFJ574" s="173"/>
      <c r="EFK574" s="173"/>
      <c r="EFL574" s="509"/>
      <c r="EFN574" s="148"/>
      <c r="EFO574" s="148"/>
      <c r="EFP574" s="149"/>
      <c r="EFQ574" s="150"/>
      <c r="EFS574" s="152"/>
      <c r="EFT574" s="542"/>
      <c r="EFU574" s="154"/>
      <c r="EFV574" s="175"/>
      <c r="EFX574" s="156"/>
      <c r="EFY574" s="287"/>
      <c r="EFZ574" s="488"/>
      <c r="EGA574" s="489"/>
      <c r="EGB574" s="488"/>
      <c r="EGC574" s="300"/>
      <c r="EGD574" s="532"/>
      <c r="EGE574" s="533"/>
      <c r="EGF574" s="534"/>
      <c r="EGG574" s="316"/>
      <c r="EGH574" s="316"/>
      <c r="EGI574" s="471"/>
      <c r="EGJ574" s="472"/>
      <c r="EGK574" s="471"/>
      <c r="EGL574" s="473"/>
      <c r="EGM574" s="313"/>
      <c r="EGN574" s="535"/>
      <c r="EGO574" s="536"/>
      <c r="EGP574" s="537"/>
      <c r="EGQ574" s="538"/>
      <c r="EGR574" s="539"/>
      <c r="EGS574" s="540"/>
      <c r="EGT574" s="209"/>
      <c r="EGU574" s="541"/>
      <c r="EGV574" s="541"/>
      <c r="EGW574" s="482"/>
      <c r="EGX574" s="173"/>
      <c r="EGY574" s="173"/>
      <c r="EGZ574" s="509"/>
      <c r="EHB574" s="148"/>
      <c r="EHC574" s="148"/>
      <c r="EHD574" s="149"/>
      <c r="EHE574" s="150"/>
      <c r="EHG574" s="152"/>
      <c r="EHH574" s="542"/>
      <c r="EHI574" s="154"/>
      <c r="EHJ574" s="175"/>
      <c r="EHL574" s="156"/>
      <c r="EHM574" s="287"/>
      <c r="EHN574" s="488"/>
      <c r="EHO574" s="489"/>
      <c r="EHP574" s="488"/>
      <c r="EHQ574" s="300"/>
      <c r="EHR574" s="532"/>
      <c r="EHS574" s="533"/>
      <c r="EHT574" s="534"/>
      <c r="EHU574" s="316"/>
      <c r="EHV574" s="316"/>
      <c r="EHW574" s="471"/>
      <c r="EHX574" s="472"/>
      <c r="EHY574" s="471"/>
      <c r="EHZ574" s="473"/>
      <c r="EIA574" s="313"/>
      <c r="EIB574" s="535"/>
      <c r="EIC574" s="536"/>
      <c r="EID574" s="537"/>
      <c r="EIE574" s="538"/>
      <c r="EIF574" s="539"/>
      <c r="EIG574" s="540"/>
      <c r="EIH574" s="209"/>
      <c r="EII574" s="541"/>
      <c r="EIJ574" s="541"/>
      <c r="EIK574" s="482"/>
      <c r="EIL574" s="173"/>
      <c r="EIM574" s="173"/>
      <c r="EIN574" s="509"/>
      <c r="EIP574" s="148"/>
      <c r="EIQ574" s="148"/>
      <c r="EIR574" s="149"/>
      <c r="EIS574" s="150"/>
      <c r="EIU574" s="152"/>
      <c r="EIV574" s="542"/>
      <c r="EIW574" s="154"/>
      <c r="EIX574" s="175"/>
      <c r="EIZ574" s="156"/>
      <c r="EJA574" s="287"/>
      <c r="EJB574" s="488"/>
      <c r="EJC574" s="489"/>
      <c r="EJD574" s="488"/>
      <c r="EJE574" s="300"/>
      <c r="EJF574" s="532"/>
      <c r="EJG574" s="533"/>
      <c r="EJH574" s="534"/>
      <c r="EJI574" s="316"/>
      <c r="EJJ574" s="316"/>
      <c r="EJK574" s="471"/>
      <c r="EJL574" s="472"/>
      <c r="EJM574" s="471"/>
      <c r="EJN574" s="473"/>
      <c r="EJO574" s="313"/>
      <c r="EJP574" s="535"/>
      <c r="EJQ574" s="536"/>
      <c r="EJR574" s="537"/>
      <c r="EJS574" s="538"/>
      <c r="EJT574" s="539"/>
      <c r="EJU574" s="540"/>
      <c r="EJV574" s="209"/>
      <c r="EJW574" s="541"/>
      <c r="EJX574" s="541"/>
      <c r="EJY574" s="482"/>
      <c r="EJZ574" s="173"/>
      <c r="EKA574" s="173"/>
      <c r="EKB574" s="509"/>
      <c r="EKD574" s="148"/>
      <c r="EKE574" s="148"/>
      <c r="EKF574" s="149"/>
      <c r="EKG574" s="150"/>
      <c r="EKI574" s="152"/>
      <c r="EKJ574" s="542"/>
      <c r="EKK574" s="154"/>
      <c r="EKL574" s="175"/>
      <c r="EKN574" s="156"/>
      <c r="EKO574" s="287"/>
      <c r="EKP574" s="488"/>
      <c r="EKQ574" s="489"/>
      <c r="EKR574" s="488"/>
      <c r="EKS574" s="300"/>
      <c r="EKT574" s="532"/>
      <c r="EKU574" s="533"/>
      <c r="EKV574" s="534"/>
      <c r="EKW574" s="316"/>
      <c r="EKX574" s="316"/>
      <c r="EKY574" s="471"/>
      <c r="EKZ574" s="472"/>
      <c r="ELA574" s="471"/>
      <c r="ELB574" s="473"/>
      <c r="ELC574" s="313"/>
      <c r="ELD574" s="535"/>
      <c r="ELE574" s="536"/>
      <c r="ELF574" s="537"/>
      <c r="ELG574" s="538"/>
      <c r="ELH574" s="539"/>
      <c r="ELI574" s="540"/>
      <c r="ELJ574" s="209"/>
      <c r="ELK574" s="541"/>
      <c r="ELL574" s="541"/>
      <c r="ELM574" s="482"/>
      <c r="ELN574" s="173"/>
      <c r="ELO574" s="173"/>
      <c r="ELP574" s="509"/>
      <c r="ELR574" s="148"/>
      <c r="ELS574" s="148"/>
      <c r="ELT574" s="149"/>
      <c r="ELU574" s="150"/>
      <c r="ELW574" s="152"/>
      <c r="ELX574" s="542"/>
      <c r="ELY574" s="154"/>
      <c r="ELZ574" s="175"/>
      <c r="EMB574" s="156"/>
      <c r="EMC574" s="287"/>
      <c r="EMD574" s="488"/>
      <c r="EME574" s="489"/>
      <c r="EMF574" s="488"/>
      <c r="EMG574" s="300"/>
      <c r="EMH574" s="532"/>
      <c r="EMI574" s="533"/>
      <c r="EMJ574" s="534"/>
      <c r="EMK574" s="316"/>
      <c r="EML574" s="316"/>
      <c r="EMM574" s="471"/>
      <c r="EMN574" s="472"/>
      <c r="EMO574" s="471"/>
      <c r="EMP574" s="473"/>
      <c r="EMQ574" s="313"/>
      <c r="EMR574" s="535"/>
      <c r="EMS574" s="536"/>
      <c r="EMT574" s="537"/>
      <c r="EMU574" s="538"/>
      <c r="EMV574" s="539"/>
      <c r="EMW574" s="540"/>
      <c r="EMX574" s="209"/>
      <c r="EMY574" s="541"/>
      <c r="EMZ574" s="541"/>
      <c r="ENA574" s="482"/>
      <c r="ENB574" s="173"/>
      <c r="ENC574" s="173"/>
      <c r="END574" s="509"/>
      <c r="ENF574" s="148"/>
      <c r="ENG574" s="148"/>
      <c r="ENH574" s="149"/>
      <c r="ENI574" s="150"/>
      <c r="ENK574" s="152"/>
      <c r="ENL574" s="542"/>
      <c r="ENM574" s="154"/>
      <c r="ENN574" s="175"/>
      <c r="ENP574" s="156"/>
      <c r="ENQ574" s="287"/>
      <c r="ENR574" s="488"/>
      <c r="ENS574" s="489"/>
      <c r="ENT574" s="488"/>
      <c r="ENU574" s="300"/>
      <c r="ENV574" s="532"/>
      <c r="ENW574" s="533"/>
      <c r="ENX574" s="534"/>
      <c r="ENY574" s="316"/>
      <c r="ENZ574" s="316"/>
      <c r="EOA574" s="471"/>
      <c r="EOB574" s="472"/>
      <c r="EOC574" s="471"/>
      <c r="EOD574" s="473"/>
      <c r="EOE574" s="313"/>
      <c r="EOF574" s="535"/>
      <c r="EOG574" s="536"/>
      <c r="EOH574" s="537"/>
      <c r="EOI574" s="538"/>
      <c r="EOJ574" s="539"/>
      <c r="EOK574" s="540"/>
      <c r="EOL574" s="209"/>
      <c r="EOM574" s="541"/>
      <c r="EON574" s="541"/>
      <c r="EOO574" s="482"/>
      <c r="EOP574" s="173"/>
      <c r="EOQ574" s="173"/>
      <c r="EOR574" s="509"/>
      <c r="EOT574" s="148"/>
      <c r="EOU574" s="148"/>
      <c r="EOV574" s="149"/>
      <c r="EOW574" s="150"/>
      <c r="EOY574" s="152"/>
      <c r="EOZ574" s="542"/>
      <c r="EPA574" s="154"/>
      <c r="EPB574" s="175"/>
      <c r="EPD574" s="156"/>
      <c r="EPE574" s="287"/>
      <c r="EPF574" s="488"/>
      <c r="EPG574" s="489"/>
      <c r="EPH574" s="488"/>
      <c r="EPI574" s="300"/>
      <c r="EPJ574" s="532"/>
      <c r="EPK574" s="533"/>
      <c r="EPL574" s="534"/>
      <c r="EPM574" s="316"/>
      <c r="EPN574" s="316"/>
      <c r="EPO574" s="471"/>
      <c r="EPP574" s="472"/>
      <c r="EPQ574" s="471"/>
      <c r="EPR574" s="473"/>
      <c r="EPS574" s="313"/>
      <c r="EPT574" s="535"/>
      <c r="EPU574" s="536"/>
      <c r="EPV574" s="537"/>
      <c r="EPW574" s="538"/>
      <c r="EPX574" s="539"/>
      <c r="EPY574" s="540"/>
      <c r="EPZ574" s="209"/>
      <c r="EQA574" s="541"/>
      <c r="EQB574" s="541"/>
      <c r="EQC574" s="482"/>
      <c r="EQD574" s="173"/>
      <c r="EQE574" s="173"/>
      <c r="EQF574" s="509"/>
      <c r="EQH574" s="148"/>
      <c r="EQI574" s="148"/>
      <c r="EQJ574" s="149"/>
      <c r="EQK574" s="150"/>
      <c r="EQM574" s="152"/>
      <c r="EQN574" s="542"/>
      <c r="EQO574" s="154"/>
      <c r="EQP574" s="175"/>
      <c r="EQR574" s="156"/>
      <c r="EQS574" s="287"/>
      <c r="EQT574" s="488"/>
      <c r="EQU574" s="489"/>
      <c r="EQV574" s="488"/>
      <c r="EQW574" s="300"/>
      <c r="EQX574" s="532"/>
      <c r="EQY574" s="533"/>
      <c r="EQZ574" s="534"/>
      <c r="ERA574" s="316"/>
      <c r="ERB574" s="316"/>
      <c r="ERC574" s="471"/>
      <c r="ERD574" s="472"/>
      <c r="ERE574" s="471"/>
      <c r="ERF574" s="473"/>
      <c r="ERG574" s="313"/>
      <c r="ERH574" s="535"/>
      <c r="ERI574" s="536"/>
      <c r="ERJ574" s="537"/>
      <c r="ERK574" s="538"/>
      <c r="ERL574" s="539"/>
      <c r="ERM574" s="540"/>
      <c r="ERN574" s="209"/>
      <c r="ERO574" s="541"/>
      <c r="ERP574" s="541"/>
      <c r="ERQ574" s="482"/>
      <c r="ERR574" s="173"/>
      <c r="ERS574" s="173"/>
      <c r="ERT574" s="509"/>
      <c r="ERV574" s="148"/>
      <c r="ERW574" s="148"/>
      <c r="ERX574" s="149"/>
      <c r="ERY574" s="150"/>
      <c r="ESA574" s="152"/>
      <c r="ESB574" s="542"/>
      <c r="ESC574" s="154"/>
      <c r="ESD574" s="175"/>
      <c r="ESF574" s="156"/>
      <c r="ESG574" s="287"/>
      <c r="ESH574" s="488"/>
      <c r="ESI574" s="489"/>
      <c r="ESJ574" s="488"/>
      <c r="ESK574" s="300"/>
      <c r="ESL574" s="532"/>
      <c r="ESM574" s="533"/>
      <c r="ESN574" s="534"/>
      <c r="ESO574" s="316"/>
      <c r="ESP574" s="316"/>
      <c r="ESQ574" s="471"/>
      <c r="ESR574" s="472"/>
      <c r="ESS574" s="471"/>
      <c r="EST574" s="473"/>
      <c r="ESU574" s="313"/>
      <c r="ESV574" s="535"/>
      <c r="ESW574" s="536"/>
      <c r="ESX574" s="537"/>
      <c r="ESY574" s="538"/>
      <c r="ESZ574" s="539"/>
      <c r="ETA574" s="540"/>
      <c r="ETB574" s="209"/>
      <c r="ETC574" s="541"/>
      <c r="ETD574" s="541"/>
      <c r="ETE574" s="482"/>
      <c r="ETF574" s="173"/>
      <c r="ETG574" s="173"/>
      <c r="ETH574" s="509"/>
      <c r="ETJ574" s="148"/>
      <c r="ETK574" s="148"/>
      <c r="ETL574" s="149"/>
      <c r="ETM574" s="150"/>
      <c r="ETO574" s="152"/>
      <c r="ETP574" s="542"/>
      <c r="ETQ574" s="154"/>
      <c r="ETR574" s="175"/>
      <c r="ETT574" s="156"/>
      <c r="ETU574" s="287"/>
      <c r="ETV574" s="488"/>
      <c r="ETW574" s="489"/>
      <c r="ETX574" s="488"/>
      <c r="ETY574" s="300"/>
      <c r="ETZ574" s="532"/>
      <c r="EUA574" s="533"/>
      <c r="EUB574" s="534"/>
      <c r="EUC574" s="316"/>
      <c r="EUD574" s="316"/>
      <c r="EUE574" s="471"/>
      <c r="EUF574" s="472"/>
      <c r="EUG574" s="471"/>
      <c r="EUH574" s="473"/>
      <c r="EUI574" s="313"/>
      <c r="EUJ574" s="535"/>
      <c r="EUK574" s="536"/>
      <c r="EUL574" s="537"/>
      <c r="EUM574" s="538"/>
      <c r="EUN574" s="539"/>
      <c r="EUO574" s="540"/>
      <c r="EUP574" s="209"/>
      <c r="EUQ574" s="541"/>
      <c r="EUR574" s="541"/>
      <c r="EUS574" s="482"/>
      <c r="EUT574" s="173"/>
      <c r="EUU574" s="173"/>
      <c r="EUV574" s="509"/>
      <c r="EUX574" s="148"/>
      <c r="EUY574" s="148"/>
      <c r="EUZ574" s="149"/>
      <c r="EVA574" s="150"/>
      <c r="EVC574" s="152"/>
      <c r="EVD574" s="542"/>
      <c r="EVE574" s="154"/>
      <c r="EVF574" s="175"/>
      <c r="EVH574" s="156"/>
      <c r="EVI574" s="287"/>
      <c r="EVJ574" s="488"/>
      <c r="EVK574" s="489"/>
      <c r="EVL574" s="488"/>
      <c r="EVM574" s="300"/>
      <c r="EVN574" s="532"/>
      <c r="EVO574" s="533"/>
      <c r="EVP574" s="534"/>
      <c r="EVQ574" s="316"/>
      <c r="EVR574" s="316"/>
      <c r="EVS574" s="471"/>
      <c r="EVT574" s="472"/>
      <c r="EVU574" s="471"/>
      <c r="EVV574" s="473"/>
      <c r="EVW574" s="313"/>
      <c r="EVX574" s="535"/>
      <c r="EVY574" s="536"/>
      <c r="EVZ574" s="537"/>
      <c r="EWA574" s="538"/>
      <c r="EWB574" s="539"/>
      <c r="EWC574" s="540"/>
      <c r="EWD574" s="209"/>
      <c r="EWE574" s="541"/>
      <c r="EWF574" s="541"/>
      <c r="EWG574" s="482"/>
      <c r="EWH574" s="173"/>
      <c r="EWI574" s="173"/>
      <c r="EWJ574" s="509"/>
      <c r="EWL574" s="148"/>
      <c r="EWM574" s="148"/>
      <c r="EWN574" s="149"/>
      <c r="EWO574" s="150"/>
      <c r="EWQ574" s="152"/>
      <c r="EWR574" s="542"/>
      <c r="EWS574" s="154"/>
      <c r="EWT574" s="175"/>
      <c r="EWV574" s="156"/>
      <c r="EWW574" s="287"/>
      <c r="EWX574" s="488"/>
      <c r="EWY574" s="489"/>
      <c r="EWZ574" s="488"/>
      <c r="EXA574" s="300"/>
      <c r="EXB574" s="532"/>
      <c r="EXC574" s="533"/>
      <c r="EXD574" s="534"/>
      <c r="EXE574" s="316"/>
      <c r="EXF574" s="316"/>
      <c r="EXG574" s="471"/>
      <c r="EXH574" s="472"/>
      <c r="EXI574" s="471"/>
      <c r="EXJ574" s="473"/>
      <c r="EXK574" s="313"/>
      <c r="EXL574" s="535"/>
      <c r="EXM574" s="536"/>
      <c r="EXN574" s="537"/>
      <c r="EXO574" s="538"/>
      <c r="EXP574" s="539"/>
      <c r="EXQ574" s="540"/>
      <c r="EXR574" s="209"/>
      <c r="EXS574" s="541"/>
      <c r="EXT574" s="541"/>
      <c r="EXU574" s="482"/>
      <c r="EXV574" s="173"/>
      <c r="EXW574" s="173"/>
      <c r="EXX574" s="509"/>
      <c r="EXZ574" s="148"/>
      <c r="EYA574" s="148"/>
      <c r="EYB574" s="149"/>
      <c r="EYC574" s="150"/>
      <c r="EYE574" s="152"/>
      <c r="EYF574" s="542"/>
      <c r="EYG574" s="154"/>
      <c r="EYH574" s="175"/>
      <c r="EYJ574" s="156"/>
      <c r="EYK574" s="287"/>
      <c r="EYL574" s="488"/>
      <c r="EYM574" s="489"/>
      <c r="EYN574" s="488"/>
      <c r="EYO574" s="300"/>
      <c r="EYP574" s="532"/>
      <c r="EYQ574" s="533"/>
      <c r="EYR574" s="534"/>
      <c r="EYS574" s="316"/>
      <c r="EYT574" s="316"/>
      <c r="EYU574" s="471"/>
      <c r="EYV574" s="472"/>
      <c r="EYW574" s="471"/>
      <c r="EYX574" s="473"/>
      <c r="EYY574" s="313"/>
      <c r="EYZ574" s="535"/>
      <c r="EZA574" s="536"/>
      <c r="EZB574" s="537"/>
      <c r="EZC574" s="538"/>
      <c r="EZD574" s="539"/>
      <c r="EZE574" s="540"/>
      <c r="EZF574" s="209"/>
      <c r="EZG574" s="541"/>
      <c r="EZH574" s="541"/>
      <c r="EZI574" s="482"/>
      <c r="EZJ574" s="173"/>
      <c r="EZK574" s="173"/>
      <c r="EZL574" s="509"/>
      <c r="EZN574" s="148"/>
      <c r="EZO574" s="148"/>
      <c r="EZP574" s="149"/>
      <c r="EZQ574" s="150"/>
      <c r="EZS574" s="152"/>
      <c r="EZT574" s="542"/>
      <c r="EZU574" s="154"/>
      <c r="EZV574" s="175"/>
      <c r="EZX574" s="156"/>
      <c r="EZY574" s="287"/>
      <c r="EZZ574" s="488"/>
      <c r="FAA574" s="489"/>
      <c r="FAB574" s="488"/>
      <c r="FAC574" s="300"/>
      <c r="FAD574" s="532"/>
      <c r="FAE574" s="533"/>
      <c r="FAF574" s="534"/>
      <c r="FAG574" s="316"/>
      <c r="FAH574" s="316"/>
      <c r="FAI574" s="471"/>
      <c r="FAJ574" s="472"/>
      <c r="FAK574" s="471"/>
      <c r="FAL574" s="473"/>
      <c r="FAM574" s="313"/>
      <c r="FAN574" s="535"/>
      <c r="FAO574" s="536"/>
      <c r="FAP574" s="537"/>
      <c r="FAQ574" s="538"/>
      <c r="FAR574" s="539"/>
      <c r="FAS574" s="540"/>
      <c r="FAT574" s="209"/>
      <c r="FAU574" s="541"/>
      <c r="FAV574" s="541"/>
      <c r="FAW574" s="482"/>
      <c r="FAX574" s="173"/>
      <c r="FAY574" s="173"/>
      <c r="FAZ574" s="509"/>
      <c r="FBB574" s="148"/>
      <c r="FBC574" s="148"/>
      <c r="FBD574" s="149"/>
      <c r="FBE574" s="150"/>
      <c r="FBG574" s="152"/>
      <c r="FBH574" s="542"/>
      <c r="FBI574" s="154"/>
      <c r="FBJ574" s="175"/>
      <c r="FBL574" s="156"/>
      <c r="FBM574" s="287"/>
      <c r="FBN574" s="488"/>
      <c r="FBO574" s="489"/>
      <c r="FBP574" s="488"/>
      <c r="FBQ574" s="300"/>
      <c r="FBR574" s="532"/>
      <c r="FBS574" s="533"/>
      <c r="FBT574" s="534"/>
      <c r="FBU574" s="316"/>
      <c r="FBV574" s="316"/>
      <c r="FBW574" s="471"/>
      <c r="FBX574" s="472"/>
      <c r="FBY574" s="471"/>
      <c r="FBZ574" s="473"/>
      <c r="FCA574" s="313"/>
      <c r="FCB574" s="535"/>
      <c r="FCC574" s="536"/>
      <c r="FCD574" s="537"/>
      <c r="FCE574" s="538"/>
      <c r="FCF574" s="539"/>
      <c r="FCG574" s="540"/>
      <c r="FCH574" s="209"/>
      <c r="FCI574" s="541"/>
      <c r="FCJ574" s="541"/>
      <c r="FCK574" s="482"/>
      <c r="FCL574" s="173"/>
      <c r="FCM574" s="173"/>
      <c r="FCN574" s="509"/>
      <c r="FCP574" s="148"/>
      <c r="FCQ574" s="148"/>
      <c r="FCR574" s="149"/>
      <c r="FCS574" s="150"/>
      <c r="FCU574" s="152"/>
      <c r="FCV574" s="542"/>
      <c r="FCW574" s="154"/>
      <c r="FCX574" s="175"/>
      <c r="FCZ574" s="156"/>
      <c r="FDA574" s="287"/>
      <c r="FDB574" s="488"/>
      <c r="FDC574" s="489"/>
      <c r="FDD574" s="488"/>
      <c r="FDE574" s="300"/>
      <c r="FDF574" s="532"/>
      <c r="FDG574" s="533"/>
      <c r="FDH574" s="534"/>
      <c r="FDI574" s="316"/>
      <c r="FDJ574" s="316"/>
      <c r="FDK574" s="471"/>
      <c r="FDL574" s="472"/>
      <c r="FDM574" s="471"/>
      <c r="FDN574" s="473"/>
      <c r="FDO574" s="313"/>
      <c r="FDP574" s="535"/>
      <c r="FDQ574" s="536"/>
      <c r="FDR574" s="537"/>
      <c r="FDS574" s="538"/>
      <c r="FDT574" s="539"/>
      <c r="FDU574" s="540"/>
      <c r="FDV574" s="209"/>
      <c r="FDW574" s="541"/>
      <c r="FDX574" s="541"/>
      <c r="FDY574" s="482"/>
      <c r="FDZ574" s="173"/>
      <c r="FEA574" s="173"/>
      <c r="FEB574" s="509"/>
      <c r="FED574" s="148"/>
      <c r="FEE574" s="148"/>
      <c r="FEF574" s="149"/>
      <c r="FEG574" s="150"/>
      <c r="FEI574" s="152"/>
      <c r="FEJ574" s="542"/>
      <c r="FEK574" s="154"/>
      <c r="FEL574" s="175"/>
      <c r="FEN574" s="156"/>
      <c r="FEO574" s="287"/>
      <c r="FEP574" s="488"/>
      <c r="FEQ574" s="489"/>
      <c r="FER574" s="488"/>
      <c r="FES574" s="300"/>
      <c r="FET574" s="532"/>
      <c r="FEU574" s="533"/>
      <c r="FEV574" s="534"/>
      <c r="FEW574" s="316"/>
      <c r="FEX574" s="316"/>
      <c r="FEY574" s="471"/>
      <c r="FEZ574" s="472"/>
      <c r="FFA574" s="471"/>
      <c r="FFB574" s="473"/>
      <c r="FFC574" s="313"/>
      <c r="FFD574" s="535"/>
      <c r="FFE574" s="536"/>
      <c r="FFF574" s="537"/>
      <c r="FFG574" s="538"/>
      <c r="FFH574" s="539"/>
      <c r="FFI574" s="540"/>
      <c r="FFJ574" s="209"/>
      <c r="FFK574" s="541"/>
      <c r="FFL574" s="541"/>
      <c r="FFM574" s="482"/>
      <c r="FFN574" s="173"/>
      <c r="FFO574" s="173"/>
      <c r="FFP574" s="509"/>
      <c r="FFR574" s="148"/>
      <c r="FFS574" s="148"/>
      <c r="FFT574" s="149"/>
      <c r="FFU574" s="150"/>
      <c r="FFW574" s="152"/>
      <c r="FFX574" s="542"/>
      <c r="FFY574" s="154"/>
      <c r="FFZ574" s="175"/>
      <c r="FGB574" s="156"/>
      <c r="FGC574" s="287"/>
      <c r="FGD574" s="488"/>
      <c r="FGE574" s="489"/>
      <c r="FGF574" s="488"/>
      <c r="FGG574" s="300"/>
      <c r="FGH574" s="532"/>
      <c r="FGI574" s="533"/>
      <c r="FGJ574" s="534"/>
      <c r="FGK574" s="316"/>
      <c r="FGL574" s="316"/>
      <c r="FGM574" s="471"/>
      <c r="FGN574" s="472"/>
      <c r="FGO574" s="471"/>
      <c r="FGP574" s="473"/>
      <c r="FGQ574" s="313"/>
      <c r="FGR574" s="535"/>
      <c r="FGS574" s="536"/>
      <c r="FGT574" s="537"/>
      <c r="FGU574" s="538"/>
      <c r="FGV574" s="539"/>
      <c r="FGW574" s="540"/>
      <c r="FGX574" s="209"/>
      <c r="FGY574" s="541"/>
      <c r="FGZ574" s="541"/>
      <c r="FHA574" s="482"/>
      <c r="FHB574" s="173"/>
      <c r="FHC574" s="173"/>
      <c r="FHD574" s="509"/>
      <c r="FHF574" s="148"/>
      <c r="FHG574" s="148"/>
      <c r="FHH574" s="149"/>
      <c r="FHI574" s="150"/>
      <c r="FHK574" s="152"/>
      <c r="FHL574" s="542"/>
      <c r="FHM574" s="154"/>
      <c r="FHN574" s="175"/>
      <c r="FHP574" s="156"/>
      <c r="FHQ574" s="287"/>
      <c r="FHR574" s="488"/>
      <c r="FHS574" s="489"/>
      <c r="FHT574" s="488"/>
      <c r="FHU574" s="300"/>
      <c r="FHV574" s="532"/>
      <c r="FHW574" s="533"/>
      <c r="FHX574" s="534"/>
      <c r="FHY574" s="316"/>
      <c r="FHZ574" s="316"/>
      <c r="FIA574" s="471"/>
      <c r="FIB574" s="472"/>
      <c r="FIC574" s="471"/>
      <c r="FID574" s="473"/>
      <c r="FIE574" s="313"/>
      <c r="FIF574" s="535"/>
      <c r="FIG574" s="536"/>
      <c r="FIH574" s="537"/>
      <c r="FII574" s="538"/>
      <c r="FIJ574" s="539"/>
      <c r="FIK574" s="540"/>
      <c r="FIL574" s="209"/>
      <c r="FIM574" s="541"/>
      <c r="FIN574" s="541"/>
      <c r="FIO574" s="482"/>
      <c r="FIP574" s="173"/>
      <c r="FIQ574" s="173"/>
      <c r="FIR574" s="509"/>
      <c r="FIT574" s="148"/>
      <c r="FIU574" s="148"/>
      <c r="FIV574" s="149"/>
      <c r="FIW574" s="150"/>
      <c r="FIY574" s="152"/>
      <c r="FIZ574" s="542"/>
      <c r="FJA574" s="154"/>
      <c r="FJB574" s="175"/>
      <c r="FJD574" s="156"/>
      <c r="FJE574" s="287"/>
      <c r="FJF574" s="488"/>
      <c r="FJG574" s="489"/>
      <c r="FJH574" s="488"/>
      <c r="FJI574" s="300"/>
      <c r="FJJ574" s="532"/>
      <c r="FJK574" s="533"/>
      <c r="FJL574" s="534"/>
      <c r="FJM574" s="316"/>
      <c r="FJN574" s="316"/>
      <c r="FJO574" s="471"/>
      <c r="FJP574" s="472"/>
      <c r="FJQ574" s="471"/>
      <c r="FJR574" s="473"/>
      <c r="FJS574" s="313"/>
      <c r="FJT574" s="535"/>
      <c r="FJU574" s="536"/>
      <c r="FJV574" s="537"/>
      <c r="FJW574" s="538"/>
      <c r="FJX574" s="539"/>
      <c r="FJY574" s="540"/>
      <c r="FJZ574" s="209"/>
      <c r="FKA574" s="541"/>
      <c r="FKB574" s="541"/>
      <c r="FKC574" s="482"/>
      <c r="FKD574" s="173"/>
      <c r="FKE574" s="173"/>
      <c r="FKF574" s="509"/>
      <c r="FKH574" s="148"/>
      <c r="FKI574" s="148"/>
      <c r="FKJ574" s="149"/>
      <c r="FKK574" s="150"/>
      <c r="FKM574" s="152"/>
      <c r="FKN574" s="542"/>
      <c r="FKO574" s="154"/>
      <c r="FKP574" s="175"/>
      <c r="FKR574" s="156"/>
      <c r="FKS574" s="287"/>
      <c r="FKT574" s="488"/>
      <c r="FKU574" s="489"/>
      <c r="FKV574" s="488"/>
      <c r="FKW574" s="300"/>
      <c r="FKX574" s="532"/>
      <c r="FKY574" s="533"/>
      <c r="FKZ574" s="534"/>
      <c r="FLA574" s="316"/>
      <c r="FLB574" s="316"/>
      <c r="FLC574" s="471"/>
      <c r="FLD574" s="472"/>
      <c r="FLE574" s="471"/>
      <c r="FLF574" s="473"/>
      <c r="FLG574" s="313"/>
      <c r="FLH574" s="535"/>
      <c r="FLI574" s="536"/>
      <c r="FLJ574" s="537"/>
      <c r="FLK574" s="538"/>
      <c r="FLL574" s="539"/>
      <c r="FLM574" s="540"/>
      <c r="FLN574" s="209"/>
      <c r="FLO574" s="541"/>
      <c r="FLP574" s="541"/>
      <c r="FLQ574" s="482"/>
      <c r="FLR574" s="173"/>
      <c r="FLS574" s="173"/>
      <c r="FLT574" s="509"/>
      <c r="FLV574" s="148"/>
      <c r="FLW574" s="148"/>
      <c r="FLX574" s="149"/>
      <c r="FLY574" s="150"/>
      <c r="FMA574" s="152"/>
      <c r="FMB574" s="542"/>
      <c r="FMC574" s="154"/>
      <c r="FMD574" s="175"/>
      <c r="FMF574" s="156"/>
      <c r="FMG574" s="287"/>
      <c r="FMH574" s="488"/>
      <c r="FMI574" s="489"/>
      <c r="FMJ574" s="488"/>
      <c r="FMK574" s="300"/>
      <c r="FML574" s="532"/>
      <c r="FMM574" s="533"/>
      <c r="FMN574" s="534"/>
      <c r="FMO574" s="316"/>
      <c r="FMP574" s="316"/>
      <c r="FMQ574" s="471"/>
      <c r="FMR574" s="472"/>
      <c r="FMS574" s="471"/>
      <c r="FMT574" s="473"/>
      <c r="FMU574" s="313"/>
      <c r="FMV574" s="535"/>
      <c r="FMW574" s="536"/>
      <c r="FMX574" s="537"/>
      <c r="FMY574" s="538"/>
      <c r="FMZ574" s="539"/>
      <c r="FNA574" s="540"/>
      <c r="FNB574" s="209"/>
      <c r="FNC574" s="541"/>
      <c r="FND574" s="541"/>
      <c r="FNE574" s="482"/>
      <c r="FNF574" s="173"/>
      <c r="FNG574" s="173"/>
      <c r="FNH574" s="509"/>
      <c r="FNJ574" s="148"/>
      <c r="FNK574" s="148"/>
      <c r="FNL574" s="149"/>
      <c r="FNM574" s="150"/>
      <c r="FNO574" s="152"/>
      <c r="FNP574" s="542"/>
      <c r="FNQ574" s="154"/>
      <c r="FNR574" s="175"/>
      <c r="FNT574" s="156"/>
      <c r="FNU574" s="287"/>
      <c r="FNV574" s="488"/>
      <c r="FNW574" s="489"/>
      <c r="FNX574" s="488"/>
      <c r="FNY574" s="300"/>
      <c r="FNZ574" s="532"/>
      <c r="FOA574" s="533"/>
      <c r="FOB574" s="534"/>
      <c r="FOC574" s="316"/>
      <c r="FOD574" s="316"/>
      <c r="FOE574" s="471"/>
      <c r="FOF574" s="472"/>
      <c r="FOG574" s="471"/>
      <c r="FOH574" s="473"/>
      <c r="FOI574" s="313"/>
      <c r="FOJ574" s="535"/>
      <c r="FOK574" s="536"/>
      <c r="FOL574" s="537"/>
      <c r="FOM574" s="538"/>
      <c r="FON574" s="539"/>
      <c r="FOO574" s="540"/>
      <c r="FOP574" s="209"/>
      <c r="FOQ574" s="541"/>
      <c r="FOR574" s="541"/>
      <c r="FOS574" s="482"/>
      <c r="FOT574" s="173"/>
      <c r="FOU574" s="173"/>
      <c r="FOV574" s="509"/>
      <c r="FOX574" s="148"/>
      <c r="FOY574" s="148"/>
      <c r="FOZ574" s="149"/>
      <c r="FPA574" s="150"/>
      <c r="FPC574" s="152"/>
      <c r="FPD574" s="542"/>
      <c r="FPE574" s="154"/>
      <c r="FPF574" s="175"/>
      <c r="FPH574" s="156"/>
      <c r="FPI574" s="287"/>
      <c r="FPJ574" s="488"/>
      <c r="FPK574" s="489"/>
      <c r="FPL574" s="488"/>
      <c r="FPM574" s="300"/>
      <c r="FPN574" s="532"/>
      <c r="FPO574" s="533"/>
      <c r="FPP574" s="534"/>
      <c r="FPQ574" s="316"/>
      <c r="FPR574" s="316"/>
      <c r="FPS574" s="471"/>
      <c r="FPT574" s="472"/>
      <c r="FPU574" s="471"/>
      <c r="FPV574" s="473"/>
      <c r="FPW574" s="313"/>
      <c r="FPX574" s="535"/>
      <c r="FPY574" s="536"/>
      <c r="FPZ574" s="537"/>
      <c r="FQA574" s="538"/>
      <c r="FQB574" s="539"/>
      <c r="FQC574" s="540"/>
      <c r="FQD574" s="209"/>
      <c r="FQE574" s="541"/>
      <c r="FQF574" s="541"/>
      <c r="FQG574" s="482"/>
      <c r="FQH574" s="173"/>
      <c r="FQI574" s="173"/>
      <c r="FQJ574" s="509"/>
      <c r="FQL574" s="148"/>
      <c r="FQM574" s="148"/>
      <c r="FQN574" s="149"/>
      <c r="FQO574" s="150"/>
      <c r="FQQ574" s="152"/>
      <c r="FQR574" s="542"/>
      <c r="FQS574" s="154"/>
      <c r="FQT574" s="175"/>
      <c r="FQV574" s="156"/>
      <c r="FQW574" s="287"/>
      <c r="FQX574" s="488"/>
      <c r="FQY574" s="489"/>
      <c r="FQZ574" s="488"/>
      <c r="FRA574" s="300"/>
      <c r="FRB574" s="532"/>
      <c r="FRC574" s="533"/>
      <c r="FRD574" s="534"/>
      <c r="FRE574" s="316"/>
      <c r="FRF574" s="316"/>
      <c r="FRG574" s="471"/>
      <c r="FRH574" s="472"/>
      <c r="FRI574" s="471"/>
      <c r="FRJ574" s="473"/>
      <c r="FRK574" s="313"/>
      <c r="FRL574" s="535"/>
      <c r="FRM574" s="536"/>
      <c r="FRN574" s="537"/>
      <c r="FRO574" s="538"/>
      <c r="FRP574" s="539"/>
      <c r="FRQ574" s="540"/>
      <c r="FRR574" s="209"/>
      <c r="FRS574" s="541"/>
      <c r="FRT574" s="541"/>
      <c r="FRU574" s="482"/>
      <c r="FRV574" s="173"/>
      <c r="FRW574" s="173"/>
      <c r="FRX574" s="509"/>
      <c r="FRZ574" s="148"/>
      <c r="FSA574" s="148"/>
      <c r="FSB574" s="149"/>
      <c r="FSC574" s="150"/>
      <c r="FSE574" s="152"/>
      <c r="FSF574" s="542"/>
      <c r="FSG574" s="154"/>
      <c r="FSH574" s="175"/>
      <c r="FSJ574" s="156"/>
      <c r="FSK574" s="287"/>
      <c r="FSL574" s="488"/>
      <c r="FSM574" s="489"/>
      <c r="FSN574" s="488"/>
      <c r="FSO574" s="300"/>
      <c r="FSP574" s="532"/>
      <c r="FSQ574" s="533"/>
      <c r="FSR574" s="534"/>
      <c r="FSS574" s="316"/>
      <c r="FST574" s="316"/>
      <c r="FSU574" s="471"/>
      <c r="FSV574" s="472"/>
      <c r="FSW574" s="471"/>
      <c r="FSX574" s="473"/>
      <c r="FSY574" s="313"/>
      <c r="FSZ574" s="535"/>
      <c r="FTA574" s="536"/>
      <c r="FTB574" s="537"/>
      <c r="FTC574" s="538"/>
      <c r="FTD574" s="539"/>
      <c r="FTE574" s="540"/>
      <c r="FTF574" s="209"/>
      <c r="FTG574" s="541"/>
      <c r="FTH574" s="541"/>
      <c r="FTI574" s="482"/>
      <c r="FTJ574" s="173"/>
      <c r="FTK574" s="173"/>
      <c r="FTL574" s="509"/>
      <c r="FTN574" s="148"/>
      <c r="FTO574" s="148"/>
      <c r="FTP574" s="149"/>
      <c r="FTQ574" s="150"/>
      <c r="FTS574" s="152"/>
      <c r="FTT574" s="542"/>
      <c r="FTU574" s="154"/>
      <c r="FTV574" s="175"/>
      <c r="FTX574" s="156"/>
      <c r="FTY574" s="287"/>
      <c r="FTZ574" s="488"/>
      <c r="FUA574" s="489"/>
      <c r="FUB574" s="488"/>
      <c r="FUC574" s="300"/>
      <c r="FUD574" s="532"/>
      <c r="FUE574" s="533"/>
      <c r="FUF574" s="534"/>
      <c r="FUG574" s="316"/>
      <c r="FUH574" s="316"/>
      <c r="FUI574" s="471"/>
      <c r="FUJ574" s="472"/>
      <c r="FUK574" s="471"/>
      <c r="FUL574" s="473"/>
      <c r="FUM574" s="313"/>
      <c r="FUN574" s="535"/>
      <c r="FUO574" s="536"/>
      <c r="FUP574" s="537"/>
      <c r="FUQ574" s="538"/>
      <c r="FUR574" s="539"/>
      <c r="FUS574" s="540"/>
      <c r="FUT574" s="209"/>
      <c r="FUU574" s="541"/>
      <c r="FUV574" s="541"/>
      <c r="FUW574" s="482"/>
      <c r="FUX574" s="173"/>
      <c r="FUY574" s="173"/>
      <c r="FUZ574" s="509"/>
      <c r="FVB574" s="148"/>
      <c r="FVC574" s="148"/>
      <c r="FVD574" s="149"/>
      <c r="FVE574" s="150"/>
      <c r="FVG574" s="152"/>
      <c r="FVH574" s="542"/>
      <c r="FVI574" s="154"/>
      <c r="FVJ574" s="175"/>
      <c r="FVL574" s="156"/>
      <c r="FVM574" s="287"/>
      <c r="FVN574" s="488"/>
      <c r="FVO574" s="489"/>
      <c r="FVP574" s="488"/>
      <c r="FVQ574" s="300"/>
      <c r="FVR574" s="532"/>
      <c r="FVS574" s="533"/>
      <c r="FVT574" s="534"/>
      <c r="FVU574" s="316"/>
      <c r="FVV574" s="316"/>
      <c r="FVW574" s="471"/>
      <c r="FVX574" s="472"/>
      <c r="FVY574" s="471"/>
      <c r="FVZ574" s="473"/>
      <c r="FWA574" s="313"/>
      <c r="FWB574" s="535"/>
      <c r="FWC574" s="536"/>
      <c r="FWD574" s="537"/>
      <c r="FWE574" s="538"/>
      <c r="FWF574" s="539"/>
      <c r="FWG574" s="540"/>
      <c r="FWH574" s="209"/>
      <c r="FWI574" s="541"/>
      <c r="FWJ574" s="541"/>
      <c r="FWK574" s="482"/>
      <c r="FWL574" s="173"/>
      <c r="FWM574" s="173"/>
      <c r="FWN574" s="509"/>
      <c r="FWP574" s="148"/>
      <c r="FWQ574" s="148"/>
      <c r="FWR574" s="149"/>
      <c r="FWS574" s="150"/>
      <c r="FWU574" s="152"/>
      <c r="FWV574" s="542"/>
      <c r="FWW574" s="154"/>
      <c r="FWX574" s="175"/>
      <c r="FWZ574" s="156"/>
      <c r="FXA574" s="287"/>
      <c r="FXB574" s="488"/>
      <c r="FXC574" s="489"/>
      <c r="FXD574" s="488"/>
      <c r="FXE574" s="300"/>
      <c r="FXF574" s="532"/>
      <c r="FXG574" s="533"/>
      <c r="FXH574" s="534"/>
      <c r="FXI574" s="316"/>
      <c r="FXJ574" s="316"/>
      <c r="FXK574" s="471"/>
      <c r="FXL574" s="472"/>
      <c r="FXM574" s="471"/>
      <c r="FXN574" s="473"/>
      <c r="FXO574" s="313"/>
      <c r="FXP574" s="535"/>
      <c r="FXQ574" s="536"/>
      <c r="FXR574" s="537"/>
      <c r="FXS574" s="538"/>
      <c r="FXT574" s="539"/>
      <c r="FXU574" s="540"/>
      <c r="FXV574" s="209"/>
      <c r="FXW574" s="541"/>
      <c r="FXX574" s="541"/>
      <c r="FXY574" s="482"/>
      <c r="FXZ574" s="173"/>
      <c r="FYA574" s="173"/>
      <c r="FYB574" s="509"/>
      <c r="FYD574" s="148"/>
      <c r="FYE574" s="148"/>
      <c r="FYF574" s="149"/>
      <c r="FYG574" s="150"/>
      <c r="FYI574" s="152"/>
      <c r="FYJ574" s="542"/>
      <c r="FYK574" s="154"/>
      <c r="FYL574" s="175"/>
      <c r="FYN574" s="156"/>
      <c r="FYO574" s="287"/>
      <c r="FYP574" s="488"/>
      <c r="FYQ574" s="489"/>
      <c r="FYR574" s="488"/>
      <c r="FYS574" s="300"/>
      <c r="FYT574" s="532"/>
      <c r="FYU574" s="533"/>
      <c r="FYV574" s="534"/>
      <c r="FYW574" s="316"/>
      <c r="FYX574" s="316"/>
      <c r="FYY574" s="471"/>
      <c r="FYZ574" s="472"/>
      <c r="FZA574" s="471"/>
      <c r="FZB574" s="473"/>
      <c r="FZC574" s="313"/>
      <c r="FZD574" s="535"/>
      <c r="FZE574" s="536"/>
      <c r="FZF574" s="537"/>
      <c r="FZG574" s="538"/>
      <c r="FZH574" s="539"/>
      <c r="FZI574" s="540"/>
      <c r="FZJ574" s="209"/>
      <c r="FZK574" s="541"/>
      <c r="FZL574" s="541"/>
      <c r="FZM574" s="482"/>
      <c r="FZN574" s="173"/>
      <c r="FZO574" s="173"/>
      <c r="FZP574" s="509"/>
      <c r="FZR574" s="148"/>
      <c r="FZS574" s="148"/>
      <c r="FZT574" s="149"/>
      <c r="FZU574" s="150"/>
      <c r="FZW574" s="152"/>
      <c r="FZX574" s="542"/>
      <c r="FZY574" s="154"/>
      <c r="FZZ574" s="175"/>
      <c r="GAB574" s="156"/>
      <c r="GAC574" s="287"/>
      <c r="GAD574" s="488"/>
      <c r="GAE574" s="489"/>
      <c r="GAF574" s="488"/>
      <c r="GAG574" s="300"/>
      <c r="GAH574" s="532"/>
      <c r="GAI574" s="533"/>
      <c r="GAJ574" s="534"/>
      <c r="GAK574" s="316"/>
      <c r="GAL574" s="316"/>
      <c r="GAM574" s="471"/>
      <c r="GAN574" s="472"/>
      <c r="GAO574" s="471"/>
      <c r="GAP574" s="473"/>
      <c r="GAQ574" s="313"/>
      <c r="GAR574" s="535"/>
      <c r="GAS574" s="536"/>
      <c r="GAT574" s="537"/>
      <c r="GAU574" s="538"/>
      <c r="GAV574" s="539"/>
      <c r="GAW574" s="540"/>
      <c r="GAX574" s="209"/>
      <c r="GAY574" s="541"/>
      <c r="GAZ574" s="541"/>
      <c r="GBA574" s="482"/>
      <c r="GBB574" s="173"/>
      <c r="GBC574" s="173"/>
      <c r="GBD574" s="509"/>
      <c r="GBF574" s="148"/>
      <c r="GBG574" s="148"/>
      <c r="GBH574" s="149"/>
      <c r="GBI574" s="150"/>
      <c r="GBK574" s="152"/>
      <c r="GBL574" s="542"/>
      <c r="GBM574" s="154"/>
      <c r="GBN574" s="175"/>
      <c r="GBP574" s="156"/>
      <c r="GBQ574" s="287"/>
      <c r="GBR574" s="488"/>
      <c r="GBS574" s="489"/>
      <c r="GBT574" s="488"/>
      <c r="GBU574" s="300"/>
      <c r="GBV574" s="532"/>
      <c r="GBW574" s="533"/>
      <c r="GBX574" s="534"/>
      <c r="GBY574" s="316"/>
      <c r="GBZ574" s="316"/>
      <c r="GCA574" s="471"/>
      <c r="GCB574" s="472"/>
      <c r="GCC574" s="471"/>
      <c r="GCD574" s="473"/>
      <c r="GCE574" s="313"/>
      <c r="GCF574" s="535"/>
      <c r="GCG574" s="536"/>
      <c r="GCH574" s="537"/>
      <c r="GCI574" s="538"/>
      <c r="GCJ574" s="539"/>
      <c r="GCK574" s="540"/>
      <c r="GCL574" s="209"/>
      <c r="GCM574" s="541"/>
      <c r="GCN574" s="541"/>
      <c r="GCO574" s="482"/>
      <c r="GCP574" s="173"/>
      <c r="GCQ574" s="173"/>
      <c r="GCR574" s="509"/>
      <c r="GCT574" s="148"/>
      <c r="GCU574" s="148"/>
      <c r="GCV574" s="149"/>
      <c r="GCW574" s="150"/>
      <c r="GCY574" s="152"/>
      <c r="GCZ574" s="542"/>
      <c r="GDA574" s="154"/>
      <c r="GDB574" s="175"/>
      <c r="GDD574" s="156"/>
      <c r="GDE574" s="287"/>
      <c r="GDF574" s="488"/>
      <c r="GDG574" s="489"/>
      <c r="GDH574" s="488"/>
      <c r="GDI574" s="300"/>
      <c r="GDJ574" s="532"/>
      <c r="GDK574" s="533"/>
      <c r="GDL574" s="534"/>
      <c r="GDM574" s="316"/>
      <c r="GDN574" s="316"/>
      <c r="GDO574" s="471"/>
      <c r="GDP574" s="472"/>
      <c r="GDQ574" s="471"/>
      <c r="GDR574" s="473"/>
      <c r="GDS574" s="313"/>
      <c r="GDT574" s="535"/>
      <c r="GDU574" s="536"/>
      <c r="GDV574" s="537"/>
      <c r="GDW574" s="538"/>
      <c r="GDX574" s="539"/>
      <c r="GDY574" s="540"/>
      <c r="GDZ574" s="209"/>
      <c r="GEA574" s="541"/>
      <c r="GEB574" s="541"/>
      <c r="GEC574" s="482"/>
      <c r="GED574" s="173"/>
      <c r="GEE574" s="173"/>
      <c r="GEF574" s="509"/>
      <c r="GEH574" s="148"/>
      <c r="GEI574" s="148"/>
      <c r="GEJ574" s="149"/>
      <c r="GEK574" s="150"/>
      <c r="GEM574" s="152"/>
      <c r="GEN574" s="542"/>
      <c r="GEO574" s="154"/>
      <c r="GEP574" s="175"/>
      <c r="GER574" s="156"/>
      <c r="GES574" s="287"/>
      <c r="GET574" s="488"/>
      <c r="GEU574" s="489"/>
      <c r="GEV574" s="488"/>
      <c r="GEW574" s="300"/>
      <c r="GEX574" s="532"/>
      <c r="GEY574" s="533"/>
      <c r="GEZ574" s="534"/>
      <c r="GFA574" s="316"/>
      <c r="GFB574" s="316"/>
      <c r="GFC574" s="471"/>
      <c r="GFD574" s="472"/>
      <c r="GFE574" s="471"/>
      <c r="GFF574" s="473"/>
      <c r="GFG574" s="313"/>
      <c r="GFH574" s="535"/>
      <c r="GFI574" s="536"/>
      <c r="GFJ574" s="537"/>
      <c r="GFK574" s="538"/>
      <c r="GFL574" s="539"/>
      <c r="GFM574" s="540"/>
      <c r="GFN574" s="209"/>
      <c r="GFO574" s="541"/>
      <c r="GFP574" s="541"/>
      <c r="GFQ574" s="482"/>
      <c r="GFR574" s="173"/>
      <c r="GFS574" s="173"/>
      <c r="GFT574" s="509"/>
      <c r="GFV574" s="148"/>
      <c r="GFW574" s="148"/>
      <c r="GFX574" s="149"/>
      <c r="GFY574" s="150"/>
      <c r="GGA574" s="152"/>
      <c r="GGB574" s="542"/>
      <c r="GGC574" s="154"/>
      <c r="GGD574" s="175"/>
      <c r="GGF574" s="156"/>
      <c r="GGG574" s="287"/>
      <c r="GGH574" s="488"/>
      <c r="GGI574" s="489"/>
      <c r="GGJ574" s="488"/>
      <c r="GGK574" s="300"/>
      <c r="GGL574" s="532"/>
      <c r="GGM574" s="533"/>
      <c r="GGN574" s="534"/>
      <c r="GGO574" s="316"/>
      <c r="GGP574" s="316"/>
      <c r="GGQ574" s="471"/>
      <c r="GGR574" s="472"/>
      <c r="GGS574" s="471"/>
      <c r="GGT574" s="473"/>
      <c r="GGU574" s="313"/>
      <c r="GGV574" s="535"/>
      <c r="GGW574" s="536"/>
      <c r="GGX574" s="537"/>
      <c r="GGY574" s="538"/>
      <c r="GGZ574" s="539"/>
      <c r="GHA574" s="540"/>
      <c r="GHB574" s="209"/>
      <c r="GHC574" s="541"/>
      <c r="GHD574" s="541"/>
      <c r="GHE574" s="482"/>
      <c r="GHF574" s="173"/>
      <c r="GHG574" s="173"/>
      <c r="GHH574" s="509"/>
      <c r="GHJ574" s="148"/>
      <c r="GHK574" s="148"/>
      <c r="GHL574" s="149"/>
      <c r="GHM574" s="150"/>
      <c r="GHO574" s="152"/>
      <c r="GHP574" s="542"/>
      <c r="GHQ574" s="154"/>
      <c r="GHR574" s="175"/>
      <c r="GHT574" s="156"/>
      <c r="GHU574" s="287"/>
      <c r="GHV574" s="488"/>
      <c r="GHW574" s="489"/>
      <c r="GHX574" s="488"/>
      <c r="GHY574" s="300"/>
      <c r="GHZ574" s="532"/>
      <c r="GIA574" s="533"/>
      <c r="GIB574" s="534"/>
      <c r="GIC574" s="316"/>
      <c r="GID574" s="316"/>
      <c r="GIE574" s="471"/>
      <c r="GIF574" s="472"/>
      <c r="GIG574" s="471"/>
      <c r="GIH574" s="473"/>
      <c r="GII574" s="313"/>
      <c r="GIJ574" s="535"/>
      <c r="GIK574" s="536"/>
      <c r="GIL574" s="537"/>
      <c r="GIM574" s="538"/>
      <c r="GIN574" s="539"/>
      <c r="GIO574" s="540"/>
      <c r="GIP574" s="209"/>
      <c r="GIQ574" s="541"/>
      <c r="GIR574" s="541"/>
      <c r="GIS574" s="482"/>
      <c r="GIT574" s="173"/>
      <c r="GIU574" s="173"/>
      <c r="GIV574" s="509"/>
      <c r="GIX574" s="148"/>
      <c r="GIY574" s="148"/>
      <c r="GIZ574" s="149"/>
      <c r="GJA574" s="150"/>
      <c r="GJC574" s="152"/>
      <c r="GJD574" s="542"/>
      <c r="GJE574" s="154"/>
      <c r="GJF574" s="175"/>
      <c r="GJH574" s="156"/>
      <c r="GJI574" s="287"/>
      <c r="GJJ574" s="488"/>
      <c r="GJK574" s="489"/>
      <c r="GJL574" s="488"/>
      <c r="GJM574" s="300"/>
      <c r="GJN574" s="532"/>
      <c r="GJO574" s="533"/>
      <c r="GJP574" s="534"/>
      <c r="GJQ574" s="316"/>
      <c r="GJR574" s="316"/>
      <c r="GJS574" s="471"/>
      <c r="GJT574" s="472"/>
      <c r="GJU574" s="471"/>
      <c r="GJV574" s="473"/>
      <c r="GJW574" s="313"/>
      <c r="GJX574" s="535"/>
      <c r="GJY574" s="536"/>
      <c r="GJZ574" s="537"/>
      <c r="GKA574" s="538"/>
      <c r="GKB574" s="539"/>
      <c r="GKC574" s="540"/>
      <c r="GKD574" s="209"/>
      <c r="GKE574" s="541"/>
      <c r="GKF574" s="541"/>
      <c r="GKG574" s="482"/>
      <c r="GKH574" s="173"/>
      <c r="GKI574" s="173"/>
      <c r="GKJ574" s="509"/>
      <c r="GKL574" s="148"/>
      <c r="GKM574" s="148"/>
      <c r="GKN574" s="149"/>
      <c r="GKO574" s="150"/>
      <c r="GKQ574" s="152"/>
      <c r="GKR574" s="542"/>
      <c r="GKS574" s="154"/>
      <c r="GKT574" s="175"/>
      <c r="GKV574" s="156"/>
      <c r="GKW574" s="287"/>
      <c r="GKX574" s="488"/>
      <c r="GKY574" s="489"/>
      <c r="GKZ574" s="488"/>
      <c r="GLA574" s="300"/>
      <c r="GLB574" s="532"/>
      <c r="GLC574" s="533"/>
      <c r="GLD574" s="534"/>
      <c r="GLE574" s="316"/>
      <c r="GLF574" s="316"/>
      <c r="GLG574" s="471"/>
      <c r="GLH574" s="472"/>
      <c r="GLI574" s="471"/>
      <c r="GLJ574" s="473"/>
      <c r="GLK574" s="313"/>
      <c r="GLL574" s="535"/>
      <c r="GLM574" s="536"/>
      <c r="GLN574" s="537"/>
      <c r="GLO574" s="538"/>
      <c r="GLP574" s="539"/>
      <c r="GLQ574" s="540"/>
      <c r="GLR574" s="209"/>
      <c r="GLS574" s="541"/>
      <c r="GLT574" s="541"/>
      <c r="GLU574" s="482"/>
      <c r="GLV574" s="173"/>
      <c r="GLW574" s="173"/>
      <c r="GLX574" s="509"/>
      <c r="GLZ574" s="148"/>
      <c r="GMA574" s="148"/>
      <c r="GMB574" s="149"/>
      <c r="GMC574" s="150"/>
      <c r="GME574" s="152"/>
      <c r="GMF574" s="542"/>
      <c r="GMG574" s="154"/>
      <c r="GMH574" s="175"/>
      <c r="GMJ574" s="156"/>
      <c r="GMK574" s="287"/>
      <c r="GML574" s="488"/>
      <c r="GMM574" s="489"/>
      <c r="GMN574" s="488"/>
      <c r="GMO574" s="300"/>
      <c r="GMP574" s="532"/>
      <c r="GMQ574" s="533"/>
      <c r="GMR574" s="534"/>
      <c r="GMS574" s="316"/>
      <c r="GMT574" s="316"/>
      <c r="GMU574" s="471"/>
      <c r="GMV574" s="472"/>
      <c r="GMW574" s="471"/>
      <c r="GMX574" s="473"/>
      <c r="GMY574" s="313"/>
      <c r="GMZ574" s="535"/>
      <c r="GNA574" s="536"/>
      <c r="GNB574" s="537"/>
      <c r="GNC574" s="538"/>
      <c r="GND574" s="539"/>
      <c r="GNE574" s="540"/>
      <c r="GNF574" s="209"/>
      <c r="GNG574" s="541"/>
      <c r="GNH574" s="541"/>
      <c r="GNI574" s="482"/>
      <c r="GNJ574" s="173"/>
      <c r="GNK574" s="173"/>
      <c r="GNL574" s="509"/>
      <c r="GNN574" s="148"/>
      <c r="GNO574" s="148"/>
      <c r="GNP574" s="149"/>
      <c r="GNQ574" s="150"/>
      <c r="GNS574" s="152"/>
      <c r="GNT574" s="542"/>
      <c r="GNU574" s="154"/>
      <c r="GNV574" s="175"/>
      <c r="GNX574" s="156"/>
      <c r="GNY574" s="287"/>
      <c r="GNZ574" s="488"/>
      <c r="GOA574" s="489"/>
      <c r="GOB574" s="488"/>
      <c r="GOC574" s="300"/>
      <c r="GOD574" s="532"/>
      <c r="GOE574" s="533"/>
      <c r="GOF574" s="534"/>
      <c r="GOG574" s="316"/>
      <c r="GOH574" s="316"/>
      <c r="GOI574" s="471"/>
      <c r="GOJ574" s="472"/>
      <c r="GOK574" s="471"/>
      <c r="GOL574" s="473"/>
      <c r="GOM574" s="313"/>
      <c r="GON574" s="535"/>
      <c r="GOO574" s="536"/>
      <c r="GOP574" s="537"/>
      <c r="GOQ574" s="538"/>
      <c r="GOR574" s="539"/>
      <c r="GOS574" s="540"/>
      <c r="GOT574" s="209"/>
      <c r="GOU574" s="541"/>
      <c r="GOV574" s="541"/>
      <c r="GOW574" s="482"/>
      <c r="GOX574" s="173"/>
      <c r="GOY574" s="173"/>
      <c r="GOZ574" s="509"/>
      <c r="GPB574" s="148"/>
      <c r="GPC574" s="148"/>
      <c r="GPD574" s="149"/>
      <c r="GPE574" s="150"/>
      <c r="GPG574" s="152"/>
      <c r="GPH574" s="542"/>
      <c r="GPI574" s="154"/>
      <c r="GPJ574" s="175"/>
      <c r="GPL574" s="156"/>
      <c r="GPM574" s="287"/>
      <c r="GPN574" s="488"/>
      <c r="GPO574" s="489"/>
      <c r="GPP574" s="488"/>
      <c r="GPQ574" s="300"/>
      <c r="GPR574" s="532"/>
      <c r="GPS574" s="533"/>
      <c r="GPT574" s="534"/>
      <c r="GPU574" s="316"/>
      <c r="GPV574" s="316"/>
      <c r="GPW574" s="471"/>
      <c r="GPX574" s="472"/>
      <c r="GPY574" s="471"/>
      <c r="GPZ574" s="473"/>
      <c r="GQA574" s="313"/>
      <c r="GQB574" s="535"/>
      <c r="GQC574" s="536"/>
      <c r="GQD574" s="537"/>
      <c r="GQE574" s="538"/>
      <c r="GQF574" s="539"/>
      <c r="GQG574" s="540"/>
      <c r="GQH574" s="209"/>
      <c r="GQI574" s="541"/>
      <c r="GQJ574" s="541"/>
      <c r="GQK574" s="482"/>
      <c r="GQL574" s="173"/>
      <c r="GQM574" s="173"/>
      <c r="GQN574" s="509"/>
      <c r="GQP574" s="148"/>
      <c r="GQQ574" s="148"/>
      <c r="GQR574" s="149"/>
      <c r="GQS574" s="150"/>
      <c r="GQU574" s="152"/>
      <c r="GQV574" s="542"/>
      <c r="GQW574" s="154"/>
      <c r="GQX574" s="175"/>
      <c r="GQZ574" s="156"/>
      <c r="GRA574" s="287"/>
      <c r="GRB574" s="488"/>
      <c r="GRC574" s="489"/>
      <c r="GRD574" s="488"/>
      <c r="GRE574" s="300"/>
      <c r="GRF574" s="532"/>
      <c r="GRG574" s="533"/>
      <c r="GRH574" s="534"/>
      <c r="GRI574" s="316"/>
      <c r="GRJ574" s="316"/>
      <c r="GRK574" s="471"/>
      <c r="GRL574" s="472"/>
      <c r="GRM574" s="471"/>
      <c r="GRN574" s="473"/>
      <c r="GRO574" s="313"/>
      <c r="GRP574" s="535"/>
      <c r="GRQ574" s="536"/>
      <c r="GRR574" s="537"/>
      <c r="GRS574" s="538"/>
      <c r="GRT574" s="539"/>
      <c r="GRU574" s="540"/>
      <c r="GRV574" s="209"/>
      <c r="GRW574" s="541"/>
      <c r="GRX574" s="541"/>
      <c r="GRY574" s="482"/>
      <c r="GRZ574" s="173"/>
      <c r="GSA574" s="173"/>
      <c r="GSB574" s="509"/>
      <c r="GSD574" s="148"/>
      <c r="GSE574" s="148"/>
      <c r="GSF574" s="149"/>
      <c r="GSG574" s="150"/>
      <c r="GSI574" s="152"/>
      <c r="GSJ574" s="542"/>
      <c r="GSK574" s="154"/>
      <c r="GSL574" s="175"/>
      <c r="GSN574" s="156"/>
      <c r="GSO574" s="287"/>
      <c r="GSP574" s="488"/>
      <c r="GSQ574" s="489"/>
      <c r="GSR574" s="488"/>
      <c r="GSS574" s="300"/>
      <c r="GST574" s="532"/>
      <c r="GSU574" s="533"/>
      <c r="GSV574" s="534"/>
      <c r="GSW574" s="316"/>
      <c r="GSX574" s="316"/>
      <c r="GSY574" s="471"/>
      <c r="GSZ574" s="472"/>
      <c r="GTA574" s="471"/>
      <c r="GTB574" s="473"/>
      <c r="GTC574" s="313"/>
      <c r="GTD574" s="535"/>
      <c r="GTE574" s="536"/>
      <c r="GTF574" s="537"/>
      <c r="GTG574" s="538"/>
      <c r="GTH574" s="539"/>
      <c r="GTI574" s="540"/>
      <c r="GTJ574" s="209"/>
      <c r="GTK574" s="541"/>
      <c r="GTL574" s="541"/>
      <c r="GTM574" s="482"/>
      <c r="GTN574" s="173"/>
      <c r="GTO574" s="173"/>
      <c r="GTP574" s="509"/>
      <c r="GTR574" s="148"/>
      <c r="GTS574" s="148"/>
      <c r="GTT574" s="149"/>
      <c r="GTU574" s="150"/>
      <c r="GTW574" s="152"/>
      <c r="GTX574" s="542"/>
      <c r="GTY574" s="154"/>
      <c r="GTZ574" s="175"/>
      <c r="GUB574" s="156"/>
      <c r="GUC574" s="287"/>
      <c r="GUD574" s="488"/>
      <c r="GUE574" s="489"/>
      <c r="GUF574" s="488"/>
      <c r="GUG574" s="300"/>
      <c r="GUH574" s="532"/>
      <c r="GUI574" s="533"/>
      <c r="GUJ574" s="534"/>
      <c r="GUK574" s="316"/>
      <c r="GUL574" s="316"/>
      <c r="GUM574" s="471"/>
      <c r="GUN574" s="472"/>
      <c r="GUO574" s="471"/>
      <c r="GUP574" s="473"/>
      <c r="GUQ574" s="313"/>
      <c r="GUR574" s="535"/>
      <c r="GUS574" s="536"/>
      <c r="GUT574" s="537"/>
      <c r="GUU574" s="538"/>
      <c r="GUV574" s="539"/>
      <c r="GUW574" s="540"/>
      <c r="GUX574" s="209"/>
      <c r="GUY574" s="541"/>
      <c r="GUZ574" s="541"/>
      <c r="GVA574" s="482"/>
      <c r="GVB574" s="173"/>
      <c r="GVC574" s="173"/>
      <c r="GVD574" s="509"/>
      <c r="GVF574" s="148"/>
      <c r="GVG574" s="148"/>
      <c r="GVH574" s="149"/>
      <c r="GVI574" s="150"/>
      <c r="GVK574" s="152"/>
      <c r="GVL574" s="542"/>
      <c r="GVM574" s="154"/>
      <c r="GVN574" s="175"/>
      <c r="GVP574" s="156"/>
      <c r="GVQ574" s="287"/>
      <c r="GVR574" s="488"/>
      <c r="GVS574" s="489"/>
      <c r="GVT574" s="488"/>
      <c r="GVU574" s="300"/>
      <c r="GVV574" s="532"/>
      <c r="GVW574" s="533"/>
      <c r="GVX574" s="534"/>
      <c r="GVY574" s="316"/>
      <c r="GVZ574" s="316"/>
      <c r="GWA574" s="471"/>
      <c r="GWB574" s="472"/>
      <c r="GWC574" s="471"/>
      <c r="GWD574" s="473"/>
      <c r="GWE574" s="313"/>
      <c r="GWF574" s="535"/>
      <c r="GWG574" s="536"/>
      <c r="GWH574" s="537"/>
      <c r="GWI574" s="538"/>
      <c r="GWJ574" s="539"/>
      <c r="GWK574" s="540"/>
      <c r="GWL574" s="209"/>
      <c r="GWM574" s="541"/>
      <c r="GWN574" s="541"/>
      <c r="GWO574" s="482"/>
      <c r="GWP574" s="173"/>
      <c r="GWQ574" s="173"/>
      <c r="GWR574" s="509"/>
      <c r="GWT574" s="148"/>
      <c r="GWU574" s="148"/>
      <c r="GWV574" s="149"/>
      <c r="GWW574" s="150"/>
      <c r="GWY574" s="152"/>
      <c r="GWZ574" s="542"/>
      <c r="GXA574" s="154"/>
      <c r="GXB574" s="175"/>
      <c r="GXD574" s="156"/>
      <c r="GXE574" s="287"/>
      <c r="GXF574" s="488"/>
      <c r="GXG574" s="489"/>
      <c r="GXH574" s="488"/>
      <c r="GXI574" s="300"/>
      <c r="GXJ574" s="532"/>
      <c r="GXK574" s="533"/>
      <c r="GXL574" s="534"/>
      <c r="GXM574" s="316"/>
      <c r="GXN574" s="316"/>
      <c r="GXO574" s="471"/>
      <c r="GXP574" s="472"/>
      <c r="GXQ574" s="471"/>
      <c r="GXR574" s="473"/>
      <c r="GXS574" s="313"/>
      <c r="GXT574" s="535"/>
      <c r="GXU574" s="536"/>
      <c r="GXV574" s="537"/>
      <c r="GXW574" s="538"/>
      <c r="GXX574" s="539"/>
      <c r="GXY574" s="540"/>
      <c r="GXZ574" s="209"/>
      <c r="GYA574" s="541"/>
      <c r="GYB574" s="541"/>
      <c r="GYC574" s="482"/>
      <c r="GYD574" s="173"/>
      <c r="GYE574" s="173"/>
      <c r="GYF574" s="509"/>
      <c r="GYH574" s="148"/>
      <c r="GYI574" s="148"/>
      <c r="GYJ574" s="149"/>
      <c r="GYK574" s="150"/>
      <c r="GYM574" s="152"/>
      <c r="GYN574" s="542"/>
      <c r="GYO574" s="154"/>
      <c r="GYP574" s="175"/>
      <c r="GYR574" s="156"/>
      <c r="GYS574" s="287"/>
      <c r="GYT574" s="488"/>
      <c r="GYU574" s="489"/>
      <c r="GYV574" s="488"/>
      <c r="GYW574" s="300"/>
      <c r="GYX574" s="532"/>
      <c r="GYY574" s="533"/>
      <c r="GYZ574" s="534"/>
      <c r="GZA574" s="316"/>
      <c r="GZB574" s="316"/>
      <c r="GZC574" s="471"/>
      <c r="GZD574" s="472"/>
      <c r="GZE574" s="471"/>
      <c r="GZF574" s="473"/>
      <c r="GZG574" s="313"/>
      <c r="GZH574" s="535"/>
      <c r="GZI574" s="536"/>
      <c r="GZJ574" s="537"/>
      <c r="GZK574" s="538"/>
      <c r="GZL574" s="539"/>
      <c r="GZM574" s="540"/>
      <c r="GZN574" s="209"/>
      <c r="GZO574" s="541"/>
      <c r="GZP574" s="541"/>
      <c r="GZQ574" s="482"/>
      <c r="GZR574" s="173"/>
      <c r="GZS574" s="173"/>
      <c r="GZT574" s="509"/>
      <c r="GZV574" s="148"/>
      <c r="GZW574" s="148"/>
      <c r="GZX574" s="149"/>
      <c r="GZY574" s="150"/>
      <c r="HAA574" s="152"/>
      <c r="HAB574" s="542"/>
      <c r="HAC574" s="154"/>
      <c r="HAD574" s="175"/>
      <c r="HAF574" s="156"/>
      <c r="HAG574" s="287"/>
      <c r="HAH574" s="488"/>
      <c r="HAI574" s="489"/>
      <c r="HAJ574" s="488"/>
      <c r="HAK574" s="300"/>
      <c r="HAL574" s="532"/>
      <c r="HAM574" s="533"/>
      <c r="HAN574" s="534"/>
      <c r="HAO574" s="316"/>
      <c r="HAP574" s="316"/>
      <c r="HAQ574" s="471"/>
      <c r="HAR574" s="472"/>
      <c r="HAS574" s="471"/>
      <c r="HAT574" s="473"/>
      <c r="HAU574" s="313"/>
      <c r="HAV574" s="535"/>
      <c r="HAW574" s="536"/>
      <c r="HAX574" s="537"/>
      <c r="HAY574" s="538"/>
      <c r="HAZ574" s="539"/>
      <c r="HBA574" s="540"/>
      <c r="HBB574" s="209"/>
      <c r="HBC574" s="541"/>
      <c r="HBD574" s="541"/>
      <c r="HBE574" s="482"/>
      <c r="HBF574" s="173"/>
      <c r="HBG574" s="173"/>
      <c r="HBH574" s="509"/>
      <c r="HBJ574" s="148"/>
      <c r="HBK574" s="148"/>
      <c r="HBL574" s="149"/>
      <c r="HBM574" s="150"/>
      <c r="HBO574" s="152"/>
      <c r="HBP574" s="542"/>
      <c r="HBQ574" s="154"/>
      <c r="HBR574" s="175"/>
      <c r="HBT574" s="156"/>
      <c r="HBU574" s="287"/>
      <c r="HBV574" s="488"/>
      <c r="HBW574" s="489"/>
      <c r="HBX574" s="488"/>
      <c r="HBY574" s="300"/>
      <c r="HBZ574" s="532"/>
      <c r="HCA574" s="533"/>
      <c r="HCB574" s="534"/>
      <c r="HCC574" s="316"/>
      <c r="HCD574" s="316"/>
      <c r="HCE574" s="471"/>
      <c r="HCF574" s="472"/>
      <c r="HCG574" s="471"/>
      <c r="HCH574" s="473"/>
      <c r="HCI574" s="313"/>
      <c r="HCJ574" s="535"/>
      <c r="HCK574" s="536"/>
      <c r="HCL574" s="537"/>
      <c r="HCM574" s="538"/>
      <c r="HCN574" s="539"/>
      <c r="HCO574" s="540"/>
      <c r="HCP574" s="209"/>
      <c r="HCQ574" s="541"/>
      <c r="HCR574" s="541"/>
      <c r="HCS574" s="482"/>
      <c r="HCT574" s="173"/>
      <c r="HCU574" s="173"/>
      <c r="HCV574" s="509"/>
      <c r="HCX574" s="148"/>
      <c r="HCY574" s="148"/>
      <c r="HCZ574" s="149"/>
      <c r="HDA574" s="150"/>
      <c r="HDC574" s="152"/>
      <c r="HDD574" s="542"/>
      <c r="HDE574" s="154"/>
      <c r="HDF574" s="175"/>
      <c r="HDH574" s="156"/>
      <c r="HDI574" s="287"/>
      <c r="HDJ574" s="488"/>
      <c r="HDK574" s="489"/>
      <c r="HDL574" s="488"/>
      <c r="HDM574" s="300"/>
      <c r="HDN574" s="532"/>
      <c r="HDO574" s="533"/>
      <c r="HDP574" s="534"/>
      <c r="HDQ574" s="316"/>
      <c r="HDR574" s="316"/>
      <c r="HDS574" s="471"/>
      <c r="HDT574" s="472"/>
      <c r="HDU574" s="471"/>
      <c r="HDV574" s="473"/>
      <c r="HDW574" s="313"/>
      <c r="HDX574" s="535"/>
      <c r="HDY574" s="536"/>
      <c r="HDZ574" s="537"/>
      <c r="HEA574" s="538"/>
      <c r="HEB574" s="539"/>
      <c r="HEC574" s="540"/>
      <c r="HED574" s="209"/>
      <c r="HEE574" s="541"/>
      <c r="HEF574" s="541"/>
      <c r="HEG574" s="482"/>
      <c r="HEH574" s="173"/>
      <c r="HEI574" s="173"/>
      <c r="HEJ574" s="509"/>
      <c r="HEL574" s="148"/>
      <c r="HEM574" s="148"/>
      <c r="HEN574" s="149"/>
      <c r="HEO574" s="150"/>
      <c r="HEQ574" s="152"/>
      <c r="HER574" s="542"/>
      <c r="HES574" s="154"/>
      <c r="HET574" s="175"/>
      <c r="HEV574" s="156"/>
      <c r="HEW574" s="287"/>
      <c r="HEX574" s="488"/>
      <c r="HEY574" s="489"/>
      <c r="HEZ574" s="488"/>
      <c r="HFA574" s="300"/>
      <c r="HFB574" s="532"/>
      <c r="HFC574" s="533"/>
      <c r="HFD574" s="534"/>
      <c r="HFE574" s="316"/>
      <c r="HFF574" s="316"/>
      <c r="HFG574" s="471"/>
      <c r="HFH574" s="472"/>
      <c r="HFI574" s="471"/>
      <c r="HFJ574" s="473"/>
      <c r="HFK574" s="313"/>
      <c r="HFL574" s="535"/>
      <c r="HFM574" s="536"/>
      <c r="HFN574" s="537"/>
      <c r="HFO574" s="538"/>
      <c r="HFP574" s="539"/>
      <c r="HFQ574" s="540"/>
      <c r="HFR574" s="209"/>
      <c r="HFS574" s="541"/>
      <c r="HFT574" s="541"/>
      <c r="HFU574" s="482"/>
      <c r="HFV574" s="173"/>
      <c r="HFW574" s="173"/>
      <c r="HFX574" s="509"/>
      <c r="HFZ574" s="148"/>
      <c r="HGA574" s="148"/>
      <c r="HGB574" s="149"/>
      <c r="HGC574" s="150"/>
      <c r="HGE574" s="152"/>
      <c r="HGF574" s="542"/>
      <c r="HGG574" s="154"/>
      <c r="HGH574" s="175"/>
      <c r="HGJ574" s="156"/>
      <c r="HGK574" s="287"/>
      <c r="HGL574" s="488"/>
      <c r="HGM574" s="489"/>
      <c r="HGN574" s="488"/>
      <c r="HGO574" s="300"/>
      <c r="HGP574" s="532"/>
      <c r="HGQ574" s="533"/>
      <c r="HGR574" s="534"/>
      <c r="HGS574" s="316"/>
      <c r="HGT574" s="316"/>
      <c r="HGU574" s="471"/>
      <c r="HGV574" s="472"/>
      <c r="HGW574" s="471"/>
      <c r="HGX574" s="473"/>
      <c r="HGY574" s="313"/>
      <c r="HGZ574" s="535"/>
      <c r="HHA574" s="536"/>
      <c r="HHB574" s="537"/>
      <c r="HHC574" s="538"/>
      <c r="HHD574" s="539"/>
      <c r="HHE574" s="540"/>
      <c r="HHF574" s="209"/>
      <c r="HHG574" s="541"/>
      <c r="HHH574" s="541"/>
      <c r="HHI574" s="482"/>
      <c r="HHJ574" s="173"/>
      <c r="HHK574" s="173"/>
      <c r="HHL574" s="509"/>
      <c r="HHN574" s="148"/>
      <c r="HHO574" s="148"/>
      <c r="HHP574" s="149"/>
      <c r="HHQ574" s="150"/>
      <c r="HHS574" s="152"/>
      <c r="HHT574" s="542"/>
      <c r="HHU574" s="154"/>
      <c r="HHV574" s="175"/>
      <c r="HHX574" s="156"/>
      <c r="HHY574" s="287"/>
      <c r="HHZ574" s="488"/>
      <c r="HIA574" s="489"/>
      <c r="HIB574" s="488"/>
      <c r="HIC574" s="300"/>
      <c r="HID574" s="532"/>
      <c r="HIE574" s="533"/>
      <c r="HIF574" s="534"/>
      <c r="HIG574" s="316"/>
      <c r="HIH574" s="316"/>
      <c r="HII574" s="471"/>
      <c r="HIJ574" s="472"/>
      <c r="HIK574" s="471"/>
      <c r="HIL574" s="473"/>
      <c r="HIM574" s="313"/>
      <c r="HIN574" s="535"/>
      <c r="HIO574" s="536"/>
      <c r="HIP574" s="537"/>
      <c r="HIQ574" s="538"/>
      <c r="HIR574" s="539"/>
      <c r="HIS574" s="540"/>
      <c r="HIT574" s="209"/>
      <c r="HIU574" s="541"/>
      <c r="HIV574" s="541"/>
      <c r="HIW574" s="482"/>
      <c r="HIX574" s="173"/>
      <c r="HIY574" s="173"/>
      <c r="HIZ574" s="509"/>
      <c r="HJB574" s="148"/>
      <c r="HJC574" s="148"/>
      <c r="HJD574" s="149"/>
      <c r="HJE574" s="150"/>
      <c r="HJG574" s="152"/>
      <c r="HJH574" s="542"/>
      <c r="HJI574" s="154"/>
      <c r="HJJ574" s="175"/>
      <c r="HJL574" s="156"/>
      <c r="HJM574" s="287"/>
      <c r="HJN574" s="488"/>
      <c r="HJO574" s="489"/>
      <c r="HJP574" s="488"/>
      <c r="HJQ574" s="300"/>
      <c r="HJR574" s="532"/>
      <c r="HJS574" s="533"/>
      <c r="HJT574" s="534"/>
      <c r="HJU574" s="316"/>
      <c r="HJV574" s="316"/>
      <c r="HJW574" s="471"/>
      <c r="HJX574" s="472"/>
      <c r="HJY574" s="471"/>
      <c r="HJZ574" s="473"/>
      <c r="HKA574" s="313"/>
      <c r="HKB574" s="535"/>
      <c r="HKC574" s="536"/>
      <c r="HKD574" s="537"/>
      <c r="HKE574" s="538"/>
      <c r="HKF574" s="539"/>
      <c r="HKG574" s="540"/>
      <c r="HKH574" s="209"/>
      <c r="HKI574" s="541"/>
      <c r="HKJ574" s="541"/>
      <c r="HKK574" s="482"/>
      <c r="HKL574" s="173"/>
      <c r="HKM574" s="173"/>
      <c r="HKN574" s="509"/>
      <c r="HKP574" s="148"/>
      <c r="HKQ574" s="148"/>
      <c r="HKR574" s="149"/>
      <c r="HKS574" s="150"/>
      <c r="HKU574" s="152"/>
      <c r="HKV574" s="542"/>
      <c r="HKW574" s="154"/>
      <c r="HKX574" s="175"/>
      <c r="HKZ574" s="156"/>
      <c r="HLA574" s="287"/>
      <c r="HLB574" s="488"/>
      <c r="HLC574" s="489"/>
      <c r="HLD574" s="488"/>
      <c r="HLE574" s="300"/>
      <c r="HLF574" s="532"/>
      <c r="HLG574" s="533"/>
      <c r="HLH574" s="534"/>
      <c r="HLI574" s="316"/>
      <c r="HLJ574" s="316"/>
      <c r="HLK574" s="471"/>
      <c r="HLL574" s="472"/>
      <c r="HLM574" s="471"/>
      <c r="HLN574" s="473"/>
      <c r="HLO574" s="313"/>
      <c r="HLP574" s="535"/>
      <c r="HLQ574" s="536"/>
      <c r="HLR574" s="537"/>
      <c r="HLS574" s="538"/>
      <c r="HLT574" s="539"/>
      <c r="HLU574" s="540"/>
      <c r="HLV574" s="209"/>
      <c r="HLW574" s="541"/>
      <c r="HLX574" s="541"/>
      <c r="HLY574" s="482"/>
      <c r="HLZ574" s="173"/>
      <c r="HMA574" s="173"/>
      <c r="HMB574" s="509"/>
      <c r="HMD574" s="148"/>
      <c r="HME574" s="148"/>
      <c r="HMF574" s="149"/>
      <c r="HMG574" s="150"/>
      <c r="HMI574" s="152"/>
      <c r="HMJ574" s="542"/>
      <c r="HMK574" s="154"/>
      <c r="HML574" s="175"/>
      <c r="HMN574" s="156"/>
      <c r="HMO574" s="287"/>
      <c r="HMP574" s="488"/>
      <c r="HMQ574" s="489"/>
      <c r="HMR574" s="488"/>
      <c r="HMS574" s="300"/>
      <c r="HMT574" s="532"/>
      <c r="HMU574" s="533"/>
      <c r="HMV574" s="534"/>
      <c r="HMW574" s="316"/>
      <c r="HMX574" s="316"/>
      <c r="HMY574" s="471"/>
      <c r="HMZ574" s="472"/>
      <c r="HNA574" s="471"/>
      <c r="HNB574" s="473"/>
      <c r="HNC574" s="313"/>
      <c r="HND574" s="535"/>
      <c r="HNE574" s="536"/>
      <c r="HNF574" s="537"/>
      <c r="HNG574" s="538"/>
      <c r="HNH574" s="539"/>
      <c r="HNI574" s="540"/>
      <c r="HNJ574" s="209"/>
      <c r="HNK574" s="541"/>
      <c r="HNL574" s="541"/>
      <c r="HNM574" s="482"/>
      <c r="HNN574" s="173"/>
      <c r="HNO574" s="173"/>
      <c r="HNP574" s="509"/>
      <c r="HNR574" s="148"/>
      <c r="HNS574" s="148"/>
      <c r="HNT574" s="149"/>
      <c r="HNU574" s="150"/>
      <c r="HNW574" s="152"/>
      <c r="HNX574" s="542"/>
      <c r="HNY574" s="154"/>
      <c r="HNZ574" s="175"/>
      <c r="HOB574" s="156"/>
      <c r="HOC574" s="287"/>
      <c r="HOD574" s="488"/>
      <c r="HOE574" s="489"/>
      <c r="HOF574" s="488"/>
      <c r="HOG574" s="300"/>
      <c r="HOH574" s="532"/>
      <c r="HOI574" s="533"/>
      <c r="HOJ574" s="534"/>
      <c r="HOK574" s="316"/>
      <c r="HOL574" s="316"/>
      <c r="HOM574" s="471"/>
      <c r="HON574" s="472"/>
      <c r="HOO574" s="471"/>
      <c r="HOP574" s="473"/>
      <c r="HOQ574" s="313"/>
      <c r="HOR574" s="535"/>
      <c r="HOS574" s="536"/>
      <c r="HOT574" s="537"/>
      <c r="HOU574" s="538"/>
      <c r="HOV574" s="539"/>
      <c r="HOW574" s="540"/>
      <c r="HOX574" s="209"/>
      <c r="HOY574" s="541"/>
      <c r="HOZ574" s="541"/>
      <c r="HPA574" s="482"/>
      <c r="HPB574" s="173"/>
      <c r="HPC574" s="173"/>
      <c r="HPD574" s="509"/>
      <c r="HPF574" s="148"/>
      <c r="HPG574" s="148"/>
      <c r="HPH574" s="149"/>
      <c r="HPI574" s="150"/>
      <c r="HPK574" s="152"/>
      <c r="HPL574" s="542"/>
      <c r="HPM574" s="154"/>
      <c r="HPN574" s="175"/>
      <c r="HPP574" s="156"/>
      <c r="HPQ574" s="287"/>
      <c r="HPR574" s="488"/>
      <c r="HPS574" s="489"/>
      <c r="HPT574" s="488"/>
      <c r="HPU574" s="300"/>
      <c r="HPV574" s="532"/>
      <c r="HPW574" s="533"/>
      <c r="HPX574" s="534"/>
      <c r="HPY574" s="316"/>
      <c r="HPZ574" s="316"/>
      <c r="HQA574" s="471"/>
      <c r="HQB574" s="472"/>
      <c r="HQC574" s="471"/>
      <c r="HQD574" s="473"/>
      <c r="HQE574" s="313"/>
      <c r="HQF574" s="535"/>
      <c r="HQG574" s="536"/>
      <c r="HQH574" s="537"/>
      <c r="HQI574" s="538"/>
      <c r="HQJ574" s="539"/>
      <c r="HQK574" s="540"/>
      <c r="HQL574" s="209"/>
      <c r="HQM574" s="541"/>
      <c r="HQN574" s="541"/>
      <c r="HQO574" s="482"/>
      <c r="HQP574" s="173"/>
      <c r="HQQ574" s="173"/>
      <c r="HQR574" s="509"/>
      <c r="HQT574" s="148"/>
      <c r="HQU574" s="148"/>
      <c r="HQV574" s="149"/>
      <c r="HQW574" s="150"/>
      <c r="HQY574" s="152"/>
      <c r="HQZ574" s="542"/>
      <c r="HRA574" s="154"/>
      <c r="HRB574" s="175"/>
      <c r="HRD574" s="156"/>
      <c r="HRE574" s="287"/>
      <c r="HRF574" s="488"/>
      <c r="HRG574" s="489"/>
      <c r="HRH574" s="488"/>
      <c r="HRI574" s="300"/>
      <c r="HRJ574" s="532"/>
      <c r="HRK574" s="533"/>
      <c r="HRL574" s="534"/>
      <c r="HRM574" s="316"/>
      <c r="HRN574" s="316"/>
      <c r="HRO574" s="471"/>
      <c r="HRP574" s="472"/>
      <c r="HRQ574" s="471"/>
      <c r="HRR574" s="473"/>
      <c r="HRS574" s="313"/>
      <c r="HRT574" s="535"/>
      <c r="HRU574" s="536"/>
      <c r="HRV574" s="537"/>
      <c r="HRW574" s="538"/>
      <c r="HRX574" s="539"/>
      <c r="HRY574" s="540"/>
      <c r="HRZ574" s="209"/>
      <c r="HSA574" s="541"/>
      <c r="HSB574" s="541"/>
      <c r="HSC574" s="482"/>
      <c r="HSD574" s="173"/>
      <c r="HSE574" s="173"/>
      <c r="HSF574" s="509"/>
      <c r="HSH574" s="148"/>
      <c r="HSI574" s="148"/>
      <c r="HSJ574" s="149"/>
      <c r="HSK574" s="150"/>
      <c r="HSM574" s="152"/>
      <c r="HSN574" s="542"/>
      <c r="HSO574" s="154"/>
      <c r="HSP574" s="175"/>
      <c r="HSR574" s="156"/>
      <c r="HSS574" s="287"/>
      <c r="HST574" s="488"/>
      <c r="HSU574" s="489"/>
      <c r="HSV574" s="488"/>
      <c r="HSW574" s="300"/>
      <c r="HSX574" s="532"/>
      <c r="HSY574" s="533"/>
      <c r="HSZ574" s="534"/>
      <c r="HTA574" s="316"/>
      <c r="HTB574" s="316"/>
      <c r="HTC574" s="471"/>
      <c r="HTD574" s="472"/>
      <c r="HTE574" s="471"/>
      <c r="HTF574" s="473"/>
      <c r="HTG574" s="313"/>
      <c r="HTH574" s="535"/>
      <c r="HTI574" s="536"/>
      <c r="HTJ574" s="537"/>
      <c r="HTK574" s="538"/>
      <c r="HTL574" s="539"/>
      <c r="HTM574" s="540"/>
      <c r="HTN574" s="209"/>
      <c r="HTO574" s="541"/>
      <c r="HTP574" s="541"/>
      <c r="HTQ574" s="482"/>
      <c r="HTR574" s="173"/>
      <c r="HTS574" s="173"/>
      <c r="HTT574" s="509"/>
      <c r="HTV574" s="148"/>
      <c r="HTW574" s="148"/>
      <c r="HTX574" s="149"/>
      <c r="HTY574" s="150"/>
      <c r="HUA574" s="152"/>
      <c r="HUB574" s="542"/>
      <c r="HUC574" s="154"/>
      <c r="HUD574" s="175"/>
      <c r="HUF574" s="156"/>
      <c r="HUG574" s="287"/>
      <c r="HUH574" s="488"/>
      <c r="HUI574" s="489"/>
      <c r="HUJ574" s="488"/>
      <c r="HUK574" s="300"/>
      <c r="HUL574" s="532"/>
      <c r="HUM574" s="533"/>
      <c r="HUN574" s="534"/>
      <c r="HUO574" s="316"/>
      <c r="HUP574" s="316"/>
      <c r="HUQ574" s="471"/>
      <c r="HUR574" s="472"/>
      <c r="HUS574" s="471"/>
      <c r="HUT574" s="473"/>
      <c r="HUU574" s="313"/>
      <c r="HUV574" s="535"/>
      <c r="HUW574" s="536"/>
      <c r="HUX574" s="537"/>
      <c r="HUY574" s="538"/>
      <c r="HUZ574" s="539"/>
      <c r="HVA574" s="540"/>
      <c r="HVB574" s="209"/>
      <c r="HVC574" s="541"/>
      <c r="HVD574" s="541"/>
      <c r="HVE574" s="482"/>
      <c r="HVF574" s="173"/>
      <c r="HVG574" s="173"/>
      <c r="HVH574" s="509"/>
      <c r="HVJ574" s="148"/>
      <c r="HVK574" s="148"/>
      <c r="HVL574" s="149"/>
      <c r="HVM574" s="150"/>
      <c r="HVO574" s="152"/>
      <c r="HVP574" s="542"/>
      <c r="HVQ574" s="154"/>
      <c r="HVR574" s="175"/>
      <c r="HVT574" s="156"/>
      <c r="HVU574" s="287"/>
      <c r="HVV574" s="488"/>
      <c r="HVW574" s="489"/>
      <c r="HVX574" s="488"/>
      <c r="HVY574" s="300"/>
      <c r="HVZ574" s="532"/>
      <c r="HWA574" s="533"/>
      <c r="HWB574" s="534"/>
      <c r="HWC574" s="316"/>
      <c r="HWD574" s="316"/>
      <c r="HWE574" s="471"/>
      <c r="HWF574" s="472"/>
      <c r="HWG574" s="471"/>
      <c r="HWH574" s="473"/>
      <c r="HWI574" s="313"/>
      <c r="HWJ574" s="535"/>
      <c r="HWK574" s="536"/>
      <c r="HWL574" s="537"/>
      <c r="HWM574" s="538"/>
      <c r="HWN574" s="539"/>
      <c r="HWO574" s="540"/>
      <c r="HWP574" s="209"/>
      <c r="HWQ574" s="541"/>
      <c r="HWR574" s="541"/>
      <c r="HWS574" s="482"/>
      <c r="HWT574" s="173"/>
      <c r="HWU574" s="173"/>
      <c r="HWV574" s="509"/>
      <c r="HWX574" s="148"/>
      <c r="HWY574" s="148"/>
      <c r="HWZ574" s="149"/>
      <c r="HXA574" s="150"/>
      <c r="HXC574" s="152"/>
      <c r="HXD574" s="542"/>
      <c r="HXE574" s="154"/>
      <c r="HXF574" s="175"/>
      <c r="HXH574" s="156"/>
      <c r="HXI574" s="287"/>
      <c r="HXJ574" s="488"/>
      <c r="HXK574" s="489"/>
      <c r="HXL574" s="488"/>
      <c r="HXM574" s="300"/>
      <c r="HXN574" s="532"/>
      <c r="HXO574" s="533"/>
      <c r="HXP574" s="534"/>
      <c r="HXQ574" s="316"/>
      <c r="HXR574" s="316"/>
      <c r="HXS574" s="471"/>
      <c r="HXT574" s="472"/>
      <c r="HXU574" s="471"/>
      <c r="HXV574" s="473"/>
      <c r="HXW574" s="313"/>
      <c r="HXX574" s="535"/>
      <c r="HXY574" s="536"/>
      <c r="HXZ574" s="537"/>
      <c r="HYA574" s="538"/>
      <c r="HYB574" s="539"/>
      <c r="HYC574" s="540"/>
      <c r="HYD574" s="209"/>
      <c r="HYE574" s="541"/>
      <c r="HYF574" s="541"/>
      <c r="HYG574" s="482"/>
      <c r="HYH574" s="173"/>
      <c r="HYI574" s="173"/>
      <c r="HYJ574" s="509"/>
      <c r="HYL574" s="148"/>
      <c r="HYM574" s="148"/>
      <c r="HYN574" s="149"/>
      <c r="HYO574" s="150"/>
      <c r="HYQ574" s="152"/>
      <c r="HYR574" s="542"/>
      <c r="HYS574" s="154"/>
      <c r="HYT574" s="175"/>
      <c r="HYV574" s="156"/>
      <c r="HYW574" s="287"/>
      <c r="HYX574" s="488"/>
      <c r="HYY574" s="489"/>
      <c r="HYZ574" s="488"/>
      <c r="HZA574" s="300"/>
      <c r="HZB574" s="532"/>
      <c r="HZC574" s="533"/>
      <c r="HZD574" s="534"/>
      <c r="HZE574" s="316"/>
      <c r="HZF574" s="316"/>
      <c r="HZG574" s="471"/>
      <c r="HZH574" s="472"/>
      <c r="HZI574" s="471"/>
      <c r="HZJ574" s="473"/>
      <c r="HZK574" s="313"/>
      <c r="HZL574" s="535"/>
      <c r="HZM574" s="536"/>
      <c r="HZN574" s="537"/>
      <c r="HZO574" s="538"/>
      <c r="HZP574" s="539"/>
      <c r="HZQ574" s="540"/>
      <c r="HZR574" s="209"/>
      <c r="HZS574" s="541"/>
      <c r="HZT574" s="541"/>
      <c r="HZU574" s="482"/>
      <c r="HZV574" s="173"/>
      <c r="HZW574" s="173"/>
      <c r="HZX574" s="509"/>
      <c r="HZZ574" s="148"/>
      <c r="IAA574" s="148"/>
      <c r="IAB574" s="149"/>
      <c r="IAC574" s="150"/>
      <c r="IAE574" s="152"/>
      <c r="IAF574" s="542"/>
      <c r="IAG574" s="154"/>
      <c r="IAH574" s="175"/>
      <c r="IAJ574" s="156"/>
      <c r="IAK574" s="287"/>
      <c r="IAL574" s="488"/>
      <c r="IAM574" s="489"/>
      <c r="IAN574" s="488"/>
      <c r="IAO574" s="300"/>
      <c r="IAP574" s="532"/>
      <c r="IAQ574" s="533"/>
      <c r="IAR574" s="534"/>
      <c r="IAS574" s="316"/>
      <c r="IAT574" s="316"/>
      <c r="IAU574" s="471"/>
      <c r="IAV574" s="472"/>
      <c r="IAW574" s="471"/>
      <c r="IAX574" s="473"/>
      <c r="IAY574" s="313"/>
      <c r="IAZ574" s="535"/>
      <c r="IBA574" s="536"/>
      <c r="IBB574" s="537"/>
      <c r="IBC574" s="538"/>
      <c r="IBD574" s="539"/>
      <c r="IBE574" s="540"/>
      <c r="IBF574" s="209"/>
      <c r="IBG574" s="541"/>
      <c r="IBH574" s="541"/>
      <c r="IBI574" s="482"/>
      <c r="IBJ574" s="173"/>
      <c r="IBK574" s="173"/>
      <c r="IBL574" s="509"/>
      <c r="IBN574" s="148"/>
      <c r="IBO574" s="148"/>
      <c r="IBP574" s="149"/>
      <c r="IBQ574" s="150"/>
      <c r="IBS574" s="152"/>
      <c r="IBT574" s="542"/>
      <c r="IBU574" s="154"/>
      <c r="IBV574" s="175"/>
      <c r="IBX574" s="156"/>
      <c r="IBY574" s="287"/>
      <c r="IBZ574" s="488"/>
      <c r="ICA574" s="489"/>
      <c r="ICB574" s="488"/>
      <c r="ICC574" s="300"/>
      <c r="ICD574" s="532"/>
      <c r="ICE574" s="533"/>
      <c r="ICF574" s="534"/>
      <c r="ICG574" s="316"/>
      <c r="ICH574" s="316"/>
      <c r="ICI574" s="471"/>
      <c r="ICJ574" s="472"/>
      <c r="ICK574" s="471"/>
      <c r="ICL574" s="473"/>
      <c r="ICM574" s="313"/>
      <c r="ICN574" s="535"/>
      <c r="ICO574" s="536"/>
      <c r="ICP574" s="537"/>
      <c r="ICQ574" s="538"/>
      <c r="ICR574" s="539"/>
      <c r="ICS574" s="540"/>
      <c r="ICT574" s="209"/>
      <c r="ICU574" s="541"/>
      <c r="ICV574" s="541"/>
      <c r="ICW574" s="482"/>
      <c r="ICX574" s="173"/>
      <c r="ICY574" s="173"/>
      <c r="ICZ574" s="509"/>
      <c r="IDB574" s="148"/>
      <c r="IDC574" s="148"/>
      <c r="IDD574" s="149"/>
      <c r="IDE574" s="150"/>
      <c r="IDG574" s="152"/>
      <c r="IDH574" s="542"/>
      <c r="IDI574" s="154"/>
      <c r="IDJ574" s="175"/>
      <c r="IDL574" s="156"/>
      <c r="IDM574" s="287"/>
      <c r="IDN574" s="488"/>
      <c r="IDO574" s="489"/>
      <c r="IDP574" s="488"/>
      <c r="IDQ574" s="300"/>
      <c r="IDR574" s="532"/>
      <c r="IDS574" s="533"/>
      <c r="IDT574" s="534"/>
      <c r="IDU574" s="316"/>
      <c r="IDV574" s="316"/>
      <c r="IDW574" s="471"/>
      <c r="IDX574" s="472"/>
      <c r="IDY574" s="471"/>
      <c r="IDZ574" s="473"/>
      <c r="IEA574" s="313"/>
      <c r="IEB574" s="535"/>
      <c r="IEC574" s="536"/>
      <c r="IED574" s="537"/>
      <c r="IEE574" s="538"/>
      <c r="IEF574" s="539"/>
      <c r="IEG574" s="540"/>
      <c r="IEH574" s="209"/>
      <c r="IEI574" s="541"/>
      <c r="IEJ574" s="541"/>
      <c r="IEK574" s="482"/>
      <c r="IEL574" s="173"/>
      <c r="IEM574" s="173"/>
      <c r="IEN574" s="509"/>
      <c r="IEP574" s="148"/>
      <c r="IEQ574" s="148"/>
      <c r="IER574" s="149"/>
      <c r="IES574" s="150"/>
      <c r="IEU574" s="152"/>
      <c r="IEV574" s="542"/>
      <c r="IEW574" s="154"/>
      <c r="IEX574" s="175"/>
      <c r="IEZ574" s="156"/>
      <c r="IFA574" s="287"/>
      <c r="IFB574" s="488"/>
      <c r="IFC574" s="489"/>
      <c r="IFD574" s="488"/>
      <c r="IFE574" s="300"/>
      <c r="IFF574" s="532"/>
      <c r="IFG574" s="533"/>
      <c r="IFH574" s="534"/>
      <c r="IFI574" s="316"/>
      <c r="IFJ574" s="316"/>
      <c r="IFK574" s="471"/>
      <c r="IFL574" s="472"/>
      <c r="IFM574" s="471"/>
      <c r="IFN574" s="473"/>
      <c r="IFO574" s="313"/>
      <c r="IFP574" s="535"/>
      <c r="IFQ574" s="536"/>
      <c r="IFR574" s="537"/>
      <c r="IFS574" s="538"/>
      <c r="IFT574" s="539"/>
      <c r="IFU574" s="540"/>
      <c r="IFV574" s="209"/>
      <c r="IFW574" s="541"/>
      <c r="IFX574" s="541"/>
      <c r="IFY574" s="482"/>
      <c r="IFZ574" s="173"/>
      <c r="IGA574" s="173"/>
      <c r="IGB574" s="509"/>
      <c r="IGD574" s="148"/>
      <c r="IGE574" s="148"/>
      <c r="IGF574" s="149"/>
      <c r="IGG574" s="150"/>
      <c r="IGI574" s="152"/>
      <c r="IGJ574" s="542"/>
      <c r="IGK574" s="154"/>
      <c r="IGL574" s="175"/>
      <c r="IGN574" s="156"/>
      <c r="IGO574" s="287"/>
      <c r="IGP574" s="488"/>
      <c r="IGQ574" s="489"/>
      <c r="IGR574" s="488"/>
      <c r="IGS574" s="300"/>
      <c r="IGT574" s="532"/>
      <c r="IGU574" s="533"/>
      <c r="IGV574" s="534"/>
      <c r="IGW574" s="316"/>
      <c r="IGX574" s="316"/>
      <c r="IGY574" s="471"/>
      <c r="IGZ574" s="472"/>
      <c r="IHA574" s="471"/>
      <c r="IHB574" s="473"/>
      <c r="IHC574" s="313"/>
      <c r="IHD574" s="535"/>
      <c r="IHE574" s="536"/>
      <c r="IHF574" s="537"/>
      <c r="IHG574" s="538"/>
      <c r="IHH574" s="539"/>
      <c r="IHI574" s="540"/>
      <c r="IHJ574" s="209"/>
      <c r="IHK574" s="541"/>
      <c r="IHL574" s="541"/>
      <c r="IHM574" s="482"/>
      <c r="IHN574" s="173"/>
      <c r="IHO574" s="173"/>
      <c r="IHP574" s="509"/>
      <c r="IHR574" s="148"/>
      <c r="IHS574" s="148"/>
      <c r="IHT574" s="149"/>
      <c r="IHU574" s="150"/>
      <c r="IHW574" s="152"/>
      <c r="IHX574" s="542"/>
      <c r="IHY574" s="154"/>
      <c r="IHZ574" s="175"/>
      <c r="IIB574" s="156"/>
      <c r="IIC574" s="287"/>
      <c r="IID574" s="488"/>
      <c r="IIE574" s="489"/>
      <c r="IIF574" s="488"/>
      <c r="IIG574" s="300"/>
      <c r="IIH574" s="532"/>
      <c r="III574" s="533"/>
      <c r="IIJ574" s="534"/>
      <c r="IIK574" s="316"/>
      <c r="IIL574" s="316"/>
      <c r="IIM574" s="471"/>
      <c r="IIN574" s="472"/>
      <c r="IIO574" s="471"/>
      <c r="IIP574" s="473"/>
      <c r="IIQ574" s="313"/>
      <c r="IIR574" s="535"/>
      <c r="IIS574" s="536"/>
      <c r="IIT574" s="537"/>
      <c r="IIU574" s="538"/>
      <c r="IIV574" s="539"/>
      <c r="IIW574" s="540"/>
      <c r="IIX574" s="209"/>
      <c r="IIY574" s="541"/>
      <c r="IIZ574" s="541"/>
      <c r="IJA574" s="482"/>
      <c r="IJB574" s="173"/>
      <c r="IJC574" s="173"/>
      <c r="IJD574" s="509"/>
      <c r="IJF574" s="148"/>
      <c r="IJG574" s="148"/>
      <c r="IJH574" s="149"/>
      <c r="IJI574" s="150"/>
      <c r="IJK574" s="152"/>
      <c r="IJL574" s="542"/>
      <c r="IJM574" s="154"/>
      <c r="IJN574" s="175"/>
      <c r="IJP574" s="156"/>
      <c r="IJQ574" s="287"/>
      <c r="IJR574" s="488"/>
      <c r="IJS574" s="489"/>
      <c r="IJT574" s="488"/>
      <c r="IJU574" s="300"/>
      <c r="IJV574" s="532"/>
      <c r="IJW574" s="533"/>
      <c r="IJX574" s="534"/>
      <c r="IJY574" s="316"/>
      <c r="IJZ574" s="316"/>
      <c r="IKA574" s="471"/>
      <c r="IKB574" s="472"/>
      <c r="IKC574" s="471"/>
      <c r="IKD574" s="473"/>
      <c r="IKE574" s="313"/>
      <c r="IKF574" s="535"/>
      <c r="IKG574" s="536"/>
      <c r="IKH574" s="537"/>
      <c r="IKI574" s="538"/>
      <c r="IKJ574" s="539"/>
      <c r="IKK574" s="540"/>
      <c r="IKL574" s="209"/>
      <c r="IKM574" s="541"/>
      <c r="IKN574" s="541"/>
      <c r="IKO574" s="482"/>
      <c r="IKP574" s="173"/>
      <c r="IKQ574" s="173"/>
      <c r="IKR574" s="509"/>
      <c r="IKT574" s="148"/>
      <c r="IKU574" s="148"/>
      <c r="IKV574" s="149"/>
      <c r="IKW574" s="150"/>
      <c r="IKY574" s="152"/>
      <c r="IKZ574" s="542"/>
      <c r="ILA574" s="154"/>
      <c r="ILB574" s="175"/>
      <c r="ILD574" s="156"/>
      <c r="ILE574" s="287"/>
      <c r="ILF574" s="488"/>
      <c r="ILG574" s="489"/>
      <c r="ILH574" s="488"/>
      <c r="ILI574" s="300"/>
      <c r="ILJ574" s="532"/>
      <c r="ILK574" s="533"/>
      <c r="ILL574" s="534"/>
      <c r="ILM574" s="316"/>
      <c r="ILN574" s="316"/>
      <c r="ILO574" s="471"/>
      <c r="ILP574" s="472"/>
      <c r="ILQ574" s="471"/>
      <c r="ILR574" s="473"/>
      <c r="ILS574" s="313"/>
      <c r="ILT574" s="535"/>
      <c r="ILU574" s="536"/>
      <c r="ILV574" s="537"/>
      <c r="ILW574" s="538"/>
      <c r="ILX574" s="539"/>
      <c r="ILY574" s="540"/>
      <c r="ILZ574" s="209"/>
      <c r="IMA574" s="541"/>
      <c r="IMB574" s="541"/>
      <c r="IMC574" s="482"/>
      <c r="IMD574" s="173"/>
      <c r="IME574" s="173"/>
      <c r="IMF574" s="509"/>
      <c r="IMH574" s="148"/>
      <c r="IMI574" s="148"/>
      <c r="IMJ574" s="149"/>
      <c r="IMK574" s="150"/>
      <c r="IMM574" s="152"/>
      <c r="IMN574" s="542"/>
      <c r="IMO574" s="154"/>
      <c r="IMP574" s="175"/>
      <c r="IMR574" s="156"/>
      <c r="IMS574" s="287"/>
      <c r="IMT574" s="488"/>
      <c r="IMU574" s="489"/>
      <c r="IMV574" s="488"/>
      <c r="IMW574" s="300"/>
      <c r="IMX574" s="532"/>
      <c r="IMY574" s="533"/>
      <c r="IMZ574" s="534"/>
      <c r="INA574" s="316"/>
      <c r="INB574" s="316"/>
      <c r="INC574" s="471"/>
      <c r="IND574" s="472"/>
      <c r="INE574" s="471"/>
      <c r="INF574" s="473"/>
      <c r="ING574" s="313"/>
      <c r="INH574" s="535"/>
      <c r="INI574" s="536"/>
      <c r="INJ574" s="537"/>
      <c r="INK574" s="538"/>
      <c r="INL574" s="539"/>
      <c r="INM574" s="540"/>
      <c r="INN574" s="209"/>
      <c r="INO574" s="541"/>
      <c r="INP574" s="541"/>
      <c r="INQ574" s="482"/>
      <c r="INR574" s="173"/>
      <c r="INS574" s="173"/>
      <c r="INT574" s="509"/>
      <c r="INV574" s="148"/>
      <c r="INW574" s="148"/>
      <c r="INX574" s="149"/>
      <c r="INY574" s="150"/>
      <c r="IOA574" s="152"/>
      <c r="IOB574" s="542"/>
      <c r="IOC574" s="154"/>
      <c r="IOD574" s="175"/>
      <c r="IOF574" s="156"/>
      <c r="IOG574" s="287"/>
      <c r="IOH574" s="488"/>
      <c r="IOI574" s="489"/>
      <c r="IOJ574" s="488"/>
      <c r="IOK574" s="300"/>
      <c r="IOL574" s="532"/>
      <c r="IOM574" s="533"/>
      <c r="ION574" s="534"/>
      <c r="IOO574" s="316"/>
      <c r="IOP574" s="316"/>
      <c r="IOQ574" s="471"/>
      <c r="IOR574" s="472"/>
      <c r="IOS574" s="471"/>
      <c r="IOT574" s="473"/>
      <c r="IOU574" s="313"/>
      <c r="IOV574" s="535"/>
      <c r="IOW574" s="536"/>
      <c r="IOX574" s="537"/>
      <c r="IOY574" s="538"/>
      <c r="IOZ574" s="539"/>
      <c r="IPA574" s="540"/>
      <c r="IPB574" s="209"/>
      <c r="IPC574" s="541"/>
      <c r="IPD574" s="541"/>
      <c r="IPE574" s="482"/>
      <c r="IPF574" s="173"/>
      <c r="IPG574" s="173"/>
      <c r="IPH574" s="509"/>
      <c r="IPJ574" s="148"/>
      <c r="IPK574" s="148"/>
      <c r="IPL574" s="149"/>
      <c r="IPM574" s="150"/>
      <c r="IPO574" s="152"/>
      <c r="IPP574" s="542"/>
      <c r="IPQ574" s="154"/>
      <c r="IPR574" s="175"/>
      <c r="IPT574" s="156"/>
      <c r="IPU574" s="287"/>
      <c r="IPV574" s="488"/>
      <c r="IPW574" s="489"/>
      <c r="IPX574" s="488"/>
      <c r="IPY574" s="300"/>
      <c r="IPZ574" s="532"/>
      <c r="IQA574" s="533"/>
      <c r="IQB574" s="534"/>
      <c r="IQC574" s="316"/>
      <c r="IQD574" s="316"/>
      <c r="IQE574" s="471"/>
      <c r="IQF574" s="472"/>
      <c r="IQG574" s="471"/>
      <c r="IQH574" s="473"/>
      <c r="IQI574" s="313"/>
      <c r="IQJ574" s="535"/>
      <c r="IQK574" s="536"/>
      <c r="IQL574" s="537"/>
      <c r="IQM574" s="538"/>
      <c r="IQN574" s="539"/>
      <c r="IQO574" s="540"/>
      <c r="IQP574" s="209"/>
      <c r="IQQ574" s="541"/>
      <c r="IQR574" s="541"/>
      <c r="IQS574" s="482"/>
      <c r="IQT574" s="173"/>
      <c r="IQU574" s="173"/>
      <c r="IQV574" s="509"/>
      <c r="IQX574" s="148"/>
      <c r="IQY574" s="148"/>
      <c r="IQZ574" s="149"/>
      <c r="IRA574" s="150"/>
      <c r="IRC574" s="152"/>
      <c r="IRD574" s="542"/>
      <c r="IRE574" s="154"/>
      <c r="IRF574" s="175"/>
      <c r="IRH574" s="156"/>
      <c r="IRI574" s="287"/>
      <c r="IRJ574" s="488"/>
      <c r="IRK574" s="489"/>
      <c r="IRL574" s="488"/>
      <c r="IRM574" s="300"/>
      <c r="IRN574" s="532"/>
      <c r="IRO574" s="533"/>
      <c r="IRP574" s="534"/>
      <c r="IRQ574" s="316"/>
      <c r="IRR574" s="316"/>
      <c r="IRS574" s="471"/>
      <c r="IRT574" s="472"/>
      <c r="IRU574" s="471"/>
      <c r="IRV574" s="473"/>
      <c r="IRW574" s="313"/>
      <c r="IRX574" s="535"/>
      <c r="IRY574" s="536"/>
      <c r="IRZ574" s="537"/>
      <c r="ISA574" s="538"/>
      <c r="ISB574" s="539"/>
      <c r="ISC574" s="540"/>
      <c r="ISD574" s="209"/>
      <c r="ISE574" s="541"/>
      <c r="ISF574" s="541"/>
      <c r="ISG574" s="482"/>
      <c r="ISH574" s="173"/>
      <c r="ISI574" s="173"/>
      <c r="ISJ574" s="509"/>
      <c r="ISL574" s="148"/>
      <c r="ISM574" s="148"/>
      <c r="ISN574" s="149"/>
      <c r="ISO574" s="150"/>
      <c r="ISQ574" s="152"/>
      <c r="ISR574" s="542"/>
      <c r="ISS574" s="154"/>
      <c r="IST574" s="175"/>
      <c r="ISV574" s="156"/>
      <c r="ISW574" s="287"/>
      <c r="ISX574" s="488"/>
      <c r="ISY574" s="489"/>
      <c r="ISZ574" s="488"/>
      <c r="ITA574" s="300"/>
      <c r="ITB574" s="532"/>
      <c r="ITC574" s="533"/>
      <c r="ITD574" s="534"/>
      <c r="ITE574" s="316"/>
      <c r="ITF574" s="316"/>
      <c r="ITG574" s="471"/>
      <c r="ITH574" s="472"/>
      <c r="ITI574" s="471"/>
      <c r="ITJ574" s="473"/>
      <c r="ITK574" s="313"/>
      <c r="ITL574" s="535"/>
      <c r="ITM574" s="536"/>
      <c r="ITN574" s="537"/>
      <c r="ITO574" s="538"/>
      <c r="ITP574" s="539"/>
      <c r="ITQ574" s="540"/>
      <c r="ITR574" s="209"/>
      <c r="ITS574" s="541"/>
      <c r="ITT574" s="541"/>
      <c r="ITU574" s="482"/>
      <c r="ITV574" s="173"/>
      <c r="ITW574" s="173"/>
      <c r="ITX574" s="509"/>
      <c r="ITZ574" s="148"/>
      <c r="IUA574" s="148"/>
      <c r="IUB574" s="149"/>
      <c r="IUC574" s="150"/>
      <c r="IUE574" s="152"/>
      <c r="IUF574" s="542"/>
      <c r="IUG574" s="154"/>
      <c r="IUH574" s="175"/>
      <c r="IUJ574" s="156"/>
      <c r="IUK574" s="287"/>
      <c r="IUL574" s="488"/>
      <c r="IUM574" s="489"/>
      <c r="IUN574" s="488"/>
      <c r="IUO574" s="300"/>
      <c r="IUP574" s="532"/>
      <c r="IUQ574" s="533"/>
      <c r="IUR574" s="534"/>
      <c r="IUS574" s="316"/>
      <c r="IUT574" s="316"/>
      <c r="IUU574" s="471"/>
      <c r="IUV574" s="472"/>
      <c r="IUW574" s="471"/>
      <c r="IUX574" s="473"/>
      <c r="IUY574" s="313"/>
      <c r="IUZ574" s="535"/>
      <c r="IVA574" s="536"/>
      <c r="IVB574" s="537"/>
      <c r="IVC574" s="538"/>
      <c r="IVD574" s="539"/>
      <c r="IVE574" s="540"/>
      <c r="IVF574" s="209"/>
      <c r="IVG574" s="541"/>
      <c r="IVH574" s="541"/>
      <c r="IVI574" s="482"/>
      <c r="IVJ574" s="173"/>
      <c r="IVK574" s="173"/>
      <c r="IVL574" s="509"/>
      <c r="IVN574" s="148"/>
      <c r="IVO574" s="148"/>
      <c r="IVP574" s="149"/>
      <c r="IVQ574" s="150"/>
      <c r="IVS574" s="152"/>
      <c r="IVT574" s="542"/>
      <c r="IVU574" s="154"/>
      <c r="IVV574" s="175"/>
      <c r="IVX574" s="156"/>
      <c r="IVY574" s="287"/>
      <c r="IVZ574" s="488"/>
      <c r="IWA574" s="489"/>
      <c r="IWB574" s="488"/>
      <c r="IWC574" s="300"/>
      <c r="IWD574" s="532"/>
      <c r="IWE574" s="533"/>
      <c r="IWF574" s="534"/>
      <c r="IWG574" s="316"/>
      <c r="IWH574" s="316"/>
      <c r="IWI574" s="471"/>
      <c r="IWJ574" s="472"/>
      <c r="IWK574" s="471"/>
      <c r="IWL574" s="473"/>
      <c r="IWM574" s="313"/>
      <c r="IWN574" s="535"/>
      <c r="IWO574" s="536"/>
      <c r="IWP574" s="537"/>
      <c r="IWQ574" s="538"/>
      <c r="IWR574" s="539"/>
      <c r="IWS574" s="540"/>
      <c r="IWT574" s="209"/>
      <c r="IWU574" s="541"/>
      <c r="IWV574" s="541"/>
      <c r="IWW574" s="482"/>
      <c r="IWX574" s="173"/>
      <c r="IWY574" s="173"/>
      <c r="IWZ574" s="509"/>
      <c r="IXB574" s="148"/>
      <c r="IXC574" s="148"/>
      <c r="IXD574" s="149"/>
      <c r="IXE574" s="150"/>
      <c r="IXG574" s="152"/>
      <c r="IXH574" s="542"/>
      <c r="IXI574" s="154"/>
      <c r="IXJ574" s="175"/>
      <c r="IXL574" s="156"/>
      <c r="IXM574" s="287"/>
      <c r="IXN574" s="488"/>
      <c r="IXO574" s="489"/>
      <c r="IXP574" s="488"/>
      <c r="IXQ574" s="300"/>
      <c r="IXR574" s="532"/>
      <c r="IXS574" s="533"/>
      <c r="IXT574" s="534"/>
      <c r="IXU574" s="316"/>
      <c r="IXV574" s="316"/>
      <c r="IXW574" s="471"/>
      <c r="IXX574" s="472"/>
      <c r="IXY574" s="471"/>
      <c r="IXZ574" s="473"/>
      <c r="IYA574" s="313"/>
      <c r="IYB574" s="535"/>
      <c r="IYC574" s="536"/>
      <c r="IYD574" s="537"/>
      <c r="IYE574" s="538"/>
      <c r="IYF574" s="539"/>
      <c r="IYG574" s="540"/>
      <c r="IYH574" s="209"/>
      <c r="IYI574" s="541"/>
      <c r="IYJ574" s="541"/>
      <c r="IYK574" s="482"/>
      <c r="IYL574" s="173"/>
      <c r="IYM574" s="173"/>
      <c r="IYN574" s="509"/>
      <c r="IYP574" s="148"/>
      <c r="IYQ574" s="148"/>
      <c r="IYR574" s="149"/>
      <c r="IYS574" s="150"/>
      <c r="IYU574" s="152"/>
      <c r="IYV574" s="542"/>
      <c r="IYW574" s="154"/>
      <c r="IYX574" s="175"/>
      <c r="IYZ574" s="156"/>
      <c r="IZA574" s="287"/>
      <c r="IZB574" s="488"/>
      <c r="IZC574" s="489"/>
      <c r="IZD574" s="488"/>
      <c r="IZE574" s="300"/>
      <c r="IZF574" s="532"/>
      <c r="IZG574" s="533"/>
      <c r="IZH574" s="534"/>
      <c r="IZI574" s="316"/>
      <c r="IZJ574" s="316"/>
      <c r="IZK574" s="471"/>
      <c r="IZL574" s="472"/>
      <c r="IZM574" s="471"/>
      <c r="IZN574" s="473"/>
      <c r="IZO574" s="313"/>
      <c r="IZP574" s="535"/>
      <c r="IZQ574" s="536"/>
      <c r="IZR574" s="537"/>
      <c r="IZS574" s="538"/>
      <c r="IZT574" s="539"/>
      <c r="IZU574" s="540"/>
      <c r="IZV574" s="209"/>
      <c r="IZW574" s="541"/>
      <c r="IZX574" s="541"/>
      <c r="IZY574" s="482"/>
      <c r="IZZ574" s="173"/>
      <c r="JAA574" s="173"/>
      <c r="JAB574" s="509"/>
      <c r="JAD574" s="148"/>
      <c r="JAE574" s="148"/>
      <c r="JAF574" s="149"/>
      <c r="JAG574" s="150"/>
      <c r="JAI574" s="152"/>
      <c r="JAJ574" s="542"/>
      <c r="JAK574" s="154"/>
      <c r="JAL574" s="175"/>
      <c r="JAN574" s="156"/>
      <c r="JAO574" s="287"/>
      <c r="JAP574" s="488"/>
      <c r="JAQ574" s="489"/>
      <c r="JAR574" s="488"/>
      <c r="JAS574" s="300"/>
      <c r="JAT574" s="532"/>
      <c r="JAU574" s="533"/>
      <c r="JAV574" s="534"/>
      <c r="JAW574" s="316"/>
      <c r="JAX574" s="316"/>
      <c r="JAY574" s="471"/>
      <c r="JAZ574" s="472"/>
      <c r="JBA574" s="471"/>
      <c r="JBB574" s="473"/>
      <c r="JBC574" s="313"/>
      <c r="JBD574" s="535"/>
      <c r="JBE574" s="536"/>
      <c r="JBF574" s="537"/>
      <c r="JBG574" s="538"/>
      <c r="JBH574" s="539"/>
      <c r="JBI574" s="540"/>
      <c r="JBJ574" s="209"/>
      <c r="JBK574" s="541"/>
      <c r="JBL574" s="541"/>
      <c r="JBM574" s="482"/>
      <c r="JBN574" s="173"/>
      <c r="JBO574" s="173"/>
      <c r="JBP574" s="509"/>
      <c r="JBR574" s="148"/>
      <c r="JBS574" s="148"/>
      <c r="JBT574" s="149"/>
      <c r="JBU574" s="150"/>
      <c r="JBW574" s="152"/>
      <c r="JBX574" s="542"/>
      <c r="JBY574" s="154"/>
      <c r="JBZ574" s="175"/>
      <c r="JCB574" s="156"/>
      <c r="JCC574" s="287"/>
      <c r="JCD574" s="488"/>
      <c r="JCE574" s="489"/>
      <c r="JCF574" s="488"/>
      <c r="JCG574" s="300"/>
      <c r="JCH574" s="532"/>
      <c r="JCI574" s="533"/>
      <c r="JCJ574" s="534"/>
      <c r="JCK574" s="316"/>
      <c r="JCL574" s="316"/>
      <c r="JCM574" s="471"/>
      <c r="JCN574" s="472"/>
      <c r="JCO574" s="471"/>
      <c r="JCP574" s="473"/>
      <c r="JCQ574" s="313"/>
      <c r="JCR574" s="535"/>
      <c r="JCS574" s="536"/>
      <c r="JCT574" s="537"/>
      <c r="JCU574" s="538"/>
      <c r="JCV574" s="539"/>
      <c r="JCW574" s="540"/>
      <c r="JCX574" s="209"/>
      <c r="JCY574" s="541"/>
      <c r="JCZ574" s="541"/>
      <c r="JDA574" s="482"/>
      <c r="JDB574" s="173"/>
      <c r="JDC574" s="173"/>
      <c r="JDD574" s="509"/>
      <c r="JDF574" s="148"/>
      <c r="JDG574" s="148"/>
      <c r="JDH574" s="149"/>
      <c r="JDI574" s="150"/>
      <c r="JDK574" s="152"/>
      <c r="JDL574" s="542"/>
      <c r="JDM574" s="154"/>
      <c r="JDN574" s="175"/>
      <c r="JDP574" s="156"/>
      <c r="JDQ574" s="287"/>
      <c r="JDR574" s="488"/>
      <c r="JDS574" s="489"/>
      <c r="JDT574" s="488"/>
      <c r="JDU574" s="300"/>
      <c r="JDV574" s="532"/>
      <c r="JDW574" s="533"/>
      <c r="JDX574" s="534"/>
      <c r="JDY574" s="316"/>
      <c r="JDZ574" s="316"/>
      <c r="JEA574" s="471"/>
      <c r="JEB574" s="472"/>
      <c r="JEC574" s="471"/>
      <c r="JED574" s="473"/>
      <c r="JEE574" s="313"/>
      <c r="JEF574" s="535"/>
      <c r="JEG574" s="536"/>
      <c r="JEH574" s="537"/>
      <c r="JEI574" s="538"/>
      <c r="JEJ574" s="539"/>
      <c r="JEK574" s="540"/>
      <c r="JEL574" s="209"/>
      <c r="JEM574" s="541"/>
      <c r="JEN574" s="541"/>
      <c r="JEO574" s="482"/>
      <c r="JEP574" s="173"/>
      <c r="JEQ574" s="173"/>
      <c r="JER574" s="509"/>
      <c r="JET574" s="148"/>
      <c r="JEU574" s="148"/>
      <c r="JEV574" s="149"/>
      <c r="JEW574" s="150"/>
      <c r="JEY574" s="152"/>
      <c r="JEZ574" s="542"/>
      <c r="JFA574" s="154"/>
      <c r="JFB574" s="175"/>
      <c r="JFD574" s="156"/>
      <c r="JFE574" s="287"/>
      <c r="JFF574" s="488"/>
      <c r="JFG574" s="489"/>
      <c r="JFH574" s="488"/>
      <c r="JFI574" s="300"/>
      <c r="JFJ574" s="532"/>
      <c r="JFK574" s="533"/>
      <c r="JFL574" s="534"/>
      <c r="JFM574" s="316"/>
      <c r="JFN574" s="316"/>
      <c r="JFO574" s="471"/>
      <c r="JFP574" s="472"/>
      <c r="JFQ574" s="471"/>
      <c r="JFR574" s="473"/>
      <c r="JFS574" s="313"/>
      <c r="JFT574" s="535"/>
      <c r="JFU574" s="536"/>
      <c r="JFV574" s="537"/>
      <c r="JFW574" s="538"/>
      <c r="JFX574" s="539"/>
      <c r="JFY574" s="540"/>
      <c r="JFZ574" s="209"/>
      <c r="JGA574" s="541"/>
      <c r="JGB574" s="541"/>
      <c r="JGC574" s="482"/>
      <c r="JGD574" s="173"/>
      <c r="JGE574" s="173"/>
      <c r="JGF574" s="509"/>
      <c r="JGH574" s="148"/>
      <c r="JGI574" s="148"/>
      <c r="JGJ574" s="149"/>
      <c r="JGK574" s="150"/>
      <c r="JGM574" s="152"/>
      <c r="JGN574" s="542"/>
      <c r="JGO574" s="154"/>
      <c r="JGP574" s="175"/>
      <c r="JGR574" s="156"/>
      <c r="JGS574" s="287"/>
      <c r="JGT574" s="488"/>
      <c r="JGU574" s="489"/>
      <c r="JGV574" s="488"/>
      <c r="JGW574" s="300"/>
      <c r="JGX574" s="532"/>
      <c r="JGY574" s="533"/>
      <c r="JGZ574" s="534"/>
      <c r="JHA574" s="316"/>
      <c r="JHB574" s="316"/>
      <c r="JHC574" s="471"/>
      <c r="JHD574" s="472"/>
      <c r="JHE574" s="471"/>
      <c r="JHF574" s="473"/>
      <c r="JHG574" s="313"/>
      <c r="JHH574" s="535"/>
      <c r="JHI574" s="536"/>
      <c r="JHJ574" s="537"/>
      <c r="JHK574" s="538"/>
      <c r="JHL574" s="539"/>
      <c r="JHM574" s="540"/>
      <c r="JHN574" s="209"/>
      <c r="JHO574" s="541"/>
      <c r="JHP574" s="541"/>
      <c r="JHQ574" s="482"/>
      <c r="JHR574" s="173"/>
      <c r="JHS574" s="173"/>
      <c r="JHT574" s="509"/>
      <c r="JHV574" s="148"/>
      <c r="JHW574" s="148"/>
      <c r="JHX574" s="149"/>
      <c r="JHY574" s="150"/>
      <c r="JIA574" s="152"/>
      <c r="JIB574" s="542"/>
      <c r="JIC574" s="154"/>
      <c r="JID574" s="175"/>
      <c r="JIF574" s="156"/>
      <c r="JIG574" s="287"/>
      <c r="JIH574" s="488"/>
      <c r="JII574" s="489"/>
      <c r="JIJ574" s="488"/>
      <c r="JIK574" s="300"/>
      <c r="JIL574" s="532"/>
      <c r="JIM574" s="533"/>
      <c r="JIN574" s="534"/>
      <c r="JIO574" s="316"/>
      <c r="JIP574" s="316"/>
      <c r="JIQ574" s="471"/>
      <c r="JIR574" s="472"/>
      <c r="JIS574" s="471"/>
      <c r="JIT574" s="473"/>
      <c r="JIU574" s="313"/>
      <c r="JIV574" s="535"/>
      <c r="JIW574" s="536"/>
      <c r="JIX574" s="537"/>
      <c r="JIY574" s="538"/>
      <c r="JIZ574" s="539"/>
      <c r="JJA574" s="540"/>
      <c r="JJB574" s="209"/>
      <c r="JJC574" s="541"/>
      <c r="JJD574" s="541"/>
      <c r="JJE574" s="482"/>
      <c r="JJF574" s="173"/>
      <c r="JJG574" s="173"/>
      <c r="JJH574" s="509"/>
      <c r="JJJ574" s="148"/>
      <c r="JJK574" s="148"/>
      <c r="JJL574" s="149"/>
      <c r="JJM574" s="150"/>
      <c r="JJO574" s="152"/>
      <c r="JJP574" s="542"/>
      <c r="JJQ574" s="154"/>
      <c r="JJR574" s="175"/>
      <c r="JJT574" s="156"/>
      <c r="JJU574" s="287"/>
      <c r="JJV574" s="488"/>
      <c r="JJW574" s="489"/>
      <c r="JJX574" s="488"/>
      <c r="JJY574" s="300"/>
      <c r="JJZ574" s="532"/>
      <c r="JKA574" s="533"/>
      <c r="JKB574" s="534"/>
      <c r="JKC574" s="316"/>
      <c r="JKD574" s="316"/>
      <c r="JKE574" s="471"/>
      <c r="JKF574" s="472"/>
      <c r="JKG574" s="471"/>
      <c r="JKH574" s="473"/>
      <c r="JKI574" s="313"/>
      <c r="JKJ574" s="535"/>
      <c r="JKK574" s="536"/>
      <c r="JKL574" s="537"/>
      <c r="JKM574" s="538"/>
      <c r="JKN574" s="539"/>
      <c r="JKO574" s="540"/>
      <c r="JKP574" s="209"/>
      <c r="JKQ574" s="541"/>
      <c r="JKR574" s="541"/>
      <c r="JKS574" s="482"/>
      <c r="JKT574" s="173"/>
      <c r="JKU574" s="173"/>
      <c r="JKV574" s="509"/>
      <c r="JKX574" s="148"/>
      <c r="JKY574" s="148"/>
      <c r="JKZ574" s="149"/>
      <c r="JLA574" s="150"/>
      <c r="JLC574" s="152"/>
      <c r="JLD574" s="542"/>
      <c r="JLE574" s="154"/>
      <c r="JLF574" s="175"/>
      <c r="JLH574" s="156"/>
      <c r="JLI574" s="287"/>
      <c r="JLJ574" s="488"/>
      <c r="JLK574" s="489"/>
      <c r="JLL574" s="488"/>
      <c r="JLM574" s="300"/>
      <c r="JLN574" s="532"/>
      <c r="JLO574" s="533"/>
      <c r="JLP574" s="534"/>
      <c r="JLQ574" s="316"/>
      <c r="JLR574" s="316"/>
      <c r="JLS574" s="471"/>
      <c r="JLT574" s="472"/>
      <c r="JLU574" s="471"/>
      <c r="JLV574" s="473"/>
      <c r="JLW574" s="313"/>
      <c r="JLX574" s="535"/>
      <c r="JLY574" s="536"/>
      <c r="JLZ574" s="537"/>
      <c r="JMA574" s="538"/>
      <c r="JMB574" s="539"/>
      <c r="JMC574" s="540"/>
      <c r="JMD574" s="209"/>
      <c r="JME574" s="541"/>
      <c r="JMF574" s="541"/>
      <c r="JMG574" s="482"/>
      <c r="JMH574" s="173"/>
      <c r="JMI574" s="173"/>
      <c r="JMJ574" s="509"/>
      <c r="JML574" s="148"/>
      <c r="JMM574" s="148"/>
      <c r="JMN574" s="149"/>
      <c r="JMO574" s="150"/>
      <c r="JMQ574" s="152"/>
      <c r="JMR574" s="542"/>
      <c r="JMS574" s="154"/>
      <c r="JMT574" s="175"/>
      <c r="JMV574" s="156"/>
      <c r="JMW574" s="287"/>
      <c r="JMX574" s="488"/>
      <c r="JMY574" s="489"/>
      <c r="JMZ574" s="488"/>
      <c r="JNA574" s="300"/>
      <c r="JNB574" s="532"/>
      <c r="JNC574" s="533"/>
      <c r="JND574" s="534"/>
      <c r="JNE574" s="316"/>
      <c r="JNF574" s="316"/>
      <c r="JNG574" s="471"/>
      <c r="JNH574" s="472"/>
      <c r="JNI574" s="471"/>
      <c r="JNJ574" s="473"/>
      <c r="JNK574" s="313"/>
      <c r="JNL574" s="535"/>
      <c r="JNM574" s="536"/>
      <c r="JNN574" s="537"/>
      <c r="JNO574" s="538"/>
      <c r="JNP574" s="539"/>
      <c r="JNQ574" s="540"/>
      <c r="JNR574" s="209"/>
      <c r="JNS574" s="541"/>
      <c r="JNT574" s="541"/>
      <c r="JNU574" s="482"/>
      <c r="JNV574" s="173"/>
      <c r="JNW574" s="173"/>
      <c r="JNX574" s="509"/>
      <c r="JNZ574" s="148"/>
      <c r="JOA574" s="148"/>
      <c r="JOB574" s="149"/>
      <c r="JOC574" s="150"/>
      <c r="JOE574" s="152"/>
      <c r="JOF574" s="542"/>
      <c r="JOG574" s="154"/>
      <c r="JOH574" s="175"/>
      <c r="JOJ574" s="156"/>
      <c r="JOK574" s="287"/>
      <c r="JOL574" s="488"/>
      <c r="JOM574" s="489"/>
      <c r="JON574" s="488"/>
      <c r="JOO574" s="300"/>
      <c r="JOP574" s="532"/>
      <c r="JOQ574" s="533"/>
      <c r="JOR574" s="534"/>
      <c r="JOS574" s="316"/>
      <c r="JOT574" s="316"/>
      <c r="JOU574" s="471"/>
      <c r="JOV574" s="472"/>
      <c r="JOW574" s="471"/>
      <c r="JOX574" s="473"/>
      <c r="JOY574" s="313"/>
      <c r="JOZ574" s="535"/>
      <c r="JPA574" s="536"/>
      <c r="JPB574" s="537"/>
      <c r="JPC574" s="538"/>
      <c r="JPD574" s="539"/>
      <c r="JPE574" s="540"/>
      <c r="JPF574" s="209"/>
      <c r="JPG574" s="541"/>
      <c r="JPH574" s="541"/>
      <c r="JPI574" s="482"/>
      <c r="JPJ574" s="173"/>
      <c r="JPK574" s="173"/>
      <c r="JPL574" s="509"/>
      <c r="JPN574" s="148"/>
      <c r="JPO574" s="148"/>
      <c r="JPP574" s="149"/>
      <c r="JPQ574" s="150"/>
      <c r="JPS574" s="152"/>
      <c r="JPT574" s="542"/>
      <c r="JPU574" s="154"/>
      <c r="JPV574" s="175"/>
      <c r="JPX574" s="156"/>
      <c r="JPY574" s="287"/>
      <c r="JPZ574" s="488"/>
      <c r="JQA574" s="489"/>
      <c r="JQB574" s="488"/>
      <c r="JQC574" s="300"/>
      <c r="JQD574" s="532"/>
      <c r="JQE574" s="533"/>
      <c r="JQF574" s="534"/>
      <c r="JQG574" s="316"/>
      <c r="JQH574" s="316"/>
      <c r="JQI574" s="471"/>
      <c r="JQJ574" s="472"/>
      <c r="JQK574" s="471"/>
      <c r="JQL574" s="473"/>
      <c r="JQM574" s="313"/>
      <c r="JQN574" s="535"/>
      <c r="JQO574" s="536"/>
      <c r="JQP574" s="537"/>
      <c r="JQQ574" s="538"/>
      <c r="JQR574" s="539"/>
      <c r="JQS574" s="540"/>
      <c r="JQT574" s="209"/>
      <c r="JQU574" s="541"/>
      <c r="JQV574" s="541"/>
      <c r="JQW574" s="482"/>
      <c r="JQX574" s="173"/>
      <c r="JQY574" s="173"/>
      <c r="JQZ574" s="509"/>
      <c r="JRB574" s="148"/>
      <c r="JRC574" s="148"/>
      <c r="JRD574" s="149"/>
      <c r="JRE574" s="150"/>
      <c r="JRG574" s="152"/>
      <c r="JRH574" s="542"/>
      <c r="JRI574" s="154"/>
      <c r="JRJ574" s="175"/>
      <c r="JRL574" s="156"/>
      <c r="JRM574" s="287"/>
      <c r="JRN574" s="488"/>
      <c r="JRO574" s="489"/>
      <c r="JRP574" s="488"/>
      <c r="JRQ574" s="300"/>
      <c r="JRR574" s="532"/>
      <c r="JRS574" s="533"/>
      <c r="JRT574" s="534"/>
      <c r="JRU574" s="316"/>
      <c r="JRV574" s="316"/>
      <c r="JRW574" s="471"/>
      <c r="JRX574" s="472"/>
      <c r="JRY574" s="471"/>
      <c r="JRZ574" s="473"/>
      <c r="JSA574" s="313"/>
      <c r="JSB574" s="535"/>
      <c r="JSC574" s="536"/>
      <c r="JSD574" s="537"/>
      <c r="JSE574" s="538"/>
      <c r="JSF574" s="539"/>
      <c r="JSG574" s="540"/>
      <c r="JSH574" s="209"/>
      <c r="JSI574" s="541"/>
      <c r="JSJ574" s="541"/>
      <c r="JSK574" s="482"/>
      <c r="JSL574" s="173"/>
      <c r="JSM574" s="173"/>
      <c r="JSN574" s="509"/>
      <c r="JSP574" s="148"/>
      <c r="JSQ574" s="148"/>
      <c r="JSR574" s="149"/>
      <c r="JSS574" s="150"/>
      <c r="JSU574" s="152"/>
      <c r="JSV574" s="542"/>
      <c r="JSW574" s="154"/>
      <c r="JSX574" s="175"/>
      <c r="JSZ574" s="156"/>
      <c r="JTA574" s="287"/>
      <c r="JTB574" s="488"/>
      <c r="JTC574" s="489"/>
      <c r="JTD574" s="488"/>
      <c r="JTE574" s="300"/>
      <c r="JTF574" s="532"/>
      <c r="JTG574" s="533"/>
      <c r="JTH574" s="534"/>
      <c r="JTI574" s="316"/>
      <c r="JTJ574" s="316"/>
      <c r="JTK574" s="471"/>
      <c r="JTL574" s="472"/>
      <c r="JTM574" s="471"/>
      <c r="JTN574" s="473"/>
      <c r="JTO574" s="313"/>
      <c r="JTP574" s="535"/>
      <c r="JTQ574" s="536"/>
      <c r="JTR574" s="537"/>
      <c r="JTS574" s="538"/>
      <c r="JTT574" s="539"/>
      <c r="JTU574" s="540"/>
      <c r="JTV574" s="209"/>
      <c r="JTW574" s="541"/>
      <c r="JTX574" s="541"/>
      <c r="JTY574" s="482"/>
      <c r="JTZ574" s="173"/>
      <c r="JUA574" s="173"/>
      <c r="JUB574" s="509"/>
      <c r="JUD574" s="148"/>
      <c r="JUE574" s="148"/>
      <c r="JUF574" s="149"/>
      <c r="JUG574" s="150"/>
      <c r="JUI574" s="152"/>
      <c r="JUJ574" s="542"/>
      <c r="JUK574" s="154"/>
      <c r="JUL574" s="175"/>
      <c r="JUN574" s="156"/>
      <c r="JUO574" s="287"/>
      <c r="JUP574" s="488"/>
      <c r="JUQ574" s="489"/>
      <c r="JUR574" s="488"/>
      <c r="JUS574" s="300"/>
      <c r="JUT574" s="532"/>
      <c r="JUU574" s="533"/>
      <c r="JUV574" s="534"/>
      <c r="JUW574" s="316"/>
      <c r="JUX574" s="316"/>
      <c r="JUY574" s="471"/>
      <c r="JUZ574" s="472"/>
      <c r="JVA574" s="471"/>
      <c r="JVB574" s="473"/>
      <c r="JVC574" s="313"/>
      <c r="JVD574" s="535"/>
      <c r="JVE574" s="536"/>
      <c r="JVF574" s="537"/>
      <c r="JVG574" s="538"/>
      <c r="JVH574" s="539"/>
      <c r="JVI574" s="540"/>
      <c r="JVJ574" s="209"/>
      <c r="JVK574" s="541"/>
      <c r="JVL574" s="541"/>
      <c r="JVM574" s="482"/>
      <c r="JVN574" s="173"/>
      <c r="JVO574" s="173"/>
      <c r="JVP574" s="509"/>
      <c r="JVR574" s="148"/>
      <c r="JVS574" s="148"/>
      <c r="JVT574" s="149"/>
      <c r="JVU574" s="150"/>
      <c r="JVW574" s="152"/>
      <c r="JVX574" s="542"/>
      <c r="JVY574" s="154"/>
      <c r="JVZ574" s="175"/>
      <c r="JWB574" s="156"/>
      <c r="JWC574" s="287"/>
      <c r="JWD574" s="488"/>
      <c r="JWE574" s="489"/>
      <c r="JWF574" s="488"/>
      <c r="JWG574" s="300"/>
      <c r="JWH574" s="532"/>
      <c r="JWI574" s="533"/>
      <c r="JWJ574" s="534"/>
      <c r="JWK574" s="316"/>
      <c r="JWL574" s="316"/>
      <c r="JWM574" s="471"/>
      <c r="JWN574" s="472"/>
      <c r="JWO574" s="471"/>
      <c r="JWP574" s="473"/>
      <c r="JWQ574" s="313"/>
      <c r="JWR574" s="535"/>
      <c r="JWS574" s="536"/>
      <c r="JWT574" s="537"/>
      <c r="JWU574" s="538"/>
      <c r="JWV574" s="539"/>
      <c r="JWW574" s="540"/>
      <c r="JWX574" s="209"/>
      <c r="JWY574" s="541"/>
      <c r="JWZ574" s="541"/>
      <c r="JXA574" s="482"/>
      <c r="JXB574" s="173"/>
      <c r="JXC574" s="173"/>
      <c r="JXD574" s="509"/>
      <c r="JXF574" s="148"/>
      <c r="JXG574" s="148"/>
      <c r="JXH574" s="149"/>
      <c r="JXI574" s="150"/>
      <c r="JXK574" s="152"/>
      <c r="JXL574" s="542"/>
      <c r="JXM574" s="154"/>
      <c r="JXN574" s="175"/>
      <c r="JXP574" s="156"/>
      <c r="JXQ574" s="287"/>
      <c r="JXR574" s="488"/>
      <c r="JXS574" s="489"/>
      <c r="JXT574" s="488"/>
      <c r="JXU574" s="300"/>
      <c r="JXV574" s="532"/>
      <c r="JXW574" s="533"/>
      <c r="JXX574" s="534"/>
      <c r="JXY574" s="316"/>
      <c r="JXZ574" s="316"/>
      <c r="JYA574" s="471"/>
      <c r="JYB574" s="472"/>
      <c r="JYC574" s="471"/>
      <c r="JYD574" s="473"/>
      <c r="JYE574" s="313"/>
      <c r="JYF574" s="535"/>
      <c r="JYG574" s="536"/>
      <c r="JYH574" s="537"/>
      <c r="JYI574" s="538"/>
      <c r="JYJ574" s="539"/>
      <c r="JYK574" s="540"/>
      <c r="JYL574" s="209"/>
      <c r="JYM574" s="541"/>
      <c r="JYN574" s="541"/>
      <c r="JYO574" s="482"/>
      <c r="JYP574" s="173"/>
      <c r="JYQ574" s="173"/>
      <c r="JYR574" s="509"/>
      <c r="JYT574" s="148"/>
      <c r="JYU574" s="148"/>
      <c r="JYV574" s="149"/>
      <c r="JYW574" s="150"/>
      <c r="JYY574" s="152"/>
      <c r="JYZ574" s="542"/>
      <c r="JZA574" s="154"/>
      <c r="JZB574" s="175"/>
      <c r="JZD574" s="156"/>
      <c r="JZE574" s="287"/>
      <c r="JZF574" s="488"/>
      <c r="JZG574" s="489"/>
      <c r="JZH574" s="488"/>
      <c r="JZI574" s="300"/>
      <c r="JZJ574" s="532"/>
      <c r="JZK574" s="533"/>
      <c r="JZL574" s="534"/>
      <c r="JZM574" s="316"/>
      <c r="JZN574" s="316"/>
      <c r="JZO574" s="471"/>
      <c r="JZP574" s="472"/>
      <c r="JZQ574" s="471"/>
      <c r="JZR574" s="473"/>
      <c r="JZS574" s="313"/>
      <c r="JZT574" s="535"/>
      <c r="JZU574" s="536"/>
      <c r="JZV574" s="537"/>
      <c r="JZW574" s="538"/>
      <c r="JZX574" s="539"/>
      <c r="JZY574" s="540"/>
      <c r="JZZ574" s="209"/>
      <c r="KAA574" s="541"/>
      <c r="KAB574" s="541"/>
      <c r="KAC574" s="482"/>
      <c r="KAD574" s="173"/>
      <c r="KAE574" s="173"/>
      <c r="KAF574" s="509"/>
      <c r="KAH574" s="148"/>
      <c r="KAI574" s="148"/>
      <c r="KAJ574" s="149"/>
      <c r="KAK574" s="150"/>
      <c r="KAM574" s="152"/>
      <c r="KAN574" s="542"/>
      <c r="KAO574" s="154"/>
      <c r="KAP574" s="175"/>
      <c r="KAR574" s="156"/>
      <c r="KAS574" s="287"/>
      <c r="KAT574" s="488"/>
      <c r="KAU574" s="489"/>
      <c r="KAV574" s="488"/>
      <c r="KAW574" s="300"/>
      <c r="KAX574" s="532"/>
      <c r="KAY574" s="533"/>
      <c r="KAZ574" s="534"/>
      <c r="KBA574" s="316"/>
      <c r="KBB574" s="316"/>
      <c r="KBC574" s="471"/>
      <c r="KBD574" s="472"/>
      <c r="KBE574" s="471"/>
      <c r="KBF574" s="473"/>
      <c r="KBG574" s="313"/>
      <c r="KBH574" s="535"/>
      <c r="KBI574" s="536"/>
      <c r="KBJ574" s="537"/>
      <c r="KBK574" s="538"/>
      <c r="KBL574" s="539"/>
      <c r="KBM574" s="540"/>
      <c r="KBN574" s="209"/>
      <c r="KBO574" s="541"/>
      <c r="KBP574" s="541"/>
      <c r="KBQ574" s="482"/>
      <c r="KBR574" s="173"/>
      <c r="KBS574" s="173"/>
      <c r="KBT574" s="509"/>
      <c r="KBV574" s="148"/>
      <c r="KBW574" s="148"/>
      <c r="KBX574" s="149"/>
      <c r="KBY574" s="150"/>
      <c r="KCA574" s="152"/>
      <c r="KCB574" s="542"/>
      <c r="KCC574" s="154"/>
      <c r="KCD574" s="175"/>
      <c r="KCF574" s="156"/>
      <c r="KCG574" s="287"/>
      <c r="KCH574" s="488"/>
      <c r="KCI574" s="489"/>
      <c r="KCJ574" s="488"/>
      <c r="KCK574" s="300"/>
      <c r="KCL574" s="532"/>
      <c r="KCM574" s="533"/>
      <c r="KCN574" s="534"/>
      <c r="KCO574" s="316"/>
      <c r="KCP574" s="316"/>
      <c r="KCQ574" s="471"/>
      <c r="KCR574" s="472"/>
      <c r="KCS574" s="471"/>
      <c r="KCT574" s="473"/>
      <c r="KCU574" s="313"/>
      <c r="KCV574" s="535"/>
      <c r="KCW574" s="536"/>
      <c r="KCX574" s="537"/>
      <c r="KCY574" s="538"/>
      <c r="KCZ574" s="539"/>
      <c r="KDA574" s="540"/>
      <c r="KDB574" s="209"/>
      <c r="KDC574" s="541"/>
      <c r="KDD574" s="541"/>
      <c r="KDE574" s="482"/>
      <c r="KDF574" s="173"/>
      <c r="KDG574" s="173"/>
      <c r="KDH574" s="509"/>
      <c r="KDJ574" s="148"/>
      <c r="KDK574" s="148"/>
      <c r="KDL574" s="149"/>
      <c r="KDM574" s="150"/>
      <c r="KDO574" s="152"/>
      <c r="KDP574" s="542"/>
      <c r="KDQ574" s="154"/>
      <c r="KDR574" s="175"/>
      <c r="KDT574" s="156"/>
      <c r="KDU574" s="287"/>
      <c r="KDV574" s="488"/>
      <c r="KDW574" s="489"/>
      <c r="KDX574" s="488"/>
      <c r="KDY574" s="300"/>
      <c r="KDZ574" s="532"/>
      <c r="KEA574" s="533"/>
      <c r="KEB574" s="534"/>
      <c r="KEC574" s="316"/>
      <c r="KED574" s="316"/>
      <c r="KEE574" s="471"/>
      <c r="KEF574" s="472"/>
      <c r="KEG574" s="471"/>
      <c r="KEH574" s="473"/>
      <c r="KEI574" s="313"/>
      <c r="KEJ574" s="535"/>
      <c r="KEK574" s="536"/>
      <c r="KEL574" s="537"/>
      <c r="KEM574" s="538"/>
      <c r="KEN574" s="539"/>
      <c r="KEO574" s="540"/>
      <c r="KEP574" s="209"/>
      <c r="KEQ574" s="541"/>
      <c r="KER574" s="541"/>
      <c r="KES574" s="482"/>
      <c r="KET574" s="173"/>
      <c r="KEU574" s="173"/>
      <c r="KEV574" s="509"/>
      <c r="KEX574" s="148"/>
      <c r="KEY574" s="148"/>
      <c r="KEZ574" s="149"/>
      <c r="KFA574" s="150"/>
      <c r="KFC574" s="152"/>
      <c r="KFD574" s="542"/>
      <c r="KFE574" s="154"/>
      <c r="KFF574" s="175"/>
      <c r="KFH574" s="156"/>
      <c r="KFI574" s="287"/>
      <c r="KFJ574" s="488"/>
      <c r="KFK574" s="489"/>
      <c r="KFL574" s="488"/>
      <c r="KFM574" s="300"/>
      <c r="KFN574" s="532"/>
      <c r="KFO574" s="533"/>
      <c r="KFP574" s="534"/>
      <c r="KFQ574" s="316"/>
      <c r="KFR574" s="316"/>
      <c r="KFS574" s="471"/>
      <c r="KFT574" s="472"/>
      <c r="KFU574" s="471"/>
      <c r="KFV574" s="473"/>
      <c r="KFW574" s="313"/>
      <c r="KFX574" s="535"/>
      <c r="KFY574" s="536"/>
      <c r="KFZ574" s="537"/>
      <c r="KGA574" s="538"/>
      <c r="KGB574" s="539"/>
      <c r="KGC574" s="540"/>
      <c r="KGD574" s="209"/>
      <c r="KGE574" s="541"/>
      <c r="KGF574" s="541"/>
      <c r="KGG574" s="482"/>
      <c r="KGH574" s="173"/>
      <c r="KGI574" s="173"/>
      <c r="KGJ574" s="509"/>
      <c r="KGL574" s="148"/>
      <c r="KGM574" s="148"/>
      <c r="KGN574" s="149"/>
      <c r="KGO574" s="150"/>
      <c r="KGQ574" s="152"/>
      <c r="KGR574" s="542"/>
      <c r="KGS574" s="154"/>
      <c r="KGT574" s="175"/>
      <c r="KGV574" s="156"/>
      <c r="KGW574" s="287"/>
      <c r="KGX574" s="488"/>
      <c r="KGY574" s="489"/>
      <c r="KGZ574" s="488"/>
      <c r="KHA574" s="300"/>
      <c r="KHB574" s="532"/>
      <c r="KHC574" s="533"/>
      <c r="KHD574" s="534"/>
      <c r="KHE574" s="316"/>
      <c r="KHF574" s="316"/>
      <c r="KHG574" s="471"/>
      <c r="KHH574" s="472"/>
      <c r="KHI574" s="471"/>
      <c r="KHJ574" s="473"/>
      <c r="KHK574" s="313"/>
      <c r="KHL574" s="535"/>
      <c r="KHM574" s="536"/>
      <c r="KHN574" s="537"/>
      <c r="KHO574" s="538"/>
      <c r="KHP574" s="539"/>
      <c r="KHQ574" s="540"/>
      <c r="KHR574" s="209"/>
      <c r="KHS574" s="541"/>
      <c r="KHT574" s="541"/>
      <c r="KHU574" s="482"/>
      <c r="KHV574" s="173"/>
      <c r="KHW574" s="173"/>
      <c r="KHX574" s="509"/>
      <c r="KHZ574" s="148"/>
      <c r="KIA574" s="148"/>
      <c r="KIB574" s="149"/>
      <c r="KIC574" s="150"/>
      <c r="KIE574" s="152"/>
      <c r="KIF574" s="542"/>
      <c r="KIG574" s="154"/>
      <c r="KIH574" s="175"/>
      <c r="KIJ574" s="156"/>
      <c r="KIK574" s="287"/>
      <c r="KIL574" s="488"/>
      <c r="KIM574" s="489"/>
      <c r="KIN574" s="488"/>
      <c r="KIO574" s="300"/>
      <c r="KIP574" s="532"/>
      <c r="KIQ574" s="533"/>
      <c r="KIR574" s="534"/>
      <c r="KIS574" s="316"/>
      <c r="KIT574" s="316"/>
      <c r="KIU574" s="471"/>
      <c r="KIV574" s="472"/>
      <c r="KIW574" s="471"/>
      <c r="KIX574" s="473"/>
      <c r="KIY574" s="313"/>
      <c r="KIZ574" s="535"/>
      <c r="KJA574" s="536"/>
      <c r="KJB574" s="537"/>
      <c r="KJC574" s="538"/>
      <c r="KJD574" s="539"/>
      <c r="KJE574" s="540"/>
      <c r="KJF574" s="209"/>
      <c r="KJG574" s="541"/>
      <c r="KJH574" s="541"/>
      <c r="KJI574" s="482"/>
      <c r="KJJ574" s="173"/>
      <c r="KJK574" s="173"/>
      <c r="KJL574" s="509"/>
      <c r="KJN574" s="148"/>
      <c r="KJO574" s="148"/>
      <c r="KJP574" s="149"/>
      <c r="KJQ574" s="150"/>
      <c r="KJS574" s="152"/>
      <c r="KJT574" s="542"/>
      <c r="KJU574" s="154"/>
      <c r="KJV574" s="175"/>
      <c r="KJX574" s="156"/>
      <c r="KJY574" s="287"/>
      <c r="KJZ574" s="488"/>
      <c r="KKA574" s="489"/>
      <c r="KKB574" s="488"/>
      <c r="KKC574" s="300"/>
      <c r="KKD574" s="532"/>
      <c r="KKE574" s="533"/>
      <c r="KKF574" s="534"/>
      <c r="KKG574" s="316"/>
      <c r="KKH574" s="316"/>
      <c r="KKI574" s="471"/>
      <c r="KKJ574" s="472"/>
      <c r="KKK574" s="471"/>
      <c r="KKL574" s="473"/>
      <c r="KKM574" s="313"/>
      <c r="KKN574" s="535"/>
      <c r="KKO574" s="536"/>
      <c r="KKP574" s="537"/>
      <c r="KKQ574" s="538"/>
      <c r="KKR574" s="539"/>
      <c r="KKS574" s="540"/>
      <c r="KKT574" s="209"/>
      <c r="KKU574" s="541"/>
      <c r="KKV574" s="541"/>
      <c r="KKW574" s="482"/>
      <c r="KKX574" s="173"/>
      <c r="KKY574" s="173"/>
      <c r="KKZ574" s="509"/>
      <c r="KLB574" s="148"/>
      <c r="KLC574" s="148"/>
      <c r="KLD574" s="149"/>
      <c r="KLE574" s="150"/>
      <c r="KLG574" s="152"/>
      <c r="KLH574" s="542"/>
      <c r="KLI574" s="154"/>
      <c r="KLJ574" s="175"/>
      <c r="KLL574" s="156"/>
      <c r="KLM574" s="287"/>
      <c r="KLN574" s="488"/>
      <c r="KLO574" s="489"/>
      <c r="KLP574" s="488"/>
      <c r="KLQ574" s="300"/>
      <c r="KLR574" s="532"/>
      <c r="KLS574" s="533"/>
      <c r="KLT574" s="534"/>
      <c r="KLU574" s="316"/>
      <c r="KLV574" s="316"/>
      <c r="KLW574" s="471"/>
      <c r="KLX574" s="472"/>
      <c r="KLY574" s="471"/>
      <c r="KLZ574" s="473"/>
      <c r="KMA574" s="313"/>
      <c r="KMB574" s="535"/>
      <c r="KMC574" s="536"/>
      <c r="KMD574" s="537"/>
      <c r="KME574" s="538"/>
      <c r="KMF574" s="539"/>
      <c r="KMG574" s="540"/>
      <c r="KMH574" s="209"/>
      <c r="KMI574" s="541"/>
      <c r="KMJ574" s="541"/>
      <c r="KMK574" s="482"/>
      <c r="KML574" s="173"/>
      <c r="KMM574" s="173"/>
      <c r="KMN574" s="509"/>
      <c r="KMP574" s="148"/>
      <c r="KMQ574" s="148"/>
      <c r="KMR574" s="149"/>
      <c r="KMS574" s="150"/>
      <c r="KMU574" s="152"/>
      <c r="KMV574" s="542"/>
      <c r="KMW574" s="154"/>
      <c r="KMX574" s="175"/>
      <c r="KMZ574" s="156"/>
      <c r="KNA574" s="287"/>
      <c r="KNB574" s="488"/>
      <c r="KNC574" s="489"/>
      <c r="KND574" s="488"/>
      <c r="KNE574" s="300"/>
      <c r="KNF574" s="532"/>
      <c r="KNG574" s="533"/>
      <c r="KNH574" s="534"/>
      <c r="KNI574" s="316"/>
      <c r="KNJ574" s="316"/>
      <c r="KNK574" s="471"/>
      <c r="KNL574" s="472"/>
      <c r="KNM574" s="471"/>
      <c r="KNN574" s="473"/>
      <c r="KNO574" s="313"/>
      <c r="KNP574" s="535"/>
      <c r="KNQ574" s="536"/>
      <c r="KNR574" s="537"/>
      <c r="KNS574" s="538"/>
      <c r="KNT574" s="539"/>
      <c r="KNU574" s="540"/>
      <c r="KNV574" s="209"/>
      <c r="KNW574" s="541"/>
      <c r="KNX574" s="541"/>
      <c r="KNY574" s="482"/>
      <c r="KNZ574" s="173"/>
      <c r="KOA574" s="173"/>
      <c r="KOB574" s="509"/>
      <c r="KOD574" s="148"/>
      <c r="KOE574" s="148"/>
      <c r="KOF574" s="149"/>
      <c r="KOG574" s="150"/>
      <c r="KOI574" s="152"/>
      <c r="KOJ574" s="542"/>
      <c r="KOK574" s="154"/>
      <c r="KOL574" s="175"/>
      <c r="KON574" s="156"/>
      <c r="KOO574" s="287"/>
      <c r="KOP574" s="488"/>
      <c r="KOQ574" s="489"/>
      <c r="KOR574" s="488"/>
      <c r="KOS574" s="300"/>
      <c r="KOT574" s="532"/>
      <c r="KOU574" s="533"/>
      <c r="KOV574" s="534"/>
      <c r="KOW574" s="316"/>
      <c r="KOX574" s="316"/>
      <c r="KOY574" s="471"/>
      <c r="KOZ574" s="472"/>
      <c r="KPA574" s="471"/>
      <c r="KPB574" s="473"/>
      <c r="KPC574" s="313"/>
      <c r="KPD574" s="535"/>
      <c r="KPE574" s="536"/>
      <c r="KPF574" s="537"/>
      <c r="KPG574" s="538"/>
      <c r="KPH574" s="539"/>
      <c r="KPI574" s="540"/>
      <c r="KPJ574" s="209"/>
      <c r="KPK574" s="541"/>
      <c r="KPL574" s="541"/>
      <c r="KPM574" s="482"/>
      <c r="KPN574" s="173"/>
      <c r="KPO574" s="173"/>
      <c r="KPP574" s="509"/>
      <c r="KPR574" s="148"/>
      <c r="KPS574" s="148"/>
      <c r="KPT574" s="149"/>
      <c r="KPU574" s="150"/>
      <c r="KPW574" s="152"/>
      <c r="KPX574" s="542"/>
      <c r="KPY574" s="154"/>
      <c r="KPZ574" s="175"/>
      <c r="KQB574" s="156"/>
      <c r="KQC574" s="287"/>
      <c r="KQD574" s="488"/>
      <c r="KQE574" s="489"/>
      <c r="KQF574" s="488"/>
      <c r="KQG574" s="300"/>
      <c r="KQH574" s="532"/>
      <c r="KQI574" s="533"/>
      <c r="KQJ574" s="534"/>
      <c r="KQK574" s="316"/>
      <c r="KQL574" s="316"/>
      <c r="KQM574" s="471"/>
      <c r="KQN574" s="472"/>
      <c r="KQO574" s="471"/>
      <c r="KQP574" s="473"/>
      <c r="KQQ574" s="313"/>
      <c r="KQR574" s="535"/>
      <c r="KQS574" s="536"/>
      <c r="KQT574" s="537"/>
      <c r="KQU574" s="538"/>
      <c r="KQV574" s="539"/>
      <c r="KQW574" s="540"/>
      <c r="KQX574" s="209"/>
      <c r="KQY574" s="541"/>
      <c r="KQZ574" s="541"/>
      <c r="KRA574" s="482"/>
      <c r="KRB574" s="173"/>
      <c r="KRC574" s="173"/>
      <c r="KRD574" s="509"/>
      <c r="KRF574" s="148"/>
      <c r="KRG574" s="148"/>
      <c r="KRH574" s="149"/>
      <c r="KRI574" s="150"/>
      <c r="KRK574" s="152"/>
      <c r="KRL574" s="542"/>
      <c r="KRM574" s="154"/>
      <c r="KRN574" s="175"/>
      <c r="KRP574" s="156"/>
      <c r="KRQ574" s="287"/>
      <c r="KRR574" s="488"/>
      <c r="KRS574" s="489"/>
      <c r="KRT574" s="488"/>
      <c r="KRU574" s="300"/>
      <c r="KRV574" s="532"/>
      <c r="KRW574" s="533"/>
      <c r="KRX574" s="534"/>
      <c r="KRY574" s="316"/>
      <c r="KRZ574" s="316"/>
      <c r="KSA574" s="471"/>
      <c r="KSB574" s="472"/>
      <c r="KSC574" s="471"/>
      <c r="KSD574" s="473"/>
      <c r="KSE574" s="313"/>
      <c r="KSF574" s="535"/>
      <c r="KSG574" s="536"/>
      <c r="KSH574" s="537"/>
      <c r="KSI574" s="538"/>
      <c r="KSJ574" s="539"/>
      <c r="KSK574" s="540"/>
      <c r="KSL574" s="209"/>
      <c r="KSM574" s="541"/>
      <c r="KSN574" s="541"/>
      <c r="KSO574" s="482"/>
      <c r="KSP574" s="173"/>
      <c r="KSQ574" s="173"/>
      <c r="KSR574" s="509"/>
      <c r="KST574" s="148"/>
      <c r="KSU574" s="148"/>
      <c r="KSV574" s="149"/>
      <c r="KSW574" s="150"/>
      <c r="KSY574" s="152"/>
      <c r="KSZ574" s="542"/>
      <c r="KTA574" s="154"/>
      <c r="KTB574" s="175"/>
      <c r="KTD574" s="156"/>
      <c r="KTE574" s="287"/>
      <c r="KTF574" s="488"/>
      <c r="KTG574" s="489"/>
      <c r="KTH574" s="488"/>
      <c r="KTI574" s="300"/>
      <c r="KTJ574" s="532"/>
      <c r="KTK574" s="533"/>
      <c r="KTL574" s="534"/>
      <c r="KTM574" s="316"/>
      <c r="KTN574" s="316"/>
      <c r="KTO574" s="471"/>
      <c r="KTP574" s="472"/>
      <c r="KTQ574" s="471"/>
      <c r="KTR574" s="473"/>
      <c r="KTS574" s="313"/>
      <c r="KTT574" s="535"/>
      <c r="KTU574" s="536"/>
      <c r="KTV574" s="537"/>
      <c r="KTW574" s="538"/>
      <c r="KTX574" s="539"/>
      <c r="KTY574" s="540"/>
      <c r="KTZ574" s="209"/>
      <c r="KUA574" s="541"/>
      <c r="KUB574" s="541"/>
      <c r="KUC574" s="482"/>
      <c r="KUD574" s="173"/>
      <c r="KUE574" s="173"/>
      <c r="KUF574" s="509"/>
      <c r="KUH574" s="148"/>
      <c r="KUI574" s="148"/>
      <c r="KUJ574" s="149"/>
      <c r="KUK574" s="150"/>
      <c r="KUM574" s="152"/>
      <c r="KUN574" s="542"/>
      <c r="KUO574" s="154"/>
      <c r="KUP574" s="175"/>
      <c r="KUR574" s="156"/>
      <c r="KUS574" s="287"/>
      <c r="KUT574" s="488"/>
      <c r="KUU574" s="489"/>
      <c r="KUV574" s="488"/>
      <c r="KUW574" s="300"/>
      <c r="KUX574" s="532"/>
      <c r="KUY574" s="533"/>
      <c r="KUZ574" s="534"/>
      <c r="KVA574" s="316"/>
      <c r="KVB574" s="316"/>
      <c r="KVC574" s="471"/>
      <c r="KVD574" s="472"/>
      <c r="KVE574" s="471"/>
      <c r="KVF574" s="473"/>
      <c r="KVG574" s="313"/>
      <c r="KVH574" s="535"/>
      <c r="KVI574" s="536"/>
      <c r="KVJ574" s="537"/>
      <c r="KVK574" s="538"/>
      <c r="KVL574" s="539"/>
      <c r="KVM574" s="540"/>
      <c r="KVN574" s="209"/>
      <c r="KVO574" s="541"/>
      <c r="KVP574" s="541"/>
      <c r="KVQ574" s="482"/>
      <c r="KVR574" s="173"/>
      <c r="KVS574" s="173"/>
      <c r="KVT574" s="509"/>
      <c r="KVV574" s="148"/>
      <c r="KVW574" s="148"/>
      <c r="KVX574" s="149"/>
      <c r="KVY574" s="150"/>
      <c r="KWA574" s="152"/>
      <c r="KWB574" s="542"/>
      <c r="KWC574" s="154"/>
      <c r="KWD574" s="175"/>
      <c r="KWF574" s="156"/>
      <c r="KWG574" s="287"/>
      <c r="KWH574" s="488"/>
      <c r="KWI574" s="489"/>
      <c r="KWJ574" s="488"/>
      <c r="KWK574" s="300"/>
      <c r="KWL574" s="532"/>
      <c r="KWM574" s="533"/>
      <c r="KWN574" s="534"/>
      <c r="KWO574" s="316"/>
      <c r="KWP574" s="316"/>
      <c r="KWQ574" s="471"/>
      <c r="KWR574" s="472"/>
      <c r="KWS574" s="471"/>
      <c r="KWT574" s="473"/>
      <c r="KWU574" s="313"/>
      <c r="KWV574" s="535"/>
      <c r="KWW574" s="536"/>
      <c r="KWX574" s="537"/>
      <c r="KWY574" s="538"/>
      <c r="KWZ574" s="539"/>
      <c r="KXA574" s="540"/>
      <c r="KXB574" s="209"/>
      <c r="KXC574" s="541"/>
      <c r="KXD574" s="541"/>
      <c r="KXE574" s="482"/>
      <c r="KXF574" s="173"/>
      <c r="KXG574" s="173"/>
      <c r="KXH574" s="509"/>
      <c r="KXJ574" s="148"/>
      <c r="KXK574" s="148"/>
      <c r="KXL574" s="149"/>
      <c r="KXM574" s="150"/>
      <c r="KXO574" s="152"/>
      <c r="KXP574" s="542"/>
      <c r="KXQ574" s="154"/>
      <c r="KXR574" s="175"/>
      <c r="KXT574" s="156"/>
      <c r="KXU574" s="287"/>
      <c r="KXV574" s="488"/>
      <c r="KXW574" s="489"/>
      <c r="KXX574" s="488"/>
      <c r="KXY574" s="300"/>
      <c r="KXZ574" s="532"/>
      <c r="KYA574" s="533"/>
      <c r="KYB574" s="534"/>
      <c r="KYC574" s="316"/>
      <c r="KYD574" s="316"/>
      <c r="KYE574" s="471"/>
      <c r="KYF574" s="472"/>
      <c r="KYG574" s="471"/>
      <c r="KYH574" s="473"/>
      <c r="KYI574" s="313"/>
      <c r="KYJ574" s="535"/>
      <c r="KYK574" s="536"/>
      <c r="KYL574" s="537"/>
      <c r="KYM574" s="538"/>
      <c r="KYN574" s="539"/>
      <c r="KYO574" s="540"/>
      <c r="KYP574" s="209"/>
      <c r="KYQ574" s="541"/>
      <c r="KYR574" s="541"/>
      <c r="KYS574" s="482"/>
      <c r="KYT574" s="173"/>
      <c r="KYU574" s="173"/>
      <c r="KYV574" s="509"/>
      <c r="KYX574" s="148"/>
      <c r="KYY574" s="148"/>
      <c r="KYZ574" s="149"/>
      <c r="KZA574" s="150"/>
      <c r="KZC574" s="152"/>
      <c r="KZD574" s="542"/>
      <c r="KZE574" s="154"/>
      <c r="KZF574" s="175"/>
      <c r="KZH574" s="156"/>
      <c r="KZI574" s="287"/>
      <c r="KZJ574" s="488"/>
      <c r="KZK574" s="489"/>
      <c r="KZL574" s="488"/>
      <c r="KZM574" s="300"/>
      <c r="KZN574" s="532"/>
      <c r="KZO574" s="533"/>
      <c r="KZP574" s="534"/>
      <c r="KZQ574" s="316"/>
      <c r="KZR574" s="316"/>
      <c r="KZS574" s="471"/>
      <c r="KZT574" s="472"/>
      <c r="KZU574" s="471"/>
      <c r="KZV574" s="473"/>
      <c r="KZW574" s="313"/>
      <c r="KZX574" s="535"/>
      <c r="KZY574" s="536"/>
      <c r="KZZ574" s="537"/>
      <c r="LAA574" s="538"/>
      <c r="LAB574" s="539"/>
      <c r="LAC574" s="540"/>
      <c r="LAD574" s="209"/>
      <c r="LAE574" s="541"/>
      <c r="LAF574" s="541"/>
      <c r="LAG574" s="482"/>
      <c r="LAH574" s="173"/>
      <c r="LAI574" s="173"/>
      <c r="LAJ574" s="509"/>
      <c r="LAL574" s="148"/>
      <c r="LAM574" s="148"/>
      <c r="LAN574" s="149"/>
      <c r="LAO574" s="150"/>
      <c r="LAQ574" s="152"/>
      <c r="LAR574" s="542"/>
      <c r="LAS574" s="154"/>
      <c r="LAT574" s="175"/>
      <c r="LAV574" s="156"/>
      <c r="LAW574" s="287"/>
      <c r="LAX574" s="488"/>
      <c r="LAY574" s="489"/>
      <c r="LAZ574" s="488"/>
      <c r="LBA574" s="300"/>
      <c r="LBB574" s="532"/>
      <c r="LBC574" s="533"/>
      <c r="LBD574" s="534"/>
      <c r="LBE574" s="316"/>
      <c r="LBF574" s="316"/>
      <c r="LBG574" s="471"/>
      <c r="LBH574" s="472"/>
      <c r="LBI574" s="471"/>
      <c r="LBJ574" s="473"/>
      <c r="LBK574" s="313"/>
      <c r="LBL574" s="535"/>
      <c r="LBM574" s="536"/>
      <c r="LBN574" s="537"/>
      <c r="LBO574" s="538"/>
      <c r="LBP574" s="539"/>
      <c r="LBQ574" s="540"/>
      <c r="LBR574" s="209"/>
      <c r="LBS574" s="541"/>
      <c r="LBT574" s="541"/>
      <c r="LBU574" s="482"/>
      <c r="LBV574" s="173"/>
      <c r="LBW574" s="173"/>
      <c r="LBX574" s="509"/>
      <c r="LBZ574" s="148"/>
      <c r="LCA574" s="148"/>
      <c r="LCB574" s="149"/>
      <c r="LCC574" s="150"/>
      <c r="LCE574" s="152"/>
      <c r="LCF574" s="542"/>
      <c r="LCG574" s="154"/>
      <c r="LCH574" s="175"/>
      <c r="LCJ574" s="156"/>
      <c r="LCK574" s="287"/>
      <c r="LCL574" s="488"/>
      <c r="LCM574" s="489"/>
      <c r="LCN574" s="488"/>
      <c r="LCO574" s="300"/>
      <c r="LCP574" s="532"/>
      <c r="LCQ574" s="533"/>
      <c r="LCR574" s="534"/>
      <c r="LCS574" s="316"/>
      <c r="LCT574" s="316"/>
      <c r="LCU574" s="471"/>
      <c r="LCV574" s="472"/>
      <c r="LCW574" s="471"/>
      <c r="LCX574" s="473"/>
      <c r="LCY574" s="313"/>
      <c r="LCZ574" s="535"/>
      <c r="LDA574" s="536"/>
      <c r="LDB574" s="537"/>
      <c r="LDC574" s="538"/>
      <c r="LDD574" s="539"/>
      <c r="LDE574" s="540"/>
      <c r="LDF574" s="209"/>
      <c r="LDG574" s="541"/>
      <c r="LDH574" s="541"/>
      <c r="LDI574" s="482"/>
      <c r="LDJ574" s="173"/>
      <c r="LDK574" s="173"/>
      <c r="LDL574" s="509"/>
      <c r="LDN574" s="148"/>
      <c r="LDO574" s="148"/>
      <c r="LDP574" s="149"/>
      <c r="LDQ574" s="150"/>
      <c r="LDS574" s="152"/>
      <c r="LDT574" s="542"/>
      <c r="LDU574" s="154"/>
      <c r="LDV574" s="175"/>
      <c r="LDX574" s="156"/>
      <c r="LDY574" s="287"/>
      <c r="LDZ574" s="488"/>
      <c r="LEA574" s="489"/>
      <c r="LEB574" s="488"/>
      <c r="LEC574" s="300"/>
      <c r="LED574" s="532"/>
      <c r="LEE574" s="533"/>
      <c r="LEF574" s="534"/>
      <c r="LEG574" s="316"/>
      <c r="LEH574" s="316"/>
      <c r="LEI574" s="471"/>
      <c r="LEJ574" s="472"/>
      <c r="LEK574" s="471"/>
      <c r="LEL574" s="473"/>
      <c r="LEM574" s="313"/>
      <c r="LEN574" s="535"/>
      <c r="LEO574" s="536"/>
      <c r="LEP574" s="537"/>
      <c r="LEQ574" s="538"/>
      <c r="LER574" s="539"/>
      <c r="LES574" s="540"/>
      <c r="LET574" s="209"/>
      <c r="LEU574" s="541"/>
      <c r="LEV574" s="541"/>
      <c r="LEW574" s="482"/>
      <c r="LEX574" s="173"/>
      <c r="LEY574" s="173"/>
      <c r="LEZ574" s="509"/>
      <c r="LFB574" s="148"/>
      <c r="LFC574" s="148"/>
      <c r="LFD574" s="149"/>
      <c r="LFE574" s="150"/>
      <c r="LFG574" s="152"/>
      <c r="LFH574" s="542"/>
      <c r="LFI574" s="154"/>
      <c r="LFJ574" s="175"/>
      <c r="LFL574" s="156"/>
      <c r="LFM574" s="287"/>
      <c r="LFN574" s="488"/>
      <c r="LFO574" s="489"/>
      <c r="LFP574" s="488"/>
      <c r="LFQ574" s="300"/>
      <c r="LFR574" s="532"/>
      <c r="LFS574" s="533"/>
      <c r="LFT574" s="534"/>
      <c r="LFU574" s="316"/>
      <c r="LFV574" s="316"/>
      <c r="LFW574" s="471"/>
      <c r="LFX574" s="472"/>
      <c r="LFY574" s="471"/>
      <c r="LFZ574" s="473"/>
      <c r="LGA574" s="313"/>
      <c r="LGB574" s="535"/>
      <c r="LGC574" s="536"/>
      <c r="LGD574" s="537"/>
      <c r="LGE574" s="538"/>
      <c r="LGF574" s="539"/>
      <c r="LGG574" s="540"/>
      <c r="LGH574" s="209"/>
      <c r="LGI574" s="541"/>
      <c r="LGJ574" s="541"/>
      <c r="LGK574" s="482"/>
      <c r="LGL574" s="173"/>
      <c r="LGM574" s="173"/>
      <c r="LGN574" s="509"/>
      <c r="LGP574" s="148"/>
      <c r="LGQ574" s="148"/>
      <c r="LGR574" s="149"/>
      <c r="LGS574" s="150"/>
      <c r="LGU574" s="152"/>
      <c r="LGV574" s="542"/>
      <c r="LGW574" s="154"/>
      <c r="LGX574" s="175"/>
      <c r="LGZ574" s="156"/>
      <c r="LHA574" s="287"/>
      <c r="LHB574" s="488"/>
      <c r="LHC574" s="489"/>
      <c r="LHD574" s="488"/>
      <c r="LHE574" s="300"/>
      <c r="LHF574" s="532"/>
      <c r="LHG574" s="533"/>
      <c r="LHH574" s="534"/>
      <c r="LHI574" s="316"/>
      <c r="LHJ574" s="316"/>
      <c r="LHK574" s="471"/>
      <c r="LHL574" s="472"/>
      <c r="LHM574" s="471"/>
      <c r="LHN574" s="473"/>
      <c r="LHO574" s="313"/>
      <c r="LHP574" s="535"/>
      <c r="LHQ574" s="536"/>
      <c r="LHR574" s="537"/>
      <c r="LHS574" s="538"/>
      <c r="LHT574" s="539"/>
      <c r="LHU574" s="540"/>
      <c r="LHV574" s="209"/>
      <c r="LHW574" s="541"/>
      <c r="LHX574" s="541"/>
      <c r="LHY574" s="482"/>
      <c r="LHZ574" s="173"/>
      <c r="LIA574" s="173"/>
      <c r="LIB574" s="509"/>
      <c r="LID574" s="148"/>
      <c r="LIE574" s="148"/>
      <c r="LIF574" s="149"/>
      <c r="LIG574" s="150"/>
      <c r="LII574" s="152"/>
      <c r="LIJ574" s="542"/>
      <c r="LIK574" s="154"/>
      <c r="LIL574" s="175"/>
      <c r="LIN574" s="156"/>
      <c r="LIO574" s="287"/>
      <c r="LIP574" s="488"/>
      <c r="LIQ574" s="489"/>
      <c r="LIR574" s="488"/>
      <c r="LIS574" s="300"/>
      <c r="LIT574" s="532"/>
      <c r="LIU574" s="533"/>
      <c r="LIV574" s="534"/>
      <c r="LIW574" s="316"/>
      <c r="LIX574" s="316"/>
      <c r="LIY574" s="471"/>
      <c r="LIZ574" s="472"/>
      <c r="LJA574" s="471"/>
      <c r="LJB574" s="473"/>
      <c r="LJC574" s="313"/>
      <c r="LJD574" s="535"/>
      <c r="LJE574" s="536"/>
      <c r="LJF574" s="537"/>
      <c r="LJG574" s="538"/>
      <c r="LJH574" s="539"/>
      <c r="LJI574" s="540"/>
      <c r="LJJ574" s="209"/>
      <c r="LJK574" s="541"/>
      <c r="LJL574" s="541"/>
      <c r="LJM574" s="482"/>
      <c r="LJN574" s="173"/>
      <c r="LJO574" s="173"/>
      <c r="LJP574" s="509"/>
      <c r="LJR574" s="148"/>
      <c r="LJS574" s="148"/>
      <c r="LJT574" s="149"/>
      <c r="LJU574" s="150"/>
      <c r="LJW574" s="152"/>
      <c r="LJX574" s="542"/>
      <c r="LJY574" s="154"/>
      <c r="LJZ574" s="175"/>
      <c r="LKB574" s="156"/>
      <c r="LKC574" s="287"/>
      <c r="LKD574" s="488"/>
      <c r="LKE574" s="489"/>
      <c r="LKF574" s="488"/>
      <c r="LKG574" s="300"/>
      <c r="LKH574" s="532"/>
      <c r="LKI574" s="533"/>
      <c r="LKJ574" s="534"/>
      <c r="LKK574" s="316"/>
      <c r="LKL574" s="316"/>
      <c r="LKM574" s="471"/>
      <c r="LKN574" s="472"/>
      <c r="LKO574" s="471"/>
      <c r="LKP574" s="473"/>
      <c r="LKQ574" s="313"/>
      <c r="LKR574" s="535"/>
      <c r="LKS574" s="536"/>
      <c r="LKT574" s="537"/>
      <c r="LKU574" s="538"/>
      <c r="LKV574" s="539"/>
      <c r="LKW574" s="540"/>
      <c r="LKX574" s="209"/>
      <c r="LKY574" s="541"/>
      <c r="LKZ574" s="541"/>
      <c r="LLA574" s="482"/>
      <c r="LLB574" s="173"/>
      <c r="LLC574" s="173"/>
      <c r="LLD574" s="509"/>
      <c r="LLF574" s="148"/>
      <c r="LLG574" s="148"/>
      <c r="LLH574" s="149"/>
      <c r="LLI574" s="150"/>
      <c r="LLK574" s="152"/>
      <c r="LLL574" s="542"/>
      <c r="LLM574" s="154"/>
      <c r="LLN574" s="175"/>
      <c r="LLP574" s="156"/>
      <c r="LLQ574" s="287"/>
      <c r="LLR574" s="488"/>
      <c r="LLS574" s="489"/>
      <c r="LLT574" s="488"/>
      <c r="LLU574" s="300"/>
      <c r="LLV574" s="532"/>
      <c r="LLW574" s="533"/>
      <c r="LLX574" s="534"/>
      <c r="LLY574" s="316"/>
      <c r="LLZ574" s="316"/>
      <c r="LMA574" s="471"/>
      <c r="LMB574" s="472"/>
      <c r="LMC574" s="471"/>
      <c r="LMD574" s="473"/>
      <c r="LME574" s="313"/>
      <c r="LMF574" s="535"/>
      <c r="LMG574" s="536"/>
      <c r="LMH574" s="537"/>
      <c r="LMI574" s="538"/>
      <c r="LMJ574" s="539"/>
      <c r="LMK574" s="540"/>
      <c r="LML574" s="209"/>
      <c r="LMM574" s="541"/>
      <c r="LMN574" s="541"/>
      <c r="LMO574" s="482"/>
      <c r="LMP574" s="173"/>
      <c r="LMQ574" s="173"/>
      <c r="LMR574" s="509"/>
      <c r="LMT574" s="148"/>
      <c r="LMU574" s="148"/>
      <c r="LMV574" s="149"/>
      <c r="LMW574" s="150"/>
      <c r="LMY574" s="152"/>
      <c r="LMZ574" s="542"/>
      <c r="LNA574" s="154"/>
      <c r="LNB574" s="175"/>
      <c r="LND574" s="156"/>
      <c r="LNE574" s="287"/>
      <c r="LNF574" s="488"/>
      <c r="LNG574" s="489"/>
      <c r="LNH574" s="488"/>
      <c r="LNI574" s="300"/>
      <c r="LNJ574" s="532"/>
      <c r="LNK574" s="533"/>
      <c r="LNL574" s="534"/>
      <c r="LNM574" s="316"/>
      <c r="LNN574" s="316"/>
      <c r="LNO574" s="471"/>
      <c r="LNP574" s="472"/>
      <c r="LNQ574" s="471"/>
      <c r="LNR574" s="473"/>
      <c r="LNS574" s="313"/>
      <c r="LNT574" s="535"/>
      <c r="LNU574" s="536"/>
      <c r="LNV574" s="537"/>
      <c r="LNW574" s="538"/>
      <c r="LNX574" s="539"/>
      <c r="LNY574" s="540"/>
      <c r="LNZ574" s="209"/>
      <c r="LOA574" s="541"/>
      <c r="LOB574" s="541"/>
      <c r="LOC574" s="482"/>
      <c r="LOD574" s="173"/>
      <c r="LOE574" s="173"/>
      <c r="LOF574" s="509"/>
      <c r="LOH574" s="148"/>
      <c r="LOI574" s="148"/>
      <c r="LOJ574" s="149"/>
      <c r="LOK574" s="150"/>
      <c r="LOM574" s="152"/>
      <c r="LON574" s="542"/>
      <c r="LOO574" s="154"/>
      <c r="LOP574" s="175"/>
      <c r="LOR574" s="156"/>
      <c r="LOS574" s="287"/>
      <c r="LOT574" s="488"/>
      <c r="LOU574" s="489"/>
      <c r="LOV574" s="488"/>
      <c r="LOW574" s="300"/>
      <c r="LOX574" s="532"/>
      <c r="LOY574" s="533"/>
      <c r="LOZ574" s="534"/>
      <c r="LPA574" s="316"/>
      <c r="LPB574" s="316"/>
      <c r="LPC574" s="471"/>
      <c r="LPD574" s="472"/>
      <c r="LPE574" s="471"/>
      <c r="LPF574" s="473"/>
      <c r="LPG574" s="313"/>
      <c r="LPH574" s="535"/>
      <c r="LPI574" s="536"/>
      <c r="LPJ574" s="537"/>
      <c r="LPK574" s="538"/>
      <c r="LPL574" s="539"/>
      <c r="LPM574" s="540"/>
      <c r="LPN574" s="209"/>
      <c r="LPO574" s="541"/>
      <c r="LPP574" s="541"/>
      <c r="LPQ574" s="482"/>
      <c r="LPR574" s="173"/>
      <c r="LPS574" s="173"/>
      <c r="LPT574" s="509"/>
      <c r="LPV574" s="148"/>
      <c r="LPW574" s="148"/>
      <c r="LPX574" s="149"/>
      <c r="LPY574" s="150"/>
      <c r="LQA574" s="152"/>
      <c r="LQB574" s="542"/>
      <c r="LQC574" s="154"/>
      <c r="LQD574" s="175"/>
      <c r="LQF574" s="156"/>
      <c r="LQG574" s="287"/>
      <c r="LQH574" s="488"/>
      <c r="LQI574" s="489"/>
      <c r="LQJ574" s="488"/>
      <c r="LQK574" s="300"/>
      <c r="LQL574" s="532"/>
      <c r="LQM574" s="533"/>
      <c r="LQN574" s="534"/>
      <c r="LQO574" s="316"/>
      <c r="LQP574" s="316"/>
      <c r="LQQ574" s="471"/>
      <c r="LQR574" s="472"/>
      <c r="LQS574" s="471"/>
      <c r="LQT574" s="473"/>
      <c r="LQU574" s="313"/>
      <c r="LQV574" s="535"/>
      <c r="LQW574" s="536"/>
      <c r="LQX574" s="537"/>
      <c r="LQY574" s="538"/>
      <c r="LQZ574" s="539"/>
      <c r="LRA574" s="540"/>
      <c r="LRB574" s="209"/>
      <c r="LRC574" s="541"/>
      <c r="LRD574" s="541"/>
      <c r="LRE574" s="482"/>
      <c r="LRF574" s="173"/>
      <c r="LRG574" s="173"/>
      <c r="LRH574" s="509"/>
      <c r="LRJ574" s="148"/>
      <c r="LRK574" s="148"/>
      <c r="LRL574" s="149"/>
      <c r="LRM574" s="150"/>
      <c r="LRO574" s="152"/>
      <c r="LRP574" s="542"/>
      <c r="LRQ574" s="154"/>
      <c r="LRR574" s="175"/>
      <c r="LRT574" s="156"/>
      <c r="LRU574" s="287"/>
      <c r="LRV574" s="488"/>
      <c r="LRW574" s="489"/>
      <c r="LRX574" s="488"/>
      <c r="LRY574" s="300"/>
      <c r="LRZ574" s="532"/>
      <c r="LSA574" s="533"/>
      <c r="LSB574" s="534"/>
      <c r="LSC574" s="316"/>
      <c r="LSD574" s="316"/>
      <c r="LSE574" s="471"/>
      <c r="LSF574" s="472"/>
      <c r="LSG574" s="471"/>
      <c r="LSH574" s="473"/>
      <c r="LSI574" s="313"/>
      <c r="LSJ574" s="535"/>
      <c r="LSK574" s="536"/>
      <c r="LSL574" s="537"/>
      <c r="LSM574" s="538"/>
      <c r="LSN574" s="539"/>
      <c r="LSO574" s="540"/>
      <c r="LSP574" s="209"/>
      <c r="LSQ574" s="541"/>
      <c r="LSR574" s="541"/>
      <c r="LSS574" s="482"/>
      <c r="LST574" s="173"/>
      <c r="LSU574" s="173"/>
      <c r="LSV574" s="509"/>
      <c r="LSX574" s="148"/>
      <c r="LSY574" s="148"/>
      <c r="LSZ574" s="149"/>
      <c r="LTA574" s="150"/>
      <c r="LTC574" s="152"/>
      <c r="LTD574" s="542"/>
      <c r="LTE574" s="154"/>
      <c r="LTF574" s="175"/>
      <c r="LTH574" s="156"/>
      <c r="LTI574" s="287"/>
      <c r="LTJ574" s="488"/>
      <c r="LTK574" s="489"/>
      <c r="LTL574" s="488"/>
      <c r="LTM574" s="300"/>
      <c r="LTN574" s="532"/>
      <c r="LTO574" s="533"/>
      <c r="LTP574" s="534"/>
      <c r="LTQ574" s="316"/>
      <c r="LTR574" s="316"/>
      <c r="LTS574" s="471"/>
      <c r="LTT574" s="472"/>
      <c r="LTU574" s="471"/>
      <c r="LTV574" s="473"/>
      <c r="LTW574" s="313"/>
      <c r="LTX574" s="535"/>
      <c r="LTY574" s="536"/>
      <c r="LTZ574" s="537"/>
      <c r="LUA574" s="538"/>
      <c r="LUB574" s="539"/>
      <c r="LUC574" s="540"/>
      <c r="LUD574" s="209"/>
      <c r="LUE574" s="541"/>
      <c r="LUF574" s="541"/>
      <c r="LUG574" s="482"/>
      <c r="LUH574" s="173"/>
      <c r="LUI574" s="173"/>
      <c r="LUJ574" s="509"/>
      <c r="LUL574" s="148"/>
      <c r="LUM574" s="148"/>
      <c r="LUN574" s="149"/>
      <c r="LUO574" s="150"/>
      <c r="LUQ574" s="152"/>
      <c r="LUR574" s="542"/>
      <c r="LUS574" s="154"/>
      <c r="LUT574" s="175"/>
      <c r="LUV574" s="156"/>
      <c r="LUW574" s="287"/>
      <c r="LUX574" s="488"/>
      <c r="LUY574" s="489"/>
      <c r="LUZ574" s="488"/>
      <c r="LVA574" s="300"/>
      <c r="LVB574" s="532"/>
      <c r="LVC574" s="533"/>
      <c r="LVD574" s="534"/>
      <c r="LVE574" s="316"/>
      <c r="LVF574" s="316"/>
      <c r="LVG574" s="471"/>
      <c r="LVH574" s="472"/>
      <c r="LVI574" s="471"/>
      <c r="LVJ574" s="473"/>
      <c r="LVK574" s="313"/>
      <c r="LVL574" s="535"/>
      <c r="LVM574" s="536"/>
      <c r="LVN574" s="537"/>
      <c r="LVO574" s="538"/>
      <c r="LVP574" s="539"/>
      <c r="LVQ574" s="540"/>
      <c r="LVR574" s="209"/>
      <c r="LVS574" s="541"/>
      <c r="LVT574" s="541"/>
      <c r="LVU574" s="482"/>
      <c r="LVV574" s="173"/>
      <c r="LVW574" s="173"/>
      <c r="LVX574" s="509"/>
      <c r="LVZ574" s="148"/>
      <c r="LWA574" s="148"/>
      <c r="LWB574" s="149"/>
      <c r="LWC574" s="150"/>
      <c r="LWE574" s="152"/>
      <c r="LWF574" s="542"/>
      <c r="LWG574" s="154"/>
      <c r="LWH574" s="175"/>
      <c r="LWJ574" s="156"/>
      <c r="LWK574" s="287"/>
      <c r="LWL574" s="488"/>
      <c r="LWM574" s="489"/>
      <c r="LWN574" s="488"/>
      <c r="LWO574" s="300"/>
      <c r="LWP574" s="532"/>
      <c r="LWQ574" s="533"/>
      <c r="LWR574" s="534"/>
      <c r="LWS574" s="316"/>
      <c r="LWT574" s="316"/>
      <c r="LWU574" s="471"/>
      <c r="LWV574" s="472"/>
      <c r="LWW574" s="471"/>
      <c r="LWX574" s="473"/>
      <c r="LWY574" s="313"/>
      <c r="LWZ574" s="535"/>
      <c r="LXA574" s="536"/>
      <c r="LXB574" s="537"/>
      <c r="LXC574" s="538"/>
      <c r="LXD574" s="539"/>
      <c r="LXE574" s="540"/>
      <c r="LXF574" s="209"/>
      <c r="LXG574" s="541"/>
      <c r="LXH574" s="541"/>
      <c r="LXI574" s="482"/>
      <c r="LXJ574" s="173"/>
      <c r="LXK574" s="173"/>
      <c r="LXL574" s="509"/>
      <c r="LXN574" s="148"/>
      <c r="LXO574" s="148"/>
      <c r="LXP574" s="149"/>
      <c r="LXQ574" s="150"/>
      <c r="LXS574" s="152"/>
      <c r="LXT574" s="542"/>
      <c r="LXU574" s="154"/>
      <c r="LXV574" s="175"/>
      <c r="LXX574" s="156"/>
      <c r="LXY574" s="287"/>
      <c r="LXZ574" s="488"/>
      <c r="LYA574" s="489"/>
      <c r="LYB574" s="488"/>
      <c r="LYC574" s="300"/>
      <c r="LYD574" s="532"/>
      <c r="LYE574" s="533"/>
      <c r="LYF574" s="534"/>
      <c r="LYG574" s="316"/>
      <c r="LYH574" s="316"/>
      <c r="LYI574" s="471"/>
      <c r="LYJ574" s="472"/>
      <c r="LYK574" s="471"/>
      <c r="LYL574" s="473"/>
      <c r="LYM574" s="313"/>
      <c r="LYN574" s="535"/>
      <c r="LYO574" s="536"/>
      <c r="LYP574" s="537"/>
      <c r="LYQ574" s="538"/>
      <c r="LYR574" s="539"/>
      <c r="LYS574" s="540"/>
      <c r="LYT574" s="209"/>
      <c r="LYU574" s="541"/>
      <c r="LYV574" s="541"/>
      <c r="LYW574" s="482"/>
      <c r="LYX574" s="173"/>
      <c r="LYY574" s="173"/>
      <c r="LYZ574" s="509"/>
      <c r="LZB574" s="148"/>
      <c r="LZC574" s="148"/>
      <c r="LZD574" s="149"/>
      <c r="LZE574" s="150"/>
      <c r="LZG574" s="152"/>
      <c r="LZH574" s="542"/>
      <c r="LZI574" s="154"/>
      <c r="LZJ574" s="175"/>
      <c r="LZL574" s="156"/>
      <c r="LZM574" s="287"/>
      <c r="LZN574" s="488"/>
      <c r="LZO574" s="489"/>
      <c r="LZP574" s="488"/>
      <c r="LZQ574" s="300"/>
      <c r="LZR574" s="532"/>
      <c r="LZS574" s="533"/>
      <c r="LZT574" s="534"/>
      <c r="LZU574" s="316"/>
      <c r="LZV574" s="316"/>
      <c r="LZW574" s="471"/>
      <c r="LZX574" s="472"/>
      <c r="LZY574" s="471"/>
      <c r="LZZ574" s="473"/>
      <c r="MAA574" s="313"/>
      <c r="MAB574" s="535"/>
      <c r="MAC574" s="536"/>
      <c r="MAD574" s="537"/>
      <c r="MAE574" s="538"/>
      <c r="MAF574" s="539"/>
      <c r="MAG574" s="540"/>
      <c r="MAH574" s="209"/>
      <c r="MAI574" s="541"/>
      <c r="MAJ574" s="541"/>
      <c r="MAK574" s="482"/>
      <c r="MAL574" s="173"/>
      <c r="MAM574" s="173"/>
      <c r="MAN574" s="509"/>
      <c r="MAP574" s="148"/>
      <c r="MAQ574" s="148"/>
      <c r="MAR574" s="149"/>
      <c r="MAS574" s="150"/>
      <c r="MAU574" s="152"/>
      <c r="MAV574" s="542"/>
      <c r="MAW574" s="154"/>
      <c r="MAX574" s="175"/>
      <c r="MAZ574" s="156"/>
      <c r="MBA574" s="287"/>
      <c r="MBB574" s="488"/>
      <c r="MBC574" s="489"/>
      <c r="MBD574" s="488"/>
      <c r="MBE574" s="300"/>
      <c r="MBF574" s="532"/>
      <c r="MBG574" s="533"/>
      <c r="MBH574" s="534"/>
      <c r="MBI574" s="316"/>
      <c r="MBJ574" s="316"/>
      <c r="MBK574" s="471"/>
      <c r="MBL574" s="472"/>
      <c r="MBM574" s="471"/>
      <c r="MBN574" s="473"/>
      <c r="MBO574" s="313"/>
      <c r="MBP574" s="535"/>
      <c r="MBQ574" s="536"/>
      <c r="MBR574" s="537"/>
      <c r="MBS574" s="538"/>
      <c r="MBT574" s="539"/>
      <c r="MBU574" s="540"/>
      <c r="MBV574" s="209"/>
      <c r="MBW574" s="541"/>
      <c r="MBX574" s="541"/>
      <c r="MBY574" s="482"/>
      <c r="MBZ574" s="173"/>
      <c r="MCA574" s="173"/>
      <c r="MCB574" s="509"/>
      <c r="MCD574" s="148"/>
      <c r="MCE574" s="148"/>
      <c r="MCF574" s="149"/>
      <c r="MCG574" s="150"/>
      <c r="MCI574" s="152"/>
      <c r="MCJ574" s="542"/>
      <c r="MCK574" s="154"/>
      <c r="MCL574" s="175"/>
      <c r="MCN574" s="156"/>
      <c r="MCO574" s="287"/>
      <c r="MCP574" s="488"/>
      <c r="MCQ574" s="489"/>
      <c r="MCR574" s="488"/>
      <c r="MCS574" s="300"/>
      <c r="MCT574" s="532"/>
      <c r="MCU574" s="533"/>
      <c r="MCV574" s="534"/>
      <c r="MCW574" s="316"/>
      <c r="MCX574" s="316"/>
      <c r="MCY574" s="471"/>
      <c r="MCZ574" s="472"/>
      <c r="MDA574" s="471"/>
      <c r="MDB574" s="473"/>
      <c r="MDC574" s="313"/>
      <c r="MDD574" s="535"/>
      <c r="MDE574" s="536"/>
      <c r="MDF574" s="537"/>
      <c r="MDG574" s="538"/>
      <c r="MDH574" s="539"/>
      <c r="MDI574" s="540"/>
      <c r="MDJ574" s="209"/>
      <c r="MDK574" s="541"/>
      <c r="MDL574" s="541"/>
      <c r="MDM574" s="482"/>
      <c r="MDN574" s="173"/>
      <c r="MDO574" s="173"/>
      <c r="MDP574" s="509"/>
      <c r="MDR574" s="148"/>
      <c r="MDS574" s="148"/>
      <c r="MDT574" s="149"/>
      <c r="MDU574" s="150"/>
      <c r="MDW574" s="152"/>
      <c r="MDX574" s="542"/>
      <c r="MDY574" s="154"/>
      <c r="MDZ574" s="175"/>
      <c r="MEB574" s="156"/>
      <c r="MEC574" s="287"/>
      <c r="MED574" s="488"/>
      <c r="MEE574" s="489"/>
      <c r="MEF574" s="488"/>
      <c r="MEG574" s="300"/>
      <c r="MEH574" s="532"/>
      <c r="MEI574" s="533"/>
      <c r="MEJ574" s="534"/>
      <c r="MEK574" s="316"/>
      <c r="MEL574" s="316"/>
      <c r="MEM574" s="471"/>
      <c r="MEN574" s="472"/>
      <c r="MEO574" s="471"/>
      <c r="MEP574" s="473"/>
      <c r="MEQ574" s="313"/>
      <c r="MER574" s="535"/>
      <c r="MES574" s="536"/>
      <c r="MET574" s="537"/>
      <c r="MEU574" s="538"/>
      <c r="MEV574" s="539"/>
      <c r="MEW574" s="540"/>
      <c r="MEX574" s="209"/>
      <c r="MEY574" s="541"/>
      <c r="MEZ574" s="541"/>
      <c r="MFA574" s="482"/>
      <c r="MFB574" s="173"/>
      <c r="MFC574" s="173"/>
      <c r="MFD574" s="509"/>
      <c r="MFF574" s="148"/>
      <c r="MFG574" s="148"/>
      <c r="MFH574" s="149"/>
      <c r="MFI574" s="150"/>
      <c r="MFK574" s="152"/>
      <c r="MFL574" s="542"/>
      <c r="MFM574" s="154"/>
      <c r="MFN574" s="175"/>
      <c r="MFP574" s="156"/>
      <c r="MFQ574" s="287"/>
      <c r="MFR574" s="488"/>
      <c r="MFS574" s="489"/>
      <c r="MFT574" s="488"/>
      <c r="MFU574" s="300"/>
      <c r="MFV574" s="532"/>
      <c r="MFW574" s="533"/>
      <c r="MFX574" s="534"/>
      <c r="MFY574" s="316"/>
      <c r="MFZ574" s="316"/>
      <c r="MGA574" s="471"/>
      <c r="MGB574" s="472"/>
      <c r="MGC574" s="471"/>
      <c r="MGD574" s="473"/>
      <c r="MGE574" s="313"/>
      <c r="MGF574" s="535"/>
      <c r="MGG574" s="536"/>
      <c r="MGH574" s="537"/>
      <c r="MGI574" s="538"/>
      <c r="MGJ574" s="539"/>
      <c r="MGK574" s="540"/>
      <c r="MGL574" s="209"/>
      <c r="MGM574" s="541"/>
      <c r="MGN574" s="541"/>
      <c r="MGO574" s="482"/>
      <c r="MGP574" s="173"/>
      <c r="MGQ574" s="173"/>
      <c r="MGR574" s="509"/>
      <c r="MGT574" s="148"/>
      <c r="MGU574" s="148"/>
      <c r="MGV574" s="149"/>
      <c r="MGW574" s="150"/>
      <c r="MGY574" s="152"/>
      <c r="MGZ574" s="542"/>
      <c r="MHA574" s="154"/>
      <c r="MHB574" s="175"/>
      <c r="MHD574" s="156"/>
      <c r="MHE574" s="287"/>
      <c r="MHF574" s="488"/>
      <c r="MHG574" s="489"/>
      <c r="MHH574" s="488"/>
      <c r="MHI574" s="300"/>
      <c r="MHJ574" s="532"/>
      <c r="MHK574" s="533"/>
      <c r="MHL574" s="534"/>
      <c r="MHM574" s="316"/>
      <c r="MHN574" s="316"/>
      <c r="MHO574" s="471"/>
      <c r="MHP574" s="472"/>
      <c r="MHQ574" s="471"/>
      <c r="MHR574" s="473"/>
      <c r="MHS574" s="313"/>
      <c r="MHT574" s="535"/>
      <c r="MHU574" s="536"/>
      <c r="MHV574" s="537"/>
      <c r="MHW574" s="538"/>
      <c r="MHX574" s="539"/>
      <c r="MHY574" s="540"/>
      <c r="MHZ574" s="209"/>
      <c r="MIA574" s="541"/>
      <c r="MIB574" s="541"/>
      <c r="MIC574" s="482"/>
      <c r="MID574" s="173"/>
      <c r="MIE574" s="173"/>
      <c r="MIF574" s="509"/>
      <c r="MIH574" s="148"/>
      <c r="MII574" s="148"/>
      <c r="MIJ574" s="149"/>
      <c r="MIK574" s="150"/>
      <c r="MIM574" s="152"/>
      <c r="MIN574" s="542"/>
      <c r="MIO574" s="154"/>
      <c r="MIP574" s="175"/>
      <c r="MIR574" s="156"/>
      <c r="MIS574" s="287"/>
      <c r="MIT574" s="488"/>
      <c r="MIU574" s="489"/>
      <c r="MIV574" s="488"/>
      <c r="MIW574" s="300"/>
      <c r="MIX574" s="532"/>
      <c r="MIY574" s="533"/>
      <c r="MIZ574" s="534"/>
      <c r="MJA574" s="316"/>
      <c r="MJB574" s="316"/>
      <c r="MJC574" s="471"/>
      <c r="MJD574" s="472"/>
      <c r="MJE574" s="471"/>
      <c r="MJF574" s="473"/>
      <c r="MJG574" s="313"/>
      <c r="MJH574" s="535"/>
      <c r="MJI574" s="536"/>
      <c r="MJJ574" s="537"/>
      <c r="MJK574" s="538"/>
      <c r="MJL574" s="539"/>
      <c r="MJM574" s="540"/>
      <c r="MJN574" s="209"/>
      <c r="MJO574" s="541"/>
      <c r="MJP574" s="541"/>
      <c r="MJQ574" s="482"/>
      <c r="MJR574" s="173"/>
      <c r="MJS574" s="173"/>
      <c r="MJT574" s="509"/>
      <c r="MJV574" s="148"/>
      <c r="MJW574" s="148"/>
      <c r="MJX574" s="149"/>
      <c r="MJY574" s="150"/>
      <c r="MKA574" s="152"/>
      <c r="MKB574" s="542"/>
      <c r="MKC574" s="154"/>
      <c r="MKD574" s="175"/>
      <c r="MKF574" s="156"/>
      <c r="MKG574" s="287"/>
      <c r="MKH574" s="488"/>
      <c r="MKI574" s="489"/>
      <c r="MKJ574" s="488"/>
      <c r="MKK574" s="300"/>
      <c r="MKL574" s="532"/>
      <c r="MKM574" s="533"/>
      <c r="MKN574" s="534"/>
      <c r="MKO574" s="316"/>
      <c r="MKP574" s="316"/>
      <c r="MKQ574" s="471"/>
      <c r="MKR574" s="472"/>
      <c r="MKS574" s="471"/>
      <c r="MKT574" s="473"/>
      <c r="MKU574" s="313"/>
      <c r="MKV574" s="535"/>
      <c r="MKW574" s="536"/>
      <c r="MKX574" s="537"/>
      <c r="MKY574" s="538"/>
      <c r="MKZ574" s="539"/>
      <c r="MLA574" s="540"/>
      <c r="MLB574" s="209"/>
      <c r="MLC574" s="541"/>
      <c r="MLD574" s="541"/>
      <c r="MLE574" s="482"/>
      <c r="MLF574" s="173"/>
      <c r="MLG574" s="173"/>
      <c r="MLH574" s="509"/>
      <c r="MLJ574" s="148"/>
      <c r="MLK574" s="148"/>
      <c r="MLL574" s="149"/>
      <c r="MLM574" s="150"/>
      <c r="MLO574" s="152"/>
      <c r="MLP574" s="542"/>
      <c r="MLQ574" s="154"/>
      <c r="MLR574" s="175"/>
      <c r="MLT574" s="156"/>
      <c r="MLU574" s="287"/>
      <c r="MLV574" s="488"/>
      <c r="MLW574" s="489"/>
      <c r="MLX574" s="488"/>
      <c r="MLY574" s="300"/>
      <c r="MLZ574" s="532"/>
      <c r="MMA574" s="533"/>
      <c r="MMB574" s="534"/>
      <c r="MMC574" s="316"/>
      <c r="MMD574" s="316"/>
      <c r="MME574" s="471"/>
      <c r="MMF574" s="472"/>
      <c r="MMG574" s="471"/>
      <c r="MMH574" s="473"/>
      <c r="MMI574" s="313"/>
      <c r="MMJ574" s="535"/>
      <c r="MMK574" s="536"/>
      <c r="MML574" s="537"/>
      <c r="MMM574" s="538"/>
      <c r="MMN574" s="539"/>
      <c r="MMO574" s="540"/>
      <c r="MMP574" s="209"/>
      <c r="MMQ574" s="541"/>
      <c r="MMR574" s="541"/>
      <c r="MMS574" s="482"/>
      <c r="MMT574" s="173"/>
      <c r="MMU574" s="173"/>
      <c r="MMV574" s="509"/>
      <c r="MMX574" s="148"/>
      <c r="MMY574" s="148"/>
      <c r="MMZ574" s="149"/>
      <c r="MNA574" s="150"/>
      <c r="MNC574" s="152"/>
      <c r="MND574" s="542"/>
      <c r="MNE574" s="154"/>
      <c r="MNF574" s="175"/>
      <c r="MNH574" s="156"/>
      <c r="MNI574" s="287"/>
      <c r="MNJ574" s="488"/>
      <c r="MNK574" s="489"/>
      <c r="MNL574" s="488"/>
      <c r="MNM574" s="300"/>
      <c r="MNN574" s="532"/>
      <c r="MNO574" s="533"/>
      <c r="MNP574" s="534"/>
      <c r="MNQ574" s="316"/>
      <c r="MNR574" s="316"/>
      <c r="MNS574" s="471"/>
      <c r="MNT574" s="472"/>
      <c r="MNU574" s="471"/>
      <c r="MNV574" s="473"/>
      <c r="MNW574" s="313"/>
      <c r="MNX574" s="535"/>
      <c r="MNY574" s="536"/>
      <c r="MNZ574" s="537"/>
      <c r="MOA574" s="538"/>
      <c r="MOB574" s="539"/>
      <c r="MOC574" s="540"/>
      <c r="MOD574" s="209"/>
      <c r="MOE574" s="541"/>
      <c r="MOF574" s="541"/>
      <c r="MOG574" s="482"/>
      <c r="MOH574" s="173"/>
      <c r="MOI574" s="173"/>
      <c r="MOJ574" s="509"/>
      <c r="MOL574" s="148"/>
      <c r="MOM574" s="148"/>
      <c r="MON574" s="149"/>
      <c r="MOO574" s="150"/>
      <c r="MOQ574" s="152"/>
      <c r="MOR574" s="542"/>
      <c r="MOS574" s="154"/>
      <c r="MOT574" s="175"/>
      <c r="MOV574" s="156"/>
      <c r="MOW574" s="287"/>
      <c r="MOX574" s="488"/>
      <c r="MOY574" s="489"/>
      <c r="MOZ574" s="488"/>
      <c r="MPA574" s="300"/>
      <c r="MPB574" s="532"/>
      <c r="MPC574" s="533"/>
      <c r="MPD574" s="534"/>
      <c r="MPE574" s="316"/>
      <c r="MPF574" s="316"/>
      <c r="MPG574" s="471"/>
      <c r="MPH574" s="472"/>
      <c r="MPI574" s="471"/>
      <c r="MPJ574" s="473"/>
      <c r="MPK574" s="313"/>
      <c r="MPL574" s="535"/>
      <c r="MPM574" s="536"/>
      <c r="MPN574" s="537"/>
      <c r="MPO574" s="538"/>
      <c r="MPP574" s="539"/>
      <c r="MPQ574" s="540"/>
      <c r="MPR574" s="209"/>
      <c r="MPS574" s="541"/>
      <c r="MPT574" s="541"/>
      <c r="MPU574" s="482"/>
      <c r="MPV574" s="173"/>
      <c r="MPW574" s="173"/>
      <c r="MPX574" s="509"/>
      <c r="MPZ574" s="148"/>
      <c r="MQA574" s="148"/>
      <c r="MQB574" s="149"/>
      <c r="MQC574" s="150"/>
      <c r="MQE574" s="152"/>
      <c r="MQF574" s="542"/>
      <c r="MQG574" s="154"/>
      <c r="MQH574" s="175"/>
      <c r="MQJ574" s="156"/>
      <c r="MQK574" s="287"/>
      <c r="MQL574" s="488"/>
      <c r="MQM574" s="489"/>
      <c r="MQN574" s="488"/>
      <c r="MQO574" s="300"/>
      <c r="MQP574" s="532"/>
      <c r="MQQ574" s="533"/>
      <c r="MQR574" s="534"/>
      <c r="MQS574" s="316"/>
      <c r="MQT574" s="316"/>
      <c r="MQU574" s="471"/>
      <c r="MQV574" s="472"/>
      <c r="MQW574" s="471"/>
      <c r="MQX574" s="473"/>
      <c r="MQY574" s="313"/>
      <c r="MQZ574" s="535"/>
      <c r="MRA574" s="536"/>
      <c r="MRB574" s="537"/>
      <c r="MRC574" s="538"/>
      <c r="MRD574" s="539"/>
      <c r="MRE574" s="540"/>
      <c r="MRF574" s="209"/>
      <c r="MRG574" s="541"/>
      <c r="MRH574" s="541"/>
      <c r="MRI574" s="482"/>
      <c r="MRJ574" s="173"/>
      <c r="MRK574" s="173"/>
      <c r="MRL574" s="509"/>
      <c r="MRN574" s="148"/>
      <c r="MRO574" s="148"/>
      <c r="MRP574" s="149"/>
      <c r="MRQ574" s="150"/>
      <c r="MRS574" s="152"/>
      <c r="MRT574" s="542"/>
      <c r="MRU574" s="154"/>
      <c r="MRV574" s="175"/>
      <c r="MRX574" s="156"/>
      <c r="MRY574" s="287"/>
      <c r="MRZ574" s="488"/>
      <c r="MSA574" s="489"/>
      <c r="MSB574" s="488"/>
      <c r="MSC574" s="300"/>
      <c r="MSD574" s="532"/>
      <c r="MSE574" s="533"/>
      <c r="MSF574" s="534"/>
      <c r="MSG574" s="316"/>
      <c r="MSH574" s="316"/>
      <c r="MSI574" s="471"/>
      <c r="MSJ574" s="472"/>
      <c r="MSK574" s="471"/>
      <c r="MSL574" s="473"/>
      <c r="MSM574" s="313"/>
      <c r="MSN574" s="535"/>
      <c r="MSO574" s="536"/>
      <c r="MSP574" s="537"/>
      <c r="MSQ574" s="538"/>
      <c r="MSR574" s="539"/>
      <c r="MSS574" s="540"/>
      <c r="MST574" s="209"/>
      <c r="MSU574" s="541"/>
      <c r="MSV574" s="541"/>
      <c r="MSW574" s="482"/>
      <c r="MSX574" s="173"/>
      <c r="MSY574" s="173"/>
      <c r="MSZ574" s="509"/>
      <c r="MTB574" s="148"/>
      <c r="MTC574" s="148"/>
      <c r="MTD574" s="149"/>
      <c r="MTE574" s="150"/>
      <c r="MTG574" s="152"/>
      <c r="MTH574" s="542"/>
      <c r="MTI574" s="154"/>
      <c r="MTJ574" s="175"/>
      <c r="MTL574" s="156"/>
      <c r="MTM574" s="287"/>
      <c r="MTN574" s="488"/>
      <c r="MTO574" s="489"/>
      <c r="MTP574" s="488"/>
      <c r="MTQ574" s="300"/>
      <c r="MTR574" s="532"/>
      <c r="MTS574" s="533"/>
      <c r="MTT574" s="534"/>
      <c r="MTU574" s="316"/>
      <c r="MTV574" s="316"/>
      <c r="MTW574" s="471"/>
      <c r="MTX574" s="472"/>
      <c r="MTY574" s="471"/>
      <c r="MTZ574" s="473"/>
      <c r="MUA574" s="313"/>
      <c r="MUB574" s="535"/>
      <c r="MUC574" s="536"/>
      <c r="MUD574" s="537"/>
      <c r="MUE574" s="538"/>
      <c r="MUF574" s="539"/>
      <c r="MUG574" s="540"/>
      <c r="MUH574" s="209"/>
      <c r="MUI574" s="541"/>
      <c r="MUJ574" s="541"/>
      <c r="MUK574" s="482"/>
      <c r="MUL574" s="173"/>
      <c r="MUM574" s="173"/>
      <c r="MUN574" s="509"/>
      <c r="MUP574" s="148"/>
      <c r="MUQ574" s="148"/>
      <c r="MUR574" s="149"/>
      <c r="MUS574" s="150"/>
      <c r="MUU574" s="152"/>
      <c r="MUV574" s="542"/>
      <c r="MUW574" s="154"/>
      <c r="MUX574" s="175"/>
      <c r="MUZ574" s="156"/>
      <c r="MVA574" s="287"/>
      <c r="MVB574" s="488"/>
      <c r="MVC574" s="489"/>
      <c r="MVD574" s="488"/>
      <c r="MVE574" s="300"/>
      <c r="MVF574" s="532"/>
      <c r="MVG574" s="533"/>
      <c r="MVH574" s="534"/>
      <c r="MVI574" s="316"/>
      <c r="MVJ574" s="316"/>
      <c r="MVK574" s="471"/>
      <c r="MVL574" s="472"/>
      <c r="MVM574" s="471"/>
      <c r="MVN574" s="473"/>
      <c r="MVO574" s="313"/>
      <c r="MVP574" s="535"/>
      <c r="MVQ574" s="536"/>
      <c r="MVR574" s="537"/>
      <c r="MVS574" s="538"/>
      <c r="MVT574" s="539"/>
      <c r="MVU574" s="540"/>
      <c r="MVV574" s="209"/>
      <c r="MVW574" s="541"/>
      <c r="MVX574" s="541"/>
      <c r="MVY574" s="482"/>
      <c r="MVZ574" s="173"/>
      <c r="MWA574" s="173"/>
      <c r="MWB574" s="509"/>
      <c r="MWD574" s="148"/>
      <c r="MWE574" s="148"/>
      <c r="MWF574" s="149"/>
      <c r="MWG574" s="150"/>
      <c r="MWI574" s="152"/>
      <c r="MWJ574" s="542"/>
      <c r="MWK574" s="154"/>
      <c r="MWL574" s="175"/>
      <c r="MWN574" s="156"/>
      <c r="MWO574" s="287"/>
      <c r="MWP574" s="488"/>
      <c r="MWQ574" s="489"/>
      <c r="MWR574" s="488"/>
      <c r="MWS574" s="300"/>
      <c r="MWT574" s="532"/>
      <c r="MWU574" s="533"/>
      <c r="MWV574" s="534"/>
      <c r="MWW574" s="316"/>
      <c r="MWX574" s="316"/>
      <c r="MWY574" s="471"/>
      <c r="MWZ574" s="472"/>
      <c r="MXA574" s="471"/>
      <c r="MXB574" s="473"/>
      <c r="MXC574" s="313"/>
      <c r="MXD574" s="535"/>
      <c r="MXE574" s="536"/>
      <c r="MXF574" s="537"/>
      <c r="MXG574" s="538"/>
      <c r="MXH574" s="539"/>
      <c r="MXI574" s="540"/>
      <c r="MXJ574" s="209"/>
      <c r="MXK574" s="541"/>
      <c r="MXL574" s="541"/>
      <c r="MXM574" s="482"/>
      <c r="MXN574" s="173"/>
      <c r="MXO574" s="173"/>
      <c r="MXP574" s="509"/>
      <c r="MXR574" s="148"/>
      <c r="MXS574" s="148"/>
      <c r="MXT574" s="149"/>
      <c r="MXU574" s="150"/>
      <c r="MXW574" s="152"/>
      <c r="MXX574" s="542"/>
      <c r="MXY574" s="154"/>
      <c r="MXZ574" s="175"/>
      <c r="MYB574" s="156"/>
      <c r="MYC574" s="287"/>
      <c r="MYD574" s="488"/>
      <c r="MYE574" s="489"/>
      <c r="MYF574" s="488"/>
      <c r="MYG574" s="300"/>
      <c r="MYH574" s="532"/>
      <c r="MYI574" s="533"/>
      <c r="MYJ574" s="534"/>
      <c r="MYK574" s="316"/>
      <c r="MYL574" s="316"/>
      <c r="MYM574" s="471"/>
      <c r="MYN574" s="472"/>
      <c r="MYO574" s="471"/>
      <c r="MYP574" s="473"/>
      <c r="MYQ574" s="313"/>
      <c r="MYR574" s="535"/>
      <c r="MYS574" s="536"/>
      <c r="MYT574" s="537"/>
      <c r="MYU574" s="538"/>
      <c r="MYV574" s="539"/>
      <c r="MYW574" s="540"/>
      <c r="MYX574" s="209"/>
      <c r="MYY574" s="541"/>
      <c r="MYZ574" s="541"/>
      <c r="MZA574" s="482"/>
      <c r="MZB574" s="173"/>
      <c r="MZC574" s="173"/>
      <c r="MZD574" s="509"/>
      <c r="MZF574" s="148"/>
      <c r="MZG574" s="148"/>
      <c r="MZH574" s="149"/>
      <c r="MZI574" s="150"/>
      <c r="MZK574" s="152"/>
      <c r="MZL574" s="542"/>
      <c r="MZM574" s="154"/>
      <c r="MZN574" s="175"/>
      <c r="MZP574" s="156"/>
      <c r="MZQ574" s="287"/>
      <c r="MZR574" s="488"/>
      <c r="MZS574" s="489"/>
      <c r="MZT574" s="488"/>
      <c r="MZU574" s="300"/>
      <c r="MZV574" s="532"/>
      <c r="MZW574" s="533"/>
      <c r="MZX574" s="534"/>
      <c r="MZY574" s="316"/>
      <c r="MZZ574" s="316"/>
      <c r="NAA574" s="471"/>
      <c r="NAB574" s="472"/>
      <c r="NAC574" s="471"/>
      <c r="NAD574" s="473"/>
      <c r="NAE574" s="313"/>
      <c r="NAF574" s="535"/>
      <c r="NAG574" s="536"/>
      <c r="NAH574" s="537"/>
      <c r="NAI574" s="538"/>
      <c r="NAJ574" s="539"/>
      <c r="NAK574" s="540"/>
      <c r="NAL574" s="209"/>
      <c r="NAM574" s="541"/>
      <c r="NAN574" s="541"/>
      <c r="NAO574" s="482"/>
      <c r="NAP574" s="173"/>
      <c r="NAQ574" s="173"/>
      <c r="NAR574" s="509"/>
      <c r="NAT574" s="148"/>
      <c r="NAU574" s="148"/>
      <c r="NAV574" s="149"/>
      <c r="NAW574" s="150"/>
      <c r="NAY574" s="152"/>
      <c r="NAZ574" s="542"/>
      <c r="NBA574" s="154"/>
      <c r="NBB574" s="175"/>
      <c r="NBD574" s="156"/>
      <c r="NBE574" s="287"/>
      <c r="NBF574" s="488"/>
      <c r="NBG574" s="489"/>
      <c r="NBH574" s="488"/>
      <c r="NBI574" s="300"/>
      <c r="NBJ574" s="532"/>
      <c r="NBK574" s="533"/>
      <c r="NBL574" s="534"/>
      <c r="NBM574" s="316"/>
      <c r="NBN574" s="316"/>
      <c r="NBO574" s="471"/>
      <c r="NBP574" s="472"/>
      <c r="NBQ574" s="471"/>
      <c r="NBR574" s="473"/>
      <c r="NBS574" s="313"/>
      <c r="NBT574" s="535"/>
      <c r="NBU574" s="536"/>
      <c r="NBV574" s="537"/>
      <c r="NBW574" s="538"/>
      <c r="NBX574" s="539"/>
      <c r="NBY574" s="540"/>
      <c r="NBZ574" s="209"/>
      <c r="NCA574" s="541"/>
      <c r="NCB574" s="541"/>
      <c r="NCC574" s="482"/>
      <c r="NCD574" s="173"/>
      <c r="NCE574" s="173"/>
      <c r="NCF574" s="509"/>
      <c r="NCH574" s="148"/>
      <c r="NCI574" s="148"/>
      <c r="NCJ574" s="149"/>
      <c r="NCK574" s="150"/>
      <c r="NCM574" s="152"/>
      <c r="NCN574" s="542"/>
      <c r="NCO574" s="154"/>
      <c r="NCP574" s="175"/>
      <c r="NCR574" s="156"/>
      <c r="NCS574" s="287"/>
      <c r="NCT574" s="488"/>
      <c r="NCU574" s="489"/>
      <c r="NCV574" s="488"/>
      <c r="NCW574" s="300"/>
      <c r="NCX574" s="532"/>
      <c r="NCY574" s="533"/>
      <c r="NCZ574" s="534"/>
      <c r="NDA574" s="316"/>
      <c r="NDB574" s="316"/>
      <c r="NDC574" s="471"/>
      <c r="NDD574" s="472"/>
      <c r="NDE574" s="471"/>
      <c r="NDF574" s="473"/>
      <c r="NDG574" s="313"/>
      <c r="NDH574" s="535"/>
      <c r="NDI574" s="536"/>
      <c r="NDJ574" s="537"/>
      <c r="NDK574" s="538"/>
      <c r="NDL574" s="539"/>
      <c r="NDM574" s="540"/>
      <c r="NDN574" s="209"/>
      <c r="NDO574" s="541"/>
      <c r="NDP574" s="541"/>
      <c r="NDQ574" s="482"/>
      <c r="NDR574" s="173"/>
      <c r="NDS574" s="173"/>
      <c r="NDT574" s="509"/>
      <c r="NDV574" s="148"/>
      <c r="NDW574" s="148"/>
      <c r="NDX574" s="149"/>
      <c r="NDY574" s="150"/>
      <c r="NEA574" s="152"/>
      <c r="NEB574" s="542"/>
      <c r="NEC574" s="154"/>
      <c r="NED574" s="175"/>
      <c r="NEF574" s="156"/>
      <c r="NEG574" s="287"/>
      <c r="NEH574" s="488"/>
      <c r="NEI574" s="489"/>
      <c r="NEJ574" s="488"/>
      <c r="NEK574" s="300"/>
      <c r="NEL574" s="532"/>
      <c r="NEM574" s="533"/>
      <c r="NEN574" s="534"/>
      <c r="NEO574" s="316"/>
      <c r="NEP574" s="316"/>
      <c r="NEQ574" s="471"/>
      <c r="NER574" s="472"/>
      <c r="NES574" s="471"/>
      <c r="NET574" s="473"/>
      <c r="NEU574" s="313"/>
      <c r="NEV574" s="535"/>
      <c r="NEW574" s="536"/>
      <c r="NEX574" s="537"/>
      <c r="NEY574" s="538"/>
      <c r="NEZ574" s="539"/>
      <c r="NFA574" s="540"/>
      <c r="NFB574" s="209"/>
      <c r="NFC574" s="541"/>
      <c r="NFD574" s="541"/>
      <c r="NFE574" s="482"/>
      <c r="NFF574" s="173"/>
      <c r="NFG574" s="173"/>
      <c r="NFH574" s="509"/>
      <c r="NFJ574" s="148"/>
      <c r="NFK574" s="148"/>
      <c r="NFL574" s="149"/>
      <c r="NFM574" s="150"/>
      <c r="NFO574" s="152"/>
      <c r="NFP574" s="542"/>
      <c r="NFQ574" s="154"/>
      <c r="NFR574" s="175"/>
      <c r="NFT574" s="156"/>
      <c r="NFU574" s="287"/>
      <c r="NFV574" s="488"/>
      <c r="NFW574" s="489"/>
      <c r="NFX574" s="488"/>
      <c r="NFY574" s="300"/>
      <c r="NFZ574" s="532"/>
      <c r="NGA574" s="533"/>
      <c r="NGB574" s="534"/>
      <c r="NGC574" s="316"/>
      <c r="NGD574" s="316"/>
      <c r="NGE574" s="471"/>
      <c r="NGF574" s="472"/>
      <c r="NGG574" s="471"/>
      <c r="NGH574" s="473"/>
      <c r="NGI574" s="313"/>
      <c r="NGJ574" s="535"/>
      <c r="NGK574" s="536"/>
      <c r="NGL574" s="537"/>
      <c r="NGM574" s="538"/>
      <c r="NGN574" s="539"/>
      <c r="NGO574" s="540"/>
      <c r="NGP574" s="209"/>
      <c r="NGQ574" s="541"/>
      <c r="NGR574" s="541"/>
      <c r="NGS574" s="482"/>
      <c r="NGT574" s="173"/>
      <c r="NGU574" s="173"/>
      <c r="NGV574" s="509"/>
      <c r="NGX574" s="148"/>
      <c r="NGY574" s="148"/>
      <c r="NGZ574" s="149"/>
      <c r="NHA574" s="150"/>
      <c r="NHC574" s="152"/>
      <c r="NHD574" s="542"/>
      <c r="NHE574" s="154"/>
      <c r="NHF574" s="175"/>
      <c r="NHH574" s="156"/>
      <c r="NHI574" s="287"/>
      <c r="NHJ574" s="488"/>
      <c r="NHK574" s="489"/>
      <c r="NHL574" s="488"/>
      <c r="NHM574" s="300"/>
      <c r="NHN574" s="532"/>
      <c r="NHO574" s="533"/>
      <c r="NHP574" s="534"/>
      <c r="NHQ574" s="316"/>
      <c r="NHR574" s="316"/>
      <c r="NHS574" s="471"/>
      <c r="NHT574" s="472"/>
      <c r="NHU574" s="471"/>
      <c r="NHV574" s="473"/>
      <c r="NHW574" s="313"/>
      <c r="NHX574" s="535"/>
      <c r="NHY574" s="536"/>
      <c r="NHZ574" s="537"/>
      <c r="NIA574" s="538"/>
      <c r="NIB574" s="539"/>
      <c r="NIC574" s="540"/>
      <c r="NID574" s="209"/>
      <c r="NIE574" s="541"/>
      <c r="NIF574" s="541"/>
      <c r="NIG574" s="482"/>
      <c r="NIH574" s="173"/>
      <c r="NII574" s="173"/>
      <c r="NIJ574" s="509"/>
      <c r="NIL574" s="148"/>
      <c r="NIM574" s="148"/>
      <c r="NIN574" s="149"/>
      <c r="NIO574" s="150"/>
      <c r="NIQ574" s="152"/>
      <c r="NIR574" s="542"/>
      <c r="NIS574" s="154"/>
      <c r="NIT574" s="175"/>
      <c r="NIV574" s="156"/>
      <c r="NIW574" s="287"/>
      <c r="NIX574" s="488"/>
      <c r="NIY574" s="489"/>
      <c r="NIZ574" s="488"/>
      <c r="NJA574" s="300"/>
      <c r="NJB574" s="532"/>
      <c r="NJC574" s="533"/>
      <c r="NJD574" s="534"/>
      <c r="NJE574" s="316"/>
      <c r="NJF574" s="316"/>
      <c r="NJG574" s="471"/>
      <c r="NJH574" s="472"/>
      <c r="NJI574" s="471"/>
      <c r="NJJ574" s="473"/>
      <c r="NJK574" s="313"/>
      <c r="NJL574" s="535"/>
      <c r="NJM574" s="536"/>
      <c r="NJN574" s="537"/>
      <c r="NJO574" s="538"/>
      <c r="NJP574" s="539"/>
      <c r="NJQ574" s="540"/>
      <c r="NJR574" s="209"/>
      <c r="NJS574" s="541"/>
      <c r="NJT574" s="541"/>
      <c r="NJU574" s="482"/>
      <c r="NJV574" s="173"/>
      <c r="NJW574" s="173"/>
      <c r="NJX574" s="509"/>
      <c r="NJZ574" s="148"/>
      <c r="NKA574" s="148"/>
      <c r="NKB574" s="149"/>
      <c r="NKC574" s="150"/>
      <c r="NKE574" s="152"/>
      <c r="NKF574" s="542"/>
      <c r="NKG574" s="154"/>
      <c r="NKH574" s="175"/>
      <c r="NKJ574" s="156"/>
      <c r="NKK574" s="287"/>
      <c r="NKL574" s="488"/>
      <c r="NKM574" s="489"/>
      <c r="NKN574" s="488"/>
      <c r="NKO574" s="300"/>
      <c r="NKP574" s="532"/>
      <c r="NKQ574" s="533"/>
      <c r="NKR574" s="534"/>
      <c r="NKS574" s="316"/>
      <c r="NKT574" s="316"/>
      <c r="NKU574" s="471"/>
      <c r="NKV574" s="472"/>
      <c r="NKW574" s="471"/>
      <c r="NKX574" s="473"/>
      <c r="NKY574" s="313"/>
      <c r="NKZ574" s="535"/>
      <c r="NLA574" s="536"/>
      <c r="NLB574" s="537"/>
      <c r="NLC574" s="538"/>
      <c r="NLD574" s="539"/>
      <c r="NLE574" s="540"/>
      <c r="NLF574" s="209"/>
      <c r="NLG574" s="541"/>
      <c r="NLH574" s="541"/>
      <c r="NLI574" s="482"/>
      <c r="NLJ574" s="173"/>
      <c r="NLK574" s="173"/>
      <c r="NLL574" s="509"/>
      <c r="NLN574" s="148"/>
      <c r="NLO574" s="148"/>
      <c r="NLP574" s="149"/>
      <c r="NLQ574" s="150"/>
      <c r="NLS574" s="152"/>
      <c r="NLT574" s="542"/>
      <c r="NLU574" s="154"/>
      <c r="NLV574" s="175"/>
      <c r="NLX574" s="156"/>
      <c r="NLY574" s="287"/>
      <c r="NLZ574" s="488"/>
      <c r="NMA574" s="489"/>
      <c r="NMB574" s="488"/>
      <c r="NMC574" s="300"/>
      <c r="NMD574" s="532"/>
      <c r="NME574" s="533"/>
      <c r="NMF574" s="534"/>
      <c r="NMG574" s="316"/>
      <c r="NMH574" s="316"/>
      <c r="NMI574" s="471"/>
      <c r="NMJ574" s="472"/>
      <c r="NMK574" s="471"/>
      <c r="NML574" s="473"/>
      <c r="NMM574" s="313"/>
      <c r="NMN574" s="535"/>
      <c r="NMO574" s="536"/>
      <c r="NMP574" s="537"/>
      <c r="NMQ574" s="538"/>
      <c r="NMR574" s="539"/>
      <c r="NMS574" s="540"/>
      <c r="NMT574" s="209"/>
      <c r="NMU574" s="541"/>
      <c r="NMV574" s="541"/>
      <c r="NMW574" s="482"/>
      <c r="NMX574" s="173"/>
      <c r="NMY574" s="173"/>
      <c r="NMZ574" s="509"/>
      <c r="NNB574" s="148"/>
      <c r="NNC574" s="148"/>
      <c r="NND574" s="149"/>
      <c r="NNE574" s="150"/>
      <c r="NNG574" s="152"/>
      <c r="NNH574" s="542"/>
      <c r="NNI574" s="154"/>
      <c r="NNJ574" s="175"/>
      <c r="NNL574" s="156"/>
      <c r="NNM574" s="287"/>
      <c r="NNN574" s="488"/>
      <c r="NNO574" s="489"/>
      <c r="NNP574" s="488"/>
      <c r="NNQ574" s="300"/>
      <c r="NNR574" s="532"/>
      <c r="NNS574" s="533"/>
      <c r="NNT574" s="534"/>
      <c r="NNU574" s="316"/>
      <c r="NNV574" s="316"/>
      <c r="NNW574" s="471"/>
      <c r="NNX574" s="472"/>
      <c r="NNY574" s="471"/>
      <c r="NNZ574" s="473"/>
      <c r="NOA574" s="313"/>
      <c r="NOB574" s="535"/>
      <c r="NOC574" s="536"/>
      <c r="NOD574" s="537"/>
      <c r="NOE574" s="538"/>
      <c r="NOF574" s="539"/>
      <c r="NOG574" s="540"/>
      <c r="NOH574" s="209"/>
      <c r="NOI574" s="541"/>
      <c r="NOJ574" s="541"/>
      <c r="NOK574" s="482"/>
      <c r="NOL574" s="173"/>
      <c r="NOM574" s="173"/>
      <c r="NON574" s="509"/>
      <c r="NOP574" s="148"/>
      <c r="NOQ574" s="148"/>
      <c r="NOR574" s="149"/>
      <c r="NOS574" s="150"/>
      <c r="NOU574" s="152"/>
      <c r="NOV574" s="542"/>
      <c r="NOW574" s="154"/>
      <c r="NOX574" s="175"/>
      <c r="NOZ574" s="156"/>
      <c r="NPA574" s="287"/>
      <c r="NPB574" s="488"/>
      <c r="NPC574" s="489"/>
      <c r="NPD574" s="488"/>
      <c r="NPE574" s="300"/>
      <c r="NPF574" s="532"/>
      <c r="NPG574" s="533"/>
      <c r="NPH574" s="534"/>
      <c r="NPI574" s="316"/>
      <c r="NPJ574" s="316"/>
      <c r="NPK574" s="471"/>
      <c r="NPL574" s="472"/>
      <c r="NPM574" s="471"/>
      <c r="NPN574" s="473"/>
      <c r="NPO574" s="313"/>
      <c r="NPP574" s="535"/>
      <c r="NPQ574" s="536"/>
      <c r="NPR574" s="537"/>
      <c r="NPS574" s="538"/>
      <c r="NPT574" s="539"/>
      <c r="NPU574" s="540"/>
      <c r="NPV574" s="209"/>
      <c r="NPW574" s="541"/>
      <c r="NPX574" s="541"/>
      <c r="NPY574" s="482"/>
      <c r="NPZ574" s="173"/>
      <c r="NQA574" s="173"/>
      <c r="NQB574" s="509"/>
      <c r="NQD574" s="148"/>
      <c r="NQE574" s="148"/>
      <c r="NQF574" s="149"/>
      <c r="NQG574" s="150"/>
      <c r="NQI574" s="152"/>
      <c r="NQJ574" s="542"/>
      <c r="NQK574" s="154"/>
      <c r="NQL574" s="175"/>
      <c r="NQN574" s="156"/>
      <c r="NQO574" s="287"/>
      <c r="NQP574" s="488"/>
      <c r="NQQ574" s="489"/>
      <c r="NQR574" s="488"/>
      <c r="NQS574" s="300"/>
      <c r="NQT574" s="532"/>
      <c r="NQU574" s="533"/>
      <c r="NQV574" s="534"/>
      <c r="NQW574" s="316"/>
      <c r="NQX574" s="316"/>
      <c r="NQY574" s="471"/>
      <c r="NQZ574" s="472"/>
      <c r="NRA574" s="471"/>
      <c r="NRB574" s="473"/>
      <c r="NRC574" s="313"/>
      <c r="NRD574" s="535"/>
      <c r="NRE574" s="536"/>
      <c r="NRF574" s="537"/>
      <c r="NRG574" s="538"/>
      <c r="NRH574" s="539"/>
      <c r="NRI574" s="540"/>
      <c r="NRJ574" s="209"/>
      <c r="NRK574" s="541"/>
      <c r="NRL574" s="541"/>
      <c r="NRM574" s="482"/>
      <c r="NRN574" s="173"/>
      <c r="NRO574" s="173"/>
      <c r="NRP574" s="509"/>
      <c r="NRR574" s="148"/>
      <c r="NRS574" s="148"/>
      <c r="NRT574" s="149"/>
      <c r="NRU574" s="150"/>
      <c r="NRW574" s="152"/>
      <c r="NRX574" s="542"/>
      <c r="NRY574" s="154"/>
      <c r="NRZ574" s="175"/>
      <c r="NSB574" s="156"/>
      <c r="NSC574" s="287"/>
      <c r="NSD574" s="488"/>
      <c r="NSE574" s="489"/>
      <c r="NSF574" s="488"/>
      <c r="NSG574" s="300"/>
      <c r="NSH574" s="532"/>
      <c r="NSI574" s="533"/>
      <c r="NSJ574" s="534"/>
      <c r="NSK574" s="316"/>
      <c r="NSL574" s="316"/>
      <c r="NSM574" s="471"/>
      <c r="NSN574" s="472"/>
      <c r="NSO574" s="471"/>
      <c r="NSP574" s="473"/>
      <c r="NSQ574" s="313"/>
      <c r="NSR574" s="535"/>
      <c r="NSS574" s="536"/>
      <c r="NST574" s="537"/>
      <c r="NSU574" s="538"/>
      <c r="NSV574" s="539"/>
      <c r="NSW574" s="540"/>
      <c r="NSX574" s="209"/>
      <c r="NSY574" s="541"/>
      <c r="NSZ574" s="541"/>
      <c r="NTA574" s="482"/>
      <c r="NTB574" s="173"/>
      <c r="NTC574" s="173"/>
      <c r="NTD574" s="509"/>
      <c r="NTF574" s="148"/>
      <c r="NTG574" s="148"/>
      <c r="NTH574" s="149"/>
      <c r="NTI574" s="150"/>
      <c r="NTK574" s="152"/>
      <c r="NTL574" s="542"/>
      <c r="NTM574" s="154"/>
      <c r="NTN574" s="175"/>
      <c r="NTP574" s="156"/>
      <c r="NTQ574" s="287"/>
      <c r="NTR574" s="488"/>
      <c r="NTS574" s="489"/>
      <c r="NTT574" s="488"/>
      <c r="NTU574" s="300"/>
      <c r="NTV574" s="532"/>
      <c r="NTW574" s="533"/>
      <c r="NTX574" s="534"/>
      <c r="NTY574" s="316"/>
      <c r="NTZ574" s="316"/>
      <c r="NUA574" s="471"/>
      <c r="NUB574" s="472"/>
      <c r="NUC574" s="471"/>
      <c r="NUD574" s="473"/>
      <c r="NUE574" s="313"/>
      <c r="NUF574" s="535"/>
      <c r="NUG574" s="536"/>
      <c r="NUH574" s="537"/>
      <c r="NUI574" s="538"/>
      <c r="NUJ574" s="539"/>
      <c r="NUK574" s="540"/>
      <c r="NUL574" s="209"/>
      <c r="NUM574" s="541"/>
      <c r="NUN574" s="541"/>
      <c r="NUO574" s="482"/>
      <c r="NUP574" s="173"/>
      <c r="NUQ574" s="173"/>
      <c r="NUR574" s="509"/>
      <c r="NUT574" s="148"/>
      <c r="NUU574" s="148"/>
      <c r="NUV574" s="149"/>
      <c r="NUW574" s="150"/>
      <c r="NUY574" s="152"/>
      <c r="NUZ574" s="542"/>
      <c r="NVA574" s="154"/>
      <c r="NVB574" s="175"/>
      <c r="NVD574" s="156"/>
      <c r="NVE574" s="287"/>
      <c r="NVF574" s="488"/>
      <c r="NVG574" s="489"/>
      <c r="NVH574" s="488"/>
      <c r="NVI574" s="300"/>
      <c r="NVJ574" s="532"/>
      <c r="NVK574" s="533"/>
      <c r="NVL574" s="534"/>
      <c r="NVM574" s="316"/>
      <c r="NVN574" s="316"/>
      <c r="NVO574" s="471"/>
      <c r="NVP574" s="472"/>
      <c r="NVQ574" s="471"/>
      <c r="NVR574" s="473"/>
      <c r="NVS574" s="313"/>
      <c r="NVT574" s="535"/>
      <c r="NVU574" s="536"/>
      <c r="NVV574" s="537"/>
      <c r="NVW574" s="538"/>
      <c r="NVX574" s="539"/>
      <c r="NVY574" s="540"/>
      <c r="NVZ574" s="209"/>
      <c r="NWA574" s="541"/>
      <c r="NWB574" s="541"/>
      <c r="NWC574" s="482"/>
      <c r="NWD574" s="173"/>
      <c r="NWE574" s="173"/>
      <c r="NWF574" s="509"/>
      <c r="NWH574" s="148"/>
      <c r="NWI574" s="148"/>
      <c r="NWJ574" s="149"/>
      <c r="NWK574" s="150"/>
      <c r="NWM574" s="152"/>
      <c r="NWN574" s="542"/>
      <c r="NWO574" s="154"/>
      <c r="NWP574" s="175"/>
      <c r="NWR574" s="156"/>
      <c r="NWS574" s="287"/>
      <c r="NWT574" s="488"/>
      <c r="NWU574" s="489"/>
      <c r="NWV574" s="488"/>
      <c r="NWW574" s="300"/>
      <c r="NWX574" s="532"/>
      <c r="NWY574" s="533"/>
      <c r="NWZ574" s="534"/>
      <c r="NXA574" s="316"/>
      <c r="NXB574" s="316"/>
      <c r="NXC574" s="471"/>
      <c r="NXD574" s="472"/>
      <c r="NXE574" s="471"/>
      <c r="NXF574" s="473"/>
      <c r="NXG574" s="313"/>
      <c r="NXH574" s="535"/>
      <c r="NXI574" s="536"/>
      <c r="NXJ574" s="537"/>
      <c r="NXK574" s="538"/>
      <c r="NXL574" s="539"/>
      <c r="NXM574" s="540"/>
      <c r="NXN574" s="209"/>
      <c r="NXO574" s="541"/>
      <c r="NXP574" s="541"/>
      <c r="NXQ574" s="482"/>
      <c r="NXR574" s="173"/>
      <c r="NXS574" s="173"/>
      <c r="NXT574" s="509"/>
      <c r="NXV574" s="148"/>
      <c r="NXW574" s="148"/>
      <c r="NXX574" s="149"/>
      <c r="NXY574" s="150"/>
      <c r="NYA574" s="152"/>
      <c r="NYB574" s="542"/>
      <c r="NYC574" s="154"/>
      <c r="NYD574" s="175"/>
      <c r="NYF574" s="156"/>
      <c r="NYG574" s="287"/>
      <c r="NYH574" s="488"/>
      <c r="NYI574" s="489"/>
      <c r="NYJ574" s="488"/>
      <c r="NYK574" s="300"/>
      <c r="NYL574" s="532"/>
      <c r="NYM574" s="533"/>
      <c r="NYN574" s="534"/>
      <c r="NYO574" s="316"/>
      <c r="NYP574" s="316"/>
      <c r="NYQ574" s="471"/>
      <c r="NYR574" s="472"/>
      <c r="NYS574" s="471"/>
      <c r="NYT574" s="473"/>
      <c r="NYU574" s="313"/>
      <c r="NYV574" s="535"/>
      <c r="NYW574" s="536"/>
      <c r="NYX574" s="537"/>
      <c r="NYY574" s="538"/>
      <c r="NYZ574" s="539"/>
      <c r="NZA574" s="540"/>
      <c r="NZB574" s="209"/>
      <c r="NZC574" s="541"/>
      <c r="NZD574" s="541"/>
      <c r="NZE574" s="482"/>
      <c r="NZF574" s="173"/>
      <c r="NZG574" s="173"/>
      <c r="NZH574" s="509"/>
      <c r="NZJ574" s="148"/>
      <c r="NZK574" s="148"/>
      <c r="NZL574" s="149"/>
      <c r="NZM574" s="150"/>
      <c r="NZO574" s="152"/>
      <c r="NZP574" s="542"/>
      <c r="NZQ574" s="154"/>
      <c r="NZR574" s="175"/>
      <c r="NZT574" s="156"/>
      <c r="NZU574" s="287"/>
      <c r="NZV574" s="488"/>
      <c r="NZW574" s="489"/>
      <c r="NZX574" s="488"/>
      <c r="NZY574" s="300"/>
      <c r="NZZ574" s="532"/>
      <c r="OAA574" s="533"/>
      <c r="OAB574" s="534"/>
      <c r="OAC574" s="316"/>
      <c r="OAD574" s="316"/>
      <c r="OAE574" s="471"/>
      <c r="OAF574" s="472"/>
      <c r="OAG574" s="471"/>
      <c r="OAH574" s="473"/>
      <c r="OAI574" s="313"/>
      <c r="OAJ574" s="535"/>
      <c r="OAK574" s="536"/>
      <c r="OAL574" s="537"/>
      <c r="OAM574" s="538"/>
      <c r="OAN574" s="539"/>
      <c r="OAO574" s="540"/>
      <c r="OAP574" s="209"/>
      <c r="OAQ574" s="541"/>
      <c r="OAR574" s="541"/>
      <c r="OAS574" s="482"/>
      <c r="OAT574" s="173"/>
      <c r="OAU574" s="173"/>
      <c r="OAV574" s="509"/>
      <c r="OAX574" s="148"/>
      <c r="OAY574" s="148"/>
      <c r="OAZ574" s="149"/>
      <c r="OBA574" s="150"/>
      <c r="OBC574" s="152"/>
      <c r="OBD574" s="542"/>
      <c r="OBE574" s="154"/>
      <c r="OBF574" s="175"/>
      <c r="OBH574" s="156"/>
      <c r="OBI574" s="287"/>
      <c r="OBJ574" s="488"/>
      <c r="OBK574" s="489"/>
      <c r="OBL574" s="488"/>
      <c r="OBM574" s="300"/>
      <c r="OBN574" s="532"/>
      <c r="OBO574" s="533"/>
      <c r="OBP574" s="534"/>
      <c r="OBQ574" s="316"/>
      <c r="OBR574" s="316"/>
      <c r="OBS574" s="471"/>
      <c r="OBT574" s="472"/>
      <c r="OBU574" s="471"/>
      <c r="OBV574" s="473"/>
      <c r="OBW574" s="313"/>
      <c r="OBX574" s="535"/>
      <c r="OBY574" s="536"/>
      <c r="OBZ574" s="537"/>
      <c r="OCA574" s="538"/>
      <c r="OCB574" s="539"/>
      <c r="OCC574" s="540"/>
      <c r="OCD574" s="209"/>
      <c r="OCE574" s="541"/>
      <c r="OCF574" s="541"/>
      <c r="OCG574" s="482"/>
      <c r="OCH574" s="173"/>
      <c r="OCI574" s="173"/>
      <c r="OCJ574" s="509"/>
      <c r="OCL574" s="148"/>
      <c r="OCM574" s="148"/>
      <c r="OCN574" s="149"/>
      <c r="OCO574" s="150"/>
      <c r="OCQ574" s="152"/>
      <c r="OCR574" s="542"/>
      <c r="OCS574" s="154"/>
      <c r="OCT574" s="175"/>
      <c r="OCV574" s="156"/>
      <c r="OCW574" s="287"/>
      <c r="OCX574" s="488"/>
      <c r="OCY574" s="489"/>
      <c r="OCZ574" s="488"/>
      <c r="ODA574" s="300"/>
      <c r="ODB574" s="532"/>
      <c r="ODC574" s="533"/>
      <c r="ODD574" s="534"/>
      <c r="ODE574" s="316"/>
      <c r="ODF574" s="316"/>
      <c r="ODG574" s="471"/>
      <c r="ODH574" s="472"/>
      <c r="ODI574" s="471"/>
      <c r="ODJ574" s="473"/>
      <c r="ODK574" s="313"/>
      <c r="ODL574" s="535"/>
      <c r="ODM574" s="536"/>
      <c r="ODN574" s="537"/>
      <c r="ODO574" s="538"/>
      <c r="ODP574" s="539"/>
      <c r="ODQ574" s="540"/>
      <c r="ODR574" s="209"/>
      <c r="ODS574" s="541"/>
      <c r="ODT574" s="541"/>
      <c r="ODU574" s="482"/>
      <c r="ODV574" s="173"/>
      <c r="ODW574" s="173"/>
      <c r="ODX574" s="509"/>
      <c r="ODZ574" s="148"/>
      <c r="OEA574" s="148"/>
      <c r="OEB574" s="149"/>
      <c r="OEC574" s="150"/>
      <c r="OEE574" s="152"/>
      <c r="OEF574" s="542"/>
      <c r="OEG574" s="154"/>
      <c r="OEH574" s="175"/>
      <c r="OEJ574" s="156"/>
      <c r="OEK574" s="287"/>
      <c r="OEL574" s="488"/>
      <c r="OEM574" s="489"/>
      <c r="OEN574" s="488"/>
      <c r="OEO574" s="300"/>
      <c r="OEP574" s="532"/>
      <c r="OEQ574" s="533"/>
      <c r="OER574" s="534"/>
      <c r="OES574" s="316"/>
      <c r="OET574" s="316"/>
      <c r="OEU574" s="471"/>
      <c r="OEV574" s="472"/>
      <c r="OEW574" s="471"/>
      <c r="OEX574" s="473"/>
      <c r="OEY574" s="313"/>
      <c r="OEZ574" s="535"/>
      <c r="OFA574" s="536"/>
      <c r="OFB574" s="537"/>
      <c r="OFC574" s="538"/>
      <c r="OFD574" s="539"/>
      <c r="OFE574" s="540"/>
      <c r="OFF574" s="209"/>
      <c r="OFG574" s="541"/>
      <c r="OFH574" s="541"/>
      <c r="OFI574" s="482"/>
      <c r="OFJ574" s="173"/>
      <c r="OFK574" s="173"/>
      <c r="OFL574" s="509"/>
      <c r="OFN574" s="148"/>
      <c r="OFO574" s="148"/>
      <c r="OFP574" s="149"/>
      <c r="OFQ574" s="150"/>
      <c r="OFS574" s="152"/>
      <c r="OFT574" s="542"/>
      <c r="OFU574" s="154"/>
      <c r="OFV574" s="175"/>
      <c r="OFX574" s="156"/>
      <c r="OFY574" s="287"/>
      <c r="OFZ574" s="488"/>
      <c r="OGA574" s="489"/>
      <c r="OGB574" s="488"/>
      <c r="OGC574" s="300"/>
      <c r="OGD574" s="532"/>
      <c r="OGE574" s="533"/>
      <c r="OGF574" s="534"/>
      <c r="OGG574" s="316"/>
      <c r="OGH574" s="316"/>
      <c r="OGI574" s="471"/>
      <c r="OGJ574" s="472"/>
      <c r="OGK574" s="471"/>
      <c r="OGL574" s="473"/>
      <c r="OGM574" s="313"/>
      <c r="OGN574" s="535"/>
      <c r="OGO574" s="536"/>
      <c r="OGP574" s="537"/>
      <c r="OGQ574" s="538"/>
      <c r="OGR574" s="539"/>
      <c r="OGS574" s="540"/>
      <c r="OGT574" s="209"/>
      <c r="OGU574" s="541"/>
      <c r="OGV574" s="541"/>
      <c r="OGW574" s="482"/>
      <c r="OGX574" s="173"/>
      <c r="OGY574" s="173"/>
      <c r="OGZ574" s="509"/>
      <c r="OHB574" s="148"/>
      <c r="OHC574" s="148"/>
      <c r="OHD574" s="149"/>
      <c r="OHE574" s="150"/>
      <c r="OHG574" s="152"/>
      <c r="OHH574" s="542"/>
      <c r="OHI574" s="154"/>
      <c r="OHJ574" s="175"/>
      <c r="OHL574" s="156"/>
      <c r="OHM574" s="287"/>
      <c r="OHN574" s="488"/>
      <c r="OHO574" s="489"/>
      <c r="OHP574" s="488"/>
      <c r="OHQ574" s="300"/>
      <c r="OHR574" s="532"/>
      <c r="OHS574" s="533"/>
      <c r="OHT574" s="534"/>
      <c r="OHU574" s="316"/>
      <c r="OHV574" s="316"/>
      <c r="OHW574" s="471"/>
      <c r="OHX574" s="472"/>
      <c r="OHY574" s="471"/>
      <c r="OHZ574" s="473"/>
      <c r="OIA574" s="313"/>
      <c r="OIB574" s="535"/>
      <c r="OIC574" s="536"/>
      <c r="OID574" s="537"/>
      <c r="OIE574" s="538"/>
      <c r="OIF574" s="539"/>
      <c r="OIG574" s="540"/>
      <c r="OIH574" s="209"/>
      <c r="OII574" s="541"/>
      <c r="OIJ574" s="541"/>
      <c r="OIK574" s="482"/>
      <c r="OIL574" s="173"/>
      <c r="OIM574" s="173"/>
      <c r="OIN574" s="509"/>
      <c r="OIP574" s="148"/>
      <c r="OIQ574" s="148"/>
      <c r="OIR574" s="149"/>
      <c r="OIS574" s="150"/>
      <c r="OIU574" s="152"/>
      <c r="OIV574" s="542"/>
      <c r="OIW574" s="154"/>
      <c r="OIX574" s="175"/>
      <c r="OIZ574" s="156"/>
      <c r="OJA574" s="287"/>
      <c r="OJB574" s="488"/>
      <c r="OJC574" s="489"/>
      <c r="OJD574" s="488"/>
      <c r="OJE574" s="300"/>
      <c r="OJF574" s="532"/>
      <c r="OJG574" s="533"/>
      <c r="OJH574" s="534"/>
      <c r="OJI574" s="316"/>
      <c r="OJJ574" s="316"/>
      <c r="OJK574" s="471"/>
      <c r="OJL574" s="472"/>
      <c r="OJM574" s="471"/>
      <c r="OJN574" s="473"/>
      <c r="OJO574" s="313"/>
      <c r="OJP574" s="535"/>
      <c r="OJQ574" s="536"/>
      <c r="OJR574" s="537"/>
      <c r="OJS574" s="538"/>
      <c r="OJT574" s="539"/>
      <c r="OJU574" s="540"/>
      <c r="OJV574" s="209"/>
      <c r="OJW574" s="541"/>
      <c r="OJX574" s="541"/>
      <c r="OJY574" s="482"/>
      <c r="OJZ574" s="173"/>
      <c r="OKA574" s="173"/>
      <c r="OKB574" s="509"/>
      <c r="OKD574" s="148"/>
      <c r="OKE574" s="148"/>
      <c r="OKF574" s="149"/>
      <c r="OKG574" s="150"/>
      <c r="OKI574" s="152"/>
      <c r="OKJ574" s="542"/>
      <c r="OKK574" s="154"/>
      <c r="OKL574" s="175"/>
      <c r="OKN574" s="156"/>
      <c r="OKO574" s="287"/>
      <c r="OKP574" s="488"/>
      <c r="OKQ574" s="489"/>
      <c r="OKR574" s="488"/>
      <c r="OKS574" s="300"/>
      <c r="OKT574" s="532"/>
      <c r="OKU574" s="533"/>
      <c r="OKV574" s="534"/>
      <c r="OKW574" s="316"/>
      <c r="OKX574" s="316"/>
      <c r="OKY574" s="471"/>
      <c r="OKZ574" s="472"/>
      <c r="OLA574" s="471"/>
      <c r="OLB574" s="473"/>
      <c r="OLC574" s="313"/>
      <c r="OLD574" s="535"/>
      <c r="OLE574" s="536"/>
      <c r="OLF574" s="537"/>
      <c r="OLG574" s="538"/>
      <c r="OLH574" s="539"/>
      <c r="OLI574" s="540"/>
      <c r="OLJ574" s="209"/>
      <c r="OLK574" s="541"/>
      <c r="OLL574" s="541"/>
      <c r="OLM574" s="482"/>
      <c r="OLN574" s="173"/>
      <c r="OLO574" s="173"/>
      <c r="OLP574" s="509"/>
      <c r="OLR574" s="148"/>
      <c r="OLS574" s="148"/>
      <c r="OLT574" s="149"/>
      <c r="OLU574" s="150"/>
      <c r="OLW574" s="152"/>
      <c r="OLX574" s="542"/>
      <c r="OLY574" s="154"/>
      <c r="OLZ574" s="175"/>
      <c r="OMB574" s="156"/>
      <c r="OMC574" s="287"/>
      <c r="OMD574" s="488"/>
      <c r="OME574" s="489"/>
      <c r="OMF574" s="488"/>
      <c r="OMG574" s="300"/>
      <c r="OMH574" s="532"/>
      <c r="OMI574" s="533"/>
      <c r="OMJ574" s="534"/>
      <c r="OMK574" s="316"/>
      <c r="OML574" s="316"/>
      <c r="OMM574" s="471"/>
      <c r="OMN574" s="472"/>
      <c r="OMO574" s="471"/>
      <c r="OMP574" s="473"/>
      <c r="OMQ574" s="313"/>
      <c r="OMR574" s="535"/>
      <c r="OMS574" s="536"/>
      <c r="OMT574" s="537"/>
      <c r="OMU574" s="538"/>
      <c r="OMV574" s="539"/>
      <c r="OMW574" s="540"/>
      <c r="OMX574" s="209"/>
      <c r="OMY574" s="541"/>
      <c r="OMZ574" s="541"/>
      <c r="ONA574" s="482"/>
      <c r="ONB574" s="173"/>
      <c r="ONC574" s="173"/>
      <c r="OND574" s="509"/>
      <c r="ONF574" s="148"/>
      <c r="ONG574" s="148"/>
      <c r="ONH574" s="149"/>
      <c r="ONI574" s="150"/>
      <c r="ONK574" s="152"/>
      <c r="ONL574" s="542"/>
      <c r="ONM574" s="154"/>
      <c r="ONN574" s="175"/>
      <c r="ONP574" s="156"/>
      <c r="ONQ574" s="287"/>
      <c r="ONR574" s="488"/>
      <c r="ONS574" s="489"/>
      <c r="ONT574" s="488"/>
      <c r="ONU574" s="300"/>
      <c r="ONV574" s="532"/>
      <c r="ONW574" s="533"/>
      <c r="ONX574" s="534"/>
      <c r="ONY574" s="316"/>
      <c r="ONZ574" s="316"/>
      <c r="OOA574" s="471"/>
      <c r="OOB574" s="472"/>
      <c r="OOC574" s="471"/>
      <c r="OOD574" s="473"/>
      <c r="OOE574" s="313"/>
      <c r="OOF574" s="535"/>
      <c r="OOG574" s="536"/>
      <c r="OOH574" s="537"/>
      <c r="OOI574" s="538"/>
      <c r="OOJ574" s="539"/>
      <c r="OOK574" s="540"/>
      <c r="OOL574" s="209"/>
      <c r="OOM574" s="541"/>
      <c r="OON574" s="541"/>
      <c r="OOO574" s="482"/>
      <c r="OOP574" s="173"/>
      <c r="OOQ574" s="173"/>
      <c r="OOR574" s="509"/>
      <c r="OOT574" s="148"/>
      <c r="OOU574" s="148"/>
      <c r="OOV574" s="149"/>
      <c r="OOW574" s="150"/>
      <c r="OOY574" s="152"/>
      <c r="OOZ574" s="542"/>
      <c r="OPA574" s="154"/>
      <c r="OPB574" s="175"/>
      <c r="OPD574" s="156"/>
      <c r="OPE574" s="287"/>
      <c r="OPF574" s="488"/>
      <c r="OPG574" s="489"/>
      <c r="OPH574" s="488"/>
      <c r="OPI574" s="300"/>
      <c r="OPJ574" s="532"/>
      <c r="OPK574" s="533"/>
      <c r="OPL574" s="534"/>
      <c r="OPM574" s="316"/>
      <c r="OPN574" s="316"/>
      <c r="OPO574" s="471"/>
      <c r="OPP574" s="472"/>
      <c r="OPQ574" s="471"/>
      <c r="OPR574" s="473"/>
      <c r="OPS574" s="313"/>
      <c r="OPT574" s="535"/>
      <c r="OPU574" s="536"/>
      <c r="OPV574" s="537"/>
      <c r="OPW574" s="538"/>
      <c r="OPX574" s="539"/>
      <c r="OPY574" s="540"/>
      <c r="OPZ574" s="209"/>
      <c r="OQA574" s="541"/>
      <c r="OQB574" s="541"/>
      <c r="OQC574" s="482"/>
      <c r="OQD574" s="173"/>
      <c r="OQE574" s="173"/>
      <c r="OQF574" s="509"/>
      <c r="OQH574" s="148"/>
      <c r="OQI574" s="148"/>
      <c r="OQJ574" s="149"/>
      <c r="OQK574" s="150"/>
      <c r="OQM574" s="152"/>
      <c r="OQN574" s="542"/>
      <c r="OQO574" s="154"/>
      <c r="OQP574" s="175"/>
      <c r="OQR574" s="156"/>
      <c r="OQS574" s="287"/>
      <c r="OQT574" s="488"/>
      <c r="OQU574" s="489"/>
      <c r="OQV574" s="488"/>
      <c r="OQW574" s="300"/>
      <c r="OQX574" s="532"/>
      <c r="OQY574" s="533"/>
      <c r="OQZ574" s="534"/>
      <c r="ORA574" s="316"/>
      <c r="ORB574" s="316"/>
      <c r="ORC574" s="471"/>
      <c r="ORD574" s="472"/>
      <c r="ORE574" s="471"/>
      <c r="ORF574" s="473"/>
      <c r="ORG574" s="313"/>
      <c r="ORH574" s="535"/>
      <c r="ORI574" s="536"/>
      <c r="ORJ574" s="537"/>
      <c r="ORK574" s="538"/>
      <c r="ORL574" s="539"/>
      <c r="ORM574" s="540"/>
      <c r="ORN574" s="209"/>
      <c r="ORO574" s="541"/>
      <c r="ORP574" s="541"/>
      <c r="ORQ574" s="482"/>
      <c r="ORR574" s="173"/>
      <c r="ORS574" s="173"/>
      <c r="ORT574" s="509"/>
      <c r="ORV574" s="148"/>
      <c r="ORW574" s="148"/>
      <c r="ORX574" s="149"/>
      <c r="ORY574" s="150"/>
      <c r="OSA574" s="152"/>
      <c r="OSB574" s="542"/>
      <c r="OSC574" s="154"/>
      <c r="OSD574" s="175"/>
      <c r="OSF574" s="156"/>
      <c r="OSG574" s="287"/>
      <c r="OSH574" s="488"/>
      <c r="OSI574" s="489"/>
      <c r="OSJ574" s="488"/>
      <c r="OSK574" s="300"/>
      <c r="OSL574" s="532"/>
      <c r="OSM574" s="533"/>
      <c r="OSN574" s="534"/>
      <c r="OSO574" s="316"/>
      <c r="OSP574" s="316"/>
      <c r="OSQ574" s="471"/>
      <c r="OSR574" s="472"/>
      <c r="OSS574" s="471"/>
      <c r="OST574" s="473"/>
      <c r="OSU574" s="313"/>
      <c r="OSV574" s="535"/>
      <c r="OSW574" s="536"/>
      <c r="OSX574" s="537"/>
      <c r="OSY574" s="538"/>
      <c r="OSZ574" s="539"/>
      <c r="OTA574" s="540"/>
      <c r="OTB574" s="209"/>
      <c r="OTC574" s="541"/>
      <c r="OTD574" s="541"/>
      <c r="OTE574" s="482"/>
      <c r="OTF574" s="173"/>
      <c r="OTG574" s="173"/>
      <c r="OTH574" s="509"/>
      <c r="OTJ574" s="148"/>
      <c r="OTK574" s="148"/>
      <c r="OTL574" s="149"/>
      <c r="OTM574" s="150"/>
      <c r="OTO574" s="152"/>
      <c r="OTP574" s="542"/>
      <c r="OTQ574" s="154"/>
      <c r="OTR574" s="175"/>
      <c r="OTT574" s="156"/>
      <c r="OTU574" s="287"/>
      <c r="OTV574" s="488"/>
      <c r="OTW574" s="489"/>
      <c r="OTX574" s="488"/>
      <c r="OTY574" s="300"/>
      <c r="OTZ574" s="532"/>
      <c r="OUA574" s="533"/>
      <c r="OUB574" s="534"/>
      <c r="OUC574" s="316"/>
      <c r="OUD574" s="316"/>
      <c r="OUE574" s="471"/>
      <c r="OUF574" s="472"/>
      <c r="OUG574" s="471"/>
      <c r="OUH574" s="473"/>
      <c r="OUI574" s="313"/>
      <c r="OUJ574" s="535"/>
      <c r="OUK574" s="536"/>
      <c r="OUL574" s="537"/>
      <c r="OUM574" s="538"/>
      <c r="OUN574" s="539"/>
      <c r="OUO574" s="540"/>
      <c r="OUP574" s="209"/>
      <c r="OUQ574" s="541"/>
      <c r="OUR574" s="541"/>
      <c r="OUS574" s="482"/>
      <c r="OUT574" s="173"/>
      <c r="OUU574" s="173"/>
      <c r="OUV574" s="509"/>
      <c r="OUX574" s="148"/>
      <c r="OUY574" s="148"/>
      <c r="OUZ574" s="149"/>
      <c r="OVA574" s="150"/>
      <c r="OVC574" s="152"/>
      <c r="OVD574" s="542"/>
      <c r="OVE574" s="154"/>
      <c r="OVF574" s="175"/>
      <c r="OVH574" s="156"/>
      <c r="OVI574" s="287"/>
      <c r="OVJ574" s="488"/>
      <c r="OVK574" s="489"/>
      <c r="OVL574" s="488"/>
      <c r="OVM574" s="300"/>
      <c r="OVN574" s="532"/>
      <c r="OVO574" s="533"/>
      <c r="OVP574" s="534"/>
      <c r="OVQ574" s="316"/>
      <c r="OVR574" s="316"/>
      <c r="OVS574" s="471"/>
      <c r="OVT574" s="472"/>
      <c r="OVU574" s="471"/>
      <c r="OVV574" s="473"/>
      <c r="OVW574" s="313"/>
      <c r="OVX574" s="535"/>
      <c r="OVY574" s="536"/>
      <c r="OVZ574" s="537"/>
      <c r="OWA574" s="538"/>
      <c r="OWB574" s="539"/>
      <c r="OWC574" s="540"/>
      <c r="OWD574" s="209"/>
      <c r="OWE574" s="541"/>
      <c r="OWF574" s="541"/>
      <c r="OWG574" s="482"/>
      <c r="OWH574" s="173"/>
      <c r="OWI574" s="173"/>
      <c r="OWJ574" s="509"/>
      <c r="OWL574" s="148"/>
      <c r="OWM574" s="148"/>
      <c r="OWN574" s="149"/>
      <c r="OWO574" s="150"/>
      <c r="OWQ574" s="152"/>
      <c r="OWR574" s="542"/>
      <c r="OWS574" s="154"/>
      <c r="OWT574" s="175"/>
      <c r="OWV574" s="156"/>
      <c r="OWW574" s="287"/>
      <c r="OWX574" s="488"/>
      <c r="OWY574" s="489"/>
      <c r="OWZ574" s="488"/>
      <c r="OXA574" s="300"/>
      <c r="OXB574" s="532"/>
      <c r="OXC574" s="533"/>
      <c r="OXD574" s="534"/>
      <c r="OXE574" s="316"/>
      <c r="OXF574" s="316"/>
      <c r="OXG574" s="471"/>
      <c r="OXH574" s="472"/>
      <c r="OXI574" s="471"/>
      <c r="OXJ574" s="473"/>
      <c r="OXK574" s="313"/>
      <c r="OXL574" s="535"/>
      <c r="OXM574" s="536"/>
      <c r="OXN574" s="537"/>
      <c r="OXO574" s="538"/>
      <c r="OXP574" s="539"/>
      <c r="OXQ574" s="540"/>
      <c r="OXR574" s="209"/>
      <c r="OXS574" s="541"/>
      <c r="OXT574" s="541"/>
      <c r="OXU574" s="482"/>
      <c r="OXV574" s="173"/>
      <c r="OXW574" s="173"/>
      <c r="OXX574" s="509"/>
      <c r="OXZ574" s="148"/>
      <c r="OYA574" s="148"/>
      <c r="OYB574" s="149"/>
      <c r="OYC574" s="150"/>
      <c r="OYE574" s="152"/>
      <c r="OYF574" s="542"/>
      <c r="OYG574" s="154"/>
      <c r="OYH574" s="175"/>
      <c r="OYJ574" s="156"/>
      <c r="OYK574" s="287"/>
      <c r="OYL574" s="488"/>
      <c r="OYM574" s="489"/>
      <c r="OYN574" s="488"/>
      <c r="OYO574" s="300"/>
      <c r="OYP574" s="532"/>
      <c r="OYQ574" s="533"/>
      <c r="OYR574" s="534"/>
      <c r="OYS574" s="316"/>
      <c r="OYT574" s="316"/>
      <c r="OYU574" s="471"/>
      <c r="OYV574" s="472"/>
      <c r="OYW574" s="471"/>
      <c r="OYX574" s="473"/>
      <c r="OYY574" s="313"/>
      <c r="OYZ574" s="535"/>
      <c r="OZA574" s="536"/>
      <c r="OZB574" s="537"/>
      <c r="OZC574" s="538"/>
      <c r="OZD574" s="539"/>
      <c r="OZE574" s="540"/>
      <c r="OZF574" s="209"/>
      <c r="OZG574" s="541"/>
      <c r="OZH574" s="541"/>
      <c r="OZI574" s="482"/>
      <c r="OZJ574" s="173"/>
      <c r="OZK574" s="173"/>
      <c r="OZL574" s="509"/>
      <c r="OZN574" s="148"/>
      <c r="OZO574" s="148"/>
      <c r="OZP574" s="149"/>
      <c r="OZQ574" s="150"/>
      <c r="OZS574" s="152"/>
      <c r="OZT574" s="542"/>
      <c r="OZU574" s="154"/>
      <c r="OZV574" s="175"/>
      <c r="OZX574" s="156"/>
      <c r="OZY574" s="287"/>
      <c r="OZZ574" s="488"/>
      <c r="PAA574" s="489"/>
      <c r="PAB574" s="488"/>
      <c r="PAC574" s="300"/>
      <c r="PAD574" s="532"/>
      <c r="PAE574" s="533"/>
      <c r="PAF574" s="534"/>
      <c r="PAG574" s="316"/>
      <c r="PAH574" s="316"/>
      <c r="PAI574" s="471"/>
      <c r="PAJ574" s="472"/>
      <c r="PAK574" s="471"/>
      <c r="PAL574" s="473"/>
      <c r="PAM574" s="313"/>
      <c r="PAN574" s="535"/>
      <c r="PAO574" s="536"/>
      <c r="PAP574" s="537"/>
      <c r="PAQ574" s="538"/>
      <c r="PAR574" s="539"/>
      <c r="PAS574" s="540"/>
      <c r="PAT574" s="209"/>
      <c r="PAU574" s="541"/>
      <c r="PAV574" s="541"/>
      <c r="PAW574" s="482"/>
      <c r="PAX574" s="173"/>
      <c r="PAY574" s="173"/>
      <c r="PAZ574" s="509"/>
      <c r="PBB574" s="148"/>
      <c r="PBC574" s="148"/>
      <c r="PBD574" s="149"/>
      <c r="PBE574" s="150"/>
      <c r="PBG574" s="152"/>
      <c r="PBH574" s="542"/>
      <c r="PBI574" s="154"/>
      <c r="PBJ574" s="175"/>
      <c r="PBL574" s="156"/>
      <c r="PBM574" s="287"/>
      <c r="PBN574" s="488"/>
      <c r="PBO574" s="489"/>
      <c r="PBP574" s="488"/>
      <c r="PBQ574" s="300"/>
      <c r="PBR574" s="532"/>
      <c r="PBS574" s="533"/>
      <c r="PBT574" s="534"/>
      <c r="PBU574" s="316"/>
      <c r="PBV574" s="316"/>
      <c r="PBW574" s="471"/>
      <c r="PBX574" s="472"/>
      <c r="PBY574" s="471"/>
      <c r="PBZ574" s="473"/>
      <c r="PCA574" s="313"/>
      <c r="PCB574" s="535"/>
      <c r="PCC574" s="536"/>
      <c r="PCD574" s="537"/>
      <c r="PCE574" s="538"/>
      <c r="PCF574" s="539"/>
      <c r="PCG574" s="540"/>
      <c r="PCH574" s="209"/>
      <c r="PCI574" s="541"/>
      <c r="PCJ574" s="541"/>
      <c r="PCK574" s="482"/>
      <c r="PCL574" s="173"/>
      <c r="PCM574" s="173"/>
      <c r="PCN574" s="509"/>
      <c r="PCP574" s="148"/>
      <c r="PCQ574" s="148"/>
      <c r="PCR574" s="149"/>
      <c r="PCS574" s="150"/>
      <c r="PCU574" s="152"/>
      <c r="PCV574" s="542"/>
      <c r="PCW574" s="154"/>
      <c r="PCX574" s="175"/>
      <c r="PCZ574" s="156"/>
      <c r="PDA574" s="287"/>
      <c r="PDB574" s="488"/>
      <c r="PDC574" s="489"/>
      <c r="PDD574" s="488"/>
      <c r="PDE574" s="300"/>
      <c r="PDF574" s="532"/>
      <c r="PDG574" s="533"/>
      <c r="PDH574" s="534"/>
      <c r="PDI574" s="316"/>
      <c r="PDJ574" s="316"/>
      <c r="PDK574" s="471"/>
      <c r="PDL574" s="472"/>
      <c r="PDM574" s="471"/>
      <c r="PDN574" s="473"/>
      <c r="PDO574" s="313"/>
      <c r="PDP574" s="535"/>
      <c r="PDQ574" s="536"/>
      <c r="PDR574" s="537"/>
      <c r="PDS574" s="538"/>
      <c r="PDT574" s="539"/>
      <c r="PDU574" s="540"/>
      <c r="PDV574" s="209"/>
      <c r="PDW574" s="541"/>
      <c r="PDX574" s="541"/>
      <c r="PDY574" s="482"/>
      <c r="PDZ574" s="173"/>
      <c r="PEA574" s="173"/>
      <c r="PEB574" s="509"/>
      <c r="PED574" s="148"/>
      <c r="PEE574" s="148"/>
      <c r="PEF574" s="149"/>
      <c r="PEG574" s="150"/>
      <c r="PEI574" s="152"/>
      <c r="PEJ574" s="542"/>
      <c r="PEK574" s="154"/>
      <c r="PEL574" s="175"/>
      <c r="PEN574" s="156"/>
      <c r="PEO574" s="287"/>
      <c r="PEP574" s="488"/>
      <c r="PEQ574" s="489"/>
      <c r="PER574" s="488"/>
      <c r="PES574" s="300"/>
      <c r="PET574" s="532"/>
      <c r="PEU574" s="533"/>
      <c r="PEV574" s="534"/>
      <c r="PEW574" s="316"/>
      <c r="PEX574" s="316"/>
      <c r="PEY574" s="471"/>
      <c r="PEZ574" s="472"/>
      <c r="PFA574" s="471"/>
      <c r="PFB574" s="473"/>
      <c r="PFC574" s="313"/>
      <c r="PFD574" s="535"/>
      <c r="PFE574" s="536"/>
      <c r="PFF574" s="537"/>
      <c r="PFG574" s="538"/>
      <c r="PFH574" s="539"/>
      <c r="PFI574" s="540"/>
      <c r="PFJ574" s="209"/>
      <c r="PFK574" s="541"/>
      <c r="PFL574" s="541"/>
      <c r="PFM574" s="482"/>
      <c r="PFN574" s="173"/>
      <c r="PFO574" s="173"/>
      <c r="PFP574" s="509"/>
      <c r="PFR574" s="148"/>
      <c r="PFS574" s="148"/>
      <c r="PFT574" s="149"/>
      <c r="PFU574" s="150"/>
      <c r="PFW574" s="152"/>
      <c r="PFX574" s="542"/>
      <c r="PFY574" s="154"/>
      <c r="PFZ574" s="175"/>
      <c r="PGB574" s="156"/>
      <c r="PGC574" s="287"/>
      <c r="PGD574" s="488"/>
      <c r="PGE574" s="489"/>
      <c r="PGF574" s="488"/>
      <c r="PGG574" s="300"/>
      <c r="PGH574" s="532"/>
      <c r="PGI574" s="533"/>
      <c r="PGJ574" s="534"/>
      <c r="PGK574" s="316"/>
      <c r="PGL574" s="316"/>
      <c r="PGM574" s="471"/>
      <c r="PGN574" s="472"/>
      <c r="PGO574" s="471"/>
      <c r="PGP574" s="473"/>
      <c r="PGQ574" s="313"/>
      <c r="PGR574" s="535"/>
      <c r="PGS574" s="536"/>
      <c r="PGT574" s="537"/>
      <c r="PGU574" s="538"/>
      <c r="PGV574" s="539"/>
      <c r="PGW574" s="540"/>
      <c r="PGX574" s="209"/>
      <c r="PGY574" s="541"/>
      <c r="PGZ574" s="541"/>
      <c r="PHA574" s="482"/>
      <c r="PHB574" s="173"/>
      <c r="PHC574" s="173"/>
      <c r="PHD574" s="509"/>
      <c r="PHF574" s="148"/>
      <c r="PHG574" s="148"/>
      <c r="PHH574" s="149"/>
      <c r="PHI574" s="150"/>
      <c r="PHK574" s="152"/>
      <c r="PHL574" s="542"/>
      <c r="PHM574" s="154"/>
      <c r="PHN574" s="175"/>
      <c r="PHP574" s="156"/>
      <c r="PHQ574" s="287"/>
      <c r="PHR574" s="488"/>
      <c r="PHS574" s="489"/>
      <c r="PHT574" s="488"/>
      <c r="PHU574" s="300"/>
      <c r="PHV574" s="532"/>
      <c r="PHW574" s="533"/>
      <c r="PHX574" s="534"/>
      <c r="PHY574" s="316"/>
      <c r="PHZ574" s="316"/>
      <c r="PIA574" s="471"/>
      <c r="PIB574" s="472"/>
      <c r="PIC574" s="471"/>
      <c r="PID574" s="473"/>
      <c r="PIE574" s="313"/>
      <c r="PIF574" s="535"/>
      <c r="PIG574" s="536"/>
      <c r="PIH574" s="537"/>
      <c r="PII574" s="538"/>
      <c r="PIJ574" s="539"/>
      <c r="PIK574" s="540"/>
      <c r="PIL574" s="209"/>
      <c r="PIM574" s="541"/>
      <c r="PIN574" s="541"/>
      <c r="PIO574" s="482"/>
      <c r="PIP574" s="173"/>
      <c r="PIQ574" s="173"/>
      <c r="PIR574" s="509"/>
      <c r="PIT574" s="148"/>
      <c r="PIU574" s="148"/>
      <c r="PIV574" s="149"/>
      <c r="PIW574" s="150"/>
      <c r="PIY574" s="152"/>
      <c r="PIZ574" s="542"/>
      <c r="PJA574" s="154"/>
      <c r="PJB574" s="175"/>
      <c r="PJD574" s="156"/>
      <c r="PJE574" s="287"/>
      <c r="PJF574" s="488"/>
      <c r="PJG574" s="489"/>
      <c r="PJH574" s="488"/>
      <c r="PJI574" s="300"/>
      <c r="PJJ574" s="532"/>
      <c r="PJK574" s="533"/>
      <c r="PJL574" s="534"/>
      <c r="PJM574" s="316"/>
      <c r="PJN574" s="316"/>
      <c r="PJO574" s="471"/>
      <c r="PJP574" s="472"/>
      <c r="PJQ574" s="471"/>
      <c r="PJR574" s="473"/>
      <c r="PJS574" s="313"/>
      <c r="PJT574" s="535"/>
      <c r="PJU574" s="536"/>
      <c r="PJV574" s="537"/>
      <c r="PJW574" s="538"/>
      <c r="PJX574" s="539"/>
      <c r="PJY574" s="540"/>
      <c r="PJZ574" s="209"/>
      <c r="PKA574" s="541"/>
      <c r="PKB574" s="541"/>
      <c r="PKC574" s="482"/>
      <c r="PKD574" s="173"/>
      <c r="PKE574" s="173"/>
      <c r="PKF574" s="509"/>
      <c r="PKH574" s="148"/>
      <c r="PKI574" s="148"/>
      <c r="PKJ574" s="149"/>
      <c r="PKK574" s="150"/>
      <c r="PKM574" s="152"/>
      <c r="PKN574" s="542"/>
      <c r="PKO574" s="154"/>
      <c r="PKP574" s="175"/>
      <c r="PKR574" s="156"/>
      <c r="PKS574" s="287"/>
      <c r="PKT574" s="488"/>
      <c r="PKU574" s="489"/>
      <c r="PKV574" s="488"/>
      <c r="PKW574" s="300"/>
      <c r="PKX574" s="532"/>
      <c r="PKY574" s="533"/>
      <c r="PKZ574" s="534"/>
      <c r="PLA574" s="316"/>
      <c r="PLB574" s="316"/>
      <c r="PLC574" s="471"/>
      <c r="PLD574" s="472"/>
      <c r="PLE574" s="471"/>
      <c r="PLF574" s="473"/>
      <c r="PLG574" s="313"/>
      <c r="PLH574" s="535"/>
      <c r="PLI574" s="536"/>
      <c r="PLJ574" s="537"/>
      <c r="PLK574" s="538"/>
      <c r="PLL574" s="539"/>
      <c r="PLM574" s="540"/>
      <c r="PLN574" s="209"/>
      <c r="PLO574" s="541"/>
      <c r="PLP574" s="541"/>
      <c r="PLQ574" s="482"/>
      <c r="PLR574" s="173"/>
      <c r="PLS574" s="173"/>
      <c r="PLT574" s="509"/>
      <c r="PLV574" s="148"/>
      <c r="PLW574" s="148"/>
      <c r="PLX574" s="149"/>
      <c r="PLY574" s="150"/>
      <c r="PMA574" s="152"/>
      <c r="PMB574" s="542"/>
      <c r="PMC574" s="154"/>
      <c r="PMD574" s="175"/>
      <c r="PMF574" s="156"/>
      <c r="PMG574" s="287"/>
      <c r="PMH574" s="488"/>
      <c r="PMI574" s="489"/>
      <c r="PMJ574" s="488"/>
      <c r="PMK574" s="300"/>
      <c r="PML574" s="532"/>
      <c r="PMM574" s="533"/>
      <c r="PMN574" s="534"/>
      <c r="PMO574" s="316"/>
      <c r="PMP574" s="316"/>
      <c r="PMQ574" s="471"/>
      <c r="PMR574" s="472"/>
      <c r="PMS574" s="471"/>
      <c r="PMT574" s="473"/>
      <c r="PMU574" s="313"/>
      <c r="PMV574" s="535"/>
      <c r="PMW574" s="536"/>
      <c r="PMX574" s="537"/>
      <c r="PMY574" s="538"/>
      <c r="PMZ574" s="539"/>
      <c r="PNA574" s="540"/>
      <c r="PNB574" s="209"/>
      <c r="PNC574" s="541"/>
      <c r="PND574" s="541"/>
      <c r="PNE574" s="482"/>
      <c r="PNF574" s="173"/>
      <c r="PNG574" s="173"/>
      <c r="PNH574" s="509"/>
      <c r="PNJ574" s="148"/>
      <c r="PNK574" s="148"/>
      <c r="PNL574" s="149"/>
      <c r="PNM574" s="150"/>
      <c r="PNO574" s="152"/>
      <c r="PNP574" s="542"/>
      <c r="PNQ574" s="154"/>
      <c r="PNR574" s="175"/>
      <c r="PNT574" s="156"/>
      <c r="PNU574" s="287"/>
      <c r="PNV574" s="488"/>
      <c r="PNW574" s="489"/>
      <c r="PNX574" s="488"/>
      <c r="PNY574" s="300"/>
      <c r="PNZ574" s="532"/>
      <c r="POA574" s="533"/>
      <c r="POB574" s="534"/>
      <c r="POC574" s="316"/>
      <c r="POD574" s="316"/>
      <c r="POE574" s="471"/>
      <c r="POF574" s="472"/>
      <c r="POG574" s="471"/>
      <c r="POH574" s="473"/>
      <c r="POI574" s="313"/>
      <c r="POJ574" s="535"/>
      <c r="POK574" s="536"/>
      <c r="POL574" s="537"/>
      <c r="POM574" s="538"/>
      <c r="PON574" s="539"/>
      <c r="POO574" s="540"/>
      <c r="POP574" s="209"/>
      <c r="POQ574" s="541"/>
      <c r="POR574" s="541"/>
      <c r="POS574" s="482"/>
      <c r="POT574" s="173"/>
      <c r="POU574" s="173"/>
      <c r="POV574" s="509"/>
      <c r="POX574" s="148"/>
      <c r="POY574" s="148"/>
      <c r="POZ574" s="149"/>
      <c r="PPA574" s="150"/>
      <c r="PPC574" s="152"/>
      <c r="PPD574" s="542"/>
      <c r="PPE574" s="154"/>
      <c r="PPF574" s="175"/>
      <c r="PPH574" s="156"/>
      <c r="PPI574" s="287"/>
      <c r="PPJ574" s="488"/>
      <c r="PPK574" s="489"/>
      <c r="PPL574" s="488"/>
      <c r="PPM574" s="300"/>
      <c r="PPN574" s="532"/>
      <c r="PPO574" s="533"/>
      <c r="PPP574" s="534"/>
      <c r="PPQ574" s="316"/>
      <c r="PPR574" s="316"/>
      <c r="PPS574" s="471"/>
      <c r="PPT574" s="472"/>
      <c r="PPU574" s="471"/>
      <c r="PPV574" s="473"/>
      <c r="PPW574" s="313"/>
      <c r="PPX574" s="535"/>
      <c r="PPY574" s="536"/>
      <c r="PPZ574" s="537"/>
      <c r="PQA574" s="538"/>
      <c r="PQB574" s="539"/>
      <c r="PQC574" s="540"/>
      <c r="PQD574" s="209"/>
      <c r="PQE574" s="541"/>
      <c r="PQF574" s="541"/>
      <c r="PQG574" s="482"/>
      <c r="PQH574" s="173"/>
      <c r="PQI574" s="173"/>
      <c r="PQJ574" s="509"/>
      <c r="PQL574" s="148"/>
      <c r="PQM574" s="148"/>
      <c r="PQN574" s="149"/>
      <c r="PQO574" s="150"/>
      <c r="PQQ574" s="152"/>
      <c r="PQR574" s="542"/>
      <c r="PQS574" s="154"/>
      <c r="PQT574" s="175"/>
      <c r="PQV574" s="156"/>
      <c r="PQW574" s="287"/>
      <c r="PQX574" s="488"/>
      <c r="PQY574" s="489"/>
      <c r="PQZ574" s="488"/>
      <c r="PRA574" s="300"/>
      <c r="PRB574" s="532"/>
      <c r="PRC574" s="533"/>
      <c r="PRD574" s="534"/>
      <c r="PRE574" s="316"/>
      <c r="PRF574" s="316"/>
      <c r="PRG574" s="471"/>
      <c r="PRH574" s="472"/>
      <c r="PRI574" s="471"/>
      <c r="PRJ574" s="473"/>
      <c r="PRK574" s="313"/>
      <c r="PRL574" s="535"/>
      <c r="PRM574" s="536"/>
      <c r="PRN574" s="537"/>
      <c r="PRO574" s="538"/>
      <c r="PRP574" s="539"/>
      <c r="PRQ574" s="540"/>
      <c r="PRR574" s="209"/>
      <c r="PRS574" s="541"/>
      <c r="PRT574" s="541"/>
      <c r="PRU574" s="482"/>
      <c r="PRV574" s="173"/>
      <c r="PRW574" s="173"/>
      <c r="PRX574" s="509"/>
      <c r="PRZ574" s="148"/>
      <c r="PSA574" s="148"/>
      <c r="PSB574" s="149"/>
      <c r="PSC574" s="150"/>
      <c r="PSE574" s="152"/>
      <c r="PSF574" s="542"/>
      <c r="PSG574" s="154"/>
      <c r="PSH574" s="175"/>
      <c r="PSJ574" s="156"/>
      <c r="PSK574" s="287"/>
      <c r="PSL574" s="488"/>
      <c r="PSM574" s="489"/>
      <c r="PSN574" s="488"/>
      <c r="PSO574" s="300"/>
      <c r="PSP574" s="532"/>
      <c r="PSQ574" s="533"/>
      <c r="PSR574" s="534"/>
      <c r="PSS574" s="316"/>
      <c r="PST574" s="316"/>
      <c r="PSU574" s="471"/>
      <c r="PSV574" s="472"/>
      <c r="PSW574" s="471"/>
      <c r="PSX574" s="473"/>
      <c r="PSY574" s="313"/>
      <c r="PSZ574" s="535"/>
      <c r="PTA574" s="536"/>
      <c r="PTB574" s="537"/>
      <c r="PTC574" s="538"/>
      <c r="PTD574" s="539"/>
      <c r="PTE574" s="540"/>
      <c r="PTF574" s="209"/>
      <c r="PTG574" s="541"/>
      <c r="PTH574" s="541"/>
      <c r="PTI574" s="482"/>
      <c r="PTJ574" s="173"/>
      <c r="PTK574" s="173"/>
      <c r="PTL574" s="509"/>
      <c r="PTN574" s="148"/>
      <c r="PTO574" s="148"/>
      <c r="PTP574" s="149"/>
      <c r="PTQ574" s="150"/>
      <c r="PTS574" s="152"/>
      <c r="PTT574" s="542"/>
      <c r="PTU574" s="154"/>
      <c r="PTV574" s="175"/>
      <c r="PTX574" s="156"/>
      <c r="PTY574" s="287"/>
      <c r="PTZ574" s="488"/>
      <c r="PUA574" s="489"/>
      <c r="PUB574" s="488"/>
      <c r="PUC574" s="300"/>
      <c r="PUD574" s="532"/>
      <c r="PUE574" s="533"/>
      <c r="PUF574" s="534"/>
      <c r="PUG574" s="316"/>
      <c r="PUH574" s="316"/>
      <c r="PUI574" s="471"/>
      <c r="PUJ574" s="472"/>
      <c r="PUK574" s="471"/>
      <c r="PUL574" s="473"/>
      <c r="PUM574" s="313"/>
      <c r="PUN574" s="535"/>
      <c r="PUO574" s="536"/>
      <c r="PUP574" s="537"/>
      <c r="PUQ574" s="538"/>
      <c r="PUR574" s="539"/>
      <c r="PUS574" s="540"/>
      <c r="PUT574" s="209"/>
      <c r="PUU574" s="541"/>
      <c r="PUV574" s="541"/>
      <c r="PUW574" s="482"/>
      <c r="PUX574" s="173"/>
      <c r="PUY574" s="173"/>
      <c r="PUZ574" s="509"/>
      <c r="PVB574" s="148"/>
      <c r="PVC574" s="148"/>
      <c r="PVD574" s="149"/>
      <c r="PVE574" s="150"/>
      <c r="PVG574" s="152"/>
      <c r="PVH574" s="542"/>
      <c r="PVI574" s="154"/>
      <c r="PVJ574" s="175"/>
      <c r="PVL574" s="156"/>
      <c r="PVM574" s="287"/>
      <c r="PVN574" s="488"/>
      <c r="PVO574" s="489"/>
      <c r="PVP574" s="488"/>
      <c r="PVQ574" s="300"/>
      <c r="PVR574" s="532"/>
      <c r="PVS574" s="533"/>
      <c r="PVT574" s="534"/>
      <c r="PVU574" s="316"/>
      <c r="PVV574" s="316"/>
      <c r="PVW574" s="471"/>
      <c r="PVX574" s="472"/>
      <c r="PVY574" s="471"/>
      <c r="PVZ574" s="473"/>
      <c r="PWA574" s="313"/>
      <c r="PWB574" s="535"/>
      <c r="PWC574" s="536"/>
      <c r="PWD574" s="537"/>
      <c r="PWE574" s="538"/>
      <c r="PWF574" s="539"/>
      <c r="PWG574" s="540"/>
      <c r="PWH574" s="209"/>
      <c r="PWI574" s="541"/>
      <c r="PWJ574" s="541"/>
      <c r="PWK574" s="482"/>
      <c r="PWL574" s="173"/>
      <c r="PWM574" s="173"/>
      <c r="PWN574" s="509"/>
      <c r="PWP574" s="148"/>
      <c r="PWQ574" s="148"/>
      <c r="PWR574" s="149"/>
      <c r="PWS574" s="150"/>
      <c r="PWU574" s="152"/>
      <c r="PWV574" s="542"/>
      <c r="PWW574" s="154"/>
      <c r="PWX574" s="175"/>
      <c r="PWZ574" s="156"/>
      <c r="PXA574" s="287"/>
      <c r="PXB574" s="488"/>
      <c r="PXC574" s="489"/>
      <c r="PXD574" s="488"/>
      <c r="PXE574" s="300"/>
      <c r="PXF574" s="532"/>
      <c r="PXG574" s="533"/>
      <c r="PXH574" s="534"/>
      <c r="PXI574" s="316"/>
      <c r="PXJ574" s="316"/>
      <c r="PXK574" s="471"/>
      <c r="PXL574" s="472"/>
      <c r="PXM574" s="471"/>
      <c r="PXN574" s="473"/>
      <c r="PXO574" s="313"/>
      <c r="PXP574" s="535"/>
      <c r="PXQ574" s="536"/>
      <c r="PXR574" s="537"/>
      <c r="PXS574" s="538"/>
      <c r="PXT574" s="539"/>
      <c r="PXU574" s="540"/>
      <c r="PXV574" s="209"/>
      <c r="PXW574" s="541"/>
      <c r="PXX574" s="541"/>
      <c r="PXY574" s="482"/>
      <c r="PXZ574" s="173"/>
      <c r="PYA574" s="173"/>
      <c r="PYB574" s="509"/>
      <c r="PYD574" s="148"/>
      <c r="PYE574" s="148"/>
      <c r="PYF574" s="149"/>
      <c r="PYG574" s="150"/>
      <c r="PYI574" s="152"/>
      <c r="PYJ574" s="542"/>
      <c r="PYK574" s="154"/>
      <c r="PYL574" s="175"/>
      <c r="PYN574" s="156"/>
      <c r="PYO574" s="287"/>
      <c r="PYP574" s="488"/>
      <c r="PYQ574" s="489"/>
      <c r="PYR574" s="488"/>
      <c r="PYS574" s="300"/>
      <c r="PYT574" s="532"/>
      <c r="PYU574" s="533"/>
      <c r="PYV574" s="534"/>
      <c r="PYW574" s="316"/>
      <c r="PYX574" s="316"/>
      <c r="PYY574" s="471"/>
      <c r="PYZ574" s="472"/>
      <c r="PZA574" s="471"/>
      <c r="PZB574" s="473"/>
      <c r="PZC574" s="313"/>
      <c r="PZD574" s="535"/>
      <c r="PZE574" s="536"/>
      <c r="PZF574" s="537"/>
      <c r="PZG574" s="538"/>
      <c r="PZH574" s="539"/>
      <c r="PZI574" s="540"/>
      <c r="PZJ574" s="209"/>
      <c r="PZK574" s="541"/>
      <c r="PZL574" s="541"/>
      <c r="PZM574" s="482"/>
      <c r="PZN574" s="173"/>
      <c r="PZO574" s="173"/>
      <c r="PZP574" s="509"/>
      <c r="PZR574" s="148"/>
      <c r="PZS574" s="148"/>
      <c r="PZT574" s="149"/>
      <c r="PZU574" s="150"/>
      <c r="PZW574" s="152"/>
      <c r="PZX574" s="542"/>
      <c r="PZY574" s="154"/>
      <c r="PZZ574" s="175"/>
      <c r="QAB574" s="156"/>
      <c r="QAC574" s="287"/>
      <c r="QAD574" s="488"/>
      <c r="QAE574" s="489"/>
      <c r="QAF574" s="488"/>
      <c r="QAG574" s="300"/>
      <c r="QAH574" s="532"/>
      <c r="QAI574" s="533"/>
      <c r="QAJ574" s="534"/>
      <c r="QAK574" s="316"/>
      <c r="QAL574" s="316"/>
      <c r="QAM574" s="471"/>
      <c r="QAN574" s="472"/>
      <c r="QAO574" s="471"/>
      <c r="QAP574" s="473"/>
      <c r="QAQ574" s="313"/>
      <c r="QAR574" s="535"/>
      <c r="QAS574" s="536"/>
      <c r="QAT574" s="537"/>
      <c r="QAU574" s="538"/>
      <c r="QAV574" s="539"/>
      <c r="QAW574" s="540"/>
      <c r="QAX574" s="209"/>
      <c r="QAY574" s="541"/>
      <c r="QAZ574" s="541"/>
      <c r="QBA574" s="482"/>
      <c r="QBB574" s="173"/>
      <c r="QBC574" s="173"/>
      <c r="QBD574" s="509"/>
      <c r="QBF574" s="148"/>
      <c r="QBG574" s="148"/>
      <c r="QBH574" s="149"/>
      <c r="QBI574" s="150"/>
      <c r="QBK574" s="152"/>
      <c r="QBL574" s="542"/>
      <c r="QBM574" s="154"/>
      <c r="QBN574" s="175"/>
      <c r="QBP574" s="156"/>
      <c r="QBQ574" s="287"/>
      <c r="QBR574" s="488"/>
      <c r="QBS574" s="489"/>
      <c r="QBT574" s="488"/>
      <c r="QBU574" s="300"/>
      <c r="QBV574" s="532"/>
      <c r="QBW574" s="533"/>
      <c r="QBX574" s="534"/>
      <c r="QBY574" s="316"/>
      <c r="QBZ574" s="316"/>
      <c r="QCA574" s="471"/>
      <c r="QCB574" s="472"/>
      <c r="QCC574" s="471"/>
      <c r="QCD574" s="473"/>
      <c r="QCE574" s="313"/>
      <c r="QCF574" s="535"/>
      <c r="QCG574" s="536"/>
      <c r="QCH574" s="537"/>
      <c r="QCI574" s="538"/>
      <c r="QCJ574" s="539"/>
      <c r="QCK574" s="540"/>
      <c r="QCL574" s="209"/>
      <c r="QCM574" s="541"/>
      <c r="QCN574" s="541"/>
      <c r="QCO574" s="482"/>
      <c r="QCP574" s="173"/>
      <c r="QCQ574" s="173"/>
      <c r="QCR574" s="509"/>
      <c r="QCT574" s="148"/>
      <c r="QCU574" s="148"/>
      <c r="QCV574" s="149"/>
      <c r="QCW574" s="150"/>
      <c r="QCY574" s="152"/>
      <c r="QCZ574" s="542"/>
      <c r="QDA574" s="154"/>
      <c r="QDB574" s="175"/>
      <c r="QDD574" s="156"/>
      <c r="QDE574" s="287"/>
      <c r="QDF574" s="488"/>
      <c r="QDG574" s="489"/>
      <c r="QDH574" s="488"/>
      <c r="QDI574" s="300"/>
      <c r="QDJ574" s="532"/>
      <c r="QDK574" s="533"/>
      <c r="QDL574" s="534"/>
      <c r="QDM574" s="316"/>
      <c r="QDN574" s="316"/>
      <c r="QDO574" s="471"/>
      <c r="QDP574" s="472"/>
      <c r="QDQ574" s="471"/>
      <c r="QDR574" s="473"/>
      <c r="QDS574" s="313"/>
      <c r="QDT574" s="535"/>
      <c r="QDU574" s="536"/>
      <c r="QDV574" s="537"/>
      <c r="QDW574" s="538"/>
      <c r="QDX574" s="539"/>
      <c r="QDY574" s="540"/>
      <c r="QDZ574" s="209"/>
      <c r="QEA574" s="541"/>
      <c r="QEB574" s="541"/>
      <c r="QEC574" s="482"/>
      <c r="QED574" s="173"/>
      <c r="QEE574" s="173"/>
      <c r="QEF574" s="509"/>
      <c r="QEH574" s="148"/>
      <c r="QEI574" s="148"/>
      <c r="QEJ574" s="149"/>
      <c r="QEK574" s="150"/>
      <c r="QEM574" s="152"/>
      <c r="QEN574" s="542"/>
      <c r="QEO574" s="154"/>
      <c r="QEP574" s="175"/>
      <c r="QER574" s="156"/>
      <c r="QES574" s="287"/>
      <c r="QET574" s="488"/>
      <c r="QEU574" s="489"/>
      <c r="QEV574" s="488"/>
      <c r="QEW574" s="300"/>
      <c r="QEX574" s="532"/>
      <c r="QEY574" s="533"/>
      <c r="QEZ574" s="534"/>
      <c r="QFA574" s="316"/>
      <c r="QFB574" s="316"/>
      <c r="QFC574" s="471"/>
      <c r="QFD574" s="472"/>
      <c r="QFE574" s="471"/>
      <c r="QFF574" s="473"/>
      <c r="QFG574" s="313"/>
      <c r="QFH574" s="535"/>
      <c r="QFI574" s="536"/>
      <c r="QFJ574" s="537"/>
      <c r="QFK574" s="538"/>
      <c r="QFL574" s="539"/>
      <c r="QFM574" s="540"/>
      <c r="QFN574" s="209"/>
      <c r="QFO574" s="541"/>
      <c r="QFP574" s="541"/>
      <c r="QFQ574" s="482"/>
      <c r="QFR574" s="173"/>
      <c r="QFS574" s="173"/>
      <c r="QFT574" s="509"/>
      <c r="QFV574" s="148"/>
      <c r="QFW574" s="148"/>
      <c r="QFX574" s="149"/>
      <c r="QFY574" s="150"/>
      <c r="QGA574" s="152"/>
      <c r="QGB574" s="542"/>
      <c r="QGC574" s="154"/>
      <c r="QGD574" s="175"/>
      <c r="QGF574" s="156"/>
      <c r="QGG574" s="287"/>
      <c r="QGH574" s="488"/>
      <c r="QGI574" s="489"/>
      <c r="QGJ574" s="488"/>
      <c r="QGK574" s="300"/>
      <c r="QGL574" s="532"/>
      <c r="QGM574" s="533"/>
      <c r="QGN574" s="534"/>
      <c r="QGO574" s="316"/>
      <c r="QGP574" s="316"/>
      <c r="QGQ574" s="471"/>
      <c r="QGR574" s="472"/>
      <c r="QGS574" s="471"/>
      <c r="QGT574" s="473"/>
      <c r="QGU574" s="313"/>
      <c r="QGV574" s="535"/>
      <c r="QGW574" s="536"/>
      <c r="QGX574" s="537"/>
      <c r="QGY574" s="538"/>
      <c r="QGZ574" s="539"/>
      <c r="QHA574" s="540"/>
      <c r="QHB574" s="209"/>
      <c r="QHC574" s="541"/>
      <c r="QHD574" s="541"/>
      <c r="QHE574" s="482"/>
      <c r="QHF574" s="173"/>
      <c r="QHG574" s="173"/>
      <c r="QHH574" s="509"/>
      <c r="QHJ574" s="148"/>
      <c r="QHK574" s="148"/>
      <c r="QHL574" s="149"/>
      <c r="QHM574" s="150"/>
      <c r="QHO574" s="152"/>
      <c r="QHP574" s="542"/>
      <c r="QHQ574" s="154"/>
      <c r="QHR574" s="175"/>
      <c r="QHT574" s="156"/>
      <c r="QHU574" s="287"/>
      <c r="QHV574" s="488"/>
      <c r="QHW574" s="489"/>
      <c r="QHX574" s="488"/>
      <c r="QHY574" s="300"/>
      <c r="QHZ574" s="532"/>
      <c r="QIA574" s="533"/>
      <c r="QIB574" s="534"/>
      <c r="QIC574" s="316"/>
      <c r="QID574" s="316"/>
      <c r="QIE574" s="471"/>
      <c r="QIF574" s="472"/>
      <c r="QIG574" s="471"/>
      <c r="QIH574" s="473"/>
      <c r="QII574" s="313"/>
      <c r="QIJ574" s="535"/>
      <c r="QIK574" s="536"/>
      <c r="QIL574" s="537"/>
      <c r="QIM574" s="538"/>
      <c r="QIN574" s="539"/>
      <c r="QIO574" s="540"/>
      <c r="QIP574" s="209"/>
      <c r="QIQ574" s="541"/>
      <c r="QIR574" s="541"/>
      <c r="QIS574" s="482"/>
      <c r="QIT574" s="173"/>
      <c r="QIU574" s="173"/>
      <c r="QIV574" s="509"/>
      <c r="QIX574" s="148"/>
      <c r="QIY574" s="148"/>
      <c r="QIZ574" s="149"/>
      <c r="QJA574" s="150"/>
      <c r="QJC574" s="152"/>
      <c r="QJD574" s="542"/>
      <c r="QJE574" s="154"/>
      <c r="QJF574" s="175"/>
      <c r="QJH574" s="156"/>
      <c r="QJI574" s="287"/>
      <c r="QJJ574" s="488"/>
      <c r="QJK574" s="489"/>
      <c r="QJL574" s="488"/>
      <c r="QJM574" s="300"/>
      <c r="QJN574" s="532"/>
      <c r="QJO574" s="533"/>
      <c r="QJP574" s="534"/>
      <c r="QJQ574" s="316"/>
      <c r="QJR574" s="316"/>
      <c r="QJS574" s="471"/>
      <c r="QJT574" s="472"/>
      <c r="QJU574" s="471"/>
      <c r="QJV574" s="473"/>
      <c r="QJW574" s="313"/>
      <c r="QJX574" s="535"/>
      <c r="QJY574" s="536"/>
      <c r="QJZ574" s="537"/>
      <c r="QKA574" s="538"/>
      <c r="QKB574" s="539"/>
      <c r="QKC574" s="540"/>
      <c r="QKD574" s="209"/>
      <c r="QKE574" s="541"/>
      <c r="QKF574" s="541"/>
      <c r="QKG574" s="482"/>
      <c r="QKH574" s="173"/>
      <c r="QKI574" s="173"/>
      <c r="QKJ574" s="509"/>
      <c r="QKL574" s="148"/>
      <c r="QKM574" s="148"/>
      <c r="QKN574" s="149"/>
      <c r="QKO574" s="150"/>
      <c r="QKQ574" s="152"/>
      <c r="QKR574" s="542"/>
      <c r="QKS574" s="154"/>
      <c r="QKT574" s="175"/>
      <c r="QKV574" s="156"/>
      <c r="QKW574" s="287"/>
      <c r="QKX574" s="488"/>
      <c r="QKY574" s="489"/>
      <c r="QKZ574" s="488"/>
      <c r="QLA574" s="300"/>
      <c r="QLB574" s="532"/>
      <c r="QLC574" s="533"/>
      <c r="QLD574" s="534"/>
      <c r="QLE574" s="316"/>
      <c r="QLF574" s="316"/>
      <c r="QLG574" s="471"/>
      <c r="QLH574" s="472"/>
      <c r="QLI574" s="471"/>
      <c r="QLJ574" s="473"/>
      <c r="QLK574" s="313"/>
      <c r="QLL574" s="535"/>
      <c r="QLM574" s="536"/>
      <c r="QLN574" s="537"/>
      <c r="QLO574" s="538"/>
      <c r="QLP574" s="539"/>
      <c r="QLQ574" s="540"/>
      <c r="QLR574" s="209"/>
      <c r="QLS574" s="541"/>
      <c r="QLT574" s="541"/>
      <c r="QLU574" s="482"/>
      <c r="QLV574" s="173"/>
      <c r="QLW574" s="173"/>
      <c r="QLX574" s="509"/>
      <c r="QLZ574" s="148"/>
      <c r="QMA574" s="148"/>
      <c r="QMB574" s="149"/>
      <c r="QMC574" s="150"/>
      <c r="QME574" s="152"/>
      <c r="QMF574" s="542"/>
      <c r="QMG574" s="154"/>
      <c r="QMH574" s="175"/>
      <c r="QMJ574" s="156"/>
      <c r="QMK574" s="287"/>
      <c r="QML574" s="488"/>
      <c r="QMM574" s="489"/>
      <c r="QMN574" s="488"/>
      <c r="QMO574" s="300"/>
      <c r="QMP574" s="532"/>
      <c r="QMQ574" s="533"/>
      <c r="QMR574" s="534"/>
      <c r="QMS574" s="316"/>
      <c r="QMT574" s="316"/>
      <c r="QMU574" s="471"/>
      <c r="QMV574" s="472"/>
      <c r="QMW574" s="471"/>
      <c r="QMX574" s="473"/>
      <c r="QMY574" s="313"/>
      <c r="QMZ574" s="535"/>
      <c r="QNA574" s="536"/>
      <c r="QNB574" s="537"/>
      <c r="QNC574" s="538"/>
      <c r="QND574" s="539"/>
      <c r="QNE574" s="540"/>
      <c r="QNF574" s="209"/>
      <c r="QNG574" s="541"/>
      <c r="QNH574" s="541"/>
      <c r="QNI574" s="482"/>
      <c r="QNJ574" s="173"/>
      <c r="QNK574" s="173"/>
      <c r="QNL574" s="509"/>
      <c r="QNN574" s="148"/>
      <c r="QNO574" s="148"/>
      <c r="QNP574" s="149"/>
      <c r="QNQ574" s="150"/>
      <c r="QNS574" s="152"/>
      <c r="QNT574" s="542"/>
      <c r="QNU574" s="154"/>
      <c r="QNV574" s="175"/>
      <c r="QNX574" s="156"/>
      <c r="QNY574" s="287"/>
      <c r="QNZ574" s="488"/>
      <c r="QOA574" s="489"/>
      <c r="QOB574" s="488"/>
      <c r="QOC574" s="300"/>
      <c r="QOD574" s="532"/>
      <c r="QOE574" s="533"/>
      <c r="QOF574" s="534"/>
      <c r="QOG574" s="316"/>
      <c r="QOH574" s="316"/>
      <c r="QOI574" s="471"/>
      <c r="QOJ574" s="472"/>
      <c r="QOK574" s="471"/>
      <c r="QOL574" s="473"/>
      <c r="QOM574" s="313"/>
      <c r="QON574" s="535"/>
      <c r="QOO574" s="536"/>
      <c r="QOP574" s="537"/>
      <c r="QOQ574" s="538"/>
      <c r="QOR574" s="539"/>
      <c r="QOS574" s="540"/>
      <c r="QOT574" s="209"/>
      <c r="QOU574" s="541"/>
      <c r="QOV574" s="541"/>
      <c r="QOW574" s="482"/>
      <c r="QOX574" s="173"/>
      <c r="QOY574" s="173"/>
      <c r="QOZ574" s="509"/>
      <c r="QPB574" s="148"/>
      <c r="QPC574" s="148"/>
      <c r="QPD574" s="149"/>
      <c r="QPE574" s="150"/>
      <c r="QPG574" s="152"/>
      <c r="QPH574" s="542"/>
      <c r="QPI574" s="154"/>
      <c r="QPJ574" s="175"/>
      <c r="QPL574" s="156"/>
      <c r="QPM574" s="287"/>
      <c r="QPN574" s="488"/>
      <c r="QPO574" s="489"/>
      <c r="QPP574" s="488"/>
      <c r="QPQ574" s="300"/>
      <c r="QPR574" s="532"/>
      <c r="QPS574" s="533"/>
      <c r="QPT574" s="534"/>
      <c r="QPU574" s="316"/>
      <c r="QPV574" s="316"/>
      <c r="QPW574" s="471"/>
      <c r="QPX574" s="472"/>
      <c r="QPY574" s="471"/>
      <c r="QPZ574" s="473"/>
      <c r="QQA574" s="313"/>
      <c r="QQB574" s="535"/>
      <c r="QQC574" s="536"/>
      <c r="QQD574" s="537"/>
      <c r="QQE574" s="538"/>
      <c r="QQF574" s="539"/>
      <c r="QQG574" s="540"/>
      <c r="QQH574" s="209"/>
      <c r="QQI574" s="541"/>
      <c r="QQJ574" s="541"/>
      <c r="QQK574" s="482"/>
      <c r="QQL574" s="173"/>
      <c r="QQM574" s="173"/>
      <c r="QQN574" s="509"/>
      <c r="QQP574" s="148"/>
      <c r="QQQ574" s="148"/>
      <c r="QQR574" s="149"/>
      <c r="QQS574" s="150"/>
      <c r="QQU574" s="152"/>
      <c r="QQV574" s="542"/>
      <c r="QQW574" s="154"/>
      <c r="QQX574" s="175"/>
      <c r="QQZ574" s="156"/>
      <c r="QRA574" s="287"/>
      <c r="QRB574" s="488"/>
      <c r="QRC574" s="489"/>
      <c r="QRD574" s="488"/>
      <c r="QRE574" s="300"/>
      <c r="QRF574" s="532"/>
      <c r="QRG574" s="533"/>
      <c r="QRH574" s="534"/>
      <c r="QRI574" s="316"/>
      <c r="QRJ574" s="316"/>
      <c r="QRK574" s="471"/>
      <c r="QRL574" s="472"/>
      <c r="QRM574" s="471"/>
      <c r="QRN574" s="473"/>
      <c r="QRO574" s="313"/>
      <c r="QRP574" s="535"/>
      <c r="QRQ574" s="536"/>
      <c r="QRR574" s="537"/>
      <c r="QRS574" s="538"/>
      <c r="QRT574" s="539"/>
      <c r="QRU574" s="540"/>
      <c r="QRV574" s="209"/>
      <c r="QRW574" s="541"/>
      <c r="QRX574" s="541"/>
      <c r="QRY574" s="482"/>
      <c r="QRZ574" s="173"/>
      <c r="QSA574" s="173"/>
      <c r="QSB574" s="509"/>
      <c r="QSD574" s="148"/>
      <c r="QSE574" s="148"/>
      <c r="QSF574" s="149"/>
      <c r="QSG574" s="150"/>
      <c r="QSI574" s="152"/>
      <c r="QSJ574" s="542"/>
      <c r="QSK574" s="154"/>
      <c r="QSL574" s="175"/>
      <c r="QSN574" s="156"/>
      <c r="QSO574" s="287"/>
      <c r="QSP574" s="488"/>
      <c r="QSQ574" s="489"/>
      <c r="QSR574" s="488"/>
      <c r="QSS574" s="300"/>
      <c r="QST574" s="532"/>
      <c r="QSU574" s="533"/>
      <c r="QSV574" s="534"/>
      <c r="QSW574" s="316"/>
      <c r="QSX574" s="316"/>
      <c r="QSY574" s="471"/>
      <c r="QSZ574" s="472"/>
      <c r="QTA574" s="471"/>
      <c r="QTB574" s="473"/>
      <c r="QTC574" s="313"/>
      <c r="QTD574" s="535"/>
      <c r="QTE574" s="536"/>
      <c r="QTF574" s="537"/>
      <c r="QTG574" s="538"/>
      <c r="QTH574" s="539"/>
      <c r="QTI574" s="540"/>
      <c r="QTJ574" s="209"/>
      <c r="QTK574" s="541"/>
      <c r="QTL574" s="541"/>
      <c r="QTM574" s="482"/>
      <c r="QTN574" s="173"/>
      <c r="QTO574" s="173"/>
      <c r="QTP574" s="509"/>
      <c r="QTR574" s="148"/>
      <c r="QTS574" s="148"/>
      <c r="QTT574" s="149"/>
      <c r="QTU574" s="150"/>
      <c r="QTW574" s="152"/>
      <c r="QTX574" s="542"/>
      <c r="QTY574" s="154"/>
      <c r="QTZ574" s="175"/>
      <c r="QUB574" s="156"/>
      <c r="QUC574" s="287"/>
      <c r="QUD574" s="488"/>
      <c r="QUE574" s="489"/>
      <c r="QUF574" s="488"/>
      <c r="QUG574" s="300"/>
      <c r="QUH574" s="532"/>
      <c r="QUI574" s="533"/>
      <c r="QUJ574" s="534"/>
      <c r="QUK574" s="316"/>
      <c r="QUL574" s="316"/>
      <c r="QUM574" s="471"/>
      <c r="QUN574" s="472"/>
      <c r="QUO574" s="471"/>
      <c r="QUP574" s="473"/>
      <c r="QUQ574" s="313"/>
      <c r="QUR574" s="535"/>
      <c r="QUS574" s="536"/>
      <c r="QUT574" s="537"/>
      <c r="QUU574" s="538"/>
      <c r="QUV574" s="539"/>
      <c r="QUW574" s="540"/>
      <c r="QUX574" s="209"/>
      <c r="QUY574" s="541"/>
      <c r="QUZ574" s="541"/>
      <c r="QVA574" s="482"/>
      <c r="QVB574" s="173"/>
      <c r="QVC574" s="173"/>
      <c r="QVD574" s="509"/>
      <c r="QVF574" s="148"/>
      <c r="QVG574" s="148"/>
      <c r="QVH574" s="149"/>
      <c r="QVI574" s="150"/>
      <c r="QVK574" s="152"/>
      <c r="QVL574" s="542"/>
      <c r="QVM574" s="154"/>
      <c r="QVN574" s="175"/>
      <c r="QVP574" s="156"/>
      <c r="QVQ574" s="287"/>
      <c r="QVR574" s="488"/>
      <c r="QVS574" s="489"/>
      <c r="QVT574" s="488"/>
      <c r="QVU574" s="300"/>
      <c r="QVV574" s="532"/>
      <c r="QVW574" s="533"/>
      <c r="QVX574" s="534"/>
      <c r="QVY574" s="316"/>
      <c r="QVZ574" s="316"/>
      <c r="QWA574" s="471"/>
      <c r="QWB574" s="472"/>
      <c r="QWC574" s="471"/>
      <c r="QWD574" s="473"/>
      <c r="QWE574" s="313"/>
      <c r="QWF574" s="535"/>
      <c r="QWG574" s="536"/>
      <c r="QWH574" s="537"/>
      <c r="QWI574" s="538"/>
      <c r="QWJ574" s="539"/>
      <c r="QWK574" s="540"/>
      <c r="QWL574" s="209"/>
      <c r="QWM574" s="541"/>
      <c r="QWN574" s="541"/>
      <c r="QWO574" s="482"/>
      <c r="QWP574" s="173"/>
      <c r="QWQ574" s="173"/>
      <c r="QWR574" s="509"/>
      <c r="QWT574" s="148"/>
      <c r="QWU574" s="148"/>
      <c r="QWV574" s="149"/>
      <c r="QWW574" s="150"/>
      <c r="QWY574" s="152"/>
      <c r="QWZ574" s="542"/>
      <c r="QXA574" s="154"/>
      <c r="QXB574" s="175"/>
      <c r="QXD574" s="156"/>
      <c r="QXE574" s="287"/>
      <c r="QXF574" s="488"/>
      <c r="QXG574" s="489"/>
      <c r="QXH574" s="488"/>
      <c r="QXI574" s="300"/>
      <c r="QXJ574" s="532"/>
      <c r="QXK574" s="533"/>
      <c r="QXL574" s="534"/>
      <c r="QXM574" s="316"/>
      <c r="QXN574" s="316"/>
      <c r="QXO574" s="471"/>
      <c r="QXP574" s="472"/>
      <c r="QXQ574" s="471"/>
      <c r="QXR574" s="473"/>
      <c r="QXS574" s="313"/>
      <c r="QXT574" s="535"/>
      <c r="QXU574" s="536"/>
      <c r="QXV574" s="537"/>
      <c r="QXW574" s="538"/>
      <c r="QXX574" s="539"/>
      <c r="QXY574" s="540"/>
      <c r="QXZ574" s="209"/>
      <c r="QYA574" s="541"/>
      <c r="QYB574" s="541"/>
      <c r="QYC574" s="482"/>
      <c r="QYD574" s="173"/>
      <c r="QYE574" s="173"/>
      <c r="QYF574" s="509"/>
      <c r="QYH574" s="148"/>
      <c r="QYI574" s="148"/>
      <c r="QYJ574" s="149"/>
      <c r="QYK574" s="150"/>
      <c r="QYM574" s="152"/>
      <c r="QYN574" s="542"/>
      <c r="QYO574" s="154"/>
      <c r="QYP574" s="175"/>
      <c r="QYR574" s="156"/>
      <c r="QYS574" s="287"/>
      <c r="QYT574" s="488"/>
      <c r="QYU574" s="489"/>
      <c r="QYV574" s="488"/>
      <c r="QYW574" s="300"/>
      <c r="QYX574" s="532"/>
      <c r="QYY574" s="533"/>
      <c r="QYZ574" s="534"/>
      <c r="QZA574" s="316"/>
      <c r="QZB574" s="316"/>
      <c r="QZC574" s="471"/>
      <c r="QZD574" s="472"/>
      <c r="QZE574" s="471"/>
      <c r="QZF574" s="473"/>
      <c r="QZG574" s="313"/>
      <c r="QZH574" s="535"/>
      <c r="QZI574" s="536"/>
      <c r="QZJ574" s="537"/>
      <c r="QZK574" s="538"/>
      <c r="QZL574" s="539"/>
      <c r="QZM574" s="540"/>
      <c r="QZN574" s="209"/>
      <c r="QZO574" s="541"/>
      <c r="QZP574" s="541"/>
      <c r="QZQ574" s="482"/>
      <c r="QZR574" s="173"/>
      <c r="QZS574" s="173"/>
      <c r="QZT574" s="509"/>
      <c r="QZV574" s="148"/>
      <c r="QZW574" s="148"/>
      <c r="QZX574" s="149"/>
      <c r="QZY574" s="150"/>
      <c r="RAA574" s="152"/>
      <c r="RAB574" s="542"/>
      <c r="RAC574" s="154"/>
      <c r="RAD574" s="175"/>
      <c r="RAF574" s="156"/>
      <c r="RAG574" s="287"/>
      <c r="RAH574" s="488"/>
      <c r="RAI574" s="489"/>
      <c r="RAJ574" s="488"/>
      <c r="RAK574" s="300"/>
      <c r="RAL574" s="532"/>
      <c r="RAM574" s="533"/>
      <c r="RAN574" s="534"/>
      <c r="RAO574" s="316"/>
      <c r="RAP574" s="316"/>
      <c r="RAQ574" s="471"/>
      <c r="RAR574" s="472"/>
      <c r="RAS574" s="471"/>
      <c r="RAT574" s="473"/>
      <c r="RAU574" s="313"/>
      <c r="RAV574" s="535"/>
      <c r="RAW574" s="536"/>
      <c r="RAX574" s="537"/>
      <c r="RAY574" s="538"/>
      <c r="RAZ574" s="539"/>
      <c r="RBA574" s="540"/>
      <c r="RBB574" s="209"/>
      <c r="RBC574" s="541"/>
      <c r="RBD574" s="541"/>
      <c r="RBE574" s="482"/>
      <c r="RBF574" s="173"/>
      <c r="RBG574" s="173"/>
      <c r="RBH574" s="509"/>
      <c r="RBJ574" s="148"/>
      <c r="RBK574" s="148"/>
      <c r="RBL574" s="149"/>
      <c r="RBM574" s="150"/>
      <c r="RBO574" s="152"/>
      <c r="RBP574" s="542"/>
      <c r="RBQ574" s="154"/>
      <c r="RBR574" s="175"/>
      <c r="RBT574" s="156"/>
      <c r="RBU574" s="287"/>
      <c r="RBV574" s="488"/>
      <c r="RBW574" s="489"/>
      <c r="RBX574" s="488"/>
      <c r="RBY574" s="300"/>
      <c r="RBZ574" s="532"/>
      <c r="RCA574" s="533"/>
      <c r="RCB574" s="534"/>
      <c r="RCC574" s="316"/>
      <c r="RCD574" s="316"/>
      <c r="RCE574" s="471"/>
      <c r="RCF574" s="472"/>
      <c r="RCG574" s="471"/>
      <c r="RCH574" s="473"/>
      <c r="RCI574" s="313"/>
      <c r="RCJ574" s="535"/>
      <c r="RCK574" s="536"/>
      <c r="RCL574" s="537"/>
      <c r="RCM574" s="538"/>
      <c r="RCN574" s="539"/>
      <c r="RCO574" s="540"/>
      <c r="RCP574" s="209"/>
      <c r="RCQ574" s="541"/>
      <c r="RCR574" s="541"/>
      <c r="RCS574" s="482"/>
      <c r="RCT574" s="173"/>
      <c r="RCU574" s="173"/>
      <c r="RCV574" s="509"/>
      <c r="RCX574" s="148"/>
      <c r="RCY574" s="148"/>
      <c r="RCZ574" s="149"/>
      <c r="RDA574" s="150"/>
      <c r="RDC574" s="152"/>
      <c r="RDD574" s="542"/>
      <c r="RDE574" s="154"/>
      <c r="RDF574" s="175"/>
      <c r="RDH574" s="156"/>
      <c r="RDI574" s="287"/>
      <c r="RDJ574" s="488"/>
      <c r="RDK574" s="489"/>
      <c r="RDL574" s="488"/>
      <c r="RDM574" s="300"/>
      <c r="RDN574" s="532"/>
      <c r="RDO574" s="533"/>
      <c r="RDP574" s="534"/>
      <c r="RDQ574" s="316"/>
      <c r="RDR574" s="316"/>
      <c r="RDS574" s="471"/>
      <c r="RDT574" s="472"/>
      <c r="RDU574" s="471"/>
      <c r="RDV574" s="473"/>
      <c r="RDW574" s="313"/>
      <c r="RDX574" s="535"/>
      <c r="RDY574" s="536"/>
      <c r="RDZ574" s="537"/>
      <c r="REA574" s="538"/>
      <c r="REB574" s="539"/>
      <c r="REC574" s="540"/>
      <c r="RED574" s="209"/>
      <c r="REE574" s="541"/>
      <c r="REF574" s="541"/>
      <c r="REG574" s="482"/>
      <c r="REH574" s="173"/>
      <c r="REI574" s="173"/>
      <c r="REJ574" s="509"/>
      <c r="REL574" s="148"/>
      <c r="REM574" s="148"/>
      <c r="REN574" s="149"/>
      <c r="REO574" s="150"/>
      <c r="REQ574" s="152"/>
      <c r="RER574" s="542"/>
      <c r="RES574" s="154"/>
      <c r="RET574" s="175"/>
      <c r="REV574" s="156"/>
      <c r="REW574" s="287"/>
      <c r="REX574" s="488"/>
      <c r="REY574" s="489"/>
      <c r="REZ574" s="488"/>
      <c r="RFA574" s="300"/>
      <c r="RFB574" s="532"/>
      <c r="RFC574" s="533"/>
      <c r="RFD574" s="534"/>
      <c r="RFE574" s="316"/>
      <c r="RFF574" s="316"/>
      <c r="RFG574" s="471"/>
      <c r="RFH574" s="472"/>
      <c r="RFI574" s="471"/>
      <c r="RFJ574" s="473"/>
      <c r="RFK574" s="313"/>
      <c r="RFL574" s="535"/>
      <c r="RFM574" s="536"/>
      <c r="RFN574" s="537"/>
      <c r="RFO574" s="538"/>
      <c r="RFP574" s="539"/>
      <c r="RFQ574" s="540"/>
      <c r="RFR574" s="209"/>
      <c r="RFS574" s="541"/>
      <c r="RFT574" s="541"/>
      <c r="RFU574" s="482"/>
      <c r="RFV574" s="173"/>
      <c r="RFW574" s="173"/>
      <c r="RFX574" s="509"/>
      <c r="RFZ574" s="148"/>
      <c r="RGA574" s="148"/>
      <c r="RGB574" s="149"/>
      <c r="RGC574" s="150"/>
      <c r="RGE574" s="152"/>
      <c r="RGF574" s="542"/>
      <c r="RGG574" s="154"/>
      <c r="RGH574" s="175"/>
      <c r="RGJ574" s="156"/>
      <c r="RGK574" s="287"/>
      <c r="RGL574" s="488"/>
      <c r="RGM574" s="489"/>
      <c r="RGN574" s="488"/>
      <c r="RGO574" s="300"/>
      <c r="RGP574" s="532"/>
      <c r="RGQ574" s="533"/>
      <c r="RGR574" s="534"/>
      <c r="RGS574" s="316"/>
      <c r="RGT574" s="316"/>
      <c r="RGU574" s="471"/>
      <c r="RGV574" s="472"/>
      <c r="RGW574" s="471"/>
      <c r="RGX574" s="473"/>
      <c r="RGY574" s="313"/>
      <c r="RGZ574" s="535"/>
      <c r="RHA574" s="536"/>
      <c r="RHB574" s="537"/>
      <c r="RHC574" s="538"/>
      <c r="RHD574" s="539"/>
      <c r="RHE574" s="540"/>
      <c r="RHF574" s="209"/>
      <c r="RHG574" s="541"/>
      <c r="RHH574" s="541"/>
      <c r="RHI574" s="482"/>
      <c r="RHJ574" s="173"/>
      <c r="RHK574" s="173"/>
      <c r="RHL574" s="509"/>
      <c r="RHN574" s="148"/>
      <c r="RHO574" s="148"/>
      <c r="RHP574" s="149"/>
      <c r="RHQ574" s="150"/>
      <c r="RHS574" s="152"/>
      <c r="RHT574" s="542"/>
      <c r="RHU574" s="154"/>
      <c r="RHV574" s="175"/>
      <c r="RHX574" s="156"/>
      <c r="RHY574" s="287"/>
      <c r="RHZ574" s="488"/>
      <c r="RIA574" s="489"/>
      <c r="RIB574" s="488"/>
      <c r="RIC574" s="300"/>
      <c r="RID574" s="532"/>
      <c r="RIE574" s="533"/>
      <c r="RIF574" s="534"/>
      <c r="RIG574" s="316"/>
      <c r="RIH574" s="316"/>
      <c r="RII574" s="471"/>
      <c r="RIJ574" s="472"/>
      <c r="RIK574" s="471"/>
      <c r="RIL574" s="473"/>
      <c r="RIM574" s="313"/>
      <c r="RIN574" s="535"/>
      <c r="RIO574" s="536"/>
      <c r="RIP574" s="537"/>
      <c r="RIQ574" s="538"/>
      <c r="RIR574" s="539"/>
      <c r="RIS574" s="540"/>
      <c r="RIT574" s="209"/>
      <c r="RIU574" s="541"/>
      <c r="RIV574" s="541"/>
      <c r="RIW574" s="482"/>
      <c r="RIX574" s="173"/>
      <c r="RIY574" s="173"/>
      <c r="RIZ574" s="509"/>
      <c r="RJB574" s="148"/>
      <c r="RJC574" s="148"/>
      <c r="RJD574" s="149"/>
      <c r="RJE574" s="150"/>
      <c r="RJG574" s="152"/>
      <c r="RJH574" s="542"/>
      <c r="RJI574" s="154"/>
      <c r="RJJ574" s="175"/>
      <c r="RJL574" s="156"/>
      <c r="RJM574" s="287"/>
      <c r="RJN574" s="488"/>
      <c r="RJO574" s="489"/>
      <c r="RJP574" s="488"/>
      <c r="RJQ574" s="300"/>
      <c r="RJR574" s="532"/>
      <c r="RJS574" s="533"/>
      <c r="RJT574" s="534"/>
      <c r="RJU574" s="316"/>
      <c r="RJV574" s="316"/>
      <c r="RJW574" s="471"/>
      <c r="RJX574" s="472"/>
      <c r="RJY574" s="471"/>
      <c r="RJZ574" s="473"/>
      <c r="RKA574" s="313"/>
      <c r="RKB574" s="535"/>
      <c r="RKC574" s="536"/>
      <c r="RKD574" s="537"/>
      <c r="RKE574" s="538"/>
      <c r="RKF574" s="539"/>
      <c r="RKG574" s="540"/>
      <c r="RKH574" s="209"/>
      <c r="RKI574" s="541"/>
      <c r="RKJ574" s="541"/>
      <c r="RKK574" s="482"/>
      <c r="RKL574" s="173"/>
      <c r="RKM574" s="173"/>
      <c r="RKN574" s="509"/>
      <c r="RKP574" s="148"/>
      <c r="RKQ574" s="148"/>
      <c r="RKR574" s="149"/>
      <c r="RKS574" s="150"/>
      <c r="RKU574" s="152"/>
      <c r="RKV574" s="542"/>
      <c r="RKW574" s="154"/>
      <c r="RKX574" s="175"/>
      <c r="RKZ574" s="156"/>
      <c r="RLA574" s="287"/>
      <c r="RLB574" s="488"/>
      <c r="RLC574" s="489"/>
      <c r="RLD574" s="488"/>
      <c r="RLE574" s="300"/>
      <c r="RLF574" s="532"/>
      <c r="RLG574" s="533"/>
      <c r="RLH574" s="534"/>
      <c r="RLI574" s="316"/>
      <c r="RLJ574" s="316"/>
      <c r="RLK574" s="471"/>
      <c r="RLL574" s="472"/>
      <c r="RLM574" s="471"/>
      <c r="RLN574" s="473"/>
      <c r="RLO574" s="313"/>
      <c r="RLP574" s="535"/>
      <c r="RLQ574" s="536"/>
      <c r="RLR574" s="537"/>
      <c r="RLS574" s="538"/>
      <c r="RLT574" s="539"/>
      <c r="RLU574" s="540"/>
      <c r="RLV574" s="209"/>
      <c r="RLW574" s="541"/>
      <c r="RLX574" s="541"/>
      <c r="RLY574" s="482"/>
      <c r="RLZ574" s="173"/>
      <c r="RMA574" s="173"/>
      <c r="RMB574" s="509"/>
      <c r="RMD574" s="148"/>
      <c r="RME574" s="148"/>
      <c r="RMF574" s="149"/>
      <c r="RMG574" s="150"/>
      <c r="RMI574" s="152"/>
      <c r="RMJ574" s="542"/>
      <c r="RMK574" s="154"/>
      <c r="RML574" s="175"/>
      <c r="RMN574" s="156"/>
      <c r="RMO574" s="287"/>
      <c r="RMP574" s="488"/>
      <c r="RMQ574" s="489"/>
      <c r="RMR574" s="488"/>
      <c r="RMS574" s="300"/>
      <c r="RMT574" s="532"/>
      <c r="RMU574" s="533"/>
      <c r="RMV574" s="534"/>
      <c r="RMW574" s="316"/>
      <c r="RMX574" s="316"/>
      <c r="RMY574" s="471"/>
      <c r="RMZ574" s="472"/>
      <c r="RNA574" s="471"/>
      <c r="RNB574" s="473"/>
      <c r="RNC574" s="313"/>
      <c r="RND574" s="535"/>
      <c r="RNE574" s="536"/>
      <c r="RNF574" s="537"/>
      <c r="RNG574" s="538"/>
      <c r="RNH574" s="539"/>
      <c r="RNI574" s="540"/>
      <c r="RNJ574" s="209"/>
      <c r="RNK574" s="541"/>
      <c r="RNL574" s="541"/>
      <c r="RNM574" s="482"/>
      <c r="RNN574" s="173"/>
      <c r="RNO574" s="173"/>
      <c r="RNP574" s="509"/>
      <c r="RNR574" s="148"/>
      <c r="RNS574" s="148"/>
      <c r="RNT574" s="149"/>
      <c r="RNU574" s="150"/>
      <c r="RNW574" s="152"/>
      <c r="RNX574" s="542"/>
      <c r="RNY574" s="154"/>
      <c r="RNZ574" s="175"/>
      <c r="ROB574" s="156"/>
      <c r="ROC574" s="287"/>
      <c r="ROD574" s="488"/>
      <c r="ROE574" s="489"/>
      <c r="ROF574" s="488"/>
      <c r="ROG574" s="300"/>
      <c r="ROH574" s="532"/>
      <c r="ROI574" s="533"/>
      <c r="ROJ574" s="534"/>
      <c r="ROK574" s="316"/>
      <c r="ROL574" s="316"/>
      <c r="ROM574" s="471"/>
      <c r="RON574" s="472"/>
      <c r="ROO574" s="471"/>
      <c r="ROP574" s="473"/>
      <c r="ROQ574" s="313"/>
      <c r="ROR574" s="535"/>
      <c r="ROS574" s="536"/>
      <c r="ROT574" s="537"/>
      <c r="ROU574" s="538"/>
      <c r="ROV574" s="539"/>
      <c r="ROW574" s="540"/>
      <c r="ROX574" s="209"/>
      <c r="ROY574" s="541"/>
      <c r="ROZ574" s="541"/>
      <c r="RPA574" s="482"/>
      <c r="RPB574" s="173"/>
      <c r="RPC574" s="173"/>
      <c r="RPD574" s="509"/>
      <c r="RPF574" s="148"/>
      <c r="RPG574" s="148"/>
      <c r="RPH574" s="149"/>
      <c r="RPI574" s="150"/>
      <c r="RPK574" s="152"/>
      <c r="RPL574" s="542"/>
      <c r="RPM574" s="154"/>
      <c r="RPN574" s="175"/>
      <c r="RPP574" s="156"/>
      <c r="RPQ574" s="287"/>
      <c r="RPR574" s="488"/>
      <c r="RPS574" s="489"/>
      <c r="RPT574" s="488"/>
      <c r="RPU574" s="300"/>
      <c r="RPV574" s="532"/>
      <c r="RPW574" s="533"/>
      <c r="RPX574" s="534"/>
      <c r="RPY574" s="316"/>
      <c r="RPZ574" s="316"/>
      <c r="RQA574" s="471"/>
      <c r="RQB574" s="472"/>
      <c r="RQC574" s="471"/>
      <c r="RQD574" s="473"/>
      <c r="RQE574" s="313"/>
      <c r="RQF574" s="535"/>
      <c r="RQG574" s="536"/>
      <c r="RQH574" s="537"/>
      <c r="RQI574" s="538"/>
      <c r="RQJ574" s="539"/>
      <c r="RQK574" s="540"/>
      <c r="RQL574" s="209"/>
      <c r="RQM574" s="541"/>
      <c r="RQN574" s="541"/>
      <c r="RQO574" s="482"/>
      <c r="RQP574" s="173"/>
      <c r="RQQ574" s="173"/>
      <c r="RQR574" s="509"/>
      <c r="RQT574" s="148"/>
      <c r="RQU574" s="148"/>
      <c r="RQV574" s="149"/>
      <c r="RQW574" s="150"/>
      <c r="RQY574" s="152"/>
      <c r="RQZ574" s="542"/>
      <c r="RRA574" s="154"/>
      <c r="RRB574" s="175"/>
      <c r="RRD574" s="156"/>
      <c r="RRE574" s="287"/>
      <c r="RRF574" s="488"/>
      <c r="RRG574" s="489"/>
      <c r="RRH574" s="488"/>
      <c r="RRI574" s="300"/>
      <c r="RRJ574" s="532"/>
      <c r="RRK574" s="533"/>
      <c r="RRL574" s="534"/>
      <c r="RRM574" s="316"/>
      <c r="RRN574" s="316"/>
      <c r="RRO574" s="471"/>
      <c r="RRP574" s="472"/>
      <c r="RRQ574" s="471"/>
      <c r="RRR574" s="473"/>
      <c r="RRS574" s="313"/>
      <c r="RRT574" s="535"/>
      <c r="RRU574" s="536"/>
      <c r="RRV574" s="537"/>
      <c r="RRW574" s="538"/>
      <c r="RRX574" s="539"/>
      <c r="RRY574" s="540"/>
      <c r="RRZ574" s="209"/>
      <c r="RSA574" s="541"/>
      <c r="RSB574" s="541"/>
      <c r="RSC574" s="482"/>
      <c r="RSD574" s="173"/>
      <c r="RSE574" s="173"/>
      <c r="RSF574" s="509"/>
      <c r="RSH574" s="148"/>
      <c r="RSI574" s="148"/>
      <c r="RSJ574" s="149"/>
      <c r="RSK574" s="150"/>
      <c r="RSM574" s="152"/>
      <c r="RSN574" s="542"/>
      <c r="RSO574" s="154"/>
      <c r="RSP574" s="175"/>
      <c r="RSR574" s="156"/>
      <c r="RSS574" s="287"/>
      <c r="RST574" s="488"/>
      <c r="RSU574" s="489"/>
      <c r="RSV574" s="488"/>
      <c r="RSW574" s="300"/>
      <c r="RSX574" s="532"/>
      <c r="RSY574" s="533"/>
      <c r="RSZ574" s="534"/>
      <c r="RTA574" s="316"/>
      <c r="RTB574" s="316"/>
      <c r="RTC574" s="471"/>
      <c r="RTD574" s="472"/>
      <c r="RTE574" s="471"/>
      <c r="RTF574" s="473"/>
      <c r="RTG574" s="313"/>
      <c r="RTH574" s="535"/>
      <c r="RTI574" s="536"/>
      <c r="RTJ574" s="537"/>
      <c r="RTK574" s="538"/>
      <c r="RTL574" s="539"/>
      <c r="RTM574" s="540"/>
      <c r="RTN574" s="209"/>
      <c r="RTO574" s="541"/>
      <c r="RTP574" s="541"/>
      <c r="RTQ574" s="482"/>
      <c r="RTR574" s="173"/>
      <c r="RTS574" s="173"/>
      <c r="RTT574" s="509"/>
      <c r="RTV574" s="148"/>
      <c r="RTW574" s="148"/>
      <c r="RTX574" s="149"/>
      <c r="RTY574" s="150"/>
      <c r="RUA574" s="152"/>
      <c r="RUB574" s="542"/>
      <c r="RUC574" s="154"/>
      <c r="RUD574" s="175"/>
      <c r="RUF574" s="156"/>
      <c r="RUG574" s="287"/>
      <c r="RUH574" s="488"/>
      <c r="RUI574" s="489"/>
      <c r="RUJ574" s="488"/>
      <c r="RUK574" s="300"/>
      <c r="RUL574" s="532"/>
      <c r="RUM574" s="533"/>
      <c r="RUN574" s="534"/>
      <c r="RUO574" s="316"/>
      <c r="RUP574" s="316"/>
      <c r="RUQ574" s="471"/>
      <c r="RUR574" s="472"/>
      <c r="RUS574" s="471"/>
      <c r="RUT574" s="473"/>
      <c r="RUU574" s="313"/>
      <c r="RUV574" s="535"/>
      <c r="RUW574" s="536"/>
      <c r="RUX574" s="537"/>
      <c r="RUY574" s="538"/>
      <c r="RUZ574" s="539"/>
      <c r="RVA574" s="540"/>
      <c r="RVB574" s="209"/>
      <c r="RVC574" s="541"/>
      <c r="RVD574" s="541"/>
      <c r="RVE574" s="482"/>
      <c r="RVF574" s="173"/>
      <c r="RVG574" s="173"/>
      <c r="RVH574" s="509"/>
      <c r="RVJ574" s="148"/>
      <c r="RVK574" s="148"/>
      <c r="RVL574" s="149"/>
      <c r="RVM574" s="150"/>
      <c r="RVO574" s="152"/>
      <c r="RVP574" s="542"/>
      <c r="RVQ574" s="154"/>
      <c r="RVR574" s="175"/>
      <c r="RVT574" s="156"/>
      <c r="RVU574" s="287"/>
      <c r="RVV574" s="488"/>
      <c r="RVW574" s="489"/>
      <c r="RVX574" s="488"/>
      <c r="RVY574" s="300"/>
      <c r="RVZ574" s="532"/>
      <c r="RWA574" s="533"/>
      <c r="RWB574" s="534"/>
      <c r="RWC574" s="316"/>
      <c r="RWD574" s="316"/>
      <c r="RWE574" s="471"/>
      <c r="RWF574" s="472"/>
      <c r="RWG574" s="471"/>
      <c r="RWH574" s="473"/>
      <c r="RWI574" s="313"/>
      <c r="RWJ574" s="535"/>
      <c r="RWK574" s="536"/>
      <c r="RWL574" s="537"/>
      <c r="RWM574" s="538"/>
      <c r="RWN574" s="539"/>
      <c r="RWO574" s="540"/>
      <c r="RWP574" s="209"/>
      <c r="RWQ574" s="541"/>
      <c r="RWR574" s="541"/>
      <c r="RWS574" s="482"/>
      <c r="RWT574" s="173"/>
      <c r="RWU574" s="173"/>
      <c r="RWV574" s="509"/>
      <c r="RWX574" s="148"/>
      <c r="RWY574" s="148"/>
      <c r="RWZ574" s="149"/>
      <c r="RXA574" s="150"/>
      <c r="RXC574" s="152"/>
      <c r="RXD574" s="542"/>
      <c r="RXE574" s="154"/>
      <c r="RXF574" s="175"/>
      <c r="RXH574" s="156"/>
      <c r="RXI574" s="287"/>
      <c r="RXJ574" s="488"/>
      <c r="RXK574" s="489"/>
      <c r="RXL574" s="488"/>
      <c r="RXM574" s="300"/>
      <c r="RXN574" s="532"/>
      <c r="RXO574" s="533"/>
      <c r="RXP574" s="534"/>
      <c r="RXQ574" s="316"/>
      <c r="RXR574" s="316"/>
      <c r="RXS574" s="471"/>
      <c r="RXT574" s="472"/>
      <c r="RXU574" s="471"/>
      <c r="RXV574" s="473"/>
      <c r="RXW574" s="313"/>
      <c r="RXX574" s="535"/>
      <c r="RXY574" s="536"/>
      <c r="RXZ574" s="537"/>
      <c r="RYA574" s="538"/>
      <c r="RYB574" s="539"/>
      <c r="RYC574" s="540"/>
      <c r="RYD574" s="209"/>
      <c r="RYE574" s="541"/>
      <c r="RYF574" s="541"/>
      <c r="RYG574" s="482"/>
      <c r="RYH574" s="173"/>
      <c r="RYI574" s="173"/>
      <c r="RYJ574" s="509"/>
      <c r="RYL574" s="148"/>
      <c r="RYM574" s="148"/>
      <c r="RYN574" s="149"/>
      <c r="RYO574" s="150"/>
      <c r="RYQ574" s="152"/>
      <c r="RYR574" s="542"/>
      <c r="RYS574" s="154"/>
      <c r="RYT574" s="175"/>
      <c r="RYV574" s="156"/>
      <c r="RYW574" s="287"/>
      <c r="RYX574" s="488"/>
      <c r="RYY574" s="489"/>
      <c r="RYZ574" s="488"/>
      <c r="RZA574" s="300"/>
      <c r="RZB574" s="532"/>
      <c r="RZC574" s="533"/>
      <c r="RZD574" s="534"/>
      <c r="RZE574" s="316"/>
      <c r="RZF574" s="316"/>
      <c r="RZG574" s="471"/>
      <c r="RZH574" s="472"/>
      <c r="RZI574" s="471"/>
      <c r="RZJ574" s="473"/>
      <c r="RZK574" s="313"/>
      <c r="RZL574" s="535"/>
      <c r="RZM574" s="536"/>
      <c r="RZN574" s="537"/>
      <c r="RZO574" s="538"/>
      <c r="RZP574" s="539"/>
      <c r="RZQ574" s="540"/>
      <c r="RZR574" s="209"/>
      <c r="RZS574" s="541"/>
      <c r="RZT574" s="541"/>
      <c r="RZU574" s="482"/>
      <c r="RZV574" s="173"/>
      <c r="RZW574" s="173"/>
      <c r="RZX574" s="509"/>
      <c r="RZZ574" s="148"/>
      <c r="SAA574" s="148"/>
      <c r="SAB574" s="149"/>
      <c r="SAC574" s="150"/>
      <c r="SAE574" s="152"/>
      <c r="SAF574" s="542"/>
      <c r="SAG574" s="154"/>
      <c r="SAH574" s="175"/>
      <c r="SAJ574" s="156"/>
      <c r="SAK574" s="287"/>
      <c r="SAL574" s="488"/>
      <c r="SAM574" s="489"/>
      <c r="SAN574" s="488"/>
      <c r="SAO574" s="300"/>
      <c r="SAP574" s="532"/>
      <c r="SAQ574" s="533"/>
      <c r="SAR574" s="534"/>
      <c r="SAS574" s="316"/>
      <c r="SAT574" s="316"/>
      <c r="SAU574" s="471"/>
      <c r="SAV574" s="472"/>
      <c r="SAW574" s="471"/>
      <c r="SAX574" s="473"/>
      <c r="SAY574" s="313"/>
      <c r="SAZ574" s="535"/>
      <c r="SBA574" s="536"/>
      <c r="SBB574" s="537"/>
      <c r="SBC574" s="538"/>
      <c r="SBD574" s="539"/>
      <c r="SBE574" s="540"/>
      <c r="SBF574" s="209"/>
      <c r="SBG574" s="541"/>
      <c r="SBH574" s="541"/>
      <c r="SBI574" s="482"/>
      <c r="SBJ574" s="173"/>
      <c r="SBK574" s="173"/>
      <c r="SBL574" s="509"/>
      <c r="SBN574" s="148"/>
      <c r="SBO574" s="148"/>
      <c r="SBP574" s="149"/>
      <c r="SBQ574" s="150"/>
      <c r="SBS574" s="152"/>
      <c r="SBT574" s="542"/>
      <c r="SBU574" s="154"/>
      <c r="SBV574" s="175"/>
      <c r="SBX574" s="156"/>
      <c r="SBY574" s="287"/>
      <c r="SBZ574" s="488"/>
      <c r="SCA574" s="489"/>
      <c r="SCB574" s="488"/>
      <c r="SCC574" s="300"/>
      <c r="SCD574" s="532"/>
      <c r="SCE574" s="533"/>
      <c r="SCF574" s="534"/>
      <c r="SCG574" s="316"/>
      <c r="SCH574" s="316"/>
      <c r="SCI574" s="471"/>
      <c r="SCJ574" s="472"/>
      <c r="SCK574" s="471"/>
      <c r="SCL574" s="473"/>
      <c r="SCM574" s="313"/>
      <c r="SCN574" s="535"/>
      <c r="SCO574" s="536"/>
      <c r="SCP574" s="537"/>
      <c r="SCQ574" s="538"/>
      <c r="SCR574" s="539"/>
      <c r="SCS574" s="540"/>
      <c r="SCT574" s="209"/>
      <c r="SCU574" s="541"/>
      <c r="SCV574" s="541"/>
      <c r="SCW574" s="482"/>
      <c r="SCX574" s="173"/>
      <c r="SCY574" s="173"/>
      <c r="SCZ574" s="509"/>
      <c r="SDB574" s="148"/>
      <c r="SDC574" s="148"/>
      <c r="SDD574" s="149"/>
      <c r="SDE574" s="150"/>
      <c r="SDG574" s="152"/>
      <c r="SDH574" s="542"/>
      <c r="SDI574" s="154"/>
      <c r="SDJ574" s="175"/>
      <c r="SDL574" s="156"/>
      <c r="SDM574" s="287"/>
      <c r="SDN574" s="488"/>
      <c r="SDO574" s="489"/>
      <c r="SDP574" s="488"/>
      <c r="SDQ574" s="300"/>
      <c r="SDR574" s="532"/>
      <c r="SDS574" s="533"/>
      <c r="SDT574" s="534"/>
      <c r="SDU574" s="316"/>
      <c r="SDV574" s="316"/>
      <c r="SDW574" s="471"/>
      <c r="SDX574" s="472"/>
      <c r="SDY574" s="471"/>
      <c r="SDZ574" s="473"/>
      <c r="SEA574" s="313"/>
      <c r="SEB574" s="535"/>
      <c r="SEC574" s="536"/>
      <c r="SED574" s="537"/>
      <c r="SEE574" s="538"/>
      <c r="SEF574" s="539"/>
      <c r="SEG574" s="540"/>
      <c r="SEH574" s="209"/>
      <c r="SEI574" s="541"/>
      <c r="SEJ574" s="541"/>
      <c r="SEK574" s="482"/>
      <c r="SEL574" s="173"/>
      <c r="SEM574" s="173"/>
      <c r="SEN574" s="509"/>
      <c r="SEP574" s="148"/>
      <c r="SEQ574" s="148"/>
      <c r="SER574" s="149"/>
      <c r="SES574" s="150"/>
      <c r="SEU574" s="152"/>
      <c r="SEV574" s="542"/>
      <c r="SEW574" s="154"/>
      <c r="SEX574" s="175"/>
      <c r="SEZ574" s="156"/>
      <c r="SFA574" s="287"/>
      <c r="SFB574" s="488"/>
      <c r="SFC574" s="489"/>
      <c r="SFD574" s="488"/>
      <c r="SFE574" s="300"/>
      <c r="SFF574" s="532"/>
      <c r="SFG574" s="533"/>
      <c r="SFH574" s="534"/>
      <c r="SFI574" s="316"/>
      <c r="SFJ574" s="316"/>
      <c r="SFK574" s="471"/>
      <c r="SFL574" s="472"/>
      <c r="SFM574" s="471"/>
      <c r="SFN574" s="473"/>
      <c r="SFO574" s="313"/>
      <c r="SFP574" s="535"/>
      <c r="SFQ574" s="536"/>
      <c r="SFR574" s="537"/>
      <c r="SFS574" s="538"/>
      <c r="SFT574" s="539"/>
      <c r="SFU574" s="540"/>
      <c r="SFV574" s="209"/>
      <c r="SFW574" s="541"/>
      <c r="SFX574" s="541"/>
      <c r="SFY574" s="482"/>
      <c r="SFZ574" s="173"/>
      <c r="SGA574" s="173"/>
      <c r="SGB574" s="509"/>
      <c r="SGD574" s="148"/>
      <c r="SGE574" s="148"/>
      <c r="SGF574" s="149"/>
      <c r="SGG574" s="150"/>
      <c r="SGI574" s="152"/>
      <c r="SGJ574" s="542"/>
      <c r="SGK574" s="154"/>
      <c r="SGL574" s="175"/>
      <c r="SGN574" s="156"/>
      <c r="SGO574" s="287"/>
      <c r="SGP574" s="488"/>
      <c r="SGQ574" s="489"/>
      <c r="SGR574" s="488"/>
      <c r="SGS574" s="300"/>
      <c r="SGT574" s="532"/>
      <c r="SGU574" s="533"/>
      <c r="SGV574" s="534"/>
      <c r="SGW574" s="316"/>
      <c r="SGX574" s="316"/>
      <c r="SGY574" s="471"/>
      <c r="SGZ574" s="472"/>
      <c r="SHA574" s="471"/>
      <c r="SHB574" s="473"/>
      <c r="SHC574" s="313"/>
      <c r="SHD574" s="535"/>
      <c r="SHE574" s="536"/>
      <c r="SHF574" s="537"/>
      <c r="SHG574" s="538"/>
      <c r="SHH574" s="539"/>
      <c r="SHI574" s="540"/>
      <c r="SHJ574" s="209"/>
      <c r="SHK574" s="541"/>
      <c r="SHL574" s="541"/>
      <c r="SHM574" s="482"/>
      <c r="SHN574" s="173"/>
      <c r="SHO574" s="173"/>
      <c r="SHP574" s="509"/>
      <c r="SHR574" s="148"/>
      <c r="SHS574" s="148"/>
      <c r="SHT574" s="149"/>
      <c r="SHU574" s="150"/>
      <c r="SHW574" s="152"/>
      <c r="SHX574" s="542"/>
      <c r="SHY574" s="154"/>
      <c r="SHZ574" s="175"/>
      <c r="SIB574" s="156"/>
      <c r="SIC574" s="287"/>
      <c r="SID574" s="488"/>
      <c r="SIE574" s="489"/>
      <c r="SIF574" s="488"/>
      <c r="SIG574" s="300"/>
      <c r="SIH574" s="532"/>
      <c r="SII574" s="533"/>
      <c r="SIJ574" s="534"/>
      <c r="SIK574" s="316"/>
      <c r="SIL574" s="316"/>
      <c r="SIM574" s="471"/>
      <c r="SIN574" s="472"/>
      <c r="SIO574" s="471"/>
      <c r="SIP574" s="473"/>
      <c r="SIQ574" s="313"/>
      <c r="SIR574" s="535"/>
      <c r="SIS574" s="536"/>
      <c r="SIT574" s="537"/>
      <c r="SIU574" s="538"/>
      <c r="SIV574" s="539"/>
      <c r="SIW574" s="540"/>
      <c r="SIX574" s="209"/>
      <c r="SIY574" s="541"/>
      <c r="SIZ574" s="541"/>
      <c r="SJA574" s="482"/>
      <c r="SJB574" s="173"/>
      <c r="SJC574" s="173"/>
      <c r="SJD574" s="509"/>
      <c r="SJF574" s="148"/>
      <c r="SJG574" s="148"/>
      <c r="SJH574" s="149"/>
      <c r="SJI574" s="150"/>
      <c r="SJK574" s="152"/>
      <c r="SJL574" s="542"/>
      <c r="SJM574" s="154"/>
      <c r="SJN574" s="175"/>
      <c r="SJP574" s="156"/>
      <c r="SJQ574" s="287"/>
      <c r="SJR574" s="488"/>
      <c r="SJS574" s="489"/>
      <c r="SJT574" s="488"/>
      <c r="SJU574" s="300"/>
      <c r="SJV574" s="532"/>
      <c r="SJW574" s="533"/>
      <c r="SJX574" s="534"/>
      <c r="SJY574" s="316"/>
      <c r="SJZ574" s="316"/>
      <c r="SKA574" s="471"/>
      <c r="SKB574" s="472"/>
      <c r="SKC574" s="471"/>
      <c r="SKD574" s="473"/>
      <c r="SKE574" s="313"/>
      <c r="SKF574" s="535"/>
      <c r="SKG574" s="536"/>
      <c r="SKH574" s="537"/>
      <c r="SKI574" s="538"/>
      <c r="SKJ574" s="539"/>
      <c r="SKK574" s="540"/>
      <c r="SKL574" s="209"/>
      <c r="SKM574" s="541"/>
      <c r="SKN574" s="541"/>
      <c r="SKO574" s="482"/>
      <c r="SKP574" s="173"/>
      <c r="SKQ574" s="173"/>
      <c r="SKR574" s="509"/>
      <c r="SKT574" s="148"/>
      <c r="SKU574" s="148"/>
      <c r="SKV574" s="149"/>
      <c r="SKW574" s="150"/>
      <c r="SKY574" s="152"/>
      <c r="SKZ574" s="542"/>
      <c r="SLA574" s="154"/>
      <c r="SLB574" s="175"/>
      <c r="SLD574" s="156"/>
      <c r="SLE574" s="287"/>
      <c r="SLF574" s="488"/>
      <c r="SLG574" s="489"/>
      <c r="SLH574" s="488"/>
      <c r="SLI574" s="300"/>
      <c r="SLJ574" s="532"/>
      <c r="SLK574" s="533"/>
      <c r="SLL574" s="534"/>
      <c r="SLM574" s="316"/>
      <c r="SLN574" s="316"/>
      <c r="SLO574" s="471"/>
      <c r="SLP574" s="472"/>
      <c r="SLQ574" s="471"/>
      <c r="SLR574" s="473"/>
      <c r="SLS574" s="313"/>
      <c r="SLT574" s="535"/>
      <c r="SLU574" s="536"/>
      <c r="SLV574" s="537"/>
      <c r="SLW574" s="538"/>
      <c r="SLX574" s="539"/>
      <c r="SLY574" s="540"/>
      <c r="SLZ574" s="209"/>
      <c r="SMA574" s="541"/>
      <c r="SMB574" s="541"/>
      <c r="SMC574" s="482"/>
      <c r="SMD574" s="173"/>
      <c r="SME574" s="173"/>
      <c r="SMF574" s="509"/>
      <c r="SMH574" s="148"/>
      <c r="SMI574" s="148"/>
      <c r="SMJ574" s="149"/>
      <c r="SMK574" s="150"/>
      <c r="SMM574" s="152"/>
      <c r="SMN574" s="542"/>
      <c r="SMO574" s="154"/>
      <c r="SMP574" s="175"/>
      <c r="SMR574" s="156"/>
      <c r="SMS574" s="287"/>
      <c r="SMT574" s="488"/>
      <c r="SMU574" s="489"/>
      <c r="SMV574" s="488"/>
      <c r="SMW574" s="300"/>
      <c r="SMX574" s="532"/>
      <c r="SMY574" s="533"/>
      <c r="SMZ574" s="534"/>
      <c r="SNA574" s="316"/>
      <c r="SNB574" s="316"/>
      <c r="SNC574" s="471"/>
      <c r="SND574" s="472"/>
      <c r="SNE574" s="471"/>
      <c r="SNF574" s="473"/>
      <c r="SNG574" s="313"/>
      <c r="SNH574" s="535"/>
      <c r="SNI574" s="536"/>
      <c r="SNJ574" s="537"/>
      <c r="SNK574" s="538"/>
      <c r="SNL574" s="539"/>
      <c r="SNM574" s="540"/>
      <c r="SNN574" s="209"/>
      <c r="SNO574" s="541"/>
      <c r="SNP574" s="541"/>
      <c r="SNQ574" s="482"/>
      <c r="SNR574" s="173"/>
      <c r="SNS574" s="173"/>
      <c r="SNT574" s="509"/>
      <c r="SNV574" s="148"/>
      <c r="SNW574" s="148"/>
      <c r="SNX574" s="149"/>
      <c r="SNY574" s="150"/>
      <c r="SOA574" s="152"/>
      <c r="SOB574" s="542"/>
      <c r="SOC574" s="154"/>
      <c r="SOD574" s="175"/>
      <c r="SOF574" s="156"/>
      <c r="SOG574" s="287"/>
      <c r="SOH574" s="488"/>
      <c r="SOI574" s="489"/>
      <c r="SOJ574" s="488"/>
      <c r="SOK574" s="300"/>
      <c r="SOL574" s="532"/>
      <c r="SOM574" s="533"/>
      <c r="SON574" s="534"/>
      <c r="SOO574" s="316"/>
      <c r="SOP574" s="316"/>
      <c r="SOQ574" s="471"/>
      <c r="SOR574" s="472"/>
      <c r="SOS574" s="471"/>
      <c r="SOT574" s="473"/>
      <c r="SOU574" s="313"/>
      <c r="SOV574" s="535"/>
      <c r="SOW574" s="536"/>
      <c r="SOX574" s="537"/>
      <c r="SOY574" s="538"/>
      <c r="SOZ574" s="539"/>
      <c r="SPA574" s="540"/>
      <c r="SPB574" s="209"/>
      <c r="SPC574" s="541"/>
      <c r="SPD574" s="541"/>
      <c r="SPE574" s="482"/>
      <c r="SPF574" s="173"/>
      <c r="SPG574" s="173"/>
      <c r="SPH574" s="509"/>
      <c r="SPJ574" s="148"/>
      <c r="SPK574" s="148"/>
      <c r="SPL574" s="149"/>
      <c r="SPM574" s="150"/>
      <c r="SPO574" s="152"/>
      <c r="SPP574" s="542"/>
      <c r="SPQ574" s="154"/>
      <c r="SPR574" s="175"/>
      <c r="SPT574" s="156"/>
      <c r="SPU574" s="287"/>
      <c r="SPV574" s="488"/>
      <c r="SPW574" s="489"/>
      <c r="SPX574" s="488"/>
      <c r="SPY574" s="300"/>
      <c r="SPZ574" s="532"/>
      <c r="SQA574" s="533"/>
      <c r="SQB574" s="534"/>
      <c r="SQC574" s="316"/>
      <c r="SQD574" s="316"/>
      <c r="SQE574" s="471"/>
      <c r="SQF574" s="472"/>
      <c r="SQG574" s="471"/>
      <c r="SQH574" s="473"/>
      <c r="SQI574" s="313"/>
      <c r="SQJ574" s="535"/>
      <c r="SQK574" s="536"/>
      <c r="SQL574" s="537"/>
      <c r="SQM574" s="538"/>
      <c r="SQN574" s="539"/>
      <c r="SQO574" s="540"/>
      <c r="SQP574" s="209"/>
      <c r="SQQ574" s="541"/>
      <c r="SQR574" s="541"/>
      <c r="SQS574" s="482"/>
      <c r="SQT574" s="173"/>
      <c r="SQU574" s="173"/>
      <c r="SQV574" s="509"/>
      <c r="SQX574" s="148"/>
      <c r="SQY574" s="148"/>
      <c r="SQZ574" s="149"/>
      <c r="SRA574" s="150"/>
      <c r="SRC574" s="152"/>
      <c r="SRD574" s="542"/>
      <c r="SRE574" s="154"/>
      <c r="SRF574" s="175"/>
      <c r="SRH574" s="156"/>
      <c r="SRI574" s="287"/>
      <c r="SRJ574" s="488"/>
      <c r="SRK574" s="489"/>
      <c r="SRL574" s="488"/>
      <c r="SRM574" s="300"/>
      <c r="SRN574" s="532"/>
      <c r="SRO574" s="533"/>
      <c r="SRP574" s="534"/>
      <c r="SRQ574" s="316"/>
      <c r="SRR574" s="316"/>
      <c r="SRS574" s="471"/>
      <c r="SRT574" s="472"/>
      <c r="SRU574" s="471"/>
      <c r="SRV574" s="473"/>
      <c r="SRW574" s="313"/>
      <c r="SRX574" s="535"/>
      <c r="SRY574" s="536"/>
      <c r="SRZ574" s="537"/>
      <c r="SSA574" s="538"/>
      <c r="SSB574" s="539"/>
      <c r="SSC574" s="540"/>
      <c r="SSD574" s="209"/>
      <c r="SSE574" s="541"/>
      <c r="SSF574" s="541"/>
      <c r="SSG574" s="482"/>
      <c r="SSH574" s="173"/>
      <c r="SSI574" s="173"/>
      <c r="SSJ574" s="509"/>
      <c r="SSL574" s="148"/>
      <c r="SSM574" s="148"/>
      <c r="SSN574" s="149"/>
      <c r="SSO574" s="150"/>
      <c r="SSQ574" s="152"/>
      <c r="SSR574" s="542"/>
      <c r="SSS574" s="154"/>
      <c r="SST574" s="175"/>
      <c r="SSV574" s="156"/>
      <c r="SSW574" s="287"/>
      <c r="SSX574" s="488"/>
      <c r="SSY574" s="489"/>
      <c r="SSZ574" s="488"/>
      <c r="STA574" s="300"/>
      <c r="STB574" s="532"/>
      <c r="STC574" s="533"/>
      <c r="STD574" s="534"/>
      <c r="STE574" s="316"/>
      <c r="STF574" s="316"/>
      <c r="STG574" s="471"/>
      <c r="STH574" s="472"/>
      <c r="STI574" s="471"/>
      <c r="STJ574" s="473"/>
      <c r="STK574" s="313"/>
      <c r="STL574" s="535"/>
      <c r="STM574" s="536"/>
      <c r="STN574" s="537"/>
      <c r="STO574" s="538"/>
      <c r="STP574" s="539"/>
      <c r="STQ574" s="540"/>
      <c r="STR574" s="209"/>
      <c r="STS574" s="541"/>
      <c r="STT574" s="541"/>
      <c r="STU574" s="482"/>
      <c r="STV574" s="173"/>
      <c r="STW574" s="173"/>
      <c r="STX574" s="509"/>
      <c r="STZ574" s="148"/>
      <c r="SUA574" s="148"/>
      <c r="SUB574" s="149"/>
      <c r="SUC574" s="150"/>
      <c r="SUE574" s="152"/>
      <c r="SUF574" s="542"/>
      <c r="SUG574" s="154"/>
      <c r="SUH574" s="175"/>
      <c r="SUJ574" s="156"/>
      <c r="SUK574" s="287"/>
      <c r="SUL574" s="488"/>
      <c r="SUM574" s="489"/>
      <c r="SUN574" s="488"/>
      <c r="SUO574" s="300"/>
      <c r="SUP574" s="532"/>
      <c r="SUQ574" s="533"/>
      <c r="SUR574" s="534"/>
      <c r="SUS574" s="316"/>
      <c r="SUT574" s="316"/>
      <c r="SUU574" s="471"/>
      <c r="SUV574" s="472"/>
      <c r="SUW574" s="471"/>
      <c r="SUX574" s="473"/>
      <c r="SUY574" s="313"/>
      <c r="SUZ574" s="535"/>
      <c r="SVA574" s="536"/>
      <c r="SVB574" s="537"/>
      <c r="SVC574" s="538"/>
      <c r="SVD574" s="539"/>
      <c r="SVE574" s="540"/>
      <c r="SVF574" s="209"/>
      <c r="SVG574" s="541"/>
      <c r="SVH574" s="541"/>
      <c r="SVI574" s="482"/>
      <c r="SVJ574" s="173"/>
      <c r="SVK574" s="173"/>
      <c r="SVL574" s="509"/>
      <c r="SVN574" s="148"/>
      <c r="SVO574" s="148"/>
      <c r="SVP574" s="149"/>
      <c r="SVQ574" s="150"/>
      <c r="SVS574" s="152"/>
      <c r="SVT574" s="542"/>
      <c r="SVU574" s="154"/>
      <c r="SVV574" s="175"/>
      <c r="SVX574" s="156"/>
      <c r="SVY574" s="287"/>
      <c r="SVZ574" s="488"/>
      <c r="SWA574" s="489"/>
      <c r="SWB574" s="488"/>
      <c r="SWC574" s="300"/>
      <c r="SWD574" s="532"/>
      <c r="SWE574" s="533"/>
      <c r="SWF574" s="534"/>
      <c r="SWG574" s="316"/>
      <c r="SWH574" s="316"/>
      <c r="SWI574" s="471"/>
      <c r="SWJ574" s="472"/>
      <c r="SWK574" s="471"/>
      <c r="SWL574" s="473"/>
      <c r="SWM574" s="313"/>
      <c r="SWN574" s="535"/>
      <c r="SWO574" s="536"/>
      <c r="SWP574" s="537"/>
      <c r="SWQ574" s="538"/>
      <c r="SWR574" s="539"/>
      <c r="SWS574" s="540"/>
      <c r="SWT574" s="209"/>
      <c r="SWU574" s="541"/>
      <c r="SWV574" s="541"/>
      <c r="SWW574" s="482"/>
      <c r="SWX574" s="173"/>
      <c r="SWY574" s="173"/>
      <c r="SWZ574" s="509"/>
      <c r="SXB574" s="148"/>
      <c r="SXC574" s="148"/>
      <c r="SXD574" s="149"/>
      <c r="SXE574" s="150"/>
      <c r="SXG574" s="152"/>
      <c r="SXH574" s="542"/>
      <c r="SXI574" s="154"/>
      <c r="SXJ574" s="175"/>
      <c r="SXL574" s="156"/>
      <c r="SXM574" s="287"/>
      <c r="SXN574" s="488"/>
      <c r="SXO574" s="489"/>
      <c r="SXP574" s="488"/>
      <c r="SXQ574" s="300"/>
      <c r="SXR574" s="532"/>
      <c r="SXS574" s="533"/>
      <c r="SXT574" s="534"/>
      <c r="SXU574" s="316"/>
      <c r="SXV574" s="316"/>
      <c r="SXW574" s="471"/>
      <c r="SXX574" s="472"/>
      <c r="SXY574" s="471"/>
      <c r="SXZ574" s="473"/>
      <c r="SYA574" s="313"/>
      <c r="SYB574" s="535"/>
      <c r="SYC574" s="536"/>
      <c r="SYD574" s="537"/>
      <c r="SYE574" s="538"/>
      <c r="SYF574" s="539"/>
      <c r="SYG574" s="540"/>
      <c r="SYH574" s="209"/>
      <c r="SYI574" s="541"/>
      <c r="SYJ574" s="541"/>
      <c r="SYK574" s="482"/>
      <c r="SYL574" s="173"/>
      <c r="SYM574" s="173"/>
      <c r="SYN574" s="509"/>
      <c r="SYP574" s="148"/>
      <c r="SYQ574" s="148"/>
      <c r="SYR574" s="149"/>
      <c r="SYS574" s="150"/>
      <c r="SYU574" s="152"/>
      <c r="SYV574" s="542"/>
      <c r="SYW574" s="154"/>
      <c r="SYX574" s="175"/>
      <c r="SYZ574" s="156"/>
      <c r="SZA574" s="287"/>
      <c r="SZB574" s="488"/>
      <c r="SZC574" s="489"/>
      <c r="SZD574" s="488"/>
      <c r="SZE574" s="300"/>
      <c r="SZF574" s="532"/>
      <c r="SZG574" s="533"/>
      <c r="SZH574" s="534"/>
      <c r="SZI574" s="316"/>
      <c r="SZJ574" s="316"/>
      <c r="SZK574" s="471"/>
      <c r="SZL574" s="472"/>
      <c r="SZM574" s="471"/>
      <c r="SZN574" s="473"/>
      <c r="SZO574" s="313"/>
      <c r="SZP574" s="535"/>
      <c r="SZQ574" s="536"/>
      <c r="SZR574" s="537"/>
      <c r="SZS574" s="538"/>
      <c r="SZT574" s="539"/>
      <c r="SZU574" s="540"/>
      <c r="SZV574" s="209"/>
      <c r="SZW574" s="541"/>
      <c r="SZX574" s="541"/>
      <c r="SZY574" s="482"/>
      <c r="SZZ574" s="173"/>
      <c r="TAA574" s="173"/>
      <c r="TAB574" s="509"/>
      <c r="TAD574" s="148"/>
      <c r="TAE574" s="148"/>
      <c r="TAF574" s="149"/>
      <c r="TAG574" s="150"/>
      <c r="TAI574" s="152"/>
      <c r="TAJ574" s="542"/>
      <c r="TAK574" s="154"/>
      <c r="TAL574" s="175"/>
      <c r="TAN574" s="156"/>
      <c r="TAO574" s="287"/>
      <c r="TAP574" s="488"/>
      <c r="TAQ574" s="489"/>
      <c r="TAR574" s="488"/>
      <c r="TAS574" s="300"/>
      <c r="TAT574" s="532"/>
      <c r="TAU574" s="533"/>
      <c r="TAV574" s="534"/>
      <c r="TAW574" s="316"/>
      <c r="TAX574" s="316"/>
      <c r="TAY574" s="471"/>
      <c r="TAZ574" s="472"/>
      <c r="TBA574" s="471"/>
      <c r="TBB574" s="473"/>
      <c r="TBC574" s="313"/>
      <c r="TBD574" s="535"/>
      <c r="TBE574" s="536"/>
      <c r="TBF574" s="537"/>
      <c r="TBG574" s="538"/>
      <c r="TBH574" s="539"/>
      <c r="TBI574" s="540"/>
      <c r="TBJ574" s="209"/>
      <c r="TBK574" s="541"/>
      <c r="TBL574" s="541"/>
      <c r="TBM574" s="482"/>
      <c r="TBN574" s="173"/>
      <c r="TBO574" s="173"/>
      <c r="TBP574" s="509"/>
      <c r="TBR574" s="148"/>
      <c r="TBS574" s="148"/>
      <c r="TBT574" s="149"/>
      <c r="TBU574" s="150"/>
      <c r="TBW574" s="152"/>
      <c r="TBX574" s="542"/>
      <c r="TBY574" s="154"/>
      <c r="TBZ574" s="175"/>
      <c r="TCB574" s="156"/>
      <c r="TCC574" s="287"/>
      <c r="TCD574" s="488"/>
      <c r="TCE574" s="489"/>
      <c r="TCF574" s="488"/>
      <c r="TCG574" s="300"/>
      <c r="TCH574" s="532"/>
      <c r="TCI574" s="533"/>
      <c r="TCJ574" s="534"/>
      <c r="TCK574" s="316"/>
      <c r="TCL574" s="316"/>
      <c r="TCM574" s="471"/>
      <c r="TCN574" s="472"/>
      <c r="TCO574" s="471"/>
      <c r="TCP574" s="473"/>
      <c r="TCQ574" s="313"/>
      <c r="TCR574" s="535"/>
      <c r="TCS574" s="536"/>
      <c r="TCT574" s="537"/>
      <c r="TCU574" s="538"/>
      <c r="TCV574" s="539"/>
      <c r="TCW574" s="540"/>
      <c r="TCX574" s="209"/>
      <c r="TCY574" s="541"/>
      <c r="TCZ574" s="541"/>
      <c r="TDA574" s="482"/>
      <c r="TDB574" s="173"/>
      <c r="TDC574" s="173"/>
      <c r="TDD574" s="509"/>
      <c r="TDF574" s="148"/>
      <c r="TDG574" s="148"/>
      <c r="TDH574" s="149"/>
      <c r="TDI574" s="150"/>
      <c r="TDK574" s="152"/>
      <c r="TDL574" s="542"/>
      <c r="TDM574" s="154"/>
      <c r="TDN574" s="175"/>
      <c r="TDP574" s="156"/>
      <c r="TDQ574" s="287"/>
      <c r="TDR574" s="488"/>
      <c r="TDS574" s="489"/>
      <c r="TDT574" s="488"/>
      <c r="TDU574" s="300"/>
      <c r="TDV574" s="532"/>
      <c r="TDW574" s="533"/>
      <c r="TDX574" s="534"/>
      <c r="TDY574" s="316"/>
      <c r="TDZ574" s="316"/>
      <c r="TEA574" s="471"/>
      <c r="TEB574" s="472"/>
      <c r="TEC574" s="471"/>
      <c r="TED574" s="473"/>
      <c r="TEE574" s="313"/>
      <c r="TEF574" s="535"/>
      <c r="TEG574" s="536"/>
      <c r="TEH574" s="537"/>
      <c r="TEI574" s="538"/>
      <c r="TEJ574" s="539"/>
      <c r="TEK574" s="540"/>
      <c r="TEL574" s="209"/>
      <c r="TEM574" s="541"/>
      <c r="TEN574" s="541"/>
      <c r="TEO574" s="482"/>
      <c r="TEP574" s="173"/>
      <c r="TEQ574" s="173"/>
      <c r="TER574" s="509"/>
      <c r="TET574" s="148"/>
      <c r="TEU574" s="148"/>
      <c r="TEV574" s="149"/>
      <c r="TEW574" s="150"/>
      <c r="TEY574" s="152"/>
      <c r="TEZ574" s="542"/>
      <c r="TFA574" s="154"/>
      <c r="TFB574" s="175"/>
      <c r="TFD574" s="156"/>
      <c r="TFE574" s="287"/>
      <c r="TFF574" s="488"/>
      <c r="TFG574" s="489"/>
      <c r="TFH574" s="488"/>
      <c r="TFI574" s="300"/>
      <c r="TFJ574" s="532"/>
      <c r="TFK574" s="533"/>
      <c r="TFL574" s="534"/>
      <c r="TFM574" s="316"/>
      <c r="TFN574" s="316"/>
      <c r="TFO574" s="471"/>
      <c r="TFP574" s="472"/>
      <c r="TFQ574" s="471"/>
      <c r="TFR574" s="473"/>
      <c r="TFS574" s="313"/>
      <c r="TFT574" s="535"/>
      <c r="TFU574" s="536"/>
      <c r="TFV574" s="537"/>
      <c r="TFW574" s="538"/>
      <c r="TFX574" s="539"/>
      <c r="TFY574" s="540"/>
      <c r="TFZ574" s="209"/>
      <c r="TGA574" s="541"/>
      <c r="TGB574" s="541"/>
      <c r="TGC574" s="482"/>
      <c r="TGD574" s="173"/>
      <c r="TGE574" s="173"/>
      <c r="TGF574" s="509"/>
      <c r="TGH574" s="148"/>
      <c r="TGI574" s="148"/>
      <c r="TGJ574" s="149"/>
      <c r="TGK574" s="150"/>
      <c r="TGM574" s="152"/>
      <c r="TGN574" s="542"/>
      <c r="TGO574" s="154"/>
      <c r="TGP574" s="175"/>
      <c r="TGR574" s="156"/>
      <c r="TGS574" s="287"/>
      <c r="TGT574" s="488"/>
      <c r="TGU574" s="489"/>
      <c r="TGV574" s="488"/>
      <c r="TGW574" s="300"/>
      <c r="TGX574" s="532"/>
      <c r="TGY574" s="533"/>
      <c r="TGZ574" s="534"/>
      <c r="THA574" s="316"/>
      <c r="THB574" s="316"/>
      <c r="THC574" s="471"/>
      <c r="THD574" s="472"/>
      <c r="THE574" s="471"/>
      <c r="THF574" s="473"/>
      <c r="THG574" s="313"/>
      <c r="THH574" s="535"/>
      <c r="THI574" s="536"/>
      <c r="THJ574" s="537"/>
      <c r="THK574" s="538"/>
      <c r="THL574" s="539"/>
      <c r="THM574" s="540"/>
      <c r="THN574" s="209"/>
      <c r="THO574" s="541"/>
      <c r="THP574" s="541"/>
      <c r="THQ574" s="482"/>
      <c r="THR574" s="173"/>
      <c r="THS574" s="173"/>
      <c r="THT574" s="509"/>
      <c r="THV574" s="148"/>
      <c r="THW574" s="148"/>
      <c r="THX574" s="149"/>
      <c r="THY574" s="150"/>
      <c r="TIA574" s="152"/>
      <c r="TIB574" s="542"/>
      <c r="TIC574" s="154"/>
      <c r="TID574" s="175"/>
      <c r="TIF574" s="156"/>
      <c r="TIG574" s="287"/>
      <c r="TIH574" s="488"/>
      <c r="TII574" s="489"/>
      <c r="TIJ574" s="488"/>
      <c r="TIK574" s="300"/>
      <c r="TIL574" s="532"/>
      <c r="TIM574" s="533"/>
      <c r="TIN574" s="534"/>
      <c r="TIO574" s="316"/>
      <c r="TIP574" s="316"/>
      <c r="TIQ574" s="471"/>
      <c r="TIR574" s="472"/>
      <c r="TIS574" s="471"/>
      <c r="TIT574" s="473"/>
      <c r="TIU574" s="313"/>
      <c r="TIV574" s="535"/>
      <c r="TIW574" s="536"/>
      <c r="TIX574" s="537"/>
      <c r="TIY574" s="538"/>
      <c r="TIZ574" s="539"/>
      <c r="TJA574" s="540"/>
      <c r="TJB574" s="209"/>
      <c r="TJC574" s="541"/>
      <c r="TJD574" s="541"/>
      <c r="TJE574" s="482"/>
      <c r="TJF574" s="173"/>
      <c r="TJG574" s="173"/>
      <c r="TJH574" s="509"/>
      <c r="TJJ574" s="148"/>
      <c r="TJK574" s="148"/>
      <c r="TJL574" s="149"/>
      <c r="TJM574" s="150"/>
      <c r="TJO574" s="152"/>
      <c r="TJP574" s="542"/>
      <c r="TJQ574" s="154"/>
      <c r="TJR574" s="175"/>
      <c r="TJT574" s="156"/>
      <c r="TJU574" s="287"/>
      <c r="TJV574" s="488"/>
      <c r="TJW574" s="489"/>
      <c r="TJX574" s="488"/>
      <c r="TJY574" s="300"/>
      <c r="TJZ574" s="532"/>
      <c r="TKA574" s="533"/>
      <c r="TKB574" s="534"/>
      <c r="TKC574" s="316"/>
      <c r="TKD574" s="316"/>
      <c r="TKE574" s="471"/>
      <c r="TKF574" s="472"/>
      <c r="TKG574" s="471"/>
      <c r="TKH574" s="473"/>
      <c r="TKI574" s="313"/>
      <c r="TKJ574" s="535"/>
      <c r="TKK574" s="536"/>
      <c r="TKL574" s="537"/>
      <c r="TKM574" s="538"/>
      <c r="TKN574" s="539"/>
      <c r="TKO574" s="540"/>
      <c r="TKP574" s="209"/>
      <c r="TKQ574" s="541"/>
      <c r="TKR574" s="541"/>
      <c r="TKS574" s="482"/>
      <c r="TKT574" s="173"/>
      <c r="TKU574" s="173"/>
      <c r="TKV574" s="509"/>
      <c r="TKX574" s="148"/>
      <c r="TKY574" s="148"/>
      <c r="TKZ574" s="149"/>
      <c r="TLA574" s="150"/>
      <c r="TLC574" s="152"/>
      <c r="TLD574" s="542"/>
      <c r="TLE574" s="154"/>
      <c r="TLF574" s="175"/>
      <c r="TLH574" s="156"/>
      <c r="TLI574" s="287"/>
      <c r="TLJ574" s="488"/>
      <c r="TLK574" s="489"/>
      <c r="TLL574" s="488"/>
      <c r="TLM574" s="300"/>
      <c r="TLN574" s="532"/>
      <c r="TLO574" s="533"/>
      <c r="TLP574" s="534"/>
      <c r="TLQ574" s="316"/>
      <c r="TLR574" s="316"/>
      <c r="TLS574" s="471"/>
      <c r="TLT574" s="472"/>
      <c r="TLU574" s="471"/>
      <c r="TLV574" s="473"/>
      <c r="TLW574" s="313"/>
      <c r="TLX574" s="535"/>
      <c r="TLY574" s="536"/>
      <c r="TLZ574" s="537"/>
      <c r="TMA574" s="538"/>
      <c r="TMB574" s="539"/>
      <c r="TMC574" s="540"/>
      <c r="TMD574" s="209"/>
      <c r="TME574" s="541"/>
      <c r="TMF574" s="541"/>
      <c r="TMG574" s="482"/>
      <c r="TMH574" s="173"/>
      <c r="TMI574" s="173"/>
      <c r="TMJ574" s="509"/>
      <c r="TML574" s="148"/>
      <c r="TMM574" s="148"/>
      <c r="TMN574" s="149"/>
      <c r="TMO574" s="150"/>
      <c r="TMQ574" s="152"/>
      <c r="TMR574" s="542"/>
      <c r="TMS574" s="154"/>
      <c r="TMT574" s="175"/>
      <c r="TMV574" s="156"/>
      <c r="TMW574" s="287"/>
      <c r="TMX574" s="488"/>
      <c r="TMY574" s="489"/>
      <c r="TMZ574" s="488"/>
      <c r="TNA574" s="300"/>
      <c r="TNB574" s="532"/>
      <c r="TNC574" s="533"/>
      <c r="TND574" s="534"/>
      <c r="TNE574" s="316"/>
      <c r="TNF574" s="316"/>
      <c r="TNG574" s="471"/>
      <c r="TNH574" s="472"/>
      <c r="TNI574" s="471"/>
      <c r="TNJ574" s="473"/>
      <c r="TNK574" s="313"/>
      <c r="TNL574" s="535"/>
      <c r="TNM574" s="536"/>
      <c r="TNN574" s="537"/>
      <c r="TNO574" s="538"/>
      <c r="TNP574" s="539"/>
      <c r="TNQ574" s="540"/>
      <c r="TNR574" s="209"/>
      <c r="TNS574" s="541"/>
      <c r="TNT574" s="541"/>
      <c r="TNU574" s="482"/>
      <c r="TNV574" s="173"/>
      <c r="TNW574" s="173"/>
      <c r="TNX574" s="509"/>
      <c r="TNZ574" s="148"/>
      <c r="TOA574" s="148"/>
      <c r="TOB574" s="149"/>
      <c r="TOC574" s="150"/>
      <c r="TOE574" s="152"/>
      <c r="TOF574" s="542"/>
      <c r="TOG574" s="154"/>
      <c r="TOH574" s="175"/>
      <c r="TOJ574" s="156"/>
      <c r="TOK574" s="287"/>
      <c r="TOL574" s="488"/>
      <c r="TOM574" s="489"/>
      <c r="TON574" s="488"/>
      <c r="TOO574" s="300"/>
      <c r="TOP574" s="532"/>
      <c r="TOQ574" s="533"/>
      <c r="TOR574" s="534"/>
      <c r="TOS574" s="316"/>
      <c r="TOT574" s="316"/>
      <c r="TOU574" s="471"/>
      <c r="TOV574" s="472"/>
      <c r="TOW574" s="471"/>
      <c r="TOX574" s="473"/>
      <c r="TOY574" s="313"/>
      <c r="TOZ574" s="535"/>
      <c r="TPA574" s="536"/>
      <c r="TPB574" s="537"/>
      <c r="TPC574" s="538"/>
      <c r="TPD574" s="539"/>
      <c r="TPE574" s="540"/>
      <c r="TPF574" s="209"/>
      <c r="TPG574" s="541"/>
      <c r="TPH574" s="541"/>
      <c r="TPI574" s="482"/>
      <c r="TPJ574" s="173"/>
      <c r="TPK574" s="173"/>
      <c r="TPL574" s="509"/>
      <c r="TPN574" s="148"/>
      <c r="TPO574" s="148"/>
      <c r="TPP574" s="149"/>
      <c r="TPQ574" s="150"/>
      <c r="TPS574" s="152"/>
      <c r="TPT574" s="542"/>
      <c r="TPU574" s="154"/>
      <c r="TPV574" s="175"/>
      <c r="TPX574" s="156"/>
      <c r="TPY574" s="287"/>
      <c r="TPZ574" s="488"/>
      <c r="TQA574" s="489"/>
      <c r="TQB574" s="488"/>
      <c r="TQC574" s="300"/>
      <c r="TQD574" s="532"/>
      <c r="TQE574" s="533"/>
      <c r="TQF574" s="534"/>
      <c r="TQG574" s="316"/>
      <c r="TQH574" s="316"/>
      <c r="TQI574" s="471"/>
      <c r="TQJ574" s="472"/>
      <c r="TQK574" s="471"/>
      <c r="TQL574" s="473"/>
      <c r="TQM574" s="313"/>
      <c r="TQN574" s="535"/>
      <c r="TQO574" s="536"/>
      <c r="TQP574" s="537"/>
      <c r="TQQ574" s="538"/>
      <c r="TQR574" s="539"/>
      <c r="TQS574" s="540"/>
      <c r="TQT574" s="209"/>
      <c r="TQU574" s="541"/>
      <c r="TQV574" s="541"/>
      <c r="TQW574" s="482"/>
      <c r="TQX574" s="173"/>
      <c r="TQY574" s="173"/>
      <c r="TQZ574" s="509"/>
      <c r="TRB574" s="148"/>
      <c r="TRC574" s="148"/>
      <c r="TRD574" s="149"/>
      <c r="TRE574" s="150"/>
      <c r="TRG574" s="152"/>
      <c r="TRH574" s="542"/>
      <c r="TRI574" s="154"/>
      <c r="TRJ574" s="175"/>
      <c r="TRL574" s="156"/>
      <c r="TRM574" s="287"/>
      <c r="TRN574" s="488"/>
      <c r="TRO574" s="489"/>
      <c r="TRP574" s="488"/>
      <c r="TRQ574" s="300"/>
      <c r="TRR574" s="532"/>
      <c r="TRS574" s="533"/>
      <c r="TRT574" s="534"/>
      <c r="TRU574" s="316"/>
      <c r="TRV574" s="316"/>
      <c r="TRW574" s="471"/>
      <c r="TRX574" s="472"/>
      <c r="TRY574" s="471"/>
      <c r="TRZ574" s="473"/>
      <c r="TSA574" s="313"/>
      <c r="TSB574" s="535"/>
      <c r="TSC574" s="536"/>
      <c r="TSD574" s="537"/>
      <c r="TSE574" s="538"/>
      <c r="TSF574" s="539"/>
      <c r="TSG574" s="540"/>
      <c r="TSH574" s="209"/>
      <c r="TSI574" s="541"/>
      <c r="TSJ574" s="541"/>
      <c r="TSK574" s="482"/>
      <c r="TSL574" s="173"/>
      <c r="TSM574" s="173"/>
      <c r="TSN574" s="509"/>
      <c r="TSP574" s="148"/>
      <c r="TSQ574" s="148"/>
      <c r="TSR574" s="149"/>
      <c r="TSS574" s="150"/>
      <c r="TSU574" s="152"/>
      <c r="TSV574" s="542"/>
      <c r="TSW574" s="154"/>
      <c r="TSX574" s="175"/>
      <c r="TSZ574" s="156"/>
      <c r="TTA574" s="287"/>
      <c r="TTB574" s="488"/>
      <c r="TTC574" s="489"/>
      <c r="TTD574" s="488"/>
      <c r="TTE574" s="300"/>
      <c r="TTF574" s="532"/>
      <c r="TTG574" s="533"/>
      <c r="TTH574" s="534"/>
      <c r="TTI574" s="316"/>
      <c r="TTJ574" s="316"/>
      <c r="TTK574" s="471"/>
      <c r="TTL574" s="472"/>
      <c r="TTM574" s="471"/>
      <c r="TTN574" s="473"/>
      <c r="TTO574" s="313"/>
      <c r="TTP574" s="535"/>
      <c r="TTQ574" s="536"/>
      <c r="TTR574" s="537"/>
      <c r="TTS574" s="538"/>
      <c r="TTT574" s="539"/>
      <c r="TTU574" s="540"/>
      <c r="TTV574" s="209"/>
      <c r="TTW574" s="541"/>
      <c r="TTX574" s="541"/>
      <c r="TTY574" s="482"/>
      <c r="TTZ574" s="173"/>
      <c r="TUA574" s="173"/>
      <c r="TUB574" s="509"/>
      <c r="TUD574" s="148"/>
      <c r="TUE574" s="148"/>
      <c r="TUF574" s="149"/>
      <c r="TUG574" s="150"/>
      <c r="TUI574" s="152"/>
      <c r="TUJ574" s="542"/>
      <c r="TUK574" s="154"/>
      <c r="TUL574" s="175"/>
      <c r="TUN574" s="156"/>
      <c r="TUO574" s="287"/>
      <c r="TUP574" s="488"/>
      <c r="TUQ574" s="489"/>
      <c r="TUR574" s="488"/>
      <c r="TUS574" s="300"/>
      <c r="TUT574" s="532"/>
      <c r="TUU574" s="533"/>
      <c r="TUV574" s="534"/>
      <c r="TUW574" s="316"/>
      <c r="TUX574" s="316"/>
      <c r="TUY574" s="471"/>
      <c r="TUZ574" s="472"/>
      <c r="TVA574" s="471"/>
      <c r="TVB574" s="473"/>
      <c r="TVC574" s="313"/>
      <c r="TVD574" s="535"/>
      <c r="TVE574" s="536"/>
      <c r="TVF574" s="537"/>
      <c r="TVG574" s="538"/>
      <c r="TVH574" s="539"/>
      <c r="TVI574" s="540"/>
      <c r="TVJ574" s="209"/>
      <c r="TVK574" s="541"/>
      <c r="TVL574" s="541"/>
      <c r="TVM574" s="482"/>
      <c r="TVN574" s="173"/>
      <c r="TVO574" s="173"/>
      <c r="TVP574" s="509"/>
      <c r="TVR574" s="148"/>
      <c r="TVS574" s="148"/>
      <c r="TVT574" s="149"/>
      <c r="TVU574" s="150"/>
      <c r="TVW574" s="152"/>
      <c r="TVX574" s="542"/>
      <c r="TVY574" s="154"/>
      <c r="TVZ574" s="175"/>
      <c r="TWB574" s="156"/>
      <c r="TWC574" s="287"/>
      <c r="TWD574" s="488"/>
      <c r="TWE574" s="489"/>
      <c r="TWF574" s="488"/>
      <c r="TWG574" s="300"/>
      <c r="TWH574" s="532"/>
      <c r="TWI574" s="533"/>
      <c r="TWJ574" s="534"/>
      <c r="TWK574" s="316"/>
      <c r="TWL574" s="316"/>
      <c r="TWM574" s="471"/>
      <c r="TWN574" s="472"/>
      <c r="TWO574" s="471"/>
      <c r="TWP574" s="473"/>
      <c r="TWQ574" s="313"/>
      <c r="TWR574" s="535"/>
      <c r="TWS574" s="536"/>
      <c r="TWT574" s="537"/>
      <c r="TWU574" s="538"/>
      <c r="TWV574" s="539"/>
      <c r="TWW574" s="540"/>
      <c r="TWX574" s="209"/>
      <c r="TWY574" s="541"/>
      <c r="TWZ574" s="541"/>
      <c r="TXA574" s="482"/>
      <c r="TXB574" s="173"/>
      <c r="TXC574" s="173"/>
      <c r="TXD574" s="509"/>
      <c r="TXF574" s="148"/>
      <c r="TXG574" s="148"/>
      <c r="TXH574" s="149"/>
      <c r="TXI574" s="150"/>
      <c r="TXK574" s="152"/>
      <c r="TXL574" s="542"/>
      <c r="TXM574" s="154"/>
      <c r="TXN574" s="175"/>
      <c r="TXP574" s="156"/>
      <c r="TXQ574" s="287"/>
      <c r="TXR574" s="488"/>
      <c r="TXS574" s="489"/>
      <c r="TXT574" s="488"/>
      <c r="TXU574" s="300"/>
      <c r="TXV574" s="532"/>
      <c r="TXW574" s="533"/>
      <c r="TXX574" s="534"/>
      <c r="TXY574" s="316"/>
      <c r="TXZ574" s="316"/>
      <c r="TYA574" s="471"/>
      <c r="TYB574" s="472"/>
      <c r="TYC574" s="471"/>
      <c r="TYD574" s="473"/>
      <c r="TYE574" s="313"/>
      <c r="TYF574" s="535"/>
      <c r="TYG574" s="536"/>
      <c r="TYH574" s="537"/>
      <c r="TYI574" s="538"/>
      <c r="TYJ574" s="539"/>
      <c r="TYK574" s="540"/>
      <c r="TYL574" s="209"/>
      <c r="TYM574" s="541"/>
      <c r="TYN574" s="541"/>
      <c r="TYO574" s="482"/>
      <c r="TYP574" s="173"/>
      <c r="TYQ574" s="173"/>
      <c r="TYR574" s="509"/>
      <c r="TYT574" s="148"/>
      <c r="TYU574" s="148"/>
      <c r="TYV574" s="149"/>
      <c r="TYW574" s="150"/>
      <c r="TYY574" s="152"/>
      <c r="TYZ574" s="542"/>
      <c r="TZA574" s="154"/>
      <c r="TZB574" s="175"/>
      <c r="TZD574" s="156"/>
      <c r="TZE574" s="287"/>
      <c r="TZF574" s="488"/>
      <c r="TZG574" s="489"/>
      <c r="TZH574" s="488"/>
      <c r="TZI574" s="300"/>
      <c r="TZJ574" s="532"/>
      <c r="TZK574" s="533"/>
      <c r="TZL574" s="534"/>
      <c r="TZM574" s="316"/>
      <c r="TZN574" s="316"/>
      <c r="TZO574" s="471"/>
      <c r="TZP574" s="472"/>
      <c r="TZQ574" s="471"/>
      <c r="TZR574" s="473"/>
      <c r="TZS574" s="313"/>
      <c r="TZT574" s="535"/>
      <c r="TZU574" s="536"/>
      <c r="TZV574" s="537"/>
      <c r="TZW574" s="538"/>
      <c r="TZX574" s="539"/>
      <c r="TZY574" s="540"/>
      <c r="TZZ574" s="209"/>
      <c r="UAA574" s="541"/>
      <c r="UAB574" s="541"/>
      <c r="UAC574" s="482"/>
      <c r="UAD574" s="173"/>
      <c r="UAE574" s="173"/>
      <c r="UAF574" s="509"/>
      <c r="UAH574" s="148"/>
      <c r="UAI574" s="148"/>
      <c r="UAJ574" s="149"/>
      <c r="UAK574" s="150"/>
      <c r="UAM574" s="152"/>
      <c r="UAN574" s="542"/>
      <c r="UAO574" s="154"/>
      <c r="UAP574" s="175"/>
      <c r="UAR574" s="156"/>
      <c r="UAS574" s="287"/>
      <c r="UAT574" s="488"/>
      <c r="UAU574" s="489"/>
      <c r="UAV574" s="488"/>
      <c r="UAW574" s="300"/>
      <c r="UAX574" s="532"/>
      <c r="UAY574" s="533"/>
      <c r="UAZ574" s="534"/>
      <c r="UBA574" s="316"/>
      <c r="UBB574" s="316"/>
      <c r="UBC574" s="471"/>
      <c r="UBD574" s="472"/>
      <c r="UBE574" s="471"/>
      <c r="UBF574" s="473"/>
      <c r="UBG574" s="313"/>
      <c r="UBH574" s="535"/>
      <c r="UBI574" s="536"/>
      <c r="UBJ574" s="537"/>
      <c r="UBK574" s="538"/>
      <c r="UBL574" s="539"/>
      <c r="UBM574" s="540"/>
      <c r="UBN574" s="209"/>
      <c r="UBO574" s="541"/>
      <c r="UBP574" s="541"/>
      <c r="UBQ574" s="482"/>
      <c r="UBR574" s="173"/>
      <c r="UBS574" s="173"/>
      <c r="UBT574" s="509"/>
      <c r="UBV574" s="148"/>
      <c r="UBW574" s="148"/>
      <c r="UBX574" s="149"/>
      <c r="UBY574" s="150"/>
      <c r="UCA574" s="152"/>
      <c r="UCB574" s="542"/>
      <c r="UCC574" s="154"/>
      <c r="UCD574" s="175"/>
      <c r="UCF574" s="156"/>
      <c r="UCG574" s="287"/>
      <c r="UCH574" s="488"/>
      <c r="UCI574" s="489"/>
      <c r="UCJ574" s="488"/>
      <c r="UCK574" s="300"/>
      <c r="UCL574" s="532"/>
      <c r="UCM574" s="533"/>
      <c r="UCN574" s="534"/>
      <c r="UCO574" s="316"/>
      <c r="UCP574" s="316"/>
      <c r="UCQ574" s="471"/>
      <c r="UCR574" s="472"/>
      <c r="UCS574" s="471"/>
      <c r="UCT574" s="473"/>
      <c r="UCU574" s="313"/>
      <c r="UCV574" s="535"/>
      <c r="UCW574" s="536"/>
      <c r="UCX574" s="537"/>
      <c r="UCY574" s="538"/>
      <c r="UCZ574" s="539"/>
      <c r="UDA574" s="540"/>
      <c r="UDB574" s="209"/>
      <c r="UDC574" s="541"/>
      <c r="UDD574" s="541"/>
      <c r="UDE574" s="482"/>
      <c r="UDF574" s="173"/>
      <c r="UDG574" s="173"/>
      <c r="UDH574" s="509"/>
      <c r="UDJ574" s="148"/>
      <c r="UDK574" s="148"/>
      <c r="UDL574" s="149"/>
      <c r="UDM574" s="150"/>
      <c r="UDO574" s="152"/>
      <c r="UDP574" s="542"/>
      <c r="UDQ574" s="154"/>
      <c r="UDR574" s="175"/>
      <c r="UDT574" s="156"/>
      <c r="UDU574" s="287"/>
      <c r="UDV574" s="488"/>
      <c r="UDW574" s="489"/>
      <c r="UDX574" s="488"/>
      <c r="UDY574" s="300"/>
      <c r="UDZ574" s="532"/>
      <c r="UEA574" s="533"/>
      <c r="UEB574" s="534"/>
      <c r="UEC574" s="316"/>
      <c r="UED574" s="316"/>
      <c r="UEE574" s="471"/>
      <c r="UEF574" s="472"/>
      <c r="UEG574" s="471"/>
      <c r="UEH574" s="473"/>
      <c r="UEI574" s="313"/>
      <c r="UEJ574" s="535"/>
      <c r="UEK574" s="536"/>
      <c r="UEL574" s="537"/>
      <c r="UEM574" s="538"/>
      <c r="UEN574" s="539"/>
      <c r="UEO574" s="540"/>
      <c r="UEP574" s="209"/>
      <c r="UEQ574" s="541"/>
      <c r="UER574" s="541"/>
      <c r="UES574" s="482"/>
      <c r="UET574" s="173"/>
      <c r="UEU574" s="173"/>
      <c r="UEV574" s="509"/>
      <c r="UEX574" s="148"/>
      <c r="UEY574" s="148"/>
      <c r="UEZ574" s="149"/>
      <c r="UFA574" s="150"/>
      <c r="UFC574" s="152"/>
      <c r="UFD574" s="542"/>
      <c r="UFE574" s="154"/>
      <c r="UFF574" s="175"/>
      <c r="UFH574" s="156"/>
      <c r="UFI574" s="287"/>
      <c r="UFJ574" s="488"/>
      <c r="UFK574" s="489"/>
      <c r="UFL574" s="488"/>
      <c r="UFM574" s="300"/>
      <c r="UFN574" s="532"/>
      <c r="UFO574" s="533"/>
      <c r="UFP574" s="534"/>
      <c r="UFQ574" s="316"/>
      <c r="UFR574" s="316"/>
      <c r="UFS574" s="471"/>
      <c r="UFT574" s="472"/>
      <c r="UFU574" s="471"/>
      <c r="UFV574" s="473"/>
      <c r="UFW574" s="313"/>
      <c r="UFX574" s="535"/>
      <c r="UFY574" s="536"/>
      <c r="UFZ574" s="537"/>
      <c r="UGA574" s="538"/>
      <c r="UGB574" s="539"/>
      <c r="UGC574" s="540"/>
      <c r="UGD574" s="209"/>
      <c r="UGE574" s="541"/>
      <c r="UGF574" s="541"/>
      <c r="UGG574" s="482"/>
      <c r="UGH574" s="173"/>
      <c r="UGI574" s="173"/>
      <c r="UGJ574" s="509"/>
      <c r="UGL574" s="148"/>
      <c r="UGM574" s="148"/>
      <c r="UGN574" s="149"/>
      <c r="UGO574" s="150"/>
      <c r="UGQ574" s="152"/>
      <c r="UGR574" s="542"/>
      <c r="UGS574" s="154"/>
      <c r="UGT574" s="175"/>
      <c r="UGV574" s="156"/>
      <c r="UGW574" s="287"/>
      <c r="UGX574" s="488"/>
      <c r="UGY574" s="489"/>
      <c r="UGZ574" s="488"/>
      <c r="UHA574" s="300"/>
      <c r="UHB574" s="532"/>
      <c r="UHC574" s="533"/>
      <c r="UHD574" s="534"/>
      <c r="UHE574" s="316"/>
      <c r="UHF574" s="316"/>
      <c r="UHG574" s="471"/>
      <c r="UHH574" s="472"/>
      <c r="UHI574" s="471"/>
      <c r="UHJ574" s="473"/>
      <c r="UHK574" s="313"/>
      <c r="UHL574" s="535"/>
      <c r="UHM574" s="536"/>
      <c r="UHN574" s="537"/>
      <c r="UHO574" s="538"/>
      <c r="UHP574" s="539"/>
      <c r="UHQ574" s="540"/>
      <c r="UHR574" s="209"/>
      <c r="UHS574" s="541"/>
      <c r="UHT574" s="541"/>
      <c r="UHU574" s="482"/>
      <c r="UHV574" s="173"/>
      <c r="UHW574" s="173"/>
      <c r="UHX574" s="509"/>
      <c r="UHZ574" s="148"/>
      <c r="UIA574" s="148"/>
      <c r="UIB574" s="149"/>
      <c r="UIC574" s="150"/>
      <c r="UIE574" s="152"/>
      <c r="UIF574" s="542"/>
      <c r="UIG574" s="154"/>
      <c r="UIH574" s="175"/>
      <c r="UIJ574" s="156"/>
      <c r="UIK574" s="287"/>
      <c r="UIL574" s="488"/>
      <c r="UIM574" s="489"/>
      <c r="UIN574" s="488"/>
      <c r="UIO574" s="300"/>
      <c r="UIP574" s="532"/>
      <c r="UIQ574" s="533"/>
      <c r="UIR574" s="534"/>
      <c r="UIS574" s="316"/>
      <c r="UIT574" s="316"/>
      <c r="UIU574" s="471"/>
      <c r="UIV574" s="472"/>
      <c r="UIW574" s="471"/>
      <c r="UIX574" s="473"/>
      <c r="UIY574" s="313"/>
      <c r="UIZ574" s="535"/>
      <c r="UJA574" s="536"/>
      <c r="UJB574" s="537"/>
      <c r="UJC574" s="538"/>
      <c r="UJD574" s="539"/>
      <c r="UJE574" s="540"/>
      <c r="UJF574" s="209"/>
      <c r="UJG574" s="541"/>
      <c r="UJH574" s="541"/>
      <c r="UJI574" s="482"/>
      <c r="UJJ574" s="173"/>
      <c r="UJK574" s="173"/>
      <c r="UJL574" s="509"/>
      <c r="UJN574" s="148"/>
      <c r="UJO574" s="148"/>
      <c r="UJP574" s="149"/>
      <c r="UJQ574" s="150"/>
      <c r="UJS574" s="152"/>
      <c r="UJT574" s="542"/>
      <c r="UJU574" s="154"/>
      <c r="UJV574" s="175"/>
      <c r="UJX574" s="156"/>
      <c r="UJY574" s="287"/>
      <c r="UJZ574" s="488"/>
      <c r="UKA574" s="489"/>
      <c r="UKB574" s="488"/>
      <c r="UKC574" s="300"/>
      <c r="UKD574" s="532"/>
      <c r="UKE574" s="533"/>
      <c r="UKF574" s="534"/>
      <c r="UKG574" s="316"/>
      <c r="UKH574" s="316"/>
      <c r="UKI574" s="471"/>
      <c r="UKJ574" s="472"/>
      <c r="UKK574" s="471"/>
      <c r="UKL574" s="473"/>
      <c r="UKM574" s="313"/>
      <c r="UKN574" s="535"/>
      <c r="UKO574" s="536"/>
      <c r="UKP574" s="537"/>
      <c r="UKQ574" s="538"/>
      <c r="UKR574" s="539"/>
      <c r="UKS574" s="540"/>
      <c r="UKT574" s="209"/>
      <c r="UKU574" s="541"/>
      <c r="UKV574" s="541"/>
      <c r="UKW574" s="482"/>
      <c r="UKX574" s="173"/>
      <c r="UKY574" s="173"/>
      <c r="UKZ574" s="509"/>
      <c r="ULB574" s="148"/>
      <c r="ULC574" s="148"/>
      <c r="ULD574" s="149"/>
      <c r="ULE574" s="150"/>
      <c r="ULG574" s="152"/>
      <c r="ULH574" s="542"/>
      <c r="ULI574" s="154"/>
      <c r="ULJ574" s="175"/>
      <c r="ULL574" s="156"/>
      <c r="ULM574" s="287"/>
      <c r="ULN574" s="488"/>
      <c r="ULO574" s="489"/>
      <c r="ULP574" s="488"/>
      <c r="ULQ574" s="300"/>
      <c r="ULR574" s="532"/>
      <c r="ULS574" s="533"/>
      <c r="ULT574" s="534"/>
      <c r="ULU574" s="316"/>
      <c r="ULV574" s="316"/>
      <c r="ULW574" s="471"/>
      <c r="ULX574" s="472"/>
      <c r="ULY574" s="471"/>
      <c r="ULZ574" s="473"/>
      <c r="UMA574" s="313"/>
      <c r="UMB574" s="535"/>
      <c r="UMC574" s="536"/>
      <c r="UMD574" s="537"/>
      <c r="UME574" s="538"/>
      <c r="UMF574" s="539"/>
      <c r="UMG574" s="540"/>
      <c r="UMH574" s="209"/>
      <c r="UMI574" s="541"/>
      <c r="UMJ574" s="541"/>
      <c r="UMK574" s="482"/>
      <c r="UML574" s="173"/>
      <c r="UMM574" s="173"/>
      <c r="UMN574" s="509"/>
      <c r="UMP574" s="148"/>
      <c r="UMQ574" s="148"/>
      <c r="UMR574" s="149"/>
      <c r="UMS574" s="150"/>
      <c r="UMU574" s="152"/>
      <c r="UMV574" s="542"/>
      <c r="UMW574" s="154"/>
      <c r="UMX574" s="175"/>
      <c r="UMZ574" s="156"/>
      <c r="UNA574" s="287"/>
      <c r="UNB574" s="488"/>
      <c r="UNC574" s="489"/>
      <c r="UND574" s="488"/>
      <c r="UNE574" s="300"/>
      <c r="UNF574" s="532"/>
      <c r="UNG574" s="533"/>
      <c r="UNH574" s="534"/>
      <c r="UNI574" s="316"/>
      <c r="UNJ574" s="316"/>
      <c r="UNK574" s="471"/>
      <c r="UNL574" s="472"/>
      <c r="UNM574" s="471"/>
      <c r="UNN574" s="473"/>
      <c r="UNO574" s="313"/>
      <c r="UNP574" s="535"/>
      <c r="UNQ574" s="536"/>
      <c r="UNR574" s="537"/>
      <c r="UNS574" s="538"/>
      <c r="UNT574" s="539"/>
      <c r="UNU574" s="540"/>
      <c r="UNV574" s="209"/>
      <c r="UNW574" s="541"/>
      <c r="UNX574" s="541"/>
      <c r="UNY574" s="482"/>
      <c r="UNZ574" s="173"/>
      <c r="UOA574" s="173"/>
      <c r="UOB574" s="509"/>
      <c r="UOD574" s="148"/>
      <c r="UOE574" s="148"/>
      <c r="UOF574" s="149"/>
      <c r="UOG574" s="150"/>
      <c r="UOI574" s="152"/>
      <c r="UOJ574" s="542"/>
      <c r="UOK574" s="154"/>
      <c r="UOL574" s="175"/>
      <c r="UON574" s="156"/>
      <c r="UOO574" s="287"/>
      <c r="UOP574" s="488"/>
      <c r="UOQ574" s="489"/>
      <c r="UOR574" s="488"/>
      <c r="UOS574" s="300"/>
      <c r="UOT574" s="532"/>
      <c r="UOU574" s="533"/>
      <c r="UOV574" s="534"/>
      <c r="UOW574" s="316"/>
      <c r="UOX574" s="316"/>
      <c r="UOY574" s="471"/>
      <c r="UOZ574" s="472"/>
      <c r="UPA574" s="471"/>
      <c r="UPB574" s="473"/>
      <c r="UPC574" s="313"/>
      <c r="UPD574" s="535"/>
      <c r="UPE574" s="536"/>
      <c r="UPF574" s="537"/>
      <c r="UPG574" s="538"/>
      <c r="UPH574" s="539"/>
      <c r="UPI574" s="540"/>
      <c r="UPJ574" s="209"/>
      <c r="UPK574" s="541"/>
      <c r="UPL574" s="541"/>
      <c r="UPM574" s="482"/>
      <c r="UPN574" s="173"/>
      <c r="UPO574" s="173"/>
      <c r="UPP574" s="509"/>
      <c r="UPR574" s="148"/>
      <c r="UPS574" s="148"/>
      <c r="UPT574" s="149"/>
      <c r="UPU574" s="150"/>
      <c r="UPW574" s="152"/>
      <c r="UPX574" s="542"/>
      <c r="UPY574" s="154"/>
      <c r="UPZ574" s="175"/>
      <c r="UQB574" s="156"/>
      <c r="UQC574" s="287"/>
      <c r="UQD574" s="488"/>
      <c r="UQE574" s="489"/>
      <c r="UQF574" s="488"/>
      <c r="UQG574" s="300"/>
      <c r="UQH574" s="532"/>
      <c r="UQI574" s="533"/>
      <c r="UQJ574" s="534"/>
      <c r="UQK574" s="316"/>
      <c r="UQL574" s="316"/>
      <c r="UQM574" s="471"/>
      <c r="UQN574" s="472"/>
      <c r="UQO574" s="471"/>
      <c r="UQP574" s="473"/>
      <c r="UQQ574" s="313"/>
      <c r="UQR574" s="535"/>
      <c r="UQS574" s="536"/>
      <c r="UQT574" s="537"/>
      <c r="UQU574" s="538"/>
      <c r="UQV574" s="539"/>
      <c r="UQW574" s="540"/>
      <c r="UQX574" s="209"/>
      <c r="UQY574" s="541"/>
      <c r="UQZ574" s="541"/>
      <c r="URA574" s="482"/>
      <c r="URB574" s="173"/>
      <c r="URC574" s="173"/>
      <c r="URD574" s="509"/>
      <c r="URF574" s="148"/>
      <c r="URG574" s="148"/>
      <c r="URH574" s="149"/>
      <c r="URI574" s="150"/>
      <c r="URK574" s="152"/>
      <c r="URL574" s="542"/>
      <c r="URM574" s="154"/>
      <c r="URN574" s="175"/>
      <c r="URP574" s="156"/>
      <c r="URQ574" s="287"/>
      <c r="URR574" s="488"/>
      <c r="URS574" s="489"/>
      <c r="URT574" s="488"/>
      <c r="URU574" s="300"/>
      <c r="URV574" s="532"/>
      <c r="URW574" s="533"/>
      <c r="URX574" s="534"/>
      <c r="URY574" s="316"/>
      <c r="URZ574" s="316"/>
      <c r="USA574" s="471"/>
      <c r="USB574" s="472"/>
      <c r="USC574" s="471"/>
      <c r="USD574" s="473"/>
      <c r="USE574" s="313"/>
      <c r="USF574" s="535"/>
      <c r="USG574" s="536"/>
      <c r="USH574" s="537"/>
      <c r="USI574" s="538"/>
      <c r="USJ574" s="539"/>
      <c r="USK574" s="540"/>
      <c r="USL574" s="209"/>
      <c r="USM574" s="541"/>
      <c r="USN574" s="541"/>
      <c r="USO574" s="482"/>
      <c r="USP574" s="173"/>
      <c r="USQ574" s="173"/>
      <c r="USR574" s="509"/>
      <c r="UST574" s="148"/>
      <c r="USU574" s="148"/>
      <c r="USV574" s="149"/>
      <c r="USW574" s="150"/>
      <c r="USY574" s="152"/>
      <c r="USZ574" s="542"/>
      <c r="UTA574" s="154"/>
      <c r="UTB574" s="175"/>
      <c r="UTD574" s="156"/>
      <c r="UTE574" s="287"/>
      <c r="UTF574" s="488"/>
      <c r="UTG574" s="489"/>
      <c r="UTH574" s="488"/>
      <c r="UTI574" s="300"/>
      <c r="UTJ574" s="532"/>
      <c r="UTK574" s="533"/>
      <c r="UTL574" s="534"/>
      <c r="UTM574" s="316"/>
      <c r="UTN574" s="316"/>
      <c r="UTO574" s="471"/>
      <c r="UTP574" s="472"/>
      <c r="UTQ574" s="471"/>
      <c r="UTR574" s="473"/>
      <c r="UTS574" s="313"/>
      <c r="UTT574" s="535"/>
      <c r="UTU574" s="536"/>
      <c r="UTV574" s="537"/>
      <c r="UTW574" s="538"/>
      <c r="UTX574" s="539"/>
      <c r="UTY574" s="540"/>
      <c r="UTZ574" s="209"/>
      <c r="UUA574" s="541"/>
      <c r="UUB574" s="541"/>
      <c r="UUC574" s="482"/>
      <c r="UUD574" s="173"/>
      <c r="UUE574" s="173"/>
      <c r="UUF574" s="509"/>
      <c r="UUH574" s="148"/>
      <c r="UUI574" s="148"/>
      <c r="UUJ574" s="149"/>
      <c r="UUK574" s="150"/>
      <c r="UUM574" s="152"/>
      <c r="UUN574" s="542"/>
      <c r="UUO574" s="154"/>
      <c r="UUP574" s="175"/>
      <c r="UUR574" s="156"/>
      <c r="UUS574" s="287"/>
      <c r="UUT574" s="488"/>
      <c r="UUU574" s="489"/>
      <c r="UUV574" s="488"/>
      <c r="UUW574" s="300"/>
      <c r="UUX574" s="532"/>
      <c r="UUY574" s="533"/>
      <c r="UUZ574" s="534"/>
      <c r="UVA574" s="316"/>
      <c r="UVB574" s="316"/>
      <c r="UVC574" s="471"/>
      <c r="UVD574" s="472"/>
      <c r="UVE574" s="471"/>
      <c r="UVF574" s="473"/>
      <c r="UVG574" s="313"/>
      <c r="UVH574" s="535"/>
      <c r="UVI574" s="536"/>
      <c r="UVJ574" s="537"/>
      <c r="UVK574" s="538"/>
      <c r="UVL574" s="539"/>
      <c r="UVM574" s="540"/>
      <c r="UVN574" s="209"/>
      <c r="UVO574" s="541"/>
      <c r="UVP574" s="541"/>
      <c r="UVQ574" s="482"/>
      <c r="UVR574" s="173"/>
      <c r="UVS574" s="173"/>
      <c r="UVT574" s="509"/>
      <c r="UVV574" s="148"/>
      <c r="UVW574" s="148"/>
      <c r="UVX574" s="149"/>
      <c r="UVY574" s="150"/>
      <c r="UWA574" s="152"/>
      <c r="UWB574" s="542"/>
      <c r="UWC574" s="154"/>
      <c r="UWD574" s="175"/>
      <c r="UWF574" s="156"/>
      <c r="UWG574" s="287"/>
      <c r="UWH574" s="488"/>
      <c r="UWI574" s="489"/>
      <c r="UWJ574" s="488"/>
      <c r="UWK574" s="300"/>
      <c r="UWL574" s="532"/>
      <c r="UWM574" s="533"/>
      <c r="UWN574" s="534"/>
      <c r="UWO574" s="316"/>
      <c r="UWP574" s="316"/>
      <c r="UWQ574" s="471"/>
      <c r="UWR574" s="472"/>
      <c r="UWS574" s="471"/>
      <c r="UWT574" s="473"/>
      <c r="UWU574" s="313"/>
      <c r="UWV574" s="535"/>
      <c r="UWW574" s="536"/>
      <c r="UWX574" s="537"/>
      <c r="UWY574" s="538"/>
      <c r="UWZ574" s="539"/>
      <c r="UXA574" s="540"/>
      <c r="UXB574" s="209"/>
      <c r="UXC574" s="541"/>
      <c r="UXD574" s="541"/>
      <c r="UXE574" s="482"/>
      <c r="UXF574" s="173"/>
      <c r="UXG574" s="173"/>
      <c r="UXH574" s="509"/>
      <c r="UXJ574" s="148"/>
      <c r="UXK574" s="148"/>
      <c r="UXL574" s="149"/>
      <c r="UXM574" s="150"/>
      <c r="UXO574" s="152"/>
      <c r="UXP574" s="542"/>
      <c r="UXQ574" s="154"/>
      <c r="UXR574" s="175"/>
      <c r="UXT574" s="156"/>
      <c r="UXU574" s="287"/>
      <c r="UXV574" s="488"/>
      <c r="UXW574" s="489"/>
      <c r="UXX574" s="488"/>
      <c r="UXY574" s="300"/>
      <c r="UXZ574" s="532"/>
      <c r="UYA574" s="533"/>
      <c r="UYB574" s="534"/>
      <c r="UYC574" s="316"/>
      <c r="UYD574" s="316"/>
      <c r="UYE574" s="471"/>
      <c r="UYF574" s="472"/>
      <c r="UYG574" s="471"/>
      <c r="UYH574" s="473"/>
      <c r="UYI574" s="313"/>
      <c r="UYJ574" s="535"/>
      <c r="UYK574" s="536"/>
      <c r="UYL574" s="537"/>
      <c r="UYM574" s="538"/>
      <c r="UYN574" s="539"/>
      <c r="UYO574" s="540"/>
      <c r="UYP574" s="209"/>
      <c r="UYQ574" s="541"/>
      <c r="UYR574" s="541"/>
      <c r="UYS574" s="482"/>
      <c r="UYT574" s="173"/>
      <c r="UYU574" s="173"/>
      <c r="UYV574" s="509"/>
      <c r="UYX574" s="148"/>
      <c r="UYY574" s="148"/>
      <c r="UYZ574" s="149"/>
      <c r="UZA574" s="150"/>
      <c r="UZC574" s="152"/>
      <c r="UZD574" s="542"/>
      <c r="UZE574" s="154"/>
      <c r="UZF574" s="175"/>
      <c r="UZH574" s="156"/>
      <c r="UZI574" s="287"/>
      <c r="UZJ574" s="488"/>
      <c r="UZK574" s="489"/>
      <c r="UZL574" s="488"/>
      <c r="UZM574" s="300"/>
      <c r="UZN574" s="532"/>
      <c r="UZO574" s="533"/>
      <c r="UZP574" s="534"/>
      <c r="UZQ574" s="316"/>
      <c r="UZR574" s="316"/>
      <c r="UZS574" s="471"/>
      <c r="UZT574" s="472"/>
      <c r="UZU574" s="471"/>
      <c r="UZV574" s="473"/>
      <c r="UZW574" s="313"/>
      <c r="UZX574" s="535"/>
      <c r="UZY574" s="536"/>
      <c r="UZZ574" s="537"/>
      <c r="VAA574" s="538"/>
      <c r="VAB574" s="539"/>
      <c r="VAC574" s="540"/>
      <c r="VAD574" s="209"/>
      <c r="VAE574" s="541"/>
      <c r="VAF574" s="541"/>
      <c r="VAG574" s="482"/>
      <c r="VAH574" s="173"/>
      <c r="VAI574" s="173"/>
      <c r="VAJ574" s="509"/>
      <c r="VAL574" s="148"/>
      <c r="VAM574" s="148"/>
      <c r="VAN574" s="149"/>
      <c r="VAO574" s="150"/>
      <c r="VAQ574" s="152"/>
      <c r="VAR574" s="542"/>
      <c r="VAS574" s="154"/>
      <c r="VAT574" s="175"/>
      <c r="VAV574" s="156"/>
      <c r="VAW574" s="287"/>
      <c r="VAX574" s="488"/>
      <c r="VAY574" s="489"/>
      <c r="VAZ574" s="488"/>
      <c r="VBA574" s="300"/>
      <c r="VBB574" s="532"/>
      <c r="VBC574" s="533"/>
      <c r="VBD574" s="534"/>
      <c r="VBE574" s="316"/>
      <c r="VBF574" s="316"/>
      <c r="VBG574" s="471"/>
      <c r="VBH574" s="472"/>
      <c r="VBI574" s="471"/>
      <c r="VBJ574" s="473"/>
      <c r="VBK574" s="313"/>
      <c r="VBL574" s="535"/>
      <c r="VBM574" s="536"/>
      <c r="VBN574" s="537"/>
      <c r="VBO574" s="538"/>
      <c r="VBP574" s="539"/>
      <c r="VBQ574" s="540"/>
      <c r="VBR574" s="209"/>
      <c r="VBS574" s="541"/>
      <c r="VBT574" s="541"/>
      <c r="VBU574" s="482"/>
      <c r="VBV574" s="173"/>
      <c r="VBW574" s="173"/>
      <c r="VBX574" s="509"/>
      <c r="VBZ574" s="148"/>
      <c r="VCA574" s="148"/>
      <c r="VCB574" s="149"/>
      <c r="VCC574" s="150"/>
      <c r="VCE574" s="152"/>
      <c r="VCF574" s="542"/>
      <c r="VCG574" s="154"/>
      <c r="VCH574" s="175"/>
      <c r="VCJ574" s="156"/>
      <c r="VCK574" s="287"/>
      <c r="VCL574" s="488"/>
      <c r="VCM574" s="489"/>
      <c r="VCN574" s="488"/>
      <c r="VCO574" s="300"/>
      <c r="VCP574" s="532"/>
      <c r="VCQ574" s="533"/>
      <c r="VCR574" s="534"/>
      <c r="VCS574" s="316"/>
      <c r="VCT574" s="316"/>
      <c r="VCU574" s="471"/>
      <c r="VCV574" s="472"/>
      <c r="VCW574" s="471"/>
      <c r="VCX574" s="473"/>
      <c r="VCY574" s="313"/>
      <c r="VCZ574" s="535"/>
      <c r="VDA574" s="536"/>
      <c r="VDB574" s="537"/>
      <c r="VDC574" s="538"/>
      <c r="VDD574" s="539"/>
      <c r="VDE574" s="540"/>
      <c r="VDF574" s="209"/>
      <c r="VDG574" s="541"/>
      <c r="VDH574" s="541"/>
      <c r="VDI574" s="482"/>
      <c r="VDJ574" s="173"/>
      <c r="VDK574" s="173"/>
      <c r="VDL574" s="509"/>
      <c r="VDN574" s="148"/>
      <c r="VDO574" s="148"/>
      <c r="VDP574" s="149"/>
      <c r="VDQ574" s="150"/>
      <c r="VDS574" s="152"/>
      <c r="VDT574" s="542"/>
      <c r="VDU574" s="154"/>
      <c r="VDV574" s="175"/>
      <c r="VDX574" s="156"/>
      <c r="VDY574" s="287"/>
      <c r="VDZ574" s="488"/>
      <c r="VEA574" s="489"/>
      <c r="VEB574" s="488"/>
      <c r="VEC574" s="300"/>
      <c r="VED574" s="532"/>
      <c r="VEE574" s="533"/>
      <c r="VEF574" s="534"/>
      <c r="VEG574" s="316"/>
      <c r="VEH574" s="316"/>
      <c r="VEI574" s="471"/>
      <c r="VEJ574" s="472"/>
      <c r="VEK574" s="471"/>
      <c r="VEL574" s="473"/>
      <c r="VEM574" s="313"/>
      <c r="VEN574" s="535"/>
      <c r="VEO574" s="536"/>
      <c r="VEP574" s="537"/>
      <c r="VEQ574" s="538"/>
      <c r="VER574" s="539"/>
      <c r="VES574" s="540"/>
      <c r="VET574" s="209"/>
      <c r="VEU574" s="541"/>
      <c r="VEV574" s="541"/>
      <c r="VEW574" s="482"/>
      <c r="VEX574" s="173"/>
      <c r="VEY574" s="173"/>
      <c r="VEZ574" s="509"/>
      <c r="VFB574" s="148"/>
      <c r="VFC574" s="148"/>
      <c r="VFD574" s="149"/>
      <c r="VFE574" s="150"/>
      <c r="VFG574" s="152"/>
      <c r="VFH574" s="542"/>
      <c r="VFI574" s="154"/>
      <c r="VFJ574" s="175"/>
      <c r="VFL574" s="156"/>
      <c r="VFM574" s="287"/>
      <c r="VFN574" s="488"/>
      <c r="VFO574" s="489"/>
      <c r="VFP574" s="488"/>
      <c r="VFQ574" s="300"/>
      <c r="VFR574" s="532"/>
      <c r="VFS574" s="533"/>
      <c r="VFT574" s="534"/>
      <c r="VFU574" s="316"/>
      <c r="VFV574" s="316"/>
      <c r="VFW574" s="471"/>
      <c r="VFX574" s="472"/>
      <c r="VFY574" s="471"/>
      <c r="VFZ574" s="473"/>
      <c r="VGA574" s="313"/>
      <c r="VGB574" s="535"/>
      <c r="VGC574" s="536"/>
      <c r="VGD574" s="537"/>
      <c r="VGE574" s="538"/>
      <c r="VGF574" s="539"/>
      <c r="VGG574" s="540"/>
      <c r="VGH574" s="209"/>
      <c r="VGI574" s="541"/>
      <c r="VGJ574" s="541"/>
      <c r="VGK574" s="482"/>
      <c r="VGL574" s="173"/>
      <c r="VGM574" s="173"/>
      <c r="VGN574" s="509"/>
      <c r="VGP574" s="148"/>
      <c r="VGQ574" s="148"/>
      <c r="VGR574" s="149"/>
      <c r="VGS574" s="150"/>
      <c r="VGU574" s="152"/>
      <c r="VGV574" s="542"/>
      <c r="VGW574" s="154"/>
      <c r="VGX574" s="175"/>
      <c r="VGZ574" s="156"/>
      <c r="VHA574" s="287"/>
      <c r="VHB574" s="488"/>
      <c r="VHC574" s="489"/>
      <c r="VHD574" s="488"/>
      <c r="VHE574" s="300"/>
      <c r="VHF574" s="532"/>
      <c r="VHG574" s="533"/>
      <c r="VHH574" s="534"/>
      <c r="VHI574" s="316"/>
      <c r="VHJ574" s="316"/>
      <c r="VHK574" s="471"/>
      <c r="VHL574" s="472"/>
      <c r="VHM574" s="471"/>
      <c r="VHN574" s="473"/>
      <c r="VHO574" s="313"/>
      <c r="VHP574" s="535"/>
      <c r="VHQ574" s="536"/>
      <c r="VHR574" s="537"/>
      <c r="VHS574" s="538"/>
      <c r="VHT574" s="539"/>
      <c r="VHU574" s="540"/>
      <c r="VHV574" s="209"/>
      <c r="VHW574" s="541"/>
      <c r="VHX574" s="541"/>
      <c r="VHY574" s="482"/>
      <c r="VHZ574" s="173"/>
      <c r="VIA574" s="173"/>
      <c r="VIB574" s="509"/>
      <c r="VID574" s="148"/>
      <c r="VIE574" s="148"/>
      <c r="VIF574" s="149"/>
      <c r="VIG574" s="150"/>
      <c r="VII574" s="152"/>
      <c r="VIJ574" s="542"/>
      <c r="VIK574" s="154"/>
      <c r="VIL574" s="175"/>
      <c r="VIN574" s="156"/>
      <c r="VIO574" s="287"/>
      <c r="VIP574" s="488"/>
      <c r="VIQ574" s="489"/>
      <c r="VIR574" s="488"/>
      <c r="VIS574" s="300"/>
      <c r="VIT574" s="532"/>
      <c r="VIU574" s="533"/>
      <c r="VIV574" s="534"/>
      <c r="VIW574" s="316"/>
      <c r="VIX574" s="316"/>
      <c r="VIY574" s="471"/>
      <c r="VIZ574" s="472"/>
      <c r="VJA574" s="471"/>
      <c r="VJB574" s="473"/>
      <c r="VJC574" s="313"/>
      <c r="VJD574" s="535"/>
      <c r="VJE574" s="536"/>
      <c r="VJF574" s="537"/>
      <c r="VJG574" s="538"/>
      <c r="VJH574" s="539"/>
      <c r="VJI574" s="540"/>
      <c r="VJJ574" s="209"/>
      <c r="VJK574" s="541"/>
      <c r="VJL574" s="541"/>
      <c r="VJM574" s="482"/>
      <c r="VJN574" s="173"/>
      <c r="VJO574" s="173"/>
      <c r="VJP574" s="509"/>
      <c r="VJR574" s="148"/>
      <c r="VJS574" s="148"/>
      <c r="VJT574" s="149"/>
      <c r="VJU574" s="150"/>
      <c r="VJW574" s="152"/>
      <c r="VJX574" s="542"/>
      <c r="VJY574" s="154"/>
      <c r="VJZ574" s="175"/>
      <c r="VKB574" s="156"/>
      <c r="VKC574" s="287"/>
      <c r="VKD574" s="488"/>
      <c r="VKE574" s="489"/>
      <c r="VKF574" s="488"/>
      <c r="VKG574" s="300"/>
      <c r="VKH574" s="532"/>
      <c r="VKI574" s="533"/>
      <c r="VKJ574" s="534"/>
      <c r="VKK574" s="316"/>
      <c r="VKL574" s="316"/>
      <c r="VKM574" s="471"/>
      <c r="VKN574" s="472"/>
      <c r="VKO574" s="471"/>
      <c r="VKP574" s="473"/>
      <c r="VKQ574" s="313"/>
      <c r="VKR574" s="535"/>
      <c r="VKS574" s="536"/>
      <c r="VKT574" s="537"/>
      <c r="VKU574" s="538"/>
      <c r="VKV574" s="539"/>
      <c r="VKW574" s="540"/>
      <c r="VKX574" s="209"/>
      <c r="VKY574" s="541"/>
      <c r="VKZ574" s="541"/>
      <c r="VLA574" s="482"/>
      <c r="VLB574" s="173"/>
      <c r="VLC574" s="173"/>
      <c r="VLD574" s="509"/>
      <c r="VLF574" s="148"/>
      <c r="VLG574" s="148"/>
      <c r="VLH574" s="149"/>
      <c r="VLI574" s="150"/>
      <c r="VLK574" s="152"/>
      <c r="VLL574" s="542"/>
      <c r="VLM574" s="154"/>
      <c r="VLN574" s="175"/>
      <c r="VLP574" s="156"/>
      <c r="VLQ574" s="287"/>
      <c r="VLR574" s="488"/>
      <c r="VLS574" s="489"/>
      <c r="VLT574" s="488"/>
      <c r="VLU574" s="300"/>
      <c r="VLV574" s="532"/>
      <c r="VLW574" s="533"/>
      <c r="VLX574" s="534"/>
      <c r="VLY574" s="316"/>
      <c r="VLZ574" s="316"/>
      <c r="VMA574" s="471"/>
      <c r="VMB574" s="472"/>
      <c r="VMC574" s="471"/>
      <c r="VMD574" s="473"/>
      <c r="VME574" s="313"/>
      <c r="VMF574" s="535"/>
      <c r="VMG574" s="536"/>
      <c r="VMH574" s="537"/>
      <c r="VMI574" s="538"/>
      <c r="VMJ574" s="539"/>
      <c r="VMK574" s="540"/>
      <c r="VML574" s="209"/>
      <c r="VMM574" s="541"/>
      <c r="VMN574" s="541"/>
      <c r="VMO574" s="482"/>
      <c r="VMP574" s="173"/>
      <c r="VMQ574" s="173"/>
      <c r="VMR574" s="509"/>
      <c r="VMT574" s="148"/>
      <c r="VMU574" s="148"/>
      <c r="VMV574" s="149"/>
      <c r="VMW574" s="150"/>
      <c r="VMY574" s="152"/>
      <c r="VMZ574" s="542"/>
      <c r="VNA574" s="154"/>
      <c r="VNB574" s="175"/>
      <c r="VND574" s="156"/>
      <c r="VNE574" s="287"/>
      <c r="VNF574" s="488"/>
      <c r="VNG574" s="489"/>
      <c r="VNH574" s="488"/>
      <c r="VNI574" s="300"/>
      <c r="VNJ574" s="532"/>
      <c r="VNK574" s="533"/>
      <c r="VNL574" s="534"/>
      <c r="VNM574" s="316"/>
      <c r="VNN574" s="316"/>
      <c r="VNO574" s="471"/>
      <c r="VNP574" s="472"/>
      <c r="VNQ574" s="471"/>
      <c r="VNR574" s="473"/>
      <c r="VNS574" s="313"/>
      <c r="VNT574" s="535"/>
      <c r="VNU574" s="536"/>
      <c r="VNV574" s="537"/>
      <c r="VNW574" s="538"/>
      <c r="VNX574" s="539"/>
      <c r="VNY574" s="540"/>
      <c r="VNZ574" s="209"/>
      <c r="VOA574" s="541"/>
      <c r="VOB574" s="541"/>
      <c r="VOC574" s="482"/>
      <c r="VOD574" s="173"/>
      <c r="VOE574" s="173"/>
      <c r="VOF574" s="509"/>
      <c r="VOH574" s="148"/>
      <c r="VOI574" s="148"/>
      <c r="VOJ574" s="149"/>
      <c r="VOK574" s="150"/>
      <c r="VOM574" s="152"/>
      <c r="VON574" s="542"/>
      <c r="VOO574" s="154"/>
      <c r="VOP574" s="175"/>
      <c r="VOR574" s="156"/>
      <c r="VOS574" s="287"/>
      <c r="VOT574" s="488"/>
      <c r="VOU574" s="489"/>
      <c r="VOV574" s="488"/>
      <c r="VOW574" s="300"/>
      <c r="VOX574" s="532"/>
      <c r="VOY574" s="533"/>
      <c r="VOZ574" s="534"/>
      <c r="VPA574" s="316"/>
      <c r="VPB574" s="316"/>
      <c r="VPC574" s="471"/>
      <c r="VPD574" s="472"/>
      <c r="VPE574" s="471"/>
      <c r="VPF574" s="473"/>
      <c r="VPG574" s="313"/>
      <c r="VPH574" s="535"/>
      <c r="VPI574" s="536"/>
      <c r="VPJ574" s="537"/>
      <c r="VPK574" s="538"/>
      <c r="VPL574" s="539"/>
      <c r="VPM574" s="540"/>
      <c r="VPN574" s="209"/>
      <c r="VPO574" s="541"/>
      <c r="VPP574" s="541"/>
      <c r="VPQ574" s="482"/>
      <c r="VPR574" s="173"/>
      <c r="VPS574" s="173"/>
      <c r="VPT574" s="509"/>
      <c r="VPV574" s="148"/>
      <c r="VPW574" s="148"/>
      <c r="VPX574" s="149"/>
      <c r="VPY574" s="150"/>
      <c r="VQA574" s="152"/>
      <c r="VQB574" s="542"/>
      <c r="VQC574" s="154"/>
      <c r="VQD574" s="175"/>
      <c r="VQF574" s="156"/>
      <c r="VQG574" s="287"/>
      <c r="VQH574" s="488"/>
      <c r="VQI574" s="489"/>
      <c r="VQJ574" s="488"/>
      <c r="VQK574" s="300"/>
      <c r="VQL574" s="532"/>
      <c r="VQM574" s="533"/>
      <c r="VQN574" s="534"/>
      <c r="VQO574" s="316"/>
      <c r="VQP574" s="316"/>
      <c r="VQQ574" s="471"/>
      <c r="VQR574" s="472"/>
      <c r="VQS574" s="471"/>
      <c r="VQT574" s="473"/>
      <c r="VQU574" s="313"/>
      <c r="VQV574" s="535"/>
      <c r="VQW574" s="536"/>
      <c r="VQX574" s="537"/>
      <c r="VQY574" s="538"/>
      <c r="VQZ574" s="539"/>
      <c r="VRA574" s="540"/>
      <c r="VRB574" s="209"/>
      <c r="VRC574" s="541"/>
      <c r="VRD574" s="541"/>
      <c r="VRE574" s="482"/>
      <c r="VRF574" s="173"/>
      <c r="VRG574" s="173"/>
      <c r="VRH574" s="509"/>
      <c r="VRJ574" s="148"/>
      <c r="VRK574" s="148"/>
      <c r="VRL574" s="149"/>
      <c r="VRM574" s="150"/>
      <c r="VRO574" s="152"/>
      <c r="VRP574" s="542"/>
      <c r="VRQ574" s="154"/>
      <c r="VRR574" s="175"/>
      <c r="VRT574" s="156"/>
      <c r="VRU574" s="287"/>
      <c r="VRV574" s="488"/>
      <c r="VRW574" s="489"/>
      <c r="VRX574" s="488"/>
      <c r="VRY574" s="300"/>
      <c r="VRZ574" s="532"/>
      <c r="VSA574" s="533"/>
      <c r="VSB574" s="534"/>
      <c r="VSC574" s="316"/>
      <c r="VSD574" s="316"/>
      <c r="VSE574" s="471"/>
      <c r="VSF574" s="472"/>
      <c r="VSG574" s="471"/>
      <c r="VSH574" s="473"/>
      <c r="VSI574" s="313"/>
      <c r="VSJ574" s="535"/>
      <c r="VSK574" s="536"/>
      <c r="VSL574" s="537"/>
      <c r="VSM574" s="538"/>
      <c r="VSN574" s="539"/>
      <c r="VSO574" s="540"/>
      <c r="VSP574" s="209"/>
      <c r="VSQ574" s="541"/>
      <c r="VSR574" s="541"/>
      <c r="VSS574" s="482"/>
      <c r="VST574" s="173"/>
      <c r="VSU574" s="173"/>
      <c r="VSV574" s="509"/>
      <c r="VSX574" s="148"/>
      <c r="VSY574" s="148"/>
      <c r="VSZ574" s="149"/>
      <c r="VTA574" s="150"/>
      <c r="VTC574" s="152"/>
      <c r="VTD574" s="542"/>
      <c r="VTE574" s="154"/>
      <c r="VTF574" s="175"/>
      <c r="VTH574" s="156"/>
      <c r="VTI574" s="287"/>
      <c r="VTJ574" s="488"/>
      <c r="VTK574" s="489"/>
      <c r="VTL574" s="488"/>
      <c r="VTM574" s="300"/>
      <c r="VTN574" s="532"/>
      <c r="VTO574" s="533"/>
      <c r="VTP574" s="534"/>
      <c r="VTQ574" s="316"/>
      <c r="VTR574" s="316"/>
      <c r="VTS574" s="471"/>
      <c r="VTT574" s="472"/>
      <c r="VTU574" s="471"/>
      <c r="VTV574" s="473"/>
      <c r="VTW574" s="313"/>
      <c r="VTX574" s="535"/>
      <c r="VTY574" s="536"/>
      <c r="VTZ574" s="537"/>
      <c r="VUA574" s="538"/>
      <c r="VUB574" s="539"/>
      <c r="VUC574" s="540"/>
      <c r="VUD574" s="209"/>
      <c r="VUE574" s="541"/>
      <c r="VUF574" s="541"/>
      <c r="VUG574" s="482"/>
      <c r="VUH574" s="173"/>
      <c r="VUI574" s="173"/>
      <c r="VUJ574" s="509"/>
      <c r="VUL574" s="148"/>
      <c r="VUM574" s="148"/>
      <c r="VUN574" s="149"/>
      <c r="VUO574" s="150"/>
      <c r="VUQ574" s="152"/>
      <c r="VUR574" s="542"/>
      <c r="VUS574" s="154"/>
      <c r="VUT574" s="175"/>
      <c r="VUV574" s="156"/>
      <c r="VUW574" s="287"/>
      <c r="VUX574" s="488"/>
      <c r="VUY574" s="489"/>
      <c r="VUZ574" s="488"/>
      <c r="VVA574" s="300"/>
      <c r="VVB574" s="532"/>
      <c r="VVC574" s="533"/>
      <c r="VVD574" s="534"/>
      <c r="VVE574" s="316"/>
      <c r="VVF574" s="316"/>
      <c r="VVG574" s="471"/>
      <c r="VVH574" s="472"/>
      <c r="VVI574" s="471"/>
      <c r="VVJ574" s="473"/>
      <c r="VVK574" s="313"/>
      <c r="VVL574" s="535"/>
      <c r="VVM574" s="536"/>
      <c r="VVN574" s="537"/>
      <c r="VVO574" s="538"/>
      <c r="VVP574" s="539"/>
      <c r="VVQ574" s="540"/>
      <c r="VVR574" s="209"/>
      <c r="VVS574" s="541"/>
      <c r="VVT574" s="541"/>
      <c r="VVU574" s="482"/>
      <c r="VVV574" s="173"/>
      <c r="VVW574" s="173"/>
      <c r="VVX574" s="509"/>
      <c r="VVZ574" s="148"/>
      <c r="VWA574" s="148"/>
      <c r="VWB574" s="149"/>
      <c r="VWC574" s="150"/>
      <c r="VWE574" s="152"/>
      <c r="VWF574" s="542"/>
      <c r="VWG574" s="154"/>
      <c r="VWH574" s="175"/>
      <c r="VWJ574" s="156"/>
      <c r="VWK574" s="287"/>
      <c r="VWL574" s="488"/>
      <c r="VWM574" s="489"/>
      <c r="VWN574" s="488"/>
      <c r="VWO574" s="300"/>
      <c r="VWP574" s="532"/>
      <c r="VWQ574" s="533"/>
      <c r="VWR574" s="534"/>
      <c r="VWS574" s="316"/>
      <c r="VWT574" s="316"/>
      <c r="VWU574" s="471"/>
      <c r="VWV574" s="472"/>
      <c r="VWW574" s="471"/>
      <c r="VWX574" s="473"/>
      <c r="VWY574" s="313"/>
      <c r="VWZ574" s="535"/>
      <c r="VXA574" s="536"/>
      <c r="VXB574" s="537"/>
      <c r="VXC574" s="538"/>
      <c r="VXD574" s="539"/>
      <c r="VXE574" s="540"/>
      <c r="VXF574" s="209"/>
      <c r="VXG574" s="541"/>
      <c r="VXH574" s="541"/>
      <c r="VXI574" s="482"/>
      <c r="VXJ574" s="173"/>
      <c r="VXK574" s="173"/>
      <c r="VXL574" s="509"/>
      <c r="VXN574" s="148"/>
      <c r="VXO574" s="148"/>
      <c r="VXP574" s="149"/>
      <c r="VXQ574" s="150"/>
      <c r="VXS574" s="152"/>
      <c r="VXT574" s="542"/>
      <c r="VXU574" s="154"/>
      <c r="VXV574" s="175"/>
      <c r="VXX574" s="156"/>
      <c r="VXY574" s="287"/>
      <c r="VXZ574" s="488"/>
      <c r="VYA574" s="489"/>
      <c r="VYB574" s="488"/>
      <c r="VYC574" s="300"/>
      <c r="VYD574" s="532"/>
      <c r="VYE574" s="533"/>
      <c r="VYF574" s="534"/>
      <c r="VYG574" s="316"/>
      <c r="VYH574" s="316"/>
      <c r="VYI574" s="471"/>
      <c r="VYJ574" s="472"/>
      <c r="VYK574" s="471"/>
      <c r="VYL574" s="473"/>
      <c r="VYM574" s="313"/>
      <c r="VYN574" s="535"/>
      <c r="VYO574" s="536"/>
      <c r="VYP574" s="537"/>
      <c r="VYQ574" s="538"/>
      <c r="VYR574" s="539"/>
      <c r="VYS574" s="540"/>
      <c r="VYT574" s="209"/>
      <c r="VYU574" s="541"/>
      <c r="VYV574" s="541"/>
      <c r="VYW574" s="482"/>
      <c r="VYX574" s="173"/>
      <c r="VYY574" s="173"/>
      <c r="VYZ574" s="509"/>
      <c r="VZB574" s="148"/>
      <c r="VZC574" s="148"/>
      <c r="VZD574" s="149"/>
      <c r="VZE574" s="150"/>
      <c r="VZG574" s="152"/>
      <c r="VZH574" s="542"/>
      <c r="VZI574" s="154"/>
      <c r="VZJ574" s="175"/>
      <c r="VZL574" s="156"/>
      <c r="VZM574" s="287"/>
      <c r="VZN574" s="488"/>
      <c r="VZO574" s="489"/>
      <c r="VZP574" s="488"/>
      <c r="VZQ574" s="300"/>
      <c r="VZR574" s="532"/>
      <c r="VZS574" s="533"/>
      <c r="VZT574" s="534"/>
      <c r="VZU574" s="316"/>
      <c r="VZV574" s="316"/>
      <c r="VZW574" s="471"/>
      <c r="VZX574" s="472"/>
      <c r="VZY574" s="471"/>
      <c r="VZZ574" s="473"/>
      <c r="WAA574" s="313"/>
      <c r="WAB574" s="535"/>
      <c r="WAC574" s="536"/>
      <c r="WAD574" s="537"/>
      <c r="WAE574" s="538"/>
      <c r="WAF574" s="539"/>
      <c r="WAG574" s="540"/>
      <c r="WAH574" s="209"/>
      <c r="WAI574" s="541"/>
      <c r="WAJ574" s="541"/>
      <c r="WAK574" s="482"/>
      <c r="WAL574" s="173"/>
      <c r="WAM574" s="173"/>
      <c r="WAN574" s="509"/>
      <c r="WAP574" s="148"/>
      <c r="WAQ574" s="148"/>
      <c r="WAR574" s="149"/>
      <c r="WAS574" s="150"/>
      <c r="WAU574" s="152"/>
      <c r="WAV574" s="542"/>
      <c r="WAW574" s="154"/>
      <c r="WAX574" s="175"/>
      <c r="WAZ574" s="156"/>
      <c r="WBA574" s="287"/>
      <c r="WBB574" s="488"/>
      <c r="WBC574" s="489"/>
      <c r="WBD574" s="488"/>
      <c r="WBE574" s="300"/>
      <c r="WBF574" s="532"/>
      <c r="WBG574" s="533"/>
      <c r="WBH574" s="534"/>
      <c r="WBI574" s="316"/>
      <c r="WBJ574" s="316"/>
      <c r="WBK574" s="471"/>
      <c r="WBL574" s="472"/>
      <c r="WBM574" s="471"/>
      <c r="WBN574" s="473"/>
      <c r="WBO574" s="313"/>
      <c r="WBP574" s="535"/>
      <c r="WBQ574" s="536"/>
      <c r="WBR574" s="537"/>
      <c r="WBS574" s="538"/>
      <c r="WBT574" s="539"/>
      <c r="WBU574" s="540"/>
      <c r="WBV574" s="209"/>
      <c r="WBW574" s="541"/>
      <c r="WBX574" s="541"/>
      <c r="WBY574" s="482"/>
      <c r="WBZ574" s="173"/>
      <c r="WCA574" s="173"/>
      <c r="WCB574" s="509"/>
      <c r="WCD574" s="148"/>
      <c r="WCE574" s="148"/>
      <c r="WCF574" s="149"/>
      <c r="WCG574" s="150"/>
      <c r="WCI574" s="152"/>
      <c r="WCJ574" s="542"/>
      <c r="WCK574" s="154"/>
      <c r="WCL574" s="175"/>
      <c r="WCN574" s="156"/>
      <c r="WCO574" s="287"/>
      <c r="WCP574" s="488"/>
      <c r="WCQ574" s="489"/>
      <c r="WCR574" s="488"/>
      <c r="WCS574" s="300"/>
      <c r="WCT574" s="532"/>
      <c r="WCU574" s="533"/>
      <c r="WCV574" s="534"/>
      <c r="WCW574" s="316"/>
      <c r="WCX574" s="316"/>
      <c r="WCY574" s="471"/>
      <c r="WCZ574" s="472"/>
      <c r="WDA574" s="471"/>
      <c r="WDB574" s="473"/>
      <c r="WDC574" s="313"/>
      <c r="WDD574" s="535"/>
      <c r="WDE574" s="536"/>
      <c r="WDF574" s="537"/>
      <c r="WDG574" s="538"/>
      <c r="WDH574" s="539"/>
      <c r="WDI574" s="540"/>
      <c r="WDJ574" s="209"/>
      <c r="WDK574" s="541"/>
      <c r="WDL574" s="541"/>
      <c r="WDM574" s="482"/>
      <c r="WDN574" s="173"/>
      <c r="WDO574" s="173"/>
      <c r="WDP574" s="509"/>
      <c r="WDR574" s="148"/>
      <c r="WDS574" s="148"/>
      <c r="WDT574" s="149"/>
      <c r="WDU574" s="150"/>
      <c r="WDW574" s="152"/>
      <c r="WDX574" s="542"/>
      <c r="WDY574" s="154"/>
      <c r="WDZ574" s="175"/>
      <c r="WEB574" s="156"/>
      <c r="WEC574" s="287"/>
      <c r="WED574" s="488"/>
      <c r="WEE574" s="489"/>
      <c r="WEF574" s="488"/>
      <c r="WEG574" s="300"/>
      <c r="WEH574" s="532"/>
      <c r="WEI574" s="533"/>
      <c r="WEJ574" s="534"/>
      <c r="WEK574" s="316"/>
      <c r="WEL574" s="316"/>
      <c r="WEM574" s="471"/>
      <c r="WEN574" s="472"/>
      <c r="WEO574" s="471"/>
      <c r="WEP574" s="473"/>
      <c r="WEQ574" s="313"/>
      <c r="WER574" s="535"/>
      <c r="WES574" s="536"/>
      <c r="WET574" s="537"/>
      <c r="WEU574" s="538"/>
      <c r="WEV574" s="539"/>
      <c r="WEW574" s="540"/>
      <c r="WEX574" s="209"/>
      <c r="WEY574" s="541"/>
      <c r="WEZ574" s="541"/>
      <c r="WFA574" s="482"/>
      <c r="WFB574" s="173"/>
      <c r="WFC574" s="173"/>
      <c r="WFD574" s="509"/>
      <c r="WFF574" s="148"/>
      <c r="WFG574" s="148"/>
      <c r="WFH574" s="149"/>
      <c r="WFI574" s="150"/>
      <c r="WFK574" s="152"/>
      <c r="WFL574" s="542"/>
      <c r="WFM574" s="154"/>
      <c r="WFN574" s="175"/>
      <c r="WFP574" s="156"/>
      <c r="WFQ574" s="287"/>
      <c r="WFR574" s="488"/>
      <c r="WFS574" s="489"/>
      <c r="WFT574" s="488"/>
      <c r="WFU574" s="300"/>
      <c r="WFV574" s="532"/>
      <c r="WFW574" s="533"/>
      <c r="WFX574" s="534"/>
      <c r="WFY574" s="316"/>
      <c r="WFZ574" s="316"/>
      <c r="WGA574" s="471"/>
      <c r="WGB574" s="472"/>
      <c r="WGC574" s="471"/>
      <c r="WGD574" s="473"/>
      <c r="WGE574" s="313"/>
      <c r="WGF574" s="535"/>
      <c r="WGG574" s="536"/>
      <c r="WGH574" s="537"/>
      <c r="WGI574" s="538"/>
      <c r="WGJ574" s="539"/>
      <c r="WGK574" s="540"/>
      <c r="WGL574" s="209"/>
      <c r="WGM574" s="541"/>
      <c r="WGN574" s="541"/>
      <c r="WGO574" s="482"/>
      <c r="WGP574" s="173"/>
      <c r="WGQ574" s="173"/>
      <c r="WGR574" s="509"/>
      <c r="WGT574" s="148"/>
      <c r="WGU574" s="148"/>
      <c r="WGV574" s="149"/>
      <c r="WGW574" s="150"/>
      <c r="WGY574" s="152"/>
      <c r="WGZ574" s="542"/>
      <c r="WHA574" s="154"/>
      <c r="WHB574" s="175"/>
      <c r="WHD574" s="156"/>
      <c r="WHE574" s="287"/>
      <c r="WHF574" s="488"/>
      <c r="WHG574" s="489"/>
      <c r="WHH574" s="488"/>
      <c r="WHI574" s="300"/>
      <c r="WHJ574" s="532"/>
      <c r="WHK574" s="533"/>
      <c r="WHL574" s="534"/>
      <c r="WHM574" s="316"/>
      <c r="WHN574" s="316"/>
      <c r="WHO574" s="471"/>
      <c r="WHP574" s="472"/>
      <c r="WHQ574" s="471"/>
      <c r="WHR574" s="473"/>
      <c r="WHS574" s="313"/>
      <c r="WHT574" s="535"/>
      <c r="WHU574" s="536"/>
      <c r="WHV574" s="537"/>
      <c r="WHW574" s="538"/>
      <c r="WHX574" s="539"/>
      <c r="WHY574" s="540"/>
      <c r="WHZ574" s="209"/>
      <c r="WIA574" s="541"/>
      <c r="WIB574" s="541"/>
      <c r="WIC574" s="482"/>
      <c r="WID574" s="173"/>
      <c r="WIE574" s="173"/>
      <c r="WIF574" s="509"/>
      <c r="WIH574" s="148"/>
      <c r="WII574" s="148"/>
      <c r="WIJ574" s="149"/>
      <c r="WIK574" s="150"/>
      <c r="WIM574" s="152"/>
      <c r="WIN574" s="542"/>
      <c r="WIO574" s="154"/>
      <c r="WIP574" s="175"/>
      <c r="WIR574" s="156"/>
      <c r="WIS574" s="287"/>
      <c r="WIT574" s="488"/>
      <c r="WIU574" s="489"/>
      <c r="WIV574" s="488"/>
      <c r="WIW574" s="300"/>
      <c r="WIX574" s="532"/>
      <c r="WIY574" s="533"/>
      <c r="WIZ574" s="534"/>
      <c r="WJA574" s="316"/>
      <c r="WJB574" s="316"/>
      <c r="WJC574" s="471"/>
      <c r="WJD574" s="472"/>
      <c r="WJE574" s="471"/>
      <c r="WJF574" s="473"/>
      <c r="WJG574" s="313"/>
      <c r="WJH574" s="535"/>
      <c r="WJI574" s="536"/>
      <c r="WJJ574" s="537"/>
      <c r="WJK574" s="538"/>
      <c r="WJL574" s="539"/>
      <c r="WJM574" s="540"/>
      <c r="WJN574" s="209"/>
      <c r="WJO574" s="541"/>
      <c r="WJP574" s="541"/>
      <c r="WJQ574" s="482"/>
      <c r="WJR574" s="173"/>
      <c r="WJS574" s="173"/>
      <c r="WJT574" s="509"/>
      <c r="WJV574" s="148"/>
      <c r="WJW574" s="148"/>
      <c r="WJX574" s="149"/>
      <c r="WJY574" s="150"/>
      <c r="WKA574" s="152"/>
      <c r="WKB574" s="542"/>
      <c r="WKC574" s="154"/>
      <c r="WKD574" s="175"/>
      <c r="WKF574" s="156"/>
      <c r="WKG574" s="287"/>
      <c r="WKH574" s="488"/>
      <c r="WKI574" s="489"/>
      <c r="WKJ574" s="488"/>
      <c r="WKK574" s="300"/>
      <c r="WKL574" s="532"/>
      <c r="WKM574" s="533"/>
      <c r="WKN574" s="534"/>
      <c r="WKO574" s="316"/>
      <c r="WKP574" s="316"/>
      <c r="WKQ574" s="471"/>
      <c r="WKR574" s="472"/>
      <c r="WKS574" s="471"/>
      <c r="WKT574" s="473"/>
      <c r="WKU574" s="313"/>
      <c r="WKV574" s="535"/>
      <c r="WKW574" s="536"/>
      <c r="WKX574" s="537"/>
      <c r="WKY574" s="538"/>
      <c r="WKZ574" s="539"/>
      <c r="WLA574" s="540"/>
      <c r="WLB574" s="209"/>
      <c r="WLC574" s="541"/>
      <c r="WLD574" s="541"/>
      <c r="WLE574" s="482"/>
      <c r="WLF574" s="173"/>
      <c r="WLG574" s="173"/>
      <c r="WLH574" s="509"/>
      <c r="WLJ574" s="148"/>
      <c r="WLK574" s="148"/>
      <c r="WLL574" s="149"/>
      <c r="WLM574" s="150"/>
      <c r="WLO574" s="152"/>
      <c r="WLP574" s="542"/>
      <c r="WLQ574" s="154"/>
      <c r="WLR574" s="175"/>
      <c r="WLT574" s="156"/>
      <c r="WLU574" s="287"/>
      <c r="WLV574" s="488"/>
      <c r="WLW574" s="489"/>
      <c r="WLX574" s="488"/>
      <c r="WLY574" s="300"/>
      <c r="WLZ574" s="532"/>
      <c r="WMA574" s="533"/>
      <c r="WMB574" s="534"/>
      <c r="WMC574" s="316"/>
      <c r="WMD574" s="316"/>
      <c r="WME574" s="471"/>
      <c r="WMF574" s="472"/>
      <c r="WMG574" s="471"/>
      <c r="WMH574" s="473"/>
      <c r="WMI574" s="313"/>
      <c r="WMJ574" s="535"/>
      <c r="WMK574" s="536"/>
      <c r="WML574" s="537"/>
      <c r="WMM574" s="538"/>
      <c r="WMN574" s="539"/>
      <c r="WMO574" s="540"/>
      <c r="WMP574" s="209"/>
      <c r="WMQ574" s="541"/>
      <c r="WMR574" s="541"/>
      <c r="WMS574" s="482"/>
      <c r="WMT574" s="173"/>
      <c r="WMU574" s="173"/>
      <c r="WMV574" s="509"/>
      <c r="WMX574" s="148"/>
      <c r="WMY574" s="148"/>
      <c r="WMZ574" s="149"/>
      <c r="WNA574" s="150"/>
      <c r="WNC574" s="152"/>
      <c r="WND574" s="542"/>
      <c r="WNE574" s="154"/>
      <c r="WNF574" s="175"/>
      <c r="WNH574" s="156"/>
      <c r="WNI574" s="287"/>
      <c r="WNJ574" s="488"/>
      <c r="WNK574" s="489"/>
      <c r="WNL574" s="488"/>
      <c r="WNM574" s="300"/>
      <c r="WNN574" s="532"/>
      <c r="WNO574" s="533"/>
      <c r="WNP574" s="534"/>
      <c r="WNQ574" s="316"/>
      <c r="WNR574" s="316"/>
      <c r="WNS574" s="471"/>
      <c r="WNT574" s="472"/>
      <c r="WNU574" s="471"/>
      <c r="WNV574" s="473"/>
      <c r="WNW574" s="313"/>
      <c r="WNX574" s="535"/>
      <c r="WNY574" s="536"/>
      <c r="WNZ574" s="537"/>
      <c r="WOA574" s="538"/>
      <c r="WOB574" s="539"/>
      <c r="WOC574" s="540"/>
      <c r="WOD574" s="209"/>
      <c r="WOE574" s="541"/>
      <c r="WOF574" s="541"/>
      <c r="WOG574" s="482"/>
      <c r="WOH574" s="173"/>
      <c r="WOI574" s="173"/>
      <c r="WOJ574" s="509"/>
      <c r="WOL574" s="148"/>
      <c r="WOM574" s="148"/>
      <c r="WON574" s="149"/>
      <c r="WOO574" s="150"/>
      <c r="WOQ574" s="152"/>
      <c r="WOR574" s="542"/>
      <c r="WOS574" s="154"/>
      <c r="WOT574" s="175"/>
      <c r="WOV574" s="156"/>
      <c r="WOW574" s="287"/>
      <c r="WOX574" s="488"/>
      <c r="WOY574" s="489"/>
      <c r="WOZ574" s="488"/>
      <c r="WPA574" s="300"/>
      <c r="WPB574" s="532"/>
      <c r="WPC574" s="533"/>
      <c r="WPD574" s="534"/>
      <c r="WPE574" s="316"/>
      <c r="WPF574" s="316"/>
      <c r="WPG574" s="471"/>
      <c r="WPH574" s="472"/>
      <c r="WPI574" s="471"/>
      <c r="WPJ574" s="473"/>
      <c r="WPK574" s="313"/>
      <c r="WPL574" s="535"/>
      <c r="WPM574" s="536"/>
      <c r="WPN574" s="537"/>
      <c r="WPO574" s="538"/>
      <c r="WPP574" s="539"/>
      <c r="WPQ574" s="540"/>
      <c r="WPR574" s="209"/>
      <c r="WPS574" s="541"/>
      <c r="WPT574" s="541"/>
      <c r="WPU574" s="482"/>
      <c r="WPV574" s="173"/>
      <c r="WPW574" s="173"/>
      <c r="WPX574" s="509"/>
      <c r="WPZ574" s="148"/>
      <c r="WQA574" s="148"/>
      <c r="WQB574" s="149"/>
      <c r="WQC574" s="150"/>
      <c r="WQE574" s="152"/>
      <c r="WQF574" s="542"/>
      <c r="WQG574" s="154"/>
      <c r="WQH574" s="175"/>
      <c r="WQJ574" s="156"/>
      <c r="WQK574" s="287"/>
      <c r="WQL574" s="488"/>
      <c r="WQM574" s="489"/>
      <c r="WQN574" s="488"/>
      <c r="WQO574" s="300"/>
      <c r="WQP574" s="532"/>
      <c r="WQQ574" s="533"/>
      <c r="WQR574" s="534"/>
      <c r="WQS574" s="316"/>
      <c r="WQT574" s="316"/>
      <c r="WQU574" s="471"/>
      <c r="WQV574" s="472"/>
      <c r="WQW574" s="471"/>
      <c r="WQX574" s="473"/>
      <c r="WQY574" s="313"/>
      <c r="WQZ574" s="535"/>
      <c r="WRA574" s="536"/>
      <c r="WRB574" s="537"/>
      <c r="WRC574" s="538"/>
      <c r="WRD574" s="539"/>
      <c r="WRE574" s="540"/>
      <c r="WRF574" s="209"/>
      <c r="WRG574" s="541"/>
      <c r="WRH574" s="541"/>
      <c r="WRI574" s="482"/>
      <c r="WRJ574" s="173"/>
      <c r="WRK574" s="173"/>
      <c r="WRL574" s="509"/>
      <c r="WRN574" s="148"/>
      <c r="WRO574" s="148"/>
      <c r="WRP574" s="149"/>
      <c r="WRQ574" s="150"/>
      <c r="WRS574" s="152"/>
      <c r="WRT574" s="542"/>
      <c r="WRU574" s="154"/>
      <c r="WRV574" s="175"/>
      <c r="WRX574" s="156"/>
      <c r="WRY574" s="287"/>
      <c r="WRZ574" s="488"/>
      <c r="WSA574" s="489"/>
      <c r="WSB574" s="488"/>
      <c r="WSC574" s="300"/>
      <c r="WSD574" s="532"/>
      <c r="WSE574" s="533"/>
      <c r="WSF574" s="534"/>
      <c r="WSG574" s="316"/>
      <c r="WSH574" s="316"/>
      <c r="WSI574" s="471"/>
      <c r="WSJ574" s="472"/>
      <c r="WSK574" s="471"/>
      <c r="WSL574" s="473"/>
      <c r="WSM574" s="313"/>
      <c r="WSN574" s="535"/>
      <c r="WSO574" s="536"/>
      <c r="WSP574" s="537"/>
      <c r="WSQ574" s="538"/>
      <c r="WSR574" s="539"/>
      <c r="WSS574" s="540"/>
      <c r="WST574" s="209"/>
      <c r="WSU574" s="541"/>
      <c r="WSV574" s="541"/>
      <c r="WSW574" s="482"/>
      <c r="WSX574" s="173"/>
      <c r="WSY574" s="173"/>
      <c r="WSZ574" s="509"/>
      <c r="WTB574" s="148"/>
      <c r="WTC574" s="148"/>
      <c r="WTD574" s="149"/>
      <c r="WTE574" s="150"/>
      <c r="WTG574" s="152"/>
      <c r="WTH574" s="542"/>
      <c r="WTI574" s="154"/>
      <c r="WTJ574" s="175"/>
      <c r="WTL574" s="156"/>
      <c r="WTM574" s="287"/>
      <c r="WTN574" s="488"/>
      <c r="WTO574" s="489"/>
      <c r="WTP574" s="488"/>
      <c r="WTQ574" s="300"/>
      <c r="WTR574" s="532"/>
      <c r="WTS574" s="533"/>
      <c r="WTT574" s="534"/>
      <c r="WTU574" s="316"/>
      <c r="WTV574" s="316"/>
      <c r="WTW574" s="471"/>
      <c r="WTX574" s="472"/>
      <c r="WTY574" s="471"/>
      <c r="WTZ574" s="473"/>
      <c r="WUA574" s="313"/>
      <c r="WUB574" s="535"/>
      <c r="WUC574" s="536"/>
      <c r="WUD574" s="537"/>
      <c r="WUE574" s="538"/>
      <c r="WUF574" s="539"/>
      <c r="WUG574" s="540"/>
      <c r="WUH574" s="209"/>
      <c r="WUI574" s="541"/>
      <c r="WUJ574" s="541"/>
      <c r="WUK574" s="482"/>
      <c r="WUL574" s="173"/>
      <c r="WUM574" s="173"/>
      <c r="WUN574" s="509"/>
      <c r="WUP574" s="148"/>
      <c r="WUQ574" s="148"/>
      <c r="WUR574" s="149"/>
      <c r="WUS574" s="150"/>
      <c r="WUU574" s="152"/>
      <c r="WUV574" s="542"/>
      <c r="WUW574" s="154"/>
      <c r="WUX574" s="175"/>
      <c r="WUZ574" s="156"/>
      <c r="WVA574" s="287"/>
      <c r="WVB574" s="488"/>
      <c r="WVC574" s="489"/>
      <c r="WVD574" s="488"/>
      <c r="WVE574" s="300"/>
      <c r="WVF574" s="532"/>
      <c r="WVG574" s="533"/>
      <c r="WVH574" s="534"/>
      <c r="WVI574" s="316"/>
      <c r="WVJ574" s="316"/>
      <c r="WVK574" s="471"/>
      <c r="WVL574" s="472"/>
      <c r="WVM574" s="471"/>
      <c r="WVN574" s="473"/>
      <c r="WVO574" s="313"/>
      <c r="WVP574" s="535"/>
      <c r="WVQ574" s="536"/>
      <c r="WVR574" s="537"/>
      <c r="WVS574" s="538"/>
      <c r="WVT574" s="539"/>
      <c r="WVU574" s="540"/>
      <c r="WVV574" s="209"/>
      <c r="WVW574" s="541"/>
      <c r="WVX574" s="541"/>
      <c r="WVY574" s="482"/>
      <c r="WVZ574" s="173"/>
      <c r="WWA574" s="173"/>
      <c r="WWB574" s="509"/>
      <c r="WWD574" s="148"/>
      <c r="WWE574" s="148"/>
      <c r="WWF574" s="149"/>
      <c r="WWG574" s="150"/>
      <c r="WWI574" s="152"/>
      <c r="WWJ574" s="542"/>
      <c r="WWK574" s="154"/>
      <c r="WWL574" s="175"/>
      <c r="WWN574" s="156"/>
      <c r="WWO574" s="287"/>
      <c r="WWP574" s="488"/>
      <c r="WWQ574" s="489"/>
      <c r="WWR574" s="488"/>
      <c r="WWS574" s="300"/>
      <c r="WWT574" s="532"/>
      <c r="WWU574" s="533"/>
      <c r="WWV574" s="534"/>
      <c r="WWW574" s="316"/>
      <c r="WWX574" s="316"/>
      <c r="WWY574" s="471"/>
      <c r="WWZ574" s="472"/>
      <c r="WXA574" s="471"/>
      <c r="WXB574" s="473"/>
      <c r="WXC574" s="313"/>
      <c r="WXD574" s="535"/>
      <c r="WXE574" s="536"/>
      <c r="WXF574" s="537"/>
      <c r="WXG574" s="538"/>
      <c r="WXH574" s="539"/>
      <c r="WXI574" s="540"/>
      <c r="WXJ574" s="209"/>
      <c r="WXK574" s="541"/>
      <c r="WXL574" s="541"/>
      <c r="WXM574" s="482"/>
      <c r="WXN574" s="173"/>
      <c r="WXO574" s="173"/>
      <c r="WXP574" s="509"/>
      <c r="WXR574" s="148"/>
      <c r="WXS574" s="148"/>
      <c r="WXT574" s="149"/>
      <c r="WXU574" s="150"/>
      <c r="WXW574" s="152"/>
      <c r="WXX574" s="542"/>
      <c r="WXY574" s="154"/>
      <c r="WXZ574" s="175"/>
      <c r="WYB574" s="156"/>
      <c r="WYC574" s="287"/>
      <c r="WYD574" s="488"/>
      <c r="WYE574" s="489"/>
      <c r="WYF574" s="488"/>
      <c r="WYG574" s="300"/>
      <c r="WYH574" s="532"/>
      <c r="WYI574" s="533"/>
      <c r="WYJ574" s="534"/>
      <c r="WYK574" s="316"/>
      <c r="WYL574" s="316"/>
      <c r="WYM574" s="471"/>
      <c r="WYN574" s="472"/>
      <c r="WYO574" s="471"/>
      <c r="WYP574" s="473"/>
      <c r="WYQ574" s="313"/>
      <c r="WYR574" s="535"/>
      <c r="WYS574" s="536"/>
      <c r="WYT574" s="537"/>
      <c r="WYU574" s="538"/>
      <c r="WYV574" s="539"/>
      <c r="WYW574" s="540"/>
      <c r="WYX574" s="209"/>
      <c r="WYY574" s="541"/>
      <c r="WYZ574" s="541"/>
      <c r="WZA574" s="482"/>
      <c r="WZB574" s="173"/>
      <c r="WZC574" s="173"/>
      <c r="WZD574" s="509"/>
      <c r="WZF574" s="148"/>
      <c r="WZG574" s="148"/>
      <c r="WZH574" s="149"/>
      <c r="WZI574" s="150"/>
      <c r="WZK574" s="152"/>
      <c r="WZL574" s="542"/>
      <c r="WZM574" s="154"/>
      <c r="WZN574" s="175"/>
      <c r="WZP574" s="156"/>
      <c r="WZQ574" s="287"/>
      <c r="WZR574" s="488"/>
      <c r="WZS574" s="489"/>
      <c r="WZT574" s="488"/>
      <c r="WZU574" s="300"/>
      <c r="WZV574" s="532"/>
      <c r="WZW574" s="533"/>
      <c r="WZX574" s="534"/>
      <c r="WZY574" s="316"/>
      <c r="WZZ574" s="316"/>
      <c r="XAA574" s="471"/>
      <c r="XAB574" s="472"/>
      <c r="XAC574" s="471"/>
      <c r="XAD574" s="473"/>
      <c r="XAE574" s="313"/>
      <c r="XAF574" s="535"/>
      <c r="XAG574" s="536"/>
      <c r="XAH574" s="537"/>
      <c r="XAI574" s="538"/>
      <c r="XAJ574" s="539"/>
      <c r="XAK574" s="540"/>
      <c r="XAL574" s="209"/>
      <c r="XAM574" s="541"/>
      <c r="XAN574" s="541"/>
      <c r="XAO574" s="482"/>
      <c r="XAP574" s="173"/>
      <c r="XAQ574" s="173"/>
      <c r="XAR574" s="509"/>
      <c r="XAT574" s="148"/>
      <c r="XAU574" s="148"/>
      <c r="XAV574" s="149"/>
      <c r="XAW574" s="150"/>
      <c r="XAY574" s="152"/>
      <c r="XAZ574" s="542"/>
      <c r="XBA574" s="154"/>
      <c r="XBB574" s="175"/>
      <c r="XBD574" s="156"/>
      <c r="XBE574" s="287"/>
      <c r="XBF574" s="488"/>
      <c r="XBG574" s="489"/>
      <c r="XBH574" s="488"/>
      <c r="XBI574" s="300"/>
      <c r="XBJ574" s="532"/>
      <c r="XBK574" s="533"/>
      <c r="XBL574" s="534"/>
      <c r="XBM574" s="316"/>
      <c r="XBN574" s="316"/>
      <c r="XBO574" s="471"/>
      <c r="XBP574" s="472"/>
      <c r="XBQ574" s="471"/>
      <c r="XBR574" s="473"/>
      <c r="XBS574" s="313"/>
      <c r="XBT574" s="535"/>
      <c r="XBU574" s="536"/>
      <c r="XBV574" s="537"/>
      <c r="XBW574" s="538"/>
      <c r="XBX574" s="539"/>
      <c r="XBY574" s="540"/>
      <c r="XBZ574" s="209"/>
      <c r="XCA574" s="541"/>
      <c r="XCB574" s="541"/>
      <c r="XCC574" s="482"/>
      <c r="XCD574" s="173"/>
      <c r="XCE574" s="173"/>
      <c r="XCF574" s="509"/>
      <c r="XCH574" s="148"/>
      <c r="XCI574" s="148"/>
      <c r="XCJ574" s="149"/>
      <c r="XCK574" s="150"/>
      <c r="XCM574" s="152"/>
      <c r="XCN574" s="542"/>
      <c r="XCO574" s="154"/>
      <c r="XCP574" s="175"/>
      <c r="XCR574" s="156"/>
      <c r="XCS574" s="287"/>
      <c r="XCT574" s="488"/>
      <c r="XCU574" s="489"/>
      <c r="XCV574" s="488"/>
      <c r="XCW574" s="300"/>
      <c r="XCX574" s="532"/>
      <c r="XCY574" s="533"/>
      <c r="XCZ574" s="534"/>
      <c r="XDA574" s="316"/>
      <c r="XDB574" s="316"/>
      <c r="XDC574" s="471"/>
      <c r="XDD574" s="472"/>
      <c r="XDE574" s="471"/>
      <c r="XDF574" s="473"/>
      <c r="XDG574" s="313"/>
      <c r="XDH574" s="535"/>
      <c r="XDI574" s="536"/>
      <c r="XDJ574" s="537"/>
      <c r="XDK574" s="538"/>
      <c r="XDL574" s="539"/>
      <c r="XDM574" s="540"/>
      <c r="XDN574" s="209"/>
      <c r="XDO574" s="541"/>
      <c r="XDP574" s="541"/>
      <c r="XDQ574" s="482"/>
      <c r="XDR574" s="173"/>
      <c r="XDS574" s="173"/>
      <c r="XDT574" s="509"/>
      <c r="XDV574" s="148"/>
      <c r="XDW574" s="148"/>
      <c r="XDX574" s="149"/>
      <c r="XDY574" s="150"/>
      <c r="XEA574" s="152"/>
      <c r="XEB574" s="542"/>
      <c r="XEC574" s="154"/>
      <c r="XED574" s="175"/>
      <c r="XEF574" s="156"/>
      <c r="XEG574" s="287"/>
      <c r="XEH574" s="488"/>
      <c r="XEI574" s="489"/>
      <c r="XEJ574" s="488"/>
      <c r="XEK574" s="300"/>
      <c r="XEL574" s="532"/>
      <c r="XEM574" s="533"/>
      <c r="XEN574" s="534"/>
      <c r="XEO574" s="316"/>
      <c r="XEP574" s="316"/>
      <c r="XEQ574" s="471"/>
      <c r="XER574" s="472"/>
      <c r="XES574" s="471"/>
      <c r="XET574" s="473"/>
      <c r="XEU574" s="313"/>
      <c r="XEV574" s="535"/>
      <c r="XEW574" s="536"/>
      <c r="XEX574" s="537"/>
      <c r="XEY574" s="538"/>
      <c r="XEZ574" s="539"/>
      <c r="XFA574" s="540"/>
      <c r="XFB574" s="209"/>
    </row>
    <row r="575" spans="1:16382" ht="34.5" customHeight="1">
      <c r="A575" s="147">
        <v>1249</v>
      </c>
      <c r="B575" s="499">
        <v>452</v>
      </c>
      <c r="C575" s="162" t="s">
        <v>2193</v>
      </c>
      <c r="D575" s="227" t="s">
        <v>583</v>
      </c>
      <c r="E575" s="440" t="s">
        <v>2148</v>
      </c>
      <c r="F575" s="227" t="s">
        <v>1767</v>
      </c>
      <c r="G575" s="281" t="s">
        <v>1068</v>
      </c>
      <c r="H575" s="436">
        <v>890906266</v>
      </c>
      <c r="I575" s="273" t="s">
        <v>2829</v>
      </c>
      <c r="J575" s="505">
        <v>100000000</v>
      </c>
      <c r="K575" s="147"/>
      <c r="L575" s="166" t="s">
        <v>2616</v>
      </c>
      <c r="M575" s="194" t="s">
        <v>592</v>
      </c>
      <c r="N575" s="177" t="e" cm="1">
        <f t="array" aca="1" ref="N575" ca="1">_xlfn.XLOOKUP(Contrato5[[#This Row],[SUPERVISOR TITULAR]],[2]!PERSONAL_ACTIVO_2024[[#All],[Nombre completo]],[2]!PERSONAL_ACTIVO_2024[[#All],[Documento identidad]],"",0)</f>
        <v>#NAME?</v>
      </c>
      <c r="O575" s="194" t="s">
        <v>600</v>
      </c>
      <c r="P575" s="196" t="e" cm="1">
        <f t="array" aca="1" ref="P575" ca="1">_xlfn.XLOOKUP(Contrato5[[#This Row],[SUPERVISOR SUPLENTE ]],[2]!PERSONAL_ACTIVO_2024[[#All],[Nombre completo]],[2]!PERSONAL_ACTIVO_2024[[#All],[Documento identidad]],"",0)</f>
        <v>#NAME?</v>
      </c>
      <c r="Q575" s="170">
        <v>1068</v>
      </c>
      <c r="R575" s="137" t="e" cm="1">
        <f t="array" aca="1" ref="R575" ca="1">_xlfn.XLOOKUP(Contrato5[[#This Row],[CDP]],[2]!DISPONIBILIDADES_2024[[#All],[consecutivo]],[2]!DISPONIBILIDADES_2024[[#All],[fecha_aprobacion]],"",0)</f>
        <v>#NAME?</v>
      </c>
      <c r="S575" s="138" t="e">
        <f>SUMIF([2]!DISPONIBILIDADES_2024[[#All],[consecutivo]],Contrato5[[#This Row],[CDP]],[2]!DISPONIBILIDADES_2024[[#All],[valor_total_rubro]])</f>
        <v>#REF!</v>
      </c>
      <c r="T575" s="139" t="e" cm="1">
        <f t="array" aca="1" ref="T575" ca="1">_xlfn.XLOOKUP(Contrato5[[#This Row],[CONTRATO]]&amp;Contrato5[[#This Row],[CDP]],[2]!Corr_Contr_CDP[[#All],[CONTRATO-CDP]],[2]!Corr_Contr_CDP[[#All],[CRP]],_xlfn.XLOOKUP(Contrato5[[#This Row],[CDP]],[2]!COMPROMISOS_2024[[#All],[disponibilidad]],[2]!COMPROMISOS_2024[[#All],[consecutivo]],"",0),0)</f>
        <v>#NAME?</v>
      </c>
      <c r="U575" s="140" t="e" cm="1">
        <f t="array" aca="1" ref="U575" ca="1">+_xlfn.XLOOKUP(Contrato5[[#This Row],[RCP]],[2]!COMPROMISOS_2024[[#All],[consecutivo]],[2]!COMPROMISOS_2024[[#All],[fecha_aprobacion]],"",0)</f>
        <v>#NAME?</v>
      </c>
      <c r="V575" s="141" t="e">
        <f ca="1">SUMIF([2]!COMPROMISOS_2024[[#All],[consecutivo]],Contrato5[[#This Row],[RCP]],[2]!COMPROMISOS_2024[[#All],[valor_total]])</f>
        <v>#REF!</v>
      </c>
      <c r="W575" s="160"/>
      <c r="X575" s="161"/>
      <c r="Y575" s="143">
        <v>45504</v>
      </c>
      <c r="Z575" s="262">
        <v>45656</v>
      </c>
      <c r="AA575" s="225"/>
      <c r="AB575" s="172" t="s">
        <v>42</v>
      </c>
      <c r="AC575" s="127"/>
      <c r="AD575" s="211"/>
      <c r="AE575" s="147"/>
      <c r="AF575" s="148" t="str">
        <f>TEXT(LEFT(Contrato5[[#This Row],[CONTRATO]],3),"0")</f>
        <v>452</v>
      </c>
      <c r="AG575" s="148" t="str">
        <f>IF(LEN(Contrato5[[#This Row],[Contrato2]])=3,Contrato5[[#This Row],[Contrato2]],TEXT(Contrato5[[#This Row],[Contrato2]],"000"))</f>
        <v>452</v>
      </c>
      <c r="AH575" s="149">
        <f ca="1">IFERROR(_xlfn.DAYS(Contrato5[[#This Row],[Fecha Proyectada liquidación]],TODAY())/30,"")</f>
        <v>0.6</v>
      </c>
      <c r="AI575" s="150">
        <f>+Contrato5[[#This Row],[FECHA TERMINACIÓN ]]+120</f>
        <v>45776</v>
      </c>
      <c r="AJ575" s="147"/>
      <c r="AK575" s="152" t="str">
        <f ca="1">IF(Contrato5[[#This Row],[FECHA TERMINACIÓN ]]&lt;TODAY(), "Terminado",IF(ISNUMBER(Contrato5[[#This Row],[Fecha Real de liquiidación ]]),"Liquidado",IF(Contrato5[[#This Row],[FECHA TERMINACIÓN ]]&gt;=TODAY(),"En ejecución","")))</f>
        <v>Terminado</v>
      </c>
      <c r="AL575" s="153" t="e">
        <f ca="1">SUMIF([2]!COMPROMISOS_2024[[#All],[consecutivo]],Contrato5[[#This Row],[RCP]],[2]!COMPROMISOS_2024[[#All],[Total pagado]])</f>
        <v>#REF!</v>
      </c>
      <c r="AM575" s="154">
        <f ca="1">IFERROR(Contrato5[[#This Row],[Pagos]]/Contrato5[[#This Row],[VALOR CONTRATO]],0)</f>
        <v>0</v>
      </c>
      <c r="AN575" s="198" t="e">
        <f ca="1">+Contrato5[[#This Row],[VALOR CONTRATO]]-Contrato5[[#This Row],[Pagos]]</f>
        <v>#REF!</v>
      </c>
      <c r="AO575" s="125" t="e" cm="1">
        <f t="array" aca="1" ref="AO575" ca="1">_xlfn.XLOOKUP(Contrato5[[#This Row],[DOCUMENTO ]],[2]!PERSONAL_ACTIVO_2024[[#All],[Documento identidad]],[2]!PERSONAL_ACTIVO_2024[[#All],[Mail ]],0,0)</f>
        <v>#NAME?</v>
      </c>
      <c r="AP575" s="124" t="e" cm="1">
        <f t="array" aca="1" ref="AP575" ca="1">_xlfn.XLOOKUP(Contrato5[[#This Row],[DOCUMENTO]],[2]!PERSONAL_ACTIVO_2024[[#All],[Documento identidad]],[2]!PERSONAL_ACTIVO_2024[[#All],[Mail ]],0,0)</f>
        <v>#NAME?</v>
      </c>
      <c r="AQ575" s="531" cm="1">
        <f t="array" aca="1" ref="AQ575" ca="1">IF(ISBLANK(Contrato5[[#This Row],[DEPENDENCIA ]]),0,IFERROR(_xlfn.XLOOKUP(Contrato5[[#This Row],[DEPENDENCIA ]],[2]!PERSONAL_ACTIVO_2024[[#All],[Dependencia]],[2]!PERSONAL_ACTIVO_2024[[#All],[Mail ]],0,0),0))</f>
        <v>0</v>
      </c>
      <c r="AR575" s="488"/>
      <c r="AS575" s="300"/>
      <c r="AT575" s="532"/>
      <c r="AU575" s="533"/>
      <c r="AV575" s="534"/>
      <c r="AW575" s="316"/>
      <c r="AX575" s="316"/>
      <c r="AY575" s="471"/>
      <c r="AZ575" s="472"/>
      <c r="BA575" s="471"/>
      <c r="BB575" s="473"/>
      <c r="BC575" s="313"/>
      <c r="BD575" s="535"/>
      <c r="BE575" s="536"/>
      <c r="BF575" s="537"/>
      <c r="BG575" s="538"/>
      <c r="BH575" s="539"/>
      <c r="BI575" s="540"/>
      <c r="BJ575" s="209"/>
      <c r="BK575" s="541"/>
      <c r="BL575" s="541"/>
      <c r="BM575" s="482"/>
      <c r="BN575" s="173"/>
      <c r="BO575" s="173"/>
      <c r="BP575" s="509"/>
      <c r="BR575" s="148"/>
      <c r="BS575" s="148"/>
      <c r="BT575" s="149"/>
      <c r="BU575" s="150"/>
      <c r="BW575" s="152"/>
      <c r="BX575" s="542"/>
      <c r="BY575" s="154"/>
      <c r="BZ575" s="175"/>
      <c r="CB575" s="156"/>
      <c r="CC575" s="287"/>
      <c r="CD575" s="488"/>
      <c r="CE575" s="489"/>
      <c r="CF575" s="488"/>
      <c r="CG575" s="300"/>
      <c r="CH575" s="532"/>
      <c r="CI575" s="533"/>
      <c r="CJ575" s="534"/>
      <c r="CK575" s="316"/>
      <c r="CL575" s="316"/>
      <c r="CM575" s="471"/>
      <c r="CN575" s="472"/>
      <c r="CO575" s="471"/>
      <c r="CP575" s="473"/>
      <c r="CQ575" s="313"/>
      <c r="CR575" s="535"/>
      <c r="CS575" s="536"/>
      <c r="CT575" s="537"/>
      <c r="CU575" s="538"/>
      <c r="CV575" s="539"/>
      <c r="CW575" s="540"/>
      <c r="CX575" s="209"/>
      <c r="CY575" s="541"/>
      <c r="CZ575" s="541"/>
      <c r="DA575" s="482"/>
      <c r="DB575" s="173"/>
      <c r="DC575" s="173"/>
      <c r="DD575" s="509"/>
      <c r="DF575" s="148"/>
      <c r="DG575" s="148"/>
      <c r="DH575" s="149"/>
      <c r="DI575" s="150"/>
      <c r="DK575" s="152"/>
      <c r="DL575" s="542"/>
      <c r="DM575" s="154"/>
      <c r="DN575" s="175"/>
      <c r="DP575" s="156"/>
      <c r="DQ575" s="287"/>
      <c r="DR575" s="488"/>
      <c r="DS575" s="489"/>
      <c r="DT575" s="488"/>
      <c r="DU575" s="300"/>
      <c r="DV575" s="532"/>
      <c r="DW575" s="533"/>
      <c r="DX575" s="534"/>
      <c r="DY575" s="316"/>
      <c r="DZ575" s="316"/>
      <c r="EA575" s="471"/>
      <c r="EB575" s="472"/>
      <c r="EC575" s="471"/>
      <c r="ED575" s="473"/>
      <c r="EE575" s="313"/>
      <c r="EF575" s="535"/>
      <c r="EG575" s="536"/>
      <c r="EH575" s="537"/>
      <c r="EI575" s="538"/>
      <c r="EJ575" s="539"/>
      <c r="EK575" s="540"/>
      <c r="EL575" s="209"/>
      <c r="EM575" s="541"/>
      <c r="EN575" s="541"/>
      <c r="EO575" s="482"/>
      <c r="EP575" s="173"/>
      <c r="EQ575" s="173"/>
      <c r="ER575" s="509"/>
      <c r="ET575" s="148"/>
      <c r="EU575" s="148"/>
      <c r="EV575" s="149"/>
      <c r="EW575" s="150"/>
      <c r="EY575" s="152"/>
      <c r="EZ575" s="542"/>
      <c r="FA575" s="154"/>
      <c r="FB575" s="175"/>
      <c r="FD575" s="156"/>
      <c r="FE575" s="287"/>
      <c r="FF575" s="488"/>
      <c r="FG575" s="489"/>
      <c r="FH575" s="488"/>
      <c r="FI575" s="300"/>
      <c r="FJ575" s="532"/>
      <c r="FK575" s="533"/>
      <c r="FL575" s="534"/>
      <c r="FM575" s="316"/>
      <c r="FN575" s="316"/>
      <c r="FO575" s="471"/>
      <c r="FP575" s="472"/>
      <c r="FQ575" s="471"/>
      <c r="FR575" s="473"/>
      <c r="FS575" s="313"/>
      <c r="FT575" s="535"/>
      <c r="FU575" s="536"/>
      <c r="FV575" s="537"/>
      <c r="FW575" s="538"/>
      <c r="FX575" s="539"/>
      <c r="FY575" s="540"/>
      <c r="FZ575" s="209"/>
      <c r="GA575" s="541"/>
      <c r="GB575" s="541"/>
      <c r="GC575" s="482"/>
      <c r="GD575" s="173"/>
      <c r="GE575" s="173"/>
      <c r="GF575" s="509"/>
      <c r="GH575" s="148"/>
      <c r="GI575" s="148"/>
      <c r="GJ575" s="149"/>
      <c r="GK575" s="150"/>
      <c r="GM575" s="152"/>
      <c r="GN575" s="542"/>
      <c r="GO575" s="154"/>
      <c r="GP575" s="175"/>
      <c r="GR575" s="156"/>
      <c r="GS575" s="287"/>
      <c r="GT575" s="488"/>
      <c r="GU575" s="489"/>
      <c r="GV575" s="488"/>
      <c r="GW575" s="300"/>
      <c r="GX575" s="532"/>
      <c r="GY575" s="533"/>
      <c r="GZ575" s="534"/>
      <c r="HA575" s="316"/>
      <c r="HB575" s="316"/>
      <c r="HC575" s="471"/>
      <c r="HD575" s="472"/>
      <c r="HE575" s="471"/>
      <c r="HF575" s="473"/>
      <c r="HG575" s="313"/>
      <c r="HH575" s="535"/>
      <c r="HI575" s="536"/>
      <c r="HJ575" s="537"/>
      <c r="HK575" s="538"/>
      <c r="HL575" s="539"/>
      <c r="HM575" s="540"/>
      <c r="HN575" s="209"/>
      <c r="HO575" s="541"/>
      <c r="HP575" s="541"/>
      <c r="HQ575" s="482"/>
      <c r="HR575" s="173"/>
      <c r="HS575" s="173"/>
      <c r="HT575" s="509"/>
      <c r="HV575" s="148"/>
      <c r="HW575" s="148"/>
      <c r="HX575" s="149"/>
      <c r="HY575" s="150"/>
      <c r="IA575" s="152"/>
      <c r="IB575" s="542"/>
      <c r="IC575" s="154"/>
      <c r="ID575" s="175"/>
      <c r="IF575" s="156"/>
      <c r="IG575" s="287"/>
      <c r="IH575" s="488"/>
      <c r="II575" s="489"/>
      <c r="IJ575" s="488"/>
      <c r="IK575" s="300"/>
      <c r="IL575" s="532"/>
      <c r="IM575" s="533"/>
      <c r="IN575" s="534"/>
      <c r="IO575" s="316"/>
      <c r="IP575" s="316"/>
      <c r="IQ575" s="471"/>
      <c r="IR575" s="472"/>
      <c r="IS575" s="471"/>
      <c r="IT575" s="473"/>
      <c r="IU575" s="313"/>
      <c r="IV575" s="535"/>
      <c r="IW575" s="536"/>
      <c r="IX575" s="537"/>
      <c r="IY575" s="538"/>
      <c r="IZ575" s="539"/>
      <c r="JA575" s="540"/>
      <c r="JB575" s="209"/>
      <c r="JC575" s="541"/>
      <c r="JD575" s="541"/>
      <c r="JE575" s="482"/>
      <c r="JF575" s="173"/>
      <c r="JG575" s="173"/>
      <c r="JH575" s="509"/>
      <c r="JJ575" s="148"/>
      <c r="JK575" s="148"/>
      <c r="JL575" s="149"/>
      <c r="JM575" s="150"/>
      <c r="JO575" s="152"/>
      <c r="JP575" s="542"/>
      <c r="JQ575" s="154"/>
      <c r="JR575" s="175"/>
      <c r="JT575" s="156"/>
      <c r="JU575" s="287"/>
      <c r="JV575" s="488"/>
      <c r="JW575" s="489"/>
      <c r="JX575" s="488"/>
      <c r="JY575" s="300"/>
      <c r="JZ575" s="532"/>
      <c r="KA575" s="533"/>
      <c r="KB575" s="534"/>
      <c r="KC575" s="316"/>
      <c r="KD575" s="316"/>
      <c r="KE575" s="471"/>
      <c r="KF575" s="472"/>
      <c r="KG575" s="471"/>
      <c r="KH575" s="473"/>
      <c r="KI575" s="313"/>
      <c r="KJ575" s="535"/>
      <c r="KK575" s="536"/>
      <c r="KL575" s="537"/>
      <c r="KM575" s="538"/>
      <c r="KN575" s="539"/>
      <c r="KO575" s="540"/>
      <c r="KP575" s="209"/>
      <c r="KQ575" s="541"/>
      <c r="KR575" s="541"/>
      <c r="KS575" s="482"/>
      <c r="KT575" s="173"/>
      <c r="KU575" s="173"/>
      <c r="KV575" s="509"/>
      <c r="KX575" s="148"/>
      <c r="KY575" s="148"/>
      <c r="KZ575" s="149"/>
      <c r="LA575" s="150"/>
      <c r="LC575" s="152"/>
      <c r="LD575" s="542"/>
      <c r="LE575" s="154"/>
      <c r="LF575" s="175"/>
      <c r="LH575" s="156"/>
      <c r="LI575" s="287"/>
      <c r="LJ575" s="488"/>
      <c r="LK575" s="489"/>
      <c r="LL575" s="488"/>
      <c r="LM575" s="300"/>
      <c r="LN575" s="532"/>
      <c r="LO575" s="533"/>
      <c r="LP575" s="534"/>
      <c r="LQ575" s="316"/>
      <c r="LR575" s="316"/>
      <c r="LS575" s="471"/>
      <c r="LT575" s="472"/>
      <c r="LU575" s="471"/>
      <c r="LV575" s="473"/>
      <c r="LW575" s="313"/>
      <c r="LX575" s="535"/>
      <c r="LY575" s="536"/>
      <c r="LZ575" s="537"/>
      <c r="MA575" s="538"/>
      <c r="MB575" s="539"/>
      <c r="MC575" s="540"/>
      <c r="MD575" s="209"/>
      <c r="ME575" s="541"/>
      <c r="MF575" s="541"/>
      <c r="MG575" s="482"/>
      <c r="MH575" s="173"/>
      <c r="MI575" s="173"/>
      <c r="MJ575" s="509"/>
      <c r="ML575" s="148"/>
      <c r="MM575" s="148"/>
      <c r="MN575" s="149"/>
      <c r="MO575" s="150"/>
      <c r="MQ575" s="152"/>
      <c r="MR575" s="542"/>
      <c r="MS575" s="154"/>
      <c r="MT575" s="175"/>
      <c r="MV575" s="156"/>
      <c r="MW575" s="287"/>
      <c r="MX575" s="488"/>
      <c r="MY575" s="489"/>
      <c r="MZ575" s="488"/>
      <c r="NA575" s="300"/>
      <c r="NB575" s="532"/>
      <c r="NC575" s="533"/>
      <c r="ND575" s="534"/>
      <c r="NE575" s="316"/>
      <c r="NF575" s="316"/>
      <c r="NG575" s="471"/>
      <c r="NH575" s="472"/>
      <c r="NI575" s="471"/>
      <c r="NJ575" s="473"/>
      <c r="NK575" s="313"/>
      <c r="NL575" s="535"/>
      <c r="NM575" s="536"/>
      <c r="NN575" s="537"/>
      <c r="NO575" s="538"/>
      <c r="NP575" s="539"/>
      <c r="NQ575" s="540"/>
      <c r="NR575" s="209"/>
      <c r="NS575" s="541"/>
      <c r="NT575" s="541"/>
      <c r="NU575" s="482"/>
      <c r="NV575" s="173"/>
      <c r="NW575" s="173"/>
      <c r="NX575" s="509"/>
      <c r="NZ575" s="148"/>
      <c r="OA575" s="148"/>
      <c r="OB575" s="149"/>
      <c r="OC575" s="150"/>
      <c r="OE575" s="152"/>
      <c r="OF575" s="542"/>
      <c r="OG575" s="154"/>
      <c r="OH575" s="175"/>
      <c r="OJ575" s="156"/>
      <c r="OK575" s="287"/>
      <c r="OL575" s="488"/>
      <c r="OM575" s="489"/>
      <c r="ON575" s="488"/>
      <c r="OO575" s="300"/>
      <c r="OP575" s="532"/>
      <c r="OQ575" s="533"/>
      <c r="OR575" s="534"/>
      <c r="OS575" s="316"/>
      <c r="OT575" s="316"/>
      <c r="OU575" s="471"/>
      <c r="OV575" s="472"/>
      <c r="OW575" s="471"/>
      <c r="OX575" s="473"/>
      <c r="OY575" s="313"/>
      <c r="OZ575" s="535"/>
      <c r="PA575" s="536"/>
      <c r="PB575" s="537"/>
      <c r="PC575" s="538"/>
      <c r="PD575" s="539"/>
      <c r="PE575" s="540"/>
      <c r="PF575" s="209"/>
      <c r="PG575" s="541"/>
      <c r="PH575" s="541"/>
      <c r="PI575" s="482"/>
      <c r="PJ575" s="173"/>
      <c r="PK575" s="173"/>
      <c r="PL575" s="509"/>
      <c r="PN575" s="148"/>
      <c r="PO575" s="148"/>
      <c r="PP575" s="149"/>
      <c r="PQ575" s="150"/>
      <c r="PS575" s="152"/>
      <c r="PT575" s="542"/>
      <c r="PU575" s="154"/>
      <c r="PV575" s="175"/>
      <c r="PX575" s="156"/>
      <c r="PY575" s="287"/>
      <c r="PZ575" s="488"/>
      <c r="QA575" s="489"/>
      <c r="QB575" s="488"/>
      <c r="QC575" s="300"/>
      <c r="QD575" s="532"/>
      <c r="QE575" s="533"/>
      <c r="QF575" s="534"/>
      <c r="QG575" s="316"/>
      <c r="QH575" s="316"/>
      <c r="QI575" s="471"/>
      <c r="QJ575" s="472"/>
      <c r="QK575" s="471"/>
      <c r="QL575" s="473"/>
      <c r="QM575" s="313"/>
      <c r="QN575" s="535"/>
      <c r="QO575" s="536"/>
      <c r="QP575" s="537"/>
      <c r="QQ575" s="538"/>
      <c r="QR575" s="539"/>
      <c r="QS575" s="540"/>
      <c r="QT575" s="209"/>
      <c r="QU575" s="541"/>
      <c r="QV575" s="541"/>
      <c r="QW575" s="482"/>
      <c r="QX575" s="173"/>
      <c r="QY575" s="173"/>
      <c r="QZ575" s="509"/>
      <c r="RB575" s="148"/>
      <c r="RC575" s="148"/>
      <c r="RD575" s="149"/>
      <c r="RE575" s="150"/>
      <c r="RG575" s="152"/>
      <c r="RH575" s="542"/>
      <c r="RI575" s="154"/>
      <c r="RJ575" s="175"/>
      <c r="RL575" s="156"/>
      <c r="RM575" s="287"/>
      <c r="RN575" s="488"/>
      <c r="RO575" s="489"/>
      <c r="RP575" s="488"/>
      <c r="RQ575" s="300"/>
      <c r="RR575" s="532"/>
      <c r="RS575" s="533"/>
      <c r="RT575" s="534"/>
      <c r="RU575" s="316"/>
      <c r="RV575" s="316"/>
      <c r="RW575" s="471"/>
      <c r="RX575" s="472"/>
      <c r="RY575" s="471"/>
      <c r="RZ575" s="473"/>
      <c r="SA575" s="313"/>
      <c r="SB575" s="535"/>
      <c r="SC575" s="536"/>
      <c r="SD575" s="537"/>
      <c r="SE575" s="538"/>
      <c r="SF575" s="539"/>
      <c r="SG575" s="540"/>
      <c r="SH575" s="209"/>
      <c r="SI575" s="541"/>
      <c r="SJ575" s="541"/>
      <c r="SK575" s="482"/>
      <c r="SL575" s="173"/>
      <c r="SM575" s="173"/>
      <c r="SN575" s="509"/>
      <c r="SP575" s="148"/>
      <c r="SQ575" s="148"/>
      <c r="SR575" s="149"/>
      <c r="SS575" s="150"/>
      <c r="SU575" s="152"/>
      <c r="SV575" s="542"/>
      <c r="SW575" s="154"/>
      <c r="SX575" s="175"/>
      <c r="SZ575" s="156"/>
      <c r="TA575" s="287"/>
      <c r="TB575" s="488"/>
      <c r="TC575" s="489"/>
      <c r="TD575" s="488"/>
      <c r="TE575" s="300"/>
      <c r="TF575" s="532"/>
      <c r="TG575" s="533"/>
      <c r="TH575" s="534"/>
      <c r="TI575" s="316"/>
      <c r="TJ575" s="316"/>
      <c r="TK575" s="471"/>
      <c r="TL575" s="472"/>
      <c r="TM575" s="471"/>
      <c r="TN575" s="473"/>
      <c r="TO575" s="313"/>
      <c r="TP575" s="535"/>
      <c r="TQ575" s="536"/>
      <c r="TR575" s="537"/>
      <c r="TS575" s="538"/>
      <c r="TT575" s="539"/>
      <c r="TU575" s="540"/>
      <c r="TV575" s="209"/>
      <c r="TW575" s="541"/>
      <c r="TX575" s="541"/>
      <c r="TY575" s="482"/>
      <c r="TZ575" s="173"/>
      <c r="UA575" s="173"/>
      <c r="UB575" s="509"/>
      <c r="UD575" s="148"/>
      <c r="UE575" s="148"/>
      <c r="UF575" s="149"/>
      <c r="UG575" s="150"/>
      <c r="UI575" s="152"/>
      <c r="UJ575" s="542"/>
      <c r="UK575" s="154"/>
      <c r="UL575" s="175"/>
      <c r="UN575" s="156"/>
      <c r="UO575" s="287"/>
      <c r="UP575" s="488"/>
      <c r="UQ575" s="489"/>
      <c r="UR575" s="488"/>
      <c r="US575" s="300"/>
      <c r="UT575" s="532"/>
      <c r="UU575" s="533"/>
      <c r="UV575" s="534"/>
      <c r="UW575" s="316"/>
      <c r="UX575" s="316"/>
      <c r="UY575" s="471"/>
      <c r="UZ575" s="472"/>
      <c r="VA575" s="471"/>
      <c r="VB575" s="473"/>
      <c r="VC575" s="313"/>
      <c r="VD575" s="535"/>
      <c r="VE575" s="536"/>
      <c r="VF575" s="537"/>
      <c r="VG575" s="538"/>
      <c r="VH575" s="539"/>
      <c r="VI575" s="540"/>
      <c r="VJ575" s="209"/>
      <c r="VK575" s="541"/>
      <c r="VL575" s="541"/>
      <c r="VM575" s="482"/>
      <c r="VN575" s="173"/>
      <c r="VO575" s="173"/>
      <c r="VP575" s="509"/>
      <c r="VR575" s="148"/>
      <c r="VS575" s="148"/>
      <c r="VT575" s="149"/>
      <c r="VU575" s="150"/>
      <c r="VW575" s="152"/>
      <c r="VX575" s="542"/>
      <c r="VY575" s="154"/>
      <c r="VZ575" s="175"/>
      <c r="WB575" s="156"/>
      <c r="WC575" s="287"/>
      <c r="WD575" s="488"/>
      <c r="WE575" s="489"/>
      <c r="WF575" s="488"/>
      <c r="WG575" s="300"/>
      <c r="WH575" s="532"/>
      <c r="WI575" s="533"/>
      <c r="WJ575" s="534"/>
      <c r="WK575" s="316"/>
      <c r="WL575" s="316"/>
      <c r="WM575" s="471"/>
      <c r="WN575" s="472"/>
      <c r="WO575" s="471"/>
      <c r="WP575" s="473"/>
      <c r="WQ575" s="313"/>
      <c r="WR575" s="535"/>
      <c r="WS575" s="536"/>
      <c r="WT575" s="537"/>
      <c r="WU575" s="538"/>
      <c r="WV575" s="539"/>
      <c r="WW575" s="540"/>
      <c r="WX575" s="209"/>
      <c r="WY575" s="541"/>
      <c r="WZ575" s="541"/>
      <c r="XA575" s="482"/>
      <c r="XB575" s="173"/>
      <c r="XC575" s="173"/>
      <c r="XD575" s="509"/>
      <c r="XF575" s="148"/>
      <c r="XG575" s="148"/>
      <c r="XH575" s="149"/>
      <c r="XI575" s="150"/>
      <c r="XK575" s="152"/>
      <c r="XL575" s="542"/>
      <c r="XM575" s="154"/>
      <c r="XN575" s="175"/>
      <c r="XP575" s="156"/>
      <c r="XQ575" s="287"/>
      <c r="XR575" s="488"/>
      <c r="XS575" s="489"/>
      <c r="XT575" s="488"/>
      <c r="XU575" s="300"/>
      <c r="XV575" s="532"/>
      <c r="XW575" s="533"/>
      <c r="XX575" s="534"/>
      <c r="XY575" s="316"/>
      <c r="XZ575" s="316"/>
      <c r="YA575" s="471"/>
      <c r="YB575" s="472"/>
      <c r="YC575" s="471"/>
      <c r="YD575" s="473"/>
      <c r="YE575" s="313"/>
      <c r="YF575" s="535"/>
      <c r="YG575" s="536"/>
      <c r="YH575" s="537"/>
      <c r="YI575" s="538"/>
      <c r="YJ575" s="539"/>
      <c r="YK575" s="540"/>
      <c r="YL575" s="209"/>
      <c r="YM575" s="541"/>
      <c r="YN575" s="541"/>
      <c r="YO575" s="482"/>
      <c r="YP575" s="173"/>
      <c r="YQ575" s="173"/>
      <c r="YR575" s="509"/>
      <c r="YT575" s="148"/>
      <c r="YU575" s="148"/>
      <c r="YV575" s="149"/>
      <c r="YW575" s="150"/>
      <c r="YY575" s="152"/>
      <c r="YZ575" s="542"/>
      <c r="ZA575" s="154"/>
      <c r="ZB575" s="175"/>
      <c r="ZD575" s="156"/>
      <c r="ZE575" s="287"/>
      <c r="ZF575" s="488"/>
      <c r="ZG575" s="489"/>
      <c r="ZH575" s="488"/>
      <c r="ZI575" s="300"/>
      <c r="ZJ575" s="532"/>
      <c r="ZK575" s="533"/>
      <c r="ZL575" s="534"/>
      <c r="ZM575" s="316"/>
      <c r="ZN575" s="316"/>
      <c r="ZO575" s="471"/>
      <c r="ZP575" s="472"/>
      <c r="ZQ575" s="471"/>
      <c r="ZR575" s="473"/>
      <c r="ZS575" s="313"/>
      <c r="ZT575" s="535"/>
      <c r="ZU575" s="536"/>
      <c r="ZV575" s="537"/>
      <c r="ZW575" s="538"/>
      <c r="ZX575" s="539"/>
      <c r="ZY575" s="540"/>
      <c r="ZZ575" s="209"/>
      <c r="AAA575" s="541"/>
      <c r="AAB575" s="541"/>
      <c r="AAC575" s="482"/>
      <c r="AAD575" s="173"/>
      <c r="AAE575" s="173"/>
      <c r="AAF575" s="509"/>
      <c r="AAH575" s="148"/>
      <c r="AAI575" s="148"/>
      <c r="AAJ575" s="149"/>
      <c r="AAK575" s="150"/>
      <c r="AAM575" s="152"/>
      <c r="AAN575" s="542"/>
      <c r="AAO575" s="154"/>
      <c r="AAP575" s="175"/>
      <c r="AAR575" s="156"/>
      <c r="AAS575" s="287"/>
      <c r="AAT575" s="488"/>
      <c r="AAU575" s="489"/>
      <c r="AAV575" s="488"/>
      <c r="AAW575" s="300"/>
      <c r="AAX575" s="532"/>
      <c r="AAY575" s="533"/>
      <c r="AAZ575" s="534"/>
      <c r="ABA575" s="316"/>
      <c r="ABB575" s="316"/>
      <c r="ABC575" s="471"/>
      <c r="ABD575" s="472"/>
      <c r="ABE575" s="471"/>
      <c r="ABF575" s="473"/>
      <c r="ABG575" s="313"/>
      <c r="ABH575" s="535"/>
      <c r="ABI575" s="536"/>
      <c r="ABJ575" s="537"/>
      <c r="ABK575" s="538"/>
      <c r="ABL575" s="539"/>
      <c r="ABM575" s="540"/>
      <c r="ABN575" s="209"/>
      <c r="ABO575" s="541"/>
      <c r="ABP575" s="541"/>
      <c r="ABQ575" s="482"/>
      <c r="ABR575" s="173"/>
      <c r="ABS575" s="173"/>
      <c r="ABT575" s="509"/>
      <c r="ABV575" s="148"/>
      <c r="ABW575" s="148"/>
      <c r="ABX575" s="149"/>
      <c r="ABY575" s="150"/>
      <c r="ACA575" s="152"/>
      <c r="ACB575" s="542"/>
      <c r="ACC575" s="154"/>
      <c r="ACD575" s="175"/>
      <c r="ACF575" s="156"/>
      <c r="ACG575" s="287"/>
      <c r="ACH575" s="488"/>
      <c r="ACI575" s="489"/>
      <c r="ACJ575" s="488"/>
      <c r="ACK575" s="300"/>
      <c r="ACL575" s="532"/>
      <c r="ACM575" s="533"/>
      <c r="ACN575" s="534"/>
      <c r="ACO575" s="316"/>
      <c r="ACP575" s="316"/>
      <c r="ACQ575" s="471"/>
      <c r="ACR575" s="472"/>
      <c r="ACS575" s="471"/>
      <c r="ACT575" s="473"/>
      <c r="ACU575" s="313"/>
      <c r="ACV575" s="535"/>
      <c r="ACW575" s="536"/>
      <c r="ACX575" s="537"/>
      <c r="ACY575" s="538"/>
      <c r="ACZ575" s="539"/>
      <c r="ADA575" s="540"/>
      <c r="ADB575" s="209"/>
      <c r="ADC575" s="541"/>
      <c r="ADD575" s="541"/>
      <c r="ADE575" s="482"/>
      <c r="ADF575" s="173"/>
      <c r="ADG575" s="173"/>
      <c r="ADH575" s="509"/>
      <c r="ADJ575" s="148"/>
      <c r="ADK575" s="148"/>
      <c r="ADL575" s="149"/>
      <c r="ADM575" s="150"/>
      <c r="ADO575" s="152"/>
      <c r="ADP575" s="542"/>
      <c r="ADQ575" s="154"/>
      <c r="ADR575" s="175"/>
      <c r="ADT575" s="156"/>
      <c r="ADU575" s="287"/>
      <c r="ADV575" s="488"/>
      <c r="ADW575" s="489"/>
      <c r="ADX575" s="488"/>
      <c r="ADY575" s="300"/>
      <c r="ADZ575" s="532"/>
      <c r="AEA575" s="533"/>
      <c r="AEB575" s="534"/>
      <c r="AEC575" s="316"/>
      <c r="AED575" s="316"/>
      <c r="AEE575" s="471"/>
      <c r="AEF575" s="472"/>
      <c r="AEG575" s="471"/>
      <c r="AEH575" s="473"/>
      <c r="AEI575" s="313"/>
      <c r="AEJ575" s="535"/>
      <c r="AEK575" s="536"/>
      <c r="AEL575" s="537"/>
      <c r="AEM575" s="538"/>
      <c r="AEN575" s="539"/>
      <c r="AEO575" s="540"/>
      <c r="AEP575" s="209"/>
      <c r="AEQ575" s="541"/>
      <c r="AER575" s="541"/>
      <c r="AES575" s="482"/>
      <c r="AET575" s="173"/>
      <c r="AEU575" s="173"/>
      <c r="AEV575" s="509"/>
      <c r="AEX575" s="148"/>
      <c r="AEY575" s="148"/>
      <c r="AEZ575" s="149"/>
      <c r="AFA575" s="150"/>
      <c r="AFC575" s="152"/>
      <c r="AFD575" s="542"/>
      <c r="AFE575" s="154"/>
      <c r="AFF575" s="175"/>
      <c r="AFH575" s="156"/>
      <c r="AFI575" s="287"/>
      <c r="AFJ575" s="488"/>
      <c r="AFK575" s="489"/>
      <c r="AFL575" s="488"/>
      <c r="AFM575" s="300"/>
      <c r="AFN575" s="532"/>
      <c r="AFO575" s="533"/>
      <c r="AFP575" s="534"/>
      <c r="AFQ575" s="316"/>
      <c r="AFR575" s="316"/>
      <c r="AFS575" s="471"/>
      <c r="AFT575" s="472"/>
      <c r="AFU575" s="471"/>
      <c r="AFV575" s="473"/>
      <c r="AFW575" s="313"/>
      <c r="AFX575" s="535"/>
      <c r="AFY575" s="536"/>
      <c r="AFZ575" s="537"/>
      <c r="AGA575" s="538"/>
      <c r="AGB575" s="539"/>
      <c r="AGC575" s="540"/>
      <c r="AGD575" s="209"/>
      <c r="AGE575" s="541"/>
      <c r="AGF575" s="541"/>
      <c r="AGG575" s="482"/>
      <c r="AGH575" s="173"/>
      <c r="AGI575" s="173"/>
      <c r="AGJ575" s="509"/>
      <c r="AGL575" s="148"/>
      <c r="AGM575" s="148"/>
      <c r="AGN575" s="149"/>
      <c r="AGO575" s="150"/>
      <c r="AGQ575" s="152"/>
      <c r="AGR575" s="542"/>
      <c r="AGS575" s="154"/>
      <c r="AGT575" s="175"/>
      <c r="AGV575" s="156"/>
      <c r="AGW575" s="287"/>
      <c r="AGX575" s="488"/>
      <c r="AGY575" s="489"/>
      <c r="AGZ575" s="488"/>
      <c r="AHA575" s="300"/>
      <c r="AHB575" s="532"/>
      <c r="AHC575" s="533"/>
      <c r="AHD575" s="534"/>
      <c r="AHE575" s="316"/>
      <c r="AHF575" s="316"/>
      <c r="AHG575" s="471"/>
      <c r="AHH575" s="472"/>
      <c r="AHI575" s="471"/>
      <c r="AHJ575" s="473"/>
      <c r="AHK575" s="313"/>
      <c r="AHL575" s="535"/>
      <c r="AHM575" s="536"/>
      <c r="AHN575" s="537"/>
      <c r="AHO575" s="538"/>
      <c r="AHP575" s="539"/>
      <c r="AHQ575" s="540"/>
      <c r="AHR575" s="209"/>
      <c r="AHS575" s="541"/>
      <c r="AHT575" s="541"/>
      <c r="AHU575" s="482"/>
      <c r="AHV575" s="173"/>
      <c r="AHW575" s="173"/>
      <c r="AHX575" s="509"/>
      <c r="AHZ575" s="148"/>
      <c r="AIA575" s="148"/>
      <c r="AIB575" s="149"/>
      <c r="AIC575" s="150"/>
      <c r="AIE575" s="152"/>
      <c r="AIF575" s="542"/>
      <c r="AIG575" s="154"/>
      <c r="AIH575" s="175"/>
      <c r="AIJ575" s="156"/>
      <c r="AIK575" s="287"/>
      <c r="AIL575" s="488"/>
      <c r="AIM575" s="489"/>
      <c r="AIN575" s="488"/>
      <c r="AIO575" s="300"/>
      <c r="AIP575" s="532"/>
      <c r="AIQ575" s="533"/>
      <c r="AIR575" s="534"/>
      <c r="AIS575" s="316"/>
      <c r="AIT575" s="316"/>
      <c r="AIU575" s="471"/>
      <c r="AIV575" s="472"/>
      <c r="AIW575" s="471"/>
      <c r="AIX575" s="473"/>
      <c r="AIY575" s="313"/>
      <c r="AIZ575" s="535"/>
      <c r="AJA575" s="536"/>
      <c r="AJB575" s="537"/>
      <c r="AJC575" s="538"/>
      <c r="AJD575" s="539"/>
      <c r="AJE575" s="540"/>
      <c r="AJF575" s="209"/>
      <c r="AJG575" s="541"/>
      <c r="AJH575" s="541"/>
      <c r="AJI575" s="482"/>
      <c r="AJJ575" s="173"/>
      <c r="AJK575" s="173"/>
      <c r="AJL575" s="509"/>
      <c r="AJN575" s="148"/>
      <c r="AJO575" s="148"/>
      <c r="AJP575" s="149"/>
      <c r="AJQ575" s="150"/>
      <c r="AJS575" s="152"/>
      <c r="AJT575" s="542"/>
      <c r="AJU575" s="154"/>
      <c r="AJV575" s="175"/>
      <c r="AJX575" s="156"/>
      <c r="AJY575" s="287"/>
      <c r="AJZ575" s="488"/>
      <c r="AKA575" s="489"/>
      <c r="AKB575" s="488"/>
      <c r="AKC575" s="300"/>
      <c r="AKD575" s="532"/>
      <c r="AKE575" s="533"/>
      <c r="AKF575" s="534"/>
      <c r="AKG575" s="316"/>
      <c r="AKH575" s="316"/>
      <c r="AKI575" s="471"/>
      <c r="AKJ575" s="472"/>
      <c r="AKK575" s="471"/>
      <c r="AKL575" s="473"/>
      <c r="AKM575" s="313"/>
      <c r="AKN575" s="535"/>
      <c r="AKO575" s="536"/>
      <c r="AKP575" s="537"/>
      <c r="AKQ575" s="538"/>
      <c r="AKR575" s="539"/>
      <c r="AKS575" s="540"/>
      <c r="AKT575" s="209"/>
      <c r="AKU575" s="541"/>
      <c r="AKV575" s="541"/>
      <c r="AKW575" s="482"/>
      <c r="AKX575" s="173"/>
      <c r="AKY575" s="173"/>
      <c r="AKZ575" s="509"/>
      <c r="ALB575" s="148"/>
      <c r="ALC575" s="148"/>
      <c r="ALD575" s="149"/>
      <c r="ALE575" s="150"/>
      <c r="ALG575" s="152"/>
      <c r="ALH575" s="542"/>
      <c r="ALI575" s="154"/>
      <c r="ALJ575" s="175"/>
      <c r="ALL575" s="156"/>
      <c r="ALM575" s="287"/>
      <c r="ALN575" s="488"/>
      <c r="ALO575" s="489"/>
      <c r="ALP575" s="488"/>
      <c r="ALQ575" s="300"/>
      <c r="ALR575" s="532"/>
      <c r="ALS575" s="533"/>
      <c r="ALT575" s="534"/>
      <c r="ALU575" s="316"/>
      <c r="ALV575" s="316"/>
      <c r="ALW575" s="471"/>
      <c r="ALX575" s="472"/>
      <c r="ALY575" s="471"/>
      <c r="ALZ575" s="473"/>
      <c r="AMA575" s="313"/>
      <c r="AMB575" s="535"/>
      <c r="AMC575" s="536"/>
      <c r="AMD575" s="537"/>
      <c r="AME575" s="538"/>
      <c r="AMF575" s="539"/>
      <c r="AMG575" s="540"/>
      <c r="AMH575" s="209"/>
      <c r="AMI575" s="541"/>
      <c r="AMJ575" s="541"/>
      <c r="AMK575" s="482"/>
      <c r="AML575" s="173"/>
      <c r="AMM575" s="173"/>
      <c r="AMN575" s="509"/>
      <c r="AMP575" s="148"/>
      <c r="AMQ575" s="148"/>
      <c r="AMR575" s="149"/>
      <c r="AMS575" s="150"/>
      <c r="AMU575" s="152"/>
      <c r="AMV575" s="542"/>
      <c r="AMW575" s="154"/>
      <c r="AMX575" s="175"/>
      <c r="AMZ575" s="156"/>
      <c r="ANA575" s="287"/>
      <c r="ANB575" s="488"/>
      <c r="ANC575" s="489"/>
      <c r="AND575" s="488"/>
      <c r="ANE575" s="300"/>
      <c r="ANF575" s="532"/>
      <c r="ANG575" s="533"/>
      <c r="ANH575" s="534"/>
      <c r="ANI575" s="316"/>
      <c r="ANJ575" s="316"/>
      <c r="ANK575" s="471"/>
      <c r="ANL575" s="472"/>
      <c r="ANM575" s="471"/>
      <c r="ANN575" s="473"/>
      <c r="ANO575" s="313"/>
      <c r="ANP575" s="535"/>
      <c r="ANQ575" s="536"/>
      <c r="ANR575" s="537"/>
      <c r="ANS575" s="538"/>
      <c r="ANT575" s="539"/>
      <c r="ANU575" s="540"/>
      <c r="ANV575" s="209"/>
      <c r="ANW575" s="541"/>
      <c r="ANX575" s="541"/>
      <c r="ANY575" s="482"/>
      <c r="ANZ575" s="173"/>
      <c r="AOA575" s="173"/>
      <c r="AOB575" s="509"/>
      <c r="AOD575" s="148"/>
      <c r="AOE575" s="148"/>
      <c r="AOF575" s="149"/>
      <c r="AOG575" s="150"/>
      <c r="AOI575" s="152"/>
      <c r="AOJ575" s="542"/>
      <c r="AOK575" s="154"/>
      <c r="AOL575" s="175"/>
      <c r="AON575" s="156"/>
      <c r="AOO575" s="287"/>
      <c r="AOP575" s="488"/>
      <c r="AOQ575" s="489"/>
      <c r="AOR575" s="488"/>
      <c r="AOS575" s="300"/>
      <c r="AOT575" s="532"/>
      <c r="AOU575" s="533"/>
      <c r="AOV575" s="534"/>
      <c r="AOW575" s="316"/>
      <c r="AOX575" s="316"/>
      <c r="AOY575" s="471"/>
      <c r="AOZ575" s="472"/>
      <c r="APA575" s="471"/>
      <c r="APB575" s="473"/>
      <c r="APC575" s="313"/>
      <c r="APD575" s="535"/>
      <c r="APE575" s="536"/>
      <c r="APF575" s="537"/>
      <c r="APG575" s="538"/>
      <c r="APH575" s="539"/>
      <c r="API575" s="540"/>
      <c r="APJ575" s="209"/>
      <c r="APK575" s="541"/>
      <c r="APL575" s="541"/>
      <c r="APM575" s="482"/>
      <c r="APN575" s="173"/>
      <c r="APO575" s="173"/>
      <c r="APP575" s="509"/>
      <c r="APR575" s="148"/>
      <c r="APS575" s="148"/>
      <c r="APT575" s="149"/>
      <c r="APU575" s="150"/>
      <c r="APW575" s="152"/>
      <c r="APX575" s="542"/>
      <c r="APY575" s="154"/>
      <c r="APZ575" s="175"/>
      <c r="AQB575" s="156"/>
      <c r="AQC575" s="287"/>
      <c r="AQD575" s="488"/>
      <c r="AQE575" s="489"/>
      <c r="AQF575" s="488"/>
      <c r="AQG575" s="300"/>
      <c r="AQH575" s="532"/>
      <c r="AQI575" s="533"/>
      <c r="AQJ575" s="534"/>
      <c r="AQK575" s="316"/>
      <c r="AQL575" s="316"/>
      <c r="AQM575" s="471"/>
      <c r="AQN575" s="472"/>
      <c r="AQO575" s="471"/>
      <c r="AQP575" s="473"/>
      <c r="AQQ575" s="313"/>
      <c r="AQR575" s="535"/>
      <c r="AQS575" s="536"/>
      <c r="AQT575" s="537"/>
      <c r="AQU575" s="538"/>
      <c r="AQV575" s="539"/>
      <c r="AQW575" s="540"/>
      <c r="AQX575" s="209"/>
      <c r="AQY575" s="541"/>
      <c r="AQZ575" s="541"/>
      <c r="ARA575" s="482"/>
      <c r="ARB575" s="173"/>
      <c r="ARC575" s="173"/>
      <c r="ARD575" s="509"/>
      <c r="ARF575" s="148"/>
      <c r="ARG575" s="148"/>
      <c r="ARH575" s="149"/>
      <c r="ARI575" s="150"/>
      <c r="ARK575" s="152"/>
      <c r="ARL575" s="542"/>
      <c r="ARM575" s="154"/>
      <c r="ARN575" s="175"/>
      <c r="ARP575" s="156"/>
      <c r="ARQ575" s="287"/>
      <c r="ARR575" s="488"/>
      <c r="ARS575" s="489"/>
      <c r="ART575" s="488"/>
      <c r="ARU575" s="300"/>
      <c r="ARV575" s="532"/>
      <c r="ARW575" s="533"/>
      <c r="ARX575" s="534"/>
      <c r="ARY575" s="316"/>
      <c r="ARZ575" s="316"/>
      <c r="ASA575" s="471"/>
      <c r="ASB575" s="472"/>
      <c r="ASC575" s="471"/>
      <c r="ASD575" s="473"/>
      <c r="ASE575" s="313"/>
      <c r="ASF575" s="535"/>
      <c r="ASG575" s="536"/>
      <c r="ASH575" s="537"/>
      <c r="ASI575" s="538"/>
      <c r="ASJ575" s="539"/>
      <c r="ASK575" s="540"/>
      <c r="ASL575" s="209"/>
      <c r="ASM575" s="541"/>
      <c r="ASN575" s="541"/>
      <c r="ASO575" s="482"/>
      <c r="ASP575" s="173"/>
      <c r="ASQ575" s="173"/>
      <c r="ASR575" s="509"/>
      <c r="AST575" s="148"/>
      <c r="ASU575" s="148"/>
      <c r="ASV575" s="149"/>
      <c r="ASW575" s="150"/>
      <c r="ASY575" s="152"/>
      <c r="ASZ575" s="542"/>
      <c r="ATA575" s="154"/>
      <c r="ATB575" s="175"/>
      <c r="ATD575" s="156"/>
      <c r="ATE575" s="287"/>
      <c r="ATF575" s="488"/>
      <c r="ATG575" s="489"/>
      <c r="ATH575" s="488"/>
      <c r="ATI575" s="300"/>
      <c r="ATJ575" s="532"/>
      <c r="ATK575" s="533"/>
      <c r="ATL575" s="534"/>
      <c r="ATM575" s="316"/>
      <c r="ATN575" s="316"/>
      <c r="ATO575" s="471"/>
      <c r="ATP575" s="472"/>
      <c r="ATQ575" s="471"/>
      <c r="ATR575" s="473"/>
      <c r="ATS575" s="313"/>
      <c r="ATT575" s="535"/>
      <c r="ATU575" s="536"/>
      <c r="ATV575" s="537"/>
      <c r="ATW575" s="538"/>
      <c r="ATX575" s="539"/>
      <c r="ATY575" s="540"/>
      <c r="ATZ575" s="209"/>
      <c r="AUA575" s="541"/>
      <c r="AUB575" s="541"/>
      <c r="AUC575" s="482"/>
      <c r="AUD575" s="173"/>
      <c r="AUE575" s="173"/>
      <c r="AUF575" s="509"/>
      <c r="AUH575" s="148"/>
      <c r="AUI575" s="148"/>
      <c r="AUJ575" s="149"/>
      <c r="AUK575" s="150"/>
      <c r="AUM575" s="152"/>
      <c r="AUN575" s="542"/>
      <c r="AUO575" s="154"/>
      <c r="AUP575" s="175"/>
      <c r="AUR575" s="156"/>
      <c r="AUS575" s="287"/>
      <c r="AUT575" s="488"/>
      <c r="AUU575" s="489"/>
      <c r="AUV575" s="488"/>
      <c r="AUW575" s="300"/>
      <c r="AUX575" s="532"/>
      <c r="AUY575" s="533"/>
      <c r="AUZ575" s="534"/>
      <c r="AVA575" s="316"/>
      <c r="AVB575" s="316"/>
      <c r="AVC575" s="471"/>
      <c r="AVD575" s="472"/>
      <c r="AVE575" s="471"/>
      <c r="AVF575" s="473"/>
      <c r="AVG575" s="313"/>
      <c r="AVH575" s="535"/>
      <c r="AVI575" s="536"/>
      <c r="AVJ575" s="537"/>
      <c r="AVK575" s="538"/>
      <c r="AVL575" s="539"/>
      <c r="AVM575" s="540"/>
      <c r="AVN575" s="209"/>
      <c r="AVO575" s="541"/>
      <c r="AVP575" s="541"/>
      <c r="AVQ575" s="482"/>
      <c r="AVR575" s="173"/>
      <c r="AVS575" s="173"/>
      <c r="AVT575" s="509"/>
      <c r="AVV575" s="148"/>
      <c r="AVW575" s="148"/>
      <c r="AVX575" s="149"/>
      <c r="AVY575" s="150"/>
      <c r="AWA575" s="152"/>
      <c r="AWB575" s="542"/>
      <c r="AWC575" s="154"/>
      <c r="AWD575" s="175"/>
      <c r="AWF575" s="156"/>
      <c r="AWG575" s="287"/>
      <c r="AWH575" s="488"/>
      <c r="AWI575" s="489"/>
      <c r="AWJ575" s="488"/>
      <c r="AWK575" s="300"/>
      <c r="AWL575" s="532"/>
      <c r="AWM575" s="533"/>
      <c r="AWN575" s="534"/>
      <c r="AWO575" s="316"/>
      <c r="AWP575" s="316"/>
      <c r="AWQ575" s="471"/>
      <c r="AWR575" s="472"/>
      <c r="AWS575" s="471"/>
      <c r="AWT575" s="473"/>
      <c r="AWU575" s="313"/>
      <c r="AWV575" s="535"/>
      <c r="AWW575" s="536"/>
      <c r="AWX575" s="537"/>
      <c r="AWY575" s="538"/>
      <c r="AWZ575" s="539"/>
      <c r="AXA575" s="540"/>
      <c r="AXB575" s="209"/>
      <c r="AXC575" s="541"/>
      <c r="AXD575" s="541"/>
      <c r="AXE575" s="482"/>
      <c r="AXF575" s="173"/>
      <c r="AXG575" s="173"/>
      <c r="AXH575" s="509"/>
      <c r="AXJ575" s="148"/>
      <c r="AXK575" s="148"/>
      <c r="AXL575" s="149"/>
      <c r="AXM575" s="150"/>
      <c r="AXO575" s="152"/>
      <c r="AXP575" s="542"/>
      <c r="AXQ575" s="154"/>
      <c r="AXR575" s="175"/>
      <c r="AXT575" s="156"/>
      <c r="AXU575" s="287"/>
      <c r="AXV575" s="488"/>
      <c r="AXW575" s="489"/>
      <c r="AXX575" s="488"/>
      <c r="AXY575" s="300"/>
      <c r="AXZ575" s="532"/>
      <c r="AYA575" s="533"/>
      <c r="AYB575" s="534"/>
      <c r="AYC575" s="316"/>
      <c r="AYD575" s="316"/>
      <c r="AYE575" s="471"/>
      <c r="AYF575" s="472"/>
      <c r="AYG575" s="471"/>
      <c r="AYH575" s="473"/>
      <c r="AYI575" s="313"/>
      <c r="AYJ575" s="535"/>
      <c r="AYK575" s="536"/>
      <c r="AYL575" s="537"/>
      <c r="AYM575" s="538"/>
      <c r="AYN575" s="539"/>
      <c r="AYO575" s="540"/>
      <c r="AYP575" s="209"/>
      <c r="AYQ575" s="541"/>
      <c r="AYR575" s="541"/>
      <c r="AYS575" s="482"/>
      <c r="AYT575" s="173"/>
      <c r="AYU575" s="173"/>
      <c r="AYV575" s="509"/>
      <c r="AYX575" s="148"/>
      <c r="AYY575" s="148"/>
      <c r="AYZ575" s="149"/>
      <c r="AZA575" s="150"/>
      <c r="AZC575" s="152"/>
      <c r="AZD575" s="542"/>
      <c r="AZE575" s="154"/>
      <c r="AZF575" s="175"/>
      <c r="AZH575" s="156"/>
      <c r="AZI575" s="287"/>
      <c r="AZJ575" s="488"/>
      <c r="AZK575" s="489"/>
      <c r="AZL575" s="488"/>
      <c r="AZM575" s="300"/>
      <c r="AZN575" s="532"/>
      <c r="AZO575" s="533"/>
      <c r="AZP575" s="534"/>
      <c r="AZQ575" s="316"/>
      <c r="AZR575" s="316"/>
      <c r="AZS575" s="471"/>
      <c r="AZT575" s="472"/>
      <c r="AZU575" s="471"/>
      <c r="AZV575" s="473"/>
      <c r="AZW575" s="313"/>
      <c r="AZX575" s="535"/>
      <c r="AZY575" s="536"/>
      <c r="AZZ575" s="537"/>
      <c r="BAA575" s="538"/>
      <c r="BAB575" s="539"/>
      <c r="BAC575" s="540"/>
      <c r="BAD575" s="209"/>
      <c r="BAE575" s="541"/>
      <c r="BAF575" s="541"/>
      <c r="BAG575" s="482"/>
      <c r="BAH575" s="173"/>
      <c r="BAI575" s="173"/>
      <c r="BAJ575" s="509"/>
      <c r="BAL575" s="148"/>
      <c r="BAM575" s="148"/>
      <c r="BAN575" s="149"/>
      <c r="BAO575" s="150"/>
      <c r="BAQ575" s="152"/>
      <c r="BAR575" s="542"/>
      <c r="BAS575" s="154"/>
      <c r="BAT575" s="175"/>
      <c r="BAV575" s="156"/>
      <c r="BAW575" s="287"/>
      <c r="BAX575" s="488"/>
      <c r="BAY575" s="489"/>
      <c r="BAZ575" s="488"/>
      <c r="BBA575" s="300"/>
      <c r="BBB575" s="532"/>
      <c r="BBC575" s="533"/>
      <c r="BBD575" s="534"/>
      <c r="BBE575" s="316"/>
      <c r="BBF575" s="316"/>
      <c r="BBG575" s="471"/>
      <c r="BBH575" s="472"/>
      <c r="BBI575" s="471"/>
      <c r="BBJ575" s="473"/>
      <c r="BBK575" s="313"/>
      <c r="BBL575" s="535"/>
      <c r="BBM575" s="536"/>
      <c r="BBN575" s="537"/>
      <c r="BBO575" s="538"/>
      <c r="BBP575" s="539"/>
      <c r="BBQ575" s="540"/>
      <c r="BBR575" s="209"/>
      <c r="BBS575" s="541"/>
      <c r="BBT575" s="541"/>
      <c r="BBU575" s="482"/>
      <c r="BBV575" s="173"/>
      <c r="BBW575" s="173"/>
      <c r="BBX575" s="509"/>
      <c r="BBZ575" s="148"/>
      <c r="BCA575" s="148"/>
      <c r="BCB575" s="149"/>
      <c r="BCC575" s="150"/>
      <c r="BCE575" s="152"/>
      <c r="BCF575" s="542"/>
      <c r="BCG575" s="154"/>
      <c r="BCH575" s="175"/>
      <c r="BCJ575" s="156"/>
      <c r="BCK575" s="287"/>
      <c r="BCL575" s="488"/>
      <c r="BCM575" s="489"/>
      <c r="BCN575" s="488"/>
      <c r="BCO575" s="300"/>
      <c r="BCP575" s="532"/>
      <c r="BCQ575" s="533"/>
      <c r="BCR575" s="534"/>
      <c r="BCS575" s="316"/>
      <c r="BCT575" s="316"/>
      <c r="BCU575" s="471"/>
      <c r="BCV575" s="472"/>
      <c r="BCW575" s="471"/>
      <c r="BCX575" s="473"/>
      <c r="BCY575" s="313"/>
      <c r="BCZ575" s="535"/>
      <c r="BDA575" s="536"/>
      <c r="BDB575" s="537"/>
      <c r="BDC575" s="538"/>
      <c r="BDD575" s="539"/>
      <c r="BDE575" s="540"/>
      <c r="BDF575" s="209"/>
      <c r="BDG575" s="541"/>
      <c r="BDH575" s="541"/>
      <c r="BDI575" s="482"/>
      <c r="BDJ575" s="173"/>
      <c r="BDK575" s="173"/>
      <c r="BDL575" s="509"/>
      <c r="BDN575" s="148"/>
      <c r="BDO575" s="148"/>
      <c r="BDP575" s="149"/>
      <c r="BDQ575" s="150"/>
      <c r="BDS575" s="152"/>
      <c r="BDT575" s="542"/>
      <c r="BDU575" s="154"/>
      <c r="BDV575" s="175"/>
      <c r="BDX575" s="156"/>
      <c r="BDY575" s="287"/>
      <c r="BDZ575" s="488"/>
      <c r="BEA575" s="489"/>
      <c r="BEB575" s="488"/>
      <c r="BEC575" s="300"/>
      <c r="BED575" s="532"/>
      <c r="BEE575" s="533"/>
      <c r="BEF575" s="534"/>
      <c r="BEG575" s="316"/>
      <c r="BEH575" s="316"/>
      <c r="BEI575" s="471"/>
      <c r="BEJ575" s="472"/>
      <c r="BEK575" s="471"/>
      <c r="BEL575" s="473"/>
      <c r="BEM575" s="313"/>
      <c r="BEN575" s="535"/>
      <c r="BEO575" s="536"/>
      <c r="BEP575" s="537"/>
      <c r="BEQ575" s="538"/>
      <c r="BER575" s="539"/>
      <c r="BES575" s="540"/>
      <c r="BET575" s="209"/>
      <c r="BEU575" s="541"/>
      <c r="BEV575" s="541"/>
      <c r="BEW575" s="482"/>
      <c r="BEX575" s="173"/>
      <c r="BEY575" s="173"/>
      <c r="BEZ575" s="509"/>
      <c r="BFB575" s="148"/>
      <c r="BFC575" s="148"/>
      <c r="BFD575" s="149"/>
      <c r="BFE575" s="150"/>
      <c r="BFG575" s="152"/>
      <c r="BFH575" s="542"/>
      <c r="BFI575" s="154"/>
      <c r="BFJ575" s="175"/>
      <c r="BFL575" s="156"/>
      <c r="BFM575" s="287"/>
      <c r="BFN575" s="488"/>
      <c r="BFO575" s="489"/>
      <c r="BFP575" s="488"/>
      <c r="BFQ575" s="300"/>
      <c r="BFR575" s="532"/>
      <c r="BFS575" s="533"/>
      <c r="BFT575" s="534"/>
      <c r="BFU575" s="316"/>
      <c r="BFV575" s="316"/>
      <c r="BFW575" s="471"/>
      <c r="BFX575" s="472"/>
      <c r="BFY575" s="471"/>
      <c r="BFZ575" s="473"/>
      <c r="BGA575" s="313"/>
      <c r="BGB575" s="535"/>
      <c r="BGC575" s="536"/>
      <c r="BGD575" s="537"/>
      <c r="BGE575" s="538"/>
      <c r="BGF575" s="539"/>
      <c r="BGG575" s="540"/>
      <c r="BGH575" s="209"/>
      <c r="BGI575" s="541"/>
      <c r="BGJ575" s="541"/>
      <c r="BGK575" s="482"/>
      <c r="BGL575" s="173"/>
      <c r="BGM575" s="173"/>
      <c r="BGN575" s="509"/>
      <c r="BGP575" s="148"/>
      <c r="BGQ575" s="148"/>
      <c r="BGR575" s="149"/>
      <c r="BGS575" s="150"/>
      <c r="BGU575" s="152"/>
      <c r="BGV575" s="542"/>
      <c r="BGW575" s="154"/>
      <c r="BGX575" s="175"/>
      <c r="BGZ575" s="156"/>
      <c r="BHA575" s="287"/>
      <c r="BHB575" s="488"/>
      <c r="BHC575" s="489"/>
      <c r="BHD575" s="488"/>
      <c r="BHE575" s="300"/>
      <c r="BHF575" s="532"/>
      <c r="BHG575" s="533"/>
      <c r="BHH575" s="534"/>
      <c r="BHI575" s="316"/>
      <c r="BHJ575" s="316"/>
      <c r="BHK575" s="471"/>
      <c r="BHL575" s="472"/>
      <c r="BHM575" s="471"/>
      <c r="BHN575" s="473"/>
      <c r="BHO575" s="313"/>
      <c r="BHP575" s="535"/>
      <c r="BHQ575" s="536"/>
      <c r="BHR575" s="537"/>
      <c r="BHS575" s="538"/>
      <c r="BHT575" s="539"/>
      <c r="BHU575" s="540"/>
      <c r="BHV575" s="209"/>
      <c r="BHW575" s="541"/>
      <c r="BHX575" s="541"/>
      <c r="BHY575" s="482"/>
      <c r="BHZ575" s="173"/>
      <c r="BIA575" s="173"/>
      <c r="BIB575" s="509"/>
      <c r="BID575" s="148"/>
      <c r="BIE575" s="148"/>
      <c r="BIF575" s="149"/>
      <c r="BIG575" s="150"/>
      <c r="BII575" s="152"/>
      <c r="BIJ575" s="542"/>
      <c r="BIK575" s="154"/>
      <c r="BIL575" s="175"/>
      <c r="BIN575" s="156"/>
      <c r="BIO575" s="287"/>
      <c r="BIP575" s="488"/>
      <c r="BIQ575" s="489"/>
      <c r="BIR575" s="488"/>
      <c r="BIS575" s="300"/>
      <c r="BIT575" s="532"/>
      <c r="BIU575" s="533"/>
      <c r="BIV575" s="534"/>
      <c r="BIW575" s="316"/>
      <c r="BIX575" s="316"/>
      <c r="BIY575" s="471"/>
      <c r="BIZ575" s="472"/>
      <c r="BJA575" s="471"/>
      <c r="BJB575" s="473"/>
      <c r="BJC575" s="313"/>
      <c r="BJD575" s="535"/>
      <c r="BJE575" s="536"/>
      <c r="BJF575" s="537"/>
      <c r="BJG575" s="538"/>
      <c r="BJH575" s="539"/>
      <c r="BJI575" s="540"/>
      <c r="BJJ575" s="209"/>
      <c r="BJK575" s="541"/>
      <c r="BJL575" s="541"/>
      <c r="BJM575" s="482"/>
      <c r="BJN575" s="173"/>
      <c r="BJO575" s="173"/>
      <c r="BJP575" s="509"/>
      <c r="BJR575" s="148"/>
      <c r="BJS575" s="148"/>
      <c r="BJT575" s="149"/>
      <c r="BJU575" s="150"/>
      <c r="BJW575" s="152"/>
      <c r="BJX575" s="542"/>
      <c r="BJY575" s="154"/>
      <c r="BJZ575" s="175"/>
      <c r="BKB575" s="156"/>
      <c r="BKC575" s="287"/>
      <c r="BKD575" s="488"/>
      <c r="BKE575" s="489"/>
      <c r="BKF575" s="488"/>
      <c r="BKG575" s="300"/>
      <c r="BKH575" s="532"/>
      <c r="BKI575" s="533"/>
      <c r="BKJ575" s="534"/>
      <c r="BKK575" s="316"/>
      <c r="BKL575" s="316"/>
      <c r="BKM575" s="471"/>
      <c r="BKN575" s="472"/>
      <c r="BKO575" s="471"/>
      <c r="BKP575" s="473"/>
      <c r="BKQ575" s="313"/>
      <c r="BKR575" s="535"/>
      <c r="BKS575" s="536"/>
      <c r="BKT575" s="537"/>
      <c r="BKU575" s="538"/>
      <c r="BKV575" s="539"/>
      <c r="BKW575" s="540"/>
      <c r="BKX575" s="209"/>
      <c r="BKY575" s="541"/>
      <c r="BKZ575" s="541"/>
      <c r="BLA575" s="482"/>
      <c r="BLB575" s="173"/>
      <c r="BLC575" s="173"/>
      <c r="BLD575" s="509"/>
      <c r="BLF575" s="148"/>
      <c r="BLG575" s="148"/>
      <c r="BLH575" s="149"/>
      <c r="BLI575" s="150"/>
      <c r="BLK575" s="152"/>
      <c r="BLL575" s="542"/>
      <c r="BLM575" s="154"/>
      <c r="BLN575" s="175"/>
      <c r="BLP575" s="156"/>
      <c r="BLQ575" s="287"/>
      <c r="BLR575" s="488"/>
      <c r="BLS575" s="489"/>
      <c r="BLT575" s="488"/>
      <c r="BLU575" s="300"/>
      <c r="BLV575" s="532"/>
      <c r="BLW575" s="533"/>
      <c r="BLX575" s="534"/>
      <c r="BLY575" s="316"/>
      <c r="BLZ575" s="316"/>
      <c r="BMA575" s="471"/>
      <c r="BMB575" s="472"/>
      <c r="BMC575" s="471"/>
      <c r="BMD575" s="473"/>
      <c r="BME575" s="313"/>
      <c r="BMF575" s="535"/>
      <c r="BMG575" s="536"/>
      <c r="BMH575" s="537"/>
      <c r="BMI575" s="538"/>
      <c r="BMJ575" s="539"/>
      <c r="BMK575" s="540"/>
      <c r="BML575" s="209"/>
      <c r="BMM575" s="541"/>
      <c r="BMN575" s="541"/>
      <c r="BMO575" s="482"/>
      <c r="BMP575" s="173"/>
      <c r="BMQ575" s="173"/>
      <c r="BMR575" s="509"/>
      <c r="BMT575" s="148"/>
      <c r="BMU575" s="148"/>
      <c r="BMV575" s="149"/>
      <c r="BMW575" s="150"/>
      <c r="BMY575" s="152"/>
      <c r="BMZ575" s="542"/>
      <c r="BNA575" s="154"/>
      <c r="BNB575" s="175"/>
      <c r="BND575" s="156"/>
      <c r="BNE575" s="287"/>
      <c r="BNF575" s="488"/>
      <c r="BNG575" s="489"/>
      <c r="BNH575" s="488"/>
      <c r="BNI575" s="300"/>
      <c r="BNJ575" s="532"/>
      <c r="BNK575" s="533"/>
      <c r="BNL575" s="534"/>
      <c r="BNM575" s="316"/>
      <c r="BNN575" s="316"/>
      <c r="BNO575" s="471"/>
      <c r="BNP575" s="472"/>
      <c r="BNQ575" s="471"/>
      <c r="BNR575" s="473"/>
      <c r="BNS575" s="313"/>
      <c r="BNT575" s="535"/>
      <c r="BNU575" s="536"/>
      <c r="BNV575" s="537"/>
      <c r="BNW575" s="538"/>
      <c r="BNX575" s="539"/>
      <c r="BNY575" s="540"/>
      <c r="BNZ575" s="209"/>
      <c r="BOA575" s="541"/>
      <c r="BOB575" s="541"/>
      <c r="BOC575" s="482"/>
      <c r="BOD575" s="173"/>
      <c r="BOE575" s="173"/>
      <c r="BOF575" s="509"/>
      <c r="BOH575" s="148"/>
      <c r="BOI575" s="148"/>
      <c r="BOJ575" s="149"/>
      <c r="BOK575" s="150"/>
      <c r="BOM575" s="152"/>
      <c r="BON575" s="542"/>
      <c r="BOO575" s="154"/>
      <c r="BOP575" s="175"/>
      <c r="BOR575" s="156"/>
      <c r="BOS575" s="287"/>
      <c r="BOT575" s="488"/>
      <c r="BOU575" s="489"/>
      <c r="BOV575" s="488"/>
      <c r="BOW575" s="300"/>
      <c r="BOX575" s="532"/>
      <c r="BOY575" s="533"/>
      <c r="BOZ575" s="534"/>
      <c r="BPA575" s="316"/>
      <c r="BPB575" s="316"/>
      <c r="BPC575" s="471"/>
      <c r="BPD575" s="472"/>
      <c r="BPE575" s="471"/>
      <c r="BPF575" s="473"/>
      <c r="BPG575" s="313"/>
      <c r="BPH575" s="535"/>
      <c r="BPI575" s="536"/>
      <c r="BPJ575" s="537"/>
      <c r="BPK575" s="538"/>
      <c r="BPL575" s="539"/>
      <c r="BPM575" s="540"/>
      <c r="BPN575" s="209"/>
      <c r="BPO575" s="541"/>
      <c r="BPP575" s="541"/>
      <c r="BPQ575" s="482"/>
      <c r="BPR575" s="173"/>
      <c r="BPS575" s="173"/>
      <c r="BPT575" s="509"/>
      <c r="BPV575" s="148"/>
      <c r="BPW575" s="148"/>
      <c r="BPX575" s="149"/>
      <c r="BPY575" s="150"/>
      <c r="BQA575" s="152"/>
      <c r="BQB575" s="542"/>
      <c r="BQC575" s="154"/>
      <c r="BQD575" s="175"/>
      <c r="BQF575" s="156"/>
      <c r="BQG575" s="287"/>
      <c r="BQH575" s="488"/>
      <c r="BQI575" s="489"/>
      <c r="BQJ575" s="488"/>
      <c r="BQK575" s="300"/>
      <c r="BQL575" s="532"/>
      <c r="BQM575" s="533"/>
      <c r="BQN575" s="534"/>
      <c r="BQO575" s="316"/>
      <c r="BQP575" s="316"/>
      <c r="BQQ575" s="471"/>
      <c r="BQR575" s="472"/>
      <c r="BQS575" s="471"/>
      <c r="BQT575" s="473"/>
      <c r="BQU575" s="313"/>
      <c r="BQV575" s="535"/>
      <c r="BQW575" s="536"/>
      <c r="BQX575" s="537"/>
      <c r="BQY575" s="538"/>
      <c r="BQZ575" s="539"/>
      <c r="BRA575" s="540"/>
      <c r="BRB575" s="209"/>
      <c r="BRC575" s="541"/>
      <c r="BRD575" s="541"/>
      <c r="BRE575" s="482"/>
      <c r="BRF575" s="173"/>
      <c r="BRG575" s="173"/>
      <c r="BRH575" s="509"/>
      <c r="BRJ575" s="148"/>
      <c r="BRK575" s="148"/>
      <c r="BRL575" s="149"/>
      <c r="BRM575" s="150"/>
      <c r="BRO575" s="152"/>
      <c r="BRP575" s="542"/>
      <c r="BRQ575" s="154"/>
      <c r="BRR575" s="175"/>
      <c r="BRT575" s="156"/>
      <c r="BRU575" s="287"/>
      <c r="BRV575" s="488"/>
      <c r="BRW575" s="489"/>
      <c r="BRX575" s="488"/>
      <c r="BRY575" s="300"/>
      <c r="BRZ575" s="532"/>
      <c r="BSA575" s="533"/>
      <c r="BSB575" s="534"/>
      <c r="BSC575" s="316"/>
      <c r="BSD575" s="316"/>
      <c r="BSE575" s="471"/>
      <c r="BSF575" s="472"/>
      <c r="BSG575" s="471"/>
      <c r="BSH575" s="473"/>
      <c r="BSI575" s="313"/>
      <c r="BSJ575" s="535"/>
      <c r="BSK575" s="536"/>
      <c r="BSL575" s="537"/>
      <c r="BSM575" s="538"/>
      <c r="BSN575" s="539"/>
      <c r="BSO575" s="540"/>
      <c r="BSP575" s="209"/>
      <c r="BSQ575" s="541"/>
      <c r="BSR575" s="541"/>
      <c r="BSS575" s="482"/>
      <c r="BST575" s="173"/>
      <c r="BSU575" s="173"/>
      <c r="BSV575" s="509"/>
      <c r="BSX575" s="148"/>
      <c r="BSY575" s="148"/>
      <c r="BSZ575" s="149"/>
      <c r="BTA575" s="150"/>
      <c r="BTC575" s="152"/>
      <c r="BTD575" s="542"/>
      <c r="BTE575" s="154"/>
      <c r="BTF575" s="175"/>
      <c r="BTH575" s="156"/>
      <c r="BTI575" s="287"/>
      <c r="BTJ575" s="488"/>
      <c r="BTK575" s="489"/>
      <c r="BTL575" s="488"/>
      <c r="BTM575" s="300"/>
      <c r="BTN575" s="532"/>
      <c r="BTO575" s="533"/>
      <c r="BTP575" s="534"/>
      <c r="BTQ575" s="316"/>
      <c r="BTR575" s="316"/>
      <c r="BTS575" s="471"/>
      <c r="BTT575" s="472"/>
      <c r="BTU575" s="471"/>
      <c r="BTV575" s="473"/>
      <c r="BTW575" s="313"/>
      <c r="BTX575" s="535"/>
      <c r="BTY575" s="536"/>
      <c r="BTZ575" s="537"/>
      <c r="BUA575" s="538"/>
      <c r="BUB575" s="539"/>
      <c r="BUC575" s="540"/>
      <c r="BUD575" s="209"/>
      <c r="BUE575" s="541"/>
      <c r="BUF575" s="541"/>
      <c r="BUG575" s="482"/>
      <c r="BUH575" s="173"/>
      <c r="BUI575" s="173"/>
      <c r="BUJ575" s="509"/>
      <c r="BUL575" s="148"/>
      <c r="BUM575" s="148"/>
      <c r="BUN575" s="149"/>
      <c r="BUO575" s="150"/>
      <c r="BUQ575" s="152"/>
      <c r="BUR575" s="542"/>
      <c r="BUS575" s="154"/>
      <c r="BUT575" s="175"/>
      <c r="BUV575" s="156"/>
      <c r="BUW575" s="287"/>
      <c r="BUX575" s="488"/>
      <c r="BUY575" s="489"/>
      <c r="BUZ575" s="488"/>
      <c r="BVA575" s="300"/>
      <c r="BVB575" s="532"/>
      <c r="BVC575" s="533"/>
      <c r="BVD575" s="534"/>
      <c r="BVE575" s="316"/>
      <c r="BVF575" s="316"/>
      <c r="BVG575" s="471"/>
      <c r="BVH575" s="472"/>
      <c r="BVI575" s="471"/>
      <c r="BVJ575" s="473"/>
      <c r="BVK575" s="313"/>
      <c r="BVL575" s="535"/>
      <c r="BVM575" s="536"/>
      <c r="BVN575" s="537"/>
      <c r="BVO575" s="538"/>
      <c r="BVP575" s="539"/>
      <c r="BVQ575" s="540"/>
      <c r="BVR575" s="209"/>
      <c r="BVS575" s="541"/>
      <c r="BVT575" s="541"/>
      <c r="BVU575" s="482"/>
      <c r="BVV575" s="173"/>
      <c r="BVW575" s="173"/>
      <c r="BVX575" s="509"/>
      <c r="BVZ575" s="148"/>
      <c r="BWA575" s="148"/>
      <c r="BWB575" s="149"/>
      <c r="BWC575" s="150"/>
      <c r="BWE575" s="152"/>
      <c r="BWF575" s="542"/>
      <c r="BWG575" s="154"/>
      <c r="BWH575" s="175"/>
      <c r="BWJ575" s="156"/>
      <c r="BWK575" s="287"/>
      <c r="BWL575" s="488"/>
      <c r="BWM575" s="489"/>
      <c r="BWN575" s="488"/>
      <c r="BWO575" s="300"/>
      <c r="BWP575" s="532"/>
      <c r="BWQ575" s="533"/>
      <c r="BWR575" s="534"/>
      <c r="BWS575" s="316"/>
      <c r="BWT575" s="316"/>
      <c r="BWU575" s="471"/>
      <c r="BWV575" s="472"/>
      <c r="BWW575" s="471"/>
      <c r="BWX575" s="473"/>
      <c r="BWY575" s="313"/>
      <c r="BWZ575" s="535"/>
      <c r="BXA575" s="536"/>
      <c r="BXB575" s="537"/>
      <c r="BXC575" s="538"/>
      <c r="BXD575" s="539"/>
      <c r="BXE575" s="540"/>
      <c r="BXF575" s="209"/>
      <c r="BXG575" s="541"/>
      <c r="BXH575" s="541"/>
      <c r="BXI575" s="482"/>
      <c r="BXJ575" s="173"/>
      <c r="BXK575" s="173"/>
      <c r="BXL575" s="509"/>
      <c r="BXN575" s="148"/>
      <c r="BXO575" s="148"/>
      <c r="BXP575" s="149"/>
      <c r="BXQ575" s="150"/>
      <c r="BXS575" s="152"/>
      <c r="BXT575" s="542"/>
      <c r="BXU575" s="154"/>
      <c r="BXV575" s="175"/>
      <c r="BXX575" s="156"/>
      <c r="BXY575" s="287"/>
      <c r="BXZ575" s="488"/>
      <c r="BYA575" s="489"/>
      <c r="BYB575" s="488"/>
      <c r="BYC575" s="300"/>
      <c r="BYD575" s="532"/>
      <c r="BYE575" s="533"/>
      <c r="BYF575" s="534"/>
      <c r="BYG575" s="316"/>
      <c r="BYH575" s="316"/>
      <c r="BYI575" s="471"/>
      <c r="BYJ575" s="472"/>
      <c r="BYK575" s="471"/>
      <c r="BYL575" s="473"/>
      <c r="BYM575" s="313"/>
      <c r="BYN575" s="535"/>
      <c r="BYO575" s="536"/>
      <c r="BYP575" s="537"/>
      <c r="BYQ575" s="538"/>
      <c r="BYR575" s="539"/>
      <c r="BYS575" s="540"/>
      <c r="BYT575" s="209"/>
      <c r="BYU575" s="541"/>
      <c r="BYV575" s="541"/>
      <c r="BYW575" s="482"/>
      <c r="BYX575" s="173"/>
      <c r="BYY575" s="173"/>
      <c r="BYZ575" s="509"/>
      <c r="BZB575" s="148"/>
      <c r="BZC575" s="148"/>
      <c r="BZD575" s="149"/>
      <c r="BZE575" s="150"/>
      <c r="BZG575" s="152"/>
      <c r="BZH575" s="542"/>
      <c r="BZI575" s="154"/>
      <c r="BZJ575" s="175"/>
      <c r="BZL575" s="156"/>
      <c r="BZM575" s="287"/>
      <c r="BZN575" s="488"/>
      <c r="BZO575" s="489"/>
      <c r="BZP575" s="488"/>
      <c r="BZQ575" s="300"/>
      <c r="BZR575" s="532"/>
      <c r="BZS575" s="533"/>
      <c r="BZT575" s="534"/>
      <c r="BZU575" s="316"/>
      <c r="BZV575" s="316"/>
      <c r="BZW575" s="471"/>
      <c r="BZX575" s="472"/>
      <c r="BZY575" s="471"/>
      <c r="BZZ575" s="473"/>
      <c r="CAA575" s="313"/>
      <c r="CAB575" s="535"/>
      <c r="CAC575" s="536"/>
      <c r="CAD575" s="537"/>
      <c r="CAE575" s="538"/>
      <c r="CAF575" s="539"/>
      <c r="CAG575" s="540"/>
      <c r="CAH575" s="209"/>
      <c r="CAI575" s="541"/>
      <c r="CAJ575" s="541"/>
      <c r="CAK575" s="482"/>
      <c r="CAL575" s="173"/>
      <c r="CAM575" s="173"/>
      <c r="CAN575" s="509"/>
      <c r="CAP575" s="148"/>
      <c r="CAQ575" s="148"/>
      <c r="CAR575" s="149"/>
      <c r="CAS575" s="150"/>
      <c r="CAU575" s="152"/>
      <c r="CAV575" s="542"/>
      <c r="CAW575" s="154"/>
      <c r="CAX575" s="175"/>
      <c r="CAZ575" s="156"/>
      <c r="CBA575" s="287"/>
      <c r="CBB575" s="488"/>
      <c r="CBC575" s="489"/>
      <c r="CBD575" s="488"/>
      <c r="CBE575" s="300"/>
      <c r="CBF575" s="532"/>
      <c r="CBG575" s="533"/>
      <c r="CBH575" s="534"/>
      <c r="CBI575" s="316"/>
      <c r="CBJ575" s="316"/>
      <c r="CBK575" s="471"/>
      <c r="CBL575" s="472"/>
      <c r="CBM575" s="471"/>
      <c r="CBN575" s="473"/>
      <c r="CBO575" s="313"/>
      <c r="CBP575" s="535"/>
      <c r="CBQ575" s="536"/>
      <c r="CBR575" s="537"/>
      <c r="CBS575" s="538"/>
      <c r="CBT575" s="539"/>
      <c r="CBU575" s="540"/>
      <c r="CBV575" s="209"/>
      <c r="CBW575" s="541"/>
      <c r="CBX575" s="541"/>
      <c r="CBY575" s="482"/>
      <c r="CBZ575" s="173"/>
      <c r="CCA575" s="173"/>
      <c r="CCB575" s="509"/>
      <c r="CCD575" s="148"/>
      <c r="CCE575" s="148"/>
      <c r="CCF575" s="149"/>
      <c r="CCG575" s="150"/>
      <c r="CCI575" s="152"/>
      <c r="CCJ575" s="542"/>
      <c r="CCK575" s="154"/>
      <c r="CCL575" s="175"/>
      <c r="CCN575" s="156"/>
      <c r="CCO575" s="287"/>
      <c r="CCP575" s="488"/>
      <c r="CCQ575" s="489"/>
      <c r="CCR575" s="488"/>
      <c r="CCS575" s="300"/>
      <c r="CCT575" s="532"/>
      <c r="CCU575" s="533"/>
      <c r="CCV575" s="534"/>
      <c r="CCW575" s="316"/>
      <c r="CCX575" s="316"/>
      <c r="CCY575" s="471"/>
      <c r="CCZ575" s="472"/>
      <c r="CDA575" s="471"/>
      <c r="CDB575" s="473"/>
      <c r="CDC575" s="313"/>
      <c r="CDD575" s="535"/>
      <c r="CDE575" s="536"/>
      <c r="CDF575" s="537"/>
      <c r="CDG575" s="538"/>
      <c r="CDH575" s="539"/>
      <c r="CDI575" s="540"/>
      <c r="CDJ575" s="209"/>
      <c r="CDK575" s="541"/>
      <c r="CDL575" s="541"/>
      <c r="CDM575" s="482"/>
      <c r="CDN575" s="173"/>
      <c r="CDO575" s="173"/>
      <c r="CDP575" s="509"/>
      <c r="CDR575" s="148"/>
      <c r="CDS575" s="148"/>
      <c r="CDT575" s="149"/>
      <c r="CDU575" s="150"/>
      <c r="CDW575" s="152"/>
      <c r="CDX575" s="542"/>
      <c r="CDY575" s="154"/>
      <c r="CDZ575" s="175"/>
      <c r="CEB575" s="156"/>
      <c r="CEC575" s="287"/>
      <c r="CED575" s="488"/>
      <c r="CEE575" s="489"/>
      <c r="CEF575" s="488"/>
      <c r="CEG575" s="300"/>
      <c r="CEH575" s="532"/>
      <c r="CEI575" s="533"/>
      <c r="CEJ575" s="534"/>
      <c r="CEK575" s="316"/>
      <c r="CEL575" s="316"/>
      <c r="CEM575" s="471"/>
      <c r="CEN575" s="472"/>
      <c r="CEO575" s="471"/>
      <c r="CEP575" s="473"/>
      <c r="CEQ575" s="313"/>
      <c r="CER575" s="535"/>
      <c r="CES575" s="536"/>
      <c r="CET575" s="537"/>
      <c r="CEU575" s="538"/>
      <c r="CEV575" s="539"/>
      <c r="CEW575" s="540"/>
      <c r="CEX575" s="209"/>
      <c r="CEY575" s="541"/>
      <c r="CEZ575" s="541"/>
      <c r="CFA575" s="482"/>
      <c r="CFB575" s="173"/>
      <c r="CFC575" s="173"/>
      <c r="CFD575" s="509"/>
      <c r="CFF575" s="148"/>
      <c r="CFG575" s="148"/>
      <c r="CFH575" s="149"/>
      <c r="CFI575" s="150"/>
      <c r="CFK575" s="152"/>
      <c r="CFL575" s="542"/>
      <c r="CFM575" s="154"/>
      <c r="CFN575" s="175"/>
      <c r="CFP575" s="156"/>
      <c r="CFQ575" s="287"/>
      <c r="CFR575" s="488"/>
      <c r="CFS575" s="489"/>
      <c r="CFT575" s="488"/>
      <c r="CFU575" s="300"/>
      <c r="CFV575" s="532"/>
      <c r="CFW575" s="533"/>
      <c r="CFX575" s="534"/>
      <c r="CFY575" s="316"/>
      <c r="CFZ575" s="316"/>
      <c r="CGA575" s="471"/>
      <c r="CGB575" s="472"/>
      <c r="CGC575" s="471"/>
      <c r="CGD575" s="473"/>
      <c r="CGE575" s="313"/>
      <c r="CGF575" s="535"/>
      <c r="CGG575" s="536"/>
      <c r="CGH575" s="537"/>
      <c r="CGI575" s="538"/>
      <c r="CGJ575" s="539"/>
      <c r="CGK575" s="540"/>
      <c r="CGL575" s="209"/>
      <c r="CGM575" s="541"/>
      <c r="CGN575" s="541"/>
      <c r="CGO575" s="482"/>
      <c r="CGP575" s="173"/>
      <c r="CGQ575" s="173"/>
      <c r="CGR575" s="509"/>
      <c r="CGT575" s="148"/>
      <c r="CGU575" s="148"/>
      <c r="CGV575" s="149"/>
      <c r="CGW575" s="150"/>
      <c r="CGY575" s="152"/>
      <c r="CGZ575" s="542"/>
      <c r="CHA575" s="154"/>
      <c r="CHB575" s="175"/>
      <c r="CHD575" s="156"/>
      <c r="CHE575" s="287"/>
      <c r="CHF575" s="488"/>
      <c r="CHG575" s="489"/>
      <c r="CHH575" s="488"/>
      <c r="CHI575" s="300"/>
      <c r="CHJ575" s="532"/>
      <c r="CHK575" s="533"/>
      <c r="CHL575" s="534"/>
      <c r="CHM575" s="316"/>
      <c r="CHN575" s="316"/>
      <c r="CHO575" s="471"/>
      <c r="CHP575" s="472"/>
      <c r="CHQ575" s="471"/>
      <c r="CHR575" s="473"/>
      <c r="CHS575" s="313"/>
      <c r="CHT575" s="535"/>
      <c r="CHU575" s="536"/>
      <c r="CHV575" s="537"/>
      <c r="CHW575" s="538"/>
      <c r="CHX575" s="539"/>
      <c r="CHY575" s="540"/>
      <c r="CHZ575" s="209"/>
      <c r="CIA575" s="541"/>
      <c r="CIB575" s="541"/>
      <c r="CIC575" s="482"/>
      <c r="CID575" s="173"/>
      <c r="CIE575" s="173"/>
      <c r="CIF575" s="509"/>
      <c r="CIH575" s="148"/>
      <c r="CII575" s="148"/>
      <c r="CIJ575" s="149"/>
      <c r="CIK575" s="150"/>
      <c r="CIM575" s="152"/>
      <c r="CIN575" s="542"/>
      <c r="CIO575" s="154"/>
      <c r="CIP575" s="175"/>
      <c r="CIR575" s="156"/>
      <c r="CIS575" s="287"/>
      <c r="CIT575" s="488"/>
      <c r="CIU575" s="489"/>
      <c r="CIV575" s="488"/>
      <c r="CIW575" s="300"/>
      <c r="CIX575" s="532"/>
      <c r="CIY575" s="533"/>
      <c r="CIZ575" s="534"/>
      <c r="CJA575" s="316"/>
      <c r="CJB575" s="316"/>
      <c r="CJC575" s="471"/>
      <c r="CJD575" s="472"/>
      <c r="CJE575" s="471"/>
      <c r="CJF575" s="473"/>
      <c r="CJG575" s="313"/>
      <c r="CJH575" s="535"/>
      <c r="CJI575" s="536"/>
      <c r="CJJ575" s="537"/>
      <c r="CJK575" s="538"/>
      <c r="CJL575" s="539"/>
      <c r="CJM575" s="540"/>
      <c r="CJN575" s="209"/>
      <c r="CJO575" s="541"/>
      <c r="CJP575" s="541"/>
      <c r="CJQ575" s="482"/>
      <c r="CJR575" s="173"/>
      <c r="CJS575" s="173"/>
      <c r="CJT575" s="509"/>
      <c r="CJV575" s="148"/>
      <c r="CJW575" s="148"/>
      <c r="CJX575" s="149"/>
      <c r="CJY575" s="150"/>
      <c r="CKA575" s="152"/>
      <c r="CKB575" s="542"/>
      <c r="CKC575" s="154"/>
      <c r="CKD575" s="175"/>
      <c r="CKF575" s="156"/>
      <c r="CKG575" s="287"/>
      <c r="CKH575" s="488"/>
      <c r="CKI575" s="489"/>
      <c r="CKJ575" s="488"/>
      <c r="CKK575" s="300"/>
      <c r="CKL575" s="532"/>
      <c r="CKM575" s="533"/>
      <c r="CKN575" s="534"/>
      <c r="CKO575" s="316"/>
      <c r="CKP575" s="316"/>
      <c r="CKQ575" s="471"/>
      <c r="CKR575" s="472"/>
      <c r="CKS575" s="471"/>
      <c r="CKT575" s="473"/>
      <c r="CKU575" s="313"/>
      <c r="CKV575" s="535"/>
      <c r="CKW575" s="536"/>
      <c r="CKX575" s="537"/>
      <c r="CKY575" s="538"/>
      <c r="CKZ575" s="539"/>
      <c r="CLA575" s="540"/>
      <c r="CLB575" s="209"/>
      <c r="CLC575" s="541"/>
      <c r="CLD575" s="541"/>
      <c r="CLE575" s="482"/>
      <c r="CLF575" s="173"/>
      <c r="CLG575" s="173"/>
      <c r="CLH575" s="509"/>
      <c r="CLJ575" s="148"/>
      <c r="CLK575" s="148"/>
      <c r="CLL575" s="149"/>
      <c r="CLM575" s="150"/>
      <c r="CLO575" s="152"/>
      <c r="CLP575" s="542"/>
      <c r="CLQ575" s="154"/>
      <c r="CLR575" s="175"/>
      <c r="CLT575" s="156"/>
      <c r="CLU575" s="287"/>
      <c r="CLV575" s="488"/>
      <c r="CLW575" s="489"/>
      <c r="CLX575" s="488"/>
      <c r="CLY575" s="300"/>
      <c r="CLZ575" s="532"/>
      <c r="CMA575" s="533"/>
      <c r="CMB575" s="534"/>
      <c r="CMC575" s="316"/>
      <c r="CMD575" s="316"/>
      <c r="CME575" s="471"/>
      <c r="CMF575" s="472"/>
      <c r="CMG575" s="471"/>
      <c r="CMH575" s="473"/>
      <c r="CMI575" s="313"/>
      <c r="CMJ575" s="535"/>
      <c r="CMK575" s="536"/>
      <c r="CML575" s="537"/>
      <c r="CMM575" s="538"/>
      <c r="CMN575" s="539"/>
      <c r="CMO575" s="540"/>
      <c r="CMP575" s="209"/>
      <c r="CMQ575" s="541"/>
      <c r="CMR575" s="541"/>
      <c r="CMS575" s="482"/>
      <c r="CMT575" s="173"/>
      <c r="CMU575" s="173"/>
      <c r="CMV575" s="509"/>
      <c r="CMX575" s="148"/>
      <c r="CMY575" s="148"/>
      <c r="CMZ575" s="149"/>
      <c r="CNA575" s="150"/>
      <c r="CNC575" s="152"/>
      <c r="CND575" s="542"/>
      <c r="CNE575" s="154"/>
      <c r="CNF575" s="175"/>
      <c r="CNH575" s="156"/>
      <c r="CNI575" s="287"/>
      <c r="CNJ575" s="488"/>
      <c r="CNK575" s="489"/>
      <c r="CNL575" s="488"/>
      <c r="CNM575" s="300"/>
      <c r="CNN575" s="532"/>
      <c r="CNO575" s="533"/>
      <c r="CNP575" s="534"/>
      <c r="CNQ575" s="316"/>
      <c r="CNR575" s="316"/>
      <c r="CNS575" s="471"/>
      <c r="CNT575" s="472"/>
      <c r="CNU575" s="471"/>
      <c r="CNV575" s="473"/>
      <c r="CNW575" s="313"/>
      <c r="CNX575" s="535"/>
      <c r="CNY575" s="536"/>
      <c r="CNZ575" s="537"/>
      <c r="COA575" s="538"/>
      <c r="COB575" s="539"/>
      <c r="COC575" s="540"/>
      <c r="COD575" s="209"/>
      <c r="COE575" s="541"/>
      <c r="COF575" s="541"/>
      <c r="COG575" s="482"/>
      <c r="COH575" s="173"/>
      <c r="COI575" s="173"/>
      <c r="COJ575" s="509"/>
      <c r="COL575" s="148"/>
      <c r="COM575" s="148"/>
      <c r="CON575" s="149"/>
      <c r="COO575" s="150"/>
      <c r="COQ575" s="152"/>
      <c r="COR575" s="542"/>
      <c r="COS575" s="154"/>
      <c r="COT575" s="175"/>
      <c r="COV575" s="156"/>
      <c r="COW575" s="287"/>
      <c r="COX575" s="488"/>
      <c r="COY575" s="489"/>
      <c r="COZ575" s="488"/>
      <c r="CPA575" s="300"/>
      <c r="CPB575" s="532"/>
      <c r="CPC575" s="533"/>
      <c r="CPD575" s="534"/>
      <c r="CPE575" s="316"/>
      <c r="CPF575" s="316"/>
      <c r="CPG575" s="471"/>
      <c r="CPH575" s="472"/>
      <c r="CPI575" s="471"/>
      <c r="CPJ575" s="473"/>
      <c r="CPK575" s="313"/>
      <c r="CPL575" s="535"/>
      <c r="CPM575" s="536"/>
      <c r="CPN575" s="537"/>
      <c r="CPO575" s="538"/>
      <c r="CPP575" s="539"/>
      <c r="CPQ575" s="540"/>
      <c r="CPR575" s="209"/>
      <c r="CPS575" s="541"/>
      <c r="CPT575" s="541"/>
      <c r="CPU575" s="482"/>
      <c r="CPV575" s="173"/>
      <c r="CPW575" s="173"/>
      <c r="CPX575" s="509"/>
      <c r="CPZ575" s="148"/>
      <c r="CQA575" s="148"/>
      <c r="CQB575" s="149"/>
      <c r="CQC575" s="150"/>
      <c r="CQE575" s="152"/>
      <c r="CQF575" s="542"/>
      <c r="CQG575" s="154"/>
      <c r="CQH575" s="175"/>
      <c r="CQJ575" s="156"/>
      <c r="CQK575" s="287"/>
      <c r="CQL575" s="488"/>
      <c r="CQM575" s="489"/>
      <c r="CQN575" s="488"/>
      <c r="CQO575" s="300"/>
      <c r="CQP575" s="532"/>
      <c r="CQQ575" s="533"/>
      <c r="CQR575" s="534"/>
      <c r="CQS575" s="316"/>
      <c r="CQT575" s="316"/>
      <c r="CQU575" s="471"/>
      <c r="CQV575" s="472"/>
      <c r="CQW575" s="471"/>
      <c r="CQX575" s="473"/>
      <c r="CQY575" s="313"/>
      <c r="CQZ575" s="535"/>
      <c r="CRA575" s="536"/>
      <c r="CRB575" s="537"/>
      <c r="CRC575" s="538"/>
      <c r="CRD575" s="539"/>
      <c r="CRE575" s="540"/>
      <c r="CRF575" s="209"/>
      <c r="CRG575" s="541"/>
      <c r="CRH575" s="541"/>
      <c r="CRI575" s="482"/>
      <c r="CRJ575" s="173"/>
      <c r="CRK575" s="173"/>
      <c r="CRL575" s="509"/>
      <c r="CRN575" s="148"/>
      <c r="CRO575" s="148"/>
      <c r="CRP575" s="149"/>
      <c r="CRQ575" s="150"/>
      <c r="CRS575" s="152"/>
      <c r="CRT575" s="542"/>
      <c r="CRU575" s="154"/>
      <c r="CRV575" s="175"/>
      <c r="CRX575" s="156"/>
      <c r="CRY575" s="287"/>
      <c r="CRZ575" s="488"/>
      <c r="CSA575" s="489"/>
      <c r="CSB575" s="488"/>
      <c r="CSC575" s="300"/>
      <c r="CSD575" s="532"/>
      <c r="CSE575" s="533"/>
      <c r="CSF575" s="534"/>
      <c r="CSG575" s="316"/>
      <c r="CSH575" s="316"/>
      <c r="CSI575" s="471"/>
      <c r="CSJ575" s="472"/>
      <c r="CSK575" s="471"/>
      <c r="CSL575" s="473"/>
      <c r="CSM575" s="313"/>
      <c r="CSN575" s="535"/>
      <c r="CSO575" s="536"/>
      <c r="CSP575" s="537"/>
      <c r="CSQ575" s="538"/>
      <c r="CSR575" s="539"/>
      <c r="CSS575" s="540"/>
      <c r="CST575" s="209"/>
      <c r="CSU575" s="541"/>
      <c r="CSV575" s="541"/>
      <c r="CSW575" s="482"/>
      <c r="CSX575" s="173"/>
      <c r="CSY575" s="173"/>
      <c r="CSZ575" s="509"/>
      <c r="CTB575" s="148"/>
      <c r="CTC575" s="148"/>
      <c r="CTD575" s="149"/>
      <c r="CTE575" s="150"/>
      <c r="CTG575" s="152"/>
      <c r="CTH575" s="542"/>
      <c r="CTI575" s="154"/>
      <c r="CTJ575" s="175"/>
      <c r="CTL575" s="156"/>
      <c r="CTM575" s="287"/>
      <c r="CTN575" s="488"/>
      <c r="CTO575" s="489"/>
      <c r="CTP575" s="488"/>
      <c r="CTQ575" s="300"/>
      <c r="CTR575" s="532"/>
      <c r="CTS575" s="533"/>
      <c r="CTT575" s="534"/>
      <c r="CTU575" s="316"/>
      <c r="CTV575" s="316"/>
      <c r="CTW575" s="471"/>
      <c r="CTX575" s="472"/>
      <c r="CTY575" s="471"/>
      <c r="CTZ575" s="473"/>
      <c r="CUA575" s="313"/>
      <c r="CUB575" s="535"/>
      <c r="CUC575" s="536"/>
      <c r="CUD575" s="537"/>
      <c r="CUE575" s="538"/>
      <c r="CUF575" s="539"/>
      <c r="CUG575" s="540"/>
      <c r="CUH575" s="209"/>
      <c r="CUI575" s="541"/>
      <c r="CUJ575" s="541"/>
      <c r="CUK575" s="482"/>
      <c r="CUL575" s="173"/>
      <c r="CUM575" s="173"/>
      <c r="CUN575" s="509"/>
      <c r="CUP575" s="148"/>
      <c r="CUQ575" s="148"/>
      <c r="CUR575" s="149"/>
      <c r="CUS575" s="150"/>
      <c r="CUU575" s="152"/>
      <c r="CUV575" s="542"/>
      <c r="CUW575" s="154"/>
      <c r="CUX575" s="175"/>
      <c r="CUZ575" s="156"/>
      <c r="CVA575" s="287"/>
      <c r="CVB575" s="488"/>
      <c r="CVC575" s="489"/>
      <c r="CVD575" s="488"/>
      <c r="CVE575" s="300"/>
      <c r="CVF575" s="532"/>
      <c r="CVG575" s="533"/>
      <c r="CVH575" s="534"/>
      <c r="CVI575" s="316"/>
      <c r="CVJ575" s="316"/>
      <c r="CVK575" s="471"/>
      <c r="CVL575" s="472"/>
      <c r="CVM575" s="471"/>
      <c r="CVN575" s="473"/>
      <c r="CVO575" s="313"/>
      <c r="CVP575" s="535"/>
      <c r="CVQ575" s="536"/>
      <c r="CVR575" s="537"/>
      <c r="CVS575" s="538"/>
      <c r="CVT575" s="539"/>
      <c r="CVU575" s="540"/>
      <c r="CVV575" s="209"/>
      <c r="CVW575" s="541"/>
      <c r="CVX575" s="541"/>
      <c r="CVY575" s="482"/>
      <c r="CVZ575" s="173"/>
      <c r="CWA575" s="173"/>
      <c r="CWB575" s="509"/>
      <c r="CWD575" s="148"/>
      <c r="CWE575" s="148"/>
      <c r="CWF575" s="149"/>
      <c r="CWG575" s="150"/>
      <c r="CWI575" s="152"/>
      <c r="CWJ575" s="542"/>
      <c r="CWK575" s="154"/>
      <c r="CWL575" s="175"/>
      <c r="CWN575" s="156"/>
      <c r="CWO575" s="287"/>
      <c r="CWP575" s="488"/>
      <c r="CWQ575" s="489"/>
      <c r="CWR575" s="488"/>
      <c r="CWS575" s="300"/>
      <c r="CWT575" s="532"/>
      <c r="CWU575" s="533"/>
      <c r="CWV575" s="534"/>
      <c r="CWW575" s="316"/>
      <c r="CWX575" s="316"/>
      <c r="CWY575" s="471"/>
      <c r="CWZ575" s="472"/>
      <c r="CXA575" s="471"/>
      <c r="CXB575" s="473"/>
      <c r="CXC575" s="313"/>
      <c r="CXD575" s="535"/>
      <c r="CXE575" s="536"/>
      <c r="CXF575" s="537"/>
      <c r="CXG575" s="538"/>
      <c r="CXH575" s="539"/>
      <c r="CXI575" s="540"/>
      <c r="CXJ575" s="209"/>
      <c r="CXK575" s="541"/>
      <c r="CXL575" s="541"/>
      <c r="CXM575" s="482"/>
      <c r="CXN575" s="173"/>
      <c r="CXO575" s="173"/>
      <c r="CXP575" s="509"/>
      <c r="CXR575" s="148"/>
      <c r="CXS575" s="148"/>
      <c r="CXT575" s="149"/>
      <c r="CXU575" s="150"/>
      <c r="CXW575" s="152"/>
      <c r="CXX575" s="542"/>
      <c r="CXY575" s="154"/>
      <c r="CXZ575" s="175"/>
      <c r="CYB575" s="156"/>
      <c r="CYC575" s="287"/>
      <c r="CYD575" s="488"/>
      <c r="CYE575" s="489"/>
      <c r="CYF575" s="488"/>
      <c r="CYG575" s="300"/>
      <c r="CYH575" s="532"/>
      <c r="CYI575" s="533"/>
      <c r="CYJ575" s="534"/>
      <c r="CYK575" s="316"/>
      <c r="CYL575" s="316"/>
      <c r="CYM575" s="471"/>
      <c r="CYN575" s="472"/>
      <c r="CYO575" s="471"/>
      <c r="CYP575" s="473"/>
      <c r="CYQ575" s="313"/>
      <c r="CYR575" s="535"/>
      <c r="CYS575" s="536"/>
      <c r="CYT575" s="537"/>
      <c r="CYU575" s="538"/>
      <c r="CYV575" s="539"/>
      <c r="CYW575" s="540"/>
      <c r="CYX575" s="209"/>
      <c r="CYY575" s="541"/>
      <c r="CYZ575" s="541"/>
      <c r="CZA575" s="482"/>
      <c r="CZB575" s="173"/>
      <c r="CZC575" s="173"/>
      <c r="CZD575" s="509"/>
      <c r="CZF575" s="148"/>
      <c r="CZG575" s="148"/>
      <c r="CZH575" s="149"/>
      <c r="CZI575" s="150"/>
      <c r="CZK575" s="152"/>
      <c r="CZL575" s="542"/>
      <c r="CZM575" s="154"/>
      <c r="CZN575" s="175"/>
      <c r="CZP575" s="156"/>
      <c r="CZQ575" s="287"/>
      <c r="CZR575" s="488"/>
      <c r="CZS575" s="489"/>
      <c r="CZT575" s="488"/>
      <c r="CZU575" s="300"/>
      <c r="CZV575" s="532"/>
      <c r="CZW575" s="533"/>
      <c r="CZX575" s="534"/>
      <c r="CZY575" s="316"/>
      <c r="CZZ575" s="316"/>
      <c r="DAA575" s="471"/>
      <c r="DAB575" s="472"/>
      <c r="DAC575" s="471"/>
      <c r="DAD575" s="473"/>
      <c r="DAE575" s="313"/>
      <c r="DAF575" s="535"/>
      <c r="DAG575" s="536"/>
      <c r="DAH575" s="537"/>
      <c r="DAI575" s="538"/>
      <c r="DAJ575" s="539"/>
      <c r="DAK575" s="540"/>
      <c r="DAL575" s="209"/>
      <c r="DAM575" s="541"/>
      <c r="DAN575" s="541"/>
      <c r="DAO575" s="482"/>
      <c r="DAP575" s="173"/>
      <c r="DAQ575" s="173"/>
      <c r="DAR575" s="509"/>
      <c r="DAT575" s="148"/>
      <c r="DAU575" s="148"/>
      <c r="DAV575" s="149"/>
      <c r="DAW575" s="150"/>
      <c r="DAY575" s="152"/>
      <c r="DAZ575" s="542"/>
      <c r="DBA575" s="154"/>
      <c r="DBB575" s="175"/>
      <c r="DBD575" s="156"/>
      <c r="DBE575" s="287"/>
      <c r="DBF575" s="488"/>
      <c r="DBG575" s="489"/>
      <c r="DBH575" s="488"/>
      <c r="DBI575" s="300"/>
      <c r="DBJ575" s="532"/>
      <c r="DBK575" s="533"/>
      <c r="DBL575" s="534"/>
      <c r="DBM575" s="316"/>
      <c r="DBN575" s="316"/>
      <c r="DBO575" s="471"/>
      <c r="DBP575" s="472"/>
      <c r="DBQ575" s="471"/>
      <c r="DBR575" s="473"/>
      <c r="DBS575" s="313"/>
      <c r="DBT575" s="535"/>
      <c r="DBU575" s="536"/>
      <c r="DBV575" s="537"/>
      <c r="DBW575" s="538"/>
      <c r="DBX575" s="539"/>
      <c r="DBY575" s="540"/>
      <c r="DBZ575" s="209"/>
      <c r="DCA575" s="541"/>
      <c r="DCB575" s="541"/>
      <c r="DCC575" s="482"/>
      <c r="DCD575" s="173"/>
      <c r="DCE575" s="173"/>
      <c r="DCF575" s="509"/>
      <c r="DCH575" s="148"/>
      <c r="DCI575" s="148"/>
      <c r="DCJ575" s="149"/>
      <c r="DCK575" s="150"/>
      <c r="DCM575" s="152"/>
      <c r="DCN575" s="542"/>
      <c r="DCO575" s="154"/>
      <c r="DCP575" s="175"/>
      <c r="DCR575" s="156"/>
      <c r="DCS575" s="287"/>
      <c r="DCT575" s="488"/>
      <c r="DCU575" s="489"/>
      <c r="DCV575" s="488"/>
      <c r="DCW575" s="300"/>
      <c r="DCX575" s="532"/>
      <c r="DCY575" s="533"/>
      <c r="DCZ575" s="534"/>
      <c r="DDA575" s="316"/>
      <c r="DDB575" s="316"/>
      <c r="DDC575" s="471"/>
      <c r="DDD575" s="472"/>
      <c r="DDE575" s="471"/>
      <c r="DDF575" s="473"/>
      <c r="DDG575" s="313"/>
      <c r="DDH575" s="535"/>
      <c r="DDI575" s="536"/>
      <c r="DDJ575" s="537"/>
      <c r="DDK575" s="538"/>
      <c r="DDL575" s="539"/>
      <c r="DDM575" s="540"/>
      <c r="DDN575" s="209"/>
      <c r="DDO575" s="541"/>
      <c r="DDP575" s="541"/>
      <c r="DDQ575" s="482"/>
      <c r="DDR575" s="173"/>
      <c r="DDS575" s="173"/>
      <c r="DDT575" s="509"/>
      <c r="DDV575" s="148"/>
      <c r="DDW575" s="148"/>
      <c r="DDX575" s="149"/>
      <c r="DDY575" s="150"/>
      <c r="DEA575" s="152"/>
      <c r="DEB575" s="542"/>
      <c r="DEC575" s="154"/>
      <c r="DED575" s="175"/>
      <c r="DEF575" s="156"/>
      <c r="DEG575" s="287"/>
      <c r="DEH575" s="488"/>
      <c r="DEI575" s="489"/>
      <c r="DEJ575" s="488"/>
      <c r="DEK575" s="300"/>
      <c r="DEL575" s="532"/>
      <c r="DEM575" s="533"/>
      <c r="DEN575" s="534"/>
      <c r="DEO575" s="316"/>
      <c r="DEP575" s="316"/>
      <c r="DEQ575" s="471"/>
      <c r="DER575" s="472"/>
      <c r="DES575" s="471"/>
      <c r="DET575" s="473"/>
      <c r="DEU575" s="313"/>
      <c r="DEV575" s="535"/>
      <c r="DEW575" s="536"/>
      <c r="DEX575" s="537"/>
      <c r="DEY575" s="538"/>
      <c r="DEZ575" s="539"/>
      <c r="DFA575" s="540"/>
      <c r="DFB575" s="209"/>
      <c r="DFC575" s="541"/>
      <c r="DFD575" s="541"/>
      <c r="DFE575" s="482"/>
      <c r="DFF575" s="173"/>
      <c r="DFG575" s="173"/>
      <c r="DFH575" s="509"/>
      <c r="DFJ575" s="148"/>
      <c r="DFK575" s="148"/>
      <c r="DFL575" s="149"/>
      <c r="DFM575" s="150"/>
      <c r="DFO575" s="152"/>
      <c r="DFP575" s="542"/>
      <c r="DFQ575" s="154"/>
      <c r="DFR575" s="175"/>
      <c r="DFT575" s="156"/>
      <c r="DFU575" s="287"/>
      <c r="DFV575" s="488"/>
      <c r="DFW575" s="489"/>
      <c r="DFX575" s="488"/>
      <c r="DFY575" s="300"/>
      <c r="DFZ575" s="532"/>
      <c r="DGA575" s="533"/>
      <c r="DGB575" s="534"/>
      <c r="DGC575" s="316"/>
      <c r="DGD575" s="316"/>
      <c r="DGE575" s="471"/>
      <c r="DGF575" s="472"/>
      <c r="DGG575" s="471"/>
      <c r="DGH575" s="473"/>
      <c r="DGI575" s="313"/>
      <c r="DGJ575" s="535"/>
      <c r="DGK575" s="536"/>
      <c r="DGL575" s="537"/>
      <c r="DGM575" s="538"/>
      <c r="DGN575" s="539"/>
      <c r="DGO575" s="540"/>
      <c r="DGP575" s="209"/>
      <c r="DGQ575" s="541"/>
      <c r="DGR575" s="541"/>
      <c r="DGS575" s="482"/>
      <c r="DGT575" s="173"/>
      <c r="DGU575" s="173"/>
      <c r="DGV575" s="509"/>
      <c r="DGX575" s="148"/>
      <c r="DGY575" s="148"/>
      <c r="DGZ575" s="149"/>
      <c r="DHA575" s="150"/>
      <c r="DHC575" s="152"/>
      <c r="DHD575" s="542"/>
      <c r="DHE575" s="154"/>
      <c r="DHF575" s="175"/>
      <c r="DHH575" s="156"/>
      <c r="DHI575" s="287"/>
      <c r="DHJ575" s="488"/>
      <c r="DHK575" s="489"/>
      <c r="DHL575" s="488"/>
      <c r="DHM575" s="300"/>
      <c r="DHN575" s="532"/>
      <c r="DHO575" s="533"/>
      <c r="DHP575" s="534"/>
      <c r="DHQ575" s="316"/>
      <c r="DHR575" s="316"/>
      <c r="DHS575" s="471"/>
      <c r="DHT575" s="472"/>
      <c r="DHU575" s="471"/>
      <c r="DHV575" s="473"/>
      <c r="DHW575" s="313"/>
      <c r="DHX575" s="535"/>
      <c r="DHY575" s="536"/>
      <c r="DHZ575" s="537"/>
      <c r="DIA575" s="538"/>
      <c r="DIB575" s="539"/>
      <c r="DIC575" s="540"/>
      <c r="DID575" s="209"/>
      <c r="DIE575" s="541"/>
      <c r="DIF575" s="541"/>
      <c r="DIG575" s="482"/>
      <c r="DIH575" s="173"/>
      <c r="DII575" s="173"/>
      <c r="DIJ575" s="509"/>
      <c r="DIL575" s="148"/>
      <c r="DIM575" s="148"/>
      <c r="DIN575" s="149"/>
      <c r="DIO575" s="150"/>
      <c r="DIQ575" s="152"/>
      <c r="DIR575" s="542"/>
      <c r="DIS575" s="154"/>
      <c r="DIT575" s="175"/>
      <c r="DIV575" s="156"/>
      <c r="DIW575" s="287"/>
      <c r="DIX575" s="488"/>
      <c r="DIY575" s="489"/>
      <c r="DIZ575" s="488"/>
      <c r="DJA575" s="300"/>
      <c r="DJB575" s="532"/>
      <c r="DJC575" s="533"/>
      <c r="DJD575" s="534"/>
      <c r="DJE575" s="316"/>
      <c r="DJF575" s="316"/>
      <c r="DJG575" s="471"/>
      <c r="DJH575" s="472"/>
      <c r="DJI575" s="471"/>
      <c r="DJJ575" s="473"/>
      <c r="DJK575" s="313"/>
      <c r="DJL575" s="535"/>
      <c r="DJM575" s="536"/>
      <c r="DJN575" s="537"/>
      <c r="DJO575" s="538"/>
      <c r="DJP575" s="539"/>
      <c r="DJQ575" s="540"/>
      <c r="DJR575" s="209"/>
      <c r="DJS575" s="541"/>
      <c r="DJT575" s="541"/>
      <c r="DJU575" s="482"/>
      <c r="DJV575" s="173"/>
      <c r="DJW575" s="173"/>
      <c r="DJX575" s="509"/>
      <c r="DJZ575" s="148"/>
      <c r="DKA575" s="148"/>
      <c r="DKB575" s="149"/>
      <c r="DKC575" s="150"/>
      <c r="DKE575" s="152"/>
      <c r="DKF575" s="542"/>
      <c r="DKG575" s="154"/>
      <c r="DKH575" s="175"/>
      <c r="DKJ575" s="156"/>
      <c r="DKK575" s="287"/>
      <c r="DKL575" s="488"/>
      <c r="DKM575" s="489"/>
      <c r="DKN575" s="488"/>
      <c r="DKO575" s="300"/>
      <c r="DKP575" s="532"/>
      <c r="DKQ575" s="533"/>
      <c r="DKR575" s="534"/>
      <c r="DKS575" s="316"/>
      <c r="DKT575" s="316"/>
      <c r="DKU575" s="471"/>
      <c r="DKV575" s="472"/>
      <c r="DKW575" s="471"/>
      <c r="DKX575" s="473"/>
      <c r="DKY575" s="313"/>
      <c r="DKZ575" s="535"/>
      <c r="DLA575" s="536"/>
      <c r="DLB575" s="537"/>
      <c r="DLC575" s="538"/>
      <c r="DLD575" s="539"/>
      <c r="DLE575" s="540"/>
      <c r="DLF575" s="209"/>
      <c r="DLG575" s="541"/>
      <c r="DLH575" s="541"/>
      <c r="DLI575" s="482"/>
      <c r="DLJ575" s="173"/>
      <c r="DLK575" s="173"/>
      <c r="DLL575" s="509"/>
      <c r="DLN575" s="148"/>
      <c r="DLO575" s="148"/>
      <c r="DLP575" s="149"/>
      <c r="DLQ575" s="150"/>
      <c r="DLS575" s="152"/>
      <c r="DLT575" s="542"/>
      <c r="DLU575" s="154"/>
      <c r="DLV575" s="175"/>
      <c r="DLX575" s="156"/>
      <c r="DLY575" s="287"/>
      <c r="DLZ575" s="488"/>
      <c r="DMA575" s="489"/>
      <c r="DMB575" s="488"/>
      <c r="DMC575" s="300"/>
      <c r="DMD575" s="532"/>
      <c r="DME575" s="533"/>
      <c r="DMF575" s="534"/>
      <c r="DMG575" s="316"/>
      <c r="DMH575" s="316"/>
      <c r="DMI575" s="471"/>
      <c r="DMJ575" s="472"/>
      <c r="DMK575" s="471"/>
      <c r="DML575" s="473"/>
      <c r="DMM575" s="313"/>
      <c r="DMN575" s="535"/>
      <c r="DMO575" s="536"/>
      <c r="DMP575" s="537"/>
      <c r="DMQ575" s="538"/>
      <c r="DMR575" s="539"/>
      <c r="DMS575" s="540"/>
      <c r="DMT575" s="209"/>
      <c r="DMU575" s="541"/>
      <c r="DMV575" s="541"/>
      <c r="DMW575" s="482"/>
      <c r="DMX575" s="173"/>
      <c r="DMY575" s="173"/>
      <c r="DMZ575" s="509"/>
      <c r="DNB575" s="148"/>
      <c r="DNC575" s="148"/>
      <c r="DND575" s="149"/>
      <c r="DNE575" s="150"/>
      <c r="DNG575" s="152"/>
      <c r="DNH575" s="542"/>
      <c r="DNI575" s="154"/>
      <c r="DNJ575" s="175"/>
      <c r="DNL575" s="156"/>
      <c r="DNM575" s="287"/>
      <c r="DNN575" s="488"/>
      <c r="DNO575" s="489"/>
      <c r="DNP575" s="488"/>
      <c r="DNQ575" s="300"/>
      <c r="DNR575" s="532"/>
      <c r="DNS575" s="533"/>
      <c r="DNT575" s="534"/>
      <c r="DNU575" s="316"/>
      <c r="DNV575" s="316"/>
      <c r="DNW575" s="471"/>
      <c r="DNX575" s="472"/>
      <c r="DNY575" s="471"/>
      <c r="DNZ575" s="473"/>
      <c r="DOA575" s="313"/>
      <c r="DOB575" s="535"/>
      <c r="DOC575" s="536"/>
      <c r="DOD575" s="537"/>
      <c r="DOE575" s="538"/>
      <c r="DOF575" s="539"/>
      <c r="DOG575" s="540"/>
      <c r="DOH575" s="209"/>
      <c r="DOI575" s="541"/>
      <c r="DOJ575" s="541"/>
      <c r="DOK575" s="482"/>
      <c r="DOL575" s="173"/>
      <c r="DOM575" s="173"/>
      <c r="DON575" s="509"/>
      <c r="DOP575" s="148"/>
      <c r="DOQ575" s="148"/>
      <c r="DOR575" s="149"/>
      <c r="DOS575" s="150"/>
      <c r="DOU575" s="152"/>
      <c r="DOV575" s="542"/>
      <c r="DOW575" s="154"/>
      <c r="DOX575" s="175"/>
      <c r="DOZ575" s="156"/>
      <c r="DPA575" s="287"/>
      <c r="DPB575" s="488"/>
      <c r="DPC575" s="489"/>
      <c r="DPD575" s="488"/>
      <c r="DPE575" s="300"/>
      <c r="DPF575" s="532"/>
      <c r="DPG575" s="533"/>
      <c r="DPH575" s="534"/>
      <c r="DPI575" s="316"/>
      <c r="DPJ575" s="316"/>
      <c r="DPK575" s="471"/>
      <c r="DPL575" s="472"/>
      <c r="DPM575" s="471"/>
      <c r="DPN575" s="473"/>
      <c r="DPO575" s="313"/>
      <c r="DPP575" s="535"/>
      <c r="DPQ575" s="536"/>
      <c r="DPR575" s="537"/>
      <c r="DPS575" s="538"/>
      <c r="DPT575" s="539"/>
      <c r="DPU575" s="540"/>
      <c r="DPV575" s="209"/>
      <c r="DPW575" s="541"/>
      <c r="DPX575" s="541"/>
      <c r="DPY575" s="482"/>
      <c r="DPZ575" s="173"/>
      <c r="DQA575" s="173"/>
      <c r="DQB575" s="509"/>
      <c r="DQD575" s="148"/>
      <c r="DQE575" s="148"/>
      <c r="DQF575" s="149"/>
      <c r="DQG575" s="150"/>
      <c r="DQI575" s="152"/>
      <c r="DQJ575" s="542"/>
      <c r="DQK575" s="154"/>
      <c r="DQL575" s="175"/>
      <c r="DQN575" s="156"/>
      <c r="DQO575" s="287"/>
      <c r="DQP575" s="488"/>
      <c r="DQQ575" s="489"/>
      <c r="DQR575" s="488"/>
      <c r="DQS575" s="300"/>
      <c r="DQT575" s="532"/>
      <c r="DQU575" s="533"/>
      <c r="DQV575" s="534"/>
      <c r="DQW575" s="316"/>
      <c r="DQX575" s="316"/>
      <c r="DQY575" s="471"/>
      <c r="DQZ575" s="472"/>
      <c r="DRA575" s="471"/>
      <c r="DRB575" s="473"/>
      <c r="DRC575" s="313"/>
      <c r="DRD575" s="535"/>
      <c r="DRE575" s="536"/>
      <c r="DRF575" s="537"/>
      <c r="DRG575" s="538"/>
      <c r="DRH575" s="539"/>
      <c r="DRI575" s="540"/>
      <c r="DRJ575" s="209"/>
      <c r="DRK575" s="541"/>
      <c r="DRL575" s="541"/>
      <c r="DRM575" s="482"/>
      <c r="DRN575" s="173"/>
      <c r="DRO575" s="173"/>
      <c r="DRP575" s="509"/>
      <c r="DRR575" s="148"/>
      <c r="DRS575" s="148"/>
      <c r="DRT575" s="149"/>
      <c r="DRU575" s="150"/>
      <c r="DRW575" s="152"/>
      <c r="DRX575" s="542"/>
      <c r="DRY575" s="154"/>
      <c r="DRZ575" s="175"/>
      <c r="DSB575" s="156"/>
      <c r="DSC575" s="287"/>
      <c r="DSD575" s="488"/>
      <c r="DSE575" s="489"/>
      <c r="DSF575" s="488"/>
      <c r="DSG575" s="300"/>
      <c r="DSH575" s="532"/>
      <c r="DSI575" s="533"/>
      <c r="DSJ575" s="534"/>
      <c r="DSK575" s="316"/>
      <c r="DSL575" s="316"/>
      <c r="DSM575" s="471"/>
      <c r="DSN575" s="472"/>
      <c r="DSO575" s="471"/>
      <c r="DSP575" s="473"/>
      <c r="DSQ575" s="313"/>
      <c r="DSR575" s="535"/>
      <c r="DSS575" s="536"/>
      <c r="DST575" s="537"/>
      <c r="DSU575" s="538"/>
      <c r="DSV575" s="539"/>
      <c r="DSW575" s="540"/>
      <c r="DSX575" s="209"/>
      <c r="DSY575" s="541"/>
      <c r="DSZ575" s="541"/>
      <c r="DTA575" s="482"/>
      <c r="DTB575" s="173"/>
      <c r="DTC575" s="173"/>
      <c r="DTD575" s="509"/>
      <c r="DTF575" s="148"/>
      <c r="DTG575" s="148"/>
      <c r="DTH575" s="149"/>
      <c r="DTI575" s="150"/>
      <c r="DTK575" s="152"/>
      <c r="DTL575" s="542"/>
      <c r="DTM575" s="154"/>
      <c r="DTN575" s="175"/>
      <c r="DTP575" s="156"/>
      <c r="DTQ575" s="287"/>
      <c r="DTR575" s="488"/>
      <c r="DTS575" s="489"/>
      <c r="DTT575" s="488"/>
      <c r="DTU575" s="300"/>
      <c r="DTV575" s="532"/>
      <c r="DTW575" s="533"/>
      <c r="DTX575" s="534"/>
      <c r="DTY575" s="316"/>
      <c r="DTZ575" s="316"/>
      <c r="DUA575" s="471"/>
      <c r="DUB575" s="472"/>
      <c r="DUC575" s="471"/>
      <c r="DUD575" s="473"/>
      <c r="DUE575" s="313"/>
      <c r="DUF575" s="535"/>
      <c r="DUG575" s="536"/>
      <c r="DUH575" s="537"/>
      <c r="DUI575" s="538"/>
      <c r="DUJ575" s="539"/>
      <c r="DUK575" s="540"/>
      <c r="DUL575" s="209"/>
      <c r="DUM575" s="541"/>
      <c r="DUN575" s="541"/>
      <c r="DUO575" s="482"/>
      <c r="DUP575" s="173"/>
      <c r="DUQ575" s="173"/>
      <c r="DUR575" s="509"/>
      <c r="DUT575" s="148"/>
      <c r="DUU575" s="148"/>
      <c r="DUV575" s="149"/>
      <c r="DUW575" s="150"/>
      <c r="DUY575" s="152"/>
      <c r="DUZ575" s="542"/>
      <c r="DVA575" s="154"/>
      <c r="DVB575" s="175"/>
      <c r="DVD575" s="156"/>
      <c r="DVE575" s="287"/>
      <c r="DVF575" s="488"/>
      <c r="DVG575" s="489"/>
      <c r="DVH575" s="488"/>
      <c r="DVI575" s="300"/>
      <c r="DVJ575" s="532"/>
      <c r="DVK575" s="533"/>
      <c r="DVL575" s="534"/>
      <c r="DVM575" s="316"/>
      <c r="DVN575" s="316"/>
      <c r="DVO575" s="471"/>
      <c r="DVP575" s="472"/>
      <c r="DVQ575" s="471"/>
      <c r="DVR575" s="473"/>
      <c r="DVS575" s="313"/>
      <c r="DVT575" s="535"/>
      <c r="DVU575" s="536"/>
      <c r="DVV575" s="537"/>
      <c r="DVW575" s="538"/>
      <c r="DVX575" s="539"/>
      <c r="DVY575" s="540"/>
      <c r="DVZ575" s="209"/>
      <c r="DWA575" s="541"/>
      <c r="DWB575" s="541"/>
      <c r="DWC575" s="482"/>
      <c r="DWD575" s="173"/>
      <c r="DWE575" s="173"/>
      <c r="DWF575" s="509"/>
      <c r="DWH575" s="148"/>
      <c r="DWI575" s="148"/>
      <c r="DWJ575" s="149"/>
      <c r="DWK575" s="150"/>
      <c r="DWM575" s="152"/>
      <c r="DWN575" s="542"/>
      <c r="DWO575" s="154"/>
      <c r="DWP575" s="175"/>
      <c r="DWR575" s="156"/>
      <c r="DWS575" s="287"/>
      <c r="DWT575" s="488"/>
      <c r="DWU575" s="489"/>
      <c r="DWV575" s="488"/>
      <c r="DWW575" s="300"/>
      <c r="DWX575" s="532"/>
      <c r="DWY575" s="533"/>
      <c r="DWZ575" s="534"/>
      <c r="DXA575" s="316"/>
      <c r="DXB575" s="316"/>
      <c r="DXC575" s="471"/>
      <c r="DXD575" s="472"/>
      <c r="DXE575" s="471"/>
      <c r="DXF575" s="473"/>
      <c r="DXG575" s="313"/>
      <c r="DXH575" s="535"/>
      <c r="DXI575" s="536"/>
      <c r="DXJ575" s="537"/>
      <c r="DXK575" s="538"/>
      <c r="DXL575" s="539"/>
      <c r="DXM575" s="540"/>
      <c r="DXN575" s="209"/>
      <c r="DXO575" s="541"/>
      <c r="DXP575" s="541"/>
      <c r="DXQ575" s="482"/>
      <c r="DXR575" s="173"/>
      <c r="DXS575" s="173"/>
      <c r="DXT575" s="509"/>
      <c r="DXV575" s="148"/>
      <c r="DXW575" s="148"/>
      <c r="DXX575" s="149"/>
      <c r="DXY575" s="150"/>
      <c r="DYA575" s="152"/>
      <c r="DYB575" s="542"/>
      <c r="DYC575" s="154"/>
      <c r="DYD575" s="175"/>
      <c r="DYF575" s="156"/>
      <c r="DYG575" s="287"/>
      <c r="DYH575" s="488"/>
      <c r="DYI575" s="489"/>
      <c r="DYJ575" s="488"/>
      <c r="DYK575" s="300"/>
      <c r="DYL575" s="532"/>
      <c r="DYM575" s="533"/>
      <c r="DYN575" s="534"/>
      <c r="DYO575" s="316"/>
      <c r="DYP575" s="316"/>
      <c r="DYQ575" s="471"/>
      <c r="DYR575" s="472"/>
      <c r="DYS575" s="471"/>
      <c r="DYT575" s="473"/>
      <c r="DYU575" s="313"/>
      <c r="DYV575" s="535"/>
      <c r="DYW575" s="536"/>
      <c r="DYX575" s="537"/>
      <c r="DYY575" s="538"/>
      <c r="DYZ575" s="539"/>
      <c r="DZA575" s="540"/>
      <c r="DZB575" s="209"/>
      <c r="DZC575" s="541"/>
      <c r="DZD575" s="541"/>
      <c r="DZE575" s="482"/>
      <c r="DZF575" s="173"/>
      <c r="DZG575" s="173"/>
      <c r="DZH575" s="509"/>
      <c r="DZJ575" s="148"/>
      <c r="DZK575" s="148"/>
      <c r="DZL575" s="149"/>
      <c r="DZM575" s="150"/>
      <c r="DZO575" s="152"/>
      <c r="DZP575" s="542"/>
      <c r="DZQ575" s="154"/>
      <c r="DZR575" s="175"/>
      <c r="DZT575" s="156"/>
      <c r="DZU575" s="287"/>
      <c r="DZV575" s="488"/>
      <c r="DZW575" s="489"/>
      <c r="DZX575" s="488"/>
      <c r="DZY575" s="300"/>
      <c r="DZZ575" s="532"/>
      <c r="EAA575" s="533"/>
      <c r="EAB575" s="534"/>
      <c r="EAC575" s="316"/>
      <c r="EAD575" s="316"/>
      <c r="EAE575" s="471"/>
      <c r="EAF575" s="472"/>
      <c r="EAG575" s="471"/>
      <c r="EAH575" s="473"/>
      <c r="EAI575" s="313"/>
      <c r="EAJ575" s="535"/>
      <c r="EAK575" s="536"/>
      <c r="EAL575" s="537"/>
      <c r="EAM575" s="538"/>
      <c r="EAN575" s="539"/>
      <c r="EAO575" s="540"/>
      <c r="EAP575" s="209"/>
      <c r="EAQ575" s="541"/>
      <c r="EAR575" s="541"/>
      <c r="EAS575" s="482"/>
      <c r="EAT575" s="173"/>
      <c r="EAU575" s="173"/>
      <c r="EAV575" s="509"/>
      <c r="EAX575" s="148"/>
      <c r="EAY575" s="148"/>
      <c r="EAZ575" s="149"/>
      <c r="EBA575" s="150"/>
      <c r="EBC575" s="152"/>
      <c r="EBD575" s="542"/>
      <c r="EBE575" s="154"/>
      <c r="EBF575" s="175"/>
      <c r="EBH575" s="156"/>
      <c r="EBI575" s="287"/>
      <c r="EBJ575" s="488"/>
      <c r="EBK575" s="489"/>
      <c r="EBL575" s="488"/>
      <c r="EBM575" s="300"/>
      <c r="EBN575" s="532"/>
      <c r="EBO575" s="533"/>
      <c r="EBP575" s="534"/>
      <c r="EBQ575" s="316"/>
      <c r="EBR575" s="316"/>
      <c r="EBS575" s="471"/>
      <c r="EBT575" s="472"/>
      <c r="EBU575" s="471"/>
      <c r="EBV575" s="473"/>
      <c r="EBW575" s="313"/>
      <c r="EBX575" s="535"/>
      <c r="EBY575" s="536"/>
      <c r="EBZ575" s="537"/>
      <c r="ECA575" s="538"/>
      <c r="ECB575" s="539"/>
      <c r="ECC575" s="540"/>
      <c r="ECD575" s="209"/>
      <c r="ECE575" s="541"/>
      <c r="ECF575" s="541"/>
      <c r="ECG575" s="482"/>
      <c r="ECH575" s="173"/>
      <c r="ECI575" s="173"/>
      <c r="ECJ575" s="509"/>
      <c r="ECL575" s="148"/>
      <c r="ECM575" s="148"/>
      <c r="ECN575" s="149"/>
      <c r="ECO575" s="150"/>
      <c r="ECQ575" s="152"/>
      <c r="ECR575" s="542"/>
      <c r="ECS575" s="154"/>
      <c r="ECT575" s="175"/>
      <c r="ECV575" s="156"/>
      <c r="ECW575" s="287"/>
      <c r="ECX575" s="488"/>
      <c r="ECY575" s="489"/>
      <c r="ECZ575" s="488"/>
      <c r="EDA575" s="300"/>
      <c r="EDB575" s="532"/>
      <c r="EDC575" s="533"/>
      <c r="EDD575" s="534"/>
      <c r="EDE575" s="316"/>
      <c r="EDF575" s="316"/>
      <c r="EDG575" s="471"/>
      <c r="EDH575" s="472"/>
      <c r="EDI575" s="471"/>
      <c r="EDJ575" s="473"/>
      <c r="EDK575" s="313"/>
      <c r="EDL575" s="535"/>
      <c r="EDM575" s="536"/>
      <c r="EDN575" s="537"/>
      <c r="EDO575" s="538"/>
      <c r="EDP575" s="539"/>
      <c r="EDQ575" s="540"/>
      <c r="EDR575" s="209"/>
      <c r="EDS575" s="541"/>
      <c r="EDT575" s="541"/>
      <c r="EDU575" s="482"/>
      <c r="EDV575" s="173"/>
      <c r="EDW575" s="173"/>
      <c r="EDX575" s="509"/>
      <c r="EDZ575" s="148"/>
      <c r="EEA575" s="148"/>
      <c r="EEB575" s="149"/>
      <c r="EEC575" s="150"/>
      <c r="EEE575" s="152"/>
      <c r="EEF575" s="542"/>
      <c r="EEG575" s="154"/>
      <c r="EEH575" s="175"/>
      <c r="EEJ575" s="156"/>
      <c r="EEK575" s="287"/>
      <c r="EEL575" s="488"/>
      <c r="EEM575" s="489"/>
      <c r="EEN575" s="488"/>
      <c r="EEO575" s="300"/>
      <c r="EEP575" s="532"/>
      <c r="EEQ575" s="533"/>
      <c r="EER575" s="534"/>
      <c r="EES575" s="316"/>
      <c r="EET575" s="316"/>
      <c r="EEU575" s="471"/>
      <c r="EEV575" s="472"/>
      <c r="EEW575" s="471"/>
      <c r="EEX575" s="473"/>
      <c r="EEY575" s="313"/>
      <c r="EEZ575" s="535"/>
      <c r="EFA575" s="536"/>
      <c r="EFB575" s="537"/>
      <c r="EFC575" s="538"/>
      <c r="EFD575" s="539"/>
      <c r="EFE575" s="540"/>
      <c r="EFF575" s="209"/>
      <c r="EFG575" s="541"/>
      <c r="EFH575" s="541"/>
      <c r="EFI575" s="482"/>
      <c r="EFJ575" s="173"/>
      <c r="EFK575" s="173"/>
      <c r="EFL575" s="509"/>
      <c r="EFN575" s="148"/>
      <c r="EFO575" s="148"/>
      <c r="EFP575" s="149"/>
      <c r="EFQ575" s="150"/>
      <c r="EFS575" s="152"/>
      <c r="EFT575" s="542"/>
      <c r="EFU575" s="154"/>
      <c r="EFV575" s="175"/>
      <c r="EFX575" s="156"/>
      <c r="EFY575" s="287"/>
      <c r="EFZ575" s="488"/>
      <c r="EGA575" s="489"/>
      <c r="EGB575" s="488"/>
      <c r="EGC575" s="300"/>
      <c r="EGD575" s="532"/>
      <c r="EGE575" s="533"/>
      <c r="EGF575" s="534"/>
      <c r="EGG575" s="316"/>
      <c r="EGH575" s="316"/>
      <c r="EGI575" s="471"/>
      <c r="EGJ575" s="472"/>
      <c r="EGK575" s="471"/>
      <c r="EGL575" s="473"/>
      <c r="EGM575" s="313"/>
      <c r="EGN575" s="535"/>
      <c r="EGO575" s="536"/>
      <c r="EGP575" s="537"/>
      <c r="EGQ575" s="538"/>
      <c r="EGR575" s="539"/>
      <c r="EGS575" s="540"/>
      <c r="EGT575" s="209"/>
      <c r="EGU575" s="541"/>
      <c r="EGV575" s="541"/>
      <c r="EGW575" s="482"/>
      <c r="EGX575" s="173"/>
      <c r="EGY575" s="173"/>
      <c r="EGZ575" s="509"/>
      <c r="EHB575" s="148"/>
      <c r="EHC575" s="148"/>
      <c r="EHD575" s="149"/>
      <c r="EHE575" s="150"/>
      <c r="EHG575" s="152"/>
      <c r="EHH575" s="542"/>
      <c r="EHI575" s="154"/>
      <c r="EHJ575" s="175"/>
      <c r="EHL575" s="156"/>
      <c r="EHM575" s="287"/>
      <c r="EHN575" s="488"/>
      <c r="EHO575" s="489"/>
      <c r="EHP575" s="488"/>
      <c r="EHQ575" s="300"/>
      <c r="EHR575" s="532"/>
      <c r="EHS575" s="533"/>
      <c r="EHT575" s="534"/>
      <c r="EHU575" s="316"/>
      <c r="EHV575" s="316"/>
      <c r="EHW575" s="471"/>
      <c r="EHX575" s="472"/>
      <c r="EHY575" s="471"/>
      <c r="EHZ575" s="473"/>
      <c r="EIA575" s="313"/>
      <c r="EIB575" s="535"/>
      <c r="EIC575" s="536"/>
      <c r="EID575" s="537"/>
      <c r="EIE575" s="538"/>
      <c r="EIF575" s="539"/>
      <c r="EIG575" s="540"/>
      <c r="EIH575" s="209"/>
      <c r="EII575" s="541"/>
      <c r="EIJ575" s="541"/>
      <c r="EIK575" s="482"/>
      <c r="EIL575" s="173"/>
      <c r="EIM575" s="173"/>
      <c r="EIN575" s="509"/>
      <c r="EIP575" s="148"/>
      <c r="EIQ575" s="148"/>
      <c r="EIR575" s="149"/>
      <c r="EIS575" s="150"/>
      <c r="EIU575" s="152"/>
      <c r="EIV575" s="542"/>
      <c r="EIW575" s="154"/>
      <c r="EIX575" s="175"/>
      <c r="EIZ575" s="156"/>
      <c r="EJA575" s="287"/>
      <c r="EJB575" s="488"/>
      <c r="EJC575" s="489"/>
      <c r="EJD575" s="488"/>
      <c r="EJE575" s="300"/>
      <c r="EJF575" s="532"/>
      <c r="EJG575" s="533"/>
      <c r="EJH575" s="534"/>
      <c r="EJI575" s="316"/>
      <c r="EJJ575" s="316"/>
      <c r="EJK575" s="471"/>
      <c r="EJL575" s="472"/>
      <c r="EJM575" s="471"/>
      <c r="EJN575" s="473"/>
      <c r="EJO575" s="313"/>
      <c r="EJP575" s="535"/>
      <c r="EJQ575" s="536"/>
      <c r="EJR575" s="537"/>
      <c r="EJS575" s="538"/>
      <c r="EJT575" s="539"/>
      <c r="EJU575" s="540"/>
      <c r="EJV575" s="209"/>
      <c r="EJW575" s="541"/>
      <c r="EJX575" s="541"/>
      <c r="EJY575" s="482"/>
      <c r="EJZ575" s="173"/>
      <c r="EKA575" s="173"/>
      <c r="EKB575" s="509"/>
      <c r="EKD575" s="148"/>
      <c r="EKE575" s="148"/>
      <c r="EKF575" s="149"/>
      <c r="EKG575" s="150"/>
      <c r="EKI575" s="152"/>
      <c r="EKJ575" s="542"/>
      <c r="EKK575" s="154"/>
      <c r="EKL575" s="175"/>
      <c r="EKN575" s="156"/>
      <c r="EKO575" s="287"/>
      <c r="EKP575" s="488"/>
      <c r="EKQ575" s="489"/>
      <c r="EKR575" s="488"/>
      <c r="EKS575" s="300"/>
      <c r="EKT575" s="532"/>
      <c r="EKU575" s="533"/>
      <c r="EKV575" s="534"/>
      <c r="EKW575" s="316"/>
      <c r="EKX575" s="316"/>
      <c r="EKY575" s="471"/>
      <c r="EKZ575" s="472"/>
      <c r="ELA575" s="471"/>
      <c r="ELB575" s="473"/>
      <c r="ELC575" s="313"/>
      <c r="ELD575" s="535"/>
      <c r="ELE575" s="536"/>
      <c r="ELF575" s="537"/>
      <c r="ELG575" s="538"/>
      <c r="ELH575" s="539"/>
      <c r="ELI575" s="540"/>
      <c r="ELJ575" s="209"/>
      <c r="ELK575" s="541"/>
      <c r="ELL575" s="541"/>
      <c r="ELM575" s="482"/>
      <c r="ELN575" s="173"/>
      <c r="ELO575" s="173"/>
      <c r="ELP575" s="509"/>
      <c r="ELR575" s="148"/>
      <c r="ELS575" s="148"/>
      <c r="ELT575" s="149"/>
      <c r="ELU575" s="150"/>
      <c r="ELW575" s="152"/>
      <c r="ELX575" s="542"/>
      <c r="ELY575" s="154"/>
      <c r="ELZ575" s="175"/>
      <c r="EMB575" s="156"/>
      <c r="EMC575" s="287"/>
      <c r="EMD575" s="488"/>
      <c r="EME575" s="489"/>
      <c r="EMF575" s="488"/>
      <c r="EMG575" s="300"/>
      <c r="EMH575" s="532"/>
      <c r="EMI575" s="533"/>
      <c r="EMJ575" s="534"/>
      <c r="EMK575" s="316"/>
      <c r="EML575" s="316"/>
      <c r="EMM575" s="471"/>
      <c r="EMN575" s="472"/>
      <c r="EMO575" s="471"/>
      <c r="EMP575" s="473"/>
      <c r="EMQ575" s="313"/>
      <c r="EMR575" s="535"/>
      <c r="EMS575" s="536"/>
      <c r="EMT575" s="537"/>
      <c r="EMU575" s="538"/>
      <c r="EMV575" s="539"/>
      <c r="EMW575" s="540"/>
      <c r="EMX575" s="209"/>
      <c r="EMY575" s="541"/>
      <c r="EMZ575" s="541"/>
      <c r="ENA575" s="482"/>
      <c r="ENB575" s="173"/>
      <c r="ENC575" s="173"/>
      <c r="END575" s="509"/>
      <c r="ENF575" s="148"/>
      <c r="ENG575" s="148"/>
      <c r="ENH575" s="149"/>
      <c r="ENI575" s="150"/>
      <c r="ENK575" s="152"/>
      <c r="ENL575" s="542"/>
      <c r="ENM575" s="154"/>
      <c r="ENN575" s="175"/>
      <c r="ENP575" s="156"/>
      <c r="ENQ575" s="287"/>
      <c r="ENR575" s="488"/>
      <c r="ENS575" s="489"/>
      <c r="ENT575" s="488"/>
      <c r="ENU575" s="300"/>
      <c r="ENV575" s="532"/>
      <c r="ENW575" s="533"/>
      <c r="ENX575" s="534"/>
      <c r="ENY575" s="316"/>
      <c r="ENZ575" s="316"/>
      <c r="EOA575" s="471"/>
      <c r="EOB575" s="472"/>
      <c r="EOC575" s="471"/>
      <c r="EOD575" s="473"/>
      <c r="EOE575" s="313"/>
      <c r="EOF575" s="535"/>
      <c r="EOG575" s="536"/>
      <c r="EOH575" s="537"/>
      <c r="EOI575" s="538"/>
      <c r="EOJ575" s="539"/>
      <c r="EOK575" s="540"/>
      <c r="EOL575" s="209"/>
      <c r="EOM575" s="541"/>
      <c r="EON575" s="541"/>
      <c r="EOO575" s="482"/>
      <c r="EOP575" s="173"/>
      <c r="EOQ575" s="173"/>
      <c r="EOR575" s="509"/>
      <c r="EOT575" s="148"/>
      <c r="EOU575" s="148"/>
      <c r="EOV575" s="149"/>
      <c r="EOW575" s="150"/>
      <c r="EOY575" s="152"/>
      <c r="EOZ575" s="542"/>
      <c r="EPA575" s="154"/>
      <c r="EPB575" s="175"/>
      <c r="EPD575" s="156"/>
      <c r="EPE575" s="287"/>
      <c r="EPF575" s="488"/>
      <c r="EPG575" s="489"/>
      <c r="EPH575" s="488"/>
      <c r="EPI575" s="300"/>
      <c r="EPJ575" s="532"/>
      <c r="EPK575" s="533"/>
      <c r="EPL575" s="534"/>
      <c r="EPM575" s="316"/>
      <c r="EPN575" s="316"/>
      <c r="EPO575" s="471"/>
      <c r="EPP575" s="472"/>
      <c r="EPQ575" s="471"/>
      <c r="EPR575" s="473"/>
      <c r="EPS575" s="313"/>
      <c r="EPT575" s="535"/>
      <c r="EPU575" s="536"/>
      <c r="EPV575" s="537"/>
      <c r="EPW575" s="538"/>
      <c r="EPX575" s="539"/>
      <c r="EPY575" s="540"/>
      <c r="EPZ575" s="209"/>
      <c r="EQA575" s="541"/>
      <c r="EQB575" s="541"/>
      <c r="EQC575" s="482"/>
      <c r="EQD575" s="173"/>
      <c r="EQE575" s="173"/>
      <c r="EQF575" s="509"/>
      <c r="EQH575" s="148"/>
      <c r="EQI575" s="148"/>
      <c r="EQJ575" s="149"/>
      <c r="EQK575" s="150"/>
      <c r="EQM575" s="152"/>
      <c r="EQN575" s="542"/>
      <c r="EQO575" s="154"/>
      <c r="EQP575" s="175"/>
      <c r="EQR575" s="156"/>
      <c r="EQS575" s="287"/>
      <c r="EQT575" s="488"/>
      <c r="EQU575" s="489"/>
      <c r="EQV575" s="488"/>
      <c r="EQW575" s="300"/>
      <c r="EQX575" s="532"/>
      <c r="EQY575" s="533"/>
      <c r="EQZ575" s="534"/>
      <c r="ERA575" s="316"/>
      <c r="ERB575" s="316"/>
      <c r="ERC575" s="471"/>
      <c r="ERD575" s="472"/>
      <c r="ERE575" s="471"/>
      <c r="ERF575" s="473"/>
      <c r="ERG575" s="313"/>
      <c r="ERH575" s="535"/>
      <c r="ERI575" s="536"/>
      <c r="ERJ575" s="537"/>
      <c r="ERK575" s="538"/>
      <c r="ERL575" s="539"/>
      <c r="ERM575" s="540"/>
      <c r="ERN575" s="209"/>
      <c r="ERO575" s="541"/>
      <c r="ERP575" s="541"/>
      <c r="ERQ575" s="482"/>
      <c r="ERR575" s="173"/>
      <c r="ERS575" s="173"/>
      <c r="ERT575" s="509"/>
      <c r="ERV575" s="148"/>
      <c r="ERW575" s="148"/>
      <c r="ERX575" s="149"/>
      <c r="ERY575" s="150"/>
      <c r="ESA575" s="152"/>
      <c r="ESB575" s="542"/>
      <c r="ESC575" s="154"/>
      <c r="ESD575" s="175"/>
      <c r="ESF575" s="156"/>
      <c r="ESG575" s="287"/>
      <c r="ESH575" s="488"/>
      <c r="ESI575" s="489"/>
      <c r="ESJ575" s="488"/>
      <c r="ESK575" s="300"/>
      <c r="ESL575" s="532"/>
      <c r="ESM575" s="533"/>
      <c r="ESN575" s="534"/>
      <c r="ESO575" s="316"/>
      <c r="ESP575" s="316"/>
      <c r="ESQ575" s="471"/>
      <c r="ESR575" s="472"/>
      <c r="ESS575" s="471"/>
      <c r="EST575" s="473"/>
      <c r="ESU575" s="313"/>
      <c r="ESV575" s="535"/>
      <c r="ESW575" s="536"/>
      <c r="ESX575" s="537"/>
      <c r="ESY575" s="538"/>
      <c r="ESZ575" s="539"/>
      <c r="ETA575" s="540"/>
      <c r="ETB575" s="209"/>
      <c r="ETC575" s="541"/>
      <c r="ETD575" s="541"/>
      <c r="ETE575" s="482"/>
      <c r="ETF575" s="173"/>
      <c r="ETG575" s="173"/>
      <c r="ETH575" s="509"/>
      <c r="ETJ575" s="148"/>
      <c r="ETK575" s="148"/>
      <c r="ETL575" s="149"/>
      <c r="ETM575" s="150"/>
      <c r="ETO575" s="152"/>
      <c r="ETP575" s="542"/>
      <c r="ETQ575" s="154"/>
      <c r="ETR575" s="175"/>
      <c r="ETT575" s="156"/>
      <c r="ETU575" s="287"/>
      <c r="ETV575" s="488"/>
      <c r="ETW575" s="489"/>
      <c r="ETX575" s="488"/>
      <c r="ETY575" s="300"/>
      <c r="ETZ575" s="532"/>
      <c r="EUA575" s="533"/>
      <c r="EUB575" s="534"/>
      <c r="EUC575" s="316"/>
      <c r="EUD575" s="316"/>
      <c r="EUE575" s="471"/>
      <c r="EUF575" s="472"/>
      <c r="EUG575" s="471"/>
      <c r="EUH575" s="473"/>
      <c r="EUI575" s="313"/>
      <c r="EUJ575" s="535"/>
      <c r="EUK575" s="536"/>
      <c r="EUL575" s="537"/>
      <c r="EUM575" s="538"/>
      <c r="EUN575" s="539"/>
      <c r="EUO575" s="540"/>
      <c r="EUP575" s="209"/>
      <c r="EUQ575" s="541"/>
      <c r="EUR575" s="541"/>
      <c r="EUS575" s="482"/>
      <c r="EUT575" s="173"/>
      <c r="EUU575" s="173"/>
      <c r="EUV575" s="509"/>
      <c r="EUX575" s="148"/>
      <c r="EUY575" s="148"/>
      <c r="EUZ575" s="149"/>
      <c r="EVA575" s="150"/>
      <c r="EVC575" s="152"/>
      <c r="EVD575" s="542"/>
      <c r="EVE575" s="154"/>
      <c r="EVF575" s="175"/>
      <c r="EVH575" s="156"/>
      <c r="EVI575" s="287"/>
      <c r="EVJ575" s="488"/>
      <c r="EVK575" s="489"/>
      <c r="EVL575" s="488"/>
      <c r="EVM575" s="300"/>
      <c r="EVN575" s="532"/>
      <c r="EVO575" s="533"/>
      <c r="EVP575" s="534"/>
      <c r="EVQ575" s="316"/>
      <c r="EVR575" s="316"/>
      <c r="EVS575" s="471"/>
      <c r="EVT575" s="472"/>
      <c r="EVU575" s="471"/>
      <c r="EVV575" s="473"/>
      <c r="EVW575" s="313"/>
      <c r="EVX575" s="535"/>
      <c r="EVY575" s="536"/>
      <c r="EVZ575" s="537"/>
      <c r="EWA575" s="538"/>
      <c r="EWB575" s="539"/>
      <c r="EWC575" s="540"/>
      <c r="EWD575" s="209"/>
      <c r="EWE575" s="541"/>
      <c r="EWF575" s="541"/>
      <c r="EWG575" s="482"/>
      <c r="EWH575" s="173"/>
      <c r="EWI575" s="173"/>
      <c r="EWJ575" s="509"/>
      <c r="EWL575" s="148"/>
      <c r="EWM575" s="148"/>
      <c r="EWN575" s="149"/>
      <c r="EWO575" s="150"/>
      <c r="EWQ575" s="152"/>
      <c r="EWR575" s="542"/>
      <c r="EWS575" s="154"/>
      <c r="EWT575" s="175"/>
      <c r="EWV575" s="156"/>
      <c r="EWW575" s="287"/>
      <c r="EWX575" s="488"/>
      <c r="EWY575" s="489"/>
      <c r="EWZ575" s="488"/>
      <c r="EXA575" s="300"/>
      <c r="EXB575" s="532"/>
      <c r="EXC575" s="533"/>
      <c r="EXD575" s="534"/>
      <c r="EXE575" s="316"/>
      <c r="EXF575" s="316"/>
      <c r="EXG575" s="471"/>
      <c r="EXH575" s="472"/>
      <c r="EXI575" s="471"/>
      <c r="EXJ575" s="473"/>
      <c r="EXK575" s="313"/>
      <c r="EXL575" s="535"/>
      <c r="EXM575" s="536"/>
      <c r="EXN575" s="537"/>
      <c r="EXO575" s="538"/>
      <c r="EXP575" s="539"/>
      <c r="EXQ575" s="540"/>
      <c r="EXR575" s="209"/>
      <c r="EXS575" s="541"/>
      <c r="EXT575" s="541"/>
      <c r="EXU575" s="482"/>
      <c r="EXV575" s="173"/>
      <c r="EXW575" s="173"/>
      <c r="EXX575" s="509"/>
      <c r="EXZ575" s="148"/>
      <c r="EYA575" s="148"/>
      <c r="EYB575" s="149"/>
      <c r="EYC575" s="150"/>
      <c r="EYE575" s="152"/>
      <c r="EYF575" s="542"/>
      <c r="EYG575" s="154"/>
      <c r="EYH575" s="175"/>
      <c r="EYJ575" s="156"/>
      <c r="EYK575" s="287"/>
      <c r="EYL575" s="488"/>
      <c r="EYM575" s="489"/>
      <c r="EYN575" s="488"/>
      <c r="EYO575" s="300"/>
      <c r="EYP575" s="532"/>
      <c r="EYQ575" s="533"/>
      <c r="EYR575" s="534"/>
      <c r="EYS575" s="316"/>
      <c r="EYT575" s="316"/>
      <c r="EYU575" s="471"/>
      <c r="EYV575" s="472"/>
      <c r="EYW575" s="471"/>
      <c r="EYX575" s="473"/>
      <c r="EYY575" s="313"/>
      <c r="EYZ575" s="535"/>
      <c r="EZA575" s="536"/>
      <c r="EZB575" s="537"/>
      <c r="EZC575" s="538"/>
      <c r="EZD575" s="539"/>
      <c r="EZE575" s="540"/>
      <c r="EZF575" s="209"/>
      <c r="EZG575" s="541"/>
      <c r="EZH575" s="541"/>
      <c r="EZI575" s="482"/>
      <c r="EZJ575" s="173"/>
      <c r="EZK575" s="173"/>
      <c r="EZL575" s="509"/>
      <c r="EZN575" s="148"/>
      <c r="EZO575" s="148"/>
      <c r="EZP575" s="149"/>
      <c r="EZQ575" s="150"/>
      <c r="EZS575" s="152"/>
      <c r="EZT575" s="542"/>
      <c r="EZU575" s="154"/>
      <c r="EZV575" s="175"/>
      <c r="EZX575" s="156"/>
      <c r="EZY575" s="287"/>
      <c r="EZZ575" s="488"/>
      <c r="FAA575" s="489"/>
      <c r="FAB575" s="488"/>
      <c r="FAC575" s="300"/>
      <c r="FAD575" s="532"/>
      <c r="FAE575" s="533"/>
      <c r="FAF575" s="534"/>
      <c r="FAG575" s="316"/>
      <c r="FAH575" s="316"/>
      <c r="FAI575" s="471"/>
      <c r="FAJ575" s="472"/>
      <c r="FAK575" s="471"/>
      <c r="FAL575" s="473"/>
      <c r="FAM575" s="313"/>
      <c r="FAN575" s="535"/>
      <c r="FAO575" s="536"/>
      <c r="FAP575" s="537"/>
      <c r="FAQ575" s="538"/>
      <c r="FAR575" s="539"/>
      <c r="FAS575" s="540"/>
      <c r="FAT575" s="209"/>
      <c r="FAU575" s="541"/>
      <c r="FAV575" s="541"/>
      <c r="FAW575" s="482"/>
      <c r="FAX575" s="173"/>
      <c r="FAY575" s="173"/>
      <c r="FAZ575" s="509"/>
      <c r="FBB575" s="148"/>
      <c r="FBC575" s="148"/>
      <c r="FBD575" s="149"/>
      <c r="FBE575" s="150"/>
      <c r="FBG575" s="152"/>
      <c r="FBH575" s="542"/>
      <c r="FBI575" s="154"/>
      <c r="FBJ575" s="175"/>
      <c r="FBL575" s="156"/>
      <c r="FBM575" s="287"/>
      <c r="FBN575" s="488"/>
      <c r="FBO575" s="489"/>
      <c r="FBP575" s="488"/>
      <c r="FBQ575" s="300"/>
      <c r="FBR575" s="532"/>
      <c r="FBS575" s="533"/>
      <c r="FBT575" s="534"/>
      <c r="FBU575" s="316"/>
      <c r="FBV575" s="316"/>
      <c r="FBW575" s="471"/>
      <c r="FBX575" s="472"/>
      <c r="FBY575" s="471"/>
      <c r="FBZ575" s="473"/>
      <c r="FCA575" s="313"/>
      <c r="FCB575" s="535"/>
      <c r="FCC575" s="536"/>
      <c r="FCD575" s="537"/>
      <c r="FCE575" s="538"/>
      <c r="FCF575" s="539"/>
      <c r="FCG575" s="540"/>
      <c r="FCH575" s="209"/>
      <c r="FCI575" s="541"/>
      <c r="FCJ575" s="541"/>
      <c r="FCK575" s="482"/>
      <c r="FCL575" s="173"/>
      <c r="FCM575" s="173"/>
      <c r="FCN575" s="509"/>
      <c r="FCP575" s="148"/>
      <c r="FCQ575" s="148"/>
      <c r="FCR575" s="149"/>
      <c r="FCS575" s="150"/>
      <c r="FCU575" s="152"/>
      <c r="FCV575" s="542"/>
      <c r="FCW575" s="154"/>
      <c r="FCX575" s="175"/>
      <c r="FCZ575" s="156"/>
      <c r="FDA575" s="287"/>
      <c r="FDB575" s="488"/>
      <c r="FDC575" s="489"/>
      <c r="FDD575" s="488"/>
      <c r="FDE575" s="300"/>
      <c r="FDF575" s="532"/>
      <c r="FDG575" s="533"/>
      <c r="FDH575" s="534"/>
      <c r="FDI575" s="316"/>
      <c r="FDJ575" s="316"/>
      <c r="FDK575" s="471"/>
      <c r="FDL575" s="472"/>
      <c r="FDM575" s="471"/>
      <c r="FDN575" s="473"/>
      <c r="FDO575" s="313"/>
      <c r="FDP575" s="535"/>
      <c r="FDQ575" s="536"/>
      <c r="FDR575" s="537"/>
      <c r="FDS575" s="538"/>
      <c r="FDT575" s="539"/>
      <c r="FDU575" s="540"/>
      <c r="FDV575" s="209"/>
      <c r="FDW575" s="541"/>
      <c r="FDX575" s="541"/>
      <c r="FDY575" s="482"/>
      <c r="FDZ575" s="173"/>
      <c r="FEA575" s="173"/>
      <c r="FEB575" s="509"/>
      <c r="FED575" s="148"/>
      <c r="FEE575" s="148"/>
      <c r="FEF575" s="149"/>
      <c r="FEG575" s="150"/>
      <c r="FEI575" s="152"/>
      <c r="FEJ575" s="542"/>
      <c r="FEK575" s="154"/>
      <c r="FEL575" s="175"/>
      <c r="FEN575" s="156"/>
      <c r="FEO575" s="287"/>
      <c r="FEP575" s="488"/>
      <c r="FEQ575" s="489"/>
      <c r="FER575" s="488"/>
      <c r="FES575" s="300"/>
      <c r="FET575" s="532"/>
      <c r="FEU575" s="533"/>
      <c r="FEV575" s="534"/>
      <c r="FEW575" s="316"/>
      <c r="FEX575" s="316"/>
      <c r="FEY575" s="471"/>
      <c r="FEZ575" s="472"/>
      <c r="FFA575" s="471"/>
      <c r="FFB575" s="473"/>
      <c r="FFC575" s="313"/>
      <c r="FFD575" s="535"/>
      <c r="FFE575" s="536"/>
      <c r="FFF575" s="537"/>
      <c r="FFG575" s="538"/>
      <c r="FFH575" s="539"/>
      <c r="FFI575" s="540"/>
      <c r="FFJ575" s="209"/>
      <c r="FFK575" s="541"/>
      <c r="FFL575" s="541"/>
      <c r="FFM575" s="482"/>
      <c r="FFN575" s="173"/>
      <c r="FFO575" s="173"/>
      <c r="FFP575" s="509"/>
      <c r="FFR575" s="148"/>
      <c r="FFS575" s="148"/>
      <c r="FFT575" s="149"/>
      <c r="FFU575" s="150"/>
      <c r="FFW575" s="152"/>
      <c r="FFX575" s="542"/>
      <c r="FFY575" s="154"/>
      <c r="FFZ575" s="175"/>
      <c r="FGB575" s="156"/>
      <c r="FGC575" s="287"/>
      <c r="FGD575" s="488"/>
      <c r="FGE575" s="489"/>
      <c r="FGF575" s="488"/>
      <c r="FGG575" s="300"/>
      <c r="FGH575" s="532"/>
      <c r="FGI575" s="533"/>
      <c r="FGJ575" s="534"/>
      <c r="FGK575" s="316"/>
      <c r="FGL575" s="316"/>
      <c r="FGM575" s="471"/>
      <c r="FGN575" s="472"/>
      <c r="FGO575" s="471"/>
      <c r="FGP575" s="473"/>
      <c r="FGQ575" s="313"/>
      <c r="FGR575" s="535"/>
      <c r="FGS575" s="536"/>
      <c r="FGT575" s="537"/>
      <c r="FGU575" s="538"/>
      <c r="FGV575" s="539"/>
      <c r="FGW575" s="540"/>
      <c r="FGX575" s="209"/>
      <c r="FGY575" s="541"/>
      <c r="FGZ575" s="541"/>
      <c r="FHA575" s="482"/>
      <c r="FHB575" s="173"/>
      <c r="FHC575" s="173"/>
      <c r="FHD575" s="509"/>
      <c r="FHF575" s="148"/>
      <c r="FHG575" s="148"/>
      <c r="FHH575" s="149"/>
      <c r="FHI575" s="150"/>
      <c r="FHK575" s="152"/>
      <c r="FHL575" s="542"/>
      <c r="FHM575" s="154"/>
      <c r="FHN575" s="175"/>
      <c r="FHP575" s="156"/>
      <c r="FHQ575" s="287"/>
      <c r="FHR575" s="488"/>
      <c r="FHS575" s="489"/>
      <c r="FHT575" s="488"/>
      <c r="FHU575" s="300"/>
      <c r="FHV575" s="532"/>
      <c r="FHW575" s="533"/>
      <c r="FHX575" s="534"/>
      <c r="FHY575" s="316"/>
      <c r="FHZ575" s="316"/>
      <c r="FIA575" s="471"/>
      <c r="FIB575" s="472"/>
      <c r="FIC575" s="471"/>
      <c r="FID575" s="473"/>
      <c r="FIE575" s="313"/>
      <c r="FIF575" s="535"/>
      <c r="FIG575" s="536"/>
      <c r="FIH575" s="537"/>
      <c r="FII575" s="538"/>
      <c r="FIJ575" s="539"/>
      <c r="FIK575" s="540"/>
      <c r="FIL575" s="209"/>
      <c r="FIM575" s="541"/>
      <c r="FIN575" s="541"/>
      <c r="FIO575" s="482"/>
      <c r="FIP575" s="173"/>
      <c r="FIQ575" s="173"/>
      <c r="FIR575" s="509"/>
      <c r="FIT575" s="148"/>
      <c r="FIU575" s="148"/>
      <c r="FIV575" s="149"/>
      <c r="FIW575" s="150"/>
      <c r="FIY575" s="152"/>
      <c r="FIZ575" s="542"/>
      <c r="FJA575" s="154"/>
      <c r="FJB575" s="175"/>
      <c r="FJD575" s="156"/>
      <c r="FJE575" s="287"/>
      <c r="FJF575" s="488"/>
      <c r="FJG575" s="489"/>
      <c r="FJH575" s="488"/>
      <c r="FJI575" s="300"/>
      <c r="FJJ575" s="532"/>
      <c r="FJK575" s="533"/>
      <c r="FJL575" s="534"/>
      <c r="FJM575" s="316"/>
      <c r="FJN575" s="316"/>
      <c r="FJO575" s="471"/>
      <c r="FJP575" s="472"/>
      <c r="FJQ575" s="471"/>
      <c r="FJR575" s="473"/>
      <c r="FJS575" s="313"/>
      <c r="FJT575" s="535"/>
      <c r="FJU575" s="536"/>
      <c r="FJV575" s="537"/>
      <c r="FJW575" s="538"/>
      <c r="FJX575" s="539"/>
      <c r="FJY575" s="540"/>
      <c r="FJZ575" s="209"/>
      <c r="FKA575" s="541"/>
      <c r="FKB575" s="541"/>
      <c r="FKC575" s="482"/>
      <c r="FKD575" s="173"/>
      <c r="FKE575" s="173"/>
      <c r="FKF575" s="509"/>
      <c r="FKH575" s="148"/>
      <c r="FKI575" s="148"/>
      <c r="FKJ575" s="149"/>
      <c r="FKK575" s="150"/>
      <c r="FKM575" s="152"/>
      <c r="FKN575" s="542"/>
      <c r="FKO575" s="154"/>
      <c r="FKP575" s="175"/>
      <c r="FKR575" s="156"/>
      <c r="FKS575" s="287"/>
      <c r="FKT575" s="488"/>
      <c r="FKU575" s="489"/>
      <c r="FKV575" s="488"/>
      <c r="FKW575" s="300"/>
      <c r="FKX575" s="532"/>
      <c r="FKY575" s="533"/>
      <c r="FKZ575" s="534"/>
      <c r="FLA575" s="316"/>
      <c r="FLB575" s="316"/>
      <c r="FLC575" s="471"/>
      <c r="FLD575" s="472"/>
      <c r="FLE575" s="471"/>
      <c r="FLF575" s="473"/>
      <c r="FLG575" s="313"/>
      <c r="FLH575" s="535"/>
      <c r="FLI575" s="536"/>
      <c r="FLJ575" s="537"/>
      <c r="FLK575" s="538"/>
      <c r="FLL575" s="539"/>
      <c r="FLM575" s="540"/>
      <c r="FLN575" s="209"/>
      <c r="FLO575" s="541"/>
      <c r="FLP575" s="541"/>
      <c r="FLQ575" s="482"/>
      <c r="FLR575" s="173"/>
      <c r="FLS575" s="173"/>
      <c r="FLT575" s="509"/>
      <c r="FLV575" s="148"/>
      <c r="FLW575" s="148"/>
      <c r="FLX575" s="149"/>
      <c r="FLY575" s="150"/>
      <c r="FMA575" s="152"/>
      <c r="FMB575" s="542"/>
      <c r="FMC575" s="154"/>
      <c r="FMD575" s="175"/>
      <c r="FMF575" s="156"/>
      <c r="FMG575" s="287"/>
      <c r="FMH575" s="488"/>
      <c r="FMI575" s="489"/>
      <c r="FMJ575" s="488"/>
      <c r="FMK575" s="300"/>
      <c r="FML575" s="532"/>
      <c r="FMM575" s="533"/>
      <c r="FMN575" s="534"/>
      <c r="FMO575" s="316"/>
      <c r="FMP575" s="316"/>
      <c r="FMQ575" s="471"/>
      <c r="FMR575" s="472"/>
      <c r="FMS575" s="471"/>
      <c r="FMT575" s="473"/>
      <c r="FMU575" s="313"/>
      <c r="FMV575" s="535"/>
      <c r="FMW575" s="536"/>
      <c r="FMX575" s="537"/>
      <c r="FMY575" s="538"/>
      <c r="FMZ575" s="539"/>
      <c r="FNA575" s="540"/>
      <c r="FNB575" s="209"/>
      <c r="FNC575" s="541"/>
      <c r="FND575" s="541"/>
      <c r="FNE575" s="482"/>
      <c r="FNF575" s="173"/>
      <c r="FNG575" s="173"/>
      <c r="FNH575" s="509"/>
      <c r="FNJ575" s="148"/>
      <c r="FNK575" s="148"/>
      <c r="FNL575" s="149"/>
      <c r="FNM575" s="150"/>
      <c r="FNO575" s="152"/>
      <c r="FNP575" s="542"/>
      <c r="FNQ575" s="154"/>
      <c r="FNR575" s="175"/>
      <c r="FNT575" s="156"/>
      <c r="FNU575" s="287"/>
      <c r="FNV575" s="488"/>
      <c r="FNW575" s="489"/>
      <c r="FNX575" s="488"/>
      <c r="FNY575" s="300"/>
      <c r="FNZ575" s="532"/>
      <c r="FOA575" s="533"/>
      <c r="FOB575" s="534"/>
      <c r="FOC575" s="316"/>
      <c r="FOD575" s="316"/>
      <c r="FOE575" s="471"/>
      <c r="FOF575" s="472"/>
      <c r="FOG575" s="471"/>
      <c r="FOH575" s="473"/>
      <c r="FOI575" s="313"/>
      <c r="FOJ575" s="535"/>
      <c r="FOK575" s="536"/>
      <c r="FOL575" s="537"/>
      <c r="FOM575" s="538"/>
      <c r="FON575" s="539"/>
      <c r="FOO575" s="540"/>
      <c r="FOP575" s="209"/>
      <c r="FOQ575" s="541"/>
      <c r="FOR575" s="541"/>
      <c r="FOS575" s="482"/>
      <c r="FOT575" s="173"/>
      <c r="FOU575" s="173"/>
      <c r="FOV575" s="509"/>
      <c r="FOX575" s="148"/>
      <c r="FOY575" s="148"/>
      <c r="FOZ575" s="149"/>
      <c r="FPA575" s="150"/>
      <c r="FPC575" s="152"/>
      <c r="FPD575" s="542"/>
      <c r="FPE575" s="154"/>
      <c r="FPF575" s="175"/>
      <c r="FPH575" s="156"/>
      <c r="FPI575" s="287"/>
      <c r="FPJ575" s="488"/>
      <c r="FPK575" s="489"/>
      <c r="FPL575" s="488"/>
      <c r="FPM575" s="300"/>
      <c r="FPN575" s="532"/>
      <c r="FPO575" s="533"/>
      <c r="FPP575" s="534"/>
      <c r="FPQ575" s="316"/>
      <c r="FPR575" s="316"/>
      <c r="FPS575" s="471"/>
      <c r="FPT575" s="472"/>
      <c r="FPU575" s="471"/>
      <c r="FPV575" s="473"/>
      <c r="FPW575" s="313"/>
      <c r="FPX575" s="535"/>
      <c r="FPY575" s="536"/>
      <c r="FPZ575" s="537"/>
      <c r="FQA575" s="538"/>
      <c r="FQB575" s="539"/>
      <c r="FQC575" s="540"/>
      <c r="FQD575" s="209"/>
      <c r="FQE575" s="541"/>
      <c r="FQF575" s="541"/>
      <c r="FQG575" s="482"/>
      <c r="FQH575" s="173"/>
      <c r="FQI575" s="173"/>
      <c r="FQJ575" s="509"/>
      <c r="FQL575" s="148"/>
      <c r="FQM575" s="148"/>
      <c r="FQN575" s="149"/>
      <c r="FQO575" s="150"/>
      <c r="FQQ575" s="152"/>
      <c r="FQR575" s="542"/>
      <c r="FQS575" s="154"/>
      <c r="FQT575" s="175"/>
      <c r="FQV575" s="156"/>
      <c r="FQW575" s="287"/>
      <c r="FQX575" s="488"/>
      <c r="FQY575" s="489"/>
      <c r="FQZ575" s="488"/>
      <c r="FRA575" s="300"/>
      <c r="FRB575" s="532"/>
      <c r="FRC575" s="533"/>
      <c r="FRD575" s="534"/>
      <c r="FRE575" s="316"/>
      <c r="FRF575" s="316"/>
      <c r="FRG575" s="471"/>
      <c r="FRH575" s="472"/>
      <c r="FRI575" s="471"/>
      <c r="FRJ575" s="473"/>
      <c r="FRK575" s="313"/>
      <c r="FRL575" s="535"/>
      <c r="FRM575" s="536"/>
      <c r="FRN575" s="537"/>
      <c r="FRO575" s="538"/>
      <c r="FRP575" s="539"/>
      <c r="FRQ575" s="540"/>
      <c r="FRR575" s="209"/>
      <c r="FRS575" s="541"/>
      <c r="FRT575" s="541"/>
      <c r="FRU575" s="482"/>
      <c r="FRV575" s="173"/>
      <c r="FRW575" s="173"/>
      <c r="FRX575" s="509"/>
      <c r="FRZ575" s="148"/>
      <c r="FSA575" s="148"/>
      <c r="FSB575" s="149"/>
      <c r="FSC575" s="150"/>
      <c r="FSE575" s="152"/>
      <c r="FSF575" s="542"/>
      <c r="FSG575" s="154"/>
      <c r="FSH575" s="175"/>
      <c r="FSJ575" s="156"/>
      <c r="FSK575" s="287"/>
      <c r="FSL575" s="488"/>
      <c r="FSM575" s="489"/>
      <c r="FSN575" s="488"/>
      <c r="FSO575" s="300"/>
      <c r="FSP575" s="532"/>
      <c r="FSQ575" s="533"/>
      <c r="FSR575" s="534"/>
      <c r="FSS575" s="316"/>
      <c r="FST575" s="316"/>
      <c r="FSU575" s="471"/>
      <c r="FSV575" s="472"/>
      <c r="FSW575" s="471"/>
      <c r="FSX575" s="473"/>
      <c r="FSY575" s="313"/>
      <c r="FSZ575" s="535"/>
      <c r="FTA575" s="536"/>
      <c r="FTB575" s="537"/>
      <c r="FTC575" s="538"/>
      <c r="FTD575" s="539"/>
      <c r="FTE575" s="540"/>
      <c r="FTF575" s="209"/>
      <c r="FTG575" s="541"/>
      <c r="FTH575" s="541"/>
      <c r="FTI575" s="482"/>
      <c r="FTJ575" s="173"/>
      <c r="FTK575" s="173"/>
      <c r="FTL575" s="509"/>
      <c r="FTN575" s="148"/>
      <c r="FTO575" s="148"/>
      <c r="FTP575" s="149"/>
      <c r="FTQ575" s="150"/>
      <c r="FTS575" s="152"/>
      <c r="FTT575" s="542"/>
      <c r="FTU575" s="154"/>
      <c r="FTV575" s="175"/>
      <c r="FTX575" s="156"/>
      <c r="FTY575" s="287"/>
      <c r="FTZ575" s="488"/>
      <c r="FUA575" s="489"/>
      <c r="FUB575" s="488"/>
      <c r="FUC575" s="300"/>
      <c r="FUD575" s="532"/>
      <c r="FUE575" s="533"/>
      <c r="FUF575" s="534"/>
      <c r="FUG575" s="316"/>
      <c r="FUH575" s="316"/>
      <c r="FUI575" s="471"/>
      <c r="FUJ575" s="472"/>
      <c r="FUK575" s="471"/>
      <c r="FUL575" s="473"/>
      <c r="FUM575" s="313"/>
      <c r="FUN575" s="535"/>
      <c r="FUO575" s="536"/>
      <c r="FUP575" s="537"/>
      <c r="FUQ575" s="538"/>
      <c r="FUR575" s="539"/>
      <c r="FUS575" s="540"/>
      <c r="FUT575" s="209"/>
      <c r="FUU575" s="541"/>
      <c r="FUV575" s="541"/>
      <c r="FUW575" s="482"/>
      <c r="FUX575" s="173"/>
      <c r="FUY575" s="173"/>
      <c r="FUZ575" s="509"/>
      <c r="FVB575" s="148"/>
      <c r="FVC575" s="148"/>
      <c r="FVD575" s="149"/>
      <c r="FVE575" s="150"/>
      <c r="FVG575" s="152"/>
      <c r="FVH575" s="542"/>
      <c r="FVI575" s="154"/>
      <c r="FVJ575" s="175"/>
      <c r="FVL575" s="156"/>
      <c r="FVM575" s="287"/>
      <c r="FVN575" s="488"/>
      <c r="FVO575" s="489"/>
      <c r="FVP575" s="488"/>
      <c r="FVQ575" s="300"/>
      <c r="FVR575" s="532"/>
      <c r="FVS575" s="533"/>
      <c r="FVT575" s="534"/>
      <c r="FVU575" s="316"/>
      <c r="FVV575" s="316"/>
      <c r="FVW575" s="471"/>
      <c r="FVX575" s="472"/>
      <c r="FVY575" s="471"/>
      <c r="FVZ575" s="473"/>
      <c r="FWA575" s="313"/>
      <c r="FWB575" s="535"/>
      <c r="FWC575" s="536"/>
      <c r="FWD575" s="537"/>
      <c r="FWE575" s="538"/>
      <c r="FWF575" s="539"/>
      <c r="FWG575" s="540"/>
      <c r="FWH575" s="209"/>
      <c r="FWI575" s="541"/>
      <c r="FWJ575" s="541"/>
      <c r="FWK575" s="482"/>
      <c r="FWL575" s="173"/>
      <c r="FWM575" s="173"/>
      <c r="FWN575" s="509"/>
      <c r="FWP575" s="148"/>
      <c r="FWQ575" s="148"/>
      <c r="FWR575" s="149"/>
      <c r="FWS575" s="150"/>
      <c r="FWU575" s="152"/>
      <c r="FWV575" s="542"/>
      <c r="FWW575" s="154"/>
      <c r="FWX575" s="175"/>
      <c r="FWZ575" s="156"/>
      <c r="FXA575" s="287"/>
      <c r="FXB575" s="488"/>
      <c r="FXC575" s="489"/>
      <c r="FXD575" s="488"/>
      <c r="FXE575" s="300"/>
      <c r="FXF575" s="532"/>
      <c r="FXG575" s="533"/>
      <c r="FXH575" s="534"/>
      <c r="FXI575" s="316"/>
      <c r="FXJ575" s="316"/>
      <c r="FXK575" s="471"/>
      <c r="FXL575" s="472"/>
      <c r="FXM575" s="471"/>
      <c r="FXN575" s="473"/>
      <c r="FXO575" s="313"/>
      <c r="FXP575" s="535"/>
      <c r="FXQ575" s="536"/>
      <c r="FXR575" s="537"/>
      <c r="FXS575" s="538"/>
      <c r="FXT575" s="539"/>
      <c r="FXU575" s="540"/>
      <c r="FXV575" s="209"/>
      <c r="FXW575" s="541"/>
      <c r="FXX575" s="541"/>
      <c r="FXY575" s="482"/>
      <c r="FXZ575" s="173"/>
      <c r="FYA575" s="173"/>
      <c r="FYB575" s="509"/>
      <c r="FYD575" s="148"/>
      <c r="FYE575" s="148"/>
      <c r="FYF575" s="149"/>
      <c r="FYG575" s="150"/>
      <c r="FYI575" s="152"/>
      <c r="FYJ575" s="542"/>
      <c r="FYK575" s="154"/>
      <c r="FYL575" s="175"/>
      <c r="FYN575" s="156"/>
      <c r="FYO575" s="287"/>
      <c r="FYP575" s="488"/>
      <c r="FYQ575" s="489"/>
      <c r="FYR575" s="488"/>
      <c r="FYS575" s="300"/>
      <c r="FYT575" s="532"/>
      <c r="FYU575" s="533"/>
      <c r="FYV575" s="534"/>
      <c r="FYW575" s="316"/>
      <c r="FYX575" s="316"/>
      <c r="FYY575" s="471"/>
      <c r="FYZ575" s="472"/>
      <c r="FZA575" s="471"/>
      <c r="FZB575" s="473"/>
      <c r="FZC575" s="313"/>
      <c r="FZD575" s="535"/>
      <c r="FZE575" s="536"/>
      <c r="FZF575" s="537"/>
      <c r="FZG575" s="538"/>
      <c r="FZH575" s="539"/>
      <c r="FZI575" s="540"/>
      <c r="FZJ575" s="209"/>
      <c r="FZK575" s="541"/>
      <c r="FZL575" s="541"/>
      <c r="FZM575" s="482"/>
      <c r="FZN575" s="173"/>
      <c r="FZO575" s="173"/>
      <c r="FZP575" s="509"/>
      <c r="FZR575" s="148"/>
      <c r="FZS575" s="148"/>
      <c r="FZT575" s="149"/>
      <c r="FZU575" s="150"/>
      <c r="FZW575" s="152"/>
      <c r="FZX575" s="542"/>
      <c r="FZY575" s="154"/>
      <c r="FZZ575" s="175"/>
      <c r="GAB575" s="156"/>
      <c r="GAC575" s="287"/>
      <c r="GAD575" s="488"/>
      <c r="GAE575" s="489"/>
      <c r="GAF575" s="488"/>
      <c r="GAG575" s="300"/>
      <c r="GAH575" s="532"/>
      <c r="GAI575" s="533"/>
      <c r="GAJ575" s="534"/>
      <c r="GAK575" s="316"/>
      <c r="GAL575" s="316"/>
      <c r="GAM575" s="471"/>
      <c r="GAN575" s="472"/>
      <c r="GAO575" s="471"/>
      <c r="GAP575" s="473"/>
      <c r="GAQ575" s="313"/>
      <c r="GAR575" s="535"/>
      <c r="GAS575" s="536"/>
      <c r="GAT575" s="537"/>
      <c r="GAU575" s="538"/>
      <c r="GAV575" s="539"/>
      <c r="GAW575" s="540"/>
      <c r="GAX575" s="209"/>
      <c r="GAY575" s="541"/>
      <c r="GAZ575" s="541"/>
      <c r="GBA575" s="482"/>
      <c r="GBB575" s="173"/>
      <c r="GBC575" s="173"/>
      <c r="GBD575" s="509"/>
      <c r="GBF575" s="148"/>
      <c r="GBG575" s="148"/>
      <c r="GBH575" s="149"/>
      <c r="GBI575" s="150"/>
      <c r="GBK575" s="152"/>
      <c r="GBL575" s="542"/>
      <c r="GBM575" s="154"/>
      <c r="GBN575" s="175"/>
      <c r="GBP575" s="156"/>
      <c r="GBQ575" s="287"/>
      <c r="GBR575" s="488"/>
      <c r="GBS575" s="489"/>
      <c r="GBT575" s="488"/>
      <c r="GBU575" s="300"/>
      <c r="GBV575" s="532"/>
      <c r="GBW575" s="533"/>
      <c r="GBX575" s="534"/>
      <c r="GBY575" s="316"/>
      <c r="GBZ575" s="316"/>
      <c r="GCA575" s="471"/>
      <c r="GCB575" s="472"/>
      <c r="GCC575" s="471"/>
      <c r="GCD575" s="473"/>
      <c r="GCE575" s="313"/>
      <c r="GCF575" s="535"/>
      <c r="GCG575" s="536"/>
      <c r="GCH575" s="537"/>
      <c r="GCI575" s="538"/>
      <c r="GCJ575" s="539"/>
      <c r="GCK575" s="540"/>
      <c r="GCL575" s="209"/>
      <c r="GCM575" s="541"/>
      <c r="GCN575" s="541"/>
      <c r="GCO575" s="482"/>
      <c r="GCP575" s="173"/>
      <c r="GCQ575" s="173"/>
      <c r="GCR575" s="509"/>
      <c r="GCT575" s="148"/>
      <c r="GCU575" s="148"/>
      <c r="GCV575" s="149"/>
      <c r="GCW575" s="150"/>
      <c r="GCY575" s="152"/>
      <c r="GCZ575" s="542"/>
      <c r="GDA575" s="154"/>
      <c r="GDB575" s="175"/>
      <c r="GDD575" s="156"/>
      <c r="GDE575" s="287"/>
      <c r="GDF575" s="488"/>
      <c r="GDG575" s="489"/>
      <c r="GDH575" s="488"/>
      <c r="GDI575" s="300"/>
      <c r="GDJ575" s="532"/>
      <c r="GDK575" s="533"/>
      <c r="GDL575" s="534"/>
      <c r="GDM575" s="316"/>
      <c r="GDN575" s="316"/>
      <c r="GDO575" s="471"/>
      <c r="GDP575" s="472"/>
      <c r="GDQ575" s="471"/>
      <c r="GDR575" s="473"/>
      <c r="GDS575" s="313"/>
      <c r="GDT575" s="535"/>
      <c r="GDU575" s="536"/>
      <c r="GDV575" s="537"/>
      <c r="GDW575" s="538"/>
      <c r="GDX575" s="539"/>
      <c r="GDY575" s="540"/>
      <c r="GDZ575" s="209"/>
      <c r="GEA575" s="541"/>
      <c r="GEB575" s="541"/>
      <c r="GEC575" s="482"/>
      <c r="GED575" s="173"/>
      <c r="GEE575" s="173"/>
      <c r="GEF575" s="509"/>
      <c r="GEH575" s="148"/>
      <c r="GEI575" s="148"/>
      <c r="GEJ575" s="149"/>
      <c r="GEK575" s="150"/>
      <c r="GEM575" s="152"/>
      <c r="GEN575" s="542"/>
      <c r="GEO575" s="154"/>
      <c r="GEP575" s="175"/>
      <c r="GER575" s="156"/>
      <c r="GES575" s="287"/>
      <c r="GET575" s="488"/>
      <c r="GEU575" s="489"/>
      <c r="GEV575" s="488"/>
      <c r="GEW575" s="300"/>
      <c r="GEX575" s="532"/>
      <c r="GEY575" s="533"/>
      <c r="GEZ575" s="534"/>
      <c r="GFA575" s="316"/>
      <c r="GFB575" s="316"/>
      <c r="GFC575" s="471"/>
      <c r="GFD575" s="472"/>
      <c r="GFE575" s="471"/>
      <c r="GFF575" s="473"/>
      <c r="GFG575" s="313"/>
      <c r="GFH575" s="535"/>
      <c r="GFI575" s="536"/>
      <c r="GFJ575" s="537"/>
      <c r="GFK575" s="538"/>
      <c r="GFL575" s="539"/>
      <c r="GFM575" s="540"/>
      <c r="GFN575" s="209"/>
      <c r="GFO575" s="541"/>
      <c r="GFP575" s="541"/>
      <c r="GFQ575" s="482"/>
      <c r="GFR575" s="173"/>
      <c r="GFS575" s="173"/>
      <c r="GFT575" s="509"/>
      <c r="GFV575" s="148"/>
      <c r="GFW575" s="148"/>
      <c r="GFX575" s="149"/>
      <c r="GFY575" s="150"/>
      <c r="GGA575" s="152"/>
      <c r="GGB575" s="542"/>
      <c r="GGC575" s="154"/>
      <c r="GGD575" s="175"/>
      <c r="GGF575" s="156"/>
      <c r="GGG575" s="287"/>
      <c r="GGH575" s="488"/>
      <c r="GGI575" s="489"/>
      <c r="GGJ575" s="488"/>
      <c r="GGK575" s="300"/>
      <c r="GGL575" s="532"/>
      <c r="GGM575" s="533"/>
      <c r="GGN575" s="534"/>
      <c r="GGO575" s="316"/>
      <c r="GGP575" s="316"/>
      <c r="GGQ575" s="471"/>
      <c r="GGR575" s="472"/>
      <c r="GGS575" s="471"/>
      <c r="GGT575" s="473"/>
      <c r="GGU575" s="313"/>
      <c r="GGV575" s="535"/>
      <c r="GGW575" s="536"/>
      <c r="GGX575" s="537"/>
      <c r="GGY575" s="538"/>
      <c r="GGZ575" s="539"/>
      <c r="GHA575" s="540"/>
      <c r="GHB575" s="209"/>
      <c r="GHC575" s="541"/>
      <c r="GHD575" s="541"/>
      <c r="GHE575" s="482"/>
      <c r="GHF575" s="173"/>
      <c r="GHG575" s="173"/>
      <c r="GHH575" s="509"/>
      <c r="GHJ575" s="148"/>
      <c r="GHK575" s="148"/>
      <c r="GHL575" s="149"/>
      <c r="GHM575" s="150"/>
      <c r="GHO575" s="152"/>
      <c r="GHP575" s="542"/>
      <c r="GHQ575" s="154"/>
      <c r="GHR575" s="175"/>
      <c r="GHT575" s="156"/>
      <c r="GHU575" s="287"/>
      <c r="GHV575" s="488"/>
      <c r="GHW575" s="489"/>
      <c r="GHX575" s="488"/>
      <c r="GHY575" s="300"/>
      <c r="GHZ575" s="532"/>
      <c r="GIA575" s="533"/>
      <c r="GIB575" s="534"/>
      <c r="GIC575" s="316"/>
      <c r="GID575" s="316"/>
      <c r="GIE575" s="471"/>
      <c r="GIF575" s="472"/>
      <c r="GIG575" s="471"/>
      <c r="GIH575" s="473"/>
      <c r="GII575" s="313"/>
      <c r="GIJ575" s="535"/>
      <c r="GIK575" s="536"/>
      <c r="GIL575" s="537"/>
      <c r="GIM575" s="538"/>
      <c r="GIN575" s="539"/>
      <c r="GIO575" s="540"/>
      <c r="GIP575" s="209"/>
      <c r="GIQ575" s="541"/>
      <c r="GIR575" s="541"/>
      <c r="GIS575" s="482"/>
      <c r="GIT575" s="173"/>
      <c r="GIU575" s="173"/>
      <c r="GIV575" s="509"/>
      <c r="GIX575" s="148"/>
      <c r="GIY575" s="148"/>
      <c r="GIZ575" s="149"/>
      <c r="GJA575" s="150"/>
      <c r="GJC575" s="152"/>
      <c r="GJD575" s="542"/>
      <c r="GJE575" s="154"/>
      <c r="GJF575" s="175"/>
      <c r="GJH575" s="156"/>
      <c r="GJI575" s="287"/>
      <c r="GJJ575" s="488"/>
      <c r="GJK575" s="489"/>
      <c r="GJL575" s="488"/>
      <c r="GJM575" s="300"/>
      <c r="GJN575" s="532"/>
      <c r="GJO575" s="533"/>
      <c r="GJP575" s="534"/>
      <c r="GJQ575" s="316"/>
      <c r="GJR575" s="316"/>
      <c r="GJS575" s="471"/>
      <c r="GJT575" s="472"/>
      <c r="GJU575" s="471"/>
      <c r="GJV575" s="473"/>
      <c r="GJW575" s="313"/>
      <c r="GJX575" s="535"/>
      <c r="GJY575" s="536"/>
      <c r="GJZ575" s="537"/>
      <c r="GKA575" s="538"/>
      <c r="GKB575" s="539"/>
      <c r="GKC575" s="540"/>
      <c r="GKD575" s="209"/>
      <c r="GKE575" s="541"/>
      <c r="GKF575" s="541"/>
      <c r="GKG575" s="482"/>
      <c r="GKH575" s="173"/>
      <c r="GKI575" s="173"/>
      <c r="GKJ575" s="509"/>
      <c r="GKL575" s="148"/>
      <c r="GKM575" s="148"/>
      <c r="GKN575" s="149"/>
      <c r="GKO575" s="150"/>
      <c r="GKQ575" s="152"/>
      <c r="GKR575" s="542"/>
      <c r="GKS575" s="154"/>
      <c r="GKT575" s="175"/>
      <c r="GKV575" s="156"/>
      <c r="GKW575" s="287"/>
      <c r="GKX575" s="488"/>
      <c r="GKY575" s="489"/>
      <c r="GKZ575" s="488"/>
      <c r="GLA575" s="300"/>
      <c r="GLB575" s="532"/>
      <c r="GLC575" s="533"/>
      <c r="GLD575" s="534"/>
      <c r="GLE575" s="316"/>
      <c r="GLF575" s="316"/>
      <c r="GLG575" s="471"/>
      <c r="GLH575" s="472"/>
      <c r="GLI575" s="471"/>
      <c r="GLJ575" s="473"/>
      <c r="GLK575" s="313"/>
      <c r="GLL575" s="535"/>
      <c r="GLM575" s="536"/>
      <c r="GLN575" s="537"/>
      <c r="GLO575" s="538"/>
      <c r="GLP575" s="539"/>
      <c r="GLQ575" s="540"/>
      <c r="GLR575" s="209"/>
      <c r="GLS575" s="541"/>
      <c r="GLT575" s="541"/>
      <c r="GLU575" s="482"/>
      <c r="GLV575" s="173"/>
      <c r="GLW575" s="173"/>
      <c r="GLX575" s="509"/>
      <c r="GLZ575" s="148"/>
      <c r="GMA575" s="148"/>
      <c r="GMB575" s="149"/>
      <c r="GMC575" s="150"/>
      <c r="GME575" s="152"/>
      <c r="GMF575" s="542"/>
      <c r="GMG575" s="154"/>
      <c r="GMH575" s="175"/>
      <c r="GMJ575" s="156"/>
      <c r="GMK575" s="287"/>
      <c r="GML575" s="488"/>
      <c r="GMM575" s="489"/>
      <c r="GMN575" s="488"/>
      <c r="GMO575" s="300"/>
      <c r="GMP575" s="532"/>
      <c r="GMQ575" s="533"/>
      <c r="GMR575" s="534"/>
      <c r="GMS575" s="316"/>
      <c r="GMT575" s="316"/>
      <c r="GMU575" s="471"/>
      <c r="GMV575" s="472"/>
      <c r="GMW575" s="471"/>
      <c r="GMX575" s="473"/>
      <c r="GMY575" s="313"/>
      <c r="GMZ575" s="535"/>
      <c r="GNA575" s="536"/>
      <c r="GNB575" s="537"/>
      <c r="GNC575" s="538"/>
      <c r="GND575" s="539"/>
      <c r="GNE575" s="540"/>
      <c r="GNF575" s="209"/>
      <c r="GNG575" s="541"/>
      <c r="GNH575" s="541"/>
      <c r="GNI575" s="482"/>
      <c r="GNJ575" s="173"/>
      <c r="GNK575" s="173"/>
      <c r="GNL575" s="509"/>
      <c r="GNN575" s="148"/>
      <c r="GNO575" s="148"/>
      <c r="GNP575" s="149"/>
      <c r="GNQ575" s="150"/>
      <c r="GNS575" s="152"/>
      <c r="GNT575" s="542"/>
      <c r="GNU575" s="154"/>
      <c r="GNV575" s="175"/>
      <c r="GNX575" s="156"/>
      <c r="GNY575" s="287"/>
      <c r="GNZ575" s="488"/>
      <c r="GOA575" s="489"/>
      <c r="GOB575" s="488"/>
      <c r="GOC575" s="300"/>
      <c r="GOD575" s="532"/>
      <c r="GOE575" s="533"/>
      <c r="GOF575" s="534"/>
      <c r="GOG575" s="316"/>
      <c r="GOH575" s="316"/>
      <c r="GOI575" s="471"/>
      <c r="GOJ575" s="472"/>
      <c r="GOK575" s="471"/>
      <c r="GOL575" s="473"/>
      <c r="GOM575" s="313"/>
      <c r="GON575" s="535"/>
      <c r="GOO575" s="536"/>
      <c r="GOP575" s="537"/>
      <c r="GOQ575" s="538"/>
      <c r="GOR575" s="539"/>
      <c r="GOS575" s="540"/>
      <c r="GOT575" s="209"/>
      <c r="GOU575" s="541"/>
      <c r="GOV575" s="541"/>
      <c r="GOW575" s="482"/>
      <c r="GOX575" s="173"/>
      <c r="GOY575" s="173"/>
      <c r="GOZ575" s="509"/>
      <c r="GPB575" s="148"/>
      <c r="GPC575" s="148"/>
      <c r="GPD575" s="149"/>
      <c r="GPE575" s="150"/>
      <c r="GPG575" s="152"/>
      <c r="GPH575" s="542"/>
      <c r="GPI575" s="154"/>
      <c r="GPJ575" s="175"/>
      <c r="GPL575" s="156"/>
      <c r="GPM575" s="287"/>
      <c r="GPN575" s="488"/>
      <c r="GPO575" s="489"/>
      <c r="GPP575" s="488"/>
      <c r="GPQ575" s="300"/>
      <c r="GPR575" s="532"/>
      <c r="GPS575" s="533"/>
      <c r="GPT575" s="534"/>
      <c r="GPU575" s="316"/>
      <c r="GPV575" s="316"/>
      <c r="GPW575" s="471"/>
      <c r="GPX575" s="472"/>
      <c r="GPY575" s="471"/>
      <c r="GPZ575" s="473"/>
      <c r="GQA575" s="313"/>
      <c r="GQB575" s="535"/>
      <c r="GQC575" s="536"/>
      <c r="GQD575" s="537"/>
      <c r="GQE575" s="538"/>
      <c r="GQF575" s="539"/>
      <c r="GQG575" s="540"/>
      <c r="GQH575" s="209"/>
      <c r="GQI575" s="541"/>
      <c r="GQJ575" s="541"/>
      <c r="GQK575" s="482"/>
      <c r="GQL575" s="173"/>
      <c r="GQM575" s="173"/>
      <c r="GQN575" s="509"/>
      <c r="GQP575" s="148"/>
      <c r="GQQ575" s="148"/>
      <c r="GQR575" s="149"/>
      <c r="GQS575" s="150"/>
      <c r="GQU575" s="152"/>
      <c r="GQV575" s="542"/>
      <c r="GQW575" s="154"/>
      <c r="GQX575" s="175"/>
      <c r="GQZ575" s="156"/>
      <c r="GRA575" s="287"/>
      <c r="GRB575" s="488"/>
      <c r="GRC575" s="489"/>
      <c r="GRD575" s="488"/>
      <c r="GRE575" s="300"/>
      <c r="GRF575" s="532"/>
      <c r="GRG575" s="533"/>
      <c r="GRH575" s="534"/>
      <c r="GRI575" s="316"/>
      <c r="GRJ575" s="316"/>
      <c r="GRK575" s="471"/>
      <c r="GRL575" s="472"/>
      <c r="GRM575" s="471"/>
      <c r="GRN575" s="473"/>
      <c r="GRO575" s="313"/>
      <c r="GRP575" s="535"/>
      <c r="GRQ575" s="536"/>
      <c r="GRR575" s="537"/>
      <c r="GRS575" s="538"/>
      <c r="GRT575" s="539"/>
      <c r="GRU575" s="540"/>
      <c r="GRV575" s="209"/>
      <c r="GRW575" s="541"/>
      <c r="GRX575" s="541"/>
      <c r="GRY575" s="482"/>
      <c r="GRZ575" s="173"/>
      <c r="GSA575" s="173"/>
      <c r="GSB575" s="509"/>
      <c r="GSD575" s="148"/>
      <c r="GSE575" s="148"/>
      <c r="GSF575" s="149"/>
      <c r="GSG575" s="150"/>
      <c r="GSI575" s="152"/>
      <c r="GSJ575" s="542"/>
      <c r="GSK575" s="154"/>
      <c r="GSL575" s="175"/>
      <c r="GSN575" s="156"/>
      <c r="GSO575" s="287"/>
      <c r="GSP575" s="488"/>
      <c r="GSQ575" s="489"/>
      <c r="GSR575" s="488"/>
      <c r="GSS575" s="300"/>
      <c r="GST575" s="532"/>
      <c r="GSU575" s="533"/>
      <c r="GSV575" s="534"/>
      <c r="GSW575" s="316"/>
      <c r="GSX575" s="316"/>
      <c r="GSY575" s="471"/>
      <c r="GSZ575" s="472"/>
      <c r="GTA575" s="471"/>
      <c r="GTB575" s="473"/>
      <c r="GTC575" s="313"/>
      <c r="GTD575" s="535"/>
      <c r="GTE575" s="536"/>
      <c r="GTF575" s="537"/>
      <c r="GTG575" s="538"/>
      <c r="GTH575" s="539"/>
      <c r="GTI575" s="540"/>
      <c r="GTJ575" s="209"/>
      <c r="GTK575" s="541"/>
      <c r="GTL575" s="541"/>
      <c r="GTM575" s="482"/>
      <c r="GTN575" s="173"/>
      <c r="GTO575" s="173"/>
      <c r="GTP575" s="509"/>
      <c r="GTR575" s="148"/>
      <c r="GTS575" s="148"/>
      <c r="GTT575" s="149"/>
      <c r="GTU575" s="150"/>
      <c r="GTW575" s="152"/>
      <c r="GTX575" s="542"/>
      <c r="GTY575" s="154"/>
      <c r="GTZ575" s="175"/>
      <c r="GUB575" s="156"/>
      <c r="GUC575" s="287"/>
      <c r="GUD575" s="488"/>
      <c r="GUE575" s="489"/>
      <c r="GUF575" s="488"/>
      <c r="GUG575" s="300"/>
      <c r="GUH575" s="532"/>
      <c r="GUI575" s="533"/>
      <c r="GUJ575" s="534"/>
      <c r="GUK575" s="316"/>
      <c r="GUL575" s="316"/>
      <c r="GUM575" s="471"/>
      <c r="GUN575" s="472"/>
      <c r="GUO575" s="471"/>
      <c r="GUP575" s="473"/>
      <c r="GUQ575" s="313"/>
      <c r="GUR575" s="535"/>
      <c r="GUS575" s="536"/>
      <c r="GUT575" s="537"/>
      <c r="GUU575" s="538"/>
      <c r="GUV575" s="539"/>
      <c r="GUW575" s="540"/>
      <c r="GUX575" s="209"/>
      <c r="GUY575" s="541"/>
      <c r="GUZ575" s="541"/>
      <c r="GVA575" s="482"/>
      <c r="GVB575" s="173"/>
      <c r="GVC575" s="173"/>
      <c r="GVD575" s="509"/>
      <c r="GVF575" s="148"/>
      <c r="GVG575" s="148"/>
      <c r="GVH575" s="149"/>
      <c r="GVI575" s="150"/>
      <c r="GVK575" s="152"/>
      <c r="GVL575" s="542"/>
      <c r="GVM575" s="154"/>
      <c r="GVN575" s="175"/>
      <c r="GVP575" s="156"/>
      <c r="GVQ575" s="287"/>
      <c r="GVR575" s="488"/>
      <c r="GVS575" s="489"/>
      <c r="GVT575" s="488"/>
      <c r="GVU575" s="300"/>
      <c r="GVV575" s="532"/>
      <c r="GVW575" s="533"/>
      <c r="GVX575" s="534"/>
      <c r="GVY575" s="316"/>
      <c r="GVZ575" s="316"/>
      <c r="GWA575" s="471"/>
      <c r="GWB575" s="472"/>
      <c r="GWC575" s="471"/>
      <c r="GWD575" s="473"/>
      <c r="GWE575" s="313"/>
      <c r="GWF575" s="535"/>
      <c r="GWG575" s="536"/>
      <c r="GWH575" s="537"/>
      <c r="GWI575" s="538"/>
      <c r="GWJ575" s="539"/>
      <c r="GWK575" s="540"/>
      <c r="GWL575" s="209"/>
      <c r="GWM575" s="541"/>
      <c r="GWN575" s="541"/>
      <c r="GWO575" s="482"/>
      <c r="GWP575" s="173"/>
      <c r="GWQ575" s="173"/>
      <c r="GWR575" s="509"/>
      <c r="GWT575" s="148"/>
      <c r="GWU575" s="148"/>
      <c r="GWV575" s="149"/>
      <c r="GWW575" s="150"/>
      <c r="GWY575" s="152"/>
      <c r="GWZ575" s="542"/>
      <c r="GXA575" s="154"/>
      <c r="GXB575" s="175"/>
      <c r="GXD575" s="156"/>
      <c r="GXE575" s="287"/>
      <c r="GXF575" s="488"/>
      <c r="GXG575" s="489"/>
      <c r="GXH575" s="488"/>
      <c r="GXI575" s="300"/>
      <c r="GXJ575" s="532"/>
      <c r="GXK575" s="533"/>
      <c r="GXL575" s="534"/>
      <c r="GXM575" s="316"/>
      <c r="GXN575" s="316"/>
      <c r="GXO575" s="471"/>
      <c r="GXP575" s="472"/>
      <c r="GXQ575" s="471"/>
      <c r="GXR575" s="473"/>
      <c r="GXS575" s="313"/>
      <c r="GXT575" s="535"/>
      <c r="GXU575" s="536"/>
      <c r="GXV575" s="537"/>
      <c r="GXW575" s="538"/>
      <c r="GXX575" s="539"/>
      <c r="GXY575" s="540"/>
      <c r="GXZ575" s="209"/>
      <c r="GYA575" s="541"/>
      <c r="GYB575" s="541"/>
      <c r="GYC575" s="482"/>
      <c r="GYD575" s="173"/>
      <c r="GYE575" s="173"/>
      <c r="GYF575" s="509"/>
      <c r="GYH575" s="148"/>
      <c r="GYI575" s="148"/>
      <c r="GYJ575" s="149"/>
      <c r="GYK575" s="150"/>
      <c r="GYM575" s="152"/>
      <c r="GYN575" s="542"/>
      <c r="GYO575" s="154"/>
      <c r="GYP575" s="175"/>
      <c r="GYR575" s="156"/>
      <c r="GYS575" s="287"/>
      <c r="GYT575" s="488"/>
      <c r="GYU575" s="489"/>
      <c r="GYV575" s="488"/>
      <c r="GYW575" s="300"/>
      <c r="GYX575" s="532"/>
      <c r="GYY575" s="533"/>
      <c r="GYZ575" s="534"/>
      <c r="GZA575" s="316"/>
      <c r="GZB575" s="316"/>
      <c r="GZC575" s="471"/>
      <c r="GZD575" s="472"/>
      <c r="GZE575" s="471"/>
      <c r="GZF575" s="473"/>
      <c r="GZG575" s="313"/>
      <c r="GZH575" s="535"/>
      <c r="GZI575" s="536"/>
      <c r="GZJ575" s="537"/>
      <c r="GZK575" s="538"/>
      <c r="GZL575" s="539"/>
      <c r="GZM575" s="540"/>
      <c r="GZN575" s="209"/>
      <c r="GZO575" s="541"/>
      <c r="GZP575" s="541"/>
      <c r="GZQ575" s="482"/>
      <c r="GZR575" s="173"/>
      <c r="GZS575" s="173"/>
      <c r="GZT575" s="509"/>
      <c r="GZV575" s="148"/>
      <c r="GZW575" s="148"/>
      <c r="GZX575" s="149"/>
      <c r="GZY575" s="150"/>
      <c r="HAA575" s="152"/>
      <c r="HAB575" s="542"/>
      <c r="HAC575" s="154"/>
      <c r="HAD575" s="175"/>
      <c r="HAF575" s="156"/>
      <c r="HAG575" s="287"/>
      <c r="HAH575" s="488"/>
      <c r="HAI575" s="489"/>
      <c r="HAJ575" s="488"/>
      <c r="HAK575" s="300"/>
      <c r="HAL575" s="532"/>
      <c r="HAM575" s="533"/>
      <c r="HAN575" s="534"/>
      <c r="HAO575" s="316"/>
      <c r="HAP575" s="316"/>
      <c r="HAQ575" s="471"/>
      <c r="HAR575" s="472"/>
      <c r="HAS575" s="471"/>
      <c r="HAT575" s="473"/>
      <c r="HAU575" s="313"/>
      <c r="HAV575" s="535"/>
      <c r="HAW575" s="536"/>
      <c r="HAX575" s="537"/>
      <c r="HAY575" s="538"/>
      <c r="HAZ575" s="539"/>
      <c r="HBA575" s="540"/>
      <c r="HBB575" s="209"/>
      <c r="HBC575" s="541"/>
      <c r="HBD575" s="541"/>
      <c r="HBE575" s="482"/>
      <c r="HBF575" s="173"/>
      <c r="HBG575" s="173"/>
      <c r="HBH575" s="509"/>
      <c r="HBJ575" s="148"/>
      <c r="HBK575" s="148"/>
      <c r="HBL575" s="149"/>
      <c r="HBM575" s="150"/>
      <c r="HBO575" s="152"/>
      <c r="HBP575" s="542"/>
      <c r="HBQ575" s="154"/>
      <c r="HBR575" s="175"/>
      <c r="HBT575" s="156"/>
      <c r="HBU575" s="287"/>
      <c r="HBV575" s="488"/>
      <c r="HBW575" s="489"/>
      <c r="HBX575" s="488"/>
      <c r="HBY575" s="300"/>
      <c r="HBZ575" s="532"/>
      <c r="HCA575" s="533"/>
      <c r="HCB575" s="534"/>
      <c r="HCC575" s="316"/>
      <c r="HCD575" s="316"/>
      <c r="HCE575" s="471"/>
      <c r="HCF575" s="472"/>
      <c r="HCG575" s="471"/>
      <c r="HCH575" s="473"/>
      <c r="HCI575" s="313"/>
      <c r="HCJ575" s="535"/>
      <c r="HCK575" s="536"/>
      <c r="HCL575" s="537"/>
      <c r="HCM575" s="538"/>
      <c r="HCN575" s="539"/>
      <c r="HCO575" s="540"/>
      <c r="HCP575" s="209"/>
      <c r="HCQ575" s="541"/>
      <c r="HCR575" s="541"/>
      <c r="HCS575" s="482"/>
      <c r="HCT575" s="173"/>
      <c r="HCU575" s="173"/>
      <c r="HCV575" s="509"/>
      <c r="HCX575" s="148"/>
      <c r="HCY575" s="148"/>
      <c r="HCZ575" s="149"/>
      <c r="HDA575" s="150"/>
      <c r="HDC575" s="152"/>
      <c r="HDD575" s="542"/>
      <c r="HDE575" s="154"/>
      <c r="HDF575" s="175"/>
      <c r="HDH575" s="156"/>
      <c r="HDI575" s="287"/>
      <c r="HDJ575" s="488"/>
      <c r="HDK575" s="489"/>
      <c r="HDL575" s="488"/>
      <c r="HDM575" s="300"/>
      <c r="HDN575" s="532"/>
      <c r="HDO575" s="533"/>
      <c r="HDP575" s="534"/>
      <c r="HDQ575" s="316"/>
      <c r="HDR575" s="316"/>
      <c r="HDS575" s="471"/>
      <c r="HDT575" s="472"/>
      <c r="HDU575" s="471"/>
      <c r="HDV575" s="473"/>
      <c r="HDW575" s="313"/>
      <c r="HDX575" s="535"/>
      <c r="HDY575" s="536"/>
      <c r="HDZ575" s="537"/>
      <c r="HEA575" s="538"/>
      <c r="HEB575" s="539"/>
      <c r="HEC575" s="540"/>
      <c r="HED575" s="209"/>
      <c r="HEE575" s="541"/>
      <c r="HEF575" s="541"/>
      <c r="HEG575" s="482"/>
      <c r="HEH575" s="173"/>
      <c r="HEI575" s="173"/>
      <c r="HEJ575" s="509"/>
      <c r="HEL575" s="148"/>
      <c r="HEM575" s="148"/>
      <c r="HEN575" s="149"/>
      <c r="HEO575" s="150"/>
      <c r="HEQ575" s="152"/>
      <c r="HER575" s="542"/>
      <c r="HES575" s="154"/>
      <c r="HET575" s="175"/>
      <c r="HEV575" s="156"/>
      <c r="HEW575" s="287"/>
      <c r="HEX575" s="488"/>
      <c r="HEY575" s="489"/>
      <c r="HEZ575" s="488"/>
      <c r="HFA575" s="300"/>
      <c r="HFB575" s="532"/>
      <c r="HFC575" s="533"/>
      <c r="HFD575" s="534"/>
      <c r="HFE575" s="316"/>
      <c r="HFF575" s="316"/>
      <c r="HFG575" s="471"/>
      <c r="HFH575" s="472"/>
      <c r="HFI575" s="471"/>
      <c r="HFJ575" s="473"/>
      <c r="HFK575" s="313"/>
      <c r="HFL575" s="535"/>
      <c r="HFM575" s="536"/>
      <c r="HFN575" s="537"/>
      <c r="HFO575" s="538"/>
      <c r="HFP575" s="539"/>
      <c r="HFQ575" s="540"/>
      <c r="HFR575" s="209"/>
      <c r="HFS575" s="541"/>
      <c r="HFT575" s="541"/>
      <c r="HFU575" s="482"/>
      <c r="HFV575" s="173"/>
      <c r="HFW575" s="173"/>
      <c r="HFX575" s="509"/>
      <c r="HFZ575" s="148"/>
      <c r="HGA575" s="148"/>
      <c r="HGB575" s="149"/>
      <c r="HGC575" s="150"/>
      <c r="HGE575" s="152"/>
      <c r="HGF575" s="542"/>
      <c r="HGG575" s="154"/>
      <c r="HGH575" s="175"/>
      <c r="HGJ575" s="156"/>
      <c r="HGK575" s="287"/>
      <c r="HGL575" s="488"/>
      <c r="HGM575" s="489"/>
      <c r="HGN575" s="488"/>
      <c r="HGO575" s="300"/>
      <c r="HGP575" s="532"/>
      <c r="HGQ575" s="533"/>
      <c r="HGR575" s="534"/>
      <c r="HGS575" s="316"/>
      <c r="HGT575" s="316"/>
      <c r="HGU575" s="471"/>
      <c r="HGV575" s="472"/>
      <c r="HGW575" s="471"/>
      <c r="HGX575" s="473"/>
      <c r="HGY575" s="313"/>
      <c r="HGZ575" s="535"/>
      <c r="HHA575" s="536"/>
      <c r="HHB575" s="537"/>
      <c r="HHC575" s="538"/>
      <c r="HHD575" s="539"/>
      <c r="HHE575" s="540"/>
      <c r="HHF575" s="209"/>
      <c r="HHG575" s="541"/>
      <c r="HHH575" s="541"/>
      <c r="HHI575" s="482"/>
      <c r="HHJ575" s="173"/>
      <c r="HHK575" s="173"/>
      <c r="HHL575" s="509"/>
      <c r="HHN575" s="148"/>
      <c r="HHO575" s="148"/>
      <c r="HHP575" s="149"/>
      <c r="HHQ575" s="150"/>
      <c r="HHS575" s="152"/>
      <c r="HHT575" s="542"/>
      <c r="HHU575" s="154"/>
      <c r="HHV575" s="175"/>
      <c r="HHX575" s="156"/>
      <c r="HHY575" s="287"/>
      <c r="HHZ575" s="488"/>
      <c r="HIA575" s="489"/>
      <c r="HIB575" s="488"/>
      <c r="HIC575" s="300"/>
      <c r="HID575" s="532"/>
      <c r="HIE575" s="533"/>
      <c r="HIF575" s="534"/>
      <c r="HIG575" s="316"/>
      <c r="HIH575" s="316"/>
      <c r="HII575" s="471"/>
      <c r="HIJ575" s="472"/>
      <c r="HIK575" s="471"/>
      <c r="HIL575" s="473"/>
      <c r="HIM575" s="313"/>
      <c r="HIN575" s="535"/>
      <c r="HIO575" s="536"/>
      <c r="HIP575" s="537"/>
      <c r="HIQ575" s="538"/>
      <c r="HIR575" s="539"/>
      <c r="HIS575" s="540"/>
      <c r="HIT575" s="209"/>
      <c r="HIU575" s="541"/>
      <c r="HIV575" s="541"/>
      <c r="HIW575" s="482"/>
      <c r="HIX575" s="173"/>
      <c r="HIY575" s="173"/>
      <c r="HIZ575" s="509"/>
      <c r="HJB575" s="148"/>
      <c r="HJC575" s="148"/>
      <c r="HJD575" s="149"/>
      <c r="HJE575" s="150"/>
      <c r="HJG575" s="152"/>
      <c r="HJH575" s="542"/>
      <c r="HJI575" s="154"/>
      <c r="HJJ575" s="175"/>
      <c r="HJL575" s="156"/>
      <c r="HJM575" s="287"/>
      <c r="HJN575" s="488"/>
      <c r="HJO575" s="489"/>
      <c r="HJP575" s="488"/>
      <c r="HJQ575" s="300"/>
      <c r="HJR575" s="532"/>
      <c r="HJS575" s="533"/>
      <c r="HJT575" s="534"/>
      <c r="HJU575" s="316"/>
      <c r="HJV575" s="316"/>
      <c r="HJW575" s="471"/>
      <c r="HJX575" s="472"/>
      <c r="HJY575" s="471"/>
      <c r="HJZ575" s="473"/>
      <c r="HKA575" s="313"/>
      <c r="HKB575" s="535"/>
      <c r="HKC575" s="536"/>
      <c r="HKD575" s="537"/>
      <c r="HKE575" s="538"/>
      <c r="HKF575" s="539"/>
      <c r="HKG575" s="540"/>
      <c r="HKH575" s="209"/>
      <c r="HKI575" s="541"/>
      <c r="HKJ575" s="541"/>
      <c r="HKK575" s="482"/>
      <c r="HKL575" s="173"/>
      <c r="HKM575" s="173"/>
      <c r="HKN575" s="509"/>
      <c r="HKP575" s="148"/>
      <c r="HKQ575" s="148"/>
      <c r="HKR575" s="149"/>
      <c r="HKS575" s="150"/>
      <c r="HKU575" s="152"/>
      <c r="HKV575" s="542"/>
      <c r="HKW575" s="154"/>
      <c r="HKX575" s="175"/>
      <c r="HKZ575" s="156"/>
      <c r="HLA575" s="287"/>
      <c r="HLB575" s="488"/>
      <c r="HLC575" s="489"/>
      <c r="HLD575" s="488"/>
      <c r="HLE575" s="300"/>
      <c r="HLF575" s="532"/>
      <c r="HLG575" s="533"/>
      <c r="HLH575" s="534"/>
      <c r="HLI575" s="316"/>
      <c r="HLJ575" s="316"/>
      <c r="HLK575" s="471"/>
      <c r="HLL575" s="472"/>
      <c r="HLM575" s="471"/>
      <c r="HLN575" s="473"/>
      <c r="HLO575" s="313"/>
      <c r="HLP575" s="535"/>
      <c r="HLQ575" s="536"/>
      <c r="HLR575" s="537"/>
      <c r="HLS575" s="538"/>
      <c r="HLT575" s="539"/>
      <c r="HLU575" s="540"/>
      <c r="HLV575" s="209"/>
      <c r="HLW575" s="541"/>
      <c r="HLX575" s="541"/>
      <c r="HLY575" s="482"/>
      <c r="HLZ575" s="173"/>
      <c r="HMA575" s="173"/>
      <c r="HMB575" s="509"/>
      <c r="HMD575" s="148"/>
      <c r="HME575" s="148"/>
      <c r="HMF575" s="149"/>
      <c r="HMG575" s="150"/>
      <c r="HMI575" s="152"/>
      <c r="HMJ575" s="542"/>
      <c r="HMK575" s="154"/>
      <c r="HML575" s="175"/>
      <c r="HMN575" s="156"/>
      <c r="HMO575" s="287"/>
      <c r="HMP575" s="488"/>
      <c r="HMQ575" s="489"/>
      <c r="HMR575" s="488"/>
      <c r="HMS575" s="300"/>
      <c r="HMT575" s="532"/>
      <c r="HMU575" s="533"/>
      <c r="HMV575" s="534"/>
      <c r="HMW575" s="316"/>
      <c r="HMX575" s="316"/>
      <c r="HMY575" s="471"/>
      <c r="HMZ575" s="472"/>
      <c r="HNA575" s="471"/>
      <c r="HNB575" s="473"/>
      <c r="HNC575" s="313"/>
      <c r="HND575" s="535"/>
      <c r="HNE575" s="536"/>
      <c r="HNF575" s="537"/>
      <c r="HNG575" s="538"/>
      <c r="HNH575" s="539"/>
      <c r="HNI575" s="540"/>
      <c r="HNJ575" s="209"/>
      <c r="HNK575" s="541"/>
      <c r="HNL575" s="541"/>
      <c r="HNM575" s="482"/>
      <c r="HNN575" s="173"/>
      <c r="HNO575" s="173"/>
      <c r="HNP575" s="509"/>
      <c r="HNR575" s="148"/>
      <c r="HNS575" s="148"/>
      <c r="HNT575" s="149"/>
      <c r="HNU575" s="150"/>
      <c r="HNW575" s="152"/>
      <c r="HNX575" s="542"/>
      <c r="HNY575" s="154"/>
      <c r="HNZ575" s="175"/>
      <c r="HOB575" s="156"/>
      <c r="HOC575" s="287"/>
      <c r="HOD575" s="488"/>
      <c r="HOE575" s="489"/>
      <c r="HOF575" s="488"/>
      <c r="HOG575" s="300"/>
      <c r="HOH575" s="532"/>
      <c r="HOI575" s="533"/>
      <c r="HOJ575" s="534"/>
      <c r="HOK575" s="316"/>
      <c r="HOL575" s="316"/>
      <c r="HOM575" s="471"/>
      <c r="HON575" s="472"/>
      <c r="HOO575" s="471"/>
      <c r="HOP575" s="473"/>
      <c r="HOQ575" s="313"/>
      <c r="HOR575" s="535"/>
      <c r="HOS575" s="536"/>
      <c r="HOT575" s="537"/>
      <c r="HOU575" s="538"/>
      <c r="HOV575" s="539"/>
      <c r="HOW575" s="540"/>
      <c r="HOX575" s="209"/>
      <c r="HOY575" s="541"/>
      <c r="HOZ575" s="541"/>
      <c r="HPA575" s="482"/>
      <c r="HPB575" s="173"/>
      <c r="HPC575" s="173"/>
      <c r="HPD575" s="509"/>
      <c r="HPF575" s="148"/>
      <c r="HPG575" s="148"/>
      <c r="HPH575" s="149"/>
      <c r="HPI575" s="150"/>
      <c r="HPK575" s="152"/>
      <c r="HPL575" s="542"/>
      <c r="HPM575" s="154"/>
      <c r="HPN575" s="175"/>
      <c r="HPP575" s="156"/>
      <c r="HPQ575" s="287"/>
      <c r="HPR575" s="488"/>
      <c r="HPS575" s="489"/>
      <c r="HPT575" s="488"/>
      <c r="HPU575" s="300"/>
      <c r="HPV575" s="532"/>
      <c r="HPW575" s="533"/>
      <c r="HPX575" s="534"/>
      <c r="HPY575" s="316"/>
      <c r="HPZ575" s="316"/>
      <c r="HQA575" s="471"/>
      <c r="HQB575" s="472"/>
      <c r="HQC575" s="471"/>
      <c r="HQD575" s="473"/>
      <c r="HQE575" s="313"/>
      <c r="HQF575" s="535"/>
      <c r="HQG575" s="536"/>
      <c r="HQH575" s="537"/>
      <c r="HQI575" s="538"/>
      <c r="HQJ575" s="539"/>
      <c r="HQK575" s="540"/>
      <c r="HQL575" s="209"/>
      <c r="HQM575" s="541"/>
      <c r="HQN575" s="541"/>
      <c r="HQO575" s="482"/>
      <c r="HQP575" s="173"/>
      <c r="HQQ575" s="173"/>
      <c r="HQR575" s="509"/>
      <c r="HQT575" s="148"/>
      <c r="HQU575" s="148"/>
      <c r="HQV575" s="149"/>
      <c r="HQW575" s="150"/>
      <c r="HQY575" s="152"/>
      <c r="HQZ575" s="542"/>
      <c r="HRA575" s="154"/>
      <c r="HRB575" s="175"/>
      <c r="HRD575" s="156"/>
      <c r="HRE575" s="287"/>
      <c r="HRF575" s="488"/>
      <c r="HRG575" s="489"/>
      <c r="HRH575" s="488"/>
      <c r="HRI575" s="300"/>
      <c r="HRJ575" s="532"/>
      <c r="HRK575" s="533"/>
      <c r="HRL575" s="534"/>
      <c r="HRM575" s="316"/>
      <c r="HRN575" s="316"/>
      <c r="HRO575" s="471"/>
      <c r="HRP575" s="472"/>
      <c r="HRQ575" s="471"/>
      <c r="HRR575" s="473"/>
      <c r="HRS575" s="313"/>
      <c r="HRT575" s="535"/>
      <c r="HRU575" s="536"/>
      <c r="HRV575" s="537"/>
      <c r="HRW575" s="538"/>
      <c r="HRX575" s="539"/>
      <c r="HRY575" s="540"/>
      <c r="HRZ575" s="209"/>
      <c r="HSA575" s="541"/>
      <c r="HSB575" s="541"/>
      <c r="HSC575" s="482"/>
      <c r="HSD575" s="173"/>
      <c r="HSE575" s="173"/>
      <c r="HSF575" s="509"/>
      <c r="HSH575" s="148"/>
      <c r="HSI575" s="148"/>
      <c r="HSJ575" s="149"/>
      <c r="HSK575" s="150"/>
      <c r="HSM575" s="152"/>
      <c r="HSN575" s="542"/>
      <c r="HSO575" s="154"/>
      <c r="HSP575" s="175"/>
      <c r="HSR575" s="156"/>
      <c r="HSS575" s="287"/>
      <c r="HST575" s="488"/>
      <c r="HSU575" s="489"/>
      <c r="HSV575" s="488"/>
      <c r="HSW575" s="300"/>
      <c r="HSX575" s="532"/>
      <c r="HSY575" s="533"/>
      <c r="HSZ575" s="534"/>
      <c r="HTA575" s="316"/>
      <c r="HTB575" s="316"/>
      <c r="HTC575" s="471"/>
      <c r="HTD575" s="472"/>
      <c r="HTE575" s="471"/>
      <c r="HTF575" s="473"/>
      <c r="HTG575" s="313"/>
      <c r="HTH575" s="535"/>
      <c r="HTI575" s="536"/>
      <c r="HTJ575" s="537"/>
      <c r="HTK575" s="538"/>
      <c r="HTL575" s="539"/>
      <c r="HTM575" s="540"/>
      <c r="HTN575" s="209"/>
      <c r="HTO575" s="541"/>
      <c r="HTP575" s="541"/>
      <c r="HTQ575" s="482"/>
      <c r="HTR575" s="173"/>
      <c r="HTS575" s="173"/>
      <c r="HTT575" s="509"/>
      <c r="HTV575" s="148"/>
      <c r="HTW575" s="148"/>
      <c r="HTX575" s="149"/>
      <c r="HTY575" s="150"/>
      <c r="HUA575" s="152"/>
      <c r="HUB575" s="542"/>
      <c r="HUC575" s="154"/>
      <c r="HUD575" s="175"/>
      <c r="HUF575" s="156"/>
      <c r="HUG575" s="287"/>
      <c r="HUH575" s="488"/>
      <c r="HUI575" s="489"/>
      <c r="HUJ575" s="488"/>
      <c r="HUK575" s="300"/>
      <c r="HUL575" s="532"/>
      <c r="HUM575" s="533"/>
      <c r="HUN575" s="534"/>
      <c r="HUO575" s="316"/>
      <c r="HUP575" s="316"/>
      <c r="HUQ575" s="471"/>
      <c r="HUR575" s="472"/>
      <c r="HUS575" s="471"/>
      <c r="HUT575" s="473"/>
      <c r="HUU575" s="313"/>
      <c r="HUV575" s="535"/>
      <c r="HUW575" s="536"/>
      <c r="HUX575" s="537"/>
      <c r="HUY575" s="538"/>
      <c r="HUZ575" s="539"/>
      <c r="HVA575" s="540"/>
      <c r="HVB575" s="209"/>
      <c r="HVC575" s="541"/>
      <c r="HVD575" s="541"/>
      <c r="HVE575" s="482"/>
      <c r="HVF575" s="173"/>
      <c r="HVG575" s="173"/>
      <c r="HVH575" s="509"/>
      <c r="HVJ575" s="148"/>
      <c r="HVK575" s="148"/>
      <c r="HVL575" s="149"/>
      <c r="HVM575" s="150"/>
      <c r="HVO575" s="152"/>
      <c r="HVP575" s="542"/>
      <c r="HVQ575" s="154"/>
      <c r="HVR575" s="175"/>
      <c r="HVT575" s="156"/>
      <c r="HVU575" s="287"/>
      <c r="HVV575" s="488"/>
      <c r="HVW575" s="489"/>
      <c r="HVX575" s="488"/>
      <c r="HVY575" s="300"/>
      <c r="HVZ575" s="532"/>
      <c r="HWA575" s="533"/>
      <c r="HWB575" s="534"/>
      <c r="HWC575" s="316"/>
      <c r="HWD575" s="316"/>
      <c r="HWE575" s="471"/>
      <c r="HWF575" s="472"/>
      <c r="HWG575" s="471"/>
      <c r="HWH575" s="473"/>
      <c r="HWI575" s="313"/>
      <c r="HWJ575" s="535"/>
      <c r="HWK575" s="536"/>
      <c r="HWL575" s="537"/>
      <c r="HWM575" s="538"/>
      <c r="HWN575" s="539"/>
      <c r="HWO575" s="540"/>
      <c r="HWP575" s="209"/>
      <c r="HWQ575" s="541"/>
      <c r="HWR575" s="541"/>
      <c r="HWS575" s="482"/>
      <c r="HWT575" s="173"/>
      <c r="HWU575" s="173"/>
      <c r="HWV575" s="509"/>
      <c r="HWX575" s="148"/>
      <c r="HWY575" s="148"/>
      <c r="HWZ575" s="149"/>
      <c r="HXA575" s="150"/>
      <c r="HXC575" s="152"/>
      <c r="HXD575" s="542"/>
      <c r="HXE575" s="154"/>
      <c r="HXF575" s="175"/>
      <c r="HXH575" s="156"/>
      <c r="HXI575" s="287"/>
      <c r="HXJ575" s="488"/>
      <c r="HXK575" s="489"/>
      <c r="HXL575" s="488"/>
      <c r="HXM575" s="300"/>
      <c r="HXN575" s="532"/>
      <c r="HXO575" s="533"/>
      <c r="HXP575" s="534"/>
      <c r="HXQ575" s="316"/>
      <c r="HXR575" s="316"/>
      <c r="HXS575" s="471"/>
      <c r="HXT575" s="472"/>
      <c r="HXU575" s="471"/>
      <c r="HXV575" s="473"/>
      <c r="HXW575" s="313"/>
      <c r="HXX575" s="535"/>
      <c r="HXY575" s="536"/>
      <c r="HXZ575" s="537"/>
      <c r="HYA575" s="538"/>
      <c r="HYB575" s="539"/>
      <c r="HYC575" s="540"/>
      <c r="HYD575" s="209"/>
      <c r="HYE575" s="541"/>
      <c r="HYF575" s="541"/>
      <c r="HYG575" s="482"/>
      <c r="HYH575" s="173"/>
      <c r="HYI575" s="173"/>
      <c r="HYJ575" s="509"/>
      <c r="HYL575" s="148"/>
      <c r="HYM575" s="148"/>
      <c r="HYN575" s="149"/>
      <c r="HYO575" s="150"/>
      <c r="HYQ575" s="152"/>
      <c r="HYR575" s="542"/>
      <c r="HYS575" s="154"/>
      <c r="HYT575" s="175"/>
      <c r="HYV575" s="156"/>
      <c r="HYW575" s="287"/>
      <c r="HYX575" s="488"/>
      <c r="HYY575" s="489"/>
      <c r="HYZ575" s="488"/>
      <c r="HZA575" s="300"/>
      <c r="HZB575" s="532"/>
      <c r="HZC575" s="533"/>
      <c r="HZD575" s="534"/>
      <c r="HZE575" s="316"/>
      <c r="HZF575" s="316"/>
      <c r="HZG575" s="471"/>
      <c r="HZH575" s="472"/>
      <c r="HZI575" s="471"/>
      <c r="HZJ575" s="473"/>
      <c r="HZK575" s="313"/>
      <c r="HZL575" s="535"/>
      <c r="HZM575" s="536"/>
      <c r="HZN575" s="537"/>
      <c r="HZO575" s="538"/>
      <c r="HZP575" s="539"/>
      <c r="HZQ575" s="540"/>
      <c r="HZR575" s="209"/>
      <c r="HZS575" s="541"/>
      <c r="HZT575" s="541"/>
      <c r="HZU575" s="482"/>
      <c r="HZV575" s="173"/>
      <c r="HZW575" s="173"/>
      <c r="HZX575" s="509"/>
      <c r="HZZ575" s="148"/>
      <c r="IAA575" s="148"/>
      <c r="IAB575" s="149"/>
      <c r="IAC575" s="150"/>
      <c r="IAE575" s="152"/>
      <c r="IAF575" s="542"/>
      <c r="IAG575" s="154"/>
      <c r="IAH575" s="175"/>
      <c r="IAJ575" s="156"/>
      <c r="IAK575" s="287"/>
      <c r="IAL575" s="488"/>
      <c r="IAM575" s="489"/>
      <c r="IAN575" s="488"/>
      <c r="IAO575" s="300"/>
      <c r="IAP575" s="532"/>
      <c r="IAQ575" s="533"/>
      <c r="IAR575" s="534"/>
      <c r="IAS575" s="316"/>
      <c r="IAT575" s="316"/>
      <c r="IAU575" s="471"/>
      <c r="IAV575" s="472"/>
      <c r="IAW575" s="471"/>
      <c r="IAX575" s="473"/>
      <c r="IAY575" s="313"/>
      <c r="IAZ575" s="535"/>
      <c r="IBA575" s="536"/>
      <c r="IBB575" s="537"/>
      <c r="IBC575" s="538"/>
      <c r="IBD575" s="539"/>
      <c r="IBE575" s="540"/>
      <c r="IBF575" s="209"/>
      <c r="IBG575" s="541"/>
      <c r="IBH575" s="541"/>
      <c r="IBI575" s="482"/>
      <c r="IBJ575" s="173"/>
      <c r="IBK575" s="173"/>
      <c r="IBL575" s="509"/>
      <c r="IBN575" s="148"/>
      <c r="IBO575" s="148"/>
      <c r="IBP575" s="149"/>
      <c r="IBQ575" s="150"/>
      <c r="IBS575" s="152"/>
      <c r="IBT575" s="542"/>
      <c r="IBU575" s="154"/>
      <c r="IBV575" s="175"/>
      <c r="IBX575" s="156"/>
      <c r="IBY575" s="287"/>
      <c r="IBZ575" s="488"/>
      <c r="ICA575" s="489"/>
      <c r="ICB575" s="488"/>
      <c r="ICC575" s="300"/>
      <c r="ICD575" s="532"/>
      <c r="ICE575" s="533"/>
      <c r="ICF575" s="534"/>
      <c r="ICG575" s="316"/>
      <c r="ICH575" s="316"/>
      <c r="ICI575" s="471"/>
      <c r="ICJ575" s="472"/>
      <c r="ICK575" s="471"/>
      <c r="ICL575" s="473"/>
      <c r="ICM575" s="313"/>
      <c r="ICN575" s="535"/>
      <c r="ICO575" s="536"/>
      <c r="ICP575" s="537"/>
      <c r="ICQ575" s="538"/>
      <c r="ICR575" s="539"/>
      <c r="ICS575" s="540"/>
      <c r="ICT575" s="209"/>
      <c r="ICU575" s="541"/>
      <c r="ICV575" s="541"/>
      <c r="ICW575" s="482"/>
      <c r="ICX575" s="173"/>
      <c r="ICY575" s="173"/>
      <c r="ICZ575" s="509"/>
      <c r="IDB575" s="148"/>
      <c r="IDC575" s="148"/>
      <c r="IDD575" s="149"/>
      <c r="IDE575" s="150"/>
      <c r="IDG575" s="152"/>
      <c r="IDH575" s="542"/>
      <c r="IDI575" s="154"/>
      <c r="IDJ575" s="175"/>
      <c r="IDL575" s="156"/>
      <c r="IDM575" s="287"/>
      <c r="IDN575" s="488"/>
      <c r="IDO575" s="489"/>
      <c r="IDP575" s="488"/>
      <c r="IDQ575" s="300"/>
      <c r="IDR575" s="532"/>
      <c r="IDS575" s="533"/>
      <c r="IDT575" s="534"/>
      <c r="IDU575" s="316"/>
      <c r="IDV575" s="316"/>
      <c r="IDW575" s="471"/>
      <c r="IDX575" s="472"/>
      <c r="IDY575" s="471"/>
      <c r="IDZ575" s="473"/>
      <c r="IEA575" s="313"/>
      <c r="IEB575" s="535"/>
      <c r="IEC575" s="536"/>
      <c r="IED575" s="537"/>
      <c r="IEE575" s="538"/>
      <c r="IEF575" s="539"/>
      <c r="IEG575" s="540"/>
      <c r="IEH575" s="209"/>
      <c r="IEI575" s="541"/>
      <c r="IEJ575" s="541"/>
      <c r="IEK575" s="482"/>
      <c r="IEL575" s="173"/>
      <c r="IEM575" s="173"/>
      <c r="IEN575" s="509"/>
      <c r="IEP575" s="148"/>
      <c r="IEQ575" s="148"/>
      <c r="IER575" s="149"/>
      <c r="IES575" s="150"/>
      <c r="IEU575" s="152"/>
      <c r="IEV575" s="542"/>
      <c r="IEW575" s="154"/>
      <c r="IEX575" s="175"/>
      <c r="IEZ575" s="156"/>
      <c r="IFA575" s="287"/>
      <c r="IFB575" s="488"/>
      <c r="IFC575" s="489"/>
      <c r="IFD575" s="488"/>
      <c r="IFE575" s="300"/>
      <c r="IFF575" s="532"/>
      <c r="IFG575" s="533"/>
      <c r="IFH575" s="534"/>
      <c r="IFI575" s="316"/>
      <c r="IFJ575" s="316"/>
      <c r="IFK575" s="471"/>
      <c r="IFL575" s="472"/>
      <c r="IFM575" s="471"/>
      <c r="IFN575" s="473"/>
      <c r="IFO575" s="313"/>
      <c r="IFP575" s="535"/>
      <c r="IFQ575" s="536"/>
      <c r="IFR575" s="537"/>
      <c r="IFS575" s="538"/>
      <c r="IFT575" s="539"/>
      <c r="IFU575" s="540"/>
      <c r="IFV575" s="209"/>
      <c r="IFW575" s="541"/>
      <c r="IFX575" s="541"/>
      <c r="IFY575" s="482"/>
      <c r="IFZ575" s="173"/>
      <c r="IGA575" s="173"/>
      <c r="IGB575" s="509"/>
      <c r="IGD575" s="148"/>
      <c r="IGE575" s="148"/>
      <c r="IGF575" s="149"/>
      <c r="IGG575" s="150"/>
      <c r="IGI575" s="152"/>
      <c r="IGJ575" s="542"/>
      <c r="IGK575" s="154"/>
      <c r="IGL575" s="175"/>
      <c r="IGN575" s="156"/>
      <c r="IGO575" s="287"/>
      <c r="IGP575" s="488"/>
      <c r="IGQ575" s="489"/>
      <c r="IGR575" s="488"/>
      <c r="IGS575" s="300"/>
      <c r="IGT575" s="532"/>
      <c r="IGU575" s="533"/>
      <c r="IGV575" s="534"/>
      <c r="IGW575" s="316"/>
      <c r="IGX575" s="316"/>
      <c r="IGY575" s="471"/>
      <c r="IGZ575" s="472"/>
      <c r="IHA575" s="471"/>
      <c r="IHB575" s="473"/>
      <c r="IHC575" s="313"/>
      <c r="IHD575" s="535"/>
      <c r="IHE575" s="536"/>
      <c r="IHF575" s="537"/>
      <c r="IHG575" s="538"/>
      <c r="IHH575" s="539"/>
      <c r="IHI575" s="540"/>
      <c r="IHJ575" s="209"/>
      <c r="IHK575" s="541"/>
      <c r="IHL575" s="541"/>
      <c r="IHM575" s="482"/>
      <c r="IHN575" s="173"/>
      <c r="IHO575" s="173"/>
      <c r="IHP575" s="509"/>
      <c r="IHR575" s="148"/>
      <c r="IHS575" s="148"/>
      <c r="IHT575" s="149"/>
      <c r="IHU575" s="150"/>
      <c r="IHW575" s="152"/>
      <c r="IHX575" s="542"/>
      <c r="IHY575" s="154"/>
      <c r="IHZ575" s="175"/>
      <c r="IIB575" s="156"/>
      <c r="IIC575" s="287"/>
      <c r="IID575" s="488"/>
      <c r="IIE575" s="489"/>
      <c r="IIF575" s="488"/>
      <c r="IIG575" s="300"/>
      <c r="IIH575" s="532"/>
      <c r="III575" s="533"/>
      <c r="IIJ575" s="534"/>
      <c r="IIK575" s="316"/>
      <c r="IIL575" s="316"/>
      <c r="IIM575" s="471"/>
      <c r="IIN575" s="472"/>
      <c r="IIO575" s="471"/>
      <c r="IIP575" s="473"/>
      <c r="IIQ575" s="313"/>
      <c r="IIR575" s="535"/>
      <c r="IIS575" s="536"/>
      <c r="IIT575" s="537"/>
      <c r="IIU575" s="538"/>
      <c r="IIV575" s="539"/>
      <c r="IIW575" s="540"/>
      <c r="IIX575" s="209"/>
      <c r="IIY575" s="541"/>
      <c r="IIZ575" s="541"/>
      <c r="IJA575" s="482"/>
      <c r="IJB575" s="173"/>
      <c r="IJC575" s="173"/>
      <c r="IJD575" s="509"/>
      <c r="IJF575" s="148"/>
      <c r="IJG575" s="148"/>
      <c r="IJH575" s="149"/>
      <c r="IJI575" s="150"/>
      <c r="IJK575" s="152"/>
      <c r="IJL575" s="542"/>
      <c r="IJM575" s="154"/>
      <c r="IJN575" s="175"/>
      <c r="IJP575" s="156"/>
      <c r="IJQ575" s="287"/>
      <c r="IJR575" s="488"/>
      <c r="IJS575" s="489"/>
      <c r="IJT575" s="488"/>
      <c r="IJU575" s="300"/>
      <c r="IJV575" s="532"/>
      <c r="IJW575" s="533"/>
      <c r="IJX575" s="534"/>
      <c r="IJY575" s="316"/>
      <c r="IJZ575" s="316"/>
      <c r="IKA575" s="471"/>
      <c r="IKB575" s="472"/>
      <c r="IKC575" s="471"/>
      <c r="IKD575" s="473"/>
      <c r="IKE575" s="313"/>
      <c r="IKF575" s="535"/>
      <c r="IKG575" s="536"/>
      <c r="IKH575" s="537"/>
      <c r="IKI575" s="538"/>
      <c r="IKJ575" s="539"/>
      <c r="IKK575" s="540"/>
      <c r="IKL575" s="209"/>
      <c r="IKM575" s="541"/>
      <c r="IKN575" s="541"/>
      <c r="IKO575" s="482"/>
      <c r="IKP575" s="173"/>
      <c r="IKQ575" s="173"/>
      <c r="IKR575" s="509"/>
      <c r="IKT575" s="148"/>
      <c r="IKU575" s="148"/>
      <c r="IKV575" s="149"/>
      <c r="IKW575" s="150"/>
      <c r="IKY575" s="152"/>
      <c r="IKZ575" s="542"/>
      <c r="ILA575" s="154"/>
      <c r="ILB575" s="175"/>
      <c r="ILD575" s="156"/>
      <c r="ILE575" s="287"/>
      <c r="ILF575" s="488"/>
      <c r="ILG575" s="489"/>
      <c r="ILH575" s="488"/>
      <c r="ILI575" s="300"/>
      <c r="ILJ575" s="532"/>
      <c r="ILK575" s="533"/>
      <c r="ILL575" s="534"/>
      <c r="ILM575" s="316"/>
      <c r="ILN575" s="316"/>
      <c r="ILO575" s="471"/>
      <c r="ILP575" s="472"/>
      <c r="ILQ575" s="471"/>
      <c r="ILR575" s="473"/>
      <c r="ILS575" s="313"/>
      <c r="ILT575" s="535"/>
      <c r="ILU575" s="536"/>
      <c r="ILV575" s="537"/>
      <c r="ILW575" s="538"/>
      <c r="ILX575" s="539"/>
      <c r="ILY575" s="540"/>
      <c r="ILZ575" s="209"/>
      <c r="IMA575" s="541"/>
      <c r="IMB575" s="541"/>
      <c r="IMC575" s="482"/>
      <c r="IMD575" s="173"/>
      <c r="IME575" s="173"/>
      <c r="IMF575" s="509"/>
      <c r="IMH575" s="148"/>
      <c r="IMI575" s="148"/>
      <c r="IMJ575" s="149"/>
      <c r="IMK575" s="150"/>
      <c r="IMM575" s="152"/>
      <c r="IMN575" s="542"/>
      <c r="IMO575" s="154"/>
      <c r="IMP575" s="175"/>
      <c r="IMR575" s="156"/>
      <c r="IMS575" s="287"/>
      <c r="IMT575" s="488"/>
      <c r="IMU575" s="489"/>
      <c r="IMV575" s="488"/>
      <c r="IMW575" s="300"/>
      <c r="IMX575" s="532"/>
      <c r="IMY575" s="533"/>
      <c r="IMZ575" s="534"/>
      <c r="INA575" s="316"/>
      <c r="INB575" s="316"/>
      <c r="INC575" s="471"/>
      <c r="IND575" s="472"/>
      <c r="INE575" s="471"/>
      <c r="INF575" s="473"/>
      <c r="ING575" s="313"/>
      <c r="INH575" s="535"/>
      <c r="INI575" s="536"/>
      <c r="INJ575" s="537"/>
      <c r="INK575" s="538"/>
      <c r="INL575" s="539"/>
      <c r="INM575" s="540"/>
      <c r="INN575" s="209"/>
      <c r="INO575" s="541"/>
      <c r="INP575" s="541"/>
      <c r="INQ575" s="482"/>
      <c r="INR575" s="173"/>
      <c r="INS575" s="173"/>
      <c r="INT575" s="509"/>
      <c r="INV575" s="148"/>
      <c r="INW575" s="148"/>
      <c r="INX575" s="149"/>
      <c r="INY575" s="150"/>
      <c r="IOA575" s="152"/>
      <c r="IOB575" s="542"/>
      <c r="IOC575" s="154"/>
      <c r="IOD575" s="175"/>
      <c r="IOF575" s="156"/>
      <c r="IOG575" s="287"/>
      <c r="IOH575" s="488"/>
      <c r="IOI575" s="489"/>
      <c r="IOJ575" s="488"/>
      <c r="IOK575" s="300"/>
      <c r="IOL575" s="532"/>
      <c r="IOM575" s="533"/>
      <c r="ION575" s="534"/>
      <c r="IOO575" s="316"/>
      <c r="IOP575" s="316"/>
      <c r="IOQ575" s="471"/>
      <c r="IOR575" s="472"/>
      <c r="IOS575" s="471"/>
      <c r="IOT575" s="473"/>
      <c r="IOU575" s="313"/>
      <c r="IOV575" s="535"/>
      <c r="IOW575" s="536"/>
      <c r="IOX575" s="537"/>
      <c r="IOY575" s="538"/>
      <c r="IOZ575" s="539"/>
      <c r="IPA575" s="540"/>
      <c r="IPB575" s="209"/>
      <c r="IPC575" s="541"/>
      <c r="IPD575" s="541"/>
      <c r="IPE575" s="482"/>
      <c r="IPF575" s="173"/>
      <c r="IPG575" s="173"/>
      <c r="IPH575" s="509"/>
      <c r="IPJ575" s="148"/>
      <c r="IPK575" s="148"/>
      <c r="IPL575" s="149"/>
      <c r="IPM575" s="150"/>
      <c r="IPO575" s="152"/>
      <c r="IPP575" s="542"/>
      <c r="IPQ575" s="154"/>
      <c r="IPR575" s="175"/>
      <c r="IPT575" s="156"/>
      <c r="IPU575" s="287"/>
      <c r="IPV575" s="488"/>
      <c r="IPW575" s="489"/>
      <c r="IPX575" s="488"/>
      <c r="IPY575" s="300"/>
      <c r="IPZ575" s="532"/>
      <c r="IQA575" s="533"/>
      <c r="IQB575" s="534"/>
      <c r="IQC575" s="316"/>
      <c r="IQD575" s="316"/>
      <c r="IQE575" s="471"/>
      <c r="IQF575" s="472"/>
      <c r="IQG575" s="471"/>
      <c r="IQH575" s="473"/>
      <c r="IQI575" s="313"/>
      <c r="IQJ575" s="535"/>
      <c r="IQK575" s="536"/>
      <c r="IQL575" s="537"/>
      <c r="IQM575" s="538"/>
      <c r="IQN575" s="539"/>
      <c r="IQO575" s="540"/>
      <c r="IQP575" s="209"/>
      <c r="IQQ575" s="541"/>
      <c r="IQR575" s="541"/>
      <c r="IQS575" s="482"/>
      <c r="IQT575" s="173"/>
      <c r="IQU575" s="173"/>
      <c r="IQV575" s="509"/>
      <c r="IQX575" s="148"/>
      <c r="IQY575" s="148"/>
      <c r="IQZ575" s="149"/>
      <c r="IRA575" s="150"/>
      <c r="IRC575" s="152"/>
      <c r="IRD575" s="542"/>
      <c r="IRE575" s="154"/>
      <c r="IRF575" s="175"/>
      <c r="IRH575" s="156"/>
      <c r="IRI575" s="287"/>
      <c r="IRJ575" s="488"/>
      <c r="IRK575" s="489"/>
      <c r="IRL575" s="488"/>
      <c r="IRM575" s="300"/>
      <c r="IRN575" s="532"/>
      <c r="IRO575" s="533"/>
      <c r="IRP575" s="534"/>
      <c r="IRQ575" s="316"/>
      <c r="IRR575" s="316"/>
      <c r="IRS575" s="471"/>
      <c r="IRT575" s="472"/>
      <c r="IRU575" s="471"/>
      <c r="IRV575" s="473"/>
      <c r="IRW575" s="313"/>
      <c r="IRX575" s="535"/>
      <c r="IRY575" s="536"/>
      <c r="IRZ575" s="537"/>
      <c r="ISA575" s="538"/>
      <c r="ISB575" s="539"/>
      <c r="ISC575" s="540"/>
      <c r="ISD575" s="209"/>
      <c r="ISE575" s="541"/>
      <c r="ISF575" s="541"/>
      <c r="ISG575" s="482"/>
      <c r="ISH575" s="173"/>
      <c r="ISI575" s="173"/>
      <c r="ISJ575" s="509"/>
      <c r="ISL575" s="148"/>
      <c r="ISM575" s="148"/>
      <c r="ISN575" s="149"/>
      <c r="ISO575" s="150"/>
      <c r="ISQ575" s="152"/>
      <c r="ISR575" s="542"/>
      <c r="ISS575" s="154"/>
      <c r="IST575" s="175"/>
      <c r="ISV575" s="156"/>
      <c r="ISW575" s="287"/>
      <c r="ISX575" s="488"/>
      <c r="ISY575" s="489"/>
      <c r="ISZ575" s="488"/>
      <c r="ITA575" s="300"/>
      <c r="ITB575" s="532"/>
      <c r="ITC575" s="533"/>
      <c r="ITD575" s="534"/>
      <c r="ITE575" s="316"/>
      <c r="ITF575" s="316"/>
      <c r="ITG575" s="471"/>
      <c r="ITH575" s="472"/>
      <c r="ITI575" s="471"/>
      <c r="ITJ575" s="473"/>
      <c r="ITK575" s="313"/>
      <c r="ITL575" s="535"/>
      <c r="ITM575" s="536"/>
      <c r="ITN575" s="537"/>
      <c r="ITO575" s="538"/>
      <c r="ITP575" s="539"/>
      <c r="ITQ575" s="540"/>
      <c r="ITR575" s="209"/>
      <c r="ITS575" s="541"/>
      <c r="ITT575" s="541"/>
      <c r="ITU575" s="482"/>
      <c r="ITV575" s="173"/>
      <c r="ITW575" s="173"/>
      <c r="ITX575" s="509"/>
      <c r="ITZ575" s="148"/>
      <c r="IUA575" s="148"/>
      <c r="IUB575" s="149"/>
      <c r="IUC575" s="150"/>
      <c r="IUE575" s="152"/>
      <c r="IUF575" s="542"/>
      <c r="IUG575" s="154"/>
      <c r="IUH575" s="175"/>
      <c r="IUJ575" s="156"/>
      <c r="IUK575" s="287"/>
      <c r="IUL575" s="488"/>
      <c r="IUM575" s="489"/>
      <c r="IUN575" s="488"/>
      <c r="IUO575" s="300"/>
      <c r="IUP575" s="532"/>
      <c r="IUQ575" s="533"/>
      <c r="IUR575" s="534"/>
      <c r="IUS575" s="316"/>
      <c r="IUT575" s="316"/>
      <c r="IUU575" s="471"/>
      <c r="IUV575" s="472"/>
      <c r="IUW575" s="471"/>
      <c r="IUX575" s="473"/>
      <c r="IUY575" s="313"/>
      <c r="IUZ575" s="535"/>
      <c r="IVA575" s="536"/>
      <c r="IVB575" s="537"/>
      <c r="IVC575" s="538"/>
      <c r="IVD575" s="539"/>
      <c r="IVE575" s="540"/>
      <c r="IVF575" s="209"/>
      <c r="IVG575" s="541"/>
      <c r="IVH575" s="541"/>
      <c r="IVI575" s="482"/>
      <c r="IVJ575" s="173"/>
      <c r="IVK575" s="173"/>
      <c r="IVL575" s="509"/>
      <c r="IVN575" s="148"/>
      <c r="IVO575" s="148"/>
      <c r="IVP575" s="149"/>
      <c r="IVQ575" s="150"/>
      <c r="IVS575" s="152"/>
      <c r="IVT575" s="542"/>
      <c r="IVU575" s="154"/>
      <c r="IVV575" s="175"/>
      <c r="IVX575" s="156"/>
      <c r="IVY575" s="287"/>
      <c r="IVZ575" s="488"/>
      <c r="IWA575" s="489"/>
      <c r="IWB575" s="488"/>
      <c r="IWC575" s="300"/>
      <c r="IWD575" s="532"/>
      <c r="IWE575" s="533"/>
      <c r="IWF575" s="534"/>
      <c r="IWG575" s="316"/>
      <c r="IWH575" s="316"/>
      <c r="IWI575" s="471"/>
      <c r="IWJ575" s="472"/>
      <c r="IWK575" s="471"/>
      <c r="IWL575" s="473"/>
      <c r="IWM575" s="313"/>
      <c r="IWN575" s="535"/>
      <c r="IWO575" s="536"/>
      <c r="IWP575" s="537"/>
      <c r="IWQ575" s="538"/>
      <c r="IWR575" s="539"/>
      <c r="IWS575" s="540"/>
      <c r="IWT575" s="209"/>
      <c r="IWU575" s="541"/>
      <c r="IWV575" s="541"/>
      <c r="IWW575" s="482"/>
      <c r="IWX575" s="173"/>
      <c r="IWY575" s="173"/>
      <c r="IWZ575" s="509"/>
      <c r="IXB575" s="148"/>
      <c r="IXC575" s="148"/>
      <c r="IXD575" s="149"/>
      <c r="IXE575" s="150"/>
      <c r="IXG575" s="152"/>
      <c r="IXH575" s="542"/>
      <c r="IXI575" s="154"/>
      <c r="IXJ575" s="175"/>
      <c r="IXL575" s="156"/>
      <c r="IXM575" s="287"/>
      <c r="IXN575" s="488"/>
      <c r="IXO575" s="489"/>
      <c r="IXP575" s="488"/>
      <c r="IXQ575" s="300"/>
      <c r="IXR575" s="532"/>
      <c r="IXS575" s="533"/>
      <c r="IXT575" s="534"/>
      <c r="IXU575" s="316"/>
      <c r="IXV575" s="316"/>
      <c r="IXW575" s="471"/>
      <c r="IXX575" s="472"/>
      <c r="IXY575" s="471"/>
      <c r="IXZ575" s="473"/>
      <c r="IYA575" s="313"/>
      <c r="IYB575" s="535"/>
      <c r="IYC575" s="536"/>
      <c r="IYD575" s="537"/>
      <c r="IYE575" s="538"/>
      <c r="IYF575" s="539"/>
      <c r="IYG575" s="540"/>
      <c r="IYH575" s="209"/>
      <c r="IYI575" s="541"/>
      <c r="IYJ575" s="541"/>
      <c r="IYK575" s="482"/>
      <c r="IYL575" s="173"/>
      <c r="IYM575" s="173"/>
      <c r="IYN575" s="509"/>
      <c r="IYP575" s="148"/>
      <c r="IYQ575" s="148"/>
      <c r="IYR575" s="149"/>
      <c r="IYS575" s="150"/>
      <c r="IYU575" s="152"/>
      <c r="IYV575" s="542"/>
      <c r="IYW575" s="154"/>
      <c r="IYX575" s="175"/>
      <c r="IYZ575" s="156"/>
      <c r="IZA575" s="287"/>
      <c r="IZB575" s="488"/>
      <c r="IZC575" s="489"/>
      <c r="IZD575" s="488"/>
      <c r="IZE575" s="300"/>
      <c r="IZF575" s="532"/>
      <c r="IZG575" s="533"/>
      <c r="IZH575" s="534"/>
      <c r="IZI575" s="316"/>
      <c r="IZJ575" s="316"/>
      <c r="IZK575" s="471"/>
      <c r="IZL575" s="472"/>
      <c r="IZM575" s="471"/>
      <c r="IZN575" s="473"/>
      <c r="IZO575" s="313"/>
      <c r="IZP575" s="535"/>
      <c r="IZQ575" s="536"/>
      <c r="IZR575" s="537"/>
      <c r="IZS575" s="538"/>
      <c r="IZT575" s="539"/>
      <c r="IZU575" s="540"/>
      <c r="IZV575" s="209"/>
      <c r="IZW575" s="541"/>
      <c r="IZX575" s="541"/>
      <c r="IZY575" s="482"/>
      <c r="IZZ575" s="173"/>
      <c r="JAA575" s="173"/>
      <c r="JAB575" s="509"/>
      <c r="JAD575" s="148"/>
      <c r="JAE575" s="148"/>
      <c r="JAF575" s="149"/>
      <c r="JAG575" s="150"/>
      <c r="JAI575" s="152"/>
      <c r="JAJ575" s="542"/>
      <c r="JAK575" s="154"/>
      <c r="JAL575" s="175"/>
      <c r="JAN575" s="156"/>
      <c r="JAO575" s="287"/>
      <c r="JAP575" s="488"/>
      <c r="JAQ575" s="489"/>
      <c r="JAR575" s="488"/>
      <c r="JAS575" s="300"/>
      <c r="JAT575" s="532"/>
      <c r="JAU575" s="533"/>
      <c r="JAV575" s="534"/>
      <c r="JAW575" s="316"/>
      <c r="JAX575" s="316"/>
      <c r="JAY575" s="471"/>
      <c r="JAZ575" s="472"/>
      <c r="JBA575" s="471"/>
      <c r="JBB575" s="473"/>
      <c r="JBC575" s="313"/>
      <c r="JBD575" s="535"/>
      <c r="JBE575" s="536"/>
      <c r="JBF575" s="537"/>
      <c r="JBG575" s="538"/>
      <c r="JBH575" s="539"/>
      <c r="JBI575" s="540"/>
      <c r="JBJ575" s="209"/>
      <c r="JBK575" s="541"/>
      <c r="JBL575" s="541"/>
      <c r="JBM575" s="482"/>
      <c r="JBN575" s="173"/>
      <c r="JBO575" s="173"/>
      <c r="JBP575" s="509"/>
      <c r="JBR575" s="148"/>
      <c r="JBS575" s="148"/>
      <c r="JBT575" s="149"/>
      <c r="JBU575" s="150"/>
      <c r="JBW575" s="152"/>
      <c r="JBX575" s="542"/>
      <c r="JBY575" s="154"/>
      <c r="JBZ575" s="175"/>
      <c r="JCB575" s="156"/>
      <c r="JCC575" s="287"/>
      <c r="JCD575" s="488"/>
      <c r="JCE575" s="489"/>
      <c r="JCF575" s="488"/>
      <c r="JCG575" s="300"/>
      <c r="JCH575" s="532"/>
      <c r="JCI575" s="533"/>
      <c r="JCJ575" s="534"/>
      <c r="JCK575" s="316"/>
      <c r="JCL575" s="316"/>
      <c r="JCM575" s="471"/>
      <c r="JCN575" s="472"/>
      <c r="JCO575" s="471"/>
      <c r="JCP575" s="473"/>
      <c r="JCQ575" s="313"/>
      <c r="JCR575" s="535"/>
      <c r="JCS575" s="536"/>
      <c r="JCT575" s="537"/>
      <c r="JCU575" s="538"/>
      <c r="JCV575" s="539"/>
      <c r="JCW575" s="540"/>
      <c r="JCX575" s="209"/>
      <c r="JCY575" s="541"/>
      <c r="JCZ575" s="541"/>
      <c r="JDA575" s="482"/>
      <c r="JDB575" s="173"/>
      <c r="JDC575" s="173"/>
      <c r="JDD575" s="509"/>
      <c r="JDF575" s="148"/>
      <c r="JDG575" s="148"/>
      <c r="JDH575" s="149"/>
      <c r="JDI575" s="150"/>
      <c r="JDK575" s="152"/>
      <c r="JDL575" s="542"/>
      <c r="JDM575" s="154"/>
      <c r="JDN575" s="175"/>
      <c r="JDP575" s="156"/>
      <c r="JDQ575" s="287"/>
      <c r="JDR575" s="488"/>
      <c r="JDS575" s="489"/>
      <c r="JDT575" s="488"/>
      <c r="JDU575" s="300"/>
      <c r="JDV575" s="532"/>
      <c r="JDW575" s="533"/>
      <c r="JDX575" s="534"/>
      <c r="JDY575" s="316"/>
      <c r="JDZ575" s="316"/>
      <c r="JEA575" s="471"/>
      <c r="JEB575" s="472"/>
      <c r="JEC575" s="471"/>
      <c r="JED575" s="473"/>
      <c r="JEE575" s="313"/>
      <c r="JEF575" s="535"/>
      <c r="JEG575" s="536"/>
      <c r="JEH575" s="537"/>
      <c r="JEI575" s="538"/>
      <c r="JEJ575" s="539"/>
      <c r="JEK575" s="540"/>
      <c r="JEL575" s="209"/>
      <c r="JEM575" s="541"/>
      <c r="JEN575" s="541"/>
      <c r="JEO575" s="482"/>
      <c r="JEP575" s="173"/>
      <c r="JEQ575" s="173"/>
      <c r="JER575" s="509"/>
      <c r="JET575" s="148"/>
      <c r="JEU575" s="148"/>
      <c r="JEV575" s="149"/>
      <c r="JEW575" s="150"/>
      <c r="JEY575" s="152"/>
      <c r="JEZ575" s="542"/>
      <c r="JFA575" s="154"/>
      <c r="JFB575" s="175"/>
      <c r="JFD575" s="156"/>
      <c r="JFE575" s="287"/>
      <c r="JFF575" s="488"/>
      <c r="JFG575" s="489"/>
      <c r="JFH575" s="488"/>
      <c r="JFI575" s="300"/>
      <c r="JFJ575" s="532"/>
      <c r="JFK575" s="533"/>
      <c r="JFL575" s="534"/>
      <c r="JFM575" s="316"/>
      <c r="JFN575" s="316"/>
      <c r="JFO575" s="471"/>
      <c r="JFP575" s="472"/>
      <c r="JFQ575" s="471"/>
      <c r="JFR575" s="473"/>
      <c r="JFS575" s="313"/>
      <c r="JFT575" s="535"/>
      <c r="JFU575" s="536"/>
      <c r="JFV575" s="537"/>
      <c r="JFW575" s="538"/>
      <c r="JFX575" s="539"/>
      <c r="JFY575" s="540"/>
      <c r="JFZ575" s="209"/>
      <c r="JGA575" s="541"/>
      <c r="JGB575" s="541"/>
      <c r="JGC575" s="482"/>
      <c r="JGD575" s="173"/>
      <c r="JGE575" s="173"/>
      <c r="JGF575" s="509"/>
      <c r="JGH575" s="148"/>
      <c r="JGI575" s="148"/>
      <c r="JGJ575" s="149"/>
      <c r="JGK575" s="150"/>
      <c r="JGM575" s="152"/>
      <c r="JGN575" s="542"/>
      <c r="JGO575" s="154"/>
      <c r="JGP575" s="175"/>
      <c r="JGR575" s="156"/>
      <c r="JGS575" s="287"/>
      <c r="JGT575" s="488"/>
      <c r="JGU575" s="489"/>
      <c r="JGV575" s="488"/>
      <c r="JGW575" s="300"/>
      <c r="JGX575" s="532"/>
      <c r="JGY575" s="533"/>
      <c r="JGZ575" s="534"/>
      <c r="JHA575" s="316"/>
      <c r="JHB575" s="316"/>
      <c r="JHC575" s="471"/>
      <c r="JHD575" s="472"/>
      <c r="JHE575" s="471"/>
      <c r="JHF575" s="473"/>
      <c r="JHG575" s="313"/>
      <c r="JHH575" s="535"/>
      <c r="JHI575" s="536"/>
      <c r="JHJ575" s="537"/>
      <c r="JHK575" s="538"/>
      <c r="JHL575" s="539"/>
      <c r="JHM575" s="540"/>
      <c r="JHN575" s="209"/>
      <c r="JHO575" s="541"/>
      <c r="JHP575" s="541"/>
      <c r="JHQ575" s="482"/>
      <c r="JHR575" s="173"/>
      <c r="JHS575" s="173"/>
      <c r="JHT575" s="509"/>
      <c r="JHV575" s="148"/>
      <c r="JHW575" s="148"/>
      <c r="JHX575" s="149"/>
      <c r="JHY575" s="150"/>
      <c r="JIA575" s="152"/>
      <c r="JIB575" s="542"/>
      <c r="JIC575" s="154"/>
      <c r="JID575" s="175"/>
      <c r="JIF575" s="156"/>
      <c r="JIG575" s="287"/>
      <c r="JIH575" s="488"/>
      <c r="JII575" s="489"/>
      <c r="JIJ575" s="488"/>
      <c r="JIK575" s="300"/>
      <c r="JIL575" s="532"/>
      <c r="JIM575" s="533"/>
      <c r="JIN575" s="534"/>
      <c r="JIO575" s="316"/>
      <c r="JIP575" s="316"/>
      <c r="JIQ575" s="471"/>
      <c r="JIR575" s="472"/>
      <c r="JIS575" s="471"/>
      <c r="JIT575" s="473"/>
      <c r="JIU575" s="313"/>
      <c r="JIV575" s="535"/>
      <c r="JIW575" s="536"/>
      <c r="JIX575" s="537"/>
      <c r="JIY575" s="538"/>
      <c r="JIZ575" s="539"/>
      <c r="JJA575" s="540"/>
      <c r="JJB575" s="209"/>
      <c r="JJC575" s="541"/>
      <c r="JJD575" s="541"/>
      <c r="JJE575" s="482"/>
      <c r="JJF575" s="173"/>
      <c r="JJG575" s="173"/>
      <c r="JJH575" s="509"/>
      <c r="JJJ575" s="148"/>
      <c r="JJK575" s="148"/>
      <c r="JJL575" s="149"/>
      <c r="JJM575" s="150"/>
      <c r="JJO575" s="152"/>
      <c r="JJP575" s="542"/>
      <c r="JJQ575" s="154"/>
      <c r="JJR575" s="175"/>
      <c r="JJT575" s="156"/>
      <c r="JJU575" s="287"/>
      <c r="JJV575" s="488"/>
      <c r="JJW575" s="489"/>
      <c r="JJX575" s="488"/>
      <c r="JJY575" s="300"/>
      <c r="JJZ575" s="532"/>
      <c r="JKA575" s="533"/>
      <c r="JKB575" s="534"/>
      <c r="JKC575" s="316"/>
      <c r="JKD575" s="316"/>
      <c r="JKE575" s="471"/>
      <c r="JKF575" s="472"/>
      <c r="JKG575" s="471"/>
      <c r="JKH575" s="473"/>
      <c r="JKI575" s="313"/>
      <c r="JKJ575" s="535"/>
      <c r="JKK575" s="536"/>
      <c r="JKL575" s="537"/>
      <c r="JKM575" s="538"/>
      <c r="JKN575" s="539"/>
      <c r="JKO575" s="540"/>
      <c r="JKP575" s="209"/>
      <c r="JKQ575" s="541"/>
      <c r="JKR575" s="541"/>
      <c r="JKS575" s="482"/>
      <c r="JKT575" s="173"/>
      <c r="JKU575" s="173"/>
      <c r="JKV575" s="509"/>
      <c r="JKX575" s="148"/>
      <c r="JKY575" s="148"/>
      <c r="JKZ575" s="149"/>
      <c r="JLA575" s="150"/>
      <c r="JLC575" s="152"/>
      <c r="JLD575" s="542"/>
      <c r="JLE575" s="154"/>
      <c r="JLF575" s="175"/>
      <c r="JLH575" s="156"/>
      <c r="JLI575" s="287"/>
      <c r="JLJ575" s="488"/>
      <c r="JLK575" s="489"/>
      <c r="JLL575" s="488"/>
      <c r="JLM575" s="300"/>
      <c r="JLN575" s="532"/>
      <c r="JLO575" s="533"/>
      <c r="JLP575" s="534"/>
      <c r="JLQ575" s="316"/>
      <c r="JLR575" s="316"/>
      <c r="JLS575" s="471"/>
      <c r="JLT575" s="472"/>
      <c r="JLU575" s="471"/>
      <c r="JLV575" s="473"/>
      <c r="JLW575" s="313"/>
      <c r="JLX575" s="535"/>
      <c r="JLY575" s="536"/>
      <c r="JLZ575" s="537"/>
      <c r="JMA575" s="538"/>
      <c r="JMB575" s="539"/>
      <c r="JMC575" s="540"/>
      <c r="JMD575" s="209"/>
      <c r="JME575" s="541"/>
      <c r="JMF575" s="541"/>
      <c r="JMG575" s="482"/>
      <c r="JMH575" s="173"/>
      <c r="JMI575" s="173"/>
      <c r="JMJ575" s="509"/>
      <c r="JML575" s="148"/>
      <c r="JMM575" s="148"/>
      <c r="JMN575" s="149"/>
      <c r="JMO575" s="150"/>
      <c r="JMQ575" s="152"/>
      <c r="JMR575" s="542"/>
      <c r="JMS575" s="154"/>
      <c r="JMT575" s="175"/>
      <c r="JMV575" s="156"/>
      <c r="JMW575" s="287"/>
      <c r="JMX575" s="488"/>
      <c r="JMY575" s="489"/>
      <c r="JMZ575" s="488"/>
      <c r="JNA575" s="300"/>
      <c r="JNB575" s="532"/>
      <c r="JNC575" s="533"/>
      <c r="JND575" s="534"/>
      <c r="JNE575" s="316"/>
      <c r="JNF575" s="316"/>
      <c r="JNG575" s="471"/>
      <c r="JNH575" s="472"/>
      <c r="JNI575" s="471"/>
      <c r="JNJ575" s="473"/>
      <c r="JNK575" s="313"/>
      <c r="JNL575" s="535"/>
      <c r="JNM575" s="536"/>
      <c r="JNN575" s="537"/>
      <c r="JNO575" s="538"/>
      <c r="JNP575" s="539"/>
      <c r="JNQ575" s="540"/>
      <c r="JNR575" s="209"/>
      <c r="JNS575" s="541"/>
      <c r="JNT575" s="541"/>
      <c r="JNU575" s="482"/>
      <c r="JNV575" s="173"/>
      <c r="JNW575" s="173"/>
      <c r="JNX575" s="509"/>
      <c r="JNZ575" s="148"/>
      <c r="JOA575" s="148"/>
      <c r="JOB575" s="149"/>
      <c r="JOC575" s="150"/>
      <c r="JOE575" s="152"/>
      <c r="JOF575" s="542"/>
      <c r="JOG575" s="154"/>
      <c r="JOH575" s="175"/>
      <c r="JOJ575" s="156"/>
      <c r="JOK575" s="287"/>
      <c r="JOL575" s="488"/>
      <c r="JOM575" s="489"/>
      <c r="JON575" s="488"/>
      <c r="JOO575" s="300"/>
      <c r="JOP575" s="532"/>
      <c r="JOQ575" s="533"/>
      <c r="JOR575" s="534"/>
      <c r="JOS575" s="316"/>
      <c r="JOT575" s="316"/>
      <c r="JOU575" s="471"/>
      <c r="JOV575" s="472"/>
      <c r="JOW575" s="471"/>
      <c r="JOX575" s="473"/>
      <c r="JOY575" s="313"/>
      <c r="JOZ575" s="535"/>
      <c r="JPA575" s="536"/>
      <c r="JPB575" s="537"/>
      <c r="JPC575" s="538"/>
      <c r="JPD575" s="539"/>
      <c r="JPE575" s="540"/>
      <c r="JPF575" s="209"/>
      <c r="JPG575" s="541"/>
      <c r="JPH575" s="541"/>
      <c r="JPI575" s="482"/>
      <c r="JPJ575" s="173"/>
      <c r="JPK575" s="173"/>
      <c r="JPL575" s="509"/>
      <c r="JPN575" s="148"/>
      <c r="JPO575" s="148"/>
      <c r="JPP575" s="149"/>
      <c r="JPQ575" s="150"/>
      <c r="JPS575" s="152"/>
      <c r="JPT575" s="542"/>
      <c r="JPU575" s="154"/>
      <c r="JPV575" s="175"/>
      <c r="JPX575" s="156"/>
      <c r="JPY575" s="287"/>
      <c r="JPZ575" s="488"/>
      <c r="JQA575" s="489"/>
      <c r="JQB575" s="488"/>
      <c r="JQC575" s="300"/>
      <c r="JQD575" s="532"/>
      <c r="JQE575" s="533"/>
      <c r="JQF575" s="534"/>
      <c r="JQG575" s="316"/>
      <c r="JQH575" s="316"/>
      <c r="JQI575" s="471"/>
      <c r="JQJ575" s="472"/>
      <c r="JQK575" s="471"/>
      <c r="JQL575" s="473"/>
      <c r="JQM575" s="313"/>
      <c r="JQN575" s="535"/>
      <c r="JQO575" s="536"/>
      <c r="JQP575" s="537"/>
      <c r="JQQ575" s="538"/>
      <c r="JQR575" s="539"/>
      <c r="JQS575" s="540"/>
      <c r="JQT575" s="209"/>
      <c r="JQU575" s="541"/>
      <c r="JQV575" s="541"/>
      <c r="JQW575" s="482"/>
      <c r="JQX575" s="173"/>
      <c r="JQY575" s="173"/>
      <c r="JQZ575" s="509"/>
      <c r="JRB575" s="148"/>
      <c r="JRC575" s="148"/>
      <c r="JRD575" s="149"/>
      <c r="JRE575" s="150"/>
      <c r="JRG575" s="152"/>
      <c r="JRH575" s="542"/>
      <c r="JRI575" s="154"/>
      <c r="JRJ575" s="175"/>
      <c r="JRL575" s="156"/>
      <c r="JRM575" s="287"/>
      <c r="JRN575" s="488"/>
      <c r="JRO575" s="489"/>
      <c r="JRP575" s="488"/>
      <c r="JRQ575" s="300"/>
      <c r="JRR575" s="532"/>
      <c r="JRS575" s="533"/>
      <c r="JRT575" s="534"/>
      <c r="JRU575" s="316"/>
      <c r="JRV575" s="316"/>
      <c r="JRW575" s="471"/>
      <c r="JRX575" s="472"/>
      <c r="JRY575" s="471"/>
      <c r="JRZ575" s="473"/>
      <c r="JSA575" s="313"/>
      <c r="JSB575" s="535"/>
      <c r="JSC575" s="536"/>
      <c r="JSD575" s="537"/>
      <c r="JSE575" s="538"/>
      <c r="JSF575" s="539"/>
      <c r="JSG575" s="540"/>
      <c r="JSH575" s="209"/>
      <c r="JSI575" s="541"/>
      <c r="JSJ575" s="541"/>
      <c r="JSK575" s="482"/>
      <c r="JSL575" s="173"/>
      <c r="JSM575" s="173"/>
      <c r="JSN575" s="509"/>
      <c r="JSP575" s="148"/>
      <c r="JSQ575" s="148"/>
      <c r="JSR575" s="149"/>
      <c r="JSS575" s="150"/>
      <c r="JSU575" s="152"/>
      <c r="JSV575" s="542"/>
      <c r="JSW575" s="154"/>
      <c r="JSX575" s="175"/>
      <c r="JSZ575" s="156"/>
      <c r="JTA575" s="287"/>
      <c r="JTB575" s="488"/>
      <c r="JTC575" s="489"/>
      <c r="JTD575" s="488"/>
      <c r="JTE575" s="300"/>
      <c r="JTF575" s="532"/>
      <c r="JTG575" s="533"/>
      <c r="JTH575" s="534"/>
      <c r="JTI575" s="316"/>
      <c r="JTJ575" s="316"/>
      <c r="JTK575" s="471"/>
      <c r="JTL575" s="472"/>
      <c r="JTM575" s="471"/>
      <c r="JTN575" s="473"/>
      <c r="JTO575" s="313"/>
      <c r="JTP575" s="535"/>
      <c r="JTQ575" s="536"/>
      <c r="JTR575" s="537"/>
      <c r="JTS575" s="538"/>
      <c r="JTT575" s="539"/>
      <c r="JTU575" s="540"/>
      <c r="JTV575" s="209"/>
      <c r="JTW575" s="541"/>
      <c r="JTX575" s="541"/>
      <c r="JTY575" s="482"/>
      <c r="JTZ575" s="173"/>
      <c r="JUA575" s="173"/>
      <c r="JUB575" s="509"/>
      <c r="JUD575" s="148"/>
      <c r="JUE575" s="148"/>
      <c r="JUF575" s="149"/>
      <c r="JUG575" s="150"/>
      <c r="JUI575" s="152"/>
      <c r="JUJ575" s="542"/>
      <c r="JUK575" s="154"/>
      <c r="JUL575" s="175"/>
      <c r="JUN575" s="156"/>
      <c r="JUO575" s="287"/>
      <c r="JUP575" s="488"/>
      <c r="JUQ575" s="489"/>
      <c r="JUR575" s="488"/>
      <c r="JUS575" s="300"/>
      <c r="JUT575" s="532"/>
      <c r="JUU575" s="533"/>
      <c r="JUV575" s="534"/>
      <c r="JUW575" s="316"/>
      <c r="JUX575" s="316"/>
      <c r="JUY575" s="471"/>
      <c r="JUZ575" s="472"/>
      <c r="JVA575" s="471"/>
      <c r="JVB575" s="473"/>
      <c r="JVC575" s="313"/>
      <c r="JVD575" s="535"/>
      <c r="JVE575" s="536"/>
      <c r="JVF575" s="537"/>
      <c r="JVG575" s="538"/>
      <c r="JVH575" s="539"/>
      <c r="JVI575" s="540"/>
      <c r="JVJ575" s="209"/>
      <c r="JVK575" s="541"/>
      <c r="JVL575" s="541"/>
      <c r="JVM575" s="482"/>
      <c r="JVN575" s="173"/>
      <c r="JVO575" s="173"/>
      <c r="JVP575" s="509"/>
      <c r="JVR575" s="148"/>
      <c r="JVS575" s="148"/>
      <c r="JVT575" s="149"/>
      <c r="JVU575" s="150"/>
      <c r="JVW575" s="152"/>
      <c r="JVX575" s="542"/>
      <c r="JVY575" s="154"/>
      <c r="JVZ575" s="175"/>
      <c r="JWB575" s="156"/>
      <c r="JWC575" s="287"/>
      <c r="JWD575" s="488"/>
      <c r="JWE575" s="489"/>
      <c r="JWF575" s="488"/>
      <c r="JWG575" s="300"/>
      <c r="JWH575" s="532"/>
      <c r="JWI575" s="533"/>
      <c r="JWJ575" s="534"/>
      <c r="JWK575" s="316"/>
      <c r="JWL575" s="316"/>
      <c r="JWM575" s="471"/>
      <c r="JWN575" s="472"/>
      <c r="JWO575" s="471"/>
      <c r="JWP575" s="473"/>
      <c r="JWQ575" s="313"/>
      <c r="JWR575" s="535"/>
      <c r="JWS575" s="536"/>
      <c r="JWT575" s="537"/>
      <c r="JWU575" s="538"/>
      <c r="JWV575" s="539"/>
      <c r="JWW575" s="540"/>
      <c r="JWX575" s="209"/>
      <c r="JWY575" s="541"/>
      <c r="JWZ575" s="541"/>
      <c r="JXA575" s="482"/>
      <c r="JXB575" s="173"/>
      <c r="JXC575" s="173"/>
      <c r="JXD575" s="509"/>
      <c r="JXF575" s="148"/>
      <c r="JXG575" s="148"/>
      <c r="JXH575" s="149"/>
      <c r="JXI575" s="150"/>
      <c r="JXK575" s="152"/>
      <c r="JXL575" s="542"/>
      <c r="JXM575" s="154"/>
      <c r="JXN575" s="175"/>
      <c r="JXP575" s="156"/>
      <c r="JXQ575" s="287"/>
      <c r="JXR575" s="488"/>
      <c r="JXS575" s="489"/>
      <c r="JXT575" s="488"/>
      <c r="JXU575" s="300"/>
      <c r="JXV575" s="532"/>
      <c r="JXW575" s="533"/>
      <c r="JXX575" s="534"/>
      <c r="JXY575" s="316"/>
      <c r="JXZ575" s="316"/>
      <c r="JYA575" s="471"/>
      <c r="JYB575" s="472"/>
      <c r="JYC575" s="471"/>
      <c r="JYD575" s="473"/>
      <c r="JYE575" s="313"/>
      <c r="JYF575" s="535"/>
      <c r="JYG575" s="536"/>
      <c r="JYH575" s="537"/>
      <c r="JYI575" s="538"/>
      <c r="JYJ575" s="539"/>
      <c r="JYK575" s="540"/>
      <c r="JYL575" s="209"/>
      <c r="JYM575" s="541"/>
      <c r="JYN575" s="541"/>
      <c r="JYO575" s="482"/>
      <c r="JYP575" s="173"/>
      <c r="JYQ575" s="173"/>
      <c r="JYR575" s="509"/>
      <c r="JYT575" s="148"/>
      <c r="JYU575" s="148"/>
      <c r="JYV575" s="149"/>
      <c r="JYW575" s="150"/>
      <c r="JYY575" s="152"/>
      <c r="JYZ575" s="542"/>
      <c r="JZA575" s="154"/>
      <c r="JZB575" s="175"/>
      <c r="JZD575" s="156"/>
      <c r="JZE575" s="287"/>
      <c r="JZF575" s="488"/>
      <c r="JZG575" s="489"/>
      <c r="JZH575" s="488"/>
      <c r="JZI575" s="300"/>
      <c r="JZJ575" s="532"/>
      <c r="JZK575" s="533"/>
      <c r="JZL575" s="534"/>
      <c r="JZM575" s="316"/>
      <c r="JZN575" s="316"/>
      <c r="JZO575" s="471"/>
      <c r="JZP575" s="472"/>
      <c r="JZQ575" s="471"/>
      <c r="JZR575" s="473"/>
      <c r="JZS575" s="313"/>
      <c r="JZT575" s="535"/>
      <c r="JZU575" s="536"/>
      <c r="JZV575" s="537"/>
      <c r="JZW575" s="538"/>
      <c r="JZX575" s="539"/>
      <c r="JZY575" s="540"/>
      <c r="JZZ575" s="209"/>
      <c r="KAA575" s="541"/>
      <c r="KAB575" s="541"/>
      <c r="KAC575" s="482"/>
      <c r="KAD575" s="173"/>
      <c r="KAE575" s="173"/>
      <c r="KAF575" s="509"/>
      <c r="KAH575" s="148"/>
      <c r="KAI575" s="148"/>
      <c r="KAJ575" s="149"/>
      <c r="KAK575" s="150"/>
      <c r="KAM575" s="152"/>
      <c r="KAN575" s="542"/>
      <c r="KAO575" s="154"/>
      <c r="KAP575" s="175"/>
      <c r="KAR575" s="156"/>
      <c r="KAS575" s="287"/>
      <c r="KAT575" s="488"/>
      <c r="KAU575" s="489"/>
      <c r="KAV575" s="488"/>
      <c r="KAW575" s="300"/>
      <c r="KAX575" s="532"/>
      <c r="KAY575" s="533"/>
      <c r="KAZ575" s="534"/>
      <c r="KBA575" s="316"/>
      <c r="KBB575" s="316"/>
      <c r="KBC575" s="471"/>
      <c r="KBD575" s="472"/>
      <c r="KBE575" s="471"/>
      <c r="KBF575" s="473"/>
      <c r="KBG575" s="313"/>
      <c r="KBH575" s="535"/>
      <c r="KBI575" s="536"/>
      <c r="KBJ575" s="537"/>
      <c r="KBK575" s="538"/>
      <c r="KBL575" s="539"/>
      <c r="KBM575" s="540"/>
      <c r="KBN575" s="209"/>
      <c r="KBO575" s="541"/>
      <c r="KBP575" s="541"/>
      <c r="KBQ575" s="482"/>
      <c r="KBR575" s="173"/>
      <c r="KBS575" s="173"/>
      <c r="KBT575" s="509"/>
      <c r="KBV575" s="148"/>
      <c r="KBW575" s="148"/>
      <c r="KBX575" s="149"/>
      <c r="KBY575" s="150"/>
      <c r="KCA575" s="152"/>
      <c r="KCB575" s="542"/>
      <c r="KCC575" s="154"/>
      <c r="KCD575" s="175"/>
      <c r="KCF575" s="156"/>
      <c r="KCG575" s="287"/>
      <c r="KCH575" s="488"/>
      <c r="KCI575" s="489"/>
      <c r="KCJ575" s="488"/>
      <c r="KCK575" s="300"/>
      <c r="KCL575" s="532"/>
      <c r="KCM575" s="533"/>
      <c r="KCN575" s="534"/>
      <c r="KCO575" s="316"/>
      <c r="KCP575" s="316"/>
      <c r="KCQ575" s="471"/>
      <c r="KCR575" s="472"/>
      <c r="KCS575" s="471"/>
      <c r="KCT575" s="473"/>
      <c r="KCU575" s="313"/>
      <c r="KCV575" s="535"/>
      <c r="KCW575" s="536"/>
      <c r="KCX575" s="537"/>
      <c r="KCY575" s="538"/>
      <c r="KCZ575" s="539"/>
      <c r="KDA575" s="540"/>
      <c r="KDB575" s="209"/>
      <c r="KDC575" s="541"/>
      <c r="KDD575" s="541"/>
      <c r="KDE575" s="482"/>
      <c r="KDF575" s="173"/>
      <c r="KDG575" s="173"/>
      <c r="KDH575" s="509"/>
      <c r="KDJ575" s="148"/>
      <c r="KDK575" s="148"/>
      <c r="KDL575" s="149"/>
      <c r="KDM575" s="150"/>
      <c r="KDO575" s="152"/>
      <c r="KDP575" s="542"/>
      <c r="KDQ575" s="154"/>
      <c r="KDR575" s="175"/>
      <c r="KDT575" s="156"/>
      <c r="KDU575" s="287"/>
      <c r="KDV575" s="488"/>
      <c r="KDW575" s="489"/>
      <c r="KDX575" s="488"/>
      <c r="KDY575" s="300"/>
      <c r="KDZ575" s="532"/>
      <c r="KEA575" s="533"/>
      <c r="KEB575" s="534"/>
      <c r="KEC575" s="316"/>
      <c r="KED575" s="316"/>
      <c r="KEE575" s="471"/>
      <c r="KEF575" s="472"/>
      <c r="KEG575" s="471"/>
      <c r="KEH575" s="473"/>
      <c r="KEI575" s="313"/>
      <c r="KEJ575" s="535"/>
      <c r="KEK575" s="536"/>
      <c r="KEL575" s="537"/>
      <c r="KEM575" s="538"/>
      <c r="KEN575" s="539"/>
      <c r="KEO575" s="540"/>
      <c r="KEP575" s="209"/>
      <c r="KEQ575" s="541"/>
      <c r="KER575" s="541"/>
      <c r="KES575" s="482"/>
      <c r="KET575" s="173"/>
      <c r="KEU575" s="173"/>
      <c r="KEV575" s="509"/>
      <c r="KEX575" s="148"/>
      <c r="KEY575" s="148"/>
      <c r="KEZ575" s="149"/>
      <c r="KFA575" s="150"/>
      <c r="KFC575" s="152"/>
      <c r="KFD575" s="542"/>
      <c r="KFE575" s="154"/>
      <c r="KFF575" s="175"/>
      <c r="KFH575" s="156"/>
      <c r="KFI575" s="287"/>
      <c r="KFJ575" s="488"/>
      <c r="KFK575" s="489"/>
      <c r="KFL575" s="488"/>
      <c r="KFM575" s="300"/>
      <c r="KFN575" s="532"/>
      <c r="KFO575" s="533"/>
      <c r="KFP575" s="534"/>
      <c r="KFQ575" s="316"/>
      <c r="KFR575" s="316"/>
      <c r="KFS575" s="471"/>
      <c r="KFT575" s="472"/>
      <c r="KFU575" s="471"/>
      <c r="KFV575" s="473"/>
      <c r="KFW575" s="313"/>
      <c r="KFX575" s="535"/>
      <c r="KFY575" s="536"/>
      <c r="KFZ575" s="537"/>
      <c r="KGA575" s="538"/>
      <c r="KGB575" s="539"/>
      <c r="KGC575" s="540"/>
      <c r="KGD575" s="209"/>
      <c r="KGE575" s="541"/>
      <c r="KGF575" s="541"/>
      <c r="KGG575" s="482"/>
      <c r="KGH575" s="173"/>
      <c r="KGI575" s="173"/>
      <c r="KGJ575" s="509"/>
      <c r="KGL575" s="148"/>
      <c r="KGM575" s="148"/>
      <c r="KGN575" s="149"/>
      <c r="KGO575" s="150"/>
      <c r="KGQ575" s="152"/>
      <c r="KGR575" s="542"/>
      <c r="KGS575" s="154"/>
      <c r="KGT575" s="175"/>
      <c r="KGV575" s="156"/>
      <c r="KGW575" s="287"/>
      <c r="KGX575" s="488"/>
      <c r="KGY575" s="489"/>
      <c r="KGZ575" s="488"/>
      <c r="KHA575" s="300"/>
      <c r="KHB575" s="532"/>
      <c r="KHC575" s="533"/>
      <c r="KHD575" s="534"/>
      <c r="KHE575" s="316"/>
      <c r="KHF575" s="316"/>
      <c r="KHG575" s="471"/>
      <c r="KHH575" s="472"/>
      <c r="KHI575" s="471"/>
      <c r="KHJ575" s="473"/>
      <c r="KHK575" s="313"/>
      <c r="KHL575" s="535"/>
      <c r="KHM575" s="536"/>
      <c r="KHN575" s="537"/>
      <c r="KHO575" s="538"/>
      <c r="KHP575" s="539"/>
      <c r="KHQ575" s="540"/>
      <c r="KHR575" s="209"/>
      <c r="KHS575" s="541"/>
      <c r="KHT575" s="541"/>
      <c r="KHU575" s="482"/>
      <c r="KHV575" s="173"/>
      <c r="KHW575" s="173"/>
      <c r="KHX575" s="509"/>
      <c r="KHZ575" s="148"/>
      <c r="KIA575" s="148"/>
      <c r="KIB575" s="149"/>
      <c r="KIC575" s="150"/>
      <c r="KIE575" s="152"/>
      <c r="KIF575" s="542"/>
      <c r="KIG575" s="154"/>
      <c r="KIH575" s="175"/>
      <c r="KIJ575" s="156"/>
      <c r="KIK575" s="287"/>
      <c r="KIL575" s="488"/>
      <c r="KIM575" s="489"/>
      <c r="KIN575" s="488"/>
      <c r="KIO575" s="300"/>
      <c r="KIP575" s="532"/>
      <c r="KIQ575" s="533"/>
      <c r="KIR575" s="534"/>
      <c r="KIS575" s="316"/>
      <c r="KIT575" s="316"/>
      <c r="KIU575" s="471"/>
      <c r="KIV575" s="472"/>
      <c r="KIW575" s="471"/>
      <c r="KIX575" s="473"/>
      <c r="KIY575" s="313"/>
      <c r="KIZ575" s="535"/>
      <c r="KJA575" s="536"/>
      <c r="KJB575" s="537"/>
      <c r="KJC575" s="538"/>
      <c r="KJD575" s="539"/>
      <c r="KJE575" s="540"/>
      <c r="KJF575" s="209"/>
      <c r="KJG575" s="541"/>
      <c r="KJH575" s="541"/>
      <c r="KJI575" s="482"/>
      <c r="KJJ575" s="173"/>
      <c r="KJK575" s="173"/>
      <c r="KJL575" s="509"/>
      <c r="KJN575" s="148"/>
      <c r="KJO575" s="148"/>
      <c r="KJP575" s="149"/>
      <c r="KJQ575" s="150"/>
      <c r="KJS575" s="152"/>
      <c r="KJT575" s="542"/>
      <c r="KJU575" s="154"/>
      <c r="KJV575" s="175"/>
      <c r="KJX575" s="156"/>
      <c r="KJY575" s="287"/>
      <c r="KJZ575" s="488"/>
      <c r="KKA575" s="489"/>
      <c r="KKB575" s="488"/>
      <c r="KKC575" s="300"/>
      <c r="KKD575" s="532"/>
      <c r="KKE575" s="533"/>
      <c r="KKF575" s="534"/>
      <c r="KKG575" s="316"/>
      <c r="KKH575" s="316"/>
      <c r="KKI575" s="471"/>
      <c r="KKJ575" s="472"/>
      <c r="KKK575" s="471"/>
      <c r="KKL575" s="473"/>
      <c r="KKM575" s="313"/>
      <c r="KKN575" s="535"/>
      <c r="KKO575" s="536"/>
      <c r="KKP575" s="537"/>
      <c r="KKQ575" s="538"/>
      <c r="KKR575" s="539"/>
      <c r="KKS575" s="540"/>
      <c r="KKT575" s="209"/>
      <c r="KKU575" s="541"/>
      <c r="KKV575" s="541"/>
      <c r="KKW575" s="482"/>
      <c r="KKX575" s="173"/>
      <c r="KKY575" s="173"/>
      <c r="KKZ575" s="509"/>
      <c r="KLB575" s="148"/>
      <c r="KLC575" s="148"/>
      <c r="KLD575" s="149"/>
      <c r="KLE575" s="150"/>
      <c r="KLG575" s="152"/>
      <c r="KLH575" s="542"/>
      <c r="KLI575" s="154"/>
      <c r="KLJ575" s="175"/>
      <c r="KLL575" s="156"/>
      <c r="KLM575" s="287"/>
      <c r="KLN575" s="488"/>
      <c r="KLO575" s="489"/>
      <c r="KLP575" s="488"/>
      <c r="KLQ575" s="300"/>
      <c r="KLR575" s="532"/>
      <c r="KLS575" s="533"/>
      <c r="KLT575" s="534"/>
      <c r="KLU575" s="316"/>
      <c r="KLV575" s="316"/>
      <c r="KLW575" s="471"/>
      <c r="KLX575" s="472"/>
      <c r="KLY575" s="471"/>
      <c r="KLZ575" s="473"/>
      <c r="KMA575" s="313"/>
      <c r="KMB575" s="535"/>
      <c r="KMC575" s="536"/>
      <c r="KMD575" s="537"/>
      <c r="KME575" s="538"/>
      <c r="KMF575" s="539"/>
      <c r="KMG575" s="540"/>
      <c r="KMH575" s="209"/>
      <c r="KMI575" s="541"/>
      <c r="KMJ575" s="541"/>
      <c r="KMK575" s="482"/>
      <c r="KML575" s="173"/>
      <c r="KMM575" s="173"/>
      <c r="KMN575" s="509"/>
      <c r="KMP575" s="148"/>
      <c r="KMQ575" s="148"/>
      <c r="KMR575" s="149"/>
      <c r="KMS575" s="150"/>
      <c r="KMU575" s="152"/>
      <c r="KMV575" s="542"/>
      <c r="KMW575" s="154"/>
      <c r="KMX575" s="175"/>
      <c r="KMZ575" s="156"/>
      <c r="KNA575" s="287"/>
      <c r="KNB575" s="488"/>
      <c r="KNC575" s="489"/>
      <c r="KND575" s="488"/>
      <c r="KNE575" s="300"/>
      <c r="KNF575" s="532"/>
      <c r="KNG575" s="533"/>
      <c r="KNH575" s="534"/>
      <c r="KNI575" s="316"/>
      <c r="KNJ575" s="316"/>
      <c r="KNK575" s="471"/>
      <c r="KNL575" s="472"/>
      <c r="KNM575" s="471"/>
      <c r="KNN575" s="473"/>
      <c r="KNO575" s="313"/>
      <c r="KNP575" s="535"/>
      <c r="KNQ575" s="536"/>
      <c r="KNR575" s="537"/>
      <c r="KNS575" s="538"/>
      <c r="KNT575" s="539"/>
      <c r="KNU575" s="540"/>
      <c r="KNV575" s="209"/>
      <c r="KNW575" s="541"/>
      <c r="KNX575" s="541"/>
      <c r="KNY575" s="482"/>
      <c r="KNZ575" s="173"/>
      <c r="KOA575" s="173"/>
      <c r="KOB575" s="509"/>
      <c r="KOD575" s="148"/>
      <c r="KOE575" s="148"/>
      <c r="KOF575" s="149"/>
      <c r="KOG575" s="150"/>
      <c r="KOI575" s="152"/>
      <c r="KOJ575" s="542"/>
      <c r="KOK575" s="154"/>
      <c r="KOL575" s="175"/>
      <c r="KON575" s="156"/>
      <c r="KOO575" s="287"/>
      <c r="KOP575" s="488"/>
      <c r="KOQ575" s="489"/>
      <c r="KOR575" s="488"/>
      <c r="KOS575" s="300"/>
      <c r="KOT575" s="532"/>
      <c r="KOU575" s="533"/>
      <c r="KOV575" s="534"/>
      <c r="KOW575" s="316"/>
      <c r="KOX575" s="316"/>
      <c r="KOY575" s="471"/>
      <c r="KOZ575" s="472"/>
      <c r="KPA575" s="471"/>
      <c r="KPB575" s="473"/>
      <c r="KPC575" s="313"/>
      <c r="KPD575" s="535"/>
      <c r="KPE575" s="536"/>
      <c r="KPF575" s="537"/>
      <c r="KPG575" s="538"/>
      <c r="KPH575" s="539"/>
      <c r="KPI575" s="540"/>
      <c r="KPJ575" s="209"/>
      <c r="KPK575" s="541"/>
      <c r="KPL575" s="541"/>
      <c r="KPM575" s="482"/>
      <c r="KPN575" s="173"/>
      <c r="KPO575" s="173"/>
      <c r="KPP575" s="509"/>
      <c r="KPR575" s="148"/>
      <c r="KPS575" s="148"/>
      <c r="KPT575" s="149"/>
      <c r="KPU575" s="150"/>
      <c r="KPW575" s="152"/>
      <c r="KPX575" s="542"/>
      <c r="KPY575" s="154"/>
      <c r="KPZ575" s="175"/>
      <c r="KQB575" s="156"/>
      <c r="KQC575" s="287"/>
      <c r="KQD575" s="488"/>
      <c r="KQE575" s="489"/>
      <c r="KQF575" s="488"/>
      <c r="KQG575" s="300"/>
      <c r="KQH575" s="532"/>
      <c r="KQI575" s="533"/>
      <c r="KQJ575" s="534"/>
      <c r="KQK575" s="316"/>
      <c r="KQL575" s="316"/>
      <c r="KQM575" s="471"/>
      <c r="KQN575" s="472"/>
      <c r="KQO575" s="471"/>
      <c r="KQP575" s="473"/>
      <c r="KQQ575" s="313"/>
      <c r="KQR575" s="535"/>
      <c r="KQS575" s="536"/>
      <c r="KQT575" s="537"/>
      <c r="KQU575" s="538"/>
      <c r="KQV575" s="539"/>
      <c r="KQW575" s="540"/>
      <c r="KQX575" s="209"/>
      <c r="KQY575" s="541"/>
      <c r="KQZ575" s="541"/>
      <c r="KRA575" s="482"/>
      <c r="KRB575" s="173"/>
      <c r="KRC575" s="173"/>
      <c r="KRD575" s="509"/>
      <c r="KRF575" s="148"/>
      <c r="KRG575" s="148"/>
      <c r="KRH575" s="149"/>
      <c r="KRI575" s="150"/>
      <c r="KRK575" s="152"/>
      <c r="KRL575" s="542"/>
      <c r="KRM575" s="154"/>
      <c r="KRN575" s="175"/>
      <c r="KRP575" s="156"/>
      <c r="KRQ575" s="287"/>
      <c r="KRR575" s="488"/>
      <c r="KRS575" s="489"/>
      <c r="KRT575" s="488"/>
      <c r="KRU575" s="300"/>
      <c r="KRV575" s="532"/>
      <c r="KRW575" s="533"/>
      <c r="KRX575" s="534"/>
      <c r="KRY575" s="316"/>
      <c r="KRZ575" s="316"/>
      <c r="KSA575" s="471"/>
      <c r="KSB575" s="472"/>
      <c r="KSC575" s="471"/>
      <c r="KSD575" s="473"/>
      <c r="KSE575" s="313"/>
      <c r="KSF575" s="535"/>
      <c r="KSG575" s="536"/>
      <c r="KSH575" s="537"/>
      <c r="KSI575" s="538"/>
      <c r="KSJ575" s="539"/>
      <c r="KSK575" s="540"/>
      <c r="KSL575" s="209"/>
      <c r="KSM575" s="541"/>
      <c r="KSN575" s="541"/>
      <c r="KSO575" s="482"/>
      <c r="KSP575" s="173"/>
      <c r="KSQ575" s="173"/>
      <c r="KSR575" s="509"/>
      <c r="KST575" s="148"/>
      <c r="KSU575" s="148"/>
      <c r="KSV575" s="149"/>
      <c r="KSW575" s="150"/>
      <c r="KSY575" s="152"/>
      <c r="KSZ575" s="542"/>
      <c r="KTA575" s="154"/>
      <c r="KTB575" s="175"/>
      <c r="KTD575" s="156"/>
      <c r="KTE575" s="287"/>
      <c r="KTF575" s="488"/>
      <c r="KTG575" s="489"/>
      <c r="KTH575" s="488"/>
      <c r="KTI575" s="300"/>
      <c r="KTJ575" s="532"/>
      <c r="KTK575" s="533"/>
      <c r="KTL575" s="534"/>
      <c r="KTM575" s="316"/>
      <c r="KTN575" s="316"/>
      <c r="KTO575" s="471"/>
      <c r="KTP575" s="472"/>
      <c r="KTQ575" s="471"/>
      <c r="KTR575" s="473"/>
      <c r="KTS575" s="313"/>
      <c r="KTT575" s="535"/>
      <c r="KTU575" s="536"/>
      <c r="KTV575" s="537"/>
      <c r="KTW575" s="538"/>
      <c r="KTX575" s="539"/>
      <c r="KTY575" s="540"/>
      <c r="KTZ575" s="209"/>
      <c r="KUA575" s="541"/>
      <c r="KUB575" s="541"/>
      <c r="KUC575" s="482"/>
      <c r="KUD575" s="173"/>
      <c r="KUE575" s="173"/>
      <c r="KUF575" s="509"/>
      <c r="KUH575" s="148"/>
      <c r="KUI575" s="148"/>
      <c r="KUJ575" s="149"/>
      <c r="KUK575" s="150"/>
      <c r="KUM575" s="152"/>
      <c r="KUN575" s="542"/>
      <c r="KUO575" s="154"/>
      <c r="KUP575" s="175"/>
      <c r="KUR575" s="156"/>
      <c r="KUS575" s="287"/>
      <c r="KUT575" s="488"/>
      <c r="KUU575" s="489"/>
      <c r="KUV575" s="488"/>
      <c r="KUW575" s="300"/>
      <c r="KUX575" s="532"/>
      <c r="KUY575" s="533"/>
      <c r="KUZ575" s="534"/>
      <c r="KVA575" s="316"/>
      <c r="KVB575" s="316"/>
      <c r="KVC575" s="471"/>
      <c r="KVD575" s="472"/>
      <c r="KVE575" s="471"/>
      <c r="KVF575" s="473"/>
      <c r="KVG575" s="313"/>
      <c r="KVH575" s="535"/>
      <c r="KVI575" s="536"/>
      <c r="KVJ575" s="537"/>
      <c r="KVK575" s="538"/>
      <c r="KVL575" s="539"/>
      <c r="KVM575" s="540"/>
      <c r="KVN575" s="209"/>
      <c r="KVO575" s="541"/>
      <c r="KVP575" s="541"/>
      <c r="KVQ575" s="482"/>
      <c r="KVR575" s="173"/>
      <c r="KVS575" s="173"/>
      <c r="KVT575" s="509"/>
      <c r="KVV575" s="148"/>
      <c r="KVW575" s="148"/>
      <c r="KVX575" s="149"/>
      <c r="KVY575" s="150"/>
      <c r="KWA575" s="152"/>
      <c r="KWB575" s="542"/>
      <c r="KWC575" s="154"/>
      <c r="KWD575" s="175"/>
      <c r="KWF575" s="156"/>
      <c r="KWG575" s="287"/>
      <c r="KWH575" s="488"/>
      <c r="KWI575" s="489"/>
      <c r="KWJ575" s="488"/>
      <c r="KWK575" s="300"/>
      <c r="KWL575" s="532"/>
      <c r="KWM575" s="533"/>
      <c r="KWN575" s="534"/>
      <c r="KWO575" s="316"/>
      <c r="KWP575" s="316"/>
      <c r="KWQ575" s="471"/>
      <c r="KWR575" s="472"/>
      <c r="KWS575" s="471"/>
      <c r="KWT575" s="473"/>
      <c r="KWU575" s="313"/>
      <c r="KWV575" s="535"/>
      <c r="KWW575" s="536"/>
      <c r="KWX575" s="537"/>
      <c r="KWY575" s="538"/>
      <c r="KWZ575" s="539"/>
      <c r="KXA575" s="540"/>
      <c r="KXB575" s="209"/>
      <c r="KXC575" s="541"/>
      <c r="KXD575" s="541"/>
      <c r="KXE575" s="482"/>
      <c r="KXF575" s="173"/>
      <c r="KXG575" s="173"/>
      <c r="KXH575" s="509"/>
      <c r="KXJ575" s="148"/>
      <c r="KXK575" s="148"/>
      <c r="KXL575" s="149"/>
      <c r="KXM575" s="150"/>
      <c r="KXO575" s="152"/>
      <c r="KXP575" s="542"/>
      <c r="KXQ575" s="154"/>
      <c r="KXR575" s="175"/>
      <c r="KXT575" s="156"/>
      <c r="KXU575" s="287"/>
      <c r="KXV575" s="488"/>
      <c r="KXW575" s="489"/>
      <c r="KXX575" s="488"/>
      <c r="KXY575" s="300"/>
      <c r="KXZ575" s="532"/>
      <c r="KYA575" s="533"/>
      <c r="KYB575" s="534"/>
      <c r="KYC575" s="316"/>
      <c r="KYD575" s="316"/>
      <c r="KYE575" s="471"/>
      <c r="KYF575" s="472"/>
      <c r="KYG575" s="471"/>
      <c r="KYH575" s="473"/>
      <c r="KYI575" s="313"/>
      <c r="KYJ575" s="535"/>
      <c r="KYK575" s="536"/>
      <c r="KYL575" s="537"/>
      <c r="KYM575" s="538"/>
      <c r="KYN575" s="539"/>
      <c r="KYO575" s="540"/>
      <c r="KYP575" s="209"/>
      <c r="KYQ575" s="541"/>
      <c r="KYR575" s="541"/>
      <c r="KYS575" s="482"/>
      <c r="KYT575" s="173"/>
      <c r="KYU575" s="173"/>
      <c r="KYV575" s="509"/>
      <c r="KYX575" s="148"/>
      <c r="KYY575" s="148"/>
      <c r="KYZ575" s="149"/>
      <c r="KZA575" s="150"/>
      <c r="KZC575" s="152"/>
      <c r="KZD575" s="542"/>
      <c r="KZE575" s="154"/>
      <c r="KZF575" s="175"/>
      <c r="KZH575" s="156"/>
      <c r="KZI575" s="287"/>
      <c r="KZJ575" s="488"/>
      <c r="KZK575" s="489"/>
      <c r="KZL575" s="488"/>
      <c r="KZM575" s="300"/>
      <c r="KZN575" s="532"/>
      <c r="KZO575" s="533"/>
      <c r="KZP575" s="534"/>
      <c r="KZQ575" s="316"/>
      <c r="KZR575" s="316"/>
      <c r="KZS575" s="471"/>
      <c r="KZT575" s="472"/>
      <c r="KZU575" s="471"/>
      <c r="KZV575" s="473"/>
      <c r="KZW575" s="313"/>
      <c r="KZX575" s="535"/>
      <c r="KZY575" s="536"/>
      <c r="KZZ575" s="537"/>
      <c r="LAA575" s="538"/>
      <c r="LAB575" s="539"/>
      <c r="LAC575" s="540"/>
      <c r="LAD575" s="209"/>
      <c r="LAE575" s="541"/>
      <c r="LAF575" s="541"/>
      <c r="LAG575" s="482"/>
      <c r="LAH575" s="173"/>
      <c r="LAI575" s="173"/>
      <c r="LAJ575" s="509"/>
      <c r="LAL575" s="148"/>
      <c r="LAM575" s="148"/>
      <c r="LAN575" s="149"/>
      <c r="LAO575" s="150"/>
      <c r="LAQ575" s="152"/>
      <c r="LAR575" s="542"/>
      <c r="LAS575" s="154"/>
      <c r="LAT575" s="175"/>
      <c r="LAV575" s="156"/>
      <c r="LAW575" s="287"/>
      <c r="LAX575" s="488"/>
      <c r="LAY575" s="489"/>
      <c r="LAZ575" s="488"/>
      <c r="LBA575" s="300"/>
      <c r="LBB575" s="532"/>
      <c r="LBC575" s="533"/>
      <c r="LBD575" s="534"/>
      <c r="LBE575" s="316"/>
      <c r="LBF575" s="316"/>
      <c r="LBG575" s="471"/>
      <c r="LBH575" s="472"/>
      <c r="LBI575" s="471"/>
      <c r="LBJ575" s="473"/>
      <c r="LBK575" s="313"/>
      <c r="LBL575" s="535"/>
      <c r="LBM575" s="536"/>
      <c r="LBN575" s="537"/>
      <c r="LBO575" s="538"/>
      <c r="LBP575" s="539"/>
      <c r="LBQ575" s="540"/>
      <c r="LBR575" s="209"/>
      <c r="LBS575" s="541"/>
      <c r="LBT575" s="541"/>
      <c r="LBU575" s="482"/>
      <c r="LBV575" s="173"/>
      <c r="LBW575" s="173"/>
      <c r="LBX575" s="509"/>
      <c r="LBZ575" s="148"/>
      <c r="LCA575" s="148"/>
      <c r="LCB575" s="149"/>
      <c r="LCC575" s="150"/>
      <c r="LCE575" s="152"/>
      <c r="LCF575" s="542"/>
      <c r="LCG575" s="154"/>
      <c r="LCH575" s="175"/>
      <c r="LCJ575" s="156"/>
      <c r="LCK575" s="287"/>
      <c r="LCL575" s="488"/>
      <c r="LCM575" s="489"/>
      <c r="LCN575" s="488"/>
      <c r="LCO575" s="300"/>
      <c r="LCP575" s="532"/>
      <c r="LCQ575" s="533"/>
      <c r="LCR575" s="534"/>
      <c r="LCS575" s="316"/>
      <c r="LCT575" s="316"/>
      <c r="LCU575" s="471"/>
      <c r="LCV575" s="472"/>
      <c r="LCW575" s="471"/>
      <c r="LCX575" s="473"/>
      <c r="LCY575" s="313"/>
      <c r="LCZ575" s="535"/>
      <c r="LDA575" s="536"/>
      <c r="LDB575" s="537"/>
      <c r="LDC575" s="538"/>
      <c r="LDD575" s="539"/>
      <c r="LDE575" s="540"/>
      <c r="LDF575" s="209"/>
      <c r="LDG575" s="541"/>
      <c r="LDH575" s="541"/>
      <c r="LDI575" s="482"/>
      <c r="LDJ575" s="173"/>
      <c r="LDK575" s="173"/>
      <c r="LDL575" s="509"/>
      <c r="LDN575" s="148"/>
      <c r="LDO575" s="148"/>
      <c r="LDP575" s="149"/>
      <c r="LDQ575" s="150"/>
      <c r="LDS575" s="152"/>
      <c r="LDT575" s="542"/>
      <c r="LDU575" s="154"/>
      <c r="LDV575" s="175"/>
      <c r="LDX575" s="156"/>
      <c r="LDY575" s="287"/>
      <c r="LDZ575" s="488"/>
      <c r="LEA575" s="489"/>
      <c r="LEB575" s="488"/>
      <c r="LEC575" s="300"/>
      <c r="LED575" s="532"/>
      <c r="LEE575" s="533"/>
      <c r="LEF575" s="534"/>
      <c r="LEG575" s="316"/>
      <c r="LEH575" s="316"/>
      <c r="LEI575" s="471"/>
      <c r="LEJ575" s="472"/>
      <c r="LEK575" s="471"/>
      <c r="LEL575" s="473"/>
      <c r="LEM575" s="313"/>
      <c r="LEN575" s="535"/>
      <c r="LEO575" s="536"/>
      <c r="LEP575" s="537"/>
      <c r="LEQ575" s="538"/>
      <c r="LER575" s="539"/>
      <c r="LES575" s="540"/>
      <c r="LET575" s="209"/>
      <c r="LEU575" s="541"/>
      <c r="LEV575" s="541"/>
      <c r="LEW575" s="482"/>
      <c r="LEX575" s="173"/>
      <c r="LEY575" s="173"/>
      <c r="LEZ575" s="509"/>
      <c r="LFB575" s="148"/>
      <c r="LFC575" s="148"/>
      <c r="LFD575" s="149"/>
      <c r="LFE575" s="150"/>
      <c r="LFG575" s="152"/>
      <c r="LFH575" s="542"/>
      <c r="LFI575" s="154"/>
      <c r="LFJ575" s="175"/>
      <c r="LFL575" s="156"/>
      <c r="LFM575" s="287"/>
      <c r="LFN575" s="488"/>
      <c r="LFO575" s="489"/>
      <c r="LFP575" s="488"/>
      <c r="LFQ575" s="300"/>
      <c r="LFR575" s="532"/>
      <c r="LFS575" s="533"/>
      <c r="LFT575" s="534"/>
      <c r="LFU575" s="316"/>
      <c r="LFV575" s="316"/>
      <c r="LFW575" s="471"/>
      <c r="LFX575" s="472"/>
      <c r="LFY575" s="471"/>
      <c r="LFZ575" s="473"/>
      <c r="LGA575" s="313"/>
      <c r="LGB575" s="535"/>
      <c r="LGC575" s="536"/>
      <c r="LGD575" s="537"/>
      <c r="LGE575" s="538"/>
      <c r="LGF575" s="539"/>
      <c r="LGG575" s="540"/>
      <c r="LGH575" s="209"/>
      <c r="LGI575" s="541"/>
      <c r="LGJ575" s="541"/>
      <c r="LGK575" s="482"/>
      <c r="LGL575" s="173"/>
      <c r="LGM575" s="173"/>
      <c r="LGN575" s="509"/>
      <c r="LGP575" s="148"/>
      <c r="LGQ575" s="148"/>
      <c r="LGR575" s="149"/>
      <c r="LGS575" s="150"/>
      <c r="LGU575" s="152"/>
      <c r="LGV575" s="542"/>
      <c r="LGW575" s="154"/>
      <c r="LGX575" s="175"/>
      <c r="LGZ575" s="156"/>
      <c r="LHA575" s="287"/>
      <c r="LHB575" s="488"/>
      <c r="LHC575" s="489"/>
      <c r="LHD575" s="488"/>
      <c r="LHE575" s="300"/>
      <c r="LHF575" s="532"/>
      <c r="LHG575" s="533"/>
      <c r="LHH575" s="534"/>
      <c r="LHI575" s="316"/>
      <c r="LHJ575" s="316"/>
      <c r="LHK575" s="471"/>
      <c r="LHL575" s="472"/>
      <c r="LHM575" s="471"/>
      <c r="LHN575" s="473"/>
      <c r="LHO575" s="313"/>
      <c r="LHP575" s="535"/>
      <c r="LHQ575" s="536"/>
      <c r="LHR575" s="537"/>
      <c r="LHS575" s="538"/>
      <c r="LHT575" s="539"/>
      <c r="LHU575" s="540"/>
      <c r="LHV575" s="209"/>
      <c r="LHW575" s="541"/>
      <c r="LHX575" s="541"/>
      <c r="LHY575" s="482"/>
      <c r="LHZ575" s="173"/>
      <c r="LIA575" s="173"/>
      <c r="LIB575" s="509"/>
      <c r="LID575" s="148"/>
      <c r="LIE575" s="148"/>
      <c r="LIF575" s="149"/>
      <c r="LIG575" s="150"/>
      <c r="LII575" s="152"/>
      <c r="LIJ575" s="542"/>
      <c r="LIK575" s="154"/>
      <c r="LIL575" s="175"/>
      <c r="LIN575" s="156"/>
      <c r="LIO575" s="287"/>
      <c r="LIP575" s="488"/>
      <c r="LIQ575" s="489"/>
      <c r="LIR575" s="488"/>
      <c r="LIS575" s="300"/>
      <c r="LIT575" s="532"/>
      <c r="LIU575" s="533"/>
      <c r="LIV575" s="534"/>
      <c r="LIW575" s="316"/>
      <c r="LIX575" s="316"/>
      <c r="LIY575" s="471"/>
      <c r="LIZ575" s="472"/>
      <c r="LJA575" s="471"/>
      <c r="LJB575" s="473"/>
      <c r="LJC575" s="313"/>
      <c r="LJD575" s="535"/>
      <c r="LJE575" s="536"/>
      <c r="LJF575" s="537"/>
      <c r="LJG575" s="538"/>
      <c r="LJH575" s="539"/>
      <c r="LJI575" s="540"/>
      <c r="LJJ575" s="209"/>
      <c r="LJK575" s="541"/>
      <c r="LJL575" s="541"/>
      <c r="LJM575" s="482"/>
      <c r="LJN575" s="173"/>
      <c r="LJO575" s="173"/>
      <c r="LJP575" s="509"/>
      <c r="LJR575" s="148"/>
      <c r="LJS575" s="148"/>
      <c r="LJT575" s="149"/>
      <c r="LJU575" s="150"/>
      <c r="LJW575" s="152"/>
      <c r="LJX575" s="542"/>
      <c r="LJY575" s="154"/>
      <c r="LJZ575" s="175"/>
      <c r="LKB575" s="156"/>
      <c r="LKC575" s="287"/>
      <c r="LKD575" s="488"/>
      <c r="LKE575" s="489"/>
      <c r="LKF575" s="488"/>
      <c r="LKG575" s="300"/>
      <c r="LKH575" s="532"/>
      <c r="LKI575" s="533"/>
      <c r="LKJ575" s="534"/>
      <c r="LKK575" s="316"/>
      <c r="LKL575" s="316"/>
      <c r="LKM575" s="471"/>
      <c r="LKN575" s="472"/>
      <c r="LKO575" s="471"/>
      <c r="LKP575" s="473"/>
      <c r="LKQ575" s="313"/>
      <c r="LKR575" s="535"/>
      <c r="LKS575" s="536"/>
      <c r="LKT575" s="537"/>
      <c r="LKU575" s="538"/>
      <c r="LKV575" s="539"/>
      <c r="LKW575" s="540"/>
      <c r="LKX575" s="209"/>
      <c r="LKY575" s="541"/>
      <c r="LKZ575" s="541"/>
      <c r="LLA575" s="482"/>
      <c r="LLB575" s="173"/>
      <c r="LLC575" s="173"/>
      <c r="LLD575" s="509"/>
      <c r="LLF575" s="148"/>
      <c r="LLG575" s="148"/>
      <c r="LLH575" s="149"/>
      <c r="LLI575" s="150"/>
      <c r="LLK575" s="152"/>
      <c r="LLL575" s="542"/>
      <c r="LLM575" s="154"/>
      <c r="LLN575" s="175"/>
      <c r="LLP575" s="156"/>
      <c r="LLQ575" s="287"/>
      <c r="LLR575" s="488"/>
      <c r="LLS575" s="489"/>
      <c r="LLT575" s="488"/>
      <c r="LLU575" s="300"/>
      <c r="LLV575" s="532"/>
      <c r="LLW575" s="533"/>
      <c r="LLX575" s="534"/>
      <c r="LLY575" s="316"/>
      <c r="LLZ575" s="316"/>
      <c r="LMA575" s="471"/>
      <c r="LMB575" s="472"/>
      <c r="LMC575" s="471"/>
      <c r="LMD575" s="473"/>
      <c r="LME575" s="313"/>
      <c r="LMF575" s="535"/>
      <c r="LMG575" s="536"/>
      <c r="LMH575" s="537"/>
      <c r="LMI575" s="538"/>
      <c r="LMJ575" s="539"/>
      <c r="LMK575" s="540"/>
      <c r="LML575" s="209"/>
      <c r="LMM575" s="541"/>
      <c r="LMN575" s="541"/>
      <c r="LMO575" s="482"/>
      <c r="LMP575" s="173"/>
      <c r="LMQ575" s="173"/>
      <c r="LMR575" s="509"/>
      <c r="LMT575" s="148"/>
      <c r="LMU575" s="148"/>
      <c r="LMV575" s="149"/>
      <c r="LMW575" s="150"/>
      <c r="LMY575" s="152"/>
      <c r="LMZ575" s="542"/>
      <c r="LNA575" s="154"/>
      <c r="LNB575" s="175"/>
      <c r="LND575" s="156"/>
      <c r="LNE575" s="287"/>
      <c r="LNF575" s="488"/>
      <c r="LNG575" s="489"/>
      <c r="LNH575" s="488"/>
      <c r="LNI575" s="300"/>
      <c r="LNJ575" s="532"/>
      <c r="LNK575" s="533"/>
      <c r="LNL575" s="534"/>
      <c r="LNM575" s="316"/>
      <c r="LNN575" s="316"/>
      <c r="LNO575" s="471"/>
      <c r="LNP575" s="472"/>
      <c r="LNQ575" s="471"/>
      <c r="LNR575" s="473"/>
      <c r="LNS575" s="313"/>
      <c r="LNT575" s="535"/>
      <c r="LNU575" s="536"/>
      <c r="LNV575" s="537"/>
      <c r="LNW575" s="538"/>
      <c r="LNX575" s="539"/>
      <c r="LNY575" s="540"/>
      <c r="LNZ575" s="209"/>
      <c r="LOA575" s="541"/>
      <c r="LOB575" s="541"/>
      <c r="LOC575" s="482"/>
      <c r="LOD575" s="173"/>
      <c r="LOE575" s="173"/>
      <c r="LOF575" s="509"/>
      <c r="LOH575" s="148"/>
      <c r="LOI575" s="148"/>
      <c r="LOJ575" s="149"/>
      <c r="LOK575" s="150"/>
      <c r="LOM575" s="152"/>
      <c r="LON575" s="542"/>
      <c r="LOO575" s="154"/>
      <c r="LOP575" s="175"/>
      <c r="LOR575" s="156"/>
      <c r="LOS575" s="287"/>
      <c r="LOT575" s="488"/>
      <c r="LOU575" s="489"/>
      <c r="LOV575" s="488"/>
      <c r="LOW575" s="300"/>
      <c r="LOX575" s="532"/>
      <c r="LOY575" s="533"/>
      <c r="LOZ575" s="534"/>
      <c r="LPA575" s="316"/>
      <c r="LPB575" s="316"/>
      <c r="LPC575" s="471"/>
      <c r="LPD575" s="472"/>
      <c r="LPE575" s="471"/>
      <c r="LPF575" s="473"/>
      <c r="LPG575" s="313"/>
      <c r="LPH575" s="535"/>
      <c r="LPI575" s="536"/>
      <c r="LPJ575" s="537"/>
      <c r="LPK575" s="538"/>
      <c r="LPL575" s="539"/>
      <c r="LPM575" s="540"/>
      <c r="LPN575" s="209"/>
      <c r="LPO575" s="541"/>
      <c r="LPP575" s="541"/>
      <c r="LPQ575" s="482"/>
      <c r="LPR575" s="173"/>
      <c r="LPS575" s="173"/>
      <c r="LPT575" s="509"/>
      <c r="LPV575" s="148"/>
      <c r="LPW575" s="148"/>
      <c r="LPX575" s="149"/>
      <c r="LPY575" s="150"/>
      <c r="LQA575" s="152"/>
      <c r="LQB575" s="542"/>
      <c r="LQC575" s="154"/>
      <c r="LQD575" s="175"/>
      <c r="LQF575" s="156"/>
      <c r="LQG575" s="287"/>
      <c r="LQH575" s="488"/>
      <c r="LQI575" s="489"/>
      <c r="LQJ575" s="488"/>
      <c r="LQK575" s="300"/>
      <c r="LQL575" s="532"/>
      <c r="LQM575" s="533"/>
      <c r="LQN575" s="534"/>
      <c r="LQO575" s="316"/>
      <c r="LQP575" s="316"/>
      <c r="LQQ575" s="471"/>
      <c r="LQR575" s="472"/>
      <c r="LQS575" s="471"/>
      <c r="LQT575" s="473"/>
      <c r="LQU575" s="313"/>
      <c r="LQV575" s="535"/>
      <c r="LQW575" s="536"/>
      <c r="LQX575" s="537"/>
      <c r="LQY575" s="538"/>
      <c r="LQZ575" s="539"/>
      <c r="LRA575" s="540"/>
      <c r="LRB575" s="209"/>
      <c r="LRC575" s="541"/>
      <c r="LRD575" s="541"/>
      <c r="LRE575" s="482"/>
      <c r="LRF575" s="173"/>
      <c r="LRG575" s="173"/>
      <c r="LRH575" s="509"/>
      <c r="LRJ575" s="148"/>
      <c r="LRK575" s="148"/>
      <c r="LRL575" s="149"/>
      <c r="LRM575" s="150"/>
      <c r="LRO575" s="152"/>
      <c r="LRP575" s="542"/>
      <c r="LRQ575" s="154"/>
      <c r="LRR575" s="175"/>
      <c r="LRT575" s="156"/>
      <c r="LRU575" s="287"/>
      <c r="LRV575" s="488"/>
      <c r="LRW575" s="489"/>
      <c r="LRX575" s="488"/>
      <c r="LRY575" s="300"/>
      <c r="LRZ575" s="532"/>
      <c r="LSA575" s="533"/>
      <c r="LSB575" s="534"/>
      <c r="LSC575" s="316"/>
      <c r="LSD575" s="316"/>
      <c r="LSE575" s="471"/>
      <c r="LSF575" s="472"/>
      <c r="LSG575" s="471"/>
      <c r="LSH575" s="473"/>
      <c r="LSI575" s="313"/>
      <c r="LSJ575" s="535"/>
      <c r="LSK575" s="536"/>
      <c r="LSL575" s="537"/>
      <c r="LSM575" s="538"/>
      <c r="LSN575" s="539"/>
      <c r="LSO575" s="540"/>
      <c r="LSP575" s="209"/>
      <c r="LSQ575" s="541"/>
      <c r="LSR575" s="541"/>
      <c r="LSS575" s="482"/>
      <c r="LST575" s="173"/>
      <c r="LSU575" s="173"/>
      <c r="LSV575" s="509"/>
      <c r="LSX575" s="148"/>
      <c r="LSY575" s="148"/>
      <c r="LSZ575" s="149"/>
      <c r="LTA575" s="150"/>
      <c r="LTC575" s="152"/>
      <c r="LTD575" s="542"/>
      <c r="LTE575" s="154"/>
      <c r="LTF575" s="175"/>
      <c r="LTH575" s="156"/>
      <c r="LTI575" s="287"/>
      <c r="LTJ575" s="488"/>
      <c r="LTK575" s="489"/>
      <c r="LTL575" s="488"/>
      <c r="LTM575" s="300"/>
      <c r="LTN575" s="532"/>
      <c r="LTO575" s="533"/>
      <c r="LTP575" s="534"/>
      <c r="LTQ575" s="316"/>
      <c r="LTR575" s="316"/>
      <c r="LTS575" s="471"/>
      <c r="LTT575" s="472"/>
      <c r="LTU575" s="471"/>
      <c r="LTV575" s="473"/>
      <c r="LTW575" s="313"/>
      <c r="LTX575" s="535"/>
      <c r="LTY575" s="536"/>
      <c r="LTZ575" s="537"/>
      <c r="LUA575" s="538"/>
      <c r="LUB575" s="539"/>
      <c r="LUC575" s="540"/>
      <c r="LUD575" s="209"/>
      <c r="LUE575" s="541"/>
      <c r="LUF575" s="541"/>
      <c r="LUG575" s="482"/>
      <c r="LUH575" s="173"/>
      <c r="LUI575" s="173"/>
      <c r="LUJ575" s="509"/>
      <c r="LUL575" s="148"/>
      <c r="LUM575" s="148"/>
      <c r="LUN575" s="149"/>
      <c r="LUO575" s="150"/>
      <c r="LUQ575" s="152"/>
      <c r="LUR575" s="542"/>
      <c r="LUS575" s="154"/>
      <c r="LUT575" s="175"/>
      <c r="LUV575" s="156"/>
      <c r="LUW575" s="287"/>
      <c r="LUX575" s="488"/>
      <c r="LUY575" s="489"/>
      <c r="LUZ575" s="488"/>
      <c r="LVA575" s="300"/>
      <c r="LVB575" s="532"/>
      <c r="LVC575" s="533"/>
      <c r="LVD575" s="534"/>
      <c r="LVE575" s="316"/>
      <c r="LVF575" s="316"/>
      <c r="LVG575" s="471"/>
      <c r="LVH575" s="472"/>
      <c r="LVI575" s="471"/>
      <c r="LVJ575" s="473"/>
      <c r="LVK575" s="313"/>
      <c r="LVL575" s="535"/>
      <c r="LVM575" s="536"/>
      <c r="LVN575" s="537"/>
      <c r="LVO575" s="538"/>
      <c r="LVP575" s="539"/>
      <c r="LVQ575" s="540"/>
      <c r="LVR575" s="209"/>
      <c r="LVS575" s="541"/>
      <c r="LVT575" s="541"/>
      <c r="LVU575" s="482"/>
      <c r="LVV575" s="173"/>
      <c r="LVW575" s="173"/>
      <c r="LVX575" s="509"/>
      <c r="LVZ575" s="148"/>
      <c r="LWA575" s="148"/>
      <c r="LWB575" s="149"/>
      <c r="LWC575" s="150"/>
      <c r="LWE575" s="152"/>
      <c r="LWF575" s="542"/>
      <c r="LWG575" s="154"/>
      <c r="LWH575" s="175"/>
      <c r="LWJ575" s="156"/>
      <c r="LWK575" s="287"/>
      <c r="LWL575" s="488"/>
      <c r="LWM575" s="489"/>
      <c r="LWN575" s="488"/>
      <c r="LWO575" s="300"/>
      <c r="LWP575" s="532"/>
      <c r="LWQ575" s="533"/>
      <c r="LWR575" s="534"/>
      <c r="LWS575" s="316"/>
      <c r="LWT575" s="316"/>
      <c r="LWU575" s="471"/>
      <c r="LWV575" s="472"/>
      <c r="LWW575" s="471"/>
      <c r="LWX575" s="473"/>
      <c r="LWY575" s="313"/>
      <c r="LWZ575" s="535"/>
      <c r="LXA575" s="536"/>
      <c r="LXB575" s="537"/>
      <c r="LXC575" s="538"/>
      <c r="LXD575" s="539"/>
      <c r="LXE575" s="540"/>
      <c r="LXF575" s="209"/>
      <c r="LXG575" s="541"/>
      <c r="LXH575" s="541"/>
      <c r="LXI575" s="482"/>
      <c r="LXJ575" s="173"/>
      <c r="LXK575" s="173"/>
      <c r="LXL575" s="509"/>
      <c r="LXN575" s="148"/>
      <c r="LXO575" s="148"/>
      <c r="LXP575" s="149"/>
      <c r="LXQ575" s="150"/>
      <c r="LXS575" s="152"/>
      <c r="LXT575" s="542"/>
      <c r="LXU575" s="154"/>
      <c r="LXV575" s="175"/>
      <c r="LXX575" s="156"/>
      <c r="LXY575" s="287"/>
      <c r="LXZ575" s="488"/>
      <c r="LYA575" s="489"/>
      <c r="LYB575" s="488"/>
      <c r="LYC575" s="300"/>
      <c r="LYD575" s="532"/>
      <c r="LYE575" s="533"/>
      <c r="LYF575" s="534"/>
      <c r="LYG575" s="316"/>
      <c r="LYH575" s="316"/>
      <c r="LYI575" s="471"/>
      <c r="LYJ575" s="472"/>
      <c r="LYK575" s="471"/>
      <c r="LYL575" s="473"/>
      <c r="LYM575" s="313"/>
      <c r="LYN575" s="535"/>
      <c r="LYO575" s="536"/>
      <c r="LYP575" s="537"/>
      <c r="LYQ575" s="538"/>
      <c r="LYR575" s="539"/>
      <c r="LYS575" s="540"/>
      <c r="LYT575" s="209"/>
      <c r="LYU575" s="541"/>
      <c r="LYV575" s="541"/>
      <c r="LYW575" s="482"/>
      <c r="LYX575" s="173"/>
      <c r="LYY575" s="173"/>
      <c r="LYZ575" s="509"/>
      <c r="LZB575" s="148"/>
      <c r="LZC575" s="148"/>
      <c r="LZD575" s="149"/>
      <c r="LZE575" s="150"/>
      <c r="LZG575" s="152"/>
      <c r="LZH575" s="542"/>
      <c r="LZI575" s="154"/>
      <c r="LZJ575" s="175"/>
      <c r="LZL575" s="156"/>
      <c r="LZM575" s="287"/>
      <c r="LZN575" s="488"/>
      <c r="LZO575" s="489"/>
      <c r="LZP575" s="488"/>
      <c r="LZQ575" s="300"/>
      <c r="LZR575" s="532"/>
      <c r="LZS575" s="533"/>
      <c r="LZT575" s="534"/>
      <c r="LZU575" s="316"/>
      <c r="LZV575" s="316"/>
      <c r="LZW575" s="471"/>
      <c r="LZX575" s="472"/>
      <c r="LZY575" s="471"/>
      <c r="LZZ575" s="473"/>
      <c r="MAA575" s="313"/>
      <c r="MAB575" s="535"/>
      <c r="MAC575" s="536"/>
      <c r="MAD575" s="537"/>
      <c r="MAE575" s="538"/>
      <c r="MAF575" s="539"/>
      <c r="MAG575" s="540"/>
      <c r="MAH575" s="209"/>
      <c r="MAI575" s="541"/>
      <c r="MAJ575" s="541"/>
      <c r="MAK575" s="482"/>
      <c r="MAL575" s="173"/>
      <c r="MAM575" s="173"/>
      <c r="MAN575" s="509"/>
      <c r="MAP575" s="148"/>
      <c r="MAQ575" s="148"/>
      <c r="MAR575" s="149"/>
      <c r="MAS575" s="150"/>
      <c r="MAU575" s="152"/>
      <c r="MAV575" s="542"/>
      <c r="MAW575" s="154"/>
      <c r="MAX575" s="175"/>
      <c r="MAZ575" s="156"/>
      <c r="MBA575" s="287"/>
      <c r="MBB575" s="488"/>
      <c r="MBC575" s="489"/>
      <c r="MBD575" s="488"/>
      <c r="MBE575" s="300"/>
      <c r="MBF575" s="532"/>
      <c r="MBG575" s="533"/>
      <c r="MBH575" s="534"/>
      <c r="MBI575" s="316"/>
      <c r="MBJ575" s="316"/>
      <c r="MBK575" s="471"/>
      <c r="MBL575" s="472"/>
      <c r="MBM575" s="471"/>
      <c r="MBN575" s="473"/>
      <c r="MBO575" s="313"/>
      <c r="MBP575" s="535"/>
      <c r="MBQ575" s="536"/>
      <c r="MBR575" s="537"/>
      <c r="MBS575" s="538"/>
      <c r="MBT575" s="539"/>
      <c r="MBU575" s="540"/>
      <c r="MBV575" s="209"/>
      <c r="MBW575" s="541"/>
      <c r="MBX575" s="541"/>
      <c r="MBY575" s="482"/>
      <c r="MBZ575" s="173"/>
      <c r="MCA575" s="173"/>
      <c r="MCB575" s="509"/>
      <c r="MCD575" s="148"/>
      <c r="MCE575" s="148"/>
      <c r="MCF575" s="149"/>
      <c r="MCG575" s="150"/>
      <c r="MCI575" s="152"/>
      <c r="MCJ575" s="542"/>
      <c r="MCK575" s="154"/>
      <c r="MCL575" s="175"/>
      <c r="MCN575" s="156"/>
      <c r="MCO575" s="287"/>
      <c r="MCP575" s="488"/>
      <c r="MCQ575" s="489"/>
      <c r="MCR575" s="488"/>
      <c r="MCS575" s="300"/>
      <c r="MCT575" s="532"/>
      <c r="MCU575" s="533"/>
      <c r="MCV575" s="534"/>
      <c r="MCW575" s="316"/>
      <c r="MCX575" s="316"/>
      <c r="MCY575" s="471"/>
      <c r="MCZ575" s="472"/>
      <c r="MDA575" s="471"/>
      <c r="MDB575" s="473"/>
      <c r="MDC575" s="313"/>
      <c r="MDD575" s="535"/>
      <c r="MDE575" s="536"/>
      <c r="MDF575" s="537"/>
      <c r="MDG575" s="538"/>
      <c r="MDH575" s="539"/>
      <c r="MDI575" s="540"/>
      <c r="MDJ575" s="209"/>
      <c r="MDK575" s="541"/>
      <c r="MDL575" s="541"/>
      <c r="MDM575" s="482"/>
      <c r="MDN575" s="173"/>
      <c r="MDO575" s="173"/>
      <c r="MDP575" s="509"/>
      <c r="MDR575" s="148"/>
      <c r="MDS575" s="148"/>
      <c r="MDT575" s="149"/>
      <c r="MDU575" s="150"/>
      <c r="MDW575" s="152"/>
      <c r="MDX575" s="542"/>
      <c r="MDY575" s="154"/>
      <c r="MDZ575" s="175"/>
      <c r="MEB575" s="156"/>
      <c r="MEC575" s="287"/>
      <c r="MED575" s="488"/>
      <c r="MEE575" s="489"/>
      <c r="MEF575" s="488"/>
      <c r="MEG575" s="300"/>
      <c r="MEH575" s="532"/>
      <c r="MEI575" s="533"/>
      <c r="MEJ575" s="534"/>
      <c r="MEK575" s="316"/>
      <c r="MEL575" s="316"/>
      <c r="MEM575" s="471"/>
      <c r="MEN575" s="472"/>
      <c r="MEO575" s="471"/>
      <c r="MEP575" s="473"/>
      <c r="MEQ575" s="313"/>
      <c r="MER575" s="535"/>
      <c r="MES575" s="536"/>
      <c r="MET575" s="537"/>
      <c r="MEU575" s="538"/>
      <c r="MEV575" s="539"/>
      <c r="MEW575" s="540"/>
      <c r="MEX575" s="209"/>
      <c r="MEY575" s="541"/>
      <c r="MEZ575" s="541"/>
      <c r="MFA575" s="482"/>
      <c r="MFB575" s="173"/>
      <c r="MFC575" s="173"/>
      <c r="MFD575" s="509"/>
      <c r="MFF575" s="148"/>
      <c r="MFG575" s="148"/>
      <c r="MFH575" s="149"/>
      <c r="MFI575" s="150"/>
      <c r="MFK575" s="152"/>
      <c r="MFL575" s="542"/>
      <c r="MFM575" s="154"/>
      <c r="MFN575" s="175"/>
      <c r="MFP575" s="156"/>
      <c r="MFQ575" s="287"/>
      <c r="MFR575" s="488"/>
      <c r="MFS575" s="489"/>
      <c r="MFT575" s="488"/>
      <c r="MFU575" s="300"/>
      <c r="MFV575" s="532"/>
      <c r="MFW575" s="533"/>
      <c r="MFX575" s="534"/>
      <c r="MFY575" s="316"/>
      <c r="MFZ575" s="316"/>
      <c r="MGA575" s="471"/>
      <c r="MGB575" s="472"/>
      <c r="MGC575" s="471"/>
      <c r="MGD575" s="473"/>
      <c r="MGE575" s="313"/>
      <c r="MGF575" s="535"/>
      <c r="MGG575" s="536"/>
      <c r="MGH575" s="537"/>
      <c r="MGI575" s="538"/>
      <c r="MGJ575" s="539"/>
      <c r="MGK575" s="540"/>
      <c r="MGL575" s="209"/>
      <c r="MGM575" s="541"/>
      <c r="MGN575" s="541"/>
      <c r="MGO575" s="482"/>
      <c r="MGP575" s="173"/>
      <c r="MGQ575" s="173"/>
      <c r="MGR575" s="509"/>
      <c r="MGT575" s="148"/>
      <c r="MGU575" s="148"/>
      <c r="MGV575" s="149"/>
      <c r="MGW575" s="150"/>
      <c r="MGY575" s="152"/>
      <c r="MGZ575" s="542"/>
      <c r="MHA575" s="154"/>
      <c r="MHB575" s="175"/>
      <c r="MHD575" s="156"/>
      <c r="MHE575" s="287"/>
      <c r="MHF575" s="488"/>
      <c r="MHG575" s="489"/>
      <c r="MHH575" s="488"/>
      <c r="MHI575" s="300"/>
      <c r="MHJ575" s="532"/>
      <c r="MHK575" s="533"/>
      <c r="MHL575" s="534"/>
      <c r="MHM575" s="316"/>
      <c r="MHN575" s="316"/>
      <c r="MHO575" s="471"/>
      <c r="MHP575" s="472"/>
      <c r="MHQ575" s="471"/>
      <c r="MHR575" s="473"/>
      <c r="MHS575" s="313"/>
      <c r="MHT575" s="535"/>
      <c r="MHU575" s="536"/>
      <c r="MHV575" s="537"/>
      <c r="MHW575" s="538"/>
      <c r="MHX575" s="539"/>
      <c r="MHY575" s="540"/>
      <c r="MHZ575" s="209"/>
      <c r="MIA575" s="541"/>
      <c r="MIB575" s="541"/>
      <c r="MIC575" s="482"/>
      <c r="MID575" s="173"/>
      <c r="MIE575" s="173"/>
      <c r="MIF575" s="509"/>
      <c r="MIH575" s="148"/>
      <c r="MII575" s="148"/>
      <c r="MIJ575" s="149"/>
      <c r="MIK575" s="150"/>
      <c r="MIM575" s="152"/>
      <c r="MIN575" s="542"/>
      <c r="MIO575" s="154"/>
      <c r="MIP575" s="175"/>
      <c r="MIR575" s="156"/>
      <c r="MIS575" s="287"/>
      <c r="MIT575" s="488"/>
      <c r="MIU575" s="489"/>
      <c r="MIV575" s="488"/>
      <c r="MIW575" s="300"/>
      <c r="MIX575" s="532"/>
      <c r="MIY575" s="533"/>
      <c r="MIZ575" s="534"/>
      <c r="MJA575" s="316"/>
      <c r="MJB575" s="316"/>
      <c r="MJC575" s="471"/>
      <c r="MJD575" s="472"/>
      <c r="MJE575" s="471"/>
      <c r="MJF575" s="473"/>
      <c r="MJG575" s="313"/>
      <c r="MJH575" s="535"/>
      <c r="MJI575" s="536"/>
      <c r="MJJ575" s="537"/>
      <c r="MJK575" s="538"/>
      <c r="MJL575" s="539"/>
      <c r="MJM575" s="540"/>
      <c r="MJN575" s="209"/>
      <c r="MJO575" s="541"/>
      <c r="MJP575" s="541"/>
      <c r="MJQ575" s="482"/>
      <c r="MJR575" s="173"/>
      <c r="MJS575" s="173"/>
      <c r="MJT575" s="509"/>
      <c r="MJV575" s="148"/>
      <c r="MJW575" s="148"/>
      <c r="MJX575" s="149"/>
      <c r="MJY575" s="150"/>
      <c r="MKA575" s="152"/>
      <c r="MKB575" s="542"/>
      <c r="MKC575" s="154"/>
      <c r="MKD575" s="175"/>
      <c r="MKF575" s="156"/>
      <c r="MKG575" s="287"/>
      <c r="MKH575" s="488"/>
      <c r="MKI575" s="489"/>
      <c r="MKJ575" s="488"/>
      <c r="MKK575" s="300"/>
      <c r="MKL575" s="532"/>
      <c r="MKM575" s="533"/>
      <c r="MKN575" s="534"/>
      <c r="MKO575" s="316"/>
      <c r="MKP575" s="316"/>
      <c r="MKQ575" s="471"/>
      <c r="MKR575" s="472"/>
      <c r="MKS575" s="471"/>
      <c r="MKT575" s="473"/>
      <c r="MKU575" s="313"/>
      <c r="MKV575" s="535"/>
      <c r="MKW575" s="536"/>
      <c r="MKX575" s="537"/>
      <c r="MKY575" s="538"/>
      <c r="MKZ575" s="539"/>
      <c r="MLA575" s="540"/>
      <c r="MLB575" s="209"/>
      <c r="MLC575" s="541"/>
      <c r="MLD575" s="541"/>
      <c r="MLE575" s="482"/>
      <c r="MLF575" s="173"/>
      <c r="MLG575" s="173"/>
      <c r="MLH575" s="509"/>
      <c r="MLJ575" s="148"/>
      <c r="MLK575" s="148"/>
      <c r="MLL575" s="149"/>
      <c r="MLM575" s="150"/>
      <c r="MLO575" s="152"/>
      <c r="MLP575" s="542"/>
      <c r="MLQ575" s="154"/>
      <c r="MLR575" s="175"/>
      <c r="MLT575" s="156"/>
      <c r="MLU575" s="287"/>
      <c r="MLV575" s="488"/>
      <c r="MLW575" s="489"/>
      <c r="MLX575" s="488"/>
      <c r="MLY575" s="300"/>
      <c r="MLZ575" s="532"/>
      <c r="MMA575" s="533"/>
      <c r="MMB575" s="534"/>
      <c r="MMC575" s="316"/>
      <c r="MMD575" s="316"/>
      <c r="MME575" s="471"/>
      <c r="MMF575" s="472"/>
      <c r="MMG575" s="471"/>
      <c r="MMH575" s="473"/>
      <c r="MMI575" s="313"/>
      <c r="MMJ575" s="535"/>
      <c r="MMK575" s="536"/>
      <c r="MML575" s="537"/>
      <c r="MMM575" s="538"/>
      <c r="MMN575" s="539"/>
      <c r="MMO575" s="540"/>
      <c r="MMP575" s="209"/>
      <c r="MMQ575" s="541"/>
      <c r="MMR575" s="541"/>
      <c r="MMS575" s="482"/>
      <c r="MMT575" s="173"/>
      <c r="MMU575" s="173"/>
      <c r="MMV575" s="509"/>
      <c r="MMX575" s="148"/>
      <c r="MMY575" s="148"/>
      <c r="MMZ575" s="149"/>
      <c r="MNA575" s="150"/>
      <c r="MNC575" s="152"/>
      <c r="MND575" s="542"/>
      <c r="MNE575" s="154"/>
      <c r="MNF575" s="175"/>
      <c r="MNH575" s="156"/>
      <c r="MNI575" s="287"/>
      <c r="MNJ575" s="488"/>
      <c r="MNK575" s="489"/>
      <c r="MNL575" s="488"/>
      <c r="MNM575" s="300"/>
      <c r="MNN575" s="532"/>
      <c r="MNO575" s="533"/>
      <c r="MNP575" s="534"/>
      <c r="MNQ575" s="316"/>
      <c r="MNR575" s="316"/>
      <c r="MNS575" s="471"/>
      <c r="MNT575" s="472"/>
      <c r="MNU575" s="471"/>
      <c r="MNV575" s="473"/>
      <c r="MNW575" s="313"/>
      <c r="MNX575" s="535"/>
      <c r="MNY575" s="536"/>
      <c r="MNZ575" s="537"/>
      <c r="MOA575" s="538"/>
      <c r="MOB575" s="539"/>
      <c r="MOC575" s="540"/>
      <c r="MOD575" s="209"/>
      <c r="MOE575" s="541"/>
      <c r="MOF575" s="541"/>
      <c r="MOG575" s="482"/>
      <c r="MOH575" s="173"/>
      <c r="MOI575" s="173"/>
      <c r="MOJ575" s="509"/>
      <c r="MOL575" s="148"/>
      <c r="MOM575" s="148"/>
      <c r="MON575" s="149"/>
      <c r="MOO575" s="150"/>
      <c r="MOQ575" s="152"/>
      <c r="MOR575" s="542"/>
      <c r="MOS575" s="154"/>
      <c r="MOT575" s="175"/>
      <c r="MOV575" s="156"/>
      <c r="MOW575" s="287"/>
      <c r="MOX575" s="488"/>
      <c r="MOY575" s="489"/>
      <c r="MOZ575" s="488"/>
      <c r="MPA575" s="300"/>
      <c r="MPB575" s="532"/>
      <c r="MPC575" s="533"/>
      <c r="MPD575" s="534"/>
      <c r="MPE575" s="316"/>
      <c r="MPF575" s="316"/>
      <c r="MPG575" s="471"/>
      <c r="MPH575" s="472"/>
      <c r="MPI575" s="471"/>
      <c r="MPJ575" s="473"/>
      <c r="MPK575" s="313"/>
      <c r="MPL575" s="535"/>
      <c r="MPM575" s="536"/>
      <c r="MPN575" s="537"/>
      <c r="MPO575" s="538"/>
      <c r="MPP575" s="539"/>
      <c r="MPQ575" s="540"/>
      <c r="MPR575" s="209"/>
      <c r="MPS575" s="541"/>
      <c r="MPT575" s="541"/>
      <c r="MPU575" s="482"/>
      <c r="MPV575" s="173"/>
      <c r="MPW575" s="173"/>
      <c r="MPX575" s="509"/>
      <c r="MPZ575" s="148"/>
      <c r="MQA575" s="148"/>
      <c r="MQB575" s="149"/>
      <c r="MQC575" s="150"/>
      <c r="MQE575" s="152"/>
      <c r="MQF575" s="542"/>
      <c r="MQG575" s="154"/>
      <c r="MQH575" s="175"/>
      <c r="MQJ575" s="156"/>
      <c r="MQK575" s="287"/>
      <c r="MQL575" s="488"/>
      <c r="MQM575" s="489"/>
      <c r="MQN575" s="488"/>
      <c r="MQO575" s="300"/>
      <c r="MQP575" s="532"/>
      <c r="MQQ575" s="533"/>
      <c r="MQR575" s="534"/>
      <c r="MQS575" s="316"/>
      <c r="MQT575" s="316"/>
      <c r="MQU575" s="471"/>
      <c r="MQV575" s="472"/>
      <c r="MQW575" s="471"/>
      <c r="MQX575" s="473"/>
      <c r="MQY575" s="313"/>
      <c r="MQZ575" s="535"/>
      <c r="MRA575" s="536"/>
      <c r="MRB575" s="537"/>
      <c r="MRC575" s="538"/>
      <c r="MRD575" s="539"/>
      <c r="MRE575" s="540"/>
      <c r="MRF575" s="209"/>
      <c r="MRG575" s="541"/>
      <c r="MRH575" s="541"/>
      <c r="MRI575" s="482"/>
      <c r="MRJ575" s="173"/>
      <c r="MRK575" s="173"/>
      <c r="MRL575" s="509"/>
      <c r="MRN575" s="148"/>
      <c r="MRO575" s="148"/>
      <c r="MRP575" s="149"/>
      <c r="MRQ575" s="150"/>
      <c r="MRS575" s="152"/>
      <c r="MRT575" s="542"/>
      <c r="MRU575" s="154"/>
      <c r="MRV575" s="175"/>
      <c r="MRX575" s="156"/>
      <c r="MRY575" s="287"/>
      <c r="MRZ575" s="488"/>
      <c r="MSA575" s="489"/>
      <c r="MSB575" s="488"/>
      <c r="MSC575" s="300"/>
      <c r="MSD575" s="532"/>
      <c r="MSE575" s="533"/>
      <c r="MSF575" s="534"/>
      <c r="MSG575" s="316"/>
      <c r="MSH575" s="316"/>
      <c r="MSI575" s="471"/>
      <c r="MSJ575" s="472"/>
      <c r="MSK575" s="471"/>
      <c r="MSL575" s="473"/>
      <c r="MSM575" s="313"/>
      <c r="MSN575" s="535"/>
      <c r="MSO575" s="536"/>
      <c r="MSP575" s="537"/>
      <c r="MSQ575" s="538"/>
      <c r="MSR575" s="539"/>
      <c r="MSS575" s="540"/>
      <c r="MST575" s="209"/>
      <c r="MSU575" s="541"/>
      <c r="MSV575" s="541"/>
      <c r="MSW575" s="482"/>
      <c r="MSX575" s="173"/>
      <c r="MSY575" s="173"/>
      <c r="MSZ575" s="509"/>
      <c r="MTB575" s="148"/>
      <c r="MTC575" s="148"/>
      <c r="MTD575" s="149"/>
      <c r="MTE575" s="150"/>
      <c r="MTG575" s="152"/>
      <c r="MTH575" s="542"/>
      <c r="MTI575" s="154"/>
      <c r="MTJ575" s="175"/>
      <c r="MTL575" s="156"/>
      <c r="MTM575" s="287"/>
      <c r="MTN575" s="488"/>
      <c r="MTO575" s="489"/>
      <c r="MTP575" s="488"/>
      <c r="MTQ575" s="300"/>
      <c r="MTR575" s="532"/>
      <c r="MTS575" s="533"/>
      <c r="MTT575" s="534"/>
      <c r="MTU575" s="316"/>
      <c r="MTV575" s="316"/>
      <c r="MTW575" s="471"/>
      <c r="MTX575" s="472"/>
      <c r="MTY575" s="471"/>
      <c r="MTZ575" s="473"/>
      <c r="MUA575" s="313"/>
      <c r="MUB575" s="535"/>
      <c r="MUC575" s="536"/>
      <c r="MUD575" s="537"/>
      <c r="MUE575" s="538"/>
      <c r="MUF575" s="539"/>
      <c r="MUG575" s="540"/>
      <c r="MUH575" s="209"/>
      <c r="MUI575" s="541"/>
      <c r="MUJ575" s="541"/>
      <c r="MUK575" s="482"/>
      <c r="MUL575" s="173"/>
      <c r="MUM575" s="173"/>
      <c r="MUN575" s="509"/>
      <c r="MUP575" s="148"/>
      <c r="MUQ575" s="148"/>
      <c r="MUR575" s="149"/>
      <c r="MUS575" s="150"/>
      <c r="MUU575" s="152"/>
      <c r="MUV575" s="542"/>
      <c r="MUW575" s="154"/>
      <c r="MUX575" s="175"/>
      <c r="MUZ575" s="156"/>
      <c r="MVA575" s="287"/>
      <c r="MVB575" s="488"/>
      <c r="MVC575" s="489"/>
      <c r="MVD575" s="488"/>
      <c r="MVE575" s="300"/>
      <c r="MVF575" s="532"/>
      <c r="MVG575" s="533"/>
      <c r="MVH575" s="534"/>
      <c r="MVI575" s="316"/>
      <c r="MVJ575" s="316"/>
      <c r="MVK575" s="471"/>
      <c r="MVL575" s="472"/>
      <c r="MVM575" s="471"/>
      <c r="MVN575" s="473"/>
      <c r="MVO575" s="313"/>
      <c r="MVP575" s="535"/>
      <c r="MVQ575" s="536"/>
      <c r="MVR575" s="537"/>
      <c r="MVS575" s="538"/>
      <c r="MVT575" s="539"/>
      <c r="MVU575" s="540"/>
      <c r="MVV575" s="209"/>
      <c r="MVW575" s="541"/>
      <c r="MVX575" s="541"/>
      <c r="MVY575" s="482"/>
      <c r="MVZ575" s="173"/>
      <c r="MWA575" s="173"/>
      <c r="MWB575" s="509"/>
      <c r="MWD575" s="148"/>
      <c r="MWE575" s="148"/>
      <c r="MWF575" s="149"/>
      <c r="MWG575" s="150"/>
      <c r="MWI575" s="152"/>
      <c r="MWJ575" s="542"/>
      <c r="MWK575" s="154"/>
      <c r="MWL575" s="175"/>
      <c r="MWN575" s="156"/>
      <c r="MWO575" s="287"/>
      <c r="MWP575" s="488"/>
      <c r="MWQ575" s="489"/>
      <c r="MWR575" s="488"/>
      <c r="MWS575" s="300"/>
      <c r="MWT575" s="532"/>
      <c r="MWU575" s="533"/>
      <c r="MWV575" s="534"/>
      <c r="MWW575" s="316"/>
      <c r="MWX575" s="316"/>
      <c r="MWY575" s="471"/>
      <c r="MWZ575" s="472"/>
      <c r="MXA575" s="471"/>
      <c r="MXB575" s="473"/>
      <c r="MXC575" s="313"/>
      <c r="MXD575" s="535"/>
      <c r="MXE575" s="536"/>
      <c r="MXF575" s="537"/>
      <c r="MXG575" s="538"/>
      <c r="MXH575" s="539"/>
      <c r="MXI575" s="540"/>
      <c r="MXJ575" s="209"/>
      <c r="MXK575" s="541"/>
      <c r="MXL575" s="541"/>
      <c r="MXM575" s="482"/>
      <c r="MXN575" s="173"/>
      <c r="MXO575" s="173"/>
      <c r="MXP575" s="509"/>
      <c r="MXR575" s="148"/>
      <c r="MXS575" s="148"/>
      <c r="MXT575" s="149"/>
      <c r="MXU575" s="150"/>
      <c r="MXW575" s="152"/>
      <c r="MXX575" s="542"/>
      <c r="MXY575" s="154"/>
      <c r="MXZ575" s="175"/>
      <c r="MYB575" s="156"/>
      <c r="MYC575" s="287"/>
      <c r="MYD575" s="488"/>
      <c r="MYE575" s="489"/>
      <c r="MYF575" s="488"/>
      <c r="MYG575" s="300"/>
      <c r="MYH575" s="532"/>
      <c r="MYI575" s="533"/>
      <c r="MYJ575" s="534"/>
      <c r="MYK575" s="316"/>
      <c r="MYL575" s="316"/>
      <c r="MYM575" s="471"/>
      <c r="MYN575" s="472"/>
      <c r="MYO575" s="471"/>
      <c r="MYP575" s="473"/>
      <c r="MYQ575" s="313"/>
      <c r="MYR575" s="535"/>
      <c r="MYS575" s="536"/>
      <c r="MYT575" s="537"/>
      <c r="MYU575" s="538"/>
      <c r="MYV575" s="539"/>
      <c r="MYW575" s="540"/>
      <c r="MYX575" s="209"/>
      <c r="MYY575" s="541"/>
      <c r="MYZ575" s="541"/>
      <c r="MZA575" s="482"/>
      <c r="MZB575" s="173"/>
      <c r="MZC575" s="173"/>
      <c r="MZD575" s="509"/>
      <c r="MZF575" s="148"/>
      <c r="MZG575" s="148"/>
      <c r="MZH575" s="149"/>
      <c r="MZI575" s="150"/>
      <c r="MZK575" s="152"/>
      <c r="MZL575" s="542"/>
      <c r="MZM575" s="154"/>
      <c r="MZN575" s="175"/>
      <c r="MZP575" s="156"/>
      <c r="MZQ575" s="287"/>
      <c r="MZR575" s="488"/>
      <c r="MZS575" s="489"/>
      <c r="MZT575" s="488"/>
      <c r="MZU575" s="300"/>
      <c r="MZV575" s="532"/>
      <c r="MZW575" s="533"/>
      <c r="MZX575" s="534"/>
      <c r="MZY575" s="316"/>
      <c r="MZZ575" s="316"/>
      <c r="NAA575" s="471"/>
      <c r="NAB575" s="472"/>
      <c r="NAC575" s="471"/>
      <c r="NAD575" s="473"/>
      <c r="NAE575" s="313"/>
      <c r="NAF575" s="535"/>
      <c r="NAG575" s="536"/>
      <c r="NAH575" s="537"/>
      <c r="NAI575" s="538"/>
      <c r="NAJ575" s="539"/>
      <c r="NAK575" s="540"/>
      <c r="NAL575" s="209"/>
      <c r="NAM575" s="541"/>
      <c r="NAN575" s="541"/>
      <c r="NAO575" s="482"/>
      <c r="NAP575" s="173"/>
      <c r="NAQ575" s="173"/>
      <c r="NAR575" s="509"/>
      <c r="NAT575" s="148"/>
      <c r="NAU575" s="148"/>
      <c r="NAV575" s="149"/>
      <c r="NAW575" s="150"/>
      <c r="NAY575" s="152"/>
      <c r="NAZ575" s="542"/>
      <c r="NBA575" s="154"/>
      <c r="NBB575" s="175"/>
      <c r="NBD575" s="156"/>
      <c r="NBE575" s="287"/>
      <c r="NBF575" s="488"/>
      <c r="NBG575" s="489"/>
      <c r="NBH575" s="488"/>
      <c r="NBI575" s="300"/>
      <c r="NBJ575" s="532"/>
      <c r="NBK575" s="533"/>
      <c r="NBL575" s="534"/>
      <c r="NBM575" s="316"/>
      <c r="NBN575" s="316"/>
      <c r="NBO575" s="471"/>
      <c r="NBP575" s="472"/>
      <c r="NBQ575" s="471"/>
      <c r="NBR575" s="473"/>
      <c r="NBS575" s="313"/>
      <c r="NBT575" s="535"/>
      <c r="NBU575" s="536"/>
      <c r="NBV575" s="537"/>
      <c r="NBW575" s="538"/>
      <c r="NBX575" s="539"/>
      <c r="NBY575" s="540"/>
      <c r="NBZ575" s="209"/>
      <c r="NCA575" s="541"/>
      <c r="NCB575" s="541"/>
      <c r="NCC575" s="482"/>
      <c r="NCD575" s="173"/>
      <c r="NCE575" s="173"/>
      <c r="NCF575" s="509"/>
      <c r="NCH575" s="148"/>
      <c r="NCI575" s="148"/>
      <c r="NCJ575" s="149"/>
      <c r="NCK575" s="150"/>
      <c r="NCM575" s="152"/>
      <c r="NCN575" s="542"/>
      <c r="NCO575" s="154"/>
      <c r="NCP575" s="175"/>
      <c r="NCR575" s="156"/>
      <c r="NCS575" s="287"/>
      <c r="NCT575" s="488"/>
      <c r="NCU575" s="489"/>
      <c r="NCV575" s="488"/>
      <c r="NCW575" s="300"/>
      <c r="NCX575" s="532"/>
      <c r="NCY575" s="533"/>
      <c r="NCZ575" s="534"/>
      <c r="NDA575" s="316"/>
      <c r="NDB575" s="316"/>
      <c r="NDC575" s="471"/>
      <c r="NDD575" s="472"/>
      <c r="NDE575" s="471"/>
      <c r="NDF575" s="473"/>
      <c r="NDG575" s="313"/>
      <c r="NDH575" s="535"/>
      <c r="NDI575" s="536"/>
      <c r="NDJ575" s="537"/>
      <c r="NDK575" s="538"/>
      <c r="NDL575" s="539"/>
      <c r="NDM575" s="540"/>
      <c r="NDN575" s="209"/>
      <c r="NDO575" s="541"/>
      <c r="NDP575" s="541"/>
      <c r="NDQ575" s="482"/>
      <c r="NDR575" s="173"/>
      <c r="NDS575" s="173"/>
      <c r="NDT575" s="509"/>
      <c r="NDV575" s="148"/>
      <c r="NDW575" s="148"/>
      <c r="NDX575" s="149"/>
      <c r="NDY575" s="150"/>
      <c r="NEA575" s="152"/>
      <c r="NEB575" s="542"/>
      <c r="NEC575" s="154"/>
      <c r="NED575" s="175"/>
      <c r="NEF575" s="156"/>
      <c r="NEG575" s="287"/>
      <c r="NEH575" s="488"/>
      <c r="NEI575" s="489"/>
      <c r="NEJ575" s="488"/>
      <c r="NEK575" s="300"/>
      <c r="NEL575" s="532"/>
      <c r="NEM575" s="533"/>
      <c r="NEN575" s="534"/>
      <c r="NEO575" s="316"/>
      <c r="NEP575" s="316"/>
      <c r="NEQ575" s="471"/>
      <c r="NER575" s="472"/>
      <c r="NES575" s="471"/>
      <c r="NET575" s="473"/>
      <c r="NEU575" s="313"/>
      <c r="NEV575" s="535"/>
      <c r="NEW575" s="536"/>
      <c r="NEX575" s="537"/>
      <c r="NEY575" s="538"/>
      <c r="NEZ575" s="539"/>
      <c r="NFA575" s="540"/>
      <c r="NFB575" s="209"/>
      <c r="NFC575" s="541"/>
      <c r="NFD575" s="541"/>
      <c r="NFE575" s="482"/>
      <c r="NFF575" s="173"/>
      <c r="NFG575" s="173"/>
      <c r="NFH575" s="509"/>
      <c r="NFJ575" s="148"/>
      <c r="NFK575" s="148"/>
      <c r="NFL575" s="149"/>
      <c r="NFM575" s="150"/>
      <c r="NFO575" s="152"/>
      <c r="NFP575" s="542"/>
      <c r="NFQ575" s="154"/>
      <c r="NFR575" s="175"/>
      <c r="NFT575" s="156"/>
      <c r="NFU575" s="287"/>
      <c r="NFV575" s="488"/>
      <c r="NFW575" s="489"/>
      <c r="NFX575" s="488"/>
      <c r="NFY575" s="300"/>
      <c r="NFZ575" s="532"/>
      <c r="NGA575" s="533"/>
      <c r="NGB575" s="534"/>
      <c r="NGC575" s="316"/>
      <c r="NGD575" s="316"/>
      <c r="NGE575" s="471"/>
      <c r="NGF575" s="472"/>
      <c r="NGG575" s="471"/>
      <c r="NGH575" s="473"/>
      <c r="NGI575" s="313"/>
      <c r="NGJ575" s="535"/>
      <c r="NGK575" s="536"/>
      <c r="NGL575" s="537"/>
      <c r="NGM575" s="538"/>
      <c r="NGN575" s="539"/>
      <c r="NGO575" s="540"/>
      <c r="NGP575" s="209"/>
      <c r="NGQ575" s="541"/>
      <c r="NGR575" s="541"/>
      <c r="NGS575" s="482"/>
      <c r="NGT575" s="173"/>
      <c r="NGU575" s="173"/>
      <c r="NGV575" s="509"/>
      <c r="NGX575" s="148"/>
      <c r="NGY575" s="148"/>
      <c r="NGZ575" s="149"/>
      <c r="NHA575" s="150"/>
      <c r="NHC575" s="152"/>
      <c r="NHD575" s="542"/>
      <c r="NHE575" s="154"/>
      <c r="NHF575" s="175"/>
      <c r="NHH575" s="156"/>
      <c r="NHI575" s="287"/>
      <c r="NHJ575" s="488"/>
      <c r="NHK575" s="489"/>
      <c r="NHL575" s="488"/>
      <c r="NHM575" s="300"/>
      <c r="NHN575" s="532"/>
      <c r="NHO575" s="533"/>
      <c r="NHP575" s="534"/>
      <c r="NHQ575" s="316"/>
      <c r="NHR575" s="316"/>
      <c r="NHS575" s="471"/>
      <c r="NHT575" s="472"/>
      <c r="NHU575" s="471"/>
      <c r="NHV575" s="473"/>
      <c r="NHW575" s="313"/>
      <c r="NHX575" s="535"/>
      <c r="NHY575" s="536"/>
      <c r="NHZ575" s="537"/>
      <c r="NIA575" s="538"/>
      <c r="NIB575" s="539"/>
      <c r="NIC575" s="540"/>
      <c r="NID575" s="209"/>
      <c r="NIE575" s="541"/>
      <c r="NIF575" s="541"/>
      <c r="NIG575" s="482"/>
      <c r="NIH575" s="173"/>
      <c r="NII575" s="173"/>
      <c r="NIJ575" s="509"/>
      <c r="NIL575" s="148"/>
      <c r="NIM575" s="148"/>
      <c r="NIN575" s="149"/>
      <c r="NIO575" s="150"/>
      <c r="NIQ575" s="152"/>
      <c r="NIR575" s="542"/>
      <c r="NIS575" s="154"/>
      <c r="NIT575" s="175"/>
      <c r="NIV575" s="156"/>
      <c r="NIW575" s="287"/>
      <c r="NIX575" s="488"/>
      <c r="NIY575" s="489"/>
      <c r="NIZ575" s="488"/>
      <c r="NJA575" s="300"/>
      <c r="NJB575" s="532"/>
      <c r="NJC575" s="533"/>
      <c r="NJD575" s="534"/>
      <c r="NJE575" s="316"/>
      <c r="NJF575" s="316"/>
      <c r="NJG575" s="471"/>
      <c r="NJH575" s="472"/>
      <c r="NJI575" s="471"/>
      <c r="NJJ575" s="473"/>
      <c r="NJK575" s="313"/>
      <c r="NJL575" s="535"/>
      <c r="NJM575" s="536"/>
      <c r="NJN575" s="537"/>
      <c r="NJO575" s="538"/>
      <c r="NJP575" s="539"/>
      <c r="NJQ575" s="540"/>
      <c r="NJR575" s="209"/>
      <c r="NJS575" s="541"/>
      <c r="NJT575" s="541"/>
      <c r="NJU575" s="482"/>
      <c r="NJV575" s="173"/>
      <c r="NJW575" s="173"/>
      <c r="NJX575" s="509"/>
      <c r="NJZ575" s="148"/>
      <c r="NKA575" s="148"/>
      <c r="NKB575" s="149"/>
      <c r="NKC575" s="150"/>
      <c r="NKE575" s="152"/>
      <c r="NKF575" s="542"/>
      <c r="NKG575" s="154"/>
      <c r="NKH575" s="175"/>
      <c r="NKJ575" s="156"/>
      <c r="NKK575" s="287"/>
      <c r="NKL575" s="488"/>
      <c r="NKM575" s="489"/>
      <c r="NKN575" s="488"/>
      <c r="NKO575" s="300"/>
      <c r="NKP575" s="532"/>
      <c r="NKQ575" s="533"/>
      <c r="NKR575" s="534"/>
      <c r="NKS575" s="316"/>
      <c r="NKT575" s="316"/>
      <c r="NKU575" s="471"/>
      <c r="NKV575" s="472"/>
      <c r="NKW575" s="471"/>
      <c r="NKX575" s="473"/>
      <c r="NKY575" s="313"/>
      <c r="NKZ575" s="535"/>
      <c r="NLA575" s="536"/>
      <c r="NLB575" s="537"/>
      <c r="NLC575" s="538"/>
      <c r="NLD575" s="539"/>
      <c r="NLE575" s="540"/>
      <c r="NLF575" s="209"/>
      <c r="NLG575" s="541"/>
      <c r="NLH575" s="541"/>
      <c r="NLI575" s="482"/>
      <c r="NLJ575" s="173"/>
      <c r="NLK575" s="173"/>
      <c r="NLL575" s="509"/>
      <c r="NLN575" s="148"/>
      <c r="NLO575" s="148"/>
      <c r="NLP575" s="149"/>
      <c r="NLQ575" s="150"/>
      <c r="NLS575" s="152"/>
      <c r="NLT575" s="542"/>
      <c r="NLU575" s="154"/>
      <c r="NLV575" s="175"/>
      <c r="NLX575" s="156"/>
      <c r="NLY575" s="287"/>
      <c r="NLZ575" s="488"/>
      <c r="NMA575" s="489"/>
      <c r="NMB575" s="488"/>
      <c r="NMC575" s="300"/>
      <c r="NMD575" s="532"/>
      <c r="NME575" s="533"/>
      <c r="NMF575" s="534"/>
      <c r="NMG575" s="316"/>
      <c r="NMH575" s="316"/>
      <c r="NMI575" s="471"/>
      <c r="NMJ575" s="472"/>
      <c r="NMK575" s="471"/>
      <c r="NML575" s="473"/>
      <c r="NMM575" s="313"/>
      <c r="NMN575" s="535"/>
      <c r="NMO575" s="536"/>
      <c r="NMP575" s="537"/>
      <c r="NMQ575" s="538"/>
      <c r="NMR575" s="539"/>
      <c r="NMS575" s="540"/>
      <c r="NMT575" s="209"/>
      <c r="NMU575" s="541"/>
      <c r="NMV575" s="541"/>
      <c r="NMW575" s="482"/>
      <c r="NMX575" s="173"/>
      <c r="NMY575" s="173"/>
      <c r="NMZ575" s="509"/>
      <c r="NNB575" s="148"/>
      <c r="NNC575" s="148"/>
      <c r="NND575" s="149"/>
      <c r="NNE575" s="150"/>
      <c r="NNG575" s="152"/>
      <c r="NNH575" s="542"/>
      <c r="NNI575" s="154"/>
      <c r="NNJ575" s="175"/>
      <c r="NNL575" s="156"/>
      <c r="NNM575" s="287"/>
      <c r="NNN575" s="488"/>
      <c r="NNO575" s="489"/>
      <c r="NNP575" s="488"/>
      <c r="NNQ575" s="300"/>
      <c r="NNR575" s="532"/>
      <c r="NNS575" s="533"/>
      <c r="NNT575" s="534"/>
      <c r="NNU575" s="316"/>
      <c r="NNV575" s="316"/>
      <c r="NNW575" s="471"/>
      <c r="NNX575" s="472"/>
      <c r="NNY575" s="471"/>
      <c r="NNZ575" s="473"/>
      <c r="NOA575" s="313"/>
      <c r="NOB575" s="535"/>
      <c r="NOC575" s="536"/>
      <c r="NOD575" s="537"/>
      <c r="NOE575" s="538"/>
      <c r="NOF575" s="539"/>
      <c r="NOG575" s="540"/>
      <c r="NOH575" s="209"/>
      <c r="NOI575" s="541"/>
      <c r="NOJ575" s="541"/>
      <c r="NOK575" s="482"/>
      <c r="NOL575" s="173"/>
      <c r="NOM575" s="173"/>
      <c r="NON575" s="509"/>
      <c r="NOP575" s="148"/>
      <c r="NOQ575" s="148"/>
      <c r="NOR575" s="149"/>
      <c r="NOS575" s="150"/>
      <c r="NOU575" s="152"/>
      <c r="NOV575" s="542"/>
      <c r="NOW575" s="154"/>
      <c r="NOX575" s="175"/>
      <c r="NOZ575" s="156"/>
      <c r="NPA575" s="287"/>
      <c r="NPB575" s="488"/>
      <c r="NPC575" s="489"/>
      <c r="NPD575" s="488"/>
      <c r="NPE575" s="300"/>
      <c r="NPF575" s="532"/>
      <c r="NPG575" s="533"/>
      <c r="NPH575" s="534"/>
      <c r="NPI575" s="316"/>
      <c r="NPJ575" s="316"/>
      <c r="NPK575" s="471"/>
      <c r="NPL575" s="472"/>
      <c r="NPM575" s="471"/>
      <c r="NPN575" s="473"/>
      <c r="NPO575" s="313"/>
      <c r="NPP575" s="535"/>
      <c r="NPQ575" s="536"/>
      <c r="NPR575" s="537"/>
      <c r="NPS575" s="538"/>
      <c r="NPT575" s="539"/>
      <c r="NPU575" s="540"/>
      <c r="NPV575" s="209"/>
      <c r="NPW575" s="541"/>
      <c r="NPX575" s="541"/>
      <c r="NPY575" s="482"/>
      <c r="NPZ575" s="173"/>
      <c r="NQA575" s="173"/>
      <c r="NQB575" s="509"/>
      <c r="NQD575" s="148"/>
      <c r="NQE575" s="148"/>
      <c r="NQF575" s="149"/>
      <c r="NQG575" s="150"/>
      <c r="NQI575" s="152"/>
      <c r="NQJ575" s="542"/>
      <c r="NQK575" s="154"/>
      <c r="NQL575" s="175"/>
      <c r="NQN575" s="156"/>
      <c r="NQO575" s="287"/>
      <c r="NQP575" s="488"/>
      <c r="NQQ575" s="489"/>
      <c r="NQR575" s="488"/>
      <c r="NQS575" s="300"/>
      <c r="NQT575" s="532"/>
      <c r="NQU575" s="533"/>
      <c r="NQV575" s="534"/>
      <c r="NQW575" s="316"/>
      <c r="NQX575" s="316"/>
      <c r="NQY575" s="471"/>
      <c r="NQZ575" s="472"/>
      <c r="NRA575" s="471"/>
      <c r="NRB575" s="473"/>
      <c r="NRC575" s="313"/>
      <c r="NRD575" s="535"/>
      <c r="NRE575" s="536"/>
      <c r="NRF575" s="537"/>
      <c r="NRG575" s="538"/>
      <c r="NRH575" s="539"/>
      <c r="NRI575" s="540"/>
      <c r="NRJ575" s="209"/>
      <c r="NRK575" s="541"/>
      <c r="NRL575" s="541"/>
      <c r="NRM575" s="482"/>
      <c r="NRN575" s="173"/>
      <c r="NRO575" s="173"/>
      <c r="NRP575" s="509"/>
      <c r="NRR575" s="148"/>
      <c r="NRS575" s="148"/>
      <c r="NRT575" s="149"/>
      <c r="NRU575" s="150"/>
      <c r="NRW575" s="152"/>
      <c r="NRX575" s="542"/>
      <c r="NRY575" s="154"/>
      <c r="NRZ575" s="175"/>
      <c r="NSB575" s="156"/>
      <c r="NSC575" s="287"/>
      <c r="NSD575" s="488"/>
      <c r="NSE575" s="489"/>
      <c r="NSF575" s="488"/>
      <c r="NSG575" s="300"/>
      <c r="NSH575" s="532"/>
      <c r="NSI575" s="533"/>
      <c r="NSJ575" s="534"/>
      <c r="NSK575" s="316"/>
      <c r="NSL575" s="316"/>
      <c r="NSM575" s="471"/>
      <c r="NSN575" s="472"/>
      <c r="NSO575" s="471"/>
      <c r="NSP575" s="473"/>
      <c r="NSQ575" s="313"/>
      <c r="NSR575" s="535"/>
      <c r="NSS575" s="536"/>
      <c r="NST575" s="537"/>
      <c r="NSU575" s="538"/>
      <c r="NSV575" s="539"/>
      <c r="NSW575" s="540"/>
      <c r="NSX575" s="209"/>
      <c r="NSY575" s="541"/>
      <c r="NSZ575" s="541"/>
      <c r="NTA575" s="482"/>
      <c r="NTB575" s="173"/>
      <c r="NTC575" s="173"/>
      <c r="NTD575" s="509"/>
      <c r="NTF575" s="148"/>
      <c r="NTG575" s="148"/>
      <c r="NTH575" s="149"/>
      <c r="NTI575" s="150"/>
      <c r="NTK575" s="152"/>
      <c r="NTL575" s="542"/>
      <c r="NTM575" s="154"/>
      <c r="NTN575" s="175"/>
      <c r="NTP575" s="156"/>
      <c r="NTQ575" s="287"/>
      <c r="NTR575" s="488"/>
      <c r="NTS575" s="489"/>
      <c r="NTT575" s="488"/>
      <c r="NTU575" s="300"/>
      <c r="NTV575" s="532"/>
      <c r="NTW575" s="533"/>
      <c r="NTX575" s="534"/>
      <c r="NTY575" s="316"/>
      <c r="NTZ575" s="316"/>
      <c r="NUA575" s="471"/>
      <c r="NUB575" s="472"/>
      <c r="NUC575" s="471"/>
      <c r="NUD575" s="473"/>
      <c r="NUE575" s="313"/>
      <c r="NUF575" s="535"/>
      <c r="NUG575" s="536"/>
      <c r="NUH575" s="537"/>
      <c r="NUI575" s="538"/>
      <c r="NUJ575" s="539"/>
      <c r="NUK575" s="540"/>
      <c r="NUL575" s="209"/>
      <c r="NUM575" s="541"/>
      <c r="NUN575" s="541"/>
      <c r="NUO575" s="482"/>
      <c r="NUP575" s="173"/>
      <c r="NUQ575" s="173"/>
      <c r="NUR575" s="509"/>
      <c r="NUT575" s="148"/>
      <c r="NUU575" s="148"/>
      <c r="NUV575" s="149"/>
      <c r="NUW575" s="150"/>
      <c r="NUY575" s="152"/>
      <c r="NUZ575" s="542"/>
      <c r="NVA575" s="154"/>
      <c r="NVB575" s="175"/>
      <c r="NVD575" s="156"/>
      <c r="NVE575" s="287"/>
      <c r="NVF575" s="488"/>
      <c r="NVG575" s="489"/>
      <c r="NVH575" s="488"/>
      <c r="NVI575" s="300"/>
      <c r="NVJ575" s="532"/>
      <c r="NVK575" s="533"/>
      <c r="NVL575" s="534"/>
      <c r="NVM575" s="316"/>
      <c r="NVN575" s="316"/>
      <c r="NVO575" s="471"/>
      <c r="NVP575" s="472"/>
      <c r="NVQ575" s="471"/>
      <c r="NVR575" s="473"/>
      <c r="NVS575" s="313"/>
      <c r="NVT575" s="535"/>
      <c r="NVU575" s="536"/>
      <c r="NVV575" s="537"/>
      <c r="NVW575" s="538"/>
      <c r="NVX575" s="539"/>
      <c r="NVY575" s="540"/>
      <c r="NVZ575" s="209"/>
      <c r="NWA575" s="541"/>
      <c r="NWB575" s="541"/>
      <c r="NWC575" s="482"/>
      <c r="NWD575" s="173"/>
      <c r="NWE575" s="173"/>
      <c r="NWF575" s="509"/>
      <c r="NWH575" s="148"/>
      <c r="NWI575" s="148"/>
      <c r="NWJ575" s="149"/>
      <c r="NWK575" s="150"/>
      <c r="NWM575" s="152"/>
      <c r="NWN575" s="542"/>
      <c r="NWO575" s="154"/>
      <c r="NWP575" s="175"/>
      <c r="NWR575" s="156"/>
      <c r="NWS575" s="287"/>
      <c r="NWT575" s="488"/>
      <c r="NWU575" s="489"/>
      <c r="NWV575" s="488"/>
      <c r="NWW575" s="300"/>
      <c r="NWX575" s="532"/>
      <c r="NWY575" s="533"/>
      <c r="NWZ575" s="534"/>
      <c r="NXA575" s="316"/>
      <c r="NXB575" s="316"/>
      <c r="NXC575" s="471"/>
      <c r="NXD575" s="472"/>
      <c r="NXE575" s="471"/>
      <c r="NXF575" s="473"/>
      <c r="NXG575" s="313"/>
      <c r="NXH575" s="535"/>
      <c r="NXI575" s="536"/>
      <c r="NXJ575" s="537"/>
      <c r="NXK575" s="538"/>
      <c r="NXL575" s="539"/>
      <c r="NXM575" s="540"/>
      <c r="NXN575" s="209"/>
      <c r="NXO575" s="541"/>
      <c r="NXP575" s="541"/>
      <c r="NXQ575" s="482"/>
      <c r="NXR575" s="173"/>
      <c r="NXS575" s="173"/>
      <c r="NXT575" s="509"/>
      <c r="NXV575" s="148"/>
      <c r="NXW575" s="148"/>
      <c r="NXX575" s="149"/>
      <c r="NXY575" s="150"/>
      <c r="NYA575" s="152"/>
      <c r="NYB575" s="542"/>
      <c r="NYC575" s="154"/>
      <c r="NYD575" s="175"/>
      <c r="NYF575" s="156"/>
      <c r="NYG575" s="287"/>
      <c r="NYH575" s="488"/>
      <c r="NYI575" s="489"/>
      <c r="NYJ575" s="488"/>
      <c r="NYK575" s="300"/>
      <c r="NYL575" s="532"/>
      <c r="NYM575" s="533"/>
      <c r="NYN575" s="534"/>
      <c r="NYO575" s="316"/>
      <c r="NYP575" s="316"/>
      <c r="NYQ575" s="471"/>
      <c r="NYR575" s="472"/>
      <c r="NYS575" s="471"/>
      <c r="NYT575" s="473"/>
      <c r="NYU575" s="313"/>
      <c r="NYV575" s="535"/>
      <c r="NYW575" s="536"/>
      <c r="NYX575" s="537"/>
      <c r="NYY575" s="538"/>
      <c r="NYZ575" s="539"/>
      <c r="NZA575" s="540"/>
      <c r="NZB575" s="209"/>
      <c r="NZC575" s="541"/>
      <c r="NZD575" s="541"/>
      <c r="NZE575" s="482"/>
      <c r="NZF575" s="173"/>
      <c r="NZG575" s="173"/>
      <c r="NZH575" s="509"/>
      <c r="NZJ575" s="148"/>
      <c r="NZK575" s="148"/>
      <c r="NZL575" s="149"/>
      <c r="NZM575" s="150"/>
      <c r="NZO575" s="152"/>
      <c r="NZP575" s="542"/>
      <c r="NZQ575" s="154"/>
      <c r="NZR575" s="175"/>
      <c r="NZT575" s="156"/>
      <c r="NZU575" s="287"/>
      <c r="NZV575" s="488"/>
      <c r="NZW575" s="489"/>
      <c r="NZX575" s="488"/>
      <c r="NZY575" s="300"/>
      <c r="NZZ575" s="532"/>
      <c r="OAA575" s="533"/>
      <c r="OAB575" s="534"/>
      <c r="OAC575" s="316"/>
      <c r="OAD575" s="316"/>
      <c r="OAE575" s="471"/>
      <c r="OAF575" s="472"/>
      <c r="OAG575" s="471"/>
      <c r="OAH575" s="473"/>
      <c r="OAI575" s="313"/>
      <c r="OAJ575" s="535"/>
      <c r="OAK575" s="536"/>
      <c r="OAL575" s="537"/>
      <c r="OAM575" s="538"/>
      <c r="OAN575" s="539"/>
      <c r="OAO575" s="540"/>
      <c r="OAP575" s="209"/>
      <c r="OAQ575" s="541"/>
      <c r="OAR575" s="541"/>
      <c r="OAS575" s="482"/>
      <c r="OAT575" s="173"/>
      <c r="OAU575" s="173"/>
      <c r="OAV575" s="509"/>
      <c r="OAX575" s="148"/>
      <c r="OAY575" s="148"/>
      <c r="OAZ575" s="149"/>
      <c r="OBA575" s="150"/>
      <c r="OBC575" s="152"/>
      <c r="OBD575" s="542"/>
      <c r="OBE575" s="154"/>
      <c r="OBF575" s="175"/>
      <c r="OBH575" s="156"/>
      <c r="OBI575" s="287"/>
      <c r="OBJ575" s="488"/>
      <c r="OBK575" s="489"/>
      <c r="OBL575" s="488"/>
      <c r="OBM575" s="300"/>
      <c r="OBN575" s="532"/>
      <c r="OBO575" s="533"/>
      <c r="OBP575" s="534"/>
      <c r="OBQ575" s="316"/>
      <c r="OBR575" s="316"/>
      <c r="OBS575" s="471"/>
      <c r="OBT575" s="472"/>
      <c r="OBU575" s="471"/>
      <c r="OBV575" s="473"/>
      <c r="OBW575" s="313"/>
      <c r="OBX575" s="535"/>
      <c r="OBY575" s="536"/>
      <c r="OBZ575" s="537"/>
      <c r="OCA575" s="538"/>
      <c r="OCB575" s="539"/>
      <c r="OCC575" s="540"/>
      <c r="OCD575" s="209"/>
      <c r="OCE575" s="541"/>
      <c r="OCF575" s="541"/>
      <c r="OCG575" s="482"/>
      <c r="OCH575" s="173"/>
      <c r="OCI575" s="173"/>
      <c r="OCJ575" s="509"/>
      <c r="OCL575" s="148"/>
      <c r="OCM575" s="148"/>
      <c r="OCN575" s="149"/>
      <c r="OCO575" s="150"/>
      <c r="OCQ575" s="152"/>
      <c r="OCR575" s="542"/>
      <c r="OCS575" s="154"/>
      <c r="OCT575" s="175"/>
      <c r="OCV575" s="156"/>
      <c r="OCW575" s="287"/>
      <c r="OCX575" s="488"/>
      <c r="OCY575" s="489"/>
      <c r="OCZ575" s="488"/>
      <c r="ODA575" s="300"/>
      <c r="ODB575" s="532"/>
      <c r="ODC575" s="533"/>
      <c r="ODD575" s="534"/>
      <c r="ODE575" s="316"/>
      <c r="ODF575" s="316"/>
      <c r="ODG575" s="471"/>
      <c r="ODH575" s="472"/>
      <c r="ODI575" s="471"/>
      <c r="ODJ575" s="473"/>
      <c r="ODK575" s="313"/>
      <c r="ODL575" s="535"/>
      <c r="ODM575" s="536"/>
      <c r="ODN575" s="537"/>
      <c r="ODO575" s="538"/>
      <c r="ODP575" s="539"/>
      <c r="ODQ575" s="540"/>
      <c r="ODR575" s="209"/>
      <c r="ODS575" s="541"/>
      <c r="ODT575" s="541"/>
      <c r="ODU575" s="482"/>
      <c r="ODV575" s="173"/>
      <c r="ODW575" s="173"/>
      <c r="ODX575" s="509"/>
      <c r="ODZ575" s="148"/>
      <c r="OEA575" s="148"/>
      <c r="OEB575" s="149"/>
      <c r="OEC575" s="150"/>
      <c r="OEE575" s="152"/>
      <c r="OEF575" s="542"/>
      <c r="OEG575" s="154"/>
      <c r="OEH575" s="175"/>
      <c r="OEJ575" s="156"/>
      <c r="OEK575" s="287"/>
      <c r="OEL575" s="488"/>
      <c r="OEM575" s="489"/>
      <c r="OEN575" s="488"/>
      <c r="OEO575" s="300"/>
      <c r="OEP575" s="532"/>
      <c r="OEQ575" s="533"/>
      <c r="OER575" s="534"/>
      <c r="OES575" s="316"/>
      <c r="OET575" s="316"/>
      <c r="OEU575" s="471"/>
      <c r="OEV575" s="472"/>
      <c r="OEW575" s="471"/>
      <c r="OEX575" s="473"/>
      <c r="OEY575" s="313"/>
      <c r="OEZ575" s="535"/>
      <c r="OFA575" s="536"/>
      <c r="OFB575" s="537"/>
      <c r="OFC575" s="538"/>
      <c r="OFD575" s="539"/>
      <c r="OFE575" s="540"/>
      <c r="OFF575" s="209"/>
      <c r="OFG575" s="541"/>
      <c r="OFH575" s="541"/>
      <c r="OFI575" s="482"/>
      <c r="OFJ575" s="173"/>
      <c r="OFK575" s="173"/>
      <c r="OFL575" s="509"/>
      <c r="OFN575" s="148"/>
      <c r="OFO575" s="148"/>
      <c r="OFP575" s="149"/>
      <c r="OFQ575" s="150"/>
      <c r="OFS575" s="152"/>
      <c r="OFT575" s="542"/>
      <c r="OFU575" s="154"/>
      <c r="OFV575" s="175"/>
      <c r="OFX575" s="156"/>
      <c r="OFY575" s="287"/>
      <c r="OFZ575" s="488"/>
      <c r="OGA575" s="489"/>
      <c r="OGB575" s="488"/>
      <c r="OGC575" s="300"/>
      <c r="OGD575" s="532"/>
      <c r="OGE575" s="533"/>
      <c r="OGF575" s="534"/>
      <c r="OGG575" s="316"/>
      <c r="OGH575" s="316"/>
      <c r="OGI575" s="471"/>
      <c r="OGJ575" s="472"/>
      <c r="OGK575" s="471"/>
      <c r="OGL575" s="473"/>
      <c r="OGM575" s="313"/>
      <c r="OGN575" s="535"/>
      <c r="OGO575" s="536"/>
      <c r="OGP575" s="537"/>
      <c r="OGQ575" s="538"/>
      <c r="OGR575" s="539"/>
      <c r="OGS575" s="540"/>
      <c r="OGT575" s="209"/>
      <c r="OGU575" s="541"/>
      <c r="OGV575" s="541"/>
      <c r="OGW575" s="482"/>
      <c r="OGX575" s="173"/>
      <c r="OGY575" s="173"/>
      <c r="OGZ575" s="509"/>
      <c r="OHB575" s="148"/>
      <c r="OHC575" s="148"/>
      <c r="OHD575" s="149"/>
      <c r="OHE575" s="150"/>
      <c r="OHG575" s="152"/>
      <c r="OHH575" s="542"/>
      <c r="OHI575" s="154"/>
      <c r="OHJ575" s="175"/>
      <c r="OHL575" s="156"/>
      <c r="OHM575" s="287"/>
      <c r="OHN575" s="488"/>
      <c r="OHO575" s="489"/>
      <c r="OHP575" s="488"/>
      <c r="OHQ575" s="300"/>
      <c r="OHR575" s="532"/>
      <c r="OHS575" s="533"/>
      <c r="OHT575" s="534"/>
      <c r="OHU575" s="316"/>
      <c r="OHV575" s="316"/>
      <c r="OHW575" s="471"/>
      <c r="OHX575" s="472"/>
      <c r="OHY575" s="471"/>
      <c r="OHZ575" s="473"/>
      <c r="OIA575" s="313"/>
      <c r="OIB575" s="535"/>
      <c r="OIC575" s="536"/>
      <c r="OID575" s="537"/>
      <c r="OIE575" s="538"/>
      <c r="OIF575" s="539"/>
      <c r="OIG575" s="540"/>
      <c r="OIH575" s="209"/>
      <c r="OII575" s="541"/>
      <c r="OIJ575" s="541"/>
      <c r="OIK575" s="482"/>
      <c r="OIL575" s="173"/>
      <c r="OIM575" s="173"/>
      <c r="OIN575" s="509"/>
      <c r="OIP575" s="148"/>
      <c r="OIQ575" s="148"/>
      <c r="OIR575" s="149"/>
      <c r="OIS575" s="150"/>
      <c r="OIU575" s="152"/>
      <c r="OIV575" s="542"/>
      <c r="OIW575" s="154"/>
      <c r="OIX575" s="175"/>
      <c r="OIZ575" s="156"/>
      <c r="OJA575" s="287"/>
      <c r="OJB575" s="488"/>
      <c r="OJC575" s="489"/>
      <c r="OJD575" s="488"/>
      <c r="OJE575" s="300"/>
      <c r="OJF575" s="532"/>
      <c r="OJG575" s="533"/>
      <c r="OJH575" s="534"/>
      <c r="OJI575" s="316"/>
      <c r="OJJ575" s="316"/>
      <c r="OJK575" s="471"/>
      <c r="OJL575" s="472"/>
      <c r="OJM575" s="471"/>
      <c r="OJN575" s="473"/>
      <c r="OJO575" s="313"/>
      <c r="OJP575" s="535"/>
      <c r="OJQ575" s="536"/>
      <c r="OJR575" s="537"/>
      <c r="OJS575" s="538"/>
      <c r="OJT575" s="539"/>
      <c r="OJU575" s="540"/>
      <c r="OJV575" s="209"/>
      <c r="OJW575" s="541"/>
      <c r="OJX575" s="541"/>
      <c r="OJY575" s="482"/>
      <c r="OJZ575" s="173"/>
      <c r="OKA575" s="173"/>
      <c r="OKB575" s="509"/>
      <c r="OKD575" s="148"/>
      <c r="OKE575" s="148"/>
      <c r="OKF575" s="149"/>
      <c r="OKG575" s="150"/>
      <c r="OKI575" s="152"/>
      <c r="OKJ575" s="542"/>
      <c r="OKK575" s="154"/>
      <c r="OKL575" s="175"/>
      <c r="OKN575" s="156"/>
      <c r="OKO575" s="287"/>
      <c r="OKP575" s="488"/>
      <c r="OKQ575" s="489"/>
      <c r="OKR575" s="488"/>
      <c r="OKS575" s="300"/>
      <c r="OKT575" s="532"/>
      <c r="OKU575" s="533"/>
      <c r="OKV575" s="534"/>
      <c r="OKW575" s="316"/>
      <c r="OKX575" s="316"/>
      <c r="OKY575" s="471"/>
      <c r="OKZ575" s="472"/>
      <c r="OLA575" s="471"/>
      <c r="OLB575" s="473"/>
      <c r="OLC575" s="313"/>
      <c r="OLD575" s="535"/>
      <c r="OLE575" s="536"/>
      <c r="OLF575" s="537"/>
      <c r="OLG575" s="538"/>
      <c r="OLH575" s="539"/>
      <c r="OLI575" s="540"/>
      <c r="OLJ575" s="209"/>
      <c r="OLK575" s="541"/>
      <c r="OLL575" s="541"/>
      <c r="OLM575" s="482"/>
      <c r="OLN575" s="173"/>
      <c r="OLO575" s="173"/>
      <c r="OLP575" s="509"/>
      <c r="OLR575" s="148"/>
      <c r="OLS575" s="148"/>
      <c r="OLT575" s="149"/>
      <c r="OLU575" s="150"/>
      <c r="OLW575" s="152"/>
      <c r="OLX575" s="542"/>
      <c r="OLY575" s="154"/>
      <c r="OLZ575" s="175"/>
      <c r="OMB575" s="156"/>
      <c r="OMC575" s="287"/>
      <c r="OMD575" s="488"/>
      <c r="OME575" s="489"/>
      <c r="OMF575" s="488"/>
      <c r="OMG575" s="300"/>
      <c r="OMH575" s="532"/>
      <c r="OMI575" s="533"/>
      <c r="OMJ575" s="534"/>
      <c r="OMK575" s="316"/>
      <c r="OML575" s="316"/>
      <c r="OMM575" s="471"/>
      <c r="OMN575" s="472"/>
      <c r="OMO575" s="471"/>
      <c r="OMP575" s="473"/>
      <c r="OMQ575" s="313"/>
      <c r="OMR575" s="535"/>
      <c r="OMS575" s="536"/>
      <c r="OMT575" s="537"/>
      <c r="OMU575" s="538"/>
      <c r="OMV575" s="539"/>
      <c r="OMW575" s="540"/>
      <c r="OMX575" s="209"/>
      <c r="OMY575" s="541"/>
      <c r="OMZ575" s="541"/>
      <c r="ONA575" s="482"/>
      <c r="ONB575" s="173"/>
      <c r="ONC575" s="173"/>
      <c r="OND575" s="509"/>
      <c r="ONF575" s="148"/>
      <c r="ONG575" s="148"/>
      <c r="ONH575" s="149"/>
      <c r="ONI575" s="150"/>
      <c r="ONK575" s="152"/>
      <c r="ONL575" s="542"/>
      <c r="ONM575" s="154"/>
      <c r="ONN575" s="175"/>
      <c r="ONP575" s="156"/>
      <c r="ONQ575" s="287"/>
      <c r="ONR575" s="488"/>
      <c r="ONS575" s="489"/>
      <c r="ONT575" s="488"/>
      <c r="ONU575" s="300"/>
      <c r="ONV575" s="532"/>
      <c r="ONW575" s="533"/>
      <c r="ONX575" s="534"/>
      <c r="ONY575" s="316"/>
      <c r="ONZ575" s="316"/>
      <c r="OOA575" s="471"/>
      <c r="OOB575" s="472"/>
      <c r="OOC575" s="471"/>
      <c r="OOD575" s="473"/>
      <c r="OOE575" s="313"/>
      <c r="OOF575" s="535"/>
      <c r="OOG575" s="536"/>
      <c r="OOH575" s="537"/>
      <c r="OOI575" s="538"/>
      <c r="OOJ575" s="539"/>
      <c r="OOK575" s="540"/>
      <c r="OOL575" s="209"/>
      <c r="OOM575" s="541"/>
      <c r="OON575" s="541"/>
      <c r="OOO575" s="482"/>
      <c r="OOP575" s="173"/>
      <c r="OOQ575" s="173"/>
      <c r="OOR575" s="509"/>
      <c r="OOT575" s="148"/>
      <c r="OOU575" s="148"/>
      <c r="OOV575" s="149"/>
      <c r="OOW575" s="150"/>
      <c r="OOY575" s="152"/>
      <c r="OOZ575" s="542"/>
      <c r="OPA575" s="154"/>
      <c r="OPB575" s="175"/>
      <c r="OPD575" s="156"/>
      <c r="OPE575" s="287"/>
      <c r="OPF575" s="488"/>
      <c r="OPG575" s="489"/>
      <c r="OPH575" s="488"/>
      <c r="OPI575" s="300"/>
      <c r="OPJ575" s="532"/>
      <c r="OPK575" s="533"/>
      <c r="OPL575" s="534"/>
      <c r="OPM575" s="316"/>
      <c r="OPN575" s="316"/>
      <c r="OPO575" s="471"/>
      <c r="OPP575" s="472"/>
      <c r="OPQ575" s="471"/>
      <c r="OPR575" s="473"/>
      <c r="OPS575" s="313"/>
      <c r="OPT575" s="535"/>
      <c r="OPU575" s="536"/>
      <c r="OPV575" s="537"/>
      <c r="OPW575" s="538"/>
      <c r="OPX575" s="539"/>
      <c r="OPY575" s="540"/>
      <c r="OPZ575" s="209"/>
      <c r="OQA575" s="541"/>
      <c r="OQB575" s="541"/>
      <c r="OQC575" s="482"/>
      <c r="OQD575" s="173"/>
      <c r="OQE575" s="173"/>
      <c r="OQF575" s="509"/>
      <c r="OQH575" s="148"/>
      <c r="OQI575" s="148"/>
      <c r="OQJ575" s="149"/>
      <c r="OQK575" s="150"/>
      <c r="OQM575" s="152"/>
      <c r="OQN575" s="542"/>
      <c r="OQO575" s="154"/>
      <c r="OQP575" s="175"/>
      <c r="OQR575" s="156"/>
      <c r="OQS575" s="287"/>
      <c r="OQT575" s="488"/>
      <c r="OQU575" s="489"/>
      <c r="OQV575" s="488"/>
      <c r="OQW575" s="300"/>
      <c r="OQX575" s="532"/>
      <c r="OQY575" s="533"/>
      <c r="OQZ575" s="534"/>
      <c r="ORA575" s="316"/>
      <c r="ORB575" s="316"/>
      <c r="ORC575" s="471"/>
      <c r="ORD575" s="472"/>
      <c r="ORE575" s="471"/>
      <c r="ORF575" s="473"/>
      <c r="ORG575" s="313"/>
      <c r="ORH575" s="535"/>
      <c r="ORI575" s="536"/>
      <c r="ORJ575" s="537"/>
      <c r="ORK575" s="538"/>
      <c r="ORL575" s="539"/>
      <c r="ORM575" s="540"/>
      <c r="ORN575" s="209"/>
      <c r="ORO575" s="541"/>
      <c r="ORP575" s="541"/>
      <c r="ORQ575" s="482"/>
      <c r="ORR575" s="173"/>
      <c r="ORS575" s="173"/>
      <c r="ORT575" s="509"/>
      <c r="ORV575" s="148"/>
      <c r="ORW575" s="148"/>
      <c r="ORX575" s="149"/>
      <c r="ORY575" s="150"/>
      <c r="OSA575" s="152"/>
      <c r="OSB575" s="542"/>
      <c r="OSC575" s="154"/>
      <c r="OSD575" s="175"/>
      <c r="OSF575" s="156"/>
      <c r="OSG575" s="287"/>
      <c r="OSH575" s="488"/>
      <c r="OSI575" s="489"/>
      <c r="OSJ575" s="488"/>
      <c r="OSK575" s="300"/>
      <c r="OSL575" s="532"/>
      <c r="OSM575" s="533"/>
      <c r="OSN575" s="534"/>
      <c r="OSO575" s="316"/>
      <c r="OSP575" s="316"/>
      <c r="OSQ575" s="471"/>
      <c r="OSR575" s="472"/>
      <c r="OSS575" s="471"/>
      <c r="OST575" s="473"/>
      <c r="OSU575" s="313"/>
      <c r="OSV575" s="535"/>
      <c r="OSW575" s="536"/>
      <c r="OSX575" s="537"/>
      <c r="OSY575" s="538"/>
      <c r="OSZ575" s="539"/>
      <c r="OTA575" s="540"/>
      <c r="OTB575" s="209"/>
      <c r="OTC575" s="541"/>
      <c r="OTD575" s="541"/>
      <c r="OTE575" s="482"/>
      <c r="OTF575" s="173"/>
      <c r="OTG575" s="173"/>
      <c r="OTH575" s="509"/>
      <c r="OTJ575" s="148"/>
      <c r="OTK575" s="148"/>
      <c r="OTL575" s="149"/>
      <c r="OTM575" s="150"/>
      <c r="OTO575" s="152"/>
      <c r="OTP575" s="542"/>
      <c r="OTQ575" s="154"/>
      <c r="OTR575" s="175"/>
      <c r="OTT575" s="156"/>
      <c r="OTU575" s="287"/>
      <c r="OTV575" s="488"/>
      <c r="OTW575" s="489"/>
      <c r="OTX575" s="488"/>
      <c r="OTY575" s="300"/>
      <c r="OTZ575" s="532"/>
      <c r="OUA575" s="533"/>
      <c r="OUB575" s="534"/>
      <c r="OUC575" s="316"/>
      <c r="OUD575" s="316"/>
      <c r="OUE575" s="471"/>
      <c r="OUF575" s="472"/>
      <c r="OUG575" s="471"/>
      <c r="OUH575" s="473"/>
      <c r="OUI575" s="313"/>
      <c r="OUJ575" s="535"/>
      <c r="OUK575" s="536"/>
      <c r="OUL575" s="537"/>
      <c r="OUM575" s="538"/>
      <c r="OUN575" s="539"/>
      <c r="OUO575" s="540"/>
      <c r="OUP575" s="209"/>
      <c r="OUQ575" s="541"/>
      <c r="OUR575" s="541"/>
      <c r="OUS575" s="482"/>
      <c r="OUT575" s="173"/>
      <c r="OUU575" s="173"/>
      <c r="OUV575" s="509"/>
      <c r="OUX575" s="148"/>
      <c r="OUY575" s="148"/>
      <c r="OUZ575" s="149"/>
      <c r="OVA575" s="150"/>
      <c r="OVC575" s="152"/>
      <c r="OVD575" s="542"/>
      <c r="OVE575" s="154"/>
      <c r="OVF575" s="175"/>
      <c r="OVH575" s="156"/>
      <c r="OVI575" s="287"/>
      <c r="OVJ575" s="488"/>
      <c r="OVK575" s="489"/>
      <c r="OVL575" s="488"/>
      <c r="OVM575" s="300"/>
      <c r="OVN575" s="532"/>
      <c r="OVO575" s="533"/>
      <c r="OVP575" s="534"/>
      <c r="OVQ575" s="316"/>
      <c r="OVR575" s="316"/>
      <c r="OVS575" s="471"/>
      <c r="OVT575" s="472"/>
      <c r="OVU575" s="471"/>
      <c r="OVV575" s="473"/>
      <c r="OVW575" s="313"/>
      <c r="OVX575" s="535"/>
      <c r="OVY575" s="536"/>
      <c r="OVZ575" s="537"/>
      <c r="OWA575" s="538"/>
      <c r="OWB575" s="539"/>
      <c r="OWC575" s="540"/>
      <c r="OWD575" s="209"/>
      <c r="OWE575" s="541"/>
      <c r="OWF575" s="541"/>
      <c r="OWG575" s="482"/>
      <c r="OWH575" s="173"/>
      <c r="OWI575" s="173"/>
      <c r="OWJ575" s="509"/>
      <c r="OWL575" s="148"/>
      <c r="OWM575" s="148"/>
      <c r="OWN575" s="149"/>
      <c r="OWO575" s="150"/>
      <c r="OWQ575" s="152"/>
      <c r="OWR575" s="542"/>
      <c r="OWS575" s="154"/>
      <c r="OWT575" s="175"/>
      <c r="OWV575" s="156"/>
      <c r="OWW575" s="287"/>
      <c r="OWX575" s="488"/>
      <c r="OWY575" s="489"/>
      <c r="OWZ575" s="488"/>
      <c r="OXA575" s="300"/>
      <c r="OXB575" s="532"/>
      <c r="OXC575" s="533"/>
      <c r="OXD575" s="534"/>
      <c r="OXE575" s="316"/>
      <c r="OXF575" s="316"/>
      <c r="OXG575" s="471"/>
      <c r="OXH575" s="472"/>
      <c r="OXI575" s="471"/>
      <c r="OXJ575" s="473"/>
      <c r="OXK575" s="313"/>
      <c r="OXL575" s="535"/>
      <c r="OXM575" s="536"/>
      <c r="OXN575" s="537"/>
      <c r="OXO575" s="538"/>
      <c r="OXP575" s="539"/>
      <c r="OXQ575" s="540"/>
      <c r="OXR575" s="209"/>
      <c r="OXS575" s="541"/>
      <c r="OXT575" s="541"/>
      <c r="OXU575" s="482"/>
      <c r="OXV575" s="173"/>
      <c r="OXW575" s="173"/>
      <c r="OXX575" s="509"/>
      <c r="OXZ575" s="148"/>
      <c r="OYA575" s="148"/>
      <c r="OYB575" s="149"/>
      <c r="OYC575" s="150"/>
      <c r="OYE575" s="152"/>
      <c r="OYF575" s="542"/>
      <c r="OYG575" s="154"/>
      <c r="OYH575" s="175"/>
      <c r="OYJ575" s="156"/>
      <c r="OYK575" s="287"/>
      <c r="OYL575" s="488"/>
      <c r="OYM575" s="489"/>
      <c r="OYN575" s="488"/>
      <c r="OYO575" s="300"/>
      <c r="OYP575" s="532"/>
      <c r="OYQ575" s="533"/>
      <c r="OYR575" s="534"/>
      <c r="OYS575" s="316"/>
      <c r="OYT575" s="316"/>
      <c r="OYU575" s="471"/>
      <c r="OYV575" s="472"/>
      <c r="OYW575" s="471"/>
      <c r="OYX575" s="473"/>
      <c r="OYY575" s="313"/>
      <c r="OYZ575" s="535"/>
      <c r="OZA575" s="536"/>
      <c r="OZB575" s="537"/>
      <c r="OZC575" s="538"/>
      <c r="OZD575" s="539"/>
      <c r="OZE575" s="540"/>
      <c r="OZF575" s="209"/>
      <c r="OZG575" s="541"/>
      <c r="OZH575" s="541"/>
      <c r="OZI575" s="482"/>
      <c r="OZJ575" s="173"/>
      <c r="OZK575" s="173"/>
      <c r="OZL575" s="509"/>
      <c r="OZN575" s="148"/>
      <c r="OZO575" s="148"/>
      <c r="OZP575" s="149"/>
      <c r="OZQ575" s="150"/>
      <c r="OZS575" s="152"/>
      <c r="OZT575" s="542"/>
      <c r="OZU575" s="154"/>
      <c r="OZV575" s="175"/>
      <c r="OZX575" s="156"/>
      <c r="OZY575" s="287"/>
      <c r="OZZ575" s="488"/>
      <c r="PAA575" s="489"/>
      <c r="PAB575" s="488"/>
      <c r="PAC575" s="300"/>
      <c r="PAD575" s="532"/>
      <c r="PAE575" s="533"/>
      <c r="PAF575" s="534"/>
      <c r="PAG575" s="316"/>
      <c r="PAH575" s="316"/>
      <c r="PAI575" s="471"/>
      <c r="PAJ575" s="472"/>
      <c r="PAK575" s="471"/>
      <c r="PAL575" s="473"/>
      <c r="PAM575" s="313"/>
      <c r="PAN575" s="535"/>
      <c r="PAO575" s="536"/>
      <c r="PAP575" s="537"/>
      <c r="PAQ575" s="538"/>
      <c r="PAR575" s="539"/>
      <c r="PAS575" s="540"/>
      <c r="PAT575" s="209"/>
      <c r="PAU575" s="541"/>
      <c r="PAV575" s="541"/>
      <c r="PAW575" s="482"/>
      <c r="PAX575" s="173"/>
      <c r="PAY575" s="173"/>
      <c r="PAZ575" s="509"/>
      <c r="PBB575" s="148"/>
      <c r="PBC575" s="148"/>
      <c r="PBD575" s="149"/>
      <c r="PBE575" s="150"/>
      <c r="PBG575" s="152"/>
      <c r="PBH575" s="542"/>
      <c r="PBI575" s="154"/>
      <c r="PBJ575" s="175"/>
      <c r="PBL575" s="156"/>
      <c r="PBM575" s="287"/>
      <c r="PBN575" s="488"/>
      <c r="PBO575" s="489"/>
      <c r="PBP575" s="488"/>
      <c r="PBQ575" s="300"/>
      <c r="PBR575" s="532"/>
      <c r="PBS575" s="533"/>
      <c r="PBT575" s="534"/>
      <c r="PBU575" s="316"/>
      <c r="PBV575" s="316"/>
      <c r="PBW575" s="471"/>
      <c r="PBX575" s="472"/>
      <c r="PBY575" s="471"/>
      <c r="PBZ575" s="473"/>
      <c r="PCA575" s="313"/>
      <c r="PCB575" s="535"/>
      <c r="PCC575" s="536"/>
      <c r="PCD575" s="537"/>
      <c r="PCE575" s="538"/>
      <c r="PCF575" s="539"/>
      <c r="PCG575" s="540"/>
      <c r="PCH575" s="209"/>
      <c r="PCI575" s="541"/>
      <c r="PCJ575" s="541"/>
      <c r="PCK575" s="482"/>
      <c r="PCL575" s="173"/>
      <c r="PCM575" s="173"/>
      <c r="PCN575" s="509"/>
      <c r="PCP575" s="148"/>
      <c r="PCQ575" s="148"/>
      <c r="PCR575" s="149"/>
      <c r="PCS575" s="150"/>
      <c r="PCU575" s="152"/>
      <c r="PCV575" s="542"/>
      <c r="PCW575" s="154"/>
      <c r="PCX575" s="175"/>
      <c r="PCZ575" s="156"/>
      <c r="PDA575" s="287"/>
      <c r="PDB575" s="488"/>
      <c r="PDC575" s="489"/>
      <c r="PDD575" s="488"/>
      <c r="PDE575" s="300"/>
      <c r="PDF575" s="532"/>
      <c r="PDG575" s="533"/>
      <c r="PDH575" s="534"/>
      <c r="PDI575" s="316"/>
      <c r="PDJ575" s="316"/>
      <c r="PDK575" s="471"/>
      <c r="PDL575" s="472"/>
      <c r="PDM575" s="471"/>
      <c r="PDN575" s="473"/>
      <c r="PDO575" s="313"/>
      <c r="PDP575" s="535"/>
      <c r="PDQ575" s="536"/>
      <c r="PDR575" s="537"/>
      <c r="PDS575" s="538"/>
      <c r="PDT575" s="539"/>
      <c r="PDU575" s="540"/>
      <c r="PDV575" s="209"/>
      <c r="PDW575" s="541"/>
      <c r="PDX575" s="541"/>
      <c r="PDY575" s="482"/>
      <c r="PDZ575" s="173"/>
      <c r="PEA575" s="173"/>
      <c r="PEB575" s="509"/>
      <c r="PED575" s="148"/>
      <c r="PEE575" s="148"/>
      <c r="PEF575" s="149"/>
      <c r="PEG575" s="150"/>
      <c r="PEI575" s="152"/>
      <c r="PEJ575" s="542"/>
      <c r="PEK575" s="154"/>
      <c r="PEL575" s="175"/>
      <c r="PEN575" s="156"/>
      <c r="PEO575" s="287"/>
      <c r="PEP575" s="488"/>
      <c r="PEQ575" s="489"/>
      <c r="PER575" s="488"/>
      <c r="PES575" s="300"/>
      <c r="PET575" s="532"/>
      <c r="PEU575" s="533"/>
      <c r="PEV575" s="534"/>
      <c r="PEW575" s="316"/>
      <c r="PEX575" s="316"/>
      <c r="PEY575" s="471"/>
      <c r="PEZ575" s="472"/>
      <c r="PFA575" s="471"/>
      <c r="PFB575" s="473"/>
      <c r="PFC575" s="313"/>
      <c r="PFD575" s="535"/>
      <c r="PFE575" s="536"/>
      <c r="PFF575" s="537"/>
      <c r="PFG575" s="538"/>
      <c r="PFH575" s="539"/>
      <c r="PFI575" s="540"/>
      <c r="PFJ575" s="209"/>
      <c r="PFK575" s="541"/>
      <c r="PFL575" s="541"/>
      <c r="PFM575" s="482"/>
      <c r="PFN575" s="173"/>
      <c r="PFO575" s="173"/>
      <c r="PFP575" s="509"/>
      <c r="PFR575" s="148"/>
      <c r="PFS575" s="148"/>
      <c r="PFT575" s="149"/>
      <c r="PFU575" s="150"/>
      <c r="PFW575" s="152"/>
      <c r="PFX575" s="542"/>
      <c r="PFY575" s="154"/>
      <c r="PFZ575" s="175"/>
      <c r="PGB575" s="156"/>
      <c r="PGC575" s="287"/>
      <c r="PGD575" s="488"/>
      <c r="PGE575" s="489"/>
      <c r="PGF575" s="488"/>
      <c r="PGG575" s="300"/>
      <c r="PGH575" s="532"/>
      <c r="PGI575" s="533"/>
      <c r="PGJ575" s="534"/>
      <c r="PGK575" s="316"/>
      <c r="PGL575" s="316"/>
      <c r="PGM575" s="471"/>
      <c r="PGN575" s="472"/>
      <c r="PGO575" s="471"/>
      <c r="PGP575" s="473"/>
      <c r="PGQ575" s="313"/>
      <c r="PGR575" s="535"/>
      <c r="PGS575" s="536"/>
      <c r="PGT575" s="537"/>
      <c r="PGU575" s="538"/>
      <c r="PGV575" s="539"/>
      <c r="PGW575" s="540"/>
      <c r="PGX575" s="209"/>
      <c r="PGY575" s="541"/>
      <c r="PGZ575" s="541"/>
      <c r="PHA575" s="482"/>
      <c r="PHB575" s="173"/>
      <c r="PHC575" s="173"/>
      <c r="PHD575" s="509"/>
      <c r="PHF575" s="148"/>
      <c r="PHG575" s="148"/>
      <c r="PHH575" s="149"/>
      <c r="PHI575" s="150"/>
      <c r="PHK575" s="152"/>
      <c r="PHL575" s="542"/>
      <c r="PHM575" s="154"/>
      <c r="PHN575" s="175"/>
      <c r="PHP575" s="156"/>
      <c r="PHQ575" s="287"/>
      <c r="PHR575" s="488"/>
      <c r="PHS575" s="489"/>
      <c r="PHT575" s="488"/>
      <c r="PHU575" s="300"/>
      <c r="PHV575" s="532"/>
      <c r="PHW575" s="533"/>
      <c r="PHX575" s="534"/>
      <c r="PHY575" s="316"/>
      <c r="PHZ575" s="316"/>
      <c r="PIA575" s="471"/>
      <c r="PIB575" s="472"/>
      <c r="PIC575" s="471"/>
      <c r="PID575" s="473"/>
      <c r="PIE575" s="313"/>
      <c r="PIF575" s="535"/>
      <c r="PIG575" s="536"/>
      <c r="PIH575" s="537"/>
      <c r="PII575" s="538"/>
      <c r="PIJ575" s="539"/>
      <c r="PIK575" s="540"/>
      <c r="PIL575" s="209"/>
      <c r="PIM575" s="541"/>
      <c r="PIN575" s="541"/>
      <c r="PIO575" s="482"/>
      <c r="PIP575" s="173"/>
      <c r="PIQ575" s="173"/>
      <c r="PIR575" s="509"/>
      <c r="PIT575" s="148"/>
      <c r="PIU575" s="148"/>
      <c r="PIV575" s="149"/>
      <c r="PIW575" s="150"/>
      <c r="PIY575" s="152"/>
      <c r="PIZ575" s="542"/>
      <c r="PJA575" s="154"/>
      <c r="PJB575" s="175"/>
      <c r="PJD575" s="156"/>
      <c r="PJE575" s="287"/>
      <c r="PJF575" s="488"/>
      <c r="PJG575" s="489"/>
      <c r="PJH575" s="488"/>
      <c r="PJI575" s="300"/>
      <c r="PJJ575" s="532"/>
      <c r="PJK575" s="533"/>
      <c r="PJL575" s="534"/>
      <c r="PJM575" s="316"/>
      <c r="PJN575" s="316"/>
      <c r="PJO575" s="471"/>
      <c r="PJP575" s="472"/>
      <c r="PJQ575" s="471"/>
      <c r="PJR575" s="473"/>
      <c r="PJS575" s="313"/>
      <c r="PJT575" s="535"/>
      <c r="PJU575" s="536"/>
      <c r="PJV575" s="537"/>
      <c r="PJW575" s="538"/>
      <c r="PJX575" s="539"/>
      <c r="PJY575" s="540"/>
      <c r="PJZ575" s="209"/>
      <c r="PKA575" s="541"/>
      <c r="PKB575" s="541"/>
      <c r="PKC575" s="482"/>
      <c r="PKD575" s="173"/>
      <c r="PKE575" s="173"/>
      <c r="PKF575" s="509"/>
      <c r="PKH575" s="148"/>
      <c r="PKI575" s="148"/>
      <c r="PKJ575" s="149"/>
      <c r="PKK575" s="150"/>
      <c r="PKM575" s="152"/>
      <c r="PKN575" s="542"/>
      <c r="PKO575" s="154"/>
      <c r="PKP575" s="175"/>
      <c r="PKR575" s="156"/>
      <c r="PKS575" s="287"/>
      <c r="PKT575" s="488"/>
      <c r="PKU575" s="489"/>
      <c r="PKV575" s="488"/>
      <c r="PKW575" s="300"/>
      <c r="PKX575" s="532"/>
      <c r="PKY575" s="533"/>
      <c r="PKZ575" s="534"/>
      <c r="PLA575" s="316"/>
      <c r="PLB575" s="316"/>
      <c r="PLC575" s="471"/>
      <c r="PLD575" s="472"/>
      <c r="PLE575" s="471"/>
      <c r="PLF575" s="473"/>
      <c r="PLG575" s="313"/>
      <c r="PLH575" s="535"/>
      <c r="PLI575" s="536"/>
      <c r="PLJ575" s="537"/>
      <c r="PLK575" s="538"/>
      <c r="PLL575" s="539"/>
      <c r="PLM575" s="540"/>
      <c r="PLN575" s="209"/>
      <c r="PLO575" s="541"/>
      <c r="PLP575" s="541"/>
      <c r="PLQ575" s="482"/>
      <c r="PLR575" s="173"/>
      <c r="PLS575" s="173"/>
      <c r="PLT575" s="509"/>
      <c r="PLV575" s="148"/>
      <c r="PLW575" s="148"/>
      <c r="PLX575" s="149"/>
      <c r="PLY575" s="150"/>
      <c r="PMA575" s="152"/>
      <c r="PMB575" s="542"/>
      <c r="PMC575" s="154"/>
      <c r="PMD575" s="175"/>
      <c r="PMF575" s="156"/>
      <c r="PMG575" s="287"/>
      <c r="PMH575" s="488"/>
      <c r="PMI575" s="489"/>
      <c r="PMJ575" s="488"/>
      <c r="PMK575" s="300"/>
      <c r="PML575" s="532"/>
      <c r="PMM575" s="533"/>
      <c r="PMN575" s="534"/>
      <c r="PMO575" s="316"/>
      <c r="PMP575" s="316"/>
      <c r="PMQ575" s="471"/>
      <c r="PMR575" s="472"/>
      <c r="PMS575" s="471"/>
      <c r="PMT575" s="473"/>
      <c r="PMU575" s="313"/>
      <c r="PMV575" s="535"/>
      <c r="PMW575" s="536"/>
      <c r="PMX575" s="537"/>
      <c r="PMY575" s="538"/>
      <c r="PMZ575" s="539"/>
      <c r="PNA575" s="540"/>
      <c r="PNB575" s="209"/>
      <c r="PNC575" s="541"/>
      <c r="PND575" s="541"/>
      <c r="PNE575" s="482"/>
      <c r="PNF575" s="173"/>
      <c r="PNG575" s="173"/>
      <c r="PNH575" s="509"/>
      <c r="PNJ575" s="148"/>
      <c r="PNK575" s="148"/>
      <c r="PNL575" s="149"/>
      <c r="PNM575" s="150"/>
      <c r="PNO575" s="152"/>
      <c r="PNP575" s="542"/>
      <c r="PNQ575" s="154"/>
      <c r="PNR575" s="175"/>
      <c r="PNT575" s="156"/>
      <c r="PNU575" s="287"/>
      <c r="PNV575" s="488"/>
      <c r="PNW575" s="489"/>
      <c r="PNX575" s="488"/>
      <c r="PNY575" s="300"/>
      <c r="PNZ575" s="532"/>
      <c r="POA575" s="533"/>
      <c r="POB575" s="534"/>
      <c r="POC575" s="316"/>
      <c r="POD575" s="316"/>
      <c r="POE575" s="471"/>
      <c r="POF575" s="472"/>
      <c r="POG575" s="471"/>
      <c r="POH575" s="473"/>
      <c r="POI575" s="313"/>
      <c r="POJ575" s="535"/>
      <c r="POK575" s="536"/>
      <c r="POL575" s="537"/>
      <c r="POM575" s="538"/>
      <c r="PON575" s="539"/>
      <c r="POO575" s="540"/>
      <c r="POP575" s="209"/>
      <c r="POQ575" s="541"/>
      <c r="POR575" s="541"/>
      <c r="POS575" s="482"/>
      <c r="POT575" s="173"/>
      <c r="POU575" s="173"/>
      <c r="POV575" s="509"/>
      <c r="POX575" s="148"/>
      <c r="POY575" s="148"/>
      <c r="POZ575" s="149"/>
      <c r="PPA575" s="150"/>
      <c r="PPC575" s="152"/>
      <c r="PPD575" s="542"/>
      <c r="PPE575" s="154"/>
      <c r="PPF575" s="175"/>
      <c r="PPH575" s="156"/>
      <c r="PPI575" s="287"/>
      <c r="PPJ575" s="488"/>
      <c r="PPK575" s="489"/>
      <c r="PPL575" s="488"/>
      <c r="PPM575" s="300"/>
      <c r="PPN575" s="532"/>
      <c r="PPO575" s="533"/>
      <c r="PPP575" s="534"/>
      <c r="PPQ575" s="316"/>
      <c r="PPR575" s="316"/>
      <c r="PPS575" s="471"/>
      <c r="PPT575" s="472"/>
      <c r="PPU575" s="471"/>
      <c r="PPV575" s="473"/>
      <c r="PPW575" s="313"/>
      <c r="PPX575" s="535"/>
      <c r="PPY575" s="536"/>
      <c r="PPZ575" s="537"/>
      <c r="PQA575" s="538"/>
      <c r="PQB575" s="539"/>
      <c r="PQC575" s="540"/>
      <c r="PQD575" s="209"/>
      <c r="PQE575" s="541"/>
      <c r="PQF575" s="541"/>
      <c r="PQG575" s="482"/>
      <c r="PQH575" s="173"/>
      <c r="PQI575" s="173"/>
      <c r="PQJ575" s="509"/>
      <c r="PQL575" s="148"/>
      <c r="PQM575" s="148"/>
      <c r="PQN575" s="149"/>
      <c r="PQO575" s="150"/>
      <c r="PQQ575" s="152"/>
      <c r="PQR575" s="542"/>
      <c r="PQS575" s="154"/>
      <c r="PQT575" s="175"/>
      <c r="PQV575" s="156"/>
      <c r="PQW575" s="287"/>
      <c r="PQX575" s="488"/>
      <c r="PQY575" s="489"/>
      <c r="PQZ575" s="488"/>
      <c r="PRA575" s="300"/>
      <c r="PRB575" s="532"/>
      <c r="PRC575" s="533"/>
      <c r="PRD575" s="534"/>
      <c r="PRE575" s="316"/>
      <c r="PRF575" s="316"/>
      <c r="PRG575" s="471"/>
      <c r="PRH575" s="472"/>
      <c r="PRI575" s="471"/>
      <c r="PRJ575" s="473"/>
      <c r="PRK575" s="313"/>
      <c r="PRL575" s="535"/>
      <c r="PRM575" s="536"/>
      <c r="PRN575" s="537"/>
      <c r="PRO575" s="538"/>
      <c r="PRP575" s="539"/>
      <c r="PRQ575" s="540"/>
      <c r="PRR575" s="209"/>
      <c r="PRS575" s="541"/>
      <c r="PRT575" s="541"/>
      <c r="PRU575" s="482"/>
      <c r="PRV575" s="173"/>
      <c r="PRW575" s="173"/>
      <c r="PRX575" s="509"/>
      <c r="PRZ575" s="148"/>
      <c r="PSA575" s="148"/>
      <c r="PSB575" s="149"/>
      <c r="PSC575" s="150"/>
      <c r="PSE575" s="152"/>
      <c r="PSF575" s="542"/>
      <c r="PSG575" s="154"/>
      <c r="PSH575" s="175"/>
      <c r="PSJ575" s="156"/>
      <c r="PSK575" s="287"/>
      <c r="PSL575" s="488"/>
      <c r="PSM575" s="489"/>
      <c r="PSN575" s="488"/>
      <c r="PSO575" s="300"/>
      <c r="PSP575" s="532"/>
      <c r="PSQ575" s="533"/>
      <c r="PSR575" s="534"/>
      <c r="PSS575" s="316"/>
      <c r="PST575" s="316"/>
      <c r="PSU575" s="471"/>
      <c r="PSV575" s="472"/>
      <c r="PSW575" s="471"/>
      <c r="PSX575" s="473"/>
      <c r="PSY575" s="313"/>
      <c r="PSZ575" s="535"/>
      <c r="PTA575" s="536"/>
      <c r="PTB575" s="537"/>
      <c r="PTC575" s="538"/>
      <c r="PTD575" s="539"/>
      <c r="PTE575" s="540"/>
      <c r="PTF575" s="209"/>
      <c r="PTG575" s="541"/>
      <c r="PTH575" s="541"/>
      <c r="PTI575" s="482"/>
      <c r="PTJ575" s="173"/>
      <c r="PTK575" s="173"/>
      <c r="PTL575" s="509"/>
      <c r="PTN575" s="148"/>
      <c r="PTO575" s="148"/>
      <c r="PTP575" s="149"/>
      <c r="PTQ575" s="150"/>
      <c r="PTS575" s="152"/>
      <c r="PTT575" s="542"/>
      <c r="PTU575" s="154"/>
      <c r="PTV575" s="175"/>
      <c r="PTX575" s="156"/>
      <c r="PTY575" s="287"/>
      <c r="PTZ575" s="488"/>
      <c r="PUA575" s="489"/>
      <c r="PUB575" s="488"/>
      <c r="PUC575" s="300"/>
      <c r="PUD575" s="532"/>
      <c r="PUE575" s="533"/>
      <c r="PUF575" s="534"/>
      <c r="PUG575" s="316"/>
      <c r="PUH575" s="316"/>
      <c r="PUI575" s="471"/>
      <c r="PUJ575" s="472"/>
      <c r="PUK575" s="471"/>
      <c r="PUL575" s="473"/>
      <c r="PUM575" s="313"/>
      <c r="PUN575" s="535"/>
      <c r="PUO575" s="536"/>
      <c r="PUP575" s="537"/>
      <c r="PUQ575" s="538"/>
      <c r="PUR575" s="539"/>
      <c r="PUS575" s="540"/>
      <c r="PUT575" s="209"/>
      <c r="PUU575" s="541"/>
      <c r="PUV575" s="541"/>
      <c r="PUW575" s="482"/>
      <c r="PUX575" s="173"/>
      <c r="PUY575" s="173"/>
      <c r="PUZ575" s="509"/>
      <c r="PVB575" s="148"/>
      <c r="PVC575" s="148"/>
      <c r="PVD575" s="149"/>
      <c r="PVE575" s="150"/>
      <c r="PVG575" s="152"/>
      <c r="PVH575" s="542"/>
      <c r="PVI575" s="154"/>
      <c r="PVJ575" s="175"/>
      <c r="PVL575" s="156"/>
      <c r="PVM575" s="287"/>
      <c r="PVN575" s="488"/>
      <c r="PVO575" s="489"/>
      <c r="PVP575" s="488"/>
      <c r="PVQ575" s="300"/>
      <c r="PVR575" s="532"/>
      <c r="PVS575" s="533"/>
      <c r="PVT575" s="534"/>
      <c r="PVU575" s="316"/>
      <c r="PVV575" s="316"/>
      <c r="PVW575" s="471"/>
      <c r="PVX575" s="472"/>
      <c r="PVY575" s="471"/>
      <c r="PVZ575" s="473"/>
      <c r="PWA575" s="313"/>
      <c r="PWB575" s="535"/>
      <c r="PWC575" s="536"/>
      <c r="PWD575" s="537"/>
      <c r="PWE575" s="538"/>
      <c r="PWF575" s="539"/>
      <c r="PWG575" s="540"/>
      <c r="PWH575" s="209"/>
      <c r="PWI575" s="541"/>
      <c r="PWJ575" s="541"/>
      <c r="PWK575" s="482"/>
      <c r="PWL575" s="173"/>
      <c r="PWM575" s="173"/>
      <c r="PWN575" s="509"/>
      <c r="PWP575" s="148"/>
      <c r="PWQ575" s="148"/>
      <c r="PWR575" s="149"/>
      <c r="PWS575" s="150"/>
      <c r="PWU575" s="152"/>
      <c r="PWV575" s="542"/>
      <c r="PWW575" s="154"/>
      <c r="PWX575" s="175"/>
      <c r="PWZ575" s="156"/>
      <c r="PXA575" s="287"/>
      <c r="PXB575" s="488"/>
      <c r="PXC575" s="489"/>
      <c r="PXD575" s="488"/>
      <c r="PXE575" s="300"/>
      <c r="PXF575" s="532"/>
      <c r="PXG575" s="533"/>
      <c r="PXH575" s="534"/>
      <c r="PXI575" s="316"/>
      <c r="PXJ575" s="316"/>
      <c r="PXK575" s="471"/>
      <c r="PXL575" s="472"/>
      <c r="PXM575" s="471"/>
      <c r="PXN575" s="473"/>
      <c r="PXO575" s="313"/>
      <c r="PXP575" s="535"/>
      <c r="PXQ575" s="536"/>
      <c r="PXR575" s="537"/>
      <c r="PXS575" s="538"/>
      <c r="PXT575" s="539"/>
      <c r="PXU575" s="540"/>
      <c r="PXV575" s="209"/>
      <c r="PXW575" s="541"/>
      <c r="PXX575" s="541"/>
      <c r="PXY575" s="482"/>
      <c r="PXZ575" s="173"/>
      <c r="PYA575" s="173"/>
      <c r="PYB575" s="509"/>
      <c r="PYD575" s="148"/>
      <c r="PYE575" s="148"/>
      <c r="PYF575" s="149"/>
      <c r="PYG575" s="150"/>
      <c r="PYI575" s="152"/>
      <c r="PYJ575" s="542"/>
      <c r="PYK575" s="154"/>
      <c r="PYL575" s="175"/>
      <c r="PYN575" s="156"/>
      <c r="PYO575" s="287"/>
      <c r="PYP575" s="488"/>
      <c r="PYQ575" s="489"/>
      <c r="PYR575" s="488"/>
      <c r="PYS575" s="300"/>
      <c r="PYT575" s="532"/>
      <c r="PYU575" s="533"/>
      <c r="PYV575" s="534"/>
      <c r="PYW575" s="316"/>
      <c r="PYX575" s="316"/>
      <c r="PYY575" s="471"/>
      <c r="PYZ575" s="472"/>
      <c r="PZA575" s="471"/>
      <c r="PZB575" s="473"/>
      <c r="PZC575" s="313"/>
      <c r="PZD575" s="535"/>
      <c r="PZE575" s="536"/>
      <c r="PZF575" s="537"/>
      <c r="PZG575" s="538"/>
      <c r="PZH575" s="539"/>
      <c r="PZI575" s="540"/>
      <c r="PZJ575" s="209"/>
      <c r="PZK575" s="541"/>
      <c r="PZL575" s="541"/>
      <c r="PZM575" s="482"/>
      <c r="PZN575" s="173"/>
      <c r="PZO575" s="173"/>
      <c r="PZP575" s="509"/>
      <c r="PZR575" s="148"/>
      <c r="PZS575" s="148"/>
      <c r="PZT575" s="149"/>
      <c r="PZU575" s="150"/>
      <c r="PZW575" s="152"/>
      <c r="PZX575" s="542"/>
      <c r="PZY575" s="154"/>
      <c r="PZZ575" s="175"/>
      <c r="QAB575" s="156"/>
      <c r="QAC575" s="287"/>
      <c r="QAD575" s="488"/>
      <c r="QAE575" s="489"/>
      <c r="QAF575" s="488"/>
      <c r="QAG575" s="300"/>
      <c r="QAH575" s="532"/>
      <c r="QAI575" s="533"/>
      <c r="QAJ575" s="534"/>
      <c r="QAK575" s="316"/>
      <c r="QAL575" s="316"/>
      <c r="QAM575" s="471"/>
      <c r="QAN575" s="472"/>
      <c r="QAO575" s="471"/>
      <c r="QAP575" s="473"/>
      <c r="QAQ575" s="313"/>
      <c r="QAR575" s="535"/>
      <c r="QAS575" s="536"/>
      <c r="QAT575" s="537"/>
      <c r="QAU575" s="538"/>
      <c r="QAV575" s="539"/>
      <c r="QAW575" s="540"/>
      <c r="QAX575" s="209"/>
      <c r="QAY575" s="541"/>
      <c r="QAZ575" s="541"/>
      <c r="QBA575" s="482"/>
      <c r="QBB575" s="173"/>
      <c r="QBC575" s="173"/>
      <c r="QBD575" s="509"/>
      <c r="QBF575" s="148"/>
      <c r="QBG575" s="148"/>
      <c r="QBH575" s="149"/>
      <c r="QBI575" s="150"/>
      <c r="QBK575" s="152"/>
      <c r="QBL575" s="542"/>
      <c r="QBM575" s="154"/>
      <c r="QBN575" s="175"/>
      <c r="QBP575" s="156"/>
      <c r="QBQ575" s="287"/>
      <c r="QBR575" s="488"/>
      <c r="QBS575" s="489"/>
      <c r="QBT575" s="488"/>
      <c r="QBU575" s="300"/>
      <c r="QBV575" s="532"/>
      <c r="QBW575" s="533"/>
      <c r="QBX575" s="534"/>
      <c r="QBY575" s="316"/>
      <c r="QBZ575" s="316"/>
      <c r="QCA575" s="471"/>
      <c r="QCB575" s="472"/>
      <c r="QCC575" s="471"/>
      <c r="QCD575" s="473"/>
      <c r="QCE575" s="313"/>
      <c r="QCF575" s="535"/>
      <c r="QCG575" s="536"/>
      <c r="QCH575" s="537"/>
      <c r="QCI575" s="538"/>
      <c r="QCJ575" s="539"/>
      <c r="QCK575" s="540"/>
      <c r="QCL575" s="209"/>
      <c r="QCM575" s="541"/>
      <c r="QCN575" s="541"/>
      <c r="QCO575" s="482"/>
      <c r="QCP575" s="173"/>
      <c r="QCQ575" s="173"/>
      <c r="QCR575" s="509"/>
      <c r="QCT575" s="148"/>
      <c r="QCU575" s="148"/>
      <c r="QCV575" s="149"/>
      <c r="QCW575" s="150"/>
      <c r="QCY575" s="152"/>
      <c r="QCZ575" s="542"/>
      <c r="QDA575" s="154"/>
      <c r="QDB575" s="175"/>
      <c r="QDD575" s="156"/>
      <c r="QDE575" s="287"/>
      <c r="QDF575" s="488"/>
      <c r="QDG575" s="489"/>
      <c r="QDH575" s="488"/>
      <c r="QDI575" s="300"/>
      <c r="QDJ575" s="532"/>
      <c r="QDK575" s="533"/>
      <c r="QDL575" s="534"/>
      <c r="QDM575" s="316"/>
      <c r="QDN575" s="316"/>
      <c r="QDO575" s="471"/>
      <c r="QDP575" s="472"/>
      <c r="QDQ575" s="471"/>
      <c r="QDR575" s="473"/>
      <c r="QDS575" s="313"/>
      <c r="QDT575" s="535"/>
      <c r="QDU575" s="536"/>
      <c r="QDV575" s="537"/>
      <c r="QDW575" s="538"/>
      <c r="QDX575" s="539"/>
      <c r="QDY575" s="540"/>
      <c r="QDZ575" s="209"/>
      <c r="QEA575" s="541"/>
      <c r="QEB575" s="541"/>
      <c r="QEC575" s="482"/>
      <c r="QED575" s="173"/>
      <c r="QEE575" s="173"/>
      <c r="QEF575" s="509"/>
      <c r="QEH575" s="148"/>
      <c r="QEI575" s="148"/>
      <c r="QEJ575" s="149"/>
      <c r="QEK575" s="150"/>
      <c r="QEM575" s="152"/>
      <c r="QEN575" s="542"/>
      <c r="QEO575" s="154"/>
      <c r="QEP575" s="175"/>
      <c r="QER575" s="156"/>
      <c r="QES575" s="287"/>
      <c r="QET575" s="488"/>
      <c r="QEU575" s="489"/>
      <c r="QEV575" s="488"/>
      <c r="QEW575" s="300"/>
      <c r="QEX575" s="532"/>
      <c r="QEY575" s="533"/>
      <c r="QEZ575" s="534"/>
      <c r="QFA575" s="316"/>
      <c r="QFB575" s="316"/>
      <c r="QFC575" s="471"/>
      <c r="QFD575" s="472"/>
      <c r="QFE575" s="471"/>
      <c r="QFF575" s="473"/>
      <c r="QFG575" s="313"/>
      <c r="QFH575" s="535"/>
      <c r="QFI575" s="536"/>
      <c r="QFJ575" s="537"/>
      <c r="QFK575" s="538"/>
      <c r="QFL575" s="539"/>
      <c r="QFM575" s="540"/>
      <c r="QFN575" s="209"/>
      <c r="QFO575" s="541"/>
      <c r="QFP575" s="541"/>
      <c r="QFQ575" s="482"/>
      <c r="QFR575" s="173"/>
      <c r="QFS575" s="173"/>
      <c r="QFT575" s="509"/>
      <c r="QFV575" s="148"/>
      <c r="QFW575" s="148"/>
      <c r="QFX575" s="149"/>
      <c r="QFY575" s="150"/>
      <c r="QGA575" s="152"/>
      <c r="QGB575" s="542"/>
      <c r="QGC575" s="154"/>
      <c r="QGD575" s="175"/>
      <c r="QGF575" s="156"/>
      <c r="QGG575" s="287"/>
      <c r="QGH575" s="488"/>
      <c r="QGI575" s="489"/>
      <c r="QGJ575" s="488"/>
      <c r="QGK575" s="300"/>
      <c r="QGL575" s="532"/>
      <c r="QGM575" s="533"/>
      <c r="QGN575" s="534"/>
      <c r="QGO575" s="316"/>
      <c r="QGP575" s="316"/>
      <c r="QGQ575" s="471"/>
      <c r="QGR575" s="472"/>
      <c r="QGS575" s="471"/>
      <c r="QGT575" s="473"/>
      <c r="QGU575" s="313"/>
      <c r="QGV575" s="535"/>
      <c r="QGW575" s="536"/>
      <c r="QGX575" s="537"/>
      <c r="QGY575" s="538"/>
      <c r="QGZ575" s="539"/>
      <c r="QHA575" s="540"/>
      <c r="QHB575" s="209"/>
      <c r="QHC575" s="541"/>
      <c r="QHD575" s="541"/>
      <c r="QHE575" s="482"/>
      <c r="QHF575" s="173"/>
      <c r="QHG575" s="173"/>
      <c r="QHH575" s="509"/>
      <c r="QHJ575" s="148"/>
      <c r="QHK575" s="148"/>
      <c r="QHL575" s="149"/>
      <c r="QHM575" s="150"/>
      <c r="QHO575" s="152"/>
      <c r="QHP575" s="542"/>
      <c r="QHQ575" s="154"/>
      <c r="QHR575" s="175"/>
      <c r="QHT575" s="156"/>
      <c r="QHU575" s="287"/>
      <c r="QHV575" s="488"/>
      <c r="QHW575" s="489"/>
      <c r="QHX575" s="488"/>
      <c r="QHY575" s="300"/>
      <c r="QHZ575" s="532"/>
      <c r="QIA575" s="533"/>
      <c r="QIB575" s="534"/>
      <c r="QIC575" s="316"/>
      <c r="QID575" s="316"/>
      <c r="QIE575" s="471"/>
      <c r="QIF575" s="472"/>
      <c r="QIG575" s="471"/>
      <c r="QIH575" s="473"/>
      <c r="QII575" s="313"/>
      <c r="QIJ575" s="535"/>
      <c r="QIK575" s="536"/>
      <c r="QIL575" s="537"/>
      <c r="QIM575" s="538"/>
      <c r="QIN575" s="539"/>
      <c r="QIO575" s="540"/>
      <c r="QIP575" s="209"/>
      <c r="QIQ575" s="541"/>
      <c r="QIR575" s="541"/>
      <c r="QIS575" s="482"/>
      <c r="QIT575" s="173"/>
      <c r="QIU575" s="173"/>
      <c r="QIV575" s="509"/>
      <c r="QIX575" s="148"/>
      <c r="QIY575" s="148"/>
      <c r="QIZ575" s="149"/>
      <c r="QJA575" s="150"/>
      <c r="QJC575" s="152"/>
      <c r="QJD575" s="542"/>
      <c r="QJE575" s="154"/>
      <c r="QJF575" s="175"/>
      <c r="QJH575" s="156"/>
      <c r="QJI575" s="287"/>
      <c r="QJJ575" s="488"/>
      <c r="QJK575" s="489"/>
      <c r="QJL575" s="488"/>
      <c r="QJM575" s="300"/>
      <c r="QJN575" s="532"/>
      <c r="QJO575" s="533"/>
      <c r="QJP575" s="534"/>
      <c r="QJQ575" s="316"/>
      <c r="QJR575" s="316"/>
      <c r="QJS575" s="471"/>
      <c r="QJT575" s="472"/>
      <c r="QJU575" s="471"/>
      <c r="QJV575" s="473"/>
      <c r="QJW575" s="313"/>
      <c r="QJX575" s="535"/>
      <c r="QJY575" s="536"/>
      <c r="QJZ575" s="537"/>
      <c r="QKA575" s="538"/>
      <c r="QKB575" s="539"/>
      <c r="QKC575" s="540"/>
      <c r="QKD575" s="209"/>
      <c r="QKE575" s="541"/>
      <c r="QKF575" s="541"/>
      <c r="QKG575" s="482"/>
      <c r="QKH575" s="173"/>
      <c r="QKI575" s="173"/>
      <c r="QKJ575" s="509"/>
      <c r="QKL575" s="148"/>
      <c r="QKM575" s="148"/>
      <c r="QKN575" s="149"/>
      <c r="QKO575" s="150"/>
      <c r="QKQ575" s="152"/>
      <c r="QKR575" s="542"/>
      <c r="QKS575" s="154"/>
      <c r="QKT575" s="175"/>
      <c r="QKV575" s="156"/>
      <c r="QKW575" s="287"/>
      <c r="QKX575" s="488"/>
      <c r="QKY575" s="489"/>
      <c r="QKZ575" s="488"/>
      <c r="QLA575" s="300"/>
      <c r="QLB575" s="532"/>
      <c r="QLC575" s="533"/>
      <c r="QLD575" s="534"/>
      <c r="QLE575" s="316"/>
      <c r="QLF575" s="316"/>
      <c r="QLG575" s="471"/>
      <c r="QLH575" s="472"/>
      <c r="QLI575" s="471"/>
      <c r="QLJ575" s="473"/>
      <c r="QLK575" s="313"/>
      <c r="QLL575" s="535"/>
      <c r="QLM575" s="536"/>
      <c r="QLN575" s="537"/>
      <c r="QLO575" s="538"/>
      <c r="QLP575" s="539"/>
      <c r="QLQ575" s="540"/>
      <c r="QLR575" s="209"/>
      <c r="QLS575" s="541"/>
      <c r="QLT575" s="541"/>
      <c r="QLU575" s="482"/>
      <c r="QLV575" s="173"/>
      <c r="QLW575" s="173"/>
      <c r="QLX575" s="509"/>
      <c r="QLZ575" s="148"/>
      <c r="QMA575" s="148"/>
      <c r="QMB575" s="149"/>
      <c r="QMC575" s="150"/>
      <c r="QME575" s="152"/>
      <c r="QMF575" s="542"/>
      <c r="QMG575" s="154"/>
      <c r="QMH575" s="175"/>
      <c r="QMJ575" s="156"/>
      <c r="QMK575" s="287"/>
      <c r="QML575" s="488"/>
      <c r="QMM575" s="489"/>
      <c r="QMN575" s="488"/>
      <c r="QMO575" s="300"/>
      <c r="QMP575" s="532"/>
      <c r="QMQ575" s="533"/>
      <c r="QMR575" s="534"/>
      <c r="QMS575" s="316"/>
      <c r="QMT575" s="316"/>
      <c r="QMU575" s="471"/>
      <c r="QMV575" s="472"/>
      <c r="QMW575" s="471"/>
      <c r="QMX575" s="473"/>
      <c r="QMY575" s="313"/>
      <c r="QMZ575" s="535"/>
      <c r="QNA575" s="536"/>
      <c r="QNB575" s="537"/>
      <c r="QNC575" s="538"/>
      <c r="QND575" s="539"/>
      <c r="QNE575" s="540"/>
      <c r="QNF575" s="209"/>
      <c r="QNG575" s="541"/>
      <c r="QNH575" s="541"/>
      <c r="QNI575" s="482"/>
      <c r="QNJ575" s="173"/>
      <c r="QNK575" s="173"/>
      <c r="QNL575" s="509"/>
      <c r="QNN575" s="148"/>
      <c r="QNO575" s="148"/>
      <c r="QNP575" s="149"/>
      <c r="QNQ575" s="150"/>
      <c r="QNS575" s="152"/>
      <c r="QNT575" s="542"/>
      <c r="QNU575" s="154"/>
      <c r="QNV575" s="175"/>
      <c r="QNX575" s="156"/>
      <c r="QNY575" s="287"/>
      <c r="QNZ575" s="488"/>
      <c r="QOA575" s="489"/>
      <c r="QOB575" s="488"/>
      <c r="QOC575" s="300"/>
      <c r="QOD575" s="532"/>
      <c r="QOE575" s="533"/>
      <c r="QOF575" s="534"/>
      <c r="QOG575" s="316"/>
      <c r="QOH575" s="316"/>
      <c r="QOI575" s="471"/>
      <c r="QOJ575" s="472"/>
      <c r="QOK575" s="471"/>
      <c r="QOL575" s="473"/>
      <c r="QOM575" s="313"/>
      <c r="QON575" s="535"/>
      <c r="QOO575" s="536"/>
      <c r="QOP575" s="537"/>
      <c r="QOQ575" s="538"/>
      <c r="QOR575" s="539"/>
      <c r="QOS575" s="540"/>
      <c r="QOT575" s="209"/>
      <c r="QOU575" s="541"/>
      <c r="QOV575" s="541"/>
      <c r="QOW575" s="482"/>
      <c r="QOX575" s="173"/>
      <c r="QOY575" s="173"/>
      <c r="QOZ575" s="509"/>
      <c r="QPB575" s="148"/>
      <c r="QPC575" s="148"/>
      <c r="QPD575" s="149"/>
      <c r="QPE575" s="150"/>
      <c r="QPG575" s="152"/>
      <c r="QPH575" s="542"/>
      <c r="QPI575" s="154"/>
      <c r="QPJ575" s="175"/>
      <c r="QPL575" s="156"/>
      <c r="QPM575" s="287"/>
      <c r="QPN575" s="488"/>
      <c r="QPO575" s="489"/>
      <c r="QPP575" s="488"/>
      <c r="QPQ575" s="300"/>
      <c r="QPR575" s="532"/>
      <c r="QPS575" s="533"/>
      <c r="QPT575" s="534"/>
      <c r="QPU575" s="316"/>
      <c r="QPV575" s="316"/>
      <c r="QPW575" s="471"/>
      <c r="QPX575" s="472"/>
      <c r="QPY575" s="471"/>
      <c r="QPZ575" s="473"/>
      <c r="QQA575" s="313"/>
      <c r="QQB575" s="535"/>
      <c r="QQC575" s="536"/>
      <c r="QQD575" s="537"/>
      <c r="QQE575" s="538"/>
      <c r="QQF575" s="539"/>
      <c r="QQG575" s="540"/>
      <c r="QQH575" s="209"/>
      <c r="QQI575" s="541"/>
      <c r="QQJ575" s="541"/>
      <c r="QQK575" s="482"/>
      <c r="QQL575" s="173"/>
      <c r="QQM575" s="173"/>
      <c r="QQN575" s="509"/>
      <c r="QQP575" s="148"/>
      <c r="QQQ575" s="148"/>
      <c r="QQR575" s="149"/>
      <c r="QQS575" s="150"/>
      <c r="QQU575" s="152"/>
      <c r="QQV575" s="542"/>
      <c r="QQW575" s="154"/>
      <c r="QQX575" s="175"/>
      <c r="QQZ575" s="156"/>
      <c r="QRA575" s="287"/>
      <c r="QRB575" s="488"/>
      <c r="QRC575" s="489"/>
      <c r="QRD575" s="488"/>
      <c r="QRE575" s="300"/>
      <c r="QRF575" s="532"/>
      <c r="QRG575" s="533"/>
      <c r="QRH575" s="534"/>
      <c r="QRI575" s="316"/>
      <c r="QRJ575" s="316"/>
      <c r="QRK575" s="471"/>
      <c r="QRL575" s="472"/>
      <c r="QRM575" s="471"/>
      <c r="QRN575" s="473"/>
      <c r="QRO575" s="313"/>
      <c r="QRP575" s="535"/>
      <c r="QRQ575" s="536"/>
      <c r="QRR575" s="537"/>
      <c r="QRS575" s="538"/>
      <c r="QRT575" s="539"/>
      <c r="QRU575" s="540"/>
      <c r="QRV575" s="209"/>
      <c r="QRW575" s="541"/>
      <c r="QRX575" s="541"/>
      <c r="QRY575" s="482"/>
      <c r="QRZ575" s="173"/>
      <c r="QSA575" s="173"/>
      <c r="QSB575" s="509"/>
      <c r="QSD575" s="148"/>
      <c r="QSE575" s="148"/>
      <c r="QSF575" s="149"/>
      <c r="QSG575" s="150"/>
      <c r="QSI575" s="152"/>
      <c r="QSJ575" s="542"/>
      <c r="QSK575" s="154"/>
      <c r="QSL575" s="175"/>
      <c r="QSN575" s="156"/>
      <c r="QSO575" s="287"/>
      <c r="QSP575" s="488"/>
      <c r="QSQ575" s="489"/>
      <c r="QSR575" s="488"/>
      <c r="QSS575" s="300"/>
      <c r="QST575" s="532"/>
      <c r="QSU575" s="533"/>
      <c r="QSV575" s="534"/>
      <c r="QSW575" s="316"/>
      <c r="QSX575" s="316"/>
      <c r="QSY575" s="471"/>
      <c r="QSZ575" s="472"/>
      <c r="QTA575" s="471"/>
      <c r="QTB575" s="473"/>
      <c r="QTC575" s="313"/>
      <c r="QTD575" s="535"/>
      <c r="QTE575" s="536"/>
      <c r="QTF575" s="537"/>
      <c r="QTG575" s="538"/>
      <c r="QTH575" s="539"/>
      <c r="QTI575" s="540"/>
      <c r="QTJ575" s="209"/>
      <c r="QTK575" s="541"/>
      <c r="QTL575" s="541"/>
      <c r="QTM575" s="482"/>
      <c r="QTN575" s="173"/>
      <c r="QTO575" s="173"/>
      <c r="QTP575" s="509"/>
      <c r="QTR575" s="148"/>
      <c r="QTS575" s="148"/>
      <c r="QTT575" s="149"/>
      <c r="QTU575" s="150"/>
      <c r="QTW575" s="152"/>
      <c r="QTX575" s="542"/>
      <c r="QTY575" s="154"/>
      <c r="QTZ575" s="175"/>
      <c r="QUB575" s="156"/>
      <c r="QUC575" s="287"/>
      <c r="QUD575" s="488"/>
      <c r="QUE575" s="489"/>
      <c r="QUF575" s="488"/>
      <c r="QUG575" s="300"/>
      <c r="QUH575" s="532"/>
      <c r="QUI575" s="533"/>
      <c r="QUJ575" s="534"/>
      <c r="QUK575" s="316"/>
      <c r="QUL575" s="316"/>
      <c r="QUM575" s="471"/>
      <c r="QUN575" s="472"/>
      <c r="QUO575" s="471"/>
      <c r="QUP575" s="473"/>
      <c r="QUQ575" s="313"/>
      <c r="QUR575" s="535"/>
      <c r="QUS575" s="536"/>
      <c r="QUT575" s="537"/>
      <c r="QUU575" s="538"/>
      <c r="QUV575" s="539"/>
      <c r="QUW575" s="540"/>
      <c r="QUX575" s="209"/>
      <c r="QUY575" s="541"/>
      <c r="QUZ575" s="541"/>
      <c r="QVA575" s="482"/>
      <c r="QVB575" s="173"/>
      <c r="QVC575" s="173"/>
      <c r="QVD575" s="509"/>
      <c r="QVF575" s="148"/>
      <c r="QVG575" s="148"/>
      <c r="QVH575" s="149"/>
      <c r="QVI575" s="150"/>
      <c r="QVK575" s="152"/>
      <c r="QVL575" s="542"/>
      <c r="QVM575" s="154"/>
      <c r="QVN575" s="175"/>
      <c r="QVP575" s="156"/>
      <c r="QVQ575" s="287"/>
      <c r="QVR575" s="488"/>
      <c r="QVS575" s="489"/>
      <c r="QVT575" s="488"/>
      <c r="QVU575" s="300"/>
      <c r="QVV575" s="532"/>
      <c r="QVW575" s="533"/>
      <c r="QVX575" s="534"/>
      <c r="QVY575" s="316"/>
      <c r="QVZ575" s="316"/>
      <c r="QWA575" s="471"/>
      <c r="QWB575" s="472"/>
      <c r="QWC575" s="471"/>
      <c r="QWD575" s="473"/>
      <c r="QWE575" s="313"/>
      <c r="QWF575" s="535"/>
      <c r="QWG575" s="536"/>
      <c r="QWH575" s="537"/>
      <c r="QWI575" s="538"/>
      <c r="QWJ575" s="539"/>
      <c r="QWK575" s="540"/>
      <c r="QWL575" s="209"/>
      <c r="QWM575" s="541"/>
      <c r="QWN575" s="541"/>
      <c r="QWO575" s="482"/>
      <c r="QWP575" s="173"/>
      <c r="QWQ575" s="173"/>
      <c r="QWR575" s="509"/>
      <c r="QWT575" s="148"/>
      <c r="QWU575" s="148"/>
      <c r="QWV575" s="149"/>
      <c r="QWW575" s="150"/>
      <c r="QWY575" s="152"/>
      <c r="QWZ575" s="542"/>
      <c r="QXA575" s="154"/>
      <c r="QXB575" s="175"/>
      <c r="QXD575" s="156"/>
      <c r="QXE575" s="287"/>
      <c r="QXF575" s="488"/>
      <c r="QXG575" s="489"/>
      <c r="QXH575" s="488"/>
      <c r="QXI575" s="300"/>
      <c r="QXJ575" s="532"/>
      <c r="QXK575" s="533"/>
      <c r="QXL575" s="534"/>
      <c r="QXM575" s="316"/>
      <c r="QXN575" s="316"/>
      <c r="QXO575" s="471"/>
      <c r="QXP575" s="472"/>
      <c r="QXQ575" s="471"/>
      <c r="QXR575" s="473"/>
      <c r="QXS575" s="313"/>
      <c r="QXT575" s="535"/>
      <c r="QXU575" s="536"/>
      <c r="QXV575" s="537"/>
      <c r="QXW575" s="538"/>
      <c r="QXX575" s="539"/>
      <c r="QXY575" s="540"/>
      <c r="QXZ575" s="209"/>
      <c r="QYA575" s="541"/>
      <c r="QYB575" s="541"/>
      <c r="QYC575" s="482"/>
      <c r="QYD575" s="173"/>
      <c r="QYE575" s="173"/>
      <c r="QYF575" s="509"/>
      <c r="QYH575" s="148"/>
      <c r="QYI575" s="148"/>
      <c r="QYJ575" s="149"/>
      <c r="QYK575" s="150"/>
      <c r="QYM575" s="152"/>
      <c r="QYN575" s="542"/>
      <c r="QYO575" s="154"/>
      <c r="QYP575" s="175"/>
      <c r="QYR575" s="156"/>
      <c r="QYS575" s="287"/>
      <c r="QYT575" s="488"/>
      <c r="QYU575" s="489"/>
      <c r="QYV575" s="488"/>
      <c r="QYW575" s="300"/>
      <c r="QYX575" s="532"/>
      <c r="QYY575" s="533"/>
      <c r="QYZ575" s="534"/>
      <c r="QZA575" s="316"/>
      <c r="QZB575" s="316"/>
      <c r="QZC575" s="471"/>
      <c r="QZD575" s="472"/>
      <c r="QZE575" s="471"/>
      <c r="QZF575" s="473"/>
      <c r="QZG575" s="313"/>
      <c r="QZH575" s="535"/>
      <c r="QZI575" s="536"/>
      <c r="QZJ575" s="537"/>
      <c r="QZK575" s="538"/>
      <c r="QZL575" s="539"/>
      <c r="QZM575" s="540"/>
      <c r="QZN575" s="209"/>
      <c r="QZO575" s="541"/>
      <c r="QZP575" s="541"/>
      <c r="QZQ575" s="482"/>
      <c r="QZR575" s="173"/>
      <c r="QZS575" s="173"/>
      <c r="QZT575" s="509"/>
      <c r="QZV575" s="148"/>
      <c r="QZW575" s="148"/>
      <c r="QZX575" s="149"/>
      <c r="QZY575" s="150"/>
      <c r="RAA575" s="152"/>
      <c r="RAB575" s="542"/>
      <c r="RAC575" s="154"/>
      <c r="RAD575" s="175"/>
      <c r="RAF575" s="156"/>
      <c r="RAG575" s="287"/>
      <c r="RAH575" s="488"/>
      <c r="RAI575" s="489"/>
      <c r="RAJ575" s="488"/>
      <c r="RAK575" s="300"/>
      <c r="RAL575" s="532"/>
      <c r="RAM575" s="533"/>
      <c r="RAN575" s="534"/>
      <c r="RAO575" s="316"/>
      <c r="RAP575" s="316"/>
      <c r="RAQ575" s="471"/>
      <c r="RAR575" s="472"/>
      <c r="RAS575" s="471"/>
      <c r="RAT575" s="473"/>
      <c r="RAU575" s="313"/>
      <c r="RAV575" s="535"/>
      <c r="RAW575" s="536"/>
      <c r="RAX575" s="537"/>
      <c r="RAY575" s="538"/>
      <c r="RAZ575" s="539"/>
      <c r="RBA575" s="540"/>
      <c r="RBB575" s="209"/>
      <c r="RBC575" s="541"/>
      <c r="RBD575" s="541"/>
      <c r="RBE575" s="482"/>
      <c r="RBF575" s="173"/>
      <c r="RBG575" s="173"/>
      <c r="RBH575" s="509"/>
      <c r="RBJ575" s="148"/>
      <c r="RBK575" s="148"/>
      <c r="RBL575" s="149"/>
      <c r="RBM575" s="150"/>
      <c r="RBO575" s="152"/>
      <c r="RBP575" s="542"/>
      <c r="RBQ575" s="154"/>
      <c r="RBR575" s="175"/>
      <c r="RBT575" s="156"/>
      <c r="RBU575" s="287"/>
      <c r="RBV575" s="488"/>
      <c r="RBW575" s="489"/>
      <c r="RBX575" s="488"/>
      <c r="RBY575" s="300"/>
      <c r="RBZ575" s="532"/>
      <c r="RCA575" s="533"/>
      <c r="RCB575" s="534"/>
      <c r="RCC575" s="316"/>
      <c r="RCD575" s="316"/>
      <c r="RCE575" s="471"/>
      <c r="RCF575" s="472"/>
      <c r="RCG575" s="471"/>
      <c r="RCH575" s="473"/>
      <c r="RCI575" s="313"/>
      <c r="RCJ575" s="535"/>
      <c r="RCK575" s="536"/>
      <c r="RCL575" s="537"/>
      <c r="RCM575" s="538"/>
      <c r="RCN575" s="539"/>
      <c r="RCO575" s="540"/>
      <c r="RCP575" s="209"/>
      <c r="RCQ575" s="541"/>
      <c r="RCR575" s="541"/>
      <c r="RCS575" s="482"/>
      <c r="RCT575" s="173"/>
      <c r="RCU575" s="173"/>
      <c r="RCV575" s="509"/>
      <c r="RCX575" s="148"/>
      <c r="RCY575" s="148"/>
      <c r="RCZ575" s="149"/>
      <c r="RDA575" s="150"/>
      <c r="RDC575" s="152"/>
      <c r="RDD575" s="542"/>
      <c r="RDE575" s="154"/>
      <c r="RDF575" s="175"/>
      <c r="RDH575" s="156"/>
      <c r="RDI575" s="287"/>
      <c r="RDJ575" s="488"/>
      <c r="RDK575" s="489"/>
      <c r="RDL575" s="488"/>
      <c r="RDM575" s="300"/>
      <c r="RDN575" s="532"/>
      <c r="RDO575" s="533"/>
      <c r="RDP575" s="534"/>
      <c r="RDQ575" s="316"/>
      <c r="RDR575" s="316"/>
      <c r="RDS575" s="471"/>
      <c r="RDT575" s="472"/>
      <c r="RDU575" s="471"/>
      <c r="RDV575" s="473"/>
      <c r="RDW575" s="313"/>
      <c r="RDX575" s="535"/>
      <c r="RDY575" s="536"/>
      <c r="RDZ575" s="537"/>
      <c r="REA575" s="538"/>
      <c r="REB575" s="539"/>
      <c r="REC575" s="540"/>
      <c r="RED575" s="209"/>
      <c r="REE575" s="541"/>
      <c r="REF575" s="541"/>
      <c r="REG575" s="482"/>
      <c r="REH575" s="173"/>
      <c r="REI575" s="173"/>
      <c r="REJ575" s="509"/>
      <c r="REL575" s="148"/>
      <c r="REM575" s="148"/>
      <c r="REN575" s="149"/>
      <c r="REO575" s="150"/>
      <c r="REQ575" s="152"/>
      <c r="RER575" s="542"/>
      <c r="RES575" s="154"/>
      <c r="RET575" s="175"/>
      <c r="REV575" s="156"/>
      <c r="REW575" s="287"/>
      <c r="REX575" s="488"/>
      <c r="REY575" s="489"/>
      <c r="REZ575" s="488"/>
      <c r="RFA575" s="300"/>
      <c r="RFB575" s="532"/>
      <c r="RFC575" s="533"/>
      <c r="RFD575" s="534"/>
      <c r="RFE575" s="316"/>
      <c r="RFF575" s="316"/>
      <c r="RFG575" s="471"/>
      <c r="RFH575" s="472"/>
      <c r="RFI575" s="471"/>
      <c r="RFJ575" s="473"/>
      <c r="RFK575" s="313"/>
      <c r="RFL575" s="535"/>
      <c r="RFM575" s="536"/>
      <c r="RFN575" s="537"/>
      <c r="RFO575" s="538"/>
      <c r="RFP575" s="539"/>
      <c r="RFQ575" s="540"/>
      <c r="RFR575" s="209"/>
      <c r="RFS575" s="541"/>
      <c r="RFT575" s="541"/>
      <c r="RFU575" s="482"/>
      <c r="RFV575" s="173"/>
      <c r="RFW575" s="173"/>
      <c r="RFX575" s="509"/>
      <c r="RFZ575" s="148"/>
      <c r="RGA575" s="148"/>
      <c r="RGB575" s="149"/>
      <c r="RGC575" s="150"/>
      <c r="RGE575" s="152"/>
      <c r="RGF575" s="542"/>
      <c r="RGG575" s="154"/>
      <c r="RGH575" s="175"/>
      <c r="RGJ575" s="156"/>
      <c r="RGK575" s="287"/>
      <c r="RGL575" s="488"/>
      <c r="RGM575" s="489"/>
      <c r="RGN575" s="488"/>
      <c r="RGO575" s="300"/>
      <c r="RGP575" s="532"/>
      <c r="RGQ575" s="533"/>
      <c r="RGR575" s="534"/>
      <c r="RGS575" s="316"/>
      <c r="RGT575" s="316"/>
      <c r="RGU575" s="471"/>
      <c r="RGV575" s="472"/>
      <c r="RGW575" s="471"/>
      <c r="RGX575" s="473"/>
      <c r="RGY575" s="313"/>
      <c r="RGZ575" s="535"/>
      <c r="RHA575" s="536"/>
      <c r="RHB575" s="537"/>
      <c r="RHC575" s="538"/>
      <c r="RHD575" s="539"/>
      <c r="RHE575" s="540"/>
      <c r="RHF575" s="209"/>
      <c r="RHG575" s="541"/>
      <c r="RHH575" s="541"/>
      <c r="RHI575" s="482"/>
      <c r="RHJ575" s="173"/>
      <c r="RHK575" s="173"/>
      <c r="RHL575" s="509"/>
      <c r="RHN575" s="148"/>
      <c r="RHO575" s="148"/>
      <c r="RHP575" s="149"/>
      <c r="RHQ575" s="150"/>
      <c r="RHS575" s="152"/>
      <c r="RHT575" s="542"/>
      <c r="RHU575" s="154"/>
      <c r="RHV575" s="175"/>
      <c r="RHX575" s="156"/>
      <c r="RHY575" s="287"/>
      <c r="RHZ575" s="488"/>
      <c r="RIA575" s="489"/>
      <c r="RIB575" s="488"/>
      <c r="RIC575" s="300"/>
      <c r="RID575" s="532"/>
      <c r="RIE575" s="533"/>
      <c r="RIF575" s="534"/>
      <c r="RIG575" s="316"/>
      <c r="RIH575" s="316"/>
      <c r="RII575" s="471"/>
      <c r="RIJ575" s="472"/>
      <c r="RIK575" s="471"/>
      <c r="RIL575" s="473"/>
      <c r="RIM575" s="313"/>
      <c r="RIN575" s="535"/>
      <c r="RIO575" s="536"/>
      <c r="RIP575" s="537"/>
      <c r="RIQ575" s="538"/>
      <c r="RIR575" s="539"/>
      <c r="RIS575" s="540"/>
      <c r="RIT575" s="209"/>
      <c r="RIU575" s="541"/>
      <c r="RIV575" s="541"/>
      <c r="RIW575" s="482"/>
      <c r="RIX575" s="173"/>
      <c r="RIY575" s="173"/>
      <c r="RIZ575" s="509"/>
      <c r="RJB575" s="148"/>
      <c r="RJC575" s="148"/>
      <c r="RJD575" s="149"/>
      <c r="RJE575" s="150"/>
      <c r="RJG575" s="152"/>
      <c r="RJH575" s="542"/>
      <c r="RJI575" s="154"/>
      <c r="RJJ575" s="175"/>
      <c r="RJL575" s="156"/>
      <c r="RJM575" s="287"/>
      <c r="RJN575" s="488"/>
      <c r="RJO575" s="489"/>
      <c r="RJP575" s="488"/>
      <c r="RJQ575" s="300"/>
      <c r="RJR575" s="532"/>
      <c r="RJS575" s="533"/>
      <c r="RJT575" s="534"/>
      <c r="RJU575" s="316"/>
      <c r="RJV575" s="316"/>
      <c r="RJW575" s="471"/>
      <c r="RJX575" s="472"/>
      <c r="RJY575" s="471"/>
      <c r="RJZ575" s="473"/>
      <c r="RKA575" s="313"/>
      <c r="RKB575" s="535"/>
      <c r="RKC575" s="536"/>
      <c r="RKD575" s="537"/>
      <c r="RKE575" s="538"/>
      <c r="RKF575" s="539"/>
      <c r="RKG575" s="540"/>
      <c r="RKH575" s="209"/>
      <c r="RKI575" s="541"/>
      <c r="RKJ575" s="541"/>
      <c r="RKK575" s="482"/>
      <c r="RKL575" s="173"/>
      <c r="RKM575" s="173"/>
      <c r="RKN575" s="509"/>
      <c r="RKP575" s="148"/>
      <c r="RKQ575" s="148"/>
      <c r="RKR575" s="149"/>
      <c r="RKS575" s="150"/>
      <c r="RKU575" s="152"/>
      <c r="RKV575" s="542"/>
      <c r="RKW575" s="154"/>
      <c r="RKX575" s="175"/>
      <c r="RKZ575" s="156"/>
      <c r="RLA575" s="287"/>
      <c r="RLB575" s="488"/>
      <c r="RLC575" s="489"/>
      <c r="RLD575" s="488"/>
      <c r="RLE575" s="300"/>
      <c r="RLF575" s="532"/>
      <c r="RLG575" s="533"/>
      <c r="RLH575" s="534"/>
      <c r="RLI575" s="316"/>
      <c r="RLJ575" s="316"/>
      <c r="RLK575" s="471"/>
      <c r="RLL575" s="472"/>
      <c r="RLM575" s="471"/>
      <c r="RLN575" s="473"/>
      <c r="RLO575" s="313"/>
      <c r="RLP575" s="535"/>
      <c r="RLQ575" s="536"/>
      <c r="RLR575" s="537"/>
      <c r="RLS575" s="538"/>
      <c r="RLT575" s="539"/>
      <c r="RLU575" s="540"/>
      <c r="RLV575" s="209"/>
      <c r="RLW575" s="541"/>
      <c r="RLX575" s="541"/>
      <c r="RLY575" s="482"/>
      <c r="RLZ575" s="173"/>
      <c r="RMA575" s="173"/>
      <c r="RMB575" s="509"/>
      <c r="RMD575" s="148"/>
      <c r="RME575" s="148"/>
      <c r="RMF575" s="149"/>
      <c r="RMG575" s="150"/>
      <c r="RMI575" s="152"/>
      <c r="RMJ575" s="542"/>
      <c r="RMK575" s="154"/>
      <c r="RML575" s="175"/>
      <c r="RMN575" s="156"/>
      <c r="RMO575" s="287"/>
      <c r="RMP575" s="488"/>
      <c r="RMQ575" s="489"/>
      <c r="RMR575" s="488"/>
      <c r="RMS575" s="300"/>
      <c r="RMT575" s="532"/>
      <c r="RMU575" s="533"/>
      <c r="RMV575" s="534"/>
      <c r="RMW575" s="316"/>
      <c r="RMX575" s="316"/>
      <c r="RMY575" s="471"/>
      <c r="RMZ575" s="472"/>
      <c r="RNA575" s="471"/>
      <c r="RNB575" s="473"/>
      <c r="RNC575" s="313"/>
      <c r="RND575" s="535"/>
      <c r="RNE575" s="536"/>
      <c r="RNF575" s="537"/>
      <c r="RNG575" s="538"/>
      <c r="RNH575" s="539"/>
      <c r="RNI575" s="540"/>
      <c r="RNJ575" s="209"/>
      <c r="RNK575" s="541"/>
      <c r="RNL575" s="541"/>
      <c r="RNM575" s="482"/>
      <c r="RNN575" s="173"/>
      <c r="RNO575" s="173"/>
      <c r="RNP575" s="509"/>
      <c r="RNR575" s="148"/>
      <c r="RNS575" s="148"/>
      <c r="RNT575" s="149"/>
      <c r="RNU575" s="150"/>
      <c r="RNW575" s="152"/>
      <c r="RNX575" s="542"/>
      <c r="RNY575" s="154"/>
      <c r="RNZ575" s="175"/>
      <c r="ROB575" s="156"/>
      <c r="ROC575" s="287"/>
      <c r="ROD575" s="488"/>
      <c r="ROE575" s="489"/>
      <c r="ROF575" s="488"/>
      <c r="ROG575" s="300"/>
      <c r="ROH575" s="532"/>
      <c r="ROI575" s="533"/>
      <c r="ROJ575" s="534"/>
      <c r="ROK575" s="316"/>
      <c r="ROL575" s="316"/>
      <c r="ROM575" s="471"/>
      <c r="RON575" s="472"/>
      <c r="ROO575" s="471"/>
      <c r="ROP575" s="473"/>
      <c r="ROQ575" s="313"/>
      <c r="ROR575" s="535"/>
      <c r="ROS575" s="536"/>
      <c r="ROT575" s="537"/>
      <c r="ROU575" s="538"/>
      <c r="ROV575" s="539"/>
      <c r="ROW575" s="540"/>
      <c r="ROX575" s="209"/>
      <c r="ROY575" s="541"/>
      <c r="ROZ575" s="541"/>
      <c r="RPA575" s="482"/>
      <c r="RPB575" s="173"/>
      <c r="RPC575" s="173"/>
      <c r="RPD575" s="509"/>
      <c r="RPF575" s="148"/>
      <c r="RPG575" s="148"/>
      <c r="RPH575" s="149"/>
      <c r="RPI575" s="150"/>
      <c r="RPK575" s="152"/>
      <c r="RPL575" s="542"/>
      <c r="RPM575" s="154"/>
      <c r="RPN575" s="175"/>
      <c r="RPP575" s="156"/>
      <c r="RPQ575" s="287"/>
      <c r="RPR575" s="488"/>
      <c r="RPS575" s="489"/>
      <c r="RPT575" s="488"/>
      <c r="RPU575" s="300"/>
      <c r="RPV575" s="532"/>
      <c r="RPW575" s="533"/>
      <c r="RPX575" s="534"/>
      <c r="RPY575" s="316"/>
      <c r="RPZ575" s="316"/>
      <c r="RQA575" s="471"/>
      <c r="RQB575" s="472"/>
      <c r="RQC575" s="471"/>
      <c r="RQD575" s="473"/>
      <c r="RQE575" s="313"/>
      <c r="RQF575" s="535"/>
      <c r="RQG575" s="536"/>
      <c r="RQH575" s="537"/>
      <c r="RQI575" s="538"/>
      <c r="RQJ575" s="539"/>
      <c r="RQK575" s="540"/>
      <c r="RQL575" s="209"/>
      <c r="RQM575" s="541"/>
      <c r="RQN575" s="541"/>
      <c r="RQO575" s="482"/>
      <c r="RQP575" s="173"/>
      <c r="RQQ575" s="173"/>
      <c r="RQR575" s="509"/>
      <c r="RQT575" s="148"/>
      <c r="RQU575" s="148"/>
      <c r="RQV575" s="149"/>
      <c r="RQW575" s="150"/>
      <c r="RQY575" s="152"/>
      <c r="RQZ575" s="542"/>
      <c r="RRA575" s="154"/>
      <c r="RRB575" s="175"/>
      <c r="RRD575" s="156"/>
      <c r="RRE575" s="287"/>
      <c r="RRF575" s="488"/>
      <c r="RRG575" s="489"/>
      <c r="RRH575" s="488"/>
      <c r="RRI575" s="300"/>
      <c r="RRJ575" s="532"/>
      <c r="RRK575" s="533"/>
      <c r="RRL575" s="534"/>
      <c r="RRM575" s="316"/>
      <c r="RRN575" s="316"/>
      <c r="RRO575" s="471"/>
      <c r="RRP575" s="472"/>
      <c r="RRQ575" s="471"/>
      <c r="RRR575" s="473"/>
      <c r="RRS575" s="313"/>
      <c r="RRT575" s="535"/>
      <c r="RRU575" s="536"/>
      <c r="RRV575" s="537"/>
      <c r="RRW575" s="538"/>
      <c r="RRX575" s="539"/>
      <c r="RRY575" s="540"/>
      <c r="RRZ575" s="209"/>
      <c r="RSA575" s="541"/>
      <c r="RSB575" s="541"/>
      <c r="RSC575" s="482"/>
      <c r="RSD575" s="173"/>
      <c r="RSE575" s="173"/>
      <c r="RSF575" s="509"/>
      <c r="RSH575" s="148"/>
      <c r="RSI575" s="148"/>
      <c r="RSJ575" s="149"/>
      <c r="RSK575" s="150"/>
      <c r="RSM575" s="152"/>
      <c r="RSN575" s="542"/>
      <c r="RSO575" s="154"/>
      <c r="RSP575" s="175"/>
      <c r="RSR575" s="156"/>
      <c r="RSS575" s="287"/>
      <c r="RST575" s="488"/>
      <c r="RSU575" s="489"/>
      <c r="RSV575" s="488"/>
      <c r="RSW575" s="300"/>
      <c r="RSX575" s="532"/>
      <c r="RSY575" s="533"/>
      <c r="RSZ575" s="534"/>
      <c r="RTA575" s="316"/>
      <c r="RTB575" s="316"/>
      <c r="RTC575" s="471"/>
      <c r="RTD575" s="472"/>
      <c r="RTE575" s="471"/>
      <c r="RTF575" s="473"/>
      <c r="RTG575" s="313"/>
      <c r="RTH575" s="535"/>
      <c r="RTI575" s="536"/>
      <c r="RTJ575" s="537"/>
      <c r="RTK575" s="538"/>
      <c r="RTL575" s="539"/>
      <c r="RTM575" s="540"/>
      <c r="RTN575" s="209"/>
      <c r="RTO575" s="541"/>
      <c r="RTP575" s="541"/>
      <c r="RTQ575" s="482"/>
      <c r="RTR575" s="173"/>
      <c r="RTS575" s="173"/>
      <c r="RTT575" s="509"/>
      <c r="RTV575" s="148"/>
      <c r="RTW575" s="148"/>
      <c r="RTX575" s="149"/>
      <c r="RTY575" s="150"/>
      <c r="RUA575" s="152"/>
      <c r="RUB575" s="542"/>
      <c r="RUC575" s="154"/>
      <c r="RUD575" s="175"/>
      <c r="RUF575" s="156"/>
      <c r="RUG575" s="287"/>
      <c r="RUH575" s="488"/>
      <c r="RUI575" s="489"/>
      <c r="RUJ575" s="488"/>
      <c r="RUK575" s="300"/>
      <c r="RUL575" s="532"/>
      <c r="RUM575" s="533"/>
      <c r="RUN575" s="534"/>
      <c r="RUO575" s="316"/>
      <c r="RUP575" s="316"/>
      <c r="RUQ575" s="471"/>
      <c r="RUR575" s="472"/>
      <c r="RUS575" s="471"/>
      <c r="RUT575" s="473"/>
      <c r="RUU575" s="313"/>
      <c r="RUV575" s="535"/>
      <c r="RUW575" s="536"/>
      <c r="RUX575" s="537"/>
      <c r="RUY575" s="538"/>
      <c r="RUZ575" s="539"/>
      <c r="RVA575" s="540"/>
      <c r="RVB575" s="209"/>
      <c r="RVC575" s="541"/>
      <c r="RVD575" s="541"/>
      <c r="RVE575" s="482"/>
      <c r="RVF575" s="173"/>
      <c r="RVG575" s="173"/>
      <c r="RVH575" s="509"/>
      <c r="RVJ575" s="148"/>
      <c r="RVK575" s="148"/>
      <c r="RVL575" s="149"/>
      <c r="RVM575" s="150"/>
      <c r="RVO575" s="152"/>
      <c r="RVP575" s="542"/>
      <c r="RVQ575" s="154"/>
      <c r="RVR575" s="175"/>
      <c r="RVT575" s="156"/>
      <c r="RVU575" s="287"/>
      <c r="RVV575" s="488"/>
      <c r="RVW575" s="489"/>
      <c r="RVX575" s="488"/>
      <c r="RVY575" s="300"/>
      <c r="RVZ575" s="532"/>
      <c r="RWA575" s="533"/>
      <c r="RWB575" s="534"/>
      <c r="RWC575" s="316"/>
      <c r="RWD575" s="316"/>
      <c r="RWE575" s="471"/>
      <c r="RWF575" s="472"/>
      <c r="RWG575" s="471"/>
      <c r="RWH575" s="473"/>
      <c r="RWI575" s="313"/>
      <c r="RWJ575" s="535"/>
      <c r="RWK575" s="536"/>
      <c r="RWL575" s="537"/>
      <c r="RWM575" s="538"/>
      <c r="RWN575" s="539"/>
      <c r="RWO575" s="540"/>
      <c r="RWP575" s="209"/>
      <c r="RWQ575" s="541"/>
      <c r="RWR575" s="541"/>
      <c r="RWS575" s="482"/>
      <c r="RWT575" s="173"/>
      <c r="RWU575" s="173"/>
      <c r="RWV575" s="509"/>
      <c r="RWX575" s="148"/>
      <c r="RWY575" s="148"/>
      <c r="RWZ575" s="149"/>
      <c r="RXA575" s="150"/>
      <c r="RXC575" s="152"/>
      <c r="RXD575" s="542"/>
      <c r="RXE575" s="154"/>
      <c r="RXF575" s="175"/>
      <c r="RXH575" s="156"/>
      <c r="RXI575" s="287"/>
      <c r="RXJ575" s="488"/>
      <c r="RXK575" s="489"/>
      <c r="RXL575" s="488"/>
      <c r="RXM575" s="300"/>
      <c r="RXN575" s="532"/>
      <c r="RXO575" s="533"/>
      <c r="RXP575" s="534"/>
      <c r="RXQ575" s="316"/>
      <c r="RXR575" s="316"/>
      <c r="RXS575" s="471"/>
      <c r="RXT575" s="472"/>
      <c r="RXU575" s="471"/>
      <c r="RXV575" s="473"/>
      <c r="RXW575" s="313"/>
      <c r="RXX575" s="535"/>
      <c r="RXY575" s="536"/>
      <c r="RXZ575" s="537"/>
      <c r="RYA575" s="538"/>
      <c r="RYB575" s="539"/>
      <c r="RYC575" s="540"/>
      <c r="RYD575" s="209"/>
      <c r="RYE575" s="541"/>
      <c r="RYF575" s="541"/>
      <c r="RYG575" s="482"/>
      <c r="RYH575" s="173"/>
      <c r="RYI575" s="173"/>
      <c r="RYJ575" s="509"/>
      <c r="RYL575" s="148"/>
      <c r="RYM575" s="148"/>
      <c r="RYN575" s="149"/>
      <c r="RYO575" s="150"/>
      <c r="RYQ575" s="152"/>
      <c r="RYR575" s="542"/>
      <c r="RYS575" s="154"/>
      <c r="RYT575" s="175"/>
      <c r="RYV575" s="156"/>
      <c r="RYW575" s="287"/>
      <c r="RYX575" s="488"/>
      <c r="RYY575" s="489"/>
      <c r="RYZ575" s="488"/>
      <c r="RZA575" s="300"/>
      <c r="RZB575" s="532"/>
      <c r="RZC575" s="533"/>
      <c r="RZD575" s="534"/>
      <c r="RZE575" s="316"/>
      <c r="RZF575" s="316"/>
      <c r="RZG575" s="471"/>
      <c r="RZH575" s="472"/>
      <c r="RZI575" s="471"/>
      <c r="RZJ575" s="473"/>
      <c r="RZK575" s="313"/>
      <c r="RZL575" s="535"/>
      <c r="RZM575" s="536"/>
      <c r="RZN575" s="537"/>
      <c r="RZO575" s="538"/>
      <c r="RZP575" s="539"/>
      <c r="RZQ575" s="540"/>
      <c r="RZR575" s="209"/>
      <c r="RZS575" s="541"/>
      <c r="RZT575" s="541"/>
      <c r="RZU575" s="482"/>
      <c r="RZV575" s="173"/>
      <c r="RZW575" s="173"/>
      <c r="RZX575" s="509"/>
      <c r="RZZ575" s="148"/>
      <c r="SAA575" s="148"/>
      <c r="SAB575" s="149"/>
      <c r="SAC575" s="150"/>
      <c r="SAE575" s="152"/>
      <c r="SAF575" s="542"/>
      <c r="SAG575" s="154"/>
      <c r="SAH575" s="175"/>
      <c r="SAJ575" s="156"/>
      <c r="SAK575" s="287"/>
      <c r="SAL575" s="488"/>
      <c r="SAM575" s="489"/>
      <c r="SAN575" s="488"/>
      <c r="SAO575" s="300"/>
      <c r="SAP575" s="532"/>
      <c r="SAQ575" s="533"/>
      <c r="SAR575" s="534"/>
      <c r="SAS575" s="316"/>
      <c r="SAT575" s="316"/>
      <c r="SAU575" s="471"/>
      <c r="SAV575" s="472"/>
      <c r="SAW575" s="471"/>
      <c r="SAX575" s="473"/>
      <c r="SAY575" s="313"/>
      <c r="SAZ575" s="535"/>
      <c r="SBA575" s="536"/>
      <c r="SBB575" s="537"/>
      <c r="SBC575" s="538"/>
      <c r="SBD575" s="539"/>
      <c r="SBE575" s="540"/>
      <c r="SBF575" s="209"/>
      <c r="SBG575" s="541"/>
      <c r="SBH575" s="541"/>
      <c r="SBI575" s="482"/>
      <c r="SBJ575" s="173"/>
      <c r="SBK575" s="173"/>
      <c r="SBL575" s="509"/>
      <c r="SBN575" s="148"/>
      <c r="SBO575" s="148"/>
      <c r="SBP575" s="149"/>
      <c r="SBQ575" s="150"/>
      <c r="SBS575" s="152"/>
      <c r="SBT575" s="542"/>
      <c r="SBU575" s="154"/>
      <c r="SBV575" s="175"/>
      <c r="SBX575" s="156"/>
      <c r="SBY575" s="287"/>
      <c r="SBZ575" s="488"/>
      <c r="SCA575" s="489"/>
      <c r="SCB575" s="488"/>
      <c r="SCC575" s="300"/>
      <c r="SCD575" s="532"/>
      <c r="SCE575" s="533"/>
      <c r="SCF575" s="534"/>
      <c r="SCG575" s="316"/>
      <c r="SCH575" s="316"/>
      <c r="SCI575" s="471"/>
      <c r="SCJ575" s="472"/>
      <c r="SCK575" s="471"/>
      <c r="SCL575" s="473"/>
      <c r="SCM575" s="313"/>
      <c r="SCN575" s="535"/>
      <c r="SCO575" s="536"/>
      <c r="SCP575" s="537"/>
      <c r="SCQ575" s="538"/>
      <c r="SCR575" s="539"/>
      <c r="SCS575" s="540"/>
      <c r="SCT575" s="209"/>
      <c r="SCU575" s="541"/>
      <c r="SCV575" s="541"/>
      <c r="SCW575" s="482"/>
      <c r="SCX575" s="173"/>
      <c r="SCY575" s="173"/>
      <c r="SCZ575" s="509"/>
      <c r="SDB575" s="148"/>
      <c r="SDC575" s="148"/>
      <c r="SDD575" s="149"/>
      <c r="SDE575" s="150"/>
      <c r="SDG575" s="152"/>
      <c r="SDH575" s="542"/>
      <c r="SDI575" s="154"/>
      <c r="SDJ575" s="175"/>
      <c r="SDL575" s="156"/>
      <c r="SDM575" s="287"/>
      <c r="SDN575" s="488"/>
      <c r="SDO575" s="489"/>
      <c r="SDP575" s="488"/>
      <c r="SDQ575" s="300"/>
      <c r="SDR575" s="532"/>
      <c r="SDS575" s="533"/>
      <c r="SDT575" s="534"/>
      <c r="SDU575" s="316"/>
      <c r="SDV575" s="316"/>
      <c r="SDW575" s="471"/>
      <c r="SDX575" s="472"/>
      <c r="SDY575" s="471"/>
      <c r="SDZ575" s="473"/>
      <c r="SEA575" s="313"/>
      <c r="SEB575" s="535"/>
      <c r="SEC575" s="536"/>
      <c r="SED575" s="537"/>
      <c r="SEE575" s="538"/>
      <c r="SEF575" s="539"/>
      <c r="SEG575" s="540"/>
      <c r="SEH575" s="209"/>
      <c r="SEI575" s="541"/>
      <c r="SEJ575" s="541"/>
      <c r="SEK575" s="482"/>
      <c r="SEL575" s="173"/>
      <c r="SEM575" s="173"/>
      <c r="SEN575" s="509"/>
      <c r="SEP575" s="148"/>
      <c r="SEQ575" s="148"/>
      <c r="SER575" s="149"/>
      <c r="SES575" s="150"/>
      <c r="SEU575" s="152"/>
      <c r="SEV575" s="542"/>
      <c r="SEW575" s="154"/>
      <c r="SEX575" s="175"/>
      <c r="SEZ575" s="156"/>
      <c r="SFA575" s="287"/>
      <c r="SFB575" s="488"/>
      <c r="SFC575" s="489"/>
      <c r="SFD575" s="488"/>
      <c r="SFE575" s="300"/>
      <c r="SFF575" s="532"/>
      <c r="SFG575" s="533"/>
      <c r="SFH575" s="534"/>
      <c r="SFI575" s="316"/>
      <c r="SFJ575" s="316"/>
      <c r="SFK575" s="471"/>
      <c r="SFL575" s="472"/>
      <c r="SFM575" s="471"/>
      <c r="SFN575" s="473"/>
      <c r="SFO575" s="313"/>
      <c r="SFP575" s="535"/>
      <c r="SFQ575" s="536"/>
      <c r="SFR575" s="537"/>
      <c r="SFS575" s="538"/>
      <c r="SFT575" s="539"/>
      <c r="SFU575" s="540"/>
      <c r="SFV575" s="209"/>
      <c r="SFW575" s="541"/>
      <c r="SFX575" s="541"/>
      <c r="SFY575" s="482"/>
      <c r="SFZ575" s="173"/>
      <c r="SGA575" s="173"/>
      <c r="SGB575" s="509"/>
      <c r="SGD575" s="148"/>
      <c r="SGE575" s="148"/>
      <c r="SGF575" s="149"/>
      <c r="SGG575" s="150"/>
      <c r="SGI575" s="152"/>
      <c r="SGJ575" s="542"/>
      <c r="SGK575" s="154"/>
      <c r="SGL575" s="175"/>
      <c r="SGN575" s="156"/>
      <c r="SGO575" s="287"/>
      <c r="SGP575" s="488"/>
      <c r="SGQ575" s="489"/>
      <c r="SGR575" s="488"/>
      <c r="SGS575" s="300"/>
      <c r="SGT575" s="532"/>
      <c r="SGU575" s="533"/>
      <c r="SGV575" s="534"/>
      <c r="SGW575" s="316"/>
      <c r="SGX575" s="316"/>
      <c r="SGY575" s="471"/>
      <c r="SGZ575" s="472"/>
      <c r="SHA575" s="471"/>
      <c r="SHB575" s="473"/>
      <c r="SHC575" s="313"/>
      <c r="SHD575" s="535"/>
      <c r="SHE575" s="536"/>
      <c r="SHF575" s="537"/>
      <c r="SHG575" s="538"/>
      <c r="SHH575" s="539"/>
      <c r="SHI575" s="540"/>
      <c r="SHJ575" s="209"/>
      <c r="SHK575" s="541"/>
      <c r="SHL575" s="541"/>
      <c r="SHM575" s="482"/>
      <c r="SHN575" s="173"/>
      <c r="SHO575" s="173"/>
      <c r="SHP575" s="509"/>
      <c r="SHR575" s="148"/>
      <c r="SHS575" s="148"/>
      <c r="SHT575" s="149"/>
      <c r="SHU575" s="150"/>
      <c r="SHW575" s="152"/>
      <c r="SHX575" s="542"/>
      <c r="SHY575" s="154"/>
      <c r="SHZ575" s="175"/>
      <c r="SIB575" s="156"/>
      <c r="SIC575" s="287"/>
      <c r="SID575" s="488"/>
      <c r="SIE575" s="489"/>
      <c r="SIF575" s="488"/>
      <c r="SIG575" s="300"/>
      <c r="SIH575" s="532"/>
      <c r="SII575" s="533"/>
      <c r="SIJ575" s="534"/>
      <c r="SIK575" s="316"/>
      <c r="SIL575" s="316"/>
      <c r="SIM575" s="471"/>
      <c r="SIN575" s="472"/>
      <c r="SIO575" s="471"/>
      <c r="SIP575" s="473"/>
      <c r="SIQ575" s="313"/>
      <c r="SIR575" s="535"/>
      <c r="SIS575" s="536"/>
      <c r="SIT575" s="537"/>
      <c r="SIU575" s="538"/>
      <c r="SIV575" s="539"/>
      <c r="SIW575" s="540"/>
      <c r="SIX575" s="209"/>
      <c r="SIY575" s="541"/>
      <c r="SIZ575" s="541"/>
      <c r="SJA575" s="482"/>
      <c r="SJB575" s="173"/>
      <c r="SJC575" s="173"/>
      <c r="SJD575" s="509"/>
      <c r="SJF575" s="148"/>
      <c r="SJG575" s="148"/>
      <c r="SJH575" s="149"/>
      <c r="SJI575" s="150"/>
      <c r="SJK575" s="152"/>
      <c r="SJL575" s="542"/>
      <c r="SJM575" s="154"/>
      <c r="SJN575" s="175"/>
      <c r="SJP575" s="156"/>
      <c r="SJQ575" s="287"/>
      <c r="SJR575" s="488"/>
      <c r="SJS575" s="489"/>
      <c r="SJT575" s="488"/>
      <c r="SJU575" s="300"/>
      <c r="SJV575" s="532"/>
      <c r="SJW575" s="533"/>
      <c r="SJX575" s="534"/>
      <c r="SJY575" s="316"/>
      <c r="SJZ575" s="316"/>
      <c r="SKA575" s="471"/>
      <c r="SKB575" s="472"/>
      <c r="SKC575" s="471"/>
      <c r="SKD575" s="473"/>
      <c r="SKE575" s="313"/>
      <c r="SKF575" s="535"/>
      <c r="SKG575" s="536"/>
      <c r="SKH575" s="537"/>
      <c r="SKI575" s="538"/>
      <c r="SKJ575" s="539"/>
      <c r="SKK575" s="540"/>
      <c r="SKL575" s="209"/>
      <c r="SKM575" s="541"/>
      <c r="SKN575" s="541"/>
      <c r="SKO575" s="482"/>
      <c r="SKP575" s="173"/>
      <c r="SKQ575" s="173"/>
      <c r="SKR575" s="509"/>
      <c r="SKT575" s="148"/>
      <c r="SKU575" s="148"/>
      <c r="SKV575" s="149"/>
      <c r="SKW575" s="150"/>
      <c r="SKY575" s="152"/>
      <c r="SKZ575" s="542"/>
      <c r="SLA575" s="154"/>
      <c r="SLB575" s="175"/>
      <c r="SLD575" s="156"/>
      <c r="SLE575" s="287"/>
      <c r="SLF575" s="488"/>
      <c r="SLG575" s="489"/>
      <c r="SLH575" s="488"/>
      <c r="SLI575" s="300"/>
      <c r="SLJ575" s="532"/>
      <c r="SLK575" s="533"/>
      <c r="SLL575" s="534"/>
      <c r="SLM575" s="316"/>
      <c r="SLN575" s="316"/>
      <c r="SLO575" s="471"/>
      <c r="SLP575" s="472"/>
      <c r="SLQ575" s="471"/>
      <c r="SLR575" s="473"/>
      <c r="SLS575" s="313"/>
      <c r="SLT575" s="535"/>
      <c r="SLU575" s="536"/>
      <c r="SLV575" s="537"/>
      <c r="SLW575" s="538"/>
      <c r="SLX575" s="539"/>
      <c r="SLY575" s="540"/>
      <c r="SLZ575" s="209"/>
      <c r="SMA575" s="541"/>
      <c r="SMB575" s="541"/>
      <c r="SMC575" s="482"/>
      <c r="SMD575" s="173"/>
      <c r="SME575" s="173"/>
      <c r="SMF575" s="509"/>
      <c r="SMH575" s="148"/>
      <c r="SMI575" s="148"/>
      <c r="SMJ575" s="149"/>
      <c r="SMK575" s="150"/>
      <c r="SMM575" s="152"/>
      <c r="SMN575" s="542"/>
      <c r="SMO575" s="154"/>
      <c r="SMP575" s="175"/>
      <c r="SMR575" s="156"/>
      <c r="SMS575" s="287"/>
      <c r="SMT575" s="488"/>
      <c r="SMU575" s="489"/>
      <c r="SMV575" s="488"/>
      <c r="SMW575" s="300"/>
      <c r="SMX575" s="532"/>
      <c r="SMY575" s="533"/>
      <c r="SMZ575" s="534"/>
      <c r="SNA575" s="316"/>
      <c r="SNB575" s="316"/>
      <c r="SNC575" s="471"/>
      <c r="SND575" s="472"/>
      <c r="SNE575" s="471"/>
      <c r="SNF575" s="473"/>
      <c r="SNG575" s="313"/>
      <c r="SNH575" s="535"/>
      <c r="SNI575" s="536"/>
      <c r="SNJ575" s="537"/>
      <c r="SNK575" s="538"/>
      <c r="SNL575" s="539"/>
      <c r="SNM575" s="540"/>
      <c r="SNN575" s="209"/>
      <c r="SNO575" s="541"/>
      <c r="SNP575" s="541"/>
      <c r="SNQ575" s="482"/>
      <c r="SNR575" s="173"/>
      <c r="SNS575" s="173"/>
      <c r="SNT575" s="509"/>
      <c r="SNV575" s="148"/>
      <c r="SNW575" s="148"/>
      <c r="SNX575" s="149"/>
      <c r="SNY575" s="150"/>
      <c r="SOA575" s="152"/>
      <c r="SOB575" s="542"/>
      <c r="SOC575" s="154"/>
      <c r="SOD575" s="175"/>
      <c r="SOF575" s="156"/>
      <c r="SOG575" s="287"/>
      <c r="SOH575" s="488"/>
      <c r="SOI575" s="489"/>
      <c r="SOJ575" s="488"/>
      <c r="SOK575" s="300"/>
      <c r="SOL575" s="532"/>
      <c r="SOM575" s="533"/>
      <c r="SON575" s="534"/>
      <c r="SOO575" s="316"/>
      <c r="SOP575" s="316"/>
      <c r="SOQ575" s="471"/>
      <c r="SOR575" s="472"/>
      <c r="SOS575" s="471"/>
      <c r="SOT575" s="473"/>
      <c r="SOU575" s="313"/>
      <c r="SOV575" s="535"/>
      <c r="SOW575" s="536"/>
      <c r="SOX575" s="537"/>
      <c r="SOY575" s="538"/>
      <c r="SOZ575" s="539"/>
      <c r="SPA575" s="540"/>
      <c r="SPB575" s="209"/>
      <c r="SPC575" s="541"/>
      <c r="SPD575" s="541"/>
      <c r="SPE575" s="482"/>
      <c r="SPF575" s="173"/>
      <c r="SPG575" s="173"/>
      <c r="SPH575" s="509"/>
      <c r="SPJ575" s="148"/>
      <c r="SPK575" s="148"/>
      <c r="SPL575" s="149"/>
      <c r="SPM575" s="150"/>
      <c r="SPO575" s="152"/>
      <c r="SPP575" s="542"/>
      <c r="SPQ575" s="154"/>
      <c r="SPR575" s="175"/>
      <c r="SPT575" s="156"/>
      <c r="SPU575" s="287"/>
      <c r="SPV575" s="488"/>
      <c r="SPW575" s="489"/>
      <c r="SPX575" s="488"/>
      <c r="SPY575" s="300"/>
      <c r="SPZ575" s="532"/>
      <c r="SQA575" s="533"/>
      <c r="SQB575" s="534"/>
      <c r="SQC575" s="316"/>
      <c r="SQD575" s="316"/>
      <c r="SQE575" s="471"/>
      <c r="SQF575" s="472"/>
      <c r="SQG575" s="471"/>
      <c r="SQH575" s="473"/>
      <c r="SQI575" s="313"/>
      <c r="SQJ575" s="535"/>
      <c r="SQK575" s="536"/>
      <c r="SQL575" s="537"/>
      <c r="SQM575" s="538"/>
      <c r="SQN575" s="539"/>
      <c r="SQO575" s="540"/>
      <c r="SQP575" s="209"/>
      <c r="SQQ575" s="541"/>
      <c r="SQR575" s="541"/>
      <c r="SQS575" s="482"/>
      <c r="SQT575" s="173"/>
      <c r="SQU575" s="173"/>
      <c r="SQV575" s="509"/>
      <c r="SQX575" s="148"/>
      <c r="SQY575" s="148"/>
      <c r="SQZ575" s="149"/>
      <c r="SRA575" s="150"/>
      <c r="SRC575" s="152"/>
      <c r="SRD575" s="542"/>
      <c r="SRE575" s="154"/>
      <c r="SRF575" s="175"/>
      <c r="SRH575" s="156"/>
      <c r="SRI575" s="287"/>
      <c r="SRJ575" s="488"/>
      <c r="SRK575" s="489"/>
      <c r="SRL575" s="488"/>
      <c r="SRM575" s="300"/>
      <c r="SRN575" s="532"/>
      <c r="SRO575" s="533"/>
      <c r="SRP575" s="534"/>
      <c r="SRQ575" s="316"/>
      <c r="SRR575" s="316"/>
      <c r="SRS575" s="471"/>
      <c r="SRT575" s="472"/>
      <c r="SRU575" s="471"/>
      <c r="SRV575" s="473"/>
      <c r="SRW575" s="313"/>
      <c r="SRX575" s="535"/>
      <c r="SRY575" s="536"/>
      <c r="SRZ575" s="537"/>
      <c r="SSA575" s="538"/>
      <c r="SSB575" s="539"/>
      <c r="SSC575" s="540"/>
      <c r="SSD575" s="209"/>
      <c r="SSE575" s="541"/>
      <c r="SSF575" s="541"/>
      <c r="SSG575" s="482"/>
      <c r="SSH575" s="173"/>
      <c r="SSI575" s="173"/>
      <c r="SSJ575" s="509"/>
      <c r="SSL575" s="148"/>
      <c r="SSM575" s="148"/>
      <c r="SSN575" s="149"/>
      <c r="SSO575" s="150"/>
      <c r="SSQ575" s="152"/>
      <c r="SSR575" s="542"/>
      <c r="SSS575" s="154"/>
      <c r="SST575" s="175"/>
      <c r="SSV575" s="156"/>
      <c r="SSW575" s="287"/>
      <c r="SSX575" s="488"/>
      <c r="SSY575" s="489"/>
      <c r="SSZ575" s="488"/>
      <c r="STA575" s="300"/>
      <c r="STB575" s="532"/>
      <c r="STC575" s="533"/>
      <c r="STD575" s="534"/>
      <c r="STE575" s="316"/>
      <c r="STF575" s="316"/>
      <c r="STG575" s="471"/>
      <c r="STH575" s="472"/>
      <c r="STI575" s="471"/>
      <c r="STJ575" s="473"/>
      <c r="STK575" s="313"/>
      <c r="STL575" s="535"/>
      <c r="STM575" s="536"/>
      <c r="STN575" s="537"/>
      <c r="STO575" s="538"/>
      <c r="STP575" s="539"/>
      <c r="STQ575" s="540"/>
      <c r="STR575" s="209"/>
      <c r="STS575" s="541"/>
      <c r="STT575" s="541"/>
      <c r="STU575" s="482"/>
      <c r="STV575" s="173"/>
      <c r="STW575" s="173"/>
      <c r="STX575" s="509"/>
      <c r="STZ575" s="148"/>
      <c r="SUA575" s="148"/>
      <c r="SUB575" s="149"/>
      <c r="SUC575" s="150"/>
      <c r="SUE575" s="152"/>
      <c r="SUF575" s="542"/>
      <c r="SUG575" s="154"/>
      <c r="SUH575" s="175"/>
      <c r="SUJ575" s="156"/>
      <c r="SUK575" s="287"/>
      <c r="SUL575" s="488"/>
      <c r="SUM575" s="489"/>
      <c r="SUN575" s="488"/>
      <c r="SUO575" s="300"/>
      <c r="SUP575" s="532"/>
      <c r="SUQ575" s="533"/>
      <c r="SUR575" s="534"/>
      <c r="SUS575" s="316"/>
      <c r="SUT575" s="316"/>
      <c r="SUU575" s="471"/>
      <c r="SUV575" s="472"/>
      <c r="SUW575" s="471"/>
      <c r="SUX575" s="473"/>
      <c r="SUY575" s="313"/>
      <c r="SUZ575" s="535"/>
      <c r="SVA575" s="536"/>
      <c r="SVB575" s="537"/>
      <c r="SVC575" s="538"/>
      <c r="SVD575" s="539"/>
      <c r="SVE575" s="540"/>
      <c r="SVF575" s="209"/>
      <c r="SVG575" s="541"/>
      <c r="SVH575" s="541"/>
      <c r="SVI575" s="482"/>
      <c r="SVJ575" s="173"/>
      <c r="SVK575" s="173"/>
      <c r="SVL575" s="509"/>
      <c r="SVN575" s="148"/>
      <c r="SVO575" s="148"/>
      <c r="SVP575" s="149"/>
      <c r="SVQ575" s="150"/>
      <c r="SVS575" s="152"/>
      <c r="SVT575" s="542"/>
      <c r="SVU575" s="154"/>
      <c r="SVV575" s="175"/>
      <c r="SVX575" s="156"/>
      <c r="SVY575" s="287"/>
      <c r="SVZ575" s="488"/>
      <c r="SWA575" s="489"/>
      <c r="SWB575" s="488"/>
      <c r="SWC575" s="300"/>
      <c r="SWD575" s="532"/>
      <c r="SWE575" s="533"/>
      <c r="SWF575" s="534"/>
      <c r="SWG575" s="316"/>
      <c r="SWH575" s="316"/>
      <c r="SWI575" s="471"/>
      <c r="SWJ575" s="472"/>
      <c r="SWK575" s="471"/>
      <c r="SWL575" s="473"/>
      <c r="SWM575" s="313"/>
      <c r="SWN575" s="535"/>
      <c r="SWO575" s="536"/>
      <c r="SWP575" s="537"/>
      <c r="SWQ575" s="538"/>
      <c r="SWR575" s="539"/>
      <c r="SWS575" s="540"/>
      <c r="SWT575" s="209"/>
      <c r="SWU575" s="541"/>
      <c r="SWV575" s="541"/>
      <c r="SWW575" s="482"/>
      <c r="SWX575" s="173"/>
      <c r="SWY575" s="173"/>
      <c r="SWZ575" s="509"/>
      <c r="SXB575" s="148"/>
      <c r="SXC575" s="148"/>
      <c r="SXD575" s="149"/>
      <c r="SXE575" s="150"/>
      <c r="SXG575" s="152"/>
      <c r="SXH575" s="542"/>
      <c r="SXI575" s="154"/>
      <c r="SXJ575" s="175"/>
      <c r="SXL575" s="156"/>
      <c r="SXM575" s="287"/>
      <c r="SXN575" s="488"/>
      <c r="SXO575" s="489"/>
      <c r="SXP575" s="488"/>
      <c r="SXQ575" s="300"/>
      <c r="SXR575" s="532"/>
      <c r="SXS575" s="533"/>
      <c r="SXT575" s="534"/>
      <c r="SXU575" s="316"/>
      <c r="SXV575" s="316"/>
      <c r="SXW575" s="471"/>
      <c r="SXX575" s="472"/>
      <c r="SXY575" s="471"/>
      <c r="SXZ575" s="473"/>
      <c r="SYA575" s="313"/>
      <c r="SYB575" s="535"/>
      <c r="SYC575" s="536"/>
      <c r="SYD575" s="537"/>
      <c r="SYE575" s="538"/>
      <c r="SYF575" s="539"/>
      <c r="SYG575" s="540"/>
      <c r="SYH575" s="209"/>
      <c r="SYI575" s="541"/>
      <c r="SYJ575" s="541"/>
      <c r="SYK575" s="482"/>
      <c r="SYL575" s="173"/>
      <c r="SYM575" s="173"/>
      <c r="SYN575" s="509"/>
      <c r="SYP575" s="148"/>
      <c r="SYQ575" s="148"/>
      <c r="SYR575" s="149"/>
      <c r="SYS575" s="150"/>
      <c r="SYU575" s="152"/>
      <c r="SYV575" s="542"/>
      <c r="SYW575" s="154"/>
      <c r="SYX575" s="175"/>
      <c r="SYZ575" s="156"/>
      <c r="SZA575" s="287"/>
      <c r="SZB575" s="488"/>
      <c r="SZC575" s="489"/>
      <c r="SZD575" s="488"/>
      <c r="SZE575" s="300"/>
      <c r="SZF575" s="532"/>
      <c r="SZG575" s="533"/>
      <c r="SZH575" s="534"/>
      <c r="SZI575" s="316"/>
      <c r="SZJ575" s="316"/>
      <c r="SZK575" s="471"/>
      <c r="SZL575" s="472"/>
      <c r="SZM575" s="471"/>
      <c r="SZN575" s="473"/>
      <c r="SZO575" s="313"/>
      <c r="SZP575" s="535"/>
      <c r="SZQ575" s="536"/>
      <c r="SZR575" s="537"/>
      <c r="SZS575" s="538"/>
      <c r="SZT575" s="539"/>
      <c r="SZU575" s="540"/>
      <c r="SZV575" s="209"/>
      <c r="SZW575" s="541"/>
      <c r="SZX575" s="541"/>
      <c r="SZY575" s="482"/>
      <c r="SZZ575" s="173"/>
      <c r="TAA575" s="173"/>
      <c r="TAB575" s="509"/>
      <c r="TAD575" s="148"/>
      <c r="TAE575" s="148"/>
      <c r="TAF575" s="149"/>
      <c r="TAG575" s="150"/>
      <c r="TAI575" s="152"/>
      <c r="TAJ575" s="542"/>
      <c r="TAK575" s="154"/>
      <c r="TAL575" s="175"/>
      <c r="TAN575" s="156"/>
      <c r="TAO575" s="287"/>
      <c r="TAP575" s="488"/>
      <c r="TAQ575" s="489"/>
      <c r="TAR575" s="488"/>
      <c r="TAS575" s="300"/>
      <c r="TAT575" s="532"/>
      <c r="TAU575" s="533"/>
      <c r="TAV575" s="534"/>
      <c r="TAW575" s="316"/>
      <c r="TAX575" s="316"/>
      <c r="TAY575" s="471"/>
      <c r="TAZ575" s="472"/>
      <c r="TBA575" s="471"/>
      <c r="TBB575" s="473"/>
      <c r="TBC575" s="313"/>
      <c r="TBD575" s="535"/>
      <c r="TBE575" s="536"/>
      <c r="TBF575" s="537"/>
      <c r="TBG575" s="538"/>
      <c r="TBH575" s="539"/>
      <c r="TBI575" s="540"/>
      <c r="TBJ575" s="209"/>
      <c r="TBK575" s="541"/>
      <c r="TBL575" s="541"/>
      <c r="TBM575" s="482"/>
      <c r="TBN575" s="173"/>
      <c r="TBO575" s="173"/>
      <c r="TBP575" s="509"/>
      <c r="TBR575" s="148"/>
      <c r="TBS575" s="148"/>
      <c r="TBT575" s="149"/>
      <c r="TBU575" s="150"/>
      <c r="TBW575" s="152"/>
      <c r="TBX575" s="542"/>
      <c r="TBY575" s="154"/>
      <c r="TBZ575" s="175"/>
      <c r="TCB575" s="156"/>
      <c r="TCC575" s="287"/>
      <c r="TCD575" s="488"/>
      <c r="TCE575" s="489"/>
      <c r="TCF575" s="488"/>
      <c r="TCG575" s="300"/>
      <c r="TCH575" s="532"/>
      <c r="TCI575" s="533"/>
      <c r="TCJ575" s="534"/>
      <c r="TCK575" s="316"/>
      <c r="TCL575" s="316"/>
      <c r="TCM575" s="471"/>
      <c r="TCN575" s="472"/>
      <c r="TCO575" s="471"/>
      <c r="TCP575" s="473"/>
      <c r="TCQ575" s="313"/>
      <c r="TCR575" s="535"/>
      <c r="TCS575" s="536"/>
      <c r="TCT575" s="537"/>
      <c r="TCU575" s="538"/>
      <c r="TCV575" s="539"/>
      <c r="TCW575" s="540"/>
      <c r="TCX575" s="209"/>
      <c r="TCY575" s="541"/>
      <c r="TCZ575" s="541"/>
      <c r="TDA575" s="482"/>
      <c r="TDB575" s="173"/>
      <c r="TDC575" s="173"/>
      <c r="TDD575" s="509"/>
      <c r="TDF575" s="148"/>
      <c r="TDG575" s="148"/>
      <c r="TDH575" s="149"/>
      <c r="TDI575" s="150"/>
      <c r="TDK575" s="152"/>
      <c r="TDL575" s="542"/>
      <c r="TDM575" s="154"/>
      <c r="TDN575" s="175"/>
      <c r="TDP575" s="156"/>
      <c r="TDQ575" s="287"/>
      <c r="TDR575" s="488"/>
      <c r="TDS575" s="489"/>
      <c r="TDT575" s="488"/>
      <c r="TDU575" s="300"/>
      <c r="TDV575" s="532"/>
      <c r="TDW575" s="533"/>
      <c r="TDX575" s="534"/>
      <c r="TDY575" s="316"/>
      <c r="TDZ575" s="316"/>
      <c r="TEA575" s="471"/>
      <c r="TEB575" s="472"/>
      <c r="TEC575" s="471"/>
      <c r="TED575" s="473"/>
      <c r="TEE575" s="313"/>
      <c r="TEF575" s="535"/>
      <c r="TEG575" s="536"/>
      <c r="TEH575" s="537"/>
      <c r="TEI575" s="538"/>
      <c r="TEJ575" s="539"/>
      <c r="TEK575" s="540"/>
      <c r="TEL575" s="209"/>
      <c r="TEM575" s="541"/>
      <c r="TEN575" s="541"/>
      <c r="TEO575" s="482"/>
      <c r="TEP575" s="173"/>
      <c r="TEQ575" s="173"/>
      <c r="TER575" s="509"/>
      <c r="TET575" s="148"/>
      <c r="TEU575" s="148"/>
      <c r="TEV575" s="149"/>
      <c r="TEW575" s="150"/>
      <c r="TEY575" s="152"/>
      <c r="TEZ575" s="542"/>
      <c r="TFA575" s="154"/>
      <c r="TFB575" s="175"/>
      <c r="TFD575" s="156"/>
      <c r="TFE575" s="287"/>
      <c r="TFF575" s="488"/>
      <c r="TFG575" s="489"/>
      <c r="TFH575" s="488"/>
      <c r="TFI575" s="300"/>
      <c r="TFJ575" s="532"/>
      <c r="TFK575" s="533"/>
      <c r="TFL575" s="534"/>
      <c r="TFM575" s="316"/>
      <c r="TFN575" s="316"/>
      <c r="TFO575" s="471"/>
      <c r="TFP575" s="472"/>
      <c r="TFQ575" s="471"/>
      <c r="TFR575" s="473"/>
      <c r="TFS575" s="313"/>
      <c r="TFT575" s="535"/>
      <c r="TFU575" s="536"/>
      <c r="TFV575" s="537"/>
      <c r="TFW575" s="538"/>
      <c r="TFX575" s="539"/>
      <c r="TFY575" s="540"/>
      <c r="TFZ575" s="209"/>
      <c r="TGA575" s="541"/>
      <c r="TGB575" s="541"/>
      <c r="TGC575" s="482"/>
      <c r="TGD575" s="173"/>
      <c r="TGE575" s="173"/>
      <c r="TGF575" s="509"/>
      <c r="TGH575" s="148"/>
      <c r="TGI575" s="148"/>
      <c r="TGJ575" s="149"/>
      <c r="TGK575" s="150"/>
      <c r="TGM575" s="152"/>
      <c r="TGN575" s="542"/>
      <c r="TGO575" s="154"/>
      <c r="TGP575" s="175"/>
      <c r="TGR575" s="156"/>
      <c r="TGS575" s="287"/>
      <c r="TGT575" s="488"/>
      <c r="TGU575" s="489"/>
      <c r="TGV575" s="488"/>
      <c r="TGW575" s="300"/>
      <c r="TGX575" s="532"/>
      <c r="TGY575" s="533"/>
      <c r="TGZ575" s="534"/>
      <c r="THA575" s="316"/>
      <c r="THB575" s="316"/>
      <c r="THC575" s="471"/>
      <c r="THD575" s="472"/>
      <c r="THE575" s="471"/>
      <c r="THF575" s="473"/>
      <c r="THG575" s="313"/>
      <c r="THH575" s="535"/>
      <c r="THI575" s="536"/>
      <c r="THJ575" s="537"/>
      <c r="THK575" s="538"/>
      <c r="THL575" s="539"/>
      <c r="THM575" s="540"/>
      <c r="THN575" s="209"/>
      <c r="THO575" s="541"/>
      <c r="THP575" s="541"/>
      <c r="THQ575" s="482"/>
      <c r="THR575" s="173"/>
      <c r="THS575" s="173"/>
      <c r="THT575" s="509"/>
      <c r="THV575" s="148"/>
      <c r="THW575" s="148"/>
      <c r="THX575" s="149"/>
      <c r="THY575" s="150"/>
      <c r="TIA575" s="152"/>
      <c r="TIB575" s="542"/>
      <c r="TIC575" s="154"/>
      <c r="TID575" s="175"/>
      <c r="TIF575" s="156"/>
      <c r="TIG575" s="287"/>
      <c r="TIH575" s="488"/>
      <c r="TII575" s="489"/>
      <c r="TIJ575" s="488"/>
      <c r="TIK575" s="300"/>
      <c r="TIL575" s="532"/>
      <c r="TIM575" s="533"/>
      <c r="TIN575" s="534"/>
      <c r="TIO575" s="316"/>
      <c r="TIP575" s="316"/>
      <c r="TIQ575" s="471"/>
      <c r="TIR575" s="472"/>
      <c r="TIS575" s="471"/>
      <c r="TIT575" s="473"/>
      <c r="TIU575" s="313"/>
      <c r="TIV575" s="535"/>
      <c r="TIW575" s="536"/>
      <c r="TIX575" s="537"/>
      <c r="TIY575" s="538"/>
      <c r="TIZ575" s="539"/>
      <c r="TJA575" s="540"/>
      <c r="TJB575" s="209"/>
      <c r="TJC575" s="541"/>
      <c r="TJD575" s="541"/>
      <c r="TJE575" s="482"/>
      <c r="TJF575" s="173"/>
      <c r="TJG575" s="173"/>
      <c r="TJH575" s="509"/>
      <c r="TJJ575" s="148"/>
      <c r="TJK575" s="148"/>
      <c r="TJL575" s="149"/>
      <c r="TJM575" s="150"/>
      <c r="TJO575" s="152"/>
      <c r="TJP575" s="542"/>
      <c r="TJQ575" s="154"/>
      <c r="TJR575" s="175"/>
      <c r="TJT575" s="156"/>
      <c r="TJU575" s="287"/>
      <c r="TJV575" s="488"/>
      <c r="TJW575" s="489"/>
      <c r="TJX575" s="488"/>
      <c r="TJY575" s="300"/>
      <c r="TJZ575" s="532"/>
      <c r="TKA575" s="533"/>
      <c r="TKB575" s="534"/>
      <c r="TKC575" s="316"/>
      <c r="TKD575" s="316"/>
      <c r="TKE575" s="471"/>
      <c r="TKF575" s="472"/>
      <c r="TKG575" s="471"/>
      <c r="TKH575" s="473"/>
      <c r="TKI575" s="313"/>
      <c r="TKJ575" s="535"/>
      <c r="TKK575" s="536"/>
      <c r="TKL575" s="537"/>
      <c r="TKM575" s="538"/>
      <c r="TKN575" s="539"/>
      <c r="TKO575" s="540"/>
      <c r="TKP575" s="209"/>
      <c r="TKQ575" s="541"/>
      <c r="TKR575" s="541"/>
      <c r="TKS575" s="482"/>
      <c r="TKT575" s="173"/>
      <c r="TKU575" s="173"/>
      <c r="TKV575" s="509"/>
      <c r="TKX575" s="148"/>
      <c r="TKY575" s="148"/>
      <c r="TKZ575" s="149"/>
      <c r="TLA575" s="150"/>
      <c r="TLC575" s="152"/>
      <c r="TLD575" s="542"/>
      <c r="TLE575" s="154"/>
      <c r="TLF575" s="175"/>
      <c r="TLH575" s="156"/>
      <c r="TLI575" s="287"/>
      <c r="TLJ575" s="488"/>
      <c r="TLK575" s="489"/>
      <c r="TLL575" s="488"/>
      <c r="TLM575" s="300"/>
      <c r="TLN575" s="532"/>
      <c r="TLO575" s="533"/>
      <c r="TLP575" s="534"/>
      <c r="TLQ575" s="316"/>
      <c r="TLR575" s="316"/>
      <c r="TLS575" s="471"/>
      <c r="TLT575" s="472"/>
      <c r="TLU575" s="471"/>
      <c r="TLV575" s="473"/>
      <c r="TLW575" s="313"/>
      <c r="TLX575" s="535"/>
      <c r="TLY575" s="536"/>
      <c r="TLZ575" s="537"/>
      <c r="TMA575" s="538"/>
      <c r="TMB575" s="539"/>
      <c r="TMC575" s="540"/>
      <c r="TMD575" s="209"/>
      <c r="TME575" s="541"/>
      <c r="TMF575" s="541"/>
      <c r="TMG575" s="482"/>
      <c r="TMH575" s="173"/>
      <c r="TMI575" s="173"/>
      <c r="TMJ575" s="509"/>
      <c r="TML575" s="148"/>
      <c r="TMM575" s="148"/>
      <c r="TMN575" s="149"/>
      <c r="TMO575" s="150"/>
      <c r="TMQ575" s="152"/>
      <c r="TMR575" s="542"/>
      <c r="TMS575" s="154"/>
      <c r="TMT575" s="175"/>
      <c r="TMV575" s="156"/>
      <c r="TMW575" s="287"/>
      <c r="TMX575" s="488"/>
      <c r="TMY575" s="489"/>
      <c r="TMZ575" s="488"/>
      <c r="TNA575" s="300"/>
      <c r="TNB575" s="532"/>
      <c r="TNC575" s="533"/>
      <c r="TND575" s="534"/>
      <c r="TNE575" s="316"/>
      <c r="TNF575" s="316"/>
      <c r="TNG575" s="471"/>
      <c r="TNH575" s="472"/>
      <c r="TNI575" s="471"/>
      <c r="TNJ575" s="473"/>
      <c r="TNK575" s="313"/>
      <c r="TNL575" s="535"/>
      <c r="TNM575" s="536"/>
      <c r="TNN575" s="537"/>
      <c r="TNO575" s="538"/>
      <c r="TNP575" s="539"/>
      <c r="TNQ575" s="540"/>
      <c r="TNR575" s="209"/>
      <c r="TNS575" s="541"/>
      <c r="TNT575" s="541"/>
      <c r="TNU575" s="482"/>
      <c r="TNV575" s="173"/>
      <c r="TNW575" s="173"/>
      <c r="TNX575" s="509"/>
      <c r="TNZ575" s="148"/>
      <c r="TOA575" s="148"/>
      <c r="TOB575" s="149"/>
      <c r="TOC575" s="150"/>
      <c r="TOE575" s="152"/>
      <c r="TOF575" s="542"/>
      <c r="TOG575" s="154"/>
      <c r="TOH575" s="175"/>
      <c r="TOJ575" s="156"/>
      <c r="TOK575" s="287"/>
      <c r="TOL575" s="488"/>
      <c r="TOM575" s="489"/>
      <c r="TON575" s="488"/>
      <c r="TOO575" s="300"/>
      <c r="TOP575" s="532"/>
      <c r="TOQ575" s="533"/>
      <c r="TOR575" s="534"/>
      <c r="TOS575" s="316"/>
      <c r="TOT575" s="316"/>
      <c r="TOU575" s="471"/>
      <c r="TOV575" s="472"/>
      <c r="TOW575" s="471"/>
      <c r="TOX575" s="473"/>
      <c r="TOY575" s="313"/>
      <c r="TOZ575" s="535"/>
      <c r="TPA575" s="536"/>
      <c r="TPB575" s="537"/>
      <c r="TPC575" s="538"/>
      <c r="TPD575" s="539"/>
      <c r="TPE575" s="540"/>
      <c r="TPF575" s="209"/>
      <c r="TPG575" s="541"/>
      <c r="TPH575" s="541"/>
      <c r="TPI575" s="482"/>
      <c r="TPJ575" s="173"/>
      <c r="TPK575" s="173"/>
      <c r="TPL575" s="509"/>
      <c r="TPN575" s="148"/>
      <c r="TPO575" s="148"/>
      <c r="TPP575" s="149"/>
      <c r="TPQ575" s="150"/>
      <c r="TPS575" s="152"/>
      <c r="TPT575" s="542"/>
      <c r="TPU575" s="154"/>
      <c r="TPV575" s="175"/>
      <c r="TPX575" s="156"/>
      <c r="TPY575" s="287"/>
      <c r="TPZ575" s="488"/>
      <c r="TQA575" s="489"/>
      <c r="TQB575" s="488"/>
      <c r="TQC575" s="300"/>
      <c r="TQD575" s="532"/>
      <c r="TQE575" s="533"/>
      <c r="TQF575" s="534"/>
      <c r="TQG575" s="316"/>
      <c r="TQH575" s="316"/>
      <c r="TQI575" s="471"/>
      <c r="TQJ575" s="472"/>
      <c r="TQK575" s="471"/>
      <c r="TQL575" s="473"/>
      <c r="TQM575" s="313"/>
      <c r="TQN575" s="535"/>
      <c r="TQO575" s="536"/>
      <c r="TQP575" s="537"/>
      <c r="TQQ575" s="538"/>
      <c r="TQR575" s="539"/>
      <c r="TQS575" s="540"/>
      <c r="TQT575" s="209"/>
      <c r="TQU575" s="541"/>
      <c r="TQV575" s="541"/>
      <c r="TQW575" s="482"/>
      <c r="TQX575" s="173"/>
      <c r="TQY575" s="173"/>
      <c r="TQZ575" s="509"/>
      <c r="TRB575" s="148"/>
      <c r="TRC575" s="148"/>
      <c r="TRD575" s="149"/>
      <c r="TRE575" s="150"/>
      <c r="TRG575" s="152"/>
      <c r="TRH575" s="542"/>
      <c r="TRI575" s="154"/>
      <c r="TRJ575" s="175"/>
      <c r="TRL575" s="156"/>
      <c r="TRM575" s="287"/>
      <c r="TRN575" s="488"/>
      <c r="TRO575" s="489"/>
      <c r="TRP575" s="488"/>
      <c r="TRQ575" s="300"/>
      <c r="TRR575" s="532"/>
      <c r="TRS575" s="533"/>
      <c r="TRT575" s="534"/>
      <c r="TRU575" s="316"/>
      <c r="TRV575" s="316"/>
      <c r="TRW575" s="471"/>
      <c r="TRX575" s="472"/>
      <c r="TRY575" s="471"/>
      <c r="TRZ575" s="473"/>
      <c r="TSA575" s="313"/>
      <c r="TSB575" s="535"/>
      <c r="TSC575" s="536"/>
      <c r="TSD575" s="537"/>
      <c r="TSE575" s="538"/>
      <c r="TSF575" s="539"/>
      <c r="TSG575" s="540"/>
      <c r="TSH575" s="209"/>
      <c r="TSI575" s="541"/>
      <c r="TSJ575" s="541"/>
      <c r="TSK575" s="482"/>
      <c r="TSL575" s="173"/>
      <c r="TSM575" s="173"/>
      <c r="TSN575" s="509"/>
      <c r="TSP575" s="148"/>
      <c r="TSQ575" s="148"/>
      <c r="TSR575" s="149"/>
      <c r="TSS575" s="150"/>
      <c r="TSU575" s="152"/>
      <c r="TSV575" s="542"/>
      <c r="TSW575" s="154"/>
      <c r="TSX575" s="175"/>
      <c r="TSZ575" s="156"/>
      <c r="TTA575" s="287"/>
      <c r="TTB575" s="488"/>
      <c r="TTC575" s="489"/>
      <c r="TTD575" s="488"/>
      <c r="TTE575" s="300"/>
      <c r="TTF575" s="532"/>
      <c r="TTG575" s="533"/>
      <c r="TTH575" s="534"/>
      <c r="TTI575" s="316"/>
      <c r="TTJ575" s="316"/>
      <c r="TTK575" s="471"/>
      <c r="TTL575" s="472"/>
      <c r="TTM575" s="471"/>
      <c r="TTN575" s="473"/>
      <c r="TTO575" s="313"/>
      <c r="TTP575" s="535"/>
      <c r="TTQ575" s="536"/>
      <c r="TTR575" s="537"/>
      <c r="TTS575" s="538"/>
      <c r="TTT575" s="539"/>
      <c r="TTU575" s="540"/>
      <c r="TTV575" s="209"/>
      <c r="TTW575" s="541"/>
      <c r="TTX575" s="541"/>
      <c r="TTY575" s="482"/>
      <c r="TTZ575" s="173"/>
      <c r="TUA575" s="173"/>
      <c r="TUB575" s="509"/>
      <c r="TUD575" s="148"/>
      <c r="TUE575" s="148"/>
      <c r="TUF575" s="149"/>
      <c r="TUG575" s="150"/>
      <c r="TUI575" s="152"/>
      <c r="TUJ575" s="542"/>
      <c r="TUK575" s="154"/>
      <c r="TUL575" s="175"/>
      <c r="TUN575" s="156"/>
      <c r="TUO575" s="287"/>
      <c r="TUP575" s="488"/>
      <c r="TUQ575" s="489"/>
      <c r="TUR575" s="488"/>
      <c r="TUS575" s="300"/>
      <c r="TUT575" s="532"/>
      <c r="TUU575" s="533"/>
      <c r="TUV575" s="534"/>
      <c r="TUW575" s="316"/>
      <c r="TUX575" s="316"/>
      <c r="TUY575" s="471"/>
      <c r="TUZ575" s="472"/>
      <c r="TVA575" s="471"/>
      <c r="TVB575" s="473"/>
      <c r="TVC575" s="313"/>
      <c r="TVD575" s="535"/>
      <c r="TVE575" s="536"/>
      <c r="TVF575" s="537"/>
      <c r="TVG575" s="538"/>
      <c r="TVH575" s="539"/>
      <c r="TVI575" s="540"/>
      <c r="TVJ575" s="209"/>
      <c r="TVK575" s="541"/>
      <c r="TVL575" s="541"/>
      <c r="TVM575" s="482"/>
      <c r="TVN575" s="173"/>
      <c r="TVO575" s="173"/>
      <c r="TVP575" s="509"/>
      <c r="TVR575" s="148"/>
      <c r="TVS575" s="148"/>
      <c r="TVT575" s="149"/>
      <c r="TVU575" s="150"/>
      <c r="TVW575" s="152"/>
      <c r="TVX575" s="542"/>
      <c r="TVY575" s="154"/>
      <c r="TVZ575" s="175"/>
      <c r="TWB575" s="156"/>
      <c r="TWC575" s="287"/>
      <c r="TWD575" s="488"/>
      <c r="TWE575" s="489"/>
      <c r="TWF575" s="488"/>
      <c r="TWG575" s="300"/>
      <c r="TWH575" s="532"/>
      <c r="TWI575" s="533"/>
      <c r="TWJ575" s="534"/>
      <c r="TWK575" s="316"/>
      <c r="TWL575" s="316"/>
      <c r="TWM575" s="471"/>
      <c r="TWN575" s="472"/>
      <c r="TWO575" s="471"/>
      <c r="TWP575" s="473"/>
      <c r="TWQ575" s="313"/>
      <c r="TWR575" s="535"/>
      <c r="TWS575" s="536"/>
      <c r="TWT575" s="537"/>
      <c r="TWU575" s="538"/>
      <c r="TWV575" s="539"/>
      <c r="TWW575" s="540"/>
      <c r="TWX575" s="209"/>
      <c r="TWY575" s="541"/>
      <c r="TWZ575" s="541"/>
      <c r="TXA575" s="482"/>
      <c r="TXB575" s="173"/>
      <c r="TXC575" s="173"/>
      <c r="TXD575" s="509"/>
      <c r="TXF575" s="148"/>
      <c r="TXG575" s="148"/>
      <c r="TXH575" s="149"/>
      <c r="TXI575" s="150"/>
      <c r="TXK575" s="152"/>
      <c r="TXL575" s="542"/>
      <c r="TXM575" s="154"/>
      <c r="TXN575" s="175"/>
      <c r="TXP575" s="156"/>
      <c r="TXQ575" s="287"/>
      <c r="TXR575" s="488"/>
      <c r="TXS575" s="489"/>
      <c r="TXT575" s="488"/>
      <c r="TXU575" s="300"/>
      <c r="TXV575" s="532"/>
      <c r="TXW575" s="533"/>
      <c r="TXX575" s="534"/>
      <c r="TXY575" s="316"/>
      <c r="TXZ575" s="316"/>
      <c r="TYA575" s="471"/>
      <c r="TYB575" s="472"/>
      <c r="TYC575" s="471"/>
      <c r="TYD575" s="473"/>
      <c r="TYE575" s="313"/>
      <c r="TYF575" s="535"/>
      <c r="TYG575" s="536"/>
      <c r="TYH575" s="537"/>
      <c r="TYI575" s="538"/>
      <c r="TYJ575" s="539"/>
      <c r="TYK575" s="540"/>
      <c r="TYL575" s="209"/>
      <c r="TYM575" s="541"/>
      <c r="TYN575" s="541"/>
      <c r="TYO575" s="482"/>
      <c r="TYP575" s="173"/>
      <c r="TYQ575" s="173"/>
      <c r="TYR575" s="509"/>
      <c r="TYT575" s="148"/>
      <c r="TYU575" s="148"/>
      <c r="TYV575" s="149"/>
      <c r="TYW575" s="150"/>
      <c r="TYY575" s="152"/>
      <c r="TYZ575" s="542"/>
      <c r="TZA575" s="154"/>
      <c r="TZB575" s="175"/>
      <c r="TZD575" s="156"/>
      <c r="TZE575" s="287"/>
      <c r="TZF575" s="488"/>
      <c r="TZG575" s="489"/>
      <c r="TZH575" s="488"/>
      <c r="TZI575" s="300"/>
      <c r="TZJ575" s="532"/>
      <c r="TZK575" s="533"/>
      <c r="TZL575" s="534"/>
      <c r="TZM575" s="316"/>
      <c r="TZN575" s="316"/>
      <c r="TZO575" s="471"/>
      <c r="TZP575" s="472"/>
      <c r="TZQ575" s="471"/>
      <c r="TZR575" s="473"/>
      <c r="TZS575" s="313"/>
      <c r="TZT575" s="535"/>
      <c r="TZU575" s="536"/>
      <c r="TZV575" s="537"/>
      <c r="TZW575" s="538"/>
      <c r="TZX575" s="539"/>
      <c r="TZY575" s="540"/>
      <c r="TZZ575" s="209"/>
      <c r="UAA575" s="541"/>
      <c r="UAB575" s="541"/>
      <c r="UAC575" s="482"/>
      <c r="UAD575" s="173"/>
      <c r="UAE575" s="173"/>
      <c r="UAF575" s="509"/>
      <c r="UAH575" s="148"/>
      <c r="UAI575" s="148"/>
      <c r="UAJ575" s="149"/>
      <c r="UAK575" s="150"/>
      <c r="UAM575" s="152"/>
      <c r="UAN575" s="542"/>
      <c r="UAO575" s="154"/>
      <c r="UAP575" s="175"/>
      <c r="UAR575" s="156"/>
      <c r="UAS575" s="287"/>
      <c r="UAT575" s="488"/>
      <c r="UAU575" s="489"/>
      <c r="UAV575" s="488"/>
      <c r="UAW575" s="300"/>
      <c r="UAX575" s="532"/>
      <c r="UAY575" s="533"/>
      <c r="UAZ575" s="534"/>
      <c r="UBA575" s="316"/>
      <c r="UBB575" s="316"/>
      <c r="UBC575" s="471"/>
      <c r="UBD575" s="472"/>
      <c r="UBE575" s="471"/>
      <c r="UBF575" s="473"/>
      <c r="UBG575" s="313"/>
      <c r="UBH575" s="535"/>
      <c r="UBI575" s="536"/>
      <c r="UBJ575" s="537"/>
      <c r="UBK575" s="538"/>
      <c r="UBL575" s="539"/>
      <c r="UBM575" s="540"/>
      <c r="UBN575" s="209"/>
      <c r="UBO575" s="541"/>
      <c r="UBP575" s="541"/>
      <c r="UBQ575" s="482"/>
      <c r="UBR575" s="173"/>
      <c r="UBS575" s="173"/>
      <c r="UBT575" s="509"/>
      <c r="UBV575" s="148"/>
      <c r="UBW575" s="148"/>
      <c r="UBX575" s="149"/>
      <c r="UBY575" s="150"/>
      <c r="UCA575" s="152"/>
      <c r="UCB575" s="542"/>
      <c r="UCC575" s="154"/>
      <c r="UCD575" s="175"/>
      <c r="UCF575" s="156"/>
      <c r="UCG575" s="287"/>
      <c r="UCH575" s="488"/>
      <c r="UCI575" s="489"/>
      <c r="UCJ575" s="488"/>
      <c r="UCK575" s="300"/>
      <c r="UCL575" s="532"/>
      <c r="UCM575" s="533"/>
      <c r="UCN575" s="534"/>
      <c r="UCO575" s="316"/>
      <c r="UCP575" s="316"/>
      <c r="UCQ575" s="471"/>
      <c r="UCR575" s="472"/>
      <c r="UCS575" s="471"/>
      <c r="UCT575" s="473"/>
      <c r="UCU575" s="313"/>
      <c r="UCV575" s="535"/>
      <c r="UCW575" s="536"/>
      <c r="UCX575" s="537"/>
      <c r="UCY575" s="538"/>
      <c r="UCZ575" s="539"/>
      <c r="UDA575" s="540"/>
      <c r="UDB575" s="209"/>
      <c r="UDC575" s="541"/>
      <c r="UDD575" s="541"/>
      <c r="UDE575" s="482"/>
      <c r="UDF575" s="173"/>
      <c r="UDG575" s="173"/>
      <c r="UDH575" s="509"/>
      <c r="UDJ575" s="148"/>
      <c r="UDK575" s="148"/>
      <c r="UDL575" s="149"/>
      <c r="UDM575" s="150"/>
      <c r="UDO575" s="152"/>
      <c r="UDP575" s="542"/>
      <c r="UDQ575" s="154"/>
      <c r="UDR575" s="175"/>
      <c r="UDT575" s="156"/>
      <c r="UDU575" s="287"/>
      <c r="UDV575" s="488"/>
      <c r="UDW575" s="489"/>
      <c r="UDX575" s="488"/>
      <c r="UDY575" s="300"/>
      <c r="UDZ575" s="532"/>
      <c r="UEA575" s="533"/>
      <c r="UEB575" s="534"/>
      <c r="UEC575" s="316"/>
      <c r="UED575" s="316"/>
      <c r="UEE575" s="471"/>
      <c r="UEF575" s="472"/>
      <c r="UEG575" s="471"/>
      <c r="UEH575" s="473"/>
      <c r="UEI575" s="313"/>
      <c r="UEJ575" s="535"/>
      <c r="UEK575" s="536"/>
      <c r="UEL575" s="537"/>
      <c r="UEM575" s="538"/>
      <c r="UEN575" s="539"/>
      <c r="UEO575" s="540"/>
      <c r="UEP575" s="209"/>
      <c r="UEQ575" s="541"/>
      <c r="UER575" s="541"/>
      <c r="UES575" s="482"/>
      <c r="UET575" s="173"/>
      <c r="UEU575" s="173"/>
      <c r="UEV575" s="509"/>
      <c r="UEX575" s="148"/>
      <c r="UEY575" s="148"/>
      <c r="UEZ575" s="149"/>
      <c r="UFA575" s="150"/>
      <c r="UFC575" s="152"/>
      <c r="UFD575" s="542"/>
      <c r="UFE575" s="154"/>
      <c r="UFF575" s="175"/>
      <c r="UFH575" s="156"/>
      <c r="UFI575" s="287"/>
      <c r="UFJ575" s="488"/>
      <c r="UFK575" s="489"/>
      <c r="UFL575" s="488"/>
      <c r="UFM575" s="300"/>
      <c r="UFN575" s="532"/>
      <c r="UFO575" s="533"/>
      <c r="UFP575" s="534"/>
      <c r="UFQ575" s="316"/>
      <c r="UFR575" s="316"/>
      <c r="UFS575" s="471"/>
      <c r="UFT575" s="472"/>
      <c r="UFU575" s="471"/>
      <c r="UFV575" s="473"/>
      <c r="UFW575" s="313"/>
      <c r="UFX575" s="535"/>
      <c r="UFY575" s="536"/>
      <c r="UFZ575" s="537"/>
      <c r="UGA575" s="538"/>
      <c r="UGB575" s="539"/>
      <c r="UGC575" s="540"/>
      <c r="UGD575" s="209"/>
      <c r="UGE575" s="541"/>
      <c r="UGF575" s="541"/>
      <c r="UGG575" s="482"/>
      <c r="UGH575" s="173"/>
      <c r="UGI575" s="173"/>
      <c r="UGJ575" s="509"/>
      <c r="UGL575" s="148"/>
      <c r="UGM575" s="148"/>
      <c r="UGN575" s="149"/>
      <c r="UGO575" s="150"/>
      <c r="UGQ575" s="152"/>
      <c r="UGR575" s="542"/>
      <c r="UGS575" s="154"/>
      <c r="UGT575" s="175"/>
      <c r="UGV575" s="156"/>
      <c r="UGW575" s="287"/>
      <c r="UGX575" s="488"/>
      <c r="UGY575" s="489"/>
      <c r="UGZ575" s="488"/>
      <c r="UHA575" s="300"/>
      <c r="UHB575" s="532"/>
      <c r="UHC575" s="533"/>
      <c r="UHD575" s="534"/>
      <c r="UHE575" s="316"/>
      <c r="UHF575" s="316"/>
      <c r="UHG575" s="471"/>
      <c r="UHH575" s="472"/>
      <c r="UHI575" s="471"/>
      <c r="UHJ575" s="473"/>
      <c r="UHK575" s="313"/>
      <c r="UHL575" s="535"/>
      <c r="UHM575" s="536"/>
      <c r="UHN575" s="537"/>
      <c r="UHO575" s="538"/>
      <c r="UHP575" s="539"/>
      <c r="UHQ575" s="540"/>
      <c r="UHR575" s="209"/>
      <c r="UHS575" s="541"/>
      <c r="UHT575" s="541"/>
      <c r="UHU575" s="482"/>
      <c r="UHV575" s="173"/>
      <c r="UHW575" s="173"/>
      <c r="UHX575" s="509"/>
      <c r="UHZ575" s="148"/>
      <c r="UIA575" s="148"/>
      <c r="UIB575" s="149"/>
      <c r="UIC575" s="150"/>
      <c r="UIE575" s="152"/>
      <c r="UIF575" s="542"/>
      <c r="UIG575" s="154"/>
      <c r="UIH575" s="175"/>
      <c r="UIJ575" s="156"/>
      <c r="UIK575" s="287"/>
      <c r="UIL575" s="488"/>
      <c r="UIM575" s="489"/>
      <c r="UIN575" s="488"/>
      <c r="UIO575" s="300"/>
      <c r="UIP575" s="532"/>
      <c r="UIQ575" s="533"/>
      <c r="UIR575" s="534"/>
      <c r="UIS575" s="316"/>
      <c r="UIT575" s="316"/>
      <c r="UIU575" s="471"/>
      <c r="UIV575" s="472"/>
      <c r="UIW575" s="471"/>
      <c r="UIX575" s="473"/>
      <c r="UIY575" s="313"/>
      <c r="UIZ575" s="535"/>
      <c r="UJA575" s="536"/>
      <c r="UJB575" s="537"/>
      <c r="UJC575" s="538"/>
      <c r="UJD575" s="539"/>
      <c r="UJE575" s="540"/>
      <c r="UJF575" s="209"/>
      <c r="UJG575" s="541"/>
      <c r="UJH575" s="541"/>
      <c r="UJI575" s="482"/>
      <c r="UJJ575" s="173"/>
      <c r="UJK575" s="173"/>
      <c r="UJL575" s="509"/>
      <c r="UJN575" s="148"/>
      <c r="UJO575" s="148"/>
      <c r="UJP575" s="149"/>
      <c r="UJQ575" s="150"/>
      <c r="UJS575" s="152"/>
      <c r="UJT575" s="542"/>
      <c r="UJU575" s="154"/>
      <c r="UJV575" s="175"/>
      <c r="UJX575" s="156"/>
      <c r="UJY575" s="287"/>
      <c r="UJZ575" s="488"/>
      <c r="UKA575" s="489"/>
      <c r="UKB575" s="488"/>
      <c r="UKC575" s="300"/>
      <c r="UKD575" s="532"/>
      <c r="UKE575" s="533"/>
      <c r="UKF575" s="534"/>
      <c r="UKG575" s="316"/>
      <c r="UKH575" s="316"/>
      <c r="UKI575" s="471"/>
      <c r="UKJ575" s="472"/>
      <c r="UKK575" s="471"/>
      <c r="UKL575" s="473"/>
      <c r="UKM575" s="313"/>
      <c r="UKN575" s="535"/>
      <c r="UKO575" s="536"/>
      <c r="UKP575" s="537"/>
      <c r="UKQ575" s="538"/>
      <c r="UKR575" s="539"/>
      <c r="UKS575" s="540"/>
      <c r="UKT575" s="209"/>
      <c r="UKU575" s="541"/>
      <c r="UKV575" s="541"/>
      <c r="UKW575" s="482"/>
      <c r="UKX575" s="173"/>
      <c r="UKY575" s="173"/>
      <c r="UKZ575" s="509"/>
      <c r="ULB575" s="148"/>
      <c r="ULC575" s="148"/>
      <c r="ULD575" s="149"/>
      <c r="ULE575" s="150"/>
      <c r="ULG575" s="152"/>
      <c r="ULH575" s="542"/>
      <c r="ULI575" s="154"/>
      <c r="ULJ575" s="175"/>
      <c r="ULL575" s="156"/>
      <c r="ULM575" s="287"/>
      <c r="ULN575" s="488"/>
      <c r="ULO575" s="489"/>
      <c r="ULP575" s="488"/>
      <c r="ULQ575" s="300"/>
      <c r="ULR575" s="532"/>
      <c r="ULS575" s="533"/>
      <c r="ULT575" s="534"/>
      <c r="ULU575" s="316"/>
      <c r="ULV575" s="316"/>
      <c r="ULW575" s="471"/>
      <c r="ULX575" s="472"/>
      <c r="ULY575" s="471"/>
      <c r="ULZ575" s="473"/>
      <c r="UMA575" s="313"/>
      <c r="UMB575" s="535"/>
      <c r="UMC575" s="536"/>
      <c r="UMD575" s="537"/>
      <c r="UME575" s="538"/>
      <c r="UMF575" s="539"/>
      <c r="UMG575" s="540"/>
      <c r="UMH575" s="209"/>
      <c r="UMI575" s="541"/>
      <c r="UMJ575" s="541"/>
      <c r="UMK575" s="482"/>
      <c r="UML575" s="173"/>
      <c r="UMM575" s="173"/>
      <c r="UMN575" s="509"/>
      <c r="UMP575" s="148"/>
      <c r="UMQ575" s="148"/>
      <c r="UMR575" s="149"/>
      <c r="UMS575" s="150"/>
      <c r="UMU575" s="152"/>
      <c r="UMV575" s="542"/>
      <c r="UMW575" s="154"/>
      <c r="UMX575" s="175"/>
      <c r="UMZ575" s="156"/>
      <c r="UNA575" s="287"/>
      <c r="UNB575" s="488"/>
      <c r="UNC575" s="489"/>
      <c r="UND575" s="488"/>
      <c r="UNE575" s="300"/>
      <c r="UNF575" s="532"/>
      <c r="UNG575" s="533"/>
      <c r="UNH575" s="534"/>
      <c r="UNI575" s="316"/>
      <c r="UNJ575" s="316"/>
      <c r="UNK575" s="471"/>
      <c r="UNL575" s="472"/>
      <c r="UNM575" s="471"/>
      <c r="UNN575" s="473"/>
      <c r="UNO575" s="313"/>
      <c r="UNP575" s="535"/>
      <c r="UNQ575" s="536"/>
      <c r="UNR575" s="537"/>
      <c r="UNS575" s="538"/>
      <c r="UNT575" s="539"/>
      <c r="UNU575" s="540"/>
      <c r="UNV575" s="209"/>
      <c r="UNW575" s="541"/>
      <c r="UNX575" s="541"/>
      <c r="UNY575" s="482"/>
      <c r="UNZ575" s="173"/>
      <c r="UOA575" s="173"/>
      <c r="UOB575" s="509"/>
      <c r="UOD575" s="148"/>
      <c r="UOE575" s="148"/>
      <c r="UOF575" s="149"/>
      <c r="UOG575" s="150"/>
      <c r="UOI575" s="152"/>
      <c r="UOJ575" s="542"/>
      <c r="UOK575" s="154"/>
      <c r="UOL575" s="175"/>
      <c r="UON575" s="156"/>
      <c r="UOO575" s="287"/>
      <c r="UOP575" s="488"/>
      <c r="UOQ575" s="489"/>
      <c r="UOR575" s="488"/>
      <c r="UOS575" s="300"/>
      <c r="UOT575" s="532"/>
      <c r="UOU575" s="533"/>
      <c r="UOV575" s="534"/>
      <c r="UOW575" s="316"/>
      <c r="UOX575" s="316"/>
      <c r="UOY575" s="471"/>
      <c r="UOZ575" s="472"/>
      <c r="UPA575" s="471"/>
      <c r="UPB575" s="473"/>
      <c r="UPC575" s="313"/>
      <c r="UPD575" s="535"/>
      <c r="UPE575" s="536"/>
      <c r="UPF575" s="537"/>
      <c r="UPG575" s="538"/>
      <c r="UPH575" s="539"/>
      <c r="UPI575" s="540"/>
      <c r="UPJ575" s="209"/>
      <c r="UPK575" s="541"/>
      <c r="UPL575" s="541"/>
      <c r="UPM575" s="482"/>
      <c r="UPN575" s="173"/>
      <c r="UPO575" s="173"/>
      <c r="UPP575" s="509"/>
      <c r="UPR575" s="148"/>
      <c r="UPS575" s="148"/>
      <c r="UPT575" s="149"/>
      <c r="UPU575" s="150"/>
      <c r="UPW575" s="152"/>
      <c r="UPX575" s="542"/>
      <c r="UPY575" s="154"/>
      <c r="UPZ575" s="175"/>
      <c r="UQB575" s="156"/>
      <c r="UQC575" s="287"/>
      <c r="UQD575" s="488"/>
      <c r="UQE575" s="489"/>
      <c r="UQF575" s="488"/>
      <c r="UQG575" s="300"/>
      <c r="UQH575" s="532"/>
      <c r="UQI575" s="533"/>
      <c r="UQJ575" s="534"/>
      <c r="UQK575" s="316"/>
      <c r="UQL575" s="316"/>
      <c r="UQM575" s="471"/>
      <c r="UQN575" s="472"/>
      <c r="UQO575" s="471"/>
      <c r="UQP575" s="473"/>
      <c r="UQQ575" s="313"/>
      <c r="UQR575" s="535"/>
      <c r="UQS575" s="536"/>
      <c r="UQT575" s="537"/>
      <c r="UQU575" s="538"/>
      <c r="UQV575" s="539"/>
      <c r="UQW575" s="540"/>
      <c r="UQX575" s="209"/>
      <c r="UQY575" s="541"/>
      <c r="UQZ575" s="541"/>
      <c r="URA575" s="482"/>
      <c r="URB575" s="173"/>
      <c r="URC575" s="173"/>
      <c r="URD575" s="509"/>
      <c r="URF575" s="148"/>
      <c r="URG575" s="148"/>
      <c r="URH575" s="149"/>
      <c r="URI575" s="150"/>
      <c r="URK575" s="152"/>
      <c r="URL575" s="542"/>
      <c r="URM575" s="154"/>
      <c r="URN575" s="175"/>
      <c r="URP575" s="156"/>
      <c r="URQ575" s="287"/>
      <c r="URR575" s="488"/>
      <c r="URS575" s="489"/>
      <c r="URT575" s="488"/>
      <c r="URU575" s="300"/>
      <c r="URV575" s="532"/>
      <c r="URW575" s="533"/>
      <c r="URX575" s="534"/>
      <c r="URY575" s="316"/>
      <c r="URZ575" s="316"/>
      <c r="USA575" s="471"/>
      <c r="USB575" s="472"/>
      <c r="USC575" s="471"/>
      <c r="USD575" s="473"/>
      <c r="USE575" s="313"/>
      <c r="USF575" s="535"/>
      <c r="USG575" s="536"/>
      <c r="USH575" s="537"/>
      <c r="USI575" s="538"/>
      <c r="USJ575" s="539"/>
      <c r="USK575" s="540"/>
      <c r="USL575" s="209"/>
      <c r="USM575" s="541"/>
      <c r="USN575" s="541"/>
      <c r="USO575" s="482"/>
      <c r="USP575" s="173"/>
      <c r="USQ575" s="173"/>
      <c r="USR575" s="509"/>
      <c r="UST575" s="148"/>
      <c r="USU575" s="148"/>
      <c r="USV575" s="149"/>
      <c r="USW575" s="150"/>
      <c r="USY575" s="152"/>
      <c r="USZ575" s="542"/>
      <c r="UTA575" s="154"/>
      <c r="UTB575" s="175"/>
      <c r="UTD575" s="156"/>
      <c r="UTE575" s="287"/>
      <c r="UTF575" s="488"/>
      <c r="UTG575" s="489"/>
      <c r="UTH575" s="488"/>
      <c r="UTI575" s="300"/>
      <c r="UTJ575" s="532"/>
      <c r="UTK575" s="533"/>
      <c r="UTL575" s="534"/>
      <c r="UTM575" s="316"/>
      <c r="UTN575" s="316"/>
      <c r="UTO575" s="471"/>
      <c r="UTP575" s="472"/>
      <c r="UTQ575" s="471"/>
      <c r="UTR575" s="473"/>
      <c r="UTS575" s="313"/>
      <c r="UTT575" s="535"/>
      <c r="UTU575" s="536"/>
      <c r="UTV575" s="537"/>
      <c r="UTW575" s="538"/>
      <c r="UTX575" s="539"/>
      <c r="UTY575" s="540"/>
      <c r="UTZ575" s="209"/>
      <c r="UUA575" s="541"/>
      <c r="UUB575" s="541"/>
      <c r="UUC575" s="482"/>
      <c r="UUD575" s="173"/>
      <c r="UUE575" s="173"/>
      <c r="UUF575" s="509"/>
      <c r="UUH575" s="148"/>
      <c r="UUI575" s="148"/>
      <c r="UUJ575" s="149"/>
      <c r="UUK575" s="150"/>
      <c r="UUM575" s="152"/>
      <c r="UUN575" s="542"/>
      <c r="UUO575" s="154"/>
      <c r="UUP575" s="175"/>
      <c r="UUR575" s="156"/>
      <c r="UUS575" s="287"/>
      <c r="UUT575" s="488"/>
      <c r="UUU575" s="489"/>
      <c r="UUV575" s="488"/>
      <c r="UUW575" s="300"/>
      <c r="UUX575" s="532"/>
      <c r="UUY575" s="533"/>
      <c r="UUZ575" s="534"/>
      <c r="UVA575" s="316"/>
      <c r="UVB575" s="316"/>
      <c r="UVC575" s="471"/>
      <c r="UVD575" s="472"/>
      <c r="UVE575" s="471"/>
      <c r="UVF575" s="473"/>
      <c r="UVG575" s="313"/>
      <c r="UVH575" s="535"/>
      <c r="UVI575" s="536"/>
      <c r="UVJ575" s="537"/>
      <c r="UVK575" s="538"/>
      <c r="UVL575" s="539"/>
      <c r="UVM575" s="540"/>
      <c r="UVN575" s="209"/>
      <c r="UVO575" s="541"/>
      <c r="UVP575" s="541"/>
      <c r="UVQ575" s="482"/>
      <c r="UVR575" s="173"/>
      <c r="UVS575" s="173"/>
      <c r="UVT575" s="509"/>
      <c r="UVV575" s="148"/>
      <c r="UVW575" s="148"/>
      <c r="UVX575" s="149"/>
      <c r="UVY575" s="150"/>
      <c r="UWA575" s="152"/>
      <c r="UWB575" s="542"/>
      <c r="UWC575" s="154"/>
      <c r="UWD575" s="175"/>
      <c r="UWF575" s="156"/>
      <c r="UWG575" s="287"/>
      <c r="UWH575" s="488"/>
      <c r="UWI575" s="489"/>
      <c r="UWJ575" s="488"/>
      <c r="UWK575" s="300"/>
      <c r="UWL575" s="532"/>
      <c r="UWM575" s="533"/>
      <c r="UWN575" s="534"/>
      <c r="UWO575" s="316"/>
      <c r="UWP575" s="316"/>
      <c r="UWQ575" s="471"/>
      <c r="UWR575" s="472"/>
      <c r="UWS575" s="471"/>
      <c r="UWT575" s="473"/>
      <c r="UWU575" s="313"/>
      <c r="UWV575" s="535"/>
      <c r="UWW575" s="536"/>
      <c r="UWX575" s="537"/>
      <c r="UWY575" s="538"/>
      <c r="UWZ575" s="539"/>
      <c r="UXA575" s="540"/>
      <c r="UXB575" s="209"/>
      <c r="UXC575" s="541"/>
      <c r="UXD575" s="541"/>
      <c r="UXE575" s="482"/>
      <c r="UXF575" s="173"/>
      <c r="UXG575" s="173"/>
      <c r="UXH575" s="509"/>
      <c r="UXJ575" s="148"/>
      <c r="UXK575" s="148"/>
      <c r="UXL575" s="149"/>
      <c r="UXM575" s="150"/>
      <c r="UXO575" s="152"/>
      <c r="UXP575" s="542"/>
      <c r="UXQ575" s="154"/>
      <c r="UXR575" s="175"/>
      <c r="UXT575" s="156"/>
      <c r="UXU575" s="287"/>
      <c r="UXV575" s="488"/>
      <c r="UXW575" s="489"/>
      <c r="UXX575" s="488"/>
      <c r="UXY575" s="300"/>
      <c r="UXZ575" s="532"/>
      <c r="UYA575" s="533"/>
      <c r="UYB575" s="534"/>
      <c r="UYC575" s="316"/>
      <c r="UYD575" s="316"/>
      <c r="UYE575" s="471"/>
      <c r="UYF575" s="472"/>
      <c r="UYG575" s="471"/>
      <c r="UYH575" s="473"/>
      <c r="UYI575" s="313"/>
      <c r="UYJ575" s="535"/>
      <c r="UYK575" s="536"/>
      <c r="UYL575" s="537"/>
      <c r="UYM575" s="538"/>
      <c r="UYN575" s="539"/>
      <c r="UYO575" s="540"/>
      <c r="UYP575" s="209"/>
      <c r="UYQ575" s="541"/>
      <c r="UYR575" s="541"/>
      <c r="UYS575" s="482"/>
      <c r="UYT575" s="173"/>
      <c r="UYU575" s="173"/>
      <c r="UYV575" s="509"/>
      <c r="UYX575" s="148"/>
      <c r="UYY575" s="148"/>
      <c r="UYZ575" s="149"/>
      <c r="UZA575" s="150"/>
      <c r="UZC575" s="152"/>
      <c r="UZD575" s="542"/>
      <c r="UZE575" s="154"/>
      <c r="UZF575" s="175"/>
      <c r="UZH575" s="156"/>
      <c r="UZI575" s="287"/>
      <c r="UZJ575" s="488"/>
      <c r="UZK575" s="489"/>
      <c r="UZL575" s="488"/>
      <c r="UZM575" s="300"/>
      <c r="UZN575" s="532"/>
      <c r="UZO575" s="533"/>
      <c r="UZP575" s="534"/>
      <c r="UZQ575" s="316"/>
      <c r="UZR575" s="316"/>
      <c r="UZS575" s="471"/>
      <c r="UZT575" s="472"/>
      <c r="UZU575" s="471"/>
      <c r="UZV575" s="473"/>
      <c r="UZW575" s="313"/>
      <c r="UZX575" s="535"/>
      <c r="UZY575" s="536"/>
      <c r="UZZ575" s="537"/>
      <c r="VAA575" s="538"/>
      <c r="VAB575" s="539"/>
      <c r="VAC575" s="540"/>
      <c r="VAD575" s="209"/>
      <c r="VAE575" s="541"/>
      <c r="VAF575" s="541"/>
      <c r="VAG575" s="482"/>
      <c r="VAH575" s="173"/>
      <c r="VAI575" s="173"/>
      <c r="VAJ575" s="509"/>
      <c r="VAL575" s="148"/>
      <c r="VAM575" s="148"/>
      <c r="VAN575" s="149"/>
      <c r="VAO575" s="150"/>
      <c r="VAQ575" s="152"/>
      <c r="VAR575" s="542"/>
      <c r="VAS575" s="154"/>
      <c r="VAT575" s="175"/>
      <c r="VAV575" s="156"/>
      <c r="VAW575" s="287"/>
      <c r="VAX575" s="488"/>
      <c r="VAY575" s="489"/>
      <c r="VAZ575" s="488"/>
      <c r="VBA575" s="300"/>
      <c r="VBB575" s="532"/>
      <c r="VBC575" s="533"/>
      <c r="VBD575" s="534"/>
      <c r="VBE575" s="316"/>
      <c r="VBF575" s="316"/>
      <c r="VBG575" s="471"/>
      <c r="VBH575" s="472"/>
      <c r="VBI575" s="471"/>
      <c r="VBJ575" s="473"/>
      <c r="VBK575" s="313"/>
      <c r="VBL575" s="535"/>
      <c r="VBM575" s="536"/>
      <c r="VBN575" s="537"/>
      <c r="VBO575" s="538"/>
      <c r="VBP575" s="539"/>
      <c r="VBQ575" s="540"/>
      <c r="VBR575" s="209"/>
      <c r="VBS575" s="541"/>
      <c r="VBT575" s="541"/>
      <c r="VBU575" s="482"/>
      <c r="VBV575" s="173"/>
      <c r="VBW575" s="173"/>
      <c r="VBX575" s="509"/>
      <c r="VBZ575" s="148"/>
      <c r="VCA575" s="148"/>
      <c r="VCB575" s="149"/>
      <c r="VCC575" s="150"/>
      <c r="VCE575" s="152"/>
      <c r="VCF575" s="542"/>
      <c r="VCG575" s="154"/>
      <c r="VCH575" s="175"/>
      <c r="VCJ575" s="156"/>
      <c r="VCK575" s="287"/>
      <c r="VCL575" s="488"/>
      <c r="VCM575" s="489"/>
      <c r="VCN575" s="488"/>
      <c r="VCO575" s="300"/>
      <c r="VCP575" s="532"/>
      <c r="VCQ575" s="533"/>
      <c r="VCR575" s="534"/>
      <c r="VCS575" s="316"/>
      <c r="VCT575" s="316"/>
      <c r="VCU575" s="471"/>
      <c r="VCV575" s="472"/>
      <c r="VCW575" s="471"/>
      <c r="VCX575" s="473"/>
      <c r="VCY575" s="313"/>
      <c r="VCZ575" s="535"/>
      <c r="VDA575" s="536"/>
      <c r="VDB575" s="537"/>
      <c r="VDC575" s="538"/>
      <c r="VDD575" s="539"/>
      <c r="VDE575" s="540"/>
      <c r="VDF575" s="209"/>
      <c r="VDG575" s="541"/>
      <c r="VDH575" s="541"/>
      <c r="VDI575" s="482"/>
      <c r="VDJ575" s="173"/>
      <c r="VDK575" s="173"/>
      <c r="VDL575" s="509"/>
      <c r="VDN575" s="148"/>
      <c r="VDO575" s="148"/>
      <c r="VDP575" s="149"/>
      <c r="VDQ575" s="150"/>
      <c r="VDS575" s="152"/>
      <c r="VDT575" s="542"/>
      <c r="VDU575" s="154"/>
      <c r="VDV575" s="175"/>
      <c r="VDX575" s="156"/>
      <c r="VDY575" s="287"/>
      <c r="VDZ575" s="488"/>
      <c r="VEA575" s="489"/>
      <c r="VEB575" s="488"/>
      <c r="VEC575" s="300"/>
      <c r="VED575" s="532"/>
      <c r="VEE575" s="533"/>
      <c r="VEF575" s="534"/>
      <c r="VEG575" s="316"/>
      <c r="VEH575" s="316"/>
      <c r="VEI575" s="471"/>
      <c r="VEJ575" s="472"/>
      <c r="VEK575" s="471"/>
      <c r="VEL575" s="473"/>
      <c r="VEM575" s="313"/>
      <c r="VEN575" s="535"/>
      <c r="VEO575" s="536"/>
      <c r="VEP575" s="537"/>
      <c r="VEQ575" s="538"/>
      <c r="VER575" s="539"/>
      <c r="VES575" s="540"/>
      <c r="VET575" s="209"/>
      <c r="VEU575" s="541"/>
      <c r="VEV575" s="541"/>
      <c r="VEW575" s="482"/>
      <c r="VEX575" s="173"/>
      <c r="VEY575" s="173"/>
      <c r="VEZ575" s="509"/>
      <c r="VFB575" s="148"/>
      <c r="VFC575" s="148"/>
      <c r="VFD575" s="149"/>
      <c r="VFE575" s="150"/>
      <c r="VFG575" s="152"/>
      <c r="VFH575" s="542"/>
      <c r="VFI575" s="154"/>
      <c r="VFJ575" s="175"/>
      <c r="VFL575" s="156"/>
      <c r="VFM575" s="287"/>
      <c r="VFN575" s="488"/>
      <c r="VFO575" s="489"/>
      <c r="VFP575" s="488"/>
      <c r="VFQ575" s="300"/>
      <c r="VFR575" s="532"/>
      <c r="VFS575" s="533"/>
      <c r="VFT575" s="534"/>
      <c r="VFU575" s="316"/>
      <c r="VFV575" s="316"/>
      <c r="VFW575" s="471"/>
      <c r="VFX575" s="472"/>
      <c r="VFY575" s="471"/>
      <c r="VFZ575" s="473"/>
      <c r="VGA575" s="313"/>
      <c r="VGB575" s="535"/>
      <c r="VGC575" s="536"/>
      <c r="VGD575" s="537"/>
      <c r="VGE575" s="538"/>
      <c r="VGF575" s="539"/>
      <c r="VGG575" s="540"/>
      <c r="VGH575" s="209"/>
      <c r="VGI575" s="541"/>
      <c r="VGJ575" s="541"/>
      <c r="VGK575" s="482"/>
      <c r="VGL575" s="173"/>
      <c r="VGM575" s="173"/>
      <c r="VGN575" s="509"/>
      <c r="VGP575" s="148"/>
      <c r="VGQ575" s="148"/>
      <c r="VGR575" s="149"/>
      <c r="VGS575" s="150"/>
      <c r="VGU575" s="152"/>
      <c r="VGV575" s="542"/>
      <c r="VGW575" s="154"/>
      <c r="VGX575" s="175"/>
      <c r="VGZ575" s="156"/>
      <c r="VHA575" s="287"/>
      <c r="VHB575" s="488"/>
      <c r="VHC575" s="489"/>
      <c r="VHD575" s="488"/>
      <c r="VHE575" s="300"/>
      <c r="VHF575" s="532"/>
      <c r="VHG575" s="533"/>
      <c r="VHH575" s="534"/>
      <c r="VHI575" s="316"/>
      <c r="VHJ575" s="316"/>
      <c r="VHK575" s="471"/>
      <c r="VHL575" s="472"/>
      <c r="VHM575" s="471"/>
      <c r="VHN575" s="473"/>
      <c r="VHO575" s="313"/>
      <c r="VHP575" s="535"/>
      <c r="VHQ575" s="536"/>
      <c r="VHR575" s="537"/>
      <c r="VHS575" s="538"/>
      <c r="VHT575" s="539"/>
      <c r="VHU575" s="540"/>
      <c r="VHV575" s="209"/>
      <c r="VHW575" s="541"/>
      <c r="VHX575" s="541"/>
      <c r="VHY575" s="482"/>
      <c r="VHZ575" s="173"/>
      <c r="VIA575" s="173"/>
      <c r="VIB575" s="509"/>
      <c r="VID575" s="148"/>
      <c r="VIE575" s="148"/>
      <c r="VIF575" s="149"/>
      <c r="VIG575" s="150"/>
      <c r="VII575" s="152"/>
      <c r="VIJ575" s="542"/>
      <c r="VIK575" s="154"/>
      <c r="VIL575" s="175"/>
      <c r="VIN575" s="156"/>
      <c r="VIO575" s="287"/>
      <c r="VIP575" s="488"/>
      <c r="VIQ575" s="489"/>
      <c r="VIR575" s="488"/>
      <c r="VIS575" s="300"/>
      <c r="VIT575" s="532"/>
      <c r="VIU575" s="533"/>
      <c r="VIV575" s="534"/>
      <c r="VIW575" s="316"/>
      <c r="VIX575" s="316"/>
      <c r="VIY575" s="471"/>
      <c r="VIZ575" s="472"/>
      <c r="VJA575" s="471"/>
      <c r="VJB575" s="473"/>
      <c r="VJC575" s="313"/>
      <c r="VJD575" s="535"/>
      <c r="VJE575" s="536"/>
      <c r="VJF575" s="537"/>
      <c r="VJG575" s="538"/>
      <c r="VJH575" s="539"/>
      <c r="VJI575" s="540"/>
      <c r="VJJ575" s="209"/>
      <c r="VJK575" s="541"/>
      <c r="VJL575" s="541"/>
      <c r="VJM575" s="482"/>
      <c r="VJN575" s="173"/>
      <c r="VJO575" s="173"/>
      <c r="VJP575" s="509"/>
      <c r="VJR575" s="148"/>
      <c r="VJS575" s="148"/>
      <c r="VJT575" s="149"/>
      <c r="VJU575" s="150"/>
      <c r="VJW575" s="152"/>
      <c r="VJX575" s="542"/>
      <c r="VJY575" s="154"/>
      <c r="VJZ575" s="175"/>
      <c r="VKB575" s="156"/>
      <c r="VKC575" s="287"/>
      <c r="VKD575" s="488"/>
      <c r="VKE575" s="489"/>
      <c r="VKF575" s="488"/>
      <c r="VKG575" s="300"/>
      <c r="VKH575" s="532"/>
      <c r="VKI575" s="533"/>
      <c r="VKJ575" s="534"/>
      <c r="VKK575" s="316"/>
      <c r="VKL575" s="316"/>
      <c r="VKM575" s="471"/>
      <c r="VKN575" s="472"/>
      <c r="VKO575" s="471"/>
      <c r="VKP575" s="473"/>
      <c r="VKQ575" s="313"/>
      <c r="VKR575" s="535"/>
      <c r="VKS575" s="536"/>
      <c r="VKT575" s="537"/>
      <c r="VKU575" s="538"/>
      <c r="VKV575" s="539"/>
      <c r="VKW575" s="540"/>
      <c r="VKX575" s="209"/>
      <c r="VKY575" s="541"/>
      <c r="VKZ575" s="541"/>
      <c r="VLA575" s="482"/>
      <c r="VLB575" s="173"/>
      <c r="VLC575" s="173"/>
      <c r="VLD575" s="509"/>
      <c r="VLF575" s="148"/>
      <c r="VLG575" s="148"/>
      <c r="VLH575" s="149"/>
      <c r="VLI575" s="150"/>
      <c r="VLK575" s="152"/>
      <c r="VLL575" s="542"/>
      <c r="VLM575" s="154"/>
      <c r="VLN575" s="175"/>
      <c r="VLP575" s="156"/>
      <c r="VLQ575" s="287"/>
      <c r="VLR575" s="488"/>
      <c r="VLS575" s="489"/>
      <c r="VLT575" s="488"/>
      <c r="VLU575" s="300"/>
      <c r="VLV575" s="532"/>
      <c r="VLW575" s="533"/>
      <c r="VLX575" s="534"/>
      <c r="VLY575" s="316"/>
      <c r="VLZ575" s="316"/>
      <c r="VMA575" s="471"/>
      <c r="VMB575" s="472"/>
      <c r="VMC575" s="471"/>
      <c r="VMD575" s="473"/>
      <c r="VME575" s="313"/>
      <c r="VMF575" s="535"/>
      <c r="VMG575" s="536"/>
      <c r="VMH575" s="537"/>
      <c r="VMI575" s="538"/>
      <c r="VMJ575" s="539"/>
      <c r="VMK575" s="540"/>
      <c r="VML575" s="209"/>
      <c r="VMM575" s="541"/>
      <c r="VMN575" s="541"/>
      <c r="VMO575" s="482"/>
      <c r="VMP575" s="173"/>
      <c r="VMQ575" s="173"/>
      <c r="VMR575" s="509"/>
      <c r="VMT575" s="148"/>
      <c r="VMU575" s="148"/>
      <c r="VMV575" s="149"/>
      <c r="VMW575" s="150"/>
      <c r="VMY575" s="152"/>
      <c r="VMZ575" s="542"/>
      <c r="VNA575" s="154"/>
      <c r="VNB575" s="175"/>
      <c r="VND575" s="156"/>
      <c r="VNE575" s="287"/>
      <c r="VNF575" s="488"/>
      <c r="VNG575" s="489"/>
      <c r="VNH575" s="488"/>
      <c r="VNI575" s="300"/>
      <c r="VNJ575" s="532"/>
      <c r="VNK575" s="533"/>
      <c r="VNL575" s="534"/>
      <c r="VNM575" s="316"/>
      <c r="VNN575" s="316"/>
      <c r="VNO575" s="471"/>
      <c r="VNP575" s="472"/>
      <c r="VNQ575" s="471"/>
      <c r="VNR575" s="473"/>
      <c r="VNS575" s="313"/>
      <c r="VNT575" s="535"/>
      <c r="VNU575" s="536"/>
      <c r="VNV575" s="537"/>
      <c r="VNW575" s="538"/>
      <c r="VNX575" s="539"/>
      <c r="VNY575" s="540"/>
      <c r="VNZ575" s="209"/>
      <c r="VOA575" s="541"/>
      <c r="VOB575" s="541"/>
      <c r="VOC575" s="482"/>
      <c r="VOD575" s="173"/>
      <c r="VOE575" s="173"/>
      <c r="VOF575" s="509"/>
      <c r="VOH575" s="148"/>
      <c r="VOI575" s="148"/>
      <c r="VOJ575" s="149"/>
      <c r="VOK575" s="150"/>
      <c r="VOM575" s="152"/>
      <c r="VON575" s="542"/>
      <c r="VOO575" s="154"/>
      <c r="VOP575" s="175"/>
      <c r="VOR575" s="156"/>
      <c r="VOS575" s="287"/>
      <c r="VOT575" s="488"/>
      <c r="VOU575" s="489"/>
      <c r="VOV575" s="488"/>
      <c r="VOW575" s="300"/>
      <c r="VOX575" s="532"/>
      <c r="VOY575" s="533"/>
      <c r="VOZ575" s="534"/>
      <c r="VPA575" s="316"/>
      <c r="VPB575" s="316"/>
      <c r="VPC575" s="471"/>
      <c r="VPD575" s="472"/>
      <c r="VPE575" s="471"/>
      <c r="VPF575" s="473"/>
      <c r="VPG575" s="313"/>
      <c r="VPH575" s="535"/>
      <c r="VPI575" s="536"/>
      <c r="VPJ575" s="537"/>
      <c r="VPK575" s="538"/>
      <c r="VPL575" s="539"/>
      <c r="VPM575" s="540"/>
      <c r="VPN575" s="209"/>
      <c r="VPO575" s="541"/>
      <c r="VPP575" s="541"/>
      <c r="VPQ575" s="482"/>
      <c r="VPR575" s="173"/>
      <c r="VPS575" s="173"/>
      <c r="VPT575" s="509"/>
      <c r="VPV575" s="148"/>
      <c r="VPW575" s="148"/>
      <c r="VPX575" s="149"/>
      <c r="VPY575" s="150"/>
      <c r="VQA575" s="152"/>
      <c r="VQB575" s="542"/>
      <c r="VQC575" s="154"/>
      <c r="VQD575" s="175"/>
      <c r="VQF575" s="156"/>
      <c r="VQG575" s="287"/>
      <c r="VQH575" s="488"/>
      <c r="VQI575" s="489"/>
      <c r="VQJ575" s="488"/>
      <c r="VQK575" s="300"/>
      <c r="VQL575" s="532"/>
      <c r="VQM575" s="533"/>
      <c r="VQN575" s="534"/>
      <c r="VQO575" s="316"/>
      <c r="VQP575" s="316"/>
      <c r="VQQ575" s="471"/>
      <c r="VQR575" s="472"/>
      <c r="VQS575" s="471"/>
      <c r="VQT575" s="473"/>
      <c r="VQU575" s="313"/>
      <c r="VQV575" s="535"/>
      <c r="VQW575" s="536"/>
      <c r="VQX575" s="537"/>
      <c r="VQY575" s="538"/>
      <c r="VQZ575" s="539"/>
      <c r="VRA575" s="540"/>
      <c r="VRB575" s="209"/>
      <c r="VRC575" s="541"/>
      <c r="VRD575" s="541"/>
      <c r="VRE575" s="482"/>
      <c r="VRF575" s="173"/>
      <c r="VRG575" s="173"/>
      <c r="VRH575" s="509"/>
      <c r="VRJ575" s="148"/>
      <c r="VRK575" s="148"/>
      <c r="VRL575" s="149"/>
      <c r="VRM575" s="150"/>
      <c r="VRO575" s="152"/>
      <c r="VRP575" s="542"/>
      <c r="VRQ575" s="154"/>
      <c r="VRR575" s="175"/>
      <c r="VRT575" s="156"/>
      <c r="VRU575" s="287"/>
      <c r="VRV575" s="488"/>
      <c r="VRW575" s="489"/>
      <c r="VRX575" s="488"/>
      <c r="VRY575" s="300"/>
      <c r="VRZ575" s="532"/>
      <c r="VSA575" s="533"/>
      <c r="VSB575" s="534"/>
      <c r="VSC575" s="316"/>
      <c r="VSD575" s="316"/>
      <c r="VSE575" s="471"/>
      <c r="VSF575" s="472"/>
      <c r="VSG575" s="471"/>
      <c r="VSH575" s="473"/>
      <c r="VSI575" s="313"/>
      <c r="VSJ575" s="535"/>
      <c r="VSK575" s="536"/>
      <c r="VSL575" s="537"/>
      <c r="VSM575" s="538"/>
      <c r="VSN575" s="539"/>
      <c r="VSO575" s="540"/>
      <c r="VSP575" s="209"/>
      <c r="VSQ575" s="541"/>
      <c r="VSR575" s="541"/>
      <c r="VSS575" s="482"/>
      <c r="VST575" s="173"/>
      <c r="VSU575" s="173"/>
      <c r="VSV575" s="509"/>
      <c r="VSX575" s="148"/>
      <c r="VSY575" s="148"/>
      <c r="VSZ575" s="149"/>
      <c r="VTA575" s="150"/>
      <c r="VTC575" s="152"/>
      <c r="VTD575" s="542"/>
      <c r="VTE575" s="154"/>
      <c r="VTF575" s="175"/>
      <c r="VTH575" s="156"/>
      <c r="VTI575" s="287"/>
      <c r="VTJ575" s="488"/>
      <c r="VTK575" s="489"/>
      <c r="VTL575" s="488"/>
      <c r="VTM575" s="300"/>
      <c r="VTN575" s="532"/>
      <c r="VTO575" s="533"/>
      <c r="VTP575" s="534"/>
      <c r="VTQ575" s="316"/>
      <c r="VTR575" s="316"/>
      <c r="VTS575" s="471"/>
      <c r="VTT575" s="472"/>
      <c r="VTU575" s="471"/>
      <c r="VTV575" s="473"/>
      <c r="VTW575" s="313"/>
      <c r="VTX575" s="535"/>
      <c r="VTY575" s="536"/>
      <c r="VTZ575" s="537"/>
      <c r="VUA575" s="538"/>
      <c r="VUB575" s="539"/>
      <c r="VUC575" s="540"/>
      <c r="VUD575" s="209"/>
      <c r="VUE575" s="541"/>
      <c r="VUF575" s="541"/>
      <c r="VUG575" s="482"/>
      <c r="VUH575" s="173"/>
      <c r="VUI575" s="173"/>
      <c r="VUJ575" s="509"/>
      <c r="VUL575" s="148"/>
      <c r="VUM575" s="148"/>
      <c r="VUN575" s="149"/>
      <c r="VUO575" s="150"/>
      <c r="VUQ575" s="152"/>
      <c r="VUR575" s="542"/>
      <c r="VUS575" s="154"/>
      <c r="VUT575" s="175"/>
      <c r="VUV575" s="156"/>
      <c r="VUW575" s="287"/>
      <c r="VUX575" s="488"/>
      <c r="VUY575" s="489"/>
      <c r="VUZ575" s="488"/>
      <c r="VVA575" s="300"/>
      <c r="VVB575" s="532"/>
      <c r="VVC575" s="533"/>
      <c r="VVD575" s="534"/>
      <c r="VVE575" s="316"/>
      <c r="VVF575" s="316"/>
      <c r="VVG575" s="471"/>
      <c r="VVH575" s="472"/>
      <c r="VVI575" s="471"/>
      <c r="VVJ575" s="473"/>
      <c r="VVK575" s="313"/>
      <c r="VVL575" s="535"/>
      <c r="VVM575" s="536"/>
      <c r="VVN575" s="537"/>
      <c r="VVO575" s="538"/>
      <c r="VVP575" s="539"/>
      <c r="VVQ575" s="540"/>
      <c r="VVR575" s="209"/>
      <c r="VVS575" s="541"/>
      <c r="VVT575" s="541"/>
      <c r="VVU575" s="482"/>
      <c r="VVV575" s="173"/>
      <c r="VVW575" s="173"/>
      <c r="VVX575" s="509"/>
      <c r="VVZ575" s="148"/>
      <c r="VWA575" s="148"/>
      <c r="VWB575" s="149"/>
      <c r="VWC575" s="150"/>
      <c r="VWE575" s="152"/>
      <c r="VWF575" s="542"/>
      <c r="VWG575" s="154"/>
      <c r="VWH575" s="175"/>
      <c r="VWJ575" s="156"/>
      <c r="VWK575" s="287"/>
      <c r="VWL575" s="488"/>
      <c r="VWM575" s="489"/>
      <c r="VWN575" s="488"/>
      <c r="VWO575" s="300"/>
      <c r="VWP575" s="532"/>
      <c r="VWQ575" s="533"/>
      <c r="VWR575" s="534"/>
      <c r="VWS575" s="316"/>
      <c r="VWT575" s="316"/>
      <c r="VWU575" s="471"/>
      <c r="VWV575" s="472"/>
      <c r="VWW575" s="471"/>
      <c r="VWX575" s="473"/>
      <c r="VWY575" s="313"/>
      <c r="VWZ575" s="535"/>
      <c r="VXA575" s="536"/>
      <c r="VXB575" s="537"/>
      <c r="VXC575" s="538"/>
      <c r="VXD575" s="539"/>
      <c r="VXE575" s="540"/>
      <c r="VXF575" s="209"/>
      <c r="VXG575" s="541"/>
      <c r="VXH575" s="541"/>
      <c r="VXI575" s="482"/>
      <c r="VXJ575" s="173"/>
      <c r="VXK575" s="173"/>
      <c r="VXL575" s="509"/>
      <c r="VXN575" s="148"/>
      <c r="VXO575" s="148"/>
      <c r="VXP575" s="149"/>
      <c r="VXQ575" s="150"/>
      <c r="VXS575" s="152"/>
      <c r="VXT575" s="542"/>
      <c r="VXU575" s="154"/>
      <c r="VXV575" s="175"/>
      <c r="VXX575" s="156"/>
      <c r="VXY575" s="287"/>
      <c r="VXZ575" s="488"/>
      <c r="VYA575" s="489"/>
      <c r="VYB575" s="488"/>
      <c r="VYC575" s="300"/>
      <c r="VYD575" s="532"/>
      <c r="VYE575" s="533"/>
      <c r="VYF575" s="534"/>
      <c r="VYG575" s="316"/>
      <c r="VYH575" s="316"/>
      <c r="VYI575" s="471"/>
      <c r="VYJ575" s="472"/>
      <c r="VYK575" s="471"/>
      <c r="VYL575" s="473"/>
      <c r="VYM575" s="313"/>
      <c r="VYN575" s="535"/>
      <c r="VYO575" s="536"/>
      <c r="VYP575" s="537"/>
      <c r="VYQ575" s="538"/>
      <c r="VYR575" s="539"/>
      <c r="VYS575" s="540"/>
      <c r="VYT575" s="209"/>
      <c r="VYU575" s="541"/>
      <c r="VYV575" s="541"/>
      <c r="VYW575" s="482"/>
      <c r="VYX575" s="173"/>
      <c r="VYY575" s="173"/>
      <c r="VYZ575" s="509"/>
      <c r="VZB575" s="148"/>
      <c r="VZC575" s="148"/>
      <c r="VZD575" s="149"/>
      <c r="VZE575" s="150"/>
      <c r="VZG575" s="152"/>
      <c r="VZH575" s="542"/>
      <c r="VZI575" s="154"/>
      <c r="VZJ575" s="175"/>
      <c r="VZL575" s="156"/>
      <c r="VZM575" s="287"/>
      <c r="VZN575" s="488"/>
      <c r="VZO575" s="489"/>
      <c r="VZP575" s="488"/>
      <c r="VZQ575" s="300"/>
      <c r="VZR575" s="532"/>
      <c r="VZS575" s="533"/>
      <c r="VZT575" s="534"/>
      <c r="VZU575" s="316"/>
      <c r="VZV575" s="316"/>
      <c r="VZW575" s="471"/>
      <c r="VZX575" s="472"/>
      <c r="VZY575" s="471"/>
      <c r="VZZ575" s="473"/>
      <c r="WAA575" s="313"/>
      <c r="WAB575" s="535"/>
      <c r="WAC575" s="536"/>
      <c r="WAD575" s="537"/>
      <c r="WAE575" s="538"/>
      <c r="WAF575" s="539"/>
      <c r="WAG575" s="540"/>
      <c r="WAH575" s="209"/>
      <c r="WAI575" s="541"/>
      <c r="WAJ575" s="541"/>
      <c r="WAK575" s="482"/>
      <c r="WAL575" s="173"/>
      <c r="WAM575" s="173"/>
      <c r="WAN575" s="509"/>
      <c r="WAP575" s="148"/>
      <c r="WAQ575" s="148"/>
      <c r="WAR575" s="149"/>
      <c r="WAS575" s="150"/>
      <c r="WAU575" s="152"/>
      <c r="WAV575" s="542"/>
      <c r="WAW575" s="154"/>
      <c r="WAX575" s="175"/>
      <c r="WAZ575" s="156"/>
      <c r="WBA575" s="287"/>
      <c r="WBB575" s="488"/>
      <c r="WBC575" s="489"/>
      <c r="WBD575" s="488"/>
      <c r="WBE575" s="300"/>
      <c r="WBF575" s="532"/>
      <c r="WBG575" s="533"/>
      <c r="WBH575" s="534"/>
      <c r="WBI575" s="316"/>
      <c r="WBJ575" s="316"/>
      <c r="WBK575" s="471"/>
      <c r="WBL575" s="472"/>
      <c r="WBM575" s="471"/>
      <c r="WBN575" s="473"/>
      <c r="WBO575" s="313"/>
      <c r="WBP575" s="535"/>
      <c r="WBQ575" s="536"/>
      <c r="WBR575" s="537"/>
      <c r="WBS575" s="538"/>
      <c r="WBT575" s="539"/>
      <c r="WBU575" s="540"/>
      <c r="WBV575" s="209"/>
      <c r="WBW575" s="541"/>
      <c r="WBX575" s="541"/>
      <c r="WBY575" s="482"/>
      <c r="WBZ575" s="173"/>
      <c r="WCA575" s="173"/>
      <c r="WCB575" s="509"/>
      <c r="WCD575" s="148"/>
      <c r="WCE575" s="148"/>
      <c r="WCF575" s="149"/>
      <c r="WCG575" s="150"/>
      <c r="WCI575" s="152"/>
      <c r="WCJ575" s="542"/>
      <c r="WCK575" s="154"/>
      <c r="WCL575" s="175"/>
      <c r="WCN575" s="156"/>
      <c r="WCO575" s="287"/>
      <c r="WCP575" s="488"/>
      <c r="WCQ575" s="489"/>
      <c r="WCR575" s="488"/>
      <c r="WCS575" s="300"/>
      <c r="WCT575" s="532"/>
      <c r="WCU575" s="533"/>
      <c r="WCV575" s="534"/>
      <c r="WCW575" s="316"/>
      <c r="WCX575" s="316"/>
      <c r="WCY575" s="471"/>
      <c r="WCZ575" s="472"/>
      <c r="WDA575" s="471"/>
      <c r="WDB575" s="473"/>
      <c r="WDC575" s="313"/>
      <c r="WDD575" s="535"/>
      <c r="WDE575" s="536"/>
      <c r="WDF575" s="537"/>
      <c r="WDG575" s="538"/>
      <c r="WDH575" s="539"/>
      <c r="WDI575" s="540"/>
      <c r="WDJ575" s="209"/>
      <c r="WDK575" s="541"/>
      <c r="WDL575" s="541"/>
      <c r="WDM575" s="482"/>
      <c r="WDN575" s="173"/>
      <c r="WDO575" s="173"/>
      <c r="WDP575" s="509"/>
      <c r="WDR575" s="148"/>
      <c r="WDS575" s="148"/>
      <c r="WDT575" s="149"/>
      <c r="WDU575" s="150"/>
      <c r="WDW575" s="152"/>
      <c r="WDX575" s="542"/>
      <c r="WDY575" s="154"/>
      <c r="WDZ575" s="175"/>
      <c r="WEB575" s="156"/>
      <c r="WEC575" s="287"/>
      <c r="WED575" s="488"/>
      <c r="WEE575" s="489"/>
      <c r="WEF575" s="488"/>
      <c r="WEG575" s="300"/>
      <c r="WEH575" s="532"/>
      <c r="WEI575" s="533"/>
      <c r="WEJ575" s="534"/>
      <c r="WEK575" s="316"/>
      <c r="WEL575" s="316"/>
      <c r="WEM575" s="471"/>
      <c r="WEN575" s="472"/>
      <c r="WEO575" s="471"/>
      <c r="WEP575" s="473"/>
      <c r="WEQ575" s="313"/>
      <c r="WER575" s="535"/>
      <c r="WES575" s="536"/>
      <c r="WET575" s="537"/>
      <c r="WEU575" s="538"/>
      <c r="WEV575" s="539"/>
      <c r="WEW575" s="540"/>
      <c r="WEX575" s="209"/>
      <c r="WEY575" s="541"/>
      <c r="WEZ575" s="541"/>
      <c r="WFA575" s="482"/>
      <c r="WFB575" s="173"/>
      <c r="WFC575" s="173"/>
      <c r="WFD575" s="509"/>
      <c r="WFF575" s="148"/>
      <c r="WFG575" s="148"/>
      <c r="WFH575" s="149"/>
      <c r="WFI575" s="150"/>
      <c r="WFK575" s="152"/>
      <c r="WFL575" s="542"/>
      <c r="WFM575" s="154"/>
      <c r="WFN575" s="175"/>
      <c r="WFP575" s="156"/>
      <c r="WFQ575" s="287"/>
      <c r="WFR575" s="488"/>
      <c r="WFS575" s="489"/>
      <c r="WFT575" s="488"/>
      <c r="WFU575" s="300"/>
      <c r="WFV575" s="532"/>
      <c r="WFW575" s="533"/>
      <c r="WFX575" s="534"/>
      <c r="WFY575" s="316"/>
      <c r="WFZ575" s="316"/>
      <c r="WGA575" s="471"/>
      <c r="WGB575" s="472"/>
      <c r="WGC575" s="471"/>
      <c r="WGD575" s="473"/>
      <c r="WGE575" s="313"/>
      <c r="WGF575" s="535"/>
      <c r="WGG575" s="536"/>
      <c r="WGH575" s="537"/>
      <c r="WGI575" s="538"/>
      <c r="WGJ575" s="539"/>
      <c r="WGK575" s="540"/>
      <c r="WGL575" s="209"/>
      <c r="WGM575" s="541"/>
      <c r="WGN575" s="541"/>
      <c r="WGO575" s="482"/>
      <c r="WGP575" s="173"/>
      <c r="WGQ575" s="173"/>
      <c r="WGR575" s="509"/>
      <c r="WGT575" s="148"/>
      <c r="WGU575" s="148"/>
      <c r="WGV575" s="149"/>
      <c r="WGW575" s="150"/>
      <c r="WGY575" s="152"/>
      <c r="WGZ575" s="542"/>
      <c r="WHA575" s="154"/>
      <c r="WHB575" s="175"/>
      <c r="WHD575" s="156"/>
      <c r="WHE575" s="287"/>
      <c r="WHF575" s="488"/>
      <c r="WHG575" s="489"/>
      <c r="WHH575" s="488"/>
      <c r="WHI575" s="300"/>
      <c r="WHJ575" s="532"/>
      <c r="WHK575" s="533"/>
      <c r="WHL575" s="534"/>
      <c r="WHM575" s="316"/>
      <c r="WHN575" s="316"/>
      <c r="WHO575" s="471"/>
      <c r="WHP575" s="472"/>
      <c r="WHQ575" s="471"/>
      <c r="WHR575" s="473"/>
      <c r="WHS575" s="313"/>
      <c r="WHT575" s="535"/>
      <c r="WHU575" s="536"/>
      <c r="WHV575" s="537"/>
      <c r="WHW575" s="538"/>
      <c r="WHX575" s="539"/>
      <c r="WHY575" s="540"/>
      <c r="WHZ575" s="209"/>
      <c r="WIA575" s="541"/>
      <c r="WIB575" s="541"/>
      <c r="WIC575" s="482"/>
      <c r="WID575" s="173"/>
      <c r="WIE575" s="173"/>
      <c r="WIF575" s="509"/>
      <c r="WIH575" s="148"/>
      <c r="WII575" s="148"/>
      <c r="WIJ575" s="149"/>
      <c r="WIK575" s="150"/>
      <c r="WIM575" s="152"/>
      <c r="WIN575" s="542"/>
      <c r="WIO575" s="154"/>
      <c r="WIP575" s="175"/>
      <c r="WIR575" s="156"/>
      <c r="WIS575" s="287"/>
      <c r="WIT575" s="488"/>
      <c r="WIU575" s="489"/>
      <c r="WIV575" s="488"/>
      <c r="WIW575" s="300"/>
      <c r="WIX575" s="532"/>
      <c r="WIY575" s="533"/>
      <c r="WIZ575" s="534"/>
      <c r="WJA575" s="316"/>
      <c r="WJB575" s="316"/>
      <c r="WJC575" s="471"/>
      <c r="WJD575" s="472"/>
      <c r="WJE575" s="471"/>
      <c r="WJF575" s="473"/>
      <c r="WJG575" s="313"/>
      <c r="WJH575" s="535"/>
      <c r="WJI575" s="536"/>
      <c r="WJJ575" s="537"/>
      <c r="WJK575" s="538"/>
      <c r="WJL575" s="539"/>
      <c r="WJM575" s="540"/>
      <c r="WJN575" s="209"/>
      <c r="WJO575" s="541"/>
      <c r="WJP575" s="541"/>
      <c r="WJQ575" s="482"/>
      <c r="WJR575" s="173"/>
      <c r="WJS575" s="173"/>
      <c r="WJT575" s="509"/>
      <c r="WJV575" s="148"/>
      <c r="WJW575" s="148"/>
      <c r="WJX575" s="149"/>
      <c r="WJY575" s="150"/>
      <c r="WKA575" s="152"/>
      <c r="WKB575" s="542"/>
      <c r="WKC575" s="154"/>
      <c r="WKD575" s="175"/>
      <c r="WKF575" s="156"/>
      <c r="WKG575" s="287"/>
      <c r="WKH575" s="488"/>
      <c r="WKI575" s="489"/>
      <c r="WKJ575" s="488"/>
      <c r="WKK575" s="300"/>
      <c r="WKL575" s="532"/>
      <c r="WKM575" s="533"/>
      <c r="WKN575" s="534"/>
      <c r="WKO575" s="316"/>
      <c r="WKP575" s="316"/>
      <c r="WKQ575" s="471"/>
      <c r="WKR575" s="472"/>
      <c r="WKS575" s="471"/>
      <c r="WKT575" s="473"/>
      <c r="WKU575" s="313"/>
      <c r="WKV575" s="535"/>
      <c r="WKW575" s="536"/>
      <c r="WKX575" s="537"/>
      <c r="WKY575" s="538"/>
      <c r="WKZ575" s="539"/>
      <c r="WLA575" s="540"/>
      <c r="WLB575" s="209"/>
      <c r="WLC575" s="541"/>
      <c r="WLD575" s="541"/>
      <c r="WLE575" s="482"/>
      <c r="WLF575" s="173"/>
      <c r="WLG575" s="173"/>
      <c r="WLH575" s="509"/>
      <c r="WLJ575" s="148"/>
      <c r="WLK575" s="148"/>
      <c r="WLL575" s="149"/>
      <c r="WLM575" s="150"/>
      <c r="WLO575" s="152"/>
      <c r="WLP575" s="542"/>
      <c r="WLQ575" s="154"/>
      <c r="WLR575" s="175"/>
      <c r="WLT575" s="156"/>
      <c r="WLU575" s="287"/>
      <c r="WLV575" s="488"/>
      <c r="WLW575" s="489"/>
      <c r="WLX575" s="488"/>
      <c r="WLY575" s="300"/>
      <c r="WLZ575" s="532"/>
      <c r="WMA575" s="533"/>
      <c r="WMB575" s="534"/>
      <c r="WMC575" s="316"/>
      <c r="WMD575" s="316"/>
      <c r="WME575" s="471"/>
      <c r="WMF575" s="472"/>
      <c r="WMG575" s="471"/>
      <c r="WMH575" s="473"/>
      <c r="WMI575" s="313"/>
      <c r="WMJ575" s="535"/>
      <c r="WMK575" s="536"/>
      <c r="WML575" s="537"/>
      <c r="WMM575" s="538"/>
      <c r="WMN575" s="539"/>
      <c r="WMO575" s="540"/>
      <c r="WMP575" s="209"/>
      <c r="WMQ575" s="541"/>
      <c r="WMR575" s="541"/>
      <c r="WMS575" s="482"/>
      <c r="WMT575" s="173"/>
      <c r="WMU575" s="173"/>
      <c r="WMV575" s="509"/>
      <c r="WMX575" s="148"/>
      <c r="WMY575" s="148"/>
      <c r="WMZ575" s="149"/>
      <c r="WNA575" s="150"/>
      <c r="WNC575" s="152"/>
      <c r="WND575" s="542"/>
      <c r="WNE575" s="154"/>
      <c r="WNF575" s="175"/>
      <c r="WNH575" s="156"/>
      <c r="WNI575" s="287"/>
      <c r="WNJ575" s="488"/>
      <c r="WNK575" s="489"/>
      <c r="WNL575" s="488"/>
      <c r="WNM575" s="300"/>
      <c r="WNN575" s="532"/>
      <c r="WNO575" s="533"/>
      <c r="WNP575" s="534"/>
      <c r="WNQ575" s="316"/>
      <c r="WNR575" s="316"/>
      <c r="WNS575" s="471"/>
      <c r="WNT575" s="472"/>
      <c r="WNU575" s="471"/>
      <c r="WNV575" s="473"/>
      <c r="WNW575" s="313"/>
      <c r="WNX575" s="535"/>
      <c r="WNY575" s="536"/>
      <c r="WNZ575" s="537"/>
      <c r="WOA575" s="538"/>
      <c r="WOB575" s="539"/>
      <c r="WOC575" s="540"/>
      <c r="WOD575" s="209"/>
      <c r="WOE575" s="541"/>
      <c r="WOF575" s="541"/>
      <c r="WOG575" s="482"/>
      <c r="WOH575" s="173"/>
      <c r="WOI575" s="173"/>
      <c r="WOJ575" s="509"/>
      <c r="WOL575" s="148"/>
      <c r="WOM575" s="148"/>
      <c r="WON575" s="149"/>
      <c r="WOO575" s="150"/>
      <c r="WOQ575" s="152"/>
      <c r="WOR575" s="542"/>
      <c r="WOS575" s="154"/>
      <c r="WOT575" s="175"/>
      <c r="WOV575" s="156"/>
      <c r="WOW575" s="287"/>
      <c r="WOX575" s="488"/>
      <c r="WOY575" s="489"/>
      <c r="WOZ575" s="488"/>
      <c r="WPA575" s="300"/>
      <c r="WPB575" s="532"/>
      <c r="WPC575" s="533"/>
      <c r="WPD575" s="534"/>
      <c r="WPE575" s="316"/>
      <c r="WPF575" s="316"/>
      <c r="WPG575" s="471"/>
      <c r="WPH575" s="472"/>
      <c r="WPI575" s="471"/>
      <c r="WPJ575" s="473"/>
      <c r="WPK575" s="313"/>
      <c r="WPL575" s="535"/>
      <c r="WPM575" s="536"/>
      <c r="WPN575" s="537"/>
      <c r="WPO575" s="538"/>
      <c r="WPP575" s="539"/>
      <c r="WPQ575" s="540"/>
      <c r="WPR575" s="209"/>
      <c r="WPS575" s="541"/>
      <c r="WPT575" s="541"/>
      <c r="WPU575" s="482"/>
      <c r="WPV575" s="173"/>
      <c r="WPW575" s="173"/>
      <c r="WPX575" s="509"/>
      <c r="WPZ575" s="148"/>
      <c r="WQA575" s="148"/>
      <c r="WQB575" s="149"/>
      <c r="WQC575" s="150"/>
      <c r="WQE575" s="152"/>
      <c r="WQF575" s="542"/>
      <c r="WQG575" s="154"/>
      <c r="WQH575" s="175"/>
      <c r="WQJ575" s="156"/>
      <c r="WQK575" s="287"/>
      <c r="WQL575" s="488"/>
      <c r="WQM575" s="489"/>
      <c r="WQN575" s="488"/>
      <c r="WQO575" s="300"/>
      <c r="WQP575" s="532"/>
      <c r="WQQ575" s="533"/>
      <c r="WQR575" s="534"/>
      <c r="WQS575" s="316"/>
      <c r="WQT575" s="316"/>
      <c r="WQU575" s="471"/>
      <c r="WQV575" s="472"/>
      <c r="WQW575" s="471"/>
      <c r="WQX575" s="473"/>
      <c r="WQY575" s="313"/>
      <c r="WQZ575" s="535"/>
      <c r="WRA575" s="536"/>
      <c r="WRB575" s="537"/>
      <c r="WRC575" s="538"/>
      <c r="WRD575" s="539"/>
      <c r="WRE575" s="540"/>
      <c r="WRF575" s="209"/>
      <c r="WRG575" s="541"/>
      <c r="WRH575" s="541"/>
      <c r="WRI575" s="482"/>
      <c r="WRJ575" s="173"/>
      <c r="WRK575" s="173"/>
      <c r="WRL575" s="509"/>
      <c r="WRN575" s="148"/>
      <c r="WRO575" s="148"/>
      <c r="WRP575" s="149"/>
      <c r="WRQ575" s="150"/>
      <c r="WRS575" s="152"/>
      <c r="WRT575" s="542"/>
      <c r="WRU575" s="154"/>
      <c r="WRV575" s="175"/>
      <c r="WRX575" s="156"/>
      <c r="WRY575" s="287"/>
      <c r="WRZ575" s="488"/>
      <c r="WSA575" s="489"/>
      <c r="WSB575" s="488"/>
      <c r="WSC575" s="300"/>
      <c r="WSD575" s="532"/>
      <c r="WSE575" s="533"/>
      <c r="WSF575" s="534"/>
      <c r="WSG575" s="316"/>
      <c r="WSH575" s="316"/>
      <c r="WSI575" s="471"/>
      <c r="WSJ575" s="472"/>
      <c r="WSK575" s="471"/>
      <c r="WSL575" s="473"/>
      <c r="WSM575" s="313"/>
      <c r="WSN575" s="535"/>
      <c r="WSO575" s="536"/>
      <c r="WSP575" s="537"/>
      <c r="WSQ575" s="538"/>
      <c r="WSR575" s="539"/>
      <c r="WSS575" s="540"/>
      <c r="WST575" s="209"/>
      <c r="WSU575" s="541"/>
      <c r="WSV575" s="541"/>
      <c r="WSW575" s="482"/>
      <c r="WSX575" s="173"/>
      <c r="WSY575" s="173"/>
      <c r="WSZ575" s="509"/>
      <c r="WTB575" s="148"/>
      <c r="WTC575" s="148"/>
      <c r="WTD575" s="149"/>
      <c r="WTE575" s="150"/>
      <c r="WTG575" s="152"/>
      <c r="WTH575" s="542"/>
      <c r="WTI575" s="154"/>
      <c r="WTJ575" s="175"/>
      <c r="WTL575" s="156"/>
      <c r="WTM575" s="287"/>
      <c r="WTN575" s="488"/>
      <c r="WTO575" s="489"/>
      <c r="WTP575" s="488"/>
      <c r="WTQ575" s="300"/>
      <c r="WTR575" s="532"/>
      <c r="WTS575" s="533"/>
      <c r="WTT575" s="534"/>
      <c r="WTU575" s="316"/>
      <c r="WTV575" s="316"/>
      <c r="WTW575" s="471"/>
      <c r="WTX575" s="472"/>
      <c r="WTY575" s="471"/>
      <c r="WTZ575" s="473"/>
      <c r="WUA575" s="313"/>
      <c r="WUB575" s="535"/>
      <c r="WUC575" s="536"/>
      <c r="WUD575" s="537"/>
      <c r="WUE575" s="538"/>
      <c r="WUF575" s="539"/>
      <c r="WUG575" s="540"/>
      <c r="WUH575" s="209"/>
      <c r="WUI575" s="541"/>
      <c r="WUJ575" s="541"/>
      <c r="WUK575" s="482"/>
      <c r="WUL575" s="173"/>
      <c r="WUM575" s="173"/>
      <c r="WUN575" s="509"/>
      <c r="WUP575" s="148"/>
      <c r="WUQ575" s="148"/>
      <c r="WUR575" s="149"/>
      <c r="WUS575" s="150"/>
      <c r="WUU575" s="152"/>
      <c r="WUV575" s="542"/>
      <c r="WUW575" s="154"/>
      <c r="WUX575" s="175"/>
      <c r="WUZ575" s="156"/>
      <c r="WVA575" s="287"/>
      <c r="WVB575" s="488"/>
      <c r="WVC575" s="489"/>
      <c r="WVD575" s="488"/>
      <c r="WVE575" s="300"/>
      <c r="WVF575" s="532"/>
      <c r="WVG575" s="533"/>
      <c r="WVH575" s="534"/>
      <c r="WVI575" s="316"/>
      <c r="WVJ575" s="316"/>
      <c r="WVK575" s="471"/>
      <c r="WVL575" s="472"/>
      <c r="WVM575" s="471"/>
      <c r="WVN575" s="473"/>
      <c r="WVO575" s="313"/>
      <c r="WVP575" s="535"/>
      <c r="WVQ575" s="536"/>
      <c r="WVR575" s="537"/>
      <c r="WVS575" s="538"/>
      <c r="WVT575" s="539"/>
      <c r="WVU575" s="540"/>
      <c r="WVV575" s="209"/>
      <c r="WVW575" s="541"/>
      <c r="WVX575" s="541"/>
      <c r="WVY575" s="482"/>
      <c r="WVZ575" s="173"/>
      <c r="WWA575" s="173"/>
      <c r="WWB575" s="509"/>
      <c r="WWD575" s="148"/>
      <c r="WWE575" s="148"/>
      <c r="WWF575" s="149"/>
      <c r="WWG575" s="150"/>
      <c r="WWI575" s="152"/>
      <c r="WWJ575" s="542"/>
      <c r="WWK575" s="154"/>
      <c r="WWL575" s="175"/>
      <c r="WWN575" s="156"/>
      <c r="WWO575" s="287"/>
      <c r="WWP575" s="488"/>
      <c r="WWQ575" s="489"/>
      <c r="WWR575" s="488"/>
      <c r="WWS575" s="300"/>
      <c r="WWT575" s="532"/>
      <c r="WWU575" s="533"/>
      <c r="WWV575" s="534"/>
      <c r="WWW575" s="316"/>
      <c r="WWX575" s="316"/>
      <c r="WWY575" s="471"/>
      <c r="WWZ575" s="472"/>
      <c r="WXA575" s="471"/>
      <c r="WXB575" s="473"/>
      <c r="WXC575" s="313"/>
      <c r="WXD575" s="535"/>
      <c r="WXE575" s="536"/>
      <c r="WXF575" s="537"/>
      <c r="WXG575" s="538"/>
      <c r="WXH575" s="539"/>
      <c r="WXI575" s="540"/>
      <c r="WXJ575" s="209"/>
      <c r="WXK575" s="541"/>
      <c r="WXL575" s="541"/>
      <c r="WXM575" s="482"/>
      <c r="WXN575" s="173"/>
      <c r="WXO575" s="173"/>
      <c r="WXP575" s="509"/>
      <c r="WXR575" s="148"/>
      <c r="WXS575" s="148"/>
      <c r="WXT575" s="149"/>
      <c r="WXU575" s="150"/>
      <c r="WXW575" s="152"/>
      <c r="WXX575" s="542"/>
      <c r="WXY575" s="154"/>
      <c r="WXZ575" s="175"/>
      <c r="WYB575" s="156"/>
      <c r="WYC575" s="287"/>
      <c r="WYD575" s="488"/>
      <c r="WYE575" s="489"/>
      <c r="WYF575" s="488"/>
      <c r="WYG575" s="300"/>
      <c r="WYH575" s="532"/>
      <c r="WYI575" s="533"/>
      <c r="WYJ575" s="534"/>
      <c r="WYK575" s="316"/>
      <c r="WYL575" s="316"/>
      <c r="WYM575" s="471"/>
      <c r="WYN575" s="472"/>
      <c r="WYO575" s="471"/>
      <c r="WYP575" s="473"/>
      <c r="WYQ575" s="313"/>
      <c r="WYR575" s="535"/>
      <c r="WYS575" s="536"/>
      <c r="WYT575" s="537"/>
      <c r="WYU575" s="538"/>
      <c r="WYV575" s="539"/>
      <c r="WYW575" s="540"/>
      <c r="WYX575" s="209"/>
      <c r="WYY575" s="541"/>
      <c r="WYZ575" s="541"/>
      <c r="WZA575" s="482"/>
      <c r="WZB575" s="173"/>
      <c r="WZC575" s="173"/>
      <c r="WZD575" s="509"/>
      <c r="WZF575" s="148"/>
      <c r="WZG575" s="148"/>
      <c r="WZH575" s="149"/>
      <c r="WZI575" s="150"/>
      <c r="WZK575" s="152"/>
      <c r="WZL575" s="542"/>
      <c r="WZM575" s="154"/>
      <c r="WZN575" s="175"/>
      <c r="WZP575" s="156"/>
      <c r="WZQ575" s="287"/>
      <c r="WZR575" s="488"/>
      <c r="WZS575" s="489"/>
      <c r="WZT575" s="488"/>
      <c r="WZU575" s="300"/>
      <c r="WZV575" s="532"/>
      <c r="WZW575" s="533"/>
      <c r="WZX575" s="534"/>
      <c r="WZY575" s="316"/>
      <c r="WZZ575" s="316"/>
      <c r="XAA575" s="471"/>
      <c r="XAB575" s="472"/>
      <c r="XAC575" s="471"/>
      <c r="XAD575" s="473"/>
      <c r="XAE575" s="313"/>
      <c r="XAF575" s="535"/>
      <c r="XAG575" s="536"/>
      <c r="XAH575" s="537"/>
      <c r="XAI575" s="538"/>
      <c r="XAJ575" s="539"/>
      <c r="XAK575" s="540"/>
      <c r="XAL575" s="209"/>
      <c r="XAM575" s="541"/>
      <c r="XAN575" s="541"/>
      <c r="XAO575" s="482"/>
      <c r="XAP575" s="173"/>
      <c r="XAQ575" s="173"/>
      <c r="XAR575" s="509"/>
      <c r="XAT575" s="148"/>
      <c r="XAU575" s="148"/>
      <c r="XAV575" s="149"/>
      <c r="XAW575" s="150"/>
      <c r="XAY575" s="152"/>
      <c r="XAZ575" s="542"/>
      <c r="XBA575" s="154"/>
      <c r="XBB575" s="175"/>
      <c r="XBD575" s="156"/>
      <c r="XBE575" s="287"/>
      <c r="XBF575" s="488"/>
      <c r="XBG575" s="489"/>
      <c r="XBH575" s="488"/>
      <c r="XBI575" s="300"/>
      <c r="XBJ575" s="532"/>
      <c r="XBK575" s="533"/>
      <c r="XBL575" s="534"/>
      <c r="XBM575" s="316"/>
      <c r="XBN575" s="316"/>
      <c r="XBO575" s="471"/>
      <c r="XBP575" s="472"/>
      <c r="XBQ575" s="471"/>
      <c r="XBR575" s="473"/>
      <c r="XBS575" s="313"/>
      <c r="XBT575" s="535"/>
      <c r="XBU575" s="536"/>
      <c r="XBV575" s="537"/>
      <c r="XBW575" s="538"/>
      <c r="XBX575" s="539"/>
      <c r="XBY575" s="540"/>
      <c r="XBZ575" s="209"/>
      <c r="XCA575" s="541"/>
      <c r="XCB575" s="541"/>
      <c r="XCC575" s="482"/>
      <c r="XCD575" s="173"/>
      <c r="XCE575" s="173"/>
      <c r="XCF575" s="509"/>
      <c r="XCH575" s="148"/>
      <c r="XCI575" s="148"/>
      <c r="XCJ575" s="149"/>
      <c r="XCK575" s="150"/>
      <c r="XCM575" s="152"/>
      <c r="XCN575" s="542"/>
      <c r="XCO575" s="154"/>
      <c r="XCP575" s="175"/>
      <c r="XCR575" s="156"/>
      <c r="XCS575" s="287"/>
      <c r="XCT575" s="488"/>
      <c r="XCU575" s="489"/>
      <c r="XCV575" s="488"/>
      <c r="XCW575" s="300"/>
      <c r="XCX575" s="532"/>
      <c r="XCY575" s="533"/>
      <c r="XCZ575" s="534"/>
      <c r="XDA575" s="316"/>
      <c r="XDB575" s="316"/>
      <c r="XDC575" s="471"/>
      <c r="XDD575" s="472"/>
      <c r="XDE575" s="471"/>
      <c r="XDF575" s="473"/>
      <c r="XDG575" s="313"/>
      <c r="XDH575" s="535"/>
      <c r="XDI575" s="536"/>
      <c r="XDJ575" s="537"/>
      <c r="XDK575" s="538"/>
      <c r="XDL575" s="539"/>
      <c r="XDM575" s="540"/>
      <c r="XDN575" s="209"/>
      <c r="XDO575" s="541"/>
      <c r="XDP575" s="541"/>
      <c r="XDQ575" s="482"/>
      <c r="XDR575" s="173"/>
      <c r="XDS575" s="173"/>
      <c r="XDT575" s="509"/>
      <c r="XDV575" s="148"/>
      <c r="XDW575" s="148"/>
      <c r="XDX575" s="149"/>
      <c r="XDY575" s="150"/>
      <c r="XEA575" s="152"/>
      <c r="XEB575" s="542"/>
      <c r="XEC575" s="154"/>
      <c r="XED575" s="175"/>
      <c r="XEF575" s="156"/>
      <c r="XEG575" s="287"/>
      <c r="XEH575" s="488"/>
      <c r="XEI575" s="489"/>
      <c r="XEJ575" s="488"/>
      <c r="XEK575" s="300"/>
      <c r="XEL575" s="532"/>
      <c r="XEM575" s="533"/>
      <c r="XEN575" s="534"/>
      <c r="XEO575" s="316"/>
      <c r="XEP575" s="316"/>
      <c r="XEQ575" s="471"/>
      <c r="XER575" s="472"/>
      <c r="XES575" s="471"/>
      <c r="XET575" s="473"/>
      <c r="XEU575" s="313"/>
      <c r="XEV575" s="535"/>
      <c r="XEW575" s="536"/>
      <c r="XEX575" s="537"/>
      <c r="XEY575" s="538"/>
      <c r="XEZ575" s="539"/>
      <c r="XFA575" s="540"/>
      <c r="XFB575" s="209"/>
    </row>
    <row r="576" spans="1:16382" ht="34.5" customHeight="1">
      <c r="A576" s="125">
        <v>840</v>
      </c>
      <c r="B576" s="124">
        <v>453</v>
      </c>
      <c r="C576" s="162" t="s">
        <v>2833</v>
      </c>
      <c r="D576" s="227" t="s">
        <v>583</v>
      </c>
      <c r="E576" s="440" t="s">
        <v>94</v>
      </c>
      <c r="F576" s="227" t="s">
        <v>1376</v>
      </c>
      <c r="G576" s="281" t="s">
        <v>2834</v>
      </c>
      <c r="H576" s="436">
        <v>15427462</v>
      </c>
      <c r="I576" s="273">
        <v>6879081</v>
      </c>
      <c r="J576" s="505">
        <v>37834946</v>
      </c>
      <c r="K576" s="283" t="s">
        <v>42</v>
      </c>
      <c r="L576" s="528" t="s">
        <v>2815</v>
      </c>
      <c r="M576" s="194" t="s">
        <v>818</v>
      </c>
      <c r="N576" s="177" t="e" cm="1">
        <f t="array" aca="1" ref="N576" ca="1">_xlfn.XLOOKUP(Contrato5[[#This Row],[SUPERVISOR TITULAR]],[2]!PERSONAL_ACTIVO_2024[[#All],[Nombre completo]],[2]!PERSONAL_ACTIVO_2024[[#All],[Documento identidad]],"",0)</f>
        <v>#NAME?</v>
      </c>
      <c r="O576" s="194" t="s">
        <v>498</v>
      </c>
      <c r="P576" s="196" t="e" cm="1">
        <f t="array" aca="1" ref="P576" ca="1">_xlfn.XLOOKUP(Contrato5[[#This Row],[SUPERVISOR SUPLENTE ]],[2]!PERSONAL_ACTIVO_2024[[#All],[Nombre completo]],[2]!PERSONAL_ACTIVO_2024[[#All],[Documento identidad]],"",0)</f>
        <v>#NAME?</v>
      </c>
      <c r="Q576" s="270">
        <v>619</v>
      </c>
      <c r="R576" s="137" t="e" cm="1">
        <f t="array" aca="1" ref="R576" ca="1">_xlfn.XLOOKUP(Contrato5[[#This Row],[CDP]],[2]!DISPONIBILIDADES_2024[[#All],[consecutivo]],[2]!DISPONIBILIDADES_2024[[#All],[fecha_aprobacion]],"",0)</f>
        <v>#NAME?</v>
      </c>
      <c r="S576" s="138" t="e">
        <f>SUMIF([2]!DISPONIBILIDADES_2024[[#All],[consecutivo]],Contrato5[[#This Row],[CDP]],[2]!DISPONIBILIDADES_2024[[#All],[valor_total_rubro]])</f>
        <v>#REF!</v>
      </c>
      <c r="T576" s="139" t="e" cm="1">
        <f t="array" aca="1" ref="T576" ca="1">_xlfn.XLOOKUP(Contrato5[[#This Row],[CONTRATO]]&amp;Contrato5[[#This Row],[CDP]],[2]!Corr_Contr_CDP[[#All],[CONTRATO-CDP]],[2]!Corr_Contr_CDP[[#All],[CRP]],_xlfn.XLOOKUP(Contrato5[[#This Row],[CDP]],[2]!COMPROMISOS_2024[[#All],[disponibilidad]],[2]!COMPROMISOS_2024[[#All],[consecutivo]],"",0),0)</f>
        <v>#NAME?</v>
      </c>
      <c r="U576" s="140" t="e" cm="1">
        <f t="array" aca="1" ref="U576" ca="1">+_xlfn.XLOOKUP(Contrato5[[#This Row],[RCP]],[2]!COMPROMISOS_2024[[#All],[consecutivo]],[2]!COMPROMISOS_2024[[#All],[fecha_aprobacion]],"",0)</f>
        <v>#NAME?</v>
      </c>
      <c r="V576" s="141" t="e">
        <f ca="1">SUMIF([2]!COMPROMISOS_2024[[#All],[consecutivo]],Contrato5[[#This Row],[RCP]],[2]!COMPROMISOS_2024[[#All],[valor_total]])</f>
        <v>#REF!</v>
      </c>
      <c r="W576" s="160">
        <v>45503</v>
      </c>
      <c r="X576" s="160" t="s">
        <v>2729</v>
      </c>
      <c r="Y576" s="143">
        <v>45504</v>
      </c>
      <c r="Z576" s="262">
        <v>45657</v>
      </c>
      <c r="AA576" s="183" t="s">
        <v>2835</v>
      </c>
      <c r="AB576" s="271" t="s">
        <v>1041</v>
      </c>
      <c r="AC576" s="172"/>
      <c r="AD576" s="211">
        <v>202000004674</v>
      </c>
      <c r="AE576" s="272" t="s">
        <v>523</v>
      </c>
      <c r="AF576" s="148" t="str">
        <f>TEXT(LEFT(Contrato5[[#This Row],[CONTRATO]],3),"0")</f>
        <v>453</v>
      </c>
      <c r="AG576" s="148" t="str">
        <f>IF(LEN(Contrato5[[#This Row],[Contrato2]])=3,Contrato5[[#This Row],[Contrato2]],TEXT(Contrato5[[#This Row],[Contrato2]],"000"))</f>
        <v>453</v>
      </c>
      <c r="AH576" s="149">
        <f ca="1">IFERROR(_xlfn.DAYS(Contrato5[[#This Row],[Fecha Proyectada liquidación]],TODAY())/30,"")</f>
        <v>0.6333333333333333</v>
      </c>
      <c r="AI576" s="150">
        <f>+Contrato5[[#This Row],[FECHA TERMINACIÓN ]]+120</f>
        <v>45777</v>
      </c>
      <c r="AJ576" s="147"/>
      <c r="AK576" s="152" t="str">
        <f ca="1">IF(Contrato5[[#This Row],[FECHA TERMINACIÓN ]]&lt;TODAY(), "Terminado",IF(ISNUMBER(Contrato5[[#This Row],[Fecha Real de liquiidación ]]),"Liquidado",IF(Contrato5[[#This Row],[FECHA TERMINACIÓN ]]&gt;=TODAY(),"En ejecución","")))</f>
        <v>Terminado</v>
      </c>
      <c r="AL576" s="153" t="e">
        <f ca="1">SUMIF([2]!COMPROMISOS_2024[[#All],[consecutivo]],Contrato5[[#This Row],[RCP]],[2]!COMPROMISOS_2024[[#All],[Total pagado]])</f>
        <v>#REF!</v>
      </c>
      <c r="AM576" s="154">
        <f ca="1">IFERROR(Contrato5[[#This Row],[Pagos]]/Contrato5[[#This Row],[VALOR CONTRATO]],0)</f>
        <v>0</v>
      </c>
      <c r="AN576" s="198" t="e">
        <f ca="1">+Contrato5[[#This Row],[VALOR CONTRATO]]-Contrato5[[#This Row],[Pagos]]</f>
        <v>#REF!</v>
      </c>
      <c r="AO576" s="147" t="e" cm="1">
        <f t="array" aca="1" ref="AO576" ca="1">_xlfn.XLOOKUP(Contrato5[[#This Row],[DOCUMENTO ]],[2]!PERSONAL_ACTIVO_2024[[#All],[Documento identidad]],[2]!PERSONAL_ACTIVO_2024[[#All],[Mail ]],0,0)</f>
        <v>#NAME?</v>
      </c>
      <c r="AP576" s="147" t="e" cm="1">
        <f t="array" aca="1" ref="AP576" ca="1">_xlfn.XLOOKUP(Contrato5[[#This Row],[DOCUMENTO]],[2]!PERSONAL_ACTIVO_2024[[#All],[Documento identidad]],[2]!PERSONAL_ACTIVO_2024[[#All],[Mail ]],0,0)</f>
        <v>#NAME?</v>
      </c>
      <c r="AQ576" s="439" cm="1">
        <f t="array" aca="1" ref="AQ576" ca="1">IF(ISBLANK(Contrato5[[#This Row],[DEPENDENCIA ]]),0,IFERROR(_xlfn.XLOOKUP(Contrato5[[#This Row],[DEPENDENCIA ]],[2]!PERSONAL_ACTIVO_2024[[#All],[Dependencia]],[2]!PERSONAL_ACTIVO_2024[[#All],[Mail ]],0,0),0))</f>
        <v>0</v>
      </c>
    </row>
    <row r="577" spans="1:16382" ht="34.5" customHeight="1">
      <c r="A577" s="125">
        <v>843</v>
      </c>
      <c r="B577" s="124">
        <v>454</v>
      </c>
      <c r="C577" s="162" t="s">
        <v>1899</v>
      </c>
      <c r="D577" s="227" t="s">
        <v>515</v>
      </c>
      <c r="E577" s="440" t="s">
        <v>94</v>
      </c>
      <c r="F577" s="227" t="s">
        <v>494</v>
      </c>
      <c r="G577" s="281" t="s">
        <v>2836</v>
      </c>
      <c r="H577" s="436">
        <v>900444742</v>
      </c>
      <c r="I577" s="273" t="s">
        <v>344</v>
      </c>
      <c r="J577" s="505">
        <v>15860000</v>
      </c>
      <c r="K577" s="131" t="s">
        <v>42</v>
      </c>
      <c r="L577" s="438" t="s">
        <v>2815</v>
      </c>
      <c r="M577" s="194" t="s">
        <v>545</v>
      </c>
      <c r="N577" s="177" t="e" cm="1">
        <f t="array" aca="1" ref="N577" ca="1">_xlfn.XLOOKUP(Contrato5[[#This Row],[SUPERVISOR TITULAR]],[2]!PERSONAL_ACTIVO_2024[[#All],[Nombre completo]],[2]!PERSONAL_ACTIVO_2024[[#All],[Documento identidad]],"",0)</f>
        <v>#NAME?</v>
      </c>
      <c r="O577" s="194" t="s">
        <v>544</v>
      </c>
      <c r="P577" s="196" t="e" cm="1">
        <f t="array" aca="1" ref="P577" ca="1">_xlfn.XLOOKUP(Contrato5[[#This Row],[SUPERVISOR SUPLENTE ]],[2]!PERSONAL_ACTIVO_2024[[#All],[Nombre completo]],[2]!PERSONAL_ACTIVO_2024[[#All],[Documento identidad]],"",0)</f>
        <v>#NAME?</v>
      </c>
      <c r="Q577" s="170">
        <v>633</v>
      </c>
      <c r="R577" s="137" t="e" cm="1">
        <f t="array" aca="1" ref="R577" ca="1">_xlfn.XLOOKUP(Contrato5[[#This Row],[CDP]],[2]!DISPONIBILIDADES_2024[[#All],[consecutivo]],[2]!DISPONIBILIDADES_2024[[#All],[fecha_aprobacion]],"",0)</f>
        <v>#NAME?</v>
      </c>
      <c r="S577" s="138" t="e">
        <f>SUMIF([2]!DISPONIBILIDADES_2024[[#All],[consecutivo]],Contrato5[[#This Row],[CDP]],[2]!DISPONIBILIDADES_2024[[#All],[valor_total_rubro]])</f>
        <v>#REF!</v>
      </c>
      <c r="T577" s="139" t="e" cm="1">
        <f t="array" aca="1" ref="T577" ca="1">_xlfn.XLOOKUP(Contrato5[[#This Row],[CONTRATO]]&amp;Contrato5[[#This Row],[CDP]],[2]!Corr_Contr_CDP[[#All],[CONTRATO-CDP]],[2]!Corr_Contr_CDP[[#All],[CRP]],_xlfn.XLOOKUP(Contrato5[[#This Row],[CDP]],[2]!COMPROMISOS_2024[[#All],[disponibilidad]],[2]!COMPROMISOS_2024[[#All],[consecutivo]],"",0),0)</f>
        <v>#NAME?</v>
      </c>
      <c r="U577" s="140" t="e" cm="1">
        <f t="array" aca="1" ref="U577" ca="1">+_xlfn.XLOOKUP(Contrato5[[#This Row],[RCP]],[2]!COMPROMISOS_2024[[#All],[consecutivo]],[2]!COMPROMISOS_2024[[#All],[fecha_aprobacion]],"",0)</f>
        <v>#NAME?</v>
      </c>
      <c r="V577" s="141" t="e">
        <f ca="1">SUMIF([2]!COMPROMISOS_2024[[#All],[consecutivo]],Contrato5[[#This Row],[RCP]],[2]!COMPROMISOS_2024[[#All],[valor_total]])</f>
        <v>#REF!</v>
      </c>
      <c r="W577" s="160">
        <v>45524</v>
      </c>
      <c r="X577" s="161">
        <v>45527</v>
      </c>
      <c r="Y577" s="143">
        <v>45527</v>
      </c>
      <c r="Z577" s="262">
        <v>45656</v>
      </c>
      <c r="AA577" s="183" t="s">
        <v>2837</v>
      </c>
      <c r="AB577" s="172" t="s">
        <v>2838</v>
      </c>
      <c r="AC577" s="172"/>
      <c r="AD577" s="211">
        <v>202000005019</v>
      </c>
      <c r="AE577" s="147" t="s">
        <v>523</v>
      </c>
      <c r="AF577" s="148" t="str">
        <f>TEXT(LEFT(Contrato5[[#This Row],[CONTRATO]],3),"0")</f>
        <v>454</v>
      </c>
      <c r="AG577" s="148" t="str">
        <f>IF(LEN(Contrato5[[#This Row],[Contrato2]])=3,Contrato5[[#This Row],[Contrato2]],TEXT(Contrato5[[#This Row],[Contrato2]],"000"))</f>
        <v>454</v>
      </c>
      <c r="AH577" s="149">
        <f ca="1">IFERROR(_xlfn.DAYS(Contrato5[[#This Row],[Fecha Proyectada liquidación]],TODAY())/30,"")</f>
        <v>0.6</v>
      </c>
      <c r="AI577" s="150">
        <f>+Contrato5[[#This Row],[FECHA TERMINACIÓN ]]+120</f>
        <v>45776</v>
      </c>
      <c r="AJ577" s="147"/>
      <c r="AK577" s="152" t="str">
        <f ca="1">IF(Contrato5[[#This Row],[FECHA TERMINACIÓN ]]&lt;TODAY(), "Terminado",IF(ISNUMBER(Contrato5[[#This Row],[Fecha Real de liquiidación ]]),"Liquidado",IF(Contrato5[[#This Row],[FECHA TERMINACIÓN ]]&gt;=TODAY(),"En ejecución","")))</f>
        <v>Terminado</v>
      </c>
      <c r="AL577" s="153" t="e">
        <f ca="1">SUMIF([2]!COMPROMISOS_2024[[#All],[consecutivo]],Contrato5[[#This Row],[RCP]],[2]!COMPROMISOS_2024[[#All],[Total pagado]])</f>
        <v>#REF!</v>
      </c>
      <c r="AM577" s="154">
        <f ca="1">IFERROR(Contrato5[[#This Row],[Pagos]]/Contrato5[[#This Row],[VALOR CONTRATO]],0)</f>
        <v>0</v>
      </c>
      <c r="AN577" s="198" t="e">
        <f ca="1">+Contrato5[[#This Row],[VALOR CONTRATO]]-Contrato5[[#This Row],[Pagos]]</f>
        <v>#REF!</v>
      </c>
      <c r="AO577" s="147" t="e" cm="1">
        <f t="array" aca="1" ref="AO577" ca="1">_xlfn.XLOOKUP(Contrato5[[#This Row],[DOCUMENTO ]],[2]!PERSONAL_ACTIVO_2024[[#All],[Documento identidad]],[2]!PERSONAL_ACTIVO_2024[[#All],[Mail ]],0,0)</f>
        <v>#NAME?</v>
      </c>
      <c r="AP577" s="147" t="e" cm="1">
        <f t="array" aca="1" ref="AP577" ca="1">_xlfn.XLOOKUP(Contrato5[[#This Row],[DOCUMENTO]],[2]!PERSONAL_ACTIVO_2024[[#All],[Documento identidad]],[2]!PERSONAL_ACTIVO_2024[[#All],[Mail ]],0,0)</f>
        <v>#NAME?</v>
      </c>
      <c r="AQ577" s="439" cm="1">
        <f t="array" aca="1" ref="AQ577" ca="1">IF(ISBLANK(Contrato5[[#This Row],[DEPENDENCIA ]]),0,IFERROR(_xlfn.XLOOKUP(Contrato5[[#This Row],[DEPENDENCIA ]],[2]!PERSONAL_ACTIVO_2024[[#All],[Dependencia]],[2]!PERSONAL_ACTIVO_2024[[#All],[Mail ]],0,0),0))</f>
        <v>0</v>
      </c>
    </row>
    <row r="578" spans="1:16382" ht="34.5" customHeight="1">
      <c r="A578" s="125" t="s">
        <v>886</v>
      </c>
      <c r="B578" s="124">
        <v>455</v>
      </c>
      <c r="C578" s="162" t="s">
        <v>887</v>
      </c>
      <c r="D578" s="128" t="s">
        <v>42</v>
      </c>
      <c r="E578" s="128" t="s">
        <v>42</v>
      </c>
      <c r="F578" s="227" t="s">
        <v>494</v>
      </c>
      <c r="G578" s="281" t="s">
        <v>887</v>
      </c>
      <c r="H578" s="436">
        <v>0</v>
      </c>
      <c r="I578" s="309">
        <v>0</v>
      </c>
      <c r="J578" s="511">
        <v>0</v>
      </c>
      <c r="K578" s="284">
        <v>0</v>
      </c>
      <c r="L578" s="438" t="s">
        <v>2646</v>
      </c>
      <c r="M578" s="194"/>
      <c r="N578" s="177" t="e" cm="1">
        <f t="array" aca="1" ref="N578" ca="1">_xlfn.XLOOKUP(Contrato5[[#This Row],[SUPERVISOR TITULAR]],[2]!PERSONAL_ACTIVO_2024[[#All],[Nombre completo]],[2]!PERSONAL_ACTIVO_2024[[#All],[Documento identidad]],"",0)</f>
        <v>#NAME?</v>
      </c>
      <c r="O578" s="194"/>
      <c r="P578" s="196" t="e" cm="1">
        <f t="array" aca="1" ref="P578" ca="1">_xlfn.XLOOKUP(Contrato5[[#This Row],[SUPERVISOR SUPLENTE ]],[2]!PERSONAL_ACTIVO_2024[[#All],[Nombre completo]],[2]!PERSONAL_ACTIVO_2024[[#All],[Documento identidad]],"",0)</f>
        <v>#NAME?</v>
      </c>
      <c r="Q578" s="170"/>
      <c r="R578" s="137" t="e" cm="1">
        <f t="array" aca="1" ref="R578" ca="1">_xlfn.XLOOKUP(Contrato5[[#This Row],[CDP]],[2]!DISPONIBILIDADES_2024[[#All],[consecutivo]],[2]!DISPONIBILIDADES_2024[[#All],[fecha_aprobacion]],"",0)</f>
        <v>#NAME?</v>
      </c>
      <c r="S578" s="138" t="e">
        <f>SUMIF([2]!DISPONIBILIDADES_2024[[#All],[consecutivo]],Contrato5[[#This Row],[CDP]],[2]!DISPONIBILIDADES_2024[[#All],[valor_total_rubro]])</f>
        <v>#REF!</v>
      </c>
      <c r="T578" s="139" t="e" cm="1">
        <f t="array" aca="1" ref="T578" ca="1">_xlfn.XLOOKUP(Contrato5[[#This Row],[CONTRATO]]&amp;Contrato5[[#This Row],[CDP]],[2]!Corr_Contr_CDP[[#All],[CONTRATO-CDP]],[2]!Corr_Contr_CDP[[#All],[CRP]],_xlfn.XLOOKUP(Contrato5[[#This Row],[CDP]],[2]!COMPROMISOS_2024[[#All],[disponibilidad]],[2]!COMPROMISOS_2024[[#All],[consecutivo]],"",0),0)</f>
        <v>#NAME?</v>
      </c>
      <c r="U578" s="140" t="e" cm="1">
        <f t="array" aca="1" ref="U578" ca="1">+_xlfn.XLOOKUP(Contrato5[[#This Row],[RCP]],[2]!COMPROMISOS_2024[[#All],[consecutivo]],[2]!COMPROMISOS_2024[[#All],[fecha_aprobacion]],"",0)</f>
        <v>#NAME?</v>
      </c>
      <c r="V578" s="141" t="e">
        <f ca="1">SUMIF([2]!COMPROMISOS_2024[[#All],[consecutivo]],Contrato5[[#This Row],[RCP]],[2]!COMPROMISOS_2024[[#All],[valor_total]])</f>
        <v>#REF!</v>
      </c>
      <c r="W578" s="160"/>
      <c r="X578" s="161"/>
      <c r="Y578" s="143" t="e">
        <f ca="1">+LEFT(_xlfn.XLOOKUP(Contrato5[[#This Row],[CONTRATO3DIG]],[2]SECOP_II!AE:AE,[2]SECOP_II!F:F,"",0),10)</f>
        <v>#NAME?</v>
      </c>
      <c r="Z578" s="262"/>
      <c r="AA578" s="183"/>
      <c r="AB578" s="172"/>
      <c r="AC578" s="172"/>
      <c r="AD578" s="211"/>
      <c r="AE578" s="147"/>
      <c r="AF578" s="148" t="str">
        <f>TEXT(LEFT(Contrato5[[#This Row],[CONTRATO]],3),"0")</f>
        <v>455</v>
      </c>
      <c r="AG578" s="148" t="str">
        <f>IF(LEN(Contrato5[[#This Row],[Contrato2]])=3,Contrato5[[#This Row],[Contrato2]],TEXT(Contrato5[[#This Row],[Contrato2]],"000"))</f>
        <v>455</v>
      </c>
      <c r="AH578" s="149">
        <f ca="1">IFERROR(_xlfn.DAYS(Contrato5[[#This Row],[Fecha Proyectada liquidación]],TODAY())/30,"")</f>
        <v>-1521.2666666666667</v>
      </c>
      <c r="AI578" s="150">
        <f>+Contrato5[[#This Row],[FECHA TERMINACIÓN ]]+120</f>
        <v>120</v>
      </c>
      <c r="AJ578" s="147"/>
      <c r="AK578" s="152" t="str">
        <f ca="1">IF(Contrato5[[#This Row],[FECHA TERMINACIÓN ]]&lt;TODAY(), "Terminado",IF(ISNUMBER(Contrato5[[#This Row],[Fecha Real de liquiidación ]]),"Liquidado",IF(Contrato5[[#This Row],[FECHA TERMINACIÓN ]]&gt;=TODAY(),"En ejecución","")))</f>
        <v>Terminado</v>
      </c>
      <c r="AL578" s="153" t="e">
        <f ca="1">SUMIF([2]!COMPROMISOS_2024[[#All],[consecutivo]],Contrato5[[#This Row],[RCP]],[2]!COMPROMISOS_2024[[#All],[Total pagado]])</f>
        <v>#REF!</v>
      </c>
      <c r="AM578" s="154">
        <f ca="1">IFERROR(Contrato5[[#This Row],[Pagos]]/Contrato5[[#This Row],[VALOR CONTRATO]],0)</f>
        <v>0</v>
      </c>
      <c r="AN578" s="198" t="e">
        <f ca="1">+Contrato5[[#This Row],[VALOR CONTRATO]]-Contrato5[[#This Row],[Pagos]]</f>
        <v>#REF!</v>
      </c>
      <c r="AO578" s="147" t="e" cm="1">
        <f t="array" aca="1" ref="AO578" ca="1">_xlfn.XLOOKUP(Contrato5[[#This Row],[DOCUMENTO ]],[2]!PERSONAL_ACTIVO_2024[[#All],[Documento identidad]],[2]!PERSONAL_ACTIVO_2024[[#All],[Mail ]],0,0)</f>
        <v>#NAME?</v>
      </c>
      <c r="AP578" s="147" t="e" cm="1">
        <f t="array" aca="1" ref="AP578" ca="1">_xlfn.XLOOKUP(Contrato5[[#This Row],[DOCUMENTO]],[2]!PERSONAL_ACTIVO_2024[[#All],[Documento identidad]],[2]!PERSONAL_ACTIVO_2024[[#All],[Mail ]],0,0)</f>
        <v>#NAME?</v>
      </c>
      <c r="AQ578" s="439" cm="1">
        <f t="array" aca="1" ref="AQ578" ca="1">IF(ISBLANK(Contrato5[[#This Row],[DEPENDENCIA ]]),0,IFERROR(_xlfn.XLOOKUP(Contrato5[[#This Row],[DEPENDENCIA ]],[2]!PERSONAL_ACTIVO_2024[[#All],[Dependencia]],[2]!PERSONAL_ACTIVO_2024[[#All],[Mail ]],0,0),0))</f>
        <v>0</v>
      </c>
    </row>
    <row r="579" spans="1:16382" ht="34.5" customHeight="1">
      <c r="A579" s="125">
        <v>835</v>
      </c>
      <c r="B579" s="124">
        <v>456</v>
      </c>
      <c r="C579" s="162" t="s">
        <v>1968</v>
      </c>
      <c r="D579" s="227" t="s">
        <v>583</v>
      </c>
      <c r="E579" s="440" t="s">
        <v>94</v>
      </c>
      <c r="F579" s="227" t="s">
        <v>1376</v>
      </c>
      <c r="G579" s="281" t="s">
        <v>2839</v>
      </c>
      <c r="H579" s="436">
        <v>72144343</v>
      </c>
      <c r="I579" s="273">
        <v>3952382</v>
      </c>
      <c r="J579" s="505">
        <v>19103180</v>
      </c>
      <c r="K579" s="131" t="s">
        <v>42</v>
      </c>
      <c r="L579" s="438" t="s">
        <v>2815</v>
      </c>
      <c r="M579" s="194" t="s">
        <v>589</v>
      </c>
      <c r="N579" s="177" t="e" cm="1">
        <f t="array" aca="1" ref="N579" ca="1">_xlfn.XLOOKUP(Contrato5[[#This Row],[SUPERVISOR TITULAR]],[2]!PERSONAL_ACTIVO_2024[[#All],[Nombre completo]],[2]!PERSONAL_ACTIVO_2024[[#All],[Documento identidad]],"",0)</f>
        <v>#NAME?</v>
      </c>
      <c r="O579" s="194" t="s">
        <v>586</v>
      </c>
      <c r="P579" s="196" t="e" cm="1">
        <f t="array" aca="1" ref="P579" ca="1">_xlfn.XLOOKUP(Contrato5[[#This Row],[SUPERVISOR SUPLENTE ]],[2]!PERSONAL_ACTIVO_2024[[#All],[Nombre completo]],[2]!PERSONAL_ACTIVO_2024[[#All],[Documento identidad]],"",0)</f>
        <v>#NAME?</v>
      </c>
      <c r="Q579" s="170">
        <v>614</v>
      </c>
      <c r="R579" s="137" t="e" cm="1">
        <f t="array" aca="1" ref="R579" ca="1">_xlfn.XLOOKUP(Contrato5[[#This Row],[CDP]],[2]!DISPONIBILIDADES_2024[[#All],[consecutivo]],[2]!DISPONIBILIDADES_2024[[#All],[fecha_aprobacion]],"",0)</f>
        <v>#NAME?</v>
      </c>
      <c r="S579" s="138" t="e">
        <f>SUMIF([2]!DISPONIBILIDADES_2024[[#All],[consecutivo]],Contrato5[[#This Row],[CDP]],[2]!DISPONIBILIDADES_2024[[#All],[valor_total_rubro]])</f>
        <v>#REF!</v>
      </c>
      <c r="T579" s="139" t="e" cm="1">
        <f t="array" aca="1" ref="T579" ca="1">_xlfn.XLOOKUP(Contrato5[[#This Row],[CONTRATO]]&amp;Contrato5[[#This Row],[CDP]],[2]!Corr_Contr_CDP[[#All],[CONTRATO-CDP]],[2]!Corr_Contr_CDP[[#All],[CRP]],_xlfn.XLOOKUP(Contrato5[[#This Row],[CDP]],[2]!COMPROMISOS_2024[[#All],[disponibilidad]],[2]!COMPROMISOS_2024[[#All],[consecutivo]],"",0),0)</f>
        <v>#NAME?</v>
      </c>
      <c r="U579" s="140" t="e" cm="1">
        <f t="array" aca="1" ref="U579" ca="1">+_xlfn.XLOOKUP(Contrato5[[#This Row],[RCP]],[2]!COMPROMISOS_2024[[#All],[consecutivo]],[2]!COMPROMISOS_2024[[#All],[fecha_aprobacion]],"",0)</f>
        <v>#NAME?</v>
      </c>
      <c r="V579" s="141" t="e">
        <f ca="1">SUMIF([2]!COMPROMISOS_2024[[#All],[consecutivo]],Contrato5[[#This Row],[RCP]],[2]!COMPROMISOS_2024[[#All],[valor_total]])</f>
        <v>#REF!</v>
      </c>
      <c r="W579" s="160">
        <v>45495</v>
      </c>
      <c r="X579" s="160" t="s">
        <v>2729</v>
      </c>
      <c r="Y579" s="143">
        <v>45509</v>
      </c>
      <c r="Z579" s="262">
        <v>45643</v>
      </c>
      <c r="AA579" s="183" t="s">
        <v>2840</v>
      </c>
      <c r="AB579" s="172" t="s">
        <v>2841</v>
      </c>
      <c r="AC579" s="172"/>
      <c r="AD579" s="211">
        <v>202000005015</v>
      </c>
      <c r="AE579" s="147" t="s">
        <v>523</v>
      </c>
      <c r="AF579" s="148" t="str">
        <f>TEXT(LEFT(Contrato5[[#This Row],[CONTRATO]],3),"0")</f>
        <v>456</v>
      </c>
      <c r="AG579" s="148" t="str">
        <f>IF(LEN(Contrato5[[#This Row],[Contrato2]])=3,Contrato5[[#This Row],[Contrato2]],TEXT(Contrato5[[#This Row],[Contrato2]],"000"))</f>
        <v>456</v>
      </c>
      <c r="AH579" s="149">
        <f ca="1">IFERROR(_xlfn.DAYS(Contrato5[[#This Row],[Fecha Proyectada liquidación]],TODAY())/30,"")</f>
        <v>0.16666666666666666</v>
      </c>
      <c r="AI579" s="150">
        <f>+Contrato5[[#This Row],[FECHA TERMINACIÓN ]]+120</f>
        <v>45763</v>
      </c>
      <c r="AJ579" s="147"/>
      <c r="AK579" s="152" t="str">
        <f ca="1">IF(Contrato5[[#This Row],[FECHA TERMINACIÓN ]]&lt;TODAY(), "Terminado",IF(ISNUMBER(Contrato5[[#This Row],[Fecha Real de liquiidación ]]),"Liquidado",IF(Contrato5[[#This Row],[FECHA TERMINACIÓN ]]&gt;=TODAY(),"En ejecución","")))</f>
        <v>Terminado</v>
      </c>
      <c r="AL579" s="153" t="e">
        <f ca="1">SUMIF([2]!COMPROMISOS_2024[[#All],[consecutivo]],Contrato5[[#This Row],[RCP]],[2]!COMPROMISOS_2024[[#All],[Total pagado]])</f>
        <v>#REF!</v>
      </c>
      <c r="AM579" s="154">
        <f ca="1">IFERROR(Contrato5[[#This Row],[Pagos]]/Contrato5[[#This Row],[VALOR CONTRATO]],0)</f>
        <v>0</v>
      </c>
      <c r="AN579" s="198" t="e">
        <f ca="1">+Contrato5[[#This Row],[VALOR CONTRATO]]-Contrato5[[#This Row],[Pagos]]</f>
        <v>#REF!</v>
      </c>
      <c r="AO579" s="147" t="e" cm="1">
        <f t="array" aca="1" ref="AO579" ca="1">_xlfn.XLOOKUP(Contrato5[[#This Row],[DOCUMENTO ]],[2]!PERSONAL_ACTIVO_2024[[#All],[Documento identidad]],[2]!PERSONAL_ACTIVO_2024[[#All],[Mail ]],0,0)</f>
        <v>#NAME?</v>
      </c>
      <c r="AP579" s="147" t="e" cm="1">
        <f t="array" aca="1" ref="AP579" ca="1">_xlfn.XLOOKUP(Contrato5[[#This Row],[DOCUMENTO]],[2]!PERSONAL_ACTIVO_2024[[#All],[Documento identidad]],[2]!PERSONAL_ACTIVO_2024[[#All],[Mail ]],0,0)</f>
        <v>#NAME?</v>
      </c>
      <c r="AQ579" s="439" cm="1">
        <f t="array" aca="1" ref="AQ579" ca="1">IF(ISBLANK(Contrato5[[#This Row],[DEPENDENCIA ]]),0,IFERROR(_xlfn.XLOOKUP(Contrato5[[#This Row],[DEPENDENCIA ]],[2]!PERSONAL_ACTIVO_2024[[#All],[Dependencia]],[2]!PERSONAL_ACTIVO_2024[[#All],[Mail ]],0,0),0))</f>
        <v>0</v>
      </c>
    </row>
    <row r="580" spans="1:16382" ht="34.5" customHeight="1">
      <c r="A580" s="125">
        <v>839</v>
      </c>
      <c r="B580" s="124">
        <v>457</v>
      </c>
      <c r="C580" s="162" t="s">
        <v>1951</v>
      </c>
      <c r="D580" s="227" t="s">
        <v>583</v>
      </c>
      <c r="E580" s="172" t="s">
        <v>94</v>
      </c>
      <c r="F580" s="227" t="s">
        <v>222</v>
      </c>
      <c r="G580" s="281" t="s">
        <v>1220</v>
      </c>
      <c r="H580" s="436">
        <v>890984432</v>
      </c>
      <c r="I580" s="273" t="s">
        <v>344</v>
      </c>
      <c r="J580" s="437">
        <v>80000000</v>
      </c>
      <c r="K580" s="283" t="s">
        <v>42</v>
      </c>
      <c r="L580" s="438" t="s">
        <v>2842</v>
      </c>
      <c r="M580" s="194" t="s">
        <v>589</v>
      </c>
      <c r="N580" s="177" t="e" cm="1">
        <f t="array" aca="1" ref="N580" ca="1">_xlfn.XLOOKUP(Contrato5[[#This Row],[SUPERVISOR TITULAR]],[2]!PERSONAL_ACTIVO_2024[[#All],[Nombre completo]],[2]!PERSONAL_ACTIVO_2024[[#All],[Documento identidad]],"",0)</f>
        <v>#NAME?</v>
      </c>
      <c r="O580" s="194" t="s">
        <v>586</v>
      </c>
      <c r="P580" s="196" t="e" cm="1">
        <f t="array" aca="1" ref="P580" ca="1">_xlfn.XLOOKUP(Contrato5[[#This Row],[SUPERVISOR SUPLENTE ]],[2]!PERSONAL_ACTIVO_2024[[#All],[Nombre completo]],[2]!PERSONAL_ACTIVO_2024[[#All],[Documento identidad]],"",0)</f>
        <v>#NAME?</v>
      </c>
      <c r="Q580" s="170">
        <v>624</v>
      </c>
      <c r="R580" s="137" t="e" cm="1">
        <f t="array" aca="1" ref="R580" ca="1">_xlfn.XLOOKUP(Contrato5[[#This Row],[CDP]],[2]!DISPONIBILIDADES_2024[[#All],[consecutivo]],[2]!DISPONIBILIDADES_2024[[#All],[fecha_aprobacion]],"",0)</f>
        <v>#NAME?</v>
      </c>
      <c r="S580" s="138" t="e">
        <f>SUMIF([2]!DISPONIBILIDADES_2024[[#All],[consecutivo]],Contrato5[[#This Row],[CDP]],[2]!DISPONIBILIDADES_2024[[#All],[valor_total_rubro]])</f>
        <v>#REF!</v>
      </c>
      <c r="T580" s="139" t="e" cm="1">
        <f t="array" aca="1" ref="T580" ca="1">_xlfn.XLOOKUP(Contrato5[[#This Row],[CONTRATO]]&amp;Contrato5[[#This Row],[CDP]],[2]!Corr_Contr_CDP[[#All],[CONTRATO-CDP]],[2]!Corr_Contr_CDP[[#All],[CRP]],_xlfn.XLOOKUP(Contrato5[[#This Row],[CDP]],[2]!COMPROMISOS_2024[[#All],[disponibilidad]],[2]!COMPROMISOS_2024[[#All],[consecutivo]],"",0),0)</f>
        <v>#NAME?</v>
      </c>
      <c r="U580" s="140" t="e" cm="1">
        <f t="array" aca="1" ref="U580" ca="1">+_xlfn.XLOOKUP(Contrato5[[#This Row],[RCP]],[2]!COMPROMISOS_2024[[#All],[consecutivo]],[2]!COMPROMISOS_2024[[#All],[fecha_aprobacion]],"",0)</f>
        <v>#NAME?</v>
      </c>
      <c r="V580" s="141" t="e">
        <f ca="1">SUMIF([2]!COMPROMISOS_2024[[#All],[consecutivo]],Contrato5[[#This Row],[RCP]],[2]!COMPROMISOS_2024[[#All],[valor_total]])</f>
        <v>#REF!</v>
      </c>
      <c r="W580" s="160">
        <v>45505</v>
      </c>
      <c r="X580" s="161">
        <v>45506</v>
      </c>
      <c r="Y580" s="143">
        <v>45509</v>
      </c>
      <c r="Z580" s="262">
        <v>45656</v>
      </c>
      <c r="AA580" s="183" t="s">
        <v>2843</v>
      </c>
      <c r="AB580" s="172" t="s">
        <v>2844</v>
      </c>
      <c r="AC580" s="172"/>
      <c r="AD580" s="263">
        <v>202000005016</v>
      </c>
      <c r="AE580" s="147" t="s">
        <v>523</v>
      </c>
      <c r="AF580" s="148" t="str">
        <f>TEXT(LEFT(Contrato5[[#This Row],[CONTRATO]],3),"0")</f>
        <v>457</v>
      </c>
      <c r="AG580" s="148" t="str">
        <f>IF(LEN(Contrato5[[#This Row],[Contrato2]])=3,Contrato5[[#This Row],[Contrato2]],TEXT(Contrato5[[#This Row],[Contrato2]],"000"))</f>
        <v>457</v>
      </c>
      <c r="AH580" s="149">
        <f ca="1">IFERROR(_xlfn.DAYS(Contrato5[[#This Row],[Fecha Proyectada liquidación]],TODAY())/30,"")</f>
        <v>0.6</v>
      </c>
      <c r="AI580" s="150">
        <f>+Contrato5[[#This Row],[FECHA TERMINACIÓN ]]+120</f>
        <v>45776</v>
      </c>
      <c r="AJ580" s="147"/>
      <c r="AK580" s="152" t="str">
        <f ca="1">IF(Contrato5[[#This Row],[FECHA TERMINACIÓN ]]&lt;TODAY(), "Terminado",IF(ISNUMBER(Contrato5[[#This Row],[Fecha Real de liquiidación ]]),"Liquidado",IF(Contrato5[[#This Row],[FECHA TERMINACIÓN ]]&gt;=TODAY(),"En ejecución","")))</f>
        <v>Terminado</v>
      </c>
      <c r="AL580" s="153" t="e">
        <f ca="1">SUMIF([2]!COMPROMISOS_2024[[#All],[consecutivo]],Contrato5[[#This Row],[RCP]],[2]!COMPROMISOS_2024[[#All],[Total pagado]])</f>
        <v>#REF!</v>
      </c>
      <c r="AM580" s="154">
        <f ca="1">IFERROR(Contrato5[[#This Row],[Pagos]]/Contrato5[[#This Row],[VALOR CONTRATO]],0)</f>
        <v>0</v>
      </c>
      <c r="AN580" s="198" t="e">
        <f ca="1">+Contrato5[[#This Row],[VALOR CONTRATO]]-Contrato5[[#This Row],[Pagos]]</f>
        <v>#REF!</v>
      </c>
      <c r="AO580" s="147" t="e" cm="1">
        <f t="array" aca="1" ref="AO580" ca="1">_xlfn.XLOOKUP(Contrato5[[#This Row],[DOCUMENTO ]],[2]!PERSONAL_ACTIVO_2024[[#All],[Documento identidad]],[2]!PERSONAL_ACTIVO_2024[[#All],[Mail ]],0,0)</f>
        <v>#NAME?</v>
      </c>
      <c r="AP580" s="147" t="e" cm="1">
        <f t="array" aca="1" ref="AP580" ca="1">_xlfn.XLOOKUP(Contrato5[[#This Row],[DOCUMENTO]],[2]!PERSONAL_ACTIVO_2024[[#All],[Documento identidad]],[2]!PERSONAL_ACTIVO_2024[[#All],[Mail ]],0,0)</f>
        <v>#NAME?</v>
      </c>
      <c r="AQ580" s="439" cm="1">
        <f t="array" aca="1" ref="AQ580" ca="1">IF(ISBLANK(Contrato5[[#This Row],[DEPENDENCIA ]]),0,IFERROR(_xlfn.XLOOKUP(Contrato5[[#This Row],[DEPENDENCIA ]],[2]!PERSONAL_ACTIVO_2024[[#All],[Dependencia]],[2]!PERSONAL_ACTIVO_2024[[#All],[Mail ]],0,0),0))</f>
        <v>0</v>
      </c>
    </row>
    <row r="581" spans="1:16382" ht="34.5" customHeight="1">
      <c r="A581" s="147">
        <v>1227</v>
      </c>
      <c r="B581" s="124">
        <v>457</v>
      </c>
      <c r="C581" s="162" t="s">
        <v>2095</v>
      </c>
      <c r="D581" s="227" t="s">
        <v>583</v>
      </c>
      <c r="E581" s="172" t="s">
        <v>2148</v>
      </c>
      <c r="F581" s="227" t="s">
        <v>222</v>
      </c>
      <c r="G581" s="281" t="s">
        <v>1220</v>
      </c>
      <c r="H581" s="436">
        <v>890984432</v>
      </c>
      <c r="I581" s="273" t="s">
        <v>344</v>
      </c>
      <c r="J581" s="437">
        <v>40000000</v>
      </c>
      <c r="K581" s="283"/>
      <c r="L581" s="438" t="s">
        <v>2570</v>
      </c>
      <c r="M581" s="194" t="s">
        <v>589</v>
      </c>
      <c r="N581" s="177" t="e" cm="1">
        <f t="array" aca="1" ref="N581" ca="1">_xlfn.XLOOKUP(Contrato5[[#This Row],[SUPERVISOR TITULAR]],[2]!PERSONAL_ACTIVO_2024[[#All],[Nombre completo]],[2]!PERSONAL_ACTIVO_2024[[#All],[Documento identidad]],"",0)</f>
        <v>#NAME?</v>
      </c>
      <c r="O581" s="194" t="s">
        <v>586</v>
      </c>
      <c r="P581" s="196" t="e" cm="1">
        <f t="array" aca="1" ref="P581" ca="1">_xlfn.XLOOKUP(Contrato5[[#This Row],[SUPERVISOR SUPLENTE ]],[2]!PERSONAL_ACTIVO_2024[[#All],[Nombre completo]],[2]!PERSONAL_ACTIVO_2024[[#All],[Documento identidad]],"",0)</f>
        <v>#NAME?</v>
      </c>
      <c r="Q581" s="170">
        <v>1045</v>
      </c>
      <c r="R581" s="137" t="e" cm="1">
        <f t="array" aca="1" ref="R581" ca="1">_xlfn.XLOOKUP(Contrato5[[#This Row],[CDP]],[2]!DISPONIBILIDADES_2024[[#All],[consecutivo]],[2]!DISPONIBILIDADES_2024[[#All],[fecha_aprobacion]],"",0)</f>
        <v>#NAME?</v>
      </c>
      <c r="S581" s="138" t="e">
        <f>SUMIF([2]!DISPONIBILIDADES_2024[[#All],[consecutivo]],Contrato5[[#This Row],[CDP]],[2]!DISPONIBILIDADES_2024[[#All],[valor_total_rubro]])</f>
        <v>#REF!</v>
      </c>
      <c r="T581" s="139" t="e" cm="1">
        <f t="array" aca="1" ref="T581" ca="1">_xlfn.XLOOKUP(Contrato5[[#This Row],[CONTRATO]]&amp;Contrato5[[#This Row],[CDP]],[2]!Corr_Contr_CDP[[#All],[CONTRATO-CDP]],[2]!Corr_Contr_CDP[[#All],[CRP]],_xlfn.XLOOKUP(Contrato5[[#This Row],[CDP]],[2]!COMPROMISOS_2024[[#All],[disponibilidad]],[2]!COMPROMISOS_2024[[#All],[consecutivo]],"",0),0)</f>
        <v>#NAME?</v>
      </c>
      <c r="U581" s="140" t="e" cm="1">
        <f t="array" aca="1" ref="U581" ca="1">+_xlfn.XLOOKUP(Contrato5[[#This Row],[RCP]],[2]!COMPROMISOS_2024[[#All],[consecutivo]],[2]!COMPROMISOS_2024[[#All],[fecha_aprobacion]],"",0)</f>
        <v>#NAME?</v>
      </c>
      <c r="V581" s="141" t="e">
        <f ca="1">SUMIF([2]!COMPROMISOS_2024[[#All],[consecutivo]],Contrato5[[#This Row],[RCP]],[2]!COMPROMISOS_2024[[#All],[valor_total]])</f>
        <v>#REF!</v>
      </c>
      <c r="W581" s="160">
        <v>45582</v>
      </c>
      <c r="X581" s="161">
        <v>45583</v>
      </c>
      <c r="Y581" s="143">
        <v>45509</v>
      </c>
      <c r="Z581" s="262">
        <v>45656</v>
      </c>
      <c r="AA581" s="183"/>
      <c r="AB581" s="172" t="s">
        <v>42</v>
      </c>
      <c r="AC581" s="127"/>
      <c r="AD581" s="211"/>
      <c r="AE581" s="147"/>
      <c r="AF581" s="148" t="str">
        <f>TEXT(LEFT(Contrato5[[#This Row],[CONTRATO]],3),"0")</f>
        <v>457</v>
      </c>
      <c r="AG581" s="148" t="str">
        <f>IF(LEN(Contrato5[[#This Row],[Contrato2]])=3,Contrato5[[#This Row],[Contrato2]],TEXT(Contrato5[[#This Row],[Contrato2]],"000"))</f>
        <v>457</v>
      </c>
      <c r="AH581" s="149">
        <f ca="1">IFERROR(_xlfn.DAYS(Contrato5[[#This Row],[Fecha Proyectada liquidación]],TODAY())/30,"")</f>
        <v>0.6</v>
      </c>
      <c r="AI581" s="150">
        <f>+Contrato5[[#This Row],[FECHA TERMINACIÓN ]]+120</f>
        <v>45776</v>
      </c>
      <c r="AJ581" s="147"/>
      <c r="AK581" s="152" t="str">
        <f ca="1">IF(Contrato5[[#This Row],[FECHA TERMINACIÓN ]]&lt;TODAY(), "Terminado",IF(ISNUMBER(Contrato5[[#This Row],[Fecha Real de liquiidación ]]),"Liquidado",IF(Contrato5[[#This Row],[FECHA TERMINACIÓN ]]&gt;=TODAY(),"En ejecución","")))</f>
        <v>Terminado</v>
      </c>
      <c r="AL581" s="153" t="e">
        <f ca="1">SUMIF([2]!COMPROMISOS_2024[[#All],[consecutivo]],Contrato5[[#This Row],[RCP]],[2]!COMPROMISOS_2024[[#All],[Total pagado]])</f>
        <v>#REF!</v>
      </c>
      <c r="AM581" s="154">
        <f ca="1">IFERROR(Contrato5[[#This Row],[Pagos]]/Contrato5[[#This Row],[VALOR CONTRATO]],0)</f>
        <v>0</v>
      </c>
      <c r="AN581" s="198" t="e">
        <f ca="1">+Contrato5[[#This Row],[VALOR CONTRATO]]-Contrato5[[#This Row],[Pagos]]</f>
        <v>#REF!</v>
      </c>
      <c r="AO581" s="147" t="e" cm="1">
        <f t="array" aca="1" ref="AO581" ca="1">_xlfn.XLOOKUP(Contrato5[[#This Row],[DOCUMENTO ]],[2]!PERSONAL_ACTIVO_2024[[#All],[Documento identidad]],[2]!PERSONAL_ACTIVO_2024[[#All],[Mail ]],0,0)</f>
        <v>#NAME?</v>
      </c>
      <c r="AP581" s="147" t="e" cm="1">
        <f t="array" aca="1" ref="AP581" ca="1">_xlfn.XLOOKUP(Contrato5[[#This Row],[DOCUMENTO]],[2]!PERSONAL_ACTIVO_2024[[#All],[Documento identidad]],[2]!PERSONAL_ACTIVO_2024[[#All],[Mail ]],0,0)</f>
        <v>#NAME?</v>
      </c>
      <c r="AQ581" s="439" cm="1">
        <f t="array" aca="1" ref="AQ581" ca="1">IF(ISBLANK(Contrato5[[#This Row],[DEPENDENCIA ]]),0,IFERROR(_xlfn.XLOOKUP(Contrato5[[#This Row],[DEPENDENCIA ]],[2]!PERSONAL_ACTIVO_2024[[#All],[Dependencia]],[2]!PERSONAL_ACTIVO_2024[[#All],[Mail ]],0,0),0))</f>
        <v>0</v>
      </c>
    </row>
    <row r="582" spans="1:16382" ht="34.5" customHeight="1">
      <c r="A582" s="125">
        <v>719</v>
      </c>
      <c r="B582" s="124">
        <v>458</v>
      </c>
      <c r="C582" s="162" t="s">
        <v>1772</v>
      </c>
      <c r="D582" s="227" t="s">
        <v>583</v>
      </c>
      <c r="E582" s="172" t="s">
        <v>94</v>
      </c>
      <c r="F582" s="227" t="s">
        <v>1767</v>
      </c>
      <c r="G582" s="281" t="s">
        <v>2845</v>
      </c>
      <c r="H582" s="436">
        <v>890904948</v>
      </c>
      <c r="I582" s="273" t="s">
        <v>344</v>
      </c>
      <c r="J582" s="505">
        <v>90000000</v>
      </c>
      <c r="K582" s="131" t="s">
        <v>42</v>
      </c>
      <c r="L582" s="438" t="s">
        <v>2842</v>
      </c>
      <c r="M582" s="194" t="s">
        <v>586</v>
      </c>
      <c r="N582" s="177" t="e" cm="1">
        <f t="array" aca="1" ref="N582" ca="1">_xlfn.XLOOKUP(Contrato5[[#This Row],[SUPERVISOR TITULAR]],[2]!PERSONAL_ACTIVO_2024[[#All],[Nombre completo]],[2]!PERSONAL_ACTIVO_2024[[#All],[Documento identidad]],"",0)</f>
        <v>#NAME?</v>
      </c>
      <c r="O582" s="194" t="s">
        <v>589</v>
      </c>
      <c r="P582" s="196" t="e" cm="1">
        <f t="array" aca="1" ref="P582" ca="1">_xlfn.XLOOKUP(Contrato5[[#This Row],[SUPERVISOR SUPLENTE ]],[2]!PERSONAL_ACTIVO_2024[[#All],[Nombre completo]],[2]!PERSONAL_ACTIVO_2024[[#All],[Documento identidad]],"",0)</f>
        <v>#NAME?</v>
      </c>
      <c r="Q582" s="170">
        <v>656</v>
      </c>
      <c r="R582" s="137" t="e" cm="1">
        <f t="array" aca="1" ref="R582" ca="1">_xlfn.XLOOKUP(Contrato5[[#This Row],[CDP]],[2]!DISPONIBILIDADES_2024[[#All],[consecutivo]],[2]!DISPONIBILIDADES_2024[[#All],[fecha_aprobacion]],"",0)</f>
        <v>#NAME?</v>
      </c>
      <c r="S582" s="138" t="e">
        <f>SUMIF([2]!DISPONIBILIDADES_2024[[#All],[consecutivo]],Contrato5[[#This Row],[CDP]],[2]!DISPONIBILIDADES_2024[[#All],[valor_total_rubro]])</f>
        <v>#REF!</v>
      </c>
      <c r="T582" s="139" t="e" cm="1">
        <f t="array" aca="1" ref="T582" ca="1">_xlfn.XLOOKUP(Contrato5[[#This Row],[CONTRATO]]&amp;Contrato5[[#This Row],[CDP]],[2]!Corr_Contr_CDP[[#All],[CONTRATO-CDP]],[2]!Corr_Contr_CDP[[#All],[CRP]],_xlfn.XLOOKUP(Contrato5[[#This Row],[CDP]],[2]!COMPROMISOS_2024[[#All],[disponibilidad]],[2]!COMPROMISOS_2024[[#All],[consecutivo]],"",0),0)</f>
        <v>#NAME?</v>
      </c>
      <c r="U582" s="140" t="e" cm="1">
        <f t="array" aca="1" ref="U582" ca="1">+_xlfn.XLOOKUP(Contrato5[[#This Row],[RCP]],[2]!COMPROMISOS_2024[[#All],[consecutivo]],[2]!COMPROMISOS_2024[[#All],[fecha_aprobacion]],"",0)</f>
        <v>#NAME?</v>
      </c>
      <c r="V582" s="141" t="e">
        <f ca="1">SUMIF([2]!COMPROMISOS_2024[[#All],[consecutivo]],Contrato5[[#This Row],[RCP]],[2]!COMPROMISOS_2024[[#All],[valor_total]])</f>
        <v>#REF!</v>
      </c>
      <c r="W582" s="160">
        <v>45505</v>
      </c>
      <c r="X582" s="161">
        <v>45512</v>
      </c>
      <c r="Y582" s="143">
        <v>45512</v>
      </c>
      <c r="Z582" s="262">
        <v>45656</v>
      </c>
      <c r="AA582" s="231" t="s">
        <v>2846</v>
      </c>
      <c r="AB582" s="172" t="s">
        <v>1041</v>
      </c>
      <c r="AC582" s="172"/>
      <c r="AD582" s="211">
        <v>202000005017</v>
      </c>
      <c r="AE582" s="147" t="s">
        <v>523</v>
      </c>
      <c r="AF582" s="148" t="str">
        <f>TEXT(LEFT(Contrato5[[#This Row],[CONTRATO]],3),"0")</f>
        <v>458</v>
      </c>
      <c r="AG582" s="148" t="str">
        <f>IF(LEN(Contrato5[[#This Row],[Contrato2]])=3,Contrato5[[#This Row],[Contrato2]],TEXT(Contrato5[[#This Row],[Contrato2]],"000"))</f>
        <v>458</v>
      </c>
      <c r="AH582" s="149">
        <f ca="1">IFERROR(_xlfn.DAYS(Contrato5[[#This Row],[Fecha Proyectada liquidación]],TODAY())/30,"")</f>
        <v>0.6</v>
      </c>
      <c r="AI582" s="150">
        <f>+Contrato5[[#This Row],[FECHA TERMINACIÓN ]]+120</f>
        <v>45776</v>
      </c>
      <c r="AJ582" s="147"/>
      <c r="AK582" s="152" t="str">
        <f ca="1">IF(Contrato5[[#This Row],[FECHA TERMINACIÓN ]]&lt;TODAY(), "Terminado",IF(ISNUMBER(Contrato5[[#This Row],[Fecha Real de liquiidación ]]),"Liquidado",IF(Contrato5[[#This Row],[FECHA TERMINACIÓN ]]&gt;=TODAY(),"En ejecución","")))</f>
        <v>Terminado</v>
      </c>
      <c r="AL582" s="153" t="e">
        <f ca="1">SUMIF([2]!COMPROMISOS_2024[[#All],[consecutivo]],Contrato5[[#This Row],[RCP]],[2]!COMPROMISOS_2024[[#All],[Total pagado]])</f>
        <v>#REF!</v>
      </c>
      <c r="AM582" s="154">
        <f ca="1">IFERROR(Contrato5[[#This Row],[Pagos]]/Contrato5[[#This Row],[VALOR CONTRATO]],0)</f>
        <v>0</v>
      </c>
      <c r="AN582" s="198" t="e">
        <f ca="1">+Contrato5[[#This Row],[VALOR CONTRATO]]-Contrato5[[#This Row],[Pagos]]</f>
        <v>#REF!</v>
      </c>
      <c r="AO582" s="147" t="e" cm="1">
        <f t="array" aca="1" ref="AO582" ca="1">_xlfn.XLOOKUP(Contrato5[[#This Row],[DOCUMENTO ]],[2]!PERSONAL_ACTIVO_2024[[#All],[Documento identidad]],[2]!PERSONAL_ACTIVO_2024[[#All],[Mail ]],0,0)</f>
        <v>#NAME?</v>
      </c>
      <c r="AP582" s="147" t="e" cm="1">
        <f t="array" aca="1" ref="AP582" ca="1">_xlfn.XLOOKUP(Contrato5[[#This Row],[DOCUMENTO]],[2]!PERSONAL_ACTIVO_2024[[#All],[Documento identidad]],[2]!PERSONAL_ACTIVO_2024[[#All],[Mail ]],0,0)</f>
        <v>#NAME?</v>
      </c>
      <c r="AQ582" s="439" cm="1">
        <f t="array" aca="1" ref="AQ582" ca="1">IF(ISBLANK(Contrato5[[#This Row],[DEPENDENCIA ]]),0,IFERROR(_xlfn.XLOOKUP(Contrato5[[#This Row],[DEPENDENCIA ]],[2]!PERSONAL_ACTIVO_2024[[#All],[Dependencia]],[2]!PERSONAL_ACTIVO_2024[[#All],[Mail ]],0,0),0))</f>
        <v>0</v>
      </c>
    </row>
    <row r="583" spans="1:16382" ht="34.5" customHeight="1">
      <c r="A583" s="147">
        <v>1288</v>
      </c>
      <c r="B583" s="124">
        <v>458</v>
      </c>
      <c r="C583" s="162" t="s">
        <v>2231</v>
      </c>
      <c r="D583" s="227" t="s">
        <v>583</v>
      </c>
      <c r="E583" s="172" t="s">
        <v>2148</v>
      </c>
      <c r="F583" s="227" t="s">
        <v>1767</v>
      </c>
      <c r="G583" s="281" t="s">
        <v>2845</v>
      </c>
      <c r="H583" s="436">
        <v>890904948</v>
      </c>
      <c r="I583" s="273" t="s">
        <v>344</v>
      </c>
      <c r="J583" s="188">
        <v>45000000</v>
      </c>
      <c r="K583" s="147"/>
      <c r="L583" s="166" t="s">
        <v>2599</v>
      </c>
      <c r="M583" s="194" t="s">
        <v>586</v>
      </c>
      <c r="N583" s="177" t="e" cm="1">
        <f t="array" aca="1" ref="N583" ca="1">_xlfn.XLOOKUP(Contrato5[[#This Row],[SUPERVISOR TITULAR]],[2]!PERSONAL_ACTIVO_2024[[#All],[Nombre completo]],[2]!PERSONAL_ACTIVO_2024[[#All],[Documento identidad]],"",0)</f>
        <v>#NAME?</v>
      </c>
      <c r="O583" s="194" t="s">
        <v>589</v>
      </c>
      <c r="P583" s="196" t="e" cm="1">
        <f t="array" aca="1" ref="P583" ca="1">_xlfn.XLOOKUP(Contrato5[[#This Row],[SUPERVISOR SUPLENTE ]],[2]!PERSONAL_ACTIVO_2024[[#All],[Nombre completo]],[2]!PERSONAL_ACTIVO_2024[[#All],[Documento identidad]],"",0)</f>
        <v>#NAME?</v>
      </c>
      <c r="Q583" s="170">
        <v>1128</v>
      </c>
      <c r="R583" s="137" t="e" cm="1">
        <f t="array" aca="1" ref="R583" ca="1">_xlfn.XLOOKUP(Contrato5[[#This Row],[CDP]],[2]!DISPONIBILIDADES_2024[[#All],[consecutivo]],[2]!DISPONIBILIDADES_2024[[#All],[fecha_aprobacion]],"",0)</f>
        <v>#NAME?</v>
      </c>
      <c r="S583" s="138" t="e">
        <f>SUMIF([2]!DISPONIBILIDADES_2024[[#All],[consecutivo]],Contrato5[[#This Row],[CDP]],[2]!DISPONIBILIDADES_2024[[#All],[valor_total_rubro]])</f>
        <v>#REF!</v>
      </c>
      <c r="T583" s="139" t="e" cm="1">
        <f t="array" aca="1" ref="T583" ca="1">_xlfn.XLOOKUP(Contrato5[[#This Row],[CONTRATO]]&amp;Contrato5[[#This Row],[CDP]],[2]!Corr_Contr_CDP[[#All],[CONTRATO-CDP]],[2]!Corr_Contr_CDP[[#All],[CRP]],_xlfn.XLOOKUP(Contrato5[[#This Row],[CDP]],[2]!COMPROMISOS_2024[[#All],[disponibilidad]],[2]!COMPROMISOS_2024[[#All],[consecutivo]],"",0),0)</f>
        <v>#NAME?</v>
      </c>
      <c r="U583" s="140" t="e" cm="1">
        <f t="array" aca="1" ref="U583" ca="1">+_xlfn.XLOOKUP(Contrato5[[#This Row],[RCP]],[2]!COMPROMISOS_2024[[#All],[consecutivo]],[2]!COMPROMISOS_2024[[#All],[fecha_aprobacion]],"",0)</f>
        <v>#NAME?</v>
      </c>
      <c r="V583" s="141" t="e">
        <f ca="1">SUMIF([2]!COMPROMISOS_2024[[#All],[consecutivo]],Contrato5[[#This Row],[RCP]],[2]!COMPROMISOS_2024[[#All],[valor_total]])</f>
        <v>#REF!</v>
      </c>
      <c r="W583" s="160">
        <v>45611</v>
      </c>
      <c r="X583" s="161">
        <v>45617</v>
      </c>
      <c r="Y583" s="143">
        <v>45512</v>
      </c>
      <c r="Z583" s="262">
        <v>45656</v>
      </c>
      <c r="AA583" s="225"/>
      <c r="AB583" s="172" t="s">
        <v>42</v>
      </c>
      <c r="AC583" s="127"/>
      <c r="AD583" s="211"/>
      <c r="AE583" s="147"/>
      <c r="AF583" s="148" t="str">
        <f>TEXT(LEFT(Contrato5[[#This Row],[CONTRATO]],3),"0")</f>
        <v>458</v>
      </c>
      <c r="AG583" s="148" t="str">
        <f>IF(LEN(Contrato5[[#This Row],[Contrato2]])=3,Contrato5[[#This Row],[Contrato2]],TEXT(Contrato5[[#This Row],[Contrato2]],"000"))</f>
        <v>458</v>
      </c>
      <c r="AH583" s="149">
        <f ca="1">IFERROR(_xlfn.DAYS(Contrato5[[#This Row],[Fecha Proyectada liquidación]],TODAY())/30,"")</f>
        <v>0.6</v>
      </c>
      <c r="AI583" s="150">
        <f>+Contrato5[[#This Row],[FECHA TERMINACIÓN ]]+120</f>
        <v>45776</v>
      </c>
      <c r="AJ583" s="147"/>
      <c r="AK583" s="152" t="str">
        <f ca="1">IF(Contrato5[[#This Row],[FECHA TERMINACIÓN ]]&lt;TODAY(), "Terminado",IF(ISNUMBER(Contrato5[[#This Row],[Fecha Real de liquiidación ]]),"Liquidado",IF(Contrato5[[#This Row],[FECHA TERMINACIÓN ]]&gt;=TODAY(),"En ejecución","")))</f>
        <v>Terminado</v>
      </c>
      <c r="AL583" s="153" t="e">
        <f ca="1">SUMIF([2]!COMPROMISOS_2024[[#All],[consecutivo]],Contrato5[[#This Row],[RCP]],[2]!COMPROMISOS_2024[[#All],[Total pagado]])</f>
        <v>#REF!</v>
      </c>
      <c r="AM583" s="154">
        <f ca="1">IFERROR(Contrato5[[#This Row],[Pagos]]/Contrato5[[#This Row],[VALOR CONTRATO]],0)</f>
        <v>0</v>
      </c>
      <c r="AN583" s="198" t="e">
        <f ca="1">+Contrato5[[#This Row],[VALOR CONTRATO]]-Contrato5[[#This Row],[Pagos]]</f>
        <v>#REF!</v>
      </c>
      <c r="AO583" s="147" t="e" cm="1">
        <f t="array" aca="1" ref="AO583" ca="1">_xlfn.XLOOKUP(Contrato5[[#This Row],[DOCUMENTO ]],[2]!PERSONAL_ACTIVO_2024[[#All],[Documento identidad]],[2]!PERSONAL_ACTIVO_2024[[#All],[Mail ]],0,0)</f>
        <v>#NAME?</v>
      </c>
      <c r="AP583" s="147" t="e" cm="1">
        <f t="array" aca="1" ref="AP583" ca="1">_xlfn.XLOOKUP(Contrato5[[#This Row],[DOCUMENTO]],[2]!PERSONAL_ACTIVO_2024[[#All],[Documento identidad]],[2]!PERSONAL_ACTIVO_2024[[#All],[Mail ]],0,0)</f>
        <v>#NAME?</v>
      </c>
      <c r="AQ583" s="439" cm="1">
        <f t="array" aca="1" ref="AQ583" ca="1">IF(ISBLANK(Contrato5[[#This Row],[DEPENDENCIA ]]),0,IFERROR(_xlfn.XLOOKUP(Contrato5[[#This Row],[DEPENDENCIA ]],[2]!PERSONAL_ACTIVO_2024[[#All],[Dependencia]],[2]!PERSONAL_ACTIVO_2024[[#All],[Mail ]],0,0),0))</f>
        <v>0</v>
      </c>
    </row>
    <row r="584" spans="1:16382" ht="34.5" customHeight="1">
      <c r="A584" s="125" t="s">
        <v>886</v>
      </c>
      <c r="B584" s="124">
        <v>459</v>
      </c>
      <c r="C584" s="162" t="s">
        <v>887</v>
      </c>
      <c r="D584" s="128" t="s">
        <v>42</v>
      </c>
      <c r="E584" s="128" t="s">
        <v>42</v>
      </c>
      <c r="F584" s="227" t="s">
        <v>494</v>
      </c>
      <c r="G584" s="290" t="s">
        <v>887</v>
      </c>
      <c r="H584" s="447">
        <v>0</v>
      </c>
      <c r="I584" s="455">
        <v>0</v>
      </c>
      <c r="J584" s="456">
        <v>0</v>
      </c>
      <c r="K584" s="284">
        <v>0</v>
      </c>
      <c r="L584" s="438" t="s">
        <v>2646</v>
      </c>
      <c r="M584" s="194"/>
      <c r="N584" s="177" t="e" cm="1">
        <f t="array" aca="1" ref="N584" ca="1">_xlfn.XLOOKUP(Contrato5[[#This Row],[SUPERVISOR TITULAR]],[2]!PERSONAL_ACTIVO_2024[[#All],[Nombre completo]],[2]!PERSONAL_ACTIVO_2024[[#All],[Documento identidad]],"",0)</f>
        <v>#NAME?</v>
      </c>
      <c r="O584" s="194"/>
      <c r="P584" s="196" t="e" cm="1">
        <f t="array" aca="1" ref="P584" ca="1">_xlfn.XLOOKUP(Contrato5[[#This Row],[SUPERVISOR SUPLENTE ]],[2]!PERSONAL_ACTIVO_2024[[#All],[Nombre completo]],[2]!PERSONAL_ACTIVO_2024[[#All],[Documento identidad]],"",0)</f>
        <v>#NAME?</v>
      </c>
      <c r="Q584" s="191">
        <v>0</v>
      </c>
      <c r="R584" s="137" t="e" cm="1">
        <f t="array" aca="1" ref="R584" ca="1">_xlfn.XLOOKUP(Contrato5[[#This Row],[CDP]],[2]!DISPONIBILIDADES_2024[[#All],[consecutivo]],[2]!DISPONIBILIDADES_2024[[#All],[fecha_aprobacion]],"",0)</f>
        <v>#NAME?</v>
      </c>
      <c r="S584" s="138" t="e">
        <f>SUMIF([2]!DISPONIBILIDADES_2024[[#All],[consecutivo]],Contrato5[[#This Row],[CDP]],[2]!DISPONIBILIDADES_2024[[#All],[valor_total_rubro]])</f>
        <v>#REF!</v>
      </c>
      <c r="T584" s="139" t="e" cm="1">
        <f t="array" aca="1" ref="T584" ca="1">_xlfn.XLOOKUP(Contrato5[[#This Row],[CONTRATO]]&amp;Contrato5[[#This Row],[CDP]],[2]!Corr_Contr_CDP[[#All],[CONTRATO-CDP]],[2]!Corr_Contr_CDP[[#All],[CRP]],_xlfn.XLOOKUP(Contrato5[[#This Row],[CDP]],[2]!COMPROMISOS_2024[[#All],[disponibilidad]],[2]!COMPROMISOS_2024[[#All],[consecutivo]],"",0),0)</f>
        <v>#NAME?</v>
      </c>
      <c r="U584" s="140" t="e" cm="1">
        <f t="array" aca="1" ref="U584" ca="1">+_xlfn.XLOOKUP(Contrato5[[#This Row],[RCP]],[2]!COMPROMISOS_2024[[#All],[consecutivo]],[2]!COMPROMISOS_2024[[#All],[fecha_aprobacion]],"",0)</f>
        <v>#NAME?</v>
      </c>
      <c r="V584" s="141" t="e">
        <f ca="1">SUMIF([2]!COMPROMISOS_2024[[#All],[consecutivo]],Contrato5[[#This Row],[RCP]],[2]!COMPROMISOS_2024[[#All],[valor_total]])</f>
        <v>#REF!</v>
      </c>
      <c r="W584" s="191">
        <v>0</v>
      </c>
      <c r="X584" s="191">
        <v>0</v>
      </c>
      <c r="Y584" s="143"/>
      <c r="Z584" s="262"/>
      <c r="AA584" s="183"/>
      <c r="AB584" s="191">
        <v>0</v>
      </c>
      <c r="AC584" s="172"/>
      <c r="AD584" s="211"/>
      <c r="AE584" s="147"/>
      <c r="AF584" s="148" t="str">
        <f>TEXT(LEFT(Contrato5[[#This Row],[CONTRATO]],3),"0")</f>
        <v>459</v>
      </c>
      <c r="AG584" s="148" t="str">
        <f>IF(LEN(Contrato5[[#This Row],[Contrato2]])=3,Contrato5[[#This Row],[Contrato2]],TEXT(Contrato5[[#This Row],[Contrato2]],"000"))</f>
        <v>459</v>
      </c>
      <c r="AH584" s="149">
        <f ca="1">IFERROR(_xlfn.DAYS(Contrato5[[#This Row],[Fecha Proyectada liquidación]],TODAY())/30,"")</f>
        <v>-1521.2666666666667</v>
      </c>
      <c r="AI584" s="150">
        <f>+Contrato5[[#This Row],[FECHA TERMINACIÓN ]]+120</f>
        <v>120</v>
      </c>
      <c r="AJ584" s="147"/>
      <c r="AK584" s="152" t="str">
        <f ca="1">IF(Contrato5[[#This Row],[FECHA TERMINACIÓN ]]&lt;TODAY(), "Terminado",IF(ISNUMBER(Contrato5[[#This Row],[Fecha Real de liquiidación ]]),"Liquidado",IF(Contrato5[[#This Row],[FECHA TERMINACIÓN ]]&gt;=TODAY(),"En ejecución","")))</f>
        <v>Terminado</v>
      </c>
      <c r="AL584" s="153" t="e">
        <f ca="1">SUMIF([2]!COMPROMISOS_2024[[#All],[consecutivo]],Contrato5[[#This Row],[RCP]],[2]!COMPROMISOS_2024[[#All],[Total pagado]])</f>
        <v>#REF!</v>
      </c>
      <c r="AM584" s="154">
        <f ca="1">IFERROR(Contrato5[[#This Row],[Pagos]]/Contrato5[[#This Row],[VALOR CONTRATO]],0)</f>
        <v>0</v>
      </c>
      <c r="AN584" s="198" t="e">
        <f ca="1">+Contrato5[[#This Row],[VALOR CONTRATO]]-Contrato5[[#This Row],[Pagos]]</f>
        <v>#REF!</v>
      </c>
      <c r="AO584" s="147" t="e" cm="1">
        <f t="array" aca="1" ref="AO584" ca="1">_xlfn.XLOOKUP(Contrato5[[#This Row],[DOCUMENTO ]],[2]!PERSONAL_ACTIVO_2024[[#All],[Documento identidad]],[2]!PERSONAL_ACTIVO_2024[[#All],[Mail ]],0,0)</f>
        <v>#NAME?</v>
      </c>
      <c r="AP584" s="147" t="e" cm="1">
        <f t="array" aca="1" ref="AP584" ca="1">_xlfn.XLOOKUP(Contrato5[[#This Row],[DOCUMENTO]],[2]!PERSONAL_ACTIVO_2024[[#All],[Documento identidad]],[2]!PERSONAL_ACTIVO_2024[[#All],[Mail ]],0,0)</f>
        <v>#NAME?</v>
      </c>
      <c r="AQ584" s="439" cm="1">
        <f t="array" aca="1" ref="AQ584" ca="1">IF(ISBLANK(Contrato5[[#This Row],[DEPENDENCIA ]]),0,IFERROR(_xlfn.XLOOKUP(Contrato5[[#This Row],[DEPENDENCIA ]],[2]!PERSONAL_ACTIVO_2024[[#All],[Dependencia]],[2]!PERSONAL_ACTIVO_2024[[#All],[Mail ]],0,0),0))</f>
        <v>0</v>
      </c>
    </row>
    <row r="585" spans="1:16382" ht="34.5" customHeight="1">
      <c r="A585" s="125">
        <v>845</v>
      </c>
      <c r="B585" s="124">
        <v>460</v>
      </c>
      <c r="C585" s="162" t="s">
        <v>1448</v>
      </c>
      <c r="D585" s="227" t="s">
        <v>623</v>
      </c>
      <c r="E585" s="440" t="s">
        <v>94</v>
      </c>
      <c r="F585" s="227" t="s">
        <v>1376</v>
      </c>
      <c r="G585" s="281" t="s">
        <v>2847</v>
      </c>
      <c r="H585" s="436">
        <v>1028033916</v>
      </c>
      <c r="I585" s="273">
        <v>4171510</v>
      </c>
      <c r="J585" s="505">
        <v>20857550</v>
      </c>
      <c r="K585" s="131" t="s">
        <v>42</v>
      </c>
      <c r="L585" s="438" t="s">
        <v>2842</v>
      </c>
      <c r="M585" s="194" t="s">
        <v>2848</v>
      </c>
      <c r="N585" s="177" t="e" cm="1">
        <f t="array" aca="1" ref="N585" ca="1">_xlfn.XLOOKUP(Contrato5[[#This Row],[SUPERVISOR TITULAR]],[2]!PERSONAL_ACTIVO_2024[[#All],[Nombre completo]],[2]!PERSONAL_ACTIVO_2024[[#All],[Documento identidad]],"",0)</f>
        <v>#NAME?</v>
      </c>
      <c r="O585" s="194" t="s">
        <v>626</v>
      </c>
      <c r="P585" s="196" t="e" cm="1">
        <f t="array" aca="1" ref="P585" ca="1">_xlfn.XLOOKUP(Contrato5[[#This Row],[SUPERVISOR SUPLENTE ]],[2]!PERSONAL_ACTIVO_2024[[#All],[Nombre completo]],[2]!PERSONAL_ACTIVO_2024[[#All],[Documento identidad]],"",0)</f>
        <v>#NAME?</v>
      </c>
      <c r="Q585" s="170">
        <v>643</v>
      </c>
      <c r="R585" s="137" t="e" cm="1">
        <f t="array" aca="1" ref="R585" ca="1">_xlfn.XLOOKUP(Contrato5[[#This Row],[CDP]],[2]!DISPONIBILIDADES_2024[[#All],[consecutivo]],[2]!DISPONIBILIDADES_2024[[#All],[fecha_aprobacion]],"",0)</f>
        <v>#NAME?</v>
      </c>
      <c r="S585" s="138" t="e">
        <f>SUMIF([2]!DISPONIBILIDADES_2024[[#All],[consecutivo]],Contrato5[[#This Row],[CDP]],[2]!DISPONIBILIDADES_2024[[#All],[valor_total_rubro]])</f>
        <v>#REF!</v>
      </c>
      <c r="T585" s="139" t="e" cm="1">
        <f t="array" aca="1" ref="T585" ca="1">_xlfn.XLOOKUP(Contrato5[[#This Row],[CONTRATO]]&amp;Contrato5[[#This Row],[CDP]],[2]!Corr_Contr_CDP[[#All],[CONTRATO-CDP]],[2]!Corr_Contr_CDP[[#All],[CRP]],_xlfn.XLOOKUP(Contrato5[[#This Row],[CDP]],[2]!COMPROMISOS_2024[[#All],[disponibilidad]],[2]!COMPROMISOS_2024[[#All],[consecutivo]],"",0),0)</f>
        <v>#NAME?</v>
      </c>
      <c r="U585" s="140" t="e" cm="1">
        <f t="array" aca="1" ref="U585" ca="1">+_xlfn.XLOOKUP(Contrato5[[#This Row],[RCP]],[2]!COMPROMISOS_2024[[#All],[consecutivo]],[2]!COMPROMISOS_2024[[#All],[fecha_aprobacion]],"",0)</f>
        <v>#NAME?</v>
      </c>
      <c r="V585" s="141" t="e">
        <f ca="1">SUMIF([2]!COMPROMISOS_2024[[#All],[consecutivo]],Contrato5[[#This Row],[RCP]],[2]!COMPROMISOS_2024[[#All],[valor_total]])</f>
        <v>#REF!</v>
      </c>
      <c r="W585" s="160">
        <v>45506</v>
      </c>
      <c r="X585" s="160" t="s">
        <v>1045</v>
      </c>
      <c r="Y585" s="143">
        <v>45509</v>
      </c>
      <c r="Z585" s="262">
        <v>45656</v>
      </c>
      <c r="AA585" s="183" t="s">
        <v>2849</v>
      </c>
      <c r="AB585" s="172" t="s">
        <v>2850</v>
      </c>
      <c r="AC585" s="172"/>
      <c r="AD585" s="263">
        <v>202000005020</v>
      </c>
      <c r="AE585" s="147" t="s">
        <v>523</v>
      </c>
      <c r="AF585" s="148" t="str">
        <f>TEXT(LEFT(Contrato5[[#This Row],[CONTRATO]],3),"0")</f>
        <v>460</v>
      </c>
      <c r="AG585" s="148" t="str">
        <f>IF(LEN(Contrato5[[#This Row],[Contrato2]])=3,Contrato5[[#This Row],[Contrato2]],TEXT(Contrato5[[#This Row],[Contrato2]],"000"))</f>
        <v>460</v>
      </c>
      <c r="AH585" s="149">
        <f ca="1">IFERROR(_xlfn.DAYS(Contrato5[[#This Row],[Fecha Proyectada liquidación]],TODAY())/30,"")</f>
        <v>0.6</v>
      </c>
      <c r="AI585" s="150">
        <f>+Contrato5[[#This Row],[FECHA TERMINACIÓN ]]+120</f>
        <v>45776</v>
      </c>
      <c r="AJ585" s="147"/>
      <c r="AK585" s="152" t="str">
        <f ca="1">IF(Contrato5[[#This Row],[FECHA TERMINACIÓN ]]&lt;TODAY(), "Terminado",IF(ISNUMBER(Contrato5[[#This Row],[Fecha Real de liquiidación ]]),"Liquidado",IF(Contrato5[[#This Row],[FECHA TERMINACIÓN ]]&gt;=TODAY(),"En ejecución","")))</f>
        <v>Terminado</v>
      </c>
      <c r="AL585" s="153" t="e">
        <f ca="1">SUMIF([2]!COMPROMISOS_2024[[#All],[consecutivo]],Contrato5[[#This Row],[RCP]],[2]!COMPROMISOS_2024[[#All],[Total pagado]])</f>
        <v>#REF!</v>
      </c>
      <c r="AM585" s="154">
        <f ca="1">IFERROR(Contrato5[[#This Row],[Pagos]]/Contrato5[[#This Row],[VALOR CONTRATO]],0)</f>
        <v>0</v>
      </c>
      <c r="AN585" s="198" t="e">
        <f ca="1">+Contrato5[[#This Row],[VALOR CONTRATO]]-Contrato5[[#This Row],[Pagos]]</f>
        <v>#REF!</v>
      </c>
      <c r="AO585" s="125" t="e" cm="1">
        <f t="array" aca="1" ref="AO585" ca="1">_xlfn.XLOOKUP(Contrato5[[#This Row],[DOCUMENTO ]],[2]!PERSONAL_ACTIVO_2024[[#All],[Documento identidad]],[2]!PERSONAL_ACTIVO_2024[[#All],[Mail ]],0,0)</f>
        <v>#NAME?</v>
      </c>
      <c r="AP585" s="124" t="e" cm="1">
        <f t="array" aca="1" ref="AP585" ca="1">_xlfn.XLOOKUP(Contrato5[[#This Row],[DOCUMENTO]],[2]!PERSONAL_ACTIVO_2024[[#All],[Documento identidad]],[2]!PERSONAL_ACTIVO_2024[[#All],[Mail ]],0,0)</f>
        <v>#NAME?</v>
      </c>
      <c r="AQ585" s="531" cm="1">
        <f t="array" aca="1" ref="AQ585" ca="1">IF(ISBLANK(Contrato5[[#This Row],[DEPENDENCIA ]]),0,IFERROR(_xlfn.XLOOKUP(Contrato5[[#This Row],[DEPENDENCIA ]],[2]!PERSONAL_ACTIVO_2024[[#All],[Dependencia]],[2]!PERSONAL_ACTIVO_2024[[#All],[Mail ]],0,0),0))</f>
        <v>0</v>
      </c>
      <c r="AR585" s="488"/>
      <c r="AS585" s="300"/>
      <c r="AT585" s="543"/>
      <c r="AU585" s="533"/>
      <c r="AV585" s="534"/>
      <c r="AW585" s="316"/>
      <c r="AX585" s="316"/>
      <c r="AY585" s="471"/>
      <c r="AZ585" s="472"/>
      <c r="BA585" s="471"/>
      <c r="BB585" s="473"/>
      <c r="BC585" s="313"/>
      <c r="BD585" s="535"/>
      <c r="BE585" s="536"/>
      <c r="BF585" s="537"/>
      <c r="BG585" s="538"/>
      <c r="BH585" s="539"/>
      <c r="BI585" s="540"/>
      <c r="BJ585" s="209"/>
      <c r="BK585" s="541"/>
      <c r="BL585" s="541"/>
      <c r="BM585" s="482"/>
      <c r="BN585" s="173"/>
      <c r="BO585" s="173"/>
      <c r="BP585" s="544"/>
      <c r="BR585" s="148"/>
      <c r="BS585" s="148"/>
      <c r="BT585" s="149"/>
      <c r="BU585" s="150"/>
      <c r="BW585" s="152"/>
      <c r="BX585" s="542"/>
      <c r="BY585" s="154"/>
      <c r="BZ585" s="175"/>
      <c r="CB585" s="156"/>
      <c r="CC585" s="287"/>
      <c r="CD585" s="488"/>
      <c r="CE585" s="489"/>
      <c r="CF585" s="488"/>
      <c r="CG585" s="300"/>
      <c r="CH585" s="543"/>
      <c r="CI585" s="533"/>
      <c r="CJ585" s="534"/>
      <c r="CK585" s="316"/>
      <c r="CL585" s="316"/>
      <c r="CM585" s="471"/>
      <c r="CN585" s="472"/>
      <c r="CO585" s="471"/>
      <c r="CP585" s="473"/>
      <c r="CQ585" s="313"/>
      <c r="CR585" s="535"/>
      <c r="CS585" s="536"/>
      <c r="CT585" s="537"/>
      <c r="CU585" s="538"/>
      <c r="CV585" s="539"/>
      <c r="CW585" s="540"/>
      <c r="CX585" s="209"/>
      <c r="CY585" s="541"/>
      <c r="CZ585" s="541"/>
      <c r="DA585" s="482"/>
      <c r="DB585" s="173"/>
      <c r="DC585" s="173"/>
      <c r="DD585" s="544"/>
      <c r="DF585" s="148"/>
      <c r="DG585" s="148"/>
      <c r="DH585" s="149"/>
      <c r="DI585" s="150"/>
      <c r="DK585" s="152"/>
      <c r="DL585" s="542"/>
      <c r="DM585" s="154"/>
      <c r="DN585" s="175"/>
      <c r="DP585" s="156"/>
      <c r="DQ585" s="287"/>
      <c r="DR585" s="488"/>
      <c r="DS585" s="489"/>
      <c r="DT585" s="488"/>
      <c r="DU585" s="300"/>
      <c r="DV585" s="543"/>
      <c r="DW585" s="533"/>
      <c r="DX585" s="534"/>
      <c r="DY585" s="316"/>
      <c r="DZ585" s="316"/>
      <c r="EA585" s="471"/>
      <c r="EB585" s="472"/>
      <c r="EC585" s="471"/>
      <c r="ED585" s="473"/>
      <c r="EE585" s="313"/>
      <c r="EF585" s="535"/>
      <c r="EG585" s="536"/>
      <c r="EH585" s="537"/>
      <c r="EI585" s="538"/>
      <c r="EJ585" s="539"/>
      <c r="EK585" s="540"/>
      <c r="EL585" s="209"/>
      <c r="EM585" s="541"/>
      <c r="EN585" s="541"/>
      <c r="EO585" s="482"/>
      <c r="EP585" s="173"/>
      <c r="EQ585" s="173"/>
      <c r="ER585" s="544"/>
      <c r="ET585" s="148"/>
      <c r="EU585" s="148"/>
      <c r="EV585" s="149"/>
      <c r="EW585" s="150"/>
      <c r="EY585" s="152"/>
      <c r="EZ585" s="542"/>
      <c r="FA585" s="154"/>
      <c r="FB585" s="175"/>
      <c r="FD585" s="156"/>
      <c r="FE585" s="287"/>
      <c r="FF585" s="488"/>
      <c r="FG585" s="489"/>
      <c r="FH585" s="488"/>
      <c r="FI585" s="300"/>
      <c r="FJ585" s="543"/>
      <c r="FK585" s="533"/>
      <c r="FL585" s="534"/>
      <c r="FM585" s="316"/>
      <c r="FN585" s="316"/>
      <c r="FO585" s="471"/>
      <c r="FP585" s="472"/>
      <c r="FQ585" s="471"/>
      <c r="FR585" s="473"/>
      <c r="FS585" s="313"/>
      <c r="FT585" s="535"/>
      <c r="FU585" s="536"/>
      <c r="FV585" s="537"/>
      <c r="FW585" s="538"/>
      <c r="FX585" s="539"/>
      <c r="FY585" s="540"/>
      <c r="FZ585" s="209"/>
      <c r="GA585" s="541"/>
      <c r="GB585" s="541"/>
      <c r="GC585" s="482"/>
      <c r="GD585" s="173"/>
      <c r="GE585" s="173"/>
      <c r="GF585" s="544"/>
      <c r="GH585" s="148"/>
      <c r="GI585" s="148"/>
      <c r="GJ585" s="149"/>
      <c r="GK585" s="150"/>
      <c r="GM585" s="152"/>
      <c r="GN585" s="542"/>
      <c r="GO585" s="154"/>
      <c r="GP585" s="175"/>
      <c r="GR585" s="156"/>
      <c r="GS585" s="287"/>
      <c r="GT585" s="488"/>
      <c r="GU585" s="489"/>
      <c r="GV585" s="488"/>
      <c r="GW585" s="300"/>
      <c r="GX585" s="543"/>
      <c r="GY585" s="533"/>
      <c r="GZ585" s="534"/>
      <c r="HA585" s="316"/>
      <c r="HB585" s="316"/>
      <c r="HC585" s="471"/>
      <c r="HD585" s="472"/>
      <c r="HE585" s="471"/>
      <c r="HF585" s="473"/>
      <c r="HG585" s="313"/>
      <c r="HH585" s="535"/>
      <c r="HI585" s="536"/>
      <c r="HJ585" s="537"/>
      <c r="HK585" s="538"/>
      <c r="HL585" s="539"/>
      <c r="HM585" s="540"/>
      <c r="HN585" s="209"/>
      <c r="HO585" s="541"/>
      <c r="HP585" s="541"/>
      <c r="HQ585" s="482"/>
      <c r="HR585" s="173"/>
      <c r="HS585" s="173"/>
      <c r="HT585" s="544"/>
      <c r="HV585" s="148"/>
      <c r="HW585" s="148"/>
      <c r="HX585" s="149"/>
      <c r="HY585" s="150"/>
      <c r="IA585" s="152"/>
      <c r="IB585" s="542"/>
      <c r="IC585" s="154"/>
      <c r="ID585" s="175"/>
      <c r="IF585" s="156"/>
      <c r="IG585" s="287"/>
      <c r="IH585" s="488"/>
      <c r="II585" s="489"/>
      <c r="IJ585" s="488"/>
      <c r="IK585" s="300"/>
      <c r="IL585" s="543"/>
      <c r="IM585" s="533"/>
      <c r="IN585" s="534"/>
      <c r="IO585" s="316"/>
      <c r="IP585" s="316"/>
      <c r="IQ585" s="471"/>
      <c r="IR585" s="472"/>
      <c r="IS585" s="471"/>
      <c r="IT585" s="473"/>
      <c r="IU585" s="313"/>
      <c r="IV585" s="535"/>
      <c r="IW585" s="536"/>
      <c r="IX585" s="537"/>
      <c r="IY585" s="538"/>
      <c r="IZ585" s="539"/>
      <c r="JA585" s="540"/>
      <c r="JB585" s="209"/>
      <c r="JC585" s="541"/>
      <c r="JD585" s="541"/>
      <c r="JE585" s="482"/>
      <c r="JF585" s="173"/>
      <c r="JG585" s="173"/>
      <c r="JH585" s="544"/>
      <c r="JJ585" s="148"/>
      <c r="JK585" s="148"/>
      <c r="JL585" s="149"/>
      <c r="JM585" s="150"/>
      <c r="JO585" s="152"/>
      <c r="JP585" s="542"/>
      <c r="JQ585" s="154"/>
      <c r="JR585" s="175"/>
      <c r="JT585" s="156"/>
      <c r="JU585" s="287"/>
      <c r="JV585" s="488"/>
      <c r="JW585" s="489"/>
      <c r="JX585" s="488"/>
      <c r="JY585" s="300"/>
      <c r="JZ585" s="543"/>
      <c r="KA585" s="533"/>
      <c r="KB585" s="534"/>
      <c r="KC585" s="316"/>
      <c r="KD585" s="316"/>
      <c r="KE585" s="471"/>
      <c r="KF585" s="472"/>
      <c r="KG585" s="471"/>
      <c r="KH585" s="473"/>
      <c r="KI585" s="313"/>
      <c r="KJ585" s="535"/>
      <c r="KK585" s="536"/>
      <c r="KL585" s="537"/>
      <c r="KM585" s="538"/>
      <c r="KN585" s="539"/>
      <c r="KO585" s="540"/>
      <c r="KP585" s="209"/>
      <c r="KQ585" s="541"/>
      <c r="KR585" s="541"/>
      <c r="KS585" s="482"/>
      <c r="KT585" s="173"/>
      <c r="KU585" s="173"/>
      <c r="KV585" s="544"/>
      <c r="KX585" s="148"/>
      <c r="KY585" s="148"/>
      <c r="KZ585" s="149"/>
      <c r="LA585" s="150"/>
      <c r="LC585" s="152"/>
      <c r="LD585" s="542"/>
      <c r="LE585" s="154"/>
      <c r="LF585" s="175"/>
      <c r="LH585" s="156"/>
      <c r="LI585" s="287"/>
      <c r="LJ585" s="488"/>
      <c r="LK585" s="489"/>
      <c r="LL585" s="488"/>
      <c r="LM585" s="300"/>
      <c r="LN585" s="543"/>
      <c r="LO585" s="533"/>
      <c r="LP585" s="534"/>
      <c r="LQ585" s="316"/>
      <c r="LR585" s="316"/>
      <c r="LS585" s="471"/>
      <c r="LT585" s="472"/>
      <c r="LU585" s="471"/>
      <c r="LV585" s="473"/>
      <c r="LW585" s="313"/>
      <c r="LX585" s="535"/>
      <c r="LY585" s="536"/>
      <c r="LZ585" s="537"/>
      <c r="MA585" s="538"/>
      <c r="MB585" s="539"/>
      <c r="MC585" s="540"/>
      <c r="MD585" s="209"/>
      <c r="ME585" s="541"/>
      <c r="MF585" s="541"/>
      <c r="MG585" s="482"/>
      <c r="MH585" s="173"/>
      <c r="MI585" s="173"/>
      <c r="MJ585" s="544"/>
      <c r="ML585" s="148"/>
      <c r="MM585" s="148"/>
      <c r="MN585" s="149"/>
      <c r="MO585" s="150"/>
      <c r="MQ585" s="152"/>
      <c r="MR585" s="542"/>
      <c r="MS585" s="154"/>
      <c r="MT585" s="175"/>
      <c r="MV585" s="156"/>
      <c r="MW585" s="287"/>
      <c r="MX585" s="488"/>
      <c r="MY585" s="489"/>
      <c r="MZ585" s="488"/>
      <c r="NA585" s="300"/>
      <c r="NB585" s="543"/>
      <c r="NC585" s="533"/>
      <c r="ND585" s="534"/>
      <c r="NE585" s="316"/>
      <c r="NF585" s="316"/>
      <c r="NG585" s="471"/>
      <c r="NH585" s="472"/>
      <c r="NI585" s="471"/>
      <c r="NJ585" s="473"/>
      <c r="NK585" s="313"/>
      <c r="NL585" s="535"/>
      <c r="NM585" s="536"/>
      <c r="NN585" s="537"/>
      <c r="NO585" s="538"/>
      <c r="NP585" s="539"/>
      <c r="NQ585" s="540"/>
      <c r="NR585" s="209"/>
      <c r="NS585" s="541"/>
      <c r="NT585" s="541"/>
      <c r="NU585" s="482"/>
      <c r="NV585" s="173"/>
      <c r="NW585" s="173"/>
      <c r="NX585" s="544"/>
      <c r="NZ585" s="148"/>
      <c r="OA585" s="148"/>
      <c r="OB585" s="149"/>
      <c r="OC585" s="150"/>
      <c r="OE585" s="152"/>
      <c r="OF585" s="542"/>
      <c r="OG585" s="154"/>
      <c r="OH585" s="175"/>
      <c r="OJ585" s="156"/>
      <c r="OK585" s="287"/>
      <c r="OL585" s="488"/>
      <c r="OM585" s="489"/>
      <c r="ON585" s="488"/>
      <c r="OO585" s="300"/>
      <c r="OP585" s="543"/>
      <c r="OQ585" s="533"/>
      <c r="OR585" s="534"/>
      <c r="OS585" s="316"/>
      <c r="OT585" s="316"/>
      <c r="OU585" s="471"/>
      <c r="OV585" s="472"/>
      <c r="OW585" s="471"/>
      <c r="OX585" s="473"/>
      <c r="OY585" s="313"/>
      <c r="OZ585" s="535"/>
      <c r="PA585" s="536"/>
      <c r="PB585" s="537"/>
      <c r="PC585" s="538"/>
      <c r="PD585" s="539"/>
      <c r="PE585" s="540"/>
      <c r="PF585" s="209"/>
      <c r="PG585" s="541"/>
      <c r="PH585" s="541"/>
      <c r="PI585" s="482"/>
      <c r="PJ585" s="173"/>
      <c r="PK585" s="173"/>
      <c r="PL585" s="544"/>
      <c r="PN585" s="148"/>
      <c r="PO585" s="148"/>
      <c r="PP585" s="149"/>
      <c r="PQ585" s="150"/>
      <c r="PS585" s="152"/>
      <c r="PT585" s="542"/>
      <c r="PU585" s="154"/>
      <c r="PV585" s="175"/>
      <c r="PX585" s="156"/>
      <c r="PY585" s="287"/>
      <c r="PZ585" s="488"/>
      <c r="QA585" s="489"/>
      <c r="QB585" s="488"/>
      <c r="QC585" s="300"/>
      <c r="QD585" s="543"/>
      <c r="QE585" s="533"/>
      <c r="QF585" s="534"/>
      <c r="QG585" s="316"/>
      <c r="QH585" s="316"/>
      <c r="QI585" s="471"/>
      <c r="QJ585" s="472"/>
      <c r="QK585" s="471"/>
      <c r="QL585" s="473"/>
      <c r="QM585" s="313"/>
      <c r="QN585" s="535"/>
      <c r="QO585" s="536"/>
      <c r="QP585" s="537"/>
      <c r="QQ585" s="538"/>
      <c r="QR585" s="539"/>
      <c r="QS585" s="540"/>
      <c r="QT585" s="209"/>
      <c r="QU585" s="541"/>
      <c r="QV585" s="541"/>
      <c r="QW585" s="482"/>
      <c r="QX585" s="173"/>
      <c r="QY585" s="173"/>
      <c r="QZ585" s="544"/>
      <c r="RB585" s="148"/>
      <c r="RC585" s="148"/>
      <c r="RD585" s="149"/>
      <c r="RE585" s="150"/>
      <c r="RG585" s="152"/>
      <c r="RH585" s="542"/>
      <c r="RI585" s="154"/>
      <c r="RJ585" s="175"/>
      <c r="RL585" s="156"/>
      <c r="RM585" s="287"/>
      <c r="RN585" s="488"/>
      <c r="RO585" s="489"/>
      <c r="RP585" s="488"/>
      <c r="RQ585" s="300"/>
      <c r="RR585" s="543"/>
      <c r="RS585" s="533"/>
      <c r="RT585" s="534"/>
      <c r="RU585" s="316"/>
      <c r="RV585" s="316"/>
      <c r="RW585" s="471"/>
      <c r="RX585" s="472"/>
      <c r="RY585" s="471"/>
      <c r="RZ585" s="473"/>
      <c r="SA585" s="313"/>
      <c r="SB585" s="535"/>
      <c r="SC585" s="536"/>
      <c r="SD585" s="537"/>
      <c r="SE585" s="538"/>
      <c r="SF585" s="539"/>
      <c r="SG585" s="540"/>
      <c r="SH585" s="209"/>
      <c r="SI585" s="541"/>
      <c r="SJ585" s="541"/>
      <c r="SK585" s="482"/>
      <c r="SL585" s="173"/>
      <c r="SM585" s="173"/>
      <c r="SN585" s="544"/>
      <c r="SP585" s="148"/>
      <c r="SQ585" s="148"/>
      <c r="SR585" s="149"/>
      <c r="SS585" s="150"/>
      <c r="SU585" s="152"/>
      <c r="SV585" s="542"/>
      <c r="SW585" s="154"/>
      <c r="SX585" s="175"/>
      <c r="SZ585" s="156"/>
      <c r="TA585" s="287"/>
      <c r="TB585" s="488"/>
      <c r="TC585" s="489"/>
      <c r="TD585" s="488"/>
      <c r="TE585" s="300"/>
      <c r="TF585" s="543"/>
      <c r="TG585" s="533"/>
      <c r="TH585" s="534"/>
      <c r="TI585" s="316"/>
      <c r="TJ585" s="316"/>
      <c r="TK585" s="471"/>
      <c r="TL585" s="472"/>
      <c r="TM585" s="471"/>
      <c r="TN585" s="473"/>
      <c r="TO585" s="313"/>
      <c r="TP585" s="535"/>
      <c r="TQ585" s="536"/>
      <c r="TR585" s="537"/>
      <c r="TS585" s="538"/>
      <c r="TT585" s="539"/>
      <c r="TU585" s="540"/>
      <c r="TV585" s="209"/>
      <c r="TW585" s="541"/>
      <c r="TX585" s="541"/>
      <c r="TY585" s="482"/>
      <c r="TZ585" s="173"/>
      <c r="UA585" s="173"/>
      <c r="UB585" s="544"/>
      <c r="UD585" s="148"/>
      <c r="UE585" s="148"/>
      <c r="UF585" s="149"/>
      <c r="UG585" s="150"/>
      <c r="UI585" s="152"/>
      <c r="UJ585" s="542"/>
      <c r="UK585" s="154"/>
      <c r="UL585" s="175"/>
      <c r="UN585" s="156"/>
      <c r="UO585" s="287"/>
      <c r="UP585" s="488"/>
      <c r="UQ585" s="489"/>
      <c r="UR585" s="488"/>
      <c r="US585" s="300"/>
      <c r="UT585" s="543"/>
      <c r="UU585" s="533"/>
      <c r="UV585" s="534"/>
      <c r="UW585" s="316"/>
      <c r="UX585" s="316"/>
      <c r="UY585" s="471"/>
      <c r="UZ585" s="472"/>
      <c r="VA585" s="471"/>
      <c r="VB585" s="473"/>
      <c r="VC585" s="313"/>
      <c r="VD585" s="535"/>
      <c r="VE585" s="536"/>
      <c r="VF585" s="537"/>
      <c r="VG585" s="538"/>
      <c r="VH585" s="539"/>
      <c r="VI585" s="540"/>
      <c r="VJ585" s="209"/>
      <c r="VK585" s="541"/>
      <c r="VL585" s="541"/>
      <c r="VM585" s="482"/>
      <c r="VN585" s="173"/>
      <c r="VO585" s="173"/>
      <c r="VP585" s="544"/>
      <c r="VR585" s="148"/>
      <c r="VS585" s="148"/>
      <c r="VT585" s="149"/>
      <c r="VU585" s="150"/>
      <c r="VW585" s="152"/>
      <c r="VX585" s="542"/>
      <c r="VY585" s="154"/>
      <c r="VZ585" s="175"/>
      <c r="WB585" s="156"/>
      <c r="WC585" s="287"/>
      <c r="WD585" s="488"/>
      <c r="WE585" s="489"/>
      <c r="WF585" s="488"/>
      <c r="WG585" s="300"/>
      <c r="WH585" s="543"/>
      <c r="WI585" s="533"/>
      <c r="WJ585" s="534"/>
      <c r="WK585" s="316"/>
      <c r="WL585" s="316"/>
      <c r="WM585" s="471"/>
      <c r="WN585" s="472"/>
      <c r="WO585" s="471"/>
      <c r="WP585" s="473"/>
      <c r="WQ585" s="313"/>
      <c r="WR585" s="535"/>
      <c r="WS585" s="536"/>
      <c r="WT585" s="537"/>
      <c r="WU585" s="538"/>
      <c r="WV585" s="539"/>
      <c r="WW585" s="540"/>
      <c r="WX585" s="209"/>
      <c r="WY585" s="541"/>
      <c r="WZ585" s="541"/>
      <c r="XA585" s="482"/>
      <c r="XB585" s="173"/>
      <c r="XC585" s="173"/>
      <c r="XD585" s="544"/>
      <c r="XF585" s="148"/>
      <c r="XG585" s="148"/>
      <c r="XH585" s="149"/>
      <c r="XI585" s="150"/>
      <c r="XK585" s="152"/>
      <c r="XL585" s="542"/>
      <c r="XM585" s="154"/>
      <c r="XN585" s="175"/>
      <c r="XP585" s="156"/>
      <c r="XQ585" s="287"/>
      <c r="XR585" s="488"/>
      <c r="XS585" s="489"/>
      <c r="XT585" s="488"/>
      <c r="XU585" s="300"/>
      <c r="XV585" s="543"/>
      <c r="XW585" s="533"/>
      <c r="XX585" s="534"/>
      <c r="XY585" s="316"/>
      <c r="XZ585" s="316"/>
      <c r="YA585" s="471"/>
      <c r="YB585" s="472"/>
      <c r="YC585" s="471"/>
      <c r="YD585" s="473"/>
      <c r="YE585" s="313"/>
      <c r="YF585" s="535"/>
      <c r="YG585" s="536"/>
      <c r="YH585" s="537"/>
      <c r="YI585" s="538"/>
      <c r="YJ585" s="539"/>
      <c r="YK585" s="540"/>
      <c r="YL585" s="209"/>
      <c r="YM585" s="541"/>
      <c r="YN585" s="541"/>
      <c r="YO585" s="482"/>
      <c r="YP585" s="173"/>
      <c r="YQ585" s="173"/>
      <c r="YR585" s="544"/>
      <c r="YT585" s="148"/>
      <c r="YU585" s="148"/>
      <c r="YV585" s="149"/>
      <c r="YW585" s="150"/>
      <c r="YY585" s="152"/>
      <c r="YZ585" s="542"/>
      <c r="ZA585" s="154"/>
      <c r="ZB585" s="175"/>
      <c r="ZD585" s="156"/>
      <c r="ZE585" s="287"/>
      <c r="ZF585" s="488"/>
      <c r="ZG585" s="489"/>
      <c r="ZH585" s="488"/>
      <c r="ZI585" s="300"/>
      <c r="ZJ585" s="543"/>
      <c r="ZK585" s="533"/>
      <c r="ZL585" s="534"/>
      <c r="ZM585" s="316"/>
      <c r="ZN585" s="316"/>
      <c r="ZO585" s="471"/>
      <c r="ZP585" s="472"/>
      <c r="ZQ585" s="471"/>
      <c r="ZR585" s="473"/>
      <c r="ZS585" s="313"/>
      <c r="ZT585" s="535"/>
      <c r="ZU585" s="536"/>
      <c r="ZV585" s="537"/>
      <c r="ZW585" s="538"/>
      <c r="ZX585" s="539"/>
      <c r="ZY585" s="540"/>
      <c r="ZZ585" s="209"/>
      <c r="AAA585" s="541"/>
      <c r="AAB585" s="541"/>
      <c r="AAC585" s="482"/>
      <c r="AAD585" s="173"/>
      <c r="AAE585" s="173"/>
      <c r="AAF585" s="544"/>
      <c r="AAH585" s="148"/>
      <c r="AAI585" s="148"/>
      <c r="AAJ585" s="149"/>
      <c r="AAK585" s="150"/>
      <c r="AAM585" s="152"/>
      <c r="AAN585" s="542"/>
      <c r="AAO585" s="154"/>
      <c r="AAP585" s="175"/>
      <c r="AAR585" s="156"/>
      <c r="AAS585" s="287"/>
      <c r="AAT585" s="488"/>
      <c r="AAU585" s="489"/>
      <c r="AAV585" s="488"/>
      <c r="AAW585" s="300"/>
      <c r="AAX585" s="543"/>
      <c r="AAY585" s="533"/>
      <c r="AAZ585" s="534"/>
      <c r="ABA585" s="316"/>
      <c r="ABB585" s="316"/>
      <c r="ABC585" s="471"/>
      <c r="ABD585" s="472"/>
      <c r="ABE585" s="471"/>
      <c r="ABF585" s="473"/>
      <c r="ABG585" s="313"/>
      <c r="ABH585" s="535"/>
      <c r="ABI585" s="536"/>
      <c r="ABJ585" s="537"/>
      <c r="ABK585" s="538"/>
      <c r="ABL585" s="539"/>
      <c r="ABM585" s="540"/>
      <c r="ABN585" s="209"/>
      <c r="ABO585" s="541"/>
      <c r="ABP585" s="541"/>
      <c r="ABQ585" s="482"/>
      <c r="ABR585" s="173"/>
      <c r="ABS585" s="173"/>
      <c r="ABT585" s="544"/>
      <c r="ABV585" s="148"/>
      <c r="ABW585" s="148"/>
      <c r="ABX585" s="149"/>
      <c r="ABY585" s="150"/>
      <c r="ACA585" s="152"/>
      <c r="ACB585" s="542"/>
      <c r="ACC585" s="154"/>
      <c r="ACD585" s="175"/>
      <c r="ACF585" s="156"/>
      <c r="ACG585" s="287"/>
      <c r="ACH585" s="488"/>
      <c r="ACI585" s="489"/>
      <c r="ACJ585" s="488"/>
      <c r="ACK585" s="300"/>
      <c r="ACL585" s="543"/>
      <c r="ACM585" s="533"/>
      <c r="ACN585" s="534"/>
      <c r="ACO585" s="316"/>
      <c r="ACP585" s="316"/>
      <c r="ACQ585" s="471"/>
      <c r="ACR585" s="472"/>
      <c r="ACS585" s="471"/>
      <c r="ACT585" s="473"/>
      <c r="ACU585" s="313"/>
      <c r="ACV585" s="535"/>
      <c r="ACW585" s="536"/>
      <c r="ACX585" s="537"/>
      <c r="ACY585" s="538"/>
      <c r="ACZ585" s="539"/>
      <c r="ADA585" s="540"/>
      <c r="ADB585" s="209"/>
      <c r="ADC585" s="541"/>
      <c r="ADD585" s="541"/>
      <c r="ADE585" s="482"/>
      <c r="ADF585" s="173"/>
      <c r="ADG585" s="173"/>
      <c r="ADH585" s="544"/>
      <c r="ADJ585" s="148"/>
      <c r="ADK585" s="148"/>
      <c r="ADL585" s="149"/>
      <c r="ADM585" s="150"/>
      <c r="ADO585" s="152"/>
      <c r="ADP585" s="542"/>
      <c r="ADQ585" s="154"/>
      <c r="ADR585" s="175"/>
      <c r="ADT585" s="156"/>
      <c r="ADU585" s="287"/>
      <c r="ADV585" s="488"/>
      <c r="ADW585" s="489"/>
      <c r="ADX585" s="488"/>
      <c r="ADY585" s="300"/>
      <c r="ADZ585" s="543"/>
      <c r="AEA585" s="533"/>
      <c r="AEB585" s="534"/>
      <c r="AEC585" s="316"/>
      <c r="AED585" s="316"/>
      <c r="AEE585" s="471"/>
      <c r="AEF585" s="472"/>
      <c r="AEG585" s="471"/>
      <c r="AEH585" s="473"/>
      <c r="AEI585" s="313"/>
      <c r="AEJ585" s="535"/>
      <c r="AEK585" s="536"/>
      <c r="AEL585" s="537"/>
      <c r="AEM585" s="538"/>
      <c r="AEN585" s="539"/>
      <c r="AEO585" s="540"/>
      <c r="AEP585" s="209"/>
      <c r="AEQ585" s="541"/>
      <c r="AER585" s="541"/>
      <c r="AES585" s="482"/>
      <c r="AET585" s="173"/>
      <c r="AEU585" s="173"/>
      <c r="AEV585" s="544"/>
      <c r="AEX585" s="148"/>
      <c r="AEY585" s="148"/>
      <c r="AEZ585" s="149"/>
      <c r="AFA585" s="150"/>
      <c r="AFC585" s="152"/>
      <c r="AFD585" s="542"/>
      <c r="AFE585" s="154"/>
      <c r="AFF585" s="175"/>
      <c r="AFH585" s="156"/>
      <c r="AFI585" s="287"/>
      <c r="AFJ585" s="488"/>
      <c r="AFK585" s="489"/>
      <c r="AFL585" s="488"/>
      <c r="AFM585" s="300"/>
      <c r="AFN585" s="543"/>
      <c r="AFO585" s="533"/>
      <c r="AFP585" s="534"/>
      <c r="AFQ585" s="316"/>
      <c r="AFR585" s="316"/>
      <c r="AFS585" s="471"/>
      <c r="AFT585" s="472"/>
      <c r="AFU585" s="471"/>
      <c r="AFV585" s="473"/>
      <c r="AFW585" s="313"/>
      <c r="AFX585" s="535"/>
      <c r="AFY585" s="536"/>
      <c r="AFZ585" s="537"/>
      <c r="AGA585" s="538"/>
      <c r="AGB585" s="539"/>
      <c r="AGC585" s="540"/>
      <c r="AGD585" s="209"/>
      <c r="AGE585" s="541"/>
      <c r="AGF585" s="541"/>
      <c r="AGG585" s="482"/>
      <c r="AGH585" s="173"/>
      <c r="AGI585" s="173"/>
      <c r="AGJ585" s="544"/>
      <c r="AGL585" s="148"/>
      <c r="AGM585" s="148"/>
      <c r="AGN585" s="149"/>
      <c r="AGO585" s="150"/>
      <c r="AGQ585" s="152"/>
      <c r="AGR585" s="542"/>
      <c r="AGS585" s="154"/>
      <c r="AGT585" s="175"/>
      <c r="AGV585" s="156"/>
      <c r="AGW585" s="287"/>
      <c r="AGX585" s="488"/>
      <c r="AGY585" s="489"/>
      <c r="AGZ585" s="488"/>
      <c r="AHA585" s="300"/>
      <c r="AHB585" s="543"/>
      <c r="AHC585" s="533"/>
      <c r="AHD585" s="534"/>
      <c r="AHE585" s="316"/>
      <c r="AHF585" s="316"/>
      <c r="AHG585" s="471"/>
      <c r="AHH585" s="472"/>
      <c r="AHI585" s="471"/>
      <c r="AHJ585" s="473"/>
      <c r="AHK585" s="313"/>
      <c r="AHL585" s="535"/>
      <c r="AHM585" s="536"/>
      <c r="AHN585" s="537"/>
      <c r="AHO585" s="538"/>
      <c r="AHP585" s="539"/>
      <c r="AHQ585" s="540"/>
      <c r="AHR585" s="209"/>
      <c r="AHS585" s="541"/>
      <c r="AHT585" s="541"/>
      <c r="AHU585" s="482"/>
      <c r="AHV585" s="173"/>
      <c r="AHW585" s="173"/>
      <c r="AHX585" s="544"/>
      <c r="AHZ585" s="148"/>
      <c r="AIA585" s="148"/>
      <c r="AIB585" s="149"/>
      <c r="AIC585" s="150"/>
      <c r="AIE585" s="152"/>
      <c r="AIF585" s="542"/>
      <c r="AIG585" s="154"/>
      <c r="AIH585" s="175"/>
      <c r="AIJ585" s="156"/>
      <c r="AIK585" s="287"/>
      <c r="AIL585" s="488"/>
      <c r="AIM585" s="489"/>
      <c r="AIN585" s="488"/>
      <c r="AIO585" s="300"/>
      <c r="AIP585" s="543"/>
      <c r="AIQ585" s="533"/>
      <c r="AIR585" s="534"/>
      <c r="AIS585" s="316"/>
      <c r="AIT585" s="316"/>
      <c r="AIU585" s="471"/>
      <c r="AIV585" s="472"/>
      <c r="AIW585" s="471"/>
      <c r="AIX585" s="473"/>
      <c r="AIY585" s="313"/>
      <c r="AIZ585" s="535"/>
      <c r="AJA585" s="536"/>
      <c r="AJB585" s="537"/>
      <c r="AJC585" s="538"/>
      <c r="AJD585" s="539"/>
      <c r="AJE585" s="540"/>
      <c r="AJF585" s="209"/>
      <c r="AJG585" s="541"/>
      <c r="AJH585" s="541"/>
      <c r="AJI585" s="482"/>
      <c r="AJJ585" s="173"/>
      <c r="AJK585" s="173"/>
      <c r="AJL585" s="544"/>
      <c r="AJN585" s="148"/>
      <c r="AJO585" s="148"/>
      <c r="AJP585" s="149"/>
      <c r="AJQ585" s="150"/>
      <c r="AJS585" s="152"/>
      <c r="AJT585" s="542"/>
      <c r="AJU585" s="154"/>
      <c r="AJV585" s="175"/>
      <c r="AJX585" s="156"/>
      <c r="AJY585" s="287"/>
      <c r="AJZ585" s="488"/>
      <c r="AKA585" s="489"/>
      <c r="AKB585" s="488"/>
      <c r="AKC585" s="300"/>
      <c r="AKD585" s="543"/>
      <c r="AKE585" s="533"/>
      <c r="AKF585" s="534"/>
      <c r="AKG585" s="316"/>
      <c r="AKH585" s="316"/>
      <c r="AKI585" s="471"/>
      <c r="AKJ585" s="472"/>
      <c r="AKK585" s="471"/>
      <c r="AKL585" s="473"/>
      <c r="AKM585" s="313"/>
      <c r="AKN585" s="535"/>
      <c r="AKO585" s="536"/>
      <c r="AKP585" s="537"/>
      <c r="AKQ585" s="538"/>
      <c r="AKR585" s="539"/>
      <c r="AKS585" s="540"/>
      <c r="AKT585" s="209"/>
      <c r="AKU585" s="541"/>
      <c r="AKV585" s="541"/>
      <c r="AKW585" s="482"/>
      <c r="AKX585" s="173"/>
      <c r="AKY585" s="173"/>
      <c r="AKZ585" s="544"/>
      <c r="ALB585" s="148"/>
      <c r="ALC585" s="148"/>
      <c r="ALD585" s="149"/>
      <c r="ALE585" s="150"/>
      <c r="ALG585" s="152"/>
      <c r="ALH585" s="542"/>
      <c r="ALI585" s="154"/>
      <c r="ALJ585" s="175"/>
      <c r="ALL585" s="156"/>
      <c r="ALM585" s="287"/>
      <c r="ALN585" s="488"/>
      <c r="ALO585" s="489"/>
      <c r="ALP585" s="488"/>
      <c r="ALQ585" s="300"/>
      <c r="ALR585" s="543"/>
      <c r="ALS585" s="533"/>
      <c r="ALT585" s="534"/>
      <c r="ALU585" s="316"/>
      <c r="ALV585" s="316"/>
      <c r="ALW585" s="471"/>
      <c r="ALX585" s="472"/>
      <c r="ALY585" s="471"/>
      <c r="ALZ585" s="473"/>
      <c r="AMA585" s="313"/>
      <c r="AMB585" s="535"/>
      <c r="AMC585" s="536"/>
      <c r="AMD585" s="537"/>
      <c r="AME585" s="538"/>
      <c r="AMF585" s="539"/>
      <c r="AMG585" s="540"/>
      <c r="AMH585" s="209"/>
      <c r="AMI585" s="541"/>
      <c r="AMJ585" s="541"/>
      <c r="AMK585" s="482"/>
      <c r="AML585" s="173"/>
      <c r="AMM585" s="173"/>
      <c r="AMN585" s="544"/>
      <c r="AMP585" s="148"/>
      <c r="AMQ585" s="148"/>
      <c r="AMR585" s="149"/>
      <c r="AMS585" s="150"/>
      <c r="AMU585" s="152"/>
      <c r="AMV585" s="542"/>
      <c r="AMW585" s="154"/>
      <c r="AMX585" s="175"/>
      <c r="AMZ585" s="156"/>
      <c r="ANA585" s="287"/>
      <c r="ANB585" s="488"/>
      <c r="ANC585" s="489"/>
      <c r="AND585" s="488"/>
      <c r="ANE585" s="300"/>
      <c r="ANF585" s="543"/>
      <c r="ANG585" s="533"/>
      <c r="ANH585" s="534"/>
      <c r="ANI585" s="316"/>
      <c r="ANJ585" s="316"/>
      <c r="ANK585" s="471"/>
      <c r="ANL585" s="472"/>
      <c r="ANM585" s="471"/>
      <c r="ANN585" s="473"/>
      <c r="ANO585" s="313"/>
      <c r="ANP585" s="535"/>
      <c r="ANQ585" s="536"/>
      <c r="ANR585" s="537"/>
      <c r="ANS585" s="538"/>
      <c r="ANT585" s="539"/>
      <c r="ANU585" s="540"/>
      <c r="ANV585" s="209"/>
      <c r="ANW585" s="541"/>
      <c r="ANX585" s="541"/>
      <c r="ANY585" s="482"/>
      <c r="ANZ585" s="173"/>
      <c r="AOA585" s="173"/>
      <c r="AOB585" s="544"/>
      <c r="AOD585" s="148"/>
      <c r="AOE585" s="148"/>
      <c r="AOF585" s="149"/>
      <c r="AOG585" s="150"/>
      <c r="AOI585" s="152"/>
      <c r="AOJ585" s="542"/>
      <c r="AOK585" s="154"/>
      <c r="AOL585" s="175"/>
      <c r="AON585" s="156"/>
      <c r="AOO585" s="287"/>
      <c r="AOP585" s="488"/>
      <c r="AOQ585" s="489"/>
      <c r="AOR585" s="488"/>
      <c r="AOS585" s="300"/>
      <c r="AOT585" s="543"/>
      <c r="AOU585" s="533"/>
      <c r="AOV585" s="534"/>
      <c r="AOW585" s="316"/>
      <c r="AOX585" s="316"/>
      <c r="AOY585" s="471"/>
      <c r="AOZ585" s="472"/>
      <c r="APA585" s="471"/>
      <c r="APB585" s="473"/>
      <c r="APC585" s="313"/>
      <c r="APD585" s="535"/>
      <c r="APE585" s="536"/>
      <c r="APF585" s="537"/>
      <c r="APG585" s="538"/>
      <c r="APH585" s="539"/>
      <c r="API585" s="540"/>
      <c r="APJ585" s="209"/>
      <c r="APK585" s="541"/>
      <c r="APL585" s="541"/>
      <c r="APM585" s="482"/>
      <c r="APN585" s="173"/>
      <c r="APO585" s="173"/>
      <c r="APP585" s="544"/>
      <c r="APR585" s="148"/>
      <c r="APS585" s="148"/>
      <c r="APT585" s="149"/>
      <c r="APU585" s="150"/>
      <c r="APW585" s="152"/>
      <c r="APX585" s="542"/>
      <c r="APY585" s="154"/>
      <c r="APZ585" s="175"/>
      <c r="AQB585" s="156"/>
      <c r="AQC585" s="287"/>
      <c r="AQD585" s="488"/>
      <c r="AQE585" s="489"/>
      <c r="AQF585" s="488"/>
      <c r="AQG585" s="300"/>
      <c r="AQH585" s="543"/>
      <c r="AQI585" s="533"/>
      <c r="AQJ585" s="534"/>
      <c r="AQK585" s="316"/>
      <c r="AQL585" s="316"/>
      <c r="AQM585" s="471"/>
      <c r="AQN585" s="472"/>
      <c r="AQO585" s="471"/>
      <c r="AQP585" s="473"/>
      <c r="AQQ585" s="313"/>
      <c r="AQR585" s="535"/>
      <c r="AQS585" s="536"/>
      <c r="AQT585" s="537"/>
      <c r="AQU585" s="538"/>
      <c r="AQV585" s="539"/>
      <c r="AQW585" s="540"/>
      <c r="AQX585" s="209"/>
      <c r="AQY585" s="541"/>
      <c r="AQZ585" s="541"/>
      <c r="ARA585" s="482"/>
      <c r="ARB585" s="173"/>
      <c r="ARC585" s="173"/>
      <c r="ARD585" s="544"/>
      <c r="ARF585" s="148"/>
      <c r="ARG585" s="148"/>
      <c r="ARH585" s="149"/>
      <c r="ARI585" s="150"/>
      <c r="ARK585" s="152"/>
      <c r="ARL585" s="542"/>
      <c r="ARM585" s="154"/>
      <c r="ARN585" s="175"/>
      <c r="ARP585" s="156"/>
      <c r="ARQ585" s="287"/>
      <c r="ARR585" s="488"/>
      <c r="ARS585" s="489"/>
      <c r="ART585" s="488"/>
      <c r="ARU585" s="300"/>
      <c r="ARV585" s="543"/>
      <c r="ARW585" s="533"/>
      <c r="ARX585" s="534"/>
      <c r="ARY585" s="316"/>
      <c r="ARZ585" s="316"/>
      <c r="ASA585" s="471"/>
      <c r="ASB585" s="472"/>
      <c r="ASC585" s="471"/>
      <c r="ASD585" s="473"/>
      <c r="ASE585" s="313"/>
      <c r="ASF585" s="535"/>
      <c r="ASG585" s="536"/>
      <c r="ASH585" s="537"/>
      <c r="ASI585" s="538"/>
      <c r="ASJ585" s="539"/>
      <c r="ASK585" s="540"/>
      <c r="ASL585" s="209"/>
      <c r="ASM585" s="541"/>
      <c r="ASN585" s="541"/>
      <c r="ASO585" s="482"/>
      <c r="ASP585" s="173"/>
      <c r="ASQ585" s="173"/>
      <c r="ASR585" s="544"/>
      <c r="AST585" s="148"/>
      <c r="ASU585" s="148"/>
      <c r="ASV585" s="149"/>
      <c r="ASW585" s="150"/>
      <c r="ASY585" s="152"/>
      <c r="ASZ585" s="542"/>
      <c r="ATA585" s="154"/>
      <c r="ATB585" s="175"/>
      <c r="ATD585" s="156"/>
      <c r="ATE585" s="287"/>
      <c r="ATF585" s="488"/>
      <c r="ATG585" s="489"/>
      <c r="ATH585" s="488"/>
      <c r="ATI585" s="300"/>
      <c r="ATJ585" s="543"/>
      <c r="ATK585" s="533"/>
      <c r="ATL585" s="534"/>
      <c r="ATM585" s="316"/>
      <c r="ATN585" s="316"/>
      <c r="ATO585" s="471"/>
      <c r="ATP585" s="472"/>
      <c r="ATQ585" s="471"/>
      <c r="ATR585" s="473"/>
      <c r="ATS585" s="313"/>
      <c r="ATT585" s="535"/>
      <c r="ATU585" s="536"/>
      <c r="ATV585" s="537"/>
      <c r="ATW585" s="538"/>
      <c r="ATX585" s="539"/>
      <c r="ATY585" s="540"/>
      <c r="ATZ585" s="209"/>
      <c r="AUA585" s="541"/>
      <c r="AUB585" s="541"/>
      <c r="AUC585" s="482"/>
      <c r="AUD585" s="173"/>
      <c r="AUE585" s="173"/>
      <c r="AUF585" s="544"/>
      <c r="AUH585" s="148"/>
      <c r="AUI585" s="148"/>
      <c r="AUJ585" s="149"/>
      <c r="AUK585" s="150"/>
      <c r="AUM585" s="152"/>
      <c r="AUN585" s="542"/>
      <c r="AUO585" s="154"/>
      <c r="AUP585" s="175"/>
      <c r="AUR585" s="156"/>
      <c r="AUS585" s="287"/>
      <c r="AUT585" s="488"/>
      <c r="AUU585" s="489"/>
      <c r="AUV585" s="488"/>
      <c r="AUW585" s="300"/>
      <c r="AUX585" s="543"/>
      <c r="AUY585" s="533"/>
      <c r="AUZ585" s="534"/>
      <c r="AVA585" s="316"/>
      <c r="AVB585" s="316"/>
      <c r="AVC585" s="471"/>
      <c r="AVD585" s="472"/>
      <c r="AVE585" s="471"/>
      <c r="AVF585" s="473"/>
      <c r="AVG585" s="313"/>
      <c r="AVH585" s="535"/>
      <c r="AVI585" s="536"/>
      <c r="AVJ585" s="537"/>
      <c r="AVK585" s="538"/>
      <c r="AVL585" s="539"/>
      <c r="AVM585" s="540"/>
      <c r="AVN585" s="209"/>
      <c r="AVO585" s="541"/>
      <c r="AVP585" s="541"/>
      <c r="AVQ585" s="482"/>
      <c r="AVR585" s="173"/>
      <c r="AVS585" s="173"/>
      <c r="AVT585" s="544"/>
      <c r="AVV585" s="148"/>
      <c r="AVW585" s="148"/>
      <c r="AVX585" s="149"/>
      <c r="AVY585" s="150"/>
      <c r="AWA585" s="152"/>
      <c r="AWB585" s="542"/>
      <c r="AWC585" s="154"/>
      <c r="AWD585" s="175"/>
      <c r="AWF585" s="156"/>
      <c r="AWG585" s="287"/>
      <c r="AWH585" s="488"/>
      <c r="AWI585" s="489"/>
      <c r="AWJ585" s="488"/>
      <c r="AWK585" s="300"/>
      <c r="AWL585" s="543"/>
      <c r="AWM585" s="533"/>
      <c r="AWN585" s="534"/>
      <c r="AWO585" s="316"/>
      <c r="AWP585" s="316"/>
      <c r="AWQ585" s="471"/>
      <c r="AWR585" s="472"/>
      <c r="AWS585" s="471"/>
      <c r="AWT585" s="473"/>
      <c r="AWU585" s="313"/>
      <c r="AWV585" s="535"/>
      <c r="AWW585" s="536"/>
      <c r="AWX585" s="537"/>
      <c r="AWY585" s="538"/>
      <c r="AWZ585" s="539"/>
      <c r="AXA585" s="540"/>
      <c r="AXB585" s="209"/>
      <c r="AXC585" s="541"/>
      <c r="AXD585" s="541"/>
      <c r="AXE585" s="482"/>
      <c r="AXF585" s="173"/>
      <c r="AXG585" s="173"/>
      <c r="AXH585" s="544"/>
      <c r="AXJ585" s="148"/>
      <c r="AXK585" s="148"/>
      <c r="AXL585" s="149"/>
      <c r="AXM585" s="150"/>
      <c r="AXO585" s="152"/>
      <c r="AXP585" s="542"/>
      <c r="AXQ585" s="154"/>
      <c r="AXR585" s="175"/>
      <c r="AXT585" s="156"/>
      <c r="AXU585" s="287"/>
      <c r="AXV585" s="488"/>
      <c r="AXW585" s="489"/>
      <c r="AXX585" s="488"/>
      <c r="AXY585" s="300"/>
      <c r="AXZ585" s="543"/>
      <c r="AYA585" s="533"/>
      <c r="AYB585" s="534"/>
      <c r="AYC585" s="316"/>
      <c r="AYD585" s="316"/>
      <c r="AYE585" s="471"/>
      <c r="AYF585" s="472"/>
      <c r="AYG585" s="471"/>
      <c r="AYH585" s="473"/>
      <c r="AYI585" s="313"/>
      <c r="AYJ585" s="535"/>
      <c r="AYK585" s="536"/>
      <c r="AYL585" s="537"/>
      <c r="AYM585" s="538"/>
      <c r="AYN585" s="539"/>
      <c r="AYO585" s="540"/>
      <c r="AYP585" s="209"/>
      <c r="AYQ585" s="541"/>
      <c r="AYR585" s="541"/>
      <c r="AYS585" s="482"/>
      <c r="AYT585" s="173"/>
      <c r="AYU585" s="173"/>
      <c r="AYV585" s="544"/>
      <c r="AYX585" s="148"/>
      <c r="AYY585" s="148"/>
      <c r="AYZ585" s="149"/>
      <c r="AZA585" s="150"/>
      <c r="AZC585" s="152"/>
      <c r="AZD585" s="542"/>
      <c r="AZE585" s="154"/>
      <c r="AZF585" s="175"/>
      <c r="AZH585" s="156"/>
      <c r="AZI585" s="287"/>
      <c r="AZJ585" s="488"/>
      <c r="AZK585" s="489"/>
      <c r="AZL585" s="488"/>
      <c r="AZM585" s="300"/>
      <c r="AZN585" s="543"/>
      <c r="AZO585" s="533"/>
      <c r="AZP585" s="534"/>
      <c r="AZQ585" s="316"/>
      <c r="AZR585" s="316"/>
      <c r="AZS585" s="471"/>
      <c r="AZT585" s="472"/>
      <c r="AZU585" s="471"/>
      <c r="AZV585" s="473"/>
      <c r="AZW585" s="313"/>
      <c r="AZX585" s="535"/>
      <c r="AZY585" s="536"/>
      <c r="AZZ585" s="537"/>
      <c r="BAA585" s="538"/>
      <c r="BAB585" s="539"/>
      <c r="BAC585" s="540"/>
      <c r="BAD585" s="209"/>
      <c r="BAE585" s="541"/>
      <c r="BAF585" s="541"/>
      <c r="BAG585" s="482"/>
      <c r="BAH585" s="173"/>
      <c r="BAI585" s="173"/>
      <c r="BAJ585" s="544"/>
      <c r="BAL585" s="148"/>
      <c r="BAM585" s="148"/>
      <c r="BAN585" s="149"/>
      <c r="BAO585" s="150"/>
      <c r="BAQ585" s="152"/>
      <c r="BAR585" s="542"/>
      <c r="BAS585" s="154"/>
      <c r="BAT585" s="175"/>
      <c r="BAV585" s="156"/>
      <c r="BAW585" s="287"/>
      <c r="BAX585" s="488"/>
      <c r="BAY585" s="489"/>
      <c r="BAZ585" s="488"/>
      <c r="BBA585" s="300"/>
      <c r="BBB585" s="543"/>
      <c r="BBC585" s="533"/>
      <c r="BBD585" s="534"/>
      <c r="BBE585" s="316"/>
      <c r="BBF585" s="316"/>
      <c r="BBG585" s="471"/>
      <c r="BBH585" s="472"/>
      <c r="BBI585" s="471"/>
      <c r="BBJ585" s="473"/>
      <c r="BBK585" s="313"/>
      <c r="BBL585" s="535"/>
      <c r="BBM585" s="536"/>
      <c r="BBN585" s="537"/>
      <c r="BBO585" s="538"/>
      <c r="BBP585" s="539"/>
      <c r="BBQ585" s="540"/>
      <c r="BBR585" s="209"/>
      <c r="BBS585" s="541"/>
      <c r="BBT585" s="541"/>
      <c r="BBU585" s="482"/>
      <c r="BBV585" s="173"/>
      <c r="BBW585" s="173"/>
      <c r="BBX585" s="544"/>
      <c r="BBZ585" s="148"/>
      <c r="BCA585" s="148"/>
      <c r="BCB585" s="149"/>
      <c r="BCC585" s="150"/>
      <c r="BCE585" s="152"/>
      <c r="BCF585" s="542"/>
      <c r="BCG585" s="154"/>
      <c r="BCH585" s="175"/>
      <c r="BCJ585" s="156"/>
      <c r="BCK585" s="287"/>
      <c r="BCL585" s="488"/>
      <c r="BCM585" s="489"/>
      <c r="BCN585" s="488"/>
      <c r="BCO585" s="300"/>
      <c r="BCP585" s="543"/>
      <c r="BCQ585" s="533"/>
      <c r="BCR585" s="534"/>
      <c r="BCS585" s="316"/>
      <c r="BCT585" s="316"/>
      <c r="BCU585" s="471"/>
      <c r="BCV585" s="472"/>
      <c r="BCW585" s="471"/>
      <c r="BCX585" s="473"/>
      <c r="BCY585" s="313"/>
      <c r="BCZ585" s="535"/>
      <c r="BDA585" s="536"/>
      <c r="BDB585" s="537"/>
      <c r="BDC585" s="538"/>
      <c r="BDD585" s="539"/>
      <c r="BDE585" s="540"/>
      <c r="BDF585" s="209"/>
      <c r="BDG585" s="541"/>
      <c r="BDH585" s="541"/>
      <c r="BDI585" s="482"/>
      <c r="BDJ585" s="173"/>
      <c r="BDK585" s="173"/>
      <c r="BDL585" s="544"/>
      <c r="BDN585" s="148"/>
      <c r="BDO585" s="148"/>
      <c r="BDP585" s="149"/>
      <c r="BDQ585" s="150"/>
      <c r="BDS585" s="152"/>
      <c r="BDT585" s="542"/>
      <c r="BDU585" s="154"/>
      <c r="BDV585" s="175"/>
      <c r="BDX585" s="156"/>
      <c r="BDY585" s="287"/>
      <c r="BDZ585" s="488"/>
      <c r="BEA585" s="489"/>
      <c r="BEB585" s="488"/>
      <c r="BEC585" s="300"/>
      <c r="BED585" s="543"/>
      <c r="BEE585" s="533"/>
      <c r="BEF585" s="534"/>
      <c r="BEG585" s="316"/>
      <c r="BEH585" s="316"/>
      <c r="BEI585" s="471"/>
      <c r="BEJ585" s="472"/>
      <c r="BEK585" s="471"/>
      <c r="BEL585" s="473"/>
      <c r="BEM585" s="313"/>
      <c r="BEN585" s="535"/>
      <c r="BEO585" s="536"/>
      <c r="BEP585" s="537"/>
      <c r="BEQ585" s="538"/>
      <c r="BER585" s="539"/>
      <c r="BES585" s="540"/>
      <c r="BET585" s="209"/>
      <c r="BEU585" s="541"/>
      <c r="BEV585" s="541"/>
      <c r="BEW585" s="482"/>
      <c r="BEX585" s="173"/>
      <c r="BEY585" s="173"/>
      <c r="BEZ585" s="544"/>
      <c r="BFB585" s="148"/>
      <c r="BFC585" s="148"/>
      <c r="BFD585" s="149"/>
      <c r="BFE585" s="150"/>
      <c r="BFG585" s="152"/>
      <c r="BFH585" s="542"/>
      <c r="BFI585" s="154"/>
      <c r="BFJ585" s="175"/>
      <c r="BFL585" s="156"/>
      <c r="BFM585" s="287"/>
      <c r="BFN585" s="488"/>
      <c r="BFO585" s="489"/>
      <c r="BFP585" s="488"/>
      <c r="BFQ585" s="300"/>
      <c r="BFR585" s="543"/>
      <c r="BFS585" s="533"/>
      <c r="BFT585" s="534"/>
      <c r="BFU585" s="316"/>
      <c r="BFV585" s="316"/>
      <c r="BFW585" s="471"/>
      <c r="BFX585" s="472"/>
      <c r="BFY585" s="471"/>
      <c r="BFZ585" s="473"/>
      <c r="BGA585" s="313"/>
      <c r="BGB585" s="535"/>
      <c r="BGC585" s="536"/>
      <c r="BGD585" s="537"/>
      <c r="BGE585" s="538"/>
      <c r="BGF585" s="539"/>
      <c r="BGG585" s="540"/>
      <c r="BGH585" s="209"/>
      <c r="BGI585" s="541"/>
      <c r="BGJ585" s="541"/>
      <c r="BGK585" s="482"/>
      <c r="BGL585" s="173"/>
      <c r="BGM585" s="173"/>
      <c r="BGN585" s="544"/>
      <c r="BGP585" s="148"/>
      <c r="BGQ585" s="148"/>
      <c r="BGR585" s="149"/>
      <c r="BGS585" s="150"/>
      <c r="BGU585" s="152"/>
      <c r="BGV585" s="542"/>
      <c r="BGW585" s="154"/>
      <c r="BGX585" s="175"/>
      <c r="BGZ585" s="156"/>
      <c r="BHA585" s="287"/>
      <c r="BHB585" s="488"/>
      <c r="BHC585" s="489"/>
      <c r="BHD585" s="488"/>
      <c r="BHE585" s="300"/>
      <c r="BHF585" s="543"/>
      <c r="BHG585" s="533"/>
      <c r="BHH585" s="534"/>
      <c r="BHI585" s="316"/>
      <c r="BHJ585" s="316"/>
      <c r="BHK585" s="471"/>
      <c r="BHL585" s="472"/>
      <c r="BHM585" s="471"/>
      <c r="BHN585" s="473"/>
      <c r="BHO585" s="313"/>
      <c r="BHP585" s="535"/>
      <c r="BHQ585" s="536"/>
      <c r="BHR585" s="537"/>
      <c r="BHS585" s="538"/>
      <c r="BHT585" s="539"/>
      <c r="BHU585" s="540"/>
      <c r="BHV585" s="209"/>
      <c r="BHW585" s="541"/>
      <c r="BHX585" s="541"/>
      <c r="BHY585" s="482"/>
      <c r="BHZ585" s="173"/>
      <c r="BIA585" s="173"/>
      <c r="BIB585" s="544"/>
      <c r="BID585" s="148"/>
      <c r="BIE585" s="148"/>
      <c r="BIF585" s="149"/>
      <c r="BIG585" s="150"/>
      <c r="BII585" s="152"/>
      <c r="BIJ585" s="542"/>
      <c r="BIK585" s="154"/>
      <c r="BIL585" s="175"/>
      <c r="BIN585" s="156"/>
      <c r="BIO585" s="287"/>
      <c r="BIP585" s="488"/>
      <c r="BIQ585" s="489"/>
      <c r="BIR585" s="488"/>
      <c r="BIS585" s="300"/>
      <c r="BIT585" s="543"/>
      <c r="BIU585" s="533"/>
      <c r="BIV585" s="534"/>
      <c r="BIW585" s="316"/>
      <c r="BIX585" s="316"/>
      <c r="BIY585" s="471"/>
      <c r="BIZ585" s="472"/>
      <c r="BJA585" s="471"/>
      <c r="BJB585" s="473"/>
      <c r="BJC585" s="313"/>
      <c r="BJD585" s="535"/>
      <c r="BJE585" s="536"/>
      <c r="BJF585" s="537"/>
      <c r="BJG585" s="538"/>
      <c r="BJH585" s="539"/>
      <c r="BJI585" s="540"/>
      <c r="BJJ585" s="209"/>
      <c r="BJK585" s="541"/>
      <c r="BJL585" s="541"/>
      <c r="BJM585" s="482"/>
      <c r="BJN585" s="173"/>
      <c r="BJO585" s="173"/>
      <c r="BJP585" s="544"/>
      <c r="BJR585" s="148"/>
      <c r="BJS585" s="148"/>
      <c r="BJT585" s="149"/>
      <c r="BJU585" s="150"/>
      <c r="BJW585" s="152"/>
      <c r="BJX585" s="542"/>
      <c r="BJY585" s="154"/>
      <c r="BJZ585" s="175"/>
      <c r="BKB585" s="156"/>
      <c r="BKC585" s="287"/>
      <c r="BKD585" s="488"/>
      <c r="BKE585" s="489"/>
      <c r="BKF585" s="488"/>
      <c r="BKG585" s="300"/>
      <c r="BKH585" s="543"/>
      <c r="BKI585" s="533"/>
      <c r="BKJ585" s="534"/>
      <c r="BKK585" s="316"/>
      <c r="BKL585" s="316"/>
      <c r="BKM585" s="471"/>
      <c r="BKN585" s="472"/>
      <c r="BKO585" s="471"/>
      <c r="BKP585" s="473"/>
      <c r="BKQ585" s="313"/>
      <c r="BKR585" s="535"/>
      <c r="BKS585" s="536"/>
      <c r="BKT585" s="537"/>
      <c r="BKU585" s="538"/>
      <c r="BKV585" s="539"/>
      <c r="BKW585" s="540"/>
      <c r="BKX585" s="209"/>
      <c r="BKY585" s="541"/>
      <c r="BKZ585" s="541"/>
      <c r="BLA585" s="482"/>
      <c r="BLB585" s="173"/>
      <c r="BLC585" s="173"/>
      <c r="BLD585" s="544"/>
      <c r="BLF585" s="148"/>
      <c r="BLG585" s="148"/>
      <c r="BLH585" s="149"/>
      <c r="BLI585" s="150"/>
      <c r="BLK585" s="152"/>
      <c r="BLL585" s="542"/>
      <c r="BLM585" s="154"/>
      <c r="BLN585" s="175"/>
      <c r="BLP585" s="156"/>
      <c r="BLQ585" s="287"/>
      <c r="BLR585" s="488"/>
      <c r="BLS585" s="489"/>
      <c r="BLT585" s="488"/>
      <c r="BLU585" s="300"/>
      <c r="BLV585" s="543"/>
      <c r="BLW585" s="533"/>
      <c r="BLX585" s="534"/>
      <c r="BLY585" s="316"/>
      <c r="BLZ585" s="316"/>
      <c r="BMA585" s="471"/>
      <c r="BMB585" s="472"/>
      <c r="BMC585" s="471"/>
      <c r="BMD585" s="473"/>
      <c r="BME585" s="313"/>
      <c r="BMF585" s="535"/>
      <c r="BMG585" s="536"/>
      <c r="BMH585" s="537"/>
      <c r="BMI585" s="538"/>
      <c r="BMJ585" s="539"/>
      <c r="BMK585" s="540"/>
      <c r="BML585" s="209"/>
      <c r="BMM585" s="541"/>
      <c r="BMN585" s="541"/>
      <c r="BMO585" s="482"/>
      <c r="BMP585" s="173"/>
      <c r="BMQ585" s="173"/>
      <c r="BMR585" s="544"/>
      <c r="BMT585" s="148"/>
      <c r="BMU585" s="148"/>
      <c r="BMV585" s="149"/>
      <c r="BMW585" s="150"/>
      <c r="BMY585" s="152"/>
      <c r="BMZ585" s="542"/>
      <c r="BNA585" s="154"/>
      <c r="BNB585" s="175"/>
      <c r="BND585" s="156"/>
      <c r="BNE585" s="287"/>
      <c r="BNF585" s="488"/>
      <c r="BNG585" s="489"/>
      <c r="BNH585" s="488"/>
      <c r="BNI585" s="300"/>
      <c r="BNJ585" s="543"/>
      <c r="BNK585" s="533"/>
      <c r="BNL585" s="534"/>
      <c r="BNM585" s="316"/>
      <c r="BNN585" s="316"/>
      <c r="BNO585" s="471"/>
      <c r="BNP585" s="472"/>
      <c r="BNQ585" s="471"/>
      <c r="BNR585" s="473"/>
      <c r="BNS585" s="313"/>
      <c r="BNT585" s="535"/>
      <c r="BNU585" s="536"/>
      <c r="BNV585" s="537"/>
      <c r="BNW585" s="538"/>
      <c r="BNX585" s="539"/>
      <c r="BNY585" s="540"/>
      <c r="BNZ585" s="209"/>
      <c r="BOA585" s="541"/>
      <c r="BOB585" s="541"/>
      <c r="BOC585" s="482"/>
      <c r="BOD585" s="173"/>
      <c r="BOE585" s="173"/>
      <c r="BOF585" s="544"/>
      <c r="BOH585" s="148"/>
      <c r="BOI585" s="148"/>
      <c r="BOJ585" s="149"/>
      <c r="BOK585" s="150"/>
      <c r="BOM585" s="152"/>
      <c r="BON585" s="542"/>
      <c r="BOO585" s="154"/>
      <c r="BOP585" s="175"/>
      <c r="BOR585" s="156"/>
      <c r="BOS585" s="287"/>
      <c r="BOT585" s="488"/>
      <c r="BOU585" s="489"/>
      <c r="BOV585" s="488"/>
      <c r="BOW585" s="300"/>
      <c r="BOX585" s="543"/>
      <c r="BOY585" s="533"/>
      <c r="BOZ585" s="534"/>
      <c r="BPA585" s="316"/>
      <c r="BPB585" s="316"/>
      <c r="BPC585" s="471"/>
      <c r="BPD585" s="472"/>
      <c r="BPE585" s="471"/>
      <c r="BPF585" s="473"/>
      <c r="BPG585" s="313"/>
      <c r="BPH585" s="535"/>
      <c r="BPI585" s="536"/>
      <c r="BPJ585" s="537"/>
      <c r="BPK585" s="538"/>
      <c r="BPL585" s="539"/>
      <c r="BPM585" s="540"/>
      <c r="BPN585" s="209"/>
      <c r="BPO585" s="541"/>
      <c r="BPP585" s="541"/>
      <c r="BPQ585" s="482"/>
      <c r="BPR585" s="173"/>
      <c r="BPS585" s="173"/>
      <c r="BPT585" s="544"/>
      <c r="BPV585" s="148"/>
      <c r="BPW585" s="148"/>
      <c r="BPX585" s="149"/>
      <c r="BPY585" s="150"/>
      <c r="BQA585" s="152"/>
      <c r="BQB585" s="542"/>
      <c r="BQC585" s="154"/>
      <c r="BQD585" s="175"/>
      <c r="BQF585" s="156"/>
      <c r="BQG585" s="287"/>
      <c r="BQH585" s="488"/>
      <c r="BQI585" s="489"/>
      <c r="BQJ585" s="488"/>
      <c r="BQK585" s="300"/>
      <c r="BQL585" s="543"/>
      <c r="BQM585" s="533"/>
      <c r="BQN585" s="534"/>
      <c r="BQO585" s="316"/>
      <c r="BQP585" s="316"/>
      <c r="BQQ585" s="471"/>
      <c r="BQR585" s="472"/>
      <c r="BQS585" s="471"/>
      <c r="BQT585" s="473"/>
      <c r="BQU585" s="313"/>
      <c r="BQV585" s="535"/>
      <c r="BQW585" s="536"/>
      <c r="BQX585" s="537"/>
      <c r="BQY585" s="538"/>
      <c r="BQZ585" s="539"/>
      <c r="BRA585" s="540"/>
      <c r="BRB585" s="209"/>
      <c r="BRC585" s="541"/>
      <c r="BRD585" s="541"/>
      <c r="BRE585" s="482"/>
      <c r="BRF585" s="173"/>
      <c r="BRG585" s="173"/>
      <c r="BRH585" s="544"/>
      <c r="BRJ585" s="148"/>
      <c r="BRK585" s="148"/>
      <c r="BRL585" s="149"/>
      <c r="BRM585" s="150"/>
      <c r="BRO585" s="152"/>
      <c r="BRP585" s="542"/>
      <c r="BRQ585" s="154"/>
      <c r="BRR585" s="175"/>
      <c r="BRT585" s="156"/>
      <c r="BRU585" s="287"/>
      <c r="BRV585" s="488"/>
      <c r="BRW585" s="489"/>
      <c r="BRX585" s="488"/>
      <c r="BRY585" s="300"/>
      <c r="BRZ585" s="543"/>
      <c r="BSA585" s="533"/>
      <c r="BSB585" s="534"/>
      <c r="BSC585" s="316"/>
      <c r="BSD585" s="316"/>
      <c r="BSE585" s="471"/>
      <c r="BSF585" s="472"/>
      <c r="BSG585" s="471"/>
      <c r="BSH585" s="473"/>
      <c r="BSI585" s="313"/>
      <c r="BSJ585" s="535"/>
      <c r="BSK585" s="536"/>
      <c r="BSL585" s="537"/>
      <c r="BSM585" s="538"/>
      <c r="BSN585" s="539"/>
      <c r="BSO585" s="540"/>
      <c r="BSP585" s="209"/>
      <c r="BSQ585" s="541"/>
      <c r="BSR585" s="541"/>
      <c r="BSS585" s="482"/>
      <c r="BST585" s="173"/>
      <c r="BSU585" s="173"/>
      <c r="BSV585" s="544"/>
      <c r="BSX585" s="148"/>
      <c r="BSY585" s="148"/>
      <c r="BSZ585" s="149"/>
      <c r="BTA585" s="150"/>
      <c r="BTC585" s="152"/>
      <c r="BTD585" s="542"/>
      <c r="BTE585" s="154"/>
      <c r="BTF585" s="175"/>
      <c r="BTH585" s="156"/>
      <c r="BTI585" s="287"/>
      <c r="BTJ585" s="488"/>
      <c r="BTK585" s="489"/>
      <c r="BTL585" s="488"/>
      <c r="BTM585" s="300"/>
      <c r="BTN585" s="543"/>
      <c r="BTO585" s="533"/>
      <c r="BTP585" s="534"/>
      <c r="BTQ585" s="316"/>
      <c r="BTR585" s="316"/>
      <c r="BTS585" s="471"/>
      <c r="BTT585" s="472"/>
      <c r="BTU585" s="471"/>
      <c r="BTV585" s="473"/>
      <c r="BTW585" s="313"/>
      <c r="BTX585" s="535"/>
      <c r="BTY585" s="536"/>
      <c r="BTZ585" s="537"/>
      <c r="BUA585" s="538"/>
      <c r="BUB585" s="539"/>
      <c r="BUC585" s="540"/>
      <c r="BUD585" s="209"/>
      <c r="BUE585" s="541"/>
      <c r="BUF585" s="541"/>
      <c r="BUG585" s="482"/>
      <c r="BUH585" s="173"/>
      <c r="BUI585" s="173"/>
      <c r="BUJ585" s="544"/>
      <c r="BUL585" s="148"/>
      <c r="BUM585" s="148"/>
      <c r="BUN585" s="149"/>
      <c r="BUO585" s="150"/>
      <c r="BUQ585" s="152"/>
      <c r="BUR585" s="542"/>
      <c r="BUS585" s="154"/>
      <c r="BUT585" s="175"/>
      <c r="BUV585" s="156"/>
      <c r="BUW585" s="287"/>
      <c r="BUX585" s="488"/>
      <c r="BUY585" s="489"/>
      <c r="BUZ585" s="488"/>
      <c r="BVA585" s="300"/>
      <c r="BVB585" s="543"/>
      <c r="BVC585" s="533"/>
      <c r="BVD585" s="534"/>
      <c r="BVE585" s="316"/>
      <c r="BVF585" s="316"/>
      <c r="BVG585" s="471"/>
      <c r="BVH585" s="472"/>
      <c r="BVI585" s="471"/>
      <c r="BVJ585" s="473"/>
      <c r="BVK585" s="313"/>
      <c r="BVL585" s="535"/>
      <c r="BVM585" s="536"/>
      <c r="BVN585" s="537"/>
      <c r="BVO585" s="538"/>
      <c r="BVP585" s="539"/>
      <c r="BVQ585" s="540"/>
      <c r="BVR585" s="209"/>
      <c r="BVS585" s="541"/>
      <c r="BVT585" s="541"/>
      <c r="BVU585" s="482"/>
      <c r="BVV585" s="173"/>
      <c r="BVW585" s="173"/>
      <c r="BVX585" s="544"/>
      <c r="BVZ585" s="148"/>
      <c r="BWA585" s="148"/>
      <c r="BWB585" s="149"/>
      <c r="BWC585" s="150"/>
      <c r="BWE585" s="152"/>
      <c r="BWF585" s="542"/>
      <c r="BWG585" s="154"/>
      <c r="BWH585" s="175"/>
      <c r="BWJ585" s="156"/>
      <c r="BWK585" s="287"/>
      <c r="BWL585" s="488"/>
      <c r="BWM585" s="489"/>
      <c r="BWN585" s="488"/>
      <c r="BWO585" s="300"/>
      <c r="BWP585" s="543"/>
      <c r="BWQ585" s="533"/>
      <c r="BWR585" s="534"/>
      <c r="BWS585" s="316"/>
      <c r="BWT585" s="316"/>
      <c r="BWU585" s="471"/>
      <c r="BWV585" s="472"/>
      <c r="BWW585" s="471"/>
      <c r="BWX585" s="473"/>
      <c r="BWY585" s="313"/>
      <c r="BWZ585" s="535"/>
      <c r="BXA585" s="536"/>
      <c r="BXB585" s="537"/>
      <c r="BXC585" s="538"/>
      <c r="BXD585" s="539"/>
      <c r="BXE585" s="540"/>
      <c r="BXF585" s="209"/>
      <c r="BXG585" s="541"/>
      <c r="BXH585" s="541"/>
      <c r="BXI585" s="482"/>
      <c r="BXJ585" s="173"/>
      <c r="BXK585" s="173"/>
      <c r="BXL585" s="544"/>
      <c r="BXN585" s="148"/>
      <c r="BXO585" s="148"/>
      <c r="BXP585" s="149"/>
      <c r="BXQ585" s="150"/>
      <c r="BXS585" s="152"/>
      <c r="BXT585" s="542"/>
      <c r="BXU585" s="154"/>
      <c r="BXV585" s="175"/>
      <c r="BXX585" s="156"/>
      <c r="BXY585" s="287"/>
      <c r="BXZ585" s="488"/>
      <c r="BYA585" s="489"/>
      <c r="BYB585" s="488"/>
      <c r="BYC585" s="300"/>
      <c r="BYD585" s="543"/>
      <c r="BYE585" s="533"/>
      <c r="BYF585" s="534"/>
      <c r="BYG585" s="316"/>
      <c r="BYH585" s="316"/>
      <c r="BYI585" s="471"/>
      <c r="BYJ585" s="472"/>
      <c r="BYK585" s="471"/>
      <c r="BYL585" s="473"/>
      <c r="BYM585" s="313"/>
      <c r="BYN585" s="535"/>
      <c r="BYO585" s="536"/>
      <c r="BYP585" s="537"/>
      <c r="BYQ585" s="538"/>
      <c r="BYR585" s="539"/>
      <c r="BYS585" s="540"/>
      <c r="BYT585" s="209"/>
      <c r="BYU585" s="541"/>
      <c r="BYV585" s="541"/>
      <c r="BYW585" s="482"/>
      <c r="BYX585" s="173"/>
      <c r="BYY585" s="173"/>
      <c r="BYZ585" s="544"/>
      <c r="BZB585" s="148"/>
      <c r="BZC585" s="148"/>
      <c r="BZD585" s="149"/>
      <c r="BZE585" s="150"/>
      <c r="BZG585" s="152"/>
      <c r="BZH585" s="542"/>
      <c r="BZI585" s="154"/>
      <c r="BZJ585" s="175"/>
      <c r="BZL585" s="156"/>
      <c r="BZM585" s="287"/>
      <c r="BZN585" s="488"/>
      <c r="BZO585" s="489"/>
      <c r="BZP585" s="488"/>
      <c r="BZQ585" s="300"/>
      <c r="BZR585" s="543"/>
      <c r="BZS585" s="533"/>
      <c r="BZT585" s="534"/>
      <c r="BZU585" s="316"/>
      <c r="BZV585" s="316"/>
      <c r="BZW585" s="471"/>
      <c r="BZX585" s="472"/>
      <c r="BZY585" s="471"/>
      <c r="BZZ585" s="473"/>
      <c r="CAA585" s="313"/>
      <c r="CAB585" s="535"/>
      <c r="CAC585" s="536"/>
      <c r="CAD585" s="537"/>
      <c r="CAE585" s="538"/>
      <c r="CAF585" s="539"/>
      <c r="CAG585" s="540"/>
      <c r="CAH585" s="209"/>
      <c r="CAI585" s="541"/>
      <c r="CAJ585" s="541"/>
      <c r="CAK585" s="482"/>
      <c r="CAL585" s="173"/>
      <c r="CAM585" s="173"/>
      <c r="CAN585" s="544"/>
      <c r="CAP585" s="148"/>
      <c r="CAQ585" s="148"/>
      <c r="CAR585" s="149"/>
      <c r="CAS585" s="150"/>
      <c r="CAU585" s="152"/>
      <c r="CAV585" s="542"/>
      <c r="CAW585" s="154"/>
      <c r="CAX585" s="175"/>
      <c r="CAZ585" s="156"/>
      <c r="CBA585" s="287"/>
      <c r="CBB585" s="488"/>
      <c r="CBC585" s="489"/>
      <c r="CBD585" s="488"/>
      <c r="CBE585" s="300"/>
      <c r="CBF585" s="543"/>
      <c r="CBG585" s="533"/>
      <c r="CBH585" s="534"/>
      <c r="CBI585" s="316"/>
      <c r="CBJ585" s="316"/>
      <c r="CBK585" s="471"/>
      <c r="CBL585" s="472"/>
      <c r="CBM585" s="471"/>
      <c r="CBN585" s="473"/>
      <c r="CBO585" s="313"/>
      <c r="CBP585" s="535"/>
      <c r="CBQ585" s="536"/>
      <c r="CBR585" s="537"/>
      <c r="CBS585" s="538"/>
      <c r="CBT585" s="539"/>
      <c r="CBU585" s="540"/>
      <c r="CBV585" s="209"/>
      <c r="CBW585" s="541"/>
      <c r="CBX585" s="541"/>
      <c r="CBY585" s="482"/>
      <c r="CBZ585" s="173"/>
      <c r="CCA585" s="173"/>
      <c r="CCB585" s="544"/>
      <c r="CCD585" s="148"/>
      <c r="CCE585" s="148"/>
      <c r="CCF585" s="149"/>
      <c r="CCG585" s="150"/>
      <c r="CCI585" s="152"/>
      <c r="CCJ585" s="542"/>
      <c r="CCK585" s="154"/>
      <c r="CCL585" s="175"/>
      <c r="CCN585" s="156"/>
      <c r="CCO585" s="287"/>
      <c r="CCP585" s="488"/>
      <c r="CCQ585" s="489"/>
      <c r="CCR585" s="488"/>
      <c r="CCS585" s="300"/>
      <c r="CCT585" s="543"/>
      <c r="CCU585" s="533"/>
      <c r="CCV585" s="534"/>
      <c r="CCW585" s="316"/>
      <c r="CCX585" s="316"/>
      <c r="CCY585" s="471"/>
      <c r="CCZ585" s="472"/>
      <c r="CDA585" s="471"/>
      <c r="CDB585" s="473"/>
      <c r="CDC585" s="313"/>
      <c r="CDD585" s="535"/>
      <c r="CDE585" s="536"/>
      <c r="CDF585" s="537"/>
      <c r="CDG585" s="538"/>
      <c r="CDH585" s="539"/>
      <c r="CDI585" s="540"/>
      <c r="CDJ585" s="209"/>
      <c r="CDK585" s="541"/>
      <c r="CDL585" s="541"/>
      <c r="CDM585" s="482"/>
      <c r="CDN585" s="173"/>
      <c r="CDO585" s="173"/>
      <c r="CDP585" s="544"/>
      <c r="CDR585" s="148"/>
      <c r="CDS585" s="148"/>
      <c r="CDT585" s="149"/>
      <c r="CDU585" s="150"/>
      <c r="CDW585" s="152"/>
      <c r="CDX585" s="542"/>
      <c r="CDY585" s="154"/>
      <c r="CDZ585" s="175"/>
      <c r="CEB585" s="156"/>
      <c r="CEC585" s="287"/>
      <c r="CED585" s="488"/>
      <c r="CEE585" s="489"/>
      <c r="CEF585" s="488"/>
      <c r="CEG585" s="300"/>
      <c r="CEH585" s="543"/>
      <c r="CEI585" s="533"/>
      <c r="CEJ585" s="534"/>
      <c r="CEK585" s="316"/>
      <c r="CEL585" s="316"/>
      <c r="CEM585" s="471"/>
      <c r="CEN585" s="472"/>
      <c r="CEO585" s="471"/>
      <c r="CEP585" s="473"/>
      <c r="CEQ585" s="313"/>
      <c r="CER585" s="535"/>
      <c r="CES585" s="536"/>
      <c r="CET585" s="537"/>
      <c r="CEU585" s="538"/>
      <c r="CEV585" s="539"/>
      <c r="CEW585" s="540"/>
      <c r="CEX585" s="209"/>
      <c r="CEY585" s="541"/>
      <c r="CEZ585" s="541"/>
      <c r="CFA585" s="482"/>
      <c r="CFB585" s="173"/>
      <c r="CFC585" s="173"/>
      <c r="CFD585" s="544"/>
      <c r="CFF585" s="148"/>
      <c r="CFG585" s="148"/>
      <c r="CFH585" s="149"/>
      <c r="CFI585" s="150"/>
      <c r="CFK585" s="152"/>
      <c r="CFL585" s="542"/>
      <c r="CFM585" s="154"/>
      <c r="CFN585" s="175"/>
      <c r="CFP585" s="156"/>
      <c r="CFQ585" s="287"/>
      <c r="CFR585" s="488"/>
      <c r="CFS585" s="489"/>
      <c r="CFT585" s="488"/>
      <c r="CFU585" s="300"/>
      <c r="CFV585" s="543"/>
      <c r="CFW585" s="533"/>
      <c r="CFX585" s="534"/>
      <c r="CFY585" s="316"/>
      <c r="CFZ585" s="316"/>
      <c r="CGA585" s="471"/>
      <c r="CGB585" s="472"/>
      <c r="CGC585" s="471"/>
      <c r="CGD585" s="473"/>
      <c r="CGE585" s="313"/>
      <c r="CGF585" s="535"/>
      <c r="CGG585" s="536"/>
      <c r="CGH585" s="537"/>
      <c r="CGI585" s="538"/>
      <c r="CGJ585" s="539"/>
      <c r="CGK585" s="540"/>
      <c r="CGL585" s="209"/>
      <c r="CGM585" s="541"/>
      <c r="CGN585" s="541"/>
      <c r="CGO585" s="482"/>
      <c r="CGP585" s="173"/>
      <c r="CGQ585" s="173"/>
      <c r="CGR585" s="544"/>
      <c r="CGT585" s="148"/>
      <c r="CGU585" s="148"/>
      <c r="CGV585" s="149"/>
      <c r="CGW585" s="150"/>
      <c r="CGY585" s="152"/>
      <c r="CGZ585" s="542"/>
      <c r="CHA585" s="154"/>
      <c r="CHB585" s="175"/>
      <c r="CHD585" s="156"/>
      <c r="CHE585" s="287"/>
      <c r="CHF585" s="488"/>
      <c r="CHG585" s="489"/>
      <c r="CHH585" s="488"/>
      <c r="CHI585" s="300"/>
      <c r="CHJ585" s="543"/>
      <c r="CHK585" s="533"/>
      <c r="CHL585" s="534"/>
      <c r="CHM585" s="316"/>
      <c r="CHN585" s="316"/>
      <c r="CHO585" s="471"/>
      <c r="CHP585" s="472"/>
      <c r="CHQ585" s="471"/>
      <c r="CHR585" s="473"/>
      <c r="CHS585" s="313"/>
      <c r="CHT585" s="535"/>
      <c r="CHU585" s="536"/>
      <c r="CHV585" s="537"/>
      <c r="CHW585" s="538"/>
      <c r="CHX585" s="539"/>
      <c r="CHY585" s="540"/>
      <c r="CHZ585" s="209"/>
      <c r="CIA585" s="541"/>
      <c r="CIB585" s="541"/>
      <c r="CIC585" s="482"/>
      <c r="CID585" s="173"/>
      <c r="CIE585" s="173"/>
      <c r="CIF585" s="544"/>
      <c r="CIH585" s="148"/>
      <c r="CII585" s="148"/>
      <c r="CIJ585" s="149"/>
      <c r="CIK585" s="150"/>
      <c r="CIM585" s="152"/>
      <c r="CIN585" s="542"/>
      <c r="CIO585" s="154"/>
      <c r="CIP585" s="175"/>
      <c r="CIR585" s="156"/>
      <c r="CIS585" s="287"/>
      <c r="CIT585" s="488"/>
      <c r="CIU585" s="489"/>
      <c r="CIV585" s="488"/>
      <c r="CIW585" s="300"/>
      <c r="CIX585" s="543"/>
      <c r="CIY585" s="533"/>
      <c r="CIZ585" s="534"/>
      <c r="CJA585" s="316"/>
      <c r="CJB585" s="316"/>
      <c r="CJC585" s="471"/>
      <c r="CJD585" s="472"/>
      <c r="CJE585" s="471"/>
      <c r="CJF585" s="473"/>
      <c r="CJG585" s="313"/>
      <c r="CJH585" s="535"/>
      <c r="CJI585" s="536"/>
      <c r="CJJ585" s="537"/>
      <c r="CJK585" s="538"/>
      <c r="CJL585" s="539"/>
      <c r="CJM585" s="540"/>
      <c r="CJN585" s="209"/>
      <c r="CJO585" s="541"/>
      <c r="CJP585" s="541"/>
      <c r="CJQ585" s="482"/>
      <c r="CJR585" s="173"/>
      <c r="CJS585" s="173"/>
      <c r="CJT585" s="544"/>
      <c r="CJV585" s="148"/>
      <c r="CJW585" s="148"/>
      <c r="CJX585" s="149"/>
      <c r="CJY585" s="150"/>
      <c r="CKA585" s="152"/>
      <c r="CKB585" s="542"/>
      <c r="CKC585" s="154"/>
      <c r="CKD585" s="175"/>
      <c r="CKF585" s="156"/>
      <c r="CKG585" s="287"/>
      <c r="CKH585" s="488"/>
      <c r="CKI585" s="489"/>
      <c r="CKJ585" s="488"/>
      <c r="CKK585" s="300"/>
      <c r="CKL585" s="543"/>
      <c r="CKM585" s="533"/>
      <c r="CKN585" s="534"/>
      <c r="CKO585" s="316"/>
      <c r="CKP585" s="316"/>
      <c r="CKQ585" s="471"/>
      <c r="CKR585" s="472"/>
      <c r="CKS585" s="471"/>
      <c r="CKT585" s="473"/>
      <c r="CKU585" s="313"/>
      <c r="CKV585" s="535"/>
      <c r="CKW585" s="536"/>
      <c r="CKX585" s="537"/>
      <c r="CKY585" s="538"/>
      <c r="CKZ585" s="539"/>
      <c r="CLA585" s="540"/>
      <c r="CLB585" s="209"/>
      <c r="CLC585" s="541"/>
      <c r="CLD585" s="541"/>
      <c r="CLE585" s="482"/>
      <c r="CLF585" s="173"/>
      <c r="CLG585" s="173"/>
      <c r="CLH585" s="544"/>
      <c r="CLJ585" s="148"/>
      <c r="CLK585" s="148"/>
      <c r="CLL585" s="149"/>
      <c r="CLM585" s="150"/>
      <c r="CLO585" s="152"/>
      <c r="CLP585" s="542"/>
      <c r="CLQ585" s="154"/>
      <c r="CLR585" s="175"/>
      <c r="CLT585" s="156"/>
      <c r="CLU585" s="287"/>
      <c r="CLV585" s="488"/>
      <c r="CLW585" s="489"/>
      <c r="CLX585" s="488"/>
      <c r="CLY585" s="300"/>
      <c r="CLZ585" s="543"/>
      <c r="CMA585" s="533"/>
      <c r="CMB585" s="534"/>
      <c r="CMC585" s="316"/>
      <c r="CMD585" s="316"/>
      <c r="CME585" s="471"/>
      <c r="CMF585" s="472"/>
      <c r="CMG585" s="471"/>
      <c r="CMH585" s="473"/>
      <c r="CMI585" s="313"/>
      <c r="CMJ585" s="535"/>
      <c r="CMK585" s="536"/>
      <c r="CML585" s="537"/>
      <c r="CMM585" s="538"/>
      <c r="CMN585" s="539"/>
      <c r="CMO585" s="540"/>
      <c r="CMP585" s="209"/>
      <c r="CMQ585" s="541"/>
      <c r="CMR585" s="541"/>
      <c r="CMS585" s="482"/>
      <c r="CMT585" s="173"/>
      <c r="CMU585" s="173"/>
      <c r="CMV585" s="544"/>
      <c r="CMX585" s="148"/>
      <c r="CMY585" s="148"/>
      <c r="CMZ585" s="149"/>
      <c r="CNA585" s="150"/>
      <c r="CNC585" s="152"/>
      <c r="CND585" s="542"/>
      <c r="CNE585" s="154"/>
      <c r="CNF585" s="175"/>
      <c r="CNH585" s="156"/>
      <c r="CNI585" s="287"/>
      <c r="CNJ585" s="488"/>
      <c r="CNK585" s="489"/>
      <c r="CNL585" s="488"/>
      <c r="CNM585" s="300"/>
      <c r="CNN585" s="543"/>
      <c r="CNO585" s="533"/>
      <c r="CNP585" s="534"/>
      <c r="CNQ585" s="316"/>
      <c r="CNR585" s="316"/>
      <c r="CNS585" s="471"/>
      <c r="CNT585" s="472"/>
      <c r="CNU585" s="471"/>
      <c r="CNV585" s="473"/>
      <c r="CNW585" s="313"/>
      <c r="CNX585" s="535"/>
      <c r="CNY585" s="536"/>
      <c r="CNZ585" s="537"/>
      <c r="COA585" s="538"/>
      <c r="COB585" s="539"/>
      <c r="COC585" s="540"/>
      <c r="COD585" s="209"/>
      <c r="COE585" s="541"/>
      <c r="COF585" s="541"/>
      <c r="COG585" s="482"/>
      <c r="COH585" s="173"/>
      <c r="COI585" s="173"/>
      <c r="COJ585" s="544"/>
      <c r="COL585" s="148"/>
      <c r="COM585" s="148"/>
      <c r="CON585" s="149"/>
      <c r="COO585" s="150"/>
      <c r="COQ585" s="152"/>
      <c r="COR585" s="542"/>
      <c r="COS585" s="154"/>
      <c r="COT585" s="175"/>
      <c r="COV585" s="156"/>
      <c r="COW585" s="287"/>
      <c r="COX585" s="488"/>
      <c r="COY585" s="489"/>
      <c r="COZ585" s="488"/>
      <c r="CPA585" s="300"/>
      <c r="CPB585" s="543"/>
      <c r="CPC585" s="533"/>
      <c r="CPD585" s="534"/>
      <c r="CPE585" s="316"/>
      <c r="CPF585" s="316"/>
      <c r="CPG585" s="471"/>
      <c r="CPH585" s="472"/>
      <c r="CPI585" s="471"/>
      <c r="CPJ585" s="473"/>
      <c r="CPK585" s="313"/>
      <c r="CPL585" s="535"/>
      <c r="CPM585" s="536"/>
      <c r="CPN585" s="537"/>
      <c r="CPO585" s="538"/>
      <c r="CPP585" s="539"/>
      <c r="CPQ585" s="540"/>
      <c r="CPR585" s="209"/>
      <c r="CPS585" s="541"/>
      <c r="CPT585" s="541"/>
      <c r="CPU585" s="482"/>
      <c r="CPV585" s="173"/>
      <c r="CPW585" s="173"/>
      <c r="CPX585" s="544"/>
      <c r="CPZ585" s="148"/>
      <c r="CQA585" s="148"/>
      <c r="CQB585" s="149"/>
      <c r="CQC585" s="150"/>
      <c r="CQE585" s="152"/>
      <c r="CQF585" s="542"/>
      <c r="CQG585" s="154"/>
      <c r="CQH585" s="175"/>
      <c r="CQJ585" s="156"/>
      <c r="CQK585" s="287"/>
      <c r="CQL585" s="488"/>
      <c r="CQM585" s="489"/>
      <c r="CQN585" s="488"/>
      <c r="CQO585" s="300"/>
      <c r="CQP585" s="543"/>
      <c r="CQQ585" s="533"/>
      <c r="CQR585" s="534"/>
      <c r="CQS585" s="316"/>
      <c r="CQT585" s="316"/>
      <c r="CQU585" s="471"/>
      <c r="CQV585" s="472"/>
      <c r="CQW585" s="471"/>
      <c r="CQX585" s="473"/>
      <c r="CQY585" s="313"/>
      <c r="CQZ585" s="535"/>
      <c r="CRA585" s="536"/>
      <c r="CRB585" s="537"/>
      <c r="CRC585" s="538"/>
      <c r="CRD585" s="539"/>
      <c r="CRE585" s="540"/>
      <c r="CRF585" s="209"/>
      <c r="CRG585" s="541"/>
      <c r="CRH585" s="541"/>
      <c r="CRI585" s="482"/>
      <c r="CRJ585" s="173"/>
      <c r="CRK585" s="173"/>
      <c r="CRL585" s="544"/>
      <c r="CRN585" s="148"/>
      <c r="CRO585" s="148"/>
      <c r="CRP585" s="149"/>
      <c r="CRQ585" s="150"/>
      <c r="CRS585" s="152"/>
      <c r="CRT585" s="542"/>
      <c r="CRU585" s="154"/>
      <c r="CRV585" s="175"/>
      <c r="CRX585" s="156"/>
      <c r="CRY585" s="287"/>
      <c r="CRZ585" s="488"/>
      <c r="CSA585" s="489"/>
      <c r="CSB585" s="488"/>
      <c r="CSC585" s="300"/>
      <c r="CSD585" s="543"/>
      <c r="CSE585" s="533"/>
      <c r="CSF585" s="534"/>
      <c r="CSG585" s="316"/>
      <c r="CSH585" s="316"/>
      <c r="CSI585" s="471"/>
      <c r="CSJ585" s="472"/>
      <c r="CSK585" s="471"/>
      <c r="CSL585" s="473"/>
      <c r="CSM585" s="313"/>
      <c r="CSN585" s="535"/>
      <c r="CSO585" s="536"/>
      <c r="CSP585" s="537"/>
      <c r="CSQ585" s="538"/>
      <c r="CSR585" s="539"/>
      <c r="CSS585" s="540"/>
      <c r="CST585" s="209"/>
      <c r="CSU585" s="541"/>
      <c r="CSV585" s="541"/>
      <c r="CSW585" s="482"/>
      <c r="CSX585" s="173"/>
      <c r="CSY585" s="173"/>
      <c r="CSZ585" s="544"/>
      <c r="CTB585" s="148"/>
      <c r="CTC585" s="148"/>
      <c r="CTD585" s="149"/>
      <c r="CTE585" s="150"/>
      <c r="CTG585" s="152"/>
      <c r="CTH585" s="542"/>
      <c r="CTI585" s="154"/>
      <c r="CTJ585" s="175"/>
      <c r="CTL585" s="156"/>
      <c r="CTM585" s="287"/>
      <c r="CTN585" s="488"/>
      <c r="CTO585" s="489"/>
      <c r="CTP585" s="488"/>
      <c r="CTQ585" s="300"/>
      <c r="CTR585" s="543"/>
      <c r="CTS585" s="533"/>
      <c r="CTT585" s="534"/>
      <c r="CTU585" s="316"/>
      <c r="CTV585" s="316"/>
      <c r="CTW585" s="471"/>
      <c r="CTX585" s="472"/>
      <c r="CTY585" s="471"/>
      <c r="CTZ585" s="473"/>
      <c r="CUA585" s="313"/>
      <c r="CUB585" s="535"/>
      <c r="CUC585" s="536"/>
      <c r="CUD585" s="537"/>
      <c r="CUE585" s="538"/>
      <c r="CUF585" s="539"/>
      <c r="CUG585" s="540"/>
      <c r="CUH585" s="209"/>
      <c r="CUI585" s="541"/>
      <c r="CUJ585" s="541"/>
      <c r="CUK585" s="482"/>
      <c r="CUL585" s="173"/>
      <c r="CUM585" s="173"/>
      <c r="CUN585" s="544"/>
      <c r="CUP585" s="148"/>
      <c r="CUQ585" s="148"/>
      <c r="CUR585" s="149"/>
      <c r="CUS585" s="150"/>
      <c r="CUU585" s="152"/>
      <c r="CUV585" s="542"/>
      <c r="CUW585" s="154"/>
      <c r="CUX585" s="175"/>
      <c r="CUZ585" s="156"/>
      <c r="CVA585" s="287"/>
      <c r="CVB585" s="488"/>
      <c r="CVC585" s="489"/>
      <c r="CVD585" s="488"/>
      <c r="CVE585" s="300"/>
      <c r="CVF585" s="543"/>
      <c r="CVG585" s="533"/>
      <c r="CVH585" s="534"/>
      <c r="CVI585" s="316"/>
      <c r="CVJ585" s="316"/>
      <c r="CVK585" s="471"/>
      <c r="CVL585" s="472"/>
      <c r="CVM585" s="471"/>
      <c r="CVN585" s="473"/>
      <c r="CVO585" s="313"/>
      <c r="CVP585" s="535"/>
      <c r="CVQ585" s="536"/>
      <c r="CVR585" s="537"/>
      <c r="CVS585" s="538"/>
      <c r="CVT585" s="539"/>
      <c r="CVU585" s="540"/>
      <c r="CVV585" s="209"/>
      <c r="CVW585" s="541"/>
      <c r="CVX585" s="541"/>
      <c r="CVY585" s="482"/>
      <c r="CVZ585" s="173"/>
      <c r="CWA585" s="173"/>
      <c r="CWB585" s="544"/>
      <c r="CWD585" s="148"/>
      <c r="CWE585" s="148"/>
      <c r="CWF585" s="149"/>
      <c r="CWG585" s="150"/>
      <c r="CWI585" s="152"/>
      <c r="CWJ585" s="542"/>
      <c r="CWK585" s="154"/>
      <c r="CWL585" s="175"/>
      <c r="CWN585" s="156"/>
      <c r="CWO585" s="287"/>
      <c r="CWP585" s="488"/>
      <c r="CWQ585" s="489"/>
      <c r="CWR585" s="488"/>
      <c r="CWS585" s="300"/>
      <c r="CWT585" s="543"/>
      <c r="CWU585" s="533"/>
      <c r="CWV585" s="534"/>
      <c r="CWW585" s="316"/>
      <c r="CWX585" s="316"/>
      <c r="CWY585" s="471"/>
      <c r="CWZ585" s="472"/>
      <c r="CXA585" s="471"/>
      <c r="CXB585" s="473"/>
      <c r="CXC585" s="313"/>
      <c r="CXD585" s="535"/>
      <c r="CXE585" s="536"/>
      <c r="CXF585" s="537"/>
      <c r="CXG585" s="538"/>
      <c r="CXH585" s="539"/>
      <c r="CXI585" s="540"/>
      <c r="CXJ585" s="209"/>
      <c r="CXK585" s="541"/>
      <c r="CXL585" s="541"/>
      <c r="CXM585" s="482"/>
      <c r="CXN585" s="173"/>
      <c r="CXO585" s="173"/>
      <c r="CXP585" s="544"/>
      <c r="CXR585" s="148"/>
      <c r="CXS585" s="148"/>
      <c r="CXT585" s="149"/>
      <c r="CXU585" s="150"/>
      <c r="CXW585" s="152"/>
      <c r="CXX585" s="542"/>
      <c r="CXY585" s="154"/>
      <c r="CXZ585" s="175"/>
      <c r="CYB585" s="156"/>
      <c r="CYC585" s="287"/>
      <c r="CYD585" s="488"/>
      <c r="CYE585" s="489"/>
      <c r="CYF585" s="488"/>
      <c r="CYG585" s="300"/>
      <c r="CYH585" s="543"/>
      <c r="CYI585" s="533"/>
      <c r="CYJ585" s="534"/>
      <c r="CYK585" s="316"/>
      <c r="CYL585" s="316"/>
      <c r="CYM585" s="471"/>
      <c r="CYN585" s="472"/>
      <c r="CYO585" s="471"/>
      <c r="CYP585" s="473"/>
      <c r="CYQ585" s="313"/>
      <c r="CYR585" s="535"/>
      <c r="CYS585" s="536"/>
      <c r="CYT585" s="537"/>
      <c r="CYU585" s="538"/>
      <c r="CYV585" s="539"/>
      <c r="CYW585" s="540"/>
      <c r="CYX585" s="209"/>
      <c r="CYY585" s="541"/>
      <c r="CYZ585" s="541"/>
      <c r="CZA585" s="482"/>
      <c r="CZB585" s="173"/>
      <c r="CZC585" s="173"/>
      <c r="CZD585" s="544"/>
      <c r="CZF585" s="148"/>
      <c r="CZG585" s="148"/>
      <c r="CZH585" s="149"/>
      <c r="CZI585" s="150"/>
      <c r="CZK585" s="152"/>
      <c r="CZL585" s="542"/>
      <c r="CZM585" s="154"/>
      <c r="CZN585" s="175"/>
      <c r="CZP585" s="156"/>
      <c r="CZQ585" s="287"/>
      <c r="CZR585" s="488"/>
      <c r="CZS585" s="489"/>
      <c r="CZT585" s="488"/>
      <c r="CZU585" s="300"/>
      <c r="CZV585" s="543"/>
      <c r="CZW585" s="533"/>
      <c r="CZX585" s="534"/>
      <c r="CZY585" s="316"/>
      <c r="CZZ585" s="316"/>
      <c r="DAA585" s="471"/>
      <c r="DAB585" s="472"/>
      <c r="DAC585" s="471"/>
      <c r="DAD585" s="473"/>
      <c r="DAE585" s="313"/>
      <c r="DAF585" s="535"/>
      <c r="DAG585" s="536"/>
      <c r="DAH585" s="537"/>
      <c r="DAI585" s="538"/>
      <c r="DAJ585" s="539"/>
      <c r="DAK585" s="540"/>
      <c r="DAL585" s="209"/>
      <c r="DAM585" s="541"/>
      <c r="DAN585" s="541"/>
      <c r="DAO585" s="482"/>
      <c r="DAP585" s="173"/>
      <c r="DAQ585" s="173"/>
      <c r="DAR585" s="544"/>
      <c r="DAT585" s="148"/>
      <c r="DAU585" s="148"/>
      <c r="DAV585" s="149"/>
      <c r="DAW585" s="150"/>
      <c r="DAY585" s="152"/>
      <c r="DAZ585" s="542"/>
      <c r="DBA585" s="154"/>
      <c r="DBB585" s="175"/>
      <c r="DBD585" s="156"/>
      <c r="DBE585" s="287"/>
      <c r="DBF585" s="488"/>
      <c r="DBG585" s="489"/>
      <c r="DBH585" s="488"/>
      <c r="DBI585" s="300"/>
      <c r="DBJ585" s="543"/>
      <c r="DBK585" s="533"/>
      <c r="DBL585" s="534"/>
      <c r="DBM585" s="316"/>
      <c r="DBN585" s="316"/>
      <c r="DBO585" s="471"/>
      <c r="DBP585" s="472"/>
      <c r="DBQ585" s="471"/>
      <c r="DBR585" s="473"/>
      <c r="DBS585" s="313"/>
      <c r="DBT585" s="535"/>
      <c r="DBU585" s="536"/>
      <c r="DBV585" s="537"/>
      <c r="DBW585" s="538"/>
      <c r="DBX585" s="539"/>
      <c r="DBY585" s="540"/>
      <c r="DBZ585" s="209"/>
      <c r="DCA585" s="541"/>
      <c r="DCB585" s="541"/>
      <c r="DCC585" s="482"/>
      <c r="DCD585" s="173"/>
      <c r="DCE585" s="173"/>
      <c r="DCF585" s="544"/>
      <c r="DCH585" s="148"/>
      <c r="DCI585" s="148"/>
      <c r="DCJ585" s="149"/>
      <c r="DCK585" s="150"/>
      <c r="DCM585" s="152"/>
      <c r="DCN585" s="542"/>
      <c r="DCO585" s="154"/>
      <c r="DCP585" s="175"/>
      <c r="DCR585" s="156"/>
      <c r="DCS585" s="287"/>
      <c r="DCT585" s="488"/>
      <c r="DCU585" s="489"/>
      <c r="DCV585" s="488"/>
      <c r="DCW585" s="300"/>
      <c r="DCX585" s="543"/>
      <c r="DCY585" s="533"/>
      <c r="DCZ585" s="534"/>
      <c r="DDA585" s="316"/>
      <c r="DDB585" s="316"/>
      <c r="DDC585" s="471"/>
      <c r="DDD585" s="472"/>
      <c r="DDE585" s="471"/>
      <c r="DDF585" s="473"/>
      <c r="DDG585" s="313"/>
      <c r="DDH585" s="535"/>
      <c r="DDI585" s="536"/>
      <c r="DDJ585" s="537"/>
      <c r="DDK585" s="538"/>
      <c r="DDL585" s="539"/>
      <c r="DDM585" s="540"/>
      <c r="DDN585" s="209"/>
      <c r="DDO585" s="541"/>
      <c r="DDP585" s="541"/>
      <c r="DDQ585" s="482"/>
      <c r="DDR585" s="173"/>
      <c r="DDS585" s="173"/>
      <c r="DDT585" s="544"/>
      <c r="DDV585" s="148"/>
      <c r="DDW585" s="148"/>
      <c r="DDX585" s="149"/>
      <c r="DDY585" s="150"/>
      <c r="DEA585" s="152"/>
      <c r="DEB585" s="542"/>
      <c r="DEC585" s="154"/>
      <c r="DED585" s="175"/>
      <c r="DEF585" s="156"/>
      <c r="DEG585" s="287"/>
      <c r="DEH585" s="488"/>
      <c r="DEI585" s="489"/>
      <c r="DEJ585" s="488"/>
      <c r="DEK585" s="300"/>
      <c r="DEL585" s="543"/>
      <c r="DEM585" s="533"/>
      <c r="DEN585" s="534"/>
      <c r="DEO585" s="316"/>
      <c r="DEP585" s="316"/>
      <c r="DEQ585" s="471"/>
      <c r="DER585" s="472"/>
      <c r="DES585" s="471"/>
      <c r="DET585" s="473"/>
      <c r="DEU585" s="313"/>
      <c r="DEV585" s="535"/>
      <c r="DEW585" s="536"/>
      <c r="DEX585" s="537"/>
      <c r="DEY585" s="538"/>
      <c r="DEZ585" s="539"/>
      <c r="DFA585" s="540"/>
      <c r="DFB585" s="209"/>
      <c r="DFC585" s="541"/>
      <c r="DFD585" s="541"/>
      <c r="DFE585" s="482"/>
      <c r="DFF585" s="173"/>
      <c r="DFG585" s="173"/>
      <c r="DFH585" s="544"/>
      <c r="DFJ585" s="148"/>
      <c r="DFK585" s="148"/>
      <c r="DFL585" s="149"/>
      <c r="DFM585" s="150"/>
      <c r="DFO585" s="152"/>
      <c r="DFP585" s="542"/>
      <c r="DFQ585" s="154"/>
      <c r="DFR585" s="175"/>
      <c r="DFT585" s="156"/>
      <c r="DFU585" s="287"/>
      <c r="DFV585" s="488"/>
      <c r="DFW585" s="489"/>
      <c r="DFX585" s="488"/>
      <c r="DFY585" s="300"/>
      <c r="DFZ585" s="543"/>
      <c r="DGA585" s="533"/>
      <c r="DGB585" s="534"/>
      <c r="DGC585" s="316"/>
      <c r="DGD585" s="316"/>
      <c r="DGE585" s="471"/>
      <c r="DGF585" s="472"/>
      <c r="DGG585" s="471"/>
      <c r="DGH585" s="473"/>
      <c r="DGI585" s="313"/>
      <c r="DGJ585" s="535"/>
      <c r="DGK585" s="536"/>
      <c r="DGL585" s="537"/>
      <c r="DGM585" s="538"/>
      <c r="DGN585" s="539"/>
      <c r="DGO585" s="540"/>
      <c r="DGP585" s="209"/>
      <c r="DGQ585" s="541"/>
      <c r="DGR585" s="541"/>
      <c r="DGS585" s="482"/>
      <c r="DGT585" s="173"/>
      <c r="DGU585" s="173"/>
      <c r="DGV585" s="544"/>
      <c r="DGX585" s="148"/>
      <c r="DGY585" s="148"/>
      <c r="DGZ585" s="149"/>
      <c r="DHA585" s="150"/>
      <c r="DHC585" s="152"/>
      <c r="DHD585" s="542"/>
      <c r="DHE585" s="154"/>
      <c r="DHF585" s="175"/>
      <c r="DHH585" s="156"/>
      <c r="DHI585" s="287"/>
      <c r="DHJ585" s="488"/>
      <c r="DHK585" s="489"/>
      <c r="DHL585" s="488"/>
      <c r="DHM585" s="300"/>
      <c r="DHN585" s="543"/>
      <c r="DHO585" s="533"/>
      <c r="DHP585" s="534"/>
      <c r="DHQ585" s="316"/>
      <c r="DHR585" s="316"/>
      <c r="DHS585" s="471"/>
      <c r="DHT585" s="472"/>
      <c r="DHU585" s="471"/>
      <c r="DHV585" s="473"/>
      <c r="DHW585" s="313"/>
      <c r="DHX585" s="535"/>
      <c r="DHY585" s="536"/>
      <c r="DHZ585" s="537"/>
      <c r="DIA585" s="538"/>
      <c r="DIB585" s="539"/>
      <c r="DIC585" s="540"/>
      <c r="DID585" s="209"/>
      <c r="DIE585" s="541"/>
      <c r="DIF585" s="541"/>
      <c r="DIG585" s="482"/>
      <c r="DIH585" s="173"/>
      <c r="DII585" s="173"/>
      <c r="DIJ585" s="544"/>
      <c r="DIL585" s="148"/>
      <c r="DIM585" s="148"/>
      <c r="DIN585" s="149"/>
      <c r="DIO585" s="150"/>
      <c r="DIQ585" s="152"/>
      <c r="DIR585" s="542"/>
      <c r="DIS585" s="154"/>
      <c r="DIT585" s="175"/>
      <c r="DIV585" s="156"/>
      <c r="DIW585" s="287"/>
      <c r="DIX585" s="488"/>
      <c r="DIY585" s="489"/>
      <c r="DIZ585" s="488"/>
      <c r="DJA585" s="300"/>
      <c r="DJB585" s="543"/>
      <c r="DJC585" s="533"/>
      <c r="DJD585" s="534"/>
      <c r="DJE585" s="316"/>
      <c r="DJF585" s="316"/>
      <c r="DJG585" s="471"/>
      <c r="DJH585" s="472"/>
      <c r="DJI585" s="471"/>
      <c r="DJJ585" s="473"/>
      <c r="DJK585" s="313"/>
      <c r="DJL585" s="535"/>
      <c r="DJM585" s="536"/>
      <c r="DJN585" s="537"/>
      <c r="DJO585" s="538"/>
      <c r="DJP585" s="539"/>
      <c r="DJQ585" s="540"/>
      <c r="DJR585" s="209"/>
      <c r="DJS585" s="541"/>
      <c r="DJT585" s="541"/>
      <c r="DJU585" s="482"/>
      <c r="DJV585" s="173"/>
      <c r="DJW585" s="173"/>
      <c r="DJX585" s="544"/>
      <c r="DJZ585" s="148"/>
      <c r="DKA585" s="148"/>
      <c r="DKB585" s="149"/>
      <c r="DKC585" s="150"/>
      <c r="DKE585" s="152"/>
      <c r="DKF585" s="542"/>
      <c r="DKG585" s="154"/>
      <c r="DKH585" s="175"/>
      <c r="DKJ585" s="156"/>
      <c r="DKK585" s="287"/>
      <c r="DKL585" s="488"/>
      <c r="DKM585" s="489"/>
      <c r="DKN585" s="488"/>
      <c r="DKO585" s="300"/>
      <c r="DKP585" s="543"/>
      <c r="DKQ585" s="533"/>
      <c r="DKR585" s="534"/>
      <c r="DKS585" s="316"/>
      <c r="DKT585" s="316"/>
      <c r="DKU585" s="471"/>
      <c r="DKV585" s="472"/>
      <c r="DKW585" s="471"/>
      <c r="DKX585" s="473"/>
      <c r="DKY585" s="313"/>
      <c r="DKZ585" s="535"/>
      <c r="DLA585" s="536"/>
      <c r="DLB585" s="537"/>
      <c r="DLC585" s="538"/>
      <c r="DLD585" s="539"/>
      <c r="DLE585" s="540"/>
      <c r="DLF585" s="209"/>
      <c r="DLG585" s="541"/>
      <c r="DLH585" s="541"/>
      <c r="DLI585" s="482"/>
      <c r="DLJ585" s="173"/>
      <c r="DLK585" s="173"/>
      <c r="DLL585" s="544"/>
      <c r="DLN585" s="148"/>
      <c r="DLO585" s="148"/>
      <c r="DLP585" s="149"/>
      <c r="DLQ585" s="150"/>
      <c r="DLS585" s="152"/>
      <c r="DLT585" s="542"/>
      <c r="DLU585" s="154"/>
      <c r="DLV585" s="175"/>
      <c r="DLX585" s="156"/>
      <c r="DLY585" s="287"/>
      <c r="DLZ585" s="488"/>
      <c r="DMA585" s="489"/>
      <c r="DMB585" s="488"/>
      <c r="DMC585" s="300"/>
      <c r="DMD585" s="543"/>
      <c r="DME585" s="533"/>
      <c r="DMF585" s="534"/>
      <c r="DMG585" s="316"/>
      <c r="DMH585" s="316"/>
      <c r="DMI585" s="471"/>
      <c r="DMJ585" s="472"/>
      <c r="DMK585" s="471"/>
      <c r="DML585" s="473"/>
      <c r="DMM585" s="313"/>
      <c r="DMN585" s="535"/>
      <c r="DMO585" s="536"/>
      <c r="DMP585" s="537"/>
      <c r="DMQ585" s="538"/>
      <c r="DMR585" s="539"/>
      <c r="DMS585" s="540"/>
      <c r="DMT585" s="209"/>
      <c r="DMU585" s="541"/>
      <c r="DMV585" s="541"/>
      <c r="DMW585" s="482"/>
      <c r="DMX585" s="173"/>
      <c r="DMY585" s="173"/>
      <c r="DMZ585" s="544"/>
      <c r="DNB585" s="148"/>
      <c r="DNC585" s="148"/>
      <c r="DND585" s="149"/>
      <c r="DNE585" s="150"/>
      <c r="DNG585" s="152"/>
      <c r="DNH585" s="542"/>
      <c r="DNI585" s="154"/>
      <c r="DNJ585" s="175"/>
      <c r="DNL585" s="156"/>
      <c r="DNM585" s="287"/>
      <c r="DNN585" s="488"/>
      <c r="DNO585" s="489"/>
      <c r="DNP585" s="488"/>
      <c r="DNQ585" s="300"/>
      <c r="DNR585" s="543"/>
      <c r="DNS585" s="533"/>
      <c r="DNT585" s="534"/>
      <c r="DNU585" s="316"/>
      <c r="DNV585" s="316"/>
      <c r="DNW585" s="471"/>
      <c r="DNX585" s="472"/>
      <c r="DNY585" s="471"/>
      <c r="DNZ585" s="473"/>
      <c r="DOA585" s="313"/>
      <c r="DOB585" s="535"/>
      <c r="DOC585" s="536"/>
      <c r="DOD585" s="537"/>
      <c r="DOE585" s="538"/>
      <c r="DOF585" s="539"/>
      <c r="DOG585" s="540"/>
      <c r="DOH585" s="209"/>
      <c r="DOI585" s="541"/>
      <c r="DOJ585" s="541"/>
      <c r="DOK585" s="482"/>
      <c r="DOL585" s="173"/>
      <c r="DOM585" s="173"/>
      <c r="DON585" s="544"/>
      <c r="DOP585" s="148"/>
      <c r="DOQ585" s="148"/>
      <c r="DOR585" s="149"/>
      <c r="DOS585" s="150"/>
      <c r="DOU585" s="152"/>
      <c r="DOV585" s="542"/>
      <c r="DOW585" s="154"/>
      <c r="DOX585" s="175"/>
      <c r="DOZ585" s="156"/>
      <c r="DPA585" s="287"/>
      <c r="DPB585" s="488"/>
      <c r="DPC585" s="489"/>
      <c r="DPD585" s="488"/>
      <c r="DPE585" s="300"/>
      <c r="DPF585" s="543"/>
      <c r="DPG585" s="533"/>
      <c r="DPH585" s="534"/>
      <c r="DPI585" s="316"/>
      <c r="DPJ585" s="316"/>
      <c r="DPK585" s="471"/>
      <c r="DPL585" s="472"/>
      <c r="DPM585" s="471"/>
      <c r="DPN585" s="473"/>
      <c r="DPO585" s="313"/>
      <c r="DPP585" s="535"/>
      <c r="DPQ585" s="536"/>
      <c r="DPR585" s="537"/>
      <c r="DPS585" s="538"/>
      <c r="DPT585" s="539"/>
      <c r="DPU585" s="540"/>
      <c r="DPV585" s="209"/>
      <c r="DPW585" s="541"/>
      <c r="DPX585" s="541"/>
      <c r="DPY585" s="482"/>
      <c r="DPZ585" s="173"/>
      <c r="DQA585" s="173"/>
      <c r="DQB585" s="544"/>
      <c r="DQD585" s="148"/>
      <c r="DQE585" s="148"/>
      <c r="DQF585" s="149"/>
      <c r="DQG585" s="150"/>
      <c r="DQI585" s="152"/>
      <c r="DQJ585" s="542"/>
      <c r="DQK585" s="154"/>
      <c r="DQL585" s="175"/>
      <c r="DQN585" s="156"/>
      <c r="DQO585" s="287"/>
      <c r="DQP585" s="488"/>
      <c r="DQQ585" s="489"/>
      <c r="DQR585" s="488"/>
      <c r="DQS585" s="300"/>
      <c r="DQT585" s="543"/>
      <c r="DQU585" s="533"/>
      <c r="DQV585" s="534"/>
      <c r="DQW585" s="316"/>
      <c r="DQX585" s="316"/>
      <c r="DQY585" s="471"/>
      <c r="DQZ585" s="472"/>
      <c r="DRA585" s="471"/>
      <c r="DRB585" s="473"/>
      <c r="DRC585" s="313"/>
      <c r="DRD585" s="535"/>
      <c r="DRE585" s="536"/>
      <c r="DRF585" s="537"/>
      <c r="DRG585" s="538"/>
      <c r="DRH585" s="539"/>
      <c r="DRI585" s="540"/>
      <c r="DRJ585" s="209"/>
      <c r="DRK585" s="541"/>
      <c r="DRL585" s="541"/>
      <c r="DRM585" s="482"/>
      <c r="DRN585" s="173"/>
      <c r="DRO585" s="173"/>
      <c r="DRP585" s="544"/>
      <c r="DRR585" s="148"/>
      <c r="DRS585" s="148"/>
      <c r="DRT585" s="149"/>
      <c r="DRU585" s="150"/>
      <c r="DRW585" s="152"/>
      <c r="DRX585" s="542"/>
      <c r="DRY585" s="154"/>
      <c r="DRZ585" s="175"/>
      <c r="DSB585" s="156"/>
      <c r="DSC585" s="287"/>
      <c r="DSD585" s="488"/>
      <c r="DSE585" s="489"/>
      <c r="DSF585" s="488"/>
      <c r="DSG585" s="300"/>
      <c r="DSH585" s="543"/>
      <c r="DSI585" s="533"/>
      <c r="DSJ585" s="534"/>
      <c r="DSK585" s="316"/>
      <c r="DSL585" s="316"/>
      <c r="DSM585" s="471"/>
      <c r="DSN585" s="472"/>
      <c r="DSO585" s="471"/>
      <c r="DSP585" s="473"/>
      <c r="DSQ585" s="313"/>
      <c r="DSR585" s="535"/>
      <c r="DSS585" s="536"/>
      <c r="DST585" s="537"/>
      <c r="DSU585" s="538"/>
      <c r="DSV585" s="539"/>
      <c r="DSW585" s="540"/>
      <c r="DSX585" s="209"/>
      <c r="DSY585" s="541"/>
      <c r="DSZ585" s="541"/>
      <c r="DTA585" s="482"/>
      <c r="DTB585" s="173"/>
      <c r="DTC585" s="173"/>
      <c r="DTD585" s="544"/>
      <c r="DTF585" s="148"/>
      <c r="DTG585" s="148"/>
      <c r="DTH585" s="149"/>
      <c r="DTI585" s="150"/>
      <c r="DTK585" s="152"/>
      <c r="DTL585" s="542"/>
      <c r="DTM585" s="154"/>
      <c r="DTN585" s="175"/>
      <c r="DTP585" s="156"/>
      <c r="DTQ585" s="287"/>
      <c r="DTR585" s="488"/>
      <c r="DTS585" s="489"/>
      <c r="DTT585" s="488"/>
      <c r="DTU585" s="300"/>
      <c r="DTV585" s="543"/>
      <c r="DTW585" s="533"/>
      <c r="DTX585" s="534"/>
      <c r="DTY585" s="316"/>
      <c r="DTZ585" s="316"/>
      <c r="DUA585" s="471"/>
      <c r="DUB585" s="472"/>
      <c r="DUC585" s="471"/>
      <c r="DUD585" s="473"/>
      <c r="DUE585" s="313"/>
      <c r="DUF585" s="535"/>
      <c r="DUG585" s="536"/>
      <c r="DUH585" s="537"/>
      <c r="DUI585" s="538"/>
      <c r="DUJ585" s="539"/>
      <c r="DUK585" s="540"/>
      <c r="DUL585" s="209"/>
      <c r="DUM585" s="541"/>
      <c r="DUN585" s="541"/>
      <c r="DUO585" s="482"/>
      <c r="DUP585" s="173"/>
      <c r="DUQ585" s="173"/>
      <c r="DUR585" s="544"/>
      <c r="DUT585" s="148"/>
      <c r="DUU585" s="148"/>
      <c r="DUV585" s="149"/>
      <c r="DUW585" s="150"/>
      <c r="DUY585" s="152"/>
      <c r="DUZ585" s="542"/>
      <c r="DVA585" s="154"/>
      <c r="DVB585" s="175"/>
      <c r="DVD585" s="156"/>
      <c r="DVE585" s="287"/>
      <c r="DVF585" s="488"/>
      <c r="DVG585" s="489"/>
      <c r="DVH585" s="488"/>
      <c r="DVI585" s="300"/>
      <c r="DVJ585" s="543"/>
      <c r="DVK585" s="533"/>
      <c r="DVL585" s="534"/>
      <c r="DVM585" s="316"/>
      <c r="DVN585" s="316"/>
      <c r="DVO585" s="471"/>
      <c r="DVP585" s="472"/>
      <c r="DVQ585" s="471"/>
      <c r="DVR585" s="473"/>
      <c r="DVS585" s="313"/>
      <c r="DVT585" s="535"/>
      <c r="DVU585" s="536"/>
      <c r="DVV585" s="537"/>
      <c r="DVW585" s="538"/>
      <c r="DVX585" s="539"/>
      <c r="DVY585" s="540"/>
      <c r="DVZ585" s="209"/>
      <c r="DWA585" s="541"/>
      <c r="DWB585" s="541"/>
      <c r="DWC585" s="482"/>
      <c r="DWD585" s="173"/>
      <c r="DWE585" s="173"/>
      <c r="DWF585" s="544"/>
      <c r="DWH585" s="148"/>
      <c r="DWI585" s="148"/>
      <c r="DWJ585" s="149"/>
      <c r="DWK585" s="150"/>
      <c r="DWM585" s="152"/>
      <c r="DWN585" s="542"/>
      <c r="DWO585" s="154"/>
      <c r="DWP585" s="175"/>
      <c r="DWR585" s="156"/>
      <c r="DWS585" s="287"/>
      <c r="DWT585" s="488"/>
      <c r="DWU585" s="489"/>
      <c r="DWV585" s="488"/>
      <c r="DWW585" s="300"/>
      <c r="DWX585" s="543"/>
      <c r="DWY585" s="533"/>
      <c r="DWZ585" s="534"/>
      <c r="DXA585" s="316"/>
      <c r="DXB585" s="316"/>
      <c r="DXC585" s="471"/>
      <c r="DXD585" s="472"/>
      <c r="DXE585" s="471"/>
      <c r="DXF585" s="473"/>
      <c r="DXG585" s="313"/>
      <c r="DXH585" s="535"/>
      <c r="DXI585" s="536"/>
      <c r="DXJ585" s="537"/>
      <c r="DXK585" s="538"/>
      <c r="DXL585" s="539"/>
      <c r="DXM585" s="540"/>
      <c r="DXN585" s="209"/>
      <c r="DXO585" s="541"/>
      <c r="DXP585" s="541"/>
      <c r="DXQ585" s="482"/>
      <c r="DXR585" s="173"/>
      <c r="DXS585" s="173"/>
      <c r="DXT585" s="544"/>
      <c r="DXV585" s="148"/>
      <c r="DXW585" s="148"/>
      <c r="DXX585" s="149"/>
      <c r="DXY585" s="150"/>
      <c r="DYA585" s="152"/>
      <c r="DYB585" s="542"/>
      <c r="DYC585" s="154"/>
      <c r="DYD585" s="175"/>
      <c r="DYF585" s="156"/>
      <c r="DYG585" s="287"/>
      <c r="DYH585" s="488"/>
      <c r="DYI585" s="489"/>
      <c r="DYJ585" s="488"/>
      <c r="DYK585" s="300"/>
      <c r="DYL585" s="543"/>
      <c r="DYM585" s="533"/>
      <c r="DYN585" s="534"/>
      <c r="DYO585" s="316"/>
      <c r="DYP585" s="316"/>
      <c r="DYQ585" s="471"/>
      <c r="DYR585" s="472"/>
      <c r="DYS585" s="471"/>
      <c r="DYT585" s="473"/>
      <c r="DYU585" s="313"/>
      <c r="DYV585" s="535"/>
      <c r="DYW585" s="536"/>
      <c r="DYX585" s="537"/>
      <c r="DYY585" s="538"/>
      <c r="DYZ585" s="539"/>
      <c r="DZA585" s="540"/>
      <c r="DZB585" s="209"/>
      <c r="DZC585" s="541"/>
      <c r="DZD585" s="541"/>
      <c r="DZE585" s="482"/>
      <c r="DZF585" s="173"/>
      <c r="DZG585" s="173"/>
      <c r="DZH585" s="544"/>
      <c r="DZJ585" s="148"/>
      <c r="DZK585" s="148"/>
      <c r="DZL585" s="149"/>
      <c r="DZM585" s="150"/>
      <c r="DZO585" s="152"/>
      <c r="DZP585" s="542"/>
      <c r="DZQ585" s="154"/>
      <c r="DZR585" s="175"/>
      <c r="DZT585" s="156"/>
      <c r="DZU585" s="287"/>
      <c r="DZV585" s="488"/>
      <c r="DZW585" s="489"/>
      <c r="DZX585" s="488"/>
      <c r="DZY585" s="300"/>
      <c r="DZZ585" s="543"/>
      <c r="EAA585" s="533"/>
      <c r="EAB585" s="534"/>
      <c r="EAC585" s="316"/>
      <c r="EAD585" s="316"/>
      <c r="EAE585" s="471"/>
      <c r="EAF585" s="472"/>
      <c r="EAG585" s="471"/>
      <c r="EAH585" s="473"/>
      <c r="EAI585" s="313"/>
      <c r="EAJ585" s="535"/>
      <c r="EAK585" s="536"/>
      <c r="EAL585" s="537"/>
      <c r="EAM585" s="538"/>
      <c r="EAN585" s="539"/>
      <c r="EAO585" s="540"/>
      <c r="EAP585" s="209"/>
      <c r="EAQ585" s="541"/>
      <c r="EAR585" s="541"/>
      <c r="EAS585" s="482"/>
      <c r="EAT585" s="173"/>
      <c r="EAU585" s="173"/>
      <c r="EAV585" s="544"/>
      <c r="EAX585" s="148"/>
      <c r="EAY585" s="148"/>
      <c r="EAZ585" s="149"/>
      <c r="EBA585" s="150"/>
      <c r="EBC585" s="152"/>
      <c r="EBD585" s="542"/>
      <c r="EBE585" s="154"/>
      <c r="EBF585" s="175"/>
      <c r="EBH585" s="156"/>
      <c r="EBI585" s="287"/>
      <c r="EBJ585" s="488"/>
      <c r="EBK585" s="489"/>
      <c r="EBL585" s="488"/>
      <c r="EBM585" s="300"/>
      <c r="EBN585" s="543"/>
      <c r="EBO585" s="533"/>
      <c r="EBP585" s="534"/>
      <c r="EBQ585" s="316"/>
      <c r="EBR585" s="316"/>
      <c r="EBS585" s="471"/>
      <c r="EBT585" s="472"/>
      <c r="EBU585" s="471"/>
      <c r="EBV585" s="473"/>
      <c r="EBW585" s="313"/>
      <c r="EBX585" s="535"/>
      <c r="EBY585" s="536"/>
      <c r="EBZ585" s="537"/>
      <c r="ECA585" s="538"/>
      <c r="ECB585" s="539"/>
      <c r="ECC585" s="540"/>
      <c r="ECD585" s="209"/>
      <c r="ECE585" s="541"/>
      <c r="ECF585" s="541"/>
      <c r="ECG585" s="482"/>
      <c r="ECH585" s="173"/>
      <c r="ECI585" s="173"/>
      <c r="ECJ585" s="544"/>
      <c r="ECL585" s="148"/>
      <c r="ECM585" s="148"/>
      <c r="ECN585" s="149"/>
      <c r="ECO585" s="150"/>
      <c r="ECQ585" s="152"/>
      <c r="ECR585" s="542"/>
      <c r="ECS585" s="154"/>
      <c r="ECT585" s="175"/>
      <c r="ECV585" s="156"/>
      <c r="ECW585" s="287"/>
      <c r="ECX585" s="488"/>
      <c r="ECY585" s="489"/>
      <c r="ECZ585" s="488"/>
      <c r="EDA585" s="300"/>
      <c r="EDB585" s="543"/>
      <c r="EDC585" s="533"/>
      <c r="EDD585" s="534"/>
      <c r="EDE585" s="316"/>
      <c r="EDF585" s="316"/>
      <c r="EDG585" s="471"/>
      <c r="EDH585" s="472"/>
      <c r="EDI585" s="471"/>
      <c r="EDJ585" s="473"/>
      <c r="EDK585" s="313"/>
      <c r="EDL585" s="535"/>
      <c r="EDM585" s="536"/>
      <c r="EDN585" s="537"/>
      <c r="EDO585" s="538"/>
      <c r="EDP585" s="539"/>
      <c r="EDQ585" s="540"/>
      <c r="EDR585" s="209"/>
      <c r="EDS585" s="541"/>
      <c r="EDT585" s="541"/>
      <c r="EDU585" s="482"/>
      <c r="EDV585" s="173"/>
      <c r="EDW585" s="173"/>
      <c r="EDX585" s="544"/>
      <c r="EDZ585" s="148"/>
      <c r="EEA585" s="148"/>
      <c r="EEB585" s="149"/>
      <c r="EEC585" s="150"/>
      <c r="EEE585" s="152"/>
      <c r="EEF585" s="542"/>
      <c r="EEG585" s="154"/>
      <c r="EEH585" s="175"/>
      <c r="EEJ585" s="156"/>
      <c r="EEK585" s="287"/>
      <c r="EEL585" s="488"/>
      <c r="EEM585" s="489"/>
      <c r="EEN585" s="488"/>
      <c r="EEO585" s="300"/>
      <c r="EEP585" s="543"/>
      <c r="EEQ585" s="533"/>
      <c r="EER585" s="534"/>
      <c r="EES585" s="316"/>
      <c r="EET585" s="316"/>
      <c r="EEU585" s="471"/>
      <c r="EEV585" s="472"/>
      <c r="EEW585" s="471"/>
      <c r="EEX585" s="473"/>
      <c r="EEY585" s="313"/>
      <c r="EEZ585" s="535"/>
      <c r="EFA585" s="536"/>
      <c r="EFB585" s="537"/>
      <c r="EFC585" s="538"/>
      <c r="EFD585" s="539"/>
      <c r="EFE585" s="540"/>
      <c r="EFF585" s="209"/>
      <c r="EFG585" s="541"/>
      <c r="EFH585" s="541"/>
      <c r="EFI585" s="482"/>
      <c r="EFJ585" s="173"/>
      <c r="EFK585" s="173"/>
      <c r="EFL585" s="544"/>
      <c r="EFN585" s="148"/>
      <c r="EFO585" s="148"/>
      <c r="EFP585" s="149"/>
      <c r="EFQ585" s="150"/>
      <c r="EFS585" s="152"/>
      <c r="EFT585" s="542"/>
      <c r="EFU585" s="154"/>
      <c r="EFV585" s="175"/>
      <c r="EFX585" s="156"/>
      <c r="EFY585" s="287"/>
      <c r="EFZ585" s="488"/>
      <c r="EGA585" s="489"/>
      <c r="EGB585" s="488"/>
      <c r="EGC585" s="300"/>
      <c r="EGD585" s="543"/>
      <c r="EGE585" s="533"/>
      <c r="EGF585" s="534"/>
      <c r="EGG585" s="316"/>
      <c r="EGH585" s="316"/>
      <c r="EGI585" s="471"/>
      <c r="EGJ585" s="472"/>
      <c r="EGK585" s="471"/>
      <c r="EGL585" s="473"/>
      <c r="EGM585" s="313"/>
      <c r="EGN585" s="535"/>
      <c r="EGO585" s="536"/>
      <c r="EGP585" s="537"/>
      <c r="EGQ585" s="538"/>
      <c r="EGR585" s="539"/>
      <c r="EGS585" s="540"/>
      <c r="EGT585" s="209"/>
      <c r="EGU585" s="541"/>
      <c r="EGV585" s="541"/>
      <c r="EGW585" s="482"/>
      <c r="EGX585" s="173"/>
      <c r="EGY585" s="173"/>
      <c r="EGZ585" s="544"/>
      <c r="EHB585" s="148"/>
      <c r="EHC585" s="148"/>
      <c r="EHD585" s="149"/>
      <c r="EHE585" s="150"/>
      <c r="EHG585" s="152"/>
      <c r="EHH585" s="542"/>
      <c r="EHI585" s="154"/>
      <c r="EHJ585" s="175"/>
      <c r="EHL585" s="156"/>
      <c r="EHM585" s="287"/>
      <c r="EHN585" s="488"/>
      <c r="EHO585" s="489"/>
      <c r="EHP585" s="488"/>
      <c r="EHQ585" s="300"/>
      <c r="EHR585" s="543"/>
      <c r="EHS585" s="533"/>
      <c r="EHT585" s="534"/>
      <c r="EHU585" s="316"/>
      <c r="EHV585" s="316"/>
      <c r="EHW585" s="471"/>
      <c r="EHX585" s="472"/>
      <c r="EHY585" s="471"/>
      <c r="EHZ585" s="473"/>
      <c r="EIA585" s="313"/>
      <c r="EIB585" s="535"/>
      <c r="EIC585" s="536"/>
      <c r="EID585" s="537"/>
      <c r="EIE585" s="538"/>
      <c r="EIF585" s="539"/>
      <c r="EIG585" s="540"/>
      <c r="EIH585" s="209"/>
      <c r="EII585" s="541"/>
      <c r="EIJ585" s="541"/>
      <c r="EIK585" s="482"/>
      <c r="EIL585" s="173"/>
      <c r="EIM585" s="173"/>
      <c r="EIN585" s="544"/>
      <c r="EIP585" s="148"/>
      <c r="EIQ585" s="148"/>
      <c r="EIR585" s="149"/>
      <c r="EIS585" s="150"/>
      <c r="EIU585" s="152"/>
      <c r="EIV585" s="542"/>
      <c r="EIW585" s="154"/>
      <c r="EIX585" s="175"/>
      <c r="EIZ585" s="156"/>
      <c r="EJA585" s="287"/>
      <c r="EJB585" s="488"/>
      <c r="EJC585" s="489"/>
      <c r="EJD585" s="488"/>
      <c r="EJE585" s="300"/>
      <c r="EJF585" s="543"/>
      <c r="EJG585" s="533"/>
      <c r="EJH585" s="534"/>
      <c r="EJI585" s="316"/>
      <c r="EJJ585" s="316"/>
      <c r="EJK585" s="471"/>
      <c r="EJL585" s="472"/>
      <c r="EJM585" s="471"/>
      <c r="EJN585" s="473"/>
      <c r="EJO585" s="313"/>
      <c r="EJP585" s="535"/>
      <c r="EJQ585" s="536"/>
      <c r="EJR585" s="537"/>
      <c r="EJS585" s="538"/>
      <c r="EJT585" s="539"/>
      <c r="EJU585" s="540"/>
      <c r="EJV585" s="209"/>
      <c r="EJW585" s="541"/>
      <c r="EJX585" s="541"/>
      <c r="EJY585" s="482"/>
      <c r="EJZ585" s="173"/>
      <c r="EKA585" s="173"/>
      <c r="EKB585" s="544"/>
      <c r="EKD585" s="148"/>
      <c r="EKE585" s="148"/>
      <c r="EKF585" s="149"/>
      <c r="EKG585" s="150"/>
      <c r="EKI585" s="152"/>
      <c r="EKJ585" s="542"/>
      <c r="EKK585" s="154"/>
      <c r="EKL585" s="175"/>
      <c r="EKN585" s="156"/>
      <c r="EKO585" s="287"/>
      <c r="EKP585" s="488"/>
      <c r="EKQ585" s="489"/>
      <c r="EKR585" s="488"/>
      <c r="EKS585" s="300"/>
      <c r="EKT585" s="543"/>
      <c r="EKU585" s="533"/>
      <c r="EKV585" s="534"/>
      <c r="EKW585" s="316"/>
      <c r="EKX585" s="316"/>
      <c r="EKY585" s="471"/>
      <c r="EKZ585" s="472"/>
      <c r="ELA585" s="471"/>
      <c r="ELB585" s="473"/>
      <c r="ELC585" s="313"/>
      <c r="ELD585" s="535"/>
      <c r="ELE585" s="536"/>
      <c r="ELF585" s="537"/>
      <c r="ELG585" s="538"/>
      <c r="ELH585" s="539"/>
      <c r="ELI585" s="540"/>
      <c r="ELJ585" s="209"/>
      <c r="ELK585" s="541"/>
      <c r="ELL585" s="541"/>
      <c r="ELM585" s="482"/>
      <c r="ELN585" s="173"/>
      <c r="ELO585" s="173"/>
      <c r="ELP585" s="544"/>
      <c r="ELR585" s="148"/>
      <c r="ELS585" s="148"/>
      <c r="ELT585" s="149"/>
      <c r="ELU585" s="150"/>
      <c r="ELW585" s="152"/>
      <c r="ELX585" s="542"/>
      <c r="ELY585" s="154"/>
      <c r="ELZ585" s="175"/>
      <c r="EMB585" s="156"/>
      <c r="EMC585" s="287"/>
      <c r="EMD585" s="488"/>
      <c r="EME585" s="489"/>
      <c r="EMF585" s="488"/>
      <c r="EMG585" s="300"/>
      <c r="EMH585" s="543"/>
      <c r="EMI585" s="533"/>
      <c r="EMJ585" s="534"/>
      <c r="EMK585" s="316"/>
      <c r="EML585" s="316"/>
      <c r="EMM585" s="471"/>
      <c r="EMN585" s="472"/>
      <c r="EMO585" s="471"/>
      <c r="EMP585" s="473"/>
      <c r="EMQ585" s="313"/>
      <c r="EMR585" s="535"/>
      <c r="EMS585" s="536"/>
      <c r="EMT585" s="537"/>
      <c r="EMU585" s="538"/>
      <c r="EMV585" s="539"/>
      <c r="EMW585" s="540"/>
      <c r="EMX585" s="209"/>
      <c r="EMY585" s="541"/>
      <c r="EMZ585" s="541"/>
      <c r="ENA585" s="482"/>
      <c r="ENB585" s="173"/>
      <c r="ENC585" s="173"/>
      <c r="END585" s="544"/>
      <c r="ENF585" s="148"/>
      <c r="ENG585" s="148"/>
      <c r="ENH585" s="149"/>
      <c r="ENI585" s="150"/>
      <c r="ENK585" s="152"/>
      <c r="ENL585" s="542"/>
      <c r="ENM585" s="154"/>
      <c r="ENN585" s="175"/>
      <c r="ENP585" s="156"/>
      <c r="ENQ585" s="287"/>
      <c r="ENR585" s="488"/>
      <c r="ENS585" s="489"/>
      <c r="ENT585" s="488"/>
      <c r="ENU585" s="300"/>
      <c r="ENV585" s="543"/>
      <c r="ENW585" s="533"/>
      <c r="ENX585" s="534"/>
      <c r="ENY585" s="316"/>
      <c r="ENZ585" s="316"/>
      <c r="EOA585" s="471"/>
      <c r="EOB585" s="472"/>
      <c r="EOC585" s="471"/>
      <c r="EOD585" s="473"/>
      <c r="EOE585" s="313"/>
      <c r="EOF585" s="535"/>
      <c r="EOG585" s="536"/>
      <c r="EOH585" s="537"/>
      <c r="EOI585" s="538"/>
      <c r="EOJ585" s="539"/>
      <c r="EOK585" s="540"/>
      <c r="EOL585" s="209"/>
      <c r="EOM585" s="541"/>
      <c r="EON585" s="541"/>
      <c r="EOO585" s="482"/>
      <c r="EOP585" s="173"/>
      <c r="EOQ585" s="173"/>
      <c r="EOR585" s="544"/>
      <c r="EOT585" s="148"/>
      <c r="EOU585" s="148"/>
      <c r="EOV585" s="149"/>
      <c r="EOW585" s="150"/>
      <c r="EOY585" s="152"/>
      <c r="EOZ585" s="542"/>
      <c r="EPA585" s="154"/>
      <c r="EPB585" s="175"/>
      <c r="EPD585" s="156"/>
      <c r="EPE585" s="287"/>
      <c r="EPF585" s="488"/>
      <c r="EPG585" s="489"/>
      <c r="EPH585" s="488"/>
      <c r="EPI585" s="300"/>
      <c r="EPJ585" s="543"/>
      <c r="EPK585" s="533"/>
      <c r="EPL585" s="534"/>
      <c r="EPM585" s="316"/>
      <c r="EPN585" s="316"/>
      <c r="EPO585" s="471"/>
      <c r="EPP585" s="472"/>
      <c r="EPQ585" s="471"/>
      <c r="EPR585" s="473"/>
      <c r="EPS585" s="313"/>
      <c r="EPT585" s="535"/>
      <c r="EPU585" s="536"/>
      <c r="EPV585" s="537"/>
      <c r="EPW585" s="538"/>
      <c r="EPX585" s="539"/>
      <c r="EPY585" s="540"/>
      <c r="EPZ585" s="209"/>
      <c r="EQA585" s="541"/>
      <c r="EQB585" s="541"/>
      <c r="EQC585" s="482"/>
      <c r="EQD585" s="173"/>
      <c r="EQE585" s="173"/>
      <c r="EQF585" s="544"/>
      <c r="EQH585" s="148"/>
      <c r="EQI585" s="148"/>
      <c r="EQJ585" s="149"/>
      <c r="EQK585" s="150"/>
      <c r="EQM585" s="152"/>
      <c r="EQN585" s="542"/>
      <c r="EQO585" s="154"/>
      <c r="EQP585" s="175"/>
      <c r="EQR585" s="156"/>
      <c r="EQS585" s="287"/>
      <c r="EQT585" s="488"/>
      <c r="EQU585" s="489"/>
      <c r="EQV585" s="488"/>
      <c r="EQW585" s="300"/>
      <c r="EQX585" s="543"/>
      <c r="EQY585" s="533"/>
      <c r="EQZ585" s="534"/>
      <c r="ERA585" s="316"/>
      <c r="ERB585" s="316"/>
      <c r="ERC585" s="471"/>
      <c r="ERD585" s="472"/>
      <c r="ERE585" s="471"/>
      <c r="ERF585" s="473"/>
      <c r="ERG585" s="313"/>
      <c r="ERH585" s="535"/>
      <c r="ERI585" s="536"/>
      <c r="ERJ585" s="537"/>
      <c r="ERK585" s="538"/>
      <c r="ERL585" s="539"/>
      <c r="ERM585" s="540"/>
      <c r="ERN585" s="209"/>
      <c r="ERO585" s="541"/>
      <c r="ERP585" s="541"/>
      <c r="ERQ585" s="482"/>
      <c r="ERR585" s="173"/>
      <c r="ERS585" s="173"/>
      <c r="ERT585" s="544"/>
      <c r="ERV585" s="148"/>
      <c r="ERW585" s="148"/>
      <c r="ERX585" s="149"/>
      <c r="ERY585" s="150"/>
      <c r="ESA585" s="152"/>
      <c r="ESB585" s="542"/>
      <c r="ESC585" s="154"/>
      <c r="ESD585" s="175"/>
      <c r="ESF585" s="156"/>
      <c r="ESG585" s="287"/>
      <c r="ESH585" s="488"/>
      <c r="ESI585" s="489"/>
      <c r="ESJ585" s="488"/>
      <c r="ESK585" s="300"/>
      <c r="ESL585" s="543"/>
      <c r="ESM585" s="533"/>
      <c r="ESN585" s="534"/>
      <c r="ESO585" s="316"/>
      <c r="ESP585" s="316"/>
      <c r="ESQ585" s="471"/>
      <c r="ESR585" s="472"/>
      <c r="ESS585" s="471"/>
      <c r="EST585" s="473"/>
      <c r="ESU585" s="313"/>
      <c r="ESV585" s="535"/>
      <c r="ESW585" s="536"/>
      <c r="ESX585" s="537"/>
      <c r="ESY585" s="538"/>
      <c r="ESZ585" s="539"/>
      <c r="ETA585" s="540"/>
      <c r="ETB585" s="209"/>
      <c r="ETC585" s="541"/>
      <c r="ETD585" s="541"/>
      <c r="ETE585" s="482"/>
      <c r="ETF585" s="173"/>
      <c r="ETG585" s="173"/>
      <c r="ETH585" s="544"/>
      <c r="ETJ585" s="148"/>
      <c r="ETK585" s="148"/>
      <c r="ETL585" s="149"/>
      <c r="ETM585" s="150"/>
      <c r="ETO585" s="152"/>
      <c r="ETP585" s="542"/>
      <c r="ETQ585" s="154"/>
      <c r="ETR585" s="175"/>
      <c r="ETT585" s="156"/>
      <c r="ETU585" s="287"/>
      <c r="ETV585" s="488"/>
      <c r="ETW585" s="489"/>
      <c r="ETX585" s="488"/>
      <c r="ETY585" s="300"/>
      <c r="ETZ585" s="543"/>
      <c r="EUA585" s="533"/>
      <c r="EUB585" s="534"/>
      <c r="EUC585" s="316"/>
      <c r="EUD585" s="316"/>
      <c r="EUE585" s="471"/>
      <c r="EUF585" s="472"/>
      <c r="EUG585" s="471"/>
      <c r="EUH585" s="473"/>
      <c r="EUI585" s="313"/>
      <c r="EUJ585" s="535"/>
      <c r="EUK585" s="536"/>
      <c r="EUL585" s="537"/>
      <c r="EUM585" s="538"/>
      <c r="EUN585" s="539"/>
      <c r="EUO585" s="540"/>
      <c r="EUP585" s="209"/>
      <c r="EUQ585" s="541"/>
      <c r="EUR585" s="541"/>
      <c r="EUS585" s="482"/>
      <c r="EUT585" s="173"/>
      <c r="EUU585" s="173"/>
      <c r="EUV585" s="544"/>
      <c r="EUX585" s="148"/>
      <c r="EUY585" s="148"/>
      <c r="EUZ585" s="149"/>
      <c r="EVA585" s="150"/>
      <c r="EVC585" s="152"/>
      <c r="EVD585" s="542"/>
      <c r="EVE585" s="154"/>
      <c r="EVF585" s="175"/>
      <c r="EVH585" s="156"/>
      <c r="EVI585" s="287"/>
      <c r="EVJ585" s="488"/>
      <c r="EVK585" s="489"/>
      <c r="EVL585" s="488"/>
      <c r="EVM585" s="300"/>
      <c r="EVN585" s="543"/>
      <c r="EVO585" s="533"/>
      <c r="EVP585" s="534"/>
      <c r="EVQ585" s="316"/>
      <c r="EVR585" s="316"/>
      <c r="EVS585" s="471"/>
      <c r="EVT585" s="472"/>
      <c r="EVU585" s="471"/>
      <c r="EVV585" s="473"/>
      <c r="EVW585" s="313"/>
      <c r="EVX585" s="535"/>
      <c r="EVY585" s="536"/>
      <c r="EVZ585" s="537"/>
      <c r="EWA585" s="538"/>
      <c r="EWB585" s="539"/>
      <c r="EWC585" s="540"/>
      <c r="EWD585" s="209"/>
      <c r="EWE585" s="541"/>
      <c r="EWF585" s="541"/>
      <c r="EWG585" s="482"/>
      <c r="EWH585" s="173"/>
      <c r="EWI585" s="173"/>
      <c r="EWJ585" s="544"/>
      <c r="EWL585" s="148"/>
      <c r="EWM585" s="148"/>
      <c r="EWN585" s="149"/>
      <c r="EWO585" s="150"/>
      <c r="EWQ585" s="152"/>
      <c r="EWR585" s="542"/>
      <c r="EWS585" s="154"/>
      <c r="EWT585" s="175"/>
      <c r="EWV585" s="156"/>
      <c r="EWW585" s="287"/>
      <c r="EWX585" s="488"/>
      <c r="EWY585" s="489"/>
      <c r="EWZ585" s="488"/>
      <c r="EXA585" s="300"/>
      <c r="EXB585" s="543"/>
      <c r="EXC585" s="533"/>
      <c r="EXD585" s="534"/>
      <c r="EXE585" s="316"/>
      <c r="EXF585" s="316"/>
      <c r="EXG585" s="471"/>
      <c r="EXH585" s="472"/>
      <c r="EXI585" s="471"/>
      <c r="EXJ585" s="473"/>
      <c r="EXK585" s="313"/>
      <c r="EXL585" s="535"/>
      <c r="EXM585" s="536"/>
      <c r="EXN585" s="537"/>
      <c r="EXO585" s="538"/>
      <c r="EXP585" s="539"/>
      <c r="EXQ585" s="540"/>
      <c r="EXR585" s="209"/>
      <c r="EXS585" s="541"/>
      <c r="EXT585" s="541"/>
      <c r="EXU585" s="482"/>
      <c r="EXV585" s="173"/>
      <c r="EXW585" s="173"/>
      <c r="EXX585" s="544"/>
      <c r="EXZ585" s="148"/>
      <c r="EYA585" s="148"/>
      <c r="EYB585" s="149"/>
      <c r="EYC585" s="150"/>
      <c r="EYE585" s="152"/>
      <c r="EYF585" s="542"/>
      <c r="EYG585" s="154"/>
      <c r="EYH585" s="175"/>
      <c r="EYJ585" s="156"/>
      <c r="EYK585" s="287"/>
      <c r="EYL585" s="488"/>
      <c r="EYM585" s="489"/>
      <c r="EYN585" s="488"/>
      <c r="EYO585" s="300"/>
      <c r="EYP585" s="543"/>
      <c r="EYQ585" s="533"/>
      <c r="EYR585" s="534"/>
      <c r="EYS585" s="316"/>
      <c r="EYT585" s="316"/>
      <c r="EYU585" s="471"/>
      <c r="EYV585" s="472"/>
      <c r="EYW585" s="471"/>
      <c r="EYX585" s="473"/>
      <c r="EYY585" s="313"/>
      <c r="EYZ585" s="535"/>
      <c r="EZA585" s="536"/>
      <c r="EZB585" s="537"/>
      <c r="EZC585" s="538"/>
      <c r="EZD585" s="539"/>
      <c r="EZE585" s="540"/>
      <c r="EZF585" s="209"/>
      <c r="EZG585" s="541"/>
      <c r="EZH585" s="541"/>
      <c r="EZI585" s="482"/>
      <c r="EZJ585" s="173"/>
      <c r="EZK585" s="173"/>
      <c r="EZL585" s="544"/>
      <c r="EZN585" s="148"/>
      <c r="EZO585" s="148"/>
      <c r="EZP585" s="149"/>
      <c r="EZQ585" s="150"/>
      <c r="EZS585" s="152"/>
      <c r="EZT585" s="542"/>
      <c r="EZU585" s="154"/>
      <c r="EZV585" s="175"/>
      <c r="EZX585" s="156"/>
      <c r="EZY585" s="287"/>
      <c r="EZZ585" s="488"/>
      <c r="FAA585" s="489"/>
      <c r="FAB585" s="488"/>
      <c r="FAC585" s="300"/>
      <c r="FAD585" s="543"/>
      <c r="FAE585" s="533"/>
      <c r="FAF585" s="534"/>
      <c r="FAG585" s="316"/>
      <c r="FAH585" s="316"/>
      <c r="FAI585" s="471"/>
      <c r="FAJ585" s="472"/>
      <c r="FAK585" s="471"/>
      <c r="FAL585" s="473"/>
      <c r="FAM585" s="313"/>
      <c r="FAN585" s="535"/>
      <c r="FAO585" s="536"/>
      <c r="FAP585" s="537"/>
      <c r="FAQ585" s="538"/>
      <c r="FAR585" s="539"/>
      <c r="FAS585" s="540"/>
      <c r="FAT585" s="209"/>
      <c r="FAU585" s="541"/>
      <c r="FAV585" s="541"/>
      <c r="FAW585" s="482"/>
      <c r="FAX585" s="173"/>
      <c r="FAY585" s="173"/>
      <c r="FAZ585" s="544"/>
      <c r="FBB585" s="148"/>
      <c r="FBC585" s="148"/>
      <c r="FBD585" s="149"/>
      <c r="FBE585" s="150"/>
      <c r="FBG585" s="152"/>
      <c r="FBH585" s="542"/>
      <c r="FBI585" s="154"/>
      <c r="FBJ585" s="175"/>
      <c r="FBL585" s="156"/>
      <c r="FBM585" s="287"/>
      <c r="FBN585" s="488"/>
      <c r="FBO585" s="489"/>
      <c r="FBP585" s="488"/>
      <c r="FBQ585" s="300"/>
      <c r="FBR585" s="543"/>
      <c r="FBS585" s="533"/>
      <c r="FBT585" s="534"/>
      <c r="FBU585" s="316"/>
      <c r="FBV585" s="316"/>
      <c r="FBW585" s="471"/>
      <c r="FBX585" s="472"/>
      <c r="FBY585" s="471"/>
      <c r="FBZ585" s="473"/>
      <c r="FCA585" s="313"/>
      <c r="FCB585" s="535"/>
      <c r="FCC585" s="536"/>
      <c r="FCD585" s="537"/>
      <c r="FCE585" s="538"/>
      <c r="FCF585" s="539"/>
      <c r="FCG585" s="540"/>
      <c r="FCH585" s="209"/>
      <c r="FCI585" s="541"/>
      <c r="FCJ585" s="541"/>
      <c r="FCK585" s="482"/>
      <c r="FCL585" s="173"/>
      <c r="FCM585" s="173"/>
      <c r="FCN585" s="544"/>
      <c r="FCP585" s="148"/>
      <c r="FCQ585" s="148"/>
      <c r="FCR585" s="149"/>
      <c r="FCS585" s="150"/>
      <c r="FCU585" s="152"/>
      <c r="FCV585" s="542"/>
      <c r="FCW585" s="154"/>
      <c r="FCX585" s="175"/>
      <c r="FCZ585" s="156"/>
      <c r="FDA585" s="287"/>
      <c r="FDB585" s="488"/>
      <c r="FDC585" s="489"/>
      <c r="FDD585" s="488"/>
      <c r="FDE585" s="300"/>
      <c r="FDF585" s="543"/>
      <c r="FDG585" s="533"/>
      <c r="FDH585" s="534"/>
      <c r="FDI585" s="316"/>
      <c r="FDJ585" s="316"/>
      <c r="FDK585" s="471"/>
      <c r="FDL585" s="472"/>
      <c r="FDM585" s="471"/>
      <c r="FDN585" s="473"/>
      <c r="FDO585" s="313"/>
      <c r="FDP585" s="535"/>
      <c r="FDQ585" s="536"/>
      <c r="FDR585" s="537"/>
      <c r="FDS585" s="538"/>
      <c r="FDT585" s="539"/>
      <c r="FDU585" s="540"/>
      <c r="FDV585" s="209"/>
      <c r="FDW585" s="541"/>
      <c r="FDX585" s="541"/>
      <c r="FDY585" s="482"/>
      <c r="FDZ585" s="173"/>
      <c r="FEA585" s="173"/>
      <c r="FEB585" s="544"/>
      <c r="FED585" s="148"/>
      <c r="FEE585" s="148"/>
      <c r="FEF585" s="149"/>
      <c r="FEG585" s="150"/>
      <c r="FEI585" s="152"/>
      <c r="FEJ585" s="542"/>
      <c r="FEK585" s="154"/>
      <c r="FEL585" s="175"/>
      <c r="FEN585" s="156"/>
      <c r="FEO585" s="287"/>
      <c r="FEP585" s="488"/>
      <c r="FEQ585" s="489"/>
      <c r="FER585" s="488"/>
      <c r="FES585" s="300"/>
      <c r="FET585" s="543"/>
      <c r="FEU585" s="533"/>
      <c r="FEV585" s="534"/>
      <c r="FEW585" s="316"/>
      <c r="FEX585" s="316"/>
      <c r="FEY585" s="471"/>
      <c r="FEZ585" s="472"/>
      <c r="FFA585" s="471"/>
      <c r="FFB585" s="473"/>
      <c r="FFC585" s="313"/>
      <c r="FFD585" s="535"/>
      <c r="FFE585" s="536"/>
      <c r="FFF585" s="537"/>
      <c r="FFG585" s="538"/>
      <c r="FFH585" s="539"/>
      <c r="FFI585" s="540"/>
      <c r="FFJ585" s="209"/>
      <c r="FFK585" s="541"/>
      <c r="FFL585" s="541"/>
      <c r="FFM585" s="482"/>
      <c r="FFN585" s="173"/>
      <c r="FFO585" s="173"/>
      <c r="FFP585" s="544"/>
      <c r="FFR585" s="148"/>
      <c r="FFS585" s="148"/>
      <c r="FFT585" s="149"/>
      <c r="FFU585" s="150"/>
      <c r="FFW585" s="152"/>
      <c r="FFX585" s="542"/>
      <c r="FFY585" s="154"/>
      <c r="FFZ585" s="175"/>
      <c r="FGB585" s="156"/>
      <c r="FGC585" s="287"/>
      <c r="FGD585" s="488"/>
      <c r="FGE585" s="489"/>
      <c r="FGF585" s="488"/>
      <c r="FGG585" s="300"/>
      <c r="FGH585" s="543"/>
      <c r="FGI585" s="533"/>
      <c r="FGJ585" s="534"/>
      <c r="FGK585" s="316"/>
      <c r="FGL585" s="316"/>
      <c r="FGM585" s="471"/>
      <c r="FGN585" s="472"/>
      <c r="FGO585" s="471"/>
      <c r="FGP585" s="473"/>
      <c r="FGQ585" s="313"/>
      <c r="FGR585" s="535"/>
      <c r="FGS585" s="536"/>
      <c r="FGT585" s="537"/>
      <c r="FGU585" s="538"/>
      <c r="FGV585" s="539"/>
      <c r="FGW585" s="540"/>
      <c r="FGX585" s="209"/>
      <c r="FGY585" s="541"/>
      <c r="FGZ585" s="541"/>
      <c r="FHA585" s="482"/>
      <c r="FHB585" s="173"/>
      <c r="FHC585" s="173"/>
      <c r="FHD585" s="544"/>
      <c r="FHF585" s="148"/>
      <c r="FHG585" s="148"/>
      <c r="FHH585" s="149"/>
      <c r="FHI585" s="150"/>
      <c r="FHK585" s="152"/>
      <c r="FHL585" s="542"/>
      <c r="FHM585" s="154"/>
      <c r="FHN585" s="175"/>
      <c r="FHP585" s="156"/>
      <c r="FHQ585" s="287"/>
      <c r="FHR585" s="488"/>
      <c r="FHS585" s="489"/>
      <c r="FHT585" s="488"/>
      <c r="FHU585" s="300"/>
      <c r="FHV585" s="543"/>
      <c r="FHW585" s="533"/>
      <c r="FHX585" s="534"/>
      <c r="FHY585" s="316"/>
      <c r="FHZ585" s="316"/>
      <c r="FIA585" s="471"/>
      <c r="FIB585" s="472"/>
      <c r="FIC585" s="471"/>
      <c r="FID585" s="473"/>
      <c r="FIE585" s="313"/>
      <c r="FIF585" s="535"/>
      <c r="FIG585" s="536"/>
      <c r="FIH585" s="537"/>
      <c r="FII585" s="538"/>
      <c r="FIJ585" s="539"/>
      <c r="FIK585" s="540"/>
      <c r="FIL585" s="209"/>
      <c r="FIM585" s="541"/>
      <c r="FIN585" s="541"/>
      <c r="FIO585" s="482"/>
      <c r="FIP585" s="173"/>
      <c r="FIQ585" s="173"/>
      <c r="FIR585" s="544"/>
      <c r="FIT585" s="148"/>
      <c r="FIU585" s="148"/>
      <c r="FIV585" s="149"/>
      <c r="FIW585" s="150"/>
      <c r="FIY585" s="152"/>
      <c r="FIZ585" s="542"/>
      <c r="FJA585" s="154"/>
      <c r="FJB585" s="175"/>
      <c r="FJD585" s="156"/>
      <c r="FJE585" s="287"/>
      <c r="FJF585" s="488"/>
      <c r="FJG585" s="489"/>
      <c r="FJH585" s="488"/>
      <c r="FJI585" s="300"/>
      <c r="FJJ585" s="543"/>
      <c r="FJK585" s="533"/>
      <c r="FJL585" s="534"/>
      <c r="FJM585" s="316"/>
      <c r="FJN585" s="316"/>
      <c r="FJO585" s="471"/>
      <c r="FJP585" s="472"/>
      <c r="FJQ585" s="471"/>
      <c r="FJR585" s="473"/>
      <c r="FJS585" s="313"/>
      <c r="FJT585" s="535"/>
      <c r="FJU585" s="536"/>
      <c r="FJV585" s="537"/>
      <c r="FJW585" s="538"/>
      <c r="FJX585" s="539"/>
      <c r="FJY585" s="540"/>
      <c r="FJZ585" s="209"/>
      <c r="FKA585" s="541"/>
      <c r="FKB585" s="541"/>
      <c r="FKC585" s="482"/>
      <c r="FKD585" s="173"/>
      <c r="FKE585" s="173"/>
      <c r="FKF585" s="544"/>
      <c r="FKH585" s="148"/>
      <c r="FKI585" s="148"/>
      <c r="FKJ585" s="149"/>
      <c r="FKK585" s="150"/>
      <c r="FKM585" s="152"/>
      <c r="FKN585" s="542"/>
      <c r="FKO585" s="154"/>
      <c r="FKP585" s="175"/>
      <c r="FKR585" s="156"/>
      <c r="FKS585" s="287"/>
      <c r="FKT585" s="488"/>
      <c r="FKU585" s="489"/>
      <c r="FKV585" s="488"/>
      <c r="FKW585" s="300"/>
      <c r="FKX585" s="543"/>
      <c r="FKY585" s="533"/>
      <c r="FKZ585" s="534"/>
      <c r="FLA585" s="316"/>
      <c r="FLB585" s="316"/>
      <c r="FLC585" s="471"/>
      <c r="FLD585" s="472"/>
      <c r="FLE585" s="471"/>
      <c r="FLF585" s="473"/>
      <c r="FLG585" s="313"/>
      <c r="FLH585" s="535"/>
      <c r="FLI585" s="536"/>
      <c r="FLJ585" s="537"/>
      <c r="FLK585" s="538"/>
      <c r="FLL585" s="539"/>
      <c r="FLM585" s="540"/>
      <c r="FLN585" s="209"/>
      <c r="FLO585" s="541"/>
      <c r="FLP585" s="541"/>
      <c r="FLQ585" s="482"/>
      <c r="FLR585" s="173"/>
      <c r="FLS585" s="173"/>
      <c r="FLT585" s="544"/>
      <c r="FLV585" s="148"/>
      <c r="FLW585" s="148"/>
      <c r="FLX585" s="149"/>
      <c r="FLY585" s="150"/>
      <c r="FMA585" s="152"/>
      <c r="FMB585" s="542"/>
      <c r="FMC585" s="154"/>
      <c r="FMD585" s="175"/>
      <c r="FMF585" s="156"/>
      <c r="FMG585" s="287"/>
      <c r="FMH585" s="488"/>
      <c r="FMI585" s="489"/>
      <c r="FMJ585" s="488"/>
      <c r="FMK585" s="300"/>
      <c r="FML585" s="543"/>
      <c r="FMM585" s="533"/>
      <c r="FMN585" s="534"/>
      <c r="FMO585" s="316"/>
      <c r="FMP585" s="316"/>
      <c r="FMQ585" s="471"/>
      <c r="FMR585" s="472"/>
      <c r="FMS585" s="471"/>
      <c r="FMT585" s="473"/>
      <c r="FMU585" s="313"/>
      <c r="FMV585" s="535"/>
      <c r="FMW585" s="536"/>
      <c r="FMX585" s="537"/>
      <c r="FMY585" s="538"/>
      <c r="FMZ585" s="539"/>
      <c r="FNA585" s="540"/>
      <c r="FNB585" s="209"/>
      <c r="FNC585" s="541"/>
      <c r="FND585" s="541"/>
      <c r="FNE585" s="482"/>
      <c r="FNF585" s="173"/>
      <c r="FNG585" s="173"/>
      <c r="FNH585" s="544"/>
      <c r="FNJ585" s="148"/>
      <c r="FNK585" s="148"/>
      <c r="FNL585" s="149"/>
      <c r="FNM585" s="150"/>
      <c r="FNO585" s="152"/>
      <c r="FNP585" s="542"/>
      <c r="FNQ585" s="154"/>
      <c r="FNR585" s="175"/>
      <c r="FNT585" s="156"/>
      <c r="FNU585" s="287"/>
      <c r="FNV585" s="488"/>
      <c r="FNW585" s="489"/>
      <c r="FNX585" s="488"/>
      <c r="FNY585" s="300"/>
      <c r="FNZ585" s="543"/>
      <c r="FOA585" s="533"/>
      <c r="FOB585" s="534"/>
      <c r="FOC585" s="316"/>
      <c r="FOD585" s="316"/>
      <c r="FOE585" s="471"/>
      <c r="FOF585" s="472"/>
      <c r="FOG585" s="471"/>
      <c r="FOH585" s="473"/>
      <c r="FOI585" s="313"/>
      <c r="FOJ585" s="535"/>
      <c r="FOK585" s="536"/>
      <c r="FOL585" s="537"/>
      <c r="FOM585" s="538"/>
      <c r="FON585" s="539"/>
      <c r="FOO585" s="540"/>
      <c r="FOP585" s="209"/>
      <c r="FOQ585" s="541"/>
      <c r="FOR585" s="541"/>
      <c r="FOS585" s="482"/>
      <c r="FOT585" s="173"/>
      <c r="FOU585" s="173"/>
      <c r="FOV585" s="544"/>
      <c r="FOX585" s="148"/>
      <c r="FOY585" s="148"/>
      <c r="FOZ585" s="149"/>
      <c r="FPA585" s="150"/>
      <c r="FPC585" s="152"/>
      <c r="FPD585" s="542"/>
      <c r="FPE585" s="154"/>
      <c r="FPF585" s="175"/>
      <c r="FPH585" s="156"/>
      <c r="FPI585" s="287"/>
      <c r="FPJ585" s="488"/>
      <c r="FPK585" s="489"/>
      <c r="FPL585" s="488"/>
      <c r="FPM585" s="300"/>
      <c r="FPN585" s="543"/>
      <c r="FPO585" s="533"/>
      <c r="FPP585" s="534"/>
      <c r="FPQ585" s="316"/>
      <c r="FPR585" s="316"/>
      <c r="FPS585" s="471"/>
      <c r="FPT585" s="472"/>
      <c r="FPU585" s="471"/>
      <c r="FPV585" s="473"/>
      <c r="FPW585" s="313"/>
      <c r="FPX585" s="535"/>
      <c r="FPY585" s="536"/>
      <c r="FPZ585" s="537"/>
      <c r="FQA585" s="538"/>
      <c r="FQB585" s="539"/>
      <c r="FQC585" s="540"/>
      <c r="FQD585" s="209"/>
      <c r="FQE585" s="541"/>
      <c r="FQF585" s="541"/>
      <c r="FQG585" s="482"/>
      <c r="FQH585" s="173"/>
      <c r="FQI585" s="173"/>
      <c r="FQJ585" s="544"/>
      <c r="FQL585" s="148"/>
      <c r="FQM585" s="148"/>
      <c r="FQN585" s="149"/>
      <c r="FQO585" s="150"/>
      <c r="FQQ585" s="152"/>
      <c r="FQR585" s="542"/>
      <c r="FQS585" s="154"/>
      <c r="FQT585" s="175"/>
      <c r="FQV585" s="156"/>
      <c r="FQW585" s="287"/>
      <c r="FQX585" s="488"/>
      <c r="FQY585" s="489"/>
      <c r="FQZ585" s="488"/>
      <c r="FRA585" s="300"/>
      <c r="FRB585" s="543"/>
      <c r="FRC585" s="533"/>
      <c r="FRD585" s="534"/>
      <c r="FRE585" s="316"/>
      <c r="FRF585" s="316"/>
      <c r="FRG585" s="471"/>
      <c r="FRH585" s="472"/>
      <c r="FRI585" s="471"/>
      <c r="FRJ585" s="473"/>
      <c r="FRK585" s="313"/>
      <c r="FRL585" s="535"/>
      <c r="FRM585" s="536"/>
      <c r="FRN585" s="537"/>
      <c r="FRO585" s="538"/>
      <c r="FRP585" s="539"/>
      <c r="FRQ585" s="540"/>
      <c r="FRR585" s="209"/>
      <c r="FRS585" s="541"/>
      <c r="FRT585" s="541"/>
      <c r="FRU585" s="482"/>
      <c r="FRV585" s="173"/>
      <c r="FRW585" s="173"/>
      <c r="FRX585" s="544"/>
      <c r="FRZ585" s="148"/>
      <c r="FSA585" s="148"/>
      <c r="FSB585" s="149"/>
      <c r="FSC585" s="150"/>
      <c r="FSE585" s="152"/>
      <c r="FSF585" s="542"/>
      <c r="FSG585" s="154"/>
      <c r="FSH585" s="175"/>
      <c r="FSJ585" s="156"/>
      <c r="FSK585" s="287"/>
      <c r="FSL585" s="488"/>
      <c r="FSM585" s="489"/>
      <c r="FSN585" s="488"/>
      <c r="FSO585" s="300"/>
      <c r="FSP585" s="543"/>
      <c r="FSQ585" s="533"/>
      <c r="FSR585" s="534"/>
      <c r="FSS585" s="316"/>
      <c r="FST585" s="316"/>
      <c r="FSU585" s="471"/>
      <c r="FSV585" s="472"/>
      <c r="FSW585" s="471"/>
      <c r="FSX585" s="473"/>
      <c r="FSY585" s="313"/>
      <c r="FSZ585" s="535"/>
      <c r="FTA585" s="536"/>
      <c r="FTB585" s="537"/>
      <c r="FTC585" s="538"/>
      <c r="FTD585" s="539"/>
      <c r="FTE585" s="540"/>
      <c r="FTF585" s="209"/>
      <c r="FTG585" s="541"/>
      <c r="FTH585" s="541"/>
      <c r="FTI585" s="482"/>
      <c r="FTJ585" s="173"/>
      <c r="FTK585" s="173"/>
      <c r="FTL585" s="544"/>
      <c r="FTN585" s="148"/>
      <c r="FTO585" s="148"/>
      <c r="FTP585" s="149"/>
      <c r="FTQ585" s="150"/>
      <c r="FTS585" s="152"/>
      <c r="FTT585" s="542"/>
      <c r="FTU585" s="154"/>
      <c r="FTV585" s="175"/>
      <c r="FTX585" s="156"/>
      <c r="FTY585" s="287"/>
      <c r="FTZ585" s="488"/>
      <c r="FUA585" s="489"/>
      <c r="FUB585" s="488"/>
      <c r="FUC585" s="300"/>
      <c r="FUD585" s="543"/>
      <c r="FUE585" s="533"/>
      <c r="FUF585" s="534"/>
      <c r="FUG585" s="316"/>
      <c r="FUH585" s="316"/>
      <c r="FUI585" s="471"/>
      <c r="FUJ585" s="472"/>
      <c r="FUK585" s="471"/>
      <c r="FUL585" s="473"/>
      <c r="FUM585" s="313"/>
      <c r="FUN585" s="535"/>
      <c r="FUO585" s="536"/>
      <c r="FUP585" s="537"/>
      <c r="FUQ585" s="538"/>
      <c r="FUR585" s="539"/>
      <c r="FUS585" s="540"/>
      <c r="FUT585" s="209"/>
      <c r="FUU585" s="541"/>
      <c r="FUV585" s="541"/>
      <c r="FUW585" s="482"/>
      <c r="FUX585" s="173"/>
      <c r="FUY585" s="173"/>
      <c r="FUZ585" s="544"/>
      <c r="FVB585" s="148"/>
      <c r="FVC585" s="148"/>
      <c r="FVD585" s="149"/>
      <c r="FVE585" s="150"/>
      <c r="FVG585" s="152"/>
      <c r="FVH585" s="542"/>
      <c r="FVI585" s="154"/>
      <c r="FVJ585" s="175"/>
      <c r="FVL585" s="156"/>
      <c r="FVM585" s="287"/>
      <c r="FVN585" s="488"/>
      <c r="FVO585" s="489"/>
      <c r="FVP585" s="488"/>
      <c r="FVQ585" s="300"/>
      <c r="FVR585" s="543"/>
      <c r="FVS585" s="533"/>
      <c r="FVT585" s="534"/>
      <c r="FVU585" s="316"/>
      <c r="FVV585" s="316"/>
      <c r="FVW585" s="471"/>
      <c r="FVX585" s="472"/>
      <c r="FVY585" s="471"/>
      <c r="FVZ585" s="473"/>
      <c r="FWA585" s="313"/>
      <c r="FWB585" s="535"/>
      <c r="FWC585" s="536"/>
      <c r="FWD585" s="537"/>
      <c r="FWE585" s="538"/>
      <c r="FWF585" s="539"/>
      <c r="FWG585" s="540"/>
      <c r="FWH585" s="209"/>
      <c r="FWI585" s="541"/>
      <c r="FWJ585" s="541"/>
      <c r="FWK585" s="482"/>
      <c r="FWL585" s="173"/>
      <c r="FWM585" s="173"/>
      <c r="FWN585" s="544"/>
      <c r="FWP585" s="148"/>
      <c r="FWQ585" s="148"/>
      <c r="FWR585" s="149"/>
      <c r="FWS585" s="150"/>
      <c r="FWU585" s="152"/>
      <c r="FWV585" s="542"/>
      <c r="FWW585" s="154"/>
      <c r="FWX585" s="175"/>
      <c r="FWZ585" s="156"/>
      <c r="FXA585" s="287"/>
      <c r="FXB585" s="488"/>
      <c r="FXC585" s="489"/>
      <c r="FXD585" s="488"/>
      <c r="FXE585" s="300"/>
      <c r="FXF585" s="543"/>
      <c r="FXG585" s="533"/>
      <c r="FXH585" s="534"/>
      <c r="FXI585" s="316"/>
      <c r="FXJ585" s="316"/>
      <c r="FXK585" s="471"/>
      <c r="FXL585" s="472"/>
      <c r="FXM585" s="471"/>
      <c r="FXN585" s="473"/>
      <c r="FXO585" s="313"/>
      <c r="FXP585" s="535"/>
      <c r="FXQ585" s="536"/>
      <c r="FXR585" s="537"/>
      <c r="FXS585" s="538"/>
      <c r="FXT585" s="539"/>
      <c r="FXU585" s="540"/>
      <c r="FXV585" s="209"/>
      <c r="FXW585" s="541"/>
      <c r="FXX585" s="541"/>
      <c r="FXY585" s="482"/>
      <c r="FXZ585" s="173"/>
      <c r="FYA585" s="173"/>
      <c r="FYB585" s="544"/>
      <c r="FYD585" s="148"/>
      <c r="FYE585" s="148"/>
      <c r="FYF585" s="149"/>
      <c r="FYG585" s="150"/>
      <c r="FYI585" s="152"/>
      <c r="FYJ585" s="542"/>
      <c r="FYK585" s="154"/>
      <c r="FYL585" s="175"/>
      <c r="FYN585" s="156"/>
      <c r="FYO585" s="287"/>
      <c r="FYP585" s="488"/>
      <c r="FYQ585" s="489"/>
      <c r="FYR585" s="488"/>
      <c r="FYS585" s="300"/>
      <c r="FYT585" s="543"/>
      <c r="FYU585" s="533"/>
      <c r="FYV585" s="534"/>
      <c r="FYW585" s="316"/>
      <c r="FYX585" s="316"/>
      <c r="FYY585" s="471"/>
      <c r="FYZ585" s="472"/>
      <c r="FZA585" s="471"/>
      <c r="FZB585" s="473"/>
      <c r="FZC585" s="313"/>
      <c r="FZD585" s="535"/>
      <c r="FZE585" s="536"/>
      <c r="FZF585" s="537"/>
      <c r="FZG585" s="538"/>
      <c r="FZH585" s="539"/>
      <c r="FZI585" s="540"/>
      <c r="FZJ585" s="209"/>
      <c r="FZK585" s="541"/>
      <c r="FZL585" s="541"/>
      <c r="FZM585" s="482"/>
      <c r="FZN585" s="173"/>
      <c r="FZO585" s="173"/>
      <c r="FZP585" s="544"/>
      <c r="FZR585" s="148"/>
      <c r="FZS585" s="148"/>
      <c r="FZT585" s="149"/>
      <c r="FZU585" s="150"/>
      <c r="FZW585" s="152"/>
      <c r="FZX585" s="542"/>
      <c r="FZY585" s="154"/>
      <c r="FZZ585" s="175"/>
      <c r="GAB585" s="156"/>
      <c r="GAC585" s="287"/>
      <c r="GAD585" s="488"/>
      <c r="GAE585" s="489"/>
      <c r="GAF585" s="488"/>
      <c r="GAG585" s="300"/>
      <c r="GAH585" s="543"/>
      <c r="GAI585" s="533"/>
      <c r="GAJ585" s="534"/>
      <c r="GAK585" s="316"/>
      <c r="GAL585" s="316"/>
      <c r="GAM585" s="471"/>
      <c r="GAN585" s="472"/>
      <c r="GAO585" s="471"/>
      <c r="GAP585" s="473"/>
      <c r="GAQ585" s="313"/>
      <c r="GAR585" s="535"/>
      <c r="GAS585" s="536"/>
      <c r="GAT585" s="537"/>
      <c r="GAU585" s="538"/>
      <c r="GAV585" s="539"/>
      <c r="GAW585" s="540"/>
      <c r="GAX585" s="209"/>
      <c r="GAY585" s="541"/>
      <c r="GAZ585" s="541"/>
      <c r="GBA585" s="482"/>
      <c r="GBB585" s="173"/>
      <c r="GBC585" s="173"/>
      <c r="GBD585" s="544"/>
      <c r="GBF585" s="148"/>
      <c r="GBG585" s="148"/>
      <c r="GBH585" s="149"/>
      <c r="GBI585" s="150"/>
      <c r="GBK585" s="152"/>
      <c r="GBL585" s="542"/>
      <c r="GBM585" s="154"/>
      <c r="GBN585" s="175"/>
      <c r="GBP585" s="156"/>
      <c r="GBQ585" s="287"/>
      <c r="GBR585" s="488"/>
      <c r="GBS585" s="489"/>
      <c r="GBT585" s="488"/>
      <c r="GBU585" s="300"/>
      <c r="GBV585" s="543"/>
      <c r="GBW585" s="533"/>
      <c r="GBX585" s="534"/>
      <c r="GBY585" s="316"/>
      <c r="GBZ585" s="316"/>
      <c r="GCA585" s="471"/>
      <c r="GCB585" s="472"/>
      <c r="GCC585" s="471"/>
      <c r="GCD585" s="473"/>
      <c r="GCE585" s="313"/>
      <c r="GCF585" s="535"/>
      <c r="GCG585" s="536"/>
      <c r="GCH585" s="537"/>
      <c r="GCI585" s="538"/>
      <c r="GCJ585" s="539"/>
      <c r="GCK585" s="540"/>
      <c r="GCL585" s="209"/>
      <c r="GCM585" s="541"/>
      <c r="GCN585" s="541"/>
      <c r="GCO585" s="482"/>
      <c r="GCP585" s="173"/>
      <c r="GCQ585" s="173"/>
      <c r="GCR585" s="544"/>
      <c r="GCT585" s="148"/>
      <c r="GCU585" s="148"/>
      <c r="GCV585" s="149"/>
      <c r="GCW585" s="150"/>
      <c r="GCY585" s="152"/>
      <c r="GCZ585" s="542"/>
      <c r="GDA585" s="154"/>
      <c r="GDB585" s="175"/>
      <c r="GDD585" s="156"/>
      <c r="GDE585" s="287"/>
      <c r="GDF585" s="488"/>
      <c r="GDG585" s="489"/>
      <c r="GDH585" s="488"/>
      <c r="GDI585" s="300"/>
      <c r="GDJ585" s="543"/>
      <c r="GDK585" s="533"/>
      <c r="GDL585" s="534"/>
      <c r="GDM585" s="316"/>
      <c r="GDN585" s="316"/>
      <c r="GDO585" s="471"/>
      <c r="GDP585" s="472"/>
      <c r="GDQ585" s="471"/>
      <c r="GDR585" s="473"/>
      <c r="GDS585" s="313"/>
      <c r="GDT585" s="535"/>
      <c r="GDU585" s="536"/>
      <c r="GDV585" s="537"/>
      <c r="GDW585" s="538"/>
      <c r="GDX585" s="539"/>
      <c r="GDY585" s="540"/>
      <c r="GDZ585" s="209"/>
      <c r="GEA585" s="541"/>
      <c r="GEB585" s="541"/>
      <c r="GEC585" s="482"/>
      <c r="GED585" s="173"/>
      <c r="GEE585" s="173"/>
      <c r="GEF585" s="544"/>
      <c r="GEH585" s="148"/>
      <c r="GEI585" s="148"/>
      <c r="GEJ585" s="149"/>
      <c r="GEK585" s="150"/>
      <c r="GEM585" s="152"/>
      <c r="GEN585" s="542"/>
      <c r="GEO585" s="154"/>
      <c r="GEP585" s="175"/>
      <c r="GER585" s="156"/>
      <c r="GES585" s="287"/>
      <c r="GET585" s="488"/>
      <c r="GEU585" s="489"/>
      <c r="GEV585" s="488"/>
      <c r="GEW585" s="300"/>
      <c r="GEX585" s="543"/>
      <c r="GEY585" s="533"/>
      <c r="GEZ585" s="534"/>
      <c r="GFA585" s="316"/>
      <c r="GFB585" s="316"/>
      <c r="GFC585" s="471"/>
      <c r="GFD585" s="472"/>
      <c r="GFE585" s="471"/>
      <c r="GFF585" s="473"/>
      <c r="GFG585" s="313"/>
      <c r="GFH585" s="535"/>
      <c r="GFI585" s="536"/>
      <c r="GFJ585" s="537"/>
      <c r="GFK585" s="538"/>
      <c r="GFL585" s="539"/>
      <c r="GFM585" s="540"/>
      <c r="GFN585" s="209"/>
      <c r="GFO585" s="541"/>
      <c r="GFP585" s="541"/>
      <c r="GFQ585" s="482"/>
      <c r="GFR585" s="173"/>
      <c r="GFS585" s="173"/>
      <c r="GFT585" s="544"/>
      <c r="GFV585" s="148"/>
      <c r="GFW585" s="148"/>
      <c r="GFX585" s="149"/>
      <c r="GFY585" s="150"/>
      <c r="GGA585" s="152"/>
      <c r="GGB585" s="542"/>
      <c r="GGC585" s="154"/>
      <c r="GGD585" s="175"/>
      <c r="GGF585" s="156"/>
      <c r="GGG585" s="287"/>
      <c r="GGH585" s="488"/>
      <c r="GGI585" s="489"/>
      <c r="GGJ585" s="488"/>
      <c r="GGK585" s="300"/>
      <c r="GGL585" s="543"/>
      <c r="GGM585" s="533"/>
      <c r="GGN585" s="534"/>
      <c r="GGO585" s="316"/>
      <c r="GGP585" s="316"/>
      <c r="GGQ585" s="471"/>
      <c r="GGR585" s="472"/>
      <c r="GGS585" s="471"/>
      <c r="GGT585" s="473"/>
      <c r="GGU585" s="313"/>
      <c r="GGV585" s="535"/>
      <c r="GGW585" s="536"/>
      <c r="GGX585" s="537"/>
      <c r="GGY585" s="538"/>
      <c r="GGZ585" s="539"/>
      <c r="GHA585" s="540"/>
      <c r="GHB585" s="209"/>
      <c r="GHC585" s="541"/>
      <c r="GHD585" s="541"/>
      <c r="GHE585" s="482"/>
      <c r="GHF585" s="173"/>
      <c r="GHG585" s="173"/>
      <c r="GHH585" s="544"/>
      <c r="GHJ585" s="148"/>
      <c r="GHK585" s="148"/>
      <c r="GHL585" s="149"/>
      <c r="GHM585" s="150"/>
      <c r="GHO585" s="152"/>
      <c r="GHP585" s="542"/>
      <c r="GHQ585" s="154"/>
      <c r="GHR585" s="175"/>
      <c r="GHT585" s="156"/>
      <c r="GHU585" s="287"/>
      <c r="GHV585" s="488"/>
      <c r="GHW585" s="489"/>
      <c r="GHX585" s="488"/>
      <c r="GHY585" s="300"/>
      <c r="GHZ585" s="543"/>
      <c r="GIA585" s="533"/>
      <c r="GIB585" s="534"/>
      <c r="GIC585" s="316"/>
      <c r="GID585" s="316"/>
      <c r="GIE585" s="471"/>
      <c r="GIF585" s="472"/>
      <c r="GIG585" s="471"/>
      <c r="GIH585" s="473"/>
      <c r="GII585" s="313"/>
      <c r="GIJ585" s="535"/>
      <c r="GIK585" s="536"/>
      <c r="GIL585" s="537"/>
      <c r="GIM585" s="538"/>
      <c r="GIN585" s="539"/>
      <c r="GIO585" s="540"/>
      <c r="GIP585" s="209"/>
      <c r="GIQ585" s="541"/>
      <c r="GIR585" s="541"/>
      <c r="GIS585" s="482"/>
      <c r="GIT585" s="173"/>
      <c r="GIU585" s="173"/>
      <c r="GIV585" s="544"/>
      <c r="GIX585" s="148"/>
      <c r="GIY585" s="148"/>
      <c r="GIZ585" s="149"/>
      <c r="GJA585" s="150"/>
      <c r="GJC585" s="152"/>
      <c r="GJD585" s="542"/>
      <c r="GJE585" s="154"/>
      <c r="GJF585" s="175"/>
      <c r="GJH585" s="156"/>
      <c r="GJI585" s="287"/>
      <c r="GJJ585" s="488"/>
      <c r="GJK585" s="489"/>
      <c r="GJL585" s="488"/>
      <c r="GJM585" s="300"/>
      <c r="GJN585" s="543"/>
      <c r="GJO585" s="533"/>
      <c r="GJP585" s="534"/>
      <c r="GJQ585" s="316"/>
      <c r="GJR585" s="316"/>
      <c r="GJS585" s="471"/>
      <c r="GJT585" s="472"/>
      <c r="GJU585" s="471"/>
      <c r="GJV585" s="473"/>
      <c r="GJW585" s="313"/>
      <c r="GJX585" s="535"/>
      <c r="GJY585" s="536"/>
      <c r="GJZ585" s="537"/>
      <c r="GKA585" s="538"/>
      <c r="GKB585" s="539"/>
      <c r="GKC585" s="540"/>
      <c r="GKD585" s="209"/>
      <c r="GKE585" s="541"/>
      <c r="GKF585" s="541"/>
      <c r="GKG585" s="482"/>
      <c r="GKH585" s="173"/>
      <c r="GKI585" s="173"/>
      <c r="GKJ585" s="544"/>
      <c r="GKL585" s="148"/>
      <c r="GKM585" s="148"/>
      <c r="GKN585" s="149"/>
      <c r="GKO585" s="150"/>
      <c r="GKQ585" s="152"/>
      <c r="GKR585" s="542"/>
      <c r="GKS585" s="154"/>
      <c r="GKT585" s="175"/>
      <c r="GKV585" s="156"/>
      <c r="GKW585" s="287"/>
      <c r="GKX585" s="488"/>
      <c r="GKY585" s="489"/>
      <c r="GKZ585" s="488"/>
      <c r="GLA585" s="300"/>
      <c r="GLB585" s="543"/>
      <c r="GLC585" s="533"/>
      <c r="GLD585" s="534"/>
      <c r="GLE585" s="316"/>
      <c r="GLF585" s="316"/>
      <c r="GLG585" s="471"/>
      <c r="GLH585" s="472"/>
      <c r="GLI585" s="471"/>
      <c r="GLJ585" s="473"/>
      <c r="GLK585" s="313"/>
      <c r="GLL585" s="535"/>
      <c r="GLM585" s="536"/>
      <c r="GLN585" s="537"/>
      <c r="GLO585" s="538"/>
      <c r="GLP585" s="539"/>
      <c r="GLQ585" s="540"/>
      <c r="GLR585" s="209"/>
      <c r="GLS585" s="541"/>
      <c r="GLT585" s="541"/>
      <c r="GLU585" s="482"/>
      <c r="GLV585" s="173"/>
      <c r="GLW585" s="173"/>
      <c r="GLX585" s="544"/>
      <c r="GLZ585" s="148"/>
      <c r="GMA585" s="148"/>
      <c r="GMB585" s="149"/>
      <c r="GMC585" s="150"/>
      <c r="GME585" s="152"/>
      <c r="GMF585" s="542"/>
      <c r="GMG585" s="154"/>
      <c r="GMH585" s="175"/>
      <c r="GMJ585" s="156"/>
      <c r="GMK585" s="287"/>
      <c r="GML585" s="488"/>
      <c r="GMM585" s="489"/>
      <c r="GMN585" s="488"/>
      <c r="GMO585" s="300"/>
      <c r="GMP585" s="543"/>
      <c r="GMQ585" s="533"/>
      <c r="GMR585" s="534"/>
      <c r="GMS585" s="316"/>
      <c r="GMT585" s="316"/>
      <c r="GMU585" s="471"/>
      <c r="GMV585" s="472"/>
      <c r="GMW585" s="471"/>
      <c r="GMX585" s="473"/>
      <c r="GMY585" s="313"/>
      <c r="GMZ585" s="535"/>
      <c r="GNA585" s="536"/>
      <c r="GNB585" s="537"/>
      <c r="GNC585" s="538"/>
      <c r="GND585" s="539"/>
      <c r="GNE585" s="540"/>
      <c r="GNF585" s="209"/>
      <c r="GNG585" s="541"/>
      <c r="GNH585" s="541"/>
      <c r="GNI585" s="482"/>
      <c r="GNJ585" s="173"/>
      <c r="GNK585" s="173"/>
      <c r="GNL585" s="544"/>
      <c r="GNN585" s="148"/>
      <c r="GNO585" s="148"/>
      <c r="GNP585" s="149"/>
      <c r="GNQ585" s="150"/>
      <c r="GNS585" s="152"/>
      <c r="GNT585" s="542"/>
      <c r="GNU585" s="154"/>
      <c r="GNV585" s="175"/>
      <c r="GNX585" s="156"/>
      <c r="GNY585" s="287"/>
      <c r="GNZ585" s="488"/>
      <c r="GOA585" s="489"/>
      <c r="GOB585" s="488"/>
      <c r="GOC585" s="300"/>
      <c r="GOD585" s="543"/>
      <c r="GOE585" s="533"/>
      <c r="GOF585" s="534"/>
      <c r="GOG585" s="316"/>
      <c r="GOH585" s="316"/>
      <c r="GOI585" s="471"/>
      <c r="GOJ585" s="472"/>
      <c r="GOK585" s="471"/>
      <c r="GOL585" s="473"/>
      <c r="GOM585" s="313"/>
      <c r="GON585" s="535"/>
      <c r="GOO585" s="536"/>
      <c r="GOP585" s="537"/>
      <c r="GOQ585" s="538"/>
      <c r="GOR585" s="539"/>
      <c r="GOS585" s="540"/>
      <c r="GOT585" s="209"/>
      <c r="GOU585" s="541"/>
      <c r="GOV585" s="541"/>
      <c r="GOW585" s="482"/>
      <c r="GOX585" s="173"/>
      <c r="GOY585" s="173"/>
      <c r="GOZ585" s="544"/>
      <c r="GPB585" s="148"/>
      <c r="GPC585" s="148"/>
      <c r="GPD585" s="149"/>
      <c r="GPE585" s="150"/>
      <c r="GPG585" s="152"/>
      <c r="GPH585" s="542"/>
      <c r="GPI585" s="154"/>
      <c r="GPJ585" s="175"/>
      <c r="GPL585" s="156"/>
      <c r="GPM585" s="287"/>
      <c r="GPN585" s="488"/>
      <c r="GPO585" s="489"/>
      <c r="GPP585" s="488"/>
      <c r="GPQ585" s="300"/>
      <c r="GPR585" s="543"/>
      <c r="GPS585" s="533"/>
      <c r="GPT585" s="534"/>
      <c r="GPU585" s="316"/>
      <c r="GPV585" s="316"/>
      <c r="GPW585" s="471"/>
      <c r="GPX585" s="472"/>
      <c r="GPY585" s="471"/>
      <c r="GPZ585" s="473"/>
      <c r="GQA585" s="313"/>
      <c r="GQB585" s="535"/>
      <c r="GQC585" s="536"/>
      <c r="GQD585" s="537"/>
      <c r="GQE585" s="538"/>
      <c r="GQF585" s="539"/>
      <c r="GQG585" s="540"/>
      <c r="GQH585" s="209"/>
      <c r="GQI585" s="541"/>
      <c r="GQJ585" s="541"/>
      <c r="GQK585" s="482"/>
      <c r="GQL585" s="173"/>
      <c r="GQM585" s="173"/>
      <c r="GQN585" s="544"/>
      <c r="GQP585" s="148"/>
      <c r="GQQ585" s="148"/>
      <c r="GQR585" s="149"/>
      <c r="GQS585" s="150"/>
      <c r="GQU585" s="152"/>
      <c r="GQV585" s="542"/>
      <c r="GQW585" s="154"/>
      <c r="GQX585" s="175"/>
      <c r="GQZ585" s="156"/>
      <c r="GRA585" s="287"/>
      <c r="GRB585" s="488"/>
      <c r="GRC585" s="489"/>
      <c r="GRD585" s="488"/>
      <c r="GRE585" s="300"/>
      <c r="GRF585" s="543"/>
      <c r="GRG585" s="533"/>
      <c r="GRH585" s="534"/>
      <c r="GRI585" s="316"/>
      <c r="GRJ585" s="316"/>
      <c r="GRK585" s="471"/>
      <c r="GRL585" s="472"/>
      <c r="GRM585" s="471"/>
      <c r="GRN585" s="473"/>
      <c r="GRO585" s="313"/>
      <c r="GRP585" s="535"/>
      <c r="GRQ585" s="536"/>
      <c r="GRR585" s="537"/>
      <c r="GRS585" s="538"/>
      <c r="GRT585" s="539"/>
      <c r="GRU585" s="540"/>
      <c r="GRV585" s="209"/>
      <c r="GRW585" s="541"/>
      <c r="GRX585" s="541"/>
      <c r="GRY585" s="482"/>
      <c r="GRZ585" s="173"/>
      <c r="GSA585" s="173"/>
      <c r="GSB585" s="544"/>
      <c r="GSD585" s="148"/>
      <c r="GSE585" s="148"/>
      <c r="GSF585" s="149"/>
      <c r="GSG585" s="150"/>
      <c r="GSI585" s="152"/>
      <c r="GSJ585" s="542"/>
      <c r="GSK585" s="154"/>
      <c r="GSL585" s="175"/>
      <c r="GSN585" s="156"/>
      <c r="GSO585" s="287"/>
      <c r="GSP585" s="488"/>
      <c r="GSQ585" s="489"/>
      <c r="GSR585" s="488"/>
      <c r="GSS585" s="300"/>
      <c r="GST585" s="543"/>
      <c r="GSU585" s="533"/>
      <c r="GSV585" s="534"/>
      <c r="GSW585" s="316"/>
      <c r="GSX585" s="316"/>
      <c r="GSY585" s="471"/>
      <c r="GSZ585" s="472"/>
      <c r="GTA585" s="471"/>
      <c r="GTB585" s="473"/>
      <c r="GTC585" s="313"/>
      <c r="GTD585" s="535"/>
      <c r="GTE585" s="536"/>
      <c r="GTF585" s="537"/>
      <c r="GTG585" s="538"/>
      <c r="GTH585" s="539"/>
      <c r="GTI585" s="540"/>
      <c r="GTJ585" s="209"/>
      <c r="GTK585" s="541"/>
      <c r="GTL585" s="541"/>
      <c r="GTM585" s="482"/>
      <c r="GTN585" s="173"/>
      <c r="GTO585" s="173"/>
      <c r="GTP585" s="544"/>
      <c r="GTR585" s="148"/>
      <c r="GTS585" s="148"/>
      <c r="GTT585" s="149"/>
      <c r="GTU585" s="150"/>
      <c r="GTW585" s="152"/>
      <c r="GTX585" s="542"/>
      <c r="GTY585" s="154"/>
      <c r="GTZ585" s="175"/>
      <c r="GUB585" s="156"/>
      <c r="GUC585" s="287"/>
      <c r="GUD585" s="488"/>
      <c r="GUE585" s="489"/>
      <c r="GUF585" s="488"/>
      <c r="GUG585" s="300"/>
      <c r="GUH585" s="543"/>
      <c r="GUI585" s="533"/>
      <c r="GUJ585" s="534"/>
      <c r="GUK585" s="316"/>
      <c r="GUL585" s="316"/>
      <c r="GUM585" s="471"/>
      <c r="GUN585" s="472"/>
      <c r="GUO585" s="471"/>
      <c r="GUP585" s="473"/>
      <c r="GUQ585" s="313"/>
      <c r="GUR585" s="535"/>
      <c r="GUS585" s="536"/>
      <c r="GUT585" s="537"/>
      <c r="GUU585" s="538"/>
      <c r="GUV585" s="539"/>
      <c r="GUW585" s="540"/>
      <c r="GUX585" s="209"/>
      <c r="GUY585" s="541"/>
      <c r="GUZ585" s="541"/>
      <c r="GVA585" s="482"/>
      <c r="GVB585" s="173"/>
      <c r="GVC585" s="173"/>
      <c r="GVD585" s="544"/>
      <c r="GVF585" s="148"/>
      <c r="GVG585" s="148"/>
      <c r="GVH585" s="149"/>
      <c r="GVI585" s="150"/>
      <c r="GVK585" s="152"/>
      <c r="GVL585" s="542"/>
      <c r="GVM585" s="154"/>
      <c r="GVN585" s="175"/>
      <c r="GVP585" s="156"/>
      <c r="GVQ585" s="287"/>
      <c r="GVR585" s="488"/>
      <c r="GVS585" s="489"/>
      <c r="GVT585" s="488"/>
      <c r="GVU585" s="300"/>
      <c r="GVV585" s="543"/>
      <c r="GVW585" s="533"/>
      <c r="GVX585" s="534"/>
      <c r="GVY585" s="316"/>
      <c r="GVZ585" s="316"/>
      <c r="GWA585" s="471"/>
      <c r="GWB585" s="472"/>
      <c r="GWC585" s="471"/>
      <c r="GWD585" s="473"/>
      <c r="GWE585" s="313"/>
      <c r="GWF585" s="535"/>
      <c r="GWG585" s="536"/>
      <c r="GWH585" s="537"/>
      <c r="GWI585" s="538"/>
      <c r="GWJ585" s="539"/>
      <c r="GWK585" s="540"/>
      <c r="GWL585" s="209"/>
      <c r="GWM585" s="541"/>
      <c r="GWN585" s="541"/>
      <c r="GWO585" s="482"/>
      <c r="GWP585" s="173"/>
      <c r="GWQ585" s="173"/>
      <c r="GWR585" s="544"/>
      <c r="GWT585" s="148"/>
      <c r="GWU585" s="148"/>
      <c r="GWV585" s="149"/>
      <c r="GWW585" s="150"/>
      <c r="GWY585" s="152"/>
      <c r="GWZ585" s="542"/>
      <c r="GXA585" s="154"/>
      <c r="GXB585" s="175"/>
      <c r="GXD585" s="156"/>
      <c r="GXE585" s="287"/>
      <c r="GXF585" s="488"/>
      <c r="GXG585" s="489"/>
      <c r="GXH585" s="488"/>
      <c r="GXI585" s="300"/>
      <c r="GXJ585" s="543"/>
      <c r="GXK585" s="533"/>
      <c r="GXL585" s="534"/>
      <c r="GXM585" s="316"/>
      <c r="GXN585" s="316"/>
      <c r="GXO585" s="471"/>
      <c r="GXP585" s="472"/>
      <c r="GXQ585" s="471"/>
      <c r="GXR585" s="473"/>
      <c r="GXS585" s="313"/>
      <c r="GXT585" s="535"/>
      <c r="GXU585" s="536"/>
      <c r="GXV585" s="537"/>
      <c r="GXW585" s="538"/>
      <c r="GXX585" s="539"/>
      <c r="GXY585" s="540"/>
      <c r="GXZ585" s="209"/>
      <c r="GYA585" s="541"/>
      <c r="GYB585" s="541"/>
      <c r="GYC585" s="482"/>
      <c r="GYD585" s="173"/>
      <c r="GYE585" s="173"/>
      <c r="GYF585" s="544"/>
      <c r="GYH585" s="148"/>
      <c r="GYI585" s="148"/>
      <c r="GYJ585" s="149"/>
      <c r="GYK585" s="150"/>
      <c r="GYM585" s="152"/>
      <c r="GYN585" s="542"/>
      <c r="GYO585" s="154"/>
      <c r="GYP585" s="175"/>
      <c r="GYR585" s="156"/>
      <c r="GYS585" s="287"/>
      <c r="GYT585" s="488"/>
      <c r="GYU585" s="489"/>
      <c r="GYV585" s="488"/>
      <c r="GYW585" s="300"/>
      <c r="GYX585" s="543"/>
      <c r="GYY585" s="533"/>
      <c r="GYZ585" s="534"/>
      <c r="GZA585" s="316"/>
      <c r="GZB585" s="316"/>
      <c r="GZC585" s="471"/>
      <c r="GZD585" s="472"/>
      <c r="GZE585" s="471"/>
      <c r="GZF585" s="473"/>
      <c r="GZG585" s="313"/>
      <c r="GZH585" s="535"/>
      <c r="GZI585" s="536"/>
      <c r="GZJ585" s="537"/>
      <c r="GZK585" s="538"/>
      <c r="GZL585" s="539"/>
      <c r="GZM585" s="540"/>
      <c r="GZN585" s="209"/>
      <c r="GZO585" s="541"/>
      <c r="GZP585" s="541"/>
      <c r="GZQ585" s="482"/>
      <c r="GZR585" s="173"/>
      <c r="GZS585" s="173"/>
      <c r="GZT585" s="544"/>
      <c r="GZV585" s="148"/>
      <c r="GZW585" s="148"/>
      <c r="GZX585" s="149"/>
      <c r="GZY585" s="150"/>
      <c r="HAA585" s="152"/>
      <c r="HAB585" s="542"/>
      <c r="HAC585" s="154"/>
      <c r="HAD585" s="175"/>
      <c r="HAF585" s="156"/>
      <c r="HAG585" s="287"/>
      <c r="HAH585" s="488"/>
      <c r="HAI585" s="489"/>
      <c r="HAJ585" s="488"/>
      <c r="HAK585" s="300"/>
      <c r="HAL585" s="543"/>
      <c r="HAM585" s="533"/>
      <c r="HAN585" s="534"/>
      <c r="HAO585" s="316"/>
      <c r="HAP585" s="316"/>
      <c r="HAQ585" s="471"/>
      <c r="HAR585" s="472"/>
      <c r="HAS585" s="471"/>
      <c r="HAT585" s="473"/>
      <c r="HAU585" s="313"/>
      <c r="HAV585" s="535"/>
      <c r="HAW585" s="536"/>
      <c r="HAX585" s="537"/>
      <c r="HAY585" s="538"/>
      <c r="HAZ585" s="539"/>
      <c r="HBA585" s="540"/>
      <c r="HBB585" s="209"/>
      <c r="HBC585" s="541"/>
      <c r="HBD585" s="541"/>
      <c r="HBE585" s="482"/>
      <c r="HBF585" s="173"/>
      <c r="HBG585" s="173"/>
      <c r="HBH585" s="544"/>
      <c r="HBJ585" s="148"/>
      <c r="HBK585" s="148"/>
      <c r="HBL585" s="149"/>
      <c r="HBM585" s="150"/>
      <c r="HBO585" s="152"/>
      <c r="HBP585" s="542"/>
      <c r="HBQ585" s="154"/>
      <c r="HBR585" s="175"/>
      <c r="HBT585" s="156"/>
      <c r="HBU585" s="287"/>
      <c r="HBV585" s="488"/>
      <c r="HBW585" s="489"/>
      <c r="HBX585" s="488"/>
      <c r="HBY585" s="300"/>
      <c r="HBZ585" s="543"/>
      <c r="HCA585" s="533"/>
      <c r="HCB585" s="534"/>
      <c r="HCC585" s="316"/>
      <c r="HCD585" s="316"/>
      <c r="HCE585" s="471"/>
      <c r="HCF585" s="472"/>
      <c r="HCG585" s="471"/>
      <c r="HCH585" s="473"/>
      <c r="HCI585" s="313"/>
      <c r="HCJ585" s="535"/>
      <c r="HCK585" s="536"/>
      <c r="HCL585" s="537"/>
      <c r="HCM585" s="538"/>
      <c r="HCN585" s="539"/>
      <c r="HCO585" s="540"/>
      <c r="HCP585" s="209"/>
      <c r="HCQ585" s="541"/>
      <c r="HCR585" s="541"/>
      <c r="HCS585" s="482"/>
      <c r="HCT585" s="173"/>
      <c r="HCU585" s="173"/>
      <c r="HCV585" s="544"/>
      <c r="HCX585" s="148"/>
      <c r="HCY585" s="148"/>
      <c r="HCZ585" s="149"/>
      <c r="HDA585" s="150"/>
      <c r="HDC585" s="152"/>
      <c r="HDD585" s="542"/>
      <c r="HDE585" s="154"/>
      <c r="HDF585" s="175"/>
      <c r="HDH585" s="156"/>
      <c r="HDI585" s="287"/>
      <c r="HDJ585" s="488"/>
      <c r="HDK585" s="489"/>
      <c r="HDL585" s="488"/>
      <c r="HDM585" s="300"/>
      <c r="HDN585" s="543"/>
      <c r="HDO585" s="533"/>
      <c r="HDP585" s="534"/>
      <c r="HDQ585" s="316"/>
      <c r="HDR585" s="316"/>
      <c r="HDS585" s="471"/>
      <c r="HDT585" s="472"/>
      <c r="HDU585" s="471"/>
      <c r="HDV585" s="473"/>
      <c r="HDW585" s="313"/>
      <c r="HDX585" s="535"/>
      <c r="HDY585" s="536"/>
      <c r="HDZ585" s="537"/>
      <c r="HEA585" s="538"/>
      <c r="HEB585" s="539"/>
      <c r="HEC585" s="540"/>
      <c r="HED585" s="209"/>
      <c r="HEE585" s="541"/>
      <c r="HEF585" s="541"/>
      <c r="HEG585" s="482"/>
      <c r="HEH585" s="173"/>
      <c r="HEI585" s="173"/>
      <c r="HEJ585" s="544"/>
      <c r="HEL585" s="148"/>
      <c r="HEM585" s="148"/>
      <c r="HEN585" s="149"/>
      <c r="HEO585" s="150"/>
      <c r="HEQ585" s="152"/>
      <c r="HER585" s="542"/>
      <c r="HES585" s="154"/>
      <c r="HET585" s="175"/>
      <c r="HEV585" s="156"/>
      <c r="HEW585" s="287"/>
      <c r="HEX585" s="488"/>
      <c r="HEY585" s="489"/>
      <c r="HEZ585" s="488"/>
      <c r="HFA585" s="300"/>
      <c r="HFB585" s="543"/>
      <c r="HFC585" s="533"/>
      <c r="HFD585" s="534"/>
      <c r="HFE585" s="316"/>
      <c r="HFF585" s="316"/>
      <c r="HFG585" s="471"/>
      <c r="HFH585" s="472"/>
      <c r="HFI585" s="471"/>
      <c r="HFJ585" s="473"/>
      <c r="HFK585" s="313"/>
      <c r="HFL585" s="535"/>
      <c r="HFM585" s="536"/>
      <c r="HFN585" s="537"/>
      <c r="HFO585" s="538"/>
      <c r="HFP585" s="539"/>
      <c r="HFQ585" s="540"/>
      <c r="HFR585" s="209"/>
      <c r="HFS585" s="541"/>
      <c r="HFT585" s="541"/>
      <c r="HFU585" s="482"/>
      <c r="HFV585" s="173"/>
      <c r="HFW585" s="173"/>
      <c r="HFX585" s="544"/>
      <c r="HFZ585" s="148"/>
      <c r="HGA585" s="148"/>
      <c r="HGB585" s="149"/>
      <c r="HGC585" s="150"/>
      <c r="HGE585" s="152"/>
      <c r="HGF585" s="542"/>
      <c r="HGG585" s="154"/>
      <c r="HGH585" s="175"/>
      <c r="HGJ585" s="156"/>
      <c r="HGK585" s="287"/>
      <c r="HGL585" s="488"/>
      <c r="HGM585" s="489"/>
      <c r="HGN585" s="488"/>
      <c r="HGO585" s="300"/>
      <c r="HGP585" s="543"/>
      <c r="HGQ585" s="533"/>
      <c r="HGR585" s="534"/>
      <c r="HGS585" s="316"/>
      <c r="HGT585" s="316"/>
      <c r="HGU585" s="471"/>
      <c r="HGV585" s="472"/>
      <c r="HGW585" s="471"/>
      <c r="HGX585" s="473"/>
      <c r="HGY585" s="313"/>
      <c r="HGZ585" s="535"/>
      <c r="HHA585" s="536"/>
      <c r="HHB585" s="537"/>
      <c r="HHC585" s="538"/>
      <c r="HHD585" s="539"/>
      <c r="HHE585" s="540"/>
      <c r="HHF585" s="209"/>
      <c r="HHG585" s="541"/>
      <c r="HHH585" s="541"/>
      <c r="HHI585" s="482"/>
      <c r="HHJ585" s="173"/>
      <c r="HHK585" s="173"/>
      <c r="HHL585" s="544"/>
      <c r="HHN585" s="148"/>
      <c r="HHO585" s="148"/>
      <c r="HHP585" s="149"/>
      <c r="HHQ585" s="150"/>
      <c r="HHS585" s="152"/>
      <c r="HHT585" s="542"/>
      <c r="HHU585" s="154"/>
      <c r="HHV585" s="175"/>
      <c r="HHX585" s="156"/>
      <c r="HHY585" s="287"/>
      <c r="HHZ585" s="488"/>
      <c r="HIA585" s="489"/>
      <c r="HIB585" s="488"/>
      <c r="HIC585" s="300"/>
      <c r="HID585" s="543"/>
      <c r="HIE585" s="533"/>
      <c r="HIF585" s="534"/>
      <c r="HIG585" s="316"/>
      <c r="HIH585" s="316"/>
      <c r="HII585" s="471"/>
      <c r="HIJ585" s="472"/>
      <c r="HIK585" s="471"/>
      <c r="HIL585" s="473"/>
      <c r="HIM585" s="313"/>
      <c r="HIN585" s="535"/>
      <c r="HIO585" s="536"/>
      <c r="HIP585" s="537"/>
      <c r="HIQ585" s="538"/>
      <c r="HIR585" s="539"/>
      <c r="HIS585" s="540"/>
      <c r="HIT585" s="209"/>
      <c r="HIU585" s="541"/>
      <c r="HIV585" s="541"/>
      <c r="HIW585" s="482"/>
      <c r="HIX585" s="173"/>
      <c r="HIY585" s="173"/>
      <c r="HIZ585" s="544"/>
      <c r="HJB585" s="148"/>
      <c r="HJC585" s="148"/>
      <c r="HJD585" s="149"/>
      <c r="HJE585" s="150"/>
      <c r="HJG585" s="152"/>
      <c r="HJH585" s="542"/>
      <c r="HJI585" s="154"/>
      <c r="HJJ585" s="175"/>
      <c r="HJL585" s="156"/>
      <c r="HJM585" s="287"/>
      <c r="HJN585" s="488"/>
      <c r="HJO585" s="489"/>
      <c r="HJP585" s="488"/>
      <c r="HJQ585" s="300"/>
      <c r="HJR585" s="543"/>
      <c r="HJS585" s="533"/>
      <c r="HJT585" s="534"/>
      <c r="HJU585" s="316"/>
      <c r="HJV585" s="316"/>
      <c r="HJW585" s="471"/>
      <c r="HJX585" s="472"/>
      <c r="HJY585" s="471"/>
      <c r="HJZ585" s="473"/>
      <c r="HKA585" s="313"/>
      <c r="HKB585" s="535"/>
      <c r="HKC585" s="536"/>
      <c r="HKD585" s="537"/>
      <c r="HKE585" s="538"/>
      <c r="HKF585" s="539"/>
      <c r="HKG585" s="540"/>
      <c r="HKH585" s="209"/>
      <c r="HKI585" s="541"/>
      <c r="HKJ585" s="541"/>
      <c r="HKK585" s="482"/>
      <c r="HKL585" s="173"/>
      <c r="HKM585" s="173"/>
      <c r="HKN585" s="544"/>
      <c r="HKP585" s="148"/>
      <c r="HKQ585" s="148"/>
      <c r="HKR585" s="149"/>
      <c r="HKS585" s="150"/>
      <c r="HKU585" s="152"/>
      <c r="HKV585" s="542"/>
      <c r="HKW585" s="154"/>
      <c r="HKX585" s="175"/>
      <c r="HKZ585" s="156"/>
      <c r="HLA585" s="287"/>
      <c r="HLB585" s="488"/>
      <c r="HLC585" s="489"/>
      <c r="HLD585" s="488"/>
      <c r="HLE585" s="300"/>
      <c r="HLF585" s="543"/>
      <c r="HLG585" s="533"/>
      <c r="HLH585" s="534"/>
      <c r="HLI585" s="316"/>
      <c r="HLJ585" s="316"/>
      <c r="HLK585" s="471"/>
      <c r="HLL585" s="472"/>
      <c r="HLM585" s="471"/>
      <c r="HLN585" s="473"/>
      <c r="HLO585" s="313"/>
      <c r="HLP585" s="535"/>
      <c r="HLQ585" s="536"/>
      <c r="HLR585" s="537"/>
      <c r="HLS585" s="538"/>
      <c r="HLT585" s="539"/>
      <c r="HLU585" s="540"/>
      <c r="HLV585" s="209"/>
      <c r="HLW585" s="541"/>
      <c r="HLX585" s="541"/>
      <c r="HLY585" s="482"/>
      <c r="HLZ585" s="173"/>
      <c r="HMA585" s="173"/>
      <c r="HMB585" s="544"/>
      <c r="HMD585" s="148"/>
      <c r="HME585" s="148"/>
      <c r="HMF585" s="149"/>
      <c r="HMG585" s="150"/>
      <c r="HMI585" s="152"/>
      <c r="HMJ585" s="542"/>
      <c r="HMK585" s="154"/>
      <c r="HML585" s="175"/>
      <c r="HMN585" s="156"/>
      <c r="HMO585" s="287"/>
      <c r="HMP585" s="488"/>
      <c r="HMQ585" s="489"/>
      <c r="HMR585" s="488"/>
      <c r="HMS585" s="300"/>
      <c r="HMT585" s="543"/>
      <c r="HMU585" s="533"/>
      <c r="HMV585" s="534"/>
      <c r="HMW585" s="316"/>
      <c r="HMX585" s="316"/>
      <c r="HMY585" s="471"/>
      <c r="HMZ585" s="472"/>
      <c r="HNA585" s="471"/>
      <c r="HNB585" s="473"/>
      <c r="HNC585" s="313"/>
      <c r="HND585" s="535"/>
      <c r="HNE585" s="536"/>
      <c r="HNF585" s="537"/>
      <c r="HNG585" s="538"/>
      <c r="HNH585" s="539"/>
      <c r="HNI585" s="540"/>
      <c r="HNJ585" s="209"/>
      <c r="HNK585" s="541"/>
      <c r="HNL585" s="541"/>
      <c r="HNM585" s="482"/>
      <c r="HNN585" s="173"/>
      <c r="HNO585" s="173"/>
      <c r="HNP585" s="544"/>
      <c r="HNR585" s="148"/>
      <c r="HNS585" s="148"/>
      <c r="HNT585" s="149"/>
      <c r="HNU585" s="150"/>
      <c r="HNW585" s="152"/>
      <c r="HNX585" s="542"/>
      <c r="HNY585" s="154"/>
      <c r="HNZ585" s="175"/>
      <c r="HOB585" s="156"/>
      <c r="HOC585" s="287"/>
      <c r="HOD585" s="488"/>
      <c r="HOE585" s="489"/>
      <c r="HOF585" s="488"/>
      <c r="HOG585" s="300"/>
      <c r="HOH585" s="543"/>
      <c r="HOI585" s="533"/>
      <c r="HOJ585" s="534"/>
      <c r="HOK585" s="316"/>
      <c r="HOL585" s="316"/>
      <c r="HOM585" s="471"/>
      <c r="HON585" s="472"/>
      <c r="HOO585" s="471"/>
      <c r="HOP585" s="473"/>
      <c r="HOQ585" s="313"/>
      <c r="HOR585" s="535"/>
      <c r="HOS585" s="536"/>
      <c r="HOT585" s="537"/>
      <c r="HOU585" s="538"/>
      <c r="HOV585" s="539"/>
      <c r="HOW585" s="540"/>
      <c r="HOX585" s="209"/>
      <c r="HOY585" s="541"/>
      <c r="HOZ585" s="541"/>
      <c r="HPA585" s="482"/>
      <c r="HPB585" s="173"/>
      <c r="HPC585" s="173"/>
      <c r="HPD585" s="544"/>
      <c r="HPF585" s="148"/>
      <c r="HPG585" s="148"/>
      <c r="HPH585" s="149"/>
      <c r="HPI585" s="150"/>
      <c r="HPK585" s="152"/>
      <c r="HPL585" s="542"/>
      <c r="HPM585" s="154"/>
      <c r="HPN585" s="175"/>
      <c r="HPP585" s="156"/>
      <c r="HPQ585" s="287"/>
      <c r="HPR585" s="488"/>
      <c r="HPS585" s="489"/>
      <c r="HPT585" s="488"/>
      <c r="HPU585" s="300"/>
      <c r="HPV585" s="543"/>
      <c r="HPW585" s="533"/>
      <c r="HPX585" s="534"/>
      <c r="HPY585" s="316"/>
      <c r="HPZ585" s="316"/>
      <c r="HQA585" s="471"/>
      <c r="HQB585" s="472"/>
      <c r="HQC585" s="471"/>
      <c r="HQD585" s="473"/>
      <c r="HQE585" s="313"/>
      <c r="HQF585" s="535"/>
      <c r="HQG585" s="536"/>
      <c r="HQH585" s="537"/>
      <c r="HQI585" s="538"/>
      <c r="HQJ585" s="539"/>
      <c r="HQK585" s="540"/>
      <c r="HQL585" s="209"/>
      <c r="HQM585" s="541"/>
      <c r="HQN585" s="541"/>
      <c r="HQO585" s="482"/>
      <c r="HQP585" s="173"/>
      <c r="HQQ585" s="173"/>
      <c r="HQR585" s="544"/>
      <c r="HQT585" s="148"/>
      <c r="HQU585" s="148"/>
      <c r="HQV585" s="149"/>
      <c r="HQW585" s="150"/>
      <c r="HQY585" s="152"/>
      <c r="HQZ585" s="542"/>
      <c r="HRA585" s="154"/>
      <c r="HRB585" s="175"/>
      <c r="HRD585" s="156"/>
      <c r="HRE585" s="287"/>
      <c r="HRF585" s="488"/>
      <c r="HRG585" s="489"/>
      <c r="HRH585" s="488"/>
      <c r="HRI585" s="300"/>
      <c r="HRJ585" s="543"/>
      <c r="HRK585" s="533"/>
      <c r="HRL585" s="534"/>
      <c r="HRM585" s="316"/>
      <c r="HRN585" s="316"/>
      <c r="HRO585" s="471"/>
      <c r="HRP585" s="472"/>
      <c r="HRQ585" s="471"/>
      <c r="HRR585" s="473"/>
      <c r="HRS585" s="313"/>
      <c r="HRT585" s="535"/>
      <c r="HRU585" s="536"/>
      <c r="HRV585" s="537"/>
      <c r="HRW585" s="538"/>
      <c r="HRX585" s="539"/>
      <c r="HRY585" s="540"/>
      <c r="HRZ585" s="209"/>
      <c r="HSA585" s="541"/>
      <c r="HSB585" s="541"/>
      <c r="HSC585" s="482"/>
      <c r="HSD585" s="173"/>
      <c r="HSE585" s="173"/>
      <c r="HSF585" s="544"/>
      <c r="HSH585" s="148"/>
      <c r="HSI585" s="148"/>
      <c r="HSJ585" s="149"/>
      <c r="HSK585" s="150"/>
      <c r="HSM585" s="152"/>
      <c r="HSN585" s="542"/>
      <c r="HSO585" s="154"/>
      <c r="HSP585" s="175"/>
      <c r="HSR585" s="156"/>
      <c r="HSS585" s="287"/>
      <c r="HST585" s="488"/>
      <c r="HSU585" s="489"/>
      <c r="HSV585" s="488"/>
      <c r="HSW585" s="300"/>
      <c r="HSX585" s="543"/>
      <c r="HSY585" s="533"/>
      <c r="HSZ585" s="534"/>
      <c r="HTA585" s="316"/>
      <c r="HTB585" s="316"/>
      <c r="HTC585" s="471"/>
      <c r="HTD585" s="472"/>
      <c r="HTE585" s="471"/>
      <c r="HTF585" s="473"/>
      <c r="HTG585" s="313"/>
      <c r="HTH585" s="535"/>
      <c r="HTI585" s="536"/>
      <c r="HTJ585" s="537"/>
      <c r="HTK585" s="538"/>
      <c r="HTL585" s="539"/>
      <c r="HTM585" s="540"/>
      <c r="HTN585" s="209"/>
      <c r="HTO585" s="541"/>
      <c r="HTP585" s="541"/>
      <c r="HTQ585" s="482"/>
      <c r="HTR585" s="173"/>
      <c r="HTS585" s="173"/>
      <c r="HTT585" s="544"/>
      <c r="HTV585" s="148"/>
      <c r="HTW585" s="148"/>
      <c r="HTX585" s="149"/>
      <c r="HTY585" s="150"/>
      <c r="HUA585" s="152"/>
      <c r="HUB585" s="542"/>
      <c r="HUC585" s="154"/>
      <c r="HUD585" s="175"/>
      <c r="HUF585" s="156"/>
      <c r="HUG585" s="287"/>
      <c r="HUH585" s="488"/>
      <c r="HUI585" s="489"/>
      <c r="HUJ585" s="488"/>
      <c r="HUK585" s="300"/>
      <c r="HUL585" s="543"/>
      <c r="HUM585" s="533"/>
      <c r="HUN585" s="534"/>
      <c r="HUO585" s="316"/>
      <c r="HUP585" s="316"/>
      <c r="HUQ585" s="471"/>
      <c r="HUR585" s="472"/>
      <c r="HUS585" s="471"/>
      <c r="HUT585" s="473"/>
      <c r="HUU585" s="313"/>
      <c r="HUV585" s="535"/>
      <c r="HUW585" s="536"/>
      <c r="HUX585" s="537"/>
      <c r="HUY585" s="538"/>
      <c r="HUZ585" s="539"/>
      <c r="HVA585" s="540"/>
      <c r="HVB585" s="209"/>
      <c r="HVC585" s="541"/>
      <c r="HVD585" s="541"/>
      <c r="HVE585" s="482"/>
      <c r="HVF585" s="173"/>
      <c r="HVG585" s="173"/>
      <c r="HVH585" s="544"/>
      <c r="HVJ585" s="148"/>
      <c r="HVK585" s="148"/>
      <c r="HVL585" s="149"/>
      <c r="HVM585" s="150"/>
      <c r="HVO585" s="152"/>
      <c r="HVP585" s="542"/>
      <c r="HVQ585" s="154"/>
      <c r="HVR585" s="175"/>
      <c r="HVT585" s="156"/>
      <c r="HVU585" s="287"/>
      <c r="HVV585" s="488"/>
      <c r="HVW585" s="489"/>
      <c r="HVX585" s="488"/>
      <c r="HVY585" s="300"/>
      <c r="HVZ585" s="543"/>
      <c r="HWA585" s="533"/>
      <c r="HWB585" s="534"/>
      <c r="HWC585" s="316"/>
      <c r="HWD585" s="316"/>
      <c r="HWE585" s="471"/>
      <c r="HWF585" s="472"/>
      <c r="HWG585" s="471"/>
      <c r="HWH585" s="473"/>
      <c r="HWI585" s="313"/>
      <c r="HWJ585" s="535"/>
      <c r="HWK585" s="536"/>
      <c r="HWL585" s="537"/>
      <c r="HWM585" s="538"/>
      <c r="HWN585" s="539"/>
      <c r="HWO585" s="540"/>
      <c r="HWP585" s="209"/>
      <c r="HWQ585" s="541"/>
      <c r="HWR585" s="541"/>
      <c r="HWS585" s="482"/>
      <c r="HWT585" s="173"/>
      <c r="HWU585" s="173"/>
      <c r="HWV585" s="544"/>
      <c r="HWX585" s="148"/>
      <c r="HWY585" s="148"/>
      <c r="HWZ585" s="149"/>
      <c r="HXA585" s="150"/>
      <c r="HXC585" s="152"/>
      <c r="HXD585" s="542"/>
      <c r="HXE585" s="154"/>
      <c r="HXF585" s="175"/>
      <c r="HXH585" s="156"/>
      <c r="HXI585" s="287"/>
      <c r="HXJ585" s="488"/>
      <c r="HXK585" s="489"/>
      <c r="HXL585" s="488"/>
      <c r="HXM585" s="300"/>
      <c r="HXN585" s="543"/>
      <c r="HXO585" s="533"/>
      <c r="HXP585" s="534"/>
      <c r="HXQ585" s="316"/>
      <c r="HXR585" s="316"/>
      <c r="HXS585" s="471"/>
      <c r="HXT585" s="472"/>
      <c r="HXU585" s="471"/>
      <c r="HXV585" s="473"/>
      <c r="HXW585" s="313"/>
      <c r="HXX585" s="535"/>
      <c r="HXY585" s="536"/>
      <c r="HXZ585" s="537"/>
      <c r="HYA585" s="538"/>
      <c r="HYB585" s="539"/>
      <c r="HYC585" s="540"/>
      <c r="HYD585" s="209"/>
      <c r="HYE585" s="541"/>
      <c r="HYF585" s="541"/>
      <c r="HYG585" s="482"/>
      <c r="HYH585" s="173"/>
      <c r="HYI585" s="173"/>
      <c r="HYJ585" s="544"/>
      <c r="HYL585" s="148"/>
      <c r="HYM585" s="148"/>
      <c r="HYN585" s="149"/>
      <c r="HYO585" s="150"/>
      <c r="HYQ585" s="152"/>
      <c r="HYR585" s="542"/>
      <c r="HYS585" s="154"/>
      <c r="HYT585" s="175"/>
      <c r="HYV585" s="156"/>
      <c r="HYW585" s="287"/>
      <c r="HYX585" s="488"/>
      <c r="HYY585" s="489"/>
      <c r="HYZ585" s="488"/>
      <c r="HZA585" s="300"/>
      <c r="HZB585" s="543"/>
      <c r="HZC585" s="533"/>
      <c r="HZD585" s="534"/>
      <c r="HZE585" s="316"/>
      <c r="HZF585" s="316"/>
      <c r="HZG585" s="471"/>
      <c r="HZH585" s="472"/>
      <c r="HZI585" s="471"/>
      <c r="HZJ585" s="473"/>
      <c r="HZK585" s="313"/>
      <c r="HZL585" s="535"/>
      <c r="HZM585" s="536"/>
      <c r="HZN585" s="537"/>
      <c r="HZO585" s="538"/>
      <c r="HZP585" s="539"/>
      <c r="HZQ585" s="540"/>
      <c r="HZR585" s="209"/>
      <c r="HZS585" s="541"/>
      <c r="HZT585" s="541"/>
      <c r="HZU585" s="482"/>
      <c r="HZV585" s="173"/>
      <c r="HZW585" s="173"/>
      <c r="HZX585" s="544"/>
      <c r="HZZ585" s="148"/>
      <c r="IAA585" s="148"/>
      <c r="IAB585" s="149"/>
      <c r="IAC585" s="150"/>
      <c r="IAE585" s="152"/>
      <c r="IAF585" s="542"/>
      <c r="IAG585" s="154"/>
      <c r="IAH585" s="175"/>
      <c r="IAJ585" s="156"/>
      <c r="IAK585" s="287"/>
      <c r="IAL585" s="488"/>
      <c r="IAM585" s="489"/>
      <c r="IAN585" s="488"/>
      <c r="IAO585" s="300"/>
      <c r="IAP585" s="543"/>
      <c r="IAQ585" s="533"/>
      <c r="IAR585" s="534"/>
      <c r="IAS585" s="316"/>
      <c r="IAT585" s="316"/>
      <c r="IAU585" s="471"/>
      <c r="IAV585" s="472"/>
      <c r="IAW585" s="471"/>
      <c r="IAX585" s="473"/>
      <c r="IAY585" s="313"/>
      <c r="IAZ585" s="535"/>
      <c r="IBA585" s="536"/>
      <c r="IBB585" s="537"/>
      <c r="IBC585" s="538"/>
      <c r="IBD585" s="539"/>
      <c r="IBE585" s="540"/>
      <c r="IBF585" s="209"/>
      <c r="IBG585" s="541"/>
      <c r="IBH585" s="541"/>
      <c r="IBI585" s="482"/>
      <c r="IBJ585" s="173"/>
      <c r="IBK585" s="173"/>
      <c r="IBL585" s="544"/>
      <c r="IBN585" s="148"/>
      <c r="IBO585" s="148"/>
      <c r="IBP585" s="149"/>
      <c r="IBQ585" s="150"/>
      <c r="IBS585" s="152"/>
      <c r="IBT585" s="542"/>
      <c r="IBU585" s="154"/>
      <c r="IBV585" s="175"/>
      <c r="IBX585" s="156"/>
      <c r="IBY585" s="287"/>
      <c r="IBZ585" s="488"/>
      <c r="ICA585" s="489"/>
      <c r="ICB585" s="488"/>
      <c r="ICC585" s="300"/>
      <c r="ICD585" s="543"/>
      <c r="ICE585" s="533"/>
      <c r="ICF585" s="534"/>
      <c r="ICG585" s="316"/>
      <c r="ICH585" s="316"/>
      <c r="ICI585" s="471"/>
      <c r="ICJ585" s="472"/>
      <c r="ICK585" s="471"/>
      <c r="ICL585" s="473"/>
      <c r="ICM585" s="313"/>
      <c r="ICN585" s="535"/>
      <c r="ICO585" s="536"/>
      <c r="ICP585" s="537"/>
      <c r="ICQ585" s="538"/>
      <c r="ICR585" s="539"/>
      <c r="ICS585" s="540"/>
      <c r="ICT585" s="209"/>
      <c r="ICU585" s="541"/>
      <c r="ICV585" s="541"/>
      <c r="ICW585" s="482"/>
      <c r="ICX585" s="173"/>
      <c r="ICY585" s="173"/>
      <c r="ICZ585" s="544"/>
      <c r="IDB585" s="148"/>
      <c r="IDC585" s="148"/>
      <c r="IDD585" s="149"/>
      <c r="IDE585" s="150"/>
      <c r="IDG585" s="152"/>
      <c r="IDH585" s="542"/>
      <c r="IDI585" s="154"/>
      <c r="IDJ585" s="175"/>
      <c r="IDL585" s="156"/>
      <c r="IDM585" s="287"/>
      <c r="IDN585" s="488"/>
      <c r="IDO585" s="489"/>
      <c r="IDP585" s="488"/>
      <c r="IDQ585" s="300"/>
      <c r="IDR585" s="543"/>
      <c r="IDS585" s="533"/>
      <c r="IDT585" s="534"/>
      <c r="IDU585" s="316"/>
      <c r="IDV585" s="316"/>
      <c r="IDW585" s="471"/>
      <c r="IDX585" s="472"/>
      <c r="IDY585" s="471"/>
      <c r="IDZ585" s="473"/>
      <c r="IEA585" s="313"/>
      <c r="IEB585" s="535"/>
      <c r="IEC585" s="536"/>
      <c r="IED585" s="537"/>
      <c r="IEE585" s="538"/>
      <c r="IEF585" s="539"/>
      <c r="IEG585" s="540"/>
      <c r="IEH585" s="209"/>
      <c r="IEI585" s="541"/>
      <c r="IEJ585" s="541"/>
      <c r="IEK585" s="482"/>
      <c r="IEL585" s="173"/>
      <c r="IEM585" s="173"/>
      <c r="IEN585" s="544"/>
      <c r="IEP585" s="148"/>
      <c r="IEQ585" s="148"/>
      <c r="IER585" s="149"/>
      <c r="IES585" s="150"/>
      <c r="IEU585" s="152"/>
      <c r="IEV585" s="542"/>
      <c r="IEW585" s="154"/>
      <c r="IEX585" s="175"/>
      <c r="IEZ585" s="156"/>
      <c r="IFA585" s="287"/>
      <c r="IFB585" s="488"/>
      <c r="IFC585" s="489"/>
      <c r="IFD585" s="488"/>
      <c r="IFE585" s="300"/>
      <c r="IFF585" s="543"/>
      <c r="IFG585" s="533"/>
      <c r="IFH585" s="534"/>
      <c r="IFI585" s="316"/>
      <c r="IFJ585" s="316"/>
      <c r="IFK585" s="471"/>
      <c r="IFL585" s="472"/>
      <c r="IFM585" s="471"/>
      <c r="IFN585" s="473"/>
      <c r="IFO585" s="313"/>
      <c r="IFP585" s="535"/>
      <c r="IFQ585" s="536"/>
      <c r="IFR585" s="537"/>
      <c r="IFS585" s="538"/>
      <c r="IFT585" s="539"/>
      <c r="IFU585" s="540"/>
      <c r="IFV585" s="209"/>
      <c r="IFW585" s="541"/>
      <c r="IFX585" s="541"/>
      <c r="IFY585" s="482"/>
      <c r="IFZ585" s="173"/>
      <c r="IGA585" s="173"/>
      <c r="IGB585" s="544"/>
      <c r="IGD585" s="148"/>
      <c r="IGE585" s="148"/>
      <c r="IGF585" s="149"/>
      <c r="IGG585" s="150"/>
      <c r="IGI585" s="152"/>
      <c r="IGJ585" s="542"/>
      <c r="IGK585" s="154"/>
      <c r="IGL585" s="175"/>
      <c r="IGN585" s="156"/>
      <c r="IGO585" s="287"/>
      <c r="IGP585" s="488"/>
      <c r="IGQ585" s="489"/>
      <c r="IGR585" s="488"/>
      <c r="IGS585" s="300"/>
      <c r="IGT585" s="543"/>
      <c r="IGU585" s="533"/>
      <c r="IGV585" s="534"/>
      <c r="IGW585" s="316"/>
      <c r="IGX585" s="316"/>
      <c r="IGY585" s="471"/>
      <c r="IGZ585" s="472"/>
      <c r="IHA585" s="471"/>
      <c r="IHB585" s="473"/>
      <c r="IHC585" s="313"/>
      <c r="IHD585" s="535"/>
      <c r="IHE585" s="536"/>
      <c r="IHF585" s="537"/>
      <c r="IHG585" s="538"/>
      <c r="IHH585" s="539"/>
      <c r="IHI585" s="540"/>
      <c r="IHJ585" s="209"/>
      <c r="IHK585" s="541"/>
      <c r="IHL585" s="541"/>
      <c r="IHM585" s="482"/>
      <c r="IHN585" s="173"/>
      <c r="IHO585" s="173"/>
      <c r="IHP585" s="544"/>
      <c r="IHR585" s="148"/>
      <c r="IHS585" s="148"/>
      <c r="IHT585" s="149"/>
      <c r="IHU585" s="150"/>
      <c r="IHW585" s="152"/>
      <c r="IHX585" s="542"/>
      <c r="IHY585" s="154"/>
      <c r="IHZ585" s="175"/>
      <c r="IIB585" s="156"/>
      <c r="IIC585" s="287"/>
      <c r="IID585" s="488"/>
      <c r="IIE585" s="489"/>
      <c r="IIF585" s="488"/>
      <c r="IIG585" s="300"/>
      <c r="IIH585" s="543"/>
      <c r="III585" s="533"/>
      <c r="IIJ585" s="534"/>
      <c r="IIK585" s="316"/>
      <c r="IIL585" s="316"/>
      <c r="IIM585" s="471"/>
      <c r="IIN585" s="472"/>
      <c r="IIO585" s="471"/>
      <c r="IIP585" s="473"/>
      <c r="IIQ585" s="313"/>
      <c r="IIR585" s="535"/>
      <c r="IIS585" s="536"/>
      <c r="IIT585" s="537"/>
      <c r="IIU585" s="538"/>
      <c r="IIV585" s="539"/>
      <c r="IIW585" s="540"/>
      <c r="IIX585" s="209"/>
      <c r="IIY585" s="541"/>
      <c r="IIZ585" s="541"/>
      <c r="IJA585" s="482"/>
      <c r="IJB585" s="173"/>
      <c r="IJC585" s="173"/>
      <c r="IJD585" s="544"/>
      <c r="IJF585" s="148"/>
      <c r="IJG585" s="148"/>
      <c r="IJH585" s="149"/>
      <c r="IJI585" s="150"/>
      <c r="IJK585" s="152"/>
      <c r="IJL585" s="542"/>
      <c r="IJM585" s="154"/>
      <c r="IJN585" s="175"/>
      <c r="IJP585" s="156"/>
      <c r="IJQ585" s="287"/>
      <c r="IJR585" s="488"/>
      <c r="IJS585" s="489"/>
      <c r="IJT585" s="488"/>
      <c r="IJU585" s="300"/>
      <c r="IJV585" s="543"/>
      <c r="IJW585" s="533"/>
      <c r="IJX585" s="534"/>
      <c r="IJY585" s="316"/>
      <c r="IJZ585" s="316"/>
      <c r="IKA585" s="471"/>
      <c r="IKB585" s="472"/>
      <c r="IKC585" s="471"/>
      <c r="IKD585" s="473"/>
      <c r="IKE585" s="313"/>
      <c r="IKF585" s="535"/>
      <c r="IKG585" s="536"/>
      <c r="IKH585" s="537"/>
      <c r="IKI585" s="538"/>
      <c r="IKJ585" s="539"/>
      <c r="IKK585" s="540"/>
      <c r="IKL585" s="209"/>
      <c r="IKM585" s="541"/>
      <c r="IKN585" s="541"/>
      <c r="IKO585" s="482"/>
      <c r="IKP585" s="173"/>
      <c r="IKQ585" s="173"/>
      <c r="IKR585" s="544"/>
      <c r="IKT585" s="148"/>
      <c r="IKU585" s="148"/>
      <c r="IKV585" s="149"/>
      <c r="IKW585" s="150"/>
      <c r="IKY585" s="152"/>
      <c r="IKZ585" s="542"/>
      <c r="ILA585" s="154"/>
      <c r="ILB585" s="175"/>
      <c r="ILD585" s="156"/>
      <c r="ILE585" s="287"/>
      <c r="ILF585" s="488"/>
      <c r="ILG585" s="489"/>
      <c r="ILH585" s="488"/>
      <c r="ILI585" s="300"/>
      <c r="ILJ585" s="543"/>
      <c r="ILK585" s="533"/>
      <c r="ILL585" s="534"/>
      <c r="ILM585" s="316"/>
      <c r="ILN585" s="316"/>
      <c r="ILO585" s="471"/>
      <c r="ILP585" s="472"/>
      <c r="ILQ585" s="471"/>
      <c r="ILR585" s="473"/>
      <c r="ILS585" s="313"/>
      <c r="ILT585" s="535"/>
      <c r="ILU585" s="536"/>
      <c r="ILV585" s="537"/>
      <c r="ILW585" s="538"/>
      <c r="ILX585" s="539"/>
      <c r="ILY585" s="540"/>
      <c r="ILZ585" s="209"/>
      <c r="IMA585" s="541"/>
      <c r="IMB585" s="541"/>
      <c r="IMC585" s="482"/>
      <c r="IMD585" s="173"/>
      <c r="IME585" s="173"/>
      <c r="IMF585" s="544"/>
      <c r="IMH585" s="148"/>
      <c r="IMI585" s="148"/>
      <c r="IMJ585" s="149"/>
      <c r="IMK585" s="150"/>
      <c r="IMM585" s="152"/>
      <c r="IMN585" s="542"/>
      <c r="IMO585" s="154"/>
      <c r="IMP585" s="175"/>
      <c r="IMR585" s="156"/>
      <c r="IMS585" s="287"/>
      <c r="IMT585" s="488"/>
      <c r="IMU585" s="489"/>
      <c r="IMV585" s="488"/>
      <c r="IMW585" s="300"/>
      <c r="IMX585" s="543"/>
      <c r="IMY585" s="533"/>
      <c r="IMZ585" s="534"/>
      <c r="INA585" s="316"/>
      <c r="INB585" s="316"/>
      <c r="INC585" s="471"/>
      <c r="IND585" s="472"/>
      <c r="INE585" s="471"/>
      <c r="INF585" s="473"/>
      <c r="ING585" s="313"/>
      <c r="INH585" s="535"/>
      <c r="INI585" s="536"/>
      <c r="INJ585" s="537"/>
      <c r="INK585" s="538"/>
      <c r="INL585" s="539"/>
      <c r="INM585" s="540"/>
      <c r="INN585" s="209"/>
      <c r="INO585" s="541"/>
      <c r="INP585" s="541"/>
      <c r="INQ585" s="482"/>
      <c r="INR585" s="173"/>
      <c r="INS585" s="173"/>
      <c r="INT585" s="544"/>
      <c r="INV585" s="148"/>
      <c r="INW585" s="148"/>
      <c r="INX585" s="149"/>
      <c r="INY585" s="150"/>
      <c r="IOA585" s="152"/>
      <c r="IOB585" s="542"/>
      <c r="IOC585" s="154"/>
      <c r="IOD585" s="175"/>
      <c r="IOF585" s="156"/>
      <c r="IOG585" s="287"/>
      <c r="IOH585" s="488"/>
      <c r="IOI585" s="489"/>
      <c r="IOJ585" s="488"/>
      <c r="IOK585" s="300"/>
      <c r="IOL585" s="543"/>
      <c r="IOM585" s="533"/>
      <c r="ION585" s="534"/>
      <c r="IOO585" s="316"/>
      <c r="IOP585" s="316"/>
      <c r="IOQ585" s="471"/>
      <c r="IOR585" s="472"/>
      <c r="IOS585" s="471"/>
      <c r="IOT585" s="473"/>
      <c r="IOU585" s="313"/>
      <c r="IOV585" s="535"/>
      <c r="IOW585" s="536"/>
      <c r="IOX585" s="537"/>
      <c r="IOY585" s="538"/>
      <c r="IOZ585" s="539"/>
      <c r="IPA585" s="540"/>
      <c r="IPB585" s="209"/>
      <c r="IPC585" s="541"/>
      <c r="IPD585" s="541"/>
      <c r="IPE585" s="482"/>
      <c r="IPF585" s="173"/>
      <c r="IPG585" s="173"/>
      <c r="IPH585" s="544"/>
      <c r="IPJ585" s="148"/>
      <c r="IPK585" s="148"/>
      <c r="IPL585" s="149"/>
      <c r="IPM585" s="150"/>
      <c r="IPO585" s="152"/>
      <c r="IPP585" s="542"/>
      <c r="IPQ585" s="154"/>
      <c r="IPR585" s="175"/>
      <c r="IPT585" s="156"/>
      <c r="IPU585" s="287"/>
      <c r="IPV585" s="488"/>
      <c r="IPW585" s="489"/>
      <c r="IPX585" s="488"/>
      <c r="IPY585" s="300"/>
      <c r="IPZ585" s="543"/>
      <c r="IQA585" s="533"/>
      <c r="IQB585" s="534"/>
      <c r="IQC585" s="316"/>
      <c r="IQD585" s="316"/>
      <c r="IQE585" s="471"/>
      <c r="IQF585" s="472"/>
      <c r="IQG585" s="471"/>
      <c r="IQH585" s="473"/>
      <c r="IQI585" s="313"/>
      <c r="IQJ585" s="535"/>
      <c r="IQK585" s="536"/>
      <c r="IQL585" s="537"/>
      <c r="IQM585" s="538"/>
      <c r="IQN585" s="539"/>
      <c r="IQO585" s="540"/>
      <c r="IQP585" s="209"/>
      <c r="IQQ585" s="541"/>
      <c r="IQR585" s="541"/>
      <c r="IQS585" s="482"/>
      <c r="IQT585" s="173"/>
      <c r="IQU585" s="173"/>
      <c r="IQV585" s="544"/>
      <c r="IQX585" s="148"/>
      <c r="IQY585" s="148"/>
      <c r="IQZ585" s="149"/>
      <c r="IRA585" s="150"/>
      <c r="IRC585" s="152"/>
      <c r="IRD585" s="542"/>
      <c r="IRE585" s="154"/>
      <c r="IRF585" s="175"/>
      <c r="IRH585" s="156"/>
      <c r="IRI585" s="287"/>
      <c r="IRJ585" s="488"/>
      <c r="IRK585" s="489"/>
      <c r="IRL585" s="488"/>
      <c r="IRM585" s="300"/>
      <c r="IRN585" s="543"/>
      <c r="IRO585" s="533"/>
      <c r="IRP585" s="534"/>
      <c r="IRQ585" s="316"/>
      <c r="IRR585" s="316"/>
      <c r="IRS585" s="471"/>
      <c r="IRT585" s="472"/>
      <c r="IRU585" s="471"/>
      <c r="IRV585" s="473"/>
      <c r="IRW585" s="313"/>
      <c r="IRX585" s="535"/>
      <c r="IRY585" s="536"/>
      <c r="IRZ585" s="537"/>
      <c r="ISA585" s="538"/>
      <c r="ISB585" s="539"/>
      <c r="ISC585" s="540"/>
      <c r="ISD585" s="209"/>
      <c r="ISE585" s="541"/>
      <c r="ISF585" s="541"/>
      <c r="ISG585" s="482"/>
      <c r="ISH585" s="173"/>
      <c r="ISI585" s="173"/>
      <c r="ISJ585" s="544"/>
      <c r="ISL585" s="148"/>
      <c r="ISM585" s="148"/>
      <c r="ISN585" s="149"/>
      <c r="ISO585" s="150"/>
      <c r="ISQ585" s="152"/>
      <c r="ISR585" s="542"/>
      <c r="ISS585" s="154"/>
      <c r="IST585" s="175"/>
      <c r="ISV585" s="156"/>
      <c r="ISW585" s="287"/>
      <c r="ISX585" s="488"/>
      <c r="ISY585" s="489"/>
      <c r="ISZ585" s="488"/>
      <c r="ITA585" s="300"/>
      <c r="ITB585" s="543"/>
      <c r="ITC585" s="533"/>
      <c r="ITD585" s="534"/>
      <c r="ITE585" s="316"/>
      <c r="ITF585" s="316"/>
      <c r="ITG585" s="471"/>
      <c r="ITH585" s="472"/>
      <c r="ITI585" s="471"/>
      <c r="ITJ585" s="473"/>
      <c r="ITK585" s="313"/>
      <c r="ITL585" s="535"/>
      <c r="ITM585" s="536"/>
      <c r="ITN585" s="537"/>
      <c r="ITO585" s="538"/>
      <c r="ITP585" s="539"/>
      <c r="ITQ585" s="540"/>
      <c r="ITR585" s="209"/>
      <c r="ITS585" s="541"/>
      <c r="ITT585" s="541"/>
      <c r="ITU585" s="482"/>
      <c r="ITV585" s="173"/>
      <c r="ITW585" s="173"/>
      <c r="ITX585" s="544"/>
      <c r="ITZ585" s="148"/>
      <c r="IUA585" s="148"/>
      <c r="IUB585" s="149"/>
      <c r="IUC585" s="150"/>
      <c r="IUE585" s="152"/>
      <c r="IUF585" s="542"/>
      <c r="IUG585" s="154"/>
      <c r="IUH585" s="175"/>
      <c r="IUJ585" s="156"/>
      <c r="IUK585" s="287"/>
      <c r="IUL585" s="488"/>
      <c r="IUM585" s="489"/>
      <c r="IUN585" s="488"/>
      <c r="IUO585" s="300"/>
      <c r="IUP585" s="543"/>
      <c r="IUQ585" s="533"/>
      <c r="IUR585" s="534"/>
      <c r="IUS585" s="316"/>
      <c r="IUT585" s="316"/>
      <c r="IUU585" s="471"/>
      <c r="IUV585" s="472"/>
      <c r="IUW585" s="471"/>
      <c r="IUX585" s="473"/>
      <c r="IUY585" s="313"/>
      <c r="IUZ585" s="535"/>
      <c r="IVA585" s="536"/>
      <c r="IVB585" s="537"/>
      <c r="IVC585" s="538"/>
      <c r="IVD585" s="539"/>
      <c r="IVE585" s="540"/>
      <c r="IVF585" s="209"/>
      <c r="IVG585" s="541"/>
      <c r="IVH585" s="541"/>
      <c r="IVI585" s="482"/>
      <c r="IVJ585" s="173"/>
      <c r="IVK585" s="173"/>
      <c r="IVL585" s="544"/>
      <c r="IVN585" s="148"/>
      <c r="IVO585" s="148"/>
      <c r="IVP585" s="149"/>
      <c r="IVQ585" s="150"/>
      <c r="IVS585" s="152"/>
      <c r="IVT585" s="542"/>
      <c r="IVU585" s="154"/>
      <c r="IVV585" s="175"/>
      <c r="IVX585" s="156"/>
      <c r="IVY585" s="287"/>
      <c r="IVZ585" s="488"/>
      <c r="IWA585" s="489"/>
      <c r="IWB585" s="488"/>
      <c r="IWC585" s="300"/>
      <c r="IWD585" s="543"/>
      <c r="IWE585" s="533"/>
      <c r="IWF585" s="534"/>
      <c r="IWG585" s="316"/>
      <c r="IWH585" s="316"/>
      <c r="IWI585" s="471"/>
      <c r="IWJ585" s="472"/>
      <c r="IWK585" s="471"/>
      <c r="IWL585" s="473"/>
      <c r="IWM585" s="313"/>
      <c r="IWN585" s="535"/>
      <c r="IWO585" s="536"/>
      <c r="IWP585" s="537"/>
      <c r="IWQ585" s="538"/>
      <c r="IWR585" s="539"/>
      <c r="IWS585" s="540"/>
      <c r="IWT585" s="209"/>
      <c r="IWU585" s="541"/>
      <c r="IWV585" s="541"/>
      <c r="IWW585" s="482"/>
      <c r="IWX585" s="173"/>
      <c r="IWY585" s="173"/>
      <c r="IWZ585" s="544"/>
      <c r="IXB585" s="148"/>
      <c r="IXC585" s="148"/>
      <c r="IXD585" s="149"/>
      <c r="IXE585" s="150"/>
      <c r="IXG585" s="152"/>
      <c r="IXH585" s="542"/>
      <c r="IXI585" s="154"/>
      <c r="IXJ585" s="175"/>
      <c r="IXL585" s="156"/>
      <c r="IXM585" s="287"/>
      <c r="IXN585" s="488"/>
      <c r="IXO585" s="489"/>
      <c r="IXP585" s="488"/>
      <c r="IXQ585" s="300"/>
      <c r="IXR585" s="543"/>
      <c r="IXS585" s="533"/>
      <c r="IXT585" s="534"/>
      <c r="IXU585" s="316"/>
      <c r="IXV585" s="316"/>
      <c r="IXW585" s="471"/>
      <c r="IXX585" s="472"/>
      <c r="IXY585" s="471"/>
      <c r="IXZ585" s="473"/>
      <c r="IYA585" s="313"/>
      <c r="IYB585" s="535"/>
      <c r="IYC585" s="536"/>
      <c r="IYD585" s="537"/>
      <c r="IYE585" s="538"/>
      <c r="IYF585" s="539"/>
      <c r="IYG585" s="540"/>
      <c r="IYH585" s="209"/>
      <c r="IYI585" s="541"/>
      <c r="IYJ585" s="541"/>
      <c r="IYK585" s="482"/>
      <c r="IYL585" s="173"/>
      <c r="IYM585" s="173"/>
      <c r="IYN585" s="544"/>
      <c r="IYP585" s="148"/>
      <c r="IYQ585" s="148"/>
      <c r="IYR585" s="149"/>
      <c r="IYS585" s="150"/>
      <c r="IYU585" s="152"/>
      <c r="IYV585" s="542"/>
      <c r="IYW585" s="154"/>
      <c r="IYX585" s="175"/>
      <c r="IYZ585" s="156"/>
      <c r="IZA585" s="287"/>
      <c r="IZB585" s="488"/>
      <c r="IZC585" s="489"/>
      <c r="IZD585" s="488"/>
      <c r="IZE585" s="300"/>
      <c r="IZF585" s="543"/>
      <c r="IZG585" s="533"/>
      <c r="IZH585" s="534"/>
      <c r="IZI585" s="316"/>
      <c r="IZJ585" s="316"/>
      <c r="IZK585" s="471"/>
      <c r="IZL585" s="472"/>
      <c r="IZM585" s="471"/>
      <c r="IZN585" s="473"/>
      <c r="IZO585" s="313"/>
      <c r="IZP585" s="535"/>
      <c r="IZQ585" s="536"/>
      <c r="IZR585" s="537"/>
      <c r="IZS585" s="538"/>
      <c r="IZT585" s="539"/>
      <c r="IZU585" s="540"/>
      <c r="IZV585" s="209"/>
      <c r="IZW585" s="541"/>
      <c r="IZX585" s="541"/>
      <c r="IZY585" s="482"/>
      <c r="IZZ585" s="173"/>
      <c r="JAA585" s="173"/>
      <c r="JAB585" s="544"/>
      <c r="JAD585" s="148"/>
      <c r="JAE585" s="148"/>
      <c r="JAF585" s="149"/>
      <c r="JAG585" s="150"/>
      <c r="JAI585" s="152"/>
      <c r="JAJ585" s="542"/>
      <c r="JAK585" s="154"/>
      <c r="JAL585" s="175"/>
      <c r="JAN585" s="156"/>
      <c r="JAO585" s="287"/>
      <c r="JAP585" s="488"/>
      <c r="JAQ585" s="489"/>
      <c r="JAR585" s="488"/>
      <c r="JAS585" s="300"/>
      <c r="JAT585" s="543"/>
      <c r="JAU585" s="533"/>
      <c r="JAV585" s="534"/>
      <c r="JAW585" s="316"/>
      <c r="JAX585" s="316"/>
      <c r="JAY585" s="471"/>
      <c r="JAZ585" s="472"/>
      <c r="JBA585" s="471"/>
      <c r="JBB585" s="473"/>
      <c r="JBC585" s="313"/>
      <c r="JBD585" s="535"/>
      <c r="JBE585" s="536"/>
      <c r="JBF585" s="537"/>
      <c r="JBG585" s="538"/>
      <c r="JBH585" s="539"/>
      <c r="JBI585" s="540"/>
      <c r="JBJ585" s="209"/>
      <c r="JBK585" s="541"/>
      <c r="JBL585" s="541"/>
      <c r="JBM585" s="482"/>
      <c r="JBN585" s="173"/>
      <c r="JBO585" s="173"/>
      <c r="JBP585" s="544"/>
      <c r="JBR585" s="148"/>
      <c r="JBS585" s="148"/>
      <c r="JBT585" s="149"/>
      <c r="JBU585" s="150"/>
      <c r="JBW585" s="152"/>
      <c r="JBX585" s="542"/>
      <c r="JBY585" s="154"/>
      <c r="JBZ585" s="175"/>
      <c r="JCB585" s="156"/>
      <c r="JCC585" s="287"/>
      <c r="JCD585" s="488"/>
      <c r="JCE585" s="489"/>
      <c r="JCF585" s="488"/>
      <c r="JCG585" s="300"/>
      <c r="JCH585" s="543"/>
      <c r="JCI585" s="533"/>
      <c r="JCJ585" s="534"/>
      <c r="JCK585" s="316"/>
      <c r="JCL585" s="316"/>
      <c r="JCM585" s="471"/>
      <c r="JCN585" s="472"/>
      <c r="JCO585" s="471"/>
      <c r="JCP585" s="473"/>
      <c r="JCQ585" s="313"/>
      <c r="JCR585" s="535"/>
      <c r="JCS585" s="536"/>
      <c r="JCT585" s="537"/>
      <c r="JCU585" s="538"/>
      <c r="JCV585" s="539"/>
      <c r="JCW585" s="540"/>
      <c r="JCX585" s="209"/>
      <c r="JCY585" s="541"/>
      <c r="JCZ585" s="541"/>
      <c r="JDA585" s="482"/>
      <c r="JDB585" s="173"/>
      <c r="JDC585" s="173"/>
      <c r="JDD585" s="544"/>
      <c r="JDF585" s="148"/>
      <c r="JDG585" s="148"/>
      <c r="JDH585" s="149"/>
      <c r="JDI585" s="150"/>
      <c r="JDK585" s="152"/>
      <c r="JDL585" s="542"/>
      <c r="JDM585" s="154"/>
      <c r="JDN585" s="175"/>
      <c r="JDP585" s="156"/>
      <c r="JDQ585" s="287"/>
      <c r="JDR585" s="488"/>
      <c r="JDS585" s="489"/>
      <c r="JDT585" s="488"/>
      <c r="JDU585" s="300"/>
      <c r="JDV585" s="543"/>
      <c r="JDW585" s="533"/>
      <c r="JDX585" s="534"/>
      <c r="JDY585" s="316"/>
      <c r="JDZ585" s="316"/>
      <c r="JEA585" s="471"/>
      <c r="JEB585" s="472"/>
      <c r="JEC585" s="471"/>
      <c r="JED585" s="473"/>
      <c r="JEE585" s="313"/>
      <c r="JEF585" s="535"/>
      <c r="JEG585" s="536"/>
      <c r="JEH585" s="537"/>
      <c r="JEI585" s="538"/>
      <c r="JEJ585" s="539"/>
      <c r="JEK585" s="540"/>
      <c r="JEL585" s="209"/>
      <c r="JEM585" s="541"/>
      <c r="JEN585" s="541"/>
      <c r="JEO585" s="482"/>
      <c r="JEP585" s="173"/>
      <c r="JEQ585" s="173"/>
      <c r="JER585" s="544"/>
      <c r="JET585" s="148"/>
      <c r="JEU585" s="148"/>
      <c r="JEV585" s="149"/>
      <c r="JEW585" s="150"/>
      <c r="JEY585" s="152"/>
      <c r="JEZ585" s="542"/>
      <c r="JFA585" s="154"/>
      <c r="JFB585" s="175"/>
      <c r="JFD585" s="156"/>
      <c r="JFE585" s="287"/>
      <c r="JFF585" s="488"/>
      <c r="JFG585" s="489"/>
      <c r="JFH585" s="488"/>
      <c r="JFI585" s="300"/>
      <c r="JFJ585" s="543"/>
      <c r="JFK585" s="533"/>
      <c r="JFL585" s="534"/>
      <c r="JFM585" s="316"/>
      <c r="JFN585" s="316"/>
      <c r="JFO585" s="471"/>
      <c r="JFP585" s="472"/>
      <c r="JFQ585" s="471"/>
      <c r="JFR585" s="473"/>
      <c r="JFS585" s="313"/>
      <c r="JFT585" s="535"/>
      <c r="JFU585" s="536"/>
      <c r="JFV585" s="537"/>
      <c r="JFW585" s="538"/>
      <c r="JFX585" s="539"/>
      <c r="JFY585" s="540"/>
      <c r="JFZ585" s="209"/>
      <c r="JGA585" s="541"/>
      <c r="JGB585" s="541"/>
      <c r="JGC585" s="482"/>
      <c r="JGD585" s="173"/>
      <c r="JGE585" s="173"/>
      <c r="JGF585" s="544"/>
      <c r="JGH585" s="148"/>
      <c r="JGI585" s="148"/>
      <c r="JGJ585" s="149"/>
      <c r="JGK585" s="150"/>
      <c r="JGM585" s="152"/>
      <c r="JGN585" s="542"/>
      <c r="JGO585" s="154"/>
      <c r="JGP585" s="175"/>
      <c r="JGR585" s="156"/>
      <c r="JGS585" s="287"/>
      <c r="JGT585" s="488"/>
      <c r="JGU585" s="489"/>
      <c r="JGV585" s="488"/>
      <c r="JGW585" s="300"/>
      <c r="JGX585" s="543"/>
      <c r="JGY585" s="533"/>
      <c r="JGZ585" s="534"/>
      <c r="JHA585" s="316"/>
      <c r="JHB585" s="316"/>
      <c r="JHC585" s="471"/>
      <c r="JHD585" s="472"/>
      <c r="JHE585" s="471"/>
      <c r="JHF585" s="473"/>
      <c r="JHG585" s="313"/>
      <c r="JHH585" s="535"/>
      <c r="JHI585" s="536"/>
      <c r="JHJ585" s="537"/>
      <c r="JHK585" s="538"/>
      <c r="JHL585" s="539"/>
      <c r="JHM585" s="540"/>
      <c r="JHN585" s="209"/>
      <c r="JHO585" s="541"/>
      <c r="JHP585" s="541"/>
      <c r="JHQ585" s="482"/>
      <c r="JHR585" s="173"/>
      <c r="JHS585" s="173"/>
      <c r="JHT585" s="544"/>
      <c r="JHV585" s="148"/>
      <c r="JHW585" s="148"/>
      <c r="JHX585" s="149"/>
      <c r="JHY585" s="150"/>
      <c r="JIA585" s="152"/>
      <c r="JIB585" s="542"/>
      <c r="JIC585" s="154"/>
      <c r="JID585" s="175"/>
      <c r="JIF585" s="156"/>
      <c r="JIG585" s="287"/>
      <c r="JIH585" s="488"/>
      <c r="JII585" s="489"/>
      <c r="JIJ585" s="488"/>
      <c r="JIK585" s="300"/>
      <c r="JIL585" s="543"/>
      <c r="JIM585" s="533"/>
      <c r="JIN585" s="534"/>
      <c r="JIO585" s="316"/>
      <c r="JIP585" s="316"/>
      <c r="JIQ585" s="471"/>
      <c r="JIR585" s="472"/>
      <c r="JIS585" s="471"/>
      <c r="JIT585" s="473"/>
      <c r="JIU585" s="313"/>
      <c r="JIV585" s="535"/>
      <c r="JIW585" s="536"/>
      <c r="JIX585" s="537"/>
      <c r="JIY585" s="538"/>
      <c r="JIZ585" s="539"/>
      <c r="JJA585" s="540"/>
      <c r="JJB585" s="209"/>
      <c r="JJC585" s="541"/>
      <c r="JJD585" s="541"/>
      <c r="JJE585" s="482"/>
      <c r="JJF585" s="173"/>
      <c r="JJG585" s="173"/>
      <c r="JJH585" s="544"/>
      <c r="JJJ585" s="148"/>
      <c r="JJK585" s="148"/>
      <c r="JJL585" s="149"/>
      <c r="JJM585" s="150"/>
      <c r="JJO585" s="152"/>
      <c r="JJP585" s="542"/>
      <c r="JJQ585" s="154"/>
      <c r="JJR585" s="175"/>
      <c r="JJT585" s="156"/>
      <c r="JJU585" s="287"/>
      <c r="JJV585" s="488"/>
      <c r="JJW585" s="489"/>
      <c r="JJX585" s="488"/>
      <c r="JJY585" s="300"/>
      <c r="JJZ585" s="543"/>
      <c r="JKA585" s="533"/>
      <c r="JKB585" s="534"/>
      <c r="JKC585" s="316"/>
      <c r="JKD585" s="316"/>
      <c r="JKE585" s="471"/>
      <c r="JKF585" s="472"/>
      <c r="JKG585" s="471"/>
      <c r="JKH585" s="473"/>
      <c r="JKI585" s="313"/>
      <c r="JKJ585" s="535"/>
      <c r="JKK585" s="536"/>
      <c r="JKL585" s="537"/>
      <c r="JKM585" s="538"/>
      <c r="JKN585" s="539"/>
      <c r="JKO585" s="540"/>
      <c r="JKP585" s="209"/>
      <c r="JKQ585" s="541"/>
      <c r="JKR585" s="541"/>
      <c r="JKS585" s="482"/>
      <c r="JKT585" s="173"/>
      <c r="JKU585" s="173"/>
      <c r="JKV585" s="544"/>
      <c r="JKX585" s="148"/>
      <c r="JKY585" s="148"/>
      <c r="JKZ585" s="149"/>
      <c r="JLA585" s="150"/>
      <c r="JLC585" s="152"/>
      <c r="JLD585" s="542"/>
      <c r="JLE585" s="154"/>
      <c r="JLF585" s="175"/>
      <c r="JLH585" s="156"/>
      <c r="JLI585" s="287"/>
      <c r="JLJ585" s="488"/>
      <c r="JLK585" s="489"/>
      <c r="JLL585" s="488"/>
      <c r="JLM585" s="300"/>
      <c r="JLN585" s="543"/>
      <c r="JLO585" s="533"/>
      <c r="JLP585" s="534"/>
      <c r="JLQ585" s="316"/>
      <c r="JLR585" s="316"/>
      <c r="JLS585" s="471"/>
      <c r="JLT585" s="472"/>
      <c r="JLU585" s="471"/>
      <c r="JLV585" s="473"/>
      <c r="JLW585" s="313"/>
      <c r="JLX585" s="535"/>
      <c r="JLY585" s="536"/>
      <c r="JLZ585" s="537"/>
      <c r="JMA585" s="538"/>
      <c r="JMB585" s="539"/>
      <c r="JMC585" s="540"/>
      <c r="JMD585" s="209"/>
      <c r="JME585" s="541"/>
      <c r="JMF585" s="541"/>
      <c r="JMG585" s="482"/>
      <c r="JMH585" s="173"/>
      <c r="JMI585" s="173"/>
      <c r="JMJ585" s="544"/>
      <c r="JML585" s="148"/>
      <c r="JMM585" s="148"/>
      <c r="JMN585" s="149"/>
      <c r="JMO585" s="150"/>
      <c r="JMQ585" s="152"/>
      <c r="JMR585" s="542"/>
      <c r="JMS585" s="154"/>
      <c r="JMT585" s="175"/>
      <c r="JMV585" s="156"/>
      <c r="JMW585" s="287"/>
      <c r="JMX585" s="488"/>
      <c r="JMY585" s="489"/>
      <c r="JMZ585" s="488"/>
      <c r="JNA585" s="300"/>
      <c r="JNB585" s="543"/>
      <c r="JNC585" s="533"/>
      <c r="JND585" s="534"/>
      <c r="JNE585" s="316"/>
      <c r="JNF585" s="316"/>
      <c r="JNG585" s="471"/>
      <c r="JNH585" s="472"/>
      <c r="JNI585" s="471"/>
      <c r="JNJ585" s="473"/>
      <c r="JNK585" s="313"/>
      <c r="JNL585" s="535"/>
      <c r="JNM585" s="536"/>
      <c r="JNN585" s="537"/>
      <c r="JNO585" s="538"/>
      <c r="JNP585" s="539"/>
      <c r="JNQ585" s="540"/>
      <c r="JNR585" s="209"/>
      <c r="JNS585" s="541"/>
      <c r="JNT585" s="541"/>
      <c r="JNU585" s="482"/>
      <c r="JNV585" s="173"/>
      <c r="JNW585" s="173"/>
      <c r="JNX585" s="544"/>
      <c r="JNZ585" s="148"/>
      <c r="JOA585" s="148"/>
      <c r="JOB585" s="149"/>
      <c r="JOC585" s="150"/>
      <c r="JOE585" s="152"/>
      <c r="JOF585" s="542"/>
      <c r="JOG585" s="154"/>
      <c r="JOH585" s="175"/>
      <c r="JOJ585" s="156"/>
      <c r="JOK585" s="287"/>
      <c r="JOL585" s="488"/>
      <c r="JOM585" s="489"/>
      <c r="JON585" s="488"/>
      <c r="JOO585" s="300"/>
      <c r="JOP585" s="543"/>
      <c r="JOQ585" s="533"/>
      <c r="JOR585" s="534"/>
      <c r="JOS585" s="316"/>
      <c r="JOT585" s="316"/>
      <c r="JOU585" s="471"/>
      <c r="JOV585" s="472"/>
      <c r="JOW585" s="471"/>
      <c r="JOX585" s="473"/>
      <c r="JOY585" s="313"/>
      <c r="JOZ585" s="535"/>
      <c r="JPA585" s="536"/>
      <c r="JPB585" s="537"/>
      <c r="JPC585" s="538"/>
      <c r="JPD585" s="539"/>
      <c r="JPE585" s="540"/>
      <c r="JPF585" s="209"/>
      <c r="JPG585" s="541"/>
      <c r="JPH585" s="541"/>
      <c r="JPI585" s="482"/>
      <c r="JPJ585" s="173"/>
      <c r="JPK585" s="173"/>
      <c r="JPL585" s="544"/>
      <c r="JPN585" s="148"/>
      <c r="JPO585" s="148"/>
      <c r="JPP585" s="149"/>
      <c r="JPQ585" s="150"/>
      <c r="JPS585" s="152"/>
      <c r="JPT585" s="542"/>
      <c r="JPU585" s="154"/>
      <c r="JPV585" s="175"/>
      <c r="JPX585" s="156"/>
      <c r="JPY585" s="287"/>
      <c r="JPZ585" s="488"/>
      <c r="JQA585" s="489"/>
      <c r="JQB585" s="488"/>
      <c r="JQC585" s="300"/>
      <c r="JQD585" s="543"/>
      <c r="JQE585" s="533"/>
      <c r="JQF585" s="534"/>
      <c r="JQG585" s="316"/>
      <c r="JQH585" s="316"/>
      <c r="JQI585" s="471"/>
      <c r="JQJ585" s="472"/>
      <c r="JQK585" s="471"/>
      <c r="JQL585" s="473"/>
      <c r="JQM585" s="313"/>
      <c r="JQN585" s="535"/>
      <c r="JQO585" s="536"/>
      <c r="JQP585" s="537"/>
      <c r="JQQ585" s="538"/>
      <c r="JQR585" s="539"/>
      <c r="JQS585" s="540"/>
      <c r="JQT585" s="209"/>
      <c r="JQU585" s="541"/>
      <c r="JQV585" s="541"/>
      <c r="JQW585" s="482"/>
      <c r="JQX585" s="173"/>
      <c r="JQY585" s="173"/>
      <c r="JQZ585" s="544"/>
      <c r="JRB585" s="148"/>
      <c r="JRC585" s="148"/>
      <c r="JRD585" s="149"/>
      <c r="JRE585" s="150"/>
      <c r="JRG585" s="152"/>
      <c r="JRH585" s="542"/>
      <c r="JRI585" s="154"/>
      <c r="JRJ585" s="175"/>
      <c r="JRL585" s="156"/>
      <c r="JRM585" s="287"/>
      <c r="JRN585" s="488"/>
      <c r="JRO585" s="489"/>
      <c r="JRP585" s="488"/>
      <c r="JRQ585" s="300"/>
      <c r="JRR585" s="543"/>
      <c r="JRS585" s="533"/>
      <c r="JRT585" s="534"/>
      <c r="JRU585" s="316"/>
      <c r="JRV585" s="316"/>
      <c r="JRW585" s="471"/>
      <c r="JRX585" s="472"/>
      <c r="JRY585" s="471"/>
      <c r="JRZ585" s="473"/>
      <c r="JSA585" s="313"/>
      <c r="JSB585" s="535"/>
      <c r="JSC585" s="536"/>
      <c r="JSD585" s="537"/>
      <c r="JSE585" s="538"/>
      <c r="JSF585" s="539"/>
      <c r="JSG585" s="540"/>
      <c r="JSH585" s="209"/>
      <c r="JSI585" s="541"/>
      <c r="JSJ585" s="541"/>
      <c r="JSK585" s="482"/>
      <c r="JSL585" s="173"/>
      <c r="JSM585" s="173"/>
      <c r="JSN585" s="544"/>
      <c r="JSP585" s="148"/>
      <c r="JSQ585" s="148"/>
      <c r="JSR585" s="149"/>
      <c r="JSS585" s="150"/>
      <c r="JSU585" s="152"/>
      <c r="JSV585" s="542"/>
      <c r="JSW585" s="154"/>
      <c r="JSX585" s="175"/>
      <c r="JSZ585" s="156"/>
      <c r="JTA585" s="287"/>
      <c r="JTB585" s="488"/>
      <c r="JTC585" s="489"/>
      <c r="JTD585" s="488"/>
      <c r="JTE585" s="300"/>
      <c r="JTF585" s="543"/>
      <c r="JTG585" s="533"/>
      <c r="JTH585" s="534"/>
      <c r="JTI585" s="316"/>
      <c r="JTJ585" s="316"/>
      <c r="JTK585" s="471"/>
      <c r="JTL585" s="472"/>
      <c r="JTM585" s="471"/>
      <c r="JTN585" s="473"/>
      <c r="JTO585" s="313"/>
      <c r="JTP585" s="535"/>
      <c r="JTQ585" s="536"/>
      <c r="JTR585" s="537"/>
      <c r="JTS585" s="538"/>
      <c r="JTT585" s="539"/>
      <c r="JTU585" s="540"/>
      <c r="JTV585" s="209"/>
      <c r="JTW585" s="541"/>
      <c r="JTX585" s="541"/>
      <c r="JTY585" s="482"/>
      <c r="JTZ585" s="173"/>
      <c r="JUA585" s="173"/>
      <c r="JUB585" s="544"/>
      <c r="JUD585" s="148"/>
      <c r="JUE585" s="148"/>
      <c r="JUF585" s="149"/>
      <c r="JUG585" s="150"/>
      <c r="JUI585" s="152"/>
      <c r="JUJ585" s="542"/>
      <c r="JUK585" s="154"/>
      <c r="JUL585" s="175"/>
      <c r="JUN585" s="156"/>
      <c r="JUO585" s="287"/>
      <c r="JUP585" s="488"/>
      <c r="JUQ585" s="489"/>
      <c r="JUR585" s="488"/>
      <c r="JUS585" s="300"/>
      <c r="JUT585" s="543"/>
      <c r="JUU585" s="533"/>
      <c r="JUV585" s="534"/>
      <c r="JUW585" s="316"/>
      <c r="JUX585" s="316"/>
      <c r="JUY585" s="471"/>
      <c r="JUZ585" s="472"/>
      <c r="JVA585" s="471"/>
      <c r="JVB585" s="473"/>
      <c r="JVC585" s="313"/>
      <c r="JVD585" s="535"/>
      <c r="JVE585" s="536"/>
      <c r="JVF585" s="537"/>
      <c r="JVG585" s="538"/>
      <c r="JVH585" s="539"/>
      <c r="JVI585" s="540"/>
      <c r="JVJ585" s="209"/>
      <c r="JVK585" s="541"/>
      <c r="JVL585" s="541"/>
      <c r="JVM585" s="482"/>
      <c r="JVN585" s="173"/>
      <c r="JVO585" s="173"/>
      <c r="JVP585" s="544"/>
      <c r="JVR585" s="148"/>
      <c r="JVS585" s="148"/>
      <c r="JVT585" s="149"/>
      <c r="JVU585" s="150"/>
      <c r="JVW585" s="152"/>
      <c r="JVX585" s="542"/>
      <c r="JVY585" s="154"/>
      <c r="JVZ585" s="175"/>
      <c r="JWB585" s="156"/>
      <c r="JWC585" s="287"/>
      <c r="JWD585" s="488"/>
      <c r="JWE585" s="489"/>
      <c r="JWF585" s="488"/>
      <c r="JWG585" s="300"/>
      <c r="JWH585" s="543"/>
      <c r="JWI585" s="533"/>
      <c r="JWJ585" s="534"/>
      <c r="JWK585" s="316"/>
      <c r="JWL585" s="316"/>
      <c r="JWM585" s="471"/>
      <c r="JWN585" s="472"/>
      <c r="JWO585" s="471"/>
      <c r="JWP585" s="473"/>
      <c r="JWQ585" s="313"/>
      <c r="JWR585" s="535"/>
      <c r="JWS585" s="536"/>
      <c r="JWT585" s="537"/>
      <c r="JWU585" s="538"/>
      <c r="JWV585" s="539"/>
      <c r="JWW585" s="540"/>
      <c r="JWX585" s="209"/>
      <c r="JWY585" s="541"/>
      <c r="JWZ585" s="541"/>
      <c r="JXA585" s="482"/>
      <c r="JXB585" s="173"/>
      <c r="JXC585" s="173"/>
      <c r="JXD585" s="544"/>
      <c r="JXF585" s="148"/>
      <c r="JXG585" s="148"/>
      <c r="JXH585" s="149"/>
      <c r="JXI585" s="150"/>
      <c r="JXK585" s="152"/>
      <c r="JXL585" s="542"/>
      <c r="JXM585" s="154"/>
      <c r="JXN585" s="175"/>
      <c r="JXP585" s="156"/>
      <c r="JXQ585" s="287"/>
      <c r="JXR585" s="488"/>
      <c r="JXS585" s="489"/>
      <c r="JXT585" s="488"/>
      <c r="JXU585" s="300"/>
      <c r="JXV585" s="543"/>
      <c r="JXW585" s="533"/>
      <c r="JXX585" s="534"/>
      <c r="JXY585" s="316"/>
      <c r="JXZ585" s="316"/>
      <c r="JYA585" s="471"/>
      <c r="JYB585" s="472"/>
      <c r="JYC585" s="471"/>
      <c r="JYD585" s="473"/>
      <c r="JYE585" s="313"/>
      <c r="JYF585" s="535"/>
      <c r="JYG585" s="536"/>
      <c r="JYH585" s="537"/>
      <c r="JYI585" s="538"/>
      <c r="JYJ585" s="539"/>
      <c r="JYK585" s="540"/>
      <c r="JYL585" s="209"/>
      <c r="JYM585" s="541"/>
      <c r="JYN585" s="541"/>
      <c r="JYO585" s="482"/>
      <c r="JYP585" s="173"/>
      <c r="JYQ585" s="173"/>
      <c r="JYR585" s="544"/>
      <c r="JYT585" s="148"/>
      <c r="JYU585" s="148"/>
      <c r="JYV585" s="149"/>
      <c r="JYW585" s="150"/>
      <c r="JYY585" s="152"/>
      <c r="JYZ585" s="542"/>
      <c r="JZA585" s="154"/>
      <c r="JZB585" s="175"/>
      <c r="JZD585" s="156"/>
      <c r="JZE585" s="287"/>
      <c r="JZF585" s="488"/>
      <c r="JZG585" s="489"/>
      <c r="JZH585" s="488"/>
      <c r="JZI585" s="300"/>
      <c r="JZJ585" s="543"/>
      <c r="JZK585" s="533"/>
      <c r="JZL585" s="534"/>
      <c r="JZM585" s="316"/>
      <c r="JZN585" s="316"/>
      <c r="JZO585" s="471"/>
      <c r="JZP585" s="472"/>
      <c r="JZQ585" s="471"/>
      <c r="JZR585" s="473"/>
      <c r="JZS585" s="313"/>
      <c r="JZT585" s="535"/>
      <c r="JZU585" s="536"/>
      <c r="JZV585" s="537"/>
      <c r="JZW585" s="538"/>
      <c r="JZX585" s="539"/>
      <c r="JZY585" s="540"/>
      <c r="JZZ585" s="209"/>
      <c r="KAA585" s="541"/>
      <c r="KAB585" s="541"/>
      <c r="KAC585" s="482"/>
      <c r="KAD585" s="173"/>
      <c r="KAE585" s="173"/>
      <c r="KAF585" s="544"/>
      <c r="KAH585" s="148"/>
      <c r="KAI585" s="148"/>
      <c r="KAJ585" s="149"/>
      <c r="KAK585" s="150"/>
      <c r="KAM585" s="152"/>
      <c r="KAN585" s="542"/>
      <c r="KAO585" s="154"/>
      <c r="KAP585" s="175"/>
      <c r="KAR585" s="156"/>
      <c r="KAS585" s="287"/>
      <c r="KAT585" s="488"/>
      <c r="KAU585" s="489"/>
      <c r="KAV585" s="488"/>
      <c r="KAW585" s="300"/>
      <c r="KAX585" s="543"/>
      <c r="KAY585" s="533"/>
      <c r="KAZ585" s="534"/>
      <c r="KBA585" s="316"/>
      <c r="KBB585" s="316"/>
      <c r="KBC585" s="471"/>
      <c r="KBD585" s="472"/>
      <c r="KBE585" s="471"/>
      <c r="KBF585" s="473"/>
      <c r="KBG585" s="313"/>
      <c r="KBH585" s="535"/>
      <c r="KBI585" s="536"/>
      <c r="KBJ585" s="537"/>
      <c r="KBK585" s="538"/>
      <c r="KBL585" s="539"/>
      <c r="KBM585" s="540"/>
      <c r="KBN585" s="209"/>
      <c r="KBO585" s="541"/>
      <c r="KBP585" s="541"/>
      <c r="KBQ585" s="482"/>
      <c r="KBR585" s="173"/>
      <c r="KBS585" s="173"/>
      <c r="KBT585" s="544"/>
      <c r="KBV585" s="148"/>
      <c r="KBW585" s="148"/>
      <c r="KBX585" s="149"/>
      <c r="KBY585" s="150"/>
      <c r="KCA585" s="152"/>
      <c r="KCB585" s="542"/>
      <c r="KCC585" s="154"/>
      <c r="KCD585" s="175"/>
      <c r="KCF585" s="156"/>
      <c r="KCG585" s="287"/>
      <c r="KCH585" s="488"/>
      <c r="KCI585" s="489"/>
      <c r="KCJ585" s="488"/>
      <c r="KCK585" s="300"/>
      <c r="KCL585" s="543"/>
      <c r="KCM585" s="533"/>
      <c r="KCN585" s="534"/>
      <c r="KCO585" s="316"/>
      <c r="KCP585" s="316"/>
      <c r="KCQ585" s="471"/>
      <c r="KCR585" s="472"/>
      <c r="KCS585" s="471"/>
      <c r="KCT585" s="473"/>
      <c r="KCU585" s="313"/>
      <c r="KCV585" s="535"/>
      <c r="KCW585" s="536"/>
      <c r="KCX585" s="537"/>
      <c r="KCY585" s="538"/>
      <c r="KCZ585" s="539"/>
      <c r="KDA585" s="540"/>
      <c r="KDB585" s="209"/>
      <c r="KDC585" s="541"/>
      <c r="KDD585" s="541"/>
      <c r="KDE585" s="482"/>
      <c r="KDF585" s="173"/>
      <c r="KDG585" s="173"/>
      <c r="KDH585" s="544"/>
      <c r="KDJ585" s="148"/>
      <c r="KDK585" s="148"/>
      <c r="KDL585" s="149"/>
      <c r="KDM585" s="150"/>
      <c r="KDO585" s="152"/>
      <c r="KDP585" s="542"/>
      <c r="KDQ585" s="154"/>
      <c r="KDR585" s="175"/>
      <c r="KDT585" s="156"/>
      <c r="KDU585" s="287"/>
      <c r="KDV585" s="488"/>
      <c r="KDW585" s="489"/>
      <c r="KDX585" s="488"/>
      <c r="KDY585" s="300"/>
      <c r="KDZ585" s="543"/>
      <c r="KEA585" s="533"/>
      <c r="KEB585" s="534"/>
      <c r="KEC585" s="316"/>
      <c r="KED585" s="316"/>
      <c r="KEE585" s="471"/>
      <c r="KEF585" s="472"/>
      <c r="KEG585" s="471"/>
      <c r="KEH585" s="473"/>
      <c r="KEI585" s="313"/>
      <c r="KEJ585" s="535"/>
      <c r="KEK585" s="536"/>
      <c r="KEL585" s="537"/>
      <c r="KEM585" s="538"/>
      <c r="KEN585" s="539"/>
      <c r="KEO585" s="540"/>
      <c r="KEP585" s="209"/>
      <c r="KEQ585" s="541"/>
      <c r="KER585" s="541"/>
      <c r="KES585" s="482"/>
      <c r="KET585" s="173"/>
      <c r="KEU585" s="173"/>
      <c r="KEV585" s="544"/>
      <c r="KEX585" s="148"/>
      <c r="KEY585" s="148"/>
      <c r="KEZ585" s="149"/>
      <c r="KFA585" s="150"/>
      <c r="KFC585" s="152"/>
      <c r="KFD585" s="542"/>
      <c r="KFE585" s="154"/>
      <c r="KFF585" s="175"/>
      <c r="KFH585" s="156"/>
      <c r="KFI585" s="287"/>
      <c r="KFJ585" s="488"/>
      <c r="KFK585" s="489"/>
      <c r="KFL585" s="488"/>
      <c r="KFM585" s="300"/>
      <c r="KFN585" s="543"/>
      <c r="KFO585" s="533"/>
      <c r="KFP585" s="534"/>
      <c r="KFQ585" s="316"/>
      <c r="KFR585" s="316"/>
      <c r="KFS585" s="471"/>
      <c r="KFT585" s="472"/>
      <c r="KFU585" s="471"/>
      <c r="KFV585" s="473"/>
      <c r="KFW585" s="313"/>
      <c r="KFX585" s="535"/>
      <c r="KFY585" s="536"/>
      <c r="KFZ585" s="537"/>
      <c r="KGA585" s="538"/>
      <c r="KGB585" s="539"/>
      <c r="KGC585" s="540"/>
      <c r="KGD585" s="209"/>
      <c r="KGE585" s="541"/>
      <c r="KGF585" s="541"/>
      <c r="KGG585" s="482"/>
      <c r="KGH585" s="173"/>
      <c r="KGI585" s="173"/>
      <c r="KGJ585" s="544"/>
      <c r="KGL585" s="148"/>
      <c r="KGM585" s="148"/>
      <c r="KGN585" s="149"/>
      <c r="KGO585" s="150"/>
      <c r="KGQ585" s="152"/>
      <c r="KGR585" s="542"/>
      <c r="KGS585" s="154"/>
      <c r="KGT585" s="175"/>
      <c r="KGV585" s="156"/>
      <c r="KGW585" s="287"/>
      <c r="KGX585" s="488"/>
      <c r="KGY585" s="489"/>
      <c r="KGZ585" s="488"/>
      <c r="KHA585" s="300"/>
      <c r="KHB585" s="543"/>
      <c r="KHC585" s="533"/>
      <c r="KHD585" s="534"/>
      <c r="KHE585" s="316"/>
      <c r="KHF585" s="316"/>
      <c r="KHG585" s="471"/>
      <c r="KHH585" s="472"/>
      <c r="KHI585" s="471"/>
      <c r="KHJ585" s="473"/>
      <c r="KHK585" s="313"/>
      <c r="KHL585" s="535"/>
      <c r="KHM585" s="536"/>
      <c r="KHN585" s="537"/>
      <c r="KHO585" s="538"/>
      <c r="KHP585" s="539"/>
      <c r="KHQ585" s="540"/>
      <c r="KHR585" s="209"/>
      <c r="KHS585" s="541"/>
      <c r="KHT585" s="541"/>
      <c r="KHU585" s="482"/>
      <c r="KHV585" s="173"/>
      <c r="KHW585" s="173"/>
      <c r="KHX585" s="544"/>
      <c r="KHZ585" s="148"/>
      <c r="KIA585" s="148"/>
      <c r="KIB585" s="149"/>
      <c r="KIC585" s="150"/>
      <c r="KIE585" s="152"/>
      <c r="KIF585" s="542"/>
      <c r="KIG585" s="154"/>
      <c r="KIH585" s="175"/>
      <c r="KIJ585" s="156"/>
      <c r="KIK585" s="287"/>
      <c r="KIL585" s="488"/>
      <c r="KIM585" s="489"/>
      <c r="KIN585" s="488"/>
      <c r="KIO585" s="300"/>
      <c r="KIP585" s="543"/>
      <c r="KIQ585" s="533"/>
      <c r="KIR585" s="534"/>
      <c r="KIS585" s="316"/>
      <c r="KIT585" s="316"/>
      <c r="KIU585" s="471"/>
      <c r="KIV585" s="472"/>
      <c r="KIW585" s="471"/>
      <c r="KIX585" s="473"/>
      <c r="KIY585" s="313"/>
      <c r="KIZ585" s="535"/>
      <c r="KJA585" s="536"/>
      <c r="KJB585" s="537"/>
      <c r="KJC585" s="538"/>
      <c r="KJD585" s="539"/>
      <c r="KJE585" s="540"/>
      <c r="KJF585" s="209"/>
      <c r="KJG585" s="541"/>
      <c r="KJH585" s="541"/>
      <c r="KJI585" s="482"/>
      <c r="KJJ585" s="173"/>
      <c r="KJK585" s="173"/>
      <c r="KJL585" s="544"/>
      <c r="KJN585" s="148"/>
      <c r="KJO585" s="148"/>
      <c r="KJP585" s="149"/>
      <c r="KJQ585" s="150"/>
      <c r="KJS585" s="152"/>
      <c r="KJT585" s="542"/>
      <c r="KJU585" s="154"/>
      <c r="KJV585" s="175"/>
      <c r="KJX585" s="156"/>
      <c r="KJY585" s="287"/>
      <c r="KJZ585" s="488"/>
      <c r="KKA585" s="489"/>
      <c r="KKB585" s="488"/>
      <c r="KKC585" s="300"/>
      <c r="KKD585" s="543"/>
      <c r="KKE585" s="533"/>
      <c r="KKF585" s="534"/>
      <c r="KKG585" s="316"/>
      <c r="KKH585" s="316"/>
      <c r="KKI585" s="471"/>
      <c r="KKJ585" s="472"/>
      <c r="KKK585" s="471"/>
      <c r="KKL585" s="473"/>
      <c r="KKM585" s="313"/>
      <c r="KKN585" s="535"/>
      <c r="KKO585" s="536"/>
      <c r="KKP585" s="537"/>
      <c r="KKQ585" s="538"/>
      <c r="KKR585" s="539"/>
      <c r="KKS585" s="540"/>
      <c r="KKT585" s="209"/>
      <c r="KKU585" s="541"/>
      <c r="KKV585" s="541"/>
      <c r="KKW585" s="482"/>
      <c r="KKX585" s="173"/>
      <c r="KKY585" s="173"/>
      <c r="KKZ585" s="544"/>
      <c r="KLB585" s="148"/>
      <c r="KLC585" s="148"/>
      <c r="KLD585" s="149"/>
      <c r="KLE585" s="150"/>
      <c r="KLG585" s="152"/>
      <c r="KLH585" s="542"/>
      <c r="KLI585" s="154"/>
      <c r="KLJ585" s="175"/>
      <c r="KLL585" s="156"/>
      <c r="KLM585" s="287"/>
      <c r="KLN585" s="488"/>
      <c r="KLO585" s="489"/>
      <c r="KLP585" s="488"/>
      <c r="KLQ585" s="300"/>
      <c r="KLR585" s="543"/>
      <c r="KLS585" s="533"/>
      <c r="KLT585" s="534"/>
      <c r="KLU585" s="316"/>
      <c r="KLV585" s="316"/>
      <c r="KLW585" s="471"/>
      <c r="KLX585" s="472"/>
      <c r="KLY585" s="471"/>
      <c r="KLZ585" s="473"/>
      <c r="KMA585" s="313"/>
      <c r="KMB585" s="535"/>
      <c r="KMC585" s="536"/>
      <c r="KMD585" s="537"/>
      <c r="KME585" s="538"/>
      <c r="KMF585" s="539"/>
      <c r="KMG585" s="540"/>
      <c r="KMH585" s="209"/>
      <c r="KMI585" s="541"/>
      <c r="KMJ585" s="541"/>
      <c r="KMK585" s="482"/>
      <c r="KML585" s="173"/>
      <c r="KMM585" s="173"/>
      <c r="KMN585" s="544"/>
      <c r="KMP585" s="148"/>
      <c r="KMQ585" s="148"/>
      <c r="KMR585" s="149"/>
      <c r="KMS585" s="150"/>
      <c r="KMU585" s="152"/>
      <c r="KMV585" s="542"/>
      <c r="KMW585" s="154"/>
      <c r="KMX585" s="175"/>
      <c r="KMZ585" s="156"/>
      <c r="KNA585" s="287"/>
      <c r="KNB585" s="488"/>
      <c r="KNC585" s="489"/>
      <c r="KND585" s="488"/>
      <c r="KNE585" s="300"/>
      <c r="KNF585" s="543"/>
      <c r="KNG585" s="533"/>
      <c r="KNH585" s="534"/>
      <c r="KNI585" s="316"/>
      <c r="KNJ585" s="316"/>
      <c r="KNK585" s="471"/>
      <c r="KNL585" s="472"/>
      <c r="KNM585" s="471"/>
      <c r="KNN585" s="473"/>
      <c r="KNO585" s="313"/>
      <c r="KNP585" s="535"/>
      <c r="KNQ585" s="536"/>
      <c r="KNR585" s="537"/>
      <c r="KNS585" s="538"/>
      <c r="KNT585" s="539"/>
      <c r="KNU585" s="540"/>
      <c r="KNV585" s="209"/>
      <c r="KNW585" s="541"/>
      <c r="KNX585" s="541"/>
      <c r="KNY585" s="482"/>
      <c r="KNZ585" s="173"/>
      <c r="KOA585" s="173"/>
      <c r="KOB585" s="544"/>
      <c r="KOD585" s="148"/>
      <c r="KOE585" s="148"/>
      <c r="KOF585" s="149"/>
      <c r="KOG585" s="150"/>
      <c r="KOI585" s="152"/>
      <c r="KOJ585" s="542"/>
      <c r="KOK585" s="154"/>
      <c r="KOL585" s="175"/>
      <c r="KON585" s="156"/>
      <c r="KOO585" s="287"/>
      <c r="KOP585" s="488"/>
      <c r="KOQ585" s="489"/>
      <c r="KOR585" s="488"/>
      <c r="KOS585" s="300"/>
      <c r="KOT585" s="543"/>
      <c r="KOU585" s="533"/>
      <c r="KOV585" s="534"/>
      <c r="KOW585" s="316"/>
      <c r="KOX585" s="316"/>
      <c r="KOY585" s="471"/>
      <c r="KOZ585" s="472"/>
      <c r="KPA585" s="471"/>
      <c r="KPB585" s="473"/>
      <c r="KPC585" s="313"/>
      <c r="KPD585" s="535"/>
      <c r="KPE585" s="536"/>
      <c r="KPF585" s="537"/>
      <c r="KPG585" s="538"/>
      <c r="KPH585" s="539"/>
      <c r="KPI585" s="540"/>
      <c r="KPJ585" s="209"/>
      <c r="KPK585" s="541"/>
      <c r="KPL585" s="541"/>
      <c r="KPM585" s="482"/>
      <c r="KPN585" s="173"/>
      <c r="KPO585" s="173"/>
      <c r="KPP585" s="544"/>
      <c r="KPR585" s="148"/>
      <c r="KPS585" s="148"/>
      <c r="KPT585" s="149"/>
      <c r="KPU585" s="150"/>
      <c r="KPW585" s="152"/>
      <c r="KPX585" s="542"/>
      <c r="KPY585" s="154"/>
      <c r="KPZ585" s="175"/>
      <c r="KQB585" s="156"/>
      <c r="KQC585" s="287"/>
      <c r="KQD585" s="488"/>
      <c r="KQE585" s="489"/>
      <c r="KQF585" s="488"/>
      <c r="KQG585" s="300"/>
      <c r="KQH585" s="543"/>
      <c r="KQI585" s="533"/>
      <c r="KQJ585" s="534"/>
      <c r="KQK585" s="316"/>
      <c r="KQL585" s="316"/>
      <c r="KQM585" s="471"/>
      <c r="KQN585" s="472"/>
      <c r="KQO585" s="471"/>
      <c r="KQP585" s="473"/>
      <c r="KQQ585" s="313"/>
      <c r="KQR585" s="535"/>
      <c r="KQS585" s="536"/>
      <c r="KQT585" s="537"/>
      <c r="KQU585" s="538"/>
      <c r="KQV585" s="539"/>
      <c r="KQW585" s="540"/>
      <c r="KQX585" s="209"/>
      <c r="KQY585" s="541"/>
      <c r="KQZ585" s="541"/>
      <c r="KRA585" s="482"/>
      <c r="KRB585" s="173"/>
      <c r="KRC585" s="173"/>
      <c r="KRD585" s="544"/>
      <c r="KRF585" s="148"/>
      <c r="KRG585" s="148"/>
      <c r="KRH585" s="149"/>
      <c r="KRI585" s="150"/>
      <c r="KRK585" s="152"/>
      <c r="KRL585" s="542"/>
      <c r="KRM585" s="154"/>
      <c r="KRN585" s="175"/>
      <c r="KRP585" s="156"/>
      <c r="KRQ585" s="287"/>
      <c r="KRR585" s="488"/>
      <c r="KRS585" s="489"/>
      <c r="KRT585" s="488"/>
      <c r="KRU585" s="300"/>
      <c r="KRV585" s="543"/>
      <c r="KRW585" s="533"/>
      <c r="KRX585" s="534"/>
      <c r="KRY585" s="316"/>
      <c r="KRZ585" s="316"/>
      <c r="KSA585" s="471"/>
      <c r="KSB585" s="472"/>
      <c r="KSC585" s="471"/>
      <c r="KSD585" s="473"/>
      <c r="KSE585" s="313"/>
      <c r="KSF585" s="535"/>
      <c r="KSG585" s="536"/>
      <c r="KSH585" s="537"/>
      <c r="KSI585" s="538"/>
      <c r="KSJ585" s="539"/>
      <c r="KSK585" s="540"/>
      <c r="KSL585" s="209"/>
      <c r="KSM585" s="541"/>
      <c r="KSN585" s="541"/>
      <c r="KSO585" s="482"/>
      <c r="KSP585" s="173"/>
      <c r="KSQ585" s="173"/>
      <c r="KSR585" s="544"/>
      <c r="KST585" s="148"/>
      <c r="KSU585" s="148"/>
      <c r="KSV585" s="149"/>
      <c r="KSW585" s="150"/>
      <c r="KSY585" s="152"/>
      <c r="KSZ585" s="542"/>
      <c r="KTA585" s="154"/>
      <c r="KTB585" s="175"/>
      <c r="KTD585" s="156"/>
      <c r="KTE585" s="287"/>
      <c r="KTF585" s="488"/>
      <c r="KTG585" s="489"/>
      <c r="KTH585" s="488"/>
      <c r="KTI585" s="300"/>
      <c r="KTJ585" s="543"/>
      <c r="KTK585" s="533"/>
      <c r="KTL585" s="534"/>
      <c r="KTM585" s="316"/>
      <c r="KTN585" s="316"/>
      <c r="KTO585" s="471"/>
      <c r="KTP585" s="472"/>
      <c r="KTQ585" s="471"/>
      <c r="KTR585" s="473"/>
      <c r="KTS585" s="313"/>
      <c r="KTT585" s="535"/>
      <c r="KTU585" s="536"/>
      <c r="KTV585" s="537"/>
      <c r="KTW585" s="538"/>
      <c r="KTX585" s="539"/>
      <c r="KTY585" s="540"/>
      <c r="KTZ585" s="209"/>
      <c r="KUA585" s="541"/>
      <c r="KUB585" s="541"/>
      <c r="KUC585" s="482"/>
      <c r="KUD585" s="173"/>
      <c r="KUE585" s="173"/>
      <c r="KUF585" s="544"/>
      <c r="KUH585" s="148"/>
      <c r="KUI585" s="148"/>
      <c r="KUJ585" s="149"/>
      <c r="KUK585" s="150"/>
      <c r="KUM585" s="152"/>
      <c r="KUN585" s="542"/>
      <c r="KUO585" s="154"/>
      <c r="KUP585" s="175"/>
      <c r="KUR585" s="156"/>
      <c r="KUS585" s="287"/>
      <c r="KUT585" s="488"/>
      <c r="KUU585" s="489"/>
      <c r="KUV585" s="488"/>
      <c r="KUW585" s="300"/>
      <c r="KUX585" s="543"/>
      <c r="KUY585" s="533"/>
      <c r="KUZ585" s="534"/>
      <c r="KVA585" s="316"/>
      <c r="KVB585" s="316"/>
      <c r="KVC585" s="471"/>
      <c r="KVD585" s="472"/>
      <c r="KVE585" s="471"/>
      <c r="KVF585" s="473"/>
      <c r="KVG585" s="313"/>
      <c r="KVH585" s="535"/>
      <c r="KVI585" s="536"/>
      <c r="KVJ585" s="537"/>
      <c r="KVK585" s="538"/>
      <c r="KVL585" s="539"/>
      <c r="KVM585" s="540"/>
      <c r="KVN585" s="209"/>
      <c r="KVO585" s="541"/>
      <c r="KVP585" s="541"/>
      <c r="KVQ585" s="482"/>
      <c r="KVR585" s="173"/>
      <c r="KVS585" s="173"/>
      <c r="KVT585" s="544"/>
      <c r="KVV585" s="148"/>
      <c r="KVW585" s="148"/>
      <c r="KVX585" s="149"/>
      <c r="KVY585" s="150"/>
      <c r="KWA585" s="152"/>
      <c r="KWB585" s="542"/>
      <c r="KWC585" s="154"/>
      <c r="KWD585" s="175"/>
      <c r="KWF585" s="156"/>
      <c r="KWG585" s="287"/>
      <c r="KWH585" s="488"/>
      <c r="KWI585" s="489"/>
      <c r="KWJ585" s="488"/>
      <c r="KWK585" s="300"/>
      <c r="KWL585" s="543"/>
      <c r="KWM585" s="533"/>
      <c r="KWN585" s="534"/>
      <c r="KWO585" s="316"/>
      <c r="KWP585" s="316"/>
      <c r="KWQ585" s="471"/>
      <c r="KWR585" s="472"/>
      <c r="KWS585" s="471"/>
      <c r="KWT585" s="473"/>
      <c r="KWU585" s="313"/>
      <c r="KWV585" s="535"/>
      <c r="KWW585" s="536"/>
      <c r="KWX585" s="537"/>
      <c r="KWY585" s="538"/>
      <c r="KWZ585" s="539"/>
      <c r="KXA585" s="540"/>
      <c r="KXB585" s="209"/>
      <c r="KXC585" s="541"/>
      <c r="KXD585" s="541"/>
      <c r="KXE585" s="482"/>
      <c r="KXF585" s="173"/>
      <c r="KXG585" s="173"/>
      <c r="KXH585" s="544"/>
      <c r="KXJ585" s="148"/>
      <c r="KXK585" s="148"/>
      <c r="KXL585" s="149"/>
      <c r="KXM585" s="150"/>
      <c r="KXO585" s="152"/>
      <c r="KXP585" s="542"/>
      <c r="KXQ585" s="154"/>
      <c r="KXR585" s="175"/>
      <c r="KXT585" s="156"/>
      <c r="KXU585" s="287"/>
      <c r="KXV585" s="488"/>
      <c r="KXW585" s="489"/>
      <c r="KXX585" s="488"/>
      <c r="KXY585" s="300"/>
      <c r="KXZ585" s="543"/>
      <c r="KYA585" s="533"/>
      <c r="KYB585" s="534"/>
      <c r="KYC585" s="316"/>
      <c r="KYD585" s="316"/>
      <c r="KYE585" s="471"/>
      <c r="KYF585" s="472"/>
      <c r="KYG585" s="471"/>
      <c r="KYH585" s="473"/>
      <c r="KYI585" s="313"/>
      <c r="KYJ585" s="535"/>
      <c r="KYK585" s="536"/>
      <c r="KYL585" s="537"/>
      <c r="KYM585" s="538"/>
      <c r="KYN585" s="539"/>
      <c r="KYO585" s="540"/>
      <c r="KYP585" s="209"/>
      <c r="KYQ585" s="541"/>
      <c r="KYR585" s="541"/>
      <c r="KYS585" s="482"/>
      <c r="KYT585" s="173"/>
      <c r="KYU585" s="173"/>
      <c r="KYV585" s="544"/>
      <c r="KYX585" s="148"/>
      <c r="KYY585" s="148"/>
      <c r="KYZ585" s="149"/>
      <c r="KZA585" s="150"/>
      <c r="KZC585" s="152"/>
      <c r="KZD585" s="542"/>
      <c r="KZE585" s="154"/>
      <c r="KZF585" s="175"/>
      <c r="KZH585" s="156"/>
      <c r="KZI585" s="287"/>
      <c r="KZJ585" s="488"/>
      <c r="KZK585" s="489"/>
      <c r="KZL585" s="488"/>
      <c r="KZM585" s="300"/>
      <c r="KZN585" s="543"/>
      <c r="KZO585" s="533"/>
      <c r="KZP585" s="534"/>
      <c r="KZQ585" s="316"/>
      <c r="KZR585" s="316"/>
      <c r="KZS585" s="471"/>
      <c r="KZT585" s="472"/>
      <c r="KZU585" s="471"/>
      <c r="KZV585" s="473"/>
      <c r="KZW585" s="313"/>
      <c r="KZX585" s="535"/>
      <c r="KZY585" s="536"/>
      <c r="KZZ585" s="537"/>
      <c r="LAA585" s="538"/>
      <c r="LAB585" s="539"/>
      <c r="LAC585" s="540"/>
      <c r="LAD585" s="209"/>
      <c r="LAE585" s="541"/>
      <c r="LAF585" s="541"/>
      <c r="LAG585" s="482"/>
      <c r="LAH585" s="173"/>
      <c r="LAI585" s="173"/>
      <c r="LAJ585" s="544"/>
      <c r="LAL585" s="148"/>
      <c r="LAM585" s="148"/>
      <c r="LAN585" s="149"/>
      <c r="LAO585" s="150"/>
      <c r="LAQ585" s="152"/>
      <c r="LAR585" s="542"/>
      <c r="LAS585" s="154"/>
      <c r="LAT585" s="175"/>
      <c r="LAV585" s="156"/>
      <c r="LAW585" s="287"/>
      <c r="LAX585" s="488"/>
      <c r="LAY585" s="489"/>
      <c r="LAZ585" s="488"/>
      <c r="LBA585" s="300"/>
      <c r="LBB585" s="543"/>
      <c r="LBC585" s="533"/>
      <c r="LBD585" s="534"/>
      <c r="LBE585" s="316"/>
      <c r="LBF585" s="316"/>
      <c r="LBG585" s="471"/>
      <c r="LBH585" s="472"/>
      <c r="LBI585" s="471"/>
      <c r="LBJ585" s="473"/>
      <c r="LBK585" s="313"/>
      <c r="LBL585" s="535"/>
      <c r="LBM585" s="536"/>
      <c r="LBN585" s="537"/>
      <c r="LBO585" s="538"/>
      <c r="LBP585" s="539"/>
      <c r="LBQ585" s="540"/>
      <c r="LBR585" s="209"/>
      <c r="LBS585" s="541"/>
      <c r="LBT585" s="541"/>
      <c r="LBU585" s="482"/>
      <c r="LBV585" s="173"/>
      <c r="LBW585" s="173"/>
      <c r="LBX585" s="544"/>
      <c r="LBZ585" s="148"/>
      <c r="LCA585" s="148"/>
      <c r="LCB585" s="149"/>
      <c r="LCC585" s="150"/>
      <c r="LCE585" s="152"/>
      <c r="LCF585" s="542"/>
      <c r="LCG585" s="154"/>
      <c r="LCH585" s="175"/>
      <c r="LCJ585" s="156"/>
      <c r="LCK585" s="287"/>
      <c r="LCL585" s="488"/>
      <c r="LCM585" s="489"/>
      <c r="LCN585" s="488"/>
      <c r="LCO585" s="300"/>
      <c r="LCP585" s="543"/>
      <c r="LCQ585" s="533"/>
      <c r="LCR585" s="534"/>
      <c r="LCS585" s="316"/>
      <c r="LCT585" s="316"/>
      <c r="LCU585" s="471"/>
      <c r="LCV585" s="472"/>
      <c r="LCW585" s="471"/>
      <c r="LCX585" s="473"/>
      <c r="LCY585" s="313"/>
      <c r="LCZ585" s="535"/>
      <c r="LDA585" s="536"/>
      <c r="LDB585" s="537"/>
      <c r="LDC585" s="538"/>
      <c r="LDD585" s="539"/>
      <c r="LDE585" s="540"/>
      <c r="LDF585" s="209"/>
      <c r="LDG585" s="541"/>
      <c r="LDH585" s="541"/>
      <c r="LDI585" s="482"/>
      <c r="LDJ585" s="173"/>
      <c r="LDK585" s="173"/>
      <c r="LDL585" s="544"/>
      <c r="LDN585" s="148"/>
      <c r="LDO585" s="148"/>
      <c r="LDP585" s="149"/>
      <c r="LDQ585" s="150"/>
      <c r="LDS585" s="152"/>
      <c r="LDT585" s="542"/>
      <c r="LDU585" s="154"/>
      <c r="LDV585" s="175"/>
      <c r="LDX585" s="156"/>
      <c r="LDY585" s="287"/>
      <c r="LDZ585" s="488"/>
      <c r="LEA585" s="489"/>
      <c r="LEB585" s="488"/>
      <c r="LEC585" s="300"/>
      <c r="LED585" s="543"/>
      <c r="LEE585" s="533"/>
      <c r="LEF585" s="534"/>
      <c r="LEG585" s="316"/>
      <c r="LEH585" s="316"/>
      <c r="LEI585" s="471"/>
      <c r="LEJ585" s="472"/>
      <c r="LEK585" s="471"/>
      <c r="LEL585" s="473"/>
      <c r="LEM585" s="313"/>
      <c r="LEN585" s="535"/>
      <c r="LEO585" s="536"/>
      <c r="LEP585" s="537"/>
      <c r="LEQ585" s="538"/>
      <c r="LER585" s="539"/>
      <c r="LES585" s="540"/>
      <c r="LET585" s="209"/>
      <c r="LEU585" s="541"/>
      <c r="LEV585" s="541"/>
      <c r="LEW585" s="482"/>
      <c r="LEX585" s="173"/>
      <c r="LEY585" s="173"/>
      <c r="LEZ585" s="544"/>
      <c r="LFB585" s="148"/>
      <c r="LFC585" s="148"/>
      <c r="LFD585" s="149"/>
      <c r="LFE585" s="150"/>
      <c r="LFG585" s="152"/>
      <c r="LFH585" s="542"/>
      <c r="LFI585" s="154"/>
      <c r="LFJ585" s="175"/>
      <c r="LFL585" s="156"/>
      <c r="LFM585" s="287"/>
      <c r="LFN585" s="488"/>
      <c r="LFO585" s="489"/>
      <c r="LFP585" s="488"/>
      <c r="LFQ585" s="300"/>
      <c r="LFR585" s="543"/>
      <c r="LFS585" s="533"/>
      <c r="LFT585" s="534"/>
      <c r="LFU585" s="316"/>
      <c r="LFV585" s="316"/>
      <c r="LFW585" s="471"/>
      <c r="LFX585" s="472"/>
      <c r="LFY585" s="471"/>
      <c r="LFZ585" s="473"/>
      <c r="LGA585" s="313"/>
      <c r="LGB585" s="535"/>
      <c r="LGC585" s="536"/>
      <c r="LGD585" s="537"/>
      <c r="LGE585" s="538"/>
      <c r="LGF585" s="539"/>
      <c r="LGG585" s="540"/>
      <c r="LGH585" s="209"/>
      <c r="LGI585" s="541"/>
      <c r="LGJ585" s="541"/>
      <c r="LGK585" s="482"/>
      <c r="LGL585" s="173"/>
      <c r="LGM585" s="173"/>
      <c r="LGN585" s="544"/>
      <c r="LGP585" s="148"/>
      <c r="LGQ585" s="148"/>
      <c r="LGR585" s="149"/>
      <c r="LGS585" s="150"/>
      <c r="LGU585" s="152"/>
      <c r="LGV585" s="542"/>
      <c r="LGW585" s="154"/>
      <c r="LGX585" s="175"/>
      <c r="LGZ585" s="156"/>
      <c r="LHA585" s="287"/>
      <c r="LHB585" s="488"/>
      <c r="LHC585" s="489"/>
      <c r="LHD585" s="488"/>
      <c r="LHE585" s="300"/>
      <c r="LHF585" s="543"/>
      <c r="LHG585" s="533"/>
      <c r="LHH585" s="534"/>
      <c r="LHI585" s="316"/>
      <c r="LHJ585" s="316"/>
      <c r="LHK585" s="471"/>
      <c r="LHL585" s="472"/>
      <c r="LHM585" s="471"/>
      <c r="LHN585" s="473"/>
      <c r="LHO585" s="313"/>
      <c r="LHP585" s="535"/>
      <c r="LHQ585" s="536"/>
      <c r="LHR585" s="537"/>
      <c r="LHS585" s="538"/>
      <c r="LHT585" s="539"/>
      <c r="LHU585" s="540"/>
      <c r="LHV585" s="209"/>
      <c r="LHW585" s="541"/>
      <c r="LHX585" s="541"/>
      <c r="LHY585" s="482"/>
      <c r="LHZ585" s="173"/>
      <c r="LIA585" s="173"/>
      <c r="LIB585" s="544"/>
      <c r="LID585" s="148"/>
      <c r="LIE585" s="148"/>
      <c r="LIF585" s="149"/>
      <c r="LIG585" s="150"/>
      <c r="LII585" s="152"/>
      <c r="LIJ585" s="542"/>
      <c r="LIK585" s="154"/>
      <c r="LIL585" s="175"/>
      <c r="LIN585" s="156"/>
      <c r="LIO585" s="287"/>
      <c r="LIP585" s="488"/>
      <c r="LIQ585" s="489"/>
      <c r="LIR585" s="488"/>
      <c r="LIS585" s="300"/>
      <c r="LIT585" s="543"/>
      <c r="LIU585" s="533"/>
      <c r="LIV585" s="534"/>
      <c r="LIW585" s="316"/>
      <c r="LIX585" s="316"/>
      <c r="LIY585" s="471"/>
      <c r="LIZ585" s="472"/>
      <c r="LJA585" s="471"/>
      <c r="LJB585" s="473"/>
      <c r="LJC585" s="313"/>
      <c r="LJD585" s="535"/>
      <c r="LJE585" s="536"/>
      <c r="LJF585" s="537"/>
      <c r="LJG585" s="538"/>
      <c r="LJH585" s="539"/>
      <c r="LJI585" s="540"/>
      <c r="LJJ585" s="209"/>
      <c r="LJK585" s="541"/>
      <c r="LJL585" s="541"/>
      <c r="LJM585" s="482"/>
      <c r="LJN585" s="173"/>
      <c r="LJO585" s="173"/>
      <c r="LJP585" s="544"/>
      <c r="LJR585" s="148"/>
      <c r="LJS585" s="148"/>
      <c r="LJT585" s="149"/>
      <c r="LJU585" s="150"/>
      <c r="LJW585" s="152"/>
      <c r="LJX585" s="542"/>
      <c r="LJY585" s="154"/>
      <c r="LJZ585" s="175"/>
      <c r="LKB585" s="156"/>
      <c r="LKC585" s="287"/>
      <c r="LKD585" s="488"/>
      <c r="LKE585" s="489"/>
      <c r="LKF585" s="488"/>
      <c r="LKG585" s="300"/>
      <c r="LKH585" s="543"/>
      <c r="LKI585" s="533"/>
      <c r="LKJ585" s="534"/>
      <c r="LKK585" s="316"/>
      <c r="LKL585" s="316"/>
      <c r="LKM585" s="471"/>
      <c r="LKN585" s="472"/>
      <c r="LKO585" s="471"/>
      <c r="LKP585" s="473"/>
      <c r="LKQ585" s="313"/>
      <c r="LKR585" s="535"/>
      <c r="LKS585" s="536"/>
      <c r="LKT585" s="537"/>
      <c r="LKU585" s="538"/>
      <c r="LKV585" s="539"/>
      <c r="LKW585" s="540"/>
      <c r="LKX585" s="209"/>
      <c r="LKY585" s="541"/>
      <c r="LKZ585" s="541"/>
      <c r="LLA585" s="482"/>
      <c r="LLB585" s="173"/>
      <c r="LLC585" s="173"/>
      <c r="LLD585" s="544"/>
      <c r="LLF585" s="148"/>
      <c r="LLG585" s="148"/>
      <c r="LLH585" s="149"/>
      <c r="LLI585" s="150"/>
      <c r="LLK585" s="152"/>
      <c r="LLL585" s="542"/>
      <c r="LLM585" s="154"/>
      <c r="LLN585" s="175"/>
      <c r="LLP585" s="156"/>
      <c r="LLQ585" s="287"/>
      <c r="LLR585" s="488"/>
      <c r="LLS585" s="489"/>
      <c r="LLT585" s="488"/>
      <c r="LLU585" s="300"/>
      <c r="LLV585" s="543"/>
      <c r="LLW585" s="533"/>
      <c r="LLX585" s="534"/>
      <c r="LLY585" s="316"/>
      <c r="LLZ585" s="316"/>
      <c r="LMA585" s="471"/>
      <c r="LMB585" s="472"/>
      <c r="LMC585" s="471"/>
      <c r="LMD585" s="473"/>
      <c r="LME585" s="313"/>
      <c r="LMF585" s="535"/>
      <c r="LMG585" s="536"/>
      <c r="LMH585" s="537"/>
      <c r="LMI585" s="538"/>
      <c r="LMJ585" s="539"/>
      <c r="LMK585" s="540"/>
      <c r="LML585" s="209"/>
      <c r="LMM585" s="541"/>
      <c r="LMN585" s="541"/>
      <c r="LMO585" s="482"/>
      <c r="LMP585" s="173"/>
      <c r="LMQ585" s="173"/>
      <c r="LMR585" s="544"/>
      <c r="LMT585" s="148"/>
      <c r="LMU585" s="148"/>
      <c r="LMV585" s="149"/>
      <c r="LMW585" s="150"/>
      <c r="LMY585" s="152"/>
      <c r="LMZ585" s="542"/>
      <c r="LNA585" s="154"/>
      <c r="LNB585" s="175"/>
      <c r="LND585" s="156"/>
      <c r="LNE585" s="287"/>
      <c r="LNF585" s="488"/>
      <c r="LNG585" s="489"/>
      <c r="LNH585" s="488"/>
      <c r="LNI585" s="300"/>
      <c r="LNJ585" s="543"/>
      <c r="LNK585" s="533"/>
      <c r="LNL585" s="534"/>
      <c r="LNM585" s="316"/>
      <c r="LNN585" s="316"/>
      <c r="LNO585" s="471"/>
      <c r="LNP585" s="472"/>
      <c r="LNQ585" s="471"/>
      <c r="LNR585" s="473"/>
      <c r="LNS585" s="313"/>
      <c r="LNT585" s="535"/>
      <c r="LNU585" s="536"/>
      <c r="LNV585" s="537"/>
      <c r="LNW585" s="538"/>
      <c r="LNX585" s="539"/>
      <c r="LNY585" s="540"/>
      <c r="LNZ585" s="209"/>
      <c r="LOA585" s="541"/>
      <c r="LOB585" s="541"/>
      <c r="LOC585" s="482"/>
      <c r="LOD585" s="173"/>
      <c r="LOE585" s="173"/>
      <c r="LOF585" s="544"/>
      <c r="LOH585" s="148"/>
      <c r="LOI585" s="148"/>
      <c r="LOJ585" s="149"/>
      <c r="LOK585" s="150"/>
      <c r="LOM585" s="152"/>
      <c r="LON585" s="542"/>
      <c r="LOO585" s="154"/>
      <c r="LOP585" s="175"/>
      <c r="LOR585" s="156"/>
      <c r="LOS585" s="287"/>
      <c r="LOT585" s="488"/>
      <c r="LOU585" s="489"/>
      <c r="LOV585" s="488"/>
      <c r="LOW585" s="300"/>
      <c r="LOX585" s="543"/>
      <c r="LOY585" s="533"/>
      <c r="LOZ585" s="534"/>
      <c r="LPA585" s="316"/>
      <c r="LPB585" s="316"/>
      <c r="LPC585" s="471"/>
      <c r="LPD585" s="472"/>
      <c r="LPE585" s="471"/>
      <c r="LPF585" s="473"/>
      <c r="LPG585" s="313"/>
      <c r="LPH585" s="535"/>
      <c r="LPI585" s="536"/>
      <c r="LPJ585" s="537"/>
      <c r="LPK585" s="538"/>
      <c r="LPL585" s="539"/>
      <c r="LPM585" s="540"/>
      <c r="LPN585" s="209"/>
      <c r="LPO585" s="541"/>
      <c r="LPP585" s="541"/>
      <c r="LPQ585" s="482"/>
      <c r="LPR585" s="173"/>
      <c r="LPS585" s="173"/>
      <c r="LPT585" s="544"/>
      <c r="LPV585" s="148"/>
      <c r="LPW585" s="148"/>
      <c r="LPX585" s="149"/>
      <c r="LPY585" s="150"/>
      <c r="LQA585" s="152"/>
      <c r="LQB585" s="542"/>
      <c r="LQC585" s="154"/>
      <c r="LQD585" s="175"/>
      <c r="LQF585" s="156"/>
      <c r="LQG585" s="287"/>
      <c r="LQH585" s="488"/>
      <c r="LQI585" s="489"/>
      <c r="LQJ585" s="488"/>
      <c r="LQK585" s="300"/>
      <c r="LQL585" s="543"/>
      <c r="LQM585" s="533"/>
      <c r="LQN585" s="534"/>
      <c r="LQO585" s="316"/>
      <c r="LQP585" s="316"/>
      <c r="LQQ585" s="471"/>
      <c r="LQR585" s="472"/>
      <c r="LQS585" s="471"/>
      <c r="LQT585" s="473"/>
      <c r="LQU585" s="313"/>
      <c r="LQV585" s="535"/>
      <c r="LQW585" s="536"/>
      <c r="LQX585" s="537"/>
      <c r="LQY585" s="538"/>
      <c r="LQZ585" s="539"/>
      <c r="LRA585" s="540"/>
      <c r="LRB585" s="209"/>
      <c r="LRC585" s="541"/>
      <c r="LRD585" s="541"/>
      <c r="LRE585" s="482"/>
      <c r="LRF585" s="173"/>
      <c r="LRG585" s="173"/>
      <c r="LRH585" s="544"/>
      <c r="LRJ585" s="148"/>
      <c r="LRK585" s="148"/>
      <c r="LRL585" s="149"/>
      <c r="LRM585" s="150"/>
      <c r="LRO585" s="152"/>
      <c r="LRP585" s="542"/>
      <c r="LRQ585" s="154"/>
      <c r="LRR585" s="175"/>
      <c r="LRT585" s="156"/>
      <c r="LRU585" s="287"/>
      <c r="LRV585" s="488"/>
      <c r="LRW585" s="489"/>
      <c r="LRX585" s="488"/>
      <c r="LRY585" s="300"/>
      <c r="LRZ585" s="543"/>
      <c r="LSA585" s="533"/>
      <c r="LSB585" s="534"/>
      <c r="LSC585" s="316"/>
      <c r="LSD585" s="316"/>
      <c r="LSE585" s="471"/>
      <c r="LSF585" s="472"/>
      <c r="LSG585" s="471"/>
      <c r="LSH585" s="473"/>
      <c r="LSI585" s="313"/>
      <c r="LSJ585" s="535"/>
      <c r="LSK585" s="536"/>
      <c r="LSL585" s="537"/>
      <c r="LSM585" s="538"/>
      <c r="LSN585" s="539"/>
      <c r="LSO585" s="540"/>
      <c r="LSP585" s="209"/>
      <c r="LSQ585" s="541"/>
      <c r="LSR585" s="541"/>
      <c r="LSS585" s="482"/>
      <c r="LST585" s="173"/>
      <c r="LSU585" s="173"/>
      <c r="LSV585" s="544"/>
      <c r="LSX585" s="148"/>
      <c r="LSY585" s="148"/>
      <c r="LSZ585" s="149"/>
      <c r="LTA585" s="150"/>
      <c r="LTC585" s="152"/>
      <c r="LTD585" s="542"/>
      <c r="LTE585" s="154"/>
      <c r="LTF585" s="175"/>
      <c r="LTH585" s="156"/>
      <c r="LTI585" s="287"/>
      <c r="LTJ585" s="488"/>
      <c r="LTK585" s="489"/>
      <c r="LTL585" s="488"/>
      <c r="LTM585" s="300"/>
      <c r="LTN585" s="543"/>
      <c r="LTO585" s="533"/>
      <c r="LTP585" s="534"/>
      <c r="LTQ585" s="316"/>
      <c r="LTR585" s="316"/>
      <c r="LTS585" s="471"/>
      <c r="LTT585" s="472"/>
      <c r="LTU585" s="471"/>
      <c r="LTV585" s="473"/>
      <c r="LTW585" s="313"/>
      <c r="LTX585" s="535"/>
      <c r="LTY585" s="536"/>
      <c r="LTZ585" s="537"/>
      <c r="LUA585" s="538"/>
      <c r="LUB585" s="539"/>
      <c r="LUC585" s="540"/>
      <c r="LUD585" s="209"/>
      <c r="LUE585" s="541"/>
      <c r="LUF585" s="541"/>
      <c r="LUG585" s="482"/>
      <c r="LUH585" s="173"/>
      <c r="LUI585" s="173"/>
      <c r="LUJ585" s="544"/>
      <c r="LUL585" s="148"/>
      <c r="LUM585" s="148"/>
      <c r="LUN585" s="149"/>
      <c r="LUO585" s="150"/>
      <c r="LUQ585" s="152"/>
      <c r="LUR585" s="542"/>
      <c r="LUS585" s="154"/>
      <c r="LUT585" s="175"/>
      <c r="LUV585" s="156"/>
      <c r="LUW585" s="287"/>
      <c r="LUX585" s="488"/>
      <c r="LUY585" s="489"/>
      <c r="LUZ585" s="488"/>
      <c r="LVA585" s="300"/>
      <c r="LVB585" s="543"/>
      <c r="LVC585" s="533"/>
      <c r="LVD585" s="534"/>
      <c r="LVE585" s="316"/>
      <c r="LVF585" s="316"/>
      <c r="LVG585" s="471"/>
      <c r="LVH585" s="472"/>
      <c r="LVI585" s="471"/>
      <c r="LVJ585" s="473"/>
      <c r="LVK585" s="313"/>
      <c r="LVL585" s="535"/>
      <c r="LVM585" s="536"/>
      <c r="LVN585" s="537"/>
      <c r="LVO585" s="538"/>
      <c r="LVP585" s="539"/>
      <c r="LVQ585" s="540"/>
      <c r="LVR585" s="209"/>
      <c r="LVS585" s="541"/>
      <c r="LVT585" s="541"/>
      <c r="LVU585" s="482"/>
      <c r="LVV585" s="173"/>
      <c r="LVW585" s="173"/>
      <c r="LVX585" s="544"/>
      <c r="LVZ585" s="148"/>
      <c r="LWA585" s="148"/>
      <c r="LWB585" s="149"/>
      <c r="LWC585" s="150"/>
      <c r="LWE585" s="152"/>
      <c r="LWF585" s="542"/>
      <c r="LWG585" s="154"/>
      <c r="LWH585" s="175"/>
      <c r="LWJ585" s="156"/>
      <c r="LWK585" s="287"/>
      <c r="LWL585" s="488"/>
      <c r="LWM585" s="489"/>
      <c r="LWN585" s="488"/>
      <c r="LWO585" s="300"/>
      <c r="LWP585" s="543"/>
      <c r="LWQ585" s="533"/>
      <c r="LWR585" s="534"/>
      <c r="LWS585" s="316"/>
      <c r="LWT585" s="316"/>
      <c r="LWU585" s="471"/>
      <c r="LWV585" s="472"/>
      <c r="LWW585" s="471"/>
      <c r="LWX585" s="473"/>
      <c r="LWY585" s="313"/>
      <c r="LWZ585" s="535"/>
      <c r="LXA585" s="536"/>
      <c r="LXB585" s="537"/>
      <c r="LXC585" s="538"/>
      <c r="LXD585" s="539"/>
      <c r="LXE585" s="540"/>
      <c r="LXF585" s="209"/>
      <c r="LXG585" s="541"/>
      <c r="LXH585" s="541"/>
      <c r="LXI585" s="482"/>
      <c r="LXJ585" s="173"/>
      <c r="LXK585" s="173"/>
      <c r="LXL585" s="544"/>
      <c r="LXN585" s="148"/>
      <c r="LXO585" s="148"/>
      <c r="LXP585" s="149"/>
      <c r="LXQ585" s="150"/>
      <c r="LXS585" s="152"/>
      <c r="LXT585" s="542"/>
      <c r="LXU585" s="154"/>
      <c r="LXV585" s="175"/>
      <c r="LXX585" s="156"/>
      <c r="LXY585" s="287"/>
      <c r="LXZ585" s="488"/>
      <c r="LYA585" s="489"/>
      <c r="LYB585" s="488"/>
      <c r="LYC585" s="300"/>
      <c r="LYD585" s="543"/>
      <c r="LYE585" s="533"/>
      <c r="LYF585" s="534"/>
      <c r="LYG585" s="316"/>
      <c r="LYH585" s="316"/>
      <c r="LYI585" s="471"/>
      <c r="LYJ585" s="472"/>
      <c r="LYK585" s="471"/>
      <c r="LYL585" s="473"/>
      <c r="LYM585" s="313"/>
      <c r="LYN585" s="535"/>
      <c r="LYO585" s="536"/>
      <c r="LYP585" s="537"/>
      <c r="LYQ585" s="538"/>
      <c r="LYR585" s="539"/>
      <c r="LYS585" s="540"/>
      <c r="LYT585" s="209"/>
      <c r="LYU585" s="541"/>
      <c r="LYV585" s="541"/>
      <c r="LYW585" s="482"/>
      <c r="LYX585" s="173"/>
      <c r="LYY585" s="173"/>
      <c r="LYZ585" s="544"/>
      <c r="LZB585" s="148"/>
      <c r="LZC585" s="148"/>
      <c r="LZD585" s="149"/>
      <c r="LZE585" s="150"/>
      <c r="LZG585" s="152"/>
      <c r="LZH585" s="542"/>
      <c r="LZI585" s="154"/>
      <c r="LZJ585" s="175"/>
      <c r="LZL585" s="156"/>
      <c r="LZM585" s="287"/>
      <c r="LZN585" s="488"/>
      <c r="LZO585" s="489"/>
      <c r="LZP585" s="488"/>
      <c r="LZQ585" s="300"/>
      <c r="LZR585" s="543"/>
      <c r="LZS585" s="533"/>
      <c r="LZT585" s="534"/>
      <c r="LZU585" s="316"/>
      <c r="LZV585" s="316"/>
      <c r="LZW585" s="471"/>
      <c r="LZX585" s="472"/>
      <c r="LZY585" s="471"/>
      <c r="LZZ585" s="473"/>
      <c r="MAA585" s="313"/>
      <c r="MAB585" s="535"/>
      <c r="MAC585" s="536"/>
      <c r="MAD585" s="537"/>
      <c r="MAE585" s="538"/>
      <c r="MAF585" s="539"/>
      <c r="MAG585" s="540"/>
      <c r="MAH585" s="209"/>
      <c r="MAI585" s="541"/>
      <c r="MAJ585" s="541"/>
      <c r="MAK585" s="482"/>
      <c r="MAL585" s="173"/>
      <c r="MAM585" s="173"/>
      <c r="MAN585" s="544"/>
      <c r="MAP585" s="148"/>
      <c r="MAQ585" s="148"/>
      <c r="MAR585" s="149"/>
      <c r="MAS585" s="150"/>
      <c r="MAU585" s="152"/>
      <c r="MAV585" s="542"/>
      <c r="MAW585" s="154"/>
      <c r="MAX585" s="175"/>
      <c r="MAZ585" s="156"/>
      <c r="MBA585" s="287"/>
      <c r="MBB585" s="488"/>
      <c r="MBC585" s="489"/>
      <c r="MBD585" s="488"/>
      <c r="MBE585" s="300"/>
      <c r="MBF585" s="543"/>
      <c r="MBG585" s="533"/>
      <c r="MBH585" s="534"/>
      <c r="MBI585" s="316"/>
      <c r="MBJ585" s="316"/>
      <c r="MBK585" s="471"/>
      <c r="MBL585" s="472"/>
      <c r="MBM585" s="471"/>
      <c r="MBN585" s="473"/>
      <c r="MBO585" s="313"/>
      <c r="MBP585" s="535"/>
      <c r="MBQ585" s="536"/>
      <c r="MBR585" s="537"/>
      <c r="MBS585" s="538"/>
      <c r="MBT585" s="539"/>
      <c r="MBU585" s="540"/>
      <c r="MBV585" s="209"/>
      <c r="MBW585" s="541"/>
      <c r="MBX585" s="541"/>
      <c r="MBY585" s="482"/>
      <c r="MBZ585" s="173"/>
      <c r="MCA585" s="173"/>
      <c r="MCB585" s="544"/>
      <c r="MCD585" s="148"/>
      <c r="MCE585" s="148"/>
      <c r="MCF585" s="149"/>
      <c r="MCG585" s="150"/>
      <c r="MCI585" s="152"/>
      <c r="MCJ585" s="542"/>
      <c r="MCK585" s="154"/>
      <c r="MCL585" s="175"/>
      <c r="MCN585" s="156"/>
      <c r="MCO585" s="287"/>
      <c r="MCP585" s="488"/>
      <c r="MCQ585" s="489"/>
      <c r="MCR585" s="488"/>
      <c r="MCS585" s="300"/>
      <c r="MCT585" s="543"/>
      <c r="MCU585" s="533"/>
      <c r="MCV585" s="534"/>
      <c r="MCW585" s="316"/>
      <c r="MCX585" s="316"/>
      <c r="MCY585" s="471"/>
      <c r="MCZ585" s="472"/>
      <c r="MDA585" s="471"/>
      <c r="MDB585" s="473"/>
      <c r="MDC585" s="313"/>
      <c r="MDD585" s="535"/>
      <c r="MDE585" s="536"/>
      <c r="MDF585" s="537"/>
      <c r="MDG585" s="538"/>
      <c r="MDH585" s="539"/>
      <c r="MDI585" s="540"/>
      <c r="MDJ585" s="209"/>
      <c r="MDK585" s="541"/>
      <c r="MDL585" s="541"/>
      <c r="MDM585" s="482"/>
      <c r="MDN585" s="173"/>
      <c r="MDO585" s="173"/>
      <c r="MDP585" s="544"/>
      <c r="MDR585" s="148"/>
      <c r="MDS585" s="148"/>
      <c r="MDT585" s="149"/>
      <c r="MDU585" s="150"/>
      <c r="MDW585" s="152"/>
      <c r="MDX585" s="542"/>
      <c r="MDY585" s="154"/>
      <c r="MDZ585" s="175"/>
      <c r="MEB585" s="156"/>
      <c r="MEC585" s="287"/>
      <c r="MED585" s="488"/>
      <c r="MEE585" s="489"/>
      <c r="MEF585" s="488"/>
      <c r="MEG585" s="300"/>
      <c r="MEH585" s="543"/>
      <c r="MEI585" s="533"/>
      <c r="MEJ585" s="534"/>
      <c r="MEK585" s="316"/>
      <c r="MEL585" s="316"/>
      <c r="MEM585" s="471"/>
      <c r="MEN585" s="472"/>
      <c r="MEO585" s="471"/>
      <c r="MEP585" s="473"/>
      <c r="MEQ585" s="313"/>
      <c r="MER585" s="535"/>
      <c r="MES585" s="536"/>
      <c r="MET585" s="537"/>
      <c r="MEU585" s="538"/>
      <c r="MEV585" s="539"/>
      <c r="MEW585" s="540"/>
      <c r="MEX585" s="209"/>
      <c r="MEY585" s="541"/>
      <c r="MEZ585" s="541"/>
      <c r="MFA585" s="482"/>
      <c r="MFB585" s="173"/>
      <c r="MFC585" s="173"/>
      <c r="MFD585" s="544"/>
      <c r="MFF585" s="148"/>
      <c r="MFG585" s="148"/>
      <c r="MFH585" s="149"/>
      <c r="MFI585" s="150"/>
      <c r="MFK585" s="152"/>
      <c r="MFL585" s="542"/>
      <c r="MFM585" s="154"/>
      <c r="MFN585" s="175"/>
      <c r="MFP585" s="156"/>
      <c r="MFQ585" s="287"/>
      <c r="MFR585" s="488"/>
      <c r="MFS585" s="489"/>
      <c r="MFT585" s="488"/>
      <c r="MFU585" s="300"/>
      <c r="MFV585" s="543"/>
      <c r="MFW585" s="533"/>
      <c r="MFX585" s="534"/>
      <c r="MFY585" s="316"/>
      <c r="MFZ585" s="316"/>
      <c r="MGA585" s="471"/>
      <c r="MGB585" s="472"/>
      <c r="MGC585" s="471"/>
      <c r="MGD585" s="473"/>
      <c r="MGE585" s="313"/>
      <c r="MGF585" s="535"/>
      <c r="MGG585" s="536"/>
      <c r="MGH585" s="537"/>
      <c r="MGI585" s="538"/>
      <c r="MGJ585" s="539"/>
      <c r="MGK585" s="540"/>
      <c r="MGL585" s="209"/>
      <c r="MGM585" s="541"/>
      <c r="MGN585" s="541"/>
      <c r="MGO585" s="482"/>
      <c r="MGP585" s="173"/>
      <c r="MGQ585" s="173"/>
      <c r="MGR585" s="544"/>
      <c r="MGT585" s="148"/>
      <c r="MGU585" s="148"/>
      <c r="MGV585" s="149"/>
      <c r="MGW585" s="150"/>
      <c r="MGY585" s="152"/>
      <c r="MGZ585" s="542"/>
      <c r="MHA585" s="154"/>
      <c r="MHB585" s="175"/>
      <c r="MHD585" s="156"/>
      <c r="MHE585" s="287"/>
      <c r="MHF585" s="488"/>
      <c r="MHG585" s="489"/>
      <c r="MHH585" s="488"/>
      <c r="MHI585" s="300"/>
      <c r="MHJ585" s="543"/>
      <c r="MHK585" s="533"/>
      <c r="MHL585" s="534"/>
      <c r="MHM585" s="316"/>
      <c r="MHN585" s="316"/>
      <c r="MHO585" s="471"/>
      <c r="MHP585" s="472"/>
      <c r="MHQ585" s="471"/>
      <c r="MHR585" s="473"/>
      <c r="MHS585" s="313"/>
      <c r="MHT585" s="535"/>
      <c r="MHU585" s="536"/>
      <c r="MHV585" s="537"/>
      <c r="MHW585" s="538"/>
      <c r="MHX585" s="539"/>
      <c r="MHY585" s="540"/>
      <c r="MHZ585" s="209"/>
      <c r="MIA585" s="541"/>
      <c r="MIB585" s="541"/>
      <c r="MIC585" s="482"/>
      <c r="MID585" s="173"/>
      <c r="MIE585" s="173"/>
      <c r="MIF585" s="544"/>
      <c r="MIH585" s="148"/>
      <c r="MII585" s="148"/>
      <c r="MIJ585" s="149"/>
      <c r="MIK585" s="150"/>
      <c r="MIM585" s="152"/>
      <c r="MIN585" s="542"/>
      <c r="MIO585" s="154"/>
      <c r="MIP585" s="175"/>
      <c r="MIR585" s="156"/>
      <c r="MIS585" s="287"/>
      <c r="MIT585" s="488"/>
      <c r="MIU585" s="489"/>
      <c r="MIV585" s="488"/>
      <c r="MIW585" s="300"/>
      <c r="MIX585" s="543"/>
      <c r="MIY585" s="533"/>
      <c r="MIZ585" s="534"/>
      <c r="MJA585" s="316"/>
      <c r="MJB585" s="316"/>
      <c r="MJC585" s="471"/>
      <c r="MJD585" s="472"/>
      <c r="MJE585" s="471"/>
      <c r="MJF585" s="473"/>
      <c r="MJG585" s="313"/>
      <c r="MJH585" s="535"/>
      <c r="MJI585" s="536"/>
      <c r="MJJ585" s="537"/>
      <c r="MJK585" s="538"/>
      <c r="MJL585" s="539"/>
      <c r="MJM585" s="540"/>
      <c r="MJN585" s="209"/>
      <c r="MJO585" s="541"/>
      <c r="MJP585" s="541"/>
      <c r="MJQ585" s="482"/>
      <c r="MJR585" s="173"/>
      <c r="MJS585" s="173"/>
      <c r="MJT585" s="544"/>
      <c r="MJV585" s="148"/>
      <c r="MJW585" s="148"/>
      <c r="MJX585" s="149"/>
      <c r="MJY585" s="150"/>
      <c r="MKA585" s="152"/>
      <c r="MKB585" s="542"/>
      <c r="MKC585" s="154"/>
      <c r="MKD585" s="175"/>
      <c r="MKF585" s="156"/>
      <c r="MKG585" s="287"/>
      <c r="MKH585" s="488"/>
      <c r="MKI585" s="489"/>
      <c r="MKJ585" s="488"/>
      <c r="MKK585" s="300"/>
      <c r="MKL585" s="543"/>
      <c r="MKM585" s="533"/>
      <c r="MKN585" s="534"/>
      <c r="MKO585" s="316"/>
      <c r="MKP585" s="316"/>
      <c r="MKQ585" s="471"/>
      <c r="MKR585" s="472"/>
      <c r="MKS585" s="471"/>
      <c r="MKT585" s="473"/>
      <c r="MKU585" s="313"/>
      <c r="MKV585" s="535"/>
      <c r="MKW585" s="536"/>
      <c r="MKX585" s="537"/>
      <c r="MKY585" s="538"/>
      <c r="MKZ585" s="539"/>
      <c r="MLA585" s="540"/>
      <c r="MLB585" s="209"/>
      <c r="MLC585" s="541"/>
      <c r="MLD585" s="541"/>
      <c r="MLE585" s="482"/>
      <c r="MLF585" s="173"/>
      <c r="MLG585" s="173"/>
      <c r="MLH585" s="544"/>
      <c r="MLJ585" s="148"/>
      <c r="MLK585" s="148"/>
      <c r="MLL585" s="149"/>
      <c r="MLM585" s="150"/>
      <c r="MLO585" s="152"/>
      <c r="MLP585" s="542"/>
      <c r="MLQ585" s="154"/>
      <c r="MLR585" s="175"/>
      <c r="MLT585" s="156"/>
      <c r="MLU585" s="287"/>
      <c r="MLV585" s="488"/>
      <c r="MLW585" s="489"/>
      <c r="MLX585" s="488"/>
      <c r="MLY585" s="300"/>
      <c r="MLZ585" s="543"/>
      <c r="MMA585" s="533"/>
      <c r="MMB585" s="534"/>
      <c r="MMC585" s="316"/>
      <c r="MMD585" s="316"/>
      <c r="MME585" s="471"/>
      <c r="MMF585" s="472"/>
      <c r="MMG585" s="471"/>
      <c r="MMH585" s="473"/>
      <c r="MMI585" s="313"/>
      <c r="MMJ585" s="535"/>
      <c r="MMK585" s="536"/>
      <c r="MML585" s="537"/>
      <c r="MMM585" s="538"/>
      <c r="MMN585" s="539"/>
      <c r="MMO585" s="540"/>
      <c r="MMP585" s="209"/>
      <c r="MMQ585" s="541"/>
      <c r="MMR585" s="541"/>
      <c r="MMS585" s="482"/>
      <c r="MMT585" s="173"/>
      <c r="MMU585" s="173"/>
      <c r="MMV585" s="544"/>
      <c r="MMX585" s="148"/>
      <c r="MMY585" s="148"/>
      <c r="MMZ585" s="149"/>
      <c r="MNA585" s="150"/>
      <c r="MNC585" s="152"/>
      <c r="MND585" s="542"/>
      <c r="MNE585" s="154"/>
      <c r="MNF585" s="175"/>
      <c r="MNH585" s="156"/>
      <c r="MNI585" s="287"/>
      <c r="MNJ585" s="488"/>
      <c r="MNK585" s="489"/>
      <c r="MNL585" s="488"/>
      <c r="MNM585" s="300"/>
      <c r="MNN585" s="543"/>
      <c r="MNO585" s="533"/>
      <c r="MNP585" s="534"/>
      <c r="MNQ585" s="316"/>
      <c r="MNR585" s="316"/>
      <c r="MNS585" s="471"/>
      <c r="MNT585" s="472"/>
      <c r="MNU585" s="471"/>
      <c r="MNV585" s="473"/>
      <c r="MNW585" s="313"/>
      <c r="MNX585" s="535"/>
      <c r="MNY585" s="536"/>
      <c r="MNZ585" s="537"/>
      <c r="MOA585" s="538"/>
      <c r="MOB585" s="539"/>
      <c r="MOC585" s="540"/>
      <c r="MOD585" s="209"/>
      <c r="MOE585" s="541"/>
      <c r="MOF585" s="541"/>
      <c r="MOG585" s="482"/>
      <c r="MOH585" s="173"/>
      <c r="MOI585" s="173"/>
      <c r="MOJ585" s="544"/>
      <c r="MOL585" s="148"/>
      <c r="MOM585" s="148"/>
      <c r="MON585" s="149"/>
      <c r="MOO585" s="150"/>
      <c r="MOQ585" s="152"/>
      <c r="MOR585" s="542"/>
      <c r="MOS585" s="154"/>
      <c r="MOT585" s="175"/>
      <c r="MOV585" s="156"/>
      <c r="MOW585" s="287"/>
      <c r="MOX585" s="488"/>
      <c r="MOY585" s="489"/>
      <c r="MOZ585" s="488"/>
      <c r="MPA585" s="300"/>
      <c r="MPB585" s="543"/>
      <c r="MPC585" s="533"/>
      <c r="MPD585" s="534"/>
      <c r="MPE585" s="316"/>
      <c r="MPF585" s="316"/>
      <c r="MPG585" s="471"/>
      <c r="MPH585" s="472"/>
      <c r="MPI585" s="471"/>
      <c r="MPJ585" s="473"/>
      <c r="MPK585" s="313"/>
      <c r="MPL585" s="535"/>
      <c r="MPM585" s="536"/>
      <c r="MPN585" s="537"/>
      <c r="MPO585" s="538"/>
      <c r="MPP585" s="539"/>
      <c r="MPQ585" s="540"/>
      <c r="MPR585" s="209"/>
      <c r="MPS585" s="541"/>
      <c r="MPT585" s="541"/>
      <c r="MPU585" s="482"/>
      <c r="MPV585" s="173"/>
      <c r="MPW585" s="173"/>
      <c r="MPX585" s="544"/>
      <c r="MPZ585" s="148"/>
      <c r="MQA585" s="148"/>
      <c r="MQB585" s="149"/>
      <c r="MQC585" s="150"/>
      <c r="MQE585" s="152"/>
      <c r="MQF585" s="542"/>
      <c r="MQG585" s="154"/>
      <c r="MQH585" s="175"/>
      <c r="MQJ585" s="156"/>
      <c r="MQK585" s="287"/>
      <c r="MQL585" s="488"/>
      <c r="MQM585" s="489"/>
      <c r="MQN585" s="488"/>
      <c r="MQO585" s="300"/>
      <c r="MQP585" s="543"/>
      <c r="MQQ585" s="533"/>
      <c r="MQR585" s="534"/>
      <c r="MQS585" s="316"/>
      <c r="MQT585" s="316"/>
      <c r="MQU585" s="471"/>
      <c r="MQV585" s="472"/>
      <c r="MQW585" s="471"/>
      <c r="MQX585" s="473"/>
      <c r="MQY585" s="313"/>
      <c r="MQZ585" s="535"/>
      <c r="MRA585" s="536"/>
      <c r="MRB585" s="537"/>
      <c r="MRC585" s="538"/>
      <c r="MRD585" s="539"/>
      <c r="MRE585" s="540"/>
      <c r="MRF585" s="209"/>
      <c r="MRG585" s="541"/>
      <c r="MRH585" s="541"/>
      <c r="MRI585" s="482"/>
      <c r="MRJ585" s="173"/>
      <c r="MRK585" s="173"/>
      <c r="MRL585" s="544"/>
      <c r="MRN585" s="148"/>
      <c r="MRO585" s="148"/>
      <c r="MRP585" s="149"/>
      <c r="MRQ585" s="150"/>
      <c r="MRS585" s="152"/>
      <c r="MRT585" s="542"/>
      <c r="MRU585" s="154"/>
      <c r="MRV585" s="175"/>
      <c r="MRX585" s="156"/>
      <c r="MRY585" s="287"/>
      <c r="MRZ585" s="488"/>
      <c r="MSA585" s="489"/>
      <c r="MSB585" s="488"/>
      <c r="MSC585" s="300"/>
      <c r="MSD585" s="543"/>
      <c r="MSE585" s="533"/>
      <c r="MSF585" s="534"/>
      <c r="MSG585" s="316"/>
      <c r="MSH585" s="316"/>
      <c r="MSI585" s="471"/>
      <c r="MSJ585" s="472"/>
      <c r="MSK585" s="471"/>
      <c r="MSL585" s="473"/>
      <c r="MSM585" s="313"/>
      <c r="MSN585" s="535"/>
      <c r="MSO585" s="536"/>
      <c r="MSP585" s="537"/>
      <c r="MSQ585" s="538"/>
      <c r="MSR585" s="539"/>
      <c r="MSS585" s="540"/>
      <c r="MST585" s="209"/>
      <c r="MSU585" s="541"/>
      <c r="MSV585" s="541"/>
      <c r="MSW585" s="482"/>
      <c r="MSX585" s="173"/>
      <c r="MSY585" s="173"/>
      <c r="MSZ585" s="544"/>
      <c r="MTB585" s="148"/>
      <c r="MTC585" s="148"/>
      <c r="MTD585" s="149"/>
      <c r="MTE585" s="150"/>
      <c r="MTG585" s="152"/>
      <c r="MTH585" s="542"/>
      <c r="MTI585" s="154"/>
      <c r="MTJ585" s="175"/>
      <c r="MTL585" s="156"/>
      <c r="MTM585" s="287"/>
      <c r="MTN585" s="488"/>
      <c r="MTO585" s="489"/>
      <c r="MTP585" s="488"/>
      <c r="MTQ585" s="300"/>
      <c r="MTR585" s="543"/>
      <c r="MTS585" s="533"/>
      <c r="MTT585" s="534"/>
      <c r="MTU585" s="316"/>
      <c r="MTV585" s="316"/>
      <c r="MTW585" s="471"/>
      <c r="MTX585" s="472"/>
      <c r="MTY585" s="471"/>
      <c r="MTZ585" s="473"/>
      <c r="MUA585" s="313"/>
      <c r="MUB585" s="535"/>
      <c r="MUC585" s="536"/>
      <c r="MUD585" s="537"/>
      <c r="MUE585" s="538"/>
      <c r="MUF585" s="539"/>
      <c r="MUG585" s="540"/>
      <c r="MUH585" s="209"/>
      <c r="MUI585" s="541"/>
      <c r="MUJ585" s="541"/>
      <c r="MUK585" s="482"/>
      <c r="MUL585" s="173"/>
      <c r="MUM585" s="173"/>
      <c r="MUN585" s="544"/>
      <c r="MUP585" s="148"/>
      <c r="MUQ585" s="148"/>
      <c r="MUR585" s="149"/>
      <c r="MUS585" s="150"/>
      <c r="MUU585" s="152"/>
      <c r="MUV585" s="542"/>
      <c r="MUW585" s="154"/>
      <c r="MUX585" s="175"/>
      <c r="MUZ585" s="156"/>
      <c r="MVA585" s="287"/>
      <c r="MVB585" s="488"/>
      <c r="MVC585" s="489"/>
      <c r="MVD585" s="488"/>
      <c r="MVE585" s="300"/>
      <c r="MVF585" s="543"/>
      <c r="MVG585" s="533"/>
      <c r="MVH585" s="534"/>
      <c r="MVI585" s="316"/>
      <c r="MVJ585" s="316"/>
      <c r="MVK585" s="471"/>
      <c r="MVL585" s="472"/>
      <c r="MVM585" s="471"/>
      <c r="MVN585" s="473"/>
      <c r="MVO585" s="313"/>
      <c r="MVP585" s="535"/>
      <c r="MVQ585" s="536"/>
      <c r="MVR585" s="537"/>
      <c r="MVS585" s="538"/>
      <c r="MVT585" s="539"/>
      <c r="MVU585" s="540"/>
      <c r="MVV585" s="209"/>
      <c r="MVW585" s="541"/>
      <c r="MVX585" s="541"/>
      <c r="MVY585" s="482"/>
      <c r="MVZ585" s="173"/>
      <c r="MWA585" s="173"/>
      <c r="MWB585" s="544"/>
      <c r="MWD585" s="148"/>
      <c r="MWE585" s="148"/>
      <c r="MWF585" s="149"/>
      <c r="MWG585" s="150"/>
      <c r="MWI585" s="152"/>
      <c r="MWJ585" s="542"/>
      <c r="MWK585" s="154"/>
      <c r="MWL585" s="175"/>
      <c r="MWN585" s="156"/>
      <c r="MWO585" s="287"/>
      <c r="MWP585" s="488"/>
      <c r="MWQ585" s="489"/>
      <c r="MWR585" s="488"/>
      <c r="MWS585" s="300"/>
      <c r="MWT585" s="543"/>
      <c r="MWU585" s="533"/>
      <c r="MWV585" s="534"/>
      <c r="MWW585" s="316"/>
      <c r="MWX585" s="316"/>
      <c r="MWY585" s="471"/>
      <c r="MWZ585" s="472"/>
      <c r="MXA585" s="471"/>
      <c r="MXB585" s="473"/>
      <c r="MXC585" s="313"/>
      <c r="MXD585" s="535"/>
      <c r="MXE585" s="536"/>
      <c r="MXF585" s="537"/>
      <c r="MXG585" s="538"/>
      <c r="MXH585" s="539"/>
      <c r="MXI585" s="540"/>
      <c r="MXJ585" s="209"/>
      <c r="MXK585" s="541"/>
      <c r="MXL585" s="541"/>
      <c r="MXM585" s="482"/>
      <c r="MXN585" s="173"/>
      <c r="MXO585" s="173"/>
      <c r="MXP585" s="544"/>
      <c r="MXR585" s="148"/>
      <c r="MXS585" s="148"/>
      <c r="MXT585" s="149"/>
      <c r="MXU585" s="150"/>
      <c r="MXW585" s="152"/>
      <c r="MXX585" s="542"/>
      <c r="MXY585" s="154"/>
      <c r="MXZ585" s="175"/>
      <c r="MYB585" s="156"/>
      <c r="MYC585" s="287"/>
      <c r="MYD585" s="488"/>
      <c r="MYE585" s="489"/>
      <c r="MYF585" s="488"/>
      <c r="MYG585" s="300"/>
      <c r="MYH585" s="543"/>
      <c r="MYI585" s="533"/>
      <c r="MYJ585" s="534"/>
      <c r="MYK585" s="316"/>
      <c r="MYL585" s="316"/>
      <c r="MYM585" s="471"/>
      <c r="MYN585" s="472"/>
      <c r="MYO585" s="471"/>
      <c r="MYP585" s="473"/>
      <c r="MYQ585" s="313"/>
      <c r="MYR585" s="535"/>
      <c r="MYS585" s="536"/>
      <c r="MYT585" s="537"/>
      <c r="MYU585" s="538"/>
      <c r="MYV585" s="539"/>
      <c r="MYW585" s="540"/>
      <c r="MYX585" s="209"/>
      <c r="MYY585" s="541"/>
      <c r="MYZ585" s="541"/>
      <c r="MZA585" s="482"/>
      <c r="MZB585" s="173"/>
      <c r="MZC585" s="173"/>
      <c r="MZD585" s="544"/>
      <c r="MZF585" s="148"/>
      <c r="MZG585" s="148"/>
      <c r="MZH585" s="149"/>
      <c r="MZI585" s="150"/>
      <c r="MZK585" s="152"/>
      <c r="MZL585" s="542"/>
      <c r="MZM585" s="154"/>
      <c r="MZN585" s="175"/>
      <c r="MZP585" s="156"/>
      <c r="MZQ585" s="287"/>
      <c r="MZR585" s="488"/>
      <c r="MZS585" s="489"/>
      <c r="MZT585" s="488"/>
      <c r="MZU585" s="300"/>
      <c r="MZV585" s="543"/>
      <c r="MZW585" s="533"/>
      <c r="MZX585" s="534"/>
      <c r="MZY585" s="316"/>
      <c r="MZZ585" s="316"/>
      <c r="NAA585" s="471"/>
      <c r="NAB585" s="472"/>
      <c r="NAC585" s="471"/>
      <c r="NAD585" s="473"/>
      <c r="NAE585" s="313"/>
      <c r="NAF585" s="535"/>
      <c r="NAG585" s="536"/>
      <c r="NAH585" s="537"/>
      <c r="NAI585" s="538"/>
      <c r="NAJ585" s="539"/>
      <c r="NAK585" s="540"/>
      <c r="NAL585" s="209"/>
      <c r="NAM585" s="541"/>
      <c r="NAN585" s="541"/>
      <c r="NAO585" s="482"/>
      <c r="NAP585" s="173"/>
      <c r="NAQ585" s="173"/>
      <c r="NAR585" s="544"/>
      <c r="NAT585" s="148"/>
      <c r="NAU585" s="148"/>
      <c r="NAV585" s="149"/>
      <c r="NAW585" s="150"/>
      <c r="NAY585" s="152"/>
      <c r="NAZ585" s="542"/>
      <c r="NBA585" s="154"/>
      <c r="NBB585" s="175"/>
      <c r="NBD585" s="156"/>
      <c r="NBE585" s="287"/>
      <c r="NBF585" s="488"/>
      <c r="NBG585" s="489"/>
      <c r="NBH585" s="488"/>
      <c r="NBI585" s="300"/>
      <c r="NBJ585" s="543"/>
      <c r="NBK585" s="533"/>
      <c r="NBL585" s="534"/>
      <c r="NBM585" s="316"/>
      <c r="NBN585" s="316"/>
      <c r="NBO585" s="471"/>
      <c r="NBP585" s="472"/>
      <c r="NBQ585" s="471"/>
      <c r="NBR585" s="473"/>
      <c r="NBS585" s="313"/>
      <c r="NBT585" s="535"/>
      <c r="NBU585" s="536"/>
      <c r="NBV585" s="537"/>
      <c r="NBW585" s="538"/>
      <c r="NBX585" s="539"/>
      <c r="NBY585" s="540"/>
      <c r="NBZ585" s="209"/>
      <c r="NCA585" s="541"/>
      <c r="NCB585" s="541"/>
      <c r="NCC585" s="482"/>
      <c r="NCD585" s="173"/>
      <c r="NCE585" s="173"/>
      <c r="NCF585" s="544"/>
      <c r="NCH585" s="148"/>
      <c r="NCI585" s="148"/>
      <c r="NCJ585" s="149"/>
      <c r="NCK585" s="150"/>
      <c r="NCM585" s="152"/>
      <c r="NCN585" s="542"/>
      <c r="NCO585" s="154"/>
      <c r="NCP585" s="175"/>
      <c r="NCR585" s="156"/>
      <c r="NCS585" s="287"/>
      <c r="NCT585" s="488"/>
      <c r="NCU585" s="489"/>
      <c r="NCV585" s="488"/>
      <c r="NCW585" s="300"/>
      <c r="NCX585" s="543"/>
      <c r="NCY585" s="533"/>
      <c r="NCZ585" s="534"/>
      <c r="NDA585" s="316"/>
      <c r="NDB585" s="316"/>
      <c r="NDC585" s="471"/>
      <c r="NDD585" s="472"/>
      <c r="NDE585" s="471"/>
      <c r="NDF585" s="473"/>
      <c r="NDG585" s="313"/>
      <c r="NDH585" s="535"/>
      <c r="NDI585" s="536"/>
      <c r="NDJ585" s="537"/>
      <c r="NDK585" s="538"/>
      <c r="NDL585" s="539"/>
      <c r="NDM585" s="540"/>
      <c r="NDN585" s="209"/>
      <c r="NDO585" s="541"/>
      <c r="NDP585" s="541"/>
      <c r="NDQ585" s="482"/>
      <c r="NDR585" s="173"/>
      <c r="NDS585" s="173"/>
      <c r="NDT585" s="544"/>
      <c r="NDV585" s="148"/>
      <c r="NDW585" s="148"/>
      <c r="NDX585" s="149"/>
      <c r="NDY585" s="150"/>
      <c r="NEA585" s="152"/>
      <c r="NEB585" s="542"/>
      <c r="NEC585" s="154"/>
      <c r="NED585" s="175"/>
      <c r="NEF585" s="156"/>
      <c r="NEG585" s="287"/>
      <c r="NEH585" s="488"/>
      <c r="NEI585" s="489"/>
      <c r="NEJ585" s="488"/>
      <c r="NEK585" s="300"/>
      <c r="NEL585" s="543"/>
      <c r="NEM585" s="533"/>
      <c r="NEN585" s="534"/>
      <c r="NEO585" s="316"/>
      <c r="NEP585" s="316"/>
      <c r="NEQ585" s="471"/>
      <c r="NER585" s="472"/>
      <c r="NES585" s="471"/>
      <c r="NET585" s="473"/>
      <c r="NEU585" s="313"/>
      <c r="NEV585" s="535"/>
      <c r="NEW585" s="536"/>
      <c r="NEX585" s="537"/>
      <c r="NEY585" s="538"/>
      <c r="NEZ585" s="539"/>
      <c r="NFA585" s="540"/>
      <c r="NFB585" s="209"/>
      <c r="NFC585" s="541"/>
      <c r="NFD585" s="541"/>
      <c r="NFE585" s="482"/>
      <c r="NFF585" s="173"/>
      <c r="NFG585" s="173"/>
      <c r="NFH585" s="544"/>
      <c r="NFJ585" s="148"/>
      <c r="NFK585" s="148"/>
      <c r="NFL585" s="149"/>
      <c r="NFM585" s="150"/>
      <c r="NFO585" s="152"/>
      <c r="NFP585" s="542"/>
      <c r="NFQ585" s="154"/>
      <c r="NFR585" s="175"/>
      <c r="NFT585" s="156"/>
      <c r="NFU585" s="287"/>
      <c r="NFV585" s="488"/>
      <c r="NFW585" s="489"/>
      <c r="NFX585" s="488"/>
      <c r="NFY585" s="300"/>
      <c r="NFZ585" s="543"/>
      <c r="NGA585" s="533"/>
      <c r="NGB585" s="534"/>
      <c r="NGC585" s="316"/>
      <c r="NGD585" s="316"/>
      <c r="NGE585" s="471"/>
      <c r="NGF585" s="472"/>
      <c r="NGG585" s="471"/>
      <c r="NGH585" s="473"/>
      <c r="NGI585" s="313"/>
      <c r="NGJ585" s="535"/>
      <c r="NGK585" s="536"/>
      <c r="NGL585" s="537"/>
      <c r="NGM585" s="538"/>
      <c r="NGN585" s="539"/>
      <c r="NGO585" s="540"/>
      <c r="NGP585" s="209"/>
      <c r="NGQ585" s="541"/>
      <c r="NGR585" s="541"/>
      <c r="NGS585" s="482"/>
      <c r="NGT585" s="173"/>
      <c r="NGU585" s="173"/>
      <c r="NGV585" s="544"/>
      <c r="NGX585" s="148"/>
      <c r="NGY585" s="148"/>
      <c r="NGZ585" s="149"/>
      <c r="NHA585" s="150"/>
      <c r="NHC585" s="152"/>
      <c r="NHD585" s="542"/>
      <c r="NHE585" s="154"/>
      <c r="NHF585" s="175"/>
      <c r="NHH585" s="156"/>
      <c r="NHI585" s="287"/>
      <c r="NHJ585" s="488"/>
      <c r="NHK585" s="489"/>
      <c r="NHL585" s="488"/>
      <c r="NHM585" s="300"/>
      <c r="NHN585" s="543"/>
      <c r="NHO585" s="533"/>
      <c r="NHP585" s="534"/>
      <c r="NHQ585" s="316"/>
      <c r="NHR585" s="316"/>
      <c r="NHS585" s="471"/>
      <c r="NHT585" s="472"/>
      <c r="NHU585" s="471"/>
      <c r="NHV585" s="473"/>
      <c r="NHW585" s="313"/>
      <c r="NHX585" s="535"/>
      <c r="NHY585" s="536"/>
      <c r="NHZ585" s="537"/>
      <c r="NIA585" s="538"/>
      <c r="NIB585" s="539"/>
      <c r="NIC585" s="540"/>
      <c r="NID585" s="209"/>
      <c r="NIE585" s="541"/>
      <c r="NIF585" s="541"/>
      <c r="NIG585" s="482"/>
      <c r="NIH585" s="173"/>
      <c r="NII585" s="173"/>
      <c r="NIJ585" s="544"/>
      <c r="NIL585" s="148"/>
      <c r="NIM585" s="148"/>
      <c r="NIN585" s="149"/>
      <c r="NIO585" s="150"/>
      <c r="NIQ585" s="152"/>
      <c r="NIR585" s="542"/>
      <c r="NIS585" s="154"/>
      <c r="NIT585" s="175"/>
      <c r="NIV585" s="156"/>
      <c r="NIW585" s="287"/>
      <c r="NIX585" s="488"/>
      <c r="NIY585" s="489"/>
      <c r="NIZ585" s="488"/>
      <c r="NJA585" s="300"/>
      <c r="NJB585" s="543"/>
      <c r="NJC585" s="533"/>
      <c r="NJD585" s="534"/>
      <c r="NJE585" s="316"/>
      <c r="NJF585" s="316"/>
      <c r="NJG585" s="471"/>
      <c r="NJH585" s="472"/>
      <c r="NJI585" s="471"/>
      <c r="NJJ585" s="473"/>
      <c r="NJK585" s="313"/>
      <c r="NJL585" s="535"/>
      <c r="NJM585" s="536"/>
      <c r="NJN585" s="537"/>
      <c r="NJO585" s="538"/>
      <c r="NJP585" s="539"/>
      <c r="NJQ585" s="540"/>
      <c r="NJR585" s="209"/>
      <c r="NJS585" s="541"/>
      <c r="NJT585" s="541"/>
      <c r="NJU585" s="482"/>
      <c r="NJV585" s="173"/>
      <c r="NJW585" s="173"/>
      <c r="NJX585" s="544"/>
      <c r="NJZ585" s="148"/>
      <c r="NKA585" s="148"/>
      <c r="NKB585" s="149"/>
      <c r="NKC585" s="150"/>
      <c r="NKE585" s="152"/>
      <c r="NKF585" s="542"/>
      <c r="NKG585" s="154"/>
      <c r="NKH585" s="175"/>
      <c r="NKJ585" s="156"/>
      <c r="NKK585" s="287"/>
      <c r="NKL585" s="488"/>
      <c r="NKM585" s="489"/>
      <c r="NKN585" s="488"/>
      <c r="NKO585" s="300"/>
      <c r="NKP585" s="543"/>
      <c r="NKQ585" s="533"/>
      <c r="NKR585" s="534"/>
      <c r="NKS585" s="316"/>
      <c r="NKT585" s="316"/>
      <c r="NKU585" s="471"/>
      <c r="NKV585" s="472"/>
      <c r="NKW585" s="471"/>
      <c r="NKX585" s="473"/>
      <c r="NKY585" s="313"/>
      <c r="NKZ585" s="535"/>
      <c r="NLA585" s="536"/>
      <c r="NLB585" s="537"/>
      <c r="NLC585" s="538"/>
      <c r="NLD585" s="539"/>
      <c r="NLE585" s="540"/>
      <c r="NLF585" s="209"/>
      <c r="NLG585" s="541"/>
      <c r="NLH585" s="541"/>
      <c r="NLI585" s="482"/>
      <c r="NLJ585" s="173"/>
      <c r="NLK585" s="173"/>
      <c r="NLL585" s="544"/>
      <c r="NLN585" s="148"/>
      <c r="NLO585" s="148"/>
      <c r="NLP585" s="149"/>
      <c r="NLQ585" s="150"/>
      <c r="NLS585" s="152"/>
      <c r="NLT585" s="542"/>
      <c r="NLU585" s="154"/>
      <c r="NLV585" s="175"/>
      <c r="NLX585" s="156"/>
      <c r="NLY585" s="287"/>
      <c r="NLZ585" s="488"/>
      <c r="NMA585" s="489"/>
      <c r="NMB585" s="488"/>
      <c r="NMC585" s="300"/>
      <c r="NMD585" s="543"/>
      <c r="NME585" s="533"/>
      <c r="NMF585" s="534"/>
      <c r="NMG585" s="316"/>
      <c r="NMH585" s="316"/>
      <c r="NMI585" s="471"/>
      <c r="NMJ585" s="472"/>
      <c r="NMK585" s="471"/>
      <c r="NML585" s="473"/>
      <c r="NMM585" s="313"/>
      <c r="NMN585" s="535"/>
      <c r="NMO585" s="536"/>
      <c r="NMP585" s="537"/>
      <c r="NMQ585" s="538"/>
      <c r="NMR585" s="539"/>
      <c r="NMS585" s="540"/>
      <c r="NMT585" s="209"/>
      <c r="NMU585" s="541"/>
      <c r="NMV585" s="541"/>
      <c r="NMW585" s="482"/>
      <c r="NMX585" s="173"/>
      <c r="NMY585" s="173"/>
      <c r="NMZ585" s="544"/>
      <c r="NNB585" s="148"/>
      <c r="NNC585" s="148"/>
      <c r="NND585" s="149"/>
      <c r="NNE585" s="150"/>
      <c r="NNG585" s="152"/>
      <c r="NNH585" s="542"/>
      <c r="NNI585" s="154"/>
      <c r="NNJ585" s="175"/>
      <c r="NNL585" s="156"/>
      <c r="NNM585" s="287"/>
      <c r="NNN585" s="488"/>
      <c r="NNO585" s="489"/>
      <c r="NNP585" s="488"/>
      <c r="NNQ585" s="300"/>
      <c r="NNR585" s="543"/>
      <c r="NNS585" s="533"/>
      <c r="NNT585" s="534"/>
      <c r="NNU585" s="316"/>
      <c r="NNV585" s="316"/>
      <c r="NNW585" s="471"/>
      <c r="NNX585" s="472"/>
      <c r="NNY585" s="471"/>
      <c r="NNZ585" s="473"/>
      <c r="NOA585" s="313"/>
      <c r="NOB585" s="535"/>
      <c r="NOC585" s="536"/>
      <c r="NOD585" s="537"/>
      <c r="NOE585" s="538"/>
      <c r="NOF585" s="539"/>
      <c r="NOG585" s="540"/>
      <c r="NOH585" s="209"/>
      <c r="NOI585" s="541"/>
      <c r="NOJ585" s="541"/>
      <c r="NOK585" s="482"/>
      <c r="NOL585" s="173"/>
      <c r="NOM585" s="173"/>
      <c r="NON585" s="544"/>
      <c r="NOP585" s="148"/>
      <c r="NOQ585" s="148"/>
      <c r="NOR585" s="149"/>
      <c r="NOS585" s="150"/>
      <c r="NOU585" s="152"/>
      <c r="NOV585" s="542"/>
      <c r="NOW585" s="154"/>
      <c r="NOX585" s="175"/>
      <c r="NOZ585" s="156"/>
      <c r="NPA585" s="287"/>
      <c r="NPB585" s="488"/>
      <c r="NPC585" s="489"/>
      <c r="NPD585" s="488"/>
      <c r="NPE585" s="300"/>
      <c r="NPF585" s="543"/>
      <c r="NPG585" s="533"/>
      <c r="NPH585" s="534"/>
      <c r="NPI585" s="316"/>
      <c r="NPJ585" s="316"/>
      <c r="NPK585" s="471"/>
      <c r="NPL585" s="472"/>
      <c r="NPM585" s="471"/>
      <c r="NPN585" s="473"/>
      <c r="NPO585" s="313"/>
      <c r="NPP585" s="535"/>
      <c r="NPQ585" s="536"/>
      <c r="NPR585" s="537"/>
      <c r="NPS585" s="538"/>
      <c r="NPT585" s="539"/>
      <c r="NPU585" s="540"/>
      <c r="NPV585" s="209"/>
      <c r="NPW585" s="541"/>
      <c r="NPX585" s="541"/>
      <c r="NPY585" s="482"/>
      <c r="NPZ585" s="173"/>
      <c r="NQA585" s="173"/>
      <c r="NQB585" s="544"/>
      <c r="NQD585" s="148"/>
      <c r="NQE585" s="148"/>
      <c r="NQF585" s="149"/>
      <c r="NQG585" s="150"/>
      <c r="NQI585" s="152"/>
      <c r="NQJ585" s="542"/>
      <c r="NQK585" s="154"/>
      <c r="NQL585" s="175"/>
      <c r="NQN585" s="156"/>
      <c r="NQO585" s="287"/>
      <c r="NQP585" s="488"/>
      <c r="NQQ585" s="489"/>
      <c r="NQR585" s="488"/>
      <c r="NQS585" s="300"/>
      <c r="NQT585" s="543"/>
      <c r="NQU585" s="533"/>
      <c r="NQV585" s="534"/>
      <c r="NQW585" s="316"/>
      <c r="NQX585" s="316"/>
      <c r="NQY585" s="471"/>
      <c r="NQZ585" s="472"/>
      <c r="NRA585" s="471"/>
      <c r="NRB585" s="473"/>
      <c r="NRC585" s="313"/>
      <c r="NRD585" s="535"/>
      <c r="NRE585" s="536"/>
      <c r="NRF585" s="537"/>
      <c r="NRG585" s="538"/>
      <c r="NRH585" s="539"/>
      <c r="NRI585" s="540"/>
      <c r="NRJ585" s="209"/>
      <c r="NRK585" s="541"/>
      <c r="NRL585" s="541"/>
      <c r="NRM585" s="482"/>
      <c r="NRN585" s="173"/>
      <c r="NRO585" s="173"/>
      <c r="NRP585" s="544"/>
      <c r="NRR585" s="148"/>
      <c r="NRS585" s="148"/>
      <c r="NRT585" s="149"/>
      <c r="NRU585" s="150"/>
      <c r="NRW585" s="152"/>
      <c r="NRX585" s="542"/>
      <c r="NRY585" s="154"/>
      <c r="NRZ585" s="175"/>
      <c r="NSB585" s="156"/>
      <c r="NSC585" s="287"/>
      <c r="NSD585" s="488"/>
      <c r="NSE585" s="489"/>
      <c r="NSF585" s="488"/>
      <c r="NSG585" s="300"/>
      <c r="NSH585" s="543"/>
      <c r="NSI585" s="533"/>
      <c r="NSJ585" s="534"/>
      <c r="NSK585" s="316"/>
      <c r="NSL585" s="316"/>
      <c r="NSM585" s="471"/>
      <c r="NSN585" s="472"/>
      <c r="NSO585" s="471"/>
      <c r="NSP585" s="473"/>
      <c r="NSQ585" s="313"/>
      <c r="NSR585" s="535"/>
      <c r="NSS585" s="536"/>
      <c r="NST585" s="537"/>
      <c r="NSU585" s="538"/>
      <c r="NSV585" s="539"/>
      <c r="NSW585" s="540"/>
      <c r="NSX585" s="209"/>
      <c r="NSY585" s="541"/>
      <c r="NSZ585" s="541"/>
      <c r="NTA585" s="482"/>
      <c r="NTB585" s="173"/>
      <c r="NTC585" s="173"/>
      <c r="NTD585" s="544"/>
      <c r="NTF585" s="148"/>
      <c r="NTG585" s="148"/>
      <c r="NTH585" s="149"/>
      <c r="NTI585" s="150"/>
      <c r="NTK585" s="152"/>
      <c r="NTL585" s="542"/>
      <c r="NTM585" s="154"/>
      <c r="NTN585" s="175"/>
      <c r="NTP585" s="156"/>
      <c r="NTQ585" s="287"/>
      <c r="NTR585" s="488"/>
      <c r="NTS585" s="489"/>
      <c r="NTT585" s="488"/>
      <c r="NTU585" s="300"/>
      <c r="NTV585" s="543"/>
      <c r="NTW585" s="533"/>
      <c r="NTX585" s="534"/>
      <c r="NTY585" s="316"/>
      <c r="NTZ585" s="316"/>
      <c r="NUA585" s="471"/>
      <c r="NUB585" s="472"/>
      <c r="NUC585" s="471"/>
      <c r="NUD585" s="473"/>
      <c r="NUE585" s="313"/>
      <c r="NUF585" s="535"/>
      <c r="NUG585" s="536"/>
      <c r="NUH585" s="537"/>
      <c r="NUI585" s="538"/>
      <c r="NUJ585" s="539"/>
      <c r="NUK585" s="540"/>
      <c r="NUL585" s="209"/>
      <c r="NUM585" s="541"/>
      <c r="NUN585" s="541"/>
      <c r="NUO585" s="482"/>
      <c r="NUP585" s="173"/>
      <c r="NUQ585" s="173"/>
      <c r="NUR585" s="544"/>
      <c r="NUT585" s="148"/>
      <c r="NUU585" s="148"/>
      <c r="NUV585" s="149"/>
      <c r="NUW585" s="150"/>
      <c r="NUY585" s="152"/>
      <c r="NUZ585" s="542"/>
      <c r="NVA585" s="154"/>
      <c r="NVB585" s="175"/>
      <c r="NVD585" s="156"/>
      <c r="NVE585" s="287"/>
      <c r="NVF585" s="488"/>
      <c r="NVG585" s="489"/>
      <c r="NVH585" s="488"/>
      <c r="NVI585" s="300"/>
      <c r="NVJ585" s="543"/>
      <c r="NVK585" s="533"/>
      <c r="NVL585" s="534"/>
      <c r="NVM585" s="316"/>
      <c r="NVN585" s="316"/>
      <c r="NVO585" s="471"/>
      <c r="NVP585" s="472"/>
      <c r="NVQ585" s="471"/>
      <c r="NVR585" s="473"/>
      <c r="NVS585" s="313"/>
      <c r="NVT585" s="535"/>
      <c r="NVU585" s="536"/>
      <c r="NVV585" s="537"/>
      <c r="NVW585" s="538"/>
      <c r="NVX585" s="539"/>
      <c r="NVY585" s="540"/>
      <c r="NVZ585" s="209"/>
      <c r="NWA585" s="541"/>
      <c r="NWB585" s="541"/>
      <c r="NWC585" s="482"/>
      <c r="NWD585" s="173"/>
      <c r="NWE585" s="173"/>
      <c r="NWF585" s="544"/>
      <c r="NWH585" s="148"/>
      <c r="NWI585" s="148"/>
      <c r="NWJ585" s="149"/>
      <c r="NWK585" s="150"/>
      <c r="NWM585" s="152"/>
      <c r="NWN585" s="542"/>
      <c r="NWO585" s="154"/>
      <c r="NWP585" s="175"/>
      <c r="NWR585" s="156"/>
      <c r="NWS585" s="287"/>
      <c r="NWT585" s="488"/>
      <c r="NWU585" s="489"/>
      <c r="NWV585" s="488"/>
      <c r="NWW585" s="300"/>
      <c r="NWX585" s="543"/>
      <c r="NWY585" s="533"/>
      <c r="NWZ585" s="534"/>
      <c r="NXA585" s="316"/>
      <c r="NXB585" s="316"/>
      <c r="NXC585" s="471"/>
      <c r="NXD585" s="472"/>
      <c r="NXE585" s="471"/>
      <c r="NXF585" s="473"/>
      <c r="NXG585" s="313"/>
      <c r="NXH585" s="535"/>
      <c r="NXI585" s="536"/>
      <c r="NXJ585" s="537"/>
      <c r="NXK585" s="538"/>
      <c r="NXL585" s="539"/>
      <c r="NXM585" s="540"/>
      <c r="NXN585" s="209"/>
      <c r="NXO585" s="541"/>
      <c r="NXP585" s="541"/>
      <c r="NXQ585" s="482"/>
      <c r="NXR585" s="173"/>
      <c r="NXS585" s="173"/>
      <c r="NXT585" s="544"/>
      <c r="NXV585" s="148"/>
      <c r="NXW585" s="148"/>
      <c r="NXX585" s="149"/>
      <c r="NXY585" s="150"/>
      <c r="NYA585" s="152"/>
      <c r="NYB585" s="542"/>
      <c r="NYC585" s="154"/>
      <c r="NYD585" s="175"/>
      <c r="NYF585" s="156"/>
      <c r="NYG585" s="287"/>
      <c r="NYH585" s="488"/>
      <c r="NYI585" s="489"/>
      <c r="NYJ585" s="488"/>
      <c r="NYK585" s="300"/>
      <c r="NYL585" s="543"/>
      <c r="NYM585" s="533"/>
      <c r="NYN585" s="534"/>
      <c r="NYO585" s="316"/>
      <c r="NYP585" s="316"/>
      <c r="NYQ585" s="471"/>
      <c r="NYR585" s="472"/>
      <c r="NYS585" s="471"/>
      <c r="NYT585" s="473"/>
      <c r="NYU585" s="313"/>
      <c r="NYV585" s="535"/>
      <c r="NYW585" s="536"/>
      <c r="NYX585" s="537"/>
      <c r="NYY585" s="538"/>
      <c r="NYZ585" s="539"/>
      <c r="NZA585" s="540"/>
      <c r="NZB585" s="209"/>
      <c r="NZC585" s="541"/>
      <c r="NZD585" s="541"/>
      <c r="NZE585" s="482"/>
      <c r="NZF585" s="173"/>
      <c r="NZG585" s="173"/>
      <c r="NZH585" s="544"/>
      <c r="NZJ585" s="148"/>
      <c r="NZK585" s="148"/>
      <c r="NZL585" s="149"/>
      <c r="NZM585" s="150"/>
      <c r="NZO585" s="152"/>
      <c r="NZP585" s="542"/>
      <c r="NZQ585" s="154"/>
      <c r="NZR585" s="175"/>
      <c r="NZT585" s="156"/>
      <c r="NZU585" s="287"/>
      <c r="NZV585" s="488"/>
      <c r="NZW585" s="489"/>
      <c r="NZX585" s="488"/>
      <c r="NZY585" s="300"/>
      <c r="NZZ585" s="543"/>
      <c r="OAA585" s="533"/>
      <c r="OAB585" s="534"/>
      <c r="OAC585" s="316"/>
      <c r="OAD585" s="316"/>
      <c r="OAE585" s="471"/>
      <c r="OAF585" s="472"/>
      <c r="OAG585" s="471"/>
      <c r="OAH585" s="473"/>
      <c r="OAI585" s="313"/>
      <c r="OAJ585" s="535"/>
      <c r="OAK585" s="536"/>
      <c r="OAL585" s="537"/>
      <c r="OAM585" s="538"/>
      <c r="OAN585" s="539"/>
      <c r="OAO585" s="540"/>
      <c r="OAP585" s="209"/>
      <c r="OAQ585" s="541"/>
      <c r="OAR585" s="541"/>
      <c r="OAS585" s="482"/>
      <c r="OAT585" s="173"/>
      <c r="OAU585" s="173"/>
      <c r="OAV585" s="544"/>
      <c r="OAX585" s="148"/>
      <c r="OAY585" s="148"/>
      <c r="OAZ585" s="149"/>
      <c r="OBA585" s="150"/>
      <c r="OBC585" s="152"/>
      <c r="OBD585" s="542"/>
      <c r="OBE585" s="154"/>
      <c r="OBF585" s="175"/>
      <c r="OBH585" s="156"/>
      <c r="OBI585" s="287"/>
      <c r="OBJ585" s="488"/>
      <c r="OBK585" s="489"/>
      <c r="OBL585" s="488"/>
      <c r="OBM585" s="300"/>
      <c r="OBN585" s="543"/>
      <c r="OBO585" s="533"/>
      <c r="OBP585" s="534"/>
      <c r="OBQ585" s="316"/>
      <c r="OBR585" s="316"/>
      <c r="OBS585" s="471"/>
      <c r="OBT585" s="472"/>
      <c r="OBU585" s="471"/>
      <c r="OBV585" s="473"/>
      <c r="OBW585" s="313"/>
      <c r="OBX585" s="535"/>
      <c r="OBY585" s="536"/>
      <c r="OBZ585" s="537"/>
      <c r="OCA585" s="538"/>
      <c r="OCB585" s="539"/>
      <c r="OCC585" s="540"/>
      <c r="OCD585" s="209"/>
      <c r="OCE585" s="541"/>
      <c r="OCF585" s="541"/>
      <c r="OCG585" s="482"/>
      <c r="OCH585" s="173"/>
      <c r="OCI585" s="173"/>
      <c r="OCJ585" s="544"/>
      <c r="OCL585" s="148"/>
      <c r="OCM585" s="148"/>
      <c r="OCN585" s="149"/>
      <c r="OCO585" s="150"/>
      <c r="OCQ585" s="152"/>
      <c r="OCR585" s="542"/>
      <c r="OCS585" s="154"/>
      <c r="OCT585" s="175"/>
      <c r="OCV585" s="156"/>
      <c r="OCW585" s="287"/>
      <c r="OCX585" s="488"/>
      <c r="OCY585" s="489"/>
      <c r="OCZ585" s="488"/>
      <c r="ODA585" s="300"/>
      <c r="ODB585" s="543"/>
      <c r="ODC585" s="533"/>
      <c r="ODD585" s="534"/>
      <c r="ODE585" s="316"/>
      <c r="ODF585" s="316"/>
      <c r="ODG585" s="471"/>
      <c r="ODH585" s="472"/>
      <c r="ODI585" s="471"/>
      <c r="ODJ585" s="473"/>
      <c r="ODK585" s="313"/>
      <c r="ODL585" s="535"/>
      <c r="ODM585" s="536"/>
      <c r="ODN585" s="537"/>
      <c r="ODO585" s="538"/>
      <c r="ODP585" s="539"/>
      <c r="ODQ585" s="540"/>
      <c r="ODR585" s="209"/>
      <c r="ODS585" s="541"/>
      <c r="ODT585" s="541"/>
      <c r="ODU585" s="482"/>
      <c r="ODV585" s="173"/>
      <c r="ODW585" s="173"/>
      <c r="ODX585" s="544"/>
      <c r="ODZ585" s="148"/>
      <c r="OEA585" s="148"/>
      <c r="OEB585" s="149"/>
      <c r="OEC585" s="150"/>
      <c r="OEE585" s="152"/>
      <c r="OEF585" s="542"/>
      <c r="OEG585" s="154"/>
      <c r="OEH585" s="175"/>
      <c r="OEJ585" s="156"/>
      <c r="OEK585" s="287"/>
      <c r="OEL585" s="488"/>
      <c r="OEM585" s="489"/>
      <c r="OEN585" s="488"/>
      <c r="OEO585" s="300"/>
      <c r="OEP585" s="543"/>
      <c r="OEQ585" s="533"/>
      <c r="OER585" s="534"/>
      <c r="OES585" s="316"/>
      <c r="OET585" s="316"/>
      <c r="OEU585" s="471"/>
      <c r="OEV585" s="472"/>
      <c r="OEW585" s="471"/>
      <c r="OEX585" s="473"/>
      <c r="OEY585" s="313"/>
      <c r="OEZ585" s="535"/>
      <c r="OFA585" s="536"/>
      <c r="OFB585" s="537"/>
      <c r="OFC585" s="538"/>
      <c r="OFD585" s="539"/>
      <c r="OFE585" s="540"/>
      <c r="OFF585" s="209"/>
      <c r="OFG585" s="541"/>
      <c r="OFH585" s="541"/>
      <c r="OFI585" s="482"/>
      <c r="OFJ585" s="173"/>
      <c r="OFK585" s="173"/>
      <c r="OFL585" s="544"/>
      <c r="OFN585" s="148"/>
      <c r="OFO585" s="148"/>
      <c r="OFP585" s="149"/>
      <c r="OFQ585" s="150"/>
      <c r="OFS585" s="152"/>
      <c r="OFT585" s="542"/>
      <c r="OFU585" s="154"/>
      <c r="OFV585" s="175"/>
      <c r="OFX585" s="156"/>
      <c r="OFY585" s="287"/>
      <c r="OFZ585" s="488"/>
      <c r="OGA585" s="489"/>
      <c r="OGB585" s="488"/>
      <c r="OGC585" s="300"/>
      <c r="OGD585" s="543"/>
      <c r="OGE585" s="533"/>
      <c r="OGF585" s="534"/>
      <c r="OGG585" s="316"/>
      <c r="OGH585" s="316"/>
      <c r="OGI585" s="471"/>
      <c r="OGJ585" s="472"/>
      <c r="OGK585" s="471"/>
      <c r="OGL585" s="473"/>
      <c r="OGM585" s="313"/>
      <c r="OGN585" s="535"/>
      <c r="OGO585" s="536"/>
      <c r="OGP585" s="537"/>
      <c r="OGQ585" s="538"/>
      <c r="OGR585" s="539"/>
      <c r="OGS585" s="540"/>
      <c r="OGT585" s="209"/>
      <c r="OGU585" s="541"/>
      <c r="OGV585" s="541"/>
      <c r="OGW585" s="482"/>
      <c r="OGX585" s="173"/>
      <c r="OGY585" s="173"/>
      <c r="OGZ585" s="544"/>
      <c r="OHB585" s="148"/>
      <c r="OHC585" s="148"/>
      <c r="OHD585" s="149"/>
      <c r="OHE585" s="150"/>
      <c r="OHG585" s="152"/>
      <c r="OHH585" s="542"/>
      <c r="OHI585" s="154"/>
      <c r="OHJ585" s="175"/>
      <c r="OHL585" s="156"/>
      <c r="OHM585" s="287"/>
      <c r="OHN585" s="488"/>
      <c r="OHO585" s="489"/>
      <c r="OHP585" s="488"/>
      <c r="OHQ585" s="300"/>
      <c r="OHR585" s="543"/>
      <c r="OHS585" s="533"/>
      <c r="OHT585" s="534"/>
      <c r="OHU585" s="316"/>
      <c r="OHV585" s="316"/>
      <c r="OHW585" s="471"/>
      <c r="OHX585" s="472"/>
      <c r="OHY585" s="471"/>
      <c r="OHZ585" s="473"/>
      <c r="OIA585" s="313"/>
      <c r="OIB585" s="535"/>
      <c r="OIC585" s="536"/>
      <c r="OID585" s="537"/>
      <c r="OIE585" s="538"/>
      <c r="OIF585" s="539"/>
      <c r="OIG585" s="540"/>
      <c r="OIH585" s="209"/>
      <c r="OII585" s="541"/>
      <c r="OIJ585" s="541"/>
      <c r="OIK585" s="482"/>
      <c r="OIL585" s="173"/>
      <c r="OIM585" s="173"/>
      <c r="OIN585" s="544"/>
      <c r="OIP585" s="148"/>
      <c r="OIQ585" s="148"/>
      <c r="OIR585" s="149"/>
      <c r="OIS585" s="150"/>
      <c r="OIU585" s="152"/>
      <c r="OIV585" s="542"/>
      <c r="OIW585" s="154"/>
      <c r="OIX585" s="175"/>
      <c r="OIZ585" s="156"/>
      <c r="OJA585" s="287"/>
      <c r="OJB585" s="488"/>
      <c r="OJC585" s="489"/>
      <c r="OJD585" s="488"/>
      <c r="OJE585" s="300"/>
      <c r="OJF585" s="543"/>
      <c r="OJG585" s="533"/>
      <c r="OJH585" s="534"/>
      <c r="OJI585" s="316"/>
      <c r="OJJ585" s="316"/>
      <c r="OJK585" s="471"/>
      <c r="OJL585" s="472"/>
      <c r="OJM585" s="471"/>
      <c r="OJN585" s="473"/>
      <c r="OJO585" s="313"/>
      <c r="OJP585" s="535"/>
      <c r="OJQ585" s="536"/>
      <c r="OJR585" s="537"/>
      <c r="OJS585" s="538"/>
      <c r="OJT585" s="539"/>
      <c r="OJU585" s="540"/>
      <c r="OJV585" s="209"/>
      <c r="OJW585" s="541"/>
      <c r="OJX585" s="541"/>
      <c r="OJY585" s="482"/>
      <c r="OJZ585" s="173"/>
      <c r="OKA585" s="173"/>
      <c r="OKB585" s="544"/>
      <c r="OKD585" s="148"/>
      <c r="OKE585" s="148"/>
      <c r="OKF585" s="149"/>
      <c r="OKG585" s="150"/>
      <c r="OKI585" s="152"/>
      <c r="OKJ585" s="542"/>
      <c r="OKK585" s="154"/>
      <c r="OKL585" s="175"/>
      <c r="OKN585" s="156"/>
      <c r="OKO585" s="287"/>
      <c r="OKP585" s="488"/>
      <c r="OKQ585" s="489"/>
      <c r="OKR585" s="488"/>
      <c r="OKS585" s="300"/>
      <c r="OKT585" s="543"/>
      <c r="OKU585" s="533"/>
      <c r="OKV585" s="534"/>
      <c r="OKW585" s="316"/>
      <c r="OKX585" s="316"/>
      <c r="OKY585" s="471"/>
      <c r="OKZ585" s="472"/>
      <c r="OLA585" s="471"/>
      <c r="OLB585" s="473"/>
      <c r="OLC585" s="313"/>
      <c r="OLD585" s="535"/>
      <c r="OLE585" s="536"/>
      <c r="OLF585" s="537"/>
      <c r="OLG585" s="538"/>
      <c r="OLH585" s="539"/>
      <c r="OLI585" s="540"/>
      <c r="OLJ585" s="209"/>
      <c r="OLK585" s="541"/>
      <c r="OLL585" s="541"/>
      <c r="OLM585" s="482"/>
      <c r="OLN585" s="173"/>
      <c r="OLO585" s="173"/>
      <c r="OLP585" s="544"/>
      <c r="OLR585" s="148"/>
      <c r="OLS585" s="148"/>
      <c r="OLT585" s="149"/>
      <c r="OLU585" s="150"/>
      <c r="OLW585" s="152"/>
      <c r="OLX585" s="542"/>
      <c r="OLY585" s="154"/>
      <c r="OLZ585" s="175"/>
      <c r="OMB585" s="156"/>
      <c r="OMC585" s="287"/>
      <c r="OMD585" s="488"/>
      <c r="OME585" s="489"/>
      <c r="OMF585" s="488"/>
      <c r="OMG585" s="300"/>
      <c r="OMH585" s="543"/>
      <c r="OMI585" s="533"/>
      <c r="OMJ585" s="534"/>
      <c r="OMK585" s="316"/>
      <c r="OML585" s="316"/>
      <c r="OMM585" s="471"/>
      <c r="OMN585" s="472"/>
      <c r="OMO585" s="471"/>
      <c r="OMP585" s="473"/>
      <c r="OMQ585" s="313"/>
      <c r="OMR585" s="535"/>
      <c r="OMS585" s="536"/>
      <c r="OMT585" s="537"/>
      <c r="OMU585" s="538"/>
      <c r="OMV585" s="539"/>
      <c r="OMW585" s="540"/>
      <c r="OMX585" s="209"/>
      <c r="OMY585" s="541"/>
      <c r="OMZ585" s="541"/>
      <c r="ONA585" s="482"/>
      <c r="ONB585" s="173"/>
      <c r="ONC585" s="173"/>
      <c r="OND585" s="544"/>
      <c r="ONF585" s="148"/>
      <c r="ONG585" s="148"/>
      <c r="ONH585" s="149"/>
      <c r="ONI585" s="150"/>
      <c r="ONK585" s="152"/>
      <c r="ONL585" s="542"/>
      <c r="ONM585" s="154"/>
      <c r="ONN585" s="175"/>
      <c r="ONP585" s="156"/>
      <c r="ONQ585" s="287"/>
      <c r="ONR585" s="488"/>
      <c r="ONS585" s="489"/>
      <c r="ONT585" s="488"/>
      <c r="ONU585" s="300"/>
      <c r="ONV585" s="543"/>
      <c r="ONW585" s="533"/>
      <c r="ONX585" s="534"/>
      <c r="ONY585" s="316"/>
      <c r="ONZ585" s="316"/>
      <c r="OOA585" s="471"/>
      <c r="OOB585" s="472"/>
      <c r="OOC585" s="471"/>
      <c r="OOD585" s="473"/>
      <c r="OOE585" s="313"/>
      <c r="OOF585" s="535"/>
      <c r="OOG585" s="536"/>
      <c r="OOH585" s="537"/>
      <c r="OOI585" s="538"/>
      <c r="OOJ585" s="539"/>
      <c r="OOK585" s="540"/>
      <c r="OOL585" s="209"/>
      <c r="OOM585" s="541"/>
      <c r="OON585" s="541"/>
      <c r="OOO585" s="482"/>
      <c r="OOP585" s="173"/>
      <c r="OOQ585" s="173"/>
      <c r="OOR585" s="544"/>
      <c r="OOT585" s="148"/>
      <c r="OOU585" s="148"/>
      <c r="OOV585" s="149"/>
      <c r="OOW585" s="150"/>
      <c r="OOY585" s="152"/>
      <c r="OOZ585" s="542"/>
      <c r="OPA585" s="154"/>
      <c r="OPB585" s="175"/>
      <c r="OPD585" s="156"/>
      <c r="OPE585" s="287"/>
      <c r="OPF585" s="488"/>
      <c r="OPG585" s="489"/>
      <c r="OPH585" s="488"/>
      <c r="OPI585" s="300"/>
      <c r="OPJ585" s="543"/>
      <c r="OPK585" s="533"/>
      <c r="OPL585" s="534"/>
      <c r="OPM585" s="316"/>
      <c r="OPN585" s="316"/>
      <c r="OPO585" s="471"/>
      <c r="OPP585" s="472"/>
      <c r="OPQ585" s="471"/>
      <c r="OPR585" s="473"/>
      <c r="OPS585" s="313"/>
      <c r="OPT585" s="535"/>
      <c r="OPU585" s="536"/>
      <c r="OPV585" s="537"/>
      <c r="OPW585" s="538"/>
      <c r="OPX585" s="539"/>
      <c r="OPY585" s="540"/>
      <c r="OPZ585" s="209"/>
      <c r="OQA585" s="541"/>
      <c r="OQB585" s="541"/>
      <c r="OQC585" s="482"/>
      <c r="OQD585" s="173"/>
      <c r="OQE585" s="173"/>
      <c r="OQF585" s="544"/>
      <c r="OQH585" s="148"/>
      <c r="OQI585" s="148"/>
      <c r="OQJ585" s="149"/>
      <c r="OQK585" s="150"/>
      <c r="OQM585" s="152"/>
      <c r="OQN585" s="542"/>
      <c r="OQO585" s="154"/>
      <c r="OQP585" s="175"/>
      <c r="OQR585" s="156"/>
      <c r="OQS585" s="287"/>
      <c r="OQT585" s="488"/>
      <c r="OQU585" s="489"/>
      <c r="OQV585" s="488"/>
      <c r="OQW585" s="300"/>
      <c r="OQX585" s="543"/>
      <c r="OQY585" s="533"/>
      <c r="OQZ585" s="534"/>
      <c r="ORA585" s="316"/>
      <c r="ORB585" s="316"/>
      <c r="ORC585" s="471"/>
      <c r="ORD585" s="472"/>
      <c r="ORE585" s="471"/>
      <c r="ORF585" s="473"/>
      <c r="ORG585" s="313"/>
      <c r="ORH585" s="535"/>
      <c r="ORI585" s="536"/>
      <c r="ORJ585" s="537"/>
      <c r="ORK585" s="538"/>
      <c r="ORL585" s="539"/>
      <c r="ORM585" s="540"/>
      <c r="ORN585" s="209"/>
      <c r="ORO585" s="541"/>
      <c r="ORP585" s="541"/>
      <c r="ORQ585" s="482"/>
      <c r="ORR585" s="173"/>
      <c r="ORS585" s="173"/>
      <c r="ORT585" s="544"/>
      <c r="ORV585" s="148"/>
      <c r="ORW585" s="148"/>
      <c r="ORX585" s="149"/>
      <c r="ORY585" s="150"/>
      <c r="OSA585" s="152"/>
      <c r="OSB585" s="542"/>
      <c r="OSC585" s="154"/>
      <c r="OSD585" s="175"/>
      <c r="OSF585" s="156"/>
      <c r="OSG585" s="287"/>
      <c r="OSH585" s="488"/>
      <c r="OSI585" s="489"/>
      <c r="OSJ585" s="488"/>
      <c r="OSK585" s="300"/>
      <c r="OSL585" s="543"/>
      <c r="OSM585" s="533"/>
      <c r="OSN585" s="534"/>
      <c r="OSO585" s="316"/>
      <c r="OSP585" s="316"/>
      <c r="OSQ585" s="471"/>
      <c r="OSR585" s="472"/>
      <c r="OSS585" s="471"/>
      <c r="OST585" s="473"/>
      <c r="OSU585" s="313"/>
      <c r="OSV585" s="535"/>
      <c r="OSW585" s="536"/>
      <c r="OSX585" s="537"/>
      <c r="OSY585" s="538"/>
      <c r="OSZ585" s="539"/>
      <c r="OTA585" s="540"/>
      <c r="OTB585" s="209"/>
      <c r="OTC585" s="541"/>
      <c r="OTD585" s="541"/>
      <c r="OTE585" s="482"/>
      <c r="OTF585" s="173"/>
      <c r="OTG585" s="173"/>
      <c r="OTH585" s="544"/>
      <c r="OTJ585" s="148"/>
      <c r="OTK585" s="148"/>
      <c r="OTL585" s="149"/>
      <c r="OTM585" s="150"/>
      <c r="OTO585" s="152"/>
      <c r="OTP585" s="542"/>
      <c r="OTQ585" s="154"/>
      <c r="OTR585" s="175"/>
      <c r="OTT585" s="156"/>
      <c r="OTU585" s="287"/>
      <c r="OTV585" s="488"/>
      <c r="OTW585" s="489"/>
      <c r="OTX585" s="488"/>
      <c r="OTY585" s="300"/>
      <c r="OTZ585" s="543"/>
      <c r="OUA585" s="533"/>
      <c r="OUB585" s="534"/>
      <c r="OUC585" s="316"/>
      <c r="OUD585" s="316"/>
      <c r="OUE585" s="471"/>
      <c r="OUF585" s="472"/>
      <c r="OUG585" s="471"/>
      <c r="OUH585" s="473"/>
      <c r="OUI585" s="313"/>
      <c r="OUJ585" s="535"/>
      <c r="OUK585" s="536"/>
      <c r="OUL585" s="537"/>
      <c r="OUM585" s="538"/>
      <c r="OUN585" s="539"/>
      <c r="OUO585" s="540"/>
      <c r="OUP585" s="209"/>
      <c r="OUQ585" s="541"/>
      <c r="OUR585" s="541"/>
      <c r="OUS585" s="482"/>
      <c r="OUT585" s="173"/>
      <c r="OUU585" s="173"/>
      <c r="OUV585" s="544"/>
      <c r="OUX585" s="148"/>
      <c r="OUY585" s="148"/>
      <c r="OUZ585" s="149"/>
      <c r="OVA585" s="150"/>
      <c r="OVC585" s="152"/>
      <c r="OVD585" s="542"/>
      <c r="OVE585" s="154"/>
      <c r="OVF585" s="175"/>
      <c r="OVH585" s="156"/>
      <c r="OVI585" s="287"/>
      <c r="OVJ585" s="488"/>
      <c r="OVK585" s="489"/>
      <c r="OVL585" s="488"/>
      <c r="OVM585" s="300"/>
      <c r="OVN585" s="543"/>
      <c r="OVO585" s="533"/>
      <c r="OVP585" s="534"/>
      <c r="OVQ585" s="316"/>
      <c r="OVR585" s="316"/>
      <c r="OVS585" s="471"/>
      <c r="OVT585" s="472"/>
      <c r="OVU585" s="471"/>
      <c r="OVV585" s="473"/>
      <c r="OVW585" s="313"/>
      <c r="OVX585" s="535"/>
      <c r="OVY585" s="536"/>
      <c r="OVZ585" s="537"/>
      <c r="OWA585" s="538"/>
      <c r="OWB585" s="539"/>
      <c r="OWC585" s="540"/>
      <c r="OWD585" s="209"/>
      <c r="OWE585" s="541"/>
      <c r="OWF585" s="541"/>
      <c r="OWG585" s="482"/>
      <c r="OWH585" s="173"/>
      <c r="OWI585" s="173"/>
      <c r="OWJ585" s="544"/>
      <c r="OWL585" s="148"/>
      <c r="OWM585" s="148"/>
      <c r="OWN585" s="149"/>
      <c r="OWO585" s="150"/>
      <c r="OWQ585" s="152"/>
      <c r="OWR585" s="542"/>
      <c r="OWS585" s="154"/>
      <c r="OWT585" s="175"/>
      <c r="OWV585" s="156"/>
      <c r="OWW585" s="287"/>
      <c r="OWX585" s="488"/>
      <c r="OWY585" s="489"/>
      <c r="OWZ585" s="488"/>
      <c r="OXA585" s="300"/>
      <c r="OXB585" s="543"/>
      <c r="OXC585" s="533"/>
      <c r="OXD585" s="534"/>
      <c r="OXE585" s="316"/>
      <c r="OXF585" s="316"/>
      <c r="OXG585" s="471"/>
      <c r="OXH585" s="472"/>
      <c r="OXI585" s="471"/>
      <c r="OXJ585" s="473"/>
      <c r="OXK585" s="313"/>
      <c r="OXL585" s="535"/>
      <c r="OXM585" s="536"/>
      <c r="OXN585" s="537"/>
      <c r="OXO585" s="538"/>
      <c r="OXP585" s="539"/>
      <c r="OXQ585" s="540"/>
      <c r="OXR585" s="209"/>
      <c r="OXS585" s="541"/>
      <c r="OXT585" s="541"/>
      <c r="OXU585" s="482"/>
      <c r="OXV585" s="173"/>
      <c r="OXW585" s="173"/>
      <c r="OXX585" s="544"/>
      <c r="OXZ585" s="148"/>
      <c r="OYA585" s="148"/>
      <c r="OYB585" s="149"/>
      <c r="OYC585" s="150"/>
      <c r="OYE585" s="152"/>
      <c r="OYF585" s="542"/>
      <c r="OYG585" s="154"/>
      <c r="OYH585" s="175"/>
      <c r="OYJ585" s="156"/>
      <c r="OYK585" s="287"/>
      <c r="OYL585" s="488"/>
      <c r="OYM585" s="489"/>
      <c r="OYN585" s="488"/>
      <c r="OYO585" s="300"/>
      <c r="OYP585" s="543"/>
      <c r="OYQ585" s="533"/>
      <c r="OYR585" s="534"/>
      <c r="OYS585" s="316"/>
      <c r="OYT585" s="316"/>
      <c r="OYU585" s="471"/>
      <c r="OYV585" s="472"/>
      <c r="OYW585" s="471"/>
      <c r="OYX585" s="473"/>
      <c r="OYY585" s="313"/>
      <c r="OYZ585" s="535"/>
      <c r="OZA585" s="536"/>
      <c r="OZB585" s="537"/>
      <c r="OZC585" s="538"/>
      <c r="OZD585" s="539"/>
      <c r="OZE585" s="540"/>
      <c r="OZF585" s="209"/>
      <c r="OZG585" s="541"/>
      <c r="OZH585" s="541"/>
      <c r="OZI585" s="482"/>
      <c r="OZJ585" s="173"/>
      <c r="OZK585" s="173"/>
      <c r="OZL585" s="544"/>
      <c r="OZN585" s="148"/>
      <c r="OZO585" s="148"/>
      <c r="OZP585" s="149"/>
      <c r="OZQ585" s="150"/>
      <c r="OZS585" s="152"/>
      <c r="OZT585" s="542"/>
      <c r="OZU585" s="154"/>
      <c r="OZV585" s="175"/>
      <c r="OZX585" s="156"/>
      <c r="OZY585" s="287"/>
      <c r="OZZ585" s="488"/>
      <c r="PAA585" s="489"/>
      <c r="PAB585" s="488"/>
      <c r="PAC585" s="300"/>
      <c r="PAD585" s="543"/>
      <c r="PAE585" s="533"/>
      <c r="PAF585" s="534"/>
      <c r="PAG585" s="316"/>
      <c r="PAH585" s="316"/>
      <c r="PAI585" s="471"/>
      <c r="PAJ585" s="472"/>
      <c r="PAK585" s="471"/>
      <c r="PAL585" s="473"/>
      <c r="PAM585" s="313"/>
      <c r="PAN585" s="535"/>
      <c r="PAO585" s="536"/>
      <c r="PAP585" s="537"/>
      <c r="PAQ585" s="538"/>
      <c r="PAR585" s="539"/>
      <c r="PAS585" s="540"/>
      <c r="PAT585" s="209"/>
      <c r="PAU585" s="541"/>
      <c r="PAV585" s="541"/>
      <c r="PAW585" s="482"/>
      <c r="PAX585" s="173"/>
      <c r="PAY585" s="173"/>
      <c r="PAZ585" s="544"/>
      <c r="PBB585" s="148"/>
      <c r="PBC585" s="148"/>
      <c r="PBD585" s="149"/>
      <c r="PBE585" s="150"/>
      <c r="PBG585" s="152"/>
      <c r="PBH585" s="542"/>
      <c r="PBI585" s="154"/>
      <c r="PBJ585" s="175"/>
      <c r="PBL585" s="156"/>
      <c r="PBM585" s="287"/>
      <c r="PBN585" s="488"/>
      <c r="PBO585" s="489"/>
      <c r="PBP585" s="488"/>
      <c r="PBQ585" s="300"/>
      <c r="PBR585" s="543"/>
      <c r="PBS585" s="533"/>
      <c r="PBT585" s="534"/>
      <c r="PBU585" s="316"/>
      <c r="PBV585" s="316"/>
      <c r="PBW585" s="471"/>
      <c r="PBX585" s="472"/>
      <c r="PBY585" s="471"/>
      <c r="PBZ585" s="473"/>
      <c r="PCA585" s="313"/>
      <c r="PCB585" s="535"/>
      <c r="PCC585" s="536"/>
      <c r="PCD585" s="537"/>
      <c r="PCE585" s="538"/>
      <c r="PCF585" s="539"/>
      <c r="PCG585" s="540"/>
      <c r="PCH585" s="209"/>
      <c r="PCI585" s="541"/>
      <c r="PCJ585" s="541"/>
      <c r="PCK585" s="482"/>
      <c r="PCL585" s="173"/>
      <c r="PCM585" s="173"/>
      <c r="PCN585" s="544"/>
      <c r="PCP585" s="148"/>
      <c r="PCQ585" s="148"/>
      <c r="PCR585" s="149"/>
      <c r="PCS585" s="150"/>
      <c r="PCU585" s="152"/>
      <c r="PCV585" s="542"/>
      <c r="PCW585" s="154"/>
      <c r="PCX585" s="175"/>
      <c r="PCZ585" s="156"/>
      <c r="PDA585" s="287"/>
      <c r="PDB585" s="488"/>
      <c r="PDC585" s="489"/>
      <c r="PDD585" s="488"/>
      <c r="PDE585" s="300"/>
      <c r="PDF585" s="543"/>
      <c r="PDG585" s="533"/>
      <c r="PDH585" s="534"/>
      <c r="PDI585" s="316"/>
      <c r="PDJ585" s="316"/>
      <c r="PDK585" s="471"/>
      <c r="PDL585" s="472"/>
      <c r="PDM585" s="471"/>
      <c r="PDN585" s="473"/>
      <c r="PDO585" s="313"/>
      <c r="PDP585" s="535"/>
      <c r="PDQ585" s="536"/>
      <c r="PDR585" s="537"/>
      <c r="PDS585" s="538"/>
      <c r="PDT585" s="539"/>
      <c r="PDU585" s="540"/>
      <c r="PDV585" s="209"/>
      <c r="PDW585" s="541"/>
      <c r="PDX585" s="541"/>
      <c r="PDY585" s="482"/>
      <c r="PDZ585" s="173"/>
      <c r="PEA585" s="173"/>
      <c r="PEB585" s="544"/>
      <c r="PED585" s="148"/>
      <c r="PEE585" s="148"/>
      <c r="PEF585" s="149"/>
      <c r="PEG585" s="150"/>
      <c r="PEI585" s="152"/>
      <c r="PEJ585" s="542"/>
      <c r="PEK585" s="154"/>
      <c r="PEL585" s="175"/>
      <c r="PEN585" s="156"/>
      <c r="PEO585" s="287"/>
      <c r="PEP585" s="488"/>
      <c r="PEQ585" s="489"/>
      <c r="PER585" s="488"/>
      <c r="PES585" s="300"/>
      <c r="PET585" s="543"/>
      <c r="PEU585" s="533"/>
      <c r="PEV585" s="534"/>
      <c r="PEW585" s="316"/>
      <c r="PEX585" s="316"/>
      <c r="PEY585" s="471"/>
      <c r="PEZ585" s="472"/>
      <c r="PFA585" s="471"/>
      <c r="PFB585" s="473"/>
      <c r="PFC585" s="313"/>
      <c r="PFD585" s="535"/>
      <c r="PFE585" s="536"/>
      <c r="PFF585" s="537"/>
      <c r="PFG585" s="538"/>
      <c r="PFH585" s="539"/>
      <c r="PFI585" s="540"/>
      <c r="PFJ585" s="209"/>
      <c r="PFK585" s="541"/>
      <c r="PFL585" s="541"/>
      <c r="PFM585" s="482"/>
      <c r="PFN585" s="173"/>
      <c r="PFO585" s="173"/>
      <c r="PFP585" s="544"/>
      <c r="PFR585" s="148"/>
      <c r="PFS585" s="148"/>
      <c r="PFT585" s="149"/>
      <c r="PFU585" s="150"/>
      <c r="PFW585" s="152"/>
      <c r="PFX585" s="542"/>
      <c r="PFY585" s="154"/>
      <c r="PFZ585" s="175"/>
      <c r="PGB585" s="156"/>
      <c r="PGC585" s="287"/>
      <c r="PGD585" s="488"/>
      <c r="PGE585" s="489"/>
      <c r="PGF585" s="488"/>
      <c r="PGG585" s="300"/>
      <c r="PGH585" s="543"/>
      <c r="PGI585" s="533"/>
      <c r="PGJ585" s="534"/>
      <c r="PGK585" s="316"/>
      <c r="PGL585" s="316"/>
      <c r="PGM585" s="471"/>
      <c r="PGN585" s="472"/>
      <c r="PGO585" s="471"/>
      <c r="PGP585" s="473"/>
      <c r="PGQ585" s="313"/>
      <c r="PGR585" s="535"/>
      <c r="PGS585" s="536"/>
      <c r="PGT585" s="537"/>
      <c r="PGU585" s="538"/>
      <c r="PGV585" s="539"/>
      <c r="PGW585" s="540"/>
      <c r="PGX585" s="209"/>
      <c r="PGY585" s="541"/>
      <c r="PGZ585" s="541"/>
      <c r="PHA585" s="482"/>
      <c r="PHB585" s="173"/>
      <c r="PHC585" s="173"/>
      <c r="PHD585" s="544"/>
      <c r="PHF585" s="148"/>
      <c r="PHG585" s="148"/>
      <c r="PHH585" s="149"/>
      <c r="PHI585" s="150"/>
      <c r="PHK585" s="152"/>
      <c r="PHL585" s="542"/>
      <c r="PHM585" s="154"/>
      <c r="PHN585" s="175"/>
      <c r="PHP585" s="156"/>
      <c r="PHQ585" s="287"/>
      <c r="PHR585" s="488"/>
      <c r="PHS585" s="489"/>
      <c r="PHT585" s="488"/>
      <c r="PHU585" s="300"/>
      <c r="PHV585" s="543"/>
      <c r="PHW585" s="533"/>
      <c r="PHX585" s="534"/>
      <c r="PHY585" s="316"/>
      <c r="PHZ585" s="316"/>
      <c r="PIA585" s="471"/>
      <c r="PIB585" s="472"/>
      <c r="PIC585" s="471"/>
      <c r="PID585" s="473"/>
      <c r="PIE585" s="313"/>
      <c r="PIF585" s="535"/>
      <c r="PIG585" s="536"/>
      <c r="PIH585" s="537"/>
      <c r="PII585" s="538"/>
      <c r="PIJ585" s="539"/>
      <c r="PIK585" s="540"/>
      <c r="PIL585" s="209"/>
      <c r="PIM585" s="541"/>
      <c r="PIN585" s="541"/>
      <c r="PIO585" s="482"/>
      <c r="PIP585" s="173"/>
      <c r="PIQ585" s="173"/>
      <c r="PIR585" s="544"/>
      <c r="PIT585" s="148"/>
      <c r="PIU585" s="148"/>
      <c r="PIV585" s="149"/>
      <c r="PIW585" s="150"/>
      <c r="PIY585" s="152"/>
      <c r="PIZ585" s="542"/>
      <c r="PJA585" s="154"/>
      <c r="PJB585" s="175"/>
      <c r="PJD585" s="156"/>
      <c r="PJE585" s="287"/>
      <c r="PJF585" s="488"/>
      <c r="PJG585" s="489"/>
      <c r="PJH585" s="488"/>
      <c r="PJI585" s="300"/>
      <c r="PJJ585" s="543"/>
      <c r="PJK585" s="533"/>
      <c r="PJL585" s="534"/>
      <c r="PJM585" s="316"/>
      <c r="PJN585" s="316"/>
      <c r="PJO585" s="471"/>
      <c r="PJP585" s="472"/>
      <c r="PJQ585" s="471"/>
      <c r="PJR585" s="473"/>
      <c r="PJS585" s="313"/>
      <c r="PJT585" s="535"/>
      <c r="PJU585" s="536"/>
      <c r="PJV585" s="537"/>
      <c r="PJW585" s="538"/>
      <c r="PJX585" s="539"/>
      <c r="PJY585" s="540"/>
      <c r="PJZ585" s="209"/>
      <c r="PKA585" s="541"/>
      <c r="PKB585" s="541"/>
      <c r="PKC585" s="482"/>
      <c r="PKD585" s="173"/>
      <c r="PKE585" s="173"/>
      <c r="PKF585" s="544"/>
      <c r="PKH585" s="148"/>
      <c r="PKI585" s="148"/>
      <c r="PKJ585" s="149"/>
      <c r="PKK585" s="150"/>
      <c r="PKM585" s="152"/>
      <c r="PKN585" s="542"/>
      <c r="PKO585" s="154"/>
      <c r="PKP585" s="175"/>
      <c r="PKR585" s="156"/>
      <c r="PKS585" s="287"/>
      <c r="PKT585" s="488"/>
      <c r="PKU585" s="489"/>
      <c r="PKV585" s="488"/>
      <c r="PKW585" s="300"/>
      <c r="PKX585" s="543"/>
      <c r="PKY585" s="533"/>
      <c r="PKZ585" s="534"/>
      <c r="PLA585" s="316"/>
      <c r="PLB585" s="316"/>
      <c r="PLC585" s="471"/>
      <c r="PLD585" s="472"/>
      <c r="PLE585" s="471"/>
      <c r="PLF585" s="473"/>
      <c r="PLG585" s="313"/>
      <c r="PLH585" s="535"/>
      <c r="PLI585" s="536"/>
      <c r="PLJ585" s="537"/>
      <c r="PLK585" s="538"/>
      <c r="PLL585" s="539"/>
      <c r="PLM585" s="540"/>
      <c r="PLN585" s="209"/>
      <c r="PLO585" s="541"/>
      <c r="PLP585" s="541"/>
      <c r="PLQ585" s="482"/>
      <c r="PLR585" s="173"/>
      <c r="PLS585" s="173"/>
      <c r="PLT585" s="544"/>
      <c r="PLV585" s="148"/>
      <c r="PLW585" s="148"/>
      <c r="PLX585" s="149"/>
      <c r="PLY585" s="150"/>
      <c r="PMA585" s="152"/>
      <c r="PMB585" s="542"/>
      <c r="PMC585" s="154"/>
      <c r="PMD585" s="175"/>
      <c r="PMF585" s="156"/>
      <c r="PMG585" s="287"/>
      <c r="PMH585" s="488"/>
      <c r="PMI585" s="489"/>
      <c r="PMJ585" s="488"/>
      <c r="PMK585" s="300"/>
      <c r="PML585" s="543"/>
      <c r="PMM585" s="533"/>
      <c r="PMN585" s="534"/>
      <c r="PMO585" s="316"/>
      <c r="PMP585" s="316"/>
      <c r="PMQ585" s="471"/>
      <c r="PMR585" s="472"/>
      <c r="PMS585" s="471"/>
      <c r="PMT585" s="473"/>
      <c r="PMU585" s="313"/>
      <c r="PMV585" s="535"/>
      <c r="PMW585" s="536"/>
      <c r="PMX585" s="537"/>
      <c r="PMY585" s="538"/>
      <c r="PMZ585" s="539"/>
      <c r="PNA585" s="540"/>
      <c r="PNB585" s="209"/>
      <c r="PNC585" s="541"/>
      <c r="PND585" s="541"/>
      <c r="PNE585" s="482"/>
      <c r="PNF585" s="173"/>
      <c r="PNG585" s="173"/>
      <c r="PNH585" s="544"/>
      <c r="PNJ585" s="148"/>
      <c r="PNK585" s="148"/>
      <c r="PNL585" s="149"/>
      <c r="PNM585" s="150"/>
      <c r="PNO585" s="152"/>
      <c r="PNP585" s="542"/>
      <c r="PNQ585" s="154"/>
      <c r="PNR585" s="175"/>
      <c r="PNT585" s="156"/>
      <c r="PNU585" s="287"/>
      <c r="PNV585" s="488"/>
      <c r="PNW585" s="489"/>
      <c r="PNX585" s="488"/>
      <c r="PNY585" s="300"/>
      <c r="PNZ585" s="543"/>
      <c r="POA585" s="533"/>
      <c r="POB585" s="534"/>
      <c r="POC585" s="316"/>
      <c r="POD585" s="316"/>
      <c r="POE585" s="471"/>
      <c r="POF585" s="472"/>
      <c r="POG585" s="471"/>
      <c r="POH585" s="473"/>
      <c r="POI585" s="313"/>
      <c r="POJ585" s="535"/>
      <c r="POK585" s="536"/>
      <c r="POL585" s="537"/>
      <c r="POM585" s="538"/>
      <c r="PON585" s="539"/>
      <c r="POO585" s="540"/>
      <c r="POP585" s="209"/>
      <c r="POQ585" s="541"/>
      <c r="POR585" s="541"/>
      <c r="POS585" s="482"/>
      <c r="POT585" s="173"/>
      <c r="POU585" s="173"/>
      <c r="POV585" s="544"/>
      <c r="POX585" s="148"/>
      <c r="POY585" s="148"/>
      <c r="POZ585" s="149"/>
      <c r="PPA585" s="150"/>
      <c r="PPC585" s="152"/>
      <c r="PPD585" s="542"/>
      <c r="PPE585" s="154"/>
      <c r="PPF585" s="175"/>
      <c r="PPH585" s="156"/>
      <c r="PPI585" s="287"/>
      <c r="PPJ585" s="488"/>
      <c r="PPK585" s="489"/>
      <c r="PPL585" s="488"/>
      <c r="PPM585" s="300"/>
      <c r="PPN585" s="543"/>
      <c r="PPO585" s="533"/>
      <c r="PPP585" s="534"/>
      <c r="PPQ585" s="316"/>
      <c r="PPR585" s="316"/>
      <c r="PPS585" s="471"/>
      <c r="PPT585" s="472"/>
      <c r="PPU585" s="471"/>
      <c r="PPV585" s="473"/>
      <c r="PPW585" s="313"/>
      <c r="PPX585" s="535"/>
      <c r="PPY585" s="536"/>
      <c r="PPZ585" s="537"/>
      <c r="PQA585" s="538"/>
      <c r="PQB585" s="539"/>
      <c r="PQC585" s="540"/>
      <c r="PQD585" s="209"/>
      <c r="PQE585" s="541"/>
      <c r="PQF585" s="541"/>
      <c r="PQG585" s="482"/>
      <c r="PQH585" s="173"/>
      <c r="PQI585" s="173"/>
      <c r="PQJ585" s="544"/>
      <c r="PQL585" s="148"/>
      <c r="PQM585" s="148"/>
      <c r="PQN585" s="149"/>
      <c r="PQO585" s="150"/>
      <c r="PQQ585" s="152"/>
      <c r="PQR585" s="542"/>
      <c r="PQS585" s="154"/>
      <c r="PQT585" s="175"/>
      <c r="PQV585" s="156"/>
      <c r="PQW585" s="287"/>
      <c r="PQX585" s="488"/>
      <c r="PQY585" s="489"/>
      <c r="PQZ585" s="488"/>
      <c r="PRA585" s="300"/>
      <c r="PRB585" s="543"/>
      <c r="PRC585" s="533"/>
      <c r="PRD585" s="534"/>
      <c r="PRE585" s="316"/>
      <c r="PRF585" s="316"/>
      <c r="PRG585" s="471"/>
      <c r="PRH585" s="472"/>
      <c r="PRI585" s="471"/>
      <c r="PRJ585" s="473"/>
      <c r="PRK585" s="313"/>
      <c r="PRL585" s="535"/>
      <c r="PRM585" s="536"/>
      <c r="PRN585" s="537"/>
      <c r="PRO585" s="538"/>
      <c r="PRP585" s="539"/>
      <c r="PRQ585" s="540"/>
      <c r="PRR585" s="209"/>
      <c r="PRS585" s="541"/>
      <c r="PRT585" s="541"/>
      <c r="PRU585" s="482"/>
      <c r="PRV585" s="173"/>
      <c r="PRW585" s="173"/>
      <c r="PRX585" s="544"/>
      <c r="PRZ585" s="148"/>
      <c r="PSA585" s="148"/>
      <c r="PSB585" s="149"/>
      <c r="PSC585" s="150"/>
      <c r="PSE585" s="152"/>
      <c r="PSF585" s="542"/>
      <c r="PSG585" s="154"/>
      <c r="PSH585" s="175"/>
      <c r="PSJ585" s="156"/>
      <c r="PSK585" s="287"/>
      <c r="PSL585" s="488"/>
      <c r="PSM585" s="489"/>
      <c r="PSN585" s="488"/>
      <c r="PSO585" s="300"/>
      <c r="PSP585" s="543"/>
      <c r="PSQ585" s="533"/>
      <c r="PSR585" s="534"/>
      <c r="PSS585" s="316"/>
      <c r="PST585" s="316"/>
      <c r="PSU585" s="471"/>
      <c r="PSV585" s="472"/>
      <c r="PSW585" s="471"/>
      <c r="PSX585" s="473"/>
      <c r="PSY585" s="313"/>
      <c r="PSZ585" s="535"/>
      <c r="PTA585" s="536"/>
      <c r="PTB585" s="537"/>
      <c r="PTC585" s="538"/>
      <c r="PTD585" s="539"/>
      <c r="PTE585" s="540"/>
      <c r="PTF585" s="209"/>
      <c r="PTG585" s="541"/>
      <c r="PTH585" s="541"/>
      <c r="PTI585" s="482"/>
      <c r="PTJ585" s="173"/>
      <c r="PTK585" s="173"/>
      <c r="PTL585" s="544"/>
      <c r="PTN585" s="148"/>
      <c r="PTO585" s="148"/>
      <c r="PTP585" s="149"/>
      <c r="PTQ585" s="150"/>
      <c r="PTS585" s="152"/>
      <c r="PTT585" s="542"/>
      <c r="PTU585" s="154"/>
      <c r="PTV585" s="175"/>
      <c r="PTX585" s="156"/>
      <c r="PTY585" s="287"/>
      <c r="PTZ585" s="488"/>
      <c r="PUA585" s="489"/>
      <c r="PUB585" s="488"/>
      <c r="PUC585" s="300"/>
      <c r="PUD585" s="543"/>
      <c r="PUE585" s="533"/>
      <c r="PUF585" s="534"/>
      <c r="PUG585" s="316"/>
      <c r="PUH585" s="316"/>
      <c r="PUI585" s="471"/>
      <c r="PUJ585" s="472"/>
      <c r="PUK585" s="471"/>
      <c r="PUL585" s="473"/>
      <c r="PUM585" s="313"/>
      <c r="PUN585" s="535"/>
      <c r="PUO585" s="536"/>
      <c r="PUP585" s="537"/>
      <c r="PUQ585" s="538"/>
      <c r="PUR585" s="539"/>
      <c r="PUS585" s="540"/>
      <c r="PUT585" s="209"/>
      <c r="PUU585" s="541"/>
      <c r="PUV585" s="541"/>
      <c r="PUW585" s="482"/>
      <c r="PUX585" s="173"/>
      <c r="PUY585" s="173"/>
      <c r="PUZ585" s="544"/>
      <c r="PVB585" s="148"/>
      <c r="PVC585" s="148"/>
      <c r="PVD585" s="149"/>
      <c r="PVE585" s="150"/>
      <c r="PVG585" s="152"/>
      <c r="PVH585" s="542"/>
      <c r="PVI585" s="154"/>
      <c r="PVJ585" s="175"/>
      <c r="PVL585" s="156"/>
      <c r="PVM585" s="287"/>
      <c r="PVN585" s="488"/>
      <c r="PVO585" s="489"/>
      <c r="PVP585" s="488"/>
      <c r="PVQ585" s="300"/>
      <c r="PVR585" s="543"/>
      <c r="PVS585" s="533"/>
      <c r="PVT585" s="534"/>
      <c r="PVU585" s="316"/>
      <c r="PVV585" s="316"/>
      <c r="PVW585" s="471"/>
      <c r="PVX585" s="472"/>
      <c r="PVY585" s="471"/>
      <c r="PVZ585" s="473"/>
      <c r="PWA585" s="313"/>
      <c r="PWB585" s="535"/>
      <c r="PWC585" s="536"/>
      <c r="PWD585" s="537"/>
      <c r="PWE585" s="538"/>
      <c r="PWF585" s="539"/>
      <c r="PWG585" s="540"/>
      <c r="PWH585" s="209"/>
      <c r="PWI585" s="541"/>
      <c r="PWJ585" s="541"/>
      <c r="PWK585" s="482"/>
      <c r="PWL585" s="173"/>
      <c r="PWM585" s="173"/>
      <c r="PWN585" s="544"/>
      <c r="PWP585" s="148"/>
      <c r="PWQ585" s="148"/>
      <c r="PWR585" s="149"/>
      <c r="PWS585" s="150"/>
      <c r="PWU585" s="152"/>
      <c r="PWV585" s="542"/>
      <c r="PWW585" s="154"/>
      <c r="PWX585" s="175"/>
      <c r="PWZ585" s="156"/>
      <c r="PXA585" s="287"/>
      <c r="PXB585" s="488"/>
      <c r="PXC585" s="489"/>
      <c r="PXD585" s="488"/>
      <c r="PXE585" s="300"/>
      <c r="PXF585" s="543"/>
      <c r="PXG585" s="533"/>
      <c r="PXH585" s="534"/>
      <c r="PXI585" s="316"/>
      <c r="PXJ585" s="316"/>
      <c r="PXK585" s="471"/>
      <c r="PXL585" s="472"/>
      <c r="PXM585" s="471"/>
      <c r="PXN585" s="473"/>
      <c r="PXO585" s="313"/>
      <c r="PXP585" s="535"/>
      <c r="PXQ585" s="536"/>
      <c r="PXR585" s="537"/>
      <c r="PXS585" s="538"/>
      <c r="PXT585" s="539"/>
      <c r="PXU585" s="540"/>
      <c r="PXV585" s="209"/>
      <c r="PXW585" s="541"/>
      <c r="PXX585" s="541"/>
      <c r="PXY585" s="482"/>
      <c r="PXZ585" s="173"/>
      <c r="PYA585" s="173"/>
      <c r="PYB585" s="544"/>
      <c r="PYD585" s="148"/>
      <c r="PYE585" s="148"/>
      <c r="PYF585" s="149"/>
      <c r="PYG585" s="150"/>
      <c r="PYI585" s="152"/>
      <c r="PYJ585" s="542"/>
      <c r="PYK585" s="154"/>
      <c r="PYL585" s="175"/>
      <c r="PYN585" s="156"/>
      <c r="PYO585" s="287"/>
      <c r="PYP585" s="488"/>
      <c r="PYQ585" s="489"/>
      <c r="PYR585" s="488"/>
      <c r="PYS585" s="300"/>
      <c r="PYT585" s="543"/>
      <c r="PYU585" s="533"/>
      <c r="PYV585" s="534"/>
      <c r="PYW585" s="316"/>
      <c r="PYX585" s="316"/>
      <c r="PYY585" s="471"/>
      <c r="PYZ585" s="472"/>
      <c r="PZA585" s="471"/>
      <c r="PZB585" s="473"/>
      <c r="PZC585" s="313"/>
      <c r="PZD585" s="535"/>
      <c r="PZE585" s="536"/>
      <c r="PZF585" s="537"/>
      <c r="PZG585" s="538"/>
      <c r="PZH585" s="539"/>
      <c r="PZI585" s="540"/>
      <c r="PZJ585" s="209"/>
      <c r="PZK585" s="541"/>
      <c r="PZL585" s="541"/>
      <c r="PZM585" s="482"/>
      <c r="PZN585" s="173"/>
      <c r="PZO585" s="173"/>
      <c r="PZP585" s="544"/>
      <c r="PZR585" s="148"/>
      <c r="PZS585" s="148"/>
      <c r="PZT585" s="149"/>
      <c r="PZU585" s="150"/>
      <c r="PZW585" s="152"/>
      <c r="PZX585" s="542"/>
      <c r="PZY585" s="154"/>
      <c r="PZZ585" s="175"/>
      <c r="QAB585" s="156"/>
      <c r="QAC585" s="287"/>
      <c r="QAD585" s="488"/>
      <c r="QAE585" s="489"/>
      <c r="QAF585" s="488"/>
      <c r="QAG585" s="300"/>
      <c r="QAH585" s="543"/>
      <c r="QAI585" s="533"/>
      <c r="QAJ585" s="534"/>
      <c r="QAK585" s="316"/>
      <c r="QAL585" s="316"/>
      <c r="QAM585" s="471"/>
      <c r="QAN585" s="472"/>
      <c r="QAO585" s="471"/>
      <c r="QAP585" s="473"/>
      <c r="QAQ585" s="313"/>
      <c r="QAR585" s="535"/>
      <c r="QAS585" s="536"/>
      <c r="QAT585" s="537"/>
      <c r="QAU585" s="538"/>
      <c r="QAV585" s="539"/>
      <c r="QAW585" s="540"/>
      <c r="QAX585" s="209"/>
      <c r="QAY585" s="541"/>
      <c r="QAZ585" s="541"/>
      <c r="QBA585" s="482"/>
      <c r="QBB585" s="173"/>
      <c r="QBC585" s="173"/>
      <c r="QBD585" s="544"/>
      <c r="QBF585" s="148"/>
      <c r="QBG585" s="148"/>
      <c r="QBH585" s="149"/>
      <c r="QBI585" s="150"/>
      <c r="QBK585" s="152"/>
      <c r="QBL585" s="542"/>
      <c r="QBM585" s="154"/>
      <c r="QBN585" s="175"/>
      <c r="QBP585" s="156"/>
      <c r="QBQ585" s="287"/>
      <c r="QBR585" s="488"/>
      <c r="QBS585" s="489"/>
      <c r="QBT585" s="488"/>
      <c r="QBU585" s="300"/>
      <c r="QBV585" s="543"/>
      <c r="QBW585" s="533"/>
      <c r="QBX585" s="534"/>
      <c r="QBY585" s="316"/>
      <c r="QBZ585" s="316"/>
      <c r="QCA585" s="471"/>
      <c r="QCB585" s="472"/>
      <c r="QCC585" s="471"/>
      <c r="QCD585" s="473"/>
      <c r="QCE585" s="313"/>
      <c r="QCF585" s="535"/>
      <c r="QCG585" s="536"/>
      <c r="QCH585" s="537"/>
      <c r="QCI585" s="538"/>
      <c r="QCJ585" s="539"/>
      <c r="QCK585" s="540"/>
      <c r="QCL585" s="209"/>
      <c r="QCM585" s="541"/>
      <c r="QCN585" s="541"/>
      <c r="QCO585" s="482"/>
      <c r="QCP585" s="173"/>
      <c r="QCQ585" s="173"/>
      <c r="QCR585" s="544"/>
      <c r="QCT585" s="148"/>
      <c r="QCU585" s="148"/>
      <c r="QCV585" s="149"/>
      <c r="QCW585" s="150"/>
      <c r="QCY585" s="152"/>
      <c r="QCZ585" s="542"/>
      <c r="QDA585" s="154"/>
      <c r="QDB585" s="175"/>
      <c r="QDD585" s="156"/>
      <c r="QDE585" s="287"/>
      <c r="QDF585" s="488"/>
      <c r="QDG585" s="489"/>
      <c r="QDH585" s="488"/>
      <c r="QDI585" s="300"/>
      <c r="QDJ585" s="543"/>
      <c r="QDK585" s="533"/>
      <c r="QDL585" s="534"/>
      <c r="QDM585" s="316"/>
      <c r="QDN585" s="316"/>
      <c r="QDO585" s="471"/>
      <c r="QDP585" s="472"/>
      <c r="QDQ585" s="471"/>
      <c r="QDR585" s="473"/>
      <c r="QDS585" s="313"/>
      <c r="QDT585" s="535"/>
      <c r="QDU585" s="536"/>
      <c r="QDV585" s="537"/>
      <c r="QDW585" s="538"/>
      <c r="QDX585" s="539"/>
      <c r="QDY585" s="540"/>
      <c r="QDZ585" s="209"/>
      <c r="QEA585" s="541"/>
      <c r="QEB585" s="541"/>
      <c r="QEC585" s="482"/>
      <c r="QED585" s="173"/>
      <c r="QEE585" s="173"/>
      <c r="QEF585" s="544"/>
      <c r="QEH585" s="148"/>
      <c r="QEI585" s="148"/>
      <c r="QEJ585" s="149"/>
      <c r="QEK585" s="150"/>
      <c r="QEM585" s="152"/>
      <c r="QEN585" s="542"/>
      <c r="QEO585" s="154"/>
      <c r="QEP585" s="175"/>
      <c r="QER585" s="156"/>
      <c r="QES585" s="287"/>
      <c r="QET585" s="488"/>
      <c r="QEU585" s="489"/>
      <c r="QEV585" s="488"/>
      <c r="QEW585" s="300"/>
      <c r="QEX585" s="543"/>
      <c r="QEY585" s="533"/>
      <c r="QEZ585" s="534"/>
      <c r="QFA585" s="316"/>
      <c r="QFB585" s="316"/>
      <c r="QFC585" s="471"/>
      <c r="QFD585" s="472"/>
      <c r="QFE585" s="471"/>
      <c r="QFF585" s="473"/>
      <c r="QFG585" s="313"/>
      <c r="QFH585" s="535"/>
      <c r="QFI585" s="536"/>
      <c r="QFJ585" s="537"/>
      <c r="QFK585" s="538"/>
      <c r="QFL585" s="539"/>
      <c r="QFM585" s="540"/>
      <c r="QFN585" s="209"/>
      <c r="QFO585" s="541"/>
      <c r="QFP585" s="541"/>
      <c r="QFQ585" s="482"/>
      <c r="QFR585" s="173"/>
      <c r="QFS585" s="173"/>
      <c r="QFT585" s="544"/>
      <c r="QFV585" s="148"/>
      <c r="QFW585" s="148"/>
      <c r="QFX585" s="149"/>
      <c r="QFY585" s="150"/>
      <c r="QGA585" s="152"/>
      <c r="QGB585" s="542"/>
      <c r="QGC585" s="154"/>
      <c r="QGD585" s="175"/>
      <c r="QGF585" s="156"/>
      <c r="QGG585" s="287"/>
      <c r="QGH585" s="488"/>
      <c r="QGI585" s="489"/>
      <c r="QGJ585" s="488"/>
      <c r="QGK585" s="300"/>
      <c r="QGL585" s="543"/>
      <c r="QGM585" s="533"/>
      <c r="QGN585" s="534"/>
      <c r="QGO585" s="316"/>
      <c r="QGP585" s="316"/>
      <c r="QGQ585" s="471"/>
      <c r="QGR585" s="472"/>
      <c r="QGS585" s="471"/>
      <c r="QGT585" s="473"/>
      <c r="QGU585" s="313"/>
      <c r="QGV585" s="535"/>
      <c r="QGW585" s="536"/>
      <c r="QGX585" s="537"/>
      <c r="QGY585" s="538"/>
      <c r="QGZ585" s="539"/>
      <c r="QHA585" s="540"/>
      <c r="QHB585" s="209"/>
      <c r="QHC585" s="541"/>
      <c r="QHD585" s="541"/>
      <c r="QHE585" s="482"/>
      <c r="QHF585" s="173"/>
      <c r="QHG585" s="173"/>
      <c r="QHH585" s="544"/>
      <c r="QHJ585" s="148"/>
      <c r="QHK585" s="148"/>
      <c r="QHL585" s="149"/>
      <c r="QHM585" s="150"/>
      <c r="QHO585" s="152"/>
      <c r="QHP585" s="542"/>
      <c r="QHQ585" s="154"/>
      <c r="QHR585" s="175"/>
      <c r="QHT585" s="156"/>
      <c r="QHU585" s="287"/>
      <c r="QHV585" s="488"/>
      <c r="QHW585" s="489"/>
      <c r="QHX585" s="488"/>
      <c r="QHY585" s="300"/>
      <c r="QHZ585" s="543"/>
      <c r="QIA585" s="533"/>
      <c r="QIB585" s="534"/>
      <c r="QIC585" s="316"/>
      <c r="QID585" s="316"/>
      <c r="QIE585" s="471"/>
      <c r="QIF585" s="472"/>
      <c r="QIG585" s="471"/>
      <c r="QIH585" s="473"/>
      <c r="QII585" s="313"/>
      <c r="QIJ585" s="535"/>
      <c r="QIK585" s="536"/>
      <c r="QIL585" s="537"/>
      <c r="QIM585" s="538"/>
      <c r="QIN585" s="539"/>
      <c r="QIO585" s="540"/>
      <c r="QIP585" s="209"/>
      <c r="QIQ585" s="541"/>
      <c r="QIR585" s="541"/>
      <c r="QIS585" s="482"/>
      <c r="QIT585" s="173"/>
      <c r="QIU585" s="173"/>
      <c r="QIV585" s="544"/>
      <c r="QIX585" s="148"/>
      <c r="QIY585" s="148"/>
      <c r="QIZ585" s="149"/>
      <c r="QJA585" s="150"/>
      <c r="QJC585" s="152"/>
      <c r="QJD585" s="542"/>
      <c r="QJE585" s="154"/>
      <c r="QJF585" s="175"/>
      <c r="QJH585" s="156"/>
      <c r="QJI585" s="287"/>
      <c r="QJJ585" s="488"/>
      <c r="QJK585" s="489"/>
      <c r="QJL585" s="488"/>
      <c r="QJM585" s="300"/>
      <c r="QJN585" s="543"/>
      <c r="QJO585" s="533"/>
      <c r="QJP585" s="534"/>
      <c r="QJQ585" s="316"/>
      <c r="QJR585" s="316"/>
      <c r="QJS585" s="471"/>
      <c r="QJT585" s="472"/>
      <c r="QJU585" s="471"/>
      <c r="QJV585" s="473"/>
      <c r="QJW585" s="313"/>
      <c r="QJX585" s="535"/>
      <c r="QJY585" s="536"/>
      <c r="QJZ585" s="537"/>
      <c r="QKA585" s="538"/>
      <c r="QKB585" s="539"/>
      <c r="QKC585" s="540"/>
      <c r="QKD585" s="209"/>
      <c r="QKE585" s="541"/>
      <c r="QKF585" s="541"/>
      <c r="QKG585" s="482"/>
      <c r="QKH585" s="173"/>
      <c r="QKI585" s="173"/>
      <c r="QKJ585" s="544"/>
      <c r="QKL585" s="148"/>
      <c r="QKM585" s="148"/>
      <c r="QKN585" s="149"/>
      <c r="QKO585" s="150"/>
      <c r="QKQ585" s="152"/>
      <c r="QKR585" s="542"/>
      <c r="QKS585" s="154"/>
      <c r="QKT585" s="175"/>
      <c r="QKV585" s="156"/>
      <c r="QKW585" s="287"/>
      <c r="QKX585" s="488"/>
      <c r="QKY585" s="489"/>
      <c r="QKZ585" s="488"/>
      <c r="QLA585" s="300"/>
      <c r="QLB585" s="543"/>
      <c r="QLC585" s="533"/>
      <c r="QLD585" s="534"/>
      <c r="QLE585" s="316"/>
      <c r="QLF585" s="316"/>
      <c r="QLG585" s="471"/>
      <c r="QLH585" s="472"/>
      <c r="QLI585" s="471"/>
      <c r="QLJ585" s="473"/>
      <c r="QLK585" s="313"/>
      <c r="QLL585" s="535"/>
      <c r="QLM585" s="536"/>
      <c r="QLN585" s="537"/>
      <c r="QLO585" s="538"/>
      <c r="QLP585" s="539"/>
      <c r="QLQ585" s="540"/>
      <c r="QLR585" s="209"/>
      <c r="QLS585" s="541"/>
      <c r="QLT585" s="541"/>
      <c r="QLU585" s="482"/>
      <c r="QLV585" s="173"/>
      <c r="QLW585" s="173"/>
      <c r="QLX585" s="544"/>
      <c r="QLZ585" s="148"/>
      <c r="QMA585" s="148"/>
      <c r="QMB585" s="149"/>
      <c r="QMC585" s="150"/>
      <c r="QME585" s="152"/>
      <c r="QMF585" s="542"/>
      <c r="QMG585" s="154"/>
      <c r="QMH585" s="175"/>
      <c r="QMJ585" s="156"/>
      <c r="QMK585" s="287"/>
      <c r="QML585" s="488"/>
      <c r="QMM585" s="489"/>
      <c r="QMN585" s="488"/>
      <c r="QMO585" s="300"/>
      <c r="QMP585" s="543"/>
      <c r="QMQ585" s="533"/>
      <c r="QMR585" s="534"/>
      <c r="QMS585" s="316"/>
      <c r="QMT585" s="316"/>
      <c r="QMU585" s="471"/>
      <c r="QMV585" s="472"/>
      <c r="QMW585" s="471"/>
      <c r="QMX585" s="473"/>
      <c r="QMY585" s="313"/>
      <c r="QMZ585" s="535"/>
      <c r="QNA585" s="536"/>
      <c r="QNB585" s="537"/>
      <c r="QNC585" s="538"/>
      <c r="QND585" s="539"/>
      <c r="QNE585" s="540"/>
      <c r="QNF585" s="209"/>
      <c r="QNG585" s="541"/>
      <c r="QNH585" s="541"/>
      <c r="QNI585" s="482"/>
      <c r="QNJ585" s="173"/>
      <c r="QNK585" s="173"/>
      <c r="QNL585" s="544"/>
      <c r="QNN585" s="148"/>
      <c r="QNO585" s="148"/>
      <c r="QNP585" s="149"/>
      <c r="QNQ585" s="150"/>
      <c r="QNS585" s="152"/>
      <c r="QNT585" s="542"/>
      <c r="QNU585" s="154"/>
      <c r="QNV585" s="175"/>
      <c r="QNX585" s="156"/>
      <c r="QNY585" s="287"/>
      <c r="QNZ585" s="488"/>
      <c r="QOA585" s="489"/>
      <c r="QOB585" s="488"/>
      <c r="QOC585" s="300"/>
      <c r="QOD585" s="543"/>
      <c r="QOE585" s="533"/>
      <c r="QOF585" s="534"/>
      <c r="QOG585" s="316"/>
      <c r="QOH585" s="316"/>
      <c r="QOI585" s="471"/>
      <c r="QOJ585" s="472"/>
      <c r="QOK585" s="471"/>
      <c r="QOL585" s="473"/>
      <c r="QOM585" s="313"/>
      <c r="QON585" s="535"/>
      <c r="QOO585" s="536"/>
      <c r="QOP585" s="537"/>
      <c r="QOQ585" s="538"/>
      <c r="QOR585" s="539"/>
      <c r="QOS585" s="540"/>
      <c r="QOT585" s="209"/>
      <c r="QOU585" s="541"/>
      <c r="QOV585" s="541"/>
      <c r="QOW585" s="482"/>
      <c r="QOX585" s="173"/>
      <c r="QOY585" s="173"/>
      <c r="QOZ585" s="544"/>
      <c r="QPB585" s="148"/>
      <c r="QPC585" s="148"/>
      <c r="QPD585" s="149"/>
      <c r="QPE585" s="150"/>
      <c r="QPG585" s="152"/>
      <c r="QPH585" s="542"/>
      <c r="QPI585" s="154"/>
      <c r="QPJ585" s="175"/>
      <c r="QPL585" s="156"/>
      <c r="QPM585" s="287"/>
      <c r="QPN585" s="488"/>
      <c r="QPO585" s="489"/>
      <c r="QPP585" s="488"/>
      <c r="QPQ585" s="300"/>
      <c r="QPR585" s="543"/>
      <c r="QPS585" s="533"/>
      <c r="QPT585" s="534"/>
      <c r="QPU585" s="316"/>
      <c r="QPV585" s="316"/>
      <c r="QPW585" s="471"/>
      <c r="QPX585" s="472"/>
      <c r="QPY585" s="471"/>
      <c r="QPZ585" s="473"/>
      <c r="QQA585" s="313"/>
      <c r="QQB585" s="535"/>
      <c r="QQC585" s="536"/>
      <c r="QQD585" s="537"/>
      <c r="QQE585" s="538"/>
      <c r="QQF585" s="539"/>
      <c r="QQG585" s="540"/>
      <c r="QQH585" s="209"/>
      <c r="QQI585" s="541"/>
      <c r="QQJ585" s="541"/>
      <c r="QQK585" s="482"/>
      <c r="QQL585" s="173"/>
      <c r="QQM585" s="173"/>
      <c r="QQN585" s="544"/>
      <c r="QQP585" s="148"/>
      <c r="QQQ585" s="148"/>
      <c r="QQR585" s="149"/>
      <c r="QQS585" s="150"/>
      <c r="QQU585" s="152"/>
      <c r="QQV585" s="542"/>
      <c r="QQW585" s="154"/>
      <c r="QQX585" s="175"/>
      <c r="QQZ585" s="156"/>
      <c r="QRA585" s="287"/>
      <c r="QRB585" s="488"/>
      <c r="QRC585" s="489"/>
      <c r="QRD585" s="488"/>
      <c r="QRE585" s="300"/>
      <c r="QRF585" s="543"/>
      <c r="QRG585" s="533"/>
      <c r="QRH585" s="534"/>
      <c r="QRI585" s="316"/>
      <c r="QRJ585" s="316"/>
      <c r="QRK585" s="471"/>
      <c r="QRL585" s="472"/>
      <c r="QRM585" s="471"/>
      <c r="QRN585" s="473"/>
      <c r="QRO585" s="313"/>
      <c r="QRP585" s="535"/>
      <c r="QRQ585" s="536"/>
      <c r="QRR585" s="537"/>
      <c r="QRS585" s="538"/>
      <c r="QRT585" s="539"/>
      <c r="QRU585" s="540"/>
      <c r="QRV585" s="209"/>
      <c r="QRW585" s="541"/>
      <c r="QRX585" s="541"/>
      <c r="QRY585" s="482"/>
      <c r="QRZ585" s="173"/>
      <c r="QSA585" s="173"/>
      <c r="QSB585" s="544"/>
      <c r="QSD585" s="148"/>
      <c r="QSE585" s="148"/>
      <c r="QSF585" s="149"/>
      <c r="QSG585" s="150"/>
      <c r="QSI585" s="152"/>
      <c r="QSJ585" s="542"/>
      <c r="QSK585" s="154"/>
      <c r="QSL585" s="175"/>
      <c r="QSN585" s="156"/>
      <c r="QSO585" s="287"/>
      <c r="QSP585" s="488"/>
      <c r="QSQ585" s="489"/>
      <c r="QSR585" s="488"/>
      <c r="QSS585" s="300"/>
      <c r="QST585" s="543"/>
      <c r="QSU585" s="533"/>
      <c r="QSV585" s="534"/>
      <c r="QSW585" s="316"/>
      <c r="QSX585" s="316"/>
      <c r="QSY585" s="471"/>
      <c r="QSZ585" s="472"/>
      <c r="QTA585" s="471"/>
      <c r="QTB585" s="473"/>
      <c r="QTC585" s="313"/>
      <c r="QTD585" s="535"/>
      <c r="QTE585" s="536"/>
      <c r="QTF585" s="537"/>
      <c r="QTG585" s="538"/>
      <c r="QTH585" s="539"/>
      <c r="QTI585" s="540"/>
      <c r="QTJ585" s="209"/>
      <c r="QTK585" s="541"/>
      <c r="QTL585" s="541"/>
      <c r="QTM585" s="482"/>
      <c r="QTN585" s="173"/>
      <c r="QTO585" s="173"/>
      <c r="QTP585" s="544"/>
      <c r="QTR585" s="148"/>
      <c r="QTS585" s="148"/>
      <c r="QTT585" s="149"/>
      <c r="QTU585" s="150"/>
      <c r="QTW585" s="152"/>
      <c r="QTX585" s="542"/>
      <c r="QTY585" s="154"/>
      <c r="QTZ585" s="175"/>
      <c r="QUB585" s="156"/>
      <c r="QUC585" s="287"/>
      <c r="QUD585" s="488"/>
      <c r="QUE585" s="489"/>
      <c r="QUF585" s="488"/>
      <c r="QUG585" s="300"/>
      <c r="QUH585" s="543"/>
      <c r="QUI585" s="533"/>
      <c r="QUJ585" s="534"/>
      <c r="QUK585" s="316"/>
      <c r="QUL585" s="316"/>
      <c r="QUM585" s="471"/>
      <c r="QUN585" s="472"/>
      <c r="QUO585" s="471"/>
      <c r="QUP585" s="473"/>
      <c r="QUQ585" s="313"/>
      <c r="QUR585" s="535"/>
      <c r="QUS585" s="536"/>
      <c r="QUT585" s="537"/>
      <c r="QUU585" s="538"/>
      <c r="QUV585" s="539"/>
      <c r="QUW585" s="540"/>
      <c r="QUX585" s="209"/>
      <c r="QUY585" s="541"/>
      <c r="QUZ585" s="541"/>
      <c r="QVA585" s="482"/>
      <c r="QVB585" s="173"/>
      <c r="QVC585" s="173"/>
      <c r="QVD585" s="544"/>
      <c r="QVF585" s="148"/>
      <c r="QVG585" s="148"/>
      <c r="QVH585" s="149"/>
      <c r="QVI585" s="150"/>
      <c r="QVK585" s="152"/>
      <c r="QVL585" s="542"/>
      <c r="QVM585" s="154"/>
      <c r="QVN585" s="175"/>
      <c r="QVP585" s="156"/>
      <c r="QVQ585" s="287"/>
      <c r="QVR585" s="488"/>
      <c r="QVS585" s="489"/>
      <c r="QVT585" s="488"/>
      <c r="QVU585" s="300"/>
      <c r="QVV585" s="543"/>
      <c r="QVW585" s="533"/>
      <c r="QVX585" s="534"/>
      <c r="QVY585" s="316"/>
      <c r="QVZ585" s="316"/>
      <c r="QWA585" s="471"/>
      <c r="QWB585" s="472"/>
      <c r="QWC585" s="471"/>
      <c r="QWD585" s="473"/>
      <c r="QWE585" s="313"/>
      <c r="QWF585" s="535"/>
      <c r="QWG585" s="536"/>
      <c r="QWH585" s="537"/>
      <c r="QWI585" s="538"/>
      <c r="QWJ585" s="539"/>
      <c r="QWK585" s="540"/>
      <c r="QWL585" s="209"/>
      <c r="QWM585" s="541"/>
      <c r="QWN585" s="541"/>
      <c r="QWO585" s="482"/>
      <c r="QWP585" s="173"/>
      <c r="QWQ585" s="173"/>
      <c r="QWR585" s="544"/>
      <c r="QWT585" s="148"/>
      <c r="QWU585" s="148"/>
      <c r="QWV585" s="149"/>
      <c r="QWW585" s="150"/>
      <c r="QWY585" s="152"/>
      <c r="QWZ585" s="542"/>
      <c r="QXA585" s="154"/>
      <c r="QXB585" s="175"/>
      <c r="QXD585" s="156"/>
      <c r="QXE585" s="287"/>
      <c r="QXF585" s="488"/>
      <c r="QXG585" s="489"/>
      <c r="QXH585" s="488"/>
      <c r="QXI585" s="300"/>
      <c r="QXJ585" s="543"/>
      <c r="QXK585" s="533"/>
      <c r="QXL585" s="534"/>
      <c r="QXM585" s="316"/>
      <c r="QXN585" s="316"/>
      <c r="QXO585" s="471"/>
      <c r="QXP585" s="472"/>
      <c r="QXQ585" s="471"/>
      <c r="QXR585" s="473"/>
      <c r="QXS585" s="313"/>
      <c r="QXT585" s="535"/>
      <c r="QXU585" s="536"/>
      <c r="QXV585" s="537"/>
      <c r="QXW585" s="538"/>
      <c r="QXX585" s="539"/>
      <c r="QXY585" s="540"/>
      <c r="QXZ585" s="209"/>
      <c r="QYA585" s="541"/>
      <c r="QYB585" s="541"/>
      <c r="QYC585" s="482"/>
      <c r="QYD585" s="173"/>
      <c r="QYE585" s="173"/>
      <c r="QYF585" s="544"/>
      <c r="QYH585" s="148"/>
      <c r="QYI585" s="148"/>
      <c r="QYJ585" s="149"/>
      <c r="QYK585" s="150"/>
      <c r="QYM585" s="152"/>
      <c r="QYN585" s="542"/>
      <c r="QYO585" s="154"/>
      <c r="QYP585" s="175"/>
      <c r="QYR585" s="156"/>
      <c r="QYS585" s="287"/>
      <c r="QYT585" s="488"/>
      <c r="QYU585" s="489"/>
      <c r="QYV585" s="488"/>
      <c r="QYW585" s="300"/>
      <c r="QYX585" s="543"/>
      <c r="QYY585" s="533"/>
      <c r="QYZ585" s="534"/>
      <c r="QZA585" s="316"/>
      <c r="QZB585" s="316"/>
      <c r="QZC585" s="471"/>
      <c r="QZD585" s="472"/>
      <c r="QZE585" s="471"/>
      <c r="QZF585" s="473"/>
      <c r="QZG585" s="313"/>
      <c r="QZH585" s="535"/>
      <c r="QZI585" s="536"/>
      <c r="QZJ585" s="537"/>
      <c r="QZK585" s="538"/>
      <c r="QZL585" s="539"/>
      <c r="QZM585" s="540"/>
      <c r="QZN585" s="209"/>
      <c r="QZO585" s="541"/>
      <c r="QZP585" s="541"/>
      <c r="QZQ585" s="482"/>
      <c r="QZR585" s="173"/>
      <c r="QZS585" s="173"/>
      <c r="QZT585" s="544"/>
      <c r="QZV585" s="148"/>
      <c r="QZW585" s="148"/>
      <c r="QZX585" s="149"/>
      <c r="QZY585" s="150"/>
      <c r="RAA585" s="152"/>
      <c r="RAB585" s="542"/>
      <c r="RAC585" s="154"/>
      <c r="RAD585" s="175"/>
      <c r="RAF585" s="156"/>
      <c r="RAG585" s="287"/>
      <c r="RAH585" s="488"/>
      <c r="RAI585" s="489"/>
      <c r="RAJ585" s="488"/>
      <c r="RAK585" s="300"/>
      <c r="RAL585" s="543"/>
      <c r="RAM585" s="533"/>
      <c r="RAN585" s="534"/>
      <c r="RAO585" s="316"/>
      <c r="RAP585" s="316"/>
      <c r="RAQ585" s="471"/>
      <c r="RAR585" s="472"/>
      <c r="RAS585" s="471"/>
      <c r="RAT585" s="473"/>
      <c r="RAU585" s="313"/>
      <c r="RAV585" s="535"/>
      <c r="RAW585" s="536"/>
      <c r="RAX585" s="537"/>
      <c r="RAY585" s="538"/>
      <c r="RAZ585" s="539"/>
      <c r="RBA585" s="540"/>
      <c r="RBB585" s="209"/>
      <c r="RBC585" s="541"/>
      <c r="RBD585" s="541"/>
      <c r="RBE585" s="482"/>
      <c r="RBF585" s="173"/>
      <c r="RBG585" s="173"/>
      <c r="RBH585" s="544"/>
      <c r="RBJ585" s="148"/>
      <c r="RBK585" s="148"/>
      <c r="RBL585" s="149"/>
      <c r="RBM585" s="150"/>
      <c r="RBO585" s="152"/>
      <c r="RBP585" s="542"/>
      <c r="RBQ585" s="154"/>
      <c r="RBR585" s="175"/>
      <c r="RBT585" s="156"/>
      <c r="RBU585" s="287"/>
      <c r="RBV585" s="488"/>
      <c r="RBW585" s="489"/>
      <c r="RBX585" s="488"/>
      <c r="RBY585" s="300"/>
      <c r="RBZ585" s="543"/>
      <c r="RCA585" s="533"/>
      <c r="RCB585" s="534"/>
      <c r="RCC585" s="316"/>
      <c r="RCD585" s="316"/>
      <c r="RCE585" s="471"/>
      <c r="RCF585" s="472"/>
      <c r="RCG585" s="471"/>
      <c r="RCH585" s="473"/>
      <c r="RCI585" s="313"/>
      <c r="RCJ585" s="535"/>
      <c r="RCK585" s="536"/>
      <c r="RCL585" s="537"/>
      <c r="RCM585" s="538"/>
      <c r="RCN585" s="539"/>
      <c r="RCO585" s="540"/>
      <c r="RCP585" s="209"/>
      <c r="RCQ585" s="541"/>
      <c r="RCR585" s="541"/>
      <c r="RCS585" s="482"/>
      <c r="RCT585" s="173"/>
      <c r="RCU585" s="173"/>
      <c r="RCV585" s="544"/>
      <c r="RCX585" s="148"/>
      <c r="RCY585" s="148"/>
      <c r="RCZ585" s="149"/>
      <c r="RDA585" s="150"/>
      <c r="RDC585" s="152"/>
      <c r="RDD585" s="542"/>
      <c r="RDE585" s="154"/>
      <c r="RDF585" s="175"/>
      <c r="RDH585" s="156"/>
      <c r="RDI585" s="287"/>
      <c r="RDJ585" s="488"/>
      <c r="RDK585" s="489"/>
      <c r="RDL585" s="488"/>
      <c r="RDM585" s="300"/>
      <c r="RDN585" s="543"/>
      <c r="RDO585" s="533"/>
      <c r="RDP585" s="534"/>
      <c r="RDQ585" s="316"/>
      <c r="RDR585" s="316"/>
      <c r="RDS585" s="471"/>
      <c r="RDT585" s="472"/>
      <c r="RDU585" s="471"/>
      <c r="RDV585" s="473"/>
      <c r="RDW585" s="313"/>
      <c r="RDX585" s="535"/>
      <c r="RDY585" s="536"/>
      <c r="RDZ585" s="537"/>
      <c r="REA585" s="538"/>
      <c r="REB585" s="539"/>
      <c r="REC585" s="540"/>
      <c r="RED585" s="209"/>
      <c r="REE585" s="541"/>
      <c r="REF585" s="541"/>
      <c r="REG585" s="482"/>
      <c r="REH585" s="173"/>
      <c r="REI585" s="173"/>
      <c r="REJ585" s="544"/>
      <c r="REL585" s="148"/>
      <c r="REM585" s="148"/>
      <c r="REN585" s="149"/>
      <c r="REO585" s="150"/>
      <c r="REQ585" s="152"/>
      <c r="RER585" s="542"/>
      <c r="RES585" s="154"/>
      <c r="RET585" s="175"/>
      <c r="REV585" s="156"/>
      <c r="REW585" s="287"/>
      <c r="REX585" s="488"/>
      <c r="REY585" s="489"/>
      <c r="REZ585" s="488"/>
      <c r="RFA585" s="300"/>
      <c r="RFB585" s="543"/>
      <c r="RFC585" s="533"/>
      <c r="RFD585" s="534"/>
      <c r="RFE585" s="316"/>
      <c r="RFF585" s="316"/>
      <c r="RFG585" s="471"/>
      <c r="RFH585" s="472"/>
      <c r="RFI585" s="471"/>
      <c r="RFJ585" s="473"/>
      <c r="RFK585" s="313"/>
      <c r="RFL585" s="535"/>
      <c r="RFM585" s="536"/>
      <c r="RFN585" s="537"/>
      <c r="RFO585" s="538"/>
      <c r="RFP585" s="539"/>
      <c r="RFQ585" s="540"/>
      <c r="RFR585" s="209"/>
      <c r="RFS585" s="541"/>
      <c r="RFT585" s="541"/>
      <c r="RFU585" s="482"/>
      <c r="RFV585" s="173"/>
      <c r="RFW585" s="173"/>
      <c r="RFX585" s="544"/>
      <c r="RFZ585" s="148"/>
      <c r="RGA585" s="148"/>
      <c r="RGB585" s="149"/>
      <c r="RGC585" s="150"/>
      <c r="RGE585" s="152"/>
      <c r="RGF585" s="542"/>
      <c r="RGG585" s="154"/>
      <c r="RGH585" s="175"/>
      <c r="RGJ585" s="156"/>
      <c r="RGK585" s="287"/>
      <c r="RGL585" s="488"/>
      <c r="RGM585" s="489"/>
      <c r="RGN585" s="488"/>
      <c r="RGO585" s="300"/>
      <c r="RGP585" s="543"/>
      <c r="RGQ585" s="533"/>
      <c r="RGR585" s="534"/>
      <c r="RGS585" s="316"/>
      <c r="RGT585" s="316"/>
      <c r="RGU585" s="471"/>
      <c r="RGV585" s="472"/>
      <c r="RGW585" s="471"/>
      <c r="RGX585" s="473"/>
      <c r="RGY585" s="313"/>
      <c r="RGZ585" s="535"/>
      <c r="RHA585" s="536"/>
      <c r="RHB585" s="537"/>
      <c r="RHC585" s="538"/>
      <c r="RHD585" s="539"/>
      <c r="RHE585" s="540"/>
      <c r="RHF585" s="209"/>
      <c r="RHG585" s="541"/>
      <c r="RHH585" s="541"/>
      <c r="RHI585" s="482"/>
      <c r="RHJ585" s="173"/>
      <c r="RHK585" s="173"/>
      <c r="RHL585" s="544"/>
      <c r="RHN585" s="148"/>
      <c r="RHO585" s="148"/>
      <c r="RHP585" s="149"/>
      <c r="RHQ585" s="150"/>
      <c r="RHS585" s="152"/>
      <c r="RHT585" s="542"/>
      <c r="RHU585" s="154"/>
      <c r="RHV585" s="175"/>
      <c r="RHX585" s="156"/>
      <c r="RHY585" s="287"/>
      <c r="RHZ585" s="488"/>
      <c r="RIA585" s="489"/>
      <c r="RIB585" s="488"/>
      <c r="RIC585" s="300"/>
      <c r="RID585" s="543"/>
      <c r="RIE585" s="533"/>
      <c r="RIF585" s="534"/>
      <c r="RIG585" s="316"/>
      <c r="RIH585" s="316"/>
      <c r="RII585" s="471"/>
      <c r="RIJ585" s="472"/>
      <c r="RIK585" s="471"/>
      <c r="RIL585" s="473"/>
      <c r="RIM585" s="313"/>
      <c r="RIN585" s="535"/>
      <c r="RIO585" s="536"/>
      <c r="RIP585" s="537"/>
      <c r="RIQ585" s="538"/>
      <c r="RIR585" s="539"/>
      <c r="RIS585" s="540"/>
      <c r="RIT585" s="209"/>
      <c r="RIU585" s="541"/>
      <c r="RIV585" s="541"/>
      <c r="RIW585" s="482"/>
      <c r="RIX585" s="173"/>
      <c r="RIY585" s="173"/>
      <c r="RIZ585" s="544"/>
      <c r="RJB585" s="148"/>
      <c r="RJC585" s="148"/>
      <c r="RJD585" s="149"/>
      <c r="RJE585" s="150"/>
      <c r="RJG585" s="152"/>
      <c r="RJH585" s="542"/>
      <c r="RJI585" s="154"/>
      <c r="RJJ585" s="175"/>
      <c r="RJL585" s="156"/>
      <c r="RJM585" s="287"/>
      <c r="RJN585" s="488"/>
      <c r="RJO585" s="489"/>
      <c r="RJP585" s="488"/>
      <c r="RJQ585" s="300"/>
      <c r="RJR585" s="543"/>
      <c r="RJS585" s="533"/>
      <c r="RJT585" s="534"/>
      <c r="RJU585" s="316"/>
      <c r="RJV585" s="316"/>
      <c r="RJW585" s="471"/>
      <c r="RJX585" s="472"/>
      <c r="RJY585" s="471"/>
      <c r="RJZ585" s="473"/>
      <c r="RKA585" s="313"/>
      <c r="RKB585" s="535"/>
      <c r="RKC585" s="536"/>
      <c r="RKD585" s="537"/>
      <c r="RKE585" s="538"/>
      <c r="RKF585" s="539"/>
      <c r="RKG585" s="540"/>
      <c r="RKH585" s="209"/>
      <c r="RKI585" s="541"/>
      <c r="RKJ585" s="541"/>
      <c r="RKK585" s="482"/>
      <c r="RKL585" s="173"/>
      <c r="RKM585" s="173"/>
      <c r="RKN585" s="544"/>
      <c r="RKP585" s="148"/>
      <c r="RKQ585" s="148"/>
      <c r="RKR585" s="149"/>
      <c r="RKS585" s="150"/>
      <c r="RKU585" s="152"/>
      <c r="RKV585" s="542"/>
      <c r="RKW585" s="154"/>
      <c r="RKX585" s="175"/>
      <c r="RKZ585" s="156"/>
      <c r="RLA585" s="287"/>
      <c r="RLB585" s="488"/>
      <c r="RLC585" s="489"/>
      <c r="RLD585" s="488"/>
      <c r="RLE585" s="300"/>
      <c r="RLF585" s="543"/>
      <c r="RLG585" s="533"/>
      <c r="RLH585" s="534"/>
      <c r="RLI585" s="316"/>
      <c r="RLJ585" s="316"/>
      <c r="RLK585" s="471"/>
      <c r="RLL585" s="472"/>
      <c r="RLM585" s="471"/>
      <c r="RLN585" s="473"/>
      <c r="RLO585" s="313"/>
      <c r="RLP585" s="535"/>
      <c r="RLQ585" s="536"/>
      <c r="RLR585" s="537"/>
      <c r="RLS585" s="538"/>
      <c r="RLT585" s="539"/>
      <c r="RLU585" s="540"/>
      <c r="RLV585" s="209"/>
      <c r="RLW585" s="541"/>
      <c r="RLX585" s="541"/>
      <c r="RLY585" s="482"/>
      <c r="RLZ585" s="173"/>
      <c r="RMA585" s="173"/>
      <c r="RMB585" s="544"/>
      <c r="RMD585" s="148"/>
      <c r="RME585" s="148"/>
      <c r="RMF585" s="149"/>
      <c r="RMG585" s="150"/>
      <c r="RMI585" s="152"/>
      <c r="RMJ585" s="542"/>
      <c r="RMK585" s="154"/>
      <c r="RML585" s="175"/>
      <c r="RMN585" s="156"/>
      <c r="RMO585" s="287"/>
      <c r="RMP585" s="488"/>
      <c r="RMQ585" s="489"/>
      <c r="RMR585" s="488"/>
      <c r="RMS585" s="300"/>
      <c r="RMT585" s="543"/>
      <c r="RMU585" s="533"/>
      <c r="RMV585" s="534"/>
      <c r="RMW585" s="316"/>
      <c r="RMX585" s="316"/>
      <c r="RMY585" s="471"/>
      <c r="RMZ585" s="472"/>
      <c r="RNA585" s="471"/>
      <c r="RNB585" s="473"/>
      <c r="RNC585" s="313"/>
      <c r="RND585" s="535"/>
      <c r="RNE585" s="536"/>
      <c r="RNF585" s="537"/>
      <c r="RNG585" s="538"/>
      <c r="RNH585" s="539"/>
      <c r="RNI585" s="540"/>
      <c r="RNJ585" s="209"/>
      <c r="RNK585" s="541"/>
      <c r="RNL585" s="541"/>
      <c r="RNM585" s="482"/>
      <c r="RNN585" s="173"/>
      <c r="RNO585" s="173"/>
      <c r="RNP585" s="544"/>
      <c r="RNR585" s="148"/>
      <c r="RNS585" s="148"/>
      <c r="RNT585" s="149"/>
      <c r="RNU585" s="150"/>
      <c r="RNW585" s="152"/>
      <c r="RNX585" s="542"/>
      <c r="RNY585" s="154"/>
      <c r="RNZ585" s="175"/>
      <c r="ROB585" s="156"/>
      <c r="ROC585" s="287"/>
      <c r="ROD585" s="488"/>
      <c r="ROE585" s="489"/>
      <c r="ROF585" s="488"/>
      <c r="ROG585" s="300"/>
      <c r="ROH585" s="543"/>
      <c r="ROI585" s="533"/>
      <c r="ROJ585" s="534"/>
      <c r="ROK585" s="316"/>
      <c r="ROL585" s="316"/>
      <c r="ROM585" s="471"/>
      <c r="RON585" s="472"/>
      <c r="ROO585" s="471"/>
      <c r="ROP585" s="473"/>
      <c r="ROQ585" s="313"/>
      <c r="ROR585" s="535"/>
      <c r="ROS585" s="536"/>
      <c r="ROT585" s="537"/>
      <c r="ROU585" s="538"/>
      <c r="ROV585" s="539"/>
      <c r="ROW585" s="540"/>
      <c r="ROX585" s="209"/>
      <c r="ROY585" s="541"/>
      <c r="ROZ585" s="541"/>
      <c r="RPA585" s="482"/>
      <c r="RPB585" s="173"/>
      <c r="RPC585" s="173"/>
      <c r="RPD585" s="544"/>
      <c r="RPF585" s="148"/>
      <c r="RPG585" s="148"/>
      <c r="RPH585" s="149"/>
      <c r="RPI585" s="150"/>
      <c r="RPK585" s="152"/>
      <c r="RPL585" s="542"/>
      <c r="RPM585" s="154"/>
      <c r="RPN585" s="175"/>
      <c r="RPP585" s="156"/>
      <c r="RPQ585" s="287"/>
      <c r="RPR585" s="488"/>
      <c r="RPS585" s="489"/>
      <c r="RPT585" s="488"/>
      <c r="RPU585" s="300"/>
      <c r="RPV585" s="543"/>
      <c r="RPW585" s="533"/>
      <c r="RPX585" s="534"/>
      <c r="RPY585" s="316"/>
      <c r="RPZ585" s="316"/>
      <c r="RQA585" s="471"/>
      <c r="RQB585" s="472"/>
      <c r="RQC585" s="471"/>
      <c r="RQD585" s="473"/>
      <c r="RQE585" s="313"/>
      <c r="RQF585" s="535"/>
      <c r="RQG585" s="536"/>
      <c r="RQH585" s="537"/>
      <c r="RQI585" s="538"/>
      <c r="RQJ585" s="539"/>
      <c r="RQK585" s="540"/>
      <c r="RQL585" s="209"/>
      <c r="RQM585" s="541"/>
      <c r="RQN585" s="541"/>
      <c r="RQO585" s="482"/>
      <c r="RQP585" s="173"/>
      <c r="RQQ585" s="173"/>
      <c r="RQR585" s="544"/>
      <c r="RQT585" s="148"/>
      <c r="RQU585" s="148"/>
      <c r="RQV585" s="149"/>
      <c r="RQW585" s="150"/>
      <c r="RQY585" s="152"/>
      <c r="RQZ585" s="542"/>
      <c r="RRA585" s="154"/>
      <c r="RRB585" s="175"/>
      <c r="RRD585" s="156"/>
      <c r="RRE585" s="287"/>
      <c r="RRF585" s="488"/>
      <c r="RRG585" s="489"/>
      <c r="RRH585" s="488"/>
      <c r="RRI585" s="300"/>
      <c r="RRJ585" s="543"/>
      <c r="RRK585" s="533"/>
      <c r="RRL585" s="534"/>
      <c r="RRM585" s="316"/>
      <c r="RRN585" s="316"/>
      <c r="RRO585" s="471"/>
      <c r="RRP585" s="472"/>
      <c r="RRQ585" s="471"/>
      <c r="RRR585" s="473"/>
      <c r="RRS585" s="313"/>
      <c r="RRT585" s="535"/>
      <c r="RRU585" s="536"/>
      <c r="RRV585" s="537"/>
      <c r="RRW585" s="538"/>
      <c r="RRX585" s="539"/>
      <c r="RRY585" s="540"/>
      <c r="RRZ585" s="209"/>
      <c r="RSA585" s="541"/>
      <c r="RSB585" s="541"/>
      <c r="RSC585" s="482"/>
      <c r="RSD585" s="173"/>
      <c r="RSE585" s="173"/>
      <c r="RSF585" s="544"/>
      <c r="RSH585" s="148"/>
      <c r="RSI585" s="148"/>
      <c r="RSJ585" s="149"/>
      <c r="RSK585" s="150"/>
      <c r="RSM585" s="152"/>
      <c r="RSN585" s="542"/>
      <c r="RSO585" s="154"/>
      <c r="RSP585" s="175"/>
      <c r="RSR585" s="156"/>
      <c r="RSS585" s="287"/>
      <c r="RST585" s="488"/>
      <c r="RSU585" s="489"/>
      <c r="RSV585" s="488"/>
      <c r="RSW585" s="300"/>
      <c r="RSX585" s="543"/>
      <c r="RSY585" s="533"/>
      <c r="RSZ585" s="534"/>
      <c r="RTA585" s="316"/>
      <c r="RTB585" s="316"/>
      <c r="RTC585" s="471"/>
      <c r="RTD585" s="472"/>
      <c r="RTE585" s="471"/>
      <c r="RTF585" s="473"/>
      <c r="RTG585" s="313"/>
      <c r="RTH585" s="535"/>
      <c r="RTI585" s="536"/>
      <c r="RTJ585" s="537"/>
      <c r="RTK585" s="538"/>
      <c r="RTL585" s="539"/>
      <c r="RTM585" s="540"/>
      <c r="RTN585" s="209"/>
      <c r="RTO585" s="541"/>
      <c r="RTP585" s="541"/>
      <c r="RTQ585" s="482"/>
      <c r="RTR585" s="173"/>
      <c r="RTS585" s="173"/>
      <c r="RTT585" s="544"/>
      <c r="RTV585" s="148"/>
      <c r="RTW585" s="148"/>
      <c r="RTX585" s="149"/>
      <c r="RTY585" s="150"/>
      <c r="RUA585" s="152"/>
      <c r="RUB585" s="542"/>
      <c r="RUC585" s="154"/>
      <c r="RUD585" s="175"/>
      <c r="RUF585" s="156"/>
      <c r="RUG585" s="287"/>
      <c r="RUH585" s="488"/>
      <c r="RUI585" s="489"/>
      <c r="RUJ585" s="488"/>
      <c r="RUK585" s="300"/>
      <c r="RUL585" s="543"/>
      <c r="RUM585" s="533"/>
      <c r="RUN585" s="534"/>
      <c r="RUO585" s="316"/>
      <c r="RUP585" s="316"/>
      <c r="RUQ585" s="471"/>
      <c r="RUR585" s="472"/>
      <c r="RUS585" s="471"/>
      <c r="RUT585" s="473"/>
      <c r="RUU585" s="313"/>
      <c r="RUV585" s="535"/>
      <c r="RUW585" s="536"/>
      <c r="RUX585" s="537"/>
      <c r="RUY585" s="538"/>
      <c r="RUZ585" s="539"/>
      <c r="RVA585" s="540"/>
      <c r="RVB585" s="209"/>
      <c r="RVC585" s="541"/>
      <c r="RVD585" s="541"/>
      <c r="RVE585" s="482"/>
      <c r="RVF585" s="173"/>
      <c r="RVG585" s="173"/>
      <c r="RVH585" s="544"/>
      <c r="RVJ585" s="148"/>
      <c r="RVK585" s="148"/>
      <c r="RVL585" s="149"/>
      <c r="RVM585" s="150"/>
      <c r="RVO585" s="152"/>
      <c r="RVP585" s="542"/>
      <c r="RVQ585" s="154"/>
      <c r="RVR585" s="175"/>
      <c r="RVT585" s="156"/>
      <c r="RVU585" s="287"/>
      <c r="RVV585" s="488"/>
      <c r="RVW585" s="489"/>
      <c r="RVX585" s="488"/>
      <c r="RVY585" s="300"/>
      <c r="RVZ585" s="543"/>
      <c r="RWA585" s="533"/>
      <c r="RWB585" s="534"/>
      <c r="RWC585" s="316"/>
      <c r="RWD585" s="316"/>
      <c r="RWE585" s="471"/>
      <c r="RWF585" s="472"/>
      <c r="RWG585" s="471"/>
      <c r="RWH585" s="473"/>
      <c r="RWI585" s="313"/>
      <c r="RWJ585" s="535"/>
      <c r="RWK585" s="536"/>
      <c r="RWL585" s="537"/>
      <c r="RWM585" s="538"/>
      <c r="RWN585" s="539"/>
      <c r="RWO585" s="540"/>
      <c r="RWP585" s="209"/>
      <c r="RWQ585" s="541"/>
      <c r="RWR585" s="541"/>
      <c r="RWS585" s="482"/>
      <c r="RWT585" s="173"/>
      <c r="RWU585" s="173"/>
      <c r="RWV585" s="544"/>
      <c r="RWX585" s="148"/>
      <c r="RWY585" s="148"/>
      <c r="RWZ585" s="149"/>
      <c r="RXA585" s="150"/>
      <c r="RXC585" s="152"/>
      <c r="RXD585" s="542"/>
      <c r="RXE585" s="154"/>
      <c r="RXF585" s="175"/>
      <c r="RXH585" s="156"/>
      <c r="RXI585" s="287"/>
      <c r="RXJ585" s="488"/>
      <c r="RXK585" s="489"/>
      <c r="RXL585" s="488"/>
      <c r="RXM585" s="300"/>
      <c r="RXN585" s="543"/>
      <c r="RXO585" s="533"/>
      <c r="RXP585" s="534"/>
      <c r="RXQ585" s="316"/>
      <c r="RXR585" s="316"/>
      <c r="RXS585" s="471"/>
      <c r="RXT585" s="472"/>
      <c r="RXU585" s="471"/>
      <c r="RXV585" s="473"/>
      <c r="RXW585" s="313"/>
      <c r="RXX585" s="535"/>
      <c r="RXY585" s="536"/>
      <c r="RXZ585" s="537"/>
      <c r="RYA585" s="538"/>
      <c r="RYB585" s="539"/>
      <c r="RYC585" s="540"/>
      <c r="RYD585" s="209"/>
      <c r="RYE585" s="541"/>
      <c r="RYF585" s="541"/>
      <c r="RYG585" s="482"/>
      <c r="RYH585" s="173"/>
      <c r="RYI585" s="173"/>
      <c r="RYJ585" s="544"/>
      <c r="RYL585" s="148"/>
      <c r="RYM585" s="148"/>
      <c r="RYN585" s="149"/>
      <c r="RYO585" s="150"/>
      <c r="RYQ585" s="152"/>
      <c r="RYR585" s="542"/>
      <c r="RYS585" s="154"/>
      <c r="RYT585" s="175"/>
      <c r="RYV585" s="156"/>
      <c r="RYW585" s="287"/>
      <c r="RYX585" s="488"/>
      <c r="RYY585" s="489"/>
      <c r="RYZ585" s="488"/>
      <c r="RZA585" s="300"/>
      <c r="RZB585" s="543"/>
      <c r="RZC585" s="533"/>
      <c r="RZD585" s="534"/>
      <c r="RZE585" s="316"/>
      <c r="RZF585" s="316"/>
      <c r="RZG585" s="471"/>
      <c r="RZH585" s="472"/>
      <c r="RZI585" s="471"/>
      <c r="RZJ585" s="473"/>
      <c r="RZK585" s="313"/>
      <c r="RZL585" s="535"/>
      <c r="RZM585" s="536"/>
      <c r="RZN585" s="537"/>
      <c r="RZO585" s="538"/>
      <c r="RZP585" s="539"/>
      <c r="RZQ585" s="540"/>
      <c r="RZR585" s="209"/>
      <c r="RZS585" s="541"/>
      <c r="RZT585" s="541"/>
      <c r="RZU585" s="482"/>
      <c r="RZV585" s="173"/>
      <c r="RZW585" s="173"/>
      <c r="RZX585" s="544"/>
      <c r="RZZ585" s="148"/>
      <c r="SAA585" s="148"/>
      <c r="SAB585" s="149"/>
      <c r="SAC585" s="150"/>
      <c r="SAE585" s="152"/>
      <c r="SAF585" s="542"/>
      <c r="SAG585" s="154"/>
      <c r="SAH585" s="175"/>
      <c r="SAJ585" s="156"/>
      <c r="SAK585" s="287"/>
      <c r="SAL585" s="488"/>
      <c r="SAM585" s="489"/>
      <c r="SAN585" s="488"/>
      <c r="SAO585" s="300"/>
      <c r="SAP585" s="543"/>
      <c r="SAQ585" s="533"/>
      <c r="SAR585" s="534"/>
      <c r="SAS585" s="316"/>
      <c r="SAT585" s="316"/>
      <c r="SAU585" s="471"/>
      <c r="SAV585" s="472"/>
      <c r="SAW585" s="471"/>
      <c r="SAX585" s="473"/>
      <c r="SAY585" s="313"/>
      <c r="SAZ585" s="535"/>
      <c r="SBA585" s="536"/>
      <c r="SBB585" s="537"/>
      <c r="SBC585" s="538"/>
      <c r="SBD585" s="539"/>
      <c r="SBE585" s="540"/>
      <c r="SBF585" s="209"/>
      <c r="SBG585" s="541"/>
      <c r="SBH585" s="541"/>
      <c r="SBI585" s="482"/>
      <c r="SBJ585" s="173"/>
      <c r="SBK585" s="173"/>
      <c r="SBL585" s="544"/>
      <c r="SBN585" s="148"/>
      <c r="SBO585" s="148"/>
      <c r="SBP585" s="149"/>
      <c r="SBQ585" s="150"/>
      <c r="SBS585" s="152"/>
      <c r="SBT585" s="542"/>
      <c r="SBU585" s="154"/>
      <c r="SBV585" s="175"/>
      <c r="SBX585" s="156"/>
      <c r="SBY585" s="287"/>
      <c r="SBZ585" s="488"/>
      <c r="SCA585" s="489"/>
      <c r="SCB585" s="488"/>
      <c r="SCC585" s="300"/>
      <c r="SCD585" s="543"/>
      <c r="SCE585" s="533"/>
      <c r="SCF585" s="534"/>
      <c r="SCG585" s="316"/>
      <c r="SCH585" s="316"/>
      <c r="SCI585" s="471"/>
      <c r="SCJ585" s="472"/>
      <c r="SCK585" s="471"/>
      <c r="SCL585" s="473"/>
      <c r="SCM585" s="313"/>
      <c r="SCN585" s="535"/>
      <c r="SCO585" s="536"/>
      <c r="SCP585" s="537"/>
      <c r="SCQ585" s="538"/>
      <c r="SCR585" s="539"/>
      <c r="SCS585" s="540"/>
      <c r="SCT585" s="209"/>
      <c r="SCU585" s="541"/>
      <c r="SCV585" s="541"/>
      <c r="SCW585" s="482"/>
      <c r="SCX585" s="173"/>
      <c r="SCY585" s="173"/>
      <c r="SCZ585" s="544"/>
      <c r="SDB585" s="148"/>
      <c r="SDC585" s="148"/>
      <c r="SDD585" s="149"/>
      <c r="SDE585" s="150"/>
      <c r="SDG585" s="152"/>
      <c r="SDH585" s="542"/>
      <c r="SDI585" s="154"/>
      <c r="SDJ585" s="175"/>
      <c r="SDL585" s="156"/>
      <c r="SDM585" s="287"/>
      <c r="SDN585" s="488"/>
      <c r="SDO585" s="489"/>
      <c r="SDP585" s="488"/>
      <c r="SDQ585" s="300"/>
      <c r="SDR585" s="543"/>
      <c r="SDS585" s="533"/>
      <c r="SDT585" s="534"/>
      <c r="SDU585" s="316"/>
      <c r="SDV585" s="316"/>
      <c r="SDW585" s="471"/>
      <c r="SDX585" s="472"/>
      <c r="SDY585" s="471"/>
      <c r="SDZ585" s="473"/>
      <c r="SEA585" s="313"/>
      <c r="SEB585" s="535"/>
      <c r="SEC585" s="536"/>
      <c r="SED585" s="537"/>
      <c r="SEE585" s="538"/>
      <c r="SEF585" s="539"/>
      <c r="SEG585" s="540"/>
      <c r="SEH585" s="209"/>
      <c r="SEI585" s="541"/>
      <c r="SEJ585" s="541"/>
      <c r="SEK585" s="482"/>
      <c r="SEL585" s="173"/>
      <c r="SEM585" s="173"/>
      <c r="SEN585" s="544"/>
      <c r="SEP585" s="148"/>
      <c r="SEQ585" s="148"/>
      <c r="SER585" s="149"/>
      <c r="SES585" s="150"/>
      <c r="SEU585" s="152"/>
      <c r="SEV585" s="542"/>
      <c r="SEW585" s="154"/>
      <c r="SEX585" s="175"/>
      <c r="SEZ585" s="156"/>
      <c r="SFA585" s="287"/>
      <c r="SFB585" s="488"/>
      <c r="SFC585" s="489"/>
      <c r="SFD585" s="488"/>
      <c r="SFE585" s="300"/>
      <c r="SFF585" s="543"/>
      <c r="SFG585" s="533"/>
      <c r="SFH585" s="534"/>
      <c r="SFI585" s="316"/>
      <c r="SFJ585" s="316"/>
      <c r="SFK585" s="471"/>
      <c r="SFL585" s="472"/>
      <c r="SFM585" s="471"/>
      <c r="SFN585" s="473"/>
      <c r="SFO585" s="313"/>
      <c r="SFP585" s="535"/>
      <c r="SFQ585" s="536"/>
      <c r="SFR585" s="537"/>
      <c r="SFS585" s="538"/>
      <c r="SFT585" s="539"/>
      <c r="SFU585" s="540"/>
      <c r="SFV585" s="209"/>
      <c r="SFW585" s="541"/>
      <c r="SFX585" s="541"/>
      <c r="SFY585" s="482"/>
      <c r="SFZ585" s="173"/>
      <c r="SGA585" s="173"/>
      <c r="SGB585" s="544"/>
      <c r="SGD585" s="148"/>
      <c r="SGE585" s="148"/>
      <c r="SGF585" s="149"/>
      <c r="SGG585" s="150"/>
      <c r="SGI585" s="152"/>
      <c r="SGJ585" s="542"/>
      <c r="SGK585" s="154"/>
      <c r="SGL585" s="175"/>
      <c r="SGN585" s="156"/>
      <c r="SGO585" s="287"/>
      <c r="SGP585" s="488"/>
      <c r="SGQ585" s="489"/>
      <c r="SGR585" s="488"/>
      <c r="SGS585" s="300"/>
      <c r="SGT585" s="543"/>
      <c r="SGU585" s="533"/>
      <c r="SGV585" s="534"/>
      <c r="SGW585" s="316"/>
      <c r="SGX585" s="316"/>
      <c r="SGY585" s="471"/>
      <c r="SGZ585" s="472"/>
      <c r="SHA585" s="471"/>
      <c r="SHB585" s="473"/>
      <c r="SHC585" s="313"/>
      <c r="SHD585" s="535"/>
      <c r="SHE585" s="536"/>
      <c r="SHF585" s="537"/>
      <c r="SHG585" s="538"/>
      <c r="SHH585" s="539"/>
      <c r="SHI585" s="540"/>
      <c r="SHJ585" s="209"/>
      <c r="SHK585" s="541"/>
      <c r="SHL585" s="541"/>
      <c r="SHM585" s="482"/>
      <c r="SHN585" s="173"/>
      <c r="SHO585" s="173"/>
      <c r="SHP585" s="544"/>
      <c r="SHR585" s="148"/>
      <c r="SHS585" s="148"/>
      <c r="SHT585" s="149"/>
      <c r="SHU585" s="150"/>
      <c r="SHW585" s="152"/>
      <c r="SHX585" s="542"/>
      <c r="SHY585" s="154"/>
      <c r="SHZ585" s="175"/>
      <c r="SIB585" s="156"/>
      <c r="SIC585" s="287"/>
      <c r="SID585" s="488"/>
      <c r="SIE585" s="489"/>
      <c r="SIF585" s="488"/>
      <c r="SIG585" s="300"/>
      <c r="SIH585" s="543"/>
      <c r="SII585" s="533"/>
      <c r="SIJ585" s="534"/>
      <c r="SIK585" s="316"/>
      <c r="SIL585" s="316"/>
      <c r="SIM585" s="471"/>
      <c r="SIN585" s="472"/>
      <c r="SIO585" s="471"/>
      <c r="SIP585" s="473"/>
      <c r="SIQ585" s="313"/>
      <c r="SIR585" s="535"/>
      <c r="SIS585" s="536"/>
      <c r="SIT585" s="537"/>
      <c r="SIU585" s="538"/>
      <c r="SIV585" s="539"/>
      <c r="SIW585" s="540"/>
      <c r="SIX585" s="209"/>
      <c r="SIY585" s="541"/>
      <c r="SIZ585" s="541"/>
      <c r="SJA585" s="482"/>
      <c r="SJB585" s="173"/>
      <c r="SJC585" s="173"/>
      <c r="SJD585" s="544"/>
      <c r="SJF585" s="148"/>
      <c r="SJG585" s="148"/>
      <c r="SJH585" s="149"/>
      <c r="SJI585" s="150"/>
      <c r="SJK585" s="152"/>
      <c r="SJL585" s="542"/>
      <c r="SJM585" s="154"/>
      <c r="SJN585" s="175"/>
      <c r="SJP585" s="156"/>
      <c r="SJQ585" s="287"/>
      <c r="SJR585" s="488"/>
      <c r="SJS585" s="489"/>
      <c r="SJT585" s="488"/>
      <c r="SJU585" s="300"/>
      <c r="SJV585" s="543"/>
      <c r="SJW585" s="533"/>
      <c r="SJX585" s="534"/>
      <c r="SJY585" s="316"/>
      <c r="SJZ585" s="316"/>
      <c r="SKA585" s="471"/>
      <c r="SKB585" s="472"/>
      <c r="SKC585" s="471"/>
      <c r="SKD585" s="473"/>
      <c r="SKE585" s="313"/>
      <c r="SKF585" s="535"/>
      <c r="SKG585" s="536"/>
      <c r="SKH585" s="537"/>
      <c r="SKI585" s="538"/>
      <c r="SKJ585" s="539"/>
      <c r="SKK585" s="540"/>
      <c r="SKL585" s="209"/>
      <c r="SKM585" s="541"/>
      <c r="SKN585" s="541"/>
      <c r="SKO585" s="482"/>
      <c r="SKP585" s="173"/>
      <c r="SKQ585" s="173"/>
      <c r="SKR585" s="544"/>
      <c r="SKT585" s="148"/>
      <c r="SKU585" s="148"/>
      <c r="SKV585" s="149"/>
      <c r="SKW585" s="150"/>
      <c r="SKY585" s="152"/>
      <c r="SKZ585" s="542"/>
      <c r="SLA585" s="154"/>
      <c r="SLB585" s="175"/>
      <c r="SLD585" s="156"/>
      <c r="SLE585" s="287"/>
      <c r="SLF585" s="488"/>
      <c r="SLG585" s="489"/>
      <c r="SLH585" s="488"/>
      <c r="SLI585" s="300"/>
      <c r="SLJ585" s="543"/>
      <c r="SLK585" s="533"/>
      <c r="SLL585" s="534"/>
      <c r="SLM585" s="316"/>
      <c r="SLN585" s="316"/>
      <c r="SLO585" s="471"/>
      <c r="SLP585" s="472"/>
      <c r="SLQ585" s="471"/>
      <c r="SLR585" s="473"/>
      <c r="SLS585" s="313"/>
      <c r="SLT585" s="535"/>
      <c r="SLU585" s="536"/>
      <c r="SLV585" s="537"/>
      <c r="SLW585" s="538"/>
      <c r="SLX585" s="539"/>
      <c r="SLY585" s="540"/>
      <c r="SLZ585" s="209"/>
      <c r="SMA585" s="541"/>
      <c r="SMB585" s="541"/>
      <c r="SMC585" s="482"/>
      <c r="SMD585" s="173"/>
      <c r="SME585" s="173"/>
      <c r="SMF585" s="544"/>
      <c r="SMH585" s="148"/>
      <c r="SMI585" s="148"/>
      <c r="SMJ585" s="149"/>
      <c r="SMK585" s="150"/>
      <c r="SMM585" s="152"/>
      <c r="SMN585" s="542"/>
      <c r="SMO585" s="154"/>
      <c r="SMP585" s="175"/>
      <c r="SMR585" s="156"/>
      <c r="SMS585" s="287"/>
      <c r="SMT585" s="488"/>
      <c r="SMU585" s="489"/>
      <c r="SMV585" s="488"/>
      <c r="SMW585" s="300"/>
      <c r="SMX585" s="543"/>
      <c r="SMY585" s="533"/>
      <c r="SMZ585" s="534"/>
      <c r="SNA585" s="316"/>
      <c r="SNB585" s="316"/>
      <c r="SNC585" s="471"/>
      <c r="SND585" s="472"/>
      <c r="SNE585" s="471"/>
      <c r="SNF585" s="473"/>
      <c r="SNG585" s="313"/>
      <c r="SNH585" s="535"/>
      <c r="SNI585" s="536"/>
      <c r="SNJ585" s="537"/>
      <c r="SNK585" s="538"/>
      <c r="SNL585" s="539"/>
      <c r="SNM585" s="540"/>
      <c r="SNN585" s="209"/>
      <c r="SNO585" s="541"/>
      <c r="SNP585" s="541"/>
      <c r="SNQ585" s="482"/>
      <c r="SNR585" s="173"/>
      <c r="SNS585" s="173"/>
      <c r="SNT585" s="544"/>
      <c r="SNV585" s="148"/>
      <c r="SNW585" s="148"/>
      <c r="SNX585" s="149"/>
      <c r="SNY585" s="150"/>
      <c r="SOA585" s="152"/>
      <c r="SOB585" s="542"/>
      <c r="SOC585" s="154"/>
      <c r="SOD585" s="175"/>
      <c r="SOF585" s="156"/>
      <c r="SOG585" s="287"/>
      <c r="SOH585" s="488"/>
      <c r="SOI585" s="489"/>
      <c r="SOJ585" s="488"/>
      <c r="SOK585" s="300"/>
      <c r="SOL585" s="543"/>
      <c r="SOM585" s="533"/>
      <c r="SON585" s="534"/>
      <c r="SOO585" s="316"/>
      <c r="SOP585" s="316"/>
      <c r="SOQ585" s="471"/>
      <c r="SOR585" s="472"/>
      <c r="SOS585" s="471"/>
      <c r="SOT585" s="473"/>
      <c r="SOU585" s="313"/>
      <c r="SOV585" s="535"/>
      <c r="SOW585" s="536"/>
      <c r="SOX585" s="537"/>
      <c r="SOY585" s="538"/>
      <c r="SOZ585" s="539"/>
      <c r="SPA585" s="540"/>
      <c r="SPB585" s="209"/>
      <c r="SPC585" s="541"/>
      <c r="SPD585" s="541"/>
      <c r="SPE585" s="482"/>
      <c r="SPF585" s="173"/>
      <c r="SPG585" s="173"/>
      <c r="SPH585" s="544"/>
      <c r="SPJ585" s="148"/>
      <c r="SPK585" s="148"/>
      <c r="SPL585" s="149"/>
      <c r="SPM585" s="150"/>
      <c r="SPO585" s="152"/>
      <c r="SPP585" s="542"/>
      <c r="SPQ585" s="154"/>
      <c r="SPR585" s="175"/>
      <c r="SPT585" s="156"/>
      <c r="SPU585" s="287"/>
      <c r="SPV585" s="488"/>
      <c r="SPW585" s="489"/>
      <c r="SPX585" s="488"/>
      <c r="SPY585" s="300"/>
      <c r="SPZ585" s="543"/>
      <c r="SQA585" s="533"/>
      <c r="SQB585" s="534"/>
      <c r="SQC585" s="316"/>
      <c r="SQD585" s="316"/>
      <c r="SQE585" s="471"/>
      <c r="SQF585" s="472"/>
      <c r="SQG585" s="471"/>
      <c r="SQH585" s="473"/>
      <c r="SQI585" s="313"/>
      <c r="SQJ585" s="535"/>
      <c r="SQK585" s="536"/>
      <c r="SQL585" s="537"/>
      <c r="SQM585" s="538"/>
      <c r="SQN585" s="539"/>
      <c r="SQO585" s="540"/>
      <c r="SQP585" s="209"/>
      <c r="SQQ585" s="541"/>
      <c r="SQR585" s="541"/>
      <c r="SQS585" s="482"/>
      <c r="SQT585" s="173"/>
      <c r="SQU585" s="173"/>
      <c r="SQV585" s="544"/>
      <c r="SQX585" s="148"/>
      <c r="SQY585" s="148"/>
      <c r="SQZ585" s="149"/>
      <c r="SRA585" s="150"/>
      <c r="SRC585" s="152"/>
      <c r="SRD585" s="542"/>
      <c r="SRE585" s="154"/>
      <c r="SRF585" s="175"/>
      <c r="SRH585" s="156"/>
      <c r="SRI585" s="287"/>
      <c r="SRJ585" s="488"/>
      <c r="SRK585" s="489"/>
      <c r="SRL585" s="488"/>
      <c r="SRM585" s="300"/>
      <c r="SRN585" s="543"/>
      <c r="SRO585" s="533"/>
      <c r="SRP585" s="534"/>
      <c r="SRQ585" s="316"/>
      <c r="SRR585" s="316"/>
      <c r="SRS585" s="471"/>
      <c r="SRT585" s="472"/>
      <c r="SRU585" s="471"/>
      <c r="SRV585" s="473"/>
      <c r="SRW585" s="313"/>
      <c r="SRX585" s="535"/>
      <c r="SRY585" s="536"/>
      <c r="SRZ585" s="537"/>
      <c r="SSA585" s="538"/>
      <c r="SSB585" s="539"/>
      <c r="SSC585" s="540"/>
      <c r="SSD585" s="209"/>
      <c r="SSE585" s="541"/>
      <c r="SSF585" s="541"/>
      <c r="SSG585" s="482"/>
      <c r="SSH585" s="173"/>
      <c r="SSI585" s="173"/>
      <c r="SSJ585" s="544"/>
      <c r="SSL585" s="148"/>
      <c r="SSM585" s="148"/>
      <c r="SSN585" s="149"/>
      <c r="SSO585" s="150"/>
      <c r="SSQ585" s="152"/>
      <c r="SSR585" s="542"/>
      <c r="SSS585" s="154"/>
      <c r="SST585" s="175"/>
      <c r="SSV585" s="156"/>
      <c r="SSW585" s="287"/>
      <c r="SSX585" s="488"/>
      <c r="SSY585" s="489"/>
      <c r="SSZ585" s="488"/>
      <c r="STA585" s="300"/>
      <c r="STB585" s="543"/>
      <c r="STC585" s="533"/>
      <c r="STD585" s="534"/>
      <c r="STE585" s="316"/>
      <c r="STF585" s="316"/>
      <c r="STG585" s="471"/>
      <c r="STH585" s="472"/>
      <c r="STI585" s="471"/>
      <c r="STJ585" s="473"/>
      <c r="STK585" s="313"/>
      <c r="STL585" s="535"/>
      <c r="STM585" s="536"/>
      <c r="STN585" s="537"/>
      <c r="STO585" s="538"/>
      <c r="STP585" s="539"/>
      <c r="STQ585" s="540"/>
      <c r="STR585" s="209"/>
      <c r="STS585" s="541"/>
      <c r="STT585" s="541"/>
      <c r="STU585" s="482"/>
      <c r="STV585" s="173"/>
      <c r="STW585" s="173"/>
      <c r="STX585" s="544"/>
      <c r="STZ585" s="148"/>
      <c r="SUA585" s="148"/>
      <c r="SUB585" s="149"/>
      <c r="SUC585" s="150"/>
      <c r="SUE585" s="152"/>
      <c r="SUF585" s="542"/>
      <c r="SUG585" s="154"/>
      <c r="SUH585" s="175"/>
      <c r="SUJ585" s="156"/>
      <c r="SUK585" s="287"/>
      <c r="SUL585" s="488"/>
      <c r="SUM585" s="489"/>
      <c r="SUN585" s="488"/>
      <c r="SUO585" s="300"/>
      <c r="SUP585" s="543"/>
      <c r="SUQ585" s="533"/>
      <c r="SUR585" s="534"/>
      <c r="SUS585" s="316"/>
      <c r="SUT585" s="316"/>
      <c r="SUU585" s="471"/>
      <c r="SUV585" s="472"/>
      <c r="SUW585" s="471"/>
      <c r="SUX585" s="473"/>
      <c r="SUY585" s="313"/>
      <c r="SUZ585" s="535"/>
      <c r="SVA585" s="536"/>
      <c r="SVB585" s="537"/>
      <c r="SVC585" s="538"/>
      <c r="SVD585" s="539"/>
      <c r="SVE585" s="540"/>
      <c r="SVF585" s="209"/>
      <c r="SVG585" s="541"/>
      <c r="SVH585" s="541"/>
      <c r="SVI585" s="482"/>
      <c r="SVJ585" s="173"/>
      <c r="SVK585" s="173"/>
      <c r="SVL585" s="544"/>
      <c r="SVN585" s="148"/>
      <c r="SVO585" s="148"/>
      <c r="SVP585" s="149"/>
      <c r="SVQ585" s="150"/>
      <c r="SVS585" s="152"/>
      <c r="SVT585" s="542"/>
      <c r="SVU585" s="154"/>
      <c r="SVV585" s="175"/>
      <c r="SVX585" s="156"/>
      <c r="SVY585" s="287"/>
      <c r="SVZ585" s="488"/>
      <c r="SWA585" s="489"/>
      <c r="SWB585" s="488"/>
      <c r="SWC585" s="300"/>
      <c r="SWD585" s="543"/>
      <c r="SWE585" s="533"/>
      <c r="SWF585" s="534"/>
      <c r="SWG585" s="316"/>
      <c r="SWH585" s="316"/>
      <c r="SWI585" s="471"/>
      <c r="SWJ585" s="472"/>
      <c r="SWK585" s="471"/>
      <c r="SWL585" s="473"/>
      <c r="SWM585" s="313"/>
      <c r="SWN585" s="535"/>
      <c r="SWO585" s="536"/>
      <c r="SWP585" s="537"/>
      <c r="SWQ585" s="538"/>
      <c r="SWR585" s="539"/>
      <c r="SWS585" s="540"/>
      <c r="SWT585" s="209"/>
      <c r="SWU585" s="541"/>
      <c r="SWV585" s="541"/>
      <c r="SWW585" s="482"/>
      <c r="SWX585" s="173"/>
      <c r="SWY585" s="173"/>
      <c r="SWZ585" s="544"/>
      <c r="SXB585" s="148"/>
      <c r="SXC585" s="148"/>
      <c r="SXD585" s="149"/>
      <c r="SXE585" s="150"/>
      <c r="SXG585" s="152"/>
      <c r="SXH585" s="542"/>
      <c r="SXI585" s="154"/>
      <c r="SXJ585" s="175"/>
      <c r="SXL585" s="156"/>
      <c r="SXM585" s="287"/>
      <c r="SXN585" s="488"/>
      <c r="SXO585" s="489"/>
      <c r="SXP585" s="488"/>
      <c r="SXQ585" s="300"/>
      <c r="SXR585" s="543"/>
      <c r="SXS585" s="533"/>
      <c r="SXT585" s="534"/>
      <c r="SXU585" s="316"/>
      <c r="SXV585" s="316"/>
      <c r="SXW585" s="471"/>
      <c r="SXX585" s="472"/>
      <c r="SXY585" s="471"/>
      <c r="SXZ585" s="473"/>
      <c r="SYA585" s="313"/>
      <c r="SYB585" s="535"/>
      <c r="SYC585" s="536"/>
      <c r="SYD585" s="537"/>
      <c r="SYE585" s="538"/>
      <c r="SYF585" s="539"/>
      <c r="SYG585" s="540"/>
      <c r="SYH585" s="209"/>
      <c r="SYI585" s="541"/>
      <c r="SYJ585" s="541"/>
      <c r="SYK585" s="482"/>
      <c r="SYL585" s="173"/>
      <c r="SYM585" s="173"/>
      <c r="SYN585" s="544"/>
      <c r="SYP585" s="148"/>
      <c r="SYQ585" s="148"/>
      <c r="SYR585" s="149"/>
      <c r="SYS585" s="150"/>
      <c r="SYU585" s="152"/>
      <c r="SYV585" s="542"/>
      <c r="SYW585" s="154"/>
      <c r="SYX585" s="175"/>
      <c r="SYZ585" s="156"/>
      <c r="SZA585" s="287"/>
      <c r="SZB585" s="488"/>
      <c r="SZC585" s="489"/>
      <c r="SZD585" s="488"/>
      <c r="SZE585" s="300"/>
      <c r="SZF585" s="543"/>
      <c r="SZG585" s="533"/>
      <c r="SZH585" s="534"/>
      <c r="SZI585" s="316"/>
      <c r="SZJ585" s="316"/>
      <c r="SZK585" s="471"/>
      <c r="SZL585" s="472"/>
      <c r="SZM585" s="471"/>
      <c r="SZN585" s="473"/>
      <c r="SZO585" s="313"/>
      <c r="SZP585" s="535"/>
      <c r="SZQ585" s="536"/>
      <c r="SZR585" s="537"/>
      <c r="SZS585" s="538"/>
      <c r="SZT585" s="539"/>
      <c r="SZU585" s="540"/>
      <c r="SZV585" s="209"/>
      <c r="SZW585" s="541"/>
      <c r="SZX585" s="541"/>
      <c r="SZY585" s="482"/>
      <c r="SZZ585" s="173"/>
      <c r="TAA585" s="173"/>
      <c r="TAB585" s="544"/>
      <c r="TAD585" s="148"/>
      <c r="TAE585" s="148"/>
      <c r="TAF585" s="149"/>
      <c r="TAG585" s="150"/>
      <c r="TAI585" s="152"/>
      <c r="TAJ585" s="542"/>
      <c r="TAK585" s="154"/>
      <c r="TAL585" s="175"/>
      <c r="TAN585" s="156"/>
      <c r="TAO585" s="287"/>
      <c r="TAP585" s="488"/>
      <c r="TAQ585" s="489"/>
      <c r="TAR585" s="488"/>
      <c r="TAS585" s="300"/>
      <c r="TAT585" s="543"/>
      <c r="TAU585" s="533"/>
      <c r="TAV585" s="534"/>
      <c r="TAW585" s="316"/>
      <c r="TAX585" s="316"/>
      <c r="TAY585" s="471"/>
      <c r="TAZ585" s="472"/>
      <c r="TBA585" s="471"/>
      <c r="TBB585" s="473"/>
      <c r="TBC585" s="313"/>
      <c r="TBD585" s="535"/>
      <c r="TBE585" s="536"/>
      <c r="TBF585" s="537"/>
      <c r="TBG585" s="538"/>
      <c r="TBH585" s="539"/>
      <c r="TBI585" s="540"/>
      <c r="TBJ585" s="209"/>
      <c r="TBK585" s="541"/>
      <c r="TBL585" s="541"/>
      <c r="TBM585" s="482"/>
      <c r="TBN585" s="173"/>
      <c r="TBO585" s="173"/>
      <c r="TBP585" s="544"/>
      <c r="TBR585" s="148"/>
      <c r="TBS585" s="148"/>
      <c r="TBT585" s="149"/>
      <c r="TBU585" s="150"/>
      <c r="TBW585" s="152"/>
      <c r="TBX585" s="542"/>
      <c r="TBY585" s="154"/>
      <c r="TBZ585" s="175"/>
      <c r="TCB585" s="156"/>
      <c r="TCC585" s="287"/>
      <c r="TCD585" s="488"/>
      <c r="TCE585" s="489"/>
      <c r="TCF585" s="488"/>
      <c r="TCG585" s="300"/>
      <c r="TCH585" s="543"/>
      <c r="TCI585" s="533"/>
      <c r="TCJ585" s="534"/>
      <c r="TCK585" s="316"/>
      <c r="TCL585" s="316"/>
      <c r="TCM585" s="471"/>
      <c r="TCN585" s="472"/>
      <c r="TCO585" s="471"/>
      <c r="TCP585" s="473"/>
      <c r="TCQ585" s="313"/>
      <c r="TCR585" s="535"/>
      <c r="TCS585" s="536"/>
      <c r="TCT585" s="537"/>
      <c r="TCU585" s="538"/>
      <c r="TCV585" s="539"/>
      <c r="TCW585" s="540"/>
      <c r="TCX585" s="209"/>
      <c r="TCY585" s="541"/>
      <c r="TCZ585" s="541"/>
      <c r="TDA585" s="482"/>
      <c r="TDB585" s="173"/>
      <c r="TDC585" s="173"/>
      <c r="TDD585" s="544"/>
      <c r="TDF585" s="148"/>
      <c r="TDG585" s="148"/>
      <c r="TDH585" s="149"/>
      <c r="TDI585" s="150"/>
      <c r="TDK585" s="152"/>
      <c r="TDL585" s="542"/>
      <c r="TDM585" s="154"/>
      <c r="TDN585" s="175"/>
      <c r="TDP585" s="156"/>
      <c r="TDQ585" s="287"/>
      <c r="TDR585" s="488"/>
      <c r="TDS585" s="489"/>
      <c r="TDT585" s="488"/>
      <c r="TDU585" s="300"/>
      <c r="TDV585" s="543"/>
      <c r="TDW585" s="533"/>
      <c r="TDX585" s="534"/>
      <c r="TDY585" s="316"/>
      <c r="TDZ585" s="316"/>
      <c r="TEA585" s="471"/>
      <c r="TEB585" s="472"/>
      <c r="TEC585" s="471"/>
      <c r="TED585" s="473"/>
      <c r="TEE585" s="313"/>
      <c r="TEF585" s="535"/>
      <c r="TEG585" s="536"/>
      <c r="TEH585" s="537"/>
      <c r="TEI585" s="538"/>
      <c r="TEJ585" s="539"/>
      <c r="TEK585" s="540"/>
      <c r="TEL585" s="209"/>
      <c r="TEM585" s="541"/>
      <c r="TEN585" s="541"/>
      <c r="TEO585" s="482"/>
      <c r="TEP585" s="173"/>
      <c r="TEQ585" s="173"/>
      <c r="TER585" s="544"/>
      <c r="TET585" s="148"/>
      <c r="TEU585" s="148"/>
      <c r="TEV585" s="149"/>
      <c r="TEW585" s="150"/>
      <c r="TEY585" s="152"/>
      <c r="TEZ585" s="542"/>
      <c r="TFA585" s="154"/>
      <c r="TFB585" s="175"/>
      <c r="TFD585" s="156"/>
      <c r="TFE585" s="287"/>
      <c r="TFF585" s="488"/>
      <c r="TFG585" s="489"/>
      <c r="TFH585" s="488"/>
      <c r="TFI585" s="300"/>
      <c r="TFJ585" s="543"/>
      <c r="TFK585" s="533"/>
      <c r="TFL585" s="534"/>
      <c r="TFM585" s="316"/>
      <c r="TFN585" s="316"/>
      <c r="TFO585" s="471"/>
      <c r="TFP585" s="472"/>
      <c r="TFQ585" s="471"/>
      <c r="TFR585" s="473"/>
      <c r="TFS585" s="313"/>
      <c r="TFT585" s="535"/>
      <c r="TFU585" s="536"/>
      <c r="TFV585" s="537"/>
      <c r="TFW585" s="538"/>
      <c r="TFX585" s="539"/>
      <c r="TFY585" s="540"/>
      <c r="TFZ585" s="209"/>
      <c r="TGA585" s="541"/>
      <c r="TGB585" s="541"/>
      <c r="TGC585" s="482"/>
      <c r="TGD585" s="173"/>
      <c r="TGE585" s="173"/>
      <c r="TGF585" s="544"/>
      <c r="TGH585" s="148"/>
      <c r="TGI585" s="148"/>
      <c r="TGJ585" s="149"/>
      <c r="TGK585" s="150"/>
      <c r="TGM585" s="152"/>
      <c r="TGN585" s="542"/>
      <c r="TGO585" s="154"/>
      <c r="TGP585" s="175"/>
      <c r="TGR585" s="156"/>
      <c r="TGS585" s="287"/>
      <c r="TGT585" s="488"/>
      <c r="TGU585" s="489"/>
      <c r="TGV585" s="488"/>
      <c r="TGW585" s="300"/>
      <c r="TGX585" s="543"/>
      <c r="TGY585" s="533"/>
      <c r="TGZ585" s="534"/>
      <c r="THA585" s="316"/>
      <c r="THB585" s="316"/>
      <c r="THC585" s="471"/>
      <c r="THD585" s="472"/>
      <c r="THE585" s="471"/>
      <c r="THF585" s="473"/>
      <c r="THG585" s="313"/>
      <c r="THH585" s="535"/>
      <c r="THI585" s="536"/>
      <c r="THJ585" s="537"/>
      <c r="THK585" s="538"/>
      <c r="THL585" s="539"/>
      <c r="THM585" s="540"/>
      <c r="THN585" s="209"/>
      <c r="THO585" s="541"/>
      <c r="THP585" s="541"/>
      <c r="THQ585" s="482"/>
      <c r="THR585" s="173"/>
      <c r="THS585" s="173"/>
      <c r="THT585" s="544"/>
      <c r="THV585" s="148"/>
      <c r="THW585" s="148"/>
      <c r="THX585" s="149"/>
      <c r="THY585" s="150"/>
      <c r="TIA585" s="152"/>
      <c r="TIB585" s="542"/>
      <c r="TIC585" s="154"/>
      <c r="TID585" s="175"/>
      <c r="TIF585" s="156"/>
      <c r="TIG585" s="287"/>
      <c r="TIH585" s="488"/>
      <c r="TII585" s="489"/>
      <c r="TIJ585" s="488"/>
      <c r="TIK585" s="300"/>
      <c r="TIL585" s="543"/>
      <c r="TIM585" s="533"/>
      <c r="TIN585" s="534"/>
      <c r="TIO585" s="316"/>
      <c r="TIP585" s="316"/>
      <c r="TIQ585" s="471"/>
      <c r="TIR585" s="472"/>
      <c r="TIS585" s="471"/>
      <c r="TIT585" s="473"/>
      <c r="TIU585" s="313"/>
      <c r="TIV585" s="535"/>
      <c r="TIW585" s="536"/>
      <c r="TIX585" s="537"/>
      <c r="TIY585" s="538"/>
      <c r="TIZ585" s="539"/>
      <c r="TJA585" s="540"/>
      <c r="TJB585" s="209"/>
      <c r="TJC585" s="541"/>
      <c r="TJD585" s="541"/>
      <c r="TJE585" s="482"/>
      <c r="TJF585" s="173"/>
      <c r="TJG585" s="173"/>
      <c r="TJH585" s="544"/>
      <c r="TJJ585" s="148"/>
      <c r="TJK585" s="148"/>
      <c r="TJL585" s="149"/>
      <c r="TJM585" s="150"/>
      <c r="TJO585" s="152"/>
      <c r="TJP585" s="542"/>
      <c r="TJQ585" s="154"/>
      <c r="TJR585" s="175"/>
      <c r="TJT585" s="156"/>
      <c r="TJU585" s="287"/>
      <c r="TJV585" s="488"/>
      <c r="TJW585" s="489"/>
      <c r="TJX585" s="488"/>
      <c r="TJY585" s="300"/>
      <c r="TJZ585" s="543"/>
      <c r="TKA585" s="533"/>
      <c r="TKB585" s="534"/>
      <c r="TKC585" s="316"/>
      <c r="TKD585" s="316"/>
      <c r="TKE585" s="471"/>
      <c r="TKF585" s="472"/>
      <c r="TKG585" s="471"/>
      <c r="TKH585" s="473"/>
      <c r="TKI585" s="313"/>
      <c r="TKJ585" s="535"/>
      <c r="TKK585" s="536"/>
      <c r="TKL585" s="537"/>
      <c r="TKM585" s="538"/>
      <c r="TKN585" s="539"/>
      <c r="TKO585" s="540"/>
      <c r="TKP585" s="209"/>
      <c r="TKQ585" s="541"/>
      <c r="TKR585" s="541"/>
      <c r="TKS585" s="482"/>
      <c r="TKT585" s="173"/>
      <c r="TKU585" s="173"/>
      <c r="TKV585" s="544"/>
      <c r="TKX585" s="148"/>
      <c r="TKY585" s="148"/>
      <c r="TKZ585" s="149"/>
      <c r="TLA585" s="150"/>
      <c r="TLC585" s="152"/>
      <c r="TLD585" s="542"/>
      <c r="TLE585" s="154"/>
      <c r="TLF585" s="175"/>
      <c r="TLH585" s="156"/>
      <c r="TLI585" s="287"/>
      <c r="TLJ585" s="488"/>
      <c r="TLK585" s="489"/>
      <c r="TLL585" s="488"/>
      <c r="TLM585" s="300"/>
      <c r="TLN585" s="543"/>
      <c r="TLO585" s="533"/>
      <c r="TLP585" s="534"/>
      <c r="TLQ585" s="316"/>
      <c r="TLR585" s="316"/>
      <c r="TLS585" s="471"/>
      <c r="TLT585" s="472"/>
      <c r="TLU585" s="471"/>
      <c r="TLV585" s="473"/>
      <c r="TLW585" s="313"/>
      <c r="TLX585" s="535"/>
      <c r="TLY585" s="536"/>
      <c r="TLZ585" s="537"/>
      <c r="TMA585" s="538"/>
      <c r="TMB585" s="539"/>
      <c r="TMC585" s="540"/>
      <c r="TMD585" s="209"/>
      <c r="TME585" s="541"/>
      <c r="TMF585" s="541"/>
      <c r="TMG585" s="482"/>
      <c r="TMH585" s="173"/>
      <c r="TMI585" s="173"/>
      <c r="TMJ585" s="544"/>
      <c r="TML585" s="148"/>
      <c r="TMM585" s="148"/>
      <c r="TMN585" s="149"/>
      <c r="TMO585" s="150"/>
      <c r="TMQ585" s="152"/>
      <c r="TMR585" s="542"/>
      <c r="TMS585" s="154"/>
      <c r="TMT585" s="175"/>
      <c r="TMV585" s="156"/>
      <c r="TMW585" s="287"/>
      <c r="TMX585" s="488"/>
      <c r="TMY585" s="489"/>
      <c r="TMZ585" s="488"/>
      <c r="TNA585" s="300"/>
      <c r="TNB585" s="543"/>
      <c r="TNC585" s="533"/>
      <c r="TND585" s="534"/>
      <c r="TNE585" s="316"/>
      <c r="TNF585" s="316"/>
      <c r="TNG585" s="471"/>
      <c r="TNH585" s="472"/>
      <c r="TNI585" s="471"/>
      <c r="TNJ585" s="473"/>
      <c r="TNK585" s="313"/>
      <c r="TNL585" s="535"/>
      <c r="TNM585" s="536"/>
      <c r="TNN585" s="537"/>
      <c r="TNO585" s="538"/>
      <c r="TNP585" s="539"/>
      <c r="TNQ585" s="540"/>
      <c r="TNR585" s="209"/>
      <c r="TNS585" s="541"/>
      <c r="TNT585" s="541"/>
      <c r="TNU585" s="482"/>
      <c r="TNV585" s="173"/>
      <c r="TNW585" s="173"/>
      <c r="TNX585" s="544"/>
      <c r="TNZ585" s="148"/>
      <c r="TOA585" s="148"/>
      <c r="TOB585" s="149"/>
      <c r="TOC585" s="150"/>
      <c r="TOE585" s="152"/>
      <c r="TOF585" s="542"/>
      <c r="TOG585" s="154"/>
      <c r="TOH585" s="175"/>
      <c r="TOJ585" s="156"/>
      <c r="TOK585" s="287"/>
      <c r="TOL585" s="488"/>
      <c r="TOM585" s="489"/>
      <c r="TON585" s="488"/>
      <c r="TOO585" s="300"/>
      <c r="TOP585" s="543"/>
      <c r="TOQ585" s="533"/>
      <c r="TOR585" s="534"/>
      <c r="TOS585" s="316"/>
      <c r="TOT585" s="316"/>
      <c r="TOU585" s="471"/>
      <c r="TOV585" s="472"/>
      <c r="TOW585" s="471"/>
      <c r="TOX585" s="473"/>
      <c r="TOY585" s="313"/>
      <c r="TOZ585" s="535"/>
      <c r="TPA585" s="536"/>
      <c r="TPB585" s="537"/>
      <c r="TPC585" s="538"/>
      <c r="TPD585" s="539"/>
      <c r="TPE585" s="540"/>
      <c r="TPF585" s="209"/>
      <c r="TPG585" s="541"/>
      <c r="TPH585" s="541"/>
      <c r="TPI585" s="482"/>
      <c r="TPJ585" s="173"/>
      <c r="TPK585" s="173"/>
      <c r="TPL585" s="544"/>
      <c r="TPN585" s="148"/>
      <c r="TPO585" s="148"/>
      <c r="TPP585" s="149"/>
      <c r="TPQ585" s="150"/>
      <c r="TPS585" s="152"/>
      <c r="TPT585" s="542"/>
      <c r="TPU585" s="154"/>
      <c r="TPV585" s="175"/>
      <c r="TPX585" s="156"/>
      <c r="TPY585" s="287"/>
      <c r="TPZ585" s="488"/>
      <c r="TQA585" s="489"/>
      <c r="TQB585" s="488"/>
      <c r="TQC585" s="300"/>
      <c r="TQD585" s="543"/>
      <c r="TQE585" s="533"/>
      <c r="TQF585" s="534"/>
      <c r="TQG585" s="316"/>
      <c r="TQH585" s="316"/>
      <c r="TQI585" s="471"/>
      <c r="TQJ585" s="472"/>
      <c r="TQK585" s="471"/>
      <c r="TQL585" s="473"/>
      <c r="TQM585" s="313"/>
      <c r="TQN585" s="535"/>
      <c r="TQO585" s="536"/>
      <c r="TQP585" s="537"/>
      <c r="TQQ585" s="538"/>
      <c r="TQR585" s="539"/>
      <c r="TQS585" s="540"/>
      <c r="TQT585" s="209"/>
      <c r="TQU585" s="541"/>
      <c r="TQV585" s="541"/>
      <c r="TQW585" s="482"/>
      <c r="TQX585" s="173"/>
      <c r="TQY585" s="173"/>
      <c r="TQZ585" s="544"/>
      <c r="TRB585" s="148"/>
      <c r="TRC585" s="148"/>
      <c r="TRD585" s="149"/>
      <c r="TRE585" s="150"/>
      <c r="TRG585" s="152"/>
      <c r="TRH585" s="542"/>
      <c r="TRI585" s="154"/>
      <c r="TRJ585" s="175"/>
      <c r="TRL585" s="156"/>
      <c r="TRM585" s="287"/>
      <c r="TRN585" s="488"/>
      <c r="TRO585" s="489"/>
      <c r="TRP585" s="488"/>
      <c r="TRQ585" s="300"/>
      <c r="TRR585" s="543"/>
      <c r="TRS585" s="533"/>
      <c r="TRT585" s="534"/>
      <c r="TRU585" s="316"/>
      <c r="TRV585" s="316"/>
      <c r="TRW585" s="471"/>
      <c r="TRX585" s="472"/>
      <c r="TRY585" s="471"/>
      <c r="TRZ585" s="473"/>
      <c r="TSA585" s="313"/>
      <c r="TSB585" s="535"/>
      <c r="TSC585" s="536"/>
      <c r="TSD585" s="537"/>
      <c r="TSE585" s="538"/>
      <c r="TSF585" s="539"/>
      <c r="TSG585" s="540"/>
      <c r="TSH585" s="209"/>
      <c r="TSI585" s="541"/>
      <c r="TSJ585" s="541"/>
      <c r="TSK585" s="482"/>
      <c r="TSL585" s="173"/>
      <c r="TSM585" s="173"/>
      <c r="TSN585" s="544"/>
      <c r="TSP585" s="148"/>
      <c r="TSQ585" s="148"/>
      <c r="TSR585" s="149"/>
      <c r="TSS585" s="150"/>
      <c r="TSU585" s="152"/>
      <c r="TSV585" s="542"/>
      <c r="TSW585" s="154"/>
      <c r="TSX585" s="175"/>
      <c r="TSZ585" s="156"/>
      <c r="TTA585" s="287"/>
      <c r="TTB585" s="488"/>
      <c r="TTC585" s="489"/>
      <c r="TTD585" s="488"/>
      <c r="TTE585" s="300"/>
      <c r="TTF585" s="543"/>
      <c r="TTG585" s="533"/>
      <c r="TTH585" s="534"/>
      <c r="TTI585" s="316"/>
      <c r="TTJ585" s="316"/>
      <c r="TTK585" s="471"/>
      <c r="TTL585" s="472"/>
      <c r="TTM585" s="471"/>
      <c r="TTN585" s="473"/>
      <c r="TTO585" s="313"/>
      <c r="TTP585" s="535"/>
      <c r="TTQ585" s="536"/>
      <c r="TTR585" s="537"/>
      <c r="TTS585" s="538"/>
      <c r="TTT585" s="539"/>
      <c r="TTU585" s="540"/>
      <c r="TTV585" s="209"/>
      <c r="TTW585" s="541"/>
      <c r="TTX585" s="541"/>
      <c r="TTY585" s="482"/>
      <c r="TTZ585" s="173"/>
      <c r="TUA585" s="173"/>
      <c r="TUB585" s="544"/>
      <c r="TUD585" s="148"/>
      <c r="TUE585" s="148"/>
      <c r="TUF585" s="149"/>
      <c r="TUG585" s="150"/>
      <c r="TUI585" s="152"/>
      <c r="TUJ585" s="542"/>
      <c r="TUK585" s="154"/>
      <c r="TUL585" s="175"/>
      <c r="TUN585" s="156"/>
      <c r="TUO585" s="287"/>
      <c r="TUP585" s="488"/>
      <c r="TUQ585" s="489"/>
      <c r="TUR585" s="488"/>
      <c r="TUS585" s="300"/>
      <c r="TUT585" s="543"/>
      <c r="TUU585" s="533"/>
      <c r="TUV585" s="534"/>
      <c r="TUW585" s="316"/>
      <c r="TUX585" s="316"/>
      <c r="TUY585" s="471"/>
      <c r="TUZ585" s="472"/>
      <c r="TVA585" s="471"/>
      <c r="TVB585" s="473"/>
      <c r="TVC585" s="313"/>
      <c r="TVD585" s="535"/>
      <c r="TVE585" s="536"/>
      <c r="TVF585" s="537"/>
      <c r="TVG585" s="538"/>
      <c r="TVH585" s="539"/>
      <c r="TVI585" s="540"/>
      <c r="TVJ585" s="209"/>
      <c r="TVK585" s="541"/>
      <c r="TVL585" s="541"/>
      <c r="TVM585" s="482"/>
      <c r="TVN585" s="173"/>
      <c r="TVO585" s="173"/>
      <c r="TVP585" s="544"/>
      <c r="TVR585" s="148"/>
      <c r="TVS585" s="148"/>
      <c r="TVT585" s="149"/>
      <c r="TVU585" s="150"/>
      <c r="TVW585" s="152"/>
      <c r="TVX585" s="542"/>
      <c r="TVY585" s="154"/>
      <c r="TVZ585" s="175"/>
      <c r="TWB585" s="156"/>
      <c r="TWC585" s="287"/>
      <c r="TWD585" s="488"/>
      <c r="TWE585" s="489"/>
      <c r="TWF585" s="488"/>
      <c r="TWG585" s="300"/>
      <c r="TWH585" s="543"/>
      <c r="TWI585" s="533"/>
      <c r="TWJ585" s="534"/>
      <c r="TWK585" s="316"/>
      <c r="TWL585" s="316"/>
      <c r="TWM585" s="471"/>
      <c r="TWN585" s="472"/>
      <c r="TWO585" s="471"/>
      <c r="TWP585" s="473"/>
      <c r="TWQ585" s="313"/>
      <c r="TWR585" s="535"/>
      <c r="TWS585" s="536"/>
      <c r="TWT585" s="537"/>
      <c r="TWU585" s="538"/>
      <c r="TWV585" s="539"/>
      <c r="TWW585" s="540"/>
      <c r="TWX585" s="209"/>
      <c r="TWY585" s="541"/>
      <c r="TWZ585" s="541"/>
      <c r="TXA585" s="482"/>
      <c r="TXB585" s="173"/>
      <c r="TXC585" s="173"/>
      <c r="TXD585" s="544"/>
      <c r="TXF585" s="148"/>
      <c r="TXG585" s="148"/>
      <c r="TXH585" s="149"/>
      <c r="TXI585" s="150"/>
      <c r="TXK585" s="152"/>
      <c r="TXL585" s="542"/>
      <c r="TXM585" s="154"/>
      <c r="TXN585" s="175"/>
      <c r="TXP585" s="156"/>
      <c r="TXQ585" s="287"/>
      <c r="TXR585" s="488"/>
      <c r="TXS585" s="489"/>
      <c r="TXT585" s="488"/>
      <c r="TXU585" s="300"/>
      <c r="TXV585" s="543"/>
      <c r="TXW585" s="533"/>
      <c r="TXX585" s="534"/>
      <c r="TXY585" s="316"/>
      <c r="TXZ585" s="316"/>
      <c r="TYA585" s="471"/>
      <c r="TYB585" s="472"/>
      <c r="TYC585" s="471"/>
      <c r="TYD585" s="473"/>
      <c r="TYE585" s="313"/>
      <c r="TYF585" s="535"/>
      <c r="TYG585" s="536"/>
      <c r="TYH585" s="537"/>
      <c r="TYI585" s="538"/>
      <c r="TYJ585" s="539"/>
      <c r="TYK585" s="540"/>
      <c r="TYL585" s="209"/>
      <c r="TYM585" s="541"/>
      <c r="TYN585" s="541"/>
      <c r="TYO585" s="482"/>
      <c r="TYP585" s="173"/>
      <c r="TYQ585" s="173"/>
      <c r="TYR585" s="544"/>
      <c r="TYT585" s="148"/>
      <c r="TYU585" s="148"/>
      <c r="TYV585" s="149"/>
      <c r="TYW585" s="150"/>
      <c r="TYY585" s="152"/>
      <c r="TYZ585" s="542"/>
      <c r="TZA585" s="154"/>
      <c r="TZB585" s="175"/>
      <c r="TZD585" s="156"/>
      <c r="TZE585" s="287"/>
      <c r="TZF585" s="488"/>
      <c r="TZG585" s="489"/>
      <c r="TZH585" s="488"/>
      <c r="TZI585" s="300"/>
      <c r="TZJ585" s="543"/>
      <c r="TZK585" s="533"/>
      <c r="TZL585" s="534"/>
      <c r="TZM585" s="316"/>
      <c r="TZN585" s="316"/>
      <c r="TZO585" s="471"/>
      <c r="TZP585" s="472"/>
      <c r="TZQ585" s="471"/>
      <c r="TZR585" s="473"/>
      <c r="TZS585" s="313"/>
      <c r="TZT585" s="535"/>
      <c r="TZU585" s="536"/>
      <c r="TZV585" s="537"/>
      <c r="TZW585" s="538"/>
      <c r="TZX585" s="539"/>
      <c r="TZY585" s="540"/>
      <c r="TZZ585" s="209"/>
      <c r="UAA585" s="541"/>
      <c r="UAB585" s="541"/>
      <c r="UAC585" s="482"/>
      <c r="UAD585" s="173"/>
      <c r="UAE585" s="173"/>
      <c r="UAF585" s="544"/>
      <c r="UAH585" s="148"/>
      <c r="UAI585" s="148"/>
      <c r="UAJ585" s="149"/>
      <c r="UAK585" s="150"/>
      <c r="UAM585" s="152"/>
      <c r="UAN585" s="542"/>
      <c r="UAO585" s="154"/>
      <c r="UAP585" s="175"/>
      <c r="UAR585" s="156"/>
      <c r="UAS585" s="287"/>
      <c r="UAT585" s="488"/>
      <c r="UAU585" s="489"/>
      <c r="UAV585" s="488"/>
      <c r="UAW585" s="300"/>
      <c r="UAX585" s="543"/>
      <c r="UAY585" s="533"/>
      <c r="UAZ585" s="534"/>
      <c r="UBA585" s="316"/>
      <c r="UBB585" s="316"/>
      <c r="UBC585" s="471"/>
      <c r="UBD585" s="472"/>
      <c r="UBE585" s="471"/>
      <c r="UBF585" s="473"/>
      <c r="UBG585" s="313"/>
      <c r="UBH585" s="535"/>
      <c r="UBI585" s="536"/>
      <c r="UBJ585" s="537"/>
      <c r="UBK585" s="538"/>
      <c r="UBL585" s="539"/>
      <c r="UBM585" s="540"/>
      <c r="UBN585" s="209"/>
      <c r="UBO585" s="541"/>
      <c r="UBP585" s="541"/>
      <c r="UBQ585" s="482"/>
      <c r="UBR585" s="173"/>
      <c r="UBS585" s="173"/>
      <c r="UBT585" s="544"/>
      <c r="UBV585" s="148"/>
      <c r="UBW585" s="148"/>
      <c r="UBX585" s="149"/>
      <c r="UBY585" s="150"/>
      <c r="UCA585" s="152"/>
      <c r="UCB585" s="542"/>
      <c r="UCC585" s="154"/>
      <c r="UCD585" s="175"/>
      <c r="UCF585" s="156"/>
      <c r="UCG585" s="287"/>
      <c r="UCH585" s="488"/>
      <c r="UCI585" s="489"/>
      <c r="UCJ585" s="488"/>
      <c r="UCK585" s="300"/>
      <c r="UCL585" s="543"/>
      <c r="UCM585" s="533"/>
      <c r="UCN585" s="534"/>
      <c r="UCO585" s="316"/>
      <c r="UCP585" s="316"/>
      <c r="UCQ585" s="471"/>
      <c r="UCR585" s="472"/>
      <c r="UCS585" s="471"/>
      <c r="UCT585" s="473"/>
      <c r="UCU585" s="313"/>
      <c r="UCV585" s="535"/>
      <c r="UCW585" s="536"/>
      <c r="UCX585" s="537"/>
      <c r="UCY585" s="538"/>
      <c r="UCZ585" s="539"/>
      <c r="UDA585" s="540"/>
      <c r="UDB585" s="209"/>
      <c r="UDC585" s="541"/>
      <c r="UDD585" s="541"/>
      <c r="UDE585" s="482"/>
      <c r="UDF585" s="173"/>
      <c r="UDG585" s="173"/>
      <c r="UDH585" s="544"/>
      <c r="UDJ585" s="148"/>
      <c r="UDK585" s="148"/>
      <c r="UDL585" s="149"/>
      <c r="UDM585" s="150"/>
      <c r="UDO585" s="152"/>
      <c r="UDP585" s="542"/>
      <c r="UDQ585" s="154"/>
      <c r="UDR585" s="175"/>
      <c r="UDT585" s="156"/>
      <c r="UDU585" s="287"/>
      <c r="UDV585" s="488"/>
      <c r="UDW585" s="489"/>
      <c r="UDX585" s="488"/>
      <c r="UDY585" s="300"/>
      <c r="UDZ585" s="543"/>
      <c r="UEA585" s="533"/>
      <c r="UEB585" s="534"/>
      <c r="UEC585" s="316"/>
      <c r="UED585" s="316"/>
      <c r="UEE585" s="471"/>
      <c r="UEF585" s="472"/>
      <c r="UEG585" s="471"/>
      <c r="UEH585" s="473"/>
      <c r="UEI585" s="313"/>
      <c r="UEJ585" s="535"/>
      <c r="UEK585" s="536"/>
      <c r="UEL585" s="537"/>
      <c r="UEM585" s="538"/>
      <c r="UEN585" s="539"/>
      <c r="UEO585" s="540"/>
      <c r="UEP585" s="209"/>
      <c r="UEQ585" s="541"/>
      <c r="UER585" s="541"/>
      <c r="UES585" s="482"/>
      <c r="UET585" s="173"/>
      <c r="UEU585" s="173"/>
      <c r="UEV585" s="544"/>
      <c r="UEX585" s="148"/>
      <c r="UEY585" s="148"/>
      <c r="UEZ585" s="149"/>
      <c r="UFA585" s="150"/>
      <c r="UFC585" s="152"/>
      <c r="UFD585" s="542"/>
      <c r="UFE585" s="154"/>
      <c r="UFF585" s="175"/>
      <c r="UFH585" s="156"/>
      <c r="UFI585" s="287"/>
      <c r="UFJ585" s="488"/>
      <c r="UFK585" s="489"/>
      <c r="UFL585" s="488"/>
      <c r="UFM585" s="300"/>
      <c r="UFN585" s="543"/>
      <c r="UFO585" s="533"/>
      <c r="UFP585" s="534"/>
      <c r="UFQ585" s="316"/>
      <c r="UFR585" s="316"/>
      <c r="UFS585" s="471"/>
      <c r="UFT585" s="472"/>
      <c r="UFU585" s="471"/>
      <c r="UFV585" s="473"/>
      <c r="UFW585" s="313"/>
      <c r="UFX585" s="535"/>
      <c r="UFY585" s="536"/>
      <c r="UFZ585" s="537"/>
      <c r="UGA585" s="538"/>
      <c r="UGB585" s="539"/>
      <c r="UGC585" s="540"/>
      <c r="UGD585" s="209"/>
      <c r="UGE585" s="541"/>
      <c r="UGF585" s="541"/>
      <c r="UGG585" s="482"/>
      <c r="UGH585" s="173"/>
      <c r="UGI585" s="173"/>
      <c r="UGJ585" s="544"/>
      <c r="UGL585" s="148"/>
      <c r="UGM585" s="148"/>
      <c r="UGN585" s="149"/>
      <c r="UGO585" s="150"/>
      <c r="UGQ585" s="152"/>
      <c r="UGR585" s="542"/>
      <c r="UGS585" s="154"/>
      <c r="UGT585" s="175"/>
      <c r="UGV585" s="156"/>
      <c r="UGW585" s="287"/>
      <c r="UGX585" s="488"/>
      <c r="UGY585" s="489"/>
      <c r="UGZ585" s="488"/>
      <c r="UHA585" s="300"/>
      <c r="UHB585" s="543"/>
      <c r="UHC585" s="533"/>
      <c r="UHD585" s="534"/>
      <c r="UHE585" s="316"/>
      <c r="UHF585" s="316"/>
      <c r="UHG585" s="471"/>
      <c r="UHH585" s="472"/>
      <c r="UHI585" s="471"/>
      <c r="UHJ585" s="473"/>
      <c r="UHK585" s="313"/>
      <c r="UHL585" s="535"/>
      <c r="UHM585" s="536"/>
      <c r="UHN585" s="537"/>
      <c r="UHO585" s="538"/>
      <c r="UHP585" s="539"/>
      <c r="UHQ585" s="540"/>
      <c r="UHR585" s="209"/>
      <c r="UHS585" s="541"/>
      <c r="UHT585" s="541"/>
      <c r="UHU585" s="482"/>
      <c r="UHV585" s="173"/>
      <c r="UHW585" s="173"/>
      <c r="UHX585" s="544"/>
      <c r="UHZ585" s="148"/>
      <c r="UIA585" s="148"/>
      <c r="UIB585" s="149"/>
      <c r="UIC585" s="150"/>
      <c r="UIE585" s="152"/>
      <c r="UIF585" s="542"/>
      <c r="UIG585" s="154"/>
      <c r="UIH585" s="175"/>
      <c r="UIJ585" s="156"/>
      <c r="UIK585" s="287"/>
      <c r="UIL585" s="488"/>
      <c r="UIM585" s="489"/>
      <c r="UIN585" s="488"/>
      <c r="UIO585" s="300"/>
      <c r="UIP585" s="543"/>
      <c r="UIQ585" s="533"/>
      <c r="UIR585" s="534"/>
      <c r="UIS585" s="316"/>
      <c r="UIT585" s="316"/>
      <c r="UIU585" s="471"/>
      <c r="UIV585" s="472"/>
      <c r="UIW585" s="471"/>
      <c r="UIX585" s="473"/>
      <c r="UIY585" s="313"/>
      <c r="UIZ585" s="535"/>
      <c r="UJA585" s="536"/>
      <c r="UJB585" s="537"/>
      <c r="UJC585" s="538"/>
      <c r="UJD585" s="539"/>
      <c r="UJE585" s="540"/>
      <c r="UJF585" s="209"/>
      <c r="UJG585" s="541"/>
      <c r="UJH585" s="541"/>
      <c r="UJI585" s="482"/>
      <c r="UJJ585" s="173"/>
      <c r="UJK585" s="173"/>
      <c r="UJL585" s="544"/>
      <c r="UJN585" s="148"/>
      <c r="UJO585" s="148"/>
      <c r="UJP585" s="149"/>
      <c r="UJQ585" s="150"/>
      <c r="UJS585" s="152"/>
      <c r="UJT585" s="542"/>
      <c r="UJU585" s="154"/>
      <c r="UJV585" s="175"/>
      <c r="UJX585" s="156"/>
      <c r="UJY585" s="287"/>
      <c r="UJZ585" s="488"/>
      <c r="UKA585" s="489"/>
      <c r="UKB585" s="488"/>
      <c r="UKC585" s="300"/>
      <c r="UKD585" s="543"/>
      <c r="UKE585" s="533"/>
      <c r="UKF585" s="534"/>
      <c r="UKG585" s="316"/>
      <c r="UKH585" s="316"/>
      <c r="UKI585" s="471"/>
      <c r="UKJ585" s="472"/>
      <c r="UKK585" s="471"/>
      <c r="UKL585" s="473"/>
      <c r="UKM585" s="313"/>
      <c r="UKN585" s="535"/>
      <c r="UKO585" s="536"/>
      <c r="UKP585" s="537"/>
      <c r="UKQ585" s="538"/>
      <c r="UKR585" s="539"/>
      <c r="UKS585" s="540"/>
      <c r="UKT585" s="209"/>
      <c r="UKU585" s="541"/>
      <c r="UKV585" s="541"/>
      <c r="UKW585" s="482"/>
      <c r="UKX585" s="173"/>
      <c r="UKY585" s="173"/>
      <c r="UKZ585" s="544"/>
      <c r="ULB585" s="148"/>
      <c r="ULC585" s="148"/>
      <c r="ULD585" s="149"/>
      <c r="ULE585" s="150"/>
      <c r="ULG585" s="152"/>
      <c r="ULH585" s="542"/>
      <c r="ULI585" s="154"/>
      <c r="ULJ585" s="175"/>
      <c r="ULL585" s="156"/>
      <c r="ULM585" s="287"/>
      <c r="ULN585" s="488"/>
      <c r="ULO585" s="489"/>
      <c r="ULP585" s="488"/>
      <c r="ULQ585" s="300"/>
      <c r="ULR585" s="543"/>
      <c r="ULS585" s="533"/>
      <c r="ULT585" s="534"/>
      <c r="ULU585" s="316"/>
      <c r="ULV585" s="316"/>
      <c r="ULW585" s="471"/>
      <c r="ULX585" s="472"/>
      <c r="ULY585" s="471"/>
      <c r="ULZ585" s="473"/>
      <c r="UMA585" s="313"/>
      <c r="UMB585" s="535"/>
      <c r="UMC585" s="536"/>
      <c r="UMD585" s="537"/>
      <c r="UME585" s="538"/>
      <c r="UMF585" s="539"/>
      <c r="UMG585" s="540"/>
      <c r="UMH585" s="209"/>
      <c r="UMI585" s="541"/>
      <c r="UMJ585" s="541"/>
      <c r="UMK585" s="482"/>
      <c r="UML585" s="173"/>
      <c r="UMM585" s="173"/>
      <c r="UMN585" s="544"/>
      <c r="UMP585" s="148"/>
      <c r="UMQ585" s="148"/>
      <c r="UMR585" s="149"/>
      <c r="UMS585" s="150"/>
      <c r="UMU585" s="152"/>
      <c r="UMV585" s="542"/>
      <c r="UMW585" s="154"/>
      <c r="UMX585" s="175"/>
      <c r="UMZ585" s="156"/>
      <c r="UNA585" s="287"/>
      <c r="UNB585" s="488"/>
      <c r="UNC585" s="489"/>
      <c r="UND585" s="488"/>
      <c r="UNE585" s="300"/>
      <c r="UNF585" s="543"/>
      <c r="UNG585" s="533"/>
      <c r="UNH585" s="534"/>
      <c r="UNI585" s="316"/>
      <c r="UNJ585" s="316"/>
      <c r="UNK585" s="471"/>
      <c r="UNL585" s="472"/>
      <c r="UNM585" s="471"/>
      <c r="UNN585" s="473"/>
      <c r="UNO585" s="313"/>
      <c r="UNP585" s="535"/>
      <c r="UNQ585" s="536"/>
      <c r="UNR585" s="537"/>
      <c r="UNS585" s="538"/>
      <c r="UNT585" s="539"/>
      <c r="UNU585" s="540"/>
      <c r="UNV585" s="209"/>
      <c r="UNW585" s="541"/>
      <c r="UNX585" s="541"/>
      <c r="UNY585" s="482"/>
      <c r="UNZ585" s="173"/>
      <c r="UOA585" s="173"/>
      <c r="UOB585" s="544"/>
      <c r="UOD585" s="148"/>
      <c r="UOE585" s="148"/>
      <c r="UOF585" s="149"/>
      <c r="UOG585" s="150"/>
      <c r="UOI585" s="152"/>
      <c r="UOJ585" s="542"/>
      <c r="UOK585" s="154"/>
      <c r="UOL585" s="175"/>
      <c r="UON585" s="156"/>
      <c r="UOO585" s="287"/>
      <c r="UOP585" s="488"/>
      <c r="UOQ585" s="489"/>
      <c r="UOR585" s="488"/>
      <c r="UOS585" s="300"/>
      <c r="UOT585" s="543"/>
      <c r="UOU585" s="533"/>
      <c r="UOV585" s="534"/>
      <c r="UOW585" s="316"/>
      <c r="UOX585" s="316"/>
      <c r="UOY585" s="471"/>
      <c r="UOZ585" s="472"/>
      <c r="UPA585" s="471"/>
      <c r="UPB585" s="473"/>
      <c r="UPC585" s="313"/>
      <c r="UPD585" s="535"/>
      <c r="UPE585" s="536"/>
      <c r="UPF585" s="537"/>
      <c r="UPG585" s="538"/>
      <c r="UPH585" s="539"/>
      <c r="UPI585" s="540"/>
      <c r="UPJ585" s="209"/>
      <c r="UPK585" s="541"/>
      <c r="UPL585" s="541"/>
      <c r="UPM585" s="482"/>
      <c r="UPN585" s="173"/>
      <c r="UPO585" s="173"/>
      <c r="UPP585" s="544"/>
      <c r="UPR585" s="148"/>
      <c r="UPS585" s="148"/>
      <c r="UPT585" s="149"/>
      <c r="UPU585" s="150"/>
      <c r="UPW585" s="152"/>
      <c r="UPX585" s="542"/>
      <c r="UPY585" s="154"/>
      <c r="UPZ585" s="175"/>
      <c r="UQB585" s="156"/>
      <c r="UQC585" s="287"/>
      <c r="UQD585" s="488"/>
      <c r="UQE585" s="489"/>
      <c r="UQF585" s="488"/>
      <c r="UQG585" s="300"/>
      <c r="UQH585" s="543"/>
      <c r="UQI585" s="533"/>
      <c r="UQJ585" s="534"/>
      <c r="UQK585" s="316"/>
      <c r="UQL585" s="316"/>
      <c r="UQM585" s="471"/>
      <c r="UQN585" s="472"/>
      <c r="UQO585" s="471"/>
      <c r="UQP585" s="473"/>
      <c r="UQQ585" s="313"/>
      <c r="UQR585" s="535"/>
      <c r="UQS585" s="536"/>
      <c r="UQT585" s="537"/>
      <c r="UQU585" s="538"/>
      <c r="UQV585" s="539"/>
      <c r="UQW585" s="540"/>
      <c r="UQX585" s="209"/>
      <c r="UQY585" s="541"/>
      <c r="UQZ585" s="541"/>
      <c r="URA585" s="482"/>
      <c r="URB585" s="173"/>
      <c r="URC585" s="173"/>
      <c r="URD585" s="544"/>
      <c r="URF585" s="148"/>
      <c r="URG585" s="148"/>
      <c r="URH585" s="149"/>
      <c r="URI585" s="150"/>
      <c r="URK585" s="152"/>
      <c r="URL585" s="542"/>
      <c r="URM585" s="154"/>
      <c r="URN585" s="175"/>
      <c r="URP585" s="156"/>
      <c r="URQ585" s="287"/>
      <c r="URR585" s="488"/>
      <c r="URS585" s="489"/>
      <c r="URT585" s="488"/>
      <c r="URU585" s="300"/>
      <c r="URV585" s="543"/>
      <c r="URW585" s="533"/>
      <c r="URX585" s="534"/>
      <c r="URY585" s="316"/>
      <c r="URZ585" s="316"/>
      <c r="USA585" s="471"/>
      <c r="USB585" s="472"/>
      <c r="USC585" s="471"/>
      <c r="USD585" s="473"/>
      <c r="USE585" s="313"/>
      <c r="USF585" s="535"/>
      <c r="USG585" s="536"/>
      <c r="USH585" s="537"/>
      <c r="USI585" s="538"/>
      <c r="USJ585" s="539"/>
      <c r="USK585" s="540"/>
      <c r="USL585" s="209"/>
      <c r="USM585" s="541"/>
      <c r="USN585" s="541"/>
      <c r="USO585" s="482"/>
      <c r="USP585" s="173"/>
      <c r="USQ585" s="173"/>
      <c r="USR585" s="544"/>
      <c r="UST585" s="148"/>
      <c r="USU585" s="148"/>
      <c r="USV585" s="149"/>
      <c r="USW585" s="150"/>
      <c r="USY585" s="152"/>
      <c r="USZ585" s="542"/>
      <c r="UTA585" s="154"/>
      <c r="UTB585" s="175"/>
      <c r="UTD585" s="156"/>
      <c r="UTE585" s="287"/>
      <c r="UTF585" s="488"/>
      <c r="UTG585" s="489"/>
      <c r="UTH585" s="488"/>
      <c r="UTI585" s="300"/>
      <c r="UTJ585" s="543"/>
      <c r="UTK585" s="533"/>
      <c r="UTL585" s="534"/>
      <c r="UTM585" s="316"/>
      <c r="UTN585" s="316"/>
      <c r="UTO585" s="471"/>
      <c r="UTP585" s="472"/>
      <c r="UTQ585" s="471"/>
      <c r="UTR585" s="473"/>
      <c r="UTS585" s="313"/>
      <c r="UTT585" s="535"/>
      <c r="UTU585" s="536"/>
      <c r="UTV585" s="537"/>
      <c r="UTW585" s="538"/>
      <c r="UTX585" s="539"/>
      <c r="UTY585" s="540"/>
      <c r="UTZ585" s="209"/>
      <c r="UUA585" s="541"/>
      <c r="UUB585" s="541"/>
      <c r="UUC585" s="482"/>
      <c r="UUD585" s="173"/>
      <c r="UUE585" s="173"/>
      <c r="UUF585" s="544"/>
      <c r="UUH585" s="148"/>
      <c r="UUI585" s="148"/>
      <c r="UUJ585" s="149"/>
      <c r="UUK585" s="150"/>
      <c r="UUM585" s="152"/>
      <c r="UUN585" s="542"/>
      <c r="UUO585" s="154"/>
      <c r="UUP585" s="175"/>
      <c r="UUR585" s="156"/>
      <c r="UUS585" s="287"/>
      <c r="UUT585" s="488"/>
      <c r="UUU585" s="489"/>
      <c r="UUV585" s="488"/>
      <c r="UUW585" s="300"/>
      <c r="UUX585" s="543"/>
      <c r="UUY585" s="533"/>
      <c r="UUZ585" s="534"/>
      <c r="UVA585" s="316"/>
      <c r="UVB585" s="316"/>
      <c r="UVC585" s="471"/>
      <c r="UVD585" s="472"/>
      <c r="UVE585" s="471"/>
      <c r="UVF585" s="473"/>
      <c r="UVG585" s="313"/>
      <c r="UVH585" s="535"/>
      <c r="UVI585" s="536"/>
      <c r="UVJ585" s="537"/>
      <c r="UVK585" s="538"/>
      <c r="UVL585" s="539"/>
      <c r="UVM585" s="540"/>
      <c r="UVN585" s="209"/>
      <c r="UVO585" s="541"/>
      <c r="UVP585" s="541"/>
      <c r="UVQ585" s="482"/>
      <c r="UVR585" s="173"/>
      <c r="UVS585" s="173"/>
      <c r="UVT585" s="544"/>
      <c r="UVV585" s="148"/>
      <c r="UVW585" s="148"/>
      <c r="UVX585" s="149"/>
      <c r="UVY585" s="150"/>
      <c r="UWA585" s="152"/>
      <c r="UWB585" s="542"/>
      <c r="UWC585" s="154"/>
      <c r="UWD585" s="175"/>
      <c r="UWF585" s="156"/>
      <c r="UWG585" s="287"/>
      <c r="UWH585" s="488"/>
      <c r="UWI585" s="489"/>
      <c r="UWJ585" s="488"/>
      <c r="UWK585" s="300"/>
      <c r="UWL585" s="543"/>
      <c r="UWM585" s="533"/>
      <c r="UWN585" s="534"/>
      <c r="UWO585" s="316"/>
      <c r="UWP585" s="316"/>
      <c r="UWQ585" s="471"/>
      <c r="UWR585" s="472"/>
      <c r="UWS585" s="471"/>
      <c r="UWT585" s="473"/>
      <c r="UWU585" s="313"/>
      <c r="UWV585" s="535"/>
      <c r="UWW585" s="536"/>
      <c r="UWX585" s="537"/>
      <c r="UWY585" s="538"/>
      <c r="UWZ585" s="539"/>
      <c r="UXA585" s="540"/>
      <c r="UXB585" s="209"/>
      <c r="UXC585" s="541"/>
      <c r="UXD585" s="541"/>
      <c r="UXE585" s="482"/>
      <c r="UXF585" s="173"/>
      <c r="UXG585" s="173"/>
      <c r="UXH585" s="544"/>
      <c r="UXJ585" s="148"/>
      <c r="UXK585" s="148"/>
      <c r="UXL585" s="149"/>
      <c r="UXM585" s="150"/>
      <c r="UXO585" s="152"/>
      <c r="UXP585" s="542"/>
      <c r="UXQ585" s="154"/>
      <c r="UXR585" s="175"/>
      <c r="UXT585" s="156"/>
      <c r="UXU585" s="287"/>
      <c r="UXV585" s="488"/>
      <c r="UXW585" s="489"/>
      <c r="UXX585" s="488"/>
      <c r="UXY585" s="300"/>
      <c r="UXZ585" s="543"/>
      <c r="UYA585" s="533"/>
      <c r="UYB585" s="534"/>
      <c r="UYC585" s="316"/>
      <c r="UYD585" s="316"/>
      <c r="UYE585" s="471"/>
      <c r="UYF585" s="472"/>
      <c r="UYG585" s="471"/>
      <c r="UYH585" s="473"/>
      <c r="UYI585" s="313"/>
      <c r="UYJ585" s="535"/>
      <c r="UYK585" s="536"/>
      <c r="UYL585" s="537"/>
      <c r="UYM585" s="538"/>
      <c r="UYN585" s="539"/>
      <c r="UYO585" s="540"/>
      <c r="UYP585" s="209"/>
      <c r="UYQ585" s="541"/>
      <c r="UYR585" s="541"/>
      <c r="UYS585" s="482"/>
      <c r="UYT585" s="173"/>
      <c r="UYU585" s="173"/>
      <c r="UYV585" s="544"/>
      <c r="UYX585" s="148"/>
      <c r="UYY585" s="148"/>
      <c r="UYZ585" s="149"/>
      <c r="UZA585" s="150"/>
      <c r="UZC585" s="152"/>
      <c r="UZD585" s="542"/>
      <c r="UZE585" s="154"/>
      <c r="UZF585" s="175"/>
      <c r="UZH585" s="156"/>
      <c r="UZI585" s="287"/>
      <c r="UZJ585" s="488"/>
      <c r="UZK585" s="489"/>
      <c r="UZL585" s="488"/>
      <c r="UZM585" s="300"/>
      <c r="UZN585" s="543"/>
      <c r="UZO585" s="533"/>
      <c r="UZP585" s="534"/>
      <c r="UZQ585" s="316"/>
      <c r="UZR585" s="316"/>
      <c r="UZS585" s="471"/>
      <c r="UZT585" s="472"/>
      <c r="UZU585" s="471"/>
      <c r="UZV585" s="473"/>
      <c r="UZW585" s="313"/>
      <c r="UZX585" s="535"/>
      <c r="UZY585" s="536"/>
      <c r="UZZ585" s="537"/>
      <c r="VAA585" s="538"/>
      <c r="VAB585" s="539"/>
      <c r="VAC585" s="540"/>
      <c r="VAD585" s="209"/>
      <c r="VAE585" s="541"/>
      <c r="VAF585" s="541"/>
      <c r="VAG585" s="482"/>
      <c r="VAH585" s="173"/>
      <c r="VAI585" s="173"/>
      <c r="VAJ585" s="544"/>
      <c r="VAL585" s="148"/>
      <c r="VAM585" s="148"/>
      <c r="VAN585" s="149"/>
      <c r="VAO585" s="150"/>
      <c r="VAQ585" s="152"/>
      <c r="VAR585" s="542"/>
      <c r="VAS585" s="154"/>
      <c r="VAT585" s="175"/>
      <c r="VAV585" s="156"/>
      <c r="VAW585" s="287"/>
      <c r="VAX585" s="488"/>
      <c r="VAY585" s="489"/>
      <c r="VAZ585" s="488"/>
      <c r="VBA585" s="300"/>
      <c r="VBB585" s="543"/>
      <c r="VBC585" s="533"/>
      <c r="VBD585" s="534"/>
      <c r="VBE585" s="316"/>
      <c r="VBF585" s="316"/>
      <c r="VBG585" s="471"/>
      <c r="VBH585" s="472"/>
      <c r="VBI585" s="471"/>
      <c r="VBJ585" s="473"/>
      <c r="VBK585" s="313"/>
      <c r="VBL585" s="535"/>
      <c r="VBM585" s="536"/>
      <c r="VBN585" s="537"/>
      <c r="VBO585" s="538"/>
      <c r="VBP585" s="539"/>
      <c r="VBQ585" s="540"/>
      <c r="VBR585" s="209"/>
      <c r="VBS585" s="541"/>
      <c r="VBT585" s="541"/>
      <c r="VBU585" s="482"/>
      <c r="VBV585" s="173"/>
      <c r="VBW585" s="173"/>
      <c r="VBX585" s="544"/>
      <c r="VBZ585" s="148"/>
      <c r="VCA585" s="148"/>
      <c r="VCB585" s="149"/>
      <c r="VCC585" s="150"/>
      <c r="VCE585" s="152"/>
      <c r="VCF585" s="542"/>
      <c r="VCG585" s="154"/>
      <c r="VCH585" s="175"/>
      <c r="VCJ585" s="156"/>
      <c r="VCK585" s="287"/>
      <c r="VCL585" s="488"/>
      <c r="VCM585" s="489"/>
      <c r="VCN585" s="488"/>
      <c r="VCO585" s="300"/>
      <c r="VCP585" s="543"/>
      <c r="VCQ585" s="533"/>
      <c r="VCR585" s="534"/>
      <c r="VCS585" s="316"/>
      <c r="VCT585" s="316"/>
      <c r="VCU585" s="471"/>
      <c r="VCV585" s="472"/>
      <c r="VCW585" s="471"/>
      <c r="VCX585" s="473"/>
      <c r="VCY585" s="313"/>
      <c r="VCZ585" s="535"/>
      <c r="VDA585" s="536"/>
      <c r="VDB585" s="537"/>
      <c r="VDC585" s="538"/>
      <c r="VDD585" s="539"/>
      <c r="VDE585" s="540"/>
      <c r="VDF585" s="209"/>
      <c r="VDG585" s="541"/>
      <c r="VDH585" s="541"/>
      <c r="VDI585" s="482"/>
      <c r="VDJ585" s="173"/>
      <c r="VDK585" s="173"/>
      <c r="VDL585" s="544"/>
      <c r="VDN585" s="148"/>
      <c r="VDO585" s="148"/>
      <c r="VDP585" s="149"/>
      <c r="VDQ585" s="150"/>
      <c r="VDS585" s="152"/>
      <c r="VDT585" s="542"/>
      <c r="VDU585" s="154"/>
      <c r="VDV585" s="175"/>
      <c r="VDX585" s="156"/>
      <c r="VDY585" s="287"/>
      <c r="VDZ585" s="488"/>
      <c r="VEA585" s="489"/>
      <c r="VEB585" s="488"/>
      <c r="VEC585" s="300"/>
      <c r="VED585" s="543"/>
      <c r="VEE585" s="533"/>
      <c r="VEF585" s="534"/>
      <c r="VEG585" s="316"/>
      <c r="VEH585" s="316"/>
      <c r="VEI585" s="471"/>
      <c r="VEJ585" s="472"/>
      <c r="VEK585" s="471"/>
      <c r="VEL585" s="473"/>
      <c r="VEM585" s="313"/>
      <c r="VEN585" s="535"/>
      <c r="VEO585" s="536"/>
      <c r="VEP585" s="537"/>
      <c r="VEQ585" s="538"/>
      <c r="VER585" s="539"/>
      <c r="VES585" s="540"/>
      <c r="VET585" s="209"/>
      <c r="VEU585" s="541"/>
      <c r="VEV585" s="541"/>
      <c r="VEW585" s="482"/>
      <c r="VEX585" s="173"/>
      <c r="VEY585" s="173"/>
      <c r="VEZ585" s="544"/>
      <c r="VFB585" s="148"/>
      <c r="VFC585" s="148"/>
      <c r="VFD585" s="149"/>
      <c r="VFE585" s="150"/>
      <c r="VFG585" s="152"/>
      <c r="VFH585" s="542"/>
      <c r="VFI585" s="154"/>
      <c r="VFJ585" s="175"/>
      <c r="VFL585" s="156"/>
      <c r="VFM585" s="287"/>
      <c r="VFN585" s="488"/>
      <c r="VFO585" s="489"/>
      <c r="VFP585" s="488"/>
      <c r="VFQ585" s="300"/>
      <c r="VFR585" s="543"/>
      <c r="VFS585" s="533"/>
      <c r="VFT585" s="534"/>
      <c r="VFU585" s="316"/>
      <c r="VFV585" s="316"/>
      <c r="VFW585" s="471"/>
      <c r="VFX585" s="472"/>
      <c r="VFY585" s="471"/>
      <c r="VFZ585" s="473"/>
      <c r="VGA585" s="313"/>
      <c r="VGB585" s="535"/>
      <c r="VGC585" s="536"/>
      <c r="VGD585" s="537"/>
      <c r="VGE585" s="538"/>
      <c r="VGF585" s="539"/>
      <c r="VGG585" s="540"/>
      <c r="VGH585" s="209"/>
      <c r="VGI585" s="541"/>
      <c r="VGJ585" s="541"/>
      <c r="VGK585" s="482"/>
      <c r="VGL585" s="173"/>
      <c r="VGM585" s="173"/>
      <c r="VGN585" s="544"/>
      <c r="VGP585" s="148"/>
      <c r="VGQ585" s="148"/>
      <c r="VGR585" s="149"/>
      <c r="VGS585" s="150"/>
      <c r="VGU585" s="152"/>
      <c r="VGV585" s="542"/>
      <c r="VGW585" s="154"/>
      <c r="VGX585" s="175"/>
      <c r="VGZ585" s="156"/>
      <c r="VHA585" s="287"/>
      <c r="VHB585" s="488"/>
      <c r="VHC585" s="489"/>
      <c r="VHD585" s="488"/>
      <c r="VHE585" s="300"/>
      <c r="VHF585" s="543"/>
      <c r="VHG585" s="533"/>
      <c r="VHH585" s="534"/>
      <c r="VHI585" s="316"/>
      <c r="VHJ585" s="316"/>
      <c r="VHK585" s="471"/>
      <c r="VHL585" s="472"/>
      <c r="VHM585" s="471"/>
      <c r="VHN585" s="473"/>
      <c r="VHO585" s="313"/>
      <c r="VHP585" s="535"/>
      <c r="VHQ585" s="536"/>
      <c r="VHR585" s="537"/>
      <c r="VHS585" s="538"/>
      <c r="VHT585" s="539"/>
      <c r="VHU585" s="540"/>
      <c r="VHV585" s="209"/>
      <c r="VHW585" s="541"/>
      <c r="VHX585" s="541"/>
      <c r="VHY585" s="482"/>
      <c r="VHZ585" s="173"/>
      <c r="VIA585" s="173"/>
      <c r="VIB585" s="544"/>
      <c r="VID585" s="148"/>
      <c r="VIE585" s="148"/>
      <c r="VIF585" s="149"/>
      <c r="VIG585" s="150"/>
      <c r="VII585" s="152"/>
      <c r="VIJ585" s="542"/>
      <c r="VIK585" s="154"/>
      <c r="VIL585" s="175"/>
      <c r="VIN585" s="156"/>
      <c r="VIO585" s="287"/>
      <c r="VIP585" s="488"/>
      <c r="VIQ585" s="489"/>
      <c r="VIR585" s="488"/>
      <c r="VIS585" s="300"/>
      <c r="VIT585" s="543"/>
      <c r="VIU585" s="533"/>
      <c r="VIV585" s="534"/>
      <c r="VIW585" s="316"/>
      <c r="VIX585" s="316"/>
      <c r="VIY585" s="471"/>
      <c r="VIZ585" s="472"/>
      <c r="VJA585" s="471"/>
      <c r="VJB585" s="473"/>
      <c r="VJC585" s="313"/>
      <c r="VJD585" s="535"/>
      <c r="VJE585" s="536"/>
      <c r="VJF585" s="537"/>
      <c r="VJG585" s="538"/>
      <c r="VJH585" s="539"/>
      <c r="VJI585" s="540"/>
      <c r="VJJ585" s="209"/>
      <c r="VJK585" s="541"/>
      <c r="VJL585" s="541"/>
      <c r="VJM585" s="482"/>
      <c r="VJN585" s="173"/>
      <c r="VJO585" s="173"/>
      <c r="VJP585" s="544"/>
      <c r="VJR585" s="148"/>
      <c r="VJS585" s="148"/>
      <c r="VJT585" s="149"/>
      <c r="VJU585" s="150"/>
      <c r="VJW585" s="152"/>
      <c r="VJX585" s="542"/>
      <c r="VJY585" s="154"/>
      <c r="VJZ585" s="175"/>
      <c r="VKB585" s="156"/>
      <c r="VKC585" s="287"/>
      <c r="VKD585" s="488"/>
      <c r="VKE585" s="489"/>
      <c r="VKF585" s="488"/>
      <c r="VKG585" s="300"/>
      <c r="VKH585" s="543"/>
      <c r="VKI585" s="533"/>
      <c r="VKJ585" s="534"/>
      <c r="VKK585" s="316"/>
      <c r="VKL585" s="316"/>
      <c r="VKM585" s="471"/>
      <c r="VKN585" s="472"/>
      <c r="VKO585" s="471"/>
      <c r="VKP585" s="473"/>
      <c r="VKQ585" s="313"/>
      <c r="VKR585" s="535"/>
      <c r="VKS585" s="536"/>
      <c r="VKT585" s="537"/>
      <c r="VKU585" s="538"/>
      <c r="VKV585" s="539"/>
      <c r="VKW585" s="540"/>
      <c r="VKX585" s="209"/>
      <c r="VKY585" s="541"/>
      <c r="VKZ585" s="541"/>
      <c r="VLA585" s="482"/>
      <c r="VLB585" s="173"/>
      <c r="VLC585" s="173"/>
      <c r="VLD585" s="544"/>
      <c r="VLF585" s="148"/>
      <c r="VLG585" s="148"/>
      <c r="VLH585" s="149"/>
      <c r="VLI585" s="150"/>
      <c r="VLK585" s="152"/>
      <c r="VLL585" s="542"/>
      <c r="VLM585" s="154"/>
      <c r="VLN585" s="175"/>
      <c r="VLP585" s="156"/>
      <c r="VLQ585" s="287"/>
      <c r="VLR585" s="488"/>
      <c r="VLS585" s="489"/>
      <c r="VLT585" s="488"/>
      <c r="VLU585" s="300"/>
      <c r="VLV585" s="543"/>
      <c r="VLW585" s="533"/>
      <c r="VLX585" s="534"/>
      <c r="VLY585" s="316"/>
      <c r="VLZ585" s="316"/>
      <c r="VMA585" s="471"/>
      <c r="VMB585" s="472"/>
      <c r="VMC585" s="471"/>
      <c r="VMD585" s="473"/>
      <c r="VME585" s="313"/>
      <c r="VMF585" s="535"/>
      <c r="VMG585" s="536"/>
      <c r="VMH585" s="537"/>
      <c r="VMI585" s="538"/>
      <c r="VMJ585" s="539"/>
      <c r="VMK585" s="540"/>
      <c r="VML585" s="209"/>
      <c r="VMM585" s="541"/>
      <c r="VMN585" s="541"/>
      <c r="VMO585" s="482"/>
      <c r="VMP585" s="173"/>
      <c r="VMQ585" s="173"/>
      <c r="VMR585" s="544"/>
      <c r="VMT585" s="148"/>
      <c r="VMU585" s="148"/>
      <c r="VMV585" s="149"/>
      <c r="VMW585" s="150"/>
      <c r="VMY585" s="152"/>
      <c r="VMZ585" s="542"/>
      <c r="VNA585" s="154"/>
      <c r="VNB585" s="175"/>
      <c r="VND585" s="156"/>
      <c r="VNE585" s="287"/>
      <c r="VNF585" s="488"/>
      <c r="VNG585" s="489"/>
      <c r="VNH585" s="488"/>
      <c r="VNI585" s="300"/>
      <c r="VNJ585" s="543"/>
      <c r="VNK585" s="533"/>
      <c r="VNL585" s="534"/>
      <c r="VNM585" s="316"/>
      <c r="VNN585" s="316"/>
      <c r="VNO585" s="471"/>
      <c r="VNP585" s="472"/>
      <c r="VNQ585" s="471"/>
      <c r="VNR585" s="473"/>
      <c r="VNS585" s="313"/>
      <c r="VNT585" s="535"/>
      <c r="VNU585" s="536"/>
      <c r="VNV585" s="537"/>
      <c r="VNW585" s="538"/>
      <c r="VNX585" s="539"/>
      <c r="VNY585" s="540"/>
      <c r="VNZ585" s="209"/>
      <c r="VOA585" s="541"/>
      <c r="VOB585" s="541"/>
      <c r="VOC585" s="482"/>
      <c r="VOD585" s="173"/>
      <c r="VOE585" s="173"/>
      <c r="VOF585" s="544"/>
      <c r="VOH585" s="148"/>
      <c r="VOI585" s="148"/>
      <c r="VOJ585" s="149"/>
      <c r="VOK585" s="150"/>
      <c r="VOM585" s="152"/>
      <c r="VON585" s="542"/>
      <c r="VOO585" s="154"/>
      <c r="VOP585" s="175"/>
      <c r="VOR585" s="156"/>
      <c r="VOS585" s="287"/>
      <c r="VOT585" s="488"/>
      <c r="VOU585" s="489"/>
      <c r="VOV585" s="488"/>
      <c r="VOW585" s="300"/>
      <c r="VOX585" s="543"/>
      <c r="VOY585" s="533"/>
      <c r="VOZ585" s="534"/>
      <c r="VPA585" s="316"/>
      <c r="VPB585" s="316"/>
      <c r="VPC585" s="471"/>
      <c r="VPD585" s="472"/>
      <c r="VPE585" s="471"/>
      <c r="VPF585" s="473"/>
      <c r="VPG585" s="313"/>
      <c r="VPH585" s="535"/>
      <c r="VPI585" s="536"/>
      <c r="VPJ585" s="537"/>
      <c r="VPK585" s="538"/>
      <c r="VPL585" s="539"/>
      <c r="VPM585" s="540"/>
      <c r="VPN585" s="209"/>
      <c r="VPO585" s="541"/>
      <c r="VPP585" s="541"/>
      <c r="VPQ585" s="482"/>
      <c r="VPR585" s="173"/>
      <c r="VPS585" s="173"/>
      <c r="VPT585" s="544"/>
      <c r="VPV585" s="148"/>
      <c r="VPW585" s="148"/>
      <c r="VPX585" s="149"/>
      <c r="VPY585" s="150"/>
      <c r="VQA585" s="152"/>
      <c r="VQB585" s="542"/>
      <c r="VQC585" s="154"/>
      <c r="VQD585" s="175"/>
      <c r="VQF585" s="156"/>
      <c r="VQG585" s="287"/>
      <c r="VQH585" s="488"/>
      <c r="VQI585" s="489"/>
      <c r="VQJ585" s="488"/>
      <c r="VQK585" s="300"/>
      <c r="VQL585" s="543"/>
      <c r="VQM585" s="533"/>
      <c r="VQN585" s="534"/>
      <c r="VQO585" s="316"/>
      <c r="VQP585" s="316"/>
      <c r="VQQ585" s="471"/>
      <c r="VQR585" s="472"/>
      <c r="VQS585" s="471"/>
      <c r="VQT585" s="473"/>
      <c r="VQU585" s="313"/>
      <c r="VQV585" s="535"/>
      <c r="VQW585" s="536"/>
      <c r="VQX585" s="537"/>
      <c r="VQY585" s="538"/>
      <c r="VQZ585" s="539"/>
      <c r="VRA585" s="540"/>
      <c r="VRB585" s="209"/>
      <c r="VRC585" s="541"/>
      <c r="VRD585" s="541"/>
      <c r="VRE585" s="482"/>
      <c r="VRF585" s="173"/>
      <c r="VRG585" s="173"/>
      <c r="VRH585" s="544"/>
      <c r="VRJ585" s="148"/>
      <c r="VRK585" s="148"/>
      <c r="VRL585" s="149"/>
      <c r="VRM585" s="150"/>
      <c r="VRO585" s="152"/>
      <c r="VRP585" s="542"/>
      <c r="VRQ585" s="154"/>
      <c r="VRR585" s="175"/>
      <c r="VRT585" s="156"/>
      <c r="VRU585" s="287"/>
      <c r="VRV585" s="488"/>
      <c r="VRW585" s="489"/>
      <c r="VRX585" s="488"/>
      <c r="VRY585" s="300"/>
      <c r="VRZ585" s="543"/>
      <c r="VSA585" s="533"/>
      <c r="VSB585" s="534"/>
      <c r="VSC585" s="316"/>
      <c r="VSD585" s="316"/>
      <c r="VSE585" s="471"/>
      <c r="VSF585" s="472"/>
      <c r="VSG585" s="471"/>
      <c r="VSH585" s="473"/>
      <c r="VSI585" s="313"/>
      <c r="VSJ585" s="535"/>
      <c r="VSK585" s="536"/>
      <c r="VSL585" s="537"/>
      <c r="VSM585" s="538"/>
      <c r="VSN585" s="539"/>
      <c r="VSO585" s="540"/>
      <c r="VSP585" s="209"/>
      <c r="VSQ585" s="541"/>
      <c r="VSR585" s="541"/>
      <c r="VSS585" s="482"/>
      <c r="VST585" s="173"/>
      <c r="VSU585" s="173"/>
      <c r="VSV585" s="544"/>
      <c r="VSX585" s="148"/>
      <c r="VSY585" s="148"/>
      <c r="VSZ585" s="149"/>
      <c r="VTA585" s="150"/>
      <c r="VTC585" s="152"/>
      <c r="VTD585" s="542"/>
      <c r="VTE585" s="154"/>
      <c r="VTF585" s="175"/>
      <c r="VTH585" s="156"/>
      <c r="VTI585" s="287"/>
      <c r="VTJ585" s="488"/>
      <c r="VTK585" s="489"/>
      <c r="VTL585" s="488"/>
      <c r="VTM585" s="300"/>
      <c r="VTN585" s="543"/>
      <c r="VTO585" s="533"/>
      <c r="VTP585" s="534"/>
      <c r="VTQ585" s="316"/>
      <c r="VTR585" s="316"/>
      <c r="VTS585" s="471"/>
      <c r="VTT585" s="472"/>
      <c r="VTU585" s="471"/>
      <c r="VTV585" s="473"/>
      <c r="VTW585" s="313"/>
      <c r="VTX585" s="535"/>
      <c r="VTY585" s="536"/>
      <c r="VTZ585" s="537"/>
      <c r="VUA585" s="538"/>
      <c r="VUB585" s="539"/>
      <c r="VUC585" s="540"/>
      <c r="VUD585" s="209"/>
      <c r="VUE585" s="541"/>
      <c r="VUF585" s="541"/>
      <c r="VUG585" s="482"/>
      <c r="VUH585" s="173"/>
      <c r="VUI585" s="173"/>
      <c r="VUJ585" s="544"/>
      <c r="VUL585" s="148"/>
      <c r="VUM585" s="148"/>
      <c r="VUN585" s="149"/>
      <c r="VUO585" s="150"/>
      <c r="VUQ585" s="152"/>
      <c r="VUR585" s="542"/>
      <c r="VUS585" s="154"/>
      <c r="VUT585" s="175"/>
      <c r="VUV585" s="156"/>
      <c r="VUW585" s="287"/>
      <c r="VUX585" s="488"/>
      <c r="VUY585" s="489"/>
      <c r="VUZ585" s="488"/>
      <c r="VVA585" s="300"/>
      <c r="VVB585" s="543"/>
      <c r="VVC585" s="533"/>
      <c r="VVD585" s="534"/>
      <c r="VVE585" s="316"/>
      <c r="VVF585" s="316"/>
      <c r="VVG585" s="471"/>
      <c r="VVH585" s="472"/>
      <c r="VVI585" s="471"/>
      <c r="VVJ585" s="473"/>
      <c r="VVK585" s="313"/>
      <c r="VVL585" s="535"/>
      <c r="VVM585" s="536"/>
      <c r="VVN585" s="537"/>
      <c r="VVO585" s="538"/>
      <c r="VVP585" s="539"/>
      <c r="VVQ585" s="540"/>
      <c r="VVR585" s="209"/>
      <c r="VVS585" s="541"/>
      <c r="VVT585" s="541"/>
      <c r="VVU585" s="482"/>
      <c r="VVV585" s="173"/>
      <c r="VVW585" s="173"/>
      <c r="VVX585" s="544"/>
      <c r="VVZ585" s="148"/>
      <c r="VWA585" s="148"/>
      <c r="VWB585" s="149"/>
      <c r="VWC585" s="150"/>
      <c r="VWE585" s="152"/>
      <c r="VWF585" s="542"/>
      <c r="VWG585" s="154"/>
      <c r="VWH585" s="175"/>
      <c r="VWJ585" s="156"/>
      <c r="VWK585" s="287"/>
      <c r="VWL585" s="488"/>
      <c r="VWM585" s="489"/>
      <c r="VWN585" s="488"/>
      <c r="VWO585" s="300"/>
      <c r="VWP585" s="543"/>
      <c r="VWQ585" s="533"/>
      <c r="VWR585" s="534"/>
      <c r="VWS585" s="316"/>
      <c r="VWT585" s="316"/>
      <c r="VWU585" s="471"/>
      <c r="VWV585" s="472"/>
      <c r="VWW585" s="471"/>
      <c r="VWX585" s="473"/>
      <c r="VWY585" s="313"/>
      <c r="VWZ585" s="535"/>
      <c r="VXA585" s="536"/>
      <c r="VXB585" s="537"/>
      <c r="VXC585" s="538"/>
      <c r="VXD585" s="539"/>
      <c r="VXE585" s="540"/>
      <c r="VXF585" s="209"/>
      <c r="VXG585" s="541"/>
      <c r="VXH585" s="541"/>
      <c r="VXI585" s="482"/>
      <c r="VXJ585" s="173"/>
      <c r="VXK585" s="173"/>
      <c r="VXL585" s="544"/>
      <c r="VXN585" s="148"/>
      <c r="VXO585" s="148"/>
      <c r="VXP585" s="149"/>
      <c r="VXQ585" s="150"/>
      <c r="VXS585" s="152"/>
      <c r="VXT585" s="542"/>
      <c r="VXU585" s="154"/>
      <c r="VXV585" s="175"/>
      <c r="VXX585" s="156"/>
      <c r="VXY585" s="287"/>
      <c r="VXZ585" s="488"/>
      <c r="VYA585" s="489"/>
      <c r="VYB585" s="488"/>
      <c r="VYC585" s="300"/>
      <c r="VYD585" s="543"/>
      <c r="VYE585" s="533"/>
      <c r="VYF585" s="534"/>
      <c r="VYG585" s="316"/>
      <c r="VYH585" s="316"/>
      <c r="VYI585" s="471"/>
      <c r="VYJ585" s="472"/>
      <c r="VYK585" s="471"/>
      <c r="VYL585" s="473"/>
      <c r="VYM585" s="313"/>
      <c r="VYN585" s="535"/>
      <c r="VYO585" s="536"/>
      <c r="VYP585" s="537"/>
      <c r="VYQ585" s="538"/>
      <c r="VYR585" s="539"/>
      <c r="VYS585" s="540"/>
      <c r="VYT585" s="209"/>
      <c r="VYU585" s="541"/>
      <c r="VYV585" s="541"/>
      <c r="VYW585" s="482"/>
      <c r="VYX585" s="173"/>
      <c r="VYY585" s="173"/>
      <c r="VYZ585" s="544"/>
      <c r="VZB585" s="148"/>
      <c r="VZC585" s="148"/>
      <c r="VZD585" s="149"/>
      <c r="VZE585" s="150"/>
      <c r="VZG585" s="152"/>
      <c r="VZH585" s="542"/>
      <c r="VZI585" s="154"/>
      <c r="VZJ585" s="175"/>
      <c r="VZL585" s="156"/>
      <c r="VZM585" s="287"/>
      <c r="VZN585" s="488"/>
      <c r="VZO585" s="489"/>
      <c r="VZP585" s="488"/>
      <c r="VZQ585" s="300"/>
      <c r="VZR585" s="543"/>
      <c r="VZS585" s="533"/>
      <c r="VZT585" s="534"/>
      <c r="VZU585" s="316"/>
      <c r="VZV585" s="316"/>
      <c r="VZW585" s="471"/>
      <c r="VZX585" s="472"/>
      <c r="VZY585" s="471"/>
      <c r="VZZ585" s="473"/>
      <c r="WAA585" s="313"/>
      <c r="WAB585" s="535"/>
      <c r="WAC585" s="536"/>
      <c r="WAD585" s="537"/>
      <c r="WAE585" s="538"/>
      <c r="WAF585" s="539"/>
      <c r="WAG585" s="540"/>
      <c r="WAH585" s="209"/>
      <c r="WAI585" s="541"/>
      <c r="WAJ585" s="541"/>
      <c r="WAK585" s="482"/>
      <c r="WAL585" s="173"/>
      <c r="WAM585" s="173"/>
      <c r="WAN585" s="544"/>
      <c r="WAP585" s="148"/>
      <c r="WAQ585" s="148"/>
      <c r="WAR585" s="149"/>
      <c r="WAS585" s="150"/>
      <c r="WAU585" s="152"/>
      <c r="WAV585" s="542"/>
      <c r="WAW585" s="154"/>
      <c r="WAX585" s="175"/>
      <c r="WAZ585" s="156"/>
      <c r="WBA585" s="287"/>
      <c r="WBB585" s="488"/>
      <c r="WBC585" s="489"/>
      <c r="WBD585" s="488"/>
      <c r="WBE585" s="300"/>
      <c r="WBF585" s="543"/>
      <c r="WBG585" s="533"/>
      <c r="WBH585" s="534"/>
      <c r="WBI585" s="316"/>
      <c r="WBJ585" s="316"/>
      <c r="WBK585" s="471"/>
      <c r="WBL585" s="472"/>
      <c r="WBM585" s="471"/>
      <c r="WBN585" s="473"/>
      <c r="WBO585" s="313"/>
      <c r="WBP585" s="535"/>
      <c r="WBQ585" s="536"/>
      <c r="WBR585" s="537"/>
      <c r="WBS585" s="538"/>
      <c r="WBT585" s="539"/>
      <c r="WBU585" s="540"/>
      <c r="WBV585" s="209"/>
      <c r="WBW585" s="541"/>
      <c r="WBX585" s="541"/>
      <c r="WBY585" s="482"/>
      <c r="WBZ585" s="173"/>
      <c r="WCA585" s="173"/>
      <c r="WCB585" s="544"/>
      <c r="WCD585" s="148"/>
      <c r="WCE585" s="148"/>
      <c r="WCF585" s="149"/>
      <c r="WCG585" s="150"/>
      <c r="WCI585" s="152"/>
      <c r="WCJ585" s="542"/>
      <c r="WCK585" s="154"/>
      <c r="WCL585" s="175"/>
      <c r="WCN585" s="156"/>
      <c r="WCO585" s="287"/>
      <c r="WCP585" s="488"/>
      <c r="WCQ585" s="489"/>
      <c r="WCR585" s="488"/>
      <c r="WCS585" s="300"/>
      <c r="WCT585" s="543"/>
      <c r="WCU585" s="533"/>
      <c r="WCV585" s="534"/>
      <c r="WCW585" s="316"/>
      <c r="WCX585" s="316"/>
      <c r="WCY585" s="471"/>
      <c r="WCZ585" s="472"/>
      <c r="WDA585" s="471"/>
      <c r="WDB585" s="473"/>
      <c r="WDC585" s="313"/>
      <c r="WDD585" s="535"/>
      <c r="WDE585" s="536"/>
      <c r="WDF585" s="537"/>
      <c r="WDG585" s="538"/>
      <c r="WDH585" s="539"/>
      <c r="WDI585" s="540"/>
      <c r="WDJ585" s="209"/>
      <c r="WDK585" s="541"/>
      <c r="WDL585" s="541"/>
      <c r="WDM585" s="482"/>
      <c r="WDN585" s="173"/>
      <c r="WDO585" s="173"/>
      <c r="WDP585" s="544"/>
      <c r="WDR585" s="148"/>
      <c r="WDS585" s="148"/>
      <c r="WDT585" s="149"/>
      <c r="WDU585" s="150"/>
      <c r="WDW585" s="152"/>
      <c r="WDX585" s="542"/>
      <c r="WDY585" s="154"/>
      <c r="WDZ585" s="175"/>
      <c r="WEB585" s="156"/>
      <c r="WEC585" s="287"/>
      <c r="WED585" s="488"/>
      <c r="WEE585" s="489"/>
      <c r="WEF585" s="488"/>
      <c r="WEG585" s="300"/>
      <c r="WEH585" s="543"/>
      <c r="WEI585" s="533"/>
      <c r="WEJ585" s="534"/>
      <c r="WEK585" s="316"/>
      <c r="WEL585" s="316"/>
      <c r="WEM585" s="471"/>
      <c r="WEN585" s="472"/>
      <c r="WEO585" s="471"/>
      <c r="WEP585" s="473"/>
      <c r="WEQ585" s="313"/>
      <c r="WER585" s="535"/>
      <c r="WES585" s="536"/>
      <c r="WET585" s="537"/>
      <c r="WEU585" s="538"/>
      <c r="WEV585" s="539"/>
      <c r="WEW585" s="540"/>
      <c r="WEX585" s="209"/>
      <c r="WEY585" s="541"/>
      <c r="WEZ585" s="541"/>
      <c r="WFA585" s="482"/>
      <c r="WFB585" s="173"/>
      <c r="WFC585" s="173"/>
      <c r="WFD585" s="544"/>
      <c r="WFF585" s="148"/>
      <c r="WFG585" s="148"/>
      <c r="WFH585" s="149"/>
      <c r="WFI585" s="150"/>
      <c r="WFK585" s="152"/>
      <c r="WFL585" s="542"/>
      <c r="WFM585" s="154"/>
      <c r="WFN585" s="175"/>
      <c r="WFP585" s="156"/>
      <c r="WFQ585" s="287"/>
      <c r="WFR585" s="488"/>
      <c r="WFS585" s="489"/>
      <c r="WFT585" s="488"/>
      <c r="WFU585" s="300"/>
      <c r="WFV585" s="543"/>
      <c r="WFW585" s="533"/>
      <c r="WFX585" s="534"/>
      <c r="WFY585" s="316"/>
      <c r="WFZ585" s="316"/>
      <c r="WGA585" s="471"/>
      <c r="WGB585" s="472"/>
      <c r="WGC585" s="471"/>
      <c r="WGD585" s="473"/>
      <c r="WGE585" s="313"/>
      <c r="WGF585" s="535"/>
      <c r="WGG585" s="536"/>
      <c r="WGH585" s="537"/>
      <c r="WGI585" s="538"/>
      <c r="WGJ585" s="539"/>
      <c r="WGK585" s="540"/>
      <c r="WGL585" s="209"/>
      <c r="WGM585" s="541"/>
      <c r="WGN585" s="541"/>
      <c r="WGO585" s="482"/>
      <c r="WGP585" s="173"/>
      <c r="WGQ585" s="173"/>
      <c r="WGR585" s="544"/>
      <c r="WGT585" s="148"/>
      <c r="WGU585" s="148"/>
      <c r="WGV585" s="149"/>
      <c r="WGW585" s="150"/>
      <c r="WGY585" s="152"/>
      <c r="WGZ585" s="542"/>
      <c r="WHA585" s="154"/>
      <c r="WHB585" s="175"/>
      <c r="WHD585" s="156"/>
      <c r="WHE585" s="287"/>
      <c r="WHF585" s="488"/>
      <c r="WHG585" s="489"/>
      <c r="WHH585" s="488"/>
      <c r="WHI585" s="300"/>
      <c r="WHJ585" s="543"/>
      <c r="WHK585" s="533"/>
      <c r="WHL585" s="534"/>
      <c r="WHM585" s="316"/>
      <c r="WHN585" s="316"/>
      <c r="WHO585" s="471"/>
      <c r="WHP585" s="472"/>
      <c r="WHQ585" s="471"/>
      <c r="WHR585" s="473"/>
      <c r="WHS585" s="313"/>
      <c r="WHT585" s="535"/>
      <c r="WHU585" s="536"/>
      <c r="WHV585" s="537"/>
      <c r="WHW585" s="538"/>
      <c r="WHX585" s="539"/>
      <c r="WHY585" s="540"/>
      <c r="WHZ585" s="209"/>
      <c r="WIA585" s="541"/>
      <c r="WIB585" s="541"/>
      <c r="WIC585" s="482"/>
      <c r="WID585" s="173"/>
      <c r="WIE585" s="173"/>
      <c r="WIF585" s="544"/>
      <c r="WIH585" s="148"/>
      <c r="WII585" s="148"/>
      <c r="WIJ585" s="149"/>
      <c r="WIK585" s="150"/>
      <c r="WIM585" s="152"/>
      <c r="WIN585" s="542"/>
      <c r="WIO585" s="154"/>
      <c r="WIP585" s="175"/>
      <c r="WIR585" s="156"/>
      <c r="WIS585" s="287"/>
      <c r="WIT585" s="488"/>
      <c r="WIU585" s="489"/>
      <c r="WIV585" s="488"/>
      <c r="WIW585" s="300"/>
      <c r="WIX585" s="543"/>
      <c r="WIY585" s="533"/>
      <c r="WIZ585" s="534"/>
      <c r="WJA585" s="316"/>
      <c r="WJB585" s="316"/>
      <c r="WJC585" s="471"/>
      <c r="WJD585" s="472"/>
      <c r="WJE585" s="471"/>
      <c r="WJF585" s="473"/>
      <c r="WJG585" s="313"/>
      <c r="WJH585" s="535"/>
      <c r="WJI585" s="536"/>
      <c r="WJJ585" s="537"/>
      <c r="WJK585" s="538"/>
      <c r="WJL585" s="539"/>
      <c r="WJM585" s="540"/>
      <c r="WJN585" s="209"/>
      <c r="WJO585" s="541"/>
      <c r="WJP585" s="541"/>
      <c r="WJQ585" s="482"/>
      <c r="WJR585" s="173"/>
      <c r="WJS585" s="173"/>
      <c r="WJT585" s="544"/>
      <c r="WJV585" s="148"/>
      <c r="WJW585" s="148"/>
      <c r="WJX585" s="149"/>
      <c r="WJY585" s="150"/>
      <c r="WKA585" s="152"/>
      <c r="WKB585" s="542"/>
      <c r="WKC585" s="154"/>
      <c r="WKD585" s="175"/>
      <c r="WKF585" s="156"/>
      <c r="WKG585" s="287"/>
      <c r="WKH585" s="488"/>
      <c r="WKI585" s="489"/>
      <c r="WKJ585" s="488"/>
      <c r="WKK585" s="300"/>
      <c r="WKL585" s="543"/>
      <c r="WKM585" s="533"/>
      <c r="WKN585" s="534"/>
      <c r="WKO585" s="316"/>
      <c r="WKP585" s="316"/>
      <c r="WKQ585" s="471"/>
      <c r="WKR585" s="472"/>
      <c r="WKS585" s="471"/>
      <c r="WKT585" s="473"/>
      <c r="WKU585" s="313"/>
      <c r="WKV585" s="535"/>
      <c r="WKW585" s="536"/>
      <c r="WKX585" s="537"/>
      <c r="WKY585" s="538"/>
      <c r="WKZ585" s="539"/>
      <c r="WLA585" s="540"/>
      <c r="WLB585" s="209"/>
      <c r="WLC585" s="541"/>
      <c r="WLD585" s="541"/>
      <c r="WLE585" s="482"/>
      <c r="WLF585" s="173"/>
      <c r="WLG585" s="173"/>
      <c r="WLH585" s="544"/>
      <c r="WLJ585" s="148"/>
      <c r="WLK585" s="148"/>
      <c r="WLL585" s="149"/>
      <c r="WLM585" s="150"/>
      <c r="WLO585" s="152"/>
      <c r="WLP585" s="542"/>
      <c r="WLQ585" s="154"/>
      <c r="WLR585" s="175"/>
      <c r="WLT585" s="156"/>
      <c r="WLU585" s="287"/>
      <c r="WLV585" s="488"/>
      <c r="WLW585" s="489"/>
      <c r="WLX585" s="488"/>
      <c r="WLY585" s="300"/>
      <c r="WLZ585" s="543"/>
      <c r="WMA585" s="533"/>
      <c r="WMB585" s="534"/>
      <c r="WMC585" s="316"/>
      <c r="WMD585" s="316"/>
      <c r="WME585" s="471"/>
      <c r="WMF585" s="472"/>
      <c r="WMG585" s="471"/>
      <c r="WMH585" s="473"/>
      <c r="WMI585" s="313"/>
      <c r="WMJ585" s="535"/>
      <c r="WMK585" s="536"/>
      <c r="WML585" s="537"/>
      <c r="WMM585" s="538"/>
      <c r="WMN585" s="539"/>
      <c r="WMO585" s="540"/>
      <c r="WMP585" s="209"/>
      <c r="WMQ585" s="541"/>
      <c r="WMR585" s="541"/>
      <c r="WMS585" s="482"/>
      <c r="WMT585" s="173"/>
      <c r="WMU585" s="173"/>
      <c r="WMV585" s="544"/>
      <c r="WMX585" s="148"/>
      <c r="WMY585" s="148"/>
      <c r="WMZ585" s="149"/>
      <c r="WNA585" s="150"/>
      <c r="WNC585" s="152"/>
      <c r="WND585" s="542"/>
      <c r="WNE585" s="154"/>
      <c r="WNF585" s="175"/>
      <c r="WNH585" s="156"/>
      <c r="WNI585" s="287"/>
      <c r="WNJ585" s="488"/>
      <c r="WNK585" s="489"/>
      <c r="WNL585" s="488"/>
      <c r="WNM585" s="300"/>
      <c r="WNN585" s="543"/>
      <c r="WNO585" s="533"/>
      <c r="WNP585" s="534"/>
      <c r="WNQ585" s="316"/>
      <c r="WNR585" s="316"/>
      <c r="WNS585" s="471"/>
      <c r="WNT585" s="472"/>
      <c r="WNU585" s="471"/>
      <c r="WNV585" s="473"/>
      <c r="WNW585" s="313"/>
      <c r="WNX585" s="535"/>
      <c r="WNY585" s="536"/>
      <c r="WNZ585" s="537"/>
      <c r="WOA585" s="538"/>
      <c r="WOB585" s="539"/>
      <c r="WOC585" s="540"/>
      <c r="WOD585" s="209"/>
      <c r="WOE585" s="541"/>
      <c r="WOF585" s="541"/>
      <c r="WOG585" s="482"/>
      <c r="WOH585" s="173"/>
      <c r="WOI585" s="173"/>
      <c r="WOJ585" s="544"/>
      <c r="WOL585" s="148"/>
      <c r="WOM585" s="148"/>
      <c r="WON585" s="149"/>
      <c r="WOO585" s="150"/>
      <c r="WOQ585" s="152"/>
      <c r="WOR585" s="542"/>
      <c r="WOS585" s="154"/>
      <c r="WOT585" s="175"/>
      <c r="WOV585" s="156"/>
      <c r="WOW585" s="287"/>
      <c r="WOX585" s="488"/>
      <c r="WOY585" s="489"/>
      <c r="WOZ585" s="488"/>
      <c r="WPA585" s="300"/>
      <c r="WPB585" s="543"/>
      <c r="WPC585" s="533"/>
      <c r="WPD585" s="534"/>
      <c r="WPE585" s="316"/>
      <c r="WPF585" s="316"/>
      <c r="WPG585" s="471"/>
      <c r="WPH585" s="472"/>
      <c r="WPI585" s="471"/>
      <c r="WPJ585" s="473"/>
      <c r="WPK585" s="313"/>
      <c r="WPL585" s="535"/>
      <c r="WPM585" s="536"/>
      <c r="WPN585" s="537"/>
      <c r="WPO585" s="538"/>
      <c r="WPP585" s="539"/>
      <c r="WPQ585" s="540"/>
      <c r="WPR585" s="209"/>
      <c r="WPS585" s="541"/>
      <c r="WPT585" s="541"/>
      <c r="WPU585" s="482"/>
      <c r="WPV585" s="173"/>
      <c r="WPW585" s="173"/>
      <c r="WPX585" s="544"/>
      <c r="WPZ585" s="148"/>
      <c r="WQA585" s="148"/>
      <c r="WQB585" s="149"/>
      <c r="WQC585" s="150"/>
      <c r="WQE585" s="152"/>
      <c r="WQF585" s="542"/>
      <c r="WQG585" s="154"/>
      <c r="WQH585" s="175"/>
      <c r="WQJ585" s="156"/>
      <c r="WQK585" s="287"/>
      <c r="WQL585" s="488"/>
      <c r="WQM585" s="489"/>
      <c r="WQN585" s="488"/>
      <c r="WQO585" s="300"/>
      <c r="WQP585" s="543"/>
      <c r="WQQ585" s="533"/>
      <c r="WQR585" s="534"/>
      <c r="WQS585" s="316"/>
      <c r="WQT585" s="316"/>
      <c r="WQU585" s="471"/>
      <c r="WQV585" s="472"/>
      <c r="WQW585" s="471"/>
      <c r="WQX585" s="473"/>
      <c r="WQY585" s="313"/>
      <c r="WQZ585" s="535"/>
      <c r="WRA585" s="536"/>
      <c r="WRB585" s="537"/>
      <c r="WRC585" s="538"/>
      <c r="WRD585" s="539"/>
      <c r="WRE585" s="540"/>
      <c r="WRF585" s="209"/>
      <c r="WRG585" s="541"/>
      <c r="WRH585" s="541"/>
      <c r="WRI585" s="482"/>
      <c r="WRJ585" s="173"/>
      <c r="WRK585" s="173"/>
      <c r="WRL585" s="544"/>
      <c r="WRN585" s="148"/>
      <c r="WRO585" s="148"/>
      <c r="WRP585" s="149"/>
      <c r="WRQ585" s="150"/>
      <c r="WRS585" s="152"/>
      <c r="WRT585" s="542"/>
      <c r="WRU585" s="154"/>
      <c r="WRV585" s="175"/>
      <c r="WRX585" s="156"/>
      <c r="WRY585" s="287"/>
      <c r="WRZ585" s="488"/>
      <c r="WSA585" s="489"/>
      <c r="WSB585" s="488"/>
      <c r="WSC585" s="300"/>
      <c r="WSD585" s="543"/>
      <c r="WSE585" s="533"/>
      <c r="WSF585" s="534"/>
      <c r="WSG585" s="316"/>
      <c r="WSH585" s="316"/>
      <c r="WSI585" s="471"/>
      <c r="WSJ585" s="472"/>
      <c r="WSK585" s="471"/>
      <c r="WSL585" s="473"/>
      <c r="WSM585" s="313"/>
      <c r="WSN585" s="535"/>
      <c r="WSO585" s="536"/>
      <c r="WSP585" s="537"/>
      <c r="WSQ585" s="538"/>
      <c r="WSR585" s="539"/>
      <c r="WSS585" s="540"/>
      <c r="WST585" s="209"/>
      <c r="WSU585" s="541"/>
      <c r="WSV585" s="541"/>
      <c r="WSW585" s="482"/>
      <c r="WSX585" s="173"/>
      <c r="WSY585" s="173"/>
      <c r="WSZ585" s="544"/>
      <c r="WTB585" s="148"/>
      <c r="WTC585" s="148"/>
      <c r="WTD585" s="149"/>
      <c r="WTE585" s="150"/>
      <c r="WTG585" s="152"/>
      <c r="WTH585" s="542"/>
      <c r="WTI585" s="154"/>
      <c r="WTJ585" s="175"/>
      <c r="WTL585" s="156"/>
      <c r="WTM585" s="287"/>
      <c r="WTN585" s="488"/>
      <c r="WTO585" s="489"/>
      <c r="WTP585" s="488"/>
      <c r="WTQ585" s="300"/>
      <c r="WTR585" s="543"/>
      <c r="WTS585" s="533"/>
      <c r="WTT585" s="534"/>
      <c r="WTU585" s="316"/>
      <c r="WTV585" s="316"/>
      <c r="WTW585" s="471"/>
      <c r="WTX585" s="472"/>
      <c r="WTY585" s="471"/>
      <c r="WTZ585" s="473"/>
      <c r="WUA585" s="313"/>
      <c r="WUB585" s="535"/>
      <c r="WUC585" s="536"/>
      <c r="WUD585" s="537"/>
      <c r="WUE585" s="538"/>
      <c r="WUF585" s="539"/>
      <c r="WUG585" s="540"/>
      <c r="WUH585" s="209"/>
      <c r="WUI585" s="541"/>
      <c r="WUJ585" s="541"/>
      <c r="WUK585" s="482"/>
      <c r="WUL585" s="173"/>
      <c r="WUM585" s="173"/>
      <c r="WUN585" s="544"/>
      <c r="WUP585" s="148"/>
      <c r="WUQ585" s="148"/>
      <c r="WUR585" s="149"/>
      <c r="WUS585" s="150"/>
      <c r="WUU585" s="152"/>
      <c r="WUV585" s="542"/>
      <c r="WUW585" s="154"/>
      <c r="WUX585" s="175"/>
      <c r="WUZ585" s="156"/>
      <c r="WVA585" s="287"/>
      <c r="WVB585" s="488"/>
      <c r="WVC585" s="489"/>
      <c r="WVD585" s="488"/>
      <c r="WVE585" s="300"/>
      <c r="WVF585" s="543"/>
      <c r="WVG585" s="533"/>
      <c r="WVH585" s="534"/>
      <c r="WVI585" s="316"/>
      <c r="WVJ585" s="316"/>
      <c r="WVK585" s="471"/>
      <c r="WVL585" s="472"/>
      <c r="WVM585" s="471"/>
      <c r="WVN585" s="473"/>
      <c r="WVO585" s="313"/>
      <c r="WVP585" s="535"/>
      <c r="WVQ585" s="536"/>
      <c r="WVR585" s="537"/>
      <c r="WVS585" s="538"/>
      <c r="WVT585" s="539"/>
      <c r="WVU585" s="540"/>
      <c r="WVV585" s="209"/>
      <c r="WVW585" s="541"/>
      <c r="WVX585" s="541"/>
      <c r="WVY585" s="482"/>
      <c r="WVZ585" s="173"/>
      <c r="WWA585" s="173"/>
      <c r="WWB585" s="544"/>
      <c r="WWD585" s="148"/>
      <c r="WWE585" s="148"/>
      <c r="WWF585" s="149"/>
      <c r="WWG585" s="150"/>
      <c r="WWI585" s="152"/>
      <c r="WWJ585" s="542"/>
      <c r="WWK585" s="154"/>
      <c r="WWL585" s="175"/>
      <c r="WWN585" s="156"/>
      <c r="WWO585" s="287"/>
      <c r="WWP585" s="488"/>
      <c r="WWQ585" s="489"/>
      <c r="WWR585" s="488"/>
      <c r="WWS585" s="300"/>
      <c r="WWT585" s="543"/>
      <c r="WWU585" s="533"/>
      <c r="WWV585" s="534"/>
      <c r="WWW585" s="316"/>
      <c r="WWX585" s="316"/>
      <c r="WWY585" s="471"/>
      <c r="WWZ585" s="472"/>
      <c r="WXA585" s="471"/>
      <c r="WXB585" s="473"/>
      <c r="WXC585" s="313"/>
      <c r="WXD585" s="535"/>
      <c r="WXE585" s="536"/>
      <c r="WXF585" s="537"/>
      <c r="WXG585" s="538"/>
      <c r="WXH585" s="539"/>
      <c r="WXI585" s="540"/>
      <c r="WXJ585" s="209"/>
      <c r="WXK585" s="541"/>
      <c r="WXL585" s="541"/>
      <c r="WXM585" s="482"/>
      <c r="WXN585" s="173"/>
      <c r="WXO585" s="173"/>
      <c r="WXP585" s="544"/>
      <c r="WXR585" s="148"/>
      <c r="WXS585" s="148"/>
      <c r="WXT585" s="149"/>
      <c r="WXU585" s="150"/>
      <c r="WXW585" s="152"/>
      <c r="WXX585" s="542"/>
      <c r="WXY585" s="154"/>
      <c r="WXZ585" s="175"/>
      <c r="WYB585" s="156"/>
      <c r="WYC585" s="287"/>
      <c r="WYD585" s="488"/>
      <c r="WYE585" s="489"/>
      <c r="WYF585" s="488"/>
      <c r="WYG585" s="300"/>
      <c r="WYH585" s="543"/>
      <c r="WYI585" s="533"/>
      <c r="WYJ585" s="534"/>
      <c r="WYK585" s="316"/>
      <c r="WYL585" s="316"/>
      <c r="WYM585" s="471"/>
      <c r="WYN585" s="472"/>
      <c r="WYO585" s="471"/>
      <c r="WYP585" s="473"/>
      <c r="WYQ585" s="313"/>
      <c r="WYR585" s="535"/>
      <c r="WYS585" s="536"/>
      <c r="WYT585" s="537"/>
      <c r="WYU585" s="538"/>
      <c r="WYV585" s="539"/>
      <c r="WYW585" s="540"/>
      <c r="WYX585" s="209"/>
      <c r="WYY585" s="541"/>
      <c r="WYZ585" s="541"/>
      <c r="WZA585" s="482"/>
      <c r="WZB585" s="173"/>
      <c r="WZC585" s="173"/>
      <c r="WZD585" s="544"/>
      <c r="WZF585" s="148"/>
      <c r="WZG585" s="148"/>
      <c r="WZH585" s="149"/>
      <c r="WZI585" s="150"/>
      <c r="WZK585" s="152"/>
      <c r="WZL585" s="542"/>
      <c r="WZM585" s="154"/>
      <c r="WZN585" s="175"/>
      <c r="WZP585" s="156"/>
      <c r="WZQ585" s="287"/>
      <c r="WZR585" s="488"/>
      <c r="WZS585" s="489"/>
      <c r="WZT585" s="488"/>
      <c r="WZU585" s="300"/>
      <c r="WZV585" s="543"/>
      <c r="WZW585" s="533"/>
      <c r="WZX585" s="534"/>
      <c r="WZY585" s="316"/>
      <c r="WZZ585" s="316"/>
      <c r="XAA585" s="471"/>
      <c r="XAB585" s="472"/>
      <c r="XAC585" s="471"/>
      <c r="XAD585" s="473"/>
      <c r="XAE585" s="313"/>
      <c r="XAF585" s="535"/>
      <c r="XAG585" s="536"/>
      <c r="XAH585" s="537"/>
      <c r="XAI585" s="538"/>
      <c r="XAJ585" s="539"/>
      <c r="XAK585" s="540"/>
      <c r="XAL585" s="209"/>
      <c r="XAM585" s="541"/>
      <c r="XAN585" s="541"/>
      <c r="XAO585" s="482"/>
      <c r="XAP585" s="173"/>
      <c r="XAQ585" s="173"/>
      <c r="XAR585" s="544"/>
      <c r="XAT585" s="148"/>
      <c r="XAU585" s="148"/>
      <c r="XAV585" s="149"/>
      <c r="XAW585" s="150"/>
      <c r="XAY585" s="152"/>
      <c r="XAZ585" s="542"/>
      <c r="XBA585" s="154"/>
      <c r="XBB585" s="175"/>
      <c r="XBD585" s="156"/>
      <c r="XBE585" s="287"/>
      <c r="XBF585" s="488"/>
      <c r="XBG585" s="489"/>
      <c r="XBH585" s="488"/>
      <c r="XBI585" s="300"/>
      <c r="XBJ585" s="543"/>
      <c r="XBK585" s="533"/>
      <c r="XBL585" s="534"/>
      <c r="XBM585" s="316"/>
      <c r="XBN585" s="316"/>
      <c r="XBO585" s="471"/>
      <c r="XBP585" s="472"/>
      <c r="XBQ585" s="471"/>
      <c r="XBR585" s="473"/>
      <c r="XBS585" s="313"/>
      <c r="XBT585" s="535"/>
      <c r="XBU585" s="536"/>
      <c r="XBV585" s="537"/>
      <c r="XBW585" s="538"/>
      <c r="XBX585" s="539"/>
      <c r="XBY585" s="540"/>
      <c r="XBZ585" s="209"/>
      <c r="XCA585" s="541"/>
      <c r="XCB585" s="541"/>
      <c r="XCC585" s="482"/>
      <c r="XCD585" s="173"/>
      <c r="XCE585" s="173"/>
      <c r="XCF585" s="544"/>
      <c r="XCH585" s="148"/>
      <c r="XCI585" s="148"/>
      <c r="XCJ585" s="149"/>
      <c r="XCK585" s="150"/>
      <c r="XCM585" s="152"/>
      <c r="XCN585" s="542"/>
      <c r="XCO585" s="154"/>
      <c r="XCP585" s="175"/>
      <c r="XCR585" s="156"/>
      <c r="XCS585" s="287"/>
      <c r="XCT585" s="488"/>
      <c r="XCU585" s="489"/>
      <c r="XCV585" s="488"/>
      <c r="XCW585" s="300"/>
      <c r="XCX585" s="543"/>
      <c r="XCY585" s="533"/>
      <c r="XCZ585" s="534"/>
      <c r="XDA585" s="316"/>
      <c r="XDB585" s="316"/>
      <c r="XDC585" s="471"/>
      <c r="XDD585" s="472"/>
      <c r="XDE585" s="471"/>
      <c r="XDF585" s="473"/>
      <c r="XDG585" s="313"/>
      <c r="XDH585" s="535"/>
      <c r="XDI585" s="536"/>
      <c r="XDJ585" s="537"/>
      <c r="XDK585" s="538"/>
      <c r="XDL585" s="539"/>
      <c r="XDM585" s="540"/>
      <c r="XDN585" s="209"/>
      <c r="XDO585" s="541"/>
      <c r="XDP585" s="541"/>
      <c r="XDQ585" s="482"/>
      <c r="XDR585" s="173"/>
      <c r="XDS585" s="173"/>
      <c r="XDT585" s="544"/>
      <c r="XDV585" s="148"/>
      <c r="XDW585" s="148"/>
      <c r="XDX585" s="149"/>
      <c r="XDY585" s="150"/>
      <c r="XEA585" s="152"/>
      <c r="XEB585" s="542"/>
      <c r="XEC585" s="154"/>
      <c r="XED585" s="175"/>
      <c r="XEF585" s="156"/>
      <c r="XEG585" s="287"/>
      <c r="XEH585" s="488"/>
      <c r="XEI585" s="489"/>
      <c r="XEJ585" s="488"/>
      <c r="XEK585" s="300"/>
      <c r="XEL585" s="543"/>
      <c r="XEM585" s="533"/>
      <c r="XEN585" s="534"/>
      <c r="XEO585" s="316"/>
      <c r="XEP585" s="316"/>
      <c r="XEQ585" s="471"/>
      <c r="XER585" s="472"/>
      <c r="XES585" s="471"/>
      <c r="XET585" s="473"/>
      <c r="XEU585" s="313"/>
      <c r="XEV585" s="535"/>
      <c r="XEW585" s="536"/>
      <c r="XEX585" s="537"/>
      <c r="XEY585" s="538"/>
      <c r="XEZ585" s="539"/>
      <c r="XFA585" s="540"/>
      <c r="XFB585" s="209"/>
    </row>
    <row r="586" spans="1:16382" ht="34.5" customHeight="1">
      <c r="A586" s="125">
        <v>849</v>
      </c>
      <c r="B586" s="124">
        <v>461</v>
      </c>
      <c r="C586" s="162" t="s">
        <v>1893</v>
      </c>
      <c r="D586" s="227" t="s">
        <v>515</v>
      </c>
      <c r="E586" s="440" t="s">
        <v>94</v>
      </c>
      <c r="F586" s="227" t="s">
        <v>255</v>
      </c>
      <c r="G586" s="281" t="s">
        <v>2725</v>
      </c>
      <c r="H586" s="436">
        <v>890910913</v>
      </c>
      <c r="I586" s="273" t="s">
        <v>344</v>
      </c>
      <c r="J586" s="505">
        <v>206159191</v>
      </c>
      <c r="K586" s="131" t="s">
        <v>2851</v>
      </c>
      <c r="L586" s="438" t="s">
        <v>2842</v>
      </c>
      <c r="M586" s="194" t="s">
        <v>550</v>
      </c>
      <c r="N586" s="177" t="e" cm="1">
        <f t="array" aca="1" ref="N586" ca="1">_xlfn.XLOOKUP(Contrato5[[#This Row],[SUPERVISOR TITULAR]],[2]!PERSONAL_ACTIVO_2024[[#All],[Nombre completo]],[2]!PERSONAL_ACTIVO_2024[[#All],[Documento identidad]],"",0)</f>
        <v>#NAME?</v>
      </c>
      <c r="O586" s="194" t="s">
        <v>906</v>
      </c>
      <c r="P586" s="196" t="e" cm="1">
        <f t="array" aca="1" ref="P586" ca="1">_xlfn.XLOOKUP(Contrato5[[#This Row],[SUPERVISOR SUPLENTE ]],[2]!PERSONAL_ACTIVO_2024[[#All],[Nombre completo]],[2]!PERSONAL_ACTIVO_2024[[#All],[Documento identidad]],"",0)</f>
        <v>#NAME?</v>
      </c>
      <c r="Q586" s="170">
        <v>653</v>
      </c>
      <c r="R586" s="137" t="e" cm="1">
        <f t="array" aca="1" ref="R586" ca="1">_xlfn.XLOOKUP(Contrato5[[#This Row],[CDP]],[2]!DISPONIBILIDADES_2024[[#All],[consecutivo]],[2]!DISPONIBILIDADES_2024[[#All],[fecha_aprobacion]],"",0)</f>
        <v>#NAME?</v>
      </c>
      <c r="S586" s="138" t="e">
        <f>SUMIF([2]!DISPONIBILIDADES_2024[[#All],[consecutivo]],Contrato5[[#This Row],[CDP]],[2]!DISPONIBILIDADES_2024[[#All],[valor_total_rubro]])</f>
        <v>#REF!</v>
      </c>
      <c r="T586" s="139" t="e" cm="1">
        <f t="array" aca="1" ref="T586" ca="1">_xlfn.XLOOKUP(Contrato5[[#This Row],[CONTRATO]]&amp;Contrato5[[#This Row],[CDP]],[2]!Corr_Contr_CDP[[#All],[CONTRATO-CDP]],[2]!Corr_Contr_CDP[[#All],[CRP]],_xlfn.XLOOKUP(Contrato5[[#This Row],[CDP]],[2]!COMPROMISOS_2024[[#All],[disponibilidad]],[2]!COMPROMISOS_2024[[#All],[consecutivo]],"",0),0)</f>
        <v>#NAME?</v>
      </c>
      <c r="U586" s="140" t="e" cm="1">
        <f t="array" aca="1" ref="U586" ca="1">+_xlfn.XLOOKUP(Contrato5[[#This Row],[RCP]],[2]!COMPROMISOS_2024[[#All],[consecutivo]],[2]!COMPROMISOS_2024[[#All],[fecha_aprobacion]],"",0)</f>
        <v>#NAME?</v>
      </c>
      <c r="V586" s="141" t="e">
        <f ca="1">SUMIF([2]!COMPROMISOS_2024[[#All],[consecutivo]],Contrato5[[#This Row],[RCP]],[2]!COMPROMISOS_2024[[#All],[valor_total]])</f>
        <v>#REF!</v>
      </c>
      <c r="W586" s="160">
        <v>45526</v>
      </c>
      <c r="X586" s="161">
        <v>45527</v>
      </c>
      <c r="Y586" s="143">
        <v>45527</v>
      </c>
      <c r="Z586" s="262">
        <v>45596</v>
      </c>
      <c r="AA586" s="183" t="s">
        <v>2852</v>
      </c>
      <c r="AB586" s="172" t="s">
        <v>500</v>
      </c>
      <c r="AC586" s="172"/>
      <c r="AD586" s="263">
        <v>202000005022</v>
      </c>
      <c r="AE586" s="147" t="s">
        <v>523</v>
      </c>
      <c r="AF586" s="148" t="str">
        <f>TEXT(LEFT(Contrato5[[#This Row],[CONTRATO]],3),"0")</f>
        <v>461</v>
      </c>
      <c r="AG586" s="148" t="str">
        <f>IF(LEN(Contrato5[[#This Row],[Contrato2]])=3,Contrato5[[#This Row],[Contrato2]],TEXT(Contrato5[[#This Row],[Contrato2]],"000"))</f>
        <v>461</v>
      </c>
      <c r="AH586" s="149">
        <f ca="1">IFERROR(_xlfn.DAYS(Contrato5[[#This Row],[Fecha Proyectada liquidación]],TODAY())/30,"")</f>
        <v>-1.4</v>
      </c>
      <c r="AI586" s="150">
        <f>+Contrato5[[#This Row],[FECHA TERMINACIÓN ]]+120</f>
        <v>45716</v>
      </c>
      <c r="AJ586" s="147"/>
      <c r="AK586" s="152" t="str">
        <f ca="1">IF(Contrato5[[#This Row],[FECHA TERMINACIÓN ]]&lt;TODAY(), "Terminado",IF(ISNUMBER(Contrato5[[#This Row],[Fecha Real de liquiidación ]]),"Liquidado",IF(Contrato5[[#This Row],[FECHA TERMINACIÓN ]]&gt;=TODAY(),"En ejecución","")))</f>
        <v>Terminado</v>
      </c>
      <c r="AL586" s="153" t="e">
        <f ca="1">SUMIF([2]!COMPROMISOS_2024[[#All],[consecutivo]],Contrato5[[#This Row],[RCP]],[2]!COMPROMISOS_2024[[#All],[Total pagado]])</f>
        <v>#REF!</v>
      </c>
      <c r="AM586" s="154">
        <f ca="1">IFERROR(Contrato5[[#This Row],[Pagos]]/Contrato5[[#This Row],[VALOR CONTRATO]],0)</f>
        <v>0</v>
      </c>
      <c r="AN586" s="198" t="e">
        <f ca="1">+Contrato5[[#This Row],[VALOR CONTRATO]]-Contrato5[[#This Row],[Pagos]]</f>
        <v>#REF!</v>
      </c>
      <c r="AO586" s="147" t="e" cm="1">
        <f t="array" aca="1" ref="AO586" ca="1">_xlfn.XLOOKUP(Contrato5[[#This Row],[DOCUMENTO ]],[2]!PERSONAL_ACTIVO_2024[[#All],[Documento identidad]],[2]!PERSONAL_ACTIVO_2024[[#All],[Mail ]],0,0)</f>
        <v>#NAME?</v>
      </c>
      <c r="AP586" s="147" t="e" cm="1">
        <f t="array" aca="1" ref="AP586" ca="1">_xlfn.XLOOKUP(Contrato5[[#This Row],[DOCUMENTO]],[2]!PERSONAL_ACTIVO_2024[[#All],[Documento identidad]],[2]!PERSONAL_ACTIVO_2024[[#All],[Mail ]],0,0)</f>
        <v>#NAME?</v>
      </c>
      <c r="AQ586" s="439" cm="1">
        <f t="array" aca="1" ref="AQ586" ca="1">IF(ISBLANK(Contrato5[[#This Row],[DEPENDENCIA ]]),0,IFERROR(_xlfn.XLOOKUP(Contrato5[[#This Row],[DEPENDENCIA ]],[2]!PERSONAL_ACTIVO_2024[[#All],[Dependencia]],[2]!PERSONAL_ACTIVO_2024[[#All],[Mail ]],0,0),0))</f>
        <v>0</v>
      </c>
    </row>
    <row r="587" spans="1:16382" ht="34.5" customHeight="1">
      <c r="A587" s="125">
        <v>976</v>
      </c>
      <c r="B587" s="124">
        <v>462</v>
      </c>
      <c r="C587" s="162" t="s">
        <v>1804</v>
      </c>
      <c r="D587" s="227" t="s">
        <v>583</v>
      </c>
      <c r="E587" s="440" t="s">
        <v>94</v>
      </c>
      <c r="F587" s="227" t="s">
        <v>1376</v>
      </c>
      <c r="G587" s="281" t="s">
        <v>2853</v>
      </c>
      <c r="H587" s="436">
        <v>1001478996</v>
      </c>
      <c r="I587" s="273">
        <v>4171510</v>
      </c>
      <c r="J587" s="505">
        <v>22327996</v>
      </c>
      <c r="K587" s="202" t="s">
        <v>2854</v>
      </c>
      <c r="L587" s="438" t="s">
        <v>2855</v>
      </c>
      <c r="M587" s="194" t="s">
        <v>645</v>
      </c>
      <c r="N587" s="177" t="e" cm="1">
        <f t="array" aca="1" ref="N587" ca="1">_xlfn.XLOOKUP(Contrato5[[#This Row],[SUPERVISOR TITULAR]],[2]!PERSONAL_ACTIVO_2024[[#All],[Nombre completo]],[2]!PERSONAL_ACTIVO_2024[[#All],[Documento identidad]],"",0)</f>
        <v>#NAME?</v>
      </c>
      <c r="O587" s="194" t="s">
        <v>646</v>
      </c>
      <c r="P587" s="196" t="e" cm="1">
        <f t="array" aca="1" ref="P587" ca="1">_xlfn.XLOOKUP(Contrato5[[#This Row],[SUPERVISOR SUPLENTE ]],[2]!PERSONAL_ACTIVO_2024[[#All],[Nombre completo]],[2]!PERSONAL_ACTIVO_2024[[#All],[Documento identidad]],"",0)</f>
        <v>#NAME?</v>
      </c>
      <c r="Q587" s="170">
        <v>746</v>
      </c>
      <c r="R587" s="137" t="e" cm="1">
        <f t="array" aca="1" ref="R587" ca="1">_xlfn.XLOOKUP(Contrato5[[#This Row],[CDP]],[2]!DISPONIBILIDADES_2024[[#All],[consecutivo]],[2]!DISPONIBILIDADES_2024[[#All],[fecha_aprobacion]],"",0)</f>
        <v>#NAME?</v>
      </c>
      <c r="S587" s="138" t="e">
        <f>SUMIF([2]!DISPONIBILIDADES_2024[[#All],[consecutivo]],Contrato5[[#This Row],[CDP]],[2]!DISPONIBILIDADES_2024[[#All],[valor_total_rubro]])</f>
        <v>#REF!</v>
      </c>
      <c r="T587" s="139" t="e" cm="1">
        <f t="array" aca="1" ref="T587" ca="1">_xlfn.XLOOKUP(Contrato5[[#This Row],[CONTRATO]]&amp;Contrato5[[#This Row],[CDP]],[2]!Corr_Contr_CDP[[#All],[CONTRATO-CDP]],[2]!Corr_Contr_CDP[[#All],[CRP]],_xlfn.XLOOKUP(Contrato5[[#This Row],[CDP]],[2]!COMPROMISOS_2024[[#All],[disponibilidad]],[2]!COMPROMISOS_2024[[#All],[consecutivo]],"",0),0)</f>
        <v>#NAME?</v>
      </c>
      <c r="U587" s="140" t="e" cm="1">
        <f t="array" aca="1" ref="U587" ca="1">+_xlfn.XLOOKUP(Contrato5[[#This Row],[RCP]],[2]!COMPROMISOS_2024[[#All],[consecutivo]],[2]!COMPROMISOS_2024[[#All],[fecha_aprobacion]],"",0)</f>
        <v>#NAME?</v>
      </c>
      <c r="V587" s="141" t="e">
        <f ca="1">SUMIF([2]!COMPROMISOS_2024[[#All],[consecutivo]],Contrato5[[#This Row],[RCP]],[2]!COMPROMISOS_2024[[#All],[valor_total]])</f>
        <v>#REF!</v>
      </c>
      <c r="W587" s="160">
        <v>45510</v>
      </c>
      <c r="X587" s="160" t="s">
        <v>1045</v>
      </c>
      <c r="Y587" s="143">
        <v>45516</v>
      </c>
      <c r="Z587" s="262">
        <v>45657</v>
      </c>
      <c r="AA587" s="183" t="s">
        <v>2856</v>
      </c>
      <c r="AB587" s="172" t="s">
        <v>2857</v>
      </c>
      <c r="AC587" s="172"/>
      <c r="AD587" s="263">
        <v>202000005023</v>
      </c>
      <c r="AE587" s="147" t="s">
        <v>523</v>
      </c>
      <c r="AF587" s="148" t="str">
        <f>TEXT(LEFT(Contrato5[[#This Row],[CONTRATO]],3),"0")</f>
        <v>462</v>
      </c>
      <c r="AG587" s="148" t="str">
        <f>IF(LEN(Contrato5[[#This Row],[Contrato2]])=3,Contrato5[[#This Row],[Contrato2]],TEXT(Contrato5[[#This Row],[Contrato2]],"000"))</f>
        <v>462</v>
      </c>
      <c r="AH587" s="149">
        <f ca="1">IFERROR(_xlfn.DAYS(Contrato5[[#This Row],[Fecha Proyectada liquidación]],TODAY())/30,"")</f>
        <v>0.6333333333333333</v>
      </c>
      <c r="AI587" s="150">
        <f>+Contrato5[[#This Row],[FECHA TERMINACIÓN ]]+120</f>
        <v>45777</v>
      </c>
      <c r="AJ587" s="147"/>
      <c r="AK587" s="152" t="str">
        <f ca="1">IF(Contrato5[[#This Row],[FECHA TERMINACIÓN ]]&lt;TODAY(), "Terminado",IF(ISNUMBER(Contrato5[[#This Row],[Fecha Real de liquiidación ]]),"Liquidado",IF(Contrato5[[#This Row],[FECHA TERMINACIÓN ]]&gt;=TODAY(),"En ejecución","")))</f>
        <v>Terminado</v>
      </c>
      <c r="AL587" s="153" t="e">
        <f ca="1">SUMIF([2]!COMPROMISOS_2024[[#All],[consecutivo]],Contrato5[[#This Row],[RCP]],[2]!COMPROMISOS_2024[[#All],[Total pagado]])</f>
        <v>#REF!</v>
      </c>
      <c r="AM587" s="154">
        <f ca="1">IFERROR(Contrato5[[#This Row],[Pagos]]/Contrato5[[#This Row],[VALOR CONTRATO]],0)</f>
        <v>0</v>
      </c>
      <c r="AN587" s="198" t="e">
        <f ca="1">+Contrato5[[#This Row],[VALOR CONTRATO]]-Contrato5[[#This Row],[Pagos]]</f>
        <v>#REF!</v>
      </c>
      <c r="AO587" s="147" t="e" cm="1">
        <f t="array" aca="1" ref="AO587" ca="1">_xlfn.XLOOKUP(Contrato5[[#This Row],[DOCUMENTO ]],[2]!PERSONAL_ACTIVO_2024[[#All],[Documento identidad]],[2]!PERSONAL_ACTIVO_2024[[#All],[Mail ]],0,0)</f>
        <v>#NAME?</v>
      </c>
      <c r="AP587" s="147" t="e" cm="1">
        <f t="array" aca="1" ref="AP587" ca="1">_xlfn.XLOOKUP(Contrato5[[#This Row],[DOCUMENTO]],[2]!PERSONAL_ACTIVO_2024[[#All],[Documento identidad]],[2]!PERSONAL_ACTIVO_2024[[#All],[Mail ]],0,0)</f>
        <v>#NAME?</v>
      </c>
      <c r="AQ587" s="439" cm="1">
        <f t="array" aca="1" ref="AQ587" ca="1">IF(ISBLANK(Contrato5[[#This Row],[DEPENDENCIA ]]),0,IFERROR(_xlfn.XLOOKUP(Contrato5[[#This Row],[DEPENDENCIA ]],[2]!PERSONAL_ACTIVO_2024[[#All],[Dependencia]],[2]!PERSONAL_ACTIVO_2024[[#All],[Mail ]],0,0),0))</f>
        <v>0</v>
      </c>
    </row>
    <row r="588" spans="1:16382" ht="34.5" customHeight="1">
      <c r="A588" s="125">
        <v>820</v>
      </c>
      <c r="B588" s="124">
        <v>463</v>
      </c>
      <c r="C588" s="162" t="s">
        <v>1963</v>
      </c>
      <c r="D588" s="227" t="s">
        <v>583</v>
      </c>
      <c r="E588" s="440" t="s">
        <v>94</v>
      </c>
      <c r="F588" s="227" t="s">
        <v>1376</v>
      </c>
      <c r="G588" s="281" t="s">
        <v>2858</v>
      </c>
      <c r="H588" s="436">
        <v>1017201665</v>
      </c>
      <c r="I588" s="273">
        <v>4908936</v>
      </c>
      <c r="J588" s="505">
        <v>22417474</v>
      </c>
      <c r="K588" s="131" t="s">
        <v>42</v>
      </c>
      <c r="L588" s="438" t="s">
        <v>2855</v>
      </c>
      <c r="M588" s="194" t="s">
        <v>592</v>
      </c>
      <c r="N588" s="177" t="e" cm="1">
        <f t="array" aca="1" ref="N588" ca="1">_xlfn.XLOOKUP(Contrato5[[#This Row],[SUPERVISOR TITULAR]],[2]!PERSONAL_ACTIVO_2024[[#All],[Nombre completo]],[2]!PERSONAL_ACTIVO_2024[[#All],[Documento identidad]],"",0)</f>
        <v>#NAME?</v>
      </c>
      <c r="O588" s="194" t="s">
        <v>600</v>
      </c>
      <c r="P588" s="196" t="e" cm="1">
        <f t="array" aca="1" ref="P588" ca="1">_xlfn.XLOOKUP(Contrato5[[#This Row],[SUPERVISOR SUPLENTE ]],[2]!PERSONAL_ACTIVO_2024[[#All],[Nombre completo]],[2]!PERSONAL_ACTIVO_2024[[#All],[Documento identidad]],"",0)</f>
        <v>#NAME?</v>
      </c>
      <c r="Q588" s="170">
        <v>807</v>
      </c>
      <c r="R588" s="137" t="e" cm="1">
        <f t="array" aca="1" ref="R588" ca="1">_xlfn.XLOOKUP(Contrato5[[#This Row],[CDP]],[2]!DISPONIBILIDADES_2024[[#All],[consecutivo]],[2]!DISPONIBILIDADES_2024[[#All],[fecha_aprobacion]],"",0)</f>
        <v>#NAME?</v>
      </c>
      <c r="S588" s="138" t="e">
        <f>SUMIF([2]!DISPONIBILIDADES_2024[[#All],[consecutivo]],Contrato5[[#This Row],[CDP]],[2]!DISPONIBILIDADES_2024[[#All],[valor_total_rubro]])</f>
        <v>#REF!</v>
      </c>
      <c r="T588" s="139" t="e" cm="1">
        <f t="array" aca="1" ref="T588" ca="1">_xlfn.XLOOKUP(Contrato5[[#This Row],[CONTRATO]]&amp;Contrato5[[#This Row],[CDP]],[2]!Corr_Contr_CDP[[#All],[CONTRATO-CDP]],[2]!Corr_Contr_CDP[[#All],[CRP]],_xlfn.XLOOKUP(Contrato5[[#This Row],[CDP]],[2]!COMPROMISOS_2024[[#All],[disponibilidad]],[2]!COMPROMISOS_2024[[#All],[consecutivo]],"",0),0)</f>
        <v>#NAME?</v>
      </c>
      <c r="U588" s="140" t="e" cm="1">
        <f t="array" aca="1" ref="U588" ca="1">+_xlfn.XLOOKUP(Contrato5[[#This Row],[RCP]],[2]!COMPROMISOS_2024[[#All],[consecutivo]],[2]!COMPROMISOS_2024[[#All],[fecha_aprobacion]],"",0)</f>
        <v>#NAME?</v>
      </c>
      <c r="V588" s="141" t="e">
        <f ca="1">SUMIF([2]!COMPROMISOS_2024[[#All],[consecutivo]],Contrato5[[#This Row],[RCP]],[2]!COMPROMISOS_2024[[#All],[valor_total]])</f>
        <v>#REF!</v>
      </c>
      <c r="W588" s="160">
        <v>45509</v>
      </c>
      <c r="X588" s="160" t="s">
        <v>1045</v>
      </c>
      <c r="Y588" s="143">
        <v>45510</v>
      </c>
      <c r="Z588" s="262">
        <v>45643</v>
      </c>
      <c r="AA588" s="183" t="s">
        <v>2859</v>
      </c>
      <c r="AB588" s="172" t="s">
        <v>2860</v>
      </c>
      <c r="AC588" s="172"/>
      <c r="AD588" s="263">
        <v>202000005024</v>
      </c>
      <c r="AE588" s="147" t="s">
        <v>523</v>
      </c>
      <c r="AF588" s="148" t="str">
        <f>TEXT(LEFT(Contrato5[[#This Row],[CONTRATO]],3),"0")</f>
        <v>463</v>
      </c>
      <c r="AG588" s="148" t="str">
        <f>IF(LEN(Contrato5[[#This Row],[Contrato2]])=3,Contrato5[[#This Row],[Contrato2]],TEXT(Contrato5[[#This Row],[Contrato2]],"000"))</f>
        <v>463</v>
      </c>
      <c r="AH588" s="149">
        <f ca="1">IFERROR(_xlfn.DAYS(Contrato5[[#This Row],[Fecha Proyectada liquidación]],TODAY())/30,"")</f>
        <v>0.16666666666666666</v>
      </c>
      <c r="AI588" s="150">
        <f>+Contrato5[[#This Row],[FECHA TERMINACIÓN ]]+120</f>
        <v>45763</v>
      </c>
      <c r="AJ588" s="147"/>
      <c r="AK588" s="152" t="str">
        <f ca="1">IF(Contrato5[[#This Row],[FECHA TERMINACIÓN ]]&lt;TODAY(), "Terminado",IF(ISNUMBER(Contrato5[[#This Row],[Fecha Real de liquiidación ]]),"Liquidado",IF(Contrato5[[#This Row],[FECHA TERMINACIÓN ]]&gt;=TODAY(),"En ejecución","")))</f>
        <v>Terminado</v>
      </c>
      <c r="AL588" s="153" t="e">
        <f ca="1">SUMIF([2]!COMPROMISOS_2024[[#All],[consecutivo]],Contrato5[[#This Row],[RCP]],[2]!COMPROMISOS_2024[[#All],[Total pagado]])</f>
        <v>#REF!</v>
      </c>
      <c r="AM588" s="154">
        <f ca="1">IFERROR(Contrato5[[#This Row],[Pagos]]/Contrato5[[#This Row],[VALOR CONTRATO]],0)</f>
        <v>0</v>
      </c>
      <c r="AN588" s="198" t="e">
        <f ca="1">+Contrato5[[#This Row],[VALOR CONTRATO]]-Contrato5[[#This Row],[Pagos]]</f>
        <v>#REF!</v>
      </c>
      <c r="AO588" s="147" t="e" cm="1">
        <f t="array" aca="1" ref="AO588" ca="1">_xlfn.XLOOKUP(Contrato5[[#This Row],[DOCUMENTO ]],[2]!PERSONAL_ACTIVO_2024[[#All],[Documento identidad]],[2]!PERSONAL_ACTIVO_2024[[#All],[Mail ]],0,0)</f>
        <v>#NAME?</v>
      </c>
      <c r="AP588" s="147" t="e" cm="1">
        <f t="array" aca="1" ref="AP588" ca="1">_xlfn.XLOOKUP(Contrato5[[#This Row],[DOCUMENTO]],[2]!PERSONAL_ACTIVO_2024[[#All],[Documento identidad]],[2]!PERSONAL_ACTIVO_2024[[#All],[Mail ]],0,0)</f>
        <v>#NAME?</v>
      </c>
      <c r="AQ588" s="439" cm="1">
        <f t="array" aca="1" ref="AQ588" ca="1">IF(ISBLANK(Contrato5[[#This Row],[DEPENDENCIA ]]),0,IFERROR(_xlfn.XLOOKUP(Contrato5[[#This Row],[DEPENDENCIA ]],[2]!PERSONAL_ACTIVO_2024[[#All],[Dependencia]],[2]!PERSONAL_ACTIVO_2024[[#All],[Mail ]],0,0),0))</f>
        <v>0</v>
      </c>
    </row>
    <row r="589" spans="1:16382" ht="34.5" customHeight="1">
      <c r="A589" s="125">
        <v>977</v>
      </c>
      <c r="B589" s="124">
        <v>464</v>
      </c>
      <c r="C589" s="162" t="s">
        <v>1787</v>
      </c>
      <c r="D589" s="227" t="s">
        <v>583</v>
      </c>
      <c r="E589" s="440" t="s">
        <v>94</v>
      </c>
      <c r="F589" s="227" t="s">
        <v>1376</v>
      </c>
      <c r="G589" s="281" t="s">
        <v>638</v>
      </c>
      <c r="H589" s="436">
        <v>1048017635</v>
      </c>
      <c r="I589" s="273">
        <v>6879081</v>
      </c>
      <c r="J589" s="437">
        <v>40873075</v>
      </c>
      <c r="K589" s="202" t="s">
        <v>2861</v>
      </c>
      <c r="L589" s="438" t="s">
        <v>2855</v>
      </c>
      <c r="M589" s="194" t="s">
        <v>586</v>
      </c>
      <c r="N589" s="177" t="e" cm="1">
        <f t="array" aca="1" ref="N589" ca="1">_xlfn.XLOOKUP(Contrato5[[#This Row],[SUPERVISOR TITULAR]],[2]!PERSONAL_ACTIVO_2024[[#All],[Nombre completo]],[2]!PERSONAL_ACTIVO_2024[[#All],[Documento identidad]],"",0)</f>
        <v>#NAME?</v>
      </c>
      <c r="O589" s="194" t="s">
        <v>589</v>
      </c>
      <c r="P589" s="196" t="e" cm="1">
        <f t="array" aca="1" ref="P589" ca="1">_xlfn.XLOOKUP(Contrato5[[#This Row],[SUPERVISOR SUPLENTE ]],[2]!PERSONAL_ACTIVO_2024[[#All],[Nombre completo]],[2]!PERSONAL_ACTIVO_2024[[#All],[Documento identidad]],"",0)</f>
        <v>#NAME?</v>
      </c>
      <c r="Q589" s="170">
        <v>749</v>
      </c>
      <c r="R589" s="137" t="e" cm="1">
        <f t="array" aca="1" ref="R589" ca="1">_xlfn.XLOOKUP(Contrato5[[#This Row],[CDP]],[2]!DISPONIBILIDADES_2024[[#All],[consecutivo]],[2]!DISPONIBILIDADES_2024[[#All],[fecha_aprobacion]],"",0)</f>
        <v>#NAME?</v>
      </c>
      <c r="S589" s="138" t="e">
        <f>SUMIF([2]!DISPONIBILIDADES_2024[[#All],[consecutivo]],Contrato5[[#This Row],[CDP]],[2]!DISPONIBILIDADES_2024[[#All],[valor_total_rubro]])</f>
        <v>#REF!</v>
      </c>
      <c r="T589" s="139" t="e" cm="1">
        <f t="array" aca="1" ref="T589" ca="1">_xlfn.XLOOKUP(Contrato5[[#This Row],[CONTRATO]]&amp;Contrato5[[#This Row],[CDP]],[2]!Corr_Contr_CDP[[#All],[CONTRATO-CDP]],[2]!Corr_Contr_CDP[[#All],[CRP]],_xlfn.XLOOKUP(Contrato5[[#This Row],[CDP]],[2]!COMPROMISOS_2024[[#All],[disponibilidad]],[2]!COMPROMISOS_2024[[#All],[consecutivo]],"",0),0)</f>
        <v>#NAME?</v>
      </c>
      <c r="U589" s="140" t="e" cm="1">
        <f t="array" aca="1" ref="U589" ca="1">+_xlfn.XLOOKUP(Contrato5[[#This Row],[RCP]],[2]!COMPROMISOS_2024[[#All],[consecutivo]],[2]!COMPROMISOS_2024[[#All],[fecha_aprobacion]],"",0)</f>
        <v>#NAME?</v>
      </c>
      <c r="V589" s="141" t="e">
        <f ca="1">SUMIF([2]!COMPROMISOS_2024[[#All],[consecutivo]],Contrato5[[#This Row],[RCP]],[2]!COMPROMISOS_2024[[#All],[valor_total]])</f>
        <v>#REF!</v>
      </c>
      <c r="W589" s="160">
        <v>45510</v>
      </c>
      <c r="X589" s="160" t="s">
        <v>1045</v>
      </c>
      <c r="Y589" s="143">
        <v>45516</v>
      </c>
      <c r="Z589" s="262">
        <v>45657</v>
      </c>
      <c r="AA589" s="183" t="s">
        <v>2862</v>
      </c>
      <c r="AB589" s="172" t="s">
        <v>2857</v>
      </c>
      <c r="AC589" s="172"/>
      <c r="AD589" s="425">
        <v>202000005025</v>
      </c>
      <c r="AE589" s="147" t="s">
        <v>523</v>
      </c>
      <c r="AF589" s="148" t="str">
        <f>TEXT(LEFT(Contrato5[[#This Row],[CONTRATO]],3),"0")</f>
        <v>464</v>
      </c>
      <c r="AG589" s="148" t="str">
        <f>IF(LEN(Contrato5[[#This Row],[Contrato2]])=3,Contrato5[[#This Row],[Contrato2]],TEXT(Contrato5[[#This Row],[Contrato2]],"000"))</f>
        <v>464</v>
      </c>
      <c r="AH589" s="149">
        <f ca="1">IFERROR(_xlfn.DAYS(Contrato5[[#This Row],[Fecha Proyectada liquidación]],TODAY())/30,"")</f>
        <v>0.6333333333333333</v>
      </c>
      <c r="AI589" s="150">
        <f>+Contrato5[[#This Row],[FECHA TERMINACIÓN ]]+120</f>
        <v>45777</v>
      </c>
      <c r="AJ589" s="147"/>
      <c r="AK589" s="152" t="str">
        <f ca="1">IF(Contrato5[[#This Row],[FECHA TERMINACIÓN ]]&lt;TODAY(), "Terminado",IF(ISNUMBER(Contrato5[[#This Row],[Fecha Real de liquiidación ]]),"Liquidado",IF(Contrato5[[#This Row],[FECHA TERMINACIÓN ]]&gt;=TODAY(),"En ejecución","")))</f>
        <v>Terminado</v>
      </c>
      <c r="AL589" s="153" t="e">
        <f ca="1">SUMIF([2]!COMPROMISOS_2024[[#All],[consecutivo]],Contrato5[[#This Row],[RCP]],[2]!COMPROMISOS_2024[[#All],[Total pagado]])</f>
        <v>#REF!</v>
      </c>
      <c r="AM589" s="154">
        <f ca="1">IFERROR(Contrato5[[#This Row],[Pagos]]/Contrato5[[#This Row],[VALOR CONTRATO]],0)</f>
        <v>0</v>
      </c>
      <c r="AN589" s="198" t="e">
        <f ca="1">+Contrato5[[#This Row],[VALOR CONTRATO]]-Contrato5[[#This Row],[Pagos]]</f>
        <v>#REF!</v>
      </c>
      <c r="AO589" s="147" t="e" cm="1">
        <f t="array" aca="1" ref="AO589" ca="1">_xlfn.XLOOKUP(Contrato5[[#This Row],[DOCUMENTO ]],[2]!PERSONAL_ACTIVO_2024[[#All],[Documento identidad]],[2]!PERSONAL_ACTIVO_2024[[#All],[Mail ]],0,0)</f>
        <v>#NAME?</v>
      </c>
      <c r="AP589" s="147" t="e" cm="1">
        <f t="array" aca="1" ref="AP589" ca="1">_xlfn.XLOOKUP(Contrato5[[#This Row],[DOCUMENTO]],[2]!PERSONAL_ACTIVO_2024[[#All],[Documento identidad]],[2]!PERSONAL_ACTIVO_2024[[#All],[Mail ]],0,0)</f>
        <v>#NAME?</v>
      </c>
      <c r="AQ589" s="439" cm="1">
        <f t="array" aca="1" ref="AQ589" ca="1">IF(ISBLANK(Contrato5[[#This Row],[DEPENDENCIA ]]),0,IFERROR(_xlfn.XLOOKUP(Contrato5[[#This Row],[DEPENDENCIA ]],[2]!PERSONAL_ACTIVO_2024[[#All],[Dependencia]],[2]!PERSONAL_ACTIVO_2024[[#All],[Mail ]],0,0),0))</f>
        <v>0</v>
      </c>
    </row>
    <row r="590" spans="1:16382" ht="34.5" customHeight="1">
      <c r="A590" s="125">
        <v>978</v>
      </c>
      <c r="B590" s="124">
        <v>465</v>
      </c>
      <c r="C590" s="162" t="s">
        <v>1788</v>
      </c>
      <c r="D590" s="227" t="s">
        <v>583</v>
      </c>
      <c r="E590" s="440" t="s">
        <v>94</v>
      </c>
      <c r="F590" s="227" t="s">
        <v>1376</v>
      </c>
      <c r="G590" s="281" t="s">
        <v>2510</v>
      </c>
      <c r="H590" s="436">
        <v>1127802529</v>
      </c>
      <c r="I590" s="273">
        <v>6879081</v>
      </c>
      <c r="J590" s="437">
        <v>35873075</v>
      </c>
      <c r="K590" s="202" t="s">
        <v>2863</v>
      </c>
      <c r="L590" s="438" t="s">
        <v>2855</v>
      </c>
      <c r="M590" s="194" t="s">
        <v>589</v>
      </c>
      <c r="N590" s="177" t="e" cm="1">
        <f t="array" aca="1" ref="N590" ca="1">_xlfn.XLOOKUP(Contrato5[[#This Row],[SUPERVISOR TITULAR]],[2]!PERSONAL_ACTIVO_2024[[#All],[Nombre completo]],[2]!PERSONAL_ACTIVO_2024[[#All],[Documento identidad]],"",0)</f>
        <v>#NAME?</v>
      </c>
      <c r="O590" s="194" t="s">
        <v>586</v>
      </c>
      <c r="P590" s="196" t="e" cm="1">
        <f t="array" aca="1" ref="P590" ca="1">_xlfn.XLOOKUP(Contrato5[[#This Row],[SUPERVISOR SUPLENTE ]],[2]!PERSONAL_ACTIVO_2024[[#All],[Nombre completo]],[2]!PERSONAL_ACTIVO_2024[[#All],[Documento identidad]],"",0)</f>
        <v>#NAME?</v>
      </c>
      <c r="Q590" s="170">
        <v>748</v>
      </c>
      <c r="R590" s="137" t="e" cm="1">
        <f t="array" aca="1" ref="R590" ca="1">_xlfn.XLOOKUP(Contrato5[[#This Row],[CDP]],[2]!DISPONIBILIDADES_2024[[#All],[consecutivo]],[2]!DISPONIBILIDADES_2024[[#All],[fecha_aprobacion]],"",0)</f>
        <v>#NAME?</v>
      </c>
      <c r="S590" s="138" t="e">
        <f>SUMIF([2]!DISPONIBILIDADES_2024[[#All],[consecutivo]],Contrato5[[#This Row],[CDP]],[2]!DISPONIBILIDADES_2024[[#All],[valor_total_rubro]])</f>
        <v>#REF!</v>
      </c>
      <c r="T590" s="139" t="e" cm="1">
        <f t="array" aca="1" ref="T590" ca="1">_xlfn.XLOOKUP(Contrato5[[#This Row],[CONTRATO]]&amp;Contrato5[[#This Row],[CDP]],[2]!Corr_Contr_CDP[[#All],[CONTRATO-CDP]],[2]!Corr_Contr_CDP[[#All],[CRP]],_xlfn.XLOOKUP(Contrato5[[#This Row],[CDP]],[2]!COMPROMISOS_2024[[#All],[disponibilidad]],[2]!COMPROMISOS_2024[[#All],[consecutivo]],"",0),0)</f>
        <v>#NAME?</v>
      </c>
      <c r="U590" s="140" t="e" cm="1">
        <f t="array" aca="1" ref="U590" ca="1">+_xlfn.XLOOKUP(Contrato5[[#This Row],[RCP]],[2]!COMPROMISOS_2024[[#All],[consecutivo]],[2]!COMPROMISOS_2024[[#All],[fecha_aprobacion]],"",0)</f>
        <v>#NAME?</v>
      </c>
      <c r="V590" s="141" t="e">
        <f ca="1">SUMIF([2]!COMPROMISOS_2024[[#All],[consecutivo]],Contrato5[[#This Row],[RCP]],[2]!COMPROMISOS_2024[[#All],[valor_total]])</f>
        <v>#REF!</v>
      </c>
      <c r="W590" s="160">
        <v>45512</v>
      </c>
      <c r="X590" s="160" t="s">
        <v>1045</v>
      </c>
      <c r="Y590" s="143">
        <v>45516</v>
      </c>
      <c r="Z590" s="262">
        <v>45657</v>
      </c>
      <c r="AA590" s="183" t="s">
        <v>2864</v>
      </c>
      <c r="AB590" s="172" t="s">
        <v>2857</v>
      </c>
      <c r="AC590" s="172"/>
      <c r="AD590" s="425">
        <v>202000005026</v>
      </c>
      <c r="AE590" s="147" t="s">
        <v>523</v>
      </c>
      <c r="AF590" s="148" t="str">
        <f>TEXT(LEFT(Contrato5[[#This Row],[CONTRATO]],3),"0")</f>
        <v>465</v>
      </c>
      <c r="AG590" s="148" t="str">
        <f>IF(LEN(Contrato5[[#This Row],[Contrato2]])=3,Contrato5[[#This Row],[Contrato2]],TEXT(Contrato5[[#This Row],[Contrato2]],"000"))</f>
        <v>465</v>
      </c>
      <c r="AH590" s="149">
        <f ca="1">IFERROR(_xlfn.DAYS(Contrato5[[#This Row],[Fecha Proyectada liquidación]],TODAY())/30,"")</f>
        <v>0.6333333333333333</v>
      </c>
      <c r="AI590" s="150">
        <f>+Contrato5[[#This Row],[FECHA TERMINACIÓN ]]+120</f>
        <v>45777</v>
      </c>
      <c r="AJ590" s="147"/>
      <c r="AK590" s="152" t="str">
        <f ca="1">IF(Contrato5[[#This Row],[FECHA TERMINACIÓN ]]&lt;TODAY(), "Terminado",IF(ISNUMBER(Contrato5[[#This Row],[Fecha Real de liquiidación ]]),"Liquidado",IF(Contrato5[[#This Row],[FECHA TERMINACIÓN ]]&gt;=TODAY(),"En ejecución","")))</f>
        <v>Terminado</v>
      </c>
      <c r="AL590" s="153" t="e">
        <f ca="1">SUMIF([2]!COMPROMISOS_2024[[#All],[consecutivo]],Contrato5[[#This Row],[RCP]],[2]!COMPROMISOS_2024[[#All],[Total pagado]])</f>
        <v>#REF!</v>
      </c>
      <c r="AM590" s="154">
        <f ca="1">IFERROR(Contrato5[[#This Row],[Pagos]]/Contrato5[[#This Row],[VALOR CONTRATO]],0)</f>
        <v>0</v>
      </c>
      <c r="AN590" s="198" t="e">
        <f ca="1">+Contrato5[[#This Row],[VALOR CONTRATO]]-Contrato5[[#This Row],[Pagos]]</f>
        <v>#REF!</v>
      </c>
      <c r="AO590" s="147" t="e" cm="1">
        <f t="array" aca="1" ref="AO590" ca="1">_xlfn.XLOOKUP(Contrato5[[#This Row],[DOCUMENTO ]],[2]!PERSONAL_ACTIVO_2024[[#All],[Documento identidad]],[2]!PERSONAL_ACTIVO_2024[[#All],[Mail ]],0,0)</f>
        <v>#NAME?</v>
      </c>
      <c r="AP590" s="147" t="e" cm="1">
        <f t="array" aca="1" ref="AP590" ca="1">_xlfn.XLOOKUP(Contrato5[[#This Row],[DOCUMENTO]],[2]!PERSONAL_ACTIVO_2024[[#All],[Documento identidad]],[2]!PERSONAL_ACTIVO_2024[[#All],[Mail ]],0,0)</f>
        <v>#NAME?</v>
      </c>
      <c r="AQ590" s="439" cm="1">
        <f t="array" aca="1" ref="AQ590" ca="1">IF(ISBLANK(Contrato5[[#This Row],[DEPENDENCIA ]]),0,IFERROR(_xlfn.XLOOKUP(Contrato5[[#This Row],[DEPENDENCIA ]],[2]!PERSONAL_ACTIVO_2024[[#All],[Dependencia]],[2]!PERSONAL_ACTIVO_2024[[#All],[Mail ]],0,0),0))</f>
        <v>0</v>
      </c>
    </row>
    <row r="591" spans="1:16382" ht="34.5" customHeight="1">
      <c r="A591" s="125">
        <v>979</v>
      </c>
      <c r="B591" s="124">
        <v>466</v>
      </c>
      <c r="C591" s="162" t="s">
        <v>1789</v>
      </c>
      <c r="D591" s="227" t="s">
        <v>583</v>
      </c>
      <c r="E591" s="440" t="s">
        <v>94</v>
      </c>
      <c r="F591" s="227" t="s">
        <v>1376</v>
      </c>
      <c r="G591" s="281" t="s">
        <v>2511</v>
      </c>
      <c r="H591" s="436">
        <v>1001248974</v>
      </c>
      <c r="I591" s="273">
        <v>4171510</v>
      </c>
      <c r="J591" s="437">
        <v>27327996</v>
      </c>
      <c r="K591" s="202" t="s">
        <v>2865</v>
      </c>
      <c r="L591" s="438" t="s">
        <v>2855</v>
      </c>
      <c r="M591" s="194" t="s">
        <v>586</v>
      </c>
      <c r="N591" s="177" t="e" cm="1">
        <f t="array" aca="1" ref="N591" ca="1">_xlfn.XLOOKUP(Contrato5[[#This Row],[SUPERVISOR TITULAR]],[2]!PERSONAL_ACTIVO_2024[[#All],[Nombre completo]],[2]!PERSONAL_ACTIVO_2024[[#All],[Documento identidad]],"",0)</f>
        <v>#NAME?</v>
      </c>
      <c r="O591" s="194" t="s">
        <v>589</v>
      </c>
      <c r="P591" s="196" t="e" cm="1">
        <f t="array" aca="1" ref="P591" ca="1">_xlfn.XLOOKUP(Contrato5[[#This Row],[SUPERVISOR SUPLENTE ]],[2]!PERSONAL_ACTIVO_2024[[#All],[Nombre completo]],[2]!PERSONAL_ACTIVO_2024[[#All],[Documento identidad]],"",0)</f>
        <v>#NAME?</v>
      </c>
      <c r="Q591" s="170">
        <v>747</v>
      </c>
      <c r="R591" s="137" t="e" cm="1">
        <f t="array" aca="1" ref="R591" ca="1">_xlfn.XLOOKUP(Contrato5[[#This Row],[CDP]],[2]!DISPONIBILIDADES_2024[[#All],[consecutivo]],[2]!DISPONIBILIDADES_2024[[#All],[fecha_aprobacion]],"",0)</f>
        <v>#NAME?</v>
      </c>
      <c r="S591" s="138" t="e">
        <f>SUMIF([2]!DISPONIBILIDADES_2024[[#All],[consecutivo]],Contrato5[[#This Row],[CDP]],[2]!DISPONIBILIDADES_2024[[#All],[valor_total_rubro]])</f>
        <v>#REF!</v>
      </c>
      <c r="T591" s="139" t="e" cm="1">
        <f t="array" aca="1" ref="T591" ca="1">_xlfn.XLOOKUP(Contrato5[[#This Row],[CONTRATO]]&amp;Contrato5[[#This Row],[CDP]],[2]!Corr_Contr_CDP[[#All],[CONTRATO-CDP]],[2]!Corr_Contr_CDP[[#All],[CRP]],_xlfn.XLOOKUP(Contrato5[[#This Row],[CDP]],[2]!COMPROMISOS_2024[[#All],[disponibilidad]],[2]!COMPROMISOS_2024[[#All],[consecutivo]],"",0),0)</f>
        <v>#NAME?</v>
      </c>
      <c r="U591" s="140" t="e" cm="1">
        <f t="array" aca="1" ref="U591" ca="1">+_xlfn.XLOOKUP(Contrato5[[#This Row],[RCP]],[2]!COMPROMISOS_2024[[#All],[consecutivo]],[2]!COMPROMISOS_2024[[#All],[fecha_aprobacion]],"",0)</f>
        <v>#NAME?</v>
      </c>
      <c r="V591" s="141" t="e">
        <f ca="1">SUMIF([2]!COMPROMISOS_2024[[#All],[consecutivo]],Contrato5[[#This Row],[RCP]],[2]!COMPROMISOS_2024[[#All],[valor_total]])</f>
        <v>#REF!</v>
      </c>
      <c r="W591" s="160">
        <v>45512</v>
      </c>
      <c r="X591" s="160" t="s">
        <v>1045</v>
      </c>
      <c r="Y591" s="143">
        <v>45516</v>
      </c>
      <c r="Z591" s="262">
        <v>45657</v>
      </c>
      <c r="AA591" s="183" t="s">
        <v>2866</v>
      </c>
      <c r="AB591" s="172" t="s">
        <v>2857</v>
      </c>
      <c r="AC591" s="172"/>
      <c r="AD591" s="425">
        <v>202000005027</v>
      </c>
      <c r="AE591" s="147" t="s">
        <v>523</v>
      </c>
      <c r="AF591" s="148" t="str">
        <f>TEXT(LEFT(Contrato5[[#This Row],[CONTRATO]],3),"0")</f>
        <v>466</v>
      </c>
      <c r="AG591" s="148" t="str">
        <f>IF(LEN(Contrato5[[#This Row],[Contrato2]])=3,Contrato5[[#This Row],[Contrato2]],TEXT(Contrato5[[#This Row],[Contrato2]],"000"))</f>
        <v>466</v>
      </c>
      <c r="AH591" s="149">
        <f ca="1">IFERROR(_xlfn.DAYS(Contrato5[[#This Row],[Fecha Proyectada liquidación]],TODAY())/30,"")</f>
        <v>0.6333333333333333</v>
      </c>
      <c r="AI591" s="150">
        <f>+Contrato5[[#This Row],[FECHA TERMINACIÓN ]]+120</f>
        <v>45777</v>
      </c>
      <c r="AJ591" s="147"/>
      <c r="AK591" s="152" t="str">
        <f ca="1">IF(Contrato5[[#This Row],[FECHA TERMINACIÓN ]]&lt;TODAY(), "Terminado",IF(ISNUMBER(Contrato5[[#This Row],[Fecha Real de liquiidación ]]),"Liquidado",IF(Contrato5[[#This Row],[FECHA TERMINACIÓN ]]&gt;=TODAY(),"En ejecución","")))</f>
        <v>Terminado</v>
      </c>
      <c r="AL591" s="153" t="e">
        <f ca="1">SUMIF([2]!COMPROMISOS_2024[[#All],[consecutivo]],Contrato5[[#This Row],[RCP]],[2]!COMPROMISOS_2024[[#All],[Total pagado]])</f>
        <v>#REF!</v>
      </c>
      <c r="AM591" s="154">
        <f ca="1">IFERROR(Contrato5[[#This Row],[Pagos]]/Contrato5[[#This Row],[VALOR CONTRATO]],0)</f>
        <v>0</v>
      </c>
      <c r="AN591" s="198" t="e">
        <f ca="1">+Contrato5[[#This Row],[VALOR CONTRATO]]-Contrato5[[#This Row],[Pagos]]</f>
        <v>#REF!</v>
      </c>
      <c r="AO591" s="147" t="e" cm="1">
        <f t="array" aca="1" ref="AO591" ca="1">_xlfn.XLOOKUP(Contrato5[[#This Row],[DOCUMENTO ]],[2]!PERSONAL_ACTIVO_2024[[#All],[Documento identidad]],[2]!PERSONAL_ACTIVO_2024[[#All],[Mail ]],0,0)</f>
        <v>#NAME?</v>
      </c>
      <c r="AP591" s="147" t="e" cm="1">
        <f t="array" aca="1" ref="AP591" ca="1">_xlfn.XLOOKUP(Contrato5[[#This Row],[DOCUMENTO]],[2]!PERSONAL_ACTIVO_2024[[#All],[Documento identidad]],[2]!PERSONAL_ACTIVO_2024[[#All],[Mail ]],0,0)</f>
        <v>#NAME?</v>
      </c>
      <c r="AQ591" s="439" cm="1">
        <f t="array" aca="1" ref="AQ591" ca="1">IF(ISBLANK(Contrato5[[#This Row],[DEPENDENCIA ]]),0,IFERROR(_xlfn.XLOOKUP(Contrato5[[#This Row],[DEPENDENCIA ]],[2]!PERSONAL_ACTIVO_2024[[#All],[Dependencia]],[2]!PERSONAL_ACTIVO_2024[[#All],[Mail ]],0,0),0))</f>
        <v>0</v>
      </c>
    </row>
    <row r="592" spans="1:16382" ht="34.5" customHeight="1">
      <c r="A592" s="125">
        <v>848</v>
      </c>
      <c r="B592" s="124">
        <v>467</v>
      </c>
      <c r="C592" s="162" t="s">
        <v>1892</v>
      </c>
      <c r="D592" s="227" t="s">
        <v>515</v>
      </c>
      <c r="E592" s="440" t="s">
        <v>94</v>
      </c>
      <c r="F592" s="227" t="s">
        <v>255</v>
      </c>
      <c r="G592" s="281" t="s">
        <v>1212</v>
      </c>
      <c r="H592" s="436">
        <v>890980850</v>
      </c>
      <c r="I592" s="273" t="s">
        <v>42</v>
      </c>
      <c r="J592" s="437">
        <v>225964521</v>
      </c>
      <c r="K592" s="131" t="s">
        <v>2867</v>
      </c>
      <c r="L592" s="438" t="s">
        <v>2855</v>
      </c>
      <c r="M592" s="194" t="s">
        <v>550</v>
      </c>
      <c r="N592" s="177" t="e" cm="1">
        <f t="array" aca="1" ref="N592" ca="1">_xlfn.XLOOKUP(Contrato5[[#This Row],[SUPERVISOR TITULAR]],[2]!PERSONAL_ACTIVO_2024[[#All],[Nombre completo]],[2]!PERSONAL_ACTIVO_2024[[#All],[Documento identidad]],"",0)</f>
        <v>#NAME?</v>
      </c>
      <c r="O592" s="194" t="s">
        <v>906</v>
      </c>
      <c r="P592" s="196" t="e" cm="1">
        <f t="array" aca="1" ref="P592" ca="1">_xlfn.XLOOKUP(Contrato5[[#This Row],[SUPERVISOR SUPLENTE ]],[2]!PERSONAL_ACTIVO_2024[[#All],[Nombre completo]],[2]!PERSONAL_ACTIVO_2024[[#All],[Documento identidad]],"",0)</f>
        <v>#NAME?</v>
      </c>
      <c r="Q592" s="170">
        <v>646</v>
      </c>
      <c r="R592" s="137" t="e" cm="1">
        <f t="array" aca="1" ref="R592" ca="1">_xlfn.XLOOKUP(Contrato5[[#This Row],[CDP]],[2]!DISPONIBILIDADES_2024[[#All],[consecutivo]],[2]!DISPONIBILIDADES_2024[[#All],[fecha_aprobacion]],"",0)</f>
        <v>#NAME?</v>
      </c>
      <c r="S592" s="138" t="e">
        <f>SUMIF([2]!DISPONIBILIDADES_2024[[#All],[consecutivo]],Contrato5[[#This Row],[CDP]],[2]!DISPONIBILIDADES_2024[[#All],[valor_total_rubro]])</f>
        <v>#REF!</v>
      </c>
      <c r="T592" s="139" t="e" cm="1">
        <f t="array" aca="1" ref="T592" ca="1">_xlfn.XLOOKUP(Contrato5[[#This Row],[CONTRATO]]&amp;Contrato5[[#This Row],[CDP]],[2]!Corr_Contr_CDP[[#All],[CONTRATO-CDP]],[2]!Corr_Contr_CDP[[#All],[CRP]],_xlfn.XLOOKUP(Contrato5[[#This Row],[CDP]],[2]!COMPROMISOS_2024[[#All],[disponibilidad]],[2]!COMPROMISOS_2024[[#All],[consecutivo]],"",0),0)</f>
        <v>#NAME?</v>
      </c>
      <c r="U592" s="140" t="e" cm="1">
        <f t="array" aca="1" ref="U592" ca="1">+_xlfn.XLOOKUP(Contrato5[[#This Row],[RCP]],[2]!COMPROMISOS_2024[[#All],[consecutivo]],[2]!COMPROMISOS_2024[[#All],[fecha_aprobacion]],"",0)</f>
        <v>#NAME?</v>
      </c>
      <c r="V592" s="141" t="e">
        <f ca="1">SUMIF([2]!COMPROMISOS_2024[[#All],[consecutivo]],Contrato5[[#This Row],[RCP]],[2]!COMPROMISOS_2024[[#All],[valor_total]])</f>
        <v>#REF!</v>
      </c>
      <c r="W592" s="160">
        <v>45526</v>
      </c>
      <c r="X592" s="161">
        <v>45527</v>
      </c>
      <c r="Y592" s="143">
        <v>45527</v>
      </c>
      <c r="Z592" s="262">
        <v>45596</v>
      </c>
      <c r="AA592" s="183" t="s">
        <v>2868</v>
      </c>
      <c r="AB592" s="172" t="s">
        <v>500</v>
      </c>
      <c r="AC592" s="172"/>
      <c r="AD592" s="425">
        <v>202000005028</v>
      </c>
      <c r="AE592" s="147" t="s">
        <v>523</v>
      </c>
      <c r="AF592" s="148" t="str">
        <f>TEXT(LEFT(Contrato5[[#This Row],[CONTRATO]],3),"0")</f>
        <v>467</v>
      </c>
      <c r="AG592" s="148" t="str">
        <f>IF(LEN(Contrato5[[#This Row],[Contrato2]])=3,Contrato5[[#This Row],[Contrato2]],TEXT(Contrato5[[#This Row],[Contrato2]],"000"))</f>
        <v>467</v>
      </c>
      <c r="AH592" s="149">
        <f ca="1">IFERROR(_xlfn.DAYS(Contrato5[[#This Row],[Fecha Proyectada liquidación]],TODAY())/30,"")</f>
        <v>-1.4</v>
      </c>
      <c r="AI592" s="150">
        <f>+Contrato5[[#This Row],[FECHA TERMINACIÓN ]]+120</f>
        <v>45716</v>
      </c>
      <c r="AJ592" s="147"/>
      <c r="AK592" s="152" t="str">
        <f ca="1">IF(Contrato5[[#This Row],[FECHA TERMINACIÓN ]]&lt;TODAY(), "Terminado",IF(ISNUMBER(Contrato5[[#This Row],[Fecha Real de liquiidación ]]),"Liquidado",IF(Contrato5[[#This Row],[FECHA TERMINACIÓN ]]&gt;=TODAY(),"En ejecución","")))</f>
        <v>Terminado</v>
      </c>
      <c r="AL592" s="153" t="e">
        <f ca="1">SUMIF([2]!COMPROMISOS_2024[[#All],[consecutivo]],Contrato5[[#This Row],[RCP]],[2]!COMPROMISOS_2024[[#All],[Total pagado]])</f>
        <v>#REF!</v>
      </c>
      <c r="AM592" s="154">
        <f ca="1">IFERROR(Contrato5[[#This Row],[Pagos]]/Contrato5[[#This Row],[VALOR CONTRATO]],0)</f>
        <v>0</v>
      </c>
      <c r="AN592" s="198" t="e">
        <f ca="1">+Contrato5[[#This Row],[VALOR CONTRATO]]-Contrato5[[#This Row],[Pagos]]</f>
        <v>#REF!</v>
      </c>
      <c r="AO592" s="147" t="e" cm="1">
        <f t="array" aca="1" ref="AO592" ca="1">_xlfn.XLOOKUP(Contrato5[[#This Row],[DOCUMENTO ]],[2]!PERSONAL_ACTIVO_2024[[#All],[Documento identidad]],[2]!PERSONAL_ACTIVO_2024[[#All],[Mail ]],0,0)</f>
        <v>#NAME?</v>
      </c>
      <c r="AP592" s="147" t="e" cm="1">
        <f t="array" aca="1" ref="AP592" ca="1">_xlfn.XLOOKUP(Contrato5[[#This Row],[DOCUMENTO]],[2]!PERSONAL_ACTIVO_2024[[#All],[Documento identidad]],[2]!PERSONAL_ACTIVO_2024[[#All],[Mail ]],0,0)</f>
        <v>#NAME?</v>
      </c>
      <c r="AQ592" s="439" cm="1">
        <f t="array" aca="1" ref="AQ592" ca="1">IF(ISBLANK(Contrato5[[#This Row],[DEPENDENCIA ]]),0,IFERROR(_xlfn.XLOOKUP(Contrato5[[#This Row],[DEPENDENCIA ]],[2]!PERSONAL_ACTIVO_2024[[#All],[Dependencia]],[2]!PERSONAL_ACTIVO_2024[[#All],[Mail ]],0,0),0))</f>
        <v>0</v>
      </c>
    </row>
    <row r="593" spans="1:43" ht="34.5" customHeight="1">
      <c r="A593" s="125">
        <v>856</v>
      </c>
      <c r="B593" s="124">
        <v>468</v>
      </c>
      <c r="C593" s="162" t="s">
        <v>1969</v>
      </c>
      <c r="D593" s="227" t="s">
        <v>583</v>
      </c>
      <c r="E593" s="440" t="s">
        <v>94</v>
      </c>
      <c r="F593" s="227" t="s">
        <v>1376</v>
      </c>
      <c r="G593" s="281" t="s">
        <v>2869</v>
      </c>
      <c r="H593" s="436">
        <v>15511044</v>
      </c>
      <c r="I593" s="273">
        <v>6920169</v>
      </c>
      <c r="J593" s="437">
        <v>28142021</v>
      </c>
      <c r="K593" s="131" t="s">
        <v>42</v>
      </c>
      <c r="L593" s="438" t="s">
        <v>2855</v>
      </c>
      <c r="M593" s="194" t="s">
        <v>592</v>
      </c>
      <c r="N593" s="177" t="e" cm="1">
        <f t="array" aca="1" ref="N593" ca="1">_xlfn.XLOOKUP(Contrato5[[#This Row],[SUPERVISOR TITULAR]],[2]!PERSONAL_ACTIVO_2024[[#All],[Nombre completo]],[2]!PERSONAL_ACTIVO_2024[[#All],[Documento identidad]],"",0)</f>
        <v>#NAME?</v>
      </c>
      <c r="O593" s="194" t="s">
        <v>600</v>
      </c>
      <c r="P593" s="196" t="e" cm="1">
        <f t="array" aca="1" ref="P593" ca="1">_xlfn.XLOOKUP(Contrato5[[#This Row],[SUPERVISOR SUPLENTE ]],[2]!PERSONAL_ACTIVO_2024[[#All],[Nombre completo]],[2]!PERSONAL_ACTIVO_2024[[#All],[Documento identidad]],"",0)</f>
        <v>#NAME?</v>
      </c>
      <c r="Q593" s="170">
        <v>724</v>
      </c>
      <c r="R593" s="137" t="e" cm="1">
        <f t="array" aca="1" ref="R593" ca="1">_xlfn.XLOOKUP(Contrato5[[#This Row],[CDP]],[2]!DISPONIBILIDADES_2024[[#All],[consecutivo]],[2]!DISPONIBILIDADES_2024[[#All],[fecha_aprobacion]],"",0)</f>
        <v>#NAME?</v>
      </c>
      <c r="S593" s="138" t="e">
        <f>SUMIF([2]!DISPONIBILIDADES_2024[[#All],[consecutivo]],Contrato5[[#This Row],[CDP]],[2]!DISPONIBILIDADES_2024[[#All],[valor_total_rubro]])</f>
        <v>#REF!</v>
      </c>
      <c r="T593" s="139" t="e" cm="1">
        <f t="array" aca="1" ref="T593" ca="1">_xlfn.XLOOKUP(Contrato5[[#This Row],[CONTRATO]]&amp;Contrato5[[#This Row],[CDP]],[2]!Corr_Contr_CDP[[#All],[CONTRATO-CDP]],[2]!Corr_Contr_CDP[[#All],[CRP]],_xlfn.XLOOKUP(Contrato5[[#This Row],[CDP]],[2]!COMPROMISOS_2024[[#All],[disponibilidad]],[2]!COMPROMISOS_2024[[#All],[consecutivo]],"",0),0)</f>
        <v>#NAME?</v>
      </c>
      <c r="U593" s="140" t="e" cm="1">
        <f t="array" aca="1" ref="U593" ca="1">+_xlfn.XLOOKUP(Contrato5[[#This Row],[RCP]],[2]!COMPROMISOS_2024[[#All],[consecutivo]],[2]!COMPROMISOS_2024[[#All],[fecha_aprobacion]],"",0)</f>
        <v>#NAME?</v>
      </c>
      <c r="V593" s="141" t="e">
        <f ca="1">SUMIF([2]!COMPROMISOS_2024[[#All],[consecutivo]],Contrato5[[#This Row],[RCP]],[2]!COMPROMISOS_2024[[#All],[valor_total]])</f>
        <v>#REF!</v>
      </c>
      <c r="W593" s="160">
        <v>45516</v>
      </c>
      <c r="X593" s="160" t="s">
        <v>1045</v>
      </c>
      <c r="Y593" s="143">
        <v>45520</v>
      </c>
      <c r="Z593" s="262">
        <v>45643</v>
      </c>
      <c r="AA593" s="183" t="s">
        <v>2870</v>
      </c>
      <c r="AB593" s="172" t="s">
        <v>2871</v>
      </c>
      <c r="AC593" s="172"/>
      <c r="AD593" s="425">
        <v>202000005029</v>
      </c>
      <c r="AE593" s="147" t="s">
        <v>523</v>
      </c>
      <c r="AF593" s="148" t="str">
        <f>TEXT(LEFT(Contrato5[[#This Row],[CONTRATO]],3),"0")</f>
        <v>468</v>
      </c>
      <c r="AG593" s="148" t="str">
        <f>IF(LEN(Contrato5[[#This Row],[Contrato2]])=3,Contrato5[[#This Row],[Contrato2]],TEXT(Contrato5[[#This Row],[Contrato2]],"000"))</f>
        <v>468</v>
      </c>
      <c r="AH593" s="149">
        <f ca="1">IFERROR(_xlfn.DAYS(Contrato5[[#This Row],[Fecha Proyectada liquidación]],TODAY())/30,"")</f>
        <v>0.16666666666666666</v>
      </c>
      <c r="AI593" s="150">
        <f>+Contrato5[[#This Row],[FECHA TERMINACIÓN ]]+120</f>
        <v>45763</v>
      </c>
      <c r="AJ593" s="147"/>
      <c r="AK593" s="152" t="str">
        <f ca="1">IF(Contrato5[[#This Row],[FECHA TERMINACIÓN ]]&lt;TODAY(), "Terminado",IF(ISNUMBER(Contrato5[[#This Row],[Fecha Real de liquiidación ]]),"Liquidado",IF(Contrato5[[#This Row],[FECHA TERMINACIÓN ]]&gt;=TODAY(),"En ejecución","")))</f>
        <v>Terminado</v>
      </c>
      <c r="AL593" s="153" t="e">
        <f ca="1">SUMIF([2]!COMPROMISOS_2024[[#All],[consecutivo]],Contrato5[[#This Row],[RCP]],[2]!COMPROMISOS_2024[[#All],[Total pagado]])</f>
        <v>#REF!</v>
      </c>
      <c r="AM593" s="154">
        <f ca="1">IFERROR(Contrato5[[#This Row],[Pagos]]/Contrato5[[#This Row],[VALOR CONTRATO]],0)</f>
        <v>0</v>
      </c>
      <c r="AN593" s="198" t="e">
        <f ca="1">+Contrato5[[#This Row],[VALOR CONTRATO]]-Contrato5[[#This Row],[Pagos]]</f>
        <v>#REF!</v>
      </c>
      <c r="AO593" s="147" t="e" cm="1">
        <f t="array" aca="1" ref="AO593" ca="1">_xlfn.XLOOKUP(Contrato5[[#This Row],[DOCUMENTO ]],[2]!PERSONAL_ACTIVO_2024[[#All],[Documento identidad]],[2]!PERSONAL_ACTIVO_2024[[#All],[Mail ]],0,0)</f>
        <v>#NAME?</v>
      </c>
      <c r="AP593" s="147" t="e" cm="1">
        <f t="array" aca="1" ref="AP593" ca="1">_xlfn.XLOOKUP(Contrato5[[#This Row],[DOCUMENTO]],[2]!PERSONAL_ACTIVO_2024[[#All],[Documento identidad]],[2]!PERSONAL_ACTIVO_2024[[#All],[Mail ]],0,0)</f>
        <v>#NAME?</v>
      </c>
      <c r="AQ593" s="439" cm="1">
        <f t="array" aca="1" ref="AQ593" ca="1">IF(ISBLANK(Contrato5[[#This Row],[DEPENDENCIA ]]),0,IFERROR(_xlfn.XLOOKUP(Contrato5[[#This Row],[DEPENDENCIA ]],[2]!PERSONAL_ACTIVO_2024[[#All],[Dependencia]],[2]!PERSONAL_ACTIVO_2024[[#All],[Mail ]],0,0),0))</f>
        <v>0</v>
      </c>
    </row>
    <row r="594" spans="1:43" ht="34.5" customHeight="1">
      <c r="A594" s="125">
        <v>857</v>
      </c>
      <c r="B594" s="124">
        <v>469</v>
      </c>
      <c r="C594" s="162" t="s">
        <v>1969</v>
      </c>
      <c r="D594" s="227" t="s">
        <v>583</v>
      </c>
      <c r="E594" s="440" t="s">
        <v>94</v>
      </c>
      <c r="F594" s="227" t="s">
        <v>1376</v>
      </c>
      <c r="G594" s="281" t="s">
        <v>2872</v>
      </c>
      <c r="H594" s="436">
        <v>94537978</v>
      </c>
      <c r="I594" s="273">
        <v>5931149</v>
      </c>
      <c r="J594" s="545">
        <v>24120006</v>
      </c>
      <c r="K594" s="131" t="s">
        <v>42</v>
      </c>
      <c r="L594" s="528" t="s">
        <v>2855</v>
      </c>
      <c r="M594" s="194" t="s">
        <v>592</v>
      </c>
      <c r="N594" s="177" t="e" cm="1">
        <f t="array" aca="1" ref="N594" ca="1">_xlfn.XLOOKUP(Contrato5[[#This Row],[SUPERVISOR TITULAR]],[2]!PERSONAL_ACTIVO_2024[[#All],[Nombre completo]],[2]!PERSONAL_ACTIVO_2024[[#All],[Documento identidad]],"",0)</f>
        <v>#NAME?</v>
      </c>
      <c r="O594" s="194" t="s">
        <v>600</v>
      </c>
      <c r="P594" s="196" t="e" cm="1">
        <f t="array" aca="1" ref="P594" ca="1">_xlfn.XLOOKUP(Contrato5[[#This Row],[SUPERVISOR SUPLENTE ]],[2]!PERSONAL_ACTIVO_2024[[#All],[Nombre completo]],[2]!PERSONAL_ACTIVO_2024[[#All],[Documento identidad]],"",0)</f>
        <v>#NAME?</v>
      </c>
      <c r="Q594" s="170">
        <v>725</v>
      </c>
      <c r="R594" s="137" t="e" cm="1">
        <f t="array" aca="1" ref="R594" ca="1">_xlfn.XLOOKUP(Contrato5[[#This Row],[CDP]],[2]!DISPONIBILIDADES_2024[[#All],[consecutivo]],[2]!DISPONIBILIDADES_2024[[#All],[fecha_aprobacion]],"",0)</f>
        <v>#NAME?</v>
      </c>
      <c r="S594" s="138" t="e">
        <f>SUMIF([2]!DISPONIBILIDADES_2024[[#All],[consecutivo]],Contrato5[[#This Row],[CDP]],[2]!DISPONIBILIDADES_2024[[#All],[valor_total_rubro]])</f>
        <v>#REF!</v>
      </c>
      <c r="T594" s="139" t="e" cm="1">
        <f t="array" aca="1" ref="T594" ca="1">_xlfn.XLOOKUP(Contrato5[[#This Row],[CONTRATO]]&amp;Contrato5[[#This Row],[CDP]],[2]!Corr_Contr_CDP[[#All],[CONTRATO-CDP]],[2]!Corr_Contr_CDP[[#All],[CRP]],_xlfn.XLOOKUP(Contrato5[[#This Row],[CDP]],[2]!COMPROMISOS_2024[[#All],[disponibilidad]],[2]!COMPROMISOS_2024[[#All],[consecutivo]],"",0),0)</f>
        <v>#NAME?</v>
      </c>
      <c r="U594" s="140" t="e" cm="1">
        <f t="array" aca="1" ref="U594" ca="1">+_xlfn.XLOOKUP(Contrato5[[#This Row],[RCP]],[2]!COMPROMISOS_2024[[#All],[consecutivo]],[2]!COMPROMISOS_2024[[#All],[fecha_aprobacion]],"",0)</f>
        <v>#NAME?</v>
      </c>
      <c r="V594" s="141" t="e">
        <f ca="1">SUMIF([2]!COMPROMISOS_2024[[#All],[consecutivo]],Contrato5[[#This Row],[RCP]],[2]!COMPROMISOS_2024[[#All],[valor_total]])</f>
        <v>#REF!</v>
      </c>
      <c r="W594" s="160">
        <v>45516</v>
      </c>
      <c r="X594" s="160" t="s">
        <v>1045</v>
      </c>
      <c r="Y594" s="143">
        <v>45520</v>
      </c>
      <c r="Z594" s="262">
        <v>45643</v>
      </c>
      <c r="AA594" s="171" t="s">
        <v>2873</v>
      </c>
      <c r="AB594" s="172" t="s">
        <v>2871</v>
      </c>
      <c r="AC594" s="172"/>
      <c r="AD594" s="425">
        <v>202000005030</v>
      </c>
      <c r="AE594" s="147" t="s">
        <v>523</v>
      </c>
      <c r="AF594" s="148" t="str">
        <f>TEXT(LEFT(Contrato5[[#This Row],[CONTRATO]],3),"0")</f>
        <v>469</v>
      </c>
      <c r="AG594" s="148" t="str">
        <f>IF(LEN(Contrato5[[#This Row],[Contrato2]])=3,Contrato5[[#This Row],[Contrato2]],TEXT(Contrato5[[#This Row],[Contrato2]],"000"))</f>
        <v>469</v>
      </c>
      <c r="AH594" s="149">
        <f ca="1">IFERROR(_xlfn.DAYS(Contrato5[[#This Row],[Fecha Proyectada liquidación]],TODAY())/30,"")</f>
        <v>0.16666666666666666</v>
      </c>
      <c r="AI594" s="150">
        <f>+Contrato5[[#This Row],[FECHA TERMINACIÓN ]]+120</f>
        <v>45763</v>
      </c>
      <c r="AJ594" s="147"/>
      <c r="AK594" s="152" t="str">
        <f ca="1">IF(Contrato5[[#This Row],[FECHA TERMINACIÓN ]]&lt;TODAY(), "Terminado",IF(ISNUMBER(Contrato5[[#This Row],[Fecha Real de liquiidación ]]),"Liquidado",IF(Contrato5[[#This Row],[FECHA TERMINACIÓN ]]&gt;=TODAY(),"En ejecución","")))</f>
        <v>Terminado</v>
      </c>
      <c r="AL594" s="153" t="e">
        <f ca="1">SUMIF([2]!COMPROMISOS_2024[[#All],[consecutivo]],Contrato5[[#This Row],[RCP]],[2]!COMPROMISOS_2024[[#All],[Total pagado]])</f>
        <v>#REF!</v>
      </c>
      <c r="AM594" s="154">
        <f ca="1">IFERROR(Contrato5[[#This Row],[Pagos]]/Contrato5[[#This Row],[VALOR CONTRATO]],0)</f>
        <v>0</v>
      </c>
      <c r="AN594" s="198" t="e">
        <f ca="1">+Contrato5[[#This Row],[VALOR CONTRATO]]-Contrato5[[#This Row],[Pagos]]</f>
        <v>#REF!</v>
      </c>
      <c r="AO594" s="147" t="e" cm="1">
        <f t="array" aca="1" ref="AO594" ca="1">_xlfn.XLOOKUP(Contrato5[[#This Row],[DOCUMENTO ]],[2]!PERSONAL_ACTIVO_2024[[#All],[Documento identidad]],[2]!PERSONAL_ACTIVO_2024[[#All],[Mail ]],0,0)</f>
        <v>#NAME?</v>
      </c>
      <c r="AP594" s="147" t="e" cm="1">
        <f t="array" aca="1" ref="AP594" ca="1">_xlfn.XLOOKUP(Contrato5[[#This Row],[DOCUMENTO]],[2]!PERSONAL_ACTIVO_2024[[#All],[Documento identidad]],[2]!PERSONAL_ACTIVO_2024[[#All],[Mail ]],0,0)</f>
        <v>#NAME?</v>
      </c>
      <c r="AQ594" s="439" cm="1">
        <f t="array" aca="1" ref="AQ594" ca="1">IF(ISBLANK(Contrato5[[#This Row],[DEPENDENCIA ]]),0,IFERROR(_xlfn.XLOOKUP(Contrato5[[#This Row],[DEPENDENCIA ]],[2]!PERSONAL_ACTIVO_2024[[#All],[Dependencia]],[2]!PERSONAL_ACTIVO_2024[[#All],[Mail ]],0,0),0))</f>
        <v>0</v>
      </c>
    </row>
    <row r="595" spans="1:43" ht="34.5" customHeight="1">
      <c r="A595" s="125">
        <v>858</v>
      </c>
      <c r="B595" s="124">
        <v>470</v>
      </c>
      <c r="C595" s="162" t="s">
        <v>1969</v>
      </c>
      <c r="D595" s="227" t="s">
        <v>583</v>
      </c>
      <c r="E595" s="440" t="s">
        <v>94</v>
      </c>
      <c r="F595" s="227" t="s">
        <v>1376</v>
      </c>
      <c r="G595" s="281" t="s">
        <v>2874</v>
      </c>
      <c r="H595" s="436">
        <v>71313409</v>
      </c>
      <c r="I595" s="273">
        <v>4908936</v>
      </c>
      <c r="J595" s="545">
        <v>19963006</v>
      </c>
      <c r="K595" s="131" t="s">
        <v>42</v>
      </c>
      <c r="L595" s="528" t="s">
        <v>2855</v>
      </c>
      <c r="M595" s="194" t="s">
        <v>592</v>
      </c>
      <c r="N595" s="177" t="e" cm="1">
        <f t="array" aca="1" ref="N595" ca="1">_xlfn.XLOOKUP(Contrato5[[#This Row],[SUPERVISOR TITULAR]],[2]!PERSONAL_ACTIVO_2024[[#All],[Nombre completo]],[2]!PERSONAL_ACTIVO_2024[[#All],[Documento identidad]],"",0)</f>
        <v>#NAME?</v>
      </c>
      <c r="O595" s="194" t="s">
        <v>600</v>
      </c>
      <c r="P595" s="196" t="e" cm="1">
        <f t="array" aca="1" ref="P595" ca="1">_xlfn.XLOOKUP(Contrato5[[#This Row],[SUPERVISOR SUPLENTE ]],[2]!PERSONAL_ACTIVO_2024[[#All],[Nombre completo]],[2]!PERSONAL_ACTIVO_2024[[#All],[Documento identidad]],"",0)</f>
        <v>#NAME?</v>
      </c>
      <c r="Q595" s="170">
        <v>726</v>
      </c>
      <c r="R595" s="137" t="e" cm="1">
        <f t="array" aca="1" ref="R595" ca="1">_xlfn.XLOOKUP(Contrato5[[#This Row],[CDP]],[2]!DISPONIBILIDADES_2024[[#All],[consecutivo]],[2]!DISPONIBILIDADES_2024[[#All],[fecha_aprobacion]],"",0)</f>
        <v>#NAME?</v>
      </c>
      <c r="S595" s="138" t="e">
        <f>SUMIF([2]!DISPONIBILIDADES_2024[[#All],[consecutivo]],Contrato5[[#This Row],[CDP]],[2]!DISPONIBILIDADES_2024[[#All],[valor_total_rubro]])</f>
        <v>#REF!</v>
      </c>
      <c r="T595" s="139" t="e" cm="1">
        <f t="array" aca="1" ref="T595" ca="1">_xlfn.XLOOKUP(Contrato5[[#This Row],[CONTRATO]]&amp;Contrato5[[#This Row],[CDP]],[2]!Corr_Contr_CDP[[#All],[CONTRATO-CDP]],[2]!Corr_Contr_CDP[[#All],[CRP]],_xlfn.XLOOKUP(Contrato5[[#This Row],[CDP]],[2]!COMPROMISOS_2024[[#All],[disponibilidad]],[2]!COMPROMISOS_2024[[#All],[consecutivo]],"",0),0)</f>
        <v>#NAME?</v>
      </c>
      <c r="U595" s="140" t="e" cm="1">
        <f t="array" aca="1" ref="U595" ca="1">+_xlfn.XLOOKUP(Contrato5[[#This Row],[RCP]],[2]!COMPROMISOS_2024[[#All],[consecutivo]],[2]!COMPROMISOS_2024[[#All],[fecha_aprobacion]],"",0)</f>
        <v>#NAME?</v>
      </c>
      <c r="V595" s="141" t="e">
        <f ca="1">SUMIF([2]!COMPROMISOS_2024[[#All],[consecutivo]],Contrato5[[#This Row],[RCP]],[2]!COMPROMISOS_2024[[#All],[valor_total]])</f>
        <v>#REF!</v>
      </c>
      <c r="W595" s="160">
        <v>45516</v>
      </c>
      <c r="X595" s="160" t="s">
        <v>1045</v>
      </c>
      <c r="Y595" s="143">
        <v>45520</v>
      </c>
      <c r="Z595" s="262">
        <v>45643</v>
      </c>
      <c r="AA595" s="171" t="s">
        <v>2870</v>
      </c>
      <c r="AB595" s="172" t="s">
        <v>2871</v>
      </c>
      <c r="AC595" s="172"/>
      <c r="AD595" s="425">
        <v>202000005031</v>
      </c>
      <c r="AE595" s="147" t="s">
        <v>523</v>
      </c>
      <c r="AF595" s="148" t="str">
        <f>TEXT(LEFT(Contrato5[[#This Row],[CONTRATO]],3),"0")</f>
        <v>470</v>
      </c>
      <c r="AG595" s="148" t="str">
        <f>IF(LEN(Contrato5[[#This Row],[Contrato2]])=3,Contrato5[[#This Row],[Contrato2]],TEXT(Contrato5[[#This Row],[Contrato2]],"000"))</f>
        <v>470</v>
      </c>
      <c r="AH595" s="149">
        <f ca="1">IFERROR(_xlfn.DAYS(Contrato5[[#This Row],[Fecha Proyectada liquidación]],TODAY())/30,"")</f>
        <v>0.16666666666666666</v>
      </c>
      <c r="AI595" s="150">
        <f>+Contrato5[[#This Row],[FECHA TERMINACIÓN ]]+120</f>
        <v>45763</v>
      </c>
      <c r="AJ595" s="147"/>
      <c r="AK595" s="152" t="str">
        <f ca="1">IF(Contrato5[[#This Row],[FECHA TERMINACIÓN ]]&lt;TODAY(), "Terminado",IF(ISNUMBER(Contrato5[[#This Row],[Fecha Real de liquiidación ]]),"Liquidado",IF(Contrato5[[#This Row],[FECHA TERMINACIÓN ]]&gt;=TODAY(),"En ejecución","")))</f>
        <v>Terminado</v>
      </c>
      <c r="AL595" s="153" t="e">
        <f ca="1">SUMIF([2]!COMPROMISOS_2024[[#All],[consecutivo]],Contrato5[[#This Row],[RCP]],[2]!COMPROMISOS_2024[[#All],[Total pagado]])</f>
        <v>#REF!</v>
      </c>
      <c r="AM595" s="154">
        <f ca="1">IFERROR(Contrato5[[#This Row],[Pagos]]/Contrato5[[#This Row],[VALOR CONTRATO]],0)</f>
        <v>0</v>
      </c>
      <c r="AN595" s="198" t="e">
        <f ca="1">+Contrato5[[#This Row],[VALOR CONTRATO]]-Contrato5[[#This Row],[Pagos]]</f>
        <v>#REF!</v>
      </c>
      <c r="AO595" s="147" t="e" cm="1">
        <f t="array" aca="1" ref="AO595" ca="1">_xlfn.XLOOKUP(Contrato5[[#This Row],[DOCUMENTO ]],[2]!PERSONAL_ACTIVO_2024[[#All],[Documento identidad]],[2]!PERSONAL_ACTIVO_2024[[#All],[Mail ]],0,0)</f>
        <v>#NAME?</v>
      </c>
      <c r="AP595" s="147" t="e" cm="1">
        <f t="array" aca="1" ref="AP595" ca="1">_xlfn.XLOOKUP(Contrato5[[#This Row],[DOCUMENTO]],[2]!PERSONAL_ACTIVO_2024[[#All],[Documento identidad]],[2]!PERSONAL_ACTIVO_2024[[#All],[Mail ]],0,0)</f>
        <v>#NAME?</v>
      </c>
      <c r="AQ595" s="439" cm="1">
        <f t="array" aca="1" ref="AQ595" ca="1">IF(ISBLANK(Contrato5[[#This Row],[DEPENDENCIA ]]),0,IFERROR(_xlfn.XLOOKUP(Contrato5[[#This Row],[DEPENDENCIA ]],[2]!PERSONAL_ACTIVO_2024[[#All],[Dependencia]],[2]!PERSONAL_ACTIVO_2024[[#All],[Mail ]],0,0),0))</f>
        <v>0</v>
      </c>
    </row>
    <row r="596" spans="1:43" ht="34.5" customHeight="1">
      <c r="A596" s="125">
        <v>859</v>
      </c>
      <c r="B596" s="124">
        <v>471</v>
      </c>
      <c r="C596" s="162" t="s">
        <v>1969</v>
      </c>
      <c r="D596" s="227" t="s">
        <v>583</v>
      </c>
      <c r="E596" s="440" t="s">
        <v>94</v>
      </c>
      <c r="F596" s="227" t="s">
        <v>1376</v>
      </c>
      <c r="G596" s="281" t="s">
        <v>655</v>
      </c>
      <c r="H596" s="436">
        <v>71279580</v>
      </c>
      <c r="I596" s="273">
        <v>2574842</v>
      </c>
      <c r="J596" s="545">
        <v>10471024</v>
      </c>
      <c r="K596" s="131" t="s">
        <v>42</v>
      </c>
      <c r="L596" s="528" t="s">
        <v>2855</v>
      </c>
      <c r="M596" s="194" t="s">
        <v>592</v>
      </c>
      <c r="N596" s="177" t="e" cm="1">
        <f t="array" aca="1" ref="N596" ca="1">_xlfn.XLOOKUP(Contrato5[[#This Row],[SUPERVISOR TITULAR]],[2]!PERSONAL_ACTIVO_2024[[#All],[Nombre completo]],[2]!PERSONAL_ACTIVO_2024[[#All],[Documento identidad]],"",0)</f>
        <v>#NAME?</v>
      </c>
      <c r="O596" s="194" t="s">
        <v>600</v>
      </c>
      <c r="P596" s="196" t="e" cm="1">
        <f t="array" aca="1" ref="P596" ca="1">_xlfn.XLOOKUP(Contrato5[[#This Row],[SUPERVISOR SUPLENTE ]],[2]!PERSONAL_ACTIVO_2024[[#All],[Nombre completo]],[2]!PERSONAL_ACTIVO_2024[[#All],[Documento identidad]],"",0)</f>
        <v>#NAME?</v>
      </c>
      <c r="Q596" s="170">
        <v>674</v>
      </c>
      <c r="R596" s="137" t="e" cm="1">
        <f t="array" aca="1" ref="R596" ca="1">_xlfn.XLOOKUP(Contrato5[[#This Row],[CDP]],[2]!DISPONIBILIDADES_2024[[#All],[consecutivo]],[2]!DISPONIBILIDADES_2024[[#All],[fecha_aprobacion]],"",0)</f>
        <v>#NAME?</v>
      </c>
      <c r="S596" s="138" t="e">
        <f>SUMIF([2]!DISPONIBILIDADES_2024[[#All],[consecutivo]],Contrato5[[#This Row],[CDP]],[2]!DISPONIBILIDADES_2024[[#All],[valor_total_rubro]])</f>
        <v>#REF!</v>
      </c>
      <c r="T596" s="139" t="e" cm="1">
        <f t="array" aca="1" ref="T596" ca="1">_xlfn.XLOOKUP(Contrato5[[#This Row],[CONTRATO]]&amp;Contrato5[[#This Row],[CDP]],[2]!Corr_Contr_CDP[[#All],[CONTRATO-CDP]],[2]!Corr_Contr_CDP[[#All],[CRP]],_xlfn.XLOOKUP(Contrato5[[#This Row],[CDP]],[2]!COMPROMISOS_2024[[#All],[disponibilidad]],[2]!COMPROMISOS_2024[[#All],[consecutivo]],"",0),0)</f>
        <v>#NAME?</v>
      </c>
      <c r="U596" s="140" t="e" cm="1">
        <f t="array" aca="1" ref="U596" ca="1">+_xlfn.XLOOKUP(Contrato5[[#This Row],[RCP]],[2]!COMPROMISOS_2024[[#All],[consecutivo]],[2]!COMPROMISOS_2024[[#All],[fecha_aprobacion]],"",0)</f>
        <v>#NAME?</v>
      </c>
      <c r="V596" s="141" t="e">
        <f ca="1">SUMIF([2]!COMPROMISOS_2024[[#All],[consecutivo]],Contrato5[[#This Row],[RCP]],[2]!COMPROMISOS_2024[[#All],[valor_total]])</f>
        <v>#REF!</v>
      </c>
      <c r="W596" s="160">
        <v>45516</v>
      </c>
      <c r="X596" s="160" t="s">
        <v>1045</v>
      </c>
      <c r="Y596" s="143">
        <v>45520</v>
      </c>
      <c r="Z596" s="262">
        <v>45643</v>
      </c>
      <c r="AA596" s="171" t="s">
        <v>2875</v>
      </c>
      <c r="AB596" s="172" t="s">
        <v>2871</v>
      </c>
      <c r="AC596" s="172"/>
      <c r="AD596" s="425">
        <v>202000005032</v>
      </c>
      <c r="AE596" s="147" t="s">
        <v>523</v>
      </c>
      <c r="AF596" s="148" t="str">
        <f>TEXT(LEFT(Contrato5[[#This Row],[CONTRATO]],3),"0")</f>
        <v>471</v>
      </c>
      <c r="AG596" s="148" t="str">
        <f>IF(LEN(Contrato5[[#This Row],[Contrato2]])=3,Contrato5[[#This Row],[Contrato2]],TEXT(Contrato5[[#This Row],[Contrato2]],"000"))</f>
        <v>471</v>
      </c>
      <c r="AH596" s="149">
        <f ca="1">IFERROR(_xlfn.DAYS(Contrato5[[#This Row],[Fecha Proyectada liquidación]],TODAY())/30,"")</f>
        <v>0.16666666666666666</v>
      </c>
      <c r="AI596" s="150">
        <f>+Contrato5[[#This Row],[FECHA TERMINACIÓN ]]+120</f>
        <v>45763</v>
      </c>
      <c r="AJ596" s="147"/>
      <c r="AK596" s="152" t="str">
        <f ca="1">IF(Contrato5[[#This Row],[FECHA TERMINACIÓN ]]&lt;TODAY(), "Terminado",IF(ISNUMBER(Contrato5[[#This Row],[Fecha Real de liquiidación ]]),"Liquidado",IF(Contrato5[[#This Row],[FECHA TERMINACIÓN ]]&gt;=TODAY(),"En ejecución","")))</f>
        <v>Terminado</v>
      </c>
      <c r="AL596" s="153" t="e">
        <f ca="1">SUMIF([2]!COMPROMISOS_2024[[#All],[consecutivo]],Contrato5[[#This Row],[RCP]],[2]!COMPROMISOS_2024[[#All],[Total pagado]])</f>
        <v>#REF!</v>
      </c>
      <c r="AM596" s="154">
        <f ca="1">IFERROR(Contrato5[[#This Row],[Pagos]]/Contrato5[[#This Row],[VALOR CONTRATO]],0)</f>
        <v>0</v>
      </c>
      <c r="AN596" s="198" t="e">
        <f ca="1">+Contrato5[[#This Row],[VALOR CONTRATO]]-Contrato5[[#This Row],[Pagos]]</f>
        <v>#REF!</v>
      </c>
      <c r="AO596" s="147" t="e" cm="1">
        <f t="array" aca="1" ref="AO596" ca="1">_xlfn.XLOOKUP(Contrato5[[#This Row],[DOCUMENTO ]],[2]!PERSONAL_ACTIVO_2024[[#All],[Documento identidad]],[2]!PERSONAL_ACTIVO_2024[[#All],[Mail ]],0,0)</f>
        <v>#NAME?</v>
      </c>
      <c r="AP596" s="147" t="e" cm="1">
        <f t="array" aca="1" ref="AP596" ca="1">_xlfn.XLOOKUP(Contrato5[[#This Row],[DOCUMENTO]],[2]!PERSONAL_ACTIVO_2024[[#All],[Documento identidad]],[2]!PERSONAL_ACTIVO_2024[[#All],[Mail ]],0,0)</f>
        <v>#NAME?</v>
      </c>
      <c r="AQ596" s="439" cm="1">
        <f t="array" aca="1" ref="AQ596" ca="1">IF(ISBLANK(Contrato5[[#This Row],[DEPENDENCIA ]]),0,IFERROR(_xlfn.XLOOKUP(Contrato5[[#This Row],[DEPENDENCIA ]],[2]!PERSONAL_ACTIVO_2024[[#All],[Dependencia]],[2]!PERSONAL_ACTIVO_2024[[#All],[Mail ]],0,0),0))</f>
        <v>0</v>
      </c>
    </row>
    <row r="597" spans="1:43" ht="34.5" customHeight="1">
      <c r="A597" s="125">
        <v>860</v>
      </c>
      <c r="B597" s="124">
        <v>472</v>
      </c>
      <c r="C597" s="162" t="s">
        <v>1973</v>
      </c>
      <c r="D597" s="227" t="s">
        <v>583</v>
      </c>
      <c r="E597" s="440" t="s">
        <v>94</v>
      </c>
      <c r="F597" s="227" t="s">
        <v>1376</v>
      </c>
      <c r="G597" s="281" t="s">
        <v>2876</v>
      </c>
      <c r="H597" s="436">
        <v>43809808</v>
      </c>
      <c r="I597" s="273">
        <v>5931149</v>
      </c>
      <c r="J597" s="545">
        <v>24120006</v>
      </c>
      <c r="K597" s="131" t="s">
        <v>42</v>
      </c>
      <c r="L597" s="528" t="s">
        <v>2855</v>
      </c>
      <c r="M597" s="194" t="s">
        <v>592</v>
      </c>
      <c r="N597" s="177" t="e" cm="1">
        <f t="array" aca="1" ref="N597" ca="1">_xlfn.XLOOKUP(Contrato5[[#This Row],[SUPERVISOR TITULAR]],[2]!PERSONAL_ACTIVO_2024[[#All],[Nombre completo]],[2]!PERSONAL_ACTIVO_2024[[#All],[Documento identidad]],"",0)</f>
        <v>#NAME?</v>
      </c>
      <c r="O597" s="194" t="s">
        <v>600</v>
      </c>
      <c r="P597" s="196" t="e" cm="1">
        <f t="array" aca="1" ref="P597" ca="1">_xlfn.XLOOKUP(Contrato5[[#This Row],[SUPERVISOR SUPLENTE ]],[2]!PERSONAL_ACTIVO_2024[[#All],[Nombre completo]],[2]!PERSONAL_ACTIVO_2024[[#All],[Documento identidad]],"",0)</f>
        <v>#NAME?</v>
      </c>
      <c r="Q597" s="170">
        <v>769</v>
      </c>
      <c r="R597" s="137" t="e" cm="1">
        <f t="array" aca="1" ref="R597" ca="1">_xlfn.XLOOKUP(Contrato5[[#This Row],[CDP]],[2]!DISPONIBILIDADES_2024[[#All],[consecutivo]],[2]!DISPONIBILIDADES_2024[[#All],[fecha_aprobacion]],"",0)</f>
        <v>#NAME?</v>
      </c>
      <c r="S597" s="138" t="e">
        <f>SUMIF([2]!DISPONIBILIDADES_2024[[#All],[consecutivo]],Contrato5[[#This Row],[CDP]],[2]!DISPONIBILIDADES_2024[[#All],[valor_total_rubro]])</f>
        <v>#REF!</v>
      </c>
      <c r="T597" s="139" t="e" cm="1">
        <f t="array" aca="1" ref="T597" ca="1">_xlfn.XLOOKUP(Contrato5[[#This Row],[CONTRATO]]&amp;Contrato5[[#This Row],[CDP]],[2]!Corr_Contr_CDP[[#All],[CONTRATO-CDP]],[2]!Corr_Contr_CDP[[#All],[CRP]],_xlfn.XLOOKUP(Contrato5[[#This Row],[CDP]],[2]!COMPROMISOS_2024[[#All],[disponibilidad]],[2]!COMPROMISOS_2024[[#All],[consecutivo]],"",0),0)</f>
        <v>#NAME?</v>
      </c>
      <c r="U597" s="140" t="e" cm="1">
        <f t="array" aca="1" ref="U597" ca="1">+_xlfn.XLOOKUP(Contrato5[[#This Row],[RCP]],[2]!COMPROMISOS_2024[[#All],[consecutivo]],[2]!COMPROMISOS_2024[[#All],[fecha_aprobacion]],"",0)</f>
        <v>#NAME?</v>
      </c>
      <c r="V597" s="141" t="e">
        <f ca="1">SUMIF([2]!COMPROMISOS_2024[[#All],[consecutivo]],Contrato5[[#This Row],[RCP]],[2]!COMPROMISOS_2024[[#All],[valor_total]])</f>
        <v>#REF!</v>
      </c>
      <c r="W597" s="160">
        <v>45516</v>
      </c>
      <c r="X597" s="160" t="s">
        <v>1045</v>
      </c>
      <c r="Y597" s="143">
        <v>45520</v>
      </c>
      <c r="Z597" s="262">
        <v>45643</v>
      </c>
      <c r="AA597" s="171" t="s">
        <v>2877</v>
      </c>
      <c r="AB597" s="172" t="s">
        <v>2871</v>
      </c>
      <c r="AC597" s="172"/>
      <c r="AD597" s="425">
        <v>202000005033</v>
      </c>
      <c r="AE597" s="147" t="s">
        <v>523</v>
      </c>
      <c r="AF597" s="148" t="str">
        <f>TEXT(LEFT(Contrato5[[#This Row],[CONTRATO]],3),"0")</f>
        <v>472</v>
      </c>
      <c r="AG597" s="148" t="str">
        <f>IF(LEN(Contrato5[[#This Row],[Contrato2]])=3,Contrato5[[#This Row],[Contrato2]],TEXT(Contrato5[[#This Row],[Contrato2]],"000"))</f>
        <v>472</v>
      </c>
      <c r="AH597" s="149">
        <f ca="1">IFERROR(_xlfn.DAYS(Contrato5[[#This Row],[Fecha Proyectada liquidación]],TODAY())/30,"")</f>
        <v>0.16666666666666666</v>
      </c>
      <c r="AI597" s="150">
        <f>+Contrato5[[#This Row],[FECHA TERMINACIÓN ]]+120</f>
        <v>45763</v>
      </c>
      <c r="AJ597" s="147"/>
      <c r="AK597" s="152" t="str">
        <f ca="1">IF(Contrato5[[#This Row],[FECHA TERMINACIÓN ]]&lt;TODAY(), "Terminado",IF(ISNUMBER(Contrato5[[#This Row],[Fecha Real de liquiidación ]]),"Liquidado",IF(Contrato5[[#This Row],[FECHA TERMINACIÓN ]]&gt;=TODAY(),"En ejecución","")))</f>
        <v>Terminado</v>
      </c>
      <c r="AL597" s="153" t="e">
        <f ca="1">SUMIF([2]!COMPROMISOS_2024[[#All],[consecutivo]],Contrato5[[#This Row],[RCP]],[2]!COMPROMISOS_2024[[#All],[Total pagado]])</f>
        <v>#REF!</v>
      </c>
      <c r="AM597" s="154">
        <f ca="1">IFERROR(Contrato5[[#This Row],[Pagos]]/Contrato5[[#This Row],[VALOR CONTRATO]],0)</f>
        <v>0</v>
      </c>
      <c r="AN597" s="198" t="e">
        <f ca="1">+Contrato5[[#This Row],[VALOR CONTRATO]]-Contrato5[[#This Row],[Pagos]]</f>
        <v>#REF!</v>
      </c>
      <c r="AO597" s="147" t="e" cm="1">
        <f t="array" aca="1" ref="AO597" ca="1">_xlfn.XLOOKUP(Contrato5[[#This Row],[DOCUMENTO ]],[2]!PERSONAL_ACTIVO_2024[[#All],[Documento identidad]],[2]!PERSONAL_ACTIVO_2024[[#All],[Mail ]],0,0)</f>
        <v>#NAME?</v>
      </c>
      <c r="AP597" s="147" t="e" cm="1">
        <f t="array" aca="1" ref="AP597" ca="1">_xlfn.XLOOKUP(Contrato5[[#This Row],[DOCUMENTO]],[2]!PERSONAL_ACTIVO_2024[[#All],[Documento identidad]],[2]!PERSONAL_ACTIVO_2024[[#All],[Mail ]],0,0)</f>
        <v>#NAME?</v>
      </c>
      <c r="AQ597" s="439" cm="1">
        <f t="array" aca="1" ref="AQ597" ca="1">IF(ISBLANK(Contrato5[[#This Row],[DEPENDENCIA ]]),0,IFERROR(_xlfn.XLOOKUP(Contrato5[[#This Row],[DEPENDENCIA ]],[2]!PERSONAL_ACTIVO_2024[[#All],[Dependencia]],[2]!PERSONAL_ACTIVO_2024[[#All],[Mail ]],0,0),0))</f>
        <v>0</v>
      </c>
    </row>
    <row r="598" spans="1:43" ht="34.5" customHeight="1">
      <c r="A598" s="125">
        <v>861</v>
      </c>
      <c r="B598" s="124">
        <v>473</v>
      </c>
      <c r="C598" s="162" t="s">
        <v>1973</v>
      </c>
      <c r="D598" s="227" t="s">
        <v>583</v>
      </c>
      <c r="E598" s="440" t="s">
        <v>94</v>
      </c>
      <c r="F598" s="227" t="s">
        <v>1376</v>
      </c>
      <c r="G598" s="281" t="s">
        <v>2878</v>
      </c>
      <c r="H598" s="436">
        <v>1017224696</v>
      </c>
      <c r="I598" s="273">
        <v>3952382</v>
      </c>
      <c r="J598" s="545">
        <v>16073020</v>
      </c>
      <c r="K598" s="131" t="s">
        <v>42</v>
      </c>
      <c r="L598" s="528" t="s">
        <v>2855</v>
      </c>
      <c r="M598" s="194" t="s">
        <v>592</v>
      </c>
      <c r="N598" s="177" t="e" cm="1">
        <f t="array" aca="1" ref="N598" ca="1">_xlfn.XLOOKUP(Contrato5[[#This Row],[SUPERVISOR TITULAR]],[2]!PERSONAL_ACTIVO_2024[[#All],[Nombre completo]],[2]!PERSONAL_ACTIVO_2024[[#All],[Documento identidad]],"",0)</f>
        <v>#NAME?</v>
      </c>
      <c r="O598" s="194" t="s">
        <v>600</v>
      </c>
      <c r="P598" s="196" t="e" cm="1">
        <f t="array" aca="1" ref="P598" ca="1">_xlfn.XLOOKUP(Contrato5[[#This Row],[SUPERVISOR SUPLENTE ]],[2]!PERSONAL_ACTIVO_2024[[#All],[Nombre completo]],[2]!PERSONAL_ACTIVO_2024[[#All],[Documento identidad]],"",0)</f>
        <v>#NAME?</v>
      </c>
      <c r="Q598" s="170">
        <v>770</v>
      </c>
      <c r="R598" s="137" t="e" cm="1">
        <f t="array" aca="1" ref="R598" ca="1">_xlfn.XLOOKUP(Contrato5[[#This Row],[CDP]],[2]!DISPONIBILIDADES_2024[[#All],[consecutivo]],[2]!DISPONIBILIDADES_2024[[#All],[fecha_aprobacion]],"",0)</f>
        <v>#NAME?</v>
      </c>
      <c r="S598" s="138" t="e">
        <f>SUMIF([2]!DISPONIBILIDADES_2024[[#All],[consecutivo]],Contrato5[[#This Row],[CDP]],[2]!DISPONIBILIDADES_2024[[#All],[valor_total_rubro]])</f>
        <v>#REF!</v>
      </c>
      <c r="T598" s="139" t="e" cm="1">
        <f t="array" aca="1" ref="T598" ca="1">_xlfn.XLOOKUP(Contrato5[[#This Row],[CONTRATO]]&amp;Contrato5[[#This Row],[CDP]],[2]!Corr_Contr_CDP[[#All],[CONTRATO-CDP]],[2]!Corr_Contr_CDP[[#All],[CRP]],_xlfn.XLOOKUP(Contrato5[[#This Row],[CDP]],[2]!COMPROMISOS_2024[[#All],[disponibilidad]],[2]!COMPROMISOS_2024[[#All],[consecutivo]],"",0),0)</f>
        <v>#NAME?</v>
      </c>
      <c r="U598" s="140" t="e" cm="1">
        <f t="array" aca="1" ref="U598" ca="1">+_xlfn.XLOOKUP(Contrato5[[#This Row],[RCP]],[2]!COMPROMISOS_2024[[#All],[consecutivo]],[2]!COMPROMISOS_2024[[#All],[fecha_aprobacion]],"",0)</f>
        <v>#NAME?</v>
      </c>
      <c r="V598" s="141" t="e">
        <f ca="1">SUMIF([2]!COMPROMISOS_2024[[#All],[consecutivo]],Contrato5[[#This Row],[RCP]],[2]!COMPROMISOS_2024[[#All],[valor_total]])</f>
        <v>#REF!</v>
      </c>
      <c r="W598" s="160">
        <v>45516</v>
      </c>
      <c r="X598" s="160" t="s">
        <v>1045</v>
      </c>
      <c r="Y598" s="143">
        <v>45520</v>
      </c>
      <c r="Z598" s="262">
        <v>45643</v>
      </c>
      <c r="AA598" s="171" t="s">
        <v>2873</v>
      </c>
      <c r="AB598" s="172" t="s">
        <v>2871</v>
      </c>
      <c r="AC598" s="172"/>
      <c r="AD598" s="425">
        <v>202000005034</v>
      </c>
      <c r="AE598" s="147" t="s">
        <v>523</v>
      </c>
      <c r="AF598" s="148" t="str">
        <f>TEXT(LEFT(Contrato5[[#This Row],[CONTRATO]],3),"0")</f>
        <v>473</v>
      </c>
      <c r="AG598" s="148" t="str">
        <f>IF(LEN(Contrato5[[#This Row],[Contrato2]])=3,Contrato5[[#This Row],[Contrato2]],TEXT(Contrato5[[#This Row],[Contrato2]],"000"))</f>
        <v>473</v>
      </c>
      <c r="AH598" s="149">
        <f ca="1">IFERROR(_xlfn.DAYS(Contrato5[[#This Row],[Fecha Proyectada liquidación]],TODAY())/30,"")</f>
        <v>0.16666666666666666</v>
      </c>
      <c r="AI598" s="150">
        <f>+Contrato5[[#This Row],[FECHA TERMINACIÓN ]]+120</f>
        <v>45763</v>
      </c>
      <c r="AJ598" s="147"/>
      <c r="AK598" s="152" t="str">
        <f ca="1">IF(Contrato5[[#This Row],[FECHA TERMINACIÓN ]]&lt;TODAY(), "Terminado",IF(ISNUMBER(Contrato5[[#This Row],[Fecha Real de liquiidación ]]),"Liquidado",IF(Contrato5[[#This Row],[FECHA TERMINACIÓN ]]&gt;=TODAY(),"En ejecución","")))</f>
        <v>Terminado</v>
      </c>
      <c r="AL598" s="153" t="e">
        <f ca="1">SUMIF([2]!COMPROMISOS_2024[[#All],[consecutivo]],Contrato5[[#This Row],[RCP]],[2]!COMPROMISOS_2024[[#All],[Total pagado]])</f>
        <v>#REF!</v>
      </c>
      <c r="AM598" s="154">
        <f ca="1">IFERROR(Contrato5[[#This Row],[Pagos]]/Contrato5[[#This Row],[VALOR CONTRATO]],0)</f>
        <v>0</v>
      </c>
      <c r="AN598" s="198" t="e">
        <f ca="1">+Contrato5[[#This Row],[VALOR CONTRATO]]-Contrato5[[#This Row],[Pagos]]</f>
        <v>#REF!</v>
      </c>
      <c r="AO598" s="147" t="e" cm="1">
        <f t="array" aca="1" ref="AO598" ca="1">_xlfn.XLOOKUP(Contrato5[[#This Row],[DOCUMENTO ]],[2]!PERSONAL_ACTIVO_2024[[#All],[Documento identidad]],[2]!PERSONAL_ACTIVO_2024[[#All],[Mail ]],0,0)</f>
        <v>#NAME?</v>
      </c>
      <c r="AP598" s="147" t="e" cm="1">
        <f t="array" aca="1" ref="AP598" ca="1">_xlfn.XLOOKUP(Contrato5[[#This Row],[DOCUMENTO]],[2]!PERSONAL_ACTIVO_2024[[#All],[Documento identidad]],[2]!PERSONAL_ACTIVO_2024[[#All],[Mail ]],0,0)</f>
        <v>#NAME?</v>
      </c>
      <c r="AQ598" s="439" cm="1">
        <f t="array" aca="1" ref="AQ598" ca="1">IF(ISBLANK(Contrato5[[#This Row],[DEPENDENCIA ]]),0,IFERROR(_xlfn.XLOOKUP(Contrato5[[#This Row],[DEPENDENCIA ]],[2]!PERSONAL_ACTIVO_2024[[#All],[Dependencia]],[2]!PERSONAL_ACTIVO_2024[[#All],[Mail ]],0,0),0))</f>
        <v>0</v>
      </c>
    </row>
    <row r="599" spans="1:43" ht="34.5" customHeight="1">
      <c r="A599" s="125">
        <v>862</v>
      </c>
      <c r="B599" s="124">
        <v>474</v>
      </c>
      <c r="C599" s="162" t="s">
        <v>1973</v>
      </c>
      <c r="D599" s="227" t="s">
        <v>583</v>
      </c>
      <c r="E599" s="440" t="s">
        <v>94</v>
      </c>
      <c r="F599" s="227" t="s">
        <v>1376</v>
      </c>
      <c r="G599" s="281" t="s">
        <v>2879</v>
      </c>
      <c r="H599" s="436">
        <v>21526783</v>
      </c>
      <c r="I599" s="273">
        <v>5931149</v>
      </c>
      <c r="J599" s="545">
        <v>24120006</v>
      </c>
      <c r="K599" s="131" t="s">
        <v>42</v>
      </c>
      <c r="L599" s="528" t="s">
        <v>2855</v>
      </c>
      <c r="M599" s="194" t="s">
        <v>592</v>
      </c>
      <c r="N599" s="177" t="e" cm="1">
        <f t="array" aca="1" ref="N599" ca="1">_xlfn.XLOOKUP(Contrato5[[#This Row],[SUPERVISOR TITULAR]],[2]!PERSONAL_ACTIVO_2024[[#All],[Nombre completo]],[2]!PERSONAL_ACTIVO_2024[[#All],[Documento identidad]],"",0)</f>
        <v>#NAME?</v>
      </c>
      <c r="O599" s="194" t="s">
        <v>600</v>
      </c>
      <c r="P599" s="196" t="e" cm="1">
        <f t="array" aca="1" ref="P599" ca="1">_xlfn.XLOOKUP(Contrato5[[#This Row],[SUPERVISOR SUPLENTE ]],[2]!PERSONAL_ACTIVO_2024[[#All],[Nombre completo]],[2]!PERSONAL_ACTIVO_2024[[#All],[Documento identidad]],"",0)</f>
        <v>#NAME?</v>
      </c>
      <c r="Q599" s="170">
        <v>727</v>
      </c>
      <c r="R599" s="137" t="e" cm="1">
        <f t="array" aca="1" ref="R599" ca="1">_xlfn.XLOOKUP(Contrato5[[#This Row],[CDP]],[2]!DISPONIBILIDADES_2024[[#All],[consecutivo]],[2]!DISPONIBILIDADES_2024[[#All],[fecha_aprobacion]],"",0)</f>
        <v>#NAME?</v>
      </c>
      <c r="S599" s="138" t="e">
        <f>SUMIF([2]!DISPONIBILIDADES_2024[[#All],[consecutivo]],Contrato5[[#This Row],[CDP]],[2]!DISPONIBILIDADES_2024[[#All],[valor_total_rubro]])</f>
        <v>#REF!</v>
      </c>
      <c r="T599" s="139" t="e" cm="1">
        <f t="array" aca="1" ref="T599" ca="1">_xlfn.XLOOKUP(Contrato5[[#This Row],[CONTRATO]]&amp;Contrato5[[#This Row],[CDP]],[2]!Corr_Contr_CDP[[#All],[CONTRATO-CDP]],[2]!Corr_Contr_CDP[[#All],[CRP]],_xlfn.XLOOKUP(Contrato5[[#This Row],[CDP]],[2]!COMPROMISOS_2024[[#All],[disponibilidad]],[2]!COMPROMISOS_2024[[#All],[consecutivo]],"",0),0)</f>
        <v>#NAME?</v>
      </c>
      <c r="U599" s="140" t="e" cm="1">
        <f t="array" aca="1" ref="U599" ca="1">+_xlfn.XLOOKUP(Contrato5[[#This Row],[RCP]],[2]!COMPROMISOS_2024[[#All],[consecutivo]],[2]!COMPROMISOS_2024[[#All],[fecha_aprobacion]],"",0)</f>
        <v>#NAME?</v>
      </c>
      <c r="V599" s="141" t="e">
        <f ca="1">SUMIF([2]!COMPROMISOS_2024[[#All],[consecutivo]],Contrato5[[#This Row],[RCP]],[2]!COMPROMISOS_2024[[#All],[valor_total]])</f>
        <v>#REF!</v>
      </c>
      <c r="W599" s="160">
        <v>45516</v>
      </c>
      <c r="X599" s="160" t="s">
        <v>1045</v>
      </c>
      <c r="Y599" s="143">
        <v>45520</v>
      </c>
      <c r="Z599" s="262">
        <v>45643</v>
      </c>
      <c r="AA599" s="171" t="s">
        <v>2877</v>
      </c>
      <c r="AB599" s="172" t="s">
        <v>2871</v>
      </c>
      <c r="AC599" s="172"/>
      <c r="AD599" s="425">
        <v>202000005035</v>
      </c>
      <c r="AE599" s="147" t="s">
        <v>523</v>
      </c>
      <c r="AF599" s="148" t="str">
        <f>TEXT(LEFT(Contrato5[[#This Row],[CONTRATO]],3),"0")</f>
        <v>474</v>
      </c>
      <c r="AG599" s="148" t="str">
        <f>IF(LEN(Contrato5[[#This Row],[Contrato2]])=3,Contrato5[[#This Row],[Contrato2]],TEXT(Contrato5[[#This Row],[Contrato2]],"000"))</f>
        <v>474</v>
      </c>
      <c r="AH599" s="149">
        <f ca="1">IFERROR(_xlfn.DAYS(Contrato5[[#This Row],[Fecha Proyectada liquidación]],TODAY())/30,"")</f>
        <v>0.16666666666666666</v>
      </c>
      <c r="AI599" s="150">
        <f>+Contrato5[[#This Row],[FECHA TERMINACIÓN ]]+120</f>
        <v>45763</v>
      </c>
      <c r="AJ599" s="147"/>
      <c r="AK599" s="152" t="str">
        <f ca="1">IF(Contrato5[[#This Row],[FECHA TERMINACIÓN ]]&lt;TODAY(), "Terminado",IF(ISNUMBER(Contrato5[[#This Row],[Fecha Real de liquiidación ]]),"Liquidado",IF(Contrato5[[#This Row],[FECHA TERMINACIÓN ]]&gt;=TODAY(),"En ejecución","")))</f>
        <v>Terminado</v>
      </c>
      <c r="AL599" s="153" t="e">
        <f ca="1">SUMIF([2]!COMPROMISOS_2024[[#All],[consecutivo]],Contrato5[[#This Row],[RCP]],[2]!COMPROMISOS_2024[[#All],[Total pagado]])</f>
        <v>#REF!</v>
      </c>
      <c r="AM599" s="154">
        <f ca="1">IFERROR(Contrato5[[#This Row],[Pagos]]/Contrato5[[#This Row],[VALOR CONTRATO]],0)</f>
        <v>0</v>
      </c>
      <c r="AN599" s="198" t="e">
        <f ca="1">+Contrato5[[#This Row],[VALOR CONTRATO]]-Contrato5[[#This Row],[Pagos]]</f>
        <v>#REF!</v>
      </c>
      <c r="AO599" s="147" t="e" cm="1">
        <f t="array" aca="1" ref="AO599" ca="1">_xlfn.XLOOKUP(Contrato5[[#This Row],[DOCUMENTO ]],[2]!PERSONAL_ACTIVO_2024[[#All],[Documento identidad]],[2]!PERSONAL_ACTIVO_2024[[#All],[Mail ]],0,0)</f>
        <v>#NAME?</v>
      </c>
      <c r="AP599" s="147" t="e" cm="1">
        <f t="array" aca="1" ref="AP599" ca="1">_xlfn.XLOOKUP(Contrato5[[#This Row],[DOCUMENTO]],[2]!PERSONAL_ACTIVO_2024[[#All],[Documento identidad]],[2]!PERSONAL_ACTIVO_2024[[#All],[Mail ]],0,0)</f>
        <v>#NAME?</v>
      </c>
      <c r="AQ599" s="439" cm="1">
        <f t="array" aca="1" ref="AQ599" ca="1">IF(ISBLANK(Contrato5[[#This Row],[DEPENDENCIA ]]),0,IFERROR(_xlfn.XLOOKUP(Contrato5[[#This Row],[DEPENDENCIA ]],[2]!PERSONAL_ACTIVO_2024[[#All],[Dependencia]],[2]!PERSONAL_ACTIVO_2024[[#All],[Mail ]],0,0),0))</f>
        <v>0</v>
      </c>
    </row>
    <row r="600" spans="1:43" ht="34.5" customHeight="1">
      <c r="A600" s="125">
        <v>863</v>
      </c>
      <c r="B600" s="124">
        <v>475</v>
      </c>
      <c r="C600" s="162" t="s">
        <v>1973</v>
      </c>
      <c r="D600" s="227" t="s">
        <v>583</v>
      </c>
      <c r="E600" s="440" t="s">
        <v>94</v>
      </c>
      <c r="F600" s="227" t="s">
        <v>1376</v>
      </c>
      <c r="G600" s="281" t="s">
        <v>2880</v>
      </c>
      <c r="H600" s="436">
        <v>1214734553</v>
      </c>
      <c r="I600" s="273">
        <v>2574842</v>
      </c>
      <c r="J600" s="545">
        <v>10471024</v>
      </c>
      <c r="K600" s="131" t="s">
        <v>42</v>
      </c>
      <c r="L600" s="528" t="s">
        <v>2855</v>
      </c>
      <c r="M600" s="194" t="s">
        <v>592</v>
      </c>
      <c r="N600" s="177" t="e" cm="1">
        <f t="array" aca="1" ref="N600" ca="1">_xlfn.XLOOKUP(Contrato5[[#This Row],[SUPERVISOR TITULAR]],[2]!PERSONAL_ACTIVO_2024[[#All],[Nombre completo]],[2]!PERSONAL_ACTIVO_2024[[#All],[Documento identidad]],"",0)</f>
        <v>#NAME?</v>
      </c>
      <c r="O600" s="194" t="s">
        <v>600</v>
      </c>
      <c r="P600" s="196" t="e" cm="1">
        <f t="array" aca="1" ref="P600" ca="1">_xlfn.XLOOKUP(Contrato5[[#This Row],[SUPERVISOR SUPLENTE ]],[2]!PERSONAL_ACTIVO_2024[[#All],[Nombre completo]],[2]!PERSONAL_ACTIVO_2024[[#All],[Documento identidad]],"",0)</f>
        <v>#NAME?</v>
      </c>
      <c r="Q600" s="170">
        <v>675</v>
      </c>
      <c r="R600" s="137" t="e" cm="1">
        <f t="array" aca="1" ref="R600" ca="1">_xlfn.XLOOKUP(Contrato5[[#This Row],[CDP]],[2]!DISPONIBILIDADES_2024[[#All],[consecutivo]],[2]!DISPONIBILIDADES_2024[[#All],[fecha_aprobacion]],"",0)</f>
        <v>#NAME?</v>
      </c>
      <c r="S600" s="138" t="e">
        <f>SUMIF([2]!DISPONIBILIDADES_2024[[#All],[consecutivo]],Contrato5[[#This Row],[CDP]],[2]!DISPONIBILIDADES_2024[[#All],[valor_total_rubro]])</f>
        <v>#REF!</v>
      </c>
      <c r="T600" s="139" t="e" cm="1">
        <f t="array" aca="1" ref="T600" ca="1">_xlfn.XLOOKUP(Contrato5[[#This Row],[CONTRATO]]&amp;Contrato5[[#This Row],[CDP]],[2]!Corr_Contr_CDP[[#All],[CONTRATO-CDP]],[2]!Corr_Contr_CDP[[#All],[CRP]],_xlfn.XLOOKUP(Contrato5[[#This Row],[CDP]],[2]!COMPROMISOS_2024[[#All],[disponibilidad]],[2]!COMPROMISOS_2024[[#All],[consecutivo]],"",0),0)</f>
        <v>#NAME?</v>
      </c>
      <c r="U600" s="140" t="e" cm="1">
        <f t="array" aca="1" ref="U600" ca="1">+_xlfn.XLOOKUP(Contrato5[[#This Row],[RCP]],[2]!COMPROMISOS_2024[[#All],[consecutivo]],[2]!COMPROMISOS_2024[[#All],[fecha_aprobacion]],"",0)</f>
        <v>#NAME?</v>
      </c>
      <c r="V600" s="141" t="e">
        <f ca="1">SUMIF([2]!COMPROMISOS_2024[[#All],[consecutivo]],Contrato5[[#This Row],[RCP]],[2]!COMPROMISOS_2024[[#All],[valor_total]])</f>
        <v>#REF!</v>
      </c>
      <c r="W600" s="160">
        <v>45516</v>
      </c>
      <c r="X600" s="160" t="s">
        <v>1045</v>
      </c>
      <c r="Y600" s="143">
        <v>45520</v>
      </c>
      <c r="Z600" s="262">
        <v>45643</v>
      </c>
      <c r="AA600" s="171" t="s">
        <v>2873</v>
      </c>
      <c r="AB600" s="172" t="s">
        <v>2871</v>
      </c>
      <c r="AC600" s="172"/>
      <c r="AD600" s="425">
        <v>202000005036</v>
      </c>
      <c r="AE600" s="147" t="s">
        <v>523</v>
      </c>
      <c r="AF600" s="148" t="str">
        <f>TEXT(LEFT(Contrato5[[#This Row],[CONTRATO]],3),"0")</f>
        <v>475</v>
      </c>
      <c r="AG600" s="148" t="str">
        <f>IF(LEN(Contrato5[[#This Row],[Contrato2]])=3,Contrato5[[#This Row],[Contrato2]],TEXT(Contrato5[[#This Row],[Contrato2]],"000"))</f>
        <v>475</v>
      </c>
      <c r="AH600" s="149">
        <f ca="1">IFERROR(_xlfn.DAYS(Contrato5[[#This Row],[Fecha Proyectada liquidación]],TODAY())/30,"")</f>
        <v>0.16666666666666666</v>
      </c>
      <c r="AI600" s="150">
        <f>+Contrato5[[#This Row],[FECHA TERMINACIÓN ]]+120</f>
        <v>45763</v>
      </c>
      <c r="AJ600" s="147"/>
      <c r="AK600" s="152" t="str">
        <f ca="1">IF(Contrato5[[#This Row],[FECHA TERMINACIÓN ]]&lt;TODAY(), "Terminado",IF(ISNUMBER(Contrato5[[#This Row],[Fecha Real de liquiidación ]]),"Liquidado",IF(Contrato5[[#This Row],[FECHA TERMINACIÓN ]]&gt;=TODAY(),"En ejecución","")))</f>
        <v>Terminado</v>
      </c>
      <c r="AL600" s="153" t="e">
        <f ca="1">SUMIF([2]!COMPROMISOS_2024[[#All],[consecutivo]],Contrato5[[#This Row],[RCP]],[2]!COMPROMISOS_2024[[#All],[Total pagado]])</f>
        <v>#REF!</v>
      </c>
      <c r="AM600" s="154">
        <f ca="1">IFERROR(Contrato5[[#This Row],[Pagos]]/Contrato5[[#This Row],[VALOR CONTRATO]],0)</f>
        <v>0</v>
      </c>
      <c r="AN600" s="198" t="e">
        <f ca="1">+Contrato5[[#This Row],[VALOR CONTRATO]]-Contrato5[[#This Row],[Pagos]]</f>
        <v>#REF!</v>
      </c>
      <c r="AO600" s="147" t="e" cm="1">
        <f t="array" aca="1" ref="AO600" ca="1">_xlfn.XLOOKUP(Contrato5[[#This Row],[DOCUMENTO ]],[2]!PERSONAL_ACTIVO_2024[[#All],[Documento identidad]],[2]!PERSONAL_ACTIVO_2024[[#All],[Mail ]],0,0)</f>
        <v>#NAME?</v>
      </c>
      <c r="AP600" s="147" t="e" cm="1">
        <f t="array" aca="1" ref="AP600" ca="1">_xlfn.XLOOKUP(Contrato5[[#This Row],[DOCUMENTO]],[2]!PERSONAL_ACTIVO_2024[[#All],[Documento identidad]],[2]!PERSONAL_ACTIVO_2024[[#All],[Mail ]],0,0)</f>
        <v>#NAME?</v>
      </c>
      <c r="AQ600" s="439" cm="1">
        <f t="array" aca="1" ref="AQ600" ca="1">IF(ISBLANK(Contrato5[[#This Row],[DEPENDENCIA ]]),0,IFERROR(_xlfn.XLOOKUP(Contrato5[[#This Row],[DEPENDENCIA ]],[2]!PERSONAL_ACTIVO_2024[[#All],[Dependencia]],[2]!PERSONAL_ACTIVO_2024[[#All],[Mail ]],0,0),0))</f>
        <v>0</v>
      </c>
    </row>
    <row r="601" spans="1:43" ht="34.5" customHeight="1">
      <c r="A601" s="125">
        <v>864</v>
      </c>
      <c r="B601" s="124">
        <v>476</v>
      </c>
      <c r="C601" s="162" t="s">
        <v>1974</v>
      </c>
      <c r="D601" s="227" t="s">
        <v>583</v>
      </c>
      <c r="E601" s="440" t="s">
        <v>94</v>
      </c>
      <c r="F601" s="227" t="s">
        <v>1376</v>
      </c>
      <c r="G601" s="281" t="s">
        <v>2881</v>
      </c>
      <c r="H601" s="436">
        <v>98521638</v>
      </c>
      <c r="I601" s="273">
        <v>4908936</v>
      </c>
      <c r="J601" s="545">
        <v>19963006</v>
      </c>
      <c r="K601" s="131" t="s">
        <v>42</v>
      </c>
      <c r="L601" s="528" t="s">
        <v>2855</v>
      </c>
      <c r="M601" s="194" t="s">
        <v>592</v>
      </c>
      <c r="N601" s="177" t="e" cm="1">
        <f t="array" aca="1" ref="N601" ca="1">_xlfn.XLOOKUP(Contrato5[[#This Row],[SUPERVISOR TITULAR]],[2]!PERSONAL_ACTIVO_2024[[#All],[Nombre completo]],[2]!PERSONAL_ACTIVO_2024[[#All],[Documento identidad]],"",0)</f>
        <v>#NAME?</v>
      </c>
      <c r="O601" s="194" t="s">
        <v>600</v>
      </c>
      <c r="P601" s="196" t="e" cm="1">
        <f t="array" aca="1" ref="P601" ca="1">_xlfn.XLOOKUP(Contrato5[[#This Row],[SUPERVISOR SUPLENTE ]],[2]!PERSONAL_ACTIVO_2024[[#All],[Nombre completo]],[2]!PERSONAL_ACTIVO_2024[[#All],[Documento identidad]],"",0)</f>
        <v>#NAME?</v>
      </c>
      <c r="Q601" s="170">
        <v>728</v>
      </c>
      <c r="R601" s="137" t="e" cm="1">
        <f t="array" aca="1" ref="R601" ca="1">_xlfn.XLOOKUP(Contrato5[[#This Row],[CDP]],[2]!DISPONIBILIDADES_2024[[#All],[consecutivo]],[2]!DISPONIBILIDADES_2024[[#All],[fecha_aprobacion]],"",0)</f>
        <v>#NAME?</v>
      </c>
      <c r="S601" s="138" t="e">
        <f>SUMIF([2]!DISPONIBILIDADES_2024[[#All],[consecutivo]],Contrato5[[#This Row],[CDP]],[2]!DISPONIBILIDADES_2024[[#All],[valor_total_rubro]])</f>
        <v>#REF!</v>
      </c>
      <c r="T601" s="139" t="e" cm="1">
        <f t="array" aca="1" ref="T601" ca="1">_xlfn.XLOOKUP(Contrato5[[#This Row],[CONTRATO]]&amp;Contrato5[[#This Row],[CDP]],[2]!Corr_Contr_CDP[[#All],[CONTRATO-CDP]],[2]!Corr_Contr_CDP[[#All],[CRP]],_xlfn.XLOOKUP(Contrato5[[#This Row],[CDP]],[2]!COMPROMISOS_2024[[#All],[disponibilidad]],[2]!COMPROMISOS_2024[[#All],[consecutivo]],"",0),0)</f>
        <v>#NAME?</v>
      </c>
      <c r="U601" s="140" t="e" cm="1">
        <f t="array" aca="1" ref="U601" ca="1">+_xlfn.XLOOKUP(Contrato5[[#This Row],[RCP]],[2]!COMPROMISOS_2024[[#All],[consecutivo]],[2]!COMPROMISOS_2024[[#All],[fecha_aprobacion]],"",0)</f>
        <v>#NAME?</v>
      </c>
      <c r="V601" s="141" t="e">
        <f ca="1">SUMIF([2]!COMPROMISOS_2024[[#All],[consecutivo]],Contrato5[[#This Row],[RCP]],[2]!COMPROMISOS_2024[[#All],[valor_total]])</f>
        <v>#REF!</v>
      </c>
      <c r="W601" s="160">
        <v>45516</v>
      </c>
      <c r="X601" s="160" t="s">
        <v>1045</v>
      </c>
      <c r="Y601" s="143">
        <v>45520</v>
      </c>
      <c r="Z601" s="262">
        <v>45643</v>
      </c>
      <c r="AA601" s="171" t="s">
        <v>2877</v>
      </c>
      <c r="AB601" s="172" t="s">
        <v>2871</v>
      </c>
      <c r="AC601" s="172"/>
      <c r="AD601" s="425">
        <v>202000005037</v>
      </c>
      <c r="AE601" s="147" t="s">
        <v>523</v>
      </c>
      <c r="AF601" s="148" t="str">
        <f>TEXT(LEFT(Contrato5[[#This Row],[CONTRATO]],3),"0")</f>
        <v>476</v>
      </c>
      <c r="AG601" s="148" t="str">
        <f>IF(LEN(Contrato5[[#This Row],[Contrato2]])=3,Contrato5[[#This Row],[Contrato2]],TEXT(Contrato5[[#This Row],[Contrato2]],"000"))</f>
        <v>476</v>
      </c>
      <c r="AH601" s="149">
        <f ca="1">IFERROR(_xlfn.DAYS(Contrato5[[#This Row],[Fecha Proyectada liquidación]],TODAY())/30,"")</f>
        <v>0.16666666666666666</v>
      </c>
      <c r="AI601" s="150">
        <f>+Contrato5[[#This Row],[FECHA TERMINACIÓN ]]+120</f>
        <v>45763</v>
      </c>
      <c r="AJ601" s="147"/>
      <c r="AK601" s="152" t="str">
        <f ca="1">IF(Contrato5[[#This Row],[FECHA TERMINACIÓN ]]&lt;TODAY(), "Terminado",IF(ISNUMBER(Contrato5[[#This Row],[Fecha Real de liquiidación ]]),"Liquidado",IF(Contrato5[[#This Row],[FECHA TERMINACIÓN ]]&gt;=TODAY(),"En ejecución","")))</f>
        <v>Terminado</v>
      </c>
      <c r="AL601" s="153" t="e">
        <f ca="1">SUMIF([2]!COMPROMISOS_2024[[#All],[consecutivo]],Contrato5[[#This Row],[RCP]],[2]!COMPROMISOS_2024[[#All],[Total pagado]])</f>
        <v>#REF!</v>
      </c>
      <c r="AM601" s="154">
        <f ca="1">IFERROR(Contrato5[[#This Row],[Pagos]]/Contrato5[[#This Row],[VALOR CONTRATO]],0)</f>
        <v>0</v>
      </c>
      <c r="AN601" s="198" t="e">
        <f ca="1">+Contrato5[[#This Row],[VALOR CONTRATO]]-Contrato5[[#This Row],[Pagos]]</f>
        <v>#REF!</v>
      </c>
      <c r="AO601" s="147" t="e" cm="1">
        <f t="array" aca="1" ref="AO601" ca="1">_xlfn.XLOOKUP(Contrato5[[#This Row],[DOCUMENTO ]],[2]!PERSONAL_ACTIVO_2024[[#All],[Documento identidad]],[2]!PERSONAL_ACTIVO_2024[[#All],[Mail ]],0,0)</f>
        <v>#NAME?</v>
      </c>
      <c r="AP601" s="147" t="e" cm="1">
        <f t="array" aca="1" ref="AP601" ca="1">_xlfn.XLOOKUP(Contrato5[[#This Row],[DOCUMENTO]],[2]!PERSONAL_ACTIVO_2024[[#All],[Documento identidad]],[2]!PERSONAL_ACTIVO_2024[[#All],[Mail ]],0,0)</f>
        <v>#NAME?</v>
      </c>
      <c r="AQ601" s="439" cm="1">
        <f t="array" aca="1" ref="AQ601" ca="1">IF(ISBLANK(Contrato5[[#This Row],[DEPENDENCIA ]]),0,IFERROR(_xlfn.XLOOKUP(Contrato5[[#This Row],[DEPENDENCIA ]],[2]!PERSONAL_ACTIVO_2024[[#All],[Dependencia]],[2]!PERSONAL_ACTIVO_2024[[#All],[Mail ]],0,0),0))</f>
        <v>0</v>
      </c>
    </row>
    <row r="602" spans="1:43" ht="34.5" customHeight="1">
      <c r="A602" s="125">
        <v>865</v>
      </c>
      <c r="B602" s="124">
        <v>477</v>
      </c>
      <c r="C602" s="162" t="s">
        <v>1974</v>
      </c>
      <c r="D602" s="227" t="s">
        <v>583</v>
      </c>
      <c r="E602" s="440" t="s">
        <v>94</v>
      </c>
      <c r="F602" s="227" t="s">
        <v>1376</v>
      </c>
      <c r="G602" s="281" t="s">
        <v>2882</v>
      </c>
      <c r="H602" s="436">
        <v>71775672</v>
      </c>
      <c r="I602" s="273">
        <v>4908936</v>
      </c>
      <c r="J602" s="545">
        <v>19963006</v>
      </c>
      <c r="K602" s="131" t="s">
        <v>42</v>
      </c>
      <c r="L602" s="528" t="s">
        <v>2855</v>
      </c>
      <c r="M602" s="194" t="s">
        <v>592</v>
      </c>
      <c r="N602" s="177" t="e" cm="1">
        <f t="array" aca="1" ref="N602" ca="1">_xlfn.XLOOKUP(Contrato5[[#This Row],[SUPERVISOR TITULAR]],[2]!PERSONAL_ACTIVO_2024[[#All],[Nombre completo]],[2]!PERSONAL_ACTIVO_2024[[#All],[Documento identidad]],"",0)</f>
        <v>#NAME?</v>
      </c>
      <c r="O602" s="194" t="s">
        <v>600</v>
      </c>
      <c r="P602" s="196" t="e" cm="1">
        <f t="array" aca="1" ref="P602" ca="1">_xlfn.XLOOKUP(Contrato5[[#This Row],[SUPERVISOR SUPLENTE ]],[2]!PERSONAL_ACTIVO_2024[[#All],[Nombre completo]],[2]!PERSONAL_ACTIVO_2024[[#All],[Documento identidad]],"",0)</f>
        <v>#NAME?</v>
      </c>
      <c r="Q602" s="170">
        <v>676</v>
      </c>
      <c r="R602" s="137" t="e" cm="1">
        <f t="array" aca="1" ref="R602" ca="1">_xlfn.XLOOKUP(Contrato5[[#This Row],[CDP]],[2]!DISPONIBILIDADES_2024[[#All],[consecutivo]],[2]!DISPONIBILIDADES_2024[[#All],[fecha_aprobacion]],"",0)</f>
        <v>#NAME?</v>
      </c>
      <c r="S602" s="138" t="e">
        <f>SUMIF([2]!DISPONIBILIDADES_2024[[#All],[consecutivo]],Contrato5[[#This Row],[CDP]],[2]!DISPONIBILIDADES_2024[[#All],[valor_total_rubro]])</f>
        <v>#REF!</v>
      </c>
      <c r="T602" s="139" t="e" cm="1">
        <f t="array" aca="1" ref="T602" ca="1">_xlfn.XLOOKUP(Contrato5[[#This Row],[CONTRATO]]&amp;Contrato5[[#This Row],[CDP]],[2]!Corr_Contr_CDP[[#All],[CONTRATO-CDP]],[2]!Corr_Contr_CDP[[#All],[CRP]],_xlfn.XLOOKUP(Contrato5[[#This Row],[CDP]],[2]!COMPROMISOS_2024[[#All],[disponibilidad]],[2]!COMPROMISOS_2024[[#All],[consecutivo]],"",0),0)</f>
        <v>#NAME?</v>
      </c>
      <c r="U602" s="140" t="e" cm="1">
        <f t="array" aca="1" ref="U602" ca="1">+_xlfn.XLOOKUP(Contrato5[[#This Row],[RCP]],[2]!COMPROMISOS_2024[[#All],[consecutivo]],[2]!COMPROMISOS_2024[[#All],[fecha_aprobacion]],"",0)</f>
        <v>#NAME?</v>
      </c>
      <c r="V602" s="141" t="e">
        <f ca="1">SUMIF([2]!COMPROMISOS_2024[[#All],[consecutivo]],Contrato5[[#This Row],[RCP]],[2]!COMPROMISOS_2024[[#All],[valor_total]])</f>
        <v>#REF!</v>
      </c>
      <c r="W602" s="160">
        <v>45516</v>
      </c>
      <c r="X602" s="160" t="s">
        <v>1045</v>
      </c>
      <c r="Y602" s="143">
        <v>45520</v>
      </c>
      <c r="Z602" s="262">
        <v>45643</v>
      </c>
      <c r="AA602" s="171" t="s">
        <v>2877</v>
      </c>
      <c r="AB602" s="172" t="s">
        <v>2871</v>
      </c>
      <c r="AC602" s="172"/>
      <c r="AD602" s="425">
        <v>202000005038</v>
      </c>
      <c r="AE602" s="147" t="s">
        <v>523</v>
      </c>
      <c r="AF602" s="148" t="str">
        <f>TEXT(LEFT(Contrato5[[#This Row],[CONTRATO]],3),"0")</f>
        <v>477</v>
      </c>
      <c r="AG602" s="148" t="str">
        <f>IF(LEN(Contrato5[[#This Row],[Contrato2]])=3,Contrato5[[#This Row],[Contrato2]],TEXT(Contrato5[[#This Row],[Contrato2]],"000"))</f>
        <v>477</v>
      </c>
      <c r="AH602" s="149">
        <f ca="1">IFERROR(_xlfn.DAYS(Contrato5[[#This Row],[Fecha Proyectada liquidación]],TODAY())/30,"")</f>
        <v>0.16666666666666666</v>
      </c>
      <c r="AI602" s="150">
        <f>+Contrato5[[#This Row],[FECHA TERMINACIÓN ]]+120</f>
        <v>45763</v>
      </c>
      <c r="AJ602" s="147"/>
      <c r="AK602" s="152" t="str">
        <f ca="1">IF(Contrato5[[#This Row],[FECHA TERMINACIÓN ]]&lt;TODAY(), "Terminado",IF(ISNUMBER(Contrato5[[#This Row],[Fecha Real de liquiidación ]]),"Liquidado",IF(Contrato5[[#This Row],[FECHA TERMINACIÓN ]]&gt;=TODAY(),"En ejecución","")))</f>
        <v>Terminado</v>
      </c>
      <c r="AL602" s="153" t="e">
        <f ca="1">SUMIF([2]!COMPROMISOS_2024[[#All],[consecutivo]],Contrato5[[#This Row],[RCP]],[2]!COMPROMISOS_2024[[#All],[Total pagado]])</f>
        <v>#REF!</v>
      </c>
      <c r="AM602" s="154">
        <f ca="1">IFERROR(Contrato5[[#This Row],[Pagos]]/Contrato5[[#This Row],[VALOR CONTRATO]],0)</f>
        <v>0</v>
      </c>
      <c r="AN602" s="198" t="e">
        <f ca="1">+Contrato5[[#This Row],[VALOR CONTRATO]]-Contrato5[[#This Row],[Pagos]]</f>
        <v>#REF!</v>
      </c>
      <c r="AO602" s="147" t="e" cm="1">
        <f t="array" aca="1" ref="AO602" ca="1">_xlfn.XLOOKUP(Contrato5[[#This Row],[DOCUMENTO ]],[2]!PERSONAL_ACTIVO_2024[[#All],[Documento identidad]],[2]!PERSONAL_ACTIVO_2024[[#All],[Mail ]],0,0)</f>
        <v>#NAME?</v>
      </c>
      <c r="AP602" s="147" t="e" cm="1">
        <f t="array" aca="1" ref="AP602" ca="1">_xlfn.XLOOKUP(Contrato5[[#This Row],[DOCUMENTO]],[2]!PERSONAL_ACTIVO_2024[[#All],[Documento identidad]],[2]!PERSONAL_ACTIVO_2024[[#All],[Mail ]],0,0)</f>
        <v>#NAME?</v>
      </c>
      <c r="AQ602" s="439" cm="1">
        <f t="array" aca="1" ref="AQ602" ca="1">IF(ISBLANK(Contrato5[[#This Row],[DEPENDENCIA ]]),0,IFERROR(_xlfn.XLOOKUP(Contrato5[[#This Row],[DEPENDENCIA ]],[2]!PERSONAL_ACTIVO_2024[[#All],[Dependencia]],[2]!PERSONAL_ACTIVO_2024[[#All],[Mail ]],0,0),0))</f>
        <v>0</v>
      </c>
    </row>
    <row r="603" spans="1:43" ht="34.5" customHeight="1">
      <c r="A603" s="125">
        <v>866</v>
      </c>
      <c r="B603" s="124">
        <v>478</v>
      </c>
      <c r="C603" s="162" t="s">
        <v>1974</v>
      </c>
      <c r="D603" s="227" t="s">
        <v>583</v>
      </c>
      <c r="E603" s="440" t="s">
        <v>94</v>
      </c>
      <c r="F603" s="227" t="s">
        <v>1376</v>
      </c>
      <c r="G603" s="281" t="s">
        <v>663</v>
      </c>
      <c r="H603" s="436">
        <v>70564744</v>
      </c>
      <c r="I603" s="273">
        <v>4908936</v>
      </c>
      <c r="J603" s="545">
        <v>19963006</v>
      </c>
      <c r="K603" s="131" t="s">
        <v>42</v>
      </c>
      <c r="L603" s="528" t="s">
        <v>2855</v>
      </c>
      <c r="M603" s="194" t="s">
        <v>592</v>
      </c>
      <c r="N603" s="177" t="e" cm="1">
        <f t="array" aca="1" ref="N603" ca="1">_xlfn.XLOOKUP(Contrato5[[#This Row],[SUPERVISOR TITULAR]],[2]!PERSONAL_ACTIVO_2024[[#All],[Nombre completo]],[2]!PERSONAL_ACTIVO_2024[[#All],[Documento identidad]],"",0)</f>
        <v>#NAME?</v>
      </c>
      <c r="O603" s="194" t="s">
        <v>600</v>
      </c>
      <c r="P603" s="196" t="e" cm="1">
        <f t="array" aca="1" ref="P603" ca="1">_xlfn.XLOOKUP(Contrato5[[#This Row],[SUPERVISOR SUPLENTE ]],[2]!PERSONAL_ACTIVO_2024[[#All],[Nombre completo]],[2]!PERSONAL_ACTIVO_2024[[#All],[Documento identidad]],"",0)</f>
        <v>#NAME?</v>
      </c>
      <c r="Q603" s="170">
        <v>771</v>
      </c>
      <c r="R603" s="137" t="e" cm="1">
        <f t="array" aca="1" ref="R603" ca="1">_xlfn.XLOOKUP(Contrato5[[#This Row],[CDP]],[2]!DISPONIBILIDADES_2024[[#All],[consecutivo]],[2]!DISPONIBILIDADES_2024[[#All],[fecha_aprobacion]],"",0)</f>
        <v>#NAME?</v>
      </c>
      <c r="S603" s="138" t="e">
        <f>SUMIF([2]!DISPONIBILIDADES_2024[[#All],[consecutivo]],Contrato5[[#This Row],[CDP]],[2]!DISPONIBILIDADES_2024[[#All],[valor_total_rubro]])</f>
        <v>#REF!</v>
      </c>
      <c r="T603" s="139" t="e" cm="1">
        <f t="array" aca="1" ref="T603" ca="1">_xlfn.XLOOKUP(Contrato5[[#This Row],[CONTRATO]]&amp;Contrato5[[#This Row],[CDP]],[2]!Corr_Contr_CDP[[#All],[CONTRATO-CDP]],[2]!Corr_Contr_CDP[[#All],[CRP]],_xlfn.XLOOKUP(Contrato5[[#This Row],[CDP]],[2]!COMPROMISOS_2024[[#All],[disponibilidad]],[2]!COMPROMISOS_2024[[#All],[consecutivo]],"",0),0)</f>
        <v>#NAME?</v>
      </c>
      <c r="U603" s="140" t="e" cm="1">
        <f t="array" aca="1" ref="U603" ca="1">+_xlfn.XLOOKUP(Contrato5[[#This Row],[RCP]],[2]!COMPROMISOS_2024[[#All],[consecutivo]],[2]!COMPROMISOS_2024[[#All],[fecha_aprobacion]],"",0)</f>
        <v>#NAME?</v>
      </c>
      <c r="V603" s="141" t="e">
        <f ca="1">SUMIF([2]!COMPROMISOS_2024[[#All],[consecutivo]],Contrato5[[#This Row],[RCP]],[2]!COMPROMISOS_2024[[#All],[valor_total]])</f>
        <v>#REF!</v>
      </c>
      <c r="W603" s="160">
        <v>45516</v>
      </c>
      <c r="X603" s="160" t="s">
        <v>1045</v>
      </c>
      <c r="Y603" s="143">
        <v>45520</v>
      </c>
      <c r="Z603" s="262">
        <v>45643</v>
      </c>
      <c r="AA603" s="171" t="s">
        <v>2875</v>
      </c>
      <c r="AB603" s="172" t="s">
        <v>2871</v>
      </c>
      <c r="AC603" s="172"/>
      <c r="AD603" s="425">
        <v>202000005040</v>
      </c>
      <c r="AE603" s="147" t="s">
        <v>523</v>
      </c>
      <c r="AF603" s="148" t="str">
        <f>TEXT(LEFT(Contrato5[[#This Row],[CONTRATO]],3),"0")</f>
        <v>478</v>
      </c>
      <c r="AG603" s="148" t="str">
        <f>IF(LEN(Contrato5[[#This Row],[Contrato2]])=3,Contrato5[[#This Row],[Contrato2]],TEXT(Contrato5[[#This Row],[Contrato2]],"000"))</f>
        <v>478</v>
      </c>
      <c r="AH603" s="149">
        <f ca="1">IFERROR(_xlfn.DAYS(Contrato5[[#This Row],[Fecha Proyectada liquidación]],TODAY())/30,"")</f>
        <v>0.16666666666666666</v>
      </c>
      <c r="AI603" s="150">
        <f>+Contrato5[[#This Row],[FECHA TERMINACIÓN ]]+120</f>
        <v>45763</v>
      </c>
      <c r="AJ603" s="147"/>
      <c r="AK603" s="152" t="str">
        <f ca="1">IF(Contrato5[[#This Row],[FECHA TERMINACIÓN ]]&lt;TODAY(), "Terminado",IF(ISNUMBER(Contrato5[[#This Row],[Fecha Real de liquiidación ]]),"Liquidado",IF(Contrato5[[#This Row],[FECHA TERMINACIÓN ]]&gt;=TODAY(),"En ejecución","")))</f>
        <v>Terminado</v>
      </c>
      <c r="AL603" s="153" t="e">
        <f ca="1">SUMIF([2]!COMPROMISOS_2024[[#All],[consecutivo]],Contrato5[[#This Row],[RCP]],[2]!COMPROMISOS_2024[[#All],[Total pagado]])</f>
        <v>#REF!</v>
      </c>
      <c r="AM603" s="154">
        <f ca="1">IFERROR(Contrato5[[#This Row],[Pagos]]/Contrato5[[#This Row],[VALOR CONTRATO]],0)</f>
        <v>0</v>
      </c>
      <c r="AN603" s="198" t="e">
        <f ca="1">+Contrato5[[#This Row],[VALOR CONTRATO]]-Contrato5[[#This Row],[Pagos]]</f>
        <v>#REF!</v>
      </c>
      <c r="AO603" s="147" t="e" cm="1">
        <f t="array" aca="1" ref="AO603" ca="1">_xlfn.XLOOKUP(Contrato5[[#This Row],[DOCUMENTO ]],[2]!PERSONAL_ACTIVO_2024[[#All],[Documento identidad]],[2]!PERSONAL_ACTIVO_2024[[#All],[Mail ]],0,0)</f>
        <v>#NAME?</v>
      </c>
      <c r="AP603" s="147" t="e" cm="1">
        <f t="array" aca="1" ref="AP603" ca="1">_xlfn.XLOOKUP(Contrato5[[#This Row],[DOCUMENTO]],[2]!PERSONAL_ACTIVO_2024[[#All],[Documento identidad]],[2]!PERSONAL_ACTIVO_2024[[#All],[Mail ]],0,0)</f>
        <v>#NAME?</v>
      </c>
      <c r="AQ603" s="439" cm="1">
        <f t="array" aca="1" ref="AQ603" ca="1">IF(ISBLANK(Contrato5[[#This Row],[DEPENDENCIA ]]),0,IFERROR(_xlfn.XLOOKUP(Contrato5[[#This Row],[DEPENDENCIA ]],[2]!PERSONAL_ACTIVO_2024[[#All],[Dependencia]],[2]!PERSONAL_ACTIVO_2024[[#All],[Mail ]],0,0),0))</f>
        <v>0</v>
      </c>
    </row>
    <row r="604" spans="1:43" ht="34.5" customHeight="1">
      <c r="A604" s="125">
        <v>867</v>
      </c>
      <c r="B604" s="124">
        <v>479</v>
      </c>
      <c r="C604" s="162" t="s">
        <v>1974</v>
      </c>
      <c r="D604" s="227" t="s">
        <v>583</v>
      </c>
      <c r="E604" s="440" t="s">
        <v>94</v>
      </c>
      <c r="F604" s="227" t="s">
        <v>1376</v>
      </c>
      <c r="G604" s="281" t="s">
        <v>2883</v>
      </c>
      <c r="H604" s="436">
        <v>1065894539</v>
      </c>
      <c r="I604" s="273">
        <v>4908936</v>
      </c>
      <c r="J604" s="545">
        <v>19963006</v>
      </c>
      <c r="K604" s="131" t="s">
        <v>42</v>
      </c>
      <c r="L604" s="528" t="s">
        <v>2855</v>
      </c>
      <c r="M604" s="194" t="s">
        <v>592</v>
      </c>
      <c r="N604" s="177" t="e" cm="1">
        <f t="array" aca="1" ref="N604" ca="1">_xlfn.XLOOKUP(Contrato5[[#This Row],[SUPERVISOR TITULAR]],[2]!PERSONAL_ACTIVO_2024[[#All],[Nombre completo]],[2]!PERSONAL_ACTIVO_2024[[#All],[Documento identidad]],"",0)</f>
        <v>#NAME?</v>
      </c>
      <c r="O604" s="194" t="s">
        <v>600</v>
      </c>
      <c r="P604" s="196" t="e" cm="1">
        <f t="array" aca="1" ref="P604" ca="1">_xlfn.XLOOKUP(Contrato5[[#This Row],[SUPERVISOR SUPLENTE ]],[2]!PERSONAL_ACTIVO_2024[[#All],[Nombre completo]],[2]!PERSONAL_ACTIVO_2024[[#All],[Documento identidad]],"",0)</f>
        <v>#NAME?</v>
      </c>
      <c r="Q604" s="170">
        <v>677</v>
      </c>
      <c r="R604" s="137" t="e" cm="1">
        <f t="array" aca="1" ref="R604" ca="1">_xlfn.XLOOKUP(Contrato5[[#This Row],[CDP]],[2]!DISPONIBILIDADES_2024[[#All],[consecutivo]],[2]!DISPONIBILIDADES_2024[[#All],[fecha_aprobacion]],"",0)</f>
        <v>#NAME?</v>
      </c>
      <c r="S604" s="138" t="e">
        <f>SUMIF([2]!DISPONIBILIDADES_2024[[#All],[consecutivo]],Contrato5[[#This Row],[CDP]],[2]!DISPONIBILIDADES_2024[[#All],[valor_total_rubro]])</f>
        <v>#REF!</v>
      </c>
      <c r="T604" s="139" t="e" cm="1">
        <f t="array" aca="1" ref="T604" ca="1">_xlfn.XLOOKUP(Contrato5[[#This Row],[CONTRATO]]&amp;Contrato5[[#This Row],[CDP]],[2]!Corr_Contr_CDP[[#All],[CONTRATO-CDP]],[2]!Corr_Contr_CDP[[#All],[CRP]],_xlfn.XLOOKUP(Contrato5[[#This Row],[CDP]],[2]!COMPROMISOS_2024[[#All],[disponibilidad]],[2]!COMPROMISOS_2024[[#All],[consecutivo]],"",0),0)</f>
        <v>#NAME?</v>
      </c>
      <c r="U604" s="140" t="e" cm="1">
        <f t="array" aca="1" ref="U604" ca="1">+_xlfn.XLOOKUP(Contrato5[[#This Row],[RCP]],[2]!COMPROMISOS_2024[[#All],[consecutivo]],[2]!COMPROMISOS_2024[[#All],[fecha_aprobacion]],"",0)</f>
        <v>#NAME?</v>
      </c>
      <c r="V604" s="141" t="e">
        <f ca="1">SUMIF([2]!COMPROMISOS_2024[[#All],[consecutivo]],Contrato5[[#This Row],[RCP]],[2]!COMPROMISOS_2024[[#All],[valor_total]])</f>
        <v>#REF!</v>
      </c>
      <c r="W604" s="160">
        <v>45516</v>
      </c>
      <c r="X604" s="160" t="s">
        <v>1045</v>
      </c>
      <c r="Y604" s="143">
        <v>45520</v>
      </c>
      <c r="Z604" s="262">
        <v>45643</v>
      </c>
      <c r="AA604" s="171" t="s">
        <v>2884</v>
      </c>
      <c r="AB604" s="172" t="s">
        <v>2871</v>
      </c>
      <c r="AC604" s="172"/>
      <c r="AD604" s="425">
        <v>202000005041</v>
      </c>
      <c r="AE604" s="147" t="s">
        <v>523</v>
      </c>
      <c r="AF604" s="148" t="str">
        <f>TEXT(LEFT(Contrato5[[#This Row],[CONTRATO]],3),"0")</f>
        <v>479</v>
      </c>
      <c r="AG604" s="148" t="str">
        <f>IF(LEN(Contrato5[[#This Row],[Contrato2]])=3,Contrato5[[#This Row],[Contrato2]],TEXT(Contrato5[[#This Row],[Contrato2]],"000"))</f>
        <v>479</v>
      </c>
      <c r="AH604" s="149">
        <f ca="1">IFERROR(_xlfn.DAYS(Contrato5[[#This Row],[Fecha Proyectada liquidación]],TODAY())/30,"")</f>
        <v>0.16666666666666666</v>
      </c>
      <c r="AI604" s="150">
        <f>+Contrato5[[#This Row],[FECHA TERMINACIÓN ]]+120</f>
        <v>45763</v>
      </c>
      <c r="AJ604" s="147"/>
      <c r="AK604" s="152" t="str">
        <f ca="1">IF(Contrato5[[#This Row],[FECHA TERMINACIÓN ]]&lt;TODAY(), "Terminado",IF(ISNUMBER(Contrato5[[#This Row],[Fecha Real de liquiidación ]]),"Liquidado",IF(Contrato5[[#This Row],[FECHA TERMINACIÓN ]]&gt;=TODAY(),"En ejecución","")))</f>
        <v>Terminado</v>
      </c>
      <c r="AL604" s="153" t="e">
        <f ca="1">SUMIF([2]!COMPROMISOS_2024[[#All],[consecutivo]],Contrato5[[#This Row],[RCP]],[2]!COMPROMISOS_2024[[#All],[Total pagado]])</f>
        <v>#REF!</v>
      </c>
      <c r="AM604" s="154">
        <f ca="1">IFERROR(Contrato5[[#This Row],[Pagos]]/Contrato5[[#This Row],[VALOR CONTRATO]],0)</f>
        <v>0</v>
      </c>
      <c r="AN604" s="198" t="e">
        <f ca="1">+Contrato5[[#This Row],[VALOR CONTRATO]]-Contrato5[[#This Row],[Pagos]]</f>
        <v>#REF!</v>
      </c>
      <c r="AO604" s="147" t="e" cm="1">
        <f t="array" aca="1" ref="AO604" ca="1">_xlfn.XLOOKUP(Contrato5[[#This Row],[DOCUMENTO ]],[2]!PERSONAL_ACTIVO_2024[[#All],[Documento identidad]],[2]!PERSONAL_ACTIVO_2024[[#All],[Mail ]],0,0)</f>
        <v>#NAME?</v>
      </c>
      <c r="AP604" s="147" t="e" cm="1">
        <f t="array" aca="1" ref="AP604" ca="1">_xlfn.XLOOKUP(Contrato5[[#This Row],[DOCUMENTO]],[2]!PERSONAL_ACTIVO_2024[[#All],[Documento identidad]],[2]!PERSONAL_ACTIVO_2024[[#All],[Mail ]],0,0)</f>
        <v>#NAME?</v>
      </c>
      <c r="AQ604" s="439" cm="1">
        <f t="array" aca="1" ref="AQ604" ca="1">IF(ISBLANK(Contrato5[[#This Row],[DEPENDENCIA ]]),0,IFERROR(_xlfn.XLOOKUP(Contrato5[[#This Row],[DEPENDENCIA ]],[2]!PERSONAL_ACTIVO_2024[[#All],[Dependencia]],[2]!PERSONAL_ACTIVO_2024[[#All],[Mail ]],0,0),0))</f>
        <v>0</v>
      </c>
    </row>
    <row r="605" spans="1:43" ht="34.5" customHeight="1">
      <c r="A605" s="125">
        <v>868</v>
      </c>
      <c r="B605" s="124">
        <v>480</v>
      </c>
      <c r="C605" s="162" t="s">
        <v>1975</v>
      </c>
      <c r="D605" s="227" t="s">
        <v>583</v>
      </c>
      <c r="E605" s="440" t="s">
        <v>94</v>
      </c>
      <c r="F605" s="227" t="s">
        <v>1376</v>
      </c>
      <c r="G605" s="281" t="s">
        <v>2885</v>
      </c>
      <c r="H605" s="436">
        <v>98588501</v>
      </c>
      <c r="I605" s="273">
        <v>4908936</v>
      </c>
      <c r="J605" s="545">
        <v>19963006</v>
      </c>
      <c r="K605" s="131" t="s">
        <v>42</v>
      </c>
      <c r="L605" s="528" t="s">
        <v>2855</v>
      </c>
      <c r="M605" s="194" t="s">
        <v>586</v>
      </c>
      <c r="N605" s="177" t="e" cm="1">
        <f t="array" aca="1" ref="N605" ca="1">_xlfn.XLOOKUP(Contrato5[[#This Row],[SUPERVISOR TITULAR]],[2]!PERSONAL_ACTIVO_2024[[#All],[Nombre completo]],[2]!PERSONAL_ACTIVO_2024[[#All],[Documento identidad]],"",0)</f>
        <v>#NAME?</v>
      </c>
      <c r="O605" s="194" t="s">
        <v>589</v>
      </c>
      <c r="P605" s="196" t="e" cm="1">
        <f t="array" aca="1" ref="P605" ca="1">_xlfn.XLOOKUP(Contrato5[[#This Row],[SUPERVISOR SUPLENTE ]],[2]!PERSONAL_ACTIVO_2024[[#All],[Nombre completo]],[2]!PERSONAL_ACTIVO_2024[[#All],[Documento identidad]],"",0)</f>
        <v>#NAME?</v>
      </c>
      <c r="Q605" s="170">
        <v>772</v>
      </c>
      <c r="R605" s="137" t="e" cm="1">
        <f t="array" aca="1" ref="R605" ca="1">_xlfn.XLOOKUP(Contrato5[[#This Row],[CDP]],[2]!DISPONIBILIDADES_2024[[#All],[consecutivo]],[2]!DISPONIBILIDADES_2024[[#All],[fecha_aprobacion]],"",0)</f>
        <v>#NAME?</v>
      </c>
      <c r="S605" s="138" t="e">
        <f>SUMIF([2]!DISPONIBILIDADES_2024[[#All],[consecutivo]],Contrato5[[#This Row],[CDP]],[2]!DISPONIBILIDADES_2024[[#All],[valor_total_rubro]])</f>
        <v>#REF!</v>
      </c>
      <c r="T605" s="139" t="e" cm="1">
        <f t="array" aca="1" ref="T605" ca="1">_xlfn.XLOOKUP(Contrato5[[#This Row],[CONTRATO]]&amp;Contrato5[[#This Row],[CDP]],[2]!Corr_Contr_CDP[[#All],[CONTRATO-CDP]],[2]!Corr_Contr_CDP[[#All],[CRP]],_xlfn.XLOOKUP(Contrato5[[#This Row],[CDP]],[2]!COMPROMISOS_2024[[#All],[disponibilidad]],[2]!COMPROMISOS_2024[[#All],[consecutivo]],"",0),0)</f>
        <v>#NAME?</v>
      </c>
      <c r="U605" s="140" t="e" cm="1">
        <f t="array" aca="1" ref="U605" ca="1">+_xlfn.XLOOKUP(Contrato5[[#This Row],[RCP]],[2]!COMPROMISOS_2024[[#All],[consecutivo]],[2]!COMPROMISOS_2024[[#All],[fecha_aprobacion]],"",0)</f>
        <v>#NAME?</v>
      </c>
      <c r="V605" s="141" t="e">
        <f ca="1">SUMIF([2]!COMPROMISOS_2024[[#All],[consecutivo]],Contrato5[[#This Row],[RCP]],[2]!COMPROMISOS_2024[[#All],[valor_total]])</f>
        <v>#REF!</v>
      </c>
      <c r="W605" s="160">
        <v>45516</v>
      </c>
      <c r="X605" s="160" t="s">
        <v>1045</v>
      </c>
      <c r="Y605" s="143">
        <v>45520</v>
      </c>
      <c r="Z605" s="262">
        <v>45643</v>
      </c>
      <c r="AA605" s="171" t="s">
        <v>2877</v>
      </c>
      <c r="AB605" s="172" t="s">
        <v>2871</v>
      </c>
      <c r="AC605" s="172"/>
      <c r="AD605" s="425">
        <v>202000005042</v>
      </c>
      <c r="AE605" s="147" t="s">
        <v>523</v>
      </c>
      <c r="AF605" s="148" t="str">
        <f>TEXT(LEFT(Contrato5[[#This Row],[CONTRATO]],3),"0")</f>
        <v>480</v>
      </c>
      <c r="AG605" s="148" t="str">
        <f>IF(LEN(Contrato5[[#This Row],[Contrato2]])=3,Contrato5[[#This Row],[Contrato2]],TEXT(Contrato5[[#This Row],[Contrato2]],"000"))</f>
        <v>480</v>
      </c>
      <c r="AH605" s="149">
        <f ca="1">IFERROR(_xlfn.DAYS(Contrato5[[#This Row],[Fecha Proyectada liquidación]],TODAY())/30,"")</f>
        <v>0.16666666666666666</v>
      </c>
      <c r="AI605" s="150">
        <f>+Contrato5[[#This Row],[FECHA TERMINACIÓN ]]+120</f>
        <v>45763</v>
      </c>
      <c r="AJ605" s="147"/>
      <c r="AK605" s="152" t="str">
        <f ca="1">IF(Contrato5[[#This Row],[FECHA TERMINACIÓN ]]&lt;TODAY(), "Terminado",IF(ISNUMBER(Contrato5[[#This Row],[Fecha Real de liquiidación ]]),"Liquidado",IF(Contrato5[[#This Row],[FECHA TERMINACIÓN ]]&gt;=TODAY(),"En ejecución","")))</f>
        <v>Terminado</v>
      </c>
      <c r="AL605" s="153" t="e">
        <f ca="1">SUMIF([2]!COMPROMISOS_2024[[#All],[consecutivo]],Contrato5[[#This Row],[RCP]],[2]!COMPROMISOS_2024[[#All],[Total pagado]])</f>
        <v>#REF!</v>
      </c>
      <c r="AM605" s="154">
        <f ca="1">IFERROR(Contrato5[[#This Row],[Pagos]]/Contrato5[[#This Row],[VALOR CONTRATO]],0)</f>
        <v>0</v>
      </c>
      <c r="AN605" s="198" t="e">
        <f ca="1">+Contrato5[[#This Row],[VALOR CONTRATO]]-Contrato5[[#This Row],[Pagos]]</f>
        <v>#REF!</v>
      </c>
      <c r="AO605" s="147" t="e" cm="1">
        <f t="array" aca="1" ref="AO605" ca="1">_xlfn.XLOOKUP(Contrato5[[#This Row],[DOCUMENTO ]],[2]!PERSONAL_ACTIVO_2024[[#All],[Documento identidad]],[2]!PERSONAL_ACTIVO_2024[[#All],[Mail ]],0,0)</f>
        <v>#NAME?</v>
      </c>
      <c r="AP605" s="147" t="e" cm="1">
        <f t="array" aca="1" ref="AP605" ca="1">_xlfn.XLOOKUP(Contrato5[[#This Row],[DOCUMENTO]],[2]!PERSONAL_ACTIVO_2024[[#All],[Documento identidad]],[2]!PERSONAL_ACTIVO_2024[[#All],[Mail ]],0,0)</f>
        <v>#NAME?</v>
      </c>
      <c r="AQ605" s="439" cm="1">
        <f t="array" aca="1" ref="AQ605" ca="1">IF(ISBLANK(Contrato5[[#This Row],[DEPENDENCIA ]]),0,IFERROR(_xlfn.XLOOKUP(Contrato5[[#This Row],[DEPENDENCIA ]],[2]!PERSONAL_ACTIVO_2024[[#All],[Dependencia]],[2]!PERSONAL_ACTIVO_2024[[#All],[Mail ]],0,0),0))</f>
        <v>0</v>
      </c>
    </row>
    <row r="606" spans="1:43" ht="34.5" customHeight="1">
      <c r="A606" s="125">
        <v>869</v>
      </c>
      <c r="B606" s="124">
        <v>481</v>
      </c>
      <c r="C606" s="162" t="s">
        <v>1975</v>
      </c>
      <c r="D606" s="227" t="s">
        <v>583</v>
      </c>
      <c r="E606" s="440" t="s">
        <v>94</v>
      </c>
      <c r="F606" s="227" t="s">
        <v>1376</v>
      </c>
      <c r="G606" s="281" t="s">
        <v>666</v>
      </c>
      <c r="H606" s="436">
        <v>1036638220</v>
      </c>
      <c r="I606" s="273">
        <v>4908936</v>
      </c>
      <c r="J606" s="545">
        <v>19963006</v>
      </c>
      <c r="K606" s="131" t="s">
        <v>42</v>
      </c>
      <c r="L606" s="528" t="s">
        <v>2855</v>
      </c>
      <c r="M606" s="194" t="s">
        <v>586</v>
      </c>
      <c r="N606" s="177" t="e" cm="1">
        <f t="array" aca="1" ref="N606" ca="1">_xlfn.XLOOKUP(Contrato5[[#This Row],[SUPERVISOR TITULAR]],[2]!PERSONAL_ACTIVO_2024[[#All],[Nombre completo]],[2]!PERSONAL_ACTIVO_2024[[#All],[Documento identidad]],"",0)</f>
        <v>#NAME?</v>
      </c>
      <c r="O606" s="194" t="s">
        <v>589</v>
      </c>
      <c r="P606" s="196" t="e" cm="1">
        <f t="array" aca="1" ref="P606" ca="1">_xlfn.XLOOKUP(Contrato5[[#This Row],[SUPERVISOR SUPLENTE ]],[2]!PERSONAL_ACTIVO_2024[[#All],[Nombre completo]],[2]!PERSONAL_ACTIVO_2024[[#All],[Documento identidad]],"",0)</f>
        <v>#NAME?</v>
      </c>
      <c r="Q606" s="170">
        <v>773</v>
      </c>
      <c r="R606" s="137" t="e" cm="1">
        <f t="array" aca="1" ref="R606" ca="1">_xlfn.XLOOKUP(Contrato5[[#This Row],[CDP]],[2]!DISPONIBILIDADES_2024[[#All],[consecutivo]],[2]!DISPONIBILIDADES_2024[[#All],[fecha_aprobacion]],"",0)</f>
        <v>#NAME?</v>
      </c>
      <c r="S606" s="138" t="e">
        <f>SUMIF([2]!DISPONIBILIDADES_2024[[#All],[consecutivo]],Contrato5[[#This Row],[CDP]],[2]!DISPONIBILIDADES_2024[[#All],[valor_total_rubro]])</f>
        <v>#REF!</v>
      </c>
      <c r="T606" s="139" t="e" cm="1">
        <f t="array" aca="1" ref="T606" ca="1">_xlfn.XLOOKUP(Contrato5[[#This Row],[CONTRATO]]&amp;Contrato5[[#This Row],[CDP]],[2]!Corr_Contr_CDP[[#All],[CONTRATO-CDP]],[2]!Corr_Contr_CDP[[#All],[CRP]],_xlfn.XLOOKUP(Contrato5[[#This Row],[CDP]],[2]!COMPROMISOS_2024[[#All],[disponibilidad]],[2]!COMPROMISOS_2024[[#All],[consecutivo]],"",0),0)</f>
        <v>#NAME?</v>
      </c>
      <c r="U606" s="140" t="e" cm="1">
        <f t="array" aca="1" ref="U606" ca="1">+_xlfn.XLOOKUP(Contrato5[[#This Row],[RCP]],[2]!COMPROMISOS_2024[[#All],[consecutivo]],[2]!COMPROMISOS_2024[[#All],[fecha_aprobacion]],"",0)</f>
        <v>#NAME?</v>
      </c>
      <c r="V606" s="141" t="e">
        <f ca="1">SUMIF([2]!COMPROMISOS_2024[[#All],[consecutivo]],Contrato5[[#This Row],[RCP]],[2]!COMPROMISOS_2024[[#All],[valor_total]])</f>
        <v>#REF!</v>
      </c>
      <c r="W606" s="160">
        <v>45516</v>
      </c>
      <c r="X606" s="160" t="s">
        <v>1045</v>
      </c>
      <c r="Y606" s="143">
        <v>45520</v>
      </c>
      <c r="Z606" s="262">
        <v>45643</v>
      </c>
      <c r="AA606" s="171" t="s">
        <v>2875</v>
      </c>
      <c r="AB606" s="172" t="s">
        <v>2871</v>
      </c>
      <c r="AC606" s="172"/>
      <c r="AD606" s="425">
        <v>202000005043</v>
      </c>
      <c r="AE606" s="147" t="s">
        <v>523</v>
      </c>
      <c r="AF606" s="148" t="str">
        <f>TEXT(LEFT(Contrato5[[#This Row],[CONTRATO]],3),"0")</f>
        <v>481</v>
      </c>
      <c r="AG606" s="148" t="str">
        <f>IF(LEN(Contrato5[[#This Row],[Contrato2]])=3,Contrato5[[#This Row],[Contrato2]],TEXT(Contrato5[[#This Row],[Contrato2]],"000"))</f>
        <v>481</v>
      </c>
      <c r="AH606" s="149">
        <f ca="1">IFERROR(_xlfn.DAYS(Contrato5[[#This Row],[Fecha Proyectada liquidación]],TODAY())/30,"")</f>
        <v>0.16666666666666666</v>
      </c>
      <c r="AI606" s="150">
        <f>+Contrato5[[#This Row],[FECHA TERMINACIÓN ]]+120</f>
        <v>45763</v>
      </c>
      <c r="AJ606" s="147"/>
      <c r="AK606" s="152" t="str">
        <f ca="1">IF(Contrato5[[#This Row],[FECHA TERMINACIÓN ]]&lt;TODAY(), "Terminado",IF(ISNUMBER(Contrato5[[#This Row],[Fecha Real de liquiidación ]]),"Liquidado",IF(Contrato5[[#This Row],[FECHA TERMINACIÓN ]]&gt;=TODAY(),"En ejecución","")))</f>
        <v>Terminado</v>
      </c>
      <c r="AL606" s="153" t="e">
        <f ca="1">SUMIF([2]!COMPROMISOS_2024[[#All],[consecutivo]],Contrato5[[#This Row],[RCP]],[2]!COMPROMISOS_2024[[#All],[Total pagado]])</f>
        <v>#REF!</v>
      </c>
      <c r="AM606" s="154">
        <f ca="1">IFERROR(Contrato5[[#This Row],[Pagos]]/Contrato5[[#This Row],[VALOR CONTRATO]],0)</f>
        <v>0</v>
      </c>
      <c r="AN606" s="198" t="e">
        <f ca="1">+Contrato5[[#This Row],[VALOR CONTRATO]]-Contrato5[[#This Row],[Pagos]]</f>
        <v>#REF!</v>
      </c>
      <c r="AO606" s="147" t="e" cm="1">
        <f t="array" aca="1" ref="AO606" ca="1">_xlfn.XLOOKUP(Contrato5[[#This Row],[DOCUMENTO ]],[2]!PERSONAL_ACTIVO_2024[[#All],[Documento identidad]],[2]!PERSONAL_ACTIVO_2024[[#All],[Mail ]],0,0)</f>
        <v>#NAME?</v>
      </c>
      <c r="AP606" s="147" t="e" cm="1">
        <f t="array" aca="1" ref="AP606" ca="1">_xlfn.XLOOKUP(Contrato5[[#This Row],[DOCUMENTO]],[2]!PERSONAL_ACTIVO_2024[[#All],[Documento identidad]],[2]!PERSONAL_ACTIVO_2024[[#All],[Mail ]],0,0)</f>
        <v>#NAME?</v>
      </c>
      <c r="AQ606" s="439" cm="1">
        <f t="array" aca="1" ref="AQ606" ca="1">IF(ISBLANK(Contrato5[[#This Row],[DEPENDENCIA ]]),0,IFERROR(_xlfn.XLOOKUP(Contrato5[[#This Row],[DEPENDENCIA ]],[2]!PERSONAL_ACTIVO_2024[[#All],[Dependencia]],[2]!PERSONAL_ACTIVO_2024[[#All],[Mail ]],0,0),0))</f>
        <v>0</v>
      </c>
    </row>
    <row r="607" spans="1:43" ht="34.5" customHeight="1">
      <c r="A607" s="125">
        <v>870</v>
      </c>
      <c r="B607" s="124">
        <v>482</v>
      </c>
      <c r="C607" s="162" t="s">
        <v>1975</v>
      </c>
      <c r="D607" s="227" t="s">
        <v>583</v>
      </c>
      <c r="E607" s="440" t="s">
        <v>94</v>
      </c>
      <c r="F607" s="227" t="s">
        <v>1376</v>
      </c>
      <c r="G607" s="281" t="s">
        <v>2886</v>
      </c>
      <c r="H607" s="436">
        <v>1152456582</v>
      </c>
      <c r="I607" s="273">
        <v>3952382</v>
      </c>
      <c r="J607" s="545">
        <v>16073020</v>
      </c>
      <c r="K607" s="131" t="s">
        <v>42</v>
      </c>
      <c r="L607" s="528" t="s">
        <v>2855</v>
      </c>
      <c r="M607" s="194" t="s">
        <v>586</v>
      </c>
      <c r="N607" s="177" t="e" cm="1">
        <f t="array" aca="1" ref="N607" ca="1">_xlfn.XLOOKUP(Contrato5[[#This Row],[SUPERVISOR TITULAR]],[2]!PERSONAL_ACTIVO_2024[[#All],[Nombre completo]],[2]!PERSONAL_ACTIVO_2024[[#All],[Documento identidad]],"",0)</f>
        <v>#NAME?</v>
      </c>
      <c r="O607" s="194" t="s">
        <v>589</v>
      </c>
      <c r="P607" s="196" t="e" cm="1">
        <f t="array" aca="1" ref="P607" ca="1">_xlfn.XLOOKUP(Contrato5[[#This Row],[SUPERVISOR SUPLENTE ]],[2]!PERSONAL_ACTIVO_2024[[#All],[Nombre completo]],[2]!PERSONAL_ACTIVO_2024[[#All],[Documento identidad]],"",0)</f>
        <v>#NAME?</v>
      </c>
      <c r="Q607" s="170">
        <v>774</v>
      </c>
      <c r="R607" s="137" t="e" cm="1">
        <f t="array" aca="1" ref="R607" ca="1">_xlfn.XLOOKUP(Contrato5[[#This Row],[CDP]],[2]!DISPONIBILIDADES_2024[[#All],[consecutivo]],[2]!DISPONIBILIDADES_2024[[#All],[fecha_aprobacion]],"",0)</f>
        <v>#NAME?</v>
      </c>
      <c r="S607" s="138" t="e">
        <f>SUMIF([2]!DISPONIBILIDADES_2024[[#All],[consecutivo]],Contrato5[[#This Row],[CDP]],[2]!DISPONIBILIDADES_2024[[#All],[valor_total_rubro]])</f>
        <v>#REF!</v>
      </c>
      <c r="T607" s="139" t="e" cm="1">
        <f t="array" aca="1" ref="T607" ca="1">_xlfn.XLOOKUP(Contrato5[[#This Row],[CONTRATO]]&amp;Contrato5[[#This Row],[CDP]],[2]!Corr_Contr_CDP[[#All],[CONTRATO-CDP]],[2]!Corr_Contr_CDP[[#All],[CRP]],_xlfn.XLOOKUP(Contrato5[[#This Row],[CDP]],[2]!COMPROMISOS_2024[[#All],[disponibilidad]],[2]!COMPROMISOS_2024[[#All],[consecutivo]],"",0),0)</f>
        <v>#NAME?</v>
      </c>
      <c r="U607" s="140" t="e" cm="1">
        <f t="array" aca="1" ref="U607" ca="1">+_xlfn.XLOOKUP(Contrato5[[#This Row],[RCP]],[2]!COMPROMISOS_2024[[#All],[consecutivo]],[2]!COMPROMISOS_2024[[#All],[fecha_aprobacion]],"",0)</f>
        <v>#NAME?</v>
      </c>
      <c r="V607" s="141" t="e">
        <f ca="1">SUMIF([2]!COMPROMISOS_2024[[#All],[consecutivo]],Contrato5[[#This Row],[RCP]],[2]!COMPROMISOS_2024[[#All],[valor_total]])</f>
        <v>#REF!</v>
      </c>
      <c r="W607" s="160">
        <v>45516</v>
      </c>
      <c r="X607" s="160" t="s">
        <v>1045</v>
      </c>
      <c r="Y607" s="143">
        <v>45520</v>
      </c>
      <c r="Z607" s="262">
        <v>45643</v>
      </c>
      <c r="AA607" s="171" t="s">
        <v>2875</v>
      </c>
      <c r="AB607" s="172" t="s">
        <v>2871</v>
      </c>
      <c r="AC607" s="172"/>
      <c r="AD607" s="425">
        <v>202000005044</v>
      </c>
      <c r="AE607" s="147" t="s">
        <v>523</v>
      </c>
      <c r="AF607" s="148" t="str">
        <f>TEXT(LEFT(Contrato5[[#This Row],[CONTRATO]],3),"0")</f>
        <v>482</v>
      </c>
      <c r="AG607" s="148" t="str">
        <f>IF(LEN(Contrato5[[#This Row],[Contrato2]])=3,Contrato5[[#This Row],[Contrato2]],TEXT(Contrato5[[#This Row],[Contrato2]],"000"))</f>
        <v>482</v>
      </c>
      <c r="AH607" s="149">
        <f ca="1">IFERROR(_xlfn.DAYS(Contrato5[[#This Row],[Fecha Proyectada liquidación]],TODAY())/30,"")</f>
        <v>0.16666666666666666</v>
      </c>
      <c r="AI607" s="150">
        <f>+Contrato5[[#This Row],[FECHA TERMINACIÓN ]]+120</f>
        <v>45763</v>
      </c>
      <c r="AJ607" s="147"/>
      <c r="AK607" s="152" t="str">
        <f ca="1">IF(Contrato5[[#This Row],[FECHA TERMINACIÓN ]]&lt;TODAY(), "Terminado",IF(ISNUMBER(Contrato5[[#This Row],[Fecha Real de liquiidación ]]),"Liquidado",IF(Contrato5[[#This Row],[FECHA TERMINACIÓN ]]&gt;=TODAY(),"En ejecución","")))</f>
        <v>Terminado</v>
      </c>
      <c r="AL607" s="153" t="e">
        <f ca="1">SUMIF([2]!COMPROMISOS_2024[[#All],[consecutivo]],Contrato5[[#This Row],[RCP]],[2]!COMPROMISOS_2024[[#All],[Total pagado]])</f>
        <v>#REF!</v>
      </c>
      <c r="AM607" s="154">
        <f ca="1">IFERROR(Contrato5[[#This Row],[Pagos]]/Contrato5[[#This Row],[VALOR CONTRATO]],0)</f>
        <v>0</v>
      </c>
      <c r="AN607" s="198" t="e">
        <f ca="1">+Contrato5[[#This Row],[VALOR CONTRATO]]-Contrato5[[#This Row],[Pagos]]</f>
        <v>#REF!</v>
      </c>
      <c r="AO607" s="147" t="e" cm="1">
        <f t="array" aca="1" ref="AO607" ca="1">_xlfn.XLOOKUP(Contrato5[[#This Row],[DOCUMENTO ]],[2]!PERSONAL_ACTIVO_2024[[#All],[Documento identidad]],[2]!PERSONAL_ACTIVO_2024[[#All],[Mail ]],0,0)</f>
        <v>#NAME?</v>
      </c>
      <c r="AP607" s="147" t="e" cm="1">
        <f t="array" aca="1" ref="AP607" ca="1">_xlfn.XLOOKUP(Contrato5[[#This Row],[DOCUMENTO]],[2]!PERSONAL_ACTIVO_2024[[#All],[Documento identidad]],[2]!PERSONAL_ACTIVO_2024[[#All],[Mail ]],0,0)</f>
        <v>#NAME?</v>
      </c>
      <c r="AQ607" s="439" cm="1">
        <f t="array" aca="1" ref="AQ607" ca="1">IF(ISBLANK(Contrato5[[#This Row],[DEPENDENCIA ]]),0,IFERROR(_xlfn.XLOOKUP(Contrato5[[#This Row],[DEPENDENCIA ]],[2]!PERSONAL_ACTIVO_2024[[#All],[Dependencia]],[2]!PERSONAL_ACTIVO_2024[[#All],[Mail ]],0,0),0))</f>
        <v>0</v>
      </c>
    </row>
    <row r="608" spans="1:43" ht="34.5" customHeight="1">
      <c r="A608" s="125">
        <v>871</v>
      </c>
      <c r="B608" s="124">
        <v>483</v>
      </c>
      <c r="C608" s="162" t="s">
        <v>1975</v>
      </c>
      <c r="D608" s="227" t="s">
        <v>583</v>
      </c>
      <c r="E608" s="440" t="s">
        <v>94</v>
      </c>
      <c r="F608" s="227" t="s">
        <v>1376</v>
      </c>
      <c r="G608" s="281" t="s">
        <v>2887</v>
      </c>
      <c r="H608" s="436">
        <v>1036603305</v>
      </c>
      <c r="I608" s="273">
        <v>4908936</v>
      </c>
      <c r="J608" s="545">
        <v>19963006</v>
      </c>
      <c r="K608" s="131" t="s">
        <v>42</v>
      </c>
      <c r="L608" s="528" t="s">
        <v>2855</v>
      </c>
      <c r="M608" s="194" t="s">
        <v>586</v>
      </c>
      <c r="N608" s="177" t="e" cm="1">
        <f t="array" aca="1" ref="N608" ca="1">_xlfn.XLOOKUP(Contrato5[[#This Row],[SUPERVISOR TITULAR]],[2]!PERSONAL_ACTIVO_2024[[#All],[Nombre completo]],[2]!PERSONAL_ACTIVO_2024[[#All],[Documento identidad]],"",0)</f>
        <v>#NAME?</v>
      </c>
      <c r="O608" s="194" t="s">
        <v>589</v>
      </c>
      <c r="P608" s="196" t="e" cm="1">
        <f t="array" aca="1" ref="P608" ca="1">_xlfn.XLOOKUP(Contrato5[[#This Row],[SUPERVISOR SUPLENTE ]],[2]!PERSONAL_ACTIVO_2024[[#All],[Nombre completo]],[2]!PERSONAL_ACTIVO_2024[[#All],[Documento identidad]],"",0)</f>
        <v>#NAME?</v>
      </c>
      <c r="Q608" s="170">
        <v>775</v>
      </c>
      <c r="R608" s="137" t="e" cm="1">
        <f t="array" aca="1" ref="R608" ca="1">_xlfn.XLOOKUP(Contrato5[[#This Row],[CDP]],[2]!DISPONIBILIDADES_2024[[#All],[consecutivo]],[2]!DISPONIBILIDADES_2024[[#All],[fecha_aprobacion]],"",0)</f>
        <v>#NAME?</v>
      </c>
      <c r="S608" s="138" t="e">
        <f>SUMIF([2]!DISPONIBILIDADES_2024[[#All],[consecutivo]],Contrato5[[#This Row],[CDP]],[2]!DISPONIBILIDADES_2024[[#All],[valor_total_rubro]])</f>
        <v>#REF!</v>
      </c>
      <c r="T608" s="139" t="e" cm="1">
        <f t="array" aca="1" ref="T608" ca="1">_xlfn.XLOOKUP(Contrato5[[#This Row],[CONTRATO]]&amp;Contrato5[[#This Row],[CDP]],[2]!Corr_Contr_CDP[[#All],[CONTRATO-CDP]],[2]!Corr_Contr_CDP[[#All],[CRP]],_xlfn.XLOOKUP(Contrato5[[#This Row],[CDP]],[2]!COMPROMISOS_2024[[#All],[disponibilidad]],[2]!COMPROMISOS_2024[[#All],[consecutivo]],"",0),0)</f>
        <v>#NAME?</v>
      </c>
      <c r="U608" s="140" t="e" cm="1">
        <f t="array" aca="1" ref="U608" ca="1">+_xlfn.XLOOKUP(Contrato5[[#This Row],[RCP]],[2]!COMPROMISOS_2024[[#All],[consecutivo]],[2]!COMPROMISOS_2024[[#All],[fecha_aprobacion]],"",0)</f>
        <v>#NAME?</v>
      </c>
      <c r="V608" s="141" t="e">
        <f ca="1">SUMIF([2]!COMPROMISOS_2024[[#All],[consecutivo]],Contrato5[[#This Row],[RCP]],[2]!COMPROMISOS_2024[[#All],[valor_total]])</f>
        <v>#REF!</v>
      </c>
      <c r="W608" s="160">
        <v>45517</v>
      </c>
      <c r="X608" s="160" t="s">
        <v>1045</v>
      </c>
      <c r="Y608" s="143">
        <v>45520</v>
      </c>
      <c r="Z608" s="262">
        <v>45643</v>
      </c>
      <c r="AA608" s="171" t="s">
        <v>2877</v>
      </c>
      <c r="AB608" s="172" t="s">
        <v>2871</v>
      </c>
      <c r="AC608" s="172"/>
      <c r="AD608" s="425">
        <v>202000005045</v>
      </c>
      <c r="AE608" s="147" t="s">
        <v>523</v>
      </c>
      <c r="AF608" s="148" t="str">
        <f>TEXT(LEFT(Contrato5[[#This Row],[CONTRATO]],3),"0")</f>
        <v>483</v>
      </c>
      <c r="AG608" s="148" t="str">
        <f>IF(LEN(Contrato5[[#This Row],[Contrato2]])=3,Contrato5[[#This Row],[Contrato2]],TEXT(Contrato5[[#This Row],[Contrato2]],"000"))</f>
        <v>483</v>
      </c>
      <c r="AH608" s="149">
        <f ca="1">IFERROR(_xlfn.DAYS(Contrato5[[#This Row],[Fecha Proyectada liquidación]],TODAY())/30,"")</f>
        <v>0.16666666666666666</v>
      </c>
      <c r="AI608" s="150">
        <f>+Contrato5[[#This Row],[FECHA TERMINACIÓN ]]+120</f>
        <v>45763</v>
      </c>
      <c r="AJ608" s="147"/>
      <c r="AK608" s="152" t="str">
        <f ca="1">IF(Contrato5[[#This Row],[FECHA TERMINACIÓN ]]&lt;TODAY(), "Terminado",IF(ISNUMBER(Contrato5[[#This Row],[Fecha Real de liquiidación ]]),"Liquidado",IF(Contrato5[[#This Row],[FECHA TERMINACIÓN ]]&gt;=TODAY(),"En ejecución","")))</f>
        <v>Terminado</v>
      </c>
      <c r="AL608" s="153" t="e">
        <f ca="1">SUMIF([2]!COMPROMISOS_2024[[#All],[consecutivo]],Contrato5[[#This Row],[RCP]],[2]!COMPROMISOS_2024[[#All],[Total pagado]])</f>
        <v>#REF!</v>
      </c>
      <c r="AM608" s="154">
        <f ca="1">IFERROR(Contrato5[[#This Row],[Pagos]]/Contrato5[[#This Row],[VALOR CONTRATO]],0)</f>
        <v>0</v>
      </c>
      <c r="AN608" s="198" t="e">
        <f ca="1">+Contrato5[[#This Row],[VALOR CONTRATO]]-Contrato5[[#This Row],[Pagos]]</f>
        <v>#REF!</v>
      </c>
      <c r="AO608" s="147" t="e" cm="1">
        <f t="array" aca="1" ref="AO608" ca="1">_xlfn.XLOOKUP(Contrato5[[#This Row],[DOCUMENTO ]],[2]!PERSONAL_ACTIVO_2024[[#All],[Documento identidad]],[2]!PERSONAL_ACTIVO_2024[[#All],[Mail ]],0,0)</f>
        <v>#NAME?</v>
      </c>
      <c r="AP608" s="147" t="e" cm="1">
        <f t="array" aca="1" ref="AP608" ca="1">_xlfn.XLOOKUP(Contrato5[[#This Row],[DOCUMENTO]],[2]!PERSONAL_ACTIVO_2024[[#All],[Documento identidad]],[2]!PERSONAL_ACTIVO_2024[[#All],[Mail ]],0,0)</f>
        <v>#NAME?</v>
      </c>
      <c r="AQ608" s="439" cm="1">
        <f t="array" aca="1" ref="AQ608" ca="1">IF(ISBLANK(Contrato5[[#This Row],[DEPENDENCIA ]]),0,IFERROR(_xlfn.XLOOKUP(Contrato5[[#This Row],[DEPENDENCIA ]],[2]!PERSONAL_ACTIVO_2024[[#All],[Dependencia]],[2]!PERSONAL_ACTIVO_2024[[#All],[Mail ]],0,0),0))</f>
        <v>0</v>
      </c>
    </row>
    <row r="609" spans="1:43" ht="34.5" customHeight="1">
      <c r="A609" s="125">
        <v>872</v>
      </c>
      <c r="B609" s="124">
        <v>484</v>
      </c>
      <c r="C609" s="162" t="s">
        <v>1976</v>
      </c>
      <c r="D609" s="227" t="s">
        <v>583</v>
      </c>
      <c r="E609" s="440" t="s">
        <v>94</v>
      </c>
      <c r="F609" s="227" t="s">
        <v>1376</v>
      </c>
      <c r="G609" s="281" t="s">
        <v>2888</v>
      </c>
      <c r="H609" s="436">
        <v>3391900</v>
      </c>
      <c r="I609" s="273">
        <v>3952382</v>
      </c>
      <c r="J609" s="545">
        <v>16073020</v>
      </c>
      <c r="K609" s="131" t="s">
        <v>42</v>
      </c>
      <c r="L609" s="528" t="s">
        <v>2855</v>
      </c>
      <c r="M609" s="194" t="s">
        <v>586</v>
      </c>
      <c r="N609" s="177" t="e" cm="1">
        <f t="array" aca="1" ref="N609" ca="1">_xlfn.XLOOKUP(Contrato5[[#This Row],[SUPERVISOR TITULAR]],[2]!PERSONAL_ACTIVO_2024[[#All],[Nombre completo]],[2]!PERSONAL_ACTIVO_2024[[#All],[Documento identidad]],"",0)</f>
        <v>#NAME?</v>
      </c>
      <c r="O609" s="194" t="s">
        <v>589</v>
      </c>
      <c r="P609" s="196" t="e" cm="1">
        <f t="array" aca="1" ref="P609" ca="1">_xlfn.XLOOKUP(Contrato5[[#This Row],[SUPERVISOR SUPLENTE ]],[2]!PERSONAL_ACTIVO_2024[[#All],[Nombre completo]],[2]!PERSONAL_ACTIVO_2024[[#All],[Documento identidad]],"",0)</f>
        <v>#NAME?</v>
      </c>
      <c r="Q609" s="170">
        <v>729</v>
      </c>
      <c r="R609" s="137" t="e" cm="1">
        <f t="array" aca="1" ref="R609" ca="1">_xlfn.XLOOKUP(Contrato5[[#This Row],[CDP]],[2]!DISPONIBILIDADES_2024[[#All],[consecutivo]],[2]!DISPONIBILIDADES_2024[[#All],[fecha_aprobacion]],"",0)</f>
        <v>#NAME?</v>
      </c>
      <c r="S609" s="138" t="e">
        <f>SUMIF([2]!DISPONIBILIDADES_2024[[#All],[consecutivo]],Contrato5[[#This Row],[CDP]],[2]!DISPONIBILIDADES_2024[[#All],[valor_total_rubro]])</f>
        <v>#REF!</v>
      </c>
      <c r="T609" s="139" t="e" cm="1">
        <f t="array" aca="1" ref="T609" ca="1">_xlfn.XLOOKUP(Contrato5[[#This Row],[CONTRATO]]&amp;Contrato5[[#This Row],[CDP]],[2]!Corr_Contr_CDP[[#All],[CONTRATO-CDP]],[2]!Corr_Contr_CDP[[#All],[CRP]],_xlfn.XLOOKUP(Contrato5[[#This Row],[CDP]],[2]!COMPROMISOS_2024[[#All],[disponibilidad]],[2]!COMPROMISOS_2024[[#All],[consecutivo]],"",0),0)</f>
        <v>#NAME?</v>
      </c>
      <c r="U609" s="140" t="e" cm="1">
        <f t="array" aca="1" ref="U609" ca="1">+_xlfn.XLOOKUP(Contrato5[[#This Row],[RCP]],[2]!COMPROMISOS_2024[[#All],[consecutivo]],[2]!COMPROMISOS_2024[[#All],[fecha_aprobacion]],"",0)</f>
        <v>#NAME?</v>
      </c>
      <c r="V609" s="141" t="e">
        <f ca="1">SUMIF([2]!COMPROMISOS_2024[[#All],[consecutivo]],Contrato5[[#This Row],[RCP]],[2]!COMPROMISOS_2024[[#All],[valor_total]])</f>
        <v>#REF!</v>
      </c>
      <c r="W609" s="160">
        <v>45516</v>
      </c>
      <c r="X609" s="160" t="s">
        <v>1045</v>
      </c>
      <c r="Y609" s="143">
        <v>45520</v>
      </c>
      <c r="Z609" s="262">
        <v>45643</v>
      </c>
      <c r="AA609" s="171" t="s">
        <v>2875</v>
      </c>
      <c r="AB609" s="172" t="s">
        <v>2871</v>
      </c>
      <c r="AC609" s="172"/>
      <c r="AD609" s="425">
        <v>202000005046</v>
      </c>
      <c r="AE609" s="147" t="s">
        <v>523</v>
      </c>
      <c r="AF609" s="148" t="str">
        <f>TEXT(LEFT(Contrato5[[#This Row],[CONTRATO]],3),"0")</f>
        <v>484</v>
      </c>
      <c r="AG609" s="148" t="str">
        <f>IF(LEN(Contrato5[[#This Row],[Contrato2]])=3,Contrato5[[#This Row],[Contrato2]],TEXT(Contrato5[[#This Row],[Contrato2]],"000"))</f>
        <v>484</v>
      </c>
      <c r="AH609" s="149">
        <f ca="1">IFERROR(_xlfn.DAYS(Contrato5[[#This Row],[Fecha Proyectada liquidación]],TODAY())/30,"")</f>
        <v>0.16666666666666666</v>
      </c>
      <c r="AI609" s="150">
        <f>+Contrato5[[#This Row],[FECHA TERMINACIÓN ]]+120</f>
        <v>45763</v>
      </c>
      <c r="AJ609" s="147"/>
      <c r="AK609" s="152" t="str">
        <f ca="1">IF(Contrato5[[#This Row],[FECHA TERMINACIÓN ]]&lt;TODAY(), "Terminado",IF(ISNUMBER(Contrato5[[#This Row],[Fecha Real de liquiidación ]]),"Liquidado",IF(Contrato5[[#This Row],[FECHA TERMINACIÓN ]]&gt;=TODAY(),"En ejecución","")))</f>
        <v>Terminado</v>
      </c>
      <c r="AL609" s="153" t="e">
        <f ca="1">SUMIF([2]!COMPROMISOS_2024[[#All],[consecutivo]],Contrato5[[#This Row],[RCP]],[2]!COMPROMISOS_2024[[#All],[Total pagado]])</f>
        <v>#REF!</v>
      </c>
      <c r="AM609" s="154">
        <f ca="1">IFERROR(Contrato5[[#This Row],[Pagos]]/Contrato5[[#This Row],[VALOR CONTRATO]],0)</f>
        <v>0</v>
      </c>
      <c r="AN609" s="198" t="e">
        <f ca="1">+Contrato5[[#This Row],[VALOR CONTRATO]]-Contrato5[[#This Row],[Pagos]]</f>
        <v>#REF!</v>
      </c>
      <c r="AO609" s="147" t="e" cm="1">
        <f t="array" aca="1" ref="AO609" ca="1">_xlfn.XLOOKUP(Contrato5[[#This Row],[DOCUMENTO ]],[2]!PERSONAL_ACTIVO_2024[[#All],[Documento identidad]],[2]!PERSONAL_ACTIVO_2024[[#All],[Mail ]],0,0)</f>
        <v>#NAME?</v>
      </c>
      <c r="AP609" s="147" t="e" cm="1">
        <f t="array" aca="1" ref="AP609" ca="1">_xlfn.XLOOKUP(Contrato5[[#This Row],[DOCUMENTO]],[2]!PERSONAL_ACTIVO_2024[[#All],[Documento identidad]],[2]!PERSONAL_ACTIVO_2024[[#All],[Mail ]],0,0)</f>
        <v>#NAME?</v>
      </c>
      <c r="AQ609" s="439" cm="1">
        <f t="array" aca="1" ref="AQ609" ca="1">IF(ISBLANK(Contrato5[[#This Row],[DEPENDENCIA ]]),0,IFERROR(_xlfn.XLOOKUP(Contrato5[[#This Row],[DEPENDENCIA ]],[2]!PERSONAL_ACTIVO_2024[[#All],[Dependencia]],[2]!PERSONAL_ACTIVO_2024[[#All],[Mail ]],0,0),0))</f>
        <v>0</v>
      </c>
    </row>
    <row r="610" spans="1:43" ht="34.5" customHeight="1">
      <c r="A610" s="125">
        <v>873</v>
      </c>
      <c r="B610" s="124">
        <v>485</v>
      </c>
      <c r="C610" s="162" t="s">
        <v>1976</v>
      </c>
      <c r="D610" s="227" t="s">
        <v>583</v>
      </c>
      <c r="E610" s="440" t="s">
        <v>94</v>
      </c>
      <c r="F610" s="227" t="s">
        <v>1376</v>
      </c>
      <c r="G610" s="281" t="s">
        <v>2889</v>
      </c>
      <c r="H610" s="436">
        <v>98554081</v>
      </c>
      <c r="I610" s="273">
        <v>7908765</v>
      </c>
      <c r="J610" s="545">
        <v>32162311</v>
      </c>
      <c r="K610" s="131" t="s">
        <v>42</v>
      </c>
      <c r="L610" s="528" t="s">
        <v>2855</v>
      </c>
      <c r="M610" s="194" t="s">
        <v>586</v>
      </c>
      <c r="N610" s="177" t="e" cm="1">
        <f t="array" aca="1" ref="N610" ca="1">_xlfn.XLOOKUP(Contrato5[[#This Row],[SUPERVISOR TITULAR]],[2]!PERSONAL_ACTIVO_2024[[#All],[Nombre completo]],[2]!PERSONAL_ACTIVO_2024[[#All],[Documento identidad]],"",0)</f>
        <v>#NAME?</v>
      </c>
      <c r="O610" s="194" t="s">
        <v>589</v>
      </c>
      <c r="P610" s="196" t="e" cm="1">
        <f t="array" aca="1" ref="P610" ca="1">_xlfn.XLOOKUP(Contrato5[[#This Row],[SUPERVISOR SUPLENTE ]],[2]!PERSONAL_ACTIVO_2024[[#All],[Nombre completo]],[2]!PERSONAL_ACTIVO_2024[[#All],[Documento identidad]],"",0)</f>
        <v>#NAME?</v>
      </c>
      <c r="Q610" s="170">
        <v>678</v>
      </c>
      <c r="R610" s="137" t="e" cm="1">
        <f t="array" aca="1" ref="R610" ca="1">_xlfn.XLOOKUP(Contrato5[[#This Row],[CDP]],[2]!DISPONIBILIDADES_2024[[#All],[consecutivo]],[2]!DISPONIBILIDADES_2024[[#All],[fecha_aprobacion]],"",0)</f>
        <v>#NAME?</v>
      </c>
      <c r="S610" s="138" t="e">
        <f>SUMIF([2]!DISPONIBILIDADES_2024[[#All],[consecutivo]],Contrato5[[#This Row],[CDP]],[2]!DISPONIBILIDADES_2024[[#All],[valor_total_rubro]])</f>
        <v>#REF!</v>
      </c>
      <c r="T610" s="139" t="e" cm="1">
        <f t="array" aca="1" ref="T610" ca="1">_xlfn.XLOOKUP(Contrato5[[#This Row],[CONTRATO]]&amp;Contrato5[[#This Row],[CDP]],[2]!Corr_Contr_CDP[[#All],[CONTRATO-CDP]],[2]!Corr_Contr_CDP[[#All],[CRP]],_xlfn.XLOOKUP(Contrato5[[#This Row],[CDP]],[2]!COMPROMISOS_2024[[#All],[disponibilidad]],[2]!COMPROMISOS_2024[[#All],[consecutivo]],"",0),0)</f>
        <v>#NAME?</v>
      </c>
      <c r="U610" s="140" t="e" cm="1">
        <f t="array" aca="1" ref="U610" ca="1">+_xlfn.XLOOKUP(Contrato5[[#This Row],[RCP]],[2]!COMPROMISOS_2024[[#All],[consecutivo]],[2]!COMPROMISOS_2024[[#All],[fecha_aprobacion]],"",0)</f>
        <v>#NAME?</v>
      </c>
      <c r="V610" s="141" t="e">
        <f ca="1">SUMIF([2]!COMPROMISOS_2024[[#All],[consecutivo]],Contrato5[[#This Row],[RCP]],[2]!COMPROMISOS_2024[[#All],[valor_total]])</f>
        <v>#REF!</v>
      </c>
      <c r="W610" s="160">
        <v>45516</v>
      </c>
      <c r="X610" s="160" t="s">
        <v>1045</v>
      </c>
      <c r="Y610" s="143">
        <v>45520</v>
      </c>
      <c r="Z610" s="262">
        <v>45643</v>
      </c>
      <c r="AA610" s="171" t="s">
        <v>2890</v>
      </c>
      <c r="AB610" s="172" t="s">
        <v>2871</v>
      </c>
      <c r="AC610" s="172"/>
      <c r="AD610" s="425">
        <v>202000005047</v>
      </c>
      <c r="AE610" s="147" t="s">
        <v>523</v>
      </c>
      <c r="AF610" s="148" t="str">
        <f>TEXT(LEFT(Contrato5[[#This Row],[CONTRATO]],3),"0")</f>
        <v>485</v>
      </c>
      <c r="AG610" s="148" t="str">
        <f>IF(LEN(Contrato5[[#This Row],[Contrato2]])=3,Contrato5[[#This Row],[Contrato2]],TEXT(Contrato5[[#This Row],[Contrato2]],"000"))</f>
        <v>485</v>
      </c>
      <c r="AH610" s="149">
        <f ca="1">IFERROR(_xlfn.DAYS(Contrato5[[#This Row],[Fecha Proyectada liquidación]],TODAY())/30,"")</f>
        <v>0.16666666666666666</v>
      </c>
      <c r="AI610" s="150">
        <f>+Contrato5[[#This Row],[FECHA TERMINACIÓN ]]+120</f>
        <v>45763</v>
      </c>
      <c r="AJ610" s="147"/>
      <c r="AK610" s="152" t="str">
        <f ca="1">IF(Contrato5[[#This Row],[FECHA TERMINACIÓN ]]&lt;TODAY(), "Terminado",IF(ISNUMBER(Contrato5[[#This Row],[Fecha Real de liquiidación ]]),"Liquidado",IF(Contrato5[[#This Row],[FECHA TERMINACIÓN ]]&gt;=TODAY(),"En ejecución","")))</f>
        <v>Terminado</v>
      </c>
      <c r="AL610" s="153" t="e">
        <f ca="1">SUMIF([2]!COMPROMISOS_2024[[#All],[consecutivo]],Contrato5[[#This Row],[RCP]],[2]!COMPROMISOS_2024[[#All],[Total pagado]])</f>
        <v>#REF!</v>
      </c>
      <c r="AM610" s="154">
        <f ca="1">IFERROR(Contrato5[[#This Row],[Pagos]]/Contrato5[[#This Row],[VALOR CONTRATO]],0)</f>
        <v>0</v>
      </c>
      <c r="AN610" s="198" t="e">
        <f ca="1">+Contrato5[[#This Row],[VALOR CONTRATO]]-Contrato5[[#This Row],[Pagos]]</f>
        <v>#REF!</v>
      </c>
      <c r="AO610" s="147" t="e" cm="1">
        <f t="array" aca="1" ref="AO610" ca="1">_xlfn.XLOOKUP(Contrato5[[#This Row],[DOCUMENTO ]],[2]!PERSONAL_ACTIVO_2024[[#All],[Documento identidad]],[2]!PERSONAL_ACTIVO_2024[[#All],[Mail ]],0,0)</f>
        <v>#NAME?</v>
      </c>
      <c r="AP610" s="147" t="e" cm="1">
        <f t="array" aca="1" ref="AP610" ca="1">_xlfn.XLOOKUP(Contrato5[[#This Row],[DOCUMENTO]],[2]!PERSONAL_ACTIVO_2024[[#All],[Documento identidad]],[2]!PERSONAL_ACTIVO_2024[[#All],[Mail ]],0,0)</f>
        <v>#NAME?</v>
      </c>
      <c r="AQ610" s="439" cm="1">
        <f t="array" aca="1" ref="AQ610" ca="1">IF(ISBLANK(Contrato5[[#This Row],[DEPENDENCIA ]]),0,IFERROR(_xlfn.XLOOKUP(Contrato5[[#This Row],[DEPENDENCIA ]],[2]!PERSONAL_ACTIVO_2024[[#All],[Dependencia]],[2]!PERSONAL_ACTIVO_2024[[#All],[Mail ]],0,0),0))</f>
        <v>0</v>
      </c>
    </row>
    <row r="611" spans="1:43" ht="34.5" customHeight="1">
      <c r="A611" s="125">
        <v>874</v>
      </c>
      <c r="B611" s="124">
        <v>486</v>
      </c>
      <c r="C611" s="162" t="s">
        <v>1977</v>
      </c>
      <c r="D611" s="227" t="s">
        <v>583</v>
      </c>
      <c r="E611" s="440" t="s">
        <v>94</v>
      </c>
      <c r="F611" s="227" t="s">
        <v>1376</v>
      </c>
      <c r="G611" s="281" t="s">
        <v>672</v>
      </c>
      <c r="H611" s="436">
        <v>71263460</v>
      </c>
      <c r="I611" s="273">
        <v>3952382</v>
      </c>
      <c r="J611" s="545">
        <v>16073020</v>
      </c>
      <c r="K611" s="131" t="s">
        <v>42</v>
      </c>
      <c r="L611" s="528" t="s">
        <v>2855</v>
      </c>
      <c r="M611" s="194" t="s">
        <v>592</v>
      </c>
      <c r="N611" s="177" t="e" cm="1">
        <f t="array" aca="1" ref="N611" ca="1">_xlfn.XLOOKUP(Contrato5[[#This Row],[SUPERVISOR TITULAR]],[2]!PERSONAL_ACTIVO_2024[[#All],[Nombre completo]],[2]!PERSONAL_ACTIVO_2024[[#All],[Documento identidad]],"",0)</f>
        <v>#NAME?</v>
      </c>
      <c r="O611" s="194" t="s">
        <v>600</v>
      </c>
      <c r="P611" s="196" t="e" cm="1">
        <f t="array" aca="1" ref="P611" ca="1">_xlfn.XLOOKUP(Contrato5[[#This Row],[SUPERVISOR SUPLENTE ]],[2]!PERSONAL_ACTIVO_2024[[#All],[Nombre completo]],[2]!PERSONAL_ACTIVO_2024[[#All],[Documento identidad]],"",0)</f>
        <v>#NAME?</v>
      </c>
      <c r="Q611" s="170">
        <v>680</v>
      </c>
      <c r="R611" s="137" t="e" cm="1">
        <f t="array" aca="1" ref="R611" ca="1">_xlfn.XLOOKUP(Contrato5[[#This Row],[CDP]],[2]!DISPONIBILIDADES_2024[[#All],[consecutivo]],[2]!DISPONIBILIDADES_2024[[#All],[fecha_aprobacion]],"",0)</f>
        <v>#NAME?</v>
      </c>
      <c r="S611" s="138" t="e">
        <f>SUMIF([2]!DISPONIBILIDADES_2024[[#All],[consecutivo]],Contrato5[[#This Row],[CDP]],[2]!DISPONIBILIDADES_2024[[#All],[valor_total_rubro]])</f>
        <v>#REF!</v>
      </c>
      <c r="T611" s="139" t="e" cm="1">
        <f t="array" aca="1" ref="T611" ca="1">_xlfn.XLOOKUP(Contrato5[[#This Row],[CONTRATO]]&amp;Contrato5[[#This Row],[CDP]],[2]!Corr_Contr_CDP[[#All],[CONTRATO-CDP]],[2]!Corr_Contr_CDP[[#All],[CRP]],_xlfn.XLOOKUP(Contrato5[[#This Row],[CDP]],[2]!COMPROMISOS_2024[[#All],[disponibilidad]],[2]!COMPROMISOS_2024[[#All],[consecutivo]],"",0),0)</f>
        <v>#NAME?</v>
      </c>
      <c r="U611" s="140" t="e" cm="1">
        <f t="array" aca="1" ref="U611" ca="1">+_xlfn.XLOOKUP(Contrato5[[#This Row],[RCP]],[2]!COMPROMISOS_2024[[#All],[consecutivo]],[2]!COMPROMISOS_2024[[#All],[fecha_aprobacion]],"",0)</f>
        <v>#NAME?</v>
      </c>
      <c r="V611" s="141" t="e">
        <f ca="1">SUMIF([2]!COMPROMISOS_2024[[#All],[consecutivo]],Contrato5[[#This Row],[RCP]],[2]!COMPROMISOS_2024[[#All],[valor_total]])</f>
        <v>#REF!</v>
      </c>
      <c r="W611" s="160">
        <v>45516</v>
      </c>
      <c r="X611" s="160" t="s">
        <v>1045</v>
      </c>
      <c r="Y611" s="143">
        <v>45520</v>
      </c>
      <c r="Z611" s="262">
        <v>45643</v>
      </c>
      <c r="AA611" s="183" t="s">
        <v>2891</v>
      </c>
      <c r="AB611" s="172" t="s">
        <v>2871</v>
      </c>
      <c r="AC611" s="172"/>
      <c r="AD611" s="425">
        <v>202000005048</v>
      </c>
      <c r="AE611" s="147" t="s">
        <v>523</v>
      </c>
      <c r="AF611" s="148" t="str">
        <f>TEXT(LEFT(Contrato5[[#This Row],[CONTRATO]],3),"0")</f>
        <v>486</v>
      </c>
      <c r="AG611" s="148" t="str">
        <f>IF(LEN(Contrato5[[#This Row],[Contrato2]])=3,Contrato5[[#This Row],[Contrato2]],TEXT(Contrato5[[#This Row],[Contrato2]],"000"))</f>
        <v>486</v>
      </c>
      <c r="AH611" s="149">
        <f ca="1">IFERROR(_xlfn.DAYS(Contrato5[[#This Row],[Fecha Proyectada liquidación]],TODAY())/30,"")</f>
        <v>0.16666666666666666</v>
      </c>
      <c r="AI611" s="150">
        <f>+Contrato5[[#This Row],[FECHA TERMINACIÓN ]]+120</f>
        <v>45763</v>
      </c>
      <c r="AJ611" s="147"/>
      <c r="AK611" s="152" t="str">
        <f ca="1">IF(Contrato5[[#This Row],[FECHA TERMINACIÓN ]]&lt;TODAY(), "Terminado",IF(ISNUMBER(Contrato5[[#This Row],[Fecha Real de liquiidación ]]),"Liquidado",IF(Contrato5[[#This Row],[FECHA TERMINACIÓN ]]&gt;=TODAY(),"En ejecución","")))</f>
        <v>Terminado</v>
      </c>
      <c r="AL611" s="153" t="e">
        <f ca="1">SUMIF([2]!COMPROMISOS_2024[[#All],[consecutivo]],Contrato5[[#This Row],[RCP]],[2]!COMPROMISOS_2024[[#All],[Total pagado]])</f>
        <v>#REF!</v>
      </c>
      <c r="AM611" s="154">
        <f ca="1">IFERROR(Contrato5[[#This Row],[Pagos]]/Contrato5[[#This Row],[VALOR CONTRATO]],0)</f>
        <v>0</v>
      </c>
      <c r="AN611" s="198" t="e">
        <f ca="1">+Contrato5[[#This Row],[VALOR CONTRATO]]-Contrato5[[#This Row],[Pagos]]</f>
        <v>#REF!</v>
      </c>
      <c r="AO611" s="147" t="e" cm="1">
        <f t="array" aca="1" ref="AO611" ca="1">_xlfn.XLOOKUP(Contrato5[[#This Row],[DOCUMENTO ]],[2]!PERSONAL_ACTIVO_2024[[#All],[Documento identidad]],[2]!PERSONAL_ACTIVO_2024[[#All],[Mail ]],0,0)</f>
        <v>#NAME?</v>
      </c>
      <c r="AP611" s="147" t="e" cm="1">
        <f t="array" aca="1" ref="AP611" ca="1">_xlfn.XLOOKUP(Contrato5[[#This Row],[DOCUMENTO]],[2]!PERSONAL_ACTIVO_2024[[#All],[Documento identidad]],[2]!PERSONAL_ACTIVO_2024[[#All],[Mail ]],0,0)</f>
        <v>#NAME?</v>
      </c>
      <c r="AQ611" s="439" cm="1">
        <f t="array" aca="1" ref="AQ611" ca="1">IF(ISBLANK(Contrato5[[#This Row],[DEPENDENCIA ]]),0,IFERROR(_xlfn.XLOOKUP(Contrato5[[#This Row],[DEPENDENCIA ]],[2]!PERSONAL_ACTIVO_2024[[#All],[Dependencia]],[2]!PERSONAL_ACTIVO_2024[[#All],[Mail ]],0,0),0))</f>
        <v>0</v>
      </c>
    </row>
    <row r="612" spans="1:43" ht="34.5" customHeight="1">
      <c r="A612" s="125">
        <v>875</v>
      </c>
      <c r="B612" s="124">
        <v>487</v>
      </c>
      <c r="C612" s="162" t="s">
        <v>1977</v>
      </c>
      <c r="D612" s="227" t="s">
        <v>583</v>
      </c>
      <c r="E612" s="440" t="s">
        <v>94</v>
      </c>
      <c r="F612" s="227" t="s">
        <v>1376</v>
      </c>
      <c r="G612" s="281" t="s">
        <v>2892</v>
      </c>
      <c r="H612" s="436">
        <v>70908694</v>
      </c>
      <c r="I612" s="273">
        <v>5931149</v>
      </c>
      <c r="J612" s="545">
        <v>24120006</v>
      </c>
      <c r="K612" s="131" t="s">
        <v>42</v>
      </c>
      <c r="L612" s="528" t="s">
        <v>2855</v>
      </c>
      <c r="M612" s="194" t="s">
        <v>592</v>
      </c>
      <c r="N612" s="177" t="e" cm="1">
        <f t="array" aca="1" ref="N612" ca="1">_xlfn.XLOOKUP(Contrato5[[#This Row],[SUPERVISOR TITULAR]],[2]!PERSONAL_ACTIVO_2024[[#All],[Nombre completo]],[2]!PERSONAL_ACTIVO_2024[[#All],[Documento identidad]],"",0)</f>
        <v>#NAME?</v>
      </c>
      <c r="O612" s="194" t="s">
        <v>600</v>
      </c>
      <c r="P612" s="196" t="e" cm="1">
        <f t="array" aca="1" ref="P612" ca="1">_xlfn.XLOOKUP(Contrato5[[#This Row],[SUPERVISOR SUPLENTE ]],[2]!PERSONAL_ACTIVO_2024[[#All],[Nombre completo]],[2]!PERSONAL_ACTIVO_2024[[#All],[Documento identidad]],"",0)</f>
        <v>#NAME?</v>
      </c>
      <c r="Q612" s="170">
        <v>776</v>
      </c>
      <c r="R612" s="137" t="e" cm="1">
        <f t="array" aca="1" ref="R612" ca="1">_xlfn.XLOOKUP(Contrato5[[#This Row],[CDP]],[2]!DISPONIBILIDADES_2024[[#All],[consecutivo]],[2]!DISPONIBILIDADES_2024[[#All],[fecha_aprobacion]],"",0)</f>
        <v>#NAME?</v>
      </c>
      <c r="S612" s="138" t="e">
        <f>SUMIF([2]!DISPONIBILIDADES_2024[[#All],[consecutivo]],Contrato5[[#This Row],[CDP]],[2]!DISPONIBILIDADES_2024[[#All],[valor_total_rubro]])</f>
        <v>#REF!</v>
      </c>
      <c r="T612" s="139" t="e" cm="1">
        <f t="array" aca="1" ref="T612" ca="1">_xlfn.XLOOKUP(Contrato5[[#This Row],[CONTRATO]]&amp;Contrato5[[#This Row],[CDP]],[2]!Corr_Contr_CDP[[#All],[CONTRATO-CDP]],[2]!Corr_Contr_CDP[[#All],[CRP]],_xlfn.XLOOKUP(Contrato5[[#This Row],[CDP]],[2]!COMPROMISOS_2024[[#All],[disponibilidad]],[2]!COMPROMISOS_2024[[#All],[consecutivo]],"",0),0)</f>
        <v>#NAME?</v>
      </c>
      <c r="U612" s="140" t="e" cm="1">
        <f t="array" aca="1" ref="U612" ca="1">+_xlfn.XLOOKUP(Contrato5[[#This Row],[RCP]],[2]!COMPROMISOS_2024[[#All],[consecutivo]],[2]!COMPROMISOS_2024[[#All],[fecha_aprobacion]],"",0)</f>
        <v>#NAME?</v>
      </c>
      <c r="V612" s="141" t="e">
        <f ca="1">SUMIF([2]!COMPROMISOS_2024[[#All],[consecutivo]],Contrato5[[#This Row],[RCP]],[2]!COMPROMISOS_2024[[#All],[valor_total]])</f>
        <v>#REF!</v>
      </c>
      <c r="W612" s="160">
        <v>45516</v>
      </c>
      <c r="X612" s="160" t="s">
        <v>1045</v>
      </c>
      <c r="Y612" s="143">
        <v>45520</v>
      </c>
      <c r="Z612" s="262">
        <v>45643</v>
      </c>
      <c r="AA612" s="171" t="s">
        <v>2875</v>
      </c>
      <c r="AB612" s="172" t="s">
        <v>2871</v>
      </c>
      <c r="AC612" s="172"/>
      <c r="AD612" s="425">
        <v>202000005049</v>
      </c>
      <c r="AE612" s="147" t="s">
        <v>523</v>
      </c>
      <c r="AF612" s="148" t="str">
        <f>TEXT(LEFT(Contrato5[[#This Row],[CONTRATO]],3),"0")</f>
        <v>487</v>
      </c>
      <c r="AG612" s="148" t="str">
        <f>IF(LEN(Contrato5[[#This Row],[Contrato2]])=3,Contrato5[[#This Row],[Contrato2]],TEXT(Contrato5[[#This Row],[Contrato2]],"000"))</f>
        <v>487</v>
      </c>
      <c r="AH612" s="149">
        <f ca="1">IFERROR(_xlfn.DAYS(Contrato5[[#This Row],[Fecha Proyectada liquidación]],TODAY())/30,"")</f>
        <v>0.16666666666666666</v>
      </c>
      <c r="AI612" s="150">
        <f>+Contrato5[[#This Row],[FECHA TERMINACIÓN ]]+120</f>
        <v>45763</v>
      </c>
      <c r="AJ612" s="147"/>
      <c r="AK612" s="152" t="str">
        <f ca="1">IF(Contrato5[[#This Row],[FECHA TERMINACIÓN ]]&lt;TODAY(), "Terminado",IF(ISNUMBER(Contrato5[[#This Row],[Fecha Real de liquiidación ]]),"Liquidado",IF(Contrato5[[#This Row],[FECHA TERMINACIÓN ]]&gt;=TODAY(),"En ejecución","")))</f>
        <v>Terminado</v>
      </c>
      <c r="AL612" s="153" t="e">
        <f ca="1">SUMIF([2]!COMPROMISOS_2024[[#All],[consecutivo]],Contrato5[[#This Row],[RCP]],[2]!COMPROMISOS_2024[[#All],[Total pagado]])</f>
        <v>#REF!</v>
      </c>
      <c r="AM612" s="154">
        <f ca="1">IFERROR(Contrato5[[#This Row],[Pagos]]/Contrato5[[#This Row],[VALOR CONTRATO]],0)</f>
        <v>0</v>
      </c>
      <c r="AN612" s="198" t="e">
        <f ca="1">+Contrato5[[#This Row],[VALOR CONTRATO]]-Contrato5[[#This Row],[Pagos]]</f>
        <v>#REF!</v>
      </c>
      <c r="AO612" s="147" t="e" cm="1">
        <f t="array" aca="1" ref="AO612" ca="1">_xlfn.XLOOKUP(Contrato5[[#This Row],[DOCUMENTO ]],[2]!PERSONAL_ACTIVO_2024[[#All],[Documento identidad]],[2]!PERSONAL_ACTIVO_2024[[#All],[Mail ]],0,0)</f>
        <v>#NAME?</v>
      </c>
      <c r="AP612" s="147" t="e" cm="1">
        <f t="array" aca="1" ref="AP612" ca="1">_xlfn.XLOOKUP(Contrato5[[#This Row],[DOCUMENTO]],[2]!PERSONAL_ACTIVO_2024[[#All],[Documento identidad]],[2]!PERSONAL_ACTIVO_2024[[#All],[Mail ]],0,0)</f>
        <v>#NAME?</v>
      </c>
      <c r="AQ612" s="439" cm="1">
        <f t="array" aca="1" ref="AQ612" ca="1">IF(ISBLANK(Contrato5[[#This Row],[DEPENDENCIA ]]),0,IFERROR(_xlfn.XLOOKUP(Contrato5[[#This Row],[DEPENDENCIA ]],[2]!PERSONAL_ACTIVO_2024[[#All],[Dependencia]],[2]!PERSONAL_ACTIVO_2024[[#All],[Mail ]],0,0),0))</f>
        <v>0</v>
      </c>
    </row>
    <row r="613" spans="1:43" ht="34.5" customHeight="1">
      <c r="A613" s="125">
        <v>876</v>
      </c>
      <c r="B613" s="124">
        <v>488</v>
      </c>
      <c r="C613" s="162" t="s">
        <v>1977</v>
      </c>
      <c r="D613" s="227" t="s">
        <v>583</v>
      </c>
      <c r="E613" s="440" t="s">
        <v>94</v>
      </c>
      <c r="F613" s="227" t="s">
        <v>1376</v>
      </c>
      <c r="G613" s="281" t="s">
        <v>2893</v>
      </c>
      <c r="H613" s="436">
        <v>8335617</v>
      </c>
      <c r="I613" s="273">
        <v>2574842</v>
      </c>
      <c r="J613" s="545">
        <v>10471024</v>
      </c>
      <c r="K613" s="131" t="s">
        <v>42</v>
      </c>
      <c r="L613" s="528" t="s">
        <v>2855</v>
      </c>
      <c r="M613" s="194" t="s">
        <v>592</v>
      </c>
      <c r="N613" s="177" t="e" cm="1">
        <f t="array" aca="1" ref="N613" ca="1">_xlfn.XLOOKUP(Contrato5[[#This Row],[SUPERVISOR TITULAR]],[2]!PERSONAL_ACTIVO_2024[[#All],[Nombre completo]],[2]!PERSONAL_ACTIVO_2024[[#All],[Documento identidad]],"",0)</f>
        <v>#NAME?</v>
      </c>
      <c r="O613" s="194" t="s">
        <v>600</v>
      </c>
      <c r="P613" s="196" t="e" cm="1">
        <f t="array" aca="1" ref="P613" ca="1">_xlfn.XLOOKUP(Contrato5[[#This Row],[SUPERVISOR SUPLENTE ]],[2]!PERSONAL_ACTIVO_2024[[#All],[Nombre completo]],[2]!PERSONAL_ACTIVO_2024[[#All],[Documento identidad]],"",0)</f>
        <v>#NAME?</v>
      </c>
      <c r="Q613" s="170">
        <v>777</v>
      </c>
      <c r="R613" s="137" t="e" cm="1">
        <f t="array" aca="1" ref="R613" ca="1">_xlfn.XLOOKUP(Contrato5[[#This Row],[CDP]],[2]!DISPONIBILIDADES_2024[[#All],[consecutivo]],[2]!DISPONIBILIDADES_2024[[#All],[fecha_aprobacion]],"",0)</f>
        <v>#NAME?</v>
      </c>
      <c r="S613" s="138" t="e">
        <f>SUMIF([2]!DISPONIBILIDADES_2024[[#All],[consecutivo]],Contrato5[[#This Row],[CDP]],[2]!DISPONIBILIDADES_2024[[#All],[valor_total_rubro]])</f>
        <v>#REF!</v>
      </c>
      <c r="T613" s="139" t="e" cm="1">
        <f t="array" aca="1" ref="T613" ca="1">_xlfn.XLOOKUP(Contrato5[[#This Row],[CONTRATO]]&amp;Contrato5[[#This Row],[CDP]],[2]!Corr_Contr_CDP[[#All],[CONTRATO-CDP]],[2]!Corr_Contr_CDP[[#All],[CRP]],_xlfn.XLOOKUP(Contrato5[[#This Row],[CDP]],[2]!COMPROMISOS_2024[[#All],[disponibilidad]],[2]!COMPROMISOS_2024[[#All],[consecutivo]],"",0),0)</f>
        <v>#NAME?</v>
      </c>
      <c r="U613" s="140" t="e" cm="1">
        <f t="array" aca="1" ref="U613" ca="1">+_xlfn.XLOOKUP(Contrato5[[#This Row],[RCP]],[2]!COMPROMISOS_2024[[#All],[consecutivo]],[2]!COMPROMISOS_2024[[#All],[fecha_aprobacion]],"",0)</f>
        <v>#NAME?</v>
      </c>
      <c r="V613" s="141" t="e">
        <f ca="1">SUMIF([2]!COMPROMISOS_2024[[#All],[consecutivo]],Contrato5[[#This Row],[RCP]],[2]!COMPROMISOS_2024[[#All],[valor_total]])</f>
        <v>#REF!</v>
      </c>
      <c r="W613" s="160">
        <v>45516</v>
      </c>
      <c r="X613" s="160" t="s">
        <v>1045</v>
      </c>
      <c r="Y613" s="143">
        <v>45520</v>
      </c>
      <c r="Z613" s="262">
        <v>45643</v>
      </c>
      <c r="AA613" s="171" t="s">
        <v>2875</v>
      </c>
      <c r="AB613" s="172" t="s">
        <v>2871</v>
      </c>
      <c r="AC613" s="172"/>
      <c r="AD613" s="425">
        <v>202000005051</v>
      </c>
      <c r="AE613" s="147" t="s">
        <v>523</v>
      </c>
      <c r="AF613" s="148" t="str">
        <f>TEXT(LEFT(Contrato5[[#This Row],[CONTRATO]],3),"0")</f>
        <v>488</v>
      </c>
      <c r="AG613" s="148" t="str">
        <f>IF(LEN(Contrato5[[#This Row],[Contrato2]])=3,Contrato5[[#This Row],[Contrato2]],TEXT(Contrato5[[#This Row],[Contrato2]],"000"))</f>
        <v>488</v>
      </c>
      <c r="AH613" s="149">
        <f ca="1">IFERROR(_xlfn.DAYS(Contrato5[[#This Row],[Fecha Proyectada liquidación]],TODAY())/30,"")</f>
        <v>0.16666666666666666</v>
      </c>
      <c r="AI613" s="150">
        <f>+Contrato5[[#This Row],[FECHA TERMINACIÓN ]]+120</f>
        <v>45763</v>
      </c>
      <c r="AJ613" s="147"/>
      <c r="AK613" s="152" t="str">
        <f ca="1">IF(Contrato5[[#This Row],[FECHA TERMINACIÓN ]]&lt;TODAY(), "Terminado",IF(ISNUMBER(Contrato5[[#This Row],[Fecha Real de liquiidación ]]),"Liquidado",IF(Contrato5[[#This Row],[FECHA TERMINACIÓN ]]&gt;=TODAY(),"En ejecución","")))</f>
        <v>Terminado</v>
      </c>
      <c r="AL613" s="153" t="e">
        <f ca="1">SUMIF([2]!COMPROMISOS_2024[[#All],[consecutivo]],Contrato5[[#This Row],[RCP]],[2]!COMPROMISOS_2024[[#All],[Total pagado]])</f>
        <v>#REF!</v>
      </c>
      <c r="AM613" s="154">
        <f ca="1">IFERROR(Contrato5[[#This Row],[Pagos]]/Contrato5[[#This Row],[VALOR CONTRATO]],0)</f>
        <v>0</v>
      </c>
      <c r="AN613" s="198" t="e">
        <f ca="1">+Contrato5[[#This Row],[VALOR CONTRATO]]-Contrato5[[#This Row],[Pagos]]</f>
        <v>#REF!</v>
      </c>
      <c r="AO613" s="147" t="e" cm="1">
        <f t="array" aca="1" ref="AO613" ca="1">_xlfn.XLOOKUP(Contrato5[[#This Row],[DOCUMENTO ]],[2]!PERSONAL_ACTIVO_2024[[#All],[Documento identidad]],[2]!PERSONAL_ACTIVO_2024[[#All],[Mail ]],0,0)</f>
        <v>#NAME?</v>
      </c>
      <c r="AP613" s="147" t="e" cm="1">
        <f t="array" aca="1" ref="AP613" ca="1">_xlfn.XLOOKUP(Contrato5[[#This Row],[DOCUMENTO]],[2]!PERSONAL_ACTIVO_2024[[#All],[Documento identidad]],[2]!PERSONAL_ACTIVO_2024[[#All],[Mail ]],0,0)</f>
        <v>#NAME?</v>
      </c>
      <c r="AQ613" s="439" cm="1">
        <f t="array" aca="1" ref="AQ613" ca="1">IF(ISBLANK(Contrato5[[#This Row],[DEPENDENCIA ]]),0,IFERROR(_xlfn.XLOOKUP(Contrato5[[#This Row],[DEPENDENCIA ]],[2]!PERSONAL_ACTIVO_2024[[#All],[Dependencia]],[2]!PERSONAL_ACTIVO_2024[[#All],[Mail ]],0,0),0))</f>
        <v>0</v>
      </c>
    </row>
    <row r="614" spans="1:43" ht="34.5" customHeight="1">
      <c r="A614" s="125">
        <v>877</v>
      </c>
      <c r="B614" s="124">
        <v>489</v>
      </c>
      <c r="C614" s="162" t="s">
        <v>1978</v>
      </c>
      <c r="D614" s="227" t="s">
        <v>583</v>
      </c>
      <c r="E614" s="440" t="s">
        <v>94</v>
      </c>
      <c r="F614" s="227" t="s">
        <v>1376</v>
      </c>
      <c r="G614" s="281" t="s">
        <v>2894</v>
      </c>
      <c r="H614" s="436">
        <v>21533036</v>
      </c>
      <c r="I614" s="273">
        <v>4908936</v>
      </c>
      <c r="J614" s="505">
        <v>19963006</v>
      </c>
      <c r="K614" s="131" t="s">
        <v>42</v>
      </c>
      <c r="L614" s="438" t="s">
        <v>2855</v>
      </c>
      <c r="M614" s="194" t="s">
        <v>592</v>
      </c>
      <c r="N614" s="177" t="e" cm="1">
        <f t="array" aca="1" ref="N614" ca="1">_xlfn.XLOOKUP(Contrato5[[#This Row],[SUPERVISOR TITULAR]],[2]!PERSONAL_ACTIVO_2024[[#All],[Nombre completo]],[2]!PERSONAL_ACTIVO_2024[[#All],[Documento identidad]],"",0)</f>
        <v>#NAME?</v>
      </c>
      <c r="O614" s="194" t="s">
        <v>600</v>
      </c>
      <c r="P614" s="196" t="e" cm="1">
        <f t="array" aca="1" ref="P614" ca="1">_xlfn.XLOOKUP(Contrato5[[#This Row],[SUPERVISOR SUPLENTE ]],[2]!PERSONAL_ACTIVO_2024[[#All],[Nombre completo]],[2]!PERSONAL_ACTIVO_2024[[#All],[Documento identidad]],"",0)</f>
        <v>#NAME?</v>
      </c>
      <c r="Q614" s="170">
        <v>778</v>
      </c>
      <c r="R614" s="137" t="e" cm="1">
        <f t="array" aca="1" ref="R614" ca="1">_xlfn.XLOOKUP(Contrato5[[#This Row],[CDP]],[2]!DISPONIBILIDADES_2024[[#All],[consecutivo]],[2]!DISPONIBILIDADES_2024[[#All],[fecha_aprobacion]],"",0)</f>
        <v>#NAME?</v>
      </c>
      <c r="S614" s="138" t="e">
        <f>SUMIF([2]!DISPONIBILIDADES_2024[[#All],[consecutivo]],Contrato5[[#This Row],[CDP]],[2]!DISPONIBILIDADES_2024[[#All],[valor_total_rubro]])</f>
        <v>#REF!</v>
      </c>
      <c r="T614" s="139" t="e" cm="1">
        <f t="array" aca="1" ref="T614" ca="1">_xlfn.XLOOKUP(Contrato5[[#This Row],[CONTRATO]]&amp;Contrato5[[#This Row],[CDP]],[2]!Corr_Contr_CDP[[#All],[CONTRATO-CDP]],[2]!Corr_Contr_CDP[[#All],[CRP]],_xlfn.XLOOKUP(Contrato5[[#This Row],[CDP]],[2]!COMPROMISOS_2024[[#All],[disponibilidad]],[2]!COMPROMISOS_2024[[#All],[consecutivo]],"",0),0)</f>
        <v>#NAME?</v>
      </c>
      <c r="U614" s="140" t="e" cm="1">
        <f t="array" aca="1" ref="U614" ca="1">+_xlfn.XLOOKUP(Contrato5[[#This Row],[RCP]],[2]!COMPROMISOS_2024[[#All],[consecutivo]],[2]!COMPROMISOS_2024[[#All],[fecha_aprobacion]],"",0)</f>
        <v>#NAME?</v>
      </c>
      <c r="V614" s="141" t="e">
        <f ca="1">SUMIF([2]!COMPROMISOS_2024[[#All],[consecutivo]],Contrato5[[#This Row],[RCP]],[2]!COMPROMISOS_2024[[#All],[valor_total]])</f>
        <v>#REF!</v>
      </c>
      <c r="W614" s="160">
        <v>45516</v>
      </c>
      <c r="X614" s="160" t="s">
        <v>1045</v>
      </c>
      <c r="Y614" s="143">
        <v>45520</v>
      </c>
      <c r="Z614" s="262">
        <v>45643</v>
      </c>
      <c r="AA614" s="171" t="s">
        <v>2870</v>
      </c>
      <c r="AB614" s="172" t="s">
        <v>2871</v>
      </c>
      <c r="AC614" s="172"/>
      <c r="AD614" s="425">
        <v>202000005052</v>
      </c>
      <c r="AE614" s="147" t="s">
        <v>523</v>
      </c>
      <c r="AF614" s="148" t="str">
        <f>TEXT(LEFT(Contrato5[[#This Row],[CONTRATO]],3),"0")</f>
        <v>489</v>
      </c>
      <c r="AG614" s="148" t="str">
        <f>IF(LEN(Contrato5[[#This Row],[Contrato2]])=3,Contrato5[[#This Row],[Contrato2]],TEXT(Contrato5[[#This Row],[Contrato2]],"000"))</f>
        <v>489</v>
      </c>
      <c r="AH614" s="149">
        <f ca="1">IFERROR(_xlfn.DAYS(Contrato5[[#This Row],[Fecha Proyectada liquidación]],TODAY())/30,"")</f>
        <v>0.16666666666666666</v>
      </c>
      <c r="AI614" s="150">
        <f>+Contrato5[[#This Row],[FECHA TERMINACIÓN ]]+120</f>
        <v>45763</v>
      </c>
      <c r="AJ614" s="147"/>
      <c r="AK614" s="152" t="str">
        <f ca="1">IF(Contrato5[[#This Row],[FECHA TERMINACIÓN ]]&lt;TODAY(), "Terminado",IF(ISNUMBER(Contrato5[[#This Row],[Fecha Real de liquiidación ]]),"Liquidado",IF(Contrato5[[#This Row],[FECHA TERMINACIÓN ]]&gt;=TODAY(),"En ejecución","")))</f>
        <v>Terminado</v>
      </c>
      <c r="AL614" s="153" t="e">
        <f ca="1">SUMIF([2]!COMPROMISOS_2024[[#All],[consecutivo]],Contrato5[[#This Row],[RCP]],[2]!COMPROMISOS_2024[[#All],[Total pagado]])</f>
        <v>#REF!</v>
      </c>
      <c r="AM614" s="154">
        <f ca="1">IFERROR(Contrato5[[#This Row],[Pagos]]/Contrato5[[#This Row],[VALOR CONTRATO]],0)</f>
        <v>0</v>
      </c>
      <c r="AN614" s="198" t="e">
        <f ca="1">+Contrato5[[#This Row],[VALOR CONTRATO]]-Contrato5[[#This Row],[Pagos]]</f>
        <v>#REF!</v>
      </c>
      <c r="AO614" s="147" t="e" cm="1">
        <f t="array" aca="1" ref="AO614" ca="1">_xlfn.XLOOKUP(Contrato5[[#This Row],[DOCUMENTO ]],[2]!PERSONAL_ACTIVO_2024[[#All],[Documento identidad]],[2]!PERSONAL_ACTIVO_2024[[#All],[Mail ]],0,0)</f>
        <v>#NAME?</v>
      </c>
      <c r="AP614" s="147" t="e" cm="1">
        <f t="array" aca="1" ref="AP614" ca="1">_xlfn.XLOOKUP(Contrato5[[#This Row],[DOCUMENTO]],[2]!PERSONAL_ACTIVO_2024[[#All],[Documento identidad]],[2]!PERSONAL_ACTIVO_2024[[#All],[Mail ]],0,0)</f>
        <v>#NAME?</v>
      </c>
      <c r="AQ614" s="439" cm="1">
        <f t="array" aca="1" ref="AQ614" ca="1">IF(ISBLANK(Contrato5[[#This Row],[DEPENDENCIA ]]),0,IFERROR(_xlfn.XLOOKUP(Contrato5[[#This Row],[DEPENDENCIA ]],[2]!PERSONAL_ACTIVO_2024[[#All],[Dependencia]],[2]!PERSONAL_ACTIVO_2024[[#All],[Mail ]],0,0),0))</f>
        <v>0</v>
      </c>
    </row>
    <row r="615" spans="1:43" ht="34.5" customHeight="1">
      <c r="A615" s="125">
        <v>878</v>
      </c>
      <c r="B615" s="124">
        <v>490</v>
      </c>
      <c r="C615" s="162" t="s">
        <v>1979</v>
      </c>
      <c r="D615" s="227" t="s">
        <v>583</v>
      </c>
      <c r="E615" s="440" t="s">
        <v>94</v>
      </c>
      <c r="F615" s="227" t="s">
        <v>1376</v>
      </c>
      <c r="G615" s="281" t="s">
        <v>2895</v>
      </c>
      <c r="H615" s="436">
        <v>1026137307</v>
      </c>
      <c r="I615" s="273">
        <v>5931149</v>
      </c>
      <c r="J615" s="505">
        <v>24120006</v>
      </c>
      <c r="K615" s="131" t="s">
        <v>42</v>
      </c>
      <c r="L615" s="438" t="s">
        <v>2855</v>
      </c>
      <c r="M615" s="194" t="s">
        <v>589</v>
      </c>
      <c r="N615" s="177" t="e" cm="1">
        <f t="array" aca="1" ref="N615" ca="1">_xlfn.XLOOKUP(Contrato5[[#This Row],[SUPERVISOR TITULAR]],[2]!PERSONAL_ACTIVO_2024[[#All],[Nombre completo]],[2]!PERSONAL_ACTIVO_2024[[#All],[Documento identidad]],"",0)</f>
        <v>#NAME?</v>
      </c>
      <c r="O615" s="194" t="s">
        <v>586</v>
      </c>
      <c r="P615" s="196" t="e" cm="1">
        <f t="array" aca="1" ref="P615" ca="1">_xlfn.XLOOKUP(Contrato5[[#This Row],[SUPERVISOR SUPLENTE ]],[2]!PERSONAL_ACTIVO_2024[[#All],[Nombre completo]],[2]!PERSONAL_ACTIVO_2024[[#All],[Documento identidad]],"",0)</f>
        <v>#NAME?</v>
      </c>
      <c r="Q615" s="170">
        <v>779</v>
      </c>
      <c r="R615" s="137" t="e" cm="1">
        <f t="array" aca="1" ref="R615" ca="1">_xlfn.XLOOKUP(Contrato5[[#This Row],[CDP]],[2]!DISPONIBILIDADES_2024[[#All],[consecutivo]],[2]!DISPONIBILIDADES_2024[[#All],[fecha_aprobacion]],"",0)</f>
        <v>#NAME?</v>
      </c>
      <c r="S615" s="138" t="e">
        <f>SUMIF([2]!DISPONIBILIDADES_2024[[#All],[consecutivo]],Contrato5[[#This Row],[CDP]],[2]!DISPONIBILIDADES_2024[[#All],[valor_total_rubro]])</f>
        <v>#REF!</v>
      </c>
      <c r="T615" s="139" t="e" cm="1">
        <f t="array" aca="1" ref="T615" ca="1">_xlfn.XLOOKUP(Contrato5[[#This Row],[CONTRATO]]&amp;Contrato5[[#This Row],[CDP]],[2]!Corr_Contr_CDP[[#All],[CONTRATO-CDP]],[2]!Corr_Contr_CDP[[#All],[CRP]],_xlfn.XLOOKUP(Contrato5[[#This Row],[CDP]],[2]!COMPROMISOS_2024[[#All],[disponibilidad]],[2]!COMPROMISOS_2024[[#All],[consecutivo]],"",0),0)</f>
        <v>#NAME?</v>
      </c>
      <c r="U615" s="140" t="e" cm="1">
        <f t="array" aca="1" ref="U615" ca="1">+_xlfn.XLOOKUP(Contrato5[[#This Row],[RCP]],[2]!COMPROMISOS_2024[[#All],[consecutivo]],[2]!COMPROMISOS_2024[[#All],[fecha_aprobacion]],"",0)</f>
        <v>#NAME?</v>
      </c>
      <c r="V615" s="141" t="e">
        <f ca="1">SUMIF([2]!COMPROMISOS_2024[[#All],[consecutivo]],Contrato5[[#This Row],[RCP]],[2]!COMPROMISOS_2024[[#All],[valor_total]])</f>
        <v>#REF!</v>
      </c>
      <c r="W615" s="160">
        <v>45516</v>
      </c>
      <c r="X615" s="160" t="s">
        <v>1045</v>
      </c>
      <c r="Y615" s="143">
        <v>45520</v>
      </c>
      <c r="Z615" s="262">
        <v>45643</v>
      </c>
      <c r="AA615" s="171" t="s">
        <v>2870</v>
      </c>
      <c r="AB615" s="172" t="s">
        <v>2871</v>
      </c>
      <c r="AC615" s="172"/>
      <c r="AD615" s="425">
        <v>202000005053</v>
      </c>
      <c r="AE615" s="147" t="s">
        <v>523</v>
      </c>
      <c r="AF615" s="148" t="str">
        <f>TEXT(LEFT(Contrato5[[#This Row],[CONTRATO]],3),"0")</f>
        <v>490</v>
      </c>
      <c r="AG615" s="148" t="str">
        <f>IF(LEN(Contrato5[[#This Row],[Contrato2]])=3,Contrato5[[#This Row],[Contrato2]],TEXT(Contrato5[[#This Row],[Contrato2]],"000"))</f>
        <v>490</v>
      </c>
      <c r="AH615" s="149">
        <f ca="1">IFERROR(_xlfn.DAYS(Contrato5[[#This Row],[Fecha Proyectada liquidación]],TODAY())/30,"")</f>
        <v>0.16666666666666666</v>
      </c>
      <c r="AI615" s="150">
        <f>+Contrato5[[#This Row],[FECHA TERMINACIÓN ]]+120</f>
        <v>45763</v>
      </c>
      <c r="AJ615" s="147"/>
      <c r="AK615" s="152" t="str">
        <f ca="1">IF(Contrato5[[#This Row],[FECHA TERMINACIÓN ]]&lt;TODAY(), "Terminado",IF(ISNUMBER(Contrato5[[#This Row],[Fecha Real de liquiidación ]]),"Liquidado",IF(Contrato5[[#This Row],[FECHA TERMINACIÓN ]]&gt;=TODAY(),"En ejecución","")))</f>
        <v>Terminado</v>
      </c>
      <c r="AL615" s="153" t="e">
        <f ca="1">SUMIF([2]!COMPROMISOS_2024[[#All],[consecutivo]],Contrato5[[#This Row],[RCP]],[2]!COMPROMISOS_2024[[#All],[Total pagado]])</f>
        <v>#REF!</v>
      </c>
      <c r="AM615" s="154">
        <f ca="1">IFERROR(Contrato5[[#This Row],[Pagos]]/Contrato5[[#This Row],[VALOR CONTRATO]],0)</f>
        <v>0</v>
      </c>
      <c r="AN615" s="198" t="e">
        <f ca="1">+Contrato5[[#This Row],[VALOR CONTRATO]]-Contrato5[[#This Row],[Pagos]]</f>
        <v>#REF!</v>
      </c>
      <c r="AO615" s="147" t="e" cm="1">
        <f t="array" aca="1" ref="AO615" ca="1">_xlfn.XLOOKUP(Contrato5[[#This Row],[DOCUMENTO ]],[2]!PERSONAL_ACTIVO_2024[[#All],[Documento identidad]],[2]!PERSONAL_ACTIVO_2024[[#All],[Mail ]],0,0)</f>
        <v>#NAME?</v>
      </c>
      <c r="AP615" s="147" t="e" cm="1">
        <f t="array" aca="1" ref="AP615" ca="1">_xlfn.XLOOKUP(Contrato5[[#This Row],[DOCUMENTO]],[2]!PERSONAL_ACTIVO_2024[[#All],[Documento identidad]],[2]!PERSONAL_ACTIVO_2024[[#All],[Mail ]],0,0)</f>
        <v>#NAME?</v>
      </c>
      <c r="AQ615" s="439" cm="1">
        <f t="array" aca="1" ref="AQ615" ca="1">IF(ISBLANK(Contrato5[[#This Row],[DEPENDENCIA ]]),0,IFERROR(_xlfn.XLOOKUP(Contrato5[[#This Row],[DEPENDENCIA ]],[2]!PERSONAL_ACTIVO_2024[[#All],[Dependencia]],[2]!PERSONAL_ACTIVO_2024[[#All],[Mail ]],0,0),0))</f>
        <v>0</v>
      </c>
    </row>
    <row r="616" spans="1:43" ht="34.5" customHeight="1">
      <c r="A616" s="125">
        <v>879</v>
      </c>
      <c r="B616" s="124">
        <v>491</v>
      </c>
      <c r="C616" s="162" t="s">
        <v>1980</v>
      </c>
      <c r="D616" s="227" t="s">
        <v>583</v>
      </c>
      <c r="E616" s="440" t="s">
        <v>94</v>
      </c>
      <c r="F616" s="227" t="s">
        <v>1376</v>
      </c>
      <c r="G616" s="281" t="s">
        <v>2896</v>
      </c>
      <c r="H616" s="436">
        <v>98575572</v>
      </c>
      <c r="I616" s="273">
        <v>3952382</v>
      </c>
      <c r="J616" s="505">
        <v>16073020</v>
      </c>
      <c r="K616" s="131" t="s">
        <v>42</v>
      </c>
      <c r="L616" s="438" t="s">
        <v>2855</v>
      </c>
      <c r="M616" s="194" t="s">
        <v>589</v>
      </c>
      <c r="N616" s="177" t="e" cm="1">
        <f t="array" aca="1" ref="N616" ca="1">_xlfn.XLOOKUP(Contrato5[[#This Row],[SUPERVISOR TITULAR]],[2]!PERSONAL_ACTIVO_2024[[#All],[Nombre completo]],[2]!PERSONAL_ACTIVO_2024[[#All],[Documento identidad]],"",0)</f>
        <v>#NAME?</v>
      </c>
      <c r="O616" s="194" t="s">
        <v>586</v>
      </c>
      <c r="P616" s="196" t="e" cm="1">
        <f t="array" aca="1" ref="P616" ca="1">_xlfn.XLOOKUP(Contrato5[[#This Row],[SUPERVISOR SUPLENTE ]],[2]!PERSONAL_ACTIVO_2024[[#All],[Nombre completo]],[2]!PERSONAL_ACTIVO_2024[[#All],[Documento identidad]],"",0)</f>
        <v>#NAME?</v>
      </c>
      <c r="Q616" s="170">
        <v>780</v>
      </c>
      <c r="R616" s="137" t="e" cm="1">
        <f t="array" aca="1" ref="R616" ca="1">_xlfn.XLOOKUP(Contrato5[[#This Row],[CDP]],[2]!DISPONIBILIDADES_2024[[#All],[consecutivo]],[2]!DISPONIBILIDADES_2024[[#All],[fecha_aprobacion]],"",0)</f>
        <v>#NAME?</v>
      </c>
      <c r="S616" s="138" t="e">
        <f>SUMIF([2]!DISPONIBILIDADES_2024[[#All],[consecutivo]],Contrato5[[#This Row],[CDP]],[2]!DISPONIBILIDADES_2024[[#All],[valor_total_rubro]])</f>
        <v>#REF!</v>
      </c>
      <c r="T616" s="139" t="e" cm="1">
        <f t="array" aca="1" ref="T616" ca="1">_xlfn.XLOOKUP(Contrato5[[#This Row],[CONTRATO]]&amp;Contrato5[[#This Row],[CDP]],[2]!Corr_Contr_CDP[[#All],[CONTRATO-CDP]],[2]!Corr_Contr_CDP[[#All],[CRP]],_xlfn.XLOOKUP(Contrato5[[#This Row],[CDP]],[2]!COMPROMISOS_2024[[#All],[disponibilidad]],[2]!COMPROMISOS_2024[[#All],[consecutivo]],"",0),0)</f>
        <v>#NAME?</v>
      </c>
      <c r="U616" s="140" t="e" cm="1">
        <f t="array" aca="1" ref="U616" ca="1">+_xlfn.XLOOKUP(Contrato5[[#This Row],[RCP]],[2]!COMPROMISOS_2024[[#All],[consecutivo]],[2]!COMPROMISOS_2024[[#All],[fecha_aprobacion]],"",0)</f>
        <v>#NAME?</v>
      </c>
      <c r="V616" s="141" t="e">
        <f ca="1">SUMIF([2]!COMPROMISOS_2024[[#All],[consecutivo]],Contrato5[[#This Row],[RCP]],[2]!COMPROMISOS_2024[[#All],[valor_total]])</f>
        <v>#REF!</v>
      </c>
      <c r="W616" s="160">
        <v>45516</v>
      </c>
      <c r="X616" s="160" t="s">
        <v>1045</v>
      </c>
      <c r="Y616" s="143">
        <v>45520</v>
      </c>
      <c r="Z616" s="262">
        <v>45643</v>
      </c>
      <c r="AA616" s="171" t="s">
        <v>2870</v>
      </c>
      <c r="AB616" s="172" t="s">
        <v>2871</v>
      </c>
      <c r="AC616" s="172"/>
      <c r="AD616" s="425">
        <v>202000005054</v>
      </c>
      <c r="AE616" s="147" t="s">
        <v>523</v>
      </c>
      <c r="AF616" s="148" t="str">
        <f>TEXT(LEFT(Contrato5[[#This Row],[CONTRATO]],3),"0")</f>
        <v>491</v>
      </c>
      <c r="AG616" s="148" t="str">
        <f>IF(LEN(Contrato5[[#This Row],[Contrato2]])=3,Contrato5[[#This Row],[Contrato2]],TEXT(Contrato5[[#This Row],[Contrato2]],"000"))</f>
        <v>491</v>
      </c>
      <c r="AH616" s="149">
        <f ca="1">IFERROR(_xlfn.DAYS(Contrato5[[#This Row],[Fecha Proyectada liquidación]],TODAY())/30,"")</f>
        <v>0.16666666666666666</v>
      </c>
      <c r="AI616" s="150">
        <f>+Contrato5[[#This Row],[FECHA TERMINACIÓN ]]+120</f>
        <v>45763</v>
      </c>
      <c r="AJ616" s="147"/>
      <c r="AK616" s="152" t="str">
        <f ca="1">IF(Contrato5[[#This Row],[FECHA TERMINACIÓN ]]&lt;TODAY(), "Terminado",IF(ISNUMBER(Contrato5[[#This Row],[Fecha Real de liquiidación ]]),"Liquidado",IF(Contrato5[[#This Row],[FECHA TERMINACIÓN ]]&gt;=TODAY(),"En ejecución","")))</f>
        <v>Terminado</v>
      </c>
      <c r="AL616" s="153" t="e">
        <f ca="1">SUMIF([2]!COMPROMISOS_2024[[#All],[consecutivo]],Contrato5[[#This Row],[RCP]],[2]!COMPROMISOS_2024[[#All],[Total pagado]])</f>
        <v>#REF!</v>
      </c>
      <c r="AM616" s="154">
        <f ca="1">IFERROR(Contrato5[[#This Row],[Pagos]]/Contrato5[[#This Row],[VALOR CONTRATO]],0)</f>
        <v>0</v>
      </c>
      <c r="AN616" s="198" t="e">
        <f ca="1">+Contrato5[[#This Row],[VALOR CONTRATO]]-Contrato5[[#This Row],[Pagos]]</f>
        <v>#REF!</v>
      </c>
      <c r="AO616" s="147" t="e" cm="1">
        <f t="array" aca="1" ref="AO616" ca="1">_xlfn.XLOOKUP(Contrato5[[#This Row],[DOCUMENTO ]],[2]!PERSONAL_ACTIVO_2024[[#All],[Documento identidad]],[2]!PERSONAL_ACTIVO_2024[[#All],[Mail ]],0,0)</f>
        <v>#NAME?</v>
      </c>
      <c r="AP616" s="147" t="e" cm="1">
        <f t="array" aca="1" ref="AP616" ca="1">_xlfn.XLOOKUP(Contrato5[[#This Row],[DOCUMENTO]],[2]!PERSONAL_ACTIVO_2024[[#All],[Documento identidad]],[2]!PERSONAL_ACTIVO_2024[[#All],[Mail ]],0,0)</f>
        <v>#NAME?</v>
      </c>
      <c r="AQ616" s="439" cm="1">
        <f t="array" aca="1" ref="AQ616" ca="1">IF(ISBLANK(Contrato5[[#This Row],[DEPENDENCIA ]]),0,IFERROR(_xlfn.XLOOKUP(Contrato5[[#This Row],[DEPENDENCIA ]],[2]!PERSONAL_ACTIVO_2024[[#All],[Dependencia]],[2]!PERSONAL_ACTIVO_2024[[#All],[Mail ]],0,0),0))</f>
        <v>0</v>
      </c>
    </row>
    <row r="617" spans="1:43" ht="34.5" customHeight="1">
      <c r="A617" s="125">
        <v>880</v>
      </c>
      <c r="B617" s="124">
        <v>492</v>
      </c>
      <c r="C617" s="162" t="s">
        <v>1980</v>
      </c>
      <c r="D617" s="227" t="s">
        <v>583</v>
      </c>
      <c r="E617" s="440" t="s">
        <v>94</v>
      </c>
      <c r="F617" s="227" t="s">
        <v>1376</v>
      </c>
      <c r="G617" s="281" t="s">
        <v>2897</v>
      </c>
      <c r="H617" s="436">
        <v>71734412</v>
      </c>
      <c r="I617" s="273">
        <v>3952382</v>
      </c>
      <c r="J617" s="505">
        <v>16073020</v>
      </c>
      <c r="K617" s="131" t="s">
        <v>42</v>
      </c>
      <c r="L617" s="438" t="s">
        <v>2855</v>
      </c>
      <c r="M617" s="194" t="s">
        <v>589</v>
      </c>
      <c r="N617" s="177" t="e" cm="1">
        <f t="array" aca="1" ref="N617" ca="1">_xlfn.XLOOKUP(Contrato5[[#This Row],[SUPERVISOR TITULAR]],[2]!PERSONAL_ACTIVO_2024[[#All],[Nombre completo]],[2]!PERSONAL_ACTIVO_2024[[#All],[Documento identidad]],"",0)</f>
        <v>#NAME?</v>
      </c>
      <c r="O617" s="194" t="s">
        <v>586</v>
      </c>
      <c r="P617" s="196" t="e" cm="1">
        <f t="array" aca="1" ref="P617" ca="1">_xlfn.XLOOKUP(Contrato5[[#This Row],[SUPERVISOR SUPLENTE ]],[2]!PERSONAL_ACTIVO_2024[[#All],[Nombre completo]],[2]!PERSONAL_ACTIVO_2024[[#All],[Documento identidad]],"",0)</f>
        <v>#NAME?</v>
      </c>
      <c r="Q617" s="170">
        <v>730</v>
      </c>
      <c r="R617" s="137" t="e" cm="1">
        <f t="array" aca="1" ref="R617" ca="1">_xlfn.XLOOKUP(Contrato5[[#This Row],[CDP]],[2]!DISPONIBILIDADES_2024[[#All],[consecutivo]],[2]!DISPONIBILIDADES_2024[[#All],[fecha_aprobacion]],"",0)</f>
        <v>#NAME?</v>
      </c>
      <c r="S617" s="138" t="e">
        <f>SUMIF([2]!DISPONIBILIDADES_2024[[#All],[consecutivo]],Contrato5[[#This Row],[CDP]],[2]!DISPONIBILIDADES_2024[[#All],[valor_total_rubro]])</f>
        <v>#REF!</v>
      </c>
      <c r="T617" s="139" t="e" cm="1">
        <f t="array" aca="1" ref="T617" ca="1">_xlfn.XLOOKUP(Contrato5[[#This Row],[CONTRATO]]&amp;Contrato5[[#This Row],[CDP]],[2]!Corr_Contr_CDP[[#All],[CONTRATO-CDP]],[2]!Corr_Contr_CDP[[#All],[CRP]],_xlfn.XLOOKUP(Contrato5[[#This Row],[CDP]],[2]!COMPROMISOS_2024[[#All],[disponibilidad]],[2]!COMPROMISOS_2024[[#All],[consecutivo]],"",0),0)</f>
        <v>#NAME?</v>
      </c>
      <c r="U617" s="140" t="e" cm="1">
        <f t="array" aca="1" ref="U617" ca="1">+_xlfn.XLOOKUP(Contrato5[[#This Row],[RCP]],[2]!COMPROMISOS_2024[[#All],[consecutivo]],[2]!COMPROMISOS_2024[[#All],[fecha_aprobacion]],"",0)</f>
        <v>#NAME?</v>
      </c>
      <c r="V617" s="141" t="e">
        <f ca="1">SUMIF([2]!COMPROMISOS_2024[[#All],[consecutivo]],Contrato5[[#This Row],[RCP]],[2]!COMPROMISOS_2024[[#All],[valor_total]])</f>
        <v>#REF!</v>
      </c>
      <c r="W617" s="160">
        <v>45517</v>
      </c>
      <c r="X617" s="160" t="s">
        <v>1045</v>
      </c>
      <c r="Y617" s="143">
        <v>45520</v>
      </c>
      <c r="Z617" s="262">
        <v>45643</v>
      </c>
      <c r="AA617" s="171" t="s">
        <v>2870</v>
      </c>
      <c r="AB617" s="172" t="s">
        <v>2871</v>
      </c>
      <c r="AC617" s="172"/>
      <c r="AD617" s="425">
        <v>202000005055</v>
      </c>
      <c r="AE617" s="147" t="s">
        <v>523</v>
      </c>
      <c r="AF617" s="148" t="str">
        <f>TEXT(LEFT(Contrato5[[#This Row],[CONTRATO]],3),"0")</f>
        <v>492</v>
      </c>
      <c r="AG617" s="148" t="str">
        <f>IF(LEN(Contrato5[[#This Row],[Contrato2]])=3,Contrato5[[#This Row],[Contrato2]],TEXT(Contrato5[[#This Row],[Contrato2]],"000"))</f>
        <v>492</v>
      </c>
      <c r="AH617" s="149">
        <f ca="1">IFERROR(_xlfn.DAYS(Contrato5[[#This Row],[Fecha Proyectada liquidación]],TODAY())/30,"")</f>
        <v>0.16666666666666666</v>
      </c>
      <c r="AI617" s="150">
        <f>+Contrato5[[#This Row],[FECHA TERMINACIÓN ]]+120</f>
        <v>45763</v>
      </c>
      <c r="AJ617" s="147"/>
      <c r="AK617" s="152" t="str">
        <f ca="1">IF(Contrato5[[#This Row],[FECHA TERMINACIÓN ]]&lt;TODAY(), "Terminado",IF(ISNUMBER(Contrato5[[#This Row],[Fecha Real de liquiidación ]]),"Liquidado",IF(Contrato5[[#This Row],[FECHA TERMINACIÓN ]]&gt;=TODAY(),"En ejecución","")))</f>
        <v>Terminado</v>
      </c>
      <c r="AL617" s="153" t="e">
        <f ca="1">SUMIF([2]!COMPROMISOS_2024[[#All],[consecutivo]],Contrato5[[#This Row],[RCP]],[2]!COMPROMISOS_2024[[#All],[Total pagado]])</f>
        <v>#REF!</v>
      </c>
      <c r="AM617" s="154">
        <f ca="1">IFERROR(Contrato5[[#This Row],[Pagos]]/Contrato5[[#This Row],[VALOR CONTRATO]],0)</f>
        <v>0</v>
      </c>
      <c r="AN617" s="198" t="e">
        <f ca="1">+Contrato5[[#This Row],[VALOR CONTRATO]]-Contrato5[[#This Row],[Pagos]]</f>
        <v>#REF!</v>
      </c>
      <c r="AO617" s="147" t="e" cm="1">
        <f t="array" aca="1" ref="AO617" ca="1">_xlfn.XLOOKUP(Contrato5[[#This Row],[DOCUMENTO ]],[2]!PERSONAL_ACTIVO_2024[[#All],[Documento identidad]],[2]!PERSONAL_ACTIVO_2024[[#All],[Mail ]],0,0)</f>
        <v>#NAME?</v>
      </c>
      <c r="AP617" s="147" t="e" cm="1">
        <f t="array" aca="1" ref="AP617" ca="1">_xlfn.XLOOKUP(Contrato5[[#This Row],[DOCUMENTO]],[2]!PERSONAL_ACTIVO_2024[[#All],[Documento identidad]],[2]!PERSONAL_ACTIVO_2024[[#All],[Mail ]],0,0)</f>
        <v>#NAME?</v>
      </c>
      <c r="AQ617" s="439" cm="1">
        <f t="array" aca="1" ref="AQ617" ca="1">IF(ISBLANK(Contrato5[[#This Row],[DEPENDENCIA ]]),0,IFERROR(_xlfn.XLOOKUP(Contrato5[[#This Row],[DEPENDENCIA ]],[2]!PERSONAL_ACTIVO_2024[[#All],[Dependencia]],[2]!PERSONAL_ACTIVO_2024[[#All],[Mail ]],0,0),0))</f>
        <v>0</v>
      </c>
    </row>
    <row r="618" spans="1:43" ht="34.5" customHeight="1">
      <c r="A618" s="125">
        <v>881</v>
      </c>
      <c r="B618" s="124">
        <v>493</v>
      </c>
      <c r="C618" s="162" t="s">
        <v>1981</v>
      </c>
      <c r="D618" s="227" t="s">
        <v>583</v>
      </c>
      <c r="E618" s="440" t="s">
        <v>94</v>
      </c>
      <c r="F618" s="227" t="s">
        <v>1376</v>
      </c>
      <c r="G618" s="281" t="s">
        <v>679</v>
      </c>
      <c r="H618" s="436">
        <v>43209715</v>
      </c>
      <c r="I618" s="273">
        <v>3952382</v>
      </c>
      <c r="J618" s="505">
        <v>16073020</v>
      </c>
      <c r="K618" s="131" t="s">
        <v>42</v>
      </c>
      <c r="L618" s="438" t="s">
        <v>2855</v>
      </c>
      <c r="M618" s="194" t="s">
        <v>589</v>
      </c>
      <c r="N618" s="177" t="e" cm="1">
        <f t="array" aca="1" ref="N618" ca="1">_xlfn.XLOOKUP(Contrato5[[#This Row],[SUPERVISOR TITULAR]],[2]!PERSONAL_ACTIVO_2024[[#All],[Nombre completo]],[2]!PERSONAL_ACTIVO_2024[[#All],[Documento identidad]],"",0)</f>
        <v>#NAME?</v>
      </c>
      <c r="O618" s="194" t="s">
        <v>586</v>
      </c>
      <c r="P618" s="196" t="e" cm="1">
        <f t="array" aca="1" ref="P618" ca="1">_xlfn.XLOOKUP(Contrato5[[#This Row],[SUPERVISOR SUPLENTE ]],[2]!PERSONAL_ACTIVO_2024[[#All],[Nombre completo]],[2]!PERSONAL_ACTIVO_2024[[#All],[Documento identidad]],"",0)</f>
        <v>#NAME?</v>
      </c>
      <c r="Q618" s="170">
        <v>731</v>
      </c>
      <c r="R618" s="137" t="e" cm="1">
        <f t="array" aca="1" ref="R618" ca="1">_xlfn.XLOOKUP(Contrato5[[#This Row],[CDP]],[2]!DISPONIBILIDADES_2024[[#All],[consecutivo]],[2]!DISPONIBILIDADES_2024[[#All],[fecha_aprobacion]],"",0)</f>
        <v>#NAME?</v>
      </c>
      <c r="S618" s="138" t="e">
        <f>SUMIF([2]!DISPONIBILIDADES_2024[[#All],[consecutivo]],Contrato5[[#This Row],[CDP]],[2]!DISPONIBILIDADES_2024[[#All],[valor_total_rubro]])</f>
        <v>#REF!</v>
      </c>
      <c r="T618" s="139" t="e" cm="1">
        <f t="array" aca="1" ref="T618" ca="1">_xlfn.XLOOKUP(Contrato5[[#This Row],[CONTRATO]]&amp;Contrato5[[#This Row],[CDP]],[2]!Corr_Contr_CDP[[#All],[CONTRATO-CDP]],[2]!Corr_Contr_CDP[[#All],[CRP]],_xlfn.XLOOKUP(Contrato5[[#This Row],[CDP]],[2]!COMPROMISOS_2024[[#All],[disponibilidad]],[2]!COMPROMISOS_2024[[#All],[consecutivo]],"",0),0)</f>
        <v>#NAME?</v>
      </c>
      <c r="U618" s="140" t="e" cm="1">
        <f t="array" aca="1" ref="U618" ca="1">+_xlfn.XLOOKUP(Contrato5[[#This Row],[RCP]],[2]!COMPROMISOS_2024[[#All],[consecutivo]],[2]!COMPROMISOS_2024[[#All],[fecha_aprobacion]],"",0)</f>
        <v>#NAME?</v>
      </c>
      <c r="V618" s="141" t="e">
        <f ca="1">SUMIF([2]!COMPROMISOS_2024[[#All],[consecutivo]],Contrato5[[#This Row],[RCP]],[2]!COMPROMISOS_2024[[#All],[valor_total]])</f>
        <v>#REF!</v>
      </c>
      <c r="W618" s="160">
        <v>45516</v>
      </c>
      <c r="X618" s="160" t="s">
        <v>1045</v>
      </c>
      <c r="Y618" s="143">
        <v>45520</v>
      </c>
      <c r="Z618" s="262">
        <v>45643</v>
      </c>
      <c r="AA618" s="171" t="s">
        <v>2870</v>
      </c>
      <c r="AB618" s="172" t="s">
        <v>2871</v>
      </c>
      <c r="AC618" s="172"/>
      <c r="AD618" s="425">
        <v>202000005056</v>
      </c>
      <c r="AE618" s="147" t="s">
        <v>523</v>
      </c>
      <c r="AF618" s="148" t="str">
        <f>TEXT(LEFT(Contrato5[[#This Row],[CONTRATO]],3),"0")</f>
        <v>493</v>
      </c>
      <c r="AG618" s="148" t="str">
        <f>IF(LEN(Contrato5[[#This Row],[Contrato2]])=3,Contrato5[[#This Row],[Contrato2]],TEXT(Contrato5[[#This Row],[Contrato2]],"000"))</f>
        <v>493</v>
      </c>
      <c r="AH618" s="149">
        <f ca="1">IFERROR(_xlfn.DAYS(Contrato5[[#This Row],[Fecha Proyectada liquidación]],TODAY())/30,"")</f>
        <v>0.16666666666666666</v>
      </c>
      <c r="AI618" s="150">
        <f>+Contrato5[[#This Row],[FECHA TERMINACIÓN ]]+120</f>
        <v>45763</v>
      </c>
      <c r="AJ618" s="147"/>
      <c r="AK618" s="152" t="str">
        <f ca="1">IF(Contrato5[[#This Row],[FECHA TERMINACIÓN ]]&lt;TODAY(), "Terminado",IF(ISNUMBER(Contrato5[[#This Row],[Fecha Real de liquiidación ]]),"Liquidado",IF(Contrato5[[#This Row],[FECHA TERMINACIÓN ]]&gt;=TODAY(),"En ejecución","")))</f>
        <v>Terminado</v>
      </c>
      <c r="AL618" s="153" t="e">
        <f ca="1">SUMIF([2]!COMPROMISOS_2024[[#All],[consecutivo]],Contrato5[[#This Row],[RCP]],[2]!COMPROMISOS_2024[[#All],[Total pagado]])</f>
        <v>#REF!</v>
      </c>
      <c r="AM618" s="154">
        <f ca="1">IFERROR(Contrato5[[#This Row],[Pagos]]/Contrato5[[#This Row],[VALOR CONTRATO]],0)</f>
        <v>0</v>
      </c>
      <c r="AN618" s="198" t="e">
        <f ca="1">+Contrato5[[#This Row],[VALOR CONTRATO]]-Contrato5[[#This Row],[Pagos]]</f>
        <v>#REF!</v>
      </c>
      <c r="AO618" s="147" t="e" cm="1">
        <f t="array" aca="1" ref="AO618" ca="1">_xlfn.XLOOKUP(Contrato5[[#This Row],[DOCUMENTO ]],[2]!PERSONAL_ACTIVO_2024[[#All],[Documento identidad]],[2]!PERSONAL_ACTIVO_2024[[#All],[Mail ]],0,0)</f>
        <v>#NAME?</v>
      </c>
      <c r="AP618" s="147" t="e" cm="1">
        <f t="array" aca="1" ref="AP618" ca="1">_xlfn.XLOOKUP(Contrato5[[#This Row],[DOCUMENTO]],[2]!PERSONAL_ACTIVO_2024[[#All],[Documento identidad]],[2]!PERSONAL_ACTIVO_2024[[#All],[Mail ]],0,0)</f>
        <v>#NAME?</v>
      </c>
      <c r="AQ618" s="439" cm="1">
        <f t="array" aca="1" ref="AQ618" ca="1">IF(ISBLANK(Contrato5[[#This Row],[DEPENDENCIA ]]),0,IFERROR(_xlfn.XLOOKUP(Contrato5[[#This Row],[DEPENDENCIA ]],[2]!PERSONAL_ACTIVO_2024[[#All],[Dependencia]],[2]!PERSONAL_ACTIVO_2024[[#All],[Mail ]],0,0),0))</f>
        <v>0</v>
      </c>
    </row>
    <row r="619" spans="1:43" ht="34.5" customHeight="1">
      <c r="A619" s="125">
        <v>882</v>
      </c>
      <c r="B619" s="124">
        <v>494</v>
      </c>
      <c r="C619" s="162" t="s">
        <v>1983</v>
      </c>
      <c r="D619" s="227" t="s">
        <v>583</v>
      </c>
      <c r="E619" s="440" t="s">
        <v>94</v>
      </c>
      <c r="F619" s="227" t="s">
        <v>1376</v>
      </c>
      <c r="G619" s="281" t="s">
        <v>2898</v>
      </c>
      <c r="H619" s="436">
        <v>1037600702</v>
      </c>
      <c r="I619" s="273">
        <v>3952382</v>
      </c>
      <c r="J619" s="505">
        <v>15677782</v>
      </c>
      <c r="K619" s="131" t="s">
        <v>42</v>
      </c>
      <c r="L619" s="438" t="s">
        <v>2855</v>
      </c>
      <c r="M619" s="194" t="s">
        <v>589</v>
      </c>
      <c r="N619" s="177" t="e" cm="1">
        <f t="array" aca="1" ref="N619" ca="1">_xlfn.XLOOKUP(Contrato5[[#This Row],[SUPERVISOR TITULAR]],[2]!PERSONAL_ACTIVO_2024[[#All],[Nombre completo]],[2]!PERSONAL_ACTIVO_2024[[#All],[Documento identidad]],"",0)</f>
        <v>#NAME?</v>
      </c>
      <c r="O619" s="194" t="s">
        <v>586</v>
      </c>
      <c r="P619" s="196" t="e" cm="1">
        <f t="array" aca="1" ref="P619" ca="1">_xlfn.XLOOKUP(Contrato5[[#This Row],[SUPERVISOR SUPLENTE ]],[2]!PERSONAL_ACTIVO_2024[[#All],[Nombre completo]],[2]!PERSONAL_ACTIVO_2024[[#All],[Documento identidad]],"",0)</f>
        <v>#NAME?</v>
      </c>
      <c r="Q619" s="170">
        <v>781</v>
      </c>
      <c r="R619" s="137" t="e" cm="1">
        <f t="array" aca="1" ref="R619" ca="1">_xlfn.XLOOKUP(Contrato5[[#This Row],[CDP]],[2]!DISPONIBILIDADES_2024[[#All],[consecutivo]],[2]!DISPONIBILIDADES_2024[[#All],[fecha_aprobacion]],"",0)</f>
        <v>#NAME?</v>
      </c>
      <c r="S619" s="138" t="e">
        <f>SUMIF([2]!DISPONIBILIDADES_2024[[#All],[consecutivo]],Contrato5[[#This Row],[CDP]],[2]!DISPONIBILIDADES_2024[[#All],[valor_total_rubro]])</f>
        <v>#REF!</v>
      </c>
      <c r="T619" s="139" t="e" cm="1">
        <f t="array" aca="1" ref="T619" ca="1">_xlfn.XLOOKUP(Contrato5[[#This Row],[CONTRATO]]&amp;Contrato5[[#This Row],[CDP]],[2]!Corr_Contr_CDP[[#All],[CONTRATO-CDP]],[2]!Corr_Contr_CDP[[#All],[CRP]],_xlfn.XLOOKUP(Contrato5[[#This Row],[CDP]],[2]!COMPROMISOS_2024[[#All],[disponibilidad]],[2]!COMPROMISOS_2024[[#All],[consecutivo]],"",0),0)</f>
        <v>#NAME?</v>
      </c>
      <c r="U619" s="140" t="e" cm="1">
        <f t="array" aca="1" ref="U619" ca="1">+_xlfn.XLOOKUP(Contrato5[[#This Row],[RCP]],[2]!COMPROMISOS_2024[[#All],[consecutivo]],[2]!COMPROMISOS_2024[[#All],[fecha_aprobacion]],"",0)</f>
        <v>#NAME?</v>
      </c>
      <c r="V619" s="141" t="e">
        <f ca="1">SUMIF([2]!COMPROMISOS_2024[[#All],[consecutivo]],Contrato5[[#This Row],[RCP]],[2]!COMPROMISOS_2024[[#All],[valor_total]])</f>
        <v>#REF!</v>
      </c>
      <c r="W619" s="160">
        <v>45516</v>
      </c>
      <c r="X619" s="160" t="s">
        <v>1045</v>
      </c>
      <c r="Y619" s="143">
        <v>45523</v>
      </c>
      <c r="Z619" s="262">
        <v>45643</v>
      </c>
      <c r="AA619" s="171" t="s">
        <v>2870</v>
      </c>
      <c r="AB619" s="172" t="s">
        <v>2899</v>
      </c>
      <c r="AC619" s="172"/>
      <c r="AD619" s="425">
        <v>202000005057</v>
      </c>
      <c r="AE619" s="147" t="s">
        <v>523</v>
      </c>
      <c r="AF619" s="148" t="str">
        <f>TEXT(LEFT(Contrato5[[#This Row],[CONTRATO]],3),"0")</f>
        <v>494</v>
      </c>
      <c r="AG619" s="148" t="str">
        <f>IF(LEN(Contrato5[[#This Row],[Contrato2]])=3,Contrato5[[#This Row],[Contrato2]],TEXT(Contrato5[[#This Row],[Contrato2]],"000"))</f>
        <v>494</v>
      </c>
      <c r="AH619" s="149">
        <f ca="1">IFERROR(_xlfn.DAYS(Contrato5[[#This Row],[Fecha Proyectada liquidación]],TODAY())/30,"")</f>
        <v>0.16666666666666666</v>
      </c>
      <c r="AI619" s="150">
        <f>+Contrato5[[#This Row],[FECHA TERMINACIÓN ]]+120</f>
        <v>45763</v>
      </c>
      <c r="AJ619" s="147"/>
      <c r="AK619" s="152" t="str">
        <f ca="1">IF(Contrato5[[#This Row],[FECHA TERMINACIÓN ]]&lt;TODAY(), "Terminado",IF(ISNUMBER(Contrato5[[#This Row],[Fecha Real de liquiidación ]]),"Liquidado",IF(Contrato5[[#This Row],[FECHA TERMINACIÓN ]]&gt;=TODAY(),"En ejecución","")))</f>
        <v>Terminado</v>
      </c>
      <c r="AL619" s="153" t="e">
        <f ca="1">SUMIF([2]!COMPROMISOS_2024[[#All],[consecutivo]],Contrato5[[#This Row],[RCP]],[2]!COMPROMISOS_2024[[#All],[Total pagado]])</f>
        <v>#REF!</v>
      </c>
      <c r="AM619" s="154">
        <f ca="1">IFERROR(Contrato5[[#This Row],[Pagos]]/Contrato5[[#This Row],[VALOR CONTRATO]],0)</f>
        <v>0</v>
      </c>
      <c r="AN619" s="198" t="e">
        <f ca="1">+Contrato5[[#This Row],[VALOR CONTRATO]]-Contrato5[[#This Row],[Pagos]]</f>
        <v>#REF!</v>
      </c>
      <c r="AO619" s="147" t="e" cm="1">
        <f t="array" aca="1" ref="AO619" ca="1">_xlfn.XLOOKUP(Contrato5[[#This Row],[DOCUMENTO ]],[2]!PERSONAL_ACTIVO_2024[[#All],[Documento identidad]],[2]!PERSONAL_ACTIVO_2024[[#All],[Mail ]],0,0)</f>
        <v>#NAME?</v>
      </c>
      <c r="AP619" s="147" t="e" cm="1">
        <f t="array" aca="1" ref="AP619" ca="1">_xlfn.XLOOKUP(Contrato5[[#This Row],[DOCUMENTO]],[2]!PERSONAL_ACTIVO_2024[[#All],[Documento identidad]],[2]!PERSONAL_ACTIVO_2024[[#All],[Mail ]],0,0)</f>
        <v>#NAME?</v>
      </c>
      <c r="AQ619" s="439" cm="1">
        <f t="array" aca="1" ref="AQ619" ca="1">IF(ISBLANK(Contrato5[[#This Row],[DEPENDENCIA ]]),0,IFERROR(_xlfn.XLOOKUP(Contrato5[[#This Row],[DEPENDENCIA ]],[2]!PERSONAL_ACTIVO_2024[[#All],[Dependencia]],[2]!PERSONAL_ACTIVO_2024[[#All],[Mail ]],0,0),0))</f>
        <v>0</v>
      </c>
    </row>
    <row r="620" spans="1:43" ht="34.5" customHeight="1">
      <c r="A620" s="125">
        <v>883</v>
      </c>
      <c r="B620" s="124">
        <v>495</v>
      </c>
      <c r="C620" s="162" t="s">
        <v>1979</v>
      </c>
      <c r="D620" s="227" t="s">
        <v>583</v>
      </c>
      <c r="E620" s="440" t="s">
        <v>94</v>
      </c>
      <c r="F620" s="227" t="s">
        <v>1376</v>
      </c>
      <c r="G620" s="281" t="s">
        <v>681</v>
      </c>
      <c r="H620" s="436">
        <v>1027966747</v>
      </c>
      <c r="I620" s="273">
        <v>4908936</v>
      </c>
      <c r="J620" s="505">
        <v>19963006</v>
      </c>
      <c r="K620" s="131" t="s">
        <v>42</v>
      </c>
      <c r="L620" s="438" t="s">
        <v>2855</v>
      </c>
      <c r="M620" s="194" t="s">
        <v>589</v>
      </c>
      <c r="N620" s="177" t="e" cm="1">
        <f t="array" aca="1" ref="N620" ca="1">_xlfn.XLOOKUP(Contrato5[[#This Row],[SUPERVISOR TITULAR]],[2]!PERSONAL_ACTIVO_2024[[#All],[Nombre completo]],[2]!PERSONAL_ACTIVO_2024[[#All],[Documento identidad]],"",0)</f>
        <v>#NAME?</v>
      </c>
      <c r="O620" s="194" t="s">
        <v>586</v>
      </c>
      <c r="P620" s="196" t="e" cm="1">
        <f t="array" aca="1" ref="P620" ca="1">_xlfn.XLOOKUP(Contrato5[[#This Row],[SUPERVISOR SUPLENTE ]],[2]!PERSONAL_ACTIVO_2024[[#All],[Nombre completo]],[2]!PERSONAL_ACTIVO_2024[[#All],[Documento identidad]],"",0)</f>
        <v>#NAME?</v>
      </c>
      <c r="Q620" s="170">
        <v>782</v>
      </c>
      <c r="R620" s="137" t="e" cm="1">
        <f t="array" aca="1" ref="R620" ca="1">_xlfn.XLOOKUP(Contrato5[[#This Row],[CDP]],[2]!DISPONIBILIDADES_2024[[#All],[consecutivo]],[2]!DISPONIBILIDADES_2024[[#All],[fecha_aprobacion]],"",0)</f>
        <v>#NAME?</v>
      </c>
      <c r="S620" s="138" t="e">
        <f>SUMIF([2]!DISPONIBILIDADES_2024[[#All],[consecutivo]],Contrato5[[#This Row],[CDP]],[2]!DISPONIBILIDADES_2024[[#All],[valor_total_rubro]])</f>
        <v>#REF!</v>
      </c>
      <c r="T620" s="139" t="e" cm="1">
        <f t="array" aca="1" ref="T620" ca="1">_xlfn.XLOOKUP(Contrato5[[#This Row],[CONTRATO]]&amp;Contrato5[[#This Row],[CDP]],[2]!Corr_Contr_CDP[[#All],[CONTRATO-CDP]],[2]!Corr_Contr_CDP[[#All],[CRP]],_xlfn.XLOOKUP(Contrato5[[#This Row],[CDP]],[2]!COMPROMISOS_2024[[#All],[disponibilidad]],[2]!COMPROMISOS_2024[[#All],[consecutivo]],"",0),0)</f>
        <v>#NAME?</v>
      </c>
      <c r="U620" s="140" t="e" cm="1">
        <f t="array" aca="1" ref="U620" ca="1">+_xlfn.XLOOKUP(Contrato5[[#This Row],[RCP]],[2]!COMPROMISOS_2024[[#All],[consecutivo]],[2]!COMPROMISOS_2024[[#All],[fecha_aprobacion]],"",0)</f>
        <v>#NAME?</v>
      </c>
      <c r="V620" s="141" t="e">
        <f ca="1">SUMIF([2]!COMPROMISOS_2024[[#All],[consecutivo]],Contrato5[[#This Row],[RCP]],[2]!COMPROMISOS_2024[[#All],[valor_total]])</f>
        <v>#REF!</v>
      </c>
      <c r="W620" s="160">
        <v>45516</v>
      </c>
      <c r="X620" s="160" t="s">
        <v>1045</v>
      </c>
      <c r="Y620" s="143">
        <v>45520</v>
      </c>
      <c r="Z620" s="262">
        <v>45643</v>
      </c>
      <c r="AA620" s="171" t="s">
        <v>2873</v>
      </c>
      <c r="AB620" s="172" t="s">
        <v>2871</v>
      </c>
      <c r="AC620" s="172"/>
      <c r="AD620" s="425">
        <v>202000005058</v>
      </c>
      <c r="AE620" s="147" t="s">
        <v>523</v>
      </c>
      <c r="AF620" s="148" t="str">
        <f>TEXT(LEFT(Contrato5[[#This Row],[CONTRATO]],3),"0")</f>
        <v>495</v>
      </c>
      <c r="AG620" s="148" t="str">
        <f>IF(LEN(Contrato5[[#This Row],[Contrato2]])=3,Contrato5[[#This Row],[Contrato2]],TEXT(Contrato5[[#This Row],[Contrato2]],"000"))</f>
        <v>495</v>
      </c>
      <c r="AH620" s="149">
        <f ca="1">IFERROR(_xlfn.DAYS(Contrato5[[#This Row],[Fecha Proyectada liquidación]],TODAY())/30,"")</f>
        <v>0.16666666666666666</v>
      </c>
      <c r="AI620" s="150">
        <f>+Contrato5[[#This Row],[FECHA TERMINACIÓN ]]+120</f>
        <v>45763</v>
      </c>
      <c r="AJ620" s="147"/>
      <c r="AK620" s="152" t="str">
        <f ca="1">IF(Contrato5[[#This Row],[FECHA TERMINACIÓN ]]&lt;TODAY(), "Terminado",IF(ISNUMBER(Contrato5[[#This Row],[Fecha Real de liquiidación ]]),"Liquidado",IF(Contrato5[[#This Row],[FECHA TERMINACIÓN ]]&gt;=TODAY(),"En ejecución","")))</f>
        <v>Terminado</v>
      </c>
      <c r="AL620" s="153" t="e">
        <f ca="1">SUMIF([2]!COMPROMISOS_2024[[#All],[consecutivo]],Contrato5[[#This Row],[RCP]],[2]!COMPROMISOS_2024[[#All],[Total pagado]])</f>
        <v>#REF!</v>
      </c>
      <c r="AM620" s="154">
        <f ca="1">IFERROR(Contrato5[[#This Row],[Pagos]]/Contrato5[[#This Row],[VALOR CONTRATO]],0)</f>
        <v>0</v>
      </c>
      <c r="AN620" s="198" t="e">
        <f ca="1">+Contrato5[[#This Row],[VALOR CONTRATO]]-Contrato5[[#This Row],[Pagos]]</f>
        <v>#REF!</v>
      </c>
      <c r="AO620" s="147" t="e" cm="1">
        <f t="array" aca="1" ref="AO620" ca="1">_xlfn.XLOOKUP(Contrato5[[#This Row],[DOCUMENTO ]],[2]!PERSONAL_ACTIVO_2024[[#All],[Documento identidad]],[2]!PERSONAL_ACTIVO_2024[[#All],[Mail ]],0,0)</f>
        <v>#NAME?</v>
      </c>
      <c r="AP620" s="147" t="e" cm="1">
        <f t="array" aca="1" ref="AP620" ca="1">_xlfn.XLOOKUP(Contrato5[[#This Row],[DOCUMENTO]],[2]!PERSONAL_ACTIVO_2024[[#All],[Documento identidad]],[2]!PERSONAL_ACTIVO_2024[[#All],[Mail ]],0,0)</f>
        <v>#NAME?</v>
      </c>
      <c r="AQ620" s="439" cm="1">
        <f t="array" aca="1" ref="AQ620" ca="1">IF(ISBLANK(Contrato5[[#This Row],[DEPENDENCIA ]]),0,IFERROR(_xlfn.XLOOKUP(Contrato5[[#This Row],[DEPENDENCIA ]],[2]!PERSONAL_ACTIVO_2024[[#All],[Dependencia]],[2]!PERSONAL_ACTIVO_2024[[#All],[Mail ]],0,0),0))</f>
        <v>0</v>
      </c>
    </row>
    <row r="621" spans="1:43" ht="34.5" customHeight="1">
      <c r="A621" s="125">
        <v>884</v>
      </c>
      <c r="B621" s="124">
        <v>496</v>
      </c>
      <c r="C621" s="162" t="s">
        <v>1984</v>
      </c>
      <c r="D621" s="227" t="s">
        <v>583</v>
      </c>
      <c r="E621" s="440" t="s">
        <v>94</v>
      </c>
      <c r="F621" s="227" t="s">
        <v>1376</v>
      </c>
      <c r="G621" s="281" t="s">
        <v>682</v>
      </c>
      <c r="H621" s="436">
        <v>71744403</v>
      </c>
      <c r="I621" s="273">
        <v>3952382</v>
      </c>
      <c r="J621" s="505">
        <v>16073020</v>
      </c>
      <c r="K621" s="131" t="s">
        <v>42</v>
      </c>
      <c r="L621" s="438" t="s">
        <v>2855</v>
      </c>
      <c r="M621" s="194" t="s">
        <v>589</v>
      </c>
      <c r="N621" s="177" t="e" cm="1">
        <f t="array" aca="1" ref="N621" ca="1">_xlfn.XLOOKUP(Contrato5[[#This Row],[SUPERVISOR TITULAR]],[2]!PERSONAL_ACTIVO_2024[[#All],[Nombre completo]],[2]!PERSONAL_ACTIVO_2024[[#All],[Documento identidad]],"",0)</f>
        <v>#NAME?</v>
      </c>
      <c r="O621" s="194" t="s">
        <v>586</v>
      </c>
      <c r="P621" s="196" t="e" cm="1">
        <f t="array" aca="1" ref="P621" ca="1">_xlfn.XLOOKUP(Contrato5[[#This Row],[SUPERVISOR SUPLENTE ]],[2]!PERSONAL_ACTIVO_2024[[#All],[Nombre completo]],[2]!PERSONAL_ACTIVO_2024[[#All],[Documento identidad]],"",0)</f>
        <v>#NAME?</v>
      </c>
      <c r="Q621" s="170">
        <v>732</v>
      </c>
      <c r="R621" s="137" t="e" cm="1">
        <f t="array" aca="1" ref="R621" ca="1">_xlfn.XLOOKUP(Contrato5[[#This Row],[CDP]],[2]!DISPONIBILIDADES_2024[[#All],[consecutivo]],[2]!DISPONIBILIDADES_2024[[#All],[fecha_aprobacion]],"",0)</f>
        <v>#NAME?</v>
      </c>
      <c r="S621" s="138" t="e">
        <f>SUMIF([2]!DISPONIBILIDADES_2024[[#All],[consecutivo]],Contrato5[[#This Row],[CDP]],[2]!DISPONIBILIDADES_2024[[#All],[valor_total_rubro]])</f>
        <v>#REF!</v>
      </c>
      <c r="T621" s="139" t="e" cm="1">
        <f t="array" aca="1" ref="T621" ca="1">_xlfn.XLOOKUP(Contrato5[[#This Row],[CONTRATO]]&amp;Contrato5[[#This Row],[CDP]],[2]!Corr_Contr_CDP[[#All],[CONTRATO-CDP]],[2]!Corr_Contr_CDP[[#All],[CRP]],_xlfn.XLOOKUP(Contrato5[[#This Row],[CDP]],[2]!COMPROMISOS_2024[[#All],[disponibilidad]],[2]!COMPROMISOS_2024[[#All],[consecutivo]],"",0),0)</f>
        <v>#NAME?</v>
      </c>
      <c r="U621" s="140" t="e" cm="1">
        <f t="array" aca="1" ref="U621" ca="1">+_xlfn.XLOOKUP(Contrato5[[#This Row],[RCP]],[2]!COMPROMISOS_2024[[#All],[consecutivo]],[2]!COMPROMISOS_2024[[#All],[fecha_aprobacion]],"",0)</f>
        <v>#NAME?</v>
      </c>
      <c r="V621" s="141" t="e">
        <f ca="1">SUMIF([2]!COMPROMISOS_2024[[#All],[consecutivo]],Contrato5[[#This Row],[RCP]],[2]!COMPROMISOS_2024[[#All],[valor_total]])</f>
        <v>#REF!</v>
      </c>
      <c r="W621" s="160">
        <v>45516</v>
      </c>
      <c r="X621" s="160" t="s">
        <v>1045</v>
      </c>
      <c r="Y621" s="143">
        <v>45520</v>
      </c>
      <c r="Z621" s="262">
        <v>45643</v>
      </c>
      <c r="AA621" s="546" t="s">
        <v>2870</v>
      </c>
      <c r="AB621" s="172" t="s">
        <v>2871</v>
      </c>
      <c r="AC621" s="172"/>
      <c r="AD621" s="425">
        <v>202000005059</v>
      </c>
      <c r="AE621" s="147" t="s">
        <v>523</v>
      </c>
      <c r="AF621" s="148" t="str">
        <f>TEXT(LEFT(Contrato5[[#This Row],[CONTRATO]],3),"0")</f>
        <v>496</v>
      </c>
      <c r="AG621" s="148" t="str">
        <f>IF(LEN(Contrato5[[#This Row],[Contrato2]])=3,Contrato5[[#This Row],[Contrato2]],TEXT(Contrato5[[#This Row],[Contrato2]],"000"))</f>
        <v>496</v>
      </c>
      <c r="AH621" s="149">
        <f ca="1">IFERROR(_xlfn.DAYS(Contrato5[[#This Row],[Fecha Proyectada liquidación]],TODAY())/30,"")</f>
        <v>0.16666666666666666</v>
      </c>
      <c r="AI621" s="150">
        <f>+Contrato5[[#This Row],[FECHA TERMINACIÓN ]]+120</f>
        <v>45763</v>
      </c>
      <c r="AJ621" s="147"/>
      <c r="AK621" s="152" t="str">
        <f ca="1">IF(Contrato5[[#This Row],[FECHA TERMINACIÓN ]]&lt;TODAY(), "Terminado",IF(ISNUMBER(Contrato5[[#This Row],[Fecha Real de liquiidación ]]),"Liquidado",IF(Contrato5[[#This Row],[FECHA TERMINACIÓN ]]&gt;=TODAY(),"En ejecución","")))</f>
        <v>Terminado</v>
      </c>
      <c r="AL621" s="153" t="e">
        <f ca="1">SUMIF([2]!COMPROMISOS_2024[[#All],[consecutivo]],Contrato5[[#This Row],[RCP]],[2]!COMPROMISOS_2024[[#All],[Total pagado]])</f>
        <v>#REF!</v>
      </c>
      <c r="AM621" s="154">
        <f ca="1">IFERROR(Contrato5[[#This Row],[Pagos]]/Contrato5[[#This Row],[VALOR CONTRATO]],0)</f>
        <v>0</v>
      </c>
      <c r="AN621" s="198" t="e">
        <f ca="1">+Contrato5[[#This Row],[VALOR CONTRATO]]-Contrato5[[#This Row],[Pagos]]</f>
        <v>#REF!</v>
      </c>
      <c r="AO621" s="147" t="e" cm="1">
        <f t="array" aca="1" ref="AO621" ca="1">_xlfn.XLOOKUP(Contrato5[[#This Row],[DOCUMENTO ]],[2]!PERSONAL_ACTIVO_2024[[#All],[Documento identidad]],[2]!PERSONAL_ACTIVO_2024[[#All],[Mail ]],0,0)</f>
        <v>#NAME?</v>
      </c>
      <c r="AP621" s="147" t="e" cm="1">
        <f t="array" aca="1" ref="AP621" ca="1">_xlfn.XLOOKUP(Contrato5[[#This Row],[DOCUMENTO]],[2]!PERSONAL_ACTIVO_2024[[#All],[Documento identidad]],[2]!PERSONAL_ACTIVO_2024[[#All],[Mail ]],0,0)</f>
        <v>#NAME?</v>
      </c>
      <c r="AQ621" s="439" cm="1">
        <f t="array" aca="1" ref="AQ621" ca="1">IF(ISBLANK(Contrato5[[#This Row],[DEPENDENCIA ]]),0,IFERROR(_xlfn.XLOOKUP(Contrato5[[#This Row],[DEPENDENCIA ]],[2]!PERSONAL_ACTIVO_2024[[#All],[Dependencia]],[2]!PERSONAL_ACTIVO_2024[[#All],[Mail ]],0,0),0))</f>
        <v>0</v>
      </c>
    </row>
    <row r="622" spans="1:43" ht="34.5" customHeight="1">
      <c r="A622" s="125">
        <v>885</v>
      </c>
      <c r="B622" s="124">
        <v>497</v>
      </c>
      <c r="C622" s="162" t="s">
        <v>1985</v>
      </c>
      <c r="D622" s="227" t="s">
        <v>583</v>
      </c>
      <c r="E622" s="440" t="s">
        <v>94</v>
      </c>
      <c r="F622" s="227" t="s">
        <v>1376</v>
      </c>
      <c r="G622" s="281" t="s">
        <v>683</v>
      </c>
      <c r="H622" s="436">
        <v>1035222143</v>
      </c>
      <c r="I622" s="273">
        <v>3952382</v>
      </c>
      <c r="J622" s="505">
        <v>15677782</v>
      </c>
      <c r="K622" s="131" t="s">
        <v>42</v>
      </c>
      <c r="L622" s="438" t="s">
        <v>2855</v>
      </c>
      <c r="M622" s="194" t="s">
        <v>589</v>
      </c>
      <c r="N622" s="177" t="e" cm="1">
        <f t="array" aca="1" ref="N622" ca="1">_xlfn.XLOOKUP(Contrato5[[#This Row],[SUPERVISOR TITULAR]],[2]!PERSONAL_ACTIVO_2024[[#All],[Nombre completo]],[2]!PERSONAL_ACTIVO_2024[[#All],[Documento identidad]],"",0)</f>
        <v>#NAME?</v>
      </c>
      <c r="O622" s="194" t="s">
        <v>586</v>
      </c>
      <c r="P622" s="196" t="e" cm="1">
        <f t="array" aca="1" ref="P622" ca="1">_xlfn.XLOOKUP(Contrato5[[#This Row],[SUPERVISOR SUPLENTE ]],[2]!PERSONAL_ACTIVO_2024[[#All],[Nombre completo]],[2]!PERSONAL_ACTIVO_2024[[#All],[Documento identidad]],"",0)</f>
        <v>#NAME?</v>
      </c>
      <c r="Q622" s="170">
        <v>733</v>
      </c>
      <c r="R622" s="137" t="e" cm="1">
        <f t="array" aca="1" ref="R622" ca="1">_xlfn.XLOOKUP(Contrato5[[#This Row],[CDP]],[2]!DISPONIBILIDADES_2024[[#All],[consecutivo]],[2]!DISPONIBILIDADES_2024[[#All],[fecha_aprobacion]],"",0)</f>
        <v>#NAME?</v>
      </c>
      <c r="S622" s="138" t="e">
        <f>SUMIF([2]!DISPONIBILIDADES_2024[[#All],[consecutivo]],Contrato5[[#This Row],[CDP]],[2]!DISPONIBILIDADES_2024[[#All],[valor_total_rubro]])</f>
        <v>#REF!</v>
      </c>
      <c r="T622" s="139" t="e" cm="1">
        <f t="array" aca="1" ref="T622" ca="1">_xlfn.XLOOKUP(Contrato5[[#This Row],[CONTRATO]]&amp;Contrato5[[#This Row],[CDP]],[2]!Corr_Contr_CDP[[#All],[CONTRATO-CDP]],[2]!Corr_Contr_CDP[[#All],[CRP]],_xlfn.XLOOKUP(Contrato5[[#This Row],[CDP]],[2]!COMPROMISOS_2024[[#All],[disponibilidad]],[2]!COMPROMISOS_2024[[#All],[consecutivo]],"",0),0)</f>
        <v>#NAME?</v>
      </c>
      <c r="U622" s="140" t="e" cm="1">
        <f t="array" aca="1" ref="U622" ca="1">+_xlfn.XLOOKUP(Contrato5[[#This Row],[RCP]],[2]!COMPROMISOS_2024[[#All],[consecutivo]],[2]!COMPROMISOS_2024[[#All],[fecha_aprobacion]],"",0)</f>
        <v>#NAME?</v>
      </c>
      <c r="V622" s="141" t="e">
        <f ca="1">SUMIF([2]!COMPROMISOS_2024[[#All],[consecutivo]],Contrato5[[#This Row],[RCP]],[2]!COMPROMISOS_2024[[#All],[valor_total]])</f>
        <v>#REF!</v>
      </c>
      <c r="W622" s="160">
        <v>45516</v>
      </c>
      <c r="X622" s="160" t="s">
        <v>1045</v>
      </c>
      <c r="Y622" s="143">
        <v>45523</v>
      </c>
      <c r="Z622" s="262">
        <v>45643</v>
      </c>
      <c r="AA622" s="171" t="s">
        <v>2870</v>
      </c>
      <c r="AB622" s="172" t="s">
        <v>2899</v>
      </c>
      <c r="AC622" s="172"/>
      <c r="AD622" s="425">
        <v>202000005060</v>
      </c>
      <c r="AE622" s="147" t="s">
        <v>523</v>
      </c>
      <c r="AF622" s="148" t="str">
        <f>TEXT(LEFT(Contrato5[[#This Row],[CONTRATO]],3),"0")</f>
        <v>497</v>
      </c>
      <c r="AG622" s="148" t="str">
        <f>IF(LEN(Contrato5[[#This Row],[Contrato2]])=3,Contrato5[[#This Row],[Contrato2]],TEXT(Contrato5[[#This Row],[Contrato2]],"000"))</f>
        <v>497</v>
      </c>
      <c r="AH622" s="149">
        <f ca="1">IFERROR(_xlfn.DAYS(Contrato5[[#This Row],[Fecha Proyectada liquidación]],TODAY())/30,"")</f>
        <v>0.16666666666666666</v>
      </c>
      <c r="AI622" s="150">
        <f>+Contrato5[[#This Row],[FECHA TERMINACIÓN ]]+120</f>
        <v>45763</v>
      </c>
      <c r="AJ622" s="147"/>
      <c r="AK622" s="152" t="str">
        <f ca="1">IF(Contrato5[[#This Row],[FECHA TERMINACIÓN ]]&lt;TODAY(), "Terminado",IF(ISNUMBER(Contrato5[[#This Row],[Fecha Real de liquiidación ]]),"Liquidado",IF(Contrato5[[#This Row],[FECHA TERMINACIÓN ]]&gt;=TODAY(),"En ejecución","")))</f>
        <v>Terminado</v>
      </c>
      <c r="AL622" s="153" t="e">
        <f ca="1">SUMIF([2]!COMPROMISOS_2024[[#All],[consecutivo]],Contrato5[[#This Row],[RCP]],[2]!COMPROMISOS_2024[[#All],[Total pagado]])</f>
        <v>#REF!</v>
      </c>
      <c r="AM622" s="154">
        <f ca="1">IFERROR(Contrato5[[#This Row],[Pagos]]/Contrato5[[#This Row],[VALOR CONTRATO]],0)</f>
        <v>0</v>
      </c>
      <c r="AN622" s="198" t="e">
        <f ca="1">+Contrato5[[#This Row],[VALOR CONTRATO]]-Contrato5[[#This Row],[Pagos]]</f>
        <v>#REF!</v>
      </c>
      <c r="AO622" s="147" t="e" cm="1">
        <f t="array" aca="1" ref="AO622" ca="1">_xlfn.XLOOKUP(Contrato5[[#This Row],[DOCUMENTO ]],[2]!PERSONAL_ACTIVO_2024[[#All],[Documento identidad]],[2]!PERSONAL_ACTIVO_2024[[#All],[Mail ]],0,0)</f>
        <v>#NAME?</v>
      </c>
      <c r="AP622" s="147" t="e" cm="1">
        <f t="array" aca="1" ref="AP622" ca="1">_xlfn.XLOOKUP(Contrato5[[#This Row],[DOCUMENTO]],[2]!PERSONAL_ACTIVO_2024[[#All],[Documento identidad]],[2]!PERSONAL_ACTIVO_2024[[#All],[Mail ]],0,0)</f>
        <v>#NAME?</v>
      </c>
      <c r="AQ622" s="439" cm="1">
        <f t="array" aca="1" ref="AQ622" ca="1">IF(ISBLANK(Contrato5[[#This Row],[DEPENDENCIA ]]),0,IFERROR(_xlfn.XLOOKUP(Contrato5[[#This Row],[DEPENDENCIA ]],[2]!PERSONAL_ACTIVO_2024[[#All],[Dependencia]],[2]!PERSONAL_ACTIVO_2024[[#All],[Mail ]],0,0),0))</f>
        <v>0</v>
      </c>
    </row>
    <row r="623" spans="1:43" ht="34.5" customHeight="1">
      <c r="A623" s="125">
        <v>886</v>
      </c>
      <c r="B623" s="124">
        <v>498</v>
      </c>
      <c r="C623" s="162" t="s">
        <v>1955</v>
      </c>
      <c r="D623" s="227" t="s">
        <v>583</v>
      </c>
      <c r="E623" s="440" t="s">
        <v>94</v>
      </c>
      <c r="F623" s="227" t="s">
        <v>1376</v>
      </c>
      <c r="G623" s="281" t="s">
        <v>2900</v>
      </c>
      <c r="H623" s="436">
        <v>71773738</v>
      </c>
      <c r="I623" s="273">
        <v>5931149</v>
      </c>
      <c r="J623" s="505">
        <v>24120006</v>
      </c>
      <c r="K623" s="131" t="s">
        <v>42</v>
      </c>
      <c r="L623" s="438" t="s">
        <v>2855</v>
      </c>
      <c r="M623" s="194" t="s">
        <v>592</v>
      </c>
      <c r="N623" s="177" t="e" cm="1">
        <f t="array" aca="1" ref="N623" ca="1">_xlfn.XLOOKUP(Contrato5[[#This Row],[SUPERVISOR TITULAR]],[2]!PERSONAL_ACTIVO_2024[[#All],[Nombre completo]],[2]!PERSONAL_ACTIVO_2024[[#All],[Documento identidad]],"",0)</f>
        <v>#NAME?</v>
      </c>
      <c r="O623" s="194" t="s">
        <v>600</v>
      </c>
      <c r="P623" s="196" t="e" cm="1">
        <f t="array" aca="1" ref="P623" ca="1">_xlfn.XLOOKUP(Contrato5[[#This Row],[SUPERVISOR SUPLENTE ]],[2]!PERSONAL_ACTIVO_2024[[#All],[Nombre completo]],[2]!PERSONAL_ACTIVO_2024[[#All],[Documento identidad]],"",0)</f>
        <v>#NAME?</v>
      </c>
      <c r="Q623" s="170">
        <v>783</v>
      </c>
      <c r="R623" s="137" t="e" cm="1">
        <f t="array" aca="1" ref="R623" ca="1">_xlfn.XLOOKUP(Contrato5[[#This Row],[CDP]],[2]!DISPONIBILIDADES_2024[[#All],[consecutivo]],[2]!DISPONIBILIDADES_2024[[#All],[fecha_aprobacion]],"",0)</f>
        <v>#NAME?</v>
      </c>
      <c r="S623" s="138" t="e">
        <f>SUMIF([2]!DISPONIBILIDADES_2024[[#All],[consecutivo]],Contrato5[[#This Row],[CDP]],[2]!DISPONIBILIDADES_2024[[#All],[valor_total_rubro]])</f>
        <v>#REF!</v>
      </c>
      <c r="T623" s="139" t="e" cm="1">
        <f t="array" aca="1" ref="T623" ca="1">_xlfn.XLOOKUP(Contrato5[[#This Row],[CONTRATO]]&amp;Contrato5[[#This Row],[CDP]],[2]!Corr_Contr_CDP[[#All],[CONTRATO-CDP]],[2]!Corr_Contr_CDP[[#All],[CRP]],_xlfn.XLOOKUP(Contrato5[[#This Row],[CDP]],[2]!COMPROMISOS_2024[[#All],[disponibilidad]],[2]!COMPROMISOS_2024[[#All],[consecutivo]],"",0),0)</f>
        <v>#NAME?</v>
      </c>
      <c r="U623" s="140" t="e" cm="1">
        <f t="array" aca="1" ref="U623" ca="1">+_xlfn.XLOOKUP(Contrato5[[#This Row],[RCP]],[2]!COMPROMISOS_2024[[#All],[consecutivo]],[2]!COMPROMISOS_2024[[#All],[fecha_aprobacion]],"",0)</f>
        <v>#NAME?</v>
      </c>
      <c r="V623" s="141" t="e">
        <f ca="1">SUMIF([2]!COMPROMISOS_2024[[#All],[consecutivo]],Contrato5[[#This Row],[RCP]],[2]!COMPROMISOS_2024[[#All],[valor_total]])</f>
        <v>#REF!</v>
      </c>
      <c r="W623" s="160">
        <v>45516</v>
      </c>
      <c r="X623" s="160" t="s">
        <v>1045</v>
      </c>
      <c r="Y623" s="143">
        <v>45520</v>
      </c>
      <c r="Z623" s="262">
        <v>45643</v>
      </c>
      <c r="AA623" s="171" t="s">
        <v>2901</v>
      </c>
      <c r="AB623" s="172" t="s">
        <v>2871</v>
      </c>
      <c r="AC623" s="172"/>
      <c r="AD623" s="425">
        <v>202000005061</v>
      </c>
      <c r="AE623" s="147" t="s">
        <v>523</v>
      </c>
      <c r="AF623" s="148" t="str">
        <f>TEXT(LEFT(Contrato5[[#This Row],[CONTRATO]],3),"0")</f>
        <v>498</v>
      </c>
      <c r="AG623" s="148" t="str">
        <f>IF(LEN(Contrato5[[#This Row],[Contrato2]])=3,Contrato5[[#This Row],[Contrato2]],TEXT(Contrato5[[#This Row],[Contrato2]],"000"))</f>
        <v>498</v>
      </c>
      <c r="AH623" s="149">
        <f ca="1">IFERROR(_xlfn.DAYS(Contrato5[[#This Row],[Fecha Proyectada liquidación]],TODAY())/30,"")</f>
        <v>0.16666666666666666</v>
      </c>
      <c r="AI623" s="150">
        <f>+Contrato5[[#This Row],[FECHA TERMINACIÓN ]]+120</f>
        <v>45763</v>
      </c>
      <c r="AJ623" s="147"/>
      <c r="AK623" s="152" t="str">
        <f ca="1">IF(Contrato5[[#This Row],[FECHA TERMINACIÓN ]]&lt;TODAY(), "Terminado",IF(ISNUMBER(Contrato5[[#This Row],[Fecha Real de liquiidación ]]),"Liquidado",IF(Contrato5[[#This Row],[FECHA TERMINACIÓN ]]&gt;=TODAY(),"En ejecución","")))</f>
        <v>Terminado</v>
      </c>
      <c r="AL623" s="153" t="e">
        <f ca="1">SUMIF([2]!COMPROMISOS_2024[[#All],[consecutivo]],Contrato5[[#This Row],[RCP]],[2]!COMPROMISOS_2024[[#All],[Total pagado]])</f>
        <v>#REF!</v>
      </c>
      <c r="AM623" s="154">
        <f ca="1">IFERROR(Contrato5[[#This Row],[Pagos]]/Contrato5[[#This Row],[VALOR CONTRATO]],0)</f>
        <v>0</v>
      </c>
      <c r="AN623" s="198" t="e">
        <f ca="1">+Contrato5[[#This Row],[VALOR CONTRATO]]-Contrato5[[#This Row],[Pagos]]</f>
        <v>#REF!</v>
      </c>
      <c r="AO623" s="147" t="e" cm="1">
        <f t="array" aca="1" ref="AO623" ca="1">_xlfn.XLOOKUP(Contrato5[[#This Row],[DOCUMENTO ]],[2]!PERSONAL_ACTIVO_2024[[#All],[Documento identidad]],[2]!PERSONAL_ACTIVO_2024[[#All],[Mail ]],0,0)</f>
        <v>#NAME?</v>
      </c>
      <c r="AP623" s="147" t="e" cm="1">
        <f t="array" aca="1" ref="AP623" ca="1">_xlfn.XLOOKUP(Contrato5[[#This Row],[DOCUMENTO]],[2]!PERSONAL_ACTIVO_2024[[#All],[Documento identidad]],[2]!PERSONAL_ACTIVO_2024[[#All],[Mail ]],0,0)</f>
        <v>#NAME?</v>
      </c>
      <c r="AQ623" s="439" cm="1">
        <f t="array" aca="1" ref="AQ623" ca="1">IF(ISBLANK(Contrato5[[#This Row],[DEPENDENCIA ]]),0,IFERROR(_xlfn.XLOOKUP(Contrato5[[#This Row],[DEPENDENCIA ]],[2]!PERSONAL_ACTIVO_2024[[#All],[Dependencia]],[2]!PERSONAL_ACTIVO_2024[[#All],[Mail ]],0,0),0))</f>
        <v>0</v>
      </c>
    </row>
    <row r="624" spans="1:43" ht="34.5" customHeight="1">
      <c r="A624" s="125">
        <v>887</v>
      </c>
      <c r="B624" s="124">
        <v>499</v>
      </c>
      <c r="C624" s="162" t="s">
        <v>1955</v>
      </c>
      <c r="D624" s="227" t="s">
        <v>583</v>
      </c>
      <c r="E624" s="440" t="s">
        <v>94</v>
      </c>
      <c r="F624" s="227" t="s">
        <v>1376</v>
      </c>
      <c r="G624" s="281" t="s">
        <v>2902</v>
      </c>
      <c r="H624" s="436">
        <v>1017274008</v>
      </c>
      <c r="I624" s="273">
        <v>2574842</v>
      </c>
      <c r="J624" s="505">
        <v>10471024</v>
      </c>
      <c r="K624" s="131" t="s">
        <v>42</v>
      </c>
      <c r="L624" s="438" t="s">
        <v>2855</v>
      </c>
      <c r="M624" s="194" t="s">
        <v>592</v>
      </c>
      <c r="N624" s="177" t="e" cm="1">
        <f t="array" aca="1" ref="N624" ca="1">_xlfn.XLOOKUP(Contrato5[[#This Row],[SUPERVISOR TITULAR]],[2]!PERSONAL_ACTIVO_2024[[#All],[Nombre completo]],[2]!PERSONAL_ACTIVO_2024[[#All],[Documento identidad]],"",0)</f>
        <v>#NAME?</v>
      </c>
      <c r="O624" s="194" t="s">
        <v>600</v>
      </c>
      <c r="P624" s="196" t="e" cm="1">
        <f t="array" aca="1" ref="P624" ca="1">_xlfn.XLOOKUP(Contrato5[[#This Row],[SUPERVISOR SUPLENTE ]],[2]!PERSONAL_ACTIVO_2024[[#All],[Nombre completo]],[2]!PERSONAL_ACTIVO_2024[[#All],[Documento identidad]],"",0)</f>
        <v>#NAME?</v>
      </c>
      <c r="Q624" s="170">
        <v>734</v>
      </c>
      <c r="R624" s="137" t="e" cm="1">
        <f t="array" aca="1" ref="R624" ca="1">_xlfn.XLOOKUP(Contrato5[[#This Row],[CDP]],[2]!DISPONIBILIDADES_2024[[#All],[consecutivo]],[2]!DISPONIBILIDADES_2024[[#All],[fecha_aprobacion]],"",0)</f>
        <v>#NAME?</v>
      </c>
      <c r="S624" s="138" t="e">
        <f>SUMIF([2]!DISPONIBILIDADES_2024[[#All],[consecutivo]],Contrato5[[#This Row],[CDP]],[2]!DISPONIBILIDADES_2024[[#All],[valor_total_rubro]])</f>
        <v>#REF!</v>
      </c>
      <c r="T624" s="139" t="e" cm="1">
        <f t="array" aca="1" ref="T624" ca="1">_xlfn.XLOOKUP(Contrato5[[#This Row],[CONTRATO]]&amp;Contrato5[[#This Row],[CDP]],[2]!Corr_Contr_CDP[[#All],[CONTRATO-CDP]],[2]!Corr_Contr_CDP[[#All],[CRP]],_xlfn.XLOOKUP(Contrato5[[#This Row],[CDP]],[2]!COMPROMISOS_2024[[#All],[disponibilidad]],[2]!COMPROMISOS_2024[[#All],[consecutivo]],"",0),0)</f>
        <v>#NAME?</v>
      </c>
      <c r="U624" s="140" t="e" cm="1">
        <f t="array" aca="1" ref="U624" ca="1">+_xlfn.XLOOKUP(Contrato5[[#This Row],[RCP]],[2]!COMPROMISOS_2024[[#All],[consecutivo]],[2]!COMPROMISOS_2024[[#All],[fecha_aprobacion]],"",0)</f>
        <v>#NAME?</v>
      </c>
      <c r="V624" s="141" t="e">
        <f ca="1">SUMIF([2]!COMPROMISOS_2024[[#All],[consecutivo]],Contrato5[[#This Row],[RCP]],[2]!COMPROMISOS_2024[[#All],[valor_total]])</f>
        <v>#REF!</v>
      </c>
      <c r="W624" s="160">
        <v>45516</v>
      </c>
      <c r="X624" s="160" t="s">
        <v>1045</v>
      </c>
      <c r="Y624" s="143">
        <v>45520</v>
      </c>
      <c r="Z624" s="262">
        <v>45643</v>
      </c>
      <c r="AA624" s="171" t="s">
        <v>2873</v>
      </c>
      <c r="AB624" s="172" t="s">
        <v>2871</v>
      </c>
      <c r="AC624" s="172"/>
      <c r="AD624" s="425">
        <v>202000005062</v>
      </c>
      <c r="AE624" s="147" t="s">
        <v>523</v>
      </c>
      <c r="AF624" s="148" t="str">
        <f>TEXT(LEFT(Contrato5[[#This Row],[CONTRATO]],3),"0")</f>
        <v>499</v>
      </c>
      <c r="AG624" s="148" t="str">
        <f>IF(LEN(Contrato5[[#This Row],[Contrato2]])=3,Contrato5[[#This Row],[Contrato2]],TEXT(Contrato5[[#This Row],[Contrato2]],"000"))</f>
        <v>499</v>
      </c>
      <c r="AH624" s="149">
        <f ca="1">IFERROR(_xlfn.DAYS(Contrato5[[#This Row],[Fecha Proyectada liquidación]],TODAY())/30,"")</f>
        <v>0.16666666666666666</v>
      </c>
      <c r="AI624" s="150">
        <f>+Contrato5[[#This Row],[FECHA TERMINACIÓN ]]+120</f>
        <v>45763</v>
      </c>
      <c r="AJ624" s="147"/>
      <c r="AK624" s="152" t="str">
        <f ca="1">IF(Contrato5[[#This Row],[FECHA TERMINACIÓN ]]&lt;TODAY(), "Terminado",IF(ISNUMBER(Contrato5[[#This Row],[Fecha Real de liquiidación ]]),"Liquidado",IF(Contrato5[[#This Row],[FECHA TERMINACIÓN ]]&gt;=TODAY(),"En ejecución","")))</f>
        <v>Terminado</v>
      </c>
      <c r="AL624" s="153" t="e">
        <f ca="1">SUMIF([2]!COMPROMISOS_2024[[#All],[consecutivo]],Contrato5[[#This Row],[RCP]],[2]!COMPROMISOS_2024[[#All],[Total pagado]])</f>
        <v>#REF!</v>
      </c>
      <c r="AM624" s="154">
        <f ca="1">IFERROR(Contrato5[[#This Row],[Pagos]]/Contrato5[[#This Row],[VALOR CONTRATO]],0)</f>
        <v>0</v>
      </c>
      <c r="AN624" s="198" t="e">
        <f ca="1">+Contrato5[[#This Row],[VALOR CONTRATO]]-Contrato5[[#This Row],[Pagos]]</f>
        <v>#REF!</v>
      </c>
      <c r="AO624" s="147" t="e" cm="1">
        <f t="array" aca="1" ref="AO624" ca="1">_xlfn.XLOOKUP(Contrato5[[#This Row],[DOCUMENTO ]],[2]!PERSONAL_ACTIVO_2024[[#All],[Documento identidad]],[2]!PERSONAL_ACTIVO_2024[[#All],[Mail ]],0,0)</f>
        <v>#NAME?</v>
      </c>
      <c r="AP624" s="147" t="e" cm="1">
        <f t="array" aca="1" ref="AP624" ca="1">_xlfn.XLOOKUP(Contrato5[[#This Row],[DOCUMENTO]],[2]!PERSONAL_ACTIVO_2024[[#All],[Documento identidad]],[2]!PERSONAL_ACTIVO_2024[[#All],[Mail ]],0,0)</f>
        <v>#NAME?</v>
      </c>
      <c r="AQ624" s="439" cm="1">
        <f t="array" aca="1" ref="AQ624" ca="1">IF(ISBLANK(Contrato5[[#This Row],[DEPENDENCIA ]]),0,IFERROR(_xlfn.XLOOKUP(Contrato5[[#This Row],[DEPENDENCIA ]],[2]!PERSONAL_ACTIVO_2024[[#All],[Dependencia]],[2]!PERSONAL_ACTIVO_2024[[#All],[Mail ]],0,0),0))</f>
        <v>0</v>
      </c>
    </row>
    <row r="625" spans="1:43" ht="34.5" customHeight="1">
      <c r="A625" s="125">
        <v>888</v>
      </c>
      <c r="B625" s="124">
        <v>500</v>
      </c>
      <c r="C625" s="162" t="s">
        <v>1986</v>
      </c>
      <c r="D625" s="227" t="s">
        <v>583</v>
      </c>
      <c r="E625" s="440" t="s">
        <v>94</v>
      </c>
      <c r="F625" s="227" t="s">
        <v>1376</v>
      </c>
      <c r="G625" s="281" t="s">
        <v>2903</v>
      </c>
      <c r="H625" s="436">
        <v>1056302283</v>
      </c>
      <c r="I625" s="273">
        <v>2574842</v>
      </c>
      <c r="J625" s="437">
        <v>10471024</v>
      </c>
      <c r="K625" s="131" t="s">
        <v>42</v>
      </c>
      <c r="L625" s="438" t="s">
        <v>2855</v>
      </c>
      <c r="M625" s="194" t="s">
        <v>592</v>
      </c>
      <c r="N625" s="177" t="e" cm="1">
        <f t="array" aca="1" ref="N625" ca="1">_xlfn.XLOOKUP(Contrato5[[#This Row],[SUPERVISOR TITULAR]],[2]!PERSONAL_ACTIVO_2024[[#All],[Nombre completo]],[2]!PERSONAL_ACTIVO_2024[[#All],[Documento identidad]],"",0)</f>
        <v>#NAME?</v>
      </c>
      <c r="O625" s="194" t="s">
        <v>600</v>
      </c>
      <c r="P625" s="196" t="e" cm="1">
        <f t="array" aca="1" ref="P625" ca="1">_xlfn.XLOOKUP(Contrato5[[#This Row],[SUPERVISOR SUPLENTE ]],[2]!PERSONAL_ACTIVO_2024[[#All],[Nombre completo]],[2]!PERSONAL_ACTIVO_2024[[#All],[Documento identidad]],"",0)</f>
        <v>#NAME?</v>
      </c>
      <c r="Q625" s="170">
        <v>784</v>
      </c>
      <c r="R625" s="137" t="e" cm="1">
        <f t="array" aca="1" ref="R625" ca="1">_xlfn.XLOOKUP(Contrato5[[#This Row],[CDP]],[2]!DISPONIBILIDADES_2024[[#All],[consecutivo]],[2]!DISPONIBILIDADES_2024[[#All],[fecha_aprobacion]],"",0)</f>
        <v>#NAME?</v>
      </c>
      <c r="S625" s="138" t="e">
        <f>SUMIF([2]!DISPONIBILIDADES_2024[[#All],[consecutivo]],Contrato5[[#This Row],[CDP]],[2]!DISPONIBILIDADES_2024[[#All],[valor_total_rubro]])</f>
        <v>#REF!</v>
      </c>
      <c r="T625" s="139" t="e" cm="1">
        <f t="array" aca="1" ref="T625" ca="1">_xlfn.XLOOKUP(Contrato5[[#This Row],[CONTRATO]]&amp;Contrato5[[#This Row],[CDP]],[2]!Corr_Contr_CDP[[#All],[CONTRATO-CDP]],[2]!Corr_Contr_CDP[[#All],[CRP]],_xlfn.XLOOKUP(Contrato5[[#This Row],[CDP]],[2]!COMPROMISOS_2024[[#All],[disponibilidad]],[2]!COMPROMISOS_2024[[#All],[consecutivo]],"",0),0)</f>
        <v>#NAME?</v>
      </c>
      <c r="U625" s="140" t="e" cm="1">
        <f t="array" aca="1" ref="U625" ca="1">+_xlfn.XLOOKUP(Contrato5[[#This Row],[RCP]],[2]!COMPROMISOS_2024[[#All],[consecutivo]],[2]!COMPROMISOS_2024[[#All],[fecha_aprobacion]],"",0)</f>
        <v>#NAME?</v>
      </c>
      <c r="V625" s="141" t="e">
        <f ca="1">SUMIF([2]!COMPROMISOS_2024[[#All],[consecutivo]],Contrato5[[#This Row],[RCP]],[2]!COMPROMISOS_2024[[#All],[valor_total]])</f>
        <v>#REF!</v>
      </c>
      <c r="W625" s="160">
        <v>45516</v>
      </c>
      <c r="X625" s="160" t="s">
        <v>1045</v>
      </c>
      <c r="Y625" s="143">
        <v>45520</v>
      </c>
      <c r="Z625" s="262">
        <v>45643</v>
      </c>
      <c r="AA625" s="171" t="s">
        <v>2873</v>
      </c>
      <c r="AB625" s="172" t="s">
        <v>2871</v>
      </c>
      <c r="AC625" s="172"/>
      <c r="AD625" s="425">
        <v>202000005063</v>
      </c>
      <c r="AE625" s="147" t="s">
        <v>523</v>
      </c>
      <c r="AF625" s="148" t="str">
        <f>TEXT(LEFT(Contrato5[[#This Row],[CONTRATO]],3),"0")</f>
        <v>500</v>
      </c>
      <c r="AG625" s="148" t="str">
        <f>IF(LEN(Contrato5[[#This Row],[Contrato2]])=3,Contrato5[[#This Row],[Contrato2]],TEXT(Contrato5[[#This Row],[Contrato2]],"000"))</f>
        <v>500</v>
      </c>
      <c r="AH625" s="149">
        <f ca="1">IFERROR(_xlfn.DAYS(Contrato5[[#This Row],[Fecha Proyectada liquidación]],TODAY())/30,"")</f>
        <v>0.16666666666666666</v>
      </c>
      <c r="AI625" s="150">
        <f>+Contrato5[[#This Row],[FECHA TERMINACIÓN ]]+120</f>
        <v>45763</v>
      </c>
      <c r="AJ625" s="147"/>
      <c r="AK625" s="152" t="str">
        <f ca="1">IF(Contrato5[[#This Row],[FECHA TERMINACIÓN ]]&lt;TODAY(), "Terminado",IF(ISNUMBER(Contrato5[[#This Row],[Fecha Real de liquiidación ]]),"Liquidado",IF(Contrato5[[#This Row],[FECHA TERMINACIÓN ]]&gt;=TODAY(),"En ejecución","")))</f>
        <v>Terminado</v>
      </c>
      <c r="AL625" s="153" t="e">
        <f ca="1">SUMIF([2]!COMPROMISOS_2024[[#All],[consecutivo]],Contrato5[[#This Row],[RCP]],[2]!COMPROMISOS_2024[[#All],[Total pagado]])</f>
        <v>#REF!</v>
      </c>
      <c r="AM625" s="154">
        <f ca="1">IFERROR(Contrato5[[#This Row],[Pagos]]/Contrato5[[#This Row],[VALOR CONTRATO]],0)</f>
        <v>0</v>
      </c>
      <c r="AN625" s="198" t="e">
        <f ca="1">+Contrato5[[#This Row],[VALOR CONTRATO]]-Contrato5[[#This Row],[Pagos]]</f>
        <v>#REF!</v>
      </c>
      <c r="AO625" s="147" t="e" cm="1">
        <f t="array" aca="1" ref="AO625" ca="1">_xlfn.XLOOKUP(Contrato5[[#This Row],[DOCUMENTO ]],[2]!PERSONAL_ACTIVO_2024[[#All],[Documento identidad]],[2]!PERSONAL_ACTIVO_2024[[#All],[Mail ]],0,0)</f>
        <v>#NAME?</v>
      </c>
      <c r="AP625" s="147" t="e" cm="1">
        <f t="array" aca="1" ref="AP625" ca="1">_xlfn.XLOOKUP(Contrato5[[#This Row],[DOCUMENTO]],[2]!PERSONAL_ACTIVO_2024[[#All],[Documento identidad]],[2]!PERSONAL_ACTIVO_2024[[#All],[Mail ]],0,0)</f>
        <v>#NAME?</v>
      </c>
      <c r="AQ625" s="439" cm="1">
        <f t="array" aca="1" ref="AQ625" ca="1">IF(ISBLANK(Contrato5[[#This Row],[DEPENDENCIA ]]),0,IFERROR(_xlfn.XLOOKUP(Contrato5[[#This Row],[DEPENDENCIA ]],[2]!PERSONAL_ACTIVO_2024[[#All],[Dependencia]],[2]!PERSONAL_ACTIVO_2024[[#All],[Mail ]],0,0),0))</f>
        <v>0</v>
      </c>
    </row>
    <row r="626" spans="1:43" ht="34.5" customHeight="1">
      <c r="A626" s="125">
        <v>889</v>
      </c>
      <c r="B626" s="124">
        <v>501</v>
      </c>
      <c r="C626" s="162" t="s">
        <v>1986</v>
      </c>
      <c r="D626" s="227" t="s">
        <v>583</v>
      </c>
      <c r="E626" s="440" t="s">
        <v>94</v>
      </c>
      <c r="F626" s="227" t="s">
        <v>1376</v>
      </c>
      <c r="G626" s="281" t="s">
        <v>2904</v>
      </c>
      <c r="H626" s="436">
        <v>1020470234</v>
      </c>
      <c r="I626" s="273">
        <v>4908936</v>
      </c>
      <c r="J626" s="437">
        <v>19963006</v>
      </c>
      <c r="K626" s="131" t="s">
        <v>42</v>
      </c>
      <c r="L626" s="438" t="s">
        <v>2855</v>
      </c>
      <c r="M626" s="194" t="s">
        <v>592</v>
      </c>
      <c r="N626" s="177" t="e" cm="1">
        <f t="array" aca="1" ref="N626" ca="1">_xlfn.XLOOKUP(Contrato5[[#This Row],[SUPERVISOR TITULAR]],[2]!PERSONAL_ACTIVO_2024[[#All],[Nombre completo]],[2]!PERSONAL_ACTIVO_2024[[#All],[Documento identidad]],"",0)</f>
        <v>#NAME?</v>
      </c>
      <c r="O626" s="194" t="s">
        <v>600</v>
      </c>
      <c r="P626" s="196" t="e" cm="1">
        <f t="array" aca="1" ref="P626" ca="1">_xlfn.XLOOKUP(Contrato5[[#This Row],[SUPERVISOR SUPLENTE ]],[2]!PERSONAL_ACTIVO_2024[[#All],[Nombre completo]],[2]!PERSONAL_ACTIVO_2024[[#All],[Documento identidad]],"",0)</f>
        <v>#NAME?</v>
      </c>
      <c r="Q626" s="170">
        <v>735</v>
      </c>
      <c r="R626" s="137" t="e" cm="1">
        <f t="array" aca="1" ref="R626" ca="1">_xlfn.XLOOKUP(Contrato5[[#This Row],[CDP]],[2]!DISPONIBILIDADES_2024[[#All],[consecutivo]],[2]!DISPONIBILIDADES_2024[[#All],[fecha_aprobacion]],"",0)</f>
        <v>#NAME?</v>
      </c>
      <c r="S626" s="138" t="e">
        <f>SUMIF([2]!DISPONIBILIDADES_2024[[#All],[consecutivo]],Contrato5[[#This Row],[CDP]],[2]!DISPONIBILIDADES_2024[[#All],[valor_total_rubro]])</f>
        <v>#REF!</v>
      </c>
      <c r="T626" s="139" t="e" cm="1">
        <f t="array" aca="1" ref="T626" ca="1">_xlfn.XLOOKUP(Contrato5[[#This Row],[CONTRATO]]&amp;Contrato5[[#This Row],[CDP]],[2]!Corr_Contr_CDP[[#All],[CONTRATO-CDP]],[2]!Corr_Contr_CDP[[#All],[CRP]],_xlfn.XLOOKUP(Contrato5[[#This Row],[CDP]],[2]!COMPROMISOS_2024[[#All],[disponibilidad]],[2]!COMPROMISOS_2024[[#All],[consecutivo]],"",0),0)</f>
        <v>#NAME?</v>
      </c>
      <c r="U626" s="140" t="e" cm="1">
        <f t="array" aca="1" ref="U626" ca="1">+_xlfn.XLOOKUP(Contrato5[[#This Row],[RCP]],[2]!COMPROMISOS_2024[[#All],[consecutivo]],[2]!COMPROMISOS_2024[[#All],[fecha_aprobacion]],"",0)</f>
        <v>#NAME?</v>
      </c>
      <c r="V626" s="141" t="e">
        <f ca="1">SUMIF([2]!COMPROMISOS_2024[[#All],[consecutivo]],Contrato5[[#This Row],[RCP]],[2]!COMPROMISOS_2024[[#All],[valor_total]])</f>
        <v>#REF!</v>
      </c>
      <c r="W626" s="160">
        <v>45516</v>
      </c>
      <c r="X626" s="160" t="s">
        <v>1045</v>
      </c>
      <c r="Y626" s="143">
        <v>45520</v>
      </c>
      <c r="Z626" s="262">
        <v>45643</v>
      </c>
      <c r="AA626" s="171" t="s">
        <v>2870</v>
      </c>
      <c r="AB626" s="172" t="s">
        <v>2871</v>
      </c>
      <c r="AC626" s="172"/>
      <c r="AD626" s="425">
        <v>202000005064</v>
      </c>
      <c r="AE626" s="147" t="s">
        <v>523</v>
      </c>
      <c r="AF626" s="148" t="str">
        <f>TEXT(LEFT(Contrato5[[#This Row],[CONTRATO]],3),"0")</f>
        <v>501</v>
      </c>
      <c r="AG626" s="148" t="str">
        <f>IF(LEN(Contrato5[[#This Row],[Contrato2]])=3,Contrato5[[#This Row],[Contrato2]],TEXT(Contrato5[[#This Row],[Contrato2]],"000"))</f>
        <v>501</v>
      </c>
      <c r="AH626" s="149">
        <f ca="1">IFERROR(_xlfn.DAYS(Contrato5[[#This Row],[Fecha Proyectada liquidación]],TODAY())/30,"")</f>
        <v>0.16666666666666666</v>
      </c>
      <c r="AI626" s="150">
        <f>+Contrato5[[#This Row],[FECHA TERMINACIÓN ]]+120</f>
        <v>45763</v>
      </c>
      <c r="AJ626" s="147"/>
      <c r="AK626" s="152" t="str">
        <f ca="1">IF(Contrato5[[#This Row],[FECHA TERMINACIÓN ]]&lt;TODAY(), "Terminado",IF(ISNUMBER(Contrato5[[#This Row],[Fecha Real de liquiidación ]]),"Liquidado",IF(Contrato5[[#This Row],[FECHA TERMINACIÓN ]]&gt;=TODAY(),"En ejecución","")))</f>
        <v>Terminado</v>
      </c>
      <c r="AL626" s="153" t="e">
        <f ca="1">SUMIF([2]!COMPROMISOS_2024[[#All],[consecutivo]],Contrato5[[#This Row],[RCP]],[2]!COMPROMISOS_2024[[#All],[Total pagado]])</f>
        <v>#REF!</v>
      </c>
      <c r="AM626" s="154">
        <f ca="1">IFERROR(Contrato5[[#This Row],[Pagos]]/Contrato5[[#This Row],[VALOR CONTRATO]],0)</f>
        <v>0</v>
      </c>
      <c r="AN626" s="198" t="e">
        <f ca="1">+Contrato5[[#This Row],[VALOR CONTRATO]]-Contrato5[[#This Row],[Pagos]]</f>
        <v>#REF!</v>
      </c>
      <c r="AO626" s="147" t="e" cm="1">
        <f t="array" aca="1" ref="AO626" ca="1">_xlfn.XLOOKUP(Contrato5[[#This Row],[DOCUMENTO ]],[2]!PERSONAL_ACTIVO_2024[[#All],[Documento identidad]],[2]!PERSONAL_ACTIVO_2024[[#All],[Mail ]],0,0)</f>
        <v>#NAME?</v>
      </c>
      <c r="AP626" s="147" t="e" cm="1">
        <f t="array" aca="1" ref="AP626" ca="1">_xlfn.XLOOKUP(Contrato5[[#This Row],[DOCUMENTO]],[2]!PERSONAL_ACTIVO_2024[[#All],[Documento identidad]],[2]!PERSONAL_ACTIVO_2024[[#All],[Mail ]],0,0)</f>
        <v>#NAME?</v>
      </c>
      <c r="AQ626" s="439" cm="1">
        <f t="array" aca="1" ref="AQ626" ca="1">IF(ISBLANK(Contrato5[[#This Row],[DEPENDENCIA ]]),0,IFERROR(_xlfn.XLOOKUP(Contrato5[[#This Row],[DEPENDENCIA ]],[2]!PERSONAL_ACTIVO_2024[[#All],[Dependencia]],[2]!PERSONAL_ACTIVO_2024[[#All],[Mail ]],0,0),0))</f>
        <v>0</v>
      </c>
    </row>
    <row r="627" spans="1:43" ht="34.5" customHeight="1">
      <c r="A627" s="125">
        <v>890</v>
      </c>
      <c r="B627" s="124">
        <v>502</v>
      </c>
      <c r="C627" s="162" t="s">
        <v>1987</v>
      </c>
      <c r="D627" s="227" t="s">
        <v>583</v>
      </c>
      <c r="E627" s="440" t="s">
        <v>94</v>
      </c>
      <c r="F627" s="227" t="s">
        <v>1376</v>
      </c>
      <c r="G627" s="281" t="s">
        <v>694</v>
      </c>
      <c r="H627" s="436">
        <v>8439119</v>
      </c>
      <c r="I627" s="273">
        <v>5931149</v>
      </c>
      <c r="J627" s="437">
        <v>24120006</v>
      </c>
      <c r="K627" s="131" t="s">
        <v>42</v>
      </c>
      <c r="L627" s="438" t="s">
        <v>2855</v>
      </c>
      <c r="M627" s="194" t="s">
        <v>592</v>
      </c>
      <c r="N627" s="177" t="e" cm="1">
        <f t="array" aca="1" ref="N627" ca="1">_xlfn.XLOOKUP(Contrato5[[#This Row],[SUPERVISOR TITULAR]],[2]!PERSONAL_ACTIVO_2024[[#All],[Nombre completo]],[2]!PERSONAL_ACTIVO_2024[[#All],[Documento identidad]],"",0)</f>
        <v>#NAME?</v>
      </c>
      <c r="O627" s="194" t="s">
        <v>600</v>
      </c>
      <c r="P627" s="196" t="e" cm="1">
        <f t="array" aca="1" ref="P627" ca="1">_xlfn.XLOOKUP(Contrato5[[#This Row],[SUPERVISOR SUPLENTE ]],[2]!PERSONAL_ACTIVO_2024[[#All],[Nombre completo]],[2]!PERSONAL_ACTIVO_2024[[#All],[Documento identidad]],"",0)</f>
        <v>#NAME?</v>
      </c>
      <c r="Q627" s="170">
        <v>736</v>
      </c>
      <c r="R627" s="137" t="e" cm="1">
        <f t="array" aca="1" ref="R627" ca="1">_xlfn.XLOOKUP(Contrato5[[#This Row],[CDP]],[2]!DISPONIBILIDADES_2024[[#All],[consecutivo]],[2]!DISPONIBILIDADES_2024[[#All],[fecha_aprobacion]],"",0)</f>
        <v>#NAME?</v>
      </c>
      <c r="S627" s="138" t="e">
        <f>SUMIF([2]!DISPONIBILIDADES_2024[[#All],[consecutivo]],Contrato5[[#This Row],[CDP]],[2]!DISPONIBILIDADES_2024[[#All],[valor_total_rubro]])</f>
        <v>#REF!</v>
      </c>
      <c r="T627" s="139" t="e" cm="1">
        <f t="array" aca="1" ref="T627" ca="1">_xlfn.XLOOKUP(Contrato5[[#This Row],[CONTRATO]]&amp;Contrato5[[#This Row],[CDP]],[2]!Corr_Contr_CDP[[#All],[CONTRATO-CDP]],[2]!Corr_Contr_CDP[[#All],[CRP]],_xlfn.XLOOKUP(Contrato5[[#This Row],[CDP]],[2]!COMPROMISOS_2024[[#All],[disponibilidad]],[2]!COMPROMISOS_2024[[#All],[consecutivo]],"",0),0)</f>
        <v>#NAME?</v>
      </c>
      <c r="U627" s="140" t="e" cm="1">
        <f t="array" aca="1" ref="U627" ca="1">+_xlfn.XLOOKUP(Contrato5[[#This Row],[RCP]],[2]!COMPROMISOS_2024[[#All],[consecutivo]],[2]!COMPROMISOS_2024[[#All],[fecha_aprobacion]],"",0)</f>
        <v>#NAME?</v>
      </c>
      <c r="V627" s="141" t="e">
        <f ca="1">SUMIF([2]!COMPROMISOS_2024[[#All],[consecutivo]],Contrato5[[#This Row],[RCP]],[2]!COMPROMISOS_2024[[#All],[valor_total]])</f>
        <v>#REF!</v>
      </c>
      <c r="W627" s="160">
        <v>45516</v>
      </c>
      <c r="X627" s="160" t="s">
        <v>1045</v>
      </c>
      <c r="Y627" s="143">
        <v>45520</v>
      </c>
      <c r="Z627" s="262">
        <v>45643</v>
      </c>
      <c r="AA627" s="171" t="s">
        <v>2870</v>
      </c>
      <c r="AB627" s="172" t="s">
        <v>2871</v>
      </c>
      <c r="AC627" s="172"/>
      <c r="AD627" s="425">
        <v>202000005065</v>
      </c>
      <c r="AE627" s="147" t="s">
        <v>523</v>
      </c>
      <c r="AF627" s="148" t="str">
        <f>TEXT(LEFT(Contrato5[[#This Row],[CONTRATO]],3),"0")</f>
        <v>502</v>
      </c>
      <c r="AG627" s="148" t="str">
        <f>IF(LEN(Contrato5[[#This Row],[Contrato2]])=3,Contrato5[[#This Row],[Contrato2]],TEXT(Contrato5[[#This Row],[Contrato2]],"000"))</f>
        <v>502</v>
      </c>
      <c r="AH627" s="149">
        <f ca="1">IFERROR(_xlfn.DAYS(Contrato5[[#This Row],[Fecha Proyectada liquidación]],TODAY())/30,"")</f>
        <v>0.16666666666666666</v>
      </c>
      <c r="AI627" s="150">
        <f>+Contrato5[[#This Row],[FECHA TERMINACIÓN ]]+120</f>
        <v>45763</v>
      </c>
      <c r="AJ627" s="147"/>
      <c r="AK627" s="152" t="str">
        <f ca="1">IF(Contrato5[[#This Row],[FECHA TERMINACIÓN ]]&lt;TODAY(), "Terminado",IF(ISNUMBER(Contrato5[[#This Row],[Fecha Real de liquiidación ]]),"Liquidado",IF(Contrato5[[#This Row],[FECHA TERMINACIÓN ]]&gt;=TODAY(),"En ejecución","")))</f>
        <v>Terminado</v>
      </c>
      <c r="AL627" s="153" t="e">
        <f ca="1">SUMIF([2]!COMPROMISOS_2024[[#All],[consecutivo]],Contrato5[[#This Row],[RCP]],[2]!COMPROMISOS_2024[[#All],[Total pagado]])</f>
        <v>#REF!</v>
      </c>
      <c r="AM627" s="154">
        <f ca="1">IFERROR(Contrato5[[#This Row],[Pagos]]/Contrato5[[#This Row],[VALOR CONTRATO]],0)</f>
        <v>0</v>
      </c>
      <c r="AN627" s="198" t="e">
        <f ca="1">+Contrato5[[#This Row],[VALOR CONTRATO]]-Contrato5[[#This Row],[Pagos]]</f>
        <v>#REF!</v>
      </c>
      <c r="AO627" s="147" t="e" cm="1">
        <f t="array" aca="1" ref="AO627" ca="1">_xlfn.XLOOKUP(Contrato5[[#This Row],[DOCUMENTO ]],[2]!PERSONAL_ACTIVO_2024[[#All],[Documento identidad]],[2]!PERSONAL_ACTIVO_2024[[#All],[Mail ]],0,0)</f>
        <v>#NAME?</v>
      </c>
      <c r="AP627" s="147" t="e" cm="1">
        <f t="array" aca="1" ref="AP627" ca="1">_xlfn.XLOOKUP(Contrato5[[#This Row],[DOCUMENTO]],[2]!PERSONAL_ACTIVO_2024[[#All],[Documento identidad]],[2]!PERSONAL_ACTIVO_2024[[#All],[Mail ]],0,0)</f>
        <v>#NAME?</v>
      </c>
      <c r="AQ627" s="439" cm="1">
        <f t="array" aca="1" ref="AQ627" ca="1">IF(ISBLANK(Contrato5[[#This Row],[DEPENDENCIA ]]),0,IFERROR(_xlfn.XLOOKUP(Contrato5[[#This Row],[DEPENDENCIA ]],[2]!PERSONAL_ACTIVO_2024[[#All],[Dependencia]],[2]!PERSONAL_ACTIVO_2024[[#All],[Mail ]],0,0),0))</f>
        <v>0</v>
      </c>
    </row>
    <row r="628" spans="1:43" ht="34.5" customHeight="1">
      <c r="A628" s="125">
        <v>891</v>
      </c>
      <c r="B628" s="124">
        <v>503</v>
      </c>
      <c r="C628" s="162" t="s">
        <v>1987</v>
      </c>
      <c r="D628" s="227" t="s">
        <v>583</v>
      </c>
      <c r="E628" s="440" t="s">
        <v>94</v>
      </c>
      <c r="F628" s="227" t="s">
        <v>1376</v>
      </c>
      <c r="G628" s="281" t="s">
        <v>695</v>
      </c>
      <c r="H628" s="436">
        <v>1037595831</v>
      </c>
      <c r="I628" s="273">
        <v>3952382</v>
      </c>
      <c r="J628" s="437">
        <v>16073020</v>
      </c>
      <c r="K628" s="131" t="s">
        <v>42</v>
      </c>
      <c r="L628" s="438" t="s">
        <v>2855</v>
      </c>
      <c r="M628" s="194" t="s">
        <v>592</v>
      </c>
      <c r="N628" s="177" t="e" cm="1">
        <f t="array" aca="1" ref="N628" ca="1">_xlfn.XLOOKUP(Contrato5[[#This Row],[SUPERVISOR TITULAR]],[2]!PERSONAL_ACTIVO_2024[[#All],[Nombre completo]],[2]!PERSONAL_ACTIVO_2024[[#All],[Documento identidad]],"",0)</f>
        <v>#NAME?</v>
      </c>
      <c r="O628" s="194" t="s">
        <v>600</v>
      </c>
      <c r="P628" s="196" t="e" cm="1">
        <f t="array" aca="1" ref="P628" ca="1">_xlfn.XLOOKUP(Contrato5[[#This Row],[SUPERVISOR SUPLENTE ]],[2]!PERSONAL_ACTIVO_2024[[#All],[Nombre completo]],[2]!PERSONAL_ACTIVO_2024[[#All],[Documento identidad]],"",0)</f>
        <v>#NAME?</v>
      </c>
      <c r="Q628" s="170">
        <v>737</v>
      </c>
      <c r="R628" s="137" t="e" cm="1">
        <f t="array" aca="1" ref="R628" ca="1">_xlfn.XLOOKUP(Contrato5[[#This Row],[CDP]],[2]!DISPONIBILIDADES_2024[[#All],[consecutivo]],[2]!DISPONIBILIDADES_2024[[#All],[fecha_aprobacion]],"",0)</f>
        <v>#NAME?</v>
      </c>
      <c r="S628" s="138" t="e">
        <f>SUMIF([2]!DISPONIBILIDADES_2024[[#All],[consecutivo]],Contrato5[[#This Row],[CDP]],[2]!DISPONIBILIDADES_2024[[#All],[valor_total_rubro]])</f>
        <v>#REF!</v>
      </c>
      <c r="T628" s="139" t="e" cm="1">
        <f t="array" aca="1" ref="T628" ca="1">_xlfn.XLOOKUP(Contrato5[[#This Row],[CONTRATO]]&amp;Contrato5[[#This Row],[CDP]],[2]!Corr_Contr_CDP[[#All],[CONTRATO-CDP]],[2]!Corr_Contr_CDP[[#All],[CRP]],_xlfn.XLOOKUP(Contrato5[[#This Row],[CDP]],[2]!COMPROMISOS_2024[[#All],[disponibilidad]],[2]!COMPROMISOS_2024[[#All],[consecutivo]],"",0),0)</f>
        <v>#NAME?</v>
      </c>
      <c r="U628" s="140" t="e" cm="1">
        <f t="array" aca="1" ref="U628" ca="1">+_xlfn.XLOOKUP(Contrato5[[#This Row],[RCP]],[2]!COMPROMISOS_2024[[#All],[consecutivo]],[2]!COMPROMISOS_2024[[#All],[fecha_aprobacion]],"",0)</f>
        <v>#NAME?</v>
      </c>
      <c r="V628" s="141" t="e">
        <f ca="1">SUMIF([2]!COMPROMISOS_2024[[#All],[consecutivo]],Contrato5[[#This Row],[RCP]],[2]!COMPROMISOS_2024[[#All],[valor_total]])</f>
        <v>#REF!</v>
      </c>
      <c r="W628" s="160">
        <v>45516</v>
      </c>
      <c r="X628" s="160" t="s">
        <v>1045</v>
      </c>
      <c r="Y628" s="143">
        <v>45520</v>
      </c>
      <c r="Z628" s="262">
        <v>45643</v>
      </c>
      <c r="AA628" s="171" t="s">
        <v>2875</v>
      </c>
      <c r="AB628" s="172" t="s">
        <v>2905</v>
      </c>
      <c r="AC628" s="172"/>
      <c r="AD628" s="425">
        <v>202000005066</v>
      </c>
      <c r="AE628" s="147" t="s">
        <v>523</v>
      </c>
      <c r="AF628" s="148" t="str">
        <f>TEXT(LEFT(Contrato5[[#This Row],[CONTRATO]],3),"0")</f>
        <v>503</v>
      </c>
      <c r="AG628" s="148" t="str">
        <f>IF(LEN(Contrato5[[#This Row],[Contrato2]])=3,Contrato5[[#This Row],[Contrato2]],TEXT(Contrato5[[#This Row],[Contrato2]],"000"))</f>
        <v>503</v>
      </c>
      <c r="AH628" s="149">
        <f ca="1">IFERROR(_xlfn.DAYS(Contrato5[[#This Row],[Fecha Proyectada liquidación]],TODAY())/30,"")</f>
        <v>0.16666666666666666</v>
      </c>
      <c r="AI628" s="150">
        <f>+Contrato5[[#This Row],[FECHA TERMINACIÓN ]]+120</f>
        <v>45763</v>
      </c>
      <c r="AJ628" s="147"/>
      <c r="AK628" s="152" t="str">
        <f ca="1">IF(Contrato5[[#This Row],[FECHA TERMINACIÓN ]]&lt;TODAY(), "Terminado",IF(ISNUMBER(Contrato5[[#This Row],[Fecha Real de liquiidación ]]),"Liquidado",IF(Contrato5[[#This Row],[FECHA TERMINACIÓN ]]&gt;=TODAY(),"En ejecución","")))</f>
        <v>Terminado</v>
      </c>
      <c r="AL628" s="153" t="e">
        <f ca="1">SUMIF([2]!COMPROMISOS_2024[[#All],[consecutivo]],Contrato5[[#This Row],[RCP]],[2]!COMPROMISOS_2024[[#All],[Total pagado]])</f>
        <v>#REF!</v>
      </c>
      <c r="AM628" s="154">
        <f ca="1">IFERROR(Contrato5[[#This Row],[Pagos]]/Contrato5[[#This Row],[VALOR CONTRATO]],0)</f>
        <v>0</v>
      </c>
      <c r="AN628" s="198" t="e">
        <f ca="1">+Contrato5[[#This Row],[VALOR CONTRATO]]-Contrato5[[#This Row],[Pagos]]</f>
        <v>#REF!</v>
      </c>
      <c r="AO628" s="147" t="e" cm="1">
        <f t="array" aca="1" ref="AO628" ca="1">_xlfn.XLOOKUP(Contrato5[[#This Row],[DOCUMENTO ]],[2]!PERSONAL_ACTIVO_2024[[#All],[Documento identidad]],[2]!PERSONAL_ACTIVO_2024[[#All],[Mail ]],0,0)</f>
        <v>#NAME?</v>
      </c>
      <c r="AP628" s="147" t="e" cm="1">
        <f t="array" aca="1" ref="AP628" ca="1">_xlfn.XLOOKUP(Contrato5[[#This Row],[DOCUMENTO]],[2]!PERSONAL_ACTIVO_2024[[#All],[Documento identidad]],[2]!PERSONAL_ACTIVO_2024[[#All],[Mail ]],0,0)</f>
        <v>#NAME?</v>
      </c>
      <c r="AQ628" s="439" cm="1">
        <f t="array" aca="1" ref="AQ628" ca="1">IF(ISBLANK(Contrato5[[#This Row],[DEPENDENCIA ]]),0,IFERROR(_xlfn.XLOOKUP(Contrato5[[#This Row],[DEPENDENCIA ]],[2]!PERSONAL_ACTIVO_2024[[#All],[Dependencia]],[2]!PERSONAL_ACTIVO_2024[[#All],[Mail ]],0,0),0))</f>
        <v>0</v>
      </c>
    </row>
    <row r="629" spans="1:43" ht="34.5" customHeight="1">
      <c r="A629" s="125">
        <v>892</v>
      </c>
      <c r="B629" s="124">
        <v>504</v>
      </c>
      <c r="C629" s="162" t="s">
        <v>1987</v>
      </c>
      <c r="D629" s="227" t="s">
        <v>583</v>
      </c>
      <c r="E629" s="440" t="s">
        <v>94</v>
      </c>
      <c r="F629" s="227" t="s">
        <v>1376</v>
      </c>
      <c r="G629" s="281" t="s">
        <v>2906</v>
      </c>
      <c r="H629" s="436">
        <v>71254179</v>
      </c>
      <c r="I629" s="273">
        <v>5931149</v>
      </c>
      <c r="J629" s="437">
        <v>24120006</v>
      </c>
      <c r="K629" s="131" t="s">
        <v>42</v>
      </c>
      <c r="L629" s="438" t="s">
        <v>2855</v>
      </c>
      <c r="M629" s="194" t="s">
        <v>592</v>
      </c>
      <c r="N629" s="177" t="e" cm="1">
        <f t="array" aca="1" ref="N629" ca="1">_xlfn.XLOOKUP(Contrato5[[#This Row],[SUPERVISOR TITULAR]],[2]!PERSONAL_ACTIVO_2024[[#All],[Nombre completo]],[2]!PERSONAL_ACTIVO_2024[[#All],[Documento identidad]],"",0)</f>
        <v>#NAME?</v>
      </c>
      <c r="O629" s="194" t="s">
        <v>600</v>
      </c>
      <c r="P629" s="196" t="e" cm="1">
        <f t="array" aca="1" ref="P629" ca="1">_xlfn.XLOOKUP(Contrato5[[#This Row],[SUPERVISOR SUPLENTE ]],[2]!PERSONAL_ACTIVO_2024[[#All],[Nombre completo]],[2]!PERSONAL_ACTIVO_2024[[#All],[Documento identidad]],"",0)</f>
        <v>#NAME?</v>
      </c>
      <c r="Q629" s="170">
        <v>684</v>
      </c>
      <c r="R629" s="137" t="e" cm="1">
        <f t="array" aca="1" ref="R629" ca="1">_xlfn.XLOOKUP(Contrato5[[#This Row],[CDP]],[2]!DISPONIBILIDADES_2024[[#All],[consecutivo]],[2]!DISPONIBILIDADES_2024[[#All],[fecha_aprobacion]],"",0)</f>
        <v>#NAME?</v>
      </c>
      <c r="S629" s="138" t="e">
        <f>SUMIF([2]!DISPONIBILIDADES_2024[[#All],[consecutivo]],Contrato5[[#This Row],[CDP]],[2]!DISPONIBILIDADES_2024[[#All],[valor_total_rubro]])</f>
        <v>#REF!</v>
      </c>
      <c r="T629" s="139" t="e" cm="1">
        <f t="array" aca="1" ref="T629" ca="1">_xlfn.XLOOKUP(Contrato5[[#This Row],[CONTRATO]]&amp;Contrato5[[#This Row],[CDP]],[2]!Corr_Contr_CDP[[#All],[CONTRATO-CDP]],[2]!Corr_Contr_CDP[[#All],[CRP]],_xlfn.XLOOKUP(Contrato5[[#This Row],[CDP]],[2]!COMPROMISOS_2024[[#All],[disponibilidad]],[2]!COMPROMISOS_2024[[#All],[consecutivo]],"",0),0)</f>
        <v>#NAME?</v>
      </c>
      <c r="U629" s="140" t="e" cm="1">
        <f t="array" aca="1" ref="U629" ca="1">+_xlfn.XLOOKUP(Contrato5[[#This Row],[RCP]],[2]!COMPROMISOS_2024[[#All],[consecutivo]],[2]!COMPROMISOS_2024[[#All],[fecha_aprobacion]],"",0)</f>
        <v>#NAME?</v>
      </c>
      <c r="V629" s="141" t="e">
        <f ca="1">SUMIF([2]!COMPROMISOS_2024[[#All],[consecutivo]],Contrato5[[#This Row],[RCP]],[2]!COMPROMISOS_2024[[#All],[valor_total]])</f>
        <v>#REF!</v>
      </c>
      <c r="W629" s="160">
        <v>45516</v>
      </c>
      <c r="X629" s="160" t="s">
        <v>1045</v>
      </c>
      <c r="Y629" s="143">
        <v>45520</v>
      </c>
      <c r="Z629" s="262">
        <v>45643</v>
      </c>
      <c r="AA629" s="171" t="s">
        <v>2875</v>
      </c>
      <c r="AB629" s="172" t="s">
        <v>2905</v>
      </c>
      <c r="AC629" s="172"/>
      <c r="AD629" s="425">
        <v>202000005067</v>
      </c>
      <c r="AE629" s="147" t="s">
        <v>523</v>
      </c>
      <c r="AF629" s="148" t="str">
        <f>TEXT(LEFT(Contrato5[[#This Row],[CONTRATO]],3),"0")</f>
        <v>504</v>
      </c>
      <c r="AG629" s="148" t="str">
        <f>IF(LEN(Contrato5[[#This Row],[Contrato2]])=3,Contrato5[[#This Row],[Contrato2]],TEXT(Contrato5[[#This Row],[Contrato2]],"000"))</f>
        <v>504</v>
      </c>
      <c r="AH629" s="149">
        <f ca="1">IFERROR(_xlfn.DAYS(Contrato5[[#This Row],[Fecha Proyectada liquidación]],TODAY())/30,"")</f>
        <v>0.16666666666666666</v>
      </c>
      <c r="AI629" s="150">
        <f>+Contrato5[[#This Row],[FECHA TERMINACIÓN ]]+120</f>
        <v>45763</v>
      </c>
      <c r="AJ629" s="147"/>
      <c r="AK629" s="152" t="str">
        <f ca="1">IF(Contrato5[[#This Row],[FECHA TERMINACIÓN ]]&lt;TODAY(), "Terminado",IF(ISNUMBER(Contrato5[[#This Row],[Fecha Real de liquiidación ]]),"Liquidado",IF(Contrato5[[#This Row],[FECHA TERMINACIÓN ]]&gt;=TODAY(),"En ejecución","")))</f>
        <v>Terminado</v>
      </c>
      <c r="AL629" s="153" t="e">
        <f ca="1">SUMIF([2]!COMPROMISOS_2024[[#All],[consecutivo]],Contrato5[[#This Row],[RCP]],[2]!COMPROMISOS_2024[[#All],[Total pagado]])</f>
        <v>#REF!</v>
      </c>
      <c r="AM629" s="154">
        <f ca="1">IFERROR(Contrato5[[#This Row],[Pagos]]/Contrato5[[#This Row],[VALOR CONTRATO]],0)</f>
        <v>0</v>
      </c>
      <c r="AN629" s="198" t="e">
        <f ca="1">+Contrato5[[#This Row],[VALOR CONTRATO]]-Contrato5[[#This Row],[Pagos]]</f>
        <v>#REF!</v>
      </c>
      <c r="AO629" s="147" t="e" cm="1">
        <f t="array" aca="1" ref="AO629" ca="1">_xlfn.XLOOKUP(Contrato5[[#This Row],[DOCUMENTO ]],[2]!PERSONAL_ACTIVO_2024[[#All],[Documento identidad]],[2]!PERSONAL_ACTIVO_2024[[#All],[Mail ]],0,0)</f>
        <v>#NAME?</v>
      </c>
      <c r="AP629" s="147" t="e" cm="1">
        <f t="array" aca="1" ref="AP629" ca="1">_xlfn.XLOOKUP(Contrato5[[#This Row],[DOCUMENTO]],[2]!PERSONAL_ACTIVO_2024[[#All],[Documento identidad]],[2]!PERSONAL_ACTIVO_2024[[#All],[Mail ]],0,0)</f>
        <v>#NAME?</v>
      </c>
      <c r="AQ629" s="439" cm="1">
        <f t="array" aca="1" ref="AQ629" ca="1">IF(ISBLANK(Contrato5[[#This Row],[DEPENDENCIA ]]),0,IFERROR(_xlfn.XLOOKUP(Contrato5[[#This Row],[DEPENDENCIA ]],[2]!PERSONAL_ACTIVO_2024[[#All],[Dependencia]],[2]!PERSONAL_ACTIVO_2024[[#All],[Mail ]],0,0),0))</f>
        <v>0</v>
      </c>
    </row>
    <row r="630" spans="1:43" ht="34.5" customHeight="1">
      <c r="A630" s="125">
        <v>893</v>
      </c>
      <c r="B630" s="124">
        <v>505</v>
      </c>
      <c r="C630" s="162" t="s">
        <v>1987</v>
      </c>
      <c r="D630" s="227" t="s">
        <v>583</v>
      </c>
      <c r="E630" s="440" t="s">
        <v>94</v>
      </c>
      <c r="F630" s="227" t="s">
        <v>1376</v>
      </c>
      <c r="G630" s="281" t="s">
        <v>2907</v>
      </c>
      <c r="H630" s="436">
        <v>8395754</v>
      </c>
      <c r="I630" s="273">
        <v>7908765</v>
      </c>
      <c r="J630" s="437">
        <v>32162311</v>
      </c>
      <c r="K630" s="131" t="s">
        <v>42</v>
      </c>
      <c r="L630" s="438" t="s">
        <v>2855</v>
      </c>
      <c r="M630" s="194" t="s">
        <v>592</v>
      </c>
      <c r="N630" s="177" t="e" cm="1">
        <f t="array" aca="1" ref="N630" ca="1">_xlfn.XLOOKUP(Contrato5[[#This Row],[SUPERVISOR TITULAR]],[2]!PERSONAL_ACTIVO_2024[[#All],[Nombre completo]],[2]!PERSONAL_ACTIVO_2024[[#All],[Documento identidad]],"",0)</f>
        <v>#NAME?</v>
      </c>
      <c r="O630" s="194" t="s">
        <v>600</v>
      </c>
      <c r="P630" s="196" t="e" cm="1">
        <f t="array" aca="1" ref="P630" ca="1">_xlfn.XLOOKUP(Contrato5[[#This Row],[SUPERVISOR SUPLENTE ]],[2]!PERSONAL_ACTIVO_2024[[#All],[Nombre completo]],[2]!PERSONAL_ACTIVO_2024[[#All],[Documento identidad]],"",0)</f>
        <v>#NAME?</v>
      </c>
      <c r="Q630" s="170">
        <v>785</v>
      </c>
      <c r="R630" s="137" t="e" cm="1">
        <f t="array" aca="1" ref="R630" ca="1">_xlfn.XLOOKUP(Contrato5[[#This Row],[CDP]],[2]!DISPONIBILIDADES_2024[[#All],[consecutivo]],[2]!DISPONIBILIDADES_2024[[#All],[fecha_aprobacion]],"",0)</f>
        <v>#NAME?</v>
      </c>
      <c r="S630" s="138" t="e">
        <f>SUMIF([2]!DISPONIBILIDADES_2024[[#All],[consecutivo]],Contrato5[[#This Row],[CDP]],[2]!DISPONIBILIDADES_2024[[#All],[valor_total_rubro]])</f>
        <v>#REF!</v>
      </c>
      <c r="T630" s="139" t="e" cm="1">
        <f t="array" aca="1" ref="T630" ca="1">_xlfn.XLOOKUP(Contrato5[[#This Row],[CONTRATO]]&amp;Contrato5[[#This Row],[CDP]],[2]!Corr_Contr_CDP[[#All],[CONTRATO-CDP]],[2]!Corr_Contr_CDP[[#All],[CRP]],_xlfn.XLOOKUP(Contrato5[[#This Row],[CDP]],[2]!COMPROMISOS_2024[[#All],[disponibilidad]],[2]!COMPROMISOS_2024[[#All],[consecutivo]],"",0),0)</f>
        <v>#NAME?</v>
      </c>
      <c r="U630" s="140" t="e" cm="1">
        <f t="array" aca="1" ref="U630" ca="1">+_xlfn.XLOOKUP(Contrato5[[#This Row],[RCP]],[2]!COMPROMISOS_2024[[#All],[consecutivo]],[2]!COMPROMISOS_2024[[#All],[fecha_aprobacion]],"",0)</f>
        <v>#NAME?</v>
      </c>
      <c r="V630" s="141" t="e">
        <f ca="1">SUMIF([2]!COMPROMISOS_2024[[#All],[consecutivo]],Contrato5[[#This Row],[RCP]],[2]!COMPROMISOS_2024[[#All],[valor_total]])</f>
        <v>#REF!</v>
      </c>
      <c r="W630" s="160">
        <v>45516</v>
      </c>
      <c r="X630" s="160" t="s">
        <v>1045</v>
      </c>
      <c r="Y630" s="143">
        <v>45520</v>
      </c>
      <c r="Z630" s="262">
        <v>45643</v>
      </c>
      <c r="AA630" s="171" t="s">
        <v>2877</v>
      </c>
      <c r="AB630" s="172" t="s">
        <v>2871</v>
      </c>
      <c r="AC630" s="172"/>
      <c r="AD630" s="425">
        <v>202000005068</v>
      </c>
      <c r="AE630" s="147" t="s">
        <v>523</v>
      </c>
      <c r="AF630" s="148" t="str">
        <f>TEXT(LEFT(Contrato5[[#This Row],[CONTRATO]],3),"0")</f>
        <v>505</v>
      </c>
      <c r="AG630" s="148" t="str">
        <f>IF(LEN(Contrato5[[#This Row],[Contrato2]])=3,Contrato5[[#This Row],[Contrato2]],TEXT(Contrato5[[#This Row],[Contrato2]],"000"))</f>
        <v>505</v>
      </c>
      <c r="AH630" s="149">
        <f ca="1">IFERROR(_xlfn.DAYS(Contrato5[[#This Row],[Fecha Proyectada liquidación]],TODAY())/30,"")</f>
        <v>0.16666666666666666</v>
      </c>
      <c r="AI630" s="150">
        <f>+Contrato5[[#This Row],[FECHA TERMINACIÓN ]]+120</f>
        <v>45763</v>
      </c>
      <c r="AJ630" s="147"/>
      <c r="AK630" s="152" t="str">
        <f ca="1">IF(Contrato5[[#This Row],[FECHA TERMINACIÓN ]]&lt;TODAY(), "Terminado",IF(ISNUMBER(Contrato5[[#This Row],[Fecha Real de liquiidación ]]),"Liquidado",IF(Contrato5[[#This Row],[FECHA TERMINACIÓN ]]&gt;=TODAY(),"En ejecución","")))</f>
        <v>Terminado</v>
      </c>
      <c r="AL630" s="153" t="e">
        <f ca="1">SUMIF([2]!COMPROMISOS_2024[[#All],[consecutivo]],Contrato5[[#This Row],[RCP]],[2]!COMPROMISOS_2024[[#All],[Total pagado]])</f>
        <v>#REF!</v>
      </c>
      <c r="AM630" s="154">
        <f ca="1">IFERROR(Contrato5[[#This Row],[Pagos]]/Contrato5[[#This Row],[VALOR CONTRATO]],0)</f>
        <v>0</v>
      </c>
      <c r="AN630" s="198" t="e">
        <f ca="1">+Contrato5[[#This Row],[VALOR CONTRATO]]-Contrato5[[#This Row],[Pagos]]</f>
        <v>#REF!</v>
      </c>
      <c r="AO630" s="147" t="e" cm="1">
        <f t="array" aca="1" ref="AO630" ca="1">_xlfn.XLOOKUP(Contrato5[[#This Row],[DOCUMENTO ]],[2]!PERSONAL_ACTIVO_2024[[#All],[Documento identidad]],[2]!PERSONAL_ACTIVO_2024[[#All],[Mail ]],0,0)</f>
        <v>#NAME?</v>
      </c>
      <c r="AP630" s="147" t="e" cm="1">
        <f t="array" aca="1" ref="AP630" ca="1">_xlfn.XLOOKUP(Contrato5[[#This Row],[DOCUMENTO]],[2]!PERSONAL_ACTIVO_2024[[#All],[Documento identidad]],[2]!PERSONAL_ACTIVO_2024[[#All],[Mail ]],0,0)</f>
        <v>#NAME?</v>
      </c>
      <c r="AQ630" s="439" cm="1">
        <f t="array" aca="1" ref="AQ630" ca="1">IF(ISBLANK(Contrato5[[#This Row],[DEPENDENCIA ]]),0,IFERROR(_xlfn.XLOOKUP(Contrato5[[#This Row],[DEPENDENCIA ]],[2]!PERSONAL_ACTIVO_2024[[#All],[Dependencia]],[2]!PERSONAL_ACTIVO_2024[[#All],[Mail ]],0,0),0))</f>
        <v>0</v>
      </c>
    </row>
    <row r="631" spans="1:43" ht="34.5" customHeight="1">
      <c r="A631" s="125">
        <v>894</v>
      </c>
      <c r="B631" s="124">
        <v>506</v>
      </c>
      <c r="C631" s="162" t="s">
        <v>1987</v>
      </c>
      <c r="D631" s="227" t="s">
        <v>583</v>
      </c>
      <c r="E631" s="440" t="s">
        <v>94</v>
      </c>
      <c r="F631" s="227" t="s">
        <v>1376</v>
      </c>
      <c r="G631" s="281" t="s">
        <v>698</v>
      </c>
      <c r="H631" s="436">
        <v>32294449</v>
      </c>
      <c r="I631" s="273">
        <v>4908936</v>
      </c>
      <c r="J631" s="437">
        <v>19963006</v>
      </c>
      <c r="K631" s="131" t="s">
        <v>42</v>
      </c>
      <c r="L631" s="438" t="s">
        <v>2855</v>
      </c>
      <c r="M631" s="194" t="s">
        <v>592</v>
      </c>
      <c r="N631" s="177" t="e" cm="1">
        <f t="array" aca="1" ref="N631" ca="1">_xlfn.XLOOKUP(Contrato5[[#This Row],[SUPERVISOR TITULAR]],[2]!PERSONAL_ACTIVO_2024[[#All],[Nombre completo]],[2]!PERSONAL_ACTIVO_2024[[#All],[Documento identidad]],"",0)</f>
        <v>#NAME?</v>
      </c>
      <c r="O631" s="194" t="s">
        <v>600</v>
      </c>
      <c r="P631" s="196" t="e" cm="1">
        <f t="array" aca="1" ref="P631" ca="1">_xlfn.XLOOKUP(Contrato5[[#This Row],[SUPERVISOR SUPLENTE ]],[2]!PERSONAL_ACTIVO_2024[[#All],[Nombre completo]],[2]!PERSONAL_ACTIVO_2024[[#All],[Documento identidad]],"",0)</f>
        <v>#NAME?</v>
      </c>
      <c r="Q631" s="170">
        <v>786</v>
      </c>
      <c r="R631" s="137" t="e" cm="1">
        <f t="array" aca="1" ref="R631" ca="1">_xlfn.XLOOKUP(Contrato5[[#This Row],[CDP]],[2]!DISPONIBILIDADES_2024[[#All],[consecutivo]],[2]!DISPONIBILIDADES_2024[[#All],[fecha_aprobacion]],"",0)</f>
        <v>#NAME?</v>
      </c>
      <c r="S631" s="138" t="e">
        <f>SUMIF([2]!DISPONIBILIDADES_2024[[#All],[consecutivo]],Contrato5[[#This Row],[CDP]],[2]!DISPONIBILIDADES_2024[[#All],[valor_total_rubro]])</f>
        <v>#REF!</v>
      </c>
      <c r="T631" s="139" t="e" cm="1">
        <f t="array" aca="1" ref="T631" ca="1">_xlfn.XLOOKUP(Contrato5[[#This Row],[CONTRATO]]&amp;Contrato5[[#This Row],[CDP]],[2]!Corr_Contr_CDP[[#All],[CONTRATO-CDP]],[2]!Corr_Contr_CDP[[#All],[CRP]],_xlfn.XLOOKUP(Contrato5[[#This Row],[CDP]],[2]!COMPROMISOS_2024[[#All],[disponibilidad]],[2]!COMPROMISOS_2024[[#All],[consecutivo]],"",0),0)</f>
        <v>#NAME?</v>
      </c>
      <c r="U631" s="140" t="e" cm="1">
        <f t="array" aca="1" ref="U631" ca="1">+_xlfn.XLOOKUP(Contrato5[[#This Row],[RCP]],[2]!COMPROMISOS_2024[[#All],[consecutivo]],[2]!COMPROMISOS_2024[[#All],[fecha_aprobacion]],"",0)</f>
        <v>#NAME?</v>
      </c>
      <c r="V631" s="141" t="e">
        <f ca="1">SUMIF([2]!COMPROMISOS_2024[[#All],[consecutivo]],Contrato5[[#This Row],[RCP]],[2]!COMPROMISOS_2024[[#All],[valor_total]])</f>
        <v>#REF!</v>
      </c>
      <c r="W631" s="160">
        <v>45516</v>
      </c>
      <c r="X631" s="160" t="s">
        <v>1045</v>
      </c>
      <c r="Y631" s="143">
        <v>45520</v>
      </c>
      <c r="Z631" s="262">
        <v>45643</v>
      </c>
      <c r="AA631" s="171" t="s">
        <v>2877</v>
      </c>
      <c r="AB631" s="172" t="s">
        <v>2871</v>
      </c>
      <c r="AC631" s="172"/>
      <c r="AD631" s="425">
        <v>202000005069</v>
      </c>
      <c r="AE631" s="147" t="s">
        <v>523</v>
      </c>
      <c r="AF631" s="148" t="str">
        <f>TEXT(LEFT(Contrato5[[#This Row],[CONTRATO]],3),"0")</f>
        <v>506</v>
      </c>
      <c r="AG631" s="148" t="str">
        <f>IF(LEN(Contrato5[[#This Row],[Contrato2]])=3,Contrato5[[#This Row],[Contrato2]],TEXT(Contrato5[[#This Row],[Contrato2]],"000"))</f>
        <v>506</v>
      </c>
      <c r="AH631" s="149">
        <f ca="1">IFERROR(_xlfn.DAYS(Contrato5[[#This Row],[Fecha Proyectada liquidación]],TODAY())/30,"")</f>
        <v>0.16666666666666666</v>
      </c>
      <c r="AI631" s="150">
        <f>+Contrato5[[#This Row],[FECHA TERMINACIÓN ]]+120</f>
        <v>45763</v>
      </c>
      <c r="AJ631" s="147"/>
      <c r="AK631" s="152" t="str">
        <f ca="1">IF(Contrato5[[#This Row],[FECHA TERMINACIÓN ]]&lt;TODAY(), "Terminado",IF(ISNUMBER(Contrato5[[#This Row],[Fecha Real de liquiidación ]]),"Liquidado",IF(Contrato5[[#This Row],[FECHA TERMINACIÓN ]]&gt;=TODAY(),"En ejecución","")))</f>
        <v>Terminado</v>
      </c>
      <c r="AL631" s="153" t="e">
        <f ca="1">SUMIF([2]!COMPROMISOS_2024[[#All],[consecutivo]],Contrato5[[#This Row],[RCP]],[2]!COMPROMISOS_2024[[#All],[Total pagado]])</f>
        <v>#REF!</v>
      </c>
      <c r="AM631" s="154">
        <f ca="1">IFERROR(Contrato5[[#This Row],[Pagos]]/Contrato5[[#This Row],[VALOR CONTRATO]],0)</f>
        <v>0</v>
      </c>
      <c r="AN631" s="198" t="e">
        <f ca="1">+Contrato5[[#This Row],[VALOR CONTRATO]]-Contrato5[[#This Row],[Pagos]]</f>
        <v>#REF!</v>
      </c>
      <c r="AO631" s="147" t="e" cm="1">
        <f t="array" aca="1" ref="AO631" ca="1">_xlfn.XLOOKUP(Contrato5[[#This Row],[DOCUMENTO ]],[2]!PERSONAL_ACTIVO_2024[[#All],[Documento identidad]],[2]!PERSONAL_ACTIVO_2024[[#All],[Mail ]],0,0)</f>
        <v>#NAME?</v>
      </c>
      <c r="AP631" s="147" t="e" cm="1">
        <f t="array" aca="1" ref="AP631" ca="1">_xlfn.XLOOKUP(Contrato5[[#This Row],[DOCUMENTO]],[2]!PERSONAL_ACTIVO_2024[[#All],[Documento identidad]],[2]!PERSONAL_ACTIVO_2024[[#All],[Mail ]],0,0)</f>
        <v>#NAME?</v>
      </c>
      <c r="AQ631" s="439" cm="1">
        <f t="array" aca="1" ref="AQ631" ca="1">IF(ISBLANK(Contrato5[[#This Row],[DEPENDENCIA ]]),0,IFERROR(_xlfn.XLOOKUP(Contrato5[[#This Row],[DEPENDENCIA ]],[2]!PERSONAL_ACTIVO_2024[[#All],[Dependencia]],[2]!PERSONAL_ACTIVO_2024[[#All],[Mail ]],0,0),0))</f>
        <v>0</v>
      </c>
    </row>
    <row r="632" spans="1:43" ht="34.5" customHeight="1">
      <c r="A632" s="125">
        <v>895</v>
      </c>
      <c r="B632" s="124">
        <v>507</v>
      </c>
      <c r="C632" s="162" t="s">
        <v>1987</v>
      </c>
      <c r="D632" s="227" t="s">
        <v>583</v>
      </c>
      <c r="E632" s="440" t="s">
        <v>94</v>
      </c>
      <c r="F632" s="227" t="s">
        <v>1376</v>
      </c>
      <c r="G632" s="281" t="s">
        <v>2908</v>
      </c>
      <c r="H632" s="436">
        <v>70128720</v>
      </c>
      <c r="I632" s="273">
        <v>9212989</v>
      </c>
      <c r="J632" s="437">
        <v>37466155</v>
      </c>
      <c r="K632" s="131" t="s">
        <v>42</v>
      </c>
      <c r="L632" s="438" t="s">
        <v>2855</v>
      </c>
      <c r="M632" s="194" t="s">
        <v>592</v>
      </c>
      <c r="N632" s="177" t="e" cm="1">
        <f t="array" aca="1" ref="N632" ca="1">_xlfn.XLOOKUP(Contrato5[[#This Row],[SUPERVISOR TITULAR]],[2]!PERSONAL_ACTIVO_2024[[#All],[Nombre completo]],[2]!PERSONAL_ACTIVO_2024[[#All],[Documento identidad]],"",0)</f>
        <v>#NAME?</v>
      </c>
      <c r="O632" s="194" t="s">
        <v>600</v>
      </c>
      <c r="P632" s="196" t="e" cm="1">
        <f t="array" aca="1" ref="P632" ca="1">_xlfn.XLOOKUP(Contrato5[[#This Row],[SUPERVISOR SUPLENTE ]],[2]!PERSONAL_ACTIVO_2024[[#All],[Nombre completo]],[2]!PERSONAL_ACTIVO_2024[[#All],[Documento identidad]],"",0)</f>
        <v>#NAME?</v>
      </c>
      <c r="Q632" s="170">
        <v>688</v>
      </c>
      <c r="R632" s="137" t="e" cm="1">
        <f t="array" aca="1" ref="R632" ca="1">_xlfn.XLOOKUP(Contrato5[[#This Row],[CDP]],[2]!DISPONIBILIDADES_2024[[#All],[consecutivo]],[2]!DISPONIBILIDADES_2024[[#All],[fecha_aprobacion]],"",0)</f>
        <v>#NAME?</v>
      </c>
      <c r="S632" s="138" t="e">
        <f>SUMIF([2]!DISPONIBILIDADES_2024[[#All],[consecutivo]],Contrato5[[#This Row],[CDP]],[2]!DISPONIBILIDADES_2024[[#All],[valor_total_rubro]])</f>
        <v>#REF!</v>
      </c>
      <c r="T632" s="139" t="e" cm="1">
        <f t="array" aca="1" ref="T632" ca="1">_xlfn.XLOOKUP(Contrato5[[#This Row],[CONTRATO]]&amp;Contrato5[[#This Row],[CDP]],[2]!Corr_Contr_CDP[[#All],[CONTRATO-CDP]],[2]!Corr_Contr_CDP[[#All],[CRP]],_xlfn.XLOOKUP(Contrato5[[#This Row],[CDP]],[2]!COMPROMISOS_2024[[#All],[disponibilidad]],[2]!COMPROMISOS_2024[[#All],[consecutivo]],"",0),0)</f>
        <v>#NAME?</v>
      </c>
      <c r="U632" s="140" t="e" cm="1">
        <f t="array" aca="1" ref="U632" ca="1">+_xlfn.XLOOKUP(Contrato5[[#This Row],[RCP]],[2]!COMPROMISOS_2024[[#All],[consecutivo]],[2]!COMPROMISOS_2024[[#All],[fecha_aprobacion]],"",0)</f>
        <v>#NAME?</v>
      </c>
      <c r="V632" s="141" t="e">
        <f ca="1">SUMIF([2]!COMPROMISOS_2024[[#All],[consecutivo]],Contrato5[[#This Row],[RCP]],[2]!COMPROMISOS_2024[[#All],[valor_total]])</f>
        <v>#REF!</v>
      </c>
      <c r="W632" s="160">
        <v>45516</v>
      </c>
      <c r="X632" s="160" t="s">
        <v>1045</v>
      </c>
      <c r="Y632" s="143">
        <v>45520</v>
      </c>
      <c r="Z632" s="262">
        <v>45643</v>
      </c>
      <c r="AA632" s="171" t="s">
        <v>2909</v>
      </c>
      <c r="AB632" s="172" t="s">
        <v>2871</v>
      </c>
      <c r="AC632" s="172"/>
      <c r="AD632" s="425">
        <v>202000005070</v>
      </c>
      <c r="AE632" s="147" t="s">
        <v>523</v>
      </c>
      <c r="AF632" s="148" t="str">
        <f>TEXT(LEFT(Contrato5[[#This Row],[CONTRATO]],3),"0")</f>
        <v>507</v>
      </c>
      <c r="AG632" s="148" t="str">
        <f>IF(LEN(Contrato5[[#This Row],[Contrato2]])=3,Contrato5[[#This Row],[Contrato2]],TEXT(Contrato5[[#This Row],[Contrato2]],"000"))</f>
        <v>507</v>
      </c>
      <c r="AH632" s="149">
        <f ca="1">IFERROR(_xlfn.DAYS(Contrato5[[#This Row],[Fecha Proyectada liquidación]],TODAY())/30,"")</f>
        <v>0.16666666666666666</v>
      </c>
      <c r="AI632" s="150">
        <f>+Contrato5[[#This Row],[FECHA TERMINACIÓN ]]+120</f>
        <v>45763</v>
      </c>
      <c r="AJ632" s="147"/>
      <c r="AK632" s="152" t="str">
        <f ca="1">IF(Contrato5[[#This Row],[FECHA TERMINACIÓN ]]&lt;TODAY(), "Terminado",IF(ISNUMBER(Contrato5[[#This Row],[Fecha Real de liquiidación ]]),"Liquidado",IF(Contrato5[[#This Row],[FECHA TERMINACIÓN ]]&gt;=TODAY(),"En ejecución","")))</f>
        <v>Terminado</v>
      </c>
      <c r="AL632" s="153" t="e">
        <f ca="1">SUMIF([2]!COMPROMISOS_2024[[#All],[consecutivo]],Contrato5[[#This Row],[RCP]],[2]!COMPROMISOS_2024[[#All],[Total pagado]])</f>
        <v>#REF!</v>
      </c>
      <c r="AM632" s="154">
        <f ca="1">IFERROR(Contrato5[[#This Row],[Pagos]]/Contrato5[[#This Row],[VALOR CONTRATO]],0)</f>
        <v>0</v>
      </c>
      <c r="AN632" s="198" t="e">
        <f ca="1">+Contrato5[[#This Row],[VALOR CONTRATO]]-Contrato5[[#This Row],[Pagos]]</f>
        <v>#REF!</v>
      </c>
      <c r="AO632" s="147" t="e" cm="1">
        <f t="array" aca="1" ref="AO632" ca="1">_xlfn.XLOOKUP(Contrato5[[#This Row],[DOCUMENTO ]],[2]!PERSONAL_ACTIVO_2024[[#All],[Documento identidad]],[2]!PERSONAL_ACTIVO_2024[[#All],[Mail ]],0,0)</f>
        <v>#NAME?</v>
      </c>
      <c r="AP632" s="147" t="e" cm="1">
        <f t="array" aca="1" ref="AP632" ca="1">_xlfn.XLOOKUP(Contrato5[[#This Row],[DOCUMENTO]],[2]!PERSONAL_ACTIVO_2024[[#All],[Documento identidad]],[2]!PERSONAL_ACTIVO_2024[[#All],[Mail ]],0,0)</f>
        <v>#NAME?</v>
      </c>
      <c r="AQ632" s="439" cm="1">
        <f t="array" aca="1" ref="AQ632" ca="1">IF(ISBLANK(Contrato5[[#This Row],[DEPENDENCIA ]]),0,IFERROR(_xlfn.XLOOKUP(Contrato5[[#This Row],[DEPENDENCIA ]],[2]!PERSONAL_ACTIVO_2024[[#All],[Dependencia]],[2]!PERSONAL_ACTIVO_2024[[#All],[Mail ]],0,0),0))</f>
        <v>0</v>
      </c>
    </row>
    <row r="633" spans="1:43" ht="34.5" customHeight="1">
      <c r="A633" s="125">
        <v>896</v>
      </c>
      <c r="B633" s="124">
        <v>508</v>
      </c>
      <c r="C633" s="162" t="s">
        <v>1987</v>
      </c>
      <c r="D633" s="227" t="s">
        <v>583</v>
      </c>
      <c r="E633" s="440" t="s">
        <v>94</v>
      </c>
      <c r="F633" s="227" t="s">
        <v>1376</v>
      </c>
      <c r="G633" s="281" t="s">
        <v>2910</v>
      </c>
      <c r="H633" s="436">
        <v>2000009732</v>
      </c>
      <c r="I633" s="273">
        <v>7908765</v>
      </c>
      <c r="J633" s="437">
        <v>32162311</v>
      </c>
      <c r="K633" s="131" t="s">
        <v>42</v>
      </c>
      <c r="L633" s="438" t="s">
        <v>2855</v>
      </c>
      <c r="M633" s="194" t="s">
        <v>592</v>
      </c>
      <c r="N633" s="177" t="e" cm="1">
        <f t="array" aca="1" ref="N633" ca="1">_xlfn.XLOOKUP(Contrato5[[#This Row],[SUPERVISOR TITULAR]],[2]!PERSONAL_ACTIVO_2024[[#All],[Nombre completo]],[2]!PERSONAL_ACTIVO_2024[[#All],[Documento identidad]],"",0)</f>
        <v>#NAME?</v>
      </c>
      <c r="O633" s="194" t="s">
        <v>600</v>
      </c>
      <c r="P633" s="196" t="e" cm="1">
        <f t="array" aca="1" ref="P633" ca="1">_xlfn.XLOOKUP(Contrato5[[#This Row],[SUPERVISOR SUPLENTE ]],[2]!PERSONAL_ACTIVO_2024[[#All],[Nombre completo]],[2]!PERSONAL_ACTIVO_2024[[#All],[Documento identidad]],"",0)</f>
        <v>#NAME?</v>
      </c>
      <c r="Q633" s="170">
        <v>787</v>
      </c>
      <c r="R633" s="137" t="e" cm="1">
        <f t="array" aca="1" ref="R633" ca="1">_xlfn.XLOOKUP(Contrato5[[#This Row],[CDP]],[2]!DISPONIBILIDADES_2024[[#All],[consecutivo]],[2]!DISPONIBILIDADES_2024[[#All],[fecha_aprobacion]],"",0)</f>
        <v>#NAME?</v>
      </c>
      <c r="S633" s="138" t="e">
        <f>SUMIF([2]!DISPONIBILIDADES_2024[[#All],[consecutivo]],Contrato5[[#This Row],[CDP]],[2]!DISPONIBILIDADES_2024[[#All],[valor_total_rubro]])</f>
        <v>#REF!</v>
      </c>
      <c r="T633" s="139" t="e" cm="1">
        <f t="array" aca="1" ref="T633" ca="1">_xlfn.XLOOKUP(Contrato5[[#This Row],[CONTRATO]]&amp;Contrato5[[#This Row],[CDP]],[2]!Corr_Contr_CDP[[#All],[CONTRATO-CDP]],[2]!Corr_Contr_CDP[[#All],[CRP]],_xlfn.XLOOKUP(Contrato5[[#This Row],[CDP]],[2]!COMPROMISOS_2024[[#All],[disponibilidad]],[2]!COMPROMISOS_2024[[#All],[consecutivo]],"",0),0)</f>
        <v>#NAME?</v>
      </c>
      <c r="U633" s="140" t="e" cm="1">
        <f t="array" aca="1" ref="U633" ca="1">+_xlfn.XLOOKUP(Contrato5[[#This Row],[RCP]],[2]!COMPROMISOS_2024[[#All],[consecutivo]],[2]!COMPROMISOS_2024[[#All],[fecha_aprobacion]],"",0)</f>
        <v>#NAME?</v>
      </c>
      <c r="V633" s="141" t="e">
        <f ca="1">SUMIF([2]!COMPROMISOS_2024[[#All],[consecutivo]],Contrato5[[#This Row],[RCP]],[2]!COMPROMISOS_2024[[#All],[valor_total]])</f>
        <v>#REF!</v>
      </c>
      <c r="W633" s="160">
        <v>45517</v>
      </c>
      <c r="X633" s="160" t="s">
        <v>1045</v>
      </c>
      <c r="Y633" s="143">
        <v>45520</v>
      </c>
      <c r="Z633" s="262">
        <v>45643</v>
      </c>
      <c r="AA633" s="171" t="s">
        <v>2877</v>
      </c>
      <c r="AB633" s="172" t="s">
        <v>2871</v>
      </c>
      <c r="AC633" s="172"/>
      <c r="AD633" s="425">
        <v>202000005071</v>
      </c>
      <c r="AE633" s="147" t="s">
        <v>523</v>
      </c>
      <c r="AF633" s="148" t="str">
        <f>TEXT(LEFT(Contrato5[[#This Row],[CONTRATO]],3),"0")</f>
        <v>508</v>
      </c>
      <c r="AG633" s="148" t="str">
        <f>IF(LEN(Contrato5[[#This Row],[Contrato2]])=3,Contrato5[[#This Row],[Contrato2]],TEXT(Contrato5[[#This Row],[Contrato2]],"000"))</f>
        <v>508</v>
      </c>
      <c r="AH633" s="149">
        <f ca="1">IFERROR(_xlfn.DAYS(Contrato5[[#This Row],[Fecha Proyectada liquidación]],TODAY())/30,"")</f>
        <v>0.16666666666666666</v>
      </c>
      <c r="AI633" s="150">
        <f>+Contrato5[[#This Row],[FECHA TERMINACIÓN ]]+120</f>
        <v>45763</v>
      </c>
      <c r="AJ633" s="147"/>
      <c r="AK633" s="152" t="str">
        <f ca="1">IF(Contrato5[[#This Row],[FECHA TERMINACIÓN ]]&lt;TODAY(), "Terminado",IF(ISNUMBER(Contrato5[[#This Row],[Fecha Real de liquiidación ]]),"Liquidado",IF(Contrato5[[#This Row],[FECHA TERMINACIÓN ]]&gt;=TODAY(),"En ejecución","")))</f>
        <v>Terminado</v>
      </c>
      <c r="AL633" s="153" t="e">
        <f ca="1">SUMIF([2]!COMPROMISOS_2024[[#All],[consecutivo]],Contrato5[[#This Row],[RCP]],[2]!COMPROMISOS_2024[[#All],[Total pagado]])</f>
        <v>#REF!</v>
      </c>
      <c r="AM633" s="154">
        <f ca="1">IFERROR(Contrato5[[#This Row],[Pagos]]/Contrato5[[#This Row],[VALOR CONTRATO]],0)</f>
        <v>0</v>
      </c>
      <c r="AN633" s="198" t="e">
        <f ca="1">+Contrato5[[#This Row],[VALOR CONTRATO]]-Contrato5[[#This Row],[Pagos]]</f>
        <v>#REF!</v>
      </c>
      <c r="AO633" s="147" t="e" cm="1">
        <f t="array" aca="1" ref="AO633" ca="1">_xlfn.XLOOKUP(Contrato5[[#This Row],[DOCUMENTO ]],[2]!PERSONAL_ACTIVO_2024[[#All],[Documento identidad]],[2]!PERSONAL_ACTIVO_2024[[#All],[Mail ]],0,0)</f>
        <v>#NAME?</v>
      </c>
      <c r="AP633" s="147" t="e" cm="1">
        <f t="array" aca="1" ref="AP633" ca="1">_xlfn.XLOOKUP(Contrato5[[#This Row],[DOCUMENTO]],[2]!PERSONAL_ACTIVO_2024[[#All],[Documento identidad]],[2]!PERSONAL_ACTIVO_2024[[#All],[Mail ]],0,0)</f>
        <v>#NAME?</v>
      </c>
      <c r="AQ633" s="439" cm="1">
        <f t="array" aca="1" ref="AQ633" ca="1">IF(ISBLANK(Contrato5[[#This Row],[DEPENDENCIA ]]),0,IFERROR(_xlfn.XLOOKUP(Contrato5[[#This Row],[DEPENDENCIA ]],[2]!PERSONAL_ACTIVO_2024[[#All],[Dependencia]],[2]!PERSONAL_ACTIVO_2024[[#All],[Mail ]],0,0),0))</f>
        <v>0</v>
      </c>
    </row>
    <row r="634" spans="1:43" ht="34.5" customHeight="1">
      <c r="A634" s="125">
        <v>897</v>
      </c>
      <c r="B634" s="124">
        <v>509</v>
      </c>
      <c r="C634" s="162" t="s">
        <v>1988</v>
      </c>
      <c r="D634" s="227" t="s">
        <v>583</v>
      </c>
      <c r="E634" s="440" t="s">
        <v>94</v>
      </c>
      <c r="F634" s="227" t="s">
        <v>1376</v>
      </c>
      <c r="G634" s="281" t="s">
        <v>2911</v>
      </c>
      <c r="H634" s="436">
        <v>71338359</v>
      </c>
      <c r="I634" s="273">
        <v>4908936</v>
      </c>
      <c r="J634" s="437">
        <v>19963006</v>
      </c>
      <c r="K634" s="131" t="s">
        <v>42</v>
      </c>
      <c r="L634" s="438" t="s">
        <v>2855</v>
      </c>
      <c r="M634" s="194" t="s">
        <v>592</v>
      </c>
      <c r="N634" s="177" t="e" cm="1">
        <f t="array" aca="1" ref="N634" ca="1">_xlfn.XLOOKUP(Contrato5[[#This Row],[SUPERVISOR TITULAR]],[2]!PERSONAL_ACTIVO_2024[[#All],[Nombre completo]],[2]!PERSONAL_ACTIVO_2024[[#All],[Documento identidad]],"",0)</f>
        <v>#NAME?</v>
      </c>
      <c r="O634" s="194" t="s">
        <v>600</v>
      </c>
      <c r="P634" s="196" t="e" cm="1">
        <f t="array" aca="1" ref="P634" ca="1">_xlfn.XLOOKUP(Contrato5[[#This Row],[SUPERVISOR SUPLENTE ]],[2]!PERSONAL_ACTIVO_2024[[#All],[Nombre completo]],[2]!PERSONAL_ACTIVO_2024[[#All],[Documento identidad]],"",0)</f>
        <v>#NAME?</v>
      </c>
      <c r="Q634" s="170">
        <v>690</v>
      </c>
      <c r="R634" s="137" t="e" cm="1">
        <f t="array" aca="1" ref="R634" ca="1">_xlfn.XLOOKUP(Contrato5[[#This Row],[CDP]],[2]!DISPONIBILIDADES_2024[[#All],[consecutivo]],[2]!DISPONIBILIDADES_2024[[#All],[fecha_aprobacion]],"",0)</f>
        <v>#NAME?</v>
      </c>
      <c r="S634" s="138" t="e">
        <f>SUMIF([2]!DISPONIBILIDADES_2024[[#All],[consecutivo]],Contrato5[[#This Row],[CDP]],[2]!DISPONIBILIDADES_2024[[#All],[valor_total_rubro]])</f>
        <v>#REF!</v>
      </c>
      <c r="T634" s="139" t="e" cm="1">
        <f t="array" aca="1" ref="T634" ca="1">_xlfn.XLOOKUP(Contrato5[[#This Row],[CONTRATO]]&amp;Contrato5[[#This Row],[CDP]],[2]!Corr_Contr_CDP[[#All],[CONTRATO-CDP]],[2]!Corr_Contr_CDP[[#All],[CRP]],_xlfn.XLOOKUP(Contrato5[[#This Row],[CDP]],[2]!COMPROMISOS_2024[[#All],[disponibilidad]],[2]!COMPROMISOS_2024[[#All],[consecutivo]],"",0),0)</f>
        <v>#NAME?</v>
      </c>
      <c r="U634" s="140" t="e" cm="1">
        <f t="array" aca="1" ref="U634" ca="1">+_xlfn.XLOOKUP(Contrato5[[#This Row],[RCP]],[2]!COMPROMISOS_2024[[#All],[consecutivo]],[2]!COMPROMISOS_2024[[#All],[fecha_aprobacion]],"",0)</f>
        <v>#NAME?</v>
      </c>
      <c r="V634" s="141" t="e">
        <f ca="1">SUMIF([2]!COMPROMISOS_2024[[#All],[consecutivo]],Contrato5[[#This Row],[RCP]],[2]!COMPROMISOS_2024[[#All],[valor_total]])</f>
        <v>#REF!</v>
      </c>
      <c r="W634" s="160">
        <v>45517</v>
      </c>
      <c r="X634" s="160" t="s">
        <v>1045</v>
      </c>
      <c r="Y634" s="143">
        <v>45520</v>
      </c>
      <c r="Z634" s="262">
        <v>45643</v>
      </c>
      <c r="AA634" s="171" t="s">
        <v>2912</v>
      </c>
      <c r="AB634" s="172" t="s">
        <v>2871</v>
      </c>
      <c r="AC634" s="172"/>
      <c r="AD634" s="425">
        <v>202000005072</v>
      </c>
      <c r="AE634" s="147" t="s">
        <v>523</v>
      </c>
      <c r="AF634" s="148" t="str">
        <f>TEXT(LEFT(Contrato5[[#This Row],[CONTRATO]],3),"0")</f>
        <v>509</v>
      </c>
      <c r="AG634" s="148" t="str">
        <f>IF(LEN(Contrato5[[#This Row],[Contrato2]])=3,Contrato5[[#This Row],[Contrato2]],TEXT(Contrato5[[#This Row],[Contrato2]],"000"))</f>
        <v>509</v>
      </c>
      <c r="AH634" s="149">
        <f ca="1">IFERROR(_xlfn.DAYS(Contrato5[[#This Row],[Fecha Proyectada liquidación]],TODAY())/30,"")</f>
        <v>0.16666666666666666</v>
      </c>
      <c r="AI634" s="150">
        <f>+Contrato5[[#This Row],[FECHA TERMINACIÓN ]]+120</f>
        <v>45763</v>
      </c>
      <c r="AJ634" s="147"/>
      <c r="AK634" s="152" t="str">
        <f ca="1">IF(Contrato5[[#This Row],[FECHA TERMINACIÓN ]]&lt;TODAY(), "Terminado",IF(ISNUMBER(Contrato5[[#This Row],[Fecha Real de liquiidación ]]),"Liquidado",IF(Contrato5[[#This Row],[FECHA TERMINACIÓN ]]&gt;=TODAY(),"En ejecución","")))</f>
        <v>Terminado</v>
      </c>
      <c r="AL634" s="153" t="e">
        <f ca="1">SUMIF([2]!COMPROMISOS_2024[[#All],[consecutivo]],Contrato5[[#This Row],[RCP]],[2]!COMPROMISOS_2024[[#All],[Total pagado]])</f>
        <v>#REF!</v>
      </c>
      <c r="AM634" s="154">
        <f ca="1">IFERROR(Contrato5[[#This Row],[Pagos]]/Contrato5[[#This Row],[VALOR CONTRATO]],0)</f>
        <v>0</v>
      </c>
      <c r="AN634" s="198" t="e">
        <f ca="1">+Contrato5[[#This Row],[VALOR CONTRATO]]-Contrato5[[#This Row],[Pagos]]</f>
        <v>#REF!</v>
      </c>
      <c r="AO634" s="147" t="e" cm="1">
        <f t="array" aca="1" ref="AO634" ca="1">_xlfn.XLOOKUP(Contrato5[[#This Row],[DOCUMENTO ]],[2]!PERSONAL_ACTIVO_2024[[#All],[Documento identidad]],[2]!PERSONAL_ACTIVO_2024[[#All],[Mail ]],0,0)</f>
        <v>#NAME?</v>
      </c>
      <c r="AP634" s="147" t="e" cm="1">
        <f t="array" aca="1" ref="AP634" ca="1">_xlfn.XLOOKUP(Contrato5[[#This Row],[DOCUMENTO]],[2]!PERSONAL_ACTIVO_2024[[#All],[Documento identidad]],[2]!PERSONAL_ACTIVO_2024[[#All],[Mail ]],0,0)</f>
        <v>#NAME?</v>
      </c>
      <c r="AQ634" s="439" cm="1">
        <f t="array" aca="1" ref="AQ634" ca="1">IF(ISBLANK(Contrato5[[#This Row],[DEPENDENCIA ]]),0,IFERROR(_xlfn.XLOOKUP(Contrato5[[#This Row],[DEPENDENCIA ]],[2]!PERSONAL_ACTIVO_2024[[#All],[Dependencia]],[2]!PERSONAL_ACTIVO_2024[[#All],[Mail ]],0,0),0))</f>
        <v>0</v>
      </c>
    </row>
    <row r="635" spans="1:43" ht="34.5" customHeight="1">
      <c r="A635" s="125">
        <v>898</v>
      </c>
      <c r="B635" s="124">
        <v>510</v>
      </c>
      <c r="C635" s="162" t="s">
        <v>1988</v>
      </c>
      <c r="D635" s="227" t="s">
        <v>583</v>
      </c>
      <c r="E635" s="440" t="s">
        <v>94</v>
      </c>
      <c r="F635" s="227" t="s">
        <v>1376</v>
      </c>
      <c r="G635" s="281" t="s">
        <v>2913</v>
      </c>
      <c r="H635" s="436">
        <v>16225228</v>
      </c>
      <c r="I635" s="273">
        <v>4908936</v>
      </c>
      <c r="J635" s="437">
        <v>19963006</v>
      </c>
      <c r="K635" s="131" t="s">
        <v>42</v>
      </c>
      <c r="L635" s="438" t="s">
        <v>2855</v>
      </c>
      <c r="M635" s="194" t="s">
        <v>592</v>
      </c>
      <c r="N635" s="177" t="e" cm="1">
        <f t="array" aca="1" ref="N635" ca="1">_xlfn.XLOOKUP(Contrato5[[#This Row],[SUPERVISOR TITULAR]],[2]!PERSONAL_ACTIVO_2024[[#All],[Nombre completo]],[2]!PERSONAL_ACTIVO_2024[[#All],[Documento identidad]],"",0)</f>
        <v>#NAME?</v>
      </c>
      <c r="O635" s="194" t="s">
        <v>600</v>
      </c>
      <c r="P635" s="196" t="e" cm="1">
        <f t="array" aca="1" ref="P635" ca="1">_xlfn.XLOOKUP(Contrato5[[#This Row],[SUPERVISOR SUPLENTE ]],[2]!PERSONAL_ACTIVO_2024[[#All],[Nombre completo]],[2]!PERSONAL_ACTIVO_2024[[#All],[Documento identidad]],"",0)</f>
        <v>#NAME?</v>
      </c>
      <c r="Q635" s="170">
        <v>799</v>
      </c>
      <c r="R635" s="137" t="e" cm="1">
        <f t="array" aca="1" ref="R635" ca="1">_xlfn.XLOOKUP(Contrato5[[#This Row],[CDP]],[2]!DISPONIBILIDADES_2024[[#All],[consecutivo]],[2]!DISPONIBILIDADES_2024[[#All],[fecha_aprobacion]],"",0)</f>
        <v>#NAME?</v>
      </c>
      <c r="S635" s="138" t="e">
        <f>SUMIF([2]!DISPONIBILIDADES_2024[[#All],[consecutivo]],Contrato5[[#This Row],[CDP]],[2]!DISPONIBILIDADES_2024[[#All],[valor_total_rubro]])</f>
        <v>#REF!</v>
      </c>
      <c r="T635" s="139" t="e" cm="1">
        <f t="array" aca="1" ref="T635" ca="1">_xlfn.XLOOKUP(Contrato5[[#This Row],[CONTRATO]]&amp;Contrato5[[#This Row],[CDP]],[2]!Corr_Contr_CDP[[#All],[CONTRATO-CDP]],[2]!Corr_Contr_CDP[[#All],[CRP]],_xlfn.XLOOKUP(Contrato5[[#This Row],[CDP]],[2]!COMPROMISOS_2024[[#All],[disponibilidad]],[2]!COMPROMISOS_2024[[#All],[consecutivo]],"",0),0)</f>
        <v>#NAME?</v>
      </c>
      <c r="U635" s="140" t="e" cm="1">
        <f t="array" aca="1" ref="U635" ca="1">+_xlfn.XLOOKUP(Contrato5[[#This Row],[RCP]],[2]!COMPROMISOS_2024[[#All],[consecutivo]],[2]!COMPROMISOS_2024[[#All],[fecha_aprobacion]],"",0)</f>
        <v>#NAME?</v>
      </c>
      <c r="V635" s="141" t="e">
        <f ca="1">SUMIF([2]!COMPROMISOS_2024[[#All],[consecutivo]],Contrato5[[#This Row],[RCP]],[2]!COMPROMISOS_2024[[#All],[valor_total]])</f>
        <v>#REF!</v>
      </c>
      <c r="W635" s="160">
        <v>45517</v>
      </c>
      <c r="X635" s="160" t="s">
        <v>1045</v>
      </c>
      <c r="Y635" s="143">
        <v>45520</v>
      </c>
      <c r="Z635" s="262">
        <v>45643</v>
      </c>
      <c r="AA635" s="171" t="s">
        <v>2870</v>
      </c>
      <c r="AB635" s="172" t="s">
        <v>2871</v>
      </c>
      <c r="AC635" s="172"/>
      <c r="AD635" s="425">
        <v>202000005073</v>
      </c>
      <c r="AE635" s="147" t="s">
        <v>523</v>
      </c>
      <c r="AF635" s="148" t="str">
        <f>TEXT(LEFT(Contrato5[[#This Row],[CONTRATO]],3),"0")</f>
        <v>510</v>
      </c>
      <c r="AG635" s="148" t="str">
        <f>IF(LEN(Contrato5[[#This Row],[Contrato2]])=3,Contrato5[[#This Row],[Contrato2]],TEXT(Contrato5[[#This Row],[Contrato2]],"000"))</f>
        <v>510</v>
      </c>
      <c r="AH635" s="149">
        <f ca="1">IFERROR(_xlfn.DAYS(Contrato5[[#This Row],[Fecha Proyectada liquidación]],TODAY())/30,"")</f>
        <v>0.16666666666666666</v>
      </c>
      <c r="AI635" s="150">
        <f>+Contrato5[[#This Row],[FECHA TERMINACIÓN ]]+120</f>
        <v>45763</v>
      </c>
      <c r="AJ635" s="147"/>
      <c r="AK635" s="152" t="str">
        <f ca="1">IF(Contrato5[[#This Row],[FECHA TERMINACIÓN ]]&lt;TODAY(), "Terminado",IF(ISNUMBER(Contrato5[[#This Row],[Fecha Real de liquiidación ]]),"Liquidado",IF(Contrato5[[#This Row],[FECHA TERMINACIÓN ]]&gt;=TODAY(),"En ejecución","")))</f>
        <v>Terminado</v>
      </c>
      <c r="AL635" s="153" t="e">
        <f ca="1">SUMIF([2]!COMPROMISOS_2024[[#All],[consecutivo]],Contrato5[[#This Row],[RCP]],[2]!COMPROMISOS_2024[[#All],[Total pagado]])</f>
        <v>#REF!</v>
      </c>
      <c r="AM635" s="154">
        <f ca="1">IFERROR(Contrato5[[#This Row],[Pagos]]/Contrato5[[#This Row],[VALOR CONTRATO]],0)</f>
        <v>0</v>
      </c>
      <c r="AN635" s="198" t="e">
        <f ca="1">+Contrato5[[#This Row],[VALOR CONTRATO]]-Contrato5[[#This Row],[Pagos]]</f>
        <v>#REF!</v>
      </c>
      <c r="AO635" s="147" t="e" cm="1">
        <f t="array" aca="1" ref="AO635" ca="1">_xlfn.XLOOKUP(Contrato5[[#This Row],[DOCUMENTO ]],[2]!PERSONAL_ACTIVO_2024[[#All],[Documento identidad]],[2]!PERSONAL_ACTIVO_2024[[#All],[Mail ]],0,0)</f>
        <v>#NAME?</v>
      </c>
      <c r="AP635" s="147" t="e" cm="1">
        <f t="array" aca="1" ref="AP635" ca="1">_xlfn.XLOOKUP(Contrato5[[#This Row],[DOCUMENTO]],[2]!PERSONAL_ACTIVO_2024[[#All],[Documento identidad]],[2]!PERSONAL_ACTIVO_2024[[#All],[Mail ]],0,0)</f>
        <v>#NAME?</v>
      </c>
      <c r="AQ635" s="439" cm="1">
        <f t="array" aca="1" ref="AQ635" ca="1">IF(ISBLANK(Contrato5[[#This Row],[DEPENDENCIA ]]),0,IFERROR(_xlfn.XLOOKUP(Contrato5[[#This Row],[DEPENDENCIA ]],[2]!PERSONAL_ACTIVO_2024[[#All],[Dependencia]],[2]!PERSONAL_ACTIVO_2024[[#All],[Mail ]],0,0),0))</f>
        <v>0</v>
      </c>
    </row>
    <row r="636" spans="1:43" ht="34.5" customHeight="1">
      <c r="A636" s="125">
        <v>899</v>
      </c>
      <c r="B636" s="124">
        <v>511</v>
      </c>
      <c r="C636" s="162" t="s">
        <v>1988</v>
      </c>
      <c r="D636" s="227" t="s">
        <v>583</v>
      </c>
      <c r="E636" s="440" t="s">
        <v>94</v>
      </c>
      <c r="F636" s="227" t="s">
        <v>1376</v>
      </c>
      <c r="G636" s="281" t="s">
        <v>2914</v>
      </c>
      <c r="H636" s="436">
        <v>1128478578</v>
      </c>
      <c r="I636" s="273">
        <v>2574842</v>
      </c>
      <c r="J636" s="437">
        <v>10471024</v>
      </c>
      <c r="K636" s="131" t="s">
        <v>42</v>
      </c>
      <c r="L636" s="438" t="s">
        <v>2855</v>
      </c>
      <c r="M636" s="194" t="s">
        <v>592</v>
      </c>
      <c r="N636" s="177" t="e" cm="1">
        <f t="array" aca="1" ref="N636" ca="1">_xlfn.XLOOKUP(Contrato5[[#This Row],[SUPERVISOR TITULAR]],[2]!PERSONAL_ACTIVO_2024[[#All],[Nombre completo]],[2]!PERSONAL_ACTIVO_2024[[#All],[Documento identidad]],"",0)</f>
        <v>#NAME?</v>
      </c>
      <c r="O636" s="194" t="s">
        <v>600</v>
      </c>
      <c r="P636" s="196" t="e" cm="1">
        <f t="array" aca="1" ref="P636" ca="1">_xlfn.XLOOKUP(Contrato5[[#This Row],[SUPERVISOR SUPLENTE ]],[2]!PERSONAL_ACTIVO_2024[[#All],[Nombre completo]],[2]!PERSONAL_ACTIVO_2024[[#All],[Documento identidad]],"",0)</f>
        <v>#NAME?</v>
      </c>
      <c r="Q636" s="170">
        <v>798</v>
      </c>
      <c r="R636" s="137" t="e" cm="1">
        <f t="array" aca="1" ref="R636" ca="1">_xlfn.XLOOKUP(Contrato5[[#This Row],[CDP]],[2]!DISPONIBILIDADES_2024[[#All],[consecutivo]],[2]!DISPONIBILIDADES_2024[[#All],[fecha_aprobacion]],"",0)</f>
        <v>#NAME?</v>
      </c>
      <c r="S636" s="138" t="e">
        <f>SUMIF([2]!DISPONIBILIDADES_2024[[#All],[consecutivo]],Contrato5[[#This Row],[CDP]],[2]!DISPONIBILIDADES_2024[[#All],[valor_total_rubro]])</f>
        <v>#REF!</v>
      </c>
      <c r="T636" s="139" t="e" cm="1">
        <f t="array" aca="1" ref="T636" ca="1">_xlfn.XLOOKUP(Contrato5[[#This Row],[CONTRATO]]&amp;Contrato5[[#This Row],[CDP]],[2]!Corr_Contr_CDP[[#All],[CONTRATO-CDP]],[2]!Corr_Contr_CDP[[#All],[CRP]],_xlfn.XLOOKUP(Contrato5[[#This Row],[CDP]],[2]!COMPROMISOS_2024[[#All],[disponibilidad]],[2]!COMPROMISOS_2024[[#All],[consecutivo]],"",0),0)</f>
        <v>#NAME?</v>
      </c>
      <c r="U636" s="140" t="e" cm="1">
        <f t="array" aca="1" ref="U636" ca="1">+_xlfn.XLOOKUP(Contrato5[[#This Row],[RCP]],[2]!COMPROMISOS_2024[[#All],[consecutivo]],[2]!COMPROMISOS_2024[[#All],[fecha_aprobacion]],"",0)</f>
        <v>#NAME?</v>
      </c>
      <c r="V636" s="141" t="e">
        <f ca="1">SUMIF([2]!COMPROMISOS_2024[[#All],[consecutivo]],Contrato5[[#This Row],[RCP]],[2]!COMPROMISOS_2024[[#All],[valor_total]])</f>
        <v>#REF!</v>
      </c>
      <c r="W636" s="160">
        <v>45516</v>
      </c>
      <c r="X636" s="160" t="s">
        <v>1045</v>
      </c>
      <c r="Y636" s="143">
        <v>45520</v>
      </c>
      <c r="Z636" s="262">
        <v>45643</v>
      </c>
      <c r="AA636" s="171" t="s">
        <v>2873</v>
      </c>
      <c r="AB636" s="172" t="s">
        <v>2871</v>
      </c>
      <c r="AC636" s="172"/>
      <c r="AD636" s="425">
        <v>202000005074</v>
      </c>
      <c r="AE636" s="147" t="s">
        <v>523</v>
      </c>
      <c r="AF636" s="148" t="str">
        <f>TEXT(LEFT(Contrato5[[#This Row],[CONTRATO]],3),"0")</f>
        <v>511</v>
      </c>
      <c r="AG636" s="148" t="str">
        <f>IF(LEN(Contrato5[[#This Row],[Contrato2]])=3,Contrato5[[#This Row],[Contrato2]],TEXT(Contrato5[[#This Row],[Contrato2]],"000"))</f>
        <v>511</v>
      </c>
      <c r="AH636" s="149">
        <f ca="1">IFERROR(_xlfn.DAYS(Contrato5[[#This Row],[Fecha Proyectada liquidación]],TODAY())/30,"")</f>
        <v>0.16666666666666666</v>
      </c>
      <c r="AI636" s="150">
        <f>+Contrato5[[#This Row],[FECHA TERMINACIÓN ]]+120</f>
        <v>45763</v>
      </c>
      <c r="AJ636" s="147"/>
      <c r="AK636" s="152" t="str">
        <f ca="1">IF(Contrato5[[#This Row],[FECHA TERMINACIÓN ]]&lt;TODAY(), "Terminado",IF(ISNUMBER(Contrato5[[#This Row],[Fecha Real de liquiidación ]]),"Liquidado",IF(Contrato5[[#This Row],[FECHA TERMINACIÓN ]]&gt;=TODAY(),"En ejecución","")))</f>
        <v>Terminado</v>
      </c>
      <c r="AL636" s="153" t="e">
        <f ca="1">SUMIF([2]!COMPROMISOS_2024[[#All],[consecutivo]],Contrato5[[#This Row],[RCP]],[2]!COMPROMISOS_2024[[#All],[Total pagado]])</f>
        <v>#REF!</v>
      </c>
      <c r="AM636" s="154">
        <f ca="1">IFERROR(Contrato5[[#This Row],[Pagos]]/Contrato5[[#This Row],[VALOR CONTRATO]],0)</f>
        <v>0</v>
      </c>
      <c r="AN636" s="198" t="e">
        <f ca="1">+Contrato5[[#This Row],[VALOR CONTRATO]]-Contrato5[[#This Row],[Pagos]]</f>
        <v>#REF!</v>
      </c>
      <c r="AO636" s="147" t="e" cm="1">
        <f t="array" aca="1" ref="AO636" ca="1">_xlfn.XLOOKUP(Contrato5[[#This Row],[DOCUMENTO ]],[2]!PERSONAL_ACTIVO_2024[[#All],[Documento identidad]],[2]!PERSONAL_ACTIVO_2024[[#All],[Mail ]],0,0)</f>
        <v>#NAME?</v>
      </c>
      <c r="AP636" s="147" t="e" cm="1">
        <f t="array" aca="1" ref="AP636" ca="1">_xlfn.XLOOKUP(Contrato5[[#This Row],[DOCUMENTO]],[2]!PERSONAL_ACTIVO_2024[[#All],[Documento identidad]],[2]!PERSONAL_ACTIVO_2024[[#All],[Mail ]],0,0)</f>
        <v>#NAME?</v>
      </c>
      <c r="AQ636" s="439" cm="1">
        <f t="array" aca="1" ref="AQ636" ca="1">IF(ISBLANK(Contrato5[[#This Row],[DEPENDENCIA ]]),0,IFERROR(_xlfn.XLOOKUP(Contrato5[[#This Row],[DEPENDENCIA ]],[2]!PERSONAL_ACTIVO_2024[[#All],[Dependencia]],[2]!PERSONAL_ACTIVO_2024[[#All],[Mail ]],0,0),0))</f>
        <v>0</v>
      </c>
    </row>
    <row r="637" spans="1:43" ht="34.5" customHeight="1">
      <c r="A637" s="125">
        <v>900</v>
      </c>
      <c r="B637" s="124">
        <v>512</v>
      </c>
      <c r="C637" s="162" t="s">
        <v>1988</v>
      </c>
      <c r="D637" s="227" t="s">
        <v>583</v>
      </c>
      <c r="E637" s="440" t="s">
        <v>94</v>
      </c>
      <c r="F637" s="227" t="s">
        <v>1376</v>
      </c>
      <c r="G637" s="281" t="s">
        <v>2915</v>
      </c>
      <c r="H637" s="436">
        <v>70328845</v>
      </c>
      <c r="I637" s="273">
        <v>3952382</v>
      </c>
      <c r="J637" s="437">
        <v>16073020</v>
      </c>
      <c r="K637" s="131" t="s">
        <v>42</v>
      </c>
      <c r="L637" s="438" t="s">
        <v>2855</v>
      </c>
      <c r="M637" s="194" t="s">
        <v>592</v>
      </c>
      <c r="N637" s="177" t="e" cm="1">
        <f t="array" aca="1" ref="N637" ca="1">_xlfn.XLOOKUP(Contrato5[[#This Row],[SUPERVISOR TITULAR]],[2]!PERSONAL_ACTIVO_2024[[#All],[Nombre completo]],[2]!PERSONAL_ACTIVO_2024[[#All],[Documento identidad]],"",0)</f>
        <v>#NAME?</v>
      </c>
      <c r="O637" s="194" t="s">
        <v>600</v>
      </c>
      <c r="P637" s="196" t="e" cm="1">
        <f t="array" aca="1" ref="P637" ca="1">_xlfn.XLOOKUP(Contrato5[[#This Row],[SUPERVISOR SUPLENTE ]],[2]!PERSONAL_ACTIVO_2024[[#All],[Nombre completo]],[2]!PERSONAL_ACTIVO_2024[[#All],[Documento identidad]],"",0)</f>
        <v>#NAME?</v>
      </c>
      <c r="Q637" s="170">
        <v>723</v>
      </c>
      <c r="R637" s="137" t="e" cm="1">
        <f t="array" aca="1" ref="R637" ca="1">_xlfn.XLOOKUP(Contrato5[[#This Row],[CDP]],[2]!DISPONIBILIDADES_2024[[#All],[consecutivo]],[2]!DISPONIBILIDADES_2024[[#All],[fecha_aprobacion]],"",0)</f>
        <v>#NAME?</v>
      </c>
      <c r="S637" s="138" t="e">
        <f>SUMIF([2]!DISPONIBILIDADES_2024[[#All],[consecutivo]],Contrato5[[#This Row],[CDP]],[2]!DISPONIBILIDADES_2024[[#All],[valor_total_rubro]])</f>
        <v>#REF!</v>
      </c>
      <c r="T637" s="139" t="e" cm="1">
        <f t="array" aca="1" ref="T637" ca="1">_xlfn.XLOOKUP(Contrato5[[#This Row],[CONTRATO]]&amp;Contrato5[[#This Row],[CDP]],[2]!Corr_Contr_CDP[[#All],[CONTRATO-CDP]],[2]!Corr_Contr_CDP[[#All],[CRP]],_xlfn.XLOOKUP(Contrato5[[#This Row],[CDP]],[2]!COMPROMISOS_2024[[#All],[disponibilidad]],[2]!COMPROMISOS_2024[[#All],[consecutivo]],"",0),0)</f>
        <v>#NAME?</v>
      </c>
      <c r="U637" s="140" t="e" cm="1">
        <f t="array" aca="1" ref="U637" ca="1">+_xlfn.XLOOKUP(Contrato5[[#This Row],[RCP]],[2]!COMPROMISOS_2024[[#All],[consecutivo]],[2]!COMPROMISOS_2024[[#All],[fecha_aprobacion]],"",0)</f>
        <v>#NAME?</v>
      </c>
      <c r="V637" s="141" t="e">
        <f ca="1">SUMIF([2]!COMPROMISOS_2024[[#All],[consecutivo]],Contrato5[[#This Row],[RCP]],[2]!COMPROMISOS_2024[[#All],[valor_total]])</f>
        <v>#REF!</v>
      </c>
      <c r="W637" s="160">
        <v>45516</v>
      </c>
      <c r="X637" s="160" t="s">
        <v>1045</v>
      </c>
      <c r="Y637" s="143">
        <v>45520</v>
      </c>
      <c r="Z637" s="262">
        <v>45643</v>
      </c>
      <c r="AA637" s="171" t="s">
        <v>2873</v>
      </c>
      <c r="AB637" s="172" t="s">
        <v>2905</v>
      </c>
      <c r="AC637" s="172"/>
      <c r="AD637" s="425">
        <v>202000005075</v>
      </c>
      <c r="AE637" s="147" t="s">
        <v>523</v>
      </c>
      <c r="AF637" s="148" t="str">
        <f>TEXT(LEFT(Contrato5[[#This Row],[CONTRATO]],3),"0")</f>
        <v>512</v>
      </c>
      <c r="AG637" s="148" t="str">
        <f>IF(LEN(Contrato5[[#This Row],[Contrato2]])=3,Contrato5[[#This Row],[Contrato2]],TEXT(Contrato5[[#This Row],[Contrato2]],"000"))</f>
        <v>512</v>
      </c>
      <c r="AH637" s="149">
        <f ca="1">IFERROR(_xlfn.DAYS(Contrato5[[#This Row],[Fecha Proyectada liquidación]],TODAY())/30,"")</f>
        <v>0.16666666666666666</v>
      </c>
      <c r="AI637" s="150">
        <f>+Contrato5[[#This Row],[FECHA TERMINACIÓN ]]+120</f>
        <v>45763</v>
      </c>
      <c r="AJ637" s="147"/>
      <c r="AK637" s="152" t="str">
        <f ca="1">IF(Contrato5[[#This Row],[FECHA TERMINACIÓN ]]&lt;TODAY(), "Terminado",IF(ISNUMBER(Contrato5[[#This Row],[Fecha Real de liquiidación ]]),"Liquidado",IF(Contrato5[[#This Row],[FECHA TERMINACIÓN ]]&gt;=TODAY(),"En ejecución","")))</f>
        <v>Terminado</v>
      </c>
      <c r="AL637" s="153" t="e">
        <f ca="1">SUMIF([2]!COMPROMISOS_2024[[#All],[consecutivo]],Contrato5[[#This Row],[RCP]],[2]!COMPROMISOS_2024[[#All],[Total pagado]])</f>
        <v>#REF!</v>
      </c>
      <c r="AM637" s="154">
        <f ca="1">IFERROR(Contrato5[[#This Row],[Pagos]]/Contrato5[[#This Row],[VALOR CONTRATO]],0)</f>
        <v>0</v>
      </c>
      <c r="AN637" s="198" t="e">
        <f ca="1">+Contrato5[[#This Row],[VALOR CONTRATO]]-Contrato5[[#This Row],[Pagos]]</f>
        <v>#REF!</v>
      </c>
      <c r="AO637" s="147" t="e" cm="1">
        <f t="array" aca="1" ref="AO637" ca="1">_xlfn.XLOOKUP(Contrato5[[#This Row],[DOCUMENTO ]],[2]!PERSONAL_ACTIVO_2024[[#All],[Documento identidad]],[2]!PERSONAL_ACTIVO_2024[[#All],[Mail ]],0,0)</f>
        <v>#NAME?</v>
      </c>
      <c r="AP637" s="147" t="e" cm="1">
        <f t="array" aca="1" ref="AP637" ca="1">_xlfn.XLOOKUP(Contrato5[[#This Row],[DOCUMENTO]],[2]!PERSONAL_ACTIVO_2024[[#All],[Documento identidad]],[2]!PERSONAL_ACTIVO_2024[[#All],[Mail ]],0,0)</f>
        <v>#NAME?</v>
      </c>
      <c r="AQ637" s="439" cm="1">
        <f t="array" aca="1" ref="AQ637" ca="1">IF(ISBLANK(Contrato5[[#This Row],[DEPENDENCIA ]]),0,IFERROR(_xlfn.XLOOKUP(Contrato5[[#This Row],[DEPENDENCIA ]],[2]!PERSONAL_ACTIVO_2024[[#All],[Dependencia]],[2]!PERSONAL_ACTIVO_2024[[#All],[Mail ]],0,0),0))</f>
        <v>0</v>
      </c>
    </row>
    <row r="638" spans="1:43" ht="34.5" customHeight="1">
      <c r="A638" s="125">
        <v>901</v>
      </c>
      <c r="B638" s="124">
        <v>513</v>
      </c>
      <c r="C638" s="162" t="s">
        <v>1989</v>
      </c>
      <c r="D638" s="227" t="s">
        <v>583</v>
      </c>
      <c r="E638" s="440" t="s">
        <v>94</v>
      </c>
      <c r="F638" s="227" t="s">
        <v>1376</v>
      </c>
      <c r="G638" s="281" t="s">
        <v>2916</v>
      </c>
      <c r="H638" s="436">
        <v>700148202</v>
      </c>
      <c r="I638" s="273">
        <v>4908936</v>
      </c>
      <c r="J638" s="437">
        <v>19963006</v>
      </c>
      <c r="K638" s="131" t="s">
        <v>42</v>
      </c>
      <c r="L638" s="438" t="s">
        <v>2855</v>
      </c>
      <c r="M638" s="194" t="s">
        <v>589</v>
      </c>
      <c r="N638" s="177" t="e" cm="1">
        <f t="array" aca="1" ref="N638" ca="1">_xlfn.XLOOKUP(Contrato5[[#This Row],[SUPERVISOR TITULAR]],[2]!PERSONAL_ACTIVO_2024[[#All],[Nombre completo]],[2]!PERSONAL_ACTIVO_2024[[#All],[Documento identidad]],"",0)</f>
        <v>#NAME?</v>
      </c>
      <c r="O638" s="194" t="s">
        <v>586</v>
      </c>
      <c r="P638" s="196" t="e" cm="1">
        <f t="array" aca="1" ref="P638" ca="1">_xlfn.XLOOKUP(Contrato5[[#This Row],[SUPERVISOR SUPLENTE ]],[2]!PERSONAL_ACTIVO_2024[[#All],[Nombre completo]],[2]!PERSONAL_ACTIVO_2024[[#All],[Documento identidad]],"",0)</f>
        <v>#NAME?</v>
      </c>
      <c r="Q638" s="170">
        <v>797</v>
      </c>
      <c r="R638" s="137" t="e" cm="1">
        <f t="array" aca="1" ref="R638" ca="1">_xlfn.XLOOKUP(Contrato5[[#This Row],[CDP]],[2]!DISPONIBILIDADES_2024[[#All],[consecutivo]],[2]!DISPONIBILIDADES_2024[[#All],[fecha_aprobacion]],"",0)</f>
        <v>#NAME?</v>
      </c>
      <c r="S638" s="138" t="e">
        <f>SUMIF([2]!DISPONIBILIDADES_2024[[#All],[consecutivo]],Contrato5[[#This Row],[CDP]],[2]!DISPONIBILIDADES_2024[[#All],[valor_total_rubro]])</f>
        <v>#REF!</v>
      </c>
      <c r="T638" s="139" t="e" cm="1">
        <f t="array" aca="1" ref="T638" ca="1">_xlfn.XLOOKUP(Contrato5[[#This Row],[CONTRATO]]&amp;Contrato5[[#This Row],[CDP]],[2]!Corr_Contr_CDP[[#All],[CONTRATO-CDP]],[2]!Corr_Contr_CDP[[#All],[CRP]],_xlfn.XLOOKUP(Contrato5[[#This Row],[CDP]],[2]!COMPROMISOS_2024[[#All],[disponibilidad]],[2]!COMPROMISOS_2024[[#All],[consecutivo]],"",0),0)</f>
        <v>#NAME?</v>
      </c>
      <c r="U638" s="140" t="e" cm="1">
        <f t="array" aca="1" ref="U638" ca="1">+_xlfn.XLOOKUP(Contrato5[[#This Row],[RCP]],[2]!COMPROMISOS_2024[[#All],[consecutivo]],[2]!COMPROMISOS_2024[[#All],[fecha_aprobacion]],"",0)</f>
        <v>#NAME?</v>
      </c>
      <c r="V638" s="141" t="e">
        <f ca="1">SUMIF([2]!COMPROMISOS_2024[[#All],[consecutivo]],Contrato5[[#This Row],[RCP]],[2]!COMPROMISOS_2024[[#All],[valor_total]])</f>
        <v>#REF!</v>
      </c>
      <c r="W638" s="160">
        <v>45516</v>
      </c>
      <c r="X638" s="160" t="s">
        <v>1045</v>
      </c>
      <c r="Y638" s="143">
        <v>45520</v>
      </c>
      <c r="Z638" s="262">
        <v>45643</v>
      </c>
      <c r="AA638" s="171" t="s">
        <v>2870</v>
      </c>
      <c r="AB638" s="172" t="s">
        <v>2871</v>
      </c>
      <c r="AC638" s="172"/>
      <c r="AD638" s="425">
        <v>202000005076</v>
      </c>
      <c r="AE638" s="147" t="s">
        <v>523</v>
      </c>
      <c r="AF638" s="148" t="str">
        <f>TEXT(LEFT(Contrato5[[#This Row],[CONTRATO]],3),"0")</f>
        <v>513</v>
      </c>
      <c r="AG638" s="148" t="str">
        <f>IF(LEN(Contrato5[[#This Row],[Contrato2]])=3,Contrato5[[#This Row],[Contrato2]],TEXT(Contrato5[[#This Row],[Contrato2]],"000"))</f>
        <v>513</v>
      </c>
      <c r="AH638" s="149">
        <f ca="1">IFERROR(_xlfn.DAYS(Contrato5[[#This Row],[Fecha Proyectada liquidación]],TODAY())/30,"")</f>
        <v>0.16666666666666666</v>
      </c>
      <c r="AI638" s="150">
        <f>+Contrato5[[#This Row],[FECHA TERMINACIÓN ]]+120</f>
        <v>45763</v>
      </c>
      <c r="AJ638" s="147"/>
      <c r="AK638" s="152" t="str">
        <f ca="1">IF(Contrato5[[#This Row],[FECHA TERMINACIÓN ]]&lt;TODAY(), "Terminado",IF(ISNUMBER(Contrato5[[#This Row],[Fecha Real de liquiidación ]]),"Liquidado",IF(Contrato5[[#This Row],[FECHA TERMINACIÓN ]]&gt;=TODAY(),"En ejecución","")))</f>
        <v>Terminado</v>
      </c>
      <c r="AL638" s="153" t="e">
        <f ca="1">SUMIF([2]!COMPROMISOS_2024[[#All],[consecutivo]],Contrato5[[#This Row],[RCP]],[2]!COMPROMISOS_2024[[#All],[Total pagado]])</f>
        <v>#REF!</v>
      </c>
      <c r="AM638" s="154">
        <f ca="1">IFERROR(Contrato5[[#This Row],[Pagos]]/Contrato5[[#This Row],[VALOR CONTRATO]],0)</f>
        <v>0</v>
      </c>
      <c r="AN638" s="198" t="e">
        <f ca="1">+Contrato5[[#This Row],[VALOR CONTRATO]]-Contrato5[[#This Row],[Pagos]]</f>
        <v>#REF!</v>
      </c>
      <c r="AO638" s="147" t="e" cm="1">
        <f t="array" aca="1" ref="AO638" ca="1">_xlfn.XLOOKUP(Contrato5[[#This Row],[DOCUMENTO ]],[2]!PERSONAL_ACTIVO_2024[[#All],[Documento identidad]],[2]!PERSONAL_ACTIVO_2024[[#All],[Mail ]],0,0)</f>
        <v>#NAME?</v>
      </c>
      <c r="AP638" s="147" t="e" cm="1">
        <f t="array" aca="1" ref="AP638" ca="1">_xlfn.XLOOKUP(Contrato5[[#This Row],[DOCUMENTO]],[2]!PERSONAL_ACTIVO_2024[[#All],[Documento identidad]],[2]!PERSONAL_ACTIVO_2024[[#All],[Mail ]],0,0)</f>
        <v>#NAME?</v>
      </c>
      <c r="AQ638" s="439" cm="1">
        <f t="array" aca="1" ref="AQ638" ca="1">IF(ISBLANK(Contrato5[[#This Row],[DEPENDENCIA ]]),0,IFERROR(_xlfn.XLOOKUP(Contrato5[[#This Row],[DEPENDENCIA ]],[2]!PERSONAL_ACTIVO_2024[[#All],[Dependencia]],[2]!PERSONAL_ACTIVO_2024[[#All],[Mail ]],0,0),0))</f>
        <v>0</v>
      </c>
    </row>
    <row r="639" spans="1:43" ht="34.5" customHeight="1">
      <c r="A639" s="125">
        <v>902</v>
      </c>
      <c r="B639" s="124">
        <v>514</v>
      </c>
      <c r="C639" s="162" t="s">
        <v>1989</v>
      </c>
      <c r="D639" s="227" t="s">
        <v>583</v>
      </c>
      <c r="E639" s="440" t="s">
        <v>94</v>
      </c>
      <c r="F639" s="227" t="s">
        <v>1376</v>
      </c>
      <c r="G639" s="281" t="s">
        <v>2917</v>
      </c>
      <c r="H639" s="436">
        <v>16708074</v>
      </c>
      <c r="I639" s="273">
        <v>4908936</v>
      </c>
      <c r="J639" s="437">
        <v>19963006</v>
      </c>
      <c r="K639" s="131" t="s">
        <v>42</v>
      </c>
      <c r="L639" s="438" t="s">
        <v>2855</v>
      </c>
      <c r="M639" s="194" t="s">
        <v>589</v>
      </c>
      <c r="N639" s="177" t="e" cm="1">
        <f t="array" aca="1" ref="N639" ca="1">_xlfn.XLOOKUP(Contrato5[[#This Row],[SUPERVISOR TITULAR]],[2]!PERSONAL_ACTIVO_2024[[#All],[Nombre completo]],[2]!PERSONAL_ACTIVO_2024[[#All],[Documento identidad]],"",0)</f>
        <v>#NAME?</v>
      </c>
      <c r="O639" s="194" t="s">
        <v>586</v>
      </c>
      <c r="P639" s="196" t="e" cm="1">
        <f t="array" aca="1" ref="P639" ca="1">_xlfn.XLOOKUP(Contrato5[[#This Row],[SUPERVISOR SUPLENTE ]],[2]!PERSONAL_ACTIVO_2024[[#All],[Nombre completo]],[2]!PERSONAL_ACTIVO_2024[[#All],[Documento identidad]],"",0)</f>
        <v>#NAME?</v>
      </c>
      <c r="Q639" s="170">
        <v>796</v>
      </c>
      <c r="R639" s="137" t="e" cm="1">
        <f t="array" aca="1" ref="R639" ca="1">_xlfn.XLOOKUP(Contrato5[[#This Row],[CDP]],[2]!DISPONIBILIDADES_2024[[#All],[consecutivo]],[2]!DISPONIBILIDADES_2024[[#All],[fecha_aprobacion]],"",0)</f>
        <v>#NAME?</v>
      </c>
      <c r="S639" s="138" t="e">
        <f>SUMIF([2]!DISPONIBILIDADES_2024[[#All],[consecutivo]],Contrato5[[#This Row],[CDP]],[2]!DISPONIBILIDADES_2024[[#All],[valor_total_rubro]])</f>
        <v>#REF!</v>
      </c>
      <c r="T639" s="139" t="e" cm="1">
        <f t="array" aca="1" ref="T639" ca="1">_xlfn.XLOOKUP(Contrato5[[#This Row],[CONTRATO]]&amp;Contrato5[[#This Row],[CDP]],[2]!Corr_Contr_CDP[[#All],[CONTRATO-CDP]],[2]!Corr_Contr_CDP[[#All],[CRP]],_xlfn.XLOOKUP(Contrato5[[#This Row],[CDP]],[2]!COMPROMISOS_2024[[#All],[disponibilidad]],[2]!COMPROMISOS_2024[[#All],[consecutivo]],"",0),0)</f>
        <v>#NAME?</v>
      </c>
      <c r="U639" s="140" t="e" cm="1">
        <f t="array" aca="1" ref="U639" ca="1">+_xlfn.XLOOKUP(Contrato5[[#This Row],[RCP]],[2]!COMPROMISOS_2024[[#All],[consecutivo]],[2]!COMPROMISOS_2024[[#All],[fecha_aprobacion]],"",0)</f>
        <v>#NAME?</v>
      </c>
      <c r="V639" s="141" t="e">
        <f ca="1">SUMIF([2]!COMPROMISOS_2024[[#All],[consecutivo]],Contrato5[[#This Row],[RCP]],[2]!COMPROMISOS_2024[[#All],[valor_total]])</f>
        <v>#REF!</v>
      </c>
      <c r="W639" s="160">
        <v>45516</v>
      </c>
      <c r="X639" s="160" t="s">
        <v>1045</v>
      </c>
      <c r="Y639" s="143">
        <v>45520</v>
      </c>
      <c r="Z639" s="262">
        <v>45643</v>
      </c>
      <c r="AA639" s="171" t="s">
        <v>2877</v>
      </c>
      <c r="AB639" s="172" t="s">
        <v>2871</v>
      </c>
      <c r="AC639" s="172"/>
      <c r="AD639" s="425">
        <v>202000005077</v>
      </c>
      <c r="AE639" s="147" t="s">
        <v>523</v>
      </c>
      <c r="AF639" s="148" t="str">
        <f>TEXT(LEFT(Contrato5[[#This Row],[CONTRATO]],3),"0")</f>
        <v>514</v>
      </c>
      <c r="AG639" s="148" t="str">
        <f>IF(LEN(Contrato5[[#This Row],[Contrato2]])=3,Contrato5[[#This Row],[Contrato2]],TEXT(Contrato5[[#This Row],[Contrato2]],"000"))</f>
        <v>514</v>
      </c>
      <c r="AH639" s="149">
        <f ca="1">IFERROR(_xlfn.DAYS(Contrato5[[#This Row],[Fecha Proyectada liquidación]],TODAY())/30,"")</f>
        <v>0.16666666666666666</v>
      </c>
      <c r="AI639" s="150">
        <f>+Contrato5[[#This Row],[FECHA TERMINACIÓN ]]+120</f>
        <v>45763</v>
      </c>
      <c r="AJ639" s="147"/>
      <c r="AK639" s="152" t="str">
        <f ca="1">IF(Contrato5[[#This Row],[FECHA TERMINACIÓN ]]&lt;TODAY(), "Terminado",IF(ISNUMBER(Contrato5[[#This Row],[Fecha Real de liquiidación ]]),"Liquidado",IF(Contrato5[[#This Row],[FECHA TERMINACIÓN ]]&gt;=TODAY(),"En ejecución","")))</f>
        <v>Terminado</v>
      </c>
      <c r="AL639" s="153" t="e">
        <f ca="1">SUMIF([2]!COMPROMISOS_2024[[#All],[consecutivo]],Contrato5[[#This Row],[RCP]],[2]!COMPROMISOS_2024[[#All],[Total pagado]])</f>
        <v>#REF!</v>
      </c>
      <c r="AM639" s="154">
        <f ca="1">IFERROR(Contrato5[[#This Row],[Pagos]]/Contrato5[[#This Row],[VALOR CONTRATO]],0)</f>
        <v>0</v>
      </c>
      <c r="AN639" s="198" t="e">
        <f ca="1">+Contrato5[[#This Row],[VALOR CONTRATO]]-Contrato5[[#This Row],[Pagos]]</f>
        <v>#REF!</v>
      </c>
      <c r="AO639" s="147" t="e" cm="1">
        <f t="array" aca="1" ref="AO639" ca="1">_xlfn.XLOOKUP(Contrato5[[#This Row],[DOCUMENTO ]],[2]!PERSONAL_ACTIVO_2024[[#All],[Documento identidad]],[2]!PERSONAL_ACTIVO_2024[[#All],[Mail ]],0,0)</f>
        <v>#NAME?</v>
      </c>
      <c r="AP639" s="147" t="e" cm="1">
        <f t="array" aca="1" ref="AP639" ca="1">_xlfn.XLOOKUP(Contrato5[[#This Row],[DOCUMENTO]],[2]!PERSONAL_ACTIVO_2024[[#All],[Documento identidad]],[2]!PERSONAL_ACTIVO_2024[[#All],[Mail ]],0,0)</f>
        <v>#NAME?</v>
      </c>
      <c r="AQ639" s="439" cm="1">
        <f t="array" aca="1" ref="AQ639" ca="1">IF(ISBLANK(Contrato5[[#This Row],[DEPENDENCIA ]]),0,IFERROR(_xlfn.XLOOKUP(Contrato5[[#This Row],[DEPENDENCIA ]],[2]!PERSONAL_ACTIVO_2024[[#All],[Dependencia]],[2]!PERSONAL_ACTIVO_2024[[#All],[Mail ]],0,0),0))</f>
        <v>0</v>
      </c>
    </row>
    <row r="640" spans="1:43" ht="34.5" customHeight="1">
      <c r="A640" s="125">
        <v>903</v>
      </c>
      <c r="B640" s="124">
        <v>515</v>
      </c>
      <c r="C640" s="162" t="s">
        <v>1990</v>
      </c>
      <c r="D640" s="227" t="s">
        <v>583</v>
      </c>
      <c r="E640" s="440" t="s">
        <v>94</v>
      </c>
      <c r="F640" s="227" t="s">
        <v>1376</v>
      </c>
      <c r="G640" s="281" t="s">
        <v>2918</v>
      </c>
      <c r="H640" s="436">
        <v>1128269668</v>
      </c>
      <c r="I640" s="273">
        <v>4908936</v>
      </c>
      <c r="J640" s="437">
        <v>19963006</v>
      </c>
      <c r="K640" s="131" t="s">
        <v>42</v>
      </c>
      <c r="L640" s="438" t="s">
        <v>2855</v>
      </c>
      <c r="M640" s="194" t="s">
        <v>589</v>
      </c>
      <c r="N640" s="177" t="e" cm="1">
        <f t="array" aca="1" ref="N640" ca="1">_xlfn.XLOOKUP(Contrato5[[#This Row],[SUPERVISOR TITULAR]],[2]!PERSONAL_ACTIVO_2024[[#All],[Nombre completo]],[2]!PERSONAL_ACTIVO_2024[[#All],[Documento identidad]],"",0)</f>
        <v>#NAME?</v>
      </c>
      <c r="O640" s="194" t="s">
        <v>586</v>
      </c>
      <c r="P640" s="196" t="e" cm="1">
        <f t="array" aca="1" ref="P640" ca="1">_xlfn.XLOOKUP(Contrato5[[#This Row],[SUPERVISOR SUPLENTE ]],[2]!PERSONAL_ACTIVO_2024[[#All],[Nombre completo]],[2]!PERSONAL_ACTIVO_2024[[#All],[Documento identidad]],"",0)</f>
        <v>#NAME?</v>
      </c>
      <c r="Q640" s="170">
        <v>795</v>
      </c>
      <c r="R640" s="137" t="e" cm="1">
        <f t="array" aca="1" ref="R640" ca="1">_xlfn.XLOOKUP(Contrato5[[#This Row],[CDP]],[2]!DISPONIBILIDADES_2024[[#All],[consecutivo]],[2]!DISPONIBILIDADES_2024[[#All],[fecha_aprobacion]],"",0)</f>
        <v>#NAME?</v>
      </c>
      <c r="S640" s="138" t="e">
        <f>SUMIF([2]!DISPONIBILIDADES_2024[[#All],[consecutivo]],Contrato5[[#This Row],[CDP]],[2]!DISPONIBILIDADES_2024[[#All],[valor_total_rubro]])</f>
        <v>#REF!</v>
      </c>
      <c r="T640" s="139" t="e" cm="1">
        <f t="array" aca="1" ref="T640" ca="1">_xlfn.XLOOKUP(Contrato5[[#This Row],[CONTRATO]]&amp;Contrato5[[#This Row],[CDP]],[2]!Corr_Contr_CDP[[#All],[CONTRATO-CDP]],[2]!Corr_Contr_CDP[[#All],[CRP]],_xlfn.XLOOKUP(Contrato5[[#This Row],[CDP]],[2]!COMPROMISOS_2024[[#All],[disponibilidad]],[2]!COMPROMISOS_2024[[#All],[consecutivo]],"",0),0)</f>
        <v>#NAME?</v>
      </c>
      <c r="U640" s="140" t="e" cm="1">
        <f t="array" aca="1" ref="U640" ca="1">+_xlfn.XLOOKUP(Contrato5[[#This Row],[RCP]],[2]!COMPROMISOS_2024[[#All],[consecutivo]],[2]!COMPROMISOS_2024[[#All],[fecha_aprobacion]],"",0)</f>
        <v>#NAME?</v>
      </c>
      <c r="V640" s="141" t="e">
        <f ca="1">SUMIF([2]!COMPROMISOS_2024[[#All],[consecutivo]],Contrato5[[#This Row],[RCP]],[2]!COMPROMISOS_2024[[#All],[valor_total]])</f>
        <v>#REF!</v>
      </c>
      <c r="W640" s="160">
        <v>45516</v>
      </c>
      <c r="X640" s="160" t="s">
        <v>1045</v>
      </c>
      <c r="Y640" s="143">
        <v>45520</v>
      </c>
      <c r="Z640" s="262">
        <v>45643</v>
      </c>
      <c r="AA640" s="171" t="s">
        <v>2877</v>
      </c>
      <c r="AB640" s="172" t="s">
        <v>2871</v>
      </c>
      <c r="AC640" s="172"/>
      <c r="AD640" s="425">
        <v>202000005078</v>
      </c>
      <c r="AE640" s="147" t="s">
        <v>523</v>
      </c>
      <c r="AF640" s="148" t="str">
        <f>TEXT(LEFT(Contrato5[[#This Row],[CONTRATO]],3),"0")</f>
        <v>515</v>
      </c>
      <c r="AG640" s="148" t="str">
        <f>IF(LEN(Contrato5[[#This Row],[Contrato2]])=3,Contrato5[[#This Row],[Contrato2]],TEXT(Contrato5[[#This Row],[Contrato2]],"000"))</f>
        <v>515</v>
      </c>
      <c r="AH640" s="149">
        <f ca="1">IFERROR(_xlfn.DAYS(Contrato5[[#This Row],[Fecha Proyectada liquidación]],TODAY())/30,"")</f>
        <v>0.16666666666666666</v>
      </c>
      <c r="AI640" s="150">
        <f>+Contrato5[[#This Row],[FECHA TERMINACIÓN ]]+120</f>
        <v>45763</v>
      </c>
      <c r="AJ640" s="147"/>
      <c r="AK640" s="152" t="str">
        <f ca="1">IF(Contrato5[[#This Row],[FECHA TERMINACIÓN ]]&lt;TODAY(), "Terminado",IF(ISNUMBER(Contrato5[[#This Row],[Fecha Real de liquiidación ]]),"Liquidado",IF(Contrato5[[#This Row],[FECHA TERMINACIÓN ]]&gt;=TODAY(),"En ejecución","")))</f>
        <v>Terminado</v>
      </c>
      <c r="AL640" s="153" t="e">
        <f ca="1">SUMIF([2]!COMPROMISOS_2024[[#All],[consecutivo]],Contrato5[[#This Row],[RCP]],[2]!COMPROMISOS_2024[[#All],[Total pagado]])</f>
        <v>#REF!</v>
      </c>
      <c r="AM640" s="154">
        <f ca="1">IFERROR(Contrato5[[#This Row],[Pagos]]/Contrato5[[#This Row],[VALOR CONTRATO]],0)</f>
        <v>0</v>
      </c>
      <c r="AN640" s="198" t="e">
        <f ca="1">+Contrato5[[#This Row],[VALOR CONTRATO]]-Contrato5[[#This Row],[Pagos]]</f>
        <v>#REF!</v>
      </c>
      <c r="AO640" s="147" t="e" cm="1">
        <f t="array" aca="1" ref="AO640" ca="1">_xlfn.XLOOKUP(Contrato5[[#This Row],[DOCUMENTO ]],[2]!PERSONAL_ACTIVO_2024[[#All],[Documento identidad]],[2]!PERSONAL_ACTIVO_2024[[#All],[Mail ]],0,0)</f>
        <v>#NAME?</v>
      </c>
      <c r="AP640" s="147" t="e" cm="1">
        <f t="array" aca="1" ref="AP640" ca="1">_xlfn.XLOOKUP(Contrato5[[#This Row],[DOCUMENTO]],[2]!PERSONAL_ACTIVO_2024[[#All],[Documento identidad]],[2]!PERSONAL_ACTIVO_2024[[#All],[Mail ]],0,0)</f>
        <v>#NAME?</v>
      </c>
      <c r="AQ640" s="439" cm="1">
        <f t="array" aca="1" ref="AQ640" ca="1">IF(ISBLANK(Contrato5[[#This Row],[DEPENDENCIA ]]),0,IFERROR(_xlfn.XLOOKUP(Contrato5[[#This Row],[DEPENDENCIA ]],[2]!PERSONAL_ACTIVO_2024[[#All],[Dependencia]],[2]!PERSONAL_ACTIVO_2024[[#All],[Mail ]],0,0),0))</f>
        <v>0</v>
      </c>
    </row>
    <row r="641" spans="1:43" ht="34.5" customHeight="1">
      <c r="A641" s="125">
        <v>904</v>
      </c>
      <c r="B641" s="124">
        <v>516</v>
      </c>
      <c r="C641" s="162" t="s">
        <v>1990</v>
      </c>
      <c r="D641" s="227" t="s">
        <v>583</v>
      </c>
      <c r="E641" s="440" t="s">
        <v>94</v>
      </c>
      <c r="F641" s="227" t="s">
        <v>1376</v>
      </c>
      <c r="G641" s="281" t="s">
        <v>709</v>
      </c>
      <c r="H641" s="436">
        <v>1128276428</v>
      </c>
      <c r="I641" s="273">
        <v>3952382</v>
      </c>
      <c r="J641" s="437">
        <v>16073020</v>
      </c>
      <c r="K641" s="131" t="s">
        <v>42</v>
      </c>
      <c r="L641" s="438" t="s">
        <v>2855</v>
      </c>
      <c r="M641" s="194" t="s">
        <v>589</v>
      </c>
      <c r="N641" s="177" t="e" cm="1">
        <f t="array" aca="1" ref="N641" ca="1">_xlfn.XLOOKUP(Contrato5[[#This Row],[SUPERVISOR TITULAR]],[2]!PERSONAL_ACTIVO_2024[[#All],[Nombre completo]],[2]!PERSONAL_ACTIVO_2024[[#All],[Documento identidad]],"",0)</f>
        <v>#NAME?</v>
      </c>
      <c r="O641" s="194" t="s">
        <v>586</v>
      </c>
      <c r="P641" s="196" t="e" cm="1">
        <f t="array" aca="1" ref="P641" ca="1">_xlfn.XLOOKUP(Contrato5[[#This Row],[SUPERVISOR SUPLENTE ]],[2]!PERSONAL_ACTIVO_2024[[#All],[Nombre completo]],[2]!PERSONAL_ACTIVO_2024[[#All],[Documento identidad]],"",0)</f>
        <v>#NAME?</v>
      </c>
      <c r="Q641" s="170">
        <v>722</v>
      </c>
      <c r="R641" s="137" t="e" cm="1">
        <f t="array" aca="1" ref="R641" ca="1">_xlfn.XLOOKUP(Contrato5[[#This Row],[CDP]],[2]!DISPONIBILIDADES_2024[[#All],[consecutivo]],[2]!DISPONIBILIDADES_2024[[#All],[fecha_aprobacion]],"",0)</f>
        <v>#NAME?</v>
      </c>
      <c r="S641" s="138" t="e">
        <f>SUMIF([2]!DISPONIBILIDADES_2024[[#All],[consecutivo]],Contrato5[[#This Row],[CDP]],[2]!DISPONIBILIDADES_2024[[#All],[valor_total_rubro]])</f>
        <v>#REF!</v>
      </c>
      <c r="T641" s="139" t="e" cm="1">
        <f t="array" aca="1" ref="T641" ca="1">_xlfn.XLOOKUP(Contrato5[[#This Row],[CONTRATO]]&amp;Contrato5[[#This Row],[CDP]],[2]!Corr_Contr_CDP[[#All],[CONTRATO-CDP]],[2]!Corr_Contr_CDP[[#All],[CRP]],_xlfn.XLOOKUP(Contrato5[[#This Row],[CDP]],[2]!COMPROMISOS_2024[[#All],[disponibilidad]],[2]!COMPROMISOS_2024[[#All],[consecutivo]],"",0),0)</f>
        <v>#NAME?</v>
      </c>
      <c r="U641" s="140" t="e" cm="1">
        <f t="array" aca="1" ref="U641" ca="1">+_xlfn.XLOOKUP(Contrato5[[#This Row],[RCP]],[2]!COMPROMISOS_2024[[#All],[consecutivo]],[2]!COMPROMISOS_2024[[#All],[fecha_aprobacion]],"",0)</f>
        <v>#NAME?</v>
      </c>
      <c r="V641" s="141" t="e">
        <f ca="1">SUMIF([2]!COMPROMISOS_2024[[#All],[consecutivo]],Contrato5[[#This Row],[RCP]],[2]!COMPROMISOS_2024[[#All],[valor_total]])</f>
        <v>#REF!</v>
      </c>
      <c r="W641" s="160">
        <v>45516</v>
      </c>
      <c r="X641" s="160" t="s">
        <v>1045</v>
      </c>
      <c r="Y641" s="143">
        <v>45520</v>
      </c>
      <c r="Z641" s="262">
        <v>45643</v>
      </c>
      <c r="AA641" s="171" t="s">
        <v>2877</v>
      </c>
      <c r="AB641" s="172" t="s">
        <v>2871</v>
      </c>
      <c r="AC641" s="172"/>
      <c r="AD641" s="425">
        <v>202000005079</v>
      </c>
      <c r="AE641" s="147" t="s">
        <v>523</v>
      </c>
      <c r="AF641" s="148" t="str">
        <f>TEXT(LEFT(Contrato5[[#This Row],[CONTRATO]],3),"0")</f>
        <v>516</v>
      </c>
      <c r="AG641" s="148" t="str">
        <f>IF(LEN(Contrato5[[#This Row],[Contrato2]])=3,Contrato5[[#This Row],[Contrato2]],TEXT(Contrato5[[#This Row],[Contrato2]],"000"))</f>
        <v>516</v>
      </c>
      <c r="AH641" s="149">
        <f ca="1">IFERROR(_xlfn.DAYS(Contrato5[[#This Row],[Fecha Proyectada liquidación]],TODAY())/30,"")</f>
        <v>0.16666666666666666</v>
      </c>
      <c r="AI641" s="150">
        <f>+Contrato5[[#This Row],[FECHA TERMINACIÓN ]]+120</f>
        <v>45763</v>
      </c>
      <c r="AJ641" s="147"/>
      <c r="AK641" s="152" t="str">
        <f ca="1">IF(Contrato5[[#This Row],[FECHA TERMINACIÓN ]]&lt;TODAY(), "Terminado",IF(ISNUMBER(Contrato5[[#This Row],[Fecha Real de liquiidación ]]),"Liquidado",IF(Contrato5[[#This Row],[FECHA TERMINACIÓN ]]&gt;=TODAY(),"En ejecución","")))</f>
        <v>Terminado</v>
      </c>
      <c r="AL641" s="153" t="e">
        <f ca="1">SUMIF([2]!COMPROMISOS_2024[[#All],[consecutivo]],Contrato5[[#This Row],[RCP]],[2]!COMPROMISOS_2024[[#All],[Total pagado]])</f>
        <v>#REF!</v>
      </c>
      <c r="AM641" s="154">
        <f ca="1">IFERROR(Contrato5[[#This Row],[Pagos]]/Contrato5[[#This Row],[VALOR CONTRATO]],0)</f>
        <v>0</v>
      </c>
      <c r="AN641" s="198" t="e">
        <f ca="1">+Contrato5[[#This Row],[VALOR CONTRATO]]-Contrato5[[#This Row],[Pagos]]</f>
        <v>#REF!</v>
      </c>
      <c r="AO641" s="147" t="e" cm="1">
        <f t="array" aca="1" ref="AO641" ca="1">_xlfn.XLOOKUP(Contrato5[[#This Row],[DOCUMENTO ]],[2]!PERSONAL_ACTIVO_2024[[#All],[Documento identidad]],[2]!PERSONAL_ACTIVO_2024[[#All],[Mail ]],0,0)</f>
        <v>#NAME?</v>
      </c>
      <c r="AP641" s="147" t="e" cm="1">
        <f t="array" aca="1" ref="AP641" ca="1">_xlfn.XLOOKUP(Contrato5[[#This Row],[DOCUMENTO]],[2]!PERSONAL_ACTIVO_2024[[#All],[Documento identidad]],[2]!PERSONAL_ACTIVO_2024[[#All],[Mail ]],0,0)</f>
        <v>#NAME?</v>
      </c>
      <c r="AQ641" s="439" cm="1">
        <f t="array" aca="1" ref="AQ641" ca="1">IF(ISBLANK(Contrato5[[#This Row],[DEPENDENCIA ]]),0,IFERROR(_xlfn.XLOOKUP(Contrato5[[#This Row],[DEPENDENCIA ]],[2]!PERSONAL_ACTIVO_2024[[#All],[Dependencia]],[2]!PERSONAL_ACTIVO_2024[[#All],[Mail ]],0,0),0))</f>
        <v>0</v>
      </c>
    </row>
    <row r="642" spans="1:43" ht="34.5" customHeight="1">
      <c r="A642" s="125">
        <v>905</v>
      </c>
      <c r="B642" s="124">
        <v>517</v>
      </c>
      <c r="C642" s="162" t="s">
        <v>1990</v>
      </c>
      <c r="D642" s="227" t="s">
        <v>583</v>
      </c>
      <c r="E642" s="440" t="s">
        <v>94</v>
      </c>
      <c r="F642" s="227" t="s">
        <v>1376</v>
      </c>
      <c r="G642" s="281" t="s">
        <v>710</v>
      </c>
      <c r="H642" s="436">
        <v>1128280663</v>
      </c>
      <c r="I642" s="273">
        <v>3952382</v>
      </c>
      <c r="J642" s="437">
        <v>16073020</v>
      </c>
      <c r="K642" s="131" t="s">
        <v>42</v>
      </c>
      <c r="L642" s="438" t="s">
        <v>2855</v>
      </c>
      <c r="M642" s="194" t="s">
        <v>589</v>
      </c>
      <c r="N642" s="177" t="e" cm="1">
        <f t="array" aca="1" ref="N642" ca="1">_xlfn.XLOOKUP(Contrato5[[#This Row],[SUPERVISOR TITULAR]],[2]!PERSONAL_ACTIVO_2024[[#All],[Nombre completo]],[2]!PERSONAL_ACTIVO_2024[[#All],[Documento identidad]],"",0)</f>
        <v>#NAME?</v>
      </c>
      <c r="O642" s="194" t="s">
        <v>586</v>
      </c>
      <c r="P642" s="196" t="e" cm="1">
        <f t="array" aca="1" ref="P642" ca="1">_xlfn.XLOOKUP(Contrato5[[#This Row],[SUPERVISOR SUPLENTE ]],[2]!PERSONAL_ACTIVO_2024[[#All],[Nombre completo]],[2]!PERSONAL_ACTIVO_2024[[#All],[Documento identidad]],"",0)</f>
        <v>#NAME?</v>
      </c>
      <c r="Q642" s="170">
        <v>809</v>
      </c>
      <c r="R642" s="137" t="e" cm="1">
        <f t="array" aca="1" ref="R642" ca="1">_xlfn.XLOOKUP(Contrato5[[#This Row],[CDP]],[2]!DISPONIBILIDADES_2024[[#All],[consecutivo]],[2]!DISPONIBILIDADES_2024[[#All],[fecha_aprobacion]],"",0)</f>
        <v>#NAME?</v>
      </c>
      <c r="S642" s="138" t="e">
        <f>SUMIF([2]!DISPONIBILIDADES_2024[[#All],[consecutivo]],Contrato5[[#This Row],[CDP]],[2]!DISPONIBILIDADES_2024[[#All],[valor_total_rubro]])</f>
        <v>#REF!</v>
      </c>
      <c r="T642" s="139" t="e" cm="1">
        <f t="array" aca="1" ref="T642" ca="1">_xlfn.XLOOKUP(Contrato5[[#This Row],[CONTRATO]]&amp;Contrato5[[#This Row],[CDP]],[2]!Corr_Contr_CDP[[#All],[CONTRATO-CDP]],[2]!Corr_Contr_CDP[[#All],[CRP]],_xlfn.XLOOKUP(Contrato5[[#This Row],[CDP]],[2]!COMPROMISOS_2024[[#All],[disponibilidad]],[2]!COMPROMISOS_2024[[#All],[consecutivo]],"",0),0)</f>
        <v>#NAME?</v>
      </c>
      <c r="U642" s="140" t="e" cm="1">
        <f t="array" aca="1" ref="U642" ca="1">+_xlfn.XLOOKUP(Contrato5[[#This Row],[RCP]],[2]!COMPROMISOS_2024[[#All],[consecutivo]],[2]!COMPROMISOS_2024[[#All],[fecha_aprobacion]],"",0)</f>
        <v>#NAME?</v>
      </c>
      <c r="V642" s="141" t="e">
        <f ca="1">SUMIF([2]!COMPROMISOS_2024[[#All],[consecutivo]],Contrato5[[#This Row],[RCP]],[2]!COMPROMISOS_2024[[#All],[valor_total]])</f>
        <v>#REF!</v>
      </c>
      <c r="W642" s="160">
        <v>45516</v>
      </c>
      <c r="X642" s="160" t="s">
        <v>1045</v>
      </c>
      <c r="Y642" s="143">
        <v>45520</v>
      </c>
      <c r="Z642" s="262">
        <v>45643</v>
      </c>
      <c r="AA642" s="171" t="s">
        <v>2875</v>
      </c>
      <c r="AB642" s="172" t="s">
        <v>2905</v>
      </c>
      <c r="AC642" s="172"/>
      <c r="AD642" s="425">
        <v>202000005080</v>
      </c>
      <c r="AE642" s="147" t="s">
        <v>523</v>
      </c>
      <c r="AF642" s="148" t="str">
        <f>TEXT(LEFT(Contrato5[[#This Row],[CONTRATO]],3),"0")</f>
        <v>517</v>
      </c>
      <c r="AG642" s="148" t="str">
        <f>IF(LEN(Contrato5[[#This Row],[Contrato2]])=3,Contrato5[[#This Row],[Contrato2]],TEXT(Contrato5[[#This Row],[Contrato2]],"000"))</f>
        <v>517</v>
      </c>
      <c r="AH642" s="149">
        <f ca="1">IFERROR(_xlfn.DAYS(Contrato5[[#This Row],[Fecha Proyectada liquidación]],TODAY())/30,"")</f>
        <v>0.16666666666666666</v>
      </c>
      <c r="AI642" s="150">
        <f>+Contrato5[[#This Row],[FECHA TERMINACIÓN ]]+120</f>
        <v>45763</v>
      </c>
      <c r="AJ642" s="147"/>
      <c r="AK642" s="152" t="str">
        <f ca="1">IF(Contrato5[[#This Row],[FECHA TERMINACIÓN ]]&lt;TODAY(), "Terminado",IF(ISNUMBER(Contrato5[[#This Row],[Fecha Real de liquiidación ]]),"Liquidado",IF(Contrato5[[#This Row],[FECHA TERMINACIÓN ]]&gt;=TODAY(),"En ejecución","")))</f>
        <v>Terminado</v>
      </c>
      <c r="AL642" s="153" t="e">
        <f ca="1">SUMIF([2]!COMPROMISOS_2024[[#All],[consecutivo]],Contrato5[[#This Row],[RCP]],[2]!COMPROMISOS_2024[[#All],[Total pagado]])</f>
        <v>#REF!</v>
      </c>
      <c r="AM642" s="154">
        <f ca="1">IFERROR(Contrato5[[#This Row],[Pagos]]/Contrato5[[#This Row],[VALOR CONTRATO]],0)</f>
        <v>0</v>
      </c>
      <c r="AN642" s="198" t="e">
        <f ca="1">+Contrato5[[#This Row],[VALOR CONTRATO]]-Contrato5[[#This Row],[Pagos]]</f>
        <v>#REF!</v>
      </c>
      <c r="AO642" s="147" t="e" cm="1">
        <f t="array" aca="1" ref="AO642" ca="1">_xlfn.XLOOKUP(Contrato5[[#This Row],[DOCUMENTO ]],[2]!PERSONAL_ACTIVO_2024[[#All],[Documento identidad]],[2]!PERSONAL_ACTIVO_2024[[#All],[Mail ]],0,0)</f>
        <v>#NAME?</v>
      </c>
      <c r="AP642" s="147" t="e" cm="1">
        <f t="array" aca="1" ref="AP642" ca="1">_xlfn.XLOOKUP(Contrato5[[#This Row],[DOCUMENTO]],[2]!PERSONAL_ACTIVO_2024[[#All],[Documento identidad]],[2]!PERSONAL_ACTIVO_2024[[#All],[Mail ]],0,0)</f>
        <v>#NAME?</v>
      </c>
      <c r="AQ642" s="439" cm="1">
        <f t="array" aca="1" ref="AQ642" ca="1">IF(ISBLANK(Contrato5[[#This Row],[DEPENDENCIA ]]),0,IFERROR(_xlfn.XLOOKUP(Contrato5[[#This Row],[DEPENDENCIA ]],[2]!PERSONAL_ACTIVO_2024[[#All],[Dependencia]],[2]!PERSONAL_ACTIVO_2024[[#All],[Mail ]],0,0),0))</f>
        <v>0</v>
      </c>
    </row>
    <row r="643" spans="1:43" ht="34.5" customHeight="1">
      <c r="A643" s="125">
        <v>906</v>
      </c>
      <c r="B643" s="124">
        <v>518</v>
      </c>
      <c r="C643" s="162" t="s">
        <v>1979</v>
      </c>
      <c r="D643" s="227" t="s">
        <v>583</v>
      </c>
      <c r="E643" s="440" t="s">
        <v>94</v>
      </c>
      <c r="F643" s="227" t="s">
        <v>1376</v>
      </c>
      <c r="G643" s="281" t="s">
        <v>2919</v>
      </c>
      <c r="H643" s="436">
        <v>71315062</v>
      </c>
      <c r="I643" s="273">
        <v>3952382</v>
      </c>
      <c r="J643" s="437">
        <v>16073020</v>
      </c>
      <c r="K643" s="131" t="s">
        <v>42</v>
      </c>
      <c r="L643" s="438" t="s">
        <v>2855</v>
      </c>
      <c r="M643" s="194" t="s">
        <v>589</v>
      </c>
      <c r="N643" s="177" t="e" cm="1">
        <f t="array" aca="1" ref="N643" ca="1">_xlfn.XLOOKUP(Contrato5[[#This Row],[SUPERVISOR TITULAR]],[2]!PERSONAL_ACTIVO_2024[[#All],[Nombre completo]],[2]!PERSONAL_ACTIVO_2024[[#All],[Documento identidad]],"",0)</f>
        <v>#NAME?</v>
      </c>
      <c r="O643" s="194" t="s">
        <v>586</v>
      </c>
      <c r="P643" s="196" t="e" cm="1">
        <f t="array" aca="1" ref="P643" ca="1">_xlfn.XLOOKUP(Contrato5[[#This Row],[SUPERVISOR SUPLENTE ]],[2]!PERSONAL_ACTIVO_2024[[#All],[Nombre completo]],[2]!PERSONAL_ACTIVO_2024[[#All],[Documento identidad]],"",0)</f>
        <v>#NAME?</v>
      </c>
      <c r="Q643" s="170">
        <v>794</v>
      </c>
      <c r="R643" s="137" t="e" cm="1">
        <f t="array" aca="1" ref="R643" ca="1">_xlfn.XLOOKUP(Contrato5[[#This Row],[CDP]],[2]!DISPONIBILIDADES_2024[[#All],[consecutivo]],[2]!DISPONIBILIDADES_2024[[#All],[fecha_aprobacion]],"",0)</f>
        <v>#NAME?</v>
      </c>
      <c r="S643" s="138" t="e">
        <f>SUMIF([2]!DISPONIBILIDADES_2024[[#All],[consecutivo]],Contrato5[[#This Row],[CDP]],[2]!DISPONIBILIDADES_2024[[#All],[valor_total_rubro]])</f>
        <v>#REF!</v>
      </c>
      <c r="T643" s="139" t="e" cm="1">
        <f t="array" aca="1" ref="T643" ca="1">_xlfn.XLOOKUP(Contrato5[[#This Row],[CONTRATO]]&amp;Contrato5[[#This Row],[CDP]],[2]!Corr_Contr_CDP[[#All],[CONTRATO-CDP]],[2]!Corr_Contr_CDP[[#All],[CRP]],_xlfn.XLOOKUP(Contrato5[[#This Row],[CDP]],[2]!COMPROMISOS_2024[[#All],[disponibilidad]],[2]!COMPROMISOS_2024[[#All],[consecutivo]],"",0),0)</f>
        <v>#NAME?</v>
      </c>
      <c r="U643" s="140" t="e" cm="1">
        <f t="array" aca="1" ref="U643" ca="1">+_xlfn.XLOOKUP(Contrato5[[#This Row],[RCP]],[2]!COMPROMISOS_2024[[#All],[consecutivo]],[2]!COMPROMISOS_2024[[#All],[fecha_aprobacion]],"",0)</f>
        <v>#NAME?</v>
      </c>
      <c r="V643" s="141" t="e">
        <f ca="1">SUMIF([2]!COMPROMISOS_2024[[#All],[consecutivo]],Contrato5[[#This Row],[RCP]],[2]!COMPROMISOS_2024[[#All],[valor_total]])</f>
        <v>#REF!</v>
      </c>
      <c r="W643" s="160">
        <v>45516</v>
      </c>
      <c r="X643" s="160" t="s">
        <v>1045</v>
      </c>
      <c r="Y643" s="143">
        <v>45520</v>
      </c>
      <c r="Z643" s="262">
        <v>45643</v>
      </c>
      <c r="AA643" s="171" t="s">
        <v>2877</v>
      </c>
      <c r="AB643" s="172" t="s">
        <v>2871</v>
      </c>
      <c r="AC643" s="172"/>
      <c r="AD643" s="425">
        <v>202000005081</v>
      </c>
      <c r="AE643" s="147" t="s">
        <v>523</v>
      </c>
      <c r="AF643" s="148" t="str">
        <f>TEXT(LEFT(Contrato5[[#This Row],[CONTRATO]],3),"0")</f>
        <v>518</v>
      </c>
      <c r="AG643" s="148" t="str">
        <f>IF(LEN(Contrato5[[#This Row],[Contrato2]])=3,Contrato5[[#This Row],[Contrato2]],TEXT(Contrato5[[#This Row],[Contrato2]],"000"))</f>
        <v>518</v>
      </c>
      <c r="AH643" s="149">
        <f ca="1">IFERROR(_xlfn.DAYS(Contrato5[[#This Row],[Fecha Proyectada liquidación]],TODAY())/30,"")</f>
        <v>0.16666666666666666</v>
      </c>
      <c r="AI643" s="150">
        <f>+Contrato5[[#This Row],[FECHA TERMINACIÓN ]]+120</f>
        <v>45763</v>
      </c>
      <c r="AJ643" s="147"/>
      <c r="AK643" s="152" t="str">
        <f ca="1">IF(Contrato5[[#This Row],[FECHA TERMINACIÓN ]]&lt;TODAY(), "Terminado",IF(ISNUMBER(Contrato5[[#This Row],[Fecha Real de liquiidación ]]),"Liquidado",IF(Contrato5[[#This Row],[FECHA TERMINACIÓN ]]&gt;=TODAY(),"En ejecución","")))</f>
        <v>Terminado</v>
      </c>
      <c r="AL643" s="153" t="e">
        <f ca="1">SUMIF([2]!COMPROMISOS_2024[[#All],[consecutivo]],Contrato5[[#This Row],[RCP]],[2]!COMPROMISOS_2024[[#All],[Total pagado]])</f>
        <v>#REF!</v>
      </c>
      <c r="AM643" s="154">
        <f ca="1">IFERROR(Contrato5[[#This Row],[Pagos]]/Contrato5[[#This Row],[VALOR CONTRATO]],0)</f>
        <v>0</v>
      </c>
      <c r="AN643" s="198" t="e">
        <f ca="1">+Contrato5[[#This Row],[VALOR CONTRATO]]-Contrato5[[#This Row],[Pagos]]</f>
        <v>#REF!</v>
      </c>
      <c r="AO643" s="147" t="e" cm="1">
        <f t="array" aca="1" ref="AO643" ca="1">_xlfn.XLOOKUP(Contrato5[[#This Row],[DOCUMENTO ]],[2]!PERSONAL_ACTIVO_2024[[#All],[Documento identidad]],[2]!PERSONAL_ACTIVO_2024[[#All],[Mail ]],0,0)</f>
        <v>#NAME?</v>
      </c>
      <c r="AP643" s="147" t="e" cm="1">
        <f t="array" aca="1" ref="AP643" ca="1">_xlfn.XLOOKUP(Contrato5[[#This Row],[DOCUMENTO]],[2]!PERSONAL_ACTIVO_2024[[#All],[Documento identidad]],[2]!PERSONAL_ACTIVO_2024[[#All],[Mail ]],0,0)</f>
        <v>#NAME?</v>
      </c>
      <c r="AQ643" s="439" cm="1">
        <f t="array" aca="1" ref="AQ643" ca="1">IF(ISBLANK(Contrato5[[#This Row],[DEPENDENCIA ]]),0,IFERROR(_xlfn.XLOOKUP(Contrato5[[#This Row],[DEPENDENCIA ]],[2]!PERSONAL_ACTIVO_2024[[#All],[Dependencia]],[2]!PERSONAL_ACTIVO_2024[[#All],[Mail ]],0,0),0))</f>
        <v>0</v>
      </c>
    </row>
    <row r="644" spans="1:43" ht="34.5" customHeight="1">
      <c r="A644" s="125">
        <v>907</v>
      </c>
      <c r="B644" s="124">
        <v>519</v>
      </c>
      <c r="C644" s="162" t="s">
        <v>1991</v>
      </c>
      <c r="D644" s="227" t="s">
        <v>583</v>
      </c>
      <c r="E644" s="440" t="s">
        <v>94</v>
      </c>
      <c r="F644" s="227" t="s">
        <v>1376</v>
      </c>
      <c r="G644" s="281" t="s">
        <v>2920</v>
      </c>
      <c r="H644" s="436">
        <v>71378071</v>
      </c>
      <c r="I644" s="273">
        <v>5931149</v>
      </c>
      <c r="J644" s="437">
        <v>24120006</v>
      </c>
      <c r="K644" s="131" t="s">
        <v>42</v>
      </c>
      <c r="L644" s="438" t="s">
        <v>2855</v>
      </c>
      <c r="M644" s="194" t="s">
        <v>589</v>
      </c>
      <c r="N644" s="177" t="e" cm="1">
        <f t="array" aca="1" ref="N644" ca="1">_xlfn.XLOOKUP(Contrato5[[#This Row],[SUPERVISOR TITULAR]],[2]!PERSONAL_ACTIVO_2024[[#All],[Nombre completo]],[2]!PERSONAL_ACTIVO_2024[[#All],[Documento identidad]],"",0)</f>
        <v>#NAME?</v>
      </c>
      <c r="O644" s="194" t="s">
        <v>586</v>
      </c>
      <c r="P644" s="196" t="e" cm="1">
        <f t="array" aca="1" ref="P644" ca="1">_xlfn.XLOOKUP(Contrato5[[#This Row],[SUPERVISOR SUPLENTE ]],[2]!PERSONAL_ACTIVO_2024[[#All],[Nombre completo]],[2]!PERSONAL_ACTIVO_2024[[#All],[Documento identidad]],"",0)</f>
        <v>#NAME?</v>
      </c>
      <c r="Q644" s="170">
        <v>793</v>
      </c>
      <c r="R644" s="137" t="e" cm="1">
        <f t="array" aca="1" ref="R644" ca="1">_xlfn.XLOOKUP(Contrato5[[#This Row],[CDP]],[2]!DISPONIBILIDADES_2024[[#All],[consecutivo]],[2]!DISPONIBILIDADES_2024[[#All],[fecha_aprobacion]],"",0)</f>
        <v>#NAME?</v>
      </c>
      <c r="S644" s="138" t="e">
        <f>SUMIF([2]!DISPONIBILIDADES_2024[[#All],[consecutivo]],Contrato5[[#This Row],[CDP]],[2]!DISPONIBILIDADES_2024[[#All],[valor_total_rubro]])</f>
        <v>#REF!</v>
      </c>
      <c r="T644" s="139" t="e" cm="1">
        <f t="array" aca="1" ref="T644" ca="1">_xlfn.XLOOKUP(Contrato5[[#This Row],[CONTRATO]]&amp;Contrato5[[#This Row],[CDP]],[2]!Corr_Contr_CDP[[#All],[CONTRATO-CDP]],[2]!Corr_Contr_CDP[[#All],[CRP]],_xlfn.XLOOKUP(Contrato5[[#This Row],[CDP]],[2]!COMPROMISOS_2024[[#All],[disponibilidad]],[2]!COMPROMISOS_2024[[#All],[consecutivo]],"",0),0)</f>
        <v>#NAME?</v>
      </c>
      <c r="U644" s="140" t="e" cm="1">
        <f t="array" aca="1" ref="U644" ca="1">+_xlfn.XLOOKUP(Contrato5[[#This Row],[RCP]],[2]!COMPROMISOS_2024[[#All],[consecutivo]],[2]!COMPROMISOS_2024[[#All],[fecha_aprobacion]],"",0)</f>
        <v>#NAME?</v>
      </c>
      <c r="V644" s="141" t="e">
        <f ca="1">SUMIF([2]!COMPROMISOS_2024[[#All],[consecutivo]],Contrato5[[#This Row],[RCP]],[2]!COMPROMISOS_2024[[#All],[valor_total]])</f>
        <v>#REF!</v>
      </c>
      <c r="W644" s="160">
        <v>45516</v>
      </c>
      <c r="X644" s="160" t="s">
        <v>1045</v>
      </c>
      <c r="Y644" s="143">
        <v>45520</v>
      </c>
      <c r="Z644" s="262">
        <v>45643</v>
      </c>
      <c r="AA644" s="171" t="s">
        <v>2877</v>
      </c>
      <c r="AB644" s="172" t="s">
        <v>2871</v>
      </c>
      <c r="AC644" s="172"/>
      <c r="AD644" s="425">
        <v>202000005083</v>
      </c>
      <c r="AE644" s="147" t="s">
        <v>523</v>
      </c>
      <c r="AF644" s="148" t="str">
        <f>TEXT(LEFT(Contrato5[[#This Row],[CONTRATO]],3),"0")</f>
        <v>519</v>
      </c>
      <c r="AG644" s="148" t="str">
        <f>IF(LEN(Contrato5[[#This Row],[Contrato2]])=3,Contrato5[[#This Row],[Contrato2]],TEXT(Contrato5[[#This Row],[Contrato2]],"000"))</f>
        <v>519</v>
      </c>
      <c r="AH644" s="149">
        <f ca="1">IFERROR(_xlfn.DAYS(Contrato5[[#This Row],[Fecha Proyectada liquidación]],TODAY())/30,"")</f>
        <v>0.16666666666666666</v>
      </c>
      <c r="AI644" s="150">
        <f>+Contrato5[[#This Row],[FECHA TERMINACIÓN ]]+120</f>
        <v>45763</v>
      </c>
      <c r="AJ644" s="147"/>
      <c r="AK644" s="152" t="str">
        <f ca="1">IF(Contrato5[[#This Row],[FECHA TERMINACIÓN ]]&lt;TODAY(), "Terminado",IF(ISNUMBER(Contrato5[[#This Row],[Fecha Real de liquiidación ]]),"Liquidado",IF(Contrato5[[#This Row],[FECHA TERMINACIÓN ]]&gt;=TODAY(),"En ejecución","")))</f>
        <v>Terminado</v>
      </c>
      <c r="AL644" s="153" t="e">
        <f ca="1">SUMIF([2]!COMPROMISOS_2024[[#All],[consecutivo]],Contrato5[[#This Row],[RCP]],[2]!COMPROMISOS_2024[[#All],[Total pagado]])</f>
        <v>#REF!</v>
      </c>
      <c r="AM644" s="154">
        <f ca="1">IFERROR(Contrato5[[#This Row],[Pagos]]/Contrato5[[#This Row],[VALOR CONTRATO]],0)</f>
        <v>0</v>
      </c>
      <c r="AN644" s="198" t="e">
        <f ca="1">+Contrato5[[#This Row],[VALOR CONTRATO]]-Contrato5[[#This Row],[Pagos]]</f>
        <v>#REF!</v>
      </c>
      <c r="AO644" s="147" t="e" cm="1">
        <f t="array" aca="1" ref="AO644" ca="1">_xlfn.XLOOKUP(Contrato5[[#This Row],[DOCUMENTO ]],[2]!PERSONAL_ACTIVO_2024[[#All],[Documento identidad]],[2]!PERSONAL_ACTIVO_2024[[#All],[Mail ]],0,0)</f>
        <v>#NAME?</v>
      </c>
      <c r="AP644" s="147" t="e" cm="1">
        <f t="array" aca="1" ref="AP644" ca="1">_xlfn.XLOOKUP(Contrato5[[#This Row],[DOCUMENTO]],[2]!PERSONAL_ACTIVO_2024[[#All],[Documento identidad]],[2]!PERSONAL_ACTIVO_2024[[#All],[Mail ]],0,0)</f>
        <v>#NAME?</v>
      </c>
      <c r="AQ644" s="439" cm="1">
        <f t="array" aca="1" ref="AQ644" ca="1">IF(ISBLANK(Contrato5[[#This Row],[DEPENDENCIA ]]),0,IFERROR(_xlfn.XLOOKUP(Contrato5[[#This Row],[DEPENDENCIA ]],[2]!PERSONAL_ACTIVO_2024[[#All],[Dependencia]],[2]!PERSONAL_ACTIVO_2024[[#All],[Mail ]],0,0),0))</f>
        <v>0</v>
      </c>
    </row>
    <row r="645" spans="1:43" ht="34.5" customHeight="1">
      <c r="A645" s="125">
        <v>908</v>
      </c>
      <c r="B645" s="124">
        <v>520</v>
      </c>
      <c r="C645" s="162" t="s">
        <v>1992</v>
      </c>
      <c r="D645" s="227" t="s">
        <v>583</v>
      </c>
      <c r="E645" s="440" t="s">
        <v>94</v>
      </c>
      <c r="F645" s="227" t="s">
        <v>1376</v>
      </c>
      <c r="G645" s="281" t="s">
        <v>714</v>
      </c>
      <c r="H645" s="436">
        <v>15368469</v>
      </c>
      <c r="I645" s="273">
        <v>7908765</v>
      </c>
      <c r="J645" s="437">
        <v>32162311</v>
      </c>
      <c r="K645" s="131" t="s">
        <v>42</v>
      </c>
      <c r="L645" s="438" t="s">
        <v>2855</v>
      </c>
      <c r="M645" s="194" t="s">
        <v>589</v>
      </c>
      <c r="N645" s="177" t="e" cm="1">
        <f t="array" aca="1" ref="N645" ca="1">_xlfn.XLOOKUP(Contrato5[[#This Row],[SUPERVISOR TITULAR]],[2]!PERSONAL_ACTIVO_2024[[#All],[Nombre completo]],[2]!PERSONAL_ACTIVO_2024[[#All],[Documento identidad]],"",0)</f>
        <v>#NAME?</v>
      </c>
      <c r="O645" s="194" t="s">
        <v>586</v>
      </c>
      <c r="P645" s="196" t="e" cm="1">
        <f t="array" aca="1" ref="P645" ca="1">_xlfn.XLOOKUP(Contrato5[[#This Row],[SUPERVISOR SUPLENTE ]],[2]!PERSONAL_ACTIVO_2024[[#All],[Nombre completo]],[2]!PERSONAL_ACTIVO_2024[[#All],[Documento identidad]],"",0)</f>
        <v>#NAME?</v>
      </c>
      <c r="Q645" s="170">
        <v>792</v>
      </c>
      <c r="R645" s="137" t="e" cm="1">
        <f t="array" aca="1" ref="R645" ca="1">_xlfn.XLOOKUP(Contrato5[[#This Row],[CDP]],[2]!DISPONIBILIDADES_2024[[#All],[consecutivo]],[2]!DISPONIBILIDADES_2024[[#All],[fecha_aprobacion]],"",0)</f>
        <v>#NAME?</v>
      </c>
      <c r="S645" s="138" t="e">
        <f>SUMIF([2]!DISPONIBILIDADES_2024[[#All],[consecutivo]],Contrato5[[#This Row],[CDP]],[2]!DISPONIBILIDADES_2024[[#All],[valor_total_rubro]])</f>
        <v>#REF!</v>
      </c>
      <c r="T645" s="139" t="e" cm="1">
        <f t="array" aca="1" ref="T645" ca="1">_xlfn.XLOOKUP(Contrato5[[#This Row],[CONTRATO]]&amp;Contrato5[[#This Row],[CDP]],[2]!Corr_Contr_CDP[[#All],[CONTRATO-CDP]],[2]!Corr_Contr_CDP[[#All],[CRP]],_xlfn.XLOOKUP(Contrato5[[#This Row],[CDP]],[2]!COMPROMISOS_2024[[#All],[disponibilidad]],[2]!COMPROMISOS_2024[[#All],[consecutivo]],"",0),0)</f>
        <v>#NAME?</v>
      </c>
      <c r="U645" s="140" t="e" cm="1">
        <f t="array" aca="1" ref="U645" ca="1">+_xlfn.XLOOKUP(Contrato5[[#This Row],[RCP]],[2]!COMPROMISOS_2024[[#All],[consecutivo]],[2]!COMPROMISOS_2024[[#All],[fecha_aprobacion]],"",0)</f>
        <v>#NAME?</v>
      </c>
      <c r="V645" s="141" t="e">
        <f ca="1">SUMIF([2]!COMPROMISOS_2024[[#All],[consecutivo]],Contrato5[[#This Row],[RCP]],[2]!COMPROMISOS_2024[[#All],[valor_total]])</f>
        <v>#REF!</v>
      </c>
      <c r="W645" s="160">
        <v>45517</v>
      </c>
      <c r="X645" s="160" t="s">
        <v>1045</v>
      </c>
      <c r="Y645" s="143">
        <v>45520</v>
      </c>
      <c r="Z645" s="262">
        <v>45643</v>
      </c>
      <c r="AA645" s="171" t="s">
        <v>2870</v>
      </c>
      <c r="AB645" s="172" t="s">
        <v>2871</v>
      </c>
      <c r="AC645" s="172"/>
      <c r="AD645" s="425">
        <v>202000005084</v>
      </c>
      <c r="AE645" s="147" t="s">
        <v>523</v>
      </c>
      <c r="AF645" s="148" t="str">
        <f>TEXT(LEFT(Contrato5[[#This Row],[CONTRATO]],3),"0")</f>
        <v>520</v>
      </c>
      <c r="AG645" s="148" t="str">
        <f>IF(LEN(Contrato5[[#This Row],[Contrato2]])=3,Contrato5[[#This Row],[Contrato2]],TEXT(Contrato5[[#This Row],[Contrato2]],"000"))</f>
        <v>520</v>
      </c>
      <c r="AH645" s="149">
        <f ca="1">IFERROR(_xlfn.DAYS(Contrato5[[#This Row],[Fecha Proyectada liquidación]],TODAY())/30,"")</f>
        <v>0.16666666666666666</v>
      </c>
      <c r="AI645" s="150">
        <f>+Contrato5[[#This Row],[FECHA TERMINACIÓN ]]+120</f>
        <v>45763</v>
      </c>
      <c r="AJ645" s="147"/>
      <c r="AK645" s="152" t="str">
        <f ca="1">IF(Contrato5[[#This Row],[FECHA TERMINACIÓN ]]&lt;TODAY(), "Terminado",IF(ISNUMBER(Contrato5[[#This Row],[Fecha Real de liquiidación ]]),"Liquidado",IF(Contrato5[[#This Row],[FECHA TERMINACIÓN ]]&gt;=TODAY(),"En ejecución","")))</f>
        <v>Terminado</v>
      </c>
      <c r="AL645" s="153" t="e">
        <f ca="1">SUMIF([2]!COMPROMISOS_2024[[#All],[consecutivo]],Contrato5[[#This Row],[RCP]],[2]!COMPROMISOS_2024[[#All],[Total pagado]])</f>
        <v>#REF!</v>
      </c>
      <c r="AM645" s="154">
        <f ca="1">IFERROR(Contrato5[[#This Row],[Pagos]]/Contrato5[[#This Row],[VALOR CONTRATO]],0)</f>
        <v>0</v>
      </c>
      <c r="AN645" s="198" t="e">
        <f ca="1">+Contrato5[[#This Row],[VALOR CONTRATO]]-Contrato5[[#This Row],[Pagos]]</f>
        <v>#REF!</v>
      </c>
      <c r="AO645" s="147" t="e" cm="1">
        <f t="array" aca="1" ref="AO645" ca="1">_xlfn.XLOOKUP(Contrato5[[#This Row],[DOCUMENTO ]],[2]!PERSONAL_ACTIVO_2024[[#All],[Documento identidad]],[2]!PERSONAL_ACTIVO_2024[[#All],[Mail ]],0,0)</f>
        <v>#NAME?</v>
      </c>
      <c r="AP645" s="147" t="e" cm="1">
        <f t="array" aca="1" ref="AP645" ca="1">_xlfn.XLOOKUP(Contrato5[[#This Row],[DOCUMENTO]],[2]!PERSONAL_ACTIVO_2024[[#All],[Documento identidad]],[2]!PERSONAL_ACTIVO_2024[[#All],[Mail ]],0,0)</f>
        <v>#NAME?</v>
      </c>
      <c r="AQ645" s="439" cm="1">
        <f t="array" aca="1" ref="AQ645" ca="1">IF(ISBLANK(Contrato5[[#This Row],[DEPENDENCIA ]]),0,IFERROR(_xlfn.XLOOKUP(Contrato5[[#This Row],[DEPENDENCIA ]],[2]!PERSONAL_ACTIVO_2024[[#All],[Dependencia]],[2]!PERSONAL_ACTIVO_2024[[#All],[Mail ]],0,0),0))</f>
        <v>0</v>
      </c>
    </row>
    <row r="646" spans="1:43" ht="34.5" customHeight="1">
      <c r="A646" s="125">
        <v>909</v>
      </c>
      <c r="B646" s="124">
        <v>521</v>
      </c>
      <c r="C646" s="162" t="s">
        <v>1992</v>
      </c>
      <c r="D646" s="227" t="s">
        <v>583</v>
      </c>
      <c r="E646" s="440" t="s">
        <v>94</v>
      </c>
      <c r="F646" s="227" t="s">
        <v>1376</v>
      </c>
      <c r="G646" s="281" t="s">
        <v>715</v>
      </c>
      <c r="H646" s="436">
        <v>70527132</v>
      </c>
      <c r="I646" s="273">
        <v>4908936</v>
      </c>
      <c r="J646" s="437">
        <v>19963006</v>
      </c>
      <c r="K646" s="131" t="s">
        <v>42</v>
      </c>
      <c r="L646" s="438" t="s">
        <v>2855</v>
      </c>
      <c r="M646" s="194" t="s">
        <v>589</v>
      </c>
      <c r="N646" s="177" t="e" cm="1">
        <f t="array" aca="1" ref="N646" ca="1">_xlfn.XLOOKUP(Contrato5[[#This Row],[SUPERVISOR TITULAR]],[2]!PERSONAL_ACTIVO_2024[[#All],[Nombre completo]],[2]!PERSONAL_ACTIVO_2024[[#All],[Documento identidad]],"",0)</f>
        <v>#NAME?</v>
      </c>
      <c r="O646" s="194" t="s">
        <v>586</v>
      </c>
      <c r="P646" s="196" t="e" cm="1">
        <f t="array" aca="1" ref="P646" ca="1">_xlfn.XLOOKUP(Contrato5[[#This Row],[SUPERVISOR SUPLENTE ]],[2]!PERSONAL_ACTIVO_2024[[#All],[Nombre completo]],[2]!PERSONAL_ACTIVO_2024[[#All],[Documento identidad]],"",0)</f>
        <v>#NAME?</v>
      </c>
      <c r="Q646" s="170">
        <v>691</v>
      </c>
      <c r="R646" s="137" t="e" cm="1">
        <f t="array" aca="1" ref="R646" ca="1">_xlfn.XLOOKUP(Contrato5[[#This Row],[CDP]],[2]!DISPONIBILIDADES_2024[[#All],[consecutivo]],[2]!DISPONIBILIDADES_2024[[#All],[fecha_aprobacion]],"",0)</f>
        <v>#NAME?</v>
      </c>
      <c r="S646" s="138" t="e">
        <f>SUMIF([2]!DISPONIBILIDADES_2024[[#All],[consecutivo]],Contrato5[[#This Row],[CDP]],[2]!DISPONIBILIDADES_2024[[#All],[valor_total_rubro]])</f>
        <v>#REF!</v>
      </c>
      <c r="T646" s="139" t="e" cm="1">
        <f t="array" aca="1" ref="T646" ca="1">_xlfn.XLOOKUP(Contrato5[[#This Row],[CONTRATO]]&amp;Contrato5[[#This Row],[CDP]],[2]!Corr_Contr_CDP[[#All],[CONTRATO-CDP]],[2]!Corr_Contr_CDP[[#All],[CRP]],_xlfn.XLOOKUP(Contrato5[[#This Row],[CDP]],[2]!COMPROMISOS_2024[[#All],[disponibilidad]],[2]!COMPROMISOS_2024[[#All],[consecutivo]],"",0),0)</f>
        <v>#NAME?</v>
      </c>
      <c r="U646" s="140" t="e" cm="1">
        <f t="array" aca="1" ref="U646" ca="1">+_xlfn.XLOOKUP(Contrato5[[#This Row],[RCP]],[2]!COMPROMISOS_2024[[#All],[consecutivo]],[2]!COMPROMISOS_2024[[#All],[fecha_aprobacion]],"",0)</f>
        <v>#NAME?</v>
      </c>
      <c r="V646" s="141" t="e">
        <f ca="1">SUMIF([2]!COMPROMISOS_2024[[#All],[consecutivo]],Contrato5[[#This Row],[RCP]],[2]!COMPROMISOS_2024[[#All],[valor_total]])</f>
        <v>#REF!</v>
      </c>
      <c r="W646" s="160">
        <v>45516</v>
      </c>
      <c r="X646" s="161" t="s">
        <v>1045</v>
      </c>
      <c r="Y646" s="143">
        <v>45520</v>
      </c>
      <c r="Z646" s="262">
        <v>45643</v>
      </c>
      <c r="AA646" s="171" t="s">
        <v>2921</v>
      </c>
      <c r="AB646" s="172" t="s">
        <v>2871</v>
      </c>
      <c r="AC646" s="172"/>
      <c r="AD646" s="425">
        <v>202000005085</v>
      </c>
      <c r="AE646" s="147" t="s">
        <v>523</v>
      </c>
      <c r="AF646" s="148" t="str">
        <f>TEXT(LEFT(Contrato5[[#This Row],[CONTRATO]],3),"0")</f>
        <v>521</v>
      </c>
      <c r="AG646" s="148" t="str">
        <f>IF(LEN(Contrato5[[#This Row],[Contrato2]])=3,Contrato5[[#This Row],[Contrato2]],TEXT(Contrato5[[#This Row],[Contrato2]],"000"))</f>
        <v>521</v>
      </c>
      <c r="AH646" s="149">
        <f ca="1">IFERROR(_xlfn.DAYS(Contrato5[[#This Row],[Fecha Proyectada liquidación]],TODAY())/30,"")</f>
        <v>0.16666666666666666</v>
      </c>
      <c r="AI646" s="150">
        <f>+Contrato5[[#This Row],[FECHA TERMINACIÓN ]]+120</f>
        <v>45763</v>
      </c>
      <c r="AJ646" s="147"/>
      <c r="AK646" s="152" t="str">
        <f ca="1">IF(Contrato5[[#This Row],[FECHA TERMINACIÓN ]]&lt;TODAY(), "Terminado",IF(ISNUMBER(Contrato5[[#This Row],[Fecha Real de liquiidación ]]),"Liquidado",IF(Contrato5[[#This Row],[FECHA TERMINACIÓN ]]&gt;=TODAY(),"En ejecución","")))</f>
        <v>Terminado</v>
      </c>
      <c r="AL646" s="153" t="e">
        <f ca="1">SUMIF([2]!COMPROMISOS_2024[[#All],[consecutivo]],Contrato5[[#This Row],[RCP]],[2]!COMPROMISOS_2024[[#All],[Total pagado]])</f>
        <v>#REF!</v>
      </c>
      <c r="AM646" s="154">
        <f ca="1">IFERROR(Contrato5[[#This Row],[Pagos]]/Contrato5[[#This Row],[VALOR CONTRATO]],0)</f>
        <v>0</v>
      </c>
      <c r="AN646" s="198" t="e">
        <f ca="1">+Contrato5[[#This Row],[VALOR CONTRATO]]-Contrato5[[#This Row],[Pagos]]</f>
        <v>#REF!</v>
      </c>
      <c r="AO646" s="147" t="e" cm="1">
        <f t="array" aca="1" ref="AO646" ca="1">_xlfn.XLOOKUP(Contrato5[[#This Row],[DOCUMENTO ]],[2]!PERSONAL_ACTIVO_2024[[#All],[Documento identidad]],[2]!PERSONAL_ACTIVO_2024[[#All],[Mail ]],0,0)</f>
        <v>#NAME?</v>
      </c>
      <c r="AP646" s="147" t="e" cm="1">
        <f t="array" aca="1" ref="AP646" ca="1">_xlfn.XLOOKUP(Contrato5[[#This Row],[DOCUMENTO]],[2]!PERSONAL_ACTIVO_2024[[#All],[Documento identidad]],[2]!PERSONAL_ACTIVO_2024[[#All],[Mail ]],0,0)</f>
        <v>#NAME?</v>
      </c>
      <c r="AQ646" s="439" cm="1">
        <f t="array" aca="1" ref="AQ646" ca="1">IF(ISBLANK(Contrato5[[#This Row],[DEPENDENCIA ]]),0,IFERROR(_xlfn.XLOOKUP(Contrato5[[#This Row],[DEPENDENCIA ]],[2]!PERSONAL_ACTIVO_2024[[#All],[Dependencia]],[2]!PERSONAL_ACTIVO_2024[[#All],[Mail ]],0,0),0))</f>
        <v>0</v>
      </c>
    </row>
    <row r="647" spans="1:43" ht="34.5" customHeight="1">
      <c r="A647" s="125">
        <v>911</v>
      </c>
      <c r="B647" s="124">
        <v>522</v>
      </c>
      <c r="C647" s="162" t="s">
        <v>1993</v>
      </c>
      <c r="D647" s="227" t="s">
        <v>583</v>
      </c>
      <c r="E647" s="440" t="s">
        <v>94</v>
      </c>
      <c r="F647" s="227" t="s">
        <v>1376</v>
      </c>
      <c r="G647" s="281" t="s">
        <v>717</v>
      </c>
      <c r="H647" s="436">
        <v>1017163203</v>
      </c>
      <c r="I647" s="273">
        <v>4908936</v>
      </c>
      <c r="J647" s="437">
        <v>19963006</v>
      </c>
      <c r="K647" s="131" t="s">
        <v>42</v>
      </c>
      <c r="L647" s="438" t="s">
        <v>2855</v>
      </c>
      <c r="M647" s="194" t="s">
        <v>600</v>
      </c>
      <c r="N647" s="177" t="e" cm="1">
        <f t="array" aca="1" ref="N647" ca="1">_xlfn.XLOOKUP(Contrato5[[#This Row],[SUPERVISOR TITULAR]],[2]!PERSONAL_ACTIVO_2024[[#All],[Nombre completo]],[2]!PERSONAL_ACTIVO_2024[[#All],[Documento identidad]],"",0)</f>
        <v>#NAME?</v>
      </c>
      <c r="O647" s="194" t="s">
        <v>2495</v>
      </c>
      <c r="P647" s="196" t="e" cm="1">
        <f t="array" aca="1" ref="P647" ca="1">_xlfn.XLOOKUP(Contrato5[[#This Row],[SUPERVISOR SUPLENTE ]],[2]!PERSONAL_ACTIVO_2024[[#All],[Nombre completo]],[2]!PERSONAL_ACTIVO_2024[[#All],[Documento identidad]],"",0)</f>
        <v>#NAME?</v>
      </c>
      <c r="Q647" s="170">
        <v>692</v>
      </c>
      <c r="R647" s="137" t="e" cm="1">
        <f t="array" aca="1" ref="R647" ca="1">_xlfn.XLOOKUP(Contrato5[[#This Row],[CDP]],[2]!DISPONIBILIDADES_2024[[#All],[consecutivo]],[2]!DISPONIBILIDADES_2024[[#All],[fecha_aprobacion]],"",0)</f>
        <v>#NAME?</v>
      </c>
      <c r="S647" s="138" t="e">
        <f>SUMIF([2]!DISPONIBILIDADES_2024[[#All],[consecutivo]],Contrato5[[#This Row],[CDP]],[2]!DISPONIBILIDADES_2024[[#All],[valor_total_rubro]])</f>
        <v>#REF!</v>
      </c>
      <c r="T647" s="139" t="e" cm="1">
        <f t="array" aca="1" ref="T647" ca="1">_xlfn.XLOOKUP(Contrato5[[#This Row],[CONTRATO]]&amp;Contrato5[[#This Row],[CDP]],[2]!Corr_Contr_CDP[[#All],[CONTRATO-CDP]],[2]!Corr_Contr_CDP[[#All],[CRP]],_xlfn.XLOOKUP(Contrato5[[#This Row],[CDP]],[2]!COMPROMISOS_2024[[#All],[disponibilidad]],[2]!COMPROMISOS_2024[[#All],[consecutivo]],"",0),0)</f>
        <v>#NAME?</v>
      </c>
      <c r="U647" s="140" t="e" cm="1">
        <f t="array" aca="1" ref="U647" ca="1">+_xlfn.XLOOKUP(Contrato5[[#This Row],[RCP]],[2]!COMPROMISOS_2024[[#All],[consecutivo]],[2]!COMPROMISOS_2024[[#All],[fecha_aprobacion]],"",0)</f>
        <v>#NAME?</v>
      </c>
      <c r="V647" s="141" t="e">
        <f ca="1">SUMIF([2]!COMPROMISOS_2024[[#All],[consecutivo]],Contrato5[[#This Row],[RCP]],[2]!COMPROMISOS_2024[[#All],[valor_total]])</f>
        <v>#REF!</v>
      </c>
      <c r="W647" s="160">
        <v>45516</v>
      </c>
      <c r="X647" s="161" t="s">
        <v>1045</v>
      </c>
      <c r="Y647" s="143">
        <v>45520</v>
      </c>
      <c r="Z647" s="262">
        <v>45643</v>
      </c>
      <c r="AA647" s="171" t="s">
        <v>2875</v>
      </c>
      <c r="AB647" s="172" t="s">
        <v>2905</v>
      </c>
      <c r="AC647" s="172"/>
      <c r="AD647" s="425">
        <v>202000005086</v>
      </c>
      <c r="AE647" s="147" t="s">
        <v>523</v>
      </c>
      <c r="AF647" s="148" t="str">
        <f>TEXT(LEFT(Contrato5[[#This Row],[CONTRATO]],3),"0")</f>
        <v>522</v>
      </c>
      <c r="AG647" s="148" t="str">
        <f>IF(LEN(Contrato5[[#This Row],[Contrato2]])=3,Contrato5[[#This Row],[Contrato2]],TEXT(Contrato5[[#This Row],[Contrato2]],"000"))</f>
        <v>522</v>
      </c>
      <c r="AH647" s="149">
        <f ca="1">IFERROR(_xlfn.DAYS(Contrato5[[#This Row],[Fecha Proyectada liquidación]],TODAY())/30,"")</f>
        <v>0.16666666666666666</v>
      </c>
      <c r="AI647" s="150">
        <f>+Contrato5[[#This Row],[FECHA TERMINACIÓN ]]+120</f>
        <v>45763</v>
      </c>
      <c r="AJ647" s="147"/>
      <c r="AK647" s="152" t="str">
        <f ca="1">IF(Contrato5[[#This Row],[FECHA TERMINACIÓN ]]&lt;TODAY(), "Terminado",IF(ISNUMBER(Contrato5[[#This Row],[Fecha Real de liquiidación ]]),"Liquidado",IF(Contrato5[[#This Row],[FECHA TERMINACIÓN ]]&gt;=TODAY(),"En ejecución","")))</f>
        <v>Terminado</v>
      </c>
      <c r="AL647" s="153" t="e">
        <f ca="1">SUMIF([2]!COMPROMISOS_2024[[#All],[consecutivo]],Contrato5[[#This Row],[RCP]],[2]!COMPROMISOS_2024[[#All],[Total pagado]])</f>
        <v>#REF!</v>
      </c>
      <c r="AM647" s="154">
        <f ca="1">IFERROR(Contrato5[[#This Row],[Pagos]]/Contrato5[[#This Row],[VALOR CONTRATO]],0)</f>
        <v>0</v>
      </c>
      <c r="AN647" s="198" t="e">
        <f ca="1">+Contrato5[[#This Row],[VALOR CONTRATO]]-Contrato5[[#This Row],[Pagos]]</f>
        <v>#REF!</v>
      </c>
      <c r="AO647" s="147" t="e" cm="1">
        <f t="array" aca="1" ref="AO647" ca="1">_xlfn.XLOOKUP(Contrato5[[#This Row],[DOCUMENTO ]],[2]!PERSONAL_ACTIVO_2024[[#All],[Documento identidad]],[2]!PERSONAL_ACTIVO_2024[[#All],[Mail ]],0,0)</f>
        <v>#NAME?</v>
      </c>
      <c r="AP647" s="147" t="e" cm="1">
        <f t="array" aca="1" ref="AP647" ca="1">_xlfn.XLOOKUP(Contrato5[[#This Row],[DOCUMENTO]],[2]!PERSONAL_ACTIVO_2024[[#All],[Documento identidad]],[2]!PERSONAL_ACTIVO_2024[[#All],[Mail ]],0,0)</f>
        <v>#NAME?</v>
      </c>
      <c r="AQ647" s="439" cm="1">
        <f t="array" aca="1" ref="AQ647" ca="1">IF(ISBLANK(Contrato5[[#This Row],[DEPENDENCIA ]]),0,IFERROR(_xlfn.XLOOKUP(Contrato5[[#This Row],[DEPENDENCIA ]],[2]!PERSONAL_ACTIVO_2024[[#All],[Dependencia]],[2]!PERSONAL_ACTIVO_2024[[#All],[Mail ]],0,0),0))</f>
        <v>0</v>
      </c>
    </row>
    <row r="648" spans="1:43" ht="34.5" customHeight="1">
      <c r="A648" s="147">
        <v>912</v>
      </c>
      <c r="B648" s="124">
        <v>523</v>
      </c>
      <c r="C648" s="162" t="s">
        <v>1993</v>
      </c>
      <c r="D648" s="227" t="s">
        <v>583</v>
      </c>
      <c r="E648" s="440" t="s">
        <v>94</v>
      </c>
      <c r="F648" s="227" t="s">
        <v>1376</v>
      </c>
      <c r="G648" s="281" t="s">
        <v>2922</v>
      </c>
      <c r="H648" s="436">
        <v>700205055</v>
      </c>
      <c r="I648" s="273">
        <v>5931149</v>
      </c>
      <c r="J648" s="437">
        <v>24120006</v>
      </c>
      <c r="K648" s="131" t="s">
        <v>42</v>
      </c>
      <c r="L648" s="438" t="s">
        <v>2855</v>
      </c>
      <c r="M648" s="194" t="s">
        <v>600</v>
      </c>
      <c r="N648" s="177" t="e" cm="1">
        <f t="array" aca="1" ref="N648" ca="1">_xlfn.XLOOKUP(Contrato5[[#This Row],[SUPERVISOR TITULAR]],[2]!PERSONAL_ACTIVO_2024[[#All],[Nombre completo]],[2]!PERSONAL_ACTIVO_2024[[#All],[Documento identidad]],"",0)</f>
        <v>#NAME?</v>
      </c>
      <c r="O648" s="194" t="s">
        <v>2495</v>
      </c>
      <c r="P648" s="196" t="e" cm="1">
        <f t="array" aca="1" ref="P648" ca="1">_xlfn.XLOOKUP(Contrato5[[#This Row],[SUPERVISOR SUPLENTE ]],[2]!PERSONAL_ACTIVO_2024[[#All],[Nombre completo]],[2]!PERSONAL_ACTIVO_2024[[#All],[Documento identidad]],"",0)</f>
        <v>#NAME?</v>
      </c>
      <c r="Q648" s="170">
        <v>791</v>
      </c>
      <c r="R648" s="137" t="e" cm="1">
        <f t="array" aca="1" ref="R648" ca="1">_xlfn.XLOOKUP(Contrato5[[#This Row],[CDP]],[2]!DISPONIBILIDADES_2024[[#All],[consecutivo]],[2]!DISPONIBILIDADES_2024[[#All],[fecha_aprobacion]],"",0)</f>
        <v>#NAME?</v>
      </c>
      <c r="S648" s="138" t="e">
        <f>SUMIF([2]!DISPONIBILIDADES_2024[[#All],[consecutivo]],Contrato5[[#This Row],[CDP]],[2]!DISPONIBILIDADES_2024[[#All],[valor_total_rubro]])</f>
        <v>#REF!</v>
      </c>
      <c r="T648" s="139" t="e" cm="1">
        <f t="array" aca="1" ref="T648" ca="1">_xlfn.XLOOKUP(Contrato5[[#This Row],[CONTRATO]]&amp;Contrato5[[#This Row],[CDP]],[2]!Corr_Contr_CDP[[#All],[CONTRATO-CDP]],[2]!Corr_Contr_CDP[[#All],[CRP]],_xlfn.XLOOKUP(Contrato5[[#This Row],[CDP]],[2]!COMPROMISOS_2024[[#All],[disponibilidad]],[2]!COMPROMISOS_2024[[#All],[consecutivo]],"",0),0)</f>
        <v>#NAME?</v>
      </c>
      <c r="U648" s="140" t="e" cm="1">
        <f t="array" aca="1" ref="U648" ca="1">+_xlfn.XLOOKUP(Contrato5[[#This Row],[RCP]],[2]!COMPROMISOS_2024[[#All],[consecutivo]],[2]!COMPROMISOS_2024[[#All],[fecha_aprobacion]],"",0)</f>
        <v>#NAME?</v>
      </c>
      <c r="V648" s="141" t="e">
        <f ca="1">SUMIF([2]!COMPROMISOS_2024[[#All],[consecutivo]],Contrato5[[#This Row],[RCP]],[2]!COMPROMISOS_2024[[#All],[valor_total]])</f>
        <v>#REF!</v>
      </c>
      <c r="W648" s="160">
        <v>45516</v>
      </c>
      <c r="X648" s="161" t="s">
        <v>1045</v>
      </c>
      <c r="Y648" s="143">
        <v>45520</v>
      </c>
      <c r="Z648" s="262">
        <v>45643</v>
      </c>
      <c r="AA648" s="171" t="s">
        <v>2875</v>
      </c>
      <c r="AB648" s="172" t="s">
        <v>2905</v>
      </c>
      <c r="AC648" s="172"/>
      <c r="AD648" s="425">
        <v>202000005087</v>
      </c>
      <c r="AE648" s="147" t="s">
        <v>523</v>
      </c>
      <c r="AF648" s="148" t="str">
        <f>TEXT(LEFT(Contrato5[[#This Row],[CONTRATO]],3),"0")</f>
        <v>523</v>
      </c>
      <c r="AG648" s="148" t="str">
        <f>IF(LEN(Contrato5[[#This Row],[Contrato2]])=3,Contrato5[[#This Row],[Contrato2]],TEXT(Contrato5[[#This Row],[Contrato2]],"000"))</f>
        <v>523</v>
      </c>
      <c r="AH648" s="149">
        <f ca="1">IFERROR(_xlfn.DAYS(Contrato5[[#This Row],[Fecha Proyectada liquidación]],TODAY())/30,"")</f>
        <v>0.16666666666666666</v>
      </c>
      <c r="AI648" s="150">
        <f>+Contrato5[[#This Row],[FECHA TERMINACIÓN ]]+120</f>
        <v>45763</v>
      </c>
      <c r="AJ648" s="147"/>
      <c r="AK648" s="152" t="str">
        <f ca="1">IF(Contrato5[[#This Row],[FECHA TERMINACIÓN ]]&lt;TODAY(), "Terminado",IF(ISNUMBER(Contrato5[[#This Row],[Fecha Real de liquiidación ]]),"Liquidado",IF(Contrato5[[#This Row],[FECHA TERMINACIÓN ]]&gt;=TODAY(),"En ejecución","")))</f>
        <v>Terminado</v>
      </c>
      <c r="AL648" s="153" t="e">
        <f ca="1">SUMIF([2]!COMPROMISOS_2024[[#All],[consecutivo]],Contrato5[[#This Row],[RCP]],[2]!COMPROMISOS_2024[[#All],[Total pagado]])</f>
        <v>#REF!</v>
      </c>
      <c r="AM648" s="154">
        <f ca="1">IFERROR(Contrato5[[#This Row],[Pagos]]/Contrato5[[#This Row],[VALOR CONTRATO]],0)</f>
        <v>0</v>
      </c>
      <c r="AN648" s="198" t="e">
        <f ca="1">+Contrato5[[#This Row],[VALOR CONTRATO]]-Contrato5[[#This Row],[Pagos]]</f>
        <v>#REF!</v>
      </c>
      <c r="AO648" s="147" t="e" cm="1">
        <f t="array" aca="1" ref="AO648" ca="1">_xlfn.XLOOKUP(Contrato5[[#This Row],[DOCUMENTO ]],[2]!PERSONAL_ACTIVO_2024[[#All],[Documento identidad]],[2]!PERSONAL_ACTIVO_2024[[#All],[Mail ]],0,0)</f>
        <v>#NAME?</v>
      </c>
      <c r="AP648" s="147" t="e" cm="1">
        <f t="array" aca="1" ref="AP648" ca="1">_xlfn.XLOOKUP(Contrato5[[#This Row],[DOCUMENTO]],[2]!PERSONAL_ACTIVO_2024[[#All],[Documento identidad]],[2]!PERSONAL_ACTIVO_2024[[#All],[Mail ]],0,0)</f>
        <v>#NAME?</v>
      </c>
      <c r="AQ648" s="439" cm="1">
        <f t="array" aca="1" ref="AQ648" ca="1">IF(ISBLANK(Contrato5[[#This Row],[DEPENDENCIA ]]),0,IFERROR(_xlfn.XLOOKUP(Contrato5[[#This Row],[DEPENDENCIA ]],[2]!PERSONAL_ACTIVO_2024[[#All],[Dependencia]],[2]!PERSONAL_ACTIVO_2024[[#All],[Mail ]],0,0),0))</f>
        <v>0</v>
      </c>
    </row>
    <row r="649" spans="1:43" ht="34.5" customHeight="1">
      <c r="A649" s="147">
        <v>913</v>
      </c>
      <c r="B649" s="124">
        <v>524</v>
      </c>
      <c r="C649" s="162" t="s">
        <v>1993</v>
      </c>
      <c r="D649" s="227" t="s">
        <v>583</v>
      </c>
      <c r="E649" s="440" t="s">
        <v>94</v>
      </c>
      <c r="F649" s="227" t="s">
        <v>1376</v>
      </c>
      <c r="G649" s="281" t="s">
        <v>719</v>
      </c>
      <c r="H649" s="436">
        <v>1152440541</v>
      </c>
      <c r="I649" s="273">
        <v>5931149</v>
      </c>
      <c r="J649" s="437">
        <v>24120006</v>
      </c>
      <c r="K649" s="131" t="s">
        <v>42</v>
      </c>
      <c r="L649" s="438" t="s">
        <v>2855</v>
      </c>
      <c r="M649" s="194" t="s">
        <v>600</v>
      </c>
      <c r="N649" s="177" t="e" cm="1">
        <f t="array" aca="1" ref="N649" ca="1">_xlfn.XLOOKUP(Contrato5[[#This Row],[SUPERVISOR TITULAR]],[2]!PERSONAL_ACTIVO_2024[[#All],[Nombre completo]],[2]!PERSONAL_ACTIVO_2024[[#All],[Documento identidad]],"",0)</f>
        <v>#NAME?</v>
      </c>
      <c r="O649" s="194" t="s">
        <v>2495</v>
      </c>
      <c r="P649" s="196" t="e" cm="1">
        <f t="array" aca="1" ref="P649" ca="1">_xlfn.XLOOKUP(Contrato5[[#This Row],[SUPERVISOR SUPLENTE ]],[2]!PERSONAL_ACTIVO_2024[[#All],[Nombre completo]],[2]!PERSONAL_ACTIVO_2024[[#All],[Documento identidad]],"",0)</f>
        <v>#NAME?</v>
      </c>
      <c r="Q649" s="170">
        <v>720</v>
      </c>
      <c r="R649" s="137" t="e" cm="1">
        <f t="array" aca="1" ref="R649" ca="1">_xlfn.XLOOKUP(Contrato5[[#This Row],[CDP]],[2]!DISPONIBILIDADES_2024[[#All],[consecutivo]],[2]!DISPONIBILIDADES_2024[[#All],[fecha_aprobacion]],"",0)</f>
        <v>#NAME?</v>
      </c>
      <c r="S649" s="138" t="e">
        <f>SUMIF([2]!DISPONIBILIDADES_2024[[#All],[consecutivo]],Contrato5[[#This Row],[CDP]],[2]!DISPONIBILIDADES_2024[[#All],[valor_total_rubro]])</f>
        <v>#REF!</v>
      </c>
      <c r="T649" s="139" t="e" cm="1">
        <f t="array" aca="1" ref="T649" ca="1">_xlfn.XLOOKUP(Contrato5[[#This Row],[CONTRATO]]&amp;Contrato5[[#This Row],[CDP]],[2]!Corr_Contr_CDP[[#All],[CONTRATO-CDP]],[2]!Corr_Contr_CDP[[#All],[CRP]],_xlfn.XLOOKUP(Contrato5[[#This Row],[CDP]],[2]!COMPROMISOS_2024[[#All],[disponibilidad]],[2]!COMPROMISOS_2024[[#All],[consecutivo]],"",0),0)</f>
        <v>#NAME?</v>
      </c>
      <c r="U649" s="140" t="e" cm="1">
        <f t="array" aca="1" ref="U649" ca="1">+_xlfn.XLOOKUP(Contrato5[[#This Row],[RCP]],[2]!COMPROMISOS_2024[[#All],[consecutivo]],[2]!COMPROMISOS_2024[[#All],[fecha_aprobacion]],"",0)</f>
        <v>#NAME?</v>
      </c>
      <c r="V649" s="141" t="e">
        <f ca="1">SUMIF([2]!COMPROMISOS_2024[[#All],[consecutivo]],Contrato5[[#This Row],[RCP]],[2]!COMPROMISOS_2024[[#All],[valor_total]])</f>
        <v>#REF!</v>
      </c>
      <c r="W649" s="160">
        <v>45516</v>
      </c>
      <c r="X649" s="161" t="s">
        <v>1045</v>
      </c>
      <c r="Y649" s="143">
        <v>45520</v>
      </c>
      <c r="Z649" s="262">
        <v>45643</v>
      </c>
      <c r="AA649" s="171" t="s">
        <v>2870</v>
      </c>
      <c r="AB649" s="172" t="s">
        <v>2871</v>
      </c>
      <c r="AC649" s="172"/>
      <c r="AD649" s="425">
        <v>202000005088</v>
      </c>
      <c r="AE649" s="147" t="s">
        <v>523</v>
      </c>
      <c r="AF649" s="148" t="str">
        <f>TEXT(LEFT(Contrato5[[#This Row],[CONTRATO]],3),"0")</f>
        <v>524</v>
      </c>
      <c r="AG649" s="148" t="str">
        <f>IF(LEN(Contrato5[[#This Row],[Contrato2]])=3,Contrato5[[#This Row],[Contrato2]],TEXT(Contrato5[[#This Row],[Contrato2]],"000"))</f>
        <v>524</v>
      </c>
      <c r="AH649" s="149">
        <f ca="1">IFERROR(_xlfn.DAYS(Contrato5[[#This Row],[Fecha Proyectada liquidación]],TODAY())/30,"")</f>
        <v>0.16666666666666666</v>
      </c>
      <c r="AI649" s="150">
        <f>+Contrato5[[#This Row],[FECHA TERMINACIÓN ]]+120</f>
        <v>45763</v>
      </c>
      <c r="AJ649" s="147"/>
      <c r="AK649" s="152" t="str">
        <f ca="1">IF(Contrato5[[#This Row],[FECHA TERMINACIÓN ]]&lt;TODAY(), "Terminado",IF(ISNUMBER(Contrato5[[#This Row],[Fecha Real de liquiidación ]]),"Liquidado",IF(Contrato5[[#This Row],[FECHA TERMINACIÓN ]]&gt;=TODAY(),"En ejecución","")))</f>
        <v>Terminado</v>
      </c>
      <c r="AL649" s="153" t="e">
        <f ca="1">SUMIF([2]!COMPROMISOS_2024[[#All],[consecutivo]],Contrato5[[#This Row],[RCP]],[2]!COMPROMISOS_2024[[#All],[Total pagado]])</f>
        <v>#REF!</v>
      </c>
      <c r="AM649" s="154">
        <f ca="1">IFERROR(Contrato5[[#This Row],[Pagos]]/Contrato5[[#This Row],[VALOR CONTRATO]],0)</f>
        <v>0</v>
      </c>
      <c r="AN649" s="198" t="e">
        <f ca="1">+Contrato5[[#This Row],[VALOR CONTRATO]]-Contrato5[[#This Row],[Pagos]]</f>
        <v>#REF!</v>
      </c>
      <c r="AO649" s="147" t="e" cm="1">
        <f t="array" aca="1" ref="AO649" ca="1">_xlfn.XLOOKUP(Contrato5[[#This Row],[DOCUMENTO ]],[2]!PERSONAL_ACTIVO_2024[[#All],[Documento identidad]],[2]!PERSONAL_ACTIVO_2024[[#All],[Mail ]],0,0)</f>
        <v>#NAME?</v>
      </c>
      <c r="AP649" s="147" t="e" cm="1">
        <f t="array" aca="1" ref="AP649" ca="1">_xlfn.XLOOKUP(Contrato5[[#This Row],[DOCUMENTO]],[2]!PERSONAL_ACTIVO_2024[[#All],[Documento identidad]],[2]!PERSONAL_ACTIVO_2024[[#All],[Mail ]],0,0)</f>
        <v>#NAME?</v>
      </c>
      <c r="AQ649" s="439" cm="1">
        <f t="array" aca="1" ref="AQ649" ca="1">IF(ISBLANK(Contrato5[[#This Row],[DEPENDENCIA ]]),0,IFERROR(_xlfn.XLOOKUP(Contrato5[[#This Row],[DEPENDENCIA ]],[2]!PERSONAL_ACTIVO_2024[[#All],[Dependencia]],[2]!PERSONAL_ACTIVO_2024[[#All],[Mail ]],0,0),0))</f>
        <v>0</v>
      </c>
    </row>
    <row r="650" spans="1:43" ht="34.5" customHeight="1">
      <c r="A650" s="147">
        <v>914</v>
      </c>
      <c r="B650" s="124">
        <v>525</v>
      </c>
      <c r="C650" s="162" t="s">
        <v>1993</v>
      </c>
      <c r="D650" s="227" t="s">
        <v>583</v>
      </c>
      <c r="E650" s="440" t="s">
        <v>94</v>
      </c>
      <c r="F650" s="227" t="s">
        <v>1376</v>
      </c>
      <c r="G650" s="281" t="s">
        <v>2923</v>
      </c>
      <c r="H650" s="436">
        <v>43113989</v>
      </c>
      <c r="I650" s="273">
        <v>2574842</v>
      </c>
      <c r="J650" s="437">
        <v>10471024</v>
      </c>
      <c r="K650" s="131" t="s">
        <v>42</v>
      </c>
      <c r="L650" s="438" t="s">
        <v>2855</v>
      </c>
      <c r="M650" s="194" t="s">
        <v>600</v>
      </c>
      <c r="N650" s="177" t="e" cm="1">
        <f t="array" aca="1" ref="N650" ca="1">_xlfn.XLOOKUP(Contrato5[[#This Row],[SUPERVISOR TITULAR]],[2]!PERSONAL_ACTIVO_2024[[#All],[Nombre completo]],[2]!PERSONAL_ACTIVO_2024[[#All],[Documento identidad]],"",0)</f>
        <v>#NAME?</v>
      </c>
      <c r="O650" s="194" t="s">
        <v>2495</v>
      </c>
      <c r="P650" s="196" t="e" cm="1">
        <f t="array" aca="1" ref="P650" ca="1">_xlfn.XLOOKUP(Contrato5[[#This Row],[SUPERVISOR SUPLENTE ]],[2]!PERSONAL_ACTIVO_2024[[#All],[Nombre completo]],[2]!PERSONAL_ACTIVO_2024[[#All],[Documento identidad]],"",0)</f>
        <v>#NAME?</v>
      </c>
      <c r="Q650" s="170">
        <v>693</v>
      </c>
      <c r="R650" s="137" t="e" cm="1">
        <f t="array" aca="1" ref="R650" ca="1">_xlfn.XLOOKUP(Contrato5[[#This Row],[CDP]],[2]!DISPONIBILIDADES_2024[[#All],[consecutivo]],[2]!DISPONIBILIDADES_2024[[#All],[fecha_aprobacion]],"",0)</f>
        <v>#NAME?</v>
      </c>
      <c r="S650" s="138" t="e">
        <f>SUMIF([2]!DISPONIBILIDADES_2024[[#All],[consecutivo]],Contrato5[[#This Row],[CDP]],[2]!DISPONIBILIDADES_2024[[#All],[valor_total_rubro]])</f>
        <v>#REF!</v>
      </c>
      <c r="T650" s="139" t="e" cm="1">
        <f t="array" aca="1" ref="T650" ca="1">_xlfn.XLOOKUP(Contrato5[[#This Row],[CONTRATO]]&amp;Contrato5[[#This Row],[CDP]],[2]!Corr_Contr_CDP[[#All],[CONTRATO-CDP]],[2]!Corr_Contr_CDP[[#All],[CRP]],_xlfn.XLOOKUP(Contrato5[[#This Row],[CDP]],[2]!COMPROMISOS_2024[[#All],[disponibilidad]],[2]!COMPROMISOS_2024[[#All],[consecutivo]],"",0),0)</f>
        <v>#NAME?</v>
      </c>
      <c r="U650" s="140" t="e" cm="1">
        <f t="array" aca="1" ref="U650" ca="1">+_xlfn.XLOOKUP(Contrato5[[#This Row],[RCP]],[2]!COMPROMISOS_2024[[#All],[consecutivo]],[2]!COMPROMISOS_2024[[#All],[fecha_aprobacion]],"",0)</f>
        <v>#NAME?</v>
      </c>
      <c r="V650" s="141" t="e">
        <f ca="1">SUMIF([2]!COMPROMISOS_2024[[#All],[consecutivo]],Contrato5[[#This Row],[RCP]],[2]!COMPROMISOS_2024[[#All],[valor_total]])</f>
        <v>#REF!</v>
      </c>
      <c r="W650" s="160">
        <v>45516</v>
      </c>
      <c r="X650" s="161" t="s">
        <v>1045</v>
      </c>
      <c r="Y650" s="143">
        <v>45520</v>
      </c>
      <c r="Z650" s="262">
        <v>45643</v>
      </c>
      <c r="AA650" s="171" t="s">
        <v>2875</v>
      </c>
      <c r="AB650" s="172" t="s">
        <v>2871</v>
      </c>
      <c r="AC650" s="172"/>
      <c r="AD650" s="425">
        <v>202000005089</v>
      </c>
      <c r="AE650" s="147" t="s">
        <v>523</v>
      </c>
      <c r="AF650" s="148" t="str">
        <f>TEXT(LEFT(Contrato5[[#This Row],[CONTRATO]],3),"0")</f>
        <v>525</v>
      </c>
      <c r="AG650" s="148" t="str">
        <f>IF(LEN(Contrato5[[#This Row],[Contrato2]])=3,Contrato5[[#This Row],[Contrato2]],TEXT(Contrato5[[#This Row],[Contrato2]],"000"))</f>
        <v>525</v>
      </c>
      <c r="AH650" s="149">
        <f ca="1">IFERROR(_xlfn.DAYS(Contrato5[[#This Row],[Fecha Proyectada liquidación]],TODAY())/30,"")</f>
        <v>0.16666666666666666</v>
      </c>
      <c r="AI650" s="150">
        <f>+Contrato5[[#This Row],[FECHA TERMINACIÓN ]]+120</f>
        <v>45763</v>
      </c>
      <c r="AJ650" s="147"/>
      <c r="AK650" s="152" t="str">
        <f ca="1">IF(Contrato5[[#This Row],[FECHA TERMINACIÓN ]]&lt;TODAY(), "Terminado",IF(ISNUMBER(Contrato5[[#This Row],[Fecha Real de liquiidación ]]),"Liquidado",IF(Contrato5[[#This Row],[FECHA TERMINACIÓN ]]&gt;=TODAY(),"En ejecución","")))</f>
        <v>Terminado</v>
      </c>
      <c r="AL650" s="153" t="e">
        <f ca="1">SUMIF([2]!COMPROMISOS_2024[[#All],[consecutivo]],Contrato5[[#This Row],[RCP]],[2]!COMPROMISOS_2024[[#All],[Total pagado]])</f>
        <v>#REF!</v>
      </c>
      <c r="AM650" s="154">
        <f ca="1">IFERROR(Contrato5[[#This Row],[Pagos]]/Contrato5[[#This Row],[VALOR CONTRATO]],0)</f>
        <v>0</v>
      </c>
      <c r="AN650" s="198" t="e">
        <f ca="1">+Contrato5[[#This Row],[VALOR CONTRATO]]-Contrato5[[#This Row],[Pagos]]</f>
        <v>#REF!</v>
      </c>
      <c r="AO650" s="147" t="e" cm="1">
        <f t="array" aca="1" ref="AO650" ca="1">_xlfn.XLOOKUP(Contrato5[[#This Row],[DOCUMENTO ]],[2]!PERSONAL_ACTIVO_2024[[#All],[Documento identidad]],[2]!PERSONAL_ACTIVO_2024[[#All],[Mail ]],0,0)</f>
        <v>#NAME?</v>
      </c>
      <c r="AP650" s="147" t="e" cm="1">
        <f t="array" aca="1" ref="AP650" ca="1">_xlfn.XLOOKUP(Contrato5[[#This Row],[DOCUMENTO]],[2]!PERSONAL_ACTIVO_2024[[#All],[Documento identidad]],[2]!PERSONAL_ACTIVO_2024[[#All],[Mail ]],0,0)</f>
        <v>#NAME?</v>
      </c>
      <c r="AQ650" s="439" cm="1">
        <f t="array" aca="1" ref="AQ650" ca="1">IF(ISBLANK(Contrato5[[#This Row],[DEPENDENCIA ]]),0,IFERROR(_xlfn.XLOOKUP(Contrato5[[#This Row],[DEPENDENCIA ]],[2]!PERSONAL_ACTIVO_2024[[#All],[Dependencia]],[2]!PERSONAL_ACTIVO_2024[[#All],[Mail ]],0,0),0))</f>
        <v>0</v>
      </c>
    </row>
    <row r="651" spans="1:43" ht="34.5" customHeight="1">
      <c r="A651" s="147">
        <v>915</v>
      </c>
      <c r="B651" s="124">
        <v>526</v>
      </c>
      <c r="C651" s="162" t="s">
        <v>1993</v>
      </c>
      <c r="D651" s="227" t="s">
        <v>583</v>
      </c>
      <c r="E651" s="440" t="s">
        <v>94</v>
      </c>
      <c r="F651" s="227" t="s">
        <v>1376</v>
      </c>
      <c r="G651" s="281" t="s">
        <v>721</v>
      </c>
      <c r="H651" s="436">
        <v>1037578877</v>
      </c>
      <c r="I651" s="273">
        <v>3952382</v>
      </c>
      <c r="J651" s="437">
        <v>16073020</v>
      </c>
      <c r="K651" s="131" t="s">
        <v>42</v>
      </c>
      <c r="L651" s="438" t="s">
        <v>2855</v>
      </c>
      <c r="M651" s="194" t="s">
        <v>600</v>
      </c>
      <c r="N651" s="177" t="e" cm="1">
        <f t="array" aca="1" ref="N651" ca="1">_xlfn.XLOOKUP(Contrato5[[#This Row],[SUPERVISOR TITULAR]],[2]!PERSONAL_ACTIVO_2024[[#All],[Nombre completo]],[2]!PERSONAL_ACTIVO_2024[[#All],[Documento identidad]],"",0)</f>
        <v>#NAME?</v>
      </c>
      <c r="O651" s="194" t="s">
        <v>2495</v>
      </c>
      <c r="P651" s="196" t="e" cm="1">
        <f t="array" aca="1" ref="P651" ca="1">_xlfn.XLOOKUP(Contrato5[[#This Row],[SUPERVISOR SUPLENTE ]],[2]!PERSONAL_ACTIVO_2024[[#All],[Nombre completo]],[2]!PERSONAL_ACTIVO_2024[[#All],[Documento identidad]],"",0)</f>
        <v>#NAME?</v>
      </c>
      <c r="Q651" s="170">
        <v>695</v>
      </c>
      <c r="R651" s="137" t="e" cm="1">
        <f t="array" aca="1" ref="R651" ca="1">_xlfn.XLOOKUP(Contrato5[[#This Row],[CDP]],[2]!DISPONIBILIDADES_2024[[#All],[consecutivo]],[2]!DISPONIBILIDADES_2024[[#All],[fecha_aprobacion]],"",0)</f>
        <v>#NAME?</v>
      </c>
      <c r="S651" s="138" t="e">
        <f>SUMIF([2]!DISPONIBILIDADES_2024[[#All],[consecutivo]],Contrato5[[#This Row],[CDP]],[2]!DISPONIBILIDADES_2024[[#All],[valor_total_rubro]])</f>
        <v>#REF!</v>
      </c>
      <c r="T651" s="139" t="e" cm="1">
        <f t="array" aca="1" ref="T651" ca="1">_xlfn.XLOOKUP(Contrato5[[#This Row],[CONTRATO]]&amp;Contrato5[[#This Row],[CDP]],[2]!Corr_Contr_CDP[[#All],[CONTRATO-CDP]],[2]!Corr_Contr_CDP[[#All],[CRP]],_xlfn.XLOOKUP(Contrato5[[#This Row],[CDP]],[2]!COMPROMISOS_2024[[#All],[disponibilidad]],[2]!COMPROMISOS_2024[[#All],[consecutivo]],"",0),0)</f>
        <v>#NAME?</v>
      </c>
      <c r="U651" s="140" t="e" cm="1">
        <f t="array" aca="1" ref="U651" ca="1">+_xlfn.XLOOKUP(Contrato5[[#This Row],[RCP]],[2]!COMPROMISOS_2024[[#All],[consecutivo]],[2]!COMPROMISOS_2024[[#All],[fecha_aprobacion]],"",0)</f>
        <v>#NAME?</v>
      </c>
      <c r="V651" s="141" t="e">
        <f ca="1">SUMIF([2]!COMPROMISOS_2024[[#All],[consecutivo]],Contrato5[[#This Row],[RCP]],[2]!COMPROMISOS_2024[[#All],[valor_total]])</f>
        <v>#REF!</v>
      </c>
      <c r="W651" s="160">
        <v>45516</v>
      </c>
      <c r="X651" s="161" t="s">
        <v>1045</v>
      </c>
      <c r="Y651" s="143">
        <v>45520</v>
      </c>
      <c r="Z651" s="262">
        <v>45643</v>
      </c>
      <c r="AA651" s="171" t="s">
        <v>2877</v>
      </c>
      <c r="AB651" s="172" t="s">
        <v>2871</v>
      </c>
      <c r="AC651" s="172"/>
      <c r="AD651" s="425">
        <v>202000005090</v>
      </c>
      <c r="AE651" s="147" t="s">
        <v>523</v>
      </c>
      <c r="AF651" s="148" t="str">
        <f>TEXT(LEFT(Contrato5[[#This Row],[CONTRATO]],3),"0")</f>
        <v>526</v>
      </c>
      <c r="AG651" s="148" t="str">
        <f>IF(LEN(Contrato5[[#This Row],[Contrato2]])=3,Contrato5[[#This Row],[Contrato2]],TEXT(Contrato5[[#This Row],[Contrato2]],"000"))</f>
        <v>526</v>
      </c>
      <c r="AH651" s="149">
        <f ca="1">IFERROR(_xlfn.DAYS(Contrato5[[#This Row],[Fecha Proyectada liquidación]],TODAY())/30,"")</f>
        <v>0.16666666666666666</v>
      </c>
      <c r="AI651" s="150">
        <f>+Contrato5[[#This Row],[FECHA TERMINACIÓN ]]+120</f>
        <v>45763</v>
      </c>
      <c r="AJ651" s="147"/>
      <c r="AK651" s="152" t="str">
        <f ca="1">IF(Contrato5[[#This Row],[FECHA TERMINACIÓN ]]&lt;TODAY(), "Terminado",IF(ISNUMBER(Contrato5[[#This Row],[Fecha Real de liquiidación ]]),"Liquidado",IF(Contrato5[[#This Row],[FECHA TERMINACIÓN ]]&gt;=TODAY(),"En ejecución","")))</f>
        <v>Terminado</v>
      </c>
      <c r="AL651" s="153" t="e">
        <f ca="1">SUMIF([2]!COMPROMISOS_2024[[#All],[consecutivo]],Contrato5[[#This Row],[RCP]],[2]!COMPROMISOS_2024[[#All],[Total pagado]])</f>
        <v>#REF!</v>
      </c>
      <c r="AM651" s="154">
        <f ca="1">IFERROR(Contrato5[[#This Row],[Pagos]]/Contrato5[[#This Row],[VALOR CONTRATO]],0)</f>
        <v>0</v>
      </c>
      <c r="AN651" s="198" t="e">
        <f ca="1">+Contrato5[[#This Row],[VALOR CONTRATO]]-Contrato5[[#This Row],[Pagos]]</f>
        <v>#REF!</v>
      </c>
      <c r="AO651" s="147" t="e" cm="1">
        <f t="array" aca="1" ref="AO651" ca="1">_xlfn.XLOOKUP(Contrato5[[#This Row],[DOCUMENTO ]],[2]!PERSONAL_ACTIVO_2024[[#All],[Documento identidad]],[2]!PERSONAL_ACTIVO_2024[[#All],[Mail ]],0,0)</f>
        <v>#NAME?</v>
      </c>
      <c r="AP651" s="147" t="e" cm="1">
        <f t="array" aca="1" ref="AP651" ca="1">_xlfn.XLOOKUP(Contrato5[[#This Row],[DOCUMENTO]],[2]!PERSONAL_ACTIVO_2024[[#All],[Documento identidad]],[2]!PERSONAL_ACTIVO_2024[[#All],[Mail ]],0,0)</f>
        <v>#NAME?</v>
      </c>
      <c r="AQ651" s="439" cm="1">
        <f t="array" aca="1" ref="AQ651" ca="1">IF(ISBLANK(Contrato5[[#This Row],[DEPENDENCIA ]]),0,IFERROR(_xlfn.XLOOKUP(Contrato5[[#This Row],[DEPENDENCIA ]],[2]!PERSONAL_ACTIVO_2024[[#All],[Dependencia]],[2]!PERSONAL_ACTIVO_2024[[#All],[Mail ]],0,0),0))</f>
        <v>0</v>
      </c>
    </row>
    <row r="652" spans="1:43" ht="34.5" customHeight="1">
      <c r="A652" s="147">
        <v>916</v>
      </c>
      <c r="B652" s="124">
        <v>527</v>
      </c>
      <c r="C652" s="162" t="s">
        <v>1993</v>
      </c>
      <c r="D652" s="227" t="s">
        <v>583</v>
      </c>
      <c r="E652" s="440" t="s">
        <v>94</v>
      </c>
      <c r="F652" s="227" t="s">
        <v>1376</v>
      </c>
      <c r="G652" s="281" t="s">
        <v>722</v>
      </c>
      <c r="H652" s="436">
        <v>1035429696</v>
      </c>
      <c r="I652" s="273">
        <v>2574842</v>
      </c>
      <c r="J652" s="437">
        <v>10471024</v>
      </c>
      <c r="K652" s="131" t="s">
        <v>42</v>
      </c>
      <c r="L652" s="438" t="s">
        <v>2855</v>
      </c>
      <c r="M652" s="194" t="s">
        <v>600</v>
      </c>
      <c r="N652" s="177" t="e" cm="1">
        <f t="array" aca="1" ref="N652" ca="1">_xlfn.XLOOKUP(Contrato5[[#This Row],[SUPERVISOR TITULAR]],[2]!PERSONAL_ACTIVO_2024[[#All],[Nombre completo]],[2]!PERSONAL_ACTIVO_2024[[#All],[Documento identidad]],"",0)</f>
        <v>#NAME?</v>
      </c>
      <c r="O652" s="194" t="s">
        <v>2495</v>
      </c>
      <c r="P652" s="196" t="e" cm="1">
        <f t="array" aca="1" ref="P652" ca="1">_xlfn.XLOOKUP(Contrato5[[#This Row],[SUPERVISOR SUPLENTE ]],[2]!PERSONAL_ACTIVO_2024[[#All],[Nombre completo]],[2]!PERSONAL_ACTIVO_2024[[#All],[Documento identidad]],"",0)</f>
        <v>#NAME?</v>
      </c>
      <c r="Q652" s="170">
        <v>790</v>
      </c>
      <c r="R652" s="137" t="e" cm="1">
        <f t="array" aca="1" ref="R652" ca="1">_xlfn.XLOOKUP(Contrato5[[#This Row],[CDP]],[2]!DISPONIBILIDADES_2024[[#All],[consecutivo]],[2]!DISPONIBILIDADES_2024[[#All],[fecha_aprobacion]],"",0)</f>
        <v>#NAME?</v>
      </c>
      <c r="S652" s="138" t="e">
        <f>SUMIF([2]!DISPONIBILIDADES_2024[[#All],[consecutivo]],Contrato5[[#This Row],[CDP]],[2]!DISPONIBILIDADES_2024[[#All],[valor_total_rubro]])</f>
        <v>#REF!</v>
      </c>
      <c r="T652" s="139" t="e" cm="1">
        <f t="array" aca="1" ref="T652" ca="1">_xlfn.XLOOKUP(Contrato5[[#This Row],[CONTRATO]]&amp;Contrato5[[#This Row],[CDP]],[2]!Corr_Contr_CDP[[#All],[CONTRATO-CDP]],[2]!Corr_Contr_CDP[[#All],[CRP]],_xlfn.XLOOKUP(Contrato5[[#This Row],[CDP]],[2]!COMPROMISOS_2024[[#All],[disponibilidad]],[2]!COMPROMISOS_2024[[#All],[consecutivo]],"",0),0)</f>
        <v>#NAME?</v>
      </c>
      <c r="U652" s="140" t="e" cm="1">
        <f t="array" aca="1" ref="U652" ca="1">+_xlfn.XLOOKUP(Contrato5[[#This Row],[RCP]],[2]!COMPROMISOS_2024[[#All],[consecutivo]],[2]!COMPROMISOS_2024[[#All],[fecha_aprobacion]],"",0)</f>
        <v>#NAME?</v>
      </c>
      <c r="V652" s="141" t="e">
        <f ca="1">SUMIF([2]!COMPROMISOS_2024[[#All],[consecutivo]],Contrato5[[#This Row],[RCP]],[2]!COMPROMISOS_2024[[#All],[valor_total]])</f>
        <v>#REF!</v>
      </c>
      <c r="W652" s="160">
        <v>45516</v>
      </c>
      <c r="X652" s="161" t="s">
        <v>1045</v>
      </c>
      <c r="Y652" s="143">
        <v>45520</v>
      </c>
      <c r="Z652" s="262">
        <v>45643</v>
      </c>
      <c r="AA652" s="171" t="s">
        <v>2875</v>
      </c>
      <c r="AB652" s="172" t="s">
        <v>2905</v>
      </c>
      <c r="AC652" s="172"/>
      <c r="AD652" s="425">
        <v>202000005091</v>
      </c>
      <c r="AE652" s="147" t="s">
        <v>523</v>
      </c>
      <c r="AF652" s="148" t="str">
        <f>TEXT(LEFT(Contrato5[[#This Row],[CONTRATO]],3),"0")</f>
        <v>527</v>
      </c>
      <c r="AG652" s="148" t="str">
        <f>IF(LEN(Contrato5[[#This Row],[Contrato2]])=3,Contrato5[[#This Row],[Contrato2]],TEXT(Contrato5[[#This Row],[Contrato2]],"000"))</f>
        <v>527</v>
      </c>
      <c r="AH652" s="149">
        <f ca="1">IFERROR(_xlfn.DAYS(Contrato5[[#This Row],[Fecha Proyectada liquidación]],TODAY())/30,"")</f>
        <v>0.16666666666666666</v>
      </c>
      <c r="AI652" s="150">
        <f>+Contrato5[[#This Row],[FECHA TERMINACIÓN ]]+120</f>
        <v>45763</v>
      </c>
      <c r="AJ652" s="147"/>
      <c r="AK652" s="152" t="str">
        <f ca="1">IF(Contrato5[[#This Row],[FECHA TERMINACIÓN ]]&lt;TODAY(), "Terminado",IF(ISNUMBER(Contrato5[[#This Row],[Fecha Real de liquiidación ]]),"Liquidado",IF(Contrato5[[#This Row],[FECHA TERMINACIÓN ]]&gt;=TODAY(),"En ejecución","")))</f>
        <v>Terminado</v>
      </c>
      <c r="AL652" s="153" t="e">
        <f ca="1">SUMIF([2]!COMPROMISOS_2024[[#All],[consecutivo]],Contrato5[[#This Row],[RCP]],[2]!COMPROMISOS_2024[[#All],[Total pagado]])</f>
        <v>#REF!</v>
      </c>
      <c r="AM652" s="154">
        <f ca="1">IFERROR(Contrato5[[#This Row],[Pagos]]/Contrato5[[#This Row],[VALOR CONTRATO]],0)</f>
        <v>0</v>
      </c>
      <c r="AN652" s="198" t="e">
        <f ca="1">+Contrato5[[#This Row],[VALOR CONTRATO]]-Contrato5[[#This Row],[Pagos]]</f>
        <v>#REF!</v>
      </c>
      <c r="AO652" s="147" t="e" cm="1">
        <f t="array" aca="1" ref="AO652" ca="1">_xlfn.XLOOKUP(Contrato5[[#This Row],[DOCUMENTO ]],[2]!PERSONAL_ACTIVO_2024[[#All],[Documento identidad]],[2]!PERSONAL_ACTIVO_2024[[#All],[Mail ]],0,0)</f>
        <v>#NAME?</v>
      </c>
      <c r="AP652" s="147" t="e" cm="1">
        <f t="array" aca="1" ref="AP652" ca="1">_xlfn.XLOOKUP(Contrato5[[#This Row],[DOCUMENTO]],[2]!PERSONAL_ACTIVO_2024[[#All],[Documento identidad]],[2]!PERSONAL_ACTIVO_2024[[#All],[Mail ]],0,0)</f>
        <v>#NAME?</v>
      </c>
      <c r="AQ652" s="439" cm="1">
        <f t="array" aca="1" ref="AQ652" ca="1">IF(ISBLANK(Contrato5[[#This Row],[DEPENDENCIA ]]),0,IFERROR(_xlfn.XLOOKUP(Contrato5[[#This Row],[DEPENDENCIA ]],[2]!PERSONAL_ACTIVO_2024[[#All],[Dependencia]],[2]!PERSONAL_ACTIVO_2024[[#All],[Mail ]],0,0),0))</f>
        <v>0</v>
      </c>
    </row>
    <row r="653" spans="1:43" ht="34.5" customHeight="1">
      <c r="A653" s="147">
        <v>917</v>
      </c>
      <c r="B653" s="124">
        <v>528</v>
      </c>
      <c r="C653" s="162" t="s">
        <v>1993</v>
      </c>
      <c r="D653" s="227" t="s">
        <v>583</v>
      </c>
      <c r="E653" s="440" t="s">
        <v>94</v>
      </c>
      <c r="F653" s="227" t="s">
        <v>1376</v>
      </c>
      <c r="G653" s="281" t="s">
        <v>723</v>
      </c>
      <c r="H653" s="436">
        <v>3474237</v>
      </c>
      <c r="I653" s="273">
        <v>7908765</v>
      </c>
      <c r="J653" s="437">
        <v>32162311</v>
      </c>
      <c r="K653" s="131" t="s">
        <v>42</v>
      </c>
      <c r="L653" s="438" t="s">
        <v>2855</v>
      </c>
      <c r="M653" s="194" t="s">
        <v>600</v>
      </c>
      <c r="N653" s="177" t="e" cm="1">
        <f t="array" aca="1" ref="N653" ca="1">_xlfn.XLOOKUP(Contrato5[[#This Row],[SUPERVISOR TITULAR]],[2]!PERSONAL_ACTIVO_2024[[#All],[Nombre completo]],[2]!PERSONAL_ACTIVO_2024[[#All],[Documento identidad]],"",0)</f>
        <v>#NAME?</v>
      </c>
      <c r="O653" s="194" t="s">
        <v>2495</v>
      </c>
      <c r="P653" s="196" t="e" cm="1">
        <f t="array" aca="1" ref="P653" ca="1">_xlfn.XLOOKUP(Contrato5[[#This Row],[SUPERVISOR SUPLENTE ]],[2]!PERSONAL_ACTIVO_2024[[#All],[Nombre completo]],[2]!PERSONAL_ACTIVO_2024[[#All],[Documento identidad]],"",0)</f>
        <v>#NAME?</v>
      </c>
      <c r="Q653" s="170">
        <v>719</v>
      </c>
      <c r="R653" s="137" t="e" cm="1">
        <f t="array" aca="1" ref="R653" ca="1">_xlfn.XLOOKUP(Contrato5[[#This Row],[CDP]],[2]!DISPONIBILIDADES_2024[[#All],[consecutivo]],[2]!DISPONIBILIDADES_2024[[#All],[fecha_aprobacion]],"",0)</f>
        <v>#NAME?</v>
      </c>
      <c r="S653" s="138" t="e">
        <f>SUMIF([2]!DISPONIBILIDADES_2024[[#All],[consecutivo]],Contrato5[[#This Row],[CDP]],[2]!DISPONIBILIDADES_2024[[#All],[valor_total_rubro]])</f>
        <v>#REF!</v>
      </c>
      <c r="T653" s="139" t="e" cm="1">
        <f t="array" aca="1" ref="T653" ca="1">_xlfn.XLOOKUP(Contrato5[[#This Row],[CONTRATO]]&amp;Contrato5[[#This Row],[CDP]],[2]!Corr_Contr_CDP[[#All],[CONTRATO-CDP]],[2]!Corr_Contr_CDP[[#All],[CRP]],_xlfn.XLOOKUP(Contrato5[[#This Row],[CDP]],[2]!COMPROMISOS_2024[[#All],[disponibilidad]],[2]!COMPROMISOS_2024[[#All],[consecutivo]],"",0),0)</f>
        <v>#NAME?</v>
      </c>
      <c r="U653" s="140" t="e" cm="1">
        <f t="array" aca="1" ref="U653" ca="1">+_xlfn.XLOOKUP(Contrato5[[#This Row],[RCP]],[2]!COMPROMISOS_2024[[#All],[consecutivo]],[2]!COMPROMISOS_2024[[#All],[fecha_aprobacion]],"",0)</f>
        <v>#NAME?</v>
      </c>
      <c r="V653" s="141" t="e">
        <f ca="1">SUMIF([2]!COMPROMISOS_2024[[#All],[consecutivo]],Contrato5[[#This Row],[RCP]],[2]!COMPROMISOS_2024[[#All],[valor_total]])</f>
        <v>#REF!</v>
      </c>
      <c r="W653" s="160">
        <v>45516</v>
      </c>
      <c r="X653" s="161" t="s">
        <v>1045</v>
      </c>
      <c r="Y653" s="143">
        <v>45520</v>
      </c>
      <c r="Z653" s="262">
        <v>45643</v>
      </c>
      <c r="AA653" s="171" t="s">
        <v>2877</v>
      </c>
      <c r="AB653" s="172" t="s">
        <v>2871</v>
      </c>
      <c r="AC653" s="172"/>
      <c r="AD653" s="425">
        <v>202000005092</v>
      </c>
      <c r="AE653" s="147" t="s">
        <v>523</v>
      </c>
      <c r="AF653" s="148" t="str">
        <f>TEXT(LEFT(Contrato5[[#This Row],[CONTRATO]],3),"0")</f>
        <v>528</v>
      </c>
      <c r="AG653" s="148" t="str">
        <f>IF(LEN(Contrato5[[#This Row],[Contrato2]])=3,Contrato5[[#This Row],[Contrato2]],TEXT(Contrato5[[#This Row],[Contrato2]],"000"))</f>
        <v>528</v>
      </c>
      <c r="AH653" s="149">
        <f ca="1">IFERROR(_xlfn.DAYS(Contrato5[[#This Row],[Fecha Proyectada liquidación]],TODAY())/30,"")</f>
        <v>0.16666666666666666</v>
      </c>
      <c r="AI653" s="150">
        <f>+Contrato5[[#This Row],[FECHA TERMINACIÓN ]]+120</f>
        <v>45763</v>
      </c>
      <c r="AJ653" s="147"/>
      <c r="AK653" s="152" t="str">
        <f ca="1">IF(Contrato5[[#This Row],[FECHA TERMINACIÓN ]]&lt;TODAY(), "Terminado",IF(ISNUMBER(Contrato5[[#This Row],[Fecha Real de liquiidación ]]),"Liquidado",IF(Contrato5[[#This Row],[FECHA TERMINACIÓN ]]&gt;=TODAY(),"En ejecución","")))</f>
        <v>Terminado</v>
      </c>
      <c r="AL653" s="153" t="e">
        <f ca="1">SUMIF([2]!COMPROMISOS_2024[[#All],[consecutivo]],Contrato5[[#This Row],[RCP]],[2]!COMPROMISOS_2024[[#All],[Total pagado]])</f>
        <v>#REF!</v>
      </c>
      <c r="AM653" s="154">
        <f ca="1">IFERROR(Contrato5[[#This Row],[Pagos]]/Contrato5[[#This Row],[VALOR CONTRATO]],0)</f>
        <v>0</v>
      </c>
      <c r="AN653" s="198" t="e">
        <f ca="1">+Contrato5[[#This Row],[VALOR CONTRATO]]-Contrato5[[#This Row],[Pagos]]</f>
        <v>#REF!</v>
      </c>
      <c r="AO653" s="147" t="e" cm="1">
        <f t="array" aca="1" ref="AO653" ca="1">_xlfn.XLOOKUP(Contrato5[[#This Row],[DOCUMENTO ]],[2]!PERSONAL_ACTIVO_2024[[#All],[Documento identidad]],[2]!PERSONAL_ACTIVO_2024[[#All],[Mail ]],0,0)</f>
        <v>#NAME?</v>
      </c>
      <c r="AP653" s="147" t="e" cm="1">
        <f t="array" aca="1" ref="AP653" ca="1">_xlfn.XLOOKUP(Contrato5[[#This Row],[DOCUMENTO]],[2]!PERSONAL_ACTIVO_2024[[#All],[Documento identidad]],[2]!PERSONAL_ACTIVO_2024[[#All],[Mail ]],0,0)</f>
        <v>#NAME?</v>
      </c>
      <c r="AQ653" s="439" cm="1">
        <f t="array" aca="1" ref="AQ653" ca="1">IF(ISBLANK(Contrato5[[#This Row],[DEPENDENCIA ]]),0,IFERROR(_xlfn.XLOOKUP(Contrato5[[#This Row],[DEPENDENCIA ]],[2]!PERSONAL_ACTIVO_2024[[#All],[Dependencia]],[2]!PERSONAL_ACTIVO_2024[[#All],[Mail ]],0,0),0))</f>
        <v>0</v>
      </c>
    </row>
    <row r="654" spans="1:43" ht="34.5" customHeight="1">
      <c r="A654" s="147">
        <v>918</v>
      </c>
      <c r="B654" s="124">
        <v>529</v>
      </c>
      <c r="C654" s="162" t="s">
        <v>1993</v>
      </c>
      <c r="D654" s="227" t="s">
        <v>583</v>
      </c>
      <c r="E654" s="440" t="s">
        <v>94</v>
      </c>
      <c r="F654" s="227" t="s">
        <v>1376</v>
      </c>
      <c r="G654" s="281" t="s">
        <v>724</v>
      </c>
      <c r="H654" s="436">
        <v>15302841</v>
      </c>
      <c r="I654" s="273">
        <v>6920169</v>
      </c>
      <c r="J654" s="437">
        <v>28142021</v>
      </c>
      <c r="K654" s="131" t="s">
        <v>42</v>
      </c>
      <c r="L654" s="438" t="s">
        <v>2855</v>
      </c>
      <c r="M654" s="194" t="s">
        <v>600</v>
      </c>
      <c r="N654" s="177" t="e" cm="1">
        <f t="array" aca="1" ref="N654" ca="1">_xlfn.XLOOKUP(Contrato5[[#This Row],[SUPERVISOR TITULAR]],[2]!PERSONAL_ACTIVO_2024[[#All],[Nombre completo]],[2]!PERSONAL_ACTIVO_2024[[#All],[Documento identidad]],"",0)</f>
        <v>#NAME?</v>
      </c>
      <c r="O654" s="194" t="s">
        <v>2495</v>
      </c>
      <c r="P654" s="196" t="e" cm="1">
        <f t="array" aca="1" ref="P654" ca="1">_xlfn.XLOOKUP(Contrato5[[#This Row],[SUPERVISOR SUPLENTE ]],[2]!PERSONAL_ACTIVO_2024[[#All],[Nombre completo]],[2]!PERSONAL_ACTIVO_2024[[#All],[Documento identidad]],"",0)</f>
        <v>#NAME?</v>
      </c>
      <c r="Q654" s="170">
        <v>768</v>
      </c>
      <c r="R654" s="137" t="e" cm="1">
        <f t="array" aca="1" ref="R654" ca="1">_xlfn.XLOOKUP(Contrato5[[#This Row],[CDP]],[2]!DISPONIBILIDADES_2024[[#All],[consecutivo]],[2]!DISPONIBILIDADES_2024[[#All],[fecha_aprobacion]],"",0)</f>
        <v>#NAME?</v>
      </c>
      <c r="S654" s="138" t="e">
        <f>SUMIF([2]!DISPONIBILIDADES_2024[[#All],[consecutivo]],Contrato5[[#This Row],[CDP]],[2]!DISPONIBILIDADES_2024[[#All],[valor_total_rubro]])</f>
        <v>#REF!</v>
      </c>
      <c r="T654" s="139" t="e" cm="1">
        <f t="array" aca="1" ref="T654" ca="1">_xlfn.XLOOKUP(Contrato5[[#This Row],[CONTRATO]]&amp;Contrato5[[#This Row],[CDP]],[2]!Corr_Contr_CDP[[#All],[CONTRATO-CDP]],[2]!Corr_Contr_CDP[[#All],[CRP]],_xlfn.XLOOKUP(Contrato5[[#This Row],[CDP]],[2]!COMPROMISOS_2024[[#All],[disponibilidad]],[2]!COMPROMISOS_2024[[#All],[consecutivo]],"",0),0)</f>
        <v>#NAME?</v>
      </c>
      <c r="U654" s="140" t="e" cm="1">
        <f t="array" aca="1" ref="U654" ca="1">+_xlfn.XLOOKUP(Contrato5[[#This Row],[RCP]],[2]!COMPROMISOS_2024[[#All],[consecutivo]],[2]!COMPROMISOS_2024[[#All],[fecha_aprobacion]],"",0)</f>
        <v>#NAME?</v>
      </c>
      <c r="V654" s="141" t="e">
        <f ca="1">SUMIF([2]!COMPROMISOS_2024[[#All],[consecutivo]],Contrato5[[#This Row],[RCP]],[2]!COMPROMISOS_2024[[#All],[valor_total]])</f>
        <v>#REF!</v>
      </c>
      <c r="W654" s="160">
        <v>45516</v>
      </c>
      <c r="X654" s="161" t="s">
        <v>1045</v>
      </c>
      <c r="Y654" s="143">
        <v>45520</v>
      </c>
      <c r="Z654" s="262">
        <v>45643</v>
      </c>
      <c r="AA654" s="171" t="s">
        <v>2877</v>
      </c>
      <c r="AB654" s="172" t="s">
        <v>2871</v>
      </c>
      <c r="AC654" s="172"/>
      <c r="AD654" s="425">
        <v>202000005093</v>
      </c>
      <c r="AE654" s="147" t="s">
        <v>523</v>
      </c>
      <c r="AF654" s="148" t="str">
        <f>TEXT(LEFT(Contrato5[[#This Row],[CONTRATO]],3),"0")</f>
        <v>529</v>
      </c>
      <c r="AG654" s="148" t="str">
        <f>IF(LEN(Contrato5[[#This Row],[Contrato2]])=3,Contrato5[[#This Row],[Contrato2]],TEXT(Contrato5[[#This Row],[Contrato2]],"000"))</f>
        <v>529</v>
      </c>
      <c r="AH654" s="149">
        <f ca="1">IFERROR(_xlfn.DAYS(Contrato5[[#This Row],[Fecha Proyectada liquidación]],TODAY())/30,"")</f>
        <v>0.16666666666666666</v>
      </c>
      <c r="AI654" s="150">
        <f>+Contrato5[[#This Row],[FECHA TERMINACIÓN ]]+120</f>
        <v>45763</v>
      </c>
      <c r="AJ654" s="147"/>
      <c r="AK654" s="152" t="str">
        <f ca="1">IF(Contrato5[[#This Row],[FECHA TERMINACIÓN ]]&lt;TODAY(), "Terminado",IF(ISNUMBER(Contrato5[[#This Row],[Fecha Real de liquiidación ]]),"Liquidado",IF(Contrato5[[#This Row],[FECHA TERMINACIÓN ]]&gt;=TODAY(),"En ejecución","")))</f>
        <v>Terminado</v>
      </c>
      <c r="AL654" s="153" t="e">
        <f ca="1">SUMIF([2]!COMPROMISOS_2024[[#All],[consecutivo]],Contrato5[[#This Row],[RCP]],[2]!COMPROMISOS_2024[[#All],[Total pagado]])</f>
        <v>#REF!</v>
      </c>
      <c r="AM654" s="154">
        <f ca="1">IFERROR(Contrato5[[#This Row],[Pagos]]/Contrato5[[#This Row],[VALOR CONTRATO]],0)</f>
        <v>0</v>
      </c>
      <c r="AN654" s="198" t="e">
        <f ca="1">+Contrato5[[#This Row],[VALOR CONTRATO]]-Contrato5[[#This Row],[Pagos]]</f>
        <v>#REF!</v>
      </c>
      <c r="AO654" s="147" t="e" cm="1">
        <f t="array" aca="1" ref="AO654" ca="1">_xlfn.XLOOKUP(Contrato5[[#This Row],[DOCUMENTO ]],[2]!PERSONAL_ACTIVO_2024[[#All],[Documento identidad]],[2]!PERSONAL_ACTIVO_2024[[#All],[Mail ]],0,0)</f>
        <v>#NAME?</v>
      </c>
      <c r="AP654" s="147" t="e" cm="1">
        <f t="array" aca="1" ref="AP654" ca="1">_xlfn.XLOOKUP(Contrato5[[#This Row],[DOCUMENTO]],[2]!PERSONAL_ACTIVO_2024[[#All],[Documento identidad]],[2]!PERSONAL_ACTIVO_2024[[#All],[Mail ]],0,0)</f>
        <v>#NAME?</v>
      </c>
      <c r="AQ654" s="439" cm="1">
        <f t="array" aca="1" ref="AQ654" ca="1">IF(ISBLANK(Contrato5[[#This Row],[DEPENDENCIA ]]),0,IFERROR(_xlfn.XLOOKUP(Contrato5[[#This Row],[DEPENDENCIA ]],[2]!PERSONAL_ACTIVO_2024[[#All],[Dependencia]],[2]!PERSONAL_ACTIVO_2024[[#All],[Mail ]],0,0),0))</f>
        <v>0</v>
      </c>
    </row>
    <row r="655" spans="1:43" ht="34.5" customHeight="1">
      <c r="A655" s="147">
        <v>919</v>
      </c>
      <c r="B655" s="124">
        <v>530</v>
      </c>
      <c r="C655" s="162" t="s">
        <v>1993</v>
      </c>
      <c r="D655" s="227" t="s">
        <v>583</v>
      </c>
      <c r="E655" s="440" t="s">
        <v>94</v>
      </c>
      <c r="F655" s="227" t="s">
        <v>1376</v>
      </c>
      <c r="G655" s="281" t="s">
        <v>725</v>
      </c>
      <c r="H655" s="436">
        <v>1036622309</v>
      </c>
      <c r="I655" s="273">
        <v>4908936</v>
      </c>
      <c r="J655" s="437">
        <v>19963006</v>
      </c>
      <c r="K655" s="131" t="s">
        <v>42</v>
      </c>
      <c r="L655" s="438" t="s">
        <v>2855</v>
      </c>
      <c r="M655" s="194" t="s">
        <v>600</v>
      </c>
      <c r="N655" s="177" t="e" cm="1">
        <f t="array" aca="1" ref="N655" ca="1">_xlfn.XLOOKUP(Contrato5[[#This Row],[SUPERVISOR TITULAR]],[2]!PERSONAL_ACTIVO_2024[[#All],[Nombre completo]],[2]!PERSONAL_ACTIVO_2024[[#All],[Documento identidad]],"",0)</f>
        <v>#NAME?</v>
      </c>
      <c r="O655" s="194" t="s">
        <v>2495</v>
      </c>
      <c r="P655" s="196" t="e" cm="1">
        <f t="array" aca="1" ref="P655" ca="1">_xlfn.XLOOKUP(Contrato5[[#This Row],[SUPERVISOR SUPLENTE ]],[2]!PERSONAL_ACTIVO_2024[[#All],[Nombre completo]],[2]!PERSONAL_ACTIVO_2024[[#All],[Documento identidad]],"",0)</f>
        <v>#NAME?</v>
      </c>
      <c r="Q655" s="170">
        <v>717</v>
      </c>
      <c r="R655" s="137" t="e" cm="1">
        <f t="array" aca="1" ref="R655" ca="1">_xlfn.XLOOKUP(Contrato5[[#This Row],[CDP]],[2]!DISPONIBILIDADES_2024[[#All],[consecutivo]],[2]!DISPONIBILIDADES_2024[[#All],[fecha_aprobacion]],"",0)</f>
        <v>#NAME?</v>
      </c>
      <c r="S655" s="138" t="e">
        <f>SUMIF([2]!DISPONIBILIDADES_2024[[#All],[consecutivo]],Contrato5[[#This Row],[CDP]],[2]!DISPONIBILIDADES_2024[[#All],[valor_total_rubro]])</f>
        <v>#REF!</v>
      </c>
      <c r="T655" s="139" t="e" cm="1">
        <f t="array" aca="1" ref="T655" ca="1">_xlfn.XLOOKUP(Contrato5[[#This Row],[CONTRATO]]&amp;Contrato5[[#This Row],[CDP]],[2]!Corr_Contr_CDP[[#All],[CONTRATO-CDP]],[2]!Corr_Contr_CDP[[#All],[CRP]],_xlfn.XLOOKUP(Contrato5[[#This Row],[CDP]],[2]!COMPROMISOS_2024[[#All],[disponibilidad]],[2]!COMPROMISOS_2024[[#All],[consecutivo]],"",0),0)</f>
        <v>#NAME?</v>
      </c>
      <c r="U655" s="140" t="e" cm="1">
        <f t="array" aca="1" ref="U655" ca="1">+_xlfn.XLOOKUP(Contrato5[[#This Row],[RCP]],[2]!COMPROMISOS_2024[[#All],[consecutivo]],[2]!COMPROMISOS_2024[[#All],[fecha_aprobacion]],"",0)</f>
        <v>#NAME?</v>
      </c>
      <c r="V655" s="141" t="e">
        <f ca="1">SUMIF([2]!COMPROMISOS_2024[[#All],[consecutivo]],Contrato5[[#This Row],[RCP]],[2]!COMPROMISOS_2024[[#All],[valor_total]])</f>
        <v>#REF!</v>
      </c>
      <c r="W655" s="160">
        <v>45516</v>
      </c>
      <c r="X655" s="161" t="s">
        <v>1045</v>
      </c>
      <c r="Y655" s="143">
        <v>45520</v>
      </c>
      <c r="Z655" s="262">
        <v>45643</v>
      </c>
      <c r="AA655" s="171" t="s">
        <v>2877</v>
      </c>
      <c r="AB655" s="172" t="s">
        <v>2871</v>
      </c>
      <c r="AC655" s="172"/>
      <c r="AD655" s="425">
        <v>202000005094</v>
      </c>
      <c r="AE655" s="147" t="s">
        <v>523</v>
      </c>
      <c r="AF655" s="148" t="str">
        <f>TEXT(LEFT(Contrato5[[#This Row],[CONTRATO]],3),"0")</f>
        <v>530</v>
      </c>
      <c r="AG655" s="148" t="str">
        <f>IF(LEN(Contrato5[[#This Row],[Contrato2]])=3,Contrato5[[#This Row],[Contrato2]],TEXT(Contrato5[[#This Row],[Contrato2]],"000"))</f>
        <v>530</v>
      </c>
      <c r="AH655" s="149">
        <f ca="1">IFERROR(_xlfn.DAYS(Contrato5[[#This Row],[Fecha Proyectada liquidación]],TODAY())/30,"")</f>
        <v>0.16666666666666666</v>
      </c>
      <c r="AI655" s="150">
        <f>+Contrato5[[#This Row],[FECHA TERMINACIÓN ]]+120</f>
        <v>45763</v>
      </c>
      <c r="AJ655" s="147"/>
      <c r="AK655" s="152" t="str">
        <f ca="1">IF(Contrato5[[#This Row],[FECHA TERMINACIÓN ]]&lt;TODAY(), "Terminado",IF(ISNUMBER(Contrato5[[#This Row],[Fecha Real de liquiidación ]]),"Liquidado",IF(Contrato5[[#This Row],[FECHA TERMINACIÓN ]]&gt;=TODAY(),"En ejecución","")))</f>
        <v>Terminado</v>
      </c>
      <c r="AL655" s="153" t="e">
        <f ca="1">SUMIF([2]!COMPROMISOS_2024[[#All],[consecutivo]],Contrato5[[#This Row],[RCP]],[2]!COMPROMISOS_2024[[#All],[Total pagado]])</f>
        <v>#REF!</v>
      </c>
      <c r="AM655" s="154">
        <f ca="1">IFERROR(Contrato5[[#This Row],[Pagos]]/Contrato5[[#This Row],[VALOR CONTRATO]],0)</f>
        <v>0</v>
      </c>
      <c r="AN655" s="198" t="e">
        <f ca="1">+Contrato5[[#This Row],[VALOR CONTRATO]]-Contrato5[[#This Row],[Pagos]]</f>
        <v>#REF!</v>
      </c>
      <c r="AO655" s="147" t="e" cm="1">
        <f t="array" aca="1" ref="AO655" ca="1">_xlfn.XLOOKUP(Contrato5[[#This Row],[DOCUMENTO ]],[2]!PERSONAL_ACTIVO_2024[[#All],[Documento identidad]],[2]!PERSONAL_ACTIVO_2024[[#All],[Mail ]],0,0)</f>
        <v>#NAME?</v>
      </c>
      <c r="AP655" s="147" t="e" cm="1">
        <f t="array" aca="1" ref="AP655" ca="1">_xlfn.XLOOKUP(Contrato5[[#This Row],[DOCUMENTO]],[2]!PERSONAL_ACTIVO_2024[[#All],[Documento identidad]],[2]!PERSONAL_ACTIVO_2024[[#All],[Mail ]],0,0)</f>
        <v>#NAME?</v>
      </c>
      <c r="AQ655" s="439" cm="1">
        <f t="array" aca="1" ref="AQ655" ca="1">IF(ISBLANK(Contrato5[[#This Row],[DEPENDENCIA ]]),0,IFERROR(_xlfn.XLOOKUP(Contrato5[[#This Row],[DEPENDENCIA ]],[2]!PERSONAL_ACTIVO_2024[[#All],[Dependencia]],[2]!PERSONAL_ACTIVO_2024[[#All],[Mail ]],0,0),0))</f>
        <v>0</v>
      </c>
    </row>
    <row r="656" spans="1:43" ht="34.5" customHeight="1">
      <c r="A656" s="147">
        <v>920</v>
      </c>
      <c r="B656" s="124">
        <v>531</v>
      </c>
      <c r="C656" s="162" t="s">
        <v>1994</v>
      </c>
      <c r="D656" s="227" t="s">
        <v>583</v>
      </c>
      <c r="E656" s="440" t="s">
        <v>94</v>
      </c>
      <c r="F656" s="227" t="s">
        <v>1376</v>
      </c>
      <c r="G656" s="281" t="s">
        <v>2924</v>
      </c>
      <c r="H656" s="436">
        <v>1146434793</v>
      </c>
      <c r="I656" s="273">
        <v>3952382</v>
      </c>
      <c r="J656" s="437">
        <v>16073020</v>
      </c>
      <c r="K656" s="131" t="s">
        <v>42</v>
      </c>
      <c r="L656" s="438" t="s">
        <v>2855</v>
      </c>
      <c r="M656" s="194" t="s">
        <v>589</v>
      </c>
      <c r="N656" s="177" t="e" cm="1">
        <f t="array" aca="1" ref="N656" ca="1">_xlfn.XLOOKUP(Contrato5[[#This Row],[SUPERVISOR TITULAR]],[2]!PERSONAL_ACTIVO_2024[[#All],[Nombre completo]],[2]!PERSONAL_ACTIVO_2024[[#All],[Documento identidad]],"",0)</f>
        <v>#NAME?</v>
      </c>
      <c r="O656" s="194" t="s">
        <v>586</v>
      </c>
      <c r="P656" s="196" t="e" cm="1">
        <f t="array" aca="1" ref="P656" ca="1">_xlfn.XLOOKUP(Contrato5[[#This Row],[SUPERVISOR SUPLENTE ]],[2]!PERSONAL_ACTIVO_2024[[#All],[Nombre completo]],[2]!PERSONAL_ACTIVO_2024[[#All],[Documento identidad]],"",0)</f>
        <v>#NAME?</v>
      </c>
      <c r="Q656" s="170">
        <v>718</v>
      </c>
      <c r="R656" s="137" t="e" cm="1">
        <f t="array" aca="1" ref="R656" ca="1">_xlfn.XLOOKUP(Contrato5[[#This Row],[CDP]],[2]!DISPONIBILIDADES_2024[[#All],[consecutivo]],[2]!DISPONIBILIDADES_2024[[#All],[fecha_aprobacion]],"",0)</f>
        <v>#NAME?</v>
      </c>
      <c r="S656" s="138" t="e">
        <f>SUMIF([2]!DISPONIBILIDADES_2024[[#All],[consecutivo]],Contrato5[[#This Row],[CDP]],[2]!DISPONIBILIDADES_2024[[#All],[valor_total_rubro]])</f>
        <v>#REF!</v>
      </c>
      <c r="T656" s="139" t="e" cm="1">
        <f t="array" aca="1" ref="T656" ca="1">_xlfn.XLOOKUP(Contrato5[[#This Row],[CONTRATO]]&amp;Contrato5[[#This Row],[CDP]],[2]!Corr_Contr_CDP[[#All],[CONTRATO-CDP]],[2]!Corr_Contr_CDP[[#All],[CRP]],_xlfn.XLOOKUP(Contrato5[[#This Row],[CDP]],[2]!COMPROMISOS_2024[[#All],[disponibilidad]],[2]!COMPROMISOS_2024[[#All],[consecutivo]],"",0),0)</f>
        <v>#NAME?</v>
      </c>
      <c r="U656" s="140" t="e" cm="1">
        <f t="array" aca="1" ref="U656" ca="1">+_xlfn.XLOOKUP(Contrato5[[#This Row],[RCP]],[2]!COMPROMISOS_2024[[#All],[consecutivo]],[2]!COMPROMISOS_2024[[#All],[fecha_aprobacion]],"",0)</f>
        <v>#NAME?</v>
      </c>
      <c r="V656" s="141" t="e">
        <f ca="1">SUMIF([2]!COMPROMISOS_2024[[#All],[consecutivo]],Contrato5[[#This Row],[RCP]],[2]!COMPROMISOS_2024[[#All],[valor_total]])</f>
        <v>#REF!</v>
      </c>
      <c r="W656" s="160">
        <v>45516</v>
      </c>
      <c r="X656" s="160" t="s">
        <v>1045</v>
      </c>
      <c r="Y656" s="143">
        <v>45520</v>
      </c>
      <c r="Z656" s="262">
        <v>45643</v>
      </c>
      <c r="AA656" s="171" t="s">
        <v>2877</v>
      </c>
      <c r="AB656" s="172" t="s">
        <v>2871</v>
      </c>
      <c r="AC656" s="172"/>
      <c r="AD656" s="425">
        <v>202000005095</v>
      </c>
      <c r="AE656" s="147" t="s">
        <v>523</v>
      </c>
      <c r="AF656" s="148" t="str">
        <f>TEXT(LEFT(Contrato5[[#This Row],[CONTRATO]],3),"0")</f>
        <v>531</v>
      </c>
      <c r="AG656" s="148" t="str">
        <f>IF(LEN(Contrato5[[#This Row],[Contrato2]])=3,Contrato5[[#This Row],[Contrato2]],TEXT(Contrato5[[#This Row],[Contrato2]],"000"))</f>
        <v>531</v>
      </c>
      <c r="AH656" s="149">
        <f ca="1">IFERROR(_xlfn.DAYS(Contrato5[[#This Row],[Fecha Proyectada liquidación]],TODAY())/30,"")</f>
        <v>0.16666666666666666</v>
      </c>
      <c r="AI656" s="150">
        <f>+Contrato5[[#This Row],[FECHA TERMINACIÓN ]]+120</f>
        <v>45763</v>
      </c>
      <c r="AJ656" s="147"/>
      <c r="AK656" s="152" t="str">
        <f ca="1">IF(Contrato5[[#This Row],[FECHA TERMINACIÓN ]]&lt;TODAY(), "Terminado",IF(ISNUMBER(Contrato5[[#This Row],[Fecha Real de liquiidación ]]),"Liquidado",IF(Contrato5[[#This Row],[FECHA TERMINACIÓN ]]&gt;=TODAY(),"En ejecución","")))</f>
        <v>Terminado</v>
      </c>
      <c r="AL656" s="153" t="e">
        <f ca="1">SUMIF([2]!COMPROMISOS_2024[[#All],[consecutivo]],Contrato5[[#This Row],[RCP]],[2]!COMPROMISOS_2024[[#All],[Total pagado]])</f>
        <v>#REF!</v>
      </c>
      <c r="AM656" s="154">
        <f ca="1">IFERROR(Contrato5[[#This Row],[Pagos]]/Contrato5[[#This Row],[VALOR CONTRATO]],0)</f>
        <v>0</v>
      </c>
      <c r="AN656" s="198" t="e">
        <f ca="1">+Contrato5[[#This Row],[VALOR CONTRATO]]-Contrato5[[#This Row],[Pagos]]</f>
        <v>#REF!</v>
      </c>
      <c r="AO656" s="147" t="e" cm="1">
        <f t="array" aca="1" ref="AO656" ca="1">_xlfn.XLOOKUP(Contrato5[[#This Row],[DOCUMENTO ]],[2]!PERSONAL_ACTIVO_2024[[#All],[Documento identidad]],[2]!PERSONAL_ACTIVO_2024[[#All],[Mail ]],0,0)</f>
        <v>#NAME?</v>
      </c>
      <c r="AP656" s="147" t="e" cm="1">
        <f t="array" aca="1" ref="AP656" ca="1">_xlfn.XLOOKUP(Contrato5[[#This Row],[DOCUMENTO]],[2]!PERSONAL_ACTIVO_2024[[#All],[Documento identidad]],[2]!PERSONAL_ACTIVO_2024[[#All],[Mail ]],0,0)</f>
        <v>#NAME?</v>
      </c>
      <c r="AQ656" s="439" cm="1">
        <f t="array" aca="1" ref="AQ656" ca="1">IF(ISBLANK(Contrato5[[#This Row],[DEPENDENCIA ]]),0,IFERROR(_xlfn.XLOOKUP(Contrato5[[#This Row],[DEPENDENCIA ]],[2]!PERSONAL_ACTIVO_2024[[#All],[Dependencia]],[2]!PERSONAL_ACTIVO_2024[[#All],[Mail ]],0,0),0))</f>
        <v>0</v>
      </c>
    </row>
    <row r="657" spans="1:43" ht="34.5" customHeight="1">
      <c r="A657" s="147">
        <v>921</v>
      </c>
      <c r="B657" s="124">
        <v>532</v>
      </c>
      <c r="C657" s="162" t="s">
        <v>1991</v>
      </c>
      <c r="D657" s="227" t="s">
        <v>583</v>
      </c>
      <c r="E657" s="440" t="s">
        <v>94</v>
      </c>
      <c r="F657" s="227" t="s">
        <v>1376</v>
      </c>
      <c r="G657" s="281" t="s">
        <v>730</v>
      </c>
      <c r="H657" s="436">
        <v>1128401285</v>
      </c>
      <c r="I657" s="273">
        <v>2574842</v>
      </c>
      <c r="J657" s="437">
        <v>10471024</v>
      </c>
      <c r="K657" s="131" t="s">
        <v>42</v>
      </c>
      <c r="L657" s="438" t="s">
        <v>2855</v>
      </c>
      <c r="M657" s="194" t="s">
        <v>589</v>
      </c>
      <c r="N657" s="177" t="e" cm="1">
        <f t="array" aca="1" ref="N657" ca="1">_xlfn.XLOOKUP(Contrato5[[#This Row],[SUPERVISOR TITULAR]],[2]!PERSONAL_ACTIVO_2024[[#All],[Nombre completo]],[2]!PERSONAL_ACTIVO_2024[[#All],[Documento identidad]],"",0)</f>
        <v>#NAME?</v>
      </c>
      <c r="O657" s="194" t="s">
        <v>586</v>
      </c>
      <c r="P657" s="196" t="e" cm="1">
        <f t="array" aca="1" ref="P657" ca="1">_xlfn.XLOOKUP(Contrato5[[#This Row],[SUPERVISOR SUPLENTE ]],[2]!PERSONAL_ACTIVO_2024[[#All],[Nombre completo]],[2]!PERSONAL_ACTIVO_2024[[#All],[Documento identidad]],"",0)</f>
        <v>#NAME?</v>
      </c>
      <c r="Q657" s="170">
        <v>716</v>
      </c>
      <c r="R657" s="137" t="e" cm="1">
        <f t="array" aca="1" ref="R657" ca="1">_xlfn.XLOOKUP(Contrato5[[#This Row],[CDP]],[2]!DISPONIBILIDADES_2024[[#All],[consecutivo]],[2]!DISPONIBILIDADES_2024[[#All],[fecha_aprobacion]],"",0)</f>
        <v>#NAME?</v>
      </c>
      <c r="S657" s="138" t="e">
        <f>SUMIF([2]!DISPONIBILIDADES_2024[[#All],[consecutivo]],Contrato5[[#This Row],[CDP]],[2]!DISPONIBILIDADES_2024[[#All],[valor_total_rubro]])</f>
        <v>#REF!</v>
      </c>
      <c r="T657" s="139" t="e" cm="1">
        <f t="array" aca="1" ref="T657" ca="1">_xlfn.XLOOKUP(Contrato5[[#This Row],[CONTRATO]]&amp;Contrato5[[#This Row],[CDP]],[2]!Corr_Contr_CDP[[#All],[CONTRATO-CDP]],[2]!Corr_Contr_CDP[[#All],[CRP]],_xlfn.XLOOKUP(Contrato5[[#This Row],[CDP]],[2]!COMPROMISOS_2024[[#All],[disponibilidad]],[2]!COMPROMISOS_2024[[#All],[consecutivo]],"",0),0)</f>
        <v>#NAME?</v>
      </c>
      <c r="U657" s="140" t="e" cm="1">
        <f t="array" aca="1" ref="U657" ca="1">+_xlfn.XLOOKUP(Contrato5[[#This Row],[RCP]],[2]!COMPROMISOS_2024[[#All],[consecutivo]],[2]!COMPROMISOS_2024[[#All],[fecha_aprobacion]],"",0)</f>
        <v>#NAME?</v>
      </c>
      <c r="V657" s="141" t="e">
        <f ca="1">SUMIF([2]!COMPROMISOS_2024[[#All],[consecutivo]],Contrato5[[#This Row],[RCP]],[2]!COMPROMISOS_2024[[#All],[valor_total]])</f>
        <v>#REF!</v>
      </c>
      <c r="W657" s="160">
        <v>45516</v>
      </c>
      <c r="X657" s="160" t="s">
        <v>1045</v>
      </c>
      <c r="Y657" s="143">
        <v>45520</v>
      </c>
      <c r="Z657" s="262">
        <v>45643</v>
      </c>
      <c r="AA657" s="171" t="s">
        <v>2877</v>
      </c>
      <c r="AB657" s="172" t="s">
        <v>2871</v>
      </c>
      <c r="AC657" s="172"/>
      <c r="AD657" s="425">
        <v>202000005096</v>
      </c>
      <c r="AE657" s="147" t="s">
        <v>523</v>
      </c>
      <c r="AF657" s="148" t="str">
        <f>TEXT(LEFT(Contrato5[[#This Row],[CONTRATO]],3),"0")</f>
        <v>532</v>
      </c>
      <c r="AG657" s="148" t="str">
        <f>IF(LEN(Contrato5[[#This Row],[Contrato2]])=3,Contrato5[[#This Row],[Contrato2]],TEXT(Contrato5[[#This Row],[Contrato2]],"000"))</f>
        <v>532</v>
      </c>
      <c r="AH657" s="149">
        <f ca="1">IFERROR(_xlfn.DAYS(Contrato5[[#This Row],[Fecha Proyectada liquidación]],TODAY())/30,"")</f>
        <v>0.16666666666666666</v>
      </c>
      <c r="AI657" s="150">
        <f>+Contrato5[[#This Row],[FECHA TERMINACIÓN ]]+120</f>
        <v>45763</v>
      </c>
      <c r="AJ657" s="147"/>
      <c r="AK657" s="152" t="str">
        <f ca="1">IF(Contrato5[[#This Row],[FECHA TERMINACIÓN ]]&lt;TODAY(), "Terminado",IF(ISNUMBER(Contrato5[[#This Row],[Fecha Real de liquiidación ]]),"Liquidado",IF(Contrato5[[#This Row],[FECHA TERMINACIÓN ]]&gt;=TODAY(),"En ejecución","")))</f>
        <v>Terminado</v>
      </c>
      <c r="AL657" s="153" t="e">
        <f ca="1">SUMIF([2]!COMPROMISOS_2024[[#All],[consecutivo]],Contrato5[[#This Row],[RCP]],[2]!COMPROMISOS_2024[[#All],[Total pagado]])</f>
        <v>#REF!</v>
      </c>
      <c r="AM657" s="154">
        <f ca="1">IFERROR(Contrato5[[#This Row],[Pagos]]/Contrato5[[#This Row],[VALOR CONTRATO]],0)</f>
        <v>0</v>
      </c>
      <c r="AN657" s="198" t="e">
        <f ca="1">+Contrato5[[#This Row],[VALOR CONTRATO]]-Contrato5[[#This Row],[Pagos]]</f>
        <v>#REF!</v>
      </c>
      <c r="AO657" s="147" t="e" cm="1">
        <f t="array" aca="1" ref="AO657" ca="1">_xlfn.XLOOKUP(Contrato5[[#This Row],[DOCUMENTO ]],[2]!PERSONAL_ACTIVO_2024[[#All],[Documento identidad]],[2]!PERSONAL_ACTIVO_2024[[#All],[Mail ]],0,0)</f>
        <v>#NAME?</v>
      </c>
      <c r="AP657" s="147" t="e" cm="1">
        <f t="array" aca="1" ref="AP657" ca="1">_xlfn.XLOOKUP(Contrato5[[#This Row],[DOCUMENTO]],[2]!PERSONAL_ACTIVO_2024[[#All],[Documento identidad]],[2]!PERSONAL_ACTIVO_2024[[#All],[Mail ]],0,0)</f>
        <v>#NAME?</v>
      </c>
      <c r="AQ657" s="439" cm="1">
        <f t="array" aca="1" ref="AQ657" ca="1">IF(ISBLANK(Contrato5[[#This Row],[DEPENDENCIA ]]),0,IFERROR(_xlfn.XLOOKUP(Contrato5[[#This Row],[DEPENDENCIA ]],[2]!PERSONAL_ACTIVO_2024[[#All],[Dependencia]],[2]!PERSONAL_ACTIVO_2024[[#All],[Mail ]],0,0),0))</f>
        <v>0</v>
      </c>
    </row>
    <row r="658" spans="1:43" ht="34.5" customHeight="1">
      <c r="A658" s="147">
        <v>922</v>
      </c>
      <c r="B658" s="124">
        <v>533</v>
      </c>
      <c r="C658" s="162" t="s">
        <v>1991</v>
      </c>
      <c r="D658" s="227" t="s">
        <v>583</v>
      </c>
      <c r="E658" s="440" t="s">
        <v>94</v>
      </c>
      <c r="F658" s="227" t="s">
        <v>1376</v>
      </c>
      <c r="G658" s="281" t="s">
        <v>2925</v>
      </c>
      <c r="H658" s="436">
        <v>1007239999</v>
      </c>
      <c r="I658" s="273">
        <v>2574842</v>
      </c>
      <c r="J658" s="437">
        <v>10471024</v>
      </c>
      <c r="K658" s="131" t="s">
        <v>42</v>
      </c>
      <c r="L658" s="438" t="s">
        <v>2855</v>
      </c>
      <c r="M658" s="194" t="s">
        <v>589</v>
      </c>
      <c r="N658" s="177" t="e" cm="1">
        <f t="array" aca="1" ref="N658" ca="1">_xlfn.XLOOKUP(Contrato5[[#This Row],[SUPERVISOR TITULAR]],[2]!PERSONAL_ACTIVO_2024[[#All],[Nombre completo]],[2]!PERSONAL_ACTIVO_2024[[#All],[Documento identidad]],"",0)</f>
        <v>#NAME?</v>
      </c>
      <c r="O658" s="194" t="s">
        <v>586</v>
      </c>
      <c r="P658" s="196" t="e" cm="1">
        <f t="array" aca="1" ref="P658" ca="1">_xlfn.XLOOKUP(Contrato5[[#This Row],[SUPERVISOR SUPLENTE ]],[2]!PERSONAL_ACTIVO_2024[[#All],[Nombre completo]],[2]!PERSONAL_ACTIVO_2024[[#All],[Documento identidad]],"",0)</f>
        <v>#NAME?</v>
      </c>
      <c r="Q658" s="170">
        <v>767</v>
      </c>
      <c r="R658" s="137" t="e" cm="1">
        <f t="array" aca="1" ref="R658" ca="1">_xlfn.XLOOKUP(Contrato5[[#This Row],[CDP]],[2]!DISPONIBILIDADES_2024[[#All],[consecutivo]],[2]!DISPONIBILIDADES_2024[[#All],[fecha_aprobacion]],"",0)</f>
        <v>#NAME?</v>
      </c>
      <c r="S658" s="138" t="e">
        <f>SUMIF([2]!DISPONIBILIDADES_2024[[#All],[consecutivo]],Contrato5[[#This Row],[CDP]],[2]!DISPONIBILIDADES_2024[[#All],[valor_total_rubro]])</f>
        <v>#REF!</v>
      </c>
      <c r="T658" s="139" t="e" cm="1">
        <f t="array" aca="1" ref="T658" ca="1">_xlfn.XLOOKUP(Contrato5[[#This Row],[CONTRATO]]&amp;Contrato5[[#This Row],[CDP]],[2]!Corr_Contr_CDP[[#All],[CONTRATO-CDP]],[2]!Corr_Contr_CDP[[#All],[CRP]],_xlfn.XLOOKUP(Contrato5[[#This Row],[CDP]],[2]!COMPROMISOS_2024[[#All],[disponibilidad]],[2]!COMPROMISOS_2024[[#All],[consecutivo]],"",0),0)</f>
        <v>#NAME?</v>
      </c>
      <c r="U658" s="140" t="e" cm="1">
        <f t="array" aca="1" ref="U658" ca="1">+_xlfn.XLOOKUP(Contrato5[[#This Row],[RCP]],[2]!COMPROMISOS_2024[[#All],[consecutivo]],[2]!COMPROMISOS_2024[[#All],[fecha_aprobacion]],"",0)</f>
        <v>#NAME?</v>
      </c>
      <c r="V658" s="141" t="e">
        <f ca="1">SUMIF([2]!COMPROMISOS_2024[[#All],[consecutivo]],Contrato5[[#This Row],[RCP]],[2]!COMPROMISOS_2024[[#All],[valor_total]])</f>
        <v>#REF!</v>
      </c>
      <c r="W658" s="160">
        <v>45516</v>
      </c>
      <c r="X658" s="160" t="s">
        <v>1045</v>
      </c>
      <c r="Y658" s="143">
        <v>45520</v>
      </c>
      <c r="Z658" s="262">
        <v>45643</v>
      </c>
      <c r="AA658" s="171" t="s">
        <v>2926</v>
      </c>
      <c r="AB658" s="172" t="s">
        <v>2905</v>
      </c>
      <c r="AC658" s="172"/>
      <c r="AD658" s="425">
        <v>202000005097</v>
      </c>
      <c r="AE658" s="147" t="s">
        <v>523</v>
      </c>
      <c r="AF658" s="148" t="str">
        <f>TEXT(LEFT(Contrato5[[#This Row],[CONTRATO]],3),"0")</f>
        <v>533</v>
      </c>
      <c r="AG658" s="148" t="str">
        <f>IF(LEN(Contrato5[[#This Row],[Contrato2]])=3,Contrato5[[#This Row],[Contrato2]],TEXT(Contrato5[[#This Row],[Contrato2]],"000"))</f>
        <v>533</v>
      </c>
      <c r="AH658" s="149">
        <f ca="1">IFERROR(_xlfn.DAYS(Contrato5[[#This Row],[Fecha Proyectada liquidación]],TODAY())/30,"")</f>
        <v>0.16666666666666666</v>
      </c>
      <c r="AI658" s="150">
        <f>+Contrato5[[#This Row],[FECHA TERMINACIÓN ]]+120</f>
        <v>45763</v>
      </c>
      <c r="AJ658" s="147"/>
      <c r="AK658" s="152" t="str">
        <f ca="1">IF(Contrato5[[#This Row],[FECHA TERMINACIÓN ]]&lt;TODAY(), "Terminado",IF(ISNUMBER(Contrato5[[#This Row],[Fecha Real de liquiidación ]]),"Liquidado",IF(Contrato5[[#This Row],[FECHA TERMINACIÓN ]]&gt;=TODAY(),"En ejecución","")))</f>
        <v>Terminado</v>
      </c>
      <c r="AL658" s="153" t="e">
        <f ca="1">SUMIF([2]!COMPROMISOS_2024[[#All],[consecutivo]],Contrato5[[#This Row],[RCP]],[2]!COMPROMISOS_2024[[#All],[Total pagado]])</f>
        <v>#REF!</v>
      </c>
      <c r="AM658" s="154">
        <f ca="1">IFERROR(Contrato5[[#This Row],[Pagos]]/Contrato5[[#This Row],[VALOR CONTRATO]],0)</f>
        <v>0</v>
      </c>
      <c r="AN658" s="198" t="e">
        <f ca="1">+Contrato5[[#This Row],[VALOR CONTRATO]]-Contrato5[[#This Row],[Pagos]]</f>
        <v>#REF!</v>
      </c>
      <c r="AO658" s="147" t="e" cm="1">
        <f t="array" aca="1" ref="AO658" ca="1">_xlfn.XLOOKUP(Contrato5[[#This Row],[DOCUMENTO ]],[2]!PERSONAL_ACTIVO_2024[[#All],[Documento identidad]],[2]!PERSONAL_ACTIVO_2024[[#All],[Mail ]],0,0)</f>
        <v>#NAME?</v>
      </c>
      <c r="AP658" s="147" t="e" cm="1">
        <f t="array" aca="1" ref="AP658" ca="1">_xlfn.XLOOKUP(Contrato5[[#This Row],[DOCUMENTO]],[2]!PERSONAL_ACTIVO_2024[[#All],[Documento identidad]],[2]!PERSONAL_ACTIVO_2024[[#All],[Mail ]],0,0)</f>
        <v>#NAME?</v>
      </c>
      <c r="AQ658" s="439" cm="1">
        <f t="array" aca="1" ref="AQ658" ca="1">IF(ISBLANK(Contrato5[[#This Row],[DEPENDENCIA ]]),0,IFERROR(_xlfn.XLOOKUP(Contrato5[[#This Row],[DEPENDENCIA ]],[2]!PERSONAL_ACTIVO_2024[[#All],[Dependencia]],[2]!PERSONAL_ACTIVO_2024[[#All],[Mail ]],0,0),0))</f>
        <v>0</v>
      </c>
    </row>
    <row r="659" spans="1:43" ht="34.5" customHeight="1">
      <c r="A659" s="147">
        <v>923</v>
      </c>
      <c r="B659" s="124">
        <v>534</v>
      </c>
      <c r="C659" s="162" t="s">
        <v>1995</v>
      </c>
      <c r="D659" s="227" t="s">
        <v>583</v>
      </c>
      <c r="E659" s="440" t="s">
        <v>94</v>
      </c>
      <c r="F659" s="227" t="s">
        <v>1376</v>
      </c>
      <c r="G659" s="281" t="s">
        <v>2927</v>
      </c>
      <c r="H659" s="436">
        <v>1017230955</v>
      </c>
      <c r="I659" s="273">
        <v>2574842</v>
      </c>
      <c r="J659" s="437">
        <v>10471024</v>
      </c>
      <c r="K659" s="131" t="s">
        <v>42</v>
      </c>
      <c r="L659" s="438" t="s">
        <v>2855</v>
      </c>
      <c r="M659" s="194" t="s">
        <v>586</v>
      </c>
      <c r="N659" s="177" t="e" cm="1">
        <f t="array" aca="1" ref="N659" ca="1">_xlfn.XLOOKUP(Contrato5[[#This Row],[SUPERVISOR TITULAR]],[2]!PERSONAL_ACTIVO_2024[[#All],[Nombre completo]],[2]!PERSONAL_ACTIVO_2024[[#All],[Documento identidad]],"",0)</f>
        <v>#NAME?</v>
      </c>
      <c r="O659" s="194" t="s">
        <v>589</v>
      </c>
      <c r="P659" s="196" t="e" cm="1">
        <f t="array" aca="1" ref="P659" ca="1">_xlfn.XLOOKUP(Contrato5[[#This Row],[SUPERVISOR SUPLENTE ]],[2]!PERSONAL_ACTIVO_2024[[#All],[Nombre completo]],[2]!PERSONAL_ACTIVO_2024[[#All],[Documento identidad]],"",0)</f>
        <v>#NAME?</v>
      </c>
      <c r="Q659" s="170">
        <v>715</v>
      </c>
      <c r="R659" s="137" t="e" cm="1">
        <f t="array" aca="1" ref="R659" ca="1">_xlfn.XLOOKUP(Contrato5[[#This Row],[CDP]],[2]!DISPONIBILIDADES_2024[[#All],[consecutivo]],[2]!DISPONIBILIDADES_2024[[#All],[fecha_aprobacion]],"",0)</f>
        <v>#NAME?</v>
      </c>
      <c r="S659" s="138" t="e">
        <f>SUMIF([2]!DISPONIBILIDADES_2024[[#All],[consecutivo]],Contrato5[[#This Row],[CDP]],[2]!DISPONIBILIDADES_2024[[#All],[valor_total_rubro]])</f>
        <v>#REF!</v>
      </c>
      <c r="T659" s="139" t="e" cm="1">
        <f t="array" aca="1" ref="T659" ca="1">_xlfn.XLOOKUP(Contrato5[[#This Row],[CONTRATO]]&amp;Contrato5[[#This Row],[CDP]],[2]!Corr_Contr_CDP[[#All],[CONTRATO-CDP]],[2]!Corr_Contr_CDP[[#All],[CRP]],_xlfn.XLOOKUP(Contrato5[[#This Row],[CDP]],[2]!COMPROMISOS_2024[[#All],[disponibilidad]],[2]!COMPROMISOS_2024[[#All],[consecutivo]],"",0),0)</f>
        <v>#NAME?</v>
      </c>
      <c r="U659" s="140" t="e" cm="1">
        <f t="array" aca="1" ref="U659" ca="1">+_xlfn.XLOOKUP(Contrato5[[#This Row],[RCP]],[2]!COMPROMISOS_2024[[#All],[consecutivo]],[2]!COMPROMISOS_2024[[#All],[fecha_aprobacion]],"",0)</f>
        <v>#NAME?</v>
      </c>
      <c r="V659" s="141" t="e">
        <f ca="1">SUMIF([2]!COMPROMISOS_2024[[#All],[consecutivo]],Contrato5[[#This Row],[RCP]],[2]!COMPROMISOS_2024[[#All],[valor_total]])</f>
        <v>#REF!</v>
      </c>
      <c r="W659" s="160">
        <v>45516</v>
      </c>
      <c r="X659" s="160" t="s">
        <v>1045</v>
      </c>
      <c r="Y659" s="143">
        <v>45520</v>
      </c>
      <c r="Z659" s="262">
        <v>45643</v>
      </c>
      <c r="AA659" s="171" t="s">
        <v>2875</v>
      </c>
      <c r="AB659" s="172" t="s">
        <v>2905</v>
      </c>
      <c r="AC659" s="172"/>
      <c r="AD659" s="425">
        <v>202000005098</v>
      </c>
      <c r="AE659" s="147" t="s">
        <v>523</v>
      </c>
      <c r="AF659" s="148" t="str">
        <f>TEXT(LEFT(Contrato5[[#This Row],[CONTRATO]],3),"0")</f>
        <v>534</v>
      </c>
      <c r="AG659" s="148" t="str">
        <f>IF(LEN(Contrato5[[#This Row],[Contrato2]])=3,Contrato5[[#This Row],[Contrato2]],TEXT(Contrato5[[#This Row],[Contrato2]],"000"))</f>
        <v>534</v>
      </c>
      <c r="AH659" s="149">
        <f ca="1">IFERROR(_xlfn.DAYS(Contrato5[[#This Row],[Fecha Proyectada liquidación]],TODAY())/30,"")</f>
        <v>0.16666666666666666</v>
      </c>
      <c r="AI659" s="150">
        <f>+Contrato5[[#This Row],[FECHA TERMINACIÓN ]]+120</f>
        <v>45763</v>
      </c>
      <c r="AJ659" s="147"/>
      <c r="AK659" s="152" t="str">
        <f ca="1">IF(Contrato5[[#This Row],[FECHA TERMINACIÓN ]]&lt;TODAY(), "Terminado",IF(ISNUMBER(Contrato5[[#This Row],[Fecha Real de liquiidación ]]),"Liquidado",IF(Contrato5[[#This Row],[FECHA TERMINACIÓN ]]&gt;=TODAY(),"En ejecución","")))</f>
        <v>Terminado</v>
      </c>
      <c r="AL659" s="153" t="e">
        <f ca="1">SUMIF([2]!COMPROMISOS_2024[[#All],[consecutivo]],Contrato5[[#This Row],[RCP]],[2]!COMPROMISOS_2024[[#All],[Total pagado]])</f>
        <v>#REF!</v>
      </c>
      <c r="AM659" s="154">
        <f ca="1">IFERROR(Contrato5[[#This Row],[Pagos]]/Contrato5[[#This Row],[VALOR CONTRATO]],0)</f>
        <v>0</v>
      </c>
      <c r="AN659" s="198" t="e">
        <f ca="1">+Contrato5[[#This Row],[VALOR CONTRATO]]-Contrato5[[#This Row],[Pagos]]</f>
        <v>#REF!</v>
      </c>
      <c r="AO659" s="147" t="e" cm="1">
        <f t="array" aca="1" ref="AO659" ca="1">_xlfn.XLOOKUP(Contrato5[[#This Row],[DOCUMENTO ]],[2]!PERSONAL_ACTIVO_2024[[#All],[Documento identidad]],[2]!PERSONAL_ACTIVO_2024[[#All],[Mail ]],0,0)</f>
        <v>#NAME?</v>
      </c>
      <c r="AP659" s="147" t="e" cm="1">
        <f t="array" aca="1" ref="AP659" ca="1">_xlfn.XLOOKUP(Contrato5[[#This Row],[DOCUMENTO]],[2]!PERSONAL_ACTIVO_2024[[#All],[Documento identidad]],[2]!PERSONAL_ACTIVO_2024[[#All],[Mail ]],0,0)</f>
        <v>#NAME?</v>
      </c>
      <c r="AQ659" s="439" cm="1">
        <f t="array" aca="1" ref="AQ659" ca="1">IF(ISBLANK(Contrato5[[#This Row],[DEPENDENCIA ]]),0,IFERROR(_xlfn.XLOOKUP(Contrato5[[#This Row],[DEPENDENCIA ]],[2]!PERSONAL_ACTIVO_2024[[#All],[Dependencia]],[2]!PERSONAL_ACTIVO_2024[[#All],[Mail ]],0,0),0))</f>
        <v>0</v>
      </c>
    </row>
    <row r="660" spans="1:43" ht="34.5" customHeight="1">
      <c r="A660" s="147">
        <v>924</v>
      </c>
      <c r="B660" s="124">
        <v>535</v>
      </c>
      <c r="C660" s="162" t="s">
        <v>1995</v>
      </c>
      <c r="D660" s="227" t="s">
        <v>583</v>
      </c>
      <c r="E660" s="440" t="s">
        <v>94</v>
      </c>
      <c r="F660" s="227" t="s">
        <v>1376</v>
      </c>
      <c r="G660" s="281" t="s">
        <v>2928</v>
      </c>
      <c r="H660" s="436">
        <v>1038410802</v>
      </c>
      <c r="I660" s="273">
        <v>3952382</v>
      </c>
      <c r="J660" s="437">
        <v>16073020</v>
      </c>
      <c r="K660" s="131" t="s">
        <v>42</v>
      </c>
      <c r="L660" s="438" t="s">
        <v>2855</v>
      </c>
      <c r="M660" s="194" t="s">
        <v>586</v>
      </c>
      <c r="N660" s="177" t="e" cm="1">
        <f t="array" aca="1" ref="N660" ca="1">_xlfn.XLOOKUP(Contrato5[[#This Row],[SUPERVISOR TITULAR]],[2]!PERSONAL_ACTIVO_2024[[#All],[Nombre completo]],[2]!PERSONAL_ACTIVO_2024[[#All],[Documento identidad]],"",0)</f>
        <v>#NAME?</v>
      </c>
      <c r="O660" s="194" t="s">
        <v>589</v>
      </c>
      <c r="P660" s="196" t="e" cm="1">
        <f t="array" aca="1" ref="P660" ca="1">_xlfn.XLOOKUP(Contrato5[[#This Row],[SUPERVISOR SUPLENTE ]],[2]!PERSONAL_ACTIVO_2024[[#All],[Nombre completo]],[2]!PERSONAL_ACTIVO_2024[[#All],[Documento identidad]],"",0)</f>
        <v>#NAME?</v>
      </c>
      <c r="Q660" s="170">
        <v>766</v>
      </c>
      <c r="R660" s="137" t="e" cm="1">
        <f t="array" aca="1" ref="R660" ca="1">_xlfn.XLOOKUP(Contrato5[[#This Row],[CDP]],[2]!DISPONIBILIDADES_2024[[#All],[consecutivo]],[2]!DISPONIBILIDADES_2024[[#All],[fecha_aprobacion]],"",0)</f>
        <v>#NAME?</v>
      </c>
      <c r="S660" s="138" t="e">
        <f>SUMIF([2]!DISPONIBILIDADES_2024[[#All],[consecutivo]],Contrato5[[#This Row],[CDP]],[2]!DISPONIBILIDADES_2024[[#All],[valor_total_rubro]])</f>
        <v>#REF!</v>
      </c>
      <c r="T660" s="139" t="e" cm="1">
        <f t="array" aca="1" ref="T660" ca="1">_xlfn.XLOOKUP(Contrato5[[#This Row],[CONTRATO]]&amp;Contrato5[[#This Row],[CDP]],[2]!Corr_Contr_CDP[[#All],[CONTRATO-CDP]],[2]!Corr_Contr_CDP[[#All],[CRP]],_xlfn.XLOOKUP(Contrato5[[#This Row],[CDP]],[2]!COMPROMISOS_2024[[#All],[disponibilidad]],[2]!COMPROMISOS_2024[[#All],[consecutivo]],"",0),0)</f>
        <v>#NAME?</v>
      </c>
      <c r="U660" s="140" t="e" cm="1">
        <f t="array" aca="1" ref="U660" ca="1">+_xlfn.XLOOKUP(Contrato5[[#This Row],[RCP]],[2]!COMPROMISOS_2024[[#All],[consecutivo]],[2]!COMPROMISOS_2024[[#All],[fecha_aprobacion]],"",0)</f>
        <v>#NAME?</v>
      </c>
      <c r="V660" s="141" t="e">
        <f ca="1">SUMIF([2]!COMPROMISOS_2024[[#All],[consecutivo]],Contrato5[[#This Row],[RCP]],[2]!COMPROMISOS_2024[[#All],[valor_total]])</f>
        <v>#REF!</v>
      </c>
      <c r="W660" s="160">
        <v>45516</v>
      </c>
      <c r="X660" s="160" t="s">
        <v>1045</v>
      </c>
      <c r="Y660" s="143">
        <v>45520</v>
      </c>
      <c r="Z660" s="262">
        <v>45643</v>
      </c>
      <c r="AA660" s="171" t="s">
        <v>2877</v>
      </c>
      <c r="AB660" s="172" t="s">
        <v>2871</v>
      </c>
      <c r="AC660" s="172"/>
      <c r="AD660" s="425">
        <v>202000005099</v>
      </c>
      <c r="AE660" s="147" t="s">
        <v>523</v>
      </c>
      <c r="AF660" s="148" t="str">
        <f>TEXT(LEFT(Contrato5[[#This Row],[CONTRATO]],3),"0")</f>
        <v>535</v>
      </c>
      <c r="AG660" s="148" t="str">
        <f>IF(LEN(Contrato5[[#This Row],[Contrato2]])=3,Contrato5[[#This Row],[Contrato2]],TEXT(Contrato5[[#This Row],[Contrato2]],"000"))</f>
        <v>535</v>
      </c>
      <c r="AH660" s="149">
        <f ca="1">IFERROR(_xlfn.DAYS(Contrato5[[#This Row],[Fecha Proyectada liquidación]],TODAY())/30,"")</f>
        <v>0.16666666666666666</v>
      </c>
      <c r="AI660" s="150">
        <f>+Contrato5[[#This Row],[FECHA TERMINACIÓN ]]+120</f>
        <v>45763</v>
      </c>
      <c r="AJ660" s="147"/>
      <c r="AK660" s="152" t="str">
        <f ca="1">IF(Contrato5[[#This Row],[FECHA TERMINACIÓN ]]&lt;TODAY(), "Terminado",IF(ISNUMBER(Contrato5[[#This Row],[Fecha Real de liquiidación ]]),"Liquidado",IF(Contrato5[[#This Row],[FECHA TERMINACIÓN ]]&gt;=TODAY(),"En ejecución","")))</f>
        <v>Terminado</v>
      </c>
      <c r="AL660" s="153" t="e">
        <f ca="1">SUMIF([2]!COMPROMISOS_2024[[#All],[consecutivo]],Contrato5[[#This Row],[RCP]],[2]!COMPROMISOS_2024[[#All],[Total pagado]])</f>
        <v>#REF!</v>
      </c>
      <c r="AM660" s="154">
        <f ca="1">IFERROR(Contrato5[[#This Row],[Pagos]]/Contrato5[[#This Row],[VALOR CONTRATO]],0)</f>
        <v>0</v>
      </c>
      <c r="AN660" s="198" t="e">
        <f ca="1">+Contrato5[[#This Row],[VALOR CONTRATO]]-Contrato5[[#This Row],[Pagos]]</f>
        <v>#REF!</v>
      </c>
      <c r="AO660" s="147" t="e" cm="1">
        <f t="array" aca="1" ref="AO660" ca="1">_xlfn.XLOOKUP(Contrato5[[#This Row],[DOCUMENTO ]],[2]!PERSONAL_ACTIVO_2024[[#All],[Documento identidad]],[2]!PERSONAL_ACTIVO_2024[[#All],[Mail ]],0,0)</f>
        <v>#NAME?</v>
      </c>
      <c r="AP660" s="147" t="e" cm="1">
        <f t="array" aca="1" ref="AP660" ca="1">_xlfn.XLOOKUP(Contrato5[[#This Row],[DOCUMENTO]],[2]!PERSONAL_ACTIVO_2024[[#All],[Documento identidad]],[2]!PERSONAL_ACTIVO_2024[[#All],[Mail ]],0,0)</f>
        <v>#NAME?</v>
      </c>
      <c r="AQ660" s="439" cm="1">
        <f t="array" aca="1" ref="AQ660" ca="1">IF(ISBLANK(Contrato5[[#This Row],[DEPENDENCIA ]]),0,IFERROR(_xlfn.XLOOKUP(Contrato5[[#This Row],[DEPENDENCIA ]],[2]!PERSONAL_ACTIVO_2024[[#All],[Dependencia]],[2]!PERSONAL_ACTIVO_2024[[#All],[Mail ]],0,0),0))</f>
        <v>0</v>
      </c>
    </row>
    <row r="661" spans="1:43" ht="34.5" customHeight="1">
      <c r="A661" s="147">
        <v>925</v>
      </c>
      <c r="B661" s="124">
        <v>536</v>
      </c>
      <c r="C661" s="162" t="s">
        <v>1995</v>
      </c>
      <c r="D661" s="227" t="s">
        <v>583</v>
      </c>
      <c r="E661" s="440" t="s">
        <v>94</v>
      </c>
      <c r="F661" s="227" t="s">
        <v>1376</v>
      </c>
      <c r="G661" s="281" t="s">
        <v>734</v>
      </c>
      <c r="H661" s="436">
        <v>71276076</v>
      </c>
      <c r="I661" s="273">
        <v>4908936</v>
      </c>
      <c r="J661" s="437">
        <v>19963006</v>
      </c>
      <c r="K661" s="131" t="s">
        <v>42</v>
      </c>
      <c r="L661" s="438" t="s">
        <v>2855</v>
      </c>
      <c r="M661" s="194" t="s">
        <v>586</v>
      </c>
      <c r="N661" s="177" t="e" cm="1">
        <f t="array" aca="1" ref="N661" ca="1">_xlfn.XLOOKUP(Contrato5[[#This Row],[SUPERVISOR TITULAR]],[2]!PERSONAL_ACTIVO_2024[[#All],[Nombre completo]],[2]!PERSONAL_ACTIVO_2024[[#All],[Documento identidad]],"",0)</f>
        <v>#NAME?</v>
      </c>
      <c r="O661" s="194" t="s">
        <v>589</v>
      </c>
      <c r="P661" s="196" t="e" cm="1">
        <f t="array" aca="1" ref="P661" ca="1">_xlfn.XLOOKUP(Contrato5[[#This Row],[SUPERVISOR SUPLENTE ]],[2]!PERSONAL_ACTIVO_2024[[#All],[Nombre completo]],[2]!PERSONAL_ACTIVO_2024[[#All],[Documento identidad]],"",0)</f>
        <v>#NAME?</v>
      </c>
      <c r="Q661" s="170">
        <v>789</v>
      </c>
      <c r="R661" s="137" t="e" cm="1">
        <f t="array" aca="1" ref="R661" ca="1">_xlfn.XLOOKUP(Contrato5[[#This Row],[CDP]],[2]!DISPONIBILIDADES_2024[[#All],[consecutivo]],[2]!DISPONIBILIDADES_2024[[#All],[fecha_aprobacion]],"",0)</f>
        <v>#NAME?</v>
      </c>
      <c r="S661" s="138" t="e">
        <f>SUMIF([2]!DISPONIBILIDADES_2024[[#All],[consecutivo]],Contrato5[[#This Row],[CDP]],[2]!DISPONIBILIDADES_2024[[#All],[valor_total_rubro]])</f>
        <v>#REF!</v>
      </c>
      <c r="T661" s="139" t="e" cm="1">
        <f t="array" aca="1" ref="T661" ca="1">_xlfn.XLOOKUP(Contrato5[[#This Row],[CONTRATO]]&amp;Contrato5[[#This Row],[CDP]],[2]!Corr_Contr_CDP[[#All],[CONTRATO-CDP]],[2]!Corr_Contr_CDP[[#All],[CRP]],_xlfn.XLOOKUP(Contrato5[[#This Row],[CDP]],[2]!COMPROMISOS_2024[[#All],[disponibilidad]],[2]!COMPROMISOS_2024[[#All],[consecutivo]],"",0),0)</f>
        <v>#NAME?</v>
      </c>
      <c r="U661" s="140" t="e" cm="1">
        <f t="array" aca="1" ref="U661" ca="1">+_xlfn.XLOOKUP(Contrato5[[#This Row],[RCP]],[2]!COMPROMISOS_2024[[#All],[consecutivo]],[2]!COMPROMISOS_2024[[#All],[fecha_aprobacion]],"",0)</f>
        <v>#NAME?</v>
      </c>
      <c r="V661" s="141" t="e">
        <f ca="1">SUMIF([2]!COMPROMISOS_2024[[#All],[consecutivo]],Contrato5[[#This Row],[RCP]],[2]!COMPROMISOS_2024[[#All],[valor_total]])</f>
        <v>#REF!</v>
      </c>
      <c r="W661" s="160">
        <v>45516</v>
      </c>
      <c r="X661" s="160" t="s">
        <v>1045</v>
      </c>
      <c r="Y661" s="143">
        <v>45520</v>
      </c>
      <c r="Z661" s="262">
        <v>45643</v>
      </c>
      <c r="AA661" s="171" t="s">
        <v>2877</v>
      </c>
      <c r="AB661" s="172" t="s">
        <v>2871</v>
      </c>
      <c r="AC661" s="172"/>
      <c r="AD661" s="425">
        <v>202000005101</v>
      </c>
      <c r="AE661" s="147" t="s">
        <v>523</v>
      </c>
      <c r="AF661" s="148" t="str">
        <f>TEXT(LEFT(Contrato5[[#This Row],[CONTRATO]],3),"0")</f>
        <v>536</v>
      </c>
      <c r="AG661" s="148" t="str">
        <f>IF(LEN(Contrato5[[#This Row],[Contrato2]])=3,Contrato5[[#This Row],[Contrato2]],TEXT(Contrato5[[#This Row],[Contrato2]],"000"))</f>
        <v>536</v>
      </c>
      <c r="AH661" s="149">
        <f ca="1">IFERROR(_xlfn.DAYS(Contrato5[[#This Row],[Fecha Proyectada liquidación]],TODAY())/30,"")</f>
        <v>0.16666666666666666</v>
      </c>
      <c r="AI661" s="150">
        <f>+Contrato5[[#This Row],[FECHA TERMINACIÓN ]]+120</f>
        <v>45763</v>
      </c>
      <c r="AJ661" s="147"/>
      <c r="AK661" s="152" t="str">
        <f ca="1">IF(Contrato5[[#This Row],[FECHA TERMINACIÓN ]]&lt;TODAY(), "Terminado",IF(ISNUMBER(Contrato5[[#This Row],[Fecha Real de liquiidación ]]),"Liquidado",IF(Contrato5[[#This Row],[FECHA TERMINACIÓN ]]&gt;=TODAY(),"En ejecución","")))</f>
        <v>Terminado</v>
      </c>
      <c r="AL661" s="153" t="e">
        <f ca="1">SUMIF([2]!COMPROMISOS_2024[[#All],[consecutivo]],Contrato5[[#This Row],[RCP]],[2]!COMPROMISOS_2024[[#All],[Total pagado]])</f>
        <v>#REF!</v>
      </c>
      <c r="AM661" s="154">
        <f ca="1">IFERROR(Contrato5[[#This Row],[Pagos]]/Contrato5[[#This Row],[VALOR CONTRATO]],0)</f>
        <v>0</v>
      </c>
      <c r="AN661" s="198" t="e">
        <f ca="1">+Contrato5[[#This Row],[VALOR CONTRATO]]-Contrato5[[#This Row],[Pagos]]</f>
        <v>#REF!</v>
      </c>
      <c r="AO661" s="147" t="e" cm="1">
        <f t="array" aca="1" ref="AO661" ca="1">_xlfn.XLOOKUP(Contrato5[[#This Row],[DOCUMENTO ]],[2]!PERSONAL_ACTIVO_2024[[#All],[Documento identidad]],[2]!PERSONAL_ACTIVO_2024[[#All],[Mail ]],0,0)</f>
        <v>#NAME?</v>
      </c>
      <c r="AP661" s="147" t="e" cm="1">
        <f t="array" aca="1" ref="AP661" ca="1">_xlfn.XLOOKUP(Contrato5[[#This Row],[DOCUMENTO]],[2]!PERSONAL_ACTIVO_2024[[#All],[Documento identidad]],[2]!PERSONAL_ACTIVO_2024[[#All],[Mail ]],0,0)</f>
        <v>#NAME?</v>
      </c>
      <c r="AQ661" s="439" cm="1">
        <f t="array" aca="1" ref="AQ661" ca="1">IF(ISBLANK(Contrato5[[#This Row],[DEPENDENCIA ]]),0,IFERROR(_xlfn.XLOOKUP(Contrato5[[#This Row],[DEPENDENCIA ]],[2]!PERSONAL_ACTIVO_2024[[#All],[Dependencia]],[2]!PERSONAL_ACTIVO_2024[[#All],[Mail ]],0,0),0))</f>
        <v>0</v>
      </c>
    </row>
    <row r="662" spans="1:43" ht="34.5" customHeight="1">
      <c r="A662" s="147">
        <v>926</v>
      </c>
      <c r="B662" s="124">
        <v>537</v>
      </c>
      <c r="C662" s="162" t="s">
        <v>1996</v>
      </c>
      <c r="D662" s="227" t="s">
        <v>583</v>
      </c>
      <c r="E662" s="440" t="s">
        <v>94</v>
      </c>
      <c r="F662" s="227" t="s">
        <v>1376</v>
      </c>
      <c r="G662" s="281" t="s">
        <v>2929</v>
      </c>
      <c r="H662" s="436">
        <v>1037649671</v>
      </c>
      <c r="I662" s="273">
        <v>2574842</v>
      </c>
      <c r="J662" s="437">
        <v>10471024</v>
      </c>
      <c r="K662" s="131" t="s">
        <v>42</v>
      </c>
      <c r="L662" s="438" t="s">
        <v>2855</v>
      </c>
      <c r="M662" s="194" t="s">
        <v>589</v>
      </c>
      <c r="N662" s="177" t="e" cm="1">
        <f t="array" aca="1" ref="N662" ca="1">_xlfn.XLOOKUP(Contrato5[[#This Row],[SUPERVISOR TITULAR]],[2]!PERSONAL_ACTIVO_2024[[#All],[Nombre completo]],[2]!PERSONAL_ACTIVO_2024[[#All],[Documento identidad]],"",0)</f>
        <v>#NAME?</v>
      </c>
      <c r="O662" s="194" t="s">
        <v>586</v>
      </c>
      <c r="P662" s="196" t="e" cm="1">
        <f t="array" aca="1" ref="P662" ca="1">_xlfn.XLOOKUP(Contrato5[[#This Row],[SUPERVISOR SUPLENTE ]],[2]!PERSONAL_ACTIVO_2024[[#All],[Nombre completo]],[2]!PERSONAL_ACTIVO_2024[[#All],[Documento identidad]],"",0)</f>
        <v>#NAME?</v>
      </c>
      <c r="Q662" s="170">
        <v>714</v>
      </c>
      <c r="R662" s="137" t="e" cm="1">
        <f t="array" aca="1" ref="R662" ca="1">_xlfn.XLOOKUP(Contrato5[[#This Row],[CDP]],[2]!DISPONIBILIDADES_2024[[#All],[consecutivo]],[2]!DISPONIBILIDADES_2024[[#All],[fecha_aprobacion]],"",0)</f>
        <v>#NAME?</v>
      </c>
      <c r="S662" s="138" t="e">
        <f>SUMIF([2]!DISPONIBILIDADES_2024[[#All],[consecutivo]],Contrato5[[#This Row],[CDP]],[2]!DISPONIBILIDADES_2024[[#All],[valor_total_rubro]])</f>
        <v>#REF!</v>
      </c>
      <c r="T662" s="139" t="e" cm="1">
        <f t="array" aca="1" ref="T662" ca="1">_xlfn.XLOOKUP(Contrato5[[#This Row],[CONTRATO]]&amp;Contrato5[[#This Row],[CDP]],[2]!Corr_Contr_CDP[[#All],[CONTRATO-CDP]],[2]!Corr_Contr_CDP[[#All],[CRP]],_xlfn.XLOOKUP(Contrato5[[#This Row],[CDP]],[2]!COMPROMISOS_2024[[#All],[disponibilidad]],[2]!COMPROMISOS_2024[[#All],[consecutivo]],"",0),0)</f>
        <v>#NAME?</v>
      </c>
      <c r="U662" s="140" t="e" cm="1">
        <f t="array" aca="1" ref="U662" ca="1">+_xlfn.XLOOKUP(Contrato5[[#This Row],[RCP]],[2]!COMPROMISOS_2024[[#All],[consecutivo]],[2]!COMPROMISOS_2024[[#All],[fecha_aprobacion]],"",0)</f>
        <v>#NAME?</v>
      </c>
      <c r="V662" s="141" t="e">
        <f ca="1">SUMIF([2]!COMPROMISOS_2024[[#All],[consecutivo]],Contrato5[[#This Row],[RCP]],[2]!COMPROMISOS_2024[[#All],[valor_total]])</f>
        <v>#REF!</v>
      </c>
      <c r="W662" s="160">
        <v>45516</v>
      </c>
      <c r="X662" s="160" t="s">
        <v>1045</v>
      </c>
      <c r="Y662" s="143">
        <v>45520</v>
      </c>
      <c r="Z662" s="262">
        <v>45643</v>
      </c>
      <c r="AA662" s="171" t="s">
        <v>2870</v>
      </c>
      <c r="AB662" s="172" t="s">
        <v>2871</v>
      </c>
      <c r="AC662" s="172"/>
      <c r="AD662" s="425">
        <v>202000005102</v>
      </c>
      <c r="AE662" s="147" t="s">
        <v>523</v>
      </c>
      <c r="AF662" s="148" t="str">
        <f>TEXT(LEFT(Contrato5[[#This Row],[CONTRATO]],3),"0")</f>
        <v>537</v>
      </c>
      <c r="AG662" s="148" t="str">
        <f>IF(LEN(Contrato5[[#This Row],[Contrato2]])=3,Contrato5[[#This Row],[Contrato2]],TEXT(Contrato5[[#This Row],[Contrato2]],"000"))</f>
        <v>537</v>
      </c>
      <c r="AH662" s="149">
        <f ca="1">IFERROR(_xlfn.DAYS(Contrato5[[#This Row],[Fecha Proyectada liquidación]],TODAY())/30,"")</f>
        <v>0.16666666666666666</v>
      </c>
      <c r="AI662" s="150">
        <f>+Contrato5[[#This Row],[FECHA TERMINACIÓN ]]+120</f>
        <v>45763</v>
      </c>
      <c r="AJ662" s="147"/>
      <c r="AK662" s="152" t="str">
        <f ca="1">IF(Contrato5[[#This Row],[FECHA TERMINACIÓN ]]&lt;TODAY(), "Terminado",IF(ISNUMBER(Contrato5[[#This Row],[Fecha Real de liquiidación ]]),"Liquidado",IF(Contrato5[[#This Row],[FECHA TERMINACIÓN ]]&gt;=TODAY(),"En ejecución","")))</f>
        <v>Terminado</v>
      </c>
      <c r="AL662" s="153" t="e">
        <f ca="1">SUMIF([2]!COMPROMISOS_2024[[#All],[consecutivo]],Contrato5[[#This Row],[RCP]],[2]!COMPROMISOS_2024[[#All],[Total pagado]])</f>
        <v>#REF!</v>
      </c>
      <c r="AM662" s="154">
        <f ca="1">IFERROR(Contrato5[[#This Row],[Pagos]]/Contrato5[[#This Row],[VALOR CONTRATO]],0)</f>
        <v>0</v>
      </c>
      <c r="AN662" s="198" t="e">
        <f ca="1">+Contrato5[[#This Row],[VALOR CONTRATO]]-Contrato5[[#This Row],[Pagos]]</f>
        <v>#REF!</v>
      </c>
      <c r="AO662" s="147" t="e" cm="1">
        <f t="array" aca="1" ref="AO662" ca="1">_xlfn.XLOOKUP(Contrato5[[#This Row],[DOCUMENTO ]],[2]!PERSONAL_ACTIVO_2024[[#All],[Documento identidad]],[2]!PERSONAL_ACTIVO_2024[[#All],[Mail ]],0,0)</f>
        <v>#NAME?</v>
      </c>
      <c r="AP662" s="147" t="e" cm="1">
        <f t="array" aca="1" ref="AP662" ca="1">_xlfn.XLOOKUP(Contrato5[[#This Row],[DOCUMENTO]],[2]!PERSONAL_ACTIVO_2024[[#All],[Documento identidad]],[2]!PERSONAL_ACTIVO_2024[[#All],[Mail ]],0,0)</f>
        <v>#NAME?</v>
      </c>
      <c r="AQ662" s="439" cm="1">
        <f t="array" aca="1" ref="AQ662" ca="1">IF(ISBLANK(Contrato5[[#This Row],[DEPENDENCIA ]]),0,IFERROR(_xlfn.XLOOKUP(Contrato5[[#This Row],[DEPENDENCIA ]],[2]!PERSONAL_ACTIVO_2024[[#All],[Dependencia]],[2]!PERSONAL_ACTIVO_2024[[#All],[Mail ]],0,0),0))</f>
        <v>0</v>
      </c>
    </row>
    <row r="663" spans="1:43" ht="34.5" customHeight="1">
      <c r="A663" s="147">
        <v>927</v>
      </c>
      <c r="B663" s="124">
        <v>538</v>
      </c>
      <c r="C663" s="162" t="s">
        <v>1997</v>
      </c>
      <c r="D663" s="227" t="s">
        <v>583</v>
      </c>
      <c r="E663" s="440" t="s">
        <v>94</v>
      </c>
      <c r="F663" s="227" t="s">
        <v>1376</v>
      </c>
      <c r="G663" s="281" t="s">
        <v>2930</v>
      </c>
      <c r="H663" s="436">
        <v>1143326398</v>
      </c>
      <c r="I663" s="273">
        <v>3952382</v>
      </c>
      <c r="J663" s="437">
        <v>16073020</v>
      </c>
      <c r="K663" s="131" t="s">
        <v>42</v>
      </c>
      <c r="L663" s="438" t="s">
        <v>2855</v>
      </c>
      <c r="M663" s="194" t="s">
        <v>586</v>
      </c>
      <c r="N663" s="177" t="e" cm="1">
        <f t="array" aca="1" ref="N663" ca="1">_xlfn.XLOOKUP(Contrato5[[#This Row],[SUPERVISOR TITULAR]],[2]!PERSONAL_ACTIVO_2024[[#All],[Nombre completo]],[2]!PERSONAL_ACTIVO_2024[[#All],[Documento identidad]],"",0)</f>
        <v>#NAME?</v>
      </c>
      <c r="O663" s="194" t="s">
        <v>589</v>
      </c>
      <c r="P663" s="196" t="e" cm="1">
        <f t="array" aca="1" ref="P663" ca="1">_xlfn.XLOOKUP(Contrato5[[#This Row],[SUPERVISOR SUPLENTE ]],[2]!PERSONAL_ACTIVO_2024[[#All],[Nombre completo]],[2]!PERSONAL_ACTIVO_2024[[#All],[Documento identidad]],"",0)</f>
        <v>#NAME?</v>
      </c>
      <c r="Q663" s="170">
        <v>765</v>
      </c>
      <c r="R663" s="137" t="e" cm="1">
        <f t="array" aca="1" ref="R663" ca="1">_xlfn.XLOOKUP(Contrato5[[#This Row],[CDP]],[2]!DISPONIBILIDADES_2024[[#All],[consecutivo]],[2]!DISPONIBILIDADES_2024[[#All],[fecha_aprobacion]],"",0)</f>
        <v>#NAME?</v>
      </c>
      <c r="S663" s="138" t="e">
        <f>SUMIF([2]!DISPONIBILIDADES_2024[[#All],[consecutivo]],Contrato5[[#This Row],[CDP]],[2]!DISPONIBILIDADES_2024[[#All],[valor_total_rubro]])</f>
        <v>#REF!</v>
      </c>
      <c r="T663" s="139" t="e" cm="1">
        <f t="array" aca="1" ref="T663" ca="1">_xlfn.XLOOKUP(Contrato5[[#This Row],[CONTRATO]]&amp;Contrato5[[#This Row],[CDP]],[2]!Corr_Contr_CDP[[#All],[CONTRATO-CDP]],[2]!Corr_Contr_CDP[[#All],[CRP]],_xlfn.XLOOKUP(Contrato5[[#This Row],[CDP]],[2]!COMPROMISOS_2024[[#All],[disponibilidad]],[2]!COMPROMISOS_2024[[#All],[consecutivo]],"",0),0)</f>
        <v>#NAME?</v>
      </c>
      <c r="U663" s="140" t="e" cm="1">
        <f t="array" aca="1" ref="U663" ca="1">+_xlfn.XLOOKUP(Contrato5[[#This Row],[RCP]],[2]!COMPROMISOS_2024[[#All],[consecutivo]],[2]!COMPROMISOS_2024[[#All],[fecha_aprobacion]],"",0)</f>
        <v>#NAME?</v>
      </c>
      <c r="V663" s="141" t="e">
        <f ca="1">SUMIF([2]!COMPROMISOS_2024[[#All],[consecutivo]],Contrato5[[#This Row],[RCP]],[2]!COMPROMISOS_2024[[#All],[valor_total]])</f>
        <v>#REF!</v>
      </c>
      <c r="W663" s="160">
        <v>45516</v>
      </c>
      <c r="X663" s="160" t="s">
        <v>1045</v>
      </c>
      <c r="Y663" s="143">
        <v>45520</v>
      </c>
      <c r="Z663" s="262">
        <v>45643</v>
      </c>
      <c r="AA663" s="171" t="s">
        <v>2901</v>
      </c>
      <c r="AB663" s="172" t="s">
        <v>2871</v>
      </c>
      <c r="AC663" s="172"/>
      <c r="AD663" s="425">
        <v>202000005103</v>
      </c>
      <c r="AE663" s="147" t="s">
        <v>523</v>
      </c>
      <c r="AF663" s="148" t="str">
        <f>TEXT(LEFT(Contrato5[[#This Row],[CONTRATO]],3),"0")</f>
        <v>538</v>
      </c>
      <c r="AG663" s="148" t="str">
        <f>IF(LEN(Contrato5[[#This Row],[Contrato2]])=3,Contrato5[[#This Row],[Contrato2]],TEXT(Contrato5[[#This Row],[Contrato2]],"000"))</f>
        <v>538</v>
      </c>
      <c r="AH663" s="149">
        <f ca="1">IFERROR(_xlfn.DAYS(Contrato5[[#This Row],[Fecha Proyectada liquidación]],TODAY())/30,"")</f>
        <v>0.16666666666666666</v>
      </c>
      <c r="AI663" s="150">
        <f>+Contrato5[[#This Row],[FECHA TERMINACIÓN ]]+120</f>
        <v>45763</v>
      </c>
      <c r="AJ663" s="147"/>
      <c r="AK663" s="152" t="str">
        <f ca="1">IF(Contrato5[[#This Row],[FECHA TERMINACIÓN ]]&lt;TODAY(), "Terminado",IF(ISNUMBER(Contrato5[[#This Row],[Fecha Real de liquiidación ]]),"Liquidado",IF(Contrato5[[#This Row],[FECHA TERMINACIÓN ]]&gt;=TODAY(),"En ejecución","")))</f>
        <v>Terminado</v>
      </c>
      <c r="AL663" s="153" t="e">
        <f ca="1">SUMIF([2]!COMPROMISOS_2024[[#All],[consecutivo]],Contrato5[[#This Row],[RCP]],[2]!COMPROMISOS_2024[[#All],[Total pagado]])</f>
        <v>#REF!</v>
      </c>
      <c r="AM663" s="154">
        <f ca="1">IFERROR(Contrato5[[#This Row],[Pagos]]/Contrato5[[#This Row],[VALOR CONTRATO]],0)</f>
        <v>0</v>
      </c>
      <c r="AN663" s="198" t="e">
        <f ca="1">+Contrato5[[#This Row],[VALOR CONTRATO]]-Contrato5[[#This Row],[Pagos]]</f>
        <v>#REF!</v>
      </c>
      <c r="AO663" s="147" t="e" cm="1">
        <f t="array" aca="1" ref="AO663" ca="1">_xlfn.XLOOKUP(Contrato5[[#This Row],[DOCUMENTO ]],[2]!PERSONAL_ACTIVO_2024[[#All],[Documento identidad]],[2]!PERSONAL_ACTIVO_2024[[#All],[Mail ]],0,0)</f>
        <v>#NAME?</v>
      </c>
      <c r="AP663" s="147" t="e" cm="1">
        <f t="array" aca="1" ref="AP663" ca="1">_xlfn.XLOOKUP(Contrato5[[#This Row],[DOCUMENTO]],[2]!PERSONAL_ACTIVO_2024[[#All],[Documento identidad]],[2]!PERSONAL_ACTIVO_2024[[#All],[Mail ]],0,0)</f>
        <v>#NAME?</v>
      </c>
      <c r="AQ663" s="439" cm="1">
        <f t="array" aca="1" ref="AQ663" ca="1">IF(ISBLANK(Contrato5[[#This Row],[DEPENDENCIA ]]),0,IFERROR(_xlfn.XLOOKUP(Contrato5[[#This Row],[DEPENDENCIA ]],[2]!PERSONAL_ACTIVO_2024[[#All],[Dependencia]],[2]!PERSONAL_ACTIVO_2024[[#All],[Mail ]],0,0),0))</f>
        <v>0</v>
      </c>
    </row>
    <row r="664" spans="1:43" ht="34.5" customHeight="1">
      <c r="A664" s="147">
        <v>928</v>
      </c>
      <c r="B664" s="124">
        <v>539</v>
      </c>
      <c r="C664" s="162" t="s">
        <v>1998</v>
      </c>
      <c r="D664" s="227" t="s">
        <v>583</v>
      </c>
      <c r="E664" s="440" t="s">
        <v>94</v>
      </c>
      <c r="F664" s="227" t="s">
        <v>1376</v>
      </c>
      <c r="G664" s="281" t="s">
        <v>2931</v>
      </c>
      <c r="H664" s="436">
        <v>71716048</v>
      </c>
      <c r="I664" s="273">
        <v>5931149</v>
      </c>
      <c r="J664" s="437">
        <v>24120006</v>
      </c>
      <c r="K664" s="131" t="s">
        <v>42</v>
      </c>
      <c r="L664" s="438" t="s">
        <v>2855</v>
      </c>
      <c r="M664" s="194" t="s">
        <v>600</v>
      </c>
      <c r="N664" s="177" t="e" cm="1">
        <f t="array" aca="1" ref="N664" ca="1">_xlfn.XLOOKUP(Contrato5[[#This Row],[SUPERVISOR TITULAR]],[2]!PERSONAL_ACTIVO_2024[[#All],[Nombre completo]],[2]!PERSONAL_ACTIVO_2024[[#All],[Documento identidad]],"",0)</f>
        <v>#NAME?</v>
      </c>
      <c r="O664" s="194" t="s">
        <v>2495</v>
      </c>
      <c r="P664" s="196" t="e" cm="1">
        <f t="array" aca="1" ref="P664" ca="1">_xlfn.XLOOKUP(Contrato5[[#This Row],[SUPERVISOR SUPLENTE ]],[2]!PERSONAL_ACTIVO_2024[[#All],[Nombre completo]],[2]!PERSONAL_ACTIVO_2024[[#All],[Documento identidad]],"",0)</f>
        <v>#NAME?</v>
      </c>
      <c r="Q664" s="170">
        <v>713</v>
      </c>
      <c r="R664" s="137" t="e" cm="1">
        <f t="array" aca="1" ref="R664" ca="1">_xlfn.XLOOKUP(Contrato5[[#This Row],[CDP]],[2]!DISPONIBILIDADES_2024[[#All],[consecutivo]],[2]!DISPONIBILIDADES_2024[[#All],[fecha_aprobacion]],"",0)</f>
        <v>#NAME?</v>
      </c>
      <c r="S664" s="138" t="e">
        <f>SUMIF([2]!DISPONIBILIDADES_2024[[#All],[consecutivo]],Contrato5[[#This Row],[CDP]],[2]!DISPONIBILIDADES_2024[[#All],[valor_total_rubro]])</f>
        <v>#REF!</v>
      </c>
      <c r="T664" s="139" t="e" cm="1">
        <f t="array" aca="1" ref="T664" ca="1">_xlfn.XLOOKUP(Contrato5[[#This Row],[CONTRATO]]&amp;Contrato5[[#This Row],[CDP]],[2]!Corr_Contr_CDP[[#All],[CONTRATO-CDP]],[2]!Corr_Contr_CDP[[#All],[CRP]],_xlfn.XLOOKUP(Contrato5[[#This Row],[CDP]],[2]!COMPROMISOS_2024[[#All],[disponibilidad]],[2]!COMPROMISOS_2024[[#All],[consecutivo]],"",0),0)</f>
        <v>#NAME?</v>
      </c>
      <c r="U664" s="140" t="e" cm="1">
        <f t="array" aca="1" ref="U664" ca="1">+_xlfn.XLOOKUP(Contrato5[[#This Row],[RCP]],[2]!COMPROMISOS_2024[[#All],[consecutivo]],[2]!COMPROMISOS_2024[[#All],[fecha_aprobacion]],"",0)</f>
        <v>#NAME?</v>
      </c>
      <c r="V664" s="141" t="e">
        <f ca="1">SUMIF([2]!COMPROMISOS_2024[[#All],[consecutivo]],Contrato5[[#This Row],[RCP]],[2]!COMPROMISOS_2024[[#All],[valor_total]])</f>
        <v>#REF!</v>
      </c>
      <c r="W664" s="160">
        <v>45516</v>
      </c>
      <c r="X664" s="160" t="s">
        <v>1045</v>
      </c>
      <c r="Y664" s="143">
        <v>45520</v>
      </c>
      <c r="Z664" s="262">
        <v>45643</v>
      </c>
      <c r="AA664" s="171" t="s">
        <v>2875</v>
      </c>
      <c r="AB664" s="172" t="s">
        <v>2871</v>
      </c>
      <c r="AC664" s="172"/>
      <c r="AD664" s="425">
        <v>202000005104</v>
      </c>
      <c r="AE664" s="147" t="s">
        <v>523</v>
      </c>
      <c r="AF664" s="148" t="str">
        <f>TEXT(LEFT(Contrato5[[#This Row],[CONTRATO]],3),"0")</f>
        <v>539</v>
      </c>
      <c r="AG664" s="148" t="str">
        <f>IF(LEN(Contrato5[[#This Row],[Contrato2]])=3,Contrato5[[#This Row],[Contrato2]],TEXT(Contrato5[[#This Row],[Contrato2]],"000"))</f>
        <v>539</v>
      </c>
      <c r="AH664" s="149">
        <f ca="1">IFERROR(_xlfn.DAYS(Contrato5[[#This Row],[Fecha Proyectada liquidación]],TODAY())/30,"")</f>
        <v>0.16666666666666666</v>
      </c>
      <c r="AI664" s="150">
        <f>+Contrato5[[#This Row],[FECHA TERMINACIÓN ]]+120</f>
        <v>45763</v>
      </c>
      <c r="AJ664" s="147"/>
      <c r="AK664" s="152" t="str">
        <f ca="1">IF(Contrato5[[#This Row],[FECHA TERMINACIÓN ]]&lt;TODAY(), "Terminado",IF(ISNUMBER(Contrato5[[#This Row],[Fecha Real de liquiidación ]]),"Liquidado",IF(Contrato5[[#This Row],[FECHA TERMINACIÓN ]]&gt;=TODAY(),"En ejecución","")))</f>
        <v>Terminado</v>
      </c>
      <c r="AL664" s="153" t="e">
        <f ca="1">SUMIF([2]!COMPROMISOS_2024[[#All],[consecutivo]],Contrato5[[#This Row],[RCP]],[2]!COMPROMISOS_2024[[#All],[Total pagado]])</f>
        <v>#REF!</v>
      </c>
      <c r="AM664" s="154">
        <f ca="1">IFERROR(Contrato5[[#This Row],[Pagos]]/Contrato5[[#This Row],[VALOR CONTRATO]],0)</f>
        <v>0</v>
      </c>
      <c r="AN664" s="198" t="e">
        <f ca="1">+Contrato5[[#This Row],[VALOR CONTRATO]]-Contrato5[[#This Row],[Pagos]]</f>
        <v>#REF!</v>
      </c>
      <c r="AO664" s="147" t="e" cm="1">
        <f t="array" aca="1" ref="AO664" ca="1">_xlfn.XLOOKUP(Contrato5[[#This Row],[DOCUMENTO ]],[2]!PERSONAL_ACTIVO_2024[[#All],[Documento identidad]],[2]!PERSONAL_ACTIVO_2024[[#All],[Mail ]],0,0)</f>
        <v>#NAME?</v>
      </c>
      <c r="AP664" s="147" t="e" cm="1">
        <f t="array" aca="1" ref="AP664" ca="1">_xlfn.XLOOKUP(Contrato5[[#This Row],[DOCUMENTO]],[2]!PERSONAL_ACTIVO_2024[[#All],[Documento identidad]],[2]!PERSONAL_ACTIVO_2024[[#All],[Mail ]],0,0)</f>
        <v>#NAME?</v>
      </c>
      <c r="AQ664" s="439" cm="1">
        <f t="array" aca="1" ref="AQ664" ca="1">IF(ISBLANK(Contrato5[[#This Row],[DEPENDENCIA ]]),0,IFERROR(_xlfn.XLOOKUP(Contrato5[[#This Row],[DEPENDENCIA ]],[2]!PERSONAL_ACTIVO_2024[[#All],[Dependencia]],[2]!PERSONAL_ACTIVO_2024[[#All],[Mail ]],0,0),0))</f>
        <v>0</v>
      </c>
    </row>
    <row r="665" spans="1:43" ht="34.5" customHeight="1">
      <c r="A665" s="147">
        <v>929</v>
      </c>
      <c r="B665" s="124">
        <v>540</v>
      </c>
      <c r="C665" s="162" t="s">
        <v>1998</v>
      </c>
      <c r="D665" s="227" t="s">
        <v>583</v>
      </c>
      <c r="E665" s="440" t="s">
        <v>94</v>
      </c>
      <c r="F665" s="227" t="s">
        <v>1376</v>
      </c>
      <c r="G665" s="281" t="s">
        <v>2932</v>
      </c>
      <c r="H665" s="436">
        <v>1027945251</v>
      </c>
      <c r="I665" s="273">
        <v>6920169</v>
      </c>
      <c r="J665" s="437">
        <v>28142021</v>
      </c>
      <c r="K665" s="131" t="s">
        <v>42</v>
      </c>
      <c r="L665" s="438" t="s">
        <v>2855</v>
      </c>
      <c r="M665" s="194" t="s">
        <v>600</v>
      </c>
      <c r="N665" s="177" t="e" cm="1">
        <f t="array" aca="1" ref="N665" ca="1">_xlfn.XLOOKUP(Contrato5[[#This Row],[SUPERVISOR TITULAR]],[2]!PERSONAL_ACTIVO_2024[[#All],[Nombre completo]],[2]!PERSONAL_ACTIVO_2024[[#All],[Documento identidad]],"",0)</f>
        <v>#NAME?</v>
      </c>
      <c r="O665" s="194" t="s">
        <v>2495</v>
      </c>
      <c r="P665" s="196" t="e" cm="1">
        <f t="array" aca="1" ref="P665" ca="1">_xlfn.XLOOKUP(Contrato5[[#This Row],[SUPERVISOR SUPLENTE ]],[2]!PERSONAL_ACTIVO_2024[[#All],[Nombre completo]],[2]!PERSONAL_ACTIVO_2024[[#All],[Documento identidad]],"",0)</f>
        <v>#NAME?</v>
      </c>
      <c r="Q665" s="170">
        <v>764</v>
      </c>
      <c r="R665" s="137" t="e" cm="1">
        <f t="array" aca="1" ref="R665" ca="1">_xlfn.XLOOKUP(Contrato5[[#This Row],[CDP]],[2]!DISPONIBILIDADES_2024[[#All],[consecutivo]],[2]!DISPONIBILIDADES_2024[[#All],[fecha_aprobacion]],"",0)</f>
        <v>#NAME?</v>
      </c>
      <c r="S665" s="138" t="e">
        <f>SUMIF([2]!DISPONIBILIDADES_2024[[#All],[consecutivo]],Contrato5[[#This Row],[CDP]],[2]!DISPONIBILIDADES_2024[[#All],[valor_total_rubro]])</f>
        <v>#REF!</v>
      </c>
      <c r="T665" s="139" t="e" cm="1">
        <f t="array" aca="1" ref="T665" ca="1">_xlfn.XLOOKUP(Contrato5[[#This Row],[CONTRATO]]&amp;Contrato5[[#This Row],[CDP]],[2]!Corr_Contr_CDP[[#All],[CONTRATO-CDP]],[2]!Corr_Contr_CDP[[#All],[CRP]],_xlfn.XLOOKUP(Contrato5[[#This Row],[CDP]],[2]!COMPROMISOS_2024[[#All],[disponibilidad]],[2]!COMPROMISOS_2024[[#All],[consecutivo]],"",0),0)</f>
        <v>#NAME?</v>
      </c>
      <c r="U665" s="140" t="e" cm="1">
        <f t="array" aca="1" ref="U665" ca="1">+_xlfn.XLOOKUP(Contrato5[[#This Row],[RCP]],[2]!COMPROMISOS_2024[[#All],[consecutivo]],[2]!COMPROMISOS_2024[[#All],[fecha_aprobacion]],"",0)</f>
        <v>#NAME?</v>
      </c>
      <c r="V665" s="141" t="e">
        <f ca="1">SUMIF([2]!COMPROMISOS_2024[[#All],[consecutivo]],Contrato5[[#This Row],[RCP]],[2]!COMPROMISOS_2024[[#All],[valor_total]])</f>
        <v>#REF!</v>
      </c>
      <c r="W665" s="160">
        <v>45517</v>
      </c>
      <c r="X665" s="160" t="s">
        <v>1045</v>
      </c>
      <c r="Y665" s="143">
        <v>45520</v>
      </c>
      <c r="Z665" s="262">
        <v>45643</v>
      </c>
      <c r="AA665" s="171" t="s">
        <v>2870</v>
      </c>
      <c r="AB665" s="172" t="s">
        <v>2871</v>
      </c>
      <c r="AC665" s="172"/>
      <c r="AD665" s="425">
        <v>202000005105</v>
      </c>
      <c r="AE665" s="147" t="s">
        <v>523</v>
      </c>
      <c r="AF665" s="148" t="str">
        <f>TEXT(LEFT(Contrato5[[#This Row],[CONTRATO]],3),"0")</f>
        <v>540</v>
      </c>
      <c r="AG665" s="148" t="str">
        <f>IF(LEN(Contrato5[[#This Row],[Contrato2]])=3,Contrato5[[#This Row],[Contrato2]],TEXT(Contrato5[[#This Row],[Contrato2]],"000"))</f>
        <v>540</v>
      </c>
      <c r="AH665" s="149">
        <f ca="1">IFERROR(_xlfn.DAYS(Contrato5[[#This Row],[Fecha Proyectada liquidación]],TODAY())/30,"")</f>
        <v>0.16666666666666666</v>
      </c>
      <c r="AI665" s="150">
        <f>+Contrato5[[#This Row],[FECHA TERMINACIÓN ]]+120</f>
        <v>45763</v>
      </c>
      <c r="AJ665" s="147"/>
      <c r="AK665" s="152" t="str">
        <f ca="1">IF(Contrato5[[#This Row],[FECHA TERMINACIÓN ]]&lt;TODAY(), "Terminado",IF(ISNUMBER(Contrato5[[#This Row],[Fecha Real de liquiidación ]]),"Liquidado",IF(Contrato5[[#This Row],[FECHA TERMINACIÓN ]]&gt;=TODAY(),"En ejecución","")))</f>
        <v>Terminado</v>
      </c>
      <c r="AL665" s="153" t="e">
        <f ca="1">SUMIF([2]!COMPROMISOS_2024[[#All],[consecutivo]],Contrato5[[#This Row],[RCP]],[2]!COMPROMISOS_2024[[#All],[Total pagado]])</f>
        <v>#REF!</v>
      </c>
      <c r="AM665" s="154">
        <f ca="1">IFERROR(Contrato5[[#This Row],[Pagos]]/Contrato5[[#This Row],[VALOR CONTRATO]],0)</f>
        <v>0</v>
      </c>
      <c r="AN665" s="198" t="e">
        <f ca="1">+Contrato5[[#This Row],[VALOR CONTRATO]]-Contrato5[[#This Row],[Pagos]]</f>
        <v>#REF!</v>
      </c>
      <c r="AO665" s="147" t="e" cm="1">
        <f t="array" aca="1" ref="AO665" ca="1">_xlfn.XLOOKUP(Contrato5[[#This Row],[DOCUMENTO ]],[2]!PERSONAL_ACTIVO_2024[[#All],[Documento identidad]],[2]!PERSONAL_ACTIVO_2024[[#All],[Mail ]],0,0)</f>
        <v>#NAME?</v>
      </c>
      <c r="AP665" s="147" t="e" cm="1">
        <f t="array" aca="1" ref="AP665" ca="1">_xlfn.XLOOKUP(Contrato5[[#This Row],[DOCUMENTO]],[2]!PERSONAL_ACTIVO_2024[[#All],[Documento identidad]],[2]!PERSONAL_ACTIVO_2024[[#All],[Mail ]],0,0)</f>
        <v>#NAME?</v>
      </c>
      <c r="AQ665" s="439" cm="1">
        <f t="array" aca="1" ref="AQ665" ca="1">IF(ISBLANK(Contrato5[[#This Row],[DEPENDENCIA ]]),0,IFERROR(_xlfn.XLOOKUP(Contrato5[[#This Row],[DEPENDENCIA ]],[2]!PERSONAL_ACTIVO_2024[[#All],[Dependencia]],[2]!PERSONAL_ACTIVO_2024[[#All],[Mail ]],0,0),0))</f>
        <v>0</v>
      </c>
    </row>
    <row r="666" spans="1:43" ht="34.5" customHeight="1">
      <c r="A666" s="147">
        <v>930</v>
      </c>
      <c r="B666" s="124">
        <v>541</v>
      </c>
      <c r="C666" s="162" t="s">
        <v>1998</v>
      </c>
      <c r="D666" s="227" t="s">
        <v>583</v>
      </c>
      <c r="E666" s="440" t="s">
        <v>94</v>
      </c>
      <c r="F666" s="227" t="s">
        <v>1376</v>
      </c>
      <c r="G666" s="281" t="s">
        <v>2933</v>
      </c>
      <c r="H666" s="436">
        <v>8163337</v>
      </c>
      <c r="I666" s="273">
        <v>4908936</v>
      </c>
      <c r="J666" s="437">
        <v>19963006</v>
      </c>
      <c r="K666" s="131" t="s">
        <v>42</v>
      </c>
      <c r="L666" s="438" t="s">
        <v>2855</v>
      </c>
      <c r="M666" s="194" t="s">
        <v>600</v>
      </c>
      <c r="N666" s="177" t="e" cm="1">
        <f t="array" aca="1" ref="N666" ca="1">_xlfn.XLOOKUP(Contrato5[[#This Row],[SUPERVISOR TITULAR]],[2]!PERSONAL_ACTIVO_2024[[#All],[Nombre completo]],[2]!PERSONAL_ACTIVO_2024[[#All],[Documento identidad]],"",0)</f>
        <v>#NAME?</v>
      </c>
      <c r="O666" s="194" t="s">
        <v>2495</v>
      </c>
      <c r="P666" s="196" t="e" cm="1">
        <f t="array" aca="1" ref="P666" ca="1">_xlfn.XLOOKUP(Contrato5[[#This Row],[SUPERVISOR SUPLENTE ]],[2]!PERSONAL_ACTIVO_2024[[#All],[Nombre completo]],[2]!PERSONAL_ACTIVO_2024[[#All],[Documento identidad]],"",0)</f>
        <v>#NAME?</v>
      </c>
      <c r="Q666" s="170">
        <v>763</v>
      </c>
      <c r="R666" s="137" t="e" cm="1">
        <f t="array" aca="1" ref="R666" ca="1">_xlfn.XLOOKUP(Contrato5[[#This Row],[CDP]],[2]!DISPONIBILIDADES_2024[[#All],[consecutivo]],[2]!DISPONIBILIDADES_2024[[#All],[fecha_aprobacion]],"",0)</f>
        <v>#NAME?</v>
      </c>
      <c r="S666" s="138" t="e">
        <f>SUMIF([2]!DISPONIBILIDADES_2024[[#All],[consecutivo]],Contrato5[[#This Row],[CDP]],[2]!DISPONIBILIDADES_2024[[#All],[valor_total_rubro]])</f>
        <v>#REF!</v>
      </c>
      <c r="T666" s="139" t="e" cm="1">
        <f t="array" aca="1" ref="T666" ca="1">_xlfn.XLOOKUP(Contrato5[[#This Row],[CONTRATO]]&amp;Contrato5[[#This Row],[CDP]],[2]!Corr_Contr_CDP[[#All],[CONTRATO-CDP]],[2]!Corr_Contr_CDP[[#All],[CRP]],_xlfn.XLOOKUP(Contrato5[[#This Row],[CDP]],[2]!COMPROMISOS_2024[[#All],[disponibilidad]],[2]!COMPROMISOS_2024[[#All],[consecutivo]],"",0),0)</f>
        <v>#NAME?</v>
      </c>
      <c r="U666" s="140" t="e" cm="1">
        <f t="array" aca="1" ref="U666" ca="1">+_xlfn.XLOOKUP(Contrato5[[#This Row],[RCP]],[2]!COMPROMISOS_2024[[#All],[consecutivo]],[2]!COMPROMISOS_2024[[#All],[fecha_aprobacion]],"",0)</f>
        <v>#NAME?</v>
      </c>
      <c r="V666" s="141" t="e">
        <f ca="1">SUMIF([2]!COMPROMISOS_2024[[#All],[consecutivo]],Contrato5[[#This Row],[RCP]],[2]!COMPROMISOS_2024[[#All],[valor_total]])</f>
        <v>#REF!</v>
      </c>
      <c r="W666" s="160">
        <v>45516</v>
      </c>
      <c r="X666" s="160" t="s">
        <v>1045</v>
      </c>
      <c r="Y666" s="143">
        <v>45520</v>
      </c>
      <c r="Z666" s="262">
        <v>45643</v>
      </c>
      <c r="AA666" s="171" t="s">
        <v>2875</v>
      </c>
      <c r="AB666" s="172" t="s">
        <v>2871</v>
      </c>
      <c r="AC666" s="172"/>
      <c r="AD666" s="425">
        <v>202000005107</v>
      </c>
      <c r="AE666" s="147" t="s">
        <v>523</v>
      </c>
      <c r="AF666" s="148" t="str">
        <f>TEXT(LEFT(Contrato5[[#This Row],[CONTRATO]],3),"0")</f>
        <v>541</v>
      </c>
      <c r="AG666" s="148" t="str">
        <f>IF(LEN(Contrato5[[#This Row],[Contrato2]])=3,Contrato5[[#This Row],[Contrato2]],TEXT(Contrato5[[#This Row],[Contrato2]],"000"))</f>
        <v>541</v>
      </c>
      <c r="AH666" s="149">
        <f ca="1">IFERROR(_xlfn.DAYS(Contrato5[[#This Row],[Fecha Proyectada liquidación]],TODAY())/30,"")</f>
        <v>0.16666666666666666</v>
      </c>
      <c r="AI666" s="150">
        <f>+Contrato5[[#This Row],[FECHA TERMINACIÓN ]]+120</f>
        <v>45763</v>
      </c>
      <c r="AJ666" s="147"/>
      <c r="AK666" s="152" t="str">
        <f ca="1">IF(Contrato5[[#This Row],[FECHA TERMINACIÓN ]]&lt;TODAY(), "Terminado",IF(ISNUMBER(Contrato5[[#This Row],[Fecha Real de liquiidación ]]),"Liquidado",IF(Contrato5[[#This Row],[FECHA TERMINACIÓN ]]&gt;=TODAY(),"En ejecución","")))</f>
        <v>Terminado</v>
      </c>
      <c r="AL666" s="153" t="e">
        <f ca="1">SUMIF([2]!COMPROMISOS_2024[[#All],[consecutivo]],Contrato5[[#This Row],[RCP]],[2]!COMPROMISOS_2024[[#All],[Total pagado]])</f>
        <v>#REF!</v>
      </c>
      <c r="AM666" s="154">
        <f ca="1">IFERROR(Contrato5[[#This Row],[Pagos]]/Contrato5[[#This Row],[VALOR CONTRATO]],0)</f>
        <v>0</v>
      </c>
      <c r="AN666" s="198" t="e">
        <f ca="1">+Contrato5[[#This Row],[VALOR CONTRATO]]-Contrato5[[#This Row],[Pagos]]</f>
        <v>#REF!</v>
      </c>
      <c r="AO666" s="147" t="e" cm="1">
        <f t="array" aca="1" ref="AO666" ca="1">_xlfn.XLOOKUP(Contrato5[[#This Row],[DOCUMENTO ]],[2]!PERSONAL_ACTIVO_2024[[#All],[Documento identidad]],[2]!PERSONAL_ACTIVO_2024[[#All],[Mail ]],0,0)</f>
        <v>#NAME?</v>
      </c>
      <c r="AP666" s="147" t="e" cm="1">
        <f t="array" aca="1" ref="AP666" ca="1">_xlfn.XLOOKUP(Contrato5[[#This Row],[DOCUMENTO]],[2]!PERSONAL_ACTIVO_2024[[#All],[Documento identidad]],[2]!PERSONAL_ACTIVO_2024[[#All],[Mail ]],0,0)</f>
        <v>#NAME?</v>
      </c>
      <c r="AQ666" s="439" cm="1">
        <f t="array" aca="1" ref="AQ666" ca="1">IF(ISBLANK(Contrato5[[#This Row],[DEPENDENCIA ]]),0,IFERROR(_xlfn.XLOOKUP(Contrato5[[#This Row],[DEPENDENCIA ]],[2]!PERSONAL_ACTIVO_2024[[#All],[Dependencia]],[2]!PERSONAL_ACTIVO_2024[[#All],[Mail ]],0,0),0))</f>
        <v>0</v>
      </c>
    </row>
    <row r="667" spans="1:43" ht="34.5" customHeight="1">
      <c r="A667" s="147">
        <v>931</v>
      </c>
      <c r="B667" s="124">
        <v>542</v>
      </c>
      <c r="C667" s="162" t="s">
        <v>1999</v>
      </c>
      <c r="D667" s="227" t="s">
        <v>583</v>
      </c>
      <c r="E667" s="440" t="s">
        <v>94</v>
      </c>
      <c r="F667" s="227" t="s">
        <v>1376</v>
      </c>
      <c r="G667" s="281" t="s">
        <v>2934</v>
      </c>
      <c r="H667" s="436">
        <v>43811085</v>
      </c>
      <c r="I667" s="273">
        <v>5931149</v>
      </c>
      <c r="J667" s="437">
        <v>24120006</v>
      </c>
      <c r="K667" s="131" t="s">
        <v>42</v>
      </c>
      <c r="L667" s="438" t="s">
        <v>2855</v>
      </c>
      <c r="M667" s="194" t="s">
        <v>600</v>
      </c>
      <c r="N667" s="177" t="e" cm="1">
        <f t="array" aca="1" ref="N667" ca="1">_xlfn.XLOOKUP(Contrato5[[#This Row],[SUPERVISOR TITULAR]],[2]!PERSONAL_ACTIVO_2024[[#All],[Nombre completo]],[2]!PERSONAL_ACTIVO_2024[[#All],[Documento identidad]],"",0)</f>
        <v>#NAME?</v>
      </c>
      <c r="O667" s="194" t="s">
        <v>2495</v>
      </c>
      <c r="P667" s="196" t="e" cm="1">
        <f t="array" aca="1" ref="P667" ca="1">_xlfn.XLOOKUP(Contrato5[[#This Row],[SUPERVISOR SUPLENTE ]],[2]!PERSONAL_ACTIVO_2024[[#All],[Nombre completo]],[2]!PERSONAL_ACTIVO_2024[[#All],[Documento identidad]],"",0)</f>
        <v>#NAME?</v>
      </c>
      <c r="Q667" s="170">
        <v>762</v>
      </c>
      <c r="R667" s="137" t="e" cm="1">
        <f t="array" aca="1" ref="R667" ca="1">_xlfn.XLOOKUP(Contrato5[[#This Row],[CDP]],[2]!DISPONIBILIDADES_2024[[#All],[consecutivo]],[2]!DISPONIBILIDADES_2024[[#All],[fecha_aprobacion]],"",0)</f>
        <v>#NAME?</v>
      </c>
      <c r="S667" s="138" t="e">
        <f>SUMIF([2]!DISPONIBILIDADES_2024[[#All],[consecutivo]],Contrato5[[#This Row],[CDP]],[2]!DISPONIBILIDADES_2024[[#All],[valor_total_rubro]])</f>
        <v>#REF!</v>
      </c>
      <c r="T667" s="139" t="e" cm="1">
        <f t="array" aca="1" ref="T667" ca="1">_xlfn.XLOOKUP(Contrato5[[#This Row],[CONTRATO]]&amp;Contrato5[[#This Row],[CDP]],[2]!Corr_Contr_CDP[[#All],[CONTRATO-CDP]],[2]!Corr_Contr_CDP[[#All],[CRP]],_xlfn.XLOOKUP(Contrato5[[#This Row],[CDP]],[2]!COMPROMISOS_2024[[#All],[disponibilidad]],[2]!COMPROMISOS_2024[[#All],[consecutivo]],"",0),0)</f>
        <v>#NAME?</v>
      </c>
      <c r="U667" s="140" t="e" cm="1">
        <f t="array" aca="1" ref="U667" ca="1">+_xlfn.XLOOKUP(Contrato5[[#This Row],[RCP]],[2]!COMPROMISOS_2024[[#All],[consecutivo]],[2]!COMPROMISOS_2024[[#All],[fecha_aprobacion]],"",0)</f>
        <v>#NAME?</v>
      </c>
      <c r="V667" s="141" t="e">
        <f ca="1">SUMIF([2]!COMPROMISOS_2024[[#All],[consecutivo]],Contrato5[[#This Row],[RCP]],[2]!COMPROMISOS_2024[[#All],[valor_total]])</f>
        <v>#REF!</v>
      </c>
      <c r="W667" s="160">
        <v>45516</v>
      </c>
      <c r="X667" s="160" t="s">
        <v>1045</v>
      </c>
      <c r="Y667" s="143">
        <v>45520</v>
      </c>
      <c r="Z667" s="262">
        <v>45643</v>
      </c>
      <c r="AA667" s="171" t="s">
        <v>2875</v>
      </c>
      <c r="AB667" s="172" t="s">
        <v>2871</v>
      </c>
      <c r="AC667" s="172"/>
      <c r="AD667" s="425">
        <v>202000005108</v>
      </c>
      <c r="AE667" s="147" t="s">
        <v>523</v>
      </c>
      <c r="AF667" s="148" t="str">
        <f>TEXT(LEFT(Contrato5[[#This Row],[CONTRATO]],3),"0")</f>
        <v>542</v>
      </c>
      <c r="AG667" s="148" t="str">
        <f>IF(LEN(Contrato5[[#This Row],[Contrato2]])=3,Contrato5[[#This Row],[Contrato2]],TEXT(Contrato5[[#This Row],[Contrato2]],"000"))</f>
        <v>542</v>
      </c>
      <c r="AH667" s="149">
        <f ca="1">IFERROR(_xlfn.DAYS(Contrato5[[#This Row],[Fecha Proyectada liquidación]],TODAY())/30,"")</f>
        <v>0.16666666666666666</v>
      </c>
      <c r="AI667" s="150">
        <f>+Contrato5[[#This Row],[FECHA TERMINACIÓN ]]+120</f>
        <v>45763</v>
      </c>
      <c r="AJ667" s="147"/>
      <c r="AK667" s="152" t="str">
        <f ca="1">IF(Contrato5[[#This Row],[FECHA TERMINACIÓN ]]&lt;TODAY(), "Terminado",IF(ISNUMBER(Contrato5[[#This Row],[Fecha Real de liquiidación ]]),"Liquidado",IF(Contrato5[[#This Row],[FECHA TERMINACIÓN ]]&gt;=TODAY(),"En ejecución","")))</f>
        <v>Terminado</v>
      </c>
      <c r="AL667" s="153" t="e">
        <f ca="1">SUMIF([2]!COMPROMISOS_2024[[#All],[consecutivo]],Contrato5[[#This Row],[RCP]],[2]!COMPROMISOS_2024[[#All],[Total pagado]])</f>
        <v>#REF!</v>
      </c>
      <c r="AM667" s="154">
        <f ca="1">IFERROR(Contrato5[[#This Row],[Pagos]]/Contrato5[[#This Row],[VALOR CONTRATO]],0)</f>
        <v>0</v>
      </c>
      <c r="AN667" s="198" t="e">
        <f ca="1">+Contrato5[[#This Row],[VALOR CONTRATO]]-Contrato5[[#This Row],[Pagos]]</f>
        <v>#REF!</v>
      </c>
      <c r="AO667" s="147" t="e" cm="1">
        <f t="array" aca="1" ref="AO667" ca="1">_xlfn.XLOOKUP(Contrato5[[#This Row],[DOCUMENTO ]],[2]!PERSONAL_ACTIVO_2024[[#All],[Documento identidad]],[2]!PERSONAL_ACTIVO_2024[[#All],[Mail ]],0,0)</f>
        <v>#NAME?</v>
      </c>
      <c r="AP667" s="147" t="e" cm="1">
        <f t="array" aca="1" ref="AP667" ca="1">_xlfn.XLOOKUP(Contrato5[[#This Row],[DOCUMENTO]],[2]!PERSONAL_ACTIVO_2024[[#All],[Documento identidad]],[2]!PERSONAL_ACTIVO_2024[[#All],[Mail ]],0,0)</f>
        <v>#NAME?</v>
      </c>
      <c r="AQ667" s="439" cm="1">
        <f t="array" aca="1" ref="AQ667" ca="1">IF(ISBLANK(Contrato5[[#This Row],[DEPENDENCIA ]]),0,IFERROR(_xlfn.XLOOKUP(Contrato5[[#This Row],[DEPENDENCIA ]],[2]!PERSONAL_ACTIVO_2024[[#All],[Dependencia]],[2]!PERSONAL_ACTIVO_2024[[#All],[Mail ]],0,0),0))</f>
        <v>0</v>
      </c>
    </row>
    <row r="668" spans="1:43" ht="34.5" customHeight="1">
      <c r="A668" s="147">
        <v>932</v>
      </c>
      <c r="B668" s="124">
        <v>543</v>
      </c>
      <c r="C668" s="162" t="s">
        <v>2000</v>
      </c>
      <c r="D668" s="227" t="s">
        <v>583</v>
      </c>
      <c r="E668" s="440" t="s">
        <v>94</v>
      </c>
      <c r="F668" s="227" t="s">
        <v>1376</v>
      </c>
      <c r="G668" s="281" t="s">
        <v>2935</v>
      </c>
      <c r="H668" s="436">
        <v>1128420951</v>
      </c>
      <c r="I668" s="273">
        <v>3952382</v>
      </c>
      <c r="J668" s="437">
        <v>16073020</v>
      </c>
      <c r="K668" s="131" t="s">
        <v>42</v>
      </c>
      <c r="L668" s="438" t="s">
        <v>2855</v>
      </c>
      <c r="M668" s="194" t="s">
        <v>586</v>
      </c>
      <c r="N668" s="177" t="e" cm="1">
        <f t="array" aca="1" ref="N668" ca="1">_xlfn.XLOOKUP(Contrato5[[#This Row],[SUPERVISOR TITULAR]],[2]!PERSONAL_ACTIVO_2024[[#All],[Nombre completo]],[2]!PERSONAL_ACTIVO_2024[[#All],[Documento identidad]],"",0)</f>
        <v>#NAME?</v>
      </c>
      <c r="O668" s="194" t="s">
        <v>589</v>
      </c>
      <c r="P668" s="196" t="e" cm="1">
        <f t="array" aca="1" ref="P668" ca="1">_xlfn.XLOOKUP(Contrato5[[#This Row],[SUPERVISOR SUPLENTE ]],[2]!PERSONAL_ACTIVO_2024[[#All],[Nombre completo]],[2]!PERSONAL_ACTIVO_2024[[#All],[Documento identidad]],"",0)</f>
        <v>#NAME?</v>
      </c>
      <c r="Q668" s="170">
        <v>712</v>
      </c>
      <c r="R668" s="137" t="e" cm="1">
        <f t="array" aca="1" ref="R668" ca="1">_xlfn.XLOOKUP(Contrato5[[#This Row],[CDP]],[2]!DISPONIBILIDADES_2024[[#All],[consecutivo]],[2]!DISPONIBILIDADES_2024[[#All],[fecha_aprobacion]],"",0)</f>
        <v>#NAME?</v>
      </c>
      <c r="S668" s="138" t="e">
        <f>SUMIF([2]!DISPONIBILIDADES_2024[[#All],[consecutivo]],Contrato5[[#This Row],[CDP]],[2]!DISPONIBILIDADES_2024[[#All],[valor_total_rubro]])</f>
        <v>#REF!</v>
      </c>
      <c r="T668" s="139" t="e" cm="1">
        <f t="array" aca="1" ref="T668" ca="1">_xlfn.XLOOKUP(Contrato5[[#This Row],[CONTRATO]]&amp;Contrato5[[#This Row],[CDP]],[2]!Corr_Contr_CDP[[#All],[CONTRATO-CDP]],[2]!Corr_Contr_CDP[[#All],[CRP]],_xlfn.XLOOKUP(Contrato5[[#This Row],[CDP]],[2]!COMPROMISOS_2024[[#All],[disponibilidad]],[2]!COMPROMISOS_2024[[#All],[consecutivo]],"",0),0)</f>
        <v>#NAME?</v>
      </c>
      <c r="U668" s="140" t="e" cm="1">
        <f t="array" aca="1" ref="U668" ca="1">+_xlfn.XLOOKUP(Contrato5[[#This Row],[RCP]],[2]!COMPROMISOS_2024[[#All],[consecutivo]],[2]!COMPROMISOS_2024[[#All],[fecha_aprobacion]],"",0)</f>
        <v>#NAME?</v>
      </c>
      <c r="V668" s="141" t="e">
        <f ca="1">SUMIF([2]!COMPROMISOS_2024[[#All],[consecutivo]],Contrato5[[#This Row],[RCP]],[2]!COMPROMISOS_2024[[#All],[valor_total]])</f>
        <v>#REF!</v>
      </c>
      <c r="W668" s="160">
        <v>45516</v>
      </c>
      <c r="X668" s="160" t="s">
        <v>1045</v>
      </c>
      <c r="Y668" s="143">
        <v>45520</v>
      </c>
      <c r="Z668" s="262">
        <v>45643</v>
      </c>
      <c r="AA668" s="171" t="s">
        <v>2873</v>
      </c>
      <c r="AB668" s="172" t="s">
        <v>2871</v>
      </c>
      <c r="AC668" s="172"/>
      <c r="AD668" s="425">
        <v>202000005109</v>
      </c>
      <c r="AE668" s="147" t="s">
        <v>523</v>
      </c>
      <c r="AF668" s="148" t="str">
        <f>TEXT(LEFT(Contrato5[[#This Row],[CONTRATO]],3),"0")</f>
        <v>543</v>
      </c>
      <c r="AG668" s="148" t="str">
        <f>IF(LEN(Contrato5[[#This Row],[Contrato2]])=3,Contrato5[[#This Row],[Contrato2]],TEXT(Contrato5[[#This Row],[Contrato2]],"000"))</f>
        <v>543</v>
      </c>
      <c r="AH668" s="149">
        <f ca="1">IFERROR(_xlfn.DAYS(Contrato5[[#This Row],[Fecha Proyectada liquidación]],TODAY())/30,"")</f>
        <v>0.16666666666666666</v>
      </c>
      <c r="AI668" s="150">
        <f>+Contrato5[[#This Row],[FECHA TERMINACIÓN ]]+120</f>
        <v>45763</v>
      </c>
      <c r="AJ668" s="147"/>
      <c r="AK668" s="152" t="str">
        <f ca="1">IF(Contrato5[[#This Row],[FECHA TERMINACIÓN ]]&lt;TODAY(), "Terminado",IF(ISNUMBER(Contrato5[[#This Row],[Fecha Real de liquiidación ]]),"Liquidado",IF(Contrato5[[#This Row],[FECHA TERMINACIÓN ]]&gt;=TODAY(),"En ejecución","")))</f>
        <v>Terminado</v>
      </c>
      <c r="AL668" s="153" t="e">
        <f ca="1">SUMIF([2]!COMPROMISOS_2024[[#All],[consecutivo]],Contrato5[[#This Row],[RCP]],[2]!COMPROMISOS_2024[[#All],[Total pagado]])</f>
        <v>#REF!</v>
      </c>
      <c r="AM668" s="154">
        <f ca="1">IFERROR(Contrato5[[#This Row],[Pagos]]/Contrato5[[#This Row],[VALOR CONTRATO]],0)</f>
        <v>0</v>
      </c>
      <c r="AN668" s="198" t="e">
        <f ca="1">+Contrato5[[#This Row],[VALOR CONTRATO]]-Contrato5[[#This Row],[Pagos]]</f>
        <v>#REF!</v>
      </c>
      <c r="AO668" s="147" t="e" cm="1">
        <f t="array" aca="1" ref="AO668" ca="1">_xlfn.XLOOKUP(Contrato5[[#This Row],[DOCUMENTO ]],[2]!PERSONAL_ACTIVO_2024[[#All],[Documento identidad]],[2]!PERSONAL_ACTIVO_2024[[#All],[Mail ]],0,0)</f>
        <v>#NAME?</v>
      </c>
      <c r="AP668" s="147" t="e" cm="1">
        <f t="array" aca="1" ref="AP668" ca="1">_xlfn.XLOOKUP(Contrato5[[#This Row],[DOCUMENTO]],[2]!PERSONAL_ACTIVO_2024[[#All],[Documento identidad]],[2]!PERSONAL_ACTIVO_2024[[#All],[Mail ]],0,0)</f>
        <v>#NAME?</v>
      </c>
      <c r="AQ668" s="439" cm="1">
        <f t="array" aca="1" ref="AQ668" ca="1">IF(ISBLANK(Contrato5[[#This Row],[DEPENDENCIA ]]),0,IFERROR(_xlfn.XLOOKUP(Contrato5[[#This Row],[DEPENDENCIA ]],[2]!PERSONAL_ACTIVO_2024[[#All],[Dependencia]],[2]!PERSONAL_ACTIVO_2024[[#All],[Mail ]],0,0),0))</f>
        <v>0</v>
      </c>
    </row>
    <row r="669" spans="1:43" ht="34.5" customHeight="1">
      <c r="A669" s="147">
        <v>933</v>
      </c>
      <c r="B669" s="124">
        <v>544</v>
      </c>
      <c r="C669" s="162" t="s">
        <v>1634</v>
      </c>
      <c r="D669" s="227" t="s">
        <v>583</v>
      </c>
      <c r="E669" s="440" t="s">
        <v>94</v>
      </c>
      <c r="F669" s="227" t="s">
        <v>1376</v>
      </c>
      <c r="G669" s="281" t="s">
        <v>743</v>
      </c>
      <c r="H669" s="436">
        <v>15483073</v>
      </c>
      <c r="I669" s="273">
        <v>5931149</v>
      </c>
      <c r="J669" s="437">
        <v>24120006</v>
      </c>
      <c r="K669" s="131" t="s">
        <v>42</v>
      </c>
      <c r="L669" s="438" t="s">
        <v>2855</v>
      </c>
      <c r="M669" s="194" t="s">
        <v>600</v>
      </c>
      <c r="N669" s="177" t="e" cm="1">
        <f t="array" aca="1" ref="N669" ca="1">_xlfn.XLOOKUP(Contrato5[[#This Row],[SUPERVISOR TITULAR]],[2]!PERSONAL_ACTIVO_2024[[#All],[Nombre completo]],[2]!PERSONAL_ACTIVO_2024[[#All],[Documento identidad]],"",0)</f>
        <v>#NAME?</v>
      </c>
      <c r="O669" s="194" t="s">
        <v>2495</v>
      </c>
      <c r="P669" s="196" t="e" cm="1">
        <f t="array" aca="1" ref="P669" ca="1">_xlfn.XLOOKUP(Contrato5[[#This Row],[SUPERVISOR SUPLENTE ]],[2]!PERSONAL_ACTIVO_2024[[#All],[Nombre completo]],[2]!PERSONAL_ACTIVO_2024[[#All],[Documento identidad]],"",0)</f>
        <v>#NAME?</v>
      </c>
      <c r="Q669" s="170">
        <v>711</v>
      </c>
      <c r="R669" s="137" t="e" cm="1">
        <f t="array" aca="1" ref="R669" ca="1">_xlfn.XLOOKUP(Contrato5[[#This Row],[CDP]],[2]!DISPONIBILIDADES_2024[[#All],[consecutivo]],[2]!DISPONIBILIDADES_2024[[#All],[fecha_aprobacion]],"",0)</f>
        <v>#NAME?</v>
      </c>
      <c r="S669" s="138" t="e">
        <f>SUMIF([2]!DISPONIBILIDADES_2024[[#All],[consecutivo]],Contrato5[[#This Row],[CDP]],[2]!DISPONIBILIDADES_2024[[#All],[valor_total_rubro]])</f>
        <v>#REF!</v>
      </c>
      <c r="T669" s="139" t="e" cm="1">
        <f t="array" aca="1" ref="T669" ca="1">_xlfn.XLOOKUP(Contrato5[[#This Row],[CONTRATO]]&amp;Contrato5[[#This Row],[CDP]],[2]!Corr_Contr_CDP[[#All],[CONTRATO-CDP]],[2]!Corr_Contr_CDP[[#All],[CRP]],_xlfn.XLOOKUP(Contrato5[[#This Row],[CDP]],[2]!COMPROMISOS_2024[[#All],[disponibilidad]],[2]!COMPROMISOS_2024[[#All],[consecutivo]],"",0),0)</f>
        <v>#NAME?</v>
      </c>
      <c r="U669" s="140" t="e" cm="1">
        <f t="array" aca="1" ref="U669" ca="1">+_xlfn.XLOOKUP(Contrato5[[#This Row],[RCP]],[2]!COMPROMISOS_2024[[#All],[consecutivo]],[2]!COMPROMISOS_2024[[#All],[fecha_aprobacion]],"",0)</f>
        <v>#NAME?</v>
      </c>
      <c r="V669" s="141" t="e">
        <f ca="1">SUMIF([2]!COMPROMISOS_2024[[#All],[consecutivo]],Contrato5[[#This Row],[RCP]],[2]!COMPROMISOS_2024[[#All],[valor_total]])</f>
        <v>#REF!</v>
      </c>
      <c r="W669" s="160">
        <v>45516</v>
      </c>
      <c r="X669" s="160" t="s">
        <v>1045</v>
      </c>
      <c r="Y669" s="143">
        <v>45520</v>
      </c>
      <c r="Z669" s="262">
        <v>45643</v>
      </c>
      <c r="AA669" s="171" t="s">
        <v>2877</v>
      </c>
      <c r="AB669" s="172" t="s">
        <v>2871</v>
      </c>
      <c r="AC669" s="172"/>
      <c r="AD669" s="425">
        <v>202000005110</v>
      </c>
      <c r="AE669" s="147" t="s">
        <v>523</v>
      </c>
      <c r="AF669" s="148" t="str">
        <f>TEXT(LEFT(Contrato5[[#This Row],[CONTRATO]],3),"0")</f>
        <v>544</v>
      </c>
      <c r="AG669" s="148" t="str">
        <f>IF(LEN(Contrato5[[#This Row],[Contrato2]])=3,Contrato5[[#This Row],[Contrato2]],TEXT(Contrato5[[#This Row],[Contrato2]],"000"))</f>
        <v>544</v>
      </c>
      <c r="AH669" s="149">
        <f ca="1">IFERROR(_xlfn.DAYS(Contrato5[[#This Row],[Fecha Proyectada liquidación]],TODAY())/30,"")</f>
        <v>0.16666666666666666</v>
      </c>
      <c r="AI669" s="150">
        <f>+Contrato5[[#This Row],[FECHA TERMINACIÓN ]]+120</f>
        <v>45763</v>
      </c>
      <c r="AJ669" s="147"/>
      <c r="AK669" s="152" t="str">
        <f ca="1">IF(Contrato5[[#This Row],[FECHA TERMINACIÓN ]]&lt;TODAY(), "Terminado",IF(ISNUMBER(Contrato5[[#This Row],[Fecha Real de liquiidación ]]),"Liquidado",IF(Contrato5[[#This Row],[FECHA TERMINACIÓN ]]&gt;=TODAY(),"En ejecución","")))</f>
        <v>Terminado</v>
      </c>
      <c r="AL669" s="153" t="e">
        <f ca="1">SUMIF([2]!COMPROMISOS_2024[[#All],[consecutivo]],Contrato5[[#This Row],[RCP]],[2]!COMPROMISOS_2024[[#All],[Total pagado]])</f>
        <v>#REF!</v>
      </c>
      <c r="AM669" s="154">
        <f ca="1">IFERROR(Contrato5[[#This Row],[Pagos]]/Contrato5[[#This Row],[VALOR CONTRATO]],0)</f>
        <v>0</v>
      </c>
      <c r="AN669" s="198" t="e">
        <f ca="1">+Contrato5[[#This Row],[VALOR CONTRATO]]-Contrato5[[#This Row],[Pagos]]</f>
        <v>#REF!</v>
      </c>
      <c r="AO669" s="147" t="e" cm="1">
        <f t="array" aca="1" ref="AO669" ca="1">_xlfn.XLOOKUP(Contrato5[[#This Row],[DOCUMENTO ]],[2]!PERSONAL_ACTIVO_2024[[#All],[Documento identidad]],[2]!PERSONAL_ACTIVO_2024[[#All],[Mail ]],0,0)</f>
        <v>#NAME?</v>
      </c>
      <c r="AP669" s="147" t="e" cm="1">
        <f t="array" aca="1" ref="AP669" ca="1">_xlfn.XLOOKUP(Contrato5[[#This Row],[DOCUMENTO]],[2]!PERSONAL_ACTIVO_2024[[#All],[Documento identidad]],[2]!PERSONAL_ACTIVO_2024[[#All],[Mail ]],0,0)</f>
        <v>#NAME?</v>
      </c>
      <c r="AQ669" s="439" cm="1">
        <f t="array" aca="1" ref="AQ669" ca="1">IF(ISBLANK(Contrato5[[#This Row],[DEPENDENCIA ]]),0,IFERROR(_xlfn.XLOOKUP(Contrato5[[#This Row],[DEPENDENCIA ]],[2]!PERSONAL_ACTIVO_2024[[#All],[Dependencia]],[2]!PERSONAL_ACTIVO_2024[[#All],[Mail ]],0,0),0))</f>
        <v>0</v>
      </c>
    </row>
    <row r="670" spans="1:43" ht="34.5" customHeight="1">
      <c r="A670" s="147">
        <v>934</v>
      </c>
      <c r="B670" s="124">
        <v>545</v>
      </c>
      <c r="C670" s="162" t="s">
        <v>1634</v>
      </c>
      <c r="D670" s="227" t="s">
        <v>583</v>
      </c>
      <c r="E670" s="440" t="s">
        <v>94</v>
      </c>
      <c r="F670" s="227" t="s">
        <v>1376</v>
      </c>
      <c r="G670" s="281" t="s">
        <v>2936</v>
      </c>
      <c r="H670" s="436">
        <v>98632774</v>
      </c>
      <c r="I670" s="273">
        <v>4908936</v>
      </c>
      <c r="J670" s="437">
        <v>19963006</v>
      </c>
      <c r="K670" s="131" t="s">
        <v>42</v>
      </c>
      <c r="L670" s="438" t="s">
        <v>2855</v>
      </c>
      <c r="M670" s="194" t="s">
        <v>600</v>
      </c>
      <c r="N670" s="177" t="e" cm="1">
        <f t="array" aca="1" ref="N670" ca="1">_xlfn.XLOOKUP(Contrato5[[#This Row],[SUPERVISOR TITULAR]],[2]!PERSONAL_ACTIVO_2024[[#All],[Nombre completo]],[2]!PERSONAL_ACTIVO_2024[[#All],[Documento identidad]],"",0)</f>
        <v>#NAME?</v>
      </c>
      <c r="O670" s="194" t="s">
        <v>2495</v>
      </c>
      <c r="P670" s="196" t="e" cm="1">
        <f t="array" aca="1" ref="P670" ca="1">_xlfn.XLOOKUP(Contrato5[[#This Row],[SUPERVISOR SUPLENTE ]],[2]!PERSONAL_ACTIVO_2024[[#All],[Nombre completo]],[2]!PERSONAL_ACTIVO_2024[[#All],[Documento identidad]],"",0)</f>
        <v>#NAME?</v>
      </c>
      <c r="Q670" s="170">
        <v>710</v>
      </c>
      <c r="R670" s="137" t="e" cm="1">
        <f t="array" aca="1" ref="R670" ca="1">_xlfn.XLOOKUP(Contrato5[[#This Row],[CDP]],[2]!DISPONIBILIDADES_2024[[#All],[consecutivo]],[2]!DISPONIBILIDADES_2024[[#All],[fecha_aprobacion]],"",0)</f>
        <v>#NAME?</v>
      </c>
      <c r="S670" s="138" t="e">
        <f>SUMIF([2]!DISPONIBILIDADES_2024[[#All],[consecutivo]],Contrato5[[#This Row],[CDP]],[2]!DISPONIBILIDADES_2024[[#All],[valor_total_rubro]])</f>
        <v>#REF!</v>
      </c>
      <c r="T670" s="139" t="e" cm="1">
        <f t="array" aca="1" ref="T670" ca="1">_xlfn.XLOOKUP(Contrato5[[#This Row],[CONTRATO]]&amp;Contrato5[[#This Row],[CDP]],[2]!Corr_Contr_CDP[[#All],[CONTRATO-CDP]],[2]!Corr_Contr_CDP[[#All],[CRP]],_xlfn.XLOOKUP(Contrato5[[#This Row],[CDP]],[2]!COMPROMISOS_2024[[#All],[disponibilidad]],[2]!COMPROMISOS_2024[[#All],[consecutivo]],"",0),0)</f>
        <v>#NAME?</v>
      </c>
      <c r="U670" s="140" t="e" cm="1">
        <f t="array" aca="1" ref="U670" ca="1">+_xlfn.XLOOKUP(Contrato5[[#This Row],[RCP]],[2]!COMPROMISOS_2024[[#All],[consecutivo]],[2]!COMPROMISOS_2024[[#All],[fecha_aprobacion]],"",0)</f>
        <v>#NAME?</v>
      </c>
      <c r="V670" s="141" t="e">
        <f ca="1">SUMIF([2]!COMPROMISOS_2024[[#All],[consecutivo]],Contrato5[[#This Row],[RCP]],[2]!COMPROMISOS_2024[[#All],[valor_total]])</f>
        <v>#REF!</v>
      </c>
      <c r="W670" s="160">
        <v>45516</v>
      </c>
      <c r="X670" s="160" t="s">
        <v>1045</v>
      </c>
      <c r="Y670" s="143">
        <v>45520</v>
      </c>
      <c r="Z670" s="262">
        <v>45643</v>
      </c>
      <c r="AA670" s="171" t="s">
        <v>2875</v>
      </c>
      <c r="AB670" s="172" t="s">
        <v>2871</v>
      </c>
      <c r="AC670" s="172"/>
      <c r="AD670" s="425">
        <v>202000005111</v>
      </c>
      <c r="AE670" s="147" t="s">
        <v>523</v>
      </c>
      <c r="AF670" s="148" t="str">
        <f>TEXT(LEFT(Contrato5[[#This Row],[CONTRATO]],3),"0")</f>
        <v>545</v>
      </c>
      <c r="AG670" s="148" t="str">
        <f>IF(LEN(Contrato5[[#This Row],[Contrato2]])=3,Contrato5[[#This Row],[Contrato2]],TEXT(Contrato5[[#This Row],[Contrato2]],"000"))</f>
        <v>545</v>
      </c>
      <c r="AH670" s="149">
        <f ca="1">IFERROR(_xlfn.DAYS(Contrato5[[#This Row],[Fecha Proyectada liquidación]],TODAY())/30,"")</f>
        <v>0.16666666666666666</v>
      </c>
      <c r="AI670" s="150">
        <f>+Contrato5[[#This Row],[FECHA TERMINACIÓN ]]+120</f>
        <v>45763</v>
      </c>
      <c r="AJ670" s="147"/>
      <c r="AK670" s="152" t="str">
        <f ca="1">IF(Contrato5[[#This Row],[FECHA TERMINACIÓN ]]&lt;TODAY(), "Terminado",IF(ISNUMBER(Contrato5[[#This Row],[Fecha Real de liquiidación ]]),"Liquidado",IF(Contrato5[[#This Row],[FECHA TERMINACIÓN ]]&gt;=TODAY(),"En ejecución","")))</f>
        <v>Terminado</v>
      </c>
      <c r="AL670" s="153" t="e">
        <f ca="1">SUMIF([2]!COMPROMISOS_2024[[#All],[consecutivo]],Contrato5[[#This Row],[RCP]],[2]!COMPROMISOS_2024[[#All],[Total pagado]])</f>
        <v>#REF!</v>
      </c>
      <c r="AM670" s="154">
        <f ca="1">IFERROR(Contrato5[[#This Row],[Pagos]]/Contrato5[[#This Row],[VALOR CONTRATO]],0)</f>
        <v>0</v>
      </c>
      <c r="AN670" s="198" t="e">
        <f ca="1">+Contrato5[[#This Row],[VALOR CONTRATO]]-Contrato5[[#This Row],[Pagos]]</f>
        <v>#REF!</v>
      </c>
      <c r="AO670" s="147" t="e" cm="1">
        <f t="array" aca="1" ref="AO670" ca="1">_xlfn.XLOOKUP(Contrato5[[#This Row],[DOCUMENTO ]],[2]!PERSONAL_ACTIVO_2024[[#All],[Documento identidad]],[2]!PERSONAL_ACTIVO_2024[[#All],[Mail ]],0,0)</f>
        <v>#NAME?</v>
      </c>
      <c r="AP670" s="147" t="e" cm="1">
        <f t="array" aca="1" ref="AP670" ca="1">_xlfn.XLOOKUP(Contrato5[[#This Row],[DOCUMENTO]],[2]!PERSONAL_ACTIVO_2024[[#All],[Documento identidad]],[2]!PERSONAL_ACTIVO_2024[[#All],[Mail ]],0,0)</f>
        <v>#NAME?</v>
      </c>
      <c r="AQ670" s="439" cm="1">
        <f t="array" aca="1" ref="AQ670" ca="1">IF(ISBLANK(Contrato5[[#This Row],[DEPENDENCIA ]]),0,IFERROR(_xlfn.XLOOKUP(Contrato5[[#This Row],[DEPENDENCIA ]],[2]!PERSONAL_ACTIVO_2024[[#All],[Dependencia]],[2]!PERSONAL_ACTIVO_2024[[#All],[Mail ]],0,0),0))</f>
        <v>0</v>
      </c>
    </row>
    <row r="671" spans="1:43" ht="34.5" customHeight="1">
      <c r="A671" s="147">
        <v>935</v>
      </c>
      <c r="B671" s="124">
        <v>546</v>
      </c>
      <c r="C671" s="162" t="s">
        <v>1634</v>
      </c>
      <c r="D671" s="227" t="s">
        <v>583</v>
      </c>
      <c r="E671" s="440" t="s">
        <v>94</v>
      </c>
      <c r="F671" s="227" t="s">
        <v>1376</v>
      </c>
      <c r="G671" s="281" t="s">
        <v>2937</v>
      </c>
      <c r="H671" s="436">
        <v>3402168</v>
      </c>
      <c r="I671" s="273">
        <v>5931149</v>
      </c>
      <c r="J671" s="437">
        <v>24120006</v>
      </c>
      <c r="K671" s="131" t="s">
        <v>42</v>
      </c>
      <c r="L671" s="438" t="s">
        <v>2855</v>
      </c>
      <c r="M671" s="194" t="s">
        <v>600</v>
      </c>
      <c r="N671" s="177" t="e" cm="1">
        <f t="array" aca="1" ref="N671" ca="1">_xlfn.XLOOKUP(Contrato5[[#This Row],[SUPERVISOR TITULAR]],[2]!PERSONAL_ACTIVO_2024[[#All],[Nombre completo]],[2]!PERSONAL_ACTIVO_2024[[#All],[Documento identidad]],"",0)</f>
        <v>#NAME?</v>
      </c>
      <c r="O671" s="194" t="s">
        <v>2495</v>
      </c>
      <c r="P671" s="196" t="e" cm="1">
        <f t="array" aca="1" ref="P671" ca="1">_xlfn.XLOOKUP(Contrato5[[#This Row],[SUPERVISOR SUPLENTE ]],[2]!PERSONAL_ACTIVO_2024[[#All],[Nombre completo]],[2]!PERSONAL_ACTIVO_2024[[#All],[Documento identidad]],"",0)</f>
        <v>#NAME?</v>
      </c>
      <c r="Q671" s="170">
        <v>709</v>
      </c>
      <c r="R671" s="137" t="e" cm="1">
        <f t="array" aca="1" ref="R671" ca="1">_xlfn.XLOOKUP(Contrato5[[#This Row],[CDP]],[2]!DISPONIBILIDADES_2024[[#All],[consecutivo]],[2]!DISPONIBILIDADES_2024[[#All],[fecha_aprobacion]],"",0)</f>
        <v>#NAME?</v>
      </c>
      <c r="S671" s="138" t="e">
        <f>SUMIF([2]!DISPONIBILIDADES_2024[[#All],[consecutivo]],Contrato5[[#This Row],[CDP]],[2]!DISPONIBILIDADES_2024[[#All],[valor_total_rubro]])</f>
        <v>#REF!</v>
      </c>
      <c r="T671" s="139" t="e" cm="1">
        <f t="array" aca="1" ref="T671" ca="1">_xlfn.XLOOKUP(Contrato5[[#This Row],[CONTRATO]]&amp;Contrato5[[#This Row],[CDP]],[2]!Corr_Contr_CDP[[#All],[CONTRATO-CDP]],[2]!Corr_Contr_CDP[[#All],[CRP]],_xlfn.XLOOKUP(Contrato5[[#This Row],[CDP]],[2]!COMPROMISOS_2024[[#All],[disponibilidad]],[2]!COMPROMISOS_2024[[#All],[consecutivo]],"",0),0)</f>
        <v>#NAME?</v>
      </c>
      <c r="U671" s="140" t="e" cm="1">
        <f t="array" aca="1" ref="U671" ca="1">+_xlfn.XLOOKUP(Contrato5[[#This Row],[RCP]],[2]!COMPROMISOS_2024[[#All],[consecutivo]],[2]!COMPROMISOS_2024[[#All],[fecha_aprobacion]],"",0)</f>
        <v>#NAME?</v>
      </c>
      <c r="V671" s="141" t="e">
        <f ca="1">SUMIF([2]!COMPROMISOS_2024[[#All],[consecutivo]],Contrato5[[#This Row],[RCP]],[2]!COMPROMISOS_2024[[#All],[valor_total]])</f>
        <v>#REF!</v>
      </c>
      <c r="W671" s="160">
        <v>45516</v>
      </c>
      <c r="X671" s="160" t="s">
        <v>1045</v>
      </c>
      <c r="Y671" s="143">
        <v>45520</v>
      </c>
      <c r="Z671" s="262">
        <v>45643</v>
      </c>
      <c r="AA671" s="171" t="s">
        <v>2877</v>
      </c>
      <c r="AB671" s="172" t="s">
        <v>2871</v>
      </c>
      <c r="AC671" s="172"/>
      <c r="AD671" s="425">
        <v>202000005112</v>
      </c>
      <c r="AE671" s="147" t="s">
        <v>523</v>
      </c>
      <c r="AF671" s="148" t="str">
        <f>TEXT(LEFT(Contrato5[[#This Row],[CONTRATO]],3),"0")</f>
        <v>546</v>
      </c>
      <c r="AG671" s="148" t="str">
        <f>IF(LEN(Contrato5[[#This Row],[Contrato2]])=3,Contrato5[[#This Row],[Contrato2]],TEXT(Contrato5[[#This Row],[Contrato2]],"000"))</f>
        <v>546</v>
      </c>
      <c r="AH671" s="149">
        <f ca="1">IFERROR(_xlfn.DAYS(Contrato5[[#This Row],[Fecha Proyectada liquidación]],TODAY())/30,"")</f>
        <v>0.16666666666666666</v>
      </c>
      <c r="AI671" s="150">
        <f>+Contrato5[[#This Row],[FECHA TERMINACIÓN ]]+120</f>
        <v>45763</v>
      </c>
      <c r="AJ671" s="147"/>
      <c r="AK671" s="152" t="str">
        <f ca="1">IF(Contrato5[[#This Row],[FECHA TERMINACIÓN ]]&lt;TODAY(), "Terminado",IF(ISNUMBER(Contrato5[[#This Row],[Fecha Real de liquiidación ]]),"Liquidado",IF(Contrato5[[#This Row],[FECHA TERMINACIÓN ]]&gt;=TODAY(),"En ejecución","")))</f>
        <v>Terminado</v>
      </c>
      <c r="AL671" s="153" t="e">
        <f ca="1">SUMIF([2]!COMPROMISOS_2024[[#All],[consecutivo]],Contrato5[[#This Row],[RCP]],[2]!COMPROMISOS_2024[[#All],[Total pagado]])</f>
        <v>#REF!</v>
      </c>
      <c r="AM671" s="154">
        <f ca="1">IFERROR(Contrato5[[#This Row],[Pagos]]/Contrato5[[#This Row],[VALOR CONTRATO]],0)</f>
        <v>0</v>
      </c>
      <c r="AN671" s="198" t="e">
        <f ca="1">+Contrato5[[#This Row],[VALOR CONTRATO]]-Contrato5[[#This Row],[Pagos]]</f>
        <v>#REF!</v>
      </c>
      <c r="AO671" s="147" t="e" cm="1">
        <f t="array" aca="1" ref="AO671" ca="1">_xlfn.XLOOKUP(Contrato5[[#This Row],[DOCUMENTO ]],[2]!PERSONAL_ACTIVO_2024[[#All],[Documento identidad]],[2]!PERSONAL_ACTIVO_2024[[#All],[Mail ]],0,0)</f>
        <v>#NAME?</v>
      </c>
      <c r="AP671" s="147" t="e" cm="1">
        <f t="array" aca="1" ref="AP671" ca="1">_xlfn.XLOOKUP(Contrato5[[#This Row],[DOCUMENTO]],[2]!PERSONAL_ACTIVO_2024[[#All],[Documento identidad]],[2]!PERSONAL_ACTIVO_2024[[#All],[Mail ]],0,0)</f>
        <v>#NAME?</v>
      </c>
      <c r="AQ671" s="439" cm="1">
        <f t="array" aca="1" ref="AQ671" ca="1">IF(ISBLANK(Contrato5[[#This Row],[DEPENDENCIA ]]),0,IFERROR(_xlfn.XLOOKUP(Contrato5[[#This Row],[DEPENDENCIA ]],[2]!PERSONAL_ACTIVO_2024[[#All],[Dependencia]],[2]!PERSONAL_ACTIVO_2024[[#All],[Mail ]],0,0),0))</f>
        <v>0</v>
      </c>
    </row>
    <row r="672" spans="1:43" ht="34.5" customHeight="1">
      <c r="A672" s="147">
        <v>936</v>
      </c>
      <c r="B672" s="124">
        <v>547</v>
      </c>
      <c r="C672" s="162" t="s">
        <v>1634</v>
      </c>
      <c r="D672" s="227" t="s">
        <v>583</v>
      </c>
      <c r="E672" s="440" t="s">
        <v>94</v>
      </c>
      <c r="F672" s="227" t="s">
        <v>1376</v>
      </c>
      <c r="G672" s="281" t="s">
        <v>746</v>
      </c>
      <c r="H672" s="436">
        <v>98534661</v>
      </c>
      <c r="I672" s="273">
        <v>7908765</v>
      </c>
      <c r="J672" s="437">
        <v>32162311</v>
      </c>
      <c r="K672" s="131" t="s">
        <v>42</v>
      </c>
      <c r="L672" s="438" t="s">
        <v>2855</v>
      </c>
      <c r="M672" s="194" t="s">
        <v>600</v>
      </c>
      <c r="N672" s="177" t="e" cm="1">
        <f t="array" aca="1" ref="N672" ca="1">_xlfn.XLOOKUP(Contrato5[[#This Row],[SUPERVISOR TITULAR]],[2]!PERSONAL_ACTIVO_2024[[#All],[Nombre completo]],[2]!PERSONAL_ACTIVO_2024[[#All],[Documento identidad]],"",0)</f>
        <v>#NAME?</v>
      </c>
      <c r="O672" s="194" t="s">
        <v>2495</v>
      </c>
      <c r="P672" s="196" t="e" cm="1">
        <f t="array" aca="1" ref="P672" ca="1">_xlfn.XLOOKUP(Contrato5[[#This Row],[SUPERVISOR SUPLENTE ]],[2]!PERSONAL_ACTIVO_2024[[#All],[Nombre completo]],[2]!PERSONAL_ACTIVO_2024[[#All],[Documento identidad]],"",0)</f>
        <v>#NAME?</v>
      </c>
      <c r="Q672" s="170">
        <v>815</v>
      </c>
      <c r="R672" s="137" t="e" cm="1">
        <f t="array" aca="1" ref="R672" ca="1">_xlfn.XLOOKUP(Contrato5[[#This Row],[CDP]],[2]!DISPONIBILIDADES_2024[[#All],[consecutivo]],[2]!DISPONIBILIDADES_2024[[#All],[fecha_aprobacion]],"",0)</f>
        <v>#NAME?</v>
      </c>
      <c r="S672" s="138" t="e">
        <f>SUMIF([2]!DISPONIBILIDADES_2024[[#All],[consecutivo]],Contrato5[[#This Row],[CDP]],[2]!DISPONIBILIDADES_2024[[#All],[valor_total_rubro]])</f>
        <v>#REF!</v>
      </c>
      <c r="T672" s="139" t="e" cm="1">
        <f t="array" aca="1" ref="T672" ca="1">_xlfn.XLOOKUP(Contrato5[[#This Row],[CONTRATO]]&amp;Contrato5[[#This Row],[CDP]],[2]!Corr_Contr_CDP[[#All],[CONTRATO-CDP]],[2]!Corr_Contr_CDP[[#All],[CRP]],_xlfn.XLOOKUP(Contrato5[[#This Row],[CDP]],[2]!COMPROMISOS_2024[[#All],[disponibilidad]],[2]!COMPROMISOS_2024[[#All],[consecutivo]],"",0),0)</f>
        <v>#NAME?</v>
      </c>
      <c r="U672" s="140" t="e" cm="1">
        <f t="array" aca="1" ref="U672" ca="1">+_xlfn.XLOOKUP(Contrato5[[#This Row],[RCP]],[2]!COMPROMISOS_2024[[#All],[consecutivo]],[2]!COMPROMISOS_2024[[#All],[fecha_aprobacion]],"",0)</f>
        <v>#NAME?</v>
      </c>
      <c r="V672" s="141" t="e">
        <f ca="1">SUMIF([2]!COMPROMISOS_2024[[#All],[consecutivo]],Contrato5[[#This Row],[RCP]],[2]!COMPROMISOS_2024[[#All],[valor_total]])</f>
        <v>#REF!</v>
      </c>
      <c r="W672" s="160">
        <v>45517</v>
      </c>
      <c r="X672" s="160" t="s">
        <v>1045</v>
      </c>
      <c r="Y672" s="143">
        <v>45520</v>
      </c>
      <c r="Z672" s="262">
        <v>45643</v>
      </c>
      <c r="AA672" s="171" t="s">
        <v>2877</v>
      </c>
      <c r="AB672" s="172" t="s">
        <v>2871</v>
      </c>
      <c r="AC672" s="172"/>
      <c r="AD672" s="425">
        <v>202000005113</v>
      </c>
      <c r="AE672" s="147" t="s">
        <v>523</v>
      </c>
      <c r="AF672" s="148" t="str">
        <f>TEXT(LEFT(Contrato5[[#This Row],[CONTRATO]],3),"0")</f>
        <v>547</v>
      </c>
      <c r="AG672" s="148" t="str">
        <f>IF(LEN(Contrato5[[#This Row],[Contrato2]])=3,Contrato5[[#This Row],[Contrato2]],TEXT(Contrato5[[#This Row],[Contrato2]],"000"))</f>
        <v>547</v>
      </c>
      <c r="AH672" s="149">
        <f ca="1">IFERROR(_xlfn.DAYS(Contrato5[[#This Row],[Fecha Proyectada liquidación]],TODAY())/30,"")</f>
        <v>0.16666666666666666</v>
      </c>
      <c r="AI672" s="150">
        <f>+Contrato5[[#This Row],[FECHA TERMINACIÓN ]]+120</f>
        <v>45763</v>
      </c>
      <c r="AJ672" s="147"/>
      <c r="AK672" s="152" t="str">
        <f ca="1">IF(Contrato5[[#This Row],[FECHA TERMINACIÓN ]]&lt;TODAY(), "Terminado",IF(ISNUMBER(Contrato5[[#This Row],[Fecha Real de liquiidación ]]),"Liquidado",IF(Contrato5[[#This Row],[FECHA TERMINACIÓN ]]&gt;=TODAY(),"En ejecución","")))</f>
        <v>Terminado</v>
      </c>
      <c r="AL672" s="153" t="e">
        <f ca="1">SUMIF([2]!COMPROMISOS_2024[[#All],[consecutivo]],Contrato5[[#This Row],[RCP]],[2]!COMPROMISOS_2024[[#All],[Total pagado]])</f>
        <v>#REF!</v>
      </c>
      <c r="AM672" s="154">
        <f ca="1">IFERROR(Contrato5[[#This Row],[Pagos]]/Contrato5[[#This Row],[VALOR CONTRATO]],0)</f>
        <v>0</v>
      </c>
      <c r="AN672" s="198" t="e">
        <f ca="1">+Contrato5[[#This Row],[VALOR CONTRATO]]-Contrato5[[#This Row],[Pagos]]</f>
        <v>#REF!</v>
      </c>
      <c r="AO672" s="147" t="e" cm="1">
        <f t="array" aca="1" ref="AO672" ca="1">_xlfn.XLOOKUP(Contrato5[[#This Row],[DOCUMENTO ]],[2]!PERSONAL_ACTIVO_2024[[#All],[Documento identidad]],[2]!PERSONAL_ACTIVO_2024[[#All],[Mail ]],0,0)</f>
        <v>#NAME?</v>
      </c>
      <c r="AP672" s="147" t="e" cm="1">
        <f t="array" aca="1" ref="AP672" ca="1">_xlfn.XLOOKUP(Contrato5[[#This Row],[DOCUMENTO]],[2]!PERSONAL_ACTIVO_2024[[#All],[Documento identidad]],[2]!PERSONAL_ACTIVO_2024[[#All],[Mail ]],0,0)</f>
        <v>#NAME?</v>
      </c>
      <c r="AQ672" s="439" cm="1">
        <f t="array" aca="1" ref="AQ672" ca="1">IF(ISBLANK(Contrato5[[#This Row],[DEPENDENCIA ]]),0,IFERROR(_xlfn.XLOOKUP(Contrato5[[#This Row],[DEPENDENCIA ]],[2]!PERSONAL_ACTIVO_2024[[#All],[Dependencia]],[2]!PERSONAL_ACTIVO_2024[[#All],[Mail ]],0,0),0))</f>
        <v>0</v>
      </c>
    </row>
    <row r="673" spans="1:43" ht="34.5" customHeight="1">
      <c r="A673" s="147">
        <v>937</v>
      </c>
      <c r="B673" s="124">
        <v>548</v>
      </c>
      <c r="C673" s="162" t="s">
        <v>1634</v>
      </c>
      <c r="D673" s="227" t="s">
        <v>583</v>
      </c>
      <c r="E673" s="440" t="s">
        <v>94</v>
      </c>
      <c r="F673" s="227" t="s">
        <v>1376</v>
      </c>
      <c r="G673" s="281" t="s">
        <v>2938</v>
      </c>
      <c r="H673" s="436">
        <v>70810561</v>
      </c>
      <c r="I673" s="273">
        <v>7908765</v>
      </c>
      <c r="J673" s="437">
        <v>32162311</v>
      </c>
      <c r="K673" s="131" t="s">
        <v>42</v>
      </c>
      <c r="L673" s="438" t="s">
        <v>2855</v>
      </c>
      <c r="M673" s="194" t="s">
        <v>600</v>
      </c>
      <c r="N673" s="177" t="e" cm="1">
        <f t="array" aca="1" ref="N673" ca="1">_xlfn.XLOOKUP(Contrato5[[#This Row],[SUPERVISOR TITULAR]],[2]!PERSONAL_ACTIVO_2024[[#All],[Nombre completo]],[2]!PERSONAL_ACTIVO_2024[[#All],[Documento identidad]],"",0)</f>
        <v>#NAME?</v>
      </c>
      <c r="O673" s="194" t="s">
        <v>2495</v>
      </c>
      <c r="P673" s="196" t="e" cm="1">
        <f t="array" aca="1" ref="P673" ca="1">_xlfn.XLOOKUP(Contrato5[[#This Row],[SUPERVISOR SUPLENTE ]],[2]!PERSONAL_ACTIVO_2024[[#All],[Nombre completo]],[2]!PERSONAL_ACTIVO_2024[[#All],[Documento identidad]],"",0)</f>
        <v>#NAME?</v>
      </c>
      <c r="Q673" s="170">
        <v>708</v>
      </c>
      <c r="R673" s="137" t="e" cm="1">
        <f t="array" aca="1" ref="R673" ca="1">_xlfn.XLOOKUP(Contrato5[[#This Row],[CDP]],[2]!DISPONIBILIDADES_2024[[#All],[consecutivo]],[2]!DISPONIBILIDADES_2024[[#All],[fecha_aprobacion]],"",0)</f>
        <v>#NAME?</v>
      </c>
      <c r="S673" s="138" t="e">
        <f>SUMIF([2]!DISPONIBILIDADES_2024[[#All],[consecutivo]],Contrato5[[#This Row],[CDP]],[2]!DISPONIBILIDADES_2024[[#All],[valor_total_rubro]])</f>
        <v>#REF!</v>
      </c>
      <c r="T673" s="139" t="e" cm="1">
        <f t="array" aca="1" ref="T673" ca="1">_xlfn.XLOOKUP(Contrato5[[#This Row],[CONTRATO]]&amp;Contrato5[[#This Row],[CDP]],[2]!Corr_Contr_CDP[[#All],[CONTRATO-CDP]],[2]!Corr_Contr_CDP[[#All],[CRP]],_xlfn.XLOOKUP(Contrato5[[#This Row],[CDP]],[2]!COMPROMISOS_2024[[#All],[disponibilidad]],[2]!COMPROMISOS_2024[[#All],[consecutivo]],"",0),0)</f>
        <v>#NAME?</v>
      </c>
      <c r="U673" s="140" t="e" cm="1">
        <f t="array" aca="1" ref="U673" ca="1">+_xlfn.XLOOKUP(Contrato5[[#This Row],[RCP]],[2]!COMPROMISOS_2024[[#All],[consecutivo]],[2]!COMPROMISOS_2024[[#All],[fecha_aprobacion]],"",0)</f>
        <v>#NAME?</v>
      </c>
      <c r="V673" s="141" t="e">
        <f ca="1">SUMIF([2]!COMPROMISOS_2024[[#All],[consecutivo]],Contrato5[[#This Row],[RCP]],[2]!COMPROMISOS_2024[[#All],[valor_total]])</f>
        <v>#REF!</v>
      </c>
      <c r="W673" s="160">
        <v>45517</v>
      </c>
      <c r="X673" s="160" t="s">
        <v>1045</v>
      </c>
      <c r="Y673" s="143">
        <v>45520</v>
      </c>
      <c r="Z673" s="262">
        <v>45643</v>
      </c>
      <c r="AA673" s="171" t="s">
        <v>2870</v>
      </c>
      <c r="AB673" s="172" t="s">
        <v>2871</v>
      </c>
      <c r="AC673" s="172"/>
      <c r="AD673" s="425">
        <v>202000005114</v>
      </c>
      <c r="AE673" s="147" t="s">
        <v>523</v>
      </c>
      <c r="AF673" s="148" t="str">
        <f>TEXT(LEFT(Contrato5[[#This Row],[CONTRATO]],3),"0")</f>
        <v>548</v>
      </c>
      <c r="AG673" s="148" t="str">
        <f>IF(LEN(Contrato5[[#This Row],[Contrato2]])=3,Contrato5[[#This Row],[Contrato2]],TEXT(Contrato5[[#This Row],[Contrato2]],"000"))</f>
        <v>548</v>
      </c>
      <c r="AH673" s="149">
        <f ca="1">IFERROR(_xlfn.DAYS(Contrato5[[#This Row],[Fecha Proyectada liquidación]],TODAY())/30,"")</f>
        <v>0.16666666666666666</v>
      </c>
      <c r="AI673" s="150">
        <f>+Contrato5[[#This Row],[FECHA TERMINACIÓN ]]+120</f>
        <v>45763</v>
      </c>
      <c r="AJ673" s="147"/>
      <c r="AK673" s="152" t="str">
        <f ca="1">IF(Contrato5[[#This Row],[FECHA TERMINACIÓN ]]&lt;TODAY(), "Terminado",IF(ISNUMBER(Contrato5[[#This Row],[Fecha Real de liquiidación ]]),"Liquidado",IF(Contrato5[[#This Row],[FECHA TERMINACIÓN ]]&gt;=TODAY(),"En ejecución","")))</f>
        <v>Terminado</v>
      </c>
      <c r="AL673" s="153" t="e">
        <f ca="1">SUMIF([2]!COMPROMISOS_2024[[#All],[consecutivo]],Contrato5[[#This Row],[RCP]],[2]!COMPROMISOS_2024[[#All],[Total pagado]])</f>
        <v>#REF!</v>
      </c>
      <c r="AM673" s="154">
        <f ca="1">IFERROR(Contrato5[[#This Row],[Pagos]]/Contrato5[[#This Row],[VALOR CONTRATO]],0)</f>
        <v>0</v>
      </c>
      <c r="AN673" s="198" t="e">
        <f ca="1">+Contrato5[[#This Row],[VALOR CONTRATO]]-Contrato5[[#This Row],[Pagos]]</f>
        <v>#REF!</v>
      </c>
      <c r="AO673" s="147" t="e" cm="1">
        <f t="array" aca="1" ref="AO673" ca="1">_xlfn.XLOOKUP(Contrato5[[#This Row],[DOCUMENTO ]],[2]!PERSONAL_ACTIVO_2024[[#All],[Documento identidad]],[2]!PERSONAL_ACTIVO_2024[[#All],[Mail ]],0,0)</f>
        <v>#NAME?</v>
      </c>
      <c r="AP673" s="147" t="e" cm="1">
        <f t="array" aca="1" ref="AP673" ca="1">_xlfn.XLOOKUP(Contrato5[[#This Row],[DOCUMENTO]],[2]!PERSONAL_ACTIVO_2024[[#All],[Documento identidad]],[2]!PERSONAL_ACTIVO_2024[[#All],[Mail ]],0,0)</f>
        <v>#NAME?</v>
      </c>
      <c r="AQ673" s="439" cm="1">
        <f t="array" aca="1" ref="AQ673" ca="1">IF(ISBLANK(Contrato5[[#This Row],[DEPENDENCIA ]]),0,IFERROR(_xlfn.XLOOKUP(Contrato5[[#This Row],[DEPENDENCIA ]],[2]!PERSONAL_ACTIVO_2024[[#All],[Dependencia]],[2]!PERSONAL_ACTIVO_2024[[#All],[Mail ]],0,0),0))</f>
        <v>0</v>
      </c>
    </row>
    <row r="674" spans="1:43" ht="34.5" customHeight="1">
      <c r="A674" s="147">
        <v>938</v>
      </c>
      <c r="B674" s="124">
        <v>549</v>
      </c>
      <c r="C674" s="162" t="s">
        <v>2001</v>
      </c>
      <c r="D674" s="227" t="s">
        <v>583</v>
      </c>
      <c r="E674" s="440" t="s">
        <v>94</v>
      </c>
      <c r="F674" s="227" t="s">
        <v>1376</v>
      </c>
      <c r="G674" s="281" t="s">
        <v>2939</v>
      </c>
      <c r="H674" s="436">
        <v>98628015</v>
      </c>
      <c r="I674" s="273">
        <v>3952382</v>
      </c>
      <c r="J674" s="437">
        <v>16073020</v>
      </c>
      <c r="K674" s="131" t="s">
        <v>42</v>
      </c>
      <c r="L674" s="438" t="s">
        <v>2855</v>
      </c>
      <c r="M674" s="194" t="s">
        <v>589</v>
      </c>
      <c r="N674" s="177" t="e" cm="1">
        <f t="array" aca="1" ref="N674" ca="1">_xlfn.XLOOKUP(Contrato5[[#This Row],[SUPERVISOR TITULAR]],[2]!PERSONAL_ACTIVO_2024[[#All],[Nombre completo]],[2]!PERSONAL_ACTIVO_2024[[#All],[Documento identidad]],"",0)</f>
        <v>#NAME?</v>
      </c>
      <c r="O674" s="194" t="s">
        <v>586</v>
      </c>
      <c r="P674" s="196" t="e" cm="1">
        <f t="array" aca="1" ref="P674" ca="1">_xlfn.XLOOKUP(Contrato5[[#This Row],[SUPERVISOR SUPLENTE ]],[2]!PERSONAL_ACTIVO_2024[[#All],[Nombre completo]],[2]!PERSONAL_ACTIVO_2024[[#All],[Documento identidad]],"",0)</f>
        <v>#NAME?</v>
      </c>
      <c r="Q674" s="170">
        <v>707</v>
      </c>
      <c r="R674" s="137" t="e" cm="1">
        <f t="array" aca="1" ref="R674" ca="1">_xlfn.XLOOKUP(Contrato5[[#This Row],[CDP]],[2]!DISPONIBILIDADES_2024[[#All],[consecutivo]],[2]!DISPONIBILIDADES_2024[[#All],[fecha_aprobacion]],"",0)</f>
        <v>#NAME?</v>
      </c>
      <c r="S674" s="138" t="e">
        <f>SUMIF([2]!DISPONIBILIDADES_2024[[#All],[consecutivo]],Contrato5[[#This Row],[CDP]],[2]!DISPONIBILIDADES_2024[[#All],[valor_total_rubro]])</f>
        <v>#REF!</v>
      </c>
      <c r="T674" s="139" t="e" cm="1">
        <f t="array" aca="1" ref="T674" ca="1">_xlfn.XLOOKUP(Contrato5[[#This Row],[CONTRATO]]&amp;Contrato5[[#This Row],[CDP]],[2]!Corr_Contr_CDP[[#All],[CONTRATO-CDP]],[2]!Corr_Contr_CDP[[#All],[CRP]],_xlfn.XLOOKUP(Contrato5[[#This Row],[CDP]],[2]!COMPROMISOS_2024[[#All],[disponibilidad]],[2]!COMPROMISOS_2024[[#All],[consecutivo]],"",0),0)</f>
        <v>#NAME?</v>
      </c>
      <c r="U674" s="140" t="e" cm="1">
        <f t="array" aca="1" ref="U674" ca="1">+_xlfn.XLOOKUP(Contrato5[[#This Row],[RCP]],[2]!COMPROMISOS_2024[[#All],[consecutivo]],[2]!COMPROMISOS_2024[[#All],[fecha_aprobacion]],"",0)</f>
        <v>#NAME?</v>
      </c>
      <c r="V674" s="141" t="e">
        <f ca="1">SUMIF([2]!COMPROMISOS_2024[[#All],[consecutivo]],Contrato5[[#This Row],[RCP]],[2]!COMPROMISOS_2024[[#All],[valor_total]])</f>
        <v>#REF!</v>
      </c>
      <c r="W674" s="160">
        <v>45516</v>
      </c>
      <c r="X674" s="160" t="s">
        <v>1045</v>
      </c>
      <c r="Y674" s="143">
        <v>45520</v>
      </c>
      <c r="Z674" s="262">
        <v>45643</v>
      </c>
      <c r="AA674" s="171" t="s">
        <v>2877</v>
      </c>
      <c r="AB674" s="172" t="s">
        <v>2871</v>
      </c>
      <c r="AC674" s="172"/>
      <c r="AD674" s="425">
        <v>202000005115</v>
      </c>
      <c r="AE674" s="147" t="s">
        <v>523</v>
      </c>
      <c r="AF674" s="148" t="str">
        <f>TEXT(LEFT(Contrato5[[#This Row],[CONTRATO]],3),"0")</f>
        <v>549</v>
      </c>
      <c r="AG674" s="148" t="str">
        <f>IF(LEN(Contrato5[[#This Row],[Contrato2]])=3,Contrato5[[#This Row],[Contrato2]],TEXT(Contrato5[[#This Row],[Contrato2]],"000"))</f>
        <v>549</v>
      </c>
      <c r="AH674" s="149">
        <f ca="1">IFERROR(_xlfn.DAYS(Contrato5[[#This Row],[Fecha Proyectada liquidación]],TODAY())/30,"")</f>
        <v>0.16666666666666666</v>
      </c>
      <c r="AI674" s="150">
        <f>+Contrato5[[#This Row],[FECHA TERMINACIÓN ]]+120</f>
        <v>45763</v>
      </c>
      <c r="AJ674" s="147"/>
      <c r="AK674" s="152" t="str">
        <f ca="1">IF(Contrato5[[#This Row],[FECHA TERMINACIÓN ]]&lt;TODAY(), "Terminado",IF(ISNUMBER(Contrato5[[#This Row],[Fecha Real de liquiidación ]]),"Liquidado",IF(Contrato5[[#This Row],[FECHA TERMINACIÓN ]]&gt;=TODAY(),"En ejecución","")))</f>
        <v>Terminado</v>
      </c>
      <c r="AL674" s="153" t="e">
        <f ca="1">SUMIF([2]!COMPROMISOS_2024[[#All],[consecutivo]],Contrato5[[#This Row],[RCP]],[2]!COMPROMISOS_2024[[#All],[Total pagado]])</f>
        <v>#REF!</v>
      </c>
      <c r="AM674" s="154">
        <f ca="1">IFERROR(Contrato5[[#This Row],[Pagos]]/Contrato5[[#This Row],[VALOR CONTRATO]],0)</f>
        <v>0</v>
      </c>
      <c r="AN674" s="198" t="e">
        <f ca="1">+Contrato5[[#This Row],[VALOR CONTRATO]]-Contrato5[[#This Row],[Pagos]]</f>
        <v>#REF!</v>
      </c>
      <c r="AO674" s="147" t="e" cm="1">
        <f t="array" aca="1" ref="AO674" ca="1">_xlfn.XLOOKUP(Contrato5[[#This Row],[DOCUMENTO ]],[2]!PERSONAL_ACTIVO_2024[[#All],[Documento identidad]],[2]!PERSONAL_ACTIVO_2024[[#All],[Mail ]],0,0)</f>
        <v>#NAME?</v>
      </c>
      <c r="AP674" s="147" t="e" cm="1">
        <f t="array" aca="1" ref="AP674" ca="1">_xlfn.XLOOKUP(Contrato5[[#This Row],[DOCUMENTO]],[2]!PERSONAL_ACTIVO_2024[[#All],[Documento identidad]],[2]!PERSONAL_ACTIVO_2024[[#All],[Mail ]],0,0)</f>
        <v>#NAME?</v>
      </c>
      <c r="AQ674" s="439" cm="1">
        <f t="array" aca="1" ref="AQ674" ca="1">IF(ISBLANK(Contrato5[[#This Row],[DEPENDENCIA ]]),0,IFERROR(_xlfn.XLOOKUP(Contrato5[[#This Row],[DEPENDENCIA ]],[2]!PERSONAL_ACTIVO_2024[[#All],[Dependencia]],[2]!PERSONAL_ACTIVO_2024[[#All],[Mail ]],0,0),0))</f>
        <v>0</v>
      </c>
    </row>
    <row r="675" spans="1:43" ht="34.5" customHeight="1">
      <c r="A675" s="147">
        <v>939</v>
      </c>
      <c r="B675" s="124">
        <v>550</v>
      </c>
      <c r="C675" s="162" t="s">
        <v>2002</v>
      </c>
      <c r="D675" s="227" t="s">
        <v>583</v>
      </c>
      <c r="E675" s="440" t="s">
        <v>94</v>
      </c>
      <c r="F675" s="227" t="s">
        <v>1376</v>
      </c>
      <c r="G675" s="281" t="s">
        <v>749</v>
      </c>
      <c r="H675" s="436">
        <v>43834689</v>
      </c>
      <c r="I675" s="273">
        <v>3952382</v>
      </c>
      <c r="J675" s="437">
        <v>16073020</v>
      </c>
      <c r="K675" s="131" t="s">
        <v>42</v>
      </c>
      <c r="L675" s="438" t="s">
        <v>2855</v>
      </c>
      <c r="M675" s="194" t="s">
        <v>589</v>
      </c>
      <c r="N675" s="177" t="e" cm="1">
        <f t="array" aca="1" ref="N675" ca="1">_xlfn.XLOOKUP(Contrato5[[#This Row],[SUPERVISOR TITULAR]],[2]!PERSONAL_ACTIVO_2024[[#All],[Nombre completo]],[2]!PERSONAL_ACTIVO_2024[[#All],[Documento identidad]],"",0)</f>
        <v>#NAME?</v>
      </c>
      <c r="O675" s="194" t="s">
        <v>586</v>
      </c>
      <c r="P675" s="196" t="e" cm="1">
        <f t="array" aca="1" ref="P675" ca="1">_xlfn.XLOOKUP(Contrato5[[#This Row],[SUPERVISOR SUPLENTE ]],[2]!PERSONAL_ACTIVO_2024[[#All],[Nombre completo]],[2]!PERSONAL_ACTIVO_2024[[#All],[Documento identidad]],"",0)</f>
        <v>#NAME?</v>
      </c>
      <c r="Q675" s="170">
        <v>686</v>
      </c>
      <c r="R675" s="137" t="e" cm="1">
        <f t="array" aca="1" ref="R675" ca="1">_xlfn.XLOOKUP(Contrato5[[#This Row],[CDP]],[2]!DISPONIBILIDADES_2024[[#All],[consecutivo]],[2]!DISPONIBILIDADES_2024[[#All],[fecha_aprobacion]],"",0)</f>
        <v>#NAME?</v>
      </c>
      <c r="S675" s="138" t="e">
        <f>SUMIF([2]!DISPONIBILIDADES_2024[[#All],[consecutivo]],Contrato5[[#This Row],[CDP]],[2]!DISPONIBILIDADES_2024[[#All],[valor_total_rubro]])</f>
        <v>#REF!</v>
      </c>
      <c r="T675" s="139" t="e" cm="1">
        <f t="array" aca="1" ref="T675" ca="1">_xlfn.XLOOKUP(Contrato5[[#This Row],[CONTRATO]]&amp;Contrato5[[#This Row],[CDP]],[2]!Corr_Contr_CDP[[#All],[CONTRATO-CDP]],[2]!Corr_Contr_CDP[[#All],[CRP]],_xlfn.XLOOKUP(Contrato5[[#This Row],[CDP]],[2]!COMPROMISOS_2024[[#All],[disponibilidad]],[2]!COMPROMISOS_2024[[#All],[consecutivo]],"",0),0)</f>
        <v>#NAME?</v>
      </c>
      <c r="U675" s="140" t="e" cm="1">
        <f t="array" aca="1" ref="U675" ca="1">+_xlfn.XLOOKUP(Contrato5[[#This Row],[RCP]],[2]!COMPROMISOS_2024[[#All],[consecutivo]],[2]!COMPROMISOS_2024[[#All],[fecha_aprobacion]],"",0)</f>
        <v>#NAME?</v>
      </c>
      <c r="V675" s="141" t="e">
        <f ca="1">SUMIF([2]!COMPROMISOS_2024[[#All],[consecutivo]],Contrato5[[#This Row],[RCP]],[2]!COMPROMISOS_2024[[#All],[valor_total]])</f>
        <v>#REF!</v>
      </c>
      <c r="W675" s="160">
        <v>45516</v>
      </c>
      <c r="X675" s="160" t="s">
        <v>1045</v>
      </c>
      <c r="Y675" s="143">
        <v>45520</v>
      </c>
      <c r="Z675" s="262">
        <v>45643</v>
      </c>
      <c r="AA675" s="171" t="s">
        <v>2877</v>
      </c>
      <c r="AB675" s="172" t="s">
        <v>2871</v>
      </c>
      <c r="AC675" s="172"/>
      <c r="AD675" s="425">
        <v>202000005116</v>
      </c>
      <c r="AE675" s="147" t="s">
        <v>523</v>
      </c>
      <c r="AF675" s="148" t="str">
        <f>TEXT(LEFT(Contrato5[[#This Row],[CONTRATO]],3),"0")</f>
        <v>550</v>
      </c>
      <c r="AG675" s="148" t="str">
        <f>IF(LEN(Contrato5[[#This Row],[Contrato2]])=3,Contrato5[[#This Row],[Contrato2]],TEXT(Contrato5[[#This Row],[Contrato2]],"000"))</f>
        <v>550</v>
      </c>
      <c r="AH675" s="149">
        <f ca="1">IFERROR(_xlfn.DAYS(Contrato5[[#This Row],[Fecha Proyectada liquidación]],TODAY())/30,"")</f>
        <v>0.16666666666666666</v>
      </c>
      <c r="AI675" s="150">
        <f>+Contrato5[[#This Row],[FECHA TERMINACIÓN ]]+120</f>
        <v>45763</v>
      </c>
      <c r="AJ675" s="147"/>
      <c r="AK675" s="152" t="str">
        <f ca="1">IF(Contrato5[[#This Row],[FECHA TERMINACIÓN ]]&lt;TODAY(), "Terminado",IF(ISNUMBER(Contrato5[[#This Row],[Fecha Real de liquiidación ]]),"Liquidado",IF(Contrato5[[#This Row],[FECHA TERMINACIÓN ]]&gt;=TODAY(),"En ejecución","")))</f>
        <v>Terminado</v>
      </c>
      <c r="AL675" s="153" t="e">
        <f ca="1">SUMIF([2]!COMPROMISOS_2024[[#All],[consecutivo]],Contrato5[[#This Row],[RCP]],[2]!COMPROMISOS_2024[[#All],[Total pagado]])</f>
        <v>#REF!</v>
      </c>
      <c r="AM675" s="154">
        <f ca="1">IFERROR(Contrato5[[#This Row],[Pagos]]/Contrato5[[#This Row],[VALOR CONTRATO]],0)</f>
        <v>0</v>
      </c>
      <c r="AN675" s="198" t="e">
        <f ca="1">+Contrato5[[#This Row],[VALOR CONTRATO]]-Contrato5[[#This Row],[Pagos]]</f>
        <v>#REF!</v>
      </c>
      <c r="AO675" s="147" t="e" cm="1">
        <f t="array" aca="1" ref="AO675" ca="1">_xlfn.XLOOKUP(Contrato5[[#This Row],[DOCUMENTO ]],[2]!PERSONAL_ACTIVO_2024[[#All],[Documento identidad]],[2]!PERSONAL_ACTIVO_2024[[#All],[Mail ]],0,0)</f>
        <v>#NAME?</v>
      </c>
      <c r="AP675" s="147" t="e" cm="1">
        <f t="array" aca="1" ref="AP675" ca="1">_xlfn.XLOOKUP(Contrato5[[#This Row],[DOCUMENTO]],[2]!PERSONAL_ACTIVO_2024[[#All],[Documento identidad]],[2]!PERSONAL_ACTIVO_2024[[#All],[Mail ]],0,0)</f>
        <v>#NAME?</v>
      </c>
      <c r="AQ675" s="439" cm="1">
        <f t="array" aca="1" ref="AQ675" ca="1">IF(ISBLANK(Contrato5[[#This Row],[DEPENDENCIA ]]),0,IFERROR(_xlfn.XLOOKUP(Contrato5[[#This Row],[DEPENDENCIA ]],[2]!PERSONAL_ACTIVO_2024[[#All],[Dependencia]],[2]!PERSONAL_ACTIVO_2024[[#All],[Mail ]],0,0),0))</f>
        <v>0</v>
      </c>
    </row>
    <row r="676" spans="1:43" ht="34.5" customHeight="1">
      <c r="A676" s="147">
        <v>940</v>
      </c>
      <c r="B676" s="124">
        <v>551</v>
      </c>
      <c r="C676" s="162" t="s">
        <v>1979</v>
      </c>
      <c r="D676" s="227" t="s">
        <v>583</v>
      </c>
      <c r="E676" s="440" t="s">
        <v>94</v>
      </c>
      <c r="F676" s="227" t="s">
        <v>1376</v>
      </c>
      <c r="G676" s="281" t="s">
        <v>750</v>
      </c>
      <c r="H676" s="436">
        <v>71216330</v>
      </c>
      <c r="I676" s="273">
        <v>4908936</v>
      </c>
      <c r="J676" s="437">
        <v>19963006</v>
      </c>
      <c r="K676" s="131" t="s">
        <v>42</v>
      </c>
      <c r="L676" s="438" t="s">
        <v>2855</v>
      </c>
      <c r="M676" s="194" t="s">
        <v>589</v>
      </c>
      <c r="N676" s="177" t="e" cm="1">
        <f t="array" aca="1" ref="N676" ca="1">_xlfn.XLOOKUP(Contrato5[[#This Row],[SUPERVISOR TITULAR]],[2]!PERSONAL_ACTIVO_2024[[#All],[Nombre completo]],[2]!PERSONAL_ACTIVO_2024[[#All],[Documento identidad]],"",0)</f>
        <v>#NAME?</v>
      </c>
      <c r="O676" s="194" t="s">
        <v>586</v>
      </c>
      <c r="P676" s="196" t="e" cm="1">
        <f t="array" aca="1" ref="P676" ca="1">_xlfn.XLOOKUP(Contrato5[[#This Row],[SUPERVISOR SUPLENTE ]],[2]!PERSONAL_ACTIVO_2024[[#All],[Nombre completo]],[2]!PERSONAL_ACTIVO_2024[[#All],[Documento identidad]],"",0)</f>
        <v>#NAME?</v>
      </c>
      <c r="Q676" s="170">
        <v>761</v>
      </c>
      <c r="R676" s="137" t="e" cm="1">
        <f t="array" aca="1" ref="R676" ca="1">_xlfn.XLOOKUP(Contrato5[[#This Row],[CDP]],[2]!DISPONIBILIDADES_2024[[#All],[consecutivo]],[2]!DISPONIBILIDADES_2024[[#All],[fecha_aprobacion]],"",0)</f>
        <v>#NAME?</v>
      </c>
      <c r="S676" s="138" t="e">
        <f>SUMIF([2]!DISPONIBILIDADES_2024[[#All],[consecutivo]],Contrato5[[#This Row],[CDP]],[2]!DISPONIBILIDADES_2024[[#All],[valor_total_rubro]])</f>
        <v>#REF!</v>
      </c>
      <c r="T676" s="139" t="e" cm="1">
        <f t="array" aca="1" ref="T676" ca="1">_xlfn.XLOOKUP(Contrato5[[#This Row],[CONTRATO]]&amp;Contrato5[[#This Row],[CDP]],[2]!Corr_Contr_CDP[[#All],[CONTRATO-CDP]],[2]!Corr_Contr_CDP[[#All],[CRP]],_xlfn.XLOOKUP(Contrato5[[#This Row],[CDP]],[2]!COMPROMISOS_2024[[#All],[disponibilidad]],[2]!COMPROMISOS_2024[[#All],[consecutivo]],"",0),0)</f>
        <v>#NAME?</v>
      </c>
      <c r="U676" s="140" t="e" cm="1">
        <f t="array" aca="1" ref="U676" ca="1">+_xlfn.XLOOKUP(Contrato5[[#This Row],[RCP]],[2]!COMPROMISOS_2024[[#All],[consecutivo]],[2]!COMPROMISOS_2024[[#All],[fecha_aprobacion]],"",0)</f>
        <v>#NAME?</v>
      </c>
      <c r="V676" s="141" t="e">
        <f ca="1">SUMIF([2]!COMPROMISOS_2024[[#All],[consecutivo]],Contrato5[[#This Row],[RCP]],[2]!COMPROMISOS_2024[[#All],[valor_total]])</f>
        <v>#REF!</v>
      </c>
      <c r="W676" s="160">
        <v>45516</v>
      </c>
      <c r="X676" s="160" t="s">
        <v>1045</v>
      </c>
      <c r="Y676" s="143">
        <v>45520</v>
      </c>
      <c r="Z676" s="262">
        <v>45643</v>
      </c>
      <c r="AA676" s="183" t="s">
        <v>2870</v>
      </c>
      <c r="AB676" s="172" t="s">
        <v>2871</v>
      </c>
      <c r="AC676" s="172"/>
      <c r="AD676" s="425">
        <v>202000005117</v>
      </c>
      <c r="AE676" s="147" t="s">
        <v>523</v>
      </c>
      <c r="AF676" s="148" t="str">
        <f>TEXT(LEFT(Contrato5[[#This Row],[CONTRATO]],3),"0")</f>
        <v>551</v>
      </c>
      <c r="AG676" s="148" t="str">
        <f>IF(LEN(Contrato5[[#This Row],[Contrato2]])=3,Contrato5[[#This Row],[Contrato2]],TEXT(Contrato5[[#This Row],[Contrato2]],"000"))</f>
        <v>551</v>
      </c>
      <c r="AH676" s="149">
        <f ca="1">IFERROR(_xlfn.DAYS(Contrato5[[#This Row],[Fecha Proyectada liquidación]],TODAY())/30,"")</f>
        <v>0.16666666666666666</v>
      </c>
      <c r="AI676" s="150">
        <f>+Contrato5[[#This Row],[FECHA TERMINACIÓN ]]+120</f>
        <v>45763</v>
      </c>
      <c r="AJ676" s="147"/>
      <c r="AK676" s="152" t="str">
        <f ca="1">IF(Contrato5[[#This Row],[FECHA TERMINACIÓN ]]&lt;TODAY(), "Terminado",IF(ISNUMBER(Contrato5[[#This Row],[Fecha Real de liquiidación ]]),"Liquidado",IF(Contrato5[[#This Row],[FECHA TERMINACIÓN ]]&gt;=TODAY(),"En ejecución","")))</f>
        <v>Terminado</v>
      </c>
      <c r="AL676" s="153" t="e">
        <f ca="1">SUMIF([2]!COMPROMISOS_2024[[#All],[consecutivo]],Contrato5[[#This Row],[RCP]],[2]!COMPROMISOS_2024[[#All],[Total pagado]])</f>
        <v>#REF!</v>
      </c>
      <c r="AM676" s="154">
        <f ca="1">IFERROR(Contrato5[[#This Row],[Pagos]]/Contrato5[[#This Row],[VALOR CONTRATO]],0)</f>
        <v>0</v>
      </c>
      <c r="AN676" s="198" t="e">
        <f ca="1">+Contrato5[[#This Row],[VALOR CONTRATO]]-Contrato5[[#This Row],[Pagos]]</f>
        <v>#REF!</v>
      </c>
      <c r="AO676" s="147" t="e" cm="1">
        <f t="array" aca="1" ref="AO676" ca="1">_xlfn.XLOOKUP(Contrato5[[#This Row],[DOCUMENTO ]],[2]!PERSONAL_ACTIVO_2024[[#All],[Documento identidad]],[2]!PERSONAL_ACTIVO_2024[[#All],[Mail ]],0,0)</f>
        <v>#NAME?</v>
      </c>
      <c r="AP676" s="147" t="e" cm="1">
        <f t="array" aca="1" ref="AP676" ca="1">_xlfn.XLOOKUP(Contrato5[[#This Row],[DOCUMENTO]],[2]!PERSONAL_ACTIVO_2024[[#All],[Documento identidad]],[2]!PERSONAL_ACTIVO_2024[[#All],[Mail ]],0,0)</f>
        <v>#NAME?</v>
      </c>
      <c r="AQ676" s="439" cm="1">
        <f t="array" aca="1" ref="AQ676" ca="1">IF(ISBLANK(Contrato5[[#This Row],[DEPENDENCIA ]]),0,IFERROR(_xlfn.XLOOKUP(Contrato5[[#This Row],[DEPENDENCIA ]],[2]!PERSONAL_ACTIVO_2024[[#All],[Dependencia]],[2]!PERSONAL_ACTIVO_2024[[#All],[Mail ]],0,0),0))</f>
        <v>0</v>
      </c>
    </row>
    <row r="677" spans="1:43" ht="34.5" customHeight="1">
      <c r="A677" s="147">
        <v>941</v>
      </c>
      <c r="B677" s="124">
        <v>552</v>
      </c>
      <c r="C677" s="162" t="s">
        <v>1997</v>
      </c>
      <c r="D677" s="227" t="s">
        <v>583</v>
      </c>
      <c r="E677" s="440" t="s">
        <v>94</v>
      </c>
      <c r="F677" s="227" t="s">
        <v>1376</v>
      </c>
      <c r="G677" s="281" t="s">
        <v>751</v>
      </c>
      <c r="H677" s="436">
        <v>6892057</v>
      </c>
      <c r="I677" s="273">
        <v>4908936</v>
      </c>
      <c r="J677" s="437">
        <v>19963006</v>
      </c>
      <c r="K677" s="131" t="s">
        <v>42</v>
      </c>
      <c r="L677" s="438" t="s">
        <v>2855</v>
      </c>
      <c r="M677" s="194" t="s">
        <v>586</v>
      </c>
      <c r="N677" s="177" t="e" cm="1">
        <f t="array" aca="1" ref="N677" ca="1">_xlfn.XLOOKUP(Contrato5[[#This Row],[SUPERVISOR TITULAR]],[2]!PERSONAL_ACTIVO_2024[[#All],[Nombre completo]],[2]!PERSONAL_ACTIVO_2024[[#All],[Documento identidad]],"",0)</f>
        <v>#NAME?</v>
      </c>
      <c r="O677" s="194" t="s">
        <v>589</v>
      </c>
      <c r="P677" s="196" t="e" cm="1">
        <f t="array" aca="1" ref="P677" ca="1">_xlfn.XLOOKUP(Contrato5[[#This Row],[SUPERVISOR SUPLENTE ]],[2]!PERSONAL_ACTIVO_2024[[#All],[Nombre completo]],[2]!PERSONAL_ACTIVO_2024[[#All],[Documento identidad]],"",0)</f>
        <v>#NAME?</v>
      </c>
      <c r="Q677" s="170">
        <v>685</v>
      </c>
      <c r="R677" s="137" t="e" cm="1">
        <f t="array" aca="1" ref="R677" ca="1">_xlfn.XLOOKUP(Contrato5[[#This Row],[CDP]],[2]!DISPONIBILIDADES_2024[[#All],[consecutivo]],[2]!DISPONIBILIDADES_2024[[#All],[fecha_aprobacion]],"",0)</f>
        <v>#NAME?</v>
      </c>
      <c r="S677" s="138" t="e">
        <f>SUMIF([2]!DISPONIBILIDADES_2024[[#All],[consecutivo]],Contrato5[[#This Row],[CDP]],[2]!DISPONIBILIDADES_2024[[#All],[valor_total_rubro]])</f>
        <v>#REF!</v>
      </c>
      <c r="T677" s="139" t="e" cm="1">
        <f t="array" aca="1" ref="T677" ca="1">_xlfn.XLOOKUP(Contrato5[[#This Row],[CONTRATO]]&amp;Contrato5[[#This Row],[CDP]],[2]!Corr_Contr_CDP[[#All],[CONTRATO-CDP]],[2]!Corr_Contr_CDP[[#All],[CRP]],_xlfn.XLOOKUP(Contrato5[[#This Row],[CDP]],[2]!COMPROMISOS_2024[[#All],[disponibilidad]],[2]!COMPROMISOS_2024[[#All],[consecutivo]],"",0),0)</f>
        <v>#NAME?</v>
      </c>
      <c r="U677" s="140" t="e" cm="1">
        <f t="array" aca="1" ref="U677" ca="1">+_xlfn.XLOOKUP(Contrato5[[#This Row],[RCP]],[2]!COMPROMISOS_2024[[#All],[consecutivo]],[2]!COMPROMISOS_2024[[#All],[fecha_aprobacion]],"",0)</f>
        <v>#NAME?</v>
      </c>
      <c r="V677" s="141" t="e">
        <f ca="1">SUMIF([2]!COMPROMISOS_2024[[#All],[consecutivo]],Contrato5[[#This Row],[RCP]],[2]!COMPROMISOS_2024[[#All],[valor_total]])</f>
        <v>#REF!</v>
      </c>
      <c r="W677" s="160">
        <v>45516</v>
      </c>
      <c r="X677" s="160" t="s">
        <v>1045</v>
      </c>
      <c r="Y677" s="143">
        <v>45520</v>
      </c>
      <c r="Z677" s="262">
        <v>45643</v>
      </c>
      <c r="AA677" s="183" t="s">
        <v>2877</v>
      </c>
      <c r="AB677" s="172" t="s">
        <v>2871</v>
      </c>
      <c r="AC677" s="172"/>
      <c r="AD677" s="425">
        <v>202000005118</v>
      </c>
      <c r="AE677" s="147" t="s">
        <v>523</v>
      </c>
      <c r="AF677" s="148" t="str">
        <f>TEXT(LEFT(Contrato5[[#This Row],[CONTRATO]],3),"0")</f>
        <v>552</v>
      </c>
      <c r="AG677" s="148" t="str">
        <f>IF(LEN(Contrato5[[#This Row],[Contrato2]])=3,Contrato5[[#This Row],[Contrato2]],TEXT(Contrato5[[#This Row],[Contrato2]],"000"))</f>
        <v>552</v>
      </c>
      <c r="AH677" s="149">
        <f ca="1">IFERROR(_xlfn.DAYS(Contrato5[[#This Row],[Fecha Proyectada liquidación]],TODAY())/30,"")</f>
        <v>0.16666666666666666</v>
      </c>
      <c r="AI677" s="150">
        <f>+Contrato5[[#This Row],[FECHA TERMINACIÓN ]]+120</f>
        <v>45763</v>
      </c>
      <c r="AJ677" s="147"/>
      <c r="AK677" s="152" t="str">
        <f ca="1">IF(Contrato5[[#This Row],[FECHA TERMINACIÓN ]]&lt;TODAY(), "Terminado",IF(ISNUMBER(Contrato5[[#This Row],[Fecha Real de liquiidación ]]),"Liquidado",IF(Contrato5[[#This Row],[FECHA TERMINACIÓN ]]&gt;=TODAY(),"En ejecución","")))</f>
        <v>Terminado</v>
      </c>
      <c r="AL677" s="153" t="e">
        <f ca="1">SUMIF([2]!COMPROMISOS_2024[[#All],[consecutivo]],Contrato5[[#This Row],[RCP]],[2]!COMPROMISOS_2024[[#All],[Total pagado]])</f>
        <v>#REF!</v>
      </c>
      <c r="AM677" s="154">
        <f ca="1">IFERROR(Contrato5[[#This Row],[Pagos]]/Contrato5[[#This Row],[VALOR CONTRATO]],0)</f>
        <v>0</v>
      </c>
      <c r="AN677" s="198" t="e">
        <f ca="1">+Contrato5[[#This Row],[VALOR CONTRATO]]-Contrato5[[#This Row],[Pagos]]</f>
        <v>#REF!</v>
      </c>
      <c r="AO677" s="147" t="e" cm="1">
        <f t="array" aca="1" ref="AO677" ca="1">_xlfn.XLOOKUP(Contrato5[[#This Row],[DOCUMENTO ]],[2]!PERSONAL_ACTIVO_2024[[#All],[Documento identidad]],[2]!PERSONAL_ACTIVO_2024[[#All],[Mail ]],0,0)</f>
        <v>#NAME?</v>
      </c>
      <c r="AP677" s="147" t="e" cm="1">
        <f t="array" aca="1" ref="AP677" ca="1">_xlfn.XLOOKUP(Contrato5[[#This Row],[DOCUMENTO]],[2]!PERSONAL_ACTIVO_2024[[#All],[Documento identidad]],[2]!PERSONAL_ACTIVO_2024[[#All],[Mail ]],0,0)</f>
        <v>#NAME?</v>
      </c>
      <c r="AQ677" s="439" cm="1">
        <f t="array" aca="1" ref="AQ677" ca="1">IF(ISBLANK(Contrato5[[#This Row],[DEPENDENCIA ]]),0,IFERROR(_xlfn.XLOOKUP(Contrato5[[#This Row],[DEPENDENCIA ]],[2]!PERSONAL_ACTIVO_2024[[#All],[Dependencia]],[2]!PERSONAL_ACTIVO_2024[[#All],[Mail ]],0,0),0))</f>
        <v>0</v>
      </c>
    </row>
    <row r="678" spans="1:43" ht="34.5" customHeight="1">
      <c r="A678" s="147">
        <v>942</v>
      </c>
      <c r="B678" s="124">
        <v>553</v>
      </c>
      <c r="C678" s="162" t="s">
        <v>1998</v>
      </c>
      <c r="D678" s="227" t="s">
        <v>583</v>
      </c>
      <c r="E678" s="440" t="s">
        <v>94</v>
      </c>
      <c r="F678" s="227" t="s">
        <v>1376</v>
      </c>
      <c r="G678" s="281" t="s">
        <v>2940</v>
      </c>
      <c r="H678" s="436">
        <v>43918828</v>
      </c>
      <c r="I678" s="273">
        <v>6920169</v>
      </c>
      <c r="J678" s="437">
        <v>28142021</v>
      </c>
      <c r="K678" s="131" t="s">
        <v>42</v>
      </c>
      <c r="L678" s="438" t="s">
        <v>2855</v>
      </c>
      <c r="M678" s="194" t="s">
        <v>600</v>
      </c>
      <c r="N678" s="177" t="e" cm="1">
        <f t="array" aca="1" ref="N678" ca="1">_xlfn.XLOOKUP(Contrato5[[#This Row],[SUPERVISOR TITULAR]],[2]!PERSONAL_ACTIVO_2024[[#All],[Nombre completo]],[2]!PERSONAL_ACTIVO_2024[[#All],[Documento identidad]],"",0)</f>
        <v>#NAME?</v>
      </c>
      <c r="O678" s="194" t="s">
        <v>2495</v>
      </c>
      <c r="P678" s="196" t="e" cm="1">
        <f t="array" aca="1" ref="P678" ca="1">_xlfn.XLOOKUP(Contrato5[[#This Row],[SUPERVISOR SUPLENTE ]],[2]!PERSONAL_ACTIVO_2024[[#All],[Nombre completo]],[2]!PERSONAL_ACTIVO_2024[[#All],[Documento identidad]],"",0)</f>
        <v>#NAME?</v>
      </c>
      <c r="Q678" s="170">
        <v>683</v>
      </c>
      <c r="R678" s="137" t="e" cm="1">
        <f t="array" aca="1" ref="R678" ca="1">_xlfn.XLOOKUP(Contrato5[[#This Row],[CDP]],[2]!DISPONIBILIDADES_2024[[#All],[consecutivo]],[2]!DISPONIBILIDADES_2024[[#All],[fecha_aprobacion]],"",0)</f>
        <v>#NAME?</v>
      </c>
      <c r="S678" s="138" t="e">
        <f>SUMIF([2]!DISPONIBILIDADES_2024[[#All],[consecutivo]],Contrato5[[#This Row],[CDP]],[2]!DISPONIBILIDADES_2024[[#All],[valor_total_rubro]])</f>
        <v>#REF!</v>
      </c>
      <c r="T678" s="139" t="e" cm="1">
        <f t="array" aca="1" ref="T678" ca="1">_xlfn.XLOOKUP(Contrato5[[#This Row],[CONTRATO]]&amp;Contrato5[[#This Row],[CDP]],[2]!Corr_Contr_CDP[[#All],[CONTRATO-CDP]],[2]!Corr_Contr_CDP[[#All],[CRP]],_xlfn.XLOOKUP(Contrato5[[#This Row],[CDP]],[2]!COMPROMISOS_2024[[#All],[disponibilidad]],[2]!COMPROMISOS_2024[[#All],[consecutivo]],"",0),0)</f>
        <v>#NAME?</v>
      </c>
      <c r="U678" s="140" t="e" cm="1">
        <f t="array" aca="1" ref="U678" ca="1">+_xlfn.XLOOKUP(Contrato5[[#This Row],[RCP]],[2]!COMPROMISOS_2024[[#All],[consecutivo]],[2]!COMPROMISOS_2024[[#All],[fecha_aprobacion]],"",0)</f>
        <v>#NAME?</v>
      </c>
      <c r="V678" s="141" t="e">
        <f ca="1">SUMIF([2]!COMPROMISOS_2024[[#All],[consecutivo]],Contrato5[[#This Row],[RCP]],[2]!COMPROMISOS_2024[[#All],[valor_total]])</f>
        <v>#REF!</v>
      </c>
      <c r="W678" s="160">
        <v>45517</v>
      </c>
      <c r="X678" s="160" t="s">
        <v>1045</v>
      </c>
      <c r="Y678" s="143">
        <v>45520</v>
      </c>
      <c r="Z678" s="262">
        <v>45643</v>
      </c>
      <c r="AA678" s="183" t="s">
        <v>2941</v>
      </c>
      <c r="AB678" s="172" t="s">
        <v>2871</v>
      </c>
      <c r="AC678" s="172"/>
      <c r="AD678" s="425">
        <v>202000005119</v>
      </c>
      <c r="AE678" s="147" t="s">
        <v>523</v>
      </c>
      <c r="AF678" s="148" t="str">
        <f>TEXT(LEFT(Contrato5[[#This Row],[CONTRATO]],3),"0")</f>
        <v>553</v>
      </c>
      <c r="AG678" s="148" t="str">
        <f>IF(LEN(Contrato5[[#This Row],[Contrato2]])=3,Contrato5[[#This Row],[Contrato2]],TEXT(Contrato5[[#This Row],[Contrato2]],"000"))</f>
        <v>553</v>
      </c>
      <c r="AH678" s="149">
        <f ca="1">IFERROR(_xlfn.DAYS(Contrato5[[#This Row],[Fecha Proyectada liquidación]],TODAY())/30,"")</f>
        <v>0.16666666666666666</v>
      </c>
      <c r="AI678" s="150">
        <f>+Contrato5[[#This Row],[FECHA TERMINACIÓN ]]+120</f>
        <v>45763</v>
      </c>
      <c r="AJ678" s="147"/>
      <c r="AK678" s="152" t="str">
        <f ca="1">IF(Contrato5[[#This Row],[FECHA TERMINACIÓN ]]&lt;TODAY(), "Terminado",IF(ISNUMBER(Contrato5[[#This Row],[Fecha Real de liquiidación ]]),"Liquidado",IF(Contrato5[[#This Row],[FECHA TERMINACIÓN ]]&gt;=TODAY(),"En ejecución","")))</f>
        <v>Terminado</v>
      </c>
      <c r="AL678" s="153" t="e">
        <f ca="1">SUMIF([2]!COMPROMISOS_2024[[#All],[consecutivo]],Contrato5[[#This Row],[RCP]],[2]!COMPROMISOS_2024[[#All],[Total pagado]])</f>
        <v>#REF!</v>
      </c>
      <c r="AM678" s="154">
        <f ca="1">IFERROR(Contrato5[[#This Row],[Pagos]]/Contrato5[[#This Row],[VALOR CONTRATO]],0)</f>
        <v>0</v>
      </c>
      <c r="AN678" s="198" t="e">
        <f ca="1">+Contrato5[[#This Row],[VALOR CONTRATO]]-Contrato5[[#This Row],[Pagos]]</f>
        <v>#REF!</v>
      </c>
      <c r="AO678" s="147" t="e" cm="1">
        <f t="array" aca="1" ref="AO678" ca="1">_xlfn.XLOOKUP(Contrato5[[#This Row],[DOCUMENTO ]],[2]!PERSONAL_ACTIVO_2024[[#All],[Documento identidad]],[2]!PERSONAL_ACTIVO_2024[[#All],[Mail ]],0,0)</f>
        <v>#NAME?</v>
      </c>
      <c r="AP678" s="147" t="e" cm="1">
        <f t="array" aca="1" ref="AP678" ca="1">_xlfn.XLOOKUP(Contrato5[[#This Row],[DOCUMENTO]],[2]!PERSONAL_ACTIVO_2024[[#All],[Documento identidad]],[2]!PERSONAL_ACTIVO_2024[[#All],[Mail ]],0,0)</f>
        <v>#NAME?</v>
      </c>
      <c r="AQ678" s="439" cm="1">
        <f t="array" aca="1" ref="AQ678" ca="1">IF(ISBLANK(Contrato5[[#This Row],[DEPENDENCIA ]]),0,IFERROR(_xlfn.XLOOKUP(Contrato5[[#This Row],[DEPENDENCIA ]],[2]!PERSONAL_ACTIVO_2024[[#All],[Dependencia]],[2]!PERSONAL_ACTIVO_2024[[#All],[Mail ]],0,0),0))</f>
        <v>0</v>
      </c>
    </row>
    <row r="679" spans="1:43" ht="34.5" customHeight="1">
      <c r="A679" s="147">
        <v>943</v>
      </c>
      <c r="B679" s="124">
        <v>554</v>
      </c>
      <c r="C679" s="162" t="s">
        <v>2003</v>
      </c>
      <c r="D679" s="227" t="s">
        <v>583</v>
      </c>
      <c r="E679" s="440" t="s">
        <v>94</v>
      </c>
      <c r="F679" s="227" t="s">
        <v>1376</v>
      </c>
      <c r="G679" s="281" t="s">
        <v>753</v>
      </c>
      <c r="H679" s="436">
        <v>98530582</v>
      </c>
      <c r="I679" s="273">
        <v>3952382</v>
      </c>
      <c r="J679" s="437">
        <v>16073020</v>
      </c>
      <c r="K679" s="131" t="s">
        <v>42</v>
      </c>
      <c r="L679" s="438" t="s">
        <v>2855</v>
      </c>
      <c r="M679" s="194" t="s">
        <v>586</v>
      </c>
      <c r="N679" s="177" t="e" cm="1">
        <f t="array" aca="1" ref="N679" ca="1">_xlfn.XLOOKUP(Contrato5[[#This Row],[SUPERVISOR TITULAR]],[2]!PERSONAL_ACTIVO_2024[[#All],[Nombre completo]],[2]!PERSONAL_ACTIVO_2024[[#All],[Documento identidad]],"",0)</f>
        <v>#NAME?</v>
      </c>
      <c r="O679" s="194" t="s">
        <v>589</v>
      </c>
      <c r="P679" s="196" t="e" cm="1">
        <f t="array" aca="1" ref="P679" ca="1">_xlfn.XLOOKUP(Contrato5[[#This Row],[SUPERVISOR SUPLENTE ]],[2]!PERSONAL_ACTIVO_2024[[#All],[Nombre completo]],[2]!PERSONAL_ACTIVO_2024[[#All],[Documento identidad]],"",0)</f>
        <v>#NAME?</v>
      </c>
      <c r="Q679" s="170">
        <v>682</v>
      </c>
      <c r="R679" s="137" t="e" cm="1">
        <f t="array" aca="1" ref="R679" ca="1">_xlfn.XLOOKUP(Contrato5[[#This Row],[CDP]],[2]!DISPONIBILIDADES_2024[[#All],[consecutivo]],[2]!DISPONIBILIDADES_2024[[#All],[fecha_aprobacion]],"",0)</f>
        <v>#NAME?</v>
      </c>
      <c r="S679" s="138" t="e">
        <f>SUMIF([2]!DISPONIBILIDADES_2024[[#All],[consecutivo]],Contrato5[[#This Row],[CDP]],[2]!DISPONIBILIDADES_2024[[#All],[valor_total_rubro]])</f>
        <v>#REF!</v>
      </c>
      <c r="T679" s="139" t="e" cm="1">
        <f t="array" aca="1" ref="T679" ca="1">_xlfn.XLOOKUP(Contrato5[[#This Row],[CONTRATO]]&amp;Contrato5[[#This Row],[CDP]],[2]!Corr_Contr_CDP[[#All],[CONTRATO-CDP]],[2]!Corr_Contr_CDP[[#All],[CRP]],_xlfn.XLOOKUP(Contrato5[[#This Row],[CDP]],[2]!COMPROMISOS_2024[[#All],[disponibilidad]],[2]!COMPROMISOS_2024[[#All],[consecutivo]],"",0),0)</f>
        <v>#NAME?</v>
      </c>
      <c r="U679" s="140" t="e" cm="1">
        <f t="array" aca="1" ref="U679" ca="1">+_xlfn.XLOOKUP(Contrato5[[#This Row],[RCP]],[2]!COMPROMISOS_2024[[#All],[consecutivo]],[2]!COMPROMISOS_2024[[#All],[fecha_aprobacion]],"",0)</f>
        <v>#NAME?</v>
      </c>
      <c r="V679" s="141" t="e">
        <f ca="1">SUMIF([2]!COMPROMISOS_2024[[#All],[consecutivo]],Contrato5[[#This Row],[RCP]],[2]!COMPROMISOS_2024[[#All],[valor_total]])</f>
        <v>#REF!</v>
      </c>
      <c r="W679" s="160">
        <v>45516</v>
      </c>
      <c r="X679" s="160" t="s">
        <v>1045</v>
      </c>
      <c r="Y679" s="143">
        <v>45520</v>
      </c>
      <c r="Z679" s="262">
        <v>45643</v>
      </c>
      <c r="AA679" s="183" t="s">
        <v>2870</v>
      </c>
      <c r="AB679" s="172" t="s">
        <v>2871</v>
      </c>
      <c r="AC679" s="172"/>
      <c r="AD679" s="425">
        <v>202000005120</v>
      </c>
      <c r="AE679" s="147" t="s">
        <v>523</v>
      </c>
      <c r="AF679" s="148" t="str">
        <f>TEXT(LEFT(Contrato5[[#This Row],[CONTRATO]],3),"0")</f>
        <v>554</v>
      </c>
      <c r="AG679" s="148" t="str">
        <f>IF(LEN(Contrato5[[#This Row],[Contrato2]])=3,Contrato5[[#This Row],[Contrato2]],TEXT(Contrato5[[#This Row],[Contrato2]],"000"))</f>
        <v>554</v>
      </c>
      <c r="AH679" s="149">
        <f ca="1">IFERROR(_xlfn.DAYS(Contrato5[[#This Row],[Fecha Proyectada liquidación]],TODAY())/30,"")</f>
        <v>0.16666666666666666</v>
      </c>
      <c r="AI679" s="150">
        <f>+Contrato5[[#This Row],[FECHA TERMINACIÓN ]]+120</f>
        <v>45763</v>
      </c>
      <c r="AJ679" s="147"/>
      <c r="AK679" s="152" t="str">
        <f ca="1">IF(Contrato5[[#This Row],[FECHA TERMINACIÓN ]]&lt;TODAY(), "Terminado",IF(ISNUMBER(Contrato5[[#This Row],[Fecha Real de liquiidación ]]),"Liquidado",IF(Contrato5[[#This Row],[FECHA TERMINACIÓN ]]&gt;=TODAY(),"En ejecución","")))</f>
        <v>Terminado</v>
      </c>
      <c r="AL679" s="153" t="e">
        <f ca="1">SUMIF([2]!COMPROMISOS_2024[[#All],[consecutivo]],Contrato5[[#This Row],[RCP]],[2]!COMPROMISOS_2024[[#All],[Total pagado]])</f>
        <v>#REF!</v>
      </c>
      <c r="AM679" s="154">
        <f ca="1">IFERROR(Contrato5[[#This Row],[Pagos]]/Contrato5[[#This Row],[VALOR CONTRATO]],0)</f>
        <v>0</v>
      </c>
      <c r="AN679" s="198" t="e">
        <f ca="1">+Contrato5[[#This Row],[VALOR CONTRATO]]-Contrato5[[#This Row],[Pagos]]</f>
        <v>#REF!</v>
      </c>
      <c r="AO679" s="147" t="e" cm="1">
        <f t="array" aca="1" ref="AO679" ca="1">_xlfn.XLOOKUP(Contrato5[[#This Row],[DOCUMENTO ]],[2]!PERSONAL_ACTIVO_2024[[#All],[Documento identidad]],[2]!PERSONAL_ACTIVO_2024[[#All],[Mail ]],0,0)</f>
        <v>#NAME?</v>
      </c>
      <c r="AP679" s="147" t="e" cm="1">
        <f t="array" aca="1" ref="AP679" ca="1">_xlfn.XLOOKUP(Contrato5[[#This Row],[DOCUMENTO]],[2]!PERSONAL_ACTIVO_2024[[#All],[Documento identidad]],[2]!PERSONAL_ACTIVO_2024[[#All],[Mail ]],0,0)</f>
        <v>#NAME?</v>
      </c>
      <c r="AQ679" s="439" cm="1">
        <f t="array" aca="1" ref="AQ679" ca="1">IF(ISBLANK(Contrato5[[#This Row],[DEPENDENCIA ]]),0,IFERROR(_xlfn.XLOOKUP(Contrato5[[#This Row],[DEPENDENCIA ]],[2]!PERSONAL_ACTIVO_2024[[#All],[Dependencia]],[2]!PERSONAL_ACTIVO_2024[[#All],[Mail ]],0,0),0))</f>
        <v>0</v>
      </c>
    </row>
    <row r="680" spans="1:43" ht="34.5" customHeight="1">
      <c r="A680" s="147">
        <v>944</v>
      </c>
      <c r="B680" s="124">
        <v>555</v>
      </c>
      <c r="C680" s="162" t="s">
        <v>2000</v>
      </c>
      <c r="D680" s="227" t="s">
        <v>583</v>
      </c>
      <c r="E680" s="440" t="s">
        <v>94</v>
      </c>
      <c r="F680" s="227" t="s">
        <v>1376</v>
      </c>
      <c r="G680" s="281" t="s">
        <v>754</v>
      </c>
      <c r="H680" s="436">
        <v>78688947</v>
      </c>
      <c r="I680" s="273">
        <v>2574842</v>
      </c>
      <c r="J680" s="437">
        <v>10471024</v>
      </c>
      <c r="K680" s="131" t="s">
        <v>42</v>
      </c>
      <c r="L680" s="438" t="s">
        <v>2855</v>
      </c>
      <c r="M680" s="194" t="s">
        <v>586</v>
      </c>
      <c r="N680" s="177" t="e" cm="1">
        <f t="array" aca="1" ref="N680" ca="1">_xlfn.XLOOKUP(Contrato5[[#This Row],[SUPERVISOR TITULAR]],[2]!PERSONAL_ACTIVO_2024[[#All],[Nombre completo]],[2]!PERSONAL_ACTIVO_2024[[#All],[Documento identidad]],"",0)</f>
        <v>#NAME?</v>
      </c>
      <c r="O680" s="194" t="s">
        <v>589</v>
      </c>
      <c r="P680" s="196" t="e" cm="1">
        <f t="array" aca="1" ref="P680" ca="1">_xlfn.XLOOKUP(Contrato5[[#This Row],[SUPERVISOR SUPLENTE ]],[2]!PERSONAL_ACTIVO_2024[[#All],[Nombre completo]],[2]!PERSONAL_ACTIVO_2024[[#All],[Documento identidad]],"",0)</f>
        <v>#NAME?</v>
      </c>
      <c r="Q680" s="170">
        <v>760</v>
      </c>
      <c r="R680" s="137" t="e" cm="1">
        <f t="array" aca="1" ref="R680" ca="1">_xlfn.XLOOKUP(Contrato5[[#This Row],[CDP]],[2]!DISPONIBILIDADES_2024[[#All],[consecutivo]],[2]!DISPONIBILIDADES_2024[[#All],[fecha_aprobacion]],"",0)</f>
        <v>#NAME?</v>
      </c>
      <c r="S680" s="138" t="e">
        <f>SUMIF([2]!DISPONIBILIDADES_2024[[#All],[consecutivo]],Contrato5[[#This Row],[CDP]],[2]!DISPONIBILIDADES_2024[[#All],[valor_total_rubro]])</f>
        <v>#REF!</v>
      </c>
      <c r="T680" s="139" t="e" cm="1">
        <f t="array" aca="1" ref="T680" ca="1">_xlfn.XLOOKUP(Contrato5[[#This Row],[CONTRATO]]&amp;Contrato5[[#This Row],[CDP]],[2]!Corr_Contr_CDP[[#All],[CONTRATO-CDP]],[2]!Corr_Contr_CDP[[#All],[CRP]],_xlfn.XLOOKUP(Contrato5[[#This Row],[CDP]],[2]!COMPROMISOS_2024[[#All],[disponibilidad]],[2]!COMPROMISOS_2024[[#All],[consecutivo]],"",0),0)</f>
        <v>#NAME?</v>
      </c>
      <c r="U680" s="140" t="e" cm="1">
        <f t="array" aca="1" ref="U680" ca="1">+_xlfn.XLOOKUP(Contrato5[[#This Row],[RCP]],[2]!COMPROMISOS_2024[[#All],[consecutivo]],[2]!COMPROMISOS_2024[[#All],[fecha_aprobacion]],"",0)</f>
        <v>#NAME?</v>
      </c>
      <c r="V680" s="141" t="e">
        <f ca="1">SUMIF([2]!COMPROMISOS_2024[[#All],[consecutivo]],Contrato5[[#This Row],[RCP]],[2]!COMPROMISOS_2024[[#All],[valor_total]])</f>
        <v>#REF!</v>
      </c>
      <c r="W680" s="160">
        <v>45516</v>
      </c>
      <c r="X680" s="160" t="s">
        <v>1045</v>
      </c>
      <c r="Y680" s="143">
        <v>45520</v>
      </c>
      <c r="Z680" s="262">
        <v>45643</v>
      </c>
      <c r="AA680" s="183" t="s">
        <v>2875</v>
      </c>
      <c r="AB680" s="172" t="s">
        <v>2905</v>
      </c>
      <c r="AC680" s="172"/>
      <c r="AD680" s="425">
        <v>202000005121</v>
      </c>
      <c r="AE680" s="147" t="s">
        <v>523</v>
      </c>
      <c r="AF680" s="148" t="str">
        <f>TEXT(LEFT(Contrato5[[#This Row],[CONTRATO]],3),"0")</f>
        <v>555</v>
      </c>
      <c r="AG680" s="148" t="str">
        <f>IF(LEN(Contrato5[[#This Row],[Contrato2]])=3,Contrato5[[#This Row],[Contrato2]],TEXT(Contrato5[[#This Row],[Contrato2]],"000"))</f>
        <v>555</v>
      </c>
      <c r="AH680" s="149">
        <f ca="1">IFERROR(_xlfn.DAYS(Contrato5[[#This Row],[Fecha Proyectada liquidación]],TODAY())/30,"")</f>
        <v>0.16666666666666666</v>
      </c>
      <c r="AI680" s="150">
        <f>+Contrato5[[#This Row],[FECHA TERMINACIÓN ]]+120</f>
        <v>45763</v>
      </c>
      <c r="AJ680" s="147"/>
      <c r="AK680" s="152" t="str">
        <f ca="1">IF(Contrato5[[#This Row],[FECHA TERMINACIÓN ]]&lt;TODAY(), "Terminado",IF(ISNUMBER(Contrato5[[#This Row],[Fecha Real de liquiidación ]]),"Liquidado",IF(Contrato5[[#This Row],[FECHA TERMINACIÓN ]]&gt;=TODAY(),"En ejecución","")))</f>
        <v>Terminado</v>
      </c>
      <c r="AL680" s="153" t="e">
        <f ca="1">SUMIF([2]!COMPROMISOS_2024[[#All],[consecutivo]],Contrato5[[#This Row],[RCP]],[2]!COMPROMISOS_2024[[#All],[Total pagado]])</f>
        <v>#REF!</v>
      </c>
      <c r="AM680" s="154">
        <f ca="1">IFERROR(Contrato5[[#This Row],[Pagos]]/Contrato5[[#This Row],[VALOR CONTRATO]],0)</f>
        <v>0</v>
      </c>
      <c r="AN680" s="198" t="e">
        <f ca="1">+Contrato5[[#This Row],[VALOR CONTRATO]]-Contrato5[[#This Row],[Pagos]]</f>
        <v>#REF!</v>
      </c>
      <c r="AO680" s="147" t="e" cm="1">
        <f t="array" aca="1" ref="AO680" ca="1">_xlfn.XLOOKUP(Contrato5[[#This Row],[DOCUMENTO ]],[2]!PERSONAL_ACTIVO_2024[[#All],[Documento identidad]],[2]!PERSONAL_ACTIVO_2024[[#All],[Mail ]],0,0)</f>
        <v>#NAME?</v>
      </c>
      <c r="AP680" s="147" t="e" cm="1">
        <f t="array" aca="1" ref="AP680" ca="1">_xlfn.XLOOKUP(Contrato5[[#This Row],[DOCUMENTO]],[2]!PERSONAL_ACTIVO_2024[[#All],[Documento identidad]],[2]!PERSONAL_ACTIVO_2024[[#All],[Mail ]],0,0)</f>
        <v>#NAME?</v>
      </c>
      <c r="AQ680" s="439" cm="1">
        <f t="array" aca="1" ref="AQ680" ca="1">IF(ISBLANK(Contrato5[[#This Row],[DEPENDENCIA ]]),0,IFERROR(_xlfn.XLOOKUP(Contrato5[[#This Row],[DEPENDENCIA ]],[2]!PERSONAL_ACTIVO_2024[[#All],[Dependencia]],[2]!PERSONAL_ACTIVO_2024[[#All],[Mail ]],0,0),0))</f>
        <v>0</v>
      </c>
    </row>
    <row r="681" spans="1:43" ht="34.5" customHeight="1">
      <c r="A681" s="147">
        <v>945</v>
      </c>
      <c r="B681" s="124">
        <v>556</v>
      </c>
      <c r="C681" s="162" t="s">
        <v>1985</v>
      </c>
      <c r="D681" s="227" t="s">
        <v>583</v>
      </c>
      <c r="E681" s="440" t="s">
        <v>94</v>
      </c>
      <c r="F681" s="227" t="s">
        <v>1376</v>
      </c>
      <c r="G681" s="281" t="s">
        <v>2942</v>
      </c>
      <c r="H681" s="436">
        <v>1037582162</v>
      </c>
      <c r="I681" s="273">
        <v>3952382</v>
      </c>
      <c r="J681" s="437">
        <v>16073020</v>
      </c>
      <c r="K681" s="131" t="s">
        <v>42</v>
      </c>
      <c r="L681" s="438" t="s">
        <v>2855</v>
      </c>
      <c r="M681" s="194" t="s">
        <v>589</v>
      </c>
      <c r="N681" s="177" t="e" cm="1">
        <f t="array" aca="1" ref="N681" ca="1">_xlfn.XLOOKUP(Contrato5[[#This Row],[SUPERVISOR TITULAR]],[2]!PERSONAL_ACTIVO_2024[[#All],[Nombre completo]],[2]!PERSONAL_ACTIVO_2024[[#All],[Documento identidad]],"",0)</f>
        <v>#NAME?</v>
      </c>
      <c r="O681" s="194" t="s">
        <v>586</v>
      </c>
      <c r="P681" s="196" t="e" cm="1">
        <f t="array" aca="1" ref="P681" ca="1">_xlfn.XLOOKUP(Contrato5[[#This Row],[SUPERVISOR SUPLENTE ]],[2]!PERSONAL_ACTIVO_2024[[#All],[Nombre completo]],[2]!PERSONAL_ACTIVO_2024[[#All],[Documento identidad]],"",0)</f>
        <v>#NAME?</v>
      </c>
      <c r="Q681" s="170">
        <v>706</v>
      </c>
      <c r="R681" s="137" t="e" cm="1">
        <f t="array" aca="1" ref="R681" ca="1">_xlfn.XLOOKUP(Contrato5[[#This Row],[CDP]],[2]!DISPONIBILIDADES_2024[[#All],[consecutivo]],[2]!DISPONIBILIDADES_2024[[#All],[fecha_aprobacion]],"",0)</f>
        <v>#NAME?</v>
      </c>
      <c r="S681" s="138" t="e">
        <f>SUMIF([2]!DISPONIBILIDADES_2024[[#All],[consecutivo]],Contrato5[[#This Row],[CDP]],[2]!DISPONIBILIDADES_2024[[#All],[valor_total_rubro]])</f>
        <v>#REF!</v>
      </c>
      <c r="T681" s="139" t="e" cm="1">
        <f t="array" aca="1" ref="T681" ca="1">_xlfn.XLOOKUP(Contrato5[[#This Row],[CONTRATO]]&amp;Contrato5[[#This Row],[CDP]],[2]!Corr_Contr_CDP[[#All],[CONTRATO-CDP]],[2]!Corr_Contr_CDP[[#All],[CRP]],_xlfn.XLOOKUP(Contrato5[[#This Row],[CDP]],[2]!COMPROMISOS_2024[[#All],[disponibilidad]],[2]!COMPROMISOS_2024[[#All],[consecutivo]],"",0),0)</f>
        <v>#NAME?</v>
      </c>
      <c r="U681" s="140" t="e" cm="1">
        <f t="array" aca="1" ref="U681" ca="1">+_xlfn.XLOOKUP(Contrato5[[#This Row],[RCP]],[2]!COMPROMISOS_2024[[#All],[consecutivo]],[2]!COMPROMISOS_2024[[#All],[fecha_aprobacion]],"",0)</f>
        <v>#NAME?</v>
      </c>
      <c r="V681" s="141" t="e">
        <f ca="1">SUMIF([2]!COMPROMISOS_2024[[#All],[consecutivo]],Contrato5[[#This Row],[RCP]],[2]!COMPROMISOS_2024[[#All],[valor_total]])</f>
        <v>#REF!</v>
      </c>
      <c r="W681" s="160">
        <v>45516</v>
      </c>
      <c r="X681" s="160" t="s">
        <v>1045</v>
      </c>
      <c r="Y681" s="143">
        <v>45520</v>
      </c>
      <c r="Z681" s="262">
        <v>45643</v>
      </c>
      <c r="AA681" s="183" t="s">
        <v>2877</v>
      </c>
      <c r="AB681" s="172" t="s">
        <v>2871</v>
      </c>
      <c r="AC681" s="172"/>
      <c r="AD681" s="425">
        <v>202000005122</v>
      </c>
      <c r="AE681" s="147" t="s">
        <v>523</v>
      </c>
      <c r="AF681" s="148" t="str">
        <f>TEXT(LEFT(Contrato5[[#This Row],[CONTRATO]],3),"0")</f>
        <v>556</v>
      </c>
      <c r="AG681" s="148" t="str">
        <f>IF(LEN(Contrato5[[#This Row],[Contrato2]])=3,Contrato5[[#This Row],[Contrato2]],TEXT(Contrato5[[#This Row],[Contrato2]],"000"))</f>
        <v>556</v>
      </c>
      <c r="AH681" s="149">
        <f ca="1">IFERROR(_xlfn.DAYS(Contrato5[[#This Row],[Fecha Proyectada liquidación]],TODAY())/30,"")</f>
        <v>0.16666666666666666</v>
      </c>
      <c r="AI681" s="150">
        <f>+Contrato5[[#This Row],[FECHA TERMINACIÓN ]]+120</f>
        <v>45763</v>
      </c>
      <c r="AJ681" s="147"/>
      <c r="AK681" s="152" t="str">
        <f ca="1">IF(Contrato5[[#This Row],[FECHA TERMINACIÓN ]]&lt;TODAY(), "Terminado",IF(ISNUMBER(Contrato5[[#This Row],[Fecha Real de liquiidación ]]),"Liquidado",IF(Contrato5[[#This Row],[FECHA TERMINACIÓN ]]&gt;=TODAY(),"En ejecución","")))</f>
        <v>Terminado</v>
      </c>
      <c r="AL681" s="153" t="e">
        <f ca="1">SUMIF([2]!COMPROMISOS_2024[[#All],[consecutivo]],Contrato5[[#This Row],[RCP]],[2]!COMPROMISOS_2024[[#All],[Total pagado]])</f>
        <v>#REF!</v>
      </c>
      <c r="AM681" s="154">
        <f ca="1">IFERROR(Contrato5[[#This Row],[Pagos]]/Contrato5[[#This Row],[VALOR CONTRATO]],0)</f>
        <v>0</v>
      </c>
      <c r="AN681" s="198" t="e">
        <f ca="1">+Contrato5[[#This Row],[VALOR CONTRATO]]-Contrato5[[#This Row],[Pagos]]</f>
        <v>#REF!</v>
      </c>
      <c r="AO681" s="147" t="e" cm="1">
        <f t="array" aca="1" ref="AO681" ca="1">_xlfn.XLOOKUP(Contrato5[[#This Row],[DOCUMENTO ]],[2]!PERSONAL_ACTIVO_2024[[#All],[Documento identidad]],[2]!PERSONAL_ACTIVO_2024[[#All],[Mail ]],0,0)</f>
        <v>#NAME?</v>
      </c>
      <c r="AP681" s="147" t="e" cm="1">
        <f t="array" aca="1" ref="AP681" ca="1">_xlfn.XLOOKUP(Contrato5[[#This Row],[DOCUMENTO]],[2]!PERSONAL_ACTIVO_2024[[#All],[Documento identidad]],[2]!PERSONAL_ACTIVO_2024[[#All],[Mail ]],0,0)</f>
        <v>#NAME?</v>
      </c>
      <c r="AQ681" s="439" cm="1">
        <f t="array" aca="1" ref="AQ681" ca="1">IF(ISBLANK(Contrato5[[#This Row],[DEPENDENCIA ]]),0,IFERROR(_xlfn.XLOOKUP(Contrato5[[#This Row],[DEPENDENCIA ]],[2]!PERSONAL_ACTIVO_2024[[#All],[Dependencia]],[2]!PERSONAL_ACTIVO_2024[[#All],[Mail ]],0,0),0))</f>
        <v>0</v>
      </c>
    </row>
    <row r="682" spans="1:43" ht="34.5" customHeight="1">
      <c r="A682" s="147">
        <v>946</v>
      </c>
      <c r="B682" s="124">
        <v>557</v>
      </c>
      <c r="C682" s="162" t="s">
        <v>2004</v>
      </c>
      <c r="D682" s="227" t="s">
        <v>583</v>
      </c>
      <c r="E682" s="440" t="s">
        <v>94</v>
      </c>
      <c r="F682" s="227" t="s">
        <v>1376</v>
      </c>
      <c r="G682" s="281" t="s">
        <v>2943</v>
      </c>
      <c r="H682" s="436">
        <v>1001497203</v>
      </c>
      <c r="I682" s="273">
        <v>2574842</v>
      </c>
      <c r="J682" s="437">
        <v>10471024</v>
      </c>
      <c r="K682" s="131" t="s">
        <v>42</v>
      </c>
      <c r="L682" s="438" t="s">
        <v>2855</v>
      </c>
      <c r="M682" s="194" t="s">
        <v>600</v>
      </c>
      <c r="N682" s="177" t="e" cm="1">
        <f t="array" aca="1" ref="N682" ca="1">_xlfn.XLOOKUP(Contrato5[[#This Row],[SUPERVISOR TITULAR]],[2]!PERSONAL_ACTIVO_2024[[#All],[Nombre completo]],[2]!PERSONAL_ACTIVO_2024[[#All],[Documento identidad]],"",0)</f>
        <v>#NAME?</v>
      </c>
      <c r="O682" s="194" t="s">
        <v>2495</v>
      </c>
      <c r="P682" s="196" t="e" cm="1">
        <f t="array" aca="1" ref="P682" ca="1">_xlfn.XLOOKUP(Contrato5[[#This Row],[SUPERVISOR SUPLENTE ]],[2]!PERSONAL_ACTIVO_2024[[#All],[Nombre completo]],[2]!PERSONAL_ACTIVO_2024[[#All],[Documento identidad]],"",0)</f>
        <v>#NAME?</v>
      </c>
      <c r="Q682" s="170">
        <v>759</v>
      </c>
      <c r="R682" s="137" t="e" cm="1">
        <f t="array" aca="1" ref="R682" ca="1">_xlfn.XLOOKUP(Contrato5[[#This Row],[CDP]],[2]!DISPONIBILIDADES_2024[[#All],[consecutivo]],[2]!DISPONIBILIDADES_2024[[#All],[fecha_aprobacion]],"",0)</f>
        <v>#NAME?</v>
      </c>
      <c r="S682" s="138" t="e">
        <f>SUMIF([2]!DISPONIBILIDADES_2024[[#All],[consecutivo]],Contrato5[[#This Row],[CDP]],[2]!DISPONIBILIDADES_2024[[#All],[valor_total_rubro]])</f>
        <v>#REF!</v>
      </c>
      <c r="T682" s="139" t="e" cm="1">
        <f t="array" aca="1" ref="T682" ca="1">_xlfn.XLOOKUP(Contrato5[[#This Row],[CONTRATO]]&amp;Contrato5[[#This Row],[CDP]],[2]!Corr_Contr_CDP[[#All],[CONTRATO-CDP]],[2]!Corr_Contr_CDP[[#All],[CRP]],_xlfn.XLOOKUP(Contrato5[[#This Row],[CDP]],[2]!COMPROMISOS_2024[[#All],[disponibilidad]],[2]!COMPROMISOS_2024[[#All],[consecutivo]],"",0),0)</f>
        <v>#NAME?</v>
      </c>
      <c r="U682" s="140" t="e" cm="1">
        <f t="array" aca="1" ref="U682" ca="1">+_xlfn.XLOOKUP(Contrato5[[#This Row],[RCP]],[2]!COMPROMISOS_2024[[#All],[consecutivo]],[2]!COMPROMISOS_2024[[#All],[fecha_aprobacion]],"",0)</f>
        <v>#NAME?</v>
      </c>
      <c r="V682" s="141" t="e">
        <f ca="1">SUMIF([2]!COMPROMISOS_2024[[#All],[consecutivo]],Contrato5[[#This Row],[RCP]],[2]!COMPROMISOS_2024[[#All],[valor_total]])</f>
        <v>#REF!</v>
      </c>
      <c r="W682" s="160">
        <v>45516</v>
      </c>
      <c r="X682" s="160" t="s">
        <v>1045</v>
      </c>
      <c r="Y682" s="143">
        <v>45520</v>
      </c>
      <c r="Z682" s="262">
        <v>45643</v>
      </c>
      <c r="AA682" s="183" t="s">
        <v>2875</v>
      </c>
      <c r="AB682" s="172" t="s">
        <v>2871</v>
      </c>
      <c r="AC682" s="172"/>
      <c r="AD682" s="425">
        <v>202000005123</v>
      </c>
      <c r="AE682" s="147" t="s">
        <v>523</v>
      </c>
      <c r="AF682" s="148" t="str">
        <f>TEXT(LEFT(Contrato5[[#This Row],[CONTRATO]],3),"0")</f>
        <v>557</v>
      </c>
      <c r="AG682" s="148" t="str">
        <f>IF(LEN(Contrato5[[#This Row],[Contrato2]])=3,Contrato5[[#This Row],[Contrato2]],TEXT(Contrato5[[#This Row],[Contrato2]],"000"))</f>
        <v>557</v>
      </c>
      <c r="AH682" s="149">
        <f ca="1">IFERROR(_xlfn.DAYS(Contrato5[[#This Row],[Fecha Proyectada liquidación]],TODAY())/30,"")</f>
        <v>0.16666666666666666</v>
      </c>
      <c r="AI682" s="150">
        <f>+Contrato5[[#This Row],[FECHA TERMINACIÓN ]]+120</f>
        <v>45763</v>
      </c>
      <c r="AJ682" s="147"/>
      <c r="AK682" s="152" t="str">
        <f ca="1">IF(Contrato5[[#This Row],[FECHA TERMINACIÓN ]]&lt;TODAY(), "Terminado",IF(ISNUMBER(Contrato5[[#This Row],[Fecha Real de liquiidación ]]),"Liquidado",IF(Contrato5[[#This Row],[FECHA TERMINACIÓN ]]&gt;=TODAY(),"En ejecución","")))</f>
        <v>Terminado</v>
      </c>
      <c r="AL682" s="153" t="e">
        <f ca="1">SUMIF([2]!COMPROMISOS_2024[[#All],[consecutivo]],Contrato5[[#This Row],[RCP]],[2]!COMPROMISOS_2024[[#All],[Total pagado]])</f>
        <v>#REF!</v>
      </c>
      <c r="AM682" s="154">
        <f ca="1">IFERROR(Contrato5[[#This Row],[Pagos]]/Contrato5[[#This Row],[VALOR CONTRATO]],0)</f>
        <v>0</v>
      </c>
      <c r="AN682" s="198" t="e">
        <f ca="1">+Contrato5[[#This Row],[VALOR CONTRATO]]-Contrato5[[#This Row],[Pagos]]</f>
        <v>#REF!</v>
      </c>
      <c r="AO682" s="147" t="e" cm="1">
        <f t="array" aca="1" ref="AO682" ca="1">_xlfn.XLOOKUP(Contrato5[[#This Row],[DOCUMENTO ]],[2]!PERSONAL_ACTIVO_2024[[#All],[Documento identidad]],[2]!PERSONAL_ACTIVO_2024[[#All],[Mail ]],0,0)</f>
        <v>#NAME?</v>
      </c>
      <c r="AP682" s="147" t="e" cm="1">
        <f t="array" aca="1" ref="AP682" ca="1">_xlfn.XLOOKUP(Contrato5[[#This Row],[DOCUMENTO]],[2]!PERSONAL_ACTIVO_2024[[#All],[Documento identidad]],[2]!PERSONAL_ACTIVO_2024[[#All],[Mail ]],0,0)</f>
        <v>#NAME?</v>
      </c>
      <c r="AQ682" s="439" cm="1">
        <f t="array" aca="1" ref="AQ682" ca="1">IF(ISBLANK(Contrato5[[#This Row],[DEPENDENCIA ]]),0,IFERROR(_xlfn.XLOOKUP(Contrato5[[#This Row],[DEPENDENCIA ]],[2]!PERSONAL_ACTIVO_2024[[#All],[Dependencia]],[2]!PERSONAL_ACTIVO_2024[[#All],[Mail ]],0,0),0))</f>
        <v>0</v>
      </c>
    </row>
    <row r="683" spans="1:43" ht="34.5" customHeight="1">
      <c r="A683" s="147">
        <v>947</v>
      </c>
      <c r="B683" s="124">
        <v>558</v>
      </c>
      <c r="C683" s="162" t="s">
        <v>2004</v>
      </c>
      <c r="D683" s="227" t="s">
        <v>583</v>
      </c>
      <c r="E683" s="440" t="s">
        <v>94</v>
      </c>
      <c r="F683" s="227" t="s">
        <v>1376</v>
      </c>
      <c r="G683" s="281" t="s">
        <v>2944</v>
      </c>
      <c r="H683" s="436">
        <v>71334771</v>
      </c>
      <c r="I683" s="273">
        <v>2574842</v>
      </c>
      <c r="J683" s="437">
        <v>10471024</v>
      </c>
      <c r="K683" s="131" t="s">
        <v>42</v>
      </c>
      <c r="L683" s="438" t="s">
        <v>2855</v>
      </c>
      <c r="M683" s="194" t="s">
        <v>600</v>
      </c>
      <c r="N683" s="177" t="e" cm="1">
        <f t="array" aca="1" ref="N683" ca="1">_xlfn.XLOOKUP(Contrato5[[#This Row],[SUPERVISOR TITULAR]],[2]!PERSONAL_ACTIVO_2024[[#All],[Nombre completo]],[2]!PERSONAL_ACTIVO_2024[[#All],[Documento identidad]],"",0)</f>
        <v>#NAME?</v>
      </c>
      <c r="O683" s="194" t="s">
        <v>2495</v>
      </c>
      <c r="P683" s="196" t="e" cm="1">
        <f t="array" aca="1" ref="P683" ca="1">_xlfn.XLOOKUP(Contrato5[[#This Row],[SUPERVISOR SUPLENTE ]],[2]!PERSONAL_ACTIVO_2024[[#All],[Nombre completo]],[2]!PERSONAL_ACTIVO_2024[[#All],[Documento identidad]],"",0)</f>
        <v>#NAME?</v>
      </c>
      <c r="Q683" s="170">
        <v>758</v>
      </c>
      <c r="R683" s="137" t="e" cm="1">
        <f t="array" aca="1" ref="R683" ca="1">_xlfn.XLOOKUP(Contrato5[[#This Row],[CDP]],[2]!DISPONIBILIDADES_2024[[#All],[consecutivo]],[2]!DISPONIBILIDADES_2024[[#All],[fecha_aprobacion]],"",0)</f>
        <v>#NAME?</v>
      </c>
      <c r="S683" s="138" t="e">
        <f>SUMIF([2]!DISPONIBILIDADES_2024[[#All],[consecutivo]],Contrato5[[#This Row],[CDP]],[2]!DISPONIBILIDADES_2024[[#All],[valor_total_rubro]])</f>
        <v>#REF!</v>
      </c>
      <c r="T683" s="139" t="e" cm="1">
        <f t="array" aca="1" ref="T683" ca="1">_xlfn.XLOOKUP(Contrato5[[#This Row],[CONTRATO]]&amp;Contrato5[[#This Row],[CDP]],[2]!Corr_Contr_CDP[[#All],[CONTRATO-CDP]],[2]!Corr_Contr_CDP[[#All],[CRP]],_xlfn.XLOOKUP(Contrato5[[#This Row],[CDP]],[2]!COMPROMISOS_2024[[#All],[disponibilidad]],[2]!COMPROMISOS_2024[[#All],[consecutivo]],"",0),0)</f>
        <v>#NAME?</v>
      </c>
      <c r="U683" s="140" t="e" cm="1">
        <f t="array" aca="1" ref="U683" ca="1">+_xlfn.XLOOKUP(Contrato5[[#This Row],[RCP]],[2]!COMPROMISOS_2024[[#All],[consecutivo]],[2]!COMPROMISOS_2024[[#All],[fecha_aprobacion]],"",0)</f>
        <v>#NAME?</v>
      </c>
      <c r="V683" s="141" t="e">
        <f ca="1">SUMIF([2]!COMPROMISOS_2024[[#All],[consecutivo]],Contrato5[[#This Row],[RCP]],[2]!COMPROMISOS_2024[[#All],[valor_total]])</f>
        <v>#REF!</v>
      </c>
      <c r="W683" s="160">
        <v>45516</v>
      </c>
      <c r="X683" s="160" t="s">
        <v>1045</v>
      </c>
      <c r="Y683" s="143">
        <v>45520</v>
      </c>
      <c r="Z683" s="262">
        <v>45643</v>
      </c>
      <c r="AA683" s="183" t="s">
        <v>2877</v>
      </c>
      <c r="AB683" s="172" t="s">
        <v>2871</v>
      </c>
      <c r="AC683" s="172"/>
      <c r="AD683" s="425">
        <v>202000005124</v>
      </c>
      <c r="AE683" s="147" t="s">
        <v>523</v>
      </c>
      <c r="AF683" s="148" t="str">
        <f>TEXT(LEFT(Contrato5[[#This Row],[CONTRATO]],3),"0")</f>
        <v>558</v>
      </c>
      <c r="AG683" s="148" t="str">
        <f>IF(LEN(Contrato5[[#This Row],[Contrato2]])=3,Contrato5[[#This Row],[Contrato2]],TEXT(Contrato5[[#This Row],[Contrato2]],"000"))</f>
        <v>558</v>
      </c>
      <c r="AH683" s="149">
        <f ca="1">IFERROR(_xlfn.DAYS(Contrato5[[#This Row],[Fecha Proyectada liquidación]],TODAY())/30,"")</f>
        <v>0.16666666666666666</v>
      </c>
      <c r="AI683" s="150">
        <f>+Contrato5[[#This Row],[FECHA TERMINACIÓN ]]+120</f>
        <v>45763</v>
      </c>
      <c r="AJ683" s="147"/>
      <c r="AK683" s="152" t="str">
        <f ca="1">IF(Contrato5[[#This Row],[FECHA TERMINACIÓN ]]&lt;TODAY(), "Terminado",IF(ISNUMBER(Contrato5[[#This Row],[Fecha Real de liquiidación ]]),"Liquidado",IF(Contrato5[[#This Row],[FECHA TERMINACIÓN ]]&gt;=TODAY(),"En ejecución","")))</f>
        <v>Terminado</v>
      </c>
      <c r="AL683" s="153" t="e">
        <f ca="1">SUMIF([2]!COMPROMISOS_2024[[#All],[consecutivo]],Contrato5[[#This Row],[RCP]],[2]!COMPROMISOS_2024[[#All],[Total pagado]])</f>
        <v>#REF!</v>
      </c>
      <c r="AM683" s="154">
        <f ca="1">IFERROR(Contrato5[[#This Row],[Pagos]]/Contrato5[[#This Row],[VALOR CONTRATO]],0)</f>
        <v>0</v>
      </c>
      <c r="AN683" s="198" t="e">
        <f ca="1">+Contrato5[[#This Row],[VALOR CONTRATO]]-Contrato5[[#This Row],[Pagos]]</f>
        <v>#REF!</v>
      </c>
      <c r="AO683" s="147" t="e" cm="1">
        <f t="array" aca="1" ref="AO683" ca="1">_xlfn.XLOOKUP(Contrato5[[#This Row],[DOCUMENTO ]],[2]!PERSONAL_ACTIVO_2024[[#All],[Documento identidad]],[2]!PERSONAL_ACTIVO_2024[[#All],[Mail ]],0,0)</f>
        <v>#NAME?</v>
      </c>
      <c r="AP683" s="147" t="e" cm="1">
        <f t="array" aca="1" ref="AP683" ca="1">_xlfn.XLOOKUP(Contrato5[[#This Row],[DOCUMENTO]],[2]!PERSONAL_ACTIVO_2024[[#All],[Documento identidad]],[2]!PERSONAL_ACTIVO_2024[[#All],[Mail ]],0,0)</f>
        <v>#NAME?</v>
      </c>
      <c r="AQ683" s="439" cm="1">
        <f t="array" aca="1" ref="AQ683" ca="1">IF(ISBLANK(Contrato5[[#This Row],[DEPENDENCIA ]]),0,IFERROR(_xlfn.XLOOKUP(Contrato5[[#This Row],[DEPENDENCIA ]],[2]!PERSONAL_ACTIVO_2024[[#All],[Dependencia]],[2]!PERSONAL_ACTIVO_2024[[#All],[Mail ]],0,0),0))</f>
        <v>0</v>
      </c>
    </row>
    <row r="684" spans="1:43" ht="34.5" customHeight="1">
      <c r="A684" s="147">
        <v>948</v>
      </c>
      <c r="B684" s="124">
        <v>559</v>
      </c>
      <c r="C684" s="162" t="s">
        <v>2005</v>
      </c>
      <c r="D684" s="227" t="s">
        <v>583</v>
      </c>
      <c r="E684" s="440" t="s">
        <v>94</v>
      </c>
      <c r="F684" s="227" t="s">
        <v>1376</v>
      </c>
      <c r="G684" s="281" t="s">
        <v>2945</v>
      </c>
      <c r="H684" s="436">
        <v>98551148</v>
      </c>
      <c r="I684" s="273">
        <v>5931149</v>
      </c>
      <c r="J684" s="437">
        <v>24120006</v>
      </c>
      <c r="K684" s="131" t="s">
        <v>42</v>
      </c>
      <c r="L684" s="438" t="s">
        <v>2855</v>
      </c>
      <c r="M684" s="194" t="s">
        <v>586</v>
      </c>
      <c r="N684" s="177" t="e" cm="1">
        <f t="array" aca="1" ref="N684" ca="1">_xlfn.XLOOKUP(Contrato5[[#This Row],[SUPERVISOR TITULAR]],[2]!PERSONAL_ACTIVO_2024[[#All],[Nombre completo]],[2]!PERSONAL_ACTIVO_2024[[#All],[Documento identidad]],"",0)</f>
        <v>#NAME?</v>
      </c>
      <c r="O684" s="194" t="s">
        <v>589</v>
      </c>
      <c r="P684" s="196" t="e" cm="1">
        <f t="array" aca="1" ref="P684" ca="1">_xlfn.XLOOKUP(Contrato5[[#This Row],[SUPERVISOR SUPLENTE ]],[2]!PERSONAL_ACTIVO_2024[[#All],[Nombre completo]],[2]!PERSONAL_ACTIVO_2024[[#All],[Documento identidad]],"",0)</f>
        <v>#NAME?</v>
      </c>
      <c r="Q684" s="170">
        <v>694</v>
      </c>
      <c r="R684" s="137" t="e" cm="1">
        <f t="array" aca="1" ref="R684" ca="1">_xlfn.XLOOKUP(Contrato5[[#This Row],[CDP]],[2]!DISPONIBILIDADES_2024[[#All],[consecutivo]],[2]!DISPONIBILIDADES_2024[[#All],[fecha_aprobacion]],"",0)</f>
        <v>#NAME?</v>
      </c>
      <c r="S684" s="138" t="e">
        <f>SUMIF([2]!DISPONIBILIDADES_2024[[#All],[consecutivo]],Contrato5[[#This Row],[CDP]],[2]!DISPONIBILIDADES_2024[[#All],[valor_total_rubro]])</f>
        <v>#REF!</v>
      </c>
      <c r="T684" s="139" t="e" cm="1">
        <f t="array" aca="1" ref="T684" ca="1">_xlfn.XLOOKUP(Contrato5[[#This Row],[CONTRATO]]&amp;Contrato5[[#This Row],[CDP]],[2]!Corr_Contr_CDP[[#All],[CONTRATO-CDP]],[2]!Corr_Contr_CDP[[#All],[CRP]],_xlfn.XLOOKUP(Contrato5[[#This Row],[CDP]],[2]!COMPROMISOS_2024[[#All],[disponibilidad]],[2]!COMPROMISOS_2024[[#All],[consecutivo]],"",0),0)</f>
        <v>#NAME?</v>
      </c>
      <c r="U684" s="140" t="e" cm="1">
        <f t="array" aca="1" ref="U684" ca="1">+_xlfn.XLOOKUP(Contrato5[[#This Row],[RCP]],[2]!COMPROMISOS_2024[[#All],[consecutivo]],[2]!COMPROMISOS_2024[[#All],[fecha_aprobacion]],"",0)</f>
        <v>#NAME?</v>
      </c>
      <c r="V684" s="141" t="e">
        <f ca="1">SUMIF([2]!COMPROMISOS_2024[[#All],[consecutivo]],Contrato5[[#This Row],[RCP]],[2]!COMPROMISOS_2024[[#All],[valor_total]])</f>
        <v>#REF!</v>
      </c>
      <c r="W684" s="160">
        <v>45516</v>
      </c>
      <c r="X684" s="160" t="s">
        <v>1045</v>
      </c>
      <c r="Y684" s="143">
        <v>45520</v>
      </c>
      <c r="Z684" s="262">
        <v>45643</v>
      </c>
      <c r="AA684" s="183" t="s">
        <v>2877</v>
      </c>
      <c r="AB684" s="172" t="s">
        <v>2871</v>
      </c>
      <c r="AC684" s="172"/>
      <c r="AD684" s="425">
        <v>202000005125</v>
      </c>
      <c r="AE684" s="147" t="s">
        <v>523</v>
      </c>
      <c r="AF684" s="148" t="str">
        <f>TEXT(LEFT(Contrato5[[#This Row],[CONTRATO]],3),"0")</f>
        <v>559</v>
      </c>
      <c r="AG684" s="148" t="str">
        <f>IF(LEN(Contrato5[[#This Row],[Contrato2]])=3,Contrato5[[#This Row],[Contrato2]],TEXT(Contrato5[[#This Row],[Contrato2]],"000"))</f>
        <v>559</v>
      </c>
      <c r="AH684" s="149">
        <f ca="1">IFERROR(_xlfn.DAYS(Contrato5[[#This Row],[Fecha Proyectada liquidación]],TODAY())/30,"")</f>
        <v>0.16666666666666666</v>
      </c>
      <c r="AI684" s="150">
        <f>+Contrato5[[#This Row],[FECHA TERMINACIÓN ]]+120</f>
        <v>45763</v>
      </c>
      <c r="AJ684" s="147"/>
      <c r="AK684" s="152" t="str">
        <f ca="1">IF(Contrato5[[#This Row],[FECHA TERMINACIÓN ]]&lt;TODAY(), "Terminado",IF(ISNUMBER(Contrato5[[#This Row],[Fecha Real de liquiidación ]]),"Liquidado",IF(Contrato5[[#This Row],[FECHA TERMINACIÓN ]]&gt;=TODAY(),"En ejecución","")))</f>
        <v>Terminado</v>
      </c>
      <c r="AL684" s="153" t="e">
        <f ca="1">SUMIF([2]!COMPROMISOS_2024[[#All],[consecutivo]],Contrato5[[#This Row],[RCP]],[2]!COMPROMISOS_2024[[#All],[Total pagado]])</f>
        <v>#REF!</v>
      </c>
      <c r="AM684" s="154">
        <f ca="1">IFERROR(Contrato5[[#This Row],[Pagos]]/Contrato5[[#This Row],[VALOR CONTRATO]],0)</f>
        <v>0</v>
      </c>
      <c r="AN684" s="198" t="e">
        <f ca="1">+Contrato5[[#This Row],[VALOR CONTRATO]]-Contrato5[[#This Row],[Pagos]]</f>
        <v>#REF!</v>
      </c>
      <c r="AO684" s="147" t="e" cm="1">
        <f t="array" aca="1" ref="AO684" ca="1">_xlfn.XLOOKUP(Contrato5[[#This Row],[DOCUMENTO ]],[2]!PERSONAL_ACTIVO_2024[[#All],[Documento identidad]],[2]!PERSONAL_ACTIVO_2024[[#All],[Mail ]],0,0)</f>
        <v>#NAME?</v>
      </c>
      <c r="AP684" s="147" t="e" cm="1">
        <f t="array" aca="1" ref="AP684" ca="1">_xlfn.XLOOKUP(Contrato5[[#This Row],[DOCUMENTO]],[2]!PERSONAL_ACTIVO_2024[[#All],[Documento identidad]],[2]!PERSONAL_ACTIVO_2024[[#All],[Mail ]],0,0)</f>
        <v>#NAME?</v>
      </c>
      <c r="AQ684" s="439" cm="1">
        <f t="array" aca="1" ref="AQ684" ca="1">IF(ISBLANK(Contrato5[[#This Row],[DEPENDENCIA ]]),0,IFERROR(_xlfn.XLOOKUP(Contrato5[[#This Row],[DEPENDENCIA ]],[2]!PERSONAL_ACTIVO_2024[[#All],[Dependencia]],[2]!PERSONAL_ACTIVO_2024[[#All],[Mail ]],0,0),0))</f>
        <v>0</v>
      </c>
    </row>
    <row r="685" spans="1:43" ht="34.5" customHeight="1">
      <c r="A685" s="147">
        <v>949</v>
      </c>
      <c r="B685" s="124">
        <v>560</v>
      </c>
      <c r="C685" s="162" t="s">
        <v>2005</v>
      </c>
      <c r="D685" s="227" t="s">
        <v>583</v>
      </c>
      <c r="E685" s="440" t="s">
        <v>94</v>
      </c>
      <c r="F685" s="227" t="s">
        <v>1376</v>
      </c>
      <c r="G685" s="281" t="s">
        <v>2946</v>
      </c>
      <c r="H685" s="436">
        <v>1000653897</v>
      </c>
      <c r="I685" s="273">
        <v>2574842</v>
      </c>
      <c r="J685" s="437">
        <v>10471024</v>
      </c>
      <c r="K685" s="131" t="s">
        <v>42</v>
      </c>
      <c r="L685" s="438" t="s">
        <v>2855</v>
      </c>
      <c r="M685" s="194" t="s">
        <v>586</v>
      </c>
      <c r="N685" s="177" t="e" cm="1">
        <f t="array" aca="1" ref="N685" ca="1">_xlfn.XLOOKUP(Contrato5[[#This Row],[SUPERVISOR TITULAR]],[2]!PERSONAL_ACTIVO_2024[[#All],[Nombre completo]],[2]!PERSONAL_ACTIVO_2024[[#All],[Documento identidad]],"",0)</f>
        <v>#NAME?</v>
      </c>
      <c r="O685" s="194" t="s">
        <v>589</v>
      </c>
      <c r="P685" s="196" t="e" cm="1">
        <f t="array" aca="1" ref="P685" ca="1">_xlfn.XLOOKUP(Contrato5[[#This Row],[SUPERVISOR SUPLENTE ]],[2]!PERSONAL_ACTIVO_2024[[#All],[Nombre completo]],[2]!PERSONAL_ACTIVO_2024[[#All],[Documento identidad]],"",0)</f>
        <v>#NAME?</v>
      </c>
      <c r="Q685" s="170">
        <v>681</v>
      </c>
      <c r="R685" s="137" t="e" cm="1">
        <f t="array" aca="1" ref="R685" ca="1">_xlfn.XLOOKUP(Contrato5[[#This Row],[CDP]],[2]!DISPONIBILIDADES_2024[[#All],[consecutivo]],[2]!DISPONIBILIDADES_2024[[#All],[fecha_aprobacion]],"",0)</f>
        <v>#NAME?</v>
      </c>
      <c r="S685" s="138" t="e">
        <f>SUMIF([2]!DISPONIBILIDADES_2024[[#All],[consecutivo]],Contrato5[[#This Row],[CDP]],[2]!DISPONIBILIDADES_2024[[#All],[valor_total_rubro]])</f>
        <v>#REF!</v>
      </c>
      <c r="T685" s="139" t="e" cm="1">
        <f t="array" aca="1" ref="T685" ca="1">_xlfn.XLOOKUP(Contrato5[[#This Row],[CONTRATO]]&amp;Contrato5[[#This Row],[CDP]],[2]!Corr_Contr_CDP[[#All],[CONTRATO-CDP]],[2]!Corr_Contr_CDP[[#All],[CRP]],_xlfn.XLOOKUP(Contrato5[[#This Row],[CDP]],[2]!COMPROMISOS_2024[[#All],[disponibilidad]],[2]!COMPROMISOS_2024[[#All],[consecutivo]],"",0),0)</f>
        <v>#NAME?</v>
      </c>
      <c r="U685" s="140" t="e" cm="1">
        <f t="array" aca="1" ref="U685" ca="1">+_xlfn.XLOOKUP(Contrato5[[#This Row],[RCP]],[2]!COMPROMISOS_2024[[#All],[consecutivo]],[2]!COMPROMISOS_2024[[#All],[fecha_aprobacion]],"",0)</f>
        <v>#NAME?</v>
      </c>
      <c r="V685" s="141" t="e">
        <f ca="1">SUMIF([2]!COMPROMISOS_2024[[#All],[consecutivo]],Contrato5[[#This Row],[RCP]],[2]!COMPROMISOS_2024[[#All],[valor_total]])</f>
        <v>#REF!</v>
      </c>
      <c r="W685" s="160">
        <v>45516</v>
      </c>
      <c r="X685" s="160" t="s">
        <v>1045</v>
      </c>
      <c r="Y685" s="143">
        <v>45520</v>
      </c>
      <c r="Z685" s="262">
        <v>45643</v>
      </c>
      <c r="AA685" s="183" t="s">
        <v>2873</v>
      </c>
      <c r="AB685" s="172" t="s">
        <v>2871</v>
      </c>
      <c r="AC685" s="172"/>
      <c r="AD685" s="425">
        <v>202000005126</v>
      </c>
      <c r="AE685" s="147" t="s">
        <v>523</v>
      </c>
      <c r="AF685" s="148" t="str">
        <f>TEXT(LEFT(Contrato5[[#This Row],[CONTRATO]],3),"0")</f>
        <v>560</v>
      </c>
      <c r="AG685" s="148" t="str">
        <f>IF(LEN(Contrato5[[#This Row],[Contrato2]])=3,Contrato5[[#This Row],[Contrato2]],TEXT(Contrato5[[#This Row],[Contrato2]],"000"))</f>
        <v>560</v>
      </c>
      <c r="AH685" s="149">
        <f ca="1">IFERROR(_xlfn.DAYS(Contrato5[[#This Row],[Fecha Proyectada liquidación]],TODAY())/30,"")</f>
        <v>0.16666666666666666</v>
      </c>
      <c r="AI685" s="150">
        <f>+Contrato5[[#This Row],[FECHA TERMINACIÓN ]]+120</f>
        <v>45763</v>
      </c>
      <c r="AJ685" s="147"/>
      <c r="AK685" s="152" t="str">
        <f ca="1">IF(Contrato5[[#This Row],[FECHA TERMINACIÓN ]]&lt;TODAY(), "Terminado",IF(ISNUMBER(Contrato5[[#This Row],[Fecha Real de liquiidación ]]),"Liquidado",IF(Contrato5[[#This Row],[FECHA TERMINACIÓN ]]&gt;=TODAY(),"En ejecución","")))</f>
        <v>Terminado</v>
      </c>
      <c r="AL685" s="153" t="e">
        <f ca="1">SUMIF([2]!COMPROMISOS_2024[[#All],[consecutivo]],Contrato5[[#This Row],[RCP]],[2]!COMPROMISOS_2024[[#All],[Total pagado]])</f>
        <v>#REF!</v>
      </c>
      <c r="AM685" s="154">
        <f ca="1">IFERROR(Contrato5[[#This Row],[Pagos]]/Contrato5[[#This Row],[VALOR CONTRATO]],0)</f>
        <v>0</v>
      </c>
      <c r="AN685" s="198" t="e">
        <f ca="1">+Contrato5[[#This Row],[VALOR CONTRATO]]-Contrato5[[#This Row],[Pagos]]</f>
        <v>#REF!</v>
      </c>
      <c r="AO685" s="147" t="e" cm="1">
        <f t="array" aca="1" ref="AO685" ca="1">_xlfn.XLOOKUP(Contrato5[[#This Row],[DOCUMENTO ]],[2]!PERSONAL_ACTIVO_2024[[#All],[Documento identidad]],[2]!PERSONAL_ACTIVO_2024[[#All],[Mail ]],0,0)</f>
        <v>#NAME?</v>
      </c>
      <c r="AP685" s="147" t="e" cm="1">
        <f t="array" aca="1" ref="AP685" ca="1">_xlfn.XLOOKUP(Contrato5[[#This Row],[DOCUMENTO]],[2]!PERSONAL_ACTIVO_2024[[#All],[Documento identidad]],[2]!PERSONAL_ACTIVO_2024[[#All],[Mail ]],0,0)</f>
        <v>#NAME?</v>
      </c>
      <c r="AQ685" s="439" cm="1">
        <f t="array" aca="1" ref="AQ685" ca="1">IF(ISBLANK(Contrato5[[#This Row],[DEPENDENCIA ]]),0,IFERROR(_xlfn.XLOOKUP(Contrato5[[#This Row],[DEPENDENCIA ]],[2]!PERSONAL_ACTIVO_2024[[#All],[Dependencia]],[2]!PERSONAL_ACTIVO_2024[[#All],[Mail ]],0,0),0))</f>
        <v>0</v>
      </c>
    </row>
    <row r="686" spans="1:43" ht="34.5" customHeight="1">
      <c r="A686" s="147">
        <v>950</v>
      </c>
      <c r="B686" s="124">
        <v>561</v>
      </c>
      <c r="C686" s="162" t="s">
        <v>2006</v>
      </c>
      <c r="D686" s="227" t="s">
        <v>583</v>
      </c>
      <c r="E686" s="440" t="s">
        <v>94</v>
      </c>
      <c r="F686" s="227" t="s">
        <v>1376</v>
      </c>
      <c r="G686" s="281" t="s">
        <v>2947</v>
      </c>
      <c r="H686" s="436">
        <v>71737394</v>
      </c>
      <c r="I686" s="273">
        <v>4908936</v>
      </c>
      <c r="J686" s="437">
        <v>19963006</v>
      </c>
      <c r="K686" s="131" t="s">
        <v>42</v>
      </c>
      <c r="L686" s="438" t="s">
        <v>2855</v>
      </c>
      <c r="M686" s="194" t="s">
        <v>586</v>
      </c>
      <c r="N686" s="177" t="e" cm="1">
        <f t="array" aca="1" ref="N686" ca="1">_xlfn.XLOOKUP(Contrato5[[#This Row],[SUPERVISOR TITULAR]],[2]!PERSONAL_ACTIVO_2024[[#All],[Nombre completo]],[2]!PERSONAL_ACTIVO_2024[[#All],[Documento identidad]],"",0)</f>
        <v>#NAME?</v>
      </c>
      <c r="O686" s="194" t="s">
        <v>589</v>
      </c>
      <c r="P686" s="196" t="e" cm="1">
        <f t="array" aca="1" ref="P686" ca="1">_xlfn.XLOOKUP(Contrato5[[#This Row],[SUPERVISOR SUPLENTE ]],[2]!PERSONAL_ACTIVO_2024[[#All],[Nombre completo]],[2]!PERSONAL_ACTIVO_2024[[#All],[Documento identidad]],"",0)</f>
        <v>#NAME?</v>
      </c>
      <c r="Q686" s="170">
        <v>705</v>
      </c>
      <c r="R686" s="137" t="e" cm="1">
        <f t="array" aca="1" ref="R686" ca="1">_xlfn.XLOOKUP(Contrato5[[#This Row],[CDP]],[2]!DISPONIBILIDADES_2024[[#All],[consecutivo]],[2]!DISPONIBILIDADES_2024[[#All],[fecha_aprobacion]],"",0)</f>
        <v>#NAME?</v>
      </c>
      <c r="S686" s="138" t="e">
        <f>SUMIF([2]!DISPONIBILIDADES_2024[[#All],[consecutivo]],Contrato5[[#This Row],[CDP]],[2]!DISPONIBILIDADES_2024[[#All],[valor_total_rubro]])</f>
        <v>#REF!</v>
      </c>
      <c r="T686" s="139" t="e" cm="1">
        <f t="array" aca="1" ref="T686" ca="1">_xlfn.XLOOKUP(Contrato5[[#This Row],[CONTRATO]]&amp;Contrato5[[#This Row],[CDP]],[2]!Corr_Contr_CDP[[#All],[CONTRATO-CDP]],[2]!Corr_Contr_CDP[[#All],[CRP]],_xlfn.XLOOKUP(Contrato5[[#This Row],[CDP]],[2]!COMPROMISOS_2024[[#All],[disponibilidad]],[2]!COMPROMISOS_2024[[#All],[consecutivo]],"",0),0)</f>
        <v>#NAME?</v>
      </c>
      <c r="U686" s="140" t="e" cm="1">
        <f t="array" aca="1" ref="U686" ca="1">+_xlfn.XLOOKUP(Contrato5[[#This Row],[RCP]],[2]!COMPROMISOS_2024[[#All],[consecutivo]],[2]!COMPROMISOS_2024[[#All],[fecha_aprobacion]],"",0)</f>
        <v>#NAME?</v>
      </c>
      <c r="V686" s="141" t="e">
        <f ca="1">SUMIF([2]!COMPROMISOS_2024[[#All],[consecutivo]],Contrato5[[#This Row],[RCP]],[2]!COMPROMISOS_2024[[#All],[valor_total]])</f>
        <v>#REF!</v>
      </c>
      <c r="W686" s="160">
        <v>45516</v>
      </c>
      <c r="X686" s="160" t="s">
        <v>1045</v>
      </c>
      <c r="Y686" s="143">
        <v>45520</v>
      </c>
      <c r="Z686" s="262">
        <v>45643</v>
      </c>
      <c r="AA686" s="183" t="s">
        <v>2877</v>
      </c>
      <c r="AB686" s="172" t="s">
        <v>2871</v>
      </c>
      <c r="AC686" s="172"/>
      <c r="AD686" s="425">
        <v>202000005127</v>
      </c>
      <c r="AE686" s="147" t="s">
        <v>523</v>
      </c>
      <c r="AF686" s="148" t="str">
        <f>TEXT(LEFT(Contrato5[[#This Row],[CONTRATO]],3),"0")</f>
        <v>561</v>
      </c>
      <c r="AG686" s="148" t="str">
        <f>IF(LEN(Contrato5[[#This Row],[Contrato2]])=3,Contrato5[[#This Row],[Contrato2]],TEXT(Contrato5[[#This Row],[Contrato2]],"000"))</f>
        <v>561</v>
      </c>
      <c r="AH686" s="149">
        <f ca="1">IFERROR(_xlfn.DAYS(Contrato5[[#This Row],[Fecha Proyectada liquidación]],TODAY())/30,"")</f>
        <v>0.16666666666666666</v>
      </c>
      <c r="AI686" s="150">
        <f>+Contrato5[[#This Row],[FECHA TERMINACIÓN ]]+120</f>
        <v>45763</v>
      </c>
      <c r="AJ686" s="147"/>
      <c r="AK686" s="152" t="str">
        <f ca="1">IF(Contrato5[[#This Row],[FECHA TERMINACIÓN ]]&lt;TODAY(), "Terminado",IF(ISNUMBER(Contrato5[[#This Row],[Fecha Real de liquiidación ]]),"Liquidado",IF(Contrato5[[#This Row],[FECHA TERMINACIÓN ]]&gt;=TODAY(),"En ejecución","")))</f>
        <v>Terminado</v>
      </c>
      <c r="AL686" s="153" t="e">
        <f ca="1">SUMIF([2]!COMPROMISOS_2024[[#All],[consecutivo]],Contrato5[[#This Row],[RCP]],[2]!COMPROMISOS_2024[[#All],[Total pagado]])</f>
        <v>#REF!</v>
      </c>
      <c r="AM686" s="154">
        <f ca="1">IFERROR(Contrato5[[#This Row],[Pagos]]/Contrato5[[#This Row],[VALOR CONTRATO]],0)</f>
        <v>0</v>
      </c>
      <c r="AN686" s="198" t="e">
        <f ca="1">+Contrato5[[#This Row],[VALOR CONTRATO]]-Contrato5[[#This Row],[Pagos]]</f>
        <v>#REF!</v>
      </c>
      <c r="AO686" s="147" t="e" cm="1">
        <f t="array" aca="1" ref="AO686" ca="1">_xlfn.XLOOKUP(Contrato5[[#This Row],[DOCUMENTO ]],[2]!PERSONAL_ACTIVO_2024[[#All],[Documento identidad]],[2]!PERSONAL_ACTIVO_2024[[#All],[Mail ]],0,0)</f>
        <v>#NAME?</v>
      </c>
      <c r="AP686" s="147" t="e" cm="1">
        <f t="array" aca="1" ref="AP686" ca="1">_xlfn.XLOOKUP(Contrato5[[#This Row],[DOCUMENTO]],[2]!PERSONAL_ACTIVO_2024[[#All],[Documento identidad]],[2]!PERSONAL_ACTIVO_2024[[#All],[Mail ]],0,0)</f>
        <v>#NAME?</v>
      </c>
      <c r="AQ686" s="439" cm="1">
        <f t="array" aca="1" ref="AQ686" ca="1">IF(ISBLANK(Contrato5[[#This Row],[DEPENDENCIA ]]),0,IFERROR(_xlfn.XLOOKUP(Contrato5[[#This Row],[DEPENDENCIA ]],[2]!PERSONAL_ACTIVO_2024[[#All],[Dependencia]],[2]!PERSONAL_ACTIVO_2024[[#All],[Mail ]],0,0),0))</f>
        <v>0</v>
      </c>
    </row>
    <row r="687" spans="1:43" ht="34.5" customHeight="1">
      <c r="A687" s="147">
        <v>951</v>
      </c>
      <c r="B687" s="124">
        <v>562</v>
      </c>
      <c r="C687" s="162" t="s">
        <v>1983</v>
      </c>
      <c r="D687" s="227" t="s">
        <v>583</v>
      </c>
      <c r="E687" s="440" t="s">
        <v>94</v>
      </c>
      <c r="F687" s="227" t="s">
        <v>1376</v>
      </c>
      <c r="G687" s="281" t="s">
        <v>2948</v>
      </c>
      <c r="H687" s="436">
        <v>71383229</v>
      </c>
      <c r="I687" s="273">
        <v>3952382</v>
      </c>
      <c r="J687" s="437">
        <v>16073020</v>
      </c>
      <c r="K687" s="131" t="s">
        <v>42</v>
      </c>
      <c r="L687" s="438" t="s">
        <v>2855</v>
      </c>
      <c r="M687" s="194" t="s">
        <v>586</v>
      </c>
      <c r="N687" s="177" t="e" cm="1">
        <f t="array" aca="1" ref="N687" ca="1">_xlfn.XLOOKUP(Contrato5[[#This Row],[SUPERVISOR TITULAR]],[2]!PERSONAL_ACTIVO_2024[[#All],[Nombre completo]],[2]!PERSONAL_ACTIVO_2024[[#All],[Documento identidad]],"",0)</f>
        <v>#NAME?</v>
      </c>
      <c r="O687" s="194" t="s">
        <v>589</v>
      </c>
      <c r="P687" s="196" t="e" cm="1">
        <f t="array" aca="1" ref="P687" ca="1">_xlfn.XLOOKUP(Contrato5[[#This Row],[SUPERVISOR SUPLENTE ]],[2]!PERSONAL_ACTIVO_2024[[#All],[Nombre completo]],[2]!PERSONAL_ACTIVO_2024[[#All],[Documento identidad]],"",0)</f>
        <v>#NAME?</v>
      </c>
      <c r="Q687" s="170">
        <v>704</v>
      </c>
      <c r="R687" s="137" t="e" cm="1">
        <f t="array" aca="1" ref="R687" ca="1">_xlfn.XLOOKUP(Contrato5[[#This Row],[CDP]],[2]!DISPONIBILIDADES_2024[[#All],[consecutivo]],[2]!DISPONIBILIDADES_2024[[#All],[fecha_aprobacion]],"",0)</f>
        <v>#NAME?</v>
      </c>
      <c r="S687" s="138" t="e">
        <f>SUMIF([2]!DISPONIBILIDADES_2024[[#All],[consecutivo]],Contrato5[[#This Row],[CDP]],[2]!DISPONIBILIDADES_2024[[#All],[valor_total_rubro]])</f>
        <v>#REF!</v>
      </c>
      <c r="T687" s="139" t="e" cm="1">
        <f t="array" aca="1" ref="T687" ca="1">_xlfn.XLOOKUP(Contrato5[[#This Row],[CONTRATO]]&amp;Contrato5[[#This Row],[CDP]],[2]!Corr_Contr_CDP[[#All],[CONTRATO-CDP]],[2]!Corr_Contr_CDP[[#All],[CRP]],_xlfn.XLOOKUP(Contrato5[[#This Row],[CDP]],[2]!COMPROMISOS_2024[[#All],[disponibilidad]],[2]!COMPROMISOS_2024[[#All],[consecutivo]],"",0),0)</f>
        <v>#NAME?</v>
      </c>
      <c r="U687" s="140" t="e" cm="1">
        <f t="array" aca="1" ref="U687" ca="1">+_xlfn.XLOOKUP(Contrato5[[#This Row],[RCP]],[2]!COMPROMISOS_2024[[#All],[consecutivo]],[2]!COMPROMISOS_2024[[#All],[fecha_aprobacion]],"",0)</f>
        <v>#NAME?</v>
      </c>
      <c r="V687" s="141" t="e">
        <f ca="1">SUMIF([2]!COMPROMISOS_2024[[#All],[consecutivo]],Contrato5[[#This Row],[RCP]],[2]!COMPROMISOS_2024[[#All],[valor_total]])</f>
        <v>#REF!</v>
      </c>
      <c r="W687" s="160">
        <v>45516</v>
      </c>
      <c r="X687" s="160" t="s">
        <v>1045</v>
      </c>
      <c r="Y687" s="143">
        <v>45520</v>
      </c>
      <c r="Z687" s="262">
        <v>45643</v>
      </c>
      <c r="AA687" s="183" t="s">
        <v>2877</v>
      </c>
      <c r="AB687" s="172" t="s">
        <v>2871</v>
      </c>
      <c r="AC687" s="172"/>
      <c r="AD687" s="425">
        <v>202000005128</v>
      </c>
      <c r="AE687" s="147" t="s">
        <v>523</v>
      </c>
      <c r="AF687" s="148" t="str">
        <f>TEXT(LEFT(Contrato5[[#This Row],[CONTRATO]],3),"0")</f>
        <v>562</v>
      </c>
      <c r="AG687" s="148" t="str">
        <f>IF(LEN(Contrato5[[#This Row],[Contrato2]])=3,Contrato5[[#This Row],[Contrato2]],TEXT(Contrato5[[#This Row],[Contrato2]],"000"))</f>
        <v>562</v>
      </c>
      <c r="AH687" s="149">
        <f ca="1">IFERROR(_xlfn.DAYS(Contrato5[[#This Row],[Fecha Proyectada liquidación]],TODAY())/30,"")</f>
        <v>0.16666666666666666</v>
      </c>
      <c r="AI687" s="150">
        <f>+Contrato5[[#This Row],[FECHA TERMINACIÓN ]]+120</f>
        <v>45763</v>
      </c>
      <c r="AJ687" s="147"/>
      <c r="AK687" s="152" t="str">
        <f ca="1">IF(Contrato5[[#This Row],[FECHA TERMINACIÓN ]]&lt;TODAY(), "Terminado",IF(ISNUMBER(Contrato5[[#This Row],[Fecha Real de liquiidación ]]),"Liquidado",IF(Contrato5[[#This Row],[FECHA TERMINACIÓN ]]&gt;=TODAY(),"En ejecución","")))</f>
        <v>Terminado</v>
      </c>
      <c r="AL687" s="153" t="e">
        <f ca="1">SUMIF([2]!COMPROMISOS_2024[[#All],[consecutivo]],Contrato5[[#This Row],[RCP]],[2]!COMPROMISOS_2024[[#All],[Total pagado]])</f>
        <v>#REF!</v>
      </c>
      <c r="AM687" s="154">
        <f ca="1">IFERROR(Contrato5[[#This Row],[Pagos]]/Contrato5[[#This Row],[VALOR CONTRATO]],0)</f>
        <v>0</v>
      </c>
      <c r="AN687" s="198" t="e">
        <f ca="1">+Contrato5[[#This Row],[VALOR CONTRATO]]-Contrato5[[#This Row],[Pagos]]</f>
        <v>#REF!</v>
      </c>
      <c r="AO687" s="147" t="e" cm="1">
        <f t="array" aca="1" ref="AO687" ca="1">_xlfn.XLOOKUP(Contrato5[[#This Row],[DOCUMENTO ]],[2]!PERSONAL_ACTIVO_2024[[#All],[Documento identidad]],[2]!PERSONAL_ACTIVO_2024[[#All],[Mail ]],0,0)</f>
        <v>#NAME?</v>
      </c>
      <c r="AP687" s="147" t="e" cm="1">
        <f t="array" aca="1" ref="AP687" ca="1">_xlfn.XLOOKUP(Contrato5[[#This Row],[DOCUMENTO]],[2]!PERSONAL_ACTIVO_2024[[#All],[Documento identidad]],[2]!PERSONAL_ACTIVO_2024[[#All],[Mail ]],0,0)</f>
        <v>#NAME?</v>
      </c>
      <c r="AQ687" s="439" cm="1">
        <f t="array" aca="1" ref="AQ687" ca="1">IF(ISBLANK(Contrato5[[#This Row],[DEPENDENCIA ]]),0,IFERROR(_xlfn.XLOOKUP(Contrato5[[#This Row],[DEPENDENCIA ]],[2]!PERSONAL_ACTIVO_2024[[#All],[Dependencia]],[2]!PERSONAL_ACTIVO_2024[[#All],[Mail ]],0,0),0))</f>
        <v>0</v>
      </c>
    </row>
    <row r="688" spans="1:43" ht="34.5" customHeight="1">
      <c r="A688" s="147">
        <v>952</v>
      </c>
      <c r="B688" s="124">
        <v>563</v>
      </c>
      <c r="C688" s="162" t="s">
        <v>2007</v>
      </c>
      <c r="D688" s="227" t="s">
        <v>583</v>
      </c>
      <c r="E688" s="440" t="s">
        <v>94</v>
      </c>
      <c r="F688" s="227" t="s">
        <v>1376</v>
      </c>
      <c r="G688" s="281" t="s">
        <v>763</v>
      </c>
      <c r="H688" s="436">
        <v>91203031</v>
      </c>
      <c r="I688" s="273">
        <v>3952382</v>
      </c>
      <c r="J688" s="437">
        <v>16073020</v>
      </c>
      <c r="K688" s="131" t="s">
        <v>42</v>
      </c>
      <c r="L688" s="438" t="s">
        <v>2855</v>
      </c>
      <c r="M688" s="194" t="s">
        <v>586</v>
      </c>
      <c r="N688" s="177" t="e" cm="1">
        <f t="array" aca="1" ref="N688" ca="1">_xlfn.XLOOKUP(Contrato5[[#This Row],[SUPERVISOR TITULAR]],[2]!PERSONAL_ACTIVO_2024[[#All],[Nombre completo]],[2]!PERSONAL_ACTIVO_2024[[#All],[Documento identidad]],"",0)</f>
        <v>#NAME?</v>
      </c>
      <c r="O688" s="194" t="s">
        <v>589</v>
      </c>
      <c r="P688" s="196" t="e" cm="1">
        <f t="array" aca="1" ref="P688" ca="1">_xlfn.XLOOKUP(Contrato5[[#This Row],[SUPERVISOR SUPLENTE ]],[2]!PERSONAL_ACTIVO_2024[[#All],[Nombre completo]],[2]!PERSONAL_ACTIVO_2024[[#All],[Documento identidad]],"",0)</f>
        <v>#NAME?</v>
      </c>
      <c r="Q688" s="170">
        <v>679</v>
      </c>
      <c r="R688" s="137" t="e" cm="1">
        <f t="array" aca="1" ref="R688" ca="1">_xlfn.XLOOKUP(Contrato5[[#This Row],[CDP]],[2]!DISPONIBILIDADES_2024[[#All],[consecutivo]],[2]!DISPONIBILIDADES_2024[[#All],[fecha_aprobacion]],"",0)</f>
        <v>#NAME?</v>
      </c>
      <c r="S688" s="138" t="e">
        <f>SUMIF([2]!DISPONIBILIDADES_2024[[#All],[consecutivo]],Contrato5[[#This Row],[CDP]],[2]!DISPONIBILIDADES_2024[[#All],[valor_total_rubro]])</f>
        <v>#REF!</v>
      </c>
      <c r="T688" s="139" t="e" cm="1">
        <f t="array" aca="1" ref="T688" ca="1">_xlfn.XLOOKUP(Contrato5[[#This Row],[CONTRATO]]&amp;Contrato5[[#This Row],[CDP]],[2]!Corr_Contr_CDP[[#All],[CONTRATO-CDP]],[2]!Corr_Contr_CDP[[#All],[CRP]],_xlfn.XLOOKUP(Contrato5[[#This Row],[CDP]],[2]!COMPROMISOS_2024[[#All],[disponibilidad]],[2]!COMPROMISOS_2024[[#All],[consecutivo]],"",0),0)</f>
        <v>#NAME?</v>
      </c>
      <c r="U688" s="140" t="e" cm="1">
        <f t="array" aca="1" ref="U688" ca="1">+_xlfn.XLOOKUP(Contrato5[[#This Row],[RCP]],[2]!COMPROMISOS_2024[[#All],[consecutivo]],[2]!COMPROMISOS_2024[[#All],[fecha_aprobacion]],"",0)</f>
        <v>#NAME?</v>
      </c>
      <c r="V688" s="141" t="e">
        <f ca="1">SUMIF([2]!COMPROMISOS_2024[[#All],[consecutivo]],Contrato5[[#This Row],[RCP]],[2]!COMPROMISOS_2024[[#All],[valor_total]])</f>
        <v>#REF!</v>
      </c>
      <c r="W688" s="160">
        <v>45517</v>
      </c>
      <c r="X688" s="160" t="s">
        <v>1045</v>
      </c>
      <c r="Y688" s="143">
        <v>45520</v>
      </c>
      <c r="Z688" s="262">
        <v>45643</v>
      </c>
      <c r="AA688" s="183" t="s">
        <v>2870</v>
      </c>
      <c r="AB688" s="172" t="s">
        <v>2871</v>
      </c>
      <c r="AC688" s="172"/>
      <c r="AD688" s="425">
        <v>202000005129</v>
      </c>
      <c r="AE688" s="147" t="s">
        <v>523</v>
      </c>
      <c r="AF688" s="148" t="str">
        <f>TEXT(LEFT(Contrato5[[#This Row],[CONTRATO]],3),"0")</f>
        <v>563</v>
      </c>
      <c r="AG688" s="148" t="str">
        <f>IF(LEN(Contrato5[[#This Row],[Contrato2]])=3,Contrato5[[#This Row],[Contrato2]],TEXT(Contrato5[[#This Row],[Contrato2]],"000"))</f>
        <v>563</v>
      </c>
      <c r="AH688" s="149">
        <f ca="1">IFERROR(_xlfn.DAYS(Contrato5[[#This Row],[Fecha Proyectada liquidación]],TODAY())/30,"")</f>
        <v>0.16666666666666666</v>
      </c>
      <c r="AI688" s="150">
        <f>+Contrato5[[#This Row],[FECHA TERMINACIÓN ]]+120</f>
        <v>45763</v>
      </c>
      <c r="AJ688" s="147"/>
      <c r="AK688" s="152" t="str">
        <f ca="1">IF(Contrato5[[#This Row],[FECHA TERMINACIÓN ]]&lt;TODAY(), "Terminado",IF(ISNUMBER(Contrato5[[#This Row],[Fecha Real de liquiidación ]]),"Liquidado",IF(Contrato5[[#This Row],[FECHA TERMINACIÓN ]]&gt;=TODAY(),"En ejecución","")))</f>
        <v>Terminado</v>
      </c>
      <c r="AL688" s="153" t="e">
        <f ca="1">SUMIF([2]!COMPROMISOS_2024[[#All],[consecutivo]],Contrato5[[#This Row],[RCP]],[2]!COMPROMISOS_2024[[#All],[Total pagado]])</f>
        <v>#REF!</v>
      </c>
      <c r="AM688" s="154">
        <f ca="1">IFERROR(Contrato5[[#This Row],[Pagos]]/Contrato5[[#This Row],[VALOR CONTRATO]],0)</f>
        <v>0</v>
      </c>
      <c r="AN688" s="198" t="e">
        <f ca="1">+Contrato5[[#This Row],[VALOR CONTRATO]]-Contrato5[[#This Row],[Pagos]]</f>
        <v>#REF!</v>
      </c>
      <c r="AO688" s="147" t="e" cm="1">
        <f t="array" aca="1" ref="AO688" ca="1">_xlfn.XLOOKUP(Contrato5[[#This Row],[DOCUMENTO ]],[2]!PERSONAL_ACTIVO_2024[[#All],[Documento identidad]],[2]!PERSONAL_ACTIVO_2024[[#All],[Mail ]],0,0)</f>
        <v>#NAME?</v>
      </c>
      <c r="AP688" s="147" t="e" cm="1">
        <f t="array" aca="1" ref="AP688" ca="1">_xlfn.XLOOKUP(Contrato5[[#This Row],[DOCUMENTO]],[2]!PERSONAL_ACTIVO_2024[[#All],[Documento identidad]],[2]!PERSONAL_ACTIVO_2024[[#All],[Mail ]],0,0)</f>
        <v>#NAME?</v>
      </c>
      <c r="AQ688" s="439" cm="1">
        <f t="array" aca="1" ref="AQ688" ca="1">IF(ISBLANK(Contrato5[[#This Row],[DEPENDENCIA ]]),0,IFERROR(_xlfn.XLOOKUP(Contrato5[[#This Row],[DEPENDENCIA ]],[2]!PERSONAL_ACTIVO_2024[[#All],[Dependencia]],[2]!PERSONAL_ACTIVO_2024[[#All],[Mail ]],0,0),0))</f>
        <v>0</v>
      </c>
    </row>
    <row r="689" spans="1:43" ht="34.5" customHeight="1">
      <c r="A689" s="147">
        <v>953</v>
      </c>
      <c r="B689" s="124">
        <v>564</v>
      </c>
      <c r="C689" s="162" t="s">
        <v>2008</v>
      </c>
      <c r="D689" s="227" t="s">
        <v>583</v>
      </c>
      <c r="E689" s="440" t="s">
        <v>94</v>
      </c>
      <c r="F689" s="227" t="s">
        <v>1376</v>
      </c>
      <c r="G689" s="281" t="s">
        <v>2949</v>
      </c>
      <c r="H689" s="436">
        <v>78296925</v>
      </c>
      <c r="I689" s="273">
        <v>3952382</v>
      </c>
      <c r="J689" s="437">
        <v>16073020</v>
      </c>
      <c r="K689" s="131" t="s">
        <v>42</v>
      </c>
      <c r="L689" s="438" t="s">
        <v>2855</v>
      </c>
      <c r="M689" s="194" t="s">
        <v>586</v>
      </c>
      <c r="N689" s="177" t="e" cm="1">
        <f t="array" aca="1" ref="N689" ca="1">_xlfn.XLOOKUP(Contrato5[[#This Row],[SUPERVISOR TITULAR]],[2]!PERSONAL_ACTIVO_2024[[#All],[Nombre completo]],[2]!PERSONAL_ACTIVO_2024[[#All],[Documento identidad]],"",0)</f>
        <v>#NAME?</v>
      </c>
      <c r="O689" s="194" t="s">
        <v>589</v>
      </c>
      <c r="P689" s="196" t="e" cm="1">
        <f t="array" aca="1" ref="P689" ca="1">_xlfn.XLOOKUP(Contrato5[[#This Row],[SUPERVISOR SUPLENTE ]],[2]!PERSONAL_ACTIVO_2024[[#All],[Nombre completo]],[2]!PERSONAL_ACTIVO_2024[[#All],[Documento identidad]],"",0)</f>
        <v>#NAME?</v>
      </c>
      <c r="Q689" s="170">
        <v>703</v>
      </c>
      <c r="R689" s="137" t="e" cm="1">
        <f t="array" aca="1" ref="R689" ca="1">_xlfn.XLOOKUP(Contrato5[[#This Row],[CDP]],[2]!DISPONIBILIDADES_2024[[#All],[consecutivo]],[2]!DISPONIBILIDADES_2024[[#All],[fecha_aprobacion]],"",0)</f>
        <v>#NAME?</v>
      </c>
      <c r="S689" s="138" t="e">
        <f>SUMIF([2]!DISPONIBILIDADES_2024[[#All],[consecutivo]],Contrato5[[#This Row],[CDP]],[2]!DISPONIBILIDADES_2024[[#All],[valor_total_rubro]])</f>
        <v>#REF!</v>
      </c>
      <c r="T689" s="139" t="e" cm="1">
        <f t="array" aca="1" ref="T689" ca="1">_xlfn.XLOOKUP(Contrato5[[#This Row],[CONTRATO]]&amp;Contrato5[[#This Row],[CDP]],[2]!Corr_Contr_CDP[[#All],[CONTRATO-CDP]],[2]!Corr_Contr_CDP[[#All],[CRP]],_xlfn.XLOOKUP(Contrato5[[#This Row],[CDP]],[2]!COMPROMISOS_2024[[#All],[disponibilidad]],[2]!COMPROMISOS_2024[[#All],[consecutivo]],"",0),0)</f>
        <v>#NAME?</v>
      </c>
      <c r="U689" s="140" t="e" cm="1">
        <f t="array" aca="1" ref="U689" ca="1">+_xlfn.XLOOKUP(Contrato5[[#This Row],[RCP]],[2]!COMPROMISOS_2024[[#All],[consecutivo]],[2]!COMPROMISOS_2024[[#All],[fecha_aprobacion]],"",0)</f>
        <v>#NAME?</v>
      </c>
      <c r="V689" s="141" t="e">
        <f ca="1">SUMIF([2]!COMPROMISOS_2024[[#All],[consecutivo]],Contrato5[[#This Row],[RCP]],[2]!COMPROMISOS_2024[[#All],[valor_total]])</f>
        <v>#REF!</v>
      </c>
      <c r="W689" s="160">
        <v>45517</v>
      </c>
      <c r="X689" s="160" t="s">
        <v>1045</v>
      </c>
      <c r="Y689" s="143">
        <v>45520</v>
      </c>
      <c r="Z689" s="262">
        <v>45643</v>
      </c>
      <c r="AA689" s="183" t="s">
        <v>2877</v>
      </c>
      <c r="AB689" s="172" t="s">
        <v>2871</v>
      </c>
      <c r="AC689" s="172"/>
      <c r="AD689" s="425">
        <v>202000005130</v>
      </c>
      <c r="AE689" s="147" t="s">
        <v>523</v>
      </c>
      <c r="AF689" s="148" t="str">
        <f>TEXT(LEFT(Contrato5[[#This Row],[CONTRATO]],3),"0")</f>
        <v>564</v>
      </c>
      <c r="AG689" s="148" t="str">
        <f>IF(LEN(Contrato5[[#This Row],[Contrato2]])=3,Contrato5[[#This Row],[Contrato2]],TEXT(Contrato5[[#This Row],[Contrato2]],"000"))</f>
        <v>564</v>
      </c>
      <c r="AH689" s="149">
        <f ca="1">IFERROR(_xlfn.DAYS(Contrato5[[#This Row],[Fecha Proyectada liquidación]],TODAY())/30,"")</f>
        <v>0.16666666666666666</v>
      </c>
      <c r="AI689" s="150">
        <f>+Contrato5[[#This Row],[FECHA TERMINACIÓN ]]+120</f>
        <v>45763</v>
      </c>
      <c r="AJ689" s="147"/>
      <c r="AK689" s="152" t="str">
        <f ca="1">IF(Contrato5[[#This Row],[FECHA TERMINACIÓN ]]&lt;TODAY(), "Terminado",IF(ISNUMBER(Contrato5[[#This Row],[Fecha Real de liquiidación ]]),"Liquidado",IF(Contrato5[[#This Row],[FECHA TERMINACIÓN ]]&gt;=TODAY(),"En ejecución","")))</f>
        <v>Terminado</v>
      </c>
      <c r="AL689" s="153" t="e">
        <f ca="1">SUMIF([2]!COMPROMISOS_2024[[#All],[consecutivo]],Contrato5[[#This Row],[RCP]],[2]!COMPROMISOS_2024[[#All],[Total pagado]])</f>
        <v>#REF!</v>
      </c>
      <c r="AM689" s="154">
        <f ca="1">IFERROR(Contrato5[[#This Row],[Pagos]]/Contrato5[[#This Row],[VALOR CONTRATO]],0)</f>
        <v>0</v>
      </c>
      <c r="AN689" s="198" t="e">
        <f ca="1">+Contrato5[[#This Row],[VALOR CONTRATO]]-Contrato5[[#This Row],[Pagos]]</f>
        <v>#REF!</v>
      </c>
      <c r="AO689" s="147" t="e" cm="1">
        <f t="array" aca="1" ref="AO689" ca="1">_xlfn.XLOOKUP(Contrato5[[#This Row],[DOCUMENTO ]],[2]!PERSONAL_ACTIVO_2024[[#All],[Documento identidad]],[2]!PERSONAL_ACTIVO_2024[[#All],[Mail ]],0,0)</f>
        <v>#NAME?</v>
      </c>
      <c r="AP689" s="147" t="e" cm="1">
        <f t="array" aca="1" ref="AP689" ca="1">_xlfn.XLOOKUP(Contrato5[[#This Row],[DOCUMENTO]],[2]!PERSONAL_ACTIVO_2024[[#All],[Documento identidad]],[2]!PERSONAL_ACTIVO_2024[[#All],[Mail ]],0,0)</f>
        <v>#NAME?</v>
      </c>
      <c r="AQ689" s="439" cm="1">
        <f t="array" aca="1" ref="AQ689" ca="1">IF(ISBLANK(Contrato5[[#This Row],[DEPENDENCIA ]]),0,IFERROR(_xlfn.XLOOKUP(Contrato5[[#This Row],[DEPENDENCIA ]],[2]!PERSONAL_ACTIVO_2024[[#All],[Dependencia]],[2]!PERSONAL_ACTIVO_2024[[#All],[Mail ]],0,0),0))</f>
        <v>0</v>
      </c>
    </row>
    <row r="690" spans="1:43" ht="34.5" customHeight="1">
      <c r="A690" s="147">
        <v>954</v>
      </c>
      <c r="B690" s="124">
        <v>565</v>
      </c>
      <c r="C690" s="162" t="s">
        <v>2009</v>
      </c>
      <c r="D690" s="227" t="s">
        <v>583</v>
      </c>
      <c r="E690" s="440" t="s">
        <v>94</v>
      </c>
      <c r="F690" s="227" t="s">
        <v>1376</v>
      </c>
      <c r="G690" s="281" t="s">
        <v>2950</v>
      </c>
      <c r="H690" s="436">
        <v>98558934</v>
      </c>
      <c r="I690" s="273">
        <v>7908765</v>
      </c>
      <c r="J690" s="437">
        <v>32162311</v>
      </c>
      <c r="K690" s="131" t="s">
        <v>42</v>
      </c>
      <c r="L690" s="438" t="s">
        <v>2855</v>
      </c>
      <c r="M690" s="194" t="s">
        <v>592</v>
      </c>
      <c r="N690" s="177" t="e" cm="1">
        <f t="array" aca="1" ref="N690" ca="1">_xlfn.XLOOKUP(Contrato5[[#This Row],[SUPERVISOR TITULAR]],[2]!PERSONAL_ACTIVO_2024[[#All],[Nombre completo]],[2]!PERSONAL_ACTIVO_2024[[#All],[Documento identidad]],"",0)</f>
        <v>#NAME?</v>
      </c>
      <c r="O690" s="194" t="s">
        <v>600</v>
      </c>
      <c r="P690" s="196" t="e" cm="1">
        <f t="array" aca="1" ref="P690" ca="1">_xlfn.XLOOKUP(Contrato5[[#This Row],[SUPERVISOR SUPLENTE ]],[2]!PERSONAL_ACTIVO_2024[[#All],[Nombre completo]],[2]!PERSONAL_ACTIVO_2024[[#All],[Documento identidad]],"",0)</f>
        <v>#NAME?</v>
      </c>
      <c r="Q690" s="170">
        <v>702</v>
      </c>
      <c r="R690" s="137" t="e" cm="1">
        <f t="array" aca="1" ref="R690" ca="1">_xlfn.XLOOKUP(Contrato5[[#This Row],[CDP]],[2]!DISPONIBILIDADES_2024[[#All],[consecutivo]],[2]!DISPONIBILIDADES_2024[[#All],[fecha_aprobacion]],"",0)</f>
        <v>#NAME?</v>
      </c>
      <c r="S690" s="138" t="e">
        <f>SUMIF([2]!DISPONIBILIDADES_2024[[#All],[consecutivo]],Contrato5[[#This Row],[CDP]],[2]!DISPONIBILIDADES_2024[[#All],[valor_total_rubro]])</f>
        <v>#REF!</v>
      </c>
      <c r="T690" s="139" t="e" cm="1">
        <f t="array" aca="1" ref="T690" ca="1">_xlfn.XLOOKUP(Contrato5[[#This Row],[CONTRATO]]&amp;Contrato5[[#This Row],[CDP]],[2]!Corr_Contr_CDP[[#All],[CONTRATO-CDP]],[2]!Corr_Contr_CDP[[#All],[CRP]],_xlfn.XLOOKUP(Contrato5[[#This Row],[CDP]],[2]!COMPROMISOS_2024[[#All],[disponibilidad]],[2]!COMPROMISOS_2024[[#All],[consecutivo]],"",0),0)</f>
        <v>#NAME?</v>
      </c>
      <c r="U690" s="140" t="e" cm="1">
        <f t="array" aca="1" ref="U690" ca="1">+_xlfn.XLOOKUP(Contrato5[[#This Row],[RCP]],[2]!COMPROMISOS_2024[[#All],[consecutivo]],[2]!COMPROMISOS_2024[[#All],[fecha_aprobacion]],"",0)</f>
        <v>#NAME?</v>
      </c>
      <c r="V690" s="141" t="e">
        <f ca="1">SUMIF([2]!COMPROMISOS_2024[[#All],[consecutivo]],Contrato5[[#This Row],[RCP]],[2]!COMPROMISOS_2024[[#All],[valor_total]])</f>
        <v>#REF!</v>
      </c>
      <c r="W690" s="160">
        <v>45517</v>
      </c>
      <c r="X690" s="160" t="s">
        <v>1045</v>
      </c>
      <c r="Y690" s="143">
        <v>45520</v>
      </c>
      <c r="Z690" s="262">
        <v>45643</v>
      </c>
      <c r="AA690" s="183" t="s">
        <v>2877</v>
      </c>
      <c r="AB690" s="172" t="s">
        <v>2871</v>
      </c>
      <c r="AC690" s="172"/>
      <c r="AD690" s="425">
        <v>202000005131</v>
      </c>
      <c r="AE690" s="147" t="s">
        <v>523</v>
      </c>
      <c r="AF690" s="148" t="str">
        <f>TEXT(LEFT(Contrato5[[#This Row],[CONTRATO]],3),"0")</f>
        <v>565</v>
      </c>
      <c r="AG690" s="148" t="str">
        <f>IF(LEN(Contrato5[[#This Row],[Contrato2]])=3,Contrato5[[#This Row],[Contrato2]],TEXT(Contrato5[[#This Row],[Contrato2]],"000"))</f>
        <v>565</v>
      </c>
      <c r="AH690" s="149">
        <f ca="1">IFERROR(_xlfn.DAYS(Contrato5[[#This Row],[Fecha Proyectada liquidación]],TODAY())/30,"")</f>
        <v>0.16666666666666666</v>
      </c>
      <c r="AI690" s="150">
        <f>+Contrato5[[#This Row],[FECHA TERMINACIÓN ]]+120</f>
        <v>45763</v>
      </c>
      <c r="AJ690" s="147"/>
      <c r="AK690" s="152" t="str">
        <f ca="1">IF(Contrato5[[#This Row],[FECHA TERMINACIÓN ]]&lt;TODAY(), "Terminado",IF(ISNUMBER(Contrato5[[#This Row],[Fecha Real de liquiidación ]]),"Liquidado",IF(Contrato5[[#This Row],[FECHA TERMINACIÓN ]]&gt;=TODAY(),"En ejecución","")))</f>
        <v>Terminado</v>
      </c>
      <c r="AL690" s="153" t="e">
        <f ca="1">SUMIF([2]!COMPROMISOS_2024[[#All],[consecutivo]],Contrato5[[#This Row],[RCP]],[2]!COMPROMISOS_2024[[#All],[Total pagado]])</f>
        <v>#REF!</v>
      </c>
      <c r="AM690" s="154">
        <f ca="1">IFERROR(Contrato5[[#This Row],[Pagos]]/Contrato5[[#This Row],[VALOR CONTRATO]],0)</f>
        <v>0</v>
      </c>
      <c r="AN690" s="198" t="e">
        <f ca="1">+Contrato5[[#This Row],[VALOR CONTRATO]]-Contrato5[[#This Row],[Pagos]]</f>
        <v>#REF!</v>
      </c>
      <c r="AO690" s="147" t="e" cm="1">
        <f t="array" aca="1" ref="AO690" ca="1">_xlfn.XLOOKUP(Contrato5[[#This Row],[DOCUMENTO ]],[2]!PERSONAL_ACTIVO_2024[[#All],[Documento identidad]],[2]!PERSONAL_ACTIVO_2024[[#All],[Mail ]],0,0)</f>
        <v>#NAME?</v>
      </c>
      <c r="AP690" s="147" t="e" cm="1">
        <f t="array" aca="1" ref="AP690" ca="1">_xlfn.XLOOKUP(Contrato5[[#This Row],[DOCUMENTO]],[2]!PERSONAL_ACTIVO_2024[[#All],[Documento identidad]],[2]!PERSONAL_ACTIVO_2024[[#All],[Mail ]],0,0)</f>
        <v>#NAME?</v>
      </c>
      <c r="AQ690" s="439" cm="1">
        <f t="array" aca="1" ref="AQ690" ca="1">IF(ISBLANK(Contrato5[[#This Row],[DEPENDENCIA ]]),0,IFERROR(_xlfn.XLOOKUP(Contrato5[[#This Row],[DEPENDENCIA ]],[2]!PERSONAL_ACTIVO_2024[[#All],[Dependencia]],[2]!PERSONAL_ACTIVO_2024[[#All],[Mail ]],0,0),0))</f>
        <v>0</v>
      </c>
    </row>
    <row r="691" spans="1:43" ht="34.5" customHeight="1">
      <c r="A691" s="147">
        <v>955</v>
      </c>
      <c r="B691" s="124">
        <v>566</v>
      </c>
      <c r="C691" s="162" t="s">
        <v>2009</v>
      </c>
      <c r="D691" s="227" t="s">
        <v>583</v>
      </c>
      <c r="E691" s="440" t="s">
        <v>94</v>
      </c>
      <c r="F691" s="227" t="s">
        <v>1376</v>
      </c>
      <c r="G691" s="281" t="s">
        <v>766</v>
      </c>
      <c r="H691" s="436">
        <v>52152664</v>
      </c>
      <c r="I691" s="273">
        <v>5931149</v>
      </c>
      <c r="J691" s="437">
        <v>24120006</v>
      </c>
      <c r="K691" s="131" t="s">
        <v>42</v>
      </c>
      <c r="L691" s="438" t="s">
        <v>2855</v>
      </c>
      <c r="M691" s="194" t="s">
        <v>592</v>
      </c>
      <c r="N691" s="177" t="e" cm="1">
        <f t="array" aca="1" ref="N691" ca="1">_xlfn.XLOOKUP(Contrato5[[#This Row],[SUPERVISOR TITULAR]],[2]!PERSONAL_ACTIVO_2024[[#All],[Nombre completo]],[2]!PERSONAL_ACTIVO_2024[[#All],[Documento identidad]],"",0)</f>
        <v>#NAME?</v>
      </c>
      <c r="O691" s="194" t="s">
        <v>600</v>
      </c>
      <c r="P691" s="196" t="e" cm="1">
        <f t="array" aca="1" ref="P691" ca="1">_xlfn.XLOOKUP(Contrato5[[#This Row],[SUPERVISOR SUPLENTE ]],[2]!PERSONAL_ACTIVO_2024[[#All],[Nombre completo]],[2]!PERSONAL_ACTIVO_2024[[#All],[Documento identidad]],"",0)</f>
        <v>#NAME?</v>
      </c>
      <c r="Q691" s="170">
        <v>757</v>
      </c>
      <c r="R691" s="137" t="e" cm="1">
        <f t="array" aca="1" ref="R691" ca="1">_xlfn.XLOOKUP(Contrato5[[#This Row],[CDP]],[2]!DISPONIBILIDADES_2024[[#All],[consecutivo]],[2]!DISPONIBILIDADES_2024[[#All],[fecha_aprobacion]],"",0)</f>
        <v>#NAME?</v>
      </c>
      <c r="S691" s="138" t="e">
        <f>SUMIF([2]!DISPONIBILIDADES_2024[[#All],[consecutivo]],Contrato5[[#This Row],[CDP]],[2]!DISPONIBILIDADES_2024[[#All],[valor_total_rubro]])</f>
        <v>#REF!</v>
      </c>
      <c r="T691" s="139" t="e" cm="1">
        <f t="array" aca="1" ref="T691" ca="1">_xlfn.XLOOKUP(Contrato5[[#This Row],[CONTRATO]]&amp;Contrato5[[#This Row],[CDP]],[2]!Corr_Contr_CDP[[#All],[CONTRATO-CDP]],[2]!Corr_Contr_CDP[[#All],[CRP]],_xlfn.XLOOKUP(Contrato5[[#This Row],[CDP]],[2]!COMPROMISOS_2024[[#All],[disponibilidad]],[2]!COMPROMISOS_2024[[#All],[consecutivo]],"",0),0)</f>
        <v>#NAME?</v>
      </c>
      <c r="U691" s="140" t="e" cm="1">
        <f t="array" aca="1" ref="U691" ca="1">+_xlfn.XLOOKUP(Contrato5[[#This Row],[RCP]],[2]!COMPROMISOS_2024[[#All],[consecutivo]],[2]!COMPROMISOS_2024[[#All],[fecha_aprobacion]],"",0)</f>
        <v>#NAME?</v>
      </c>
      <c r="V691" s="141" t="e">
        <f ca="1">SUMIF([2]!COMPROMISOS_2024[[#All],[consecutivo]],Contrato5[[#This Row],[RCP]],[2]!COMPROMISOS_2024[[#All],[valor_total]])</f>
        <v>#REF!</v>
      </c>
      <c r="W691" s="160">
        <v>45516</v>
      </c>
      <c r="X691" s="160" t="s">
        <v>1045</v>
      </c>
      <c r="Y691" s="143">
        <v>45520</v>
      </c>
      <c r="Z691" s="262">
        <v>45643</v>
      </c>
      <c r="AA691" s="183" t="s">
        <v>2877</v>
      </c>
      <c r="AB691" s="172" t="s">
        <v>2871</v>
      </c>
      <c r="AC691" s="172"/>
      <c r="AD691" s="425">
        <v>202000005132</v>
      </c>
      <c r="AE691" s="147" t="s">
        <v>523</v>
      </c>
      <c r="AF691" s="148" t="str">
        <f>TEXT(LEFT(Contrato5[[#This Row],[CONTRATO]],3),"0")</f>
        <v>566</v>
      </c>
      <c r="AG691" s="148" t="str">
        <f>IF(LEN(Contrato5[[#This Row],[Contrato2]])=3,Contrato5[[#This Row],[Contrato2]],TEXT(Contrato5[[#This Row],[Contrato2]],"000"))</f>
        <v>566</v>
      </c>
      <c r="AH691" s="149">
        <f ca="1">IFERROR(_xlfn.DAYS(Contrato5[[#This Row],[Fecha Proyectada liquidación]],TODAY())/30,"")</f>
        <v>0.16666666666666666</v>
      </c>
      <c r="AI691" s="150">
        <f>+Contrato5[[#This Row],[FECHA TERMINACIÓN ]]+120</f>
        <v>45763</v>
      </c>
      <c r="AJ691" s="147"/>
      <c r="AK691" s="152" t="str">
        <f ca="1">IF(Contrato5[[#This Row],[FECHA TERMINACIÓN ]]&lt;TODAY(), "Terminado",IF(ISNUMBER(Contrato5[[#This Row],[Fecha Real de liquiidación ]]),"Liquidado",IF(Contrato5[[#This Row],[FECHA TERMINACIÓN ]]&gt;=TODAY(),"En ejecución","")))</f>
        <v>Terminado</v>
      </c>
      <c r="AL691" s="153" t="e">
        <f ca="1">SUMIF([2]!COMPROMISOS_2024[[#All],[consecutivo]],Contrato5[[#This Row],[RCP]],[2]!COMPROMISOS_2024[[#All],[Total pagado]])</f>
        <v>#REF!</v>
      </c>
      <c r="AM691" s="154">
        <f ca="1">IFERROR(Contrato5[[#This Row],[Pagos]]/Contrato5[[#This Row],[VALOR CONTRATO]],0)</f>
        <v>0</v>
      </c>
      <c r="AN691" s="198" t="e">
        <f ca="1">+Contrato5[[#This Row],[VALOR CONTRATO]]-Contrato5[[#This Row],[Pagos]]</f>
        <v>#REF!</v>
      </c>
      <c r="AO691" s="147" t="e" cm="1">
        <f t="array" aca="1" ref="AO691" ca="1">_xlfn.XLOOKUP(Contrato5[[#This Row],[DOCUMENTO ]],[2]!PERSONAL_ACTIVO_2024[[#All],[Documento identidad]],[2]!PERSONAL_ACTIVO_2024[[#All],[Mail ]],0,0)</f>
        <v>#NAME?</v>
      </c>
      <c r="AP691" s="147" t="e" cm="1">
        <f t="array" aca="1" ref="AP691" ca="1">_xlfn.XLOOKUP(Contrato5[[#This Row],[DOCUMENTO]],[2]!PERSONAL_ACTIVO_2024[[#All],[Documento identidad]],[2]!PERSONAL_ACTIVO_2024[[#All],[Mail ]],0,0)</f>
        <v>#NAME?</v>
      </c>
      <c r="AQ691" s="439" cm="1">
        <f t="array" aca="1" ref="AQ691" ca="1">IF(ISBLANK(Contrato5[[#This Row],[DEPENDENCIA ]]),0,IFERROR(_xlfn.XLOOKUP(Contrato5[[#This Row],[DEPENDENCIA ]],[2]!PERSONAL_ACTIVO_2024[[#All],[Dependencia]],[2]!PERSONAL_ACTIVO_2024[[#All],[Mail ]],0,0),0))</f>
        <v>0</v>
      </c>
    </row>
    <row r="692" spans="1:43" ht="34.5" customHeight="1">
      <c r="A692" s="147">
        <v>956</v>
      </c>
      <c r="B692" s="124">
        <v>567</v>
      </c>
      <c r="C692" s="162" t="s">
        <v>2009</v>
      </c>
      <c r="D692" s="227" t="s">
        <v>583</v>
      </c>
      <c r="E692" s="440" t="s">
        <v>94</v>
      </c>
      <c r="F692" s="227" t="s">
        <v>1376</v>
      </c>
      <c r="G692" s="281" t="s">
        <v>2951</v>
      </c>
      <c r="H692" s="436">
        <v>700153261</v>
      </c>
      <c r="I692" s="273">
        <v>5931149</v>
      </c>
      <c r="J692" s="437">
        <v>24120006</v>
      </c>
      <c r="K692" s="131" t="s">
        <v>42</v>
      </c>
      <c r="L692" s="438" t="s">
        <v>2855</v>
      </c>
      <c r="M692" s="194" t="s">
        <v>592</v>
      </c>
      <c r="N692" s="177" t="e" cm="1">
        <f t="array" aca="1" ref="N692" ca="1">_xlfn.XLOOKUP(Contrato5[[#This Row],[SUPERVISOR TITULAR]],[2]!PERSONAL_ACTIVO_2024[[#All],[Nombre completo]],[2]!PERSONAL_ACTIVO_2024[[#All],[Documento identidad]],"",0)</f>
        <v>#NAME?</v>
      </c>
      <c r="O692" s="194" t="s">
        <v>600</v>
      </c>
      <c r="P692" s="196" t="e" cm="1">
        <f t="array" aca="1" ref="P692" ca="1">_xlfn.XLOOKUP(Contrato5[[#This Row],[SUPERVISOR SUPLENTE ]],[2]!PERSONAL_ACTIVO_2024[[#All],[Nombre completo]],[2]!PERSONAL_ACTIVO_2024[[#All],[Documento identidad]],"",0)</f>
        <v>#NAME?</v>
      </c>
      <c r="Q692" s="170">
        <v>756</v>
      </c>
      <c r="R692" s="137" t="e" cm="1">
        <f t="array" aca="1" ref="R692" ca="1">_xlfn.XLOOKUP(Contrato5[[#This Row],[CDP]],[2]!DISPONIBILIDADES_2024[[#All],[consecutivo]],[2]!DISPONIBILIDADES_2024[[#All],[fecha_aprobacion]],"",0)</f>
        <v>#NAME?</v>
      </c>
      <c r="S692" s="138" t="e">
        <f>SUMIF([2]!DISPONIBILIDADES_2024[[#All],[consecutivo]],Contrato5[[#This Row],[CDP]],[2]!DISPONIBILIDADES_2024[[#All],[valor_total_rubro]])</f>
        <v>#REF!</v>
      </c>
      <c r="T692" s="139" t="e" cm="1">
        <f t="array" aca="1" ref="T692" ca="1">_xlfn.XLOOKUP(Contrato5[[#This Row],[CONTRATO]]&amp;Contrato5[[#This Row],[CDP]],[2]!Corr_Contr_CDP[[#All],[CONTRATO-CDP]],[2]!Corr_Contr_CDP[[#All],[CRP]],_xlfn.XLOOKUP(Contrato5[[#This Row],[CDP]],[2]!COMPROMISOS_2024[[#All],[disponibilidad]],[2]!COMPROMISOS_2024[[#All],[consecutivo]],"",0),0)</f>
        <v>#NAME?</v>
      </c>
      <c r="U692" s="140" t="e" cm="1">
        <f t="array" aca="1" ref="U692" ca="1">+_xlfn.XLOOKUP(Contrato5[[#This Row],[RCP]],[2]!COMPROMISOS_2024[[#All],[consecutivo]],[2]!COMPROMISOS_2024[[#All],[fecha_aprobacion]],"",0)</f>
        <v>#NAME?</v>
      </c>
      <c r="V692" s="141" t="e">
        <f ca="1">SUMIF([2]!COMPROMISOS_2024[[#All],[consecutivo]],Contrato5[[#This Row],[RCP]],[2]!COMPROMISOS_2024[[#All],[valor_total]])</f>
        <v>#REF!</v>
      </c>
      <c r="W692" s="160">
        <v>45516</v>
      </c>
      <c r="X692" s="160" t="s">
        <v>1045</v>
      </c>
      <c r="Y692" s="143">
        <v>45520</v>
      </c>
      <c r="Z692" s="262">
        <v>45643</v>
      </c>
      <c r="AA692" s="183" t="s">
        <v>2870</v>
      </c>
      <c r="AB692" s="172" t="s">
        <v>2871</v>
      </c>
      <c r="AC692" s="172"/>
      <c r="AD692" s="425">
        <v>202000005134</v>
      </c>
      <c r="AE692" s="147" t="s">
        <v>523</v>
      </c>
      <c r="AF692" s="148" t="str">
        <f>TEXT(LEFT(Contrato5[[#This Row],[CONTRATO]],3),"0")</f>
        <v>567</v>
      </c>
      <c r="AG692" s="148" t="str">
        <f>IF(LEN(Contrato5[[#This Row],[Contrato2]])=3,Contrato5[[#This Row],[Contrato2]],TEXT(Contrato5[[#This Row],[Contrato2]],"000"))</f>
        <v>567</v>
      </c>
      <c r="AH692" s="149">
        <f ca="1">IFERROR(_xlfn.DAYS(Contrato5[[#This Row],[Fecha Proyectada liquidación]],TODAY())/30,"")</f>
        <v>0.16666666666666666</v>
      </c>
      <c r="AI692" s="150">
        <f>+Contrato5[[#This Row],[FECHA TERMINACIÓN ]]+120</f>
        <v>45763</v>
      </c>
      <c r="AJ692" s="147"/>
      <c r="AK692" s="152" t="str">
        <f ca="1">IF(Contrato5[[#This Row],[FECHA TERMINACIÓN ]]&lt;TODAY(), "Terminado",IF(ISNUMBER(Contrato5[[#This Row],[Fecha Real de liquiidación ]]),"Liquidado",IF(Contrato5[[#This Row],[FECHA TERMINACIÓN ]]&gt;=TODAY(),"En ejecución","")))</f>
        <v>Terminado</v>
      </c>
      <c r="AL692" s="153" t="e">
        <f ca="1">SUMIF([2]!COMPROMISOS_2024[[#All],[consecutivo]],Contrato5[[#This Row],[RCP]],[2]!COMPROMISOS_2024[[#All],[Total pagado]])</f>
        <v>#REF!</v>
      </c>
      <c r="AM692" s="154">
        <f ca="1">IFERROR(Contrato5[[#This Row],[Pagos]]/Contrato5[[#This Row],[VALOR CONTRATO]],0)</f>
        <v>0</v>
      </c>
      <c r="AN692" s="198" t="e">
        <f ca="1">+Contrato5[[#This Row],[VALOR CONTRATO]]-Contrato5[[#This Row],[Pagos]]</f>
        <v>#REF!</v>
      </c>
      <c r="AO692" s="147" t="e" cm="1">
        <f t="array" aca="1" ref="AO692" ca="1">_xlfn.XLOOKUP(Contrato5[[#This Row],[DOCUMENTO ]],[2]!PERSONAL_ACTIVO_2024[[#All],[Documento identidad]],[2]!PERSONAL_ACTIVO_2024[[#All],[Mail ]],0,0)</f>
        <v>#NAME?</v>
      </c>
      <c r="AP692" s="147" t="e" cm="1">
        <f t="array" aca="1" ref="AP692" ca="1">_xlfn.XLOOKUP(Contrato5[[#This Row],[DOCUMENTO]],[2]!PERSONAL_ACTIVO_2024[[#All],[Documento identidad]],[2]!PERSONAL_ACTIVO_2024[[#All],[Mail ]],0,0)</f>
        <v>#NAME?</v>
      </c>
      <c r="AQ692" s="439" cm="1">
        <f t="array" aca="1" ref="AQ692" ca="1">IF(ISBLANK(Contrato5[[#This Row],[DEPENDENCIA ]]),0,IFERROR(_xlfn.XLOOKUP(Contrato5[[#This Row],[DEPENDENCIA ]],[2]!PERSONAL_ACTIVO_2024[[#All],[Dependencia]],[2]!PERSONAL_ACTIVO_2024[[#All],[Mail ]],0,0),0))</f>
        <v>0</v>
      </c>
    </row>
    <row r="693" spans="1:43" ht="34.5" customHeight="1">
      <c r="A693" s="147">
        <v>957</v>
      </c>
      <c r="B693" s="124">
        <v>568</v>
      </c>
      <c r="C693" s="162" t="s">
        <v>2009</v>
      </c>
      <c r="D693" s="227" t="s">
        <v>583</v>
      </c>
      <c r="E693" s="440" t="s">
        <v>94</v>
      </c>
      <c r="F693" s="227" t="s">
        <v>1376</v>
      </c>
      <c r="G693" s="281" t="s">
        <v>2952</v>
      </c>
      <c r="H693" s="436">
        <v>98558933</v>
      </c>
      <c r="I693" s="273">
        <v>6920169</v>
      </c>
      <c r="J693" s="437">
        <v>28142021</v>
      </c>
      <c r="K693" s="131" t="s">
        <v>42</v>
      </c>
      <c r="L693" s="438" t="s">
        <v>2855</v>
      </c>
      <c r="M693" s="194" t="s">
        <v>592</v>
      </c>
      <c r="N693" s="177" t="e" cm="1">
        <f t="array" aca="1" ref="N693" ca="1">_xlfn.XLOOKUP(Contrato5[[#This Row],[SUPERVISOR TITULAR]],[2]!PERSONAL_ACTIVO_2024[[#All],[Nombre completo]],[2]!PERSONAL_ACTIVO_2024[[#All],[Documento identidad]],"",0)</f>
        <v>#NAME?</v>
      </c>
      <c r="O693" s="194" t="s">
        <v>600</v>
      </c>
      <c r="P693" s="196" t="e" cm="1">
        <f t="array" aca="1" ref="P693" ca="1">_xlfn.XLOOKUP(Contrato5[[#This Row],[SUPERVISOR SUPLENTE ]],[2]!PERSONAL_ACTIVO_2024[[#All],[Nombre completo]],[2]!PERSONAL_ACTIVO_2024[[#All],[Documento identidad]],"",0)</f>
        <v>#NAME?</v>
      </c>
      <c r="Q693" s="170">
        <v>755</v>
      </c>
      <c r="R693" s="137" t="e" cm="1">
        <f t="array" aca="1" ref="R693" ca="1">_xlfn.XLOOKUP(Contrato5[[#This Row],[CDP]],[2]!DISPONIBILIDADES_2024[[#All],[consecutivo]],[2]!DISPONIBILIDADES_2024[[#All],[fecha_aprobacion]],"",0)</f>
        <v>#NAME?</v>
      </c>
      <c r="S693" s="138" t="e">
        <f>SUMIF([2]!DISPONIBILIDADES_2024[[#All],[consecutivo]],Contrato5[[#This Row],[CDP]],[2]!DISPONIBILIDADES_2024[[#All],[valor_total_rubro]])</f>
        <v>#REF!</v>
      </c>
      <c r="T693" s="139" t="e" cm="1">
        <f t="array" aca="1" ref="T693" ca="1">_xlfn.XLOOKUP(Contrato5[[#This Row],[CONTRATO]]&amp;Contrato5[[#This Row],[CDP]],[2]!Corr_Contr_CDP[[#All],[CONTRATO-CDP]],[2]!Corr_Contr_CDP[[#All],[CRP]],_xlfn.XLOOKUP(Contrato5[[#This Row],[CDP]],[2]!COMPROMISOS_2024[[#All],[disponibilidad]],[2]!COMPROMISOS_2024[[#All],[consecutivo]],"",0),0)</f>
        <v>#NAME?</v>
      </c>
      <c r="U693" s="140" t="e" cm="1">
        <f t="array" aca="1" ref="U693" ca="1">+_xlfn.XLOOKUP(Contrato5[[#This Row],[RCP]],[2]!COMPROMISOS_2024[[#All],[consecutivo]],[2]!COMPROMISOS_2024[[#All],[fecha_aprobacion]],"",0)</f>
        <v>#NAME?</v>
      </c>
      <c r="V693" s="141" t="e">
        <f ca="1">SUMIF([2]!COMPROMISOS_2024[[#All],[consecutivo]],Contrato5[[#This Row],[RCP]],[2]!COMPROMISOS_2024[[#All],[valor_total]])</f>
        <v>#REF!</v>
      </c>
      <c r="W693" s="160">
        <v>45517</v>
      </c>
      <c r="X693" s="160" t="s">
        <v>1045</v>
      </c>
      <c r="Y693" s="143">
        <v>45520</v>
      </c>
      <c r="Z693" s="262">
        <v>45643</v>
      </c>
      <c r="AA693" s="183" t="s">
        <v>2870</v>
      </c>
      <c r="AB693" s="172" t="s">
        <v>2871</v>
      </c>
      <c r="AC693" s="172"/>
      <c r="AD693" s="425">
        <v>202000005133</v>
      </c>
      <c r="AE693" s="147" t="s">
        <v>523</v>
      </c>
      <c r="AF693" s="148" t="str">
        <f>TEXT(LEFT(Contrato5[[#This Row],[CONTRATO]],3),"0")</f>
        <v>568</v>
      </c>
      <c r="AG693" s="148" t="str">
        <f>IF(LEN(Contrato5[[#This Row],[Contrato2]])=3,Contrato5[[#This Row],[Contrato2]],TEXT(Contrato5[[#This Row],[Contrato2]],"000"))</f>
        <v>568</v>
      </c>
      <c r="AH693" s="149">
        <f ca="1">IFERROR(_xlfn.DAYS(Contrato5[[#This Row],[Fecha Proyectada liquidación]],TODAY())/30,"")</f>
        <v>0.16666666666666666</v>
      </c>
      <c r="AI693" s="150">
        <f>+Contrato5[[#This Row],[FECHA TERMINACIÓN ]]+120</f>
        <v>45763</v>
      </c>
      <c r="AJ693" s="147"/>
      <c r="AK693" s="152" t="str">
        <f ca="1">IF(Contrato5[[#This Row],[FECHA TERMINACIÓN ]]&lt;TODAY(), "Terminado",IF(ISNUMBER(Contrato5[[#This Row],[Fecha Real de liquiidación ]]),"Liquidado",IF(Contrato5[[#This Row],[FECHA TERMINACIÓN ]]&gt;=TODAY(),"En ejecución","")))</f>
        <v>Terminado</v>
      </c>
      <c r="AL693" s="153" t="e">
        <f ca="1">SUMIF([2]!COMPROMISOS_2024[[#All],[consecutivo]],Contrato5[[#This Row],[RCP]],[2]!COMPROMISOS_2024[[#All],[Total pagado]])</f>
        <v>#REF!</v>
      </c>
      <c r="AM693" s="154">
        <f ca="1">IFERROR(Contrato5[[#This Row],[Pagos]]/Contrato5[[#This Row],[VALOR CONTRATO]],0)</f>
        <v>0</v>
      </c>
      <c r="AN693" s="198" t="e">
        <f ca="1">+Contrato5[[#This Row],[VALOR CONTRATO]]-Contrato5[[#This Row],[Pagos]]</f>
        <v>#REF!</v>
      </c>
      <c r="AO693" s="147" t="e" cm="1">
        <f t="array" aca="1" ref="AO693" ca="1">_xlfn.XLOOKUP(Contrato5[[#This Row],[DOCUMENTO ]],[2]!PERSONAL_ACTIVO_2024[[#All],[Documento identidad]],[2]!PERSONAL_ACTIVO_2024[[#All],[Mail ]],0,0)</f>
        <v>#NAME?</v>
      </c>
      <c r="AP693" s="147" t="e" cm="1">
        <f t="array" aca="1" ref="AP693" ca="1">_xlfn.XLOOKUP(Contrato5[[#This Row],[DOCUMENTO]],[2]!PERSONAL_ACTIVO_2024[[#All],[Documento identidad]],[2]!PERSONAL_ACTIVO_2024[[#All],[Mail ]],0,0)</f>
        <v>#NAME?</v>
      </c>
      <c r="AQ693" s="439" cm="1">
        <f t="array" aca="1" ref="AQ693" ca="1">IF(ISBLANK(Contrato5[[#This Row],[DEPENDENCIA ]]),0,IFERROR(_xlfn.XLOOKUP(Contrato5[[#This Row],[DEPENDENCIA ]],[2]!PERSONAL_ACTIVO_2024[[#All],[Dependencia]],[2]!PERSONAL_ACTIVO_2024[[#All],[Mail ]],0,0),0))</f>
        <v>0</v>
      </c>
    </row>
    <row r="694" spans="1:43" ht="34.5" customHeight="1">
      <c r="A694" s="147">
        <v>958</v>
      </c>
      <c r="B694" s="124">
        <v>569</v>
      </c>
      <c r="C694" s="162" t="s">
        <v>2009</v>
      </c>
      <c r="D694" s="227" t="s">
        <v>583</v>
      </c>
      <c r="E694" s="440" t="s">
        <v>94</v>
      </c>
      <c r="F694" s="227" t="s">
        <v>1376</v>
      </c>
      <c r="G694" s="281" t="s">
        <v>2953</v>
      </c>
      <c r="H694" s="436">
        <v>71526393</v>
      </c>
      <c r="I694" s="273">
        <v>2574842</v>
      </c>
      <c r="J694" s="437">
        <v>10471024</v>
      </c>
      <c r="K694" s="131" t="s">
        <v>42</v>
      </c>
      <c r="L694" s="438" t="s">
        <v>2855</v>
      </c>
      <c r="M694" s="194" t="s">
        <v>592</v>
      </c>
      <c r="N694" s="177" t="e" cm="1">
        <f t="array" aca="1" ref="N694" ca="1">_xlfn.XLOOKUP(Contrato5[[#This Row],[SUPERVISOR TITULAR]],[2]!PERSONAL_ACTIVO_2024[[#All],[Nombre completo]],[2]!PERSONAL_ACTIVO_2024[[#All],[Documento identidad]],"",0)</f>
        <v>#NAME?</v>
      </c>
      <c r="O694" s="194" t="s">
        <v>600</v>
      </c>
      <c r="P694" s="196" t="e" cm="1">
        <f t="array" aca="1" ref="P694" ca="1">_xlfn.XLOOKUP(Contrato5[[#This Row],[SUPERVISOR SUPLENTE ]],[2]!PERSONAL_ACTIVO_2024[[#All],[Nombre completo]],[2]!PERSONAL_ACTIVO_2024[[#All],[Documento identidad]],"",0)</f>
        <v>#NAME?</v>
      </c>
      <c r="Q694" s="170">
        <v>689</v>
      </c>
      <c r="R694" s="137" t="e" cm="1">
        <f t="array" aca="1" ref="R694" ca="1">_xlfn.XLOOKUP(Contrato5[[#This Row],[CDP]],[2]!DISPONIBILIDADES_2024[[#All],[consecutivo]],[2]!DISPONIBILIDADES_2024[[#All],[fecha_aprobacion]],"",0)</f>
        <v>#NAME?</v>
      </c>
      <c r="S694" s="138" t="e">
        <f>SUMIF([2]!DISPONIBILIDADES_2024[[#All],[consecutivo]],Contrato5[[#This Row],[CDP]],[2]!DISPONIBILIDADES_2024[[#All],[valor_total_rubro]])</f>
        <v>#REF!</v>
      </c>
      <c r="T694" s="139" t="e" cm="1">
        <f t="array" aca="1" ref="T694" ca="1">_xlfn.XLOOKUP(Contrato5[[#This Row],[CONTRATO]]&amp;Contrato5[[#This Row],[CDP]],[2]!Corr_Contr_CDP[[#All],[CONTRATO-CDP]],[2]!Corr_Contr_CDP[[#All],[CRP]],_xlfn.XLOOKUP(Contrato5[[#This Row],[CDP]],[2]!COMPROMISOS_2024[[#All],[disponibilidad]],[2]!COMPROMISOS_2024[[#All],[consecutivo]],"",0),0)</f>
        <v>#NAME?</v>
      </c>
      <c r="U694" s="140" t="e" cm="1">
        <f t="array" aca="1" ref="U694" ca="1">+_xlfn.XLOOKUP(Contrato5[[#This Row],[RCP]],[2]!COMPROMISOS_2024[[#All],[consecutivo]],[2]!COMPROMISOS_2024[[#All],[fecha_aprobacion]],"",0)</f>
        <v>#NAME?</v>
      </c>
      <c r="V694" s="141" t="e">
        <f ca="1">SUMIF([2]!COMPROMISOS_2024[[#All],[consecutivo]],Contrato5[[#This Row],[RCP]],[2]!COMPROMISOS_2024[[#All],[valor_total]])</f>
        <v>#REF!</v>
      </c>
      <c r="W694" s="160">
        <v>45516</v>
      </c>
      <c r="X694" s="160" t="s">
        <v>1045</v>
      </c>
      <c r="Y694" s="143">
        <v>45520</v>
      </c>
      <c r="Z694" s="262">
        <v>45643</v>
      </c>
      <c r="AA694" s="183" t="s">
        <v>2873</v>
      </c>
      <c r="AB694" s="172" t="s">
        <v>2871</v>
      </c>
      <c r="AC694" s="172"/>
      <c r="AD694" s="425">
        <v>202000005135</v>
      </c>
      <c r="AE694" s="147" t="s">
        <v>523</v>
      </c>
      <c r="AF694" s="148" t="str">
        <f>TEXT(LEFT(Contrato5[[#This Row],[CONTRATO]],3),"0")</f>
        <v>569</v>
      </c>
      <c r="AG694" s="148" t="str">
        <f>IF(LEN(Contrato5[[#This Row],[Contrato2]])=3,Contrato5[[#This Row],[Contrato2]],TEXT(Contrato5[[#This Row],[Contrato2]],"000"))</f>
        <v>569</v>
      </c>
      <c r="AH694" s="149">
        <f ca="1">IFERROR(_xlfn.DAYS(Contrato5[[#This Row],[Fecha Proyectada liquidación]],TODAY())/30,"")</f>
        <v>0.16666666666666666</v>
      </c>
      <c r="AI694" s="150">
        <f>+Contrato5[[#This Row],[FECHA TERMINACIÓN ]]+120</f>
        <v>45763</v>
      </c>
      <c r="AJ694" s="147"/>
      <c r="AK694" s="152" t="str">
        <f ca="1">IF(Contrato5[[#This Row],[FECHA TERMINACIÓN ]]&lt;TODAY(), "Terminado",IF(ISNUMBER(Contrato5[[#This Row],[Fecha Real de liquiidación ]]),"Liquidado",IF(Contrato5[[#This Row],[FECHA TERMINACIÓN ]]&gt;=TODAY(),"En ejecución","")))</f>
        <v>Terminado</v>
      </c>
      <c r="AL694" s="153" t="e">
        <f ca="1">SUMIF([2]!COMPROMISOS_2024[[#All],[consecutivo]],Contrato5[[#This Row],[RCP]],[2]!COMPROMISOS_2024[[#All],[Total pagado]])</f>
        <v>#REF!</v>
      </c>
      <c r="AM694" s="154">
        <f ca="1">IFERROR(Contrato5[[#This Row],[Pagos]]/Contrato5[[#This Row],[VALOR CONTRATO]],0)</f>
        <v>0</v>
      </c>
      <c r="AN694" s="198" t="e">
        <f ca="1">+Contrato5[[#This Row],[VALOR CONTRATO]]-Contrato5[[#This Row],[Pagos]]</f>
        <v>#REF!</v>
      </c>
      <c r="AO694" s="147" t="e" cm="1">
        <f t="array" aca="1" ref="AO694" ca="1">_xlfn.XLOOKUP(Contrato5[[#This Row],[DOCUMENTO ]],[2]!PERSONAL_ACTIVO_2024[[#All],[Documento identidad]],[2]!PERSONAL_ACTIVO_2024[[#All],[Mail ]],0,0)</f>
        <v>#NAME?</v>
      </c>
      <c r="AP694" s="147" t="e" cm="1">
        <f t="array" aca="1" ref="AP694" ca="1">_xlfn.XLOOKUP(Contrato5[[#This Row],[DOCUMENTO]],[2]!PERSONAL_ACTIVO_2024[[#All],[Documento identidad]],[2]!PERSONAL_ACTIVO_2024[[#All],[Mail ]],0,0)</f>
        <v>#NAME?</v>
      </c>
      <c r="AQ694" s="439" cm="1">
        <f t="array" aca="1" ref="AQ694" ca="1">IF(ISBLANK(Contrato5[[#This Row],[DEPENDENCIA ]]),0,IFERROR(_xlfn.XLOOKUP(Contrato5[[#This Row],[DEPENDENCIA ]],[2]!PERSONAL_ACTIVO_2024[[#All],[Dependencia]],[2]!PERSONAL_ACTIVO_2024[[#All],[Mail ]],0,0),0))</f>
        <v>0</v>
      </c>
    </row>
    <row r="695" spans="1:43" ht="34.5" customHeight="1">
      <c r="A695" s="147">
        <v>959</v>
      </c>
      <c r="B695" s="124">
        <v>570</v>
      </c>
      <c r="C695" s="162" t="s">
        <v>2010</v>
      </c>
      <c r="D695" s="227" t="s">
        <v>583</v>
      </c>
      <c r="E695" s="440" t="s">
        <v>94</v>
      </c>
      <c r="F695" s="227" t="s">
        <v>1376</v>
      </c>
      <c r="G695" s="281" t="s">
        <v>770</v>
      </c>
      <c r="H695" s="436">
        <v>1098612957</v>
      </c>
      <c r="I695" s="273">
        <v>5931149</v>
      </c>
      <c r="J695" s="437">
        <v>24120006</v>
      </c>
      <c r="K695" s="131" t="s">
        <v>42</v>
      </c>
      <c r="L695" s="438" t="s">
        <v>2855</v>
      </c>
      <c r="M695" s="194" t="s">
        <v>589</v>
      </c>
      <c r="N695" s="177" t="e" cm="1">
        <f t="array" aca="1" ref="N695" ca="1">_xlfn.XLOOKUP(Contrato5[[#This Row],[SUPERVISOR TITULAR]],[2]!PERSONAL_ACTIVO_2024[[#All],[Nombre completo]],[2]!PERSONAL_ACTIVO_2024[[#All],[Documento identidad]],"",0)</f>
        <v>#NAME?</v>
      </c>
      <c r="O695" s="194" t="s">
        <v>586</v>
      </c>
      <c r="P695" s="196" t="e" cm="1">
        <f t="array" aca="1" ref="P695" ca="1">_xlfn.XLOOKUP(Contrato5[[#This Row],[SUPERVISOR SUPLENTE ]],[2]!PERSONAL_ACTIVO_2024[[#All],[Nombre completo]],[2]!PERSONAL_ACTIVO_2024[[#All],[Documento identidad]],"",0)</f>
        <v>#NAME?</v>
      </c>
      <c r="Q695" s="170">
        <v>701</v>
      </c>
      <c r="R695" s="137" t="e" cm="1">
        <f t="array" aca="1" ref="R695" ca="1">_xlfn.XLOOKUP(Contrato5[[#This Row],[CDP]],[2]!DISPONIBILIDADES_2024[[#All],[consecutivo]],[2]!DISPONIBILIDADES_2024[[#All],[fecha_aprobacion]],"",0)</f>
        <v>#NAME?</v>
      </c>
      <c r="S695" s="138" t="e">
        <f>SUMIF([2]!DISPONIBILIDADES_2024[[#All],[consecutivo]],Contrato5[[#This Row],[CDP]],[2]!DISPONIBILIDADES_2024[[#All],[valor_total_rubro]])</f>
        <v>#REF!</v>
      </c>
      <c r="T695" s="139" t="e" cm="1">
        <f t="array" aca="1" ref="T695" ca="1">_xlfn.XLOOKUP(Contrato5[[#This Row],[CONTRATO]]&amp;Contrato5[[#This Row],[CDP]],[2]!Corr_Contr_CDP[[#All],[CONTRATO-CDP]],[2]!Corr_Contr_CDP[[#All],[CRP]],_xlfn.XLOOKUP(Contrato5[[#This Row],[CDP]],[2]!COMPROMISOS_2024[[#All],[disponibilidad]],[2]!COMPROMISOS_2024[[#All],[consecutivo]],"",0),0)</f>
        <v>#NAME?</v>
      </c>
      <c r="U695" s="140" t="e" cm="1">
        <f t="array" aca="1" ref="U695" ca="1">+_xlfn.XLOOKUP(Contrato5[[#This Row],[RCP]],[2]!COMPROMISOS_2024[[#All],[consecutivo]],[2]!COMPROMISOS_2024[[#All],[fecha_aprobacion]],"",0)</f>
        <v>#NAME?</v>
      </c>
      <c r="V695" s="141" t="e">
        <f ca="1">SUMIF([2]!COMPROMISOS_2024[[#All],[consecutivo]],Contrato5[[#This Row],[RCP]],[2]!COMPROMISOS_2024[[#All],[valor_total]])</f>
        <v>#REF!</v>
      </c>
      <c r="W695" s="160">
        <v>45517</v>
      </c>
      <c r="X695" s="160" t="s">
        <v>1045</v>
      </c>
      <c r="Y695" s="143">
        <v>45520</v>
      </c>
      <c r="Z695" s="262">
        <v>45643</v>
      </c>
      <c r="AA695" s="183" t="s">
        <v>2877</v>
      </c>
      <c r="AB695" s="172" t="s">
        <v>2871</v>
      </c>
      <c r="AC695" s="172"/>
      <c r="AD695" s="425">
        <v>202000005136</v>
      </c>
      <c r="AE695" s="147" t="s">
        <v>523</v>
      </c>
      <c r="AF695" s="148" t="str">
        <f>TEXT(LEFT(Contrato5[[#This Row],[CONTRATO]],3),"0")</f>
        <v>570</v>
      </c>
      <c r="AG695" s="148" t="str">
        <f>IF(LEN(Contrato5[[#This Row],[Contrato2]])=3,Contrato5[[#This Row],[Contrato2]],TEXT(Contrato5[[#This Row],[Contrato2]],"000"))</f>
        <v>570</v>
      </c>
      <c r="AH695" s="149">
        <f ca="1">IFERROR(_xlfn.DAYS(Contrato5[[#This Row],[Fecha Proyectada liquidación]],TODAY())/30,"")</f>
        <v>0.16666666666666666</v>
      </c>
      <c r="AI695" s="150">
        <f>+Contrato5[[#This Row],[FECHA TERMINACIÓN ]]+120</f>
        <v>45763</v>
      </c>
      <c r="AJ695" s="147"/>
      <c r="AK695" s="152" t="str">
        <f ca="1">IF(Contrato5[[#This Row],[FECHA TERMINACIÓN ]]&lt;TODAY(), "Terminado",IF(ISNUMBER(Contrato5[[#This Row],[Fecha Real de liquiidación ]]),"Liquidado",IF(Contrato5[[#This Row],[FECHA TERMINACIÓN ]]&gt;=TODAY(),"En ejecución","")))</f>
        <v>Terminado</v>
      </c>
      <c r="AL695" s="153" t="e">
        <f ca="1">SUMIF([2]!COMPROMISOS_2024[[#All],[consecutivo]],Contrato5[[#This Row],[RCP]],[2]!COMPROMISOS_2024[[#All],[Total pagado]])</f>
        <v>#REF!</v>
      </c>
      <c r="AM695" s="154">
        <f ca="1">IFERROR(Contrato5[[#This Row],[Pagos]]/Contrato5[[#This Row],[VALOR CONTRATO]],0)</f>
        <v>0</v>
      </c>
      <c r="AN695" s="198" t="e">
        <f ca="1">+Contrato5[[#This Row],[VALOR CONTRATO]]-Contrato5[[#This Row],[Pagos]]</f>
        <v>#REF!</v>
      </c>
      <c r="AO695" s="147" t="e" cm="1">
        <f t="array" aca="1" ref="AO695" ca="1">_xlfn.XLOOKUP(Contrato5[[#This Row],[DOCUMENTO ]],[2]!PERSONAL_ACTIVO_2024[[#All],[Documento identidad]],[2]!PERSONAL_ACTIVO_2024[[#All],[Mail ]],0,0)</f>
        <v>#NAME?</v>
      </c>
      <c r="AP695" s="147" t="e" cm="1">
        <f t="array" aca="1" ref="AP695" ca="1">_xlfn.XLOOKUP(Contrato5[[#This Row],[DOCUMENTO]],[2]!PERSONAL_ACTIVO_2024[[#All],[Documento identidad]],[2]!PERSONAL_ACTIVO_2024[[#All],[Mail ]],0,0)</f>
        <v>#NAME?</v>
      </c>
      <c r="AQ695" s="439" cm="1">
        <f t="array" aca="1" ref="AQ695" ca="1">IF(ISBLANK(Contrato5[[#This Row],[DEPENDENCIA ]]),0,IFERROR(_xlfn.XLOOKUP(Contrato5[[#This Row],[DEPENDENCIA ]],[2]!PERSONAL_ACTIVO_2024[[#All],[Dependencia]],[2]!PERSONAL_ACTIVO_2024[[#All],[Mail ]],0,0),0))</f>
        <v>0</v>
      </c>
    </row>
    <row r="696" spans="1:43" ht="34.5" customHeight="1">
      <c r="A696" s="147">
        <v>960</v>
      </c>
      <c r="B696" s="124">
        <v>571</v>
      </c>
      <c r="C696" s="162" t="s">
        <v>2010</v>
      </c>
      <c r="D696" s="227" t="s">
        <v>583</v>
      </c>
      <c r="E696" s="440" t="s">
        <v>94</v>
      </c>
      <c r="F696" s="163" t="s">
        <v>1376</v>
      </c>
      <c r="G696" s="281" t="s">
        <v>2954</v>
      </c>
      <c r="H696" s="436">
        <v>8431569</v>
      </c>
      <c r="I696" s="273">
        <v>5931149</v>
      </c>
      <c r="J696" s="437">
        <v>24120006</v>
      </c>
      <c r="K696" s="131" t="s">
        <v>42</v>
      </c>
      <c r="L696" s="438" t="s">
        <v>2855</v>
      </c>
      <c r="M696" s="194" t="s">
        <v>589</v>
      </c>
      <c r="N696" s="177" t="e" cm="1">
        <f t="array" aca="1" ref="N696" ca="1">_xlfn.XLOOKUP(Contrato5[[#This Row],[SUPERVISOR TITULAR]],[2]!PERSONAL_ACTIVO_2024[[#All],[Nombre completo]],[2]!PERSONAL_ACTIVO_2024[[#All],[Documento identidad]],"",0)</f>
        <v>#NAME?</v>
      </c>
      <c r="O696" s="194" t="s">
        <v>586</v>
      </c>
      <c r="P696" s="196" t="e" cm="1">
        <f t="array" aca="1" ref="P696" ca="1">_xlfn.XLOOKUP(Contrato5[[#This Row],[SUPERVISOR SUPLENTE ]],[2]!PERSONAL_ACTIVO_2024[[#All],[Nombre completo]],[2]!PERSONAL_ACTIVO_2024[[#All],[Documento identidad]],"",0)</f>
        <v>#NAME?</v>
      </c>
      <c r="Q696" s="170">
        <v>754</v>
      </c>
      <c r="R696" s="137" t="e" cm="1">
        <f t="array" aca="1" ref="R696" ca="1">_xlfn.XLOOKUP(Contrato5[[#This Row],[CDP]],[2]!DISPONIBILIDADES_2024[[#All],[consecutivo]],[2]!DISPONIBILIDADES_2024[[#All],[fecha_aprobacion]],"",0)</f>
        <v>#NAME?</v>
      </c>
      <c r="S696" s="138" t="e">
        <f>SUMIF([2]!DISPONIBILIDADES_2024[[#All],[consecutivo]],Contrato5[[#This Row],[CDP]],[2]!DISPONIBILIDADES_2024[[#All],[valor_total_rubro]])</f>
        <v>#REF!</v>
      </c>
      <c r="T696" s="139" t="e" cm="1">
        <f t="array" aca="1" ref="T696" ca="1">_xlfn.XLOOKUP(Contrato5[[#This Row],[CONTRATO]]&amp;Contrato5[[#This Row],[CDP]],[2]!Corr_Contr_CDP[[#All],[CONTRATO-CDP]],[2]!Corr_Contr_CDP[[#All],[CRP]],_xlfn.XLOOKUP(Contrato5[[#This Row],[CDP]],[2]!COMPROMISOS_2024[[#All],[disponibilidad]],[2]!COMPROMISOS_2024[[#All],[consecutivo]],"",0),0)</f>
        <v>#NAME?</v>
      </c>
      <c r="U696" s="140" t="e" cm="1">
        <f t="array" aca="1" ref="U696" ca="1">+_xlfn.XLOOKUP(Contrato5[[#This Row],[RCP]],[2]!COMPROMISOS_2024[[#All],[consecutivo]],[2]!COMPROMISOS_2024[[#All],[fecha_aprobacion]],"",0)</f>
        <v>#NAME?</v>
      </c>
      <c r="V696" s="141" t="e">
        <f ca="1">SUMIF([2]!COMPROMISOS_2024[[#All],[consecutivo]],Contrato5[[#This Row],[RCP]],[2]!COMPROMISOS_2024[[#All],[valor_total]])</f>
        <v>#REF!</v>
      </c>
      <c r="W696" s="160">
        <v>45516</v>
      </c>
      <c r="X696" s="160" t="s">
        <v>1045</v>
      </c>
      <c r="Y696" s="143">
        <v>45520</v>
      </c>
      <c r="Z696" s="262">
        <v>45643</v>
      </c>
      <c r="AA696" s="183" t="s">
        <v>2870</v>
      </c>
      <c r="AB696" s="172" t="s">
        <v>2871</v>
      </c>
      <c r="AC696" s="172"/>
      <c r="AD696" s="425">
        <v>202000005137</v>
      </c>
      <c r="AE696" s="147" t="s">
        <v>523</v>
      </c>
      <c r="AF696" s="148" t="str">
        <f>TEXT(LEFT(Contrato5[[#This Row],[CONTRATO]],3),"0")</f>
        <v>571</v>
      </c>
      <c r="AG696" s="148" t="str">
        <f>IF(LEN(Contrato5[[#This Row],[Contrato2]])=3,Contrato5[[#This Row],[Contrato2]],TEXT(Contrato5[[#This Row],[Contrato2]],"000"))</f>
        <v>571</v>
      </c>
      <c r="AH696" s="149">
        <f ca="1">IFERROR(_xlfn.DAYS(Contrato5[[#This Row],[Fecha Proyectada liquidación]],TODAY())/30,"")</f>
        <v>0.16666666666666666</v>
      </c>
      <c r="AI696" s="150">
        <f>+Contrato5[[#This Row],[FECHA TERMINACIÓN ]]+120</f>
        <v>45763</v>
      </c>
      <c r="AJ696" s="147"/>
      <c r="AK696" s="152" t="str">
        <f ca="1">IF(Contrato5[[#This Row],[FECHA TERMINACIÓN ]]&lt;TODAY(), "Terminado",IF(ISNUMBER(Contrato5[[#This Row],[Fecha Real de liquiidación ]]),"Liquidado",IF(Contrato5[[#This Row],[FECHA TERMINACIÓN ]]&gt;=TODAY(),"En ejecución","")))</f>
        <v>Terminado</v>
      </c>
      <c r="AL696" s="153" t="e">
        <f ca="1">SUMIF([2]!COMPROMISOS_2024[[#All],[consecutivo]],Contrato5[[#This Row],[RCP]],[2]!COMPROMISOS_2024[[#All],[Total pagado]])</f>
        <v>#REF!</v>
      </c>
      <c r="AM696" s="154">
        <f ca="1">IFERROR(Contrato5[[#This Row],[Pagos]]/Contrato5[[#This Row],[VALOR CONTRATO]],0)</f>
        <v>0</v>
      </c>
      <c r="AN696" s="198" t="e">
        <f ca="1">+Contrato5[[#This Row],[VALOR CONTRATO]]-Contrato5[[#This Row],[Pagos]]</f>
        <v>#REF!</v>
      </c>
      <c r="AO696" s="147" t="e" cm="1">
        <f t="array" aca="1" ref="AO696" ca="1">_xlfn.XLOOKUP(Contrato5[[#This Row],[DOCUMENTO ]],[2]!PERSONAL_ACTIVO_2024[[#All],[Documento identidad]],[2]!PERSONAL_ACTIVO_2024[[#All],[Mail ]],0,0)</f>
        <v>#NAME?</v>
      </c>
      <c r="AP696" s="147" t="e" cm="1">
        <f t="array" aca="1" ref="AP696" ca="1">_xlfn.XLOOKUP(Contrato5[[#This Row],[DOCUMENTO]],[2]!PERSONAL_ACTIVO_2024[[#All],[Documento identidad]],[2]!PERSONAL_ACTIVO_2024[[#All],[Mail ]],0,0)</f>
        <v>#NAME?</v>
      </c>
      <c r="AQ696" s="439" cm="1">
        <f t="array" aca="1" ref="AQ696" ca="1">IF(ISBLANK(Contrato5[[#This Row],[DEPENDENCIA ]]),0,IFERROR(_xlfn.XLOOKUP(Contrato5[[#This Row],[DEPENDENCIA ]],[2]!PERSONAL_ACTIVO_2024[[#All],[Dependencia]],[2]!PERSONAL_ACTIVO_2024[[#All],[Mail ]],0,0),0))</f>
        <v>0</v>
      </c>
    </row>
    <row r="697" spans="1:43" ht="34.5" customHeight="1">
      <c r="A697" s="147">
        <v>961</v>
      </c>
      <c r="B697" s="124">
        <v>572</v>
      </c>
      <c r="C697" s="162" t="s">
        <v>1979</v>
      </c>
      <c r="D697" s="227" t="s">
        <v>583</v>
      </c>
      <c r="E697" s="440" t="s">
        <v>94</v>
      </c>
      <c r="F697" s="227" t="s">
        <v>1376</v>
      </c>
      <c r="G697" s="281" t="s">
        <v>2955</v>
      </c>
      <c r="H697" s="436">
        <v>1113520825</v>
      </c>
      <c r="I697" s="273">
        <v>5931149</v>
      </c>
      <c r="J697" s="437">
        <v>24120006</v>
      </c>
      <c r="K697" s="131" t="s">
        <v>42</v>
      </c>
      <c r="L697" s="438" t="s">
        <v>2855</v>
      </c>
      <c r="M697" s="194" t="s">
        <v>586</v>
      </c>
      <c r="N697" s="177" t="e" cm="1">
        <f t="array" aca="1" ref="N697" ca="1">_xlfn.XLOOKUP(Contrato5[[#This Row],[SUPERVISOR TITULAR]],[2]!PERSONAL_ACTIVO_2024[[#All],[Nombre completo]],[2]!PERSONAL_ACTIVO_2024[[#All],[Documento identidad]],"",0)</f>
        <v>#NAME?</v>
      </c>
      <c r="O697" s="194" t="s">
        <v>589</v>
      </c>
      <c r="P697" s="196" t="e" cm="1">
        <f t="array" aca="1" ref="P697" ca="1">_xlfn.XLOOKUP(Contrato5[[#This Row],[SUPERVISOR SUPLENTE ]],[2]!PERSONAL_ACTIVO_2024[[#All],[Nombre completo]],[2]!PERSONAL_ACTIVO_2024[[#All],[Documento identidad]],"",0)</f>
        <v>#NAME?</v>
      </c>
      <c r="Q697" s="170">
        <v>700</v>
      </c>
      <c r="R697" s="137" t="e" cm="1">
        <f t="array" aca="1" ref="R697" ca="1">_xlfn.XLOOKUP(Contrato5[[#This Row],[CDP]],[2]!DISPONIBILIDADES_2024[[#All],[consecutivo]],[2]!DISPONIBILIDADES_2024[[#All],[fecha_aprobacion]],"",0)</f>
        <v>#NAME?</v>
      </c>
      <c r="S697" s="138" t="e">
        <f>SUMIF([2]!DISPONIBILIDADES_2024[[#All],[consecutivo]],Contrato5[[#This Row],[CDP]],[2]!DISPONIBILIDADES_2024[[#All],[valor_total_rubro]])</f>
        <v>#REF!</v>
      </c>
      <c r="T697" s="139" t="e" cm="1">
        <f t="array" aca="1" ref="T697" ca="1">_xlfn.XLOOKUP(Contrato5[[#This Row],[CONTRATO]]&amp;Contrato5[[#This Row],[CDP]],[2]!Corr_Contr_CDP[[#All],[CONTRATO-CDP]],[2]!Corr_Contr_CDP[[#All],[CRP]],_xlfn.XLOOKUP(Contrato5[[#This Row],[CDP]],[2]!COMPROMISOS_2024[[#All],[disponibilidad]],[2]!COMPROMISOS_2024[[#All],[consecutivo]],"",0),0)</f>
        <v>#NAME?</v>
      </c>
      <c r="U697" s="140" t="e" cm="1">
        <f t="array" aca="1" ref="U697" ca="1">+_xlfn.XLOOKUP(Contrato5[[#This Row],[RCP]],[2]!COMPROMISOS_2024[[#All],[consecutivo]],[2]!COMPROMISOS_2024[[#All],[fecha_aprobacion]],"",0)</f>
        <v>#NAME?</v>
      </c>
      <c r="V697" s="141" t="e">
        <f ca="1">SUMIF([2]!COMPROMISOS_2024[[#All],[consecutivo]],Contrato5[[#This Row],[RCP]],[2]!COMPROMISOS_2024[[#All],[valor_total]])</f>
        <v>#REF!</v>
      </c>
      <c r="W697" s="160">
        <v>45516</v>
      </c>
      <c r="X697" s="160" t="s">
        <v>1045</v>
      </c>
      <c r="Y697" s="143">
        <v>45520</v>
      </c>
      <c r="Z697" s="262">
        <v>45643</v>
      </c>
      <c r="AA697" s="183" t="s">
        <v>2877</v>
      </c>
      <c r="AB697" s="172" t="s">
        <v>2871</v>
      </c>
      <c r="AC697" s="172"/>
      <c r="AD697" s="425">
        <v>202000005138</v>
      </c>
      <c r="AE697" s="147" t="s">
        <v>523</v>
      </c>
      <c r="AF697" s="148" t="str">
        <f>TEXT(LEFT(Contrato5[[#This Row],[CONTRATO]],3),"0")</f>
        <v>572</v>
      </c>
      <c r="AG697" s="148" t="str">
        <f>IF(LEN(Contrato5[[#This Row],[Contrato2]])=3,Contrato5[[#This Row],[Contrato2]],TEXT(Contrato5[[#This Row],[Contrato2]],"000"))</f>
        <v>572</v>
      </c>
      <c r="AH697" s="149">
        <f ca="1">IFERROR(_xlfn.DAYS(Contrato5[[#This Row],[Fecha Proyectada liquidación]],TODAY())/30,"")</f>
        <v>0.16666666666666666</v>
      </c>
      <c r="AI697" s="150">
        <f>+Contrato5[[#This Row],[FECHA TERMINACIÓN ]]+120</f>
        <v>45763</v>
      </c>
      <c r="AJ697" s="147"/>
      <c r="AK697" s="152" t="str">
        <f ca="1">IF(Contrato5[[#This Row],[FECHA TERMINACIÓN ]]&lt;TODAY(), "Terminado",IF(ISNUMBER(Contrato5[[#This Row],[Fecha Real de liquiidación ]]),"Liquidado",IF(Contrato5[[#This Row],[FECHA TERMINACIÓN ]]&gt;=TODAY(),"En ejecución","")))</f>
        <v>Terminado</v>
      </c>
      <c r="AL697" s="153" t="e">
        <f ca="1">SUMIF([2]!COMPROMISOS_2024[[#All],[consecutivo]],Contrato5[[#This Row],[RCP]],[2]!COMPROMISOS_2024[[#All],[Total pagado]])</f>
        <v>#REF!</v>
      </c>
      <c r="AM697" s="154">
        <f ca="1">IFERROR(Contrato5[[#This Row],[Pagos]]/Contrato5[[#This Row],[VALOR CONTRATO]],0)</f>
        <v>0</v>
      </c>
      <c r="AN697" s="198" t="e">
        <f ca="1">+Contrato5[[#This Row],[VALOR CONTRATO]]-Contrato5[[#This Row],[Pagos]]</f>
        <v>#REF!</v>
      </c>
      <c r="AO697" s="147" t="e" cm="1">
        <f t="array" aca="1" ref="AO697" ca="1">_xlfn.XLOOKUP(Contrato5[[#This Row],[DOCUMENTO ]],[2]!PERSONAL_ACTIVO_2024[[#All],[Documento identidad]],[2]!PERSONAL_ACTIVO_2024[[#All],[Mail ]],0,0)</f>
        <v>#NAME?</v>
      </c>
      <c r="AP697" s="147" t="e" cm="1">
        <f t="array" aca="1" ref="AP697" ca="1">_xlfn.XLOOKUP(Contrato5[[#This Row],[DOCUMENTO]],[2]!PERSONAL_ACTIVO_2024[[#All],[Documento identidad]],[2]!PERSONAL_ACTIVO_2024[[#All],[Mail ]],0,0)</f>
        <v>#NAME?</v>
      </c>
      <c r="AQ697" s="439" cm="1">
        <f t="array" aca="1" ref="AQ697" ca="1">IF(ISBLANK(Contrato5[[#This Row],[DEPENDENCIA ]]),0,IFERROR(_xlfn.XLOOKUP(Contrato5[[#This Row],[DEPENDENCIA ]],[2]!PERSONAL_ACTIVO_2024[[#All],[Dependencia]],[2]!PERSONAL_ACTIVO_2024[[#All],[Mail ]],0,0),0))</f>
        <v>0</v>
      </c>
    </row>
    <row r="698" spans="1:43" ht="34.5" customHeight="1">
      <c r="A698" s="147">
        <v>962</v>
      </c>
      <c r="B698" s="124">
        <v>573</v>
      </c>
      <c r="C698" s="162" t="s">
        <v>1979</v>
      </c>
      <c r="D698" s="227" t="s">
        <v>583</v>
      </c>
      <c r="E698" s="440" t="s">
        <v>94</v>
      </c>
      <c r="F698" s="227" t="s">
        <v>1376</v>
      </c>
      <c r="G698" s="281" t="s">
        <v>773</v>
      </c>
      <c r="H698" s="436">
        <v>8434470</v>
      </c>
      <c r="I698" s="273">
        <v>5931149</v>
      </c>
      <c r="J698" s="437">
        <v>24120006</v>
      </c>
      <c r="K698" s="131" t="s">
        <v>42</v>
      </c>
      <c r="L698" s="438" t="s">
        <v>2855</v>
      </c>
      <c r="M698" s="194" t="s">
        <v>586</v>
      </c>
      <c r="N698" s="177" t="e" cm="1">
        <f t="array" aca="1" ref="N698" ca="1">_xlfn.XLOOKUP(Contrato5[[#This Row],[SUPERVISOR TITULAR]],[2]!PERSONAL_ACTIVO_2024[[#All],[Nombre completo]],[2]!PERSONAL_ACTIVO_2024[[#All],[Documento identidad]],"",0)</f>
        <v>#NAME?</v>
      </c>
      <c r="O698" s="194" t="s">
        <v>589</v>
      </c>
      <c r="P698" s="196" t="e" cm="1">
        <f t="array" aca="1" ref="P698" ca="1">_xlfn.XLOOKUP(Contrato5[[#This Row],[SUPERVISOR SUPLENTE ]],[2]!PERSONAL_ACTIVO_2024[[#All],[Nombre completo]],[2]!PERSONAL_ACTIVO_2024[[#All],[Documento identidad]],"",0)</f>
        <v>#NAME?</v>
      </c>
      <c r="Q698" s="170">
        <v>699</v>
      </c>
      <c r="R698" s="137" t="e" cm="1">
        <f t="array" aca="1" ref="R698" ca="1">_xlfn.XLOOKUP(Contrato5[[#This Row],[CDP]],[2]!DISPONIBILIDADES_2024[[#All],[consecutivo]],[2]!DISPONIBILIDADES_2024[[#All],[fecha_aprobacion]],"",0)</f>
        <v>#NAME?</v>
      </c>
      <c r="S698" s="138" t="e">
        <f>SUMIF([2]!DISPONIBILIDADES_2024[[#All],[consecutivo]],Contrato5[[#This Row],[CDP]],[2]!DISPONIBILIDADES_2024[[#All],[valor_total_rubro]])</f>
        <v>#REF!</v>
      </c>
      <c r="T698" s="139" t="e" cm="1">
        <f t="array" aca="1" ref="T698" ca="1">_xlfn.XLOOKUP(Contrato5[[#This Row],[CONTRATO]]&amp;Contrato5[[#This Row],[CDP]],[2]!Corr_Contr_CDP[[#All],[CONTRATO-CDP]],[2]!Corr_Contr_CDP[[#All],[CRP]],_xlfn.XLOOKUP(Contrato5[[#This Row],[CDP]],[2]!COMPROMISOS_2024[[#All],[disponibilidad]],[2]!COMPROMISOS_2024[[#All],[consecutivo]],"",0),0)</f>
        <v>#NAME?</v>
      </c>
      <c r="U698" s="140" t="e" cm="1">
        <f t="array" aca="1" ref="U698" ca="1">+_xlfn.XLOOKUP(Contrato5[[#This Row],[RCP]],[2]!COMPROMISOS_2024[[#All],[consecutivo]],[2]!COMPROMISOS_2024[[#All],[fecha_aprobacion]],"",0)</f>
        <v>#NAME?</v>
      </c>
      <c r="V698" s="141" t="e">
        <f ca="1">SUMIF([2]!COMPROMISOS_2024[[#All],[consecutivo]],Contrato5[[#This Row],[RCP]],[2]!COMPROMISOS_2024[[#All],[valor_total]])</f>
        <v>#REF!</v>
      </c>
      <c r="W698" s="160">
        <v>45516</v>
      </c>
      <c r="X698" s="160" t="s">
        <v>1045</v>
      </c>
      <c r="Y698" s="143">
        <v>45520</v>
      </c>
      <c r="Z698" s="262">
        <v>45643</v>
      </c>
      <c r="AA698" s="183" t="s">
        <v>2877</v>
      </c>
      <c r="AB698" s="172" t="s">
        <v>2871</v>
      </c>
      <c r="AC698" s="172"/>
      <c r="AD698" s="425">
        <v>202000005139</v>
      </c>
      <c r="AE698" s="147" t="s">
        <v>523</v>
      </c>
      <c r="AF698" s="148" t="str">
        <f>TEXT(LEFT(Contrato5[[#This Row],[CONTRATO]],3),"0")</f>
        <v>573</v>
      </c>
      <c r="AG698" s="148" t="str">
        <f>IF(LEN(Contrato5[[#This Row],[Contrato2]])=3,Contrato5[[#This Row],[Contrato2]],TEXT(Contrato5[[#This Row],[Contrato2]],"000"))</f>
        <v>573</v>
      </c>
      <c r="AH698" s="149">
        <f ca="1">IFERROR(_xlfn.DAYS(Contrato5[[#This Row],[Fecha Proyectada liquidación]],TODAY())/30,"")</f>
        <v>0.16666666666666666</v>
      </c>
      <c r="AI698" s="150">
        <f>+Contrato5[[#This Row],[FECHA TERMINACIÓN ]]+120</f>
        <v>45763</v>
      </c>
      <c r="AJ698" s="147"/>
      <c r="AK698" s="152" t="str">
        <f ca="1">IF(Contrato5[[#This Row],[FECHA TERMINACIÓN ]]&lt;TODAY(), "Terminado",IF(ISNUMBER(Contrato5[[#This Row],[Fecha Real de liquiidación ]]),"Liquidado",IF(Contrato5[[#This Row],[FECHA TERMINACIÓN ]]&gt;=TODAY(),"En ejecución","")))</f>
        <v>Terminado</v>
      </c>
      <c r="AL698" s="153" t="e">
        <f ca="1">SUMIF([2]!COMPROMISOS_2024[[#All],[consecutivo]],Contrato5[[#This Row],[RCP]],[2]!COMPROMISOS_2024[[#All],[Total pagado]])</f>
        <v>#REF!</v>
      </c>
      <c r="AM698" s="154">
        <f ca="1">IFERROR(Contrato5[[#This Row],[Pagos]]/Contrato5[[#This Row],[VALOR CONTRATO]],0)</f>
        <v>0</v>
      </c>
      <c r="AN698" s="198" t="e">
        <f ca="1">+Contrato5[[#This Row],[VALOR CONTRATO]]-Contrato5[[#This Row],[Pagos]]</f>
        <v>#REF!</v>
      </c>
      <c r="AO698" s="147" t="e" cm="1">
        <f t="array" aca="1" ref="AO698" ca="1">_xlfn.XLOOKUP(Contrato5[[#This Row],[DOCUMENTO ]],[2]!PERSONAL_ACTIVO_2024[[#All],[Documento identidad]],[2]!PERSONAL_ACTIVO_2024[[#All],[Mail ]],0,0)</f>
        <v>#NAME?</v>
      </c>
      <c r="AP698" s="147" t="e" cm="1">
        <f t="array" aca="1" ref="AP698" ca="1">_xlfn.XLOOKUP(Contrato5[[#This Row],[DOCUMENTO]],[2]!PERSONAL_ACTIVO_2024[[#All],[Documento identidad]],[2]!PERSONAL_ACTIVO_2024[[#All],[Mail ]],0,0)</f>
        <v>#NAME?</v>
      </c>
      <c r="AQ698" s="439" cm="1">
        <f t="array" aca="1" ref="AQ698" ca="1">IF(ISBLANK(Contrato5[[#This Row],[DEPENDENCIA ]]),0,IFERROR(_xlfn.XLOOKUP(Contrato5[[#This Row],[DEPENDENCIA ]],[2]!PERSONAL_ACTIVO_2024[[#All],[Dependencia]],[2]!PERSONAL_ACTIVO_2024[[#All],[Mail ]],0,0),0))</f>
        <v>0</v>
      </c>
    </row>
    <row r="699" spans="1:43" ht="34.5" customHeight="1">
      <c r="A699" s="147">
        <v>963</v>
      </c>
      <c r="B699" s="124">
        <v>574</v>
      </c>
      <c r="C699" s="162" t="s">
        <v>2011</v>
      </c>
      <c r="D699" s="227" t="s">
        <v>583</v>
      </c>
      <c r="E699" s="440" t="s">
        <v>94</v>
      </c>
      <c r="F699" s="227" t="s">
        <v>1376</v>
      </c>
      <c r="G699" s="281" t="s">
        <v>2956</v>
      </c>
      <c r="H699" s="436">
        <v>1022093789</v>
      </c>
      <c r="I699" s="273">
        <v>5931149</v>
      </c>
      <c r="J699" s="437">
        <v>24120006</v>
      </c>
      <c r="K699" s="131" t="s">
        <v>42</v>
      </c>
      <c r="L699" s="438" t="s">
        <v>2855</v>
      </c>
      <c r="M699" s="194" t="s">
        <v>586</v>
      </c>
      <c r="N699" s="177" t="e" cm="1">
        <f t="array" aca="1" ref="N699" ca="1">_xlfn.XLOOKUP(Contrato5[[#This Row],[SUPERVISOR TITULAR]],[2]!PERSONAL_ACTIVO_2024[[#All],[Nombre completo]],[2]!PERSONAL_ACTIVO_2024[[#All],[Documento identidad]],"",0)</f>
        <v>#NAME?</v>
      </c>
      <c r="O699" s="194" t="s">
        <v>589</v>
      </c>
      <c r="P699" s="196" t="e" cm="1">
        <f t="array" aca="1" ref="P699" ca="1">_xlfn.XLOOKUP(Contrato5[[#This Row],[SUPERVISOR SUPLENTE ]],[2]!PERSONAL_ACTIVO_2024[[#All],[Nombre completo]],[2]!PERSONAL_ACTIVO_2024[[#All],[Documento identidad]],"",0)</f>
        <v>#NAME?</v>
      </c>
      <c r="Q699" s="170">
        <v>698</v>
      </c>
      <c r="R699" s="137" t="e" cm="1">
        <f t="array" aca="1" ref="R699" ca="1">_xlfn.XLOOKUP(Contrato5[[#This Row],[CDP]],[2]!DISPONIBILIDADES_2024[[#All],[consecutivo]],[2]!DISPONIBILIDADES_2024[[#All],[fecha_aprobacion]],"",0)</f>
        <v>#NAME?</v>
      </c>
      <c r="S699" s="138" t="e">
        <f>SUMIF([2]!DISPONIBILIDADES_2024[[#All],[consecutivo]],Contrato5[[#This Row],[CDP]],[2]!DISPONIBILIDADES_2024[[#All],[valor_total_rubro]])</f>
        <v>#REF!</v>
      </c>
      <c r="T699" s="139" t="e" cm="1">
        <f t="array" aca="1" ref="T699" ca="1">_xlfn.XLOOKUP(Contrato5[[#This Row],[CONTRATO]]&amp;Contrato5[[#This Row],[CDP]],[2]!Corr_Contr_CDP[[#All],[CONTRATO-CDP]],[2]!Corr_Contr_CDP[[#All],[CRP]],_xlfn.XLOOKUP(Contrato5[[#This Row],[CDP]],[2]!COMPROMISOS_2024[[#All],[disponibilidad]],[2]!COMPROMISOS_2024[[#All],[consecutivo]],"",0),0)</f>
        <v>#NAME?</v>
      </c>
      <c r="U699" s="140" t="e" cm="1">
        <f t="array" aca="1" ref="U699" ca="1">+_xlfn.XLOOKUP(Contrato5[[#This Row],[RCP]],[2]!COMPROMISOS_2024[[#All],[consecutivo]],[2]!COMPROMISOS_2024[[#All],[fecha_aprobacion]],"",0)</f>
        <v>#NAME?</v>
      </c>
      <c r="V699" s="141" t="e">
        <f ca="1">SUMIF([2]!COMPROMISOS_2024[[#All],[consecutivo]],Contrato5[[#This Row],[RCP]],[2]!COMPROMISOS_2024[[#All],[valor_total]])</f>
        <v>#REF!</v>
      </c>
      <c r="W699" s="160">
        <v>45516</v>
      </c>
      <c r="X699" s="160" t="s">
        <v>1045</v>
      </c>
      <c r="Y699" s="143">
        <v>45520</v>
      </c>
      <c r="Z699" s="262">
        <v>45643</v>
      </c>
      <c r="AA699" s="183" t="s">
        <v>2877</v>
      </c>
      <c r="AB699" s="172" t="s">
        <v>2871</v>
      </c>
      <c r="AC699" s="172"/>
      <c r="AD699" s="425">
        <v>202000005140</v>
      </c>
      <c r="AE699" s="147" t="s">
        <v>523</v>
      </c>
      <c r="AF699" s="148" t="str">
        <f>TEXT(LEFT(Contrato5[[#This Row],[CONTRATO]],3),"0")</f>
        <v>574</v>
      </c>
      <c r="AG699" s="148" t="str">
        <f>IF(LEN(Contrato5[[#This Row],[Contrato2]])=3,Contrato5[[#This Row],[Contrato2]],TEXT(Contrato5[[#This Row],[Contrato2]],"000"))</f>
        <v>574</v>
      </c>
      <c r="AH699" s="149">
        <f ca="1">IFERROR(_xlfn.DAYS(Contrato5[[#This Row],[Fecha Proyectada liquidación]],TODAY())/30,"")</f>
        <v>0.16666666666666666</v>
      </c>
      <c r="AI699" s="150">
        <f>+Contrato5[[#This Row],[FECHA TERMINACIÓN ]]+120</f>
        <v>45763</v>
      </c>
      <c r="AJ699" s="147"/>
      <c r="AK699" s="152" t="str">
        <f ca="1">IF(Contrato5[[#This Row],[FECHA TERMINACIÓN ]]&lt;TODAY(), "Terminado",IF(ISNUMBER(Contrato5[[#This Row],[Fecha Real de liquiidación ]]),"Liquidado",IF(Contrato5[[#This Row],[FECHA TERMINACIÓN ]]&gt;=TODAY(),"En ejecución","")))</f>
        <v>Terminado</v>
      </c>
      <c r="AL699" s="153" t="e">
        <f ca="1">SUMIF([2]!COMPROMISOS_2024[[#All],[consecutivo]],Contrato5[[#This Row],[RCP]],[2]!COMPROMISOS_2024[[#All],[Total pagado]])</f>
        <v>#REF!</v>
      </c>
      <c r="AM699" s="154">
        <f ca="1">IFERROR(Contrato5[[#This Row],[Pagos]]/Contrato5[[#This Row],[VALOR CONTRATO]],0)</f>
        <v>0</v>
      </c>
      <c r="AN699" s="198" t="e">
        <f ca="1">+Contrato5[[#This Row],[VALOR CONTRATO]]-Contrato5[[#This Row],[Pagos]]</f>
        <v>#REF!</v>
      </c>
      <c r="AO699" s="147" t="e" cm="1">
        <f t="array" aca="1" ref="AO699" ca="1">_xlfn.XLOOKUP(Contrato5[[#This Row],[DOCUMENTO ]],[2]!PERSONAL_ACTIVO_2024[[#All],[Documento identidad]],[2]!PERSONAL_ACTIVO_2024[[#All],[Mail ]],0,0)</f>
        <v>#NAME?</v>
      </c>
      <c r="AP699" s="147" t="e" cm="1">
        <f t="array" aca="1" ref="AP699" ca="1">_xlfn.XLOOKUP(Contrato5[[#This Row],[DOCUMENTO]],[2]!PERSONAL_ACTIVO_2024[[#All],[Documento identidad]],[2]!PERSONAL_ACTIVO_2024[[#All],[Mail ]],0,0)</f>
        <v>#NAME?</v>
      </c>
      <c r="AQ699" s="439" cm="1">
        <f t="array" aca="1" ref="AQ699" ca="1">IF(ISBLANK(Contrato5[[#This Row],[DEPENDENCIA ]]),0,IFERROR(_xlfn.XLOOKUP(Contrato5[[#This Row],[DEPENDENCIA ]],[2]!PERSONAL_ACTIVO_2024[[#All],[Dependencia]],[2]!PERSONAL_ACTIVO_2024[[#All],[Mail ]],0,0),0))</f>
        <v>0</v>
      </c>
    </row>
    <row r="700" spans="1:43" ht="34.5" customHeight="1">
      <c r="A700" s="147">
        <v>964</v>
      </c>
      <c r="B700" s="124">
        <v>575</v>
      </c>
      <c r="C700" s="162" t="s">
        <v>2011</v>
      </c>
      <c r="D700" s="227" t="s">
        <v>583</v>
      </c>
      <c r="E700" s="440" t="s">
        <v>94</v>
      </c>
      <c r="F700" s="227" t="s">
        <v>1376</v>
      </c>
      <c r="G700" s="281" t="s">
        <v>2957</v>
      </c>
      <c r="H700" s="436">
        <v>1028013832</v>
      </c>
      <c r="I700" s="273">
        <v>3952382</v>
      </c>
      <c r="J700" s="437">
        <v>16073020</v>
      </c>
      <c r="K700" s="131" t="s">
        <v>42</v>
      </c>
      <c r="L700" s="438" t="s">
        <v>2855</v>
      </c>
      <c r="M700" s="194" t="s">
        <v>586</v>
      </c>
      <c r="N700" s="177" t="e" cm="1">
        <f t="array" aca="1" ref="N700" ca="1">_xlfn.XLOOKUP(Contrato5[[#This Row],[SUPERVISOR TITULAR]],[2]!PERSONAL_ACTIVO_2024[[#All],[Nombre completo]],[2]!PERSONAL_ACTIVO_2024[[#All],[Documento identidad]],"",0)</f>
        <v>#NAME?</v>
      </c>
      <c r="O700" s="194" t="s">
        <v>589</v>
      </c>
      <c r="P700" s="196" t="e" cm="1">
        <f t="array" aca="1" ref="P700" ca="1">_xlfn.XLOOKUP(Contrato5[[#This Row],[SUPERVISOR SUPLENTE ]],[2]!PERSONAL_ACTIVO_2024[[#All],[Nombre completo]],[2]!PERSONAL_ACTIVO_2024[[#All],[Documento identidad]],"",0)</f>
        <v>#NAME?</v>
      </c>
      <c r="Q700" s="170">
        <v>753</v>
      </c>
      <c r="R700" s="137" t="e" cm="1">
        <f t="array" aca="1" ref="R700" ca="1">_xlfn.XLOOKUP(Contrato5[[#This Row],[CDP]],[2]!DISPONIBILIDADES_2024[[#All],[consecutivo]],[2]!DISPONIBILIDADES_2024[[#All],[fecha_aprobacion]],"",0)</f>
        <v>#NAME?</v>
      </c>
      <c r="S700" s="138" t="e">
        <f>SUMIF([2]!DISPONIBILIDADES_2024[[#All],[consecutivo]],Contrato5[[#This Row],[CDP]],[2]!DISPONIBILIDADES_2024[[#All],[valor_total_rubro]])</f>
        <v>#REF!</v>
      </c>
      <c r="T700" s="139" t="e" cm="1">
        <f t="array" aca="1" ref="T700" ca="1">_xlfn.XLOOKUP(Contrato5[[#This Row],[CONTRATO]]&amp;Contrato5[[#This Row],[CDP]],[2]!Corr_Contr_CDP[[#All],[CONTRATO-CDP]],[2]!Corr_Contr_CDP[[#All],[CRP]],_xlfn.XLOOKUP(Contrato5[[#This Row],[CDP]],[2]!COMPROMISOS_2024[[#All],[disponibilidad]],[2]!COMPROMISOS_2024[[#All],[consecutivo]],"",0),0)</f>
        <v>#NAME?</v>
      </c>
      <c r="U700" s="140" t="e" cm="1">
        <f t="array" aca="1" ref="U700" ca="1">+_xlfn.XLOOKUP(Contrato5[[#This Row],[RCP]],[2]!COMPROMISOS_2024[[#All],[consecutivo]],[2]!COMPROMISOS_2024[[#All],[fecha_aprobacion]],"",0)</f>
        <v>#NAME?</v>
      </c>
      <c r="V700" s="141" t="e">
        <f ca="1">SUMIF([2]!COMPROMISOS_2024[[#All],[consecutivo]],Contrato5[[#This Row],[RCP]],[2]!COMPROMISOS_2024[[#All],[valor_total]])</f>
        <v>#REF!</v>
      </c>
      <c r="W700" s="160">
        <v>45517</v>
      </c>
      <c r="X700" s="160" t="s">
        <v>1045</v>
      </c>
      <c r="Y700" s="143">
        <v>45520</v>
      </c>
      <c r="Z700" s="262">
        <v>45643</v>
      </c>
      <c r="AA700" s="183" t="s">
        <v>2870</v>
      </c>
      <c r="AB700" s="172" t="s">
        <v>2871</v>
      </c>
      <c r="AC700" s="172"/>
      <c r="AD700" s="425">
        <v>202000005141</v>
      </c>
      <c r="AE700" s="147" t="s">
        <v>523</v>
      </c>
      <c r="AF700" s="148" t="str">
        <f>TEXT(LEFT(Contrato5[[#This Row],[CONTRATO]],3),"0")</f>
        <v>575</v>
      </c>
      <c r="AG700" s="148" t="str">
        <f>IF(LEN(Contrato5[[#This Row],[Contrato2]])=3,Contrato5[[#This Row],[Contrato2]],TEXT(Contrato5[[#This Row],[Contrato2]],"000"))</f>
        <v>575</v>
      </c>
      <c r="AH700" s="149">
        <f ca="1">IFERROR(_xlfn.DAYS(Contrato5[[#This Row],[Fecha Proyectada liquidación]],TODAY())/30,"")</f>
        <v>0.16666666666666666</v>
      </c>
      <c r="AI700" s="150">
        <f>+Contrato5[[#This Row],[FECHA TERMINACIÓN ]]+120</f>
        <v>45763</v>
      </c>
      <c r="AJ700" s="147"/>
      <c r="AK700" s="152" t="str">
        <f ca="1">IF(Contrato5[[#This Row],[FECHA TERMINACIÓN ]]&lt;TODAY(), "Terminado",IF(ISNUMBER(Contrato5[[#This Row],[Fecha Real de liquiidación ]]),"Liquidado",IF(Contrato5[[#This Row],[FECHA TERMINACIÓN ]]&gt;=TODAY(),"En ejecución","")))</f>
        <v>Terminado</v>
      </c>
      <c r="AL700" s="153" t="e">
        <f ca="1">SUMIF([2]!COMPROMISOS_2024[[#All],[consecutivo]],Contrato5[[#This Row],[RCP]],[2]!COMPROMISOS_2024[[#All],[Total pagado]])</f>
        <v>#REF!</v>
      </c>
      <c r="AM700" s="154">
        <f ca="1">IFERROR(Contrato5[[#This Row],[Pagos]]/Contrato5[[#This Row],[VALOR CONTRATO]],0)</f>
        <v>0</v>
      </c>
      <c r="AN700" s="198" t="e">
        <f ca="1">+Contrato5[[#This Row],[VALOR CONTRATO]]-Contrato5[[#This Row],[Pagos]]</f>
        <v>#REF!</v>
      </c>
      <c r="AO700" s="147" t="e" cm="1">
        <f t="array" aca="1" ref="AO700" ca="1">_xlfn.XLOOKUP(Contrato5[[#This Row],[DOCUMENTO ]],[2]!PERSONAL_ACTIVO_2024[[#All],[Documento identidad]],[2]!PERSONAL_ACTIVO_2024[[#All],[Mail ]],0,0)</f>
        <v>#NAME?</v>
      </c>
      <c r="AP700" s="147" t="e" cm="1">
        <f t="array" aca="1" ref="AP700" ca="1">_xlfn.XLOOKUP(Contrato5[[#This Row],[DOCUMENTO]],[2]!PERSONAL_ACTIVO_2024[[#All],[Documento identidad]],[2]!PERSONAL_ACTIVO_2024[[#All],[Mail ]],0,0)</f>
        <v>#NAME?</v>
      </c>
      <c r="AQ700" s="439" cm="1">
        <f t="array" aca="1" ref="AQ700" ca="1">IF(ISBLANK(Contrato5[[#This Row],[DEPENDENCIA ]]),0,IFERROR(_xlfn.XLOOKUP(Contrato5[[#This Row],[DEPENDENCIA ]],[2]!PERSONAL_ACTIVO_2024[[#All],[Dependencia]],[2]!PERSONAL_ACTIVO_2024[[#All],[Mail ]],0,0),0))</f>
        <v>0</v>
      </c>
    </row>
    <row r="701" spans="1:43" ht="34.5" customHeight="1">
      <c r="A701" s="147">
        <v>965</v>
      </c>
      <c r="B701" s="124">
        <v>576</v>
      </c>
      <c r="C701" s="162" t="s">
        <v>2011</v>
      </c>
      <c r="D701" s="227" t="s">
        <v>583</v>
      </c>
      <c r="E701" s="440" t="s">
        <v>94</v>
      </c>
      <c r="F701" s="227" t="s">
        <v>1376</v>
      </c>
      <c r="G701" s="281" t="s">
        <v>776</v>
      </c>
      <c r="H701" s="436">
        <v>1037617213</v>
      </c>
      <c r="I701" s="273">
        <v>5931149</v>
      </c>
      <c r="J701" s="437">
        <v>24120006</v>
      </c>
      <c r="K701" s="131" t="s">
        <v>42</v>
      </c>
      <c r="L701" s="438" t="s">
        <v>2855</v>
      </c>
      <c r="M701" s="194" t="s">
        <v>586</v>
      </c>
      <c r="N701" s="177" t="e" cm="1">
        <f t="array" aca="1" ref="N701" ca="1">_xlfn.XLOOKUP(Contrato5[[#This Row],[SUPERVISOR TITULAR]],[2]!PERSONAL_ACTIVO_2024[[#All],[Nombre completo]],[2]!PERSONAL_ACTIVO_2024[[#All],[Documento identidad]],"",0)</f>
        <v>#NAME?</v>
      </c>
      <c r="O701" s="194" t="s">
        <v>589</v>
      </c>
      <c r="P701" s="196" t="e" cm="1">
        <f t="array" aca="1" ref="P701" ca="1">_xlfn.XLOOKUP(Contrato5[[#This Row],[SUPERVISOR SUPLENTE ]],[2]!PERSONAL_ACTIVO_2024[[#All],[Nombre completo]],[2]!PERSONAL_ACTIVO_2024[[#All],[Documento identidad]],"",0)</f>
        <v>#NAME?</v>
      </c>
      <c r="Q701" s="170">
        <v>752</v>
      </c>
      <c r="R701" s="137" t="e" cm="1">
        <f t="array" aca="1" ref="R701" ca="1">_xlfn.XLOOKUP(Contrato5[[#This Row],[CDP]],[2]!DISPONIBILIDADES_2024[[#All],[consecutivo]],[2]!DISPONIBILIDADES_2024[[#All],[fecha_aprobacion]],"",0)</f>
        <v>#NAME?</v>
      </c>
      <c r="S701" s="138" t="e">
        <f>SUMIF([2]!DISPONIBILIDADES_2024[[#All],[consecutivo]],Contrato5[[#This Row],[CDP]],[2]!DISPONIBILIDADES_2024[[#All],[valor_total_rubro]])</f>
        <v>#REF!</v>
      </c>
      <c r="T701" s="139" t="e" cm="1">
        <f t="array" aca="1" ref="T701" ca="1">_xlfn.XLOOKUP(Contrato5[[#This Row],[CONTRATO]]&amp;Contrato5[[#This Row],[CDP]],[2]!Corr_Contr_CDP[[#All],[CONTRATO-CDP]],[2]!Corr_Contr_CDP[[#All],[CRP]],_xlfn.XLOOKUP(Contrato5[[#This Row],[CDP]],[2]!COMPROMISOS_2024[[#All],[disponibilidad]],[2]!COMPROMISOS_2024[[#All],[consecutivo]],"",0),0)</f>
        <v>#NAME?</v>
      </c>
      <c r="U701" s="140" t="e" cm="1">
        <f t="array" aca="1" ref="U701" ca="1">+_xlfn.XLOOKUP(Contrato5[[#This Row],[RCP]],[2]!COMPROMISOS_2024[[#All],[consecutivo]],[2]!COMPROMISOS_2024[[#All],[fecha_aprobacion]],"",0)</f>
        <v>#NAME?</v>
      </c>
      <c r="V701" s="141" t="e">
        <f ca="1">SUMIF([2]!COMPROMISOS_2024[[#All],[consecutivo]],Contrato5[[#This Row],[RCP]],[2]!COMPROMISOS_2024[[#All],[valor_total]])</f>
        <v>#REF!</v>
      </c>
      <c r="W701" s="160">
        <v>45517</v>
      </c>
      <c r="X701" s="160" t="s">
        <v>1045</v>
      </c>
      <c r="Y701" s="143">
        <v>45520</v>
      </c>
      <c r="Z701" s="262">
        <v>45643</v>
      </c>
      <c r="AA701" s="183" t="s">
        <v>2877</v>
      </c>
      <c r="AB701" s="172" t="s">
        <v>2871</v>
      </c>
      <c r="AC701" s="172"/>
      <c r="AD701" s="425">
        <v>202000005142</v>
      </c>
      <c r="AE701" s="147" t="s">
        <v>523</v>
      </c>
      <c r="AF701" s="148" t="str">
        <f>TEXT(LEFT(Contrato5[[#This Row],[CONTRATO]],3),"0")</f>
        <v>576</v>
      </c>
      <c r="AG701" s="148" t="str">
        <f>IF(LEN(Contrato5[[#This Row],[Contrato2]])=3,Contrato5[[#This Row],[Contrato2]],TEXT(Contrato5[[#This Row],[Contrato2]],"000"))</f>
        <v>576</v>
      </c>
      <c r="AH701" s="149">
        <f ca="1">IFERROR(_xlfn.DAYS(Contrato5[[#This Row],[Fecha Proyectada liquidación]],TODAY())/30,"")</f>
        <v>0.16666666666666666</v>
      </c>
      <c r="AI701" s="150">
        <f>+Contrato5[[#This Row],[FECHA TERMINACIÓN ]]+120</f>
        <v>45763</v>
      </c>
      <c r="AJ701" s="147"/>
      <c r="AK701" s="152" t="str">
        <f ca="1">IF(Contrato5[[#This Row],[FECHA TERMINACIÓN ]]&lt;TODAY(), "Terminado",IF(ISNUMBER(Contrato5[[#This Row],[Fecha Real de liquiidación ]]),"Liquidado",IF(Contrato5[[#This Row],[FECHA TERMINACIÓN ]]&gt;=TODAY(),"En ejecución","")))</f>
        <v>Terminado</v>
      </c>
      <c r="AL701" s="153" t="e">
        <f ca="1">SUMIF([2]!COMPROMISOS_2024[[#All],[consecutivo]],Contrato5[[#This Row],[RCP]],[2]!COMPROMISOS_2024[[#All],[Total pagado]])</f>
        <v>#REF!</v>
      </c>
      <c r="AM701" s="154">
        <f ca="1">IFERROR(Contrato5[[#This Row],[Pagos]]/Contrato5[[#This Row],[VALOR CONTRATO]],0)</f>
        <v>0</v>
      </c>
      <c r="AN701" s="198" t="e">
        <f ca="1">+Contrato5[[#This Row],[VALOR CONTRATO]]-Contrato5[[#This Row],[Pagos]]</f>
        <v>#REF!</v>
      </c>
      <c r="AO701" s="147" t="e" cm="1">
        <f t="array" aca="1" ref="AO701" ca="1">_xlfn.XLOOKUP(Contrato5[[#This Row],[DOCUMENTO ]],[2]!PERSONAL_ACTIVO_2024[[#All],[Documento identidad]],[2]!PERSONAL_ACTIVO_2024[[#All],[Mail ]],0,0)</f>
        <v>#NAME?</v>
      </c>
      <c r="AP701" s="147" t="e" cm="1">
        <f t="array" aca="1" ref="AP701" ca="1">_xlfn.XLOOKUP(Contrato5[[#This Row],[DOCUMENTO]],[2]!PERSONAL_ACTIVO_2024[[#All],[Documento identidad]],[2]!PERSONAL_ACTIVO_2024[[#All],[Mail ]],0,0)</f>
        <v>#NAME?</v>
      </c>
      <c r="AQ701" s="439" cm="1">
        <f t="array" aca="1" ref="AQ701" ca="1">IF(ISBLANK(Contrato5[[#This Row],[DEPENDENCIA ]]),0,IFERROR(_xlfn.XLOOKUP(Contrato5[[#This Row],[DEPENDENCIA ]],[2]!PERSONAL_ACTIVO_2024[[#All],[Dependencia]],[2]!PERSONAL_ACTIVO_2024[[#All],[Mail ]],0,0),0))</f>
        <v>0</v>
      </c>
    </row>
    <row r="702" spans="1:43" ht="34.5" customHeight="1">
      <c r="A702" s="147">
        <v>966</v>
      </c>
      <c r="B702" s="124">
        <v>577</v>
      </c>
      <c r="C702" s="162" t="s">
        <v>2012</v>
      </c>
      <c r="D702" s="227" t="s">
        <v>583</v>
      </c>
      <c r="E702" s="440" t="s">
        <v>94</v>
      </c>
      <c r="F702" s="227" t="s">
        <v>1376</v>
      </c>
      <c r="G702" s="281" t="s">
        <v>777</v>
      </c>
      <c r="H702" s="436">
        <v>71703740</v>
      </c>
      <c r="I702" s="273">
        <v>3952382</v>
      </c>
      <c r="J702" s="437">
        <v>16073020</v>
      </c>
      <c r="K702" s="131" t="s">
        <v>42</v>
      </c>
      <c r="L702" s="438" t="s">
        <v>2855</v>
      </c>
      <c r="M702" s="194" t="s">
        <v>586</v>
      </c>
      <c r="N702" s="177" t="e" cm="1">
        <f t="array" aca="1" ref="N702" ca="1">_xlfn.XLOOKUP(Contrato5[[#This Row],[SUPERVISOR TITULAR]],[2]!PERSONAL_ACTIVO_2024[[#All],[Nombre completo]],[2]!PERSONAL_ACTIVO_2024[[#All],[Documento identidad]],"",0)</f>
        <v>#NAME?</v>
      </c>
      <c r="O702" s="194" t="s">
        <v>589</v>
      </c>
      <c r="P702" s="196" t="e" cm="1">
        <f t="array" aca="1" ref="P702" ca="1">_xlfn.XLOOKUP(Contrato5[[#This Row],[SUPERVISOR SUPLENTE ]],[2]!PERSONAL_ACTIVO_2024[[#All],[Nombre completo]],[2]!PERSONAL_ACTIVO_2024[[#All],[Documento identidad]],"",0)</f>
        <v>#NAME?</v>
      </c>
      <c r="Q702" s="170">
        <v>751</v>
      </c>
      <c r="R702" s="137" t="e" cm="1">
        <f t="array" aca="1" ref="R702" ca="1">_xlfn.XLOOKUP(Contrato5[[#This Row],[CDP]],[2]!DISPONIBILIDADES_2024[[#All],[consecutivo]],[2]!DISPONIBILIDADES_2024[[#All],[fecha_aprobacion]],"",0)</f>
        <v>#NAME?</v>
      </c>
      <c r="S702" s="138" t="e">
        <f>SUMIF([2]!DISPONIBILIDADES_2024[[#All],[consecutivo]],Contrato5[[#This Row],[CDP]],[2]!DISPONIBILIDADES_2024[[#All],[valor_total_rubro]])</f>
        <v>#REF!</v>
      </c>
      <c r="T702" s="139" t="e" cm="1">
        <f t="array" aca="1" ref="T702" ca="1">_xlfn.XLOOKUP(Contrato5[[#This Row],[CONTRATO]]&amp;Contrato5[[#This Row],[CDP]],[2]!Corr_Contr_CDP[[#All],[CONTRATO-CDP]],[2]!Corr_Contr_CDP[[#All],[CRP]],_xlfn.XLOOKUP(Contrato5[[#This Row],[CDP]],[2]!COMPROMISOS_2024[[#All],[disponibilidad]],[2]!COMPROMISOS_2024[[#All],[consecutivo]],"",0),0)</f>
        <v>#NAME?</v>
      </c>
      <c r="U702" s="140" t="e" cm="1">
        <f t="array" aca="1" ref="U702" ca="1">+_xlfn.XLOOKUP(Contrato5[[#This Row],[RCP]],[2]!COMPROMISOS_2024[[#All],[consecutivo]],[2]!COMPROMISOS_2024[[#All],[fecha_aprobacion]],"",0)</f>
        <v>#NAME?</v>
      </c>
      <c r="V702" s="141" t="e">
        <f ca="1">SUMIF([2]!COMPROMISOS_2024[[#All],[consecutivo]],Contrato5[[#This Row],[RCP]],[2]!COMPROMISOS_2024[[#All],[valor_total]])</f>
        <v>#REF!</v>
      </c>
      <c r="W702" s="160">
        <v>45517</v>
      </c>
      <c r="X702" s="160" t="s">
        <v>1045</v>
      </c>
      <c r="Y702" s="143">
        <v>45520</v>
      </c>
      <c r="Z702" s="262">
        <v>45643</v>
      </c>
      <c r="AA702" s="183" t="s">
        <v>2877</v>
      </c>
      <c r="AB702" s="172" t="s">
        <v>2871</v>
      </c>
      <c r="AC702" s="172"/>
      <c r="AD702" s="425">
        <v>202000005143</v>
      </c>
      <c r="AE702" s="147" t="s">
        <v>523</v>
      </c>
      <c r="AF702" s="148" t="str">
        <f>TEXT(LEFT(Contrato5[[#This Row],[CONTRATO]],3),"0")</f>
        <v>577</v>
      </c>
      <c r="AG702" s="148" t="str">
        <f>IF(LEN(Contrato5[[#This Row],[Contrato2]])=3,Contrato5[[#This Row],[Contrato2]],TEXT(Contrato5[[#This Row],[Contrato2]],"000"))</f>
        <v>577</v>
      </c>
      <c r="AH702" s="149">
        <f ca="1">IFERROR(_xlfn.DAYS(Contrato5[[#This Row],[Fecha Proyectada liquidación]],TODAY())/30,"")</f>
        <v>0.16666666666666666</v>
      </c>
      <c r="AI702" s="150">
        <f>+Contrato5[[#This Row],[FECHA TERMINACIÓN ]]+120</f>
        <v>45763</v>
      </c>
      <c r="AJ702" s="147"/>
      <c r="AK702" s="152" t="str">
        <f ca="1">IF(Contrato5[[#This Row],[FECHA TERMINACIÓN ]]&lt;TODAY(), "Terminado",IF(ISNUMBER(Contrato5[[#This Row],[Fecha Real de liquiidación ]]),"Liquidado",IF(Contrato5[[#This Row],[FECHA TERMINACIÓN ]]&gt;=TODAY(),"En ejecución","")))</f>
        <v>Terminado</v>
      </c>
      <c r="AL702" s="153" t="e">
        <f ca="1">SUMIF([2]!COMPROMISOS_2024[[#All],[consecutivo]],Contrato5[[#This Row],[RCP]],[2]!COMPROMISOS_2024[[#All],[Total pagado]])</f>
        <v>#REF!</v>
      </c>
      <c r="AM702" s="154">
        <f ca="1">IFERROR(Contrato5[[#This Row],[Pagos]]/Contrato5[[#This Row],[VALOR CONTRATO]],0)</f>
        <v>0</v>
      </c>
      <c r="AN702" s="198" t="e">
        <f ca="1">+Contrato5[[#This Row],[VALOR CONTRATO]]-Contrato5[[#This Row],[Pagos]]</f>
        <v>#REF!</v>
      </c>
      <c r="AO702" s="147" t="e" cm="1">
        <f t="array" aca="1" ref="AO702" ca="1">_xlfn.XLOOKUP(Contrato5[[#This Row],[DOCUMENTO ]],[2]!PERSONAL_ACTIVO_2024[[#All],[Documento identidad]],[2]!PERSONAL_ACTIVO_2024[[#All],[Mail ]],0,0)</f>
        <v>#NAME?</v>
      </c>
      <c r="AP702" s="147" t="e" cm="1">
        <f t="array" aca="1" ref="AP702" ca="1">_xlfn.XLOOKUP(Contrato5[[#This Row],[DOCUMENTO]],[2]!PERSONAL_ACTIVO_2024[[#All],[Documento identidad]],[2]!PERSONAL_ACTIVO_2024[[#All],[Mail ]],0,0)</f>
        <v>#NAME?</v>
      </c>
      <c r="AQ702" s="439" cm="1">
        <f t="array" aca="1" ref="AQ702" ca="1">IF(ISBLANK(Contrato5[[#This Row],[DEPENDENCIA ]]),0,IFERROR(_xlfn.XLOOKUP(Contrato5[[#This Row],[DEPENDENCIA ]],[2]!PERSONAL_ACTIVO_2024[[#All],[Dependencia]],[2]!PERSONAL_ACTIVO_2024[[#All],[Mail ]],0,0),0))</f>
        <v>0</v>
      </c>
    </row>
    <row r="703" spans="1:43" ht="34.5" customHeight="1">
      <c r="A703" s="147">
        <v>967</v>
      </c>
      <c r="B703" s="124">
        <v>578</v>
      </c>
      <c r="C703" s="162" t="s">
        <v>2013</v>
      </c>
      <c r="D703" s="227" t="s">
        <v>583</v>
      </c>
      <c r="E703" s="440" t="s">
        <v>94</v>
      </c>
      <c r="F703" s="227" t="s">
        <v>1376</v>
      </c>
      <c r="G703" s="281" t="s">
        <v>778</v>
      </c>
      <c r="H703" s="436">
        <v>80040215</v>
      </c>
      <c r="I703" s="273">
        <v>3952382</v>
      </c>
      <c r="J703" s="437">
        <v>16073020</v>
      </c>
      <c r="K703" s="131" t="s">
        <v>42</v>
      </c>
      <c r="L703" s="438" t="s">
        <v>2855</v>
      </c>
      <c r="M703" s="194" t="s">
        <v>586</v>
      </c>
      <c r="N703" s="177" t="e" cm="1">
        <f t="array" aca="1" ref="N703" ca="1">_xlfn.XLOOKUP(Contrato5[[#This Row],[SUPERVISOR TITULAR]],[2]!PERSONAL_ACTIVO_2024[[#All],[Nombre completo]],[2]!PERSONAL_ACTIVO_2024[[#All],[Documento identidad]],"",0)</f>
        <v>#NAME?</v>
      </c>
      <c r="O703" s="194" t="s">
        <v>589</v>
      </c>
      <c r="P703" s="196" t="e" cm="1">
        <f t="array" aca="1" ref="P703" ca="1">_xlfn.XLOOKUP(Contrato5[[#This Row],[SUPERVISOR SUPLENTE ]],[2]!PERSONAL_ACTIVO_2024[[#All],[Nombre completo]],[2]!PERSONAL_ACTIVO_2024[[#All],[Documento identidad]],"",0)</f>
        <v>#NAME?</v>
      </c>
      <c r="Q703" s="170">
        <v>750</v>
      </c>
      <c r="R703" s="137" t="e" cm="1">
        <f t="array" aca="1" ref="R703" ca="1">_xlfn.XLOOKUP(Contrato5[[#This Row],[CDP]],[2]!DISPONIBILIDADES_2024[[#All],[consecutivo]],[2]!DISPONIBILIDADES_2024[[#All],[fecha_aprobacion]],"",0)</f>
        <v>#NAME?</v>
      </c>
      <c r="S703" s="138" t="e">
        <f>SUMIF([2]!DISPONIBILIDADES_2024[[#All],[consecutivo]],Contrato5[[#This Row],[CDP]],[2]!DISPONIBILIDADES_2024[[#All],[valor_total_rubro]])</f>
        <v>#REF!</v>
      </c>
      <c r="T703" s="139" t="e" cm="1">
        <f t="array" aca="1" ref="T703" ca="1">_xlfn.XLOOKUP(Contrato5[[#This Row],[CONTRATO]]&amp;Contrato5[[#This Row],[CDP]],[2]!Corr_Contr_CDP[[#All],[CONTRATO-CDP]],[2]!Corr_Contr_CDP[[#All],[CRP]],_xlfn.XLOOKUP(Contrato5[[#This Row],[CDP]],[2]!COMPROMISOS_2024[[#All],[disponibilidad]],[2]!COMPROMISOS_2024[[#All],[consecutivo]],"",0),0)</f>
        <v>#NAME?</v>
      </c>
      <c r="U703" s="140" t="e" cm="1">
        <f t="array" aca="1" ref="U703" ca="1">+_xlfn.XLOOKUP(Contrato5[[#This Row],[RCP]],[2]!COMPROMISOS_2024[[#All],[consecutivo]],[2]!COMPROMISOS_2024[[#All],[fecha_aprobacion]],"",0)</f>
        <v>#NAME?</v>
      </c>
      <c r="V703" s="141" t="e">
        <f ca="1">SUMIF([2]!COMPROMISOS_2024[[#All],[consecutivo]],Contrato5[[#This Row],[RCP]],[2]!COMPROMISOS_2024[[#All],[valor_total]])</f>
        <v>#REF!</v>
      </c>
      <c r="W703" s="160">
        <v>45517</v>
      </c>
      <c r="X703" s="160" t="s">
        <v>1045</v>
      </c>
      <c r="Y703" s="143">
        <v>45520</v>
      </c>
      <c r="Z703" s="262">
        <v>45643</v>
      </c>
      <c r="AA703" s="183" t="s">
        <v>2877</v>
      </c>
      <c r="AB703" s="172" t="s">
        <v>2871</v>
      </c>
      <c r="AC703" s="172"/>
      <c r="AD703" s="425">
        <v>202000005144</v>
      </c>
      <c r="AE703" s="147" t="s">
        <v>523</v>
      </c>
      <c r="AF703" s="148" t="str">
        <f>TEXT(LEFT(Contrato5[[#This Row],[CONTRATO]],3),"0")</f>
        <v>578</v>
      </c>
      <c r="AG703" s="148" t="str">
        <f>IF(LEN(Contrato5[[#This Row],[Contrato2]])=3,Contrato5[[#This Row],[Contrato2]],TEXT(Contrato5[[#This Row],[Contrato2]],"000"))</f>
        <v>578</v>
      </c>
      <c r="AH703" s="149">
        <f ca="1">IFERROR(_xlfn.DAYS(Contrato5[[#This Row],[Fecha Proyectada liquidación]],TODAY())/30,"")</f>
        <v>0.16666666666666666</v>
      </c>
      <c r="AI703" s="150">
        <f>+Contrato5[[#This Row],[FECHA TERMINACIÓN ]]+120</f>
        <v>45763</v>
      </c>
      <c r="AJ703" s="147"/>
      <c r="AK703" s="152" t="str">
        <f ca="1">IF(Contrato5[[#This Row],[FECHA TERMINACIÓN ]]&lt;TODAY(), "Terminado",IF(ISNUMBER(Contrato5[[#This Row],[Fecha Real de liquiidación ]]),"Liquidado",IF(Contrato5[[#This Row],[FECHA TERMINACIÓN ]]&gt;=TODAY(),"En ejecución","")))</f>
        <v>Terminado</v>
      </c>
      <c r="AL703" s="153" t="e">
        <f ca="1">SUMIF([2]!COMPROMISOS_2024[[#All],[consecutivo]],Contrato5[[#This Row],[RCP]],[2]!COMPROMISOS_2024[[#All],[Total pagado]])</f>
        <v>#REF!</v>
      </c>
      <c r="AM703" s="154">
        <f ca="1">IFERROR(Contrato5[[#This Row],[Pagos]]/Contrato5[[#This Row],[VALOR CONTRATO]],0)</f>
        <v>0</v>
      </c>
      <c r="AN703" s="198" t="e">
        <f ca="1">+Contrato5[[#This Row],[VALOR CONTRATO]]-Contrato5[[#This Row],[Pagos]]</f>
        <v>#REF!</v>
      </c>
      <c r="AO703" s="147" t="e" cm="1">
        <f t="array" aca="1" ref="AO703" ca="1">_xlfn.XLOOKUP(Contrato5[[#This Row],[DOCUMENTO ]],[2]!PERSONAL_ACTIVO_2024[[#All],[Documento identidad]],[2]!PERSONAL_ACTIVO_2024[[#All],[Mail ]],0,0)</f>
        <v>#NAME?</v>
      </c>
      <c r="AP703" s="147" t="e" cm="1">
        <f t="array" aca="1" ref="AP703" ca="1">_xlfn.XLOOKUP(Contrato5[[#This Row],[DOCUMENTO]],[2]!PERSONAL_ACTIVO_2024[[#All],[Documento identidad]],[2]!PERSONAL_ACTIVO_2024[[#All],[Mail ]],0,0)</f>
        <v>#NAME?</v>
      </c>
      <c r="AQ703" s="439" cm="1">
        <f t="array" aca="1" ref="AQ703" ca="1">IF(ISBLANK(Contrato5[[#This Row],[DEPENDENCIA ]]),0,IFERROR(_xlfn.XLOOKUP(Contrato5[[#This Row],[DEPENDENCIA ]],[2]!PERSONAL_ACTIVO_2024[[#All],[Dependencia]],[2]!PERSONAL_ACTIVO_2024[[#All],[Mail ]],0,0),0))</f>
        <v>0</v>
      </c>
    </row>
    <row r="704" spans="1:43" ht="34.5" customHeight="1">
      <c r="A704" s="147">
        <v>968</v>
      </c>
      <c r="B704" s="124">
        <v>579</v>
      </c>
      <c r="C704" s="162" t="s">
        <v>2014</v>
      </c>
      <c r="D704" s="227" t="s">
        <v>583</v>
      </c>
      <c r="E704" s="440" t="s">
        <v>94</v>
      </c>
      <c r="F704" s="227" t="s">
        <v>1376</v>
      </c>
      <c r="G704" s="281" t="s">
        <v>2958</v>
      </c>
      <c r="H704" s="436">
        <v>98558024</v>
      </c>
      <c r="I704" s="273">
        <v>9411430.3499999996</v>
      </c>
      <c r="J704" s="437">
        <v>38273150</v>
      </c>
      <c r="K704" s="131" t="s">
        <v>42</v>
      </c>
      <c r="L704" s="438" t="s">
        <v>2855</v>
      </c>
      <c r="M704" s="194" t="s">
        <v>589</v>
      </c>
      <c r="N704" s="177" t="e" cm="1">
        <f t="array" aca="1" ref="N704" ca="1">_xlfn.XLOOKUP(Contrato5[[#This Row],[SUPERVISOR TITULAR]],[2]!PERSONAL_ACTIVO_2024[[#All],[Nombre completo]],[2]!PERSONAL_ACTIVO_2024[[#All],[Documento identidad]],"",0)</f>
        <v>#NAME?</v>
      </c>
      <c r="O704" s="194" t="s">
        <v>586</v>
      </c>
      <c r="P704" s="196" t="e" cm="1">
        <f t="array" aca="1" ref="P704" ca="1">_xlfn.XLOOKUP(Contrato5[[#This Row],[SUPERVISOR SUPLENTE ]],[2]!PERSONAL_ACTIVO_2024[[#All],[Nombre completo]],[2]!PERSONAL_ACTIVO_2024[[#All],[Documento identidad]],"",0)</f>
        <v>#NAME?</v>
      </c>
      <c r="Q704" s="170">
        <v>687</v>
      </c>
      <c r="R704" s="137" t="e" cm="1">
        <f t="array" aca="1" ref="R704" ca="1">_xlfn.XLOOKUP(Contrato5[[#This Row],[CDP]],[2]!DISPONIBILIDADES_2024[[#All],[consecutivo]],[2]!DISPONIBILIDADES_2024[[#All],[fecha_aprobacion]],"",0)</f>
        <v>#NAME?</v>
      </c>
      <c r="S704" s="138" t="e">
        <f>SUMIF([2]!DISPONIBILIDADES_2024[[#All],[consecutivo]],Contrato5[[#This Row],[CDP]],[2]!DISPONIBILIDADES_2024[[#All],[valor_total_rubro]])</f>
        <v>#REF!</v>
      </c>
      <c r="T704" s="139" t="e" cm="1">
        <f t="array" aca="1" ref="T704" ca="1">_xlfn.XLOOKUP(Contrato5[[#This Row],[CONTRATO]]&amp;Contrato5[[#This Row],[CDP]],[2]!Corr_Contr_CDP[[#All],[CONTRATO-CDP]],[2]!Corr_Contr_CDP[[#All],[CRP]],_xlfn.XLOOKUP(Contrato5[[#This Row],[CDP]],[2]!COMPROMISOS_2024[[#All],[disponibilidad]],[2]!COMPROMISOS_2024[[#All],[consecutivo]],"",0),0)</f>
        <v>#NAME?</v>
      </c>
      <c r="U704" s="140" t="e" cm="1">
        <f t="array" aca="1" ref="U704" ca="1">+_xlfn.XLOOKUP(Contrato5[[#This Row],[RCP]],[2]!COMPROMISOS_2024[[#All],[consecutivo]],[2]!COMPROMISOS_2024[[#All],[fecha_aprobacion]],"",0)</f>
        <v>#NAME?</v>
      </c>
      <c r="V704" s="141" t="e">
        <f ca="1">SUMIF([2]!COMPROMISOS_2024[[#All],[consecutivo]],Contrato5[[#This Row],[RCP]],[2]!COMPROMISOS_2024[[#All],[valor_total]])</f>
        <v>#REF!</v>
      </c>
      <c r="W704" s="160">
        <v>45517</v>
      </c>
      <c r="X704" s="160" t="s">
        <v>1045</v>
      </c>
      <c r="Y704" s="143">
        <v>45520</v>
      </c>
      <c r="Z704" s="262">
        <v>45643</v>
      </c>
      <c r="AA704" s="183" t="s">
        <v>2870</v>
      </c>
      <c r="AB704" s="172" t="s">
        <v>2871</v>
      </c>
      <c r="AC704" s="172"/>
      <c r="AD704" s="425">
        <v>202000005145</v>
      </c>
      <c r="AE704" s="147" t="s">
        <v>523</v>
      </c>
      <c r="AF704" s="148" t="str">
        <f>TEXT(LEFT(Contrato5[[#This Row],[CONTRATO]],3),"0")</f>
        <v>579</v>
      </c>
      <c r="AG704" s="148" t="str">
        <f>IF(LEN(Contrato5[[#This Row],[Contrato2]])=3,Contrato5[[#This Row],[Contrato2]],TEXT(Contrato5[[#This Row],[Contrato2]],"000"))</f>
        <v>579</v>
      </c>
      <c r="AH704" s="149">
        <f ca="1">IFERROR(_xlfn.DAYS(Contrato5[[#This Row],[Fecha Proyectada liquidación]],TODAY())/30,"")</f>
        <v>0.16666666666666666</v>
      </c>
      <c r="AI704" s="150">
        <f>+Contrato5[[#This Row],[FECHA TERMINACIÓN ]]+120</f>
        <v>45763</v>
      </c>
      <c r="AJ704" s="147"/>
      <c r="AK704" s="152" t="str">
        <f ca="1">IF(Contrato5[[#This Row],[FECHA TERMINACIÓN ]]&lt;TODAY(), "Terminado",IF(ISNUMBER(Contrato5[[#This Row],[Fecha Real de liquiidación ]]),"Liquidado",IF(Contrato5[[#This Row],[FECHA TERMINACIÓN ]]&gt;=TODAY(),"En ejecución","")))</f>
        <v>Terminado</v>
      </c>
      <c r="AL704" s="153" t="e">
        <f ca="1">SUMIF([2]!COMPROMISOS_2024[[#All],[consecutivo]],Contrato5[[#This Row],[RCP]],[2]!COMPROMISOS_2024[[#All],[Total pagado]])</f>
        <v>#REF!</v>
      </c>
      <c r="AM704" s="154">
        <f ca="1">IFERROR(Contrato5[[#This Row],[Pagos]]/Contrato5[[#This Row],[VALOR CONTRATO]],0)</f>
        <v>0</v>
      </c>
      <c r="AN704" s="198" t="e">
        <f ca="1">+Contrato5[[#This Row],[VALOR CONTRATO]]-Contrato5[[#This Row],[Pagos]]</f>
        <v>#REF!</v>
      </c>
      <c r="AO704" s="147" t="e" cm="1">
        <f t="array" aca="1" ref="AO704" ca="1">_xlfn.XLOOKUP(Contrato5[[#This Row],[DOCUMENTO ]],[2]!PERSONAL_ACTIVO_2024[[#All],[Documento identidad]],[2]!PERSONAL_ACTIVO_2024[[#All],[Mail ]],0,0)</f>
        <v>#NAME?</v>
      </c>
      <c r="AP704" s="147" t="e" cm="1">
        <f t="array" aca="1" ref="AP704" ca="1">_xlfn.XLOOKUP(Contrato5[[#This Row],[DOCUMENTO]],[2]!PERSONAL_ACTIVO_2024[[#All],[Documento identidad]],[2]!PERSONAL_ACTIVO_2024[[#All],[Mail ]],0,0)</f>
        <v>#NAME?</v>
      </c>
      <c r="AQ704" s="439" cm="1">
        <f t="array" aca="1" ref="AQ704" ca="1">IF(ISBLANK(Contrato5[[#This Row],[DEPENDENCIA ]]),0,IFERROR(_xlfn.XLOOKUP(Contrato5[[#This Row],[DEPENDENCIA ]],[2]!PERSONAL_ACTIVO_2024[[#All],[Dependencia]],[2]!PERSONAL_ACTIVO_2024[[#All],[Mail ]],0,0),0))</f>
        <v>0</v>
      </c>
    </row>
    <row r="705" spans="1:43" ht="34.5" customHeight="1">
      <c r="A705" s="147">
        <v>969</v>
      </c>
      <c r="B705" s="124">
        <v>580</v>
      </c>
      <c r="C705" s="162" t="s">
        <v>2014</v>
      </c>
      <c r="D705" s="227" t="s">
        <v>583</v>
      </c>
      <c r="E705" s="440" t="s">
        <v>94</v>
      </c>
      <c r="F705" s="227" t="s">
        <v>1376</v>
      </c>
      <c r="G705" s="281" t="s">
        <v>2959</v>
      </c>
      <c r="H705" s="436">
        <v>71216094</v>
      </c>
      <c r="I705" s="273">
        <v>6920169</v>
      </c>
      <c r="J705" s="437">
        <v>28142021</v>
      </c>
      <c r="K705" s="131" t="s">
        <v>42</v>
      </c>
      <c r="L705" s="438" t="s">
        <v>2855</v>
      </c>
      <c r="M705" s="194" t="s">
        <v>589</v>
      </c>
      <c r="N705" s="177" t="e" cm="1">
        <f t="array" aca="1" ref="N705" ca="1">_xlfn.XLOOKUP(Contrato5[[#This Row],[SUPERVISOR TITULAR]],[2]!PERSONAL_ACTIVO_2024[[#All],[Nombre completo]],[2]!PERSONAL_ACTIVO_2024[[#All],[Documento identidad]],"",0)</f>
        <v>#NAME?</v>
      </c>
      <c r="O705" s="194" t="s">
        <v>586</v>
      </c>
      <c r="P705" s="196" t="e" cm="1">
        <f t="array" aca="1" ref="P705" ca="1">_xlfn.XLOOKUP(Contrato5[[#This Row],[SUPERVISOR SUPLENTE ]],[2]!PERSONAL_ACTIVO_2024[[#All],[Nombre completo]],[2]!PERSONAL_ACTIVO_2024[[#All],[Documento identidad]],"",0)</f>
        <v>#NAME?</v>
      </c>
      <c r="Q705" s="170">
        <v>696</v>
      </c>
      <c r="R705" s="137" t="e" cm="1">
        <f t="array" aca="1" ref="R705" ca="1">_xlfn.XLOOKUP(Contrato5[[#This Row],[CDP]],[2]!DISPONIBILIDADES_2024[[#All],[consecutivo]],[2]!DISPONIBILIDADES_2024[[#All],[fecha_aprobacion]],"",0)</f>
        <v>#NAME?</v>
      </c>
      <c r="S705" s="138" t="e">
        <f>SUMIF([2]!DISPONIBILIDADES_2024[[#All],[consecutivo]],Contrato5[[#This Row],[CDP]],[2]!DISPONIBILIDADES_2024[[#All],[valor_total_rubro]])</f>
        <v>#REF!</v>
      </c>
      <c r="T705" s="139" t="e" cm="1">
        <f t="array" aca="1" ref="T705" ca="1">_xlfn.XLOOKUP(Contrato5[[#This Row],[CONTRATO]]&amp;Contrato5[[#This Row],[CDP]],[2]!Corr_Contr_CDP[[#All],[CONTRATO-CDP]],[2]!Corr_Contr_CDP[[#All],[CRP]],_xlfn.XLOOKUP(Contrato5[[#This Row],[CDP]],[2]!COMPROMISOS_2024[[#All],[disponibilidad]],[2]!COMPROMISOS_2024[[#All],[consecutivo]],"",0),0)</f>
        <v>#NAME?</v>
      </c>
      <c r="U705" s="140" t="e" cm="1">
        <f t="array" aca="1" ref="U705" ca="1">+_xlfn.XLOOKUP(Contrato5[[#This Row],[RCP]],[2]!COMPROMISOS_2024[[#All],[consecutivo]],[2]!COMPROMISOS_2024[[#All],[fecha_aprobacion]],"",0)</f>
        <v>#NAME?</v>
      </c>
      <c r="V705" s="141" t="e">
        <f ca="1">SUMIF([2]!COMPROMISOS_2024[[#All],[consecutivo]],Contrato5[[#This Row],[RCP]],[2]!COMPROMISOS_2024[[#All],[valor_total]])</f>
        <v>#REF!</v>
      </c>
      <c r="W705" s="160">
        <v>45517</v>
      </c>
      <c r="X705" s="160" t="s">
        <v>1045</v>
      </c>
      <c r="Y705" s="143">
        <v>45520</v>
      </c>
      <c r="Z705" s="262">
        <v>45643</v>
      </c>
      <c r="AA705" s="183" t="s">
        <v>2870</v>
      </c>
      <c r="AB705" s="172" t="s">
        <v>2871</v>
      </c>
      <c r="AC705" s="172"/>
      <c r="AD705" s="425">
        <v>202000005146</v>
      </c>
      <c r="AE705" s="147" t="s">
        <v>523</v>
      </c>
      <c r="AF705" s="148" t="str">
        <f>TEXT(LEFT(Contrato5[[#This Row],[CONTRATO]],3),"0")</f>
        <v>580</v>
      </c>
      <c r="AG705" s="148" t="str">
        <f>IF(LEN(Contrato5[[#This Row],[Contrato2]])=3,Contrato5[[#This Row],[Contrato2]],TEXT(Contrato5[[#This Row],[Contrato2]],"000"))</f>
        <v>580</v>
      </c>
      <c r="AH705" s="149">
        <f ca="1">IFERROR(_xlfn.DAYS(Contrato5[[#This Row],[Fecha Proyectada liquidación]],TODAY())/30,"")</f>
        <v>0.16666666666666666</v>
      </c>
      <c r="AI705" s="150">
        <f>+Contrato5[[#This Row],[FECHA TERMINACIÓN ]]+120</f>
        <v>45763</v>
      </c>
      <c r="AJ705" s="147"/>
      <c r="AK705" s="152" t="str">
        <f ca="1">IF(Contrato5[[#This Row],[FECHA TERMINACIÓN ]]&lt;TODAY(), "Terminado",IF(ISNUMBER(Contrato5[[#This Row],[Fecha Real de liquiidación ]]),"Liquidado",IF(Contrato5[[#This Row],[FECHA TERMINACIÓN ]]&gt;=TODAY(),"En ejecución","")))</f>
        <v>Terminado</v>
      </c>
      <c r="AL705" s="153" t="e">
        <f ca="1">SUMIF([2]!COMPROMISOS_2024[[#All],[consecutivo]],Contrato5[[#This Row],[RCP]],[2]!COMPROMISOS_2024[[#All],[Total pagado]])</f>
        <v>#REF!</v>
      </c>
      <c r="AM705" s="154">
        <f ca="1">IFERROR(Contrato5[[#This Row],[Pagos]]/Contrato5[[#This Row],[VALOR CONTRATO]],0)</f>
        <v>0</v>
      </c>
      <c r="AN705" s="198" t="e">
        <f ca="1">+Contrato5[[#This Row],[VALOR CONTRATO]]-Contrato5[[#This Row],[Pagos]]</f>
        <v>#REF!</v>
      </c>
      <c r="AO705" s="147" t="e" cm="1">
        <f t="array" aca="1" ref="AO705" ca="1">_xlfn.XLOOKUP(Contrato5[[#This Row],[DOCUMENTO ]],[2]!PERSONAL_ACTIVO_2024[[#All],[Documento identidad]],[2]!PERSONAL_ACTIVO_2024[[#All],[Mail ]],0,0)</f>
        <v>#NAME?</v>
      </c>
      <c r="AP705" s="147" t="e" cm="1">
        <f t="array" aca="1" ref="AP705" ca="1">_xlfn.XLOOKUP(Contrato5[[#This Row],[DOCUMENTO]],[2]!PERSONAL_ACTIVO_2024[[#All],[Documento identidad]],[2]!PERSONAL_ACTIVO_2024[[#All],[Mail ]],0,0)</f>
        <v>#NAME?</v>
      </c>
      <c r="AQ705" s="439" cm="1">
        <f t="array" aca="1" ref="AQ705" ca="1">IF(ISBLANK(Contrato5[[#This Row],[DEPENDENCIA ]]),0,IFERROR(_xlfn.XLOOKUP(Contrato5[[#This Row],[DEPENDENCIA ]],[2]!PERSONAL_ACTIVO_2024[[#All],[Dependencia]],[2]!PERSONAL_ACTIVO_2024[[#All],[Mail ]],0,0),0))</f>
        <v>0</v>
      </c>
    </row>
    <row r="706" spans="1:43" ht="34.5" customHeight="1">
      <c r="A706" s="147">
        <v>970</v>
      </c>
      <c r="B706" s="124">
        <v>581</v>
      </c>
      <c r="C706" s="162" t="s">
        <v>2014</v>
      </c>
      <c r="D706" s="227" t="s">
        <v>583</v>
      </c>
      <c r="E706" s="440" t="s">
        <v>94</v>
      </c>
      <c r="F706" s="227" t="s">
        <v>1376</v>
      </c>
      <c r="G706" s="281" t="s">
        <v>2960</v>
      </c>
      <c r="H706" s="436">
        <v>1037580044</v>
      </c>
      <c r="I706" s="273">
        <v>3952382</v>
      </c>
      <c r="J706" s="437">
        <v>16073020</v>
      </c>
      <c r="K706" s="131" t="s">
        <v>42</v>
      </c>
      <c r="L706" s="438" t="s">
        <v>2855</v>
      </c>
      <c r="M706" s="194" t="s">
        <v>589</v>
      </c>
      <c r="N706" s="177" t="e" cm="1">
        <f t="array" aca="1" ref="N706" ca="1">_xlfn.XLOOKUP(Contrato5[[#This Row],[SUPERVISOR TITULAR]],[2]!PERSONAL_ACTIVO_2024[[#All],[Nombre completo]],[2]!PERSONAL_ACTIVO_2024[[#All],[Documento identidad]],"",0)</f>
        <v>#NAME?</v>
      </c>
      <c r="O706" s="194" t="s">
        <v>586</v>
      </c>
      <c r="P706" s="196" t="e" cm="1">
        <f t="array" aca="1" ref="P706" ca="1">_xlfn.XLOOKUP(Contrato5[[#This Row],[SUPERVISOR SUPLENTE ]],[2]!PERSONAL_ACTIVO_2024[[#All],[Nombre completo]],[2]!PERSONAL_ACTIVO_2024[[#All],[Documento identidad]],"",0)</f>
        <v>#NAME?</v>
      </c>
      <c r="Q706" s="170">
        <v>788</v>
      </c>
      <c r="R706" s="137" t="e" cm="1">
        <f t="array" aca="1" ref="R706" ca="1">_xlfn.XLOOKUP(Contrato5[[#This Row],[CDP]],[2]!DISPONIBILIDADES_2024[[#All],[consecutivo]],[2]!DISPONIBILIDADES_2024[[#All],[fecha_aprobacion]],"",0)</f>
        <v>#NAME?</v>
      </c>
      <c r="S706" s="138" t="e">
        <f>SUMIF([2]!DISPONIBILIDADES_2024[[#All],[consecutivo]],Contrato5[[#This Row],[CDP]],[2]!DISPONIBILIDADES_2024[[#All],[valor_total_rubro]])</f>
        <v>#REF!</v>
      </c>
      <c r="T706" s="139" t="e" cm="1">
        <f t="array" aca="1" ref="T706" ca="1">_xlfn.XLOOKUP(Contrato5[[#This Row],[CONTRATO]]&amp;Contrato5[[#This Row],[CDP]],[2]!Corr_Contr_CDP[[#All],[CONTRATO-CDP]],[2]!Corr_Contr_CDP[[#All],[CRP]],_xlfn.XLOOKUP(Contrato5[[#This Row],[CDP]],[2]!COMPROMISOS_2024[[#All],[disponibilidad]],[2]!COMPROMISOS_2024[[#All],[consecutivo]],"",0),0)</f>
        <v>#NAME?</v>
      </c>
      <c r="U706" s="140" t="e" cm="1">
        <f t="array" aca="1" ref="U706" ca="1">+_xlfn.XLOOKUP(Contrato5[[#This Row],[RCP]],[2]!COMPROMISOS_2024[[#All],[consecutivo]],[2]!COMPROMISOS_2024[[#All],[fecha_aprobacion]],"",0)</f>
        <v>#NAME?</v>
      </c>
      <c r="V706" s="141" t="e">
        <f ca="1">SUMIF([2]!COMPROMISOS_2024[[#All],[consecutivo]],Contrato5[[#This Row],[RCP]],[2]!COMPROMISOS_2024[[#All],[valor_total]])</f>
        <v>#REF!</v>
      </c>
      <c r="W706" s="160">
        <v>45517</v>
      </c>
      <c r="X706" s="160" t="s">
        <v>1045</v>
      </c>
      <c r="Y706" s="143">
        <v>45520</v>
      </c>
      <c r="Z706" s="262">
        <v>45643</v>
      </c>
      <c r="AA706" s="183" t="s">
        <v>2870</v>
      </c>
      <c r="AB706" s="172" t="s">
        <v>2871</v>
      </c>
      <c r="AC706" s="172"/>
      <c r="AD706" s="425">
        <v>202000005147</v>
      </c>
      <c r="AE706" s="147" t="s">
        <v>523</v>
      </c>
      <c r="AF706" s="148" t="str">
        <f>TEXT(LEFT(Contrato5[[#This Row],[CONTRATO]],3),"0")</f>
        <v>581</v>
      </c>
      <c r="AG706" s="148" t="str">
        <f>IF(LEN(Contrato5[[#This Row],[Contrato2]])=3,Contrato5[[#This Row],[Contrato2]],TEXT(Contrato5[[#This Row],[Contrato2]],"000"))</f>
        <v>581</v>
      </c>
      <c r="AH706" s="149">
        <f ca="1">IFERROR(_xlfn.DAYS(Contrato5[[#This Row],[Fecha Proyectada liquidación]],TODAY())/30,"")</f>
        <v>0.16666666666666666</v>
      </c>
      <c r="AI706" s="150">
        <f>+Contrato5[[#This Row],[FECHA TERMINACIÓN ]]+120</f>
        <v>45763</v>
      </c>
      <c r="AJ706" s="147"/>
      <c r="AK706" s="152" t="str">
        <f ca="1">IF(Contrato5[[#This Row],[FECHA TERMINACIÓN ]]&lt;TODAY(), "Terminado",IF(ISNUMBER(Contrato5[[#This Row],[Fecha Real de liquiidación ]]),"Liquidado",IF(Contrato5[[#This Row],[FECHA TERMINACIÓN ]]&gt;=TODAY(),"En ejecución","")))</f>
        <v>Terminado</v>
      </c>
      <c r="AL706" s="153" t="e">
        <f ca="1">SUMIF([2]!COMPROMISOS_2024[[#All],[consecutivo]],Contrato5[[#This Row],[RCP]],[2]!COMPROMISOS_2024[[#All],[Total pagado]])</f>
        <v>#REF!</v>
      </c>
      <c r="AM706" s="154">
        <f ca="1">IFERROR(Contrato5[[#This Row],[Pagos]]/Contrato5[[#This Row],[VALOR CONTRATO]],0)</f>
        <v>0</v>
      </c>
      <c r="AN706" s="198" t="e">
        <f ca="1">+Contrato5[[#This Row],[VALOR CONTRATO]]-Contrato5[[#This Row],[Pagos]]</f>
        <v>#REF!</v>
      </c>
      <c r="AO706" s="147" t="e" cm="1">
        <f t="array" aca="1" ref="AO706" ca="1">_xlfn.XLOOKUP(Contrato5[[#This Row],[DOCUMENTO ]],[2]!PERSONAL_ACTIVO_2024[[#All],[Documento identidad]],[2]!PERSONAL_ACTIVO_2024[[#All],[Mail ]],0,0)</f>
        <v>#NAME?</v>
      </c>
      <c r="AP706" s="147" t="e" cm="1">
        <f t="array" aca="1" ref="AP706" ca="1">_xlfn.XLOOKUP(Contrato5[[#This Row],[DOCUMENTO]],[2]!PERSONAL_ACTIVO_2024[[#All],[Documento identidad]],[2]!PERSONAL_ACTIVO_2024[[#All],[Mail ]],0,0)</f>
        <v>#NAME?</v>
      </c>
      <c r="AQ706" s="439" cm="1">
        <f t="array" aca="1" ref="AQ706" ca="1">IF(ISBLANK(Contrato5[[#This Row],[DEPENDENCIA ]]),0,IFERROR(_xlfn.XLOOKUP(Contrato5[[#This Row],[DEPENDENCIA ]],[2]!PERSONAL_ACTIVO_2024[[#All],[Dependencia]],[2]!PERSONAL_ACTIVO_2024[[#All],[Mail ]],0,0),0))</f>
        <v>0</v>
      </c>
    </row>
    <row r="707" spans="1:43" ht="34.5" customHeight="1">
      <c r="A707" s="147">
        <v>971</v>
      </c>
      <c r="B707" s="124">
        <v>582</v>
      </c>
      <c r="C707" s="162" t="s">
        <v>2014</v>
      </c>
      <c r="D707" s="227" t="s">
        <v>583</v>
      </c>
      <c r="E707" s="440" t="s">
        <v>94</v>
      </c>
      <c r="F707" s="227" t="s">
        <v>1376</v>
      </c>
      <c r="G707" s="281" t="s">
        <v>2961</v>
      </c>
      <c r="H707" s="436">
        <v>43628018</v>
      </c>
      <c r="I707" s="273">
        <v>2574842</v>
      </c>
      <c r="J707" s="437">
        <v>10471024</v>
      </c>
      <c r="K707" s="131" t="s">
        <v>42</v>
      </c>
      <c r="L707" s="438" t="s">
        <v>2855</v>
      </c>
      <c r="M707" s="194" t="s">
        <v>589</v>
      </c>
      <c r="N707" s="177" t="e" cm="1">
        <f t="array" aca="1" ref="N707" ca="1">_xlfn.XLOOKUP(Contrato5[[#This Row],[SUPERVISOR TITULAR]],[2]!PERSONAL_ACTIVO_2024[[#All],[Nombre completo]],[2]!PERSONAL_ACTIVO_2024[[#All],[Documento identidad]],"",0)</f>
        <v>#NAME?</v>
      </c>
      <c r="O707" s="194" t="s">
        <v>586</v>
      </c>
      <c r="P707" s="196" t="e" cm="1">
        <f t="array" aca="1" ref="P707" ca="1">_xlfn.XLOOKUP(Contrato5[[#This Row],[SUPERVISOR SUPLENTE ]],[2]!PERSONAL_ACTIVO_2024[[#All],[Nombre completo]],[2]!PERSONAL_ACTIVO_2024[[#All],[Documento identidad]],"",0)</f>
        <v>#NAME?</v>
      </c>
      <c r="Q707" s="170">
        <v>744</v>
      </c>
      <c r="R707" s="137" t="e" cm="1">
        <f t="array" aca="1" ref="R707" ca="1">_xlfn.XLOOKUP(Contrato5[[#This Row],[CDP]],[2]!DISPONIBILIDADES_2024[[#All],[consecutivo]],[2]!DISPONIBILIDADES_2024[[#All],[fecha_aprobacion]],"",0)</f>
        <v>#NAME?</v>
      </c>
      <c r="S707" s="138" t="e">
        <f>SUMIF([2]!DISPONIBILIDADES_2024[[#All],[consecutivo]],Contrato5[[#This Row],[CDP]],[2]!DISPONIBILIDADES_2024[[#All],[valor_total_rubro]])</f>
        <v>#REF!</v>
      </c>
      <c r="T707" s="139" t="e" cm="1">
        <f t="array" aca="1" ref="T707" ca="1">_xlfn.XLOOKUP(Contrato5[[#This Row],[CONTRATO]]&amp;Contrato5[[#This Row],[CDP]],[2]!Corr_Contr_CDP[[#All],[CONTRATO-CDP]],[2]!Corr_Contr_CDP[[#All],[CRP]],_xlfn.XLOOKUP(Contrato5[[#This Row],[CDP]],[2]!COMPROMISOS_2024[[#All],[disponibilidad]],[2]!COMPROMISOS_2024[[#All],[consecutivo]],"",0),0)</f>
        <v>#NAME?</v>
      </c>
      <c r="U707" s="140" t="e" cm="1">
        <f t="array" aca="1" ref="U707" ca="1">+_xlfn.XLOOKUP(Contrato5[[#This Row],[RCP]],[2]!COMPROMISOS_2024[[#All],[consecutivo]],[2]!COMPROMISOS_2024[[#All],[fecha_aprobacion]],"",0)</f>
        <v>#NAME?</v>
      </c>
      <c r="V707" s="141" t="e">
        <f ca="1">SUMIF([2]!COMPROMISOS_2024[[#All],[consecutivo]],Contrato5[[#This Row],[RCP]],[2]!COMPROMISOS_2024[[#All],[valor_total]])</f>
        <v>#REF!</v>
      </c>
      <c r="W707" s="160">
        <v>45517</v>
      </c>
      <c r="X707" s="160" t="s">
        <v>1045</v>
      </c>
      <c r="Y707" s="143">
        <v>45520</v>
      </c>
      <c r="Z707" s="262">
        <v>45643</v>
      </c>
      <c r="AA707" s="183" t="s">
        <v>2877</v>
      </c>
      <c r="AB707" s="172" t="s">
        <v>2871</v>
      </c>
      <c r="AC707" s="172"/>
      <c r="AD707" s="425">
        <v>202000005148</v>
      </c>
      <c r="AE707" s="147" t="s">
        <v>523</v>
      </c>
      <c r="AF707" s="148" t="str">
        <f>TEXT(LEFT(Contrato5[[#This Row],[CONTRATO]],3),"0")</f>
        <v>582</v>
      </c>
      <c r="AG707" s="148" t="str">
        <f>IF(LEN(Contrato5[[#This Row],[Contrato2]])=3,Contrato5[[#This Row],[Contrato2]],TEXT(Contrato5[[#This Row],[Contrato2]],"000"))</f>
        <v>582</v>
      </c>
      <c r="AH707" s="149">
        <f ca="1">IFERROR(_xlfn.DAYS(Contrato5[[#This Row],[Fecha Proyectada liquidación]],TODAY())/30,"")</f>
        <v>0.16666666666666666</v>
      </c>
      <c r="AI707" s="150">
        <f>+Contrato5[[#This Row],[FECHA TERMINACIÓN ]]+120</f>
        <v>45763</v>
      </c>
      <c r="AJ707" s="147"/>
      <c r="AK707" s="152" t="str">
        <f ca="1">IF(Contrato5[[#This Row],[FECHA TERMINACIÓN ]]&lt;TODAY(), "Terminado",IF(ISNUMBER(Contrato5[[#This Row],[Fecha Real de liquiidación ]]),"Liquidado",IF(Contrato5[[#This Row],[FECHA TERMINACIÓN ]]&gt;=TODAY(),"En ejecución","")))</f>
        <v>Terminado</v>
      </c>
      <c r="AL707" s="153" t="e">
        <f ca="1">SUMIF([2]!COMPROMISOS_2024[[#All],[consecutivo]],Contrato5[[#This Row],[RCP]],[2]!COMPROMISOS_2024[[#All],[Total pagado]])</f>
        <v>#REF!</v>
      </c>
      <c r="AM707" s="154">
        <f ca="1">IFERROR(Contrato5[[#This Row],[Pagos]]/Contrato5[[#This Row],[VALOR CONTRATO]],0)</f>
        <v>0</v>
      </c>
      <c r="AN707" s="198" t="e">
        <f ca="1">+Contrato5[[#This Row],[VALOR CONTRATO]]-Contrato5[[#This Row],[Pagos]]</f>
        <v>#REF!</v>
      </c>
      <c r="AO707" s="147" t="e" cm="1">
        <f t="array" aca="1" ref="AO707" ca="1">_xlfn.XLOOKUP(Contrato5[[#This Row],[DOCUMENTO ]],[2]!PERSONAL_ACTIVO_2024[[#All],[Documento identidad]],[2]!PERSONAL_ACTIVO_2024[[#All],[Mail ]],0,0)</f>
        <v>#NAME?</v>
      </c>
      <c r="AP707" s="147" t="e" cm="1">
        <f t="array" aca="1" ref="AP707" ca="1">_xlfn.XLOOKUP(Contrato5[[#This Row],[DOCUMENTO]],[2]!PERSONAL_ACTIVO_2024[[#All],[Documento identidad]],[2]!PERSONAL_ACTIVO_2024[[#All],[Mail ]],0,0)</f>
        <v>#NAME?</v>
      </c>
      <c r="AQ707" s="439" cm="1">
        <f t="array" aca="1" ref="AQ707" ca="1">IF(ISBLANK(Contrato5[[#This Row],[DEPENDENCIA ]]),0,IFERROR(_xlfn.XLOOKUP(Contrato5[[#This Row],[DEPENDENCIA ]],[2]!PERSONAL_ACTIVO_2024[[#All],[Dependencia]],[2]!PERSONAL_ACTIVO_2024[[#All],[Mail ]],0,0),0))</f>
        <v>0</v>
      </c>
    </row>
    <row r="708" spans="1:43" ht="34.5" customHeight="1">
      <c r="A708" s="147">
        <v>972</v>
      </c>
      <c r="B708" s="124">
        <v>583</v>
      </c>
      <c r="C708" s="162" t="s">
        <v>2015</v>
      </c>
      <c r="D708" s="227" t="s">
        <v>583</v>
      </c>
      <c r="E708" s="440" t="s">
        <v>94</v>
      </c>
      <c r="F708" s="227" t="s">
        <v>1376</v>
      </c>
      <c r="G708" s="281" t="s">
        <v>2962</v>
      </c>
      <c r="H708" s="436">
        <v>1037629422</v>
      </c>
      <c r="I708" s="273">
        <v>3952382</v>
      </c>
      <c r="J708" s="437">
        <v>16073020</v>
      </c>
      <c r="K708" s="131" t="s">
        <v>42</v>
      </c>
      <c r="L708" s="438" t="s">
        <v>2855</v>
      </c>
      <c r="M708" s="194" t="s">
        <v>586</v>
      </c>
      <c r="N708" s="177" t="e" cm="1">
        <f t="array" aca="1" ref="N708" ca="1">_xlfn.XLOOKUP(Contrato5[[#This Row],[SUPERVISOR TITULAR]],[2]!PERSONAL_ACTIVO_2024[[#All],[Nombre completo]],[2]!PERSONAL_ACTIVO_2024[[#All],[Documento identidad]],"",0)</f>
        <v>#NAME?</v>
      </c>
      <c r="O708" s="194" t="s">
        <v>589</v>
      </c>
      <c r="P708" s="196" t="e" cm="1">
        <f t="array" aca="1" ref="P708" ca="1">_xlfn.XLOOKUP(Contrato5[[#This Row],[SUPERVISOR SUPLENTE ]],[2]!PERSONAL_ACTIVO_2024[[#All],[Nombre completo]],[2]!PERSONAL_ACTIVO_2024[[#All],[Documento identidad]],"",0)</f>
        <v>#NAME?</v>
      </c>
      <c r="Q708" s="170">
        <v>697</v>
      </c>
      <c r="R708" s="137" t="e" cm="1">
        <f t="array" aca="1" ref="R708" ca="1">_xlfn.XLOOKUP(Contrato5[[#This Row],[CDP]],[2]!DISPONIBILIDADES_2024[[#All],[consecutivo]],[2]!DISPONIBILIDADES_2024[[#All],[fecha_aprobacion]],"",0)</f>
        <v>#NAME?</v>
      </c>
      <c r="S708" s="138" t="e">
        <f>SUMIF([2]!DISPONIBILIDADES_2024[[#All],[consecutivo]],Contrato5[[#This Row],[CDP]],[2]!DISPONIBILIDADES_2024[[#All],[valor_total_rubro]])</f>
        <v>#REF!</v>
      </c>
      <c r="T708" s="139" t="e" cm="1">
        <f t="array" aca="1" ref="T708" ca="1">_xlfn.XLOOKUP(Contrato5[[#This Row],[CONTRATO]]&amp;Contrato5[[#This Row],[CDP]],[2]!Corr_Contr_CDP[[#All],[CONTRATO-CDP]],[2]!Corr_Contr_CDP[[#All],[CRP]],_xlfn.XLOOKUP(Contrato5[[#This Row],[CDP]],[2]!COMPROMISOS_2024[[#All],[disponibilidad]],[2]!COMPROMISOS_2024[[#All],[consecutivo]],"",0),0)</f>
        <v>#NAME?</v>
      </c>
      <c r="U708" s="140" t="e" cm="1">
        <f t="array" aca="1" ref="U708" ca="1">+_xlfn.XLOOKUP(Contrato5[[#This Row],[RCP]],[2]!COMPROMISOS_2024[[#All],[consecutivo]],[2]!COMPROMISOS_2024[[#All],[fecha_aprobacion]],"",0)</f>
        <v>#NAME?</v>
      </c>
      <c r="V708" s="141" t="e">
        <f ca="1">SUMIF([2]!COMPROMISOS_2024[[#All],[consecutivo]],Contrato5[[#This Row],[RCP]],[2]!COMPROMISOS_2024[[#All],[valor_total]])</f>
        <v>#REF!</v>
      </c>
      <c r="W708" s="160">
        <v>45517</v>
      </c>
      <c r="X708" s="160" t="s">
        <v>1045</v>
      </c>
      <c r="Y708" s="143">
        <v>45520</v>
      </c>
      <c r="Z708" s="262">
        <v>45643</v>
      </c>
      <c r="AA708" s="183" t="s">
        <v>2870</v>
      </c>
      <c r="AB708" s="172" t="s">
        <v>2871</v>
      </c>
      <c r="AC708" s="172"/>
      <c r="AD708" s="425">
        <v>202000005149</v>
      </c>
      <c r="AE708" s="147" t="s">
        <v>523</v>
      </c>
      <c r="AF708" s="148" t="str">
        <f>TEXT(LEFT(Contrato5[[#This Row],[CONTRATO]],3),"0")</f>
        <v>583</v>
      </c>
      <c r="AG708" s="148" t="str">
        <f>IF(LEN(Contrato5[[#This Row],[Contrato2]])=3,Contrato5[[#This Row],[Contrato2]],TEXT(Contrato5[[#This Row],[Contrato2]],"000"))</f>
        <v>583</v>
      </c>
      <c r="AH708" s="149">
        <f ca="1">IFERROR(_xlfn.DAYS(Contrato5[[#This Row],[Fecha Proyectada liquidación]],TODAY())/30,"")</f>
        <v>0.16666666666666666</v>
      </c>
      <c r="AI708" s="150">
        <f>+Contrato5[[#This Row],[FECHA TERMINACIÓN ]]+120</f>
        <v>45763</v>
      </c>
      <c r="AJ708" s="147"/>
      <c r="AK708" s="152" t="str">
        <f ca="1">IF(Contrato5[[#This Row],[FECHA TERMINACIÓN ]]&lt;TODAY(), "Terminado",IF(ISNUMBER(Contrato5[[#This Row],[Fecha Real de liquiidación ]]),"Liquidado",IF(Contrato5[[#This Row],[FECHA TERMINACIÓN ]]&gt;=TODAY(),"En ejecución","")))</f>
        <v>Terminado</v>
      </c>
      <c r="AL708" s="153" t="e">
        <f ca="1">SUMIF([2]!COMPROMISOS_2024[[#All],[consecutivo]],Contrato5[[#This Row],[RCP]],[2]!COMPROMISOS_2024[[#All],[Total pagado]])</f>
        <v>#REF!</v>
      </c>
      <c r="AM708" s="154">
        <f ca="1">IFERROR(Contrato5[[#This Row],[Pagos]]/Contrato5[[#This Row],[VALOR CONTRATO]],0)</f>
        <v>0</v>
      </c>
      <c r="AN708" s="198" t="e">
        <f ca="1">+Contrato5[[#This Row],[VALOR CONTRATO]]-Contrato5[[#This Row],[Pagos]]</f>
        <v>#REF!</v>
      </c>
      <c r="AO708" s="147" t="e" cm="1">
        <f t="array" aca="1" ref="AO708" ca="1">_xlfn.XLOOKUP(Contrato5[[#This Row],[DOCUMENTO ]],[2]!PERSONAL_ACTIVO_2024[[#All],[Documento identidad]],[2]!PERSONAL_ACTIVO_2024[[#All],[Mail ]],0,0)</f>
        <v>#NAME?</v>
      </c>
      <c r="AP708" s="147" t="e" cm="1">
        <f t="array" aca="1" ref="AP708" ca="1">_xlfn.XLOOKUP(Contrato5[[#This Row],[DOCUMENTO]],[2]!PERSONAL_ACTIVO_2024[[#All],[Documento identidad]],[2]!PERSONAL_ACTIVO_2024[[#All],[Mail ]],0,0)</f>
        <v>#NAME?</v>
      </c>
      <c r="AQ708" s="439" cm="1">
        <f t="array" aca="1" ref="AQ708" ca="1">IF(ISBLANK(Contrato5[[#This Row],[DEPENDENCIA ]]),0,IFERROR(_xlfn.XLOOKUP(Contrato5[[#This Row],[DEPENDENCIA ]],[2]!PERSONAL_ACTIVO_2024[[#All],[Dependencia]],[2]!PERSONAL_ACTIVO_2024[[#All],[Mail ]],0,0),0))</f>
        <v>0</v>
      </c>
    </row>
    <row r="709" spans="1:43" ht="34.5" customHeight="1">
      <c r="A709" s="147">
        <v>973</v>
      </c>
      <c r="B709" s="124">
        <v>584</v>
      </c>
      <c r="C709" s="162" t="s">
        <v>2016</v>
      </c>
      <c r="D709" s="227" t="s">
        <v>583</v>
      </c>
      <c r="E709" s="440" t="s">
        <v>94</v>
      </c>
      <c r="F709" s="227" t="s">
        <v>1376</v>
      </c>
      <c r="G709" s="281" t="s">
        <v>2963</v>
      </c>
      <c r="H709" s="436">
        <v>1042767191</v>
      </c>
      <c r="I709" s="273">
        <v>2574842</v>
      </c>
      <c r="J709" s="437">
        <v>10471024</v>
      </c>
      <c r="K709" s="131" t="s">
        <v>42</v>
      </c>
      <c r="L709" s="438" t="s">
        <v>2855</v>
      </c>
      <c r="M709" s="194" t="s">
        <v>586</v>
      </c>
      <c r="N709" s="177" t="e" cm="1">
        <f t="array" aca="1" ref="N709" ca="1">_xlfn.XLOOKUP(Contrato5[[#This Row],[SUPERVISOR TITULAR]],[2]!PERSONAL_ACTIVO_2024[[#All],[Nombre completo]],[2]!PERSONAL_ACTIVO_2024[[#All],[Documento identidad]],"",0)</f>
        <v>#NAME?</v>
      </c>
      <c r="O709" s="194" t="s">
        <v>589</v>
      </c>
      <c r="P709" s="196" t="e" cm="1">
        <f t="array" aca="1" ref="P709" ca="1">_xlfn.XLOOKUP(Contrato5[[#This Row],[SUPERVISOR SUPLENTE ]],[2]!PERSONAL_ACTIVO_2024[[#All],[Nombre completo]],[2]!PERSONAL_ACTIVO_2024[[#All],[Documento identidad]],"",0)</f>
        <v>#NAME?</v>
      </c>
      <c r="Q709" s="170">
        <v>743</v>
      </c>
      <c r="R709" s="137" t="e" cm="1">
        <f t="array" aca="1" ref="R709" ca="1">_xlfn.XLOOKUP(Contrato5[[#This Row],[CDP]],[2]!DISPONIBILIDADES_2024[[#All],[consecutivo]],[2]!DISPONIBILIDADES_2024[[#All],[fecha_aprobacion]],"",0)</f>
        <v>#NAME?</v>
      </c>
      <c r="S709" s="138" t="e">
        <f>SUMIF([2]!DISPONIBILIDADES_2024[[#All],[consecutivo]],Contrato5[[#This Row],[CDP]],[2]!DISPONIBILIDADES_2024[[#All],[valor_total_rubro]])</f>
        <v>#REF!</v>
      </c>
      <c r="T709" s="139" t="e" cm="1">
        <f t="array" aca="1" ref="T709" ca="1">_xlfn.XLOOKUP(Contrato5[[#This Row],[CONTRATO]]&amp;Contrato5[[#This Row],[CDP]],[2]!Corr_Contr_CDP[[#All],[CONTRATO-CDP]],[2]!Corr_Contr_CDP[[#All],[CRP]],_xlfn.XLOOKUP(Contrato5[[#This Row],[CDP]],[2]!COMPROMISOS_2024[[#All],[disponibilidad]],[2]!COMPROMISOS_2024[[#All],[consecutivo]],"",0),0)</f>
        <v>#NAME?</v>
      </c>
      <c r="U709" s="140" t="e" cm="1">
        <f t="array" aca="1" ref="U709" ca="1">+_xlfn.XLOOKUP(Contrato5[[#This Row],[RCP]],[2]!COMPROMISOS_2024[[#All],[consecutivo]],[2]!COMPROMISOS_2024[[#All],[fecha_aprobacion]],"",0)</f>
        <v>#NAME?</v>
      </c>
      <c r="V709" s="141" t="e">
        <f ca="1">SUMIF([2]!COMPROMISOS_2024[[#All],[consecutivo]],Contrato5[[#This Row],[RCP]],[2]!COMPROMISOS_2024[[#All],[valor_total]])</f>
        <v>#REF!</v>
      </c>
      <c r="W709" s="160">
        <v>45517</v>
      </c>
      <c r="X709" s="160" t="s">
        <v>1045</v>
      </c>
      <c r="Y709" s="143">
        <v>45520</v>
      </c>
      <c r="Z709" s="262">
        <v>45643</v>
      </c>
      <c r="AA709" s="183" t="s">
        <v>2870</v>
      </c>
      <c r="AB709" s="172" t="s">
        <v>2871</v>
      </c>
      <c r="AC709" s="172"/>
      <c r="AD709" s="425">
        <v>202000005150</v>
      </c>
      <c r="AE709" s="147" t="s">
        <v>523</v>
      </c>
      <c r="AF709" s="148" t="str">
        <f>TEXT(LEFT(Contrato5[[#This Row],[CONTRATO]],3),"0")</f>
        <v>584</v>
      </c>
      <c r="AG709" s="148" t="str">
        <f>IF(LEN(Contrato5[[#This Row],[Contrato2]])=3,Contrato5[[#This Row],[Contrato2]],TEXT(Contrato5[[#This Row],[Contrato2]],"000"))</f>
        <v>584</v>
      </c>
      <c r="AH709" s="149">
        <f ca="1">IFERROR(_xlfn.DAYS(Contrato5[[#This Row],[Fecha Proyectada liquidación]],TODAY())/30,"")</f>
        <v>0.16666666666666666</v>
      </c>
      <c r="AI709" s="150">
        <f>+Contrato5[[#This Row],[FECHA TERMINACIÓN ]]+120</f>
        <v>45763</v>
      </c>
      <c r="AJ709" s="147"/>
      <c r="AK709" s="152" t="str">
        <f ca="1">IF(Contrato5[[#This Row],[FECHA TERMINACIÓN ]]&lt;TODAY(), "Terminado",IF(ISNUMBER(Contrato5[[#This Row],[Fecha Real de liquiidación ]]),"Liquidado",IF(Contrato5[[#This Row],[FECHA TERMINACIÓN ]]&gt;=TODAY(),"En ejecución","")))</f>
        <v>Terminado</v>
      </c>
      <c r="AL709" s="153" t="e">
        <f ca="1">SUMIF([2]!COMPROMISOS_2024[[#All],[consecutivo]],Contrato5[[#This Row],[RCP]],[2]!COMPROMISOS_2024[[#All],[Total pagado]])</f>
        <v>#REF!</v>
      </c>
      <c r="AM709" s="154">
        <f ca="1">IFERROR(Contrato5[[#This Row],[Pagos]]/Contrato5[[#This Row],[VALOR CONTRATO]],0)</f>
        <v>0</v>
      </c>
      <c r="AN709" s="198" t="e">
        <f ca="1">+Contrato5[[#This Row],[VALOR CONTRATO]]-Contrato5[[#This Row],[Pagos]]</f>
        <v>#REF!</v>
      </c>
      <c r="AO709" s="147" t="e" cm="1">
        <f t="array" aca="1" ref="AO709" ca="1">_xlfn.XLOOKUP(Contrato5[[#This Row],[DOCUMENTO ]],[2]!PERSONAL_ACTIVO_2024[[#All],[Documento identidad]],[2]!PERSONAL_ACTIVO_2024[[#All],[Mail ]],0,0)</f>
        <v>#NAME?</v>
      </c>
      <c r="AP709" s="147" t="e" cm="1">
        <f t="array" aca="1" ref="AP709" ca="1">_xlfn.XLOOKUP(Contrato5[[#This Row],[DOCUMENTO]],[2]!PERSONAL_ACTIVO_2024[[#All],[Documento identidad]],[2]!PERSONAL_ACTIVO_2024[[#All],[Mail ]],0,0)</f>
        <v>#NAME?</v>
      </c>
      <c r="AQ709" s="439" cm="1">
        <f t="array" aca="1" ref="AQ709" ca="1">IF(ISBLANK(Contrato5[[#This Row],[DEPENDENCIA ]]),0,IFERROR(_xlfn.XLOOKUP(Contrato5[[#This Row],[DEPENDENCIA ]],[2]!PERSONAL_ACTIVO_2024[[#All],[Dependencia]],[2]!PERSONAL_ACTIVO_2024[[#All],[Mail ]],0,0),0))</f>
        <v>0</v>
      </c>
    </row>
    <row r="710" spans="1:43" ht="34.5" customHeight="1">
      <c r="A710" s="147">
        <v>974</v>
      </c>
      <c r="B710" s="124">
        <v>585</v>
      </c>
      <c r="C710" s="162" t="s">
        <v>2017</v>
      </c>
      <c r="D710" s="227" t="s">
        <v>583</v>
      </c>
      <c r="E710" s="440" t="s">
        <v>94</v>
      </c>
      <c r="F710" s="227" t="s">
        <v>1376</v>
      </c>
      <c r="G710" s="281" t="s">
        <v>2964</v>
      </c>
      <c r="H710" s="436">
        <v>1036423355</v>
      </c>
      <c r="I710" s="273">
        <v>3952382</v>
      </c>
      <c r="J710" s="437">
        <v>16073020</v>
      </c>
      <c r="K710" s="131" t="s">
        <v>42</v>
      </c>
      <c r="L710" s="438" t="s">
        <v>2855</v>
      </c>
      <c r="M710" s="194" t="s">
        <v>586</v>
      </c>
      <c r="N710" s="177" t="e" cm="1">
        <f t="array" aca="1" ref="N710" ca="1">_xlfn.XLOOKUP(Contrato5[[#This Row],[SUPERVISOR TITULAR]],[2]!PERSONAL_ACTIVO_2024[[#All],[Nombre completo]],[2]!PERSONAL_ACTIVO_2024[[#All],[Documento identidad]],"",0)</f>
        <v>#NAME?</v>
      </c>
      <c r="O710" s="194" t="s">
        <v>589</v>
      </c>
      <c r="P710" s="196" t="e" cm="1">
        <f t="array" aca="1" ref="P710" ca="1">_xlfn.XLOOKUP(Contrato5[[#This Row],[SUPERVISOR SUPLENTE ]],[2]!PERSONAL_ACTIVO_2024[[#All],[Nombre completo]],[2]!PERSONAL_ACTIVO_2024[[#All],[Documento identidad]],"",0)</f>
        <v>#NAME?</v>
      </c>
      <c r="Q710" s="170">
        <v>742</v>
      </c>
      <c r="R710" s="137" t="e" cm="1">
        <f t="array" aca="1" ref="R710" ca="1">_xlfn.XLOOKUP(Contrato5[[#This Row],[CDP]],[2]!DISPONIBILIDADES_2024[[#All],[consecutivo]],[2]!DISPONIBILIDADES_2024[[#All],[fecha_aprobacion]],"",0)</f>
        <v>#NAME?</v>
      </c>
      <c r="S710" s="138" t="e">
        <f>SUMIF([2]!DISPONIBILIDADES_2024[[#All],[consecutivo]],Contrato5[[#This Row],[CDP]],[2]!DISPONIBILIDADES_2024[[#All],[valor_total_rubro]])</f>
        <v>#REF!</v>
      </c>
      <c r="T710" s="139" t="e" cm="1">
        <f t="array" aca="1" ref="T710" ca="1">_xlfn.XLOOKUP(Contrato5[[#This Row],[CONTRATO]]&amp;Contrato5[[#This Row],[CDP]],[2]!Corr_Contr_CDP[[#All],[CONTRATO-CDP]],[2]!Corr_Contr_CDP[[#All],[CRP]],_xlfn.XLOOKUP(Contrato5[[#This Row],[CDP]],[2]!COMPROMISOS_2024[[#All],[disponibilidad]],[2]!COMPROMISOS_2024[[#All],[consecutivo]],"",0),0)</f>
        <v>#NAME?</v>
      </c>
      <c r="U710" s="140" t="e" cm="1">
        <f t="array" aca="1" ref="U710" ca="1">+_xlfn.XLOOKUP(Contrato5[[#This Row],[RCP]],[2]!COMPROMISOS_2024[[#All],[consecutivo]],[2]!COMPROMISOS_2024[[#All],[fecha_aprobacion]],"",0)</f>
        <v>#NAME?</v>
      </c>
      <c r="V710" s="141" t="e">
        <f ca="1">SUMIF([2]!COMPROMISOS_2024[[#All],[consecutivo]],Contrato5[[#This Row],[RCP]],[2]!COMPROMISOS_2024[[#All],[valor_total]])</f>
        <v>#REF!</v>
      </c>
      <c r="W710" s="160">
        <v>45517</v>
      </c>
      <c r="X710" s="160" t="s">
        <v>1045</v>
      </c>
      <c r="Y710" s="143">
        <v>45520</v>
      </c>
      <c r="Z710" s="262">
        <v>45643</v>
      </c>
      <c r="AA710" s="183" t="s">
        <v>2870</v>
      </c>
      <c r="AB710" s="172" t="s">
        <v>2871</v>
      </c>
      <c r="AC710" s="172"/>
      <c r="AD710" s="425">
        <v>202000005151</v>
      </c>
      <c r="AE710" s="147" t="s">
        <v>523</v>
      </c>
      <c r="AF710" s="148" t="str">
        <f>TEXT(LEFT(Contrato5[[#This Row],[CONTRATO]],3),"0")</f>
        <v>585</v>
      </c>
      <c r="AG710" s="148" t="str">
        <f>IF(LEN(Contrato5[[#This Row],[Contrato2]])=3,Contrato5[[#This Row],[Contrato2]],TEXT(Contrato5[[#This Row],[Contrato2]],"000"))</f>
        <v>585</v>
      </c>
      <c r="AH710" s="149">
        <f ca="1">IFERROR(_xlfn.DAYS(Contrato5[[#This Row],[Fecha Proyectada liquidación]],TODAY())/30,"")</f>
        <v>0.16666666666666666</v>
      </c>
      <c r="AI710" s="150">
        <f>+Contrato5[[#This Row],[FECHA TERMINACIÓN ]]+120</f>
        <v>45763</v>
      </c>
      <c r="AJ710" s="147"/>
      <c r="AK710" s="152" t="str">
        <f ca="1">IF(Contrato5[[#This Row],[FECHA TERMINACIÓN ]]&lt;TODAY(), "Terminado",IF(ISNUMBER(Contrato5[[#This Row],[Fecha Real de liquiidación ]]),"Liquidado",IF(Contrato5[[#This Row],[FECHA TERMINACIÓN ]]&gt;=TODAY(),"En ejecución","")))</f>
        <v>Terminado</v>
      </c>
      <c r="AL710" s="153" t="e">
        <f ca="1">SUMIF([2]!COMPROMISOS_2024[[#All],[consecutivo]],Contrato5[[#This Row],[RCP]],[2]!COMPROMISOS_2024[[#All],[Total pagado]])</f>
        <v>#REF!</v>
      </c>
      <c r="AM710" s="154">
        <f ca="1">IFERROR(Contrato5[[#This Row],[Pagos]]/Contrato5[[#This Row],[VALOR CONTRATO]],0)</f>
        <v>0</v>
      </c>
      <c r="AN710" s="198" t="e">
        <f ca="1">+Contrato5[[#This Row],[VALOR CONTRATO]]-Contrato5[[#This Row],[Pagos]]</f>
        <v>#REF!</v>
      </c>
      <c r="AO710" s="147" t="e" cm="1">
        <f t="array" aca="1" ref="AO710" ca="1">_xlfn.XLOOKUP(Contrato5[[#This Row],[DOCUMENTO ]],[2]!PERSONAL_ACTIVO_2024[[#All],[Documento identidad]],[2]!PERSONAL_ACTIVO_2024[[#All],[Mail ]],0,0)</f>
        <v>#NAME?</v>
      </c>
      <c r="AP710" s="147" t="e" cm="1">
        <f t="array" aca="1" ref="AP710" ca="1">_xlfn.XLOOKUP(Contrato5[[#This Row],[DOCUMENTO]],[2]!PERSONAL_ACTIVO_2024[[#All],[Documento identidad]],[2]!PERSONAL_ACTIVO_2024[[#All],[Mail ]],0,0)</f>
        <v>#NAME?</v>
      </c>
      <c r="AQ710" s="439" cm="1">
        <f t="array" aca="1" ref="AQ710" ca="1">IF(ISBLANK(Contrato5[[#This Row],[DEPENDENCIA ]]),0,IFERROR(_xlfn.XLOOKUP(Contrato5[[#This Row],[DEPENDENCIA ]],[2]!PERSONAL_ACTIVO_2024[[#All],[Dependencia]],[2]!PERSONAL_ACTIVO_2024[[#All],[Mail ]],0,0),0))</f>
        <v>0</v>
      </c>
    </row>
    <row r="711" spans="1:43" ht="34.5" customHeight="1">
      <c r="A711" s="147">
        <v>975</v>
      </c>
      <c r="B711" s="124">
        <v>586</v>
      </c>
      <c r="C711" s="162" t="s">
        <v>2018</v>
      </c>
      <c r="D711" s="227" t="s">
        <v>583</v>
      </c>
      <c r="E711" s="440" t="s">
        <v>94</v>
      </c>
      <c r="F711" s="227" t="s">
        <v>1376</v>
      </c>
      <c r="G711" s="281" t="s">
        <v>2965</v>
      </c>
      <c r="H711" s="436">
        <v>71732235</v>
      </c>
      <c r="I711" s="273">
        <v>2574842</v>
      </c>
      <c r="J711" s="437">
        <v>10471024</v>
      </c>
      <c r="K711" s="131" t="s">
        <v>42</v>
      </c>
      <c r="L711" s="438" t="s">
        <v>2855</v>
      </c>
      <c r="M711" s="194" t="s">
        <v>586</v>
      </c>
      <c r="N711" s="177" t="e" cm="1">
        <f t="array" aca="1" ref="N711" ca="1">_xlfn.XLOOKUP(Contrato5[[#This Row],[SUPERVISOR TITULAR]],[2]!PERSONAL_ACTIVO_2024[[#All],[Nombre completo]],[2]!PERSONAL_ACTIVO_2024[[#All],[Documento identidad]],"",0)</f>
        <v>#NAME?</v>
      </c>
      <c r="O711" s="194" t="s">
        <v>589</v>
      </c>
      <c r="P711" s="196" t="e" cm="1">
        <f t="array" aca="1" ref="P711" ca="1">_xlfn.XLOOKUP(Contrato5[[#This Row],[SUPERVISOR SUPLENTE ]],[2]!PERSONAL_ACTIVO_2024[[#All],[Nombre completo]],[2]!PERSONAL_ACTIVO_2024[[#All],[Documento identidad]],"",0)</f>
        <v>#NAME?</v>
      </c>
      <c r="Q711" s="170">
        <v>741</v>
      </c>
      <c r="R711" s="137" t="e" cm="1">
        <f t="array" aca="1" ref="R711" ca="1">_xlfn.XLOOKUP(Contrato5[[#This Row],[CDP]],[2]!DISPONIBILIDADES_2024[[#All],[consecutivo]],[2]!DISPONIBILIDADES_2024[[#All],[fecha_aprobacion]],"",0)</f>
        <v>#NAME?</v>
      </c>
      <c r="S711" s="138" t="e">
        <f>SUMIF([2]!DISPONIBILIDADES_2024[[#All],[consecutivo]],Contrato5[[#This Row],[CDP]],[2]!DISPONIBILIDADES_2024[[#All],[valor_total_rubro]])</f>
        <v>#REF!</v>
      </c>
      <c r="T711" s="139" t="e" cm="1">
        <f t="array" aca="1" ref="T711" ca="1">_xlfn.XLOOKUP(Contrato5[[#This Row],[CONTRATO]]&amp;Contrato5[[#This Row],[CDP]],[2]!Corr_Contr_CDP[[#All],[CONTRATO-CDP]],[2]!Corr_Contr_CDP[[#All],[CRP]],_xlfn.XLOOKUP(Contrato5[[#This Row],[CDP]],[2]!COMPROMISOS_2024[[#All],[disponibilidad]],[2]!COMPROMISOS_2024[[#All],[consecutivo]],"",0),0)</f>
        <v>#NAME?</v>
      </c>
      <c r="U711" s="140" t="e" cm="1">
        <f t="array" aca="1" ref="U711" ca="1">+_xlfn.XLOOKUP(Contrato5[[#This Row],[RCP]],[2]!COMPROMISOS_2024[[#All],[consecutivo]],[2]!COMPROMISOS_2024[[#All],[fecha_aprobacion]],"",0)</f>
        <v>#NAME?</v>
      </c>
      <c r="V711" s="141" t="e">
        <f ca="1">SUMIF([2]!COMPROMISOS_2024[[#All],[consecutivo]],Contrato5[[#This Row],[RCP]],[2]!COMPROMISOS_2024[[#All],[valor_total]])</f>
        <v>#REF!</v>
      </c>
      <c r="W711" s="160">
        <v>45517</v>
      </c>
      <c r="X711" s="160" t="s">
        <v>1045</v>
      </c>
      <c r="Y711" s="143">
        <v>45520</v>
      </c>
      <c r="Z711" s="262">
        <v>45643</v>
      </c>
      <c r="AA711" s="183" t="s">
        <v>2877</v>
      </c>
      <c r="AB711" s="172" t="s">
        <v>2871</v>
      </c>
      <c r="AC711" s="172"/>
      <c r="AD711" s="425">
        <v>202000005152</v>
      </c>
      <c r="AE711" s="147" t="s">
        <v>523</v>
      </c>
      <c r="AF711" s="148" t="str">
        <f>TEXT(LEFT(Contrato5[[#This Row],[CONTRATO]],3),"0")</f>
        <v>586</v>
      </c>
      <c r="AG711" s="148" t="str">
        <f>IF(LEN(Contrato5[[#This Row],[Contrato2]])=3,Contrato5[[#This Row],[Contrato2]],TEXT(Contrato5[[#This Row],[Contrato2]],"000"))</f>
        <v>586</v>
      </c>
      <c r="AH711" s="149">
        <f ca="1">IFERROR(_xlfn.DAYS(Contrato5[[#This Row],[Fecha Proyectada liquidación]],TODAY())/30,"")</f>
        <v>0.16666666666666666</v>
      </c>
      <c r="AI711" s="150">
        <f>+Contrato5[[#This Row],[FECHA TERMINACIÓN ]]+120</f>
        <v>45763</v>
      </c>
      <c r="AJ711" s="147"/>
      <c r="AK711" s="152" t="str">
        <f ca="1">IF(Contrato5[[#This Row],[FECHA TERMINACIÓN ]]&lt;TODAY(), "Terminado",IF(ISNUMBER(Contrato5[[#This Row],[Fecha Real de liquiidación ]]),"Liquidado",IF(Contrato5[[#This Row],[FECHA TERMINACIÓN ]]&gt;=TODAY(),"En ejecución","")))</f>
        <v>Terminado</v>
      </c>
      <c r="AL711" s="153" t="e">
        <f ca="1">SUMIF([2]!COMPROMISOS_2024[[#All],[consecutivo]],Contrato5[[#This Row],[RCP]],[2]!COMPROMISOS_2024[[#All],[Total pagado]])</f>
        <v>#REF!</v>
      </c>
      <c r="AM711" s="154">
        <f ca="1">IFERROR(Contrato5[[#This Row],[Pagos]]/Contrato5[[#This Row],[VALOR CONTRATO]],0)</f>
        <v>0</v>
      </c>
      <c r="AN711" s="198" t="e">
        <f ca="1">+Contrato5[[#This Row],[VALOR CONTRATO]]-Contrato5[[#This Row],[Pagos]]</f>
        <v>#REF!</v>
      </c>
      <c r="AO711" s="147" t="e" cm="1">
        <f t="array" aca="1" ref="AO711" ca="1">_xlfn.XLOOKUP(Contrato5[[#This Row],[DOCUMENTO ]],[2]!PERSONAL_ACTIVO_2024[[#All],[Documento identidad]],[2]!PERSONAL_ACTIVO_2024[[#All],[Mail ]],0,0)</f>
        <v>#NAME?</v>
      </c>
      <c r="AP711" s="147" t="e" cm="1">
        <f t="array" aca="1" ref="AP711" ca="1">_xlfn.XLOOKUP(Contrato5[[#This Row],[DOCUMENTO]],[2]!PERSONAL_ACTIVO_2024[[#All],[Documento identidad]],[2]!PERSONAL_ACTIVO_2024[[#All],[Mail ]],0,0)</f>
        <v>#NAME?</v>
      </c>
      <c r="AQ711" s="439" cm="1">
        <f t="array" aca="1" ref="AQ711" ca="1">IF(ISBLANK(Contrato5[[#This Row],[DEPENDENCIA ]]),0,IFERROR(_xlfn.XLOOKUP(Contrato5[[#This Row],[DEPENDENCIA ]],[2]!PERSONAL_ACTIVO_2024[[#All],[Dependencia]],[2]!PERSONAL_ACTIVO_2024[[#All],[Mail ]],0,0),0))</f>
        <v>0</v>
      </c>
    </row>
    <row r="712" spans="1:43" ht="34.5" customHeight="1">
      <c r="A712" s="147">
        <v>810</v>
      </c>
      <c r="B712" s="124">
        <v>587</v>
      </c>
      <c r="C712" s="162" t="s">
        <v>1954</v>
      </c>
      <c r="D712" s="227" t="s">
        <v>583</v>
      </c>
      <c r="E712" s="440" t="s">
        <v>94</v>
      </c>
      <c r="F712" s="227" t="s">
        <v>1376</v>
      </c>
      <c r="G712" s="281" t="s">
        <v>2966</v>
      </c>
      <c r="H712" s="436">
        <v>700467036</v>
      </c>
      <c r="I712" s="273">
        <v>5931149</v>
      </c>
      <c r="J712" s="437">
        <v>24120006</v>
      </c>
      <c r="K712" s="131" t="s">
        <v>42</v>
      </c>
      <c r="L712" s="438" t="s">
        <v>2855</v>
      </c>
      <c r="M712" s="194" t="s">
        <v>589</v>
      </c>
      <c r="N712" s="177" t="e" cm="1">
        <f t="array" aca="1" ref="N712" ca="1">_xlfn.XLOOKUP(Contrato5[[#This Row],[SUPERVISOR TITULAR]],[2]!PERSONAL_ACTIVO_2024[[#All],[Nombre completo]],[2]!PERSONAL_ACTIVO_2024[[#All],[Documento identidad]],"",0)</f>
        <v>#NAME?</v>
      </c>
      <c r="O712" s="194" t="s">
        <v>586</v>
      </c>
      <c r="P712" s="196" t="e" cm="1">
        <f t="array" aca="1" ref="P712" ca="1">_xlfn.XLOOKUP(Contrato5[[#This Row],[SUPERVISOR SUPLENTE ]],[2]!PERSONAL_ACTIVO_2024[[#All],[Nombre completo]],[2]!PERSONAL_ACTIVO_2024[[#All],[Documento identidad]],"",0)</f>
        <v>#NAME?</v>
      </c>
      <c r="Q712" s="170">
        <v>604</v>
      </c>
      <c r="R712" s="137" t="e" cm="1">
        <f t="array" aca="1" ref="R712" ca="1">_xlfn.XLOOKUP(Contrato5[[#This Row],[CDP]],[2]!DISPONIBILIDADES_2024[[#All],[consecutivo]],[2]!DISPONIBILIDADES_2024[[#All],[fecha_aprobacion]],"",0)</f>
        <v>#NAME?</v>
      </c>
      <c r="S712" s="138" t="e">
        <f>SUMIF([2]!DISPONIBILIDADES_2024[[#All],[consecutivo]],Contrato5[[#This Row],[CDP]],[2]!DISPONIBILIDADES_2024[[#All],[valor_total_rubro]])</f>
        <v>#REF!</v>
      </c>
      <c r="T712" s="139" t="e" cm="1">
        <f t="array" aca="1" ref="T712" ca="1">_xlfn.XLOOKUP(Contrato5[[#This Row],[CONTRATO]]&amp;Contrato5[[#This Row],[CDP]],[2]!Corr_Contr_CDP[[#All],[CONTRATO-CDP]],[2]!Corr_Contr_CDP[[#All],[CRP]],_xlfn.XLOOKUP(Contrato5[[#This Row],[CDP]],[2]!COMPROMISOS_2024[[#All],[disponibilidad]],[2]!COMPROMISOS_2024[[#All],[consecutivo]],"",0),0)</f>
        <v>#NAME?</v>
      </c>
      <c r="U712" s="140" t="e" cm="1">
        <f t="array" aca="1" ref="U712" ca="1">+_xlfn.XLOOKUP(Contrato5[[#This Row],[RCP]],[2]!COMPROMISOS_2024[[#All],[consecutivo]],[2]!COMPROMISOS_2024[[#All],[fecha_aprobacion]],"",0)</f>
        <v>#NAME?</v>
      </c>
      <c r="V712" s="141" t="e">
        <f ca="1">SUMIF([2]!COMPROMISOS_2024[[#All],[consecutivo]],Contrato5[[#This Row],[RCP]],[2]!COMPROMISOS_2024[[#All],[valor_total]])</f>
        <v>#REF!</v>
      </c>
      <c r="W712" s="160">
        <v>45517</v>
      </c>
      <c r="X712" s="160" t="s">
        <v>1045</v>
      </c>
      <c r="Y712" s="143">
        <v>45520</v>
      </c>
      <c r="Z712" s="262">
        <v>45643</v>
      </c>
      <c r="AA712" s="183" t="s">
        <v>2877</v>
      </c>
      <c r="AB712" s="172" t="s">
        <v>2871</v>
      </c>
      <c r="AC712" s="172"/>
      <c r="AD712" s="425">
        <v>202000005153</v>
      </c>
      <c r="AE712" s="147" t="s">
        <v>523</v>
      </c>
      <c r="AF712" s="148" t="str">
        <f>TEXT(LEFT(Contrato5[[#This Row],[CONTRATO]],3),"0")</f>
        <v>587</v>
      </c>
      <c r="AG712" s="148" t="str">
        <f>IF(LEN(Contrato5[[#This Row],[Contrato2]])=3,Contrato5[[#This Row],[Contrato2]],TEXT(Contrato5[[#This Row],[Contrato2]],"000"))</f>
        <v>587</v>
      </c>
      <c r="AH712" s="149">
        <f ca="1">IFERROR(_xlfn.DAYS(Contrato5[[#This Row],[Fecha Proyectada liquidación]],TODAY())/30,"")</f>
        <v>0.16666666666666666</v>
      </c>
      <c r="AI712" s="150">
        <f>+Contrato5[[#This Row],[FECHA TERMINACIÓN ]]+120</f>
        <v>45763</v>
      </c>
      <c r="AJ712" s="147"/>
      <c r="AK712" s="152" t="str">
        <f ca="1">IF(Contrato5[[#This Row],[FECHA TERMINACIÓN ]]&lt;TODAY(), "Terminado",IF(ISNUMBER(Contrato5[[#This Row],[Fecha Real de liquiidación ]]),"Liquidado",IF(Contrato5[[#This Row],[FECHA TERMINACIÓN ]]&gt;=TODAY(),"En ejecución","")))</f>
        <v>Terminado</v>
      </c>
      <c r="AL712" s="153" t="e">
        <f ca="1">SUMIF([2]!COMPROMISOS_2024[[#All],[consecutivo]],Contrato5[[#This Row],[RCP]],[2]!COMPROMISOS_2024[[#All],[Total pagado]])</f>
        <v>#REF!</v>
      </c>
      <c r="AM712" s="154">
        <f ca="1">IFERROR(Contrato5[[#This Row],[Pagos]]/Contrato5[[#This Row],[VALOR CONTRATO]],0)</f>
        <v>0</v>
      </c>
      <c r="AN712" s="198" t="e">
        <f ca="1">+Contrato5[[#This Row],[VALOR CONTRATO]]-Contrato5[[#This Row],[Pagos]]</f>
        <v>#REF!</v>
      </c>
      <c r="AO712" s="147" t="e" cm="1">
        <f t="array" aca="1" ref="AO712" ca="1">_xlfn.XLOOKUP(Contrato5[[#This Row],[DOCUMENTO ]],[2]!PERSONAL_ACTIVO_2024[[#All],[Documento identidad]],[2]!PERSONAL_ACTIVO_2024[[#All],[Mail ]],0,0)</f>
        <v>#NAME?</v>
      </c>
      <c r="AP712" s="147" t="e" cm="1">
        <f t="array" aca="1" ref="AP712" ca="1">_xlfn.XLOOKUP(Contrato5[[#This Row],[DOCUMENTO]],[2]!PERSONAL_ACTIVO_2024[[#All],[Documento identidad]],[2]!PERSONAL_ACTIVO_2024[[#All],[Mail ]],0,0)</f>
        <v>#NAME?</v>
      </c>
      <c r="AQ712" s="439" cm="1">
        <f t="array" aca="1" ref="AQ712" ca="1">IF(ISBLANK(Contrato5[[#This Row],[DEPENDENCIA ]]),0,IFERROR(_xlfn.XLOOKUP(Contrato5[[#This Row],[DEPENDENCIA ]],[2]!PERSONAL_ACTIVO_2024[[#All],[Dependencia]],[2]!PERSONAL_ACTIVO_2024[[#All],[Mail ]],0,0),0))</f>
        <v>0</v>
      </c>
    </row>
    <row r="713" spans="1:43" ht="34.5" customHeight="1">
      <c r="A713" s="125">
        <v>847</v>
      </c>
      <c r="B713" s="124">
        <v>588</v>
      </c>
      <c r="C713" s="162" t="s">
        <v>1891</v>
      </c>
      <c r="D713" s="227" t="s">
        <v>515</v>
      </c>
      <c r="E713" s="172" t="s">
        <v>94</v>
      </c>
      <c r="F713" s="227" t="s">
        <v>255</v>
      </c>
      <c r="G713" s="281" t="s">
        <v>2967</v>
      </c>
      <c r="H713" s="436">
        <v>811002944</v>
      </c>
      <c r="I713" s="273" t="s">
        <v>42</v>
      </c>
      <c r="J713" s="437">
        <v>694618894</v>
      </c>
      <c r="K713" s="131" t="s">
        <v>2968</v>
      </c>
      <c r="L713" s="438" t="s">
        <v>2855</v>
      </c>
      <c r="M713" s="194" t="s">
        <v>836</v>
      </c>
      <c r="N713" s="177" t="e" cm="1">
        <f t="array" aca="1" ref="N713" ca="1">_xlfn.XLOOKUP(Contrato5[[#This Row],[SUPERVISOR TITULAR]],[2]!PERSONAL_ACTIVO_2024[[#All],[Nombre completo]],[2]!PERSONAL_ACTIVO_2024[[#All],[Documento identidad]],"",0)</f>
        <v>#NAME?</v>
      </c>
      <c r="O713" s="194" t="s">
        <v>577</v>
      </c>
      <c r="P713" s="196" t="e" cm="1">
        <f t="array" aca="1" ref="P713" ca="1">_xlfn.XLOOKUP(Contrato5[[#This Row],[SUPERVISOR SUPLENTE ]],[2]!PERSONAL_ACTIVO_2024[[#All],[Nombre completo]],[2]!PERSONAL_ACTIVO_2024[[#All],[Documento identidad]],"",0)</f>
        <v>#NAME?</v>
      </c>
      <c r="Q713" s="170">
        <v>666</v>
      </c>
      <c r="R713" s="137" t="e" cm="1">
        <f t="array" aca="1" ref="R713" ca="1">_xlfn.XLOOKUP(Contrato5[[#This Row],[CDP]],[2]!DISPONIBILIDADES_2024[[#All],[consecutivo]],[2]!DISPONIBILIDADES_2024[[#All],[fecha_aprobacion]],"",0)</f>
        <v>#NAME?</v>
      </c>
      <c r="S713" s="138" t="e">
        <f>SUMIF([2]!DISPONIBILIDADES_2024[[#All],[consecutivo]],Contrato5[[#This Row],[CDP]],[2]!DISPONIBILIDADES_2024[[#All],[valor_total_rubro]])</f>
        <v>#REF!</v>
      </c>
      <c r="T713" s="139" t="e" cm="1">
        <f t="array" aca="1" ref="T713" ca="1">_xlfn.XLOOKUP(Contrato5[[#This Row],[CONTRATO]]&amp;Contrato5[[#This Row],[CDP]],[2]!Corr_Contr_CDP[[#All],[CONTRATO-CDP]],[2]!Corr_Contr_CDP[[#All],[CRP]],_xlfn.XLOOKUP(Contrato5[[#This Row],[CDP]],[2]!COMPROMISOS_2024[[#All],[disponibilidad]],[2]!COMPROMISOS_2024[[#All],[consecutivo]],"",0),0)</f>
        <v>#NAME?</v>
      </c>
      <c r="U713" s="140" t="e" cm="1">
        <f t="array" aca="1" ref="U713" ca="1">+_xlfn.XLOOKUP(Contrato5[[#This Row],[RCP]],[2]!COMPROMISOS_2024[[#All],[consecutivo]],[2]!COMPROMISOS_2024[[#All],[fecha_aprobacion]],"",0)</f>
        <v>#NAME?</v>
      </c>
      <c r="V713" s="141" t="e">
        <f ca="1">SUMIF([2]!COMPROMISOS_2024[[#All],[consecutivo]],Contrato5[[#This Row],[RCP]],[2]!COMPROMISOS_2024[[#All],[valor_total]])</f>
        <v>#REF!</v>
      </c>
      <c r="W713" s="160">
        <v>45527</v>
      </c>
      <c r="X713" s="161">
        <v>45527</v>
      </c>
      <c r="Y713" s="143">
        <v>45527</v>
      </c>
      <c r="Z713" s="262">
        <v>45588</v>
      </c>
      <c r="AA713" s="183" t="s">
        <v>2969</v>
      </c>
      <c r="AB713" s="172" t="s">
        <v>500</v>
      </c>
      <c r="AC713" s="172"/>
      <c r="AD713" s="425">
        <v>202000005154</v>
      </c>
      <c r="AE713" s="147" t="s">
        <v>523</v>
      </c>
      <c r="AF713" s="148" t="str">
        <f>TEXT(LEFT(Contrato5[[#This Row],[CONTRATO]],3),"0")</f>
        <v>588</v>
      </c>
      <c r="AG713" s="148" t="str">
        <f>IF(LEN(Contrato5[[#This Row],[Contrato2]])=3,Contrato5[[#This Row],[Contrato2]],TEXT(Contrato5[[#This Row],[Contrato2]],"000"))</f>
        <v>588</v>
      </c>
      <c r="AH713" s="149">
        <f ca="1">IFERROR(_xlfn.DAYS(Contrato5[[#This Row],[Fecha Proyectada liquidación]],TODAY())/30,"")</f>
        <v>-1.6666666666666667</v>
      </c>
      <c r="AI713" s="150">
        <f>+Contrato5[[#This Row],[FECHA TERMINACIÓN ]]+120</f>
        <v>45708</v>
      </c>
      <c r="AJ713" s="147"/>
      <c r="AK713" s="152" t="str">
        <f ca="1">IF(Contrato5[[#This Row],[FECHA TERMINACIÓN ]]&lt;TODAY(), "Terminado",IF(ISNUMBER(Contrato5[[#This Row],[Fecha Real de liquiidación ]]),"Liquidado",IF(Contrato5[[#This Row],[FECHA TERMINACIÓN ]]&gt;=TODAY(),"En ejecución","")))</f>
        <v>Terminado</v>
      </c>
      <c r="AL713" s="153" t="e">
        <f ca="1">SUMIF([2]!COMPROMISOS_2024[[#All],[consecutivo]],Contrato5[[#This Row],[RCP]],[2]!COMPROMISOS_2024[[#All],[Total pagado]])</f>
        <v>#REF!</v>
      </c>
      <c r="AM713" s="154">
        <f ca="1">IFERROR(Contrato5[[#This Row],[Pagos]]/Contrato5[[#This Row],[VALOR CONTRATO]],0)</f>
        <v>0</v>
      </c>
      <c r="AN713" s="198" t="e">
        <f ca="1">+Contrato5[[#This Row],[VALOR CONTRATO]]-Contrato5[[#This Row],[Pagos]]</f>
        <v>#REF!</v>
      </c>
      <c r="AO713" s="147" t="e" cm="1">
        <f t="array" aca="1" ref="AO713" ca="1">_xlfn.XLOOKUP(Contrato5[[#This Row],[DOCUMENTO ]],[2]!PERSONAL_ACTIVO_2024[[#All],[Documento identidad]],[2]!PERSONAL_ACTIVO_2024[[#All],[Mail ]],0,0)</f>
        <v>#NAME?</v>
      </c>
      <c r="AP713" s="147" t="e" cm="1">
        <f t="array" aca="1" ref="AP713" ca="1">_xlfn.XLOOKUP(Contrato5[[#This Row],[DOCUMENTO]],[2]!PERSONAL_ACTIVO_2024[[#All],[Documento identidad]],[2]!PERSONAL_ACTIVO_2024[[#All],[Mail ]],0,0)</f>
        <v>#NAME?</v>
      </c>
      <c r="AQ713" s="439" cm="1">
        <f t="array" aca="1" ref="AQ713" ca="1">IF(ISBLANK(Contrato5[[#This Row],[DEPENDENCIA ]]),0,IFERROR(_xlfn.XLOOKUP(Contrato5[[#This Row],[DEPENDENCIA ]],[2]!PERSONAL_ACTIVO_2024[[#All],[Dependencia]],[2]!PERSONAL_ACTIVO_2024[[#All],[Mail ]],0,0),0))</f>
        <v>0</v>
      </c>
    </row>
    <row r="714" spans="1:43" ht="34.5" customHeight="1">
      <c r="A714" s="147">
        <v>722</v>
      </c>
      <c r="B714" s="124">
        <v>589</v>
      </c>
      <c r="C714" s="162" t="s">
        <v>1774</v>
      </c>
      <c r="D714" s="227" t="s">
        <v>583</v>
      </c>
      <c r="E714" s="440" t="s">
        <v>94</v>
      </c>
      <c r="F714" s="227" t="s">
        <v>1767</v>
      </c>
      <c r="G714" s="281" t="s">
        <v>2970</v>
      </c>
      <c r="H714" s="436">
        <v>890907479</v>
      </c>
      <c r="I714" s="273" t="s">
        <v>42</v>
      </c>
      <c r="J714" s="437">
        <v>100000000</v>
      </c>
      <c r="K714" s="131" t="s">
        <v>42</v>
      </c>
      <c r="L714" s="438" t="s">
        <v>2855</v>
      </c>
      <c r="M714" s="194" t="s">
        <v>592</v>
      </c>
      <c r="N714" s="177" t="e" cm="1">
        <f t="array" aca="1" ref="N714" ca="1">_xlfn.XLOOKUP(Contrato5[[#This Row],[SUPERVISOR TITULAR]],[2]!PERSONAL_ACTIVO_2024[[#All],[Nombre completo]],[2]!PERSONAL_ACTIVO_2024[[#All],[Documento identidad]],"",0)</f>
        <v>#NAME?</v>
      </c>
      <c r="O714" s="194" t="s">
        <v>2971</v>
      </c>
      <c r="P714" s="196" t="e" cm="1">
        <f t="array" aca="1" ref="P714" ca="1">_xlfn.XLOOKUP(Contrato5[[#This Row],[SUPERVISOR SUPLENTE ]],[2]!PERSONAL_ACTIVO_2024[[#All],[Nombre completo]],[2]!PERSONAL_ACTIVO_2024[[#All],[Documento identidad]],"",0)</f>
        <v>#NAME?</v>
      </c>
      <c r="Q714" s="170">
        <v>803</v>
      </c>
      <c r="R714" s="137" t="e" cm="1">
        <f t="array" aca="1" ref="R714" ca="1">_xlfn.XLOOKUP(Contrato5[[#This Row],[CDP]],[2]!DISPONIBILIDADES_2024[[#All],[consecutivo]],[2]!DISPONIBILIDADES_2024[[#All],[fecha_aprobacion]],"",0)</f>
        <v>#NAME?</v>
      </c>
      <c r="S714" s="138" t="e">
        <f>SUMIF([2]!DISPONIBILIDADES_2024[[#All],[consecutivo]],Contrato5[[#This Row],[CDP]],[2]!DISPONIBILIDADES_2024[[#All],[valor_total_rubro]])</f>
        <v>#REF!</v>
      </c>
      <c r="T714" s="139" t="e" cm="1">
        <f t="array" aca="1" ref="T714" ca="1">_xlfn.XLOOKUP(Contrato5[[#This Row],[CONTRATO]]&amp;Contrato5[[#This Row],[CDP]],[2]!Corr_Contr_CDP[[#All],[CONTRATO-CDP]],[2]!Corr_Contr_CDP[[#All],[CRP]],_xlfn.XLOOKUP(Contrato5[[#This Row],[CDP]],[2]!COMPROMISOS_2024[[#All],[disponibilidad]],[2]!COMPROMISOS_2024[[#All],[consecutivo]],"",0),0)</f>
        <v>#NAME?</v>
      </c>
      <c r="U714" s="140" t="e" cm="1">
        <f t="array" aca="1" ref="U714" ca="1">+_xlfn.XLOOKUP(Contrato5[[#This Row],[RCP]],[2]!COMPROMISOS_2024[[#All],[consecutivo]],[2]!COMPROMISOS_2024[[#All],[fecha_aprobacion]],"",0)</f>
        <v>#NAME?</v>
      </c>
      <c r="V714" s="141" t="e">
        <f ca="1">SUMIF([2]!COMPROMISOS_2024[[#All],[consecutivo]],Contrato5[[#This Row],[RCP]],[2]!COMPROMISOS_2024[[#All],[valor_total]])</f>
        <v>#REF!</v>
      </c>
      <c r="W714" s="160">
        <v>45510</v>
      </c>
      <c r="X714" s="161">
        <v>45512</v>
      </c>
      <c r="Y714" s="143">
        <v>45513</v>
      </c>
      <c r="Z714" s="262">
        <v>45656</v>
      </c>
      <c r="AA714" s="183" t="s">
        <v>2972</v>
      </c>
      <c r="AB714" s="172" t="s">
        <v>2973</v>
      </c>
      <c r="AC714" s="172"/>
      <c r="AD714" s="425">
        <v>202000005155</v>
      </c>
      <c r="AE714" s="147" t="s">
        <v>523</v>
      </c>
      <c r="AF714" s="148" t="str">
        <f>TEXT(LEFT(Contrato5[[#This Row],[CONTRATO]],3),"0")</f>
        <v>589</v>
      </c>
      <c r="AG714" s="148" t="str">
        <f>IF(LEN(Contrato5[[#This Row],[Contrato2]])=3,Contrato5[[#This Row],[Contrato2]],TEXT(Contrato5[[#This Row],[Contrato2]],"000"))</f>
        <v>589</v>
      </c>
      <c r="AH714" s="149">
        <f ca="1">IFERROR(_xlfn.DAYS(Contrato5[[#This Row],[Fecha Proyectada liquidación]],TODAY())/30,"")</f>
        <v>0.6</v>
      </c>
      <c r="AI714" s="150">
        <f>+Contrato5[[#This Row],[FECHA TERMINACIÓN ]]+120</f>
        <v>45776</v>
      </c>
      <c r="AJ714" s="147"/>
      <c r="AK714" s="152" t="str">
        <f ca="1">IF(Contrato5[[#This Row],[FECHA TERMINACIÓN ]]&lt;TODAY(), "Terminado",IF(ISNUMBER(Contrato5[[#This Row],[Fecha Real de liquiidación ]]),"Liquidado",IF(Contrato5[[#This Row],[FECHA TERMINACIÓN ]]&gt;=TODAY(),"En ejecución","")))</f>
        <v>Terminado</v>
      </c>
      <c r="AL714" s="153" t="e">
        <f ca="1">SUMIF([2]!COMPROMISOS_2024[[#All],[consecutivo]],Contrato5[[#This Row],[RCP]],[2]!COMPROMISOS_2024[[#All],[Total pagado]])</f>
        <v>#REF!</v>
      </c>
      <c r="AM714" s="154">
        <f ca="1">IFERROR(Contrato5[[#This Row],[Pagos]]/Contrato5[[#This Row],[VALOR CONTRATO]],0)</f>
        <v>0</v>
      </c>
      <c r="AN714" s="198" t="e">
        <f ca="1">+Contrato5[[#This Row],[VALOR CONTRATO]]-Contrato5[[#This Row],[Pagos]]</f>
        <v>#REF!</v>
      </c>
      <c r="AO714" s="147" t="e" cm="1">
        <f t="array" aca="1" ref="AO714" ca="1">_xlfn.XLOOKUP(Contrato5[[#This Row],[DOCUMENTO ]],[2]!PERSONAL_ACTIVO_2024[[#All],[Documento identidad]],[2]!PERSONAL_ACTIVO_2024[[#All],[Mail ]],0,0)</f>
        <v>#NAME?</v>
      </c>
      <c r="AP714" s="147" t="e" cm="1">
        <f t="array" aca="1" ref="AP714" ca="1">_xlfn.XLOOKUP(Contrato5[[#This Row],[DOCUMENTO]],[2]!PERSONAL_ACTIVO_2024[[#All],[Documento identidad]],[2]!PERSONAL_ACTIVO_2024[[#All],[Mail ]],0,0)</f>
        <v>#NAME?</v>
      </c>
      <c r="AQ714" s="439" cm="1">
        <f t="array" aca="1" ref="AQ714" ca="1">IF(ISBLANK(Contrato5[[#This Row],[DEPENDENCIA ]]),0,IFERROR(_xlfn.XLOOKUP(Contrato5[[#This Row],[DEPENDENCIA ]],[2]!PERSONAL_ACTIVO_2024[[#All],[Dependencia]],[2]!PERSONAL_ACTIVO_2024[[#All],[Mail ]],0,0),0))</f>
        <v>0</v>
      </c>
    </row>
    <row r="715" spans="1:43" ht="34.5" customHeight="1">
      <c r="A715" s="147">
        <v>1323</v>
      </c>
      <c r="B715" s="499">
        <v>589</v>
      </c>
      <c r="C715" s="162" t="s">
        <v>2147</v>
      </c>
      <c r="D715" s="227" t="s">
        <v>583</v>
      </c>
      <c r="E715" s="440" t="s">
        <v>2148</v>
      </c>
      <c r="F715" s="227" t="s">
        <v>1767</v>
      </c>
      <c r="G715" s="281" t="s">
        <v>2970</v>
      </c>
      <c r="H715" s="436">
        <v>890907479</v>
      </c>
      <c r="I715" s="273" t="s">
        <v>42</v>
      </c>
      <c r="J715" s="188">
        <v>50000000</v>
      </c>
      <c r="K715" s="147"/>
      <c r="L715" s="166" t="s">
        <v>2605</v>
      </c>
      <c r="M715" s="194" t="s">
        <v>592</v>
      </c>
      <c r="N715" s="177" t="e" cm="1">
        <f t="array" aca="1" ref="N715" ca="1">_xlfn.XLOOKUP(Contrato5[[#This Row],[SUPERVISOR TITULAR]],[2]!PERSONAL_ACTIVO_2024[[#All],[Nombre completo]],[2]!PERSONAL_ACTIVO_2024[[#All],[Documento identidad]],"",0)</f>
        <v>#NAME?</v>
      </c>
      <c r="O715" s="194" t="s">
        <v>2971</v>
      </c>
      <c r="P715" s="196" t="e" cm="1">
        <f t="array" aca="1" ref="P715" ca="1">_xlfn.XLOOKUP(Contrato5[[#This Row],[SUPERVISOR SUPLENTE ]],[2]!PERSONAL_ACTIVO_2024[[#All],[Nombre completo]],[2]!PERSONAL_ACTIVO_2024[[#All],[Documento identidad]],"",0)</f>
        <v>#NAME?</v>
      </c>
      <c r="Q715" s="170">
        <v>1212</v>
      </c>
      <c r="R715" s="137" t="e" cm="1">
        <f t="array" aca="1" ref="R715" ca="1">_xlfn.XLOOKUP(Contrato5[[#This Row],[CDP]],[2]!DISPONIBILIDADES_2024[[#All],[consecutivo]],[2]!DISPONIBILIDADES_2024[[#All],[fecha_aprobacion]],"",0)</f>
        <v>#NAME?</v>
      </c>
      <c r="S715" s="138" t="e">
        <f>SUMIF([2]!DISPONIBILIDADES_2024[[#All],[consecutivo]],Contrato5[[#This Row],[CDP]],[2]!DISPONIBILIDADES_2024[[#All],[valor_total_rubro]])</f>
        <v>#REF!</v>
      </c>
      <c r="T715" s="139" t="e" cm="1">
        <f t="array" aca="1" ref="T715" ca="1">_xlfn.XLOOKUP(Contrato5[[#This Row],[CONTRATO]]&amp;Contrato5[[#This Row],[CDP]],[2]!Corr_Contr_CDP[[#All],[CONTRATO-CDP]],[2]!Corr_Contr_CDP[[#All],[CRP]],_xlfn.XLOOKUP(Contrato5[[#This Row],[CDP]],[2]!COMPROMISOS_2024[[#All],[disponibilidad]],[2]!COMPROMISOS_2024[[#All],[consecutivo]],"",0),0)</f>
        <v>#NAME?</v>
      </c>
      <c r="U715" s="140" t="e" cm="1">
        <f t="array" aca="1" ref="U715" ca="1">+_xlfn.XLOOKUP(Contrato5[[#This Row],[RCP]],[2]!COMPROMISOS_2024[[#All],[consecutivo]],[2]!COMPROMISOS_2024[[#All],[fecha_aprobacion]],"",0)</f>
        <v>#NAME?</v>
      </c>
      <c r="V715" s="141" t="e">
        <f ca="1">SUMIF([2]!COMPROMISOS_2024[[#All],[consecutivo]],Contrato5[[#This Row],[RCP]],[2]!COMPROMISOS_2024[[#All],[valor_total]])</f>
        <v>#REF!</v>
      </c>
      <c r="W715" s="160"/>
      <c r="X715" s="161"/>
      <c r="Y715" s="143" t="e">
        <f ca="1">+LEFT(_xlfn.XLOOKUP(Contrato5[[#This Row],[CONTRATO3DIG]],[2]SECOP_II!AE:AE,[2]SECOP_II!F:F,"",0),10)</f>
        <v>#NAME?</v>
      </c>
      <c r="Z715" s="262"/>
      <c r="AA715" s="225"/>
      <c r="AB715" s="172" t="s">
        <v>42</v>
      </c>
      <c r="AC715" s="127"/>
      <c r="AD715" s="211"/>
      <c r="AE715" s="147"/>
      <c r="AF715" s="148" t="str">
        <f>TEXT(LEFT(Contrato5[[#This Row],[CONTRATO]],3),"0")</f>
        <v>589</v>
      </c>
      <c r="AG715" s="148" t="str">
        <f>IF(LEN(Contrato5[[#This Row],[Contrato2]])=3,Contrato5[[#This Row],[Contrato2]],TEXT(Contrato5[[#This Row],[Contrato2]],"000"))</f>
        <v>589</v>
      </c>
      <c r="AH715" s="149">
        <f ca="1">IFERROR(_xlfn.DAYS(Contrato5[[#This Row],[Fecha Proyectada liquidación]],TODAY())/30,"")</f>
        <v>-1521.2666666666667</v>
      </c>
      <c r="AI715" s="150">
        <f>+Contrato5[[#This Row],[FECHA TERMINACIÓN ]]+120</f>
        <v>120</v>
      </c>
      <c r="AJ715" s="147"/>
      <c r="AK715" s="152" t="str">
        <f ca="1">IF(Contrato5[[#This Row],[FECHA TERMINACIÓN ]]&lt;TODAY(), "Terminado",IF(ISNUMBER(Contrato5[[#This Row],[Fecha Real de liquiidación ]]),"Liquidado",IF(Contrato5[[#This Row],[FECHA TERMINACIÓN ]]&gt;=TODAY(),"En ejecución","")))</f>
        <v>Terminado</v>
      </c>
      <c r="AL715" s="153" t="e">
        <f ca="1">SUMIF([2]!COMPROMISOS_2024[[#All],[consecutivo]],Contrato5[[#This Row],[RCP]],[2]!COMPROMISOS_2024[[#All],[Total pagado]])</f>
        <v>#REF!</v>
      </c>
      <c r="AM715" s="154">
        <f ca="1">IFERROR(Contrato5[[#This Row],[Pagos]]/Contrato5[[#This Row],[VALOR CONTRATO]],0)</f>
        <v>0</v>
      </c>
      <c r="AN715" s="198" t="e">
        <f ca="1">+Contrato5[[#This Row],[VALOR CONTRATO]]-Contrato5[[#This Row],[Pagos]]</f>
        <v>#REF!</v>
      </c>
      <c r="AO715" s="147" t="e" cm="1">
        <f t="array" aca="1" ref="AO715" ca="1">_xlfn.XLOOKUP(Contrato5[[#This Row],[DOCUMENTO ]],[2]!PERSONAL_ACTIVO_2024[[#All],[Documento identidad]],[2]!PERSONAL_ACTIVO_2024[[#All],[Mail ]],0,0)</f>
        <v>#NAME?</v>
      </c>
      <c r="AP715" s="147" t="e" cm="1">
        <f t="array" aca="1" ref="AP715" ca="1">_xlfn.XLOOKUP(Contrato5[[#This Row],[DOCUMENTO]],[2]!PERSONAL_ACTIVO_2024[[#All],[Documento identidad]],[2]!PERSONAL_ACTIVO_2024[[#All],[Mail ]],0,0)</f>
        <v>#NAME?</v>
      </c>
      <c r="AQ715" s="439" cm="1">
        <f t="array" aca="1" ref="AQ715" ca="1">IF(ISBLANK(Contrato5[[#This Row],[DEPENDENCIA ]]),0,IFERROR(_xlfn.XLOOKUP(Contrato5[[#This Row],[DEPENDENCIA ]],[2]!PERSONAL_ACTIVO_2024[[#All],[Dependencia]],[2]!PERSONAL_ACTIVO_2024[[#All],[Mail ]],0,0),0))</f>
        <v>0</v>
      </c>
    </row>
    <row r="716" spans="1:43" ht="34.5" customHeight="1">
      <c r="A716" s="147">
        <v>982</v>
      </c>
      <c r="B716" s="124">
        <v>590</v>
      </c>
      <c r="C716" s="162" t="s">
        <v>1949</v>
      </c>
      <c r="D716" s="227" t="s">
        <v>583</v>
      </c>
      <c r="E716" s="440" t="s">
        <v>94</v>
      </c>
      <c r="F716" s="227" t="s">
        <v>1767</v>
      </c>
      <c r="G716" s="281" t="s">
        <v>2649</v>
      </c>
      <c r="H716" s="436">
        <v>890906355</v>
      </c>
      <c r="I716" s="273" t="s">
        <v>42</v>
      </c>
      <c r="J716" s="437">
        <v>120000000</v>
      </c>
      <c r="K716" s="131" t="s">
        <v>42</v>
      </c>
      <c r="L716" s="438" t="s">
        <v>2855</v>
      </c>
      <c r="M716" s="194" t="s">
        <v>589</v>
      </c>
      <c r="N716" s="177" t="e" cm="1">
        <f t="array" aca="1" ref="N716" ca="1">_xlfn.XLOOKUP(Contrato5[[#This Row],[SUPERVISOR TITULAR]],[2]!PERSONAL_ACTIVO_2024[[#All],[Nombre completo]],[2]!PERSONAL_ACTIVO_2024[[#All],[Documento identidad]],"",0)</f>
        <v>#NAME?</v>
      </c>
      <c r="O716" s="194" t="s">
        <v>586</v>
      </c>
      <c r="P716" s="196" t="e" cm="1">
        <f t="array" aca="1" ref="P716" ca="1">_xlfn.XLOOKUP(Contrato5[[#This Row],[SUPERVISOR SUPLENTE ]],[2]!PERSONAL_ACTIVO_2024[[#All],[Nombre completo]],[2]!PERSONAL_ACTIVO_2024[[#All],[Documento identidad]],"",0)</f>
        <v>#NAME?</v>
      </c>
      <c r="Q716" s="170">
        <v>739</v>
      </c>
      <c r="R716" s="137" t="e" cm="1">
        <f t="array" aca="1" ref="R716" ca="1">_xlfn.XLOOKUP(Contrato5[[#This Row],[CDP]],[2]!DISPONIBILIDADES_2024[[#All],[consecutivo]],[2]!DISPONIBILIDADES_2024[[#All],[fecha_aprobacion]],"",0)</f>
        <v>#NAME?</v>
      </c>
      <c r="S716" s="138" t="e">
        <f>SUMIF([2]!DISPONIBILIDADES_2024[[#All],[consecutivo]],Contrato5[[#This Row],[CDP]],[2]!DISPONIBILIDADES_2024[[#All],[valor_total_rubro]])</f>
        <v>#REF!</v>
      </c>
      <c r="T716" s="139" t="e" cm="1">
        <f t="array" aca="1" ref="T716" ca="1">_xlfn.XLOOKUP(Contrato5[[#This Row],[CONTRATO]]&amp;Contrato5[[#This Row],[CDP]],[2]!Corr_Contr_CDP[[#All],[CONTRATO-CDP]],[2]!Corr_Contr_CDP[[#All],[CRP]],_xlfn.XLOOKUP(Contrato5[[#This Row],[CDP]],[2]!COMPROMISOS_2024[[#All],[disponibilidad]],[2]!COMPROMISOS_2024[[#All],[consecutivo]],"",0),0)</f>
        <v>#NAME?</v>
      </c>
      <c r="U716" s="140" t="e" cm="1">
        <f t="array" aca="1" ref="U716" ca="1">+_xlfn.XLOOKUP(Contrato5[[#This Row],[RCP]],[2]!COMPROMISOS_2024[[#All],[consecutivo]],[2]!COMPROMISOS_2024[[#All],[fecha_aprobacion]],"",0)</f>
        <v>#NAME?</v>
      </c>
      <c r="V716" s="141" t="e">
        <f ca="1">SUMIF([2]!COMPROMISOS_2024[[#All],[consecutivo]],Contrato5[[#This Row],[RCP]],[2]!COMPROMISOS_2024[[#All],[valor_total]])</f>
        <v>#REF!</v>
      </c>
      <c r="W716" s="160">
        <v>45510</v>
      </c>
      <c r="X716" s="161">
        <v>45510</v>
      </c>
      <c r="Y716" s="143">
        <v>45510</v>
      </c>
      <c r="Z716" s="262">
        <v>45656</v>
      </c>
      <c r="AA716" s="183" t="s">
        <v>2974</v>
      </c>
      <c r="AB716" s="172" t="s">
        <v>2973</v>
      </c>
      <c r="AC716" s="172"/>
      <c r="AD716" s="425">
        <v>202000005156</v>
      </c>
      <c r="AE716" s="147" t="s">
        <v>523</v>
      </c>
      <c r="AF716" s="148" t="str">
        <f>TEXT(LEFT(Contrato5[[#This Row],[CONTRATO]],3),"0")</f>
        <v>590</v>
      </c>
      <c r="AG716" s="148" t="str">
        <f>IF(LEN(Contrato5[[#This Row],[Contrato2]])=3,Contrato5[[#This Row],[Contrato2]],TEXT(Contrato5[[#This Row],[Contrato2]],"000"))</f>
        <v>590</v>
      </c>
      <c r="AH716" s="149">
        <f ca="1">IFERROR(_xlfn.DAYS(Contrato5[[#This Row],[Fecha Proyectada liquidación]],TODAY())/30,"")</f>
        <v>0.6</v>
      </c>
      <c r="AI716" s="150">
        <f>+Contrato5[[#This Row],[FECHA TERMINACIÓN ]]+120</f>
        <v>45776</v>
      </c>
      <c r="AJ716" s="147"/>
      <c r="AK716" s="152" t="str">
        <f ca="1">IF(Contrato5[[#This Row],[FECHA TERMINACIÓN ]]&lt;TODAY(), "Terminado",IF(ISNUMBER(Contrato5[[#This Row],[Fecha Real de liquiidación ]]),"Liquidado",IF(Contrato5[[#This Row],[FECHA TERMINACIÓN ]]&gt;=TODAY(),"En ejecución","")))</f>
        <v>Terminado</v>
      </c>
      <c r="AL716" s="153" t="e">
        <f ca="1">SUMIF([2]!COMPROMISOS_2024[[#All],[consecutivo]],Contrato5[[#This Row],[RCP]],[2]!COMPROMISOS_2024[[#All],[Total pagado]])</f>
        <v>#REF!</v>
      </c>
      <c r="AM716" s="154">
        <f ca="1">IFERROR(Contrato5[[#This Row],[Pagos]]/Contrato5[[#This Row],[VALOR CONTRATO]],0)</f>
        <v>0</v>
      </c>
      <c r="AN716" s="198" t="e">
        <f ca="1">+Contrato5[[#This Row],[VALOR CONTRATO]]-Contrato5[[#This Row],[Pagos]]</f>
        <v>#REF!</v>
      </c>
      <c r="AO716" s="147" t="e" cm="1">
        <f t="array" aca="1" ref="AO716" ca="1">_xlfn.XLOOKUP(Contrato5[[#This Row],[DOCUMENTO ]],[2]!PERSONAL_ACTIVO_2024[[#All],[Documento identidad]],[2]!PERSONAL_ACTIVO_2024[[#All],[Mail ]],0,0)</f>
        <v>#NAME?</v>
      </c>
      <c r="AP716" s="147" t="e" cm="1">
        <f t="array" aca="1" ref="AP716" ca="1">_xlfn.XLOOKUP(Contrato5[[#This Row],[DOCUMENTO]],[2]!PERSONAL_ACTIVO_2024[[#All],[Documento identidad]],[2]!PERSONAL_ACTIVO_2024[[#All],[Mail ]],0,0)</f>
        <v>#NAME?</v>
      </c>
      <c r="AQ716" s="439" cm="1">
        <f t="array" aca="1" ref="AQ716" ca="1">IF(ISBLANK(Contrato5[[#This Row],[DEPENDENCIA ]]),0,IFERROR(_xlfn.XLOOKUP(Contrato5[[#This Row],[DEPENDENCIA ]],[2]!PERSONAL_ACTIVO_2024[[#All],[Dependencia]],[2]!PERSONAL_ACTIVO_2024[[#All],[Mail ]],0,0),0))</f>
        <v>0</v>
      </c>
    </row>
    <row r="717" spans="1:43" ht="34.5" customHeight="1">
      <c r="A717" s="147">
        <v>981</v>
      </c>
      <c r="B717" s="124">
        <v>591</v>
      </c>
      <c r="C717" s="162" t="s">
        <v>1948</v>
      </c>
      <c r="D717" s="227" t="s">
        <v>583</v>
      </c>
      <c r="E717" s="440" t="s">
        <v>94</v>
      </c>
      <c r="F717" s="227" t="s">
        <v>1767</v>
      </c>
      <c r="G717" s="281" t="s">
        <v>2975</v>
      </c>
      <c r="H717" s="436">
        <v>811010042</v>
      </c>
      <c r="I717" s="273" t="s">
        <v>42</v>
      </c>
      <c r="J717" s="437">
        <v>60000000</v>
      </c>
      <c r="K717" s="131" t="s">
        <v>42</v>
      </c>
      <c r="L717" s="438" t="s">
        <v>2855</v>
      </c>
      <c r="M717" s="194" t="s">
        <v>586</v>
      </c>
      <c r="N717" s="177" t="e" cm="1">
        <f t="array" aca="1" ref="N717" ca="1">_xlfn.XLOOKUP(Contrato5[[#This Row],[SUPERVISOR TITULAR]],[2]!PERSONAL_ACTIVO_2024[[#All],[Nombre completo]],[2]!PERSONAL_ACTIVO_2024[[#All],[Documento identidad]],"",0)</f>
        <v>#NAME?</v>
      </c>
      <c r="O717" s="194" t="s">
        <v>589</v>
      </c>
      <c r="P717" s="196" t="e" cm="1">
        <f t="array" aca="1" ref="P717" ca="1">_xlfn.XLOOKUP(Contrato5[[#This Row],[SUPERVISOR SUPLENTE ]],[2]!PERSONAL_ACTIVO_2024[[#All],[Nombre completo]],[2]!PERSONAL_ACTIVO_2024[[#All],[Documento identidad]],"",0)</f>
        <v>#NAME?</v>
      </c>
      <c r="Q717" s="170">
        <v>740</v>
      </c>
      <c r="R717" s="137" t="e" cm="1">
        <f t="array" aca="1" ref="R717" ca="1">_xlfn.XLOOKUP(Contrato5[[#This Row],[CDP]],[2]!DISPONIBILIDADES_2024[[#All],[consecutivo]],[2]!DISPONIBILIDADES_2024[[#All],[fecha_aprobacion]],"",0)</f>
        <v>#NAME?</v>
      </c>
      <c r="S717" s="138" t="e">
        <f>SUMIF([2]!DISPONIBILIDADES_2024[[#All],[consecutivo]],Contrato5[[#This Row],[CDP]],[2]!DISPONIBILIDADES_2024[[#All],[valor_total_rubro]])</f>
        <v>#REF!</v>
      </c>
      <c r="T717" s="139" t="e" cm="1">
        <f t="array" aca="1" ref="T717" ca="1">_xlfn.XLOOKUP(Contrato5[[#This Row],[CONTRATO]]&amp;Contrato5[[#This Row],[CDP]],[2]!Corr_Contr_CDP[[#All],[CONTRATO-CDP]],[2]!Corr_Contr_CDP[[#All],[CRP]],_xlfn.XLOOKUP(Contrato5[[#This Row],[CDP]],[2]!COMPROMISOS_2024[[#All],[disponibilidad]],[2]!COMPROMISOS_2024[[#All],[consecutivo]],"",0),0)</f>
        <v>#NAME?</v>
      </c>
      <c r="U717" s="140" t="e" cm="1">
        <f t="array" aca="1" ref="U717" ca="1">+_xlfn.XLOOKUP(Contrato5[[#This Row],[RCP]],[2]!COMPROMISOS_2024[[#All],[consecutivo]],[2]!COMPROMISOS_2024[[#All],[fecha_aprobacion]],"",0)</f>
        <v>#NAME?</v>
      </c>
      <c r="V717" s="141" t="e">
        <f ca="1">SUMIF([2]!COMPROMISOS_2024[[#All],[consecutivo]],Contrato5[[#This Row],[RCP]],[2]!COMPROMISOS_2024[[#All],[valor_total]])</f>
        <v>#REF!</v>
      </c>
      <c r="W717" s="160">
        <v>45510</v>
      </c>
      <c r="X717" s="161">
        <v>45512</v>
      </c>
      <c r="Y717" s="143">
        <v>45512</v>
      </c>
      <c r="Z717" s="262">
        <v>45656</v>
      </c>
      <c r="AA717" s="183" t="s">
        <v>2976</v>
      </c>
      <c r="AB717" s="172" t="s">
        <v>2973</v>
      </c>
      <c r="AC717" s="172"/>
      <c r="AD717" s="425">
        <v>202000005157</v>
      </c>
      <c r="AE717" s="147" t="s">
        <v>523</v>
      </c>
      <c r="AF717" s="148" t="str">
        <f>TEXT(LEFT(Contrato5[[#This Row],[CONTRATO]],3),"0")</f>
        <v>591</v>
      </c>
      <c r="AG717" s="148" t="str">
        <f>IF(LEN(Contrato5[[#This Row],[Contrato2]])=3,Contrato5[[#This Row],[Contrato2]],TEXT(Contrato5[[#This Row],[Contrato2]],"000"))</f>
        <v>591</v>
      </c>
      <c r="AH717" s="149">
        <f ca="1">IFERROR(_xlfn.DAYS(Contrato5[[#This Row],[Fecha Proyectada liquidación]],TODAY())/30,"")</f>
        <v>0.6</v>
      </c>
      <c r="AI717" s="150">
        <f>+Contrato5[[#This Row],[FECHA TERMINACIÓN ]]+120</f>
        <v>45776</v>
      </c>
      <c r="AJ717" s="147"/>
      <c r="AK717" s="152" t="str">
        <f ca="1">IF(Contrato5[[#This Row],[FECHA TERMINACIÓN ]]&lt;TODAY(), "Terminado",IF(ISNUMBER(Contrato5[[#This Row],[Fecha Real de liquiidación ]]),"Liquidado",IF(Contrato5[[#This Row],[FECHA TERMINACIÓN ]]&gt;=TODAY(),"En ejecución","")))</f>
        <v>Terminado</v>
      </c>
      <c r="AL717" s="153" t="e">
        <f ca="1">SUMIF([2]!COMPROMISOS_2024[[#All],[consecutivo]],Contrato5[[#This Row],[RCP]],[2]!COMPROMISOS_2024[[#All],[Total pagado]])</f>
        <v>#REF!</v>
      </c>
      <c r="AM717" s="154">
        <f ca="1">IFERROR(Contrato5[[#This Row],[Pagos]]/Contrato5[[#This Row],[VALOR CONTRATO]],0)</f>
        <v>0</v>
      </c>
      <c r="AN717" s="198" t="e">
        <f ca="1">+Contrato5[[#This Row],[VALOR CONTRATO]]-Contrato5[[#This Row],[Pagos]]</f>
        <v>#REF!</v>
      </c>
      <c r="AO717" s="147" t="e" cm="1">
        <f t="array" aca="1" ref="AO717" ca="1">_xlfn.XLOOKUP(Contrato5[[#This Row],[DOCUMENTO ]],[2]!PERSONAL_ACTIVO_2024[[#All],[Documento identidad]],[2]!PERSONAL_ACTIVO_2024[[#All],[Mail ]],0,0)</f>
        <v>#NAME?</v>
      </c>
      <c r="AP717" s="147" t="e" cm="1">
        <f t="array" aca="1" ref="AP717" ca="1">_xlfn.XLOOKUP(Contrato5[[#This Row],[DOCUMENTO]],[2]!PERSONAL_ACTIVO_2024[[#All],[Documento identidad]],[2]!PERSONAL_ACTIVO_2024[[#All],[Mail ]],0,0)</f>
        <v>#NAME?</v>
      </c>
      <c r="AQ717" s="439" cm="1">
        <f t="array" aca="1" ref="AQ717" ca="1">IF(ISBLANK(Contrato5[[#This Row],[DEPENDENCIA ]]),0,IFERROR(_xlfn.XLOOKUP(Contrato5[[#This Row],[DEPENDENCIA ]],[2]!PERSONAL_ACTIVO_2024[[#All],[Dependencia]],[2]!PERSONAL_ACTIVO_2024[[#All],[Mail ]],0,0),0))</f>
        <v>0</v>
      </c>
    </row>
    <row r="718" spans="1:43" ht="34.5" customHeight="1">
      <c r="A718" s="147">
        <v>1286</v>
      </c>
      <c r="B718" s="499">
        <v>591</v>
      </c>
      <c r="C718" s="162" t="s">
        <v>2977</v>
      </c>
      <c r="D718" s="227" t="s">
        <v>583</v>
      </c>
      <c r="E718" s="440" t="s">
        <v>2148</v>
      </c>
      <c r="F718" s="227" t="s">
        <v>1767</v>
      </c>
      <c r="G718" s="281" t="s">
        <v>2975</v>
      </c>
      <c r="H718" s="436">
        <v>811010042</v>
      </c>
      <c r="I718" s="273" t="s">
        <v>42</v>
      </c>
      <c r="J718" s="188">
        <v>15000000</v>
      </c>
      <c r="K718" s="147"/>
      <c r="L718" s="166" t="s">
        <v>2605</v>
      </c>
      <c r="M718" s="194" t="s">
        <v>586</v>
      </c>
      <c r="N718" s="177" t="e" cm="1">
        <f t="array" aca="1" ref="N718" ca="1">_xlfn.XLOOKUP(Contrato5[[#This Row],[SUPERVISOR TITULAR]],[2]!PERSONAL_ACTIVO_2024[[#All],[Nombre completo]],[2]!PERSONAL_ACTIVO_2024[[#All],[Documento identidad]],"",0)</f>
        <v>#NAME?</v>
      </c>
      <c r="O718" s="194" t="s">
        <v>589</v>
      </c>
      <c r="P718" s="196" t="e" cm="1">
        <f t="array" aca="1" ref="P718" ca="1">_xlfn.XLOOKUP(Contrato5[[#This Row],[SUPERVISOR SUPLENTE ]],[2]!PERSONAL_ACTIVO_2024[[#All],[Nombre completo]],[2]!PERSONAL_ACTIVO_2024[[#All],[Documento identidad]],"",0)</f>
        <v>#NAME?</v>
      </c>
      <c r="Q718" s="170">
        <v>1129</v>
      </c>
      <c r="R718" s="137" t="e" cm="1">
        <f t="array" aca="1" ref="R718" ca="1">_xlfn.XLOOKUP(Contrato5[[#This Row],[CDP]],[2]!DISPONIBILIDADES_2024[[#All],[consecutivo]],[2]!DISPONIBILIDADES_2024[[#All],[fecha_aprobacion]],"",0)</f>
        <v>#NAME?</v>
      </c>
      <c r="S718" s="138" t="e">
        <f>SUMIF([2]!DISPONIBILIDADES_2024[[#All],[consecutivo]],Contrato5[[#This Row],[CDP]],[2]!DISPONIBILIDADES_2024[[#All],[valor_total_rubro]])</f>
        <v>#REF!</v>
      </c>
      <c r="T718" s="139" t="e" cm="1">
        <f t="array" aca="1" ref="T718" ca="1">_xlfn.XLOOKUP(Contrato5[[#This Row],[CONTRATO]]&amp;Contrato5[[#This Row],[CDP]],[2]!Corr_Contr_CDP[[#All],[CONTRATO-CDP]],[2]!Corr_Contr_CDP[[#All],[CRP]],_xlfn.XLOOKUP(Contrato5[[#This Row],[CDP]],[2]!COMPROMISOS_2024[[#All],[disponibilidad]],[2]!COMPROMISOS_2024[[#All],[consecutivo]],"",0),0)</f>
        <v>#NAME?</v>
      </c>
      <c r="U718" s="140" t="e" cm="1">
        <f t="array" aca="1" ref="U718" ca="1">+_xlfn.XLOOKUP(Contrato5[[#This Row],[RCP]],[2]!COMPROMISOS_2024[[#All],[consecutivo]],[2]!COMPROMISOS_2024[[#All],[fecha_aprobacion]],"",0)</f>
        <v>#NAME?</v>
      </c>
      <c r="V718" s="141" t="e">
        <f ca="1">SUMIF([2]!COMPROMISOS_2024[[#All],[consecutivo]],Contrato5[[#This Row],[RCP]],[2]!COMPROMISOS_2024[[#All],[valor_total]])</f>
        <v>#REF!</v>
      </c>
      <c r="W718" s="160"/>
      <c r="X718" s="161">
        <v>45512</v>
      </c>
      <c r="Y718" s="143">
        <v>45512</v>
      </c>
      <c r="Z718" s="262">
        <v>45656</v>
      </c>
      <c r="AA718" s="183" t="s">
        <v>2976</v>
      </c>
      <c r="AB718" s="172" t="s">
        <v>42</v>
      </c>
      <c r="AC718" s="127"/>
      <c r="AD718" s="211"/>
      <c r="AE718" s="147"/>
      <c r="AF718" s="148" t="str">
        <f>TEXT(LEFT(Contrato5[[#This Row],[CONTRATO]],3),"0")</f>
        <v>591</v>
      </c>
      <c r="AG718" s="148" t="str">
        <f>IF(LEN(Contrato5[[#This Row],[Contrato2]])=3,Contrato5[[#This Row],[Contrato2]],TEXT(Contrato5[[#This Row],[Contrato2]],"000"))</f>
        <v>591</v>
      </c>
      <c r="AH718" s="149">
        <f ca="1">IFERROR(_xlfn.DAYS(Contrato5[[#This Row],[Fecha Proyectada liquidación]],TODAY())/30,"")</f>
        <v>0.6</v>
      </c>
      <c r="AI718" s="150">
        <f>+Contrato5[[#This Row],[FECHA TERMINACIÓN ]]+120</f>
        <v>45776</v>
      </c>
      <c r="AJ718" s="147"/>
      <c r="AK718" s="152" t="str">
        <f ca="1">IF(Contrato5[[#This Row],[FECHA TERMINACIÓN ]]&lt;TODAY(), "Terminado",IF(ISNUMBER(Contrato5[[#This Row],[Fecha Real de liquiidación ]]),"Liquidado",IF(Contrato5[[#This Row],[FECHA TERMINACIÓN ]]&gt;=TODAY(),"En ejecución","")))</f>
        <v>Terminado</v>
      </c>
      <c r="AL718" s="153" t="e">
        <f ca="1">SUMIF([2]!COMPROMISOS_2024[[#All],[consecutivo]],Contrato5[[#This Row],[RCP]],[2]!COMPROMISOS_2024[[#All],[Total pagado]])</f>
        <v>#REF!</v>
      </c>
      <c r="AM718" s="154">
        <f ca="1">IFERROR(Contrato5[[#This Row],[Pagos]]/Contrato5[[#This Row],[VALOR CONTRATO]],0)</f>
        <v>0</v>
      </c>
      <c r="AN718" s="198" t="e">
        <f ca="1">+Contrato5[[#This Row],[VALOR CONTRATO]]-Contrato5[[#This Row],[Pagos]]</f>
        <v>#REF!</v>
      </c>
      <c r="AO718" s="147" t="e" cm="1">
        <f t="array" aca="1" ref="AO718" ca="1">_xlfn.XLOOKUP(Contrato5[[#This Row],[DOCUMENTO ]],[2]!PERSONAL_ACTIVO_2024[[#All],[Documento identidad]],[2]!PERSONAL_ACTIVO_2024[[#All],[Mail ]],0,0)</f>
        <v>#NAME?</v>
      </c>
      <c r="AP718" s="147" t="e" cm="1">
        <f t="array" aca="1" ref="AP718" ca="1">_xlfn.XLOOKUP(Contrato5[[#This Row],[DOCUMENTO]],[2]!PERSONAL_ACTIVO_2024[[#All],[Documento identidad]],[2]!PERSONAL_ACTIVO_2024[[#All],[Mail ]],0,0)</f>
        <v>#NAME?</v>
      </c>
      <c r="AQ718" s="439" cm="1">
        <f t="array" aca="1" ref="AQ718" ca="1">IF(ISBLANK(Contrato5[[#This Row],[DEPENDENCIA ]]),0,IFERROR(_xlfn.XLOOKUP(Contrato5[[#This Row],[DEPENDENCIA ]],[2]!PERSONAL_ACTIVO_2024[[#All],[Dependencia]],[2]!PERSONAL_ACTIVO_2024[[#All],[Mail ]],0,0),0))</f>
        <v>0</v>
      </c>
    </row>
    <row r="719" spans="1:43" ht="34.5" customHeight="1">
      <c r="A719" s="147">
        <v>716</v>
      </c>
      <c r="B719" s="124">
        <v>592</v>
      </c>
      <c r="C719" s="162" t="s">
        <v>1770</v>
      </c>
      <c r="D719" s="227" t="s">
        <v>583</v>
      </c>
      <c r="E719" s="440" t="s">
        <v>94</v>
      </c>
      <c r="F719" s="227" t="s">
        <v>1767</v>
      </c>
      <c r="G719" s="281" t="s">
        <v>2978</v>
      </c>
      <c r="H719" s="436">
        <v>890907411</v>
      </c>
      <c r="I719" s="273" t="s">
        <v>42</v>
      </c>
      <c r="J719" s="437">
        <v>90000000</v>
      </c>
      <c r="K719" s="131" t="s">
        <v>42</v>
      </c>
      <c r="L719" s="438" t="s">
        <v>2855</v>
      </c>
      <c r="M719" s="194" t="s">
        <v>586</v>
      </c>
      <c r="N719" s="177" t="e" cm="1">
        <f t="array" aca="1" ref="N719" ca="1">_xlfn.XLOOKUP(Contrato5[[#This Row],[SUPERVISOR TITULAR]],[2]!PERSONAL_ACTIVO_2024[[#All],[Nombre completo]],[2]!PERSONAL_ACTIVO_2024[[#All],[Documento identidad]],"",0)</f>
        <v>#NAME?</v>
      </c>
      <c r="O719" s="194" t="s">
        <v>589</v>
      </c>
      <c r="P719" s="196" t="e" cm="1">
        <f t="array" aca="1" ref="P719" ca="1">_xlfn.XLOOKUP(Contrato5[[#This Row],[SUPERVISOR SUPLENTE ]],[2]!PERSONAL_ACTIVO_2024[[#All],[Nombre completo]],[2]!PERSONAL_ACTIVO_2024[[#All],[Documento identidad]],"",0)</f>
        <v>#NAME?</v>
      </c>
      <c r="Q719" s="170">
        <v>609</v>
      </c>
      <c r="R719" s="137" t="e" cm="1">
        <f t="array" aca="1" ref="R719" ca="1">_xlfn.XLOOKUP(Contrato5[[#This Row],[CDP]],[2]!DISPONIBILIDADES_2024[[#All],[consecutivo]],[2]!DISPONIBILIDADES_2024[[#All],[fecha_aprobacion]],"",0)</f>
        <v>#NAME?</v>
      </c>
      <c r="S719" s="138" t="e">
        <f>SUMIF([2]!DISPONIBILIDADES_2024[[#All],[consecutivo]],Contrato5[[#This Row],[CDP]],[2]!DISPONIBILIDADES_2024[[#All],[valor_total_rubro]])</f>
        <v>#REF!</v>
      </c>
      <c r="T719" s="139" t="e" cm="1">
        <f t="array" aca="1" ref="T719" ca="1">_xlfn.XLOOKUP(Contrato5[[#This Row],[CONTRATO]]&amp;Contrato5[[#This Row],[CDP]],[2]!Corr_Contr_CDP[[#All],[CONTRATO-CDP]],[2]!Corr_Contr_CDP[[#All],[CRP]],_xlfn.XLOOKUP(Contrato5[[#This Row],[CDP]],[2]!COMPROMISOS_2024[[#All],[disponibilidad]],[2]!COMPROMISOS_2024[[#All],[consecutivo]],"",0),0)</f>
        <v>#NAME?</v>
      </c>
      <c r="U719" s="140" t="e" cm="1">
        <f t="array" aca="1" ref="U719" ca="1">+_xlfn.XLOOKUP(Contrato5[[#This Row],[RCP]],[2]!COMPROMISOS_2024[[#All],[consecutivo]],[2]!COMPROMISOS_2024[[#All],[fecha_aprobacion]],"",0)</f>
        <v>#NAME?</v>
      </c>
      <c r="V719" s="141" t="e">
        <f ca="1">SUMIF([2]!COMPROMISOS_2024[[#All],[consecutivo]],Contrato5[[#This Row],[RCP]],[2]!COMPROMISOS_2024[[#All],[valor_total]])</f>
        <v>#REF!</v>
      </c>
      <c r="W719" s="160">
        <v>45512</v>
      </c>
      <c r="X719" s="161">
        <v>45525</v>
      </c>
      <c r="Y719" s="143">
        <v>45525</v>
      </c>
      <c r="Z719" s="262">
        <v>45656</v>
      </c>
      <c r="AA719" s="183" t="s">
        <v>2979</v>
      </c>
      <c r="AB719" s="172" t="s">
        <v>2973</v>
      </c>
      <c r="AC719" s="172"/>
      <c r="AD719" s="425">
        <v>202000005158</v>
      </c>
      <c r="AE719" s="147" t="s">
        <v>523</v>
      </c>
      <c r="AF719" s="148" t="str">
        <f>TEXT(LEFT(Contrato5[[#This Row],[CONTRATO]],3),"0")</f>
        <v>592</v>
      </c>
      <c r="AG719" s="148" t="str">
        <f>IF(LEN(Contrato5[[#This Row],[Contrato2]])=3,Contrato5[[#This Row],[Contrato2]],TEXT(Contrato5[[#This Row],[Contrato2]],"000"))</f>
        <v>592</v>
      </c>
      <c r="AH719" s="149">
        <f ca="1">IFERROR(_xlfn.DAYS(Contrato5[[#This Row],[Fecha Proyectada liquidación]],TODAY())/30,"")</f>
        <v>0.6</v>
      </c>
      <c r="AI719" s="150">
        <f>+Contrato5[[#This Row],[FECHA TERMINACIÓN ]]+120</f>
        <v>45776</v>
      </c>
      <c r="AJ719" s="147"/>
      <c r="AK719" s="152" t="str">
        <f ca="1">IF(Contrato5[[#This Row],[FECHA TERMINACIÓN ]]&lt;TODAY(), "Terminado",IF(ISNUMBER(Contrato5[[#This Row],[Fecha Real de liquiidación ]]),"Liquidado",IF(Contrato5[[#This Row],[FECHA TERMINACIÓN ]]&gt;=TODAY(),"En ejecución","")))</f>
        <v>Terminado</v>
      </c>
      <c r="AL719" s="153" t="e">
        <f ca="1">SUMIF([2]!COMPROMISOS_2024[[#All],[consecutivo]],Contrato5[[#This Row],[RCP]],[2]!COMPROMISOS_2024[[#All],[Total pagado]])</f>
        <v>#REF!</v>
      </c>
      <c r="AM719" s="154">
        <f ca="1">IFERROR(Contrato5[[#This Row],[Pagos]]/Contrato5[[#This Row],[VALOR CONTRATO]],0)</f>
        <v>0</v>
      </c>
      <c r="AN719" s="198" t="e">
        <f ca="1">+Contrato5[[#This Row],[VALOR CONTRATO]]-Contrato5[[#This Row],[Pagos]]</f>
        <v>#REF!</v>
      </c>
      <c r="AO719" s="147" t="e" cm="1">
        <f t="array" aca="1" ref="AO719" ca="1">_xlfn.XLOOKUP(Contrato5[[#This Row],[DOCUMENTO ]],[2]!PERSONAL_ACTIVO_2024[[#All],[Documento identidad]],[2]!PERSONAL_ACTIVO_2024[[#All],[Mail ]],0,0)</f>
        <v>#NAME?</v>
      </c>
      <c r="AP719" s="147" t="e" cm="1">
        <f t="array" aca="1" ref="AP719" ca="1">_xlfn.XLOOKUP(Contrato5[[#This Row],[DOCUMENTO]],[2]!PERSONAL_ACTIVO_2024[[#All],[Documento identidad]],[2]!PERSONAL_ACTIVO_2024[[#All],[Mail ]],0,0)</f>
        <v>#NAME?</v>
      </c>
      <c r="AQ719" s="439" cm="1">
        <f t="array" aca="1" ref="AQ719" ca="1">IF(ISBLANK(Contrato5[[#This Row],[DEPENDENCIA ]]),0,IFERROR(_xlfn.XLOOKUP(Contrato5[[#This Row],[DEPENDENCIA ]],[2]!PERSONAL_ACTIVO_2024[[#All],[Dependencia]],[2]!PERSONAL_ACTIVO_2024[[#All],[Mail ]],0,0),0))</f>
        <v>0</v>
      </c>
    </row>
    <row r="720" spans="1:43" ht="34.5" customHeight="1">
      <c r="A720" s="147">
        <v>758</v>
      </c>
      <c r="B720" s="124">
        <v>593</v>
      </c>
      <c r="C720" s="287" t="s">
        <v>1497</v>
      </c>
      <c r="D720" s="227" t="s">
        <v>602</v>
      </c>
      <c r="E720" s="440" t="s">
        <v>94</v>
      </c>
      <c r="F720" s="227" t="s">
        <v>1376</v>
      </c>
      <c r="G720" s="281" t="s">
        <v>1102</v>
      </c>
      <c r="H720" s="436">
        <v>1040751203</v>
      </c>
      <c r="I720" s="273">
        <v>6879081</v>
      </c>
      <c r="J720" s="437">
        <v>38336800</v>
      </c>
      <c r="K720" s="131" t="s">
        <v>2814</v>
      </c>
      <c r="L720" s="438"/>
      <c r="M720" s="194" t="s">
        <v>604</v>
      </c>
      <c r="N720" s="177" t="e" cm="1">
        <f t="array" aca="1" ref="N720" ca="1">_xlfn.XLOOKUP(Contrato5[[#This Row],[SUPERVISOR TITULAR]],[2]!PERSONAL_ACTIVO_2024[[#All],[Nombre completo]],[2]!PERSONAL_ACTIVO_2024[[#All],[Documento identidad]],"",0)</f>
        <v>#NAME?</v>
      </c>
      <c r="O720" s="194" t="s">
        <v>605</v>
      </c>
      <c r="P720" s="196" t="e" cm="1">
        <f t="array" aca="1" ref="P720" ca="1">_xlfn.XLOOKUP(Contrato5[[#This Row],[SUPERVISOR SUPLENTE ]],[2]!PERSONAL_ACTIVO_2024[[#All],[Nombre completo]],[2]!PERSONAL_ACTIVO_2024[[#All],[Documento identidad]],"",0)</f>
        <v>#NAME?</v>
      </c>
      <c r="Q720" s="170">
        <v>808</v>
      </c>
      <c r="R720" s="137" t="e" cm="1">
        <f t="array" aca="1" ref="R720" ca="1">_xlfn.XLOOKUP(Contrato5[[#This Row],[CDP]],[2]!DISPONIBILIDADES_2024[[#All],[consecutivo]],[2]!DISPONIBILIDADES_2024[[#All],[fecha_aprobacion]],"",0)</f>
        <v>#NAME?</v>
      </c>
      <c r="S720" s="138" t="e">
        <f>SUMIF([2]!DISPONIBILIDADES_2024[[#All],[consecutivo]],Contrato5[[#This Row],[CDP]],[2]!DISPONIBILIDADES_2024[[#All],[valor_total_rubro]])</f>
        <v>#REF!</v>
      </c>
      <c r="T720" s="139" t="e" cm="1">
        <f t="array" aca="1" ref="T720" ca="1">_xlfn.XLOOKUP(Contrato5[[#This Row],[CONTRATO]]&amp;Contrato5[[#This Row],[CDP]],[2]!Corr_Contr_CDP[[#All],[CONTRATO-CDP]],[2]!Corr_Contr_CDP[[#All],[CRP]],_xlfn.XLOOKUP(Contrato5[[#This Row],[CDP]],[2]!COMPROMISOS_2024[[#All],[disponibilidad]],[2]!COMPROMISOS_2024[[#All],[consecutivo]],"",0),0)</f>
        <v>#NAME?</v>
      </c>
      <c r="U720" s="140" t="e" cm="1">
        <f t="array" aca="1" ref="U720" ca="1">+_xlfn.XLOOKUP(Contrato5[[#This Row],[RCP]],[2]!COMPROMISOS_2024[[#All],[consecutivo]],[2]!COMPROMISOS_2024[[#All],[fecha_aprobacion]],"",0)</f>
        <v>#NAME?</v>
      </c>
      <c r="V720" s="141" t="e">
        <f ca="1">SUMIF([2]!COMPROMISOS_2024[[#All],[consecutivo]],Contrato5[[#This Row],[RCP]],[2]!COMPROMISOS_2024[[#All],[valor_total]])</f>
        <v>#REF!</v>
      </c>
      <c r="W720" s="160">
        <v>45512</v>
      </c>
      <c r="X720" s="160" t="s">
        <v>1045</v>
      </c>
      <c r="Y720" s="143">
        <v>45513</v>
      </c>
      <c r="Z720" s="262">
        <v>45657</v>
      </c>
      <c r="AA720" s="183" t="s">
        <v>2980</v>
      </c>
      <c r="AB720" s="172" t="s">
        <v>2981</v>
      </c>
      <c r="AC720" s="172"/>
      <c r="AD720" s="425">
        <v>202000005159</v>
      </c>
      <c r="AE720" s="147" t="s">
        <v>523</v>
      </c>
      <c r="AF720" s="148" t="str">
        <f>TEXT(LEFT(Contrato5[[#This Row],[CONTRATO]],3),"0")</f>
        <v>593</v>
      </c>
      <c r="AG720" s="148" t="str">
        <f>IF(LEN(Contrato5[[#This Row],[Contrato2]])=3,Contrato5[[#This Row],[Contrato2]],TEXT(Contrato5[[#This Row],[Contrato2]],"000"))</f>
        <v>593</v>
      </c>
      <c r="AH720" s="149">
        <f ca="1">IFERROR(_xlfn.DAYS(Contrato5[[#This Row],[Fecha Proyectada liquidación]],TODAY())/30,"")</f>
        <v>0.6333333333333333</v>
      </c>
      <c r="AI720" s="150">
        <f>+Contrato5[[#This Row],[FECHA TERMINACIÓN ]]+120</f>
        <v>45777</v>
      </c>
      <c r="AJ720" s="147"/>
      <c r="AK720" s="152" t="str">
        <f ca="1">IF(Contrato5[[#This Row],[FECHA TERMINACIÓN ]]&lt;TODAY(), "Terminado",IF(ISNUMBER(Contrato5[[#This Row],[Fecha Real de liquiidación ]]),"Liquidado",IF(Contrato5[[#This Row],[FECHA TERMINACIÓN ]]&gt;=TODAY(),"En ejecución","")))</f>
        <v>Terminado</v>
      </c>
      <c r="AL720" s="153" t="e">
        <f ca="1">SUMIF([2]!COMPROMISOS_2024[[#All],[consecutivo]],Contrato5[[#This Row],[RCP]],[2]!COMPROMISOS_2024[[#All],[Total pagado]])</f>
        <v>#REF!</v>
      </c>
      <c r="AM720" s="154">
        <f ca="1">IFERROR(Contrato5[[#This Row],[Pagos]]/Contrato5[[#This Row],[VALOR CONTRATO]],0)</f>
        <v>0</v>
      </c>
      <c r="AN720" s="198" t="e">
        <f ca="1">+Contrato5[[#This Row],[VALOR CONTRATO]]-Contrato5[[#This Row],[Pagos]]</f>
        <v>#REF!</v>
      </c>
      <c r="AO720" s="147" t="e" cm="1">
        <f t="array" aca="1" ref="AO720" ca="1">_xlfn.XLOOKUP(Contrato5[[#This Row],[DOCUMENTO ]],[2]!PERSONAL_ACTIVO_2024[[#All],[Documento identidad]],[2]!PERSONAL_ACTIVO_2024[[#All],[Mail ]],0,0)</f>
        <v>#NAME?</v>
      </c>
      <c r="AP720" s="147" t="e" cm="1">
        <f t="array" aca="1" ref="AP720" ca="1">_xlfn.XLOOKUP(Contrato5[[#This Row],[DOCUMENTO]],[2]!PERSONAL_ACTIVO_2024[[#All],[Documento identidad]],[2]!PERSONAL_ACTIVO_2024[[#All],[Mail ]],0,0)</f>
        <v>#NAME?</v>
      </c>
      <c r="AQ720" s="439" cm="1">
        <f t="array" aca="1" ref="AQ720" ca="1">IF(ISBLANK(Contrato5[[#This Row],[DEPENDENCIA ]]),0,IFERROR(_xlfn.XLOOKUP(Contrato5[[#This Row],[DEPENDENCIA ]],[2]!PERSONAL_ACTIVO_2024[[#All],[Dependencia]],[2]!PERSONAL_ACTIVO_2024[[#All],[Mail ]],0,0),0))</f>
        <v>0</v>
      </c>
    </row>
    <row r="721" spans="1:43" ht="34.5" customHeight="1">
      <c r="A721" s="125">
        <v>590</v>
      </c>
      <c r="B721" s="124">
        <v>594</v>
      </c>
      <c r="C721" s="162" t="s">
        <v>1318</v>
      </c>
      <c r="D721" s="227" t="s">
        <v>493</v>
      </c>
      <c r="E721" s="172" t="s">
        <v>113</v>
      </c>
      <c r="F721" s="227" t="s">
        <v>107</v>
      </c>
      <c r="G721" s="281" t="s">
        <v>2982</v>
      </c>
      <c r="H721" s="436">
        <v>901539248</v>
      </c>
      <c r="I721" s="273" t="s">
        <v>42</v>
      </c>
      <c r="J721" s="437">
        <v>50000000</v>
      </c>
      <c r="K721" s="131" t="s">
        <v>42</v>
      </c>
      <c r="L721" s="438" t="s">
        <v>2443</v>
      </c>
      <c r="M721" s="194" t="s">
        <v>497</v>
      </c>
      <c r="N721" s="177" t="e" cm="1">
        <f t="array" aca="1" ref="N721" ca="1">_xlfn.XLOOKUP(Contrato5[[#This Row],[SUPERVISOR TITULAR]],[2]!PERSONAL_ACTIVO_2024[[#All],[Nombre completo]],[2]!PERSONAL_ACTIVO_2024[[#All],[Documento identidad]],"",0)</f>
        <v>#NAME?</v>
      </c>
      <c r="O721" s="194" t="s">
        <v>2486</v>
      </c>
      <c r="P721" s="196" t="e" cm="1">
        <f t="array" aca="1" ref="P721" ca="1">_xlfn.XLOOKUP(Contrato5[[#This Row],[SUPERVISOR SUPLENTE ]],[2]!PERSONAL_ACTIVO_2024[[#All],[Nombre completo]],[2]!PERSONAL_ACTIVO_2024[[#All],[Documento identidad]],"",0)</f>
        <v>#NAME?</v>
      </c>
      <c r="Q721" s="170">
        <v>430</v>
      </c>
      <c r="R721" s="137" t="e" cm="1">
        <f t="array" aca="1" ref="R721" ca="1">_xlfn.XLOOKUP(Contrato5[[#This Row],[CDP]],[2]!DISPONIBILIDADES_2024[[#All],[consecutivo]],[2]!DISPONIBILIDADES_2024[[#All],[fecha_aprobacion]],"",0)</f>
        <v>#NAME?</v>
      </c>
      <c r="S721" s="138" t="e">
        <f>SUMIF([2]!DISPONIBILIDADES_2024[[#All],[consecutivo]],Contrato5[[#This Row],[CDP]],[2]!DISPONIBILIDADES_2024[[#All],[valor_total_rubro]])</f>
        <v>#REF!</v>
      </c>
      <c r="T721" s="139" t="e" cm="1">
        <f t="array" aca="1" ref="T721" ca="1">_xlfn.XLOOKUP(Contrato5[[#This Row],[CONTRATO]]&amp;Contrato5[[#This Row],[CDP]],[2]!Corr_Contr_CDP[[#All],[CONTRATO-CDP]],[2]!Corr_Contr_CDP[[#All],[CRP]],_xlfn.XLOOKUP(Contrato5[[#This Row],[CDP]],[2]!COMPROMISOS_2024[[#All],[disponibilidad]],[2]!COMPROMISOS_2024[[#All],[consecutivo]],"",0),0)</f>
        <v>#NAME?</v>
      </c>
      <c r="U721" s="140" t="e" cm="1">
        <f t="array" aca="1" ref="U721" ca="1">+_xlfn.XLOOKUP(Contrato5[[#This Row],[RCP]],[2]!COMPROMISOS_2024[[#All],[consecutivo]],[2]!COMPROMISOS_2024[[#All],[fecha_aprobacion]],"",0)</f>
        <v>#NAME?</v>
      </c>
      <c r="V721" s="141" t="e">
        <f ca="1">SUMIF([2]!COMPROMISOS_2024[[#All],[consecutivo]],Contrato5[[#This Row],[RCP]],[2]!COMPROMISOS_2024[[#All],[valor_total]])</f>
        <v>#REF!</v>
      </c>
      <c r="W721" s="160">
        <v>45499</v>
      </c>
      <c r="X721" s="161">
        <v>45506</v>
      </c>
      <c r="Y721" s="143">
        <v>45513</v>
      </c>
      <c r="Z721" s="262">
        <v>45656</v>
      </c>
      <c r="AA721" s="183" t="s">
        <v>2983</v>
      </c>
      <c r="AB721" s="172" t="s">
        <v>2984</v>
      </c>
      <c r="AC721" s="172"/>
      <c r="AD721" s="425">
        <v>202000005160</v>
      </c>
      <c r="AE721" s="147" t="s">
        <v>523</v>
      </c>
      <c r="AF721" s="148" t="str">
        <f>TEXT(LEFT(Contrato5[[#This Row],[CONTRATO]],3),"0")</f>
        <v>594</v>
      </c>
      <c r="AG721" s="148" t="str">
        <f>IF(LEN(Contrato5[[#This Row],[Contrato2]])=3,Contrato5[[#This Row],[Contrato2]],TEXT(Contrato5[[#This Row],[Contrato2]],"000"))</f>
        <v>594</v>
      </c>
      <c r="AH721" s="149">
        <f ca="1">IFERROR(_xlfn.DAYS(Contrato5[[#This Row],[Fecha Proyectada liquidación]],TODAY())/30,"")</f>
        <v>0.6</v>
      </c>
      <c r="AI721" s="150">
        <f>+Contrato5[[#This Row],[FECHA TERMINACIÓN ]]+120</f>
        <v>45776</v>
      </c>
      <c r="AJ721" s="147"/>
      <c r="AK721" s="152" t="str">
        <f ca="1">IF(Contrato5[[#This Row],[FECHA TERMINACIÓN ]]&lt;TODAY(), "Terminado",IF(ISNUMBER(Contrato5[[#This Row],[Fecha Real de liquiidación ]]),"Liquidado",IF(Contrato5[[#This Row],[FECHA TERMINACIÓN ]]&gt;=TODAY(),"En ejecución","")))</f>
        <v>Terminado</v>
      </c>
      <c r="AL721" s="153" t="e">
        <f ca="1">SUMIF([2]!COMPROMISOS_2024[[#All],[consecutivo]],Contrato5[[#This Row],[RCP]],[2]!COMPROMISOS_2024[[#All],[Total pagado]])</f>
        <v>#REF!</v>
      </c>
      <c r="AM721" s="154">
        <f ca="1">IFERROR(Contrato5[[#This Row],[Pagos]]/Contrato5[[#This Row],[VALOR CONTRATO]],0)</f>
        <v>0</v>
      </c>
      <c r="AN721" s="198" t="e">
        <f ca="1">+Contrato5[[#This Row],[VALOR CONTRATO]]-Contrato5[[#This Row],[Pagos]]</f>
        <v>#REF!</v>
      </c>
      <c r="AO721" s="147" t="e" cm="1">
        <f t="array" aca="1" ref="AO721" ca="1">_xlfn.XLOOKUP(Contrato5[[#This Row],[DOCUMENTO ]],[2]!PERSONAL_ACTIVO_2024[[#All],[Documento identidad]],[2]!PERSONAL_ACTIVO_2024[[#All],[Mail ]],0,0)</f>
        <v>#NAME?</v>
      </c>
      <c r="AP721" s="147" t="e" cm="1">
        <f t="array" aca="1" ref="AP721" ca="1">_xlfn.XLOOKUP(Contrato5[[#This Row],[DOCUMENTO]],[2]!PERSONAL_ACTIVO_2024[[#All],[Documento identidad]],[2]!PERSONAL_ACTIVO_2024[[#All],[Mail ]],0,0)</f>
        <v>#NAME?</v>
      </c>
      <c r="AQ721" s="439" cm="1">
        <f t="array" aca="1" ref="AQ721" ca="1">IF(ISBLANK(Contrato5[[#This Row],[DEPENDENCIA ]]),0,IFERROR(_xlfn.XLOOKUP(Contrato5[[#This Row],[DEPENDENCIA ]],[2]!PERSONAL_ACTIVO_2024[[#All],[Dependencia]],[2]!PERSONAL_ACTIVO_2024[[#All],[Mail ]],0,0),0))</f>
        <v>0</v>
      </c>
    </row>
    <row r="722" spans="1:43" ht="34.5" customHeight="1">
      <c r="A722" s="125">
        <v>586</v>
      </c>
      <c r="B722" s="124">
        <v>595</v>
      </c>
      <c r="C722" s="162" t="s">
        <v>2985</v>
      </c>
      <c r="D722" s="227" t="s">
        <v>493</v>
      </c>
      <c r="E722" s="172" t="s">
        <v>151</v>
      </c>
      <c r="F722" s="227" t="s">
        <v>494</v>
      </c>
      <c r="G722" s="281" t="s">
        <v>2986</v>
      </c>
      <c r="H722" s="436">
        <v>800010401</v>
      </c>
      <c r="I722" s="273" t="s">
        <v>42</v>
      </c>
      <c r="J722" s="437">
        <v>6318900</v>
      </c>
      <c r="K722" s="131" t="s">
        <v>42</v>
      </c>
      <c r="L722" s="438" t="s">
        <v>2768</v>
      </c>
      <c r="M722" s="194" t="s">
        <v>505</v>
      </c>
      <c r="N722" s="177" t="e" cm="1">
        <f t="array" aca="1" ref="N722" ca="1">_xlfn.XLOOKUP(Contrato5[[#This Row],[SUPERVISOR TITULAR]],[2]!PERSONAL_ACTIVO_2024[[#All],[Nombre completo]],[2]!PERSONAL_ACTIVO_2024[[#All],[Documento identidad]],"",0)</f>
        <v>#NAME?</v>
      </c>
      <c r="O722" s="194" t="s">
        <v>497</v>
      </c>
      <c r="P722" s="196" t="e" cm="1">
        <f t="array" aca="1" ref="P722" ca="1">_xlfn.XLOOKUP(Contrato5[[#This Row],[SUPERVISOR SUPLENTE ]],[2]!PERSONAL_ACTIVO_2024[[#All],[Nombre completo]],[2]!PERSONAL_ACTIVO_2024[[#All],[Documento identidad]],"",0)</f>
        <v>#NAME?</v>
      </c>
      <c r="Q722" s="170">
        <v>630</v>
      </c>
      <c r="R722" s="137" t="e" cm="1">
        <f t="array" aca="1" ref="R722" ca="1">_xlfn.XLOOKUP(Contrato5[[#This Row],[CDP]],[2]!DISPONIBILIDADES_2024[[#All],[consecutivo]],[2]!DISPONIBILIDADES_2024[[#All],[fecha_aprobacion]],"",0)</f>
        <v>#NAME?</v>
      </c>
      <c r="S722" s="138" t="e">
        <f>SUMIF([2]!DISPONIBILIDADES_2024[[#All],[consecutivo]],Contrato5[[#This Row],[CDP]],[2]!DISPONIBILIDADES_2024[[#All],[valor_total_rubro]])</f>
        <v>#REF!</v>
      </c>
      <c r="T722" s="139" t="e" cm="1">
        <f t="array" aca="1" ref="T722" ca="1">_xlfn.XLOOKUP(Contrato5[[#This Row],[CONTRATO]]&amp;Contrato5[[#This Row],[CDP]],[2]!Corr_Contr_CDP[[#All],[CONTRATO-CDP]],[2]!Corr_Contr_CDP[[#All],[CRP]],_xlfn.XLOOKUP(Contrato5[[#This Row],[CDP]],[2]!COMPROMISOS_2024[[#All],[disponibilidad]],[2]!COMPROMISOS_2024[[#All],[consecutivo]],"",0),0)</f>
        <v>#NAME?</v>
      </c>
      <c r="U722" s="140" t="e" cm="1">
        <f t="array" aca="1" ref="U722" ca="1">+_xlfn.XLOOKUP(Contrato5[[#This Row],[RCP]],[2]!COMPROMISOS_2024[[#All],[consecutivo]],[2]!COMPROMISOS_2024[[#All],[fecha_aprobacion]],"",0)</f>
        <v>#NAME?</v>
      </c>
      <c r="V722" s="141" t="e">
        <f ca="1">SUMIF([2]!COMPROMISOS_2024[[#All],[consecutivo]],Contrato5[[#This Row],[RCP]],[2]!COMPROMISOS_2024[[#All],[valor_total]])</f>
        <v>#REF!</v>
      </c>
      <c r="W722" s="160">
        <v>45516</v>
      </c>
      <c r="X722" s="161">
        <v>45513</v>
      </c>
      <c r="Y722" s="143">
        <v>45530</v>
      </c>
      <c r="Z722" s="262">
        <v>45656</v>
      </c>
      <c r="AA722" s="183" t="s">
        <v>2987</v>
      </c>
      <c r="AB722" s="172" t="s">
        <v>2988</v>
      </c>
      <c r="AC722" s="172"/>
      <c r="AD722" s="425">
        <v>202000005161</v>
      </c>
      <c r="AE722" s="147" t="s">
        <v>523</v>
      </c>
      <c r="AF722" s="148" t="str">
        <f>TEXT(LEFT(Contrato5[[#This Row],[CONTRATO]],3),"0")</f>
        <v>595</v>
      </c>
      <c r="AG722" s="148" t="str">
        <f>IF(LEN(Contrato5[[#This Row],[Contrato2]])=3,Contrato5[[#This Row],[Contrato2]],TEXT(Contrato5[[#This Row],[Contrato2]],"000"))</f>
        <v>595</v>
      </c>
      <c r="AH722" s="149">
        <f ca="1">IFERROR(_xlfn.DAYS(Contrato5[[#This Row],[Fecha Proyectada liquidación]],TODAY())/30,"")</f>
        <v>0.6</v>
      </c>
      <c r="AI722" s="150">
        <f>+Contrato5[[#This Row],[FECHA TERMINACIÓN ]]+120</f>
        <v>45776</v>
      </c>
      <c r="AJ722" s="147"/>
      <c r="AK722" s="152" t="str">
        <f ca="1">IF(Contrato5[[#This Row],[FECHA TERMINACIÓN ]]&lt;TODAY(), "Terminado",IF(ISNUMBER(Contrato5[[#This Row],[Fecha Real de liquiidación ]]),"Liquidado",IF(Contrato5[[#This Row],[FECHA TERMINACIÓN ]]&gt;=TODAY(),"En ejecución","")))</f>
        <v>Terminado</v>
      </c>
      <c r="AL722" s="153" t="e">
        <f ca="1">SUMIF([2]!COMPROMISOS_2024[[#All],[consecutivo]],Contrato5[[#This Row],[RCP]],[2]!COMPROMISOS_2024[[#All],[Total pagado]])</f>
        <v>#REF!</v>
      </c>
      <c r="AM722" s="154">
        <f ca="1">IFERROR(Contrato5[[#This Row],[Pagos]]/Contrato5[[#This Row],[VALOR CONTRATO]],0)</f>
        <v>0</v>
      </c>
      <c r="AN722" s="198" t="e">
        <f ca="1">+Contrato5[[#This Row],[VALOR CONTRATO]]-Contrato5[[#This Row],[Pagos]]</f>
        <v>#REF!</v>
      </c>
      <c r="AO722" s="147" t="e" cm="1">
        <f t="array" aca="1" ref="AO722" ca="1">_xlfn.XLOOKUP(Contrato5[[#This Row],[DOCUMENTO ]],[2]!PERSONAL_ACTIVO_2024[[#All],[Documento identidad]],[2]!PERSONAL_ACTIVO_2024[[#All],[Mail ]],0,0)</f>
        <v>#NAME?</v>
      </c>
      <c r="AP722" s="147" t="e" cm="1">
        <f t="array" aca="1" ref="AP722" ca="1">_xlfn.XLOOKUP(Contrato5[[#This Row],[DOCUMENTO]],[2]!PERSONAL_ACTIVO_2024[[#All],[Documento identidad]],[2]!PERSONAL_ACTIVO_2024[[#All],[Mail ]],0,0)</f>
        <v>#NAME?</v>
      </c>
      <c r="AQ722" s="439" cm="1">
        <f t="array" aca="1" ref="AQ722" ca="1">IF(ISBLANK(Contrato5[[#This Row],[DEPENDENCIA ]]),0,IFERROR(_xlfn.XLOOKUP(Contrato5[[#This Row],[DEPENDENCIA ]],[2]!PERSONAL_ACTIVO_2024[[#All],[Dependencia]],[2]!PERSONAL_ACTIVO_2024[[#All],[Mail ]],0,0),0))</f>
        <v>0</v>
      </c>
    </row>
    <row r="723" spans="1:43" ht="34.5" customHeight="1">
      <c r="A723" s="147">
        <v>985</v>
      </c>
      <c r="B723" s="124">
        <v>596</v>
      </c>
      <c r="C723" s="162" t="s">
        <v>1349</v>
      </c>
      <c r="D723" s="227" t="s">
        <v>493</v>
      </c>
      <c r="E723" s="440" t="s">
        <v>94</v>
      </c>
      <c r="F723" s="227" t="s">
        <v>1376</v>
      </c>
      <c r="G723" s="281" t="s">
        <v>817</v>
      </c>
      <c r="H723" s="436">
        <v>43524445</v>
      </c>
      <c r="I723" s="273">
        <v>3379853</v>
      </c>
      <c r="J723" s="437">
        <v>14646030</v>
      </c>
      <c r="K723" s="131" t="s">
        <v>42</v>
      </c>
      <c r="L723" s="438" t="s">
        <v>2989</v>
      </c>
      <c r="M723" s="194" t="s">
        <v>568</v>
      </c>
      <c r="N723" s="177" t="e" cm="1">
        <f t="array" aca="1" ref="N723" ca="1">_xlfn.XLOOKUP(Contrato5[[#This Row],[SUPERVISOR TITULAR]],[2]!PERSONAL_ACTIVO_2024[[#All],[Nombre completo]],[2]!PERSONAL_ACTIVO_2024[[#All],[Documento identidad]],"",0)</f>
        <v>#NAME?</v>
      </c>
      <c r="O723" s="194" t="s">
        <v>2489</v>
      </c>
      <c r="P723" s="196" t="e" cm="1">
        <f t="array" aca="1" ref="P723" ca="1">_xlfn.XLOOKUP(Contrato5[[#This Row],[SUPERVISOR SUPLENTE ]],[2]!PERSONAL_ACTIVO_2024[[#All],[Nombre completo]],[2]!PERSONAL_ACTIVO_2024[[#All],[Documento identidad]],"",0)</f>
        <v>#NAME?</v>
      </c>
      <c r="Q723" s="170">
        <v>826</v>
      </c>
      <c r="R723" s="137" t="e" cm="1">
        <f t="array" aca="1" ref="R723" ca="1">_xlfn.XLOOKUP(Contrato5[[#This Row],[CDP]],[2]!DISPONIBILIDADES_2024[[#All],[consecutivo]],[2]!DISPONIBILIDADES_2024[[#All],[fecha_aprobacion]],"",0)</f>
        <v>#NAME?</v>
      </c>
      <c r="S723" s="138" t="e">
        <f>SUMIF([2]!DISPONIBILIDADES_2024[[#All],[consecutivo]],Contrato5[[#This Row],[CDP]],[2]!DISPONIBILIDADES_2024[[#All],[valor_total_rubro]])</f>
        <v>#REF!</v>
      </c>
      <c r="T723" s="139" t="e" cm="1">
        <f t="array" aca="1" ref="T723" ca="1">_xlfn.XLOOKUP(Contrato5[[#This Row],[CONTRATO]]&amp;Contrato5[[#This Row],[CDP]],[2]!Corr_Contr_CDP[[#All],[CONTRATO-CDP]],[2]!Corr_Contr_CDP[[#All],[CRP]],_xlfn.XLOOKUP(Contrato5[[#This Row],[CDP]],[2]!COMPROMISOS_2024[[#All],[disponibilidad]],[2]!COMPROMISOS_2024[[#All],[consecutivo]],"",0),0)</f>
        <v>#NAME?</v>
      </c>
      <c r="U723" s="140" t="e" cm="1">
        <f t="array" aca="1" ref="U723" ca="1">+_xlfn.XLOOKUP(Contrato5[[#This Row],[RCP]],[2]!COMPROMISOS_2024[[#All],[consecutivo]],[2]!COMPROMISOS_2024[[#All],[fecha_aprobacion]],"",0)</f>
        <v>#NAME?</v>
      </c>
      <c r="V723" s="141" t="e">
        <f ca="1">SUMIF([2]!COMPROMISOS_2024[[#All],[consecutivo]],Contrato5[[#This Row],[RCP]],[2]!COMPROMISOS_2024[[#All],[valor_total]])</f>
        <v>#REF!</v>
      </c>
      <c r="W723" s="160">
        <v>45526</v>
      </c>
      <c r="X723" s="160" t="s">
        <v>1045</v>
      </c>
      <c r="Y723" s="143">
        <v>45530</v>
      </c>
      <c r="Z723" s="262">
        <v>45656</v>
      </c>
      <c r="AA723" s="183" t="s">
        <v>2990</v>
      </c>
      <c r="AB723" s="172" t="s">
        <v>2991</v>
      </c>
      <c r="AC723" s="172"/>
      <c r="AD723" s="425">
        <v>202000005162</v>
      </c>
      <c r="AE723" s="147" t="s">
        <v>523</v>
      </c>
      <c r="AF723" s="148" t="str">
        <f>TEXT(LEFT(Contrato5[[#This Row],[CONTRATO]],3),"0")</f>
        <v>596</v>
      </c>
      <c r="AG723" s="148" t="str">
        <f>IF(LEN(Contrato5[[#This Row],[Contrato2]])=3,Contrato5[[#This Row],[Contrato2]],TEXT(Contrato5[[#This Row],[Contrato2]],"000"))</f>
        <v>596</v>
      </c>
      <c r="AH723" s="149">
        <f ca="1">IFERROR(_xlfn.DAYS(Contrato5[[#This Row],[Fecha Proyectada liquidación]],TODAY())/30,"")</f>
        <v>0.6</v>
      </c>
      <c r="AI723" s="150">
        <f>+Contrato5[[#This Row],[FECHA TERMINACIÓN ]]+120</f>
        <v>45776</v>
      </c>
      <c r="AJ723" s="147"/>
      <c r="AK723" s="152" t="str">
        <f ca="1">IF(Contrato5[[#This Row],[FECHA TERMINACIÓN ]]&lt;TODAY(), "Terminado",IF(ISNUMBER(Contrato5[[#This Row],[Fecha Real de liquiidación ]]),"Liquidado",IF(Contrato5[[#This Row],[FECHA TERMINACIÓN ]]&gt;=TODAY(),"En ejecución","")))</f>
        <v>Terminado</v>
      </c>
      <c r="AL723" s="153" t="e">
        <f ca="1">SUMIF([2]!COMPROMISOS_2024[[#All],[consecutivo]],Contrato5[[#This Row],[RCP]],[2]!COMPROMISOS_2024[[#All],[Total pagado]])</f>
        <v>#REF!</v>
      </c>
      <c r="AM723" s="154">
        <f ca="1">IFERROR(Contrato5[[#This Row],[Pagos]]/Contrato5[[#This Row],[VALOR CONTRATO]],0)</f>
        <v>0</v>
      </c>
      <c r="AN723" s="198" t="e">
        <f ca="1">+Contrato5[[#This Row],[VALOR CONTRATO]]-Contrato5[[#This Row],[Pagos]]</f>
        <v>#REF!</v>
      </c>
      <c r="AO723" s="147" t="e" cm="1">
        <f t="array" aca="1" ref="AO723" ca="1">_xlfn.XLOOKUP(Contrato5[[#This Row],[DOCUMENTO ]],[2]!PERSONAL_ACTIVO_2024[[#All],[Documento identidad]],[2]!PERSONAL_ACTIVO_2024[[#All],[Mail ]],0,0)</f>
        <v>#NAME?</v>
      </c>
      <c r="AP723" s="147" t="e" cm="1">
        <f t="array" aca="1" ref="AP723" ca="1">_xlfn.XLOOKUP(Contrato5[[#This Row],[DOCUMENTO]],[2]!PERSONAL_ACTIVO_2024[[#All],[Documento identidad]],[2]!PERSONAL_ACTIVO_2024[[#All],[Mail ]],0,0)</f>
        <v>#NAME?</v>
      </c>
      <c r="AQ723" s="439" cm="1">
        <f t="array" aca="1" ref="AQ723" ca="1">IF(ISBLANK(Contrato5[[#This Row],[DEPENDENCIA ]]),0,IFERROR(_xlfn.XLOOKUP(Contrato5[[#This Row],[DEPENDENCIA ]],[2]!PERSONAL_ACTIVO_2024[[#All],[Dependencia]],[2]!PERSONAL_ACTIVO_2024[[#All],[Mail ]],0,0),0))</f>
        <v>0</v>
      </c>
    </row>
    <row r="724" spans="1:43" ht="34.5" customHeight="1">
      <c r="A724" s="147">
        <v>980</v>
      </c>
      <c r="B724" s="124">
        <v>597</v>
      </c>
      <c r="C724" s="162" t="s">
        <v>1790</v>
      </c>
      <c r="D724" s="227" t="s">
        <v>583</v>
      </c>
      <c r="E724" s="440" t="s">
        <v>94</v>
      </c>
      <c r="F724" s="227" t="s">
        <v>1376</v>
      </c>
      <c r="G724" s="281" t="s">
        <v>825</v>
      </c>
      <c r="H724" s="436">
        <v>1093224558</v>
      </c>
      <c r="I724" s="273">
        <v>6879081</v>
      </c>
      <c r="J724" s="437">
        <v>34267956</v>
      </c>
      <c r="K724" s="131" t="s">
        <v>2814</v>
      </c>
      <c r="L724" s="438" t="s">
        <v>2989</v>
      </c>
      <c r="M724" s="194" t="s">
        <v>600</v>
      </c>
      <c r="N724" s="177" t="e" cm="1">
        <f t="array" aca="1" ref="N724" ca="1">_xlfn.XLOOKUP(Contrato5[[#This Row],[SUPERVISOR TITULAR]],[2]!PERSONAL_ACTIVO_2024[[#All],[Nombre completo]],[2]!PERSONAL_ACTIVO_2024[[#All],[Documento identidad]],"",0)</f>
        <v>#NAME?</v>
      </c>
      <c r="O724" s="194" t="s">
        <v>2495</v>
      </c>
      <c r="P724" s="196" t="e" cm="1">
        <f t="array" aca="1" ref="P724" ca="1">_xlfn.XLOOKUP(Contrato5[[#This Row],[SUPERVISOR SUPLENTE ]],[2]!PERSONAL_ACTIVO_2024[[#All],[Nombre completo]],[2]!PERSONAL_ACTIVO_2024[[#All],[Documento identidad]],"",0)</f>
        <v>#NAME?</v>
      </c>
      <c r="Q724" s="170">
        <v>745</v>
      </c>
      <c r="R724" s="137" t="e" cm="1">
        <f t="array" aca="1" ref="R724" ca="1">_xlfn.XLOOKUP(Contrato5[[#This Row],[CDP]],[2]!DISPONIBILIDADES_2024[[#All],[consecutivo]],[2]!DISPONIBILIDADES_2024[[#All],[fecha_aprobacion]],"",0)</f>
        <v>#NAME?</v>
      </c>
      <c r="S724" s="138" t="e">
        <f>SUMIF([2]!DISPONIBILIDADES_2024[[#All],[consecutivo]],Contrato5[[#This Row],[CDP]],[2]!DISPONIBILIDADES_2024[[#All],[valor_total_rubro]])</f>
        <v>#REF!</v>
      </c>
      <c r="T724" s="139" t="e" cm="1">
        <f t="array" aca="1" ref="T724" ca="1">_xlfn.XLOOKUP(Contrato5[[#This Row],[CONTRATO]]&amp;Contrato5[[#This Row],[CDP]],[2]!Corr_Contr_CDP[[#All],[CONTRATO-CDP]],[2]!Corr_Contr_CDP[[#All],[CRP]],_xlfn.XLOOKUP(Contrato5[[#This Row],[CDP]],[2]!COMPROMISOS_2024[[#All],[disponibilidad]],[2]!COMPROMISOS_2024[[#All],[consecutivo]],"",0),0)</f>
        <v>#NAME?</v>
      </c>
      <c r="U724" s="140" t="e" cm="1">
        <f t="array" aca="1" ref="U724" ca="1">+_xlfn.XLOOKUP(Contrato5[[#This Row],[RCP]],[2]!COMPROMISOS_2024[[#All],[consecutivo]],[2]!COMPROMISOS_2024[[#All],[fecha_aprobacion]],"",0)</f>
        <v>#NAME?</v>
      </c>
      <c r="V724" s="141" t="e">
        <f ca="1">SUMIF([2]!COMPROMISOS_2024[[#All],[consecutivo]],Contrato5[[#This Row],[RCP]],[2]!COMPROMISOS_2024[[#All],[valor_total]])</f>
        <v>#REF!</v>
      </c>
      <c r="W724" s="160">
        <v>45517</v>
      </c>
      <c r="X724" s="160" t="s">
        <v>1045</v>
      </c>
      <c r="Y724" s="143">
        <v>45523</v>
      </c>
      <c r="Z724" s="262">
        <v>45657</v>
      </c>
      <c r="AA724" s="183" t="s">
        <v>2992</v>
      </c>
      <c r="AB724" s="172" t="s">
        <v>2993</v>
      </c>
      <c r="AC724" s="172"/>
      <c r="AD724" s="425">
        <v>202000005163</v>
      </c>
      <c r="AE724" s="147" t="s">
        <v>523</v>
      </c>
      <c r="AF724" s="148" t="str">
        <f>TEXT(LEFT(Contrato5[[#This Row],[CONTRATO]],3),"0")</f>
        <v>597</v>
      </c>
      <c r="AG724" s="148" t="str">
        <f>IF(LEN(Contrato5[[#This Row],[Contrato2]])=3,Contrato5[[#This Row],[Contrato2]],TEXT(Contrato5[[#This Row],[Contrato2]],"000"))</f>
        <v>597</v>
      </c>
      <c r="AH724" s="149">
        <f ca="1">IFERROR(_xlfn.DAYS(Contrato5[[#This Row],[Fecha Proyectada liquidación]],TODAY())/30,"")</f>
        <v>0.6333333333333333</v>
      </c>
      <c r="AI724" s="150">
        <f>+Contrato5[[#This Row],[FECHA TERMINACIÓN ]]+120</f>
        <v>45777</v>
      </c>
      <c r="AJ724" s="147"/>
      <c r="AK724" s="152" t="str">
        <f ca="1">IF(Contrato5[[#This Row],[FECHA TERMINACIÓN ]]&lt;TODAY(), "Terminado",IF(ISNUMBER(Contrato5[[#This Row],[Fecha Real de liquiidación ]]),"Liquidado",IF(Contrato5[[#This Row],[FECHA TERMINACIÓN ]]&gt;=TODAY(),"En ejecución","")))</f>
        <v>Terminado</v>
      </c>
      <c r="AL724" s="153" t="e">
        <f ca="1">SUMIF([2]!COMPROMISOS_2024[[#All],[consecutivo]],Contrato5[[#This Row],[RCP]],[2]!COMPROMISOS_2024[[#All],[Total pagado]])</f>
        <v>#REF!</v>
      </c>
      <c r="AM724" s="154">
        <f ca="1">IFERROR(Contrato5[[#This Row],[Pagos]]/Contrato5[[#This Row],[VALOR CONTRATO]],0)</f>
        <v>0</v>
      </c>
      <c r="AN724" s="198" t="e">
        <f ca="1">+Contrato5[[#This Row],[VALOR CONTRATO]]-Contrato5[[#This Row],[Pagos]]</f>
        <v>#REF!</v>
      </c>
      <c r="AO724" s="147" t="e" cm="1">
        <f t="array" aca="1" ref="AO724" ca="1">_xlfn.XLOOKUP(Contrato5[[#This Row],[DOCUMENTO ]],[2]!PERSONAL_ACTIVO_2024[[#All],[Documento identidad]],[2]!PERSONAL_ACTIVO_2024[[#All],[Mail ]],0,0)</f>
        <v>#NAME?</v>
      </c>
      <c r="AP724" s="147" t="e" cm="1">
        <f t="array" aca="1" ref="AP724" ca="1">_xlfn.XLOOKUP(Contrato5[[#This Row],[DOCUMENTO]],[2]!PERSONAL_ACTIVO_2024[[#All],[Documento identidad]],[2]!PERSONAL_ACTIVO_2024[[#All],[Mail ]],0,0)</f>
        <v>#NAME?</v>
      </c>
      <c r="AQ724" s="439" cm="1">
        <f t="array" aca="1" ref="AQ724" ca="1">IF(ISBLANK(Contrato5[[#This Row],[DEPENDENCIA ]]),0,IFERROR(_xlfn.XLOOKUP(Contrato5[[#This Row],[DEPENDENCIA ]],[2]!PERSONAL_ACTIVO_2024[[#All],[Dependencia]],[2]!PERSONAL_ACTIVO_2024[[#All],[Mail ]],0,0),0))</f>
        <v>0</v>
      </c>
    </row>
    <row r="725" spans="1:43" ht="34.5" customHeight="1">
      <c r="A725" s="147" t="s">
        <v>886</v>
      </c>
      <c r="B725" s="124">
        <v>598</v>
      </c>
      <c r="C725" s="162" t="s">
        <v>887</v>
      </c>
      <c r="D725" s="128" t="s">
        <v>42</v>
      </c>
      <c r="E725" s="128" t="s">
        <v>42</v>
      </c>
      <c r="F725" s="227" t="s">
        <v>255</v>
      </c>
      <c r="G725" s="290" t="s">
        <v>887</v>
      </c>
      <c r="H725" s="447">
        <v>0</v>
      </c>
      <c r="I725" s="455">
        <v>0</v>
      </c>
      <c r="J725" s="456">
        <v>0</v>
      </c>
      <c r="K725" s="284">
        <v>0</v>
      </c>
      <c r="L725" s="438" t="s">
        <v>2646</v>
      </c>
      <c r="M725" s="194"/>
      <c r="N725" s="177" t="e" cm="1">
        <f t="array" aca="1" ref="N725" ca="1">_xlfn.XLOOKUP(Contrato5[[#This Row],[SUPERVISOR TITULAR]],[2]!PERSONAL_ACTIVO_2024[[#All],[Nombre completo]],[2]!PERSONAL_ACTIVO_2024[[#All],[Documento identidad]],"",0)</f>
        <v>#NAME?</v>
      </c>
      <c r="O725" s="194"/>
      <c r="P725" s="196" t="e" cm="1">
        <f t="array" aca="1" ref="P725" ca="1">_xlfn.XLOOKUP(Contrato5[[#This Row],[SUPERVISOR SUPLENTE ]],[2]!PERSONAL_ACTIVO_2024[[#All],[Nombre completo]],[2]!PERSONAL_ACTIVO_2024[[#All],[Documento identidad]],"",0)</f>
        <v>#NAME?</v>
      </c>
      <c r="Q725" s="191">
        <v>0</v>
      </c>
      <c r="R725" s="137" t="e" cm="1">
        <f t="array" aca="1" ref="R725" ca="1">_xlfn.XLOOKUP(Contrato5[[#This Row],[CDP]],[2]!DISPONIBILIDADES_2024[[#All],[consecutivo]],[2]!DISPONIBILIDADES_2024[[#All],[fecha_aprobacion]],"",0)</f>
        <v>#NAME?</v>
      </c>
      <c r="S725" s="138" t="e">
        <f>SUMIF([2]!DISPONIBILIDADES_2024[[#All],[consecutivo]],Contrato5[[#This Row],[CDP]],[2]!DISPONIBILIDADES_2024[[#All],[valor_total_rubro]])</f>
        <v>#REF!</v>
      </c>
      <c r="T725" s="139" t="e" cm="1">
        <f t="array" aca="1" ref="T725" ca="1">_xlfn.XLOOKUP(Contrato5[[#This Row],[CONTRATO]]&amp;Contrato5[[#This Row],[CDP]],[2]!Corr_Contr_CDP[[#All],[CONTRATO-CDP]],[2]!Corr_Contr_CDP[[#All],[CRP]],_xlfn.XLOOKUP(Contrato5[[#This Row],[CDP]],[2]!COMPROMISOS_2024[[#All],[disponibilidad]],[2]!COMPROMISOS_2024[[#All],[consecutivo]],"",0),0)</f>
        <v>#NAME?</v>
      </c>
      <c r="U725" s="140" t="e" cm="1">
        <f t="array" aca="1" ref="U725" ca="1">+_xlfn.XLOOKUP(Contrato5[[#This Row],[RCP]],[2]!COMPROMISOS_2024[[#All],[consecutivo]],[2]!COMPROMISOS_2024[[#All],[fecha_aprobacion]],"",0)</f>
        <v>#NAME?</v>
      </c>
      <c r="V725" s="141" t="e">
        <f ca="1">SUMIF([2]!COMPROMISOS_2024[[#All],[consecutivo]],Contrato5[[#This Row],[RCP]],[2]!COMPROMISOS_2024[[#All],[valor_total]])</f>
        <v>#REF!</v>
      </c>
      <c r="W725" s="160"/>
      <c r="X725" s="161"/>
      <c r="Y725" s="143" t="e">
        <f ca="1">+LEFT(_xlfn.XLOOKUP(Contrato5[[#This Row],[CONTRATO3DIG]],[2]SECOP_II!AE:AE,[2]SECOP_II!F:F,"",0),10)</f>
        <v>#NAME?</v>
      </c>
      <c r="Z725" s="262"/>
      <c r="AA725" s="183"/>
      <c r="AB725" s="191">
        <v>0</v>
      </c>
      <c r="AC725" s="172"/>
      <c r="AD725" s="288"/>
      <c r="AE725" s="147"/>
      <c r="AF725" s="148" t="str">
        <f>TEXT(LEFT(Contrato5[[#This Row],[CONTRATO]],3),"0")</f>
        <v>598</v>
      </c>
      <c r="AG725" s="148" t="str">
        <f>IF(LEN(Contrato5[[#This Row],[Contrato2]])=3,Contrato5[[#This Row],[Contrato2]],TEXT(Contrato5[[#This Row],[Contrato2]],"000"))</f>
        <v>598</v>
      </c>
      <c r="AH725" s="149">
        <f ca="1">IFERROR(_xlfn.DAYS(Contrato5[[#This Row],[Fecha Proyectada liquidación]],TODAY())/30,"")</f>
        <v>-1521.2666666666667</v>
      </c>
      <c r="AI725" s="150">
        <f>+Contrato5[[#This Row],[FECHA TERMINACIÓN ]]+120</f>
        <v>120</v>
      </c>
      <c r="AJ725" s="147"/>
      <c r="AK725" s="152" t="str">
        <f ca="1">IF(Contrato5[[#This Row],[FECHA TERMINACIÓN ]]&lt;TODAY(), "Terminado",IF(ISNUMBER(Contrato5[[#This Row],[Fecha Real de liquiidación ]]),"Liquidado",IF(Contrato5[[#This Row],[FECHA TERMINACIÓN ]]&gt;=TODAY(),"En ejecución","")))</f>
        <v>Terminado</v>
      </c>
      <c r="AL725" s="153" t="e">
        <f ca="1">SUMIF([2]!COMPROMISOS_2024[[#All],[consecutivo]],Contrato5[[#This Row],[RCP]],[2]!COMPROMISOS_2024[[#All],[Total pagado]])</f>
        <v>#REF!</v>
      </c>
      <c r="AM725" s="154">
        <f ca="1">IFERROR(Contrato5[[#This Row],[Pagos]]/Contrato5[[#This Row],[VALOR CONTRATO]],0)</f>
        <v>0</v>
      </c>
      <c r="AN725" s="198" t="e">
        <f ca="1">+Contrato5[[#This Row],[VALOR CONTRATO]]-Contrato5[[#This Row],[Pagos]]</f>
        <v>#REF!</v>
      </c>
      <c r="AO725" s="147" t="e" cm="1">
        <f t="array" aca="1" ref="AO725" ca="1">_xlfn.XLOOKUP(Contrato5[[#This Row],[DOCUMENTO ]],[2]!PERSONAL_ACTIVO_2024[[#All],[Documento identidad]],[2]!PERSONAL_ACTIVO_2024[[#All],[Mail ]],0,0)</f>
        <v>#NAME?</v>
      </c>
      <c r="AP725" s="147" t="e" cm="1">
        <f t="array" aca="1" ref="AP725" ca="1">_xlfn.XLOOKUP(Contrato5[[#This Row],[DOCUMENTO]],[2]!PERSONAL_ACTIVO_2024[[#All],[Documento identidad]],[2]!PERSONAL_ACTIVO_2024[[#All],[Mail ]],0,0)</f>
        <v>#NAME?</v>
      </c>
      <c r="AQ725" s="439" cm="1">
        <f t="array" aca="1" ref="AQ725" ca="1">IF(ISBLANK(Contrato5[[#This Row],[DEPENDENCIA ]]),0,IFERROR(_xlfn.XLOOKUP(Contrato5[[#This Row],[DEPENDENCIA ]],[2]!PERSONAL_ACTIVO_2024[[#All],[Dependencia]],[2]!PERSONAL_ACTIVO_2024[[#All],[Mail ]],0,0),0))</f>
        <v>0</v>
      </c>
    </row>
    <row r="726" spans="1:43" ht="34.5" customHeight="1">
      <c r="A726" s="147" t="s">
        <v>886</v>
      </c>
      <c r="B726" s="124">
        <v>599</v>
      </c>
      <c r="C726" s="162" t="s">
        <v>887</v>
      </c>
      <c r="D726" s="128" t="s">
        <v>42</v>
      </c>
      <c r="E726" s="128" t="s">
        <v>42</v>
      </c>
      <c r="F726" s="227" t="s">
        <v>255</v>
      </c>
      <c r="G726" s="290" t="s">
        <v>887</v>
      </c>
      <c r="H726" s="447">
        <v>0</v>
      </c>
      <c r="I726" s="455">
        <v>0</v>
      </c>
      <c r="J726" s="456">
        <v>0</v>
      </c>
      <c r="K726" s="284">
        <v>0</v>
      </c>
      <c r="L726" s="438" t="s">
        <v>2646</v>
      </c>
      <c r="M726" s="194"/>
      <c r="N726" s="177" t="e" cm="1">
        <f t="array" aca="1" ref="N726" ca="1">_xlfn.XLOOKUP(Contrato5[[#This Row],[SUPERVISOR TITULAR]],[2]!PERSONAL_ACTIVO_2024[[#All],[Nombre completo]],[2]!PERSONAL_ACTIVO_2024[[#All],[Documento identidad]],"",0)</f>
        <v>#NAME?</v>
      </c>
      <c r="O726" s="194"/>
      <c r="P726" s="196" t="e" cm="1">
        <f t="array" aca="1" ref="P726" ca="1">_xlfn.XLOOKUP(Contrato5[[#This Row],[SUPERVISOR SUPLENTE ]],[2]!PERSONAL_ACTIVO_2024[[#All],[Nombre completo]],[2]!PERSONAL_ACTIVO_2024[[#All],[Documento identidad]],"",0)</f>
        <v>#NAME?</v>
      </c>
      <c r="Q726" s="191">
        <v>0</v>
      </c>
      <c r="R726" s="137" t="e" cm="1">
        <f t="array" aca="1" ref="R726" ca="1">_xlfn.XLOOKUP(Contrato5[[#This Row],[CDP]],[2]!DISPONIBILIDADES_2024[[#All],[consecutivo]],[2]!DISPONIBILIDADES_2024[[#All],[fecha_aprobacion]],"",0)</f>
        <v>#NAME?</v>
      </c>
      <c r="S726" s="138" t="e">
        <f>SUMIF([2]!DISPONIBILIDADES_2024[[#All],[consecutivo]],Contrato5[[#This Row],[CDP]],[2]!DISPONIBILIDADES_2024[[#All],[valor_total_rubro]])</f>
        <v>#REF!</v>
      </c>
      <c r="T726" s="139" t="e" cm="1">
        <f t="array" aca="1" ref="T726" ca="1">_xlfn.XLOOKUP(Contrato5[[#This Row],[CONTRATO]]&amp;Contrato5[[#This Row],[CDP]],[2]!Corr_Contr_CDP[[#All],[CONTRATO-CDP]],[2]!Corr_Contr_CDP[[#All],[CRP]],_xlfn.XLOOKUP(Contrato5[[#This Row],[CDP]],[2]!COMPROMISOS_2024[[#All],[disponibilidad]],[2]!COMPROMISOS_2024[[#All],[consecutivo]],"",0),0)</f>
        <v>#NAME?</v>
      </c>
      <c r="U726" s="140" t="e" cm="1">
        <f t="array" aca="1" ref="U726" ca="1">+_xlfn.XLOOKUP(Contrato5[[#This Row],[RCP]],[2]!COMPROMISOS_2024[[#All],[consecutivo]],[2]!COMPROMISOS_2024[[#All],[fecha_aprobacion]],"",0)</f>
        <v>#NAME?</v>
      </c>
      <c r="V726" s="141" t="e">
        <f ca="1">SUMIF([2]!COMPROMISOS_2024[[#All],[consecutivo]],Contrato5[[#This Row],[RCP]],[2]!COMPROMISOS_2024[[#All],[valor_total]])</f>
        <v>#REF!</v>
      </c>
      <c r="W726" s="160"/>
      <c r="X726" s="161"/>
      <c r="Y726" s="143" t="e">
        <f ca="1">+LEFT(_xlfn.XLOOKUP(Contrato5[[#This Row],[CONTRATO3DIG]],[2]SECOP_II!AE:AE,[2]SECOP_II!F:F,"",0),10)</f>
        <v>#NAME?</v>
      </c>
      <c r="Z726" s="262"/>
      <c r="AA726" s="183"/>
      <c r="AB726" s="191">
        <v>0</v>
      </c>
      <c r="AC726" s="172"/>
      <c r="AD726" s="288"/>
      <c r="AE726" s="147"/>
      <c r="AF726" s="148" t="str">
        <f>TEXT(LEFT(Contrato5[[#This Row],[CONTRATO]],3),"0")</f>
        <v>599</v>
      </c>
      <c r="AG726" s="148" t="str">
        <f>IF(LEN(Contrato5[[#This Row],[Contrato2]])=3,Contrato5[[#This Row],[Contrato2]],TEXT(Contrato5[[#This Row],[Contrato2]],"000"))</f>
        <v>599</v>
      </c>
      <c r="AH726" s="149">
        <f ca="1">IFERROR(_xlfn.DAYS(Contrato5[[#This Row],[Fecha Proyectada liquidación]],TODAY())/30,"")</f>
        <v>-1521.2666666666667</v>
      </c>
      <c r="AI726" s="150">
        <f>+Contrato5[[#This Row],[FECHA TERMINACIÓN ]]+120</f>
        <v>120</v>
      </c>
      <c r="AJ726" s="147"/>
      <c r="AK726" s="152" t="str">
        <f ca="1">IF(Contrato5[[#This Row],[FECHA TERMINACIÓN ]]&lt;TODAY(), "Terminado",IF(ISNUMBER(Contrato5[[#This Row],[Fecha Real de liquiidación ]]),"Liquidado",IF(Contrato5[[#This Row],[FECHA TERMINACIÓN ]]&gt;=TODAY(),"En ejecución","")))</f>
        <v>Terminado</v>
      </c>
      <c r="AL726" s="153" t="e">
        <f ca="1">SUMIF([2]!COMPROMISOS_2024[[#All],[consecutivo]],Contrato5[[#This Row],[RCP]],[2]!COMPROMISOS_2024[[#All],[Total pagado]])</f>
        <v>#REF!</v>
      </c>
      <c r="AM726" s="154">
        <f ca="1">IFERROR(Contrato5[[#This Row],[Pagos]]/Contrato5[[#This Row],[VALOR CONTRATO]],0)</f>
        <v>0</v>
      </c>
      <c r="AN726" s="198" t="e">
        <f ca="1">+Contrato5[[#This Row],[VALOR CONTRATO]]-Contrato5[[#This Row],[Pagos]]</f>
        <v>#REF!</v>
      </c>
      <c r="AO726" s="147" t="e" cm="1">
        <f t="array" aca="1" ref="AO726" ca="1">_xlfn.XLOOKUP(Contrato5[[#This Row],[DOCUMENTO ]],[2]!PERSONAL_ACTIVO_2024[[#All],[Documento identidad]],[2]!PERSONAL_ACTIVO_2024[[#All],[Mail ]],0,0)</f>
        <v>#NAME?</v>
      </c>
      <c r="AP726" s="147" t="e" cm="1">
        <f t="array" aca="1" ref="AP726" ca="1">_xlfn.XLOOKUP(Contrato5[[#This Row],[DOCUMENTO]],[2]!PERSONAL_ACTIVO_2024[[#All],[Documento identidad]],[2]!PERSONAL_ACTIVO_2024[[#All],[Mail ]],0,0)</f>
        <v>#NAME?</v>
      </c>
      <c r="AQ726" s="439" cm="1">
        <f t="array" aca="1" ref="AQ726" ca="1">IF(ISBLANK(Contrato5[[#This Row],[DEPENDENCIA ]]),0,IFERROR(_xlfn.XLOOKUP(Contrato5[[#This Row],[DEPENDENCIA ]],[2]!PERSONAL_ACTIVO_2024[[#All],[Dependencia]],[2]!PERSONAL_ACTIVO_2024[[#All],[Mail ]],0,0),0))</f>
        <v>0</v>
      </c>
    </row>
    <row r="727" spans="1:43" ht="34.5" customHeight="1">
      <c r="A727" s="147">
        <v>715</v>
      </c>
      <c r="B727" s="124">
        <v>600</v>
      </c>
      <c r="C727" s="162" t="s">
        <v>1769</v>
      </c>
      <c r="D727" s="227" t="s">
        <v>583</v>
      </c>
      <c r="E727" s="440" t="s">
        <v>94</v>
      </c>
      <c r="F727" s="227" t="s">
        <v>255</v>
      </c>
      <c r="G727" s="281" t="s">
        <v>2994</v>
      </c>
      <c r="H727" s="436">
        <v>890911185</v>
      </c>
      <c r="I727" s="273" t="s">
        <v>42</v>
      </c>
      <c r="J727" s="437">
        <v>70000000</v>
      </c>
      <c r="K727" s="131" t="s">
        <v>42</v>
      </c>
      <c r="L727" s="438" t="s">
        <v>2989</v>
      </c>
      <c r="M727" s="194" t="s">
        <v>586</v>
      </c>
      <c r="N727" s="177" t="e" cm="1">
        <f t="array" aca="1" ref="N727" ca="1">_xlfn.XLOOKUP(Contrato5[[#This Row],[SUPERVISOR TITULAR]],[2]!PERSONAL_ACTIVO_2024[[#All],[Nombre completo]],[2]!PERSONAL_ACTIVO_2024[[#All],[Documento identidad]],"",0)</f>
        <v>#NAME?</v>
      </c>
      <c r="O727" s="194" t="s">
        <v>589</v>
      </c>
      <c r="P727" s="196" t="e" cm="1">
        <f t="array" aca="1" ref="P727" ca="1">_xlfn.XLOOKUP(Contrato5[[#This Row],[SUPERVISOR SUPLENTE ]],[2]!PERSONAL_ACTIVO_2024[[#All],[Nombre completo]],[2]!PERSONAL_ACTIVO_2024[[#All],[Documento identidad]],"",0)</f>
        <v>#NAME?</v>
      </c>
      <c r="Q727" s="170">
        <v>738</v>
      </c>
      <c r="R727" s="137" t="e" cm="1">
        <f t="array" aca="1" ref="R727" ca="1">_xlfn.XLOOKUP(Contrato5[[#This Row],[CDP]],[2]!DISPONIBILIDADES_2024[[#All],[consecutivo]],[2]!DISPONIBILIDADES_2024[[#All],[fecha_aprobacion]],"",0)</f>
        <v>#NAME?</v>
      </c>
      <c r="S727" s="138" t="e">
        <f>SUMIF([2]!DISPONIBILIDADES_2024[[#All],[consecutivo]],Contrato5[[#This Row],[CDP]],[2]!DISPONIBILIDADES_2024[[#All],[valor_total_rubro]])</f>
        <v>#REF!</v>
      </c>
      <c r="T727" s="139" t="e" cm="1">
        <f t="array" aca="1" ref="T727" ca="1">_xlfn.XLOOKUP(Contrato5[[#This Row],[CONTRATO]]&amp;Contrato5[[#This Row],[CDP]],[2]!Corr_Contr_CDP[[#All],[CONTRATO-CDP]],[2]!Corr_Contr_CDP[[#All],[CRP]],_xlfn.XLOOKUP(Contrato5[[#This Row],[CDP]],[2]!COMPROMISOS_2024[[#All],[disponibilidad]],[2]!COMPROMISOS_2024[[#All],[consecutivo]],"",0),0)</f>
        <v>#NAME?</v>
      </c>
      <c r="U727" s="140" t="e" cm="1">
        <f t="array" aca="1" ref="U727" ca="1">+_xlfn.XLOOKUP(Contrato5[[#This Row],[RCP]],[2]!COMPROMISOS_2024[[#All],[consecutivo]],[2]!COMPROMISOS_2024[[#All],[fecha_aprobacion]],"",0)</f>
        <v>#NAME?</v>
      </c>
      <c r="V727" s="141" t="e">
        <f ca="1">SUMIF([2]!COMPROMISOS_2024[[#All],[consecutivo]],Contrato5[[#This Row],[RCP]],[2]!COMPROMISOS_2024[[#All],[valor_total]])</f>
        <v>#REF!</v>
      </c>
      <c r="W727" s="160">
        <v>45524</v>
      </c>
      <c r="X727" s="161">
        <v>45537</v>
      </c>
      <c r="Y727" s="143">
        <v>45537</v>
      </c>
      <c r="Z727" s="262">
        <v>45657</v>
      </c>
      <c r="AA727" s="183" t="s">
        <v>2995</v>
      </c>
      <c r="AB727" s="172" t="s">
        <v>2996</v>
      </c>
      <c r="AC727" s="172"/>
      <c r="AD727" s="425">
        <v>202000005329</v>
      </c>
      <c r="AE727" s="147" t="s">
        <v>523</v>
      </c>
      <c r="AF727" s="148" t="str">
        <f>TEXT(LEFT(Contrato5[[#This Row],[CONTRATO]],3),"0")</f>
        <v>600</v>
      </c>
      <c r="AG727" s="148" t="str">
        <f>IF(LEN(Contrato5[[#This Row],[Contrato2]])=3,Contrato5[[#This Row],[Contrato2]],TEXT(Contrato5[[#This Row],[Contrato2]],"000"))</f>
        <v>600</v>
      </c>
      <c r="AH727" s="149">
        <f ca="1">IFERROR(_xlfn.DAYS(Contrato5[[#This Row],[Fecha Proyectada liquidación]],TODAY())/30,"")</f>
        <v>0.6333333333333333</v>
      </c>
      <c r="AI727" s="150">
        <f>+Contrato5[[#This Row],[FECHA TERMINACIÓN ]]+120</f>
        <v>45777</v>
      </c>
      <c r="AJ727" s="147"/>
      <c r="AK727" s="152" t="str">
        <f ca="1">IF(Contrato5[[#This Row],[FECHA TERMINACIÓN ]]&lt;TODAY(), "Terminado",IF(ISNUMBER(Contrato5[[#This Row],[Fecha Real de liquiidación ]]),"Liquidado",IF(Contrato5[[#This Row],[FECHA TERMINACIÓN ]]&gt;=TODAY(),"En ejecución","")))</f>
        <v>Terminado</v>
      </c>
      <c r="AL727" s="153" t="e">
        <f ca="1">SUMIF([2]!COMPROMISOS_2024[[#All],[consecutivo]],Contrato5[[#This Row],[RCP]],[2]!COMPROMISOS_2024[[#All],[Total pagado]])</f>
        <v>#REF!</v>
      </c>
      <c r="AM727" s="154">
        <f ca="1">IFERROR(Contrato5[[#This Row],[Pagos]]/Contrato5[[#This Row],[VALOR CONTRATO]],0)</f>
        <v>0</v>
      </c>
      <c r="AN727" s="198" t="e">
        <f ca="1">+Contrato5[[#This Row],[VALOR CONTRATO]]-Contrato5[[#This Row],[Pagos]]</f>
        <v>#REF!</v>
      </c>
      <c r="AO727" s="147" t="e" cm="1">
        <f t="array" aca="1" ref="AO727" ca="1">_xlfn.XLOOKUP(Contrato5[[#This Row],[DOCUMENTO ]],[2]!PERSONAL_ACTIVO_2024[[#All],[Documento identidad]],[2]!PERSONAL_ACTIVO_2024[[#All],[Mail ]],0,0)</f>
        <v>#NAME?</v>
      </c>
      <c r="AP727" s="147" t="e" cm="1">
        <f t="array" aca="1" ref="AP727" ca="1">_xlfn.XLOOKUP(Contrato5[[#This Row],[DOCUMENTO]],[2]!PERSONAL_ACTIVO_2024[[#All],[Documento identidad]],[2]!PERSONAL_ACTIVO_2024[[#All],[Mail ]],0,0)</f>
        <v>#NAME?</v>
      </c>
      <c r="AQ727" s="439" cm="1">
        <f t="array" aca="1" ref="AQ727" ca="1">IF(ISBLANK(Contrato5[[#This Row],[DEPENDENCIA ]]),0,IFERROR(_xlfn.XLOOKUP(Contrato5[[#This Row],[DEPENDENCIA ]],[2]!PERSONAL_ACTIVO_2024[[#All],[Dependencia]],[2]!PERSONAL_ACTIVO_2024[[#All],[Mail ]],0,0),0))</f>
        <v>0</v>
      </c>
    </row>
    <row r="728" spans="1:43" ht="34.5" customHeight="1">
      <c r="A728" s="147">
        <v>1324</v>
      </c>
      <c r="B728" s="499">
        <v>600</v>
      </c>
      <c r="C728" s="162" t="s">
        <v>2149</v>
      </c>
      <c r="D728" s="227" t="s">
        <v>583</v>
      </c>
      <c r="E728" s="440" t="s">
        <v>2148</v>
      </c>
      <c r="F728" s="227" t="s">
        <v>255</v>
      </c>
      <c r="G728" s="281" t="s">
        <v>2994</v>
      </c>
      <c r="H728" s="436">
        <v>890911185</v>
      </c>
      <c r="I728" s="188"/>
      <c r="J728" s="188">
        <v>35000000</v>
      </c>
      <c r="K728" s="131" t="s">
        <v>42</v>
      </c>
      <c r="L728" s="166" t="s">
        <v>2605</v>
      </c>
      <c r="M728" s="194"/>
      <c r="N728" s="195" t="e" cm="1">
        <f t="array" aca="1" ref="N728" ca="1">_xlfn.XLOOKUP(Contrato5[[#This Row],[SUPERVISOR TITULAR]],[2]!PERSONAL_ACTIVO_2024[[#All],[Nombre completo]],[2]!PERSONAL_ACTIVO_2024[[#All],[Documento identidad]],"",0)</f>
        <v>#NAME?</v>
      </c>
      <c r="O728" s="194"/>
      <c r="P728" s="135" t="e" cm="1">
        <f t="array" aca="1" ref="P728" ca="1">_xlfn.XLOOKUP(Contrato5[[#This Row],[SUPERVISOR SUPLENTE ]],[2]!PERSONAL_ACTIVO_2024[[#All],[Nombre completo]],[2]!PERSONAL_ACTIVO_2024[[#All],[Documento identidad]],"",0)</f>
        <v>#NAME?</v>
      </c>
      <c r="Q728" s="170">
        <v>1211</v>
      </c>
      <c r="R728" s="137" t="e" cm="1">
        <f t="array" aca="1" ref="R728" ca="1">_xlfn.XLOOKUP(Contrato5[[#This Row],[CDP]],[2]!DISPONIBILIDADES_2024[[#All],[consecutivo]],[2]!DISPONIBILIDADES_2024[[#All],[fecha_aprobacion]],"",0)</f>
        <v>#NAME?</v>
      </c>
      <c r="S728" s="138" t="e">
        <f>SUMIF([2]!DISPONIBILIDADES_2024[[#All],[consecutivo]],Contrato5[[#This Row],[CDP]],[2]!DISPONIBILIDADES_2024[[#All],[valor_total_rubro]])</f>
        <v>#REF!</v>
      </c>
      <c r="T728" s="139" t="e" cm="1">
        <f t="array" aca="1" ref="T728" ca="1">_xlfn.XLOOKUP(Contrato5[[#This Row],[CONTRATO]]&amp;Contrato5[[#This Row],[CDP]],[2]!Corr_Contr_CDP[[#All],[CONTRATO-CDP]],[2]!Corr_Contr_CDP[[#All],[CRP]],_xlfn.XLOOKUP(Contrato5[[#This Row],[CDP]],[2]!COMPROMISOS_2024[[#All],[disponibilidad]],[2]!COMPROMISOS_2024[[#All],[consecutivo]],"",0),0)</f>
        <v>#NAME?</v>
      </c>
      <c r="U728" s="140" t="e" cm="1">
        <f t="array" aca="1" ref="U728" ca="1">+_xlfn.XLOOKUP(Contrato5[[#This Row],[RCP]],[2]!COMPROMISOS_2024[[#All],[consecutivo]],[2]!COMPROMISOS_2024[[#All],[fecha_aprobacion]],"",0)</f>
        <v>#NAME?</v>
      </c>
      <c r="V728" s="141" t="e">
        <f ca="1">SUMIF([2]!COMPROMISOS_2024[[#All],[consecutivo]],Contrato5[[#This Row],[RCP]],[2]!COMPROMISOS_2024[[#All],[valor_total]])</f>
        <v>#REF!</v>
      </c>
      <c r="W728" s="160"/>
      <c r="X728" s="161"/>
      <c r="Y728" s="143">
        <v>45537</v>
      </c>
      <c r="Z728" s="262">
        <v>45657</v>
      </c>
      <c r="AA728" s="225"/>
      <c r="AB728" s="172" t="s">
        <v>42</v>
      </c>
      <c r="AC728" s="127"/>
      <c r="AD728" s="211"/>
      <c r="AE728" s="147"/>
      <c r="AF728" s="148" t="str">
        <f>TEXT(LEFT(Contrato5[[#This Row],[CONTRATO]],3),"0")</f>
        <v>600</v>
      </c>
      <c r="AG728" s="148" t="str">
        <f>IF(LEN(Contrato5[[#This Row],[Contrato2]])=3,Contrato5[[#This Row],[Contrato2]],TEXT(Contrato5[[#This Row],[Contrato2]],"000"))</f>
        <v>600</v>
      </c>
      <c r="AH728" s="149">
        <f ca="1">IFERROR(_xlfn.DAYS(Contrato5[[#This Row],[Fecha Proyectada liquidación]],TODAY())/30,"")</f>
        <v>0.6333333333333333</v>
      </c>
      <c r="AI728" s="150">
        <f>+Contrato5[[#This Row],[FECHA TERMINACIÓN ]]+120</f>
        <v>45777</v>
      </c>
      <c r="AJ728" s="147"/>
      <c r="AK728" s="152" t="str">
        <f ca="1">IF(Contrato5[[#This Row],[FECHA TERMINACIÓN ]]&lt;TODAY(), "Terminado",IF(ISNUMBER(Contrato5[[#This Row],[Fecha Real de liquiidación ]]),"Liquidado",IF(Contrato5[[#This Row],[FECHA TERMINACIÓN ]]&gt;=TODAY(),"En ejecución","")))</f>
        <v>Terminado</v>
      </c>
      <c r="AL728" s="153" t="e">
        <f ca="1">SUMIF([2]!COMPROMISOS_2024[[#All],[consecutivo]],Contrato5[[#This Row],[RCP]],[2]!COMPROMISOS_2024[[#All],[Total pagado]])</f>
        <v>#REF!</v>
      </c>
      <c r="AM728" s="154">
        <f ca="1">IFERROR(Contrato5[[#This Row],[Pagos]]/Contrato5[[#This Row],[VALOR CONTRATO]],0)</f>
        <v>0</v>
      </c>
      <c r="AN728" s="198" t="e">
        <f ca="1">+Contrato5[[#This Row],[VALOR CONTRATO]]-Contrato5[[#This Row],[Pagos]]</f>
        <v>#REF!</v>
      </c>
      <c r="AO728" s="147" t="e" cm="1">
        <f t="array" aca="1" ref="AO728" ca="1">_xlfn.XLOOKUP(Contrato5[[#This Row],[DOCUMENTO ]],[2]!PERSONAL_ACTIVO_2024[[#All],[Documento identidad]],[2]!PERSONAL_ACTIVO_2024[[#All],[Mail ]],0,0)</f>
        <v>#NAME?</v>
      </c>
      <c r="AP728" s="147" t="e" cm="1">
        <f t="array" aca="1" ref="AP728" ca="1">_xlfn.XLOOKUP(Contrato5[[#This Row],[DOCUMENTO]],[2]!PERSONAL_ACTIVO_2024[[#All],[Documento identidad]],[2]!PERSONAL_ACTIVO_2024[[#All],[Mail ]],0,0)</f>
        <v>#NAME?</v>
      </c>
      <c r="AQ728" s="439" cm="1">
        <f t="array" aca="1" ref="AQ728" ca="1">IF(ISBLANK(Contrato5[[#This Row],[DEPENDENCIA ]]),0,IFERROR(_xlfn.XLOOKUP(Contrato5[[#This Row],[DEPENDENCIA ]],[2]!PERSONAL_ACTIVO_2024[[#All],[Dependencia]],[2]!PERSONAL_ACTIVO_2024[[#All],[Mail ]],0,0),0))</f>
        <v>0</v>
      </c>
    </row>
    <row r="729" spans="1:43" ht="34.5" customHeight="1">
      <c r="A729" s="147" t="s">
        <v>886</v>
      </c>
      <c r="B729" s="124">
        <v>601</v>
      </c>
      <c r="C729" s="162" t="s">
        <v>887</v>
      </c>
      <c r="D729" s="128" t="s">
        <v>42</v>
      </c>
      <c r="E729" s="128" t="s">
        <v>42</v>
      </c>
      <c r="F729" s="227" t="s">
        <v>255</v>
      </c>
      <c r="G729" s="290" t="s">
        <v>887</v>
      </c>
      <c r="H729" s="447">
        <v>0</v>
      </c>
      <c r="I729" s="455">
        <v>0</v>
      </c>
      <c r="J729" s="456">
        <v>0</v>
      </c>
      <c r="K729" s="284">
        <v>0</v>
      </c>
      <c r="L729" s="438" t="s">
        <v>2646</v>
      </c>
      <c r="M729" s="194"/>
      <c r="N729" s="177" t="e" cm="1">
        <f t="array" aca="1" ref="N729" ca="1">_xlfn.XLOOKUP(Contrato5[[#This Row],[SUPERVISOR TITULAR]],[2]!PERSONAL_ACTIVO_2024[[#All],[Nombre completo]],[2]!PERSONAL_ACTIVO_2024[[#All],[Documento identidad]],"",0)</f>
        <v>#NAME?</v>
      </c>
      <c r="O729" s="194"/>
      <c r="P729" s="196" t="e" cm="1">
        <f t="array" aca="1" ref="P729" ca="1">_xlfn.XLOOKUP(Contrato5[[#This Row],[SUPERVISOR SUPLENTE ]],[2]!PERSONAL_ACTIVO_2024[[#All],[Nombre completo]],[2]!PERSONAL_ACTIVO_2024[[#All],[Documento identidad]],"",0)</f>
        <v>#NAME?</v>
      </c>
      <c r="Q729" s="191">
        <v>0</v>
      </c>
      <c r="R729" s="137" t="e" cm="1">
        <f t="array" aca="1" ref="R729" ca="1">_xlfn.XLOOKUP(Contrato5[[#This Row],[CDP]],[2]!DISPONIBILIDADES_2024[[#All],[consecutivo]],[2]!DISPONIBILIDADES_2024[[#All],[fecha_aprobacion]],"",0)</f>
        <v>#NAME?</v>
      </c>
      <c r="S729" s="138" t="e">
        <f>SUMIF([2]!DISPONIBILIDADES_2024[[#All],[consecutivo]],Contrato5[[#This Row],[CDP]],[2]!DISPONIBILIDADES_2024[[#All],[valor_total_rubro]])</f>
        <v>#REF!</v>
      </c>
      <c r="T729" s="139" t="e" cm="1">
        <f t="array" aca="1" ref="T729" ca="1">_xlfn.XLOOKUP(Contrato5[[#This Row],[CONTRATO]]&amp;Contrato5[[#This Row],[CDP]],[2]!Corr_Contr_CDP[[#All],[CONTRATO-CDP]],[2]!Corr_Contr_CDP[[#All],[CRP]],_xlfn.XLOOKUP(Contrato5[[#This Row],[CDP]],[2]!COMPROMISOS_2024[[#All],[disponibilidad]],[2]!COMPROMISOS_2024[[#All],[consecutivo]],"",0),0)</f>
        <v>#NAME?</v>
      </c>
      <c r="U729" s="140" t="e" cm="1">
        <f t="array" aca="1" ref="U729" ca="1">+_xlfn.XLOOKUP(Contrato5[[#This Row],[RCP]],[2]!COMPROMISOS_2024[[#All],[consecutivo]],[2]!COMPROMISOS_2024[[#All],[fecha_aprobacion]],"",0)</f>
        <v>#NAME?</v>
      </c>
      <c r="V729" s="141" t="e">
        <f ca="1">SUMIF([2]!COMPROMISOS_2024[[#All],[consecutivo]],Contrato5[[#This Row],[RCP]],[2]!COMPROMISOS_2024[[#All],[valor_total]])</f>
        <v>#REF!</v>
      </c>
      <c r="W729" s="160"/>
      <c r="X729" s="161"/>
      <c r="Y729" s="143" t="e">
        <f ca="1">+LEFT(_xlfn.XLOOKUP(Contrato5[[#This Row],[CONTRATO3DIG]],[2]SECOP_II!AE:AE,[2]SECOP_II!F:F,"",0),10)</f>
        <v>#NAME?</v>
      </c>
      <c r="Z729" s="262"/>
      <c r="AA729" s="183"/>
      <c r="AB729" s="191">
        <v>0</v>
      </c>
      <c r="AC729" s="172"/>
      <c r="AD729" s="288"/>
      <c r="AE729" s="147"/>
      <c r="AF729" s="148" t="str">
        <f>TEXT(LEFT(Contrato5[[#This Row],[CONTRATO]],3),"0")</f>
        <v>601</v>
      </c>
      <c r="AG729" s="148" t="str">
        <f>IF(LEN(Contrato5[[#This Row],[Contrato2]])=3,Contrato5[[#This Row],[Contrato2]],TEXT(Contrato5[[#This Row],[Contrato2]],"000"))</f>
        <v>601</v>
      </c>
      <c r="AH729" s="149">
        <f ca="1">IFERROR(_xlfn.DAYS(Contrato5[[#This Row],[Fecha Proyectada liquidación]],TODAY())/30,"")</f>
        <v>-1521.2666666666667</v>
      </c>
      <c r="AI729" s="150">
        <f>+Contrato5[[#This Row],[FECHA TERMINACIÓN ]]+120</f>
        <v>120</v>
      </c>
      <c r="AJ729" s="147"/>
      <c r="AK729" s="152" t="str">
        <f ca="1">IF(Contrato5[[#This Row],[FECHA TERMINACIÓN ]]&lt;TODAY(), "Terminado",IF(ISNUMBER(Contrato5[[#This Row],[Fecha Real de liquiidación ]]),"Liquidado",IF(Contrato5[[#This Row],[FECHA TERMINACIÓN ]]&gt;=TODAY(),"En ejecución","")))</f>
        <v>Terminado</v>
      </c>
      <c r="AL729" s="153" t="e">
        <f ca="1">SUMIF([2]!COMPROMISOS_2024[[#All],[consecutivo]],Contrato5[[#This Row],[RCP]],[2]!COMPROMISOS_2024[[#All],[Total pagado]])</f>
        <v>#REF!</v>
      </c>
      <c r="AM729" s="154">
        <f ca="1">IFERROR(Contrato5[[#This Row],[Pagos]]/Contrato5[[#This Row],[VALOR CONTRATO]],0)</f>
        <v>0</v>
      </c>
      <c r="AN729" s="198" t="e">
        <f ca="1">+Contrato5[[#This Row],[VALOR CONTRATO]]-Contrato5[[#This Row],[Pagos]]</f>
        <v>#REF!</v>
      </c>
      <c r="AO729" s="147" t="e" cm="1">
        <f t="array" aca="1" ref="AO729" ca="1">_xlfn.XLOOKUP(Contrato5[[#This Row],[DOCUMENTO ]],[2]!PERSONAL_ACTIVO_2024[[#All],[Documento identidad]],[2]!PERSONAL_ACTIVO_2024[[#All],[Mail ]],0,0)</f>
        <v>#NAME?</v>
      </c>
      <c r="AP729" s="147" t="e" cm="1">
        <f t="array" aca="1" ref="AP729" ca="1">_xlfn.XLOOKUP(Contrato5[[#This Row],[DOCUMENTO]],[2]!PERSONAL_ACTIVO_2024[[#All],[Documento identidad]],[2]!PERSONAL_ACTIVO_2024[[#All],[Mail ]],0,0)</f>
        <v>#NAME?</v>
      </c>
      <c r="AQ729" s="439" cm="1">
        <f t="array" aca="1" ref="AQ729" ca="1">IF(ISBLANK(Contrato5[[#This Row],[DEPENDENCIA ]]),0,IFERROR(_xlfn.XLOOKUP(Contrato5[[#This Row],[DEPENDENCIA ]],[2]!PERSONAL_ACTIVO_2024[[#All],[Dependencia]],[2]!PERSONAL_ACTIVO_2024[[#All],[Mail ]],0,0),0))</f>
        <v>0</v>
      </c>
    </row>
    <row r="730" spans="1:43" ht="34.5" customHeight="1">
      <c r="A730" s="147" t="s">
        <v>886</v>
      </c>
      <c r="B730" s="124">
        <v>602</v>
      </c>
      <c r="C730" s="162" t="s">
        <v>887</v>
      </c>
      <c r="D730" s="128" t="s">
        <v>42</v>
      </c>
      <c r="E730" s="128" t="s">
        <v>42</v>
      </c>
      <c r="F730" s="227" t="s">
        <v>255</v>
      </c>
      <c r="G730" s="290" t="s">
        <v>887</v>
      </c>
      <c r="H730" s="447">
        <v>0</v>
      </c>
      <c r="I730" s="455">
        <v>0</v>
      </c>
      <c r="J730" s="456">
        <v>0</v>
      </c>
      <c r="K730" s="284">
        <v>0</v>
      </c>
      <c r="L730" s="438" t="s">
        <v>2646</v>
      </c>
      <c r="M730" s="194"/>
      <c r="N730" s="177" t="e" cm="1">
        <f t="array" aca="1" ref="N730" ca="1">_xlfn.XLOOKUP(Contrato5[[#This Row],[SUPERVISOR TITULAR]],[2]!PERSONAL_ACTIVO_2024[[#All],[Nombre completo]],[2]!PERSONAL_ACTIVO_2024[[#All],[Documento identidad]],"",0)</f>
        <v>#NAME?</v>
      </c>
      <c r="O730" s="194"/>
      <c r="P730" s="196" t="e" cm="1">
        <f t="array" aca="1" ref="P730" ca="1">_xlfn.XLOOKUP(Contrato5[[#This Row],[SUPERVISOR SUPLENTE ]],[2]!PERSONAL_ACTIVO_2024[[#All],[Nombre completo]],[2]!PERSONAL_ACTIVO_2024[[#All],[Documento identidad]],"",0)</f>
        <v>#NAME?</v>
      </c>
      <c r="Q730" s="191">
        <v>0</v>
      </c>
      <c r="R730" s="137" t="e" cm="1">
        <f t="array" aca="1" ref="R730" ca="1">_xlfn.XLOOKUP(Contrato5[[#This Row],[CDP]],[2]!DISPONIBILIDADES_2024[[#All],[consecutivo]],[2]!DISPONIBILIDADES_2024[[#All],[fecha_aprobacion]],"",0)</f>
        <v>#NAME?</v>
      </c>
      <c r="S730" s="138" t="e">
        <f>SUMIF([2]!DISPONIBILIDADES_2024[[#All],[consecutivo]],Contrato5[[#This Row],[CDP]],[2]!DISPONIBILIDADES_2024[[#All],[valor_total_rubro]])</f>
        <v>#REF!</v>
      </c>
      <c r="T730" s="139" t="e" cm="1">
        <f t="array" aca="1" ref="T730" ca="1">_xlfn.XLOOKUP(Contrato5[[#This Row],[CONTRATO]]&amp;Contrato5[[#This Row],[CDP]],[2]!Corr_Contr_CDP[[#All],[CONTRATO-CDP]],[2]!Corr_Contr_CDP[[#All],[CRP]],_xlfn.XLOOKUP(Contrato5[[#This Row],[CDP]],[2]!COMPROMISOS_2024[[#All],[disponibilidad]],[2]!COMPROMISOS_2024[[#All],[consecutivo]],"",0),0)</f>
        <v>#NAME?</v>
      </c>
      <c r="U730" s="140" t="e" cm="1">
        <f t="array" aca="1" ref="U730" ca="1">+_xlfn.XLOOKUP(Contrato5[[#This Row],[RCP]],[2]!COMPROMISOS_2024[[#All],[consecutivo]],[2]!COMPROMISOS_2024[[#All],[fecha_aprobacion]],"",0)</f>
        <v>#NAME?</v>
      </c>
      <c r="V730" s="141" t="e">
        <f ca="1">SUMIF([2]!COMPROMISOS_2024[[#All],[consecutivo]],Contrato5[[#This Row],[RCP]],[2]!COMPROMISOS_2024[[#All],[valor_total]])</f>
        <v>#REF!</v>
      </c>
      <c r="W730" s="160"/>
      <c r="X730" s="161"/>
      <c r="Y730" s="143" t="e">
        <f ca="1">+LEFT(_xlfn.XLOOKUP(Contrato5[[#This Row],[CONTRATO3DIG]],[2]SECOP_II!AE:AE,[2]SECOP_II!F:F,"",0),10)</f>
        <v>#NAME?</v>
      </c>
      <c r="Z730" s="262"/>
      <c r="AA730" s="183"/>
      <c r="AB730" s="191">
        <v>0</v>
      </c>
      <c r="AC730" s="172"/>
      <c r="AD730" s="288"/>
      <c r="AE730" s="147"/>
      <c r="AF730" s="148" t="str">
        <f>TEXT(LEFT(Contrato5[[#This Row],[CONTRATO]],3),"0")</f>
        <v>602</v>
      </c>
      <c r="AG730" s="148" t="str">
        <f>IF(LEN(Contrato5[[#This Row],[Contrato2]])=3,Contrato5[[#This Row],[Contrato2]],TEXT(Contrato5[[#This Row],[Contrato2]],"000"))</f>
        <v>602</v>
      </c>
      <c r="AH730" s="149">
        <f ca="1">IFERROR(_xlfn.DAYS(Contrato5[[#This Row],[Fecha Proyectada liquidación]],TODAY())/30,"")</f>
        <v>-1521.2666666666667</v>
      </c>
      <c r="AI730" s="150">
        <f>+Contrato5[[#This Row],[FECHA TERMINACIÓN ]]+120</f>
        <v>120</v>
      </c>
      <c r="AJ730" s="147"/>
      <c r="AK730" s="152" t="str">
        <f ca="1">IF(Contrato5[[#This Row],[FECHA TERMINACIÓN ]]&lt;TODAY(), "Terminado",IF(ISNUMBER(Contrato5[[#This Row],[Fecha Real de liquiidación ]]),"Liquidado",IF(Contrato5[[#This Row],[FECHA TERMINACIÓN ]]&gt;=TODAY(),"En ejecución","")))</f>
        <v>Terminado</v>
      </c>
      <c r="AL730" s="153" t="e">
        <f ca="1">SUMIF([2]!COMPROMISOS_2024[[#All],[consecutivo]],Contrato5[[#This Row],[RCP]],[2]!COMPROMISOS_2024[[#All],[Total pagado]])</f>
        <v>#REF!</v>
      </c>
      <c r="AM730" s="154">
        <f ca="1">IFERROR(Contrato5[[#This Row],[Pagos]]/Contrato5[[#This Row],[VALOR CONTRATO]],0)</f>
        <v>0</v>
      </c>
      <c r="AN730" s="198" t="e">
        <f ca="1">+Contrato5[[#This Row],[VALOR CONTRATO]]-Contrato5[[#This Row],[Pagos]]</f>
        <v>#REF!</v>
      </c>
      <c r="AO730" s="147" t="e" cm="1">
        <f t="array" aca="1" ref="AO730" ca="1">_xlfn.XLOOKUP(Contrato5[[#This Row],[DOCUMENTO ]],[2]!PERSONAL_ACTIVO_2024[[#All],[Documento identidad]],[2]!PERSONAL_ACTIVO_2024[[#All],[Mail ]],0,0)</f>
        <v>#NAME?</v>
      </c>
      <c r="AP730" s="147" t="e" cm="1">
        <f t="array" aca="1" ref="AP730" ca="1">_xlfn.XLOOKUP(Contrato5[[#This Row],[DOCUMENTO]],[2]!PERSONAL_ACTIVO_2024[[#All],[Documento identidad]],[2]!PERSONAL_ACTIVO_2024[[#All],[Mail ]],0,0)</f>
        <v>#NAME?</v>
      </c>
      <c r="AQ730" s="439" cm="1">
        <f t="array" aca="1" ref="AQ730" ca="1">IF(ISBLANK(Contrato5[[#This Row],[DEPENDENCIA ]]),0,IFERROR(_xlfn.XLOOKUP(Contrato5[[#This Row],[DEPENDENCIA ]],[2]!PERSONAL_ACTIVO_2024[[#All],[Dependencia]],[2]!PERSONAL_ACTIVO_2024[[#All],[Mail ]],0,0),0))</f>
        <v>0</v>
      </c>
    </row>
    <row r="731" spans="1:43" ht="34.5" customHeight="1">
      <c r="A731" s="147">
        <v>729</v>
      </c>
      <c r="B731" s="124">
        <v>603</v>
      </c>
      <c r="C731" s="162" t="s">
        <v>1779</v>
      </c>
      <c r="D731" s="227" t="s">
        <v>583</v>
      </c>
      <c r="E731" s="440" t="s">
        <v>94</v>
      </c>
      <c r="F731" s="227" t="s">
        <v>1767</v>
      </c>
      <c r="G731" s="281" t="s">
        <v>998</v>
      </c>
      <c r="H731" s="436">
        <v>811021812</v>
      </c>
      <c r="I731" s="273" t="s">
        <v>42</v>
      </c>
      <c r="J731" s="437">
        <v>549996878</v>
      </c>
      <c r="K731" s="131" t="s">
        <v>42</v>
      </c>
      <c r="L731" s="438" t="s">
        <v>2989</v>
      </c>
      <c r="M731" s="194" t="s">
        <v>600</v>
      </c>
      <c r="N731" s="177" t="e" cm="1">
        <f t="array" aca="1" ref="N731" ca="1">_xlfn.XLOOKUP(Contrato5[[#This Row],[SUPERVISOR TITULAR]],[2]!PERSONAL_ACTIVO_2024[[#All],[Nombre completo]],[2]!PERSONAL_ACTIVO_2024[[#All],[Documento identidad]],"",0)</f>
        <v>#NAME?</v>
      </c>
      <c r="O731" s="194" t="s">
        <v>2495</v>
      </c>
      <c r="P731" s="196" t="e" cm="1">
        <f t="array" aca="1" ref="P731" ca="1">_xlfn.XLOOKUP(Contrato5[[#This Row],[SUPERVISOR SUPLENTE ]],[2]!PERSONAL_ACTIVO_2024[[#All],[Nombre completo]],[2]!PERSONAL_ACTIVO_2024[[#All],[Documento identidad]],"",0)</f>
        <v>#NAME?</v>
      </c>
      <c r="Q731" s="170">
        <v>805</v>
      </c>
      <c r="R731" s="137" t="e" cm="1">
        <f t="array" aca="1" ref="R731" ca="1">_xlfn.XLOOKUP(Contrato5[[#This Row],[CDP]],[2]!DISPONIBILIDADES_2024[[#All],[consecutivo]],[2]!DISPONIBILIDADES_2024[[#All],[fecha_aprobacion]],"",0)</f>
        <v>#NAME?</v>
      </c>
      <c r="S731" s="138" t="e">
        <f>SUMIF([2]!DISPONIBILIDADES_2024[[#All],[consecutivo]],Contrato5[[#This Row],[CDP]],[2]!DISPONIBILIDADES_2024[[#All],[valor_total_rubro]])</f>
        <v>#REF!</v>
      </c>
      <c r="T731" s="139" t="e" cm="1">
        <f t="array" aca="1" ref="T731" ca="1">_xlfn.XLOOKUP(Contrato5[[#This Row],[CONTRATO]]&amp;Contrato5[[#This Row],[CDP]],[2]!Corr_Contr_CDP[[#All],[CONTRATO-CDP]],[2]!Corr_Contr_CDP[[#All],[CRP]],_xlfn.XLOOKUP(Contrato5[[#This Row],[CDP]],[2]!COMPROMISOS_2024[[#All],[disponibilidad]],[2]!COMPROMISOS_2024[[#All],[consecutivo]],"",0),0)</f>
        <v>#NAME?</v>
      </c>
      <c r="U731" s="140" t="e" cm="1">
        <f t="array" aca="1" ref="U731" ca="1">+_xlfn.XLOOKUP(Contrato5[[#This Row],[RCP]],[2]!COMPROMISOS_2024[[#All],[consecutivo]],[2]!COMPROMISOS_2024[[#All],[fecha_aprobacion]],"",0)</f>
        <v>#NAME?</v>
      </c>
      <c r="V731" s="141" t="e">
        <f ca="1">SUMIF([2]!COMPROMISOS_2024[[#All],[consecutivo]],Contrato5[[#This Row],[RCP]],[2]!COMPROMISOS_2024[[#All],[valor_total]])</f>
        <v>#REF!</v>
      </c>
      <c r="W731" s="160">
        <v>45520</v>
      </c>
      <c r="X731" s="161">
        <v>45520</v>
      </c>
      <c r="Y731" s="143">
        <v>45520</v>
      </c>
      <c r="Z731" s="262">
        <v>45657</v>
      </c>
      <c r="AA731" s="183" t="s">
        <v>2997</v>
      </c>
      <c r="AB731" s="172" t="s">
        <v>2996</v>
      </c>
      <c r="AC731" s="172"/>
      <c r="AD731" s="425">
        <v>202000005164</v>
      </c>
      <c r="AE731" s="147" t="s">
        <v>523</v>
      </c>
      <c r="AF731" s="148" t="str">
        <f>TEXT(LEFT(Contrato5[[#This Row],[CONTRATO]],3),"0")</f>
        <v>603</v>
      </c>
      <c r="AG731" s="148" t="str">
        <f>IF(LEN(Contrato5[[#This Row],[Contrato2]])=3,Contrato5[[#This Row],[Contrato2]],TEXT(Contrato5[[#This Row],[Contrato2]],"000"))</f>
        <v>603</v>
      </c>
      <c r="AH731" s="149">
        <f ca="1">IFERROR(_xlfn.DAYS(Contrato5[[#This Row],[Fecha Proyectada liquidación]],TODAY())/30,"")</f>
        <v>0.6333333333333333</v>
      </c>
      <c r="AI731" s="150">
        <f>+Contrato5[[#This Row],[FECHA TERMINACIÓN ]]+120</f>
        <v>45777</v>
      </c>
      <c r="AJ731" s="147"/>
      <c r="AK731" s="152" t="str">
        <f ca="1">IF(Contrato5[[#This Row],[FECHA TERMINACIÓN ]]&lt;TODAY(), "Terminado",IF(ISNUMBER(Contrato5[[#This Row],[Fecha Real de liquiidación ]]),"Liquidado",IF(Contrato5[[#This Row],[FECHA TERMINACIÓN ]]&gt;=TODAY(),"En ejecución","")))</f>
        <v>Terminado</v>
      </c>
      <c r="AL731" s="153" t="e">
        <f ca="1">SUMIF([2]!COMPROMISOS_2024[[#All],[consecutivo]],Contrato5[[#This Row],[RCP]],[2]!COMPROMISOS_2024[[#All],[Total pagado]])</f>
        <v>#REF!</v>
      </c>
      <c r="AM731" s="154">
        <f ca="1">IFERROR(Contrato5[[#This Row],[Pagos]]/Contrato5[[#This Row],[VALOR CONTRATO]],0)</f>
        <v>0</v>
      </c>
      <c r="AN731" s="198" t="e">
        <f ca="1">+Contrato5[[#This Row],[VALOR CONTRATO]]-Contrato5[[#This Row],[Pagos]]</f>
        <v>#REF!</v>
      </c>
      <c r="AO731" s="147" t="e" cm="1">
        <f t="array" aca="1" ref="AO731" ca="1">_xlfn.XLOOKUP(Contrato5[[#This Row],[DOCUMENTO ]],[2]!PERSONAL_ACTIVO_2024[[#All],[Documento identidad]],[2]!PERSONAL_ACTIVO_2024[[#All],[Mail ]],0,0)</f>
        <v>#NAME?</v>
      </c>
      <c r="AP731" s="147" t="e" cm="1">
        <f t="array" aca="1" ref="AP731" ca="1">_xlfn.XLOOKUP(Contrato5[[#This Row],[DOCUMENTO]],[2]!PERSONAL_ACTIVO_2024[[#All],[Documento identidad]],[2]!PERSONAL_ACTIVO_2024[[#All],[Mail ]],0,0)</f>
        <v>#NAME?</v>
      </c>
      <c r="AQ731" s="439" cm="1">
        <f t="array" aca="1" ref="AQ731" ca="1">IF(ISBLANK(Contrato5[[#This Row],[DEPENDENCIA ]]),0,IFERROR(_xlfn.XLOOKUP(Contrato5[[#This Row],[DEPENDENCIA ]],[2]!PERSONAL_ACTIVO_2024[[#All],[Dependencia]],[2]!PERSONAL_ACTIVO_2024[[#All],[Mail ]],0,0),0))</f>
        <v>0</v>
      </c>
    </row>
    <row r="732" spans="1:43" ht="34.5" customHeight="1">
      <c r="A732" s="147">
        <v>983</v>
      </c>
      <c r="B732" s="124">
        <v>604</v>
      </c>
      <c r="C732" s="162" t="s">
        <v>1856</v>
      </c>
      <c r="D732" s="227" t="s">
        <v>515</v>
      </c>
      <c r="E732" s="440" t="s">
        <v>94</v>
      </c>
      <c r="F732" s="227" t="s">
        <v>1376</v>
      </c>
      <c r="G732" s="281" t="s">
        <v>2998</v>
      </c>
      <c r="H732" s="436">
        <v>1075269109</v>
      </c>
      <c r="I732" s="273">
        <v>9346824</v>
      </c>
      <c r="J732" s="437">
        <v>46734120</v>
      </c>
      <c r="K732" s="131" t="s">
        <v>42</v>
      </c>
      <c r="L732" s="438" t="s">
        <v>2989</v>
      </c>
      <c r="M732" s="194" t="s">
        <v>527</v>
      </c>
      <c r="N732" s="177" t="e" cm="1">
        <f t="array" aca="1" ref="N732" ca="1">_xlfn.XLOOKUP(Contrato5[[#This Row],[SUPERVISOR TITULAR]],[2]!PERSONAL_ACTIVO_2024[[#All],[Nombre completo]],[2]!PERSONAL_ACTIVO_2024[[#All],[Documento identidad]],"",0)</f>
        <v>#NAME?</v>
      </c>
      <c r="O732" s="194" t="s">
        <v>844</v>
      </c>
      <c r="P732" s="196" t="e" cm="1">
        <f t="array" aca="1" ref="P732" ca="1">_xlfn.XLOOKUP(Contrato5[[#This Row],[SUPERVISOR SUPLENTE ]],[2]!PERSONAL_ACTIVO_2024[[#All],[Nombre completo]],[2]!PERSONAL_ACTIVO_2024[[#All],[Documento identidad]],"",0)</f>
        <v>#NAME?</v>
      </c>
      <c r="Q732" s="170">
        <v>801</v>
      </c>
      <c r="R732" s="137" t="e" cm="1">
        <f t="array" aca="1" ref="R732" ca="1">_xlfn.XLOOKUP(Contrato5[[#This Row],[CDP]],[2]!DISPONIBILIDADES_2024[[#All],[consecutivo]],[2]!DISPONIBILIDADES_2024[[#All],[fecha_aprobacion]],"",0)</f>
        <v>#NAME?</v>
      </c>
      <c r="S732" s="138" t="e">
        <f>SUMIF([2]!DISPONIBILIDADES_2024[[#All],[consecutivo]],Contrato5[[#This Row],[CDP]],[2]!DISPONIBILIDADES_2024[[#All],[valor_total_rubro]])</f>
        <v>#REF!</v>
      </c>
      <c r="T732" s="139" t="e" cm="1">
        <f t="array" aca="1" ref="T732" ca="1">_xlfn.XLOOKUP(Contrato5[[#This Row],[CONTRATO]]&amp;Contrato5[[#This Row],[CDP]],[2]!Corr_Contr_CDP[[#All],[CONTRATO-CDP]],[2]!Corr_Contr_CDP[[#All],[CRP]],_xlfn.XLOOKUP(Contrato5[[#This Row],[CDP]],[2]!COMPROMISOS_2024[[#All],[disponibilidad]],[2]!COMPROMISOS_2024[[#All],[consecutivo]],"",0),0)</f>
        <v>#NAME?</v>
      </c>
      <c r="U732" s="140" t="e" cm="1">
        <f t="array" aca="1" ref="U732" ca="1">+_xlfn.XLOOKUP(Contrato5[[#This Row],[RCP]],[2]!COMPROMISOS_2024[[#All],[consecutivo]],[2]!COMPROMISOS_2024[[#All],[fecha_aprobacion]],"",0)</f>
        <v>#NAME?</v>
      </c>
      <c r="V732" s="141" t="e">
        <f ca="1">SUMIF([2]!COMPROMISOS_2024[[#All],[consecutivo]],Contrato5[[#This Row],[RCP]],[2]!COMPROMISOS_2024[[#All],[valor_total]])</f>
        <v>#REF!</v>
      </c>
      <c r="W732" s="160">
        <v>45532</v>
      </c>
      <c r="X732" s="160" t="s">
        <v>1045</v>
      </c>
      <c r="Y732" s="143">
        <v>45534</v>
      </c>
      <c r="Z732" s="262">
        <v>45656</v>
      </c>
      <c r="AA732" s="183" t="s">
        <v>2999</v>
      </c>
      <c r="AB732" s="172" t="s">
        <v>3000</v>
      </c>
      <c r="AC732" s="172"/>
      <c r="AD732" s="425">
        <v>202000005179</v>
      </c>
      <c r="AE732" s="147" t="s">
        <v>523</v>
      </c>
      <c r="AF732" s="148" t="str">
        <f>TEXT(LEFT(Contrato5[[#This Row],[CONTRATO]],3),"0")</f>
        <v>604</v>
      </c>
      <c r="AG732" s="148" t="str">
        <f>IF(LEN(Contrato5[[#This Row],[Contrato2]])=3,Contrato5[[#This Row],[Contrato2]],TEXT(Contrato5[[#This Row],[Contrato2]],"000"))</f>
        <v>604</v>
      </c>
      <c r="AH732" s="149">
        <f ca="1">IFERROR(_xlfn.DAYS(Contrato5[[#This Row],[Fecha Proyectada liquidación]],TODAY())/30,"")</f>
        <v>0.6</v>
      </c>
      <c r="AI732" s="150">
        <f>+Contrato5[[#This Row],[FECHA TERMINACIÓN ]]+120</f>
        <v>45776</v>
      </c>
      <c r="AJ732" s="147"/>
      <c r="AK732" s="152" t="str">
        <f ca="1">IF(Contrato5[[#This Row],[FECHA TERMINACIÓN ]]&lt;TODAY(), "Terminado",IF(ISNUMBER(Contrato5[[#This Row],[Fecha Real de liquiidación ]]),"Liquidado",IF(Contrato5[[#This Row],[FECHA TERMINACIÓN ]]&gt;=TODAY(),"En ejecución","")))</f>
        <v>Terminado</v>
      </c>
      <c r="AL732" s="153" t="e">
        <f ca="1">SUMIF([2]!COMPROMISOS_2024[[#All],[consecutivo]],Contrato5[[#This Row],[RCP]],[2]!COMPROMISOS_2024[[#All],[Total pagado]])</f>
        <v>#REF!</v>
      </c>
      <c r="AM732" s="154">
        <f ca="1">IFERROR(Contrato5[[#This Row],[Pagos]]/Contrato5[[#This Row],[VALOR CONTRATO]],0)</f>
        <v>0</v>
      </c>
      <c r="AN732" s="198" t="e">
        <f ca="1">+Contrato5[[#This Row],[VALOR CONTRATO]]-Contrato5[[#This Row],[Pagos]]</f>
        <v>#REF!</v>
      </c>
      <c r="AO732" s="147" t="e" cm="1">
        <f t="array" aca="1" ref="AO732" ca="1">_xlfn.XLOOKUP(Contrato5[[#This Row],[DOCUMENTO ]],[2]!PERSONAL_ACTIVO_2024[[#All],[Documento identidad]],[2]!PERSONAL_ACTIVO_2024[[#All],[Mail ]],0,0)</f>
        <v>#NAME?</v>
      </c>
      <c r="AP732" s="147" t="e" cm="1">
        <f t="array" aca="1" ref="AP732" ca="1">_xlfn.XLOOKUP(Contrato5[[#This Row],[DOCUMENTO]],[2]!PERSONAL_ACTIVO_2024[[#All],[Documento identidad]],[2]!PERSONAL_ACTIVO_2024[[#All],[Mail ]],0,0)</f>
        <v>#NAME?</v>
      </c>
      <c r="AQ732" s="439" cm="1">
        <f t="array" aca="1" ref="AQ732" ca="1">IF(ISBLANK(Contrato5[[#This Row],[DEPENDENCIA ]]),0,IFERROR(_xlfn.XLOOKUP(Contrato5[[#This Row],[DEPENDENCIA ]],[2]!PERSONAL_ACTIVO_2024[[#All],[Dependencia]],[2]!PERSONAL_ACTIVO_2024[[#All],[Mail ]],0,0),0))</f>
        <v>0</v>
      </c>
    </row>
    <row r="733" spans="1:43" ht="34.5" customHeight="1">
      <c r="A733" s="147">
        <v>764</v>
      </c>
      <c r="B733" s="124">
        <v>605</v>
      </c>
      <c r="C733" s="162" t="s">
        <v>1481</v>
      </c>
      <c r="D733" s="227" t="s">
        <v>556</v>
      </c>
      <c r="E733" s="440" t="s">
        <v>94</v>
      </c>
      <c r="F733" s="227" t="s">
        <v>494</v>
      </c>
      <c r="G733" s="281" t="s">
        <v>557</v>
      </c>
      <c r="H733" s="436">
        <v>900092385</v>
      </c>
      <c r="I733" s="273" t="s">
        <v>42</v>
      </c>
      <c r="J733" s="437">
        <v>163695814</v>
      </c>
      <c r="K733" s="131" t="s">
        <v>42</v>
      </c>
      <c r="L733" s="438" t="s">
        <v>2989</v>
      </c>
      <c r="M733" s="194" t="s">
        <v>560</v>
      </c>
      <c r="N733" s="177" t="e" cm="1">
        <f t="array" aca="1" ref="N733" ca="1">_xlfn.XLOOKUP(Contrato5[[#This Row],[SUPERVISOR TITULAR]],[2]!PERSONAL_ACTIVO_2024[[#All],[Nombre completo]],[2]!PERSONAL_ACTIVO_2024[[#All],[Documento identidad]],"",0)</f>
        <v>#NAME?</v>
      </c>
      <c r="O733" s="194"/>
      <c r="P733" s="196" t="e" cm="1">
        <f t="array" aca="1" ref="P733" ca="1">_xlfn.XLOOKUP(Contrato5[[#This Row],[SUPERVISOR SUPLENTE ]],[2]!PERSONAL_ACTIVO_2024[[#All],[Nombre completo]],[2]!PERSONAL_ACTIVO_2024[[#All],[Documento identidad]],"",0)</f>
        <v>#NAME?</v>
      </c>
      <c r="Q733" s="170">
        <v>670</v>
      </c>
      <c r="R733" s="137" t="e" cm="1">
        <f t="array" aca="1" ref="R733" ca="1">_xlfn.XLOOKUP(Contrato5[[#This Row],[CDP]],[2]!DISPONIBILIDADES_2024[[#All],[consecutivo]],[2]!DISPONIBILIDADES_2024[[#All],[fecha_aprobacion]],"",0)</f>
        <v>#NAME?</v>
      </c>
      <c r="S733" s="138" t="e">
        <f>SUMIF([2]!DISPONIBILIDADES_2024[[#All],[consecutivo]],Contrato5[[#This Row],[CDP]],[2]!DISPONIBILIDADES_2024[[#All],[valor_total_rubro]])</f>
        <v>#REF!</v>
      </c>
      <c r="T733" s="139" t="e" cm="1">
        <f t="array" aca="1" ref="T733" ca="1">_xlfn.XLOOKUP(Contrato5[[#This Row],[CONTRATO]]&amp;Contrato5[[#This Row],[CDP]],[2]!Corr_Contr_CDP[[#All],[CONTRATO-CDP]],[2]!Corr_Contr_CDP[[#All],[CRP]],_xlfn.XLOOKUP(Contrato5[[#This Row],[CDP]],[2]!COMPROMISOS_2024[[#All],[disponibilidad]],[2]!COMPROMISOS_2024[[#All],[consecutivo]],"",0),0)</f>
        <v>#NAME?</v>
      </c>
      <c r="U733" s="140" t="e" cm="1">
        <f t="array" aca="1" ref="U733" ca="1">+_xlfn.XLOOKUP(Contrato5[[#This Row],[RCP]],[2]!COMPROMISOS_2024[[#All],[consecutivo]],[2]!COMPROMISOS_2024[[#All],[fecha_aprobacion]],"",0)</f>
        <v>#NAME?</v>
      </c>
      <c r="V733" s="141" t="e">
        <f ca="1">SUMIF([2]!COMPROMISOS_2024[[#All],[consecutivo]],Contrato5[[#This Row],[RCP]],[2]!COMPROMISOS_2024[[#All],[valor_total]])</f>
        <v>#REF!</v>
      </c>
      <c r="W733" s="160">
        <v>45531</v>
      </c>
      <c r="X733" s="161">
        <v>45532</v>
      </c>
      <c r="Y733" s="143">
        <v>45532</v>
      </c>
      <c r="Z733" s="262">
        <v>45657</v>
      </c>
      <c r="AA733" s="183" t="s">
        <v>3001</v>
      </c>
      <c r="AB733" s="172" t="s">
        <v>3000</v>
      </c>
      <c r="AC733" s="172"/>
      <c r="AD733" s="425">
        <v>202000005165</v>
      </c>
      <c r="AE733" s="147" t="s">
        <v>523</v>
      </c>
      <c r="AF733" s="148" t="str">
        <f>TEXT(LEFT(Contrato5[[#This Row],[CONTRATO]],3),"0")</f>
        <v>605</v>
      </c>
      <c r="AG733" s="148" t="str">
        <f>IF(LEN(Contrato5[[#This Row],[Contrato2]])=3,Contrato5[[#This Row],[Contrato2]],TEXT(Contrato5[[#This Row],[Contrato2]],"000"))</f>
        <v>605</v>
      </c>
      <c r="AH733" s="149">
        <f ca="1">IFERROR(_xlfn.DAYS(Contrato5[[#This Row],[Fecha Proyectada liquidación]],TODAY())/30,"")</f>
        <v>0.6333333333333333</v>
      </c>
      <c r="AI733" s="150">
        <f>+Contrato5[[#This Row],[FECHA TERMINACIÓN ]]+120</f>
        <v>45777</v>
      </c>
      <c r="AJ733" s="147"/>
      <c r="AK733" s="152" t="str">
        <f ca="1">IF(Contrato5[[#This Row],[FECHA TERMINACIÓN ]]&lt;TODAY(), "Terminado",IF(ISNUMBER(Contrato5[[#This Row],[Fecha Real de liquiidación ]]),"Liquidado",IF(Contrato5[[#This Row],[FECHA TERMINACIÓN ]]&gt;=TODAY(),"En ejecución","")))</f>
        <v>Terminado</v>
      </c>
      <c r="AL733" s="153" t="e">
        <f ca="1">SUMIF([2]!COMPROMISOS_2024[[#All],[consecutivo]],Contrato5[[#This Row],[RCP]],[2]!COMPROMISOS_2024[[#All],[Total pagado]])</f>
        <v>#REF!</v>
      </c>
      <c r="AM733" s="154">
        <f ca="1">IFERROR(Contrato5[[#This Row],[Pagos]]/Contrato5[[#This Row],[VALOR CONTRATO]],0)</f>
        <v>0</v>
      </c>
      <c r="AN733" s="198" t="e">
        <f ca="1">+Contrato5[[#This Row],[VALOR CONTRATO]]-Contrato5[[#This Row],[Pagos]]</f>
        <v>#REF!</v>
      </c>
      <c r="AO733" s="147" t="e" cm="1">
        <f t="array" aca="1" ref="AO733" ca="1">_xlfn.XLOOKUP(Contrato5[[#This Row],[DOCUMENTO ]],[2]!PERSONAL_ACTIVO_2024[[#All],[Documento identidad]],[2]!PERSONAL_ACTIVO_2024[[#All],[Mail ]],0,0)</f>
        <v>#NAME?</v>
      </c>
      <c r="AP733" s="147" t="e" cm="1">
        <f t="array" aca="1" ref="AP733" ca="1">_xlfn.XLOOKUP(Contrato5[[#This Row],[DOCUMENTO]],[2]!PERSONAL_ACTIVO_2024[[#All],[Documento identidad]],[2]!PERSONAL_ACTIVO_2024[[#All],[Mail ]],0,0)</f>
        <v>#NAME?</v>
      </c>
      <c r="AQ733" s="439" cm="1">
        <f t="array" aca="1" ref="AQ733" ca="1">IF(ISBLANK(Contrato5[[#This Row],[DEPENDENCIA ]]),0,IFERROR(_xlfn.XLOOKUP(Contrato5[[#This Row],[DEPENDENCIA ]],[2]!PERSONAL_ACTIVO_2024[[#All],[Dependencia]],[2]!PERSONAL_ACTIVO_2024[[#All],[Mail ]],0,0),0))</f>
        <v>0</v>
      </c>
    </row>
    <row r="734" spans="1:43" ht="34.5" customHeight="1">
      <c r="A734" s="147" t="s">
        <v>886</v>
      </c>
      <c r="B734" s="124">
        <v>606</v>
      </c>
      <c r="C734" s="162" t="s">
        <v>887</v>
      </c>
      <c r="D734" s="128" t="s">
        <v>42</v>
      </c>
      <c r="E734" s="128" t="s">
        <v>42</v>
      </c>
      <c r="F734" s="227" t="s">
        <v>255</v>
      </c>
      <c r="G734" s="290" t="s">
        <v>887</v>
      </c>
      <c r="H734" s="447">
        <v>0</v>
      </c>
      <c r="I734" s="455">
        <v>0</v>
      </c>
      <c r="J734" s="456">
        <v>0</v>
      </c>
      <c r="K734" s="284">
        <v>0</v>
      </c>
      <c r="L734" s="438" t="s">
        <v>2646</v>
      </c>
      <c r="M734" s="194"/>
      <c r="N734" s="177" t="e" cm="1">
        <f t="array" aca="1" ref="N734" ca="1">_xlfn.XLOOKUP(Contrato5[[#This Row],[SUPERVISOR TITULAR]],[2]!PERSONAL_ACTIVO_2024[[#All],[Nombre completo]],[2]!PERSONAL_ACTIVO_2024[[#All],[Documento identidad]],"",0)</f>
        <v>#NAME?</v>
      </c>
      <c r="O734" s="194"/>
      <c r="P734" s="196" t="e" cm="1">
        <f t="array" aca="1" ref="P734" ca="1">_xlfn.XLOOKUP(Contrato5[[#This Row],[SUPERVISOR SUPLENTE ]],[2]!PERSONAL_ACTIVO_2024[[#All],[Nombre completo]],[2]!PERSONAL_ACTIVO_2024[[#All],[Documento identidad]],"",0)</f>
        <v>#NAME?</v>
      </c>
      <c r="Q734" s="191">
        <v>0</v>
      </c>
      <c r="R734" s="137" t="e" cm="1">
        <f t="array" aca="1" ref="R734" ca="1">_xlfn.XLOOKUP(Contrato5[[#This Row],[CDP]],[2]!DISPONIBILIDADES_2024[[#All],[consecutivo]],[2]!DISPONIBILIDADES_2024[[#All],[fecha_aprobacion]],"",0)</f>
        <v>#NAME?</v>
      </c>
      <c r="S734" s="138" t="e">
        <f>SUMIF([2]!DISPONIBILIDADES_2024[[#All],[consecutivo]],Contrato5[[#This Row],[CDP]],[2]!DISPONIBILIDADES_2024[[#All],[valor_total_rubro]])</f>
        <v>#REF!</v>
      </c>
      <c r="T734" s="139" t="e" cm="1">
        <f t="array" aca="1" ref="T734" ca="1">_xlfn.XLOOKUP(Contrato5[[#This Row],[CONTRATO]]&amp;Contrato5[[#This Row],[CDP]],[2]!Corr_Contr_CDP[[#All],[CONTRATO-CDP]],[2]!Corr_Contr_CDP[[#All],[CRP]],_xlfn.XLOOKUP(Contrato5[[#This Row],[CDP]],[2]!COMPROMISOS_2024[[#All],[disponibilidad]],[2]!COMPROMISOS_2024[[#All],[consecutivo]],"",0),0)</f>
        <v>#NAME?</v>
      </c>
      <c r="U734" s="140" t="e" cm="1">
        <f t="array" aca="1" ref="U734" ca="1">+_xlfn.XLOOKUP(Contrato5[[#This Row],[RCP]],[2]!COMPROMISOS_2024[[#All],[consecutivo]],[2]!COMPROMISOS_2024[[#All],[fecha_aprobacion]],"",0)</f>
        <v>#NAME?</v>
      </c>
      <c r="V734" s="141" t="e">
        <f ca="1">SUMIF([2]!COMPROMISOS_2024[[#All],[consecutivo]],Contrato5[[#This Row],[RCP]],[2]!COMPROMISOS_2024[[#All],[valor_total]])</f>
        <v>#REF!</v>
      </c>
      <c r="W734" s="160"/>
      <c r="X734" s="161"/>
      <c r="Y734" s="143" t="e">
        <f ca="1">+LEFT(_xlfn.XLOOKUP(Contrato5[[#This Row],[CONTRATO3DIG]],[2]SECOP_II!AE:AE,[2]SECOP_II!F:F,"",0),10)</f>
        <v>#NAME?</v>
      </c>
      <c r="Z734" s="262"/>
      <c r="AA734" s="183"/>
      <c r="AB734" s="191">
        <v>0</v>
      </c>
      <c r="AC734" s="172"/>
      <c r="AD734" s="288"/>
      <c r="AE734" s="147"/>
      <c r="AF734" s="148" t="str">
        <f>TEXT(LEFT(Contrato5[[#This Row],[CONTRATO]],3),"0")</f>
        <v>606</v>
      </c>
      <c r="AG734" s="148" t="str">
        <f>IF(LEN(Contrato5[[#This Row],[Contrato2]])=3,Contrato5[[#This Row],[Contrato2]],TEXT(Contrato5[[#This Row],[Contrato2]],"000"))</f>
        <v>606</v>
      </c>
      <c r="AH734" s="149">
        <f ca="1">IFERROR(_xlfn.DAYS(Contrato5[[#This Row],[Fecha Proyectada liquidación]],TODAY())/30,"")</f>
        <v>-1521.2666666666667</v>
      </c>
      <c r="AI734" s="150">
        <f>+Contrato5[[#This Row],[FECHA TERMINACIÓN ]]+120</f>
        <v>120</v>
      </c>
      <c r="AJ734" s="147"/>
      <c r="AK734" s="152" t="str">
        <f ca="1">IF(Contrato5[[#This Row],[FECHA TERMINACIÓN ]]&lt;TODAY(), "Terminado",IF(ISNUMBER(Contrato5[[#This Row],[Fecha Real de liquiidación ]]),"Liquidado",IF(Contrato5[[#This Row],[FECHA TERMINACIÓN ]]&gt;=TODAY(),"En ejecución","")))</f>
        <v>Terminado</v>
      </c>
      <c r="AL734" s="153" t="e">
        <f ca="1">SUMIF([2]!COMPROMISOS_2024[[#All],[consecutivo]],Contrato5[[#This Row],[RCP]],[2]!COMPROMISOS_2024[[#All],[Total pagado]])</f>
        <v>#REF!</v>
      </c>
      <c r="AM734" s="154">
        <f ca="1">IFERROR(Contrato5[[#This Row],[Pagos]]/Contrato5[[#This Row],[VALOR CONTRATO]],0)</f>
        <v>0</v>
      </c>
      <c r="AN734" s="198" t="e">
        <f ca="1">+Contrato5[[#This Row],[VALOR CONTRATO]]-Contrato5[[#This Row],[Pagos]]</f>
        <v>#REF!</v>
      </c>
      <c r="AO734" s="147" t="e" cm="1">
        <f t="array" aca="1" ref="AO734" ca="1">_xlfn.XLOOKUP(Contrato5[[#This Row],[DOCUMENTO ]],[2]!PERSONAL_ACTIVO_2024[[#All],[Documento identidad]],[2]!PERSONAL_ACTIVO_2024[[#All],[Mail ]],0,0)</f>
        <v>#NAME?</v>
      </c>
      <c r="AP734" s="147" t="e" cm="1">
        <f t="array" aca="1" ref="AP734" ca="1">_xlfn.XLOOKUP(Contrato5[[#This Row],[DOCUMENTO]],[2]!PERSONAL_ACTIVO_2024[[#All],[Documento identidad]],[2]!PERSONAL_ACTIVO_2024[[#All],[Mail ]],0,0)</f>
        <v>#NAME?</v>
      </c>
      <c r="AQ734" s="439" cm="1">
        <f t="array" aca="1" ref="AQ734" ca="1">IF(ISBLANK(Contrato5[[#This Row],[DEPENDENCIA ]]),0,IFERROR(_xlfn.XLOOKUP(Contrato5[[#This Row],[DEPENDENCIA ]],[2]!PERSONAL_ACTIVO_2024[[#All],[Dependencia]],[2]!PERSONAL_ACTIVO_2024[[#All],[Mail ]],0,0),0))</f>
        <v>0</v>
      </c>
    </row>
    <row r="735" spans="1:43" ht="34.5" customHeight="1">
      <c r="A735" s="147">
        <v>986</v>
      </c>
      <c r="B735" s="124">
        <v>607</v>
      </c>
      <c r="C735" s="162" t="s">
        <v>1394</v>
      </c>
      <c r="D735" s="227" t="s">
        <v>493</v>
      </c>
      <c r="E735" s="440" t="s">
        <v>94</v>
      </c>
      <c r="F735" s="227" t="s">
        <v>1376</v>
      </c>
      <c r="G735" s="281" t="s">
        <v>838</v>
      </c>
      <c r="H735" s="436">
        <v>1037571358</v>
      </c>
      <c r="I735" s="273">
        <v>10359658</v>
      </c>
      <c r="J735" s="437">
        <v>44891860</v>
      </c>
      <c r="K735" s="131" t="s">
        <v>42</v>
      </c>
      <c r="L735" s="438" t="s">
        <v>3002</v>
      </c>
      <c r="M735" s="194" t="s">
        <v>497</v>
      </c>
      <c r="N735" s="177" t="e" cm="1">
        <f t="array" aca="1" ref="N735" ca="1">_xlfn.XLOOKUP(Contrato5[[#This Row],[SUPERVISOR TITULAR]],[2]!PERSONAL_ACTIVO_2024[[#All],[Nombre completo]],[2]!PERSONAL_ACTIVO_2024[[#All],[Documento identidad]],"",0)</f>
        <v>#NAME?</v>
      </c>
      <c r="O735" s="194" t="s">
        <v>498</v>
      </c>
      <c r="P735" s="196" t="e" cm="1">
        <f t="array" aca="1" ref="P735" ca="1">_xlfn.XLOOKUP(Contrato5[[#This Row],[SUPERVISOR SUPLENTE ]],[2]!PERSONAL_ACTIVO_2024[[#All],[Nombre completo]],[2]!PERSONAL_ACTIVO_2024[[#All],[Documento identidad]],"",0)</f>
        <v>#NAME?</v>
      </c>
      <c r="Q735" s="170">
        <v>822</v>
      </c>
      <c r="R735" s="137" t="e" cm="1">
        <f t="array" aca="1" ref="R735" ca="1">_xlfn.XLOOKUP(Contrato5[[#This Row],[CDP]],[2]!DISPONIBILIDADES_2024[[#All],[consecutivo]],[2]!DISPONIBILIDADES_2024[[#All],[fecha_aprobacion]],"",0)</f>
        <v>#NAME?</v>
      </c>
      <c r="S735" s="138" t="e">
        <f>SUMIF([2]!DISPONIBILIDADES_2024[[#All],[consecutivo]],Contrato5[[#This Row],[CDP]],[2]!DISPONIBILIDADES_2024[[#All],[valor_total_rubro]])</f>
        <v>#REF!</v>
      </c>
      <c r="T735" s="139" t="e" cm="1">
        <f t="array" aca="1" ref="T735" ca="1">_xlfn.XLOOKUP(Contrato5[[#This Row],[CONTRATO]]&amp;Contrato5[[#This Row],[CDP]],[2]!Corr_Contr_CDP[[#All],[CONTRATO-CDP]],[2]!Corr_Contr_CDP[[#All],[CRP]],_xlfn.XLOOKUP(Contrato5[[#This Row],[CDP]],[2]!COMPROMISOS_2024[[#All],[disponibilidad]],[2]!COMPROMISOS_2024[[#All],[consecutivo]],"",0),0)</f>
        <v>#NAME?</v>
      </c>
      <c r="U735" s="140" t="e" cm="1">
        <f t="array" aca="1" ref="U735" ca="1">+_xlfn.XLOOKUP(Contrato5[[#This Row],[RCP]],[2]!COMPROMISOS_2024[[#All],[consecutivo]],[2]!COMPROMISOS_2024[[#All],[fecha_aprobacion]],"",0)</f>
        <v>#NAME?</v>
      </c>
      <c r="V735" s="141" t="e">
        <f ca="1">SUMIF([2]!COMPROMISOS_2024[[#All],[consecutivo]],Contrato5[[#This Row],[RCP]],[2]!COMPROMISOS_2024[[#All],[valor_total]])</f>
        <v>#REF!</v>
      </c>
      <c r="W735" s="160">
        <v>45526</v>
      </c>
      <c r="X735" s="160" t="s">
        <v>1045</v>
      </c>
      <c r="Y735" s="143">
        <v>45527</v>
      </c>
      <c r="Z735" s="262">
        <v>45656</v>
      </c>
      <c r="AA735" s="183" t="s">
        <v>3003</v>
      </c>
      <c r="AB735" s="172" t="s">
        <v>3004</v>
      </c>
      <c r="AC735" s="172"/>
      <c r="AD735" s="425">
        <v>202000005166</v>
      </c>
      <c r="AE735" s="147" t="s">
        <v>523</v>
      </c>
      <c r="AF735" s="148" t="str">
        <f>TEXT(LEFT(Contrato5[[#This Row],[CONTRATO]],3),"0")</f>
        <v>607</v>
      </c>
      <c r="AG735" s="148" t="str">
        <f>IF(LEN(Contrato5[[#This Row],[Contrato2]])=3,Contrato5[[#This Row],[Contrato2]],TEXT(Contrato5[[#This Row],[Contrato2]],"000"))</f>
        <v>607</v>
      </c>
      <c r="AH735" s="149">
        <f ca="1">IFERROR(_xlfn.DAYS(Contrato5[[#This Row],[Fecha Proyectada liquidación]],TODAY())/30,"")</f>
        <v>0.6</v>
      </c>
      <c r="AI735" s="150">
        <f>+Contrato5[[#This Row],[FECHA TERMINACIÓN ]]+120</f>
        <v>45776</v>
      </c>
      <c r="AJ735" s="147"/>
      <c r="AK735" s="152" t="str">
        <f ca="1">IF(Contrato5[[#This Row],[FECHA TERMINACIÓN ]]&lt;TODAY(), "Terminado",IF(ISNUMBER(Contrato5[[#This Row],[Fecha Real de liquiidación ]]),"Liquidado",IF(Contrato5[[#This Row],[FECHA TERMINACIÓN ]]&gt;=TODAY(),"En ejecución","")))</f>
        <v>Terminado</v>
      </c>
      <c r="AL735" s="153" t="e">
        <f ca="1">SUMIF([2]!COMPROMISOS_2024[[#All],[consecutivo]],Contrato5[[#This Row],[RCP]],[2]!COMPROMISOS_2024[[#All],[Total pagado]])</f>
        <v>#REF!</v>
      </c>
      <c r="AM735" s="154">
        <f ca="1">IFERROR(Contrato5[[#This Row],[Pagos]]/Contrato5[[#This Row],[VALOR CONTRATO]],0)</f>
        <v>0</v>
      </c>
      <c r="AN735" s="198" t="e">
        <f ca="1">+Contrato5[[#This Row],[VALOR CONTRATO]]-Contrato5[[#This Row],[Pagos]]</f>
        <v>#REF!</v>
      </c>
      <c r="AO735" s="147" t="e" cm="1">
        <f t="array" aca="1" ref="AO735" ca="1">_xlfn.XLOOKUP(Contrato5[[#This Row],[DOCUMENTO ]],[2]!PERSONAL_ACTIVO_2024[[#All],[Documento identidad]],[2]!PERSONAL_ACTIVO_2024[[#All],[Mail ]],0,0)</f>
        <v>#NAME?</v>
      </c>
      <c r="AP735" s="147" t="e" cm="1">
        <f t="array" aca="1" ref="AP735" ca="1">_xlfn.XLOOKUP(Contrato5[[#This Row],[DOCUMENTO]],[2]!PERSONAL_ACTIVO_2024[[#All],[Documento identidad]],[2]!PERSONAL_ACTIVO_2024[[#All],[Mail ]],0,0)</f>
        <v>#NAME?</v>
      </c>
      <c r="AQ735" s="439" cm="1">
        <f t="array" aca="1" ref="AQ735" ca="1">IF(ISBLANK(Contrato5[[#This Row],[DEPENDENCIA ]]),0,IFERROR(_xlfn.XLOOKUP(Contrato5[[#This Row],[DEPENDENCIA ]],[2]!PERSONAL_ACTIVO_2024[[#All],[Dependencia]],[2]!PERSONAL_ACTIVO_2024[[#All],[Mail ]],0,0),0))</f>
        <v>0</v>
      </c>
    </row>
    <row r="736" spans="1:43" ht="34.5" customHeight="1">
      <c r="A736" s="147">
        <v>988</v>
      </c>
      <c r="B736" s="124">
        <v>608</v>
      </c>
      <c r="C736" s="162" t="s">
        <v>1395</v>
      </c>
      <c r="D736" s="227" t="s">
        <v>493</v>
      </c>
      <c r="E736" s="440" t="s">
        <v>94</v>
      </c>
      <c r="F736" s="227" t="s">
        <v>1376</v>
      </c>
      <c r="G736" s="281" t="s">
        <v>862</v>
      </c>
      <c r="H736" s="436">
        <v>1001738517</v>
      </c>
      <c r="I736" s="273">
        <v>3986061</v>
      </c>
      <c r="J736" s="437">
        <v>16608625</v>
      </c>
      <c r="K736" s="131" t="s">
        <v>42</v>
      </c>
      <c r="L736" s="438" t="s">
        <v>3002</v>
      </c>
      <c r="M736" s="194" t="s">
        <v>818</v>
      </c>
      <c r="N736" s="177" t="e" cm="1">
        <f t="array" aca="1" ref="N736" ca="1">_xlfn.XLOOKUP(Contrato5[[#This Row],[SUPERVISOR TITULAR]],[2]!PERSONAL_ACTIVO_2024[[#All],[Nombre completo]],[2]!PERSONAL_ACTIVO_2024[[#All],[Documento identidad]],"",0)</f>
        <v>#NAME?</v>
      </c>
      <c r="O736" s="194" t="s">
        <v>2555</v>
      </c>
      <c r="P736" s="196" t="e" cm="1">
        <f t="array" aca="1" ref="P736" ca="1">_xlfn.XLOOKUP(Contrato5[[#This Row],[SUPERVISOR SUPLENTE ]],[2]!PERSONAL_ACTIVO_2024[[#All],[Nombre completo]],[2]!PERSONAL_ACTIVO_2024[[#All],[Documento identidad]],"",0)</f>
        <v>#NAME?</v>
      </c>
      <c r="Q736" s="170">
        <v>821</v>
      </c>
      <c r="R736" s="137" t="e" cm="1">
        <f t="array" aca="1" ref="R736" ca="1">_xlfn.XLOOKUP(Contrato5[[#This Row],[CDP]],[2]!DISPONIBILIDADES_2024[[#All],[consecutivo]],[2]!DISPONIBILIDADES_2024[[#All],[fecha_aprobacion]],"",0)</f>
        <v>#NAME?</v>
      </c>
      <c r="S736" s="138" t="e">
        <f>SUMIF([2]!DISPONIBILIDADES_2024[[#All],[consecutivo]],Contrato5[[#This Row],[CDP]],[2]!DISPONIBILIDADES_2024[[#All],[valor_total_rubro]])</f>
        <v>#REF!</v>
      </c>
      <c r="T736" s="139" t="e" cm="1">
        <f t="array" aca="1" ref="T736" ca="1">_xlfn.XLOOKUP(Contrato5[[#This Row],[CONTRATO]]&amp;Contrato5[[#This Row],[CDP]],[2]!Corr_Contr_CDP[[#All],[CONTRATO-CDP]],[2]!Corr_Contr_CDP[[#All],[CRP]],_xlfn.XLOOKUP(Contrato5[[#This Row],[CDP]],[2]!COMPROMISOS_2024[[#All],[disponibilidad]],[2]!COMPROMISOS_2024[[#All],[consecutivo]],"",0),0)</f>
        <v>#NAME?</v>
      </c>
      <c r="U736" s="140" t="e" cm="1">
        <f t="array" aca="1" ref="U736" ca="1">+_xlfn.XLOOKUP(Contrato5[[#This Row],[RCP]],[2]!COMPROMISOS_2024[[#All],[consecutivo]],[2]!COMPROMISOS_2024[[#All],[fecha_aprobacion]],"",0)</f>
        <v>#NAME?</v>
      </c>
      <c r="V736" s="141" t="e">
        <f ca="1">SUMIF([2]!COMPROMISOS_2024[[#All],[consecutivo]],Contrato5[[#This Row],[RCP]],[2]!COMPROMISOS_2024[[#All],[valor_total]])</f>
        <v>#REF!</v>
      </c>
      <c r="W736" s="160">
        <v>45530</v>
      </c>
      <c r="X736" s="160" t="s">
        <v>1045</v>
      </c>
      <c r="Y736" s="143">
        <v>45531</v>
      </c>
      <c r="Z736" s="262">
        <v>45657</v>
      </c>
      <c r="AA736" s="183" t="s">
        <v>3005</v>
      </c>
      <c r="AB736" s="172" t="s">
        <v>3006</v>
      </c>
      <c r="AC736" s="172"/>
      <c r="AD736" s="425">
        <v>202000005167</v>
      </c>
      <c r="AE736" s="147" t="s">
        <v>523</v>
      </c>
      <c r="AF736" s="148" t="str">
        <f>TEXT(LEFT(Contrato5[[#This Row],[CONTRATO]],3),"0")</f>
        <v>608</v>
      </c>
      <c r="AG736" s="148" t="str">
        <f>IF(LEN(Contrato5[[#This Row],[Contrato2]])=3,Contrato5[[#This Row],[Contrato2]],TEXT(Contrato5[[#This Row],[Contrato2]],"000"))</f>
        <v>608</v>
      </c>
      <c r="AH736" s="149">
        <f ca="1">IFERROR(_xlfn.DAYS(Contrato5[[#This Row],[Fecha Proyectada liquidación]],TODAY())/30,"")</f>
        <v>0.6333333333333333</v>
      </c>
      <c r="AI736" s="150">
        <f>+Contrato5[[#This Row],[FECHA TERMINACIÓN ]]+120</f>
        <v>45777</v>
      </c>
      <c r="AJ736" s="147"/>
      <c r="AK736" s="152" t="str">
        <f ca="1">IF(Contrato5[[#This Row],[FECHA TERMINACIÓN ]]&lt;TODAY(), "Terminado",IF(ISNUMBER(Contrato5[[#This Row],[Fecha Real de liquiidación ]]),"Liquidado",IF(Contrato5[[#This Row],[FECHA TERMINACIÓN ]]&gt;=TODAY(),"En ejecución","")))</f>
        <v>Terminado</v>
      </c>
      <c r="AL736" s="153" t="e">
        <f ca="1">SUMIF([2]!COMPROMISOS_2024[[#All],[consecutivo]],Contrato5[[#This Row],[RCP]],[2]!COMPROMISOS_2024[[#All],[Total pagado]])</f>
        <v>#REF!</v>
      </c>
      <c r="AM736" s="154">
        <f ca="1">IFERROR(Contrato5[[#This Row],[Pagos]]/Contrato5[[#This Row],[VALOR CONTRATO]],0)</f>
        <v>0</v>
      </c>
      <c r="AN736" s="198" t="e">
        <f ca="1">+Contrato5[[#This Row],[VALOR CONTRATO]]-Contrato5[[#This Row],[Pagos]]</f>
        <v>#REF!</v>
      </c>
      <c r="AO736" s="147" t="e" cm="1">
        <f t="array" aca="1" ref="AO736" ca="1">_xlfn.XLOOKUP(Contrato5[[#This Row],[DOCUMENTO ]],[2]!PERSONAL_ACTIVO_2024[[#All],[Documento identidad]],[2]!PERSONAL_ACTIVO_2024[[#All],[Mail ]],0,0)</f>
        <v>#NAME?</v>
      </c>
      <c r="AP736" s="147" t="e" cm="1">
        <f t="array" aca="1" ref="AP736" ca="1">_xlfn.XLOOKUP(Contrato5[[#This Row],[DOCUMENTO]],[2]!PERSONAL_ACTIVO_2024[[#All],[Documento identidad]],[2]!PERSONAL_ACTIVO_2024[[#All],[Mail ]],0,0)</f>
        <v>#NAME?</v>
      </c>
      <c r="AQ736" s="439" cm="1">
        <f t="array" aca="1" ref="AQ736" ca="1">IF(ISBLANK(Contrato5[[#This Row],[DEPENDENCIA ]]),0,IFERROR(_xlfn.XLOOKUP(Contrato5[[#This Row],[DEPENDENCIA ]],[2]!PERSONAL_ACTIVO_2024[[#All],[Dependencia]],[2]!PERSONAL_ACTIVO_2024[[#All],[Mail ]],0,0),0))</f>
        <v>0</v>
      </c>
    </row>
    <row r="737" spans="1:16382" ht="34.5" customHeight="1">
      <c r="A737" s="147">
        <v>987</v>
      </c>
      <c r="B737" s="124">
        <v>609</v>
      </c>
      <c r="C737" s="162" t="s">
        <v>1394</v>
      </c>
      <c r="D737" s="227" t="s">
        <v>493</v>
      </c>
      <c r="E737" s="440" t="s">
        <v>94</v>
      </c>
      <c r="F737" s="227" t="s">
        <v>1376</v>
      </c>
      <c r="G737" s="281" t="s">
        <v>856</v>
      </c>
      <c r="H737" s="436">
        <v>39430907</v>
      </c>
      <c r="I737" s="273">
        <v>9346824</v>
      </c>
      <c r="J737" s="437">
        <v>38945125</v>
      </c>
      <c r="K737" s="131" t="s">
        <v>42</v>
      </c>
      <c r="L737" s="438" t="s">
        <v>3002</v>
      </c>
      <c r="M737" s="194" t="s">
        <v>497</v>
      </c>
      <c r="N737" s="177" t="e" cm="1">
        <f t="array" aca="1" ref="N737" ca="1">_xlfn.XLOOKUP(Contrato5[[#This Row],[SUPERVISOR TITULAR]],[2]!PERSONAL_ACTIVO_2024[[#All],[Nombre completo]],[2]!PERSONAL_ACTIVO_2024[[#All],[Documento identidad]],"",0)</f>
        <v>#NAME?</v>
      </c>
      <c r="O737" s="194" t="s">
        <v>498</v>
      </c>
      <c r="P737" s="196" t="e" cm="1">
        <f t="array" aca="1" ref="P737" ca="1">_xlfn.XLOOKUP(Contrato5[[#This Row],[SUPERVISOR SUPLENTE ]],[2]!PERSONAL_ACTIVO_2024[[#All],[Nombre completo]],[2]!PERSONAL_ACTIVO_2024[[#All],[Documento identidad]],"",0)</f>
        <v>#NAME?</v>
      </c>
      <c r="Q737" s="170">
        <v>823</v>
      </c>
      <c r="R737" s="137" t="e" cm="1">
        <f t="array" aca="1" ref="R737" ca="1">_xlfn.XLOOKUP(Contrato5[[#This Row],[CDP]],[2]!DISPONIBILIDADES_2024[[#All],[consecutivo]],[2]!DISPONIBILIDADES_2024[[#All],[fecha_aprobacion]],"",0)</f>
        <v>#NAME?</v>
      </c>
      <c r="S737" s="138" t="e">
        <f>SUMIF([2]!DISPONIBILIDADES_2024[[#All],[consecutivo]],Contrato5[[#This Row],[CDP]],[2]!DISPONIBILIDADES_2024[[#All],[valor_total_rubro]])</f>
        <v>#REF!</v>
      </c>
      <c r="T737" s="139" t="e" cm="1">
        <f t="array" aca="1" ref="T737" ca="1">_xlfn.XLOOKUP(Contrato5[[#This Row],[CONTRATO]]&amp;Contrato5[[#This Row],[CDP]],[2]!Corr_Contr_CDP[[#All],[CONTRATO-CDP]],[2]!Corr_Contr_CDP[[#All],[CRP]],_xlfn.XLOOKUP(Contrato5[[#This Row],[CDP]],[2]!COMPROMISOS_2024[[#All],[disponibilidad]],[2]!COMPROMISOS_2024[[#All],[consecutivo]],"",0),0)</f>
        <v>#NAME?</v>
      </c>
      <c r="U737" s="140" t="e" cm="1">
        <f t="array" aca="1" ref="U737" ca="1">+_xlfn.XLOOKUP(Contrato5[[#This Row],[RCP]],[2]!COMPROMISOS_2024[[#All],[consecutivo]],[2]!COMPROMISOS_2024[[#All],[fecha_aprobacion]],"",0)</f>
        <v>#NAME?</v>
      </c>
      <c r="V737" s="141" t="e">
        <f ca="1">SUMIF([2]!COMPROMISOS_2024[[#All],[consecutivo]],Contrato5[[#This Row],[RCP]],[2]!COMPROMISOS_2024[[#All],[valor_total]])</f>
        <v>#REF!</v>
      </c>
      <c r="W737" s="160">
        <v>45530</v>
      </c>
      <c r="X737" s="160" t="s">
        <v>1045</v>
      </c>
      <c r="Y737" s="143">
        <v>45531</v>
      </c>
      <c r="Z737" s="262">
        <v>45657</v>
      </c>
      <c r="AA737" s="183" t="s">
        <v>3007</v>
      </c>
      <c r="AB737" s="172" t="s">
        <v>3008</v>
      </c>
      <c r="AC737" s="172"/>
      <c r="AD737" s="425">
        <v>202000005168</v>
      </c>
      <c r="AE737" s="147" t="s">
        <v>523</v>
      </c>
      <c r="AF737" s="148" t="str">
        <f>TEXT(LEFT(Contrato5[[#This Row],[CONTRATO]],3),"0")</f>
        <v>609</v>
      </c>
      <c r="AG737" s="148" t="str">
        <f>IF(LEN(Contrato5[[#This Row],[Contrato2]])=3,Contrato5[[#This Row],[Contrato2]],TEXT(Contrato5[[#This Row],[Contrato2]],"000"))</f>
        <v>609</v>
      </c>
      <c r="AH737" s="149">
        <f ca="1">IFERROR(_xlfn.DAYS(Contrato5[[#This Row],[Fecha Proyectada liquidación]],TODAY())/30,"")</f>
        <v>0.6333333333333333</v>
      </c>
      <c r="AI737" s="150">
        <f>+Contrato5[[#This Row],[FECHA TERMINACIÓN ]]+120</f>
        <v>45777</v>
      </c>
      <c r="AJ737" s="147"/>
      <c r="AK737" s="152" t="str">
        <f ca="1">IF(Contrato5[[#This Row],[FECHA TERMINACIÓN ]]&lt;TODAY(), "Terminado",IF(ISNUMBER(Contrato5[[#This Row],[Fecha Real de liquiidación ]]),"Liquidado",IF(Contrato5[[#This Row],[FECHA TERMINACIÓN ]]&gt;=TODAY(),"En ejecución","")))</f>
        <v>Terminado</v>
      </c>
      <c r="AL737" s="153" t="e">
        <f ca="1">SUMIF([2]!COMPROMISOS_2024[[#All],[consecutivo]],Contrato5[[#This Row],[RCP]],[2]!COMPROMISOS_2024[[#All],[Total pagado]])</f>
        <v>#REF!</v>
      </c>
      <c r="AM737" s="154">
        <f ca="1">IFERROR(Contrato5[[#This Row],[Pagos]]/Contrato5[[#This Row],[VALOR CONTRATO]],0)</f>
        <v>0</v>
      </c>
      <c r="AN737" s="198" t="e">
        <f ca="1">+Contrato5[[#This Row],[VALOR CONTRATO]]-Contrato5[[#This Row],[Pagos]]</f>
        <v>#REF!</v>
      </c>
      <c r="AO737" s="147" t="e" cm="1">
        <f t="array" aca="1" ref="AO737" ca="1">_xlfn.XLOOKUP(Contrato5[[#This Row],[DOCUMENTO ]],[2]!PERSONAL_ACTIVO_2024[[#All],[Documento identidad]],[2]!PERSONAL_ACTIVO_2024[[#All],[Mail ]],0,0)</f>
        <v>#NAME?</v>
      </c>
      <c r="AP737" s="147" t="e" cm="1">
        <f t="array" aca="1" ref="AP737" ca="1">_xlfn.XLOOKUP(Contrato5[[#This Row],[DOCUMENTO]],[2]!PERSONAL_ACTIVO_2024[[#All],[Documento identidad]],[2]!PERSONAL_ACTIVO_2024[[#All],[Mail ]],0,0)</f>
        <v>#NAME?</v>
      </c>
      <c r="AQ737" s="439" cm="1">
        <f t="array" aca="1" ref="AQ737" ca="1">IF(ISBLANK(Contrato5[[#This Row],[DEPENDENCIA ]]),0,IFERROR(_xlfn.XLOOKUP(Contrato5[[#This Row],[DEPENDENCIA ]],[2]!PERSONAL_ACTIVO_2024[[#All],[Dependencia]],[2]!PERSONAL_ACTIVO_2024[[#All],[Mail ]],0,0),0))</f>
        <v>0</v>
      </c>
    </row>
    <row r="738" spans="1:16382" ht="34.5" customHeight="1">
      <c r="A738" s="125">
        <v>984</v>
      </c>
      <c r="B738" s="124">
        <v>610</v>
      </c>
      <c r="C738" s="162" t="s">
        <v>1393</v>
      </c>
      <c r="D738" s="227" t="s">
        <v>493</v>
      </c>
      <c r="E738" s="440" t="s">
        <v>94</v>
      </c>
      <c r="F738" s="227" t="s">
        <v>1376</v>
      </c>
      <c r="G738" s="281" t="s">
        <v>2534</v>
      </c>
      <c r="H738" s="436">
        <v>43578164</v>
      </c>
      <c r="I738" s="273">
        <v>9346824</v>
      </c>
      <c r="J738" s="437">
        <v>41126028</v>
      </c>
      <c r="K738" s="131" t="s">
        <v>42</v>
      </c>
      <c r="L738" s="438" t="s">
        <v>3002</v>
      </c>
      <c r="M738" s="194" t="s">
        <v>795</v>
      </c>
      <c r="N738" s="177" t="e" cm="1">
        <f t="array" aca="1" ref="N738" ca="1">_xlfn.XLOOKUP(Contrato5[[#This Row],[SUPERVISOR TITULAR]],[2]!PERSONAL_ACTIVO_2024[[#All],[Nombre completo]],[2]!PERSONAL_ACTIVO_2024[[#All],[Documento identidad]],"",0)</f>
        <v>#NAME?</v>
      </c>
      <c r="O738" s="194" t="s">
        <v>796</v>
      </c>
      <c r="P738" s="196" t="e" cm="1">
        <f t="array" aca="1" ref="P738" ca="1">_xlfn.XLOOKUP(Contrato5[[#This Row],[SUPERVISOR SUPLENTE ]],[2]!PERSONAL_ACTIVO_2024[[#All],[Nombre completo]],[2]!PERSONAL_ACTIVO_2024[[#All],[Documento identidad]],"",0)</f>
        <v>#NAME?</v>
      </c>
      <c r="Q738" s="170">
        <v>819</v>
      </c>
      <c r="R738" s="137" t="e" cm="1">
        <f t="array" aca="1" ref="R738" ca="1">_xlfn.XLOOKUP(Contrato5[[#This Row],[CDP]],[2]!DISPONIBILIDADES_2024[[#All],[consecutivo]],[2]!DISPONIBILIDADES_2024[[#All],[fecha_aprobacion]],"",0)</f>
        <v>#NAME?</v>
      </c>
      <c r="S738" s="138" t="e">
        <f>SUMIF([2]!DISPONIBILIDADES_2024[[#All],[consecutivo]],Contrato5[[#This Row],[CDP]],[2]!DISPONIBILIDADES_2024[[#All],[valor_total_rubro]])</f>
        <v>#REF!</v>
      </c>
      <c r="T738" s="139" t="e" cm="1">
        <f t="array" aca="1" ref="T738" ca="1">_xlfn.XLOOKUP(Contrato5[[#This Row],[CONTRATO]]&amp;Contrato5[[#This Row],[CDP]],[2]!Corr_Contr_CDP[[#All],[CONTRATO-CDP]],[2]!Corr_Contr_CDP[[#All],[CRP]],_xlfn.XLOOKUP(Contrato5[[#This Row],[CDP]],[2]!COMPROMISOS_2024[[#All],[disponibilidad]],[2]!COMPROMISOS_2024[[#All],[consecutivo]],"",0),0)</f>
        <v>#NAME?</v>
      </c>
      <c r="U738" s="140" t="e" cm="1">
        <f t="array" aca="1" ref="U738" ca="1">+_xlfn.XLOOKUP(Contrato5[[#This Row],[RCP]],[2]!COMPROMISOS_2024[[#All],[consecutivo]],[2]!COMPROMISOS_2024[[#All],[fecha_aprobacion]],"",0)</f>
        <v>#NAME?</v>
      </c>
      <c r="V738" s="141" t="e">
        <f ca="1">SUMIF([2]!COMPROMISOS_2024[[#All],[consecutivo]],Contrato5[[#This Row],[RCP]],[2]!COMPROMISOS_2024[[#All],[valor_total]])</f>
        <v>#REF!</v>
      </c>
      <c r="W738" s="160">
        <v>45526</v>
      </c>
      <c r="X738" s="160" t="s">
        <v>1045</v>
      </c>
      <c r="Y738" s="143">
        <v>45532</v>
      </c>
      <c r="Z738" s="262">
        <v>45657</v>
      </c>
      <c r="AA738" s="183" t="s">
        <v>3009</v>
      </c>
      <c r="AB738" s="172" t="s">
        <v>3000</v>
      </c>
      <c r="AC738" s="172"/>
      <c r="AD738" s="425">
        <v>202000005169</v>
      </c>
      <c r="AE738" s="147" t="s">
        <v>523</v>
      </c>
      <c r="AF738" s="148" t="str">
        <f>TEXT(LEFT(Contrato5[[#This Row],[CONTRATO]],3),"0")</f>
        <v>610</v>
      </c>
      <c r="AG738" s="148" t="str">
        <f>IF(LEN(Contrato5[[#This Row],[Contrato2]])=3,Contrato5[[#This Row],[Contrato2]],TEXT(Contrato5[[#This Row],[Contrato2]],"000"))</f>
        <v>610</v>
      </c>
      <c r="AH738" s="149">
        <f ca="1">IFERROR(_xlfn.DAYS(Contrato5[[#This Row],[Fecha Proyectada liquidación]],TODAY())/30,"")</f>
        <v>0.6333333333333333</v>
      </c>
      <c r="AI738" s="150">
        <f>+Contrato5[[#This Row],[FECHA TERMINACIÓN ]]+120</f>
        <v>45777</v>
      </c>
      <c r="AJ738" s="147"/>
      <c r="AK738" s="152" t="str">
        <f ca="1">IF(Contrato5[[#This Row],[FECHA TERMINACIÓN ]]&lt;TODAY(), "Terminado",IF(ISNUMBER(Contrato5[[#This Row],[Fecha Real de liquiidación ]]),"Liquidado",IF(Contrato5[[#This Row],[FECHA TERMINACIÓN ]]&gt;=TODAY(),"En ejecución","")))</f>
        <v>Terminado</v>
      </c>
      <c r="AL738" s="153" t="e">
        <f ca="1">SUMIF([2]!COMPROMISOS_2024[[#All],[consecutivo]],Contrato5[[#This Row],[RCP]],[2]!COMPROMISOS_2024[[#All],[Total pagado]])</f>
        <v>#REF!</v>
      </c>
      <c r="AM738" s="154">
        <f ca="1">IFERROR(Contrato5[[#This Row],[Pagos]]/Contrato5[[#This Row],[VALOR CONTRATO]],0)</f>
        <v>0</v>
      </c>
      <c r="AN738" s="198" t="e">
        <f ca="1">+Contrato5[[#This Row],[VALOR CONTRATO]]-Contrato5[[#This Row],[Pagos]]</f>
        <v>#REF!</v>
      </c>
      <c r="AO738" s="147" t="e" cm="1">
        <f t="array" aca="1" ref="AO738" ca="1">_xlfn.XLOOKUP(Contrato5[[#This Row],[DOCUMENTO ]],[2]!PERSONAL_ACTIVO_2024[[#All],[Documento identidad]],[2]!PERSONAL_ACTIVO_2024[[#All],[Mail ]],0,0)</f>
        <v>#NAME?</v>
      </c>
      <c r="AP738" s="147" t="e" cm="1">
        <f t="array" aca="1" ref="AP738" ca="1">_xlfn.XLOOKUP(Contrato5[[#This Row],[DOCUMENTO]],[2]!PERSONAL_ACTIVO_2024[[#All],[Documento identidad]],[2]!PERSONAL_ACTIVO_2024[[#All],[Mail ]],0,0)</f>
        <v>#NAME?</v>
      </c>
      <c r="AQ738" s="439" cm="1">
        <f t="array" aca="1" ref="AQ738" ca="1">IF(ISBLANK(Contrato5[[#This Row],[DEPENDENCIA ]]),0,IFERROR(_xlfn.XLOOKUP(Contrato5[[#This Row],[DEPENDENCIA ]],[2]!PERSONAL_ACTIVO_2024[[#All],[Dependencia]],[2]!PERSONAL_ACTIVO_2024[[#All],[Mail ]],0,0),0))</f>
        <v>0</v>
      </c>
    </row>
    <row r="739" spans="1:16382" ht="34.5" customHeight="1">
      <c r="A739" s="147">
        <v>997</v>
      </c>
      <c r="B739" s="124">
        <v>611</v>
      </c>
      <c r="C739" s="162" t="s">
        <v>1405</v>
      </c>
      <c r="D739" s="227" t="s">
        <v>3010</v>
      </c>
      <c r="E739" s="440" t="s">
        <v>94</v>
      </c>
      <c r="F739" s="227" t="s">
        <v>1376</v>
      </c>
      <c r="G739" s="281" t="s">
        <v>2537</v>
      </c>
      <c r="H739" s="436">
        <v>15439600</v>
      </c>
      <c r="I739" s="273">
        <v>3986061</v>
      </c>
      <c r="J739" s="437">
        <v>17459468</v>
      </c>
      <c r="K739" s="131" t="s">
        <v>42</v>
      </c>
      <c r="L739" s="438" t="s">
        <v>3002</v>
      </c>
      <c r="M739" s="194" t="s">
        <v>502</v>
      </c>
      <c r="N739" s="177" t="e" cm="1">
        <f t="array" aca="1" ref="N739" ca="1">_xlfn.XLOOKUP(Contrato5[[#This Row],[SUPERVISOR TITULAR]],[2]!PERSONAL_ACTIVO_2024[[#All],[Nombre completo]],[2]!PERSONAL_ACTIVO_2024[[#All],[Documento identidad]],"",0)</f>
        <v>#NAME?</v>
      </c>
      <c r="O739" s="194" t="s">
        <v>3011</v>
      </c>
      <c r="P739" s="196" t="e" cm="1">
        <f t="array" aca="1" ref="P739" ca="1">_xlfn.XLOOKUP(Contrato5[[#This Row],[SUPERVISOR SUPLENTE ]],[2]!PERSONAL_ACTIVO_2024[[#All],[Nombre completo]],[2]!PERSONAL_ACTIVO_2024[[#All],[Documento identidad]],"",0)</f>
        <v>#NAME?</v>
      </c>
      <c r="Q739" s="170">
        <v>830</v>
      </c>
      <c r="R739" s="137" t="e" cm="1">
        <f t="array" aca="1" ref="R739" ca="1">_xlfn.XLOOKUP(Contrato5[[#This Row],[CDP]],[2]!DISPONIBILIDADES_2024[[#All],[consecutivo]],[2]!DISPONIBILIDADES_2024[[#All],[fecha_aprobacion]],"",0)</f>
        <v>#NAME?</v>
      </c>
      <c r="S739" s="138" t="e">
        <f>SUMIF([2]!DISPONIBILIDADES_2024[[#All],[consecutivo]],Contrato5[[#This Row],[CDP]],[2]!DISPONIBILIDADES_2024[[#All],[valor_total_rubro]])</f>
        <v>#REF!</v>
      </c>
      <c r="T739" s="139" t="e" cm="1">
        <f t="array" aca="1" ref="T739" ca="1">_xlfn.XLOOKUP(Contrato5[[#This Row],[CONTRATO]]&amp;Contrato5[[#This Row],[CDP]],[2]!Corr_Contr_CDP[[#All],[CONTRATO-CDP]],[2]!Corr_Contr_CDP[[#All],[CRP]],_xlfn.XLOOKUP(Contrato5[[#This Row],[CDP]],[2]!COMPROMISOS_2024[[#All],[disponibilidad]],[2]!COMPROMISOS_2024[[#All],[consecutivo]],"",0),0)</f>
        <v>#NAME?</v>
      </c>
      <c r="U739" s="140" t="e" cm="1">
        <f t="array" aca="1" ref="U739" ca="1">+_xlfn.XLOOKUP(Contrato5[[#This Row],[RCP]],[2]!COMPROMISOS_2024[[#All],[consecutivo]],[2]!COMPROMISOS_2024[[#All],[fecha_aprobacion]],"",0)</f>
        <v>#NAME?</v>
      </c>
      <c r="V739" s="141" t="e">
        <f ca="1">SUMIF([2]!COMPROMISOS_2024[[#All],[consecutivo]],Contrato5[[#This Row],[RCP]],[2]!COMPROMISOS_2024[[#All],[valor_total]])</f>
        <v>#REF!</v>
      </c>
      <c r="W739" s="160">
        <v>45526</v>
      </c>
      <c r="X739" s="160" t="s">
        <v>1045</v>
      </c>
      <c r="Y739" s="143">
        <v>45527</v>
      </c>
      <c r="Z739" s="262">
        <v>45656</v>
      </c>
      <c r="AA739" s="183" t="s">
        <v>3012</v>
      </c>
      <c r="AB739" s="172" t="s">
        <v>3004</v>
      </c>
      <c r="AC739" s="172"/>
      <c r="AD739" s="425">
        <v>202000005170</v>
      </c>
      <c r="AE739" s="147" t="s">
        <v>523</v>
      </c>
      <c r="AF739" s="148" t="str">
        <f>TEXT(LEFT(Contrato5[[#This Row],[CONTRATO]],3),"0")</f>
        <v>611</v>
      </c>
      <c r="AG739" s="148" t="str">
        <f>IF(LEN(Contrato5[[#This Row],[Contrato2]])=3,Contrato5[[#This Row],[Contrato2]],TEXT(Contrato5[[#This Row],[Contrato2]],"000"))</f>
        <v>611</v>
      </c>
      <c r="AH739" s="149">
        <f ca="1">IFERROR(_xlfn.DAYS(Contrato5[[#This Row],[Fecha Proyectada liquidación]],TODAY())/30,"")</f>
        <v>0.6</v>
      </c>
      <c r="AI739" s="150">
        <f>+Contrato5[[#This Row],[FECHA TERMINACIÓN ]]+120</f>
        <v>45776</v>
      </c>
      <c r="AJ739" s="147"/>
      <c r="AK739" s="152" t="str">
        <f ca="1">IF(Contrato5[[#This Row],[FECHA TERMINACIÓN ]]&lt;TODAY(), "Terminado",IF(ISNUMBER(Contrato5[[#This Row],[Fecha Real de liquiidación ]]),"Liquidado",IF(Contrato5[[#This Row],[FECHA TERMINACIÓN ]]&gt;=TODAY(),"En ejecución","")))</f>
        <v>Terminado</v>
      </c>
      <c r="AL739" s="153" t="e">
        <f ca="1">SUMIF([2]!COMPROMISOS_2024[[#All],[consecutivo]],Contrato5[[#This Row],[RCP]],[2]!COMPROMISOS_2024[[#All],[Total pagado]])</f>
        <v>#REF!</v>
      </c>
      <c r="AM739" s="154">
        <f ca="1">IFERROR(Contrato5[[#This Row],[Pagos]]/Contrato5[[#This Row],[VALOR CONTRATO]],0)</f>
        <v>0</v>
      </c>
      <c r="AN739" s="198" t="e">
        <f ca="1">+Contrato5[[#This Row],[VALOR CONTRATO]]-Contrato5[[#This Row],[Pagos]]</f>
        <v>#REF!</v>
      </c>
      <c r="AO739" s="147" t="e" cm="1">
        <f t="array" aca="1" ref="AO739" ca="1">_xlfn.XLOOKUP(Contrato5[[#This Row],[DOCUMENTO ]],[2]!PERSONAL_ACTIVO_2024[[#All],[Documento identidad]],[2]!PERSONAL_ACTIVO_2024[[#All],[Mail ]],0,0)</f>
        <v>#NAME?</v>
      </c>
      <c r="AP739" s="147" t="e" cm="1">
        <f t="array" aca="1" ref="AP739" ca="1">_xlfn.XLOOKUP(Contrato5[[#This Row],[DOCUMENTO]],[2]!PERSONAL_ACTIVO_2024[[#All],[Documento identidad]],[2]!PERSONAL_ACTIVO_2024[[#All],[Mail ]],0,0)</f>
        <v>#NAME?</v>
      </c>
      <c r="AQ739" s="439" cm="1">
        <f t="array" aca="1" ref="AQ739" ca="1">IF(ISBLANK(Contrato5[[#This Row],[DEPENDENCIA ]]),0,IFERROR(_xlfn.XLOOKUP(Contrato5[[#This Row],[DEPENDENCIA ]],[2]!PERSONAL_ACTIVO_2024[[#All],[Dependencia]],[2]!PERSONAL_ACTIVO_2024[[#All],[Mail ]],0,0),0))</f>
        <v>0</v>
      </c>
    </row>
    <row r="740" spans="1:16382" ht="34.5" customHeight="1">
      <c r="A740" s="147">
        <v>765</v>
      </c>
      <c r="B740" s="124">
        <v>612</v>
      </c>
      <c r="C740" s="162" t="s">
        <v>1475</v>
      </c>
      <c r="D740" s="227" t="s">
        <v>556</v>
      </c>
      <c r="E740" s="440" t="s">
        <v>94</v>
      </c>
      <c r="F740" s="227" t="s">
        <v>494</v>
      </c>
      <c r="G740" s="281" t="s">
        <v>615</v>
      </c>
      <c r="H740" s="436">
        <v>800167494</v>
      </c>
      <c r="I740" s="273" t="s">
        <v>42</v>
      </c>
      <c r="J740" s="437">
        <v>82962191</v>
      </c>
      <c r="K740" s="131" t="s">
        <v>42</v>
      </c>
      <c r="L740" s="438" t="s">
        <v>3002</v>
      </c>
      <c r="M740" s="194" t="s">
        <v>2504</v>
      </c>
      <c r="N740" s="177" t="e" cm="1">
        <f t="array" aca="1" ref="N740" ca="1">_xlfn.XLOOKUP(Contrato5[[#This Row],[SUPERVISOR TITULAR]],[2]!PERSONAL_ACTIVO_2024[[#All],[Nombre completo]],[2]!PERSONAL_ACTIVO_2024[[#All],[Documento identidad]],"",0)</f>
        <v>#NAME?</v>
      </c>
      <c r="O740" s="194" t="s">
        <v>560</v>
      </c>
      <c r="P740" s="196" t="e" cm="1">
        <f t="array" aca="1" ref="P740" ca="1">_xlfn.XLOOKUP(Contrato5[[#This Row],[SUPERVISOR SUPLENTE ]],[2]!PERSONAL_ACTIVO_2024[[#All],[Nombre completo]],[2]!PERSONAL_ACTIVO_2024[[#All],[Documento identidad]],"",0)</f>
        <v>#NAME?</v>
      </c>
      <c r="Q740" s="170">
        <v>673</v>
      </c>
      <c r="R740" s="137" t="e" cm="1">
        <f t="array" aca="1" ref="R740" ca="1">_xlfn.XLOOKUP(Contrato5[[#This Row],[CDP]],[2]!DISPONIBILIDADES_2024[[#All],[consecutivo]],[2]!DISPONIBILIDADES_2024[[#All],[fecha_aprobacion]],"",0)</f>
        <v>#NAME?</v>
      </c>
      <c r="S740" s="138" t="e">
        <f>SUMIF([2]!DISPONIBILIDADES_2024[[#All],[consecutivo]],Contrato5[[#This Row],[CDP]],[2]!DISPONIBILIDADES_2024[[#All],[valor_total_rubro]])</f>
        <v>#REF!</v>
      </c>
      <c r="T740" s="139" t="e" cm="1">
        <f t="array" aca="1" ref="T740" ca="1">_xlfn.XLOOKUP(Contrato5[[#This Row],[CONTRATO]]&amp;Contrato5[[#This Row],[CDP]],[2]!Corr_Contr_CDP[[#All],[CONTRATO-CDP]],[2]!Corr_Contr_CDP[[#All],[CRP]],_xlfn.XLOOKUP(Contrato5[[#This Row],[CDP]],[2]!COMPROMISOS_2024[[#All],[disponibilidad]],[2]!COMPROMISOS_2024[[#All],[consecutivo]],"",0),0)</f>
        <v>#NAME?</v>
      </c>
      <c r="U740" s="140" t="e" cm="1">
        <f t="array" aca="1" ref="U740" ca="1">+_xlfn.XLOOKUP(Contrato5[[#This Row],[RCP]],[2]!COMPROMISOS_2024[[#All],[consecutivo]],[2]!COMPROMISOS_2024[[#All],[fecha_aprobacion]],"",0)</f>
        <v>#NAME?</v>
      </c>
      <c r="V740" s="141" t="e">
        <f ca="1">SUMIF([2]!COMPROMISOS_2024[[#All],[consecutivo]],Contrato5[[#This Row],[RCP]],[2]!COMPROMISOS_2024[[#All],[valor_total]])</f>
        <v>#REF!</v>
      </c>
      <c r="W740" s="160">
        <v>45537</v>
      </c>
      <c r="X740" s="161">
        <v>45537</v>
      </c>
      <c r="Y740" s="143">
        <v>45537</v>
      </c>
      <c r="Z740" s="262">
        <v>45657</v>
      </c>
      <c r="AA740" s="183" t="s">
        <v>3013</v>
      </c>
      <c r="AB740" s="172" t="s">
        <v>1000</v>
      </c>
      <c r="AC740" s="172"/>
      <c r="AD740" s="425">
        <v>202000005330</v>
      </c>
      <c r="AE740" s="147" t="s">
        <v>523</v>
      </c>
      <c r="AF740" s="148" t="str">
        <f>TEXT(LEFT(Contrato5[[#This Row],[CONTRATO]],3),"0")</f>
        <v>612</v>
      </c>
      <c r="AG740" s="148" t="str">
        <f>IF(LEN(Contrato5[[#This Row],[Contrato2]])=3,Contrato5[[#This Row],[Contrato2]],TEXT(Contrato5[[#This Row],[Contrato2]],"000"))</f>
        <v>612</v>
      </c>
      <c r="AH740" s="149">
        <f ca="1">IFERROR(_xlfn.DAYS(Contrato5[[#This Row],[Fecha Proyectada liquidación]],TODAY())/30,"")</f>
        <v>0.6333333333333333</v>
      </c>
      <c r="AI740" s="150">
        <f>+Contrato5[[#This Row],[FECHA TERMINACIÓN ]]+120</f>
        <v>45777</v>
      </c>
      <c r="AJ740" s="147"/>
      <c r="AK740" s="152" t="str">
        <f ca="1">IF(Contrato5[[#This Row],[FECHA TERMINACIÓN ]]&lt;TODAY(), "Terminado",IF(ISNUMBER(Contrato5[[#This Row],[Fecha Real de liquiidación ]]),"Liquidado",IF(Contrato5[[#This Row],[FECHA TERMINACIÓN ]]&gt;=TODAY(),"En ejecución","")))</f>
        <v>Terminado</v>
      </c>
      <c r="AL740" s="153" t="e">
        <f ca="1">SUMIF([2]!COMPROMISOS_2024[[#All],[consecutivo]],Contrato5[[#This Row],[RCP]],[2]!COMPROMISOS_2024[[#All],[Total pagado]])</f>
        <v>#REF!</v>
      </c>
      <c r="AM740" s="154">
        <f ca="1">IFERROR(Contrato5[[#This Row],[Pagos]]/Contrato5[[#This Row],[VALOR CONTRATO]],0)</f>
        <v>0</v>
      </c>
      <c r="AN740" s="198" t="e">
        <f ca="1">+Contrato5[[#This Row],[VALOR CONTRATO]]-Contrato5[[#This Row],[Pagos]]</f>
        <v>#REF!</v>
      </c>
      <c r="AO740" s="147" t="e" cm="1">
        <f t="array" aca="1" ref="AO740" ca="1">_xlfn.XLOOKUP(Contrato5[[#This Row],[DOCUMENTO ]],[2]!PERSONAL_ACTIVO_2024[[#All],[Documento identidad]],[2]!PERSONAL_ACTIVO_2024[[#All],[Mail ]],0,0)</f>
        <v>#NAME?</v>
      </c>
      <c r="AP740" s="147" t="e" cm="1">
        <f t="array" aca="1" ref="AP740" ca="1">_xlfn.XLOOKUP(Contrato5[[#This Row],[DOCUMENTO]],[2]!PERSONAL_ACTIVO_2024[[#All],[Documento identidad]],[2]!PERSONAL_ACTIVO_2024[[#All],[Mail ]],0,0)</f>
        <v>#NAME?</v>
      </c>
      <c r="AQ740" s="439" cm="1">
        <f t="array" aca="1" ref="AQ740" ca="1">IF(ISBLANK(Contrato5[[#This Row],[DEPENDENCIA ]]),0,IFERROR(_xlfn.XLOOKUP(Contrato5[[#This Row],[DEPENDENCIA ]],[2]!PERSONAL_ACTIVO_2024[[#All],[Dependencia]],[2]!PERSONAL_ACTIVO_2024[[#All],[Mail ]],0,0),0))</f>
        <v>0</v>
      </c>
    </row>
    <row r="741" spans="1:16382" ht="34.5" customHeight="1">
      <c r="A741" s="147">
        <v>769</v>
      </c>
      <c r="B741" s="124">
        <v>613</v>
      </c>
      <c r="C741" s="162" t="s">
        <v>1485</v>
      </c>
      <c r="D741" s="227" t="s">
        <v>556</v>
      </c>
      <c r="E741" s="440" t="s">
        <v>94</v>
      </c>
      <c r="F741" s="227" t="s">
        <v>494</v>
      </c>
      <c r="G741" s="281" t="s">
        <v>3014</v>
      </c>
      <c r="H741" s="436">
        <v>900969726</v>
      </c>
      <c r="I741" s="273" t="s">
        <v>42</v>
      </c>
      <c r="J741" s="437">
        <v>100813172</v>
      </c>
      <c r="K741" s="131" t="s">
        <v>42</v>
      </c>
      <c r="L741" s="438" t="s">
        <v>2815</v>
      </c>
      <c r="M741" s="194" t="s">
        <v>560</v>
      </c>
      <c r="N741" s="177" t="e" cm="1">
        <f t="array" aca="1" ref="N741" ca="1">_xlfn.XLOOKUP(Contrato5[[#This Row],[SUPERVISOR TITULAR]],[2]!PERSONAL_ACTIVO_2024[[#All],[Nombre completo]],[2]!PERSONAL_ACTIVO_2024[[#All],[Documento identidad]],"",0)</f>
        <v>#NAME?</v>
      </c>
      <c r="O741" s="194"/>
      <c r="P741" s="196" t="e" cm="1">
        <f t="array" aca="1" ref="P741" ca="1">_xlfn.XLOOKUP(Contrato5[[#This Row],[SUPERVISOR SUPLENTE ]],[2]!PERSONAL_ACTIVO_2024[[#All],[Nombre completo]],[2]!PERSONAL_ACTIVO_2024[[#All],[Documento identidad]],"",0)</f>
        <v>#NAME?</v>
      </c>
      <c r="Q741" s="170">
        <v>642</v>
      </c>
      <c r="R741" s="137" t="e" cm="1">
        <f t="array" aca="1" ref="R741" ca="1">_xlfn.XLOOKUP(Contrato5[[#This Row],[CDP]],[2]!DISPONIBILIDADES_2024[[#All],[consecutivo]],[2]!DISPONIBILIDADES_2024[[#All],[fecha_aprobacion]],"",0)</f>
        <v>#NAME?</v>
      </c>
      <c r="S741" s="138" t="e">
        <f>SUMIF([2]!DISPONIBILIDADES_2024[[#All],[consecutivo]],Contrato5[[#This Row],[CDP]],[2]!DISPONIBILIDADES_2024[[#All],[valor_total_rubro]])</f>
        <v>#REF!</v>
      </c>
      <c r="T741" s="139" t="e" cm="1">
        <f t="array" aca="1" ref="T741" ca="1">_xlfn.XLOOKUP(Contrato5[[#This Row],[CONTRATO]]&amp;Contrato5[[#This Row],[CDP]],[2]!Corr_Contr_CDP[[#All],[CONTRATO-CDP]],[2]!Corr_Contr_CDP[[#All],[CRP]],_xlfn.XLOOKUP(Contrato5[[#This Row],[CDP]],[2]!COMPROMISOS_2024[[#All],[disponibilidad]],[2]!COMPROMISOS_2024[[#All],[consecutivo]],"",0),0)</f>
        <v>#NAME?</v>
      </c>
      <c r="U741" s="140" t="e" cm="1">
        <f t="array" aca="1" ref="U741" ca="1">+_xlfn.XLOOKUP(Contrato5[[#This Row],[RCP]],[2]!COMPROMISOS_2024[[#All],[consecutivo]],[2]!COMPROMISOS_2024[[#All],[fecha_aprobacion]],"",0)</f>
        <v>#NAME?</v>
      </c>
      <c r="V741" s="141" t="e">
        <f ca="1">SUMIF([2]!COMPROMISOS_2024[[#All],[consecutivo]],Contrato5[[#This Row],[RCP]],[2]!COMPROMISOS_2024[[#All],[valor_total]])</f>
        <v>#REF!</v>
      </c>
      <c r="W741" s="160">
        <v>45546</v>
      </c>
      <c r="X741" s="160" t="s">
        <v>1045</v>
      </c>
      <c r="Y741" s="143">
        <v>45554</v>
      </c>
      <c r="Z741" s="262">
        <v>45745</v>
      </c>
      <c r="AA741" s="171" t="s">
        <v>3015</v>
      </c>
      <c r="AB741" s="172" t="s">
        <v>3016</v>
      </c>
      <c r="AC741" s="172"/>
      <c r="AD741" s="425">
        <v>202000005331</v>
      </c>
      <c r="AE741" s="147" t="s">
        <v>523</v>
      </c>
      <c r="AF741" s="148" t="str">
        <f>TEXT(LEFT(Contrato5[[#This Row],[CONTRATO]],3),"0")</f>
        <v>613</v>
      </c>
      <c r="AG741" s="148" t="str">
        <f>IF(LEN(Contrato5[[#This Row],[Contrato2]])=3,Contrato5[[#This Row],[Contrato2]],TEXT(Contrato5[[#This Row],[Contrato2]],"000"))</f>
        <v>613</v>
      </c>
      <c r="AH741" s="149">
        <f ca="1">IFERROR(_xlfn.DAYS(Contrato5[[#This Row],[Fecha Proyectada liquidación]],TODAY())/30,"")</f>
        <v>3.5666666666666669</v>
      </c>
      <c r="AI741" s="150">
        <f>+Contrato5[[#This Row],[FECHA TERMINACIÓN ]]+120</f>
        <v>45865</v>
      </c>
      <c r="AJ741" s="147"/>
      <c r="AK741" s="152" t="str">
        <f ca="1">IF(Contrato5[[#This Row],[FECHA TERMINACIÓN ]]&lt;TODAY(), "Terminado",IF(ISNUMBER(Contrato5[[#This Row],[Fecha Real de liquiidación ]]),"Liquidado",IF(Contrato5[[#This Row],[FECHA TERMINACIÓN ]]&gt;=TODAY(),"En ejecución","")))</f>
        <v>Terminado</v>
      </c>
      <c r="AL741" s="153" t="e">
        <f ca="1">SUMIF([2]!COMPROMISOS_2024[[#All],[consecutivo]],Contrato5[[#This Row],[RCP]],[2]!COMPROMISOS_2024[[#All],[Total pagado]])</f>
        <v>#REF!</v>
      </c>
      <c r="AM741" s="154">
        <f ca="1">IFERROR(Contrato5[[#This Row],[Pagos]]/Contrato5[[#This Row],[VALOR CONTRATO]],0)</f>
        <v>0</v>
      </c>
      <c r="AN741" s="198" t="e">
        <f ca="1">+Contrato5[[#This Row],[VALOR CONTRATO]]-Contrato5[[#This Row],[Pagos]]</f>
        <v>#REF!</v>
      </c>
      <c r="AO741" s="147" t="e" cm="1">
        <f t="array" aca="1" ref="AO741" ca="1">_xlfn.XLOOKUP(Contrato5[[#This Row],[DOCUMENTO ]],[2]!PERSONAL_ACTIVO_2024[[#All],[Documento identidad]],[2]!PERSONAL_ACTIVO_2024[[#All],[Mail ]],0,0)</f>
        <v>#NAME?</v>
      </c>
      <c r="AP741" s="147" t="e" cm="1">
        <f t="array" aca="1" ref="AP741" ca="1">_xlfn.XLOOKUP(Contrato5[[#This Row],[DOCUMENTO]],[2]!PERSONAL_ACTIVO_2024[[#All],[Documento identidad]],[2]!PERSONAL_ACTIVO_2024[[#All],[Mail ]],0,0)</f>
        <v>#NAME?</v>
      </c>
      <c r="AQ741" s="439" cm="1">
        <f t="array" aca="1" ref="AQ741" ca="1">IF(ISBLANK(Contrato5[[#This Row],[DEPENDENCIA ]]),0,IFERROR(_xlfn.XLOOKUP(Contrato5[[#This Row],[DEPENDENCIA ]],[2]!PERSONAL_ACTIVO_2024[[#All],[Dependencia]],[2]!PERSONAL_ACTIVO_2024[[#All],[Mail ]],0,0),0))</f>
        <v>0</v>
      </c>
    </row>
    <row r="742" spans="1:16382" ht="34.5" customHeight="1">
      <c r="A742" s="125">
        <v>766</v>
      </c>
      <c r="B742" s="124">
        <v>614</v>
      </c>
      <c r="C742" s="162" t="s">
        <v>196</v>
      </c>
      <c r="D742" s="227" t="s">
        <v>556</v>
      </c>
      <c r="E742" s="172" t="s">
        <v>151</v>
      </c>
      <c r="F742" s="227" t="s">
        <v>494</v>
      </c>
      <c r="G742" s="281" t="s">
        <v>3017</v>
      </c>
      <c r="H742" s="436">
        <v>890940618</v>
      </c>
      <c r="I742" s="273" t="s">
        <v>42</v>
      </c>
      <c r="J742" s="437">
        <v>18210570</v>
      </c>
      <c r="K742" s="131" t="s">
        <v>42</v>
      </c>
      <c r="L742" s="438" t="s">
        <v>2815</v>
      </c>
      <c r="M742" s="194" t="s">
        <v>559</v>
      </c>
      <c r="N742" s="177" t="e" cm="1">
        <f t="array" aca="1" ref="N742" ca="1">_xlfn.XLOOKUP(Contrato5[[#This Row],[SUPERVISOR TITULAR]],[2]!PERSONAL_ACTIVO_2024[[#All],[Nombre completo]],[2]!PERSONAL_ACTIVO_2024[[#All],[Documento identidad]],"",0)</f>
        <v>#NAME?</v>
      </c>
      <c r="O742" s="194" t="s">
        <v>2487</v>
      </c>
      <c r="P742" s="196" t="e" cm="1">
        <f t="array" aca="1" ref="P742" ca="1">_xlfn.XLOOKUP(Contrato5[[#This Row],[SUPERVISOR SUPLENTE ]],[2]!PERSONAL_ACTIVO_2024[[#All],[Nombre completo]],[2]!PERSONAL_ACTIVO_2024[[#All],[Documento identidad]],"",0)</f>
        <v>#NAME?</v>
      </c>
      <c r="Q742" s="170">
        <v>584</v>
      </c>
      <c r="R742" s="137" t="e" cm="1">
        <f t="array" aca="1" ref="R742" ca="1">_xlfn.XLOOKUP(Contrato5[[#This Row],[CDP]],[2]!DISPONIBILIDADES_2024[[#All],[consecutivo]],[2]!DISPONIBILIDADES_2024[[#All],[fecha_aprobacion]],"",0)</f>
        <v>#NAME?</v>
      </c>
      <c r="S742" s="138" t="e">
        <f>SUMIF([2]!DISPONIBILIDADES_2024[[#All],[consecutivo]],Contrato5[[#This Row],[CDP]],[2]!DISPONIBILIDADES_2024[[#All],[valor_total_rubro]])</f>
        <v>#REF!</v>
      </c>
      <c r="T742" s="139" t="e" cm="1">
        <f t="array" aca="1" ref="T742" ca="1">_xlfn.XLOOKUP(Contrato5[[#This Row],[CONTRATO]]&amp;Contrato5[[#This Row],[CDP]],[2]!Corr_Contr_CDP[[#All],[CONTRATO-CDP]],[2]!Corr_Contr_CDP[[#All],[CRP]],_xlfn.XLOOKUP(Contrato5[[#This Row],[CDP]],[2]!COMPROMISOS_2024[[#All],[disponibilidad]],[2]!COMPROMISOS_2024[[#All],[consecutivo]],"",0),0)</f>
        <v>#NAME?</v>
      </c>
      <c r="U742" s="140" t="e" cm="1">
        <f t="array" aca="1" ref="U742" ca="1">+_xlfn.XLOOKUP(Contrato5[[#This Row],[RCP]],[2]!COMPROMISOS_2024[[#All],[consecutivo]],[2]!COMPROMISOS_2024[[#All],[fecha_aprobacion]],"",0)</f>
        <v>#NAME?</v>
      </c>
      <c r="V742" s="141" t="e">
        <f ca="1">SUMIF([2]!COMPROMISOS_2024[[#All],[consecutivo]],Contrato5[[#This Row],[RCP]],[2]!COMPROMISOS_2024[[#All],[valor_total]])</f>
        <v>#REF!</v>
      </c>
      <c r="W742" s="160">
        <v>45530</v>
      </c>
      <c r="X742" s="161">
        <v>45530</v>
      </c>
      <c r="Y742" s="143">
        <v>45532</v>
      </c>
      <c r="Z742" s="262">
        <v>45656</v>
      </c>
      <c r="AA742" s="183" t="s">
        <v>2987</v>
      </c>
      <c r="AB742" s="172" t="s">
        <v>2607</v>
      </c>
      <c r="AC742" s="172"/>
      <c r="AD742" s="425">
        <v>202000005171</v>
      </c>
      <c r="AE742" s="147" t="s">
        <v>523</v>
      </c>
      <c r="AF742" s="148" t="str">
        <f>TEXT(LEFT(Contrato5[[#This Row],[CONTRATO]],3),"0")</f>
        <v>614</v>
      </c>
      <c r="AG742" s="148" t="str">
        <f>IF(LEN(Contrato5[[#This Row],[Contrato2]])=3,Contrato5[[#This Row],[Contrato2]],TEXT(Contrato5[[#This Row],[Contrato2]],"000"))</f>
        <v>614</v>
      </c>
      <c r="AH742" s="149">
        <f ca="1">IFERROR(_xlfn.DAYS(Contrato5[[#This Row],[Fecha Proyectada liquidación]],TODAY())/30,"")</f>
        <v>0.6</v>
      </c>
      <c r="AI742" s="150">
        <f>+Contrato5[[#This Row],[FECHA TERMINACIÓN ]]+120</f>
        <v>45776</v>
      </c>
      <c r="AJ742" s="147"/>
      <c r="AK742" s="152" t="str">
        <f ca="1">IF(Contrato5[[#This Row],[FECHA TERMINACIÓN ]]&lt;TODAY(), "Terminado",IF(ISNUMBER(Contrato5[[#This Row],[Fecha Real de liquiidación ]]),"Liquidado",IF(Contrato5[[#This Row],[FECHA TERMINACIÓN ]]&gt;=TODAY(),"En ejecución","")))</f>
        <v>Terminado</v>
      </c>
      <c r="AL742" s="153" t="e">
        <f ca="1">SUMIF([2]!COMPROMISOS_2024[[#All],[consecutivo]],Contrato5[[#This Row],[RCP]],[2]!COMPROMISOS_2024[[#All],[Total pagado]])</f>
        <v>#REF!</v>
      </c>
      <c r="AM742" s="154">
        <f ca="1">IFERROR(Contrato5[[#This Row],[Pagos]]/Contrato5[[#This Row],[VALOR CONTRATO]],0)</f>
        <v>0</v>
      </c>
      <c r="AN742" s="198" t="e">
        <f ca="1">+Contrato5[[#This Row],[VALOR CONTRATO]]-Contrato5[[#This Row],[Pagos]]</f>
        <v>#REF!</v>
      </c>
      <c r="AO742" s="147" t="e" cm="1">
        <f t="array" aca="1" ref="AO742" ca="1">_xlfn.XLOOKUP(Contrato5[[#This Row],[DOCUMENTO ]],[2]!PERSONAL_ACTIVO_2024[[#All],[Documento identidad]],[2]!PERSONAL_ACTIVO_2024[[#All],[Mail ]],0,0)</f>
        <v>#NAME?</v>
      </c>
      <c r="AP742" s="147" t="e" cm="1">
        <f t="array" aca="1" ref="AP742" ca="1">_xlfn.XLOOKUP(Contrato5[[#This Row],[DOCUMENTO]],[2]!PERSONAL_ACTIVO_2024[[#All],[Documento identidad]],[2]!PERSONAL_ACTIVO_2024[[#All],[Mail ]],0,0)</f>
        <v>#NAME?</v>
      </c>
      <c r="AQ742" s="439" cm="1">
        <f t="array" aca="1" ref="AQ742" ca="1">IF(ISBLANK(Contrato5[[#This Row],[DEPENDENCIA ]]),0,IFERROR(_xlfn.XLOOKUP(Contrato5[[#This Row],[DEPENDENCIA ]],[2]!PERSONAL_ACTIVO_2024[[#All],[Dependencia]],[2]!PERSONAL_ACTIVO_2024[[#All],[Mail ]],0,0),0))</f>
        <v>0</v>
      </c>
    </row>
    <row r="743" spans="1:16382" ht="34.5" customHeight="1">
      <c r="A743" s="147">
        <v>81</v>
      </c>
      <c r="B743" s="124">
        <v>615</v>
      </c>
      <c r="C743" s="162" t="s">
        <v>1507</v>
      </c>
      <c r="D743" s="227" t="s">
        <v>583</v>
      </c>
      <c r="E743" s="440" t="s">
        <v>94</v>
      </c>
      <c r="F743" s="227" t="s">
        <v>222</v>
      </c>
      <c r="G743" s="281" t="s">
        <v>3018</v>
      </c>
      <c r="H743" s="436">
        <v>890984351</v>
      </c>
      <c r="I743" s="273" t="s">
        <v>42</v>
      </c>
      <c r="J743" s="437">
        <v>75000000</v>
      </c>
      <c r="K743" s="131" t="s">
        <v>42</v>
      </c>
      <c r="L743" s="438" t="s">
        <v>3019</v>
      </c>
      <c r="M743" s="194" t="s">
        <v>586</v>
      </c>
      <c r="N743" s="177" t="e" cm="1">
        <f t="array" aca="1" ref="N743" ca="1">_xlfn.XLOOKUP(Contrato5[[#This Row],[SUPERVISOR TITULAR]],[2]!PERSONAL_ACTIVO_2024[[#All],[Nombre completo]],[2]!PERSONAL_ACTIVO_2024[[#All],[Documento identidad]],"",0)</f>
        <v>#NAME?</v>
      </c>
      <c r="O743" s="194" t="s">
        <v>589</v>
      </c>
      <c r="P743" s="196" t="e" cm="1">
        <f t="array" aca="1" ref="P743" ca="1">_xlfn.XLOOKUP(Contrato5[[#This Row],[SUPERVISOR SUPLENTE ]],[2]!PERSONAL_ACTIVO_2024[[#All],[Nombre completo]],[2]!PERSONAL_ACTIVO_2024[[#All],[Documento identidad]],"",0)</f>
        <v>#NAME?</v>
      </c>
      <c r="Q743" s="170">
        <v>496</v>
      </c>
      <c r="R743" s="137" t="e" cm="1">
        <f t="array" aca="1" ref="R743" ca="1">_xlfn.XLOOKUP(Contrato5[[#This Row],[CDP]],[2]!DISPONIBILIDADES_2024[[#All],[consecutivo]],[2]!DISPONIBILIDADES_2024[[#All],[fecha_aprobacion]],"",0)</f>
        <v>#NAME?</v>
      </c>
      <c r="S743" s="138" t="e">
        <f>SUMIF([2]!DISPONIBILIDADES_2024[[#All],[consecutivo]],Contrato5[[#This Row],[CDP]],[2]!DISPONIBILIDADES_2024[[#All],[valor_total_rubro]])</f>
        <v>#REF!</v>
      </c>
      <c r="T743" s="139" t="e" cm="1">
        <f t="array" aca="1" ref="T743" ca="1">_xlfn.XLOOKUP(Contrato5[[#This Row],[CONTRATO]]&amp;Contrato5[[#This Row],[CDP]],[2]!Corr_Contr_CDP[[#All],[CONTRATO-CDP]],[2]!Corr_Contr_CDP[[#All],[CRP]],_xlfn.XLOOKUP(Contrato5[[#This Row],[CDP]],[2]!COMPROMISOS_2024[[#All],[disponibilidad]],[2]!COMPROMISOS_2024[[#All],[consecutivo]],"",0),0)</f>
        <v>#NAME?</v>
      </c>
      <c r="U743" s="140" t="e" cm="1">
        <f t="array" aca="1" ref="U743" ca="1">+_xlfn.XLOOKUP(Contrato5[[#This Row],[RCP]],[2]!COMPROMISOS_2024[[#All],[consecutivo]],[2]!COMPROMISOS_2024[[#All],[fecha_aprobacion]],"",0)</f>
        <v>#NAME?</v>
      </c>
      <c r="V743" s="141" t="e">
        <f ca="1">SUMIF([2]!COMPROMISOS_2024[[#All],[consecutivo]],Contrato5[[#This Row],[RCP]],[2]!COMPROMISOS_2024[[#All],[valor_total]])</f>
        <v>#REF!</v>
      </c>
      <c r="W743" s="160">
        <v>45532</v>
      </c>
      <c r="X743" s="161">
        <v>45540</v>
      </c>
      <c r="Y743" s="143">
        <v>45540</v>
      </c>
      <c r="Z743" s="262">
        <v>45656</v>
      </c>
      <c r="AA743" s="183" t="s">
        <v>3020</v>
      </c>
      <c r="AB743" s="172" t="s">
        <v>1000</v>
      </c>
      <c r="AC743" s="172"/>
      <c r="AD743" s="425">
        <v>202000005332</v>
      </c>
      <c r="AE743" s="147" t="s">
        <v>523</v>
      </c>
      <c r="AF743" s="148" t="str">
        <f>TEXT(LEFT(Contrato5[[#This Row],[CONTRATO]],3),"0")</f>
        <v>615</v>
      </c>
      <c r="AG743" s="148" t="str">
        <f>IF(LEN(Contrato5[[#This Row],[Contrato2]])=3,Contrato5[[#This Row],[Contrato2]],TEXT(Contrato5[[#This Row],[Contrato2]],"000"))</f>
        <v>615</v>
      </c>
      <c r="AH743" s="149">
        <f ca="1">IFERROR(_xlfn.DAYS(Contrato5[[#This Row],[Fecha Proyectada liquidación]],TODAY())/30,"")</f>
        <v>0.6</v>
      </c>
      <c r="AI743" s="150">
        <f>+Contrato5[[#This Row],[FECHA TERMINACIÓN ]]+120</f>
        <v>45776</v>
      </c>
      <c r="AJ743" s="147"/>
      <c r="AK743" s="152" t="str">
        <f ca="1">IF(Contrato5[[#This Row],[FECHA TERMINACIÓN ]]&lt;TODAY(), "Terminado",IF(ISNUMBER(Contrato5[[#This Row],[Fecha Real de liquiidación ]]),"Liquidado",IF(Contrato5[[#This Row],[FECHA TERMINACIÓN ]]&gt;=TODAY(),"En ejecución","")))</f>
        <v>Terminado</v>
      </c>
      <c r="AL743" s="153" t="e">
        <f ca="1">SUMIF([2]!COMPROMISOS_2024[[#All],[consecutivo]],Contrato5[[#This Row],[RCP]],[2]!COMPROMISOS_2024[[#All],[Total pagado]])</f>
        <v>#REF!</v>
      </c>
      <c r="AM743" s="154">
        <f ca="1">IFERROR(Contrato5[[#This Row],[Pagos]]/Contrato5[[#This Row],[VALOR CONTRATO]],0)</f>
        <v>0</v>
      </c>
      <c r="AN743" s="198" t="e">
        <f ca="1">+Contrato5[[#This Row],[VALOR CONTRATO]]-Contrato5[[#This Row],[Pagos]]</f>
        <v>#REF!</v>
      </c>
      <c r="AO743" s="147" t="e" cm="1">
        <f t="array" aca="1" ref="AO743" ca="1">_xlfn.XLOOKUP(Contrato5[[#This Row],[DOCUMENTO ]],[2]!PERSONAL_ACTIVO_2024[[#All],[Documento identidad]],[2]!PERSONAL_ACTIVO_2024[[#All],[Mail ]],0,0)</f>
        <v>#NAME?</v>
      </c>
      <c r="AP743" s="147" t="e" cm="1">
        <f t="array" aca="1" ref="AP743" ca="1">_xlfn.XLOOKUP(Contrato5[[#This Row],[DOCUMENTO]],[2]!PERSONAL_ACTIVO_2024[[#All],[Documento identidad]],[2]!PERSONAL_ACTIVO_2024[[#All],[Mail ]],0,0)</f>
        <v>#NAME?</v>
      </c>
      <c r="AQ743" s="439" cm="1">
        <f t="array" aca="1" ref="AQ743" ca="1">IF(ISBLANK(Contrato5[[#This Row],[DEPENDENCIA ]]),0,IFERROR(_xlfn.XLOOKUP(Contrato5[[#This Row],[DEPENDENCIA ]],[2]!PERSONAL_ACTIVO_2024[[#All],[Dependencia]],[2]!PERSONAL_ACTIVO_2024[[#All],[Mail ]],0,0),0))</f>
        <v>0</v>
      </c>
    </row>
    <row r="744" spans="1:16382" ht="34.5" customHeight="1">
      <c r="A744" s="147">
        <v>852</v>
      </c>
      <c r="B744" s="124">
        <v>616</v>
      </c>
      <c r="C744" s="162" t="s">
        <v>1907</v>
      </c>
      <c r="D744" s="227" t="s">
        <v>515</v>
      </c>
      <c r="E744" s="440" t="s">
        <v>94</v>
      </c>
      <c r="F744" s="227" t="s">
        <v>255</v>
      </c>
      <c r="G744" s="281" t="s">
        <v>3021</v>
      </c>
      <c r="H744" s="436">
        <v>901442808</v>
      </c>
      <c r="I744" s="273" t="s">
        <v>42</v>
      </c>
      <c r="J744" s="437">
        <v>386855619</v>
      </c>
      <c r="K744" s="131" t="s">
        <v>3022</v>
      </c>
      <c r="L744" s="438" t="s">
        <v>2989</v>
      </c>
      <c r="M744" s="194" t="s">
        <v>836</v>
      </c>
      <c r="N744" s="177" t="e" cm="1">
        <f t="array" aca="1" ref="N744" ca="1">_xlfn.XLOOKUP(Contrato5[[#This Row],[SUPERVISOR TITULAR]],[2]!PERSONAL_ACTIVO_2024[[#All],[Nombre completo]],[2]!PERSONAL_ACTIVO_2024[[#All],[Documento identidad]],"",0)</f>
        <v>#NAME?</v>
      </c>
      <c r="O744" s="194" t="s">
        <v>954</v>
      </c>
      <c r="P744" s="196" t="e" cm="1">
        <f t="array" aca="1" ref="P744" ca="1">_xlfn.XLOOKUP(Contrato5[[#This Row],[SUPERVISOR SUPLENTE ]],[2]!PERSONAL_ACTIVO_2024[[#All],[Nombre completo]],[2]!PERSONAL_ACTIVO_2024[[#All],[Documento identidad]],"",0)</f>
        <v>#NAME?</v>
      </c>
      <c r="Q744" s="170">
        <v>664</v>
      </c>
      <c r="R744" s="137" t="e" cm="1">
        <f t="array" aca="1" ref="R744" ca="1">_xlfn.XLOOKUP(Contrato5[[#This Row],[CDP]],[2]!DISPONIBILIDADES_2024[[#All],[consecutivo]],[2]!DISPONIBILIDADES_2024[[#All],[fecha_aprobacion]],"",0)</f>
        <v>#NAME?</v>
      </c>
      <c r="S744" s="138" t="e">
        <f>SUMIF([2]!DISPONIBILIDADES_2024[[#All],[consecutivo]],Contrato5[[#This Row],[CDP]],[2]!DISPONIBILIDADES_2024[[#All],[valor_total_rubro]])</f>
        <v>#REF!</v>
      </c>
      <c r="T744" s="139" t="e" cm="1">
        <f t="array" aca="1" ref="T744" ca="1">_xlfn.XLOOKUP(Contrato5[[#This Row],[CONTRATO]]&amp;Contrato5[[#This Row],[CDP]],[2]!Corr_Contr_CDP[[#All],[CONTRATO-CDP]],[2]!Corr_Contr_CDP[[#All],[CRP]],_xlfn.XLOOKUP(Contrato5[[#This Row],[CDP]],[2]!COMPROMISOS_2024[[#All],[disponibilidad]],[2]!COMPROMISOS_2024[[#All],[consecutivo]],"",0),0)</f>
        <v>#NAME?</v>
      </c>
      <c r="U744" s="140" t="e" cm="1">
        <f t="array" aca="1" ref="U744" ca="1">+_xlfn.XLOOKUP(Contrato5[[#This Row],[RCP]],[2]!COMPROMISOS_2024[[#All],[consecutivo]],[2]!COMPROMISOS_2024[[#All],[fecha_aprobacion]],"",0)</f>
        <v>#NAME?</v>
      </c>
      <c r="V744" s="141" t="e">
        <f ca="1">SUMIF([2]!COMPROMISOS_2024[[#All],[consecutivo]],Contrato5[[#This Row],[RCP]],[2]!COMPROMISOS_2024[[#All],[valor_total]])</f>
        <v>#REF!</v>
      </c>
      <c r="W744" s="160">
        <v>45533</v>
      </c>
      <c r="X744" s="161">
        <v>45534</v>
      </c>
      <c r="Y744" s="143">
        <v>45534</v>
      </c>
      <c r="Z744" s="262">
        <v>45596</v>
      </c>
      <c r="AA744" s="183" t="s">
        <v>3023</v>
      </c>
      <c r="AB744" s="172" t="s">
        <v>500</v>
      </c>
      <c r="AC744" s="172"/>
      <c r="AD744" s="425">
        <v>202000005172</v>
      </c>
      <c r="AE744" s="147" t="s">
        <v>523</v>
      </c>
      <c r="AF744" s="148" t="str">
        <f>TEXT(LEFT(Contrato5[[#This Row],[CONTRATO]],3),"0")</f>
        <v>616</v>
      </c>
      <c r="AG744" s="148" t="str">
        <f>IF(LEN(Contrato5[[#This Row],[Contrato2]])=3,Contrato5[[#This Row],[Contrato2]],TEXT(Contrato5[[#This Row],[Contrato2]],"000"))</f>
        <v>616</v>
      </c>
      <c r="AH744" s="149">
        <f ca="1">IFERROR(_xlfn.DAYS(Contrato5[[#This Row],[Fecha Proyectada liquidación]],TODAY())/30,"")</f>
        <v>-1.4</v>
      </c>
      <c r="AI744" s="150">
        <f>+Contrato5[[#This Row],[FECHA TERMINACIÓN ]]+120</f>
        <v>45716</v>
      </c>
      <c r="AJ744" s="147"/>
      <c r="AK744" s="152" t="str">
        <f ca="1">IF(Contrato5[[#This Row],[FECHA TERMINACIÓN ]]&lt;TODAY(), "Terminado",IF(ISNUMBER(Contrato5[[#This Row],[Fecha Real de liquiidación ]]),"Liquidado",IF(Contrato5[[#This Row],[FECHA TERMINACIÓN ]]&gt;=TODAY(),"En ejecución","")))</f>
        <v>Terminado</v>
      </c>
      <c r="AL744" s="153" t="e">
        <f ca="1">SUMIF([2]!COMPROMISOS_2024[[#All],[consecutivo]],Contrato5[[#This Row],[RCP]],[2]!COMPROMISOS_2024[[#All],[Total pagado]])</f>
        <v>#REF!</v>
      </c>
      <c r="AM744" s="154">
        <f ca="1">IFERROR(Contrato5[[#This Row],[Pagos]]/Contrato5[[#This Row],[VALOR CONTRATO]],0)</f>
        <v>0</v>
      </c>
      <c r="AN744" s="198" t="e">
        <f ca="1">+Contrato5[[#This Row],[VALOR CONTRATO]]-Contrato5[[#This Row],[Pagos]]</f>
        <v>#REF!</v>
      </c>
      <c r="AO744" s="147" t="e" cm="1">
        <f t="array" aca="1" ref="AO744" ca="1">_xlfn.XLOOKUP(Contrato5[[#This Row],[DOCUMENTO ]],[2]!PERSONAL_ACTIVO_2024[[#All],[Documento identidad]],[2]!PERSONAL_ACTIVO_2024[[#All],[Mail ]],0,0)</f>
        <v>#NAME?</v>
      </c>
      <c r="AP744" s="147" t="e" cm="1">
        <f t="array" aca="1" ref="AP744" ca="1">_xlfn.XLOOKUP(Contrato5[[#This Row],[DOCUMENTO]],[2]!PERSONAL_ACTIVO_2024[[#All],[Documento identidad]],[2]!PERSONAL_ACTIVO_2024[[#All],[Mail ]],0,0)</f>
        <v>#NAME?</v>
      </c>
      <c r="AQ744" s="439" cm="1">
        <f t="array" aca="1" ref="AQ744" ca="1">IF(ISBLANK(Contrato5[[#This Row],[DEPENDENCIA ]]),0,IFERROR(_xlfn.XLOOKUP(Contrato5[[#This Row],[DEPENDENCIA ]],[2]!PERSONAL_ACTIVO_2024[[#All],[Dependencia]],[2]!PERSONAL_ACTIVO_2024[[#All],[Mail ]],0,0),0))</f>
        <v>0</v>
      </c>
    </row>
    <row r="745" spans="1:16382" ht="34.5" customHeight="1">
      <c r="A745" s="147">
        <v>851</v>
      </c>
      <c r="B745" s="124">
        <v>617</v>
      </c>
      <c r="C745" s="162" t="s">
        <v>1905</v>
      </c>
      <c r="D745" s="227" t="s">
        <v>515</v>
      </c>
      <c r="E745" s="61" t="s">
        <v>94</v>
      </c>
      <c r="F745" s="518" t="s">
        <v>255</v>
      </c>
      <c r="G745" s="281" t="s">
        <v>3024</v>
      </c>
      <c r="H745" s="436">
        <v>800211333</v>
      </c>
      <c r="I745" s="273" t="s">
        <v>42</v>
      </c>
      <c r="J745" s="437">
        <v>603969155</v>
      </c>
      <c r="K745" s="131" t="s">
        <v>3025</v>
      </c>
      <c r="L745" s="438" t="s">
        <v>2989</v>
      </c>
      <c r="M745" s="194" t="s">
        <v>867</v>
      </c>
      <c r="N745" s="177" t="e" cm="1">
        <f t="array" aca="1" ref="N745" ca="1">_xlfn.XLOOKUP(Contrato5[[#This Row],[SUPERVISOR TITULAR]],[2]!PERSONAL_ACTIVO_2024[[#All],[Nombre completo]],[2]!PERSONAL_ACTIVO_2024[[#All],[Documento identidad]],"",0)</f>
        <v>#NAME?</v>
      </c>
      <c r="O745" s="194" t="s">
        <v>823</v>
      </c>
      <c r="P745" s="196" t="e" cm="1">
        <f t="array" aca="1" ref="P745" ca="1">_xlfn.XLOOKUP(Contrato5[[#This Row],[SUPERVISOR SUPLENTE ]],[2]!PERSONAL_ACTIVO_2024[[#All],[Nombre completo]],[2]!PERSONAL_ACTIVO_2024[[#All],[Documento identidad]],"",0)</f>
        <v>#NAME?</v>
      </c>
      <c r="Q745" s="170">
        <v>668</v>
      </c>
      <c r="R745" s="137" t="e" cm="1">
        <f t="array" aca="1" ref="R745" ca="1">_xlfn.XLOOKUP(Contrato5[[#This Row],[CDP]],[2]!DISPONIBILIDADES_2024[[#All],[consecutivo]],[2]!DISPONIBILIDADES_2024[[#All],[fecha_aprobacion]],"",0)</f>
        <v>#NAME?</v>
      </c>
      <c r="S745" s="138" t="e">
        <f>SUMIF([2]!DISPONIBILIDADES_2024[[#All],[consecutivo]],Contrato5[[#This Row],[CDP]],[2]!DISPONIBILIDADES_2024[[#All],[valor_total_rubro]])</f>
        <v>#REF!</v>
      </c>
      <c r="T745" s="139" t="e" cm="1">
        <f t="array" aca="1" ref="T745" ca="1">_xlfn.XLOOKUP(Contrato5[[#This Row],[CONTRATO]]&amp;Contrato5[[#This Row],[CDP]],[2]!Corr_Contr_CDP[[#All],[CONTRATO-CDP]],[2]!Corr_Contr_CDP[[#All],[CRP]],_xlfn.XLOOKUP(Contrato5[[#This Row],[CDP]],[2]!COMPROMISOS_2024[[#All],[disponibilidad]],[2]!COMPROMISOS_2024[[#All],[consecutivo]],"",0),0)</f>
        <v>#NAME?</v>
      </c>
      <c r="U745" s="140" t="e" cm="1">
        <f t="array" aca="1" ref="U745" ca="1">+_xlfn.XLOOKUP(Contrato5[[#This Row],[RCP]],[2]!COMPROMISOS_2024[[#All],[consecutivo]],[2]!COMPROMISOS_2024[[#All],[fecha_aprobacion]],"",0)</f>
        <v>#NAME?</v>
      </c>
      <c r="V745" s="141" t="e">
        <f ca="1">SUMIF([2]!COMPROMISOS_2024[[#All],[consecutivo]],Contrato5[[#This Row],[RCP]],[2]!COMPROMISOS_2024[[#All],[valor_total]])</f>
        <v>#REF!</v>
      </c>
      <c r="W745" s="160">
        <v>45533</v>
      </c>
      <c r="X745" s="161">
        <v>45537</v>
      </c>
      <c r="Y745" s="143">
        <v>45537</v>
      </c>
      <c r="Z745" s="262">
        <v>45596</v>
      </c>
      <c r="AA745" s="183" t="s">
        <v>3026</v>
      </c>
      <c r="AB745" s="172" t="s">
        <v>500</v>
      </c>
      <c r="AC745" s="172"/>
      <c r="AD745" s="547">
        <v>202000005339</v>
      </c>
      <c r="AE745" s="147" t="s">
        <v>523</v>
      </c>
      <c r="AF745" s="148" t="str">
        <f>TEXT(LEFT(Contrato5[[#This Row],[CONTRATO]],3),"0")</f>
        <v>617</v>
      </c>
      <c r="AG745" s="148" t="str">
        <f>IF(LEN(Contrato5[[#This Row],[Contrato2]])=3,Contrato5[[#This Row],[Contrato2]],TEXT(Contrato5[[#This Row],[Contrato2]],"000"))</f>
        <v>617</v>
      </c>
      <c r="AH745" s="149">
        <f ca="1">IFERROR(_xlfn.DAYS(Contrato5[[#This Row],[Fecha Proyectada liquidación]],TODAY())/30,"")</f>
        <v>-1.4</v>
      </c>
      <c r="AI745" s="150">
        <f>+Contrato5[[#This Row],[FECHA TERMINACIÓN ]]+120</f>
        <v>45716</v>
      </c>
      <c r="AJ745" s="147"/>
      <c r="AK745" s="152" t="str">
        <f ca="1">IF(Contrato5[[#This Row],[FECHA TERMINACIÓN ]]&lt;TODAY(), "Terminado",IF(ISNUMBER(Contrato5[[#This Row],[Fecha Real de liquiidación ]]),"Liquidado",IF(Contrato5[[#This Row],[FECHA TERMINACIÓN ]]&gt;=TODAY(),"En ejecución","")))</f>
        <v>Terminado</v>
      </c>
      <c r="AL745" s="153" t="e">
        <f ca="1">SUMIF([2]!COMPROMISOS_2024[[#All],[consecutivo]],Contrato5[[#This Row],[RCP]],[2]!COMPROMISOS_2024[[#All],[Total pagado]])</f>
        <v>#REF!</v>
      </c>
      <c r="AM745" s="154">
        <f ca="1">IFERROR(Contrato5[[#This Row],[Pagos]]/Contrato5[[#This Row],[VALOR CONTRATO]],0)</f>
        <v>0</v>
      </c>
      <c r="AN745" s="198" t="e">
        <f ca="1">+Contrato5[[#This Row],[VALOR CONTRATO]]-Contrato5[[#This Row],[Pagos]]</f>
        <v>#REF!</v>
      </c>
      <c r="AO745" s="147" t="e" cm="1">
        <f t="array" aca="1" ref="AO745" ca="1">_xlfn.XLOOKUP(Contrato5[[#This Row],[DOCUMENTO ]],[2]!PERSONAL_ACTIVO_2024[[#All],[Documento identidad]],[2]!PERSONAL_ACTIVO_2024[[#All],[Mail ]],0,0)</f>
        <v>#NAME?</v>
      </c>
      <c r="AP745" s="147" t="e" cm="1">
        <f t="array" aca="1" ref="AP745" ca="1">_xlfn.XLOOKUP(Contrato5[[#This Row],[DOCUMENTO]],[2]!PERSONAL_ACTIVO_2024[[#All],[Documento identidad]],[2]!PERSONAL_ACTIVO_2024[[#All],[Mail ]],0,0)</f>
        <v>#NAME?</v>
      </c>
      <c r="AQ745" s="439" cm="1">
        <f t="array" aca="1" ref="AQ745" ca="1">IF(ISBLANK(Contrato5[[#This Row],[DEPENDENCIA ]]),0,IFERROR(_xlfn.XLOOKUP(Contrato5[[#This Row],[DEPENDENCIA ]],[2]!PERSONAL_ACTIVO_2024[[#All],[Dependencia]],[2]!PERSONAL_ACTIVO_2024[[#All],[Mail ]],0,0),0))</f>
        <v>0</v>
      </c>
    </row>
    <row r="746" spans="1:16382" ht="34.5" customHeight="1">
      <c r="A746" s="147">
        <v>1132</v>
      </c>
      <c r="B746" s="124">
        <v>617</v>
      </c>
      <c r="C746" s="162" t="s">
        <v>2369</v>
      </c>
      <c r="D746" s="227" t="s">
        <v>515</v>
      </c>
      <c r="E746" s="61" t="s">
        <v>2148</v>
      </c>
      <c r="F746" s="518" t="s">
        <v>255</v>
      </c>
      <c r="G746" s="281" t="s">
        <v>3024</v>
      </c>
      <c r="H746" s="436">
        <v>800211333</v>
      </c>
      <c r="I746" s="273" t="s">
        <v>42</v>
      </c>
      <c r="J746" s="437">
        <v>35191719</v>
      </c>
      <c r="K746" s="147" t="s">
        <v>781</v>
      </c>
      <c r="L746" s="438" t="s">
        <v>2541</v>
      </c>
      <c r="M746" s="194" t="s">
        <v>867</v>
      </c>
      <c r="N746" s="177" t="e" cm="1">
        <f t="array" aca="1" ref="N746" ca="1">_xlfn.XLOOKUP(Contrato5[[#This Row],[SUPERVISOR TITULAR]],[2]!PERSONAL_ACTIVO_2024[[#All],[Nombre completo]],[2]!PERSONAL_ACTIVO_2024[[#All],[Documento identidad]],"",0)</f>
        <v>#NAME?</v>
      </c>
      <c r="O746" s="194" t="s">
        <v>823</v>
      </c>
      <c r="P746" s="196" t="e" cm="1">
        <f t="array" aca="1" ref="P746" ca="1">_xlfn.XLOOKUP(Contrato5[[#This Row],[SUPERVISOR SUPLENTE ]],[2]!PERSONAL_ACTIVO_2024[[#All],[Nombre completo]],[2]!PERSONAL_ACTIVO_2024[[#All],[Documento identidad]],"",0)</f>
        <v>#NAME?</v>
      </c>
      <c r="Q746" s="170">
        <v>915</v>
      </c>
      <c r="R746" s="137" t="e" cm="1">
        <f t="array" aca="1" ref="R746" ca="1">_xlfn.XLOOKUP(Contrato5[[#This Row],[CDP]],[2]!DISPONIBILIDADES_2024[[#All],[consecutivo]],[2]!DISPONIBILIDADES_2024[[#All],[fecha_aprobacion]],"",0)</f>
        <v>#NAME?</v>
      </c>
      <c r="S746" s="138" t="e">
        <f>SUMIF([2]!DISPONIBILIDADES_2024[[#All],[consecutivo]],Contrato5[[#This Row],[CDP]],[2]!DISPONIBILIDADES_2024[[#All],[valor_total_rubro]])</f>
        <v>#REF!</v>
      </c>
      <c r="T746" s="139" t="e" cm="1">
        <f t="array" aca="1" ref="T746" ca="1">_xlfn.XLOOKUP(Contrato5[[#This Row],[CONTRATO]]&amp;Contrato5[[#This Row],[CDP]],[2]!Corr_Contr_CDP[[#All],[CONTRATO-CDP]],[2]!Corr_Contr_CDP[[#All],[CRP]],_xlfn.XLOOKUP(Contrato5[[#This Row],[CDP]],[2]!COMPROMISOS_2024[[#All],[disponibilidad]],[2]!COMPROMISOS_2024[[#All],[consecutivo]],"",0),0)</f>
        <v>#NAME?</v>
      </c>
      <c r="U746" s="140" t="e" cm="1">
        <f t="array" aca="1" ref="U746" ca="1">+_xlfn.XLOOKUP(Contrato5[[#This Row],[RCP]],[2]!COMPROMISOS_2024[[#All],[consecutivo]],[2]!COMPROMISOS_2024[[#All],[fecha_aprobacion]],"",0)</f>
        <v>#NAME?</v>
      </c>
      <c r="V746" s="141" t="e">
        <f ca="1">SUMIF([2]!COMPROMISOS_2024[[#All],[consecutivo]],Contrato5[[#This Row],[RCP]],[2]!COMPROMISOS_2024[[#All],[valor_total]])</f>
        <v>#REF!</v>
      </c>
      <c r="W746" s="160"/>
      <c r="X746" s="161"/>
      <c r="Y746" s="143" t="e">
        <f ca="1">+LEFT(_xlfn.XLOOKUP(Contrato5[[#This Row],[CONTRATO3DIG]],[2]SECOP_II!AE:AE,[2]SECOP_II!F:F,"",0),10)</f>
        <v>#NAME?</v>
      </c>
      <c r="Z746" s="262" t="e">
        <f ca="1">+LEFT(_xlfn.XLOOKUP(Contrato5[[#This Row],[CONTRATO3DIG]],[2]SECOP_II!AE:AE,[2]SECOP_II!G:G,"",0),10)</f>
        <v>#NAME?</v>
      </c>
      <c r="AA746" s="225"/>
      <c r="AB746" s="172" t="s">
        <v>42</v>
      </c>
      <c r="AC746" s="127"/>
      <c r="AD746" s="288"/>
      <c r="AE746" s="147"/>
      <c r="AF746" s="148" t="str">
        <f>TEXT(LEFT(Contrato5[[#This Row],[CONTRATO]],3),"0")</f>
        <v>617</v>
      </c>
      <c r="AG746" s="148" t="str">
        <f>IF(LEN(Contrato5[[#This Row],[Contrato2]])=3,Contrato5[[#This Row],[Contrato2]],TEXT(Contrato5[[#This Row],[Contrato2]],"000"))</f>
        <v>617</v>
      </c>
      <c r="AH746" s="149" t="str">
        <f ca="1">IFERROR(_xlfn.DAYS(Contrato5[[#This Row],[Fecha Proyectada liquidación]],TODAY())/30,"")</f>
        <v/>
      </c>
      <c r="AI746" s="150" t="e">
        <f ca="1">+Contrato5[[#This Row],[FECHA TERMINACIÓN ]]+120</f>
        <v>#NAME?</v>
      </c>
      <c r="AJ746" s="147"/>
      <c r="AK746" s="152" t="e">
        <f ca="1">IF(Contrato5[[#This Row],[FECHA TERMINACIÓN ]]&lt;TODAY(), "Terminado",IF(ISNUMBER(Contrato5[[#This Row],[Fecha Real de liquiidación ]]),"Liquidado",IF(Contrato5[[#This Row],[FECHA TERMINACIÓN ]]&gt;=TODAY(),"En ejecución","")))</f>
        <v>#NAME?</v>
      </c>
      <c r="AL746" s="153" t="e">
        <f ca="1">SUMIF([2]!COMPROMISOS_2024[[#All],[consecutivo]],Contrato5[[#This Row],[RCP]],[2]!COMPROMISOS_2024[[#All],[Total pagado]])</f>
        <v>#REF!</v>
      </c>
      <c r="AM746" s="154">
        <f ca="1">IFERROR(Contrato5[[#This Row],[Pagos]]/Contrato5[[#This Row],[VALOR CONTRATO]],0)</f>
        <v>0</v>
      </c>
      <c r="AN746" s="198" t="e">
        <f ca="1">+Contrato5[[#This Row],[VALOR CONTRATO]]-Contrato5[[#This Row],[Pagos]]</f>
        <v>#REF!</v>
      </c>
      <c r="AO746" s="147" t="e" cm="1">
        <f t="array" aca="1" ref="AO746" ca="1">_xlfn.XLOOKUP(Contrato5[[#This Row],[DOCUMENTO ]],[2]!PERSONAL_ACTIVO_2024[[#All],[Documento identidad]],[2]!PERSONAL_ACTIVO_2024[[#All],[Mail ]],0,0)</f>
        <v>#NAME?</v>
      </c>
      <c r="AP746" s="147" t="e" cm="1">
        <f t="array" aca="1" ref="AP746" ca="1">_xlfn.XLOOKUP(Contrato5[[#This Row],[DOCUMENTO]],[2]!PERSONAL_ACTIVO_2024[[#All],[Documento identidad]],[2]!PERSONAL_ACTIVO_2024[[#All],[Mail ]],0,0)</f>
        <v>#NAME?</v>
      </c>
      <c r="AQ746" s="439" cm="1">
        <f t="array" aca="1" ref="AQ746" ca="1">IF(ISBLANK(Contrato5[[#This Row],[DEPENDENCIA ]]),0,IFERROR(_xlfn.XLOOKUP(Contrato5[[#This Row],[DEPENDENCIA ]],[2]!PERSONAL_ACTIVO_2024[[#All],[Dependencia]],[2]!PERSONAL_ACTIVO_2024[[#All],[Mail ]],0,0),0))</f>
        <v>0</v>
      </c>
    </row>
    <row r="747" spans="1:16382" ht="34.5" customHeight="1">
      <c r="A747" s="147">
        <v>854</v>
      </c>
      <c r="B747" s="124">
        <v>618</v>
      </c>
      <c r="C747" s="162" t="s">
        <v>1911</v>
      </c>
      <c r="D747" s="227" t="s">
        <v>515</v>
      </c>
      <c r="E747" s="61" t="s">
        <v>94</v>
      </c>
      <c r="F747" s="518" t="s">
        <v>255</v>
      </c>
      <c r="G747" s="281" t="s">
        <v>3027</v>
      </c>
      <c r="H747" s="436">
        <v>890980330</v>
      </c>
      <c r="I747" s="273" t="s">
        <v>42</v>
      </c>
      <c r="J747" s="437">
        <v>433547933</v>
      </c>
      <c r="K747" s="131" t="s">
        <v>3028</v>
      </c>
      <c r="L747" s="438" t="s">
        <v>2989</v>
      </c>
      <c r="M747" s="194" t="s">
        <v>906</v>
      </c>
      <c r="N747" s="177" t="e" cm="1">
        <f t="array" aca="1" ref="N747" ca="1">_xlfn.XLOOKUP(Contrato5[[#This Row],[SUPERVISOR TITULAR]],[2]!PERSONAL_ACTIVO_2024[[#All],[Nombre completo]],[2]!PERSONAL_ACTIVO_2024[[#All],[Documento identidad]],"",0)</f>
        <v>#NAME?</v>
      </c>
      <c r="O747" s="194" t="s">
        <v>822</v>
      </c>
      <c r="P747" s="196" t="e" cm="1">
        <f t="array" aca="1" ref="P747" ca="1">_xlfn.XLOOKUP(Contrato5[[#This Row],[SUPERVISOR SUPLENTE ]],[2]!PERSONAL_ACTIVO_2024[[#All],[Nombre completo]],[2]!PERSONAL_ACTIVO_2024[[#All],[Documento identidad]],"",0)</f>
        <v>#NAME?</v>
      </c>
      <c r="Q747" s="170">
        <v>667</v>
      </c>
      <c r="R747" s="137" t="e" cm="1">
        <f t="array" aca="1" ref="R747" ca="1">_xlfn.XLOOKUP(Contrato5[[#This Row],[CDP]],[2]!DISPONIBILIDADES_2024[[#All],[consecutivo]],[2]!DISPONIBILIDADES_2024[[#All],[fecha_aprobacion]],"",0)</f>
        <v>#NAME?</v>
      </c>
      <c r="S747" s="138" t="e">
        <f>SUMIF([2]!DISPONIBILIDADES_2024[[#All],[consecutivo]],Contrato5[[#This Row],[CDP]],[2]!DISPONIBILIDADES_2024[[#All],[valor_total_rubro]])</f>
        <v>#REF!</v>
      </c>
      <c r="T747" s="139" t="e" cm="1">
        <f t="array" aca="1" ref="T747" ca="1">_xlfn.XLOOKUP(Contrato5[[#This Row],[CONTRATO]]&amp;Contrato5[[#This Row],[CDP]],[2]!Corr_Contr_CDP[[#All],[CONTRATO-CDP]],[2]!Corr_Contr_CDP[[#All],[CRP]],_xlfn.XLOOKUP(Contrato5[[#This Row],[CDP]],[2]!COMPROMISOS_2024[[#All],[disponibilidad]],[2]!COMPROMISOS_2024[[#All],[consecutivo]],"",0),0)</f>
        <v>#NAME?</v>
      </c>
      <c r="U747" s="140" t="e" cm="1">
        <f t="array" aca="1" ref="U747" ca="1">+_xlfn.XLOOKUP(Contrato5[[#This Row],[RCP]],[2]!COMPROMISOS_2024[[#All],[consecutivo]],[2]!COMPROMISOS_2024[[#All],[fecha_aprobacion]],"",0)</f>
        <v>#NAME?</v>
      </c>
      <c r="V747" s="141" t="e">
        <f ca="1">SUMIF([2]!COMPROMISOS_2024[[#All],[consecutivo]],Contrato5[[#This Row],[RCP]],[2]!COMPROMISOS_2024[[#All],[valor_total]])</f>
        <v>#REF!</v>
      </c>
      <c r="W747" s="160">
        <v>45533</v>
      </c>
      <c r="X747" s="161">
        <v>45537</v>
      </c>
      <c r="Y747" s="143">
        <v>45537</v>
      </c>
      <c r="Z747" s="262">
        <v>45596</v>
      </c>
      <c r="AA747" s="183" t="s">
        <v>3029</v>
      </c>
      <c r="AB747" s="172" t="s">
        <v>500</v>
      </c>
      <c r="AC747" s="172"/>
      <c r="AD747" s="547">
        <v>202000005333</v>
      </c>
      <c r="AE747" s="147" t="s">
        <v>523</v>
      </c>
      <c r="AF747" s="148" t="str">
        <f>TEXT(LEFT(Contrato5[[#This Row],[CONTRATO]],3),"0")</f>
        <v>618</v>
      </c>
      <c r="AG747" s="148" t="str">
        <f>IF(LEN(Contrato5[[#This Row],[Contrato2]])=3,Contrato5[[#This Row],[Contrato2]],TEXT(Contrato5[[#This Row],[Contrato2]],"000"))</f>
        <v>618</v>
      </c>
      <c r="AH747" s="149">
        <f ca="1">IFERROR(_xlfn.DAYS(Contrato5[[#This Row],[Fecha Proyectada liquidación]],TODAY())/30,"")</f>
        <v>-1.4</v>
      </c>
      <c r="AI747" s="150">
        <f>+Contrato5[[#This Row],[FECHA TERMINACIÓN ]]+120</f>
        <v>45716</v>
      </c>
      <c r="AJ747" s="147"/>
      <c r="AK747" s="152" t="str">
        <f ca="1">IF(Contrato5[[#This Row],[FECHA TERMINACIÓN ]]&lt;TODAY(), "Terminado",IF(ISNUMBER(Contrato5[[#This Row],[Fecha Real de liquiidación ]]),"Liquidado",IF(Contrato5[[#This Row],[FECHA TERMINACIÓN ]]&gt;=TODAY(),"En ejecución","")))</f>
        <v>Terminado</v>
      </c>
      <c r="AL747" s="153" t="e">
        <f ca="1">SUMIF([2]!COMPROMISOS_2024[[#All],[consecutivo]],Contrato5[[#This Row],[RCP]],[2]!COMPROMISOS_2024[[#All],[Total pagado]])</f>
        <v>#REF!</v>
      </c>
      <c r="AM747" s="154">
        <f ca="1">IFERROR(Contrato5[[#This Row],[Pagos]]/Contrato5[[#This Row],[VALOR CONTRATO]],0)</f>
        <v>0</v>
      </c>
      <c r="AN747" s="198" t="e">
        <f ca="1">+Contrato5[[#This Row],[VALOR CONTRATO]]-Contrato5[[#This Row],[Pagos]]</f>
        <v>#REF!</v>
      </c>
      <c r="AO747" s="147" t="e" cm="1">
        <f t="array" aca="1" ref="AO747" ca="1">_xlfn.XLOOKUP(Contrato5[[#This Row],[DOCUMENTO ]],[2]!PERSONAL_ACTIVO_2024[[#All],[Documento identidad]],[2]!PERSONAL_ACTIVO_2024[[#All],[Mail ]],0,0)</f>
        <v>#NAME?</v>
      </c>
      <c r="AP747" s="147" t="e" cm="1">
        <f t="array" aca="1" ref="AP747" ca="1">_xlfn.XLOOKUP(Contrato5[[#This Row],[DOCUMENTO]],[2]!PERSONAL_ACTIVO_2024[[#All],[Documento identidad]],[2]!PERSONAL_ACTIVO_2024[[#All],[Mail ]],0,0)</f>
        <v>#NAME?</v>
      </c>
      <c r="AQ747" s="439" cm="1">
        <f t="array" aca="1" ref="AQ747" ca="1">IF(ISBLANK(Contrato5[[#This Row],[DEPENDENCIA ]]),0,IFERROR(_xlfn.XLOOKUP(Contrato5[[#This Row],[DEPENDENCIA ]],[2]!PERSONAL_ACTIVO_2024[[#All],[Dependencia]],[2]!PERSONAL_ACTIVO_2024[[#All],[Mail ]],0,0),0))</f>
        <v>0</v>
      </c>
    </row>
    <row r="748" spans="1:16382" ht="34.5" customHeight="1">
      <c r="A748" s="147">
        <v>1131</v>
      </c>
      <c r="B748" s="124">
        <v>618</v>
      </c>
      <c r="C748" s="162" t="s">
        <v>2367</v>
      </c>
      <c r="D748" s="227" t="s">
        <v>515</v>
      </c>
      <c r="E748" s="61" t="s">
        <v>2148</v>
      </c>
      <c r="F748" s="518" t="s">
        <v>255</v>
      </c>
      <c r="G748" s="281" t="s">
        <v>3027</v>
      </c>
      <c r="H748" s="436">
        <v>890980330</v>
      </c>
      <c r="I748" s="273" t="s">
        <v>42</v>
      </c>
      <c r="J748" s="437">
        <v>51422308</v>
      </c>
      <c r="K748" s="147" t="s">
        <v>781</v>
      </c>
      <c r="L748" s="438" t="s">
        <v>2541</v>
      </c>
      <c r="M748" s="194" t="s">
        <v>906</v>
      </c>
      <c r="N748" s="177" t="e" cm="1">
        <f t="array" aca="1" ref="N748" ca="1">_xlfn.XLOOKUP(Contrato5[[#This Row],[SUPERVISOR TITULAR]],[2]!PERSONAL_ACTIVO_2024[[#All],[Nombre completo]],[2]!PERSONAL_ACTIVO_2024[[#All],[Documento identidad]],"",0)</f>
        <v>#NAME?</v>
      </c>
      <c r="O748" s="194" t="s">
        <v>822</v>
      </c>
      <c r="P748" s="196" t="e" cm="1">
        <f t="array" aca="1" ref="P748" ca="1">_xlfn.XLOOKUP(Contrato5[[#This Row],[SUPERVISOR SUPLENTE ]],[2]!PERSONAL_ACTIVO_2024[[#All],[Nombre completo]],[2]!PERSONAL_ACTIVO_2024[[#All],[Documento identidad]],"",0)</f>
        <v>#NAME?</v>
      </c>
      <c r="Q748" s="170">
        <v>916</v>
      </c>
      <c r="R748" s="137" t="e" cm="1">
        <f t="array" aca="1" ref="R748" ca="1">_xlfn.XLOOKUP(Contrato5[[#This Row],[CDP]],[2]!DISPONIBILIDADES_2024[[#All],[consecutivo]],[2]!DISPONIBILIDADES_2024[[#All],[fecha_aprobacion]],"",0)</f>
        <v>#NAME?</v>
      </c>
      <c r="S748" s="138" t="e">
        <f>SUMIF([2]!DISPONIBILIDADES_2024[[#All],[consecutivo]],Contrato5[[#This Row],[CDP]],[2]!DISPONIBILIDADES_2024[[#All],[valor_total_rubro]])</f>
        <v>#REF!</v>
      </c>
      <c r="T748" s="139" t="e" cm="1">
        <f t="array" aca="1" ref="T748" ca="1">_xlfn.XLOOKUP(Contrato5[[#This Row],[CONTRATO]]&amp;Contrato5[[#This Row],[CDP]],[2]!Corr_Contr_CDP[[#All],[CONTRATO-CDP]],[2]!Corr_Contr_CDP[[#All],[CRP]],_xlfn.XLOOKUP(Contrato5[[#This Row],[CDP]],[2]!COMPROMISOS_2024[[#All],[disponibilidad]],[2]!COMPROMISOS_2024[[#All],[consecutivo]],"",0),0)</f>
        <v>#NAME?</v>
      </c>
      <c r="U748" s="140" t="e" cm="1">
        <f t="array" aca="1" ref="U748" ca="1">+_xlfn.XLOOKUP(Contrato5[[#This Row],[RCP]],[2]!COMPROMISOS_2024[[#All],[consecutivo]],[2]!COMPROMISOS_2024[[#All],[fecha_aprobacion]],"",0)</f>
        <v>#NAME?</v>
      </c>
      <c r="V748" s="141" t="e">
        <f ca="1">SUMIF([2]!COMPROMISOS_2024[[#All],[consecutivo]],Contrato5[[#This Row],[RCP]],[2]!COMPROMISOS_2024[[#All],[valor_total]])</f>
        <v>#REF!</v>
      </c>
      <c r="W748" s="160"/>
      <c r="X748" s="161"/>
      <c r="Y748" s="143" t="e">
        <f ca="1">+LEFT(_xlfn.XLOOKUP(Contrato5[[#This Row],[CONTRATO3DIG]],[2]SECOP_II!AE:AE,[2]SECOP_II!F:F,"",0),10)</f>
        <v>#NAME?</v>
      </c>
      <c r="Z748" s="262" t="e">
        <f ca="1">+LEFT(_xlfn.XLOOKUP(Contrato5[[#This Row],[CONTRATO3DIG]],[2]SECOP_II!AE:AE,[2]SECOP_II!G:G,"",0),10)</f>
        <v>#NAME?</v>
      </c>
      <c r="AA748" s="225"/>
      <c r="AB748" s="172" t="s">
        <v>42</v>
      </c>
      <c r="AC748" s="127"/>
      <c r="AD748" s="288"/>
      <c r="AE748" s="147"/>
      <c r="AF748" s="148" t="str">
        <f>TEXT(LEFT(Contrato5[[#This Row],[CONTRATO]],3),"0")</f>
        <v>618</v>
      </c>
      <c r="AG748" s="148" t="str">
        <f>IF(LEN(Contrato5[[#This Row],[Contrato2]])=3,Contrato5[[#This Row],[Contrato2]],TEXT(Contrato5[[#This Row],[Contrato2]],"000"))</f>
        <v>618</v>
      </c>
      <c r="AH748" s="149" t="str">
        <f ca="1">IFERROR(_xlfn.DAYS(Contrato5[[#This Row],[Fecha Proyectada liquidación]],TODAY())/30,"")</f>
        <v/>
      </c>
      <c r="AI748" s="150" t="e">
        <f ca="1">+Contrato5[[#This Row],[FECHA TERMINACIÓN ]]+120</f>
        <v>#NAME?</v>
      </c>
      <c r="AJ748" s="147"/>
      <c r="AK748" s="152" t="e">
        <f ca="1">IF(Contrato5[[#This Row],[FECHA TERMINACIÓN ]]&lt;TODAY(), "Terminado",IF(ISNUMBER(Contrato5[[#This Row],[Fecha Real de liquiidación ]]),"Liquidado",IF(Contrato5[[#This Row],[FECHA TERMINACIÓN ]]&gt;=TODAY(),"En ejecución","")))</f>
        <v>#NAME?</v>
      </c>
      <c r="AL748" s="153" t="e">
        <f ca="1">SUMIF([2]!COMPROMISOS_2024[[#All],[consecutivo]],Contrato5[[#This Row],[RCP]],[2]!COMPROMISOS_2024[[#All],[Total pagado]])</f>
        <v>#REF!</v>
      </c>
      <c r="AM748" s="154">
        <f ca="1">IFERROR(Contrato5[[#This Row],[Pagos]]/Contrato5[[#This Row],[VALOR CONTRATO]],0)</f>
        <v>0</v>
      </c>
      <c r="AN748" s="198" t="e">
        <f ca="1">+Contrato5[[#This Row],[VALOR CONTRATO]]-Contrato5[[#This Row],[Pagos]]</f>
        <v>#REF!</v>
      </c>
      <c r="AO748" s="147" t="e" cm="1">
        <f t="array" aca="1" ref="AO748" ca="1">_xlfn.XLOOKUP(Contrato5[[#This Row],[DOCUMENTO ]],[2]!PERSONAL_ACTIVO_2024[[#All],[Documento identidad]],[2]!PERSONAL_ACTIVO_2024[[#All],[Mail ]],0,0)</f>
        <v>#NAME?</v>
      </c>
      <c r="AP748" s="147" t="e" cm="1">
        <f t="array" aca="1" ref="AP748" ca="1">_xlfn.XLOOKUP(Contrato5[[#This Row],[DOCUMENTO]],[2]!PERSONAL_ACTIVO_2024[[#All],[Documento identidad]],[2]!PERSONAL_ACTIVO_2024[[#All],[Mail ]],0,0)</f>
        <v>#NAME?</v>
      </c>
      <c r="AQ748" s="439" cm="1">
        <f t="array" aca="1" ref="AQ748" ca="1">IF(ISBLANK(Contrato5[[#This Row],[DEPENDENCIA ]]),0,IFERROR(_xlfn.XLOOKUP(Contrato5[[#This Row],[DEPENDENCIA ]],[2]!PERSONAL_ACTIVO_2024[[#All],[Dependencia]],[2]!PERSONAL_ACTIVO_2024[[#All],[Mail ]],0,0),0))</f>
        <v>0</v>
      </c>
    </row>
    <row r="749" spans="1:16382" ht="34.5" customHeight="1">
      <c r="A749" s="147">
        <v>830</v>
      </c>
      <c r="B749" s="124">
        <v>619</v>
      </c>
      <c r="C749" s="162" t="s">
        <v>1497</v>
      </c>
      <c r="D749" s="227" t="s">
        <v>602</v>
      </c>
      <c r="E749" s="440" t="s">
        <v>94</v>
      </c>
      <c r="F749" s="227" t="s">
        <v>1376</v>
      </c>
      <c r="G749" s="281" t="s">
        <v>1107</v>
      </c>
      <c r="H749" s="436">
        <v>1039461033</v>
      </c>
      <c r="I749" s="273">
        <v>7400000</v>
      </c>
      <c r="J749" s="437">
        <v>30833333</v>
      </c>
      <c r="K749" s="131" t="s">
        <v>42</v>
      </c>
      <c r="L749" s="438" t="s">
        <v>3019</v>
      </c>
      <c r="M749" s="194" t="s">
        <v>613</v>
      </c>
      <c r="N749" s="177" t="e" cm="1">
        <f t="array" aca="1" ref="N749" ca="1">_xlfn.XLOOKUP(Contrato5[[#This Row],[SUPERVISOR TITULAR]],[2]!PERSONAL_ACTIVO_2024[[#All],[Nombre completo]],[2]!PERSONAL_ACTIVO_2024[[#All],[Documento identidad]],"",0)</f>
        <v>#NAME?</v>
      </c>
      <c r="O749" s="194" t="s">
        <v>604</v>
      </c>
      <c r="P749" s="196" t="e" cm="1">
        <f t="array" aca="1" ref="P749" ca="1">_xlfn.XLOOKUP(Contrato5[[#This Row],[SUPERVISOR SUPLENTE ]],[2]!PERSONAL_ACTIVO_2024[[#All],[Nombre completo]],[2]!PERSONAL_ACTIVO_2024[[#All],[Documento identidad]],"",0)</f>
        <v>#NAME?</v>
      </c>
      <c r="Q749" s="170">
        <v>804</v>
      </c>
      <c r="R749" s="137" t="e" cm="1">
        <f t="array" aca="1" ref="R749" ca="1">_xlfn.XLOOKUP(Contrato5[[#This Row],[CDP]],[2]!DISPONIBILIDADES_2024[[#All],[consecutivo]],[2]!DISPONIBILIDADES_2024[[#All],[fecha_aprobacion]],"",0)</f>
        <v>#NAME?</v>
      </c>
      <c r="S749" s="138" t="e">
        <f>SUMIF([2]!DISPONIBILIDADES_2024[[#All],[consecutivo]],Contrato5[[#This Row],[CDP]],[2]!DISPONIBILIDADES_2024[[#All],[valor_total_rubro]])</f>
        <v>#REF!</v>
      </c>
      <c r="T749" s="139" t="e" cm="1">
        <f t="array" aca="1" ref="T749" ca="1">_xlfn.XLOOKUP(Contrato5[[#This Row],[CONTRATO]]&amp;Contrato5[[#This Row],[CDP]],[2]!Corr_Contr_CDP[[#All],[CONTRATO-CDP]],[2]!Corr_Contr_CDP[[#All],[CRP]],_xlfn.XLOOKUP(Contrato5[[#This Row],[CDP]],[2]!COMPROMISOS_2024[[#All],[disponibilidad]],[2]!COMPROMISOS_2024[[#All],[consecutivo]],"",0),0)</f>
        <v>#NAME?</v>
      </c>
      <c r="U749" s="140" t="e" cm="1">
        <f t="array" aca="1" ref="U749" ca="1">+_xlfn.XLOOKUP(Contrato5[[#This Row],[RCP]],[2]!COMPROMISOS_2024[[#All],[consecutivo]],[2]!COMPROMISOS_2024[[#All],[fecha_aprobacion]],"",0)</f>
        <v>#NAME?</v>
      </c>
      <c r="V749" s="141" t="e">
        <f ca="1">SUMIF([2]!COMPROMISOS_2024[[#All],[consecutivo]],Contrato5[[#This Row],[RCP]],[2]!COMPROMISOS_2024[[#All],[valor_total]])</f>
        <v>#REF!</v>
      </c>
      <c r="W749" s="160">
        <v>45540</v>
      </c>
      <c r="X749" s="160" t="s">
        <v>1045</v>
      </c>
      <c r="Y749" s="143">
        <v>45540</v>
      </c>
      <c r="Z749" s="262">
        <v>45657</v>
      </c>
      <c r="AA749" s="183" t="s">
        <v>3030</v>
      </c>
      <c r="AB749" s="172" t="s">
        <v>3006</v>
      </c>
      <c r="AC749" s="172"/>
      <c r="AD749" s="547">
        <v>202000005334</v>
      </c>
      <c r="AE749" s="147" t="s">
        <v>523</v>
      </c>
      <c r="AF749" s="148" t="str">
        <f>TEXT(LEFT(Contrato5[[#This Row],[CONTRATO]],3),"0")</f>
        <v>619</v>
      </c>
      <c r="AG749" s="148" t="str">
        <f>IF(LEN(Contrato5[[#This Row],[Contrato2]])=3,Contrato5[[#This Row],[Contrato2]],TEXT(Contrato5[[#This Row],[Contrato2]],"000"))</f>
        <v>619</v>
      </c>
      <c r="AH749" s="149">
        <f ca="1">IFERROR(_xlfn.DAYS(Contrato5[[#This Row],[Fecha Proyectada liquidación]],TODAY())/30,"")</f>
        <v>0.6333333333333333</v>
      </c>
      <c r="AI749" s="150">
        <f>+Contrato5[[#This Row],[FECHA TERMINACIÓN ]]+120</f>
        <v>45777</v>
      </c>
      <c r="AJ749" s="147"/>
      <c r="AK749" s="152" t="str">
        <f ca="1">IF(Contrato5[[#This Row],[FECHA TERMINACIÓN ]]&lt;TODAY(), "Terminado",IF(ISNUMBER(Contrato5[[#This Row],[Fecha Real de liquiidación ]]),"Liquidado",IF(Contrato5[[#This Row],[FECHA TERMINACIÓN ]]&gt;=TODAY(),"En ejecución","")))</f>
        <v>Terminado</v>
      </c>
      <c r="AL749" s="153" t="e">
        <f ca="1">SUMIF([2]!COMPROMISOS_2024[[#All],[consecutivo]],Contrato5[[#This Row],[RCP]],[2]!COMPROMISOS_2024[[#All],[Total pagado]])</f>
        <v>#REF!</v>
      </c>
      <c r="AM749" s="154">
        <f ca="1">IFERROR(Contrato5[[#This Row],[Pagos]]/Contrato5[[#This Row],[VALOR CONTRATO]],0)</f>
        <v>0</v>
      </c>
      <c r="AN749" s="198" t="e">
        <f ca="1">+Contrato5[[#This Row],[VALOR CONTRATO]]-Contrato5[[#This Row],[Pagos]]</f>
        <v>#REF!</v>
      </c>
      <c r="AO749" s="147" t="e" cm="1">
        <f t="array" aca="1" ref="AO749" ca="1">_xlfn.XLOOKUP(Contrato5[[#This Row],[DOCUMENTO ]],[2]!PERSONAL_ACTIVO_2024[[#All],[Documento identidad]],[2]!PERSONAL_ACTIVO_2024[[#All],[Mail ]],0,0)</f>
        <v>#NAME?</v>
      </c>
      <c r="AP749" s="147" t="e" cm="1">
        <f t="array" aca="1" ref="AP749" ca="1">_xlfn.XLOOKUP(Contrato5[[#This Row],[DOCUMENTO]],[2]!PERSONAL_ACTIVO_2024[[#All],[Documento identidad]],[2]!PERSONAL_ACTIVO_2024[[#All],[Mail ]],0,0)</f>
        <v>#NAME?</v>
      </c>
      <c r="AQ749" s="439" cm="1">
        <f t="array" aca="1" ref="AQ749" ca="1">IF(ISBLANK(Contrato5[[#This Row],[DEPENDENCIA ]]),0,IFERROR(_xlfn.XLOOKUP(Contrato5[[#This Row],[DEPENDENCIA ]],[2]!PERSONAL_ACTIVO_2024[[#All],[Dependencia]],[2]!PERSONAL_ACTIVO_2024[[#All],[Mail ]],0,0),0))</f>
        <v>0</v>
      </c>
    </row>
    <row r="750" spans="1:16382" ht="34.5" customHeight="1">
      <c r="A750" s="548">
        <v>1032</v>
      </c>
      <c r="B750" s="549">
        <v>620</v>
      </c>
      <c r="C750" s="550" t="s">
        <v>1497</v>
      </c>
      <c r="D750" s="227" t="s">
        <v>583</v>
      </c>
      <c r="E750" s="440" t="s">
        <v>94</v>
      </c>
      <c r="F750" s="227" t="s">
        <v>1376</v>
      </c>
      <c r="G750" s="551" t="s">
        <v>801</v>
      </c>
      <c r="H750" s="552">
        <v>1036949550</v>
      </c>
      <c r="I750" s="553">
        <v>7400000</v>
      </c>
      <c r="J750" s="554">
        <v>30833333</v>
      </c>
      <c r="K750" s="555" t="s">
        <v>42</v>
      </c>
      <c r="L750" s="556" t="s">
        <v>3019</v>
      </c>
      <c r="M750" s="224" t="s">
        <v>604</v>
      </c>
      <c r="N750" s="557" t="e" cm="1">
        <f t="array" aca="1" ref="N750" ca="1">_xlfn.XLOOKUP(Contrato5[[#This Row],[SUPERVISOR TITULAR]],[2]!PERSONAL_ACTIVO_2024[[#All],[Nombre completo]],[2]!PERSONAL_ACTIVO_2024[[#All],[Documento identidad]],"",0)</f>
        <v>#NAME?</v>
      </c>
      <c r="O750" s="224" t="s">
        <v>613</v>
      </c>
      <c r="P750" s="558" t="e" cm="1">
        <f t="array" aca="1" ref="P750" ca="1">_xlfn.XLOOKUP(Contrato5[[#This Row],[SUPERVISOR SUPLENTE ]],[2]!PERSONAL_ACTIVO_2024[[#All],[Nombre completo]],[2]!PERSONAL_ACTIVO_2024[[#All],[Documento identidad]],"",0)</f>
        <v>#NAME?</v>
      </c>
      <c r="Q750" s="559">
        <v>843</v>
      </c>
      <c r="R750" s="560" t="e" cm="1">
        <f t="array" aca="1" ref="R750" ca="1">_xlfn.XLOOKUP(Contrato5[[#This Row],[CDP]],[2]!DISPONIBILIDADES_2024[[#All],[consecutivo]],[2]!DISPONIBILIDADES_2024[[#All],[fecha_aprobacion]],"",0)</f>
        <v>#NAME?</v>
      </c>
      <c r="S750" s="561" t="e">
        <f>SUMIF([2]!DISPONIBILIDADES_2024[[#All],[consecutivo]],Contrato5[[#This Row],[CDP]],[2]!DISPONIBILIDADES_2024[[#All],[valor_total_rubro]])</f>
        <v>#REF!</v>
      </c>
      <c r="T750" s="562" t="e" cm="1">
        <f t="array" aca="1" ref="T750" ca="1">_xlfn.XLOOKUP(Contrato5[[#This Row],[CONTRATO]]&amp;Contrato5[[#This Row],[CDP]],[2]!Corr_Contr_CDP[[#All],[CONTRATO-CDP]],[2]!Corr_Contr_CDP[[#All],[CRP]],_xlfn.XLOOKUP(Contrato5[[#This Row],[CDP]],[2]!COMPROMISOS_2024[[#All],[disponibilidad]],[2]!COMPROMISOS_2024[[#All],[consecutivo]],"",0),0)</f>
        <v>#NAME?</v>
      </c>
      <c r="U750" s="563" t="e" cm="1">
        <f t="array" aca="1" ref="U750" ca="1">+_xlfn.XLOOKUP(Contrato5[[#This Row],[RCP]],[2]!COMPROMISOS_2024[[#All],[consecutivo]],[2]!COMPROMISOS_2024[[#All],[fecha_aprobacion]],"",0)</f>
        <v>#NAME?</v>
      </c>
      <c r="V750" s="564" t="e">
        <f ca="1">SUMIF([2]!COMPROMISOS_2024[[#All],[consecutivo]],Contrato5[[#This Row],[RCP]],[2]!COMPROMISOS_2024[[#All],[valor_total]])</f>
        <v>#REF!</v>
      </c>
      <c r="W750" s="160">
        <v>45547</v>
      </c>
      <c r="X750" s="160" t="s">
        <v>1045</v>
      </c>
      <c r="Y750" s="143">
        <v>45547</v>
      </c>
      <c r="Z750" s="262">
        <v>45657</v>
      </c>
      <c r="AA750" s="183" t="s">
        <v>3031</v>
      </c>
      <c r="AB750" s="172" t="s">
        <v>3032</v>
      </c>
      <c r="AC750" s="172"/>
      <c r="AD750" s="565">
        <v>202000005335</v>
      </c>
      <c r="AE750" s="548" t="s">
        <v>523</v>
      </c>
      <c r="AF750" s="566" t="str">
        <f>TEXT(LEFT(Contrato5[[#This Row],[CONTRATO]],3),"0")</f>
        <v>620</v>
      </c>
      <c r="AG750" s="566" t="str">
        <f>IF(LEN(Contrato5[[#This Row],[Contrato2]])=3,Contrato5[[#This Row],[Contrato2]],TEXT(Contrato5[[#This Row],[Contrato2]],"000"))</f>
        <v>620</v>
      </c>
      <c r="AH750" s="567">
        <f ca="1">IFERROR(_xlfn.DAYS(Contrato5[[#This Row],[Fecha Proyectada liquidación]],TODAY())/30,"")</f>
        <v>0.6333333333333333</v>
      </c>
      <c r="AI750" s="568">
        <f>+Contrato5[[#This Row],[FECHA TERMINACIÓN ]]+120</f>
        <v>45777</v>
      </c>
      <c r="AJ750" s="548"/>
      <c r="AK750" s="569" t="str">
        <f ca="1">IF(Contrato5[[#This Row],[FECHA TERMINACIÓN ]]&lt;TODAY(), "Terminado",IF(ISNUMBER(Contrato5[[#This Row],[Fecha Real de liquiidación ]]),"Liquidado",IF(Contrato5[[#This Row],[FECHA TERMINACIÓN ]]&gt;=TODAY(),"En ejecución","")))</f>
        <v>Terminado</v>
      </c>
      <c r="AL750" s="570" t="e">
        <f ca="1">SUMIF([2]!COMPROMISOS_2024[[#All],[consecutivo]],Contrato5[[#This Row],[RCP]],[2]!COMPROMISOS_2024[[#All],[Total pagado]])</f>
        <v>#REF!</v>
      </c>
      <c r="AM750" s="571">
        <f ca="1">IFERROR(Contrato5[[#This Row],[Pagos]]/Contrato5[[#This Row],[VALOR CONTRATO]],0)</f>
        <v>0</v>
      </c>
      <c r="AN750" s="572" t="e">
        <f ca="1">+Contrato5[[#This Row],[VALOR CONTRATO]]-Contrato5[[#This Row],[Pagos]]</f>
        <v>#REF!</v>
      </c>
      <c r="AO750" s="548" t="e" cm="1">
        <f t="array" aca="1" ref="AO750" ca="1">_xlfn.XLOOKUP(Contrato5[[#This Row],[DOCUMENTO ]],[2]!PERSONAL_ACTIVO_2024[[#All],[Documento identidad]],[2]!PERSONAL_ACTIVO_2024[[#All],[Mail ]],0,0)</f>
        <v>#NAME?</v>
      </c>
      <c r="AP750" s="548" t="e" cm="1">
        <f t="array" aca="1" ref="AP750" ca="1">_xlfn.XLOOKUP(Contrato5[[#This Row],[DOCUMENTO]],[2]!PERSONAL_ACTIVO_2024[[#All],[Documento identidad]],[2]!PERSONAL_ACTIVO_2024[[#All],[Mail ]],0,0)</f>
        <v>#NAME?</v>
      </c>
      <c r="AQ750" s="573" cm="1">
        <f t="array" aca="1" ref="AQ750" ca="1">IF(ISBLANK(Contrato5[[#This Row],[DEPENDENCIA ]]),0,IFERROR(_xlfn.XLOOKUP(Contrato5[[#This Row],[DEPENDENCIA ]],[2]!PERSONAL_ACTIVO_2024[[#All],[Dependencia]],[2]!PERSONAL_ACTIVO_2024[[#All],[Mail ]],0,0),0))</f>
        <v>0</v>
      </c>
      <c r="AR750" s="574"/>
      <c r="AS750" s="574"/>
      <c r="AT750" s="574"/>
      <c r="AU750" s="574"/>
      <c r="AV750" s="574"/>
      <c r="AW750" s="574"/>
      <c r="AX750" s="574"/>
      <c r="AY750" s="574"/>
      <c r="AZ750" s="574"/>
      <c r="BA750" s="574"/>
      <c r="BB750" s="574"/>
      <c r="BC750" s="574"/>
      <c r="BD750" s="574"/>
      <c r="BE750" s="574"/>
      <c r="BF750" s="574"/>
      <c r="BG750" s="574"/>
      <c r="BH750" s="574"/>
      <c r="BI750" s="574"/>
      <c r="BJ750" s="574"/>
      <c r="BK750" s="574"/>
      <c r="BL750" s="574"/>
      <c r="BM750" s="574"/>
      <c r="BN750" s="574"/>
      <c r="BO750" s="574"/>
      <c r="BP750" s="574"/>
      <c r="BQ750" s="574"/>
      <c r="BR750" s="574"/>
      <c r="BS750" s="574"/>
      <c r="BT750" s="574"/>
      <c r="BU750" s="574"/>
      <c r="BV750" s="574"/>
      <c r="BW750" s="574"/>
      <c r="BX750" s="574"/>
      <c r="BY750" s="574"/>
      <c r="BZ750" s="574"/>
      <c r="CA750" s="574"/>
      <c r="CB750" s="574"/>
      <c r="CC750" s="574"/>
      <c r="CD750" s="574"/>
      <c r="CE750" s="574"/>
      <c r="CF750" s="574"/>
      <c r="CG750" s="574"/>
      <c r="CH750" s="574"/>
      <c r="CI750" s="574"/>
      <c r="CJ750" s="574"/>
      <c r="CK750" s="574"/>
      <c r="CL750" s="574"/>
      <c r="CM750" s="574"/>
      <c r="CN750" s="574"/>
      <c r="CO750" s="574"/>
      <c r="CP750" s="574"/>
      <c r="CQ750" s="574"/>
      <c r="CR750" s="574"/>
      <c r="CS750" s="574"/>
      <c r="CT750" s="574"/>
      <c r="CU750" s="574"/>
      <c r="CV750" s="574"/>
      <c r="CW750" s="574"/>
      <c r="CX750" s="574"/>
      <c r="CY750" s="574"/>
      <c r="CZ750" s="574"/>
      <c r="DA750" s="574"/>
      <c r="DB750" s="574"/>
      <c r="DC750" s="574"/>
      <c r="DD750" s="574"/>
      <c r="DE750" s="574"/>
      <c r="DF750" s="574"/>
      <c r="DG750" s="574"/>
      <c r="DH750" s="574"/>
      <c r="DI750" s="574"/>
      <c r="DJ750" s="574"/>
      <c r="DK750" s="574"/>
      <c r="DL750" s="574"/>
      <c r="DM750" s="574"/>
      <c r="DN750" s="574"/>
      <c r="DO750" s="574"/>
      <c r="DP750" s="574"/>
      <c r="DQ750" s="574"/>
      <c r="DR750" s="574"/>
      <c r="DS750" s="574"/>
      <c r="DT750" s="574"/>
      <c r="DU750" s="574"/>
      <c r="DV750" s="574"/>
      <c r="DW750" s="574"/>
      <c r="DX750" s="574"/>
      <c r="DY750" s="574"/>
      <c r="DZ750" s="574"/>
      <c r="EA750" s="574"/>
      <c r="EB750" s="574"/>
      <c r="EC750" s="574"/>
      <c r="ED750" s="574"/>
      <c r="EE750" s="574"/>
      <c r="EF750" s="574"/>
      <c r="EG750" s="574"/>
      <c r="EH750" s="574"/>
      <c r="EI750" s="574"/>
      <c r="EJ750" s="574"/>
      <c r="EK750" s="574"/>
      <c r="EL750" s="574"/>
      <c r="EM750" s="574"/>
      <c r="EN750" s="574"/>
      <c r="EO750" s="574"/>
      <c r="EP750" s="574"/>
      <c r="EQ750" s="574"/>
      <c r="ER750" s="574"/>
      <c r="ES750" s="574"/>
      <c r="ET750" s="574"/>
      <c r="EU750" s="574"/>
      <c r="EV750" s="574"/>
      <c r="EW750" s="574"/>
      <c r="EX750" s="574"/>
      <c r="EY750" s="574"/>
      <c r="EZ750" s="574"/>
      <c r="FA750" s="574"/>
      <c r="FB750" s="574"/>
      <c r="FC750" s="574"/>
      <c r="FD750" s="574"/>
      <c r="FE750" s="574"/>
      <c r="FF750" s="574"/>
      <c r="FG750" s="574"/>
      <c r="FH750" s="574"/>
      <c r="FI750" s="574"/>
      <c r="FJ750" s="574"/>
      <c r="FK750" s="574"/>
      <c r="FL750" s="574"/>
      <c r="FM750" s="574"/>
      <c r="FN750" s="574"/>
      <c r="FO750" s="574"/>
      <c r="FP750" s="574"/>
      <c r="FQ750" s="574"/>
      <c r="FR750" s="574"/>
      <c r="FS750" s="574"/>
      <c r="FT750" s="574"/>
      <c r="FU750" s="574"/>
      <c r="FV750" s="574"/>
      <c r="FW750" s="574"/>
      <c r="FX750" s="574"/>
      <c r="FY750" s="574"/>
      <c r="FZ750" s="574"/>
      <c r="GA750" s="574"/>
      <c r="GB750" s="574"/>
      <c r="GC750" s="574"/>
      <c r="GD750" s="574"/>
      <c r="GE750" s="574"/>
      <c r="GF750" s="574"/>
      <c r="GG750" s="574"/>
      <c r="GH750" s="574"/>
      <c r="GI750" s="574"/>
      <c r="GJ750" s="574"/>
      <c r="GK750" s="574"/>
      <c r="GL750" s="574"/>
      <c r="GM750" s="574"/>
      <c r="GN750" s="574"/>
      <c r="GO750" s="574"/>
      <c r="GP750" s="574"/>
      <c r="GQ750" s="574"/>
      <c r="GR750" s="574"/>
      <c r="GS750" s="574"/>
      <c r="GT750" s="574"/>
      <c r="GU750" s="574"/>
      <c r="GV750" s="574"/>
      <c r="GW750" s="574"/>
      <c r="GX750" s="574"/>
      <c r="GY750" s="574"/>
      <c r="GZ750" s="574"/>
      <c r="HA750" s="574"/>
      <c r="HB750" s="574"/>
      <c r="HC750" s="574"/>
      <c r="HD750" s="574"/>
      <c r="HE750" s="574"/>
      <c r="HF750" s="574"/>
      <c r="HG750" s="574"/>
      <c r="HH750" s="574"/>
      <c r="HI750" s="574"/>
      <c r="HJ750" s="574"/>
      <c r="HK750" s="574"/>
      <c r="HL750" s="574"/>
      <c r="HM750" s="574"/>
      <c r="HN750" s="574"/>
      <c r="HO750" s="574"/>
      <c r="HP750" s="574"/>
      <c r="HQ750" s="574"/>
      <c r="HR750" s="574"/>
      <c r="HS750" s="574"/>
      <c r="HT750" s="574"/>
      <c r="HU750" s="574"/>
      <c r="HV750" s="574"/>
      <c r="HW750" s="574"/>
      <c r="HX750" s="574"/>
      <c r="HY750" s="574"/>
      <c r="HZ750" s="574"/>
      <c r="IA750" s="574"/>
      <c r="IB750" s="574"/>
      <c r="IC750" s="574"/>
      <c r="ID750" s="574"/>
      <c r="IE750" s="574"/>
      <c r="IF750" s="574"/>
      <c r="IG750" s="574"/>
      <c r="IH750" s="574"/>
      <c r="II750" s="574"/>
      <c r="IJ750" s="574"/>
      <c r="IK750" s="574"/>
      <c r="IL750" s="574"/>
      <c r="IM750" s="574"/>
      <c r="IN750" s="574"/>
      <c r="IO750" s="574"/>
      <c r="IP750" s="574"/>
      <c r="IQ750" s="574"/>
      <c r="IR750" s="574"/>
      <c r="IS750" s="574"/>
      <c r="IT750" s="574"/>
      <c r="IU750" s="574"/>
      <c r="IV750" s="574"/>
      <c r="IW750" s="574"/>
      <c r="IX750" s="574"/>
      <c r="IY750" s="574"/>
      <c r="IZ750" s="574"/>
      <c r="JA750" s="574"/>
      <c r="JB750" s="574"/>
      <c r="JC750" s="574"/>
      <c r="JD750" s="574"/>
      <c r="JE750" s="574"/>
      <c r="JF750" s="574"/>
      <c r="JG750" s="574"/>
      <c r="JH750" s="574"/>
      <c r="JI750" s="574"/>
      <c r="JJ750" s="574"/>
      <c r="JK750" s="574"/>
      <c r="JL750" s="574"/>
      <c r="JM750" s="574"/>
      <c r="JN750" s="574"/>
      <c r="JO750" s="574"/>
      <c r="JP750" s="574"/>
      <c r="JQ750" s="574"/>
      <c r="JR750" s="574"/>
      <c r="JS750" s="574"/>
      <c r="JT750" s="574"/>
      <c r="JU750" s="574"/>
      <c r="JV750" s="574"/>
      <c r="JW750" s="574"/>
      <c r="JX750" s="574"/>
      <c r="JY750" s="574"/>
      <c r="JZ750" s="574"/>
      <c r="KA750" s="574"/>
      <c r="KB750" s="574"/>
      <c r="KC750" s="574"/>
      <c r="KD750" s="574"/>
      <c r="KE750" s="574"/>
      <c r="KF750" s="574"/>
      <c r="KG750" s="574"/>
      <c r="KH750" s="574"/>
      <c r="KI750" s="574"/>
      <c r="KJ750" s="574"/>
      <c r="KK750" s="574"/>
      <c r="KL750" s="574"/>
      <c r="KM750" s="574"/>
      <c r="KN750" s="574"/>
      <c r="KO750" s="574"/>
      <c r="KP750" s="574"/>
      <c r="KQ750" s="574"/>
      <c r="KR750" s="574"/>
      <c r="KS750" s="574"/>
      <c r="KT750" s="574"/>
      <c r="KU750" s="574"/>
      <c r="KV750" s="574"/>
      <c r="KW750" s="574"/>
      <c r="KX750" s="574"/>
      <c r="KY750" s="574"/>
      <c r="KZ750" s="574"/>
      <c r="LA750" s="574"/>
      <c r="LB750" s="574"/>
      <c r="LC750" s="574"/>
      <c r="LD750" s="574"/>
      <c r="LE750" s="574"/>
      <c r="LF750" s="574"/>
      <c r="LG750" s="574"/>
      <c r="LH750" s="574"/>
      <c r="LI750" s="574"/>
      <c r="LJ750" s="574"/>
      <c r="LK750" s="574"/>
      <c r="LL750" s="574"/>
      <c r="LM750" s="574"/>
      <c r="LN750" s="574"/>
      <c r="LO750" s="574"/>
      <c r="LP750" s="574"/>
      <c r="LQ750" s="574"/>
      <c r="LR750" s="574"/>
      <c r="LS750" s="574"/>
      <c r="LT750" s="574"/>
      <c r="LU750" s="574"/>
      <c r="LV750" s="574"/>
      <c r="LW750" s="574"/>
      <c r="LX750" s="574"/>
      <c r="LY750" s="574"/>
      <c r="LZ750" s="574"/>
      <c r="MA750" s="574"/>
      <c r="MB750" s="574"/>
      <c r="MC750" s="574"/>
      <c r="MD750" s="574"/>
      <c r="ME750" s="574"/>
      <c r="MF750" s="574"/>
      <c r="MG750" s="574"/>
      <c r="MH750" s="574"/>
      <c r="MI750" s="574"/>
      <c r="MJ750" s="574"/>
      <c r="MK750" s="574"/>
      <c r="ML750" s="574"/>
      <c r="MM750" s="574"/>
      <c r="MN750" s="574"/>
      <c r="MO750" s="574"/>
      <c r="MP750" s="574"/>
      <c r="MQ750" s="574"/>
      <c r="MR750" s="574"/>
      <c r="MS750" s="574"/>
      <c r="MT750" s="574"/>
      <c r="MU750" s="574"/>
      <c r="MV750" s="574"/>
      <c r="MW750" s="574"/>
      <c r="MX750" s="574"/>
      <c r="MY750" s="574"/>
      <c r="MZ750" s="574"/>
      <c r="NA750" s="574"/>
      <c r="NB750" s="574"/>
      <c r="NC750" s="574"/>
      <c r="ND750" s="574"/>
      <c r="NE750" s="574"/>
      <c r="NF750" s="574"/>
      <c r="NG750" s="574"/>
      <c r="NH750" s="574"/>
      <c r="NI750" s="574"/>
      <c r="NJ750" s="574"/>
      <c r="NK750" s="574"/>
      <c r="NL750" s="574"/>
      <c r="NM750" s="574"/>
      <c r="NN750" s="574"/>
      <c r="NO750" s="574"/>
      <c r="NP750" s="574"/>
      <c r="NQ750" s="574"/>
      <c r="NR750" s="574"/>
      <c r="NS750" s="574"/>
      <c r="NT750" s="574"/>
      <c r="NU750" s="574"/>
      <c r="NV750" s="574"/>
      <c r="NW750" s="574"/>
      <c r="NX750" s="574"/>
      <c r="NY750" s="574"/>
      <c r="NZ750" s="574"/>
      <c r="OA750" s="574"/>
      <c r="OB750" s="574"/>
      <c r="OC750" s="574"/>
      <c r="OD750" s="574"/>
      <c r="OE750" s="574"/>
      <c r="OF750" s="574"/>
      <c r="OG750" s="574"/>
      <c r="OH750" s="574"/>
      <c r="OI750" s="574"/>
      <c r="OJ750" s="574"/>
      <c r="OK750" s="574"/>
      <c r="OL750" s="574"/>
      <c r="OM750" s="574"/>
      <c r="ON750" s="574"/>
      <c r="OO750" s="574"/>
      <c r="OP750" s="574"/>
      <c r="OQ750" s="574"/>
      <c r="OR750" s="574"/>
      <c r="OS750" s="574"/>
      <c r="OT750" s="574"/>
      <c r="OU750" s="574"/>
      <c r="OV750" s="574"/>
      <c r="OW750" s="574"/>
      <c r="OX750" s="574"/>
      <c r="OY750" s="574"/>
      <c r="OZ750" s="574"/>
      <c r="PA750" s="574"/>
      <c r="PB750" s="574"/>
      <c r="PC750" s="574"/>
      <c r="PD750" s="574"/>
      <c r="PE750" s="574"/>
      <c r="PF750" s="574"/>
      <c r="PG750" s="574"/>
      <c r="PH750" s="574"/>
      <c r="PI750" s="574"/>
      <c r="PJ750" s="574"/>
      <c r="PK750" s="574"/>
      <c r="PL750" s="574"/>
      <c r="PM750" s="574"/>
      <c r="PN750" s="574"/>
      <c r="PO750" s="574"/>
      <c r="PP750" s="574"/>
      <c r="PQ750" s="574"/>
      <c r="PR750" s="574"/>
      <c r="PS750" s="574"/>
      <c r="PT750" s="574"/>
      <c r="PU750" s="574"/>
      <c r="PV750" s="574"/>
      <c r="PW750" s="574"/>
      <c r="PX750" s="574"/>
      <c r="PY750" s="574"/>
      <c r="PZ750" s="574"/>
      <c r="QA750" s="574"/>
      <c r="QB750" s="574"/>
      <c r="QC750" s="574"/>
      <c r="QD750" s="574"/>
      <c r="QE750" s="574"/>
      <c r="QF750" s="574"/>
      <c r="QG750" s="574"/>
      <c r="QH750" s="574"/>
      <c r="QI750" s="574"/>
      <c r="QJ750" s="574"/>
      <c r="QK750" s="574"/>
      <c r="QL750" s="574"/>
      <c r="QM750" s="574"/>
      <c r="QN750" s="574"/>
      <c r="QO750" s="574"/>
      <c r="QP750" s="574"/>
      <c r="QQ750" s="574"/>
      <c r="QR750" s="574"/>
      <c r="QS750" s="574"/>
      <c r="QT750" s="574"/>
      <c r="QU750" s="574"/>
      <c r="QV750" s="574"/>
      <c r="QW750" s="574"/>
      <c r="QX750" s="574"/>
      <c r="QY750" s="574"/>
      <c r="QZ750" s="574"/>
      <c r="RA750" s="574"/>
      <c r="RB750" s="574"/>
      <c r="RC750" s="574"/>
      <c r="RD750" s="574"/>
      <c r="RE750" s="574"/>
      <c r="RF750" s="574"/>
      <c r="RG750" s="574"/>
      <c r="RH750" s="574"/>
      <c r="RI750" s="574"/>
      <c r="RJ750" s="574"/>
      <c r="RK750" s="574"/>
      <c r="RL750" s="574"/>
      <c r="RM750" s="574"/>
      <c r="RN750" s="574"/>
      <c r="RO750" s="574"/>
      <c r="RP750" s="574"/>
      <c r="RQ750" s="574"/>
      <c r="RR750" s="574"/>
      <c r="RS750" s="574"/>
      <c r="RT750" s="574"/>
      <c r="RU750" s="574"/>
      <c r="RV750" s="574"/>
      <c r="RW750" s="574"/>
      <c r="RX750" s="574"/>
      <c r="RY750" s="574"/>
      <c r="RZ750" s="574"/>
      <c r="SA750" s="574"/>
      <c r="SB750" s="574"/>
      <c r="SC750" s="574"/>
      <c r="SD750" s="574"/>
      <c r="SE750" s="574"/>
      <c r="SF750" s="574"/>
      <c r="SG750" s="574"/>
      <c r="SH750" s="574"/>
      <c r="SI750" s="574"/>
      <c r="SJ750" s="574"/>
      <c r="SK750" s="574"/>
      <c r="SL750" s="574"/>
      <c r="SM750" s="574"/>
      <c r="SN750" s="574"/>
      <c r="SO750" s="574"/>
      <c r="SP750" s="574"/>
      <c r="SQ750" s="574"/>
      <c r="SR750" s="574"/>
      <c r="SS750" s="574"/>
      <c r="ST750" s="574"/>
      <c r="SU750" s="574"/>
      <c r="SV750" s="574"/>
      <c r="SW750" s="574"/>
      <c r="SX750" s="574"/>
      <c r="SY750" s="574"/>
      <c r="SZ750" s="574"/>
      <c r="TA750" s="574"/>
      <c r="TB750" s="574"/>
      <c r="TC750" s="574"/>
      <c r="TD750" s="574"/>
      <c r="TE750" s="574"/>
      <c r="TF750" s="574"/>
      <c r="TG750" s="574"/>
      <c r="TH750" s="574"/>
      <c r="TI750" s="574"/>
      <c r="TJ750" s="574"/>
      <c r="TK750" s="574"/>
      <c r="TL750" s="574"/>
      <c r="TM750" s="574"/>
      <c r="TN750" s="574"/>
      <c r="TO750" s="574"/>
      <c r="TP750" s="574"/>
      <c r="TQ750" s="574"/>
      <c r="TR750" s="574"/>
      <c r="TS750" s="574"/>
      <c r="TT750" s="574"/>
      <c r="TU750" s="574"/>
      <c r="TV750" s="574"/>
      <c r="TW750" s="574"/>
      <c r="TX750" s="574"/>
      <c r="TY750" s="574"/>
      <c r="TZ750" s="574"/>
      <c r="UA750" s="574"/>
      <c r="UB750" s="574"/>
      <c r="UC750" s="574"/>
      <c r="UD750" s="574"/>
      <c r="UE750" s="574"/>
      <c r="UF750" s="574"/>
      <c r="UG750" s="574"/>
      <c r="UH750" s="574"/>
      <c r="UI750" s="574"/>
      <c r="UJ750" s="574"/>
      <c r="UK750" s="574"/>
      <c r="UL750" s="574"/>
      <c r="UM750" s="574"/>
      <c r="UN750" s="574"/>
      <c r="UO750" s="574"/>
      <c r="UP750" s="574"/>
      <c r="UQ750" s="574"/>
      <c r="UR750" s="574"/>
      <c r="US750" s="574"/>
      <c r="UT750" s="574"/>
      <c r="UU750" s="574"/>
      <c r="UV750" s="574"/>
      <c r="UW750" s="574"/>
      <c r="UX750" s="574"/>
      <c r="UY750" s="574"/>
      <c r="UZ750" s="574"/>
      <c r="VA750" s="574"/>
      <c r="VB750" s="574"/>
      <c r="VC750" s="574"/>
      <c r="VD750" s="574"/>
      <c r="VE750" s="574"/>
      <c r="VF750" s="574"/>
      <c r="VG750" s="574"/>
      <c r="VH750" s="574"/>
      <c r="VI750" s="574"/>
      <c r="VJ750" s="574"/>
      <c r="VK750" s="574"/>
      <c r="VL750" s="574"/>
      <c r="VM750" s="574"/>
      <c r="VN750" s="574"/>
      <c r="VO750" s="574"/>
      <c r="VP750" s="574"/>
      <c r="VQ750" s="574"/>
      <c r="VR750" s="574"/>
      <c r="VS750" s="574"/>
      <c r="VT750" s="574"/>
      <c r="VU750" s="574"/>
      <c r="VV750" s="574"/>
      <c r="VW750" s="574"/>
      <c r="VX750" s="574"/>
      <c r="VY750" s="574"/>
      <c r="VZ750" s="574"/>
      <c r="WA750" s="574"/>
      <c r="WB750" s="574"/>
      <c r="WC750" s="574"/>
      <c r="WD750" s="574"/>
      <c r="WE750" s="574"/>
      <c r="WF750" s="574"/>
      <c r="WG750" s="574"/>
      <c r="WH750" s="574"/>
      <c r="WI750" s="574"/>
      <c r="WJ750" s="574"/>
      <c r="WK750" s="574"/>
      <c r="WL750" s="574"/>
      <c r="WM750" s="574"/>
      <c r="WN750" s="574"/>
      <c r="WO750" s="574"/>
      <c r="WP750" s="574"/>
      <c r="WQ750" s="574"/>
      <c r="WR750" s="574"/>
      <c r="WS750" s="574"/>
      <c r="WT750" s="574"/>
      <c r="WU750" s="574"/>
      <c r="WV750" s="574"/>
      <c r="WW750" s="574"/>
      <c r="WX750" s="574"/>
      <c r="WY750" s="574"/>
      <c r="WZ750" s="574"/>
      <c r="XA750" s="574"/>
      <c r="XB750" s="574"/>
      <c r="XC750" s="574"/>
      <c r="XD750" s="574"/>
      <c r="XE750" s="574"/>
      <c r="XF750" s="574"/>
      <c r="XG750" s="574"/>
      <c r="XH750" s="574"/>
      <c r="XI750" s="574"/>
      <c r="XJ750" s="574"/>
      <c r="XK750" s="574"/>
      <c r="XL750" s="574"/>
      <c r="XM750" s="574"/>
      <c r="XN750" s="574"/>
      <c r="XO750" s="574"/>
      <c r="XP750" s="574"/>
      <c r="XQ750" s="574"/>
      <c r="XR750" s="574"/>
      <c r="XS750" s="574"/>
      <c r="XT750" s="574"/>
      <c r="XU750" s="574"/>
      <c r="XV750" s="574"/>
      <c r="XW750" s="574"/>
      <c r="XX750" s="574"/>
      <c r="XY750" s="574"/>
      <c r="XZ750" s="574"/>
      <c r="YA750" s="574"/>
      <c r="YB750" s="574"/>
      <c r="YC750" s="574"/>
      <c r="YD750" s="574"/>
      <c r="YE750" s="574"/>
      <c r="YF750" s="574"/>
      <c r="YG750" s="574"/>
      <c r="YH750" s="574"/>
      <c r="YI750" s="574"/>
      <c r="YJ750" s="574"/>
      <c r="YK750" s="574"/>
      <c r="YL750" s="574"/>
      <c r="YM750" s="574"/>
      <c r="YN750" s="574"/>
      <c r="YO750" s="574"/>
      <c r="YP750" s="574"/>
      <c r="YQ750" s="574"/>
      <c r="YR750" s="574"/>
      <c r="YS750" s="574"/>
      <c r="YT750" s="574"/>
      <c r="YU750" s="574"/>
      <c r="YV750" s="574"/>
      <c r="YW750" s="574"/>
      <c r="YX750" s="574"/>
      <c r="YY750" s="574"/>
      <c r="YZ750" s="574"/>
      <c r="ZA750" s="574"/>
      <c r="ZB750" s="574"/>
      <c r="ZC750" s="574"/>
      <c r="ZD750" s="574"/>
      <c r="ZE750" s="574"/>
      <c r="ZF750" s="574"/>
      <c r="ZG750" s="574"/>
      <c r="ZH750" s="574"/>
      <c r="ZI750" s="574"/>
      <c r="ZJ750" s="574"/>
      <c r="ZK750" s="574"/>
      <c r="ZL750" s="574"/>
      <c r="ZM750" s="574"/>
      <c r="ZN750" s="574"/>
      <c r="ZO750" s="574"/>
      <c r="ZP750" s="574"/>
      <c r="ZQ750" s="574"/>
      <c r="ZR750" s="574"/>
      <c r="ZS750" s="574"/>
      <c r="ZT750" s="574"/>
      <c r="ZU750" s="574"/>
      <c r="ZV750" s="574"/>
      <c r="ZW750" s="574"/>
      <c r="ZX750" s="574"/>
      <c r="ZY750" s="574"/>
      <c r="ZZ750" s="574"/>
      <c r="AAA750" s="574"/>
      <c r="AAB750" s="574"/>
      <c r="AAC750" s="574"/>
      <c r="AAD750" s="574"/>
      <c r="AAE750" s="574"/>
      <c r="AAF750" s="574"/>
      <c r="AAG750" s="574"/>
      <c r="AAH750" s="574"/>
      <c r="AAI750" s="574"/>
      <c r="AAJ750" s="574"/>
      <c r="AAK750" s="574"/>
      <c r="AAL750" s="574"/>
      <c r="AAM750" s="574"/>
      <c r="AAN750" s="574"/>
      <c r="AAO750" s="574"/>
      <c r="AAP750" s="574"/>
      <c r="AAQ750" s="574"/>
      <c r="AAR750" s="574"/>
      <c r="AAS750" s="574"/>
      <c r="AAT750" s="574"/>
      <c r="AAU750" s="574"/>
      <c r="AAV750" s="574"/>
      <c r="AAW750" s="574"/>
      <c r="AAX750" s="574"/>
      <c r="AAY750" s="574"/>
      <c r="AAZ750" s="574"/>
      <c r="ABA750" s="574"/>
      <c r="ABB750" s="574"/>
      <c r="ABC750" s="574"/>
      <c r="ABD750" s="574"/>
      <c r="ABE750" s="574"/>
      <c r="ABF750" s="574"/>
      <c r="ABG750" s="574"/>
      <c r="ABH750" s="574"/>
      <c r="ABI750" s="574"/>
      <c r="ABJ750" s="574"/>
      <c r="ABK750" s="574"/>
      <c r="ABL750" s="574"/>
      <c r="ABM750" s="574"/>
      <c r="ABN750" s="574"/>
      <c r="ABO750" s="574"/>
      <c r="ABP750" s="574"/>
      <c r="ABQ750" s="574"/>
      <c r="ABR750" s="574"/>
      <c r="ABS750" s="574"/>
      <c r="ABT750" s="574"/>
      <c r="ABU750" s="574"/>
      <c r="ABV750" s="574"/>
      <c r="ABW750" s="574"/>
      <c r="ABX750" s="574"/>
      <c r="ABY750" s="574"/>
      <c r="ABZ750" s="574"/>
      <c r="ACA750" s="574"/>
      <c r="ACB750" s="574"/>
      <c r="ACC750" s="574"/>
      <c r="ACD750" s="574"/>
      <c r="ACE750" s="574"/>
      <c r="ACF750" s="574"/>
      <c r="ACG750" s="574"/>
      <c r="ACH750" s="574"/>
      <c r="ACI750" s="574"/>
      <c r="ACJ750" s="574"/>
      <c r="ACK750" s="574"/>
      <c r="ACL750" s="574"/>
      <c r="ACM750" s="574"/>
      <c r="ACN750" s="574"/>
      <c r="ACO750" s="574"/>
      <c r="ACP750" s="574"/>
      <c r="ACQ750" s="574"/>
      <c r="ACR750" s="574"/>
      <c r="ACS750" s="574"/>
      <c r="ACT750" s="574"/>
      <c r="ACU750" s="574"/>
      <c r="ACV750" s="574"/>
      <c r="ACW750" s="574"/>
      <c r="ACX750" s="574"/>
      <c r="ACY750" s="574"/>
      <c r="ACZ750" s="574"/>
      <c r="ADA750" s="574"/>
      <c r="ADB750" s="574"/>
      <c r="ADC750" s="574"/>
      <c r="ADD750" s="574"/>
      <c r="ADE750" s="574"/>
      <c r="ADF750" s="574"/>
      <c r="ADG750" s="574"/>
      <c r="ADH750" s="574"/>
      <c r="ADI750" s="574"/>
      <c r="ADJ750" s="574"/>
      <c r="ADK750" s="574"/>
      <c r="ADL750" s="574"/>
      <c r="ADM750" s="574"/>
      <c r="ADN750" s="574"/>
      <c r="ADO750" s="574"/>
      <c r="ADP750" s="574"/>
      <c r="ADQ750" s="574"/>
      <c r="ADR750" s="574"/>
      <c r="ADS750" s="574"/>
      <c r="ADT750" s="574"/>
      <c r="ADU750" s="574"/>
      <c r="ADV750" s="574"/>
      <c r="ADW750" s="574"/>
      <c r="ADX750" s="574"/>
      <c r="ADY750" s="574"/>
      <c r="ADZ750" s="574"/>
      <c r="AEA750" s="574"/>
      <c r="AEB750" s="574"/>
      <c r="AEC750" s="574"/>
      <c r="AED750" s="574"/>
      <c r="AEE750" s="574"/>
      <c r="AEF750" s="574"/>
      <c r="AEG750" s="574"/>
      <c r="AEH750" s="574"/>
      <c r="AEI750" s="574"/>
      <c r="AEJ750" s="574"/>
      <c r="AEK750" s="574"/>
      <c r="AEL750" s="574"/>
      <c r="AEM750" s="574"/>
      <c r="AEN750" s="574"/>
      <c r="AEO750" s="574"/>
      <c r="AEP750" s="574"/>
      <c r="AEQ750" s="574"/>
      <c r="AER750" s="574"/>
      <c r="AES750" s="574"/>
      <c r="AET750" s="574"/>
      <c r="AEU750" s="574"/>
      <c r="AEV750" s="574"/>
      <c r="AEW750" s="574"/>
      <c r="AEX750" s="574"/>
      <c r="AEY750" s="574"/>
      <c r="AEZ750" s="574"/>
      <c r="AFA750" s="574"/>
      <c r="AFB750" s="574"/>
      <c r="AFC750" s="574"/>
      <c r="AFD750" s="574"/>
      <c r="AFE750" s="574"/>
      <c r="AFF750" s="574"/>
      <c r="AFG750" s="574"/>
      <c r="AFH750" s="574"/>
      <c r="AFI750" s="574"/>
      <c r="AFJ750" s="574"/>
      <c r="AFK750" s="574"/>
      <c r="AFL750" s="574"/>
      <c r="AFM750" s="574"/>
      <c r="AFN750" s="574"/>
      <c r="AFO750" s="574"/>
      <c r="AFP750" s="574"/>
      <c r="AFQ750" s="574"/>
      <c r="AFR750" s="574"/>
      <c r="AFS750" s="574"/>
      <c r="AFT750" s="574"/>
      <c r="AFU750" s="574"/>
      <c r="AFV750" s="574"/>
      <c r="AFW750" s="574"/>
      <c r="AFX750" s="574"/>
      <c r="AFY750" s="574"/>
      <c r="AFZ750" s="574"/>
      <c r="AGA750" s="574"/>
      <c r="AGB750" s="574"/>
      <c r="AGC750" s="574"/>
      <c r="AGD750" s="574"/>
      <c r="AGE750" s="574"/>
      <c r="AGF750" s="574"/>
      <c r="AGG750" s="574"/>
      <c r="AGH750" s="574"/>
      <c r="AGI750" s="574"/>
      <c r="AGJ750" s="574"/>
      <c r="AGK750" s="574"/>
      <c r="AGL750" s="574"/>
      <c r="AGM750" s="574"/>
      <c r="AGN750" s="574"/>
      <c r="AGO750" s="574"/>
      <c r="AGP750" s="574"/>
      <c r="AGQ750" s="574"/>
      <c r="AGR750" s="574"/>
      <c r="AGS750" s="574"/>
      <c r="AGT750" s="574"/>
      <c r="AGU750" s="574"/>
      <c r="AGV750" s="574"/>
      <c r="AGW750" s="574"/>
      <c r="AGX750" s="574"/>
      <c r="AGY750" s="574"/>
      <c r="AGZ750" s="574"/>
      <c r="AHA750" s="574"/>
      <c r="AHB750" s="574"/>
      <c r="AHC750" s="574"/>
      <c r="AHD750" s="574"/>
      <c r="AHE750" s="574"/>
      <c r="AHF750" s="574"/>
      <c r="AHG750" s="574"/>
      <c r="AHH750" s="574"/>
      <c r="AHI750" s="574"/>
      <c r="AHJ750" s="574"/>
      <c r="AHK750" s="574"/>
      <c r="AHL750" s="574"/>
      <c r="AHM750" s="574"/>
      <c r="AHN750" s="574"/>
      <c r="AHO750" s="574"/>
      <c r="AHP750" s="574"/>
      <c r="AHQ750" s="574"/>
      <c r="AHR750" s="574"/>
      <c r="AHS750" s="574"/>
      <c r="AHT750" s="574"/>
      <c r="AHU750" s="574"/>
      <c r="AHV750" s="574"/>
      <c r="AHW750" s="574"/>
      <c r="AHX750" s="574"/>
      <c r="AHY750" s="574"/>
      <c r="AHZ750" s="574"/>
      <c r="AIA750" s="574"/>
      <c r="AIB750" s="574"/>
      <c r="AIC750" s="574"/>
      <c r="AID750" s="574"/>
      <c r="AIE750" s="574"/>
      <c r="AIF750" s="574"/>
      <c r="AIG750" s="574"/>
      <c r="AIH750" s="574"/>
      <c r="AII750" s="574"/>
      <c r="AIJ750" s="574"/>
      <c r="AIK750" s="574"/>
      <c r="AIL750" s="574"/>
      <c r="AIM750" s="574"/>
      <c r="AIN750" s="574"/>
      <c r="AIO750" s="574"/>
      <c r="AIP750" s="574"/>
      <c r="AIQ750" s="574"/>
      <c r="AIR750" s="574"/>
      <c r="AIS750" s="574"/>
      <c r="AIT750" s="574"/>
      <c r="AIU750" s="574"/>
      <c r="AIV750" s="574"/>
      <c r="AIW750" s="574"/>
      <c r="AIX750" s="574"/>
      <c r="AIY750" s="574"/>
      <c r="AIZ750" s="574"/>
      <c r="AJA750" s="574"/>
      <c r="AJB750" s="574"/>
      <c r="AJC750" s="574"/>
      <c r="AJD750" s="574"/>
      <c r="AJE750" s="574"/>
      <c r="AJF750" s="574"/>
      <c r="AJG750" s="574"/>
      <c r="AJH750" s="574"/>
      <c r="AJI750" s="574"/>
      <c r="AJJ750" s="574"/>
      <c r="AJK750" s="574"/>
      <c r="AJL750" s="574"/>
      <c r="AJM750" s="574"/>
      <c r="AJN750" s="574"/>
      <c r="AJO750" s="574"/>
      <c r="AJP750" s="574"/>
      <c r="AJQ750" s="574"/>
      <c r="AJR750" s="574"/>
      <c r="AJS750" s="574"/>
      <c r="AJT750" s="574"/>
      <c r="AJU750" s="574"/>
      <c r="AJV750" s="574"/>
      <c r="AJW750" s="574"/>
      <c r="AJX750" s="574"/>
      <c r="AJY750" s="574"/>
      <c r="AJZ750" s="574"/>
      <c r="AKA750" s="574"/>
      <c r="AKB750" s="574"/>
      <c r="AKC750" s="574"/>
      <c r="AKD750" s="574"/>
      <c r="AKE750" s="574"/>
      <c r="AKF750" s="574"/>
      <c r="AKG750" s="574"/>
      <c r="AKH750" s="574"/>
      <c r="AKI750" s="574"/>
      <c r="AKJ750" s="574"/>
      <c r="AKK750" s="574"/>
      <c r="AKL750" s="574"/>
      <c r="AKM750" s="574"/>
      <c r="AKN750" s="574"/>
      <c r="AKO750" s="574"/>
      <c r="AKP750" s="574"/>
      <c r="AKQ750" s="574"/>
      <c r="AKR750" s="574"/>
      <c r="AKS750" s="574"/>
      <c r="AKT750" s="574"/>
      <c r="AKU750" s="574"/>
      <c r="AKV750" s="574"/>
      <c r="AKW750" s="574"/>
      <c r="AKX750" s="574"/>
      <c r="AKY750" s="574"/>
      <c r="AKZ750" s="574"/>
      <c r="ALA750" s="574"/>
      <c r="ALB750" s="574"/>
      <c r="ALC750" s="574"/>
      <c r="ALD750" s="574"/>
      <c r="ALE750" s="574"/>
      <c r="ALF750" s="574"/>
      <c r="ALG750" s="574"/>
      <c r="ALH750" s="574"/>
      <c r="ALI750" s="574"/>
      <c r="ALJ750" s="574"/>
      <c r="ALK750" s="574"/>
      <c r="ALL750" s="574"/>
      <c r="ALM750" s="574"/>
      <c r="ALN750" s="574"/>
      <c r="ALO750" s="574"/>
      <c r="ALP750" s="574"/>
      <c r="ALQ750" s="574"/>
      <c r="ALR750" s="574"/>
      <c r="ALS750" s="574"/>
      <c r="ALT750" s="574"/>
      <c r="ALU750" s="574"/>
      <c r="ALV750" s="574"/>
      <c r="ALW750" s="574"/>
      <c r="ALX750" s="574"/>
      <c r="ALY750" s="574"/>
      <c r="ALZ750" s="574"/>
      <c r="AMA750" s="574"/>
      <c r="AMB750" s="574"/>
      <c r="AMC750" s="574"/>
      <c r="AMD750" s="574"/>
      <c r="AME750" s="574"/>
      <c r="AMF750" s="574"/>
      <c r="AMG750" s="574"/>
      <c r="AMH750" s="574"/>
      <c r="AMI750" s="574"/>
      <c r="AMJ750" s="574"/>
      <c r="AMK750" s="574"/>
      <c r="AML750" s="574"/>
      <c r="AMM750" s="574"/>
      <c r="AMN750" s="574"/>
      <c r="AMO750" s="574"/>
      <c r="AMP750" s="574"/>
      <c r="AMQ750" s="574"/>
      <c r="AMR750" s="574"/>
      <c r="AMS750" s="574"/>
      <c r="AMT750" s="574"/>
      <c r="AMU750" s="574"/>
      <c r="AMV750" s="574"/>
      <c r="AMW750" s="574"/>
      <c r="AMX750" s="574"/>
      <c r="AMY750" s="574"/>
      <c r="AMZ750" s="574"/>
      <c r="ANA750" s="574"/>
      <c r="ANB750" s="574"/>
      <c r="ANC750" s="574"/>
      <c r="AND750" s="574"/>
      <c r="ANE750" s="574"/>
      <c r="ANF750" s="574"/>
      <c r="ANG750" s="574"/>
      <c r="ANH750" s="574"/>
      <c r="ANI750" s="574"/>
      <c r="ANJ750" s="574"/>
      <c r="ANK750" s="574"/>
      <c r="ANL750" s="574"/>
      <c r="ANM750" s="574"/>
      <c r="ANN750" s="574"/>
      <c r="ANO750" s="574"/>
      <c r="ANP750" s="574"/>
      <c r="ANQ750" s="574"/>
      <c r="ANR750" s="574"/>
      <c r="ANS750" s="574"/>
      <c r="ANT750" s="574"/>
      <c r="ANU750" s="574"/>
      <c r="ANV750" s="574"/>
      <c r="ANW750" s="574"/>
      <c r="ANX750" s="574"/>
      <c r="ANY750" s="574"/>
      <c r="ANZ750" s="574"/>
      <c r="AOA750" s="574"/>
      <c r="AOB750" s="574"/>
      <c r="AOC750" s="574"/>
      <c r="AOD750" s="574"/>
      <c r="AOE750" s="574"/>
      <c r="AOF750" s="574"/>
      <c r="AOG750" s="574"/>
      <c r="AOH750" s="574"/>
      <c r="AOI750" s="574"/>
      <c r="AOJ750" s="574"/>
      <c r="AOK750" s="574"/>
      <c r="AOL750" s="574"/>
      <c r="AOM750" s="574"/>
      <c r="AON750" s="574"/>
      <c r="AOO750" s="574"/>
      <c r="AOP750" s="574"/>
      <c r="AOQ750" s="574"/>
      <c r="AOR750" s="574"/>
      <c r="AOS750" s="574"/>
      <c r="AOT750" s="574"/>
      <c r="AOU750" s="574"/>
      <c r="AOV750" s="574"/>
      <c r="AOW750" s="574"/>
      <c r="AOX750" s="574"/>
      <c r="AOY750" s="574"/>
      <c r="AOZ750" s="574"/>
      <c r="APA750" s="574"/>
      <c r="APB750" s="574"/>
      <c r="APC750" s="574"/>
      <c r="APD750" s="574"/>
      <c r="APE750" s="574"/>
      <c r="APF750" s="574"/>
      <c r="APG750" s="574"/>
      <c r="APH750" s="574"/>
      <c r="API750" s="574"/>
      <c r="APJ750" s="574"/>
      <c r="APK750" s="574"/>
      <c r="APL750" s="574"/>
      <c r="APM750" s="574"/>
      <c r="APN750" s="574"/>
      <c r="APO750" s="574"/>
      <c r="APP750" s="574"/>
      <c r="APQ750" s="574"/>
      <c r="APR750" s="574"/>
      <c r="APS750" s="574"/>
      <c r="APT750" s="574"/>
      <c r="APU750" s="574"/>
      <c r="APV750" s="574"/>
      <c r="APW750" s="574"/>
      <c r="APX750" s="574"/>
      <c r="APY750" s="574"/>
      <c r="APZ750" s="574"/>
      <c r="AQA750" s="574"/>
      <c r="AQB750" s="574"/>
      <c r="AQC750" s="574"/>
      <c r="AQD750" s="574"/>
      <c r="AQE750" s="574"/>
      <c r="AQF750" s="574"/>
      <c r="AQG750" s="574"/>
      <c r="AQH750" s="574"/>
      <c r="AQI750" s="574"/>
      <c r="AQJ750" s="574"/>
      <c r="AQK750" s="574"/>
      <c r="AQL750" s="574"/>
      <c r="AQM750" s="574"/>
      <c r="AQN750" s="574"/>
      <c r="AQO750" s="574"/>
      <c r="AQP750" s="574"/>
      <c r="AQQ750" s="574"/>
      <c r="AQR750" s="574"/>
      <c r="AQS750" s="574"/>
      <c r="AQT750" s="574"/>
      <c r="AQU750" s="574"/>
      <c r="AQV750" s="574"/>
      <c r="AQW750" s="574"/>
      <c r="AQX750" s="574"/>
      <c r="AQY750" s="574"/>
      <c r="AQZ750" s="574"/>
      <c r="ARA750" s="574"/>
      <c r="ARB750" s="574"/>
      <c r="ARC750" s="574"/>
      <c r="ARD750" s="574"/>
      <c r="ARE750" s="574"/>
      <c r="ARF750" s="574"/>
      <c r="ARG750" s="574"/>
      <c r="ARH750" s="574"/>
      <c r="ARI750" s="574"/>
      <c r="ARJ750" s="574"/>
      <c r="ARK750" s="574"/>
      <c r="ARL750" s="574"/>
      <c r="ARM750" s="574"/>
      <c r="ARN750" s="574"/>
      <c r="ARO750" s="574"/>
      <c r="ARP750" s="574"/>
      <c r="ARQ750" s="574"/>
      <c r="ARR750" s="574"/>
      <c r="ARS750" s="574"/>
      <c r="ART750" s="574"/>
      <c r="ARU750" s="574"/>
      <c r="ARV750" s="574"/>
      <c r="ARW750" s="574"/>
      <c r="ARX750" s="574"/>
      <c r="ARY750" s="574"/>
      <c r="ARZ750" s="574"/>
      <c r="ASA750" s="574"/>
      <c r="ASB750" s="574"/>
      <c r="ASC750" s="574"/>
      <c r="ASD750" s="574"/>
      <c r="ASE750" s="574"/>
      <c r="ASF750" s="574"/>
      <c r="ASG750" s="574"/>
      <c r="ASH750" s="574"/>
      <c r="ASI750" s="574"/>
      <c r="ASJ750" s="574"/>
      <c r="ASK750" s="574"/>
      <c r="ASL750" s="574"/>
      <c r="ASM750" s="574"/>
      <c r="ASN750" s="574"/>
      <c r="ASO750" s="574"/>
      <c r="ASP750" s="574"/>
      <c r="ASQ750" s="574"/>
      <c r="ASR750" s="574"/>
      <c r="ASS750" s="574"/>
      <c r="AST750" s="574"/>
      <c r="ASU750" s="574"/>
      <c r="ASV750" s="574"/>
      <c r="ASW750" s="574"/>
      <c r="ASX750" s="574"/>
      <c r="ASY750" s="574"/>
      <c r="ASZ750" s="574"/>
      <c r="ATA750" s="574"/>
      <c r="ATB750" s="574"/>
      <c r="ATC750" s="574"/>
      <c r="ATD750" s="574"/>
      <c r="ATE750" s="574"/>
      <c r="ATF750" s="574"/>
      <c r="ATG750" s="574"/>
      <c r="ATH750" s="574"/>
      <c r="ATI750" s="574"/>
      <c r="ATJ750" s="574"/>
      <c r="ATK750" s="574"/>
      <c r="ATL750" s="574"/>
      <c r="ATM750" s="574"/>
      <c r="ATN750" s="574"/>
      <c r="ATO750" s="574"/>
      <c r="ATP750" s="574"/>
      <c r="ATQ750" s="574"/>
      <c r="ATR750" s="574"/>
      <c r="ATS750" s="574"/>
      <c r="ATT750" s="574"/>
      <c r="ATU750" s="574"/>
      <c r="ATV750" s="574"/>
      <c r="ATW750" s="574"/>
      <c r="ATX750" s="574"/>
      <c r="ATY750" s="574"/>
      <c r="ATZ750" s="574"/>
      <c r="AUA750" s="574"/>
      <c r="AUB750" s="574"/>
      <c r="AUC750" s="574"/>
      <c r="AUD750" s="574"/>
      <c r="AUE750" s="574"/>
      <c r="AUF750" s="574"/>
      <c r="AUG750" s="574"/>
      <c r="AUH750" s="574"/>
      <c r="AUI750" s="574"/>
      <c r="AUJ750" s="574"/>
      <c r="AUK750" s="574"/>
      <c r="AUL750" s="574"/>
      <c r="AUM750" s="574"/>
      <c r="AUN750" s="574"/>
      <c r="AUO750" s="574"/>
      <c r="AUP750" s="574"/>
      <c r="AUQ750" s="574"/>
      <c r="AUR750" s="574"/>
      <c r="AUS750" s="574"/>
      <c r="AUT750" s="574"/>
      <c r="AUU750" s="574"/>
      <c r="AUV750" s="574"/>
      <c r="AUW750" s="574"/>
      <c r="AUX750" s="574"/>
      <c r="AUY750" s="574"/>
      <c r="AUZ750" s="574"/>
      <c r="AVA750" s="574"/>
      <c r="AVB750" s="574"/>
      <c r="AVC750" s="574"/>
      <c r="AVD750" s="574"/>
      <c r="AVE750" s="574"/>
      <c r="AVF750" s="574"/>
      <c r="AVG750" s="574"/>
      <c r="AVH750" s="574"/>
      <c r="AVI750" s="574"/>
      <c r="AVJ750" s="574"/>
      <c r="AVK750" s="574"/>
      <c r="AVL750" s="574"/>
      <c r="AVM750" s="574"/>
      <c r="AVN750" s="574"/>
      <c r="AVO750" s="574"/>
      <c r="AVP750" s="574"/>
      <c r="AVQ750" s="574"/>
      <c r="AVR750" s="574"/>
      <c r="AVS750" s="574"/>
      <c r="AVT750" s="574"/>
      <c r="AVU750" s="574"/>
      <c r="AVV750" s="574"/>
      <c r="AVW750" s="574"/>
      <c r="AVX750" s="574"/>
      <c r="AVY750" s="574"/>
      <c r="AVZ750" s="574"/>
      <c r="AWA750" s="574"/>
      <c r="AWB750" s="574"/>
      <c r="AWC750" s="574"/>
      <c r="AWD750" s="574"/>
      <c r="AWE750" s="574"/>
      <c r="AWF750" s="574"/>
      <c r="AWG750" s="574"/>
      <c r="AWH750" s="574"/>
      <c r="AWI750" s="574"/>
      <c r="AWJ750" s="574"/>
      <c r="AWK750" s="574"/>
      <c r="AWL750" s="574"/>
      <c r="AWM750" s="574"/>
      <c r="AWN750" s="574"/>
      <c r="AWO750" s="574"/>
      <c r="AWP750" s="574"/>
      <c r="AWQ750" s="574"/>
      <c r="AWR750" s="574"/>
      <c r="AWS750" s="574"/>
      <c r="AWT750" s="574"/>
      <c r="AWU750" s="574"/>
      <c r="AWV750" s="574"/>
      <c r="AWW750" s="574"/>
      <c r="AWX750" s="574"/>
      <c r="AWY750" s="574"/>
      <c r="AWZ750" s="574"/>
      <c r="AXA750" s="574"/>
      <c r="AXB750" s="574"/>
      <c r="AXC750" s="574"/>
      <c r="AXD750" s="574"/>
      <c r="AXE750" s="574"/>
      <c r="AXF750" s="574"/>
      <c r="AXG750" s="574"/>
      <c r="AXH750" s="574"/>
      <c r="AXI750" s="574"/>
      <c r="AXJ750" s="574"/>
      <c r="AXK750" s="574"/>
      <c r="AXL750" s="574"/>
      <c r="AXM750" s="574"/>
      <c r="AXN750" s="574"/>
      <c r="AXO750" s="574"/>
      <c r="AXP750" s="574"/>
      <c r="AXQ750" s="574"/>
      <c r="AXR750" s="574"/>
      <c r="AXS750" s="574"/>
      <c r="AXT750" s="574"/>
      <c r="AXU750" s="574"/>
      <c r="AXV750" s="574"/>
      <c r="AXW750" s="574"/>
      <c r="AXX750" s="574"/>
      <c r="AXY750" s="574"/>
      <c r="AXZ750" s="574"/>
      <c r="AYA750" s="574"/>
      <c r="AYB750" s="574"/>
      <c r="AYC750" s="574"/>
      <c r="AYD750" s="574"/>
      <c r="AYE750" s="574"/>
      <c r="AYF750" s="574"/>
      <c r="AYG750" s="574"/>
      <c r="AYH750" s="574"/>
      <c r="AYI750" s="574"/>
      <c r="AYJ750" s="574"/>
      <c r="AYK750" s="574"/>
      <c r="AYL750" s="574"/>
      <c r="AYM750" s="574"/>
      <c r="AYN750" s="574"/>
      <c r="AYO750" s="574"/>
      <c r="AYP750" s="574"/>
      <c r="AYQ750" s="574"/>
      <c r="AYR750" s="574"/>
      <c r="AYS750" s="574"/>
      <c r="AYT750" s="574"/>
      <c r="AYU750" s="574"/>
      <c r="AYV750" s="574"/>
      <c r="AYW750" s="574"/>
      <c r="AYX750" s="574"/>
      <c r="AYY750" s="574"/>
      <c r="AYZ750" s="574"/>
      <c r="AZA750" s="574"/>
      <c r="AZB750" s="574"/>
      <c r="AZC750" s="574"/>
      <c r="AZD750" s="574"/>
      <c r="AZE750" s="574"/>
      <c r="AZF750" s="574"/>
      <c r="AZG750" s="574"/>
      <c r="AZH750" s="574"/>
      <c r="AZI750" s="574"/>
      <c r="AZJ750" s="574"/>
      <c r="AZK750" s="574"/>
      <c r="AZL750" s="574"/>
      <c r="AZM750" s="574"/>
      <c r="AZN750" s="574"/>
      <c r="AZO750" s="574"/>
      <c r="AZP750" s="574"/>
      <c r="AZQ750" s="574"/>
      <c r="AZR750" s="574"/>
      <c r="AZS750" s="574"/>
      <c r="AZT750" s="574"/>
      <c r="AZU750" s="574"/>
      <c r="AZV750" s="574"/>
      <c r="AZW750" s="574"/>
      <c r="AZX750" s="574"/>
      <c r="AZY750" s="574"/>
      <c r="AZZ750" s="574"/>
      <c r="BAA750" s="574"/>
      <c r="BAB750" s="574"/>
      <c r="BAC750" s="574"/>
      <c r="BAD750" s="574"/>
      <c r="BAE750" s="574"/>
      <c r="BAF750" s="574"/>
      <c r="BAG750" s="574"/>
      <c r="BAH750" s="574"/>
      <c r="BAI750" s="574"/>
      <c r="BAJ750" s="574"/>
      <c r="BAK750" s="574"/>
      <c r="BAL750" s="574"/>
      <c r="BAM750" s="574"/>
      <c r="BAN750" s="574"/>
      <c r="BAO750" s="574"/>
      <c r="BAP750" s="574"/>
      <c r="BAQ750" s="574"/>
      <c r="BAR750" s="574"/>
      <c r="BAS750" s="574"/>
      <c r="BAT750" s="574"/>
      <c r="BAU750" s="574"/>
      <c r="BAV750" s="574"/>
      <c r="BAW750" s="574"/>
      <c r="BAX750" s="574"/>
      <c r="BAY750" s="574"/>
      <c r="BAZ750" s="574"/>
      <c r="BBA750" s="574"/>
      <c r="BBB750" s="574"/>
      <c r="BBC750" s="574"/>
      <c r="BBD750" s="574"/>
      <c r="BBE750" s="574"/>
      <c r="BBF750" s="574"/>
      <c r="BBG750" s="574"/>
      <c r="BBH750" s="574"/>
      <c r="BBI750" s="574"/>
      <c r="BBJ750" s="574"/>
      <c r="BBK750" s="574"/>
      <c r="BBL750" s="574"/>
      <c r="BBM750" s="574"/>
      <c r="BBN750" s="574"/>
      <c r="BBO750" s="574"/>
      <c r="BBP750" s="574"/>
      <c r="BBQ750" s="574"/>
      <c r="BBR750" s="574"/>
      <c r="BBS750" s="574"/>
      <c r="BBT750" s="574"/>
      <c r="BBU750" s="574"/>
      <c r="BBV750" s="574"/>
      <c r="BBW750" s="574"/>
      <c r="BBX750" s="574"/>
      <c r="BBY750" s="574"/>
      <c r="BBZ750" s="574"/>
      <c r="BCA750" s="574"/>
      <c r="BCB750" s="574"/>
      <c r="BCC750" s="574"/>
      <c r="BCD750" s="574"/>
      <c r="BCE750" s="574"/>
      <c r="BCF750" s="574"/>
      <c r="BCG750" s="574"/>
      <c r="BCH750" s="574"/>
      <c r="BCI750" s="574"/>
      <c r="BCJ750" s="574"/>
      <c r="BCK750" s="574"/>
      <c r="BCL750" s="574"/>
      <c r="BCM750" s="574"/>
      <c r="BCN750" s="574"/>
      <c r="BCO750" s="574"/>
      <c r="BCP750" s="574"/>
      <c r="BCQ750" s="574"/>
      <c r="BCR750" s="574"/>
      <c r="BCS750" s="574"/>
      <c r="BCT750" s="574"/>
      <c r="BCU750" s="574"/>
      <c r="BCV750" s="574"/>
      <c r="BCW750" s="574"/>
      <c r="BCX750" s="574"/>
      <c r="BCY750" s="574"/>
      <c r="BCZ750" s="574"/>
      <c r="BDA750" s="574"/>
      <c r="BDB750" s="574"/>
      <c r="BDC750" s="574"/>
      <c r="BDD750" s="574"/>
      <c r="BDE750" s="574"/>
      <c r="BDF750" s="574"/>
      <c r="BDG750" s="574"/>
      <c r="BDH750" s="574"/>
      <c r="BDI750" s="574"/>
      <c r="BDJ750" s="574"/>
      <c r="BDK750" s="574"/>
      <c r="BDL750" s="574"/>
      <c r="BDM750" s="574"/>
      <c r="BDN750" s="574"/>
      <c r="BDO750" s="574"/>
      <c r="BDP750" s="574"/>
      <c r="BDQ750" s="574"/>
      <c r="BDR750" s="574"/>
      <c r="BDS750" s="574"/>
      <c r="BDT750" s="574"/>
      <c r="BDU750" s="574"/>
      <c r="BDV750" s="574"/>
      <c r="BDW750" s="574"/>
      <c r="BDX750" s="574"/>
      <c r="BDY750" s="574"/>
      <c r="BDZ750" s="574"/>
      <c r="BEA750" s="574"/>
      <c r="BEB750" s="574"/>
      <c r="BEC750" s="574"/>
      <c r="BED750" s="574"/>
      <c r="BEE750" s="574"/>
      <c r="BEF750" s="574"/>
      <c r="BEG750" s="574"/>
      <c r="BEH750" s="574"/>
      <c r="BEI750" s="574"/>
      <c r="BEJ750" s="574"/>
      <c r="BEK750" s="574"/>
      <c r="BEL750" s="574"/>
      <c r="BEM750" s="574"/>
      <c r="BEN750" s="574"/>
      <c r="BEO750" s="574"/>
      <c r="BEP750" s="574"/>
      <c r="BEQ750" s="574"/>
      <c r="BER750" s="574"/>
      <c r="BES750" s="574"/>
      <c r="BET750" s="574"/>
      <c r="BEU750" s="574"/>
      <c r="BEV750" s="574"/>
      <c r="BEW750" s="574"/>
      <c r="BEX750" s="574"/>
      <c r="BEY750" s="574"/>
      <c r="BEZ750" s="574"/>
      <c r="BFA750" s="574"/>
      <c r="BFB750" s="574"/>
      <c r="BFC750" s="574"/>
      <c r="BFD750" s="574"/>
      <c r="BFE750" s="574"/>
      <c r="BFF750" s="574"/>
      <c r="BFG750" s="574"/>
      <c r="BFH750" s="574"/>
      <c r="BFI750" s="574"/>
      <c r="BFJ750" s="574"/>
      <c r="BFK750" s="574"/>
      <c r="BFL750" s="574"/>
      <c r="BFM750" s="574"/>
      <c r="BFN750" s="574"/>
      <c r="BFO750" s="574"/>
      <c r="BFP750" s="574"/>
      <c r="BFQ750" s="574"/>
      <c r="BFR750" s="574"/>
      <c r="BFS750" s="574"/>
      <c r="BFT750" s="574"/>
      <c r="BFU750" s="574"/>
      <c r="BFV750" s="574"/>
      <c r="BFW750" s="574"/>
      <c r="BFX750" s="574"/>
      <c r="BFY750" s="574"/>
      <c r="BFZ750" s="574"/>
      <c r="BGA750" s="574"/>
      <c r="BGB750" s="574"/>
      <c r="BGC750" s="574"/>
      <c r="BGD750" s="574"/>
      <c r="BGE750" s="574"/>
      <c r="BGF750" s="574"/>
      <c r="BGG750" s="574"/>
      <c r="BGH750" s="574"/>
      <c r="BGI750" s="574"/>
      <c r="BGJ750" s="574"/>
      <c r="BGK750" s="574"/>
      <c r="BGL750" s="574"/>
      <c r="BGM750" s="574"/>
      <c r="BGN750" s="574"/>
      <c r="BGO750" s="574"/>
      <c r="BGP750" s="574"/>
      <c r="BGQ750" s="574"/>
      <c r="BGR750" s="574"/>
      <c r="BGS750" s="574"/>
      <c r="BGT750" s="574"/>
      <c r="BGU750" s="574"/>
      <c r="BGV750" s="574"/>
      <c r="BGW750" s="574"/>
      <c r="BGX750" s="574"/>
      <c r="BGY750" s="574"/>
      <c r="BGZ750" s="574"/>
      <c r="BHA750" s="574"/>
      <c r="BHB750" s="574"/>
      <c r="BHC750" s="574"/>
      <c r="BHD750" s="574"/>
      <c r="BHE750" s="574"/>
      <c r="BHF750" s="574"/>
      <c r="BHG750" s="574"/>
      <c r="BHH750" s="574"/>
      <c r="BHI750" s="574"/>
      <c r="BHJ750" s="574"/>
      <c r="BHK750" s="574"/>
      <c r="BHL750" s="574"/>
      <c r="BHM750" s="574"/>
      <c r="BHN750" s="574"/>
      <c r="BHO750" s="574"/>
      <c r="BHP750" s="574"/>
      <c r="BHQ750" s="574"/>
      <c r="BHR750" s="574"/>
      <c r="BHS750" s="574"/>
      <c r="BHT750" s="574"/>
      <c r="BHU750" s="574"/>
      <c r="BHV750" s="574"/>
      <c r="BHW750" s="574"/>
      <c r="BHX750" s="574"/>
      <c r="BHY750" s="574"/>
      <c r="BHZ750" s="574"/>
      <c r="BIA750" s="574"/>
      <c r="BIB750" s="574"/>
      <c r="BIC750" s="574"/>
      <c r="BID750" s="574"/>
      <c r="BIE750" s="574"/>
      <c r="BIF750" s="574"/>
      <c r="BIG750" s="574"/>
      <c r="BIH750" s="574"/>
      <c r="BII750" s="574"/>
      <c r="BIJ750" s="574"/>
      <c r="BIK750" s="574"/>
      <c r="BIL750" s="574"/>
      <c r="BIM750" s="574"/>
      <c r="BIN750" s="574"/>
      <c r="BIO750" s="574"/>
      <c r="BIP750" s="574"/>
      <c r="BIQ750" s="574"/>
      <c r="BIR750" s="574"/>
      <c r="BIS750" s="574"/>
      <c r="BIT750" s="574"/>
      <c r="BIU750" s="574"/>
      <c r="BIV750" s="574"/>
      <c r="BIW750" s="574"/>
      <c r="BIX750" s="574"/>
      <c r="BIY750" s="574"/>
      <c r="BIZ750" s="574"/>
      <c r="BJA750" s="574"/>
      <c r="BJB750" s="574"/>
      <c r="BJC750" s="574"/>
      <c r="BJD750" s="574"/>
      <c r="BJE750" s="574"/>
      <c r="BJF750" s="574"/>
      <c r="BJG750" s="574"/>
      <c r="BJH750" s="574"/>
      <c r="BJI750" s="574"/>
      <c r="BJJ750" s="574"/>
      <c r="BJK750" s="574"/>
      <c r="BJL750" s="574"/>
      <c r="BJM750" s="574"/>
      <c r="BJN750" s="574"/>
      <c r="BJO750" s="574"/>
      <c r="BJP750" s="574"/>
      <c r="BJQ750" s="574"/>
      <c r="BJR750" s="574"/>
      <c r="BJS750" s="574"/>
      <c r="BJT750" s="574"/>
      <c r="BJU750" s="574"/>
      <c r="BJV750" s="574"/>
      <c r="BJW750" s="574"/>
      <c r="BJX750" s="574"/>
      <c r="BJY750" s="574"/>
      <c r="BJZ750" s="574"/>
      <c r="BKA750" s="574"/>
      <c r="BKB750" s="574"/>
      <c r="BKC750" s="574"/>
      <c r="BKD750" s="574"/>
      <c r="BKE750" s="574"/>
      <c r="BKF750" s="574"/>
      <c r="BKG750" s="574"/>
      <c r="BKH750" s="574"/>
      <c r="BKI750" s="574"/>
      <c r="BKJ750" s="574"/>
      <c r="BKK750" s="574"/>
      <c r="BKL750" s="574"/>
      <c r="BKM750" s="574"/>
      <c r="BKN750" s="574"/>
      <c r="BKO750" s="574"/>
      <c r="BKP750" s="574"/>
      <c r="BKQ750" s="574"/>
      <c r="BKR750" s="574"/>
      <c r="BKS750" s="574"/>
      <c r="BKT750" s="574"/>
      <c r="BKU750" s="574"/>
      <c r="BKV750" s="574"/>
      <c r="BKW750" s="574"/>
      <c r="BKX750" s="574"/>
      <c r="BKY750" s="574"/>
      <c r="BKZ750" s="574"/>
      <c r="BLA750" s="574"/>
      <c r="BLB750" s="574"/>
      <c r="BLC750" s="574"/>
      <c r="BLD750" s="574"/>
      <c r="BLE750" s="574"/>
      <c r="BLF750" s="574"/>
      <c r="BLG750" s="574"/>
      <c r="BLH750" s="574"/>
      <c r="BLI750" s="574"/>
      <c r="BLJ750" s="574"/>
      <c r="BLK750" s="574"/>
      <c r="BLL750" s="574"/>
      <c r="BLM750" s="574"/>
      <c r="BLN750" s="574"/>
      <c r="BLO750" s="574"/>
      <c r="BLP750" s="574"/>
      <c r="BLQ750" s="574"/>
      <c r="BLR750" s="574"/>
      <c r="BLS750" s="574"/>
      <c r="BLT750" s="574"/>
      <c r="BLU750" s="574"/>
      <c r="BLV750" s="574"/>
      <c r="BLW750" s="574"/>
      <c r="BLX750" s="574"/>
      <c r="BLY750" s="574"/>
      <c r="BLZ750" s="574"/>
      <c r="BMA750" s="574"/>
      <c r="BMB750" s="574"/>
      <c r="BMC750" s="574"/>
      <c r="BMD750" s="574"/>
      <c r="BME750" s="574"/>
      <c r="BMF750" s="574"/>
      <c r="BMG750" s="574"/>
      <c r="BMH750" s="574"/>
      <c r="BMI750" s="574"/>
      <c r="BMJ750" s="574"/>
      <c r="BMK750" s="574"/>
      <c r="BML750" s="574"/>
      <c r="BMM750" s="574"/>
      <c r="BMN750" s="574"/>
      <c r="BMO750" s="574"/>
      <c r="BMP750" s="574"/>
      <c r="BMQ750" s="574"/>
      <c r="BMR750" s="574"/>
      <c r="BMS750" s="574"/>
      <c r="BMT750" s="574"/>
      <c r="BMU750" s="574"/>
      <c r="BMV750" s="574"/>
      <c r="BMW750" s="574"/>
      <c r="BMX750" s="574"/>
      <c r="BMY750" s="574"/>
      <c r="BMZ750" s="574"/>
      <c r="BNA750" s="574"/>
      <c r="BNB750" s="574"/>
      <c r="BNC750" s="574"/>
      <c r="BND750" s="574"/>
      <c r="BNE750" s="574"/>
      <c r="BNF750" s="574"/>
      <c r="BNG750" s="574"/>
      <c r="BNH750" s="574"/>
      <c r="BNI750" s="574"/>
      <c r="BNJ750" s="574"/>
      <c r="BNK750" s="574"/>
      <c r="BNL750" s="574"/>
      <c r="BNM750" s="574"/>
      <c r="BNN750" s="574"/>
      <c r="BNO750" s="574"/>
      <c r="BNP750" s="574"/>
      <c r="BNQ750" s="574"/>
      <c r="BNR750" s="574"/>
      <c r="BNS750" s="574"/>
      <c r="BNT750" s="574"/>
      <c r="BNU750" s="574"/>
      <c r="BNV750" s="574"/>
      <c r="BNW750" s="574"/>
      <c r="BNX750" s="574"/>
      <c r="BNY750" s="574"/>
      <c r="BNZ750" s="574"/>
      <c r="BOA750" s="574"/>
      <c r="BOB750" s="574"/>
      <c r="BOC750" s="574"/>
      <c r="BOD750" s="574"/>
      <c r="BOE750" s="574"/>
      <c r="BOF750" s="574"/>
      <c r="BOG750" s="574"/>
      <c r="BOH750" s="574"/>
      <c r="BOI750" s="574"/>
      <c r="BOJ750" s="574"/>
      <c r="BOK750" s="574"/>
      <c r="BOL750" s="574"/>
      <c r="BOM750" s="574"/>
      <c r="BON750" s="574"/>
      <c r="BOO750" s="574"/>
      <c r="BOP750" s="574"/>
      <c r="BOQ750" s="574"/>
      <c r="BOR750" s="574"/>
      <c r="BOS750" s="574"/>
      <c r="BOT750" s="574"/>
      <c r="BOU750" s="574"/>
      <c r="BOV750" s="574"/>
      <c r="BOW750" s="574"/>
      <c r="BOX750" s="574"/>
      <c r="BOY750" s="574"/>
      <c r="BOZ750" s="574"/>
      <c r="BPA750" s="574"/>
      <c r="BPB750" s="574"/>
      <c r="BPC750" s="574"/>
      <c r="BPD750" s="574"/>
      <c r="BPE750" s="574"/>
      <c r="BPF750" s="574"/>
      <c r="BPG750" s="574"/>
      <c r="BPH750" s="574"/>
      <c r="BPI750" s="574"/>
      <c r="BPJ750" s="574"/>
      <c r="BPK750" s="574"/>
      <c r="BPL750" s="574"/>
      <c r="BPM750" s="574"/>
      <c r="BPN750" s="574"/>
      <c r="BPO750" s="574"/>
      <c r="BPP750" s="574"/>
      <c r="BPQ750" s="574"/>
      <c r="BPR750" s="574"/>
      <c r="BPS750" s="574"/>
      <c r="BPT750" s="574"/>
      <c r="BPU750" s="574"/>
      <c r="BPV750" s="574"/>
      <c r="BPW750" s="574"/>
      <c r="BPX750" s="574"/>
      <c r="BPY750" s="574"/>
      <c r="BPZ750" s="574"/>
      <c r="BQA750" s="574"/>
      <c r="BQB750" s="574"/>
      <c r="BQC750" s="574"/>
      <c r="BQD750" s="574"/>
      <c r="BQE750" s="574"/>
      <c r="BQF750" s="574"/>
      <c r="BQG750" s="574"/>
      <c r="BQH750" s="574"/>
      <c r="BQI750" s="574"/>
      <c r="BQJ750" s="574"/>
      <c r="BQK750" s="574"/>
      <c r="BQL750" s="574"/>
      <c r="BQM750" s="574"/>
      <c r="BQN750" s="574"/>
      <c r="BQO750" s="574"/>
      <c r="BQP750" s="574"/>
      <c r="BQQ750" s="574"/>
      <c r="BQR750" s="574"/>
      <c r="BQS750" s="574"/>
      <c r="BQT750" s="574"/>
      <c r="BQU750" s="574"/>
      <c r="BQV750" s="574"/>
      <c r="BQW750" s="574"/>
      <c r="BQX750" s="574"/>
      <c r="BQY750" s="574"/>
      <c r="BQZ750" s="574"/>
      <c r="BRA750" s="574"/>
      <c r="BRB750" s="574"/>
      <c r="BRC750" s="574"/>
      <c r="BRD750" s="574"/>
      <c r="BRE750" s="574"/>
      <c r="BRF750" s="574"/>
      <c r="BRG750" s="574"/>
      <c r="BRH750" s="574"/>
      <c r="BRI750" s="574"/>
      <c r="BRJ750" s="574"/>
      <c r="BRK750" s="574"/>
      <c r="BRL750" s="574"/>
      <c r="BRM750" s="574"/>
      <c r="BRN750" s="574"/>
      <c r="BRO750" s="574"/>
      <c r="BRP750" s="574"/>
      <c r="BRQ750" s="574"/>
      <c r="BRR750" s="574"/>
      <c r="BRS750" s="574"/>
      <c r="BRT750" s="574"/>
      <c r="BRU750" s="574"/>
      <c r="BRV750" s="574"/>
      <c r="BRW750" s="574"/>
      <c r="BRX750" s="574"/>
      <c r="BRY750" s="574"/>
      <c r="BRZ750" s="574"/>
      <c r="BSA750" s="574"/>
      <c r="BSB750" s="574"/>
      <c r="BSC750" s="574"/>
      <c r="BSD750" s="574"/>
      <c r="BSE750" s="574"/>
      <c r="BSF750" s="574"/>
      <c r="BSG750" s="574"/>
      <c r="BSH750" s="574"/>
      <c r="BSI750" s="574"/>
      <c r="BSJ750" s="574"/>
      <c r="BSK750" s="574"/>
      <c r="BSL750" s="574"/>
      <c r="BSM750" s="574"/>
      <c r="BSN750" s="574"/>
      <c r="BSO750" s="574"/>
      <c r="BSP750" s="574"/>
      <c r="BSQ750" s="574"/>
      <c r="BSR750" s="574"/>
      <c r="BSS750" s="574"/>
      <c r="BST750" s="574"/>
      <c r="BSU750" s="574"/>
      <c r="BSV750" s="574"/>
      <c r="BSW750" s="574"/>
      <c r="BSX750" s="574"/>
      <c r="BSY750" s="574"/>
      <c r="BSZ750" s="574"/>
      <c r="BTA750" s="574"/>
      <c r="BTB750" s="574"/>
      <c r="BTC750" s="574"/>
      <c r="BTD750" s="574"/>
      <c r="BTE750" s="574"/>
      <c r="BTF750" s="574"/>
      <c r="BTG750" s="574"/>
      <c r="BTH750" s="574"/>
      <c r="BTI750" s="574"/>
      <c r="BTJ750" s="574"/>
      <c r="BTK750" s="574"/>
      <c r="BTL750" s="574"/>
      <c r="BTM750" s="574"/>
      <c r="BTN750" s="574"/>
      <c r="BTO750" s="574"/>
      <c r="BTP750" s="574"/>
      <c r="BTQ750" s="574"/>
      <c r="BTR750" s="574"/>
      <c r="BTS750" s="574"/>
      <c r="BTT750" s="574"/>
      <c r="BTU750" s="574"/>
      <c r="BTV750" s="574"/>
      <c r="BTW750" s="574"/>
      <c r="BTX750" s="574"/>
      <c r="BTY750" s="574"/>
      <c r="BTZ750" s="574"/>
      <c r="BUA750" s="574"/>
      <c r="BUB750" s="574"/>
      <c r="BUC750" s="574"/>
      <c r="BUD750" s="574"/>
      <c r="BUE750" s="574"/>
      <c r="BUF750" s="574"/>
      <c r="BUG750" s="574"/>
      <c r="BUH750" s="574"/>
      <c r="BUI750" s="574"/>
      <c r="BUJ750" s="574"/>
      <c r="BUK750" s="574"/>
      <c r="BUL750" s="574"/>
      <c r="BUM750" s="574"/>
      <c r="BUN750" s="574"/>
      <c r="BUO750" s="574"/>
      <c r="BUP750" s="574"/>
      <c r="BUQ750" s="574"/>
      <c r="BUR750" s="574"/>
      <c r="BUS750" s="574"/>
      <c r="BUT750" s="574"/>
      <c r="BUU750" s="574"/>
      <c r="BUV750" s="574"/>
      <c r="BUW750" s="574"/>
      <c r="BUX750" s="574"/>
      <c r="BUY750" s="574"/>
      <c r="BUZ750" s="574"/>
      <c r="BVA750" s="574"/>
      <c r="BVB750" s="574"/>
      <c r="BVC750" s="574"/>
      <c r="BVD750" s="574"/>
      <c r="BVE750" s="574"/>
      <c r="BVF750" s="574"/>
      <c r="BVG750" s="574"/>
      <c r="BVH750" s="574"/>
      <c r="BVI750" s="574"/>
      <c r="BVJ750" s="574"/>
      <c r="BVK750" s="574"/>
      <c r="BVL750" s="574"/>
      <c r="BVM750" s="574"/>
      <c r="BVN750" s="574"/>
      <c r="BVO750" s="574"/>
      <c r="BVP750" s="574"/>
      <c r="BVQ750" s="574"/>
      <c r="BVR750" s="574"/>
      <c r="BVS750" s="574"/>
      <c r="BVT750" s="574"/>
      <c r="BVU750" s="574"/>
      <c r="BVV750" s="574"/>
      <c r="BVW750" s="574"/>
      <c r="BVX750" s="574"/>
      <c r="BVY750" s="574"/>
      <c r="BVZ750" s="574"/>
      <c r="BWA750" s="574"/>
      <c r="BWB750" s="574"/>
      <c r="BWC750" s="574"/>
      <c r="BWD750" s="574"/>
      <c r="BWE750" s="574"/>
      <c r="BWF750" s="574"/>
      <c r="BWG750" s="574"/>
      <c r="BWH750" s="574"/>
      <c r="BWI750" s="574"/>
      <c r="BWJ750" s="574"/>
      <c r="BWK750" s="574"/>
      <c r="BWL750" s="574"/>
      <c r="BWM750" s="574"/>
      <c r="BWN750" s="574"/>
      <c r="BWO750" s="574"/>
      <c r="BWP750" s="574"/>
      <c r="BWQ750" s="574"/>
      <c r="BWR750" s="574"/>
      <c r="BWS750" s="574"/>
      <c r="BWT750" s="574"/>
      <c r="BWU750" s="574"/>
      <c r="BWV750" s="574"/>
      <c r="BWW750" s="574"/>
      <c r="BWX750" s="574"/>
      <c r="BWY750" s="574"/>
      <c r="BWZ750" s="574"/>
      <c r="BXA750" s="574"/>
      <c r="BXB750" s="574"/>
      <c r="BXC750" s="574"/>
      <c r="BXD750" s="574"/>
      <c r="BXE750" s="574"/>
      <c r="BXF750" s="574"/>
      <c r="BXG750" s="574"/>
      <c r="BXH750" s="574"/>
      <c r="BXI750" s="574"/>
      <c r="BXJ750" s="574"/>
      <c r="BXK750" s="574"/>
      <c r="BXL750" s="574"/>
      <c r="BXM750" s="574"/>
      <c r="BXN750" s="574"/>
      <c r="BXO750" s="574"/>
      <c r="BXP750" s="574"/>
      <c r="BXQ750" s="574"/>
      <c r="BXR750" s="574"/>
      <c r="BXS750" s="574"/>
      <c r="BXT750" s="574"/>
      <c r="BXU750" s="574"/>
      <c r="BXV750" s="574"/>
      <c r="BXW750" s="574"/>
      <c r="BXX750" s="574"/>
      <c r="BXY750" s="574"/>
      <c r="BXZ750" s="574"/>
      <c r="BYA750" s="574"/>
      <c r="BYB750" s="574"/>
      <c r="BYC750" s="574"/>
      <c r="BYD750" s="574"/>
      <c r="BYE750" s="574"/>
      <c r="BYF750" s="574"/>
      <c r="BYG750" s="574"/>
      <c r="BYH750" s="574"/>
      <c r="BYI750" s="574"/>
      <c r="BYJ750" s="574"/>
      <c r="BYK750" s="574"/>
      <c r="BYL750" s="574"/>
      <c r="BYM750" s="574"/>
      <c r="BYN750" s="574"/>
      <c r="BYO750" s="574"/>
      <c r="BYP750" s="574"/>
      <c r="BYQ750" s="574"/>
      <c r="BYR750" s="574"/>
      <c r="BYS750" s="574"/>
      <c r="BYT750" s="574"/>
      <c r="BYU750" s="574"/>
      <c r="BYV750" s="574"/>
      <c r="BYW750" s="574"/>
      <c r="BYX750" s="574"/>
      <c r="BYY750" s="574"/>
      <c r="BYZ750" s="574"/>
      <c r="BZA750" s="574"/>
      <c r="BZB750" s="574"/>
      <c r="BZC750" s="574"/>
      <c r="BZD750" s="574"/>
      <c r="BZE750" s="574"/>
      <c r="BZF750" s="574"/>
      <c r="BZG750" s="574"/>
      <c r="BZH750" s="574"/>
      <c r="BZI750" s="574"/>
      <c r="BZJ750" s="574"/>
      <c r="BZK750" s="574"/>
      <c r="BZL750" s="574"/>
      <c r="BZM750" s="574"/>
      <c r="BZN750" s="574"/>
      <c r="BZO750" s="574"/>
      <c r="BZP750" s="574"/>
      <c r="BZQ750" s="574"/>
      <c r="BZR750" s="574"/>
      <c r="BZS750" s="574"/>
      <c r="BZT750" s="574"/>
      <c r="BZU750" s="574"/>
      <c r="BZV750" s="574"/>
      <c r="BZW750" s="574"/>
      <c r="BZX750" s="574"/>
      <c r="BZY750" s="574"/>
      <c r="BZZ750" s="574"/>
      <c r="CAA750" s="574"/>
      <c r="CAB750" s="574"/>
      <c r="CAC750" s="574"/>
      <c r="CAD750" s="574"/>
      <c r="CAE750" s="574"/>
      <c r="CAF750" s="574"/>
      <c r="CAG750" s="574"/>
      <c r="CAH750" s="574"/>
      <c r="CAI750" s="574"/>
      <c r="CAJ750" s="574"/>
      <c r="CAK750" s="574"/>
      <c r="CAL750" s="574"/>
      <c r="CAM750" s="574"/>
      <c r="CAN750" s="574"/>
      <c r="CAO750" s="574"/>
      <c r="CAP750" s="574"/>
      <c r="CAQ750" s="574"/>
      <c r="CAR750" s="574"/>
      <c r="CAS750" s="574"/>
      <c r="CAT750" s="574"/>
      <c r="CAU750" s="574"/>
      <c r="CAV750" s="574"/>
      <c r="CAW750" s="574"/>
      <c r="CAX750" s="574"/>
      <c r="CAY750" s="574"/>
      <c r="CAZ750" s="574"/>
      <c r="CBA750" s="574"/>
      <c r="CBB750" s="574"/>
      <c r="CBC750" s="574"/>
      <c r="CBD750" s="574"/>
      <c r="CBE750" s="574"/>
      <c r="CBF750" s="574"/>
      <c r="CBG750" s="574"/>
      <c r="CBH750" s="574"/>
      <c r="CBI750" s="574"/>
      <c r="CBJ750" s="574"/>
      <c r="CBK750" s="574"/>
      <c r="CBL750" s="574"/>
      <c r="CBM750" s="574"/>
      <c r="CBN750" s="574"/>
      <c r="CBO750" s="574"/>
      <c r="CBP750" s="574"/>
      <c r="CBQ750" s="574"/>
      <c r="CBR750" s="574"/>
      <c r="CBS750" s="574"/>
      <c r="CBT750" s="574"/>
      <c r="CBU750" s="574"/>
      <c r="CBV750" s="574"/>
      <c r="CBW750" s="574"/>
      <c r="CBX750" s="574"/>
      <c r="CBY750" s="574"/>
      <c r="CBZ750" s="574"/>
      <c r="CCA750" s="574"/>
      <c r="CCB750" s="574"/>
      <c r="CCC750" s="574"/>
      <c r="CCD750" s="574"/>
      <c r="CCE750" s="574"/>
      <c r="CCF750" s="574"/>
      <c r="CCG750" s="574"/>
      <c r="CCH750" s="574"/>
      <c r="CCI750" s="574"/>
      <c r="CCJ750" s="574"/>
      <c r="CCK750" s="574"/>
      <c r="CCL750" s="574"/>
      <c r="CCM750" s="574"/>
      <c r="CCN750" s="574"/>
      <c r="CCO750" s="574"/>
      <c r="CCP750" s="574"/>
      <c r="CCQ750" s="574"/>
      <c r="CCR750" s="574"/>
      <c r="CCS750" s="574"/>
      <c r="CCT750" s="574"/>
      <c r="CCU750" s="574"/>
      <c r="CCV750" s="574"/>
      <c r="CCW750" s="574"/>
      <c r="CCX750" s="574"/>
      <c r="CCY750" s="574"/>
      <c r="CCZ750" s="574"/>
      <c r="CDA750" s="574"/>
      <c r="CDB750" s="574"/>
      <c r="CDC750" s="574"/>
      <c r="CDD750" s="574"/>
      <c r="CDE750" s="574"/>
      <c r="CDF750" s="574"/>
      <c r="CDG750" s="574"/>
      <c r="CDH750" s="574"/>
      <c r="CDI750" s="574"/>
      <c r="CDJ750" s="574"/>
      <c r="CDK750" s="574"/>
      <c r="CDL750" s="574"/>
      <c r="CDM750" s="574"/>
      <c r="CDN750" s="574"/>
      <c r="CDO750" s="574"/>
      <c r="CDP750" s="574"/>
      <c r="CDQ750" s="574"/>
      <c r="CDR750" s="574"/>
      <c r="CDS750" s="574"/>
      <c r="CDT750" s="574"/>
      <c r="CDU750" s="574"/>
      <c r="CDV750" s="574"/>
      <c r="CDW750" s="574"/>
      <c r="CDX750" s="574"/>
      <c r="CDY750" s="574"/>
      <c r="CDZ750" s="574"/>
      <c r="CEA750" s="574"/>
      <c r="CEB750" s="574"/>
      <c r="CEC750" s="574"/>
      <c r="CED750" s="574"/>
      <c r="CEE750" s="574"/>
      <c r="CEF750" s="574"/>
      <c r="CEG750" s="574"/>
      <c r="CEH750" s="574"/>
      <c r="CEI750" s="574"/>
      <c r="CEJ750" s="574"/>
      <c r="CEK750" s="574"/>
      <c r="CEL750" s="574"/>
      <c r="CEM750" s="574"/>
      <c r="CEN750" s="574"/>
      <c r="CEO750" s="574"/>
      <c r="CEP750" s="574"/>
      <c r="CEQ750" s="574"/>
      <c r="CER750" s="574"/>
      <c r="CES750" s="574"/>
      <c r="CET750" s="574"/>
      <c r="CEU750" s="574"/>
      <c r="CEV750" s="574"/>
      <c r="CEW750" s="574"/>
      <c r="CEX750" s="574"/>
      <c r="CEY750" s="574"/>
      <c r="CEZ750" s="574"/>
      <c r="CFA750" s="574"/>
      <c r="CFB750" s="574"/>
      <c r="CFC750" s="574"/>
      <c r="CFD750" s="574"/>
      <c r="CFE750" s="574"/>
      <c r="CFF750" s="574"/>
      <c r="CFG750" s="574"/>
      <c r="CFH750" s="574"/>
      <c r="CFI750" s="574"/>
      <c r="CFJ750" s="574"/>
      <c r="CFK750" s="574"/>
      <c r="CFL750" s="574"/>
      <c r="CFM750" s="574"/>
      <c r="CFN750" s="574"/>
      <c r="CFO750" s="574"/>
      <c r="CFP750" s="574"/>
      <c r="CFQ750" s="574"/>
      <c r="CFR750" s="574"/>
      <c r="CFS750" s="574"/>
      <c r="CFT750" s="574"/>
      <c r="CFU750" s="574"/>
      <c r="CFV750" s="574"/>
      <c r="CFW750" s="574"/>
      <c r="CFX750" s="574"/>
      <c r="CFY750" s="574"/>
      <c r="CFZ750" s="574"/>
      <c r="CGA750" s="574"/>
      <c r="CGB750" s="574"/>
      <c r="CGC750" s="574"/>
      <c r="CGD750" s="574"/>
      <c r="CGE750" s="574"/>
      <c r="CGF750" s="574"/>
      <c r="CGG750" s="574"/>
      <c r="CGH750" s="574"/>
      <c r="CGI750" s="574"/>
      <c r="CGJ750" s="574"/>
      <c r="CGK750" s="574"/>
      <c r="CGL750" s="574"/>
      <c r="CGM750" s="574"/>
      <c r="CGN750" s="574"/>
      <c r="CGO750" s="574"/>
      <c r="CGP750" s="574"/>
      <c r="CGQ750" s="574"/>
      <c r="CGR750" s="574"/>
      <c r="CGS750" s="574"/>
      <c r="CGT750" s="574"/>
      <c r="CGU750" s="574"/>
      <c r="CGV750" s="574"/>
      <c r="CGW750" s="574"/>
      <c r="CGX750" s="574"/>
      <c r="CGY750" s="574"/>
      <c r="CGZ750" s="574"/>
      <c r="CHA750" s="574"/>
      <c r="CHB750" s="574"/>
      <c r="CHC750" s="574"/>
      <c r="CHD750" s="574"/>
      <c r="CHE750" s="574"/>
      <c r="CHF750" s="574"/>
      <c r="CHG750" s="574"/>
      <c r="CHH750" s="574"/>
      <c r="CHI750" s="574"/>
      <c r="CHJ750" s="574"/>
      <c r="CHK750" s="574"/>
      <c r="CHL750" s="574"/>
      <c r="CHM750" s="574"/>
      <c r="CHN750" s="574"/>
      <c r="CHO750" s="574"/>
      <c r="CHP750" s="574"/>
      <c r="CHQ750" s="574"/>
      <c r="CHR750" s="574"/>
      <c r="CHS750" s="574"/>
      <c r="CHT750" s="574"/>
      <c r="CHU750" s="574"/>
      <c r="CHV750" s="574"/>
      <c r="CHW750" s="574"/>
      <c r="CHX750" s="574"/>
      <c r="CHY750" s="574"/>
      <c r="CHZ750" s="574"/>
      <c r="CIA750" s="574"/>
      <c r="CIB750" s="574"/>
      <c r="CIC750" s="574"/>
      <c r="CID750" s="574"/>
      <c r="CIE750" s="574"/>
      <c r="CIF750" s="574"/>
      <c r="CIG750" s="574"/>
      <c r="CIH750" s="574"/>
      <c r="CII750" s="574"/>
      <c r="CIJ750" s="574"/>
      <c r="CIK750" s="574"/>
      <c r="CIL750" s="574"/>
      <c r="CIM750" s="574"/>
      <c r="CIN750" s="574"/>
      <c r="CIO750" s="574"/>
      <c r="CIP750" s="574"/>
      <c r="CIQ750" s="574"/>
      <c r="CIR750" s="574"/>
      <c r="CIS750" s="574"/>
      <c r="CIT750" s="574"/>
      <c r="CIU750" s="574"/>
      <c r="CIV750" s="574"/>
      <c r="CIW750" s="574"/>
      <c r="CIX750" s="574"/>
      <c r="CIY750" s="574"/>
      <c r="CIZ750" s="574"/>
      <c r="CJA750" s="574"/>
      <c r="CJB750" s="574"/>
      <c r="CJC750" s="574"/>
      <c r="CJD750" s="574"/>
      <c r="CJE750" s="574"/>
      <c r="CJF750" s="574"/>
      <c r="CJG750" s="574"/>
      <c r="CJH750" s="574"/>
      <c r="CJI750" s="574"/>
      <c r="CJJ750" s="574"/>
      <c r="CJK750" s="574"/>
      <c r="CJL750" s="574"/>
      <c r="CJM750" s="574"/>
      <c r="CJN750" s="574"/>
      <c r="CJO750" s="574"/>
      <c r="CJP750" s="574"/>
      <c r="CJQ750" s="574"/>
      <c r="CJR750" s="574"/>
      <c r="CJS750" s="574"/>
      <c r="CJT750" s="574"/>
      <c r="CJU750" s="574"/>
      <c r="CJV750" s="574"/>
      <c r="CJW750" s="574"/>
      <c r="CJX750" s="574"/>
      <c r="CJY750" s="574"/>
      <c r="CJZ750" s="574"/>
      <c r="CKA750" s="574"/>
      <c r="CKB750" s="574"/>
      <c r="CKC750" s="574"/>
      <c r="CKD750" s="574"/>
      <c r="CKE750" s="574"/>
      <c r="CKF750" s="574"/>
      <c r="CKG750" s="574"/>
      <c r="CKH750" s="574"/>
      <c r="CKI750" s="574"/>
      <c r="CKJ750" s="574"/>
      <c r="CKK750" s="574"/>
      <c r="CKL750" s="574"/>
      <c r="CKM750" s="574"/>
      <c r="CKN750" s="574"/>
      <c r="CKO750" s="574"/>
      <c r="CKP750" s="574"/>
      <c r="CKQ750" s="574"/>
      <c r="CKR750" s="574"/>
      <c r="CKS750" s="574"/>
      <c r="CKT750" s="574"/>
      <c r="CKU750" s="574"/>
      <c r="CKV750" s="574"/>
      <c r="CKW750" s="574"/>
      <c r="CKX750" s="574"/>
      <c r="CKY750" s="574"/>
      <c r="CKZ750" s="574"/>
      <c r="CLA750" s="574"/>
      <c r="CLB750" s="574"/>
      <c r="CLC750" s="574"/>
      <c r="CLD750" s="574"/>
      <c r="CLE750" s="574"/>
      <c r="CLF750" s="574"/>
      <c r="CLG750" s="574"/>
      <c r="CLH750" s="574"/>
      <c r="CLI750" s="574"/>
      <c r="CLJ750" s="574"/>
      <c r="CLK750" s="574"/>
      <c r="CLL750" s="574"/>
      <c r="CLM750" s="574"/>
      <c r="CLN750" s="574"/>
      <c r="CLO750" s="574"/>
      <c r="CLP750" s="574"/>
      <c r="CLQ750" s="574"/>
      <c r="CLR750" s="574"/>
      <c r="CLS750" s="574"/>
      <c r="CLT750" s="574"/>
      <c r="CLU750" s="574"/>
      <c r="CLV750" s="574"/>
      <c r="CLW750" s="574"/>
      <c r="CLX750" s="574"/>
      <c r="CLY750" s="574"/>
      <c r="CLZ750" s="574"/>
      <c r="CMA750" s="574"/>
      <c r="CMB750" s="574"/>
      <c r="CMC750" s="574"/>
      <c r="CMD750" s="574"/>
      <c r="CME750" s="574"/>
      <c r="CMF750" s="574"/>
      <c r="CMG750" s="574"/>
      <c r="CMH750" s="574"/>
      <c r="CMI750" s="574"/>
      <c r="CMJ750" s="574"/>
      <c r="CMK750" s="574"/>
      <c r="CML750" s="574"/>
      <c r="CMM750" s="574"/>
      <c r="CMN750" s="574"/>
      <c r="CMO750" s="574"/>
      <c r="CMP750" s="574"/>
      <c r="CMQ750" s="574"/>
      <c r="CMR750" s="574"/>
      <c r="CMS750" s="574"/>
      <c r="CMT750" s="574"/>
      <c r="CMU750" s="574"/>
      <c r="CMV750" s="574"/>
      <c r="CMW750" s="574"/>
      <c r="CMX750" s="574"/>
      <c r="CMY750" s="574"/>
      <c r="CMZ750" s="574"/>
      <c r="CNA750" s="574"/>
      <c r="CNB750" s="574"/>
      <c r="CNC750" s="574"/>
      <c r="CND750" s="574"/>
      <c r="CNE750" s="574"/>
      <c r="CNF750" s="574"/>
      <c r="CNG750" s="574"/>
      <c r="CNH750" s="574"/>
      <c r="CNI750" s="574"/>
      <c r="CNJ750" s="574"/>
      <c r="CNK750" s="574"/>
      <c r="CNL750" s="574"/>
      <c r="CNM750" s="574"/>
      <c r="CNN750" s="574"/>
      <c r="CNO750" s="574"/>
      <c r="CNP750" s="574"/>
      <c r="CNQ750" s="574"/>
      <c r="CNR750" s="574"/>
      <c r="CNS750" s="574"/>
      <c r="CNT750" s="574"/>
      <c r="CNU750" s="574"/>
      <c r="CNV750" s="574"/>
      <c r="CNW750" s="574"/>
      <c r="CNX750" s="574"/>
      <c r="CNY750" s="574"/>
      <c r="CNZ750" s="574"/>
      <c r="COA750" s="574"/>
      <c r="COB750" s="574"/>
      <c r="COC750" s="574"/>
      <c r="COD750" s="574"/>
      <c r="COE750" s="574"/>
      <c r="COF750" s="574"/>
      <c r="COG750" s="574"/>
      <c r="COH750" s="574"/>
      <c r="COI750" s="574"/>
      <c r="COJ750" s="574"/>
      <c r="COK750" s="574"/>
      <c r="COL750" s="574"/>
      <c r="COM750" s="574"/>
      <c r="CON750" s="574"/>
      <c r="COO750" s="574"/>
      <c r="COP750" s="574"/>
      <c r="COQ750" s="574"/>
      <c r="COR750" s="574"/>
      <c r="COS750" s="574"/>
      <c r="COT750" s="574"/>
      <c r="COU750" s="574"/>
      <c r="COV750" s="574"/>
      <c r="COW750" s="574"/>
      <c r="COX750" s="574"/>
      <c r="COY750" s="574"/>
      <c r="COZ750" s="574"/>
      <c r="CPA750" s="574"/>
      <c r="CPB750" s="574"/>
      <c r="CPC750" s="574"/>
      <c r="CPD750" s="574"/>
      <c r="CPE750" s="574"/>
      <c r="CPF750" s="574"/>
      <c r="CPG750" s="574"/>
      <c r="CPH750" s="574"/>
      <c r="CPI750" s="574"/>
      <c r="CPJ750" s="574"/>
      <c r="CPK750" s="574"/>
      <c r="CPL750" s="574"/>
      <c r="CPM750" s="574"/>
      <c r="CPN750" s="574"/>
      <c r="CPO750" s="574"/>
      <c r="CPP750" s="574"/>
      <c r="CPQ750" s="574"/>
      <c r="CPR750" s="574"/>
      <c r="CPS750" s="574"/>
      <c r="CPT750" s="574"/>
      <c r="CPU750" s="574"/>
      <c r="CPV750" s="574"/>
      <c r="CPW750" s="574"/>
      <c r="CPX750" s="574"/>
      <c r="CPY750" s="574"/>
      <c r="CPZ750" s="574"/>
      <c r="CQA750" s="574"/>
      <c r="CQB750" s="574"/>
      <c r="CQC750" s="574"/>
      <c r="CQD750" s="574"/>
      <c r="CQE750" s="574"/>
      <c r="CQF750" s="574"/>
      <c r="CQG750" s="574"/>
      <c r="CQH750" s="574"/>
      <c r="CQI750" s="574"/>
      <c r="CQJ750" s="574"/>
      <c r="CQK750" s="574"/>
      <c r="CQL750" s="574"/>
      <c r="CQM750" s="574"/>
      <c r="CQN750" s="574"/>
      <c r="CQO750" s="574"/>
      <c r="CQP750" s="574"/>
      <c r="CQQ750" s="574"/>
      <c r="CQR750" s="574"/>
      <c r="CQS750" s="574"/>
      <c r="CQT750" s="574"/>
      <c r="CQU750" s="574"/>
      <c r="CQV750" s="574"/>
      <c r="CQW750" s="574"/>
      <c r="CQX750" s="574"/>
      <c r="CQY750" s="574"/>
      <c r="CQZ750" s="574"/>
      <c r="CRA750" s="574"/>
      <c r="CRB750" s="574"/>
      <c r="CRC750" s="574"/>
      <c r="CRD750" s="574"/>
      <c r="CRE750" s="574"/>
      <c r="CRF750" s="574"/>
      <c r="CRG750" s="574"/>
      <c r="CRH750" s="574"/>
      <c r="CRI750" s="574"/>
      <c r="CRJ750" s="574"/>
      <c r="CRK750" s="574"/>
      <c r="CRL750" s="574"/>
      <c r="CRM750" s="574"/>
      <c r="CRN750" s="574"/>
      <c r="CRO750" s="574"/>
      <c r="CRP750" s="574"/>
      <c r="CRQ750" s="574"/>
      <c r="CRR750" s="574"/>
      <c r="CRS750" s="574"/>
      <c r="CRT750" s="574"/>
      <c r="CRU750" s="574"/>
      <c r="CRV750" s="574"/>
      <c r="CRW750" s="574"/>
      <c r="CRX750" s="574"/>
      <c r="CRY750" s="574"/>
      <c r="CRZ750" s="574"/>
      <c r="CSA750" s="574"/>
      <c r="CSB750" s="574"/>
      <c r="CSC750" s="574"/>
      <c r="CSD750" s="574"/>
      <c r="CSE750" s="574"/>
      <c r="CSF750" s="574"/>
      <c r="CSG750" s="574"/>
      <c r="CSH750" s="574"/>
      <c r="CSI750" s="574"/>
      <c r="CSJ750" s="574"/>
      <c r="CSK750" s="574"/>
      <c r="CSL750" s="574"/>
      <c r="CSM750" s="574"/>
      <c r="CSN750" s="574"/>
      <c r="CSO750" s="574"/>
      <c r="CSP750" s="574"/>
      <c r="CSQ750" s="574"/>
      <c r="CSR750" s="574"/>
      <c r="CSS750" s="574"/>
      <c r="CST750" s="574"/>
      <c r="CSU750" s="574"/>
      <c r="CSV750" s="574"/>
      <c r="CSW750" s="574"/>
      <c r="CSX750" s="574"/>
      <c r="CSY750" s="574"/>
      <c r="CSZ750" s="574"/>
      <c r="CTA750" s="574"/>
      <c r="CTB750" s="574"/>
      <c r="CTC750" s="574"/>
      <c r="CTD750" s="574"/>
      <c r="CTE750" s="574"/>
      <c r="CTF750" s="574"/>
      <c r="CTG750" s="574"/>
      <c r="CTH750" s="574"/>
      <c r="CTI750" s="574"/>
      <c r="CTJ750" s="574"/>
      <c r="CTK750" s="574"/>
      <c r="CTL750" s="574"/>
      <c r="CTM750" s="574"/>
      <c r="CTN750" s="574"/>
      <c r="CTO750" s="574"/>
      <c r="CTP750" s="574"/>
      <c r="CTQ750" s="574"/>
      <c r="CTR750" s="574"/>
      <c r="CTS750" s="574"/>
      <c r="CTT750" s="574"/>
      <c r="CTU750" s="574"/>
      <c r="CTV750" s="574"/>
      <c r="CTW750" s="574"/>
      <c r="CTX750" s="574"/>
      <c r="CTY750" s="574"/>
      <c r="CTZ750" s="574"/>
      <c r="CUA750" s="574"/>
      <c r="CUB750" s="574"/>
      <c r="CUC750" s="574"/>
      <c r="CUD750" s="574"/>
      <c r="CUE750" s="574"/>
      <c r="CUF750" s="574"/>
      <c r="CUG750" s="574"/>
      <c r="CUH750" s="574"/>
      <c r="CUI750" s="574"/>
      <c r="CUJ750" s="574"/>
      <c r="CUK750" s="574"/>
      <c r="CUL750" s="574"/>
      <c r="CUM750" s="574"/>
      <c r="CUN750" s="574"/>
      <c r="CUO750" s="574"/>
      <c r="CUP750" s="574"/>
      <c r="CUQ750" s="574"/>
      <c r="CUR750" s="574"/>
      <c r="CUS750" s="574"/>
      <c r="CUT750" s="574"/>
      <c r="CUU750" s="574"/>
      <c r="CUV750" s="574"/>
      <c r="CUW750" s="574"/>
      <c r="CUX750" s="574"/>
      <c r="CUY750" s="574"/>
      <c r="CUZ750" s="574"/>
      <c r="CVA750" s="574"/>
      <c r="CVB750" s="574"/>
      <c r="CVC750" s="574"/>
      <c r="CVD750" s="574"/>
      <c r="CVE750" s="574"/>
      <c r="CVF750" s="574"/>
      <c r="CVG750" s="574"/>
      <c r="CVH750" s="574"/>
      <c r="CVI750" s="574"/>
      <c r="CVJ750" s="574"/>
      <c r="CVK750" s="574"/>
      <c r="CVL750" s="574"/>
      <c r="CVM750" s="574"/>
      <c r="CVN750" s="574"/>
      <c r="CVO750" s="574"/>
      <c r="CVP750" s="574"/>
      <c r="CVQ750" s="574"/>
      <c r="CVR750" s="574"/>
      <c r="CVS750" s="574"/>
      <c r="CVT750" s="574"/>
      <c r="CVU750" s="574"/>
      <c r="CVV750" s="574"/>
      <c r="CVW750" s="574"/>
      <c r="CVX750" s="574"/>
      <c r="CVY750" s="574"/>
      <c r="CVZ750" s="574"/>
      <c r="CWA750" s="574"/>
      <c r="CWB750" s="574"/>
      <c r="CWC750" s="574"/>
      <c r="CWD750" s="574"/>
      <c r="CWE750" s="574"/>
      <c r="CWF750" s="574"/>
      <c r="CWG750" s="574"/>
      <c r="CWH750" s="574"/>
      <c r="CWI750" s="574"/>
      <c r="CWJ750" s="574"/>
      <c r="CWK750" s="574"/>
      <c r="CWL750" s="574"/>
      <c r="CWM750" s="574"/>
      <c r="CWN750" s="574"/>
      <c r="CWO750" s="574"/>
      <c r="CWP750" s="574"/>
      <c r="CWQ750" s="574"/>
      <c r="CWR750" s="574"/>
      <c r="CWS750" s="574"/>
      <c r="CWT750" s="574"/>
      <c r="CWU750" s="574"/>
      <c r="CWV750" s="574"/>
      <c r="CWW750" s="574"/>
      <c r="CWX750" s="574"/>
      <c r="CWY750" s="574"/>
      <c r="CWZ750" s="574"/>
      <c r="CXA750" s="574"/>
      <c r="CXB750" s="574"/>
      <c r="CXC750" s="574"/>
      <c r="CXD750" s="574"/>
      <c r="CXE750" s="574"/>
      <c r="CXF750" s="574"/>
      <c r="CXG750" s="574"/>
      <c r="CXH750" s="574"/>
      <c r="CXI750" s="574"/>
      <c r="CXJ750" s="574"/>
      <c r="CXK750" s="574"/>
      <c r="CXL750" s="574"/>
      <c r="CXM750" s="574"/>
      <c r="CXN750" s="574"/>
      <c r="CXO750" s="574"/>
      <c r="CXP750" s="574"/>
      <c r="CXQ750" s="574"/>
      <c r="CXR750" s="574"/>
      <c r="CXS750" s="574"/>
      <c r="CXT750" s="574"/>
      <c r="CXU750" s="574"/>
      <c r="CXV750" s="574"/>
      <c r="CXW750" s="574"/>
      <c r="CXX750" s="574"/>
      <c r="CXY750" s="574"/>
      <c r="CXZ750" s="574"/>
      <c r="CYA750" s="574"/>
      <c r="CYB750" s="574"/>
      <c r="CYC750" s="574"/>
      <c r="CYD750" s="574"/>
      <c r="CYE750" s="574"/>
      <c r="CYF750" s="574"/>
      <c r="CYG750" s="574"/>
      <c r="CYH750" s="574"/>
      <c r="CYI750" s="574"/>
      <c r="CYJ750" s="574"/>
      <c r="CYK750" s="574"/>
      <c r="CYL750" s="574"/>
      <c r="CYM750" s="574"/>
      <c r="CYN750" s="574"/>
      <c r="CYO750" s="574"/>
      <c r="CYP750" s="574"/>
      <c r="CYQ750" s="574"/>
      <c r="CYR750" s="574"/>
      <c r="CYS750" s="574"/>
      <c r="CYT750" s="574"/>
      <c r="CYU750" s="574"/>
      <c r="CYV750" s="574"/>
      <c r="CYW750" s="574"/>
      <c r="CYX750" s="574"/>
      <c r="CYY750" s="574"/>
      <c r="CYZ750" s="574"/>
      <c r="CZA750" s="574"/>
      <c r="CZB750" s="574"/>
      <c r="CZC750" s="574"/>
      <c r="CZD750" s="574"/>
      <c r="CZE750" s="574"/>
      <c r="CZF750" s="574"/>
      <c r="CZG750" s="574"/>
      <c r="CZH750" s="574"/>
      <c r="CZI750" s="574"/>
      <c r="CZJ750" s="574"/>
      <c r="CZK750" s="574"/>
      <c r="CZL750" s="574"/>
      <c r="CZM750" s="574"/>
      <c r="CZN750" s="574"/>
      <c r="CZO750" s="574"/>
      <c r="CZP750" s="574"/>
      <c r="CZQ750" s="574"/>
      <c r="CZR750" s="574"/>
      <c r="CZS750" s="574"/>
      <c r="CZT750" s="574"/>
      <c r="CZU750" s="574"/>
      <c r="CZV750" s="574"/>
      <c r="CZW750" s="574"/>
      <c r="CZX750" s="574"/>
      <c r="CZY750" s="574"/>
      <c r="CZZ750" s="574"/>
      <c r="DAA750" s="574"/>
      <c r="DAB750" s="574"/>
      <c r="DAC750" s="574"/>
      <c r="DAD750" s="574"/>
      <c r="DAE750" s="574"/>
      <c r="DAF750" s="574"/>
      <c r="DAG750" s="574"/>
      <c r="DAH750" s="574"/>
      <c r="DAI750" s="574"/>
      <c r="DAJ750" s="574"/>
      <c r="DAK750" s="574"/>
      <c r="DAL750" s="574"/>
      <c r="DAM750" s="574"/>
      <c r="DAN750" s="574"/>
      <c r="DAO750" s="574"/>
      <c r="DAP750" s="574"/>
      <c r="DAQ750" s="574"/>
      <c r="DAR750" s="574"/>
      <c r="DAS750" s="574"/>
      <c r="DAT750" s="574"/>
      <c r="DAU750" s="574"/>
      <c r="DAV750" s="574"/>
      <c r="DAW750" s="574"/>
      <c r="DAX750" s="574"/>
      <c r="DAY750" s="574"/>
      <c r="DAZ750" s="574"/>
      <c r="DBA750" s="574"/>
      <c r="DBB750" s="574"/>
      <c r="DBC750" s="574"/>
      <c r="DBD750" s="574"/>
      <c r="DBE750" s="574"/>
      <c r="DBF750" s="574"/>
      <c r="DBG750" s="574"/>
      <c r="DBH750" s="574"/>
      <c r="DBI750" s="574"/>
      <c r="DBJ750" s="574"/>
      <c r="DBK750" s="574"/>
      <c r="DBL750" s="574"/>
      <c r="DBM750" s="574"/>
      <c r="DBN750" s="574"/>
      <c r="DBO750" s="574"/>
      <c r="DBP750" s="574"/>
      <c r="DBQ750" s="574"/>
      <c r="DBR750" s="574"/>
      <c r="DBS750" s="574"/>
      <c r="DBT750" s="574"/>
      <c r="DBU750" s="574"/>
      <c r="DBV750" s="574"/>
      <c r="DBW750" s="574"/>
      <c r="DBX750" s="574"/>
      <c r="DBY750" s="574"/>
      <c r="DBZ750" s="574"/>
      <c r="DCA750" s="574"/>
      <c r="DCB750" s="574"/>
      <c r="DCC750" s="574"/>
      <c r="DCD750" s="574"/>
      <c r="DCE750" s="574"/>
      <c r="DCF750" s="574"/>
      <c r="DCG750" s="574"/>
      <c r="DCH750" s="574"/>
      <c r="DCI750" s="574"/>
      <c r="DCJ750" s="574"/>
      <c r="DCK750" s="574"/>
      <c r="DCL750" s="574"/>
      <c r="DCM750" s="574"/>
      <c r="DCN750" s="574"/>
      <c r="DCO750" s="574"/>
      <c r="DCP750" s="574"/>
      <c r="DCQ750" s="574"/>
      <c r="DCR750" s="574"/>
      <c r="DCS750" s="574"/>
      <c r="DCT750" s="574"/>
      <c r="DCU750" s="574"/>
      <c r="DCV750" s="574"/>
      <c r="DCW750" s="574"/>
      <c r="DCX750" s="574"/>
      <c r="DCY750" s="574"/>
      <c r="DCZ750" s="574"/>
      <c r="DDA750" s="574"/>
      <c r="DDB750" s="574"/>
      <c r="DDC750" s="574"/>
      <c r="DDD750" s="574"/>
      <c r="DDE750" s="574"/>
      <c r="DDF750" s="574"/>
      <c r="DDG750" s="574"/>
      <c r="DDH750" s="574"/>
      <c r="DDI750" s="574"/>
      <c r="DDJ750" s="574"/>
      <c r="DDK750" s="574"/>
      <c r="DDL750" s="574"/>
      <c r="DDM750" s="574"/>
      <c r="DDN750" s="574"/>
      <c r="DDO750" s="574"/>
      <c r="DDP750" s="574"/>
      <c r="DDQ750" s="574"/>
      <c r="DDR750" s="574"/>
      <c r="DDS750" s="574"/>
      <c r="DDT750" s="574"/>
      <c r="DDU750" s="574"/>
      <c r="DDV750" s="574"/>
      <c r="DDW750" s="574"/>
      <c r="DDX750" s="574"/>
      <c r="DDY750" s="574"/>
      <c r="DDZ750" s="574"/>
      <c r="DEA750" s="574"/>
      <c r="DEB750" s="574"/>
      <c r="DEC750" s="574"/>
      <c r="DED750" s="574"/>
      <c r="DEE750" s="574"/>
      <c r="DEF750" s="574"/>
      <c r="DEG750" s="574"/>
      <c r="DEH750" s="574"/>
      <c r="DEI750" s="574"/>
      <c r="DEJ750" s="574"/>
      <c r="DEK750" s="574"/>
      <c r="DEL750" s="574"/>
      <c r="DEM750" s="574"/>
      <c r="DEN750" s="574"/>
      <c r="DEO750" s="574"/>
      <c r="DEP750" s="574"/>
      <c r="DEQ750" s="574"/>
      <c r="DER750" s="574"/>
      <c r="DES750" s="574"/>
      <c r="DET750" s="574"/>
      <c r="DEU750" s="574"/>
      <c r="DEV750" s="574"/>
      <c r="DEW750" s="574"/>
      <c r="DEX750" s="574"/>
      <c r="DEY750" s="574"/>
      <c r="DEZ750" s="574"/>
      <c r="DFA750" s="574"/>
      <c r="DFB750" s="574"/>
      <c r="DFC750" s="574"/>
      <c r="DFD750" s="574"/>
      <c r="DFE750" s="574"/>
      <c r="DFF750" s="574"/>
      <c r="DFG750" s="574"/>
      <c r="DFH750" s="574"/>
      <c r="DFI750" s="574"/>
      <c r="DFJ750" s="574"/>
      <c r="DFK750" s="574"/>
      <c r="DFL750" s="574"/>
      <c r="DFM750" s="574"/>
      <c r="DFN750" s="574"/>
      <c r="DFO750" s="574"/>
      <c r="DFP750" s="574"/>
      <c r="DFQ750" s="574"/>
      <c r="DFR750" s="574"/>
      <c r="DFS750" s="574"/>
      <c r="DFT750" s="574"/>
      <c r="DFU750" s="574"/>
      <c r="DFV750" s="574"/>
      <c r="DFW750" s="574"/>
      <c r="DFX750" s="574"/>
      <c r="DFY750" s="574"/>
      <c r="DFZ750" s="574"/>
      <c r="DGA750" s="574"/>
      <c r="DGB750" s="574"/>
      <c r="DGC750" s="574"/>
      <c r="DGD750" s="574"/>
      <c r="DGE750" s="574"/>
      <c r="DGF750" s="574"/>
      <c r="DGG750" s="574"/>
      <c r="DGH750" s="574"/>
      <c r="DGI750" s="574"/>
      <c r="DGJ750" s="574"/>
      <c r="DGK750" s="574"/>
      <c r="DGL750" s="574"/>
      <c r="DGM750" s="574"/>
      <c r="DGN750" s="574"/>
      <c r="DGO750" s="574"/>
      <c r="DGP750" s="574"/>
      <c r="DGQ750" s="574"/>
      <c r="DGR750" s="574"/>
      <c r="DGS750" s="574"/>
      <c r="DGT750" s="574"/>
      <c r="DGU750" s="574"/>
      <c r="DGV750" s="574"/>
      <c r="DGW750" s="574"/>
      <c r="DGX750" s="574"/>
      <c r="DGY750" s="574"/>
      <c r="DGZ750" s="574"/>
      <c r="DHA750" s="574"/>
      <c r="DHB750" s="574"/>
      <c r="DHC750" s="574"/>
      <c r="DHD750" s="574"/>
      <c r="DHE750" s="574"/>
      <c r="DHF750" s="574"/>
      <c r="DHG750" s="574"/>
      <c r="DHH750" s="574"/>
      <c r="DHI750" s="574"/>
      <c r="DHJ750" s="574"/>
      <c r="DHK750" s="574"/>
      <c r="DHL750" s="574"/>
      <c r="DHM750" s="574"/>
      <c r="DHN750" s="574"/>
      <c r="DHO750" s="574"/>
      <c r="DHP750" s="574"/>
      <c r="DHQ750" s="574"/>
      <c r="DHR750" s="574"/>
      <c r="DHS750" s="574"/>
      <c r="DHT750" s="574"/>
      <c r="DHU750" s="574"/>
      <c r="DHV750" s="574"/>
      <c r="DHW750" s="574"/>
      <c r="DHX750" s="574"/>
      <c r="DHY750" s="574"/>
      <c r="DHZ750" s="574"/>
      <c r="DIA750" s="574"/>
      <c r="DIB750" s="574"/>
      <c r="DIC750" s="574"/>
      <c r="DID750" s="574"/>
      <c r="DIE750" s="574"/>
      <c r="DIF750" s="574"/>
      <c r="DIG750" s="574"/>
      <c r="DIH750" s="574"/>
      <c r="DII750" s="574"/>
      <c r="DIJ750" s="574"/>
      <c r="DIK750" s="574"/>
      <c r="DIL750" s="574"/>
      <c r="DIM750" s="574"/>
      <c r="DIN750" s="574"/>
      <c r="DIO750" s="574"/>
      <c r="DIP750" s="574"/>
      <c r="DIQ750" s="574"/>
      <c r="DIR750" s="574"/>
      <c r="DIS750" s="574"/>
      <c r="DIT750" s="574"/>
      <c r="DIU750" s="574"/>
      <c r="DIV750" s="574"/>
      <c r="DIW750" s="574"/>
      <c r="DIX750" s="574"/>
      <c r="DIY750" s="574"/>
      <c r="DIZ750" s="574"/>
      <c r="DJA750" s="574"/>
      <c r="DJB750" s="574"/>
      <c r="DJC750" s="574"/>
      <c r="DJD750" s="574"/>
      <c r="DJE750" s="574"/>
      <c r="DJF750" s="574"/>
      <c r="DJG750" s="574"/>
      <c r="DJH750" s="574"/>
      <c r="DJI750" s="574"/>
      <c r="DJJ750" s="574"/>
      <c r="DJK750" s="574"/>
      <c r="DJL750" s="574"/>
      <c r="DJM750" s="574"/>
      <c r="DJN750" s="574"/>
      <c r="DJO750" s="574"/>
      <c r="DJP750" s="574"/>
      <c r="DJQ750" s="574"/>
      <c r="DJR750" s="574"/>
      <c r="DJS750" s="574"/>
      <c r="DJT750" s="574"/>
      <c r="DJU750" s="574"/>
      <c r="DJV750" s="574"/>
      <c r="DJW750" s="574"/>
      <c r="DJX750" s="574"/>
      <c r="DJY750" s="574"/>
      <c r="DJZ750" s="574"/>
      <c r="DKA750" s="574"/>
      <c r="DKB750" s="574"/>
      <c r="DKC750" s="574"/>
      <c r="DKD750" s="574"/>
      <c r="DKE750" s="574"/>
      <c r="DKF750" s="574"/>
      <c r="DKG750" s="574"/>
      <c r="DKH750" s="574"/>
      <c r="DKI750" s="574"/>
      <c r="DKJ750" s="574"/>
      <c r="DKK750" s="574"/>
      <c r="DKL750" s="574"/>
      <c r="DKM750" s="574"/>
      <c r="DKN750" s="574"/>
      <c r="DKO750" s="574"/>
      <c r="DKP750" s="574"/>
      <c r="DKQ750" s="574"/>
      <c r="DKR750" s="574"/>
      <c r="DKS750" s="574"/>
      <c r="DKT750" s="574"/>
      <c r="DKU750" s="574"/>
      <c r="DKV750" s="574"/>
      <c r="DKW750" s="574"/>
      <c r="DKX750" s="574"/>
      <c r="DKY750" s="574"/>
      <c r="DKZ750" s="574"/>
      <c r="DLA750" s="574"/>
      <c r="DLB750" s="574"/>
      <c r="DLC750" s="574"/>
      <c r="DLD750" s="574"/>
      <c r="DLE750" s="574"/>
      <c r="DLF750" s="574"/>
      <c r="DLG750" s="574"/>
      <c r="DLH750" s="574"/>
      <c r="DLI750" s="574"/>
      <c r="DLJ750" s="574"/>
      <c r="DLK750" s="574"/>
      <c r="DLL750" s="574"/>
      <c r="DLM750" s="574"/>
      <c r="DLN750" s="574"/>
      <c r="DLO750" s="574"/>
      <c r="DLP750" s="574"/>
      <c r="DLQ750" s="574"/>
      <c r="DLR750" s="574"/>
      <c r="DLS750" s="574"/>
      <c r="DLT750" s="574"/>
      <c r="DLU750" s="574"/>
      <c r="DLV750" s="574"/>
      <c r="DLW750" s="574"/>
      <c r="DLX750" s="574"/>
      <c r="DLY750" s="574"/>
      <c r="DLZ750" s="574"/>
      <c r="DMA750" s="574"/>
      <c r="DMB750" s="574"/>
      <c r="DMC750" s="574"/>
      <c r="DMD750" s="574"/>
      <c r="DME750" s="574"/>
      <c r="DMF750" s="574"/>
      <c r="DMG750" s="574"/>
      <c r="DMH750" s="574"/>
      <c r="DMI750" s="574"/>
      <c r="DMJ750" s="574"/>
      <c r="DMK750" s="574"/>
      <c r="DML750" s="574"/>
      <c r="DMM750" s="574"/>
      <c r="DMN750" s="574"/>
      <c r="DMO750" s="574"/>
      <c r="DMP750" s="574"/>
      <c r="DMQ750" s="574"/>
      <c r="DMR750" s="574"/>
      <c r="DMS750" s="574"/>
      <c r="DMT750" s="574"/>
      <c r="DMU750" s="574"/>
      <c r="DMV750" s="574"/>
      <c r="DMW750" s="574"/>
      <c r="DMX750" s="574"/>
      <c r="DMY750" s="574"/>
      <c r="DMZ750" s="574"/>
      <c r="DNA750" s="574"/>
      <c r="DNB750" s="574"/>
      <c r="DNC750" s="574"/>
      <c r="DND750" s="574"/>
      <c r="DNE750" s="574"/>
      <c r="DNF750" s="574"/>
      <c r="DNG750" s="574"/>
      <c r="DNH750" s="574"/>
      <c r="DNI750" s="574"/>
      <c r="DNJ750" s="574"/>
      <c r="DNK750" s="574"/>
      <c r="DNL750" s="574"/>
      <c r="DNM750" s="574"/>
      <c r="DNN750" s="574"/>
      <c r="DNO750" s="574"/>
      <c r="DNP750" s="574"/>
      <c r="DNQ750" s="574"/>
      <c r="DNR750" s="574"/>
      <c r="DNS750" s="574"/>
      <c r="DNT750" s="574"/>
      <c r="DNU750" s="574"/>
      <c r="DNV750" s="574"/>
      <c r="DNW750" s="574"/>
      <c r="DNX750" s="574"/>
      <c r="DNY750" s="574"/>
      <c r="DNZ750" s="574"/>
      <c r="DOA750" s="574"/>
      <c r="DOB750" s="574"/>
      <c r="DOC750" s="574"/>
      <c r="DOD750" s="574"/>
      <c r="DOE750" s="574"/>
      <c r="DOF750" s="574"/>
      <c r="DOG750" s="574"/>
      <c r="DOH750" s="574"/>
      <c r="DOI750" s="574"/>
      <c r="DOJ750" s="574"/>
      <c r="DOK750" s="574"/>
      <c r="DOL750" s="574"/>
      <c r="DOM750" s="574"/>
      <c r="DON750" s="574"/>
      <c r="DOO750" s="574"/>
      <c r="DOP750" s="574"/>
      <c r="DOQ750" s="574"/>
      <c r="DOR750" s="574"/>
      <c r="DOS750" s="574"/>
      <c r="DOT750" s="574"/>
      <c r="DOU750" s="574"/>
      <c r="DOV750" s="574"/>
      <c r="DOW750" s="574"/>
      <c r="DOX750" s="574"/>
      <c r="DOY750" s="574"/>
      <c r="DOZ750" s="574"/>
      <c r="DPA750" s="574"/>
      <c r="DPB750" s="574"/>
      <c r="DPC750" s="574"/>
      <c r="DPD750" s="574"/>
      <c r="DPE750" s="574"/>
      <c r="DPF750" s="574"/>
      <c r="DPG750" s="574"/>
      <c r="DPH750" s="574"/>
      <c r="DPI750" s="574"/>
      <c r="DPJ750" s="574"/>
      <c r="DPK750" s="574"/>
      <c r="DPL750" s="574"/>
      <c r="DPM750" s="574"/>
      <c r="DPN750" s="574"/>
      <c r="DPO750" s="574"/>
      <c r="DPP750" s="574"/>
      <c r="DPQ750" s="574"/>
      <c r="DPR750" s="574"/>
      <c r="DPS750" s="574"/>
      <c r="DPT750" s="574"/>
      <c r="DPU750" s="574"/>
      <c r="DPV750" s="574"/>
      <c r="DPW750" s="574"/>
      <c r="DPX750" s="574"/>
      <c r="DPY750" s="574"/>
      <c r="DPZ750" s="574"/>
      <c r="DQA750" s="574"/>
      <c r="DQB750" s="574"/>
      <c r="DQC750" s="574"/>
      <c r="DQD750" s="574"/>
      <c r="DQE750" s="574"/>
      <c r="DQF750" s="574"/>
      <c r="DQG750" s="574"/>
      <c r="DQH750" s="574"/>
      <c r="DQI750" s="574"/>
      <c r="DQJ750" s="574"/>
      <c r="DQK750" s="574"/>
      <c r="DQL750" s="574"/>
      <c r="DQM750" s="574"/>
      <c r="DQN750" s="574"/>
      <c r="DQO750" s="574"/>
      <c r="DQP750" s="574"/>
      <c r="DQQ750" s="574"/>
      <c r="DQR750" s="574"/>
      <c r="DQS750" s="574"/>
      <c r="DQT750" s="574"/>
      <c r="DQU750" s="574"/>
      <c r="DQV750" s="574"/>
      <c r="DQW750" s="574"/>
      <c r="DQX750" s="574"/>
      <c r="DQY750" s="574"/>
      <c r="DQZ750" s="574"/>
      <c r="DRA750" s="574"/>
      <c r="DRB750" s="574"/>
      <c r="DRC750" s="574"/>
      <c r="DRD750" s="574"/>
      <c r="DRE750" s="574"/>
      <c r="DRF750" s="574"/>
      <c r="DRG750" s="574"/>
      <c r="DRH750" s="574"/>
      <c r="DRI750" s="574"/>
      <c r="DRJ750" s="574"/>
      <c r="DRK750" s="574"/>
      <c r="DRL750" s="574"/>
      <c r="DRM750" s="574"/>
      <c r="DRN750" s="574"/>
      <c r="DRO750" s="574"/>
      <c r="DRP750" s="574"/>
      <c r="DRQ750" s="574"/>
      <c r="DRR750" s="574"/>
      <c r="DRS750" s="574"/>
      <c r="DRT750" s="574"/>
      <c r="DRU750" s="574"/>
      <c r="DRV750" s="574"/>
      <c r="DRW750" s="574"/>
      <c r="DRX750" s="574"/>
      <c r="DRY750" s="574"/>
      <c r="DRZ750" s="574"/>
      <c r="DSA750" s="574"/>
      <c r="DSB750" s="574"/>
      <c r="DSC750" s="574"/>
      <c r="DSD750" s="574"/>
      <c r="DSE750" s="574"/>
      <c r="DSF750" s="574"/>
      <c r="DSG750" s="574"/>
      <c r="DSH750" s="574"/>
      <c r="DSI750" s="574"/>
      <c r="DSJ750" s="574"/>
      <c r="DSK750" s="574"/>
      <c r="DSL750" s="574"/>
      <c r="DSM750" s="574"/>
      <c r="DSN750" s="574"/>
      <c r="DSO750" s="574"/>
      <c r="DSP750" s="574"/>
      <c r="DSQ750" s="574"/>
      <c r="DSR750" s="574"/>
      <c r="DSS750" s="574"/>
      <c r="DST750" s="574"/>
      <c r="DSU750" s="574"/>
      <c r="DSV750" s="574"/>
      <c r="DSW750" s="574"/>
      <c r="DSX750" s="574"/>
      <c r="DSY750" s="574"/>
      <c r="DSZ750" s="574"/>
      <c r="DTA750" s="574"/>
      <c r="DTB750" s="574"/>
      <c r="DTC750" s="574"/>
      <c r="DTD750" s="574"/>
      <c r="DTE750" s="574"/>
      <c r="DTF750" s="574"/>
      <c r="DTG750" s="574"/>
      <c r="DTH750" s="574"/>
      <c r="DTI750" s="574"/>
      <c r="DTJ750" s="574"/>
      <c r="DTK750" s="574"/>
      <c r="DTL750" s="574"/>
      <c r="DTM750" s="574"/>
      <c r="DTN750" s="574"/>
      <c r="DTO750" s="574"/>
      <c r="DTP750" s="574"/>
      <c r="DTQ750" s="574"/>
      <c r="DTR750" s="574"/>
      <c r="DTS750" s="574"/>
      <c r="DTT750" s="574"/>
      <c r="DTU750" s="574"/>
      <c r="DTV750" s="574"/>
      <c r="DTW750" s="574"/>
      <c r="DTX750" s="574"/>
      <c r="DTY750" s="574"/>
      <c r="DTZ750" s="574"/>
      <c r="DUA750" s="574"/>
      <c r="DUB750" s="574"/>
      <c r="DUC750" s="574"/>
      <c r="DUD750" s="574"/>
      <c r="DUE750" s="574"/>
      <c r="DUF750" s="574"/>
      <c r="DUG750" s="574"/>
      <c r="DUH750" s="574"/>
      <c r="DUI750" s="574"/>
      <c r="DUJ750" s="574"/>
      <c r="DUK750" s="574"/>
      <c r="DUL750" s="574"/>
      <c r="DUM750" s="574"/>
      <c r="DUN750" s="574"/>
      <c r="DUO750" s="574"/>
      <c r="DUP750" s="574"/>
      <c r="DUQ750" s="574"/>
      <c r="DUR750" s="574"/>
      <c r="DUS750" s="574"/>
      <c r="DUT750" s="574"/>
      <c r="DUU750" s="574"/>
      <c r="DUV750" s="574"/>
      <c r="DUW750" s="574"/>
      <c r="DUX750" s="574"/>
      <c r="DUY750" s="574"/>
      <c r="DUZ750" s="574"/>
      <c r="DVA750" s="574"/>
      <c r="DVB750" s="574"/>
      <c r="DVC750" s="574"/>
      <c r="DVD750" s="574"/>
      <c r="DVE750" s="574"/>
      <c r="DVF750" s="574"/>
      <c r="DVG750" s="574"/>
      <c r="DVH750" s="574"/>
      <c r="DVI750" s="574"/>
      <c r="DVJ750" s="574"/>
      <c r="DVK750" s="574"/>
      <c r="DVL750" s="574"/>
      <c r="DVM750" s="574"/>
      <c r="DVN750" s="574"/>
      <c r="DVO750" s="574"/>
      <c r="DVP750" s="574"/>
      <c r="DVQ750" s="574"/>
      <c r="DVR750" s="574"/>
      <c r="DVS750" s="574"/>
      <c r="DVT750" s="574"/>
      <c r="DVU750" s="574"/>
      <c r="DVV750" s="574"/>
      <c r="DVW750" s="574"/>
      <c r="DVX750" s="574"/>
      <c r="DVY750" s="574"/>
      <c r="DVZ750" s="574"/>
      <c r="DWA750" s="574"/>
      <c r="DWB750" s="574"/>
      <c r="DWC750" s="574"/>
      <c r="DWD750" s="574"/>
      <c r="DWE750" s="574"/>
      <c r="DWF750" s="574"/>
      <c r="DWG750" s="574"/>
      <c r="DWH750" s="574"/>
      <c r="DWI750" s="574"/>
      <c r="DWJ750" s="574"/>
      <c r="DWK750" s="574"/>
      <c r="DWL750" s="574"/>
      <c r="DWM750" s="574"/>
      <c r="DWN750" s="574"/>
      <c r="DWO750" s="574"/>
      <c r="DWP750" s="574"/>
      <c r="DWQ750" s="574"/>
      <c r="DWR750" s="574"/>
      <c r="DWS750" s="574"/>
      <c r="DWT750" s="574"/>
      <c r="DWU750" s="574"/>
      <c r="DWV750" s="574"/>
      <c r="DWW750" s="574"/>
      <c r="DWX750" s="574"/>
      <c r="DWY750" s="574"/>
      <c r="DWZ750" s="574"/>
      <c r="DXA750" s="574"/>
      <c r="DXB750" s="574"/>
      <c r="DXC750" s="574"/>
      <c r="DXD750" s="574"/>
      <c r="DXE750" s="574"/>
      <c r="DXF750" s="574"/>
      <c r="DXG750" s="574"/>
      <c r="DXH750" s="574"/>
      <c r="DXI750" s="574"/>
      <c r="DXJ750" s="574"/>
      <c r="DXK750" s="574"/>
      <c r="DXL750" s="574"/>
      <c r="DXM750" s="574"/>
      <c r="DXN750" s="574"/>
      <c r="DXO750" s="574"/>
      <c r="DXP750" s="574"/>
      <c r="DXQ750" s="574"/>
      <c r="DXR750" s="574"/>
      <c r="DXS750" s="574"/>
      <c r="DXT750" s="574"/>
      <c r="DXU750" s="574"/>
      <c r="DXV750" s="574"/>
      <c r="DXW750" s="574"/>
      <c r="DXX750" s="574"/>
      <c r="DXY750" s="574"/>
      <c r="DXZ750" s="574"/>
      <c r="DYA750" s="574"/>
      <c r="DYB750" s="574"/>
      <c r="DYC750" s="574"/>
      <c r="DYD750" s="574"/>
      <c r="DYE750" s="574"/>
      <c r="DYF750" s="574"/>
      <c r="DYG750" s="574"/>
      <c r="DYH750" s="574"/>
      <c r="DYI750" s="574"/>
      <c r="DYJ750" s="574"/>
      <c r="DYK750" s="574"/>
      <c r="DYL750" s="574"/>
      <c r="DYM750" s="574"/>
      <c r="DYN750" s="574"/>
      <c r="DYO750" s="574"/>
      <c r="DYP750" s="574"/>
      <c r="DYQ750" s="574"/>
      <c r="DYR750" s="574"/>
      <c r="DYS750" s="574"/>
      <c r="DYT750" s="574"/>
      <c r="DYU750" s="574"/>
      <c r="DYV750" s="574"/>
      <c r="DYW750" s="574"/>
      <c r="DYX750" s="574"/>
      <c r="DYY750" s="574"/>
      <c r="DYZ750" s="574"/>
      <c r="DZA750" s="574"/>
      <c r="DZB750" s="574"/>
      <c r="DZC750" s="574"/>
      <c r="DZD750" s="574"/>
      <c r="DZE750" s="574"/>
      <c r="DZF750" s="574"/>
      <c r="DZG750" s="574"/>
      <c r="DZH750" s="574"/>
      <c r="DZI750" s="574"/>
      <c r="DZJ750" s="574"/>
      <c r="DZK750" s="574"/>
      <c r="DZL750" s="574"/>
      <c r="DZM750" s="574"/>
      <c r="DZN750" s="574"/>
      <c r="DZO750" s="574"/>
      <c r="DZP750" s="574"/>
      <c r="DZQ750" s="574"/>
      <c r="DZR750" s="574"/>
      <c r="DZS750" s="574"/>
      <c r="DZT750" s="574"/>
      <c r="DZU750" s="574"/>
      <c r="DZV750" s="574"/>
      <c r="DZW750" s="574"/>
      <c r="DZX750" s="574"/>
      <c r="DZY750" s="574"/>
      <c r="DZZ750" s="574"/>
      <c r="EAA750" s="574"/>
      <c r="EAB750" s="574"/>
      <c r="EAC750" s="574"/>
      <c r="EAD750" s="574"/>
      <c r="EAE750" s="574"/>
      <c r="EAF750" s="574"/>
      <c r="EAG750" s="574"/>
      <c r="EAH750" s="574"/>
      <c r="EAI750" s="574"/>
      <c r="EAJ750" s="574"/>
      <c r="EAK750" s="574"/>
      <c r="EAL750" s="574"/>
      <c r="EAM750" s="574"/>
      <c r="EAN750" s="574"/>
      <c r="EAO750" s="574"/>
      <c r="EAP750" s="574"/>
      <c r="EAQ750" s="574"/>
      <c r="EAR750" s="574"/>
      <c r="EAS750" s="574"/>
      <c r="EAT750" s="574"/>
      <c r="EAU750" s="574"/>
      <c r="EAV750" s="574"/>
      <c r="EAW750" s="574"/>
      <c r="EAX750" s="574"/>
      <c r="EAY750" s="574"/>
      <c r="EAZ750" s="574"/>
      <c r="EBA750" s="574"/>
      <c r="EBB750" s="574"/>
      <c r="EBC750" s="574"/>
      <c r="EBD750" s="574"/>
      <c r="EBE750" s="574"/>
      <c r="EBF750" s="574"/>
      <c r="EBG750" s="574"/>
      <c r="EBH750" s="574"/>
      <c r="EBI750" s="574"/>
      <c r="EBJ750" s="574"/>
      <c r="EBK750" s="574"/>
      <c r="EBL750" s="574"/>
      <c r="EBM750" s="574"/>
      <c r="EBN750" s="574"/>
      <c r="EBO750" s="574"/>
      <c r="EBP750" s="574"/>
      <c r="EBQ750" s="574"/>
      <c r="EBR750" s="574"/>
      <c r="EBS750" s="574"/>
      <c r="EBT750" s="574"/>
      <c r="EBU750" s="574"/>
      <c r="EBV750" s="574"/>
      <c r="EBW750" s="574"/>
      <c r="EBX750" s="574"/>
      <c r="EBY750" s="574"/>
      <c r="EBZ750" s="574"/>
      <c r="ECA750" s="574"/>
      <c r="ECB750" s="574"/>
      <c r="ECC750" s="574"/>
      <c r="ECD750" s="574"/>
      <c r="ECE750" s="574"/>
      <c r="ECF750" s="574"/>
      <c r="ECG750" s="574"/>
      <c r="ECH750" s="574"/>
      <c r="ECI750" s="574"/>
      <c r="ECJ750" s="574"/>
      <c r="ECK750" s="574"/>
      <c r="ECL750" s="574"/>
      <c r="ECM750" s="574"/>
      <c r="ECN750" s="574"/>
      <c r="ECO750" s="574"/>
      <c r="ECP750" s="574"/>
      <c r="ECQ750" s="574"/>
      <c r="ECR750" s="574"/>
      <c r="ECS750" s="574"/>
      <c r="ECT750" s="574"/>
      <c r="ECU750" s="574"/>
      <c r="ECV750" s="574"/>
      <c r="ECW750" s="574"/>
      <c r="ECX750" s="574"/>
      <c r="ECY750" s="574"/>
      <c r="ECZ750" s="574"/>
      <c r="EDA750" s="574"/>
      <c r="EDB750" s="574"/>
      <c r="EDC750" s="574"/>
      <c r="EDD750" s="574"/>
      <c r="EDE750" s="574"/>
      <c r="EDF750" s="574"/>
      <c r="EDG750" s="574"/>
      <c r="EDH750" s="574"/>
      <c r="EDI750" s="574"/>
      <c r="EDJ750" s="574"/>
      <c r="EDK750" s="574"/>
      <c r="EDL750" s="574"/>
      <c r="EDM750" s="574"/>
      <c r="EDN750" s="574"/>
      <c r="EDO750" s="574"/>
      <c r="EDP750" s="574"/>
      <c r="EDQ750" s="574"/>
      <c r="EDR750" s="574"/>
      <c r="EDS750" s="574"/>
      <c r="EDT750" s="574"/>
      <c r="EDU750" s="574"/>
      <c r="EDV750" s="574"/>
      <c r="EDW750" s="574"/>
      <c r="EDX750" s="574"/>
      <c r="EDY750" s="574"/>
      <c r="EDZ750" s="574"/>
      <c r="EEA750" s="574"/>
      <c r="EEB750" s="574"/>
      <c r="EEC750" s="574"/>
      <c r="EED750" s="574"/>
      <c r="EEE750" s="574"/>
      <c r="EEF750" s="574"/>
      <c r="EEG750" s="574"/>
      <c r="EEH750" s="574"/>
      <c r="EEI750" s="574"/>
      <c r="EEJ750" s="574"/>
      <c r="EEK750" s="574"/>
      <c r="EEL750" s="574"/>
      <c r="EEM750" s="574"/>
      <c r="EEN750" s="574"/>
      <c r="EEO750" s="574"/>
      <c r="EEP750" s="574"/>
      <c r="EEQ750" s="574"/>
      <c r="EER750" s="574"/>
      <c r="EES750" s="574"/>
      <c r="EET750" s="574"/>
      <c r="EEU750" s="574"/>
      <c r="EEV750" s="574"/>
      <c r="EEW750" s="574"/>
      <c r="EEX750" s="574"/>
      <c r="EEY750" s="574"/>
      <c r="EEZ750" s="574"/>
      <c r="EFA750" s="574"/>
      <c r="EFB750" s="574"/>
      <c r="EFC750" s="574"/>
      <c r="EFD750" s="574"/>
      <c r="EFE750" s="574"/>
      <c r="EFF750" s="574"/>
      <c r="EFG750" s="574"/>
      <c r="EFH750" s="574"/>
      <c r="EFI750" s="574"/>
      <c r="EFJ750" s="574"/>
      <c r="EFK750" s="574"/>
      <c r="EFL750" s="574"/>
      <c r="EFM750" s="574"/>
      <c r="EFN750" s="574"/>
      <c r="EFO750" s="574"/>
      <c r="EFP750" s="574"/>
      <c r="EFQ750" s="574"/>
      <c r="EFR750" s="574"/>
      <c r="EFS750" s="574"/>
      <c r="EFT750" s="574"/>
      <c r="EFU750" s="574"/>
      <c r="EFV750" s="574"/>
      <c r="EFW750" s="574"/>
      <c r="EFX750" s="574"/>
      <c r="EFY750" s="574"/>
      <c r="EFZ750" s="574"/>
      <c r="EGA750" s="574"/>
      <c r="EGB750" s="574"/>
      <c r="EGC750" s="574"/>
      <c r="EGD750" s="574"/>
      <c r="EGE750" s="574"/>
      <c r="EGF750" s="574"/>
      <c r="EGG750" s="574"/>
      <c r="EGH750" s="574"/>
      <c r="EGI750" s="574"/>
      <c r="EGJ750" s="574"/>
      <c r="EGK750" s="574"/>
      <c r="EGL750" s="574"/>
      <c r="EGM750" s="574"/>
      <c r="EGN750" s="574"/>
      <c r="EGO750" s="574"/>
      <c r="EGP750" s="574"/>
      <c r="EGQ750" s="574"/>
      <c r="EGR750" s="574"/>
      <c r="EGS750" s="574"/>
      <c r="EGT750" s="574"/>
      <c r="EGU750" s="574"/>
      <c r="EGV750" s="574"/>
      <c r="EGW750" s="574"/>
      <c r="EGX750" s="574"/>
      <c r="EGY750" s="574"/>
      <c r="EGZ750" s="574"/>
      <c r="EHA750" s="574"/>
      <c r="EHB750" s="574"/>
      <c r="EHC750" s="574"/>
      <c r="EHD750" s="574"/>
      <c r="EHE750" s="574"/>
      <c r="EHF750" s="574"/>
      <c r="EHG750" s="574"/>
      <c r="EHH750" s="574"/>
      <c r="EHI750" s="574"/>
      <c r="EHJ750" s="574"/>
      <c r="EHK750" s="574"/>
      <c r="EHL750" s="574"/>
      <c r="EHM750" s="574"/>
      <c r="EHN750" s="574"/>
      <c r="EHO750" s="574"/>
      <c r="EHP750" s="574"/>
      <c r="EHQ750" s="574"/>
      <c r="EHR750" s="574"/>
      <c r="EHS750" s="574"/>
      <c r="EHT750" s="574"/>
      <c r="EHU750" s="574"/>
      <c r="EHV750" s="574"/>
      <c r="EHW750" s="574"/>
      <c r="EHX750" s="574"/>
      <c r="EHY750" s="574"/>
      <c r="EHZ750" s="574"/>
      <c r="EIA750" s="574"/>
      <c r="EIB750" s="574"/>
      <c r="EIC750" s="574"/>
      <c r="EID750" s="574"/>
      <c r="EIE750" s="574"/>
      <c r="EIF750" s="574"/>
      <c r="EIG750" s="574"/>
      <c r="EIH750" s="574"/>
      <c r="EII750" s="574"/>
      <c r="EIJ750" s="574"/>
      <c r="EIK750" s="574"/>
      <c r="EIL750" s="574"/>
      <c r="EIM750" s="574"/>
      <c r="EIN750" s="574"/>
      <c r="EIO750" s="574"/>
      <c r="EIP750" s="574"/>
      <c r="EIQ750" s="574"/>
      <c r="EIR750" s="574"/>
      <c r="EIS750" s="574"/>
      <c r="EIT750" s="574"/>
      <c r="EIU750" s="574"/>
      <c r="EIV750" s="574"/>
      <c r="EIW750" s="574"/>
      <c r="EIX750" s="574"/>
      <c r="EIY750" s="574"/>
      <c r="EIZ750" s="574"/>
      <c r="EJA750" s="574"/>
      <c r="EJB750" s="574"/>
      <c r="EJC750" s="574"/>
      <c r="EJD750" s="574"/>
      <c r="EJE750" s="574"/>
      <c r="EJF750" s="574"/>
      <c r="EJG750" s="574"/>
      <c r="EJH750" s="574"/>
      <c r="EJI750" s="574"/>
      <c r="EJJ750" s="574"/>
      <c r="EJK750" s="574"/>
      <c r="EJL750" s="574"/>
      <c r="EJM750" s="574"/>
      <c r="EJN750" s="574"/>
      <c r="EJO750" s="574"/>
      <c r="EJP750" s="574"/>
      <c r="EJQ750" s="574"/>
      <c r="EJR750" s="574"/>
      <c r="EJS750" s="574"/>
      <c r="EJT750" s="574"/>
      <c r="EJU750" s="574"/>
      <c r="EJV750" s="574"/>
      <c r="EJW750" s="574"/>
      <c r="EJX750" s="574"/>
      <c r="EJY750" s="574"/>
      <c r="EJZ750" s="574"/>
      <c r="EKA750" s="574"/>
      <c r="EKB750" s="574"/>
      <c r="EKC750" s="574"/>
      <c r="EKD750" s="574"/>
      <c r="EKE750" s="574"/>
      <c r="EKF750" s="574"/>
      <c r="EKG750" s="574"/>
      <c r="EKH750" s="574"/>
      <c r="EKI750" s="574"/>
      <c r="EKJ750" s="574"/>
      <c r="EKK750" s="574"/>
      <c r="EKL750" s="574"/>
      <c r="EKM750" s="574"/>
      <c r="EKN750" s="574"/>
      <c r="EKO750" s="574"/>
      <c r="EKP750" s="574"/>
      <c r="EKQ750" s="574"/>
      <c r="EKR750" s="574"/>
      <c r="EKS750" s="574"/>
      <c r="EKT750" s="574"/>
      <c r="EKU750" s="574"/>
      <c r="EKV750" s="574"/>
      <c r="EKW750" s="574"/>
      <c r="EKX750" s="574"/>
      <c r="EKY750" s="574"/>
      <c r="EKZ750" s="574"/>
      <c r="ELA750" s="574"/>
      <c r="ELB750" s="574"/>
      <c r="ELC750" s="574"/>
      <c r="ELD750" s="574"/>
      <c r="ELE750" s="574"/>
      <c r="ELF750" s="574"/>
      <c r="ELG750" s="574"/>
      <c r="ELH750" s="574"/>
      <c r="ELI750" s="574"/>
      <c r="ELJ750" s="574"/>
      <c r="ELK750" s="574"/>
      <c r="ELL750" s="574"/>
      <c r="ELM750" s="574"/>
      <c r="ELN750" s="574"/>
      <c r="ELO750" s="574"/>
      <c r="ELP750" s="574"/>
      <c r="ELQ750" s="574"/>
      <c r="ELR750" s="574"/>
      <c r="ELS750" s="574"/>
      <c r="ELT750" s="574"/>
      <c r="ELU750" s="574"/>
      <c r="ELV750" s="574"/>
      <c r="ELW750" s="574"/>
      <c r="ELX750" s="574"/>
      <c r="ELY750" s="574"/>
      <c r="ELZ750" s="574"/>
      <c r="EMA750" s="574"/>
      <c r="EMB750" s="574"/>
      <c r="EMC750" s="574"/>
      <c r="EMD750" s="574"/>
      <c r="EME750" s="574"/>
      <c r="EMF750" s="574"/>
      <c r="EMG750" s="574"/>
      <c r="EMH750" s="574"/>
      <c r="EMI750" s="574"/>
      <c r="EMJ750" s="574"/>
      <c r="EMK750" s="574"/>
      <c r="EML750" s="574"/>
      <c r="EMM750" s="574"/>
      <c r="EMN750" s="574"/>
      <c r="EMO750" s="574"/>
      <c r="EMP750" s="574"/>
      <c r="EMQ750" s="574"/>
      <c r="EMR750" s="574"/>
      <c r="EMS750" s="574"/>
      <c r="EMT750" s="574"/>
      <c r="EMU750" s="574"/>
      <c r="EMV750" s="574"/>
      <c r="EMW750" s="574"/>
      <c r="EMX750" s="574"/>
      <c r="EMY750" s="574"/>
      <c r="EMZ750" s="574"/>
      <c r="ENA750" s="574"/>
      <c r="ENB750" s="574"/>
      <c r="ENC750" s="574"/>
      <c r="END750" s="574"/>
      <c r="ENE750" s="574"/>
      <c r="ENF750" s="574"/>
      <c r="ENG750" s="574"/>
      <c r="ENH750" s="574"/>
      <c r="ENI750" s="574"/>
      <c r="ENJ750" s="574"/>
      <c r="ENK750" s="574"/>
      <c r="ENL750" s="574"/>
      <c r="ENM750" s="574"/>
      <c r="ENN750" s="574"/>
      <c r="ENO750" s="574"/>
      <c r="ENP750" s="574"/>
      <c r="ENQ750" s="574"/>
      <c r="ENR750" s="574"/>
      <c r="ENS750" s="574"/>
      <c r="ENT750" s="574"/>
      <c r="ENU750" s="574"/>
      <c r="ENV750" s="574"/>
      <c r="ENW750" s="574"/>
      <c r="ENX750" s="574"/>
      <c r="ENY750" s="574"/>
      <c r="ENZ750" s="574"/>
      <c r="EOA750" s="574"/>
      <c r="EOB750" s="574"/>
      <c r="EOC750" s="574"/>
      <c r="EOD750" s="574"/>
      <c r="EOE750" s="574"/>
      <c r="EOF750" s="574"/>
      <c r="EOG750" s="574"/>
      <c r="EOH750" s="574"/>
      <c r="EOI750" s="574"/>
      <c r="EOJ750" s="574"/>
      <c r="EOK750" s="574"/>
      <c r="EOL750" s="574"/>
      <c r="EOM750" s="574"/>
      <c r="EON750" s="574"/>
      <c r="EOO750" s="574"/>
      <c r="EOP750" s="574"/>
      <c r="EOQ750" s="574"/>
      <c r="EOR750" s="574"/>
      <c r="EOS750" s="574"/>
      <c r="EOT750" s="574"/>
      <c r="EOU750" s="574"/>
      <c r="EOV750" s="574"/>
      <c r="EOW750" s="574"/>
      <c r="EOX750" s="574"/>
      <c r="EOY750" s="574"/>
      <c r="EOZ750" s="574"/>
      <c r="EPA750" s="574"/>
      <c r="EPB750" s="574"/>
      <c r="EPC750" s="574"/>
      <c r="EPD750" s="574"/>
      <c r="EPE750" s="574"/>
      <c r="EPF750" s="574"/>
      <c r="EPG750" s="574"/>
      <c r="EPH750" s="574"/>
      <c r="EPI750" s="574"/>
      <c r="EPJ750" s="574"/>
      <c r="EPK750" s="574"/>
      <c r="EPL750" s="574"/>
      <c r="EPM750" s="574"/>
      <c r="EPN750" s="574"/>
      <c r="EPO750" s="574"/>
      <c r="EPP750" s="574"/>
      <c r="EPQ750" s="574"/>
      <c r="EPR750" s="574"/>
      <c r="EPS750" s="574"/>
      <c r="EPT750" s="574"/>
      <c r="EPU750" s="574"/>
      <c r="EPV750" s="574"/>
      <c r="EPW750" s="574"/>
      <c r="EPX750" s="574"/>
      <c r="EPY750" s="574"/>
      <c r="EPZ750" s="574"/>
      <c r="EQA750" s="574"/>
      <c r="EQB750" s="574"/>
      <c r="EQC750" s="574"/>
      <c r="EQD750" s="574"/>
      <c r="EQE750" s="574"/>
      <c r="EQF750" s="574"/>
      <c r="EQG750" s="574"/>
      <c r="EQH750" s="574"/>
      <c r="EQI750" s="574"/>
      <c r="EQJ750" s="574"/>
      <c r="EQK750" s="574"/>
      <c r="EQL750" s="574"/>
      <c r="EQM750" s="574"/>
      <c r="EQN750" s="574"/>
      <c r="EQO750" s="574"/>
      <c r="EQP750" s="574"/>
      <c r="EQQ750" s="574"/>
      <c r="EQR750" s="574"/>
      <c r="EQS750" s="574"/>
      <c r="EQT750" s="574"/>
      <c r="EQU750" s="574"/>
      <c r="EQV750" s="574"/>
      <c r="EQW750" s="574"/>
      <c r="EQX750" s="574"/>
      <c r="EQY750" s="574"/>
      <c r="EQZ750" s="574"/>
      <c r="ERA750" s="574"/>
      <c r="ERB750" s="574"/>
      <c r="ERC750" s="574"/>
      <c r="ERD750" s="574"/>
      <c r="ERE750" s="574"/>
      <c r="ERF750" s="574"/>
      <c r="ERG750" s="574"/>
      <c r="ERH750" s="574"/>
      <c r="ERI750" s="574"/>
      <c r="ERJ750" s="574"/>
      <c r="ERK750" s="574"/>
      <c r="ERL750" s="574"/>
      <c r="ERM750" s="574"/>
      <c r="ERN750" s="574"/>
      <c r="ERO750" s="574"/>
      <c r="ERP750" s="574"/>
      <c r="ERQ750" s="574"/>
      <c r="ERR750" s="574"/>
      <c r="ERS750" s="574"/>
      <c r="ERT750" s="574"/>
      <c r="ERU750" s="574"/>
      <c r="ERV750" s="574"/>
      <c r="ERW750" s="574"/>
      <c r="ERX750" s="574"/>
      <c r="ERY750" s="574"/>
      <c r="ERZ750" s="574"/>
      <c r="ESA750" s="574"/>
      <c r="ESB750" s="574"/>
      <c r="ESC750" s="574"/>
      <c r="ESD750" s="574"/>
      <c r="ESE750" s="574"/>
      <c r="ESF750" s="574"/>
      <c r="ESG750" s="574"/>
      <c r="ESH750" s="574"/>
      <c r="ESI750" s="574"/>
      <c r="ESJ750" s="574"/>
      <c r="ESK750" s="574"/>
      <c r="ESL750" s="574"/>
      <c r="ESM750" s="574"/>
      <c r="ESN750" s="574"/>
      <c r="ESO750" s="574"/>
      <c r="ESP750" s="574"/>
      <c r="ESQ750" s="574"/>
      <c r="ESR750" s="574"/>
      <c r="ESS750" s="574"/>
      <c r="EST750" s="574"/>
      <c r="ESU750" s="574"/>
      <c r="ESV750" s="574"/>
      <c r="ESW750" s="574"/>
      <c r="ESX750" s="574"/>
      <c r="ESY750" s="574"/>
      <c r="ESZ750" s="574"/>
      <c r="ETA750" s="574"/>
      <c r="ETB750" s="574"/>
      <c r="ETC750" s="574"/>
      <c r="ETD750" s="574"/>
      <c r="ETE750" s="574"/>
      <c r="ETF750" s="574"/>
      <c r="ETG750" s="574"/>
      <c r="ETH750" s="574"/>
      <c r="ETI750" s="574"/>
      <c r="ETJ750" s="574"/>
      <c r="ETK750" s="574"/>
      <c r="ETL750" s="574"/>
      <c r="ETM750" s="574"/>
      <c r="ETN750" s="574"/>
      <c r="ETO750" s="574"/>
      <c r="ETP750" s="574"/>
      <c r="ETQ750" s="574"/>
      <c r="ETR750" s="574"/>
      <c r="ETS750" s="574"/>
      <c r="ETT750" s="574"/>
      <c r="ETU750" s="574"/>
      <c r="ETV750" s="574"/>
      <c r="ETW750" s="574"/>
      <c r="ETX750" s="574"/>
      <c r="ETY750" s="574"/>
      <c r="ETZ750" s="574"/>
      <c r="EUA750" s="574"/>
      <c r="EUB750" s="574"/>
      <c r="EUC750" s="574"/>
      <c r="EUD750" s="574"/>
      <c r="EUE750" s="574"/>
      <c r="EUF750" s="574"/>
      <c r="EUG750" s="574"/>
      <c r="EUH750" s="574"/>
      <c r="EUI750" s="574"/>
      <c r="EUJ750" s="574"/>
      <c r="EUK750" s="574"/>
      <c r="EUL750" s="574"/>
      <c r="EUM750" s="574"/>
      <c r="EUN750" s="574"/>
      <c r="EUO750" s="574"/>
      <c r="EUP750" s="574"/>
      <c r="EUQ750" s="574"/>
      <c r="EUR750" s="574"/>
      <c r="EUS750" s="574"/>
      <c r="EUT750" s="574"/>
      <c r="EUU750" s="574"/>
      <c r="EUV750" s="574"/>
      <c r="EUW750" s="574"/>
      <c r="EUX750" s="574"/>
      <c r="EUY750" s="574"/>
      <c r="EUZ750" s="574"/>
      <c r="EVA750" s="574"/>
      <c r="EVB750" s="574"/>
      <c r="EVC750" s="574"/>
      <c r="EVD750" s="574"/>
      <c r="EVE750" s="574"/>
      <c r="EVF750" s="574"/>
      <c r="EVG750" s="574"/>
      <c r="EVH750" s="574"/>
      <c r="EVI750" s="574"/>
      <c r="EVJ750" s="574"/>
      <c r="EVK750" s="574"/>
      <c r="EVL750" s="574"/>
      <c r="EVM750" s="574"/>
      <c r="EVN750" s="574"/>
      <c r="EVO750" s="574"/>
      <c r="EVP750" s="574"/>
      <c r="EVQ750" s="574"/>
      <c r="EVR750" s="574"/>
      <c r="EVS750" s="574"/>
      <c r="EVT750" s="574"/>
      <c r="EVU750" s="574"/>
      <c r="EVV750" s="574"/>
      <c r="EVW750" s="574"/>
      <c r="EVX750" s="574"/>
      <c r="EVY750" s="574"/>
      <c r="EVZ750" s="574"/>
      <c r="EWA750" s="574"/>
      <c r="EWB750" s="574"/>
      <c r="EWC750" s="574"/>
      <c r="EWD750" s="574"/>
      <c r="EWE750" s="574"/>
      <c r="EWF750" s="574"/>
      <c r="EWG750" s="574"/>
      <c r="EWH750" s="574"/>
      <c r="EWI750" s="574"/>
      <c r="EWJ750" s="574"/>
      <c r="EWK750" s="574"/>
      <c r="EWL750" s="574"/>
      <c r="EWM750" s="574"/>
      <c r="EWN750" s="574"/>
      <c r="EWO750" s="574"/>
      <c r="EWP750" s="574"/>
      <c r="EWQ750" s="574"/>
      <c r="EWR750" s="574"/>
      <c r="EWS750" s="574"/>
      <c r="EWT750" s="574"/>
      <c r="EWU750" s="574"/>
      <c r="EWV750" s="574"/>
      <c r="EWW750" s="574"/>
      <c r="EWX750" s="574"/>
      <c r="EWY750" s="574"/>
      <c r="EWZ750" s="574"/>
      <c r="EXA750" s="574"/>
      <c r="EXB750" s="574"/>
      <c r="EXC750" s="574"/>
      <c r="EXD750" s="574"/>
      <c r="EXE750" s="574"/>
      <c r="EXF750" s="574"/>
      <c r="EXG750" s="574"/>
      <c r="EXH750" s="574"/>
      <c r="EXI750" s="574"/>
      <c r="EXJ750" s="574"/>
      <c r="EXK750" s="574"/>
      <c r="EXL750" s="574"/>
      <c r="EXM750" s="574"/>
      <c r="EXN750" s="574"/>
      <c r="EXO750" s="574"/>
      <c r="EXP750" s="574"/>
      <c r="EXQ750" s="574"/>
      <c r="EXR750" s="574"/>
      <c r="EXS750" s="574"/>
      <c r="EXT750" s="574"/>
      <c r="EXU750" s="574"/>
      <c r="EXV750" s="574"/>
      <c r="EXW750" s="574"/>
      <c r="EXX750" s="574"/>
      <c r="EXY750" s="574"/>
      <c r="EXZ750" s="574"/>
      <c r="EYA750" s="574"/>
      <c r="EYB750" s="574"/>
      <c r="EYC750" s="574"/>
      <c r="EYD750" s="574"/>
      <c r="EYE750" s="574"/>
      <c r="EYF750" s="574"/>
      <c r="EYG750" s="574"/>
      <c r="EYH750" s="574"/>
      <c r="EYI750" s="574"/>
      <c r="EYJ750" s="574"/>
      <c r="EYK750" s="574"/>
      <c r="EYL750" s="574"/>
      <c r="EYM750" s="574"/>
      <c r="EYN750" s="574"/>
      <c r="EYO750" s="574"/>
      <c r="EYP750" s="574"/>
      <c r="EYQ750" s="574"/>
      <c r="EYR750" s="574"/>
      <c r="EYS750" s="574"/>
      <c r="EYT750" s="574"/>
      <c r="EYU750" s="574"/>
      <c r="EYV750" s="574"/>
      <c r="EYW750" s="574"/>
      <c r="EYX750" s="574"/>
      <c r="EYY750" s="574"/>
      <c r="EYZ750" s="574"/>
      <c r="EZA750" s="574"/>
      <c r="EZB750" s="574"/>
      <c r="EZC750" s="574"/>
      <c r="EZD750" s="574"/>
      <c r="EZE750" s="574"/>
      <c r="EZF750" s="574"/>
      <c r="EZG750" s="574"/>
      <c r="EZH750" s="574"/>
      <c r="EZI750" s="574"/>
      <c r="EZJ750" s="574"/>
      <c r="EZK750" s="574"/>
      <c r="EZL750" s="574"/>
      <c r="EZM750" s="574"/>
      <c r="EZN750" s="574"/>
      <c r="EZO750" s="574"/>
      <c r="EZP750" s="574"/>
      <c r="EZQ750" s="574"/>
      <c r="EZR750" s="574"/>
      <c r="EZS750" s="574"/>
      <c r="EZT750" s="574"/>
      <c r="EZU750" s="574"/>
      <c r="EZV750" s="574"/>
      <c r="EZW750" s="574"/>
      <c r="EZX750" s="574"/>
      <c r="EZY750" s="574"/>
      <c r="EZZ750" s="574"/>
      <c r="FAA750" s="574"/>
      <c r="FAB750" s="574"/>
      <c r="FAC750" s="574"/>
      <c r="FAD750" s="574"/>
      <c r="FAE750" s="574"/>
      <c r="FAF750" s="574"/>
      <c r="FAG750" s="574"/>
      <c r="FAH750" s="574"/>
      <c r="FAI750" s="574"/>
      <c r="FAJ750" s="574"/>
      <c r="FAK750" s="574"/>
      <c r="FAL750" s="574"/>
      <c r="FAM750" s="574"/>
      <c r="FAN750" s="574"/>
      <c r="FAO750" s="574"/>
      <c r="FAP750" s="574"/>
      <c r="FAQ750" s="574"/>
      <c r="FAR750" s="574"/>
      <c r="FAS750" s="574"/>
      <c r="FAT750" s="574"/>
      <c r="FAU750" s="574"/>
      <c r="FAV750" s="574"/>
      <c r="FAW750" s="574"/>
      <c r="FAX750" s="574"/>
      <c r="FAY750" s="574"/>
      <c r="FAZ750" s="574"/>
      <c r="FBA750" s="574"/>
      <c r="FBB750" s="574"/>
      <c r="FBC750" s="574"/>
      <c r="FBD750" s="574"/>
      <c r="FBE750" s="574"/>
      <c r="FBF750" s="574"/>
      <c r="FBG750" s="574"/>
      <c r="FBH750" s="574"/>
      <c r="FBI750" s="574"/>
      <c r="FBJ750" s="574"/>
      <c r="FBK750" s="574"/>
      <c r="FBL750" s="574"/>
      <c r="FBM750" s="574"/>
      <c r="FBN750" s="574"/>
      <c r="FBO750" s="574"/>
      <c r="FBP750" s="574"/>
      <c r="FBQ750" s="574"/>
      <c r="FBR750" s="574"/>
      <c r="FBS750" s="574"/>
      <c r="FBT750" s="574"/>
      <c r="FBU750" s="574"/>
      <c r="FBV750" s="574"/>
      <c r="FBW750" s="574"/>
      <c r="FBX750" s="574"/>
      <c r="FBY750" s="574"/>
      <c r="FBZ750" s="574"/>
      <c r="FCA750" s="574"/>
      <c r="FCB750" s="574"/>
      <c r="FCC750" s="574"/>
      <c r="FCD750" s="574"/>
      <c r="FCE750" s="574"/>
      <c r="FCF750" s="574"/>
      <c r="FCG750" s="574"/>
      <c r="FCH750" s="574"/>
      <c r="FCI750" s="574"/>
      <c r="FCJ750" s="574"/>
      <c r="FCK750" s="574"/>
      <c r="FCL750" s="574"/>
      <c r="FCM750" s="574"/>
      <c r="FCN750" s="574"/>
      <c r="FCO750" s="574"/>
      <c r="FCP750" s="574"/>
      <c r="FCQ750" s="574"/>
      <c r="FCR750" s="574"/>
      <c r="FCS750" s="574"/>
      <c r="FCT750" s="574"/>
      <c r="FCU750" s="574"/>
      <c r="FCV750" s="574"/>
      <c r="FCW750" s="574"/>
      <c r="FCX750" s="574"/>
      <c r="FCY750" s="574"/>
      <c r="FCZ750" s="574"/>
      <c r="FDA750" s="574"/>
      <c r="FDB750" s="574"/>
      <c r="FDC750" s="574"/>
      <c r="FDD750" s="574"/>
      <c r="FDE750" s="574"/>
      <c r="FDF750" s="574"/>
      <c r="FDG750" s="574"/>
      <c r="FDH750" s="574"/>
      <c r="FDI750" s="574"/>
      <c r="FDJ750" s="574"/>
      <c r="FDK750" s="574"/>
      <c r="FDL750" s="574"/>
      <c r="FDM750" s="574"/>
      <c r="FDN750" s="574"/>
      <c r="FDO750" s="574"/>
      <c r="FDP750" s="574"/>
      <c r="FDQ750" s="574"/>
      <c r="FDR750" s="574"/>
      <c r="FDS750" s="574"/>
      <c r="FDT750" s="574"/>
      <c r="FDU750" s="574"/>
      <c r="FDV750" s="574"/>
      <c r="FDW750" s="574"/>
      <c r="FDX750" s="574"/>
      <c r="FDY750" s="574"/>
      <c r="FDZ750" s="574"/>
      <c r="FEA750" s="574"/>
      <c r="FEB750" s="574"/>
      <c r="FEC750" s="574"/>
      <c r="FED750" s="574"/>
      <c r="FEE750" s="574"/>
      <c r="FEF750" s="574"/>
      <c r="FEG750" s="574"/>
      <c r="FEH750" s="574"/>
      <c r="FEI750" s="574"/>
      <c r="FEJ750" s="574"/>
      <c r="FEK750" s="574"/>
      <c r="FEL750" s="574"/>
      <c r="FEM750" s="574"/>
      <c r="FEN750" s="574"/>
      <c r="FEO750" s="574"/>
      <c r="FEP750" s="574"/>
      <c r="FEQ750" s="574"/>
      <c r="FER750" s="574"/>
      <c r="FES750" s="574"/>
      <c r="FET750" s="574"/>
      <c r="FEU750" s="574"/>
      <c r="FEV750" s="574"/>
      <c r="FEW750" s="574"/>
      <c r="FEX750" s="574"/>
      <c r="FEY750" s="574"/>
      <c r="FEZ750" s="574"/>
      <c r="FFA750" s="574"/>
      <c r="FFB750" s="574"/>
      <c r="FFC750" s="574"/>
      <c r="FFD750" s="574"/>
      <c r="FFE750" s="574"/>
      <c r="FFF750" s="574"/>
      <c r="FFG750" s="574"/>
      <c r="FFH750" s="574"/>
      <c r="FFI750" s="574"/>
      <c r="FFJ750" s="574"/>
      <c r="FFK750" s="574"/>
      <c r="FFL750" s="574"/>
      <c r="FFM750" s="574"/>
      <c r="FFN750" s="574"/>
      <c r="FFO750" s="574"/>
      <c r="FFP750" s="574"/>
      <c r="FFQ750" s="574"/>
      <c r="FFR750" s="574"/>
      <c r="FFS750" s="574"/>
      <c r="FFT750" s="574"/>
      <c r="FFU750" s="574"/>
      <c r="FFV750" s="574"/>
      <c r="FFW750" s="574"/>
      <c r="FFX750" s="574"/>
      <c r="FFY750" s="574"/>
      <c r="FFZ750" s="574"/>
      <c r="FGA750" s="574"/>
      <c r="FGB750" s="574"/>
      <c r="FGC750" s="574"/>
      <c r="FGD750" s="574"/>
      <c r="FGE750" s="574"/>
      <c r="FGF750" s="574"/>
      <c r="FGG750" s="574"/>
      <c r="FGH750" s="574"/>
      <c r="FGI750" s="574"/>
      <c r="FGJ750" s="574"/>
      <c r="FGK750" s="574"/>
      <c r="FGL750" s="574"/>
      <c r="FGM750" s="574"/>
      <c r="FGN750" s="574"/>
      <c r="FGO750" s="574"/>
      <c r="FGP750" s="574"/>
      <c r="FGQ750" s="574"/>
      <c r="FGR750" s="574"/>
      <c r="FGS750" s="574"/>
      <c r="FGT750" s="574"/>
      <c r="FGU750" s="574"/>
      <c r="FGV750" s="574"/>
      <c r="FGW750" s="574"/>
      <c r="FGX750" s="574"/>
      <c r="FGY750" s="574"/>
      <c r="FGZ750" s="574"/>
      <c r="FHA750" s="574"/>
      <c r="FHB750" s="574"/>
      <c r="FHC750" s="574"/>
      <c r="FHD750" s="574"/>
      <c r="FHE750" s="574"/>
      <c r="FHF750" s="574"/>
      <c r="FHG750" s="574"/>
      <c r="FHH750" s="574"/>
      <c r="FHI750" s="574"/>
      <c r="FHJ750" s="574"/>
      <c r="FHK750" s="574"/>
      <c r="FHL750" s="574"/>
      <c r="FHM750" s="574"/>
      <c r="FHN750" s="574"/>
      <c r="FHO750" s="574"/>
      <c r="FHP750" s="574"/>
      <c r="FHQ750" s="574"/>
      <c r="FHR750" s="574"/>
      <c r="FHS750" s="574"/>
      <c r="FHT750" s="574"/>
      <c r="FHU750" s="574"/>
      <c r="FHV750" s="574"/>
      <c r="FHW750" s="574"/>
      <c r="FHX750" s="574"/>
      <c r="FHY750" s="574"/>
      <c r="FHZ750" s="574"/>
      <c r="FIA750" s="574"/>
      <c r="FIB750" s="574"/>
      <c r="FIC750" s="574"/>
      <c r="FID750" s="574"/>
      <c r="FIE750" s="574"/>
      <c r="FIF750" s="574"/>
      <c r="FIG750" s="574"/>
      <c r="FIH750" s="574"/>
      <c r="FII750" s="574"/>
      <c r="FIJ750" s="574"/>
      <c r="FIK750" s="574"/>
      <c r="FIL750" s="574"/>
      <c r="FIM750" s="574"/>
      <c r="FIN750" s="574"/>
      <c r="FIO750" s="574"/>
      <c r="FIP750" s="574"/>
      <c r="FIQ750" s="574"/>
      <c r="FIR750" s="574"/>
      <c r="FIS750" s="574"/>
      <c r="FIT750" s="574"/>
      <c r="FIU750" s="574"/>
      <c r="FIV750" s="574"/>
      <c r="FIW750" s="574"/>
      <c r="FIX750" s="574"/>
      <c r="FIY750" s="574"/>
      <c r="FIZ750" s="574"/>
      <c r="FJA750" s="574"/>
      <c r="FJB750" s="574"/>
      <c r="FJC750" s="574"/>
      <c r="FJD750" s="574"/>
      <c r="FJE750" s="574"/>
      <c r="FJF750" s="574"/>
      <c r="FJG750" s="574"/>
      <c r="FJH750" s="574"/>
      <c r="FJI750" s="574"/>
      <c r="FJJ750" s="574"/>
      <c r="FJK750" s="574"/>
      <c r="FJL750" s="574"/>
      <c r="FJM750" s="574"/>
      <c r="FJN750" s="574"/>
      <c r="FJO750" s="574"/>
      <c r="FJP750" s="574"/>
      <c r="FJQ750" s="574"/>
      <c r="FJR750" s="574"/>
      <c r="FJS750" s="574"/>
      <c r="FJT750" s="574"/>
      <c r="FJU750" s="574"/>
      <c r="FJV750" s="574"/>
      <c r="FJW750" s="574"/>
      <c r="FJX750" s="574"/>
      <c r="FJY750" s="574"/>
      <c r="FJZ750" s="574"/>
      <c r="FKA750" s="574"/>
      <c r="FKB750" s="574"/>
      <c r="FKC750" s="574"/>
      <c r="FKD750" s="574"/>
      <c r="FKE750" s="574"/>
      <c r="FKF750" s="574"/>
      <c r="FKG750" s="574"/>
      <c r="FKH750" s="574"/>
      <c r="FKI750" s="574"/>
      <c r="FKJ750" s="574"/>
      <c r="FKK750" s="574"/>
      <c r="FKL750" s="574"/>
      <c r="FKM750" s="574"/>
      <c r="FKN750" s="574"/>
      <c r="FKO750" s="574"/>
      <c r="FKP750" s="574"/>
      <c r="FKQ750" s="574"/>
      <c r="FKR750" s="574"/>
      <c r="FKS750" s="574"/>
      <c r="FKT750" s="574"/>
      <c r="FKU750" s="574"/>
      <c r="FKV750" s="574"/>
      <c r="FKW750" s="574"/>
      <c r="FKX750" s="574"/>
      <c r="FKY750" s="574"/>
      <c r="FKZ750" s="574"/>
      <c r="FLA750" s="574"/>
      <c r="FLB750" s="574"/>
      <c r="FLC750" s="574"/>
      <c r="FLD750" s="574"/>
      <c r="FLE750" s="574"/>
      <c r="FLF750" s="574"/>
      <c r="FLG750" s="574"/>
      <c r="FLH750" s="574"/>
      <c r="FLI750" s="574"/>
      <c r="FLJ750" s="574"/>
      <c r="FLK750" s="574"/>
      <c r="FLL750" s="574"/>
      <c r="FLM750" s="574"/>
      <c r="FLN750" s="574"/>
      <c r="FLO750" s="574"/>
      <c r="FLP750" s="574"/>
      <c r="FLQ750" s="574"/>
      <c r="FLR750" s="574"/>
      <c r="FLS750" s="574"/>
      <c r="FLT750" s="574"/>
      <c r="FLU750" s="574"/>
      <c r="FLV750" s="574"/>
      <c r="FLW750" s="574"/>
      <c r="FLX750" s="574"/>
      <c r="FLY750" s="574"/>
      <c r="FLZ750" s="574"/>
      <c r="FMA750" s="574"/>
      <c r="FMB750" s="574"/>
      <c r="FMC750" s="574"/>
      <c r="FMD750" s="574"/>
      <c r="FME750" s="574"/>
      <c r="FMF750" s="574"/>
      <c r="FMG750" s="574"/>
      <c r="FMH750" s="574"/>
      <c r="FMI750" s="574"/>
      <c r="FMJ750" s="574"/>
      <c r="FMK750" s="574"/>
      <c r="FML750" s="574"/>
      <c r="FMM750" s="574"/>
      <c r="FMN750" s="574"/>
      <c r="FMO750" s="574"/>
      <c r="FMP750" s="574"/>
      <c r="FMQ750" s="574"/>
      <c r="FMR750" s="574"/>
      <c r="FMS750" s="574"/>
      <c r="FMT750" s="574"/>
      <c r="FMU750" s="574"/>
      <c r="FMV750" s="574"/>
      <c r="FMW750" s="574"/>
      <c r="FMX750" s="574"/>
      <c r="FMY750" s="574"/>
      <c r="FMZ750" s="574"/>
      <c r="FNA750" s="574"/>
      <c r="FNB750" s="574"/>
      <c r="FNC750" s="574"/>
      <c r="FND750" s="574"/>
      <c r="FNE750" s="574"/>
      <c r="FNF750" s="574"/>
      <c r="FNG750" s="574"/>
      <c r="FNH750" s="574"/>
      <c r="FNI750" s="574"/>
      <c r="FNJ750" s="574"/>
      <c r="FNK750" s="574"/>
      <c r="FNL750" s="574"/>
      <c r="FNM750" s="574"/>
      <c r="FNN750" s="574"/>
      <c r="FNO750" s="574"/>
      <c r="FNP750" s="574"/>
      <c r="FNQ750" s="574"/>
      <c r="FNR750" s="574"/>
      <c r="FNS750" s="574"/>
      <c r="FNT750" s="574"/>
      <c r="FNU750" s="574"/>
      <c r="FNV750" s="574"/>
      <c r="FNW750" s="574"/>
      <c r="FNX750" s="574"/>
      <c r="FNY750" s="574"/>
      <c r="FNZ750" s="574"/>
      <c r="FOA750" s="574"/>
      <c r="FOB750" s="574"/>
      <c r="FOC750" s="574"/>
      <c r="FOD750" s="574"/>
      <c r="FOE750" s="574"/>
      <c r="FOF750" s="574"/>
      <c r="FOG750" s="574"/>
      <c r="FOH750" s="574"/>
      <c r="FOI750" s="574"/>
      <c r="FOJ750" s="574"/>
      <c r="FOK750" s="574"/>
      <c r="FOL750" s="574"/>
      <c r="FOM750" s="574"/>
      <c r="FON750" s="574"/>
      <c r="FOO750" s="574"/>
      <c r="FOP750" s="574"/>
      <c r="FOQ750" s="574"/>
      <c r="FOR750" s="574"/>
      <c r="FOS750" s="574"/>
      <c r="FOT750" s="574"/>
      <c r="FOU750" s="574"/>
      <c r="FOV750" s="574"/>
      <c r="FOW750" s="574"/>
      <c r="FOX750" s="574"/>
      <c r="FOY750" s="574"/>
      <c r="FOZ750" s="574"/>
      <c r="FPA750" s="574"/>
      <c r="FPB750" s="574"/>
      <c r="FPC750" s="574"/>
      <c r="FPD750" s="574"/>
      <c r="FPE750" s="574"/>
      <c r="FPF750" s="574"/>
      <c r="FPG750" s="574"/>
      <c r="FPH750" s="574"/>
      <c r="FPI750" s="574"/>
      <c r="FPJ750" s="574"/>
      <c r="FPK750" s="574"/>
      <c r="FPL750" s="574"/>
      <c r="FPM750" s="574"/>
      <c r="FPN750" s="574"/>
      <c r="FPO750" s="574"/>
      <c r="FPP750" s="574"/>
      <c r="FPQ750" s="574"/>
      <c r="FPR750" s="574"/>
      <c r="FPS750" s="574"/>
      <c r="FPT750" s="574"/>
      <c r="FPU750" s="574"/>
      <c r="FPV750" s="574"/>
      <c r="FPW750" s="574"/>
      <c r="FPX750" s="574"/>
      <c r="FPY750" s="574"/>
      <c r="FPZ750" s="574"/>
      <c r="FQA750" s="574"/>
      <c r="FQB750" s="574"/>
      <c r="FQC750" s="574"/>
      <c r="FQD750" s="574"/>
      <c r="FQE750" s="574"/>
      <c r="FQF750" s="574"/>
      <c r="FQG750" s="574"/>
      <c r="FQH750" s="574"/>
      <c r="FQI750" s="574"/>
      <c r="FQJ750" s="574"/>
      <c r="FQK750" s="574"/>
      <c r="FQL750" s="574"/>
      <c r="FQM750" s="574"/>
      <c r="FQN750" s="574"/>
      <c r="FQO750" s="574"/>
      <c r="FQP750" s="574"/>
      <c r="FQQ750" s="574"/>
      <c r="FQR750" s="574"/>
      <c r="FQS750" s="574"/>
      <c r="FQT750" s="574"/>
      <c r="FQU750" s="574"/>
      <c r="FQV750" s="574"/>
      <c r="FQW750" s="574"/>
      <c r="FQX750" s="574"/>
      <c r="FQY750" s="574"/>
      <c r="FQZ750" s="574"/>
      <c r="FRA750" s="574"/>
      <c r="FRB750" s="574"/>
      <c r="FRC750" s="574"/>
      <c r="FRD750" s="574"/>
      <c r="FRE750" s="574"/>
      <c r="FRF750" s="574"/>
      <c r="FRG750" s="574"/>
      <c r="FRH750" s="574"/>
      <c r="FRI750" s="574"/>
      <c r="FRJ750" s="574"/>
      <c r="FRK750" s="574"/>
      <c r="FRL750" s="574"/>
      <c r="FRM750" s="574"/>
      <c r="FRN750" s="574"/>
      <c r="FRO750" s="574"/>
      <c r="FRP750" s="574"/>
      <c r="FRQ750" s="574"/>
      <c r="FRR750" s="574"/>
      <c r="FRS750" s="574"/>
      <c r="FRT750" s="574"/>
      <c r="FRU750" s="574"/>
      <c r="FRV750" s="574"/>
      <c r="FRW750" s="574"/>
      <c r="FRX750" s="574"/>
      <c r="FRY750" s="574"/>
      <c r="FRZ750" s="574"/>
      <c r="FSA750" s="574"/>
      <c r="FSB750" s="574"/>
      <c r="FSC750" s="574"/>
      <c r="FSD750" s="574"/>
      <c r="FSE750" s="574"/>
      <c r="FSF750" s="574"/>
      <c r="FSG750" s="574"/>
      <c r="FSH750" s="574"/>
      <c r="FSI750" s="574"/>
      <c r="FSJ750" s="574"/>
      <c r="FSK750" s="574"/>
      <c r="FSL750" s="574"/>
      <c r="FSM750" s="574"/>
      <c r="FSN750" s="574"/>
      <c r="FSO750" s="574"/>
      <c r="FSP750" s="574"/>
      <c r="FSQ750" s="574"/>
      <c r="FSR750" s="574"/>
      <c r="FSS750" s="574"/>
      <c r="FST750" s="574"/>
      <c r="FSU750" s="574"/>
      <c r="FSV750" s="574"/>
      <c r="FSW750" s="574"/>
      <c r="FSX750" s="574"/>
      <c r="FSY750" s="574"/>
      <c r="FSZ750" s="574"/>
      <c r="FTA750" s="574"/>
      <c r="FTB750" s="574"/>
      <c r="FTC750" s="574"/>
      <c r="FTD750" s="574"/>
      <c r="FTE750" s="574"/>
      <c r="FTF750" s="574"/>
      <c r="FTG750" s="574"/>
      <c r="FTH750" s="574"/>
      <c r="FTI750" s="574"/>
      <c r="FTJ750" s="574"/>
      <c r="FTK750" s="574"/>
      <c r="FTL750" s="574"/>
      <c r="FTM750" s="574"/>
      <c r="FTN750" s="574"/>
      <c r="FTO750" s="574"/>
      <c r="FTP750" s="574"/>
      <c r="FTQ750" s="574"/>
      <c r="FTR750" s="574"/>
      <c r="FTS750" s="574"/>
      <c r="FTT750" s="574"/>
      <c r="FTU750" s="574"/>
      <c r="FTV750" s="574"/>
      <c r="FTW750" s="574"/>
      <c r="FTX750" s="574"/>
      <c r="FTY750" s="574"/>
      <c r="FTZ750" s="574"/>
      <c r="FUA750" s="574"/>
      <c r="FUB750" s="574"/>
      <c r="FUC750" s="574"/>
      <c r="FUD750" s="574"/>
      <c r="FUE750" s="574"/>
      <c r="FUF750" s="574"/>
      <c r="FUG750" s="574"/>
      <c r="FUH750" s="574"/>
      <c r="FUI750" s="574"/>
      <c r="FUJ750" s="574"/>
      <c r="FUK750" s="574"/>
      <c r="FUL750" s="574"/>
      <c r="FUM750" s="574"/>
      <c r="FUN750" s="574"/>
      <c r="FUO750" s="574"/>
      <c r="FUP750" s="574"/>
      <c r="FUQ750" s="574"/>
      <c r="FUR750" s="574"/>
      <c r="FUS750" s="574"/>
      <c r="FUT750" s="574"/>
      <c r="FUU750" s="574"/>
      <c r="FUV750" s="574"/>
      <c r="FUW750" s="574"/>
      <c r="FUX750" s="574"/>
      <c r="FUY750" s="574"/>
      <c r="FUZ750" s="574"/>
      <c r="FVA750" s="574"/>
      <c r="FVB750" s="574"/>
      <c r="FVC750" s="574"/>
      <c r="FVD750" s="574"/>
      <c r="FVE750" s="574"/>
      <c r="FVF750" s="574"/>
      <c r="FVG750" s="574"/>
      <c r="FVH750" s="574"/>
      <c r="FVI750" s="574"/>
      <c r="FVJ750" s="574"/>
      <c r="FVK750" s="574"/>
      <c r="FVL750" s="574"/>
      <c r="FVM750" s="574"/>
      <c r="FVN750" s="574"/>
      <c r="FVO750" s="574"/>
      <c r="FVP750" s="574"/>
      <c r="FVQ750" s="574"/>
      <c r="FVR750" s="574"/>
      <c r="FVS750" s="574"/>
      <c r="FVT750" s="574"/>
      <c r="FVU750" s="574"/>
      <c r="FVV750" s="574"/>
      <c r="FVW750" s="574"/>
      <c r="FVX750" s="574"/>
      <c r="FVY750" s="574"/>
      <c r="FVZ750" s="574"/>
      <c r="FWA750" s="574"/>
      <c r="FWB750" s="574"/>
      <c r="FWC750" s="574"/>
      <c r="FWD750" s="574"/>
      <c r="FWE750" s="574"/>
      <c r="FWF750" s="574"/>
      <c r="FWG750" s="574"/>
      <c r="FWH750" s="574"/>
      <c r="FWI750" s="574"/>
      <c r="FWJ750" s="574"/>
      <c r="FWK750" s="574"/>
      <c r="FWL750" s="574"/>
      <c r="FWM750" s="574"/>
      <c r="FWN750" s="574"/>
      <c r="FWO750" s="574"/>
      <c r="FWP750" s="574"/>
      <c r="FWQ750" s="574"/>
      <c r="FWR750" s="574"/>
      <c r="FWS750" s="574"/>
      <c r="FWT750" s="574"/>
      <c r="FWU750" s="574"/>
      <c r="FWV750" s="574"/>
      <c r="FWW750" s="574"/>
      <c r="FWX750" s="574"/>
      <c r="FWY750" s="574"/>
      <c r="FWZ750" s="574"/>
      <c r="FXA750" s="574"/>
      <c r="FXB750" s="574"/>
      <c r="FXC750" s="574"/>
      <c r="FXD750" s="574"/>
      <c r="FXE750" s="574"/>
      <c r="FXF750" s="574"/>
      <c r="FXG750" s="574"/>
      <c r="FXH750" s="574"/>
      <c r="FXI750" s="574"/>
      <c r="FXJ750" s="574"/>
      <c r="FXK750" s="574"/>
      <c r="FXL750" s="574"/>
      <c r="FXM750" s="574"/>
      <c r="FXN750" s="574"/>
      <c r="FXO750" s="574"/>
      <c r="FXP750" s="574"/>
      <c r="FXQ750" s="574"/>
      <c r="FXR750" s="574"/>
      <c r="FXS750" s="574"/>
      <c r="FXT750" s="574"/>
      <c r="FXU750" s="574"/>
      <c r="FXV750" s="574"/>
      <c r="FXW750" s="574"/>
      <c r="FXX750" s="574"/>
      <c r="FXY750" s="574"/>
      <c r="FXZ750" s="574"/>
      <c r="FYA750" s="574"/>
      <c r="FYB750" s="574"/>
      <c r="FYC750" s="574"/>
      <c r="FYD750" s="574"/>
      <c r="FYE750" s="574"/>
      <c r="FYF750" s="574"/>
      <c r="FYG750" s="574"/>
      <c r="FYH750" s="574"/>
      <c r="FYI750" s="574"/>
      <c r="FYJ750" s="574"/>
      <c r="FYK750" s="574"/>
      <c r="FYL750" s="574"/>
      <c r="FYM750" s="574"/>
      <c r="FYN750" s="574"/>
      <c r="FYO750" s="574"/>
      <c r="FYP750" s="574"/>
      <c r="FYQ750" s="574"/>
      <c r="FYR750" s="574"/>
      <c r="FYS750" s="574"/>
      <c r="FYT750" s="574"/>
      <c r="FYU750" s="574"/>
      <c r="FYV750" s="574"/>
      <c r="FYW750" s="574"/>
      <c r="FYX750" s="574"/>
      <c r="FYY750" s="574"/>
      <c r="FYZ750" s="574"/>
      <c r="FZA750" s="574"/>
      <c r="FZB750" s="574"/>
      <c r="FZC750" s="574"/>
      <c r="FZD750" s="574"/>
      <c r="FZE750" s="574"/>
      <c r="FZF750" s="574"/>
      <c r="FZG750" s="574"/>
      <c r="FZH750" s="574"/>
      <c r="FZI750" s="574"/>
      <c r="FZJ750" s="574"/>
      <c r="FZK750" s="574"/>
      <c r="FZL750" s="574"/>
      <c r="FZM750" s="574"/>
      <c r="FZN750" s="574"/>
      <c r="FZO750" s="574"/>
      <c r="FZP750" s="574"/>
      <c r="FZQ750" s="574"/>
      <c r="FZR750" s="574"/>
      <c r="FZS750" s="574"/>
      <c r="FZT750" s="574"/>
      <c r="FZU750" s="574"/>
      <c r="FZV750" s="574"/>
      <c r="FZW750" s="574"/>
      <c r="FZX750" s="574"/>
      <c r="FZY750" s="574"/>
      <c r="FZZ750" s="574"/>
      <c r="GAA750" s="574"/>
      <c r="GAB750" s="574"/>
      <c r="GAC750" s="574"/>
      <c r="GAD750" s="574"/>
      <c r="GAE750" s="574"/>
      <c r="GAF750" s="574"/>
      <c r="GAG750" s="574"/>
      <c r="GAH750" s="574"/>
      <c r="GAI750" s="574"/>
      <c r="GAJ750" s="574"/>
      <c r="GAK750" s="574"/>
      <c r="GAL750" s="574"/>
      <c r="GAM750" s="574"/>
      <c r="GAN750" s="574"/>
      <c r="GAO750" s="574"/>
      <c r="GAP750" s="574"/>
      <c r="GAQ750" s="574"/>
      <c r="GAR750" s="574"/>
      <c r="GAS750" s="574"/>
      <c r="GAT750" s="574"/>
      <c r="GAU750" s="574"/>
      <c r="GAV750" s="574"/>
      <c r="GAW750" s="574"/>
      <c r="GAX750" s="574"/>
      <c r="GAY750" s="574"/>
      <c r="GAZ750" s="574"/>
      <c r="GBA750" s="574"/>
      <c r="GBB750" s="574"/>
      <c r="GBC750" s="574"/>
      <c r="GBD750" s="574"/>
      <c r="GBE750" s="574"/>
      <c r="GBF750" s="574"/>
      <c r="GBG750" s="574"/>
      <c r="GBH750" s="574"/>
      <c r="GBI750" s="574"/>
      <c r="GBJ750" s="574"/>
      <c r="GBK750" s="574"/>
      <c r="GBL750" s="574"/>
      <c r="GBM750" s="574"/>
      <c r="GBN750" s="574"/>
      <c r="GBO750" s="574"/>
      <c r="GBP750" s="574"/>
      <c r="GBQ750" s="574"/>
      <c r="GBR750" s="574"/>
      <c r="GBS750" s="574"/>
      <c r="GBT750" s="574"/>
      <c r="GBU750" s="574"/>
      <c r="GBV750" s="574"/>
      <c r="GBW750" s="574"/>
      <c r="GBX750" s="574"/>
      <c r="GBY750" s="574"/>
      <c r="GBZ750" s="574"/>
      <c r="GCA750" s="574"/>
      <c r="GCB750" s="574"/>
      <c r="GCC750" s="574"/>
      <c r="GCD750" s="574"/>
      <c r="GCE750" s="574"/>
      <c r="GCF750" s="574"/>
      <c r="GCG750" s="574"/>
      <c r="GCH750" s="574"/>
      <c r="GCI750" s="574"/>
      <c r="GCJ750" s="574"/>
      <c r="GCK750" s="574"/>
      <c r="GCL750" s="574"/>
      <c r="GCM750" s="574"/>
      <c r="GCN750" s="574"/>
      <c r="GCO750" s="574"/>
      <c r="GCP750" s="574"/>
      <c r="GCQ750" s="574"/>
      <c r="GCR750" s="574"/>
      <c r="GCS750" s="574"/>
      <c r="GCT750" s="574"/>
      <c r="GCU750" s="574"/>
      <c r="GCV750" s="574"/>
      <c r="GCW750" s="574"/>
      <c r="GCX750" s="574"/>
      <c r="GCY750" s="574"/>
      <c r="GCZ750" s="574"/>
      <c r="GDA750" s="574"/>
      <c r="GDB750" s="574"/>
      <c r="GDC750" s="574"/>
      <c r="GDD750" s="574"/>
      <c r="GDE750" s="574"/>
      <c r="GDF750" s="574"/>
      <c r="GDG750" s="574"/>
      <c r="GDH750" s="574"/>
      <c r="GDI750" s="574"/>
      <c r="GDJ750" s="574"/>
      <c r="GDK750" s="574"/>
      <c r="GDL750" s="574"/>
      <c r="GDM750" s="574"/>
      <c r="GDN750" s="574"/>
      <c r="GDO750" s="574"/>
      <c r="GDP750" s="574"/>
      <c r="GDQ750" s="574"/>
      <c r="GDR750" s="574"/>
      <c r="GDS750" s="574"/>
      <c r="GDT750" s="574"/>
      <c r="GDU750" s="574"/>
      <c r="GDV750" s="574"/>
      <c r="GDW750" s="574"/>
      <c r="GDX750" s="574"/>
      <c r="GDY750" s="574"/>
      <c r="GDZ750" s="574"/>
      <c r="GEA750" s="574"/>
      <c r="GEB750" s="574"/>
      <c r="GEC750" s="574"/>
      <c r="GED750" s="574"/>
      <c r="GEE750" s="574"/>
      <c r="GEF750" s="574"/>
      <c r="GEG750" s="574"/>
      <c r="GEH750" s="574"/>
      <c r="GEI750" s="574"/>
      <c r="GEJ750" s="574"/>
      <c r="GEK750" s="574"/>
      <c r="GEL750" s="574"/>
      <c r="GEM750" s="574"/>
      <c r="GEN750" s="574"/>
      <c r="GEO750" s="574"/>
      <c r="GEP750" s="574"/>
      <c r="GEQ750" s="574"/>
      <c r="GER750" s="574"/>
      <c r="GES750" s="574"/>
      <c r="GET750" s="574"/>
      <c r="GEU750" s="574"/>
      <c r="GEV750" s="574"/>
      <c r="GEW750" s="574"/>
      <c r="GEX750" s="574"/>
      <c r="GEY750" s="574"/>
      <c r="GEZ750" s="574"/>
      <c r="GFA750" s="574"/>
      <c r="GFB750" s="574"/>
      <c r="GFC750" s="574"/>
      <c r="GFD750" s="574"/>
      <c r="GFE750" s="574"/>
      <c r="GFF750" s="574"/>
      <c r="GFG750" s="574"/>
      <c r="GFH750" s="574"/>
      <c r="GFI750" s="574"/>
      <c r="GFJ750" s="574"/>
      <c r="GFK750" s="574"/>
      <c r="GFL750" s="574"/>
      <c r="GFM750" s="574"/>
      <c r="GFN750" s="574"/>
      <c r="GFO750" s="574"/>
      <c r="GFP750" s="574"/>
      <c r="GFQ750" s="574"/>
      <c r="GFR750" s="574"/>
      <c r="GFS750" s="574"/>
      <c r="GFT750" s="574"/>
      <c r="GFU750" s="574"/>
      <c r="GFV750" s="574"/>
      <c r="GFW750" s="574"/>
      <c r="GFX750" s="574"/>
      <c r="GFY750" s="574"/>
      <c r="GFZ750" s="574"/>
      <c r="GGA750" s="574"/>
      <c r="GGB750" s="574"/>
      <c r="GGC750" s="574"/>
      <c r="GGD750" s="574"/>
      <c r="GGE750" s="574"/>
      <c r="GGF750" s="574"/>
      <c r="GGG750" s="574"/>
      <c r="GGH750" s="574"/>
      <c r="GGI750" s="574"/>
      <c r="GGJ750" s="574"/>
      <c r="GGK750" s="574"/>
      <c r="GGL750" s="574"/>
      <c r="GGM750" s="574"/>
      <c r="GGN750" s="574"/>
      <c r="GGO750" s="574"/>
      <c r="GGP750" s="574"/>
      <c r="GGQ750" s="574"/>
      <c r="GGR750" s="574"/>
      <c r="GGS750" s="574"/>
      <c r="GGT750" s="574"/>
      <c r="GGU750" s="574"/>
      <c r="GGV750" s="574"/>
      <c r="GGW750" s="574"/>
      <c r="GGX750" s="574"/>
      <c r="GGY750" s="574"/>
      <c r="GGZ750" s="574"/>
      <c r="GHA750" s="574"/>
      <c r="GHB750" s="574"/>
      <c r="GHC750" s="574"/>
      <c r="GHD750" s="574"/>
      <c r="GHE750" s="574"/>
      <c r="GHF750" s="574"/>
      <c r="GHG750" s="574"/>
      <c r="GHH750" s="574"/>
      <c r="GHI750" s="574"/>
      <c r="GHJ750" s="574"/>
      <c r="GHK750" s="574"/>
      <c r="GHL750" s="574"/>
      <c r="GHM750" s="574"/>
      <c r="GHN750" s="574"/>
      <c r="GHO750" s="574"/>
      <c r="GHP750" s="574"/>
      <c r="GHQ750" s="574"/>
      <c r="GHR750" s="574"/>
      <c r="GHS750" s="574"/>
      <c r="GHT750" s="574"/>
      <c r="GHU750" s="574"/>
      <c r="GHV750" s="574"/>
      <c r="GHW750" s="574"/>
      <c r="GHX750" s="574"/>
      <c r="GHY750" s="574"/>
      <c r="GHZ750" s="574"/>
      <c r="GIA750" s="574"/>
      <c r="GIB750" s="574"/>
      <c r="GIC750" s="574"/>
      <c r="GID750" s="574"/>
      <c r="GIE750" s="574"/>
      <c r="GIF750" s="574"/>
      <c r="GIG750" s="574"/>
      <c r="GIH750" s="574"/>
      <c r="GII750" s="574"/>
      <c r="GIJ750" s="574"/>
      <c r="GIK750" s="574"/>
      <c r="GIL750" s="574"/>
      <c r="GIM750" s="574"/>
      <c r="GIN750" s="574"/>
      <c r="GIO750" s="574"/>
      <c r="GIP750" s="574"/>
      <c r="GIQ750" s="574"/>
      <c r="GIR750" s="574"/>
      <c r="GIS750" s="574"/>
      <c r="GIT750" s="574"/>
      <c r="GIU750" s="574"/>
      <c r="GIV750" s="574"/>
      <c r="GIW750" s="574"/>
      <c r="GIX750" s="574"/>
      <c r="GIY750" s="574"/>
      <c r="GIZ750" s="574"/>
      <c r="GJA750" s="574"/>
      <c r="GJB750" s="574"/>
      <c r="GJC750" s="574"/>
      <c r="GJD750" s="574"/>
      <c r="GJE750" s="574"/>
      <c r="GJF750" s="574"/>
      <c r="GJG750" s="574"/>
      <c r="GJH750" s="574"/>
      <c r="GJI750" s="574"/>
      <c r="GJJ750" s="574"/>
      <c r="GJK750" s="574"/>
      <c r="GJL750" s="574"/>
      <c r="GJM750" s="574"/>
      <c r="GJN750" s="574"/>
      <c r="GJO750" s="574"/>
      <c r="GJP750" s="574"/>
      <c r="GJQ750" s="574"/>
      <c r="GJR750" s="574"/>
      <c r="GJS750" s="574"/>
      <c r="GJT750" s="574"/>
      <c r="GJU750" s="574"/>
      <c r="GJV750" s="574"/>
      <c r="GJW750" s="574"/>
      <c r="GJX750" s="574"/>
      <c r="GJY750" s="574"/>
      <c r="GJZ750" s="574"/>
      <c r="GKA750" s="574"/>
      <c r="GKB750" s="574"/>
      <c r="GKC750" s="574"/>
      <c r="GKD750" s="574"/>
      <c r="GKE750" s="574"/>
      <c r="GKF750" s="574"/>
      <c r="GKG750" s="574"/>
      <c r="GKH750" s="574"/>
      <c r="GKI750" s="574"/>
      <c r="GKJ750" s="574"/>
      <c r="GKK750" s="574"/>
      <c r="GKL750" s="574"/>
      <c r="GKM750" s="574"/>
      <c r="GKN750" s="574"/>
      <c r="GKO750" s="574"/>
      <c r="GKP750" s="574"/>
      <c r="GKQ750" s="574"/>
      <c r="GKR750" s="574"/>
      <c r="GKS750" s="574"/>
      <c r="GKT750" s="574"/>
      <c r="GKU750" s="574"/>
      <c r="GKV750" s="574"/>
      <c r="GKW750" s="574"/>
      <c r="GKX750" s="574"/>
      <c r="GKY750" s="574"/>
      <c r="GKZ750" s="574"/>
      <c r="GLA750" s="574"/>
      <c r="GLB750" s="574"/>
      <c r="GLC750" s="574"/>
      <c r="GLD750" s="574"/>
      <c r="GLE750" s="574"/>
      <c r="GLF750" s="574"/>
      <c r="GLG750" s="574"/>
      <c r="GLH750" s="574"/>
      <c r="GLI750" s="574"/>
      <c r="GLJ750" s="574"/>
      <c r="GLK750" s="574"/>
      <c r="GLL750" s="574"/>
      <c r="GLM750" s="574"/>
      <c r="GLN750" s="574"/>
      <c r="GLO750" s="574"/>
      <c r="GLP750" s="574"/>
      <c r="GLQ750" s="574"/>
      <c r="GLR750" s="574"/>
      <c r="GLS750" s="574"/>
      <c r="GLT750" s="574"/>
      <c r="GLU750" s="574"/>
      <c r="GLV750" s="574"/>
      <c r="GLW750" s="574"/>
      <c r="GLX750" s="574"/>
      <c r="GLY750" s="574"/>
      <c r="GLZ750" s="574"/>
      <c r="GMA750" s="574"/>
      <c r="GMB750" s="574"/>
      <c r="GMC750" s="574"/>
      <c r="GMD750" s="574"/>
      <c r="GME750" s="574"/>
      <c r="GMF750" s="574"/>
      <c r="GMG750" s="574"/>
      <c r="GMH750" s="574"/>
      <c r="GMI750" s="574"/>
      <c r="GMJ750" s="574"/>
      <c r="GMK750" s="574"/>
      <c r="GML750" s="574"/>
      <c r="GMM750" s="574"/>
      <c r="GMN750" s="574"/>
      <c r="GMO750" s="574"/>
      <c r="GMP750" s="574"/>
      <c r="GMQ750" s="574"/>
      <c r="GMR750" s="574"/>
      <c r="GMS750" s="574"/>
      <c r="GMT750" s="574"/>
      <c r="GMU750" s="574"/>
      <c r="GMV750" s="574"/>
      <c r="GMW750" s="574"/>
      <c r="GMX750" s="574"/>
      <c r="GMY750" s="574"/>
      <c r="GMZ750" s="574"/>
      <c r="GNA750" s="574"/>
      <c r="GNB750" s="574"/>
      <c r="GNC750" s="574"/>
      <c r="GND750" s="574"/>
      <c r="GNE750" s="574"/>
      <c r="GNF750" s="574"/>
      <c r="GNG750" s="574"/>
      <c r="GNH750" s="574"/>
      <c r="GNI750" s="574"/>
      <c r="GNJ750" s="574"/>
      <c r="GNK750" s="574"/>
      <c r="GNL750" s="574"/>
      <c r="GNM750" s="574"/>
      <c r="GNN750" s="574"/>
      <c r="GNO750" s="574"/>
      <c r="GNP750" s="574"/>
      <c r="GNQ750" s="574"/>
      <c r="GNR750" s="574"/>
      <c r="GNS750" s="574"/>
      <c r="GNT750" s="574"/>
      <c r="GNU750" s="574"/>
      <c r="GNV750" s="574"/>
      <c r="GNW750" s="574"/>
      <c r="GNX750" s="574"/>
      <c r="GNY750" s="574"/>
      <c r="GNZ750" s="574"/>
      <c r="GOA750" s="574"/>
      <c r="GOB750" s="574"/>
      <c r="GOC750" s="574"/>
      <c r="GOD750" s="574"/>
      <c r="GOE750" s="574"/>
      <c r="GOF750" s="574"/>
      <c r="GOG750" s="574"/>
      <c r="GOH750" s="574"/>
      <c r="GOI750" s="574"/>
      <c r="GOJ750" s="574"/>
      <c r="GOK750" s="574"/>
      <c r="GOL750" s="574"/>
      <c r="GOM750" s="574"/>
      <c r="GON750" s="574"/>
      <c r="GOO750" s="574"/>
      <c r="GOP750" s="574"/>
      <c r="GOQ750" s="574"/>
      <c r="GOR750" s="574"/>
      <c r="GOS750" s="574"/>
      <c r="GOT750" s="574"/>
      <c r="GOU750" s="574"/>
      <c r="GOV750" s="574"/>
      <c r="GOW750" s="574"/>
      <c r="GOX750" s="574"/>
      <c r="GOY750" s="574"/>
      <c r="GOZ750" s="574"/>
      <c r="GPA750" s="574"/>
      <c r="GPB750" s="574"/>
      <c r="GPC750" s="574"/>
      <c r="GPD750" s="574"/>
      <c r="GPE750" s="574"/>
      <c r="GPF750" s="574"/>
      <c r="GPG750" s="574"/>
      <c r="GPH750" s="574"/>
      <c r="GPI750" s="574"/>
      <c r="GPJ750" s="574"/>
      <c r="GPK750" s="574"/>
      <c r="GPL750" s="574"/>
      <c r="GPM750" s="574"/>
      <c r="GPN750" s="574"/>
      <c r="GPO750" s="574"/>
      <c r="GPP750" s="574"/>
      <c r="GPQ750" s="574"/>
      <c r="GPR750" s="574"/>
      <c r="GPS750" s="574"/>
      <c r="GPT750" s="574"/>
      <c r="GPU750" s="574"/>
      <c r="GPV750" s="574"/>
      <c r="GPW750" s="574"/>
      <c r="GPX750" s="574"/>
      <c r="GPY750" s="574"/>
      <c r="GPZ750" s="574"/>
      <c r="GQA750" s="574"/>
      <c r="GQB750" s="574"/>
      <c r="GQC750" s="574"/>
      <c r="GQD750" s="574"/>
      <c r="GQE750" s="574"/>
      <c r="GQF750" s="574"/>
      <c r="GQG750" s="574"/>
      <c r="GQH750" s="574"/>
      <c r="GQI750" s="574"/>
      <c r="GQJ750" s="574"/>
      <c r="GQK750" s="574"/>
      <c r="GQL750" s="574"/>
      <c r="GQM750" s="574"/>
      <c r="GQN750" s="574"/>
      <c r="GQO750" s="574"/>
      <c r="GQP750" s="574"/>
      <c r="GQQ750" s="574"/>
      <c r="GQR750" s="574"/>
      <c r="GQS750" s="574"/>
      <c r="GQT750" s="574"/>
      <c r="GQU750" s="574"/>
      <c r="GQV750" s="574"/>
      <c r="GQW750" s="574"/>
      <c r="GQX750" s="574"/>
      <c r="GQY750" s="574"/>
      <c r="GQZ750" s="574"/>
      <c r="GRA750" s="574"/>
      <c r="GRB750" s="574"/>
      <c r="GRC750" s="574"/>
      <c r="GRD750" s="574"/>
      <c r="GRE750" s="574"/>
      <c r="GRF750" s="574"/>
      <c r="GRG750" s="574"/>
      <c r="GRH750" s="574"/>
      <c r="GRI750" s="574"/>
      <c r="GRJ750" s="574"/>
      <c r="GRK750" s="574"/>
      <c r="GRL750" s="574"/>
      <c r="GRM750" s="574"/>
      <c r="GRN750" s="574"/>
      <c r="GRO750" s="574"/>
      <c r="GRP750" s="574"/>
      <c r="GRQ750" s="574"/>
      <c r="GRR750" s="574"/>
      <c r="GRS750" s="574"/>
      <c r="GRT750" s="574"/>
      <c r="GRU750" s="574"/>
      <c r="GRV750" s="574"/>
      <c r="GRW750" s="574"/>
      <c r="GRX750" s="574"/>
      <c r="GRY750" s="574"/>
      <c r="GRZ750" s="574"/>
      <c r="GSA750" s="574"/>
      <c r="GSB750" s="574"/>
      <c r="GSC750" s="574"/>
      <c r="GSD750" s="574"/>
      <c r="GSE750" s="574"/>
      <c r="GSF750" s="574"/>
      <c r="GSG750" s="574"/>
      <c r="GSH750" s="574"/>
      <c r="GSI750" s="574"/>
      <c r="GSJ750" s="574"/>
      <c r="GSK750" s="574"/>
      <c r="GSL750" s="574"/>
      <c r="GSM750" s="574"/>
      <c r="GSN750" s="574"/>
      <c r="GSO750" s="574"/>
      <c r="GSP750" s="574"/>
      <c r="GSQ750" s="574"/>
      <c r="GSR750" s="574"/>
      <c r="GSS750" s="574"/>
      <c r="GST750" s="574"/>
      <c r="GSU750" s="574"/>
      <c r="GSV750" s="574"/>
      <c r="GSW750" s="574"/>
      <c r="GSX750" s="574"/>
      <c r="GSY750" s="574"/>
      <c r="GSZ750" s="574"/>
      <c r="GTA750" s="574"/>
      <c r="GTB750" s="574"/>
      <c r="GTC750" s="574"/>
      <c r="GTD750" s="574"/>
      <c r="GTE750" s="574"/>
      <c r="GTF750" s="574"/>
      <c r="GTG750" s="574"/>
      <c r="GTH750" s="574"/>
      <c r="GTI750" s="574"/>
      <c r="GTJ750" s="574"/>
      <c r="GTK750" s="574"/>
      <c r="GTL750" s="574"/>
      <c r="GTM750" s="574"/>
      <c r="GTN750" s="574"/>
      <c r="GTO750" s="574"/>
      <c r="GTP750" s="574"/>
      <c r="GTQ750" s="574"/>
      <c r="GTR750" s="574"/>
      <c r="GTS750" s="574"/>
      <c r="GTT750" s="574"/>
      <c r="GTU750" s="574"/>
      <c r="GTV750" s="574"/>
      <c r="GTW750" s="574"/>
      <c r="GTX750" s="574"/>
      <c r="GTY750" s="574"/>
      <c r="GTZ750" s="574"/>
      <c r="GUA750" s="574"/>
      <c r="GUB750" s="574"/>
      <c r="GUC750" s="574"/>
      <c r="GUD750" s="574"/>
      <c r="GUE750" s="574"/>
      <c r="GUF750" s="574"/>
      <c r="GUG750" s="574"/>
      <c r="GUH750" s="574"/>
      <c r="GUI750" s="574"/>
      <c r="GUJ750" s="574"/>
      <c r="GUK750" s="574"/>
      <c r="GUL750" s="574"/>
      <c r="GUM750" s="574"/>
      <c r="GUN750" s="574"/>
      <c r="GUO750" s="574"/>
      <c r="GUP750" s="574"/>
      <c r="GUQ750" s="574"/>
      <c r="GUR750" s="574"/>
      <c r="GUS750" s="574"/>
      <c r="GUT750" s="574"/>
      <c r="GUU750" s="574"/>
      <c r="GUV750" s="574"/>
      <c r="GUW750" s="574"/>
      <c r="GUX750" s="574"/>
      <c r="GUY750" s="574"/>
      <c r="GUZ750" s="574"/>
      <c r="GVA750" s="574"/>
      <c r="GVB750" s="574"/>
      <c r="GVC750" s="574"/>
      <c r="GVD750" s="574"/>
      <c r="GVE750" s="574"/>
      <c r="GVF750" s="574"/>
      <c r="GVG750" s="574"/>
      <c r="GVH750" s="574"/>
      <c r="GVI750" s="574"/>
      <c r="GVJ750" s="574"/>
      <c r="GVK750" s="574"/>
      <c r="GVL750" s="574"/>
      <c r="GVM750" s="574"/>
      <c r="GVN750" s="574"/>
      <c r="GVO750" s="574"/>
      <c r="GVP750" s="574"/>
      <c r="GVQ750" s="574"/>
      <c r="GVR750" s="574"/>
      <c r="GVS750" s="574"/>
      <c r="GVT750" s="574"/>
      <c r="GVU750" s="574"/>
      <c r="GVV750" s="574"/>
      <c r="GVW750" s="574"/>
      <c r="GVX750" s="574"/>
      <c r="GVY750" s="574"/>
      <c r="GVZ750" s="574"/>
      <c r="GWA750" s="574"/>
      <c r="GWB750" s="574"/>
      <c r="GWC750" s="574"/>
      <c r="GWD750" s="574"/>
      <c r="GWE750" s="574"/>
      <c r="GWF750" s="574"/>
      <c r="GWG750" s="574"/>
      <c r="GWH750" s="574"/>
      <c r="GWI750" s="574"/>
      <c r="GWJ750" s="574"/>
      <c r="GWK750" s="574"/>
      <c r="GWL750" s="574"/>
      <c r="GWM750" s="574"/>
      <c r="GWN750" s="574"/>
      <c r="GWO750" s="574"/>
      <c r="GWP750" s="574"/>
      <c r="GWQ750" s="574"/>
      <c r="GWR750" s="574"/>
      <c r="GWS750" s="574"/>
      <c r="GWT750" s="574"/>
      <c r="GWU750" s="574"/>
      <c r="GWV750" s="574"/>
      <c r="GWW750" s="574"/>
      <c r="GWX750" s="574"/>
      <c r="GWY750" s="574"/>
      <c r="GWZ750" s="574"/>
      <c r="GXA750" s="574"/>
      <c r="GXB750" s="574"/>
      <c r="GXC750" s="574"/>
      <c r="GXD750" s="574"/>
      <c r="GXE750" s="574"/>
      <c r="GXF750" s="574"/>
      <c r="GXG750" s="574"/>
      <c r="GXH750" s="574"/>
      <c r="GXI750" s="574"/>
      <c r="GXJ750" s="574"/>
      <c r="GXK750" s="574"/>
      <c r="GXL750" s="574"/>
      <c r="GXM750" s="574"/>
      <c r="GXN750" s="574"/>
      <c r="GXO750" s="574"/>
      <c r="GXP750" s="574"/>
      <c r="GXQ750" s="574"/>
      <c r="GXR750" s="574"/>
      <c r="GXS750" s="574"/>
      <c r="GXT750" s="574"/>
      <c r="GXU750" s="574"/>
      <c r="GXV750" s="574"/>
      <c r="GXW750" s="574"/>
      <c r="GXX750" s="574"/>
      <c r="GXY750" s="574"/>
      <c r="GXZ750" s="574"/>
      <c r="GYA750" s="574"/>
      <c r="GYB750" s="574"/>
      <c r="GYC750" s="574"/>
      <c r="GYD750" s="574"/>
      <c r="GYE750" s="574"/>
      <c r="GYF750" s="574"/>
      <c r="GYG750" s="574"/>
      <c r="GYH750" s="574"/>
      <c r="GYI750" s="574"/>
      <c r="GYJ750" s="574"/>
      <c r="GYK750" s="574"/>
      <c r="GYL750" s="574"/>
      <c r="GYM750" s="574"/>
      <c r="GYN750" s="574"/>
      <c r="GYO750" s="574"/>
      <c r="GYP750" s="574"/>
      <c r="GYQ750" s="574"/>
      <c r="GYR750" s="574"/>
      <c r="GYS750" s="574"/>
      <c r="GYT750" s="574"/>
      <c r="GYU750" s="574"/>
      <c r="GYV750" s="574"/>
      <c r="GYW750" s="574"/>
      <c r="GYX750" s="574"/>
      <c r="GYY750" s="574"/>
      <c r="GYZ750" s="574"/>
      <c r="GZA750" s="574"/>
      <c r="GZB750" s="574"/>
      <c r="GZC750" s="574"/>
      <c r="GZD750" s="574"/>
      <c r="GZE750" s="574"/>
      <c r="GZF750" s="574"/>
      <c r="GZG750" s="574"/>
      <c r="GZH750" s="574"/>
      <c r="GZI750" s="574"/>
      <c r="GZJ750" s="574"/>
      <c r="GZK750" s="574"/>
      <c r="GZL750" s="574"/>
      <c r="GZM750" s="574"/>
      <c r="GZN750" s="574"/>
      <c r="GZO750" s="574"/>
      <c r="GZP750" s="574"/>
      <c r="GZQ750" s="574"/>
      <c r="GZR750" s="574"/>
      <c r="GZS750" s="574"/>
      <c r="GZT750" s="574"/>
      <c r="GZU750" s="574"/>
      <c r="GZV750" s="574"/>
      <c r="GZW750" s="574"/>
      <c r="GZX750" s="574"/>
      <c r="GZY750" s="574"/>
      <c r="GZZ750" s="574"/>
      <c r="HAA750" s="574"/>
      <c r="HAB750" s="574"/>
      <c r="HAC750" s="574"/>
      <c r="HAD750" s="574"/>
      <c r="HAE750" s="574"/>
      <c r="HAF750" s="574"/>
      <c r="HAG750" s="574"/>
      <c r="HAH750" s="574"/>
      <c r="HAI750" s="574"/>
      <c r="HAJ750" s="574"/>
      <c r="HAK750" s="574"/>
      <c r="HAL750" s="574"/>
      <c r="HAM750" s="574"/>
      <c r="HAN750" s="574"/>
      <c r="HAO750" s="574"/>
      <c r="HAP750" s="574"/>
      <c r="HAQ750" s="574"/>
      <c r="HAR750" s="574"/>
      <c r="HAS750" s="574"/>
      <c r="HAT750" s="574"/>
      <c r="HAU750" s="574"/>
      <c r="HAV750" s="574"/>
      <c r="HAW750" s="574"/>
      <c r="HAX750" s="574"/>
      <c r="HAY750" s="574"/>
      <c r="HAZ750" s="574"/>
      <c r="HBA750" s="574"/>
      <c r="HBB750" s="574"/>
      <c r="HBC750" s="574"/>
      <c r="HBD750" s="574"/>
      <c r="HBE750" s="574"/>
      <c r="HBF750" s="574"/>
      <c r="HBG750" s="574"/>
      <c r="HBH750" s="574"/>
      <c r="HBI750" s="574"/>
      <c r="HBJ750" s="574"/>
      <c r="HBK750" s="574"/>
      <c r="HBL750" s="574"/>
      <c r="HBM750" s="574"/>
      <c r="HBN750" s="574"/>
      <c r="HBO750" s="574"/>
      <c r="HBP750" s="574"/>
      <c r="HBQ750" s="574"/>
      <c r="HBR750" s="574"/>
      <c r="HBS750" s="574"/>
      <c r="HBT750" s="574"/>
      <c r="HBU750" s="574"/>
      <c r="HBV750" s="574"/>
      <c r="HBW750" s="574"/>
      <c r="HBX750" s="574"/>
      <c r="HBY750" s="574"/>
      <c r="HBZ750" s="574"/>
      <c r="HCA750" s="574"/>
      <c r="HCB750" s="574"/>
      <c r="HCC750" s="574"/>
      <c r="HCD750" s="574"/>
      <c r="HCE750" s="574"/>
      <c r="HCF750" s="574"/>
      <c r="HCG750" s="574"/>
      <c r="HCH750" s="574"/>
      <c r="HCI750" s="574"/>
      <c r="HCJ750" s="574"/>
      <c r="HCK750" s="574"/>
      <c r="HCL750" s="574"/>
      <c r="HCM750" s="574"/>
      <c r="HCN750" s="574"/>
      <c r="HCO750" s="574"/>
      <c r="HCP750" s="574"/>
      <c r="HCQ750" s="574"/>
      <c r="HCR750" s="574"/>
      <c r="HCS750" s="574"/>
      <c r="HCT750" s="574"/>
      <c r="HCU750" s="574"/>
      <c r="HCV750" s="574"/>
      <c r="HCW750" s="574"/>
      <c r="HCX750" s="574"/>
      <c r="HCY750" s="574"/>
      <c r="HCZ750" s="574"/>
      <c r="HDA750" s="574"/>
      <c r="HDB750" s="574"/>
      <c r="HDC750" s="574"/>
      <c r="HDD750" s="574"/>
      <c r="HDE750" s="574"/>
      <c r="HDF750" s="574"/>
      <c r="HDG750" s="574"/>
      <c r="HDH750" s="574"/>
      <c r="HDI750" s="574"/>
      <c r="HDJ750" s="574"/>
      <c r="HDK750" s="574"/>
      <c r="HDL750" s="574"/>
      <c r="HDM750" s="574"/>
      <c r="HDN750" s="574"/>
      <c r="HDO750" s="574"/>
      <c r="HDP750" s="574"/>
      <c r="HDQ750" s="574"/>
      <c r="HDR750" s="574"/>
      <c r="HDS750" s="574"/>
      <c r="HDT750" s="574"/>
      <c r="HDU750" s="574"/>
      <c r="HDV750" s="574"/>
      <c r="HDW750" s="574"/>
      <c r="HDX750" s="574"/>
      <c r="HDY750" s="574"/>
      <c r="HDZ750" s="574"/>
      <c r="HEA750" s="574"/>
      <c r="HEB750" s="574"/>
      <c r="HEC750" s="574"/>
      <c r="HED750" s="574"/>
      <c r="HEE750" s="574"/>
      <c r="HEF750" s="574"/>
      <c r="HEG750" s="574"/>
      <c r="HEH750" s="574"/>
      <c r="HEI750" s="574"/>
      <c r="HEJ750" s="574"/>
      <c r="HEK750" s="574"/>
      <c r="HEL750" s="574"/>
      <c r="HEM750" s="574"/>
      <c r="HEN750" s="574"/>
      <c r="HEO750" s="574"/>
      <c r="HEP750" s="574"/>
      <c r="HEQ750" s="574"/>
      <c r="HER750" s="574"/>
      <c r="HES750" s="574"/>
      <c r="HET750" s="574"/>
      <c r="HEU750" s="574"/>
      <c r="HEV750" s="574"/>
      <c r="HEW750" s="574"/>
      <c r="HEX750" s="574"/>
      <c r="HEY750" s="574"/>
      <c r="HEZ750" s="574"/>
      <c r="HFA750" s="574"/>
      <c r="HFB750" s="574"/>
      <c r="HFC750" s="574"/>
      <c r="HFD750" s="574"/>
      <c r="HFE750" s="574"/>
      <c r="HFF750" s="574"/>
      <c r="HFG750" s="574"/>
      <c r="HFH750" s="574"/>
      <c r="HFI750" s="574"/>
      <c r="HFJ750" s="574"/>
      <c r="HFK750" s="574"/>
      <c r="HFL750" s="574"/>
      <c r="HFM750" s="574"/>
      <c r="HFN750" s="574"/>
      <c r="HFO750" s="574"/>
      <c r="HFP750" s="574"/>
      <c r="HFQ750" s="574"/>
      <c r="HFR750" s="574"/>
      <c r="HFS750" s="574"/>
      <c r="HFT750" s="574"/>
      <c r="HFU750" s="574"/>
      <c r="HFV750" s="574"/>
      <c r="HFW750" s="574"/>
      <c r="HFX750" s="574"/>
      <c r="HFY750" s="574"/>
      <c r="HFZ750" s="574"/>
      <c r="HGA750" s="574"/>
      <c r="HGB750" s="574"/>
      <c r="HGC750" s="574"/>
      <c r="HGD750" s="574"/>
      <c r="HGE750" s="574"/>
      <c r="HGF750" s="574"/>
      <c r="HGG750" s="574"/>
      <c r="HGH750" s="574"/>
      <c r="HGI750" s="574"/>
      <c r="HGJ750" s="574"/>
      <c r="HGK750" s="574"/>
      <c r="HGL750" s="574"/>
      <c r="HGM750" s="574"/>
      <c r="HGN750" s="574"/>
      <c r="HGO750" s="574"/>
      <c r="HGP750" s="574"/>
      <c r="HGQ750" s="574"/>
      <c r="HGR750" s="574"/>
      <c r="HGS750" s="574"/>
      <c r="HGT750" s="574"/>
      <c r="HGU750" s="574"/>
      <c r="HGV750" s="574"/>
      <c r="HGW750" s="574"/>
      <c r="HGX750" s="574"/>
      <c r="HGY750" s="574"/>
      <c r="HGZ750" s="574"/>
      <c r="HHA750" s="574"/>
      <c r="HHB750" s="574"/>
      <c r="HHC750" s="574"/>
      <c r="HHD750" s="574"/>
      <c r="HHE750" s="574"/>
      <c r="HHF750" s="574"/>
      <c r="HHG750" s="574"/>
      <c r="HHH750" s="574"/>
      <c r="HHI750" s="574"/>
      <c r="HHJ750" s="574"/>
      <c r="HHK750" s="574"/>
      <c r="HHL750" s="574"/>
      <c r="HHM750" s="574"/>
      <c r="HHN750" s="574"/>
      <c r="HHO750" s="574"/>
      <c r="HHP750" s="574"/>
      <c r="HHQ750" s="574"/>
      <c r="HHR750" s="574"/>
      <c r="HHS750" s="574"/>
      <c r="HHT750" s="574"/>
      <c r="HHU750" s="574"/>
      <c r="HHV750" s="574"/>
      <c r="HHW750" s="574"/>
      <c r="HHX750" s="574"/>
      <c r="HHY750" s="574"/>
      <c r="HHZ750" s="574"/>
      <c r="HIA750" s="574"/>
      <c r="HIB750" s="574"/>
      <c r="HIC750" s="574"/>
      <c r="HID750" s="574"/>
      <c r="HIE750" s="574"/>
      <c r="HIF750" s="574"/>
      <c r="HIG750" s="574"/>
      <c r="HIH750" s="574"/>
      <c r="HII750" s="574"/>
      <c r="HIJ750" s="574"/>
      <c r="HIK750" s="574"/>
      <c r="HIL750" s="574"/>
      <c r="HIM750" s="574"/>
      <c r="HIN750" s="574"/>
      <c r="HIO750" s="574"/>
      <c r="HIP750" s="574"/>
      <c r="HIQ750" s="574"/>
      <c r="HIR750" s="574"/>
      <c r="HIS750" s="574"/>
      <c r="HIT750" s="574"/>
      <c r="HIU750" s="574"/>
      <c r="HIV750" s="574"/>
      <c r="HIW750" s="574"/>
      <c r="HIX750" s="574"/>
      <c r="HIY750" s="574"/>
      <c r="HIZ750" s="574"/>
      <c r="HJA750" s="574"/>
      <c r="HJB750" s="574"/>
      <c r="HJC750" s="574"/>
      <c r="HJD750" s="574"/>
      <c r="HJE750" s="574"/>
      <c r="HJF750" s="574"/>
      <c r="HJG750" s="574"/>
      <c r="HJH750" s="574"/>
      <c r="HJI750" s="574"/>
      <c r="HJJ750" s="574"/>
      <c r="HJK750" s="574"/>
      <c r="HJL750" s="574"/>
      <c r="HJM750" s="574"/>
      <c r="HJN750" s="574"/>
      <c r="HJO750" s="574"/>
      <c r="HJP750" s="574"/>
      <c r="HJQ750" s="574"/>
      <c r="HJR750" s="574"/>
      <c r="HJS750" s="574"/>
      <c r="HJT750" s="574"/>
      <c r="HJU750" s="574"/>
      <c r="HJV750" s="574"/>
      <c r="HJW750" s="574"/>
      <c r="HJX750" s="574"/>
      <c r="HJY750" s="574"/>
      <c r="HJZ750" s="574"/>
      <c r="HKA750" s="574"/>
      <c r="HKB750" s="574"/>
      <c r="HKC750" s="574"/>
      <c r="HKD750" s="574"/>
      <c r="HKE750" s="574"/>
      <c r="HKF750" s="574"/>
      <c r="HKG750" s="574"/>
      <c r="HKH750" s="574"/>
      <c r="HKI750" s="574"/>
      <c r="HKJ750" s="574"/>
      <c r="HKK750" s="574"/>
      <c r="HKL750" s="574"/>
      <c r="HKM750" s="574"/>
      <c r="HKN750" s="574"/>
      <c r="HKO750" s="574"/>
      <c r="HKP750" s="574"/>
      <c r="HKQ750" s="574"/>
      <c r="HKR750" s="574"/>
      <c r="HKS750" s="574"/>
      <c r="HKT750" s="574"/>
      <c r="HKU750" s="574"/>
      <c r="HKV750" s="574"/>
      <c r="HKW750" s="574"/>
      <c r="HKX750" s="574"/>
      <c r="HKY750" s="574"/>
      <c r="HKZ750" s="574"/>
      <c r="HLA750" s="574"/>
      <c r="HLB750" s="574"/>
      <c r="HLC750" s="574"/>
      <c r="HLD750" s="574"/>
      <c r="HLE750" s="574"/>
      <c r="HLF750" s="574"/>
      <c r="HLG750" s="574"/>
      <c r="HLH750" s="574"/>
      <c r="HLI750" s="574"/>
      <c r="HLJ750" s="574"/>
      <c r="HLK750" s="574"/>
      <c r="HLL750" s="574"/>
      <c r="HLM750" s="574"/>
      <c r="HLN750" s="574"/>
      <c r="HLO750" s="574"/>
      <c r="HLP750" s="574"/>
      <c r="HLQ750" s="574"/>
      <c r="HLR750" s="574"/>
      <c r="HLS750" s="574"/>
      <c r="HLT750" s="574"/>
      <c r="HLU750" s="574"/>
      <c r="HLV750" s="574"/>
      <c r="HLW750" s="574"/>
      <c r="HLX750" s="574"/>
      <c r="HLY750" s="574"/>
      <c r="HLZ750" s="574"/>
      <c r="HMA750" s="574"/>
      <c r="HMB750" s="574"/>
      <c r="HMC750" s="574"/>
      <c r="HMD750" s="574"/>
      <c r="HME750" s="574"/>
      <c r="HMF750" s="574"/>
      <c r="HMG750" s="574"/>
      <c r="HMH750" s="574"/>
      <c r="HMI750" s="574"/>
      <c r="HMJ750" s="574"/>
      <c r="HMK750" s="574"/>
      <c r="HML750" s="574"/>
      <c r="HMM750" s="574"/>
      <c r="HMN750" s="574"/>
      <c r="HMO750" s="574"/>
      <c r="HMP750" s="574"/>
      <c r="HMQ750" s="574"/>
      <c r="HMR750" s="574"/>
      <c r="HMS750" s="574"/>
      <c r="HMT750" s="574"/>
      <c r="HMU750" s="574"/>
      <c r="HMV750" s="574"/>
      <c r="HMW750" s="574"/>
      <c r="HMX750" s="574"/>
      <c r="HMY750" s="574"/>
      <c r="HMZ750" s="574"/>
      <c r="HNA750" s="574"/>
      <c r="HNB750" s="574"/>
      <c r="HNC750" s="574"/>
      <c r="HND750" s="574"/>
      <c r="HNE750" s="574"/>
      <c r="HNF750" s="574"/>
      <c r="HNG750" s="574"/>
      <c r="HNH750" s="574"/>
      <c r="HNI750" s="574"/>
      <c r="HNJ750" s="574"/>
      <c r="HNK750" s="574"/>
      <c r="HNL750" s="574"/>
      <c r="HNM750" s="574"/>
      <c r="HNN750" s="574"/>
      <c r="HNO750" s="574"/>
      <c r="HNP750" s="574"/>
      <c r="HNQ750" s="574"/>
      <c r="HNR750" s="574"/>
      <c r="HNS750" s="574"/>
      <c r="HNT750" s="574"/>
      <c r="HNU750" s="574"/>
      <c r="HNV750" s="574"/>
      <c r="HNW750" s="574"/>
      <c r="HNX750" s="574"/>
      <c r="HNY750" s="574"/>
      <c r="HNZ750" s="574"/>
      <c r="HOA750" s="574"/>
      <c r="HOB750" s="574"/>
      <c r="HOC750" s="574"/>
      <c r="HOD750" s="574"/>
      <c r="HOE750" s="574"/>
      <c r="HOF750" s="574"/>
      <c r="HOG750" s="574"/>
      <c r="HOH750" s="574"/>
      <c r="HOI750" s="574"/>
      <c r="HOJ750" s="574"/>
      <c r="HOK750" s="574"/>
      <c r="HOL750" s="574"/>
      <c r="HOM750" s="574"/>
      <c r="HON750" s="574"/>
      <c r="HOO750" s="574"/>
      <c r="HOP750" s="574"/>
      <c r="HOQ750" s="574"/>
      <c r="HOR750" s="574"/>
      <c r="HOS750" s="574"/>
      <c r="HOT750" s="574"/>
      <c r="HOU750" s="574"/>
      <c r="HOV750" s="574"/>
      <c r="HOW750" s="574"/>
      <c r="HOX750" s="574"/>
      <c r="HOY750" s="574"/>
      <c r="HOZ750" s="574"/>
      <c r="HPA750" s="574"/>
      <c r="HPB750" s="574"/>
      <c r="HPC750" s="574"/>
      <c r="HPD750" s="574"/>
      <c r="HPE750" s="574"/>
      <c r="HPF750" s="574"/>
      <c r="HPG750" s="574"/>
      <c r="HPH750" s="574"/>
      <c r="HPI750" s="574"/>
      <c r="HPJ750" s="574"/>
      <c r="HPK750" s="574"/>
      <c r="HPL750" s="574"/>
      <c r="HPM750" s="574"/>
      <c r="HPN750" s="574"/>
      <c r="HPO750" s="574"/>
      <c r="HPP750" s="574"/>
      <c r="HPQ750" s="574"/>
      <c r="HPR750" s="574"/>
      <c r="HPS750" s="574"/>
      <c r="HPT750" s="574"/>
      <c r="HPU750" s="574"/>
      <c r="HPV750" s="574"/>
      <c r="HPW750" s="574"/>
      <c r="HPX750" s="574"/>
      <c r="HPY750" s="574"/>
      <c r="HPZ750" s="574"/>
      <c r="HQA750" s="574"/>
      <c r="HQB750" s="574"/>
      <c r="HQC750" s="574"/>
      <c r="HQD750" s="574"/>
      <c r="HQE750" s="574"/>
      <c r="HQF750" s="574"/>
      <c r="HQG750" s="574"/>
      <c r="HQH750" s="574"/>
      <c r="HQI750" s="574"/>
      <c r="HQJ750" s="574"/>
      <c r="HQK750" s="574"/>
      <c r="HQL750" s="574"/>
      <c r="HQM750" s="574"/>
      <c r="HQN750" s="574"/>
      <c r="HQO750" s="574"/>
      <c r="HQP750" s="574"/>
      <c r="HQQ750" s="574"/>
      <c r="HQR750" s="574"/>
      <c r="HQS750" s="574"/>
      <c r="HQT750" s="574"/>
      <c r="HQU750" s="574"/>
      <c r="HQV750" s="574"/>
      <c r="HQW750" s="574"/>
      <c r="HQX750" s="574"/>
      <c r="HQY750" s="574"/>
      <c r="HQZ750" s="574"/>
      <c r="HRA750" s="574"/>
      <c r="HRB750" s="574"/>
      <c r="HRC750" s="574"/>
      <c r="HRD750" s="574"/>
      <c r="HRE750" s="574"/>
      <c r="HRF750" s="574"/>
      <c r="HRG750" s="574"/>
      <c r="HRH750" s="574"/>
      <c r="HRI750" s="574"/>
      <c r="HRJ750" s="574"/>
      <c r="HRK750" s="574"/>
      <c r="HRL750" s="574"/>
      <c r="HRM750" s="574"/>
      <c r="HRN750" s="574"/>
      <c r="HRO750" s="574"/>
      <c r="HRP750" s="574"/>
      <c r="HRQ750" s="574"/>
      <c r="HRR750" s="574"/>
      <c r="HRS750" s="574"/>
      <c r="HRT750" s="574"/>
      <c r="HRU750" s="574"/>
      <c r="HRV750" s="574"/>
      <c r="HRW750" s="574"/>
      <c r="HRX750" s="574"/>
      <c r="HRY750" s="574"/>
      <c r="HRZ750" s="574"/>
      <c r="HSA750" s="574"/>
      <c r="HSB750" s="574"/>
      <c r="HSC750" s="574"/>
      <c r="HSD750" s="574"/>
      <c r="HSE750" s="574"/>
      <c r="HSF750" s="574"/>
      <c r="HSG750" s="574"/>
      <c r="HSH750" s="574"/>
      <c r="HSI750" s="574"/>
      <c r="HSJ750" s="574"/>
      <c r="HSK750" s="574"/>
      <c r="HSL750" s="574"/>
      <c r="HSM750" s="574"/>
      <c r="HSN750" s="574"/>
      <c r="HSO750" s="574"/>
      <c r="HSP750" s="574"/>
      <c r="HSQ750" s="574"/>
      <c r="HSR750" s="574"/>
      <c r="HSS750" s="574"/>
      <c r="HST750" s="574"/>
      <c r="HSU750" s="574"/>
      <c r="HSV750" s="574"/>
      <c r="HSW750" s="574"/>
      <c r="HSX750" s="574"/>
      <c r="HSY750" s="574"/>
      <c r="HSZ750" s="574"/>
      <c r="HTA750" s="574"/>
      <c r="HTB750" s="574"/>
      <c r="HTC750" s="574"/>
      <c r="HTD750" s="574"/>
      <c r="HTE750" s="574"/>
      <c r="HTF750" s="574"/>
      <c r="HTG750" s="574"/>
      <c r="HTH750" s="574"/>
      <c r="HTI750" s="574"/>
      <c r="HTJ750" s="574"/>
      <c r="HTK750" s="574"/>
      <c r="HTL750" s="574"/>
      <c r="HTM750" s="574"/>
      <c r="HTN750" s="574"/>
      <c r="HTO750" s="574"/>
      <c r="HTP750" s="574"/>
      <c r="HTQ750" s="574"/>
      <c r="HTR750" s="574"/>
      <c r="HTS750" s="574"/>
      <c r="HTT750" s="574"/>
      <c r="HTU750" s="574"/>
      <c r="HTV750" s="574"/>
      <c r="HTW750" s="574"/>
      <c r="HTX750" s="574"/>
      <c r="HTY750" s="574"/>
      <c r="HTZ750" s="574"/>
      <c r="HUA750" s="574"/>
      <c r="HUB750" s="574"/>
      <c r="HUC750" s="574"/>
      <c r="HUD750" s="574"/>
      <c r="HUE750" s="574"/>
      <c r="HUF750" s="574"/>
      <c r="HUG750" s="574"/>
      <c r="HUH750" s="574"/>
      <c r="HUI750" s="574"/>
      <c r="HUJ750" s="574"/>
      <c r="HUK750" s="574"/>
      <c r="HUL750" s="574"/>
      <c r="HUM750" s="574"/>
      <c r="HUN750" s="574"/>
      <c r="HUO750" s="574"/>
      <c r="HUP750" s="574"/>
      <c r="HUQ750" s="574"/>
      <c r="HUR750" s="574"/>
      <c r="HUS750" s="574"/>
      <c r="HUT750" s="574"/>
      <c r="HUU750" s="574"/>
      <c r="HUV750" s="574"/>
      <c r="HUW750" s="574"/>
      <c r="HUX750" s="574"/>
      <c r="HUY750" s="574"/>
      <c r="HUZ750" s="574"/>
      <c r="HVA750" s="574"/>
      <c r="HVB750" s="574"/>
      <c r="HVC750" s="574"/>
      <c r="HVD750" s="574"/>
      <c r="HVE750" s="574"/>
      <c r="HVF750" s="574"/>
      <c r="HVG750" s="574"/>
      <c r="HVH750" s="574"/>
      <c r="HVI750" s="574"/>
      <c r="HVJ750" s="574"/>
      <c r="HVK750" s="574"/>
      <c r="HVL750" s="574"/>
      <c r="HVM750" s="574"/>
      <c r="HVN750" s="574"/>
      <c r="HVO750" s="574"/>
      <c r="HVP750" s="574"/>
      <c r="HVQ750" s="574"/>
      <c r="HVR750" s="574"/>
      <c r="HVS750" s="574"/>
      <c r="HVT750" s="574"/>
      <c r="HVU750" s="574"/>
      <c r="HVV750" s="574"/>
      <c r="HVW750" s="574"/>
      <c r="HVX750" s="574"/>
      <c r="HVY750" s="574"/>
      <c r="HVZ750" s="574"/>
      <c r="HWA750" s="574"/>
      <c r="HWB750" s="574"/>
      <c r="HWC750" s="574"/>
      <c r="HWD750" s="574"/>
      <c r="HWE750" s="574"/>
      <c r="HWF750" s="574"/>
      <c r="HWG750" s="574"/>
      <c r="HWH750" s="574"/>
      <c r="HWI750" s="574"/>
      <c r="HWJ750" s="574"/>
      <c r="HWK750" s="574"/>
      <c r="HWL750" s="574"/>
      <c r="HWM750" s="574"/>
      <c r="HWN750" s="574"/>
      <c r="HWO750" s="574"/>
      <c r="HWP750" s="574"/>
      <c r="HWQ750" s="574"/>
      <c r="HWR750" s="574"/>
      <c r="HWS750" s="574"/>
      <c r="HWT750" s="574"/>
      <c r="HWU750" s="574"/>
      <c r="HWV750" s="574"/>
      <c r="HWW750" s="574"/>
      <c r="HWX750" s="574"/>
      <c r="HWY750" s="574"/>
      <c r="HWZ750" s="574"/>
      <c r="HXA750" s="574"/>
      <c r="HXB750" s="574"/>
      <c r="HXC750" s="574"/>
      <c r="HXD750" s="574"/>
      <c r="HXE750" s="574"/>
      <c r="HXF750" s="574"/>
      <c r="HXG750" s="574"/>
      <c r="HXH750" s="574"/>
      <c r="HXI750" s="574"/>
      <c r="HXJ750" s="574"/>
      <c r="HXK750" s="574"/>
      <c r="HXL750" s="574"/>
      <c r="HXM750" s="574"/>
      <c r="HXN750" s="574"/>
      <c r="HXO750" s="574"/>
      <c r="HXP750" s="574"/>
      <c r="HXQ750" s="574"/>
      <c r="HXR750" s="574"/>
      <c r="HXS750" s="574"/>
      <c r="HXT750" s="574"/>
      <c r="HXU750" s="574"/>
      <c r="HXV750" s="574"/>
      <c r="HXW750" s="574"/>
      <c r="HXX750" s="574"/>
      <c r="HXY750" s="574"/>
      <c r="HXZ750" s="574"/>
      <c r="HYA750" s="574"/>
      <c r="HYB750" s="574"/>
      <c r="HYC750" s="574"/>
      <c r="HYD750" s="574"/>
      <c r="HYE750" s="574"/>
      <c r="HYF750" s="574"/>
      <c r="HYG750" s="574"/>
      <c r="HYH750" s="574"/>
      <c r="HYI750" s="574"/>
      <c r="HYJ750" s="574"/>
      <c r="HYK750" s="574"/>
      <c r="HYL750" s="574"/>
      <c r="HYM750" s="574"/>
      <c r="HYN750" s="574"/>
      <c r="HYO750" s="574"/>
      <c r="HYP750" s="574"/>
      <c r="HYQ750" s="574"/>
      <c r="HYR750" s="574"/>
      <c r="HYS750" s="574"/>
      <c r="HYT750" s="574"/>
      <c r="HYU750" s="574"/>
      <c r="HYV750" s="574"/>
      <c r="HYW750" s="574"/>
      <c r="HYX750" s="574"/>
      <c r="HYY750" s="574"/>
      <c r="HYZ750" s="574"/>
      <c r="HZA750" s="574"/>
      <c r="HZB750" s="574"/>
      <c r="HZC750" s="574"/>
      <c r="HZD750" s="574"/>
      <c r="HZE750" s="574"/>
      <c r="HZF750" s="574"/>
      <c r="HZG750" s="574"/>
      <c r="HZH750" s="574"/>
      <c r="HZI750" s="574"/>
      <c r="HZJ750" s="574"/>
      <c r="HZK750" s="574"/>
      <c r="HZL750" s="574"/>
      <c r="HZM750" s="574"/>
      <c r="HZN750" s="574"/>
      <c r="HZO750" s="574"/>
      <c r="HZP750" s="574"/>
      <c r="HZQ750" s="574"/>
      <c r="HZR750" s="574"/>
      <c r="HZS750" s="574"/>
      <c r="HZT750" s="574"/>
      <c r="HZU750" s="574"/>
      <c r="HZV750" s="574"/>
      <c r="HZW750" s="574"/>
      <c r="HZX750" s="574"/>
      <c r="HZY750" s="574"/>
      <c r="HZZ750" s="574"/>
      <c r="IAA750" s="574"/>
      <c r="IAB750" s="574"/>
      <c r="IAC750" s="574"/>
      <c r="IAD750" s="574"/>
      <c r="IAE750" s="574"/>
      <c r="IAF750" s="574"/>
      <c r="IAG750" s="574"/>
      <c r="IAH750" s="574"/>
      <c r="IAI750" s="574"/>
      <c r="IAJ750" s="574"/>
      <c r="IAK750" s="574"/>
      <c r="IAL750" s="574"/>
      <c r="IAM750" s="574"/>
      <c r="IAN750" s="574"/>
      <c r="IAO750" s="574"/>
      <c r="IAP750" s="574"/>
      <c r="IAQ750" s="574"/>
      <c r="IAR750" s="574"/>
      <c r="IAS750" s="574"/>
      <c r="IAT750" s="574"/>
      <c r="IAU750" s="574"/>
      <c r="IAV750" s="574"/>
      <c r="IAW750" s="574"/>
      <c r="IAX750" s="574"/>
      <c r="IAY750" s="574"/>
      <c r="IAZ750" s="574"/>
      <c r="IBA750" s="574"/>
      <c r="IBB750" s="574"/>
      <c r="IBC750" s="574"/>
      <c r="IBD750" s="574"/>
      <c r="IBE750" s="574"/>
      <c r="IBF750" s="574"/>
      <c r="IBG750" s="574"/>
      <c r="IBH750" s="574"/>
      <c r="IBI750" s="574"/>
      <c r="IBJ750" s="574"/>
      <c r="IBK750" s="574"/>
      <c r="IBL750" s="574"/>
      <c r="IBM750" s="574"/>
      <c r="IBN750" s="574"/>
      <c r="IBO750" s="574"/>
      <c r="IBP750" s="574"/>
      <c r="IBQ750" s="574"/>
      <c r="IBR750" s="574"/>
      <c r="IBS750" s="574"/>
      <c r="IBT750" s="574"/>
      <c r="IBU750" s="574"/>
      <c r="IBV750" s="574"/>
      <c r="IBW750" s="574"/>
      <c r="IBX750" s="574"/>
      <c r="IBY750" s="574"/>
      <c r="IBZ750" s="574"/>
      <c r="ICA750" s="574"/>
      <c r="ICB750" s="574"/>
      <c r="ICC750" s="574"/>
      <c r="ICD750" s="574"/>
      <c r="ICE750" s="574"/>
      <c r="ICF750" s="574"/>
      <c r="ICG750" s="574"/>
      <c r="ICH750" s="574"/>
      <c r="ICI750" s="574"/>
      <c r="ICJ750" s="574"/>
      <c r="ICK750" s="574"/>
      <c r="ICL750" s="574"/>
      <c r="ICM750" s="574"/>
      <c r="ICN750" s="574"/>
      <c r="ICO750" s="574"/>
      <c r="ICP750" s="574"/>
      <c r="ICQ750" s="574"/>
      <c r="ICR750" s="574"/>
      <c r="ICS750" s="574"/>
      <c r="ICT750" s="574"/>
      <c r="ICU750" s="574"/>
      <c r="ICV750" s="574"/>
      <c r="ICW750" s="574"/>
      <c r="ICX750" s="574"/>
      <c r="ICY750" s="574"/>
      <c r="ICZ750" s="574"/>
      <c r="IDA750" s="574"/>
      <c r="IDB750" s="574"/>
      <c r="IDC750" s="574"/>
      <c r="IDD750" s="574"/>
      <c r="IDE750" s="574"/>
      <c r="IDF750" s="574"/>
      <c r="IDG750" s="574"/>
      <c r="IDH750" s="574"/>
      <c r="IDI750" s="574"/>
      <c r="IDJ750" s="574"/>
      <c r="IDK750" s="574"/>
      <c r="IDL750" s="574"/>
      <c r="IDM750" s="574"/>
      <c r="IDN750" s="574"/>
      <c r="IDO750" s="574"/>
      <c r="IDP750" s="574"/>
      <c r="IDQ750" s="574"/>
      <c r="IDR750" s="574"/>
      <c r="IDS750" s="574"/>
      <c r="IDT750" s="574"/>
      <c r="IDU750" s="574"/>
      <c r="IDV750" s="574"/>
      <c r="IDW750" s="574"/>
      <c r="IDX750" s="574"/>
      <c r="IDY750" s="574"/>
      <c r="IDZ750" s="574"/>
      <c r="IEA750" s="574"/>
      <c r="IEB750" s="574"/>
      <c r="IEC750" s="574"/>
      <c r="IED750" s="574"/>
      <c r="IEE750" s="574"/>
      <c r="IEF750" s="574"/>
      <c r="IEG750" s="574"/>
      <c r="IEH750" s="574"/>
      <c r="IEI750" s="574"/>
      <c r="IEJ750" s="574"/>
      <c r="IEK750" s="574"/>
      <c r="IEL750" s="574"/>
      <c r="IEM750" s="574"/>
      <c r="IEN750" s="574"/>
      <c r="IEO750" s="574"/>
      <c r="IEP750" s="574"/>
      <c r="IEQ750" s="574"/>
      <c r="IER750" s="574"/>
      <c r="IES750" s="574"/>
      <c r="IET750" s="574"/>
      <c r="IEU750" s="574"/>
      <c r="IEV750" s="574"/>
      <c r="IEW750" s="574"/>
      <c r="IEX750" s="574"/>
      <c r="IEY750" s="574"/>
      <c r="IEZ750" s="574"/>
      <c r="IFA750" s="574"/>
      <c r="IFB750" s="574"/>
      <c r="IFC750" s="574"/>
      <c r="IFD750" s="574"/>
      <c r="IFE750" s="574"/>
      <c r="IFF750" s="574"/>
      <c r="IFG750" s="574"/>
      <c r="IFH750" s="574"/>
      <c r="IFI750" s="574"/>
      <c r="IFJ750" s="574"/>
      <c r="IFK750" s="574"/>
      <c r="IFL750" s="574"/>
      <c r="IFM750" s="574"/>
      <c r="IFN750" s="574"/>
      <c r="IFO750" s="574"/>
      <c r="IFP750" s="574"/>
      <c r="IFQ750" s="574"/>
      <c r="IFR750" s="574"/>
      <c r="IFS750" s="574"/>
      <c r="IFT750" s="574"/>
      <c r="IFU750" s="574"/>
      <c r="IFV750" s="574"/>
      <c r="IFW750" s="574"/>
      <c r="IFX750" s="574"/>
      <c r="IFY750" s="574"/>
      <c r="IFZ750" s="574"/>
      <c r="IGA750" s="574"/>
      <c r="IGB750" s="574"/>
      <c r="IGC750" s="574"/>
      <c r="IGD750" s="574"/>
      <c r="IGE750" s="574"/>
      <c r="IGF750" s="574"/>
      <c r="IGG750" s="574"/>
      <c r="IGH750" s="574"/>
      <c r="IGI750" s="574"/>
      <c r="IGJ750" s="574"/>
      <c r="IGK750" s="574"/>
      <c r="IGL750" s="574"/>
      <c r="IGM750" s="574"/>
      <c r="IGN750" s="574"/>
      <c r="IGO750" s="574"/>
      <c r="IGP750" s="574"/>
      <c r="IGQ750" s="574"/>
      <c r="IGR750" s="574"/>
      <c r="IGS750" s="574"/>
      <c r="IGT750" s="574"/>
      <c r="IGU750" s="574"/>
      <c r="IGV750" s="574"/>
      <c r="IGW750" s="574"/>
      <c r="IGX750" s="574"/>
      <c r="IGY750" s="574"/>
      <c r="IGZ750" s="574"/>
      <c r="IHA750" s="574"/>
      <c r="IHB750" s="574"/>
      <c r="IHC750" s="574"/>
      <c r="IHD750" s="574"/>
      <c r="IHE750" s="574"/>
      <c r="IHF750" s="574"/>
      <c r="IHG750" s="574"/>
      <c r="IHH750" s="574"/>
      <c r="IHI750" s="574"/>
      <c r="IHJ750" s="574"/>
      <c r="IHK750" s="574"/>
      <c r="IHL750" s="574"/>
      <c r="IHM750" s="574"/>
      <c r="IHN750" s="574"/>
      <c r="IHO750" s="574"/>
      <c r="IHP750" s="574"/>
      <c r="IHQ750" s="574"/>
      <c r="IHR750" s="574"/>
      <c r="IHS750" s="574"/>
      <c r="IHT750" s="574"/>
      <c r="IHU750" s="574"/>
      <c r="IHV750" s="574"/>
      <c r="IHW750" s="574"/>
      <c r="IHX750" s="574"/>
      <c r="IHY750" s="574"/>
      <c r="IHZ750" s="574"/>
      <c r="IIA750" s="574"/>
      <c r="IIB750" s="574"/>
      <c r="IIC750" s="574"/>
      <c r="IID750" s="574"/>
      <c r="IIE750" s="574"/>
      <c r="IIF750" s="574"/>
      <c r="IIG750" s="574"/>
      <c r="IIH750" s="574"/>
      <c r="III750" s="574"/>
      <c r="IIJ750" s="574"/>
      <c r="IIK750" s="574"/>
      <c r="IIL750" s="574"/>
      <c r="IIM750" s="574"/>
      <c r="IIN750" s="574"/>
      <c r="IIO750" s="574"/>
      <c r="IIP750" s="574"/>
      <c r="IIQ750" s="574"/>
      <c r="IIR750" s="574"/>
      <c r="IIS750" s="574"/>
      <c r="IIT750" s="574"/>
      <c r="IIU750" s="574"/>
      <c r="IIV750" s="574"/>
      <c r="IIW750" s="574"/>
      <c r="IIX750" s="574"/>
      <c r="IIY750" s="574"/>
      <c r="IIZ750" s="574"/>
      <c r="IJA750" s="574"/>
      <c r="IJB750" s="574"/>
      <c r="IJC750" s="574"/>
      <c r="IJD750" s="574"/>
      <c r="IJE750" s="574"/>
      <c r="IJF750" s="574"/>
      <c r="IJG750" s="574"/>
      <c r="IJH750" s="574"/>
      <c r="IJI750" s="574"/>
      <c r="IJJ750" s="574"/>
      <c r="IJK750" s="574"/>
      <c r="IJL750" s="574"/>
      <c r="IJM750" s="574"/>
      <c r="IJN750" s="574"/>
      <c r="IJO750" s="574"/>
      <c r="IJP750" s="574"/>
      <c r="IJQ750" s="574"/>
      <c r="IJR750" s="574"/>
      <c r="IJS750" s="574"/>
      <c r="IJT750" s="574"/>
      <c r="IJU750" s="574"/>
      <c r="IJV750" s="574"/>
      <c r="IJW750" s="574"/>
      <c r="IJX750" s="574"/>
      <c r="IJY750" s="574"/>
      <c r="IJZ750" s="574"/>
      <c r="IKA750" s="574"/>
      <c r="IKB750" s="574"/>
      <c r="IKC750" s="574"/>
      <c r="IKD750" s="574"/>
      <c r="IKE750" s="574"/>
      <c r="IKF750" s="574"/>
      <c r="IKG750" s="574"/>
      <c r="IKH750" s="574"/>
      <c r="IKI750" s="574"/>
      <c r="IKJ750" s="574"/>
      <c r="IKK750" s="574"/>
      <c r="IKL750" s="574"/>
      <c r="IKM750" s="574"/>
      <c r="IKN750" s="574"/>
      <c r="IKO750" s="574"/>
      <c r="IKP750" s="574"/>
      <c r="IKQ750" s="574"/>
      <c r="IKR750" s="574"/>
      <c r="IKS750" s="574"/>
      <c r="IKT750" s="574"/>
      <c r="IKU750" s="574"/>
      <c r="IKV750" s="574"/>
      <c r="IKW750" s="574"/>
      <c r="IKX750" s="574"/>
      <c r="IKY750" s="574"/>
      <c r="IKZ750" s="574"/>
      <c r="ILA750" s="574"/>
      <c r="ILB750" s="574"/>
      <c r="ILC750" s="574"/>
      <c r="ILD750" s="574"/>
      <c r="ILE750" s="574"/>
      <c r="ILF750" s="574"/>
      <c r="ILG750" s="574"/>
      <c r="ILH750" s="574"/>
      <c r="ILI750" s="574"/>
      <c r="ILJ750" s="574"/>
      <c r="ILK750" s="574"/>
      <c r="ILL750" s="574"/>
      <c r="ILM750" s="574"/>
      <c r="ILN750" s="574"/>
      <c r="ILO750" s="574"/>
      <c r="ILP750" s="574"/>
      <c r="ILQ750" s="574"/>
      <c r="ILR750" s="574"/>
      <c r="ILS750" s="574"/>
      <c r="ILT750" s="574"/>
      <c r="ILU750" s="574"/>
      <c r="ILV750" s="574"/>
      <c r="ILW750" s="574"/>
      <c r="ILX750" s="574"/>
      <c r="ILY750" s="574"/>
      <c r="ILZ750" s="574"/>
      <c r="IMA750" s="574"/>
      <c r="IMB750" s="574"/>
      <c r="IMC750" s="574"/>
      <c r="IMD750" s="574"/>
      <c r="IME750" s="574"/>
      <c r="IMF750" s="574"/>
      <c r="IMG750" s="574"/>
      <c r="IMH750" s="574"/>
      <c r="IMI750" s="574"/>
      <c r="IMJ750" s="574"/>
      <c r="IMK750" s="574"/>
      <c r="IML750" s="574"/>
      <c r="IMM750" s="574"/>
      <c r="IMN750" s="574"/>
      <c r="IMO750" s="574"/>
      <c r="IMP750" s="574"/>
      <c r="IMQ750" s="574"/>
      <c r="IMR750" s="574"/>
      <c r="IMS750" s="574"/>
      <c r="IMT750" s="574"/>
      <c r="IMU750" s="574"/>
      <c r="IMV750" s="574"/>
      <c r="IMW750" s="574"/>
      <c r="IMX750" s="574"/>
      <c r="IMY750" s="574"/>
      <c r="IMZ750" s="574"/>
      <c r="INA750" s="574"/>
      <c r="INB750" s="574"/>
      <c r="INC750" s="574"/>
      <c r="IND750" s="574"/>
      <c r="INE750" s="574"/>
      <c r="INF750" s="574"/>
      <c r="ING750" s="574"/>
      <c r="INH750" s="574"/>
      <c r="INI750" s="574"/>
      <c r="INJ750" s="574"/>
      <c r="INK750" s="574"/>
      <c r="INL750" s="574"/>
      <c r="INM750" s="574"/>
      <c r="INN750" s="574"/>
      <c r="INO750" s="574"/>
      <c r="INP750" s="574"/>
      <c r="INQ750" s="574"/>
      <c r="INR750" s="574"/>
      <c r="INS750" s="574"/>
      <c r="INT750" s="574"/>
      <c r="INU750" s="574"/>
      <c r="INV750" s="574"/>
      <c r="INW750" s="574"/>
      <c r="INX750" s="574"/>
      <c r="INY750" s="574"/>
      <c r="INZ750" s="574"/>
      <c r="IOA750" s="574"/>
      <c r="IOB750" s="574"/>
      <c r="IOC750" s="574"/>
      <c r="IOD750" s="574"/>
      <c r="IOE750" s="574"/>
      <c r="IOF750" s="574"/>
      <c r="IOG750" s="574"/>
      <c r="IOH750" s="574"/>
      <c r="IOI750" s="574"/>
      <c r="IOJ750" s="574"/>
      <c r="IOK750" s="574"/>
      <c r="IOL750" s="574"/>
      <c r="IOM750" s="574"/>
      <c r="ION750" s="574"/>
      <c r="IOO750" s="574"/>
      <c r="IOP750" s="574"/>
      <c r="IOQ750" s="574"/>
      <c r="IOR750" s="574"/>
      <c r="IOS750" s="574"/>
      <c r="IOT750" s="574"/>
      <c r="IOU750" s="574"/>
      <c r="IOV750" s="574"/>
      <c r="IOW750" s="574"/>
      <c r="IOX750" s="574"/>
      <c r="IOY750" s="574"/>
      <c r="IOZ750" s="574"/>
      <c r="IPA750" s="574"/>
      <c r="IPB750" s="574"/>
      <c r="IPC750" s="574"/>
      <c r="IPD750" s="574"/>
      <c r="IPE750" s="574"/>
      <c r="IPF750" s="574"/>
      <c r="IPG750" s="574"/>
      <c r="IPH750" s="574"/>
      <c r="IPI750" s="574"/>
      <c r="IPJ750" s="574"/>
      <c r="IPK750" s="574"/>
      <c r="IPL750" s="574"/>
      <c r="IPM750" s="574"/>
      <c r="IPN750" s="574"/>
      <c r="IPO750" s="574"/>
      <c r="IPP750" s="574"/>
      <c r="IPQ750" s="574"/>
      <c r="IPR750" s="574"/>
      <c r="IPS750" s="574"/>
      <c r="IPT750" s="574"/>
      <c r="IPU750" s="574"/>
      <c r="IPV750" s="574"/>
      <c r="IPW750" s="574"/>
      <c r="IPX750" s="574"/>
      <c r="IPY750" s="574"/>
      <c r="IPZ750" s="574"/>
      <c r="IQA750" s="574"/>
      <c r="IQB750" s="574"/>
      <c r="IQC750" s="574"/>
      <c r="IQD750" s="574"/>
      <c r="IQE750" s="574"/>
      <c r="IQF750" s="574"/>
      <c r="IQG750" s="574"/>
      <c r="IQH750" s="574"/>
      <c r="IQI750" s="574"/>
      <c r="IQJ750" s="574"/>
      <c r="IQK750" s="574"/>
      <c r="IQL750" s="574"/>
      <c r="IQM750" s="574"/>
      <c r="IQN750" s="574"/>
      <c r="IQO750" s="574"/>
      <c r="IQP750" s="574"/>
      <c r="IQQ750" s="574"/>
      <c r="IQR750" s="574"/>
      <c r="IQS750" s="574"/>
      <c r="IQT750" s="574"/>
      <c r="IQU750" s="574"/>
      <c r="IQV750" s="574"/>
      <c r="IQW750" s="574"/>
      <c r="IQX750" s="574"/>
      <c r="IQY750" s="574"/>
      <c r="IQZ750" s="574"/>
      <c r="IRA750" s="574"/>
      <c r="IRB750" s="574"/>
      <c r="IRC750" s="574"/>
      <c r="IRD750" s="574"/>
      <c r="IRE750" s="574"/>
      <c r="IRF750" s="574"/>
      <c r="IRG750" s="574"/>
      <c r="IRH750" s="574"/>
      <c r="IRI750" s="574"/>
      <c r="IRJ750" s="574"/>
      <c r="IRK750" s="574"/>
      <c r="IRL750" s="574"/>
      <c r="IRM750" s="574"/>
      <c r="IRN750" s="574"/>
      <c r="IRO750" s="574"/>
      <c r="IRP750" s="574"/>
      <c r="IRQ750" s="574"/>
      <c r="IRR750" s="574"/>
      <c r="IRS750" s="574"/>
      <c r="IRT750" s="574"/>
      <c r="IRU750" s="574"/>
      <c r="IRV750" s="574"/>
      <c r="IRW750" s="574"/>
      <c r="IRX750" s="574"/>
      <c r="IRY750" s="574"/>
      <c r="IRZ750" s="574"/>
      <c r="ISA750" s="574"/>
      <c r="ISB750" s="574"/>
      <c r="ISC750" s="574"/>
      <c r="ISD750" s="574"/>
      <c r="ISE750" s="574"/>
      <c r="ISF750" s="574"/>
      <c r="ISG750" s="574"/>
      <c r="ISH750" s="574"/>
      <c r="ISI750" s="574"/>
      <c r="ISJ750" s="574"/>
      <c r="ISK750" s="574"/>
      <c r="ISL750" s="574"/>
      <c r="ISM750" s="574"/>
      <c r="ISN750" s="574"/>
      <c r="ISO750" s="574"/>
      <c r="ISP750" s="574"/>
      <c r="ISQ750" s="574"/>
      <c r="ISR750" s="574"/>
      <c r="ISS750" s="574"/>
      <c r="IST750" s="574"/>
      <c r="ISU750" s="574"/>
      <c r="ISV750" s="574"/>
      <c r="ISW750" s="574"/>
      <c r="ISX750" s="574"/>
      <c r="ISY750" s="574"/>
      <c r="ISZ750" s="574"/>
      <c r="ITA750" s="574"/>
      <c r="ITB750" s="574"/>
      <c r="ITC750" s="574"/>
      <c r="ITD750" s="574"/>
      <c r="ITE750" s="574"/>
      <c r="ITF750" s="574"/>
      <c r="ITG750" s="574"/>
      <c r="ITH750" s="574"/>
      <c r="ITI750" s="574"/>
      <c r="ITJ750" s="574"/>
      <c r="ITK750" s="574"/>
      <c r="ITL750" s="574"/>
      <c r="ITM750" s="574"/>
      <c r="ITN750" s="574"/>
      <c r="ITO750" s="574"/>
      <c r="ITP750" s="574"/>
      <c r="ITQ750" s="574"/>
      <c r="ITR750" s="574"/>
      <c r="ITS750" s="574"/>
      <c r="ITT750" s="574"/>
      <c r="ITU750" s="574"/>
      <c r="ITV750" s="574"/>
      <c r="ITW750" s="574"/>
      <c r="ITX750" s="574"/>
      <c r="ITY750" s="574"/>
      <c r="ITZ750" s="574"/>
      <c r="IUA750" s="574"/>
      <c r="IUB750" s="574"/>
      <c r="IUC750" s="574"/>
      <c r="IUD750" s="574"/>
      <c r="IUE750" s="574"/>
      <c r="IUF750" s="574"/>
      <c r="IUG750" s="574"/>
      <c r="IUH750" s="574"/>
      <c r="IUI750" s="574"/>
      <c r="IUJ750" s="574"/>
      <c r="IUK750" s="574"/>
      <c r="IUL750" s="574"/>
      <c r="IUM750" s="574"/>
      <c r="IUN750" s="574"/>
      <c r="IUO750" s="574"/>
      <c r="IUP750" s="574"/>
      <c r="IUQ750" s="574"/>
      <c r="IUR750" s="574"/>
      <c r="IUS750" s="574"/>
      <c r="IUT750" s="574"/>
      <c r="IUU750" s="574"/>
      <c r="IUV750" s="574"/>
      <c r="IUW750" s="574"/>
      <c r="IUX750" s="574"/>
      <c r="IUY750" s="574"/>
      <c r="IUZ750" s="574"/>
      <c r="IVA750" s="574"/>
      <c r="IVB750" s="574"/>
      <c r="IVC750" s="574"/>
      <c r="IVD750" s="574"/>
      <c r="IVE750" s="574"/>
      <c r="IVF750" s="574"/>
      <c r="IVG750" s="574"/>
      <c r="IVH750" s="574"/>
      <c r="IVI750" s="574"/>
      <c r="IVJ750" s="574"/>
      <c r="IVK750" s="574"/>
      <c r="IVL750" s="574"/>
      <c r="IVM750" s="574"/>
      <c r="IVN750" s="574"/>
      <c r="IVO750" s="574"/>
      <c r="IVP750" s="574"/>
      <c r="IVQ750" s="574"/>
      <c r="IVR750" s="574"/>
      <c r="IVS750" s="574"/>
      <c r="IVT750" s="574"/>
      <c r="IVU750" s="574"/>
      <c r="IVV750" s="574"/>
      <c r="IVW750" s="574"/>
      <c r="IVX750" s="574"/>
      <c r="IVY750" s="574"/>
      <c r="IVZ750" s="574"/>
      <c r="IWA750" s="574"/>
      <c r="IWB750" s="574"/>
      <c r="IWC750" s="574"/>
      <c r="IWD750" s="574"/>
      <c r="IWE750" s="574"/>
      <c r="IWF750" s="574"/>
      <c r="IWG750" s="574"/>
      <c r="IWH750" s="574"/>
      <c r="IWI750" s="574"/>
      <c r="IWJ750" s="574"/>
      <c r="IWK750" s="574"/>
      <c r="IWL750" s="574"/>
      <c r="IWM750" s="574"/>
      <c r="IWN750" s="574"/>
      <c r="IWO750" s="574"/>
      <c r="IWP750" s="574"/>
      <c r="IWQ750" s="574"/>
      <c r="IWR750" s="574"/>
      <c r="IWS750" s="574"/>
      <c r="IWT750" s="574"/>
      <c r="IWU750" s="574"/>
      <c r="IWV750" s="574"/>
      <c r="IWW750" s="574"/>
      <c r="IWX750" s="574"/>
      <c r="IWY750" s="574"/>
      <c r="IWZ750" s="574"/>
      <c r="IXA750" s="574"/>
      <c r="IXB750" s="574"/>
      <c r="IXC750" s="574"/>
      <c r="IXD750" s="574"/>
      <c r="IXE750" s="574"/>
      <c r="IXF750" s="574"/>
      <c r="IXG750" s="574"/>
      <c r="IXH750" s="574"/>
      <c r="IXI750" s="574"/>
      <c r="IXJ750" s="574"/>
      <c r="IXK750" s="574"/>
      <c r="IXL750" s="574"/>
      <c r="IXM750" s="574"/>
      <c r="IXN750" s="574"/>
      <c r="IXO750" s="574"/>
      <c r="IXP750" s="574"/>
      <c r="IXQ750" s="574"/>
      <c r="IXR750" s="574"/>
      <c r="IXS750" s="574"/>
      <c r="IXT750" s="574"/>
      <c r="IXU750" s="574"/>
      <c r="IXV750" s="574"/>
      <c r="IXW750" s="574"/>
      <c r="IXX750" s="574"/>
      <c r="IXY750" s="574"/>
      <c r="IXZ750" s="574"/>
      <c r="IYA750" s="574"/>
      <c r="IYB750" s="574"/>
      <c r="IYC750" s="574"/>
      <c r="IYD750" s="574"/>
      <c r="IYE750" s="574"/>
      <c r="IYF750" s="574"/>
      <c r="IYG750" s="574"/>
      <c r="IYH750" s="574"/>
      <c r="IYI750" s="574"/>
      <c r="IYJ750" s="574"/>
      <c r="IYK750" s="574"/>
      <c r="IYL750" s="574"/>
      <c r="IYM750" s="574"/>
      <c r="IYN750" s="574"/>
      <c r="IYO750" s="574"/>
      <c r="IYP750" s="574"/>
      <c r="IYQ750" s="574"/>
      <c r="IYR750" s="574"/>
      <c r="IYS750" s="574"/>
      <c r="IYT750" s="574"/>
      <c r="IYU750" s="574"/>
      <c r="IYV750" s="574"/>
      <c r="IYW750" s="574"/>
      <c r="IYX750" s="574"/>
      <c r="IYY750" s="574"/>
      <c r="IYZ750" s="574"/>
      <c r="IZA750" s="574"/>
      <c r="IZB750" s="574"/>
      <c r="IZC750" s="574"/>
      <c r="IZD750" s="574"/>
      <c r="IZE750" s="574"/>
      <c r="IZF750" s="574"/>
      <c r="IZG750" s="574"/>
      <c r="IZH750" s="574"/>
      <c r="IZI750" s="574"/>
      <c r="IZJ750" s="574"/>
      <c r="IZK750" s="574"/>
      <c r="IZL750" s="574"/>
      <c r="IZM750" s="574"/>
      <c r="IZN750" s="574"/>
      <c r="IZO750" s="574"/>
      <c r="IZP750" s="574"/>
      <c r="IZQ750" s="574"/>
      <c r="IZR750" s="574"/>
      <c r="IZS750" s="574"/>
      <c r="IZT750" s="574"/>
      <c r="IZU750" s="574"/>
      <c r="IZV750" s="574"/>
      <c r="IZW750" s="574"/>
      <c r="IZX750" s="574"/>
      <c r="IZY750" s="574"/>
      <c r="IZZ750" s="574"/>
      <c r="JAA750" s="574"/>
      <c r="JAB750" s="574"/>
      <c r="JAC750" s="574"/>
      <c r="JAD750" s="574"/>
      <c r="JAE750" s="574"/>
      <c r="JAF750" s="574"/>
      <c r="JAG750" s="574"/>
      <c r="JAH750" s="574"/>
      <c r="JAI750" s="574"/>
      <c r="JAJ750" s="574"/>
      <c r="JAK750" s="574"/>
      <c r="JAL750" s="574"/>
      <c r="JAM750" s="574"/>
      <c r="JAN750" s="574"/>
      <c r="JAO750" s="574"/>
      <c r="JAP750" s="574"/>
      <c r="JAQ750" s="574"/>
      <c r="JAR750" s="574"/>
      <c r="JAS750" s="574"/>
      <c r="JAT750" s="574"/>
      <c r="JAU750" s="574"/>
      <c r="JAV750" s="574"/>
      <c r="JAW750" s="574"/>
      <c r="JAX750" s="574"/>
      <c r="JAY750" s="574"/>
      <c r="JAZ750" s="574"/>
      <c r="JBA750" s="574"/>
      <c r="JBB750" s="574"/>
      <c r="JBC750" s="574"/>
      <c r="JBD750" s="574"/>
      <c r="JBE750" s="574"/>
      <c r="JBF750" s="574"/>
      <c r="JBG750" s="574"/>
      <c r="JBH750" s="574"/>
      <c r="JBI750" s="574"/>
      <c r="JBJ750" s="574"/>
      <c r="JBK750" s="574"/>
      <c r="JBL750" s="574"/>
      <c r="JBM750" s="574"/>
      <c r="JBN750" s="574"/>
      <c r="JBO750" s="574"/>
      <c r="JBP750" s="574"/>
      <c r="JBQ750" s="574"/>
      <c r="JBR750" s="574"/>
      <c r="JBS750" s="574"/>
      <c r="JBT750" s="574"/>
      <c r="JBU750" s="574"/>
      <c r="JBV750" s="574"/>
      <c r="JBW750" s="574"/>
      <c r="JBX750" s="574"/>
      <c r="JBY750" s="574"/>
      <c r="JBZ750" s="574"/>
      <c r="JCA750" s="574"/>
      <c r="JCB750" s="574"/>
      <c r="JCC750" s="574"/>
      <c r="JCD750" s="574"/>
      <c r="JCE750" s="574"/>
      <c r="JCF750" s="574"/>
      <c r="JCG750" s="574"/>
      <c r="JCH750" s="574"/>
      <c r="JCI750" s="574"/>
      <c r="JCJ750" s="574"/>
      <c r="JCK750" s="574"/>
      <c r="JCL750" s="574"/>
      <c r="JCM750" s="574"/>
      <c r="JCN750" s="574"/>
      <c r="JCO750" s="574"/>
      <c r="JCP750" s="574"/>
      <c r="JCQ750" s="574"/>
      <c r="JCR750" s="574"/>
      <c r="JCS750" s="574"/>
      <c r="JCT750" s="574"/>
      <c r="JCU750" s="574"/>
      <c r="JCV750" s="574"/>
      <c r="JCW750" s="574"/>
      <c r="JCX750" s="574"/>
      <c r="JCY750" s="574"/>
      <c r="JCZ750" s="574"/>
      <c r="JDA750" s="574"/>
      <c r="JDB750" s="574"/>
      <c r="JDC750" s="574"/>
      <c r="JDD750" s="574"/>
      <c r="JDE750" s="574"/>
      <c r="JDF750" s="574"/>
      <c r="JDG750" s="574"/>
      <c r="JDH750" s="574"/>
      <c r="JDI750" s="574"/>
      <c r="JDJ750" s="574"/>
      <c r="JDK750" s="574"/>
      <c r="JDL750" s="574"/>
      <c r="JDM750" s="574"/>
      <c r="JDN750" s="574"/>
      <c r="JDO750" s="574"/>
      <c r="JDP750" s="574"/>
      <c r="JDQ750" s="574"/>
      <c r="JDR750" s="574"/>
      <c r="JDS750" s="574"/>
      <c r="JDT750" s="574"/>
      <c r="JDU750" s="574"/>
      <c r="JDV750" s="574"/>
      <c r="JDW750" s="574"/>
      <c r="JDX750" s="574"/>
      <c r="JDY750" s="574"/>
      <c r="JDZ750" s="574"/>
      <c r="JEA750" s="574"/>
      <c r="JEB750" s="574"/>
      <c r="JEC750" s="574"/>
      <c r="JED750" s="574"/>
      <c r="JEE750" s="574"/>
      <c r="JEF750" s="574"/>
      <c r="JEG750" s="574"/>
      <c r="JEH750" s="574"/>
      <c r="JEI750" s="574"/>
      <c r="JEJ750" s="574"/>
      <c r="JEK750" s="574"/>
      <c r="JEL750" s="574"/>
      <c r="JEM750" s="574"/>
      <c r="JEN750" s="574"/>
      <c r="JEO750" s="574"/>
      <c r="JEP750" s="574"/>
      <c r="JEQ750" s="574"/>
      <c r="JER750" s="574"/>
      <c r="JES750" s="574"/>
      <c r="JET750" s="574"/>
      <c r="JEU750" s="574"/>
      <c r="JEV750" s="574"/>
      <c r="JEW750" s="574"/>
      <c r="JEX750" s="574"/>
      <c r="JEY750" s="574"/>
      <c r="JEZ750" s="574"/>
      <c r="JFA750" s="574"/>
      <c r="JFB750" s="574"/>
      <c r="JFC750" s="574"/>
      <c r="JFD750" s="574"/>
      <c r="JFE750" s="574"/>
      <c r="JFF750" s="574"/>
      <c r="JFG750" s="574"/>
      <c r="JFH750" s="574"/>
      <c r="JFI750" s="574"/>
      <c r="JFJ750" s="574"/>
      <c r="JFK750" s="574"/>
      <c r="JFL750" s="574"/>
      <c r="JFM750" s="574"/>
      <c r="JFN750" s="574"/>
      <c r="JFO750" s="574"/>
      <c r="JFP750" s="574"/>
      <c r="JFQ750" s="574"/>
      <c r="JFR750" s="574"/>
      <c r="JFS750" s="574"/>
      <c r="JFT750" s="574"/>
      <c r="JFU750" s="574"/>
      <c r="JFV750" s="574"/>
      <c r="JFW750" s="574"/>
      <c r="JFX750" s="574"/>
      <c r="JFY750" s="574"/>
      <c r="JFZ750" s="574"/>
      <c r="JGA750" s="574"/>
      <c r="JGB750" s="574"/>
      <c r="JGC750" s="574"/>
      <c r="JGD750" s="574"/>
      <c r="JGE750" s="574"/>
      <c r="JGF750" s="574"/>
      <c r="JGG750" s="574"/>
      <c r="JGH750" s="574"/>
      <c r="JGI750" s="574"/>
      <c r="JGJ750" s="574"/>
      <c r="JGK750" s="574"/>
      <c r="JGL750" s="574"/>
      <c r="JGM750" s="574"/>
      <c r="JGN750" s="574"/>
      <c r="JGO750" s="574"/>
      <c r="JGP750" s="574"/>
      <c r="JGQ750" s="574"/>
      <c r="JGR750" s="574"/>
      <c r="JGS750" s="574"/>
      <c r="JGT750" s="574"/>
      <c r="JGU750" s="574"/>
      <c r="JGV750" s="574"/>
      <c r="JGW750" s="574"/>
      <c r="JGX750" s="574"/>
      <c r="JGY750" s="574"/>
      <c r="JGZ750" s="574"/>
      <c r="JHA750" s="574"/>
      <c r="JHB750" s="574"/>
      <c r="JHC750" s="574"/>
      <c r="JHD750" s="574"/>
      <c r="JHE750" s="574"/>
      <c r="JHF750" s="574"/>
      <c r="JHG750" s="574"/>
      <c r="JHH750" s="574"/>
      <c r="JHI750" s="574"/>
      <c r="JHJ750" s="574"/>
      <c r="JHK750" s="574"/>
      <c r="JHL750" s="574"/>
      <c r="JHM750" s="574"/>
      <c r="JHN750" s="574"/>
      <c r="JHO750" s="574"/>
      <c r="JHP750" s="574"/>
      <c r="JHQ750" s="574"/>
      <c r="JHR750" s="574"/>
      <c r="JHS750" s="574"/>
      <c r="JHT750" s="574"/>
      <c r="JHU750" s="574"/>
      <c r="JHV750" s="574"/>
      <c r="JHW750" s="574"/>
      <c r="JHX750" s="574"/>
      <c r="JHY750" s="574"/>
      <c r="JHZ750" s="574"/>
      <c r="JIA750" s="574"/>
      <c r="JIB750" s="574"/>
      <c r="JIC750" s="574"/>
      <c r="JID750" s="574"/>
      <c r="JIE750" s="574"/>
      <c r="JIF750" s="574"/>
      <c r="JIG750" s="574"/>
      <c r="JIH750" s="574"/>
      <c r="JII750" s="574"/>
      <c r="JIJ750" s="574"/>
      <c r="JIK750" s="574"/>
      <c r="JIL750" s="574"/>
      <c r="JIM750" s="574"/>
      <c r="JIN750" s="574"/>
      <c r="JIO750" s="574"/>
      <c r="JIP750" s="574"/>
      <c r="JIQ750" s="574"/>
      <c r="JIR750" s="574"/>
      <c r="JIS750" s="574"/>
      <c r="JIT750" s="574"/>
      <c r="JIU750" s="574"/>
      <c r="JIV750" s="574"/>
      <c r="JIW750" s="574"/>
      <c r="JIX750" s="574"/>
      <c r="JIY750" s="574"/>
      <c r="JIZ750" s="574"/>
      <c r="JJA750" s="574"/>
      <c r="JJB750" s="574"/>
      <c r="JJC750" s="574"/>
      <c r="JJD750" s="574"/>
      <c r="JJE750" s="574"/>
      <c r="JJF750" s="574"/>
      <c r="JJG750" s="574"/>
      <c r="JJH750" s="574"/>
      <c r="JJI750" s="574"/>
      <c r="JJJ750" s="574"/>
      <c r="JJK750" s="574"/>
      <c r="JJL750" s="574"/>
      <c r="JJM750" s="574"/>
      <c r="JJN750" s="574"/>
      <c r="JJO750" s="574"/>
      <c r="JJP750" s="574"/>
      <c r="JJQ750" s="574"/>
      <c r="JJR750" s="574"/>
      <c r="JJS750" s="574"/>
      <c r="JJT750" s="574"/>
      <c r="JJU750" s="574"/>
      <c r="JJV750" s="574"/>
      <c r="JJW750" s="574"/>
      <c r="JJX750" s="574"/>
      <c r="JJY750" s="574"/>
      <c r="JJZ750" s="574"/>
      <c r="JKA750" s="574"/>
      <c r="JKB750" s="574"/>
      <c r="JKC750" s="574"/>
      <c r="JKD750" s="574"/>
      <c r="JKE750" s="574"/>
      <c r="JKF750" s="574"/>
      <c r="JKG750" s="574"/>
      <c r="JKH750" s="574"/>
      <c r="JKI750" s="574"/>
      <c r="JKJ750" s="574"/>
      <c r="JKK750" s="574"/>
      <c r="JKL750" s="574"/>
      <c r="JKM750" s="574"/>
      <c r="JKN750" s="574"/>
      <c r="JKO750" s="574"/>
      <c r="JKP750" s="574"/>
      <c r="JKQ750" s="574"/>
      <c r="JKR750" s="574"/>
      <c r="JKS750" s="574"/>
      <c r="JKT750" s="574"/>
      <c r="JKU750" s="574"/>
      <c r="JKV750" s="574"/>
      <c r="JKW750" s="574"/>
      <c r="JKX750" s="574"/>
      <c r="JKY750" s="574"/>
      <c r="JKZ750" s="574"/>
      <c r="JLA750" s="574"/>
      <c r="JLB750" s="574"/>
      <c r="JLC750" s="574"/>
      <c r="JLD750" s="574"/>
      <c r="JLE750" s="574"/>
      <c r="JLF750" s="574"/>
      <c r="JLG750" s="574"/>
      <c r="JLH750" s="574"/>
      <c r="JLI750" s="574"/>
      <c r="JLJ750" s="574"/>
      <c r="JLK750" s="574"/>
      <c r="JLL750" s="574"/>
      <c r="JLM750" s="574"/>
      <c r="JLN750" s="574"/>
      <c r="JLO750" s="574"/>
      <c r="JLP750" s="574"/>
      <c r="JLQ750" s="574"/>
      <c r="JLR750" s="574"/>
      <c r="JLS750" s="574"/>
      <c r="JLT750" s="574"/>
      <c r="JLU750" s="574"/>
      <c r="JLV750" s="574"/>
      <c r="JLW750" s="574"/>
      <c r="JLX750" s="574"/>
      <c r="JLY750" s="574"/>
      <c r="JLZ750" s="574"/>
      <c r="JMA750" s="574"/>
      <c r="JMB750" s="574"/>
      <c r="JMC750" s="574"/>
      <c r="JMD750" s="574"/>
      <c r="JME750" s="574"/>
      <c r="JMF750" s="574"/>
      <c r="JMG750" s="574"/>
      <c r="JMH750" s="574"/>
      <c r="JMI750" s="574"/>
      <c r="JMJ750" s="574"/>
      <c r="JMK750" s="574"/>
      <c r="JML750" s="574"/>
      <c r="JMM750" s="574"/>
      <c r="JMN750" s="574"/>
      <c r="JMO750" s="574"/>
      <c r="JMP750" s="574"/>
      <c r="JMQ750" s="574"/>
      <c r="JMR750" s="574"/>
      <c r="JMS750" s="574"/>
      <c r="JMT750" s="574"/>
      <c r="JMU750" s="574"/>
      <c r="JMV750" s="574"/>
      <c r="JMW750" s="574"/>
      <c r="JMX750" s="574"/>
      <c r="JMY750" s="574"/>
      <c r="JMZ750" s="574"/>
      <c r="JNA750" s="574"/>
      <c r="JNB750" s="574"/>
      <c r="JNC750" s="574"/>
      <c r="JND750" s="574"/>
      <c r="JNE750" s="574"/>
      <c r="JNF750" s="574"/>
      <c r="JNG750" s="574"/>
      <c r="JNH750" s="574"/>
      <c r="JNI750" s="574"/>
      <c r="JNJ750" s="574"/>
      <c r="JNK750" s="574"/>
      <c r="JNL750" s="574"/>
      <c r="JNM750" s="574"/>
      <c r="JNN750" s="574"/>
      <c r="JNO750" s="574"/>
      <c r="JNP750" s="574"/>
      <c r="JNQ750" s="574"/>
      <c r="JNR750" s="574"/>
      <c r="JNS750" s="574"/>
      <c r="JNT750" s="574"/>
      <c r="JNU750" s="574"/>
      <c r="JNV750" s="574"/>
      <c r="JNW750" s="574"/>
      <c r="JNX750" s="574"/>
      <c r="JNY750" s="574"/>
      <c r="JNZ750" s="574"/>
      <c r="JOA750" s="574"/>
      <c r="JOB750" s="574"/>
      <c r="JOC750" s="574"/>
      <c r="JOD750" s="574"/>
      <c r="JOE750" s="574"/>
      <c r="JOF750" s="574"/>
      <c r="JOG750" s="574"/>
      <c r="JOH750" s="574"/>
      <c r="JOI750" s="574"/>
      <c r="JOJ750" s="574"/>
      <c r="JOK750" s="574"/>
      <c r="JOL750" s="574"/>
      <c r="JOM750" s="574"/>
      <c r="JON750" s="574"/>
      <c r="JOO750" s="574"/>
      <c r="JOP750" s="574"/>
      <c r="JOQ750" s="574"/>
      <c r="JOR750" s="574"/>
      <c r="JOS750" s="574"/>
      <c r="JOT750" s="574"/>
      <c r="JOU750" s="574"/>
      <c r="JOV750" s="574"/>
      <c r="JOW750" s="574"/>
      <c r="JOX750" s="574"/>
      <c r="JOY750" s="574"/>
      <c r="JOZ750" s="574"/>
      <c r="JPA750" s="574"/>
      <c r="JPB750" s="574"/>
      <c r="JPC750" s="574"/>
      <c r="JPD750" s="574"/>
      <c r="JPE750" s="574"/>
      <c r="JPF750" s="574"/>
      <c r="JPG750" s="574"/>
      <c r="JPH750" s="574"/>
      <c r="JPI750" s="574"/>
      <c r="JPJ750" s="574"/>
      <c r="JPK750" s="574"/>
      <c r="JPL750" s="574"/>
      <c r="JPM750" s="574"/>
      <c r="JPN750" s="574"/>
      <c r="JPO750" s="574"/>
      <c r="JPP750" s="574"/>
      <c r="JPQ750" s="574"/>
      <c r="JPR750" s="574"/>
      <c r="JPS750" s="574"/>
      <c r="JPT750" s="574"/>
      <c r="JPU750" s="574"/>
      <c r="JPV750" s="574"/>
      <c r="JPW750" s="574"/>
      <c r="JPX750" s="574"/>
      <c r="JPY750" s="574"/>
      <c r="JPZ750" s="574"/>
      <c r="JQA750" s="574"/>
      <c r="JQB750" s="574"/>
      <c r="JQC750" s="574"/>
      <c r="JQD750" s="574"/>
      <c r="JQE750" s="574"/>
      <c r="JQF750" s="574"/>
      <c r="JQG750" s="574"/>
      <c r="JQH750" s="574"/>
      <c r="JQI750" s="574"/>
      <c r="JQJ750" s="574"/>
      <c r="JQK750" s="574"/>
      <c r="JQL750" s="574"/>
      <c r="JQM750" s="574"/>
      <c r="JQN750" s="574"/>
      <c r="JQO750" s="574"/>
      <c r="JQP750" s="574"/>
      <c r="JQQ750" s="574"/>
      <c r="JQR750" s="574"/>
      <c r="JQS750" s="574"/>
      <c r="JQT750" s="574"/>
      <c r="JQU750" s="574"/>
      <c r="JQV750" s="574"/>
      <c r="JQW750" s="574"/>
      <c r="JQX750" s="574"/>
      <c r="JQY750" s="574"/>
      <c r="JQZ750" s="574"/>
      <c r="JRA750" s="574"/>
      <c r="JRB750" s="574"/>
      <c r="JRC750" s="574"/>
      <c r="JRD750" s="574"/>
      <c r="JRE750" s="574"/>
      <c r="JRF750" s="574"/>
      <c r="JRG750" s="574"/>
      <c r="JRH750" s="574"/>
      <c r="JRI750" s="574"/>
      <c r="JRJ750" s="574"/>
      <c r="JRK750" s="574"/>
      <c r="JRL750" s="574"/>
      <c r="JRM750" s="574"/>
      <c r="JRN750" s="574"/>
      <c r="JRO750" s="574"/>
      <c r="JRP750" s="574"/>
      <c r="JRQ750" s="574"/>
      <c r="JRR750" s="574"/>
      <c r="JRS750" s="574"/>
      <c r="JRT750" s="574"/>
      <c r="JRU750" s="574"/>
      <c r="JRV750" s="574"/>
      <c r="JRW750" s="574"/>
      <c r="JRX750" s="574"/>
      <c r="JRY750" s="574"/>
      <c r="JRZ750" s="574"/>
      <c r="JSA750" s="574"/>
      <c r="JSB750" s="574"/>
      <c r="JSC750" s="574"/>
      <c r="JSD750" s="574"/>
      <c r="JSE750" s="574"/>
      <c r="JSF750" s="574"/>
      <c r="JSG750" s="574"/>
      <c r="JSH750" s="574"/>
      <c r="JSI750" s="574"/>
      <c r="JSJ750" s="574"/>
      <c r="JSK750" s="574"/>
      <c r="JSL750" s="574"/>
      <c r="JSM750" s="574"/>
      <c r="JSN750" s="574"/>
      <c r="JSO750" s="574"/>
      <c r="JSP750" s="574"/>
      <c r="JSQ750" s="574"/>
      <c r="JSR750" s="574"/>
      <c r="JSS750" s="574"/>
      <c r="JST750" s="574"/>
      <c r="JSU750" s="574"/>
      <c r="JSV750" s="574"/>
      <c r="JSW750" s="574"/>
      <c r="JSX750" s="574"/>
      <c r="JSY750" s="574"/>
      <c r="JSZ750" s="574"/>
      <c r="JTA750" s="574"/>
      <c r="JTB750" s="574"/>
      <c r="JTC750" s="574"/>
      <c r="JTD750" s="574"/>
      <c r="JTE750" s="574"/>
      <c r="JTF750" s="574"/>
      <c r="JTG750" s="574"/>
      <c r="JTH750" s="574"/>
      <c r="JTI750" s="574"/>
      <c r="JTJ750" s="574"/>
      <c r="JTK750" s="574"/>
      <c r="JTL750" s="574"/>
      <c r="JTM750" s="574"/>
      <c r="JTN750" s="574"/>
      <c r="JTO750" s="574"/>
      <c r="JTP750" s="574"/>
      <c r="JTQ750" s="574"/>
      <c r="JTR750" s="574"/>
      <c r="JTS750" s="574"/>
      <c r="JTT750" s="574"/>
      <c r="JTU750" s="574"/>
      <c r="JTV750" s="574"/>
      <c r="JTW750" s="574"/>
      <c r="JTX750" s="574"/>
      <c r="JTY750" s="574"/>
      <c r="JTZ750" s="574"/>
      <c r="JUA750" s="574"/>
      <c r="JUB750" s="574"/>
      <c r="JUC750" s="574"/>
      <c r="JUD750" s="574"/>
      <c r="JUE750" s="574"/>
      <c r="JUF750" s="574"/>
      <c r="JUG750" s="574"/>
      <c r="JUH750" s="574"/>
      <c r="JUI750" s="574"/>
      <c r="JUJ750" s="574"/>
      <c r="JUK750" s="574"/>
      <c r="JUL750" s="574"/>
      <c r="JUM750" s="574"/>
      <c r="JUN750" s="574"/>
      <c r="JUO750" s="574"/>
      <c r="JUP750" s="574"/>
      <c r="JUQ750" s="574"/>
      <c r="JUR750" s="574"/>
      <c r="JUS750" s="574"/>
      <c r="JUT750" s="574"/>
      <c r="JUU750" s="574"/>
      <c r="JUV750" s="574"/>
      <c r="JUW750" s="574"/>
      <c r="JUX750" s="574"/>
      <c r="JUY750" s="574"/>
      <c r="JUZ750" s="574"/>
      <c r="JVA750" s="574"/>
      <c r="JVB750" s="574"/>
      <c r="JVC750" s="574"/>
      <c r="JVD750" s="574"/>
      <c r="JVE750" s="574"/>
      <c r="JVF750" s="574"/>
      <c r="JVG750" s="574"/>
      <c r="JVH750" s="574"/>
      <c r="JVI750" s="574"/>
      <c r="JVJ750" s="574"/>
      <c r="JVK750" s="574"/>
      <c r="JVL750" s="574"/>
      <c r="JVM750" s="574"/>
      <c r="JVN750" s="574"/>
      <c r="JVO750" s="574"/>
      <c r="JVP750" s="574"/>
      <c r="JVQ750" s="574"/>
      <c r="JVR750" s="574"/>
      <c r="JVS750" s="574"/>
      <c r="JVT750" s="574"/>
      <c r="JVU750" s="574"/>
      <c r="JVV750" s="574"/>
      <c r="JVW750" s="574"/>
      <c r="JVX750" s="574"/>
      <c r="JVY750" s="574"/>
      <c r="JVZ750" s="574"/>
      <c r="JWA750" s="574"/>
      <c r="JWB750" s="574"/>
      <c r="JWC750" s="574"/>
      <c r="JWD750" s="574"/>
      <c r="JWE750" s="574"/>
      <c r="JWF750" s="574"/>
      <c r="JWG750" s="574"/>
      <c r="JWH750" s="574"/>
      <c r="JWI750" s="574"/>
      <c r="JWJ750" s="574"/>
      <c r="JWK750" s="574"/>
      <c r="JWL750" s="574"/>
      <c r="JWM750" s="574"/>
      <c r="JWN750" s="574"/>
      <c r="JWO750" s="574"/>
      <c r="JWP750" s="574"/>
      <c r="JWQ750" s="574"/>
      <c r="JWR750" s="574"/>
      <c r="JWS750" s="574"/>
      <c r="JWT750" s="574"/>
      <c r="JWU750" s="574"/>
      <c r="JWV750" s="574"/>
      <c r="JWW750" s="574"/>
      <c r="JWX750" s="574"/>
      <c r="JWY750" s="574"/>
      <c r="JWZ750" s="574"/>
      <c r="JXA750" s="574"/>
      <c r="JXB750" s="574"/>
      <c r="JXC750" s="574"/>
      <c r="JXD750" s="574"/>
      <c r="JXE750" s="574"/>
      <c r="JXF750" s="574"/>
      <c r="JXG750" s="574"/>
      <c r="JXH750" s="574"/>
      <c r="JXI750" s="574"/>
      <c r="JXJ750" s="574"/>
      <c r="JXK750" s="574"/>
      <c r="JXL750" s="574"/>
      <c r="JXM750" s="574"/>
      <c r="JXN750" s="574"/>
      <c r="JXO750" s="574"/>
      <c r="JXP750" s="574"/>
      <c r="JXQ750" s="574"/>
      <c r="JXR750" s="574"/>
      <c r="JXS750" s="574"/>
      <c r="JXT750" s="574"/>
      <c r="JXU750" s="574"/>
      <c r="JXV750" s="574"/>
      <c r="JXW750" s="574"/>
      <c r="JXX750" s="574"/>
      <c r="JXY750" s="574"/>
      <c r="JXZ750" s="574"/>
      <c r="JYA750" s="574"/>
      <c r="JYB750" s="574"/>
      <c r="JYC750" s="574"/>
      <c r="JYD750" s="574"/>
      <c r="JYE750" s="574"/>
      <c r="JYF750" s="574"/>
      <c r="JYG750" s="574"/>
      <c r="JYH750" s="574"/>
      <c r="JYI750" s="574"/>
      <c r="JYJ750" s="574"/>
      <c r="JYK750" s="574"/>
      <c r="JYL750" s="574"/>
      <c r="JYM750" s="574"/>
      <c r="JYN750" s="574"/>
      <c r="JYO750" s="574"/>
      <c r="JYP750" s="574"/>
      <c r="JYQ750" s="574"/>
      <c r="JYR750" s="574"/>
      <c r="JYS750" s="574"/>
      <c r="JYT750" s="574"/>
      <c r="JYU750" s="574"/>
      <c r="JYV750" s="574"/>
      <c r="JYW750" s="574"/>
      <c r="JYX750" s="574"/>
      <c r="JYY750" s="574"/>
      <c r="JYZ750" s="574"/>
      <c r="JZA750" s="574"/>
      <c r="JZB750" s="574"/>
      <c r="JZC750" s="574"/>
      <c r="JZD750" s="574"/>
      <c r="JZE750" s="574"/>
      <c r="JZF750" s="574"/>
      <c r="JZG750" s="574"/>
      <c r="JZH750" s="574"/>
      <c r="JZI750" s="574"/>
      <c r="JZJ750" s="574"/>
      <c r="JZK750" s="574"/>
      <c r="JZL750" s="574"/>
      <c r="JZM750" s="574"/>
      <c r="JZN750" s="574"/>
      <c r="JZO750" s="574"/>
      <c r="JZP750" s="574"/>
      <c r="JZQ750" s="574"/>
      <c r="JZR750" s="574"/>
      <c r="JZS750" s="574"/>
      <c r="JZT750" s="574"/>
      <c r="JZU750" s="574"/>
      <c r="JZV750" s="574"/>
      <c r="JZW750" s="574"/>
      <c r="JZX750" s="574"/>
      <c r="JZY750" s="574"/>
      <c r="JZZ750" s="574"/>
      <c r="KAA750" s="574"/>
      <c r="KAB750" s="574"/>
      <c r="KAC750" s="574"/>
      <c r="KAD750" s="574"/>
      <c r="KAE750" s="574"/>
      <c r="KAF750" s="574"/>
      <c r="KAG750" s="574"/>
      <c r="KAH750" s="574"/>
      <c r="KAI750" s="574"/>
      <c r="KAJ750" s="574"/>
      <c r="KAK750" s="574"/>
      <c r="KAL750" s="574"/>
      <c r="KAM750" s="574"/>
      <c r="KAN750" s="574"/>
      <c r="KAO750" s="574"/>
      <c r="KAP750" s="574"/>
      <c r="KAQ750" s="574"/>
      <c r="KAR750" s="574"/>
      <c r="KAS750" s="574"/>
      <c r="KAT750" s="574"/>
      <c r="KAU750" s="574"/>
      <c r="KAV750" s="574"/>
      <c r="KAW750" s="574"/>
      <c r="KAX750" s="574"/>
      <c r="KAY750" s="574"/>
      <c r="KAZ750" s="574"/>
      <c r="KBA750" s="574"/>
      <c r="KBB750" s="574"/>
      <c r="KBC750" s="574"/>
      <c r="KBD750" s="574"/>
      <c r="KBE750" s="574"/>
      <c r="KBF750" s="574"/>
      <c r="KBG750" s="574"/>
      <c r="KBH750" s="574"/>
      <c r="KBI750" s="574"/>
      <c r="KBJ750" s="574"/>
      <c r="KBK750" s="574"/>
      <c r="KBL750" s="574"/>
      <c r="KBM750" s="574"/>
      <c r="KBN750" s="574"/>
      <c r="KBO750" s="574"/>
      <c r="KBP750" s="574"/>
      <c r="KBQ750" s="574"/>
      <c r="KBR750" s="574"/>
      <c r="KBS750" s="574"/>
      <c r="KBT750" s="574"/>
      <c r="KBU750" s="574"/>
      <c r="KBV750" s="574"/>
      <c r="KBW750" s="574"/>
      <c r="KBX750" s="574"/>
      <c r="KBY750" s="574"/>
      <c r="KBZ750" s="574"/>
      <c r="KCA750" s="574"/>
      <c r="KCB750" s="574"/>
      <c r="KCC750" s="574"/>
      <c r="KCD750" s="574"/>
      <c r="KCE750" s="574"/>
      <c r="KCF750" s="574"/>
      <c r="KCG750" s="574"/>
      <c r="KCH750" s="574"/>
      <c r="KCI750" s="574"/>
      <c r="KCJ750" s="574"/>
      <c r="KCK750" s="574"/>
      <c r="KCL750" s="574"/>
      <c r="KCM750" s="574"/>
      <c r="KCN750" s="574"/>
      <c r="KCO750" s="574"/>
      <c r="KCP750" s="574"/>
      <c r="KCQ750" s="574"/>
      <c r="KCR750" s="574"/>
      <c r="KCS750" s="574"/>
      <c r="KCT750" s="574"/>
      <c r="KCU750" s="574"/>
      <c r="KCV750" s="574"/>
      <c r="KCW750" s="574"/>
      <c r="KCX750" s="574"/>
      <c r="KCY750" s="574"/>
      <c r="KCZ750" s="574"/>
      <c r="KDA750" s="574"/>
      <c r="KDB750" s="574"/>
      <c r="KDC750" s="574"/>
      <c r="KDD750" s="574"/>
      <c r="KDE750" s="574"/>
      <c r="KDF750" s="574"/>
      <c r="KDG750" s="574"/>
      <c r="KDH750" s="574"/>
      <c r="KDI750" s="574"/>
      <c r="KDJ750" s="574"/>
      <c r="KDK750" s="574"/>
      <c r="KDL750" s="574"/>
      <c r="KDM750" s="574"/>
      <c r="KDN750" s="574"/>
      <c r="KDO750" s="574"/>
      <c r="KDP750" s="574"/>
      <c r="KDQ750" s="574"/>
      <c r="KDR750" s="574"/>
      <c r="KDS750" s="574"/>
      <c r="KDT750" s="574"/>
      <c r="KDU750" s="574"/>
      <c r="KDV750" s="574"/>
      <c r="KDW750" s="574"/>
      <c r="KDX750" s="574"/>
      <c r="KDY750" s="574"/>
      <c r="KDZ750" s="574"/>
      <c r="KEA750" s="574"/>
      <c r="KEB750" s="574"/>
      <c r="KEC750" s="574"/>
      <c r="KED750" s="574"/>
      <c r="KEE750" s="574"/>
      <c r="KEF750" s="574"/>
      <c r="KEG750" s="574"/>
      <c r="KEH750" s="574"/>
      <c r="KEI750" s="574"/>
      <c r="KEJ750" s="574"/>
      <c r="KEK750" s="574"/>
      <c r="KEL750" s="574"/>
      <c r="KEM750" s="574"/>
      <c r="KEN750" s="574"/>
      <c r="KEO750" s="574"/>
      <c r="KEP750" s="574"/>
      <c r="KEQ750" s="574"/>
      <c r="KER750" s="574"/>
      <c r="KES750" s="574"/>
      <c r="KET750" s="574"/>
      <c r="KEU750" s="574"/>
      <c r="KEV750" s="574"/>
      <c r="KEW750" s="574"/>
      <c r="KEX750" s="574"/>
      <c r="KEY750" s="574"/>
      <c r="KEZ750" s="574"/>
      <c r="KFA750" s="574"/>
      <c r="KFB750" s="574"/>
      <c r="KFC750" s="574"/>
      <c r="KFD750" s="574"/>
      <c r="KFE750" s="574"/>
      <c r="KFF750" s="574"/>
      <c r="KFG750" s="574"/>
      <c r="KFH750" s="574"/>
      <c r="KFI750" s="574"/>
      <c r="KFJ750" s="574"/>
      <c r="KFK750" s="574"/>
      <c r="KFL750" s="574"/>
      <c r="KFM750" s="574"/>
      <c r="KFN750" s="574"/>
      <c r="KFO750" s="574"/>
      <c r="KFP750" s="574"/>
      <c r="KFQ750" s="574"/>
      <c r="KFR750" s="574"/>
      <c r="KFS750" s="574"/>
      <c r="KFT750" s="574"/>
      <c r="KFU750" s="574"/>
      <c r="KFV750" s="574"/>
      <c r="KFW750" s="574"/>
      <c r="KFX750" s="574"/>
      <c r="KFY750" s="574"/>
      <c r="KFZ750" s="574"/>
      <c r="KGA750" s="574"/>
      <c r="KGB750" s="574"/>
      <c r="KGC750" s="574"/>
      <c r="KGD750" s="574"/>
      <c r="KGE750" s="574"/>
      <c r="KGF750" s="574"/>
      <c r="KGG750" s="574"/>
      <c r="KGH750" s="574"/>
      <c r="KGI750" s="574"/>
      <c r="KGJ750" s="574"/>
      <c r="KGK750" s="574"/>
      <c r="KGL750" s="574"/>
      <c r="KGM750" s="574"/>
      <c r="KGN750" s="574"/>
      <c r="KGO750" s="574"/>
      <c r="KGP750" s="574"/>
      <c r="KGQ750" s="574"/>
      <c r="KGR750" s="574"/>
      <c r="KGS750" s="574"/>
      <c r="KGT750" s="574"/>
      <c r="KGU750" s="574"/>
      <c r="KGV750" s="574"/>
      <c r="KGW750" s="574"/>
      <c r="KGX750" s="574"/>
      <c r="KGY750" s="574"/>
      <c r="KGZ750" s="574"/>
      <c r="KHA750" s="574"/>
      <c r="KHB750" s="574"/>
      <c r="KHC750" s="574"/>
      <c r="KHD750" s="574"/>
      <c r="KHE750" s="574"/>
      <c r="KHF750" s="574"/>
      <c r="KHG750" s="574"/>
      <c r="KHH750" s="574"/>
      <c r="KHI750" s="574"/>
      <c r="KHJ750" s="574"/>
      <c r="KHK750" s="574"/>
      <c r="KHL750" s="574"/>
      <c r="KHM750" s="574"/>
      <c r="KHN750" s="574"/>
      <c r="KHO750" s="574"/>
      <c r="KHP750" s="574"/>
      <c r="KHQ750" s="574"/>
      <c r="KHR750" s="574"/>
      <c r="KHS750" s="574"/>
      <c r="KHT750" s="574"/>
      <c r="KHU750" s="574"/>
      <c r="KHV750" s="574"/>
      <c r="KHW750" s="574"/>
      <c r="KHX750" s="574"/>
      <c r="KHY750" s="574"/>
      <c r="KHZ750" s="574"/>
      <c r="KIA750" s="574"/>
      <c r="KIB750" s="574"/>
      <c r="KIC750" s="574"/>
      <c r="KID750" s="574"/>
      <c r="KIE750" s="574"/>
      <c r="KIF750" s="574"/>
      <c r="KIG750" s="574"/>
      <c r="KIH750" s="574"/>
      <c r="KII750" s="574"/>
      <c r="KIJ750" s="574"/>
      <c r="KIK750" s="574"/>
      <c r="KIL750" s="574"/>
      <c r="KIM750" s="574"/>
      <c r="KIN750" s="574"/>
      <c r="KIO750" s="574"/>
      <c r="KIP750" s="574"/>
      <c r="KIQ750" s="574"/>
      <c r="KIR750" s="574"/>
      <c r="KIS750" s="574"/>
      <c r="KIT750" s="574"/>
      <c r="KIU750" s="574"/>
      <c r="KIV750" s="574"/>
      <c r="KIW750" s="574"/>
      <c r="KIX750" s="574"/>
      <c r="KIY750" s="574"/>
      <c r="KIZ750" s="574"/>
      <c r="KJA750" s="574"/>
      <c r="KJB750" s="574"/>
      <c r="KJC750" s="574"/>
      <c r="KJD750" s="574"/>
      <c r="KJE750" s="574"/>
      <c r="KJF750" s="574"/>
      <c r="KJG750" s="574"/>
      <c r="KJH750" s="574"/>
      <c r="KJI750" s="574"/>
      <c r="KJJ750" s="574"/>
      <c r="KJK750" s="574"/>
      <c r="KJL750" s="574"/>
      <c r="KJM750" s="574"/>
      <c r="KJN750" s="574"/>
      <c r="KJO750" s="574"/>
      <c r="KJP750" s="574"/>
      <c r="KJQ750" s="574"/>
      <c r="KJR750" s="574"/>
      <c r="KJS750" s="574"/>
      <c r="KJT750" s="574"/>
      <c r="KJU750" s="574"/>
      <c r="KJV750" s="574"/>
      <c r="KJW750" s="574"/>
      <c r="KJX750" s="574"/>
      <c r="KJY750" s="574"/>
      <c r="KJZ750" s="574"/>
      <c r="KKA750" s="574"/>
      <c r="KKB750" s="574"/>
      <c r="KKC750" s="574"/>
      <c r="KKD750" s="574"/>
      <c r="KKE750" s="574"/>
      <c r="KKF750" s="574"/>
      <c r="KKG750" s="574"/>
      <c r="KKH750" s="574"/>
      <c r="KKI750" s="574"/>
      <c r="KKJ750" s="574"/>
      <c r="KKK750" s="574"/>
      <c r="KKL750" s="574"/>
      <c r="KKM750" s="574"/>
      <c r="KKN750" s="574"/>
      <c r="KKO750" s="574"/>
      <c r="KKP750" s="574"/>
      <c r="KKQ750" s="574"/>
      <c r="KKR750" s="574"/>
      <c r="KKS750" s="574"/>
      <c r="KKT750" s="574"/>
      <c r="KKU750" s="574"/>
      <c r="KKV750" s="574"/>
      <c r="KKW750" s="574"/>
      <c r="KKX750" s="574"/>
      <c r="KKY750" s="574"/>
      <c r="KKZ750" s="574"/>
      <c r="KLA750" s="574"/>
      <c r="KLB750" s="574"/>
      <c r="KLC750" s="574"/>
      <c r="KLD750" s="574"/>
      <c r="KLE750" s="574"/>
      <c r="KLF750" s="574"/>
      <c r="KLG750" s="574"/>
      <c r="KLH750" s="574"/>
      <c r="KLI750" s="574"/>
      <c r="KLJ750" s="574"/>
      <c r="KLK750" s="574"/>
      <c r="KLL750" s="574"/>
      <c r="KLM750" s="574"/>
      <c r="KLN750" s="574"/>
      <c r="KLO750" s="574"/>
      <c r="KLP750" s="574"/>
      <c r="KLQ750" s="574"/>
      <c r="KLR750" s="574"/>
      <c r="KLS750" s="574"/>
      <c r="KLT750" s="574"/>
      <c r="KLU750" s="574"/>
      <c r="KLV750" s="574"/>
      <c r="KLW750" s="574"/>
      <c r="KLX750" s="574"/>
      <c r="KLY750" s="574"/>
      <c r="KLZ750" s="574"/>
      <c r="KMA750" s="574"/>
      <c r="KMB750" s="574"/>
      <c r="KMC750" s="574"/>
      <c r="KMD750" s="574"/>
      <c r="KME750" s="574"/>
      <c r="KMF750" s="574"/>
      <c r="KMG750" s="574"/>
      <c r="KMH750" s="574"/>
      <c r="KMI750" s="574"/>
      <c r="KMJ750" s="574"/>
      <c r="KMK750" s="574"/>
      <c r="KML750" s="574"/>
      <c r="KMM750" s="574"/>
      <c r="KMN750" s="574"/>
      <c r="KMO750" s="574"/>
      <c r="KMP750" s="574"/>
      <c r="KMQ750" s="574"/>
      <c r="KMR750" s="574"/>
      <c r="KMS750" s="574"/>
      <c r="KMT750" s="574"/>
      <c r="KMU750" s="574"/>
      <c r="KMV750" s="574"/>
      <c r="KMW750" s="574"/>
      <c r="KMX750" s="574"/>
      <c r="KMY750" s="574"/>
      <c r="KMZ750" s="574"/>
      <c r="KNA750" s="574"/>
      <c r="KNB750" s="574"/>
      <c r="KNC750" s="574"/>
      <c r="KND750" s="574"/>
      <c r="KNE750" s="574"/>
      <c r="KNF750" s="574"/>
      <c r="KNG750" s="574"/>
      <c r="KNH750" s="574"/>
      <c r="KNI750" s="574"/>
      <c r="KNJ750" s="574"/>
      <c r="KNK750" s="574"/>
      <c r="KNL750" s="574"/>
      <c r="KNM750" s="574"/>
      <c r="KNN750" s="574"/>
      <c r="KNO750" s="574"/>
      <c r="KNP750" s="574"/>
      <c r="KNQ750" s="574"/>
      <c r="KNR750" s="574"/>
      <c r="KNS750" s="574"/>
      <c r="KNT750" s="574"/>
      <c r="KNU750" s="574"/>
      <c r="KNV750" s="574"/>
      <c r="KNW750" s="574"/>
      <c r="KNX750" s="574"/>
      <c r="KNY750" s="574"/>
      <c r="KNZ750" s="574"/>
      <c r="KOA750" s="574"/>
      <c r="KOB750" s="574"/>
      <c r="KOC750" s="574"/>
      <c r="KOD750" s="574"/>
      <c r="KOE750" s="574"/>
      <c r="KOF750" s="574"/>
      <c r="KOG750" s="574"/>
      <c r="KOH750" s="574"/>
      <c r="KOI750" s="574"/>
      <c r="KOJ750" s="574"/>
      <c r="KOK750" s="574"/>
      <c r="KOL750" s="574"/>
      <c r="KOM750" s="574"/>
      <c r="KON750" s="574"/>
      <c r="KOO750" s="574"/>
      <c r="KOP750" s="574"/>
      <c r="KOQ750" s="574"/>
      <c r="KOR750" s="574"/>
      <c r="KOS750" s="574"/>
      <c r="KOT750" s="574"/>
      <c r="KOU750" s="574"/>
      <c r="KOV750" s="574"/>
      <c r="KOW750" s="574"/>
      <c r="KOX750" s="574"/>
      <c r="KOY750" s="574"/>
      <c r="KOZ750" s="574"/>
      <c r="KPA750" s="574"/>
      <c r="KPB750" s="574"/>
      <c r="KPC750" s="574"/>
      <c r="KPD750" s="574"/>
      <c r="KPE750" s="574"/>
      <c r="KPF750" s="574"/>
      <c r="KPG750" s="574"/>
      <c r="KPH750" s="574"/>
      <c r="KPI750" s="574"/>
      <c r="KPJ750" s="574"/>
      <c r="KPK750" s="574"/>
      <c r="KPL750" s="574"/>
      <c r="KPM750" s="574"/>
      <c r="KPN750" s="574"/>
      <c r="KPO750" s="574"/>
      <c r="KPP750" s="574"/>
      <c r="KPQ750" s="574"/>
      <c r="KPR750" s="574"/>
      <c r="KPS750" s="574"/>
      <c r="KPT750" s="574"/>
      <c r="KPU750" s="574"/>
      <c r="KPV750" s="574"/>
      <c r="KPW750" s="574"/>
      <c r="KPX750" s="574"/>
      <c r="KPY750" s="574"/>
      <c r="KPZ750" s="574"/>
      <c r="KQA750" s="574"/>
      <c r="KQB750" s="574"/>
      <c r="KQC750" s="574"/>
      <c r="KQD750" s="574"/>
      <c r="KQE750" s="574"/>
      <c r="KQF750" s="574"/>
      <c r="KQG750" s="574"/>
      <c r="KQH750" s="574"/>
      <c r="KQI750" s="574"/>
      <c r="KQJ750" s="574"/>
      <c r="KQK750" s="574"/>
      <c r="KQL750" s="574"/>
      <c r="KQM750" s="574"/>
      <c r="KQN750" s="574"/>
      <c r="KQO750" s="574"/>
      <c r="KQP750" s="574"/>
      <c r="KQQ750" s="574"/>
      <c r="KQR750" s="574"/>
      <c r="KQS750" s="574"/>
      <c r="KQT750" s="574"/>
      <c r="KQU750" s="574"/>
      <c r="KQV750" s="574"/>
      <c r="KQW750" s="574"/>
      <c r="KQX750" s="574"/>
      <c r="KQY750" s="574"/>
      <c r="KQZ750" s="574"/>
      <c r="KRA750" s="574"/>
      <c r="KRB750" s="574"/>
      <c r="KRC750" s="574"/>
      <c r="KRD750" s="574"/>
      <c r="KRE750" s="574"/>
      <c r="KRF750" s="574"/>
      <c r="KRG750" s="574"/>
      <c r="KRH750" s="574"/>
      <c r="KRI750" s="574"/>
      <c r="KRJ750" s="574"/>
      <c r="KRK750" s="574"/>
      <c r="KRL750" s="574"/>
      <c r="KRM750" s="574"/>
      <c r="KRN750" s="574"/>
      <c r="KRO750" s="574"/>
      <c r="KRP750" s="574"/>
      <c r="KRQ750" s="574"/>
      <c r="KRR750" s="574"/>
      <c r="KRS750" s="574"/>
      <c r="KRT750" s="574"/>
      <c r="KRU750" s="574"/>
      <c r="KRV750" s="574"/>
      <c r="KRW750" s="574"/>
      <c r="KRX750" s="574"/>
      <c r="KRY750" s="574"/>
      <c r="KRZ750" s="574"/>
      <c r="KSA750" s="574"/>
      <c r="KSB750" s="574"/>
      <c r="KSC750" s="574"/>
      <c r="KSD750" s="574"/>
      <c r="KSE750" s="574"/>
      <c r="KSF750" s="574"/>
      <c r="KSG750" s="574"/>
      <c r="KSH750" s="574"/>
      <c r="KSI750" s="574"/>
      <c r="KSJ750" s="574"/>
      <c r="KSK750" s="574"/>
      <c r="KSL750" s="574"/>
      <c r="KSM750" s="574"/>
      <c r="KSN750" s="574"/>
      <c r="KSO750" s="574"/>
      <c r="KSP750" s="574"/>
      <c r="KSQ750" s="574"/>
      <c r="KSR750" s="574"/>
      <c r="KSS750" s="574"/>
      <c r="KST750" s="574"/>
      <c r="KSU750" s="574"/>
      <c r="KSV750" s="574"/>
      <c r="KSW750" s="574"/>
      <c r="KSX750" s="574"/>
      <c r="KSY750" s="574"/>
      <c r="KSZ750" s="574"/>
      <c r="KTA750" s="574"/>
      <c r="KTB750" s="574"/>
      <c r="KTC750" s="574"/>
      <c r="KTD750" s="574"/>
      <c r="KTE750" s="574"/>
      <c r="KTF750" s="574"/>
      <c r="KTG750" s="574"/>
      <c r="KTH750" s="574"/>
      <c r="KTI750" s="574"/>
      <c r="KTJ750" s="574"/>
      <c r="KTK750" s="574"/>
      <c r="KTL750" s="574"/>
      <c r="KTM750" s="574"/>
      <c r="KTN750" s="574"/>
      <c r="KTO750" s="574"/>
      <c r="KTP750" s="574"/>
      <c r="KTQ750" s="574"/>
      <c r="KTR750" s="574"/>
      <c r="KTS750" s="574"/>
      <c r="KTT750" s="574"/>
      <c r="KTU750" s="574"/>
      <c r="KTV750" s="574"/>
      <c r="KTW750" s="574"/>
      <c r="KTX750" s="574"/>
      <c r="KTY750" s="574"/>
      <c r="KTZ750" s="574"/>
      <c r="KUA750" s="574"/>
      <c r="KUB750" s="574"/>
      <c r="KUC750" s="574"/>
      <c r="KUD750" s="574"/>
      <c r="KUE750" s="574"/>
      <c r="KUF750" s="574"/>
      <c r="KUG750" s="574"/>
      <c r="KUH750" s="574"/>
      <c r="KUI750" s="574"/>
      <c r="KUJ750" s="574"/>
      <c r="KUK750" s="574"/>
      <c r="KUL750" s="574"/>
      <c r="KUM750" s="574"/>
      <c r="KUN750" s="574"/>
      <c r="KUO750" s="574"/>
      <c r="KUP750" s="574"/>
      <c r="KUQ750" s="574"/>
      <c r="KUR750" s="574"/>
      <c r="KUS750" s="574"/>
      <c r="KUT750" s="574"/>
      <c r="KUU750" s="574"/>
      <c r="KUV750" s="574"/>
      <c r="KUW750" s="574"/>
      <c r="KUX750" s="574"/>
      <c r="KUY750" s="574"/>
      <c r="KUZ750" s="574"/>
      <c r="KVA750" s="574"/>
      <c r="KVB750" s="574"/>
      <c r="KVC750" s="574"/>
      <c r="KVD750" s="574"/>
      <c r="KVE750" s="574"/>
      <c r="KVF750" s="574"/>
      <c r="KVG750" s="574"/>
      <c r="KVH750" s="574"/>
      <c r="KVI750" s="574"/>
      <c r="KVJ750" s="574"/>
      <c r="KVK750" s="574"/>
      <c r="KVL750" s="574"/>
      <c r="KVM750" s="574"/>
      <c r="KVN750" s="574"/>
      <c r="KVO750" s="574"/>
      <c r="KVP750" s="574"/>
      <c r="KVQ750" s="574"/>
      <c r="KVR750" s="574"/>
      <c r="KVS750" s="574"/>
      <c r="KVT750" s="574"/>
      <c r="KVU750" s="574"/>
      <c r="KVV750" s="574"/>
      <c r="KVW750" s="574"/>
      <c r="KVX750" s="574"/>
      <c r="KVY750" s="574"/>
      <c r="KVZ750" s="574"/>
      <c r="KWA750" s="574"/>
      <c r="KWB750" s="574"/>
      <c r="KWC750" s="574"/>
      <c r="KWD750" s="574"/>
      <c r="KWE750" s="574"/>
      <c r="KWF750" s="574"/>
      <c r="KWG750" s="574"/>
      <c r="KWH750" s="574"/>
      <c r="KWI750" s="574"/>
      <c r="KWJ750" s="574"/>
      <c r="KWK750" s="574"/>
      <c r="KWL750" s="574"/>
      <c r="KWM750" s="574"/>
      <c r="KWN750" s="574"/>
      <c r="KWO750" s="574"/>
      <c r="KWP750" s="574"/>
      <c r="KWQ750" s="574"/>
      <c r="KWR750" s="574"/>
      <c r="KWS750" s="574"/>
      <c r="KWT750" s="574"/>
      <c r="KWU750" s="574"/>
      <c r="KWV750" s="574"/>
      <c r="KWW750" s="574"/>
      <c r="KWX750" s="574"/>
      <c r="KWY750" s="574"/>
      <c r="KWZ750" s="574"/>
      <c r="KXA750" s="574"/>
      <c r="KXB750" s="574"/>
      <c r="KXC750" s="574"/>
      <c r="KXD750" s="574"/>
      <c r="KXE750" s="574"/>
      <c r="KXF750" s="574"/>
      <c r="KXG750" s="574"/>
      <c r="KXH750" s="574"/>
      <c r="KXI750" s="574"/>
      <c r="KXJ750" s="574"/>
      <c r="KXK750" s="574"/>
      <c r="KXL750" s="574"/>
      <c r="KXM750" s="574"/>
      <c r="KXN750" s="574"/>
      <c r="KXO750" s="574"/>
      <c r="KXP750" s="574"/>
      <c r="KXQ750" s="574"/>
      <c r="KXR750" s="574"/>
      <c r="KXS750" s="574"/>
      <c r="KXT750" s="574"/>
      <c r="KXU750" s="574"/>
      <c r="KXV750" s="574"/>
      <c r="KXW750" s="574"/>
      <c r="KXX750" s="574"/>
      <c r="KXY750" s="574"/>
      <c r="KXZ750" s="574"/>
      <c r="KYA750" s="574"/>
      <c r="KYB750" s="574"/>
      <c r="KYC750" s="574"/>
      <c r="KYD750" s="574"/>
      <c r="KYE750" s="574"/>
      <c r="KYF750" s="574"/>
      <c r="KYG750" s="574"/>
      <c r="KYH750" s="574"/>
      <c r="KYI750" s="574"/>
      <c r="KYJ750" s="574"/>
      <c r="KYK750" s="574"/>
      <c r="KYL750" s="574"/>
      <c r="KYM750" s="574"/>
      <c r="KYN750" s="574"/>
      <c r="KYO750" s="574"/>
      <c r="KYP750" s="574"/>
      <c r="KYQ750" s="574"/>
      <c r="KYR750" s="574"/>
      <c r="KYS750" s="574"/>
      <c r="KYT750" s="574"/>
      <c r="KYU750" s="574"/>
      <c r="KYV750" s="574"/>
      <c r="KYW750" s="574"/>
      <c r="KYX750" s="574"/>
      <c r="KYY750" s="574"/>
      <c r="KYZ750" s="574"/>
      <c r="KZA750" s="574"/>
      <c r="KZB750" s="574"/>
      <c r="KZC750" s="574"/>
      <c r="KZD750" s="574"/>
      <c r="KZE750" s="574"/>
      <c r="KZF750" s="574"/>
      <c r="KZG750" s="574"/>
      <c r="KZH750" s="574"/>
      <c r="KZI750" s="574"/>
      <c r="KZJ750" s="574"/>
      <c r="KZK750" s="574"/>
      <c r="KZL750" s="574"/>
      <c r="KZM750" s="574"/>
      <c r="KZN750" s="574"/>
      <c r="KZO750" s="574"/>
      <c r="KZP750" s="574"/>
      <c r="KZQ750" s="574"/>
      <c r="KZR750" s="574"/>
      <c r="KZS750" s="574"/>
      <c r="KZT750" s="574"/>
      <c r="KZU750" s="574"/>
      <c r="KZV750" s="574"/>
      <c r="KZW750" s="574"/>
      <c r="KZX750" s="574"/>
      <c r="KZY750" s="574"/>
      <c r="KZZ750" s="574"/>
      <c r="LAA750" s="574"/>
      <c r="LAB750" s="574"/>
      <c r="LAC750" s="574"/>
      <c r="LAD750" s="574"/>
      <c r="LAE750" s="574"/>
      <c r="LAF750" s="574"/>
      <c r="LAG750" s="574"/>
      <c r="LAH750" s="574"/>
      <c r="LAI750" s="574"/>
      <c r="LAJ750" s="574"/>
      <c r="LAK750" s="574"/>
      <c r="LAL750" s="574"/>
      <c r="LAM750" s="574"/>
      <c r="LAN750" s="574"/>
      <c r="LAO750" s="574"/>
      <c r="LAP750" s="574"/>
      <c r="LAQ750" s="574"/>
      <c r="LAR750" s="574"/>
      <c r="LAS750" s="574"/>
      <c r="LAT750" s="574"/>
      <c r="LAU750" s="574"/>
      <c r="LAV750" s="574"/>
      <c r="LAW750" s="574"/>
      <c r="LAX750" s="574"/>
      <c r="LAY750" s="574"/>
      <c r="LAZ750" s="574"/>
      <c r="LBA750" s="574"/>
      <c r="LBB750" s="574"/>
      <c r="LBC750" s="574"/>
      <c r="LBD750" s="574"/>
      <c r="LBE750" s="574"/>
      <c r="LBF750" s="574"/>
      <c r="LBG750" s="574"/>
      <c r="LBH750" s="574"/>
      <c r="LBI750" s="574"/>
      <c r="LBJ750" s="574"/>
      <c r="LBK750" s="574"/>
      <c r="LBL750" s="574"/>
      <c r="LBM750" s="574"/>
      <c r="LBN750" s="574"/>
      <c r="LBO750" s="574"/>
      <c r="LBP750" s="574"/>
      <c r="LBQ750" s="574"/>
      <c r="LBR750" s="574"/>
      <c r="LBS750" s="574"/>
      <c r="LBT750" s="574"/>
      <c r="LBU750" s="574"/>
      <c r="LBV750" s="574"/>
      <c r="LBW750" s="574"/>
      <c r="LBX750" s="574"/>
      <c r="LBY750" s="574"/>
      <c r="LBZ750" s="574"/>
      <c r="LCA750" s="574"/>
      <c r="LCB750" s="574"/>
      <c r="LCC750" s="574"/>
      <c r="LCD750" s="574"/>
      <c r="LCE750" s="574"/>
      <c r="LCF750" s="574"/>
      <c r="LCG750" s="574"/>
      <c r="LCH750" s="574"/>
      <c r="LCI750" s="574"/>
      <c r="LCJ750" s="574"/>
      <c r="LCK750" s="574"/>
      <c r="LCL750" s="574"/>
      <c r="LCM750" s="574"/>
      <c r="LCN750" s="574"/>
      <c r="LCO750" s="574"/>
      <c r="LCP750" s="574"/>
      <c r="LCQ750" s="574"/>
      <c r="LCR750" s="574"/>
      <c r="LCS750" s="574"/>
      <c r="LCT750" s="574"/>
      <c r="LCU750" s="574"/>
      <c r="LCV750" s="574"/>
      <c r="LCW750" s="574"/>
      <c r="LCX750" s="574"/>
      <c r="LCY750" s="574"/>
      <c r="LCZ750" s="574"/>
      <c r="LDA750" s="574"/>
      <c r="LDB750" s="574"/>
      <c r="LDC750" s="574"/>
      <c r="LDD750" s="574"/>
      <c r="LDE750" s="574"/>
      <c r="LDF750" s="574"/>
      <c r="LDG750" s="574"/>
      <c r="LDH750" s="574"/>
      <c r="LDI750" s="574"/>
      <c r="LDJ750" s="574"/>
      <c r="LDK750" s="574"/>
      <c r="LDL750" s="574"/>
      <c r="LDM750" s="574"/>
      <c r="LDN750" s="574"/>
      <c r="LDO750" s="574"/>
      <c r="LDP750" s="574"/>
      <c r="LDQ750" s="574"/>
      <c r="LDR750" s="574"/>
      <c r="LDS750" s="574"/>
      <c r="LDT750" s="574"/>
      <c r="LDU750" s="574"/>
      <c r="LDV750" s="574"/>
      <c r="LDW750" s="574"/>
      <c r="LDX750" s="574"/>
      <c r="LDY750" s="574"/>
      <c r="LDZ750" s="574"/>
      <c r="LEA750" s="574"/>
      <c r="LEB750" s="574"/>
      <c r="LEC750" s="574"/>
      <c r="LED750" s="574"/>
      <c r="LEE750" s="574"/>
      <c r="LEF750" s="574"/>
      <c r="LEG750" s="574"/>
      <c r="LEH750" s="574"/>
      <c r="LEI750" s="574"/>
      <c r="LEJ750" s="574"/>
      <c r="LEK750" s="574"/>
      <c r="LEL750" s="574"/>
      <c r="LEM750" s="574"/>
      <c r="LEN750" s="574"/>
      <c r="LEO750" s="574"/>
      <c r="LEP750" s="574"/>
      <c r="LEQ750" s="574"/>
      <c r="LER750" s="574"/>
      <c r="LES750" s="574"/>
      <c r="LET750" s="574"/>
      <c r="LEU750" s="574"/>
      <c r="LEV750" s="574"/>
      <c r="LEW750" s="574"/>
      <c r="LEX750" s="574"/>
      <c r="LEY750" s="574"/>
      <c r="LEZ750" s="574"/>
      <c r="LFA750" s="574"/>
      <c r="LFB750" s="574"/>
      <c r="LFC750" s="574"/>
      <c r="LFD750" s="574"/>
      <c r="LFE750" s="574"/>
      <c r="LFF750" s="574"/>
      <c r="LFG750" s="574"/>
      <c r="LFH750" s="574"/>
      <c r="LFI750" s="574"/>
      <c r="LFJ750" s="574"/>
      <c r="LFK750" s="574"/>
      <c r="LFL750" s="574"/>
      <c r="LFM750" s="574"/>
      <c r="LFN750" s="574"/>
      <c r="LFO750" s="574"/>
      <c r="LFP750" s="574"/>
      <c r="LFQ750" s="574"/>
      <c r="LFR750" s="574"/>
      <c r="LFS750" s="574"/>
      <c r="LFT750" s="574"/>
      <c r="LFU750" s="574"/>
      <c r="LFV750" s="574"/>
      <c r="LFW750" s="574"/>
      <c r="LFX750" s="574"/>
      <c r="LFY750" s="574"/>
      <c r="LFZ750" s="574"/>
      <c r="LGA750" s="574"/>
      <c r="LGB750" s="574"/>
      <c r="LGC750" s="574"/>
      <c r="LGD750" s="574"/>
      <c r="LGE750" s="574"/>
      <c r="LGF750" s="574"/>
      <c r="LGG750" s="574"/>
      <c r="LGH750" s="574"/>
      <c r="LGI750" s="574"/>
      <c r="LGJ750" s="574"/>
      <c r="LGK750" s="574"/>
      <c r="LGL750" s="574"/>
      <c r="LGM750" s="574"/>
      <c r="LGN750" s="574"/>
      <c r="LGO750" s="574"/>
      <c r="LGP750" s="574"/>
      <c r="LGQ750" s="574"/>
      <c r="LGR750" s="574"/>
      <c r="LGS750" s="574"/>
      <c r="LGT750" s="574"/>
      <c r="LGU750" s="574"/>
      <c r="LGV750" s="574"/>
      <c r="LGW750" s="574"/>
      <c r="LGX750" s="574"/>
      <c r="LGY750" s="574"/>
      <c r="LGZ750" s="574"/>
      <c r="LHA750" s="574"/>
      <c r="LHB750" s="574"/>
      <c r="LHC750" s="574"/>
      <c r="LHD750" s="574"/>
      <c r="LHE750" s="574"/>
      <c r="LHF750" s="574"/>
      <c r="LHG750" s="574"/>
      <c r="LHH750" s="574"/>
      <c r="LHI750" s="574"/>
      <c r="LHJ750" s="574"/>
      <c r="LHK750" s="574"/>
      <c r="LHL750" s="574"/>
      <c r="LHM750" s="574"/>
      <c r="LHN750" s="574"/>
      <c r="LHO750" s="574"/>
      <c r="LHP750" s="574"/>
      <c r="LHQ750" s="574"/>
      <c r="LHR750" s="574"/>
      <c r="LHS750" s="574"/>
      <c r="LHT750" s="574"/>
      <c r="LHU750" s="574"/>
      <c r="LHV750" s="574"/>
      <c r="LHW750" s="574"/>
      <c r="LHX750" s="574"/>
      <c r="LHY750" s="574"/>
      <c r="LHZ750" s="574"/>
      <c r="LIA750" s="574"/>
      <c r="LIB750" s="574"/>
      <c r="LIC750" s="574"/>
      <c r="LID750" s="574"/>
      <c r="LIE750" s="574"/>
      <c r="LIF750" s="574"/>
      <c r="LIG750" s="574"/>
      <c r="LIH750" s="574"/>
      <c r="LII750" s="574"/>
      <c r="LIJ750" s="574"/>
      <c r="LIK750" s="574"/>
      <c r="LIL750" s="574"/>
      <c r="LIM750" s="574"/>
      <c r="LIN750" s="574"/>
      <c r="LIO750" s="574"/>
      <c r="LIP750" s="574"/>
      <c r="LIQ750" s="574"/>
      <c r="LIR750" s="574"/>
      <c r="LIS750" s="574"/>
      <c r="LIT750" s="574"/>
      <c r="LIU750" s="574"/>
      <c r="LIV750" s="574"/>
      <c r="LIW750" s="574"/>
      <c r="LIX750" s="574"/>
      <c r="LIY750" s="574"/>
      <c r="LIZ750" s="574"/>
      <c r="LJA750" s="574"/>
      <c r="LJB750" s="574"/>
      <c r="LJC750" s="574"/>
      <c r="LJD750" s="574"/>
      <c r="LJE750" s="574"/>
      <c r="LJF750" s="574"/>
      <c r="LJG750" s="574"/>
      <c r="LJH750" s="574"/>
      <c r="LJI750" s="574"/>
      <c r="LJJ750" s="574"/>
      <c r="LJK750" s="574"/>
      <c r="LJL750" s="574"/>
      <c r="LJM750" s="574"/>
      <c r="LJN750" s="574"/>
      <c r="LJO750" s="574"/>
      <c r="LJP750" s="574"/>
      <c r="LJQ750" s="574"/>
      <c r="LJR750" s="574"/>
      <c r="LJS750" s="574"/>
      <c r="LJT750" s="574"/>
      <c r="LJU750" s="574"/>
      <c r="LJV750" s="574"/>
      <c r="LJW750" s="574"/>
      <c r="LJX750" s="574"/>
      <c r="LJY750" s="574"/>
      <c r="LJZ750" s="574"/>
      <c r="LKA750" s="574"/>
      <c r="LKB750" s="574"/>
      <c r="LKC750" s="574"/>
      <c r="LKD750" s="574"/>
      <c r="LKE750" s="574"/>
      <c r="LKF750" s="574"/>
      <c r="LKG750" s="574"/>
      <c r="LKH750" s="574"/>
      <c r="LKI750" s="574"/>
      <c r="LKJ750" s="574"/>
      <c r="LKK750" s="574"/>
      <c r="LKL750" s="574"/>
      <c r="LKM750" s="574"/>
      <c r="LKN750" s="574"/>
      <c r="LKO750" s="574"/>
      <c r="LKP750" s="574"/>
      <c r="LKQ750" s="574"/>
      <c r="LKR750" s="574"/>
      <c r="LKS750" s="574"/>
      <c r="LKT750" s="574"/>
      <c r="LKU750" s="574"/>
      <c r="LKV750" s="574"/>
      <c r="LKW750" s="574"/>
      <c r="LKX750" s="574"/>
      <c r="LKY750" s="574"/>
      <c r="LKZ750" s="574"/>
      <c r="LLA750" s="574"/>
      <c r="LLB750" s="574"/>
      <c r="LLC750" s="574"/>
      <c r="LLD750" s="574"/>
      <c r="LLE750" s="574"/>
      <c r="LLF750" s="574"/>
      <c r="LLG750" s="574"/>
      <c r="LLH750" s="574"/>
      <c r="LLI750" s="574"/>
      <c r="LLJ750" s="574"/>
      <c r="LLK750" s="574"/>
      <c r="LLL750" s="574"/>
      <c r="LLM750" s="574"/>
      <c r="LLN750" s="574"/>
      <c r="LLO750" s="574"/>
      <c r="LLP750" s="574"/>
      <c r="LLQ750" s="574"/>
      <c r="LLR750" s="574"/>
      <c r="LLS750" s="574"/>
      <c r="LLT750" s="574"/>
      <c r="LLU750" s="574"/>
      <c r="LLV750" s="574"/>
      <c r="LLW750" s="574"/>
      <c r="LLX750" s="574"/>
      <c r="LLY750" s="574"/>
      <c r="LLZ750" s="574"/>
      <c r="LMA750" s="574"/>
      <c r="LMB750" s="574"/>
      <c r="LMC750" s="574"/>
      <c r="LMD750" s="574"/>
      <c r="LME750" s="574"/>
      <c r="LMF750" s="574"/>
      <c r="LMG750" s="574"/>
      <c r="LMH750" s="574"/>
      <c r="LMI750" s="574"/>
      <c r="LMJ750" s="574"/>
      <c r="LMK750" s="574"/>
      <c r="LML750" s="574"/>
      <c r="LMM750" s="574"/>
      <c r="LMN750" s="574"/>
      <c r="LMO750" s="574"/>
      <c r="LMP750" s="574"/>
      <c r="LMQ750" s="574"/>
      <c r="LMR750" s="574"/>
      <c r="LMS750" s="574"/>
      <c r="LMT750" s="574"/>
      <c r="LMU750" s="574"/>
      <c r="LMV750" s="574"/>
      <c r="LMW750" s="574"/>
      <c r="LMX750" s="574"/>
      <c r="LMY750" s="574"/>
      <c r="LMZ750" s="574"/>
      <c r="LNA750" s="574"/>
      <c r="LNB750" s="574"/>
      <c r="LNC750" s="574"/>
      <c r="LND750" s="574"/>
      <c r="LNE750" s="574"/>
      <c r="LNF750" s="574"/>
      <c r="LNG750" s="574"/>
      <c r="LNH750" s="574"/>
      <c r="LNI750" s="574"/>
      <c r="LNJ750" s="574"/>
      <c r="LNK750" s="574"/>
      <c r="LNL750" s="574"/>
      <c r="LNM750" s="574"/>
      <c r="LNN750" s="574"/>
      <c r="LNO750" s="574"/>
      <c r="LNP750" s="574"/>
      <c r="LNQ750" s="574"/>
      <c r="LNR750" s="574"/>
      <c r="LNS750" s="574"/>
      <c r="LNT750" s="574"/>
      <c r="LNU750" s="574"/>
      <c r="LNV750" s="574"/>
      <c r="LNW750" s="574"/>
      <c r="LNX750" s="574"/>
      <c r="LNY750" s="574"/>
      <c r="LNZ750" s="574"/>
      <c r="LOA750" s="574"/>
      <c r="LOB750" s="574"/>
      <c r="LOC750" s="574"/>
      <c r="LOD750" s="574"/>
      <c r="LOE750" s="574"/>
      <c r="LOF750" s="574"/>
      <c r="LOG750" s="574"/>
      <c r="LOH750" s="574"/>
      <c r="LOI750" s="574"/>
      <c r="LOJ750" s="574"/>
      <c r="LOK750" s="574"/>
      <c r="LOL750" s="574"/>
      <c r="LOM750" s="574"/>
      <c r="LON750" s="574"/>
      <c r="LOO750" s="574"/>
      <c r="LOP750" s="574"/>
      <c r="LOQ750" s="574"/>
      <c r="LOR750" s="574"/>
      <c r="LOS750" s="574"/>
      <c r="LOT750" s="574"/>
      <c r="LOU750" s="574"/>
      <c r="LOV750" s="574"/>
      <c r="LOW750" s="574"/>
      <c r="LOX750" s="574"/>
      <c r="LOY750" s="574"/>
      <c r="LOZ750" s="574"/>
      <c r="LPA750" s="574"/>
      <c r="LPB750" s="574"/>
      <c r="LPC750" s="574"/>
      <c r="LPD750" s="574"/>
      <c r="LPE750" s="574"/>
      <c r="LPF750" s="574"/>
      <c r="LPG750" s="574"/>
      <c r="LPH750" s="574"/>
      <c r="LPI750" s="574"/>
      <c r="LPJ750" s="574"/>
      <c r="LPK750" s="574"/>
      <c r="LPL750" s="574"/>
      <c r="LPM750" s="574"/>
      <c r="LPN750" s="574"/>
      <c r="LPO750" s="574"/>
      <c r="LPP750" s="574"/>
      <c r="LPQ750" s="574"/>
      <c r="LPR750" s="574"/>
      <c r="LPS750" s="574"/>
      <c r="LPT750" s="574"/>
      <c r="LPU750" s="574"/>
      <c r="LPV750" s="574"/>
      <c r="LPW750" s="574"/>
      <c r="LPX750" s="574"/>
      <c r="LPY750" s="574"/>
      <c r="LPZ750" s="574"/>
      <c r="LQA750" s="574"/>
      <c r="LQB750" s="574"/>
      <c r="LQC750" s="574"/>
      <c r="LQD750" s="574"/>
      <c r="LQE750" s="574"/>
      <c r="LQF750" s="574"/>
      <c r="LQG750" s="574"/>
      <c r="LQH750" s="574"/>
      <c r="LQI750" s="574"/>
      <c r="LQJ750" s="574"/>
      <c r="LQK750" s="574"/>
      <c r="LQL750" s="574"/>
      <c r="LQM750" s="574"/>
      <c r="LQN750" s="574"/>
      <c r="LQO750" s="574"/>
      <c r="LQP750" s="574"/>
      <c r="LQQ750" s="574"/>
      <c r="LQR750" s="574"/>
      <c r="LQS750" s="574"/>
      <c r="LQT750" s="574"/>
      <c r="LQU750" s="574"/>
      <c r="LQV750" s="574"/>
      <c r="LQW750" s="574"/>
      <c r="LQX750" s="574"/>
      <c r="LQY750" s="574"/>
      <c r="LQZ750" s="574"/>
      <c r="LRA750" s="574"/>
      <c r="LRB750" s="574"/>
      <c r="LRC750" s="574"/>
      <c r="LRD750" s="574"/>
      <c r="LRE750" s="574"/>
      <c r="LRF750" s="574"/>
      <c r="LRG750" s="574"/>
      <c r="LRH750" s="574"/>
      <c r="LRI750" s="574"/>
      <c r="LRJ750" s="574"/>
      <c r="LRK750" s="574"/>
      <c r="LRL750" s="574"/>
      <c r="LRM750" s="574"/>
      <c r="LRN750" s="574"/>
      <c r="LRO750" s="574"/>
      <c r="LRP750" s="574"/>
      <c r="LRQ750" s="574"/>
      <c r="LRR750" s="574"/>
      <c r="LRS750" s="574"/>
      <c r="LRT750" s="574"/>
      <c r="LRU750" s="574"/>
      <c r="LRV750" s="574"/>
      <c r="LRW750" s="574"/>
      <c r="LRX750" s="574"/>
      <c r="LRY750" s="574"/>
      <c r="LRZ750" s="574"/>
      <c r="LSA750" s="574"/>
      <c r="LSB750" s="574"/>
      <c r="LSC750" s="574"/>
      <c r="LSD750" s="574"/>
      <c r="LSE750" s="574"/>
      <c r="LSF750" s="574"/>
      <c r="LSG750" s="574"/>
      <c r="LSH750" s="574"/>
      <c r="LSI750" s="574"/>
      <c r="LSJ750" s="574"/>
      <c r="LSK750" s="574"/>
      <c r="LSL750" s="574"/>
      <c r="LSM750" s="574"/>
      <c r="LSN750" s="574"/>
      <c r="LSO750" s="574"/>
      <c r="LSP750" s="574"/>
      <c r="LSQ750" s="574"/>
      <c r="LSR750" s="574"/>
      <c r="LSS750" s="574"/>
      <c r="LST750" s="574"/>
      <c r="LSU750" s="574"/>
      <c r="LSV750" s="574"/>
      <c r="LSW750" s="574"/>
      <c r="LSX750" s="574"/>
      <c r="LSY750" s="574"/>
      <c r="LSZ750" s="574"/>
      <c r="LTA750" s="574"/>
      <c r="LTB750" s="574"/>
      <c r="LTC750" s="574"/>
      <c r="LTD750" s="574"/>
      <c r="LTE750" s="574"/>
      <c r="LTF750" s="574"/>
      <c r="LTG750" s="574"/>
      <c r="LTH750" s="574"/>
      <c r="LTI750" s="574"/>
      <c r="LTJ750" s="574"/>
      <c r="LTK750" s="574"/>
      <c r="LTL750" s="574"/>
      <c r="LTM750" s="574"/>
      <c r="LTN750" s="574"/>
      <c r="LTO750" s="574"/>
      <c r="LTP750" s="574"/>
      <c r="LTQ750" s="574"/>
      <c r="LTR750" s="574"/>
      <c r="LTS750" s="574"/>
      <c r="LTT750" s="574"/>
      <c r="LTU750" s="574"/>
      <c r="LTV750" s="574"/>
      <c r="LTW750" s="574"/>
      <c r="LTX750" s="574"/>
      <c r="LTY750" s="574"/>
      <c r="LTZ750" s="574"/>
      <c r="LUA750" s="574"/>
      <c r="LUB750" s="574"/>
      <c r="LUC750" s="574"/>
      <c r="LUD750" s="574"/>
      <c r="LUE750" s="574"/>
      <c r="LUF750" s="574"/>
      <c r="LUG750" s="574"/>
      <c r="LUH750" s="574"/>
      <c r="LUI750" s="574"/>
      <c r="LUJ750" s="574"/>
      <c r="LUK750" s="574"/>
      <c r="LUL750" s="574"/>
      <c r="LUM750" s="574"/>
      <c r="LUN750" s="574"/>
      <c r="LUO750" s="574"/>
      <c r="LUP750" s="574"/>
      <c r="LUQ750" s="574"/>
      <c r="LUR750" s="574"/>
      <c r="LUS750" s="574"/>
      <c r="LUT750" s="574"/>
      <c r="LUU750" s="574"/>
      <c r="LUV750" s="574"/>
      <c r="LUW750" s="574"/>
      <c r="LUX750" s="574"/>
      <c r="LUY750" s="574"/>
      <c r="LUZ750" s="574"/>
      <c r="LVA750" s="574"/>
      <c r="LVB750" s="574"/>
      <c r="LVC750" s="574"/>
      <c r="LVD750" s="574"/>
      <c r="LVE750" s="574"/>
      <c r="LVF750" s="574"/>
      <c r="LVG750" s="574"/>
      <c r="LVH750" s="574"/>
      <c r="LVI750" s="574"/>
      <c r="LVJ750" s="574"/>
      <c r="LVK750" s="574"/>
      <c r="LVL750" s="574"/>
      <c r="LVM750" s="574"/>
      <c r="LVN750" s="574"/>
      <c r="LVO750" s="574"/>
      <c r="LVP750" s="574"/>
      <c r="LVQ750" s="574"/>
      <c r="LVR750" s="574"/>
      <c r="LVS750" s="574"/>
      <c r="LVT750" s="574"/>
      <c r="LVU750" s="574"/>
      <c r="LVV750" s="574"/>
      <c r="LVW750" s="574"/>
      <c r="LVX750" s="574"/>
      <c r="LVY750" s="574"/>
      <c r="LVZ750" s="574"/>
      <c r="LWA750" s="574"/>
      <c r="LWB750" s="574"/>
      <c r="LWC750" s="574"/>
      <c r="LWD750" s="574"/>
      <c r="LWE750" s="574"/>
      <c r="LWF750" s="574"/>
      <c r="LWG750" s="574"/>
      <c r="LWH750" s="574"/>
      <c r="LWI750" s="574"/>
      <c r="LWJ750" s="574"/>
      <c r="LWK750" s="574"/>
      <c r="LWL750" s="574"/>
      <c r="LWM750" s="574"/>
      <c r="LWN750" s="574"/>
      <c r="LWO750" s="574"/>
      <c r="LWP750" s="574"/>
      <c r="LWQ750" s="574"/>
      <c r="LWR750" s="574"/>
      <c r="LWS750" s="574"/>
      <c r="LWT750" s="574"/>
      <c r="LWU750" s="574"/>
      <c r="LWV750" s="574"/>
      <c r="LWW750" s="574"/>
      <c r="LWX750" s="574"/>
      <c r="LWY750" s="574"/>
      <c r="LWZ750" s="574"/>
      <c r="LXA750" s="574"/>
      <c r="LXB750" s="574"/>
      <c r="LXC750" s="574"/>
      <c r="LXD750" s="574"/>
      <c r="LXE750" s="574"/>
      <c r="LXF750" s="574"/>
      <c r="LXG750" s="574"/>
      <c r="LXH750" s="574"/>
      <c r="LXI750" s="574"/>
      <c r="LXJ750" s="574"/>
      <c r="LXK750" s="574"/>
      <c r="LXL750" s="574"/>
      <c r="LXM750" s="574"/>
      <c r="LXN750" s="574"/>
      <c r="LXO750" s="574"/>
      <c r="LXP750" s="574"/>
      <c r="LXQ750" s="574"/>
      <c r="LXR750" s="574"/>
      <c r="LXS750" s="574"/>
      <c r="LXT750" s="574"/>
      <c r="LXU750" s="574"/>
      <c r="LXV750" s="574"/>
      <c r="LXW750" s="574"/>
      <c r="LXX750" s="574"/>
      <c r="LXY750" s="574"/>
      <c r="LXZ750" s="574"/>
      <c r="LYA750" s="574"/>
      <c r="LYB750" s="574"/>
      <c r="LYC750" s="574"/>
      <c r="LYD750" s="574"/>
      <c r="LYE750" s="574"/>
      <c r="LYF750" s="574"/>
      <c r="LYG750" s="574"/>
      <c r="LYH750" s="574"/>
      <c r="LYI750" s="574"/>
      <c r="LYJ750" s="574"/>
      <c r="LYK750" s="574"/>
      <c r="LYL750" s="574"/>
      <c r="LYM750" s="574"/>
      <c r="LYN750" s="574"/>
      <c r="LYO750" s="574"/>
      <c r="LYP750" s="574"/>
      <c r="LYQ750" s="574"/>
      <c r="LYR750" s="574"/>
      <c r="LYS750" s="574"/>
      <c r="LYT750" s="574"/>
      <c r="LYU750" s="574"/>
      <c r="LYV750" s="574"/>
      <c r="LYW750" s="574"/>
      <c r="LYX750" s="574"/>
      <c r="LYY750" s="574"/>
      <c r="LYZ750" s="574"/>
      <c r="LZA750" s="574"/>
      <c r="LZB750" s="574"/>
      <c r="LZC750" s="574"/>
      <c r="LZD750" s="574"/>
      <c r="LZE750" s="574"/>
      <c r="LZF750" s="574"/>
      <c r="LZG750" s="574"/>
      <c r="LZH750" s="574"/>
      <c r="LZI750" s="574"/>
      <c r="LZJ750" s="574"/>
      <c r="LZK750" s="574"/>
      <c r="LZL750" s="574"/>
      <c r="LZM750" s="574"/>
      <c r="LZN750" s="574"/>
      <c r="LZO750" s="574"/>
      <c r="LZP750" s="574"/>
      <c r="LZQ750" s="574"/>
      <c r="LZR750" s="574"/>
      <c r="LZS750" s="574"/>
      <c r="LZT750" s="574"/>
      <c r="LZU750" s="574"/>
      <c r="LZV750" s="574"/>
      <c r="LZW750" s="574"/>
      <c r="LZX750" s="574"/>
      <c r="LZY750" s="574"/>
      <c r="LZZ750" s="574"/>
      <c r="MAA750" s="574"/>
      <c r="MAB750" s="574"/>
      <c r="MAC750" s="574"/>
      <c r="MAD750" s="574"/>
      <c r="MAE750" s="574"/>
      <c r="MAF750" s="574"/>
      <c r="MAG750" s="574"/>
      <c r="MAH750" s="574"/>
      <c r="MAI750" s="574"/>
      <c r="MAJ750" s="574"/>
      <c r="MAK750" s="574"/>
      <c r="MAL750" s="574"/>
      <c r="MAM750" s="574"/>
      <c r="MAN750" s="574"/>
      <c r="MAO750" s="574"/>
      <c r="MAP750" s="574"/>
      <c r="MAQ750" s="574"/>
      <c r="MAR750" s="574"/>
      <c r="MAS750" s="574"/>
      <c r="MAT750" s="574"/>
      <c r="MAU750" s="574"/>
      <c r="MAV750" s="574"/>
      <c r="MAW750" s="574"/>
      <c r="MAX750" s="574"/>
      <c r="MAY750" s="574"/>
      <c r="MAZ750" s="574"/>
      <c r="MBA750" s="574"/>
      <c r="MBB750" s="574"/>
      <c r="MBC750" s="574"/>
      <c r="MBD750" s="574"/>
      <c r="MBE750" s="574"/>
      <c r="MBF750" s="574"/>
      <c r="MBG750" s="574"/>
      <c r="MBH750" s="574"/>
      <c r="MBI750" s="574"/>
      <c r="MBJ750" s="574"/>
      <c r="MBK750" s="574"/>
      <c r="MBL750" s="574"/>
      <c r="MBM750" s="574"/>
      <c r="MBN750" s="574"/>
      <c r="MBO750" s="574"/>
      <c r="MBP750" s="574"/>
      <c r="MBQ750" s="574"/>
      <c r="MBR750" s="574"/>
      <c r="MBS750" s="574"/>
      <c r="MBT750" s="574"/>
      <c r="MBU750" s="574"/>
      <c r="MBV750" s="574"/>
      <c r="MBW750" s="574"/>
      <c r="MBX750" s="574"/>
      <c r="MBY750" s="574"/>
      <c r="MBZ750" s="574"/>
      <c r="MCA750" s="574"/>
      <c r="MCB750" s="574"/>
      <c r="MCC750" s="574"/>
      <c r="MCD750" s="574"/>
      <c r="MCE750" s="574"/>
      <c r="MCF750" s="574"/>
      <c r="MCG750" s="574"/>
      <c r="MCH750" s="574"/>
      <c r="MCI750" s="574"/>
      <c r="MCJ750" s="574"/>
      <c r="MCK750" s="574"/>
      <c r="MCL750" s="574"/>
      <c r="MCM750" s="574"/>
      <c r="MCN750" s="574"/>
      <c r="MCO750" s="574"/>
      <c r="MCP750" s="574"/>
      <c r="MCQ750" s="574"/>
      <c r="MCR750" s="574"/>
      <c r="MCS750" s="574"/>
      <c r="MCT750" s="574"/>
      <c r="MCU750" s="574"/>
      <c r="MCV750" s="574"/>
      <c r="MCW750" s="574"/>
      <c r="MCX750" s="574"/>
      <c r="MCY750" s="574"/>
      <c r="MCZ750" s="574"/>
      <c r="MDA750" s="574"/>
      <c r="MDB750" s="574"/>
      <c r="MDC750" s="574"/>
      <c r="MDD750" s="574"/>
      <c r="MDE750" s="574"/>
      <c r="MDF750" s="574"/>
      <c r="MDG750" s="574"/>
      <c r="MDH750" s="574"/>
      <c r="MDI750" s="574"/>
      <c r="MDJ750" s="574"/>
      <c r="MDK750" s="574"/>
      <c r="MDL750" s="574"/>
      <c r="MDM750" s="574"/>
      <c r="MDN750" s="574"/>
      <c r="MDO750" s="574"/>
      <c r="MDP750" s="574"/>
      <c r="MDQ750" s="574"/>
      <c r="MDR750" s="574"/>
      <c r="MDS750" s="574"/>
      <c r="MDT750" s="574"/>
      <c r="MDU750" s="574"/>
      <c r="MDV750" s="574"/>
      <c r="MDW750" s="574"/>
      <c r="MDX750" s="574"/>
      <c r="MDY750" s="574"/>
      <c r="MDZ750" s="574"/>
      <c r="MEA750" s="574"/>
      <c r="MEB750" s="574"/>
      <c r="MEC750" s="574"/>
      <c r="MED750" s="574"/>
      <c r="MEE750" s="574"/>
      <c r="MEF750" s="574"/>
      <c r="MEG750" s="574"/>
      <c r="MEH750" s="574"/>
      <c r="MEI750" s="574"/>
      <c r="MEJ750" s="574"/>
      <c r="MEK750" s="574"/>
      <c r="MEL750" s="574"/>
      <c r="MEM750" s="574"/>
      <c r="MEN750" s="574"/>
      <c r="MEO750" s="574"/>
      <c r="MEP750" s="574"/>
      <c r="MEQ750" s="574"/>
      <c r="MER750" s="574"/>
      <c r="MES750" s="574"/>
      <c r="MET750" s="574"/>
      <c r="MEU750" s="574"/>
      <c r="MEV750" s="574"/>
      <c r="MEW750" s="574"/>
      <c r="MEX750" s="574"/>
      <c r="MEY750" s="574"/>
      <c r="MEZ750" s="574"/>
      <c r="MFA750" s="574"/>
      <c r="MFB750" s="574"/>
      <c r="MFC750" s="574"/>
      <c r="MFD750" s="574"/>
      <c r="MFE750" s="574"/>
      <c r="MFF750" s="574"/>
      <c r="MFG750" s="574"/>
      <c r="MFH750" s="574"/>
      <c r="MFI750" s="574"/>
      <c r="MFJ750" s="574"/>
      <c r="MFK750" s="574"/>
      <c r="MFL750" s="574"/>
      <c r="MFM750" s="574"/>
      <c r="MFN750" s="574"/>
      <c r="MFO750" s="574"/>
      <c r="MFP750" s="574"/>
      <c r="MFQ750" s="574"/>
      <c r="MFR750" s="574"/>
      <c r="MFS750" s="574"/>
      <c r="MFT750" s="574"/>
      <c r="MFU750" s="574"/>
      <c r="MFV750" s="574"/>
      <c r="MFW750" s="574"/>
      <c r="MFX750" s="574"/>
      <c r="MFY750" s="574"/>
      <c r="MFZ750" s="574"/>
      <c r="MGA750" s="574"/>
      <c r="MGB750" s="574"/>
      <c r="MGC750" s="574"/>
      <c r="MGD750" s="574"/>
      <c r="MGE750" s="574"/>
      <c r="MGF750" s="574"/>
      <c r="MGG750" s="574"/>
      <c r="MGH750" s="574"/>
      <c r="MGI750" s="574"/>
      <c r="MGJ750" s="574"/>
      <c r="MGK750" s="574"/>
      <c r="MGL750" s="574"/>
      <c r="MGM750" s="574"/>
      <c r="MGN750" s="574"/>
      <c r="MGO750" s="574"/>
      <c r="MGP750" s="574"/>
      <c r="MGQ750" s="574"/>
      <c r="MGR750" s="574"/>
      <c r="MGS750" s="574"/>
      <c r="MGT750" s="574"/>
      <c r="MGU750" s="574"/>
      <c r="MGV750" s="574"/>
      <c r="MGW750" s="574"/>
      <c r="MGX750" s="574"/>
      <c r="MGY750" s="574"/>
      <c r="MGZ750" s="574"/>
      <c r="MHA750" s="574"/>
      <c r="MHB750" s="574"/>
      <c r="MHC750" s="574"/>
      <c r="MHD750" s="574"/>
      <c r="MHE750" s="574"/>
      <c r="MHF750" s="574"/>
      <c r="MHG750" s="574"/>
      <c r="MHH750" s="574"/>
      <c r="MHI750" s="574"/>
      <c r="MHJ750" s="574"/>
      <c r="MHK750" s="574"/>
      <c r="MHL750" s="574"/>
      <c r="MHM750" s="574"/>
      <c r="MHN750" s="574"/>
      <c r="MHO750" s="574"/>
      <c r="MHP750" s="574"/>
      <c r="MHQ750" s="574"/>
      <c r="MHR750" s="574"/>
      <c r="MHS750" s="574"/>
      <c r="MHT750" s="574"/>
      <c r="MHU750" s="574"/>
      <c r="MHV750" s="574"/>
      <c r="MHW750" s="574"/>
      <c r="MHX750" s="574"/>
      <c r="MHY750" s="574"/>
      <c r="MHZ750" s="574"/>
      <c r="MIA750" s="574"/>
      <c r="MIB750" s="574"/>
      <c r="MIC750" s="574"/>
      <c r="MID750" s="574"/>
      <c r="MIE750" s="574"/>
      <c r="MIF750" s="574"/>
      <c r="MIG750" s="574"/>
      <c r="MIH750" s="574"/>
      <c r="MII750" s="574"/>
      <c r="MIJ750" s="574"/>
      <c r="MIK750" s="574"/>
      <c r="MIL750" s="574"/>
      <c r="MIM750" s="574"/>
      <c r="MIN750" s="574"/>
      <c r="MIO750" s="574"/>
      <c r="MIP750" s="574"/>
      <c r="MIQ750" s="574"/>
      <c r="MIR750" s="574"/>
      <c r="MIS750" s="574"/>
      <c r="MIT750" s="574"/>
      <c r="MIU750" s="574"/>
      <c r="MIV750" s="574"/>
      <c r="MIW750" s="574"/>
      <c r="MIX750" s="574"/>
      <c r="MIY750" s="574"/>
      <c r="MIZ750" s="574"/>
      <c r="MJA750" s="574"/>
      <c r="MJB750" s="574"/>
      <c r="MJC750" s="574"/>
      <c r="MJD750" s="574"/>
      <c r="MJE750" s="574"/>
      <c r="MJF750" s="574"/>
      <c r="MJG750" s="574"/>
      <c r="MJH750" s="574"/>
      <c r="MJI750" s="574"/>
      <c r="MJJ750" s="574"/>
      <c r="MJK750" s="574"/>
      <c r="MJL750" s="574"/>
      <c r="MJM750" s="574"/>
      <c r="MJN750" s="574"/>
      <c r="MJO750" s="574"/>
      <c r="MJP750" s="574"/>
      <c r="MJQ750" s="574"/>
      <c r="MJR750" s="574"/>
      <c r="MJS750" s="574"/>
      <c r="MJT750" s="574"/>
      <c r="MJU750" s="574"/>
      <c r="MJV750" s="574"/>
      <c r="MJW750" s="574"/>
      <c r="MJX750" s="574"/>
      <c r="MJY750" s="574"/>
      <c r="MJZ750" s="574"/>
      <c r="MKA750" s="574"/>
      <c r="MKB750" s="574"/>
      <c r="MKC750" s="574"/>
      <c r="MKD750" s="574"/>
      <c r="MKE750" s="574"/>
      <c r="MKF750" s="574"/>
      <c r="MKG750" s="574"/>
      <c r="MKH750" s="574"/>
      <c r="MKI750" s="574"/>
      <c r="MKJ750" s="574"/>
      <c r="MKK750" s="574"/>
      <c r="MKL750" s="574"/>
      <c r="MKM750" s="574"/>
      <c r="MKN750" s="574"/>
      <c r="MKO750" s="574"/>
      <c r="MKP750" s="574"/>
      <c r="MKQ750" s="574"/>
      <c r="MKR750" s="574"/>
      <c r="MKS750" s="574"/>
      <c r="MKT750" s="574"/>
      <c r="MKU750" s="574"/>
      <c r="MKV750" s="574"/>
      <c r="MKW750" s="574"/>
      <c r="MKX750" s="574"/>
      <c r="MKY750" s="574"/>
      <c r="MKZ750" s="574"/>
      <c r="MLA750" s="574"/>
      <c r="MLB750" s="574"/>
      <c r="MLC750" s="574"/>
      <c r="MLD750" s="574"/>
      <c r="MLE750" s="574"/>
      <c r="MLF750" s="574"/>
      <c r="MLG750" s="574"/>
      <c r="MLH750" s="574"/>
      <c r="MLI750" s="574"/>
      <c r="MLJ750" s="574"/>
      <c r="MLK750" s="574"/>
      <c r="MLL750" s="574"/>
      <c r="MLM750" s="574"/>
      <c r="MLN750" s="574"/>
      <c r="MLO750" s="574"/>
      <c r="MLP750" s="574"/>
      <c r="MLQ750" s="574"/>
      <c r="MLR750" s="574"/>
      <c r="MLS750" s="574"/>
      <c r="MLT750" s="574"/>
      <c r="MLU750" s="574"/>
      <c r="MLV750" s="574"/>
      <c r="MLW750" s="574"/>
      <c r="MLX750" s="574"/>
      <c r="MLY750" s="574"/>
      <c r="MLZ750" s="574"/>
      <c r="MMA750" s="574"/>
      <c r="MMB750" s="574"/>
      <c r="MMC750" s="574"/>
      <c r="MMD750" s="574"/>
      <c r="MME750" s="574"/>
      <c r="MMF750" s="574"/>
      <c r="MMG750" s="574"/>
      <c r="MMH750" s="574"/>
      <c r="MMI750" s="574"/>
      <c r="MMJ750" s="574"/>
      <c r="MMK750" s="574"/>
      <c r="MML750" s="574"/>
      <c r="MMM750" s="574"/>
      <c r="MMN750" s="574"/>
      <c r="MMO750" s="574"/>
      <c r="MMP750" s="574"/>
      <c r="MMQ750" s="574"/>
      <c r="MMR750" s="574"/>
      <c r="MMS750" s="574"/>
      <c r="MMT750" s="574"/>
      <c r="MMU750" s="574"/>
      <c r="MMV750" s="574"/>
      <c r="MMW750" s="574"/>
      <c r="MMX750" s="574"/>
      <c r="MMY750" s="574"/>
      <c r="MMZ750" s="574"/>
      <c r="MNA750" s="574"/>
      <c r="MNB750" s="574"/>
      <c r="MNC750" s="574"/>
      <c r="MND750" s="574"/>
      <c r="MNE750" s="574"/>
      <c r="MNF750" s="574"/>
      <c r="MNG750" s="574"/>
      <c r="MNH750" s="574"/>
      <c r="MNI750" s="574"/>
      <c r="MNJ750" s="574"/>
      <c r="MNK750" s="574"/>
      <c r="MNL750" s="574"/>
      <c r="MNM750" s="574"/>
      <c r="MNN750" s="574"/>
      <c r="MNO750" s="574"/>
      <c r="MNP750" s="574"/>
      <c r="MNQ750" s="574"/>
      <c r="MNR750" s="574"/>
      <c r="MNS750" s="574"/>
      <c r="MNT750" s="574"/>
      <c r="MNU750" s="574"/>
      <c r="MNV750" s="574"/>
      <c r="MNW750" s="574"/>
      <c r="MNX750" s="574"/>
      <c r="MNY750" s="574"/>
      <c r="MNZ750" s="574"/>
      <c r="MOA750" s="574"/>
      <c r="MOB750" s="574"/>
      <c r="MOC750" s="574"/>
      <c r="MOD750" s="574"/>
      <c r="MOE750" s="574"/>
      <c r="MOF750" s="574"/>
      <c r="MOG750" s="574"/>
      <c r="MOH750" s="574"/>
      <c r="MOI750" s="574"/>
      <c r="MOJ750" s="574"/>
      <c r="MOK750" s="574"/>
      <c r="MOL750" s="574"/>
      <c r="MOM750" s="574"/>
      <c r="MON750" s="574"/>
      <c r="MOO750" s="574"/>
      <c r="MOP750" s="574"/>
      <c r="MOQ750" s="574"/>
      <c r="MOR750" s="574"/>
      <c r="MOS750" s="574"/>
      <c r="MOT750" s="574"/>
      <c r="MOU750" s="574"/>
      <c r="MOV750" s="574"/>
      <c r="MOW750" s="574"/>
      <c r="MOX750" s="574"/>
      <c r="MOY750" s="574"/>
      <c r="MOZ750" s="574"/>
      <c r="MPA750" s="574"/>
      <c r="MPB750" s="574"/>
      <c r="MPC750" s="574"/>
      <c r="MPD750" s="574"/>
      <c r="MPE750" s="574"/>
      <c r="MPF750" s="574"/>
      <c r="MPG750" s="574"/>
      <c r="MPH750" s="574"/>
      <c r="MPI750" s="574"/>
      <c r="MPJ750" s="574"/>
      <c r="MPK750" s="574"/>
      <c r="MPL750" s="574"/>
      <c r="MPM750" s="574"/>
      <c r="MPN750" s="574"/>
      <c r="MPO750" s="574"/>
      <c r="MPP750" s="574"/>
      <c r="MPQ750" s="574"/>
      <c r="MPR750" s="574"/>
      <c r="MPS750" s="574"/>
      <c r="MPT750" s="574"/>
      <c r="MPU750" s="574"/>
      <c r="MPV750" s="574"/>
      <c r="MPW750" s="574"/>
      <c r="MPX750" s="574"/>
      <c r="MPY750" s="574"/>
      <c r="MPZ750" s="574"/>
      <c r="MQA750" s="574"/>
      <c r="MQB750" s="574"/>
      <c r="MQC750" s="574"/>
      <c r="MQD750" s="574"/>
      <c r="MQE750" s="574"/>
      <c r="MQF750" s="574"/>
      <c r="MQG750" s="574"/>
      <c r="MQH750" s="574"/>
      <c r="MQI750" s="574"/>
      <c r="MQJ750" s="574"/>
      <c r="MQK750" s="574"/>
      <c r="MQL750" s="574"/>
      <c r="MQM750" s="574"/>
      <c r="MQN750" s="574"/>
      <c r="MQO750" s="574"/>
      <c r="MQP750" s="574"/>
      <c r="MQQ750" s="574"/>
      <c r="MQR750" s="574"/>
      <c r="MQS750" s="574"/>
      <c r="MQT750" s="574"/>
      <c r="MQU750" s="574"/>
      <c r="MQV750" s="574"/>
      <c r="MQW750" s="574"/>
      <c r="MQX750" s="574"/>
      <c r="MQY750" s="574"/>
      <c r="MQZ750" s="574"/>
      <c r="MRA750" s="574"/>
      <c r="MRB750" s="574"/>
      <c r="MRC750" s="574"/>
      <c r="MRD750" s="574"/>
      <c r="MRE750" s="574"/>
      <c r="MRF750" s="574"/>
      <c r="MRG750" s="574"/>
      <c r="MRH750" s="574"/>
      <c r="MRI750" s="574"/>
      <c r="MRJ750" s="574"/>
      <c r="MRK750" s="574"/>
      <c r="MRL750" s="574"/>
      <c r="MRM750" s="574"/>
      <c r="MRN750" s="574"/>
      <c r="MRO750" s="574"/>
      <c r="MRP750" s="574"/>
      <c r="MRQ750" s="574"/>
      <c r="MRR750" s="574"/>
      <c r="MRS750" s="574"/>
      <c r="MRT750" s="574"/>
      <c r="MRU750" s="574"/>
      <c r="MRV750" s="574"/>
      <c r="MRW750" s="574"/>
      <c r="MRX750" s="574"/>
      <c r="MRY750" s="574"/>
      <c r="MRZ750" s="574"/>
      <c r="MSA750" s="574"/>
      <c r="MSB750" s="574"/>
      <c r="MSC750" s="574"/>
      <c r="MSD750" s="574"/>
      <c r="MSE750" s="574"/>
      <c r="MSF750" s="574"/>
      <c r="MSG750" s="574"/>
      <c r="MSH750" s="574"/>
      <c r="MSI750" s="574"/>
      <c r="MSJ750" s="574"/>
      <c r="MSK750" s="574"/>
      <c r="MSL750" s="574"/>
      <c r="MSM750" s="574"/>
      <c r="MSN750" s="574"/>
      <c r="MSO750" s="574"/>
      <c r="MSP750" s="574"/>
      <c r="MSQ750" s="574"/>
      <c r="MSR750" s="574"/>
      <c r="MSS750" s="574"/>
      <c r="MST750" s="574"/>
      <c r="MSU750" s="574"/>
      <c r="MSV750" s="574"/>
      <c r="MSW750" s="574"/>
      <c r="MSX750" s="574"/>
      <c r="MSY750" s="574"/>
      <c r="MSZ750" s="574"/>
      <c r="MTA750" s="574"/>
      <c r="MTB750" s="574"/>
      <c r="MTC750" s="574"/>
      <c r="MTD750" s="574"/>
      <c r="MTE750" s="574"/>
      <c r="MTF750" s="574"/>
      <c r="MTG750" s="574"/>
      <c r="MTH750" s="574"/>
      <c r="MTI750" s="574"/>
      <c r="MTJ750" s="574"/>
      <c r="MTK750" s="574"/>
      <c r="MTL750" s="574"/>
      <c r="MTM750" s="574"/>
      <c r="MTN750" s="574"/>
      <c r="MTO750" s="574"/>
      <c r="MTP750" s="574"/>
      <c r="MTQ750" s="574"/>
      <c r="MTR750" s="574"/>
      <c r="MTS750" s="574"/>
      <c r="MTT750" s="574"/>
      <c r="MTU750" s="574"/>
      <c r="MTV750" s="574"/>
      <c r="MTW750" s="574"/>
      <c r="MTX750" s="574"/>
      <c r="MTY750" s="574"/>
      <c r="MTZ750" s="574"/>
      <c r="MUA750" s="574"/>
      <c r="MUB750" s="574"/>
      <c r="MUC750" s="574"/>
      <c r="MUD750" s="574"/>
      <c r="MUE750" s="574"/>
      <c r="MUF750" s="574"/>
      <c r="MUG750" s="574"/>
      <c r="MUH750" s="574"/>
      <c r="MUI750" s="574"/>
      <c r="MUJ750" s="574"/>
      <c r="MUK750" s="574"/>
      <c r="MUL750" s="574"/>
      <c r="MUM750" s="574"/>
      <c r="MUN750" s="574"/>
      <c r="MUO750" s="574"/>
      <c r="MUP750" s="574"/>
      <c r="MUQ750" s="574"/>
      <c r="MUR750" s="574"/>
      <c r="MUS750" s="574"/>
      <c r="MUT750" s="574"/>
      <c r="MUU750" s="574"/>
      <c r="MUV750" s="574"/>
      <c r="MUW750" s="574"/>
      <c r="MUX750" s="574"/>
      <c r="MUY750" s="574"/>
      <c r="MUZ750" s="574"/>
      <c r="MVA750" s="574"/>
      <c r="MVB750" s="574"/>
      <c r="MVC750" s="574"/>
      <c r="MVD750" s="574"/>
      <c r="MVE750" s="574"/>
      <c r="MVF750" s="574"/>
      <c r="MVG750" s="574"/>
      <c r="MVH750" s="574"/>
      <c r="MVI750" s="574"/>
      <c r="MVJ750" s="574"/>
      <c r="MVK750" s="574"/>
      <c r="MVL750" s="574"/>
      <c r="MVM750" s="574"/>
      <c r="MVN750" s="574"/>
      <c r="MVO750" s="574"/>
      <c r="MVP750" s="574"/>
      <c r="MVQ750" s="574"/>
      <c r="MVR750" s="574"/>
      <c r="MVS750" s="574"/>
      <c r="MVT750" s="574"/>
      <c r="MVU750" s="574"/>
      <c r="MVV750" s="574"/>
      <c r="MVW750" s="574"/>
      <c r="MVX750" s="574"/>
      <c r="MVY750" s="574"/>
      <c r="MVZ750" s="574"/>
      <c r="MWA750" s="574"/>
      <c r="MWB750" s="574"/>
      <c r="MWC750" s="574"/>
      <c r="MWD750" s="574"/>
      <c r="MWE750" s="574"/>
      <c r="MWF750" s="574"/>
      <c r="MWG750" s="574"/>
      <c r="MWH750" s="574"/>
      <c r="MWI750" s="574"/>
      <c r="MWJ750" s="574"/>
      <c r="MWK750" s="574"/>
      <c r="MWL750" s="574"/>
      <c r="MWM750" s="574"/>
      <c r="MWN750" s="574"/>
      <c r="MWO750" s="574"/>
      <c r="MWP750" s="574"/>
      <c r="MWQ750" s="574"/>
      <c r="MWR750" s="574"/>
      <c r="MWS750" s="574"/>
      <c r="MWT750" s="574"/>
      <c r="MWU750" s="574"/>
      <c r="MWV750" s="574"/>
      <c r="MWW750" s="574"/>
      <c r="MWX750" s="574"/>
      <c r="MWY750" s="574"/>
      <c r="MWZ750" s="574"/>
      <c r="MXA750" s="574"/>
      <c r="MXB750" s="574"/>
      <c r="MXC750" s="574"/>
      <c r="MXD750" s="574"/>
      <c r="MXE750" s="574"/>
      <c r="MXF750" s="574"/>
      <c r="MXG750" s="574"/>
      <c r="MXH750" s="574"/>
      <c r="MXI750" s="574"/>
      <c r="MXJ750" s="574"/>
      <c r="MXK750" s="574"/>
      <c r="MXL750" s="574"/>
      <c r="MXM750" s="574"/>
      <c r="MXN750" s="574"/>
      <c r="MXO750" s="574"/>
      <c r="MXP750" s="574"/>
      <c r="MXQ750" s="574"/>
      <c r="MXR750" s="574"/>
      <c r="MXS750" s="574"/>
      <c r="MXT750" s="574"/>
      <c r="MXU750" s="574"/>
      <c r="MXV750" s="574"/>
      <c r="MXW750" s="574"/>
      <c r="MXX750" s="574"/>
      <c r="MXY750" s="574"/>
      <c r="MXZ750" s="574"/>
      <c r="MYA750" s="574"/>
      <c r="MYB750" s="574"/>
      <c r="MYC750" s="574"/>
      <c r="MYD750" s="574"/>
      <c r="MYE750" s="574"/>
      <c r="MYF750" s="574"/>
      <c r="MYG750" s="574"/>
      <c r="MYH750" s="574"/>
      <c r="MYI750" s="574"/>
      <c r="MYJ750" s="574"/>
      <c r="MYK750" s="574"/>
      <c r="MYL750" s="574"/>
      <c r="MYM750" s="574"/>
      <c r="MYN750" s="574"/>
      <c r="MYO750" s="574"/>
      <c r="MYP750" s="574"/>
      <c r="MYQ750" s="574"/>
      <c r="MYR750" s="574"/>
      <c r="MYS750" s="574"/>
      <c r="MYT750" s="574"/>
      <c r="MYU750" s="574"/>
      <c r="MYV750" s="574"/>
      <c r="MYW750" s="574"/>
      <c r="MYX750" s="574"/>
      <c r="MYY750" s="574"/>
      <c r="MYZ750" s="574"/>
      <c r="MZA750" s="574"/>
      <c r="MZB750" s="574"/>
      <c r="MZC750" s="574"/>
      <c r="MZD750" s="574"/>
      <c r="MZE750" s="574"/>
      <c r="MZF750" s="574"/>
      <c r="MZG750" s="574"/>
      <c r="MZH750" s="574"/>
      <c r="MZI750" s="574"/>
      <c r="MZJ750" s="574"/>
      <c r="MZK750" s="574"/>
      <c r="MZL750" s="574"/>
      <c r="MZM750" s="574"/>
      <c r="MZN750" s="574"/>
      <c r="MZO750" s="574"/>
      <c r="MZP750" s="574"/>
      <c r="MZQ750" s="574"/>
      <c r="MZR750" s="574"/>
      <c r="MZS750" s="574"/>
      <c r="MZT750" s="574"/>
      <c r="MZU750" s="574"/>
      <c r="MZV750" s="574"/>
      <c r="MZW750" s="574"/>
      <c r="MZX750" s="574"/>
      <c r="MZY750" s="574"/>
      <c r="MZZ750" s="574"/>
      <c r="NAA750" s="574"/>
      <c r="NAB750" s="574"/>
      <c r="NAC750" s="574"/>
      <c r="NAD750" s="574"/>
      <c r="NAE750" s="574"/>
      <c r="NAF750" s="574"/>
      <c r="NAG750" s="574"/>
      <c r="NAH750" s="574"/>
      <c r="NAI750" s="574"/>
      <c r="NAJ750" s="574"/>
      <c r="NAK750" s="574"/>
      <c r="NAL750" s="574"/>
      <c r="NAM750" s="574"/>
      <c r="NAN750" s="574"/>
      <c r="NAO750" s="574"/>
      <c r="NAP750" s="574"/>
      <c r="NAQ750" s="574"/>
      <c r="NAR750" s="574"/>
      <c r="NAS750" s="574"/>
      <c r="NAT750" s="574"/>
      <c r="NAU750" s="574"/>
      <c r="NAV750" s="574"/>
      <c r="NAW750" s="574"/>
      <c r="NAX750" s="574"/>
      <c r="NAY750" s="574"/>
      <c r="NAZ750" s="574"/>
      <c r="NBA750" s="574"/>
      <c r="NBB750" s="574"/>
      <c r="NBC750" s="574"/>
      <c r="NBD750" s="574"/>
      <c r="NBE750" s="574"/>
      <c r="NBF750" s="574"/>
      <c r="NBG750" s="574"/>
      <c r="NBH750" s="574"/>
      <c r="NBI750" s="574"/>
      <c r="NBJ750" s="574"/>
      <c r="NBK750" s="574"/>
      <c r="NBL750" s="574"/>
      <c r="NBM750" s="574"/>
      <c r="NBN750" s="574"/>
      <c r="NBO750" s="574"/>
      <c r="NBP750" s="574"/>
      <c r="NBQ750" s="574"/>
      <c r="NBR750" s="574"/>
      <c r="NBS750" s="574"/>
      <c r="NBT750" s="574"/>
      <c r="NBU750" s="574"/>
      <c r="NBV750" s="574"/>
      <c r="NBW750" s="574"/>
      <c r="NBX750" s="574"/>
      <c r="NBY750" s="574"/>
      <c r="NBZ750" s="574"/>
      <c r="NCA750" s="574"/>
      <c r="NCB750" s="574"/>
      <c r="NCC750" s="574"/>
      <c r="NCD750" s="574"/>
      <c r="NCE750" s="574"/>
      <c r="NCF750" s="574"/>
      <c r="NCG750" s="574"/>
      <c r="NCH750" s="574"/>
      <c r="NCI750" s="574"/>
      <c r="NCJ750" s="574"/>
      <c r="NCK750" s="574"/>
      <c r="NCL750" s="574"/>
      <c r="NCM750" s="574"/>
      <c r="NCN750" s="574"/>
      <c r="NCO750" s="574"/>
      <c r="NCP750" s="574"/>
      <c r="NCQ750" s="574"/>
      <c r="NCR750" s="574"/>
      <c r="NCS750" s="574"/>
      <c r="NCT750" s="574"/>
      <c r="NCU750" s="574"/>
      <c r="NCV750" s="574"/>
      <c r="NCW750" s="574"/>
      <c r="NCX750" s="574"/>
      <c r="NCY750" s="574"/>
      <c r="NCZ750" s="574"/>
      <c r="NDA750" s="574"/>
      <c r="NDB750" s="574"/>
      <c r="NDC750" s="574"/>
      <c r="NDD750" s="574"/>
      <c r="NDE750" s="574"/>
      <c r="NDF750" s="574"/>
      <c r="NDG750" s="574"/>
      <c r="NDH750" s="574"/>
      <c r="NDI750" s="574"/>
      <c r="NDJ750" s="574"/>
      <c r="NDK750" s="574"/>
      <c r="NDL750" s="574"/>
      <c r="NDM750" s="574"/>
      <c r="NDN750" s="574"/>
      <c r="NDO750" s="574"/>
      <c r="NDP750" s="574"/>
      <c r="NDQ750" s="574"/>
      <c r="NDR750" s="574"/>
      <c r="NDS750" s="574"/>
      <c r="NDT750" s="574"/>
      <c r="NDU750" s="574"/>
      <c r="NDV750" s="574"/>
      <c r="NDW750" s="574"/>
      <c r="NDX750" s="574"/>
      <c r="NDY750" s="574"/>
      <c r="NDZ750" s="574"/>
      <c r="NEA750" s="574"/>
      <c r="NEB750" s="574"/>
      <c r="NEC750" s="574"/>
      <c r="NED750" s="574"/>
      <c r="NEE750" s="574"/>
      <c r="NEF750" s="574"/>
      <c r="NEG750" s="574"/>
      <c r="NEH750" s="574"/>
      <c r="NEI750" s="574"/>
      <c r="NEJ750" s="574"/>
      <c r="NEK750" s="574"/>
      <c r="NEL750" s="574"/>
      <c r="NEM750" s="574"/>
      <c r="NEN750" s="574"/>
      <c r="NEO750" s="574"/>
      <c r="NEP750" s="574"/>
      <c r="NEQ750" s="574"/>
      <c r="NER750" s="574"/>
      <c r="NES750" s="574"/>
      <c r="NET750" s="574"/>
      <c r="NEU750" s="574"/>
      <c r="NEV750" s="574"/>
      <c r="NEW750" s="574"/>
      <c r="NEX750" s="574"/>
      <c r="NEY750" s="574"/>
      <c r="NEZ750" s="574"/>
      <c r="NFA750" s="574"/>
      <c r="NFB750" s="574"/>
      <c r="NFC750" s="574"/>
      <c r="NFD750" s="574"/>
      <c r="NFE750" s="574"/>
      <c r="NFF750" s="574"/>
      <c r="NFG750" s="574"/>
      <c r="NFH750" s="574"/>
      <c r="NFI750" s="574"/>
      <c r="NFJ750" s="574"/>
      <c r="NFK750" s="574"/>
      <c r="NFL750" s="574"/>
      <c r="NFM750" s="574"/>
      <c r="NFN750" s="574"/>
      <c r="NFO750" s="574"/>
      <c r="NFP750" s="574"/>
      <c r="NFQ750" s="574"/>
      <c r="NFR750" s="574"/>
      <c r="NFS750" s="574"/>
      <c r="NFT750" s="574"/>
      <c r="NFU750" s="574"/>
      <c r="NFV750" s="574"/>
      <c r="NFW750" s="574"/>
      <c r="NFX750" s="574"/>
      <c r="NFY750" s="574"/>
      <c r="NFZ750" s="574"/>
      <c r="NGA750" s="574"/>
      <c r="NGB750" s="574"/>
      <c r="NGC750" s="574"/>
      <c r="NGD750" s="574"/>
      <c r="NGE750" s="574"/>
      <c r="NGF750" s="574"/>
      <c r="NGG750" s="574"/>
      <c r="NGH750" s="574"/>
      <c r="NGI750" s="574"/>
      <c r="NGJ750" s="574"/>
      <c r="NGK750" s="574"/>
      <c r="NGL750" s="574"/>
      <c r="NGM750" s="574"/>
      <c r="NGN750" s="574"/>
      <c r="NGO750" s="574"/>
      <c r="NGP750" s="574"/>
      <c r="NGQ750" s="574"/>
      <c r="NGR750" s="574"/>
      <c r="NGS750" s="574"/>
      <c r="NGT750" s="574"/>
      <c r="NGU750" s="574"/>
      <c r="NGV750" s="574"/>
      <c r="NGW750" s="574"/>
      <c r="NGX750" s="574"/>
      <c r="NGY750" s="574"/>
      <c r="NGZ750" s="574"/>
      <c r="NHA750" s="574"/>
      <c r="NHB750" s="574"/>
      <c r="NHC750" s="574"/>
      <c r="NHD750" s="574"/>
      <c r="NHE750" s="574"/>
      <c r="NHF750" s="574"/>
      <c r="NHG750" s="574"/>
      <c r="NHH750" s="574"/>
      <c r="NHI750" s="574"/>
      <c r="NHJ750" s="574"/>
      <c r="NHK750" s="574"/>
      <c r="NHL750" s="574"/>
      <c r="NHM750" s="574"/>
      <c r="NHN750" s="574"/>
      <c r="NHO750" s="574"/>
      <c r="NHP750" s="574"/>
      <c r="NHQ750" s="574"/>
      <c r="NHR750" s="574"/>
      <c r="NHS750" s="574"/>
      <c r="NHT750" s="574"/>
      <c r="NHU750" s="574"/>
      <c r="NHV750" s="574"/>
      <c r="NHW750" s="574"/>
      <c r="NHX750" s="574"/>
      <c r="NHY750" s="574"/>
      <c r="NHZ750" s="574"/>
      <c r="NIA750" s="574"/>
      <c r="NIB750" s="574"/>
      <c r="NIC750" s="574"/>
      <c r="NID750" s="574"/>
      <c r="NIE750" s="574"/>
      <c r="NIF750" s="574"/>
      <c r="NIG750" s="574"/>
      <c r="NIH750" s="574"/>
      <c r="NII750" s="574"/>
      <c r="NIJ750" s="574"/>
      <c r="NIK750" s="574"/>
      <c r="NIL750" s="574"/>
      <c r="NIM750" s="574"/>
      <c r="NIN750" s="574"/>
      <c r="NIO750" s="574"/>
      <c r="NIP750" s="574"/>
      <c r="NIQ750" s="574"/>
      <c r="NIR750" s="574"/>
      <c r="NIS750" s="574"/>
      <c r="NIT750" s="574"/>
      <c r="NIU750" s="574"/>
      <c r="NIV750" s="574"/>
      <c r="NIW750" s="574"/>
      <c r="NIX750" s="574"/>
      <c r="NIY750" s="574"/>
      <c r="NIZ750" s="574"/>
      <c r="NJA750" s="574"/>
      <c r="NJB750" s="574"/>
      <c r="NJC750" s="574"/>
      <c r="NJD750" s="574"/>
      <c r="NJE750" s="574"/>
      <c r="NJF750" s="574"/>
      <c r="NJG750" s="574"/>
      <c r="NJH750" s="574"/>
      <c r="NJI750" s="574"/>
      <c r="NJJ750" s="574"/>
      <c r="NJK750" s="574"/>
      <c r="NJL750" s="574"/>
      <c r="NJM750" s="574"/>
      <c r="NJN750" s="574"/>
      <c r="NJO750" s="574"/>
      <c r="NJP750" s="574"/>
      <c r="NJQ750" s="574"/>
      <c r="NJR750" s="574"/>
      <c r="NJS750" s="574"/>
      <c r="NJT750" s="574"/>
      <c r="NJU750" s="574"/>
      <c r="NJV750" s="574"/>
      <c r="NJW750" s="574"/>
      <c r="NJX750" s="574"/>
      <c r="NJY750" s="574"/>
      <c r="NJZ750" s="574"/>
      <c r="NKA750" s="574"/>
      <c r="NKB750" s="574"/>
      <c r="NKC750" s="574"/>
      <c r="NKD750" s="574"/>
      <c r="NKE750" s="574"/>
      <c r="NKF750" s="574"/>
      <c r="NKG750" s="574"/>
      <c r="NKH750" s="574"/>
      <c r="NKI750" s="574"/>
      <c r="NKJ750" s="574"/>
      <c r="NKK750" s="574"/>
      <c r="NKL750" s="574"/>
      <c r="NKM750" s="574"/>
      <c r="NKN750" s="574"/>
      <c r="NKO750" s="574"/>
      <c r="NKP750" s="574"/>
      <c r="NKQ750" s="574"/>
      <c r="NKR750" s="574"/>
      <c r="NKS750" s="574"/>
      <c r="NKT750" s="574"/>
      <c r="NKU750" s="574"/>
      <c r="NKV750" s="574"/>
      <c r="NKW750" s="574"/>
      <c r="NKX750" s="574"/>
      <c r="NKY750" s="574"/>
      <c r="NKZ750" s="574"/>
      <c r="NLA750" s="574"/>
      <c r="NLB750" s="574"/>
      <c r="NLC750" s="574"/>
      <c r="NLD750" s="574"/>
      <c r="NLE750" s="574"/>
      <c r="NLF750" s="574"/>
      <c r="NLG750" s="574"/>
      <c r="NLH750" s="574"/>
      <c r="NLI750" s="574"/>
      <c r="NLJ750" s="574"/>
      <c r="NLK750" s="574"/>
      <c r="NLL750" s="574"/>
      <c r="NLM750" s="574"/>
      <c r="NLN750" s="574"/>
      <c r="NLO750" s="574"/>
      <c r="NLP750" s="574"/>
      <c r="NLQ750" s="574"/>
      <c r="NLR750" s="574"/>
      <c r="NLS750" s="574"/>
      <c r="NLT750" s="574"/>
      <c r="NLU750" s="574"/>
      <c r="NLV750" s="574"/>
      <c r="NLW750" s="574"/>
      <c r="NLX750" s="574"/>
      <c r="NLY750" s="574"/>
      <c r="NLZ750" s="574"/>
      <c r="NMA750" s="574"/>
      <c r="NMB750" s="574"/>
      <c r="NMC750" s="574"/>
      <c r="NMD750" s="574"/>
      <c r="NME750" s="574"/>
      <c r="NMF750" s="574"/>
      <c r="NMG750" s="574"/>
      <c r="NMH750" s="574"/>
      <c r="NMI750" s="574"/>
      <c r="NMJ750" s="574"/>
      <c r="NMK750" s="574"/>
      <c r="NML750" s="574"/>
      <c r="NMM750" s="574"/>
      <c r="NMN750" s="574"/>
      <c r="NMO750" s="574"/>
      <c r="NMP750" s="574"/>
      <c r="NMQ750" s="574"/>
      <c r="NMR750" s="574"/>
      <c r="NMS750" s="574"/>
      <c r="NMT750" s="574"/>
      <c r="NMU750" s="574"/>
      <c r="NMV750" s="574"/>
      <c r="NMW750" s="574"/>
      <c r="NMX750" s="574"/>
      <c r="NMY750" s="574"/>
      <c r="NMZ750" s="574"/>
      <c r="NNA750" s="574"/>
      <c r="NNB750" s="574"/>
      <c r="NNC750" s="574"/>
      <c r="NND750" s="574"/>
      <c r="NNE750" s="574"/>
      <c r="NNF750" s="574"/>
      <c r="NNG750" s="574"/>
      <c r="NNH750" s="574"/>
      <c r="NNI750" s="574"/>
      <c r="NNJ750" s="574"/>
      <c r="NNK750" s="574"/>
      <c r="NNL750" s="574"/>
      <c r="NNM750" s="574"/>
      <c r="NNN750" s="574"/>
      <c r="NNO750" s="574"/>
      <c r="NNP750" s="574"/>
      <c r="NNQ750" s="574"/>
      <c r="NNR750" s="574"/>
      <c r="NNS750" s="574"/>
      <c r="NNT750" s="574"/>
      <c r="NNU750" s="574"/>
      <c r="NNV750" s="574"/>
      <c r="NNW750" s="574"/>
      <c r="NNX750" s="574"/>
      <c r="NNY750" s="574"/>
      <c r="NNZ750" s="574"/>
      <c r="NOA750" s="574"/>
      <c r="NOB750" s="574"/>
      <c r="NOC750" s="574"/>
      <c r="NOD750" s="574"/>
      <c r="NOE750" s="574"/>
      <c r="NOF750" s="574"/>
      <c r="NOG750" s="574"/>
      <c r="NOH750" s="574"/>
      <c r="NOI750" s="574"/>
      <c r="NOJ750" s="574"/>
      <c r="NOK750" s="574"/>
      <c r="NOL750" s="574"/>
      <c r="NOM750" s="574"/>
      <c r="NON750" s="574"/>
      <c r="NOO750" s="574"/>
      <c r="NOP750" s="574"/>
      <c r="NOQ750" s="574"/>
      <c r="NOR750" s="574"/>
      <c r="NOS750" s="574"/>
      <c r="NOT750" s="574"/>
      <c r="NOU750" s="574"/>
      <c r="NOV750" s="574"/>
      <c r="NOW750" s="574"/>
      <c r="NOX750" s="574"/>
      <c r="NOY750" s="574"/>
      <c r="NOZ750" s="574"/>
      <c r="NPA750" s="574"/>
      <c r="NPB750" s="574"/>
      <c r="NPC750" s="574"/>
      <c r="NPD750" s="574"/>
      <c r="NPE750" s="574"/>
      <c r="NPF750" s="574"/>
      <c r="NPG750" s="574"/>
      <c r="NPH750" s="574"/>
      <c r="NPI750" s="574"/>
      <c r="NPJ750" s="574"/>
      <c r="NPK750" s="574"/>
      <c r="NPL750" s="574"/>
      <c r="NPM750" s="574"/>
      <c r="NPN750" s="574"/>
      <c r="NPO750" s="574"/>
      <c r="NPP750" s="574"/>
      <c r="NPQ750" s="574"/>
      <c r="NPR750" s="574"/>
      <c r="NPS750" s="574"/>
      <c r="NPT750" s="574"/>
      <c r="NPU750" s="574"/>
      <c r="NPV750" s="574"/>
      <c r="NPW750" s="574"/>
      <c r="NPX750" s="574"/>
      <c r="NPY750" s="574"/>
      <c r="NPZ750" s="574"/>
      <c r="NQA750" s="574"/>
      <c r="NQB750" s="574"/>
      <c r="NQC750" s="574"/>
      <c r="NQD750" s="574"/>
      <c r="NQE750" s="574"/>
      <c r="NQF750" s="574"/>
      <c r="NQG750" s="574"/>
      <c r="NQH750" s="574"/>
      <c r="NQI750" s="574"/>
      <c r="NQJ750" s="574"/>
      <c r="NQK750" s="574"/>
      <c r="NQL750" s="574"/>
      <c r="NQM750" s="574"/>
      <c r="NQN750" s="574"/>
      <c r="NQO750" s="574"/>
      <c r="NQP750" s="574"/>
      <c r="NQQ750" s="574"/>
      <c r="NQR750" s="574"/>
      <c r="NQS750" s="574"/>
      <c r="NQT750" s="574"/>
      <c r="NQU750" s="574"/>
      <c r="NQV750" s="574"/>
      <c r="NQW750" s="574"/>
      <c r="NQX750" s="574"/>
      <c r="NQY750" s="574"/>
      <c r="NQZ750" s="574"/>
      <c r="NRA750" s="574"/>
      <c r="NRB750" s="574"/>
      <c r="NRC750" s="574"/>
      <c r="NRD750" s="574"/>
      <c r="NRE750" s="574"/>
      <c r="NRF750" s="574"/>
      <c r="NRG750" s="574"/>
      <c r="NRH750" s="574"/>
      <c r="NRI750" s="574"/>
      <c r="NRJ750" s="574"/>
      <c r="NRK750" s="574"/>
      <c r="NRL750" s="574"/>
      <c r="NRM750" s="574"/>
      <c r="NRN750" s="574"/>
      <c r="NRO750" s="574"/>
      <c r="NRP750" s="574"/>
      <c r="NRQ750" s="574"/>
      <c r="NRR750" s="574"/>
      <c r="NRS750" s="574"/>
      <c r="NRT750" s="574"/>
      <c r="NRU750" s="574"/>
      <c r="NRV750" s="574"/>
      <c r="NRW750" s="574"/>
      <c r="NRX750" s="574"/>
      <c r="NRY750" s="574"/>
      <c r="NRZ750" s="574"/>
      <c r="NSA750" s="574"/>
      <c r="NSB750" s="574"/>
      <c r="NSC750" s="574"/>
      <c r="NSD750" s="574"/>
      <c r="NSE750" s="574"/>
      <c r="NSF750" s="574"/>
      <c r="NSG750" s="574"/>
      <c r="NSH750" s="574"/>
      <c r="NSI750" s="574"/>
      <c r="NSJ750" s="574"/>
      <c r="NSK750" s="574"/>
      <c r="NSL750" s="574"/>
      <c r="NSM750" s="574"/>
      <c r="NSN750" s="574"/>
      <c r="NSO750" s="574"/>
      <c r="NSP750" s="574"/>
      <c r="NSQ750" s="574"/>
      <c r="NSR750" s="574"/>
      <c r="NSS750" s="574"/>
      <c r="NST750" s="574"/>
      <c r="NSU750" s="574"/>
      <c r="NSV750" s="574"/>
      <c r="NSW750" s="574"/>
      <c r="NSX750" s="574"/>
      <c r="NSY750" s="574"/>
      <c r="NSZ750" s="574"/>
      <c r="NTA750" s="574"/>
      <c r="NTB750" s="574"/>
      <c r="NTC750" s="574"/>
      <c r="NTD750" s="574"/>
      <c r="NTE750" s="574"/>
      <c r="NTF750" s="574"/>
      <c r="NTG750" s="574"/>
      <c r="NTH750" s="574"/>
      <c r="NTI750" s="574"/>
      <c r="NTJ750" s="574"/>
      <c r="NTK750" s="574"/>
      <c r="NTL750" s="574"/>
      <c r="NTM750" s="574"/>
      <c r="NTN750" s="574"/>
      <c r="NTO750" s="574"/>
      <c r="NTP750" s="574"/>
      <c r="NTQ750" s="574"/>
      <c r="NTR750" s="574"/>
      <c r="NTS750" s="574"/>
      <c r="NTT750" s="574"/>
      <c r="NTU750" s="574"/>
      <c r="NTV750" s="574"/>
      <c r="NTW750" s="574"/>
      <c r="NTX750" s="574"/>
      <c r="NTY750" s="574"/>
      <c r="NTZ750" s="574"/>
      <c r="NUA750" s="574"/>
      <c r="NUB750" s="574"/>
      <c r="NUC750" s="574"/>
      <c r="NUD750" s="574"/>
      <c r="NUE750" s="574"/>
      <c r="NUF750" s="574"/>
      <c r="NUG750" s="574"/>
      <c r="NUH750" s="574"/>
      <c r="NUI750" s="574"/>
      <c r="NUJ750" s="574"/>
      <c r="NUK750" s="574"/>
      <c r="NUL750" s="574"/>
      <c r="NUM750" s="574"/>
      <c r="NUN750" s="574"/>
      <c r="NUO750" s="574"/>
      <c r="NUP750" s="574"/>
      <c r="NUQ750" s="574"/>
      <c r="NUR750" s="574"/>
      <c r="NUS750" s="574"/>
      <c r="NUT750" s="574"/>
      <c r="NUU750" s="574"/>
      <c r="NUV750" s="574"/>
      <c r="NUW750" s="574"/>
      <c r="NUX750" s="574"/>
      <c r="NUY750" s="574"/>
      <c r="NUZ750" s="574"/>
      <c r="NVA750" s="574"/>
      <c r="NVB750" s="574"/>
      <c r="NVC750" s="574"/>
      <c r="NVD750" s="574"/>
      <c r="NVE750" s="574"/>
      <c r="NVF750" s="574"/>
      <c r="NVG750" s="574"/>
      <c r="NVH750" s="574"/>
      <c r="NVI750" s="574"/>
      <c r="NVJ750" s="574"/>
      <c r="NVK750" s="574"/>
      <c r="NVL750" s="574"/>
      <c r="NVM750" s="574"/>
      <c r="NVN750" s="574"/>
      <c r="NVO750" s="574"/>
      <c r="NVP750" s="574"/>
      <c r="NVQ750" s="574"/>
      <c r="NVR750" s="574"/>
      <c r="NVS750" s="574"/>
      <c r="NVT750" s="574"/>
      <c r="NVU750" s="574"/>
      <c r="NVV750" s="574"/>
      <c r="NVW750" s="574"/>
      <c r="NVX750" s="574"/>
      <c r="NVY750" s="574"/>
      <c r="NVZ750" s="574"/>
      <c r="NWA750" s="574"/>
      <c r="NWB750" s="574"/>
      <c r="NWC750" s="574"/>
      <c r="NWD750" s="574"/>
      <c r="NWE750" s="574"/>
      <c r="NWF750" s="574"/>
      <c r="NWG750" s="574"/>
      <c r="NWH750" s="574"/>
      <c r="NWI750" s="574"/>
      <c r="NWJ750" s="574"/>
      <c r="NWK750" s="574"/>
      <c r="NWL750" s="574"/>
      <c r="NWM750" s="574"/>
      <c r="NWN750" s="574"/>
      <c r="NWO750" s="574"/>
      <c r="NWP750" s="574"/>
      <c r="NWQ750" s="574"/>
      <c r="NWR750" s="574"/>
      <c r="NWS750" s="574"/>
      <c r="NWT750" s="574"/>
      <c r="NWU750" s="574"/>
      <c r="NWV750" s="574"/>
      <c r="NWW750" s="574"/>
      <c r="NWX750" s="574"/>
      <c r="NWY750" s="574"/>
      <c r="NWZ750" s="574"/>
      <c r="NXA750" s="574"/>
      <c r="NXB750" s="574"/>
      <c r="NXC750" s="574"/>
      <c r="NXD750" s="574"/>
      <c r="NXE750" s="574"/>
      <c r="NXF750" s="574"/>
      <c r="NXG750" s="574"/>
      <c r="NXH750" s="574"/>
      <c r="NXI750" s="574"/>
      <c r="NXJ750" s="574"/>
      <c r="NXK750" s="574"/>
      <c r="NXL750" s="574"/>
      <c r="NXM750" s="574"/>
      <c r="NXN750" s="574"/>
      <c r="NXO750" s="574"/>
      <c r="NXP750" s="574"/>
      <c r="NXQ750" s="574"/>
      <c r="NXR750" s="574"/>
      <c r="NXS750" s="574"/>
      <c r="NXT750" s="574"/>
      <c r="NXU750" s="574"/>
      <c r="NXV750" s="574"/>
      <c r="NXW750" s="574"/>
      <c r="NXX750" s="574"/>
      <c r="NXY750" s="574"/>
      <c r="NXZ750" s="574"/>
      <c r="NYA750" s="574"/>
      <c r="NYB750" s="574"/>
      <c r="NYC750" s="574"/>
      <c r="NYD750" s="574"/>
      <c r="NYE750" s="574"/>
      <c r="NYF750" s="574"/>
      <c r="NYG750" s="574"/>
      <c r="NYH750" s="574"/>
      <c r="NYI750" s="574"/>
      <c r="NYJ750" s="574"/>
      <c r="NYK750" s="574"/>
      <c r="NYL750" s="574"/>
      <c r="NYM750" s="574"/>
      <c r="NYN750" s="574"/>
      <c r="NYO750" s="574"/>
      <c r="NYP750" s="574"/>
      <c r="NYQ750" s="574"/>
      <c r="NYR750" s="574"/>
      <c r="NYS750" s="574"/>
      <c r="NYT750" s="574"/>
      <c r="NYU750" s="574"/>
      <c r="NYV750" s="574"/>
      <c r="NYW750" s="574"/>
      <c r="NYX750" s="574"/>
      <c r="NYY750" s="574"/>
      <c r="NYZ750" s="574"/>
      <c r="NZA750" s="574"/>
      <c r="NZB750" s="574"/>
      <c r="NZC750" s="574"/>
      <c r="NZD750" s="574"/>
      <c r="NZE750" s="574"/>
      <c r="NZF750" s="574"/>
      <c r="NZG750" s="574"/>
      <c r="NZH750" s="574"/>
      <c r="NZI750" s="574"/>
      <c r="NZJ750" s="574"/>
      <c r="NZK750" s="574"/>
      <c r="NZL750" s="574"/>
      <c r="NZM750" s="574"/>
      <c r="NZN750" s="574"/>
      <c r="NZO750" s="574"/>
      <c r="NZP750" s="574"/>
      <c r="NZQ750" s="574"/>
      <c r="NZR750" s="574"/>
      <c r="NZS750" s="574"/>
      <c r="NZT750" s="574"/>
      <c r="NZU750" s="574"/>
      <c r="NZV750" s="574"/>
      <c r="NZW750" s="574"/>
      <c r="NZX750" s="574"/>
      <c r="NZY750" s="574"/>
      <c r="NZZ750" s="574"/>
      <c r="OAA750" s="574"/>
      <c r="OAB750" s="574"/>
      <c r="OAC750" s="574"/>
      <c r="OAD750" s="574"/>
      <c r="OAE750" s="574"/>
      <c r="OAF750" s="574"/>
      <c r="OAG750" s="574"/>
      <c r="OAH750" s="574"/>
      <c r="OAI750" s="574"/>
      <c r="OAJ750" s="574"/>
      <c r="OAK750" s="574"/>
      <c r="OAL750" s="574"/>
      <c r="OAM750" s="574"/>
      <c r="OAN750" s="574"/>
      <c r="OAO750" s="574"/>
      <c r="OAP750" s="574"/>
      <c r="OAQ750" s="574"/>
      <c r="OAR750" s="574"/>
      <c r="OAS750" s="574"/>
      <c r="OAT750" s="574"/>
      <c r="OAU750" s="574"/>
      <c r="OAV750" s="574"/>
      <c r="OAW750" s="574"/>
      <c r="OAX750" s="574"/>
      <c r="OAY750" s="574"/>
      <c r="OAZ750" s="574"/>
      <c r="OBA750" s="574"/>
      <c r="OBB750" s="574"/>
      <c r="OBC750" s="574"/>
      <c r="OBD750" s="574"/>
      <c r="OBE750" s="574"/>
      <c r="OBF750" s="574"/>
      <c r="OBG750" s="574"/>
      <c r="OBH750" s="574"/>
      <c r="OBI750" s="574"/>
      <c r="OBJ750" s="574"/>
      <c r="OBK750" s="574"/>
      <c r="OBL750" s="574"/>
      <c r="OBM750" s="574"/>
      <c r="OBN750" s="574"/>
      <c r="OBO750" s="574"/>
      <c r="OBP750" s="574"/>
      <c r="OBQ750" s="574"/>
      <c r="OBR750" s="574"/>
      <c r="OBS750" s="574"/>
      <c r="OBT750" s="574"/>
      <c r="OBU750" s="574"/>
      <c r="OBV750" s="574"/>
      <c r="OBW750" s="574"/>
      <c r="OBX750" s="574"/>
      <c r="OBY750" s="574"/>
      <c r="OBZ750" s="574"/>
      <c r="OCA750" s="574"/>
      <c r="OCB750" s="574"/>
      <c r="OCC750" s="574"/>
      <c r="OCD750" s="574"/>
      <c r="OCE750" s="574"/>
      <c r="OCF750" s="574"/>
      <c r="OCG750" s="574"/>
      <c r="OCH750" s="574"/>
      <c r="OCI750" s="574"/>
      <c r="OCJ750" s="574"/>
      <c r="OCK750" s="574"/>
      <c r="OCL750" s="574"/>
      <c r="OCM750" s="574"/>
      <c r="OCN750" s="574"/>
      <c r="OCO750" s="574"/>
      <c r="OCP750" s="574"/>
      <c r="OCQ750" s="574"/>
      <c r="OCR750" s="574"/>
      <c r="OCS750" s="574"/>
      <c r="OCT750" s="574"/>
      <c r="OCU750" s="574"/>
      <c r="OCV750" s="574"/>
      <c r="OCW750" s="574"/>
      <c r="OCX750" s="574"/>
      <c r="OCY750" s="574"/>
      <c r="OCZ750" s="574"/>
      <c r="ODA750" s="574"/>
      <c r="ODB750" s="574"/>
      <c r="ODC750" s="574"/>
      <c r="ODD750" s="574"/>
      <c r="ODE750" s="574"/>
      <c r="ODF750" s="574"/>
      <c r="ODG750" s="574"/>
      <c r="ODH750" s="574"/>
      <c r="ODI750" s="574"/>
      <c r="ODJ750" s="574"/>
      <c r="ODK750" s="574"/>
      <c r="ODL750" s="574"/>
      <c r="ODM750" s="574"/>
      <c r="ODN750" s="574"/>
      <c r="ODO750" s="574"/>
      <c r="ODP750" s="574"/>
      <c r="ODQ750" s="574"/>
      <c r="ODR750" s="574"/>
      <c r="ODS750" s="574"/>
      <c r="ODT750" s="574"/>
      <c r="ODU750" s="574"/>
      <c r="ODV750" s="574"/>
      <c r="ODW750" s="574"/>
      <c r="ODX750" s="574"/>
      <c r="ODY750" s="574"/>
      <c r="ODZ750" s="574"/>
      <c r="OEA750" s="574"/>
      <c r="OEB750" s="574"/>
      <c r="OEC750" s="574"/>
      <c r="OED750" s="574"/>
      <c r="OEE750" s="574"/>
      <c r="OEF750" s="574"/>
      <c r="OEG750" s="574"/>
      <c r="OEH750" s="574"/>
      <c r="OEI750" s="574"/>
      <c r="OEJ750" s="574"/>
      <c r="OEK750" s="574"/>
      <c r="OEL750" s="574"/>
      <c r="OEM750" s="574"/>
      <c r="OEN750" s="574"/>
      <c r="OEO750" s="574"/>
      <c r="OEP750" s="574"/>
      <c r="OEQ750" s="574"/>
      <c r="OER750" s="574"/>
      <c r="OES750" s="574"/>
      <c r="OET750" s="574"/>
      <c r="OEU750" s="574"/>
      <c r="OEV750" s="574"/>
      <c r="OEW750" s="574"/>
      <c r="OEX750" s="574"/>
      <c r="OEY750" s="574"/>
      <c r="OEZ750" s="574"/>
      <c r="OFA750" s="574"/>
      <c r="OFB750" s="574"/>
      <c r="OFC750" s="574"/>
      <c r="OFD750" s="574"/>
      <c r="OFE750" s="574"/>
      <c r="OFF750" s="574"/>
      <c r="OFG750" s="574"/>
      <c r="OFH750" s="574"/>
      <c r="OFI750" s="574"/>
      <c r="OFJ750" s="574"/>
      <c r="OFK750" s="574"/>
      <c r="OFL750" s="574"/>
      <c r="OFM750" s="574"/>
      <c r="OFN750" s="574"/>
      <c r="OFO750" s="574"/>
      <c r="OFP750" s="574"/>
      <c r="OFQ750" s="574"/>
      <c r="OFR750" s="574"/>
      <c r="OFS750" s="574"/>
      <c r="OFT750" s="574"/>
      <c r="OFU750" s="574"/>
      <c r="OFV750" s="574"/>
      <c r="OFW750" s="574"/>
      <c r="OFX750" s="574"/>
      <c r="OFY750" s="574"/>
      <c r="OFZ750" s="574"/>
      <c r="OGA750" s="574"/>
      <c r="OGB750" s="574"/>
      <c r="OGC750" s="574"/>
      <c r="OGD750" s="574"/>
      <c r="OGE750" s="574"/>
      <c r="OGF750" s="574"/>
      <c r="OGG750" s="574"/>
      <c r="OGH750" s="574"/>
      <c r="OGI750" s="574"/>
      <c r="OGJ750" s="574"/>
      <c r="OGK750" s="574"/>
      <c r="OGL750" s="574"/>
      <c r="OGM750" s="574"/>
      <c r="OGN750" s="574"/>
      <c r="OGO750" s="574"/>
      <c r="OGP750" s="574"/>
      <c r="OGQ750" s="574"/>
      <c r="OGR750" s="574"/>
      <c r="OGS750" s="574"/>
      <c r="OGT750" s="574"/>
      <c r="OGU750" s="574"/>
      <c r="OGV750" s="574"/>
      <c r="OGW750" s="574"/>
      <c r="OGX750" s="574"/>
      <c r="OGY750" s="574"/>
      <c r="OGZ750" s="574"/>
      <c r="OHA750" s="574"/>
      <c r="OHB750" s="574"/>
      <c r="OHC750" s="574"/>
      <c r="OHD750" s="574"/>
      <c r="OHE750" s="574"/>
      <c r="OHF750" s="574"/>
      <c r="OHG750" s="574"/>
      <c r="OHH750" s="574"/>
      <c r="OHI750" s="574"/>
      <c r="OHJ750" s="574"/>
      <c r="OHK750" s="574"/>
      <c r="OHL750" s="574"/>
      <c r="OHM750" s="574"/>
      <c r="OHN750" s="574"/>
      <c r="OHO750" s="574"/>
      <c r="OHP750" s="574"/>
      <c r="OHQ750" s="574"/>
      <c r="OHR750" s="574"/>
      <c r="OHS750" s="574"/>
      <c r="OHT750" s="574"/>
      <c r="OHU750" s="574"/>
      <c r="OHV750" s="574"/>
      <c r="OHW750" s="574"/>
      <c r="OHX750" s="574"/>
      <c r="OHY750" s="574"/>
      <c r="OHZ750" s="574"/>
      <c r="OIA750" s="574"/>
      <c r="OIB750" s="574"/>
      <c r="OIC750" s="574"/>
      <c r="OID750" s="574"/>
      <c r="OIE750" s="574"/>
      <c r="OIF750" s="574"/>
      <c r="OIG750" s="574"/>
      <c r="OIH750" s="574"/>
      <c r="OII750" s="574"/>
      <c r="OIJ750" s="574"/>
      <c r="OIK750" s="574"/>
      <c r="OIL750" s="574"/>
      <c r="OIM750" s="574"/>
      <c r="OIN750" s="574"/>
      <c r="OIO750" s="574"/>
      <c r="OIP750" s="574"/>
      <c r="OIQ750" s="574"/>
      <c r="OIR750" s="574"/>
      <c r="OIS750" s="574"/>
      <c r="OIT750" s="574"/>
      <c r="OIU750" s="574"/>
      <c r="OIV750" s="574"/>
      <c r="OIW750" s="574"/>
      <c r="OIX750" s="574"/>
      <c r="OIY750" s="574"/>
      <c r="OIZ750" s="574"/>
      <c r="OJA750" s="574"/>
      <c r="OJB750" s="574"/>
      <c r="OJC750" s="574"/>
      <c r="OJD750" s="574"/>
      <c r="OJE750" s="574"/>
      <c r="OJF750" s="574"/>
      <c r="OJG750" s="574"/>
      <c r="OJH750" s="574"/>
      <c r="OJI750" s="574"/>
      <c r="OJJ750" s="574"/>
      <c r="OJK750" s="574"/>
      <c r="OJL750" s="574"/>
      <c r="OJM750" s="574"/>
      <c r="OJN750" s="574"/>
      <c r="OJO750" s="574"/>
      <c r="OJP750" s="574"/>
      <c r="OJQ750" s="574"/>
      <c r="OJR750" s="574"/>
      <c r="OJS750" s="574"/>
      <c r="OJT750" s="574"/>
      <c r="OJU750" s="574"/>
      <c r="OJV750" s="574"/>
      <c r="OJW750" s="574"/>
      <c r="OJX750" s="574"/>
      <c r="OJY750" s="574"/>
      <c r="OJZ750" s="574"/>
      <c r="OKA750" s="574"/>
      <c r="OKB750" s="574"/>
      <c r="OKC750" s="574"/>
      <c r="OKD750" s="574"/>
      <c r="OKE750" s="574"/>
      <c r="OKF750" s="574"/>
      <c r="OKG750" s="574"/>
      <c r="OKH750" s="574"/>
      <c r="OKI750" s="574"/>
      <c r="OKJ750" s="574"/>
      <c r="OKK750" s="574"/>
      <c r="OKL750" s="574"/>
      <c r="OKM750" s="574"/>
      <c r="OKN750" s="574"/>
      <c r="OKO750" s="574"/>
      <c r="OKP750" s="574"/>
      <c r="OKQ750" s="574"/>
      <c r="OKR750" s="574"/>
      <c r="OKS750" s="574"/>
      <c r="OKT750" s="574"/>
      <c r="OKU750" s="574"/>
      <c r="OKV750" s="574"/>
      <c r="OKW750" s="574"/>
      <c r="OKX750" s="574"/>
      <c r="OKY750" s="574"/>
      <c r="OKZ750" s="574"/>
      <c r="OLA750" s="574"/>
      <c r="OLB750" s="574"/>
      <c r="OLC750" s="574"/>
      <c r="OLD750" s="574"/>
      <c r="OLE750" s="574"/>
      <c r="OLF750" s="574"/>
      <c r="OLG750" s="574"/>
      <c r="OLH750" s="574"/>
      <c r="OLI750" s="574"/>
      <c r="OLJ750" s="574"/>
      <c r="OLK750" s="574"/>
      <c r="OLL750" s="574"/>
      <c r="OLM750" s="574"/>
      <c r="OLN750" s="574"/>
      <c r="OLO750" s="574"/>
      <c r="OLP750" s="574"/>
      <c r="OLQ750" s="574"/>
      <c r="OLR750" s="574"/>
      <c r="OLS750" s="574"/>
      <c r="OLT750" s="574"/>
      <c r="OLU750" s="574"/>
      <c r="OLV750" s="574"/>
      <c r="OLW750" s="574"/>
      <c r="OLX750" s="574"/>
      <c r="OLY750" s="574"/>
      <c r="OLZ750" s="574"/>
      <c r="OMA750" s="574"/>
      <c r="OMB750" s="574"/>
      <c r="OMC750" s="574"/>
      <c r="OMD750" s="574"/>
      <c r="OME750" s="574"/>
      <c r="OMF750" s="574"/>
      <c r="OMG750" s="574"/>
      <c r="OMH750" s="574"/>
      <c r="OMI750" s="574"/>
      <c r="OMJ750" s="574"/>
      <c r="OMK750" s="574"/>
      <c r="OML750" s="574"/>
      <c r="OMM750" s="574"/>
      <c r="OMN750" s="574"/>
      <c r="OMO750" s="574"/>
      <c r="OMP750" s="574"/>
      <c r="OMQ750" s="574"/>
      <c r="OMR750" s="574"/>
      <c r="OMS750" s="574"/>
      <c r="OMT750" s="574"/>
      <c r="OMU750" s="574"/>
      <c r="OMV750" s="574"/>
      <c r="OMW750" s="574"/>
      <c r="OMX750" s="574"/>
      <c r="OMY750" s="574"/>
      <c r="OMZ750" s="574"/>
      <c r="ONA750" s="574"/>
      <c r="ONB750" s="574"/>
      <c r="ONC750" s="574"/>
      <c r="OND750" s="574"/>
      <c r="ONE750" s="574"/>
      <c r="ONF750" s="574"/>
      <c r="ONG750" s="574"/>
      <c r="ONH750" s="574"/>
      <c r="ONI750" s="574"/>
      <c r="ONJ750" s="574"/>
      <c r="ONK750" s="574"/>
      <c r="ONL750" s="574"/>
      <c r="ONM750" s="574"/>
      <c r="ONN750" s="574"/>
      <c r="ONO750" s="574"/>
      <c r="ONP750" s="574"/>
      <c r="ONQ750" s="574"/>
      <c r="ONR750" s="574"/>
      <c r="ONS750" s="574"/>
      <c r="ONT750" s="574"/>
      <c r="ONU750" s="574"/>
      <c r="ONV750" s="574"/>
      <c r="ONW750" s="574"/>
      <c r="ONX750" s="574"/>
      <c r="ONY750" s="574"/>
      <c r="ONZ750" s="574"/>
      <c r="OOA750" s="574"/>
      <c r="OOB750" s="574"/>
      <c r="OOC750" s="574"/>
      <c r="OOD750" s="574"/>
      <c r="OOE750" s="574"/>
      <c r="OOF750" s="574"/>
      <c r="OOG750" s="574"/>
      <c r="OOH750" s="574"/>
      <c r="OOI750" s="574"/>
      <c r="OOJ750" s="574"/>
      <c r="OOK750" s="574"/>
      <c r="OOL750" s="574"/>
      <c r="OOM750" s="574"/>
      <c r="OON750" s="574"/>
      <c r="OOO750" s="574"/>
      <c r="OOP750" s="574"/>
      <c r="OOQ750" s="574"/>
      <c r="OOR750" s="574"/>
      <c r="OOS750" s="574"/>
      <c r="OOT750" s="574"/>
      <c r="OOU750" s="574"/>
      <c r="OOV750" s="574"/>
      <c r="OOW750" s="574"/>
      <c r="OOX750" s="574"/>
      <c r="OOY750" s="574"/>
      <c r="OOZ750" s="574"/>
      <c r="OPA750" s="574"/>
      <c r="OPB750" s="574"/>
      <c r="OPC750" s="574"/>
      <c r="OPD750" s="574"/>
      <c r="OPE750" s="574"/>
      <c r="OPF750" s="574"/>
      <c r="OPG750" s="574"/>
      <c r="OPH750" s="574"/>
      <c r="OPI750" s="574"/>
      <c r="OPJ750" s="574"/>
      <c r="OPK750" s="574"/>
      <c r="OPL750" s="574"/>
      <c r="OPM750" s="574"/>
      <c r="OPN750" s="574"/>
      <c r="OPO750" s="574"/>
      <c r="OPP750" s="574"/>
      <c r="OPQ750" s="574"/>
      <c r="OPR750" s="574"/>
      <c r="OPS750" s="574"/>
      <c r="OPT750" s="574"/>
      <c r="OPU750" s="574"/>
      <c r="OPV750" s="574"/>
      <c r="OPW750" s="574"/>
      <c r="OPX750" s="574"/>
      <c r="OPY750" s="574"/>
      <c r="OPZ750" s="574"/>
      <c r="OQA750" s="574"/>
      <c r="OQB750" s="574"/>
      <c r="OQC750" s="574"/>
      <c r="OQD750" s="574"/>
      <c r="OQE750" s="574"/>
      <c r="OQF750" s="574"/>
      <c r="OQG750" s="574"/>
      <c r="OQH750" s="574"/>
      <c r="OQI750" s="574"/>
      <c r="OQJ750" s="574"/>
      <c r="OQK750" s="574"/>
      <c r="OQL750" s="574"/>
      <c r="OQM750" s="574"/>
      <c r="OQN750" s="574"/>
      <c r="OQO750" s="574"/>
      <c r="OQP750" s="574"/>
      <c r="OQQ750" s="574"/>
      <c r="OQR750" s="574"/>
      <c r="OQS750" s="574"/>
      <c r="OQT750" s="574"/>
      <c r="OQU750" s="574"/>
      <c r="OQV750" s="574"/>
      <c r="OQW750" s="574"/>
      <c r="OQX750" s="574"/>
      <c r="OQY750" s="574"/>
      <c r="OQZ750" s="574"/>
      <c r="ORA750" s="574"/>
      <c r="ORB750" s="574"/>
      <c r="ORC750" s="574"/>
      <c r="ORD750" s="574"/>
      <c r="ORE750" s="574"/>
      <c r="ORF750" s="574"/>
      <c r="ORG750" s="574"/>
      <c r="ORH750" s="574"/>
      <c r="ORI750" s="574"/>
      <c r="ORJ750" s="574"/>
      <c r="ORK750" s="574"/>
      <c r="ORL750" s="574"/>
      <c r="ORM750" s="574"/>
      <c r="ORN750" s="574"/>
      <c r="ORO750" s="574"/>
      <c r="ORP750" s="574"/>
      <c r="ORQ750" s="574"/>
      <c r="ORR750" s="574"/>
      <c r="ORS750" s="574"/>
      <c r="ORT750" s="574"/>
      <c r="ORU750" s="574"/>
      <c r="ORV750" s="574"/>
      <c r="ORW750" s="574"/>
      <c r="ORX750" s="574"/>
      <c r="ORY750" s="574"/>
      <c r="ORZ750" s="574"/>
      <c r="OSA750" s="574"/>
      <c r="OSB750" s="574"/>
      <c r="OSC750" s="574"/>
      <c r="OSD750" s="574"/>
      <c r="OSE750" s="574"/>
      <c r="OSF750" s="574"/>
      <c r="OSG750" s="574"/>
      <c r="OSH750" s="574"/>
      <c r="OSI750" s="574"/>
      <c r="OSJ750" s="574"/>
      <c r="OSK750" s="574"/>
      <c r="OSL750" s="574"/>
      <c r="OSM750" s="574"/>
      <c r="OSN750" s="574"/>
      <c r="OSO750" s="574"/>
      <c r="OSP750" s="574"/>
      <c r="OSQ750" s="574"/>
      <c r="OSR750" s="574"/>
      <c r="OSS750" s="574"/>
      <c r="OST750" s="574"/>
      <c r="OSU750" s="574"/>
      <c r="OSV750" s="574"/>
      <c r="OSW750" s="574"/>
      <c r="OSX750" s="574"/>
      <c r="OSY750" s="574"/>
      <c r="OSZ750" s="574"/>
      <c r="OTA750" s="574"/>
      <c r="OTB750" s="574"/>
      <c r="OTC750" s="574"/>
      <c r="OTD750" s="574"/>
      <c r="OTE750" s="574"/>
      <c r="OTF750" s="574"/>
      <c r="OTG750" s="574"/>
      <c r="OTH750" s="574"/>
      <c r="OTI750" s="574"/>
      <c r="OTJ750" s="574"/>
      <c r="OTK750" s="574"/>
      <c r="OTL750" s="574"/>
      <c r="OTM750" s="574"/>
      <c r="OTN750" s="574"/>
      <c r="OTO750" s="574"/>
      <c r="OTP750" s="574"/>
      <c r="OTQ750" s="574"/>
      <c r="OTR750" s="574"/>
      <c r="OTS750" s="574"/>
      <c r="OTT750" s="574"/>
      <c r="OTU750" s="574"/>
      <c r="OTV750" s="574"/>
      <c r="OTW750" s="574"/>
      <c r="OTX750" s="574"/>
      <c r="OTY750" s="574"/>
      <c r="OTZ750" s="574"/>
      <c r="OUA750" s="574"/>
      <c r="OUB750" s="574"/>
      <c r="OUC750" s="574"/>
      <c r="OUD750" s="574"/>
      <c r="OUE750" s="574"/>
      <c r="OUF750" s="574"/>
      <c r="OUG750" s="574"/>
      <c r="OUH750" s="574"/>
      <c r="OUI750" s="574"/>
      <c r="OUJ750" s="574"/>
      <c r="OUK750" s="574"/>
      <c r="OUL750" s="574"/>
      <c r="OUM750" s="574"/>
      <c r="OUN750" s="574"/>
      <c r="OUO750" s="574"/>
      <c r="OUP750" s="574"/>
      <c r="OUQ750" s="574"/>
      <c r="OUR750" s="574"/>
      <c r="OUS750" s="574"/>
      <c r="OUT750" s="574"/>
      <c r="OUU750" s="574"/>
      <c r="OUV750" s="574"/>
      <c r="OUW750" s="574"/>
      <c r="OUX750" s="574"/>
      <c r="OUY750" s="574"/>
      <c r="OUZ750" s="574"/>
      <c r="OVA750" s="574"/>
      <c r="OVB750" s="574"/>
      <c r="OVC750" s="574"/>
      <c r="OVD750" s="574"/>
      <c r="OVE750" s="574"/>
      <c r="OVF750" s="574"/>
      <c r="OVG750" s="574"/>
      <c r="OVH750" s="574"/>
      <c r="OVI750" s="574"/>
      <c r="OVJ750" s="574"/>
      <c r="OVK750" s="574"/>
      <c r="OVL750" s="574"/>
      <c r="OVM750" s="574"/>
      <c r="OVN750" s="574"/>
      <c r="OVO750" s="574"/>
      <c r="OVP750" s="574"/>
      <c r="OVQ750" s="574"/>
      <c r="OVR750" s="574"/>
      <c r="OVS750" s="574"/>
      <c r="OVT750" s="574"/>
      <c r="OVU750" s="574"/>
      <c r="OVV750" s="574"/>
      <c r="OVW750" s="574"/>
      <c r="OVX750" s="574"/>
      <c r="OVY750" s="574"/>
      <c r="OVZ750" s="574"/>
      <c r="OWA750" s="574"/>
      <c r="OWB750" s="574"/>
      <c r="OWC750" s="574"/>
      <c r="OWD750" s="574"/>
      <c r="OWE750" s="574"/>
      <c r="OWF750" s="574"/>
      <c r="OWG750" s="574"/>
      <c r="OWH750" s="574"/>
      <c r="OWI750" s="574"/>
      <c r="OWJ750" s="574"/>
      <c r="OWK750" s="574"/>
      <c r="OWL750" s="574"/>
      <c r="OWM750" s="574"/>
      <c r="OWN750" s="574"/>
      <c r="OWO750" s="574"/>
      <c r="OWP750" s="574"/>
      <c r="OWQ750" s="574"/>
      <c r="OWR750" s="574"/>
      <c r="OWS750" s="574"/>
      <c r="OWT750" s="574"/>
      <c r="OWU750" s="574"/>
      <c r="OWV750" s="574"/>
      <c r="OWW750" s="574"/>
      <c r="OWX750" s="574"/>
      <c r="OWY750" s="574"/>
      <c r="OWZ750" s="574"/>
      <c r="OXA750" s="574"/>
      <c r="OXB750" s="574"/>
      <c r="OXC750" s="574"/>
      <c r="OXD750" s="574"/>
      <c r="OXE750" s="574"/>
      <c r="OXF750" s="574"/>
      <c r="OXG750" s="574"/>
      <c r="OXH750" s="574"/>
      <c r="OXI750" s="574"/>
      <c r="OXJ750" s="574"/>
      <c r="OXK750" s="574"/>
      <c r="OXL750" s="574"/>
      <c r="OXM750" s="574"/>
      <c r="OXN750" s="574"/>
      <c r="OXO750" s="574"/>
      <c r="OXP750" s="574"/>
      <c r="OXQ750" s="574"/>
      <c r="OXR750" s="574"/>
      <c r="OXS750" s="574"/>
      <c r="OXT750" s="574"/>
      <c r="OXU750" s="574"/>
      <c r="OXV750" s="574"/>
      <c r="OXW750" s="574"/>
      <c r="OXX750" s="574"/>
      <c r="OXY750" s="574"/>
      <c r="OXZ750" s="574"/>
      <c r="OYA750" s="574"/>
      <c r="OYB750" s="574"/>
      <c r="OYC750" s="574"/>
      <c r="OYD750" s="574"/>
      <c r="OYE750" s="574"/>
      <c r="OYF750" s="574"/>
      <c r="OYG750" s="574"/>
      <c r="OYH750" s="574"/>
      <c r="OYI750" s="574"/>
      <c r="OYJ750" s="574"/>
      <c r="OYK750" s="574"/>
      <c r="OYL750" s="574"/>
      <c r="OYM750" s="574"/>
      <c r="OYN750" s="574"/>
      <c r="OYO750" s="574"/>
      <c r="OYP750" s="574"/>
      <c r="OYQ750" s="574"/>
      <c r="OYR750" s="574"/>
      <c r="OYS750" s="574"/>
      <c r="OYT750" s="574"/>
      <c r="OYU750" s="574"/>
      <c r="OYV750" s="574"/>
      <c r="OYW750" s="574"/>
      <c r="OYX750" s="574"/>
      <c r="OYY750" s="574"/>
      <c r="OYZ750" s="574"/>
      <c r="OZA750" s="574"/>
      <c r="OZB750" s="574"/>
      <c r="OZC750" s="574"/>
      <c r="OZD750" s="574"/>
      <c r="OZE750" s="574"/>
      <c r="OZF750" s="574"/>
      <c r="OZG750" s="574"/>
      <c r="OZH750" s="574"/>
      <c r="OZI750" s="574"/>
      <c r="OZJ750" s="574"/>
      <c r="OZK750" s="574"/>
      <c r="OZL750" s="574"/>
      <c r="OZM750" s="574"/>
      <c r="OZN750" s="574"/>
      <c r="OZO750" s="574"/>
      <c r="OZP750" s="574"/>
      <c r="OZQ750" s="574"/>
      <c r="OZR750" s="574"/>
      <c r="OZS750" s="574"/>
      <c r="OZT750" s="574"/>
      <c r="OZU750" s="574"/>
      <c r="OZV750" s="574"/>
      <c r="OZW750" s="574"/>
      <c r="OZX750" s="574"/>
      <c r="OZY750" s="574"/>
      <c r="OZZ750" s="574"/>
      <c r="PAA750" s="574"/>
      <c r="PAB750" s="574"/>
      <c r="PAC750" s="574"/>
      <c r="PAD750" s="574"/>
      <c r="PAE750" s="574"/>
      <c r="PAF750" s="574"/>
      <c r="PAG750" s="574"/>
      <c r="PAH750" s="574"/>
      <c r="PAI750" s="574"/>
      <c r="PAJ750" s="574"/>
      <c r="PAK750" s="574"/>
      <c r="PAL750" s="574"/>
      <c r="PAM750" s="574"/>
      <c r="PAN750" s="574"/>
      <c r="PAO750" s="574"/>
      <c r="PAP750" s="574"/>
      <c r="PAQ750" s="574"/>
      <c r="PAR750" s="574"/>
      <c r="PAS750" s="574"/>
      <c r="PAT750" s="574"/>
      <c r="PAU750" s="574"/>
      <c r="PAV750" s="574"/>
      <c r="PAW750" s="574"/>
      <c r="PAX750" s="574"/>
      <c r="PAY750" s="574"/>
      <c r="PAZ750" s="574"/>
      <c r="PBA750" s="574"/>
      <c r="PBB750" s="574"/>
      <c r="PBC750" s="574"/>
      <c r="PBD750" s="574"/>
      <c r="PBE750" s="574"/>
      <c r="PBF750" s="574"/>
      <c r="PBG750" s="574"/>
      <c r="PBH750" s="574"/>
      <c r="PBI750" s="574"/>
      <c r="PBJ750" s="574"/>
      <c r="PBK750" s="574"/>
      <c r="PBL750" s="574"/>
      <c r="PBM750" s="574"/>
      <c r="PBN750" s="574"/>
      <c r="PBO750" s="574"/>
      <c r="PBP750" s="574"/>
      <c r="PBQ750" s="574"/>
      <c r="PBR750" s="574"/>
      <c r="PBS750" s="574"/>
      <c r="PBT750" s="574"/>
      <c r="PBU750" s="574"/>
      <c r="PBV750" s="574"/>
      <c r="PBW750" s="574"/>
      <c r="PBX750" s="574"/>
      <c r="PBY750" s="574"/>
      <c r="PBZ750" s="574"/>
      <c r="PCA750" s="574"/>
      <c r="PCB750" s="574"/>
      <c r="PCC750" s="574"/>
      <c r="PCD750" s="574"/>
      <c r="PCE750" s="574"/>
      <c r="PCF750" s="574"/>
      <c r="PCG750" s="574"/>
      <c r="PCH750" s="574"/>
      <c r="PCI750" s="574"/>
      <c r="PCJ750" s="574"/>
      <c r="PCK750" s="574"/>
      <c r="PCL750" s="574"/>
      <c r="PCM750" s="574"/>
      <c r="PCN750" s="574"/>
      <c r="PCO750" s="574"/>
      <c r="PCP750" s="574"/>
      <c r="PCQ750" s="574"/>
      <c r="PCR750" s="574"/>
      <c r="PCS750" s="574"/>
      <c r="PCT750" s="574"/>
      <c r="PCU750" s="574"/>
      <c r="PCV750" s="574"/>
      <c r="PCW750" s="574"/>
      <c r="PCX750" s="574"/>
      <c r="PCY750" s="574"/>
      <c r="PCZ750" s="574"/>
      <c r="PDA750" s="574"/>
      <c r="PDB750" s="574"/>
      <c r="PDC750" s="574"/>
      <c r="PDD750" s="574"/>
      <c r="PDE750" s="574"/>
      <c r="PDF750" s="574"/>
      <c r="PDG750" s="574"/>
      <c r="PDH750" s="574"/>
      <c r="PDI750" s="574"/>
      <c r="PDJ750" s="574"/>
      <c r="PDK750" s="574"/>
      <c r="PDL750" s="574"/>
      <c r="PDM750" s="574"/>
      <c r="PDN750" s="574"/>
      <c r="PDO750" s="574"/>
      <c r="PDP750" s="574"/>
      <c r="PDQ750" s="574"/>
      <c r="PDR750" s="574"/>
      <c r="PDS750" s="574"/>
      <c r="PDT750" s="574"/>
      <c r="PDU750" s="574"/>
      <c r="PDV750" s="574"/>
      <c r="PDW750" s="574"/>
      <c r="PDX750" s="574"/>
      <c r="PDY750" s="574"/>
      <c r="PDZ750" s="574"/>
      <c r="PEA750" s="574"/>
      <c r="PEB750" s="574"/>
      <c r="PEC750" s="574"/>
      <c r="PED750" s="574"/>
      <c r="PEE750" s="574"/>
      <c r="PEF750" s="574"/>
      <c r="PEG750" s="574"/>
      <c r="PEH750" s="574"/>
      <c r="PEI750" s="574"/>
      <c r="PEJ750" s="574"/>
      <c r="PEK750" s="574"/>
      <c r="PEL750" s="574"/>
      <c r="PEM750" s="574"/>
      <c r="PEN750" s="574"/>
      <c r="PEO750" s="574"/>
      <c r="PEP750" s="574"/>
      <c r="PEQ750" s="574"/>
      <c r="PER750" s="574"/>
      <c r="PES750" s="574"/>
      <c r="PET750" s="574"/>
      <c r="PEU750" s="574"/>
      <c r="PEV750" s="574"/>
      <c r="PEW750" s="574"/>
      <c r="PEX750" s="574"/>
      <c r="PEY750" s="574"/>
      <c r="PEZ750" s="574"/>
      <c r="PFA750" s="574"/>
      <c r="PFB750" s="574"/>
      <c r="PFC750" s="574"/>
      <c r="PFD750" s="574"/>
      <c r="PFE750" s="574"/>
      <c r="PFF750" s="574"/>
      <c r="PFG750" s="574"/>
      <c r="PFH750" s="574"/>
      <c r="PFI750" s="574"/>
      <c r="PFJ750" s="574"/>
      <c r="PFK750" s="574"/>
      <c r="PFL750" s="574"/>
      <c r="PFM750" s="574"/>
      <c r="PFN750" s="574"/>
      <c r="PFO750" s="574"/>
      <c r="PFP750" s="574"/>
      <c r="PFQ750" s="574"/>
      <c r="PFR750" s="574"/>
      <c r="PFS750" s="574"/>
      <c r="PFT750" s="574"/>
      <c r="PFU750" s="574"/>
      <c r="PFV750" s="574"/>
      <c r="PFW750" s="574"/>
      <c r="PFX750" s="574"/>
      <c r="PFY750" s="574"/>
      <c r="PFZ750" s="574"/>
      <c r="PGA750" s="574"/>
      <c r="PGB750" s="574"/>
      <c r="PGC750" s="574"/>
      <c r="PGD750" s="574"/>
      <c r="PGE750" s="574"/>
      <c r="PGF750" s="574"/>
      <c r="PGG750" s="574"/>
      <c r="PGH750" s="574"/>
      <c r="PGI750" s="574"/>
      <c r="PGJ750" s="574"/>
      <c r="PGK750" s="574"/>
      <c r="PGL750" s="574"/>
      <c r="PGM750" s="574"/>
      <c r="PGN750" s="574"/>
      <c r="PGO750" s="574"/>
      <c r="PGP750" s="574"/>
      <c r="PGQ750" s="574"/>
      <c r="PGR750" s="574"/>
      <c r="PGS750" s="574"/>
      <c r="PGT750" s="574"/>
      <c r="PGU750" s="574"/>
      <c r="PGV750" s="574"/>
      <c r="PGW750" s="574"/>
      <c r="PGX750" s="574"/>
      <c r="PGY750" s="574"/>
      <c r="PGZ750" s="574"/>
      <c r="PHA750" s="574"/>
      <c r="PHB750" s="574"/>
      <c r="PHC750" s="574"/>
      <c r="PHD750" s="574"/>
      <c r="PHE750" s="574"/>
      <c r="PHF750" s="574"/>
      <c r="PHG750" s="574"/>
      <c r="PHH750" s="574"/>
      <c r="PHI750" s="574"/>
      <c r="PHJ750" s="574"/>
      <c r="PHK750" s="574"/>
      <c r="PHL750" s="574"/>
      <c r="PHM750" s="574"/>
      <c r="PHN750" s="574"/>
      <c r="PHO750" s="574"/>
      <c r="PHP750" s="574"/>
      <c r="PHQ750" s="574"/>
      <c r="PHR750" s="574"/>
      <c r="PHS750" s="574"/>
      <c r="PHT750" s="574"/>
      <c r="PHU750" s="574"/>
      <c r="PHV750" s="574"/>
      <c r="PHW750" s="574"/>
      <c r="PHX750" s="574"/>
      <c r="PHY750" s="574"/>
      <c r="PHZ750" s="574"/>
      <c r="PIA750" s="574"/>
      <c r="PIB750" s="574"/>
      <c r="PIC750" s="574"/>
      <c r="PID750" s="574"/>
      <c r="PIE750" s="574"/>
      <c r="PIF750" s="574"/>
      <c r="PIG750" s="574"/>
      <c r="PIH750" s="574"/>
      <c r="PII750" s="574"/>
      <c r="PIJ750" s="574"/>
      <c r="PIK750" s="574"/>
      <c r="PIL750" s="574"/>
      <c r="PIM750" s="574"/>
      <c r="PIN750" s="574"/>
      <c r="PIO750" s="574"/>
      <c r="PIP750" s="574"/>
      <c r="PIQ750" s="574"/>
      <c r="PIR750" s="574"/>
      <c r="PIS750" s="574"/>
      <c r="PIT750" s="574"/>
      <c r="PIU750" s="574"/>
      <c r="PIV750" s="574"/>
      <c r="PIW750" s="574"/>
      <c r="PIX750" s="574"/>
      <c r="PIY750" s="574"/>
      <c r="PIZ750" s="574"/>
      <c r="PJA750" s="574"/>
      <c r="PJB750" s="574"/>
      <c r="PJC750" s="574"/>
      <c r="PJD750" s="574"/>
      <c r="PJE750" s="574"/>
      <c r="PJF750" s="574"/>
      <c r="PJG750" s="574"/>
      <c r="PJH750" s="574"/>
      <c r="PJI750" s="574"/>
      <c r="PJJ750" s="574"/>
      <c r="PJK750" s="574"/>
      <c r="PJL750" s="574"/>
      <c r="PJM750" s="574"/>
      <c r="PJN750" s="574"/>
      <c r="PJO750" s="574"/>
      <c r="PJP750" s="574"/>
      <c r="PJQ750" s="574"/>
      <c r="PJR750" s="574"/>
      <c r="PJS750" s="574"/>
      <c r="PJT750" s="574"/>
      <c r="PJU750" s="574"/>
      <c r="PJV750" s="574"/>
      <c r="PJW750" s="574"/>
      <c r="PJX750" s="574"/>
      <c r="PJY750" s="574"/>
      <c r="PJZ750" s="574"/>
      <c r="PKA750" s="574"/>
      <c r="PKB750" s="574"/>
      <c r="PKC750" s="574"/>
      <c r="PKD750" s="574"/>
      <c r="PKE750" s="574"/>
      <c r="PKF750" s="574"/>
      <c r="PKG750" s="574"/>
      <c r="PKH750" s="574"/>
      <c r="PKI750" s="574"/>
      <c r="PKJ750" s="574"/>
      <c r="PKK750" s="574"/>
      <c r="PKL750" s="574"/>
      <c r="PKM750" s="574"/>
      <c r="PKN750" s="574"/>
      <c r="PKO750" s="574"/>
      <c r="PKP750" s="574"/>
      <c r="PKQ750" s="574"/>
      <c r="PKR750" s="574"/>
      <c r="PKS750" s="574"/>
      <c r="PKT750" s="574"/>
      <c r="PKU750" s="574"/>
      <c r="PKV750" s="574"/>
      <c r="PKW750" s="574"/>
      <c r="PKX750" s="574"/>
      <c r="PKY750" s="574"/>
      <c r="PKZ750" s="574"/>
      <c r="PLA750" s="574"/>
      <c r="PLB750" s="574"/>
      <c r="PLC750" s="574"/>
      <c r="PLD750" s="574"/>
      <c r="PLE750" s="574"/>
      <c r="PLF750" s="574"/>
      <c r="PLG750" s="574"/>
      <c r="PLH750" s="574"/>
      <c r="PLI750" s="574"/>
      <c r="PLJ750" s="574"/>
      <c r="PLK750" s="574"/>
      <c r="PLL750" s="574"/>
      <c r="PLM750" s="574"/>
      <c r="PLN750" s="574"/>
      <c r="PLO750" s="574"/>
      <c r="PLP750" s="574"/>
      <c r="PLQ750" s="574"/>
      <c r="PLR750" s="574"/>
      <c r="PLS750" s="574"/>
      <c r="PLT750" s="574"/>
      <c r="PLU750" s="574"/>
      <c r="PLV750" s="574"/>
      <c r="PLW750" s="574"/>
      <c r="PLX750" s="574"/>
      <c r="PLY750" s="574"/>
      <c r="PLZ750" s="574"/>
      <c r="PMA750" s="574"/>
      <c r="PMB750" s="574"/>
      <c r="PMC750" s="574"/>
      <c r="PMD750" s="574"/>
      <c r="PME750" s="574"/>
      <c r="PMF750" s="574"/>
      <c r="PMG750" s="574"/>
      <c r="PMH750" s="574"/>
      <c r="PMI750" s="574"/>
      <c r="PMJ750" s="574"/>
      <c r="PMK750" s="574"/>
      <c r="PML750" s="574"/>
      <c r="PMM750" s="574"/>
      <c r="PMN750" s="574"/>
      <c r="PMO750" s="574"/>
      <c r="PMP750" s="574"/>
      <c r="PMQ750" s="574"/>
      <c r="PMR750" s="574"/>
      <c r="PMS750" s="574"/>
      <c r="PMT750" s="574"/>
      <c r="PMU750" s="574"/>
      <c r="PMV750" s="574"/>
      <c r="PMW750" s="574"/>
      <c r="PMX750" s="574"/>
      <c r="PMY750" s="574"/>
      <c r="PMZ750" s="574"/>
      <c r="PNA750" s="574"/>
      <c r="PNB750" s="574"/>
      <c r="PNC750" s="574"/>
      <c r="PND750" s="574"/>
      <c r="PNE750" s="574"/>
      <c r="PNF750" s="574"/>
      <c r="PNG750" s="574"/>
      <c r="PNH750" s="574"/>
      <c r="PNI750" s="574"/>
      <c r="PNJ750" s="574"/>
      <c r="PNK750" s="574"/>
      <c r="PNL750" s="574"/>
      <c r="PNM750" s="574"/>
      <c r="PNN750" s="574"/>
      <c r="PNO750" s="574"/>
      <c r="PNP750" s="574"/>
      <c r="PNQ750" s="574"/>
      <c r="PNR750" s="574"/>
      <c r="PNS750" s="574"/>
      <c r="PNT750" s="574"/>
      <c r="PNU750" s="574"/>
      <c r="PNV750" s="574"/>
      <c r="PNW750" s="574"/>
      <c r="PNX750" s="574"/>
      <c r="PNY750" s="574"/>
      <c r="PNZ750" s="574"/>
      <c r="POA750" s="574"/>
      <c r="POB750" s="574"/>
      <c r="POC750" s="574"/>
      <c r="POD750" s="574"/>
      <c r="POE750" s="574"/>
      <c r="POF750" s="574"/>
      <c r="POG750" s="574"/>
      <c r="POH750" s="574"/>
      <c r="POI750" s="574"/>
      <c r="POJ750" s="574"/>
      <c r="POK750" s="574"/>
      <c r="POL750" s="574"/>
      <c r="POM750" s="574"/>
      <c r="PON750" s="574"/>
      <c r="POO750" s="574"/>
      <c r="POP750" s="574"/>
      <c r="POQ750" s="574"/>
      <c r="POR750" s="574"/>
      <c r="POS750" s="574"/>
      <c r="POT750" s="574"/>
      <c r="POU750" s="574"/>
      <c r="POV750" s="574"/>
      <c r="POW750" s="574"/>
      <c r="POX750" s="574"/>
      <c r="POY750" s="574"/>
      <c r="POZ750" s="574"/>
      <c r="PPA750" s="574"/>
      <c r="PPB750" s="574"/>
      <c r="PPC750" s="574"/>
      <c r="PPD750" s="574"/>
      <c r="PPE750" s="574"/>
      <c r="PPF750" s="574"/>
      <c r="PPG750" s="574"/>
      <c r="PPH750" s="574"/>
      <c r="PPI750" s="574"/>
      <c r="PPJ750" s="574"/>
      <c r="PPK750" s="574"/>
      <c r="PPL750" s="574"/>
      <c r="PPM750" s="574"/>
      <c r="PPN750" s="574"/>
      <c r="PPO750" s="574"/>
      <c r="PPP750" s="574"/>
      <c r="PPQ750" s="574"/>
      <c r="PPR750" s="574"/>
      <c r="PPS750" s="574"/>
      <c r="PPT750" s="574"/>
      <c r="PPU750" s="574"/>
      <c r="PPV750" s="574"/>
      <c r="PPW750" s="574"/>
      <c r="PPX750" s="574"/>
      <c r="PPY750" s="574"/>
      <c r="PPZ750" s="574"/>
      <c r="PQA750" s="574"/>
      <c r="PQB750" s="574"/>
      <c r="PQC750" s="574"/>
      <c r="PQD750" s="574"/>
      <c r="PQE750" s="574"/>
      <c r="PQF750" s="574"/>
      <c r="PQG750" s="574"/>
      <c r="PQH750" s="574"/>
      <c r="PQI750" s="574"/>
      <c r="PQJ750" s="574"/>
      <c r="PQK750" s="574"/>
      <c r="PQL750" s="574"/>
      <c r="PQM750" s="574"/>
      <c r="PQN750" s="574"/>
      <c r="PQO750" s="574"/>
      <c r="PQP750" s="574"/>
      <c r="PQQ750" s="574"/>
      <c r="PQR750" s="574"/>
      <c r="PQS750" s="574"/>
      <c r="PQT750" s="574"/>
      <c r="PQU750" s="574"/>
      <c r="PQV750" s="574"/>
      <c r="PQW750" s="574"/>
      <c r="PQX750" s="574"/>
      <c r="PQY750" s="574"/>
      <c r="PQZ750" s="574"/>
      <c r="PRA750" s="574"/>
      <c r="PRB750" s="574"/>
      <c r="PRC750" s="574"/>
      <c r="PRD750" s="574"/>
      <c r="PRE750" s="574"/>
      <c r="PRF750" s="574"/>
      <c r="PRG750" s="574"/>
      <c r="PRH750" s="574"/>
      <c r="PRI750" s="574"/>
      <c r="PRJ750" s="574"/>
      <c r="PRK750" s="574"/>
      <c r="PRL750" s="574"/>
      <c r="PRM750" s="574"/>
      <c r="PRN750" s="574"/>
      <c r="PRO750" s="574"/>
      <c r="PRP750" s="574"/>
      <c r="PRQ750" s="574"/>
      <c r="PRR750" s="574"/>
      <c r="PRS750" s="574"/>
      <c r="PRT750" s="574"/>
      <c r="PRU750" s="574"/>
      <c r="PRV750" s="574"/>
      <c r="PRW750" s="574"/>
      <c r="PRX750" s="574"/>
      <c r="PRY750" s="574"/>
      <c r="PRZ750" s="574"/>
      <c r="PSA750" s="574"/>
      <c r="PSB750" s="574"/>
      <c r="PSC750" s="574"/>
      <c r="PSD750" s="574"/>
      <c r="PSE750" s="574"/>
      <c r="PSF750" s="574"/>
      <c r="PSG750" s="574"/>
      <c r="PSH750" s="574"/>
      <c r="PSI750" s="574"/>
      <c r="PSJ750" s="574"/>
      <c r="PSK750" s="574"/>
      <c r="PSL750" s="574"/>
      <c r="PSM750" s="574"/>
      <c r="PSN750" s="574"/>
      <c r="PSO750" s="574"/>
      <c r="PSP750" s="574"/>
      <c r="PSQ750" s="574"/>
      <c r="PSR750" s="574"/>
      <c r="PSS750" s="574"/>
      <c r="PST750" s="574"/>
      <c r="PSU750" s="574"/>
      <c r="PSV750" s="574"/>
      <c r="PSW750" s="574"/>
      <c r="PSX750" s="574"/>
      <c r="PSY750" s="574"/>
      <c r="PSZ750" s="574"/>
      <c r="PTA750" s="574"/>
      <c r="PTB750" s="574"/>
      <c r="PTC750" s="574"/>
      <c r="PTD750" s="574"/>
      <c r="PTE750" s="574"/>
      <c r="PTF750" s="574"/>
      <c r="PTG750" s="574"/>
      <c r="PTH750" s="574"/>
      <c r="PTI750" s="574"/>
      <c r="PTJ750" s="574"/>
      <c r="PTK750" s="574"/>
      <c r="PTL750" s="574"/>
      <c r="PTM750" s="574"/>
      <c r="PTN750" s="574"/>
      <c r="PTO750" s="574"/>
      <c r="PTP750" s="574"/>
      <c r="PTQ750" s="574"/>
      <c r="PTR750" s="574"/>
      <c r="PTS750" s="574"/>
      <c r="PTT750" s="574"/>
      <c r="PTU750" s="574"/>
      <c r="PTV750" s="574"/>
      <c r="PTW750" s="574"/>
      <c r="PTX750" s="574"/>
      <c r="PTY750" s="574"/>
      <c r="PTZ750" s="574"/>
      <c r="PUA750" s="574"/>
      <c r="PUB750" s="574"/>
      <c r="PUC750" s="574"/>
      <c r="PUD750" s="574"/>
      <c r="PUE750" s="574"/>
      <c r="PUF750" s="574"/>
      <c r="PUG750" s="574"/>
      <c r="PUH750" s="574"/>
      <c r="PUI750" s="574"/>
      <c r="PUJ750" s="574"/>
      <c r="PUK750" s="574"/>
      <c r="PUL750" s="574"/>
      <c r="PUM750" s="574"/>
      <c r="PUN750" s="574"/>
      <c r="PUO750" s="574"/>
      <c r="PUP750" s="574"/>
      <c r="PUQ750" s="574"/>
      <c r="PUR750" s="574"/>
      <c r="PUS750" s="574"/>
      <c r="PUT750" s="574"/>
      <c r="PUU750" s="574"/>
      <c r="PUV750" s="574"/>
      <c r="PUW750" s="574"/>
      <c r="PUX750" s="574"/>
      <c r="PUY750" s="574"/>
      <c r="PUZ750" s="574"/>
      <c r="PVA750" s="574"/>
      <c r="PVB750" s="574"/>
      <c r="PVC750" s="574"/>
      <c r="PVD750" s="574"/>
      <c r="PVE750" s="574"/>
      <c r="PVF750" s="574"/>
      <c r="PVG750" s="574"/>
      <c r="PVH750" s="574"/>
      <c r="PVI750" s="574"/>
      <c r="PVJ750" s="574"/>
      <c r="PVK750" s="574"/>
      <c r="PVL750" s="574"/>
      <c r="PVM750" s="574"/>
      <c r="PVN750" s="574"/>
      <c r="PVO750" s="574"/>
      <c r="PVP750" s="574"/>
      <c r="PVQ750" s="574"/>
      <c r="PVR750" s="574"/>
      <c r="PVS750" s="574"/>
      <c r="PVT750" s="574"/>
      <c r="PVU750" s="574"/>
      <c r="PVV750" s="574"/>
      <c r="PVW750" s="574"/>
      <c r="PVX750" s="574"/>
      <c r="PVY750" s="574"/>
      <c r="PVZ750" s="574"/>
      <c r="PWA750" s="574"/>
      <c r="PWB750" s="574"/>
      <c r="PWC750" s="574"/>
      <c r="PWD750" s="574"/>
      <c r="PWE750" s="574"/>
      <c r="PWF750" s="574"/>
      <c r="PWG750" s="574"/>
      <c r="PWH750" s="574"/>
      <c r="PWI750" s="574"/>
      <c r="PWJ750" s="574"/>
      <c r="PWK750" s="574"/>
      <c r="PWL750" s="574"/>
      <c r="PWM750" s="574"/>
      <c r="PWN750" s="574"/>
      <c r="PWO750" s="574"/>
      <c r="PWP750" s="574"/>
      <c r="PWQ750" s="574"/>
      <c r="PWR750" s="574"/>
      <c r="PWS750" s="574"/>
      <c r="PWT750" s="574"/>
      <c r="PWU750" s="574"/>
      <c r="PWV750" s="574"/>
      <c r="PWW750" s="574"/>
      <c r="PWX750" s="574"/>
      <c r="PWY750" s="574"/>
      <c r="PWZ750" s="574"/>
      <c r="PXA750" s="574"/>
      <c r="PXB750" s="574"/>
      <c r="PXC750" s="574"/>
      <c r="PXD750" s="574"/>
      <c r="PXE750" s="574"/>
      <c r="PXF750" s="574"/>
      <c r="PXG750" s="574"/>
      <c r="PXH750" s="574"/>
      <c r="PXI750" s="574"/>
      <c r="PXJ750" s="574"/>
      <c r="PXK750" s="574"/>
      <c r="PXL750" s="574"/>
      <c r="PXM750" s="574"/>
      <c r="PXN750" s="574"/>
      <c r="PXO750" s="574"/>
      <c r="PXP750" s="574"/>
      <c r="PXQ750" s="574"/>
      <c r="PXR750" s="574"/>
      <c r="PXS750" s="574"/>
      <c r="PXT750" s="574"/>
      <c r="PXU750" s="574"/>
      <c r="PXV750" s="574"/>
      <c r="PXW750" s="574"/>
      <c r="PXX750" s="574"/>
      <c r="PXY750" s="574"/>
      <c r="PXZ750" s="574"/>
      <c r="PYA750" s="574"/>
      <c r="PYB750" s="574"/>
      <c r="PYC750" s="574"/>
      <c r="PYD750" s="574"/>
      <c r="PYE750" s="574"/>
      <c r="PYF750" s="574"/>
      <c r="PYG750" s="574"/>
      <c r="PYH750" s="574"/>
      <c r="PYI750" s="574"/>
      <c r="PYJ750" s="574"/>
      <c r="PYK750" s="574"/>
      <c r="PYL750" s="574"/>
      <c r="PYM750" s="574"/>
      <c r="PYN750" s="574"/>
      <c r="PYO750" s="574"/>
      <c r="PYP750" s="574"/>
      <c r="PYQ750" s="574"/>
      <c r="PYR750" s="574"/>
      <c r="PYS750" s="574"/>
      <c r="PYT750" s="574"/>
      <c r="PYU750" s="574"/>
      <c r="PYV750" s="574"/>
      <c r="PYW750" s="574"/>
      <c r="PYX750" s="574"/>
      <c r="PYY750" s="574"/>
      <c r="PYZ750" s="574"/>
      <c r="PZA750" s="574"/>
      <c r="PZB750" s="574"/>
      <c r="PZC750" s="574"/>
      <c r="PZD750" s="574"/>
      <c r="PZE750" s="574"/>
      <c r="PZF750" s="574"/>
      <c r="PZG750" s="574"/>
      <c r="PZH750" s="574"/>
      <c r="PZI750" s="574"/>
      <c r="PZJ750" s="574"/>
      <c r="PZK750" s="574"/>
      <c r="PZL750" s="574"/>
      <c r="PZM750" s="574"/>
      <c r="PZN750" s="574"/>
      <c r="PZO750" s="574"/>
      <c r="PZP750" s="574"/>
      <c r="PZQ750" s="574"/>
      <c r="PZR750" s="574"/>
      <c r="PZS750" s="574"/>
      <c r="PZT750" s="574"/>
      <c r="PZU750" s="574"/>
      <c r="PZV750" s="574"/>
      <c r="PZW750" s="574"/>
      <c r="PZX750" s="574"/>
      <c r="PZY750" s="574"/>
      <c r="PZZ750" s="574"/>
      <c r="QAA750" s="574"/>
      <c r="QAB750" s="574"/>
      <c r="QAC750" s="574"/>
      <c r="QAD750" s="574"/>
      <c r="QAE750" s="574"/>
      <c r="QAF750" s="574"/>
      <c r="QAG750" s="574"/>
      <c r="QAH750" s="574"/>
      <c r="QAI750" s="574"/>
      <c r="QAJ750" s="574"/>
      <c r="QAK750" s="574"/>
      <c r="QAL750" s="574"/>
      <c r="QAM750" s="574"/>
      <c r="QAN750" s="574"/>
      <c r="QAO750" s="574"/>
      <c r="QAP750" s="574"/>
      <c r="QAQ750" s="574"/>
      <c r="QAR750" s="574"/>
      <c r="QAS750" s="574"/>
      <c r="QAT750" s="574"/>
      <c r="QAU750" s="574"/>
      <c r="QAV750" s="574"/>
      <c r="QAW750" s="574"/>
      <c r="QAX750" s="574"/>
      <c r="QAY750" s="574"/>
      <c r="QAZ750" s="574"/>
      <c r="QBA750" s="574"/>
      <c r="QBB750" s="574"/>
      <c r="QBC750" s="574"/>
      <c r="QBD750" s="574"/>
      <c r="QBE750" s="574"/>
      <c r="QBF750" s="574"/>
      <c r="QBG750" s="574"/>
      <c r="QBH750" s="574"/>
      <c r="QBI750" s="574"/>
      <c r="QBJ750" s="574"/>
      <c r="QBK750" s="574"/>
      <c r="QBL750" s="574"/>
      <c r="QBM750" s="574"/>
      <c r="QBN750" s="574"/>
      <c r="QBO750" s="574"/>
      <c r="QBP750" s="574"/>
      <c r="QBQ750" s="574"/>
      <c r="QBR750" s="574"/>
      <c r="QBS750" s="574"/>
      <c r="QBT750" s="574"/>
      <c r="QBU750" s="574"/>
      <c r="QBV750" s="574"/>
      <c r="QBW750" s="574"/>
      <c r="QBX750" s="574"/>
      <c r="QBY750" s="574"/>
      <c r="QBZ750" s="574"/>
      <c r="QCA750" s="574"/>
      <c r="QCB750" s="574"/>
      <c r="QCC750" s="574"/>
      <c r="QCD750" s="574"/>
      <c r="QCE750" s="574"/>
      <c r="QCF750" s="574"/>
      <c r="QCG750" s="574"/>
      <c r="QCH750" s="574"/>
      <c r="QCI750" s="574"/>
      <c r="QCJ750" s="574"/>
      <c r="QCK750" s="574"/>
      <c r="QCL750" s="574"/>
      <c r="QCM750" s="574"/>
      <c r="QCN750" s="574"/>
      <c r="QCO750" s="574"/>
      <c r="QCP750" s="574"/>
      <c r="QCQ750" s="574"/>
      <c r="QCR750" s="574"/>
      <c r="QCS750" s="574"/>
      <c r="QCT750" s="574"/>
      <c r="QCU750" s="574"/>
      <c r="QCV750" s="574"/>
      <c r="QCW750" s="574"/>
      <c r="QCX750" s="574"/>
      <c r="QCY750" s="574"/>
      <c r="QCZ750" s="574"/>
      <c r="QDA750" s="574"/>
      <c r="QDB750" s="574"/>
      <c r="QDC750" s="574"/>
      <c r="QDD750" s="574"/>
      <c r="QDE750" s="574"/>
      <c r="QDF750" s="574"/>
      <c r="QDG750" s="574"/>
      <c r="QDH750" s="574"/>
      <c r="QDI750" s="574"/>
      <c r="QDJ750" s="574"/>
      <c r="QDK750" s="574"/>
      <c r="QDL750" s="574"/>
      <c r="QDM750" s="574"/>
      <c r="QDN750" s="574"/>
      <c r="QDO750" s="574"/>
      <c r="QDP750" s="574"/>
      <c r="QDQ750" s="574"/>
      <c r="QDR750" s="574"/>
      <c r="QDS750" s="574"/>
      <c r="QDT750" s="574"/>
      <c r="QDU750" s="574"/>
      <c r="QDV750" s="574"/>
      <c r="QDW750" s="574"/>
      <c r="QDX750" s="574"/>
      <c r="QDY750" s="574"/>
      <c r="QDZ750" s="574"/>
      <c r="QEA750" s="574"/>
      <c r="QEB750" s="574"/>
      <c r="QEC750" s="574"/>
      <c r="QED750" s="574"/>
      <c r="QEE750" s="574"/>
      <c r="QEF750" s="574"/>
      <c r="QEG750" s="574"/>
      <c r="QEH750" s="574"/>
      <c r="QEI750" s="574"/>
      <c r="QEJ750" s="574"/>
      <c r="QEK750" s="574"/>
      <c r="QEL750" s="574"/>
      <c r="QEM750" s="574"/>
      <c r="QEN750" s="574"/>
      <c r="QEO750" s="574"/>
      <c r="QEP750" s="574"/>
      <c r="QEQ750" s="574"/>
      <c r="QER750" s="574"/>
      <c r="QES750" s="574"/>
      <c r="QET750" s="574"/>
      <c r="QEU750" s="574"/>
      <c r="QEV750" s="574"/>
      <c r="QEW750" s="574"/>
      <c r="QEX750" s="574"/>
      <c r="QEY750" s="574"/>
      <c r="QEZ750" s="574"/>
      <c r="QFA750" s="574"/>
      <c r="QFB750" s="574"/>
      <c r="QFC750" s="574"/>
      <c r="QFD750" s="574"/>
      <c r="QFE750" s="574"/>
      <c r="QFF750" s="574"/>
      <c r="QFG750" s="574"/>
      <c r="QFH750" s="574"/>
      <c r="QFI750" s="574"/>
      <c r="QFJ750" s="574"/>
      <c r="QFK750" s="574"/>
      <c r="QFL750" s="574"/>
      <c r="QFM750" s="574"/>
      <c r="QFN750" s="574"/>
      <c r="QFO750" s="574"/>
      <c r="QFP750" s="574"/>
      <c r="QFQ750" s="574"/>
      <c r="QFR750" s="574"/>
      <c r="QFS750" s="574"/>
      <c r="QFT750" s="574"/>
      <c r="QFU750" s="574"/>
      <c r="QFV750" s="574"/>
      <c r="QFW750" s="574"/>
      <c r="QFX750" s="574"/>
      <c r="QFY750" s="574"/>
      <c r="QFZ750" s="574"/>
      <c r="QGA750" s="574"/>
      <c r="QGB750" s="574"/>
      <c r="QGC750" s="574"/>
      <c r="QGD750" s="574"/>
      <c r="QGE750" s="574"/>
      <c r="QGF750" s="574"/>
      <c r="QGG750" s="574"/>
      <c r="QGH750" s="574"/>
      <c r="QGI750" s="574"/>
      <c r="QGJ750" s="574"/>
      <c r="QGK750" s="574"/>
      <c r="QGL750" s="574"/>
      <c r="QGM750" s="574"/>
      <c r="QGN750" s="574"/>
      <c r="QGO750" s="574"/>
      <c r="QGP750" s="574"/>
      <c r="QGQ750" s="574"/>
      <c r="QGR750" s="574"/>
      <c r="QGS750" s="574"/>
      <c r="QGT750" s="574"/>
      <c r="QGU750" s="574"/>
      <c r="QGV750" s="574"/>
      <c r="QGW750" s="574"/>
      <c r="QGX750" s="574"/>
      <c r="QGY750" s="574"/>
      <c r="QGZ750" s="574"/>
      <c r="QHA750" s="574"/>
      <c r="QHB750" s="574"/>
      <c r="QHC750" s="574"/>
      <c r="QHD750" s="574"/>
      <c r="QHE750" s="574"/>
      <c r="QHF750" s="574"/>
      <c r="QHG750" s="574"/>
      <c r="QHH750" s="574"/>
      <c r="QHI750" s="574"/>
      <c r="QHJ750" s="574"/>
      <c r="QHK750" s="574"/>
      <c r="QHL750" s="574"/>
      <c r="QHM750" s="574"/>
      <c r="QHN750" s="574"/>
      <c r="QHO750" s="574"/>
      <c r="QHP750" s="574"/>
      <c r="QHQ750" s="574"/>
      <c r="QHR750" s="574"/>
      <c r="QHS750" s="574"/>
      <c r="QHT750" s="574"/>
      <c r="QHU750" s="574"/>
      <c r="QHV750" s="574"/>
      <c r="QHW750" s="574"/>
      <c r="QHX750" s="574"/>
      <c r="QHY750" s="574"/>
      <c r="QHZ750" s="574"/>
      <c r="QIA750" s="574"/>
      <c r="QIB750" s="574"/>
      <c r="QIC750" s="574"/>
      <c r="QID750" s="574"/>
      <c r="QIE750" s="574"/>
      <c r="QIF750" s="574"/>
      <c r="QIG750" s="574"/>
      <c r="QIH750" s="574"/>
      <c r="QII750" s="574"/>
      <c r="QIJ750" s="574"/>
      <c r="QIK750" s="574"/>
      <c r="QIL750" s="574"/>
      <c r="QIM750" s="574"/>
      <c r="QIN750" s="574"/>
      <c r="QIO750" s="574"/>
      <c r="QIP750" s="574"/>
      <c r="QIQ750" s="574"/>
      <c r="QIR750" s="574"/>
      <c r="QIS750" s="574"/>
      <c r="QIT750" s="574"/>
      <c r="QIU750" s="574"/>
      <c r="QIV750" s="574"/>
      <c r="QIW750" s="574"/>
      <c r="QIX750" s="574"/>
      <c r="QIY750" s="574"/>
      <c r="QIZ750" s="574"/>
      <c r="QJA750" s="574"/>
      <c r="QJB750" s="574"/>
      <c r="QJC750" s="574"/>
      <c r="QJD750" s="574"/>
      <c r="QJE750" s="574"/>
      <c r="QJF750" s="574"/>
      <c r="QJG750" s="574"/>
      <c r="QJH750" s="574"/>
      <c r="QJI750" s="574"/>
      <c r="QJJ750" s="574"/>
      <c r="QJK750" s="574"/>
      <c r="QJL750" s="574"/>
      <c r="QJM750" s="574"/>
      <c r="QJN750" s="574"/>
      <c r="QJO750" s="574"/>
      <c r="QJP750" s="574"/>
      <c r="QJQ750" s="574"/>
      <c r="QJR750" s="574"/>
      <c r="QJS750" s="574"/>
      <c r="QJT750" s="574"/>
      <c r="QJU750" s="574"/>
      <c r="QJV750" s="574"/>
      <c r="QJW750" s="574"/>
      <c r="QJX750" s="574"/>
      <c r="QJY750" s="574"/>
      <c r="QJZ750" s="574"/>
      <c r="QKA750" s="574"/>
      <c r="QKB750" s="574"/>
      <c r="QKC750" s="574"/>
      <c r="QKD750" s="574"/>
      <c r="QKE750" s="574"/>
      <c r="QKF750" s="574"/>
      <c r="QKG750" s="574"/>
      <c r="QKH750" s="574"/>
      <c r="QKI750" s="574"/>
      <c r="QKJ750" s="574"/>
      <c r="QKK750" s="574"/>
      <c r="QKL750" s="574"/>
      <c r="QKM750" s="574"/>
      <c r="QKN750" s="574"/>
      <c r="QKO750" s="574"/>
      <c r="QKP750" s="574"/>
      <c r="QKQ750" s="574"/>
      <c r="QKR750" s="574"/>
      <c r="QKS750" s="574"/>
      <c r="QKT750" s="574"/>
      <c r="QKU750" s="574"/>
      <c r="QKV750" s="574"/>
      <c r="QKW750" s="574"/>
      <c r="QKX750" s="574"/>
      <c r="QKY750" s="574"/>
      <c r="QKZ750" s="574"/>
      <c r="QLA750" s="574"/>
      <c r="QLB750" s="574"/>
      <c r="QLC750" s="574"/>
      <c r="QLD750" s="574"/>
      <c r="QLE750" s="574"/>
      <c r="QLF750" s="574"/>
      <c r="QLG750" s="574"/>
      <c r="QLH750" s="574"/>
      <c r="QLI750" s="574"/>
      <c r="QLJ750" s="574"/>
      <c r="QLK750" s="574"/>
      <c r="QLL750" s="574"/>
      <c r="QLM750" s="574"/>
      <c r="QLN750" s="574"/>
      <c r="QLO750" s="574"/>
      <c r="QLP750" s="574"/>
      <c r="QLQ750" s="574"/>
      <c r="QLR750" s="574"/>
      <c r="QLS750" s="574"/>
      <c r="QLT750" s="574"/>
      <c r="QLU750" s="574"/>
      <c r="QLV750" s="574"/>
      <c r="QLW750" s="574"/>
      <c r="QLX750" s="574"/>
      <c r="QLY750" s="574"/>
      <c r="QLZ750" s="574"/>
      <c r="QMA750" s="574"/>
      <c r="QMB750" s="574"/>
      <c r="QMC750" s="574"/>
      <c r="QMD750" s="574"/>
      <c r="QME750" s="574"/>
      <c r="QMF750" s="574"/>
      <c r="QMG750" s="574"/>
      <c r="QMH750" s="574"/>
      <c r="QMI750" s="574"/>
      <c r="QMJ750" s="574"/>
      <c r="QMK750" s="574"/>
      <c r="QML750" s="574"/>
      <c r="QMM750" s="574"/>
      <c r="QMN750" s="574"/>
      <c r="QMO750" s="574"/>
      <c r="QMP750" s="574"/>
      <c r="QMQ750" s="574"/>
      <c r="QMR750" s="574"/>
      <c r="QMS750" s="574"/>
      <c r="QMT750" s="574"/>
      <c r="QMU750" s="574"/>
      <c r="QMV750" s="574"/>
      <c r="QMW750" s="574"/>
      <c r="QMX750" s="574"/>
      <c r="QMY750" s="574"/>
      <c r="QMZ750" s="574"/>
      <c r="QNA750" s="574"/>
      <c r="QNB750" s="574"/>
      <c r="QNC750" s="574"/>
      <c r="QND750" s="574"/>
      <c r="QNE750" s="574"/>
      <c r="QNF750" s="574"/>
      <c r="QNG750" s="574"/>
      <c r="QNH750" s="574"/>
      <c r="QNI750" s="574"/>
      <c r="QNJ750" s="574"/>
      <c r="QNK750" s="574"/>
      <c r="QNL750" s="574"/>
      <c r="QNM750" s="574"/>
      <c r="QNN750" s="574"/>
      <c r="QNO750" s="574"/>
      <c r="QNP750" s="574"/>
      <c r="QNQ750" s="574"/>
      <c r="QNR750" s="574"/>
      <c r="QNS750" s="574"/>
      <c r="QNT750" s="574"/>
      <c r="QNU750" s="574"/>
      <c r="QNV750" s="574"/>
      <c r="QNW750" s="574"/>
      <c r="QNX750" s="574"/>
      <c r="QNY750" s="574"/>
      <c r="QNZ750" s="574"/>
      <c r="QOA750" s="574"/>
      <c r="QOB750" s="574"/>
      <c r="QOC750" s="574"/>
      <c r="QOD750" s="574"/>
      <c r="QOE750" s="574"/>
      <c r="QOF750" s="574"/>
      <c r="QOG750" s="574"/>
      <c r="QOH750" s="574"/>
      <c r="QOI750" s="574"/>
      <c r="QOJ750" s="574"/>
      <c r="QOK750" s="574"/>
      <c r="QOL750" s="574"/>
      <c r="QOM750" s="574"/>
      <c r="QON750" s="574"/>
      <c r="QOO750" s="574"/>
      <c r="QOP750" s="574"/>
      <c r="QOQ750" s="574"/>
      <c r="QOR750" s="574"/>
      <c r="QOS750" s="574"/>
      <c r="QOT750" s="574"/>
      <c r="QOU750" s="574"/>
      <c r="QOV750" s="574"/>
      <c r="QOW750" s="574"/>
      <c r="QOX750" s="574"/>
      <c r="QOY750" s="574"/>
      <c r="QOZ750" s="574"/>
      <c r="QPA750" s="574"/>
      <c r="QPB750" s="574"/>
      <c r="QPC750" s="574"/>
      <c r="QPD750" s="574"/>
      <c r="QPE750" s="574"/>
      <c r="QPF750" s="574"/>
      <c r="QPG750" s="574"/>
      <c r="QPH750" s="574"/>
      <c r="QPI750" s="574"/>
      <c r="QPJ750" s="574"/>
      <c r="QPK750" s="574"/>
      <c r="QPL750" s="574"/>
      <c r="QPM750" s="574"/>
      <c r="QPN750" s="574"/>
      <c r="QPO750" s="574"/>
      <c r="QPP750" s="574"/>
      <c r="QPQ750" s="574"/>
      <c r="QPR750" s="574"/>
      <c r="QPS750" s="574"/>
      <c r="QPT750" s="574"/>
      <c r="QPU750" s="574"/>
      <c r="QPV750" s="574"/>
      <c r="QPW750" s="574"/>
      <c r="QPX750" s="574"/>
      <c r="QPY750" s="574"/>
      <c r="QPZ750" s="574"/>
      <c r="QQA750" s="574"/>
      <c r="QQB750" s="574"/>
      <c r="QQC750" s="574"/>
      <c r="QQD750" s="574"/>
      <c r="QQE750" s="574"/>
      <c r="QQF750" s="574"/>
      <c r="QQG750" s="574"/>
      <c r="QQH750" s="574"/>
      <c r="QQI750" s="574"/>
      <c r="QQJ750" s="574"/>
      <c r="QQK750" s="574"/>
      <c r="QQL750" s="574"/>
      <c r="QQM750" s="574"/>
      <c r="QQN750" s="574"/>
      <c r="QQO750" s="574"/>
      <c r="QQP750" s="574"/>
      <c r="QQQ750" s="574"/>
      <c r="QQR750" s="574"/>
      <c r="QQS750" s="574"/>
      <c r="QQT750" s="574"/>
      <c r="QQU750" s="574"/>
      <c r="QQV750" s="574"/>
      <c r="QQW750" s="574"/>
      <c r="QQX750" s="574"/>
      <c r="QQY750" s="574"/>
      <c r="QQZ750" s="574"/>
      <c r="QRA750" s="574"/>
      <c r="QRB750" s="574"/>
      <c r="QRC750" s="574"/>
      <c r="QRD750" s="574"/>
      <c r="QRE750" s="574"/>
      <c r="QRF750" s="574"/>
      <c r="QRG750" s="574"/>
      <c r="QRH750" s="574"/>
      <c r="QRI750" s="574"/>
      <c r="QRJ750" s="574"/>
      <c r="QRK750" s="574"/>
      <c r="QRL750" s="574"/>
      <c r="QRM750" s="574"/>
      <c r="QRN750" s="574"/>
      <c r="QRO750" s="574"/>
      <c r="QRP750" s="574"/>
      <c r="QRQ750" s="574"/>
      <c r="QRR750" s="574"/>
      <c r="QRS750" s="574"/>
      <c r="QRT750" s="574"/>
      <c r="QRU750" s="574"/>
      <c r="QRV750" s="574"/>
      <c r="QRW750" s="574"/>
      <c r="QRX750" s="574"/>
      <c r="QRY750" s="574"/>
      <c r="QRZ750" s="574"/>
      <c r="QSA750" s="574"/>
      <c r="QSB750" s="574"/>
      <c r="QSC750" s="574"/>
      <c r="QSD750" s="574"/>
      <c r="QSE750" s="574"/>
      <c r="QSF750" s="574"/>
      <c r="QSG750" s="574"/>
      <c r="QSH750" s="574"/>
      <c r="QSI750" s="574"/>
      <c r="QSJ750" s="574"/>
      <c r="QSK750" s="574"/>
      <c r="QSL750" s="574"/>
      <c r="QSM750" s="574"/>
      <c r="QSN750" s="574"/>
      <c r="QSO750" s="574"/>
      <c r="QSP750" s="574"/>
      <c r="QSQ750" s="574"/>
      <c r="QSR750" s="574"/>
      <c r="QSS750" s="574"/>
      <c r="QST750" s="574"/>
      <c r="QSU750" s="574"/>
      <c r="QSV750" s="574"/>
      <c r="QSW750" s="574"/>
      <c r="QSX750" s="574"/>
      <c r="QSY750" s="574"/>
      <c r="QSZ750" s="574"/>
      <c r="QTA750" s="574"/>
      <c r="QTB750" s="574"/>
      <c r="QTC750" s="574"/>
      <c r="QTD750" s="574"/>
      <c r="QTE750" s="574"/>
      <c r="QTF750" s="574"/>
      <c r="QTG750" s="574"/>
      <c r="QTH750" s="574"/>
      <c r="QTI750" s="574"/>
      <c r="QTJ750" s="574"/>
      <c r="QTK750" s="574"/>
      <c r="QTL750" s="574"/>
      <c r="QTM750" s="574"/>
      <c r="QTN750" s="574"/>
      <c r="QTO750" s="574"/>
      <c r="QTP750" s="574"/>
      <c r="QTQ750" s="574"/>
      <c r="QTR750" s="574"/>
      <c r="QTS750" s="574"/>
      <c r="QTT750" s="574"/>
      <c r="QTU750" s="574"/>
      <c r="QTV750" s="574"/>
      <c r="QTW750" s="574"/>
      <c r="QTX750" s="574"/>
      <c r="QTY750" s="574"/>
      <c r="QTZ750" s="574"/>
      <c r="QUA750" s="574"/>
      <c r="QUB750" s="574"/>
      <c r="QUC750" s="574"/>
      <c r="QUD750" s="574"/>
      <c r="QUE750" s="574"/>
      <c r="QUF750" s="574"/>
      <c r="QUG750" s="574"/>
      <c r="QUH750" s="574"/>
      <c r="QUI750" s="574"/>
      <c r="QUJ750" s="574"/>
      <c r="QUK750" s="574"/>
      <c r="QUL750" s="574"/>
      <c r="QUM750" s="574"/>
      <c r="QUN750" s="574"/>
      <c r="QUO750" s="574"/>
      <c r="QUP750" s="574"/>
      <c r="QUQ750" s="574"/>
      <c r="QUR750" s="574"/>
      <c r="QUS750" s="574"/>
      <c r="QUT750" s="574"/>
      <c r="QUU750" s="574"/>
      <c r="QUV750" s="574"/>
      <c r="QUW750" s="574"/>
      <c r="QUX750" s="574"/>
      <c r="QUY750" s="574"/>
      <c r="QUZ750" s="574"/>
      <c r="QVA750" s="574"/>
      <c r="QVB750" s="574"/>
      <c r="QVC750" s="574"/>
      <c r="QVD750" s="574"/>
      <c r="QVE750" s="574"/>
      <c r="QVF750" s="574"/>
      <c r="QVG750" s="574"/>
      <c r="QVH750" s="574"/>
      <c r="QVI750" s="574"/>
      <c r="QVJ750" s="574"/>
      <c r="QVK750" s="574"/>
      <c r="QVL750" s="574"/>
      <c r="QVM750" s="574"/>
      <c r="QVN750" s="574"/>
      <c r="QVO750" s="574"/>
      <c r="QVP750" s="574"/>
      <c r="QVQ750" s="574"/>
      <c r="QVR750" s="574"/>
      <c r="QVS750" s="574"/>
      <c r="QVT750" s="574"/>
      <c r="QVU750" s="574"/>
      <c r="QVV750" s="574"/>
      <c r="QVW750" s="574"/>
      <c r="QVX750" s="574"/>
      <c r="QVY750" s="574"/>
      <c r="QVZ750" s="574"/>
      <c r="QWA750" s="574"/>
      <c r="QWB750" s="574"/>
      <c r="QWC750" s="574"/>
      <c r="QWD750" s="574"/>
      <c r="QWE750" s="574"/>
      <c r="QWF750" s="574"/>
      <c r="QWG750" s="574"/>
      <c r="QWH750" s="574"/>
      <c r="QWI750" s="574"/>
      <c r="QWJ750" s="574"/>
      <c r="QWK750" s="574"/>
      <c r="QWL750" s="574"/>
      <c r="QWM750" s="574"/>
      <c r="QWN750" s="574"/>
      <c r="QWO750" s="574"/>
      <c r="QWP750" s="574"/>
      <c r="QWQ750" s="574"/>
      <c r="QWR750" s="574"/>
      <c r="QWS750" s="574"/>
      <c r="QWT750" s="574"/>
      <c r="QWU750" s="574"/>
      <c r="QWV750" s="574"/>
      <c r="QWW750" s="574"/>
      <c r="QWX750" s="574"/>
      <c r="QWY750" s="574"/>
      <c r="QWZ750" s="574"/>
      <c r="QXA750" s="574"/>
      <c r="QXB750" s="574"/>
      <c r="QXC750" s="574"/>
      <c r="QXD750" s="574"/>
      <c r="QXE750" s="574"/>
      <c r="QXF750" s="574"/>
      <c r="QXG750" s="574"/>
      <c r="QXH750" s="574"/>
      <c r="QXI750" s="574"/>
      <c r="QXJ750" s="574"/>
      <c r="QXK750" s="574"/>
      <c r="QXL750" s="574"/>
      <c r="QXM750" s="574"/>
      <c r="QXN750" s="574"/>
      <c r="QXO750" s="574"/>
      <c r="QXP750" s="574"/>
      <c r="QXQ750" s="574"/>
      <c r="QXR750" s="574"/>
      <c r="QXS750" s="574"/>
      <c r="QXT750" s="574"/>
      <c r="QXU750" s="574"/>
      <c r="QXV750" s="574"/>
      <c r="QXW750" s="574"/>
      <c r="QXX750" s="574"/>
      <c r="QXY750" s="574"/>
      <c r="QXZ750" s="574"/>
      <c r="QYA750" s="574"/>
      <c r="QYB750" s="574"/>
      <c r="QYC750" s="574"/>
      <c r="QYD750" s="574"/>
      <c r="QYE750" s="574"/>
      <c r="QYF750" s="574"/>
      <c r="QYG750" s="574"/>
      <c r="QYH750" s="574"/>
      <c r="QYI750" s="574"/>
      <c r="QYJ750" s="574"/>
      <c r="QYK750" s="574"/>
      <c r="QYL750" s="574"/>
      <c r="QYM750" s="574"/>
      <c r="QYN750" s="574"/>
      <c r="QYO750" s="574"/>
      <c r="QYP750" s="574"/>
      <c r="QYQ750" s="574"/>
      <c r="QYR750" s="574"/>
      <c r="QYS750" s="574"/>
      <c r="QYT750" s="574"/>
      <c r="QYU750" s="574"/>
      <c r="QYV750" s="574"/>
      <c r="QYW750" s="574"/>
      <c r="QYX750" s="574"/>
      <c r="QYY750" s="574"/>
      <c r="QYZ750" s="574"/>
      <c r="QZA750" s="574"/>
      <c r="QZB750" s="574"/>
      <c r="QZC750" s="574"/>
      <c r="QZD750" s="574"/>
      <c r="QZE750" s="574"/>
      <c r="QZF750" s="574"/>
      <c r="QZG750" s="574"/>
      <c r="QZH750" s="574"/>
      <c r="QZI750" s="574"/>
      <c r="QZJ750" s="574"/>
      <c r="QZK750" s="574"/>
      <c r="QZL750" s="574"/>
      <c r="QZM750" s="574"/>
      <c r="QZN750" s="574"/>
      <c r="QZO750" s="574"/>
      <c r="QZP750" s="574"/>
      <c r="QZQ750" s="574"/>
      <c r="QZR750" s="574"/>
      <c r="QZS750" s="574"/>
      <c r="QZT750" s="574"/>
      <c r="QZU750" s="574"/>
      <c r="QZV750" s="574"/>
      <c r="QZW750" s="574"/>
      <c r="QZX750" s="574"/>
      <c r="QZY750" s="574"/>
      <c r="QZZ750" s="574"/>
      <c r="RAA750" s="574"/>
      <c r="RAB750" s="574"/>
      <c r="RAC750" s="574"/>
      <c r="RAD750" s="574"/>
      <c r="RAE750" s="574"/>
      <c r="RAF750" s="574"/>
      <c r="RAG750" s="574"/>
      <c r="RAH750" s="574"/>
      <c r="RAI750" s="574"/>
      <c r="RAJ750" s="574"/>
      <c r="RAK750" s="574"/>
      <c r="RAL750" s="574"/>
      <c r="RAM750" s="574"/>
      <c r="RAN750" s="574"/>
      <c r="RAO750" s="574"/>
      <c r="RAP750" s="574"/>
      <c r="RAQ750" s="574"/>
      <c r="RAR750" s="574"/>
      <c r="RAS750" s="574"/>
      <c r="RAT750" s="574"/>
      <c r="RAU750" s="574"/>
      <c r="RAV750" s="574"/>
      <c r="RAW750" s="574"/>
      <c r="RAX750" s="574"/>
      <c r="RAY750" s="574"/>
      <c r="RAZ750" s="574"/>
      <c r="RBA750" s="574"/>
      <c r="RBB750" s="574"/>
      <c r="RBC750" s="574"/>
      <c r="RBD750" s="574"/>
      <c r="RBE750" s="574"/>
      <c r="RBF750" s="574"/>
      <c r="RBG750" s="574"/>
      <c r="RBH750" s="574"/>
      <c r="RBI750" s="574"/>
      <c r="RBJ750" s="574"/>
      <c r="RBK750" s="574"/>
      <c r="RBL750" s="574"/>
      <c r="RBM750" s="574"/>
      <c r="RBN750" s="574"/>
      <c r="RBO750" s="574"/>
      <c r="RBP750" s="574"/>
      <c r="RBQ750" s="574"/>
      <c r="RBR750" s="574"/>
      <c r="RBS750" s="574"/>
      <c r="RBT750" s="574"/>
      <c r="RBU750" s="574"/>
      <c r="RBV750" s="574"/>
      <c r="RBW750" s="574"/>
      <c r="RBX750" s="574"/>
      <c r="RBY750" s="574"/>
      <c r="RBZ750" s="574"/>
      <c r="RCA750" s="574"/>
      <c r="RCB750" s="574"/>
      <c r="RCC750" s="574"/>
      <c r="RCD750" s="574"/>
      <c r="RCE750" s="574"/>
      <c r="RCF750" s="574"/>
      <c r="RCG750" s="574"/>
      <c r="RCH750" s="574"/>
      <c r="RCI750" s="574"/>
      <c r="RCJ750" s="574"/>
      <c r="RCK750" s="574"/>
      <c r="RCL750" s="574"/>
      <c r="RCM750" s="574"/>
      <c r="RCN750" s="574"/>
      <c r="RCO750" s="574"/>
      <c r="RCP750" s="574"/>
      <c r="RCQ750" s="574"/>
      <c r="RCR750" s="574"/>
      <c r="RCS750" s="574"/>
      <c r="RCT750" s="574"/>
      <c r="RCU750" s="574"/>
      <c r="RCV750" s="574"/>
      <c r="RCW750" s="574"/>
      <c r="RCX750" s="574"/>
      <c r="RCY750" s="574"/>
      <c r="RCZ750" s="574"/>
      <c r="RDA750" s="574"/>
      <c r="RDB750" s="574"/>
      <c r="RDC750" s="574"/>
      <c r="RDD750" s="574"/>
      <c r="RDE750" s="574"/>
      <c r="RDF750" s="574"/>
      <c r="RDG750" s="574"/>
      <c r="RDH750" s="574"/>
      <c r="RDI750" s="574"/>
      <c r="RDJ750" s="574"/>
      <c r="RDK750" s="574"/>
      <c r="RDL750" s="574"/>
      <c r="RDM750" s="574"/>
      <c r="RDN750" s="574"/>
      <c r="RDO750" s="574"/>
      <c r="RDP750" s="574"/>
      <c r="RDQ750" s="574"/>
      <c r="RDR750" s="574"/>
      <c r="RDS750" s="574"/>
      <c r="RDT750" s="574"/>
      <c r="RDU750" s="574"/>
      <c r="RDV750" s="574"/>
      <c r="RDW750" s="574"/>
      <c r="RDX750" s="574"/>
      <c r="RDY750" s="574"/>
      <c r="RDZ750" s="574"/>
      <c r="REA750" s="574"/>
      <c r="REB750" s="574"/>
      <c r="REC750" s="574"/>
      <c r="RED750" s="574"/>
      <c r="REE750" s="574"/>
      <c r="REF750" s="574"/>
      <c r="REG750" s="574"/>
      <c r="REH750" s="574"/>
      <c r="REI750" s="574"/>
      <c r="REJ750" s="574"/>
      <c r="REK750" s="574"/>
      <c r="REL750" s="574"/>
      <c r="REM750" s="574"/>
      <c r="REN750" s="574"/>
      <c r="REO750" s="574"/>
      <c r="REP750" s="574"/>
      <c r="REQ750" s="574"/>
      <c r="RER750" s="574"/>
      <c r="RES750" s="574"/>
      <c r="RET750" s="574"/>
      <c r="REU750" s="574"/>
      <c r="REV750" s="574"/>
      <c r="REW750" s="574"/>
      <c r="REX750" s="574"/>
      <c r="REY750" s="574"/>
      <c r="REZ750" s="574"/>
      <c r="RFA750" s="574"/>
      <c r="RFB750" s="574"/>
      <c r="RFC750" s="574"/>
      <c r="RFD750" s="574"/>
      <c r="RFE750" s="574"/>
      <c r="RFF750" s="574"/>
      <c r="RFG750" s="574"/>
      <c r="RFH750" s="574"/>
      <c r="RFI750" s="574"/>
      <c r="RFJ750" s="574"/>
      <c r="RFK750" s="574"/>
      <c r="RFL750" s="574"/>
      <c r="RFM750" s="574"/>
      <c r="RFN750" s="574"/>
      <c r="RFO750" s="574"/>
      <c r="RFP750" s="574"/>
      <c r="RFQ750" s="574"/>
      <c r="RFR750" s="574"/>
      <c r="RFS750" s="574"/>
      <c r="RFT750" s="574"/>
      <c r="RFU750" s="574"/>
      <c r="RFV750" s="574"/>
      <c r="RFW750" s="574"/>
      <c r="RFX750" s="574"/>
      <c r="RFY750" s="574"/>
      <c r="RFZ750" s="574"/>
      <c r="RGA750" s="574"/>
      <c r="RGB750" s="574"/>
      <c r="RGC750" s="574"/>
      <c r="RGD750" s="574"/>
      <c r="RGE750" s="574"/>
      <c r="RGF750" s="574"/>
      <c r="RGG750" s="574"/>
      <c r="RGH750" s="574"/>
      <c r="RGI750" s="574"/>
      <c r="RGJ750" s="574"/>
      <c r="RGK750" s="574"/>
      <c r="RGL750" s="574"/>
      <c r="RGM750" s="574"/>
      <c r="RGN750" s="574"/>
      <c r="RGO750" s="574"/>
      <c r="RGP750" s="574"/>
      <c r="RGQ750" s="574"/>
      <c r="RGR750" s="574"/>
      <c r="RGS750" s="574"/>
      <c r="RGT750" s="574"/>
      <c r="RGU750" s="574"/>
      <c r="RGV750" s="574"/>
      <c r="RGW750" s="574"/>
      <c r="RGX750" s="574"/>
      <c r="RGY750" s="574"/>
      <c r="RGZ750" s="574"/>
      <c r="RHA750" s="574"/>
      <c r="RHB750" s="574"/>
      <c r="RHC750" s="574"/>
      <c r="RHD750" s="574"/>
      <c r="RHE750" s="574"/>
      <c r="RHF750" s="574"/>
      <c r="RHG750" s="574"/>
      <c r="RHH750" s="574"/>
      <c r="RHI750" s="574"/>
      <c r="RHJ750" s="574"/>
      <c r="RHK750" s="574"/>
      <c r="RHL750" s="574"/>
      <c r="RHM750" s="574"/>
      <c r="RHN750" s="574"/>
      <c r="RHO750" s="574"/>
      <c r="RHP750" s="574"/>
      <c r="RHQ750" s="574"/>
      <c r="RHR750" s="574"/>
      <c r="RHS750" s="574"/>
      <c r="RHT750" s="574"/>
      <c r="RHU750" s="574"/>
      <c r="RHV750" s="574"/>
      <c r="RHW750" s="574"/>
      <c r="RHX750" s="574"/>
      <c r="RHY750" s="574"/>
      <c r="RHZ750" s="574"/>
      <c r="RIA750" s="574"/>
      <c r="RIB750" s="574"/>
      <c r="RIC750" s="574"/>
      <c r="RID750" s="574"/>
      <c r="RIE750" s="574"/>
      <c r="RIF750" s="574"/>
      <c r="RIG750" s="574"/>
      <c r="RIH750" s="574"/>
      <c r="RII750" s="574"/>
      <c r="RIJ750" s="574"/>
      <c r="RIK750" s="574"/>
      <c r="RIL750" s="574"/>
      <c r="RIM750" s="574"/>
      <c r="RIN750" s="574"/>
      <c r="RIO750" s="574"/>
      <c r="RIP750" s="574"/>
      <c r="RIQ750" s="574"/>
      <c r="RIR750" s="574"/>
      <c r="RIS750" s="574"/>
      <c r="RIT750" s="574"/>
      <c r="RIU750" s="574"/>
      <c r="RIV750" s="574"/>
      <c r="RIW750" s="574"/>
      <c r="RIX750" s="574"/>
      <c r="RIY750" s="574"/>
      <c r="RIZ750" s="574"/>
      <c r="RJA750" s="574"/>
      <c r="RJB750" s="574"/>
      <c r="RJC750" s="574"/>
      <c r="RJD750" s="574"/>
      <c r="RJE750" s="574"/>
      <c r="RJF750" s="574"/>
      <c r="RJG750" s="574"/>
      <c r="RJH750" s="574"/>
      <c r="RJI750" s="574"/>
      <c r="RJJ750" s="574"/>
      <c r="RJK750" s="574"/>
      <c r="RJL750" s="574"/>
      <c r="RJM750" s="574"/>
      <c r="RJN750" s="574"/>
      <c r="RJO750" s="574"/>
      <c r="RJP750" s="574"/>
      <c r="RJQ750" s="574"/>
      <c r="RJR750" s="574"/>
      <c r="RJS750" s="574"/>
      <c r="RJT750" s="574"/>
      <c r="RJU750" s="574"/>
      <c r="RJV750" s="574"/>
      <c r="RJW750" s="574"/>
      <c r="RJX750" s="574"/>
      <c r="RJY750" s="574"/>
      <c r="RJZ750" s="574"/>
      <c r="RKA750" s="574"/>
      <c r="RKB750" s="574"/>
      <c r="RKC750" s="574"/>
      <c r="RKD750" s="574"/>
      <c r="RKE750" s="574"/>
      <c r="RKF750" s="574"/>
      <c r="RKG750" s="574"/>
      <c r="RKH750" s="574"/>
      <c r="RKI750" s="574"/>
      <c r="RKJ750" s="574"/>
      <c r="RKK750" s="574"/>
      <c r="RKL750" s="574"/>
      <c r="RKM750" s="574"/>
      <c r="RKN750" s="574"/>
      <c r="RKO750" s="574"/>
      <c r="RKP750" s="574"/>
      <c r="RKQ750" s="574"/>
      <c r="RKR750" s="574"/>
      <c r="RKS750" s="574"/>
      <c r="RKT750" s="574"/>
      <c r="RKU750" s="574"/>
      <c r="RKV750" s="574"/>
      <c r="RKW750" s="574"/>
      <c r="RKX750" s="574"/>
      <c r="RKY750" s="574"/>
      <c r="RKZ750" s="574"/>
      <c r="RLA750" s="574"/>
      <c r="RLB750" s="574"/>
      <c r="RLC750" s="574"/>
      <c r="RLD750" s="574"/>
      <c r="RLE750" s="574"/>
      <c r="RLF750" s="574"/>
      <c r="RLG750" s="574"/>
      <c r="RLH750" s="574"/>
      <c r="RLI750" s="574"/>
      <c r="RLJ750" s="574"/>
      <c r="RLK750" s="574"/>
      <c r="RLL750" s="574"/>
      <c r="RLM750" s="574"/>
      <c r="RLN750" s="574"/>
      <c r="RLO750" s="574"/>
      <c r="RLP750" s="574"/>
      <c r="RLQ750" s="574"/>
      <c r="RLR750" s="574"/>
      <c r="RLS750" s="574"/>
      <c r="RLT750" s="574"/>
      <c r="RLU750" s="574"/>
      <c r="RLV750" s="574"/>
      <c r="RLW750" s="574"/>
      <c r="RLX750" s="574"/>
      <c r="RLY750" s="574"/>
      <c r="RLZ750" s="574"/>
      <c r="RMA750" s="574"/>
      <c r="RMB750" s="574"/>
      <c r="RMC750" s="574"/>
      <c r="RMD750" s="574"/>
      <c r="RME750" s="574"/>
      <c r="RMF750" s="574"/>
      <c r="RMG750" s="574"/>
      <c r="RMH750" s="574"/>
      <c r="RMI750" s="574"/>
      <c r="RMJ750" s="574"/>
      <c r="RMK750" s="574"/>
      <c r="RML750" s="574"/>
      <c r="RMM750" s="574"/>
      <c r="RMN750" s="574"/>
      <c r="RMO750" s="574"/>
      <c r="RMP750" s="574"/>
      <c r="RMQ750" s="574"/>
      <c r="RMR750" s="574"/>
      <c r="RMS750" s="574"/>
      <c r="RMT750" s="574"/>
      <c r="RMU750" s="574"/>
      <c r="RMV750" s="574"/>
      <c r="RMW750" s="574"/>
      <c r="RMX750" s="574"/>
      <c r="RMY750" s="574"/>
      <c r="RMZ750" s="574"/>
      <c r="RNA750" s="574"/>
      <c r="RNB750" s="574"/>
      <c r="RNC750" s="574"/>
      <c r="RND750" s="574"/>
      <c r="RNE750" s="574"/>
      <c r="RNF750" s="574"/>
      <c r="RNG750" s="574"/>
      <c r="RNH750" s="574"/>
      <c r="RNI750" s="574"/>
      <c r="RNJ750" s="574"/>
      <c r="RNK750" s="574"/>
      <c r="RNL750" s="574"/>
      <c r="RNM750" s="574"/>
      <c r="RNN750" s="574"/>
      <c r="RNO750" s="574"/>
      <c r="RNP750" s="574"/>
      <c r="RNQ750" s="574"/>
      <c r="RNR750" s="574"/>
      <c r="RNS750" s="574"/>
      <c r="RNT750" s="574"/>
      <c r="RNU750" s="574"/>
      <c r="RNV750" s="574"/>
      <c r="RNW750" s="574"/>
      <c r="RNX750" s="574"/>
      <c r="RNY750" s="574"/>
      <c r="RNZ750" s="574"/>
      <c r="ROA750" s="574"/>
      <c r="ROB750" s="574"/>
      <c r="ROC750" s="574"/>
      <c r="ROD750" s="574"/>
      <c r="ROE750" s="574"/>
      <c r="ROF750" s="574"/>
      <c r="ROG750" s="574"/>
      <c r="ROH750" s="574"/>
      <c r="ROI750" s="574"/>
      <c r="ROJ750" s="574"/>
      <c r="ROK750" s="574"/>
      <c r="ROL750" s="574"/>
      <c r="ROM750" s="574"/>
      <c r="RON750" s="574"/>
      <c r="ROO750" s="574"/>
      <c r="ROP750" s="574"/>
      <c r="ROQ750" s="574"/>
      <c r="ROR750" s="574"/>
      <c r="ROS750" s="574"/>
      <c r="ROT750" s="574"/>
      <c r="ROU750" s="574"/>
      <c r="ROV750" s="574"/>
      <c r="ROW750" s="574"/>
      <c r="ROX750" s="574"/>
      <c r="ROY750" s="574"/>
      <c r="ROZ750" s="574"/>
      <c r="RPA750" s="574"/>
      <c r="RPB750" s="574"/>
      <c r="RPC750" s="574"/>
      <c r="RPD750" s="574"/>
      <c r="RPE750" s="574"/>
      <c r="RPF750" s="574"/>
      <c r="RPG750" s="574"/>
      <c r="RPH750" s="574"/>
      <c r="RPI750" s="574"/>
      <c r="RPJ750" s="574"/>
      <c r="RPK750" s="574"/>
      <c r="RPL750" s="574"/>
      <c r="RPM750" s="574"/>
      <c r="RPN750" s="574"/>
      <c r="RPO750" s="574"/>
      <c r="RPP750" s="574"/>
      <c r="RPQ750" s="574"/>
      <c r="RPR750" s="574"/>
      <c r="RPS750" s="574"/>
      <c r="RPT750" s="574"/>
      <c r="RPU750" s="574"/>
      <c r="RPV750" s="574"/>
      <c r="RPW750" s="574"/>
      <c r="RPX750" s="574"/>
      <c r="RPY750" s="574"/>
      <c r="RPZ750" s="574"/>
      <c r="RQA750" s="574"/>
      <c r="RQB750" s="574"/>
      <c r="RQC750" s="574"/>
      <c r="RQD750" s="574"/>
      <c r="RQE750" s="574"/>
      <c r="RQF750" s="574"/>
      <c r="RQG750" s="574"/>
      <c r="RQH750" s="574"/>
      <c r="RQI750" s="574"/>
      <c r="RQJ750" s="574"/>
      <c r="RQK750" s="574"/>
      <c r="RQL750" s="574"/>
      <c r="RQM750" s="574"/>
      <c r="RQN750" s="574"/>
      <c r="RQO750" s="574"/>
      <c r="RQP750" s="574"/>
      <c r="RQQ750" s="574"/>
      <c r="RQR750" s="574"/>
      <c r="RQS750" s="574"/>
      <c r="RQT750" s="574"/>
      <c r="RQU750" s="574"/>
      <c r="RQV750" s="574"/>
      <c r="RQW750" s="574"/>
      <c r="RQX750" s="574"/>
      <c r="RQY750" s="574"/>
      <c r="RQZ750" s="574"/>
      <c r="RRA750" s="574"/>
      <c r="RRB750" s="574"/>
      <c r="RRC750" s="574"/>
      <c r="RRD750" s="574"/>
      <c r="RRE750" s="574"/>
      <c r="RRF750" s="574"/>
      <c r="RRG750" s="574"/>
      <c r="RRH750" s="574"/>
      <c r="RRI750" s="574"/>
      <c r="RRJ750" s="574"/>
      <c r="RRK750" s="574"/>
      <c r="RRL750" s="574"/>
      <c r="RRM750" s="574"/>
      <c r="RRN750" s="574"/>
      <c r="RRO750" s="574"/>
      <c r="RRP750" s="574"/>
      <c r="RRQ750" s="574"/>
      <c r="RRR750" s="574"/>
      <c r="RRS750" s="574"/>
      <c r="RRT750" s="574"/>
      <c r="RRU750" s="574"/>
      <c r="RRV750" s="574"/>
      <c r="RRW750" s="574"/>
      <c r="RRX750" s="574"/>
      <c r="RRY750" s="574"/>
      <c r="RRZ750" s="574"/>
      <c r="RSA750" s="574"/>
      <c r="RSB750" s="574"/>
      <c r="RSC750" s="574"/>
      <c r="RSD750" s="574"/>
      <c r="RSE750" s="574"/>
      <c r="RSF750" s="574"/>
      <c r="RSG750" s="574"/>
      <c r="RSH750" s="574"/>
      <c r="RSI750" s="574"/>
      <c r="RSJ750" s="574"/>
      <c r="RSK750" s="574"/>
      <c r="RSL750" s="574"/>
      <c r="RSM750" s="574"/>
      <c r="RSN750" s="574"/>
      <c r="RSO750" s="574"/>
      <c r="RSP750" s="574"/>
      <c r="RSQ750" s="574"/>
      <c r="RSR750" s="574"/>
      <c r="RSS750" s="574"/>
      <c r="RST750" s="574"/>
      <c r="RSU750" s="574"/>
      <c r="RSV750" s="574"/>
      <c r="RSW750" s="574"/>
      <c r="RSX750" s="574"/>
      <c r="RSY750" s="574"/>
      <c r="RSZ750" s="574"/>
      <c r="RTA750" s="574"/>
      <c r="RTB750" s="574"/>
      <c r="RTC750" s="574"/>
      <c r="RTD750" s="574"/>
      <c r="RTE750" s="574"/>
      <c r="RTF750" s="574"/>
      <c r="RTG750" s="574"/>
      <c r="RTH750" s="574"/>
      <c r="RTI750" s="574"/>
      <c r="RTJ750" s="574"/>
      <c r="RTK750" s="574"/>
      <c r="RTL750" s="574"/>
      <c r="RTM750" s="574"/>
      <c r="RTN750" s="574"/>
      <c r="RTO750" s="574"/>
      <c r="RTP750" s="574"/>
      <c r="RTQ750" s="574"/>
      <c r="RTR750" s="574"/>
      <c r="RTS750" s="574"/>
      <c r="RTT750" s="574"/>
      <c r="RTU750" s="574"/>
      <c r="RTV750" s="574"/>
      <c r="RTW750" s="574"/>
      <c r="RTX750" s="574"/>
      <c r="RTY750" s="574"/>
      <c r="RTZ750" s="574"/>
      <c r="RUA750" s="574"/>
      <c r="RUB750" s="574"/>
      <c r="RUC750" s="574"/>
      <c r="RUD750" s="574"/>
      <c r="RUE750" s="574"/>
      <c r="RUF750" s="574"/>
      <c r="RUG750" s="574"/>
      <c r="RUH750" s="574"/>
      <c r="RUI750" s="574"/>
      <c r="RUJ750" s="574"/>
      <c r="RUK750" s="574"/>
      <c r="RUL750" s="574"/>
      <c r="RUM750" s="574"/>
      <c r="RUN750" s="574"/>
      <c r="RUO750" s="574"/>
      <c r="RUP750" s="574"/>
      <c r="RUQ750" s="574"/>
      <c r="RUR750" s="574"/>
      <c r="RUS750" s="574"/>
      <c r="RUT750" s="574"/>
      <c r="RUU750" s="574"/>
      <c r="RUV750" s="574"/>
      <c r="RUW750" s="574"/>
      <c r="RUX750" s="574"/>
      <c r="RUY750" s="574"/>
      <c r="RUZ750" s="574"/>
      <c r="RVA750" s="574"/>
      <c r="RVB750" s="574"/>
      <c r="RVC750" s="574"/>
      <c r="RVD750" s="574"/>
      <c r="RVE750" s="574"/>
      <c r="RVF750" s="574"/>
      <c r="RVG750" s="574"/>
      <c r="RVH750" s="574"/>
      <c r="RVI750" s="574"/>
      <c r="RVJ750" s="574"/>
      <c r="RVK750" s="574"/>
      <c r="RVL750" s="574"/>
      <c r="RVM750" s="574"/>
      <c r="RVN750" s="574"/>
      <c r="RVO750" s="574"/>
      <c r="RVP750" s="574"/>
      <c r="RVQ750" s="574"/>
      <c r="RVR750" s="574"/>
      <c r="RVS750" s="574"/>
      <c r="RVT750" s="574"/>
      <c r="RVU750" s="574"/>
      <c r="RVV750" s="574"/>
      <c r="RVW750" s="574"/>
      <c r="RVX750" s="574"/>
      <c r="RVY750" s="574"/>
      <c r="RVZ750" s="574"/>
      <c r="RWA750" s="574"/>
      <c r="RWB750" s="574"/>
      <c r="RWC750" s="574"/>
      <c r="RWD750" s="574"/>
      <c r="RWE750" s="574"/>
      <c r="RWF750" s="574"/>
      <c r="RWG750" s="574"/>
      <c r="RWH750" s="574"/>
      <c r="RWI750" s="574"/>
      <c r="RWJ750" s="574"/>
      <c r="RWK750" s="574"/>
      <c r="RWL750" s="574"/>
      <c r="RWM750" s="574"/>
      <c r="RWN750" s="574"/>
      <c r="RWO750" s="574"/>
      <c r="RWP750" s="574"/>
      <c r="RWQ750" s="574"/>
      <c r="RWR750" s="574"/>
      <c r="RWS750" s="574"/>
      <c r="RWT750" s="574"/>
      <c r="RWU750" s="574"/>
      <c r="RWV750" s="574"/>
      <c r="RWW750" s="574"/>
      <c r="RWX750" s="574"/>
      <c r="RWY750" s="574"/>
      <c r="RWZ750" s="574"/>
      <c r="RXA750" s="574"/>
      <c r="RXB750" s="574"/>
      <c r="RXC750" s="574"/>
      <c r="RXD750" s="574"/>
      <c r="RXE750" s="574"/>
      <c r="RXF750" s="574"/>
      <c r="RXG750" s="574"/>
      <c r="RXH750" s="574"/>
      <c r="RXI750" s="574"/>
      <c r="RXJ750" s="574"/>
      <c r="RXK750" s="574"/>
      <c r="RXL750" s="574"/>
      <c r="RXM750" s="574"/>
      <c r="RXN750" s="574"/>
      <c r="RXO750" s="574"/>
      <c r="RXP750" s="574"/>
      <c r="RXQ750" s="574"/>
      <c r="RXR750" s="574"/>
      <c r="RXS750" s="574"/>
      <c r="RXT750" s="574"/>
      <c r="RXU750" s="574"/>
      <c r="RXV750" s="574"/>
      <c r="RXW750" s="574"/>
      <c r="RXX750" s="574"/>
      <c r="RXY750" s="574"/>
      <c r="RXZ750" s="574"/>
      <c r="RYA750" s="574"/>
      <c r="RYB750" s="574"/>
      <c r="RYC750" s="574"/>
      <c r="RYD750" s="574"/>
      <c r="RYE750" s="574"/>
      <c r="RYF750" s="574"/>
      <c r="RYG750" s="574"/>
      <c r="RYH750" s="574"/>
      <c r="RYI750" s="574"/>
      <c r="RYJ750" s="574"/>
      <c r="RYK750" s="574"/>
      <c r="RYL750" s="574"/>
      <c r="RYM750" s="574"/>
      <c r="RYN750" s="574"/>
      <c r="RYO750" s="574"/>
      <c r="RYP750" s="574"/>
      <c r="RYQ750" s="574"/>
      <c r="RYR750" s="574"/>
      <c r="RYS750" s="574"/>
      <c r="RYT750" s="574"/>
      <c r="RYU750" s="574"/>
      <c r="RYV750" s="574"/>
      <c r="RYW750" s="574"/>
      <c r="RYX750" s="574"/>
      <c r="RYY750" s="574"/>
      <c r="RYZ750" s="574"/>
      <c r="RZA750" s="574"/>
      <c r="RZB750" s="574"/>
      <c r="RZC750" s="574"/>
      <c r="RZD750" s="574"/>
      <c r="RZE750" s="574"/>
      <c r="RZF750" s="574"/>
      <c r="RZG750" s="574"/>
      <c r="RZH750" s="574"/>
      <c r="RZI750" s="574"/>
      <c r="RZJ750" s="574"/>
      <c r="RZK750" s="574"/>
      <c r="RZL750" s="574"/>
      <c r="RZM750" s="574"/>
      <c r="RZN750" s="574"/>
      <c r="RZO750" s="574"/>
      <c r="RZP750" s="574"/>
      <c r="RZQ750" s="574"/>
      <c r="RZR750" s="574"/>
      <c r="RZS750" s="574"/>
      <c r="RZT750" s="574"/>
      <c r="RZU750" s="574"/>
      <c r="RZV750" s="574"/>
      <c r="RZW750" s="574"/>
      <c r="RZX750" s="574"/>
      <c r="RZY750" s="574"/>
      <c r="RZZ750" s="574"/>
      <c r="SAA750" s="574"/>
      <c r="SAB750" s="574"/>
      <c r="SAC750" s="574"/>
      <c r="SAD750" s="574"/>
      <c r="SAE750" s="574"/>
      <c r="SAF750" s="574"/>
      <c r="SAG750" s="574"/>
      <c r="SAH750" s="574"/>
      <c r="SAI750" s="574"/>
      <c r="SAJ750" s="574"/>
      <c r="SAK750" s="574"/>
      <c r="SAL750" s="574"/>
      <c r="SAM750" s="574"/>
      <c r="SAN750" s="574"/>
      <c r="SAO750" s="574"/>
      <c r="SAP750" s="574"/>
      <c r="SAQ750" s="574"/>
      <c r="SAR750" s="574"/>
      <c r="SAS750" s="574"/>
      <c r="SAT750" s="574"/>
      <c r="SAU750" s="574"/>
      <c r="SAV750" s="574"/>
      <c r="SAW750" s="574"/>
      <c r="SAX750" s="574"/>
      <c r="SAY750" s="574"/>
      <c r="SAZ750" s="574"/>
      <c r="SBA750" s="574"/>
      <c r="SBB750" s="574"/>
      <c r="SBC750" s="574"/>
      <c r="SBD750" s="574"/>
      <c r="SBE750" s="574"/>
      <c r="SBF750" s="574"/>
      <c r="SBG750" s="574"/>
      <c r="SBH750" s="574"/>
      <c r="SBI750" s="574"/>
      <c r="SBJ750" s="574"/>
      <c r="SBK750" s="574"/>
      <c r="SBL750" s="574"/>
      <c r="SBM750" s="574"/>
      <c r="SBN750" s="574"/>
      <c r="SBO750" s="574"/>
      <c r="SBP750" s="574"/>
      <c r="SBQ750" s="574"/>
      <c r="SBR750" s="574"/>
      <c r="SBS750" s="574"/>
      <c r="SBT750" s="574"/>
      <c r="SBU750" s="574"/>
      <c r="SBV750" s="574"/>
      <c r="SBW750" s="574"/>
      <c r="SBX750" s="574"/>
      <c r="SBY750" s="574"/>
      <c r="SBZ750" s="574"/>
      <c r="SCA750" s="574"/>
      <c r="SCB750" s="574"/>
      <c r="SCC750" s="574"/>
      <c r="SCD750" s="574"/>
      <c r="SCE750" s="574"/>
      <c r="SCF750" s="574"/>
      <c r="SCG750" s="574"/>
      <c r="SCH750" s="574"/>
      <c r="SCI750" s="574"/>
      <c r="SCJ750" s="574"/>
      <c r="SCK750" s="574"/>
      <c r="SCL750" s="574"/>
      <c r="SCM750" s="574"/>
      <c r="SCN750" s="574"/>
      <c r="SCO750" s="574"/>
      <c r="SCP750" s="574"/>
      <c r="SCQ750" s="574"/>
      <c r="SCR750" s="574"/>
      <c r="SCS750" s="574"/>
      <c r="SCT750" s="574"/>
      <c r="SCU750" s="574"/>
      <c r="SCV750" s="574"/>
      <c r="SCW750" s="574"/>
      <c r="SCX750" s="574"/>
      <c r="SCY750" s="574"/>
      <c r="SCZ750" s="574"/>
      <c r="SDA750" s="574"/>
      <c r="SDB750" s="574"/>
      <c r="SDC750" s="574"/>
      <c r="SDD750" s="574"/>
      <c r="SDE750" s="574"/>
      <c r="SDF750" s="574"/>
      <c r="SDG750" s="574"/>
      <c r="SDH750" s="574"/>
      <c r="SDI750" s="574"/>
      <c r="SDJ750" s="574"/>
      <c r="SDK750" s="574"/>
      <c r="SDL750" s="574"/>
      <c r="SDM750" s="574"/>
      <c r="SDN750" s="574"/>
      <c r="SDO750" s="574"/>
      <c r="SDP750" s="574"/>
      <c r="SDQ750" s="574"/>
      <c r="SDR750" s="574"/>
      <c r="SDS750" s="574"/>
      <c r="SDT750" s="574"/>
      <c r="SDU750" s="574"/>
      <c r="SDV750" s="574"/>
      <c r="SDW750" s="574"/>
      <c r="SDX750" s="574"/>
      <c r="SDY750" s="574"/>
      <c r="SDZ750" s="574"/>
      <c r="SEA750" s="574"/>
      <c r="SEB750" s="574"/>
      <c r="SEC750" s="574"/>
      <c r="SED750" s="574"/>
      <c r="SEE750" s="574"/>
      <c r="SEF750" s="574"/>
      <c r="SEG750" s="574"/>
      <c r="SEH750" s="574"/>
      <c r="SEI750" s="574"/>
      <c r="SEJ750" s="574"/>
      <c r="SEK750" s="574"/>
      <c r="SEL750" s="574"/>
      <c r="SEM750" s="574"/>
      <c r="SEN750" s="574"/>
      <c r="SEO750" s="574"/>
      <c r="SEP750" s="574"/>
      <c r="SEQ750" s="574"/>
      <c r="SER750" s="574"/>
      <c r="SES750" s="574"/>
      <c r="SET750" s="574"/>
      <c r="SEU750" s="574"/>
      <c r="SEV750" s="574"/>
      <c r="SEW750" s="574"/>
      <c r="SEX750" s="574"/>
      <c r="SEY750" s="574"/>
      <c r="SEZ750" s="574"/>
      <c r="SFA750" s="574"/>
      <c r="SFB750" s="574"/>
      <c r="SFC750" s="574"/>
      <c r="SFD750" s="574"/>
      <c r="SFE750" s="574"/>
      <c r="SFF750" s="574"/>
      <c r="SFG750" s="574"/>
      <c r="SFH750" s="574"/>
      <c r="SFI750" s="574"/>
      <c r="SFJ750" s="574"/>
      <c r="SFK750" s="574"/>
      <c r="SFL750" s="574"/>
      <c r="SFM750" s="574"/>
      <c r="SFN750" s="574"/>
      <c r="SFO750" s="574"/>
      <c r="SFP750" s="574"/>
      <c r="SFQ750" s="574"/>
      <c r="SFR750" s="574"/>
      <c r="SFS750" s="574"/>
      <c r="SFT750" s="574"/>
      <c r="SFU750" s="574"/>
      <c r="SFV750" s="574"/>
      <c r="SFW750" s="574"/>
      <c r="SFX750" s="574"/>
      <c r="SFY750" s="574"/>
      <c r="SFZ750" s="574"/>
      <c r="SGA750" s="574"/>
      <c r="SGB750" s="574"/>
      <c r="SGC750" s="574"/>
      <c r="SGD750" s="574"/>
      <c r="SGE750" s="574"/>
      <c r="SGF750" s="574"/>
      <c r="SGG750" s="574"/>
      <c r="SGH750" s="574"/>
      <c r="SGI750" s="574"/>
      <c r="SGJ750" s="574"/>
      <c r="SGK750" s="574"/>
      <c r="SGL750" s="574"/>
      <c r="SGM750" s="574"/>
      <c r="SGN750" s="574"/>
      <c r="SGO750" s="574"/>
      <c r="SGP750" s="574"/>
      <c r="SGQ750" s="574"/>
      <c r="SGR750" s="574"/>
      <c r="SGS750" s="574"/>
      <c r="SGT750" s="574"/>
      <c r="SGU750" s="574"/>
      <c r="SGV750" s="574"/>
      <c r="SGW750" s="574"/>
      <c r="SGX750" s="574"/>
      <c r="SGY750" s="574"/>
      <c r="SGZ750" s="574"/>
      <c r="SHA750" s="574"/>
      <c r="SHB750" s="574"/>
      <c r="SHC750" s="574"/>
      <c r="SHD750" s="574"/>
      <c r="SHE750" s="574"/>
      <c r="SHF750" s="574"/>
      <c r="SHG750" s="574"/>
      <c r="SHH750" s="574"/>
      <c r="SHI750" s="574"/>
      <c r="SHJ750" s="574"/>
      <c r="SHK750" s="574"/>
      <c r="SHL750" s="574"/>
      <c r="SHM750" s="574"/>
      <c r="SHN750" s="574"/>
      <c r="SHO750" s="574"/>
      <c r="SHP750" s="574"/>
      <c r="SHQ750" s="574"/>
      <c r="SHR750" s="574"/>
      <c r="SHS750" s="574"/>
      <c r="SHT750" s="574"/>
      <c r="SHU750" s="574"/>
      <c r="SHV750" s="574"/>
      <c r="SHW750" s="574"/>
      <c r="SHX750" s="574"/>
      <c r="SHY750" s="574"/>
      <c r="SHZ750" s="574"/>
      <c r="SIA750" s="574"/>
      <c r="SIB750" s="574"/>
      <c r="SIC750" s="574"/>
      <c r="SID750" s="574"/>
      <c r="SIE750" s="574"/>
      <c r="SIF750" s="574"/>
      <c r="SIG750" s="574"/>
      <c r="SIH750" s="574"/>
      <c r="SII750" s="574"/>
      <c r="SIJ750" s="574"/>
      <c r="SIK750" s="574"/>
      <c r="SIL750" s="574"/>
      <c r="SIM750" s="574"/>
      <c r="SIN750" s="574"/>
      <c r="SIO750" s="574"/>
      <c r="SIP750" s="574"/>
      <c r="SIQ750" s="574"/>
      <c r="SIR750" s="574"/>
      <c r="SIS750" s="574"/>
      <c r="SIT750" s="574"/>
      <c r="SIU750" s="574"/>
      <c r="SIV750" s="574"/>
      <c r="SIW750" s="574"/>
      <c r="SIX750" s="574"/>
      <c r="SIY750" s="574"/>
      <c r="SIZ750" s="574"/>
      <c r="SJA750" s="574"/>
      <c r="SJB750" s="574"/>
      <c r="SJC750" s="574"/>
      <c r="SJD750" s="574"/>
      <c r="SJE750" s="574"/>
      <c r="SJF750" s="574"/>
      <c r="SJG750" s="574"/>
      <c r="SJH750" s="574"/>
      <c r="SJI750" s="574"/>
      <c r="SJJ750" s="574"/>
      <c r="SJK750" s="574"/>
      <c r="SJL750" s="574"/>
      <c r="SJM750" s="574"/>
      <c r="SJN750" s="574"/>
      <c r="SJO750" s="574"/>
      <c r="SJP750" s="574"/>
      <c r="SJQ750" s="574"/>
      <c r="SJR750" s="574"/>
      <c r="SJS750" s="574"/>
      <c r="SJT750" s="574"/>
      <c r="SJU750" s="574"/>
      <c r="SJV750" s="574"/>
      <c r="SJW750" s="574"/>
      <c r="SJX750" s="574"/>
      <c r="SJY750" s="574"/>
      <c r="SJZ750" s="574"/>
      <c r="SKA750" s="574"/>
      <c r="SKB750" s="574"/>
      <c r="SKC750" s="574"/>
      <c r="SKD750" s="574"/>
      <c r="SKE750" s="574"/>
      <c r="SKF750" s="574"/>
      <c r="SKG750" s="574"/>
      <c r="SKH750" s="574"/>
      <c r="SKI750" s="574"/>
      <c r="SKJ750" s="574"/>
      <c r="SKK750" s="574"/>
      <c r="SKL750" s="574"/>
      <c r="SKM750" s="574"/>
      <c r="SKN750" s="574"/>
      <c r="SKO750" s="574"/>
      <c r="SKP750" s="574"/>
      <c r="SKQ750" s="574"/>
      <c r="SKR750" s="574"/>
      <c r="SKS750" s="574"/>
      <c r="SKT750" s="574"/>
      <c r="SKU750" s="574"/>
      <c r="SKV750" s="574"/>
      <c r="SKW750" s="574"/>
      <c r="SKX750" s="574"/>
      <c r="SKY750" s="574"/>
      <c r="SKZ750" s="574"/>
      <c r="SLA750" s="574"/>
      <c r="SLB750" s="574"/>
      <c r="SLC750" s="574"/>
      <c r="SLD750" s="574"/>
      <c r="SLE750" s="574"/>
      <c r="SLF750" s="574"/>
      <c r="SLG750" s="574"/>
      <c r="SLH750" s="574"/>
      <c r="SLI750" s="574"/>
      <c r="SLJ750" s="574"/>
      <c r="SLK750" s="574"/>
      <c r="SLL750" s="574"/>
      <c r="SLM750" s="574"/>
      <c r="SLN750" s="574"/>
      <c r="SLO750" s="574"/>
      <c r="SLP750" s="574"/>
      <c r="SLQ750" s="574"/>
      <c r="SLR750" s="574"/>
      <c r="SLS750" s="574"/>
      <c r="SLT750" s="574"/>
      <c r="SLU750" s="574"/>
      <c r="SLV750" s="574"/>
      <c r="SLW750" s="574"/>
      <c r="SLX750" s="574"/>
      <c r="SLY750" s="574"/>
      <c r="SLZ750" s="574"/>
      <c r="SMA750" s="574"/>
      <c r="SMB750" s="574"/>
      <c r="SMC750" s="574"/>
      <c r="SMD750" s="574"/>
      <c r="SME750" s="574"/>
      <c r="SMF750" s="574"/>
      <c r="SMG750" s="574"/>
      <c r="SMH750" s="574"/>
      <c r="SMI750" s="574"/>
      <c r="SMJ750" s="574"/>
      <c r="SMK750" s="574"/>
      <c r="SML750" s="574"/>
      <c r="SMM750" s="574"/>
      <c r="SMN750" s="574"/>
      <c r="SMO750" s="574"/>
      <c r="SMP750" s="574"/>
      <c r="SMQ750" s="574"/>
      <c r="SMR750" s="574"/>
      <c r="SMS750" s="574"/>
      <c r="SMT750" s="574"/>
      <c r="SMU750" s="574"/>
      <c r="SMV750" s="574"/>
      <c r="SMW750" s="574"/>
      <c r="SMX750" s="574"/>
      <c r="SMY750" s="574"/>
      <c r="SMZ750" s="574"/>
      <c r="SNA750" s="574"/>
      <c r="SNB750" s="574"/>
      <c r="SNC750" s="574"/>
      <c r="SND750" s="574"/>
      <c r="SNE750" s="574"/>
      <c r="SNF750" s="574"/>
      <c r="SNG750" s="574"/>
      <c r="SNH750" s="574"/>
      <c r="SNI750" s="574"/>
      <c r="SNJ750" s="574"/>
      <c r="SNK750" s="574"/>
      <c r="SNL750" s="574"/>
      <c r="SNM750" s="574"/>
      <c r="SNN750" s="574"/>
      <c r="SNO750" s="574"/>
      <c r="SNP750" s="574"/>
      <c r="SNQ750" s="574"/>
      <c r="SNR750" s="574"/>
      <c r="SNS750" s="574"/>
      <c r="SNT750" s="574"/>
      <c r="SNU750" s="574"/>
      <c r="SNV750" s="574"/>
      <c r="SNW750" s="574"/>
      <c r="SNX750" s="574"/>
      <c r="SNY750" s="574"/>
      <c r="SNZ750" s="574"/>
      <c r="SOA750" s="574"/>
      <c r="SOB750" s="574"/>
      <c r="SOC750" s="574"/>
      <c r="SOD750" s="574"/>
      <c r="SOE750" s="574"/>
      <c r="SOF750" s="574"/>
      <c r="SOG750" s="574"/>
      <c r="SOH750" s="574"/>
      <c r="SOI750" s="574"/>
      <c r="SOJ750" s="574"/>
      <c r="SOK750" s="574"/>
      <c r="SOL750" s="574"/>
      <c r="SOM750" s="574"/>
      <c r="SON750" s="574"/>
      <c r="SOO750" s="574"/>
      <c r="SOP750" s="574"/>
      <c r="SOQ750" s="574"/>
      <c r="SOR750" s="574"/>
      <c r="SOS750" s="574"/>
      <c r="SOT750" s="574"/>
      <c r="SOU750" s="574"/>
      <c r="SOV750" s="574"/>
      <c r="SOW750" s="574"/>
      <c r="SOX750" s="574"/>
      <c r="SOY750" s="574"/>
      <c r="SOZ750" s="574"/>
      <c r="SPA750" s="574"/>
      <c r="SPB750" s="574"/>
      <c r="SPC750" s="574"/>
      <c r="SPD750" s="574"/>
      <c r="SPE750" s="574"/>
      <c r="SPF750" s="574"/>
      <c r="SPG750" s="574"/>
      <c r="SPH750" s="574"/>
      <c r="SPI750" s="574"/>
      <c r="SPJ750" s="574"/>
      <c r="SPK750" s="574"/>
      <c r="SPL750" s="574"/>
      <c r="SPM750" s="574"/>
      <c r="SPN750" s="574"/>
      <c r="SPO750" s="574"/>
      <c r="SPP750" s="574"/>
      <c r="SPQ750" s="574"/>
      <c r="SPR750" s="574"/>
      <c r="SPS750" s="574"/>
      <c r="SPT750" s="574"/>
      <c r="SPU750" s="574"/>
      <c r="SPV750" s="574"/>
      <c r="SPW750" s="574"/>
      <c r="SPX750" s="574"/>
      <c r="SPY750" s="574"/>
      <c r="SPZ750" s="574"/>
      <c r="SQA750" s="574"/>
      <c r="SQB750" s="574"/>
      <c r="SQC750" s="574"/>
      <c r="SQD750" s="574"/>
      <c r="SQE750" s="574"/>
      <c r="SQF750" s="574"/>
      <c r="SQG750" s="574"/>
      <c r="SQH750" s="574"/>
      <c r="SQI750" s="574"/>
      <c r="SQJ750" s="574"/>
      <c r="SQK750" s="574"/>
      <c r="SQL750" s="574"/>
      <c r="SQM750" s="574"/>
      <c r="SQN750" s="574"/>
      <c r="SQO750" s="574"/>
      <c r="SQP750" s="574"/>
      <c r="SQQ750" s="574"/>
      <c r="SQR750" s="574"/>
      <c r="SQS750" s="574"/>
      <c r="SQT750" s="574"/>
      <c r="SQU750" s="574"/>
      <c r="SQV750" s="574"/>
      <c r="SQW750" s="574"/>
      <c r="SQX750" s="574"/>
      <c r="SQY750" s="574"/>
      <c r="SQZ750" s="574"/>
      <c r="SRA750" s="574"/>
      <c r="SRB750" s="574"/>
      <c r="SRC750" s="574"/>
      <c r="SRD750" s="574"/>
      <c r="SRE750" s="574"/>
      <c r="SRF750" s="574"/>
      <c r="SRG750" s="574"/>
      <c r="SRH750" s="574"/>
      <c r="SRI750" s="574"/>
      <c r="SRJ750" s="574"/>
      <c r="SRK750" s="574"/>
      <c r="SRL750" s="574"/>
      <c r="SRM750" s="574"/>
      <c r="SRN750" s="574"/>
      <c r="SRO750" s="574"/>
      <c r="SRP750" s="574"/>
      <c r="SRQ750" s="574"/>
      <c r="SRR750" s="574"/>
      <c r="SRS750" s="574"/>
      <c r="SRT750" s="574"/>
      <c r="SRU750" s="574"/>
      <c r="SRV750" s="574"/>
      <c r="SRW750" s="574"/>
      <c r="SRX750" s="574"/>
      <c r="SRY750" s="574"/>
      <c r="SRZ750" s="574"/>
      <c r="SSA750" s="574"/>
      <c r="SSB750" s="574"/>
      <c r="SSC750" s="574"/>
      <c r="SSD750" s="574"/>
      <c r="SSE750" s="574"/>
      <c r="SSF750" s="574"/>
      <c r="SSG750" s="574"/>
      <c r="SSH750" s="574"/>
      <c r="SSI750" s="574"/>
      <c r="SSJ750" s="574"/>
      <c r="SSK750" s="574"/>
      <c r="SSL750" s="574"/>
      <c r="SSM750" s="574"/>
      <c r="SSN750" s="574"/>
      <c r="SSO750" s="574"/>
      <c r="SSP750" s="574"/>
      <c r="SSQ750" s="574"/>
      <c r="SSR750" s="574"/>
      <c r="SSS750" s="574"/>
      <c r="SST750" s="574"/>
      <c r="SSU750" s="574"/>
      <c r="SSV750" s="574"/>
      <c r="SSW750" s="574"/>
      <c r="SSX750" s="574"/>
      <c r="SSY750" s="574"/>
      <c r="SSZ750" s="574"/>
      <c r="STA750" s="574"/>
      <c r="STB750" s="574"/>
      <c r="STC750" s="574"/>
      <c r="STD750" s="574"/>
      <c r="STE750" s="574"/>
      <c r="STF750" s="574"/>
      <c r="STG750" s="574"/>
      <c r="STH750" s="574"/>
      <c r="STI750" s="574"/>
      <c r="STJ750" s="574"/>
      <c r="STK750" s="574"/>
      <c r="STL750" s="574"/>
      <c r="STM750" s="574"/>
      <c r="STN750" s="574"/>
      <c r="STO750" s="574"/>
      <c r="STP750" s="574"/>
      <c r="STQ750" s="574"/>
      <c r="STR750" s="574"/>
      <c r="STS750" s="574"/>
      <c r="STT750" s="574"/>
      <c r="STU750" s="574"/>
      <c r="STV750" s="574"/>
      <c r="STW750" s="574"/>
      <c r="STX750" s="574"/>
      <c r="STY750" s="574"/>
      <c r="STZ750" s="574"/>
      <c r="SUA750" s="574"/>
      <c r="SUB750" s="574"/>
      <c r="SUC750" s="574"/>
      <c r="SUD750" s="574"/>
      <c r="SUE750" s="574"/>
      <c r="SUF750" s="574"/>
      <c r="SUG750" s="574"/>
      <c r="SUH750" s="574"/>
      <c r="SUI750" s="574"/>
      <c r="SUJ750" s="574"/>
      <c r="SUK750" s="574"/>
      <c r="SUL750" s="574"/>
      <c r="SUM750" s="574"/>
      <c r="SUN750" s="574"/>
      <c r="SUO750" s="574"/>
      <c r="SUP750" s="574"/>
      <c r="SUQ750" s="574"/>
      <c r="SUR750" s="574"/>
      <c r="SUS750" s="574"/>
      <c r="SUT750" s="574"/>
      <c r="SUU750" s="574"/>
      <c r="SUV750" s="574"/>
      <c r="SUW750" s="574"/>
      <c r="SUX750" s="574"/>
      <c r="SUY750" s="574"/>
      <c r="SUZ750" s="574"/>
      <c r="SVA750" s="574"/>
      <c r="SVB750" s="574"/>
      <c r="SVC750" s="574"/>
      <c r="SVD750" s="574"/>
      <c r="SVE750" s="574"/>
      <c r="SVF750" s="574"/>
      <c r="SVG750" s="574"/>
      <c r="SVH750" s="574"/>
      <c r="SVI750" s="574"/>
      <c r="SVJ750" s="574"/>
      <c r="SVK750" s="574"/>
      <c r="SVL750" s="574"/>
      <c r="SVM750" s="574"/>
      <c r="SVN750" s="574"/>
      <c r="SVO750" s="574"/>
      <c r="SVP750" s="574"/>
      <c r="SVQ750" s="574"/>
      <c r="SVR750" s="574"/>
      <c r="SVS750" s="574"/>
      <c r="SVT750" s="574"/>
      <c r="SVU750" s="574"/>
      <c r="SVV750" s="574"/>
      <c r="SVW750" s="574"/>
      <c r="SVX750" s="574"/>
      <c r="SVY750" s="574"/>
      <c r="SVZ750" s="574"/>
      <c r="SWA750" s="574"/>
      <c r="SWB750" s="574"/>
      <c r="SWC750" s="574"/>
      <c r="SWD750" s="574"/>
      <c r="SWE750" s="574"/>
      <c r="SWF750" s="574"/>
      <c r="SWG750" s="574"/>
      <c r="SWH750" s="574"/>
      <c r="SWI750" s="574"/>
      <c r="SWJ750" s="574"/>
      <c r="SWK750" s="574"/>
      <c r="SWL750" s="574"/>
      <c r="SWM750" s="574"/>
      <c r="SWN750" s="574"/>
      <c r="SWO750" s="574"/>
      <c r="SWP750" s="574"/>
      <c r="SWQ750" s="574"/>
      <c r="SWR750" s="574"/>
      <c r="SWS750" s="574"/>
      <c r="SWT750" s="574"/>
      <c r="SWU750" s="574"/>
      <c r="SWV750" s="574"/>
      <c r="SWW750" s="574"/>
      <c r="SWX750" s="574"/>
      <c r="SWY750" s="574"/>
      <c r="SWZ750" s="574"/>
      <c r="SXA750" s="574"/>
      <c r="SXB750" s="574"/>
      <c r="SXC750" s="574"/>
      <c r="SXD750" s="574"/>
      <c r="SXE750" s="574"/>
      <c r="SXF750" s="574"/>
      <c r="SXG750" s="574"/>
      <c r="SXH750" s="574"/>
      <c r="SXI750" s="574"/>
      <c r="SXJ750" s="574"/>
      <c r="SXK750" s="574"/>
      <c r="SXL750" s="574"/>
      <c r="SXM750" s="574"/>
      <c r="SXN750" s="574"/>
      <c r="SXO750" s="574"/>
      <c r="SXP750" s="574"/>
      <c r="SXQ750" s="574"/>
      <c r="SXR750" s="574"/>
      <c r="SXS750" s="574"/>
      <c r="SXT750" s="574"/>
      <c r="SXU750" s="574"/>
      <c r="SXV750" s="574"/>
      <c r="SXW750" s="574"/>
      <c r="SXX750" s="574"/>
      <c r="SXY750" s="574"/>
      <c r="SXZ750" s="574"/>
      <c r="SYA750" s="574"/>
      <c r="SYB750" s="574"/>
      <c r="SYC750" s="574"/>
      <c r="SYD750" s="574"/>
      <c r="SYE750" s="574"/>
      <c r="SYF750" s="574"/>
      <c r="SYG750" s="574"/>
      <c r="SYH750" s="574"/>
      <c r="SYI750" s="574"/>
      <c r="SYJ750" s="574"/>
      <c r="SYK750" s="574"/>
      <c r="SYL750" s="574"/>
      <c r="SYM750" s="574"/>
      <c r="SYN750" s="574"/>
      <c r="SYO750" s="574"/>
      <c r="SYP750" s="574"/>
      <c r="SYQ750" s="574"/>
      <c r="SYR750" s="574"/>
      <c r="SYS750" s="574"/>
      <c r="SYT750" s="574"/>
      <c r="SYU750" s="574"/>
      <c r="SYV750" s="574"/>
      <c r="SYW750" s="574"/>
      <c r="SYX750" s="574"/>
      <c r="SYY750" s="574"/>
      <c r="SYZ750" s="574"/>
      <c r="SZA750" s="574"/>
      <c r="SZB750" s="574"/>
      <c r="SZC750" s="574"/>
      <c r="SZD750" s="574"/>
      <c r="SZE750" s="574"/>
      <c r="SZF750" s="574"/>
      <c r="SZG750" s="574"/>
      <c r="SZH750" s="574"/>
      <c r="SZI750" s="574"/>
      <c r="SZJ750" s="574"/>
      <c r="SZK750" s="574"/>
      <c r="SZL750" s="574"/>
      <c r="SZM750" s="574"/>
      <c r="SZN750" s="574"/>
      <c r="SZO750" s="574"/>
      <c r="SZP750" s="574"/>
      <c r="SZQ750" s="574"/>
      <c r="SZR750" s="574"/>
      <c r="SZS750" s="574"/>
      <c r="SZT750" s="574"/>
      <c r="SZU750" s="574"/>
      <c r="SZV750" s="574"/>
      <c r="SZW750" s="574"/>
      <c r="SZX750" s="574"/>
      <c r="SZY750" s="574"/>
      <c r="SZZ750" s="574"/>
      <c r="TAA750" s="574"/>
      <c r="TAB750" s="574"/>
      <c r="TAC750" s="574"/>
      <c r="TAD750" s="574"/>
      <c r="TAE750" s="574"/>
      <c r="TAF750" s="574"/>
      <c r="TAG750" s="574"/>
      <c r="TAH750" s="574"/>
      <c r="TAI750" s="574"/>
      <c r="TAJ750" s="574"/>
      <c r="TAK750" s="574"/>
      <c r="TAL750" s="574"/>
      <c r="TAM750" s="574"/>
      <c r="TAN750" s="574"/>
      <c r="TAO750" s="574"/>
      <c r="TAP750" s="574"/>
      <c r="TAQ750" s="574"/>
      <c r="TAR750" s="574"/>
      <c r="TAS750" s="574"/>
      <c r="TAT750" s="574"/>
      <c r="TAU750" s="574"/>
      <c r="TAV750" s="574"/>
      <c r="TAW750" s="574"/>
      <c r="TAX750" s="574"/>
      <c r="TAY750" s="574"/>
      <c r="TAZ750" s="574"/>
      <c r="TBA750" s="574"/>
      <c r="TBB750" s="574"/>
      <c r="TBC750" s="574"/>
      <c r="TBD750" s="574"/>
      <c r="TBE750" s="574"/>
      <c r="TBF750" s="574"/>
      <c r="TBG750" s="574"/>
      <c r="TBH750" s="574"/>
      <c r="TBI750" s="574"/>
      <c r="TBJ750" s="574"/>
      <c r="TBK750" s="574"/>
      <c r="TBL750" s="574"/>
      <c r="TBM750" s="574"/>
      <c r="TBN750" s="574"/>
      <c r="TBO750" s="574"/>
      <c r="TBP750" s="574"/>
      <c r="TBQ750" s="574"/>
      <c r="TBR750" s="574"/>
      <c r="TBS750" s="574"/>
      <c r="TBT750" s="574"/>
      <c r="TBU750" s="574"/>
      <c r="TBV750" s="574"/>
      <c r="TBW750" s="574"/>
      <c r="TBX750" s="574"/>
      <c r="TBY750" s="574"/>
      <c r="TBZ750" s="574"/>
      <c r="TCA750" s="574"/>
      <c r="TCB750" s="574"/>
      <c r="TCC750" s="574"/>
      <c r="TCD750" s="574"/>
      <c r="TCE750" s="574"/>
      <c r="TCF750" s="574"/>
      <c r="TCG750" s="574"/>
      <c r="TCH750" s="574"/>
      <c r="TCI750" s="574"/>
      <c r="TCJ750" s="574"/>
      <c r="TCK750" s="574"/>
      <c r="TCL750" s="574"/>
      <c r="TCM750" s="574"/>
      <c r="TCN750" s="574"/>
      <c r="TCO750" s="574"/>
      <c r="TCP750" s="574"/>
      <c r="TCQ750" s="574"/>
      <c r="TCR750" s="574"/>
      <c r="TCS750" s="574"/>
      <c r="TCT750" s="574"/>
      <c r="TCU750" s="574"/>
      <c r="TCV750" s="574"/>
      <c r="TCW750" s="574"/>
      <c r="TCX750" s="574"/>
      <c r="TCY750" s="574"/>
      <c r="TCZ750" s="574"/>
      <c r="TDA750" s="574"/>
      <c r="TDB750" s="574"/>
      <c r="TDC750" s="574"/>
      <c r="TDD750" s="574"/>
      <c r="TDE750" s="574"/>
      <c r="TDF750" s="574"/>
      <c r="TDG750" s="574"/>
      <c r="TDH750" s="574"/>
      <c r="TDI750" s="574"/>
      <c r="TDJ750" s="574"/>
      <c r="TDK750" s="574"/>
      <c r="TDL750" s="574"/>
      <c r="TDM750" s="574"/>
      <c r="TDN750" s="574"/>
      <c r="TDO750" s="574"/>
      <c r="TDP750" s="574"/>
      <c r="TDQ750" s="574"/>
      <c r="TDR750" s="574"/>
      <c r="TDS750" s="574"/>
      <c r="TDT750" s="574"/>
      <c r="TDU750" s="574"/>
      <c r="TDV750" s="574"/>
      <c r="TDW750" s="574"/>
      <c r="TDX750" s="574"/>
      <c r="TDY750" s="574"/>
      <c r="TDZ750" s="574"/>
      <c r="TEA750" s="574"/>
      <c r="TEB750" s="574"/>
      <c r="TEC750" s="574"/>
      <c r="TED750" s="574"/>
      <c r="TEE750" s="574"/>
      <c r="TEF750" s="574"/>
      <c r="TEG750" s="574"/>
      <c r="TEH750" s="574"/>
      <c r="TEI750" s="574"/>
      <c r="TEJ750" s="574"/>
      <c r="TEK750" s="574"/>
      <c r="TEL750" s="574"/>
      <c r="TEM750" s="574"/>
      <c r="TEN750" s="574"/>
      <c r="TEO750" s="574"/>
      <c r="TEP750" s="574"/>
      <c r="TEQ750" s="574"/>
      <c r="TER750" s="574"/>
      <c r="TES750" s="574"/>
      <c r="TET750" s="574"/>
      <c r="TEU750" s="574"/>
      <c r="TEV750" s="574"/>
      <c r="TEW750" s="574"/>
      <c r="TEX750" s="574"/>
      <c r="TEY750" s="574"/>
      <c r="TEZ750" s="574"/>
      <c r="TFA750" s="574"/>
      <c r="TFB750" s="574"/>
      <c r="TFC750" s="574"/>
      <c r="TFD750" s="574"/>
      <c r="TFE750" s="574"/>
      <c r="TFF750" s="574"/>
      <c r="TFG750" s="574"/>
      <c r="TFH750" s="574"/>
      <c r="TFI750" s="574"/>
      <c r="TFJ750" s="574"/>
      <c r="TFK750" s="574"/>
      <c r="TFL750" s="574"/>
      <c r="TFM750" s="574"/>
      <c r="TFN750" s="574"/>
      <c r="TFO750" s="574"/>
      <c r="TFP750" s="574"/>
      <c r="TFQ750" s="574"/>
      <c r="TFR750" s="574"/>
      <c r="TFS750" s="574"/>
      <c r="TFT750" s="574"/>
      <c r="TFU750" s="574"/>
      <c r="TFV750" s="574"/>
      <c r="TFW750" s="574"/>
      <c r="TFX750" s="574"/>
      <c r="TFY750" s="574"/>
      <c r="TFZ750" s="574"/>
      <c r="TGA750" s="574"/>
      <c r="TGB750" s="574"/>
      <c r="TGC750" s="574"/>
      <c r="TGD750" s="574"/>
      <c r="TGE750" s="574"/>
      <c r="TGF750" s="574"/>
      <c r="TGG750" s="574"/>
      <c r="TGH750" s="574"/>
      <c r="TGI750" s="574"/>
      <c r="TGJ750" s="574"/>
      <c r="TGK750" s="574"/>
      <c r="TGL750" s="574"/>
      <c r="TGM750" s="574"/>
      <c r="TGN750" s="574"/>
      <c r="TGO750" s="574"/>
      <c r="TGP750" s="574"/>
      <c r="TGQ750" s="574"/>
      <c r="TGR750" s="574"/>
      <c r="TGS750" s="574"/>
      <c r="TGT750" s="574"/>
      <c r="TGU750" s="574"/>
      <c r="TGV750" s="574"/>
      <c r="TGW750" s="574"/>
      <c r="TGX750" s="574"/>
      <c r="TGY750" s="574"/>
      <c r="TGZ750" s="574"/>
      <c r="THA750" s="574"/>
      <c r="THB750" s="574"/>
      <c r="THC750" s="574"/>
      <c r="THD750" s="574"/>
      <c r="THE750" s="574"/>
      <c r="THF750" s="574"/>
      <c r="THG750" s="574"/>
      <c r="THH750" s="574"/>
      <c r="THI750" s="574"/>
      <c r="THJ750" s="574"/>
      <c r="THK750" s="574"/>
      <c r="THL750" s="574"/>
      <c r="THM750" s="574"/>
      <c r="THN750" s="574"/>
      <c r="THO750" s="574"/>
      <c r="THP750" s="574"/>
      <c r="THQ750" s="574"/>
      <c r="THR750" s="574"/>
      <c r="THS750" s="574"/>
      <c r="THT750" s="574"/>
      <c r="THU750" s="574"/>
      <c r="THV750" s="574"/>
      <c r="THW750" s="574"/>
      <c r="THX750" s="574"/>
      <c r="THY750" s="574"/>
      <c r="THZ750" s="574"/>
      <c r="TIA750" s="574"/>
      <c r="TIB750" s="574"/>
      <c r="TIC750" s="574"/>
      <c r="TID750" s="574"/>
      <c r="TIE750" s="574"/>
      <c r="TIF750" s="574"/>
      <c r="TIG750" s="574"/>
      <c r="TIH750" s="574"/>
      <c r="TII750" s="574"/>
      <c r="TIJ750" s="574"/>
      <c r="TIK750" s="574"/>
      <c r="TIL750" s="574"/>
      <c r="TIM750" s="574"/>
      <c r="TIN750" s="574"/>
      <c r="TIO750" s="574"/>
      <c r="TIP750" s="574"/>
      <c r="TIQ750" s="574"/>
      <c r="TIR750" s="574"/>
      <c r="TIS750" s="574"/>
      <c r="TIT750" s="574"/>
      <c r="TIU750" s="574"/>
      <c r="TIV750" s="574"/>
      <c r="TIW750" s="574"/>
      <c r="TIX750" s="574"/>
      <c r="TIY750" s="574"/>
      <c r="TIZ750" s="574"/>
      <c r="TJA750" s="574"/>
      <c r="TJB750" s="574"/>
      <c r="TJC750" s="574"/>
      <c r="TJD750" s="574"/>
      <c r="TJE750" s="574"/>
      <c r="TJF750" s="574"/>
      <c r="TJG750" s="574"/>
      <c r="TJH750" s="574"/>
      <c r="TJI750" s="574"/>
      <c r="TJJ750" s="574"/>
      <c r="TJK750" s="574"/>
      <c r="TJL750" s="574"/>
      <c r="TJM750" s="574"/>
      <c r="TJN750" s="574"/>
      <c r="TJO750" s="574"/>
      <c r="TJP750" s="574"/>
      <c r="TJQ750" s="574"/>
      <c r="TJR750" s="574"/>
      <c r="TJS750" s="574"/>
      <c r="TJT750" s="574"/>
      <c r="TJU750" s="574"/>
      <c r="TJV750" s="574"/>
      <c r="TJW750" s="574"/>
      <c r="TJX750" s="574"/>
      <c r="TJY750" s="574"/>
      <c r="TJZ750" s="574"/>
      <c r="TKA750" s="574"/>
      <c r="TKB750" s="574"/>
      <c r="TKC750" s="574"/>
      <c r="TKD750" s="574"/>
      <c r="TKE750" s="574"/>
      <c r="TKF750" s="574"/>
      <c r="TKG750" s="574"/>
      <c r="TKH750" s="574"/>
      <c r="TKI750" s="574"/>
      <c r="TKJ750" s="574"/>
      <c r="TKK750" s="574"/>
      <c r="TKL750" s="574"/>
      <c r="TKM750" s="574"/>
      <c r="TKN750" s="574"/>
      <c r="TKO750" s="574"/>
      <c r="TKP750" s="574"/>
      <c r="TKQ750" s="574"/>
      <c r="TKR750" s="574"/>
      <c r="TKS750" s="574"/>
      <c r="TKT750" s="574"/>
      <c r="TKU750" s="574"/>
      <c r="TKV750" s="574"/>
      <c r="TKW750" s="574"/>
      <c r="TKX750" s="574"/>
      <c r="TKY750" s="574"/>
      <c r="TKZ750" s="574"/>
      <c r="TLA750" s="574"/>
      <c r="TLB750" s="574"/>
      <c r="TLC750" s="574"/>
      <c r="TLD750" s="574"/>
      <c r="TLE750" s="574"/>
      <c r="TLF750" s="574"/>
      <c r="TLG750" s="574"/>
      <c r="TLH750" s="574"/>
      <c r="TLI750" s="574"/>
      <c r="TLJ750" s="574"/>
      <c r="TLK750" s="574"/>
      <c r="TLL750" s="574"/>
      <c r="TLM750" s="574"/>
      <c r="TLN750" s="574"/>
      <c r="TLO750" s="574"/>
      <c r="TLP750" s="574"/>
      <c r="TLQ750" s="574"/>
      <c r="TLR750" s="574"/>
      <c r="TLS750" s="574"/>
      <c r="TLT750" s="574"/>
      <c r="TLU750" s="574"/>
      <c r="TLV750" s="574"/>
      <c r="TLW750" s="574"/>
      <c r="TLX750" s="574"/>
      <c r="TLY750" s="574"/>
      <c r="TLZ750" s="574"/>
      <c r="TMA750" s="574"/>
      <c r="TMB750" s="574"/>
      <c r="TMC750" s="574"/>
      <c r="TMD750" s="574"/>
      <c r="TME750" s="574"/>
      <c r="TMF750" s="574"/>
      <c r="TMG750" s="574"/>
      <c r="TMH750" s="574"/>
      <c r="TMI750" s="574"/>
      <c r="TMJ750" s="574"/>
      <c r="TMK750" s="574"/>
      <c r="TML750" s="574"/>
      <c r="TMM750" s="574"/>
      <c r="TMN750" s="574"/>
      <c r="TMO750" s="574"/>
      <c r="TMP750" s="574"/>
      <c r="TMQ750" s="574"/>
      <c r="TMR750" s="574"/>
      <c r="TMS750" s="574"/>
      <c r="TMT750" s="574"/>
      <c r="TMU750" s="574"/>
      <c r="TMV750" s="574"/>
      <c r="TMW750" s="574"/>
      <c r="TMX750" s="574"/>
      <c r="TMY750" s="574"/>
      <c r="TMZ750" s="574"/>
      <c r="TNA750" s="574"/>
      <c r="TNB750" s="574"/>
      <c r="TNC750" s="574"/>
      <c r="TND750" s="574"/>
      <c r="TNE750" s="574"/>
      <c r="TNF750" s="574"/>
      <c r="TNG750" s="574"/>
      <c r="TNH750" s="574"/>
      <c r="TNI750" s="574"/>
      <c r="TNJ750" s="574"/>
      <c r="TNK750" s="574"/>
      <c r="TNL750" s="574"/>
      <c r="TNM750" s="574"/>
      <c r="TNN750" s="574"/>
      <c r="TNO750" s="574"/>
      <c r="TNP750" s="574"/>
      <c r="TNQ750" s="574"/>
      <c r="TNR750" s="574"/>
      <c r="TNS750" s="574"/>
      <c r="TNT750" s="574"/>
      <c r="TNU750" s="574"/>
      <c r="TNV750" s="574"/>
      <c r="TNW750" s="574"/>
      <c r="TNX750" s="574"/>
      <c r="TNY750" s="574"/>
      <c r="TNZ750" s="574"/>
      <c r="TOA750" s="574"/>
      <c r="TOB750" s="574"/>
      <c r="TOC750" s="574"/>
      <c r="TOD750" s="574"/>
      <c r="TOE750" s="574"/>
      <c r="TOF750" s="574"/>
      <c r="TOG750" s="574"/>
      <c r="TOH750" s="574"/>
      <c r="TOI750" s="574"/>
      <c r="TOJ750" s="574"/>
      <c r="TOK750" s="574"/>
      <c r="TOL750" s="574"/>
      <c r="TOM750" s="574"/>
      <c r="TON750" s="574"/>
      <c r="TOO750" s="574"/>
      <c r="TOP750" s="574"/>
      <c r="TOQ750" s="574"/>
      <c r="TOR750" s="574"/>
      <c r="TOS750" s="574"/>
      <c r="TOT750" s="574"/>
      <c r="TOU750" s="574"/>
      <c r="TOV750" s="574"/>
      <c r="TOW750" s="574"/>
      <c r="TOX750" s="574"/>
      <c r="TOY750" s="574"/>
      <c r="TOZ750" s="574"/>
      <c r="TPA750" s="574"/>
      <c r="TPB750" s="574"/>
      <c r="TPC750" s="574"/>
      <c r="TPD750" s="574"/>
      <c r="TPE750" s="574"/>
      <c r="TPF750" s="574"/>
      <c r="TPG750" s="574"/>
      <c r="TPH750" s="574"/>
      <c r="TPI750" s="574"/>
      <c r="TPJ750" s="574"/>
      <c r="TPK750" s="574"/>
      <c r="TPL750" s="574"/>
      <c r="TPM750" s="574"/>
      <c r="TPN750" s="574"/>
      <c r="TPO750" s="574"/>
      <c r="TPP750" s="574"/>
      <c r="TPQ750" s="574"/>
      <c r="TPR750" s="574"/>
      <c r="TPS750" s="574"/>
      <c r="TPT750" s="574"/>
      <c r="TPU750" s="574"/>
      <c r="TPV750" s="574"/>
      <c r="TPW750" s="574"/>
      <c r="TPX750" s="574"/>
      <c r="TPY750" s="574"/>
      <c r="TPZ750" s="574"/>
      <c r="TQA750" s="574"/>
      <c r="TQB750" s="574"/>
      <c r="TQC750" s="574"/>
      <c r="TQD750" s="574"/>
      <c r="TQE750" s="574"/>
      <c r="TQF750" s="574"/>
      <c r="TQG750" s="574"/>
      <c r="TQH750" s="574"/>
      <c r="TQI750" s="574"/>
      <c r="TQJ750" s="574"/>
      <c r="TQK750" s="574"/>
      <c r="TQL750" s="574"/>
      <c r="TQM750" s="574"/>
      <c r="TQN750" s="574"/>
      <c r="TQO750" s="574"/>
      <c r="TQP750" s="574"/>
      <c r="TQQ750" s="574"/>
      <c r="TQR750" s="574"/>
      <c r="TQS750" s="574"/>
      <c r="TQT750" s="574"/>
      <c r="TQU750" s="574"/>
      <c r="TQV750" s="574"/>
      <c r="TQW750" s="574"/>
      <c r="TQX750" s="574"/>
      <c r="TQY750" s="574"/>
      <c r="TQZ750" s="574"/>
      <c r="TRA750" s="574"/>
      <c r="TRB750" s="574"/>
      <c r="TRC750" s="574"/>
      <c r="TRD750" s="574"/>
      <c r="TRE750" s="574"/>
      <c r="TRF750" s="574"/>
      <c r="TRG750" s="574"/>
      <c r="TRH750" s="574"/>
      <c r="TRI750" s="574"/>
      <c r="TRJ750" s="574"/>
      <c r="TRK750" s="574"/>
      <c r="TRL750" s="574"/>
      <c r="TRM750" s="574"/>
      <c r="TRN750" s="574"/>
      <c r="TRO750" s="574"/>
      <c r="TRP750" s="574"/>
      <c r="TRQ750" s="574"/>
      <c r="TRR750" s="574"/>
      <c r="TRS750" s="574"/>
      <c r="TRT750" s="574"/>
      <c r="TRU750" s="574"/>
      <c r="TRV750" s="574"/>
      <c r="TRW750" s="574"/>
      <c r="TRX750" s="574"/>
      <c r="TRY750" s="574"/>
      <c r="TRZ750" s="574"/>
      <c r="TSA750" s="574"/>
      <c r="TSB750" s="574"/>
      <c r="TSC750" s="574"/>
      <c r="TSD750" s="574"/>
      <c r="TSE750" s="574"/>
      <c r="TSF750" s="574"/>
      <c r="TSG750" s="574"/>
      <c r="TSH750" s="574"/>
      <c r="TSI750" s="574"/>
      <c r="TSJ750" s="574"/>
      <c r="TSK750" s="574"/>
      <c r="TSL750" s="574"/>
      <c r="TSM750" s="574"/>
      <c r="TSN750" s="574"/>
      <c r="TSO750" s="574"/>
      <c r="TSP750" s="574"/>
      <c r="TSQ750" s="574"/>
      <c r="TSR750" s="574"/>
      <c r="TSS750" s="574"/>
      <c r="TST750" s="574"/>
      <c r="TSU750" s="574"/>
      <c r="TSV750" s="574"/>
      <c r="TSW750" s="574"/>
      <c r="TSX750" s="574"/>
      <c r="TSY750" s="574"/>
      <c r="TSZ750" s="574"/>
      <c r="TTA750" s="574"/>
      <c r="TTB750" s="574"/>
      <c r="TTC750" s="574"/>
      <c r="TTD750" s="574"/>
      <c r="TTE750" s="574"/>
      <c r="TTF750" s="574"/>
      <c r="TTG750" s="574"/>
      <c r="TTH750" s="574"/>
      <c r="TTI750" s="574"/>
      <c r="TTJ750" s="574"/>
      <c r="TTK750" s="574"/>
      <c r="TTL750" s="574"/>
      <c r="TTM750" s="574"/>
      <c r="TTN750" s="574"/>
      <c r="TTO750" s="574"/>
      <c r="TTP750" s="574"/>
      <c r="TTQ750" s="574"/>
      <c r="TTR750" s="574"/>
      <c r="TTS750" s="574"/>
      <c r="TTT750" s="574"/>
      <c r="TTU750" s="574"/>
      <c r="TTV750" s="574"/>
      <c r="TTW750" s="574"/>
      <c r="TTX750" s="574"/>
      <c r="TTY750" s="574"/>
      <c r="TTZ750" s="574"/>
      <c r="TUA750" s="574"/>
      <c r="TUB750" s="574"/>
      <c r="TUC750" s="574"/>
      <c r="TUD750" s="574"/>
      <c r="TUE750" s="574"/>
      <c r="TUF750" s="574"/>
      <c r="TUG750" s="574"/>
      <c r="TUH750" s="574"/>
      <c r="TUI750" s="574"/>
      <c r="TUJ750" s="574"/>
      <c r="TUK750" s="574"/>
      <c r="TUL750" s="574"/>
      <c r="TUM750" s="574"/>
      <c r="TUN750" s="574"/>
      <c r="TUO750" s="574"/>
      <c r="TUP750" s="574"/>
      <c r="TUQ750" s="574"/>
      <c r="TUR750" s="574"/>
      <c r="TUS750" s="574"/>
      <c r="TUT750" s="574"/>
      <c r="TUU750" s="574"/>
      <c r="TUV750" s="574"/>
      <c r="TUW750" s="574"/>
      <c r="TUX750" s="574"/>
      <c r="TUY750" s="574"/>
      <c r="TUZ750" s="574"/>
      <c r="TVA750" s="574"/>
      <c r="TVB750" s="574"/>
      <c r="TVC750" s="574"/>
      <c r="TVD750" s="574"/>
      <c r="TVE750" s="574"/>
      <c r="TVF750" s="574"/>
      <c r="TVG750" s="574"/>
      <c r="TVH750" s="574"/>
      <c r="TVI750" s="574"/>
      <c r="TVJ750" s="574"/>
      <c r="TVK750" s="574"/>
      <c r="TVL750" s="574"/>
      <c r="TVM750" s="574"/>
      <c r="TVN750" s="574"/>
      <c r="TVO750" s="574"/>
      <c r="TVP750" s="574"/>
      <c r="TVQ750" s="574"/>
      <c r="TVR750" s="574"/>
      <c r="TVS750" s="574"/>
      <c r="TVT750" s="574"/>
      <c r="TVU750" s="574"/>
      <c r="TVV750" s="574"/>
      <c r="TVW750" s="574"/>
      <c r="TVX750" s="574"/>
      <c r="TVY750" s="574"/>
      <c r="TVZ750" s="574"/>
      <c r="TWA750" s="574"/>
      <c r="TWB750" s="574"/>
      <c r="TWC750" s="574"/>
      <c r="TWD750" s="574"/>
      <c r="TWE750" s="574"/>
      <c r="TWF750" s="574"/>
      <c r="TWG750" s="574"/>
      <c r="TWH750" s="574"/>
      <c r="TWI750" s="574"/>
      <c r="TWJ750" s="574"/>
      <c r="TWK750" s="574"/>
      <c r="TWL750" s="574"/>
      <c r="TWM750" s="574"/>
      <c r="TWN750" s="574"/>
      <c r="TWO750" s="574"/>
      <c r="TWP750" s="574"/>
      <c r="TWQ750" s="574"/>
      <c r="TWR750" s="574"/>
      <c r="TWS750" s="574"/>
      <c r="TWT750" s="574"/>
      <c r="TWU750" s="574"/>
      <c r="TWV750" s="574"/>
      <c r="TWW750" s="574"/>
      <c r="TWX750" s="574"/>
      <c r="TWY750" s="574"/>
      <c r="TWZ750" s="574"/>
      <c r="TXA750" s="574"/>
      <c r="TXB750" s="574"/>
      <c r="TXC750" s="574"/>
      <c r="TXD750" s="574"/>
      <c r="TXE750" s="574"/>
      <c r="TXF750" s="574"/>
      <c r="TXG750" s="574"/>
      <c r="TXH750" s="574"/>
      <c r="TXI750" s="574"/>
      <c r="TXJ750" s="574"/>
      <c r="TXK750" s="574"/>
      <c r="TXL750" s="574"/>
      <c r="TXM750" s="574"/>
      <c r="TXN750" s="574"/>
      <c r="TXO750" s="574"/>
      <c r="TXP750" s="574"/>
      <c r="TXQ750" s="574"/>
      <c r="TXR750" s="574"/>
      <c r="TXS750" s="574"/>
      <c r="TXT750" s="574"/>
      <c r="TXU750" s="574"/>
      <c r="TXV750" s="574"/>
      <c r="TXW750" s="574"/>
      <c r="TXX750" s="574"/>
      <c r="TXY750" s="574"/>
      <c r="TXZ750" s="574"/>
      <c r="TYA750" s="574"/>
      <c r="TYB750" s="574"/>
      <c r="TYC750" s="574"/>
      <c r="TYD750" s="574"/>
      <c r="TYE750" s="574"/>
      <c r="TYF750" s="574"/>
      <c r="TYG750" s="574"/>
      <c r="TYH750" s="574"/>
      <c r="TYI750" s="574"/>
      <c r="TYJ750" s="574"/>
      <c r="TYK750" s="574"/>
      <c r="TYL750" s="574"/>
      <c r="TYM750" s="574"/>
      <c r="TYN750" s="574"/>
      <c r="TYO750" s="574"/>
      <c r="TYP750" s="574"/>
      <c r="TYQ750" s="574"/>
      <c r="TYR750" s="574"/>
      <c r="TYS750" s="574"/>
      <c r="TYT750" s="574"/>
      <c r="TYU750" s="574"/>
      <c r="TYV750" s="574"/>
      <c r="TYW750" s="574"/>
      <c r="TYX750" s="574"/>
      <c r="TYY750" s="574"/>
      <c r="TYZ750" s="574"/>
      <c r="TZA750" s="574"/>
      <c r="TZB750" s="574"/>
      <c r="TZC750" s="574"/>
      <c r="TZD750" s="574"/>
      <c r="TZE750" s="574"/>
      <c r="TZF750" s="574"/>
      <c r="TZG750" s="574"/>
      <c r="TZH750" s="574"/>
      <c r="TZI750" s="574"/>
      <c r="TZJ750" s="574"/>
      <c r="TZK750" s="574"/>
      <c r="TZL750" s="574"/>
      <c r="TZM750" s="574"/>
      <c r="TZN750" s="574"/>
      <c r="TZO750" s="574"/>
      <c r="TZP750" s="574"/>
      <c r="TZQ750" s="574"/>
      <c r="TZR750" s="574"/>
      <c r="TZS750" s="574"/>
      <c r="TZT750" s="574"/>
      <c r="TZU750" s="574"/>
      <c r="TZV750" s="574"/>
      <c r="TZW750" s="574"/>
      <c r="TZX750" s="574"/>
      <c r="TZY750" s="574"/>
      <c r="TZZ750" s="574"/>
      <c r="UAA750" s="574"/>
      <c r="UAB750" s="574"/>
      <c r="UAC750" s="574"/>
      <c r="UAD750" s="574"/>
      <c r="UAE750" s="574"/>
      <c r="UAF750" s="574"/>
      <c r="UAG750" s="574"/>
      <c r="UAH750" s="574"/>
      <c r="UAI750" s="574"/>
      <c r="UAJ750" s="574"/>
      <c r="UAK750" s="574"/>
      <c r="UAL750" s="574"/>
      <c r="UAM750" s="574"/>
      <c r="UAN750" s="574"/>
      <c r="UAO750" s="574"/>
      <c r="UAP750" s="574"/>
      <c r="UAQ750" s="574"/>
      <c r="UAR750" s="574"/>
      <c r="UAS750" s="574"/>
      <c r="UAT750" s="574"/>
      <c r="UAU750" s="574"/>
      <c r="UAV750" s="574"/>
      <c r="UAW750" s="574"/>
      <c r="UAX750" s="574"/>
      <c r="UAY750" s="574"/>
      <c r="UAZ750" s="574"/>
      <c r="UBA750" s="574"/>
      <c r="UBB750" s="574"/>
      <c r="UBC750" s="574"/>
      <c r="UBD750" s="574"/>
      <c r="UBE750" s="574"/>
      <c r="UBF750" s="574"/>
      <c r="UBG750" s="574"/>
      <c r="UBH750" s="574"/>
      <c r="UBI750" s="574"/>
      <c r="UBJ750" s="574"/>
      <c r="UBK750" s="574"/>
      <c r="UBL750" s="574"/>
      <c r="UBM750" s="574"/>
      <c r="UBN750" s="574"/>
      <c r="UBO750" s="574"/>
      <c r="UBP750" s="574"/>
      <c r="UBQ750" s="574"/>
      <c r="UBR750" s="574"/>
      <c r="UBS750" s="574"/>
      <c r="UBT750" s="574"/>
      <c r="UBU750" s="574"/>
      <c r="UBV750" s="574"/>
      <c r="UBW750" s="574"/>
      <c r="UBX750" s="574"/>
      <c r="UBY750" s="574"/>
      <c r="UBZ750" s="574"/>
      <c r="UCA750" s="574"/>
      <c r="UCB750" s="574"/>
      <c r="UCC750" s="574"/>
      <c r="UCD750" s="574"/>
      <c r="UCE750" s="574"/>
      <c r="UCF750" s="574"/>
      <c r="UCG750" s="574"/>
      <c r="UCH750" s="574"/>
      <c r="UCI750" s="574"/>
      <c r="UCJ750" s="574"/>
      <c r="UCK750" s="574"/>
      <c r="UCL750" s="574"/>
      <c r="UCM750" s="574"/>
      <c r="UCN750" s="574"/>
      <c r="UCO750" s="574"/>
      <c r="UCP750" s="574"/>
      <c r="UCQ750" s="574"/>
      <c r="UCR750" s="574"/>
      <c r="UCS750" s="574"/>
      <c r="UCT750" s="574"/>
      <c r="UCU750" s="574"/>
      <c r="UCV750" s="574"/>
      <c r="UCW750" s="574"/>
      <c r="UCX750" s="574"/>
      <c r="UCY750" s="574"/>
      <c r="UCZ750" s="574"/>
      <c r="UDA750" s="574"/>
      <c r="UDB750" s="574"/>
      <c r="UDC750" s="574"/>
      <c r="UDD750" s="574"/>
      <c r="UDE750" s="574"/>
      <c r="UDF750" s="574"/>
      <c r="UDG750" s="574"/>
      <c r="UDH750" s="574"/>
      <c r="UDI750" s="574"/>
      <c r="UDJ750" s="574"/>
      <c r="UDK750" s="574"/>
      <c r="UDL750" s="574"/>
      <c r="UDM750" s="574"/>
      <c r="UDN750" s="574"/>
      <c r="UDO750" s="574"/>
      <c r="UDP750" s="574"/>
      <c r="UDQ750" s="574"/>
      <c r="UDR750" s="574"/>
      <c r="UDS750" s="574"/>
      <c r="UDT750" s="574"/>
      <c r="UDU750" s="574"/>
      <c r="UDV750" s="574"/>
      <c r="UDW750" s="574"/>
      <c r="UDX750" s="574"/>
      <c r="UDY750" s="574"/>
      <c r="UDZ750" s="574"/>
      <c r="UEA750" s="574"/>
      <c r="UEB750" s="574"/>
      <c r="UEC750" s="574"/>
      <c r="UED750" s="574"/>
      <c r="UEE750" s="574"/>
      <c r="UEF750" s="574"/>
      <c r="UEG750" s="574"/>
      <c r="UEH750" s="574"/>
      <c r="UEI750" s="574"/>
      <c r="UEJ750" s="574"/>
      <c r="UEK750" s="574"/>
      <c r="UEL750" s="574"/>
      <c r="UEM750" s="574"/>
      <c r="UEN750" s="574"/>
      <c r="UEO750" s="574"/>
      <c r="UEP750" s="574"/>
      <c r="UEQ750" s="574"/>
      <c r="UER750" s="574"/>
      <c r="UES750" s="574"/>
      <c r="UET750" s="574"/>
      <c r="UEU750" s="574"/>
      <c r="UEV750" s="574"/>
      <c r="UEW750" s="574"/>
      <c r="UEX750" s="574"/>
      <c r="UEY750" s="574"/>
      <c r="UEZ750" s="574"/>
      <c r="UFA750" s="574"/>
      <c r="UFB750" s="574"/>
      <c r="UFC750" s="574"/>
      <c r="UFD750" s="574"/>
      <c r="UFE750" s="574"/>
      <c r="UFF750" s="574"/>
      <c r="UFG750" s="574"/>
      <c r="UFH750" s="574"/>
      <c r="UFI750" s="574"/>
      <c r="UFJ750" s="574"/>
      <c r="UFK750" s="574"/>
      <c r="UFL750" s="574"/>
      <c r="UFM750" s="574"/>
      <c r="UFN750" s="574"/>
      <c r="UFO750" s="574"/>
      <c r="UFP750" s="574"/>
      <c r="UFQ750" s="574"/>
      <c r="UFR750" s="574"/>
      <c r="UFS750" s="574"/>
      <c r="UFT750" s="574"/>
      <c r="UFU750" s="574"/>
      <c r="UFV750" s="574"/>
      <c r="UFW750" s="574"/>
      <c r="UFX750" s="574"/>
      <c r="UFY750" s="574"/>
      <c r="UFZ750" s="574"/>
      <c r="UGA750" s="574"/>
      <c r="UGB750" s="574"/>
      <c r="UGC750" s="574"/>
      <c r="UGD750" s="574"/>
      <c r="UGE750" s="574"/>
      <c r="UGF750" s="574"/>
      <c r="UGG750" s="574"/>
      <c r="UGH750" s="574"/>
      <c r="UGI750" s="574"/>
      <c r="UGJ750" s="574"/>
      <c r="UGK750" s="574"/>
      <c r="UGL750" s="574"/>
      <c r="UGM750" s="574"/>
      <c r="UGN750" s="574"/>
      <c r="UGO750" s="574"/>
      <c r="UGP750" s="574"/>
      <c r="UGQ750" s="574"/>
      <c r="UGR750" s="574"/>
      <c r="UGS750" s="574"/>
      <c r="UGT750" s="574"/>
      <c r="UGU750" s="574"/>
      <c r="UGV750" s="574"/>
      <c r="UGW750" s="574"/>
      <c r="UGX750" s="574"/>
      <c r="UGY750" s="574"/>
      <c r="UGZ750" s="574"/>
      <c r="UHA750" s="574"/>
      <c r="UHB750" s="574"/>
      <c r="UHC750" s="574"/>
      <c r="UHD750" s="574"/>
      <c r="UHE750" s="574"/>
      <c r="UHF750" s="574"/>
      <c r="UHG750" s="574"/>
      <c r="UHH750" s="574"/>
      <c r="UHI750" s="574"/>
      <c r="UHJ750" s="574"/>
      <c r="UHK750" s="574"/>
      <c r="UHL750" s="574"/>
      <c r="UHM750" s="574"/>
      <c r="UHN750" s="574"/>
      <c r="UHO750" s="574"/>
      <c r="UHP750" s="574"/>
      <c r="UHQ750" s="574"/>
      <c r="UHR750" s="574"/>
      <c r="UHS750" s="574"/>
      <c r="UHT750" s="574"/>
      <c r="UHU750" s="574"/>
      <c r="UHV750" s="574"/>
      <c r="UHW750" s="574"/>
      <c r="UHX750" s="574"/>
      <c r="UHY750" s="574"/>
      <c r="UHZ750" s="574"/>
      <c r="UIA750" s="574"/>
      <c r="UIB750" s="574"/>
      <c r="UIC750" s="574"/>
      <c r="UID750" s="574"/>
      <c r="UIE750" s="574"/>
      <c r="UIF750" s="574"/>
      <c r="UIG750" s="574"/>
      <c r="UIH750" s="574"/>
      <c r="UII750" s="574"/>
      <c r="UIJ750" s="574"/>
      <c r="UIK750" s="574"/>
      <c r="UIL750" s="574"/>
      <c r="UIM750" s="574"/>
      <c r="UIN750" s="574"/>
      <c r="UIO750" s="574"/>
      <c r="UIP750" s="574"/>
      <c r="UIQ750" s="574"/>
      <c r="UIR750" s="574"/>
      <c r="UIS750" s="574"/>
      <c r="UIT750" s="574"/>
      <c r="UIU750" s="574"/>
      <c r="UIV750" s="574"/>
      <c r="UIW750" s="574"/>
      <c r="UIX750" s="574"/>
      <c r="UIY750" s="574"/>
      <c r="UIZ750" s="574"/>
      <c r="UJA750" s="574"/>
      <c r="UJB750" s="574"/>
      <c r="UJC750" s="574"/>
      <c r="UJD750" s="574"/>
      <c r="UJE750" s="574"/>
      <c r="UJF750" s="574"/>
      <c r="UJG750" s="574"/>
      <c r="UJH750" s="574"/>
      <c r="UJI750" s="574"/>
      <c r="UJJ750" s="574"/>
      <c r="UJK750" s="574"/>
      <c r="UJL750" s="574"/>
      <c r="UJM750" s="574"/>
      <c r="UJN750" s="574"/>
      <c r="UJO750" s="574"/>
      <c r="UJP750" s="574"/>
      <c r="UJQ750" s="574"/>
      <c r="UJR750" s="574"/>
      <c r="UJS750" s="574"/>
      <c r="UJT750" s="574"/>
      <c r="UJU750" s="574"/>
      <c r="UJV750" s="574"/>
      <c r="UJW750" s="574"/>
      <c r="UJX750" s="574"/>
      <c r="UJY750" s="574"/>
      <c r="UJZ750" s="574"/>
      <c r="UKA750" s="574"/>
      <c r="UKB750" s="574"/>
      <c r="UKC750" s="574"/>
      <c r="UKD750" s="574"/>
      <c r="UKE750" s="574"/>
      <c r="UKF750" s="574"/>
      <c r="UKG750" s="574"/>
      <c r="UKH750" s="574"/>
      <c r="UKI750" s="574"/>
      <c r="UKJ750" s="574"/>
      <c r="UKK750" s="574"/>
      <c r="UKL750" s="574"/>
      <c r="UKM750" s="574"/>
      <c r="UKN750" s="574"/>
      <c r="UKO750" s="574"/>
      <c r="UKP750" s="574"/>
      <c r="UKQ750" s="574"/>
      <c r="UKR750" s="574"/>
      <c r="UKS750" s="574"/>
      <c r="UKT750" s="574"/>
      <c r="UKU750" s="574"/>
      <c r="UKV750" s="574"/>
      <c r="UKW750" s="574"/>
      <c r="UKX750" s="574"/>
      <c r="UKY750" s="574"/>
      <c r="UKZ750" s="574"/>
      <c r="ULA750" s="574"/>
      <c r="ULB750" s="574"/>
      <c r="ULC750" s="574"/>
      <c r="ULD750" s="574"/>
      <c r="ULE750" s="574"/>
      <c r="ULF750" s="574"/>
      <c r="ULG750" s="574"/>
      <c r="ULH750" s="574"/>
      <c r="ULI750" s="574"/>
      <c r="ULJ750" s="574"/>
      <c r="ULK750" s="574"/>
      <c r="ULL750" s="574"/>
      <c r="ULM750" s="574"/>
      <c r="ULN750" s="574"/>
      <c r="ULO750" s="574"/>
      <c r="ULP750" s="574"/>
      <c r="ULQ750" s="574"/>
      <c r="ULR750" s="574"/>
      <c r="ULS750" s="574"/>
      <c r="ULT750" s="574"/>
      <c r="ULU750" s="574"/>
      <c r="ULV750" s="574"/>
      <c r="ULW750" s="574"/>
      <c r="ULX750" s="574"/>
      <c r="ULY750" s="574"/>
      <c r="ULZ750" s="574"/>
      <c r="UMA750" s="574"/>
      <c r="UMB750" s="574"/>
      <c r="UMC750" s="574"/>
      <c r="UMD750" s="574"/>
      <c r="UME750" s="574"/>
      <c r="UMF750" s="574"/>
      <c r="UMG750" s="574"/>
      <c r="UMH750" s="574"/>
      <c r="UMI750" s="574"/>
      <c r="UMJ750" s="574"/>
      <c r="UMK750" s="574"/>
      <c r="UML750" s="574"/>
      <c r="UMM750" s="574"/>
      <c r="UMN750" s="574"/>
      <c r="UMO750" s="574"/>
      <c r="UMP750" s="574"/>
      <c r="UMQ750" s="574"/>
      <c r="UMR750" s="574"/>
      <c r="UMS750" s="574"/>
      <c r="UMT750" s="574"/>
      <c r="UMU750" s="574"/>
      <c r="UMV750" s="574"/>
      <c r="UMW750" s="574"/>
      <c r="UMX750" s="574"/>
      <c r="UMY750" s="574"/>
      <c r="UMZ750" s="574"/>
      <c r="UNA750" s="574"/>
      <c r="UNB750" s="574"/>
      <c r="UNC750" s="574"/>
      <c r="UND750" s="574"/>
      <c r="UNE750" s="574"/>
      <c r="UNF750" s="574"/>
      <c r="UNG750" s="574"/>
      <c r="UNH750" s="574"/>
      <c r="UNI750" s="574"/>
      <c r="UNJ750" s="574"/>
      <c r="UNK750" s="574"/>
      <c r="UNL750" s="574"/>
      <c r="UNM750" s="574"/>
      <c r="UNN750" s="574"/>
      <c r="UNO750" s="574"/>
      <c r="UNP750" s="574"/>
      <c r="UNQ750" s="574"/>
      <c r="UNR750" s="574"/>
      <c r="UNS750" s="574"/>
      <c r="UNT750" s="574"/>
      <c r="UNU750" s="574"/>
      <c r="UNV750" s="574"/>
      <c r="UNW750" s="574"/>
      <c r="UNX750" s="574"/>
      <c r="UNY750" s="574"/>
      <c r="UNZ750" s="574"/>
      <c r="UOA750" s="574"/>
      <c r="UOB750" s="574"/>
      <c r="UOC750" s="574"/>
      <c r="UOD750" s="574"/>
      <c r="UOE750" s="574"/>
      <c r="UOF750" s="574"/>
      <c r="UOG750" s="574"/>
      <c r="UOH750" s="574"/>
      <c r="UOI750" s="574"/>
      <c r="UOJ750" s="574"/>
      <c r="UOK750" s="574"/>
      <c r="UOL750" s="574"/>
      <c r="UOM750" s="574"/>
      <c r="UON750" s="574"/>
      <c r="UOO750" s="574"/>
      <c r="UOP750" s="574"/>
      <c r="UOQ750" s="574"/>
      <c r="UOR750" s="574"/>
      <c r="UOS750" s="574"/>
      <c r="UOT750" s="574"/>
      <c r="UOU750" s="574"/>
      <c r="UOV750" s="574"/>
      <c r="UOW750" s="574"/>
      <c r="UOX750" s="574"/>
      <c r="UOY750" s="574"/>
      <c r="UOZ750" s="574"/>
      <c r="UPA750" s="574"/>
      <c r="UPB750" s="574"/>
      <c r="UPC750" s="574"/>
      <c r="UPD750" s="574"/>
      <c r="UPE750" s="574"/>
      <c r="UPF750" s="574"/>
      <c r="UPG750" s="574"/>
      <c r="UPH750" s="574"/>
      <c r="UPI750" s="574"/>
      <c r="UPJ750" s="574"/>
      <c r="UPK750" s="574"/>
      <c r="UPL750" s="574"/>
      <c r="UPM750" s="574"/>
      <c r="UPN750" s="574"/>
      <c r="UPO750" s="574"/>
      <c r="UPP750" s="574"/>
      <c r="UPQ750" s="574"/>
      <c r="UPR750" s="574"/>
      <c r="UPS750" s="574"/>
      <c r="UPT750" s="574"/>
      <c r="UPU750" s="574"/>
      <c r="UPV750" s="574"/>
      <c r="UPW750" s="574"/>
      <c r="UPX750" s="574"/>
      <c r="UPY750" s="574"/>
      <c r="UPZ750" s="574"/>
      <c r="UQA750" s="574"/>
      <c r="UQB750" s="574"/>
      <c r="UQC750" s="574"/>
      <c r="UQD750" s="574"/>
      <c r="UQE750" s="574"/>
      <c r="UQF750" s="574"/>
      <c r="UQG750" s="574"/>
      <c r="UQH750" s="574"/>
      <c r="UQI750" s="574"/>
      <c r="UQJ750" s="574"/>
      <c r="UQK750" s="574"/>
      <c r="UQL750" s="574"/>
      <c r="UQM750" s="574"/>
      <c r="UQN750" s="574"/>
      <c r="UQO750" s="574"/>
      <c r="UQP750" s="574"/>
      <c r="UQQ750" s="574"/>
      <c r="UQR750" s="574"/>
      <c r="UQS750" s="574"/>
      <c r="UQT750" s="574"/>
      <c r="UQU750" s="574"/>
      <c r="UQV750" s="574"/>
      <c r="UQW750" s="574"/>
      <c r="UQX750" s="574"/>
      <c r="UQY750" s="574"/>
      <c r="UQZ750" s="574"/>
      <c r="URA750" s="574"/>
      <c r="URB750" s="574"/>
      <c r="URC750" s="574"/>
      <c r="URD750" s="574"/>
      <c r="URE750" s="574"/>
      <c r="URF750" s="574"/>
      <c r="URG750" s="574"/>
      <c r="URH750" s="574"/>
      <c r="URI750" s="574"/>
      <c r="URJ750" s="574"/>
      <c r="URK750" s="574"/>
      <c r="URL750" s="574"/>
      <c r="URM750" s="574"/>
      <c r="URN750" s="574"/>
      <c r="URO750" s="574"/>
      <c r="URP750" s="574"/>
      <c r="URQ750" s="574"/>
      <c r="URR750" s="574"/>
      <c r="URS750" s="574"/>
      <c r="URT750" s="574"/>
      <c r="URU750" s="574"/>
      <c r="URV750" s="574"/>
      <c r="URW750" s="574"/>
      <c r="URX750" s="574"/>
      <c r="URY750" s="574"/>
      <c r="URZ750" s="574"/>
      <c r="USA750" s="574"/>
      <c r="USB750" s="574"/>
      <c r="USC750" s="574"/>
      <c r="USD750" s="574"/>
      <c r="USE750" s="574"/>
      <c r="USF750" s="574"/>
      <c r="USG750" s="574"/>
      <c r="USH750" s="574"/>
      <c r="USI750" s="574"/>
      <c r="USJ750" s="574"/>
      <c r="USK750" s="574"/>
      <c r="USL750" s="574"/>
      <c r="USM750" s="574"/>
      <c r="USN750" s="574"/>
      <c r="USO750" s="574"/>
      <c r="USP750" s="574"/>
      <c r="USQ750" s="574"/>
      <c r="USR750" s="574"/>
      <c r="USS750" s="574"/>
      <c r="UST750" s="574"/>
      <c r="USU750" s="574"/>
      <c r="USV750" s="574"/>
      <c r="USW750" s="574"/>
      <c r="USX750" s="574"/>
      <c r="USY750" s="574"/>
      <c r="USZ750" s="574"/>
      <c r="UTA750" s="574"/>
      <c r="UTB750" s="574"/>
      <c r="UTC750" s="574"/>
      <c r="UTD750" s="574"/>
      <c r="UTE750" s="574"/>
      <c r="UTF750" s="574"/>
      <c r="UTG750" s="574"/>
      <c r="UTH750" s="574"/>
      <c r="UTI750" s="574"/>
      <c r="UTJ750" s="574"/>
      <c r="UTK750" s="574"/>
      <c r="UTL750" s="574"/>
      <c r="UTM750" s="574"/>
      <c r="UTN750" s="574"/>
      <c r="UTO750" s="574"/>
      <c r="UTP750" s="574"/>
      <c r="UTQ750" s="574"/>
      <c r="UTR750" s="574"/>
      <c r="UTS750" s="574"/>
      <c r="UTT750" s="574"/>
      <c r="UTU750" s="574"/>
      <c r="UTV750" s="574"/>
      <c r="UTW750" s="574"/>
      <c r="UTX750" s="574"/>
      <c r="UTY750" s="574"/>
      <c r="UTZ750" s="574"/>
      <c r="UUA750" s="574"/>
      <c r="UUB750" s="574"/>
      <c r="UUC750" s="574"/>
      <c r="UUD750" s="574"/>
      <c r="UUE750" s="574"/>
      <c r="UUF750" s="574"/>
      <c r="UUG750" s="574"/>
      <c r="UUH750" s="574"/>
      <c r="UUI750" s="574"/>
      <c r="UUJ750" s="574"/>
      <c r="UUK750" s="574"/>
      <c r="UUL750" s="574"/>
      <c r="UUM750" s="574"/>
      <c r="UUN750" s="574"/>
      <c r="UUO750" s="574"/>
      <c r="UUP750" s="574"/>
      <c r="UUQ750" s="574"/>
      <c r="UUR750" s="574"/>
      <c r="UUS750" s="574"/>
      <c r="UUT750" s="574"/>
      <c r="UUU750" s="574"/>
      <c r="UUV750" s="574"/>
      <c r="UUW750" s="574"/>
      <c r="UUX750" s="574"/>
      <c r="UUY750" s="574"/>
      <c r="UUZ750" s="574"/>
      <c r="UVA750" s="574"/>
      <c r="UVB750" s="574"/>
      <c r="UVC750" s="574"/>
      <c r="UVD750" s="574"/>
      <c r="UVE750" s="574"/>
      <c r="UVF750" s="574"/>
      <c r="UVG750" s="574"/>
      <c r="UVH750" s="574"/>
      <c r="UVI750" s="574"/>
      <c r="UVJ750" s="574"/>
      <c r="UVK750" s="574"/>
      <c r="UVL750" s="574"/>
      <c r="UVM750" s="574"/>
      <c r="UVN750" s="574"/>
      <c r="UVO750" s="574"/>
      <c r="UVP750" s="574"/>
      <c r="UVQ750" s="574"/>
      <c r="UVR750" s="574"/>
      <c r="UVS750" s="574"/>
      <c r="UVT750" s="574"/>
      <c r="UVU750" s="574"/>
      <c r="UVV750" s="574"/>
      <c r="UVW750" s="574"/>
      <c r="UVX750" s="574"/>
      <c r="UVY750" s="574"/>
      <c r="UVZ750" s="574"/>
      <c r="UWA750" s="574"/>
      <c r="UWB750" s="574"/>
      <c r="UWC750" s="574"/>
      <c r="UWD750" s="574"/>
      <c r="UWE750" s="574"/>
      <c r="UWF750" s="574"/>
      <c r="UWG750" s="574"/>
      <c r="UWH750" s="574"/>
      <c r="UWI750" s="574"/>
      <c r="UWJ750" s="574"/>
      <c r="UWK750" s="574"/>
      <c r="UWL750" s="574"/>
      <c r="UWM750" s="574"/>
      <c r="UWN750" s="574"/>
      <c r="UWO750" s="574"/>
      <c r="UWP750" s="574"/>
      <c r="UWQ750" s="574"/>
      <c r="UWR750" s="574"/>
      <c r="UWS750" s="574"/>
      <c r="UWT750" s="574"/>
      <c r="UWU750" s="574"/>
      <c r="UWV750" s="574"/>
      <c r="UWW750" s="574"/>
      <c r="UWX750" s="574"/>
      <c r="UWY750" s="574"/>
      <c r="UWZ750" s="574"/>
      <c r="UXA750" s="574"/>
      <c r="UXB750" s="574"/>
      <c r="UXC750" s="574"/>
      <c r="UXD750" s="574"/>
      <c r="UXE750" s="574"/>
      <c r="UXF750" s="574"/>
      <c r="UXG750" s="574"/>
      <c r="UXH750" s="574"/>
      <c r="UXI750" s="574"/>
      <c r="UXJ750" s="574"/>
      <c r="UXK750" s="574"/>
      <c r="UXL750" s="574"/>
      <c r="UXM750" s="574"/>
      <c r="UXN750" s="574"/>
      <c r="UXO750" s="574"/>
      <c r="UXP750" s="574"/>
      <c r="UXQ750" s="574"/>
      <c r="UXR750" s="574"/>
      <c r="UXS750" s="574"/>
      <c r="UXT750" s="574"/>
      <c r="UXU750" s="574"/>
      <c r="UXV750" s="574"/>
      <c r="UXW750" s="574"/>
      <c r="UXX750" s="574"/>
      <c r="UXY750" s="574"/>
      <c r="UXZ750" s="574"/>
      <c r="UYA750" s="574"/>
      <c r="UYB750" s="574"/>
      <c r="UYC750" s="574"/>
      <c r="UYD750" s="574"/>
      <c r="UYE750" s="574"/>
      <c r="UYF750" s="574"/>
      <c r="UYG750" s="574"/>
      <c r="UYH750" s="574"/>
      <c r="UYI750" s="574"/>
      <c r="UYJ750" s="574"/>
      <c r="UYK750" s="574"/>
      <c r="UYL750" s="574"/>
      <c r="UYM750" s="574"/>
      <c r="UYN750" s="574"/>
      <c r="UYO750" s="574"/>
      <c r="UYP750" s="574"/>
      <c r="UYQ750" s="574"/>
      <c r="UYR750" s="574"/>
      <c r="UYS750" s="574"/>
      <c r="UYT750" s="574"/>
      <c r="UYU750" s="574"/>
      <c r="UYV750" s="574"/>
      <c r="UYW750" s="574"/>
      <c r="UYX750" s="574"/>
      <c r="UYY750" s="574"/>
      <c r="UYZ750" s="574"/>
      <c r="UZA750" s="574"/>
      <c r="UZB750" s="574"/>
      <c r="UZC750" s="574"/>
      <c r="UZD750" s="574"/>
      <c r="UZE750" s="574"/>
      <c r="UZF750" s="574"/>
      <c r="UZG750" s="574"/>
      <c r="UZH750" s="574"/>
      <c r="UZI750" s="574"/>
      <c r="UZJ750" s="574"/>
      <c r="UZK750" s="574"/>
      <c r="UZL750" s="574"/>
      <c r="UZM750" s="574"/>
      <c r="UZN750" s="574"/>
      <c r="UZO750" s="574"/>
      <c r="UZP750" s="574"/>
      <c r="UZQ750" s="574"/>
      <c r="UZR750" s="574"/>
      <c r="UZS750" s="574"/>
      <c r="UZT750" s="574"/>
      <c r="UZU750" s="574"/>
      <c r="UZV750" s="574"/>
      <c r="UZW750" s="574"/>
      <c r="UZX750" s="574"/>
      <c r="UZY750" s="574"/>
      <c r="UZZ750" s="574"/>
      <c r="VAA750" s="574"/>
      <c r="VAB750" s="574"/>
      <c r="VAC750" s="574"/>
      <c r="VAD750" s="574"/>
      <c r="VAE750" s="574"/>
      <c r="VAF750" s="574"/>
      <c r="VAG750" s="574"/>
      <c r="VAH750" s="574"/>
      <c r="VAI750" s="574"/>
      <c r="VAJ750" s="574"/>
      <c r="VAK750" s="574"/>
      <c r="VAL750" s="574"/>
      <c r="VAM750" s="574"/>
      <c r="VAN750" s="574"/>
      <c r="VAO750" s="574"/>
      <c r="VAP750" s="574"/>
      <c r="VAQ750" s="574"/>
      <c r="VAR750" s="574"/>
      <c r="VAS750" s="574"/>
      <c r="VAT750" s="574"/>
      <c r="VAU750" s="574"/>
      <c r="VAV750" s="574"/>
      <c r="VAW750" s="574"/>
      <c r="VAX750" s="574"/>
      <c r="VAY750" s="574"/>
      <c r="VAZ750" s="574"/>
      <c r="VBA750" s="574"/>
      <c r="VBB750" s="574"/>
      <c r="VBC750" s="574"/>
      <c r="VBD750" s="574"/>
      <c r="VBE750" s="574"/>
      <c r="VBF750" s="574"/>
      <c r="VBG750" s="574"/>
      <c r="VBH750" s="574"/>
      <c r="VBI750" s="574"/>
      <c r="VBJ750" s="574"/>
      <c r="VBK750" s="574"/>
      <c r="VBL750" s="574"/>
      <c r="VBM750" s="574"/>
      <c r="VBN750" s="574"/>
      <c r="VBO750" s="574"/>
      <c r="VBP750" s="574"/>
      <c r="VBQ750" s="574"/>
      <c r="VBR750" s="574"/>
      <c r="VBS750" s="574"/>
      <c r="VBT750" s="574"/>
      <c r="VBU750" s="574"/>
      <c r="VBV750" s="574"/>
      <c r="VBW750" s="574"/>
      <c r="VBX750" s="574"/>
      <c r="VBY750" s="574"/>
      <c r="VBZ750" s="574"/>
      <c r="VCA750" s="574"/>
      <c r="VCB750" s="574"/>
      <c r="VCC750" s="574"/>
      <c r="VCD750" s="574"/>
      <c r="VCE750" s="574"/>
      <c r="VCF750" s="574"/>
      <c r="VCG750" s="574"/>
      <c r="VCH750" s="574"/>
      <c r="VCI750" s="574"/>
      <c r="VCJ750" s="574"/>
      <c r="VCK750" s="574"/>
      <c r="VCL750" s="574"/>
      <c r="VCM750" s="574"/>
      <c r="VCN750" s="574"/>
      <c r="VCO750" s="574"/>
      <c r="VCP750" s="574"/>
      <c r="VCQ750" s="574"/>
      <c r="VCR750" s="574"/>
      <c r="VCS750" s="574"/>
      <c r="VCT750" s="574"/>
      <c r="VCU750" s="574"/>
      <c r="VCV750" s="574"/>
      <c r="VCW750" s="574"/>
      <c r="VCX750" s="574"/>
      <c r="VCY750" s="574"/>
      <c r="VCZ750" s="574"/>
      <c r="VDA750" s="574"/>
      <c r="VDB750" s="574"/>
      <c r="VDC750" s="574"/>
      <c r="VDD750" s="574"/>
      <c r="VDE750" s="574"/>
      <c r="VDF750" s="574"/>
      <c r="VDG750" s="574"/>
      <c r="VDH750" s="574"/>
      <c r="VDI750" s="574"/>
      <c r="VDJ750" s="574"/>
      <c r="VDK750" s="574"/>
      <c r="VDL750" s="574"/>
      <c r="VDM750" s="574"/>
      <c r="VDN750" s="574"/>
      <c r="VDO750" s="574"/>
      <c r="VDP750" s="574"/>
      <c r="VDQ750" s="574"/>
      <c r="VDR750" s="574"/>
      <c r="VDS750" s="574"/>
      <c r="VDT750" s="574"/>
      <c r="VDU750" s="574"/>
      <c r="VDV750" s="574"/>
      <c r="VDW750" s="574"/>
      <c r="VDX750" s="574"/>
      <c r="VDY750" s="574"/>
      <c r="VDZ750" s="574"/>
      <c r="VEA750" s="574"/>
      <c r="VEB750" s="574"/>
      <c r="VEC750" s="574"/>
      <c r="VED750" s="574"/>
      <c r="VEE750" s="574"/>
      <c r="VEF750" s="574"/>
      <c r="VEG750" s="574"/>
      <c r="VEH750" s="574"/>
      <c r="VEI750" s="574"/>
      <c r="VEJ750" s="574"/>
      <c r="VEK750" s="574"/>
      <c r="VEL750" s="574"/>
      <c r="VEM750" s="574"/>
      <c r="VEN750" s="574"/>
      <c r="VEO750" s="574"/>
      <c r="VEP750" s="574"/>
      <c r="VEQ750" s="574"/>
      <c r="VER750" s="574"/>
      <c r="VES750" s="574"/>
      <c r="VET750" s="574"/>
      <c r="VEU750" s="574"/>
      <c r="VEV750" s="574"/>
      <c r="VEW750" s="574"/>
      <c r="VEX750" s="574"/>
      <c r="VEY750" s="574"/>
      <c r="VEZ750" s="574"/>
      <c r="VFA750" s="574"/>
      <c r="VFB750" s="574"/>
      <c r="VFC750" s="574"/>
      <c r="VFD750" s="574"/>
      <c r="VFE750" s="574"/>
      <c r="VFF750" s="574"/>
      <c r="VFG750" s="574"/>
      <c r="VFH750" s="574"/>
      <c r="VFI750" s="574"/>
      <c r="VFJ750" s="574"/>
      <c r="VFK750" s="574"/>
      <c r="VFL750" s="574"/>
      <c r="VFM750" s="574"/>
      <c r="VFN750" s="574"/>
      <c r="VFO750" s="574"/>
      <c r="VFP750" s="574"/>
      <c r="VFQ750" s="574"/>
      <c r="VFR750" s="574"/>
      <c r="VFS750" s="574"/>
      <c r="VFT750" s="574"/>
      <c r="VFU750" s="574"/>
      <c r="VFV750" s="574"/>
      <c r="VFW750" s="574"/>
      <c r="VFX750" s="574"/>
      <c r="VFY750" s="574"/>
      <c r="VFZ750" s="574"/>
      <c r="VGA750" s="574"/>
      <c r="VGB750" s="574"/>
      <c r="VGC750" s="574"/>
      <c r="VGD750" s="574"/>
      <c r="VGE750" s="574"/>
      <c r="VGF750" s="574"/>
      <c r="VGG750" s="574"/>
      <c r="VGH750" s="574"/>
      <c r="VGI750" s="574"/>
      <c r="VGJ750" s="574"/>
      <c r="VGK750" s="574"/>
      <c r="VGL750" s="574"/>
      <c r="VGM750" s="574"/>
      <c r="VGN750" s="574"/>
      <c r="VGO750" s="574"/>
      <c r="VGP750" s="574"/>
      <c r="VGQ750" s="574"/>
      <c r="VGR750" s="574"/>
      <c r="VGS750" s="574"/>
      <c r="VGT750" s="574"/>
      <c r="VGU750" s="574"/>
      <c r="VGV750" s="574"/>
      <c r="VGW750" s="574"/>
      <c r="VGX750" s="574"/>
      <c r="VGY750" s="574"/>
      <c r="VGZ750" s="574"/>
      <c r="VHA750" s="574"/>
      <c r="VHB750" s="574"/>
      <c r="VHC750" s="574"/>
      <c r="VHD750" s="574"/>
      <c r="VHE750" s="574"/>
      <c r="VHF750" s="574"/>
      <c r="VHG750" s="574"/>
      <c r="VHH750" s="574"/>
      <c r="VHI750" s="574"/>
      <c r="VHJ750" s="574"/>
      <c r="VHK750" s="574"/>
      <c r="VHL750" s="574"/>
      <c r="VHM750" s="574"/>
      <c r="VHN750" s="574"/>
      <c r="VHO750" s="574"/>
      <c r="VHP750" s="574"/>
      <c r="VHQ750" s="574"/>
      <c r="VHR750" s="574"/>
      <c r="VHS750" s="574"/>
      <c r="VHT750" s="574"/>
      <c r="VHU750" s="574"/>
      <c r="VHV750" s="574"/>
      <c r="VHW750" s="574"/>
      <c r="VHX750" s="574"/>
      <c r="VHY750" s="574"/>
      <c r="VHZ750" s="574"/>
      <c r="VIA750" s="574"/>
      <c r="VIB750" s="574"/>
      <c r="VIC750" s="574"/>
      <c r="VID750" s="574"/>
      <c r="VIE750" s="574"/>
      <c r="VIF750" s="574"/>
      <c r="VIG750" s="574"/>
      <c r="VIH750" s="574"/>
      <c r="VII750" s="574"/>
      <c r="VIJ750" s="574"/>
      <c r="VIK750" s="574"/>
      <c r="VIL750" s="574"/>
      <c r="VIM750" s="574"/>
      <c r="VIN750" s="574"/>
      <c r="VIO750" s="574"/>
      <c r="VIP750" s="574"/>
      <c r="VIQ750" s="574"/>
      <c r="VIR750" s="574"/>
      <c r="VIS750" s="574"/>
      <c r="VIT750" s="574"/>
      <c r="VIU750" s="574"/>
      <c r="VIV750" s="574"/>
      <c r="VIW750" s="574"/>
      <c r="VIX750" s="574"/>
      <c r="VIY750" s="574"/>
      <c r="VIZ750" s="574"/>
      <c r="VJA750" s="574"/>
      <c r="VJB750" s="574"/>
      <c r="VJC750" s="574"/>
      <c r="VJD750" s="574"/>
      <c r="VJE750" s="574"/>
      <c r="VJF750" s="574"/>
      <c r="VJG750" s="574"/>
      <c r="VJH750" s="574"/>
      <c r="VJI750" s="574"/>
      <c r="VJJ750" s="574"/>
      <c r="VJK750" s="574"/>
      <c r="VJL750" s="574"/>
      <c r="VJM750" s="574"/>
      <c r="VJN750" s="574"/>
      <c r="VJO750" s="574"/>
      <c r="VJP750" s="574"/>
      <c r="VJQ750" s="574"/>
      <c r="VJR750" s="574"/>
      <c r="VJS750" s="574"/>
      <c r="VJT750" s="574"/>
      <c r="VJU750" s="574"/>
      <c r="VJV750" s="574"/>
      <c r="VJW750" s="574"/>
      <c r="VJX750" s="574"/>
      <c r="VJY750" s="574"/>
      <c r="VJZ750" s="574"/>
      <c r="VKA750" s="574"/>
      <c r="VKB750" s="574"/>
      <c r="VKC750" s="574"/>
      <c r="VKD750" s="574"/>
      <c r="VKE750" s="574"/>
      <c r="VKF750" s="574"/>
      <c r="VKG750" s="574"/>
      <c r="VKH750" s="574"/>
      <c r="VKI750" s="574"/>
      <c r="VKJ750" s="574"/>
      <c r="VKK750" s="574"/>
      <c r="VKL750" s="574"/>
      <c r="VKM750" s="574"/>
      <c r="VKN750" s="574"/>
      <c r="VKO750" s="574"/>
      <c r="VKP750" s="574"/>
      <c r="VKQ750" s="574"/>
      <c r="VKR750" s="574"/>
      <c r="VKS750" s="574"/>
      <c r="VKT750" s="574"/>
      <c r="VKU750" s="574"/>
      <c r="VKV750" s="574"/>
      <c r="VKW750" s="574"/>
      <c r="VKX750" s="574"/>
      <c r="VKY750" s="574"/>
      <c r="VKZ750" s="574"/>
      <c r="VLA750" s="574"/>
      <c r="VLB750" s="574"/>
      <c r="VLC750" s="574"/>
      <c r="VLD750" s="574"/>
      <c r="VLE750" s="574"/>
      <c r="VLF750" s="574"/>
      <c r="VLG750" s="574"/>
      <c r="VLH750" s="574"/>
      <c r="VLI750" s="574"/>
      <c r="VLJ750" s="574"/>
      <c r="VLK750" s="574"/>
      <c r="VLL750" s="574"/>
      <c r="VLM750" s="574"/>
      <c r="VLN750" s="574"/>
      <c r="VLO750" s="574"/>
      <c r="VLP750" s="574"/>
      <c r="VLQ750" s="574"/>
      <c r="VLR750" s="574"/>
      <c r="VLS750" s="574"/>
      <c r="VLT750" s="574"/>
      <c r="VLU750" s="574"/>
      <c r="VLV750" s="574"/>
      <c r="VLW750" s="574"/>
      <c r="VLX750" s="574"/>
      <c r="VLY750" s="574"/>
      <c r="VLZ750" s="574"/>
      <c r="VMA750" s="574"/>
      <c r="VMB750" s="574"/>
      <c r="VMC750" s="574"/>
      <c r="VMD750" s="574"/>
      <c r="VME750" s="574"/>
      <c r="VMF750" s="574"/>
      <c r="VMG750" s="574"/>
      <c r="VMH750" s="574"/>
      <c r="VMI750" s="574"/>
      <c r="VMJ750" s="574"/>
      <c r="VMK750" s="574"/>
      <c r="VML750" s="574"/>
      <c r="VMM750" s="574"/>
      <c r="VMN750" s="574"/>
      <c r="VMO750" s="574"/>
      <c r="VMP750" s="574"/>
      <c r="VMQ750" s="574"/>
      <c r="VMR750" s="574"/>
      <c r="VMS750" s="574"/>
      <c r="VMT750" s="574"/>
      <c r="VMU750" s="574"/>
      <c r="VMV750" s="574"/>
      <c r="VMW750" s="574"/>
      <c r="VMX750" s="574"/>
      <c r="VMY750" s="574"/>
      <c r="VMZ750" s="574"/>
      <c r="VNA750" s="574"/>
      <c r="VNB750" s="574"/>
      <c r="VNC750" s="574"/>
      <c r="VND750" s="574"/>
      <c r="VNE750" s="574"/>
      <c r="VNF750" s="574"/>
      <c r="VNG750" s="574"/>
      <c r="VNH750" s="574"/>
      <c r="VNI750" s="574"/>
      <c r="VNJ750" s="574"/>
      <c r="VNK750" s="574"/>
      <c r="VNL750" s="574"/>
      <c r="VNM750" s="574"/>
      <c r="VNN750" s="574"/>
      <c r="VNO750" s="574"/>
      <c r="VNP750" s="574"/>
      <c r="VNQ750" s="574"/>
      <c r="VNR750" s="574"/>
      <c r="VNS750" s="574"/>
      <c r="VNT750" s="574"/>
      <c r="VNU750" s="574"/>
      <c r="VNV750" s="574"/>
      <c r="VNW750" s="574"/>
      <c r="VNX750" s="574"/>
      <c r="VNY750" s="574"/>
      <c r="VNZ750" s="574"/>
      <c r="VOA750" s="574"/>
      <c r="VOB750" s="574"/>
      <c r="VOC750" s="574"/>
      <c r="VOD750" s="574"/>
      <c r="VOE750" s="574"/>
      <c r="VOF750" s="574"/>
      <c r="VOG750" s="574"/>
      <c r="VOH750" s="574"/>
      <c r="VOI750" s="574"/>
      <c r="VOJ750" s="574"/>
      <c r="VOK750" s="574"/>
      <c r="VOL750" s="574"/>
      <c r="VOM750" s="574"/>
      <c r="VON750" s="574"/>
      <c r="VOO750" s="574"/>
      <c r="VOP750" s="574"/>
      <c r="VOQ750" s="574"/>
      <c r="VOR750" s="574"/>
      <c r="VOS750" s="574"/>
      <c r="VOT750" s="574"/>
      <c r="VOU750" s="574"/>
      <c r="VOV750" s="574"/>
      <c r="VOW750" s="574"/>
      <c r="VOX750" s="574"/>
      <c r="VOY750" s="574"/>
      <c r="VOZ750" s="574"/>
      <c r="VPA750" s="574"/>
      <c r="VPB750" s="574"/>
      <c r="VPC750" s="574"/>
      <c r="VPD750" s="574"/>
      <c r="VPE750" s="574"/>
      <c r="VPF750" s="574"/>
      <c r="VPG750" s="574"/>
      <c r="VPH750" s="574"/>
      <c r="VPI750" s="574"/>
      <c r="VPJ750" s="574"/>
      <c r="VPK750" s="574"/>
      <c r="VPL750" s="574"/>
      <c r="VPM750" s="574"/>
      <c r="VPN750" s="574"/>
      <c r="VPO750" s="574"/>
      <c r="VPP750" s="574"/>
      <c r="VPQ750" s="574"/>
      <c r="VPR750" s="574"/>
      <c r="VPS750" s="574"/>
      <c r="VPT750" s="574"/>
      <c r="VPU750" s="574"/>
      <c r="VPV750" s="574"/>
      <c r="VPW750" s="574"/>
      <c r="VPX750" s="574"/>
      <c r="VPY750" s="574"/>
      <c r="VPZ750" s="574"/>
      <c r="VQA750" s="574"/>
      <c r="VQB750" s="574"/>
      <c r="VQC750" s="574"/>
      <c r="VQD750" s="574"/>
      <c r="VQE750" s="574"/>
      <c r="VQF750" s="574"/>
      <c r="VQG750" s="574"/>
      <c r="VQH750" s="574"/>
      <c r="VQI750" s="574"/>
      <c r="VQJ750" s="574"/>
      <c r="VQK750" s="574"/>
      <c r="VQL750" s="574"/>
      <c r="VQM750" s="574"/>
      <c r="VQN750" s="574"/>
      <c r="VQO750" s="574"/>
      <c r="VQP750" s="574"/>
      <c r="VQQ750" s="574"/>
      <c r="VQR750" s="574"/>
      <c r="VQS750" s="574"/>
      <c r="VQT750" s="574"/>
      <c r="VQU750" s="574"/>
      <c r="VQV750" s="574"/>
      <c r="VQW750" s="574"/>
      <c r="VQX750" s="574"/>
      <c r="VQY750" s="574"/>
      <c r="VQZ750" s="574"/>
      <c r="VRA750" s="574"/>
      <c r="VRB750" s="574"/>
      <c r="VRC750" s="574"/>
      <c r="VRD750" s="574"/>
      <c r="VRE750" s="574"/>
      <c r="VRF750" s="574"/>
      <c r="VRG750" s="574"/>
      <c r="VRH750" s="574"/>
      <c r="VRI750" s="574"/>
      <c r="VRJ750" s="574"/>
      <c r="VRK750" s="574"/>
      <c r="VRL750" s="574"/>
      <c r="VRM750" s="574"/>
      <c r="VRN750" s="574"/>
      <c r="VRO750" s="574"/>
      <c r="VRP750" s="574"/>
      <c r="VRQ750" s="574"/>
      <c r="VRR750" s="574"/>
      <c r="VRS750" s="574"/>
      <c r="VRT750" s="574"/>
      <c r="VRU750" s="574"/>
      <c r="VRV750" s="574"/>
      <c r="VRW750" s="574"/>
      <c r="VRX750" s="574"/>
      <c r="VRY750" s="574"/>
      <c r="VRZ750" s="574"/>
      <c r="VSA750" s="574"/>
      <c r="VSB750" s="574"/>
      <c r="VSC750" s="574"/>
      <c r="VSD750" s="574"/>
      <c r="VSE750" s="574"/>
      <c r="VSF750" s="574"/>
      <c r="VSG750" s="574"/>
      <c r="VSH750" s="574"/>
      <c r="VSI750" s="574"/>
      <c r="VSJ750" s="574"/>
      <c r="VSK750" s="574"/>
      <c r="VSL750" s="574"/>
      <c r="VSM750" s="574"/>
      <c r="VSN750" s="574"/>
      <c r="VSO750" s="574"/>
      <c r="VSP750" s="574"/>
      <c r="VSQ750" s="574"/>
      <c r="VSR750" s="574"/>
      <c r="VSS750" s="574"/>
      <c r="VST750" s="574"/>
      <c r="VSU750" s="574"/>
      <c r="VSV750" s="574"/>
      <c r="VSW750" s="574"/>
      <c r="VSX750" s="574"/>
      <c r="VSY750" s="574"/>
      <c r="VSZ750" s="574"/>
      <c r="VTA750" s="574"/>
      <c r="VTB750" s="574"/>
      <c r="VTC750" s="574"/>
      <c r="VTD750" s="574"/>
      <c r="VTE750" s="574"/>
      <c r="VTF750" s="574"/>
      <c r="VTG750" s="574"/>
      <c r="VTH750" s="574"/>
      <c r="VTI750" s="574"/>
      <c r="VTJ750" s="574"/>
      <c r="VTK750" s="574"/>
      <c r="VTL750" s="574"/>
      <c r="VTM750" s="574"/>
      <c r="VTN750" s="574"/>
      <c r="VTO750" s="574"/>
      <c r="VTP750" s="574"/>
      <c r="VTQ750" s="574"/>
      <c r="VTR750" s="574"/>
      <c r="VTS750" s="574"/>
      <c r="VTT750" s="574"/>
      <c r="VTU750" s="574"/>
      <c r="VTV750" s="574"/>
      <c r="VTW750" s="574"/>
      <c r="VTX750" s="574"/>
      <c r="VTY750" s="574"/>
      <c r="VTZ750" s="574"/>
      <c r="VUA750" s="574"/>
      <c r="VUB750" s="574"/>
      <c r="VUC750" s="574"/>
      <c r="VUD750" s="574"/>
      <c r="VUE750" s="574"/>
      <c r="VUF750" s="574"/>
      <c r="VUG750" s="574"/>
      <c r="VUH750" s="574"/>
      <c r="VUI750" s="574"/>
      <c r="VUJ750" s="574"/>
      <c r="VUK750" s="574"/>
      <c r="VUL750" s="574"/>
      <c r="VUM750" s="574"/>
      <c r="VUN750" s="574"/>
      <c r="VUO750" s="574"/>
      <c r="VUP750" s="574"/>
      <c r="VUQ750" s="574"/>
      <c r="VUR750" s="574"/>
      <c r="VUS750" s="574"/>
      <c r="VUT750" s="574"/>
      <c r="VUU750" s="574"/>
      <c r="VUV750" s="574"/>
      <c r="VUW750" s="574"/>
      <c r="VUX750" s="574"/>
      <c r="VUY750" s="574"/>
      <c r="VUZ750" s="574"/>
      <c r="VVA750" s="574"/>
      <c r="VVB750" s="574"/>
      <c r="VVC750" s="574"/>
      <c r="VVD750" s="574"/>
      <c r="VVE750" s="574"/>
      <c r="VVF750" s="574"/>
      <c r="VVG750" s="574"/>
      <c r="VVH750" s="574"/>
      <c r="VVI750" s="574"/>
      <c r="VVJ750" s="574"/>
      <c r="VVK750" s="574"/>
      <c r="VVL750" s="574"/>
      <c r="VVM750" s="574"/>
      <c r="VVN750" s="574"/>
      <c r="VVO750" s="574"/>
      <c r="VVP750" s="574"/>
      <c r="VVQ750" s="574"/>
      <c r="VVR750" s="574"/>
      <c r="VVS750" s="574"/>
      <c r="VVT750" s="574"/>
      <c r="VVU750" s="574"/>
      <c r="VVV750" s="574"/>
      <c r="VVW750" s="574"/>
      <c r="VVX750" s="574"/>
      <c r="VVY750" s="574"/>
      <c r="VVZ750" s="574"/>
      <c r="VWA750" s="574"/>
      <c r="VWB750" s="574"/>
      <c r="VWC750" s="574"/>
      <c r="VWD750" s="574"/>
      <c r="VWE750" s="574"/>
      <c r="VWF750" s="574"/>
      <c r="VWG750" s="574"/>
      <c r="VWH750" s="574"/>
      <c r="VWI750" s="574"/>
      <c r="VWJ750" s="574"/>
      <c r="VWK750" s="574"/>
      <c r="VWL750" s="574"/>
      <c r="VWM750" s="574"/>
      <c r="VWN750" s="574"/>
      <c r="VWO750" s="574"/>
      <c r="VWP750" s="574"/>
      <c r="VWQ750" s="574"/>
      <c r="VWR750" s="574"/>
      <c r="VWS750" s="574"/>
      <c r="VWT750" s="574"/>
      <c r="VWU750" s="574"/>
      <c r="VWV750" s="574"/>
      <c r="VWW750" s="574"/>
      <c r="VWX750" s="574"/>
      <c r="VWY750" s="574"/>
      <c r="VWZ750" s="574"/>
      <c r="VXA750" s="574"/>
      <c r="VXB750" s="574"/>
      <c r="VXC750" s="574"/>
      <c r="VXD750" s="574"/>
      <c r="VXE750" s="574"/>
      <c r="VXF750" s="574"/>
      <c r="VXG750" s="574"/>
      <c r="VXH750" s="574"/>
      <c r="VXI750" s="574"/>
      <c r="VXJ750" s="574"/>
      <c r="VXK750" s="574"/>
      <c r="VXL750" s="574"/>
      <c r="VXM750" s="574"/>
      <c r="VXN750" s="574"/>
      <c r="VXO750" s="574"/>
      <c r="VXP750" s="574"/>
      <c r="VXQ750" s="574"/>
      <c r="VXR750" s="574"/>
      <c r="VXS750" s="574"/>
      <c r="VXT750" s="574"/>
      <c r="VXU750" s="574"/>
      <c r="VXV750" s="574"/>
      <c r="VXW750" s="574"/>
      <c r="VXX750" s="574"/>
      <c r="VXY750" s="574"/>
      <c r="VXZ750" s="574"/>
      <c r="VYA750" s="574"/>
      <c r="VYB750" s="574"/>
      <c r="VYC750" s="574"/>
      <c r="VYD750" s="574"/>
      <c r="VYE750" s="574"/>
      <c r="VYF750" s="574"/>
      <c r="VYG750" s="574"/>
      <c r="VYH750" s="574"/>
      <c r="VYI750" s="574"/>
      <c r="VYJ750" s="574"/>
      <c r="VYK750" s="574"/>
      <c r="VYL750" s="574"/>
      <c r="VYM750" s="574"/>
      <c r="VYN750" s="574"/>
      <c r="VYO750" s="574"/>
      <c r="VYP750" s="574"/>
      <c r="VYQ750" s="574"/>
      <c r="VYR750" s="574"/>
      <c r="VYS750" s="574"/>
      <c r="VYT750" s="574"/>
      <c r="VYU750" s="574"/>
      <c r="VYV750" s="574"/>
      <c r="VYW750" s="574"/>
      <c r="VYX750" s="574"/>
      <c r="VYY750" s="574"/>
      <c r="VYZ750" s="574"/>
      <c r="VZA750" s="574"/>
      <c r="VZB750" s="574"/>
      <c r="VZC750" s="574"/>
      <c r="VZD750" s="574"/>
      <c r="VZE750" s="574"/>
      <c r="VZF750" s="574"/>
      <c r="VZG750" s="574"/>
      <c r="VZH750" s="574"/>
      <c r="VZI750" s="574"/>
      <c r="VZJ750" s="574"/>
      <c r="VZK750" s="574"/>
      <c r="VZL750" s="574"/>
      <c r="VZM750" s="574"/>
      <c r="VZN750" s="574"/>
      <c r="VZO750" s="574"/>
      <c r="VZP750" s="574"/>
      <c r="VZQ750" s="574"/>
      <c r="VZR750" s="574"/>
      <c r="VZS750" s="574"/>
      <c r="VZT750" s="574"/>
      <c r="VZU750" s="574"/>
      <c r="VZV750" s="574"/>
      <c r="VZW750" s="574"/>
      <c r="VZX750" s="574"/>
      <c r="VZY750" s="574"/>
      <c r="VZZ750" s="574"/>
      <c r="WAA750" s="574"/>
      <c r="WAB750" s="574"/>
      <c r="WAC750" s="574"/>
      <c r="WAD750" s="574"/>
      <c r="WAE750" s="574"/>
      <c r="WAF750" s="574"/>
      <c r="WAG750" s="574"/>
      <c r="WAH750" s="574"/>
      <c r="WAI750" s="574"/>
      <c r="WAJ750" s="574"/>
      <c r="WAK750" s="574"/>
      <c r="WAL750" s="574"/>
      <c r="WAM750" s="574"/>
      <c r="WAN750" s="574"/>
      <c r="WAO750" s="574"/>
      <c r="WAP750" s="574"/>
      <c r="WAQ750" s="574"/>
      <c r="WAR750" s="574"/>
      <c r="WAS750" s="574"/>
      <c r="WAT750" s="574"/>
      <c r="WAU750" s="574"/>
      <c r="WAV750" s="574"/>
      <c r="WAW750" s="574"/>
      <c r="WAX750" s="574"/>
      <c r="WAY750" s="574"/>
      <c r="WAZ750" s="574"/>
      <c r="WBA750" s="574"/>
      <c r="WBB750" s="574"/>
      <c r="WBC750" s="574"/>
      <c r="WBD750" s="574"/>
      <c r="WBE750" s="574"/>
      <c r="WBF750" s="574"/>
      <c r="WBG750" s="574"/>
      <c r="WBH750" s="574"/>
      <c r="WBI750" s="574"/>
      <c r="WBJ750" s="574"/>
      <c r="WBK750" s="574"/>
      <c r="WBL750" s="574"/>
      <c r="WBM750" s="574"/>
      <c r="WBN750" s="574"/>
      <c r="WBO750" s="574"/>
      <c r="WBP750" s="574"/>
      <c r="WBQ750" s="574"/>
      <c r="WBR750" s="574"/>
      <c r="WBS750" s="574"/>
      <c r="WBT750" s="574"/>
      <c r="WBU750" s="574"/>
      <c r="WBV750" s="574"/>
      <c r="WBW750" s="574"/>
      <c r="WBX750" s="574"/>
      <c r="WBY750" s="574"/>
      <c r="WBZ750" s="574"/>
      <c r="WCA750" s="574"/>
      <c r="WCB750" s="574"/>
      <c r="WCC750" s="574"/>
      <c r="WCD750" s="574"/>
      <c r="WCE750" s="574"/>
      <c r="WCF750" s="574"/>
      <c r="WCG750" s="574"/>
      <c r="WCH750" s="574"/>
      <c r="WCI750" s="574"/>
      <c r="WCJ750" s="574"/>
      <c r="WCK750" s="574"/>
      <c r="WCL750" s="574"/>
      <c r="WCM750" s="574"/>
      <c r="WCN750" s="574"/>
      <c r="WCO750" s="574"/>
      <c r="WCP750" s="574"/>
      <c r="WCQ750" s="574"/>
      <c r="WCR750" s="574"/>
      <c r="WCS750" s="574"/>
      <c r="WCT750" s="574"/>
      <c r="WCU750" s="574"/>
      <c r="WCV750" s="574"/>
      <c r="WCW750" s="574"/>
      <c r="WCX750" s="574"/>
      <c r="WCY750" s="574"/>
      <c r="WCZ750" s="574"/>
      <c r="WDA750" s="574"/>
      <c r="WDB750" s="574"/>
      <c r="WDC750" s="574"/>
      <c r="WDD750" s="574"/>
      <c r="WDE750" s="574"/>
      <c r="WDF750" s="574"/>
      <c r="WDG750" s="574"/>
      <c r="WDH750" s="574"/>
      <c r="WDI750" s="574"/>
      <c r="WDJ750" s="574"/>
      <c r="WDK750" s="574"/>
      <c r="WDL750" s="574"/>
      <c r="WDM750" s="574"/>
      <c r="WDN750" s="574"/>
      <c r="WDO750" s="574"/>
      <c r="WDP750" s="574"/>
      <c r="WDQ750" s="574"/>
      <c r="WDR750" s="574"/>
      <c r="WDS750" s="574"/>
      <c r="WDT750" s="574"/>
      <c r="WDU750" s="574"/>
      <c r="WDV750" s="574"/>
      <c r="WDW750" s="574"/>
      <c r="WDX750" s="574"/>
      <c r="WDY750" s="574"/>
      <c r="WDZ750" s="574"/>
      <c r="WEA750" s="574"/>
      <c r="WEB750" s="574"/>
      <c r="WEC750" s="574"/>
      <c r="WED750" s="574"/>
      <c r="WEE750" s="574"/>
      <c r="WEF750" s="574"/>
      <c r="WEG750" s="574"/>
      <c r="WEH750" s="574"/>
      <c r="WEI750" s="574"/>
      <c r="WEJ750" s="574"/>
      <c r="WEK750" s="574"/>
      <c r="WEL750" s="574"/>
      <c r="WEM750" s="574"/>
      <c r="WEN750" s="574"/>
      <c r="WEO750" s="574"/>
      <c r="WEP750" s="574"/>
      <c r="WEQ750" s="574"/>
      <c r="WER750" s="574"/>
      <c r="WES750" s="574"/>
      <c r="WET750" s="574"/>
      <c r="WEU750" s="574"/>
      <c r="WEV750" s="574"/>
      <c r="WEW750" s="574"/>
      <c r="WEX750" s="574"/>
      <c r="WEY750" s="574"/>
      <c r="WEZ750" s="574"/>
      <c r="WFA750" s="574"/>
      <c r="WFB750" s="574"/>
      <c r="WFC750" s="574"/>
      <c r="WFD750" s="574"/>
      <c r="WFE750" s="574"/>
      <c r="WFF750" s="574"/>
      <c r="WFG750" s="574"/>
      <c r="WFH750" s="574"/>
      <c r="WFI750" s="574"/>
      <c r="WFJ750" s="574"/>
      <c r="WFK750" s="574"/>
      <c r="WFL750" s="574"/>
      <c r="WFM750" s="574"/>
      <c r="WFN750" s="574"/>
      <c r="WFO750" s="574"/>
      <c r="WFP750" s="574"/>
      <c r="WFQ750" s="574"/>
      <c r="WFR750" s="574"/>
      <c r="WFS750" s="574"/>
      <c r="WFT750" s="574"/>
      <c r="WFU750" s="574"/>
      <c r="WFV750" s="574"/>
      <c r="WFW750" s="574"/>
      <c r="WFX750" s="574"/>
      <c r="WFY750" s="574"/>
      <c r="WFZ750" s="574"/>
      <c r="WGA750" s="574"/>
      <c r="WGB750" s="574"/>
      <c r="WGC750" s="574"/>
      <c r="WGD750" s="574"/>
      <c r="WGE750" s="574"/>
      <c r="WGF750" s="574"/>
      <c r="WGG750" s="574"/>
      <c r="WGH750" s="574"/>
      <c r="WGI750" s="574"/>
      <c r="WGJ750" s="574"/>
      <c r="WGK750" s="574"/>
      <c r="WGL750" s="574"/>
      <c r="WGM750" s="574"/>
      <c r="WGN750" s="574"/>
      <c r="WGO750" s="574"/>
      <c r="WGP750" s="574"/>
      <c r="WGQ750" s="574"/>
      <c r="WGR750" s="574"/>
      <c r="WGS750" s="574"/>
      <c r="WGT750" s="574"/>
      <c r="WGU750" s="574"/>
      <c r="WGV750" s="574"/>
      <c r="WGW750" s="574"/>
      <c r="WGX750" s="574"/>
      <c r="WGY750" s="574"/>
      <c r="WGZ750" s="574"/>
      <c r="WHA750" s="574"/>
      <c r="WHB750" s="574"/>
      <c r="WHC750" s="574"/>
      <c r="WHD750" s="574"/>
      <c r="WHE750" s="574"/>
      <c r="WHF750" s="574"/>
      <c r="WHG750" s="574"/>
      <c r="WHH750" s="574"/>
      <c r="WHI750" s="574"/>
      <c r="WHJ750" s="574"/>
      <c r="WHK750" s="574"/>
      <c r="WHL750" s="574"/>
      <c r="WHM750" s="574"/>
      <c r="WHN750" s="574"/>
      <c r="WHO750" s="574"/>
      <c r="WHP750" s="574"/>
      <c r="WHQ750" s="574"/>
      <c r="WHR750" s="574"/>
      <c r="WHS750" s="574"/>
      <c r="WHT750" s="574"/>
      <c r="WHU750" s="574"/>
      <c r="WHV750" s="574"/>
      <c r="WHW750" s="574"/>
      <c r="WHX750" s="574"/>
      <c r="WHY750" s="574"/>
      <c r="WHZ750" s="574"/>
      <c r="WIA750" s="574"/>
      <c r="WIB750" s="574"/>
      <c r="WIC750" s="574"/>
      <c r="WID750" s="574"/>
      <c r="WIE750" s="574"/>
      <c r="WIF750" s="574"/>
      <c r="WIG750" s="574"/>
      <c r="WIH750" s="574"/>
      <c r="WII750" s="574"/>
      <c r="WIJ750" s="574"/>
      <c r="WIK750" s="574"/>
      <c r="WIL750" s="574"/>
      <c r="WIM750" s="574"/>
      <c r="WIN750" s="574"/>
      <c r="WIO750" s="574"/>
      <c r="WIP750" s="574"/>
      <c r="WIQ750" s="574"/>
      <c r="WIR750" s="574"/>
      <c r="WIS750" s="574"/>
      <c r="WIT750" s="574"/>
      <c r="WIU750" s="574"/>
      <c r="WIV750" s="574"/>
      <c r="WIW750" s="574"/>
      <c r="WIX750" s="574"/>
      <c r="WIY750" s="574"/>
      <c r="WIZ750" s="574"/>
      <c r="WJA750" s="574"/>
      <c r="WJB750" s="574"/>
      <c r="WJC750" s="574"/>
      <c r="WJD750" s="574"/>
      <c r="WJE750" s="574"/>
      <c r="WJF750" s="574"/>
      <c r="WJG750" s="574"/>
      <c r="WJH750" s="574"/>
      <c r="WJI750" s="574"/>
      <c r="WJJ750" s="574"/>
      <c r="WJK750" s="574"/>
      <c r="WJL750" s="574"/>
      <c r="WJM750" s="574"/>
      <c r="WJN750" s="574"/>
      <c r="WJO750" s="574"/>
      <c r="WJP750" s="574"/>
      <c r="WJQ750" s="574"/>
      <c r="WJR750" s="574"/>
      <c r="WJS750" s="574"/>
      <c r="WJT750" s="574"/>
      <c r="WJU750" s="574"/>
      <c r="WJV750" s="574"/>
      <c r="WJW750" s="574"/>
      <c r="WJX750" s="574"/>
      <c r="WJY750" s="574"/>
      <c r="WJZ750" s="574"/>
      <c r="WKA750" s="574"/>
      <c r="WKB750" s="574"/>
      <c r="WKC750" s="574"/>
      <c r="WKD750" s="574"/>
      <c r="WKE750" s="574"/>
      <c r="WKF750" s="574"/>
      <c r="WKG750" s="574"/>
      <c r="WKH750" s="574"/>
      <c r="WKI750" s="574"/>
      <c r="WKJ750" s="574"/>
      <c r="WKK750" s="574"/>
      <c r="WKL750" s="574"/>
      <c r="WKM750" s="574"/>
      <c r="WKN750" s="574"/>
      <c r="WKO750" s="574"/>
      <c r="WKP750" s="574"/>
      <c r="WKQ750" s="574"/>
      <c r="WKR750" s="574"/>
      <c r="WKS750" s="574"/>
      <c r="WKT750" s="574"/>
      <c r="WKU750" s="574"/>
      <c r="WKV750" s="574"/>
      <c r="WKW750" s="574"/>
      <c r="WKX750" s="574"/>
      <c r="WKY750" s="574"/>
      <c r="WKZ750" s="574"/>
      <c r="WLA750" s="574"/>
      <c r="WLB750" s="574"/>
      <c r="WLC750" s="574"/>
      <c r="WLD750" s="574"/>
      <c r="WLE750" s="574"/>
      <c r="WLF750" s="574"/>
      <c r="WLG750" s="574"/>
      <c r="WLH750" s="574"/>
      <c r="WLI750" s="574"/>
      <c r="WLJ750" s="574"/>
      <c r="WLK750" s="574"/>
      <c r="WLL750" s="574"/>
      <c r="WLM750" s="574"/>
      <c r="WLN750" s="574"/>
      <c r="WLO750" s="574"/>
      <c r="WLP750" s="574"/>
      <c r="WLQ750" s="574"/>
      <c r="WLR750" s="574"/>
      <c r="WLS750" s="574"/>
      <c r="WLT750" s="574"/>
      <c r="WLU750" s="574"/>
      <c r="WLV750" s="574"/>
      <c r="WLW750" s="574"/>
      <c r="WLX750" s="574"/>
      <c r="WLY750" s="574"/>
      <c r="WLZ750" s="574"/>
      <c r="WMA750" s="574"/>
      <c r="WMB750" s="574"/>
      <c r="WMC750" s="574"/>
      <c r="WMD750" s="574"/>
      <c r="WME750" s="574"/>
      <c r="WMF750" s="574"/>
      <c r="WMG750" s="574"/>
      <c r="WMH750" s="574"/>
      <c r="WMI750" s="574"/>
      <c r="WMJ750" s="574"/>
      <c r="WMK750" s="574"/>
      <c r="WML750" s="574"/>
      <c r="WMM750" s="574"/>
      <c r="WMN750" s="574"/>
      <c r="WMO750" s="574"/>
      <c r="WMP750" s="574"/>
      <c r="WMQ750" s="574"/>
      <c r="WMR750" s="574"/>
      <c r="WMS750" s="574"/>
      <c r="WMT750" s="574"/>
      <c r="WMU750" s="574"/>
      <c r="WMV750" s="574"/>
      <c r="WMW750" s="574"/>
      <c r="WMX750" s="574"/>
      <c r="WMY750" s="574"/>
      <c r="WMZ750" s="574"/>
      <c r="WNA750" s="574"/>
      <c r="WNB750" s="574"/>
      <c r="WNC750" s="574"/>
      <c r="WND750" s="574"/>
      <c r="WNE750" s="574"/>
      <c r="WNF750" s="574"/>
      <c r="WNG750" s="574"/>
      <c r="WNH750" s="574"/>
      <c r="WNI750" s="574"/>
      <c r="WNJ750" s="574"/>
      <c r="WNK750" s="574"/>
      <c r="WNL750" s="574"/>
      <c r="WNM750" s="574"/>
      <c r="WNN750" s="574"/>
      <c r="WNO750" s="574"/>
      <c r="WNP750" s="574"/>
      <c r="WNQ750" s="574"/>
      <c r="WNR750" s="574"/>
      <c r="WNS750" s="574"/>
      <c r="WNT750" s="574"/>
      <c r="WNU750" s="574"/>
      <c r="WNV750" s="574"/>
      <c r="WNW750" s="574"/>
      <c r="WNX750" s="574"/>
      <c r="WNY750" s="574"/>
      <c r="WNZ750" s="574"/>
      <c r="WOA750" s="574"/>
      <c r="WOB750" s="574"/>
      <c r="WOC750" s="574"/>
      <c r="WOD750" s="574"/>
      <c r="WOE750" s="574"/>
      <c r="WOF750" s="574"/>
      <c r="WOG750" s="574"/>
      <c r="WOH750" s="574"/>
      <c r="WOI750" s="574"/>
      <c r="WOJ750" s="574"/>
      <c r="WOK750" s="574"/>
      <c r="WOL750" s="574"/>
      <c r="WOM750" s="574"/>
      <c r="WON750" s="574"/>
      <c r="WOO750" s="574"/>
      <c r="WOP750" s="574"/>
      <c r="WOQ750" s="574"/>
      <c r="WOR750" s="574"/>
      <c r="WOS750" s="574"/>
      <c r="WOT750" s="574"/>
      <c r="WOU750" s="574"/>
      <c r="WOV750" s="574"/>
      <c r="WOW750" s="574"/>
      <c r="WOX750" s="574"/>
      <c r="WOY750" s="574"/>
      <c r="WOZ750" s="574"/>
      <c r="WPA750" s="574"/>
      <c r="WPB750" s="574"/>
      <c r="WPC750" s="574"/>
      <c r="WPD750" s="574"/>
      <c r="WPE750" s="574"/>
      <c r="WPF750" s="574"/>
      <c r="WPG750" s="574"/>
      <c r="WPH750" s="574"/>
      <c r="WPI750" s="574"/>
      <c r="WPJ750" s="574"/>
      <c r="WPK750" s="574"/>
      <c r="WPL750" s="574"/>
      <c r="WPM750" s="574"/>
      <c r="WPN750" s="574"/>
      <c r="WPO750" s="574"/>
      <c r="WPP750" s="574"/>
      <c r="WPQ750" s="574"/>
      <c r="WPR750" s="574"/>
      <c r="WPS750" s="574"/>
      <c r="WPT750" s="574"/>
      <c r="WPU750" s="574"/>
      <c r="WPV750" s="574"/>
      <c r="WPW750" s="574"/>
      <c r="WPX750" s="574"/>
      <c r="WPY750" s="574"/>
      <c r="WPZ750" s="574"/>
      <c r="WQA750" s="574"/>
      <c r="WQB750" s="574"/>
      <c r="WQC750" s="574"/>
      <c r="WQD750" s="574"/>
      <c r="WQE750" s="574"/>
      <c r="WQF750" s="574"/>
      <c r="WQG750" s="574"/>
      <c r="WQH750" s="574"/>
      <c r="WQI750" s="574"/>
      <c r="WQJ750" s="574"/>
      <c r="WQK750" s="574"/>
      <c r="WQL750" s="574"/>
      <c r="WQM750" s="574"/>
      <c r="WQN750" s="574"/>
      <c r="WQO750" s="574"/>
      <c r="WQP750" s="574"/>
      <c r="WQQ750" s="574"/>
      <c r="WQR750" s="574"/>
      <c r="WQS750" s="574"/>
      <c r="WQT750" s="574"/>
      <c r="WQU750" s="574"/>
      <c r="WQV750" s="574"/>
      <c r="WQW750" s="574"/>
      <c r="WQX750" s="574"/>
      <c r="WQY750" s="574"/>
      <c r="WQZ750" s="574"/>
      <c r="WRA750" s="574"/>
      <c r="WRB750" s="574"/>
      <c r="WRC750" s="574"/>
      <c r="WRD750" s="574"/>
      <c r="WRE750" s="574"/>
      <c r="WRF750" s="574"/>
      <c r="WRG750" s="574"/>
      <c r="WRH750" s="574"/>
      <c r="WRI750" s="574"/>
      <c r="WRJ750" s="574"/>
      <c r="WRK750" s="574"/>
      <c r="WRL750" s="574"/>
      <c r="WRM750" s="574"/>
      <c r="WRN750" s="574"/>
      <c r="WRO750" s="574"/>
      <c r="WRP750" s="574"/>
      <c r="WRQ750" s="574"/>
      <c r="WRR750" s="574"/>
      <c r="WRS750" s="574"/>
      <c r="WRT750" s="574"/>
      <c r="WRU750" s="574"/>
      <c r="WRV750" s="574"/>
      <c r="WRW750" s="574"/>
      <c r="WRX750" s="574"/>
      <c r="WRY750" s="574"/>
      <c r="WRZ750" s="574"/>
      <c r="WSA750" s="574"/>
      <c r="WSB750" s="574"/>
      <c r="WSC750" s="574"/>
      <c r="WSD750" s="574"/>
      <c r="WSE750" s="574"/>
      <c r="WSF750" s="574"/>
      <c r="WSG750" s="574"/>
      <c r="WSH750" s="574"/>
      <c r="WSI750" s="574"/>
      <c r="WSJ750" s="574"/>
      <c r="WSK750" s="574"/>
      <c r="WSL750" s="574"/>
      <c r="WSM750" s="574"/>
      <c r="WSN750" s="574"/>
      <c r="WSO750" s="574"/>
      <c r="WSP750" s="574"/>
      <c r="WSQ750" s="574"/>
      <c r="WSR750" s="574"/>
      <c r="WSS750" s="574"/>
      <c r="WST750" s="574"/>
      <c r="WSU750" s="574"/>
      <c r="WSV750" s="574"/>
      <c r="WSW750" s="574"/>
      <c r="WSX750" s="574"/>
      <c r="WSY750" s="574"/>
      <c r="WSZ750" s="574"/>
      <c r="WTA750" s="574"/>
      <c r="WTB750" s="574"/>
      <c r="WTC750" s="574"/>
      <c r="WTD750" s="574"/>
      <c r="WTE750" s="574"/>
      <c r="WTF750" s="574"/>
      <c r="WTG750" s="574"/>
      <c r="WTH750" s="574"/>
      <c r="WTI750" s="574"/>
      <c r="WTJ750" s="574"/>
      <c r="WTK750" s="574"/>
      <c r="WTL750" s="574"/>
      <c r="WTM750" s="574"/>
      <c r="WTN750" s="574"/>
      <c r="WTO750" s="574"/>
      <c r="WTP750" s="574"/>
      <c r="WTQ750" s="574"/>
      <c r="WTR750" s="574"/>
      <c r="WTS750" s="574"/>
      <c r="WTT750" s="574"/>
      <c r="WTU750" s="574"/>
      <c r="WTV750" s="574"/>
      <c r="WTW750" s="574"/>
      <c r="WTX750" s="574"/>
      <c r="WTY750" s="574"/>
      <c r="WTZ750" s="574"/>
      <c r="WUA750" s="574"/>
      <c r="WUB750" s="574"/>
      <c r="WUC750" s="574"/>
      <c r="WUD750" s="574"/>
      <c r="WUE750" s="574"/>
      <c r="WUF750" s="574"/>
      <c r="WUG750" s="574"/>
      <c r="WUH750" s="574"/>
      <c r="WUI750" s="574"/>
      <c r="WUJ750" s="574"/>
      <c r="WUK750" s="574"/>
      <c r="WUL750" s="574"/>
      <c r="WUM750" s="574"/>
      <c r="WUN750" s="574"/>
      <c r="WUO750" s="574"/>
      <c r="WUP750" s="574"/>
      <c r="WUQ750" s="574"/>
      <c r="WUR750" s="574"/>
      <c r="WUS750" s="574"/>
      <c r="WUT750" s="574"/>
      <c r="WUU750" s="574"/>
      <c r="WUV750" s="574"/>
      <c r="WUW750" s="574"/>
      <c r="WUX750" s="574"/>
      <c r="WUY750" s="574"/>
      <c r="WUZ750" s="574"/>
      <c r="WVA750" s="574"/>
      <c r="WVB750" s="574"/>
      <c r="WVC750" s="574"/>
      <c r="WVD750" s="574"/>
      <c r="WVE750" s="574"/>
      <c r="WVF750" s="574"/>
      <c r="WVG750" s="574"/>
      <c r="WVH750" s="574"/>
      <c r="WVI750" s="574"/>
      <c r="WVJ750" s="574"/>
      <c r="WVK750" s="574"/>
      <c r="WVL750" s="574"/>
      <c r="WVM750" s="574"/>
      <c r="WVN750" s="574"/>
      <c r="WVO750" s="574"/>
      <c r="WVP750" s="574"/>
      <c r="WVQ750" s="574"/>
      <c r="WVR750" s="574"/>
      <c r="WVS750" s="574"/>
      <c r="WVT750" s="574"/>
      <c r="WVU750" s="574"/>
      <c r="WVV750" s="574"/>
      <c r="WVW750" s="574"/>
      <c r="WVX750" s="574"/>
      <c r="WVY750" s="574"/>
      <c r="WVZ750" s="574"/>
      <c r="WWA750" s="574"/>
      <c r="WWB750" s="574"/>
      <c r="WWC750" s="574"/>
      <c r="WWD750" s="574"/>
      <c r="WWE750" s="574"/>
      <c r="WWF750" s="574"/>
      <c r="WWG750" s="574"/>
      <c r="WWH750" s="574"/>
      <c r="WWI750" s="574"/>
      <c r="WWJ750" s="574"/>
      <c r="WWK750" s="574"/>
      <c r="WWL750" s="574"/>
      <c r="WWM750" s="574"/>
      <c r="WWN750" s="574"/>
      <c r="WWO750" s="574"/>
      <c r="WWP750" s="574"/>
      <c r="WWQ750" s="574"/>
      <c r="WWR750" s="574"/>
      <c r="WWS750" s="574"/>
      <c r="WWT750" s="574"/>
      <c r="WWU750" s="574"/>
      <c r="WWV750" s="574"/>
      <c r="WWW750" s="574"/>
      <c r="WWX750" s="574"/>
      <c r="WWY750" s="574"/>
      <c r="WWZ750" s="574"/>
      <c r="WXA750" s="574"/>
      <c r="WXB750" s="574"/>
      <c r="WXC750" s="574"/>
      <c r="WXD750" s="574"/>
      <c r="WXE750" s="574"/>
      <c r="WXF750" s="574"/>
      <c r="WXG750" s="574"/>
      <c r="WXH750" s="574"/>
      <c r="WXI750" s="574"/>
      <c r="WXJ750" s="574"/>
      <c r="WXK750" s="574"/>
      <c r="WXL750" s="574"/>
      <c r="WXM750" s="574"/>
      <c r="WXN750" s="574"/>
      <c r="WXO750" s="574"/>
      <c r="WXP750" s="574"/>
      <c r="WXQ750" s="574"/>
      <c r="WXR750" s="574"/>
      <c r="WXS750" s="574"/>
      <c r="WXT750" s="574"/>
      <c r="WXU750" s="574"/>
      <c r="WXV750" s="574"/>
      <c r="WXW750" s="574"/>
      <c r="WXX750" s="574"/>
      <c r="WXY750" s="574"/>
      <c r="WXZ750" s="574"/>
      <c r="WYA750" s="574"/>
      <c r="WYB750" s="574"/>
      <c r="WYC750" s="574"/>
      <c r="WYD750" s="574"/>
      <c r="WYE750" s="574"/>
      <c r="WYF750" s="574"/>
      <c r="WYG750" s="574"/>
      <c r="WYH750" s="574"/>
      <c r="WYI750" s="574"/>
      <c r="WYJ750" s="574"/>
      <c r="WYK750" s="574"/>
      <c r="WYL750" s="574"/>
      <c r="WYM750" s="574"/>
      <c r="WYN750" s="574"/>
      <c r="WYO750" s="574"/>
      <c r="WYP750" s="574"/>
      <c r="WYQ750" s="574"/>
      <c r="WYR750" s="574"/>
      <c r="WYS750" s="574"/>
      <c r="WYT750" s="574"/>
      <c r="WYU750" s="574"/>
      <c r="WYV750" s="574"/>
      <c r="WYW750" s="574"/>
      <c r="WYX750" s="574"/>
      <c r="WYY750" s="574"/>
      <c r="WYZ750" s="574"/>
      <c r="WZA750" s="574"/>
      <c r="WZB750" s="574"/>
      <c r="WZC750" s="574"/>
      <c r="WZD750" s="574"/>
      <c r="WZE750" s="574"/>
      <c r="WZF750" s="574"/>
      <c r="WZG750" s="574"/>
      <c r="WZH750" s="574"/>
      <c r="WZI750" s="574"/>
      <c r="WZJ750" s="574"/>
      <c r="WZK750" s="574"/>
      <c r="WZL750" s="574"/>
      <c r="WZM750" s="574"/>
      <c r="WZN750" s="574"/>
      <c r="WZO750" s="574"/>
      <c r="WZP750" s="574"/>
      <c r="WZQ750" s="574"/>
      <c r="WZR750" s="574"/>
      <c r="WZS750" s="574"/>
      <c r="WZT750" s="574"/>
      <c r="WZU750" s="574"/>
      <c r="WZV750" s="574"/>
      <c r="WZW750" s="574"/>
      <c r="WZX750" s="574"/>
      <c r="WZY750" s="574"/>
      <c r="WZZ750" s="574"/>
      <c r="XAA750" s="574"/>
      <c r="XAB750" s="574"/>
      <c r="XAC750" s="574"/>
      <c r="XAD750" s="574"/>
      <c r="XAE750" s="574"/>
      <c r="XAF750" s="574"/>
      <c r="XAG750" s="574"/>
      <c r="XAH750" s="574"/>
      <c r="XAI750" s="574"/>
      <c r="XAJ750" s="574"/>
      <c r="XAK750" s="574"/>
      <c r="XAL750" s="574"/>
      <c r="XAM750" s="574"/>
      <c r="XAN750" s="574"/>
      <c r="XAO750" s="574"/>
      <c r="XAP750" s="574"/>
      <c r="XAQ750" s="574"/>
      <c r="XAR750" s="574"/>
      <c r="XAS750" s="574"/>
      <c r="XAT750" s="574"/>
      <c r="XAU750" s="574"/>
      <c r="XAV750" s="574"/>
      <c r="XAW750" s="574"/>
      <c r="XAX750" s="574"/>
      <c r="XAY750" s="574"/>
      <c r="XAZ750" s="574"/>
      <c r="XBA750" s="574"/>
      <c r="XBB750" s="574"/>
      <c r="XBC750" s="574"/>
      <c r="XBD750" s="574"/>
      <c r="XBE750" s="574"/>
      <c r="XBF750" s="574"/>
      <c r="XBG750" s="574"/>
      <c r="XBH750" s="574"/>
      <c r="XBI750" s="574"/>
      <c r="XBJ750" s="574"/>
      <c r="XBK750" s="574"/>
      <c r="XBL750" s="574"/>
      <c r="XBM750" s="574"/>
      <c r="XBN750" s="574"/>
      <c r="XBO750" s="574"/>
      <c r="XBP750" s="574"/>
      <c r="XBQ750" s="574"/>
      <c r="XBR750" s="574"/>
      <c r="XBS750" s="574"/>
      <c r="XBT750" s="574"/>
      <c r="XBU750" s="574"/>
      <c r="XBV750" s="574"/>
      <c r="XBW750" s="574"/>
      <c r="XBX750" s="574"/>
      <c r="XBY750" s="574"/>
      <c r="XBZ750" s="574"/>
      <c r="XCA750" s="574"/>
      <c r="XCB750" s="574"/>
      <c r="XCC750" s="574"/>
      <c r="XCD750" s="574"/>
      <c r="XCE750" s="574"/>
      <c r="XCF750" s="574"/>
      <c r="XCG750" s="574"/>
      <c r="XCH750" s="574"/>
      <c r="XCI750" s="574"/>
      <c r="XCJ750" s="574"/>
      <c r="XCK750" s="574"/>
      <c r="XCL750" s="574"/>
      <c r="XCM750" s="574"/>
      <c r="XCN750" s="574"/>
      <c r="XCO750" s="574"/>
      <c r="XCP750" s="574"/>
      <c r="XCQ750" s="574"/>
      <c r="XCR750" s="574"/>
      <c r="XCS750" s="574"/>
      <c r="XCT750" s="574"/>
      <c r="XCU750" s="574"/>
      <c r="XCV750" s="574"/>
      <c r="XCW750" s="574"/>
      <c r="XCX750" s="574"/>
      <c r="XCY750" s="574"/>
      <c r="XCZ750" s="574"/>
      <c r="XDA750" s="574"/>
      <c r="XDB750" s="574"/>
      <c r="XDC750" s="574"/>
      <c r="XDD750" s="574"/>
      <c r="XDE750" s="574"/>
      <c r="XDF750" s="574"/>
      <c r="XDG750" s="574"/>
      <c r="XDH750" s="574"/>
      <c r="XDI750" s="574"/>
      <c r="XDJ750" s="574"/>
      <c r="XDK750" s="574"/>
      <c r="XDL750" s="574"/>
      <c r="XDM750" s="574"/>
      <c r="XDN750" s="574"/>
      <c r="XDO750" s="574"/>
      <c r="XDP750" s="574"/>
      <c r="XDQ750" s="574"/>
      <c r="XDR750" s="574"/>
      <c r="XDS750" s="574"/>
      <c r="XDT750" s="574"/>
      <c r="XDU750" s="574"/>
      <c r="XDV750" s="574"/>
      <c r="XDW750" s="574"/>
      <c r="XDX750" s="574"/>
      <c r="XDY750" s="574"/>
      <c r="XDZ750" s="574"/>
      <c r="XEA750" s="574"/>
      <c r="XEB750" s="574"/>
      <c r="XEC750" s="574"/>
      <c r="XED750" s="574"/>
      <c r="XEE750" s="574"/>
      <c r="XEF750" s="574"/>
      <c r="XEG750" s="574"/>
      <c r="XEH750" s="574"/>
      <c r="XEI750" s="574"/>
      <c r="XEJ750" s="574"/>
      <c r="XEK750" s="574"/>
      <c r="XEL750" s="574"/>
      <c r="XEM750" s="574"/>
      <c r="XEN750" s="574"/>
      <c r="XEO750" s="574"/>
      <c r="XEP750" s="574"/>
      <c r="XEQ750" s="574"/>
      <c r="XER750" s="574"/>
      <c r="XES750" s="574"/>
      <c r="XET750" s="574"/>
      <c r="XEU750" s="574"/>
      <c r="XEV750" s="574"/>
      <c r="XEW750" s="574"/>
      <c r="XEX750" s="574"/>
      <c r="XEY750" s="574"/>
      <c r="XEZ750" s="574"/>
      <c r="XFA750" s="574"/>
      <c r="XFB750" s="574"/>
    </row>
    <row r="751" spans="1:16382" ht="34.5" customHeight="1">
      <c r="A751" s="548">
        <v>1029</v>
      </c>
      <c r="B751" s="549">
        <v>621</v>
      </c>
      <c r="C751" s="550" t="s">
        <v>2126</v>
      </c>
      <c r="D751" s="227" t="s">
        <v>583</v>
      </c>
      <c r="E751" s="440" t="s">
        <v>94</v>
      </c>
      <c r="F751" s="227" t="s">
        <v>1376</v>
      </c>
      <c r="G751" s="551" t="s">
        <v>1203</v>
      </c>
      <c r="H751" s="552">
        <v>98763224</v>
      </c>
      <c r="I751" s="553">
        <v>7150000</v>
      </c>
      <c r="J751" s="554">
        <v>29076667</v>
      </c>
      <c r="K751" s="555" t="s">
        <v>42</v>
      </c>
      <c r="L751" s="556" t="s">
        <v>3019</v>
      </c>
      <c r="M751" s="224" t="s">
        <v>605</v>
      </c>
      <c r="N751" s="557" t="e" cm="1">
        <f t="array" aca="1" ref="N751" ca="1">_xlfn.XLOOKUP(Contrato5[[#This Row],[SUPERVISOR TITULAR]],[2]!PERSONAL_ACTIVO_2024[[#All],[Nombre completo]],[2]!PERSONAL_ACTIVO_2024[[#All],[Documento identidad]],"",0)</f>
        <v>#NAME?</v>
      </c>
      <c r="O751" s="224" t="s">
        <v>984</v>
      </c>
      <c r="P751" s="558" t="e" cm="1">
        <f t="array" aca="1" ref="P751" ca="1">_xlfn.XLOOKUP(Contrato5[[#This Row],[SUPERVISOR SUPLENTE ]],[2]!PERSONAL_ACTIVO_2024[[#All],[Nombre completo]],[2]!PERSONAL_ACTIVO_2024[[#All],[Documento identidad]],"",0)</f>
        <v>#NAME?</v>
      </c>
      <c r="Q751" s="559">
        <v>842</v>
      </c>
      <c r="R751" s="560" t="e" cm="1">
        <f t="array" aca="1" ref="R751" ca="1">_xlfn.XLOOKUP(Contrato5[[#This Row],[CDP]],[2]!DISPONIBILIDADES_2024[[#All],[consecutivo]],[2]!DISPONIBILIDADES_2024[[#All],[fecha_aprobacion]],"",0)</f>
        <v>#NAME?</v>
      </c>
      <c r="S751" s="561" t="e">
        <f>SUMIF([2]!DISPONIBILIDADES_2024[[#All],[consecutivo]],Contrato5[[#This Row],[CDP]],[2]!DISPONIBILIDADES_2024[[#All],[valor_total_rubro]])</f>
        <v>#REF!</v>
      </c>
      <c r="T751" s="562" t="e" cm="1">
        <f t="array" aca="1" ref="T751" ca="1">_xlfn.XLOOKUP(Contrato5[[#This Row],[CONTRATO]]&amp;Contrato5[[#This Row],[CDP]],[2]!Corr_Contr_CDP[[#All],[CONTRATO-CDP]],[2]!Corr_Contr_CDP[[#All],[CRP]],_xlfn.XLOOKUP(Contrato5[[#This Row],[CDP]],[2]!COMPROMISOS_2024[[#All],[disponibilidad]],[2]!COMPROMISOS_2024[[#All],[consecutivo]],"",0),0)</f>
        <v>#NAME?</v>
      </c>
      <c r="U751" s="563" t="e" cm="1">
        <f t="array" aca="1" ref="U751" ca="1">+_xlfn.XLOOKUP(Contrato5[[#This Row],[RCP]],[2]!COMPROMISOS_2024[[#All],[consecutivo]],[2]!COMPROMISOS_2024[[#All],[fecha_aprobacion]],"",0)</f>
        <v>#NAME?</v>
      </c>
      <c r="V751" s="564" t="e">
        <f ca="1">SUMIF([2]!COMPROMISOS_2024[[#All],[consecutivo]],Contrato5[[#This Row],[RCP]],[2]!COMPROMISOS_2024[[#All],[valor_total]])</f>
        <v>#REF!</v>
      </c>
      <c r="W751" s="160">
        <v>45547</v>
      </c>
      <c r="X751" s="160" t="s">
        <v>1045</v>
      </c>
      <c r="Y751" s="143">
        <v>45547</v>
      </c>
      <c r="Z751" s="262">
        <v>45657</v>
      </c>
      <c r="AA751" s="183" t="s">
        <v>3033</v>
      </c>
      <c r="AB751" s="172" t="s">
        <v>3034</v>
      </c>
      <c r="AC751" s="172"/>
      <c r="AD751" s="565">
        <v>202000005340</v>
      </c>
      <c r="AE751" s="548" t="s">
        <v>523</v>
      </c>
      <c r="AF751" s="566" t="str">
        <f>TEXT(LEFT(Contrato5[[#This Row],[CONTRATO]],3),"0")</f>
        <v>621</v>
      </c>
      <c r="AG751" s="566" t="str">
        <f>IF(LEN(Contrato5[[#This Row],[Contrato2]])=3,Contrato5[[#This Row],[Contrato2]],TEXT(Contrato5[[#This Row],[Contrato2]],"000"))</f>
        <v>621</v>
      </c>
      <c r="AH751" s="567">
        <f ca="1">IFERROR(_xlfn.DAYS(Contrato5[[#This Row],[Fecha Proyectada liquidación]],TODAY())/30,"")</f>
        <v>0.6333333333333333</v>
      </c>
      <c r="AI751" s="568">
        <f>+Contrato5[[#This Row],[FECHA TERMINACIÓN ]]+120</f>
        <v>45777</v>
      </c>
      <c r="AJ751" s="548"/>
      <c r="AK751" s="569" t="str">
        <f ca="1">IF(Contrato5[[#This Row],[FECHA TERMINACIÓN ]]&lt;TODAY(), "Terminado",IF(ISNUMBER(Contrato5[[#This Row],[Fecha Real de liquiidación ]]),"Liquidado",IF(Contrato5[[#This Row],[FECHA TERMINACIÓN ]]&gt;=TODAY(),"En ejecución","")))</f>
        <v>Terminado</v>
      </c>
      <c r="AL751" s="570" t="e">
        <f ca="1">SUMIF([2]!COMPROMISOS_2024[[#All],[consecutivo]],Contrato5[[#This Row],[RCP]],[2]!COMPROMISOS_2024[[#All],[Total pagado]])</f>
        <v>#REF!</v>
      </c>
      <c r="AM751" s="571">
        <f ca="1">IFERROR(Contrato5[[#This Row],[Pagos]]/Contrato5[[#This Row],[VALOR CONTRATO]],0)</f>
        <v>0</v>
      </c>
      <c r="AN751" s="572" t="e">
        <f ca="1">+Contrato5[[#This Row],[VALOR CONTRATO]]-Contrato5[[#This Row],[Pagos]]</f>
        <v>#REF!</v>
      </c>
      <c r="AO751" s="548" t="e" cm="1">
        <f t="array" aca="1" ref="AO751" ca="1">_xlfn.XLOOKUP(Contrato5[[#This Row],[DOCUMENTO ]],[2]!PERSONAL_ACTIVO_2024[[#All],[Documento identidad]],[2]!PERSONAL_ACTIVO_2024[[#All],[Mail ]],0,0)</f>
        <v>#NAME?</v>
      </c>
      <c r="AP751" s="548" t="e" cm="1">
        <f t="array" aca="1" ref="AP751" ca="1">_xlfn.XLOOKUP(Contrato5[[#This Row],[DOCUMENTO]],[2]!PERSONAL_ACTIVO_2024[[#All],[Documento identidad]],[2]!PERSONAL_ACTIVO_2024[[#All],[Mail ]],0,0)</f>
        <v>#NAME?</v>
      </c>
      <c r="AQ751" s="573" cm="1">
        <f t="array" aca="1" ref="AQ751" ca="1">IF(ISBLANK(Contrato5[[#This Row],[DEPENDENCIA ]]),0,IFERROR(_xlfn.XLOOKUP(Contrato5[[#This Row],[DEPENDENCIA ]],[2]!PERSONAL_ACTIVO_2024[[#All],[Dependencia]],[2]!PERSONAL_ACTIVO_2024[[#All],[Mail ]],0,0),0))</f>
        <v>0</v>
      </c>
      <c r="AR751" s="574"/>
      <c r="AS751" s="574"/>
      <c r="AT751" s="574"/>
      <c r="AU751" s="574"/>
      <c r="AV751" s="574"/>
      <c r="AW751" s="574"/>
      <c r="AX751" s="574"/>
      <c r="AY751" s="574"/>
      <c r="AZ751" s="574"/>
      <c r="BA751" s="574"/>
      <c r="BB751" s="574"/>
      <c r="BC751" s="574"/>
      <c r="BD751" s="574"/>
      <c r="BE751" s="574"/>
      <c r="BF751" s="574"/>
      <c r="BG751" s="574"/>
      <c r="BH751" s="574"/>
      <c r="BI751" s="574"/>
      <c r="BJ751" s="574"/>
      <c r="BK751" s="574"/>
      <c r="BL751" s="574"/>
      <c r="BM751" s="574"/>
      <c r="BN751" s="574"/>
      <c r="BO751" s="574"/>
      <c r="BP751" s="574"/>
      <c r="BQ751" s="574"/>
      <c r="BR751" s="574"/>
      <c r="BS751" s="574"/>
      <c r="BT751" s="574"/>
      <c r="BU751" s="574"/>
      <c r="BV751" s="574"/>
      <c r="BW751" s="574"/>
      <c r="BX751" s="574"/>
      <c r="BY751" s="574"/>
      <c r="BZ751" s="574"/>
      <c r="CA751" s="574"/>
      <c r="CB751" s="574"/>
      <c r="CC751" s="574"/>
      <c r="CD751" s="574"/>
      <c r="CE751" s="574"/>
      <c r="CF751" s="574"/>
      <c r="CG751" s="574"/>
      <c r="CH751" s="574"/>
      <c r="CI751" s="574"/>
      <c r="CJ751" s="574"/>
      <c r="CK751" s="574"/>
      <c r="CL751" s="574"/>
      <c r="CM751" s="574"/>
      <c r="CN751" s="574"/>
      <c r="CO751" s="574"/>
      <c r="CP751" s="574"/>
      <c r="CQ751" s="574"/>
      <c r="CR751" s="574"/>
      <c r="CS751" s="574"/>
      <c r="CT751" s="574"/>
      <c r="CU751" s="574"/>
      <c r="CV751" s="574"/>
      <c r="CW751" s="574"/>
      <c r="CX751" s="574"/>
      <c r="CY751" s="574"/>
      <c r="CZ751" s="574"/>
      <c r="DA751" s="574"/>
      <c r="DB751" s="574"/>
      <c r="DC751" s="574"/>
      <c r="DD751" s="574"/>
      <c r="DE751" s="574"/>
      <c r="DF751" s="574"/>
      <c r="DG751" s="574"/>
      <c r="DH751" s="574"/>
      <c r="DI751" s="574"/>
      <c r="DJ751" s="574"/>
      <c r="DK751" s="574"/>
      <c r="DL751" s="574"/>
      <c r="DM751" s="574"/>
      <c r="DN751" s="574"/>
      <c r="DO751" s="574"/>
      <c r="DP751" s="574"/>
      <c r="DQ751" s="574"/>
      <c r="DR751" s="574"/>
      <c r="DS751" s="574"/>
      <c r="DT751" s="574"/>
      <c r="DU751" s="574"/>
      <c r="DV751" s="574"/>
      <c r="DW751" s="574"/>
      <c r="DX751" s="574"/>
      <c r="DY751" s="574"/>
      <c r="DZ751" s="574"/>
      <c r="EA751" s="574"/>
      <c r="EB751" s="574"/>
      <c r="EC751" s="574"/>
      <c r="ED751" s="574"/>
      <c r="EE751" s="574"/>
      <c r="EF751" s="574"/>
      <c r="EG751" s="574"/>
      <c r="EH751" s="574"/>
      <c r="EI751" s="574"/>
      <c r="EJ751" s="574"/>
      <c r="EK751" s="574"/>
      <c r="EL751" s="574"/>
      <c r="EM751" s="574"/>
      <c r="EN751" s="574"/>
      <c r="EO751" s="574"/>
      <c r="EP751" s="574"/>
      <c r="EQ751" s="574"/>
      <c r="ER751" s="574"/>
      <c r="ES751" s="574"/>
      <c r="ET751" s="574"/>
      <c r="EU751" s="574"/>
      <c r="EV751" s="574"/>
      <c r="EW751" s="574"/>
      <c r="EX751" s="574"/>
      <c r="EY751" s="574"/>
      <c r="EZ751" s="574"/>
      <c r="FA751" s="574"/>
      <c r="FB751" s="574"/>
      <c r="FC751" s="574"/>
      <c r="FD751" s="574"/>
      <c r="FE751" s="574"/>
      <c r="FF751" s="574"/>
      <c r="FG751" s="574"/>
      <c r="FH751" s="574"/>
      <c r="FI751" s="574"/>
      <c r="FJ751" s="574"/>
      <c r="FK751" s="574"/>
      <c r="FL751" s="574"/>
      <c r="FM751" s="574"/>
      <c r="FN751" s="574"/>
      <c r="FO751" s="574"/>
      <c r="FP751" s="574"/>
      <c r="FQ751" s="574"/>
      <c r="FR751" s="574"/>
      <c r="FS751" s="574"/>
      <c r="FT751" s="574"/>
      <c r="FU751" s="574"/>
      <c r="FV751" s="574"/>
      <c r="FW751" s="574"/>
      <c r="FX751" s="574"/>
      <c r="FY751" s="574"/>
      <c r="FZ751" s="574"/>
      <c r="GA751" s="574"/>
      <c r="GB751" s="574"/>
      <c r="GC751" s="574"/>
      <c r="GD751" s="574"/>
      <c r="GE751" s="574"/>
      <c r="GF751" s="574"/>
      <c r="GG751" s="574"/>
      <c r="GH751" s="574"/>
      <c r="GI751" s="574"/>
      <c r="GJ751" s="574"/>
      <c r="GK751" s="574"/>
      <c r="GL751" s="574"/>
      <c r="GM751" s="574"/>
      <c r="GN751" s="574"/>
      <c r="GO751" s="574"/>
      <c r="GP751" s="574"/>
      <c r="GQ751" s="574"/>
      <c r="GR751" s="574"/>
      <c r="GS751" s="574"/>
      <c r="GT751" s="574"/>
      <c r="GU751" s="574"/>
      <c r="GV751" s="574"/>
      <c r="GW751" s="574"/>
      <c r="GX751" s="574"/>
      <c r="GY751" s="574"/>
      <c r="GZ751" s="574"/>
      <c r="HA751" s="574"/>
      <c r="HB751" s="574"/>
      <c r="HC751" s="574"/>
      <c r="HD751" s="574"/>
      <c r="HE751" s="574"/>
      <c r="HF751" s="574"/>
      <c r="HG751" s="574"/>
      <c r="HH751" s="574"/>
      <c r="HI751" s="574"/>
      <c r="HJ751" s="574"/>
      <c r="HK751" s="574"/>
      <c r="HL751" s="574"/>
      <c r="HM751" s="574"/>
      <c r="HN751" s="574"/>
      <c r="HO751" s="574"/>
      <c r="HP751" s="574"/>
      <c r="HQ751" s="574"/>
      <c r="HR751" s="574"/>
      <c r="HS751" s="574"/>
      <c r="HT751" s="574"/>
      <c r="HU751" s="574"/>
      <c r="HV751" s="574"/>
      <c r="HW751" s="574"/>
      <c r="HX751" s="574"/>
      <c r="HY751" s="574"/>
      <c r="HZ751" s="574"/>
      <c r="IA751" s="574"/>
      <c r="IB751" s="574"/>
      <c r="IC751" s="574"/>
      <c r="ID751" s="574"/>
      <c r="IE751" s="574"/>
      <c r="IF751" s="574"/>
      <c r="IG751" s="574"/>
      <c r="IH751" s="574"/>
      <c r="II751" s="574"/>
      <c r="IJ751" s="574"/>
      <c r="IK751" s="574"/>
      <c r="IL751" s="574"/>
      <c r="IM751" s="574"/>
      <c r="IN751" s="574"/>
      <c r="IO751" s="574"/>
      <c r="IP751" s="574"/>
      <c r="IQ751" s="574"/>
      <c r="IR751" s="574"/>
      <c r="IS751" s="574"/>
      <c r="IT751" s="574"/>
      <c r="IU751" s="574"/>
      <c r="IV751" s="574"/>
      <c r="IW751" s="574"/>
      <c r="IX751" s="574"/>
      <c r="IY751" s="574"/>
      <c r="IZ751" s="574"/>
      <c r="JA751" s="574"/>
      <c r="JB751" s="574"/>
      <c r="JC751" s="574"/>
      <c r="JD751" s="574"/>
      <c r="JE751" s="574"/>
      <c r="JF751" s="574"/>
      <c r="JG751" s="574"/>
      <c r="JH751" s="574"/>
      <c r="JI751" s="574"/>
      <c r="JJ751" s="574"/>
      <c r="JK751" s="574"/>
      <c r="JL751" s="574"/>
      <c r="JM751" s="574"/>
      <c r="JN751" s="574"/>
      <c r="JO751" s="574"/>
      <c r="JP751" s="574"/>
      <c r="JQ751" s="574"/>
      <c r="JR751" s="574"/>
      <c r="JS751" s="574"/>
      <c r="JT751" s="574"/>
      <c r="JU751" s="574"/>
      <c r="JV751" s="574"/>
      <c r="JW751" s="574"/>
      <c r="JX751" s="574"/>
      <c r="JY751" s="574"/>
      <c r="JZ751" s="574"/>
      <c r="KA751" s="574"/>
      <c r="KB751" s="574"/>
      <c r="KC751" s="574"/>
      <c r="KD751" s="574"/>
      <c r="KE751" s="574"/>
      <c r="KF751" s="574"/>
      <c r="KG751" s="574"/>
      <c r="KH751" s="574"/>
      <c r="KI751" s="574"/>
      <c r="KJ751" s="574"/>
      <c r="KK751" s="574"/>
      <c r="KL751" s="574"/>
      <c r="KM751" s="574"/>
      <c r="KN751" s="574"/>
      <c r="KO751" s="574"/>
      <c r="KP751" s="574"/>
      <c r="KQ751" s="574"/>
      <c r="KR751" s="574"/>
      <c r="KS751" s="574"/>
      <c r="KT751" s="574"/>
      <c r="KU751" s="574"/>
      <c r="KV751" s="574"/>
      <c r="KW751" s="574"/>
      <c r="KX751" s="574"/>
      <c r="KY751" s="574"/>
      <c r="KZ751" s="574"/>
      <c r="LA751" s="574"/>
      <c r="LB751" s="574"/>
      <c r="LC751" s="574"/>
      <c r="LD751" s="574"/>
      <c r="LE751" s="574"/>
      <c r="LF751" s="574"/>
      <c r="LG751" s="574"/>
      <c r="LH751" s="574"/>
      <c r="LI751" s="574"/>
      <c r="LJ751" s="574"/>
      <c r="LK751" s="574"/>
      <c r="LL751" s="574"/>
      <c r="LM751" s="574"/>
      <c r="LN751" s="574"/>
      <c r="LO751" s="574"/>
      <c r="LP751" s="574"/>
      <c r="LQ751" s="574"/>
      <c r="LR751" s="574"/>
      <c r="LS751" s="574"/>
      <c r="LT751" s="574"/>
      <c r="LU751" s="574"/>
      <c r="LV751" s="574"/>
      <c r="LW751" s="574"/>
      <c r="LX751" s="574"/>
      <c r="LY751" s="574"/>
      <c r="LZ751" s="574"/>
      <c r="MA751" s="574"/>
      <c r="MB751" s="574"/>
      <c r="MC751" s="574"/>
      <c r="MD751" s="574"/>
      <c r="ME751" s="574"/>
      <c r="MF751" s="574"/>
      <c r="MG751" s="574"/>
      <c r="MH751" s="574"/>
      <c r="MI751" s="574"/>
      <c r="MJ751" s="574"/>
      <c r="MK751" s="574"/>
      <c r="ML751" s="574"/>
      <c r="MM751" s="574"/>
      <c r="MN751" s="574"/>
      <c r="MO751" s="574"/>
      <c r="MP751" s="574"/>
      <c r="MQ751" s="574"/>
      <c r="MR751" s="574"/>
      <c r="MS751" s="574"/>
      <c r="MT751" s="574"/>
      <c r="MU751" s="574"/>
      <c r="MV751" s="574"/>
      <c r="MW751" s="574"/>
      <c r="MX751" s="574"/>
      <c r="MY751" s="574"/>
      <c r="MZ751" s="574"/>
      <c r="NA751" s="574"/>
      <c r="NB751" s="574"/>
      <c r="NC751" s="574"/>
      <c r="ND751" s="574"/>
      <c r="NE751" s="574"/>
      <c r="NF751" s="574"/>
      <c r="NG751" s="574"/>
      <c r="NH751" s="574"/>
      <c r="NI751" s="574"/>
      <c r="NJ751" s="574"/>
      <c r="NK751" s="574"/>
      <c r="NL751" s="574"/>
      <c r="NM751" s="574"/>
      <c r="NN751" s="574"/>
      <c r="NO751" s="574"/>
      <c r="NP751" s="574"/>
      <c r="NQ751" s="574"/>
      <c r="NR751" s="574"/>
      <c r="NS751" s="574"/>
      <c r="NT751" s="574"/>
      <c r="NU751" s="574"/>
      <c r="NV751" s="574"/>
      <c r="NW751" s="574"/>
      <c r="NX751" s="574"/>
      <c r="NY751" s="574"/>
      <c r="NZ751" s="574"/>
      <c r="OA751" s="574"/>
      <c r="OB751" s="574"/>
      <c r="OC751" s="574"/>
      <c r="OD751" s="574"/>
      <c r="OE751" s="574"/>
      <c r="OF751" s="574"/>
      <c r="OG751" s="574"/>
      <c r="OH751" s="574"/>
      <c r="OI751" s="574"/>
      <c r="OJ751" s="574"/>
      <c r="OK751" s="574"/>
      <c r="OL751" s="574"/>
      <c r="OM751" s="574"/>
      <c r="ON751" s="574"/>
      <c r="OO751" s="574"/>
      <c r="OP751" s="574"/>
      <c r="OQ751" s="574"/>
      <c r="OR751" s="574"/>
      <c r="OS751" s="574"/>
      <c r="OT751" s="574"/>
      <c r="OU751" s="574"/>
      <c r="OV751" s="574"/>
      <c r="OW751" s="574"/>
      <c r="OX751" s="574"/>
      <c r="OY751" s="574"/>
      <c r="OZ751" s="574"/>
      <c r="PA751" s="574"/>
      <c r="PB751" s="574"/>
      <c r="PC751" s="574"/>
      <c r="PD751" s="574"/>
      <c r="PE751" s="574"/>
      <c r="PF751" s="574"/>
      <c r="PG751" s="574"/>
      <c r="PH751" s="574"/>
      <c r="PI751" s="574"/>
      <c r="PJ751" s="574"/>
      <c r="PK751" s="574"/>
      <c r="PL751" s="574"/>
      <c r="PM751" s="574"/>
      <c r="PN751" s="574"/>
      <c r="PO751" s="574"/>
      <c r="PP751" s="574"/>
      <c r="PQ751" s="574"/>
      <c r="PR751" s="574"/>
      <c r="PS751" s="574"/>
      <c r="PT751" s="574"/>
      <c r="PU751" s="574"/>
      <c r="PV751" s="574"/>
      <c r="PW751" s="574"/>
      <c r="PX751" s="574"/>
      <c r="PY751" s="574"/>
      <c r="PZ751" s="574"/>
      <c r="QA751" s="574"/>
      <c r="QB751" s="574"/>
      <c r="QC751" s="574"/>
      <c r="QD751" s="574"/>
      <c r="QE751" s="574"/>
      <c r="QF751" s="574"/>
      <c r="QG751" s="574"/>
      <c r="QH751" s="574"/>
      <c r="QI751" s="574"/>
      <c r="QJ751" s="574"/>
      <c r="QK751" s="574"/>
      <c r="QL751" s="574"/>
      <c r="QM751" s="574"/>
      <c r="QN751" s="574"/>
      <c r="QO751" s="574"/>
      <c r="QP751" s="574"/>
      <c r="QQ751" s="574"/>
      <c r="QR751" s="574"/>
      <c r="QS751" s="574"/>
      <c r="QT751" s="574"/>
      <c r="QU751" s="574"/>
      <c r="QV751" s="574"/>
      <c r="QW751" s="574"/>
      <c r="QX751" s="574"/>
      <c r="QY751" s="574"/>
      <c r="QZ751" s="574"/>
      <c r="RA751" s="574"/>
      <c r="RB751" s="574"/>
      <c r="RC751" s="574"/>
      <c r="RD751" s="574"/>
      <c r="RE751" s="574"/>
      <c r="RF751" s="574"/>
      <c r="RG751" s="574"/>
      <c r="RH751" s="574"/>
      <c r="RI751" s="574"/>
      <c r="RJ751" s="574"/>
      <c r="RK751" s="574"/>
      <c r="RL751" s="574"/>
      <c r="RM751" s="574"/>
      <c r="RN751" s="574"/>
      <c r="RO751" s="574"/>
      <c r="RP751" s="574"/>
      <c r="RQ751" s="574"/>
      <c r="RR751" s="574"/>
      <c r="RS751" s="574"/>
      <c r="RT751" s="574"/>
      <c r="RU751" s="574"/>
      <c r="RV751" s="574"/>
      <c r="RW751" s="574"/>
      <c r="RX751" s="574"/>
      <c r="RY751" s="574"/>
      <c r="RZ751" s="574"/>
      <c r="SA751" s="574"/>
      <c r="SB751" s="574"/>
      <c r="SC751" s="574"/>
      <c r="SD751" s="574"/>
      <c r="SE751" s="574"/>
      <c r="SF751" s="574"/>
      <c r="SG751" s="574"/>
      <c r="SH751" s="574"/>
      <c r="SI751" s="574"/>
      <c r="SJ751" s="574"/>
      <c r="SK751" s="574"/>
      <c r="SL751" s="574"/>
      <c r="SM751" s="574"/>
      <c r="SN751" s="574"/>
      <c r="SO751" s="574"/>
      <c r="SP751" s="574"/>
      <c r="SQ751" s="574"/>
      <c r="SR751" s="574"/>
      <c r="SS751" s="574"/>
      <c r="ST751" s="574"/>
      <c r="SU751" s="574"/>
      <c r="SV751" s="574"/>
      <c r="SW751" s="574"/>
      <c r="SX751" s="574"/>
      <c r="SY751" s="574"/>
      <c r="SZ751" s="574"/>
      <c r="TA751" s="574"/>
      <c r="TB751" s="574"/>
      <c r="TC751" s="574"/>
      <c r="TD751" s="574"/>
      <c r="TE751" s="574"/>
      <c r="TF751" s="574"/>
      <c r="TG751" s="574"/>
      <c r="TH751" s="574"/>
      <c r="TI751" s="574"/>
      <c r="TJ751" s="574"/>
      <c r="TK751" s="574"/>
      <c r="TL751" s="574"/>
      <c r="TM751" s="574"/>
      <c r="TN751" s="574"/>
      <c r="TO751" s="574"/>
      <c r="TP751" s="574"/>
      <c r="TQ751" s="574"/>
      <c r="TR751" s="574"/>
      <c r="TS751" s="574"/>
      <c r="TT751" s="574"/>
      <c r="TU751" s="574"/>
      <c r="TV751" s="574"/>
      <c r="TW751" s="574"/>
      <c r="TX751" s="574"/>
      <c r="TY751" s="574"/>
      <c r="TZ751" s="574"/>
      <c r="UA751" s="574"/>
      <c r="UB751" s="574"/>
      <c r="UC751" s="574"/>
      <c r="UD751" s="574"/>
      <c r="UE751" s="574"/>
      <c r="UF751" s="574"/>
      <c r="UG751" s="574"/>
      <c r="UH751" s="574"/>
      <c r="UI751" s="574"/>
      <c r="UJ751" s="574"/>
      <c r="UK751" s="574"/>
      <c r="UL751" s="574"/>
      <c r="UM751" s="574"/>
      <c r="UN751" s="574"/>
      <c r="UO751" s="574"/>
      <c r="UP751" s="574"/>
      <c r="UQ751" s="574"/>
      <c r="UR751" s="574"/>
      <c r="US751" s="574"/>
      <c r="UT751" s="574"/>
      <c r="UU751" s="574"/>
      <c r="UV751" s="574"/>
      <c r="UW751" s="574"/>
      <c r="UX751" s="574"/>
      <c r="UY751" s="574"/>
      <c r="UZ751" s="574"/>
      <c r="VA751" s="574"/>
      <c r="VB751" s="574"/>
      <c r="VC751" s="574"/>
      <c r="VD751" s="574"/>
      <c r="VE751" s="574"/>
      <c r="VF751" s="574"/>
      <c r="VG751" s="574"/>
      <c r="VH751" s="574"/>
      <c r="VI751" s="574"/>
      <c r="VJ751" s="574"/>
      <c r="VK751" s="574"/>
      <c r="VL751" s="574"/>
      <c r="VM751" s="574"/>
      <c r="VN751" s="574"/>
      <c r="VO751" s="574"/>
      <c r="VP751" s="574"/>
      <c r="VQ751" s="574"/>
      <c r="VR751" s="574"/>
      <c r="VS751" s="574"/>
      <c r="VT751" s="574"/>
      <c r="VU751" s="574"/>
      <c r="VV751" s="574"/>
      <c r="VW751" s="574"/>
      <c r="VX751" s="574"/>
      <c r="VY751" s="574"/>
      <c r="VZ751" s="574"/>
      <c r="WA751" s="574"/>
      <c r="WB751" s="574"/>
      <c r="WC751" s="574"/>
      <c r="WD751" s="574"/>
      <c r="WE751" s="574"/>
      <c r="WF751" s="574"/>
      <c r="WG751" s="574"/>
      <c r="WH751" s="574"/>
      <c r="WI751" s="574"/>
      <c r="WJ751" s="574"/>
      <c r="WK751" s="574"/>
      <c r="WL751" s="574"/>
      <c r="WM751" s="574"/>
      <c r="WN751" s="574"/>
      <c r="WO751" s="574"/>
      <c r="WP751" s="574"/>
      <c r="WQ751" s="574"/>
      <c r="WR751" s="574"/>
      <c r="WS751" s="574"/>
      <c r="WT751" s="574"/>
      <c r="WU751" s="574"/>
      <c r="WV751" s="574"/>
      <c r="WW751" s="574"/>
      <c r="WX751" s="574"/>
      <c r="WY751" s="574"/>
      <c r="WZ751" s="574"/>
      <c r="XA751" s="574"/>
      <c r="XB751" s="574"/>
      <c r="XC751" s="574"/>
      <c r="XD751" s="574"/>
      <c r="XE751" s="574"/>
      <c r="XF751" s="574"/>
      <c r="XG751" s="574"/>
      <c r="XH751" s="574"/>
      <c r="XI751" s="574"/>
      <c r="XJ751" s="574"/>
      <c r="XK751" s="574"/>
      <c r="XL751" s="574"/>
      <c r="XM751" s="574"/>
      <c r="XN751" s="574"/>
      <c r="XO751" s="574"/>
      <c r="XP751" s="574"/>
      <c r="XQ751" s="574"/>
      <c r="XR751" s="574"/>
      <c r="XS751" s="574"/>
      <c r="XT751" s="574"/>
      <c r="XU751" s="574"/>
      <c r="XV751" s="574"/>
      <c r="XW751" s="574"/>
      <c r="XX751" s="574"/>
      <c r="XY751" s="574"/>
      <c r="XZ751" s="574"/>
      <c r="YA751" s="574"/>
      <c r="YB751" s="574"/>
      <c r="YC751" s="574"/>
      <c r="YD751" s="574"/>
      <c r="YE751" s="574"/>
      <c r="YF751" s="574"/>
      <c r="YG751" s="574"/>
      <c r="YH751" s="574"/>
      <c r="YI751" s="574"/>
      <c r="YJ751" s="574"/>
      <c r="YK751" s="574"/>
      <c r="YL751" s="574"/>
      <c r="YM751" s="574"/>
      <c r="YN751" s="574"/>
      <c r="YO751" s="574"/>
      <c r="YP751" s="574"/>
      <c r="YQ751" s="574"/>
      <c r="YR751" s="574"/>
      <c r="YS751" s="574"/>
      <c r="YT751" s="574"/>
      <c r="YU751" s="574"/>
      <c r="YV751" s="574"/>
      <c r="YW751" s="574"/>
      <c r="YX751" s="574"/>
      <c r="YY751" s="574"/>
      <c r="YZ751" s="574"/>
      <c r="ZA751" s="574"/>
      <c r="ZB751" s="574"/>
      <c r="ZC751" s="574"/>
      <c r="ZD751" s="574"/>
      <c r="ZE751" s="574"/>
      <c r="ZF751" s="574"/>
      <c r="ZG751" s="574"/>
      <c r="ZH751" s="574"/>
      <c r="ZI751" s="574"/>
      <c r="ZJ751" s="574"/>
      <c r="ZK751" s="574"/>
      <c r="ZL751" s="574"/>
      <c r="ZM751" s="574"/>
      <c r="ZN751" s="574"/>
      <c r="ZO751" s="574"/>
      <c r="ZP751" s="574"/>
      <c r="ZQ751" s="574"/>
      <c r="ZR751" s="574"/>
      <c r="ZS751" s="574"/>
      <c r="ZT751" s="574"/>
      <c r="ZU751" s="574"/>
      <c r="ZV751" s="574"/>
      <c r="ZW751" s="574"/>
      <c r="ZX751" s="574"/>
      <c r="ZY751" s="574"/>
      <c r="ZZ751" s="574"/>
      <c r="AAA751" s="574"/>
      <c r="AAB751" s="574"/>
      <c r="AAC751" s="574"/>
      <c r="AAD751" s="574"/>
      <c r="AAE751" s="574"/>
      <c r="AAF751" s="574"/>
      <c r="AAG751" s="574"/>
      <c r="AAH751" s="574"/>
      <c r="AAI751" s="574"/>
      <c r="AAJ751" s="574"/>
      <c r="AAK751" s="574"/>
      <c r="AAL751" s="574"/>
      <c r="AAM751" s="574"/>
      <c r="AAN751" s="574"/>
      <c r="AAO751" s="574"/>
      <c r="AAP751" s="574"/>
      <c r="AAQ751" s="574"/>
      <c r="AAR751" s="574"/>
      <c r="AAS751" s="574"/>
      <c r="AAT751" s="574"/>
      <c r="AAU751" s="574"/>
      <c r="AAV751" s="574"/>
      <c r="AAW751" s="574"/>
      <c r="AAX751" s="574"/>
      <c r="AAY751" s="574"/>
      <c r="AAZ751" s="574"/>
      <c r="ABA751" s="574"/>
      <c r="ABB751" s="574"/>
      <c r="ABC751" s="574"/>
      <c r="ABD751" s="574"/>
      <c r="ABE751" s="574"/>
      <c r="ABF751" s="574"/>
      <c r="ABG751" s="574"/>
      <c r="ABH751" s="574"/>
      <c r="ABI751" s="574"/>
      <c r="ABJ751" s="574"/>
      <c r="ABK751" s="574"/>
      <c r="ABL751" s="574"/>
      <c r="ABM751" s="574"/>
      <c r="ABN751" s="574"/>
      <c r="ABO751" s="574"/>
      <c r="ABP751" s="574"/>
      <c r="ABQ751" s="574"/>
      <c r="ABR751" s="574"/>
      <c r="ABS751" s="574"/>
      <c r="ABT751" s="574"/>
      <c r="ABU751" s="574"/>
      <c r="ABV751" s="574"/>
      <c r="ABW751" s="574"/>
      <c r="ABX751" s="574"/>
      <c r="ABY751" s="574"/>
      <c r="ABZ751" s="574"/>
      <c r="ACA751" s="574"/>
      <c r="ACB751" s="574"/>
      <c r="ACC751" s="574"/>
      <c r="ACD751" s="574"/>
      <c r="ACE751" s="574"/>
      <c r="ACF751" s="574"/>
      <c r="ACG751" s="574"/>
      <c r="ACH751" s="574"/>
      <c r="ACI751" s="574"/>
      <c r="ACJ751" s="574"/>
      <c r="ACK751" s="574"/>
      <c r="ACL751" s="574"/>
      <c r="ACM751" s="574"/>
      <c r="ACN751" s="574"/>
      <c r="ACO751" s="574"/>
      <c r="ACP751" s="574"/>
      <c r="ACQ751" s="574"/>
      <c r="ACR751" s="574"/>
      <c r="ACS751" s="574"/>
      <c r="ACT751" s="574"/>
      <c r="ACU751" s="574"/>
      <c r="ACV751" s="574"/>
      <c r="ACW751" s="574"/>
      <c r="ACX751" s="574"/>
      <c r="ACY751" s="574"/>
      <c r="ACZ751" s="574"/>
      <c r="ADA751" s="574"/>
      <c r="ADB751" s="574"/>
      <c r="ADC751" s="574"/>
      <c r="ADD751" s="574"/>
      <c r="ADE751" s="574"/>
      <c r="ADF751" s="574"/>
      <c r="ADG751" s="574"/>
      <c r="ADH751" s="574"/>
      <c r="ADI751" s="574"/>
      <c r="ADJ751" s="574"/>
      <c r="ADK751" s="574"/>
      <c r="ADL751" s="574"/>
      <c r="ADM751" s="574"/>
      <c r="ADN751" s="574"/>
      <c r="ADO751" s="574"/>
      <c r="ADP751" s="574"/>
      <c r="ADQ751" s="574"/>
      <c r="ADR751" s="574"/>
      <c r="ADS751" s="574"/>
      <c r="ADT751" s="574"/>
      <c r="ADU751" s="574"/>
      <c r="ADV751" s="574"/>
      <c r="ADW751" s="574"/>
      <c r="ADX751" s="574"/>
      <c r="ADY751" s="574"/>
      <c r="ADZ751" s="574"/>
      <c r="AEA751" s="574"/>
      <c r="AEB751" s="574"/>
      <c r="AEC751" s="574"/>
      <c r="AED751" s="574"/>
      <c r="AEE751" s="574"/>
      <c r="AEF751" s="574"/>
      <c r="AEG751" s="574"/>
      <c r="AEH751" s="574"/>
      <c r="AEI751" s="574"/>
      <c r="AEJ751" s="574"/>
      <c r="AEK751" s="574"/>
      <c r="AEL751" s="574"/>
      <c r="AEM751" s="574"/>
      <c r="AEN751" s="574"/>
      <c r="AEO751" s="574"/>
      <c r="AEP751" s="574"/>
      <c r="AEQ751" s="574"/>
      <c r="AER751" s="574"/>
      <c r="AES751" s="574"/>
      <c r="AET751" s="574"/>
      <c r="AEU751" s="574"/>
      <c r="AEV751" s="574"/>
      <c r="AEW751" s="574"/>
      <c r="AEX751" s="574"/>
      <c r="AEY751" s="574"/>
      <c r="AEZ751" s="574"/>
      <c r="AFA751" s="574"/>
      <c r="AFB751" s="574"/>
      <c r="AFC751" s="574"/>
      <c r="AFD751" s="574"/>
      <c r="AFE751" s="574"/>
      <c r="AFF751" s="574"/>
      <c r="AFG751" s="574"/>
      <c r="AFH751" s="574"/>
      <c r="AFI751" s="574"/>
      <c r="AFJ751" s="574"/>
      <c r="AFK751" s="574"/>
      <c r="AFL751" s="574"/>
      <c r="AFM751" s="574"/>
      <c r="AFN751" s="574"/>
      <c r="AFO751" s="574"/>
      <c r="AFP751" s="574"/>
      <c r="AFQ751" s="574"/>
      <c r="AFR751" s="574"/>
      <c r="AFS751" s="574"/>
      <c r="AFT751" s="574"/>
      <c r="AFU751" s="574"/>
      <c r="AFV751" s="574"/>
      <c r="AFW751" s="574"/>
      <c r="AFX751" s="574"/>
      <c r="AFY751" s="574"/>
      <c r="AFZ751" s="574"/>
      <c r="AGA751" s="574"/>
      <c r="AGB751" s="574"/>
      <c r="AGC751" s="574"/>
      <c r="AGD751" s="574"/>
      <c r="AGE751" s="574"/>
      <c r="AGF751" s="574"/>
      <c r="AGG751" s="574"/>
      <c r="AGH751" s="574"/>
      <c r="AGI751" s="574"/>
      <c r="AGJ751" s="574"/>
      <c r="AGK751" s="574"/>
      <c r="AGL751" s="574"/>
      <c r="AGM751" s="574"/>
      <c r="AGN751" s="574"/>
      <c r="AGO751" s="574"/>
      <c r="AGP751" s="574"/>
      <c r="AGQ751" s="574"/>
      <c r="AGR751" s="574"/>
      <c r="AGS751" s="574"/>
      <c r="AGT751" s="574"/>
      <c r="AGU751" s="574"/>
      <c r="AGV751" s="574"/>
      <c r="AGW751" s="574"/>
      <c r="AGX751" s="574"/>
      <c r="AGY751" s="574"/>
      <c r="AGZ751" s="574"/>
      <c r="AHA751" s="574"/>
      <c r="AHB751" s="574"/>
      <c r="AHC751" s="574"/>
      <c r="AHD751" s="574"/>
      <c r="AHE751" s="574"/>
      <c r="AHF751" s="574"/>
      <c r="AHG751" s="574"/>
      <c r="AHH751" s="574"/>
      <c r="AHI751" s="574"/>
      <c r="AHJ751" s="574"/>
      <c r="AHK751" s="574"/>
      <c r="AHL751" s="574"/>
      <c r="AHM751" s="574"/>
      <c r="AHN751" s="574"/>
      <c r="AHO751" s="574"/>
      <c r="AHP751" s="574"/>
      <c r="AHQ751" s="574"/>
      <c r="AHR751" s="574"/>
      <c r="AHS751" s="574"/>
      <c r="AHT751" s="574"/>
      <c r="AHU751" s="574"/>
      <c r="AHV751" s="574"/>
      <c r="AHW751" s="574"/>
      <c r="AHX751" s="574"/>
      <c r="AHY751" s="574"/>
      <c r="AHZ751" s="574"/>
      <c r="AIA751" s="574"/>
      <c r="AIB751" s="574"/>
      <c r="AIC751" s="574"/>
      <c r="AID751" s="574"/>
      <c r="AIE751" s="574"/>
      <c r="AIF751" s="574"/>
      <c r="AIG751" s="574"/>
      <c r="AIH751" s="574"/>
      <c r="AII751" s="574"/>
      <c r="AIJ751" s="574"/>
      <c r="AIK751" s="574"/>
      <c r="AIL751" s="574"/>
      <c r="AIM751" s="574"/>
      <c r="AIN751" s="574"/>
      <c r="AIO751" s="574"/>
      <c r="AIP751" s="574"/>
      <c r="AIQ751" s="574"/>
      <c r="AIR751" s="574"/>
      <c r="AIS751" s="574"/>
      <c r="AIT751" s="574"/>
      <c r="AIU751" s="574"/>
      <c r="AIV751" s="574"/>
      <c r="AIW751" s="574"/>
      <c r="AIX751" s="574"/>
      <c r="AIY751" s="574"/>
      <c r="AIZ751" s="574"/>
      <c r="AJA751" s="574"/>
      <c r="AJB751" s="574"/>
      <c r="AJC751" s="574"/>
      <c r="AJD751" s="574"/>
      <c r="AJE751" s="574"/>
      <c r="AJF751" s="574"/>
      <c r="AJG751" s="574"/>
      <c r="AJH751" s="574"/>
      <c r="AJI751" s="574"/>
      <c r="AJJ751" s="574"/>
      <c r="AJK751" s="574"/>
      <c r="AJL751" s="574"/>
      <c r="AJM751" s="574"/>
      <c r="AJN751" s="574"/>
      <c r="AJO751" s="574"/>
      <c r="AJP751" s="574"/>
      <c r="AJQ751" s="574"/>
      <c r="AJR751" s="574"/>
      <c r="AJS751" s="574"/>
      <c r="AJT751" s="574"/>
      <c r="AJU751" s="574"/>
      <c r="AJV751" s="574"/>
      <c r="AJW751" s="574"/>
      <c r="AJX751" s="574"/>
      <c r="AJY751" s="574"/>
      <c r="AJZ751" s="574"/>
      <c r="AKA751" s="574"/>
      <c r="AKB751" s="574"/>
      <c r="AKC751" s="574"/>
      <c r="AKD751" s="574"/>
      <c r="AKE751" s="574"/>
      <c r="AKF751" s="574"/>
      <c r="AKG751" s="574"/>
      <c r="AKH751" s="574"/>
      <c r="AKI751" s="574"/>
      <c r="AKJ751" s="574"/>
      <c r="AKK751" s="574"/>
      <c r="AKL751" s="574"/>
      <c r="AKM751" s="574"/>
      <c r="AKN751" s="574"/>
      <c r="AKO751" s="574"/>
      <c r="AKP751" s="574"/>
      <c r="AKQ751" s="574"/>
      <c r="AKR751" s="574"/>
      <c r="AKS751" s="574"/>
      <c r="AKT751" s="574"/>
      <c r="AKU751" s="574"/>
      <c r="AKV751" s="574"/>
      <c r="AKW751" s="574"/>
      <c r="AKX751" s="574"/>
      <c r="AKY751" s="574"/>
      <c r="AKZ751" s="574"/>
      <c r="ALA751" s="574"/>
      <c r="ALB751" s="574"/>
      <c r="ALC751" s="574"/>
      <c r="ALD751" s="574"/>
      <c r="ALE751" s="574"/>
      <c r="ALF751" s="574"/>
      <c r="ALG751" s="574"/>
      <c r="ALH751" s="574"/>
      <c r="ALI751" s="574"/>
      <c r="ALJ751" s="574"/>
      <c r="ALK751" s="574"/>
      <c r="ALL751" s="574"/>
      <c r="ALM751" s="574"/>
      <c r="ALN751" s="574"/>
      <c r="ALO751" s="574"/>
      <c r="ALP751" s="574"/>
      <c r="ALQ751" s="574"/>
      <c r="ALR751" s="574"/>
      <c r="ALS751" s="574"/>
      <c r="ALT751" s="574"/>
      <c r="ALU751" s="574"/>
      <c r="ALV751" s="574"/>
      <c r="ALW751" s="574"/>
      <c r="ALX751" s="574"/>
      <c r="ALY751" s="574"/>
      <c r="ALZ751" s="574"/>
      <c r="AMA751" s="574"/>
      <c r="AMB751" s="574"/>
      <c r="AMC751" s="574"/>
      <c r="AMD751" s="574"/>
      <c r="AME751" s="574"/>
      <c r="AMF751" s="574"/>
      <c r="AMG751" s="574"/>
      <c r="AMH751" s="574"/>
      <c r="AMI751" s="574"/>
      <c r="AMJ751" s="574"/>
      <c r="AMK751" s="574"/>
      <c r="AML751" s="574"/>
      <c r="AMM751" s="574"/>
      <c r="AMN751" s="574"/>
      <c r="AMO751" s="574"/>
      <c r="AMP751" s="574"/>
      <c r="AMQ751" s="574"/>
      <c r="AMR751" s="574"/>
      <c r="AMS751" s="574"/>
      <c r="AMT751" s="574"/>
      <c r="AMU751" s="574"/>
      <c r="AMV751" s="574"/>
      <c r="AMW751" s="574"/>
      <c r="AMX751" s="574"/>
      <c r="AMY751" s="574"/>
      <c r="AMZ751" s="574"/>
      <c r="ANA751" s="574"/>
      <c r="ANB751" s="574"/>
      <c r="ANC751" s="574"/>
      <c r="AND751" s="574"/>
      <c r="ANE751" s="574"/>
      <c r="ANF751" s="574"/>
      <c r="ANG751" s="574"/>
      <c r="ANH751" s="574"/>
      <c r="ANI751" s="574"/>
      <c r="ANJ751" s="574"/>
      <c r="ANK751" s="574"/>
      <c r="ANL751" s="574"/>
      <c r="ANM751" s="574"/>
      <c r="ANN751" s="574"/>
      <c r="ANO751" s="574"/>
      <c r="ANP751" s="574"/>
      <c r="ANQ751" s="574"/>
      <c r="ANR751" s="574"/>
      <c r="ANS751" s="574"/>
      <c r="ANT751" s="574"/>
      <c r="ANU751" s="574"/>
      <c r="ANV751" s="574"/>
      <c r="ANW751" s="574"/>
      <c r="ANX751" s="574"/>
      <c r="ANY751" s="574"/>
      <c r="ANZ751" s="574"/>
      <c r="AOA751" s="574"/>
      <c r="AOB751" s="574"/>
      <c r="AOC751" s="574"/>
      <c r="AOD751" s="574"/>
      <c r="AOE751" s="574"/>
      <c r="AOF751" s="574"/>
      <c r="AOG751" s="574"/>
      <c r="AOH751" s="574"/>
      <c r="AOI751" s="574"/>
      <c r="AOJ751" s="574"/>
      <c r="AOK751" s="574"/>
      <c r="AOL751" s="574"/>
      <c r="AOM751" s="574"/>
      <c r="AON751" s="574"/>
      <c r="AOO751" s="574"/>
      <c r="AOP751" s="574"/>
      <c r="AOQ751" s="574"/>
      <c r="AOR751" s="574"/>
      <c r="AOS751" s="574"/>
      <c r="AOT751" s="574"/>
      <c r="AOU751" s="574"/>
      <c r="AOV751" s="574"/>
      <c r="AOW751" s="574"/>
      <c r="AOX751" s="574"/>
      <c r="AOY751" s="574"/>
      <c r="AOZ751" s="574"/>
      <c r="APA751" s="574"/>
      <c r="APB751" s="574"/>
      <c r="APC751" s="574"/>
      <c r="APD751" s="574"/>
      <c r="APE751" s="574"/>
      <c r="APF751" s="574"/>
      <c r="APG751" s="574"/>
      <c r="APH751" s="574"/>
      <c r="API751" s="574"/>
      <c r="APJ751" s="574"/>
      <c r="APK751" s="574"/>
      <c r="APL751" s="574"/>
      <c r="APM751" s="574"/>
      <c r="APN751" s="574"/>
      <c r="APO751" s="574"/>
      <c r="APP751" s="574"/>
      <c r="APQ751" s="574"/>
      <c r="APR751" s="574"/>
      <c r="APS751" s="574"/>
      <c r="APT751" s="574"/>
      <c r="APU751" s="574"/>
      <c r="APV751" s="574"/>
      <c r="APW751" s="574"/>
      <c r="APX751" s="574"/>
      <c r="APY751" s="574"/>
      <c r="APZ751" s="574"/>
      <c r="AQA751" s="574"/>
      <c r="AQB751" s="574"/>
      <c r="AQC751" s="574"/>
      <c r="AQD751" s="574"/>
      <c r="AQE751" s="574"/>
      <c r="AQF751" s="574"/>
      <c r="AQG751" s="574"/>
      <c r="AQH751" s="574"/>
      <c r="AQI751" s="574"/>
      <c r="AQJ751" s="574"/>
      <c r="AQK751" s="574"/>
      <c r="AQL751" s="574"/>
      <c r="AQM751" s="574"/>
      <c r="AQN751" s="574"/>
      <c r="AQO751" s="574"/>
      <c r="AQP751" s="574"/>
      <c r="AQQ751" s="574"/>
      <c r="AQR751" s="574"/>
      <c r="AQS751" s="574"/>
      <c r="AQT751" s="574"/>
      <c r="AQU751" s="574"/>
      <c r="AQV751" s="574"/>
      <c r="AQW751" s="574"/>
      <c r="AQX751" s="574"/>
      <c r="AQY751" s="574"/>
      <c r="AQZ751" s="574"/>
      <c r="ARA751" s="574"/>
      <c r="ARB751" s="574"/>
      <c r="ARC751" s="574"/>
      <c r="ARD751" s="574"/>
      <c r="ARE751" s="574"/>
      <c r="ARF751" s="574"/>
      <c r="ARG751" s="574"/>
      <c r="ARH751" s="574"/>
      <c r="ARI751" s="574"/>
      <c r="ARJ751" s="574"/>
      <c r="ARK751" s="574"/>
      <c r="ARL751" s="574"/>
      <c r="ARM751" s="574"/>
      <c r="ARN751" s="574"/>
      <c r="ARO751" s="574"/>
      <c r="ARP751" s="574"/>
      <c r="ARQ751" s="574"/>
      <c r="ARR751" s="574"/>
      <c r="ARS751" s="574"/>
      <c r="ART751" s="574"/>
      <c r="ARU751" s="574"/>
      <c r="ARV751" s="574"/>
      <c r="ARW751" s="574"/>
      <c r="ARX751" s="574"/>
      <c r="ARY751" s="574"/>
      <c r="ARZ751" s="574"/>
      <c r="ASA751" s="574"/>
      <c r="ASB751" s="574"/>
      <c r="ASC751" s="574"/>
      <c r="ASD751" s="574"/>
      <c r="ASE751" s="574"/>
      <c r="ASF751" s="574"/>
      <c r="ASG751" s="574"/>
      <c r="ASH751" s="574"/>
      <c r="ASI751" s="574"/>
      <c r="ASJ751" s="574"/>
      <c r="ASK751" s="574"/>
      <c r="ASL751" s="574"/>
      <c r="ASM751" s="574"/>
      <c r="ASN751" s="574"/>
      <c r="ASO751" s="574"/>
      <c r="ASP751" s="574"/>
      <c r="ASQ751" s="574"/>
      <c r="ASR751" s="574"/>
      <c r="ASS751" s="574"/>
      <c r="AST751" s="574"/>
      <c r="ASU751" s="574"/>
      <c r="ASV751" s="574"/>
      <c r="ASW751" s="574"/>
      <c r="ASX751" s="574"/>
      <c r="ASY751" s="574"/>
      <c r="ASZ751" s="574"/>
      <c r="ATA751" s="574"/>
      <c r="ATB751" s="574"/>
      <c r="ATC751" s="574"/>
      <c r="ATD751" s="574"/>
      <c r="ATE751" s="574"/>
      <c r="ATF751" s="574"/>
      <c r="ATG751" s="574"/>
      <c r="ATH751" s="574"/>
      <c r="ATI751" s="574"/>
      <c r="ATJ751" s="574"/>
      <c r="ATK751" s="574"/>
      <c r="ATL751" s="574"/>
      <c r="ATM751" s="574"/>
      <c r="ATN751" s="574"/>
      <c r="ATO751" s="574"/>
      <c r="ATP751" s="574"/>
      <c r="ATQ751" s="574"/>
      <c r="ATR751" s="574"/>
      <c r="ATS751" s="574"/>
      <c r="ATT751" s="574"/>
      <c r="ATU751" s="574"/>
      <c r="ATV751" s="574"/>
      <c r="ATW751" s="574"/>
      <c r="ATX751" s="574"/>
      <c r="ATY751" s="574"/>
      <c r="ATZ751" s="574"/>
      <c r="AUA751" s="574"/>
      <c r="AUB751" s="574"/>
      <c r="AUC751" s="574"/>
      <c r="AUD751" s="574"/>
      <c r="AUE751" s="574"/>
      <c r="AUF751" s="574"/>
      <c r="AUG751" s="574"/>
      <c r="AUH751" s="574"/>
      <c r="AUI751" s="574"/>
      <c r="AUJ751" s="574"/>
      <c r="AUK751" s="574"/>
      <c r="AUL751" s="574"/>
      <c r="AUM751" s="574"/>
      <c r="AUN751" s="574"/>
      <c r="AUO751" s="574"/>
      <c r="AUP751" s="574"/>
      <c r="AUQ751" s="574"/>
      <c r="AUR751" s="574"/>
      <c r="AUS751" s="574"/>
      <c r="AUT751" s="574"/>
      <c r="AUU751" s="574"/>
      <c r="AUV751" s="574"/>
      <c r="AUW751" s="574"/>
      <c r="AUX751" s="574"/>
      <c r="AUY751" s="574"/>
      <c r="AUZ751" s="574"/>
      <c r="AVA751" s="574"/>
      <c r="AVB751" s="574"/>
      <c r="AVC751" s="574"/>
      <c r="AVD751" s="574"/>
      <c r="AVE751" s="574"/>
      <c r="AVF751" s="574"/>
      <c r="AVG751" s="574"/>
      <c r="AVH751" s="574"/>
      <c r="AVI751" s="574"/>
      <c r="AVJ751" s="574"/>
      <c r="AVK751" s="574"/>
      <c r="AVL751" s="574"/>
      <c r="AVM751" s="574"/>
      <c r="AVN751" s="574"/>
      <c r="AVO751" s="574"/>
      <c r="AVP751" s="574"/>
      <c r="AVQ751" s="574"/>
      <c r="AVR751" s="574"/>
      <c r="AVS751" s="574"/>
      <c r="AVT751" s="574"/>
      <c r="AVU751" s="574"/>
      <c r="AVV751" s="574"/>
      <c r="AVW751" s="574"/>
      <c r="AVX751" s="574"/>
      <c r="AVY751" s="574"/>
      <c r="AVZ751" s="574"/>
      <c r="AWA751" s="574"/>
      <c r="AWB751" s="574"/>
      <c r="AWC751" s="574"/>
      <c r="AWD751" s="574"/>
      <c r="AWE751" s="574"/>
      <c r="AWF751" s="574"/>
      <c r="AWG751" s="574"/>
      <c r="AWH751" s="574"/>
      <c r="AWI751" s="574"/>
      <c r="AWJ751" s="574"/>
      <c r="AWK751" s="574"/>
      <c r="AWL751" s="574"/>
      <c r="AWM751" s="574"/>
      <c r="AWN751" s="574"/>
      <c r="AWO751" s="574"/>
      <c r="AWP751" s="574"/>
      <c r="AWQ751" s="574"/>
      <c r="AWR751" s="574"/>
      <c r="AWS751" s="574"/>
      <c r="AWT751" s="574"/>
      <c r="AWU751" s="574"/>
      <c r="AWV751" s="574"/>
      <c r="AWW751" s="574"/>
      <c r="AWX751" s="574"/>
      <c r="AWY751" s="574"/>
      <c r="AWZ751" s="574"/>
      <c r="AXA751" s="574"/>
      <c r="AXB751" s="574"/>
      <c r="AXC751" s="574"/>
      <c r="AXD751" s="574"/>
      <c r="AXE751" s="574"/>
      <c r="AXF751" s="574"/>
      <c r="AXG751" s="574"/>
      <c r="AXH751" s="574"/>
      <c r="AXI751" s="574"/>
      <c r="AXJ751" s="574"/>
      <c r="AXK751" s="574"/>
      <c r="AXL751" s="574"/>
      <c r="AXM751" s="574"/>
      <c r="AXN751" s="574"/>
      <c r="AXO751" s="574"/>
      <c r="AXP751" s="574"/>
      <c r="AXQ751" s="574"/>
      <c r="AXR751" s="574"/>
      <c r="AXS751" s="574"/>
      <c r="AXT751" s="574"/>
      <c r="AXU751" s="574"/>
      <c r="AXV751" s="574"/>
      <c r="AXW751" s="574"/>
      <c r="AXX751" s="574"/>
      <c r="AXY751" s="574"/>
      <c r="AXZ751" s="574"/>
      <c r="AYA751" s="574"/>
      <c r="AYB751" s="574"/>
      <c r="AYC751" s="574"/>
      <c r="AYD751" s="574"/>
      <c r="AYE751" s="574"/>
      <c r="AYF751" s="574"/>
      <c r="AYG751" s="574"/>
      <c r="AYH751" s="574"/>
      <c r="AYI751" s="574"/>
      <c r="AYJ751" s="574"/>
      <c r="AYK751" s="574"/>
      <c r="AYL751" s="574"/>
      <c r="AYM751" s="574"/>
      <c r="AYN751" s="574"/>
      <c r="AYO751" s="574"/>
      <c r="AYP751" s="574"/>
      <c r="AYQ751" s="574"/>
      <c r="AYR751" s="574"/>
      <c r="AYS751" s="574"/>
      <c r="AYT751" s="574"/>
      <c r="AYU751" s="574"/>
      <c r="AYV751" s="574"/>
      <c r="AYW751" s="574"/>
      <c r="AYX751" s="574"/>
      <c r="AYY751" s="574"/>
      <c r="AYZ751" s="574"/>
      <c r="AZA751" s="574"/>
      <c r="AZB751" s="574"/>
      <c r="AZC751" s="574"/>
      <c r="AZD751" s="574"/>
      <c r="AZE751" s="574"/>
      <c r="AZF751" s="574"/>
      <c r="AZG751" s="574"/>
      <c r="AZH751" s="574"/>
      <c r="AZI751" s="574"/>
      <c r="AZJ751" s="574"/>
      <c r="AZK751" s="574"/>
      <c r="AZL751" s="574"/>
      <c r="AZM751" s="574"/>
      <c r="AZN751" s="574"/>
      <c r="AZO751" s="574"/>
      <c r="AZP751" s="574"/>
      <c r="AZQ751" s="574"/>
      <c r="AZR751" s="574"/>
      <c r="AZS751" s="574"/>
      <c r="AZT751" s="574"/>
      <c r="AZU751" s="574"/>
      <c r="AZV751" s="574"/>
      <c r="AZW751" s="574"/>
      <c r="AZX751" s="574"/>
      <c r="AZY751" s="574"/>
      <c r="AZZ751" s="574"/>
      <c r="BAA751" s="574"/>
      <c r="BAB751" s="574"/>
      <c r="BAC751" s="574"/>
      <c r="BAD751" s="574"/>
      <c r="BAE751" s="574"/>
      <c r="BAF751" s="574"/>
      <c r="BAG751" s="574"/>
      <c r="BAH751" s="574"/>
      <c r="BAI751" s="574"/>
      <c r="BAJ751" s="574"/>
      <c r="BAK751" s="574"/>
      <c r="BAL751" s="574"/>
      <c r="BAM751" s="574"/>
      <c r="BAN751" s="574"/>
      <c r="BAO751" s="574"/>
      <c r="BAP751" s="574"/>
      <c r="BAQ751" s="574"/>
      <c r="BAR751" s="574"/>
      <c r="BAS751" s="574"/>
      <c r="BAT751" s="574"/>
      <c r="BAU751" s="574"/>
      <c r="BAV751" s="574"/>
      <c r="BAW751" s="574"/>
      <c r="BAX751" s="574"/>
      <c r="BAY751" s="574"/>
      <c r="BAZ751" s="574"/>
      <c r="BBA751" s="574"/>
      <c r="BBB751" s="574"/>
      <c r="BBC751" s="574"/>
      <c r="BBD751" s="574"/>
      <c r="BBE751" s="574"/>
      <c r="BBF751" s="574"/>
      <c r="BBG751" s="574"/>
      <c r="BBH751" s="574"/>
      <c r="BBI751" s="574"/>
      <c r="BBJ751" s="574"/>
      <c r="BBK751" s="574"/>
      <c r="BBL751" s="574"/>
      <c r="BBM751" s="574"/>
      <c r="BBN751" s="574"/>
      <c r="BBO751" s="574"/>
      <c r="BBP751" s="574"/>
      <c r="BBQ751" s="574"/>
      <c r="BBR751" s="574"/>
      <c r="BBS751" s="574"/>
      <c r="BBT751" s="574"/>
      <c r="BBU751" s="574"/>
      <c r="BBV751" s="574"/>
      <c r="BBW751" s="574"/>
      <c r="BBX751" s="574"/>
      <c r="BBY751" s="574"/>
      <c r="BBZ751" s="574"/>
      <c r="BCA751" s="574"/>
      <c r="BCB751" s="574"/>
      <c r="BCC751" s="574"/>
      <c r="BCD751" s="574"/>
      <c r="BCE751" s="574"/>
      <c r="BCF751" s="574"/>
      <c r="BCG751" s="574"/>
      <c r="BCH751" s="574"/>
      <c r="BCI751" s="574"/>
      <c r="BCJ751" s="574"/>
      <c r="BCK751" s="574"/>
      <c r="BCL751" s="574"/>
      <c r="BCM751" s="574"/>
      <c r="BCN751" s="574"/>
      <c r="BCO751" s="574"/>
      <c r="BCP751" s="574"/>
      <c r="BCQ751" s="574"/>
      <c r="BCR751" s="574"/>
      <c r="BCS751" s="574"/>
      <c r="BCT751" s="574"/>
      <c r="BCU751" s="574"/>
      <c r="BCV751" s="574"/>
      <c r="BCW751" s="574"/>
      <c r="BCX751" s="574"/>
      <c r="BCY751" s="574"/>
      <c r="BCZ751" s="574"/>
      <c r="BDA751" s="574"/>
      <c r="BDB751" s="574"/>
      <c r="BDC751" s="574"/>
      <c r="BDD751" s="574"/>
      <c r="BDE751" s="574"/>
      <c r="BDF751" s="574"/>
      <c r="BDG751" s="574"/>
      <c r="BDH751" s="574"/>
      <c r="BDI751" s="574"/>
      <c r="BDJ751" s="574"/>
      <c r="BDK751" s="574"/>
      <c r="BDL751" s="574"/>
      <c r="BDM751" s="574"/>
      <c r="BDN751" s="574"/>
      <c r="BDO751" s="574"/>
      <c r="BDP751" s="574"/>
      <c r="BDQ751" s="574"/>
      <c r="BDR751" s="574"/>
      <c r="BDS751" s="574"/>
      <c r="BDT751" s="574"/>
      <c r="BDU751" s="574"/>
      <c r="BDV751" s="574"/>
      <c r="BDW751" s="574"/>
      <c r="BDX751" s="574"/>
      <c r="BDY751" s="574"/>
      <c r="BDZ751" s="574"/>
      <c r="BEA751" s="574"/>
      <c r="BEB751" s="574"/>
      <c r="BEC751" s="574"/>
      <c r="BED751" s="574"/>
      <c r="BEE751" s="574"/>
      <c r="BEF751" s="574"/>
      <c r="BEG751" s="574"/>
      <c r="BEH751" s="574"/>
      <c r="BEI751" s="574"/>
      <c r="BEJ751" s="574"/>
      <c r="BEK751" s="574"/>
      <c r="BEL751" s="574"/>
      <c r="BEM751" s="574"/>
      <c r="BEN751" s="574"/>
      <c r="BEO751" s="574"/>
      <c r="BEP751" s="574"/>
      <c r="BEQ751" s="574"/>
      <c r="BER751" s="574"/>
      <c r="BES751" s="574"/>
      <c r="BET751" s="574"/>
      <c r="BEU751" s="574"/>
      <c r="BEV751" s="574"/>
      <c r="BEW751" s="574"/>
      <c r="BEX751" s="574"/>
      <c r="BEY751" s="574"/>
      <c r="BEZ751" s="574"/>
      <c r="BFA751" s="574"/>
      <c r="BFB751" s="574"/>
      <c r="BFC751" s="574"/>
      <c r="BFD751" s="574"/>
      <c r="BFE751" s="574"/>
      <c r="BFF751" s="574"/>
      <c r="BFG751" s="574"/>
      <c r="BFH751" s="574"/>
      <c r="BFI751" s="574"/>
      <c r="BFJ751" s="574"/>
      <c r="BFK751" s="574"/>
      <c r="BFL751" s="574"/>
      <c r="BFM751" s="574"/>
      <c r="BFN751" s="574"/>
      <c r="BFO751" s="574"/>
      <c r="BFP751" s="574"/>
      <c r="BFQ751" s="574"/>
      <c r="BFR751" s="574"/>
      <c r="BFS751" s="574"/>
      <c r="BFT751" s="574"/>
      <c r="BFU751" s="574"/>
      <c r="BFV751" s="574"/>
      <c r="BFW751" s="574"/>
      <c r="BFX751" s="574"/>
      <c r="BFY751" s="574"/>
      <c r="BFZ751" s="574"/>
      <c r="BGA751" s="574"/>
      <c r="BGB751" s="574"/>
      <c r="BGC751" s="574"/>
      <c r="BGD751" s="574"/>
      <c r="BGE751" s="574"/>
      <c r="BGF751" s="574"/>
      <c r="BGG751" s="574"/>
      <c r="BGH751" s="574"/>
      <c r="BGI751" s="574"/>
      <c r="BGJ751" s="574"/>
      <c r="BGK751" s="574"/>
      <c r="BGL751" s="574"/>
      <c r="BGM751" s="574"/>
      <c r="BGN751" s="574"/>
      <c r="BGO751" s="574"/>
      <c r="BGP751" s="574"/>
      <c r="BGQ751" s="574"/>
      <c r="BGR751" s="574"/>
      <c r="BGS751" s="574"/>
      <c r="BGT751" s="574"/>
      <c r="BGU751" s="574"/>
      <c r="BGV751" s="574"/>
      <c r="BGW751" s="574"/>
      <c r="BGX751" s="574"/>
      <c r="BGY751" s="574"/>
      <c r="BGZ751" s="574"/>
      <c r="BHA751" s="574"/>
      <c r="BHB751" s="574"/>
      <c r="BHC751" s="574"/>
      <c r="BHD751" s="574"/>
      <c r="BHE751" s="574"/>
      <c r="BHF751" s="574"/>
      <c r="BHG751" s="574"/>
      <c r="BHH751" s="574"/>
      <c r="BHI751" s="574"/>
      <c r="BHJ751" s="574"/>
      <c r="BHK751" s="574"/>
      <c r="BHL751" s="574"/>
      <c r="BHM751" s="574"/>
      <c r="BHN751" s="574"/>
      <c r="BHO751" s="574"/>
      <c r="BHP751" s="574"/>
      <c r="BHQ751" s="574"/>
      <c r="BHR751" s="574"/>
      <c r="BHS751" s="574"/>
      <c r="BHT751" s="574"/>
      <c r="BHU751" s="574"/>
      <c r="BHV751" s="574"/>
      <c r="BHW751" s="574"/>
      <c r="BHX751" s="574"/>
      <c r="BHY751" s="574"/>
      <c r="BHZ751" s="574"/>
      <c r="BIA751" s="574"/>
      <c r="BIB751" s="574"/>
      <c r="BIC751" s="574"/>
      <c r="BID751" s="574"/>
      <c r="BIE751" s="574"/>
      <c r="BIF751" s="574"/>
      <c r="BIG751" s="574"/>
      <c r="BIH751" s="574"/>
      <c r="BII751" s="574"/>
      <c r="BIJ751" s="574"/>
      <c r="BIK751" s="574"/>
      <c r="BIL751" s="574"/>
      <c r="BIM751" s="574"/>
      <c r="BIN751" s="574"/>
      <c r="BIO751" s="574"/>
      <c r="BIP751" s="574"/>
      <c r="BIQ751" s="574"/>
      <c r="BIR751" s="574"/>
      <c r="BIS751" s="574"/>
      <c r="BIT751" s="574"/>
      <c r="BIU751" s="574"/>
      <c r="BIV751" s="574"/>
      <c r="BIW751" s="574"/>
      <c r="BIX751" s="574"/>
      <c r="BIY751" s="574"/>
      <c r="BIZ751" s="574"/>
      <c r="BJA751" s="574"/>
      <c r="BJB751" s="574"/>
      <c r="BJC751" s="574"/>
      <c r="BJD751" s="574"/>
      <c r="BJE751" s="574"/>
      <c r="BJF751" s="574"/>
      <c r="BJG751" s="574"/>
      <c r="BJH751" s="574"/>
      <c r="BJI751" s="574"/>
      <c r="BJJ751" s="574"/>
      <c r="BJK751" s="574"/>
      <c r="BJL751" s="574"/>
      <c r="BJM751" s="574"/>
      <c r="BJN751" s="574"/>
      <c r="BJO751" s="574"/>
      <c r="BJP751" s="574"/>
      <c r="BJQ751" s="574"/>
      <c r="BJR751" s="574"/>
      <c r="BJS751" s="574"/>
      <c r="BJT751" s="574"/>
      <c r="BJU751" s="574"/>
      <c r="BJV751" s="574"/>
      <c r="BJW751" s="574"/>
      <c r="BJX751" s="574"/>
      <c r="BJY751" s="574"/>
      <c r="BJZ751" s="574"/>
      <c r="BKA751" s="574"/>
      <c r="BKB751" s="574"/>
      <c r="BKC751" s="574"/>
      <c r="BKD751" s="574"/>
      <c r="BKE751" s="574"/>
      <c r="BKF751" s="574"/>
      <c r="BKG751" s="574"/>
      <c r="BKH751" s="574"/>
      <c r="BKI751" s="574"/>
      <c r="BKJ751" s="574"/>
      <c r="BKK751" s="574"/>
      <c r="BKL751" s="574"/>
      <c r="BKM751" s="574"/>
      <c r="BKN751" s="574"/>
      <c r="BKO751" s="574"/>
      <c r="BKP751" s="574"/>
      <c r="BKQ751" s="574"/>
      <c r="BKR751" s="574"/>
      <c r="BKS751" s="574"/>
      <c r="BKT751" s="574"/>
      <c r="BKU751" s="574"/>
      <c r="BKV751" s="574"/>
      <c r="BKW751" s="574"/>
      <c r="BKX751" s="574"/>
      <c r="BKY751" s="574"/>
      <c r="BKZ751" s="574"/>
      <c r="BLA751" s="574"/>
      <c r="BLB751" s="574"/>
      <c r="BLC751" s="574"/>
      <c r="BLD751" s="574"/>
      <c r="BLE751" s="574"/>
      <c r="BLF751" s="574"/>
      <c r="BLG751" s="574"/>
      <c r="BLH751" s="574"/>
      <c r="BLI751" s="574"/>
      <c r="BLJ751" s="574"/>
      <c r="BLK751" s="574"/>
      <c r="BLL751" s="574"/>
      <c r="BLM751" s="574"/>
      <c r="BLN751" s="574"/>
      <c r="BLO751" s="574"/>
      <c r="BLP751" s="574"/>
      <c r="BLQ751" s="574"/>
      <c r="BLR751" s="574"/>
      <c r="BLS751" s="574"/>
      <c r="BLT751" s="574"/>
      <c r="BLU751" s="574"/>
      <c r="BLV751" s="574"/>
      <c r="BLW751" s="574"/>
      <c r="BLX751" s="574"/>
      <c r="BLY751" s="574"/>
      <c r="BLZ751" s="574"/>
      <c r="BMA751" s="574"/>
      <c r="BMB751" s="574"/>
      <c r="BMC751" s="574"/>
      <c r="BMD751" s="574"/>
      <c r="BME751" s="574"/>
      <c r="BMF751" s="574"/>
      <c r="BMG751" s="574"/>
      <c r="BMH751" s="574"/>
      <c r="BMI751" s="574"/>
      <c r="BMJ751" s="574"/>
      <c r="BMK751" s="574"/>
      <c r="BML751" s="574"/>
      <c r="BMM751" s="574"/>
      <c r="BMN751" s="574"/>
      <c r="BMO751" s="574"/>
      <c r="BMP751" s="574"/>
      <c r="BMQ751" s="574"/>
      <c r="BMR751" s="574"/>
      <c r="BMS751" s="574"/>
      <c r="BMT751" s="574"/>
      <c r="BMU751" s="574"/>
      <c r="BMV751" s="574"/>
      <c r="BMW751" s="574"/>
      <c r="BMX751" s="574"/>
      <c r="BMY751" s="574"/>
      <c r="BMZ751" s="574"/>
      <c r="BNA751" s="574"/>
      <c r="BNB751" s="574"/>
      <c r="BNC751" s="574"/>
      <c r="BND751" s="574"/>
      <c r="BNE751" s="574"/>
      <c r="BNF751" s="574"/>
      <c r="BNG751" s="574"/>
      <c r="BNH751" s="574"/>
      <c r="BNI751" s="574"/>
      <c r="BNJ751" s="574"/>
      <c r="BNK751" s="574"/>
      <c r="BNL751" s="574"/>
      <c r="BNM751" s="574"/>
      <c r="BNN751" s="574"/>
      <c r="BNO751" s="574"/>
      <c r="BNP751" s="574"/>
      <c r="BNQ751" s="574"/>
      <c r="BNR751" s="574"/>
      <c r="BNS751" s="574"/>
      <c r="BNT751" s="574"/>
      <c r="BNU751" s="574"/>
      <c r="BNV751" s="574"/>
      <c r="BNW751" s="574"/>
      <c r="BNX751" s="574"/>
      <c r="BNY751" s="574"/>
      <c r="BNZ751" s="574"/>
      <c r="BOA751" s="574"/>
      <c r="BOB751" s="574"/>
      <c r="BOC751" s="574"/>
      <c r="BOD751" s="574"/>
      <c r="BOE751" s="574"/>
      <c r="BOF751" s="574"/>
      <c r="BOG751" s="574"/>
      <c r="BOH751" s="574"/>
      <c r="BOI751" s="574"/>
      <c r="BOJ751" s="574"/>
      <c r="BOK751" s="574"/>
      <c r="BOL751" s="574"/>
      <c r="BOM751" s="574"/>
      <c r="BON751" s="574"/>
      <c r="BOO751" s="574"/>
      <c r="BOP751" s="574"/>
      <c r="BOQ751" s="574"/>
      <c r="BOR751" s="574"/>
      <c r="BOS751" s="574"/>
      <c r="BOT751" s="574"/>
      <c r="BOU751" s="574"/>
      <c r="BOV751" s="574"/>
      <c r="BOW751" s="574"/>
      <c r="BOX751" s="574"/>
      <c r="BOY751" s="574"/>
      <c r="BOZ751" s="574"/>
      <c r="BPA751" s="574"/>
      <c r="BPB751" s="574"/>
      <c r="BPC751" s="574"/>
      <c r="BPD751" s="574"/>
      <c r="BPE751" s="574"/>
      <c r="BPF751" s="574"/>
      <c r="BPG751" s="574"/>
      <c r="BPH751" s="574"/>
      <c r="BPI751" s="574"/>
      <c r="BPJ751" s="574"/>
      <c r="BPK751" s="574"/>
      <c r="BPL751" s="574"/>
      <c r="BPM751" s="574"/>
      <c r="BPN751" s="574"/>
      <c r="BPO751" s="574"/>
      <c r="BPP751" s="574"/>
      <c r="BPQ751" s="574"/>
      <c r="BPR751" s="574"/>
      <c r="BPS751" s="574"/>
      <c r="BPT751" s="574"/>
      <c r="BPU751" s="574"/>
      <c r="BPV751" s="574"/>
      <c r="BPW751" s="574"/>
      <c r="BPX751" s="574"/>
      <c r="BPY751" s="574"/>
      <c r="BPZ751" s="574"/>
      <c r="BQA751" s="574"/>
      <c r="BQB751" s="574"/>
      <c r="BQC751" s="574"/>
      <c r="BQD751" s="574"/>
      <c r="BQE751" s="574"/>
      <c r="BQF751" s="574"/>
      <c r="BQG751" s="574"/>
      <c r="BQH751" s="574"/>
      <c r="BQI751" s="574"/>
      <c r="BQJ751" s="574"/>
      <c r="BQK751" s="574"/>
      <c r="BQL751" s="574"/>
      <c r="BQM751" s="574"/>
      <c r="BQN751" s="574"/>
      <c r="BQO751" s="574"/>
      <c r="BQP751" s="574"/>
      <c r="BQQ751" s="574"/>
      <c r="BQR751" s="574"/>
      <c r="BQS751" s="574"/>
      <c r="BQT751" s="574"/>
      <c r="BQU751" s="574"/>
      <c r="BQV751" s="574"/>
      <c r="BQW751" s="574"/>
      <c r="BQX751" s="574"/>
      <c r="BQY751" s="574"/>
      <c r="BQZ751" s="574"/>
      <c r="BRA751" s="574"/>
      <c r="BRB751" s="574"/>
      <c r="BRC751" s="574"/>
      <c r="BRD751" s="574"/>
      <c r="BRE751" s="574"/>
      <c r="BRF751" s="574"/>
      <c r="BRG751" s="574"/>
      <c r="BRH751" s="574"/>
      <c r="BRI751" s="574"/>
      <c r="BRJ751" s="574"/>
      <c r="BRK751" s="574"/>
      <c r="BRL751" s="574"/>
      <c r="BRM751" s="574"/>
      <c r="BRN751" s="574"/>
      <c r="BRO751" s="574"/>
      <c r="BRP751" s="574"/>
      <c r="BRQ751" s="574"/>
      <c r="BRR751" s="574"/>
      <c r="BRS751" s="574"/>
      <c r="BRT751" s="574"/>
      <c r="BRU751" s="574"/>
      <c r="BRV751" s="574"/>
      <c r="BRW751" s="574"/>
      <c r="BRX751" s="574"/>
      <c r="BRY751" s="574"/>
      <c r="BRZ751" s="574"/>
      <c r="BSA751" s="574"/>
      <c r="BSB751" s="574"/>
      <c r="BSC751" s="574"/>
      <c r="BSD751" s="574"/>
      <c r="BSE751" s="574"/>
      <c r="BSF751" s="574"/>
      <c r="BSG751" s="574"/>
      <c r="BSH751" s="574"/>
      <c r="BSI751" s="574"/>
      <c r="BSJ751" s="574"/>
      <c r="BSK751" s="574"/>
      <c r="BSL751" s="574"/>
      <c r="BSM751" s="574"/>
      <c r="BSN751" s="574"/>
      <c r="BSO751" s="574"/>
      <c r="BSP751" s="574"/>
      <c r="BSQ751" s="574"/>
      <c r="BSR751" s="574"/>
      <c r="BSS751" s="574"/>
      <c r="BST751" s="574"/>
      <c r="BSU751" s="574"/>
      <c r="BSV751" s="574"/>
      <c r="BSW751" s="574"/>
      <c r="BSX751" s="574"/>
      <c r="BSY751" s="574"/>
      <c r="BSZ751" s="574"/>
      <c r="BTA751" s="574"/>
      <c r="BTB751" s="574"/>
      <c r="BTC751" s="574"/>
      <c r="BTD751" s="574"/>
      <c r="BTE751" s="574"/>
      <c r="BTF751" s="574"/>
      <c r="BTG751" s="574"/>
      <c r="BTH751" s="574"/>
      <c r="BTI751" s="574"/>
      <c r="BTJ751" s="574"/>
      <c r="BTK751" s="574"/>
      <c r="BTL751" s="574"/>
      <c r="BTM751" s="574"/>
      <c r="BTN751" s="574"/>
      <c r="BTO751" s="574"/>
      <c r="BTP751" s="574"/>
      <c r="BTQ751" s="574"/>
      <c r="BTR751" s="574"/>
      <c r="BTS751" s="574"/>
      <c r="BTT751" s="574"/>
      <c r="BTU751" s="574"/>
      <c r="BTV751" s="574"/>
      <c r="BTW751" s="574"/>
      <c r="BTX751" s="574"/>
      <c r="BTY751" s="574"/>
      <c r="BTZ751" s="574"/>
      <c r="BUA751" s="574"/>
      <c r="BUB751" s="574"/>
      <c r="BUC751" s="574"/>
      <c r="BUD751" s="574"/>
      <c r="BUE751" s="574"/>
      <c r="BUF751" s="574"/>
      <c r="BUG751" s="574"/>
      <c r="BUH751" s="574"/>
      <c r="BUI751" s="574"/>
      <c r="BUJ751" s="574"/>
      <c r="BUK751" s="574"/>
      <c r="BUL751" s="574"/>
      <c r="BUM751" s="574"/>
      <c r="BUN751" s="574"/>
      <c r="BUO751" s="574"/>
      <c r="BUP751" s="574"/>
      <c r="BUQ751" s="574"/>
      <c r="BUR751" s="574"/>
      <c r="BUS751" s="574"/>
      <c r="BUT751" s="574"/>
      <c r="BUU751" s="574"/>
      <c r="BUV751" s="574"/>
      <c r="BUW751" s="574"/>
      <c r="BUX751" s="574"/>
      <c r="BUY751" s="574"/>
      <c r="BUZ751" s="574"/>
      <c r="BVA751" s="574"/>
      <c r="BVB751" s="574"/>
      <c r="BVC751" s="574"/>
      <c r="BVD751" s="574"/>
      <c r="BVE751" s="574"/>
      <c r="BVF751" s="574"/>
      <c r="BVG751" s="574"/>
      <c r="BVH751" s="574"/>
      <c r="BVI751" s="574"/>
      <c r="BVJ751" s="574"/>
      <c r="BVK751" s="574"/>
      <c r="BVL751" s="574"/>
      <c r="BVM751" s="574"/>
      <c r="BVN751" s="574"/>
      <c r="BVO751" s="574"/>
      <c r="BVP751" s="574"/>
      <c r="BVQ751" s="574"/>
      <c r="BVR751" s="574"/>
      <c r="BVS751" s="574"/>
      <c r="BVT751" s="574"/>
      <c r="BVU751" s="574"/>
      <c r="BVV751" s="574"/>
      <c r="BVW751" s="574"/>
      <c r="BVX751" s="574"/>
      <c r="BVY751" s="574"/>
      <c r="BVZ751" s="574"/>
      <c r="BWA751" s="574"/>
      <c r="BWB751" s="574"/>
      <c r="BWC751" s="574"/>
      <c r="BWD751" s="574"/>
      <c r="BWE751" s="574"/>
      <c r="BWF751" s="574"/>
      <c r="BWG751" s="574"/>
      <c r="BWH751" s="574"/>
      <c r="BWI751" s="574"/>
      <c r="BWJ751" s="574"/>
      <c r="BWK751" s="574"/>
      <c r="BWL751" s="574"/>
      <c r="BWM751" s="574"/>
      <c r="BWN751" s="574"/>
      <c r="BWO751" s="574"/>
      <c r="BWP751" s="574"/>
      <c r="BWQ751" s="574"/>
      <c r="BWR751" s="574"/>
      <c r="BWS751" s="574"/>
      <c r="BWT751" s="574"/>
      <c r="BWU751" s="574"/>
      <c r="BWV751" s="574"/>
      <c r="BWW751" s="574"/>
      <c r="BWX751" s="574"/>
      <c r="BWY751" s="574"/>
      <c r="BWZ751" s="574"/>
      <c r="BXA751" s="574"/>
      <c r="BXB751" s="574"/>
      <c r="BXC751" s="574"/>
      <c r="BXD751" s="574"/>
      <c r="BXE751" s="574"/>
      <c r="BXF751" s="574"/>
      <c r="BXG751" s="574"/>
      <c r="BXH751" s="574"/>
      <c r="BXI751" s="574"/>
      <c r="BXJ751" s="574"/>
      <c r="BXK751" s="574"/>
      <c r="BXL751" s="574"/>
      <c r="BXM751" s="574"/>
      <c r="BXN751" s="574"/>
      <c r="BXO751" s="574"/>
      <c r="BXP751" s="574"/>
      <c r="BXQ751" s="574"/>
      <c r="BXR751" s="574"/>
      <c r="BXS751" s="574"/>
      <c r="BXT751" s="574"/>
      <c r="BXU751" s="574"/>
      <c r="BXV751" s="574"/>
      <c r="BXW751" s="574"/>
      <c r="BXX751" s="574"/>
      <c r="BXY751" s="574"/>
      <c r="BXZ751" s="574"/>
      <c r="BYA751" s="574"/>
      <c r="BYB751" s="574"/>
      <c r="BYC751" s="574"/>
      <c r="BYD751" s="574"/>
      <c r="BYE751" s="574"/>
      <c r="BYF751" s="574"/>
      <c r="BYG751" s="574"/>
      <c r="BYH751" s="574"/>
      <c r="BYI751" s="574"/>
      <c r="BYJ751" s="574"/>
      <c r="BYK751" s="574"/>
      <c r="BYL751" s="574"/>
      <c r="BYM751" s="574"/>
      <c r="BYN751" s="574"/>
      <c r="BYO751" s="574"/>
      <c r="BYP751" s="574"/>
      <c r="BYQ751" s="574"/>
      <c r="BYR751" s="574"/>
      <c r="BYS751" s="574"/>
      <c r="BYT751" s="574"/>
      <c r="BYU751" s="574"/>
      <c r="BYV751" s="574"/>
      <c r="BYW751" s="574"/>
      <c r="BYX751" s="574"/>
      <c r="BYY751" s="574"/>
      <c r="BYZ751" s="574"/>
      <c r="BZA751" s="574"/>
      <c r="BZB751" s="574"/>
      <c r="BZC751" s="574"/>
      <c r="BZD751" s="574"/>
      <c r="BZE751" s="574"/>
      <c r="BZF751" s="574"/>
      <c r="BZG751" s="574"/>
      <c r="BZH751" s="574"/>
      <c r="BZI751" s="574"/>
      <c r="BZJ751" s="574"/>
      <c r="BZK751" s="574"/>
      <c r="BZL751" s="574"/>
      <c r="BZM751" s="574"/>
      <c r="BZN751" s="574"/>
      <c r="BZO751" s="574"/>
      <c r="BZP751" s="574"/>
      <c r="BZQ751" s="574"/>
      <c r="BZR751" s="574"/>
      <c r="BZS751" s="574"/>
      <c r="BZT751" s="574"/>
      <c r="BZU751" s="574"/>
      <c r="BZV751" s="574"/>
      <c r="BZW751" s="574"/>
      <c r="BZX751" s="574"/>
      <c r="BZY751" s="574"/>
      <c r="BZZ751" s="574"/>
      <c r="CAA751" s="574"/>
      <c r="CAB751" s="574"/>
      <c r="CAC751" s="574"/>
      <c r="CAD751" s="574"/>
      <c r="CAE751" s="574"/>
      <c r="CAF751" s="574"/>
      <c r="CAG751" s="574"/>
      <c r="CAH751" s="574"/>
      <c r="CAI751" s="574"/>
      <c r="CAJ751" s="574"/>
      <c r="CAK751" s="574"/>
      <c r="CAL751" s="574"/>
      <c r="CAM751" s="574"/>
      <c r="CAN751" s="574"/>
      <c r="CAO751" s="574"/>
      <c r="CAP751" s="574"/>
      <c r="CAQ751" s="574"/>
      <c r="CAR751" s="574"/>
      <c r="CAS751" s="574"/>
      <c r="CAT751" s="574"/>
      <c r="CAU751" s="574"/>
      <c r="CAV751" s="574"/>
      <c r="CAW751" s="574"/>
      <c r="CAX751" s="574"/>
      <c r="CAY751" s="574"/>
      <c r="CAZ751" s="574"/>
      <c r="CBA751" s="574"/>
      <c r="CBB751" s="574"/>
      <c r="CBC751" s="574"/>
      <c r="CBD751" s="574"/>
      <c r="CBE751" s="574"/>
      <c r="CBF751" s="574"/>
      <c r="CBG751" s="574"/>
      <c r="CBH751" s="574"/>
      <c r="CBI751" s="574"/>
      <c r="CBJ751" s="574"/>
      <c r="CBK751" s="574"/>
      <c r="CBL751" s="574"/>
      <c r="CBM751" s="574"/>
      <c r="CBN751" s="574"/>
      <c r="CBO751" s="574"/>
      <c r="CBP751" s="574"/>
      <c r="CBQ751" s="574"/>
      <c r="CBR751" s="574"/>
      <c r="CBS751" s="574"/>
      <c r="CBT751" s="574"/>
      <c r="CBU751" s="574"/>
      <c r="CBV751" s="574"/>
      <c r="CBW751" s="574"/>
      <c r="CBX751" s="574"/>
      <c r="CBY751" s="574"/>
      <c r="CBZ751" s="574"/>
      <c r="CCA751" s="574"/>
      <c r="CCB751" s="574"/>
      <c r="CCC751" s="574"/>
      <c r="CCD751" s="574"/>
      <c r="CCE751" s="574"/>
      <c r="CCF751" s="574"/>
      <c r="CCG751" s="574"/>
      <c r="CCH751" s="574"/>
      <c r="CCI751" s="574"/>
      <c r="CCJ751" s="574"/>
      <c r="CCK751" s="574"/>
      <c r="CCL751" s="574"/>
      <c r="CCM751" s="574"/>
      <c r="CCN751" s="574"/>
      <c r="CCO751" s="574"/>
      <c r="CCP751" s="574"/>
      <c r="CCQ751" s="574"/>
      <c r="CCR751" s="574"/>
      <c r="CCS751" s="574"/>
      <c r="CCT751" s="574"/>
      <c r="CCU751" s="574"/>
      <c r="CCV751" s="574"/>
      <c r="CCW751" s="574"/>
      <c r="CCX751" s="574"/>
      <c r="CCY751" s="574"/>
      <c r="CCZ751" s="574"/>
      <c r="CDA751" s="574"/>
      <c r="CDB751" s="574"/>
      <c r="CDC751" s="574"/>
      <c r="CDD751" s="574"/>
      <c r="CDE751" s="574"/>
      <c r="CDF751" s="574"/>
      <c r="CDG751" s="574"/>
      <c r="CDH751" s="574"/>
      <c r="CDI751" s="574"/>
      <c r="CDJ751" s="574"/>
      <c r="CDK751" s="574"/>
      <c r="CDL751" s="574"/>
      <c r="CDM751" s="574"/>
      <c r="CDN751" s="574"/>
      <c r="CDO751" s="574"/>
      <c r="CDP751" s="574"/>
      <c r="CDQ751" s="574"/>
      <c r="CDR751" s="574"/>
      <c r="CDS751" s="574"/>
      <c r="CDT751" s="574"/>
      <c r="CDU751" s="574"/>
      <c r="CDV751" s="574"/>
      <c r="CDW751" s="574"/>
      <c r="CDX751" s="574"/>
      <c r="CDY751" s="574"/>
      <c r="CDZ751" s="574"/>
      <c r="CEA751" s="574"/>
      <c r="CEB751" s="574"/>
      <c r="CEC751" s="574"/>
      <c r="CED751" s="574"/>
      <c r="CEE751" s="574"/>
      <c r="CEF751" s="574"/>
      <c r="CEG751" s="574"/>
      <c r="CEH751" s="574"/>
      <c r="CEI751" s="574"/>
      <c r="CEJ751" s="574"/>
      <c r="CEK751" s="574"/>
      <c r="CEL751" s="574"/>
      <c r="CEM751" s="574"/>
      <c r="CEN751" s="574"/>
      <c r="CEO751" s="574"/>
      <c r="CEP751" s="574"/>
      <c r="CEQ751" s="574"/>
      <c r="CER751" s="574"/>
      <c r="CES751" s="574"/>
      <c r="CET751" s="574"/>
      <c r="CEU751" s="574"/>
      <c r="CEV751" s="574"/>
      <c r="CEW751" s="574"/>
      <c r="CEX751" s="574"/>
      <c r="CEY751" s="574"/>
      <c r="CEZ751" s="574"/>
      <c r="CFA751" s="574"/>
      <c r="CFB751" s="574"/>
      <c r="CFC751" s="574"/>
      <c r="CFD751" s="574"/>
      <c r="CFE751" s="574"/>
      <c r="CFF751" s="574"/>
      <c r="CFG751" s="574"/>
      <c r="CFH751" s="574"/>
      <c r="CFI751" s="574"/>
      <c r="CFJ751" s="574"/>
      <c r="CFK751" s="574"/>
      <c r="CFL751" s="574"/>
      <c r="CFM751" s="574"/>
      <c r="CFN751" s="574"/>
      <c r="CFO751" s="574"/>
      <c r="CFP751" s="574"/>
      <c r="CFQ751" s="574"/>
      <c r="CFR751" s="574"/>
      <c r="CFS751" s="574"/>
      <c r="CFT751" s="574"/>
      <c r="CFU751" s="574"/>
      <c r="CFV751" s="574"/>
      <c r="CFW751" s="574"/>
      <c r="CFX751" s="574"/>
      <c r="CFY751" s="574"/>
      <c r="CFZ751" s="574"/>
      <c r="CGA751" s="574"/>
      <c r="CGB751" s="574"/>
      <c r="CGC751" s="574"/>
      <c r="CGD751" s="574"/>
      <c r="CGE751" s="574"/>
      <c r="CGF751" s="574"/>
      <c r="CGG751" s="574"/>
      <c r="CGH751" s="574"/>
      <c r="CGI751" s="574"/>
      <c r="CGJ751" s="574"/>
      <c r="CGK751" s="574"/>
      <c r="CGL751" s="574"/>
      <c r="CGM751" s="574"/>
      <c r="CGN751" s="574"/>
      <c r="CGO751" s="574"/>
      <c r="CGP751" s="574"/>
      <c r="CGQ751" s="574"/>
      <c r="CGR751" s="574"/>
      <c r="CGS751" s="574"/>
      <c r="CGT751" s="574"/>
      <c r="CGU751" s="574"/>
      <c r="CGV751" s="574"/>
      <c r="CGW751" s="574"/>
      <c r="CGX751" s="574"/>
      <c r="CGY751" s="574"/>
      <c r="CGZ751" s="574"/>
      <c r="CHA751" s="574"/>
      <c r="CHB751" s="574"/>
      <c r="CHC751" s="574"/>
      <c r="CHD751" s="574"/>
      <c r="CHE751" s="574"/>
      <c r="CHF751" s="574"/>
      <c r="CHG751" s="574"/>
      <c r="CHH751" s="574"/>
      <c r="CHI751" s="574"/>
      <c r="CHJ751" s="574"/>
      <c r="CHK751" s="574"/>
      <c r="CHL751" s="574"/>
      <c r="CHM751" s="574"/>
      <c r="CHN751" s="574"/>
      <c r="CHO751" s="574"/>
      <c r="CHP751" s="574"/>
      <c r="CHQ751" s="574"/>
      <c r="CHR751" s="574"/>
      <c r="CHS751" s="574"/>
      <c r="CHT751" s="574"/>
      <c r="CHU751" s="574"/>
      <c r="CHV751" s="574"/>
      <c r="CHW751" s="574"/>
      <c r="CHX751" s="574"/>
      <c r="CHY751" s="574"/>
      <c r="CHZ751" s="574"/>
      <c r="CIA751" s="574"/>
      <c r="CIB751" s="574"/>
      <c r="CIC751" s="574"/>
      <c r="CID751" s="574"/>
      <c r="CIE751" s="574"/>
      <c r="CIF751" s="574"/>
      <c r="CIG751" s="574"/>
      <c r="CIH751" s="574"/>
      <c r="CII751" s="574"/>
      <c r="CIJ751" s="574"/>
      <c r="CIK751" s="574"/>
      <c r="CIL751" s="574"/>
      <c r="CIM751" s="574"/>
      <c r="CIN751" s="574"/>
      <c r="CIO751" s="574"/>
      <c r="CIP751" s="574"/>
      <c r="CIQ751" s="574"/>
      <c r="CIR751" s="574"/>
      <c r="CIS751" s="574"/>
      <c r="CIT751" s="574"/>
      <c r="CIU751" s="574"/>
      <c r="CIV751" s="574"/>
      <c r="CIW751" s="574"/>
      <c r="CIX751" s="574"/>
      <c r="CIY751" s="574"/>
      <c r="CIZ751" s="574"/>
      <c r="CJA751" s="574"/>
      <c r="CJB751" s="574"/>
      <c r="CJC751" s="574"/>
      <c r="CJD751" s="574"/>
      <c r="CJE751" s="574"/>
      <c r="CJF751" s="574"/>
      <c r="CJG751" s="574"/>
      <c r="CJH751" s="574"/>
      <c r="CJI751" s="574"/>
      <c r="CJJ751" s="574"/>
      <c r="CJK751" s="574"/>
      <c r="CJL751" s="574"/>
      <c r="CJM751" s="574"/>
      <c r="CJN751" s="574"/>
      <c r="CJO751" s="574"/>
      <c r="CJP751" s="574"/>
      <c r="CJQ751" s="574"/>
      <c r="CJR751" s="574"/>
      <c r="CJS751" s="574"/>
      <c r="CJT751" s="574"/>
      <c r="CJU751" s="574"/>
      <c r="CJV751" s="574"/>
      <c r="CJW751" s="574"/>
      <c r="CJX751" s="574"/>
      <c r="CJY751" s="574"/>
      <c r="CJZ751" s="574"/>
      <c r="CKA751" s="574"/>
      <c r="CKB751" s="574"/>
      <c r="CKC751" s="574"/>
      <c r="CKD751" s="574"/>
      <c r="CKE751" s="574"/>
      <c r="CKF751" s="574"/>
      <c r="CKG751" s="574"/>
      <c r="CKH751" s="574"/>
      <c r="CKI751" s="574"/>
      <c r="CKJ751" s="574"/>
      <c r="CKK751" s="574"/>
      <c r="CKL751" s="574"/>
      <c r="CKM751" s="574"/>
      <c r="CKN751" s="574"/>
      <c r="CKO751" s="574"/>
      <c r="CKP751" s="574"/>
      <c r="CKQ751" s="574"/>
      <c r="CKR751" s="574"/>
      <c r="CKS751" s="574"/>
      <c r="CKT751" s="574"/>
      <c r="CKU751" s="574"/>
      <c r="CKV751" s="574"/>
      <c r="CKW751" s="574"/>
      <c r="CKX751" s="574"/>
      <c r="CKY751" s="574"/>
      <c r="CKZ751" s="574"/>
      <c r="CLA751" s="574"/>
      <c r="CLB751" s="574"/>
      <c r="CLC751" s="574"/>
      <c r="CLD751" s="574"/>
      <c r="CLE751" s="574"/>
      <c r="CLF751" s="574"/>
      <c r="CLG751" s="574"/>
      <c r="CLH751" s="574"/>
      <c r="CLI751" s="574"/>
      <c r="CLJ751" s="574"/>
      <c r="CLK751" s="574"/>
      <c r="CLL751" s="574"/>
      <c r="CLM751" s="574"/>
      <c r="CLN751" s="574"/>
      <c r="CLO751" s="574"/>
      <c r="CLP751" s="574"/>
      <c r="CLQ751" s="574"/>
      <c r="CLR751" s="574"/>
      <c r="CLS751" s="574"/>
      <c r="CLT751" s="574"/>
      <c r="CLU751" s="574"/>
      <c r="CLV751" s="574"/>
      <c r="CLW751" s="574"/>
      <c r="CLX751" s="574"/>
      <c r="CLY751" s="574"/>
      <c r="CLZ751" s="574"/>
      <c r="CMA751" s="574"/>
      <c r="CMB751" s="574"/>
      <c r="CMC751" s="574"/>
      <c r="CMD751" s="574"/>
      <c r="CME751" s="574"/>
      <c r="CMF751" s="574"/>
      <c r="CMG751" s="574"/>
      <c r="CMH751" s="574"/>
      <c r="CMI751" s="574"/>
      <c r="CMJ751" s="574"/>
      <c r="CMK751" s="574"/>
      <c r="CML751" s="574"/>
      <c r="CMM751" s="574"/>
      <c r="CMN751" s="574"/>
      <c r="CMO751" s="574"/>
      <c r="CMP751" s="574"/>
      <c r="CMQ751" s="574"/>
      <c r="CMR751" s="574"/>
      <c r="CMS751" s="574"/>
      <c r="CMT751" s="574"/>
      <c r="CMU751" s="574"/>
      <c r="CMV751" s="574"/>
      <c r="CMW751" s="574"/>
      <c r="CMX751" s="574"/>
      <c r="CMY751" s="574"/>
      <c r="CMZ751" s="574"/>
      <c r="CNA751" s="574"/>
      <c r="CNB751" s="574"/>
      <c r="CNC751" s="574"/>
      <c r="CND751" s="574"/>
      <c r="CNE751" s="574"/>
      <c r="CNF751" s="574"/>
      <c r="CNG751" s="574"/>
      <c r="CNH751" s="574"/>
      <c r="CNI751" s="574"/>
      <c r="CNJ751" s="574"/>
      <c r="CNK751" s="574"/>
      <c r="CNL751" s="574"/>
      <c r="CNM751" s="574"/>
      <c r="CNN751" s="574"/>
      <c r="CNO751" s="574"/>
      <c r="CNP751" s="574"/>
      <c r="CNQ751" s="574"/>
      <c r="CNR751" s="574"/>
      <c r="CNS751" s="574"/>
      <c r="CNT751" s="574"/>
      <c r="CNU751" s="574"/>
      <c r="CNV751" s="574"/>
      <c r="CNW751" s="574"/>
      <c r="CNX751" s="574"/>
      <c r="CNY751" s="574"/>
      <c r="CNZ751" s="574"/>
      <c r="COA751" s="574"/>
      <c r="COB751" s="574"/>
      <c r="COC751" s="574"/>
      <c r="COD751" s="574"/>
      <c r="COE751" s="574"/>
      <c r="COF751" s="574"/>
      <c r="COG751" s="574"/>
      <c r="COH751" s="574"/>
      <c r="COI751" s="574"/>
      <c r="COJ751" s="574"/>
      <c r="COK751" s="574"/>
      <c r="COL751" s="574"/>
      <c r="COM751" s="574"/>
      <c r="CON751" s="574"/>
      <c r="COO751" s="574"/>
      <c r="COP751" s="574"/>
      <c r="COQ751" s="574"/>
      <c r="COR751" s="574"/>
      <c r="COS751" s="574"/>
      <c r="COT751" s="574"/>
      <c r="COU751" s="574"/>
      <c r="COV751" s="574"/>
      <c r="COW751" s="574"/>
      <c r="COX751" s="574"/>
      <c r="COY751" s="574"/>
      <c r="COZ751" s="574"/>
      <c r="CPA751" s="574"/>
      <c r="CPB751" s="574"/>
      <c r="CPC751" s="574"/>
      <c r="CPD751" s="574"/>
      <c r="CPE751" s="574"/>
      <c r="CPF751" s="574"/>
      <c r="CPG751" s="574"/>
      <c r="CPH751" s="574"/>
      <c r="CPI751" s="574"/>
      <c r="CPJ751" s="574"/>
      <c r="CPK751" s="574"/>
      <c r="CPL751" s="574"/>
      <c r="CPM751" s="574"/>
      <c r="CPN751" s="574"/>
      <c r="CPO751" s="574"/>
      <c r="CPP751" s="574"/>
      <c r="CPQ751" s="574"/>
      <c r="CPR751" s="574"/>
      <c r="CPS751" s="574"/>
      <c r="CPT751" s="574"/>
      <c r="CPU751" s="574"/>
      <c r="CPV751" s="574"/>
      <c r="CPW751" s="574"/>
      <c r="CPX751" s="574"/>
      <c r="CPY751" s="574"/>
      <c r="CPZ751" s="574"/>
      <c r="CQA751" s="574"/>
      <c r="CQB751" s="574"/>
      <c r="CQC751" s="574"/>
      <c r="CQD751" s="574"/>
      <c r="CQE751" s="574"/>
      <c r="CQF751" s="574"/>
      <c r="CQG751" s="574"/>
      <c r="CQH751" s="574"/>
      <c r="CQI751" s="574"/>
      <c r="CQJ751" s="574"/>
      <c r="CQK751" s="574"/>
      <c r="CQL751" s="574"/>
      <c r="CQM751" s="574"/>
      <c r="CQN751" s="574"/>
      <c r="CQO751" s="574"/>
      <c r="CQP751" s="574"/>
      <c r="CQQ751" s="574"/>
      <c r="CQR751" s="574"/>
      <c r="CQS751" s="574"/>
      <c r="CQT751" s="574"/>
      <c r="CQU751" s="574"/>
      <c r="CQV751" s="574"/>
      <c r="CQW751" s="574"/>
      <c r="CQX751" s="574"/>
      <c r="CQY751" s="574"/>
      <c r="CQZ751" s="574"/>
      <c r="CRA751" s="574"/>
      <c r="CRB751" s="574"/>
      <c r="CRC751" s="574"/>
      <c r="CRD751" s="574"/>
      <c r="CRE751" s="574"/>
      <c r="CRF751" s="574"/>
      <c r="CRG751" s="574"/>
      <c r="CRH751" s="574"/>
      <c r="CRI751" s="574"/>
      <c r="CRJ751" s="574"/>
      <c r="CRK751" s="574"/>
      <c r="CRL751" s="574"/>
      <c r="CRM751" s="574"/>
      <c r="CRN751" s="574"/>
      <c r="CRO751" s="574"/>
      <c r="CRP751" s="574"/>
      <c r="CRQ751" s="574"/>
      <c r="CRR751" s="574"/>
      <c r="CRS751" s="574"/>
      <c r="CRT751" s="574"/>
      <c r="CRU751" s="574"/>
      <c r="CRV751" s="574"/>
      <c r="CRW751" s="574"/>
      <c r="CRX751" s="574"/>
      <c r="CRY751" s="574"/>
      <c r="CRZ751" s="574"/>
      <c r="CSA751" s="574"/>
      <c r="CSB751" s="574"/>
      <c r="CSC751" s="574"/>
      <c r="CSD751" s="574"/>
      <c r="CSE751" s="574"/>
      <c r="CSF751" s="574"/>
      <c r="CSG751" s="574"/>
      <c r="CSH751" s="574"/>
      <c r="CSI751" s="574"/>
      <c r="CSJ751" s="574"/>
      <c r="CSK751" s="574"/>
      <c r="CSL751" s="574"/>
      <c r="CSM751" s="574"/>
      <c r="CSN751" s="574"/>
      <c r="CSO751" s="574"/>
      <c r="CSP751" s="574"/>
      <c r="CSQ751" s="574"/>
      <c r="CSR751" s="574"/>
      <c r="CSS751" s="574"/>
      <c r="CST751" s="574"/>
      <c r="CSU751" s="574"/>
      <c r="CSV751" s="574"/>
      <c r="CSW751" s="574"/>
      <c r="CSX751" s="574"/>
      <c r="CSY751" s="574"/>
      <c r="CSZ751" s="574"/>
      <c r="CTA751" s="574"/>
      <c r="CTB751" s="574"/>
      <c r="CTC751" s="574"/>
      <c r="CTD751" s="574"/>
      <c r="CTE751" s="574"/>
      <c r="CTF751" s="574"/>
      <c r="CTG751" s="574"/>
      <c r="CTH751" s="574"/>
      <c r="CTI751" s="574"/>
      <c r="CTJ751" s="574"/>
      <c r="CTK751" s="574"/>
      <c r="CTL751" s="574"/>
      <c r="CTM751" s="574"/>
      <c r="CTN751" s="574"/>
      <c r="CTO751" s="574"/>
      <c r="CTP751" s="574"/>
      <c r="CTQ751" s="574"/>
      <c r="CTR751" s="574"/>
      <c r="CTS751" s="574"/>
      <c r="CTT751" s="574"/>
      <c r="CTU751" s="574"/>
      <c r="CTV751" s="574"/>
      <c r="CTW751" s="574"/>
      <c r="CTX751" s="574"/>
      <c r="CTY751" s="574"/>
      <c r="CTZ751" s="574"/>
      <c r="CUA751" s="574"/>
      <c r="CUB751" s="574"/>
      <c r="CUC751" s="574"/>
      <c r="CUD751" s="574"/>
      <c r="CUE751" s="574"/>
      <c r="CUF751" s="574"/>
      <c r="CUG751" s="574"/>
      <c r="CUH751" s="574"/>
      <c r="CUI751" s="574"/>
      <c r="CUJ751" s="574"/>
      <c r="CUK751" s="574"/>
      <c r="CUL751" s="574"/>
      <c r="CUM751" s="574"/>
      <c r="CUN751" s="574"/>
      <c r="CUO751" s="574"/>
      <c r="CUP751" s="574"/>
      <c r="CUQ751" s="574"/>
      <c r="CUR751" s="574"/>
      <c r="CUS751" s="574"/>
      <c r="CUT751" s="574"/>
      <c r="CUU751" s="574"/>
      <c r="CUV751" s="574"/>
      <c r="CUW751" s="574"/>
      <c r="CUX751" s="574"/>
      <c r="CUY751" s="574"/>
      <c r="CUZ751" s="574"/>
      <c r="CVA751" s="574"/>
      <c r="CVB751" s="574"/>
      <c r="CVC751" s="574"/>
      <c r="CVD751" s="574"/>
      <c r="CVE751" s="574"/>
      <c r="CVF751" s="574"/>
      <c r="CVG751" s="574"/>
      <c r="CVH751" s="574"/>
      <c r="CVI751" s="574"/>
      <c r="CVJ751" s="574"/>
      <c r="CVK751" s="574"/>
      <c r="CVL751" s="574"/>
      <c r="CVM751" s="574"/>
      <c r="CVN751" s="574"/>
      <c r="CVO751" s="574"/>
      <c r="CVP751" s="574"/>
      <c r="CVQ751" s="574"/>
      <c r="CVR751" s="574"/>
      <c r="CVS751" s="574"/>
      <c r="CVT751" s="574"/>
      <c r="CVU751" s="574"/>
      <c r="CVV751" s="574"/>
      <c r="CVW751" s="574"/>
      <c r="CVX751" s="574"/>
      <c r="CVY751" s="574"/>
      <c r="CVZ751" s="574"/>
      <c r="CWA751" s="574"/>
      <c r="CWB751" s="574"/>
      <c r="CWC751" s="574"/>
      <c r="CWD751" s="574"/>
      <c r="CWE751" s="574"/>
      <c r="CWF751" s="574"/>
      <c r="CWG751" s="574"/>
      <c r="CWH751" s="574"/>
      <c r="CWI751" s="574"/>
      <c r="CWJ751" s="574"/>
      <c r="CWK751" s="574"/>
      <c r="CWL751" s="574"/>
      <c r="CWM751" s="574"/>
      <c r="CWN751" s="574"/>
      <c r="CWO751" s="574"/>
      <c r="CWP751" s="574"/>
      <c r="CWQ751" s="574"/>
      <c r="CWR751" s="574"/>
      <c r="CWS751" s="574"/>
      <c r="CWT751" s="574"/>
      <c r="CWU751" s="574"/>
      <c r="CWV751" s="574"/>
      <c r="CWW751" s="574"/>
      <c r="CWX751" s="574"/>
      <c r="CWY751" s="574"/>
      <c r="CWZ751" s="574"/>
      <c r="CXA751" s="574"/>
      <c r="CXB751" s="574"/>
      <c r="CXC751" s="574"/>
      <c r="CXD751" s="574"/>
      <c r="CXE751" s="574"/>
      <c r="CXF751" s="574"/>
      <c r="CXG751" s="574"/>
      <c r="CXH751" s="574"/>
      <c r="CXI751" s="574"/>
      <c r="CXJ751" s="574"/>
      <c r="CXK751" s="574"/>
      <c r="CXL751" s="574"/>
      <c r="CXM751" s="574"/>
      <c r="CXN751" s="574"/>
      <c r="CXO751" s="574"/>
      <c r="CXP751" s="574"/>
      <c r="CXQ751" s="574"/>
      <c r="CXR751" s="574"/>
      <c r="CXS751" s="574"/>
      <c r="CXT751" s="574"/>
      <c r="CXU751" s="574"/>
      <c r="CXV751" s="574"/>
      <c r="CXW751" s="574"/>
      <c r="CXX751" s="574"/>
      <c r="CXY751" s="574"/>
      <c r="CXZ751" s="574"/>
      <c r="CYA751" s="574"/>
      <c r="CYB751" s="574"/>
      <c r="CYC751" s="574"/>
      <c r="CYD751" s="574"/>
      <c r="CYE751" s="574"/>
      <c r="CYF751" s="574"/>
      <c r="CYG751" s="574"/>
      <c r="CYH751" s="574"/>
      <c r="CYI751" s="574"/>
      <c r="CYJ751" s="574"/>
      <c r="CYK751" s="574"/>
      <c r="CYL751" s="574"/>
      <c r="CYM751" s="574"/>
      <c r="CYN751" s="574"/>
      <c r="CYO751" s="574"/>
      <c r="CYP751" s="574"/>
      <c r="CYQ751" s="574"/>
      <c r="CYR751" s="574"/>
      <c r="CYS751" s="574"/>
      <c r="CYT751" s="574"/>
      <c r="CYU751" s="574"/>
      <c r="CYV751" s="574"/>
      <c r="CYW751" s="574"/>
      <c r="CYX751" s="574"/>
      <c r="CYY751" s="574"/>
      <c r="CYZ751" s="574"/>
      <c r="CZA751" s="574"/>
      <c r="CZB751" s="574"/>
      <c r="CZC751" s="574"/>
      <c r="CZD751" s="574"/>
      <c r="CZE751" s="574"/>
      <c r="CZF751" s="574"/>
      <c r="CZG751" s="574"/>
      <c r="CZH751" s="574"/>
      <c r="CZI751" s="574"/>
      <c r="CZJ751" s="574"/>
      <c r="CZK751" s="574"/>
      <c r="CZL751" s="574"/>
      <c r="CZM751" s="574"/>
      <c r="CZN751" s="574"/>
      <c r="CZO751" s="574"/>
      <c r="CZP751" s="574"/>
      <c r="CZQ751" s="574"/>
      <c r="CZR751" s="574"/>
      <c r="CZS751" s="574"/>
      <c r="CZT751" s="574"/>
      <c r="CZU751" s="574"/>
      <c r="CZV751" s="574"/>
      <c r="CZW751" s="574"/>
      <c r="CZX751" s="574"/>
      <c r="CZY751" s="574"/>
      <c r="CZZ751" s="574"/>
      <c r="DAA751" s="574"/>
      <c r="DAB751" s="574"/>
      <c r="DAC751" s="574"/>
      <c r="DAD751" s="574"/>
      <c r="DAE751" s="574"/>
      <c r="DAF751" s="574"/>
      <c r="DAG751" s="574"/>
      <c r="DAH751" s="574"/>
      <c r="DAI751" s="574"/>
      <c r="DAJ751" s="574"/>
      <c r="DAK751" s="574"/>
      <c r="DAL751" s="574"/>
      <c r="DAM751" s="574"/>
      <c r="DAN751" s="574"/>
      <c r="DAO751" s="574"/>
      <c r="DAP751" s="574"/>
      <c r="DAQ751" s="574"/>
      <c r="DAR751" s="574"/>
      <c r="DAS751" s="574"/>
      <c r="DAT751" s="574"/>
      <c r="DAU751" s="574"/>
      <c r="DAV751" s="574"/>
      <c r="DAW751" s="574"/>
      <c r="DAX751" s="574"/>
      <c r="DAY751" s="574"/>
      <c r="DAZ751" s="574"/>
      <c r="DBA751" s="574"/>
      <c r="DBB751" s="574"/>
      <c r="DBC751" s="574"/>
      <c r="DBD751" s="574"/>
      <c r="DBE751" s="574"/>
      <c r="DBF751" s="574"/>
      <c r="DBG751" s="574"/>
      <c r="DBH751" s="574"/>
      <c r="DBI751" s="574"/>
      <c r="DBJ751" s="574"/>
      <c r="DBK751" s="574"/>
      <c r="DBL751" s="574"/>
      <c r="DBM751" s="574"/>
      <c r="DBN751" s="574"/>
      <c r="DBO751" s="574"/>
      <c r="DBP751" s="574"/>
      <c r="DBQ751" s="574"/>
      <c r="DBR751" s="574"/>
      <c r="DBS751" s="574"/>
      <c r="DBT751" s="574"/>
      <c r="DBU751" s="574"/>
      <c r="DBV751" s="574"/>
      <c r="DBW751" s="574"/>
      <c r="DBX751" s="574"/>
      <c r="DBY751" s="574"/>
      <c r="DBZ751" s="574"/>
      <c r="DCA751" s="574"/>
      <c r="DCB751" s="574"/>
      <c r="DCC751" s="574"/>
      <c r="DCD751" s="574"/>
      <c r="DCE751" s="574"/>
      <c r="DCF751" s="574"/>
      <c r="DCG751" s="574"/>
      <c r="DCH751" s="574"/>
      <c r="DCI751" s="574"/>
      <c r="DCJ751" s="574"/>
      <c r="DCK751" s="574"/>
      <c r="DCL751" s="574"/>
      <c r="DCM751" s="574"/>
      <c r="DCN751" s="574"/>
      <c r="DCO751" s="574"/>
      <c r="DCP751" s="574"/>
      <c r="DCQ751" s="574"/>
      <c r="DCR751" s="574"/>
      <c r="DCS751" s="574"/>
      <c r="DCT751" s="574"/>
      <c r="DCU751" s="574"/>
      <c r="DCV751" s="574"/>
      <c r="DCW751" s="574"/>
      <c r="DCX751" s="574"/>
      <c r="DCY751" s="574"/>
      <c r="DCZ751" s="574"/>
      <c r="DDA751" s="574"/>
      <c r="DDB751" s="574"/>
      <c r="DDC751" s="574"/>
      <c r="DDD751" s="574"/>
      <c r="DDE751" s="574"/>
      <c r="DDF751" s="574"/>
      <c r="DDG751" s="574"/>
      <c r="DDH751" s="574"/>
      <c r="DDI751" s="574"/>
      <c r="DDJ751" s="574"/>
      <c r="DDK751" s="574"/>
      <c r="DDL751" s="574"/>
      <c r="DDM751" s="574"/>
      <c r="DDN751" s="574"/>
      <c r="DDO751" s="574"/>
      <c r="DDP751" s="574"/>
      <c r="DDQ751" s="574"/>
      <c r="DDR751" s="574"/>
      <c r="DDS751" s="574"/>
      <c r="DDT751" s="574"/>
      <c r="DDU751" s="574"/>
      <c r="DDV751" s="574"/>
      <c r="DDW751" s="574"/>
      <c r="DDX751" s="574"/>
      <c r="DDY751" s="574"/>
      <c r="DDZ751" s="574"/>
      <c r="DEA751" s="574"/>
      <c r="DEB751" s="574"/>
      <c r="DEC751" s="574"/>
      <c r="DED751" s="574"/>
      <c r="DEE751" s="574"/>
      <c r="DEF751" s="574"/>
      <c r="DEG751" s="574"/>
      <c r="DEH751" s="574"/>
      <c r="DEI751" s="574"/>
      <c r="DEJ751" s="574"/>
      <c r="DEK751" s="574"/>
      <c r="DEL751" s="574"/>
      <c r="DEM751" s="574"/>
      <c r="DEN751" s="574"/>
      <c r="DEO751" s="574"/>
      <c r="DEP751" s="574"/>
      <c r="DEQ751" s="574"/>
      <c r="DER751" s="574"/>
      <c r="DES751" s="574"/>
      <c r="DET751" s="574"/>
      <c r="DEU751" s="574"/>
      <c r="DEV751" s="574"/>
      <c r="DEW751" s="574"/>
      <c r="DEX751" s="574"/>
      <c r="DEY751" s="574"/>
      <c r="DEZ751" s="574"/>
      <c r="DFA751" s="574"/>
      <c r="DFB751" s="574"/>
      <c r="DFC751" s="574"/>
      <c r="DFD751" s="574"/>
      <c r="DFE751" s="574"/>
      <c r="DFF751" s="574"/>
      <c r="DFG751" s="574"/>
      <c r="DFH751" s="574"/>
      <c r="DFI751" s="574"/>
      <c r="DFJ751" s="574"/>
      <c r="DFK751" s="574"/>
      <c r="DFL751" s="574"/>
      <c r="DFM751" s="574"/>
      <c r="DFN751" s="574"/>
      <c r="DFO751" s="574"/>
      <c r="DFP751" s="574"/>
      <c r="DFQ751" s="574"/>
      <c r="DFR751" s="574"/>
      <c r="DFS751" s="574"/>
      <c r="DFT751" s="574"/>
      <c r="DFU751" s="574"/>
      <c r="DFV751" s="574"/>
      <c r="DFW751" s="574"/>
      <c r="DFX751" s="574"/>
      <c r="DFY751" s="574"/>
      <c r="DFZ751" s="574"/>
      <c r="DGA751" s="574"/>
      <c r="DGB751" s="574"/>
      <c r="DGC751" s="574"/>
      <c r="DGD751" s="574"/>
      <c r="DGE751" s="574"/>
      <c r="DGF751" s="574"/>
      <c r="DGG751" s="574"/>
      <c r="DGH751" s="574"/>
      <c r="DGI751" s="574"/>
      <c r="DGJ751" s="574"/>
      <c r="DGK751" s="574"/>
      <c r="DGL751" s="574"/>
      <c r="DGM751" s="574"/>
      <c r="DGN751" s="574"/>
      <c r="DGO751" s="574"/>
      <c r="DGP751" s="574"/>
      <c r="DGQ751" s="574"/>
      <c r="DGR751" s="574"/>
      <c r="DGS751" s="574"/>
      <c r="DGT751" s="574"/>
      <c r="DGU751" s="574"/>
      <c r="DGV751" s="574"/>
      <c r="DGW751" s="574"/>
      <c r="DGX751" s="574"/>
      <c r="DGY751" s="574"/>
      <c r="DGZ751" s="574"/>
      <c r="DHA751" s="574"/>
      <c r="DHB751" s="574"/>
      <c r="DHC751" s="574"/>
      <c r="DHD751" s="574"/>
      <c r="DHE751" s="574"/>
      <c r="DHF751" s="574"/>
      <c r="DHG751" s="574"/>
      <c r="DHH751" s="574"/>
      <c r="DHI751" s="574"/>
      <c r="DHJ751" s="574"/>
      <c r="DHK751" s="574"/>
      <c r="DHL751" s="574"/>
      <c r="DHM751" s="574"/>
      <c r="DHN751" s="574"/>
      <c r="DHO751" s="574"/>
      <c r="DHP751" s="574"/>
      <c r="DHQ751" s="574"/>
      <c r="DHR751" s="574"/>
      <c r="DHS751" s="574"/>
      <c r="DHT751" s="574"/>
      <c r="DHU751" s="574"/>
      <c r="DHV751" s="574"/>
      <c r="DHW751" s="574"/>
      <c r="DHX751" s="574"/>
      <c r="DHY751" s="574"/>
      <c r="DHZ751" s="574"/>
      <c r="DIA751" s="574"/>
      <c r="DIB751" s="574"/>
      <c r="DIC751" s="574"/>
      <c r="DID751" s="574"/>
      <c r="DIE751" s="574"/>
      <c r="DIF751" s="574"/>
      <c r="DIG751" s="574"/>
      <c r="DIH751" s="574"/>
      <c r="DII751" s="574"/>
      <c r="DIJ751" s="574"/>
      <c r="DIK751" s="574"/>
      <c r="DIL751" s="574"/>
      <c r="DIM751" s="574"/>
      <c r="DIN751" s="574"/>
      <c r="DIO751" s="574"/>
      <c r="DIP751" s="574"/>
      <c r="DIQ751" s="574"/>
      <c r="DIR751" s="574"/>
      <c r="DIS751" s="574"/>
      <c r="DIT751" s="574"/>
      <c r="DIU751" s="574"/>
      <c r="DIV751" s="574"/>
      <c r="DIW751" s="574"/>
      <c r="DIX751" s="574"/>
      <c r="DIY751" s="574"/>
      <c r="DIZ751" s="574"/>
      <c r="DJA751" s="574"/>
      <c r="DJB751" s="574"/>
      <c r="DJC751" s="574"/>
      <c r="DJD751" s="574"/>
      <c r="DJE751" s="574"/>
      <c r="DJF751" s="574"/>
      <c r="DJG751" s="574"/>
      <c r="DJH751" s="574"/>
      <c r="DJI751" s="574"/>
      <c r="DJJ751" s="574"/>
      <c r="DJK751" s="574"/>
      <c r="DJL751" s="574"/>
      <c r="DJM751" s="574"/>
      <c r="DJN751" s="574"/>
      <c r="DJO751" s="574"/>
      <c r="DJP751" s="574"/>
      <c r="DJQ751" s="574"/>
      <c r="DJR751" s="574"/>
      <c r="DJS751" s="574"/>
      <c r="DJT751" s="574"/>
      <c r="DJU751" s="574"/>
      <c r="DJV751" s="574"/>
      <c r="DJW751" s="574"/>
      <c r="DJX751" s="574"/>
      <c r="DJY751" s="574"/>
      <c r="DJZ751" s="574"/>
      <c r="DKA751" s="574"/>
      <c r="DKB751" s="574"/>
      <c r="DKC751" s="574"/>
      <c r="DKD751" s="574"/>
      <c r="DKE751" s="574"/>
      <c r="DKF751" s="574"/>
      <c r="DKG751" s="574"/>
      <c r="DKH751" s="574"/>
      <c r="DKI751" s="574"/>
      <c r="DKJ751" s="574"/>
      <c r="DKK751" s="574"/>
      <c r="DKL751" s="574"/>
      <c r="DKM751" s="574"/>
      <c r="DKN751" s="574"/>
      <c r="DKO751" s="574"/>
      <c r="DKP751" s="574"/>
      <c r="DKQ751" s="574"/>
      <c r="DKR751" s="574"/>
      <c r="DKS751" s="574"/>
      <c r="DKT751" s="574"/>
      <c r="DKU751" s="574"/>
      <c r="DKV751" s="574"/>
      <c r="DKW751" s="574"/>
      <c r="DKX751" s="574"/>
      <c r="DKY751" s="574"/>
      <c r="DKZ751" s="574"/>
      <c r="DLA751" s="574"/>
      <c r="DLB751" s="574"/>
      <c r="DLC751" s="574"/>
      <c r="DLD751" s="574"/>
      <c r="DLE751" s="574"/>
      <c r="DLF751" s="574"/>
      <c r="DLG751" s="574"/>
      <c r="DLH751" s="574"/>
      <c r="DLI751" s="574"/>
      <c r="DLJ751" s="574"/>
      <c r="DLK751" s="574"/>
      <c r="DLL751" s="574"/>
      <c r="DLM751" s="574"/>
      <c r="DLN751" s="574"/>
      <c r="DLO751" s="574"/>
      <c r="DLP751" s="574"/>
      <c r="DLQ751" s="574"/>
      <c r="DLR751" s="574"/>
      <c r="DLS751" s="574"/>
      <c r="DLT751" s="574"/>
      <c r="DLU751" s="574"/>
      <c r="DLV751" s="574"/>
      <c r="DLW751" s="574"/>
      <c r="DLX751" s="574"/>
      <c r="DLY751" s="574"/>
      <c r="DLZ751" s="574"/>
      <c r="DMA751" s="574"/>
      <c r="DMB751" s="574"/>
      <c r="DMC751" s="574"/>
      <c r="DMD751" s="574"/>
      <c r="DME751" s="574"/>
      <c r="DMF751" s="574"/>
      <c r="DMG751" s="574"/>
      <c r="DMH751" s="574"/>
      <c r="DMI751" s="574"/>
      <c r="DMJ751" s="574"/>
      <c r="DMK751" s="574"/>
      <c r="DML751" s="574"/>
      <c r="DMM751" s="574"/>
      <c r="DMN751" s="574"/>
      <c r="DMO751" s="574"/>
      <c r="DMP751" s="574"/>
      <c r="DMQ751" s="574"/>
      <c r="DMR751" s="574"/>
      <c r="DMS751" s="574"/>
      <c r="DMT751" s="574"/>
      <c r="DMU751" s="574"/>
      <c r="DMV751" s="574"/>
      <c r="DMW751" s="574"/>
      <c r="DMX751" s="574"/>
      <c r="DMY751" s="574"/>
      <c r="DMZ751" s="574"/>
      <c r="DNA751" s="574"/>
      <c r="DNB751" s="574"/>
      <c r="DNC751" s="574"/>
      <c r="DND751" s="574"/>
      <c r="DNE751" s="574"/>
      <c r="DNF751" s="574"/>
      <c r="DNG751" s="574"/>
      <c r="DNH751" s="574"/>
      <c r="DNI751" s="574"/>
      <c r="DNJ751" s="574"/>
      <c r="DNK751" s="574"/>
      <c r="DNL751" s="574"/>
      <c r="DNM751" s="574"/>
      <c r="DNN751" s="574"/>
      <c r="DNO751" s="574"/>
      <c r="DNP751" s="574"/>
      <c r="DNQ751" s="574"/>
      <c r="DNR751" s="574"/>
      <c r="DNS751" s="574"/>
      <c r="DNT751" s="574"/>
      <c r="DNU751" s="574"/>
      <c r="DNV751" s="574"/>
      <c r="DNW751" s="574"/>
      <c r="DNX751" s="574"/>
      <c r="DNY751" s="574"/>
      <c r="DNZ751" s="574"/>
      <c r="DOA751" s="574"/>
      <c r="DOB751" s="574"/>
      <c r="DOC751" s="574"/>
      <c r="DOD751" s="574"/>
      <c r="DOE751" s="574"/>
      <c r="DOF751" s="574"/>
      <c r="DOG751" s="574"/>
      <c r="DOH751" s="574"/>
      <c r="DOI751" s="574"/>
      <c r="DOJ751" s="574"/>
      <c r="DOK751" s="574"/>
      <c r="DOL751" s="574"/>
      <c r="DOM751" s="574"/>
      <c r="DON751" s="574"/>
      <c r="DOO751" s="574"/>
      <c r="DOP751" s="574"/>
      <c r="DOQ751" s="574"/>
      <c r="DOR751" s="574"/>
      <c r="DOS751" s="574"/>
      <c r="DOT751" s="574"/>
      <c r="DOU751" s="574"/>
      <c r="DOV751" s="574"/>
      <c r="DOW751" s="574"/>
      <c r="DOX751" s="574"/>
      <c r="DOY751" s="574"/>
      <c r="DOZ751" s="574"/>
      <c r="DPA751" s="574"/>
      <c r="DPB751" s="574"/>
      <c r="DPC751" s="574"/>
      <c r="DPD751" s="574"/>
      <c r="DPE751" s="574"/>
      <c r="DPF751" s="574"/>
      <c r="DPG751" s="574"/>
      <c r="DPH751" s="574"/>
      <c r="DPI751" s="574"/>
      <c r="DPJ751" s="574"/>
      <c r="DPK751" s="574"/>
      <c r="DPL751" s="574"/>
      <c r="DPM751" s="574"/>
      <c r="DPN751" s="574"/>
      <c r="DPO751" s="574"/>
      <c r="DPP751" s="574"/>
      <c r="DPQ751" s="574"/>
      <c r="DPR751" s="574"/>
      <c r="DPS751" s="574"/>
      <c r="DPT751" s="574"/>
      <c r="DPU751" s="574"/>
      <c r="DPV751" s="574"/>
      <c r="DPW751" s="574"/>
      <c r="DPX751" s="574"/>
      <c r="DPY751" s="574"/>
      <c r="DPZ751" s="574"/>
      <c r="DQA751" s="574"/>
      <c r="DQB751" s="574"/>
      <c r="DQC751" s="574"/>
      <c r="DQD751" s="574"/>
      <c r="DQE751" s="574"/>
      <c r="DQF751" s="574"/>
      <c r="DQG751" s="574"/>
      <c r="DQH751" s="574"/>
      <c r="DQI751" s="574"/>
      <c r="DQJ751" s="574"/>
      <c r="DQK751" s="574"/>
      <c r="DQL751" s="574"/>
      <c r="DQM751" s="574"/>
      <c r="DQN751" s="574"/>
      <c r="DQO751" s="574"/>
      <c r="DQP751" s="574"/>
      <c r="DQQ751" s="574"/>
      <c r="DQR751" s="574"/>
      <c r="DQS751" s="574"/>
      <c r="DQT751" s="574"/>
      <c r="DQU751" s="574"/>
      <c r="DQV751" s="574"/>
      <c r="DQW751" s="574"/>
      <c r="DQX751" s="574"/>
      <c r="DQY751" s="574"/>
      <c r="DQZ751" s="574"/>
      <c r="DRA751" s="574"/>
      <c r="DRB751" s="574"/>
      <c r="DRC751" s="574"/>
      <c r="DRD751" s="574"/>
      <c r="DRE751" s="574"/>
      <c r="DRF751" s="574"/>
      <c r="DRG751" s="574"/>
      <c r="DRH751" s="574"/>
      <c r="DRI751" s="574"/>
      <c r="DRJ751" s="574"/>
      <c r="DRK751" s="574"/>
      <c r="DRL751" s="574"/>
      <c r="DRM751" s="574"/>
      <c r="DRN751" s="574"/>
      <c r="DRO751" s="574"/>
      <c r="DRP751" s="574"/>
      <c r="DRQ751" s="574"/>
      <c r="DRR751" s="574"/>
      <c r="DRS751" s="574"/>
      <c r="DRT751" s="574"/>
      <c r="DRU751" s="574"/>
      <c r="DRV751" s="574"/>
      <c r="DRW751" s="574"/>
      <c r="DRX751" s="574"/>
      <c r="DRY751" s="574"/>
      <c r="DRZ751" s="574"/>
      <c r="DSA751" s="574"/>
      <c r="DSB751" s="574"/>
      <c r="DSC751" s="574"/>
      <c r="DSD751" s="574"/>
      <c r="DSE751" s="574"/>
      <c r="DSF751" s="574"/>
      <c r="DSG751" s="574"/>
      <c r="DSH751" s="574"/>
      <c r="DSI751" s="574"/>
      <c r="DSJ751" s="574"/>
      <c r="DSK751" s="574"/>
      <c r="DSL751" s="574"/>
      <c r="DSM751" s="574"/>
      <c r="DSN751" s="574"/>
      <c r="DSO751" s="574"/>
      <c r="DSP751" s="574"/>
      <c r="DSQ751" s="574"/>
      <c r="DSR751" s="574"/>
      <c r="DSS751" s="574"/>
      <c r="DST751" s="574"/>
      <c r="DSU751" s="574"/>
      <c r="DSV751" s="574"/>
      <c r="DSW751" s="574"/>
      <c r="DSX751" s="574"/>
      <c r="DSY751" s="574"/>
      <c r="DSZ751" s="574"/>
      <c r="DTA751" s="574"/>
      <c r="DTB751" s="574"/>
      <c r="DTC751" s="574"/>
      <c r="DTD751" s="574"/>
      <c r="DTE751" s="574"/>
      <c r="DTF751" s="574"/>
      <c r="DTG751" s="574"/>
      <c r="DTH751" s="574"/>
      <c r="DTI751" s="574"/>
      <c r="DTJ751" s="574"/>
      <c r="DTK751" s="574"/>
      <c r="DTL751" s="574"/>
      <c r="DTM751" s="574"/>
      <c r="DTN751" s="574"/>
      <c r="DTO751" s="574"/>
      <c r="DTP751" s="574"/>
      <c r="DTQ751" s="574"/>
      <c r="DTR751" s="574"/>
      <c r="DTS751" s="574"/>
      <c r="DTT751" s="574"/>
      <c r="DTU751" s="574"/>
      <c r="DTV751" s="574"/>
      <c r="DTW751" s="574"/>
      <c r="DTX751" s="574"/>
      <c r="DTY751" s="574"/>
      <c r="DTZ751" s="574"/>
      <c r="DUA751" s="574"/>
      <c r="DUB751" s="574"/>
      <c r="DUC751" s="574"/>
      <c r="DUD751" s="574"/>
      <c r="DUE751" s="574"/>
      <c r="DUF751" s="574"/>
      <c r="DUG751" s="574"/>
      <c r="DUH751" s="574"/>
      <c r="DUI751" s="574"/>
      <c r="DUJ751" s="574"/>
      <c r="DUK751" s="574"/>
      <c r="DUL751" s="574"/>
      <c r="DUM751" s="574"/>
      <c r="DUN751" s="574"/>
      <c r="DUO751" s="574"/>
      <c r="DUP751" s="574"/>
      <c r="DUQ751" s="574"/>
      <c r="DUR751" s="574"/>
      <c r="DUS751" s="574"/>
      <c r="DUT751" s="574"/>
      <c r="DUU751" s="574"/>
      <c r="DUV751" s="574"/>
      <c r="DUW751" s="574"/>
      <c r="DUX751" s="574"/>
      <c r="DUY751" s="574"/>
      <c r="DUZ751" s="574"/>
      <c r="DVA751" s="574"/>
      <c r="DVB751" s="574"/>
      <c r="DVC751" s="574"/>
      <c r="DVD751" s="574"/>
      <c r="DVE751" s="574"/>
      <c r="DVF751" s="574"/>
      <c r="DVG751" s="574"/>
      <c r="DVH751" s="574"/>
      <c r="DVI751" s="574"/>
      <c r="DVJ751" s="574"/>
      <c r="DVK751" s="574"/>
      <c r="DVL751" s="574"/>
      <c r="DVM751" s="574"/>
      <c r="DVN751" s="574"/>
      <c r="DVO751" s="574"/>
      <c r="DVP751" s="574"/>
      <c r="DVQ751" s="574"/>
      <c r="DVR751" s="574"/>
      <c r="DVS751" s="574"/>
      <c r="DVT751" s="574"/>
      <c r="DVU751" s="574"/>
      <c r="DVV751" s="574"/>
      <c r="DVW751" s="574"/>
      <c r="DVX751" s="574"/>
      <c r="DVY751" s="574"/>
      <c r="DVZ751" s="574"/>
      <c r="DWA751" s="574"/>
      <c r="DWB751" s="574"/>
      <c r="DWC751" s="574"/>
      <c r="DWD751" s="574"/>
      <c r="DWE751" s="574"/>
      <c r="DWF751" s="574"/>
      <c r="DWG751" s="574"/>
      <c r="DWH751" s="574"/>
      <c r="DWI751" s="574"/>
      <c r="DWJ751" s="574"/>
      <c r="DWK751" s="574"/>
      <c r="DWL751" s="574"/>
      <c r="DWM751" s="574"/>
      <c r="DWN751" s="574"/>
      <c r="DWO751" s="574"/>
      <c r="DWP751" s="574"/>
      <c r="DWQ751" s="574"/>
      <c r="DWR751" s="574"/>
      <c r="DWS751" s="574"/>
      <c r="DWT751" s="574"/>
      <c r="DWU751" s="574"/>
      <c r="DWV751" s="574"/>
      <c r="DWW751" s="574"/>
      <c r="DWX751" s="574"/>
      <c r="DWY751" s="574"/>
      <c r="DWZ751" s="574"/>
      <c r="DXA751" s="574"/>
      <c r="DXB751" s="574"/>
      <c r="DXC751" s="574"/>
      <c r="DXD751" s="574"/>
      <c r="DXE751" s="574"/>
      <c r="DXF751" s="574"/>
      <c r="DXG751" s="574"/>
      <c r="DXH751" s="574"/>
      <c r="DXI751" s="574"/>
      <c r="DXJ751" s="574"/>
      <c r="DXK751" s="574"/>
      <c r="DXL751" s="574"/>
      <c r="DXM751" s="574"/>
      <c r="DXN751" s="574"/>
      <c r="DXO751" s="574"/>
      <c r="DXP751" s="574"/>
      <c r="DXQ751" s="574"/>
      <c r="DXR751" s="574"/>
      <c r="DXS751" s="574"/>
      <c r="DXT751" s="574"/>
      <c r="DXU751" s="574"/>
      <c r="DXV751" s="574"/>
      <c r="DXW751" s="574"/>
      <c r="DXX751" s="574"/>
      <c r="DXY751" s="574"/>
      <c r="DXZ751" s="574"/>
      <c r="DYA751" s="574"/>
      <c r="DYB751" s="574"/>
      <c r="DYC751" s="574"/>
      <c r="DYD751" s="574"/>
      <c r="DYE751" s="574"/>
      <c r="DYF751" s="574"/>
      <c r="DYG751" s="574"/>
      <c r="DYH751" s="574"/>
      <c r="DYI751" s="574"/>
      <c r="DYJ751" s="574"/>
      <c r="DYK751" s="574"/>
      <c r="DYL751" s="574"/>
      <c r="DYM751" s="574"/>
      <c r="DYN751" s="574"/>
      <c r="DYO751" s="574"/>
      <c r="DYP751" s="574"/>
      <c r="DYQ751" s="574"/>
      <c r="DYR751" s="574"/>
      <c r="DYS751" s="574"/>
      <c r="DYT751" s="574"/>
      <c r="DYU751" s="574"/>
      <c r="DYV751" s="574"/>
      <c r="DYW751" s="574"/>
      <c r="DYX751" s="574"/>
      <c r="DYY751" s="574"/>
      <c r="DYZ751" s="574"/>
      <c r="DZA751" s="574"/>
      <c r="DZB751" s="574"/>
      <c r="DZC751" s="574"/>
      <c r="DZD751" s="574"/>
      <c r="DZE751" s="574"/>
      <c r="DZF751" s="574"/>
      <c r="DZG751" s="574"/>
      <c r="DZH751" s="574"/>
      <c r="DZI751" s="574"/>
      <c r="DZJ751" s="574"/>
      <c r="DZK751" s="574"/>
      <c r="DZL751" s="574"/>
      <c r="DZM751" s="574"/>
      <c r="DZN751" s="574"/>
      <c r="DZO751" s="574"/>
      <c r="DZP751" s="574"/>
      <c r="DZQ751" s="574"/>
      <c r="DZR751" s="574"/>
      <c r="DZS751" s="574"/>
      <c r="DZT751" s="574"/>
      <c r="DZU751" s="574"/>
      <c r="DZV751" s="574"/>
      <c r="DZW751" s="574"/>
      <c r="DZX751" s="574"/>
      <c r="DZY751" s="574"/>
      <c r="DZZ751" s="574"/>
      <c r="EAA751" s="574"/>
      <c r="EAB751" s="574"/>
      <c r="EAC751" s="574"/>
      <c r="EAD751" s="574"/>
      <c r="EAE751" s="574"/>
      <c r="EAF751" s="574"/>
      <c r="EAG751" s="574"/>
      <c r="EAH751" s="574"/>
      <c r="EAI751" s="574"/>
      <c r="EAJ751" s="574"/>
      <c r="EAK751" s="574"/>
      <c r="EAL751" s="574"/>
      <c r="EAM751" s="574"/>
      <c r="EAN751" s="574"/>
      <c r="EAO751" s="574"/>
      <c r="EAP751" s="574"/>
      <c r="EAQ751" s="574"/>
      <c r="EAR751" s="574"/>
      <c r="EAS751" s="574"/>
      <c r="EAT751" s="574"/>
      <c r="EAU751" s="574"/>
      <c r="EAV751" s="574"/>
      <c r="EAW751" s="574"/>
      <c r="EAX751" s="574"/>
      <c r="EAY751" s="574"/>
      <c r="EAZ751" s="574"/>
      <c r="EBA751" s="574"/>
      <c r="EBB751" s="574"/>
      <c r="EBC751" s="574"/>
      <c r="EBD751" s="574"/>
      <c r="EBE751" s="574"/>
      <c r="EBF751" s="574"/>
      <c r="EBG751" s="574"/>
      <c r="EBH751" s="574"/>
      <c r="EBI751" s="574"/>
      <c r="EBJ751" s="574"/>
      <c r="EBK751" s="574"/>
      <c r="EBL751" s="574"/>
      <c r="EBM751" s="574"/>
      <c r="EBN751" s="574"/>
      <c r="EBO751" s="574"/>
      <c r="EBP751" s="574"/>
      <c r="EBQ751" s="574"/>
      <c r="EBR751" s="574"/>
      <c r="EBS751" s="574"/>
      <c r="EBT751" s="574"/>
      <c r="EBU751" s="574"/>
      <c r="EBV751" s="574"/>
      <c r="EBW751" s="574"/>
      <c r="EBX751" s="574"/>
      <c r="EBY751" s="574"/>
      <c r="EBZ751" s="574"/>
      <c r="ECA751" s="574"/>
      <c r="ECB751" s="574"/>
      <c r="ECC751" s="574"/>
      <c r="ECD751" s="574"/>
      <c r="ECE751" s="574"/>
      <c r="ECF751" s="574"/>
      <c r="ECG751" s="574"/>
      <c r="ECH751" s="574"/>
      <c r="ECI751" s="574"/>
      <c r="ECJ751" s="574"/>
      <c r="ECK751" s="574"/>
      <c r="ECL751" s="574"/>
      <c r="ECM751" s="574"/>
      <c r="ECN751" s="574"/>
      <c r="ECO751" s="574"/>
      <c r="ECP751" s="574"/>
      <c r="ECQ751" s="574"/>
      <c r="ECR751" s="574"/>
      <c r="ECS751" s="574"/>
      <c r="ECT751" s="574"/>
      <c r="ECU751" s="574"/>
      <c r="ECV751" s="574"/>
      <c r="ECW751" s="574"/>
      <c r="ECX751" s="574"/>
      <c r="ECY751" s="574"/>
      <c r="ECZ751" s="574"/>
      <c r="EDA751" s="574"/>
      <c r="EDB751" s="574"/>
      <c r="EDC751" s="574"/>
      <c r="EDD751" s="574"/>
      <c r="EDE751" s="574"/>
      <c r="EDF751" s="574"/>
      <c r="EDG751" s="574"/>
      <c r="EDH751" s="574"/>
      <c r="EDI751" s="574"/>
      <c r="EDJ751" s="574"/>
      <c r="EDK751" s="574"/>
      <c r="EDL751" s="574"/>
      <c r="EDM751" s="574"/>
      <c r="EDN751" s="574"/>
      <c r="EDO751" s="574"/>
      <c r="EDP751" s="574"/>
      <c r="EDQ751" s="574"/>
      <c r="EDR751" s="574"/>
      <c r="EDS751" s="574"/>
      <c r="EDT751" s="574"/>
      <c r="EDU751" s="574"/>
      <c r="EDV751" s="574"/>
      <c r="EDW751" s="574"/>
      <c r="EDX751" s="574"/>
      <c r="EDY751" s="574"/>
      <c r="EDZ751" s="574"/>
      <c r="EEA751" s="574"/>
      <c r="EEB751" s="574"/>
      <c r="EEC751" s="574"/>
      <c r="EED751" s="574"/>
      <c r="EEE751" s="574"/>
      <c r="EEF751" s="574"/>
      <c r="EEG751" s="574"/>
      <c r="EEH751" s="574"/>
      <c r="EEI751" s="574"/>
      <c r="EEJ751" s="574"/>
      <c r="EEK751" s="574"/>
      <c r="EEL751" s="574"/>
      <c r="EEM751" s="574"/>
      <c r="EEN751" s="574"/>
      <c r="EEO751" s="574"/>
      <c r="EEP751" s="574"/>
      <c r="EEQ751" s="574"/>
      <c r="EER751" s="574"/>
      <c r="EES751" s="574"/>
      <c r="EET751" s="574"/>
      <c r="EEU751" s="574"/>
      <c r="EEV751" s="574"/>
      <c r="EEW751" s="574"/>
      <c r="EEX751" s="574"/>
      <c r="EEY751" s="574"/>
      <c r="EEZ751" s="574"/>
      <c r="EFA751" s="574"/>
      <c r="EFB751" s="574"/>
      <c r="EFC751" s="574"/>
      <c r="EFD751" s="574"/>
      <c r="EFE751" s="574"/>
      <c r="EFF751" s="574"/>
      <c r="EFG751" s="574"/>
      <c r="EFH751" s="574"/>
      <c r="EFI751" s="574"/>
      <c r="EFJ751" s="574"/>
      <c r="EFK751" s="574"/>
      <c r="EFL751" s="574"/>
      <c r="EFM751" s="574"/>
      <c r="EFN751" s="574"/>
      <c r="EFO751" s="574"/>
      <c r="EFP751" s="574"/>
      <c r="EFQ751" s="574"/>
      <c r="EFR751" s="574"/>
      <c r="EFS751" s="574"/>
      <c r="EFT751" s="574"/>
      <c r="EFU751" s="574"/>
      <c r="EFV751" s="574"/>
      <c r="EFW751" s="574"/>
      <c r="EFX751" s="574"/>
      <c r="EFY751" s="574"/>
      <c r="EFZ751" s="574"/>
      <c r="EGA751" s="574"/>
      <c r="EGB751" s="574"/>
      <c r="EGC751" s="574"/>
      <c r="EGD751" s="574"/>
      <c r="EGE751" s="574"/>
      <c r="EGF751" s="574"/>
      <c r="EGG751" s="574"/>
      <c r="EGH751" s="574"/>
      <c r="EGI751" s="574"/>
      <c r="EGJ751" s="574"/>
      <c r="EGK751" s="574"/>
      <c r="EGL751" s="574"/>
      <c r="EGM751" s="574"/>
      <c r="EGN751" s="574"/>
      <c r="EGO751" s="574"/>
      <c r="EGP751" s="574"/>
      <c r="EGQ751" s="574"/>
      <c r="EGR751" s="574"/>
      <c r="EGS751" s="574"/>
      <c r="EGT751" s="574"/>
      <c r="EGU751" s="574"/>
      <c r="EGV751" s="574"/>
      <c r="EGW751" s="574"/>
      <c r="EGX751" s="574"/>
      <c r="EGY751" s="574"/>
      <c r="EGZ751" s="574"/>
      <c r="EHA751" s="574"/>
      <c r="EHB751" s="574"/>
      <c r="EHC751" s="574"/>
      <c r="EHD751" s="574"/>
      <c r="EHE751" s="574"/>
      <c r="EHF751" s="574"/>
      <c r="EHG751" s="574"/>
      <c r="EHH751" s="574"/>
      <c r="EHI751" s="574"/>
      <c r="EHJ751" s="574"/>
      <c r="EHK751" s="574"/>
      <c r="EHL751" s="574"/>
      <c r="EHM751" s="574"/>
      <c r="EHN751" s="574"/>
      <c r="EHO751" s="574"/>
      <c r="EHP751" s="574"/>
      <c r="EHQ751" s="574"/>
      <c r="EHR751" s="574"/>
      <c r="EHS751" s="574"/>
      <c r="EHT751" s="574"/>
      <c r="EHU751" s="574"/>
      <c r="EHV751" s="574"/>
      <c r="EHW751" s="574"/>
      <c r="EHX751" s="574"/>
      <c r="EHY751" s="574"/>
      <c r="EHZ751" s="574"/>
      <c r="EIA751" s="574"/>
      <c r="EIB751" s="574"/>
      <c r="EIC751" s="574"/>
      <c r="EID751" s="574"/>
      <c r="EIE751" s="574"/>
      <c r="EIF751" s="574"/>
      <c r="EIG751" s="574"/>
      <c r="EIH751" s="574"/>
      <c r="EII751" s="574"/>
      <c r="EIJ751" s="574"/>
      <c r="EIK751" s="574"/>
      <c r="EIL751" s="574"/>
      <c r="EIM751" s="574"/>
      <c r="EIN751" s="574"/>
      <c r="EIO751" s="574"/>
      <c r="EIP751" s="574"/>
      <c r="EIQ751" s="574"/>
      <c r="EIR751" s="574"/>
      <c r="EIS751" s="574"/>
      <c r="EIT751" s="574"/>
      <c r="EIU751" s="574"/>
      <c r="EIV751" s="574"/>
      <c r="EIW751" s="574"/>
      <c r="EIX751" s="574"/>
      <c r="EIY751" s="574"/>
      <c r="EIZ751" s="574"/>
      <c r="EJA751" s="574"/>
      <c r="EJB751" s="574"/>
      <c r="EJC751" s="574"/>
      <c r="EJD751" s="574"/>
      <c r="EJE751" s="574"/>
      <c r="EJF751" s="574"/>
      <c r="EJG751" s="574"/>
      <c r="EJH751" s="574"/>
      <c r="EJI751" s="574"/>
      <c r="EJJ751" s="574"/>
      <c r="EJK751" s="574"/>
      <c r="EJL751" s="574"/>
      <c r="EJM751" s="574"/>
      <c r="EJN751" s="574"/>
      <c r="EJO751" s="574"/>
      <c r="EJP751" s="574"/>
      <c r="EJQ751" s="574"/>
      <c r="EJR751" s="574"/>
      <c r="EJS751" s="574"/>
      <c r="EJT751" s="574"/>
      <c r="EJU751" s="574"/>
      <c r="EJV751" s="574"/>
      <c r="EJW751" s="574"/>
      <c r="EJX751" s="574"/>
      <c r="EJY751" s="574"/>
      <c r="EJZ751" s="574"/>
      <c r="EKA751" s="574"/>
      <c r="EKB751" s="574"/>
      <c r="EKC751" s="574"/>
      <c r="EKD751" s="574"/>
      <c r="EKE751" s="574"/>
      <c r="EKF751" s="574"/>
      <c r="EKG751" s="574"/>
      <c r="EKH751" s="574"/>
      <c r="EKI751" s="574"/>
      <c r="EKJ751" s="574"/>
      <c r="EKK751" s="574"/>
      <c r="EKL751" s="574"/>
      <c r="EKM751" s="574"/>
      <c r="EKN751" s="574"/>
      <c r="EKO751" s="574"/>
      <c r="EKP751" s="574"/>
      <c r="EKQ751" s="574"/>
      <c r="EKR751" s="574"/>
      <c r="EKS751" s="574"/>
      <c r="EKT751" s="574"/>
      <c r="EKU751" s="574"/>
      <c r="EKV751" s="574"/>
      <c r="EKW751" s="574"/>
      <c r="EKX751" s="574"/>
      <c r="EKY751" s="574"/>
      <c r="EKZ751" s="574"/>
      <c r="ELA751" s="574"/>
      <c r="ELB751" s="574"/>
      <c r="ELC751" s="574"/>
      <c r="ELD751" s="574"/>
      <c r="ELE751" s="574"/>
      <c r="ELF751" s="574"/>
      <c r="ELG751" s="574"/>
      <c r="ELH751" s="574"/>
      <c r="ELI751" s="574"/>
      <c r="ELJ751" s="574"/>
      <c r="ELK751" s="574"/>
      <c r="ELL751" s="574"/>
      <c r="ELM751" s="574"/>
      <c r="ELN751" s="574"/>
      <c r="ELO751" s="574"/>
      <c r="ELP751" s="574"/>
      <c r="ELQ751" s="574"/>
      <c r="ELR751" s="574"/>
      <c r="ELS751" s="574"/>
      <c r="ELT751" s="574"/>
      <c r="ELU751" s="574"/>
      <c r="ELV751" s="574"/>
      <c r="ELW751" s="574"/>
      <c r="ELX751" s="574"/>
      <c r="ELY751" s="574"/>
      <c r="ELZ751" s="574"/>
      <c r="EMA751" s="574"/>
      <c r="EMB751" s="574"/>
      <c r="EMC751" s="574"/>
      <c r="EMD751" s="574"/>
      <c r="EME751" s="574"/>
      <c r="EMF751" s="574"/>
      <c r="EMG751" s="574"/>
      <c r="EMH751" s="574"/>
      <c r="EMI751" s="574"/>
      <c r="EMJ751" s="574"/>
      <c r="EMK751" s="574"/>
      <c r="EML751" s="574"/>
      <c r="EMM751" s="574"/>
      <c r="EMN751" s="574"/>
      <c r="EMO751" s="574"/>
      <c r="EMP751" s="574"/>
      <c r="EMQ751" s="574"/>
      <c r="EMR751" s="574"/>
      <c r="EMS751" s="574"/>
      <c r="EMT751" s="574"/>
      <c r="EMU751" s="574"/>
      <c r="EMV751" s="574"/>
      <c r="EMW751" s="574"/>
      <c r="EMX751" s="574"/>
      <c r="EMY751" s="574"/>
      <c r="EMZ751" s="574"/>
      <c r="ENA751" s="574"/>
      <c r="ENB751" s="574"/>
      <c r="ENC751" s="574"/>
      <c r="END751" s="574"/>
      <c r="ENE751" s="574"/>
      <c r="ENF751" s="574"/>
      <c r="ENG751" s="574"/>
      <c r="ENH751" s="574"/>
      <c r="ENI751" s="574"/>
      <c r="ENJ751" s="574"/>
      <c r="ENK751" s="574"/>
      <c r="ENL751" s="574"/>
      <c r="ENM751" s="574"/>
      <c r="ENN751" s="574"/>
      <c r="ENO751" s="574"/>
      <c r="ENP751" s="574"/>
      <c r="ENQ751" s="574"/>
      <c r="ENR751" s="574"/>
      <c r="ENS751" s="574"/>
      <c r="ENT751" s="574"/>
      <c r="ENU751" s="574"/>
      <c r="ENV751" s="574"/>
      <c r="ENW751" s="574"/>
      <c r="ENX751" s="574"/>
      <c r="ENY751" s="574"/>
      <c r="ENZ751" s="574"/>
      <c r="EOA751" s="574"/>
      <c r="EOB751" s="574"/>
      <c r="EOC751" s="574"/>
      <c r="EOD751" s="574"/>
      <c r="EOE751" s="574"/>
      <c r="EOF751" s="574"/>
      <c r="EOG751" s="574"/>
      <c r="EOH751" s="574"/>
      <c r="EOI751" s="574"/>
      <c r="EOJ751" s="574"/>
      <c r="EOK751" s="574"/>
      <c r="EOL751" s="574"/>
      <c r="EOM751" s="574"/>
      <c r="EON751" s="574"/>
      <c r="EOO751" s="574"/>
      <c r="EOP751" s="574"/>
      <c r="EOQ751" s="574"/>
      <c r="EOR751" s="574"/>
      <c r="EOS751" s="574"/>
      <c r="EOT751" s="574"/>
      <c r="EOU751" s="574"/>
      <c r="EOV751" s="574"/>
      <c r="EOW751" s="574"/>
      <c r="EOX751" s="574"/>
      <c r="EOY751" s="574"/>
      <c r="EOZ751" s="574"/>
      <c r="EPA751" s="574"/>
      <c r="EPB751" s="574"/>
      <c r="EPC751" s="574"/>
      <c r="EPD751" s="574"/>
      <c r="EPE751" s="574"/>
      <c r="EPF751" s="574"/>
      <c r="EPG751" s="574"/>
      <c r="EPH751" s="574"/>
      <c r="EPI751" s="574"/>
      <c r="EPJ751" s="574"/>
      <c r="EPK751" s="574"/>
      <c r="EPL751" s="574"/>
      <c r="EPM751" s="574"/>
      <c r="EPN751" s="574"/>
      <c r="EPO751" s="574"/>
      <c r="EPP751" s="574"/>
      <c r="EPQ751" s="574"/>
      <c r="EPR751" s="574"/>
      <c r="EPS751" s="574"/>
      <c r="EPT751" s="574"/>
      <c r="EPU751" s="574"/>
      <c r="EPV751" s="574"/>
      <c r="EPW751" s="574"/>
      <c r="EPX751" s="574"/>
      <c r="EPY751" s="574"/>
      <c r="EPZ751" s="574"/>
      <c r="EQA751" s="574"/>
      <c r="EQB751" s="574"/>
      <c r="EQC751" s="574"/>
      <c r="EQD751" s="574"/>
      <c r="EQE751" s="574"/>
      <c r="EQF751" s="574"/>
      <c r="EQG751" s="574"/>
      <c r="EQH751" s="574"/>
      <c r="EQI751" s="574"/>
      <c r="EQJ751" s="574"/>
      <c r="EQK751" s="574"/>
      <c r="EQL751" s="574"/>
      <c r="EQM751" s="574"/>
      <c r="EQN751" s="574"/>
      <c r="EQO751" s="574"/>
      <c r="EQP751" s="574"/>
      <c r="EQQ751" s="574"/>
      <c r="EQR751" s="574"/>
      <c r="EQS751" s="574"/>
      <c r="EQT751" s="574"/>
      <c r="EQU751" s="574"/>
      <c r="EQV751" s="574"/>
      <c r="EQW751" s="574"/>
      <c r="EQX751" s="574"/>
      <c r="EQY751" s="574"/>
      <c r="EQZ751" s="574"/>
      <c r="ERA751" s="574"/>
      <c r="ERB751" s="574"/>
      <c r="ERC751" s="574"/>
      <c r="ERD751" s="574"/>
      <c r="ERE751" s="574"/>
      <c r="ERF751" s="574"/>
      <c r="ERG751" s="574"/>
      <c r="ERH751" s="574"/>
      <c r="ERI751" s="574"/>
      <c r="ERJ751" s="574"/>
      <c r="ERK751" s="574"/>
      <c r="ERL751" s="574"/>
      <c r="ERM751" s="574"/>
      <c r="ERN751" s="574"/>
      <c r="ERO751" s="574"/>
      <c r="ERP751" s="574"/>
      <c r="ERQ751" s="574"/>
      <c r="ERR751" s="574"/>
      <c r="ERS751" s="574"/>
      <c r="ERT751" s="574"/>
      <c r="ERU751" s="574"/>
      <c r="ERV751" s="574"/>
      <c r="ERW751" s="574"/>
      <c r="ERX751" s="574"/>
      <c r="ERY751" s="574"/>
      <c r="ERZ751" s="574"/>
      <c r="ESA751" s="574"/>
      <c r="ESB751" s="574"/>
      <c r="ESC751" s="574"/>
      <c r="ESD751" s="574"/>
      <c r="ESE751" s="574"/>
      <c r="ESF751" s="574"/>
      <c r="ESG751" s="574"/>
      <c r="ESH751" s="574"/>
      <c r="ESI751" s="574"/>
      <c r="ESJ751" s="574"/>
      <c r="ESK751" s="574"/>
      <c r="ESL751" s="574"/>
      <c r="ESM751" s="574"/>
      <c r="ESN751" s="574"/>
      <c r="ESO751" s="574"/>
      <c r="ESP751" s="574"/>
      <c r="ESQ751" s="574"/>
      <c r="ESR751" s="574"/>
      <c r="ESS751" s="574"/>
      <c r="EST751" s="574"/>
      <c r="ESU751" s="574"/>
      <c r="ESV751" s="574"/>
      <c r="ESW751" s="574"/>
      <c r="ESX751" s="574"/>
      <c r="ESY751" s="574"/>
      <c r="ESZ751" s="574"/>
      <c r="ETA751" s="574"/>
      <c r="ETB751" s="574"/>
      <c r="ETC751" s="574"/>
      <c r="ETD751" s="574"/>
      <c r="ETE751" s="574"/>
      <c r="ETF751" s="574"/>
      <c r="ETG751" s="574"/>
      <c r="ETH751" s="574"/>
      <c r="ETI751" s="574"/>
      <c r="ETJ751" s="574"/>
      <c r="ETK751" s="574"/>
      <c r="ETL751" s="574"/>
      <c r="ETM751" s="574"/>
      <c r="ETN751" s="574"/>
      <c r="ETO751" s="574"/>
      <c r="ETP751" s="574"/>
      <c r="ETQ751" s="574"/>
      <c r="ETR751" s="574"/>
      <c r="ETS751" s="574"/>
      <c r="ETT751" s="574"/>
      <c r="ETU751" s="574"/>
      <c r="ETV751" s="574"/>
      <c r="ETW751" s="574"/>
      <c r="ETX751" s="574"/>
      <c r="ETY751" s="574"/>
      <c r="ETZ751" s="574"/>
      <c r="EUA751" s="574"/>
      <c r="EUB751" s="574"/>
      <c r="EUC751" s="574"/>
      <c r="EUD751" s="574"/>
      <c r="EUE751" s="574"/>
      <c r="EUF751" s="574"/>
      <c r="EUG751" s="574"/>
      <c r="EUH751" s="574"/>
      <c r="EUI751" s="574"/>
      <c r="EUJ751" s="574"/>
      <c r="EUK751" s="574"/>
      <c r="EUL751" s="574"/>
      <c r="EUM751" s="574"/>
      <c r="EUN751" s="574"/>
      <c r="EUO751" s="574"/>
      <c r="EUP751" s="574"/>
      <c r="EUQ751" s="574"/>
      <c r="EUR751" s="574"/>
      <c r="EUS751" s="574"/>
      <c r="EUT751" s="574"/>
      <c r="EUU751" s="574"/>
      <c r="EUV751" s="574"/>
      <c r="EUW751" s="574"/>
      <c r="EUX751" s="574"/>
      <c r="EUY751" s="574"/>
      <c r="EUZ751" s="574"/>
      <c r="EVA751" s="574"/>
      <c r="EVB751" s="574"/>
      <c r="EVC751" s="574"/>
      <c r="EVD751" s="574"/>
      <c r="EVE751" s="574"/>
      <c r="EVF751" s="574"/>
      <c r="EVG751" s="574"/>
      <c r="EVH751" s="574"/>
      <c r="EVI751" s="574"/>
      <c r="EVJ751" s="574"/>
      <c r="EVK751" s="574"/>
      <c r="EVL751" s="574"/>
      <c r="EVM751" s="574"/>
      <c r="EVN751" s="574"/>
      <c r="EVO751" s="574"/>
      <c r="EVP751" s="574"/>
      <c r="EVQ751" s="574"/>
      <c r="EVR751" s="574"/>
      <c r="EVS751" s="574"/>
      <c r="EVT751" s="574"/>
      <c r="EVU751" s="574"/>
      <c r="EVV751" s="574"/>
      <c r="EVW751" s="574"/>
      <c r="EVX751" s="574"/>
      <c r="EVY751" s="574"/>
      <c r="EVZ751" s="574"/>
      <c r="EWA751" s="574"/>
      <c r="EWB751" s="574"/>
      <c r="EWC751" s="574"/>
      <c r="EWD751" s="574"/>
      <c r="EWE751" s="574"/>
      <c r="EWF751" s="574"/>
      <c r="EWG751" s="574"/>
      <c r="EWH751" s="574"/>
      <c r="EWI751" s="574"/>
      <c r="EWJ751" s="574"/>
      <c r="EWK751" s="574"/>
      <c r="EWL751" s="574"/>
      <c r="EWM751" s="574"/>
      <c r="EWN751" s="574"/>
      <c r="EWO751" s="574"/>
      <c r="EWP751" s="574"/>
      <c r="EWQ751" s="574"/>
      <c r="EWR751" s="574"/>
      <c r="EWS751" s="574"/>
      <c r="EWT751" s="574"/>
      <c r="EWU751" s="574"/>
      <c r="EWV751" s="574"/>
      <c r="EWW751" s="574"/>
      <c r="EWX751" s="574"/>
      <c r="EWY751" s="574"/>
      <c r="EWZ751" s="574"/>
      <c r="EXA751" s="574"/>
      <c r="EXB751" s="574"/>
      <c r="EXC751" s="574"/>
      <c r="EXD751" s="574"/>
      <c r="EXE751" s="574"/>
      <c r="EXF751" s="574"/>
      <c r="EXG751" s="574"/>
      <c r="EXH751" s="574"/>
      <c r="EXI751" s="574"/>
      <c r="EXJ751" s="574"/>
      <c r="EXK751" s="574"/>
      <c r="EXL751" s="574"/>
      <c r="EXM751" s="574"/>
      <c r="EXN751" s="574"/>
      <c r="EXO751" s="574"/>
      <c r="EXP751" s="574"/>
      <c r="EXQ751" s="574"/>
      <c r="EXR751" s="574"/>
      <c r="EXS751" s="574"/>
      <c r="EXT751" s="574"/>
      <c r="EXU751" s="574"/>
      <c r="EXV751" s="574"/>
      <c r="EXW751" s="574"/>
      <c r="EXX751" s="574"/>
      <c r="EXY751" s="574"/>
      <c r="EXZ751" s="574"/>
      <c r="EYA751" s="574"/>
      <c r="EYB751" s="574"/>
      <c r="EYC751" s="574"/>
      <c r="EYD751" s="574"/>
      <c r="EYE751" s="574"/>
      <c r="EYF751" s="574"/>
      <c r="EYG751" s="574"/>
      <c r="EYH751" s="574"/>
      <c r="EYI751" s="574"/>
      <c r="EYJ751" s="574"/>
      <c r="EYK751" s="574"/>
      <c r="EYL751" s="574"/>
      <c r="EYM751" s="574"/>
      <c r="EYN751" s="574"/>
      <c r="EYO751" s="574"/>
      <c r="EYP751" s="574"/>
      <c r="EYQ751" s="574"/>
      <c r="EYR751" s="574"/>
      <c r="EYS751" s="574"/>
      <c r="EYT751" s="574"/>
      <c r="EYU751" s="574"/>
      <c r="EYV751" s="574"/>
      <c r="EYW751" s="574"/>
      <c r="EYX751" s="574"/>
      <c r="EYY751" s="574"/>
      <c r="EYZ751" s="574"/>
      <c r="EZA751" s="574"/>
      <c r="EZB751" s="574"/>
      <c r="EZC751" s="574"/>
      <c r="EZD751" s="574"/>
      <c r="EZE751" s="574"/>
      <c r="EZF751" s="574"/>
      <c r="EZG751" s="574"/>
      <c r="EZH751" s="574"/>
      <c r="EZI751" s="574"/>
      <c r="EZJ751" s="574"/>
      <c r="EZK751" s="574"/>
      <c r="EZL751" s="574"/>
      <c r="EZM751" s="574"/>
      <c r="EZN751" s="574"/>
      <c r="EZO751" s="574"/>
      <c r="EZP751" s="574"/>
      <c r="EZQ751" s="574"/>
      <c r="EZR751" s="574"/>
      <c r="EZS751" s="574"/>
      <c r="EZT751" s="574"/>
      <c r="EZU751" s="574"/>
      <c r="EZV751" s="574"/>
      <c r="EZW751" s="574"/>
      <c r="EZX751" s="574"/>
      <c r="EZY751" s="574"/>
      <c r="EZZ751" s="574"/>
      <c r="FAA751" s="574"/>
      <c r="FAB751" s="574"/>
      <c r="FAC751" s="574"/>
      <c r="FAD751" s="574"/>
      <c r="FAE751" s="574"/>
      <c r="FAF751" s="574"/>
      <c r="FAG751" s="574"/>
      <c r="FAH751" s="574"/>
      <c r="FAI751" s="574"/>
      <c r="FAJ751" s="574"/>
      <c r="FAK751" s="574"/>
      <c r="FAL751" s="574"/>
      <c r="FAM751" s="574"/>
      <c r="FAN751" s="574"/>
      <c r="FAO751" s="574"/>
      <c r="FAP751" s="574"/>
      <c r="FAQ751" s="574"/>
      <c r="FAR751" s="574"/>
      <c r="FAS751" s="574"/>
      <c r="FAT751" s="574"/>
      <c r="FAU751" s="574"/>
      <c r="FAV751" s="574"/>
      <c r="FAW751" s="574"/>
      <c r="FAX751" s="574"/>
      <c r="FAY751" s="574"/>
      <c r="FAZ751" s="574"/>
      <c r="FBA751" s="574"/>
      <c r="FBB751" s="574"/>
      <c r="FBC751" s="574"/>
      <c r="FBD751" s="574"/>
      <c r="FBE751" s="574"/>
      <c r="FBF751" s="574"/>
      <c r="FBG751" s="574"/>
      <c r="FBH751" s="574"/>
      <c r="FBI751" s="574"/>
      <c r="FBJ751" s="574"/>
      <c r="FBK751" s="574"/>
      <c r="FBL751" s="574"/>
      <c r="FBM751" s="574"/>
      <c r="FBN751" s="574"/>
      <c r="FBO751" s="574"/>
      <c r="FBP751" s="574"/>
      <c r="FBQ751" s="574"/>
      <c r="FBR751" s="574"/>
      <c r="FBS751" s="574"/>
      <c r="FBT751" s="574"/>
      <c r="FBU751" s="574"/>
      <c r="FBV751" s="574"/>
      <c r="FBW751" s="574"/>
      <c r="FBX751" s="574"/>
      <c r="FBY751" s="574"/>
      <c r="FBZ751" s="574"/>
      <c r="FCA751" s="574"/>
      <c r="FCB751" s="574"/>
      <c r="FCC751" s="574"/>
      <c r="FCD751" s="574"/>
      <c r="FCE751" s="574"/>
      <c r="FCF751" s="574"/>
      <c r="FCG751" s="574"/>
      <c r="FCH751" s="574"/>
      <c r="FCI751" s="574"/>
      <c r="FCJ751" s="574"/>
      <c r="FCK751" s="574"/>
      <c r="FCL751" s="574"/>
      <c r="FCM751" s="574"/>
      <c r="FCN751" s="574"/>
      <c r="FCO751" s="574"/>
      <c r="FCP751" s="574"/>
      <c r="FCQ751" s="574"/>
      <c r="FCR751" s="574"/>
      <c r="FCS751" s="574"/>
      <c r="FCT751" s="574"/>
      <c r="FCU751" s="574"/>
      <c r="FCV751" s="574"/>
      <c r="FCW751" s="574"/>
      <c r="FCX751" s="574"/>
      <c r="FCY751" s="574"/>
      <c r="FCZ751" s="574"/>
      <c r="FDA751" s="574"/>
      <c r="FDB751" s="574"/>
      <c r="FDC751" s="574"/>
      <c r="FDD751" s="574"/>
      <c r="FDE751" s="574"/>
      <c r="FDF751" s="574"/>
      <c r="FDG751" s="574"/>
      <c r="FDH751" s="574"/>
      <c r="FDI751" s="574"/>
      <c r="FDJ751" s="574"/>
      <c r="FDK751" s="574"/>
      <c r="FDL751" s="574"/>
      <c r="FDM751" s="574"/>
      <c r="FDN751" s="574"/>
      <c r="FDO751" s="574"/>
      <c r="FDP751" s="574"/>
      <c r="FDQ751" s="574"/>
      <c r="FDR751" s="574"/>
      <c r="FDS751" s="574"/>
      <c r="FDT751" s="574"/>
      <c r="FDU751" s="574"/>
      <c r="FDV751" s="574"/>
      <c r="FDW751" s="574"/>
      <c r="FDX751" s="574"/>
      <c r="FDY751" s="574"/>
      <c r="FDZ751" s="574"/>
      <c r="FEA751" s="574"/>
      <c r="FEB751" s="574"/>
      <c r="FEC751" s="574"/>
      <c r="FED751" s="574"/>
      <c r="FEE751" s="574"/>
      <c r="FEF751" s="574"/>
      <c r="FEG751" s="574"/>
      <c r="FEH751" s="574"/>
      <c r="FEI751" s="574"/>
      <c r="FEJ751" s="574"/>
      <c r="FEK751" s="574"/>
      <c r="FEL751" s="574"/>
      <c r="FEM751" s="574"/>
      <c r="FEN751" s="574"/>
      <c r="FEO751" s="574"/>
      <c r="FEP751" s="574"/>
      <c r="FEQ751" s="574"/>
      <c r="FER751" s="574"/>
      <c r="FES751" s="574"/>
      <c r="FET751" s="574"/>
      <c r="FEU751" s="574"/>
      <c r="FEV751" s="574"/>
      <c r="FEW751" s="574"/>
      <c r="FEX751" s="574"/>
      <c r="FEY751" s="574"/>
      <c r="FEZ751" s="574"/>
      <c r="FFA751" s="574"/>
      <c r="FFB751" s="574"/>
      <c r="FFC751" s="574"/>
      <c r="FFD751" s="574"/>
      <c r="FFE751" s="574"/>
      <c r="FFF751" s="574"/>
      <c r="FFG751" s="574"/>
      <c r="FFH751" s="574"/>
      <c r="FFI751" s="574"/>
      <c r="FFJ751" s="574"/>
      <c r="FFK751" s="574"/>
      <c r="FFL751" s="574"/>
      <c r="FFM751" s="574"/>
      <c r="FFN751" s="574"/>
      <c r="FFO751" s="574"/>
      <c r="FFP751" s="574"/>
      <c r="FFQ751" s="574"/>
      <c r="FFR751" s="574"/>
      <c r="FFS751" s="574"/>
      <c r="FFT751" s="574"/>
      <c r="FFU751" s="574"/>
      <c r="FFV751" s="574"/>
      <c r="FFW751" s="574"/>
      <c r="FFX751" s="574"/>
      <c r="FFY751" s="574"/>
      <c r="FFZ751" s="574"/>
      <c r="FGA751" s="574"/>
      <c r="FGB751" s="574"/>
      <c r="FGC751" s="574"/>
      <c r="FGD751" s="574"/>
      <c r="FGE751" s="574"/>
      <c r="FGF751" s="574"/>
      <c r="FGG751" s="574"/>
      <c r="FGH751" s="574"/>
      <c r="FGI751" s="574"/>
      <c r="FGJ751" s="574"/>
      <c r="FGK751" s="574"/>
      <c r="FGL751" s="574"/>
      <c r="FGM751" s="574"/>
      <c r="FGN751" s="574"/>
      <c r="FGO751" s="574"/>
      <c r="FGP751" s="574"/>
      <c r="FGQ751" s="574"/>
      <c r="FGR751" s="574"/>
      <c r="FGS751" s="574"/>
      <c r="FGT751" s="574"/>
      <c r="FGU751" s="574"/>
      <c r="FGV751" s="574"/>
      <c r="FGW751" s="574"/>
      <c r="FGX751" s="574"/>
      <c r="FGY751" s="574"/>
      <c r="FGZ751" s="574"/>
      <c r="FHA751" s="574"/>
      <c r="FHB751" s="574"/>
      <c r="FHC751" s="574"/>
      <c r="FHD751" s="574"/>
      <c r="FHE751" s="574"/>
      <c r="FHF751" s="574"/>
      <c r="FHG751" s="574"/>
      <c r="FHH751" s="574"/>
      <c r="FHI751" s="574"/>
      <c r="FHJ751" s="574"/>
      <c r="FHK751" s="574"/>
      <c r="FHL751" s="574"/>
      <c r="FHM751" s="574"/>
      <c r="FHN751" s="574"/>
      <c r="FHO751" s="574"/>
      <c r="FHP751" s="574"/>
      <c r="FHQ751" s="574"/>
      <c r="FHR751" s="574"/>
      <c r="FHS751" s="574"/>
      <c r="FHT751" s="574"/>
      <c r="FHU751" s="574"/>
      <c r="FHV751" s="574"/>
      <c r="FHW751" s="574"/>
      <c r="FHX751" s="574"/>
      <c r="FHY751" s="574"/>
      <c r="FHZ751" s="574"/>
      <c r="FIA751" s="574"/>
      <c r="FIB751" s="574"/>
      <c r="FIC751" s="574"/>
      <c r="FID751" s="574"/>
      <c r="FIE751" s="574"/>
      <c r="FIF751" s="574"/>
      <c r="FIG751" s="574"/>
      <c r="FIH751" s="574"/>
      <c r="FII751" s="574"/>
      <c r="FIJ751" s="574"/>
      <c r="FIK751" s="574"/>
      <c r="FIL751" s="574"/>
      <c r="FIM751" s="574"/>
      <c r="FIN751" s="574"/>
      <c r="FIO751" s="574"/>
      <c r="FIP751" s="574"/>
      <c r="FIQ751" s="574"/>
      <c r="FIR751" s="574"/>
      <c r="FIS751" s="574"/>
      <c r="FIT751" s="574"/>
      <c r="FIU751" s="574"/>
      <c r="FIV751" s="574"/>
      <c r="FIW751" s="574"/>
      <c r="FIX751" s="574"/>
      <c r="FIY751" s="574"/>
      <c r="FIZ751" s="574"/>
      <c r="FJA751" s="574"/>
      <c r="FJB751" s="574"/>
      <c r="FJC751" s="574"/>
      <c r="FJD751" s="574"/>
      <c r="FJE751" s="574"/>
      <c r="FJF751" s="574"/>
      <c r="FJG751" s="574"/>
      <c r="FJH751" s="574"/>
      <c r="FJI751" s="574"/>
      <c r="FJJ751" s="574"/>
      <c r="FJK751" s="574"/>
      <c r="FJL751" s="574"/>
      <c r="FJM751" s="574"/>
      <c r="FJN751" s="574"/>
      <c r="FJO751" s="574"/>
      <c r="FJP751" s="574"/>
      <c r="FJQ751" s="574"/>
      <c r="FJR751" s="574"/>
      <c r="FJS751" s="574"/>
      <c r="FJT751" s="574"/>
      <c r="FJU751" s="574"/>
      <c r="FJV751" s="574"/>
      <c r="FJW751" s="574"/>
      <c r="FJX751" s="574"/>
      <c r="FJY751" s="574"/>
      <c r="FJZ751" s="574"/>
      <c r="FKA751" s="574"/>
      <c r="FKB751" s="574"/>
      <c r="FKC751" s="574"/>
      <c r="FKD751" s="574"/>
      <c r="FKE751" s="574"/>
      <c r="FKF751" s="574"/>
      <c r="FKG751" s="574"/>
      <c r="FKH751" s="574"/>
      <c r="FKI751" s="574"/>
      <c r="FKJ751" s="574"/>
      <c r="FKK751" s="574"/>
      <c r="FKL751" s="574"/>
      <c r="FKM751" s="574"/>
      <c r="FKN751" s="574"/>
      <c r="FKO751" s="574"/>
      <c r="FKP751" s="574"/>
      <c r="FKQ751" s="574"/>
      <c r="FKR751" s="574"/>
      <c r="FKS751" s="574"/>
      <c r="FKT751" s="574"/>
      <c r="FKU751" s="574"/>
      <c r="FKV751" s="574"/>
      <c r="FKW751" s="574"/>
      <c r="FKX751" s="574"/>
      <c r="FKY751" s="574"/>
      <c r="FKZ751" s="574"/>
      <c r="FLA751" s="574"/>
      <c r="FLB751" s="574"/>
      <c r="FLC751" s="574"/>
      <c r="FLD751" s="574"/>
      <c r="FLE751" s="574"/>
      <c r="FLF751" s="574"/>
      <c r="FLG751" s="574"/>
      <c r="FLH751" s="574"/>
      <c r="FLI751" s="574"/>
      <c r="FLJ751" s="574"/>
      <c r="FLK751" s="574"/>
      <c r="FLL751" s="574"/>
      <c r="FLM751" s="574"/>
      <c r="FLN751" s="574"/>
      <c r="FLO751" s="574"/>
      <c r="FLP751" s="574"/>
      <c r="FLQ751" s="574"/>
      <c r="FLR751" s="574"/>
      <c r="FLS751" s="574"/>
      <c r="FLT751" s="574"/>
      <c r="FLU751" s="574"/>
      <c r="FLV751" s="574"/>
      <c r="FLW751" s="574"/>
      <c r="FLX751" s="574"/>
      <c r="FLY751" s="574"/>
      <c r="FLZ751" s="574"/>
      <c r="FMA751" s="574"/>
      <c r="FMB751" s="574"/>
      <c r="FMC751" s="574"/>
      <c r="FMD751" s="574"/>
      <c r="FME751" s="574"/>
      <c r="FMF751" s="574"/>
      <c r="FMG751" s="574"/>
      <c r="FMH751" s="574"/>
      <c r="FMI751" s="574"/>
      <c r="FMJ751" s="574"/>
      <c r="FMK751" s="574"/>
      <c r="FML751" s="574"/>
      <c r="FMM751" s="574"/>
      <c r="FMN751" s="574"/>
      <c r="FMO751" s="574"/>
      <c r="FMP751" s="574"/>
      <c r="FMQ751" s="574"/>
      <c r="FMR751" s="574"/>
      <c r="FMS751" s="574"/>
      <c r="FMT751" s="574"/>
      <c r="FMU751" s="574"/>
      <c r="FMV751" s="574"/>
      <c r="FMW751" s="574"/>
      <c r="FMX751" s="574"/>
      <c r="FMY751" s="574"/>
      <c r="FMZ751" s="574"/>
      <c r="FNA751" s="574"/>
      <c r="FNB751" s="574"/>
      <c r="FNC751" s="574"/>
      <c r="FND751" s="574"/>
      <c r="FNE751" s="574"/>
      <c r="FNF751" s="574"/>
      <c r="FNG751" s="574"/>
      <c r="FNH751" s="574"/>
      <c r="FNI751" s="574"/>
      <c r="FNJ751" s="574"/>
      <c r="FNK751" s="574"/>
      <c r="FNL751" s="574"/>
      <c r="FNM751" s="574"/>
      <c r="FNN751" s="574"/>
      <c r="FNO751" s="574"/>
      <c r="FNP751" s="574"/>
      <c r="FNQ751" s="574"/>
      <c r="FNR751" s="574"/>
      <c r="FNS751" s="574"/>
      <c r="FNT751" s="574"/>
      <c r="FNU751" s="574"/>
      <c r="FNV751" s="574"/>
      <c r="FNW751" s="574"/>
      <c r="FNX751" s="574"/>
      <c r="FNY751" s="574"/>
      <c r="FNZ751" s="574"/>
      <c r="FOA751" s="574"/>
      <c r="FOB751" s="574"/>
      <c r="FOC751" s="574"/>
      <c r="FOD751" s="574"/>
      <c r="FOE751" s="574"/>
      <c r="FOF751" s="574"/>
      <c r="FOG751" s="574"/>
      <c r="FOH751" s="574"/>
      <c r="FOI751" s="574"/>
      <c r="FOJ751" s="574"/>
      <c r="FOK751" s="574"/>
      <c r="FOL751" s="574"/>
      <c r="FOM751" s="574"/>
      <c r="FON751" s="574"/>
      <c r="FOO751" s="574"/>
      <c r="FOP751" s="574"/>
      <c r="FOQ751" s="574"/>
      <c r="FOR751" s="574"/>
      <c r="FOS751" s="574"/>
      <c r="FOT751" s="574"/>
      <c r="FOU751" s="574"/>
      <c r="FOV751" s="574"/>
      <c r="FOW751" s="574"/>
      <c r="FOX751" s="574"/>
      <c r="FOY751" s="574"/>
      <c r="FOZ751" s="574"/>
      <c r="FPA751" s="574"/>
      <c r="FPB751" s="574"/>
      <c r="FPC751" s="574"/>
      <c r="FPD751" s="574"/>
      <c r="FPE751" s="574"/>
      <c r="FPF751" s="574"/>
      <c r="FPG751" s="574"/>
      <c r="FPH751" s="574"/>
      <c r="FPI751" s="574"/>
      <c r="FPJ751" s="574"/>
      <c r="FPK751" s="574"/>
      <c r="FPL751" s="574"/>
      <c r="FPM751" s="574"/>
      <c r="FPN751" s="574"/>
      <c r="FPO751" s="574"/>
      <c r="FPP751" s="574"/>
      <c r="FPQ751" s="574"/>
      <c r="FPR751" s="574"/>
      <c r="FPS751" s="574"/>
      <c r="FPT751" s="574"/>
      <c r="FPU751" s="574"/>
      <c r="FPV751" s="574"/>
      <c r="FPW751" s="574"/>
      <c r="FPX751" s="574"/>
      <c r="FPY751" s="574"/>
      <c r="FPZ751" s="574"/>
      <c r="FQA751" s="574"/>
      <c r="FQB751" s="574"/>
      <c r="FQC751" s="574"/>
      <c r="FQD751" s="574"/>
      <c r="FQE751" s="574"/>
      <c r="FQF751" s="574"/>
      <c r="FQG751" s="574"/>
      <c r="FQH751" s="574"/>
      <c r="FQI751" s="574"/>
      <c r="FQJ751" s="574"/>
      <c r="FQK751" s="574"/>
      <c r="FQL751" s="574"/>
      <c r="FQM751" s="574"/>
      <c r="FQN751" s="574"/>
      <c r="FQO751" s="574"/>
      <c r="FQP751" s="574"/>
      <c r="FQQ751" s="574"/>
      <c r="FQR751" s="574"/>
      <c r="FQS751" s="574"/>
      <c r="FQT751" s="574"/>
      <c r="FQU751" s="574"/>
      <c r="FQV751" s="574"/>
      <c r="FQW751" s="574"/>
      <c r="FQX751" s="574"/>
      <c r="FQY751" s="574"/>
      <c r="FQZ751" s="574"/>
      <c r="FRA751" s="574"/>
      <c r="FRB751" s="574"/>
      <c r="FRC751" s="574"/>
      <c r="FRD751" s="574"/>
      <c r="FRE751" s="574"/>
      <c r="FRF751" s="574"/>
      <c r="FRG751" s="574"/>
      <c r="FRH751" s="574"/>
      <c r="FRI751" s="574"/>
      <c r="FRJ751" s="574"/>
      <c r="FRK751" s="574"/>
      <c r="FRL751" s="574"/>
      <c r="FRM751" s="574"/>
      <c r="FRN751" s="574"/>
      <c r="FRO751" s="574"/>
      <c r="FRP751" s="574"/>
      <c r="FRQ751" s="574"/>
      <c r="FRR751" s="574"/>
      <c r="FRS751" s="574"/>
      <c r="FRT751" s="574"/>
      <c r="FRU751" s="574"/>
      <c r="FRV751" s="574"/>
      <c r="FRW751" s="574"/>
      <c r="FRX751" s="574"/>
      <c r="FRY751" s="574"/>
      <c r="FRZ751" s="574"/>
      <c r="FSA751" s="574"/>
      <c r="FSB751" s="574"/>
      <c r="FSC751" s="574"/>
      <c r="FSD751" s="574"/>
      <c r="FSE751" s="574"/>
      <c r="FSF751" s="574"/>
      <c r="FSG751" s="574"/>
      <c r="FSH751" s="574"/>
      <c r="FSI751" s="574"/>
      <c r="FSJ751" s="574"/>
      <c r="FSK751" s="574"/>
      <c r="FSL751" s="574"/>
      <c r="FSM751" s="574"/>
      <c r="FSN751" s="574"/>
      <c r="FSO751" s="574"/>
      <c r="FSP751" s="574"/>
      <c r="FSQ751" s="574"/>
      <c r="FSR751" s="574"/>
      <c r="FSS751" s="574"/>
      <c r="FST751" s="574"/>
      <c r="FSU751" s="574"/>
      <c r="FSV751" s="574"/>
      <c r="FSW751" s="574"/>
      <c r="FSX751" s="574"/>
      <c r="FSY751" s="574"/>
      <c r="FSZ751" s="574"/>
      <c r="FTA751" s="574"/>
      <c r="FTB751" s="574"/>
      <c r="FTC751" s="574"/>
      <c r="FTD751" s="574"/>
      <c r="FTE751" s="574"/>
      <c r="FTF751" s="574"/>
      <c r="FTG751" s="574"/>
      <c r="FTH751" s="574"/>
      <c r="FTI751" s="574"/>
      <c r="FTJ751" s="574"/>
      <c r="FTK751" s="574"/>
      <c r="FTL751" s="574"/>
      <c r="FTM751" s="574"/>
      <c r="FTN751" s="574"/>
      <c r="FTO751" s="574"/>
      <c r="FTP751" s="574"/>
      <c r="FTQ751" s="574"/>
      <c r="FTR751" s="574"/>
      <c r="FTS751" s="574"/>
      <c r="FTT751" s="574"/>
      <c r="FTU751" s="574"/>
      <c r="FTV751" s="574"/>
      <c r="FTW751" s="574"/>
      <c r="FTX751" s="574"/>
      <c r="FTY751" s="574"/>
      <c r="FTZ751" s="574"/>
      <c r="FUA751" s="574"/>
      <c r="FUB751" s="574"/>
      <c r="FUC751" s="574"/>
      <c r="FUD751" s="574"/>
      <c r="FUE751" s="574"/>
      <c r="FUF751" s="574"/>
      <c r="FUG751" s="574"/>
      <c r="FUH751" s="574"/>
      <c r="FUI751" s="574"/>
      <c r="FUJ751" s="574"/>
      <c r="FUK751" s="574"/>
      <c r="FUL751" s="574"/>
      <c r="FUM751" s="574"/>
      <c r="FUN751" s="574"/>
      <c r="FUO751" s="574"/>
      <c r="FUP751" s="574"/>
      <c r="FUQ751" s="574"/>
      <c r="FUR751" s="574"/>
      <c r="FUS751" s="574"/>
      <c r="FUT751" s="574"/>
      <c r="FUU751" s="574"/>
      <c r="FUV751" s="574"/>
      <c r="FUW751" s="574"/>
      <c r="FUX751" s="574"/>
      <c r="FUY751" s="574"/>
      <c r="FUZ751" s="574"/>
      <c r="FVA751" s="574"/>
      <c r="FVB751" s="574"/>
      <c r="FVC751" s="574"/>
      <c r="FVD751" s="574"/>
      <c r="FVE751" s="574"/>
      <c r="FVF751" s="574"/>
      <c r="FVG751" s="574"/>
      <c r="FVH751" s="574"/>
      <c r="FVI751" s="574"/>
      <c r="FVJ751" s="574"/>
      <c r="FVK751" s="574"/>
      <c r="FVL751" s="574"/>
      <c r="FVM751" s="574"/>
      <c r="FVN751" s="574"/>
      <c r="FVO751" s="574"/>
      <c r="FVP751" s="574"/>
      <c r="FVQ751" s="574"/>
      <c r="FVR751" s="574"/>
      <c r="FVS751" s="574"/>
      <c r="FVT751" s="574"/>
      <c r="FVU751" s="574"/>
      <c r="FVV751" s="574"/>
      <c r="FVW751" s="574"/>
      <c r="FVX751" s="574"/>
      <c r="FVY751" s="574"/>
      <c r="FVZ751" s="574"/>
      <c r="FWA751" s="574"/>
      <c r="FWB751" s="574"/>
      <c r="FWC751" s="574"/>
      <c r="FWD751" s="574"/>
      <c r="FWE751" s="574"/>
      <c r="FWF751" s="574"/>
      <c r="FWG751" s="574"/>
      <c r="FWH751" s="574"/>
      <c r="FWI751" s="574"/>
      <c r="FWJ751" s="574"/>
      <c r="FWK751" s="574"/>
      <c r="FWL751" s="574"/>
      <c r="FWM751" s="574"/>
      <c r="FWN751" s="574"/>
      <c r="FWO751" s="574"/>
      <c r="FWP751" s="574"/>
      <c r="FWQ751" s="574"/>
      <c r="FWR751" s="574"/>
      <c r="FWS751" s="574"/>
      <c r="FWT751" s="574"/>
      <c r="FWU751" s="574"/>
      <c r="FWV751" s="574"/>
      <c r="FWW751" s="574"/>
      <c r="FWX751" s="574"/>
      <c r="FWY751" s="574"/>
      <c r="FWZ751" s="574"/>
      <c r="FXA751" s="574"/>
      <c r="FXB751" s="574"/>
      <c r="FXC751" s="574"/>
      <c r="FXD751" s="574"/>
      <c r="FXE751" s="574"/>
      <c r="FXF751" s="574"/>
      <c r="FXG751" s="574"/>
      <c r="FXH751" s="574"/>
      <c r="FXI751" s="574"/>
      <c r="FXJ751" s="574"/>
      <c r="FXK751" s="574"/>
      <c r="FXL751" s="574"/>
      <c r="FXM751" s="574"/>
      <c r="FXN751" s="574"/>
      <c r="FXO751" s="574"/>
      <c r="FXP751" s="574"/>
      <c r="FXQ751" s="574"/>
      <c r="FXR751" s="574"/>
      <c r="FXS751" s="574"/>
      <c r="FXT751" s="574"/>
      <c r="FXU751" s="574"/>
      <c r="FXV751" s="574"/>
      <c r="FXW751" s="574"/>
      <c r="FXX751" s="574"/>
      <c r="FXY751" s="574"/>
      <c r="FXZ751" s="574"/>
      <c r="FYA751" s="574"/>
      <c r="FYB751" s="574"/>
      <c r="FYC751" s="574"/>
      <c r="FYD751" s="574"/>
      <c r="FYE751" s="574"/>
      <c r="FYF751" s="574"/>
      <c r="FYG751" s="574"/>
      <c r="FYH751" s="574"/>
      <c r="FYI751" s="574"/>
      <c r="FYJ751" s="574"/>
      <c r="FYK751" s="574"/>
      <c r="FYL751" s="574"/>
      <c r="FYM751" s="574"/>
      <c r="FYN751" s="574"/>
      <c r="FYO751" s="574"/>
      <c r="FYP751" s="574"/>
      <c r="FYQ751" s="574"/>
      <c r="FYR751" s="574"/>
      <c r="FYS751" s="574"/>
      <c r="FYT751" s="574"/>
      <c r="FYU751" s="574"/>
      <c r="FYV751" s="574"/>
      <c r="FYW751" s="574"/>
      <c r="FYX751" s="574"/>
      <c r="FYY751" s="574"/>
      <c r="FYZ751" s="574"/>
      <c r="FZA751" s="574"/>
      <c r="FZB751" s="574"/>
      <c r="FZC751" s="574"/>
      <c r="FZD751" s="574"/>
      <c r="FZE751" s="574"/>
      <c r="FZF751" s="574"/>
      <c r="FZG751" s="574"/>
      <c r="FZH751" s="574"/>
      <c r="FZI751" s="574"/>
      <c r="FZJ751" s="574"/>
      <c r="FZK751" s="574"/>
      <c r="FZL751" s="574"/>
      <c r="FZM751" s="574"/>
      <c r="FZN751" s="574"/>
      <c r="FZO751" s="574"/>
      <c r="FZP751" s="574"/>
      <c r="FZQ751" s="574"/>
      <c r="FZR751" s="574"/>
      <c r="FZS751" s="574"/>
      <c r="FZT751" s="574"/>
      <c r="FZU751" s="574"/>
      <c r="FZV751" s="574"/>
      <c r="FZW751" s="574"/>
      <c r="FZX751" s="574"/>
      <c r="FZY751" s="574"/>
      <c r="FZZ751" s="574"/>
      <c r="GAA751" s="574"/>
      <c r="GAB751" s="574"/>
      <c r="GAC751" s="574"/>
      <c r="GAD751" s="574"/>
      <c r="GAE751" s="574"/>
      <c r="GAF751" s="574"/>
      <c r="GAG751" s="574"/>
      <c r="GAH751" s="574"/>
      <c r="GAI751" s="574"/>
      <c r="GAJ751" s="574"/>
      <c r="GAK751" s="574"/>
      <c r="GAL751" s="574"/>
      <c r="GAM751" s="574"/>
      <c r="GAN751" s="574"/>
      <c r="GAO751" s="574"/>
      <c r="GAP751" s="574"/>
      <c r="GAQ751" s="574"/>
      <c r="GAR751" s="574"/>
      <c r="GAS751" s="574"/>
      <c r="GAT751" s="574"/>
      <c r="GAU751" s="574"/>
      <c r="GAV751" s="574"/>
      <c r="GAW751" s="574"/>
      <c r="GAX751" s="574"/>
      <c r="GAY751" s="574"/>
      <c r="GAZ751" s="574"/>
      <c r="GBA751" s="574"/>
      <c r="GBB751" s="574"/>
      <c r="GBC751" s="574"/>
      <c r="GBD751" s="574"/>
      <c r="GBE751" s="574"/>
      <c r="GBF751" s="574"/>
      <c r="GBG751" s="574"/>
      <c r="GBH751" s="574"/>
      <c r="GBI751" s="574"/>
      <c r="GBJ751" s="574"/>
      <c r="GBK751" s="574"/>
      <c r="GBL751" s="574"/>
      <c r="GBM751" s="574"/>
      <c r="GBN751" s="574"/>
      <c r="GBO751" s="574"/>
      <c r="GBP751" s="574"/>
      <c r="GBQ751" s="574"/>
      <c r="GBR751" s="574"/>
      <c r="GBS751" s="574"/>
      <c r="GBT751" s="574"/>
      <c r="GBU751" s="574"/>
      <c r="GBV751" s="574"/>
      <c r="GBW751" s="574"/>
      <c r="GBX751" s="574"/>
      <c r="GBY751" s="574"/>
      <c r="GBZ751" s="574"/>
      <c r="GCA751" s="574"/>
      <c r="GCB751" s="574"/>
      <c r="GCC751" s="574"/>
      <c r="GCD751" s="574"/>
      <c r="GCE751" s="574"/>
      <c r="GCF751" s="574"/>
      <c r="GCG751" s="574"/>
      <c r="GCH751" s="574"/>
      <c r="GCI751" s="574"/>
      <c r="GCJ751" s="574"/>
      <c r="GCK751" s="574"/>
      <c r="GCL751" s="574"/>
      <c r="GCM751" s="574"/>
      <c r="GCN751" s="574"/>
      <c r="GCO751" s="574"/>
      <c r="GCP751" s="574"/>
      <c r="GCQ751" s="574"/>
      <c r="GCR751" s="574"/>
      <c r="GCS751" s="574"/>
      <c r="GCT751" s="574"/>
      <c r="GCU751" s="574"/>
      <c r="GCV751" s="574"/>
      <c r="GCW751" s="574"/>
      <c r="GCX751" s="574"/>
      <c r="GCY751" s="574"/>
      <c r="GCZ751" s="574"/>
      <c r="GDA751" s="574"/>
      <c r="GDB751" s="574"/>
      <c r="GDC751" s="574"/>
      <c r="GDD751" s="574"/>
      <c r="GDE751" s="574"/>
      <c r="GDF751" s="574"/>
      <c r="GDG751" s="574"/>
      <c r="GDH751" s="574"/>
      <c r="GDI751" s="574"/>
      <c r="GDJ751" s="574"/>
      <c r="GDK751" s="574"/>
      <c r="GDL751" s="574"/>
      <c r="GDM751" s="574"/>
      <c r="GDN751" s="574"/>
      <c r="GDO751" s="574"/>
      <c r="GDP751" s="574"/>
      <c r="GDQ751" s="574"/>
      <c r="GDR751" s="574"/>
      <c r="GDS751" s="574"/>
      <c r="GDT751" s="574"/>
      <c r="GDU751" s="574"/>
      <c r="GDV751" s="574"/>
      <c r="GDW751" s="574"/>
      <c r="GDX751" s="574"/>
      <c r="GDY751" s="574"/>
      <c r="GDZ751" s="574"/>
      <c r="GEA751" s="574"/>
      <c r="GEB751" s="574"/>
      <c r="GEC751" s="574"/>
      <c r="GED751" s="574"/>
      <c r="GEE751" s="574"/>
      <c r="GEF751" s="574"/>
      <c r="GEG751" s="574"/>
      <c r="GEH751" s="574"/>
      <c r="GEI751" s="574"/>
      <c r="GEJ751" s="574"/>
      <c r="GEK751" s="574"/>
      <c r="GEL751" s="574"/>
      <c r="GEM751" s="574"/>
      <c r="GEN751" s="574"/>
      <c r="GEO751" s="574"/>
      <c r="GEP751" s="574"/>
      <c r="GEQ751" s="574"/>
      <c r="GER751" s="574"/>
      <c r="GES751" s="574"/>
      <c r="GET751" s="574"/>
      <c r="GEU751" s="574"/>
      <c r="GEV751" s="574"/>
      <c r="GEW751" s="574"/>
      <c r="GEX751" s="574"/>
      <c r="GEY751" s="574"/>
      <c r="GEZ751" s="574"/>
      <c r="GFA751" s="574"/>
      <c r="GFB751" s="574"/>
      <c r="GFC751" s="574"/>
      <c r="GFD751" s="574"/>
      <c r="GFE751" s="574"/>
      <c r="GFF751" s="574"/>
      <c r="GFG751" s="574"/>
      <c r="GFH751" s="574"/>
      <c r="GFI751" s="574"/>
      <c r="GFJ751" s="574"/>
      <c r="GFK751" s="574"/>
      <c r="GFL751" s="574"/>
      <c r="GFM751" s="574"/>
      <c r="GFN751" s="574"/>
      <c r="GFO751" s="574"/>
      <c r="GFP751" s="574"/>
      <c r="GFQ751" s="574"/>
      <c r="GFR751" s="574"/>
      <c r="GFS751" s="574"/>
      <c r="GFT751" s="574"/>
      <c r="GFU751" s="574"/>
      <c r="GFV751" s="574"/>
      <c r="GFW751" s="574"/>
      <c r="GFX751" s="574"/>
      <c r="GFY751" s="574"/>
      <c r="GFZ751" s="574"/>
      <c r="GGA751" s="574"/>
      <c r="GGB751" s="574"/>
      <c r="GGC751" s="574"/>
      <c r="GGD751" s="574"/>
      <c r="GGE751" s="574"/>
      <c r="GGF751" s="574"/>
      <c r="GGG751" s="574"/>
      <c r="GGH751" s="574"/>
      <c r="GGI751" s="574"/>
      <c r="GGJ751" s="574"/>
      <c r="GGK751" s="574"/>
      <c r="GGL751" s="574"/>
      <c r="GGM751" s="574"/>
      <c r="GGN751" s="574"/>
      <c r="GGO751" s="574"/>
      <c r="GGP751" s="574"/>
      <c r="GGQ751" s="574"/>
      <c r="GGR751" s="574"/>
      <c r="GGS751" s="574"/>
      <c r="GGT751" s="574"/>
      <c r="GGU751" s="574"/>
      <c r="GGV751" s="574"/>
      <c r="GGW751" s="574"/>
      <c r="GGX751" s="574"/>
      <c r="GGY751" s="574"/>
      <c r="GGZ751" s="574"/>
      <c r="GHA751" s="574"/>
      <c r="GHB751" s="574"/>
      <c r="GHC751" s="574"/>
      <c r="GHD751" s="574"/>
      <c r="GHE751" s="574"/>
      <c r="GHF751" s="574"/>
      <c r="GHG751" s="574"/>
      <c r="GHH751" s="574"/>
      <c r="GHI751" s="574"/>
      <c r="GHJ751" s="574"/>
      <c r="GHK751" s="574"/>
      <c r="GHL751" s="574"/>
      <c r="GHM751" s="574"/>
      <c r="GHN751" s="574"/>
      <c r="GHO751" s="574"/>
      <c r="GHP751" s="574"/>
      <c r="GHQ751" s="574"/>
      <c r="GHR751" s="574"/>
      <c r="GHS751" s="574"/>
      <c r="GHT751" s="574"/>
      <c r="GHU751" s="574"/>
      <c r="GHV751" s="574"/>
      <c r="GHW751" s="574"/>
      <c r="GHX751" s="574"/>
      <c r="GHY751" s="574"/>
      <c r="GHZ751" s="574"/>
      <c r="GIA751" s="574"/>
      <c r="GIB751" s="574"/>
      <c r="GIC751" s="574"/>
      <c r="GID751" s="574"/>
      <c r="GIE751" s="574"/>
      <c r="GIF751" s="574"/>
      <c r="GIG751" s="574"/>
      <c r="GIH751" s="574"/>
      <c r="GII751" s="574"/>
      <c r="GIJ751" s="574"/>
      <c r="GIK751" s="574"/>
      <c r="GIL751" s="574"/>
      <c r="GIM751" s="574"/>
      <c r="GIN751" s="574"/>
      <c r="GIO751" s="574"/>
      <c r="GIP751" s="574"/>
      <c r="GIQ751" s="574"/>
      <c r="GIR751" s="574"/>
      <c r="GIS751" s="574"/>
      <c r="GIT751" s="574"/>
      <c r="GIU751" s="574"/>
      <c r="GIV751" s="574"/>
      <c r="GIW751" s="574"/>
      <c r="GIX751" s="574"/>
      <c r="GIY751" s="574"/>
      <c r="GIZ751" s="574"/>
      <c r="GJA751" s="574"/>
      <c r="GJB751" s="574"/>
      <c r="GJC751" s="574"/>
      <c r="GJD751" s="574"/>
      <c r="GJE751" s="574"/>
      <c r="GJF751" s="574"/>
      <c r="GJG751" s="574"/>
      <c r="GJH751" s="574"/>
      <c r="GJI751" s="574"/>
      <c r="GJJ751" s="574"/>
      <c r="GJK751" s="574"/>
      <c r="GJL751" s="574"/>
      <c r="GJM751" s="574"/>
      <c r="GJN751" s="574"/>
      <c r="GJO751" s="574"/>
      <c r="GJP751" s="574"/>
      <c r="GJQ751" s="574"/>
      <c r="GJR751" s="574"/>
      <c r="GJS751" s="574"/>
      <c r="GJT751" s="574"/>
      <c r="GJU751" s="574"/>
      <c r="GJV751" s="574"/>
      <c r="GJW751" s="574"/>
      <c r="GJX751" s="574"/>
      <c r="GJY751" s="574"/>
      <c r="GJZ751" s="574"/>
      <c r="GKA751" s="574"/>
      <c r="GKB751" s="574"/>
      <c r="GKC751" s="574"/>
      <c r="GKD751" s="574"/>
      <c r="GKE751" s="574"/>
      <c r="GKF751" s="574"/>
      <c r="GKG751" s="574"/>
      <c r="GKH751" s="574"/>
      <c r="GKI751" s="574"/>
      <c r="GKJ751" s="574"/>
      <c r="GKK751" s="574"/>
      <c r="GKL751" s="574"/>
      <c r="GKM751" s="574"/>
      <c r="GKN751" s="574"/>
      <c r="GKO751" s="574"/>
      <c r="GKP751" s="574"/>
      <c r="GKQ751" s="574"/>
      <c r="GKR751" s="574"/>
      <c r="GKS751" s="574"/>
      <c r="GKT751" s="574"/>
      <c r="GKU751" s="574"/>
      <c r="GKV751" s="574"/>
      <c r="GKW751" s="574"/>
      <c r="GKX751" s="574"/>
      <c r="GKY751" s="574"/>
      <c r="GKZ751" s="574"/>
      <c r="GLA751" s="574"/>
      <c r="GLB751" s="574"/>
      <c r="GLC751" s="574"/>
      <c r="GLD751" s="574"/>
      <c r="GLE751" s="574"/>
      <c r="GLF751" s="574"/>
      <c r="GLG751" s="574"/>
      <c r="GLH751" s="574"/>
      <c r="GLI751" s="574"/>
      <c r="GLJ751" s="574"/>
      <c r="GLK751" s="574"/>
      <c r="GLL751" s="574"/>
      <c r="GLM751" s="574"/>
      <c r="GLN751" s="574"/>
      <c r="GLO751" s="574"/>
      <c r="GLP751" s="574"/>
      <c r="GLQ751" s="574"/>
      <c r="GLR751" s="574"/>
      <c r="GLS751" s="574"/>
      <c r="GLT751" s="574"/>
      <c r="GLU751" s="574"/>
      <c r="GLV751" s="574"/>
      <c r="GLW751" s="574"/>
      <c r="GLX751" s="574"/>
      <c r="GLY751" s="574"/>
      <c r="GLZ751" s="574"/>
      <c r="GMA751" s="574"/>
      <c r="GMB751" s="574"/>
      <c r="GMC751" s="574"/>
      <c r="GMD751" s="574"/>
      <c r="GME751" s="574"/>
      <c r="GMF751" s="574"/>
      <c r="GMG751" s="574"/>
      <c r="GMH751" s="574"/>
      <c r="GMI751" s="574"/>
      <c r="GMJ751" s="574"/>
      <c r="GMK751" s="574"/>
      <c r="GML751" s="574"/>
      <c r="GMM751" s="574"/>
      <c r="GMN751" s="574"/>
      <c r="GMO751" s="574"/>
      <c r="GMP751" s="574"/>
      <c r="GMQ751" s="574"/>
      <c r="GMR751" s="574"/>
      <c r="GMS751" s="574"/>
      <c r="GMT751" s="574"/>
      <c r="GMU751" s="574"/>
      <c r="GMV751" s="574"/>
      <c r="GMW751" s="574"/>
      <c r="GMX751" s="574"/>
      <c r="GMY751" s="574"/>
      <c r="GMZ751" s="574"/>
      <c r="GNA751" s="574"/>
      <c r="GNB751" s="574"/>
      <c r="GNC751" s="574"/>
      <c r="GND751" s="574"/>
      <c r="GNE751" s="574"/>
      <c r="GNF751" s="574"/>
      <c r="GNG751" s="574"/>
      <c r="GNH751" s="574"/>
      <c r="GNI751" s="574"/>
      <c r="GNJ751" s="574"/>
      <c r="GNK751" s="574"/>
      <c r="GNL751" s="574"/>
      <c r="GNM751" s="574"/>
      <c r="GNN751" s="574"/>
      <c r="GNO751" s="574"/>
      <c r="GNP751" s="574"/>
      <c r="GNQ751" s="574"/>
      <c r="GNR751" s="574"/>
      <c r="GNS751" s="574"/>
      <c r="GNT751" s="574"/>
      <c r="GNU751" s="574"/>
      <c r="GNV751" s="574"/>
      <c r="GNW751" s="574"/>
      <c r="GNX751" s="574"/>
      <c r="GNY751" s="574"/>
      <c r="GNZ751" s="574"/>
      <c r="GOA751" s="574"/>
      <c r="GOB751" s="574"/>
      <c r="GOC751" s="574"/>
      <c r="GOD751" s="574"/>
      <c r="GOE751" s="574"/>
      <c r="GOF751" s="574"/>
      <c r="GOG751" s="574"/>
      <c r="GOH751" s="574"/>
      <c r="GOI751" s="574"/>
      <c r="GOJ751" s="574"/>
      <c r="GOK751" s="574"/>
      <c r="GOL751" s="574"/>
      <c r="GOM751" s="574"/>
      <c r="GON751" s="574"/>
      <c r="GOO751" s="574"/>
      <c r="GOP751" s="574"/>
      <c r="GOQ751" s="574"/>
      <c r="GOR751" s="574"/>
      <c r="GOS751" s="574"/>
      <c r="GOT751" s="574"/>
      <c r="GOU751" s="574"/>
      <c r="GOV751" s="574"/>
      <c r="GOW751" s="574"/>
      <c r="GOX751" s="574"/>
      <c r="GOY751" s="574"/>
      <c r="GOZ751" s="574"/>
      <c r="GPA751" s="574"/>
      <c r="GPB751" s="574"/>
      <c r="GPC751" s="574"/>
      <c r="GPD751" s="574"/>
      <c r="GPE751" s="574"/>
      <c r="GPF751" s="574"/>
      <c r="GPG751" s="574"/>
      <c r="GPH751" s="574"/>
      <c r="GPI751" s="574"/>
      <c r="GPJ751" s="574"/>
      <c r="GPK751" s="574"/>
      <c r="GPL751" s="574"/>
      <c r="GPM751" s="574"/>
      <c r="GPN751" s="574"/>
      <c r="GPO751" s="574"/>
      <c r="GPP751" s="574"/>
      <c r="GPQ751" s="574"/>
      <c r="GPR751" s="574"/>
      <c r="GPS751" s="574"/>
      <c r="GPT751" s="574"/>
      <c r="GPU751" s="574"/>
      <c r="GPV751" s="574"/>
      <c r="GPW751" s="574"/>
      <c r="GPX751" s="574"/>
      <c r="GPY751" s="574"/>
      <c r="GPZ751" s="574"/>
      <c r="GQA751" s="574"/>
      <c r="GQB751" s="574"/>
      <c r="GQC751" s="574"/>
      <c r="GQD751" s="574"/>
      <c r="GQE751" s="574"/>
      <c r="GQF751" s="574"/>
      <c r="GQG751" s="574"/>
      <c r="GQH751" s="574"/>
      <c r="GQI751" s="574"/>
      <c r="GQJ751" s="574"/>
      <c r="GQK751" s="574"/>
      <c r="GQL751" s="574"/>
      <c r="GQM751" s="574"/>
      <c r="GQN751" s="574"/>
      <c r="GQO751" s="574"/>
      <c r="GQP751" s="574"/>
      <c r="GQQ751" s="574"/>
      <c r="GQR751" s="574"/>
      <c r="GQS751" s="574"/>
      <c r="GQT751" s="574"/>
      <c r="GQU751" s="574"/>
      <c r="GQV751" s="574"/>
      <c r="GQW751" s="574"/>
      <c r="GQX751" s="574"/>
      <c r="GQY751" s="574"/>
      <c r="GQZ751" s="574"/>
      <c r="GRA751" s="574"/>
      <c r="GRB751" s="574"/>
      <c r="GRC751" s="574"/>
      <c r="GRD751" s="574"/>
      <c r="GRE751" s="574"/>
      <c r="GRF751" s="574"/>
      <c r="GRG751" s="574"/>
      <c r="GRH751" s="574"/>
      <c r="GRI751" s="574"/>
      <c r="GRJ751" s="574"/>
      <c r="GRK751" s="574"/>
      <c r="GRL751" s="574"/>
      <c r="GRM751" s="574"/>
      <c r="GRN751" s="574"/>
      <c r="GRO751" s="574"/>
      <c r="GRP751" s="574"/>
      <c r="GRQ751" s="574"/>
      <c r="GRR751" s="574"/>
      <c r="GRS751" s="574"/>
      <c r="GRT751" s="574"/>
      <c r="GRU751" s="574"/>
      <c r="GRV751" s="574"/>
      <c r="GRW751" s="574"/>
      <c r="GRX751" s="574"/>
      <c r="GRY751" s="574"/>
      <c r="GRZ751" s="574"/>
      <c r="GSA751" s="574"/>
      <c r="GSB751" s="574"/>
      <c r="GSC751" s="574"/>
      <c r="GSD751" s="574"/>
      <c r="GSE751" s="574"/>
      <c r="GSF751" s="574"/>
      <c r="GSG751" s="574"/>
      <c r="GSH751" s="574"/>
      <c r="GSI751" s="574"/>
      <c r="GSJ751" s="574"/>
      <c r="GSK751" s="574"/>
      <c r="GSL751" s="574"/>
      <c r="GSM751" s="574"/>
      <c r="GSN751" s="574"/>
      <c r="GSO751" s="574"/>
      <c r="GSP751" s="574"/>
      <c r="GSQ751" s="574"/>
      <c r="GSR751" s="574"/>
      <c r="GSS751" s="574"/>
      <c r="GST751" s="574"/>
      <c r="GSU751" s="574"/>
      <c r="GSV751" s="574"/>
      <c r="GSW751" s="574"/>
      <c r="GSX751" s="574"/>
      <c r="GSY751" s="574"/>
      <c r="GSZ751" s="574"/>
      <c r="GTA751" s="574"/>
      <c r="GTB751" s="574"/>
      <c r="GTC751" s="574"/>
      <c r="GTD751" s="574"/>
      <c r="GTE751" s="574"/>
      <c r="GTF751" s="574"/>
      <c r="GTG751" s="574"/>
      <c r="GTH751" s="574"/>
      <c r="GTI751" s="574"/>
      <c r="GTJ751" s="574"/>
      <c r="GTK751" s="574"/>
      <c r="GTL751" s="574"/>
      <c r="GTM751" s="574"/>
      <c r="GTN751" s="574"/>
      <c r="GTO751" s="574"/>
      <c r="GTP751" s="574"/>
      <c r="GTQ751" s="574"/>
      <c r="GTR751" s="574"/>
      <c r="GTS751" s="574"/>
      <c r="GTT751" s="574"/>
      <c r="GTU751" s="574"/>
      <c r="GTV751" s="574"/>
      <c r="GTW751" s="574"/>
      <c r="GTX751" s="574"/>
      <c r="GTY751" s="574"/>
      <c r="GTZ751" s="574"/>
      <c r="GUA751" s="574"/>
      <c r="GUB751" s="574"/>
      <c r="GUC751" s="574"/>
      <c r="GUD751" s="574"/>
      <c r="GUE751" s="574"/>
      <c r="GUF751" s="574"/>
      <c r="GUG751" s="574"/>
      <c r="GUH751" s="574"/>
      <c r="GUI751" s="574"/>
      <c r="GUJ751" s="574"/>
      <c r="GUK751" s="574"/>
      <c r="GUL751" s="574"/>
      <c r="GUM751" s="574"/>
      <c r="GUN751" s="574"/>
      <c r="GUO751" s="574"/>
      <c r="GUP751" s="574"/>
      <c r="GUQ751" s="574"/>
      <c r="GUR751" s="574"/>
      <c r="GUS751" s="574"/>
      <c r="GUT751" s="574"/>
      <c r="GUU751" s="574"/>
      <c r="GUV751" s="574"/>
      <c r="GUW751" s="574"/>
      <c r="GUX751" s="574"/>
      <c r="GUY751" s="574"/>
      <c r="GUZ751" s="574"/>
      <c r="GVA751" s="574"/>
      <c r="GVB751" s="574"/>
      <c r="GVC751" s="574"/>
      <c r="GVD751" s="574"/>
      <c r="GVE751" s="574"/>
      <c r="GVF751" s="574"/>
      <c r="GVG751" s="574"/>
      <c r="GVH751" s="574"/>
      <c r="GVI751" s="574"/>
      <c r="GVJ751" s="574"/>
      <c r="GVK751" s="574"/>
      <c r="GVL751" s="574"/>
      <c r="GVM751" s="574"/>
      <c r="GVN751" s="574"/>
      <c r="GVO751" s="574"/>
      <c r="GVP751" s="574"/>
      <c r="GVQ751" s="574"/>
      <c r="GVR751" s="574"/>
      <c r="GVS751" s="574"/>
      <c r="GVT751" s="574"/>
      <c r="GVU751" s="574"/>
      <c r="GVV751" s="574"/>
      <c r="GVW751" s="574"/>
      <c r="GVX751" s="574"/>
      <c r="GVY751" s="574"/>
      <c r="GVZ751" s="574"/>
      <c r="GWA751" s="574"/>
      <c r="GWB751" s="574"/>
      <c r="GWC751" s="574"/>
      <c r="GWD751" s="574"/>
      <c r="GWE751" s="574"/>
      <c r="GWF751" s="574"/>
      <c r="GWG751" s="574"/>
      <c r="GWH751" s="574"/>
      <c r="GWI751" s="574"/>
      <c r="GWJ751" s="574"/>
      <c r="GWK751" s="574"/>
      <c r="GWL751" s="574"/>
      <c r="GWM751" s="574"/>
      <c r="GWN751" s="574"/>
      <c r="GWO751" s="574"/>
      <c r="GWP751" s="574"/>
      <c r="GWQ751" s="574"/>
      <c r="GWR751" s="574"/>
      <c r="GWS751" s="574"/>
      <c r="GWT751" s="574"/>
      <c r="GWU751" s="574"/>
      <c r="GWV751" s="574"/>
      <c r="GWW751" s="574"/>
      <c r="GWX751" s="574"/>
      <c r="GWY751" s="574"/>
      <c r="GWZ751" s="574"/>
      <c r="GXA751" s="574"/>
      <c r="GXB751" s="574"/>
      <c r="GXC751" s="574"/>
      <c r="GXD751" s="574"/>
      <c r="GXE751" s="574"/>
      <c r="GXF751" s="574"/>
      <c r="GXG751" s="574"/>
      <c r="GXH751" s="574"/>
      <c r="GXI751" s="574"/>
      <c r="GXJ751" s="574"/>
      <c r="GXK751" s="574"/>
      <c r="GXL751" s="574"/>
      <c r="GXM751" s="574"/>
      <c r="GXN751" s="574"/>
      <c r="GXO751" s="574"/>
      <c r="GXP751" s="574"/>
      <c r="GXQ751" s="574"/>
      <c r="GXR751" s="574"/>
      <c r="GXS751" s="574"/>
      <c r="GXT751" s="574"/>
      <c r="GXU751" s="574"/>
      <c r="GXV751" s="574"/>
      <c r="GXW751" s="574"/>
      <c r="GXX751" s="574"/>
      <c r="GXY751" s="574"/>
      <c r="GXZ751" s="574"/>
      <c r="GYA751" s="574"/>
      <c r="GYB751" s="574"/>
      <c r="GYC751" s="574"/>
      <c r="GYD751" s="574"/>
      <c r="GYE751" s="574"/>
      <c r="GYF751" s="574"/>
      <c r="GYG751" s="574"/>
      <c r="GYH751" s="574"/>
      <c r="GYI751" s="574"/>
      <c r="GYJ751" s="574"/>
      <c r="GYK751" s="574"/>
      <c r="GYL751" s="574"/>
      <c r="GYM751" s="574"/>
      <c r="GYN751" s="574"/>
      <c r="GYO751" s="574"/>
      <c r="GYP751" s="574"/>
      <c r="GYQ751" s="574"/>
      <c r="GYR751" s="574"/>
      <c r="GYS751" s="574"/>
      <c r="GYT751" s="574"/>
      <c r="GYU751" s="574"/>
      <c r="GYV751" s="574"/>
      <c r="GYW751" s="574"/>
      <c r="GYX751" s="574"/>
      <c r="GYY751" s="574"/>
      <c r="GYZ751" s="574"/>
      <c r="GZA751" s="574"/>
      <c r="GZB751" s="574"/>
      <c r="GZC751" s="574"/>
      <c r="GZD751" s="574"/>
      <c r="GZE751" s="574"/>
      <c r="GZF751" s="574"/>
      <c r="GZG751" s="574"/>
      <c r="GZH751" s="574"/>
      <c r="GZI751" s="574"/>
      <c r="GZJ751" s="574"/>
      <c r="GZK751" s="574"/>
      <c r="GZL751" s="574"/>
      <c r="GZM751" s="574"/>
      <c r="GZN751" s="574"/>
      <c r="GZO751" s="574"/>
      <c r="GZP751" s="574"/>
      <c r="GZQ751" s="574"/>
      <c r="GZR751" s="574"/>
      <c r="GZS751" s="574"/>
      <c r="GZT751" s="574"/>
      <c r="GZU751" s="574"/>
      <c r="GZV751" s="574"/>
      <c r="GZW751" s="574"/>
      <c r="GZX751" s="574"/>
      <c r="GZY751" s="574"/>
      <c r="GZZ751" s="574"/>
      <c r="HAA751" s="574"/>
      <c r="HAB751" s="574"/>
      <c r="HAC751" s="574"/>
      <c r="HAD751" s="574"/>
      <c r="HAE751" s="574"/>
      <c r="HAF751" s="574"/>
      <c r="HAG751" s="574"/>
      <c r="HAH751" s="574"/>
      <c r="HAI751" s="574"/>
      <c r="HAJ751" s="574"/>
      <c r="HAK751" s="574"/>
      <c r="HAL751" s="574"/>
      <c r="HAM751" s="574"/>
      <c r="HAN751" s="574"/>
      <c r="HAO751" s="574"/>
      <c r="HAP751" s="574"/>
      <c r="HAQ751" s="574"/>
      <c r="HAR751" s="574"/>
      <c r="HAS751" s="574"/>
      <c r="HAT751" s="574"/>
      <c r="HAU751" s="574"/>
      <c r="HAV751" s="574"/>
      <c r="HAW751" s="574"/>
      <c r="HAX751" s="574"/>
      <c r="HAY751" s="574"/>
      <c r="HAZ751" s="574"/>
      <c r="HBA751" s="574"/>
      <c r="HBB751" s="574"/>
      <c r="HBC751" s="574"/>
      <c r="HBD751" s="574"/>
      <c r="HBE751" s="574"/>
      <c r="HBF751" s="574"/>
      <c r="HBG751" s="574"/>
      <c r="HBH751" s="574"/>
      <c r="HBI751" s="574"/>
      <c r="HBJ751" s="574"/>
      <c r="HBK751" s="574"/>
      <c r="HBL751" s="574"/>
      <c r="HBM751" s="574"/>
      <c r="HBN751" s="574"/>
      <c r="HBO751" s="574"/>
      <c r="HBP751" s="574"/>
      <c r="HBQ751" s="574"/>
      <c r="HBR751" s="574"/>
      <c r="HBS751" s="574"/>
      <c r="HBT751" s="574"/>
      <c r="HBU751" s="574"/>
      <c r="HBV751" s="574"/>
      <c r="HBW751" s="574"/>
      <c r="HBX751" s="574"/>
      <c r="HBY751" s="574"/>
      <c r="HBZ751" s="574"/>
      <c r="HCA751" s="574"/>
      <c r="HCB751" s="574"/>
      <c r="HCC751" s="574"/>
      <c r="HCD751" s="574"/>
      <c r="HCE751" s="574"/>
      <c r="HCF751" s="574"/>
      <c r="HCG751" s="574"/>
      <c r="HCH751" s="574"/>
      <c r="HCI751" s="574"/>
      <c r="HCJ751" s="574"/>
      <c r="HCK751" s="574"/>
      <c r="HCL751" s="574"/>
      <c r="HCM751" s="574"/>
      <c r="HCN751" s="574"/>
      <c r="HCO751" s="574"/>
      <c r="HCP751" s="574"/>
      <c r="HCQ751" s="574"/>
      <c r="HCR751" s="574"/>
      <c r="HCS751" s="574"/>
      <c r="HCT751" s="574"/>
      <c r="HCU751" s="574"/>
      <c r="HCV751" s="574"/>
      <c r="HCW751" s="574"/>
      <c r="HCX751" s="574"/>
      <c r="HCY751" s="574"/>
      <c r="HCZ751" s="574"/>
      <c r="HDA751" s="574"/>
      <c r="HDB751" s="574"/>
      <c r="HDC751" s="574"/>
      <c r="HDD751" s="574"/>
      <c r="HDE751" s="574"/>
      <c r="HDF751" s="574"/>
      <c r="HDG751" s="574"/>
      <c r="HDH751" s="574"/>
      <c r="HDI751" s="574"/>
      <c r="HDJ751" s="574"/>
      <c r="HDK751" s="574"/>
      <c r="HDL751" s="574"/>
      <c r="HDM751" s="574"/>
      <c r="HDN751" s="574"/>
      <c r="HDO751" s="574"/>
      <c r="HDP751" s="574"/>
      <c r="HDQ751" s="574"/>
      <c r="HDR751" s="574"/>
      <c r="HDS751" s="574"/>
      <c r="HDT751" s="574"/>
      <c r="HDU751" s="574"/>
      <c r="HDV751" s="574"/>
      <c r="HDW751" s="574"/>
      <c r="HDX751" s="574"/>
      <c r="HDY751" s="574"/>
      <c r="HDZ751" s="574"/>
      <c r="HEA751" s="574"/>
      <c r="HEB751" s="574"/>
      <c r="HEC751" s="574"/>
      <c r="HED751" s="574"/>
      <c r="HEE751" s="574"/>
      <c r="HEF751" s="574"/>
      <c r="HEG751" s="574"/>
      <c r="HEH751" s="574"/>
      <c r="HEI751" s="574"/>
      <c r="HEJ751" s="574"/>
      <c r="HEK751" s="574"/>
      <c r="HEL751" s="574"/>
      <c r="HEM751" s="574"/>
      <c r="HEN751" s="574"/>
      <c r="HEO751" s="574"/>
      <c r="HEP751" s="574"/>
      <c r="HEQ751" s="574"/>
      <c r="HER751" s="574"/>
      <c r="HES751" s="574"/>
      <c r="HET751" s="574"/>
      <c r="HEU751" s="574"/>
      <c r="HEV751" s="574"/>
      <c r="HEW751" s="574"/>
      <c r="HEX751" s="574"/>
      <c r="HEY751" s="574"/>
      <c r="HEZ751" s="574"/>
      <c r="HFA751" s="574"/>
      <c r="HFB751" s="574"/>
      <c r="HFC751" s="574"/>
      <c r="HFD751" s="574"/>
      <c r="HFE751" s="574"/>
      <c r="HFF751" s="574"/>
      <c r="HFG751" s="574"/>
      <c r="HFH751" s="574"/>
      <c r="HFI751" s="574"/>
      <c r="HFJ751" s="574"/>
      <c r="HFK751" s="574"/>
      <c r="HFL751" s="574"/>
      <c r="HFM751" s="574"/>
      <c r="HFN751" s="574"/>
      <c r="HFO751" s="574"/>
      <c r="HFP751" s="574"/>
      <c r="HFQ751" s="574"/>
      <c r="HFR751" s="574"/>
      <c r="HFS751" s="574"/>
      <c r="HFT751" s="574"/>
      <c r="HFU751" s="574"/>
      <c r="HFV751" s="574"/>
      <c r="HFW751" s="574"/>
      <c r="HFX751" s="574"/>
      <c r="HFY751" s="574"/>
      <c r="HFZ751" s="574"/>
      <c r="HGA751" s="574"/>
      <c r="HGB751" s="574"/>
      <c r="HGC751" s="574"/>
      <c r="HGD751" s="574"/>
      <c r="HGE751" s="574"/>
      <c r="HGF751" s="574"/>
      <c r="HGG751" s="574"/>
      <c r="HGH751" s="574"/>
      <c r="HGI751" s="574"/>
      <c r="HGJ751" s="574"/>
      <c r="HGK751" s="574"/>
      <c r="HGL751" s="574"/>
      <c r="HGM751" s="574"/>
      <c r="HGN751" s="574"/>
      <c r="HGO751" s="574"/>
      <c r="HGP751" s="574"/>
      <c r="HGQ751" s="574"/>
      <c r="HGR751" s="574"/>
      <c r="HGS751" s="574"/>
      <c r="HGT751" s="574"/>
      <c r="HGU751" s="574"/>
      <c r="HGV751" s="574"/>
      <c r="HGW751" s="574"/>
      <c r="HGX751" s="574"/>
      <c r="HGY751" s="574"/>
      <c r="HGZ751" s="574"/>
      <c r="HHA751" s="574"/>
      <c r="HHB751" s="574"/>
      <c r="HHC751" s="574"/>
      <c r="HHD751" s="574"/>
      <c r="HHE751" s="574"/>
      <c r="HHF751" s="574"/>
      <c r="HHG751" s="574"/>
      <c r="HHH751" s="574"/>
      <c r="HHI751" s="574"/>
      <c r="HHJ751" s="574"/>
      <c r="HHK751" s="574"/>
      <c r="HHL751" s="574"/>
      <c r="HHM751" s="574"/>
      <c r="HHN751" s="574"/>
      <c r="HHO751" s="574"/>
      <c r="HHP751" s="574"/>
      <c r="HHQ751" s="574"/>
      <c r="HHR751" s="574"/>
      <c r="HHS751" s="574"/>
      <c r="HHT751" s="574"/>
      <c r="HHU751" s="574"/>
      <c r="HHV751" s="574"/>
      <c r="HHW751" s="574"/>
      <c r="HHX751" s="574"/>
      <c r="HHY751" s="574"/>
      <c r="HHZ751" s="574"/>
      <c r="HIA751" s="574"/>
      <c r="HIB751" s="574"/>
      <c r="HIC751" s="574"/>
      <c r="HID751" s="574"/>
      <c r="HIE751" s="574"/>
      <c r="HIF751" s="574"/>
      <c r="HIG751" s="574"/>
      <c r="HIH751" s="574"/>
      <c r="HII751" s="574"/>
      <c r="HIJ751" s="574"/>
      <c r="HIK751" s="574"/>
      <c r="HIL751" s="574"/>
      <c r="HIM751" s="574"/>
      <c r="HIN751" s="574"/>
      <c r="HIO751" s="574"/>
      <c r="HIP751" s="574"/>
      <c r="HIQ751" s="574"/>
      <c r="HIR751" s="574"/>
      <c r="HIS751" s="574"/>
      <c r="HIT751" s="574"/>
      <c r="HIU751" s="574"/>
      <c r="HIV751" s="574"/>
      <c r="HIW751" s="574"/>
      <c r="HIX751" s="574"/>
      <c r="HIY751" s="574"/>
      <c r="HIZ751" s="574"/>
      <c r="HJA751" s="574"/>
      <c r="HJB751" s="574"/>
      <c r="HJC751" s="574"/>
      <c r="HJD751" s="574"/>
      <c r="HJE751" s="574"/>
      <c r="HJF751" s="574"/>
      <c r="HJG751" s="574"/>
      <c r="HJH751" s="574"/>
      <c r="HJI751" s="574"/>
      <c r="HJJ751" s="574"/>
      <c r="HJK751" s="574"/>
      <c r="HJL751" s="574"/>
      <c r="HJM751" s="574"/>
      <c r="HJN751" s="574"/>
      <c r="HJO751" s="574"/>
      <c r="HJP751" s="574"/>
      <c r="HJQ751" s="574"/>
      <c r="HJR751" s="574"/>
      <c r="HJS751" s="574"/>
      <c r="HJT751" s="574"/>
      <c r="HJU751" s="574"/>
      <c r="HJV751" s="574"/>
      <c r="HJW751" s="574"/>
      <c r="HJX751" s="574"/>
      <c r="HJY751" s="574"/>
      <c r="HJZ751" s="574"/>
      <c r="HKA751" s="574"/>
      <c r="HKB751" s="574"/>
      <c r="HKC751" s="574"/>
      <c r="HKD751" s="574"/>
      <c r="HKE751" s="574"/>
      <c r="HKF751" s="574"/>
      <c r="HKG751" s="574"/>
      <c r="HKH751" s="574"/>
      <c r="HKI751" s="574"/>
      <c r="HKJ751" s="574"/>
      <c r="HKK751" s="574"/>
      <c r="HKL751" s="574"/>
      <c r="HKM751" s="574"/>
      <c r="HKN751" s="574"/>
      <c r="HKO751" s="574"/>
      <c r="HKP751" s="574"/>
      <c r="HKQ751" s="574"/>
      <c r="HKR751" s="574"/>
      <c r="HKS751" s="574"/>
      <c r="HKT751" s="574"/>
      <c r="HKU751" s="574"/>
      <c r="HKV751" s="574"/>
      <c r="HKW751" s="574"/>
      <c r="HKX751" s="574"/>
      <c r="HKY751" s="574"/>
      <c r="HKZ751" s="574"/>
      <c r="HLA751" s="574"/>
      <c r="HLB751" s="574"/>
      <c r="HLC751" s="574"/>
      <c r="HLD751" s="574"/>
      <c r="HLE751" s="574"/>
      <c r="HLF751" s="574"/>
      <c r="HLG751" s="574"/>
      <c r="HLH751" s="574"/>
      <c r="HLI751" s="574"/>
      <c r="HLJ751" s="574"/>
      <c r="HLK751" s="574"/>
      <c r="HLL751" s="574"/>
      <c r="HLM751" s="574"/>
      <c r="HLN751" s="574"/>
      <c r="HLO751" s="574"/>
      <c r="HLP751" s="574"/>
      <c r="HLQ751" s="574"/>
      <c r="HLR751" s="574"/>
      <c r="HLS751" s="574"/>
      <c r="HLT751" s="574"/>
      <c r="HLU751" s="574"/>
      <c r="HLV751" s="574"/>
      <c r="HLW751" s="574"/>
      <c r="HLX751" s="574"/>
      <c r="HLY751" s="574"/>
      <c r="HLZ751" s="574"/>
      <c r="HMA751" s="574"/>
      <c r="HMB751" s="574"/>
      <c r="HMC751" s="574"/>
      <c r="HMD751" s="574"/>
      <c r="HME751" s="574"/>
      <c r="HMF751" s="574"/>
      <c r="HMG751" s="574"/>
      <c r="HMH751" s="574"/>
      <c r="HMI751" s="574"/>
      <c r="HMJ751" s="574"/>
      <c r="HMK751" s="574"/>
      <c r="HML751" s="574"/>
      <c r="HMM751" s="574"/>
      <c r="HMN751" s="574"/>
      <c r="HMO751" s="574"/>
      <c r="HMP751" s="574"/>
      <c r="HMQ751" s="574"/>
      <c r="HMR751" s="574"/>
      <c r="HMS751" s="574"/>
      <c r="HMT751" s="574"/>
      <c r="HMU751" s="574"/>
      <c r="HMV751" s="574"/>
      <c r="HMW751" s="574"/>
      <c r="HMX751" s="574"/>
      <c r="HMY751" s="574"/>
      <c r="HMZ751" s="574"/>
      <c r="HNA751" s="574"/>
      <c r="HNB751" s="574"/>
      <c r="HNC751" s="574"/>
      <c r="HND751" s="574"/>
      <c r="HNE751" s="574"/>
      <c r="HNF751" s="574"/>
      <c r="HNG751" s="574"/>
      <c r="HNH751" s="574"/>
      <c r="HNI751" s="574"/>
      <c r="HNJ751" s="574"/>
      <c r="HNK751" s="574"/>
      <c r="HNL751" s="574"/>
      <c r="HNM751" s="574"/>
      <c r="HNN751" s="574"/>
      <c r="HNO751" s="574"/>
      <c r="HNP751" s="574"/>
      <c r="HNQ751" s="574"/>
      <c r="HNR751" s="574"/>
      <c r="HNS751" s="574"/>
      <c r="HNT751" s="574"/>
      <c r="HNU751" s="574"/>
      <c r="HNV751" s="574"/>
      <c r="HNW751" s="574"/>
      <c r="HNX751" s="574"/>
      <c r="HNY751" s="574"/>
      <c r="HNZ751" s="574"/>
      <c r="HOA751" s="574"/>
      <c r="HOB751" s="574"/>
      <c r="HOC751" s="574"/>
      <c r="HOD751" s="574"/>
      <c r="HOE751" s="574"/>
      <c r="HOF751" s="574"/>
      <c r="HOG751" s="574"/>
      <c r="HOH751" s="574"/>
      <c r="HOI751" s="574"/>
      <c r="HOJ751" s="574"/>
      <c r="HOK751" s="574"/>
      <c r="HOL751" s="574"/>
      <c r="HOM751" s="574"/>
      <c r="HON751" s="574"/>
      <c r="HOO751" s="574"/>
      <c r="HOP751" s="574"/>
      <c r="HOQ751" s="574"/>
      <c r="HOR751" s="574"/>
      <c r="HOS751" s="574"/>
      <c r="HOT751" s="574"/>
      <c r="HOU751" s="574"/>
      <c r="HOV751" s="574"/>
      <c r="HOW751" s="574"/>
      <c r="HOX751" s="574"/>
      <c r="HOY751" s="574"/>
      <c r="HOZ751" s="574"/>
      <c r="HPA751" s="574"/>
      <c r="HPB751" s="574"/>
      <c r="HPC751" s="574"/>
      <c r="HPD751" s="574"/>
      <c r="HPE751" s="574"/>
      <c r="HPF751" s="574"/>
      <c r="HPG751" s="574"/>
      <c r="HPH751" s="574"/>
      <c r="HPI751" s="574"/>
      <c r="HPJ751" s="574"/>
      <c r="HPK751" s="574"/>
      <c r="HPL751" s="574"/>
      <c r="HPM751" s="574"/>
      <c r="HPN751" s="574"/>
      <c r="HPO751" s="574"/>
      <c r="HPP751" s="574"/>
      <c r="HPQ751" s="574"/>
      <c r="HPR751" s="574"/>
      <c r="HPS751" s="574"/>
      <c r="HPT751" s="574"/>
      <c r="HPU751" s="574"/>
      <c r="HPV751" s="574"/>
      <c r="HPW751" s="574"/>
      <c r="HPX751" s="574"/>
      <c r="HPY751" s="574"/>
      <c r="HPZ751" s="574"/>
      <c r="HQA751" s="574"/>
      <c r="HQB751" s="574"/>
      <c r="HQC751" s="574"/>
      <c r="HQD751" s="574"/>
      <c r="HQE751" s="574"/>
      <c r="HQF751" s="574"/>
      <c r="HQG751" s="574"/>
      <c r="HQH751" s="574"/>
      <c r="HQI751" s="574"/>
      <c r="HQJ751" s="574"/>
      <c r="HQK751" s="574"/>
      <c r="HQL751" s="574"/>
      <c r="HQM751" s="574"/>
      <c r="HQN751" s="574"/>
      <c r="HQO751" s="574"/>
      <c r="HQP751" s="574"/>
      <c r="HQQ751" s="574"/>
      <c r="HQR751" s="574"/>
      <c r="HQS751" s="574"/>
      <c r="HQT751" s="574"/>
      <c r="HQU751" s="574"/>
      <c r="HQV751" s="574"/>
      <c r="HQW751" s="574"/>
      <c r="HQX751" s="574"/>
      <c r="HQY751" s="574"/>
      <c r="HQZ751" s="574"/>
      <c r="HRA751" s="574"/>
      <c r="HRB751" s="574"/>
      <c r="HRC751" s="574"/>
      <c r="HRD751" s="574"/>
      <c r="HRE751" s="574"/>
      <c r="HRF751" s="574"/>
      <c r="HRG751" s="574"/>
      <c r="HRH751" s="574"/>
      <c r="HRI751" s="574"/>
      <c r="HRJ751" s="574"/>
      <c r="HRK751" s="574"/>
      <c r="HRL751" s="574"/>
      <c r="HRM751" s="574"/>
      <c r="HRN751" s="574"/>
      <c r="HRO751" s="574"/>
      <c r="HRP751" s="574"/>
      <c r="HRQ751" s="574"/>
      <c r="HRR751" s="574"/>
      <c r="HRS751" s="574"/>
      <c r="HRT751" s="574"/>
      <c r="HRU751" s="574"/>
      <c r="HRV751" s="574"/>
      <c r="HRW751" s="574"/>
      <c r="HRX751" s="574"/>
      <c r="HRY751" s="574"/>
      <c r="HRZ751" s="574"/>
      <c r="HSA751" s="574"/>
      <c r="HSB751" s="574"/>
      <c r="HSC751" s="574"/>
      <c r="HSD751" s="574"/>
      <c r="HSE751" s="574"/>
      <c r="HSF751" s="574"/>
      <c r="HSG751" s="574"/>
      <c r="HSH751" s="574"/>
      <c r="HSI751" s="574"/>
      <c r="HSJ751" s="574"/>
      <c r="HSK751" s="574"/>
      <c r="HSL751" s="574"/>
      <c r="HSM751" s="574"/>
      <c r="HSN751" s="574"/>
      <c r="HSO751" s="574"/>
      <c r="HSP751" s="574"/>
      <c r="HSQ751" s="574"/>
      <c r="HSR751" s="574"/>
      <c r="HSS751" s="574"/>
      <c r="HST751" s="574"/>
      <c r="HSU751" s="574"/>
      <c r="HSV751" s="574"/>
      <c r="HSW751" s="574"/>
      <c r="HSX751" s="574"/>
      <c r="HSY751" s="574"/>
      <c r="HSZ751" s="574"/>
      <c r="HTA751" s="574"/>
      <c r="HTB751" s="574"/>
      <c r="HTC751" s="574"/>
      <c r="HTD751" s="574"/>
      <c r="HTE751" s="574"/>
      <c r="HTF751" s="574"/>
      <c r="HTG751" s="574"/>
      <c r="HTH751" s="574"/>
      <c r="HTI751" s="574"/>
      <c r="HTJ751" s="574"/>
      <c r="HTK751" s="574"/>
      <c r="HTL751" s="574"/>
      <c r="HTM751" s="574"/>
      <c r="HTN751" s="574"/>
      <c r="HTO751" s="574"/>
      <c r="HTP751" s="574"/>
      <c r="HTQ751" s="574"/>
      <c r="HTR751" s="574"/>
      <c r="HTS751" s="574"/>
      <c r="HTT751" s="574"/>
      <c r="HTU751" s="574"/>
      <c r="HTV751" s="574"/>
      <c r="HTW751" s="574"/>
      <c r="HTX751" s="574"/>
      <c r="HTY751" s="574"/>
      <c r="HTZ751" s="574"/>
      <c r="HUA751" s="574"/>
      <c r="HUB751" s="574"/>
      <c r="HUC751" s="574"/>
      <c r="HUD751" s="574"/>
      <c r="HUE751" s="574"/>
      <c r="HUF751" s="574"/>
      <c r="HUG751" s="574"/>
      <c r="HUH751" s="574"/>
      <c r="HUI751" s="574"/>
      <c r="HUJ751" s="574"/>
      <c r="HUK751" s="574"/>
      <c r="HUL751" s="574"/>
      <c r="HUM751" s="574"/>
      <c r="HUN751" s="574"/>
      <c r="HUO751" s="574"/>
      <c r="HUP751" s="574"/>
      <c r="HUQ751" s="574"/>
      <c r="HUR751" s="574"/>
      <c r="HUS751" s="574"/>
      <c r="HUT751" s="574"/>
      <c r="HUU751" s="574"/>
      <c r="HUV751" s="574"/>
      <c r="HUW751" s="574"/>
      <c r="HUX751" s="574"/>
      <c r="HUY751" s="574"/>
      <c r="HUZ751" s="574"/>
      <c r="HVA751" s="574"/>
      <c r="HVB751" s="574"/>
      <c r="HVC751" s="574"/>
      <c r="HVD751" s="574"/>
      <c r="HVE751" s="574"/>
      <c r="HVF751" s="574"/>
      <c r="HVG751" s="574"/>
      <c r="HVH751" s="574"/>
      <c r="HVI751" s="574"/>
      <c r="HVJ751" s="574"/>
      <c r="HVK751" s="574"/>
      <c r="HVL751" s="574"/>
      <c r="HVM751" s="574"/>
      <c r="HVN751" s="574"/>
      <c r="HVO751" s="574"/>
      <c r="HVP751" s="574"/>
      <c r="HVQ751" s="574"/>
      <c r="HVR751" s="574"/>
      <c r="HVS751" s="574"/>
      <c r="HVT751" s="574"/>
      <c r="HVU751" s="574"/>
      <c r="HVV751" s="574"/>
      <c r="HVW751" s="574"/>
      <c r="HVX751" s="574"/>
      <c r="HVY751" s="574"/>
      <c r="HVZ751" s="574"/>
      <c r="HWA751" s="574"/>
      <c r="HWB751" s="574"/>
      <c r="HWC751" s="574"/>
      <c r="HWD751" s="574"/>
      <c r="HWE751" s="574"/>
      <c r="HWF751" s="574"/>
      <c r="HWG751" s="574"/>
      <c r="HWH751" s="574"/>
      <c r="HWI751" s="574"/>
      <c r="HWJ751" s="574"/>
      <c r="HWK751" s="574"/>
      <c r="HWL751" s="574"/>
      <c r="HWM751" s="574"/>
      <c r="HWN751" s="574"/>
      <c r="HWO751" s="574"/>
      <c r="HWP751" s="574"/>
      <c r="HWQ751" s="574"/>
      <c r="HWR751" s="574"/>
      <c r="HWS751" s="574"/>
      <c r="HWT751" s="574"/>
      <c r="HWU751" s="574"/>
      <c r="HWV751" s="574"/>
      <c r="HWW751" s="574"/>
      <c r="HWX751" s="574"/>
      <c r="HWY751" s="574"/>
      <c r="HWZ751" s="574"/>
      <c r="HXA751" s="574"/>
      <c r="HXB751" s="574"/>
      <c r="HXC751" s="574"/>
      <c r="HXD751" s="574"/>
      <c r="HXE751" s="574"/>
      <c r="HXF751" s="574"/>
      <c r="HXG751" s="574"/>
      <c r="HXH751" s="574"/>
      <c r="HXI751" s="574"/>
      <c r="HXJ751" s="574"/>
      <c r="HXK751" s="574"/>
      <c r="HXL751" s="574"/>
      <c r="HXM751" s="574"/>
      <c r="HXN751" s="574"/>
      <c r="HXO751" s="574"/>
      <c r="HXP751" s="574"/>
      <c r="HXQ751" s="574"/>
      <c r="HXR751" s="574"/>
      <c r="HXS751" s="574"/>
      <c r="HXT751" s="574"/>
      <c r="HXU751" s="574"/>
      <c r="HXV751" s="574"/>
      <c r="HXW751" s="574"/>
      <c r="HXX751" s="574"/>
      <c r="HXY751" s="574"/>
      <c r="HXZ751" s="574"/>
      <c r="HYA751" s="574"/>
      <c r="HYB751" s="574"/>
      <c r="HYC751" s="574"/>
      <c r="HYD751" s="574"/>
      <c r="HYE751" s="574"/>
      <c r="HYF751" s="574"/>
      <c r="HYG751" s="574"/>
      <c r="HYH751" s="574"/>
      <c r="HYI751" s="574"/>
      <c r="HYJ751" s="574"/>
      <c r="HYK751" s="574"/>
      <c r="HYL751" s="574"/>
      <c r="HYM751" s="574"/>
      <c r="HYN751" s="574"/>
      <c r="HYO751" s="574"/>
      <c r="HYP751" s="574"/>
      <c r="HYQ751" s="574"/>
      <c r="HYR751" s="574"/>
      <c r="HYS751" s="574"/>
      <c r="HYT751" s="574"/>
      <c r="HYU751" s="574"/>
      <c r="HYV751" s="574"/>
      <c r="HYW751" s="574"/>
      <c r="HYX751" s="574"/>
      <c r="HYY751" s="574"/>
      <c r="HYZ751" s="574"/>
      <c r="HZA751" s="574"/>
      <c r="HZB751" s="574"/>
      <c r="HZC751" s="574"/>
      <c r="HZD751" s="574"/>
      <c r="HZE751" s="574"/>
      <c r="HZF751" s="574"/>
      <c r="HZG751" s="574"/>
      <c r="HZH751" s="574"/>
      <c r="HZI751" s="574"/>
      <c r="HZJ751" s="574"/>
      <c r="HZK751" s="574"/>
      <c r="HZL751" s="574"/>
      <c r="HZM751" s="574"/>
      <c r="HZN751" s="574"/>
      <c r="HZO751" s="574"/>
      <c r="HZP751" s="574"/>
      <c r="HZQ751" s="574"/>
      <c r="HZR751" s="574"/>
      <c r="HZS751" s="574"/>
      <c r="HZT751" s="574"/>
      <c r="HZU751" s="574"/>
      <c r="HZV751" s="574"/>
      <c r="HZW751" s="574"/>
      <c r="HZX751" s="574"/>
      <c r="HZY751" s="574"/>
      <c r="HZZ751" s="574"/>
      <c r="IAA751" s="574"/>
      <c r="IAB751" s="574"/>
      <c r="IAC751" s="574"/>
      <c r="IAD751" s="574"/>
      <c r="IAE751" s="574"/>
      <c r="IAF751" s="574"/>
      <c r="IAG751" s="574"/>
      <c r="IAH751" s="574"/>
      <c r="IAI751" s="574"/>
      <c r="IAJ751" s="574"/>
      <c r="IAK751" s="574"/>
      <c r="IAL751" s="574"/>
      <c r="IAM751" s="574"/>
      <c r="IAN751" s="574"/>
      <c r="IAO751" s="574"/>
      <c r="IAP751" s="574"/>
      <c r="IAQ751" s="574"/>
      <c r="IAR751" s="574"/>
      <c r="IAS751" s="574"/>
      <c r="IAT751" s="574"/>
      <c r="IAU751" s="574"/>
      <c r="IAV751" s="574"/>
      <c r="IAW751" s="574"/>
      <c r="IAX751" s="574"/>
      <c r="IAY751" s="574"/>
      <c r="IAZ751" s="574"/>
      <c r="IBA751" s="574"/>
      <c r="IBB751" s="574"/>
      <c r="IBC751" s="574"/>
      <c r="IBD751" s="574"/>
      <c r="IBE751" s="574"/>
      <c r="IBF751" s="574"/>
      <c r="IBG751" s="574"/>
      <c r="IBH751" s="574"/>
      <c r="IBI751" s="574"/>
      <c r="IBJ751" s="574"/>
      <c r="IBK751" s="574"/>
      <c r="IBL751" s="574"/>
      <c r="IBM751" s="574"/>
      <c r="IBN751" s="574"/>
      <c r="IBO751" s="574"/>
      <c r="IBP751" s="574"/>
      <c r="IBQ751" s="574"/>
      <c r="IBR751" s="574"/>
      <c r="IBS751" s="574"/>
      <c r="IBT751" s="574"/>
      <c r="IBU751" s="574"/>
      <c r="IBV751" s="574"/>
      <c r="IBW751" s="574"/>
      <c r="IBX751" s="574"/>
      <c r="IBY751" s="574"/>
      <c r="IBZ751" s="574"/>
      <c r="ICA751" s="574"/>
      <c r="ICB751" s="574"/>
      <c r="ICC751" s="574"/>
      <c r="ICD751" s="574"/>
      <c r="ICE751" s="574"/>
      <c r="ICF751" s="574"/>
      <c r="ICG751" s="574"/>
      <c r="ICH751" s="574"/>
      <c r="ICI751" s="574"/>
      <c r="ICJ751" s="574"/>
      <c r="ICK751" s="574"/>
      <c r="ICL751" s="574"/>
      <c r="ICM751" s="574"/>
      <c r="ICN751" s="574"/>
      <c r="ICO751" s="574"/>
      <c r="ICP751" s="574"/>
      <c r="ICQ751" s="574"/>
      <c r="ICR751" s="574"/>
      <c r="ICS751" s="574"/>
      <c r="ICT751" s="574"/>
      <c r="ICU751" s="574"/>
      <c r="ICV751" s="574"/>
      <c r="ICW751" s="574"/>
      <c r="ICX751" s="574"/>
      <c r="ICY751" s="574"/>
      <c r="ICZ751" s="574"/>
      <c r="IDA751" s="574"/>
      <c r="IDB751" s="574"/>
      <c r="IDC751" s="574"/>
      <c r="IDD751" s="574"/>
      <c r="IDE751" s="574"/>
      <c r="IDF751" s="574"/>
      <c r="IDG751" s="574"/>
      <c r="IDH751" s="574"/>
      <c r="IDI751" s="574"/>
      <c r="IDJ751" s="574"/>
      <c r="IDK751" s="574"/>
      <c r="IDL751" s="574"/>
      <c r="IDM751" s="574"/>
      <c r="IDN751" s="574"/>
      <c r="IDO751" s="574"/>
      <c r="IDP751" s="574"/>
      <c r="IDQ751" s="574"/>
      <c r="IDR751" s="574"/>
      <c r="IDS751" s="574"/>
      <c r="IDT751" s="574"/>
      <c r="IDU751" s="574"/>
      <c r="IDV751" s="574"/>
      <c r="IDW751" s="574"/>
      <c r="IDX751" s="574"/>
      <c r="IDY751" s="574"/>
      <c r="IDZ751" s="574"/>
      <c r="IEA751" s="574"/>
      <c r="IEB751" s="574"/>
      <c r="IEC751" s="574"/>
      <c r="IED751" s="574"/>
      <c r="IEE751" s="574"/>
      <c r="IEF751" s="574"/>
      <c r="IEG751" s="574"/>
      <c r="IEH751" s="574"/>
      <c r="IEI751" s="574"/>
      <c r="IEJ751" s="574"/>
      <c r="IEK751" s="574"/>
      <c r="IEL751" s="574"/>
      <c r="IEM751" s="574"/>
      <c r="IEN751" s="574"/>
      <c r="IEO751" s="574"/>
      <c r="IEP751" s="574"/>
      <c r="IEQ751" s="574"/>
      <c r="IER751" s="574"/>
      <c r="IES751" s="574"/>
      <c r="IET751" s="574"/>
      <c r="IEU751" s="574"/>
      <c r="IEV751" s="574"/>
      <c r="IEW751" s="574"/>
      <c r="IEX751" s="574"/>
      <c r="IEY751" s="574"/>
      <c r="IEZ751" s="574"/>
      <c r="IFA751" s="574"/>
      <c r="IFB751" s="574"/>
      <c r="IFC751" s="574"/>
      <c r="IFD751" s="574"/>
      <c r="IFE751" s="574"/>
      <c r="IFF751" s="574"/>
      <c r="IFG751" s="574"/>
      <c r="IFH751" s="574"/>
      <c r="IFI751" s="574"/>
      <c r="IFJ751" s="574"/>
      <c r="IFK751" s="574"/>
      <c r="IFL751" s="574"/>
      <c r="IFM751" s="574"/>
      <c r="IFN751" s="574"/>
      <c r="IFO751" s="574"/>
      <c r="IFP751" s="574"/>
      <c r="IFQ751" s="574"/>
      <c r="IFR751" s="574"/>
      <c r="IFS751" s="574"/>
      <c r="IFT751" s="574"/>
      <c r="IFU751" s="574"/>
      <c r="IFV751" s="574"/>
      <c r="IFW751" s="574"/>
      <c r="IFX751" s="574"/>
      <c r="IFY751" s="574"/>
      <c r="IFZ751" s="574"/>
      <c r="IGA751" s="574"/>
      <c r="IGB751" s="574"/>
      <c r="IGC751" s="574"/>
      <c r="IGD751" s="574"/>
      <c r="IGE751" s="574"/>
      <c r="IGF751" s="574"/>
      <c r="IGG751" s="574"/>
      <c r="IGH751" s="574"/>
      <c r="IGI751" s="574"/>
      <c r="IGJ751" s="574"/>
      <c r="IGK751" s="574"/>
      <c r="IGL751" s="574"/>
      <c r="IGM751" s="574"/>
      <c r="IGN751" s="574"/>
      <c r="IGO751" s="574"/>
      <c r="IGP751" s="574"/>
      <c r="IGQ751" s="574"/>
      <c r="IGR751" s="574"/>
      <c r="IGS751" s="574"/>
      <c r="IGT751" s="574"/>
      <c r="IGU751" s="574"/>
      <c r="IGV751" s="574"/>
      <c r="IGW751" s="574"/>
      <c r="IGX751" s="574"/>
      <c r="IGY751" s="574"/>
      <c r="IGZ751" s="574"/>
      <c r="IHA751" s="574"/>
      <c r="IHB751" s="574"/>
      <c r="IHC751" s="574"/>
      <c r="IHD751" s="574"/>
      <c r="IHE751" s="574"/>
      <c r="IHF751" s="574"/>
      <c r="IHG751" s="574"/>
      <c r="IHH751" s="574"/>
      <c r="IHI751" s="574"/>
      <c r="IHJ751" s="574"/>
      <c r="IHK751" s="574"/>
      <c r="IHL751" s="574"/>
      <c r="IHM751" s="574"/>
      <c r="IHN751" s="574"/>
      <c r="IHO751" s="574"/>
      <c r="IHP751" s="574"/>
      <c r="IHQ751" s="574"/>
      <c r="IHR751" s="574"/>
      <c r="IHS751" s="574"/>
      <c r="IHT751" s="574"/>
      <c r="IHU751" s="574"/>
      <c r="IHV751" s="574"/>
      <c r="IHW751" s="574"/>
      <c r="IHX751" s="574"/>
      <c r="IHY751" s="574"/>
      <c r="IHZ751" s="574"/>
      <c r="IIA751" s="574"/>
      <c r="IIB751" s="574"/>
      <c r="IIC751" s="574"/>
      <c r="IID751" s="574"/>
      <c r="IIE751" s="574"/>
      <c r="IIF751" s="574"/>
      <c r="IIG751" s="574"/>
      <c r="IIH751" s="574"/>
      <c r="III751" s="574"/>
      <c r="IIJ751" s="574"/>
      <c r="IIK751" s="574"/>
      <c r="IIL751" s="574"/>
      <c r="IIM751" s="574"/>
      <c r="IIN751" s="574"/>
      <c r="IIO751" s="574"/>
      <c r="IIP751" s="574"/>
      <c r="IIQ751" s="574"/>
      <c r="IIR751" s="574"/>
      <c r="IIS751" s="574"/>
      <c r="IIT751" s="574"/>
      <c r="IIU751" s="574"/>
      <c r="IIV751" s="574"/>
      <c r="IIW751" s="574"/>
      <c r="IIX751" s="574"/>
      <c r="IIY751" s="574"/>
      <c r="IIZ751" s="574"/>
      <c r="IJA751" s="574"/>
      <c r="IJB751" s="574"/>
      <c r="IJC751" s="574"/>
      <c r="IJD751" s="574"/>
      <c r="IJE751" s="574"/>
      <c r="IJF751" s="574"/>
      <c r="IJG751" s="574"/>
      <c r="IJH751" s="574"/>
      <c r="IJI751" s="574"/>
      <c r="IJJ751" s="574"/>
      <c r="IJK751" s="574"/>
      <c r="IJL751" s="574"/>
      <c r="IJM751" s="574"/>
      <c r="IJN751" s="574"/>
      <c r="IJO751" s="574"/>
      <c r="IJP751" s="574"/>
      <c r="IJQ751" s="574"/>
      <c r="IJR751" s="574"/>
      <c r="IJS751" s="574"/>
      <c r="IJT751" s="574"/>
      <c r="IJU751" s="574"/>
      <c r="IJV751" s="574"/>
      <c r="IJW751" s="574"/>
      <c r="IJX751" s="574"/>
      <c r="IJY751" s="574"/>
      <c r="IJZ751" s="574"/>
      <c r="IKA751" s="574"/>
      <c r="IKB751" s="574"/>
      <c r="IKC751" s="574"/>
      <c r="IKD751" s="574"/>
      <c r="IKE751" s="574"/>
      <c r="IKF751" s="574"/>
      <c r="IKG751" s="574"/>
      <c r="IKH751" s="574"/>
      <c r="IKI751" s="574"/>
      <c r="IKJ751" s="574"/>
      <c r="IKK751" s="574"/>
      <c r="IKL751" s="574"/>
      <c r="IKM751" s="574"/>
      <c r="IKN751" s="574"/>
      <c r="IKO751" s="574"/>
      <c r="IKP751" s="574"/>
      <c r="IKQ751" s="574"/>
      <c r="IKR751" s="574"/>
      <c r="IKS751" s="574"/>
      <c r="IKT751" s="574"/>
      <c r="IKU751" s="574"/>
      <c r="IKV751" s="574"/>
      <c r="IKW751" s="574"/>
      <c r="IKX751" s="574"/>
      <c r="IKY751" s="574"/>
      <c r="IKZ751" s="574"/>
      <c r="ILA751" s="574"/>
      <c r="ILB751" s="574"/>
      <c r="ILC751" s="574"/>
      <c r="ILD751" s="574"/>
      <c r="ILE751" s="574"/>
      <c r="ILF751" s="574"/>
      <c r="ILG751" s="574"/>
      <c r="ILH751" s="574"/>
      <c r="ILI751" s="574"/>
      <c r="ILJ751" s="574"/>
      <c r="ILK751" s="574"/>
      <c r="ILL751" s="574"/>
      <c r="ILM751" s="574"/>
      <c r="ILN751" s="574"/>
      <c r="ILO751" s="574"/>
      <c r="ILP751" s="574"/>
      <c r="ILQ751" s="574"/>
      <c r="ILR751" s="574"/>
      <c r="ILS751" s="574"/>
      <c r="ILT751" s="574"/>
      <c r="ILU751" s="574"/>
      <c r="ILV751" s="574"/>
      <c r="ILW751" s="574"/>
      <c r="ILX751" s="574"/>
      <c r="ILY751" s="574"/>
      <c r="ILZ751" s="574"/>
      <c r="IMA751" s="574"/>
      <c r="IMB751" s="574"/>
      <c r="IMC751" s="574"/>
      <c r="IMD751" s="574"/>
      <c r="IME751" s="574"/>
      <c r="IMF751" s="574"/>
      <c r="IMG751" s="574"/>
      <c r="IMH751" s="574"/>
      <c r="IMI751" s="574"/>
      <c r="IMJ751" s="574"/>
      <c r="IMK751" s="574"/>
      <c r="IML751" s="574"/>
      <c r="IMM751" s="574"/>
      <c r="IMN751" s="574"/>
      <c r="IMO751" s="574"/>
      <c r="IMP751" s="574"/>
      <c r="IMQ751" s="574"/>
      <c r="IMR751" s="574"/>
      <c r="IMS751" s="574"/>
      <c r="IMT751" s="574"/>
      <c r="IMU751" s="574"/>
      <c r="IMV751" s="574"/>
      <c r="IMW751" s="574"/>
      <c r="IMX751" s="574"/>
      <c r="IMY751" s="574"/>
      <c r="IMZ751" s="574"/>
      <c r="INA751" s="574"/>
      <c r="INB751" s="574"/>
      <c r="INC751" s="574"/>
      <c r="IND751" s="574"/>
      <c r="INE751" s="574"/>
      <c r="INF751" s="574"/>
      <c r="ING751" s="574"/>
      <c r="INH751" s="574"/>
      <c r="INI751" s="574"/>
      <c r="INJ751" s="574"/>
      <c r="INK751" s="574"/>
      <c r="INL751" s="574"/>
      <c r="INM751" s="574"/>
      <c r="INN751" s="574"/>
      <c r="INO751" s="574"/>
      <c r="INP751" s="574"/>
      <c r="INQ751" s="574"/>
      <c r="INR751" s="574"/>
      <c r="INS751" s="574"/>
      <c r="INT751" s="574"/>
      <c r="INU751" s="574"/>
      <c r="INV751" s="574"/>
      <c r="INW751" s="574"/>
      <c r="INX751" s="574"/>
      <c r="INY751" s="574"/>
      <c r="INZ751" s="574"/>
      <c r="IOA751" s="574"/>
      <c r="IOB751" s="574"/>
      <c r="IOC751" s="574"/>
      <c r="IOD751" s="574"/>
      <c r="IOE751" s="574"/>
      <c r="IOF751" s="574"/>
      <c r="IOG751" s="574"/>
      <c r="IOH751" s="574"/>
      <c r="IOI751" s="574"/>
      <c r="IOJ751" s="574"/>
      <c r="IOK751" s="574"/>
      <c r="IOL751" s="574"/>
      <c r="IOM751" s="574"/>
      <c r="ION751" s="574"/>
      <c r="IOO751" s="574"/>
      <c r="IOP751" s="574"/>
      <c r="IOQ751" s="574"/>
      <c r="IOR751" s="574"/>
      <c r="IOS751" s="574"/>
      <c r="IOT751" s="574"/>
      <c r="IOU751" s="574"/>
      <c r="IOV751" s="574"/>
      <c r="IOW751" s="574"/>
      <c r="IOX751" s="574"/>
      <c r="IOY751" s="574"/>
      <c r="IOZ751" s="574"/>
      <c r="IPA751" s="574"/>
      <c r="IPB751" s="574"/>
      <c r="IPC751" s="574"/>
      <c r="IPD751" s="574"/>
      <c r="IPE751" s="574"/>
      <c r="IPF751" s="574"/>
      <c r="IPG751" s="574"/>
      <c r="IPH751" s="574"/>
      <c r="IPI751" s="574"/>
      <c r="IPJ751" s="574"/>
      <c r="IPK751" s="574"/>
      <c r="IPL751" s="574"/>
      <c r="IPM751" s="574"/>
      <c r="IPN751" s="574"/>
      <c r="IPO751" s="574"/>
      <c r="IPP751" s="574"/>
      <c r="IPQ751" s="574"/>
      <c r="IPR751" s="574"/>
      <c r="IPS751" s="574"/>
      <c r="IPT751" s="574"/>
      <c r="IPU751" s="574"/>
      <c r="IPV751" s="574"/>
      <c r="IPW751" s="574"/>
      <c r="IPX751" s="574"/>
      <c r="IPY751" s="574"/>
      <c r="IPZ751" s="574"/>
      <c r="IQA751" s="574"/>
      <c r="IQB751" s="574"/>
      <c r="IQC751" s="574"/>
      <c r="IQD751" s="574"/>
      <c r="IQE751" s="574"/>
      <c r="IQF751" s="574"/>
      <c r="IQG751" s="574"/>
      <c r="IQH751" s="574"/>
      <c r="IQI751" s="574"/>
      <c r="IQJ751" s="574"/>
      <c r="IQK751" s="574"/>
      <c r="IQL751" s="574"/>
      <c r="IQM751" s="574"/>
      <c r="IQN751" s="574"/>
      <c r="IQO751" s="574"/>
      <c r="IQP751" s="574"/>
      <c r="IQQ751" s="574"/>
      <c r="IQR751" s="574"/>
      <c r="IQS751" s="574"/>
      <c r="IQT751" s="574"/>
      <c r="IQU751" s="574"/>
      <c r="IQV751" s="574"/>
      <c r="IQW751" s="574"/>
      <c r="IQX751" s="574"/>
      <c r="IQY751" s="574"/>
      <c r="IQZ751" s="574"/>
      <c r="IRA751" s="574"/>
      <c r="IRB751" s="574"/>
      <c r="IRC751" s="574"/>
      <c r="IRD751" s="574"/>
      <c r="IRE751" s="574"/>
      <c r="IRF751" s="574"/>
      <c r="IRG751" s="574"/>
      <c r="IRH751" s="574"/>
      <c r="IRI751" s="574"/>
      <c r="IRJ751" s="574"/>
      <c r="IRK751" s="574"/>
      <c r="IRL751" s="574"/>
      <c r="IRM751" s="574"/>
      <c r="IRN751" s="574"/>
      <c r="IRO751" s="574"/>
      <c r="IRP751" s="574"/>
      <c r="IRQ751" s="574"/>
      <c r="IRR751" s="574"/>
      <c r="IRS751" s="574"/>
      <c r="IRT751" s="574"/>
      <c r="IRU751" s="574"/>
      <c r="IRV751" s="574"/>
      <c r="IRW751" s="574"/>
      <c r="IRX751" s="574"/>
      <c r="IRY751" s="574"/>
      <c r="IRZ751" s="574"/>
      <c r="ISA751" s="574"/>
      <c r="ISB751" s="574"/>
      <c r="ISC751" s="574"/>
      <c r="ISD751" s="574"/>
      <c r="ISE751" s="574"/>
      <c r="ISF751" s="574"/>
      <c r="ISG751" s="574"/>
      <c r="ISH751" s="574"/>
      <c r="ISI751" s="574"/>
      <c r="ISJ751" s="574"/>
      <c r="ISK751" s="574"/>
      <c r="ISL751" s="574"/>
      <c r="ISM751" s="574"/>
      <c r="ISN751" s="574"/>
      <c r="ISO751" s="574"/>
      <c r="ISP751" s="574"/>
      <c r="ISQ751" s="574"/>
      <c r="ISR751" s="574"/>
      <c r="ISS751" s="574"/>
      <c r="IST751" s="574"/>
      <c r="ISU751" s="574"/>
      <c r="ISV751" s="574"/>
      <c r="ISW751" s="574"/>
      <c r="ISX751" s="574"/>
      <c r="ISY751" s="574"/>
      <c r="ISZ751" s="574"/>
      <c r="ITA751" s="574"/>
      <c r="ITB751" s="574"/>
      <c r="ITC751" s="574"/>
      <c r="ITD751" s="574"/>
      <c r="ITE751" s="574"/>
      <c r="ITF751" s="574"/>
      <c r="ITG751" s="574"/>
      <c r="ITH751" s="574"/>
      <c r="ITI751" s="574"/>
      <c r="ITJ751" s="574"/>
      <c r="ITK751" s="574"/>
      <c r="ITL751" s="574"/>
      <c r="ITM751" s="574"/>
      <c r="ITN751" s="574"/>
      <c r="ITO751" s="574"/>
      <c r="ITP751" s="574"/>
      <c r="ITQ751" s="574"/>
      <c r="ITR751" s="574"/>
      <c r="ITS751" s="574"/>
      <c r="ITT751" s="574"/>
      <c r="ITU751" s="574"/>
      <c r="ITV751" s="574"/>
      <c r="ITW751" s="574"/>
      <c r="ITX751" s="574"/>
      <c r="ITY751" s="574"/>
      <c r="ITZ751" s="574"/>
      <c r="IUA751" s="574"/>
      <c r="IUB751" s="574"/>
      <c r="IUC751" s="574"/>
      <c r="IUD751" s="574"/>
      <c r="IUE751" s="574"/>
      <c r="IUF751" s="574"/>
      <c r="IUG751" s="574"/>
      <c r="IUH751" s="574"/>
      <c r="IUI751" s="574"/>
      <c r="IUJ751" s="574"/>
      <c r="IUK751" s="574"/>
      <c r="IUL751" s="574"/>
      <c r="IUM751" s="574"/>
      <c r="IUN751" s="574"/>
      <c r="IUO751" s="574"/>
      <c r="IUP751" s="574"/>
      <c r="IUQ751" s="574"/>
      <c r="IUR751" s="574"/>
      <c r="IUS751" s="574"/>
      <c r="IUT751" s="574"/>
      <c r="IUU751" s="574"/>
      <c r="IUV751" s="574"/>
      <c r="IUW751" s="574"/>
      <c r="IUX751" s="574"/>
      <c r="IUY751" s="574"/>
      <c r="IUZ751" s="574"/>
      <c r="IVA751" s="574"/>
      <c r="IVB751" s="574"/>
      <c r="IVC751" s="574"/>
      <c r="IVD751" s="574"/>
      <c r="IVE751" s="574"/>
      <c r="IVF751" s="574"/>
      <c r="IVG751" s="574"/>
      <c r="IVH751" s="574"/>
      <c r="IVI751" s="574"/>
      <c r="IVJ751" s="574"/>
      <c r="IVK751" s="574"/>
      <c r="IVL751" s="574"/>
      <c r="IVM751" s="574"/>
      <c r="IVN751" s="574"/>
      <c r="IVO751" s="574"/>
      <c r="IVP751" s="574"/>
      <c r="IVQ751" s="574"/>
      <c r="IVR751" s="574"/>
      <c r="IVS751" s="574"/>
      <c r="IVT751" s="574"/>
      <c r="IVU751" s="574"/>
      <c r="IVV751" s="574"/>
      <c r="IVW751" s="574"/>
      <c r="IVX751" s="574"/>
      <c r="IVY751" s="574"/>
      <c r="IVZ751" s="574"/>
      <c r="IWA751" s="574"/>
      <c r="IWB751" s="574"/>
      <c r="IWC751" s="574"/>
      <c r="IWD751" s="574"/>
      <c r="IWE751" s="574"/>
      <c r="IWF751" s="574"/>
      <c r="IWG751" s="574"/>
      <c r="IWH751" s="574"/>
      <c r="IWI751" s="574"/>
      <c r="IWJ751" s="574"/>
      <c r="IWK751" s="574"/>
      <c r="IWL751" s="574"/>
      <c r="IWM751" s="574"/>
      <c r="IWN751" s="574"/>
      <c r="IWO751" s="574"/>
      <c r="IWP751" s="574"/>
      <c r="IWQ751" s="574"/>
      <c r="IWR751" s="574"/>
      <c r="IWS751" s="574"/>
      <c r="IWT751" s="574"/>
      <c r="IWU751" s="574"/>
      <c r="IWV751" s="574"/>
      <c r="IWW751" s="574"/>
      <c r="IWX751" s="574"/>
      <c r="IWY751" s="574"/>
      <c r="IWZ751" s="574"/>
      <c r="IXA751" s="574"/>
      <c r="IXB751" s="574"/>
      <c r="IXC751" s="574"/>
      <c r="IXD751" s="574"/>
      <c r="IXE751" s="574"/>
      <c r="IXF751" s="574"/>
      <c r="IXG751" s="574"/>
      <c r="IXH751" s="574"/>
      <c r="IXI751" s="574"/>
      <c r="IXJ751" s="574"/>
      <c r="IXK751" s="574"/>
      <c r="IXL751" s="574"/>
      <c r="IXM751" s="574"/>
      <c r="IXN751" s="574"/>
      <c r="IXO751" s="574"/>
      <c r="IXP751" s="574"/>
      <c r="IXQ751" s="574"/>
      <c r="IXR751" s="574"/>
      <c r="IXS751" s="574"/>
      <c r="IXT751" s="574"/>
      <c r="IXU751" s="574"/>
      <c r="IXV751" s="574"/>
      <c r="IXW751" s="574"/>
      <c r="IXX751" s="574"/>
      <c r="IXY751" s="574"/>
      <c r="IXZ751" s="574"/>
      <c r="IYA751" s="574"/>
      <c r="IYB751" s="574"/>
      <c r="IYC751" s="574"/>
      <c r="IYD751" s="574"/>
      <c r="IYE751" s="574"/>
      <c r="IYF751" s="574"/>
      <c r="IYG751" s="574"/>
      <c r="IYH751" s="574"/>
      <c r="IYI751" s="574"/>
      <c r="IYJ751" s="574"/>
      <c r="IYK751" s="574"/>
      <c r="IYL751" s="574"/>
      <c r="IYM751" s="574"/>
      <c r="IYN751" s="574"/>
      <c r="IYO751" s="574"/>
      <c r="IYP751" s="574"/>
      <c r="IYQ751" s="574"/>
      <c r="IYR751" s="574"/>
      <c r="IYS751" s="574"/>
      <c r="IYT751" s="574"/>
      <c r="IYU751" s="574"/>
      <c r="IYV751" s="574"/>
      <c r="IYW751" s="574"/>
      <c r="IYX751" s="574"/>
      <c r="IYY751" s="574"/>
      <c r="IYZ751" s="574"/>
      <c r="IZA751" s="574"/>
      <c r="IZB751" s="574"/>
      <c r="IZC751" s="574"/>
      <c r="IZD751" s="574"/>
      <c r="IZE751" s="574"/>
      <c r="IZF751" s="574"/>
      <c r="IZG751" s="574"/>
      <c r="IZH751" s="574"/>
      <c r="IZI751" s="574"/>
      <c r="IZJ751" s="574"/>
      <c r="IZK751" s="574"/>
      <c r="IZL751" s="574"/>
      <c r="IZM751" s="574"/>
      <c r="IZN751" s="574"/>
      <c r="IZO751" s="574"/>
      <c r="IZP751" s="574"/>
      <c r="IZQ751" s="574"/>
      <c r="IZR751" s="574"/>
      <c r="IZS751" s="574"/>
      <c r="IZT751" s="574"/>
      <c r="IZU751" s="574"/>
      <c r="IZV751" s="574"/>
      <c r="IZW751" s="574"/>
      <c r="IZX751" s="574"/>
      <c r="IZY751" s="574"/>
      <c r="IZZ751" s="574"/>
      <c r="JAA751" s="574"/>
      <c r="JAB751" s="574"/>
      <c r="JAC751" s="574"/>
      <c r="JAD751" s="574"/>
      <c r="JAE751" s="574"/>
      <c r="JAF751" s="574"/>
      <c r="JAG751" s="574"/>
      <c r="JAH751" s="574"/>
      <c r="JAI751" s="574"/>
      <c r="JAJ751" s="574"/>
      <c r="JAK751" s="574"/>
      <c r="JAL751" s="574"/>
      <c r="JAM751" s="574"/>
      <c r="JAN751" s="574"/>
      <c r="JAO751" s="574"/>
      <c r="JAP751" s="574"/>
      <c r="JAQ751" s="574"/>
      <c r="JAR751" s="574"/>
      <c r="JAS751" s="574"/>
      <c r="JAT751" s="574"/>
      <c r="JAU751" s="574"/>
      <c r="JAV751" s="574"/>
      <c r="JAW751" s="574"/>
      <c r="JAX751" s="574"/>
      <c r="JAY751" s="574"/>
      <c r="JAZ751" s="574"/>
      <c r="JBA751" s="574"/>
      <c r="JBB751" s="574"/>
      <c r="JBC751" s="574"/>
      <c r="JBD751" s="574"/>
      <c r="JBE751" s="574"/>
      <c r="JBF751" s="574"/>
      <c r="JBG751" s="574"/>
      <c r="JBH751" s="574"/>
      <c r="JBI751" s="574"/>
      <c r="JBJ751" s="574"/>
      <c r="JBK751" s="574"/>
      <c r="JBL751" s="574"/>
      <c r="JBM751" s="574"/>
      <c r="JBN751" s="574"/>
      <c r="JBO751" s="574"/>
      <c r="JBP751" s="574"/>
      <c r="JBQ751" s="574"/>
      <c r="JBR751" s="574"/>
      <c r="JBS751" s="574"/>
      <c r="JBT751" s="574"/>
      <c r="JBU751" s="574"/>
      <c r="JBV751" s="574"/>
      <c r="JBW751" s="574"/>
      <c r="JBX751" s="574"/>
      <c r="JBY751" s="574"/>
      <c r="JBZ751" s="574"/>
      <c r="JCA751" s="574"/>
      <c r="JCB751" s="574"/>
      <c r="JCC751" s="574"/>
      <c r="JCD751" s="574"/>
      <c r="JCE751" s="574"/>
      <c r="JCF751" s="574"/>
      <c r="JCG751" s="574"/>
      <c r="JCH751" s="574"/>
      <c r="JCI751" s="574"/>
      <c r="JCJ751" s="574"/>
      <c r="JCK751" s="574"/>
      <c r="JCL751" s="574"/>
      <c r="JCM751" s="574"/>
      <c r="JCN751" s="574"/>
      <c r="JCO751" s="574"/>
      <c r="JCP751" s="574"/>
      <c r="JCQ751" s="574"/>
      <c r="JCR751" s="574"/>
      <c r="JCS751" s="574"/>
      <c r="JCT751" s="574"/>
      <c r="JCU751" s="574"/>
      <c r="JCV751" s="574"/>
      <c r="JCW751" s="574"/>
      <c r="JCX751" s="574"/>
      <c r="JCY751" s="574"/>
      <c r="JCZ751" s="574"/>
      <c r="JDA751" s="574"/>
      <c r="JDB751" s="574"/>
      <c r="JDC751" s="574"/>
      <c r="JDD751" s="574"/>
      <c r="JDE751" s="574"/>
      <c r="JDF751" s="574"/>
      <c r="JDG751" s="574"/>
      <c r="JDH751" s="574"/>
      <c r="JDI751" s="574"/>
      <c r="JDJ751" s="574"/>
      <c r="JDK751" s="574"/>
      <c r="JDL751" s="574"/>
      <c r="JDM751" s="574"/>
      <c r="JDN751" s="574"/>
      <c r="JDO751" s="574"/>
      <c r="JDP751" s="574"/>
      <c r="JDQ751" s="574"/>
      <c r="JDR751" s="574"/>
      <c r="JDS751" s="574"/>
      <c r="JDT751" s="574"/>
      <c r="JDU751" s="574"/>
      <c r="JDV751" s="574"/>
      <c r="JDW751" s="574"/>
      <c r="JDX751" s="574"/>
      <c r="JDY751" s="574"/>
      <c r="JDZ751" s="574"/>
      <c r="JEA751" s="574"/>
      <c r="JEB751" s="574"/>
      <c r="JEC751" s="574"/>
      <c r="JED751" s="574"/>
      <c r="JEE751" s="574"/>
      <c r="JEF751" s="574"/>
      <c r="JEG751" s="574"/>
      <c r="JEH751" s="574"/>
      <c r="JEI751" s="574"/>
      <c r="JEJ751" s="574"/>
      <c r="JEK751" s="574"/>
      <c r="JEL751" s="574"/>
      <c r="JEM751" s="574"/>
      <c r="JEN751" s="574"/>
      <c r="JEO751" s="574"/>
      <c r="JEP751" s="574"/>
      <c r="JEQ751" s="574"/>
      <c r="JER751" s="574"/>
      <c r="JES751" s="574"/>
      <c r="JET751" s="574"/>
      <c r="JEU751" s="574"/>
      <c r="JEV751" s="574"/>
      <c r="JEW751" s="574"/>
      <c r="JEX751" s="574"/>
      <c r="JEY751" s="574"/>
      <c r="JEZ751" s="574"/>
      <c r="JFA751" s="574"/>
      <c r="JFB751" s="574"/>
      <c r="JFC751" s="574"/>
      <c r="JFD751" s="574"/>
      <c r="JFE751" s="574"/>
      <c r="JFF751" s="574"/>
      <c r="JFG751" s="574"/>
      <c r="JFH751" s="574"/>
      <c r="JFI751" s="574"/>
      <c r="JFJ751" s="574"/>
      <c r="JFK751" s="574"/>
      <c r="JFL751" s="574"/>
      <c r="JFM751" s="574"/>
      <c r="JFN751" s="574"/>
      <c r="JFO751" s="574"/>
      <c r="JFP751" s="574"/>
      <c r="JFQ751" s="574"/>
      <c r="JFR751" s="574"/>
      <c r="JFS751" s="574"/>
      <c r="JFT751" s="574"/>
      <c r="JFU751" s="574"/>
      <c r="JFV751" s="574"/>
      <c r="JFW751" s="574"/>
      <c r="JFX751" s="574"/>
      <c r="JFY751" s="574"/>
      <c r="JFZ751" s="574"/>
      <c r="JGA751" s="574"/>
      <c r="JGB751" s="574"/>
      <c r="JGC751" s="574"/>
      <c r="JGD751" s="574"/>
      <c r="JGE751" s="574"/>
      <c r="JGF751" s="574"/>
      <c r="JGG751" s="574"/>
      <c r="JGH751" s="574"/>
      <c r="JGI751" s="574"/>
      <c r="JGJ751" s="574"/>
      <c r="JGK751" s="574"/>
      <c r="JGL751" s="574"/>
      <c r="JGM751" s="574"/>
      <c r="JGN751" s="574"/>
      <c r="JGO751" s="574"/>
      <c r="JGP751" s="574"/>
      <c r="JGQ751" s="574"/>
      <c r="JGR751" s="574"/>
      <c r="JGS751" s="574"/>
      <c r="JGT751" s="574"/>
      <c r="JGU751" s="574"/>
      <c r="JGV751" s="574"/>
      <c r="JGW751" s="574"/>
      <c r="JGX751" s="574"/>
      <c r="JGY751" s="574"/>
      <c r="JGZ751" s="574"/>
      <c r="JHA751" s="574"/>
      <c r="JHB751" s="574"/>
      <c r="JHC751" s="574"/>
      <c r="JHD751" s="574"/>
      <c r="JHE751" s="574"/>
      <c r="JHF751" s="574"/>
      <c r="JHG751" s="574"/>
      <c r="JHH751" s="574"/>
      <c r="JHI751" s="574"/>
      <c r="JHJ751" s="574"/>
      <c r="JHK751" s="574"/>
      <c r="JHL751" s="574"/>
      <c r="JHM751" s="574"/>
      <c r="JHN751" s="574"/>
      <c r="JHO751" s="574"/>
      <c r="JHP751" s="574"/>
      <c r="JHQ751" s="574"/>
      <c r="JHR751" s="574"/>
      <c r="JHS751" s="574"/>
      <c r="JHT751" s="574"/>
      <c r="JHU751" s="574"/>
      <c r="JHV751" s="574"/>
      <c r="JHW751" s="574"/>
      <c r="JHX751" s="574"/>
      <c r="JHY751" s="574"/>
      <c r="JHZ751" s="574"/>
      <c r="JIA751" s="574"/>
      <c r="JIB751" s="574"/>
      <c r="JIC751" s="574"/>
      <c r="JID751" s="574"/>
      <c r="JIE751" s="574"/>
      <c r="JIF751" s="574"/>
      <c r="JIG751" s="574"/>
      <c r="JIH751" s="574"/>
      <c r="JII751" s="574"/>
      <c r="JIJ751" s="574"/>
      <c r="JIK751" s="574"/>
      <c r="JIL751" s="574"/>
      <c r="JIM751" s="574"/>
      <c r="JIN751" s="574"/>
      <c r="JIO751" s="574"/>
      <c r="JIP751" s="574"/>
      <c r="JIQ751" s="574"/>
      <c r="JIR751" s="574"/>
      <c r="JIS751" s="574"/>
      <c r="JIT751" s="574"/>
      <c r="JIU751" s="574"/>
      <c r="JIV751" s="574"/>
      <c r="JIW751" s="574"/>
      <c r="JIX751" s="574"/>
      <c r="JIY751" s="574"/>
      <c r="JIZ751" s="574"/>
      <c r="JJA751" s="574"/>
      <c r="JJB751" s="574"/>
      <c r="JJC751" s="574"/>
      <c r="JJD751" s="574"/>
      <c r="JJE751" s="574"/>
      <c r="JJF751" s="574"/>
      <c r="JJG751" s="574"/>
      <c r="JJH751" s="574"/>
      <c r="JJI751" s="574"/>
      <c r="JJJ751" s="574"/>
      <c r="JJK751" s="574"/>
      <c r="JJL751" s="574"/>
      <c r="JJM751" s="574"/>
      <c r="JJN751" s="574"/>
      <c r="JJO751" s="574"/>
      <c r="JJP751" s="574"/>
      <c r="JJQ751" s="574"/>
      <c r="JJR751" s="574"/>
      <c r="JJS751" s="574"/>
      <c r="JJT751" s="574"/>
      <c r="JJU751" s="574"/>
      <c r="JJV751" s="574"/>
      <c r="JJW751" s="574"/>
      <c r="JJX751" s="574"/>
      <c r="JJY751" s="574"/>
      <c r="JJZ751" s="574"/>
      <c r="JKA751" s="574"/>
      <c r="JKB751" s="574"/>
      <c r="JKC751" s="574"/>
      <c r="JKD751" s="574"/>
      <c r="JKE751" s="574"/>
      <c r="JKF751" s="574"/>
      <c r="JKG751" s="574"/>
      <c r="JKH751" s="574"/>
      <c r="JKI751" s="574"/>
      <c r="JKJ751" s="574"/>
      <c r="JKK751" s="574"/>
      <c r="JKL751" s="574"/>
      <c r="JKM751" s="574"/>
      <c r="JKN751" s="574"/>
      <c r="JKO751" s="574"/>
      <c r="JKP751" s="574"/>
      <c r="JKQ751" s="574"/>
      <c r="JKR751" s="574"/>
      <c r="JKS751" s="574"/>
      <c r="JKT751" s="574"/>
      <c r="JKU751" s="574"/>
      <c r="JKV751" s="574"/>
      <c r="JKW751" s="574"/>
      <c r="JKX751" s="574"/>
      <c r="JKY751" s="574"/>
      <c r="JKZ751" s="574"/>
      <c r="JLA751" s="574"/>
      <c r="JLB751" s="574"/>
      <c r="JLC751" s="574"/>
      <c r="JLD751" s="574"/>
      <c r="JLE751" s="574"/>
      <c r="JLF751" s="574"/>
      <c r="JLG751" s="574"/>
      <c r="JLH751" s="574"/>
      <c r="JLI751" s="574"/>
      <c r="JLJ751" s="574"/>
      <c r="JLK751" s="574"/>
      <c r="JLL751" s="574"/>
      <c r="JLM751" s="574"/>
      <c r="JLN751" s="574"/>
      <c r="JLO751" s="574"/>
      <c r="JLP751" s="574"/>
      <c r="JLQ751" s="574"/>
      <c r="JLR751" s="574"/>
      <c r="JLS751" s="574"/>
      <c r="JLT751" s="574"/>
      <c r="JLU751" s="574"/>
      <c r="JLV751" s="574"/>
      <c r="JLW751" s="574"/>
      <c r="JLX751" s="574"/>
      <c r="JLY751" s="574"/>
      <c r="JLZ751" s="574"/>
      <c r="JMA751" s="574"/>
      <c r="JMB751" s="574"/>
      <c r="JMC751" s="574"/>
      <c r="JMD751" s="574"/>
      <c r="JME751" s="574"/>
      <c r="JMF751" s="574"/>
      <c r="JMG751" s="574"/>
      <c r="JMH751" s="574"/>
      <c r="JMI751" s="574"/>
      <c r="JMJ751" s="574"/>
      <c r="JMK751" s="574"/>
      <c r="JML751" s="574"/>
      <c r="JMM751" s="574"/>
      <c r="JMN751" s="574"/>
      <c r="JMO751" s="574"/>
      <c r="JMP751" s="574"/>
      <c r="JMQ751" s="574"/>
      <c r="JMR751" s="574"/>
      <c r="JMS751" s="574"/>
      <c r="JMT751" s="574"/>
      <c r="JMU751" s="574"/>
      <c r="JMV751" s="574"/>
      <c r="JMW751" s="574"/>
      <c r="JMX751" s="574"/>
      <c r="JMY751" s="574"/>
      <c r="JMZ751" s="574"/>
      <c r="JNA751" s="574"/>
      <c r="JNB751" s="574"/>
      <c r="JNC751" s="574"/>
      <c r="JND751" s="574"/>
      <c r="JNE751" s="574"/>
      <c r="JNF751" s="574"/>
      <c r="JNG751" s="574"/>
      <c r="JNH751" s="574"/>
      <c r="JNI751" s="574"/>
      <c r="JNJ751" s="574"/>
      <c r="JNK751" s="574"/>
      <c r="JNL751" s="574"/>
      <c r="JNM751" s="574"/>
      <c r="JNN751" s="574"/>
      <c r="JNO751" s="574"/>
      <c r="JNP751" s="574"/>
      <c r="JNQ751" s="574"/>
      <c r="JNR751" s="574"/>
      <c r="JNS751" s="574"/>
      <c r="JNT751" s="574"/>
      <c r="JNU751" s="574"/>
      <c r="JNV751" s="574"/>
      <c r="JNW751" s="574"/>
      <c r="JNX751" s="574"/>
      <c r="JNY751" s="574"/>
      <c r="JNZ751" s="574"/>
      <c r="JOA751" s="574"/>
      <c r="JOB751" s="574"/>
      <c r="JOC751" s="574"/>
      <c r="JOD751" s="574"/>
      <c r="JOE751" s="574"/>
      <c r="JOF751" s="574"/>
      <c r="JOG751" s="574"/>
      <c r="JOH751" s="574"/>
      <c r="JOI751" s="574"/>
      <c r="JOJ751" s="574"/>
      <c r="JOK751" s="574"/>
      <c r="JOL751" s="574"/>
      <c r="JOM751" s="574"/>
      <c r="JON751" s="574"/>
      <c r="JOO751" s="574"/>
      <c r="JOP751" s="574"/>
      <c r="JOQ751" s="574"/>
      <c r="JOR751" s="574"/>
      <c r="JOS751" s="574"/>
      <c r="JOT751" s="574"/>
      <c r="JOU751" s="574"/>
      <c r="JOV751" s="574"/>
      <c r="JOW751" s="574"/>
      <c r="JOX751" s="574"/>
      <c r="JOY751" s="574"/>
      <c r="JOZ751" s="574"/>
      <c r="JPA751" s="574"/>
      <c r="JPB751" s="574"/>
      <c r="JPC751" s="574"/>
      <c r="JPD751" s="574"/>
      <c r="JPE751" s="574"/>
      <c r="JPF751" s="574"/>
      <c r="JPG751" s="574"/>
      <c r="JPH751" s="574"/>
      <c r="JPI751" s="574"/>
      <c r="JPJ751" s="574"/>
      <c r="JPK751" s="574"/>
      <c r="JPL751" s="574"/>
      <c r="JPM751" s="574"/>
      <c r="JPN751" s="574"/>
      <c r="JPO751" s="574"/>
      <c r="JPP751" s="574"/>
      <c r="JPQ751" s="574"/>
      <c r="JPR751" s="574"/>
      <c r="JPS751" s="574"/>
      <c r="JPT751" s="574"/>
      <c r="JPU751" s="574"/>
      <c r="JPV751" s="574"/>
      <c r="JPW751" s="574"/>
      <c r="JPX751" s="574"/>
      <c r="JPY751" s="574"/>
      <c r="JPZ751" s="574"/>
      <c r="JQA751" s="574"/>
      <c r="JQB751" s="574"/>
      <c r="JQC751" s="574"/>
      <c r="JQD751" s="574"/>
      <c r="JQE751" s="574"/>
      <c r="JQF751" s="574"/>
      <c r="JQG751" s="574"/>
      <c r="JQH751" s="574"/>
      <c r="JQI751" s="574"/>
      <c r="JQJ751" s="574"/>
      <c r="JQK751" s="574"/>
      <c r="JQL751" s="574"/>
      <c r="JQM751" s="574"/>
      <c r="JQN751" s="574"/>
      <c r="JQO751" s="574"/>
      <c r="JQP751" s="574"/>
      <c r="JQQ751" s="574"/>
      <c r="JQR751" s="574"/>
      <c r="JQS751" s="574"/>
      <c r="JQT751" s="574"/>
      <c r="JQU751" s="574"/>
      <c r="JQV751" s="574"/>
      <c r="JQW751" s="574"/>
      <c r="JQX751" s="574"/>
      <c r="JQY751" s="574"/>
      <c r="JQZ751" s="574"/>
      <c r="JRA751" s="574"/>
      <c r="JRB751" s="574"/>
      <c r="JRC751" s="574"/>
      <c r="JRD751" s="574"/>
      <c r="JRE751" s="574"/>
      <c r="JRF751" s="574"/>
      <c r="JRG751" s="574"/>
      <c r="JRH751" s="574"/>
      <c r="JRI751" s="574"/>
      <c r="JRJ751" s="574"/>
      <c r="JRK751" s="574"/>
      <c r="JRL751" s="574"/>
      <c r="JRM751" s="574"/>
      <c r="JRN751" s="574"/>
      <c r="JRO751" s="574"/>
      <c r="JRP751" s="574"/>
      <c r="JRQ751" s="574"/>
      <c r="JRR751" s="574"/>
      <c r="JRS751" s="574"/>
      <c r="JRT751" s="574"/>
      <c r="JRU751" s="574"/>
      <c r="JRV751" s="574"/>
      <c r="JRW751" s="574"/>
      <c r="JRX751" s="574"/>
      <c r="JRY751" s="574"/>
      <c r="JRZ751" s="574"/>
      <c r="JSA751" s="574"/>
      <c r="JSB751" s="574"/>
      <c r="JSC751" s="574"/>
      <c r="JSD751" s="574"/>
      <c r="JSE751" s="574"/>
      <c r="JSF751" s="574"/>
      <c r="JSG751" s="574"/>
      <c r="JSH751" s="574"/>
      <c r="JSI751" s="574"/>
      <c r="JSJ751" s="574"/>
      <c r="JSK751" s="574"/>
      <c r="JSL751" s="574"/>
      <c r="JSM751" s="574"/>
      <c r="JSN751" s="574"/>
      <c r="JSO751" s="574"/>
      <c r="JSP751" s="574"/>
      <c r="JSQ751" s="574"/>
      <c r="JSR751" s="574"/>
      <c r="JSS751" s="574"/>
      <c r="JST751" s="574"/>
      <c r="JSU751" s="574"/>
      <c r="JSV751" s="574"/>
      <c r="JSW751" s="574"/>
      <c r="JSX751" s="574"/>
      <c r="JSY751" s="574"/>
      <c r="JSZ751" s="574"/>
      <c r="JTA751" s="574"/>
      <c r="JTB751" s="574"/>
      <c r="JTC751" s="574"/>
      <c r="JTD751" s="574"/>
      <c r="JTE751" s="574"/>
      <c r="JTF751" s="574"/>
      <c r="JTG751" s="574"/>
      <c r="JTH751" s="574"/>
      <c r="JTI751" s="574"/>
      <c r="JTJ751" s="574"/>
      <c r="JTK751" s="574"/>
      <c r="JTL751" s="574"/>
      <c r="JTM751" s="574"/>
      <c r="JTN751" s="574"/>
      <c r="JTO751" s="574"/>
      <c r="JTP751" s="574"/>
      <c r="JTQ751" s="574"/>
      <c r="JTR751" s="574"/>
      <c r="JTS751" s="574"/>
      <c r="JTT751" s="574"/>
      <c r="JTU751" s="574"/>
      <c r="JTV751" s="574"/>
      <c r="JTW751" s="574"/>
      <c r="JTX751" s="574"/>
      <c r="JTY751" s="574"/>
      <c r="JTZ751" s="574"/>
      <c r="JUA751" s="574"/>
      <c r="JUB751" s="574"/>
      <c r="JUC751" s="574"/>
      <c r="JUD751" s="574"/>
      <c r="JUE751" s="574"/>
      <c r="JUF751" s="574"/>
      <c r="JUG751" s="574"/>
      <c r="JUH751" s="574"/>
      <c r="JUI751" s="574"/>
      <c r="JUJ751" s="574"/>
      <c r="JUK751" s="574"/>
      <c r="JUL751" s="574"/>
      <c r="JUM751" s="574"/>
      <c r="JUN751" s="574"/>
      <c r="JUO751" s="574"/>
      <c r="JUP751" s="574"/>
      <c r="JUQ751" s="574"/>
      <c r="JUR751" s="574"/>
      <c r="JUS751" s="574"/>
      <c r="JUT751" s="574"/>
      <c r="JUU751" s="574"/>
      <c r="JUV751" s="574"/>
      <c r="JUW751" s="574"/>
      <c r="JUX751" s="574"/>
      <c r="JUY751" s="574"/>
      <c r="JUZ751" s="574"/>
      <c r="JVA751" s="574"/>
      <c r="JVB751" s="574"/>
      <c r="JVC751" s="574"/>
      <c r="JVD751" s="574"/>
      <c r="JVE751" s="574"/>
      <c r="JVF751" s="574"/>
      <c r="JVG751" s="574"/>
      <c r="JVH751" s="574"/>
      <c r="JVI751" s="574"/>
      <c r="JVJ751" s="574"/>
      <c r="JVK751" s="574"/>
      <c r="JVL751" s="574"/>
      <c r="JVM751" s="574"/>
      <c r="JVN751" s="574"/>
      <c r="JVO751" s="574"/>
      <c r="JVP751" s="574"/>
      <c r="JVQ751" s="574"/>
      <c r="JVR751" s="574"/>
      <c r="JVS751" s="574"/>
      <c r="JVT751" s="574"/>
      <c r="JVU751" s="574"/>
      <c r="JVV751" s="574"/>
      <c r="JVW751" s="574"/>
      <c r="JVX751" s="574"/>
      <c r="JVY751" s="574"/>
      <c r="JVZ751" s="574"/>
      <c r="JWA751" s="574"/>
      <c r="JWB751" s="574"/>
      <c r="JWC751" s="574"/>
      <c r="JWD751" s="574"/>
      <c r="JWE751" s="574"/>
      <c r="JWF751" s="574"/>
      <c r="JWG751" s="574"/>
      <c r="JWH751" s="574"/>
      <c r="JWI751" s="574"/>
      <c r="JWJ751" s="574"/>
      <c r="JWK751" s="574"/>
      <c r="JWL751" s="574"/>
      <c r="JWM751" s="574"/>
      <c r="JWN751" s="574"/>
      <c r="JWO751" s="574"/>
      <c r="JWP751" s="574"/>
      <c r="JWQ751" s="574"/>
      <c r="JWR751" s="574"/>
      <c r="JWS751" s="574"/>
      <c r="JWT751" s="574"/>
      <c r="JWU751" s="574"/>
      <c r="JWV751" s="574"/>
      <c r="JWW751" s="574"/>
      <c r="JWX751" s="574"/>
      <c r="JWY751" s="574"/>
      <c r="JWZ751" s="574"/>
      <c r="JXA751" s="574"/>
      <c r="JXB751" s="574"/>
      <c r="JXC751" s="574"/>
      <c r="JXD751" s="574"/>
      <c r="JXE751" s="574"/>
      <c r="JXF751" s="574"/>
      <c r="JXG751" s="574"/>
      <c r="JXH751" s="574"/>
      <c r="JXI751" s="574"/>
      <c r="JXJ751" s="574"/>
      <c r="JXK751" s="574"/>
      <c r="JXL751" s="574"/>
      <c r="JXM751" s="574"/>
      <c r="JXN751" s="574"/>
      <c r="JXO751" s="574"/>
      <c r="JXP751" s="574"/>
      <c r="JXQ751" s="574"/>
      <c r="JXR751" s="574"/>
      <c r="JXS751" s="574"/>
      <c r="JXT751" s="574"/>
      <c r="JXU751" s="574"/>
      <c r="JXV751" s="574"/>
      <c r="JXW751" s="574"/>
      <c r="JXX751" s="574"/>
      <c r="JXY751" s="574"/>
      <c r="JXZ751" s="574"/>
      <c r="JYA751" s="574"/>
      <c r="JYB751" s="574"/>
      <c r="JYC751" s="574"/>
      <c r="JYD751" s="574"/>
      <c r="JYE751" s="574"/>
      <c r="JYF751" s="574"/>
      <c r="JYG751" s="574"/>
      <c r="JYH751" s="574"/>
      <c r="JYI751" s="574"/>
      <c r="JYJ751" s="574"/>
      <c r="JYK751" s="574"/>
      <c r="JYL751" s="574"/>
      <c r="JYM751" s="574"/>
      <c r="JYN751" s="574"/>
      <c r="JYO751" s="574"/>
      <c r="JYP751" s="574"/>
      <c r="JYQ751" s="574"/>
      <c r="JYR751" s="574"/>
      <c r="JYS751" s="574"/>
      <c r="JYT751" s="574"/>
      <c r="JYU751" s="574"/>
      <c r="JYV751" s="574"/>
      <c r="JYW751" s="574"/>
      <c r="JYX751" s="574"/>
      <c r="JYY751" s="574"/>
      <c r="JYZ751" s="574"/>
      <c r="JZA751" s="574"/>
      <c r="JZB751" s="574"/>
      <c r="JZC751" s="574"/>
      <c r="JZD751" s="574"/>
      <c r="JZE751" s="574"/>
      <c r="JZF751" s="574"/>
      <c r="JZG751" s="574"/>
      <c r="JZH751" s="574"/>
      <c r="JZI751" s="574"/>
      <c r="JZJ751" s="574"/>
      <c r="JZK751" s="574"/>
      <c r="JZL751" s="574"/>
      <c r="JZM751" s="574"/>
      <c r="JZN751" s="574"/>
      <c r="JZO751" s="574"/>
      <c r="JZP751" s="574"/>
      <c r="JZQ751" s="574"/>
      <c r="JZR751" s="574"/>
      <c r="JZS751" s="574"/>
      <c r="JZT751" s="574"/>
      <c r="JZU751" s="574"/>
      <c r="JZV751" s="574"/>
      <c r="JZW751" s="574"/>
      <c r="JZX751" s="574"/>
      <c r="JZY751" s="574"/>
      <c r="JZZ751" s="574"/>
      <c r="KAA751" s="574"/>
      <c r="KAB751" s="574"/>
      <c r="KAC751" s="574"/>
      <c r="KAD751" s="574"/>
      <c r="KAE751" s="574"/>
      <c r="KAF751" s="574"/>
      <c r="KAG751" s="574"/>
      <c r="KAH751" s="574"/>
      <c r="KAI751" s="574"/>
      <c r="KAJ751" s="574"/>
      <c r="KAK751" s="574"/>
      <c r="KAL751" s="574"/>
      <c r="KAM751" s="574"/>
      <c r="KAN751" s="574"/>
      <c r="KAO751" s="574"/>
      <c r="KAP751" s="574"/>
      <c r="KAQ751" s="574"/>
      <c r="KAR751" s="574"/>
      <c r="KAS751" s="574"/>
      <c r="KAT751" s="574"/>
      <c r="KAU751" s="574"/>
      <c r="KAV751" s="574"/>
      <c r="KAW751" s="574"/>
      <c r="KAX751" s="574"/>
      <c r="KAY751" s="574"/>
      <c r="KAZ751" s="574"/>
      <c r="KBA751" s="574"/>
      <c r="KBB751" s="574"/>
      <c r="KBC751" s="574"/>
      <c r="KBD751" s="574"/>
      <c r="KBE751" s="574"/>
      <c r="KBF751" s="574"/>
      <c r="KBG751" s="574"/>
      <c r="KBH751" s="574"/>
      <c r="KBI751" s="574"/>
      <c r="KBJ751" s="574"/>
      <c r="KBK751" s="574"/>
      <c r="KBL751" s="574"/>
      <c r="KBM751" s="574"/>
      <c r="KBN751" s="574"/>
      <c r="KBO751" s="574"/>
      <c r="KBP751" s="574"/>
      <c r="KBQ751" s="574"/>
      <c r="KBR751" s="574"/>
      <c r="KBS751" s="574"/>
      <c r="KBT751" s="574"/>
      <c r="KBU751" s="574"/>
      <c r="KBV751" s="574"/>
      <c r="KBW751" s="574"/>
      <c r="KBX751" s="574"/>
      <c r="KBY751" s="574"/>
      <c r="KBZ751" s="574"/>
      <c r="KCA751" s="574"/>
      <c r="KCB751" s="574"/>
      <c r="KCC751" s="574"/>
      <c r="KCD751" s="574"/>
      <c r="KCE751" s="574"/>
      <c r="KCF751" s="574"/>
      <c r="KCG751" s="574"/>
      <c r="KCH751" s="574"/>
      <c r="KCI751" s="574"/>
      <c r="KCJ751" s="574"/>
      <c r="KCK751" s="574"/>
      <c r="KCL751" s="574"/>
      <c r="KCM751" s="574"/>
      <c r="KCN751" s="574"/>
      <c r="KCO751" s="574"/>
      <c r="KCP751" s="574"/>
      <c r="KCQ751" s="574"/>
      <c r="KCR751" s="574"/>
      <c r="KCS751" s="574"/>
      <c r="KCT751" s="574"/>
      <c r="KCU751" s="574"/>
      <c r="KCV751" s="574"/>
      <c r="KCW751" s="574"/>
      <c r="KCX751" s="574"/>
      <c r="KCY751" s="574"/>
      <c r="KCZ751" s="574"/>
      <c r="KDA751" s="574"/>
      <c r="KDB751" s="574"/>
      <c r="KDC751" s="574"/>
      <c r="KDD751" s="574"/>
      <c r="KDE751" s="574"/>
      <c r="KDF751" s="574"/>
      <c r="KDG751" s="574"/>
      <c r="KDH751" s="574"/>
      <c r="KDI751" s="574"/>
      <c r="KDJ751" s="574"/>
      <c r="KDK751" s="574"/>
      <c r="KDL751" s="574"/>
      <c r="KDM751" s="574"/>
      <c r="KDN751" s="574"/>
      <c r="KDO751" s="574"/>
      <c r="KDP751" s="574"/>
      <c r="KDQ751" s="574"/>
      <c r="KDR751" s="574"/>
      <c r="KDS751" s="574"/>
      <c r="KDT751" s="574"/>
      <c r="KDU751" s="574"/>
      <c r="KDV751" s="574"/>
      <c r="KDW751" s="574"/>
      <c r="KDX751" s="574"/>
      <c r="KDY751" s="574"/>
      <c r="KDZ751" s="574"/>
      <c r="KEA751" s="574"/>
      <c r="KEB751" s="574"/>
      <c r="KEC751" s="574"/>
      <c r="KED751" s="574"/>
      <c r="KEE751" s="574"/>
      <c r="KEF751" s="574"/>
      <c r="KEG751" s="574"/>
      <c r="KEH751" s="574"/>
      <c r="KEI751" s="574"/>
      <c r="KEJ751" s="574"/>
      <c r="KEK751" s="574"/>
      <c r="KEL751" s="574"/>
      <c r="KEM751" s="574"/>
      <c r="KEN751" s="574"/>
      <c r="KEO751" s="574"/>
      <c r="KEP751" s="574"/>
      <c r="KEQ751" s="574"/>
      <c r="KER751" s="574"/>
      <c r="KES751" s="574"/>
      <c r="KET751" s="574"/>
      <c r="KEU751" s="574"/>
      <c r="KEV751" s="574"/>
      <c r="KEW751" s="574"/>
      <c r="KEX751" s="574"/>
      <c r="KEY751" s="574"/>
      <c r="KEZ751" s="574"/>
      <c r="KFA751" s="574"/>
      <c r="KFB751" s="574"/>
      <c r="KFC751" s="574"/>
      <c r="KFD751" s="574"/>
      <c r="KFE751" s="574"/>
      <c r="KFF751" s="574"/>
      <c r="KFG751" s="574"/>
      <c r="KFH751" s="574"/>
      <c r="KFI751" s="574"/>
      <c r="KFJ751" s="574"/>
      <c r="KFK751" s="574"/>
      <c r="KFL751" s="574"/>
      <c r="KFM751" s="574"/>
      <c r="KFN751" s="574"/>
      <c r="KFO751" s="574"/>
      <c r="KFP751" s="574"/>
      <c r="KFQ751" s="574"/>
      <c r="KFR751" s="574"/>
      <c r="KFS751" s="574"/>
      <c r="KFT751" s="574"/>
      <c r="KFU751" s="574"/>
      <c r="KFV751" s="574"/>
      <c r="KFW751" s="574"/>
      <c r="KFX751" s="574"/>
      <c r="KFY751" s="574"/>
      <c r="KFZ751" s="574"/>
      <c r="KGA751" s="574"/>
      <c r="KGB751" s="574"/>
      <c r="KGC751" s="574"/>
      <c r="KGD751" s="574"/>
      <c r="KGE751" s="574"/>
      <c r="KGF751" s="574"/>
      <c r="KGG751" s="574"/>
      <c r="KGH751" s="574"/>
      <c r="KGI751" s="574"/>
      <c r="KGJ751" s="574"/>
      <c r="KGK751" s="574"/>
      <c r="KGL751" s="574"/>
      <c r="KGM751" s="574"/>
      <c r="KGN751" s="574"/>
      <c r="KGO751" s="574"/>
      <c r="KGP751" s="574"/>
      <c r="KGQ751" s="574"/>
      <c r="KGR751" s="574"/>
      <c r="KGS751" s="574"/>
      <c r="KGT751" s="574"/>
      <c r="KGU751" s="574"/>
      <c r="KGV751" s="574"/>
      <c r="KGW751" s="574"/>
      <c r="KGX751" s="574"/>
      <c r="KGY751" s="574"/>
      <c r="KGZ751" s="574"/>
      <c r="KHA751" s="574"/>
      <c r="KHB751" s="574"/>
      <c r="KHC751" s="574"/>
      <c r="KHD751" s="574"/>
      <c r="KHE751" s="574"/>
      <c r="KHF751" s="574"/>
      <c r="KHG751" s="574"/>
      <c r="KHH751" s="574"/>
      <c r="KHI751" s="574"/>
      <c r="KHJ751" s="574"/>
      <c r="KHK751" s="574"/>
      <c r="KHL751" s="574"/>
      <c r="KHM751" s="574"/>
      <c r="KHN751" s="574"/>
      <c r="KHO751" s="574"/>
      <c r="KHP751" s="574"/>
      <c r="KHQ751" s="574"/>
      <c r="KHR751" s="574"/>
      <c r="KHS751" s="574"/>
      <c r="KHT751" s="574"/>
      <c r="KHU751" s="574"/>
      <c r="KHV751" s="574"/>
      <c r="KHW751" s="574"/>
      <c r="KHX751" s="574"/>
      <c r="KHY751" s="574"/>
      <c r="KHZ751" s="574"/>
      <c r="KIA751" s="574"/>
      <c r="KIB751" s="574"/>
      <c r="KIC751" s="574"/>
      <c r="KID751" s="574"/>
      <c r="KIE751" s="574"/>
      <c r="KIF751" s="574"/>
      <c r="KIG751" s="574"/>
      <c r="KIH751" s="574"/>
      <c r="KII751" s="574"/>
      <c r="KIJ751" s="574"/>
      <c r="KIK751" s="574"/>
      <c r="KIL751" s="574"/>
      <c r="KIM751" s="574"/>
      <c r="KIN751" s="574"/>
      <c r="KIO751" s="574"/>
      <c r="KIP751" s="574"/>
      <c r="KIQ751" s="574"/>
      <c r="KIR751" s="574"/>
      <c r="KIS751" s="574"/>
      <c r="KIT751" s="574"/>
      <c r="KIU751" s="574"/>
      <c r="KIV751" s="574"/>
      <c r="KIW751" s="574"/>
      <c r="KIX751" s="574"/>
      <c r="KIY751" s="574"/>
      <c r="KIZ751" s="574"/>
      <c r="KJA751" s="574"/>
      <c r="KJB751" s="574"/>
      <c r="KJC751" s="574"/>
      <c r="KJD751" s="574"/>
      <c r="KJE751" s="574"/>
      <c r="KJF751" s="574"/>
      <c r="KJG751" s="574"/>
      <c r="KJH751" s="574"/>
      <c r="KJI751" s="574"/>
      <c r="KJJ751" s="574"/>
      <c r="KJK751" s="574"/>
      <c r="KJL751" s="574"/>
      <c r="KJM751" s="574"/>
      <c r="KJN751" s="574"/>
      <c r="KJO751" s="574"/>
      <c r="KJP751" s="574"/>
      <c r="KJQ751" s="574"/>
      <c r="KJR751" s="574"/>
      <c r="KJS751" s="574"/>
      <c r="KJT751" s="574"/>
      <c r="KJU751" s="574"/>
      <c r="KJV751" s="574"/>
      <c r="KJW751" s="574"/>
      <c r="KJX751" s="574"/>
      <c r="KJY751" s="574"/>
      <c r="KJZ751" s="574"/>
      <c r="KKA751" s="574"/>
      <c r="KKB751" s="574"/>
      <c r="KKC751" s="574"/>
      <c r="KKD751" s="574"/>
      <c r="KKE751" s="574"/>
      <c r="KKF751" s="574"/>
      <c r="KKG751" s="574"/>
      <c r="KKH751" s="574"/>
      <c r="KKI751" s="574"/>
      <c r="KKJ751" s="574"/>
      <c r="KKK751" s="574"/>
      <c r="KKL751" s="574"/>
      <c r="KKM751" s="574"/>
      <c r="KKN751" s="574"/>
      <c r="KKO751" s="574"/>
      <c r="KKP751" s="574"/>
      <c r="KKQ751" s="574"/>
      <c r="KKR751" s="574"/>
      <c r="KKS751" s="574"/>
      <c r="KKT751" s="574"/>
      <c r="KKU751" s="574"/>
      <c r="KKV751" s="574"/>
      <c r="KKW751" s="574"/>
      <c r="KKX751" s="574"/>
      <c r="KKY751" s="574"/>
      <c r="KKZ751" s="574"/>
      <c r="KLA751" s="574"/>
      <c r="KLB751" s="574"/>
      <c r="KLC751" s="574"/>
      <c r="KLD751" s="574"/>
      <c r="KLE751" s="574"/>
      <c r="KLF751" s="574"/>
      <c r="KLG751" s="574"/>
      <c r="KLH751" s="574"/>
      <c r="KLI751" s="574"/>
      <c r="KLJ751" s="574"/>
      <c r="KLK751" s="574"/>
      <c r="KLL751" s="574"/>
      <c r="KLM751" s="574"/>
      <c r="KLN751" s="574"/>
      <c r="KLO751" s="574"/>
      <c r="KLP751" s="574"/>
      <c r="KLQ751" s="574"/>
      <c r="KLR751" s="574"/>
      <c r="KLS751" s="574"/>
      <c r="KLT751" s="574"/>
      <c r="KLU751" s="574"/>
      <c r="KLV751" s="574"/>
      <c r="KLW751" s="574"/>
      <c r="KLX751" s="574"/>
      <c r="KLY751" s="574"/>
      <c r="KLZ751" s="574"/>
      <c r="KMA751" s="574"/>
      <c r="KMB751" s="574"/>
      <c r="KMC751" s="574"/>
      <c r="KMD751" s="574"/>
      <c r="KME751" s="574"/>
      <c r="KMF751" s="574"/>
      <c r="KMG751" s="574"/>
      <c r="KMH751" s="574"/>
      <c r="KMI751" s="574"/>
      <c r="KMJ751" s="574"/>
      <c r="KMK751" s="574"/>
      <c r="KML751" s="574"/>
      <c r="KMM751" s="574"/>
      <c r="KMN751" s="574"/>
      <c r="KMO751" s="574"/>
      <c r="KMP751" s="574"/>
      <c r="KMQ751" s="574"/>
      <c r="KMR751" s="574"/>
      <c r="KMS751" s="574"/>
      <c r="KMT751" s="574"/>
      <c r="KMU751" s="574"/>
      <c r="KMV751" s="574"/>
      <c r="KMW751" s="574"/>
      <c r="KMX751" s="574"/>
      <c r="KMY751" s="574"/>
      <c r="KMZ751" s="574"/>
      <c r="KNA751" s="574"/>
      <c r="KNB751" s="574"/>
      <c r="KNC751" s="574"/>
      <c r="KND751" s="574"/>
      <c r="KNE751" s="574"/>
      <c r="KNF751" s="574"/>
      <c r="KNG751" s="574"/>
      <c r="KNH751" s="574"/>
      <c r="KNI751" s="574"/>
      <c r="KNJ751" s="574"/>
      <c r="KNK751" s="574"/>
      <c r="KNL751" s="574"/>
      <c r="KNM751" s="574"/>
      <c r="KNN751" s="574"/>
      <c r="KNO751" s="574"/>
      <c r="KNP751" s="574"/>
      <c r="KNQ751" s="574"/>
      <c r="KNR751" s="574"/>
      <c r="KNS751" s="574"/>
      <c r="KNT751" s="574"/>
      <c r="KNU751" s="574"/>
      <c r="KNV751" s="574"/>
      <c r="KNW751" s="574"/>
      <c r="KNX751" s="574"/>
      <c r="KNY751" s="574"/>
      <c r="KNZ751" s="574"/>
      <c r="KOA751" s="574"/>
      <c r="KOB751" s="574"/>
      <c r="KOC751" s="574"/>
      <c r="KOD751" s="574"/>
      <c r="KOE751" s="574"/>
      <c r="KOF751" s="574"/>
      <c r="KOG751" s="574"/>
      <c r="KOH751" s="574"/>
      <c r="KOI751" s="574"/>
      <c r="KOJ751" s="574"/>
      <c r="KOK751" s="574"/>
      <c r="KOL751" s="574"/>
      <c r="KOM751" s="574"/>
      <c r="KON751" s="574"/>
      <c r="KOO751" s="574"/>
      <c r="KOP751" s="574"/>
      <c r="KOQ751" s="574"/>
      <c r="KOR751" s="574"/>
      <c r="KOS751" s="574"/>
      <c r="KOT751" s="574"/>
      <c r="KOU751" s="574"/>
      <c r="KOV751" s="574"/>
      <c r="KOW751" s="574"/>
      <c r="KOX751" s="574"/>
      <c r="KOY751" s="574"/>
      <c r="KOZ751" s="574"/>
      <c r="KPA751" s="574"/>
      <c r="KPB751" s="574"/>
      <c r="KPC751" s="574"/>
      <c r="KPD751" s="574"/>
      <c r="KPE751" s="574"/>
      <c r="KPF751" s="574"/>
      <c r="KPG751" s="574"/>
      <c r="KPH751" s="574"/>
      <c r="KPI751" s="574"/>
      <c r="KPJ751" s="574"/>
      <c r="KPK751" s="574"/>
      <c r="KPL751" s="574"/>
      <c r="KPM751" s="574"/>
      <c r="KPN751" s="574"/>
      <c r="KPO751" s="574"/>
      <c r="KPP751" s="574"/>
      <c r="KPQ751" s="574"/>
      <c r="KPR751" s="574"/>
      <c r="KPS751" s="574"/>
      <c r="KPT751" s="574"/>
      <c r="KPU751" s="574"/>
      <c r="KPV751" s="574"/>
      <c r="KPW751" s="574"/>
      <c r="KPX751" s="574"/>
      <c r="KPY751" s="574"/>
      <c r="KPZ751" s="574"/>
      <c r="KQA751" s="574"/>
      <c r="KQB751" s="574"/>
      <c r="KQC751" s="574"/>
      <c r="KQD751" s="574"/>
      <c r="KQE751" s="574"/>
      <c r="KQF751" s="574"/>
      <c r="KQG751" s="574"/>
      <c r="KQH751" s="574"/>
      <c r="KQI751" s="574"/>
      <c r="KQJ751" s="574"/>
      <c r="KQK751" s="574"/>
      <c r="KQL751" s="574"/>
      <c r="KQM751" s="574"/>
      <c r="KQN751" s="574"/>
      <c r="KQO751" s="574"/>
      <c r="KQP751" s="574"/>
      <c r="KQQ751" s="574"/>
      <c r="KQR751" s="574"/>
      <c r="KQS751" s="574"/>
      <c r="KQT751" s="574"/>
      <c r="KQU751" s="574"/>
      <c r="KQV751" s="574"/>
      <c r="KQW751" s="574"/>
      <c r="KQX751" s="574"/>
      <c r="KQY751" s="574"/>
      <c r="KQZ751" s="574"/>
      <c r="KRA751" s="574"/>
      <c r="KRB751" s="574"/>
      <c r="KRC751" s="574"/>
      <c r="KRD751" s="574"/>
      <c r="KRE751" s="574"/>
      <c r="KRF751" s="574"/>
      <c r="KRG751" s="574"/>
      <c r="KRH751" s="574"/>
      <c r="KRI751" s="574"/>
      <c r="KRJ751" s="574"/>
      <c r="KRK751" s="574"/>
      <c r="KRL751" s="574"/>
      <c r="KRM751" s="574"/>
      <c r="KRN751" s="574"/>
      <c r="KRO751" s="574"/>
      <c r="KRP751" s="574"/>
      <c r="KRQ751" s="574"/>
      <c r="KRR751" s="574"/>
      <c r="KRS751" s="574"/>
      <c r="KRT751" s="574"/>
      <c r="KRU751" s="574"/>
      <c r="KRV751" s="574"/>
      <c r="KRW751" s="574"/>
      <c r="KRX751" s="574"/>
      <c r="KRY751" s="574"/>
      <c r="KRZ751" s="574"/>
      <c r="KSA751" s="574"/>
      <c r="KSB751" s="574"/>
      <c r="KSC751" s="574"/>
      <c r="KSD751" s="574"/>
      <c r="KSE751" s="574"/>
      <c r="KSF751" s="574"/>
      <c r="KSG751" s="574"/>
      <c r="KSH751" s="574"/>
      <c r="KSI751" s="574"/>
      <c r="KSJ751" s="574"/>
      <c r="KSK751" s="574"/>
      <c r="KSL751" s="574"/>
      <c r="KSM751" s="574"/>
      <c r="KSN751" s="574"/>
      <c r="KSO751" s="574"/>
      <c r="KSP751" s="574"/>
      <c r="KSQ751" s="574"/>
      <c r="KSR751" s="574"/>
      <c r="KSS751" s="574"/>
      <c r="KST751" s="574"/>
      <c r="KSU751" s="574"/>
      <c r="KSV751" s="574"/>
      <c r="KSW751" s="574"/>
      <c r="KSX751" s="574"/>
      <c r="KSY751" s="574"/>
      <c r="KSZ751" s="574"/>
      <c r="KTA751" s="574"/>
      <c r="KTB751" s="574"/>
      <c r="KTC751" s="574"/>
      <c r="KTD751" s="574"/>
      <c r="KTE751" s="574"/>
      <c r="KTF751" s="574"/>
      <c r="KTG751" s="574"/>
      <c r="KTH751" s="574"/>
      <c r="KTI751" s="574"/>
      <c r="KTJ751" s="574"/>
      <c r="KTK751" s="574"/>
      <c r="KTL751" s="574"/>
      <c r="KTM751" s="574"/>
      <c r="KTN751" s="574"/>
      <c r="KTO751" s="574"/>
      <c r="KTP751" s="574"/>
      <c r="KTQ751" s="574"/>
      <c r="KTR751" s="574"/>
      <c r="KTS751" s="574"/>
      <c r="KTT751" s="574"/>
      <c r="KTU751" s="574"/>
      <c r="KTV751" s="574"/>
      <c r="KTW751" s="574"/>
      <c r="KTX751" s="574"/>
      <c r="KTY751" s="574"/>
      <c r="KTZ751" s="574"/>
      <c r="KUA751" s="574"/>
      <c r="KUB751" s="574"/>
      <c r="KUC751" s="574"/>
      <c r="KUD751" s="574"/>
      <c r="KUE751" s="574"/>
      <c r="KUF751" s="574"/>
      <c r="KUG751" s="574"/>
      <c r="KUH751" s="574"/>
      <c r="KUI751" s="574"/>
      <c r="KUJ751" s="574"/>
      <c r="KUK751" s="574"/>
      <c r="KUL751" s="574"/>
      <c r="KUM751" s="574"/>
      <c r="KUN751" s="574"/>
      <c r="KUO751" s="574"/>
      <c r="KUP751" s="574"/>
      <c r="KUQ751" s="574"/>
      <c r="KUR751" s="574"/>
      <c r="KUS751" s="574"/>
      <c r="KUT751" s="574"/>
      <c r="KUU751" s="574"/>
      <c r="KUV751" s="574"/>
      <c r="KUW751" s="574"/>
      <c r="KUX751" s="574"/>
      <c r="KUY751" s="574"/>
      <c r="KUZ751" s="574"/>
      <c r="KVA751" s="574"/>
      <c r="KVB751" s="574"/>
      <c r="KVC751" s="574"/>
      <c r="KVD751" s="574"/>
      <c r="KVE751" s="574"/>
      <c r="KVF751" s="574"/>
      <c r="KVG751" s="574"/>
      <c r="KVH751" s="574"/>
      <c r="KVI751" s="574"/>
      <c r="KVJ751" s="574"/>
      <c r="KVK751" s="574"/>
      <c r="KVL751" s="574"/>
      <c r="KVM751" s="574"/>
      <c r="KVN751" s="574"/>
      <c r="KVO751" s="574"/>
      <c r="KVP751" s="574"/>
      <c r="KVQ751" s="574"/>
      <c r="KVR751" s="574"/>
      <c r="KVS751" s="574"/>
      <c r="KVT751" s="574"/>
      <c r="KVU751" s="574"/>
      <c r="KVV751" s="574"/>
      <c r="KVW751" s="574"/>
      <c r="KVX751" s="574"/>
      <c r="KVY751" s="574"/>
      <c r="KVZ751" s="574"/>
      <c r="KWA751" s="574"/>
      <c r="KWB751" s="574"/>
      <c r="KWC751" s="574"/>
      <c r="KWD751" s="574"/>
      <c r="KWE751" s="574"/>
      <c r="KWF751" s="574"/>
      <c r="KWG751" s="574"/>
      <c r="KWH751" s="574"/>
      <c r="KWI751" s="574"/>
      <c r="KWJ751" s="574"/>
      <c r="KWK751" s="574"/>
      <c r="KWL751" s="574"/>
      <c r="KWM751" s="574"/>
      <c r="KWN751" s="574"/>
      <c r="KWO751" s="574"/>
      <c r="KWP751" s="574"/>
      <c r="KWQ751" s="574"/>
      <c r="KWR751" s="574"/>
      <c r="KWS751" s="574"/>
      <c r="KWT751" s="574"/>
      <c r="KWU751" s="574"/>
      <c r="KWV751" s="574"/>
      <c r="KWW751" s="574"/>
      <c r="KWX751" s="574"/>
      <c r="KWY751" s="574"/>
      <c r="KWZ751" s="574"/>
      <c r="KXA751" s="574"/>
      <c r="KXB751" s="574"/>
      <c r="KXC751" s="574"/>
      <c r="KXD751" s="574"/>
      <c r="KXE751" s="574"/>
      <c r="KXF751" s="574"/>
      <c r="KXG751" s="574"/>
      <c r="KXH751" s="574"/>
      <c r="KXI751" s="574"/>
      <c r="KXJ751" s="574"/>
      <c r="KXK751" s="574"/>
      <c r="KXL751" s="574"/>
      <c r="KXM751" s="574"/>
      <c r="KXN751" s="574"/>
      <c r="KXO751" s="574"/>
      <c r="KXP751" s="574"/>
      <c r="KXQ751" s="574"/>
      <c r="KXR751" s="574"/>
      <c r="KXS751" s="574"/>
      <c r="KXT751" s="574"/>
      <c r="KXU751" s="574"/>
      <c r="KXV751" s="574"/>
      <c r="KXW751" s="574"/>
      <c r="KXX751" s="574"/>
      <c r="KXY751" s="574"/>
      <c r="KXZ751" s="574"/>
      <c r="KYA751" s="574"/>
      <c r="KYB751" s="574"/>
      <c r="KYC751" s="574"/>
      <c r="KYD751" s="574"/>
      <c r="KYE751" s="574"/>
      <c r="KYF751" s="574"/>
      <c r="KYG751" s="574"/>
      <c r="KYH751" s="574"/>
      <c r="KYI751" s="574"/>
      <c r="KYJ751" s="574"/>
      <c r="KYK751" s="574"/>
      <c r="KYL751" s="574"/>
      <c r="KYM751" s="574"/>
      <c r="KYN751" s="574"/>
      <c r="KYO751" s="574"/>
      <c r="KYP751" s="574"/>
      <c r="KYQ751" s="574"/>
      <c r="KYR751" s="574"/>
      <c r="KYS751" s="574"/>
      <c r="KYT751" s="574"/>
      <c r="KYU751" s="574"/>
      <c r="KYV751" s="574"/>
      <c r="KYW751" s="574"/>
      <c r="KYX751" s="574"/>
      <c r="KYY751" s="574"/>
      <c r="KYZ751" s="574"/>
      <c r="KZA751" s="574"/>
      <c r="KZB751" s="574"/>
      <c r="KZC751" s="574"/>
      <c r="KZD751" s="574"/>
      <c r="KZE751" s="574"/>
      <c r="KZF751" s="574"/>
      <c r="KZG751" s="574"/>
      <c r="KZH751" s="574"/>
      <c r="KZI751" s="574"/>
      <c r="KZJ751" s="574"/>
      <c r="KZK751" s="574"/>
      <c r="KZL751" s="574"/>
      <c r="KZM751" s="574"/>
      <c r="KZN751" s="574"/>
      <c r="KZO751" s="574"/>
      <c r="KZP751" s="574"/>
      <c r="KZQ751" s="574"/>
      <c r="KZR751" s="574"/>
      <c r="KZS751" s="574"/>
      <c r="KZT751" s="574"/>
      <c r="KZU751" s="574"/>
      <c r="KZV751" s="574"/>
      <c r="KZW751" s="574"/>
      <c r="KZX751" s="574"/>
      <c r="KZY751" s="574"/>
      <c r="KZZ751" s="574"/>
      <c r="LAA751" s="574"/>
      <c r="LAB751" s="574"/>
      <c r="LAC751" s="574"/>
      <c r="LAD751" s="574"/>
      <c r="LAE751" s="574"/>
      <c r="LAF751" s="574"/>
      <c r="LAG751" s="574"/>
      <c r="LAH751" s="574"/>
      <c r="LAI751" s="574"/>
      <c r="LAJ751" s="574"/>
      <c r="LAK751" s="574"/>
      <c r="LAL751" s="574"/>
      <c r="LAM751" s="574"/>
      <c r="LAN751" s="574"/>
      <c r="LAO751" s="574"/>
      <c r="LAP751" s="574"/>
      <c r="LAQ751" s="574"/>
      <c r="LAR751" s="574"/>
      <c r="LAS751" s="574"/>
      <c r="LAT751" s="574"/>
      <c r="LAU751" s="574"/>
      <c r="LAV751" s="574"/>
      <c r="LAW751" s="574"/>
      <c r="LAX751" s="574"/>
      <c r="LAY751" s="574"/>
      <c r="LAZ751" s="574"/>
      <c r="LBA751" s="574"/>
      <c r="LBB751" s="574"/>
      <c r="LBC751" s="574"/>
      <c r="LBD751" s="574"/>
      <c r="LBE751" s="574"/>
      <c r="LBF751" s="574"/>
      <c r="LBG751" s="574"/>
      <c r="LBH751" s="574"/>
      <c r="LBI751" s="574"/>
      <c r="LBJ751" s="574"/>
      <c r="LBK751" s="574"/>
      <c r="LBL751" s="574"/>
      <c r="LBM751" s="574"/>
      <c r="LBN751" s="574"/>
      <c r="LBO751" s="574"/>
      <c r="LBP751" s="574"/>
      <c r="LBQ751" s="574"/>
      <c r="LBR751" s="574"/>
      <c r="LBS751" s="574"/>
      <c r="LBT751" s="574"/>
      <c r="LBU751" s="574"/>
      <c r="LBV751" s="574"/>
      <c r="LBW751" s="574"/>
      <c r="LBX751" s="574"/>
      <c r="LBY751" s="574"/>
      <c r="LBZ751" s="574"/>
      <c r="LCA751" s="574"/>
      <c r="LCB751" s="574"/>
      <c r="LCC751" s="574"/>
      <c r="LCD751" s="574"/>
      <c r="LCE751" s="574"/>
      <c r="LCF751" s="574"/>
      <c r="LCG751" s="574"/>
      <c r="LCH751" s="574"/>
      <c r="LCI751" s="574"/>
      <c r="LCJ751" s="574"/>
      <c r="LCK751" s="574"/>
      <c r="LCL751" s="574"/>
      <c r="LCM751" s="574"/>
      <c r="LCN751" s="574"/>
      <c r="LCO751" s="574"/>
      <c r="LCP751" s="574"/>
      <c r="LCQ751" s="574"/>
      <c r="LCR751" s="574"/>
      <c r="LCS751" s="574"/>
      <c r="LCT751" s="574"/>
      <c r="LCU751" s="574"/>
      <c r="LCV751" s="574"/>
      <c r="LCW751" s="574"/>
      <c r="LCX751" s="574"/>
      <c r="LCY751" s="574"/>
      <c r="LCZ751" s="574"/>
      <c r="LDA751" s="574"/>
      <c r="LDB751" s="574"/>
      <c r="LDC751" s="574"/>
      <c r="LDD751" s="574"/>
      <c r="LDE751" s="574"/>
      <c r="LDF751" s="574"/>
      <c r="LDG751" s="574"/>
      <c r="LDH751" s="574"/>
      <c r="LDI751" s="574"/>
      <c r="LDJ751" s="574"/>
      <c r="LDK751" s="574"/>
      <c r="LDL751" s="574"/>
      <c r="LDM751" s="574"/>
      <c r="LDN751" s="574"/>
      <c r="LDO751" s="574"/>
      <c r="LDP751" s="574"/>
      <c r="LDQ751" s="574"/>
      <c r="LDR751" s="574"/>
      <c r="LDS751" s="574"/>
      <c r="LDT751" s="574"/>
      <c r="LDU751" s="574"/>
      <c r="LDV751" s="574"/>
      <c r="LDW751" s="574"/>
      <c r="LDX751" s="574"/>
      <c r="LDY751" s="574"/>
      <c r="LDZ751" s="574"/>
      <c r="LEA751" s="574"/>
      <c r="LEB751" s="574"/>
      <c r="LEC751" s="574"/>
      <c r="LED751" s="574"/>
      <c r="LEE751" s="574"/>
      <c r="LEF751" s="574"/>
      <c r="LEG751" s="574"/>
      <c r="LEH751" s="574"/>
      <c r="LEI751" s="574"/>
      <c r="LEJ751" s="574"/>
      <c r="LEK751" s="574"/>
      <c r="LEL751" s="574"/>
      <c r="LEM751" s="574"/>
      <c r="LEN751" s="574"/>
      <c r="LEO751" s="574"/>
      <c r="LEP751" s="574"/>
      <c r="LEQ751" s="574"/>
      <c r="LER751" s="574"/>
      <c r="LES751" s="574"/>
      <c r="LET751" s="574"/>
      <c r="LEU751" s="574"/>
      <c r="LEV751" s="574"/>
      <c r="LEW751" s="574"/>
      <c r="LEX751" s="574"/>
      <c r="LEY751" s="574"/>
      <c r="LEZ751" s="574"/>
      <c r="LFA751" s="574"/>
      <c r="LFB751" s="574"/>
      <c r="LFC751" s="574"/>
      <c r="LFD751" s="574"/>
      <c r="LFE751" s="574"/>
      <c r="LFF751" s="574"/>
      <c r="LFG751" s="574"/>
      <c r="LFH751" s="574"/>
      <c r="LFI751" s="574"/>
      <c r="LFJ751" s="574"/>
      <c r="LFK751" s="574"/>
      <c r="LFL751" s="574"/>
      <c r="LFM751" s="574"/>
      <c r="LFN751" s="574"/>
      <c r="LFO751" s="574"/>
      <c r="LFP751" s="574"/>
      <c r="LFQ751" s="574"/>
      <c r="LFR751" s="574"/>
      <c r="LFS751" s="574"/>
      <c r="LFT751" s="574"/>
      <c r="LFU751" s="574"/>
      <c r="LFV751" s="574"/>
      <c r="LFW751" s="574"/>
      <c r="LFX751" s="574"/>
      <c r="LFY751" s="574"/>
      <c r="LFZ751" s="574"/>
      <c r="LGA751" s="574"/>
      <c r="LGB751" s="574"/>
      <c r="LGC751" s="574"/>
      <c r="LGD751" s="574"/>
      <c r="LGE751" s="574"/>
      <c r="LGF751" s="574"/>
      <c r="LGG751" s="574"/>
      <c r="LGH751" s="574"/>
      <c r="LGI751" s="574"/>
      <c r="LGJ751" s="574"/>
      <c r="LGK751" s="574"/>
      <c r="LGL751" s="574"/>
      <c r="LGM751" s="574"/>
      <c r="LGN751" s="574"/>
      <c r="LGO751" s="574"/>
      <c r="LGP751" s="574"/>
      <c r="LGQ751" s="574"/>
      <c r="LGR751" s="574"/>
      <c r="LGS751" s="574"/>
      <c r="LGT751" s="574"/>
      <c r="LGU751" s="574"/>
      <c r="LGV751" s="574"/>
      <c r="LGW751" s="574"/>
      <c r="LGX751" s="574"/>
      <c r="LGY751" s="574"/>
      <c r="LGZ751" s="574"/>
      <c r="LHA751" s="574"/>
      <c r="LHB751" s="574"/>
      <c r="LHC751" s="574"/>
      <c r="LHD751" s="574"/>
      <c r="LHE751" s="574"/>
      <c r="LHF751" s="574"/>
      <c r="LHG751" s="574"/>
      <c r="LHH751" s="574"/>
      <c r="LHI751" s="574"/>
      <c r="LHJ751" s="574"/>
      <c r="LHK751" s="574"/>
      <c r="LHL751" s="574"/>
      <c r="LHM751" s="574"/>
      <c r="LHN751" s="574"/>
      <c r="LHO751" s="574"/>
      <c r="LHP751" s="574"/>
      <c r="LHQ751" s="574"/>
      <c r="LHR751" s="574"/>
      <c r="LHS751" s="574"/>
      <c r="LHT751" s="574"/>
      <c r="LHU751" s="574"/>
      <c r="LHV751" s="574"/>
      <c r="LHW751" s="574"/>
      <c r="LHX751" s="574"/>
      <c r="LHY751" s="574"/>
      <c r="LHZ751" s="574"/>
      <c r="LIA751" s="574"/>
      <c r="LIB751" s="574"/>
      <c r="LIC751" s="574"/>
      <c r="LID751" s="574"/>
      <c r="LIE751" s="574"/>
      <c r="LIF751" s="574"/>
      <c r="LIG751" s="574"/>
      <c r="LIH751" s="574"/>
      <c r="LII751" s="574"/>
      <c r="LIJ751" s="574"/>
      <c r="LIK751" s="574"/>
      <c r="LIL751" s="574"/>
      <c r="LIM751" s="574"/>
      <c r="LIN751" s="574"/>
      <c r="LIO751" s="574"/>
      <c r="LIP751" s="574"/>
      <c r="LIQ751" s="574"/>
      <c r="LIR751" s="574"/>
      <c r="LIS751" s="574"/>
      <c r="LIT751" s="574"/>
      <c r="LIU751" s="574"/>
      <c r="LIV751" s="574"/>
      <c r="LIW751" s="574"/>
      <c r="LIX751" s="574"/>
      <c r="LIY751" s="574"/>
      <c r="LIZ751" s="574"/>
      <c r="LJA751" s="574"/>
      <c r="LJB751" s="574"/>
      <c r="LJC751" s="574"/>
      <c r="LJD751" s="574"/>
      <c r="LJE751" s="574"/>
      <c r="LJF751" s="574"/>
      <c r="LJG751" s="574"/>
      <c r="LJH751" s="574"/>
      <c r="LJI751" s="574"/>
      <c r="LJJ751" s="574"/>
      <c r="LJK751" s="574"/>
      <c r="LJL751" s="574"/>
      <c r="LJM751" s="574"/>
      <c r="LJN751" s="574"/>
      <c r="LJO751" s="574"/>
      <c r="LJP751" s="574"/>
      <c r="LJQ751" s="574"/>
      <c r="LJR751" s="574"/>
      <c r="LJS751" s="574"/>
      <c r="LJT751" s="574"/>
      <c r="LJU751" s="574"/>
      <c r="LJV751" s="574"/>
      <c r="LJW751" s="574"/>
      <c r="LJX751" s="574"/>
      <c r="LJY751" s="574"/>
      <c r="LJZ751" s="574"/>
      <c r="LKA751" s="574"/>
      <c r="LKB751" s="574"/>
      <c r="LKC751" s="574"/>
      <c r="LKD751" s="574"/>
      <c r="LKE751" s="574"/>
      <c r="LKF751" s="574"/>
      <c r="LKG751" s="574"/>
      <c r="LKH751" s="574"/>
      <c r="LKI751" s="574"/>
      <c r="LKJ751" s="574"/>
      <c r="LKK751" s="574"/>
      <c r="LKL751" s="574"/>
      <c r="LKM751" s="574"/>
      <c r="LKN751" s="574"/>
      <c r="LKO751" s="574"/>
      <c r="LKP751" s="574"/>
      <c r="LKQ751" s="574"/>
      <c r="LKR751" s="574"/>
      <c r="LKS751" s="574"/>
      <c r="LKT751" s="574"/>
      <c r="LKU751" s="574"/>
      <c r="LKV751" s="574"/>
      <c r="LKW751" s="574"/>
      <c r="LKX751" s="574"/>
      <c r="LKY751" s="574"/>
      <c r="LKZ751" s="574"/>
      <c r="LLA751" s="574"/>
      <c r="LLB751" s="574"/>
      <c r="LLC751" s="574"/>
      <c r="LLD751" s="574"/>
      <c r="LLE751" s="574"/>
      <c r="LLF751" s="574"/>
      <c r="LLG751" s="574"/>
      <c r="LLH751" s="574"/>
      <c r="LLI751" s="574"/>
      <c r="LLJ751" s="574"/>
      <c r="LLK751" s="574"/>
      <c r="LLL751" s="574"/>
      <c r="LLM751" s="574"/>
      <c r="LLN751" s="574"/>
      <c r="LLO751" s="574"/>
      <c r="LLP751" s="574"/>
      <c r="LLQ751" s="574"/>
      <c r="LLR751" s="574"/>
      <c r="LLS751" s="574"/>
      <c r="LLT751" s="574"/>
      <c r="LLU751" s="574"/>
      <c r="LLV751" s="574"/>
      <c r="LLW751" s="574"/>
      <c r="LLX751" s="574"/>
      <c r="LLY751" s="574"/>
      <c r="LLZ751" s="574"/>
      <c r="LMA751" s="574"/>
      <c r="LMB751" s="574"/>
      <c r="LMC751" s="574"/>
      <c r="LMD751" s="574"/>
      <c r="LME751" s="574"/>
      <c r="LMF751" s="574"/>
      <c r="LMG751" s="574"/>
      <c r="LMH751" s="574"/>
      <c r="LMI751" s="574"/>
      <c r="LMJ751" s="574"/>
      <c r="LMK751" s="574"/>
      <c r="LML751" s="574"/>
      <c r="LMM751" s="574"/>
      <c r="LMN751" s="574"/>
      <c r="LMO751" s="574"/>
      <c r="LMP751" s="574"/>
      <c r="LMQ751" s="574"/>
      <c r="LMR751" s="574"/>
      <c r="LMS751" s="574"/>
      <c r="LMT751" s="574"/>
      <c r="LMU751" s="574"/>
      <c r="LMV751" s="574"/>
      <c r="LMW751" s="574"/>
      <c r="LMX751" s="574"/>
      <c r="LMY751" s="574"/>
      <c r="LMZ751" s="574"/>
      <c r="LNA751" s="574"/>
      <c r="LNB751" s="574"/>
      <c r="LNC751" s="574"/>
      <c r="LND751" s="574"/>
      <c r="LNE751" s="574"/>
      <c r="LNF751" s="574"/>
      <c r="LNG751" s="574"/>
      <c r="LNH751" s="574"/>
      <c r="LNI751" s="574"/>
      <c r="LNJ751" s="574"/>
      <c r="LNK751" s="574"/>
      <c r="LNL751" s="574"/>
      <c r="LNM751" s="574"/>
      <c r="LNN751" s="574"/>
      <c r="LNO751" s="574"/>
      <c r="LNP751" s="574"/>
      <c r="LNQ751" s="574"/>
      <c r="LNR751" s="574"/>
      <c r="LNS751" s="574"/>
      <c r="LNT751" s="574"/>
      <c r="LNU751" s="574"/>
      <c r="LNV751" s="574"/>
      <c r="LNW751" s="574"/>
      <c r="LNX751" s="574"/>
      <c r="LNY751" s="574"/>
      <c r="LNZ751" s="574"/>
      <c r="LOA751" s="574"/>
      <c r="LOB751" s="574"/>
      <c r="LOC751" s="574"/>
      <c r="LOD751" s="574"/>
      <c r="LOE751" s="574"/>
      <c r="LOF751" s="574"/>
      <c r="LOG751" s="574"/>
      <c r="LOH751" s="574"/>
      <c r="LOI751" s="574"/>
      <c r="LOJ751" s="574"/>
      <c r="LOK751" s="574"/>
      <c r="LOL751" s="574"/>
      <c r="LOM751" s="574"/>
      <c r="LON751" s="574"/>
      <c r="LOO751" s="574"/>
      <c r="LOP751" s="574"/>
      <c r="LOQ751" s="574"/>
      <c r="LOR751" s="574"/>
      <c r="LOS751" s="574"/>
      <c r="LOT751" s="574"/>
      <c r="LOU751" s="574"/>
      <c r="LOV751" s="574"/>
      <c r="LOW751" s="574"/>
      <c r="LOX751" s="574"/>
      <c r="LOY751" s="574"/>
      <c r="LOZ751" s="574"/>
      <c r="LPA751" s="574"/>
      <c r="LPB751" s="574"/>
      <c r="LPC751" s="574"/>
      <c r="LPD751" s="574"/>
      <c r="LPE751" s="574"/>
      <c r="LPF751" s="574"/>
      <c r="LPG751" s="574"/>
      <c r="LPH751" s="574"/>
      <c r="LPI751" s="574"/>
      <c r="LPJ751" s="574"/>
      <c r="LPK751" s="574"/>
      <c r="LPL751" s="574"/>
      <c r="LPM751" s="574"/>
      <c r="LPN751" s="574"/>
      <c r="LPO751" s="574"/>
      <c r="LPP751" s="574"/>
      <c r="LPQ751" s="574"/>
      <c r="LPR751" s="574"/>
      <c r="LPS751" s="574"/>
      <c r="LPT751" s="574"/>
      <c r="LPU751" s="574"/>
      <c r="LPV751" s="574"/>
      <c r="LPW751" s="574"/>
      <c r="LPX751" s="574"/>
      <c r="LPY751" s="574"/>
      <c r="LPZ751" s="574"/>
      <c r="LQA751" s="574"/>
      <c r="LQB751" s="574"/>
      <c r="LQC751" s="574"/>
      <c r="LQD751" s="574"/>
      <c r="LQE751" s="574"/>
      <c r="LQF751" s="574"/>
      <c r="LQG751" s="574"/>
      <c r="LQH751" s="574"/>
      <c r="LQI751" s="574"/>
      <c r="LQJ751" s="574"/>
      <c r="LQK751" s="574"/>
      <c r="LQL751" s="574"/>
      <c r="LQM751" s="574"/>
      <c r="LQN751" s="574"/>
      <c r="LQO751" s="574"/>
      <c r="LQP751" s="574"/>
      <c r="LQQ751" s="574"/>
      <c r="LQR751" s="574"/>
      <c r="LQS751" s="574"/>
      <c r="LQT751" s="574"/>
      <c r="LQU751" s="574"/>
      <c r="LQV751" s="574"/>
      <c r="LQW751" s="574"/>
      <c r="LQX751" s="574"/>
      <c r="LQY751" s="574"/>
      <c r="LQZ751" s="574"/>
      <c r="LRA751" s="574"/>
      <c r="LRB751" s="574"/>
      <c r="LRC751" s="574"/>
      <c r="LRD751" s="574"/>
      <c r="LRE751" s="574"/>
      <c r="LRF751" s="574"/>
      <c r="LRG751" s="574"/>
      <c r="LRH751" s="574"/>
      <c r="LRI751" s="574"/>
      <c r="LRJ751" s="574"/>
      <c r="LRK751" s="574"/>
      <c r="LRL751" s="574"/>
      <c r="LRM751" s="574"/>
      <c r="LRN751" s="574"/>
      <c r="LRO751" s="574"/>
      <c r="LRP751" s="574"/>
      <c r="LRQ751" s="574"/>
      <c r="LRR751" s="574"/>
      <c r="LRS751" s="574"/>
      <c r="LRT751" s="574"/>
      <c r="LRU751" s="574"/>
      <c r="LRV751" s="574"/>
      <c r="LRW751" s="574"/>
      <c r="LRX751" s="574"/>
      <c r="LRY751" s="574"/>
      <c r="LRZ751" s="574"/>
      <c r="LSA751" s="574"/>
      <c r="LSB751" s="574"/>
      <c r="LSC751" s="574"/>
      <c r="LSD751" s="574"/>
      <c r="LSE751" s="574"/>
      <c r="LSF751" s="574"/>
      <c r="LSG751" s="574"/>
      <c r="LSH751" s="574"/>
      <c r="LSI751" s="574"/>
      <c r="LSJ751" s="574"/>
      <c r="LSK751" s="574"/>
      <c r="LSL751" s="574"/>
      <c r="LSM751" s="574"/>
      <c r="LSN751" s="574"/>
      <c r="LSO751" s="574"/>
      <c r="LSP751" s="574"/>
      <c r="LSQ751" s="574"/>
      <c r="LSR751" s="574"/>
      <c r="LSS751" s="574"/>
      <c r="LST751" s="574"/>
      <c r="LSU751" s="574"/>
      <c r="LSV751" s="574"/>
      <c r="LSW751" s="574"/>
      <c r="LSX751" s="574"/>
      <c r="LSY751" s="574"/>
      <c r="LSZ751" s="574"/>
      <c r="LTA751" s="574"/>
      <c r="LTB751" s="574"/>
      <c r="LTC751" s="574"/>
      <c r="LTD751" s="574"/>
      <c r="LTE751" s="574"/>
      <c r="LTF751" s="574"/>
      <c r="LTG751" s="574"/>
      <c r="LTH751" s="574"/>
      <c r="LTI751" s="574"/>
      <c r="LTJ751" s="574"/>
      <c r="LTK751" s="574"/>
      <c r="LTL751" s="574"/>
      <c r="LTM751" s="574"/>
      <c r="LTN751" s="574"/>
      <c r="LTO751" s="574"/>
      <c r="LTP751" s="574"/>
      <c r="LTQ751" s="574"/>
      <c r="LTR751" s="574"/>
      <c r="LTS751" s="574"/>
      <c r="LTT751" s="574"/>
      <c r="LTU751" s="574"/>
      <c r="LTV751" s="574"/>
      <c r="LTW751" s="574"/>
      <c r="LTX751" s="574"/>
      <c r="LTY751" s="574"/>
      <c r="LTZ751" s="574"/>
      <c r="LUA751" s="574"/>
      <c r="LUB751" s="574"/>
      <c r="LUC751" s="574"/>
      <c r="LUD751" s="574"/>
      <c r="LUE751" s="574"/>
      <c r="LUF751" s="574"/>
      <c r="LUG751" s="574"/>
      <c r="LUH751" s="574"/>
      <c r="LUI751" s="574"/>
      <c r="LUJ751" s="574"/>
      <c r="LUK751" s="574"/>
      <c r="LUL751" s="574"/>
      <c r="LUM751" s="574"/>
      <c r="LUN751" s="574"/>
      <c r="LUO751" s="574"/>
      <c r="LUP751" s="574"/>
      <c r="LUQ751" s="574"/>
      <c r="LUR751" s="574"/>
      <c r="LUS751" s="574"/>
      <c r="LUT751" s="574"/>
      <c r="LUU751" s="574"/>
      <c r="LUV751" s="574"/>
      <c r="LUW751" s="574"/>
      <c r="LUX751" s="574"/>
      <c r="LUY751" s="574"/>
      <c r="LUZ751" s="574"/>
      <c r="LVA751" s="574"/>
      <c r="LVB751" s="574"/>
      <c r="LVC751" s="574"/>
      <c r="LVD751" s="574"/>
      <c r="LVE751" s="574"/>
      <c r="LVF751" s="574"/>
      <c r="LVG751" s="574"/>
      <c r="LVH751" s="574"/>
      <c r="LVI751" s="574"/>
      <c r="LVJ751" s="574"/>
      <c r="LVK751" s="574"/>
      <c r="LVL751" s="574"/>
      <c r="LVM751" s="574"/>
      <c r="LVN751" s="574"/>
      <c r="LVO751" s="574"/>
      <c r="LVP751" s="574"/>
      <c r="LVQ751" s="574"/>
      <c r="LVR751" s="574"/>
      <c r="LVS751" s="574"/>
      <c r="LVT751" s="574"/>
      <c r="LVU751" s="574"/>
      <c r="LVV751" s="574"/>
      <c r="LVW751" s="574"/>
      <c r="LVX751" s="574"/>
      <c r="LVY751" s="574"/>
      <c r="LVZ751" s="574"/>
      <c r="LWA751" s="574"/>
      <c r="LWB751" s="574"/>
      <c r="LWC751" s="574"/>
      <c r="LWD751" s="574"/>
      <c r="LWE751" s="574"/>
      <c r="LWF751" s="574"/>
      <c r="LWG751" s="574"/>
      <c r="LWH751" s="574"/>
      <c r="LWI751" s="574"/>
      <c r="LWJ751" s="574"/>
      <c r="LWK751" s="574"/>
      <c r="LWL751" s="574"/>
      <c r="LWM751" s="574"/>
      <c r="LWN751" s="574"/>
      <c r="LWO751" s="574"/>
      <c r="LWP751" s="574"/>
      <c r="LWQ751" s="574"/>
      <c r="LWR751" s="574"/>
      <c r="LWS751" s="574"/>
      <c r="LWT751" s="574"/>
      <c r="LWU751" s="574"/>
      <c r="LWV751" s="574"/>
      <c r="LWW751" s="574"/>
      <c r="LWX751" s="574"/>
      <c r="LWY751" s="574"/>
      <c r="LWZ751" s="574"/>
      <c r="LXA751" s="574"/>
      <c r="LXB751" s="574"/>
      <c r="LXC751" s="574"/>
      <c r="LXD751" s="574"/>
      <c r="LXE751" s="574"/>
      <c r="LXF751" s="574"/>
      <c r="LXG751" s="574"/>
      <c r="LXH751" s="574"/>
      <c r="LXI751" s="574"/>
      <c r="LXJ751" s="574"/>
      <c r="LXK751" s="574"/>
      <c r="LXL751" s="574"/>
      <c r="LXM751" s="574"/>
      <c r="LXN751" s="574"/>
      <c r="LXO751" s="574"/>
      <c r="LXP751" s="574"/>
      <c r="LXQ751" s="574"/>
      <c r="LXR751" s="574"/>
      <c r="LXS751" s="574"/>
      <c r="LXT751" s="574"/>
      <c r="LXU751" s="574"/>
      <c r="LXV751" s="574"/>
      <c r="LXW751" s="574"/>
      <c r="LXX751" s="574"/>
      <c r="LXY751" s="574"/>
      <c r="LXZ751" s="574"/>
      <c r="LYA751" s="574"/>
      <c r="LYB751" s="574"/>
      <c r="LYC751" s="574"/>
      <c r="LYD751" s="574"/>
      <c r="LYE751" s="574"/>
      <c r="LYF751" s="574"/>
      <c r="LYG751" s="574"/>
      <c r="LYH751" s="574"/>
      <c r="LYI751" s="574"/>
      <c r="LYJ751" s="574"/>
      <c r="LYK751" s="574"/>
      <c r="LYL751" s="574"/>
      <c r="LYM751" s="574"/>
      <c r="LYN751" s="574"/>
      <c r="LYO751" s="574"/>
      <c r="LYP751" s="574"/>
      <c r="LYQ751" s="574"/>
      <c r="LYR751" s="574"/>
      <c r="LYS751" s="574"/>
      <c r="LYT751" s="574"/>
      <c r="LYU751" s="574"/>
      <c r="LYV751" s="574"/>
      <c r="LYW751" s="574"/>
      <c r="LYX751" s="574"/>
      <c r="LYY751" s="574"/>
      <c r="LYZ751" s="574"/>
      <c r="LZA751" s="574"/>
      <c r="LZB751" s="574"/>
      <c r="LZC751" s="574"/>
      <c r="LZD751" s="574"/>
      <c r="LZE751" s="574"/>
      <c r="LZF751" s="574"/>
      <c r="LZG751" s="574"/>
      <c r="LZH751" s="574"/>
      <c r="LZI751" s="574"/>
      <c r="LZJ751" s="574"/>
      <c r="LZK751" s="574"/>
      <c r="LZL751" s="574"/>
      <c r="LZM751" s="574"/>
      <c r="LZN751" s="574"/>
      <c r="LZO751" s="574"/>
      <c r="LZP751" s="574"/>
      <c r="LZQ751" s="574"/>
      <c r="LZR751" s="574"/>
      <c r="LZS751" s="574"/>
      <c r="LZT751" s="574"/>
      <c r="LZU751" s="574"/>
      <c r="LZV751" s="574"/>
      <c r="LZW751" s="574"/>
      <c r="LZX751" s="574"/>
      <c r="LZY751" s="574"/>
      <c r="LZZ751" s="574"/>
      <c r="MAA751" s="574"/>
      <c r="MAB751" s="574"/>
      <c r="MAC751" s="574"/>
      <c r="MAD751" s="574"/>
      <c r="MAE751" s="574"/>
      <c r="MAF751" s="574"/>
      <c r="MAG751" s="574"/>
      <c r="MAH751" s="574"/>
      <c r="MAI751" s="574"/>
      <c r="MAJ751" s="574"/>
      <c r="MAK751" s="574"/>
      <c r="MAL751" s="574"/>
      <c r="MAM751" s="574"/>
      <c r="MAN751" s="574"/>
      <c r="MAO751" s="574"/>
      <c r="MAP751" s="574"/>
      <c r="MAQ751" s="574"/>
      <c r="MAR751" s="574"/>
      <c r="MAS751" s="574"/>
      <c r="MAT751" s="574"/>
      <c r="MAU751" s="574"/>
      <c r="MAV751" s="574"/>
      <c r="MAW751" s="574"/>
      <c r="MAX751" s="574"/>
      <c r="MAY751" s="574"/>
      <c r="MAZ751" s="574"/>
      <c r="MBA751" s="574"/>
      <c r="MBB751" s="574"/>
      <c r="MBC751" s="574"/>
      <c r="MBD751" s="574"/>
      <c r="MBE751" s="574"/>
      <c r="MBF751" s="574"/>
      <c r="MBG751" s="574"/>
      <c r="MBH751" s="574"/>
      <c r="MBI751" s="574"/>
      <c r="MBJ751" s="574"/>
      <c r="MBK751" s="574"/>
      <c r="MBL751" s="574"/>
      <c r="MBM751" s="574"/>
      <c r="MBN751" s="574"/>
      <c r="MBO751" s="574"/>
      <c r="MBP751" s="574"/>
      <c r="MBQ751" s="574"/>
      <c r="MBR751" s="574"/>
      <c r="MBS751" s="574"/>
      <c r="MBT751" s="574"/>
      <c r="MBU751" s="574"/>
      <c r="MBV751" s="574"/>
      <c r="MBW751" s="574"/>
      <c r="MBX751" s="574"/>
      <c r="MBY751" s="574"/>
      <c r="MBZ751" s="574"/>
      <c r="MCA751" s="574"/>
      <c r="MCB751" s="574"/>
      <c r="MCC751" s="574"/>
      <c r="MCD751" s="574"/>
      <c r="MCE751" s="574"/>
      <c r="MCF751" s="574"/>
      <c r="MCG751" s="574"/>
      <c r="MCH751" s="574"/>
      <c r="MCI751" s="574"/>
      <c r="MCJ751" s="574"/>
      <c r="MCK751" s="574"/>
      <c r="MCL751" s="574"/>
      <c r="MCM751" s="574"/>
      <c r="MCN751" s="574"/>
      <c r="MCO751" s="574"/>
      <c r="MCP751" s="574"/>
      <c r="MCQ751" s="574"/>
      <c r="MCR751" s="574"/>
      <c r="MCS751" s="574"/>
      <c r="MCT751" s="574"/>
      <c r="MCU751" s="574"/>
      <c r="MCV751" s="574"/>
      <c r="MCW751" s="574"/>
      <c r="MCX751" s="574"/>
      <c r="MCY751" s="574"/>
      <c r="MCZ751" s="574"/>
      <c r="MDA751" s="574"/>
      <c r="MDB751" s="574"/>
      <c r="MDC751" s="574"/>
      <c r="MDD751" s="574"/>
      <c r="MDE751" s="574"/>
      <c r="MDF751" s="574"/>
      <c r="MDG751" s="574"/>
      <c r="MDH751" s="574"/>
      <c r="MDI751" s="574"/>
      <c r="MDJ751" s="574"/>
      <c r="MDK751" s="574"/>
      <c r="MDL751" s="574"/>
      <c r="MDM751" s="574"/>
      <c r="MDN751" s="574"/>
      <c r="MDO751" s="574"/>
      <c r="MDP751" s="574"/>
      <c r="MDQ751" s="574"/>
      <c r="MDR751" s="574"/>
      <c r="MDS751" s="574"/>
      <c r="MDT751" s="574"/>
      <c r="MDU751" s="574"/>
      <c r="MDV751" s="574"/>
      <c r="MDW751" s="574"/>
      <c r="MDX751" s="574"/>
      <c r="MDY751" s="574"/>
      <c r="MDZ751" s="574"/>
      <c r="MEA751" s="574"/>
      <c r="MEB751" s="574"/>
      <c r="MEC751" s="574"/>
      <c r="MED751" s="574"/>
      <c r="MEE751" s="574"/>
      <c r="MEF751" s="574"/>
      <c r="MEG751" s="574"/>
      <c r="MEH751" s="574"/>
      <c r="MEI751" s="574"/>
      <c r="MEJ751" s="574"/>
      <c r="MEK751" s="574"/>
      <c r="MEL751" s="574"/>
      <c r="MEM751" s="574"/>
      <c r="MEN751" s="574"/>
      <c r="MEO751" s="574"/>
      <c r="MEP751" s="574"/>
      <c r="MEQ751" s="574"/>
      <c r="MER751" s="574"/>
      <c r="MES751" s="574"/>
      <c r="MET751" s="574"/>
      <c r="MEU751" s="574"/>
      <c r="MEV751" s="574"/>
      <c r="MEW751" s="574"/>
      <c r="MEX751" s="574"/>
      <c r="MEY751" s="574"/>
      <c r="MEZ751" s="574"/>
      <c r="MFA751" s="574"/>
      <c r="MFB751" s="574"/>
      <c r="MFC751" s="574"/>
      <c r="MFD751" s="574"/>
      <c r="MFE751" s="574"/>
      <c r="MFF751" s="574"/>
      <c r="MFG751" s="574"/>
      <c r="MFH751" s="574"/>
      <c r="MFI751" s="574"/>
      <c r="MFJ751" s="574"/>
      <c r="MFK751" s="574"/>
      <c r="MFL751" s="574"/>
      <c r="MFM751" s="574"/>
      <c r="MFN751" s="574"/>
      <c r="MFO751" s="574"/>
      <c r="MFP751" s="574"/>
      <c r="MFQ751" s="574"/>
      <c r="MFR751" s="574"/>
      <c r="MFS751" s="574"/>
      <c r="MFT751" s="574"/>
      <c r="MFU751" s="574"/>
      <c r="MFV751" s="574"/>
      <c r="MFW751" s="574"/>
      <c r="MFX751" s="574"/>
      <c r="MFY751" s="574"/>
      <c r="MFZ751" s="574"/>
      <c r="MGA751" s="574"/>
      <c r="MGB751" s="574"/>
      <c r="MGC751" s="574"/>
      <c r="MGD751" s="574"/>
      <c r="MGE751" s="574"/>
      <c r="MGF751" s="574"/>
      <c r="MGG751" s="574"/>
      <c r="MGH751" s="574"/>
      <c r="MGI751" s="574"/>
      <c r="MGJ751" s="574"/>
      <c r="MGK751" s="574"/>
      <c r="MGL751" s="574"/>
      <c r="MGM751" s="574"/>
      <c r="MGN751" s="574"/>
      <c r="MGO751" s="574"/>
      <c r="MGP751" s="574"/>
      <c r="MGQ751" s="574"/>
      <c r="MGR751" s="574"/>
      <c r="MGS751" s="574"/>
      <c r="MGT751" s="574"/>
      <c r="MGU751" s="574"/>
      <c r="MGV751" s="574"/>
      <c r="MGW751" s="574"/>
      <c r="MGX751" s="574"/>
      <c r="MGY751" s="574"/>
      <c r="MGZ751" s="574"/>
      <c r="MHA751" s="574"/>
      <c r="MHB751" s="574"/>
      <c r="MHC751" s="574"/>
      <c r="MHD751" s="574"/>
      <c r="MHE751" s="574"/>
      <c r="MHF751" s="574"/>
      <c r="MHG751" s="574"/>
      <c r="MHH751" s="574"/>
      <c r="MHI751" s="574"/>
      <c r="MHJ751" s="574"/>
      <c r="MHK751" s="574"/>
      <c r="MHL751" s="574"/>
      <c r="MHM751" s="574"/>
      <c r="MHN751" s="574"/>
      <c r="MHO751" s="574"/>
      <c r="MHP751" s="574"/>
      <c r="MHQ751" s="574"/>
      <c r="MHR751" s="574"/>
      <c r="MHS751" s="574"/>
      <c r="MHT751" s="574"/>
      <c r="MHU751" s="574"/>
      <c r="MHV751" s="574"/>
      <c r="MHW751" s="574"/>
      <c r="MHX751" s="574"/>
      <c r="MHY751" s="574"/>
      <c r="MHZ751" s="574"/>
      <c r="MIA751" s="574"/>
      <c r="MIB751" s="574"/>
      <c r="MIC751" s="574"/>
      <c r="MID751" s="574"/>
      <c r="MIE751" s="574"/>
      <c r="MIF751" s="574"/>
      <c r="MIG751" s="574"/>
      <c r="MIH751" s="574"/>
      <c r="MII751" s="574"/>
      <c r="MIJ751" s="574"/>
      <c r="MIK751" s="574"/>
      <c r="MIL751" s="574"/>
      <c r="MIM751" s="574"/>
      <c r="MIN751" s="574"/>
      <c r="MIO751" s="574"/>
      <c r="MIP751" s="574"/>
      <c r="MIQ751" s="574"/>
      <c r="MIR751" s="574"/>
      <c r="MIS751" s="574"/>
      <c r="MIT751" s="574"/>
      <c r="MIU751" s="574"/>
      <c r="MIV751" s="574"/>
      <c r="MIW751" s="574"/>
      <c r="MIX751" s="574"/>
      <c r="MIY751" s="574"/>
      <c r="MIZ751" s="574"/>
      <c r="MJA751" s="574"/>
      <c r="MJB751" s="574"/>
      <c r="MJC751" s="574"/>
      <c r="MJD751" s="574"/>
      <c r="MJE751" s="574"/>
      <c r="MJF751" s="574"/>
      <c r="MJG751" s="574"/>
      <c r="MJH751" s="574"/>
      <c r="MJI751" s="574"/>
      <c r="MJJ751" s="574"/>
      <c r="MJK751" s="574"/>
      <c r="MJL751" s="574"/>
      <c r="MJM751" s="574"/>
      <c r="MJN751" s="574"/>
      <c r="MJO751" s="574"/>
      <c r="MJP751" s="574"/>
      <c r="MJQ751" s="574"/>
      <c r="MJR751" s="574"/>
      <c r="MJS751" s="574"/>
      <c r="MJT751" s="574"/>
      <c r="MJU751" s="574"/>
      <c r="MJV751" s="574"/>
      <c r="MJW751" s="574"/>
      <c r="MJX751" s="574"/>
      <c r="MJY751" s="574"/>
      <c r="MJZ751" s="574"/>
      <c r="MKA751" s="574"/>
      <c r="MKB751" s="574"/>
      <c r="MKC751" s="574"/>
      <c r="MKD751" s="574"/>
      <c r="MKE751" s="574"/>
      <c r="MKF751" s="574"/>
      <c r="MKG751" s="574"/>
      <c r="MKH751" s="574"/>
      <c r="MKI751" s="574"/>
      <c r="MKJ751" s="574"/>
      <c r="MKK751" s="574"/>
      <c r="MKL751" s="574"/>
      <c r="MKM751" s="574"/>
      <c r="MKN751" s="574"/>
      <c r="MKO751" s="574"/>
      <c r="MKP751" s="574"/>
      <c r="MKQ751" s="574"/>
      <c r="MKR751" s="574"/>
      <c r="MKS751" s="574"/>
      <c r="MKT751" s="574"/>
      <c r="MKU751" s="574"/>
      <c r="MKV751" s="574"/>
      <c r="MKW751" s="574"/>
      <c r="MKX751" s="574"/>
      <c r="MKY751" s="574"/>
      <c r="MKZ751" s="574"/>
      <c r="MLA751" s="574"/>
      <c r="MLB751" s="574"/>
      <c r="MLC751" s="574"/>
      <c r="MLD751" s="574"/>
      <c r="MLE751" s="574"/>
      <c r="MLF751" s="574"/>
      <c r="MLG751" s="574"/>
      <c r="MLH751" s="574"/>
      <c r="MLI751" s="574"/>
      <c r="MLJ751" s="574"/>
      <c r="MLK751" s="574"/>
      <c r="MLL751" s="574"/>
      <c r="MLM751" s="574"/>
      <c r="MLN751" s="574"/>
      <c r="MLO751" s="574"/>
      <c r="MLP751" s="574"/>
      <c r="MLQ751" s="574"/>
      <c r="MLR751" s="574"/>
      <c r="MLS751" s="574"/>
      <c r="MLT751" s="574"/>
      <c r="MLU751" s="574"/>
      <c r="MLV751" s="574"/>
      <c r="MLW751" s="574"/>
      <c r="MLX751" s="574"/>
      <c r="MLY751" s="574"/>
      <c r="MLZ751" s="574"/>
      <c r="MMA751" s="574"/>
      <c r="MMB751" s="574"/>
      <c r="MMC751" s="574"/>
      <c r="MMD751" s="574"/>
      <c r="MME751" s="574"/>
      <c r="MMF751" s="574"/>
      <c r="MMG751" s="574"/>
      <c r="MMH751" s="574"/>
      <c r="MMI751" s="574"/>
      <c r="MMJ751" s="574"/>
      <c r="MMK751" s="574"/>
      <c r="MML751" s="574"/>
      <c r="MMM751" s="574"/>
      <c r="MMN751" s="574"/>
      <c r="MMO751" s="574"/>
      <c r="MMP751" s="574"/>
      <c r="MMQ751" s="574"/>
      <c r="MMR751" s="574"/>
      <c r="MMS751" s="574"/>
      <c r="MMT751" s="574"/>
      <c r="MMU751" s="574"/>
      <c r="MMV751" s="574"/>
      <c r="MMW751" s="574"/>
      <c r="MMX751" s="574"/>
      <c r="MMY751" s="574"/>
      <c r="MMZ751" s="574"/>
      <c r="MNA751" s="574"/>
      <c r="MNB751" s="574"/>
      <c r="MNC751" s="574"/>
      <c r="MND751" s="574"/>
      <c r="MNE751" s="574"/>
      <c r="MNF751" s="574"/>
      <c r="MNG751" s="574"/>
      <c r="MNH751" s="574"/>
      <c r="MNI751" s="574"/>
      <c r="MNJ751" s="574"/>
      <c r="MNK751" s="574"/>
      <c r="MNL751" s="574"/>
      <c r="MNM751" s="574"/>
      <c r="MNN751" s="574"/>
      <c r="MNO751" s="574"/>
      <c r="MNP751" s="574"/>
      <c r="MNQ751" s="574"/>
      <c r="MNR751" s="574"/>
      <c r="MNS751" s="574"/>
      <c r="MNT751" s="574"/>
      <c r="MNU751" s="574"/>
      <c r="MNV751" s="574"/>
      <c r="MNW751" s="574"/>
      <c r="MNX751" s="574"/>
      <c r="MNY751" s="574"/>
      <c r="MNZ751" s="574"/>
      <c r="MOA751" s="574"/>
      <c r="MOB751" s="574"/>
      <c r="MOC751" s="574"/>
      <c r="MOD751" s="574"/>
      <c r="MOE751" s="574"/>
      <c r="MOF751" s="574"/>
      <c r="MOG751" s="574"/>
      <c r="MOH751" s="574"/>
      <c r="MOI751" s="574"/>
      <c r="MOJ751" s="574"/>
      <c r="MOK751" s="574"/>
      <c r="MOL751" s="574"/>
      <c r="MOM751" s="574"/>
      <c r="MON751" s="574"/>
      <c r="MOO751" s="574"/>
      <c r="MOP751" s="574"/>
      <c r="MOQ751" s="574"/>
      <c r="MOR751" s="574"/>
      <c r="MOS751" s="574"/>
      <c r="MOT751" s="574"/>
      <c r="MOU751" s="574"/>
      <c r="MOV751" s="574"/>
      <c r="MOW751" s="574"/>
      <c r="MOX751" s="574"/>
      <c r="MOY751" s="574"/>
      <c r="MOZ751" s="574"/>
      <c r="MPA751" s="574"/>
      <c r="MPB751" s="574"/>
      <c r="MPC751" s="574"/>
      <c r="MPD751" s="574"/>
      <c r="MPE751" s="574"/>
      <c r="MPF751" s="574"/>
      <c r="MPG751" s="574"/>
      <c r="MPH751" s="574"/>
      <c r="MPI751" s="574"/>
      <c r="MPJ751" s="574"/>
      <c r="MPK751" s="574"/>
      <c r="MPL751" s="574"/>
      <c r="MPM751" s="574"/>
      <c r="MPN751" s="574"/>
      <c r="MPO751" s="574"/>
      <c r="MPP751" s="574"/>
      <c r="MPQ751" s="574"/>
      <c r="MPR751" s="574"/>
      <c r="MPS751" s="574"/>
      <c r="MPT751" s="574"/>
      <c r="MPU751" s="574"/>
      <c r="MPV751" s="574"/>
      <c r="MPW751" s="574"/>
      <c r="MPX751" s="574"/>
      <c r="MPY751" s="574"/>
      <c r="MPZ751" s="574"/>
      <c r="MQA751" s="574"/>
      <c r="MQB751" s="574"/>
      <c r="MQC751" s="574"/>
      <c r="MQD751" s="574"/>
      <c r="MQE751" s="574"/>
      <c r="MQF751" s="574"/>
      <c r="MQG751" s="574"/>
      <c r="MQH751" s="574"/>
      <c r="MQI751" s="574"/>
      <c r="MQJ751" s="574"/>
      <c r="MQK751" s="574"/>
      <c r="MQL751" s="574"/>
      <c r="MQM751" s="574"/>
      <c r="MQN751" s="574"/>
      <c r="MQO751" s="574"/>
      <c r="MQP751" s="574"/>
      <c r="MQQ751" s="574"/>
      <c r="MQR751" s="574"/>
      <c r="MQS751" s="574"/>
      <c r="MQT751" s="574"/>
      <c r="MQU751" s="574"/>
      <c r="MQV751" s="574"/>
      <c r="MQW751" s="574"/>
      <c r="MQX751" s="574"/>
      <c r="MQY751" s="574"/>
      <c r="MQZ751" s="574"/>
      <c r="MRA751" s="574"/>
      <c r="MRB751" s="574"/>
      <c r="MRC751" s="574"/>
      <c r="MRD751" s="574"/>
      <c r="MRE751" s="574"/>
      <c r="MRF751" s="574"/>
      <c r="MRG751" s="574"/>
      <c r="MRH751" s="574"/>
      <c r="MRI751" s="574"/>
      <c r="MRJ751" s="574"/>
      <c r="MRK751" s="574"/>
      <c r="MRL751" s="574"/>
      <c r="MRM751" s="574"/>
      <c r="MRN751" s="574"/>
      <c r="MRO751" s="574"/>
      <c r="MRP751" s="574"/>
      <c r="MRQ751" s="574"/>
      <c r="MRR751" s="574"/>
      <c r="MRS751" s="574"/>
      <c r="MRT751" s="574"/>
      <c r="MRU751" s="574"/>
      <c r="MRV751" s="574"/>
      <c r="MRW751" s="574"/>
      <c r="MRX751" s="574"/>
      <c r="MRY751" s="574"/>
      <c r="MRZ751" s="574"/>
      <c r="MSA751" s="574"/>
      <c r="MSB751" s="574"/>
      <c r="MSC751" s="574"/>
      <c r="MSD751" s="574"/>
      <c r="MSE751" s="574"/>
      <c r="MSF751" s="574"/>
      <c r="MSG751" s="574"/>
      <c r="MSH751" s="574"/>
      <c r="MSI751" s="574"/>
      <c r="MSJ751" s="574"/>
      <c r="MSK751" s="574"/>
      <c r="MSL751" s="574"/>
      <c r="MSM751" s="574"/>
      <c r="MSN751" s="574"/>
      <c r="MSO751" s="574"/>
      <c r="MSP751" s="574"/>
      <c r="MSQ751" s="574"/>
      <c r="MSR751" s="574"/>
      <c r="MSS751" s="574"/>
      <c r="MST751" s="574"/>
      <c r="MSU751" s="574"/>
      <c r="MSV751" s="574"/>
      <c r="MSW751" s="574"/>
      <c r="MSX751" s="574"/>
      <c r="MSY751" s="574"/>
      <c r="MSZ751" s="574"/>
      <c r="MTA751" s="574"/>
      <c r="MTB751" s="574"/>
      <c r="MTC751" s="574"/>
      <c r="MTD751" s="574"/>
      <c r="MTE751" s="574"/>
      <c r="MTF751" s="574"/>
      <c r="MTG751" s="574"/>
      <c r="MTH751" s="574"/>
      <c r="MTI751" s="574"/>
      <c r="MTJ751" s="574"/>
      <c r="MTK751" s="574"/>
      <c r="MTL751" s="574"/>
      <c r="MTM751" s="574"/>
      <c r="MTN751" s="574"/>
      <c r="MTO751" s="574"/>
      <c r="MTP751" s="574"/>
      <c r="MTQ751" s="574"/>
      <c r="MTR751" s="574"/>
      <c r="MTS751" s="574"/>
      <c r="MTT751" s="574"/>
      <c r="MTU751" s="574"/>
      <c r="MTV751" s="574"/>
      <c r="MTW751" s="574"/>
      <c r="MTX751" s="574"/>
      <c r="MTY751" s="574"/>
      <c r="MTZ751" s="574"/>
      <c r="MUA751" s="574"/>
      <c r="MUB751" s="574"/>
      <c r="MUC751" s="574"/>
      <c r="MUD751" s="574"/>
      <c r="MUE751" s="574"/>
      <c r="MUF751" s="574"/>
      <c r="MUG751" s="574"/>
      <c r="MUH751" s="574"/>
      <c r="MUI751" s="574"/>
      <c r="MUJ751" s="574"/>
      <c r="MUK751" s="574"/>
      <c r="MUL751" s="574"/>
      <c r="MUM751" s="574"/>
      <c r="MUN751" s="574"/>
      <c r="MUO751" s="574"/>
      <c r="MUP751" s="574"/>
      <c r="MUQ751" s="574"/>
      <c r="MUR751" s="574"/>
      <c r="MUS751" s="574"/>
      <c r="MUT751" s="574"/>
      <c r="MUU751" s="574"/>
      <c r="MUV751" s="574"/>
      <c r="MUW751" s="574"/>
      <c r="MUX751" s="574"/>
      <c r="MUY751" s="574"/>
      <c r="MUZ751" s="574"/>
      <c r="MVA751" s="574"/>
      <c r="MVB751" s="574"/>
      <c r="MVC751" s="574"/>
      <c r="MVD751" s="574"/>
      <c r="MVE751" s="574"/>
      <c r="MVF751" s="574"/>
      <c r="MVG751" s="574"/>
      <c r="MVH751" s="574"/>
      <c r="MVI751" s="574"/>
      <c r="MVJ751" s="574"/>
      <c r="MVK751" s="574"/>
      <c r="MVL751" s="574"/>
      <c r="MVM751" s="574"/>
      <c r="MVN751" s="574"/>
      <c r="MVO751" s="574"/>
      <c r="MVP751" s="574"/>
      <c r="MVQ751" s="574"/>
      <c r="MVR751" s="574"/>
      <c r="MVS751" s="574"/>
      <c r="MVT751" s="574"/>
      <c r="MVU751" s="574"/>
      <c r="MVV751" s="574"/>
      <c r="MVW751" s="574"/>
      <c r="MVX751" s="574"/>
      <c r="MVY751" s="574"/>
      <c r="MVZ751" s="574"/>
      <c r="MWA751" s="574"/>
      <c r="MWB751" s="574"/>
      <c r="MWC751" s="574"/>
      <c r="MWD751" s="574"/>
      <c r="MWE751" s="574"/>
      <c r="MWF751" s="574"/>
      <c r="MWG751" s="574"/>
      <c r="MWH751" s="574"/>
      <c r="MWI751" s="574"/>
      <c r="MWJ751" s="574"/>
      <c r="MWK751" s="574"/>
      <c r="MWL751" s="574"/>
      <c r="MWM751" s="574"/>
      <c r="MWN751" s="574"/>
      <c r="MWO751" s="574"/>
      <c r="MWP751" s="574"/>
      <c r="MWQ751" s="574"/>
      <c r="MWR751" s="574"/>
      <c r="MWS751" s="574"/>
      <c r="MWT751" s="574"/>
      <c r="MWU751" s="574"/>
      <c r="MWV751" s="574"/>
      <c r="MWW751" s="574"/>
      <c r="MWX751" s="574"/>
      <c r="MWY751" s="574"/>
      <c r="MWZ751" s="574"/>
      <c r="MXA751" s="574"/>
      <c r="MXB751" s="574"/>
      <c r="MXC751" s="574"/>
      <c r="MXD751" s="574"/>
      <c r="MXE751" s="574"/>
      <c r="MXF751" s="574"/>
      <c r="MXG751" s="574"/>
      <c r="MXH751" s="574"/>
      <c r="MXI751" s="574"/>
      <c r="MXJ751" s="574"/>
      <c r="MXK751" s="574"/>
      <c r="MXL751" s="574"/>
      <c r="MXM751" s="574"/>
      <c r="MXN751" s="574"/>
      <c r="MXO751" s="574"/>
      <c r="MXP751" s="574"/>
      <c r="MXQ751" s="574"/>
      <c r="MXR751" s="574"/>
      <c r="MXS751" s="574"/>
      <c r="MXT751" s="574"/>
      <c r="MXU751" s="574"/>
      <c r="MXV751" s="574"/>
      <c r="MXW751" s="574"/>
      <c r="MXX751" s="574"/>
      <c r="MXY751" s="574"/>
      <c r="MXZ751" s="574"/>
      <c r="MYA751" s="574"/>
      <c r="MYB751" s="574"/>
      <c r="MYC751" s="574"/>
      <c r="MYD751" s="574"/>
      <c r="MYE751" s="574"/>
      <c r="MYF751" s="574"/>
      <c r="MYG751" s="574"/>
      <c r="MYH751" s="574"/>
      <c r="MYI751" s="574"/>
      <c r="MYJ751" s="574"/>
      <c r="MYK751" s="574"/>
      <c r="MYL751" s="574"/>
      <c r="MYM751" s="574"/>
      <c r="MYN751" s="574"/>
      <c r="MYO751" s="574"/>
      <c r="MYP751" s="574"/>
      <c r="MYQ751" s="574"/>
      <c r="MYR751" s="574"/>
      <c r="MYS751" s="574"/>
      <c r="MYT751" s="574"/>
      <c r="MYU751" s="574"/>
      <c r="MYV751" s="574"/>
      <c r="MYW751" s="574"/>
      <c r="MYX751" s="574"/>
      <c r="MYY751" s="574"/>
      <c r="MYZ751" s="574"/>
      <c r="MZA751" s="574"/>
      <c r="MZB751" s="574"/>
      <c r="MZC751" s="574"/>
      <c r="MZD751" s="574"/>
      <c r="MZE751" s="574"/>
      <c r="MZF751" s="574"/>
      <c r="MZG751" s="574"/>
      <c r="MZH751" s="574"/>
      <c r="MZI751" s="574"/>
      <c r="MZJ751" s="574"/>
      <c r="MZK751" s="574"/>
      <c r="MZL751" s="574"/>
      <c r="MZM751" s="574"/>
      <c r="MZN751" s="574"/>
      <c r="MZO751" s="574"/>
      <c r="MZP751" s="574"/>
      <c r="MZQ751" s="574"/>
      <c r="MZR751" s="574"/>
      <c r="MZS751" s="574"/>
      <c r="MZT751" s="574"/>
      <c r="MZU751" s="574"/>
      <c r="MZV751" s="574"/>
      <c r="MZW751" s="574"/>
      <c r="MZX751" s="574"/>
      <c r="MZY751" s="574"/>
      <c r="MZZ751" s="574"/>
      <c r="NAA751" s="574"/>
      <c r="NAB751" s="574"/>
      <c r="NAC751" s="574"/>
      <c r="NAD751" s="574"/>
      <c r="NAE751" s="574"/>
      <c r="NAF751" s="574"/>
      <c r="NAG751" s="574"/>
      <c r="NAH751" s="574"/>
      <c r="NAI751" s="574"/>
      <c r="NAJ751" s="574"/>
      <c r="NAK751" s="574"/>
      <c r="NAL751" s="574"/>
      <c r="NAM751" s="574"/>
      <c r="NAN751" s="574"/>
      <c r="NAO751" s="574"/>
      <c r="NAP751" s="574"/>
      <c r="NAQ751" s="574"/>
      <c r="NAR751" s="574"/>
      <c r="NAS751" s="574"/>
      <c r="NAT751" s="574"/>
      <c r="NAU751" s="574"/>
      <c r="NAV751" s="574"/>
      <c r="NAW751" s="574"/>
      <c r="NAX751" s="574"/>
      <c r="NAY751" s="574"/>
      <c r="NAZ751" s="574"/>
      <c r="NBA751" s="574"/>
      <c r="NBB751" s="574"/>
      <c r="NBC751" s="574"/>
      <c r="NBD751" s="574"/>
      <c r="NBE751" s="574"/>
      <c r="NBF751" s="574"/>
      <c r="NBG751" s="574"/>
      <c r="NBH751" s="574"/>
      <c r="NBI751" s="574"/>
      <c r="NBJ751" s="574"/>
      <c r="NBK751" s="574"/>
      <c r="NBL751" s="574"/>
      <c r="NBM751" s="574"/>
      <c r="NBN751" s="574"/>
      <c r="NBO751" s="574"/>
      <c r="NBP751" s="574"/>
      <c r="NBQ751" s="574"/>
      <c r="NBR751" s="574"/>
      <c r="NBS751" s="574"/>
      <c r="NBT751" s="574"/>
      <c r="NBU751" s="574"/>
      <c r="NBV751" s="574"/>
      <c r="NBW751" s="574"/>
      <c r="NBX751" s="574"/>
      <c r="NBY751" s="574"/>
      <c r="NBZ751" s="574"/>
      <c r="NCA751" s="574"/>
      <c r="NCB751" s="574"/>
      <c r="NCC751" s="574"/>
      <c r="NCD751" s="574"/>
      <c r="NCE751" s="574"/>
      <c r="NCF751" s="574"/>
      <c r="NCG751" s="574"/>
      <c r="NCH751" s="574"/>
      <c r="NCI751" s="574"/>
      <c r="NCJ751" s="574"/>
      <c r="NCK751" s="574"/>
      <c r="NCL751" s="574"/>
      <c r="NCM751" s="574"/>
      <c r="NCN751" s="574"/>
      <c r="NCO751" s="574"/>
      <c r="NCP751" s="574"/>
      <c r="NCQ751" s="574"/>
      <c r="NCR751" s="574"/>
      <c r="NCS751" s="574"/>
      <c r="NCT751" s="574"/>
      <c r="NCU751" s="574"/>
      <c r="NCV751" s="574"/>
      <c r="NCW751" s="574"/>
      <c r="NCX751" s="574"/>
      <c r="NCY751" s="574"/>
      <c r="NCZ751" s="574"/>
      <c r="NDA751" s="574"/>
      <c r="NDB751" s="574"/>
      <c r="NDC751" s="574"/>
      <c r="NDD751" s="574"/>
      <c r="NDE751" s="574"/>
      <c r="NDF751" s="574"/>
      <c r="NDG751" s="574"/>
      <c r="NDH751" s="574"/>
      <c r="NDI751" s="574"/>
      <c r="NDJ751" s="574"/>
      <c r="NDK751" s="574"/>
      <c r="NDL751" s="574"/>
      <c r="NDM751" s="574"/>
      <c r="NDN751" s="574"/>
      <c r="NDO751" s="574"/>
      <c r="NDP751" s="574"/>
      <c r="NDQ751" s="574"/>
      <c r="NDR751" s="574"/>
      <c r="NDS751" s="574"/>
      <c r="NDT751" s="574"/>
      <c r="NDU751" s="574"/>
      <c r="NDV751" s="574"/>
      <c r="NDW751" s="574"/>
      <c r="NDX751" s="574"/>
      <c r="NDY751" s="574"/>
      <c r="NDZ751" s="574"/>
      <c r="NEA751" s="574"/>
      <c r="NEB751" s="574"/>
      <c r="NEC751" s="574"/>
      <c r="NED751" s="574"/>
      <c r="NEE751" s="574"/>
      <c r="NEF751" s="574"/>
      <c r="NEG751" s="574"/>
      <c r="NEH751" s="574"/>
      <c r="NEI751" s="574"/>
      <c r="NEJ751" s="574"/>
      <c r="NEK751" s="574"/>
      <c r="NEL751" s="574"/>
      <c r="NEM751" s="574"/>
      <c r="NEN751" s="574"/>
      <c r="NEO751" s="574"/>
      <c r="NEP751" s="574"/>
      <c r="NEQ751" s="574"/>
      <c r="NER751" s="574"/>
      <c r="NES751" s="574"/>
      <c r="NET751" s="574"/>
      <c r="NEU751" s="574"/>
      <c r="NEV751" s="574"/>
      <c r="NEW751" s="574"/>
      <c r="NEX751" s="574"/>
      <c r="NEY751" s="574"/>
      <c r="NEZ751" s="574"/>
      <c r="NFA751" s="574"/>
      <c r="NFB751" s="574"/>
      <c r="NFC751" s="574"/>
      <c r="NFD751" s="574"/>
      <c r="NFE751" s="574"/>
      <c r="NFF751" s="574"/>
      <c r="NFG751" s="574"/>
      <c r="NFH751" s="574"/>
      <c r="NFI751" s="574"/>
      <c r="NFJ751" s="574"/>
      <c r="NFK751" s="574"/>
      <c r="NFL751" s="574"/>
      <c r="NFM751" s="574"/>
      <c r="NFN751" s="574"/>
      <c r="NFO751" s="574"/>
      <c r="NFP751" s="574"/>
      <c r="NFQ751" s="574"/>
      <c r="NFR751" s="574"/>
      <c r="NFS751" s="574"/>
      <c r="NFT751" s="574"/>
      <c r="NFU751" s="574"/>
      <c r="NFV751" s="574"/>
      <c r="NFW751" s="574"/>
      <c r="NFX751" s="574"/>
      <c r="NFY751" s="574"/>
      <c r="NFZ751" s="574"/>
      <c r="NGA751" s="574"/>
      <c r="NGB751" s="574"/>
      <c r="NGC751" s="574"/>
      <c r="NGD751" s="574"/>
      <c r="NGE751" s="574"/>
      <c r="NGF751" s="574"/>
      <c r="NGG751" s="574"/>
      <c r="NGH751" s="574"/>
      <c r="NGI751" s="574"/>
      <c r="NGJ751" s="574"/>
      <c r="NGK751" s="574"/>
      <c r="NGL751" s="574"/>
      <c r="NGM751" s="574"/>
      <c r="NGN751" s="574"/>
      <c r="NGO751" s="574"/>
      <c r="NGP751" s="574"/>
      <c r="NGQ751" s="574"/>
      <c r="NGR751" s="574"/>
      <c r="NGS751" s="574"/>
      <c r="NGT751" s="574"/>
      <c r="NGU751" s="574"/>
      <c r="NGV751" s="574"/>
      <c r="NGW751" s="574"/>
      <c r="NGX751" s="574"/>
      <c r="NGY751" s="574"/>
      <c r="NGZ751" s="574"/>
      <c r="NHA751" s="574"/>
      <c r="NHB751" s="574"/>
      <c r="NHC751" s="574"/>
      <c r="NHD751" s="574"/>
      <c r="NHE751" s="574"/>
      <c r="NHF751" s="574"/>
      <c r="NHG751" s="574"/>
      <c r="NHH751" s="574"/>
      <c r="NHI751" s="574"/>
      <c r="NHJ751" s="574"/>
      <c r="NHK751" s="574"/>
      <c r="NHL751" s="574"/>
      <c r="NHM751" s="574"/>
      <c r="NHN751" s="574"/>
      <c r="NHO751" s="574"/>
      <c r="NHP751" s="574"/>
      <c r="NHQ751" s="574"/>
      <c r="NHR751" s="574"/>
      <c r="NHS751" s="574"/>
      <c r="NHT751" s="574"/>
      <c r="NHU751" s="574"/>
      <c r="NHV751" s="574"/>
      <c r="NHW751" s="574"/>
      <c r="NHX751" s="574"/>
      <c r="NHY751" s="574"/>
      <c r="NHZ751" s="574"/>
      <c r="NIA751" s="574"/>
      <c r="NIB751" s="574"/>
      <c r="NIC751" s="574"/>
      <c r="NID751" s="574"/>
      <c r="NIE751" s="574"/>
      <c r="NIF751" s="574"/>
      <c r="NIG751" s="574"/>
      <c r="NIH751" s="574"/>
      <c r="NII751" s="574"/>
      <c r="NIJ751" s="574"/>
      <c r="NIK751" s="574"/>
      <c r="NIL751" s="574"/>
      <c r="NIM751" s="574"/>
      <c r="NIN751" s="574"/>
      <c r="NIO751" s="574"/>
      <c r="NIP751" s="574"/>
      <c r="NIQ751" s="574"/>
      <c r="NIR751" s="574"/>
      <c r="NIS751" s="574"/>
      <c r="NIT751" s="574"/>
      <c r="NIU751" s="574"/>
      <c r="NIV751" s="574"/>
      <c r="NIW751" s="574"/>
      <c r="NIX751" s="574"/>
      <c r="NIY751" s="574"/>
      <c r="NIZ751" s="574"/>
      <c r="NJA751" s="574"/>
      <c r="NJB751" s="574"/>
      <c r="NJC751" s="574"/>
      <c r="NJD751" s="574"/>
      <c r="NJE751" s="574"/>
      <c r="NJF751" s="574"/>
      <c r="NJG751" s="574"/>
      <c r="NJH751" s="574"/>
      <c r="NJI751" s="574"/>
      <c r="NJJ751" s="574"/>
      <c r="NJK751" s="574"/>
      <c r="NJL751" s="574"/>
      <c r="NJM751" s="574"/>
      <c r="NJN751" s="574"/>
      <c r="NJO751" s="574"/>
      <c r="NJP751" s="574"/>
      <c r="NJQ751" s="574"/>
      <c r="NJR751" s="574"/>
      <c r="NJS751" s="574"/>
      <c r="NJT751" s="574"/>
      <c r="NJU751" s="574"/>
      <c r="NJV751" s="574"/>
      <c r="NJW751" s="574"/>
      <c r="NJX751" s="574"/>
      <c r="NJY751" s="574"/>
      <c r="NJZ751" s="574"/>
      <c r="NKA751" s="574"/>
      <c r="NKB751" s="574"/>
      <c r="NKC751" s="574"/>
      <c r="NKD751" s="574"/>
      <c r="NKE751" s="574"/>
      <c r="NKF751" s="574"/>
      <c r="NKG751" s="574"/>
      <c r="NKH751" s="574"/>
      <c r="NKI751" s="574"/>
      <c r="NKJ751" s="574"/>
      <c r="NKK751" s="574"/>
      <c r="NKL751" s="574"/>
      <c r="NKM751" s="574"/>
      <c r="NKN751" s="574"/>
      <c r="NKO751" s="574"/>
      <c r="NKP751" s="574"/>
      <c r="NKQ751" s="574"/>
      <c r="NKR751" s="574"/>
      <c r="NKS751" s="574"/>
      <c r="NKT751" s="574"/>
      <c r="NKU751" s="574"/>
      <c r="NKV751" s="574"/>
      <c r="NKW751" s="574"/>
      <c r="NKX751" s="574"/>
      <c r="NKY751" s="574"/>
      <c r="NKZ751" s="574"/>
      <c r="NLA751" s="574"/>
      <c r="NLB751" s="574"/>
      <c r="NLC751" s="574"/>
      <c r="NLD751" s="574"/>
      <c r="NLE751" s="574"/>
      <c r="NLF751" s="574"/>
      <c r="NLG751" s="574"/>
      <c r="NLH751" s="574"/>
      <c r="NLI751" s="574"/>
      <c r="NLJ751" s="574"/>
      <c r="NLK751" s="574"/>
      <c r="NLL751" s="574"/>
      <c r="NLM751" s="574"/>
      <c r="NLN751" s="574"/>
      <c r="NLO751" s="574"/>
      <c r="NLP751" s="574"/>
      <c r="NLQ751" s="574"/>
      <c r="NLR751" s="574"/>
      <c r="NLS751" s="574"/>
      <c r="NLT751" s="574"/>
      <c r="NLU751" s="574"/>
      <c r="NLV751" s="574"/>
      <c r="NLW751" s="574"/>
      <c r="NLX751" s="574"/>
      <c r="NLY751" s="574"/>
      <c r="NLZ751" s="574"/>
      <c r="NMA751" s="574"/>
      <c r="NMB751" s="574"/>
      <c r="NMC751" s="574"/>
      <c r="NMD751" s="574"/>
      <c r="NME751" s="574"/>
      <c r="NMF751" s="574"/>
      <c r="NMG751" s="574"/>
      <c r="NMH751" s="574"/>
      <c r="NMI751" s="574"/>
      <c r="NMJ751" s="574"/>
      <c r="NMK751" s="574"/>
      <c r="NML751" s="574"/>
      <c r="NMM751" s="574"/>
      <c r="NMN751" s="574"/>
      <c r="NMO751" s="574"/>
      <c r="NMP751" s="574"/>
      <c r="NMQ751" s="574"/>
      <c r="NMR751" s="574"/>
      <c r="NMS751" s="574"/>
      <c r="NMT751" s="574"/>
      <c r="NMU751" s="574"/>
      <c r="NMV751" s="574"/>
      <c r="NMW751" s="574"/>
      <c r="NMX751" s="574"/>
      <c r="NMY751" s="574"/>
      <c r="NMZ751" s="574"/>
      <c r="NNA751" s="574"/>
      <c r="NNB751" s="574"/>
      <c r="NNC751" s="574"/>
      <c r="NND751" s="574"/>
      <c r="NNE751" s="574"/>
      <c r="NNF751" s="574"/>
      <c r="NNG751" s="574"/>
      <c r="NNH751" s="574"/>
      <c r="NNI751" s="574"/>
      <c r="NNJ751" s="574"/>
      <c r="NNK751" s="574"/>
      <c r="NNL751" s="574"/>
      <c r="NNM751" s="574"/>
      <c r="NNN751" s="574"/>
      <c r="NNO751" s="574"/>
      <c r="NNP751" s="574"/>
      <c r="NNQ751" s="574"/>
      <c r="NNR751" s="574"/>
      <c r="NNS751" s="574"/>
      <c r="NNT751" s="574"/>
      <c r="NNU751" s="574"/>
      <c r="NNV751" s="574"/>
      <c r="NNW751" s="574"/>
      <c r="NNX751" s="574"/>
      <c r="NNY751" s="574"/>
      <c r="NNZ751" s="574"/>
      <c r="NOA751" s="574"/>
      <c r="NOB751" s="574"/>
      <c r="NOC751" s="574"/>
      <c r="NOD751" s="574"/>
      <c r="NOE751" s="574"/>
      <c r="NOF751" s="574"/>
      <c r="NOG751" s="574"/>
      <c r="NOH751" s="574"/>
      <c r="NOI751" s="574"/>
      <c r="NOJ751" s="574"/>
      <c r="NOK751" s="574"/>
      <c r="NOL751" s="574"/>
      <c r="NOM751" s="574"/>
      <c r="NON751" s="574"/>
      <c r="NOO751" s="574"/>
      <c r="NOP751" s="574"/>
      <c r="NOQ751" s="574"/>
      <c r="NOR751" s="574"/>
      <c r="NOS751" s="574"/>
      <c r="NOT751" s="574"/>
      <c r="NOU751" s="574"/>
      <c r="NOV751" s="574"/>
      <c r="NOW751" s="574"/>
      <c r="NOX751" s="574"/>
      <c r="NOY751" s="574"/>
      <c r="NOZ751" s="574"/>
      <c r="NPA751" s="574"/>
      <c r="NPB751" s="574"/>
      <c r="NPC751" s="574"/>
      <c r="NPD751" s="574"/>
      <c r="NPE751" s="574"/>
      <c r="NPF751" s="574"/>
      <c r="NPG751" s="574"/>
      <c r="NPH751" s="574"/>
      <c r="NPI751" s="574"/>
      <c r="NPJ751" s="574"/>
      <c r="NPK751" s="574"/>
      <c r="NPL751" s="574"/>
      <c r="NPM751" s="574"/>
      <c r="NPN751" s="574"/>
      <c r="NPO751" s="574"/>
      <c r="NPP751" s="574"/>
      <c r="NPQ751" s="574"/>
      <c r="NPR751" s="574"/>
      <c r="NPS751" s="574"/>
      <c r="NPT751" s="574"/>
      <c r="NPU751" s="574"/>
      <c r="NPV751" s="574"/>
      <c r="NPW751" s="574"/>
      <c r="NPX751" s="574"/>
      <c r="NPY751" s="574"/>
      <c r="NPZ751" s="574"/>
      <c r="NQA751" s="574"/>
      <c r="NQB751" s="574"/>
      <c r="NQC751" s="574"/>
      <c r="NQD751" s="574"/>
      <c r="NQE751" s="574"/>
      <c r="NQF751" s="574"/>
      <c r="NQG751" s="574"/>
      <c r="NQH751" s="574"/>
      <c r="NQI751" s="574"/>
      <c r="NQJ751" s="574"/>
      <c r="NQK751" s="574"/>
      <c r="NQL751" s="574"/>
      <c r="NQM751" s="574"/>
      <c r="NQN751" s="574"/>
      <c r="NQO751" s="574"/>
      <c r="NQP751" s="574"/>
      <c r="NQQ751" s="574"/>
      <c r="NQR751" s="574"/>
      <c r="NQS751" s="574"/>
      <c r="NQT751" s="574"/>
      <c r="NQU751" s="574"/>
      <c r="NQV751" s="574"/>
      <c r="NQW751" s="574"/>
      <c r="NQX751" s="574"/>
      <c r="NQY751" s="574"/>
      <c r="NQZ751" s="574"/>
      <c r="NRA751" s="574"/>
      <c r="NRB751" s="574"/>
      <c r="NRC751" s="574"/>
      <c r="NRD751" s="574"/>
      <c r="NRE751" s="574"/>
      <c r="NRF751" s="574"/>
      <c r="NRG751" s="574"/>
      <c r="NRH751" s="574"/>
      <c r="NRI751" s="574"/>
      <c r="NRJ751" s="574"/>
      <c r="NRK751" s="574"/>
      <c r="NRL751" s="574"/>
      <c r="NRM751" s="574"/>
      <c r="NRN751" s="574"/>
      <c r="NRO751" s="574"/>
      <c r="NRP751" s="574"/>
      <c r="NRQ751" s="574"/>
      <c r="NRR751" s="574"/>
      <c r="NRS751" s="574"/>
      <c r="NRT751" s="574"/>
      <c r="NRU751" s="574"/>
      <c r="NRV751" s="574"/>
      <c r="NRW751" s="574"/>
      <c r="NRX751" s="574"/>
      <c r="NRY751" s="574"/>
      <c r="NRZ751" s="574"/>
      <c r="NSA751" s="574"/>
      <c r="NSB751" s="574"/>
      <c r="NSC751" s="574"/>
      <c r="NSD751" s="574"/>
      <c r="NSE751" s="574"/>
      <c r="NSF751" s="574"/>
      <c r="NSG751" s="574"/>
      <c r="NSH751" s="574"/>
      <c r="NSI751" s="574"/>
      <c r="NSJ751" s="574"/>
      <c r="NSK751" s="574"/>
      <c r="NSL751" s="574"/>
      <c r="NSM751" s="574"/>
      <c r="NSN751" s="574"/>
      <c r="NSO751" s="574"/>
      <c r="NSP751" s="574"/>
      <c r="NSQ751" s="574"/>
      <c r="NSR751" s="574"/>
      <c r="NSS751" s="574"/>
      <c r="NST751" s="574"/>
      <c r="NSU751" s="574"/>
      <c r="NSV751" s="574"/>
      <c r="NSW751" s="574"/>
      <c r="NSX751" s="574"/>
      <c r="NSY751" s="574"/>
      <c r="NSZ751" s="574"/>
      <c r="NTA751" s="574"/>
      <c r="NTB751" s="574"/>
      <c r="NTC751" s="574"/>
      <c r="NTD751" s="574"/>
      <c r="NTE751" s="574"/>
      <c r="NTF751" s="574"/>
      <c r="NTG751" s="574"/>
      <c r="NTH751" s="574"/>
      <c r="NTI751" s="574"/>
      <c r="NTJ751" s="574"/>
      <c r="NTK751" s="574"/>
      <c r="NTL751" s="574"/>
      <c r="NTM751" s="574"/>
      <c r="NTN751" s="574"/>
      <c r="NTO751" s="574"/>
      <c r="NTP751" s="574"/>
      <c r="NTQ751" s="574"/>
      <c r="NTR751" s="574"/>
      <c r="NTS751" s="574"/>
      <c r="NTT751" s="574"/>
      <c r="NTU751" s="574"/>
      <c r="NTV751" s="574"/>
      <c r="NTW751" s="574"/>
      <c r="NTX751" s="574"/>
      <c r="NTY751" s="574"/>
      <c r="NTZ751" s="574"/>
      <c r="NUA751" s="574"/>
      <c r="NUB751" s="574"/>
      <c r="NUC751" s="574"/>
      <c r="NUD751" s="574"/>
      <c r="NUE751" s="574"/>
      <c r="NUF751" s="574"/>
      <c r="NUG751" s="574"/>
      <c r="NUH751" s="574"/>
      <c r="NUI751" s="574"/>
      <c r="NUJ751" s="574"/>
      <c r="NUK751" s="574"/>
      <c r="NUL751" s="574"/>
      <c r="NUM751" s="574"/>
      <c r="NUN751" s="574"/>
      <c r="NUO751" s="574"/>
      <c r="NUP751" s="574"/>
      <c r="NUQ751" s="574"/>
      <c r="NUR751" s="574"/>
      <c r="NUS751" s="574"/>
      <c r="NUT751" s="574"/>
      <c r="NUU751" s="574"/>
      <c r="NUV751" s="574"/>
      <c r="NUW751" s="574"/>
      <c r="NUX751" s="574"/>
      <c r="NUY751" s="574"/>
      <c r="NUZ751" s="574"/>
      <c r="NVA751" s="574"/>
      <c r="NVB751" s="574"/>
      <c r="NVC751" s="574"/>
      <c r="NVD751" s="574"/>
      <c r="NVE751" s="574"/>
      <c r="NVF751" s="574"/>
      <c r="NVG751" s="574"/>
      <c r="NVH751" s="574"/>
      <c r="NVI751" s="574"/>
      <c r="NVJ751" s="574"/>
      <c r="NVK751" s="574"/>
      <c r="NVL751" s="574"/>
      <c r="NVM751" s="574"/>
      <c r="NVN751" s="574"/>
      <c r="NVO751" s="574"/>
      <c r="NVP751" s="574"/>
      <c r="NVQ751" s="574"/>
      <c r="NVR751" s="574"/>
      <c r="NVS751" s="574"/>
      <c r="NVT751" s="574"/>
      <c r="NVU751" s="574"/>
      <c r="NVV751" s="574"/>
      <c r="NVW751" s="574"/>
      <c r="NVX751" s="574"/>
      <c r="NVY751" s="574"/>
      <c r="NVZ751" s="574"/>
      <c r="NWA751" s="574"/>
      <c r="NWB751" s="574"/>
      <c r="NWC751" s="574"/>
      <c r="NWD751" s="574"/>
      <c r="NWE751" s="574"/>
      <c r="NWF751" s="574"/>
      <c r="NWG751" s="574"/>
      <c r="NWH751" s="574"/>
      <c r="NWI751" s="574"/>
      <c r="NWJ751" s="574"/>
      <c r="NWK751" s="574"/>
      <c r="NWL751" s="574"/>
      <c r="NWM751" s="574"/>
      <c r="NWN751" s="574"/>
      <c r="NWO751" s="574"/>
      <c r="NWP751" s="574"/>
      <c r="NWQ751" s="574"/>
      <c r="NWR751" s="574"/>
      <c r="NWS751" s="574"/>
      <c r="NWT751" s="574"/>
      <c r="NWU751" s="574"/>
      <c r="NWV751" s="574"/>
      <c r="NWW751" s="574"/>
      <c r="NWX751" s="574"/>
      <c r="NWY751" s="574"/>
      <c r="NWZ751" s="574"/>
      <c r="NXA751" s="574"/>
      <c r="NXB751" s="574"/>
      <c r="NXC751" s="574"/>
      <c r="NXD751" s="574"/>
      <c r="NXE751" s="574"/>
      <c r="NXF751" s="574"/>
      <c r="NXG751" s="574"/>
      <c r="NXH751" s="574"/>
      <c r="NXI751" s="574"/>
      <c r="NXJ751" s="574"/>
      <c r="NXK751" s="574"/>
      <c r="NXL751" s="574"/>
      <c r="NXM751" s="574"/>
      <c r="NXN751" s="574"/>
      <c r="NXO751" s="574"/>
      <c r="NXP751" s="574"/>
      <c r="NXQ751" s="574"/>
      <c r="NXR751" s="574"/>
      <c r="NXS751" s="574"/>
      <c r="NXT751" s="574"/>
      <c r="NXU751" s="574"/>
      <c r="NXV751" s="574"/>
      <c r="NXW751" s="574"/>
      <c r="NXX751" s="574"/>
      <c r="NXY751" s="574"/>
      <c r="NXZ751" s="574"/>
      <c r="NYA751" s="574"/>
      <c r="NYB751" s="574"/>
      <c r="NYC751" s="574"/>
      <c r="NYD751" s="574"/>
      <c r="NYE751" s="574"/>
      <c r="NYF751" s="574"/>
      <c r="NYG751" s="574"/>
      <c r="NYH751" s="574"/>
      <c r="NYI751" s="574"/>
      <c r="NYJ751" s="574"/>
      <c r="NYK751" s="574"/>
      <c r="NYL751" s="574"/>
      <c r="NYM751" s="574"/>
      <c r="NYN751" s="574"/>
      <c r="NYO751" s="574"/>
      <c r="NYP751" s="574"/>
      <c r="NYQ751" s="574"/>
      <c r="NYR751" s="574"/>
      <c r="NYS751" s="574"/>
      <c r="NYT751" s="574"/>
      <c r="NYU751" s="574"/>
      <c r="NYV751" s="574"/>
      <c r="NYW751" s="574"/>
      <c r="NYX751" s="574"/>
      <c r="NYY751" s="574"/>
      <c r="NYZ751" s="574"/>
      <c r="NZA751" s="574"/>
      <c r="NZB751" s="574"/>
      <c r="NZC751" s="574"/>
      <c r="NZD751" s="574"/>
      <c r="NZE751" s="574"/>
      <c r="NZF751" s="574"/>
      <c r="NZG751" s="574"/>
      <c r="NZH751" s="574"/>
      <c r="NZI751" s="574"/>
      <c r="NZJ751" s="574"/>
      <c r="NZK751" s="574"/>
      <c r="NZL751" s="574"/>
      <c r="NZM751" s="574"/>
      <c r="NZN751" s="574"/>
      <c r="NZO751" s="574"/>
      <c r="NZP751" s="574"/>
      <c r="NZQ751" s="574"/>
      <c r="NZR751" s="574"/>
      <c r="NZS751" s="574"/>
      <c r="NZT751" s="574"/>
      <c r="NZU751" s="574"/>
      <c r="NZV751" s="574"/>
      <c r="NZW751" s="574"/>
      <c r="NZX751" s="574"/>
      <c r="NZY751" s="574"/>
      <c r="NZZ751" s="574"/>
      <c r="OAA751" s="574"/>
      <c r="OAB751" s="574"/>
      <c r="OAC751" s="574"/>
      <c r="OAD751" s="574"/>
      <c r="OAE751" s="574"/>
      <c r="OAF751" s="574"/>
      <c r="OAG751" s="574"/>
      <c r="OAH751" s="574"/>
      <c r="OAI751" s="574"/>
      <c r="OAJ751" s="574"/>
      <c r="OAK751" s="574"/>
      <c r="OAL751" s="574"/>
      <c r="OAM751" s="574"/>
      <c r="OAN751" s="574"/>
      <c r="OAO751" s="574"/>
      <c r="OAP751" s="574"/>
      <c r="OAQ751" s="574"/>
      <c r="OAR751" s="574"/>
      <c r="OAS751" s="574"/>
      <c r="OAT751" s="574"/>
      <c r="OAU751" s="574"/>
      <c r="OAV751" s="574"/>
      <c r="OAW751" s="574"/>
      <c r="OAX751" s="574"/>
      <c r="OAY751" s="574"/>
      <c r="OAZ751" s="574"/>
      <c r="OBA751" s="574"/>
      <c r="OBB751" s="574"/>
      <c r="OBC751" s="574"/>
      <c r="OBD751" s="574"/>
      <c r="OBE751" s="574"/>
      <c r="OBF751" s="574"/>
      <c r="OBG751" s="574"/>
      <c r="OBH751" s="574"/>
      <c r="OBI751" s="574"/>
      <c r="OBJ751" s="574"/>
      <c r="OBK751" s="574"/>
      <c r="OBL751" s="574"/>
      <c r="OBM751" s="574"/>
      <c r="OBN751" s="574"/>
      <c r="OBO751" s="574"/>
      <c r="OBP751" s="574"/>
      <c r="OBQ751" s="574"/>
      <c r="OBR751" s="574"/>
      <c r="OBS751" s="574"/>
      <c r="OBT751" s="574"/>
      <c r="OBU751" s="574"/>
      <c r="OBV751" s="574"/>
      <c r="OBW751" s="574"/>
      <c r="OBX751" s="574"/>
      <c r="OBY751" s="574"/>
      <c r="OBZ751" s="574"/>
      <c r="OCA751" s="574"/>
      <c r="OCB751" s="574"/>
      <c r="OCC751" s="574"/>
      <c r="OCD751" s="574"/>
      <c r="OCE751" s="574"/>
      <c r="OCF751" s="574"/>
      <c r="OCG751" s="574"/>
      <c r="OCH751" s="574"/>
      <c r="OCI751" s="574"/>
      <c r="OCJ751" s="574"/>
      <c r="OCK751" s="574"/>
      <c r="OCL751" s="574"/>
      <c r="OCM751" s="574"/>
      <c r="OCN751" s="574"/>
      <c r="OCO751" s="574"/>
      <c r="OCP751" s="574"/>
      <c r="OCQ751" s="574"/>
      <c r="OCR751" s="574"/>
      <c r="OCS751" s="574"/>
      <c r="OCT751" s="574"/>
      <c r="OCU751" s="574"/>
      <c r="OCV751" s="574"/>
      <c r="OCW751" s="574"/>
      <c r="OCX751" s="574"/>
      <c r="OCY751" s="574"/>
      <c r="OCZ751" s="574"/>
      <c r="ODA751" s="574"/>
      <c r="ODB751" s="574"/>
      <c r="ODC751" s="574"/>
      <c r="ODD751" s="574"/>
      <c r="ODE751" s="574"/>
      <c r="ODF751" s="574"/>
      <c r="ODG751" s="574"/>
      <c r="ODH751" s="574"/>
      <c r="ODI751" s="574"/>
      <c r="ODJ751" s="574"/>
      <c r="ODK751" s="574"/>
      <c r="ODL751" s="574"/>
      <c r="ODM751" s="574"/>
      <c r="ODN751" s="574"/>
      <c r="ODO751" s="574"/>
      <c r="ODP751" s="574"/>
      <c r="ODQ751" s="574"/>
      <c r="ODR751" s="574"/>
      <c r="ODS751" s="574"/>
      <c r="ODT751" s="574"/>
      <c r="ODU751" s="574"/>
      <c r="ODV751" s="574"/>
      <c r="ODW751" s="574"/>
      <c r="ODX751" s="574"/>
      <c r="ODY751" s="574"/>
      <c r="ODZ751" s="574"/>
      <c r="OEA751" s="574"/>
      <c r="OEB751" s="574"/>
      <c r="OEC751" s="574"/>
      <c r="OED751" s="574"/>
      <c r="OEE751" s="574"/>
      <c r="OEF751" s="574"/>
      <c r="OEG751" s="574"/>
      <c r="OEH751" s="574"/>
      <c r="OEI751" s="574"/>
      <c r="OEJ751" s="574"/>
      <c r="OEK751" s="574"/>
      <c r="OEL751" s="574"/>
      <c r="OEM751" s="574"/>
      <c r="OEN751" s="574"/>
      <c r="OEO751" s="574"/>
      <c r="OEP751" s="574"/>
      <c r="OEQ751" s="574"/>
      <c r="OER751" s="574"/>
      <c r="OES751" s="574"/>
      <c r="OET751" s="574"/>
      <c r="OEU751" s="574"/>
      <c r="OEV751" s="574"/>
      <c r="OEW751" s="574"/>
      <c r="OEX751" s="574"/>
      <c r="OEY751" s="574"/>
      <c r="OEZ751" s="574"/>
      <c r="OFA751" s="574"/>
      <c r="OFB751" s="574"/>
      <c r="OFC751" s="574"/>
      <c r="OFD751" s="574"/>
      <c r="OFE751" s="574"/>
      <c r="OFF751" s="574"/>
      <c r="OFG751" s="574"/>
      <c r="OFH751" s="574"/>
      <c r="OFI751" s="574"/>
      <c r="OFJ751" s="574"/>
      <c r="OFK751" s="574"/>
      <c r="OFL751" s="574"/>
      <c r="OFM751" s="574"/>
      <c r="OFN751" s="574"/>
      <c r="OFO751" s="574"/>
      <c r="OFP751" s="574"/>
      <c r="OFQ751" s="574"/>
      <c r="OFR751" s="574"/>
      <c r="OFS751" s="574"/>
      <c r="OFT751" s="574"/>
      <c r="OFU751" s="574"/>
      <c r="OFV751" s="574"/>
      <c r="OFW751" s="574"/>
      <c r="OFX751" s="574"/>
      <c r="OFY751" s="574"/>
      <c r="OFZ751" s="574"/>
      <c r="OGA751" s="574"/>
      <c r="OGB751" s="574"/>
      <c r="OGC751" s="574"/>
      <c r="OGD751" s="574"/>
      <c r="OGE751" s="574"/>
      <c r="OGF751" s="574"/>
      <c r="OGG751" s="574"/>
      <c r="OGH751" s="574"/>
      <c r="OGI751" s="574"/>
      <c r="OGJ751" s="574"/>
      <c r="OGK751" s="574"/>
      <c r="OGL751" s="574"/>
      <c r="OGM751" s="574"/>
      <c r="OGN751" s="574"/>
      <c r="OGO751" s="574"/>
      <c r="OGP751" s="574"/>
      <c r="OGQ751" s="574"/>
      <c r="OGR751" s="574"/>
      <c r="OGS751" s="574"/>
      <c r="OGT751" s="574"/>
      <c r="OGU751" s="574"/>
      <c r="OGV751" s="574"/>
      <c r="OGW751" s="574"/>
      <c r="OGX751" s="574"/>
      <c r="OGY751" s="574"/>
      <c r="OGZ751" s="574"/>
      <c r="OHA751" s="574"/>
      <c r="OHB751" s="574"/>
      <c r="OHC751" s="574"/>
      <c r="OHD751" s="574"/>
      <c r="OHE751" s="574"/>
      <c r="OHF751" s="574"/>
      <c r="OHG751" s="574"/>
      <c r="OHH751" s="574"/>
      <c r="OHI751" s="574"/>
      <c r="OHJ751" s="574"/>
      <c r="OHK751" s="574"/>
      <c r="OHL751" s="574"/>
      <c r="OHM751" s="574"/>
      <c r="OHN751" s="574"/>
      <c r="OHO751" s="574"/>
      <c r="OHP751" s="574"/>
      <c r="OHQ751" s="574"/>
      <c r="OHR751" s="574"/>
      <c r="OHS751" s="574"/>
      <c r="OHT751" s="574"/>
      <c r="OHU751" s="574"/>
      <c r="OHV751" s="574"/>
      <c r="OHW751" s="574"/>
      <c r="OHX751" s="574"/>
      <c r="OHY751" s="574"/>
      <c r="OHZ751" s="574"/>
      <c r="OIA751" s="574"/>
      <c r="OIB751" s="574"/>
      <c r="OIC751" s="574"/>
      <c r="OID751" s="574"/>
      <c r="OIE751" s="574"/>
      <c r="OIF751" s="574"/>
      <c r="OIG751" s="574"/>
      <c r="OIH751" s="574"/>
      <c r="OII751" s="574"/>
      <c r="OIJ751" s="574"/>
      <c r="OIK751" s="574"/>
      <c r="OIL751" s="574"/>
      <c r="OIM751" s="574"/>
      <c r="OIN751" s="574"/>
      <c r="OIO751" s="574"/>
      <c r="OIP751" s="574"/>
      <c r="OIQ751" s="574"/>
      <c r="OIR751" s="574"/>
      <c r="OIS751" s="574"/>
      <c r="OIT751" s="574"/>
      <c r="OIU751" s="574"/>
      <c r="OIV751" s="574"/>
      <c r="OIW751" s="574"/>
      <c r="OIX751" s="574"/>
      <c r="OIY751" s="574"/>
      <c r="OIZ751" s="574"/>
      <c r="OJA751" s="574"/>
      <c r="OJB751" s="574"/>
      <c r="OJC751" s="574"/>
      <c r="OJD751" s="574"/>
      <c r="OJE751" s="574"/>
      <c r="OJF751" s="574"/>
      <c r="OJG751" s="574"/>
      <c r="OJH751" s="574"/>
      <c r="OJI751" s="574"/>
      <c r="OJJ751" s="574"/>
      <c r="OJK751" s="574"/>
      <c r="OJL751" s="574"/>
      <c r="OJM751" s="574"/>
      <c r="OJN751" s="574"/>
      <c r="OJO751" s="574"/>
      <c r="OJP751" s="574"/>
      <c r="OJQ751" s="574"/>
      <c r="OJR751" s="574"/>
      <c r="OJS751" s="574"/>
      <c r="OJT751" s="574"/>
      <c r="OJU751" s="574"/>
      <c r="OJV751" s="574"/>
      <c r="OJW751" s="574"/>
      <c r="OJX751" s="574"/>
      <c r="OJY751" s="574"/>
      <c r="OJZ751" s="574"/>
      <c r="OKA751" s="574"/>
      <c r="OKB751" s="574"/>
      <c r="OKC751" s="574"/>
      <c r="OKD751" s="574"/>
      <c r="OKE751" s="574"/>
      <c r="OKF751" s="574"/>
      <c r="OKG751" s="574"/>
      <c r="OKH751" s="574"/>
      <c r="OKI751" s="574"/>
      <c r="OKJ751" s="574"/>
      <c r="OKK751" s="574"/>
      <c r="OKL751" s="574"/>
      <c r="OKM751" s="574"/>
      <c r="OKN751" s="574"/>
      <c r="OKO751" s="574"/>
      <c r="OKP751" s="574"/>
      <c r="OKQ751" s="574"/>
      <c r="OKR751" s="574"/>
      <c r="OKS751" s="574"/>
      <c r="OKT751" s="574"/>
      <c r="OKU751" s="574"/>
      <c r="OKV751" s="574"/>
      <c r="OKW751" s="574"/>
      <c r="OKX751" s="574"/>
      <c r="OKY751" s="574"/>
      <c r="OKZ751" s="574"/>
      <c r="OLA751" s="574"/>
      <c r="OLB751" s="574"/>
      <c r="OLC751" s="574"/>
      <c r="OLD751" s="574"/>
      <c r="OLE751" s="574"/>
      <c r="OLF751" s="574"/>
      <c r="OLG751" s="574"/>
      <c r="OLH751" s="574"/>
      <c r="OLI751" s="574"/>
      <c r="OLJ751" s="574"/>
      <c r="OLK751" s="574"/>
      <c r="OLL751" s="574"/>
      <c r="OLM751" s="574"/>
      <c r="OLN751" s="574"/>
      <c r="OLO751" s="574"/>
      <c r="OLP751" s="574"/>
      <c r="OLQ751" s="574"/>
      <c r="OLR751" s="574"/>
      <c r="OLS751" s="574"/>
      <c r="OLT751" s="574"/>
      <c r="OLU751" s="574"/>
      <c r="OLV751" s="574"/>
      <c r="OLW751" s="574"/>
      <c r="OLX751" s="574"/>
      <c r="OLY751" s="574"/>
      <c r="OLZ751" s="574"/>
      <c r="OMA751" s="574"/>
      <c r="OMB751" s="574"/>
      <c r="OMC751" s="574"/>
      <c r="OMD751" s="574"/>
      <c r="OME751" s="574"/>
      <c r="OMF751" s="574"/>
      <c r="OMG751" s="574"/>
      <c r="OMH751" s="574"/>
      <c r="OMI751" s="574"/>
      <c r="OMJ751" s="574"/>
      <c r="OMK751" s="574"/>
      <c r="OML751" s="574"/>
      <c r="OMM751" s="574"/>
      <c r="OMN751" s="574"/>
      <c r="OMO751" s="574"/>
      <c r="OMP751" s="574"/>
      <c r="OMQ751" s="574"/>
      <c r="OMR751" s="574"/>
      <c r="OMS751" s="574"/>
      <c r="OMT751" s="574"/>
      <c r="OMU751" s="574"/>
      <c r="OMV751" s="574"/>
      <c r="OMW751" s="574"/>
      <c r="OMX751" s="574"/>
      <c r="OMY751" s="574"/>
      <c r="OMZ751" s="574"/>
      <c r="ONA751" s="574"/>
      <c r="ONB751" s="574"/>
      <c r="ONC751" s="574"/>
      <c r="OND751" s="574"/>
      <c r="ONE751" s="574"/>
      <c r="ONF751" s="574"/>
      <c r="ONG751" s="574"/>
      <c r="ONH751" s="574"/>
      <c r="ONI751" s="574"/>
      <c r="ONJ751" s="574"/>
      <c r="ONK751" s="574"/>
      <c r="ONL751" s="574"/>
      <c r="ONM751" s="574"/>
      <c r="ONN751" s="574"/>
      <c r="ONO751" s="574"/>
      <c r="ONP751" s="574"/>
      <c r="ONQ751" s="574"/>
      <c r="ONR751" s="574"/>
      <c r="ONS751" s="574"/>
      <c r="ONT751" s="574"/>
      <c r="ONU751" s="574"/>
      <c r="ONV751" s="574"/>
      <c r="ONW751" s="574"/>
      <c r="ONX751" s="574"/>
      <c r="ONY751" s="574"/>
      <c r="ONZ751" s="574"/>
      <c r="OOA751" s="574"/>
      <c r="OOB751" s="574"/>
      <c r="OOC751" s="574"/>
      <c r="OOD751" s="574"/>
      <c r="OOE751" s="574"/>
      <c r="OOF751" s="574"/>
      <c r="OOG751" s="574"/>
      <c r="OOH751" s="574"/>
      <c r="OOI751" s="574"/>
      <c r="OOJ751" s="574"/>
      <c r="OOK751" s="574"/>
      <c r="OOL751" s="574"/>
      <c r="OOM751" s="574"/>
      <c r="OON751" s="574"/>
      <c r="OOO751" s="574"/>
      <c r="OOP751" s="574"/>
      <c r="OOQ751" s="574"/>
      <c r="OOR751" s="574"/>
      <c r="OOS751" s="574"/>
      <c r="OOT751" s="574"/>
      <c r="OOU751" s="574"/>
      <c r="OOV751" s="574"/>
      <c r="OOW751" s="574"/>
      <c r="OOX751" s="574"/>
      <c r="OOY751" s="574"/>
      <c r="OOZ751" s="574"/>
      <c r="OPA751" s="574"/>
      <c r="OPB751" s="574"/>
      <c r="OPC751" s="574"/>
      <c r="OPD751" s="574"/>
      <c r="OPE751" s="574"/>
      <c r="OPF751" s="574"/>
      <c r="OPG751" s="574"/>
      <c r="OPH751" s="574"/>
      <c r="OPI751" s="574"/>
      <c r="OPJ751" s="574"/>
      <c r="OPK751" s="574"/>
      <c r="OPL751" s="574"/>
      <c r="OPM751" s="574"/>
      <c r="OPN751" s="574"/>
      <c r="OPO751" s="574"/>
      <c r="OPP751" s="574"/>
      <c r="OPQ751" s="574"/>
      <c r="OPR751" s="574"/>
      <c r="OPS751" s="574"/>
      <c r="OPT751" s="574"/>
      <c r="OPU751" s="574"/>
      <c r="OPV751" s="574"/>
      <c r="OPW751" s="574"/>
      <c r="OPX751" s="574"/>
      <c r="OPY751" s="574"/>
      <c r="OPZ751" s="574"/>
      <c r="OQA751" s="574"/>
      <c r="OQB751" s="574"/>
      <c r="OQC751" s="574"/>
      <c r="OQD751" s="574"/>
      <c r="OQE751" s="574"/>
      <c r="OQF751" s="574"/>
      <c r="OQG751" s="574"/>
      <c r="OQH751" s="574"/>
      <c r="OQI751" s="574"/>
      <c r="OQJ751" s="574"/>
      <c r="OQK751" s="574"/>
      <c r="OQL751" s="574"/>
      <c r="OQM751" s="574"/>
      <c r="OQN751" s="574"/>
      <c r="OQO751" s="574"/>
      <c r="OQP751" s="574"/>
      <c r="OQQ751" s="574"/>
      <c r="OQR751" s="574"/>
      <c r="OQS751" s="574"/>
      <c r="OQT751" s="574"/>
      <c r="OQU751" s="574"/>
      <c r="OQV751" s="574"/>
      <c r="OQW751" s="574"/>
      <c r="OQX751" s="574"/>
      <c r="OQY751" s="574"/>
      <c r="OQZ751" s="574"/>
      <c r="ORA751" s="574"/>
      <c r="ORB751" s="574"/>
      <c r="ORC751" s="574"/>
      <c r="ORD751" s="574"/>
      <c r="ORE751" s="574"/>
      <c r="ORF751" s="574"/>
      <c r="ORG751" s="574"/>
      <c r="ORH751" s="574"/>
      <c r="ORI751" s="574"/>
      <c r="ORJ751" s="574"/>
      <c r="ORK751" s="574"/>
      <c r="ORL751" s="574"/>
      <c r="ORM751" s="574"/>
      <c r="ORN751" s="574"/>
      <c r="ORO751" s="574"/>
      <c r="ORP751" s="574"/>
      <c r="ORQ751" s="574"/>
      <c r="ORR751" s="574"/>
      <c r="ORS751" s="574"/>
      <c r="ORT751" s="574"/>
      <c r="ORU751" s="574"/>
      <c r="ORV751" s="574"/>
      <c r="ORW751" s="574"/>
      <c r="ORX751" s="574"/>
      <c r="ORY751" s="574"/>
      <c r="ORZ751" s="574"/>
      <c r="OSA751" s="574"/>
      <c r="OSB751" s="574"/>
      <c r="OSC751" s="574"/>
      <c r="OSD751" s="574"/>
      <c r="OSE751" s="574"/>
      <c r="OSF751" s="574"/>
      <c r="OSG751" s="574"/>
      <c r="OSH751" s="574"/>
      <c r="OSI751" s="574"/>
      <c r="OSJ751" s="574"/>
      <c r="OSK751" s="574"/>
      <c r="OSL751" s="574"/>
      <c r="OSM751" s="574"/>
      <c r="OSN751" s="574"/>
      <c r="OSO751" s="574"/>
      <c r="OSP751" s="574"/>
      <c r="OSQ751" s="574"/>
      <c r="OSR751" s="574"/>
      <c r="OSS751" s="574"/>
      <c r="OST751" s="574"/>
      <c r="OSU751" s="574"/>
      <c r="OSV751" s="574"/>
      <c r="OSW751" s="574"/>
      <c r="OSX751" s="574"/>
      <c r="OSY751" s="574"/>
      <c r="OSZ751" s="574"/>
      <c r="OTA751" s="574"/>
      <c r="OTB751" s="574"/>
      <c r="OTC751" s="574"/>
      <c r="OTD751" s="574"/>
      <c r="OTE751" s="574"/>
      <c r="OTF751" s="574"/>
      <c r="OTG751" s="574"/>
      <c r="OTH751" s="574"/>
      <c r="OTI751" s="574"/>
      <c r="OTJ751" s="574"/>
      <c r="OTK751" s="574"/>
      <c r="OTL751" s="574"/>
      <c r="OTM751" s="574"/>
      <c r="OTN751" s="574"/>
      <c r="OTO751" s="574"/>
      <c r="OTP751" s="574"/>
      <c r="OTQ751" s="574"/>
      <c r="OTR751" s="574"/>
      <c r="OTS751" s="574"/>
      <c r="OTT751" s="574"/>
      <c r="OTU751" s="574"/>
      <c r="OTV751" s="574"/>
      <c r="OTW751" s="574"/>
      <c r="OTX751" s="574"/>
      <c r="OTY751" s="574"/>
      <c r="OTZ751" s="574"/>
      <c r="OUA751" s="574"/>
      <c r="OUB751" s="574"/>
      <c r="OUC751" s="574"/>
      <c r="OUD751" s="574"/>
      <c r="OUE751" s="574"/>
      <c r="OUF751" s="574"/>
      <c r="OUG751" s="574"/>
      <c r="OUH751" s="574"/>
      <c r="OUI751" s="574"/>
      <c r="OUJ751" s="574"/>
      <c r="OUK751" s="574"/>
      <c r="OUL751" s="574"/>
      <c r="OUM751" s="574"/>
      <c r="OUN751" s="574"/>
      <c r="OUO751" s="574"/>
      <c r="OUP751" s="574"/>
      <c r="OUQ751" s="574"/>
      <c r="OUR751" s="574"/>
      <c r="OUS751" s="574"/>
      <c r="OUT751" s="574"/>
      <c r="OUU751" s="574"/>
      <c r="OUV751" s="574"/>
      <c r="OUW751" s="574"/>
      <c r="OUX751" s="574"/>
      <c r="OUY751" s="574"/>
      <c r="OUZ751" s="574"/>
      <c r="OVA751" s="574"/>
      <c r="OVB751" s="574"/>
      <c r="OVC751" s="574"/>
      <c r="OVD751" s="574"/>
      <c r="OVE751" s="574"/>
      <c r="OVF751" s="574"/>
      <c r="OVG751" s="574"/>
      <c r="OVH751" s="574"/>
      <c r="OVI751" s="574"/>
      <c r="OVJ751" s="574"/>
      <c r="OVK751" s="574"/>
      <c r="OVL751" s="574"/>
      <c r="OVM751" s="574"/>
      <c r="OVN751" s="574"/>
      <c r="OVO751" s="574"/>
      <c r="OVP751" s="574"/>
      <c r="OVQ751" s="574"/>
      <c r="OVR751" s="574"/>
      <c r="OVS751" s="574"/>
      <c r="OVT751" s="574"/>
      <c r="OVU751" s="574"/>
      <c r="OVV751" s="574"/>
      <c r="OVW751" s="574"/>
      <c r="OVX751" s="574"/>
      <c r="OVY751" s="574"/>
      <c r="OVZ751" s="574"/>
      <c r="OWA751" s="574"/>
      <c r="OWB751" s="574"/>
      <c r="OWC751" s="574"/>
      <c r="OWD751" s="574"/>
      <c r="OWE751" s="574"/>
      <c r="OWF751" s="574"/>
      <c r="OWG751" s="574"/>
      <c r="OWH751" s="574"/>
      <c r="OWI751" s="574"/>
      <c r="OWJ751" s="574"/>
      <c r="OWK751" s="574"/>
      <c r="OWL751" s="574"/>
      <c r="OWM751" s="574"/>
      <c r="OWN751" s="574"/>
      <c r="OWO751" s="574"/>
      <c r="OWP751" s="574"/>
      <c r="OWQ751" s="574"/>
      <c r="OWR751" s="574"/>
      <c r="OWS751" s="574"/>
      <c r="OWT751" s="574"/>
      <c r="OWU751" s="574"/>
      <c r="OWV751" s="574"/>
      <c r="OWW751" s="574"/>
      <c r="OWX751" s="574"/>
      <c r="OWY751" s="574"/>
      <c r="OWZ751" s="574"/>
      <c r="OXA751" s="574"/>
      <c r="OXB751" s="574"/>
      <c r="OXC751" s="574"/>
      <c r="OXD751" s="574"/>
      <c r="OXE751" s="574"/>
      <c r="OXF751" s="574"/>
      <c r="OXG751" s="574"/>
      <c r="OXH751" s="574"/>
      <c r="OXI751" s="574"/>
      <c r="OXJ751" s="574"/>
      <c r="OXK751" s="574"/>
      <c r="OXL751" s="574"/>
      <c r="OXM751" s="574"/>
      <c r="OXN751" s="574"/>
      <c r="OXO751" s="574"/>
      <c r="OXP751" s="574"/>
      <c r="OXQ751" s="574"/>
      <c r="OXR751" s="574"/>
      <c r="OXS751" s="574"/>
      <c r="OXT751" s="574"/>
      <c r="OXU751" s="574"/>
      <c r="OXV751" s="574"/>
      <c r="OXW751" s="574"/>
      <c r="OXX751" s="574"/>
      <c r="OXY751" s="574"/>
      <c r="OXZ751" s="574"/>
      <c r="OYA751" s="574"/>
      <c r="OYB751" s="574"/>
      <c r="OYC751" s="574"/>
      <c r="OYD751" s="574"/>
      <c r="OYE751" s="574"/>
      <c r="OYF751" s="574"/>
      <c r="OYG751" s="574"/>
      <c r="OYH751" s="574"/>
      <c r="OYI751" s="574"/>
      <c r="OYJ751" s="574"/>
      <c r="OYK751" s="574"/>
      <c r="OYL751" s="574"/>
      <c r="OYM751" s="574"/>
      <c r="OYN751" s="574"/>
      <c r="OYO751" s="574"/>
      <c r="OYP751" s="574"/>
      <c r="OYQ751" s="574"/>
      <c r="OYR751" s="574"/>
      <c r="OYS751" s="574"/>
      <c r="OYT751" s="574"/>
      <c r="OYU751" s="574"/>
      <c r="OYV751" s="574"/>
      <c r="OYW751" s="574"/>
      <c r="OYX751" s="574"/>
      <c r="OYY751" s="574"/>
      <c r="OYZ751" s="574"/>
      <c r="OZA751" s="574"/>
      <c r="OZB751" s="574"/>
      <c r="OZC751" s="574"/>
      <c r="OZD751" s="574"/>
      <c r="OZE751" s="574"/>
      <c r="OZF751" s="574"/>
      <c r="OZG751" s="574"/>
      <c r="OZH751" s="574"/>
      <c r="OZI751" s="574"/>
      <c r="OZJ751" s="574"/>
      <c r="OZK751" s="574"/>
      <c r="OZL751" s="574"/>
      <c r="OZM751" s="574"/>
      <c r="OZN751" s="574"/>
      <c r="OZO751" s="574"/>
      <c r="OZP751" s="574"/>
      <c r="OZQ751" s="574"/>
      <c r="OZR751" s="574"/>
      <c r="OZS751" s="574"/>
      <c r="OZT751" s="574"/>
      <c r="OZU751" s="574"/>
      <c r="OZV751" s="574"/>
      <c r="OZW751" s="574"/>
      <c r="OZX751" s="574"/>
      <c r="OZY751" s="574"/>
      <c r="OZZ751" s="574"/>
      <c r="PAA751" s="574"/>
      <c r="PAB751" s="574"/>
      <c r="PAC751" s="574"/>
      <c r="PAD751" s="574"/>
      <c r="PAE751" s="574"/>
      <c r="PAF751" s="574"/>
      <c r="PAG751" s="574"/>
      <c r="PAH751" s="574"/>
      <c r="PAI751" s="574"/>
      <c r="PAJ751" s="574"/>
      <c r="PAK751" s="574"/>
      <c r="PAL751" s="574"/>
      <c r="PAM751" s="574"/>
      <c r="PAN751" s="574"/>
      <c r="PAO751" s="574"/>
      <c r="PAP751" s="574"/>
      <c r="PAQ751" s="574"/>
      <c r="PAR751" s="574"/>
      <c r="PAS751" s="574"/>
      <c r="PAT751" s="574"/>
      <c r="PAU751" s="574"/>
      <c r="PAV751" s="574"/>
      <c r="PAW751" s="574"/>
      <c r="PAX751" s="574"/>
      <c r="PAY751" s="574"/>
      <c r="PAZ751" s="574"/>
      <c r="PBA751" s="574"/>
      <c r="PBB751" s="574"/>
      <c r="PBC751" s="574"/>
      <c r="PBD751" s="574"/>
      <c r="PBE751" s="574"/>
      <c r="PBF751" s="574"/>
      <c r="PBG751" s="574"/>
      <c r="PBH751" s="574"/>
      <c r="PBI751" s="574"/>
      <c r="PBJ751" s="574"/>
      <c r="PBK751" s="574"/>
      <c r="PBL751" s="574"/>
      <c r="PBM751" s="574"/>
      <c r="PBN751" s="574"/>
      <c r="PBO751" s="574"/>
      <c r="PBP751" s="574"/>
      <c r="PBQ751" s="574"/>
      <c r="PBR751" s="574"/>
      <c r="PBS751" s="574"/>
      <c r="PBT751" s="574"/>
      <c r="PBU751" s="574"/>
      <c r="PBV751" s="574"/>
      <c r="PBW751" s="574"/>
      <c r="PBX751" s="574"/>
      <c r="PBY751" s="574"/>
      <c r="PBZ751" s="574"/>
      <c r="PCA751" s="574"/>
      <c r="PCB751" s="574"/>
      <c r="PCC751" s="574"/>
      <c r="PCD751" s="574"/>
      <c r="PCE751" s="574"/>
      <c r="PCF751" s="574"/>
      <c r="PCG751" s="574"/>
      <c r="PCH751" s="574"/>
      <c r="PCI751" s="574"/>
      <c r="PCJ751" s="574"/>
      <c r="PCK751" s="574"/>
      <c r="PCL751" s="574"/>
      <c r="PCM751" s="574"/>
      <c r="PCN751" s="574"/>
      <c r="PCO751" s="574"/>
      <c r="PCP751" s="574"/>
      <c r="PCQ751" s="574"/>
      <c r="PCR751" s="574"/>
      <c r="PCS751" s="574"/>
      <c r="PCT751" s="574"/>
      <c r="PCU751" s="574"/>
      <c r="PCV751" s="574"/>
      <c r="PCW751" s="574"/>
      <c r="PCX751" s="574"/>
      <c r="PCY751" s="574"/>
      <c r="PCZ751" s="574"/>
      <c r="PDA751" s="574"/>
      <c r="PDB751" s="574"/>
      <c r="PDC751" s="574"/>
      <c r="PDD751" s="574"/>
      <c r="PDE751" s="574"/>
      <c r="PDF751" s="574"/>
      <c r="PDG751" s="574"/>
      <c r="PDH751" s="574"/>
      <c r="PDI751" s="574"/>
      <c r="PDJ751" s="574"/>
      <c r="PDK751" s="574"/>
      <c r="PDL751" s="574"/>
      <c r="PDM751" s="574"/>
      <c r="PDN751" s="574"/>
      <c r="PDO751" s="574"/>
      <c r="PDP751" s="574"/>
      <c r="PDQ751" s="574"/>
      <c r="PDR751" s="574"/>
      <c r="PDS751" s="574"/>
      <c r="PDT751" s="574"/>
      <c r="PDU751" s="574"/>
      <c r="PDV751" s="574"/>
      <c r="PDW751" s="574"/>
      <c r="PDX751" s="574"/>
      <c r="PDY751" s="574"/>
      <c r="PDZ751" s="574"/>
      <c r="PEA751" s="574"/>
      <c r="PEB751" s="574"/>
      <c r="PEC751" s="574"/>
      <c r="PED751" s="574"/>
      <c r="PEE751" s="574"/>
      <c r="PEF751" s="574"/>
      <c r="PEG751" s="574"/>
      <c r="PEH751" s="574"/>
      <c r="PEI751" s="574"/>
      <c r="PEJ751" s="574"/>
      <c r="PEK751" s="574"/>
      <c r="PEL751" s="574"/>
      <c r="PEM751" s="574"/>
      <c r="PEN751" s="574"/>
      <c r="PEO751" s="574"/>
      <c r="PEP751" s="574"/>
      <c r="PEQ751" s="574"/>
      <c r="PER751" s="574"/>
      <c r="PES751" s="574"/>
      <c r="PET751" s="574"/>
      <c r="PEU751" s="574"/>
      <c r="PEV751" s="574"/>
      <c r="PEW751" s="574"/>
      <c r="PEX751" s="574"/>
      <c r="PEY751" s="574"/>
      <c r="PEZ751" s="574"/>
      <c r="PFA751" s="574"/>
      <c r="PFB751" s="574"/>
      <c r="PFC751" s="574"/>
      <c r="PFD751" s="574"/>
      <c r="PFE751" s="574"/>
      <c r="PFF751" s="574"/>
      <c r="PFG751" s="574"/>
      <c r="PFH751" s="574"/>
      <c r="PFI751" s="574"/>
      <c r="PFJ751" s="574"/>
      <c r="PFK751" s="574"/>
      <c r="PFL751" s="574"/>
      <c r="PFM751" s="574"/>
      <c r="PFN751" s="574"/>
      <c r="PFO751" s="574"/>
      <c r="PFP751" s="574"/>
      <c r="PFQ751" s="574"/>
      <c r="PFR751" s="574"/>
      <c r="PFS751" s="574"/>
      <c r="PFT751" s="574"/>
      <c r="PFU751" s="574"/>
      <c r="PFV751" s="574"/>
      <c r="PFW751" s="574"/>
      <c r="PFX751" s="574"/>
      <c r="PFY751" s="574"/>
      <c r="PFZ751" s="574"/>
      <c r="PGA751" s="574"/>
      <c r="PGB751" s="574"/>
      <c r="PGC751" s="574"/>
      <c r="PGD751" s="574"/>
      <c r="PGE751" s="574"/>
      <c r="PGF751" s="574"/>
      <c r="PGG751" s="574"/>
      <c r="PGH751" s="574"/>
      <c r="PGI751" s="574"/>
      <c r="PGJ751" s="574"/>
      <c r="PGK751" s="574"/>
      <c r="PGL751" s="574"/>
      <c r="PGM751" s="574"/>
      <c r="PGN751" s="574"/>
      <c r="PGO751" s="574"/>
      <c r="PGP751" s="574"/>
      <c r="PGQ751" s="574"/>
      <c r="PGR751" s="574"/>
      <c r="PGS751" s="574"/>
      <c r="PGT751" s="574"/>
      <c r="PGU751" s="574"/>
      <c r="PGV751" s="574"/>
      <c r="PGW751" s="574"/>
      <c r="PGX751" s="574"/>
      <c r="PGY751" s="574"/>
      <c r="PGZ751" s="574"/>
      <c r="PHA751" s="574"/>
      <c r="PHB751" s="574"/>
      <c r="PHC751" s="574"/>
      <c r="PHD751" s="574"/>
      <c r="PHE751" s="574"/>
      <c r="PHF751" s="574"/>
      <c r="PHG751" s="574"/>
      <c r="PHH751" s="574"/>
      <c r="PHI751" s="574"/>
      <c r="PHJ751" s="574"/>
      <c r="PHK751" s="574"/>
      <c r="PHL751" s="574"/>
      <c r="PHM751" s="574"/>
      <c r="PHN751" s="574"/>
      <c r="PHO751" s="574"/>
      <c r="PHP751" s="574"/>
      <c r="PHQ751" s="574"/>
      <c r="PHR751" s="574"/>
      <c r="PHS751" s="574"/>
      <c r="PHT751" s="574"/>
      <c r="PHU751" s="574"/>
      <c r="PHV751" s="574"/>
      <c r="PHW751" s="574"/>
      <c r="PHX751" s="574"/>
      <c r="PHY751" s="574"/>
      <c r="PHZ751" s="574"/>
      <c r="PIA751" s="574"/>
      <c r="PIB751" s="574"/>
      <c r="PIC751" s="574"/>
      <c r="PID751" s="574"/>
      <c r="PIE751" s="574"/>
      <c r="PIF751" s="574"/>
      <c r="PIG751" s="574"/>
      <c r="PIH751" s="574"/>
      <c r="PII751" s="574"/>
      <c r="PIJ751" s="574"/>
      <c r="PIK751" s="574"/>
      <c r="PIL751" s="574"/>
      <c r="PIM751" s="574"/>
      <c r="PIN751" s="574"/>
      <c r="PIO751" s="574"/>
      <c r="PIP751" s="574"/>
      <c r="PIQ751" s="574"/>
      <c r="PIR751" s="574"/>
      <c r="PIS751" s="574"/>
      <c r="PIT751" s="574"/>
      <c r="PIU751" s="574"/>
      <c r="PIV751" s="574"/>
      <c r="PIW751" s="574"/>
      <c r="PIX751" s="574"/>
      <c r="PIY751" s="574"/>
      <c r="PIZ751" s="574"/>
      <c r="PJA751" s="574"/>
      <c r="PJB751" s="574"/>
      <c r="PJC751" s="574"/>
      <c r="PJD751" s="574"/>
      <c r="PJE751" s="574"/>
      <c r="PJF751" s="574"/>
      <c r="PJG751" s="574"/>
      <c r="PJH751" s="574"/>
      <c r="PJI751" s="574"/>
      <c r="PJJ751" s="574"/>
      <c r="PJK751" s="574"/>
      <c r="PJL751" s="574"/>
      <c r="PJM751" s="574"/>
      <c r="PJN751" s="574"/>
      <c r="PJO751" s="574"/>
      <c r="PJP751" s="574"/>
      <c r="PJQ751" s="574"/>
      <c r="PJR751" s="574"/>
      <c r="PJS751" s="574"/>
      <c r="PJT751" s="574"/>
      <c r="PJU751" s="574"/>
      <c r="PJV751" s="574"/>
      <c r="PJW751" s="574"/>
      <c r="PJX751" s="574"/>
      <c r="PJY751" s="574"/>
      <c r="PJZ751" s="574"/>
      <c r="PKA751" s="574"/>
      <c r="PKB751" s="574"/>
      <c r="PKC751" s="574"/>
      <c r="PKD751" s="574"/>
      <c r="PKE751" s="574"/>
      <c r="PKF751" s="574"/>
      <c r="PKG751" s="574"/>
      <c r="PKH751" s="574"/>
      <c r="PKI751" s="574"/>
      <c r="PKJ751" s="574"/>
      <c r="PKK751" s="574"/>
      <c r="PKL751" s="574"/>
      <c r="PKM751" s="574"/>
      <c r="PKN751" s="574"/>
      <c r="PKO751" s="574"/>
      <c r="PKP751" s="574"/>
      <c r="PKQ751" s="574"/>
      <c r="PKR751" s="574"/>
      <c r="PKS751" s="574"/>
      <c r="PKT751" s="574"/>
      <c r="PKU751" s="574"/>
      <c r="PKV751" s="574"/>
      <c r="PKW751" s="574"/>
      <c r="PKX751" s="574"/>
      <c r="PKY751" s="574"/>
      <c r="PKZ751" s="574"/>
      <c r="PLA751" s="574"/>
      <c r="PLB751" s="574"/>
      <c r="PLC751" s="574"/>
      <c r="PLD751" s="574"/>
      <c r="PLE751" s="574"/>
      <c r="PLF751" s="574"/>
      <c r="PLG751" s="574"/>
      <c r="PLH751" s="574"/>
      <c r="PLI751" s="574"/>
      <c r="PLJ751" s="574"/>
      <c r="PLK751" s="574"/>
      <c r="PLL751" s="574"/>
      <c r="PLM751" s="574"/>
      <c r="PLN751" s="574"/>
      <c r="PLO751" s="574"/>
      <c r="PLP751" s="574"/>
      <c r="PLQ751" s="574"/>
      <c r="PLR751" s="574"/>
      <c r="PLS751" s="574"/>
      <c r="PLT751" s="574"/>
      <c r="PLU751" s="574"/>
      <c r="PLV751" s="574"/>
      <c r="PLW751" s="574"/>
      <c r="PLX751" s="574"/>
      <c r="PLY751" s="574"/>
      <c r="PLZ751" s="574"/>
      <c r="PMA751" s="574"/>
      <c r="PMB751" s="574"/>
      <c r="PMC751" s="574"/>
      <c r="PMD751" s="574"/>
      <c r="PME751" s="574"/>
      <c r="PMF751" s="574"/>
      <c r="PMG751" s="574"/>
      <c r="PMH751" s="574"/>
      <c r="PMI751" s="574"/>
      <c r="PMJ751" s="574"/>
      <c r="PMK751" s="574"/>
      <c r="PML751" s="574"/>
      <c r="PMM751" s="574"/>
      <c r="PMN751" s="574"/>
      <c r="PMO751" s="574"/>
      <c r="PMP751" s="574"/>
      <c r="PMQ751" s="574"/>
      <c r="PMR751" s="574"/>
      <c r="PMS751" s="574"/>
      <c r="PMT751" s="574"/>
      <c r="PMU751" s="574"/>
      <c r="PMV751" s="574"/>
      <c r="PMW751" s="574"/>
      <c r="PMX751" s="574"/>
      <c r="PMY751" s="574"/>
      <c r="PMZ751" s="574"/>
      <c r="PNA751" s="574"/>
      <c r="PNB751" s="574"/>
      <c r="PNC751" s="574"/>
      <c r="PND751" s="574"/>
      <c r="PNE751" s="574"/>
      <c r="PNF751" s="574"/>
      <c r="PNG751" s="574"/>
      <c r="PNH751" s="574"/>
      <c r="PNI751" s="574"/>
      <c r="PNJ751" s="574"/>
      <c r="PNK751" s="574"/>
      <c r="PNL751" s="574"/>
      <c r="PNM751" s="574"/>
      <c r="PNN751" s="574"/>
      <c r="PNO751" s="574"/>
      <c r="PNP751" s="574"/>
      <c r="PNQ751" s="574"/>
      <c r="PNR751" s="574"/>
      <c r="PNS751" s="574"/>
      <c r="PNT751" s="574"/>
      <c r="PNU751" s="574"/>
      <c r="PNV751" s="574"/>
      <c r="PNW751" s="574"/>
      <c r="PNX751" s="574"/>
      <c r="PNY751" s="574"/>
      <c r="PNZ751" s="574"/>
      <c r="POA751" s="574"/>
      <c r="POB751" s="574"/>
      <c r="POC751" s="574"/>
      <c r="POD751" s="574"/>
      <c r="POE751" s="574"/>
      <c r="POF751" s="574"/>
      <c r="POG751" s="574"/>
      <c r="POH751" s="574"/>
      <c r="POI751" s="574"/>
      <c r="POJ751" s="574"/>
      <c r="POK751" s="574"/>
      <c r="POL751" s="574"/>
      <c r="POM751" s="574"/>
      <c r="PON751" s="574"/>
      <c r="POO751" s="574"/>
      <c r="POP751" s="574"/>
      <c r="POQ751" s="574"/>
      <c r="POR751" s="574"/>
      <c r="POS751" s="574"/>
      <c r="POT751" s="574"/>
      <c r="POU751" s="574"/>
      <c r="POV751" s="574"/>
      <c r="POW751" s="574"/>
      <c r="POX751" s="574"/>
      <c r="POY751" s="574"/>
      <c r="POZ751" s="574"/>
      <c r="PPA751" s="574"/>
      <c r="PPB751" s="574"/>
      <c r="PPC751" s="574"/>
      <c r="PPD751" s="574"/>
      <c r="PPE751" s="574"/>
      <c r="PPF751" s="574"/>
      <c r="PPG751" s="574"/>
      <c r="PPH751" s="574"/>
      <c r="PPI751" s="574"/>
      <c r="PPJ751" s="574"/>
      <c r="PPK751" s="574"/>
      <c r="PPL751" s="574"/>
      <c r="PPM751" s="574"/>
      <c r="PPN751" s="574"/>
      <c r="PPO751" s="574"/>
      <c r="PPP751" s="574"/>
      <c r="PPQ751" s="574"/>
      <c r="PPR751" s="574"/>
      <c r="PPS751" s="574"/>
      <c r="PPT751" s="574"/>
      <c r="PPU751" s="574"/>
      <c r="PPV751" s="574"/>
      <c r="PPW751" s="574"/>
      <c r="PPX751" s="574"/>
      <c r="PPY751" s="574"/>
      <c r="PPZ751" s="574"/>
      <c r="PQA751" s="574"/>
      <c r="PQB751" s="574"/>
      <c r="PQC751" s="574"/>
      <c r="PQD751" s="574"/>
      <c r="PQE751" s="574"/>
      <c r="PQF751" s="574"/>
      <c r="PQG751" s="574"/>
      <c r="PQH751" s="574"/>
      <c r="PQI751" s="574"/>
      <c r="PQJ751" s="574"/>
      <c r="PQK751" s="574"/>
      <c r="PQL751" s="574"/>
      <c r="PQM751" s="574"/>
      <c r="PQN751" s="574"/>
      <c r="PQO751" s="574"/>
      <c r="PQP751" s="574"/>
      <c r="PQQ751" s="574"/>
      <c r="PQR751" s="574"/>
      <c r="PQS751" s="574"/>
      <c r="PQT751" s="574"/>
      <c r="PQU751" s="574"/>
      <c r="PQV751" s="574"/>
      <c r="PQW751" s="574"/>
      <c r="PQX751" s="574"/>
      <c r="PQY751" s="574"/>
      <c r="PQZ751" s="574"/>
      <c r="PRA751" s="574"/>
      <c r="PRB751" s="574"/>
      <c r="PRC751" s="574"/>
      <c r="PRD751" s="574"/>
      <c r="PRE751" s="574"/>
      <c r="PRF751" s="574"/>
      <c r="PRG751" s="574"/>
      <c r="PRH751" s="574"/>
      <c r="PRI751" s="574"/>
      <c r="PRJ751" s="574"/>
      <c r="PRK751" s="574"/>
      <c r="PRL751" s="574"/>
      <c r="PRM751" s="574"/>
      <c r="PRN751" s="574"/>
      <c r="PRO751" s="574"/>
      <c r="PRP751" s="574"/>
      <c r="PRQ751" s="574"/>
      <c r="PRR751" s="574"/>
      <c r="PRS751" s="574"/>
      <c r="PRT751" s="574"/>
      <c r="PRU751" s="574"/>
      <c r="PRV751" s="574"/>
      <c r="PRW751" s="574"/>
      <c r="PRX751" s="574"/>
      <c r="PRY751" s="574"/>
      <c r="PRZ751" s="574"/>
      <c r="PSA751" s="574"/>
      <c r="PSB751" s="574"/>
      <c r="PSC751" s="574"/>
      <c r="PSD751" s="574"/>
      <c r="PSE751" s="574"/>
      <c r="PSF751" s="574"/>
      <c r="PSG751" s="574"/>
      <c r="PSH751" s="574"/>
      <c r="PSI751" s="574"/>
      <c r="PSJ751" s="574"/>
      <c r="PSK751" s="574"/>
      <c r="PSL751" s="574"/>
      <c r="PSM751" s="574"/>
      <c r="PSN751" s="574"/>
      <c r="PSO751" s="574"/>
      <c r="PSP751" s="574"/>
      <c r="PSQ751" s="574"/>
      <c r="PSR751" s="574"/>
      <c r="PSS751" s="574"/>
      <c r="PST751" s="574"/>
      <c r="PSU751" s="574"/>
      <c r="PSV751" s="574"/>
      <c r="PSW751" s="574"/>
      <c r="PSX751" s="574"/>
      <c r="PSY751" s="574"/>
      <c r="PSZ751" s="574"/>
      <c r="PTA751" s="574"/>
      <c r="PTB751" s="574"/>
      <c r="PTC751" s="574"/>
      <c r="PTD751" s="574"/>
      <c r="PTE751" s="574"/>
      <c r="PTF751" s="574"/>
      <c r="PTG751" s="574"/>
      <c r="PTH751" s="574"/>
      <c r="PTI751" s="574"/>
      <c r="PTJ751" s="574"/>
      <c r="PTK751" s="574"/>
      <c r="PTL751" s="574"/>
      <c r="PTM751" s="574"/>
      <c r="PTN751" s="574"/>
      <c r="PTO751" s="574"/>
      <c r="PTP751" s="574"/>
      <c r="PTQ751" s="574"/>
      <c r="PTR751" s="574"/>
      <c r="PTS751" s="574"/>
      <c r="PTT751" s="574"/>
      <c r="PTU751" s="574"/>
      <c r="PTV751" s="574"/>
      <c r="PTW751" s="574"/>
      <c r="PTX751" s="574"/>
      <c r="PTY751" s="574"/>
      <c r="PTZ751" s="574"/>
      <c r="PUA751" s="574"/>
      <c r="PUB751" s="574"/>
      <c r="PUC751" s="574"/>
      <c r="PUD751" s="574"/>
      <c r="PUE751" s="574"/>
      <c r="PUF751" s="574"/>
      <c r="PUG751" s="574"/>
      <c r="PUH751" s="574"/>
      <c r="PUI751" s="574"/>
      <c r="PUJ751" s="574"/>
      <c r="PUK751" s="574"/>
      <c r="PUL751" s="574"/>
      <c r="PUM751" s="574"/>
      <c r="PUN751" s="574"/>
      <c r="PUO751" s="574"/>
      <c r="PUP751" s="574"/>
      <c r="PUQ751" s="574"/>
      <c r="PUR751" s="574"/>
      <c r="PUS751" s="574"/>
      <c r="PUT751" s="574"/>
      <c r="PUU751" s="574"/>
      <c r="PUV751" s="574"/>
      <c r="PUW751" s="574"/>
      <c r="PUX751" s="574"/>
      <c r="PUY751" s="574"/>
      <c r="PUZ751" s="574"/>
      <c r="PVA751" s="574"/>
      <c r="PVB751" s="574"/>
      <c r="PVC751" s="574"/>
      <c r="PVD751" s="574"/>
      <c r="PVE751" s="574"/>
      <c r="PVF751" s="574"/>
      <c r="PVG751" s="574"/>
      <c r="PVH751" s="574"/>
      <c r="PVI751" s="574"/>
      <c r="PVJ751" s="574"/>
      <c r="PVK751" s="574"/>
      <c r="PVL751" s="574"/>
      <c r="PVM751" s="574"/>
      <c r="PVN751" s="574"/>
      <c r="PVO751" s="574"/>
      <c r="PVP751" s="574"/>
      <c r="PVQ751" s="574"/>
      <c r="PVR751" s="574"/>
      <c r="PVS751" s="574"/>
      <c r="PVT751" s="574"/>
      <c r="PVU751" s="574"/>
      <c r="PVV751" s="574"/>
      <c r="PVW751" s="574"/>
      <c r="PVX751" s="574"/>
      <c r="PVY751" s="574"/>
      <c r="PVZ751" s="574"/>
      <c r="PWA751" s="574"/>
      <c r="PWB751" s="574"/>
      <c r="PWC751" s="574"/>
      <c r="PWD751" s="574"/>
      <c r="PWE751" s="574"/>
      <c r="PWF751" s="574"/>
      <c r="PWG751" s="574"/>
      <c r="PWH751" s="574"/>
      <c r="PWI751" s="574"/>
      <c r="PWJ751" s="574"/>
      <c r="PWK751" s="574"/>
      <c r="PWL751" s="574"/>
      <c r="PWM751" s="574"/>
      <c r="PWN751" s="574"/>
      <c r="PWO751" s="574"/>
      <c r="PWP751" s="574"/>
      <c r="PWQ751" s="574"/>
      <c r="PWR751" s="574"/>
      <c r="PWS751" s="574"/>
      <c r="PWT751" s="574"/>
      <c r="PWU751" s="574"/>
      <c r="PWV751" s="574"/>
      <c r="PWW751" s="574"/>
      <c r="PWX751" s="574"/>
      <c r="PWY751" s="574"/>
      <c r="PWZ751" s="574"/>
      <c r="PXA751" s="574"/>
      <c r="PXB751" s="574"/>
      <c r="PXC751" s="574"/>
      <c r="PXD751" s="574"/>
      <c r="PXE751" s="574"/>
      <c r="PXF751" s="574"/>
      <c r="PXG751" s="574"/>
      <c r="PXH751" s="574"/>
      <c r="PXI751" s="574"/>
      <c r="PXJ751" s="574"/>
      <c r="PXK751" s="574"/>
      <c r="PXL751" s="574"/>
      <c r="PXM751" s="574"/>
      <c r="PXN751" s="574"/>
      <c r="PXO751" s="574"/>
      <c r="PXP751" s="574"/>
      <c r="PXQ751" s="574"/>
      <c r="PXR751" s="574"/>
      <c r="PXS751" s="574"/>
      <c r="PXT751" s="574"/>
      <c r="PXU751" s="574"/>
      <c r="PXV751" s="574"/>
      <c r="PXW751" s="574"/>
      <c r="PXX751" s="574"/>
      <c r="PXY751" s="574"/>
      <c r="PXZ751" s="574"/>
      <c r="PYA751" s="574"/>
      <c r="PYB751" s="574"/>
      <c r="PYC751" s="574"/>
      <c r="PYD751" s="574"/>
      <c r="PYE751" s="574"/>
      <c r="PYF751" s="574"/>
      <c r="PYG751" s="574"/>
      <c r="PYH751" s="574"/>
      <c r="PYI751" s="574"/>
      <c r="PYJ751" s="574"/>
      <c r="PYK751" s="574"/>
      <c r="PYL751" s="574"/>
      <c r="PYM751" s="574"/>
      <c r="PYN751" s="574"/>
      <c r="PYO751" s="574"/>
      <c r="PYP751" s="574"/>
      <c r="PYQ751" s="574"/>
      <c r="PYR751" s="574"/>
      <c r="PYS751" s="574"/>
      <c r="PYT751" s="574"/>
      <c r="PYU751" s="574"/>
      <c r="PYV751" s="574"/>
      <c r="PYW751" s="574"/>
      <c r="PYX751" s="574"/>
      <c r="PYY751" s="574"/>
      <c r="PYZ751" s="574"/>
      <c r="PZA751" s="574"/>
      <c r="PZB751" s="574"/>
      <c r="PZC751" s="574"/>
      <c r="PZD751" s="574"/>
      <c r="PZE751" s="574"/>
      <c r="PZF751" s="574"/>
      <c r="PZG751" s="574"/>
      <c r="PZH751" s="574"/>
      <c r="PZI751" s="574"/>
      <c r="PZJ751" s="574"/>
      <c r="PZK751" s="574"/>
      <c r="PZL751" s="574"/>
      <c r="PZM751" s="574"/>
      <c r="PZN751" s="574"/>
      <c r="PZO751" s="574"/>
      <c r="PZP751" s="574"/>
      <c r="PZQ751" s="574"/>
      <c r="PZR751" s="574"/>
      <c r="PZS751" s="574"/>
      <c r="PZT751" s="574"/>
      <c r="PZU751" s="574"/>
      <c r="PZV751" s="574"/>
      <c r="PZW751" s="574"/>
      <c r="PZX751" s="574"/>
      <c r="PZY751" s="574"/>
      <c r="PZZ751" s="574"/>
      <c r="QAA751" s="574"/>
      <c r="QAB751" s="574"/>
      <c r="QAC751" s="574"/>
      <c r="QAD751" s="574"/>
      <c r="QAE751" s="574"/>
      <c r="QAF751" s="574"/>
      <c r="QAG751" s="574"/>
      <c r="QAH751" s="574"/>
      <c r="QAI751" s="574"/>
      <c r="QAJ751" s="574"/>
      <c r="QAK751" s="574"/>
      <c r="QAL751" s="574"/>
      <c r="QAM751" s="574"/>
      <c r="QAN751" s="574"/>
      <c r="QAO751" s="574"/>
      <c r="QAP751" s="574"/>
      <c r="QAQ751" s="574"/>
      <c r="QAR751" s="574"/>
      <c r="QAS751" s="574"/>
      <c r="QAT751" s="574"/>
      <c r="QAU751" s="574"/>
      <c r="QAV751" s="574"/>
      <c r="QAW751" s="574"/>
      <c r="QAX751" s="574"/>
      <c r="QAY751" s="574"/>
      <c r="QAZ751" s="574"/>
      <c r="QBA751" s="574"/>
      <c r="QBB751" s="574"/>
      <c r="QBC751" s="574"/>
      <c r="QBD751" s="574"/>
      <c r="QBE751" s="574"/>
      <c r="QBF751" s="574"/>
      <c r="QBG751" s="574"/>
      <c r="QBH751" s="574"/>
      <c r="QBI751" s="574"/>
      <c r="QBJ751" s="574"/>
      <c r="QBK751" s="574"/>
      <c r="QBL751" s="574"/>
      <c r="QBM751" s="574"/>
      <c r="QBN751" s="574"/>
      <c r="QBO751" s="574"/>
      <c r="QBP751" s="574"/>
      <c r="QBQ751" s="574"/>
      <c r="QBR751" s="574"/>
      <c r="QBS751" s="574"/>
      <c r="QBT751" s="574"/>
      <c r="QBU751" s="574"/>
      <c r="QBV751" s="574"/>
      <c r="QBW751" s="574"/>
      <c r="QBX751" s="574"/>
      <c r="QBY751" s="574"/>
      <c r="QBZ751" s="574"/>
      <c r="QCA751" s="574"/>
      <c r="QCB751" s="574"/>
      <c r="QCC751" s="574"/>
      <c r="QCD751" s="574"/>
      <c r="QCE751" s="574"/>
      <c r="QCF751" s="574"/>
      <c r="QCG751" s="574"/>
      <c r="QCH751" s="574"/>
      <c r="QCI751" s="574"/>
      <c r="QCJ751" s="574"/>
      <c r="QCK751" s="574"/>
      <c r="QCL751" s="574"/>
      <c r="QCM751" s="574"/>
      <c r="QCN751" s="574"/>
      <c r="QCO751" s="574"/>
      <c r="QCP751" s="574"/>
      <c r="QCQ751" s="574"/>
      <c r="QCR751" s="574"/>
      <c r="QCS751" s="574"/>
      <c r="QCT751" s="574"/>
      <c r="QCU751" s="574"/>
      <c r="QCV751" s="574"/>
      <c r="QCW751" s="574"/>
      <c r="QCX751" s="574"/>
      <c r="QCY751" s="574"/>
      <c r="QCZ751" s="574"/>
      <c r="QDA751" s="574"/>
      <c r="QDB751" s="574"/>
      <c r="QDC751" s="574"/>
      <c r="QDD751" s="574"/>
      <c r="QDE751" s="574"/>
      <c r="QDF751" s="574"/>
      <c r="QDG751" s="574"/>
      <c r="QDH751" s="574"/>
      <c r="QDI751" s="574"/>
      <c r="QDJ751" s="574"/>
      <c r="QDK751" s="574"/>
      <c r="QDL751" s="574"/>
      <c r="QDM751" s="574"/>
      <c r="QDN751" s="574"/>
      <c r="QDO751" s="574"/>
      <c r="QDP751" s="574"/>
      <c r="QDQ751" s="574"/>
      <c r="QDR751" s="574"/>
      <c r="QDS751" s="574"/>
      <c r="QDT751" s="574"/>
      <c r="QDU751" s="574"/>
      <c r="QDV751" s="574"/>
      <c r="QDW751" s="574"/>
      <c r="QDX751" s="574"/>
      <c r="QDY751" s="574"/>
      <c r="QDZ751" s="574"/>
      <c r="QEA751" s="574"/>
      <c r="QEB751" s="574"/>
      <c r="QEC751" s="574"/>
      <c r="QED751" s="574"/>
      <c r="QEE751" s="574"/>
      <c r="QEF751" s="574"/>
      <c r="QEG751" s="574"/>
      <c r="QEH751" s="574"/>
      <c r="QEI751" s="574"/>
      <c r="QEJ751" s="574"/>
      <c r="QEK751" s="574"/>
      <c r="QEL751" s="574"/>
      <c r="QEM751" s="574"/>
      <c r="QEN751" s="574"/>
      <c r="QEO751" s="574"/>
      <c r="QEP751" s="574"/>
      <c r="QEQ751" s="574"/>
      <c r="QER751" s="574"/>
      <c r="QES751" s="574"/>
      <c r="QET751" s="574"/>
      <c r="QEU751" s="574"/>
      <c r="QEV751" s="574"/>
      <c r="QEW751" s="574"/>
      <c r="QEX751" s="574"/>
      <c r="QEY751" s="574"/>
      <c r="QEZ751" s="574"/>
      <c r="QFA751" s="574"/>
      <c r="QFB751" s="574"/>
      <c r="QFC751" s="574"/>
      <c r="QFD751" s="574"/>
      <c r="QFE751" s="574"/>
      <c r="QFF751" s="574"/>
      <c r="QFG751" s="574"/>
      <c r="QFH751" s="574"/>
      <c r="QFI751" s="574"/>
      <c r="QFJ751" s="574"/>
      <c r="QFK751" s="574"/>
      <c r="QFL751" s="574"/>
      <c r="QFM751" s="574"/>
      <c r="QFN751" s="574"/>
      <c r="QFO751" s="574"/>
      <c r="QFP751" s="574"/>
      <c r="QFQ751" s="574"/>
      <c r="QFR751" s="574"/>
      <c r="QFS751" s="574"/>
      <c r="QFT751" s="574"/>
      <c r="QFU751" s="574"/>
      <c r="QFV751" s="574"/>
      <c r="QFW751" s="574"/>
      <c r="QFX751" s="574"/>
      <c r="QFY751" s="574"/>
      <c r="QFZ751" s="574"/>
      <c r="QGA751" s="574"/>
      <c r="QGB751" s="574"/>
      <c r="QGC751" s="574"/>
      <c r="QGD751" s="574"/>
      <c r="QGE751" s="574"/>
      <c r="QGF751" s="574"/>
      <c r="QGG751" s="574"/>
      <c r="QGH751" s="574"/>
      <c r="QGI751" s="574"/>
      <c r="QGJ751" s="574"/>
      <c r="QGK751" s="574"/>
      <c r="QGL751" s="574"/>
      <c r="QGM751" s="574"/>
      <c r="QGN751" s="574"/>
      <c r="QGO751" s="574"/>
      <c r="QGP751" s="574"/>
      <c r="QGQ751" s="574"/>
      <c r="QGR751" s="574"/>
      <c r="QGS751" s="574"/>
      <c r="QGT751" s="574"/>
      <c r="QGU751" s="574"/>
      <c r="QGV751" s="574"/>
      <c r="QGW751" s="574"/>
      <c r="QGX751" s="574"/>
      <c r="QGY751" s="574"/>
      <c r="QGZ751" s="574"/>
      <c r="QHA751" s="574"/>
      <c r="QHB751" s="574"/>
      <c r="QHC751" s="574"/>
      <c r="QHD751" s="574"/>
      <c r="QHE751" s="574"/>
      <c r="QHF751" s="574"/>
      <c r="QHG751" s="574"/>
      <c r="QHH751" s="574"/>
      <c r="QHI751" s="574"/>
      <c r="QHJ751" s="574"/>
      <c r="QHK751" s="574"/>
      <c r="QHL751" s="574"/>
      <c r="QHM751" s="574"/>
      <c r="QHN751" s="574"/>
      <c r="QHO751" s="574"/>
      <c r="QHP751" s="574"/>
      <c r="QHQ751" s="574"/>
      <c r="QHR751" s="574"/>
      <c r="QHS751" s="574"/>
      <c r="QHT751" s="574"/>
      <c r="QHU751" s="574"/>
      <c r="QHV751" s="574"/>
      <c r="QHW751" s="574"/>
      <c r="QHX751" s="574"/>
      <c r="QHY751" s="574"/>
      <c r="QHZ751" s="574"/>
      <c r="QIA751" s="574"/>
      <c r="QIB751" s="574"/>
      <c r="QIC751" s="574"/>
      <c r="QID751" s="574"/>
      <c r="QIE751" s="574"/>
      <c r="QIF751" s="574"/>
      <c r="QIG751" s="574"/>
      <c r="QIH751" s="574"/>
      <c r="QII751" s="574"/>
      <c r="QIJ751" s="574"/>
      <c r="QIK751" s="574"/>
      <c r="QIL751" s="574"/>
      <c r="QIM751" s="574"/>
      <c r="QIN751" s="574"/>
      <c r="QIO751" s="574"/>
      <c r="QIP751" s="574"/>
      <c r="QIQ751" s="574"/>
      <c r="QIR751" s="574"/>
      <c r="QIS751" s="574"/>
      <c r="QIT751" s="574"/>
      <c r="QIU751" s="574"/>
      <c r="QIV751" s="574"/>
      <c r="QIW751" s="574"/>
      <c r="QIX751" s="574"/>
      <c r="QIY751" s="574"/>
      <c r="QIZ751" s="574"/>
      <c r="QJA751" s="574"/>
      <c r="QJB751" s="574"/>
      <c r="QJC751" s="574"/>
      <c r="QJD751" s="574"/>
      <c r="QJE751" s="574"/>
      <c r="QJF751" s="574"/>
      <c r="QJG751" s="574"/>
      <c r="QJH751" s="574"/>
      <c r="QJI751" s="574"/>
      <c r="QJJ751" s="574"/>
      <c r="QJK751" s="574"/>
      <c r="QJL751" s="574"/>
      <c r="QJM751" s="574"/>
      <c r="QJN751" s="574"/>
      <c r="QJO751" s="574"/>
      <c r="QJP751" s="574"/>
      <c r="QJQ751" s="574"/>
      <c r="QJR751" s="574"/>
      <c r="QJS751" s="574"/>
      <c r="QJT751" s="574"/>
      <c r="QJU751" s="574"/>
      <c r="QJV751" s="574"/>
      <c r="QJW751" s="574"/>
      <c r="QJX751" s="574"/>
      <c r="QJY751" s="574"/>
      <c r="QJZ751" s="574"/>
      <c r="QKA751" s="574"/>
      <c r="QKB751" s="574"/>
      <c r="QKC751" s="574"/>
      <c r="QKD751" s="574"/>
      <c r="QKE751" s="574"/>
      <c r="QKF751" s="574"/>
      <c r="QKG751" s="574"/>
      <c r="QKH751" s="574"/>
      <c r="QKI751" s="574"/>
      <c r="QKJ751" s="574"/>
      <c r="QKK751" s="574"/>
      <c r="QKL751" s="574"/>
      <c r="QKM751" s="574"/>
      <c r="QKN751" s="574"/>
      <c r="QKO751" s="574"/>
      <c r="QKP751" s="574"/>
      <c r="QKQ751" s="574"/>
      <c r="QKR751" s="574"/>
      <c r="QKS751" s="574"/>
      <c r="QKT751" s="574"/>
      <c r="QKU751" s="574"/>
      <c r="QKV751" s="574"/>
      <c r="QKW751" s="574"/>
      <c r="QKX751" s="574"/>
      <c r="QKY751" s="574"/>
      <c r="QKZ751" s="574"/>
      <c r="QLA751" s="574"/>
      <c r="QLB751" s="574"/>
      <c r="QLC751" s="574"/>
      <c r="QLD751" s="574"/>
      <c r="QLE751" s="574"/>
      <c r="QLF751" s="574"/>
      <c r="QLG751" s="574"/>
      <c r="QLH751" s="574"/>
      <c r="QLI751" s="574"/>
      <c r="QLJ751" s="574"/>
      <c r="QLK751" s="574"/>
      <c r="QLL751" s="574"/>
      <c r="QLM751" s="574"/>
      <c r="QLN751" s="574"/>
      <c r="QLO751" s="574"/>
      <c r="QLP751" s="574"/>
      <c r="QLQ751" s="574"/>
      <c r="QLR751" s="574"/>
      <c r="QLS751" s="574"/>
      <c r="QLT751" s="574"/>
      <c r="QLU751" s="574"/>
      <c r="QLV751" s="574"/>
      <c r="QLW751" s="574"/>
      <c r="QLX751" s="574"/>
      <c r="QLY751" s="574"/>
      <c r="QLZ751" s="574"/>
      <c r="QMA751" s="574"/>
      <c r="QMB751" s="574"/>
      <c r="QMC751" s="574"/>
      <c r="QMD751" s="574"/>
      <c r="QME751" s="574"/>
      <c r="QMF751" s="574"/>
      <c r="QMG751" s="574"/>
      <c r="QMH751" s="574"/>
      <c r="QMI751" s="574"/>
      <c r="QMJ751" s="574"/>
      <c r="QMK751" s="574"/>
      <c r="QML751" s="574"/>
      <c r="QMM751" s="574"/>
      <c r="QMN751" s="574"/>
      <c r="QMO751" s="574"/>
      <c r="QMP751" s="574"/>
      <c r="QMQ751" s="574"/>
      <c r="QMR751" s="574"/>
      <c r="QMS751" s="574"/>
      <c r="QMT751" s="574"/>
      <c r="QMU751" s="574"/>
      <c r="QMV751" s="574"/>
      <c r="QMW751" s="574"/>
      <c r="QMX751" s="574"/>
      <c r="QMY751" s="574"/>
      <c r="QMZ751" s="574"/>
      <c r="QNA751" s="574"/>
      <c r="QNB751" s="574"/>
      <c r="QNC751" s="574"/>
      <c r="QND751" s="574"/>
      <c r="QNE751" s="574"/>
      <c r="QNF751" s="574"/>
      <c r="QNG751" s="574"/>
      <c r="QNH751" s="574"/>
      <c r="QNI751" s="574"/>
      <c r="QNJ751" s="574"/>
      <c r="QNK751" s="574"/>
      <c r="QNL751" s="574"/>
      <c r="QNM751" s="574"/>
      <c r="QNN751" s="574"/>
      <c r="QNO751" s="574"/>
      <c r="QNP751" s="574"/>
      <c r="QNQ751" s="574"/>
      <c r="QNR751" s="574"/>
      <c r="QNS751" s="574"/>
      <c r="QNT751" s="574"/>
      <c r="QNU751" s="574"/>
      <c r="QNV751" s="574"/>
      <c r="QNW751" s="574"/>
      <c r="QNX751" s="574"/>
      <c r="QNY751" s="574"/>
      <c r="QNZ751" s="574"/>
      <c r="QOA751" s="574"/>
      <c r="QOB751" s="574"/>
      <c r="QOC751" s="574"/>
      <c r="QOD751" s="574"/>
      <c r="QOE751" s="574"/>
      <c r="QOF751" s="574"/>
      <c r="QOG751" s="574"/>
      <c r="QOH751" s="574"/>
      <c r="QOI751" s="574"/>
      <c r="QOJ751" s="574"/>
      <c r="QOK751" s="574"/>
      <c r="QOL751" s="574"/>
      <c r="QOM751" s="574"/>
      <c r="QON751" s="574"/>
      <c r="QOO751" s="574"/>
      <c r="QOP751" s="574"/>
      <c r="QOQ751" s="574"/>
      <c r="QOR751" s="574"/>
      <c r="QOS751" s="574"/>
      <c r="QOT751" s="574"/>
      <c r="QOU751" s="574"/>
      <c r="QOV751" s="574"/>
      <c r="QOW751" s="574"/>
      <c r="QOX751" s="574"/>
      <c r="QOY751" s="574"/>
      <c r="QOZ751" s="574"/>
      <c r="QPA751" s="574"/>
      <c r="QPB751" s="574"/>
      <c r="QPC751" s="574"/>
      <c r="QPD751" s="574"/>
      <c r="QPE751" s="574"/>
      <c r="QPF751" s="574"/>
      <c r="QPG751" s="574"/>
      <c r="QPH751" s="574"/>
      <c r="QPI751" s="574"/>
      <c r="QPJ751" s="574"/>
      <c r="QPK751" s="574"/>
      <c r="QPL751" s="574"/>
      <c r="QPM751" s="574"/>
      <c r="QPN751" s="574"/>
      <c r="QPO751" s="574"/>
      <c r="QPP751" s="574"/>
      <c r="QPQ751" s="574"/>
      <c r="QPR751" s="574"/>
      <c r="QPS751" s="574"/>
      <c r="QPT751" s="574"/>
      <c r="QPU751" s="574"/>
      <c r="QPV751" s="574"/>
      <c r="QPW751" s="574"/>
      <c r="QPX751" s="574"/>
      <c r="QPY751" s="574"/>
      <c r="QPZ751" s="574"/>
      <c r="QQA751" s="574"/>
      <c r="QQB751" s="574"/>
      <c r="QQC751" s="574"/>
      <c r="QQD751" s="574"/>
      <c r="QQE751" s="574"/>
      <c r="QQF751" s="574"/>
      <c r="QQG751" s="574"/>
      <c r="QQH751" s="574"/>
      <c r="QQI751" s="574"/>
      <c r="QQJ751" s="574"/>
      <c r="QQK751" s="574"/>
      <c r="QQL751" s="574"/>
      <c r="QQM751" s="574"/>
      <c r="QQN751" s="574"/>
      <c r="QQO751" s="574"/>
      <c r="QQP751" s="574"/>
      <c r="QQQ751" s="574"/>
      <c r="QQR751" s="574"/>
      <c r="QQS751" s="574"/>
      <c r="QQT751" s="574"/>
      <c r="QQU751" s="574"/>
      <c r="QQV751" s="574"/>
      <c r="QQW751" s="574"/>
      <c r="QQX751" s="574"/>
      <c r="QQY751" s="574"/>
      <c r="QQZ751" s="574"/>
      <c r="QRA751" s="574"/>
      <c r="QRB751" s="574"/>
      <c r="QRC751" s="574"/>
      <c r="QRD751" s="574"/>
      <c r="QRE751" s="574"/>
      <c r="QRF751" s="574"/>
      <c r="QRG751" s="574"/>
      <c r="QRH751" s="574"/>
      <c r="QRI751" s="574"/>
      <c r="QRJ751" s="574"/>
      <c r="QRK751" s="574"/>
      <c r="QRL751" s="574"/>
      <c r="QRM751" s="574"/>
      <c r="QRN751" s="574"/>
      <c r="QRO751" s="574"/>
      <c r="QRP751" s="574"/>
      <c r="QRQ751" s="574"/>
      <c r="QRR751" s="574"/>
      <c r="QRS751" s="574"/>
      <c r="QRT751" s="574"/>
      <c r="QRU751" s="574"/>
      <c r="QRV751" s="574"/>
      <c r="QRW751" s="574"/>
      <c r="QRX751" s="574"/>
      <c r="QRY751" s="574"/>
      <c r="QRZ751" s="574"/>
      <c r="QSA751" s="574"/>
      <c r="QSB751" s="574"/>
      <c r="QSC751" s="574"/>
      <c r="QSD751" s="574"/>
      <c r="QSE751" s="574"/>
      <c r="QSF751" s="574"/>
      <c r="QSG751" s="574"/>
      <c r="QSH751" s="574"/>
      <c r="QSI751" s="574"/>
      <c r="QSJ751" s="574"/>
      <c r="QSK751" s="574"/>
      <c r="QSL751" s="574"/>
      <c r="QSM751" s="574"/>
      <c r="QSN751" s="574"/>
      <c r="QSO751" s="574"/>
      <c r="QSP751" s="574"/>
      <c r="QSQ751" s="574"/>
      <c r="QSR751" s="574"/>
      <c r="QSS751" s="574"/>
      <c r="QST751" s="574"/>
      <c r="QSU751" s="574"/>
      <c r="QSV751" s="574"/>
      <c r="QSW751" s="574"/>
      <c r="QSX751" s="574"/>
      <c r="QSY751" s="574"/>
      <c r="QSZ751" s="574"/>
      <c r="QTA751" s="574"/>
      <c r="QTB751" s="574"/>
      <c r="QTC751" s="574"/>
      <c r="QTD751" s="574"/>
      <c r="QTE751" s="574"/>
      <c r="QTF751" s="574"/>
      <c r="QTG751" s="574"/>
      <c r="QTH751" s="574"/>
      <c r="QTI751" s="574"/>
      <c r="QTJ751" s="574"/>
      <c r="QTK751" s="574"/>
      <c r="QTL751" s="574"/>
      <c r="QTM751" s="574"/>
      <c r="QTN751" s="574"/>
      <c r="QTO751" s="574"/>
      <c r="QTP751" s="574"/>
      <c r="QTQ751" s="574"/>
      <c r="QTR751" s="574"/>
      <c r="QTS751" s="574"/>
      <c r="QTT751" s="574"/>
      <c r="QTU751" s="574"/>
      <c r="QTV751" s="574"/>
      <c r="QTW751" s="574"/>
      <c r="QTX751" s="574"/>
      <c r="QTY751" s="574"/>
      <c r="QTZ751" s="574"/>
      <c r="QUA751" s="574"/>
      <c r="QUB751" s="574"/>
      <c r="QUC751" s="574"/>
      <c r="QUD751" s="574"/>
      <c r="QUE751" s="574"/>
      <c r="QUF751" s="574"/>
      <c r="QUG751" s="574"/>
      <c r="QUH751" s="574"/>
      <c r="QUI751" s="574"/>
      <c r="QUJ751" s="574"/>
      <c r="QUK751" s="574"/>
      <c r="QUL751" s="574"/>
      <c r="QUM751" s="574"/>
      <c r="QUN751" s="574"/>
      <c r="QUO751" s="574"/>
      <c r="QUP751" s="574"/>
      <c r="QUQ751" s="574"/>
      <c r="QUR751" s="574"/>
      <c r="QUS751" s="574"/>
      <c r="QUT751" s="574"/>
      <c r="QUU751" s="574"/>
      <c r="QUV751" s="574"/>
      <c r="QUW751" s="574"/>
      <c r="QUX751" s="574"/>
      <c r="QUY751" s="574"/>
      <c r="QUZ751" s="574"/>
      <c r="QVA751" s="574"/>
      <c r="QVB751" s="574"/>
      <c r="QVC751" s="574"/>
      <c r="QVD751" s="574"/>
      <c r="QVE751" s="574"/>
      <c r="QVF751" s="574"/>
      <c r="QVG751" s="574"/>
      <c r="QVH751" s="574"/>
      <c r="QVI751" s="574"/>
      <c r="QVJ751" s="574"/>
      <c r="QVK751" s="574"/>
      <c r="QVL751" s="574"/>
      <c r="QVM751" s="574"/>
      <c r="QVN751" s="574"/>
      <c r="QVO751" s="574"/>
      <c r="QVP751" s="574"/>
      <c r="QVQ751" s="574"/>
      <c r="QVR751" s="574"/>
      <c r="QVS751" s="574"/>
      <c r="QVT751" s="574"/>
      <c r="QVU751" s="574"/>
      <c r="QVV751" s="574"/>
      <c r="QVW751" s="574"/>
      <c r="QVX751" s="574"/>
      <c r="QVY751" s="574"/>
      <c r="QVZ751" s="574"/>
      <c r="QWA751" s="574"/>
      <c r="QWB751" s="574"/>
      <c r="QWC751" s="574"/>
      <c r="QWD751" s="574"/>
      <c r="QWE751" s="574"/>
      <c r="QWF751" s="574"/>
      <c r="QWG751" s="574"/>
      <c r="QWH751" s="574"/>
      <c r="QWI751" s="574"/>
      <c r="QWJ751" s="574"/>
      <c r="QWK751" s="574"/>
      <c r="QWL751" s="574"/>
      <c r="QWM751" s="574"/>
      <c r="QWN751" s="574"/>
      <c r="QWO751" s="574"/>
      <c r="QWP751" s="574"/>
      <c r="QWQ751" s="574"/>
      <c r="QWR751" s="574"/>
      <c r="QWS751" s="574"/>
      <c r="QWT751" s="574"/>
      <c r="QWU751" s="574"/>
      <c r="QWV751" s="574"/>
      <c r="QWW751" s="574"/>
      <c r="QWX751" s="574"/>
      <c r="QWY751" s="574"/>
      <c r="QWZ751" s="574"/>
      <c r="QXA751" s="574"/>
      <c r="QXB751" s="574"/>
      <c r="QXC751" s="574"/>
      <c r="QXD751" s="574"/>
      <c r="QXE751" s="574"/>
      <c r="QXF751" s="574"/>
      <c r="QXG751" s="574"/>
      <c r="QXH751" s="574"/>
      <c r="QXI751" s="574"/>
      <c r="QXJ751" s="574"/>
      <c r="QXK751" s="574"/>
      <c r="QXL751" s="574"/>
      <c r="QXM751" s="574"/>
      <c r="QXN751" s="574"/>
      <c r="QXO751" s="574"/>
      <c r="QXP751" s="574"/>
      <c r="QXQ751" s="574"/>
      <c r="QXR751" s="574"/>
      <c r="QXS751" s="574"/>
      <c r="QXT751" s="574"/>
      <c r="QXU751" s="574"/>
      <c r="QXV751" s="574"/>
      <c r="QXW751" s="574"/>
      <c r="QXX751" s="574"/>
      <c r="QXY751" s="574"/>
      <c r="QXZ751" s="574"/>
      <c r="QYA751" s="574"/>
      <c r="QYB751" s="574"/>
      <c r="QYC751" s="574"/>
      <c r="QYD751" s="574"/>
      <c r="QYE751" s="574"/>
      <c r="QYF751" s="574"/>
      <c r="QYG751" s="574"/>
      <c r="QYH751" s="574"/>
      <c r="QYI751" s="574"/>
      <c r="QYJ751" s="574"/>
      <c r="QYK751" s="574"/>
      <c r="QYL751" s="574"/>
      <c r="QYM751" s="574"/>
      <c r="QYN751" s="574"/>
      <c r="QYO751" s="574"/>
      <c r="QYP751" s="574"/>
      <c r="QYQ751" s="574"/>
      <c r="QYR751" s="574"/>
      <c r="QYS751" s="574"/>
      <c r="QYT751" s="574"/>
      <c r="QYU751" s="574"/>
      <c r="QYV751" s="574"/>
      <c r="QYW751" s="574"/>
      <c r="QYX751" s="574"/>
      <c r="QYY751" s="574"/>
      <c r="QYZ751" s="574"/>
      <c r="QZA751" s="574"/>
      <c r="QZB751" s="574"/>
      <c r="QZC751" s="574"/>
      <c r="QZD751" s="574"/>
      <c r="QZE751" s="574"/>
      <c r="QZF751" s="574"/>
      <c r="QZG751" s="574"/>
      <c r="QZH751" s="574"/>
      <c r="QZI751" s="574"/>
      <c r="QZJ751" s="574"/>
      <c r="QZK751" s="574"/>
      <c r="QZL751" s="574"/>
      <c r="QZM751" s="574"/>
      <c r="QZN751" s="574"/>
      <c r="QZO751" s="574"/>
      <c r="QZP751" s="574"/>
      <c r="QZQ751" s="574"/>
      <c r="QZR751" s="574"/>
      <c r="QZS751" s="574"/>
      <c r="QZT751" s="574"/>
      <c r="QZU751" s="574"/>
      <c r="QZV751" s="574"/>
      <c r="QZW751" s="574"/>
      <c r="QZX751" s="574"/>
      <c r="QZY751" s="574"/>
      <c r="QZZ751" s="574"/>
      <c r="RAA751" s="574"/>
      <c r="RAB751" s="574"/>
      <c r="RAC751" s="574"/>
      <c r="RAD751" s="574"/>
      <c r="RAE751" s="574"/>
      <c r="RAF751" s="574"/>
      <c r="RAG751" s="574"/>
      <c r="RAH751" s="574"/>
      <c r="RAI751" s="574"/>
      <c r="RAJ751" s="574"/>
      <c r="RAK751" s="574"/>
      <c r="RAL751" s="574"/>
      <c r="RAM751" s="574"/>
      <c r="RAN751" s="574"/>
      <c r="RAO751" s="574"/>
      <c r="RAP751" s="574"/>
      <c r="RAQ751" s="574"/>
      <c r="RAR751" s="574"/>
      <c r="RAS751" s="574"/>
      <c r="RAT751" s="574"/>
      <c r="RAU751" s="574"/>
      <c r="RAV751" s="574"/>
      <c r="RAW751" s="574"/>
      <c r="RAX751" s="574"/>
      <c r="RAY751" s="574"/>
      <c r="RAZ751" s="574"/>
      <c r="RBA751" s="574"/>
      <c r="RBB751" s="574"/>
      <c r="RBC751" s="574"/>
      <c r="RBD751" s="574"/>
      <c r="RBE751" s="574"/>
      <c r="RBF751" s="574"/>
      <c r="RBG751" s="574"/>
      <c r="RBH751" s="574"/>
      <c r="RBI751" s="574"/>
      <c r="RBJ751" s="574"/>
      <c r="RBK751" s="574"/>
      <c r="RBL751" s="574"/>
      <c r="RBM751" s="574"/>
      <c r="RBN751" s="574"/>
      <c r="RBO751" s="574"/>
      <c r="RBP751" s="574"/>
      <c r="RBQ751" s="574"/>
      <c r="RBR751" s="574"/>
      <c r="RBS751" s="574"/>
      <c r="RBT751" s="574"/>
      <c r="RBU751" s="574"/>
      <c r="RBV751" s="574"/>
      <c r="RBW751" s="574"/>
      <c r="RBX751" s="574"/>
      <c r="RBY751" s="574"/>
      <c r="RBZ751" s="574"/>
      <c r="RCA751" s="574"/>
      <c r="RCB751" s="574"/>
      <c r="RCC751" s="574"/>
      <c r="RCD751" s="574"/>
      <c r="RCE751" s="574"/>
      <c r="RCF751" s="574"/>
      <c r="RCG751" s="574"/>
      <c r="RCH751" s="574"/>
      <c r="RCI751" s="574"/>
      <c r="RCJ751" s="574"/>
      <c r="RCK751" s="574"/>
      <c r="RCL751" s="574"/>
      <c r="RCM751" s="574"/>
      <c r="RCN751" s="574"/>
      <c r="RCO751" s="574"/>
      <c r="RCP751" s="574"/>
      <c r="RCQ751" s="574"/>
      <c r="RCR751" s="574"/>
      <c r="RCS751" s="574"/>
      <c r="RCT751" s="574"/>
      <c r="RCU751" s="574"/>
      <c r="RCV751" s="574"/>
      <c r="RCW751" s="574"/>
      <c r="RCX751" s="574"/>
      <c r="RCY751" s="574"/>
      <c r="RCZ751" s="574"/>
      <c r="RDA751" s="574"/>
      <c r="RDB751" s="574"/>
      <c r="RDC751" s="574"/>
      <c r="RDD751" s="574"/>
      <c r="RDE751" s="574"/>
      <c r="RDF751" s="574"/>
      <c r="RDG751" s="574"/>
      <c r="RDH751" s="574"/>
      <c r="RDI751" s="574"/>
      <c r="RDJ751" s="574"/>
      <c r="RDK751" s="574"/>
      <c r="RDL751" s="574"/>
      <c r="RDM751" s="574"/>
      <c r="RDN751" s="574"/>
      <c r="RDO751" s="574"/>
      <c r="RDP751" s="574"/>
      <c r="RDQ751" s="574"/>
      <c r="RDR751" s="574"/>
      <c r="RDS751" s="574"/>
      <c r="RDT751" s="574"/>
      <c r="RDU751" s="574"/>
      <c r="RDV751" s="574"/>
      <c r="RDW751" s="574"/>
      <c r="RDX751" s="574"/>
      <c r="RDY751" s="574"/>
      <c r="RDZ751" s="574"/>
      <c r="REA751" s="574"/>
      <c r="REB751" s="574"/>
      <c r="REC751" s="574"/>
      <c r="RED751" s="574"/>
      <c r="REE751" s="574"/>
      <c r="REF751" s="574"/>
      <c r="REG751" s="574"/>
      <c r="REH751" s="574"/>
      <c r="REI751" s="574"/>
      <c r="REJ751" s="574"/>
      <c r="REK751" s="574"/>
      <c r="REL751" s="574"/>
      <c r="REM751" s="574"/>
      <c r="REN751" s="574"/>
      <c r="REO751" s="574"/>
      <c r="REP751" s="574"/>
      <c r="REQ751" s="574"/>
      <c r="RER751" s="574"/>
      <c r="RES751" s="574"/>
      <c r="RET751" s="574"/>
      <c r="REU751" s="574"/>
      <c r="REV751" s="574"/>
      <c r="REW751" s="574"/>
      <c r="REX751" s="574"/>
      <c r="REY751" s="574"/>
      <c r="REZ751" s="574"/>
      <c r="RFA751" s="574"/>
      <c r="RFB751" s="574"/>
      <c r="RFC751" s="574"/>
      <c r="RFD751" s="574"/>
      <c r="RFE751" s="574"/>
      <c r="RFF751" s="574"/>
      <c r="RFG751" s="574"/>
      <c r="RFH751" s="574"/>
      <c r="RFI751" s="574"/>
      <c r="RFJ751" s="574"/>
      <c r="RFK751" s="574"/>
      <c r="RFL751" s="574"/>
      <c r="RFM751" s="574"/>
      <c r="RFN751" s="574"/>
      <c r="RFO751" s="574"/>
      <c r="RFP751" s="574"/>
      <c r="RFQ751" s="574"/>
      <c r="RFR751" s="574"/>
      <c r="RFS751" s="574"/>
      <c r="RFT751" s="574"/>
      <c r="RFU751" s="574"/>
      <c r="RFV751" s="574"/>
      <c r="RFW751" s="574"/>
      <c r="RFX751" s="574"/>
      <c r="RFY751" s="574"/>
      <c r="RFZ751" s="574"/>
      <c r="RGA751" s="574"/>
      <c r="RGB751" s="574"/>
      <c r="RGC751" s="574"/>
      <c r="RGD751" s="574"/>
      <c r="RGE751" s="574"/>
      <c r="RGF751" s="574"/>
      <c r="RGG751" s="574"/>
      <c r="RGH751" s="574"/>
      <c r="RGI751" s="574"/>
      <c r="RGJ751" s="574"/>
      <c r="RGK751" s="574"/>
      <c r="RGL751" s="574"/>
      <c r="RGM751" s="574"/>
      <c r="RGN751" s="574"/>
      <c r="RGO751" s="574"/>
      <c r="RGP751" s="574"/>
      <c r="RGQ751" s="574"/>
      <c r="RGR751" s="574"/>
      <c r="RGS751" s="574"/>
      <c r="RGT751" s="574"/>
      <c r="RGU751" s="574"/>
      <c r="RGV751" s="574"/>
      <c r="RGW751" s="574"/>
      <c r="RGX751" s="574"/>
      <c r="RGY751" s="574"/>
      <c r="RGZ751" s="574"/>
      <c r="RHA751" s="574"/>
      <c r="RHB751" s="574"/>
      <c r="RHC751" s="574"/>
      <c r="RHD751" s="574"/>
      <c r="RHE751" s="574"/>
      <c r="RHF751" s="574"/>
      <c r="RHG751" s="574"/>
      <c r="RHH751" s="574"/>
      <c r="RHI751" s="574"/>
      <c r="RHJ751" s="574"/>
      <c r="RHK751" s="574"/>
      <c r="RHL751" s="574"/>
      <c r="RHM751" s="574"/>
      <c r="RHN751" s="574"/>
      <c r="RHO751" s="574"/>
      <c r="RHP751" s="574"/>
      <c r="RHQ751" s="574"/>
      <c r="RHR751" s="574"/>
      <c r="RHS751" s="574"/>
      <c r="RHT751" s="574"/>
      <c r="RHU751" s="574"/>
      <c r="RHV751" s="574"/>
      <c r="RHW751" s="574"/>
      <c r="RHX751" s="574"/>
      <c r="RHY751" s="574"/>
      <c r="RHZ751" s="574"/>
      <c r="RIA751" s="574"/>
      <c r="RIB751" s="574"/>
      <c r="RIC751" s="574"/>
      <c r="RID751" s="574"/>
      <c r="RIE751" s="574"/>
      <c r="RIF751" s="574"/>
      <c r="RIG751" s="574"/>
      <c r="RIH751" s="574"/>
      <c r="RII751" s="574"/>
      <c r="RIJ751" s="574"/>
      <c r="RIK751" s="574"/>
      <c r="RIL751" s="574"/>
      <c r="RIM751" s="574"/>
      <c r="RIN751" s="574"/>
      <c r="RIO751" s="574"/>
      <c r="RIP751" s="574"/>
      <c r="RIQ751" s="574"/>
      <c r="RIR751" s="574"/>
      <c r="RIS751" s="574"/>
      <c r="RIT751" s="574"/>
      <c r="RIU751" s="574"/>
      <c r="RIV751" s="574"/>
      <c r="RIW751" s="574"/>
      <c r="RIX751" s="574"/>
      <c r="RIY751" s="574"/>
      <c r="RIZ751" s="574"/>
      <c r="RJA751" s="574"/>
      <c r="RJB751" s="574"/>
      <c r="RJC751" s="574"/>
      <c r="RJD751" s="574"/>
      <c r="RJE751" s="574"/>
      <c r="RJF751" s="574"/>
      <c r="RJG751" s="574"/>
      <c r="RJH751" s="574"/>
      <c r="RJI751" s="574"/>
      <c r="RJJ751" s="574"/>
      <c r="RJK751" s="574"/>
      <c r="RJL751" s="574"/>
      <c r="RJM751" s="574"/>
      <c r="RJN751" s="574"/>
      <c r="RJO751" s="574"/>
      <c r="RJP751" s="574"/>
      <c r="RJQ751" s="574"/>
      <c r="RJR751" s="574"/>
      <c r="RJS751" s="574"/>
      <c r="RJT751" s="574"/>
      <c r="RJU751" s="574"/>
      <c r="RJV751" s="574"/>
      <c r="RJW751" s="574"/>
      <c r="RJX751" s="574"/>
      <c r="RJY751" s="574"/>
      <c r="RJZ751" s="574"/>
      <c r="RKA751" s="574"/>
      <c r="RKB751" s="574"/>
      <c r="RKC751" s="574"/>
      <c r="RKD751" s="574"/>
      <c r="RKE751" s="574"/>
      <c r="RKF751" s="574"/>
      <c r="RKG751" s="574"/>
      <c r="RKH751" s="574"/>
      <c r="RKI751" s="574"/>
      <c r="RKJ751" s="574"/>
      <c r="RKK751" s="574"/>
      <c r="RKL751" s="574"/>
      <c r="RKM751" s="574"/>
      <c r="RKN751" s="574"/>
      <c r="RKO751" s="574"/>
      <c r="RKP751" s="574"/>
      <c r="RKQ751" s="574"/>
      <c r="RKR751" s="574"/>
      <c r="RKS751" s="574"/>
      <c r="RKT751" s="574"/>
      <c r="RKU751" s="574"/>
      <c r="RKV751" s="574"/>
      <c r="RKW751" s="574"/>
      <c r="RKX751" s="574"/>
      <c r="RKY751" s="574"/>
      <c r="RKZ751" s="574"/>
      <c r="RLA751" s="574"/>
      <c r="RLB751" s="574"/>
      <c r="RLC751" s="574"/>
      <c r="RLD751" s="574"/>
      <c r="RLE751" s="574"/>
      <c r="RLF751" s="574"/>
      <c r="RLG751" s="574"/>
      <c r="RLH751" s="574"/>
      <c r="RLI751" s="574"/>
      <c r="RLJ751" s="574"/>
      <c r="RLK751" s="574"/>
      <c r="RLL751" s="574"/>
      <c r="RLM751" s="574"/>
      <c r="RLN751" s="574"/>
      <c r="RLO751" s="574"/>
      <c r="RLP751" s="574"/>
      <c r="RLQ751" s="574"/>
      <c r="RLR751" s="574"/>
      <c r="RLS751" s="574"/>
      <c r="RLT751" s="574"/>
      <c r="RLU751" s="574"/>
      <c r="RLV751" s="574"/>
      <c r="RLW751" s="574"/>
      <c r="RLX751" s="574"/>
      <c r="RLY751" s="574"/>
      <c r="RLZ751" s="574"/>
      <c r="RMA751" s="574"/>
      <c r="RMB751" s="574"/>
      <c r="RMC751" s="574"/>
      <c r="RMD751" s="574"/>
      <c r="RME751" s="574"/>
      <c r="RMF751" s="574"/>
      <c r="RMG751" s="574"/>
      <c r="RMH751" s="574"/>
      <c r="RMI751" s="574"/>
      <c r="RMJ751" s="574"/>
      <c r="RMK751" s="574"/>
      <c r="RML751" s="574"/>
      <c r="RMM751" s="574"/>
      <c r="RMN751" s="574"/>
      <c r="RMO751" s="574"/>
      <c r="RMP751" s="574"/>
      <c r="RMQ751" s="574"/>
      <c r="RMR751" s="574"/>
      <c r="RMS751" s="574"/>
      <c r="RMT751" s="574"/>
      <c r="RMU751" s="574"/>
      <c r="RMV751" s="574"/>
      <c r="RMW751" s="574"/>
      <c r="RMX751" s="574"/>
      <c r="RMY751" s="574"/>
      <c r="RMZ751" s="574"/>
      <c r="RNA751" s="574"/>
      <c r="RNB751" s="574"/>
      <c r="RNC751" s="574"/>
      <c r="RND751" s="574"/>
      <c r="RNE751" s="574"/>
      <c r="RNF751" s="574"/>
      <c r="RNG751" s="574"/>
      <c r="RNH751" s="574"/>
      <c r="RNI751" s="574"/>
      <c r="RNJ751" s="574"/>
      <c r="RNK751" s="574"/>
      <c r="RNL751" s="574"/>
      <c r="RNM751" s="574"/>
      <c r="RNN751" s="574"/>
      <c r="RNO751" s="574"/>
      <c r="RNP751" s="574"/>
      <c r="RNQ751" s="574"/>
      <c r="RNR751" s="574"/>
      <c r="RNS751" s="574"/>
      <c r="RNT751" s="574"/>
      <c r="RNU751" s="574"/>
      <c r="RNV751" s="574"/>
      <c r="RNW751" s="574"/>
      <c r="RNX751" s="574"/>
      <c r="RNY751" s="574"/>
      <c r="RNZ751" s="574"/>
      <c r="ROA751" s="574"/>
      <c r="ROB751" s="574"/>
      <c r="ROC751" s="574"/>
      <c r="ROD751" s="574"/>
      <c r="ROE751" s="574"/>
      <c r="ROF751" s="574"/>
      <c r="ROG751" s="574"/>
      <c r="ROH751" s="574"/>
      <c r="ROI751" s="574"/>
      <c r="ROJ751" s="574"/>
      <c r="ROK751" s="574"/>
      <c r="ROL751" s="574"/>
      <c r="ROM751" s="574"/>
      <c r="RON751" s="574"/>
      <c r="ROO751" s="574"/>
      <c r="ROP751" s="574"/>
      <c r="ROQ751" s="574"/>
      <c r="ROR751" s="574"/>
      <c r="ROS751" s="574"/>
      <c r="ROT751" s="574"/>
      <c r="ROU751" s="574"/>
      <c r="ROV751" s="574"/>
      <c r="ROW751" s="574"/>
      <c r="ROX751" s="574"/>
      <c r="ROY751" s="574"/>
      <c r="ROZ751" s="574"/>
      <c r="RPA751" s="574"/>
      <c r="RPB751" s="574"/>
      <c r="RPC751" s="574"/>
      <c r="RPD751" s="574"/>
      <c r="RPE751" s="574"/>
      <c r="RPF751" s="574"/>
      <c r="RPG751" s="574"/>
      <c r="RPH751" s="574"/>
      <c r="RPI751" s="574"/>
      <c r="RPJ751" s="574"/>
      <c r="RPK751" s="574"/>
      <c r="RPL751" s="574"/>
      <c r="RPM751" s="574"/>
      <c r="RPN751" s="574"/>
      <c r="RPO751" s="574"/>
      <c r="RPP751" s="574"/>
      <c r="RPQ751" s="574"/>
      <c r="RPR751" s="574"/>
      <c r="RPS751" s="574"/>
      <c r="RPT751" s="574"/>
      <c r="RPU751" s="574"/>
      <c r="RPV751" s="574"/>
      <c r="RPW751" s="574"/>
      <c r="RPX751" s="574"/>
      <c r="RPY751" s="574"/>
      <c r="RPZ751" s="574"/>
      <c r="RQA751" s="574"/>
      <c r="RQB751" s="574"/>
      <c r="RQC751" s="574"/>
      <c r="RQD751" s="574"/>
      <c r="RQE751" s="574"/>
      <c r="RQF751" s="574"/>
      <c r="RQG751" s="574"/>
      <c r="RQH751" s="574"/>
      <c r="RQI751" s="574"/>
      <c r="RQJ751" s="574"/>
      <c r="RQK751" s="574"/>
      <c r="RQL751" s="574"/>
      <c r="RQM751" s="574"/>
      <c r="RQN751" s="574"/>
      <c r="RQO751" s="574"/>
      <c r="RQP751" s="574"/>
      <c r="RQQ751" s="574"/>
      <c r="RQR751" s="574"/>
      <c r="RQS751" s="574"/>
      <c r="RQT751" s="574"/>
      <c r="RQU751" s="574"/>
      <c r="RQV751" s="574"/>
      <c r="RQW751" s="574"/>
      <c r="RQX751" s="574"/>
      <c r="RQY751" s="574"/>
      <c r="RQZ751" s="574"/>
      <c r="RRA751" s="574"/>
      <c r="RRB751" s="574"/>
      <c r="RRC751" s="574"/>
      <c r="RRD751" s="574"/>
      <c r="RRE751" s="574"/>
      <c r="RRF751" s="574"/>
      <c r="RRG751" s="574"/>
      <c r="RRH751" s="574"/>
      <c r="RRI751" s="574"/>
      <c r="RRJ751" s="574"/>
      <c r="RRK751" s="574"/>
      <c r="RRL751" s="574"/>
      <c r="RRM751" s="574"/>
      <c r="RRN751" s="574"/>
      <c r="RRO751" s="574"/>
      <c r="RRP751" s="574"/>
      <c r="RRQ751" s="574"/>
      <c r="RRR751" s="574"/>
      <c r="RRS751" s="574"/>
      <c r="RRT751" s="574"/>
      <c r="RRU751" s="574"/>
      <c r="RRV751" s="574"/>
      <c r="RRW751" s="574"/>
      <c r="RRX751" s="574"/>
      <c r="RRY751" s="574"/>
      <c r="RRZ751" s="574"/>
      <c r="RSA751" s="574"/>
      <c r="RSB751" s="574"/>
      <c r="RSC751" s="574"/>
      <c r="RSD751" s="574"/>
      <c r="RSE751" s="574"/>
      <c r="RSF751" s="574"/>
      <c r="RSG751" s="574"/>
      <c r="RSH751" s="574"/>
      <c r="RSI751" s="574"/>
      <c r="RSJ751" s="574"/>
      <c r="RSK751" s="574"/>
      <c r="RSL751" s="574"/>
      <c r="RSM751" s="574"/>
      <c r="RSN751" s="574"/>
      <c r="RSO751" s="574"/>
      <c r="RSP751" s="574"/>
      <c r="RSQ751" s="574"/>
      <c r="RSR751" s="574"/>
      <c r="RSS751" s="574"/>
      <c r="RST751" s="574"/>
      <c r="RSU751" s="574"/>
      <c r="RSV751" s="574"/>
      <c r="RSW751" s="574"/>
      <c r="RSX751" s="574"/>
      <c r="RSY751" s="574"/>
      <c r="RSZ751" s="574"/>
      <c r="RTA751" s="574"/>
      <c r="RTB751" s="574"/>
      <c r="RTC751" s="574"/>
      <c r="RTD751" s="574"/>
      <c r="RTE751" s="574"/>
      <c r="RTF751" s="574"/>
      <c r="RTG751" s="574"/>
      <c r="RTH751" s="574"/>
      <c r="RTI751" s="574"/>
      <c r="RTJ751" s="574"/>
      <c r="RTK751" s="574"/>
      <c r="RTL751" s="574"/>
      <c r="RTM751" s="574"/>
      <c r="RTN751" s="574"/>
      <c r="RTO751" s="574"/>
      <c r="RTP751" s="574"/>
      <c r="RTQ751" s="574"/>
      <c r="RTR751" s="574"/>
      <c r="RTS751" s="574"/>
      <c r="RTT751" s="574"/>
      <c r="RTU751" s="574"/>
      <c r="RTV751" s="574"/>
      <c r="RTW751" s="574"/>
      <c r="RTX751" s="574"/>
      <c r="RTY751" s="574"/>
      <c r="RTZ751" s="574"/>
      <c r="RUA751" s="574"/>
      <c r="RUB751" s="574"/>
      <c r="RUC751" s="574"/>
      <c r="RUD751" s="574"/>
      <c r="RUE751" s="574"/>
      <c r="RUF751" s="574"/>
      <c r="RUG751" s="574"/>
      <c r="RUH751" s="574"/>
      <c r="RUI751" s="574"/>
      <c r="RUJ751" s="574"/>
      <c r="RUK751" s="574"/>
      <c r="RUL751" s="574"/>
      <c r="RUM751" s="574"/>
      <c r="RUN751" s="574"/>
      <c r="RUO751" s="574"/>
      <c r="RUP751" s="574"/>
      <c r="RUQ751" s="574"/>
      <c r="RUR751" s="574"/>
      <c r="RUS751" s="574"/>
      <c r="RUT751" s="574"/>
      <c r="RUU751" s="574"/>
      <c r="RUV751" s="574"/>
      <c r="RUW751" s="574"/>
      <c r="RUX751" s="574"/>
      <c r="RUY751" s="574"/>
      <c r="RUZ751" s="574"/>
      <c r="RVA751" s="574"/>
      <c r="RVB751" s="574"/>
      <c r="RVC751" s="574"/>
      <c r="RVD751" s="574"/>
      <c r="RVE751" s="574"/>
      <c r="RVF751" s="574"/>
      <c r="RVG751" s="574"/>
      <c r="RVH751" s="574"/>
      <c r="RVI751" s="574"/>
      <c r="RVJ751" s="574"/>
      <c r="RVK751" s="574"/>
      <c r="RVL751" s="574"/>
      <c r="RVM751" s="574"/>
      <c r="RVN751" s="574"/>
      <c r="RVO751" s="574"/>
      <c r="RVP751" s="574"/>
      <c r="RVQ751" s="574"/>
      <c r="RVR751" s="574"/>
      <c r="RVS751" s="574"/>
      <c r="RVT751" s="574"/>
      <c r="RVU751" s="574"/>
      <c r="RVV751" s="574"/>
      <c r="RVW751" s="574"/>
      <c r="RVX751" s="574"/>
      <c r="RVY751" s="574"/>
      <c r="RVZ751" s="574"/>
      <c r="RWA751" s="574"/>
      <c r="RWB751" s="574"/>
      <c r="RWC751" s="574"/>
      <c r="RWD751" s="574"/>
      <c r="RWE751" s="574"/>
      <c r="RWF751" s="574"/>
      <c r="RWG751" s="574"/>
      <c r="RWH751" s="574"/>
      <c r="RWI751" s="574"/>
      <c r="RWJ751" s="574"/>
      <c r="RWK751" s="574"/>
      <c r="RWL751" s="574"/>
      <c r="RWM751" s="574"/>
      <c r="RWN751" s="574"/>
      <c r="RWO751" s="574"/>
      <c r="RWP751" s="574"/>
      <c r="RWQ751" s="574"/>
      <c r="RWR751" s="574"/>
      <c r="RWS751" s="574"/>
      <c r="RWT751" s="574"/>
      <c r="RWU751" s="574"/>
      <c r="RWV751" s="574"/>
      <c r="RWW751" s="574"/>
      <c r="RWX751" s="574"/>
      <c r="RWY751" s="574"/>
      <c r="RWZ751" s="574"/>
      <c r="RXA751" s="574"/>
      <c r="RXB751" s="574"/>
      <c r="RXC751" s="574"/>
      <c r="RXD751" s="574"/>
      <c r="RXE751" s="574"/>
      <c r="RXF751" s="574"/>
      <c r="RXG751" s="574"/>
      <c r="RXH751" s="574"/>
      <c r="RXI751" s="574"/>
      <c r="RXJ751" s="574"/>
      <c r="RXK751" s="574"/>
      <c r="RXL751" s="574"/>
      <c r="RXM751" s="574"/>
      <c r="RXN751" s="574"/>
      <c r="RXO751" s="574"/>
      <c r="RXP751" s="574"/>
      <c r="RXQ751" s="574"/>
      <c r="RXR751" s="574"/>
      <c r="RXS751" s="574"/>
      <c r="RXT751" s="574"/>
      <c r="RXU751" s="574"/>
      <c r="RXV751" s="574"/>
      <c r="RXW751" s="574"/>
      <c r="RXX751" s="574"/>
      <c r="RXY751" s="574"/>
      <c r="RXZ751" s="574"/>
      <c r="RYA751" s="574"/>
      <c r="RYB751" s="574"/>
      <c r="RYC751" s="574"/>
      <c r="RYD751" s="574"/>
      <c r="RYE751" s="574"/>
      <c r="RYF751" s="574"/>
      <c r="RYG751" s="574"/>
      <c r="RYH751" s="574"/>
      <c r="RYI751" s="574"/>
      <c r="RYJ751" s="574"/>
      <c r="RYK751" s="574"/>
      <c r="RYL751" s="574"/>
      <c r="RYM751" s="574"/>
      <c r="RYN751" s="574"/>
      <c r="RYO751" s="574"/>
      <c r="RYP751" s="574"/>
      <c r="RYQ751" s="574"/>
      <c r="RYR751" s="574"/>
      <c r="RYS751" s="574"/>
      <c r="RYT751" s="574"/>
      <c r="RYU751" s="574"/>
      <c r="RYV751" s="574"/>
      <c r="RYW751" s="574"/>
      <c r="RYX751" s="574"/>
      <c r="RYY751" s="574"/>
      <c r="RYZ751" s="574"/>
      <c r="RZA751" s="574"/>
      <c r="RZB751" s="574"/>
      <c r="RZC751" s="574"/>
      <c r="RZD751" s="574"/>
      <c r="RZE751" s="574"/>
      <c r="RZF751" s="574"/>
      <c r="RZG751" s="574"/>
      <c r="RZH751" s="574"/>
      <c r="RZI751" s="574"/>
      <c r="RZJ751" s="574"/>
      <c r="RZK751" s="574"/>
      <c r="RZL751" s="574"/>
      <c r="RZM751" s="574"/>
      <c r="RZN751" s="574"/>
      <c r="RZO751" s="574"/>
      <c r="RZP751" s="574"/>
      <c r="RZQ751" s="574"/>
      <c r="RZR751" s="574"/>
      <c r="RZS751" s="574"/>
      <c r="RZT751" s="574"/>
      <c r="RZU751" s="574"/>
      <c r="RZV751" s="574"/>
      <c r="RZW751" s="574"/>
      <c r="RZX751" s="574"/>
      <c r="RZY751" s="574"/>
      <c r="RZZ751" s="574"/>
      <c r="SAA751" s="574"/>
      <c r="SAB751" s="574"/>
      <c r="SAC751" s="574"/>
      <c r="SAD751" s="574"/>
      <c r="SAE751" s="574"/>
      <c r="SAF751" s="574"/>
      <c r="SAG751" s="574"/>
      <c r="SAH751" s="574"/>
      <c r="SAI751" s="574"/>
      <c r="SAJ751" s="574"/>
      <c r="SAK751" s="574"/>
      <c r="SAL751" s="574"/>
      <c r="SAM751" s="574"/>
      <c r="SAN751" s="574"/>
      <c r="SAO751" s="574"/>
      <c r="SAP751" s="574"/>
      <c r="SAQ751" s="574"/>
      <c r="SAR751" s="574"/>
      <c r="SAS751" s="574"/>
      <c r="SAT751" s="574"/>
      <c r="SAU751" s="574"/>
      <c r="SAV751" s="574"/>
      <c r="SAW751" s="574"/>
      <c r="SAX751" s="574"/>
      <c r="SAY751" s="574"/>
      <c r="SAZ751" s="574"/>
      <c r="SBA751" s="574"/>
      <c r="SBB751" s="574"/>
      <c r="SBC751" s="574"/>
      <c r="SBD751" s="574"/>
      <c r="SBE751" s="574"/>
      <c r="SBF751" s="574"/>
      <c r="SBG751" s="574"/>
      <c r="SBH751" s="574"/>
      <c r="SBI751" s="574"/>
      <c r="SBJ751" s="574"/>
      <c r="SBK751" s="574"/>
      <c r="SBL751" s="574"/>
      <c r="SBM751" s="574"/>
      <c r="SBN751" s="574"/>
      <c r="SBO751" s="574"/>
      <c r="SBP751" s="574"/>
      <c r="SBQ751" s="574"/>
      <c r="SBR751" s="574"/>
      <c r="SBS751" s="574"/>
      <c r="SBT751" s="574"/>
      <c r="SBU751" s="574"/>
      <c r="SBV751" s="574"/>
      <c r="SBW751" s="574"/>
      <c r="SBX751" s="574"/>
      <c r="SBY751" s="574"/>
      <c r="SBZ751" s="574"/>
      <c r="SCA751" s="574"/>
      <c r="SCB751" s="574"/>
      <c r="SCC751" s="574"/>
      <c r="SCD751" s="574"/>
      <c r="SCE751" s="574"/>
      <c r="SCF751" s="574"/>
      <c r="SCG751" s="574"/>
      <c r="SCH751" s="574"/>
      <c r="SCI751" s="574"/>
      <c r="SCJ751" s="574"/>
      <c r="SCK751" s="574"/>
      <c r="SCL751" s="574"/>
      <c r="SCM751" s="574"/>
      <c r="SCN751" s="574"/>
      <c r="SCO751" s="574"/>
      <c r="SCP751" s="574"/>
      <c r="SCQ751" s="574"/>
      <c r="SCR751" s="574"/>
      <c r="SCS751" s="574"/>
      <c r="SCT751" s="574"/>
      <c r="SCU751" s="574"/>
      <c r="SCV751" s="574"/>
      <c r="SCW751" s="574"/>
      <c r="SCX751" s="574"/>
      <c r="SCY751" s="574"/>
      <c r="SCZ751" s="574"/>
      <c r="SDA751" s="574"/>
      <c r="SDB751" s="574"/>
      <c r="SDC751" s="574"/>
      <c r="SDD751" s="574"/>
      <c r="SDE751" s="574"/>
      <c r="SDF751" s="574"/>
      <c r="SDG751" s="574"/>
      <c r="SDH751" s="574"/>
      <c r="SDI751" s="574"/>
      <c r="SDJ751" s="574"/>
      <c r="SDK751" s="574"/>
      <c r="SDL751" s="574"/>
      <c r="SDM751" s="574"/>
      <c r="SDN751" s="574"/>
      <c r="SDO751" s="574"/>
      <c r="SDP751" s="574"/>
      <c r="SDQ751" s="574"/>
      <c r="SDR751" s="574"/>
      <c r="SDS751" s="574"/>
      <c r="SDT751" s="574"/>
      <c r="SDU751" s="574"/>
      <c r="SDV751" s="574"/>
      <c r="SDW751" s="574"/>
      <c r="SDX751" s="574"/>
      <c r="SDY751" s="574"/>
      <c r="SDZ751" s="574"/>
      <c r="SEA751" s="574"/>
      <c r="SEB751" s="574"/>
      <c r="SEC751" s="574"/>
      <c r="SED751" s="574"/>
      <c r="SEE751" s="574"/>
      <c r="SEF751" s="574"/>
      <c r="SEG751" s="574"/>
      <c r="SEH751" s="574"/>
      <c r="SEI751" s="574"/>
      <c r="SEJ751" s="574"/>
      <c r="SEK751" s="574"/>
      <c r="SEL751" s="574"/>
      <c r="SEM751" s="574"/>
      <c r="SEN751" s="574"/>
      <c r="SEO751" s="574"/>
      <c r="SEP751" s="574"/>
      <c r="SEQ751" s="574"/>
      <c r="SER751" s="574"/>
      <c r="SES751" s="574"/>
      <c r="SET751" s="574"/>
      <c r="SEU751" s="574"/>
      <c r="SEV751" s="574"/>
      <c r="SEW751" s="574"/>
      <c r="SEX751" s="574"/>
      <c r="SEY751" s="574"/>
      <c r="SEZ751" s="574"/>
      <c r="SFA751" s="574"/>
      <c r="SFB751" s="574"/>
      <c r="SFC751" s="574"/>
      <c r="SFD751" s="574"/>
      <c r="SFE751" s="574"/>
      <c r="SFF751" s="574"/>
      <c r="SFG751" s="574"/>
      <c r="SFH751" s="574"/>
      <c r="SFI751" s="574"/>
      <c r="SFJ751" s="574"/>
      <c r="SFK751" s="574"/>
      <c r="SFL751" s="574"/>
      <c r="SFM751" s="574"/>
      <c r="SFN751" s="574"/>
      <c r="SFO751" s="574"/>
      <c r="SFP751" s="574"/>
      <c r="SFQ751" s="574"/>
      <c r="SFR751" s="574"/>
      <c r="SFS751" s="574"/>
      <c r="SFT751" s="574"/>
      <c r="SFU751" s="574"/>
      <c r="SFV751" s="574"/>
      <c r="SFW751" s="574"/>
      <c r="SFX751" s="574"/>
      <c r="SFY751" s="574"/>
      <c r="SFZ751" s="574"/>
      <c r="SGA751" s="574"/>
      <c r="SGB751" s="574"/>
      <c r="SGC751" s="574"/>
      <c r="SGD751" s="574"/>
      <c r="SGE751" s="574"/>
      <c r="SGF751" s="574"/>
      <c r="SGG751" s="574"/>
      <c r="SGH751" s="574"/>
      <c r="SGI751" s="574"/>
      <c r="SGJ751" s="574"/>
      <c r="SGK751" s="574"/>
      <c r="SGL751" s="574"/>
      <c r="SGM751" s="574"/>
      <c r="SGN751" s="574"/>
      <c r="SGO751" s="574"/>
      <c r="SGP751" s="574"/>
      <c r="SGQ751" s="574"/>
      <c r="SGR751" s="574"/>
      <c r="SGS751" s="574"/>
      <c r="SGT751" s="574"/>
      <c r="SGU751" s="574"/>
      <c r="SGV751" s="574"/>
      <c r="SGW751" s="574"/>
      <c r="SGX751" s="574"/>
      <c r="SGY751" s="574"/>
      <c r="SGZ751" s="574"/>
      <c r="SHA751" s="574"/>
      <c r="SHB751" s="574"/>
      <c r="SHC751" s="574"/>
      <c r="SHD751" s="574"/>
      <c r="SHE751" s="574"/>
      <c r="SHF751" s="574"/>
      <c r="SHG751" s="574"/>
      <c r="SHH751" s="574"/>
      <c r="SHI751" s="574"/>
      <c r="SHJ751" s="574"/>
      <c r="SHK751" s="574"/>
      <c r="SHL751" s="574"/>
      <c r="SHM751" s="574"/>
      <c r="SHN751" s="574"/>
      <c r="SHO751" s="574"/>
      <c r="SHP751" s="574"/>
      <c r="SHQ751" s="574"/>
      <c r="SHR751" s="574"/>
      <c r="SHS751" s="574"/>
      <c r="SHT751" s="574"/>
      <c r="SHU751" s="574"/>
      <c r="SHV751" s="574"/>
      <c r="SHW751" s="574"/>
      <c r="SHX751" s="574"/>
      <c r="SHY751" s="574"/>
      <c r="SHZ751" s="574"/>
      <c r="SIA751" s="574"/>
      <c r="SIB751" s="574"/>
      <c r="SIC751" s="574"/>
      <c r="SID751" s="574"/>
      <c r="SIE751" s="574"/>
      <c r="SIF751" s="574"/>
      <c r="SIG751" s="574"/>
      <c r="SIH751" s="574"/>
      <c r="SII751" s="574"/>
      <c r="SIJ751" s="574"/>
      <c r="SIK751" s="574"/>
      <c r="SIL751" s="574"/>
      <c r="SIM751" s="574"/>
      <c r="SIN751" s="574"/>
      <c r="SIO751" s="574"/>
      <c r="SIP751" s="574"/>
      <c r="SIQ751" s="574"/>
      <c r="SIR751" s="574"/>
      <c r="SIS751" s="574"/>
      <c r="SIT751" s="574"/>
      <c r="SIU751" s="574"/>
      <c r="SIV751" s="574"/>
      <c r="SIW751" s="574"/>
      <c r="SIX751" s="574"/>
      <c r="SIY751" s="574"/>
      <c r="SIZ751" s="574"/>
      <c r="SJA751" s="574"/>
      <c r="SJB751" s="574"/>
      <c r="SJC751" s="574"/>
      <c r="SJD751" s="574"/>
      <c r="SJE751" s="574"/>
      <c r="SJF751" s="574"/>
      <c r="SJG751" s="574"/>
      <c r="SJH751" s="574"/>
      <c r="SJI751" s="574"/>
      <c r="SJJ751" s="574"/>
      <c r="SJK751" s="574"/>
      <c r="SJL751" s="574"/>
      <c r="SJM751" s="574"/>
      <c r="SJN751" s="574"/>
      <c r="SJO751" s="574"/>
      <c r="SJP751" s="574"/>
      <c r="SJQ751" s="574"/>
      <c r="SJR751" s="574"/>
      <c r="SJS751" s="574"/>
      <c r="SJT751" s="574"/>
      <c r="SJU751" s="574"/>
      <c r="SJV751" s="574"/>
      <c r="SJW751" s="574"/>
      <c r="SJX751" s="574"/>
      <c r="SJY751" s="574"/>
      <c r="SJZ751" s="574"/>
      <c r="SKA751" s="574"/>
      <c r="SKB751" s="574"/>
      <c r="SKC751" s="574"/>
      <c r="SKD751" s="574"/>
      <c r="SKE751" s="574"/>
      <c r="SKF751" s="574"/>
      <c r="SKG751" s="574"/>
      <c r="SKH751" s="574"/>
      <c r="SKI751" s="574"/>
      <c r="SKJ751" s="574"/>
      <c r="SKK751" s="574"/>
      <c r="SKL751" s="574"/>
      <c r="SKM751" s="574"/>
      <c r="SKN751" s="574"/>
      <c r="SKO751" s="574"/>
      <c r="SKP751" s="574"/>
      <c r="SKQ751" s="574"/>
      <c r="SKR751" s="574"/>
      <c r="SKS751" s="574"/>
      <c r="SKT751" s="574"/>
      <c r="SKU751" s="574"/>
      <c r="SKV751" s="574"/>
      <c r="SKW751" s="574"/>
      <c r="SKX751" s="574"/>
      <c r="SKY751" s="574"/>
      <c r="SKZ751" s="574"/>
      <c r="SLA751" s="574"/>
      <c r="SLB751" s="574"/>
      <c r="SLC751" s="574"/>
      <c r="SLD751" s="574"/>
      <c r="SLE751" s="574"/>
      <c r="SLF751" s="574"/>
      <c r="SLG751" s="574"/>
      <c r="SLH751" s="574"/>
      <c r="SLI751" s="574"/>
      <c r="SLJ751" s="574"/>
      <c r="SLK751" s="574"/>
      <c r="SLL751" s="574"/>
      <c r="SLM751" s="574"/>
      <c r="SLN751" s="574"/>
      <c r="SLO751" s="574"/>
      <c r="SLP751" s="574"/>
      <c r="SLQ751" s="574"/>
      <c r="SLR751" s="574"/>
      <c r="SLS751" s="574"/>
      <c r="SLT751" s="574"/>
      <c r="SLU751" s="574"/>
      <c r="SLV751" s="574"/>
      <c r="SLW751" s="574"/>
      <c r="SLX751" s="574"/>
      <c r="SLY751" s="574"/>
      <c r="SLZ751" s="574"/>
      <c r="SMA751" s="574"/>
      <c r="SMB751" s="574"/>
      <c r="SMC751" s="574"/>
      <c r="SMD751" s="574"/>
      <c r="SME751" s="574"/>
      <c r="SMF751" s="574"/>
      <c r="SMG751" s="574"/>
      <c r="SMH751" s="574"/>
      <c r="SMI751" s="574"/>
      <c r="SMJ751" s="574"/>
      <c r="SMK751" s="574"/>
      <c r="SML751" s="574"/>
      <c r="SMM751" s="574"/>
      <c r="SMN751" s="574"/>
      <c r="SMO751" s="574"/>
      <c r="SMP751" s="574"/>
      <c r="SMQ751" s="574"/>
      <c r="SMR751" s="574"/>
      <c r="SMS751" s="574"/>
      <c r="SMT751" s="574"/>
      <c r="SMU751" s="574"/>
      <c r="SMV751" s="574"/>
      <c r="SMW751" s="574"/>
      <c r="SMX751" s="574"/>
      <c r="SMY751" s="574"/>
      <c r="SMZ751" s="574"/>
      <c r="SNA751" s="574"/>
      <c r="SNB751" s="574"/>
      <c r="SNC751" s="574"/>
      <c r="SND751" s="574"/>
      <c r="SNE751" s="574"/>
      <c r="SNF751" s="574"/>
      <c r="SNG751" s="574"/>
      <c r="SNH751" s="574"/>
      <c r="SNI751" s="574"/>
      <c r="SNJ751" s="574"/>
      <c r="SNK751" s="574"/>
      <c r="SNL751" s="574"/>
      <c r="SNM751" s="574"/>
      <c r="SNN751" s="574"/>
      <c r="SNO751" s="574"/>
      <c r="SNP751" s="574"/>
      <c r="SNQ751" s="574"/>
      <c r="SNR751" s="574"/>
      <c r="SNS751" s="574"/>
      <c r="SNT751" s="574"/>
      <c r="SNU751" s="574"/>
      <c r="SNV751" s="574"/>
      <c r="SNW751" s="574"/>
      <c r="SNX751" s="574"/>
      <c r="SNY751" s="574"/>
      <c r="SNZ751" s="574"/>
      <c r="SOA751" s="574"/>
      <c r="SOB751" s="574"/>
      <c r="SOC751" s="574"/>
      <c r="SOD751" s="574"/>
      <c r="SOE751" s="574"/>
      <c r="SOF751" s="574"/>
      <c r="SOG751" s="574"/>
      <c r="SOH751" s="574"/>
      <c r="SOI751" s="574"/>
      <c r="SOJ751" s="574"/>
      <c r="SOK751" s="574"/>
      <c r="SOL751" s="574"/>
      <c r="SOM751" s="574"/>
      <c r="SON751" s="574"/>
      <c r="SOO751" s="574"/>
      <c r="SOP751" s="574"/>
      <c r="SOQ751" s="574"/>
      <c r="SOR751" s="574"/>
      <c r="SOS751" s="574"/>
      <c r="SOT751" s="574"/>
      <c r="SOU751" s="574"/>
      <c r="SOV751" s="574"/>
      <c r="SOW751" s="574"/>
      <c r="SOX751" s="574"/>
      <c r="SOY751" s="574"/>
      <c r="SOZ751" s="574"/>
      <c r="SPA751" s="574"/>
      <c r="SPB751" s="574"/>
      <c r="SPC751" s="574"/>
      <c r="SPD751" s="574"/>
      <c r="SPE751" s="574"/>
      <c r="SPF751" s="574"/>
      <c r="SPG751" s="574"/>
      <c r="SPH751" s="574"/>
      <c r="SPI751" s="574"/>
      <c r="SPJ751" s="574"/>
      <c r="SPK751" s="574"/>
      <c r="SPL751" s="574"/>
      <c r="SPM751" s="574"/>
      <c r="SPN751" s="574"/>
      <c r="SPO751" s="574"/>
      <c r="SPP751" s="574"/>
      <c r="SPQ751" s="574"/>
      <c r="SPR751" s="574"/>
      <c r="SPS751" s="574"/>
      <c r="SPT751" s="574"/>
      <c r="SPU751" s="574"/>
      <c r="SPV751" s="574"/>
      <c r="SPW751" s="574"/>
      <c r="SPX751" s="574"/>
      <c r="SPY751" s="574"/>
      <c r="SPZ751" s="574"/>
      <c r="SQA751" s="574"/>
      <c r="SQB751" s="574"/>
      <c r="SQC751" s="574"/>
      <c r="SQD751" s="574"/>
      <c r="SQE751" s="574"/>
      <c r="SQF751" s="574"/>
      <c r="SQG751" s="574"/>
      <c r="SQH751" s="574"/>
      <c r="SQI751" s="574"/>
      <c r="SQJ751" s="574"/>
      <c r="SQK751" s="574"/>
      <c r="SQL751" s="574"/>
      <c r="SQM751" s="574"/>
      <c r="SQN751" s="574"/>
      <c r="SQO751" s="574"/>
      <c r="SQP751" s="574"/>
      <c r="SQQ751" s="574"/>
      <c r="SQR751" s="574"/>
      <c r="SQS751" s="574"/>
      <c r="SQT751" s="574"/>
      <c r="SQU751" s="574"/>
      <c r="SQV751" s="574"/>
      <c r="SQW751" s="574"/>
      <c r="SQX751" s="574"/>
      <c r="SQY751" s="574"/>
      <c r="SQZ751" s="574"/>
      <c r="SRA751" s="574"/>
      <c r="SRB751" s="574"/>
      <c r="SRC751" s="574"/>
      <c r="SRD751" s="574"/>
      <c r="SRE751" s="574"/>
      <c r="SRF751" s="574"/>
      <c r="SRG751" s="574"/>
      <c r="SRH751" s="574"/>
      <c r="SRI751" s="574"/>
      <c r="SRJ751" s="574"/>
      <c r="SRK751" s="574"/>
      <c r="SRL751" s="574"/>
      <c r="SRM751" s="574"/>
      <c r="SRN751" s="574"/>
      <c r="SRO751" s="574"/>
      <c r="SRP751" s="574"/>
      <c r="SRQ751" s="574"/>
      <c r="SRR751" s="574"/>
      <c r="SRS751" s="574"/>
      <c r="SRT751" s="574"/>
      <c r="SRU751" s="574"/>
      <c r="SRV751" s="574"/>
      <c r="SRW751" s="574"/>
      <c r="SRX751" s="574"/>
      <c r="SRY751" s="574"/>
      <c r="SRZ751" s="574"/>
      <c r="SSA751" s="574"/>
      <c r="SSB751" s="574"/>
      <c r="SSC751" s="574"/>
      <c r="SSD751" s="574"/>
      <c r="SSE751" s="574"/>
      <c r="SSF751" s="574"/>
      <c r="SSG751" s="574"/>
      <c r="SSH751" s="574"/>
      <c r="SSI751" s="574"/>
      <c r="SSJ751" s="574"/>
      <c r="SSK751" s="574"/>
      <c r="SSL751" s="574"/>
      <c r="SSM751" s="574"/>
      <c r="SSN751" s="574"/>
      <c r="SSO751" s="574"/>
      <c r="SSP751" s="574"/>
      <c r="SSQ751" s="574"/>
      <c r="SSR751" s="574"/>
      <c r="SSS751" s="574"/>
      <c r="SST751" s="574"/>
      <c r="SSU751" s="574"/>
      <c r="SSV751" s="574"/>
      <c r="SSW751" s="574"/>
      <c r="SSX751" s="574"/>
      <c r="SSY751" s="574"/>
      <c r="SSZ751" s="574"/>
      <c r="STA751" s="574"/>
      <c r="STB751" s="574"/>
      <c r="STC751" s="574"/>
      <c r="STD751" s="574"/>
      <c r="STE751" s="574"/>
      <c r="STF751" s="574"/>
      <c r="STG751" s="574"/>
      <c r="STH751" s="574"/>
      <c r="STI751" s="574"/>
      <c r="STJ751" s="574"/>
      <c r="STK751" s="574"/>
      <c r="STL751" s="574"/>
      <c r="STM751" s="574"/>
      <c r="STN751" s="574"/>
      <c r="STO751" s="574"/>
      <c r="STP751" s="574"/>
      <c r="STQ751" s="574"/>
      <c r="STR751" s="574"/>
      <c r="STS751" s="574"/>
      <c r="STT751" s="574"/>
      <c r="STU751" s="574"/>
      <c r="STV751" s="574"/>
      <c r="STW751" s="574"/>
      <c r="STX751" s="574"/>
      <c r="STY751" s="574"/>
      <c r="STZ751" s="574"/>
      <c r="SUA751" s="574"/>
      <c r="SUB751" s="574"/>
      <c r="SUC751" s="574"/>
      <c r="SUD751" s="574"/>
      <c r="SUE751" s="574"/>
      <c r="SUF751" s="574"/>
      <c r="SUG751" s="574"/>
      <c r="SUH751" s="574"/>
      <c r="SUI751" s="574"/>
      <c r="SUJ751" s="574"/>
      <c r="SUK751" s="574"/>
      <c r="SUL751" s="574"/>
      <c r="SUM751" s="574"/>
      <c r="SUN751" s="574"/>
      <c r="SUO751" s="574"/>
      <c r="SUP751" s="574"/>
      <c r="SUQ751" s="574"/>
      <c r="SUR751" s="574"/>
      <c r="SUS751" s="574"/>
      <c r="SUT751" s="574"/>
      <c r="SUU751" s="574"/>
      <c r="SUV751" s="574"/>
      <c r="SUW751" s="574"/>
      <c r="SUX751" s="574"/>
      <c r="SUY751" s="574"/>
      <c r="SUZ751" s="574"/>
      <c r="SVA751" s="574"/>
      <c r="SVB751" s="574"/>
      <c r="SVC751" s="574"/>
      <c r="SVD751" s="574"/>
      <c r="SVE751" s="574"/>
      <c r="SVF751" s="574"/>
      <c r="SVG751" s="574"/>
      <c r="SVH751" s="574"/>
      <c r="SVI751" s="574"/>
      <c r="SVJ751" s="574"/>
      <c r="SVK751" s="574"/>
      <c r="SVL751" s="574"/>
      <c r="SVM751" s="574"/>
      <c r="SVN751" s="574"/>
      <c r="SVO751" s="574"/>
      <c r="SVP751" s="574"/>
      <c r="SVQ751" s="574"/>
      <c r="SVR751" s="574"/>
      <c r="SVS751" s="574"/>
      <c r="SVT751" s="574"/>
      <c r="SVU751" s="574"/>
      <c r="SVV751" s="574"/>
      <c r="SVW751" s="574"/>
      <c r="SVX751" s="574"/>
      <c r="SVY751" s="574"/>
      <c r="SVZ751" s="574"/>
      <c r="SWA751" s="574"/>
      <c r="SWB751" s="574"/>
      <c r="SWC751" s="574"/>
      <c r="SWD751" s="574"/>
      <c r="SWE751" s="574"/>
      <c r="SWF751" s="574"/>
      <c r="SWG751" s="574"/>
      <c r="SWH751" s="574"/>
      <c r="SWI751" s="574"/>
      <c r="SWJ751" s="574"/>
      <c r="SWK751" s="574"/>
      <c r="SWL751" s="574"/>
      <c r="SWM751" s="574"/>
      <c r="SWN751" s="574"/>
      <c r="SWO751" s="574"/>
      <c r="SWP751" s="574"/>
      <c r="SWQ751" s="574"/>
      <c r="SWR751" s="574"/>
      <c r="SWS751" s="574"/>
      <c r="SWT751" s="574"/>
      <c r="SWU751" s="574"/>
      <c r="SWV751" s="574"/>
      <c r="SWW751" s="574"/>
      <c r="SWX751" s="574"/>
      <c r="SWY751" s="574"/>
      <c r="SWZ751" s="574"/>
      <c r="SXA751" s="574"/>
      <c r="SXB751" s="574"/>
      <c r="SXC751" s="574"/>
      <c r="SXD751" s="574"/>
      <c r="SXE751" s="574"/>
      <c r="SXF751" s="574"/>
      <c r="SXG751" s="574"/>
      <c r="SXH751" s="574"/>
      <c r="SXI751" s="574"/>
      <c r="SXJ751" s="574"/>
      <c r="SXK751" s="574"/>
      <c r="SXL751" s="574"/>
      <c r="SXM751" s="574"/>
      <c r="SXN751" s="574"/>
      <c r="SXO751" s="574"/>
      <c r="SXP751" s="574"/>
      <c r="SXQ751" s="574"/>
      <c r="SXR751" s="574"/>
      <c r="SXS751" s="574"/>
      <c r="SXT751" s="574"/>
      <c r="SXU751" s="574"/>
      <c r="SXV751" s="574"/>
      <c r="SXW751" s="574"/>
      <c r="SXX751" s="574"/>
      <c r="SXY751" s="574"/>
      <c r="SXZ751" s="574"/>
      <c r="SYA751" s="574"/>
      <c r="SYB751" s="574"/>
      <c r="SYC751" s="574"/>
      <c r="SYD751" s="574"/>
      <c r="SYE751" s="574"/>
      <c r="SYF751" s="574"/>
      <c r="SYG751" s="574"/>
      <c r="SYH751" s="574"/>
      <c r="SYI751" s="574"/>
      <c r="SYJ751" s="574"/>
      <c r="SYK751" s="574"/>
      <c r="SYL751" s="574"/>
      <c r="SYM751" s="574"/>
      <c r="SYN751" s="574"/>
      <c r="SYO751" s="574"/>
      <c r="SYP751" s="574"/>
      <c r="SYQ751" s="574"/>
      <c r="SYR751" s="574"/>
      <c r="SYS751" s="574"/>
      <c r="SYT751" s="574"/>
      <c r="SYU751" s="574"/>
      <c r="SYV751" s="574"/>
      <c r="SYW751" s="574"/>
      <c r="SYX751" s="574"/>
      <c r="SYY751" s="574"/>
      <c r="SYZ751" s="574"/>
      <c r="SZA751" s="574"/>
      <c r="SZB751" s="574"/>
      <c r="SZC751" s="574"/>
      <c r="SZD751" s="574"/>
      <c r="SZE751" s="574"/>
      <c r="SZF751" s="574"/>
      <c r="SZG751" s="574"/>
      <c r="SZH751" s="574"/>
      <c r="SZI751" s="574"/>
      <c r="SZJ751" s="574"/>
      <c r="SZK751" s="574"/>
      <c r="SZL751" s="574"/>
      <c r="SZM751" s="574"/>
      <c r="SZN751" s="574"/>
      <c r="SZO751" s="574"/>
      <c r="SZP751" s="574"/>
      <c r="SZQ751" s="574"/>
      <c r="SZR751" s="574"/>
      <c r="SZS751" s="574"/>
      <c r="SZT751" s="574"/>
      <c r="SZU751" s="574"/>
      <c r="SZV751" s="574"/>
      <c r="SZW751" s="574"/>
      <c r="SZX751" s="574"/>
      <c r="SZY751" s="574"/>
      <c r="SZZ751" s="574"/>
      <c r="TAA751" s="574"/>
      <c r="TAB751" s="574"/>
      <c r="TAC751" s="574"/>
      <c r="TAD751" s="574"/>
      <c r="TAE751" s="574"/>
      <c r="TAF751" s="574"/>
      <c r="TAG751" s="574"/>
      <c r="TAH751" s="574"/>
      <c r="TAI751" s="574"/>
      <c r="TAJ751" s="574"/>
      <c r="TAK751" s="574"/>
      <c r="TAL751" s="574"/>
      <c r="TAM751" s="574"/>
      <c r="TAN751" s="574"/>
      <c r="TAO751" s="574"/>
      <c r="TAP751" s="574"/>
      <c r="TAQ751" s="574"/>
      <c r="TAR751" s="574"/>
      <c r="TAS751" s="574"/>
      <c r="TAT751" s="574"/>
      <c r="TAU751" s="574"/>
      <c r="TAV751" s="574"/>
      <c r="TAW751" s="574"/>
      <c r="TAX751" s="574"/>
      <c r="TAY751" s="574"/>
      <c r="TAZ751" s="574"/>
      <c r="TBA751" s="574"/>
      <c r="TBB751" s="574"/>
      <c r="TBC751" s="574"/>
      <c r="TBD751" s="574"/>
      <c r="TBE751" s="574"/>
      <c r="TBF751" s="574"/>
      <c r="TBG751" s="574"/>
      <c r="TBH751" s="574"/>
      <c r="TBI751" s="574"/>
      <c r="TBJ751" s="574"/>
      <c r="TBK751" s="574"/>
      <c r="TBL751" s="574"/>
      <c r="TBM751" s="574"/>
      <c r="TBN751" s="574"/>
      <c r="TBO751" s="574"/>
      <c r="TBP751" s="574"/>
      <c r="TBQ751" s="574"/>
      <c r="TBR751" s="574"/>
      <c r="TBS751" s="574"/>
      <c r="TBT751" s="574"/>
      <c r="TBU751" s="574"/>
      <c r="TBV751" s="574"/>
      <c r="TBW751" s="574"/>
      <c r="TBX751" s="574"/>
      <c r="TBY751" s="574"/>
      <c r="TBZ751" s="574"/>
      <c r="TCA751" s="574"/>
      <c r="TCB751" s="574"/>
      <c r="TCC751" s="574"/>
      <c r="TCD751" s="574"/>
      <c r="TCE751" s="574"/>
      <c r="TCF751" s="574"/>
      <c r="TCG751" s="574"/>
      <c r="TCH751" s="574"/>
      <c r="TCI751" s="574"/>
      <c r="TCJ751" s="574"/>
      <c r="TCK751" s="574"/>
      <c r="TCL751" s="574"/>
      <c r="TCM751" s="574"/>
      <c r="TCN751" s="574"/>
      <c r="TCO751" s="574"/>
      <c r="TCP751" s="574"/>
      <c r="TCQ751" s="574"/>
      <c r="TCR751" s="574"/>
      <c r="TCS751" s="574"/>
      <c r="TCT751" s="574"/>
      <c r="TCU751" s="574"/>
      <c r="TCV751" s="574"/>
      <c r="TCW751" s="574"/>
      <c r="TCX751" s="574"/>
      <c r="TCY751" s="574"/>
      <c r="TCZ751" s="574"/>
      <c r="TDA751" s="574"/>
      <c r="TDB751" s="574"/>
      <c r="TDC751" s="574"/>
      <c r="TDD751" s="574"/>
      <c r="TDE751" s="574"/>
      <c r="TDF751" s="574"/>
      <c r="TDG751" s="574"/>
      <c r="TDH751" s="574"/>
      <c r="TDI751" s="574"/>
      <c r="TDJ751" s="574"/>
      <c r="TDK751" s="574"/>
      <c r="TDL751" s="574"/>
      <c r="TDM751" s="574"/>
      <c r="TDN751" s="574"/>
      <c r="TDO751" s="574"/>
      <c r="TDP751" s="574"/>
      <c r="TDQ751" s="574"/>
      <c r="TDR751" s="574"/>
      <c r="TDS751" s="574"/>
      <c r="TDT751" s="574"/>
      <c r="TDU751" s="574"/>
      <c r="TDV751" s="574"/>
      <c r="TDW751" s="574"/>
      <c r="TDX751" s="574"/>
      <c r="TDY751" s="574"/>
      <c r="TDZ751" s="574"/>
      <c r="TEA751" s="574"/>
      <c r="TEB751" s="574"/>
      <c r="TEC751" s="574"/>
      <c r="TED751" s="574"/>
      <c r="TEE751" s="574"/>
      <c r="TEF751" s="574"/>
      <c r="TEG751" s="574"/>
      <c r="TEH751" s="574"/>
      <c r="TEI751" s="574"/>
      <c r="TEJ751" s="574"/>
      <c r="TEK751" s="574"/>
      <c r="TEL751" s="574"/>
      <c r="TEM751" s="574"/>
      <c r="TEN751" s="574"/>
      <c r="TEO751" s="574"/>
      <c r="TEP751" s="574"/>
      <c r="TEQ751" s="574"/>
      <c r="TER751" s="574"/>
      <c r="TES751" s="574"/>
      <c r="TET751" s="574"/>
      <c r="TEU751" s="574"/>
      <c r="TEV751" s="574"/>
      <c r="TEW751" s="574"/>
      <c r="TEX751" s="574"/>
      <c r="TEY751" s="574"/>
      <c r="TEZ751" s="574"/>
      <c r="TFA751" s="574"/>
      <c r="TFB751" s="574"/>
      <c r="TFC751" s="574"/>
      <c r="TFD751" s="574"/>
      <c r="TFE751" s="574"/>
      <c r="TFF751" s="574"/>
      <c r="TFG751" s="574"/>
      <c r="TFH751" s="574"/>
      <c r="TFI751" s="574"/>
      <c r="TFJ751" s="574"/>
      <c r="TFK751" s="574"/>
      <c r="TFL751" s="574"/>
      <c r="TFM751" s="574"/>
      <c r="TFN751" s="574"/>
      <c r="TFO751" s="574"/>
      <c r="TFP751" s="574"/>
      <c r="TFQ751" s="574"/>
      <c r="TFR751" s="574"/>
      <c r="TFS751" s="574"/>
      <c r="TFT751" s="574"/>
      <c r="TFU751" s="574"/>
      <c r="TFV751" s="574"/>
      <c r="TFW751" s="574"/>
      <c r="TFX751" s="574"/>
      <c r="TFY751" s="574"/>
      <c r="TFZ751" s="574"/>
      <c r="TGA751" s="574"/>
      <c r="TGB751" s="574"/>
      <c r="TGC751" s="574"/>
      <c r="TGD751" s="574"/>
      <c r="TGE751" s="574"/>
      <c r="TGF751" s="574"/>
      <c r="TGG751" s="574"/>
      <c r="TGH751" s="574"/>
      <c r="TGI751" s="574"/>
      <c r="TGJ751" s="574"/>
      <c r="TGK751" s="574"/>
      <c r="TGL751" s="574"/>
      <c r="TGM751" s="574"/>
      <c r="TGN751" s="574"/>
      <c r="TGO751" s="574"/>
      <c r="TGP751" s="574"/>
      <c r="TGQ751" s="574"/>
      <c r="TGR751" s="574"/>
      <c r="TGS751" s="574"/>
      <c r="TGT751" s="574"/>
      <c r="TGU751" s="574"/>
      <c r="TGV751" s="574"/>
      <c r="TGW751" s="574"/>
      <c r="TGX751" s="574"/>
      <c r="TGY751" s="574"/>
      <c r="TGZ751" s="574"/>
      <c r="THA751" s="574"/>
      <c r="THB751" s="574"/>
      <c r="THC751" s="574"/>
      <c r="THD751" s="574"/>
      <c r="THE751" s="574"/>
      <c r="THF751" s="574"/>
      <c r="THG751" s="574"/>
      <c r="THH751" s="574"/>
      <c r="THI751" s="574"/>
      <c r="THJ751" s="574"/>
      <c r="THK751" s="574"/>
      <c r="THL751" s="574"/>
      <c r="THM751" s="574"/>
      <c r="THN751" s="574"/>
      <c r="THO751" s="574"/>
      <c r="THP751" s="574"/>
      <c r="THQ751" s="574"/>
      <c r="THR751" s="574"/>
      <c r="THS751" s="574"/>
      <c r="THT751" s="574"/>
      <c r="THU751" s="574"/>
      <c r="THV751" s="574"/>
      <c r="THW751" s="574"/>
      <c r="THX751" s="574"/>
      <c r="THY751" s="574"/>
      <c r="THZ751" s="574"/>
      <c r="TIA751" s="574"/>
      <c r="TIB751" s="574"/>
      <c r="TIC751" s="574"/>
      <c r="TID751" s="574"/>
      <c r="TIE751" s="574"/>
      <c r="TIF751" s="574"/>
      <c r="TIG751" s="574"/>
      <c r="TIH751" s="574"/>
      <c r="TII751" s="574"/>
      <c r="TIJ751" s="574"/>
      <c r="TIK751" s="574"/>
      <c r="TIL751" s="574"/>
      <c r="TIM751" s="574"/>
      <c r="TIN751" s="574"/>
      <c r="TIO751" s="574"/>
      <c r="TIP751" s="574"/>
      <c r="TIQ751" s="574"/>
      <c r="TIR751" s="574"/>
      <c r="TIS751" s="574"/>
      <c r="TIT751" s="574"/>
      <c r="TIU751" s="574"/>
      <c r="TIV751" s="574"/>
      <c r="TIW751" s="574"/>
      <c r="TIX751" s="574"/>
      <c r="TIY751" s="574"/>
      <c r="TIZ751" s="574"/>
      <c r="TJA751" s="574"/>
      <c r="TJB751" s="574"/>
      <c r="TJC751" s="574"/>
      <c r="TJD751" s="574"/>
      <c r="TJE751" s="574"/>
      <c r="TJF751" s="574"/>
      <c r="TJG751" s="574"/>
      <c r="TJH751" s="574"/>
      <c r="TJI751" s="574"/>
      <c r="TJJ751" s="574"/>
      <c r="TJK751" s="574"/>
      <c r="TJL751" s="574"/>
      <c r="TJM751" s="574"/>
      <c r="TJN751" s="574"/>
      <c r="TJO751" s="574"/>
      <c r="TJP751" s="574"/>
      <c r="TJQ751" s="574"/>
      <c r="TJR751" s="574"/>
      <c r="TJS751" s="574"/>
      <c r="TJT751" s="574"/>
      <c r="TJU751" s="574"/>
      <c r="TJV751" s="574"/>
      <c r="TJW751" s="574"/>
      <c r="TJX751" s="574"/>
      <c r="TJY751" s="574"/>
      <c r="TJZ751" s="574"/>
      <c r="TKA751" s="574"/>
      <c r="TKB751" s="574"/>
      <c r="TKC751" s="574"/>
      <c r="TKD751" s="574"/>
      <c r="TKE751" s="574"/>
      <c r="TKF751" s="574"/>
      <c r="TKG751" s="574"/>
      <c r="TKH751" s="574"/>
      <c r="TKI751" s="574"/>
      <c r="TKJ751" s="574"/>
      <c r="TKK751" s="574"/>
      <c r="TKL751" s="574"/>
      <c r="TKM751" s="574"/>
      <c r="TKN751" s="574"/>
      <c r="TKO751" s="574"/>
      <c r="TKP751" s="574"/>
      <c r="TKQ751" s="574"/>
      <c r="TKR751" s="574"/>
      <c r="TKS751" s="574"/>
      <c r="TKT751" s="574"/>
      <c r="TKU751" s="574"/>
      <c r="TKV751" s="574"/>
      <c r="TKW751" s="574"/>
      <c r="TKX751" s="574"/>
      <c r="TKY751" s="574"/>
      <c r="TKZ751" s="574"/>
      <c r="TLA751" s="574"/>
      <c r="TLB751" s="574"/>
      <c r="TLC751" s="574"/>
      <c r="TLD751" s="574"/>
      <c r="TLE751" s="574"/>
      <c r="TLF751" s="574"/>
      <c r="TLG751" s="574"/>
      <c r="TLH751" s="574"/>
      <c r="TLI751" s="574"/>
      <c r="TLJ751" s="574"/>
      <c r="TLK751" s="574"/>
      <c r="TLL751" s="574"/>
      <c r="TLM751" s="574"/>
      <c r="TLN751" s="574"/>
      <c r="TLO751" s="574"/>
      <c r="TLP751" s="574"/>
      <c r="TLQ751" s="574"/>
      <c r="TLR751" s="574"/>
      <c r="TLS751" s="574"/>
      <c r="TLT751" s="574"/>
      <c r="TLU751" s="574"/>
      <c r="TLV751" s="574"/>
      <c r="TLW751" s="574"/>
      <c r="TLX751" s="574"/>
      <c r="TLY751" s="574"/>
      <c r="TLZ751" s="574"/>
      <c r="TMA751" s="574"/>
      <c r="TMB751" s="574"/>
      <c r="TMC751" s="574"/>
      <c r="TMD751" s="574"/>
      <c r="TME751" s="574"/>
      <c r="TMF751" s="574"/>
      <c r="TMG751" s="574"/>
      <c r="TMH751" s="574"/>
      <c r="TMI751" s="574"/>
      <c r="TMJ751" s="574"/>
      <c r="TMK751" s="574"/>
      <c r="TML751" s="574"/>
      <c r="TMM751" s="574"/>
      <c r="TMN751" s="574"/>
      <c r="TMO751" s="574"/>
      <c r="TMP751" s="574"/>
      <c r="TMQ751" s="574"/>
      <c r="TMR751" s="574"/>
      <c r="TMS751" s="574"/>
      <c r="TMT751" s="574"/>
      <c r="TMU751" s="574"/>
      <c r="TMV751" s="574"/>
      <c r="TMW751" s="574"/>
      <c r="TMX751" s="574"/>
      <c r="TMY751" s="574"/>
      <c r="TMZ751" s="574"/>
      <c r="TNA751" s="574"/>
      <c r="TNB751" s="574"/>
      <c r="TNC751" s="574"/>
      <c r="TND751" s="574"/>
      <c r="TNE751" s="574"/>
      <c r="TNF751" s="574"/>
      <c r="TNG751" s="574"/>
      <c r="TNH751" s="574"/>
      <c r="TNI751" s="574"/>
      <c r="TNJ751" s="574"/>
      <c r="TNK751" s="574"/>
      <c r="TNL751" s="574"/>
      <c r="TNM751" s="574"/>
      <c r="TNN751" s="574"/>
      <c r="TNO751" s="574"/>
      <c r="TNP751" s="574"/>
      <c r="TNQ751" s="574"/>
      <c r="TNR751" s="574"/>
      <c r="TNS751" s="574"/>
      <c r="TNT751" s="574"/>
      <c r="TNU751" s="574"/>
      <c r="TNV751" s="574"/>
      <c r="TNW751" s="574"/>
      <c r="TNX751" s="574"/>
      <c r="TNY751" s="574"/>
      <c r="TNZ751" s="574"/>
      <c r="TOA751" s="574"/>
      <c r="TOB751" s="574"/>
      <c r="TOC751" s="574"/>
      <c r="TOD751" s="574"/>
      <c r="TOE751" s="574"/>
      <c r="TOF751" s="574"/>
      <c r="TOG751" s="574"/>
      <c r="TOH751" s="574"/>
      <c r="TOI751" s="574"/>
      <c r="TOJ751" s="574"/>
      <c r="TOK751" s="574"/>
      <c r="TOL751" s="574"/>
      <c r="TOM751" s="574"/>
      <c r="TON751" s="574"/>
      <c r="TOO751" s="574"/>
      <c r="TOP751" s="574"/>
      <c r="TOQ751" s="574"/>
      <c r="TOR751" s="574"/>
      <c r="TOS751" s="574"/>
      <c r="TOT751" s="574"/>
      <c r="TOU751" s="574"/>
      <c r="TOV751" s="574"/>
      <c r="TOW751" s="574"/>
      <c r="TOX751" s="574"/>
      <c r="TOY751" s="574"/>
      <c r="TOZ751" s="574"/>
      <c r="TPA751" s="574"/>
      <c r="TPB751" s="574"/>
      <c r="TPC751" s="574"/>
      <c r="TPD751" s="574"/>
      <c r="TPE751" s="574"/>
      <c r="TPF751" s="574"/>
      <c r="TPG751" s="574"/>
      <c r="TPH751" s="574"/>
      <c r="TPI751" s="574"/>
      <c r="TPJ751" s="574"/>
      <c r="TPK751" s="574"/>
      <c r="TPL751" s="574"/>
      <c r="TPM751" s="574"/>
      <c r="TPN751" s="574"/>
      <c r="TPO751" s="574"/>
      <c r="TPP751" s="574"/>
      <c r="TPQ751" s="574"/>
      <c r="TPR751" s="574"/>
      <c r="TPS751" s="574"/>
      <c r="TPT751" s="574"/>
      <c r="TPU751" s="574"/>
      <c r="TPV751" s="574"/>
      <c r="TPW751" s="574"/>
      <c r="TPX751" s="574"/>
      <c r="TPY751" s="574"/>
      <c r="TPZ751" s="574"/>
      <c r="TQA751" s="574"/>
      <c r="TQB751" s="574"/>
      <c r="TQC751" s="574"/>
      <c r="TQD751" s="574"/>
      <c r="TQE751" s="574"/>
      <c r="TQF751" s="574"/>
      <c r="TQG751" s="574"/>
      <c r="TQH751" s="574"/>
      <c r="TQI751" s="574"/>
      <c r="TQJ751" s="574"/>
      <c r="TQK751" s="574"/>
      <c r="TQL751" s="574"/>
      <c r="TQM751" s="574"/>
      <c r="TQN751" s="574"/>
      <c r="TQO751" s="574"/>
      <c r="TQP751" s="574"/>
      <c r="TQQ751" s="574"/>
      <c r="TQR751" s="574"/>
      <c r="TQS751" s="574"/>
      <c r="TQT751" s="574"/>
      <c r="TQU751" s="574"/>
      <c r="TQV751" s="574"/>
      <c r="TQW751" s="574"/>
      <c r="TQX751" s="574"/>
      <c r="TQY751" s="574"/>
      <c r="TQZ751" s="574"/>
      <c r="TRA751" s="574"/>
      <c r="TRB751" s="574"/>
      <c r="TRC751" s="574"/>
      <c r="TRD751" s="574"/>
      <c r="TRE751" s="574"/>
      <c r="TRF751" s="574"/>
      <c r="TRG751" s="574"/>
      <c r="TRH751" s="574"/>
      <c r="TRI751" s="574"/>
      <c r="TRJ751" s="574"/>
      <c r="TRK751" s="574"/>
      <c r="TRL751" s="574"/>
      <c r="TRM751" s="574"/>
      <c r="TRN751" s="574"/>
      <c r="TRO751" s="574"/>
      <c r="TRP751" s="574"/>
      <c r="TRQ751" s="574"/>
      <c r="TRR751" s="574"/>
      <c r="TRS751" s="574"/>
      <c r="TRT751" s="574"/>
      <c r="TRU751" s="574"/>
      <c r="TRV751" s="574"/>
      <c r="TRW751" s="574"/>
      <c r="TRX751" s="574"/>
      <c r="TRY751" s="574"/>
      <c r="TRZ751" s="574"/>
      <c r="TSA751" s="574"/>
      <c r="TSB751" s="574"/>
      <c r="TSC751" s="574"/>
      <c r="TSD751" s="574"/>
      <c r="TSE751" s="574"/>
      <c r="TSF751" s="574"/>
      <c r="TSG751" s="574"/>
      <c r="TSH751" s="574"/>
      <c r="TSI751" s="574"/>
      <c r="TSJ751" s="574"/>
      <c r="TSK751" s="574"/>
      <c r="TSL751" s="574"/>
      <c r="TSM751" s="574"/>
      <c r="TSN751" s="574"/>
      <c r="TSO751" s="574"/>
      <c r="TSP751" s="574"/>
      <c r="TSQ751" s="574"/>
      <c r="TSR751" s="574"/>
      <c r="TSS751" s="574"/>
      <c r="TST751" s="574"/>
      <c r="TSU751" s="574"/>
      <c r="TSV751" s="574"/>
      <c r="TSW751" s="574"/>
      <c r="TSX751" s="574"/>
      <c r="TSY751" s="574"/>
      <c r="TSZ751" s="574"/>
      <c r="TTA751" s="574"/>
      <c r="TTB751" s="574"/>
      <c r="TTC751" s="574"/>
      <c r="TTD751" s="574"/>
      <c r="TTE751" s="574"/>
      <c r="TTF751" s="574"/>
      <c r="TTG751" s="574"/>
      <c r="TTH751" s="574"/>
      <c r="TTI751" s="574"/>
      <c r="TTJ751" s="574"/>
      <c r="TTK751" s="574"/>
      <c r="TTL751" s="574"/>
      <c r="TTM751" s="574"/>
      <c r="TTN751" s="574"/>
      <c r="TTO751" s="574"/>
      <c r="TTP751" s="574"/>
      <c r="TTQ751" s="574"/>
      <c r="TTR751" s="574"/>
      <c r="TTS751" s="574"/>
      <c r="TTT751" s="574"/>
      <c r="TTU751" s="574"/>
      <c r="TTV751" s="574"/>
      <c r="TTW751" s="574"/>
      <c r="TTX751" s="574"/>
      <c r="TTY751" s="574"/>
      <c r="TTZ751" s="574"/>
      <c r="TUA751" s="574"/>
      <c r="TUB751" s="574"/>
      <c r="TUC751" s="574"/>
      <c r="TUD751" s="574"/>
      <c r="TUE751" s="574"/>
      <c r="TUF751" s="574"/>
      <c r="TUG751" s="574"/>
      <c r="TUH751" s="574"/>
      <c r="TUI751" s="574"/>
      <c r="TUJ751" s="574"/>
      <c r="TUK751" s="574"/>
      <c r="TUL751" s="574"/>
      <c r="TUM751" s="574"/>
      <c r="TUN751" s="574"/>
      <c r="TUO751" s="574"/>
      <c r="TUP751" s="574"/>
      <c r="TUQ751" s="574"/>
      <c r="TUR751" s="574"/>
      <c r="TUS751" s="574"/>
      <c r="TUT751" s="574"/>
      <c r="TUU751" s="574"/>
      <c r="TUV751" s="574"/>
      <c r="TUW751" s="574"/>
      <c r="TUX751" s="574"/>
      <c r="TUY751" s="574"/>
      <c r="TUZ751" s="574"/>
      <c r="TVA751" s="574"/>
      <c r="TVB751" s="574"/>
      <c r="TVC751" s="574"/>
      <c r="TVD751" s="574"/>
      <c r="TVE751" s="574"/>
      <c r="TVF751" s="574"/>
      <c r="TVG751" s="574"/>
      <c r="TVH751" s="574"/>
      <c r="TVI751" s="574"/>
      <c r="TVJ751" s="574"/>
      <c r="TVK751" s="574"/>
      <c r="TVL751" s="574"/>
      <c r="TVM751" s="574"/>
      <c r="TVN751" s="574"/>
      <c r="TVO751" s="574"/>
      <c r="TVP751" s="574"/>
      <c r="TVQ751" s="574"/>
      <c r="TVR751" s="574"/>
      <c r="TVS751" s="574"/>
      <c r="TVT751" s="574"/>
      <c r="TVU751" s="574"/>
      <c r="TVV751" s="574"/>
      <c r="TVW751" s="574"/>
      <c r="TVX751" s="574"/>
      <c r="TVY751" s="574"/>
      <c r="TVZ751" s="574"/>
      <c r="TWA751" s="574"/>
      <c r="TWB751" s="574"/>
      <c r="TWC751" s="574"/>
      <c r="TWD751" s="574"/>
      <c r="TWE751" s="574"/>
      <c r="TWF751" s="574"/>
      <c r="TWG751" s="574"/>
      <c r="TWH751" s="574"/>
      <c r="TWI751" s="574"/>
      <c r="TWJ751" s="574"/>
      <c r="TWK751" s="574"/>
      <c r="TWL751" s="574"/>
      <c r="TWM751" s="574"/>
      <c r="TWN751" s="574"/>
      <c r="TWO751" s="574"/>
      <c r="TWP751" s="574"/>
      <c r="TWQ751" s="574"/>
      <c r="TWR751" s="574"/>
      <c r="TWS751" s="574"/>
      <c r="TWT751" s="574"/>
      <c r="TWU751" s="574"/>
      <c r="TWV751" s="574"/>
      <c r="TWW751" s="574"/>
      <c r="TWX751" s="574"/>
      <c r="TWY751" s="574"/>
      <c r="TWZ751" s="574"/>
      <c r="TXA751" s="574"/>
      <c r="TXB751" s="574"/>
      <c r="TXC751" s="574"/>
      <c r="TXD751" s="574"/>
      <c r="TXE751" s="574"/>
      <c r="TXF751" s="574"/>
      <c r="TXG751" s="574"/>
      <c r="TXH751" s="574"/>
      <c r="TXI751" s="574"/>
      <c r="TXJ751" s="574"/>
      <c r="TXK751" s="574"/>
      <c r="TXL751" s="574"/>
      <c r="TXM751" s="574"/>
      <c r="TXN751" s="574"/>
      <c r="TXO751" s="574"/>
      <c r="TXP751" s="574"/>
      <c r="TXQ751" s="574"/>
      <c r="TXR751" s="574"/>
      <c r="TXS751" s="574"/>
      <c r="TXT751" s="574"/>
      <c r="TXU751" s="574"/>
      <c r="TXV751" s="574"/>
      <c r="TXW751" s="574"/>
      <c r="TXX751" s="574"/>
      <c r="TXY751" s="574"/>
      <c r="TXZ751" s="574"/>
      <c r="TYA751" s="574"/>
      <c r="TYB751" s="574"/>
      <c r="TYC751" s="574"/>
      <c r="TYD751" s="574"/>
      <c r="TYE751" s="574"/>
      <c r="TYF751" s="574"/>
      <c r="TYG751" s="574"/>
      <c r="TYH751" s="574"/>
      <c r="TYI751" s="574"/>
      <c r="TYJ751" s="574"/>
      <c r="TYK751" s="574"/>
      <c r="TYL751" s="574"/>
      <c r="TYM751" s="574"/>
      <c r="TYN751" s="574"/>
      <c r="TYO751" s="574"/>
      <c r="TYP751" s="574"/>
      <c r="TYQ751" s="574"/>
      <c r="TYR751" s="574"/>
      <c r="TYS751" s="574"/>
      <c r="TYT751" s="574"/>
      <c r="TYU751" s="574"/>
      <c r="TYV751" s="574"/>
      <c r="TYW751" s="574"/>
      <c r="TYX751" s="574"/>
      <c r="TYY751" s="574"/>
      <c r="TYZ751" s="574"/>
      <c r="TZA751" s="574"/>
      <c r="TZB751" s="574"/>
      <c r="TZC751" s="574"/>
      <c r="TZD751" s="574"/>
      <c r="TZE751" s="574"/>
      <c r="TZF751" s="574"/>
      <c r="TZG751" s="574"/>
      <c r="TZH751" s="574"/>
      <c r="TZI751" s="574"/>
      <c r="TZJ751" s="574"/>
      <c r="TZK751" s="574"/>
      <c r="TZL751" s="574"/>
      <c r="TZM751" s="574"/>
      <c r="TZN751" s="574"/>
      <c r="TZO751" s="574"/>
      <c r="TZP751" s="574"/>
      <c r="TZQ751" s="574"/>
      <c r="TZR751" s="574"/>
      <c r="TZS751" s="574"/>
      <c r="TZT751" s="574"/>
      <c r="TZU751" s="574"/>
      <c r="TZV751" s="574"/>
      <c r="TZW751" s="574"/>
      <c r="TZX751" s="574"/>
      <c r="TZY751" s="574"/>
      <c r="TZZ751" s="574"/>
      <c r="UAA751" s="574"/>
      <c r="UAB751" s="574"/>
      <c r="UAC751" s="574"/>
      <c r="UAD751" s="574"/>
      <c r="UAE751" s="574"/>
      <c r="UAF751" s="574"/>
      <c r="UAG751" s="574"/>
      <c r="UAH751" s="574"/>
      <c r="UAI751" s="574"/>
      <c r="UAJ751" s="574"/>
      <c r="UAK751" s="574"/>
      <c r="UAL751" s="574"/>
      <c r="UAM751" s="574"/>
      <c r="UAN751" s="574"/>
      <c r="UAO751" s="574"/>
      <c r="UAP751" s="574"/>
      <c r="UAQ751" s="574"/>
      <c r="UAR751" s="574"/>
      <c r="UAS751" s="574"/>
      <c r="UAT751" s="574"/>
      <c r="UAU751" s="574"/>
      <c r="UAV751" s="574"/>
      <c r="UAW751" s="574"/>
      <c r="UAX751" s="574"/>
      <c r="UAY751" s="574"/>
      <c r="UAZ751" s="574"/>
      <c r="UBA751" s="574"/>
      <c r="UBB751" s="574"/>
      <c r="UBC751" s="574"/>
      <c r="UBD751" s="574"/>
      <c r="UBE751" s="574"/>
      <c r="UBF751" s="574"/>
      <c r="UBG751" s="574"/>
      <c r="UBH751" s="574"/>
      <c r="UBI751" s="574"/>
      <c r="UBJ751" s="574"/>
      <c r="UBK751" s="574"/>
      <c r="UBL751" s="574"/>
      <c r="UBM751" s="574"/>
      <c r="UBN751" s="574"/>
      <c r="UBO751" s="574"/>
      <c r="UBP751" s="574"/>
      <c r="UBQ751" s="574"/>
      <c r="UBR751" s="574"/>
      <c r="UBS751" s="574"/>
      <c r="UBT751" s="574"/>
      <c r="UBU751" s="574"/>
      <c r="UBV751" s="574"/>
      <c r="UBW751" s="574"/>
      <c r="UBX751" s="574"/>
      <c r="UBY751" s="574"/>
      <c r="UBZ751" s="574"/>
      <c r="UCA751" s="574"/>
      <c r="UCB751" s="574"/>
      <c r="UCC751" s="574"/>
      <c r="UCD751" s="574"/>
      <c r="UCE751" s="574"/>
      <c r="UCF751" s="574"/>
      <c r="UCG751" s="574"/>
      <c r="UCH751" s="574"/>
      <c r="UCI751" s="574"/>
      <c r="UCJ751" s="574"/>
      <c r="UCK751" s="574"/>
      <c r="UCL751" s="574"/>
      <c r="UCM751" s="574"/>
      <c r="UCN751" s="574"/>
      <c r="UCO751" s="574"/>
      <c r="UCP751" s="574"/>
      <c r="UCQ751" s="574"/>
      <c r="UCR751" s="574"/>
      <c r="UCS751" s="574"/>
      <c r="UCT751" s="574"/>
      <c r="UCU751" s="574"/>
      <c r="UCV751" s="574"/>
      <c r="UCW751" s="574"/>
      <c r="UCX751" s="574"/>
      <c r="UCY751" s="574"/>
      <c r="UCZ751" s="574"/>
      <c r="UDA751" s="574"/>
      <c r="UDB751" s="574"/>
      <c r="UDC751" s="574"/>
      <c r="UDD751" s="574"/>
      <c r="UDE751" s="574"/>
      <c r="UDF751" s="574"/>
      <c r="UDG751" s="574"/>
      <c r="UDH751" s="574"/>
      <c r="UDI751" s="574"/>
      <c r="UDJ751" s="574"/>
      <c r="UDK751" s="574"/>
      <c r="UDL751" s="574"/>
      <c r="UDM751" s="574"/>
      <c r="UDN751" s="574"/>
      <c r="UDO751" s="574"/>
      <c r="UDP751" s="574"/>
      <c r="UDQ751" s="574"/>
      <c r="UDR751" s="574"/>
      <c r="UDS751" s="574"/>
      <c r="UDT751" s="574"/>
      <c r="UDU751" s="574"/>
      <c r="UDV751" s="574"/>
      <c r="UDW751" s="574"/>
      <c r="UDX751" s="574"/>
      <c r="UDY751" s="574"/>
      <c r="UDZ751" s="574"/>
      <c r="UEA751" s="574"/>
      <c r="UEB751" s="574"/>
      <c r="UEC751" s="574"/>
      <c r="UED751" s="574"/>
      <c r="UEE751" s="574"/>
      <c r="UEF751" s="574"/>
      <c r="UEG751" s="574"/>
      <c r="UEH751" s="574"/>
      <c r="UEI751" s="574"/>
      <c r="UEJ751" s="574"/>
      <c r="UEK751" s="574"/>
      <c r="UEL751" s="574"/>
      <c r="UEM751" s="574"/>
      <c r="UEN751" s="574"/>
      <c r="UEO751" s="574"/>
      <c r="UEP751" s="574"/>
      <c r="UEQ751" s="574"/>
      <c r="UER751" s="574"/>
      <c r="UES751" s="574"/>
      <c r="UET751" s="574"/>
      <c r="UEU751" s="574"/>
      <c r="UEV751" s="574"/>
      <c r="UEW751" s="574"/>
      <c r="UEX751" s="574"/>
      <c r="UEY751" s="574"/>
      <c r="UEZ751" s="574"/>
      <c r="UFA751" s="574"/>
      <c r="UFB751" s="574"/>
      <c r="UFC751" s="574"/>
      <c r="UFD751" s="574"/>
      <c r="UFE751" s="574"/>
      <c r="UFF751" s="574"/>
      <c r="UFG751" s="574"/>
      <c r="UFH751" s="574"/>
      <c r="UFI751" s="574"/>
      <c r="UFJ751" s="574"/>
      <c r="UFK751" s="574"/>
      <c r="UFL751" s="574"/>
      <c r="UFM751" s="574"/>
      <c r="UFN751" s="574"/>
      <c r="UFO751" s="574"/>
      <c r="UFP751" s="574"/>
      <c r="UFQ751" s="574"/>
      <c r="UFR751" s="574"/>
      <c r="UFS751" s="574"/>
      <c r="UFT751" s="574"/>
      <c r="UFU751" s="574"/>
      <c r="UFV751" s="574"/>
      <c r="UFW751" s="574"/>
      <c r="UFX751" s="574"/>
      <c r="UFY751" s="574"/>
      <c r="UFZ751" s="574"/>
      <c r="UGA751" s="574"/>
      <c r="UGB751" s="574"/>
      <c r="UGC751" s="574"/>
      <c r="UGD751" s="574"/>
      <c r="UGE751" s="574"/>
      <c r="UGF751" s="574"/>
      <c r="UGG751" s="574"/>
      <c r="UGH751" s="574"/>
      <c r="UGI751" s="574"/>
      <c r="UGJ751" s="574"/>
      <c r="UGK751" s="574"/>
      <c r="UGL751" s="574"/>
      <c r="UGM751" s="574"/>
      <c r="UGN751" s="574"/>
      <c r="UGO751" s="574"/>
      <c r="UGP751" s="574"/>
      <c r="UGQ751" s="574"/>
      <c r="UGR751" s="574"/>
      <c r="UGS751" s="574"/>
      <c r="UGT751" s="574"/>
      <c r="UGU751" s="574"/>
      <c r="UGV751" s="574"/>
      <c r="UGW751" s="574"/>
      <c r="UGX751" s="574"/>
      <c r="UGY751" s="574"/>
      <c r="UGZ751" s="574"/>
      <c r="UHA751" s="574"/>
      <c r="UHB751" s="574"/>
      <c r="UHC751" s="574"/>
      <c r="UHD751" s="574"/>
      <c r="UHE751" s="574"/>
      <c r="UHF751" s="574"/>
      <c r="UHG751" s="574"/>
      <c r="UHH751" s="574"/>
      <c r="UHI751" s="574"/>
      <c r="UHJ751" s="574"/>
      <c r="UHK751" s="574"/>
      <c r="UHL751" s="574"/>
      <c r="UHM751" s="574"/>
      <c r="UHN751" s="574"/>
      <c r="UHO751" s="574"/>
      <c r="UHP751" s="574"/>
      <c r="UHQ751" s="574"/>
      <c r="UHR751" s="574"/>
      <c r="UHS751" s="574"/>
      <c r="UHT751" s="574"/>
      <c r="UHU751" s="574"/>
      <c r="UHV751" s="574"/>
      <c r="UHW751" s="574"/>
      <c r="UHX751" s="574"/>
      <c r="UHY751" s="574"/>
      <c r="UHZ751" s="574"/>
      <c r="UIA751" s="574"/>
      <c r="UIB751" s="574"/>
      <c r="UIC751" s="574"/>
      <c r="UID751" s="574"/>
      <c r="UIE751" s="574"/>
      <c r="UIF751" s="574"/>
      <c r="UIG751" s="574"/>
      <c r="UIH751" s="574"/>
      <c r="UII751" s="574"/>
      <c r="UIJ751" s="574"/>
      <c r="UIK751" s="574"/>
      <c r="UIL751" s="574"/>
      <c r="UIM751" s="574"/>
      <c r="UIN751" s="574"/>
      <c r="UIO751" s="574"/>
      <c r="UIP751" s="574"/>
      <c r="UIQ751" s="574"/>
      <c r="UIR751" s="574"/>
      <c r="UIS751" s="574"/>
      <c r="UIT751" s="574"/>
      <c r="UIU751" s="574"/>
      <c r="UIV751" s="574"/>
      <c r="UIW751" s="574"/>
      <c r="UIX751" s="574"/>
      <c r="UIY751" s="574"/>
      <c r="UIZ751" s="574"/>
      <c r="UJA751" s="574"/>
      <c r="UJB751" s="574"/>
      <c r="UJC751" s="574"/>
      <c r="UJD751" s="574"/>
      <c r="UJE751" s="574"/>
      <c r="UJF751" s="574"/>
      <c r="UJG751" s="574"/>
      <c r="UJH751" s="574"/>
      <c r="UJI751" s="574"/>
      <c r="UJJ751" s="574"/>
      <c r="UJK751" s="574"/>
      <c r="UJL751" s="574"/>
      <c r="UJM751" s="574"/>
      <c r="UJN751" s="574"/>
      <c r="UJO751" s="574"/>
      <c r="UJP751" s="574"/>
      <c r="UJQ751" s="574"/>
      <c r="UJR751" s="574"/>
      <c r="UJS751" s="574"/>
      <c r="UJT751" s="574"/>
      <c r="UJU751" s="574"/>
      <c r="UJV751" s="574"/>
      <c r="UJW751" s="574"/>
      <c r="UJX751" s="574"/>
      <c r="UJY751" s="574"/>
      <c r="UJZ751" s="574"/>
      <c r="UKA751" s="574"/>
      <c r="UKB751" s="574"/>
      <c r="UKC751" s="574"/>
      <c r="UKD751" s="574"/>
      <c r="UKE751" s="574"/>
      <c r="UKF751" s="574"/>
      <c r="UKG751" s="574"/>
      <c r="UKH751" s="574"/>
      <c r="UKI751" s="574"/>
      <c r="UKJ751" s="574"/>
      <c r="UKK751" s="574"/>
      <c r="UKL751" s="574"/>
      <c r="UKM751" s="574"/>
      <c r="UKN751" s="574"/>
      <c r="UKO751" s="574"/>
      <c r="UKP751" s="574"/>
      <c r="UKQ751" s="574"/>
      <c r="UKR751" s="574"/>
      <c r="UKS751" s="574"/>
      <c r="UKT751" s="574"/>
      <c r="UKU751" s="574"/>
      <c r="UKV751" s="574"/>
      <c r="UKW751" s="574"/>
      <c r="UKX751" s="574"/>
      <c r="UKY751" s="574"/>
      <c r="UKZ751" s="574"/>
      <c r="ULA751" s="574"/>
      <c r="ULB751" s="574"/>
      <c r="ULC751" s="574"/>
      <c r="ULD751" s="574"/>
      <c r="ULE751" s="574"/>
      <c r="ULF751" s="574"/>
      <c r="ULG751" s="574"/>
      <c r="ULH751" s="574"/>
      <c r="ULI751" s="574"/>
      <c r="ULJ751" s="574"/>
      <c r="ULK751" s="574"/>
      <c r="ULL751" s="574"/>
      <c r="ULM751" s="574"/>
      <c r="ULN751" s="574"/>
      <c r="ULO751" s="574"/>
      <c r="ULP751" s="574"/>
      <c r="ULQ751" s="574"/>
      <c r="ULR751" s="574"/>
      <c r="ULS751" s="574"/>
      <c r="ULT751" s="574"/>
      <c r="ULU751" s="574"/>
      <c r="ULV751" s="574"/>
      <c r="ULW751" s="574"/>
      <c r="ULX751" s="574"/>
      <c r="ULY751" s="574"/>
      <c r="ULZ751" s="574"/>
      <c r="UMA751" s="574"/>
      <c r="UMB751" s="574"/>
      <c r="UMC751" s="574"/>
      <c r="UMD751" s="574"/>
      <c r="UME751" s="574"/>
      <c r="UMF751" s="574"/>
      <c r="UMG751" s="574"/>
      <c r="UMH751" s="574"/>
      <c r="UMI751" s="574"/>
      <c r="UMJ751" s="574"/>
      <c r="UMK751" s="574"/>
      <c r="UML751" s="574"/>
      <c r="UMM751" s="574"/>
      <c r="UMN751" s="574"/>
      <c r="UMO751" s="574"/>
      <c r="UMP751" s="574"/>
      <c r="UMQ751" s="574"/>
      <c r="UMR751" s="574"/>
      <c r="UMS751" s="574"/>
      <c r="UMT751" s="574"/>
      <c r="UMU751" s="574"/>
      <c r="UMV751" s="574"/>
      <c r="UMW751" s="574"/>
      <c r="UMX751" s="574"/>
      <c r="UMY751" s="574"/>
      <c r="UMZ751" s="574"/>
      <c r="UNA751" s="574"/>
      <c r="UNB751" s="574"/>
      <c r="UNC751" s="574"/>
      <c r="UND751" s="574"/>
      <c r="UNE751" s="574"/>
      <c r="UNF751" s="574"/>
      <c r="UNG751" s="574"/>
      <c r="UNH751" s="574"/>
      <c r="UNI751" s="574"/>
      <c r="UNJ751" s="574"/>
      <c r="UNK751" s="574"/>
      <c r="UNL751" s="574"/>
      <c r="UNM751" s="574"/>
      <c r="UNN751" s="574"/>
      <c r="UNO751" s="574"/>
      <c r="UNP751" s="574"/>
      <c r="UNQ751" s="574"/>
      <c r="UNR751" s="574"/>
      <c r="UNS751" s="574"/>
      <c r="UNT751" s="574"/>
      <c r="UNU751" s="574"/>
      <c r="UNV751" s="574"/>
      <c r="UNW751" s="574"/>
      <c r="UNX751" s="574"/>
      <c r="UNY751" s="574"/>
      <c r="UNZ751" s="574"/>
      <c r="UOA751" s="574"/>
      <c r="UOB751" s="574"/>
      <c r="UOC751" s="574"/>
      <c r="UOD751" s="574"/>
      <c r="UOE751" s="574"/>
      <c r="UOF751" s="574"/>
      <c r="UOG751" s="574"/>
      <c r="UOH751" s="574"/>
      <c r="UOI751" s="574"/>
      <c r="UOJ751" s="574"/>
      <c r="UOK751" s="574"/>
      <c r="UOL751" s="574"/>
      <c r="UOM751" s="574"/>
      <c r="UON751" s="574"/>
      <c r="UOO751" s="574"/>
      <c r="UOP751" s="574"/>
      <c r="UOQ751" s="574"/>
      <c r="UOR751" s="574"/>
      <c r="UOS751" s="574"/>
      <c r="UOT751" s="574"/>
      <c r="UOU751" s="574"/>
      <c r="UOV751" s="574"/>
      <c r="UOW751" s="574"/>
      <c r="UOX751" s="574"/>
      <c r="UOY751" s="574"/>
      <c r="UOZ751" s="574"/>
      <c r="UPA751" s="574"/>
      <c r="UPB751" s="574"/>
      <c r="UPC751" s="574"/>
      <c r="UPD751" s="574"/>
      <c r="UPE751" s="574"/>
      <c r="UPF751" s="574"/>
      <c r="UPG751" s="574"/>
      <c r="UPH751" s="574"/>
      <c r="UPI751" s="574"/>
      <c r="UPJ751" s="574"/>
      <c r="UPK751" s="574"/>
      <c r="UPL751" s="574"/>
      <c r="UPM751" s="574"/>
      <c r="UPN751" s="574"/>
      <c r="UPO751" s="574"/>
      <c r="UPP751" s="574"/>
      <c r="UPQ751" s="574"/>
      <c r="UPR751" s="574"/>
      <c r="UPS751" s="574"/>
      <c r="UPT751" s="574"/>
      <c r="UPU751" s="574"/>
      <c r="UPV751" s="574"/>
      <c r="UPW751" s="574"/>
      <c r="UPX751" s="574"/>
      <c r="UPY751" s="574"/>
      <c r="UPZ751" s="574"/>
      <c r="UQA751" s="574"/>
      <c r="UQB751" s="574"/>
      <c r="UQC751" s="574"/>
      <c r="UQD751" s="574"/>
      <c r="UQE751" s="574"/>
      <c r="UQF751" s="574"/>
      <c r="UQG751" s="574"/>
      <c r="UQH751" s="574"/>
      <c r="UQI751" s="574"/>
      <c r="UQJ751" s="574"/>
      <c r="UQK751" s="574"/>
      <c r="UQL751" s="574"/>
      <c r="UQM751" s="574"/>
      <c r="UQN751" s="574"/>
      <c r="UQO751" s="574"/>
      <c r="UQP751" s="574"/>
      <c r="UQQ751" s="574"/>
      <c r="UQR751" s="574"/>
      <c r="UQS751" s="574"/>
      <c r="UQT751" s="574"/>
      <c r="UQU751" s="574"/>
      <c r="UQV751" s="574"/>
      <c r="UQW751" s="574"/>
      <c r="UQX751" s="574"/>
      <c r="UQY751" s="574"/>
      <c r="UQZ751" s="574"/>
      <c r="URA751" s="574"/>
      <c r="URB751" s="574"/>
      <c r="URC751" s="574"/>
      <c r="URD751" s="574"/>
      <c r="URE751" s="574"/>
      <c r="URF751" s="574"/>
      <c r="URG751" s="574"/>
      <c r="URH751" s="574"/>
      <c r="URI751" s="574"/>
      <c r="URJ751" s="574"/>
      <c r="URK751" s="574"/>
      <c r="URL751" s="574"/>
      <c r="URM751" s="574"/>
      <c r="URN751" s="574"/>
      <c r="URO751" s="574"/>
      <c r="URP751" s="574"/>
      <c r="URQ751" s="574"/>
      <c r="URR751" s="574"/>
      <c r="URS751" s="574"/>
      <c r="URT751" s="574"/>
      <c r="URU751" s="574"/>
      <c r="URV751" s="574"/>
      <c r="URW751" s="574"/>
      <c r="URX751" s="574"/>
      <c r="URY751" s="574"/>
      <c r="URZ751" s="574"/>
      <c r="USA751" s="574"/>
      <c r="USB751" s="574"/>
      <c r="USC751" s="574"/>
      <c r="USD751" s="574"/>
      <c r="USE751" s="574"/>
      <c r="USF751" s="574"/>
      <c r="USG751" s="574"/>
      <c r="USH751" s="574"/>
      <c r="USI751" s="574"/>
      <c r="USJ751" s="574"/>
      <c r="USK751" s="574"/>
      <c r="USL751" s="574"/>
      <c r="USM751" s="574"/>
      <c r="USN751" s="574"/>
      <c r="USO751" s="574"/>
      <c r="USP751" s="574"/>
      <c r="USQ751" s="574"/>
      <c r="USR751" s="574"/>
      <c r="USS751" s="574"/>
      <c r="UST751" s="574"/>
      <c r="USU751" s="574"/>
      <c r="USV751" s="574"/>
      <c r="USW751" s="574"/>
      <c r="USX751" s="574"/>
      <c r="USY751" s="574"/>
      <c r="USZ751" s="574"/>
      <c r="UTA751" s="574"/>
      <c r="UTB751" s="574"/>
      <c r="UTC751" s="574"/>
      <c r="UTD751" s="574"/>
      <c r="UTE751" s="574"/>
      <c r="UTF751" s="574"/>
      <c r="UTG751" s="574"/>
      <c r="UTH751" s="574"/>
      <c r="UTI751" s="574"/>
      <c r="UTJ751" s="574"/>
      <c r="UTK751" s="574"/>
      <c r="UTL751" s="574"/>
      <c r="UTM751" s="574"/>
      <c r="UTN751" s="574"/>
      <c r="UTO751" s="574"/>
      <c r="UTP751" s="574"/>
      <c r="UTQ751" s="574"/>
      <c r="UTR751" s="574"/>
      <c r="UTS751" s="574"/>
      <c r="UTT751" s="574"/>
      <c r="UTU751" s="574"/>
      <c r="UTV751" s="574"/>
      <c r="UTW751" s="574"/>
      <c r="UTX751" s="574"/>
      <c r="UTY751" s="574"/>
      <c r="UTZ751" s="574"/>
      <c r="UUA751" s="574"/>
      <c r="UUB751" s="574"/>
      <c r="UUC751" s="574"/>
      <c r="UUD751" s="574"/>
      <c r="UUE751" s="574"/>
      <c r="UUF751" s="574"/>
      <c r="UUG751" s="574"/>
      <c r="UUH751" s="574"/>
      <c r="UUI751" s="574"/>
      <c r="UUJ751" s="574"/>
      <c r="UUK751" s="574"/>
      <c r="UUL751" s="574"/>
      <c r="UUM751" s="574"/>
      <c r="UUN751" s="574"/>
      <c r="UUO751" s="574"/>
      <c r="UUP751" s="574"/>
      <c r="UUQ751" s="574"/>
      <c r="UUR751" s="574"/>
      <c r="UUS751" s="574"/>
      <c r="UUT751" s="574"/>
      <c r="UUU751" s="574"/>
      <c r="UUV751" s="574"/>
      <c r="UUW751" s="574"/>
      <c r="UUX751" s="574"/>
      <c r="UUY751" s="574"/>
      <c r="UUZ751" s="574"/>
      <c r="UVA751" s="574"/>
      <c r="UVB751" s="574"/>
      <c r="UVC751" s="574"/>
      <c r="UVD751" s="574"/>
      <c r="UVE751" s="574"/>
      <c r="UVF751" s="574"/>
      <c r="UVG751" s="574"/>
      <c r="UVH751" s="574"/>
      <c r="UVI751" s="574"/>
      <c r="UVJ751" s="574"/>
      <c r="UVK751" s="574"/>
      <c r="UVL751" s="574"/>
      <c r="UVM751" s="574"/>
      <c r="UVN751" s="574"/>
      <c r="UVO751" s="574"/>
      <c r="UVP751" s="574"/>
      <c r="UVQ751" s="574"/>
      <c r="UVR751" s="574"/>
      <c r="UVS751" s="574"/>
      <c r="UVT751" s="574"/>
      <c r="UVU751" s="574"/>
      <c r="UVV751" s="574"/>
      <c r="UVW751" s="574"/>
      <c r="UVX751" s="574"/>
      <c r="UVY751" s="574"/>
      <c r="UVZ751" s="574"/>
      <c r="UWA751" s="574"/>
      <c r="UWB751" s="574"/>
      <c r="UWC751" s="574"/>
      <c r="UWD751" s="574"/>
      <c r="UWE751" s="574"/>
      <c r="UWF751" s="574"/>
      <c r="UWG751" s="574"/>
      <c r="UWH751" s="574"/>
      <c r="UWI751" s="574"/>
      <c r="UWJ751" s="574"/>
      <c r="UWK751" s="574"/>
      <c r="UWL751" s="574"/>
      <c r="UWM751" s="574"/>
      <c r="UWN751" s="574"/>
      <c r="UWO751" s="574"/>
      <c r="UWP751" s="574"/>
      <c r="UWQ751" s="574"/>
      <c r="UWR751" s="574"/>
      <c r="UWS751" s="574"/>
      <c r="UWT751" s="574"/>
      <c r="UWU751" s="574"/>
      <c r="UWV751" s="574"/>
      <c r="UWW751" s="574"/>
      <c r="UWX751" s="574"/>
      <c r="UWY751" s="574"/>
      <c r="UWZ751" s="574"/>
      <c r="UXA751" s="574"/>
      <c r="UXB751" s="574"/>
      <c r="UXC751" s="574"/>
      <c r="UXD751" s="574"/>
      <c r="UXE751" s="574"/>
      <c r="UXF751" s="574"/>
      <c r="UXG751" s="574"/>
      <c r="UXH751" s="574"/>
      <c r="UXI751" s="574"/>
      <c r="UXJ751" s="574"/>
      <c r="UXK751" s="574"/>
      <c r="UXL751" s="574"/>
      <c r="UXM751" s="574"/>
      <c r="UXN751" s="574"/>
      <c r="UXO751" s="574"/>
      <c r="UXP751" s="574"/>
      <c r="UXQ751" s="574"/>
      <c r="UXR751" s="574"/>
      <c r="UXS751" s="574"/>
      <c r="UXT751" s="574"/>
      <c r="UXU751" s="574"/>
      <c r="UXV751" s="574"/>
      <c r="UXW751" s="574"/>
      <c r="UXX751" s="574"/>
      <c r="UXY751" s="574"/>
      <c r="UXZ751" s="574"/>
      <c r="UYA751" s="574"/>
      <c r="UYB751" s="574"/>
      <c r="UYC751" s="574"/>
      <c r="UYD751" s="574"/>
      <c r="UYE751" s="574"/>
      <c r="UYF751" s="574"/>
      <c r="UYG751" s="574"/>
      <c r="UYH751" s="574"/>
      <c r="UYI751" s="574"/>
      <c r="UYJ751" s="574"/>
      <c r="UYK751" s="574"/>
      <c r="UYL751" s="574"/>
      <c r="UYM751" s="574"/>
      <c r="UYN751" s="574"/>
      <c r="UYO751" s="574"/>
      <c r="UYP751" s="574"/>
      <c r="UYQ751" s="574"/>
      <c r="UYR751" s="574"/>
      <c r="UYS751" s="574"/>
      <c r="UYT751" s="574"/>
      <c r="UYU751" s="574"/>
      <c r="UYV751" s="574"/>
      <c r="UYW751" s="574"/>
      <c r="UYX751" s="574"/>
      <c r="UYY751" s="574"/>
      <c r="UYZ751" s="574"/>
      <c r="UZA751" s="574"/>
      <c r="UZB751" s="574"/>
      <c r="UZC751" s="574"/>
      <c r="UZD751" s="574"/>
      <c r="UZE751" s="574"/>
      <c r="UZF751" s="574"/>
      <c r="UZG751" s="574"/>
      <c r="UZH751" s="574"/>
      <c r="UZI751" s="574"/>
      <c r="UZJ751" s="574"/>
      <c r="UZK751" s="574"/>
      <c r="UZL751" s="574"/>
      <c r="UZM751" s="574"/>
      <c r="UZN751" s="574"/>
      <c r="UZO751" s="574"/>
      <c r="UZP751" s="574"/>
      <c r="UZQ751" s="574"/>
      <c r="UZR751" s="574"/>
      <c r="UZS751" s="574"/>
      <c r="UZT751" s="574"/>
      <c r="UZU751" s="574"/>
      <c r="UZV751" s="574"/>
      <c r="UZW751" s="574"/>
      <c r="UZX751" s="574"/>
      <c r="UZY751" s="574"/>
      <c r="UZZ751" s="574"/>
      <c r="VAA751" s="574"/>
      <c r="VAB751" s="574"/>
      <c r="VAC751" s="574"/>
      <c r="VAD751" s="574"/>
      <c r="VAE751" s="574"/>
      <c r="VAF751" s="574"/>
      <c r="VAG751" s="574"/>
      <c r="VAH751" s="574"/>
      <c r="VAI751" s="574"/>
      <c r="VAJ751" s="574"/>
      <c r="VAK751" s="574"/>
      <c r="VAL751" s="574"/>
      <c r="VAM751" s="574"/>
      <c r="VAN751" s="574"/>
      <c r="VAO751" s="574"/>
      <c r="VAP751" s="574"/>
      <c r="VAQ751" s="574"/>
      <c r="VAR751" s="574"/>
      <c r="VAS751" s="574"/>
      <c r="VAT751" s="574"/>
      <c r="VAU751" s="574"/>
      <c r="VAV751" s="574"/>
      <c r="VAW751" s="574"/>
      <c r="VAX751" s="574"/>
      <c r="VAY751" s="574"/>
      <c r="VAZ751" s="574"/>
      <c r="VBA751" s="574"/>
      <c r="VBB751" s="574"/>
      <c r="VBC751" s="574"/>
      <c r="VBD751" s="574"/>
      <c r="VBE751" s="574"/>
      <c r="VBF751" s="574"/>
      <c r="VBG751" s="574"/>
      <c r="VBH751" s="574"/>
      <c r="VBI751" s="574"/>
      <c r="VBJ751" s="574"/>
      <c r="VBK751" s="574"/>
      <c r="VBL751" s="574"/>
      <c r="VBM751" s="574"/>
      <c r="VBN751" s="574"/>
      <c r="VBO751" s="574"/>
      <c r="VBP751" s="574"/>
      <c r="VBQ751" s="574"/>
      <c r="VBR751" s="574"/>
      <c r="VBS751" s="574"/>
      <c r="VBT751" s="574"/>
      <c r="VBU751" s="574"/>
      <c r="VBV751" s="574"/>
      <c r="VBW751" s="574"/>
      <c r="VBX751" s="574"/>
      <c r="VBY751" s="574"/>
      <c r="VBZ751" s="574"/>
      <c r="VCA751" s="574"/>
      <c r="VCB751" s="574"/>
      <c r="VCC751" s="574"/>
      <c r="VCD751" s="574"/>
      <c r="VCE751" s="574"/>
      <c r="VCF751" s="574"/>
      <c r="VCG751" s="574"/>
      <c r="VCH751" s="574"/>
      <c r="VCI751" s="574"/>
      <c r="VCJ751" s="574"/>
      <c r="VCK751" s="574"/>
      <c r="VCL751" s="574"/>
      <c r="VCM751" s="574"/>
      <c r="VCN751" s="574"/>
      <c r="VCO751" s="574"/>
      <c r="VCP751" s="574"/>
      <c r="VCQ751" s="574"/>
      <c r="VCR751" s="574"/>
      <c r="VCS751" s="574"/>
      <c r="VCT751" s="574"/>
      <c r="VCU751" s="574"/>
      <c r="VCV751" s="574"/>
      <c r="VCW751" s="574"/>
      <c r="VCX751" s="574"/>
      <c r="VCY751" s="574"/>
      <c r="VCZ751" s="574"/>
      <c r="VDA751" s="574"/>
      <c r="VDB751" s="574"/>
      <c r="VDC751" s="574"/>
      <c r="VDD751" s="574"/>
      <c r="VDE751" s="574"/>
      <c r="VDF751" s="574"/>
      <c r="VDG751" s="574"/>
      <c r="VDH751" s="574"/>
      <c r="VDI751" s="574"/>
      <c r="VDJ751" s="574"/>
      <c r="VDK751" s="574"/>
      <c r="VDL751" s="574"/>
      <c r="VDM751" s="574"/>
      <c r="VDN751" s="574"/>
      <c r="VDO751" s="574"/>
      <c r="VDP751" s="574"/>
      <c r="VDQ751" s="574"/>
      <c r="VDR751" s="574"/>
      <c r="VDS751" s="574"/>
      <c r="VDT751" s="574"/>
      <c r="VDU751" s="574"/>
      <c r="VDV751" s="574"/>
      <c r="VDW751" s="574"/>
      <c r="VDX751" s="574"/>
      <c r="VDY751" s="574"/>
      <c r="VDZ751" s="574"/>
      <c r="VEA751" s="574"/>
      <c r="VEB751" s="574"/>
      <c r="VEC751" s="574"/>
      <c r="VED751" s="574"/>
      <c r="VEE751" s="574"/>
      <c r="VEF751" s="574"/>
      <c r="VEG751" s="574"/>
      <c r="VEH751" s="574"/>
      <c r="VEI751" s="574"/>
      <c r="VEJ751" s="574"/>
      <c r="VEK751" s="574"/>
      <c r="VEL751" s="574"/>
      <c r="VEM751" s="574"/>
      <c r="VEN751" s="574"/>
      <c r="VEO751" s="574"/>
      <c r="VEP751" s="574"/>
      <c r="VEQ751" s="574"/>
      <c r="VER751" s="574"/>
      <c r="VES751" s="574"/>
      <c r="VET751" s="574"/>
      <c r="VEU751" s="574"/>
      <c r="VEV751" s="574"/>
      <c r="VEW751" s="574"/>
      <c r="VEX751" s="574"/>
      <c r="VEY751" s="574"/>
      <c r="VEZ751" s="574"/>
      <c r="VFA751" s="574"/>
      <c r="VFB751" s="574"/>
      <c r="VFC751" s="574"/>
      <c r="VFD751" s="574"/>
      <c r="VFE751" s="574"/>
      <c r="VFF751" s="574"/>
      <c r="VFG751" s="574"/>
      <c r="VFH751" s="574"/>
      <c r="VFI751" s="574"/>
      <c r="VFJ751" s="574"/>
      <c r="VFK751" s="574"/>
      <c r="VFL751" s="574"/>
      <c r="VFM751" s="574"/>
      <c r="VFN751" s="574"/>
      <c r="VFO751" s="574"/>
      <c r="VFP751" s="574"/>
      <c r="VFQ751" s="574"/>
      <c r="VFR751" s="574"/>
      <c r="VFS751" s="574"/>
      <c r="VFT751" s="574"/>
      <c r="VFU751" s="574"/>
      <c r="VFV751" s="574"/>
      <c r="VFW751" s="574"/>
      <c r="VFX751" s="574"/>
      <c r="VFY751" s="574"/>
      <c r="VFZ751" s="574"/>
      <c r="VGA751" s="574"/>
      <c r="VGB751" s="574"/>
      <c r="VGC751" s="574"/>
      <c r="VGD751" s="574"/>
      <c r="VGE751" s="574"/>
      <c r="VGF751" s="574"/>
      <c r="VGG751" s="574"/>
      <c r="VGH751" s="574"/>
      <c r="VGI751" s="574"/>
      <c r="VGJ751" s="574"/>
      <c r="VGK751" s="574"/>
      <c r="VGL751" s="574"/>
      <c r="VGM751" s="574"/>
      <c r="VGN751" s="574"/>
      <c r="VGO751" s="574"/>
      <c r="VGP751" s="574"/>
      <c r="VGQ751" s="574"/>
      <c r="VGR751" s="574"/>
      <c r="VGS751" s="574"/>
      <c r="VGT751" s="574"/>
      <c r="VGU751" s="574"/>
      <c r="VGV751" s="574"/>
      <c r="VGW751" s="574"/>
      <c r="VGX751" s="574"/>
      <c r="VGY751" s="574"/>
      <c r="VGZ751" s="574"/>
      <c r="VHA751" s="574"/>
      <c r="VHB751" s="574"/>
      <c r="VHC751" s="574"/>
      <c r="VHD751" s="574"/>
      <c r="VHE751" s="574"/>
      <c r="VHF751" s="574"/>
      <c r="VHG751" s="574"/>
      <c r="VHH751" s="574"/>
      <c r="VHI751" s="574"/>
      <c r="VHJ751" s="574"/>
      <c r="VHK751" s="574"/>
      <c r="VHL751" s="574"/>
      <c r="VHM751" s="574"/>
      <c r="VHN751" s="574"/>
      <c r="VHO751" s="574"/>
      <c r="VHP751" s="574"/>
      <c r="VHQ751" s="574"/>
      <c r="VHR751" s="574"/>
      <c r="VHS751" s="574"/>
      <c r="VHT751" s="574"/>
      <c r="VHU751" s="574"/>
      <c r="VHV751" s="574"/>
      <c r="VHW751" s="574"/>
      <c r="VHX751" s="574"/>
      <c r="VHY751" s="574"/>
      <c r="VHZ751" s="574"/>
      <c r="VIA751" s="574"/>
      <c r="VIB751" s="574"/>
      <c r="VIC751" s="574"/>
      <c r="VID751" s="574"/>
      <c r="VIE751" s="574"/>
      <c r="VIF751" s="574"/>
      <c r="VIG751" s="574"/>
      <c r="VIH751" s="574"/>
      <c r="VII751" s="574"/>
      <c r="VIJ751" s="574"/>
      <c r="VIK751" s="574"/>
      <c r="VIL751" s="574"/>
      <c r="VIM751" s="574"/>
      <c r="VIN751" s="574"/>
      <c r="VIO751" s="574"/>
      <c r="VIP751" s="574"/>
      <c r="VIQ751" s="574"/>
      <c r="VIR751" s="574"/>
      <c r="VIS751" s="574"/>
      <c r="VIT751" s="574"/>
      <c r="VIU751" s="574"/>
      <c r="VIV751" s="574"/>
      <c r="VIW751" s="574"/>
      <c r="VIX751" s="574"/>
      <c r="VIY751" s="574"/>
      <c r="VIZ751" s="574"/>
      <c r="VJA751" s="574"/>
      <c r="VJB751" s="574"/>
      <c r="VJC751" s="574"/>
      <c r="VJD751" s="574"/>
      <c r="VJE751" s="574"/>
      <c r="VJF751" s="574"/>
      <c r="VJG751" s="574"/>
      <c r="VJH751" s="574"/>
      <c r="VJI751" s="574"/>
      <c r="VJJ751" s="574"/>
      <c r="VJK751" s="574"/>
      <c r="VJL751" s="574"/>
      <c r="VJM751" s="574"/>
      <c r="VJN751" s="574"/>
      <c r="VJO751" s="574"/>
      <c r="VJP751" s="574"/>
      <c r="VJQ751" s="574"/>
      <c r="VJR751" s="574"/>
      <c r="VJS751" s="574"/>
      <c r="VJT751" s="574"/>
      <c r="VJU751" s="574"/>
      <c r="VJV751" s="574"/>
      <c r="VJW751" s="574"/>
      <c r="VJX751" s="574"/>
      <c r="VJY751" s="574"/>
      <c r="VJZ751" s="574"/>
      <c r="VKA751" s="574"/>
      <c r="VKB751" s="574"/>
      <c r="VKC751" s="574"/>
      <c r="VKD751" s="574"/>
      <c r="VKE751" s="574"/>
      <c r="VKF751" s="574"/>
      <c r="VKG751" s="574"/>
      <c r="VKH751" s="574"/>
      <c r="VKI751" s="574"/>
      <c r="VKJ751" s="574"/>
      <c r="VKK751" s="574"/>
      <c r="VKL751" s="574"/>
      <c r="VKM751" s="574"/>
      <c r="VKN751" s="574"/>
      <c r="VKO751" s="574"/>
      <c r="VKP751" s="574"/>
      <c r="VKQ751" s="574"/>
      <c r="VKR751" s="574"/>
      <c r="VKS751" s="574"/>
      <c r="VKT751" s="574"/>
      <c r="VKU751" s="574"/>
      <c r="VKV751" s="574"/>
      <c r="VKW751" s="574"/>
      <c r="VKX751" s="574"/>
      <c r="VKY751" s="574"/>
      <c r="VKZ751" s="574"/>
      <c r="VLA751" s="574"/>
      <c r="VLB751" s="574"/>
      <c r="VLC751" s="574"/>
      <c r="VLD751" s="574"/>
      <c r="VLE751" s="574"/>
      <c r="VLF751" s="574"/>
      <c r="VLG751" s="574"/>
      <c r="VLH751" s="574"/>
      <c r="VLI751" s="574"/>
      <c r="VLJ751" s="574"/>
      <c r="VLK751" s="574"/>
      <c r="VLL751" s="574"/>
      <c r="VLM751" s="574"/>
      <c r="VLN751" s="574"/>
      <c r="VLO751" s="574"/>
      <c r="VLP751" s="574"/>
      <c r="VLQ751" s="574"/>
      <c r="VLR751" s="574"/>
      <c r="VLS751" s="574"/>
      <c r="VLT751" s="574"/>
      <c r="VLU751" s="574"/>
      <c r="VLV751" s="574"/>
      <c r="VLW751" s="574"/>
      <c r="VLX751" s="574"/>
      <c r="VLY751" s="574"/>
      <c r="VLZ751" s="574"/>
      <c r="VMA751" s="574"/>
      <c r="VMB751" s="574"/>
      <c r="VMC751" s="574"/>
      <c r="VMD751" s="574"/>
      <c r="VME751" s="574"/>
      <c r="VMF751" s="574"/>
      <c r="VMG751" s="574"/>
      <c r="VMH751" s="574"/>
      <c r="VMI751" s="574"/>
      <c r="VMJ751" s="574"/>
      <c r="VMK751" s="574"/>
      <c r="VML751" s="574"/>
      <c r="VMM751" s="574"/>
      <c r="VMN751" s="574"/>
      <c r="VMO751" s="574"/>
      <c r="VMP751" s="574"/>
      <c r="VMQ751" s="574"/>
      <c r="VMR751" s="574"/>
      <c r="VMS751" s="574"/>
      <c r="VMT751" s="574"/>
      <c r="VMU751" s="574"/>
      <c r="VMV751" s="574"/>
      <c r="VMW751" s="574"/>
      <c r="VMX751" s="574"/>
      <c r="VMY751" s="574"/>
      <c r="VMZ751" s="574"/>
      <c r="VNA751" s="574"/>
      <c r="VNB751" s="574"/>
      <c r="VNC751" s="574"/>
      <c r="VND751" s="574"/>
      <c r="VNE751" s="574"/>
      <c r="VNF751" s="574"/>
      <c r="VNG751" s="574"/>
      <c r="VNH751" s="574"/>
      <c r="VNI751" s="574"/>
      <c r="VNJ751" s="574"/>
      <c r="VNK751" s="574"/>
      <c r="VNL751" s="574"/>
      <c r="VNM751" s="574"/>
      <c r="VNN751" s="574"/>
      <c r="VNO751" s="574"/>
      <c r="VNP751" s="574"/>
      <c r="VNQ751" s="574"/>
      <c r="VNR751" s="574"/>
      <c r="VNS751" s="574"/>
      <c r="VNT751" s="574"/>
      <c r="VNU751" s="574"/>
      <c r="VNV751" s="574"/>
      <c r="VNW751" s="574"/>
      <c r="VNX751" s="574"/>
      <c r="VNY751" s="574"/>
      <c r="VNZ751" s="574"/>
      <c r="VOA751" s="574"/>
      <c r="VOB751" s="574"/>
      <c r="VOC751" s="574"/>
      <c r="VOD751" s="574"/>
      <c r="VOE751" s="574"/>
      <c r="VOF751" s="574"/>
      <c r="VOG751" s="574"/>
      <c r="VOH751" s="574"/>
      <c r="VOI751" s="574"/>
      <c r="VOJ751" s="574"/>
      <c r="VOK751" s="574"/>
      <c r="VOL751" s="574"/>
      <c r="VOM751" s="574"/>
      <c r="VON751" s="574"/>
      <c r="VOO751" s="574"/>
      <c r="VOP751" s="574"/>
      <c r="VOQ751" s="574"/>
      <c r="VOR751" s="574"/>
      <c r="VOS751" s="574"/>
      <c r="VOT751" s="574"/>
      <c r="VOU751" s="574"/>
      <c r="VOV751" s="574"/>
      <c r="VOW751" s="574"/>
      <c r="VOX751" s="574"/>
      <c r="VOY751" s="574"/>
      <c r="VOZ751" s="574"/>
      <c r="VPA751" s="574"/>
      <c r="VPB751" s="574"/>
      <c r="VPC751" s="574"/>
      <c r="VPD751" s="574"/>
      <c r="VPE751" s="574"/>
      <c r="VPF751" s="574"/>
      <c r="VPG751" s="574"/>
      <c r="VPH751" s="574"/>
      <c r="VPI751" s="574"/>
      <c r="VPJ751" s="574"/>
      <c r="VPK751" s="574"/>
      <c r="VPL751" s="574"/>
      <c r="VPM751" s="574"/>
      <c r="VPN751" s="574"/>
      <c r="VPO751" s="574"/>
      <c r="VPP751" s="574"/>
      <c r="VPQ751" s="574"/>
      <c r="VPR751" s="574"/>
      <c r="VPS751" s="574"/>
      <c r="VPT751" s="574"/>
      <c r="VPU751" s="574"/>
      <c r="VPV751" s="574"/>
      <c r="VPW751" s="574"/>
      <c r="VPX751" s="574"/>
      <c r="VPY751" s="574"/>
      <c r="VPZ751" s="574"/>
      <c r="VQA751" s="574"/>
      <c r="VQB751" s="574"/>
      <c r="VQC751" s="574"/>
      <c r="VQD751" s="574"/>
      <c r="VQE751" s="574"/>
      <c r="VQF751" s="574"/>
      <c r="VQG751" s="574"/>
      <c r="VQH751" s="574"/>
      <c r="VQI751" s="574"/>
      <c r="VQJ751" s="574"/>
      <c r="VQK751" s="574"/>
      <c r="VQL751" s="574"/>
      <c r="VQM751" s="574"/>
      <c r="VQN751" s="574"/>
      <c r="VQO751" s="574"/>
      <c r="VQP751" s="574"/>
      <c r="VQQ751" s="574"/>
      <c r="VQR751" s="574"/>
      <c r="VQS751" s="574"/>
      <c r="VQT751" s="574"/>
      <c r="VQU751" s="574"/>
      <c r="VQV751" s="574"/>
      <c r="VQW751" s="574"/>
      <c r="VQX751" s="574"/>
      <c r="VQY751" s="574"/>
      <c r="VQZ751" s="574"/>
      <c r="VRA751" s="574"/>
      <c r="VRB751" s="574"/>
      <c r="VRC751" s="574"/>
      <c r="VRD751" s="574"/>
      <c r="VRE751" s="574"/>
      <c r="VRF751" s="574"/>
      <c r="VRG751" s="574"/>
      <c r="VRH751" s="574"/>
      <c r="VRI751" s="574"/>
      <c r="VRJ751" s="574"/>
      <c r="VRK751" s="574"/>
      <c r="VRL751" s="574"/>
      <c r="VRM751" s="574"/>
      <c r="VRN751" s="574"/>
      <c r="VRO751" s="574"/>
      <c r="VRP751" s="574"/>
      <c r="VRQ751" s="574"/>
      <c r="VRR751" s="574"/>
      <c r="VRS751" s="574"/>
      <c r="VRT751" s="574"/>
      <c r="VRU751" s="574"/>
      <c r="VRV751" s="574"/>
      <c r="VRW751" s="574"/>
      <c r="VRX751" s="574"/>
      <c r="VRY751" s="574"/>
      <c r="VRZ751" s="574"/>
      <c r="VSA751" s="574"/>
      <c r="VSB751" s="574"/>
      <c r="VSC751" s="574"/>
      <c r="VSD751" s="574"/>
      <c r="VSE751" s="574"/>
      <c r="VSF751" s="574"/>
      <c r="VSG751" s="574"/>
      <c r="VSH751" s="574"/>
      <c r="VSI751" s="574"/>
      <c r="VSJ751" s="574"/>
      <c r="VSK751" s="574"/>
      <c r="VSL751" s="574"/>
      <c r="VSM751" s="574"/>
      <c r="VSN751" s="574"/>
      <c r="VSO751" s="574"/>
      <c r="VSP751" s="574"/>
      <c r="VSQ751" s="574"/>
      <c r="VSR751" s="574"/>
      <c r="VSS751" s="574"/>
      <c r="VST751" s="574"/>
      <c r="VSU751" s="574"/>
      <c r="VSV751" s="574"/>
      <c r="VSW751" s="574"/>
      <c r="VSX751" s="574"/>
      <c r="VSY751" s="574"/>
      <c r="VSZ751" s="574"/>
      <c r="VTA751" s="574"/>
      <c r="VTB751" s="574"/>
      <c r="VTC751" s="574"/>
      <c r="VTD751" s="574"/>
      <c r="VTE751" s="574"/>
      <c r="VTF751" s="574"/>
      <c r="VTG751" s="574"/>
      <c r="VTH751" s="574"/>
      <c r="VTI751" s="574"/>
      <c r="VTJ751" s="574"/>
      <c r="VTK751" s="574"/>
      <c r="VTL751" s="574"/>
      <c r="VTM751" s="574"/>
      <c r="VTN751" s="574"/>
      <c r="VTO751" s="574"/>
      <c r="VTP751" s="574"/>
      <c r="VTQ751" s="574"/>
      <c r="VTR751" s="574"/>
      <c r="VTS751" s="574"/>
      <c r="VTT751" s="574"/>
      <c r="VTU751" s="574"/>
      <c r="VTV751" s="574"/>
      <c r="VTW751" s="574"/>
      <c r="VTX751" s="574"/>
      <c r="VTY751" s="574"/>
      <c r="VTZ751" s="574"/>
      <c r="VUA751" s="574"/>
      <c r="VUB751" s="574"/>
      <c r="VUC751" s="574"/>
      <c r="VUD751" s="574"/>
      <c r="VUE751" s="574"/>
      <c r="VUF751" s="574"/>
      <c r="VUG751" s="574"/>
      <c r="VUH751" s="574"/>
      <c r="VUI751" s="574"/>
      <c r="VUJ751" s="574"/>
      <c r="VUK751" s="574"/>
      <c r="VUL751" s="574"/>
      <c r="VUM751" s="574"/>
      <c r="VUN751" s="574"/>
      <c r="VUO751" s="574"/>
      <c r="VUP751" s="574"/>
      <c r="VUQ751" s="574"/>
      <c r="VUR751" s="574"/>
      <c r="VUS751" s="574"/>
      <c r="VUT751" s="574"/>
      <c r="VUU751" s="574"/>
      <c r="VUV751" s="574"/>
      <c r="VUW751" s="574"/>
      <c r="VUX751" s="574"/>
      <c r="VUY751" s="574"/>
      <c r="VUZ751" s="574"/>
      <c r="VVA751" s="574"/>
      <c r="VVB751" s="574"/>
      <c r="VVC751" s="574"/>
      <c r="VVD751" s="574"/>
      <c r="VVE751" s="574"/>
      <c r="VVF751" s="574"/>
      <c r="VVG751" s="574"/>
      <c r="VVH751" s="574"/>
      <c r="VVI751" s="574"/>
      <c r="VVJ751" s="574"/>
      <c r="VVK751" s="574"/>
      <c r="VVL751" s="574"/>
      <c r="VVM751" s="574"/>
      <c r="VVN751" s="574"/>
      <c r="VVO751" s="574"/>
      <c r="VVP751" s="574"/>
      <c r="VVQ751" s="574"/>
      <c r="VVR751" s="574"/>
      <c r="VVS751" s="574"/>
      <c r="VVT751" s="574"/>
      <c r="VVU751" s="574"/>
      <c r="VVV751" s="574"/>
      <c r="VVW751" s="574"/>
      <c r="VVX751" s="574"/>
      <c r="VVY751" s="574"/>
      <c r="VVZ751" s="574"/>
      <c r="VWA751" s="574"/>
      <c r="VWB751" s="574"/>
      <c r="VWC751" s="574"/>
      <c r="VWD751" s="574"/>
      <c r="VWE751" s="574"/>
      <c r="VWF751" s="574"/>
      <c r="VWG751" s="574"/>
      <c r="VWH751" s="574"/>
      <c r="VWI751" s="574"/>
      <c r="VWJ751" s="574"/>
      <c r="VWK751" s="574"/>
      <c r="VWL751" s="574"/>
      <c r="VWM751" s="574"/>
      <c r="VWN751" s="574"/>
      <c r="VWO751" s="574"/>
      <c r="VWP751" s="574"/>
      <c r="VWQ751" s="574"/>
      <c r="VWR751" s="574"/>
      <c r="VWS751" s="574"/>
      <c r="VWT751" s="574"/>
      <c r="VWU751" s="574"/>
      <c r="VWV751" s="574"/>
      <c r="VWW751" s="574"/>
      <c r="VWX751" s="574"/>
      <c r="VWY751" s="574"/>
      <c r="VWZ751" s="574"/>
      <c r="VXA751" s="574"/>
      <c r="VXB751" s="574"/>
      <c r="VXC751" s="574"/>
      <c r="VXD751" s="574"/>
      <c r="VXE751" s="574"/>
      <c r="VXF751" s="574"/>
      <c r="VXG751" s="574"/>
      <c r="VXH751" s="574"/>
      <c r="VXI751" s="574"/>
      <c r="VXJ751" s="574"/>
      <c r="VXK751" s="574"/>
      <c r="VXL751" s="574"/>
      <c r="VXM751" s="574"/>
      <c r="VXN751" s="574"/>
      <c r="VXO751" s="574"/>
      <c r="VXP751" s="574"/>
      <c r="VXQ751" s="574"/>
      <c r="VXR751" s="574"/>
      <c r="VXS751" s="574"/>
      <c r="VXT751" s="574"/>
      <c r="VXU751" s="574"/>
      <c r="VXV751" s="574"/>
      <c r="VXW751" s="574"/>
      <c r="VXX751" s="574"/>
      <c r="VXY751" s="574"/>
      <c r="VXZ751" s="574"/>
      <c r="VYA751" s="574"/>
      <c r="VYB751" s="574"/>
      <c r="VYC751" s="574"/>
      <c r="VYD751" s="574"/>
      <c r="VYE751" s="574"/>
      <c r="VYF751" s="574"/>
      <c r="VYG751" s="574"/>
      <c r="VYH751" s="574"/>
      <c r="VYI751" s="574"/>
      <c r="VYJ751" s="574"/>
      <c r="VYK751" s="574"/>
      <c r="VYL751" s="574"/>
      <c r="VYM751" s="574"/>
      <c r="VYN751" s="574"/>
      <c r="VYO751" s="574"/>
      <c r="VYP751" s="574"/>
      <c r="VYQ751" s="574"/>
      <c r="VYR751" s="574"/>
      <c r="VYS751" s="574"/>
      <c r="VYT751" s="574"/>
      <c r="VYU751" s="574"/>
      <c r="VYV751" s="574"/>
      <c r="VYW751" s="574"/>
      <c r="VYX751" s="574"/>
      <c r="VYY751" s="574"/>
      <c r="VYZ751" s="574"/>
      <c r="VZA751" s="574"/>
      <c r="VZB751" s="574"/>
      <c r="VZC751" s="574"/>
      <c r="VZD751" s="574"/>
      <c r="VZE751" s="574"/>
      <c r="VZF751" s="574"/>
      <c r="VZG751" s="574"/>
      <c r="VZH751" s="574"/>
      <c r="VZI751" s="574"/>
      <c r="VZJ751" s="574"/>
      <c r="VZK751" s="574"/>
      <c r="VZL751" s="574"/>
      <c r="VZM751" s="574"/>
      <c r="VZN751" s="574"/>
      <c r="VZO751" s="574"/>
      <c r="VZP751" s="574"/>
      <c r="VZQ751" s="574"/>
      <c r="VZR751" s="574"/>
      <c r="VZS751" s="574"/>
      <c r="VZT751" s="574"/>
      <c r="VZU751" s="574"/>
      <c r="VZV751" s="574"/>
      <c r="VZW751" s="574"/>
      <c r="VZX751" s="574"/>
      <c r="VZY751" s="574"/>
      <c r="VZZ751" s="574"/>
      <c r="WAA751" s="574"/>
      <c r="WAB751" s="574"/>
      <c r="WAC751" s="574"/>
      <c r="WAD751" s="574"/>
      <c r="WAE751" s="574"/>
      <c r="WAF751" s="574"/>
      <c r="WAG751" s="574"/>
      <c r="WAH751" s="574"/>
      <c r="WAI751" s="574"/>
      <c r="WAJ751" s="574"/>
      <c r="WAK751" s="574"/>
      <c r="WAL751" s="574"/>
      <c r="WAM751" s="574"/>
      <c r="WAN751" s="574"/>
      <c r="WAO751" s="574"/>
      <c r="WAP751" s="574"/>
      <c r="WAQ751" s="574"/>
      <c r="WAR751" s="574"/>
      <c r="WAS751" s="574"/>
      <c r="WAT751" s="574"/>
      <c r="WAU751" s="574"/>
      <c r="WAV751" s="574"/>
      <c r="WAW751" s="574"/>
      <c r="WAX751" s="574"/>
      <c r="WAY751" s="574"/>
      <c r="WAZ751" s="574"/>
      <c r="WBA751" s="574"/>
      <c r="WBB751" s="574"/>
      <c r="WBC751" s="574"/>
      <c r="WBD751" s="574"/>
      <c r="WBE751" s="574"/>
      <c r="WBF751" s="574"/>
      <c r="WBG751" s="574"/>
      <c r="WBH751" s="574"/>
      <c r="WBI751" s="574"/>
      <c r="WBJ751" s="574"/>
      <c r="WBK751" s="574"/>
      <c r="WBL751" s="574"/>
      <c r="WBM751" s="574"/>
      <c r="WBN751" s="574"/>
      <c r="WBO751" s="574"/>
      <c r="WBP751" s="574"/>
      <c r="WBQ751" s="574"/>
      <c r="WBR751" s="574"/>
      <c r="WBS751" s="574"/>
      <c r="WBT751" s="574"/>
      <c r="WBU751" s="574"/>
      <c r="WBV751" s="574"/>
      <c r="WBW751" s="574"/>
      <c r="WBX751" s="574"/>
      <c r="WBY751" s="574"/>
      <c r="WBZ751" s="574"/>
      <c r="WCA751" s="574"/>
      <c r="WCB751" s="574"/>
      <c r="WCC751" s="574"/>
      <c r="WCD751" s="574"/>
      <c r="WCE751" s="574"/>
      <c r="WCF751" s="574"/>
      <c r="WCG751" s="574"/>
      <c r="WCH751" s="574"/>
      <c r="WCI751" s="574"/>
      <c r="WCJ751" s="574"/>
      <c r="WCK751" s="574"/>
      <c r="WCL751" s="574"/>
      <c r="WCM751" s="574"/>
      <c r="WCN751" s="574"/>
      <c r="WCO751" s="574"/>
      <c r="WCP751" s="574"/>
      <c r="WCQ751" s="574"/>
      <c r="WCR751" s="574"/>
      <c r="WCS751" s="574"/>
      <c r="WCT751" s="574"/>
      <c r="WCU751" s="574"/>
      <c r="WCV751" s="574"/>
      <c r="WCW751" s="574"/>
      <c r="WCX751" s="574"/>
      <c r="WCY751" s="574"/>
      <c r="WCZ751" s="574"/>
      <c r="WDA751" s="574"/>
      <c r="WDB751" s="574"/>
      <c r="WDC751" s="574"/>
      <c r="WDD751" s="574"/>
      <c r="WDE751" s="574"/>
      <c r="WDF751" s="574"/>
      <c r="WDG751" s="574"/>
      <c r="WDH751" s="574"/>
      <c r="WDI751" s="574"/>
      <c r="WDJ751" s="574"/>
      <c r="WDK751" s="574"/>
      <c r="WDL751" s="574"/>
      <c r="WDM751" s="574"/>
      <c r="WDN751" s="574"/>
      <c r="WDO751" s="574"/>
      <c r="WDP751" s="574"/>
      <c r="WDQ751" s="574"/>
      <c r="WDR751" s="574"/>
      <c r="WDS751" s="574"/>
      <c r="WDT751" s="574"/>
      <c r="WDU751" s="574"/>
      <c r="WDV751" s="574"/>
      <c r="WDW751" s="574"/>
      <c r="WDX751" s="574"/>
      <c r="WDY751" s="574"/>
      <c r="WDZ751" s="574"/>
      <c r="WEA751" s="574"/>
      <c r="WEB751" s="574"/>
      <c r="WEC751" s="574"/>
      <c r="WED751" s="574"/>
      <c r="WEE751" s="574"/>
      <c r="WEF751" s="574"/>
      <c r="WEG751" s="574"/>
      <c r="WEH751" s="574"/>
      <c r="WEI751" s="574"/>
      <c r="WEJ751" s="574"/>
      <c r="WEK751" s="574"/>
      <c r="WEL751" s="574"/>
      <c r="WEM751" s="574"/>
      <c r="WEN751" s="574"/>
      <c r="WEO751" s="574"/>
      <c r="WEP751" s="574"/>
      <c r="WEQ751" s="574"/>
      <c r="WER751" s="574"/>
      <c r="WES751" s="574"/>
      <c r="WET751" s="574"/>
      <c r="WEU751" s="574"/>
      <c r="WEV751" s="574"/>
      <c r="WEW751" s="574"/>
      <c r="WEX751" s="574"/>
      <c r="WEY751" s="574"/>
      <c r="WEZ751" s="574"/>
      <c r="WFA751" s="574"/>
      <c r="WFB751" s="574"/>
      <c r="WFC751" s="574"/>
      <c r="WFD751" s="574"/>
      <c r="WFE751" s="574"/>
      <c r="WFF751" s="574"/>
      <c r="WFG751" s="574"/>
      <c r="WFH751" s="574"/>
      <c r="WFI751" s="574"/>
      <c r="WFJ751" s="574"/>
      <c r="WFK751" s="574"/>
      <c r="WFL751" s="574"/>
      <c r="WFM751" s="574"/>
      <c r="WFN751" s="574"/>
      <c r="WFO751" s="574"/>
      <c r="WFP751" s="574"/>
      <c r="WFQ751" s="574"/>
      <c r="WFR751" s="574"/>
      <c r="WFS751" s="574"/>
      <c r="WFT751" s="574"/>
      <c r="WFU751" s="574"/>
      <c r="WFV751" s="574"/>
      <c r="WFW751" s="574"/>
      <c r="WFX751" s="574"/>
      <c r="WFY751" s="574"/>
      <c r="WFZ751" s="574"/>
      <c r="WGA751" s="574"/>
      <c r="WGB751" s="574"/>
      <c r="WGC751" s="574"/>
      <c r="WGD751" s="574"/>
      <c r="WGE751" s="574"/>
      <c r="WGF751" s="574"/>
      <c r="WGG751" s="574"/>
      <c r="WGH751" s="574"/>
      <c r="WGI751" s="574"/>
      <c r="WGJ751" s="574"/>
      <c r="WGK751" s="574"/>
      <c r="WGL751" s="574"/>
      <c r="WGM751" s="574"/>
      <c r="WGN751" s="574"/>
      <c r="WGO751" s="574"/>
      <c r="WGP751" s="574"/>
      <c r="WGQ751" s="574"/>
      <c r="WGR751" s="574"/>
      <c r="WGS751" s="574"/>
      <c r="WGT751" s="574"/>
      <c r="WGU751" s="574"/>
      <c r="WGV751" s="574"/>
      <c r="WGW751" s="574"/>
      <c r="WGX751" s="574"/>
      <c r="WGY751" s="574"/>
      <c r="WGZ751" s="574"/>
      <c r="WHA751" s="574"/>
      <c r="WHB751" s="574"/>
      <c r="WHC751" s="574"/>
      <c r="WHD751" s="574"/>
      <c r="WHE751" s="574"/>
      <c r="WHF751" s="574"/>
      <c r="WHG751" s="574"/>
      <c r="WHH751" s="574"/>
      <c r="WHI751" s="574"/>
      <c r="WHJ751" s="574"/>
      <c r="WHK751" s="574"/>
      <c r="WHL751" s="574"/>
      <c r="WHM751" s="574"/>
      <c r="WHN751" s="574"/>
      <c r="WHO751" s="574"/>
      <c r="WHP751" s="574"/>
      <c r="WHQ751" s="574"/>
      <c r="WHR751" s="574"/>
      <c r="WHS751" s="574"/>
      <c r="WHT751" s="574"/>
      <c r="WHU751" s="574"/>
      <c r="WHV751" s="574"/>
      <c r="WHW751" s="574"/>
      <c r="WHX751" s="574"/>
      <c r="WHY751" s="574"/>
      <c r="WHZ751" s="574"/>
      <c r="WIA751" s="574"/>
      <c r="WIB751" s="574"/>
      <c r="WIC751" s="574"/>
      <c r="WID751" s="574"/>
      <c r="WIE751" s="574"/>
      <c r="WIF751" s="574"/>
      <c r="WIG751" s="574"/>
      <c r="WIH751" s="574"/>
      <c r="WII751" s="574"/>
      <c r="WIJ751" s="574"/>
      <c r="WIK751" s="574"/>
      <c r="WIL751" s="574"/>
      <c r="WIM751" s="574"/>
      <c r="WIN751" s="574"/>
      <c r="WIO751" s="574"/>
      <c r="WIP751" s="574"/>
      <c r="WIQ751" s="574"/>
      <c r="WIR751" s="574"/>
      <c r="WIS751" s="574"/>
      <c r="WIT751" s="574"/>
      <c r="WIU751" s="574"/>
      <c r="WIV751" s="574"/>
      <c r="WIW751" s="574"/>
      <c r="WIX751" s="574"/>
      <c r="WIY751" s="574"/>
      <c r="WIZ751" s="574"/>
      <c r="WJA751" s="574"/>
      <c r="WJB751" s="574"/>
      <c r="WJC751" s="574"/>
      <c r="WJD751" s="574"/>
      <c r="WJE751" s="574"/>
      <c r="WJF751" s="574"/>
      <c r="WJG751" s="574"/>
      <c r="WJH751" s="574"/>
      <c r="WJI751" s="574"/>
      <c r="WJJ751" s="574"/>
      <c r="WJK751" s="574"/>
      <c r="WJL751" s="574"/>
      <c r="WJM751" s="574"/>
      <c r="WJN751" s="574"/>
      <c r="WJO751" s="574"/>
      <c r="WJP751" s="574"/>
      <c r="WJQ751" s="574"/>
      <c r="WJR751" s="574"/>
      <c r="WJS751" s="574"/>
      <c r="WJT751" s="574"/>
      <c r="WJU751" s="574"/>
      <c r="WJV751" s="574"/>
      <c r="WJW751" s="574"/>
      <c r="WJX751" s="574"/>
      <c r="WJY751" s="574"/>
      <c r="WJZ751" s="574"/>
      <c r="WKA751" s="574"/>
      <c r="WKB751" s="574"/>
      <c r="WKC751" s="574"/>
      <c r="WKD751" s="574"/>
      <c r="WKE751" s="574"/>
      <c r="WKF751" s="574"/>
      <c r="WKG751" s="574"/>
      <c r="WKH751" s="574"/>
      <c r="WKI751" s="574"/>
      <c r="WKJ751" s="574"/>
      <c r="WKK751" s="574"/>
      <c r="WKL751" s="574"/>
      <c r="WKM751" s="574"/>
      <c r="WKN751" s="574"/>
      <c r="WKO751" s="574"/>
      <c r="WKP751" s="574"/>
      <c r="WKQ751" s="574"/>
      <c r="WKR751" s="574"/>
      <c r="WKS751" s="574"/>
      <c r="WKT751" s="574"/>
      <c r="WKU751" s="574"/>
      <c r="WKV751" s="574"/>
      <c r="WKW751" s="574"/>
      <c r="WKX751" s="574"/>
      <c r="WKY751" s="574"/>
      <c r="WKZ751" s="574"/>
      <c r="WLA751" s="574"/>
      <c r="WLB751" s="574"/>
      <c r="WLC751" s="574"/>
      <c r="WLD751" s="574"/>
      <c r="WLE751" s="574"/>
      <c r="WLF751" s="574"/>
      <c r="WLG751" s="574"/>
      <c r="WLH751" s="574"/>
      <c r="WLI751" s="574"/>
      <c r="WLJ751" s="574"/>
      <c r="WLK751" s="574"/>
      <c r="WLL751" s="574"/>
      <c r="WLM751" s="574"/>
      <c r="WLN751" s="574"/>
      <c r="WLO751" s="574"/>
      <c r="WLP751" s="574"/>
      <c r="WLQ751" s="574"/>
      <c r="WLR751" s="574"/>
      <c r="WLS751" s="574"/>
      <c r="WLT751" s="574"/>
      <c r="WLU751" s="574"/>
      <c r="WLV751" s="574"/>
      <c r="WLW751" s="574"/>
      <c r="WLX751" s="574"/>
      <c r="WLY751" s="574"/>
      <c r="WLZ751" s="574"/>
      <c r="WMA751" s="574"/>
      <c r="WMB751" s="574"/>
      <c r="WMC751" s="574"/>
      <c r="WMD751" s="574"/>
      <c r="WME751" s="574"/>
      <c r="WMF751" s="574"/>
      <c r="WMG751" s="574"/>
      <c r="WMH751" s="574"/>
      <c r="WMI751" s="574"/>
      <c r="WMJ751" s="574"/>
      <c r="WMK751" s="574"/>
      <c r="WML751" s="574"/>
      <c r="WMM751" s="574"/>
      <c r="WMN751" s="574"/>
      <c r="WMO751" s="574"/>
      <c r="WMP751" s="574"/>
      <c r="WMQ751" s="574"/>
      <c r="WMR751" s="574"/>
      <c r="WMS751" s="574"/>
      <c r="WMT751" s="574"/>
      <c r="WMU751" s="574"/>
      <c r="WMV751" s="574"/>
      <c r="WMW751" s="574"/>
      <c r="WMX751" s="574"/>
      <c r="WMY751" s="574"/>
      <c r="WMZ751" s="574"/>
      <c r="WNA751" s="574"/>
      <c r="WNB751" s="574"/>
      <c r="WNC751" s="574"/>
      <c r="WND751" s="574"/>
      <c r="WNE751" s="574"/>
      <c r="WNF751" s="574"/>
      <c r="WNG751" s="574"/>
      <c r="WNH751" s="574"/>
      <c r="WNI751" s="574"/>
      <c r="WNJ751" s="574"/>
      <c r="WNK751" s="574"/>
      <c r="WNL751" s="574"/>
      <c r="WNM751" s="574"/>
      <c r="WNN751" s="574"/>
      <c r="WNO751" s="574"/>
      <c r="WNP751" s="574"/>
      <c r="WNQ751" s="574"/>
      <c r="WNR751" s="574"/>
      <c r="WNS751" s="574"/>
      <c r="WNT751" s="574"/>
      <c r="WNU751" s="574"/>
      <c r="WNV751" s="574"/>
      <c r="WNW751" s="574"/>
      <c r="WNX751" s="574"/>
      <c r="WNY751" s="574"/>
      <c r="WNZ751" s="574"/>
      <c r="WOA751" s="574"/>
      <c r="WOB751" s="574"/>
      <c r="WOC751" s="574"/>
      <c r="WOD751" s="574"/>
      <c r="WOE751" s="574"/>
      <c r="WOF751" s="574"/>
      <c r="WOG751" s="574"/>
      <c r="WOH751" s="574"/>
      <c r="WOI751" s="574"/>
      <c r="WOJ751" s="574"/>
      <c r="WOK751" s="574"/>
      <c r="WOL751" s="574"/>
      <c r="WOM751" s="574"/>
      <c r="WON751" s="574"/>
      <c r="WOO751" s="574"/>
      <c r="WOP751" s="574"/>
      <c r="WOQ751" s="574"/>
      <c r="WOR751" s="574"/>
      <c r="WOS751" s="574"/>
      <c r="WOT751" s="574"/>
      <c r="WOU751" s="574"/>
      <c r="WOV751" s="574"/>
      <c r="WOW751" s="574"/>
      <c r="WOX751" s="574"/>
      <c r="WOY751" s="574"/>
      <c r="WOZ751" s="574"/>
      <c r="WPA751" s="574"/>
      <c r="WPB751" s="574"/>
      <c r="WPC751" s="574"/>
      <c r="WPD751" s="574"/>
      <c r="WPE751" s="574"/>
      <c r="WPF751" s="574"/>
      <c r="WPG751" s="574"/>
      <c r="WPH751" s="574"/>
      <c r="WPI751" s="574"/>
      <c r="WPJ751" s="574"/>
      <c r="WPK751" s="574"/>
      <c r="WPL751" s="574"/>
      <c r="WPM751" s="574"/>
      <c r="WPN751" s="574"/>
      <c r="WPO751" s="574"/>
      <c r="WPP751" s="574"/>
      <c r="WPQ751" s="574"/>
      <c r="WPR751" s="574"/>
      <c r="WPS751" s="574"/>
      <c r="WPT751" s="574"/>
      <c r="WPU751" s="574"/>
      <c r="WPV751" s="574"/>
      <c r="WPW751" s="574"/>
      <c r="WPX751" s="574"/>
      <c r="WPY751" s="574"/>
      <c r="WPZ751" s="574"/>
      <c r="WQA751" s="574"/>
      <c r="WQB751" s="574"/>
      <c r="WQC751" s="574"/>
      <c r="WQD751" s="574"/>
      <c r="WQE751" s="574"/>
      <c r="WQF751" s="574"/>
      <c r="WQG751" s="574"/>
      <c r="WQH751" s="574"/>
      <c r="WQI751" s="574"/>
      <c r="WQJ751" s="574"/>
      <c r="WQK751" s="574"/>
      <c r="WQL751" s="574"/>
      <c r="WQM751" s="574"/>
      <c r="WQN751" s="574"/>
      <c r="WQO751" s="574"/>
      <c r="WQP751" s="574"/>
      <c r="WQQ751" s="574"/>
      <c r="WQR751" s="574"/>
      <c r="WQS751" s="574"/>
      <c r="WQT751" s="574"/>
      <c r="WQU751" s="574"/>
      <c r="WQV751" s="574"/>
      <c r="WQW751" s="574"/>
      <c r="WQX751" s="574"/>
      <c r="WQY751" s="574"/>
      <c r="WQZ751" s="574"/>
      <c r="WRA751" s="574"/>
      <c r="WRB751" s="574"/>
      <c r="WRC751" s="574"/>
      <c r="WRD751" s="574"/>
      <c r="WRE751" s="574"/>
      <c r="WRF751" s="574"/>
      <c r="WRG751" s="574"/>
      <c r="WRH751" s="574"/>
      <c r="WRI751" s="574"/>
      <c r="WRJ751" s="574"/>
      <c r="WRK751" s="574"/>
      <c r="WRL751" s="574"/>
      <c r="WRM751" s="574"/>
      <c r="WRN751" s="574"/>
      <c r="WRO751" s="574"/>
      <c r="WRP751" s="574"/>
      <c r="WRQ751" s="574"/>
      <c r="WRR751" s="574"/>
      <c r="WRS751" s="574"/>
      <c r="WRT751" s="574"/>
      <c r="WRU751" s="574"/>
      <c r="WRV751" s="574"/>
      <c r="WRW751" s="574"/>
      <c r="WRX751" s="574"/>
      <c r="WRY751" s="574"/>
      <c r="WRZ751" s="574"/>
      <c r="WSA751" s="574"/>
      <c r="WSB751" s="574"/>
      <c r="WSC751" s="574"/>
      <c r="WSD751" s="574"/>
      <c r="WSE751" s="574"/>
      <c r="WSF751" s="574"/>
      <c r="WSG751" s="574"/>
      <c r="WSH751" s="574"/>
      <c r="WSI751" s="574"/>
      <c r="WSJ751" s="574"/>
      <c r="WSK751" s="574"/>
      <c r="WSL751" s="574"/>
      <c r="WSM751" s="574"/>
      <c r="WSN751" s="574"/>
      <c r="WSO751" s="574"/>
      <c r="WSP751" s="574"/>
      <c r="WSQ751" s="574"/>
      <c r="WSR751" s="574"/>
      <c r="WSS751" s="574"/>
      <c r="WST751" s="574"/>
      <c r="WSU751" s="574"/>
      <c r="WSV751" s="574"/>
      <c r="WSW751" s="574"/>
      <c r="WSX751" s="574"/>
      <c r="WSY751" s="574"/>
      <c r="WSZ751" s="574"/>
      <c r="WTA751" s="574"/>
      <c r="WTB751" s="574"/>
      <c r="WTC751" s="574"/>
      <c r="WTD751" s="574"/>
      <c r="WTE751" s="574"/>
      <c r="WTF751" s="574"/>
      <c r="WTG751" s="574"/>
      <c r="WTH751" s="574"/>
      <c r="WTI751" s="574"/>
      <c r="WTJ751" s="574"/>
      <c r="WTK751" s="574"/>
      <c r="WTL751" s="574"/>
      <c r="WTM751" s="574"/>
      <c r="WTN751" s="574"/>
      <c r="WTO751" s="574"/>
      <c r="WTP751" s="574"/>
      <c r="WTQ751" s="574"/>
      <c r="WTR751" s="574"/>
      <c r="WTS751" s="574"/>
      <c r="WTT751" s="574"/>
      <c r="WTU751" s="574"/>
      <c r="WTV751" s="574"/>
      <c r="WTW751" s="574"/>
      <c r="WTX751" s="574"/>
      <c r="WTY751" s="574"/>
      <c r="WTZ751" s="574"/>
      <c r="WUA751" s="574"/>
      <c r="WUB751" s="574"/>
      <c r="WUC751" s="574"/>
      <c r="WUD751" s="574"/>
      <c r="WUE751" s="574"/>
      <c r="WUF751" s="574"/>
      <c r="WUG751" s="574"/>
      <c r="WUH751" s="574"/>
      <c r="WUI751" s="574"/>
      <c r="WUJ751" s="574"/>
      <c r="WUK751" s="574"/>
      <c r="WUL751" s="574"/>
      <c r="WUM751" s="574"/>
      <c r="WUN751" s="574"/>
      <c r="WUO751" s="574"/>
      <c r="WUP751" s="574"/>
      <c r="WUQ751" s="574"/>
      <c r="WUR751" s="574"/>
      <c r="WUS751" s="574"/>
      <c r="WUT751" s="574"/>
      <c r="WUU751" s="574"/>
      <c r="WUV751" s="574"/>
      <c r="WUW751" s="574"/>
      <c r="WUX751" s="574"/>
      <c r="WUY751" s="574"/>
      <c r="WUZ751" s="574"/>
      <c r="WVA751" s="574"/>
      <c r="WVB751" s="574"/>
      <c r="WVC751" s="574"/>
      <c r="WVD751" s="574"/>
      <c r="WVE751" s="574"/>
      <c r="WVF751" s="574"/>
      <c r="WVG751" s="574"/>
      <c r="WVH751" s="574"/>
      <c r="WVI751" s="574"/>
      <c r="WVJ751" s="574"/>
      <c r="WVK751" s="574"/>
      <c r="WVL751" s="574"/>
      <c r="WVM751" s="574"/>
      <c r="WVN751" s="574"/>
      <c r="WVO751" s="574"/>
      <c r="WVP751" s="574"/>
      <c r="WVQ751" s="574"/>
      <c r="WVR751" s="574"/>
      <c r="WVS751" s="574"/>
      <c r="WVT751" s="574"/>
      <c r="WVU751" s="574"/>
      <c r="WVV751" s="574"/>
      <c r="WVW751" s="574"/>
      <c r="WVX751" s="574"/>
      <c r="WVY751" s="574"/>
      <c r="WVZ751" s="574"/>
      <c r="WWA751" s="574"/>
      <c r="WWB751" s="574"/>
      <c r="WWC751" s="574"/>
      <c r="WWD751" s="574"/>
      <c r="WWE751" s="574"/>
      <c r="WWF751" s="574"/>
      <c r="WWG751" s="574"/>
      <c r="WWH751" s="574"/>
      <c r="WWI751" s="574"/>
      <c r="WWJ751" s="574"/>
      <c r="WWK751" s="574"/>
      <c r="WWL751" s="574"/>
      <c r="WWM751" s="574"/>
      <c r="WWN751" s="574"/>
      <c r="WWO751" s="574"/>
      <c r="WWP751" s="574"/>
      <c r="WWQ751" s="574"/>
      <c r="WWR751" s="574"/>
      <c r="WWS751" s="574"/>
      <c r="WWT751" s="574"/>
      <c r="WWU751" s="574"/>
      <c r="WWV751" s="574"/>
      <c r="WWW751" s="574"/>
      <c r="WWX751" s="574"/>
      <c r="WWY751" s="574"/>
      <c r="WWZ751" s="574"/>
      <c r="WXA751" s="574"/>
      <c r="WXB751" s="574"/>
      <c r="WXC751" s="574"/>
      <c r="WXD751" s="574"/>
      <c r="WXE751" s="574"/>
      <c r="WXF751" s="574"/>
      <c r="WXG751" s="574"/>
      <c r="WXH751" s="574"/>
      <c r="WXI751" s="574"/>
      <c r="WXJ751" s="574"/>
      <c r="WXK751" s="574"/>
      <c r="WXL751" s="574"/>
      <c r="WXM751" s="574"/>
      <c r="WXN751" s="574"/>
      <c r="WXO751" s="574"/>
      <c r="WXP751" s="574"/>
      <c r="WXQ751" s="574"/>
      <c r="WXR751" s="574"/>
      <c r="WXS751" s="574"/>
      <c r="WXT751" s="574"/>
      <c r="WXU751" s="574"/>
      <c r="WXV751" s="574"/>
      <c r="WXW751" s="574"/>
      <c r="WXX751" s="574"/>
      <c r="WXY751" s="574"/>
      <c r="WXZ751" s="574"/>
      <c r="WYA751" s="574"/>
      <c r="WYB751" s="574"/>
      <c r="WYC751" s="574"/>
      <c r="WYD751" s="574"/>
      <c r="WYE751" s="574"/>
      <c r="WYF751" s="574"/>
      <c r="WYG751" s="574"/>
      <c r="WYH751" s="574"/>
      <c r="WYI751" s="574"/>
      <c r="WYJ751" s="574"/>
      <c r="WYK751" s="574"/>
      <c r="WYL751" s="574"/>
      <c r="WYM751" s="574"/>
      <c r="WYN751" s="574"/>
      <c r="WYO751" s="574"/>
      <c r="WYP751" s="574"/>
      <c r="WYQ751" s="574"/>
      <c r="WYR751" s="574"/>
      <c r="WYS751" s="574"/>
      <c r="WYT751" s="574"/>
      <c r="WYU751" s="574"/>
      <c r="WYV751" s="574"/>
      <c r="WYW751" s="574"/>
      <c r="WYX751" s="574"/>
      <c r="WYY751" s="574"/>
      <c r="WYZ751" s="574"/>
      <c r="WZA751" s="574"/>
      <c r="WZB751" s="574"/>
      <c r="WZC751" s="574"/>
      <c r="WZD751" s="574"/>
      <c r="WZE751" s="574"/>
      <c r="WZF751" s="574"/>
      <c r="WZG751" s="574"/>
      <c r="WZH751" s="574"/>
      <c r="WZI751" s="574"/>
      <c r="WZJ751" s="574"/>
      <c r="WZK751" s="574"/>
      <c r="WZL751" s="574"/>
      <c r="WZM751" s="574"/>
      <c r="WZN751" s="574"/>
      <c r="WZO751" s="574"/>
      <c r="WZP751" s="574"/>
      <c r="WZQ751" s="574"/>
      <c r="WZR751" s="574"/>
      <c r="WZS751" s="574"/>
      <c r="WZT751" s="574"/>
      <c r="WZU751" s="574"/>
      <c r="WZV751" s="574"/>
      <c r="WZW751" s="574"/>
      <c r="WZX751" s="574"/>
      <c r="WZY751" s="574"/>
      <c r="WZZ751" s="574"/>
      <c r="XAA751" s="574"/>
      <c r="XAB751" s="574"/>
      <c r="XAC751" s="574"/>
      <c r="XAD751" s="574"/>
      <c r="XAE751" s="574"/>
      <c r="XAF751" s="574"/>
      <c r="XAG751" s="574"/>
      <c r="XAH751" s="574"/>
      <c r="XAI751" s="574"/>
      <c r="XAJ751" s="574"/>
      <c r="XAK751" s="574"/>
      <c r="XAL751" s="574"/>
      <c r="XAM751" s="574"/>
      <c r="XAN751" s="574"/>
      <c r="XAO751" s="574"/>
      <c r="XAP751" s="574"/>
      <c r="XAQ751" s="574"/>
      <c r="XAR751" s="574"/>
      <c r="XAS751" s="574"/>
      <c r="XAT751" s="574"/>
      <c r="XAU751" s="574"/>
      <c r="XAV751" s="574"/>
      <c r="XAW751" s="574"/>
      <c r="XAX751" s="574"/>
      <c r="XAY751" s="574"/>
      <c r="XAZ751" s="574"/>
      <c r="XBA751" s="574"/>
      <c r="XBB751" s="574"/>
      <c r="XBC751" s="574"/>
      <c r="XBD751" s="574"/>
      <c r="XBE751" s="574"/>
      <c r="XBF751" s="574"/>
      <c r="XBG751" s="574"/>
      <c r="XBH751" s="574"/>
      <c r="XBI751" s="574"/>
      <c r="XBJ751" s="574"/>
      <c r="XBK751" s="574"/>
      <c r="XBL751" s="574"/>
      <c r="XBM751" s="574"/>
      <c r="XBN751" s="574"/>
      <c r="XBO751" s="574"/>
      <c r="XBP751" s="574"/>
      <c r="XBQ751" s="574"/>
      <c r="XBR751" s="574"/>
      <c r="XBS751" s="574"/>
      <c r="XBT751" s="574"/>
      <c r="XBU751" s="574"/>
      <c r="XBV751" s="574"/>
      <c r="XBW751" s="574"/>
      <c r="XBX751" s="574"/>
      <c r="XBY751" s="574"/>
      <c r="XBZ751" s="574"/>
      <c r="XCA751" s="574"/>
      <c r="XCB751" s="574"/>
      <c r="XCC751" s="574"/>
      <c r="XCD751" s="574"/>
      <c r="XCE751" s="574"/>
      <c r="XCF751" s="574"/>
      <c r="XCG751" s="574"/>
      <c r="XCH751" s="574"/>
      <c r="XCI751" s="574"/>
      <c r="XCJ751" s="574"/>
      <c r="XCK751" s="574"/>
      <c r="XCL751" s="574"/>
      <c r="XCM751" s="574"/>
      <c r="XCN751" s="574"/>
      <c r="XCO751" s="574"/>
      <c r="XCP751" s="574"/>
      <c r="XCQ751" s="574"/>
      <c r="XCR751" s="574"/>
      <c r="XCS751" s="574"/>
      <c r="XCT751" s="574"/>
      <c r="XCU751" s="574"/>
      <c r="XCV751" s="574"/>
      <c r="XCW751" s="574"/>
      <c r="XCX751" s="574"/>
      <c r="XCY751" s="574"/>
      <c r="XCZ751" s="574"/>
      <c r="XDA751" s="574"/>
      <c r="XDB751" s="574"/>
      <c r="XDC751" s="574"/>
      <c r="XDD751" s="574"/>
      <c r="XDE751" s="574"/>
      <c r="XDF751" s="574"/>
      <c r="XDG751" s="574"/>
      <c r="XDH751" s="574"/>
      <c r="XDI751" s="574"/>
      <c r="XDJ751" s="574"/>
      <c r="XDK751" s="574"/>
      <c r="XDL751" s="574"/>
      <c r="XDM751" s="574"/>
      <c r="XDN751" s="574"/>
      <c r="XDO751" s="574"/>
      <c r="XDP751" s="574"/>
      <c r="XDQ751" s="574"/>
      <c r="XDR751" s="574"/>
      <c r="XDS751" s="574"/>
      <c r="XDT751" s="574"/>
      <c r="XDU751" s="574"/>
      <c r="XDV751" s="574"/>
      <c r="XDW751" s="574"/>
      <c r="XDX751" s="574"/>
      <c r="XDY751" s="574"/>
      <c r="XDZ751" s="574"/>
      <c r="XEA751" s="574"/>
      <c r="XEB751" s="574"/>
      <c r="XEC751" s="574"/>
      <c r="XED751" s="574"/>
      <c r="XEE751" s="574"/>
      <c r="XEF751" s="574"/>
      <c r="XEG751" s="574"/>
      <c r="XEH751" s="574"/>
      <c r="XEI751" s="574"/>
      <c r="XEJ751" s="574"/>
      <c r="XEK751" s="574"/>
      <c r="XEL751" s="574"/>
      <c r="XEM751" s="574"/>
      <c r="XEN751" s="574"/>
      <c r="XEO751" s="574"/>
      <c r="XEP751" s="574"/>
      <c r="XEQ751" s="574"/>
      <c r="XER751" s="574"/>
      <c r="XES751" s="574"/>
      <c r="XET751" s="574"/>
      <c r="XEU751" s="574"/>
      <c r="XEV751" s="574"/>
      <c r="XEW751" s="574"/>
      <c r="XEX751" s="574"/>
      <c r="XEY751" s="574"/>
      <c r="XEZ751" s="574"/>
      <c r="XFA751" s="574"/>
      <c r="XFB751" s="574"/>
    </row>
    <row r="752" spans="1:16382" ht="34.5" customHeight="1">
      <c r="A752" s="548">
        <v>855</v>
      </c>
      <c r="B752" s="549">
        <v>622</v>
      </c>
      <c r="C752" s="550" t="s">
        <v>1914</v>
      </c>
      <c r="D752" s="227" t="s">
        <v>515</v>
      </c>
      <c r="E752" s="440" t="s">
        <v>94</v>
      </c>
      <c r="F752" s="227" t="s">
        <v>255</v>
      </c>
      <c r="G752" s="551" t="s">
        <v>3035</v>
      </c>
      <c r="H752" s="552">
        <v>800018939</v>
      </c>
      <c r="I752" s="553" t="s">
        <v>42</v>
      </c>
      <c r="J752" s="554">
        <v>638607603</v>
      </c>
      <c r="K752" s="555" t="s">
        <v>3036</v>
      </c>
      <c r="L752" s="556" t="s">
        <v>2989</v>
      </c>
      <c r="M752" s="224" t="s">
        <v>823</v>
      </c>
      <c r="N752" s="557" t="e" cm="1">
        <f t="array" aca="1" ref="N752" ca="1">_xlfn.XLOOKUP(Contrato5[[#This Row],[SUPERVISOR TITULAR]],[2]!PERSONAL_ACTIVO_2024[[#All],[Nombre completo]],[2]!PERSONAL_ACTIVO_2024[[#All],[Documento identidad]],"",0)</f>
        <v>#NAME?</v>
      </c>
      <c r="O752" s="224" t="s">
        <v>894</v>
      </c>
      <c r="P752" s="558" t="e" cm="1">
        <f t="array" aca="1" ref="P752" ca="1">_xlfn.XLOOKUP(Contrato5[[#This Row],[SUPERVISOR SUPLENTE ]],[2]!PERSONAL_ACTIVO_2024[[#All],[Nombre completo]],[2]!PERSONAL_ACTIVO_2024[[#All],[Documento identidad]],"",0)</f>
        <v>#NAME?</v>
      </c>
      <c r="Q752" s="559">
        <v>669</v>
      </c>
      <c r="R752" s="560" t="e" cm="1">
        <f t="array" aca="1" ref="R752" ca="1">_xlfn.XLOOKUP(Contrato5[[#This Row],[CDP]],[2]!DISPONIBILIDADES_2024[[#All],[consecutivo]],[2]!DISPONIBILIDADES_2024[[#All],[fecha_aprobacion]],"",0)</f>
        <v>#NAME?</v>
      </c>
      <c r="S752" s="561" t="e">
        <f>SUMIF([2]!DISPONIBILIDADES_2024[[#All],[consecutivo]],Contrato5[[#This Row],[CDP]],[2]!DISPONIBILIDADES_2024[[#All],[valor_total_rubro]])</f>
        <v>#REF!</v>
      </c>
      <c r="T752" s="562" t="e" cm="1">
        <f t="array" aca="1" ref="T752" ca="1">_xlfn.XLOOKUP(Contrato5[[#This Row],[CONTRATO]]&amp;Contrato5[[#This Row],[CDP]],[2]!Corr_Contr_CDP[[#All],[CONTRATO-CDP]],[2]!Corr_Contr_CDP[[#All],[CRP]],_xlfn.XLOOKUP(Contrato5[[#This Row],[CDP]],[2]!COMPROMISOS_2024[[#All],[disponibilidad]],[2]!COMPROMISOS_2024[[#All],[consecutivo]],"",0),0)</f>
        <v>#NAME?</v>
      </c>
      <c r="U752" s="563" t="e" cm="1">
        <f t="array" aca="1" ref="U752" ca="1">+_xlfn.XLOOKUP(Contrato5[[#This Row],[RCP]],[2]!COMPROMISOS_2024[[#All],[consecutivo]],[2]!COMPROMISOS_2024[[#All],[fecha_aprobacion]],"",0)</f>
        <v>#NAME?</v>
      </c>
      <c r="V752" s="564" t="e">
        <f ca="1">SUMIF([2]!COMPROMISOS_2024[[#All],[consecutivo]],Contrato5[[#This Row],[RCP]],[2]!COMPROMISOS_2024[[#All],[valor_total]])</f>
        <v>#REF!</v>
      </c>
      <c r="W752" s="160">
        <v>45539</v>
      </c>
      <c r="X752" s="160">
        <v>45541</v>
      </c>
      <c r="Y752" s="143">
        <v>45541</v>
      </c>
      <c r="Z752" s="262">
        <v>45595</v>
      </c>
      <c r="AA752" s="183" t="s">
        <v>3037</v>
      </c>
      <c r="AB752" s="172" t="s">
        <v>500</v>
      </c>
      <c r="AC752" s="172"/>
      <c r="AD752" s="565">
        <v>202000005341</v>
      </c>
      <c r="AE752" s="548" t="s">
        <v>523</v>
      </c>
      <c r="AF752" s="566" t="str">
        <f>TEXT(LEFT(Contrato5[[#This Row],[CONTRATO]],3),"0")</f>
        <v>622</v>
      </c>
      <c r="AG752" s="566" t="str">
        <f>IF(LEN(Contrato5[[#This Row],[Contrato2]])=3,Contrato5[[#This Row],[Contrato2]],TEXT(Contrato5[[#This Row],[Contrato2]],"000"))</f>
        <v>622</v>
      </c>
      <c r="AH752" s="567">
        <f ca="1">IFERROR(_xlfn.DAYS(Contrato5[[#This Row],[Fecha Proyectada liquidación]],TODAY())/30,"")</f>
        <v>-1.4333333333333333</v>
      </c>
      <c r="AI752" s="568">
        <f>+Contrato5[[#This Row],[FECHA TERMINACIÓN ]]+120</f>
        <v>45715</v>
      </c>
      <c r="AJ752" s="548"/>
      <c r="AK752" s="569" t="str">
        <f ca="1">IF(Contrato5[[#This Row],[FECHA TERMINACIÓN ]]&lt;TODAY(), "Terminado",IF(ISNUMBER(Contrato5[[#This Row],[Fecha Real de liquiidación ]]),"Liquidado",IF(Contrato5[[#This Row],[FECHA TERMINACIÓN ]]&gt;=TODAY(),"En ejecución","")))</f>
        <v>Terminado</v>
      </c>
      <c r="AL752" s="570" t="e">
        <f ca="1">SUMIF([2]!COMPROMISOS_2024[[#All],[consecutivo]],Contrato5[[#This Row],[RCP]],[2]!COMPROMISOS_2024[[#All],[Total pagado]])</f>
        <v>#REF!</v>
      </c>
      <c r="AM752" s="571">
        <f ca="1">IFERROR(Contrato5[[#This Row],[Pagos]]/Contrato5[[#This Row],[VALOR CONTRATO]],0)</f>
        <v>0</v>
      </c>
      <c r="AN752" s="572" t="e">
        <f ca="1">+Contrato5[[#This Row],[VALOR CONTRATO]]-Contrato5[[#This Row],[Pagos]]</f>
        <v>#REF!</v>
      </c>
      <c r="AO752" s="548" t="e" cm="1">
        <f t="array" aca="1" ref="AO752" ca="1">_xlfn.XLOOKUP(Contrato5[[#This Row],[DOCUMENTO ]],[2]!PERSONAL_ACTIVO_2024[[#All],[Documento identidad]],[2]!PERSONAL_ACTIVO_2024[[#All],[Mail ]],0,0)</f>
        <v>#NAME?</v>
      </c>
      <c r="AP752" s="548" t="e" cm="1">
        <f t="array" aca="1" ref="AP752" ca="1">_xlfn.XLOOKUP(Contrato5[[#This Row],[DOCUMENTO]],[2]!PERSONAL_ACTIVO_2024[[#All],[Documento identidad]],[2]!PERSONAL_ACTIVO_2024[[#All],[Mail ]],0,0)</f>
        <v>#NAME?</v>
      </c>
      <c r="AQ752" s="573" cm="1">
        <f t="array" aca="1" ref="AQ752" ca="1">IF(ISBLANK(Contrato5[[#This Row],[DEPENDENCIA ]]),0,IFERROR(_xlfn.XLOOKUP(Contrato5[[#This Row],[DEPENDENCIA ]],[2]!PERSONAL_ACTIVO_2024[[#All],[Dependencia]],[2]!PERSONAL_ACTIVO_2024[[#All],[Mail ]],0,0),0))</f>
        <v>0</v>
      </c>
      <c r="AR752" s="574"/>
      <c r="AS752" s="574"/>
      <c r="AT752" s="574"/>
      <c r="AU752" s="574"/>
      <c r="AV752" s="574"/>
      <c r="AW752" s="574"/>
      <c r="AX752" s="574"/>
      <c r="AY752" s="574"/>
      <c r="AZ752" s="574"/>
      <c r="BA752" s="574"/>
      <c r="BB752" s="574"/>
      <c r="BC752" s="574"/>
      <c r="BD752" s="574"/>
      <c r="BE752" s="574"/>
      <c r="BF752" s="574"/>
      <c r="BG752" s="574"/>
      <c r="BH752" s="574"/>
      <c r="BI752" s="574"/>
      <c r="BJ752" s="574"/>
      <c r="BK752" s="574"/>
      <c r="BL752" s="574"/>
      <c r="BM752" s="574"/>
      <c r="BN752" s="574"/>
      <c r="BO752" s="574"/>
      <c r="BP752" s="574"/>
      <c r="BQ752" s="574"/>
      <c r="BR752" s="574"/>
      <c r="BS752" s="574"/>
      <c r="BT752" s="574"/>
      <c r="BU752" s="574"/>
      <c r="BV752" s="574"/>
      <c r="BW752" s="574"/>
      <c r="BX752" s="574"/>
      <c r="BY752" s="574"/>
      <c r="BZ752" s="574"/>
      <c r="CA752" s="574"/>
      <c r="CB752" s="574"/>
      <c r="CC752" s="574"/>
      <c r="CD752" s="574"/>
      <c r="CE752" s="574"/>
      <c r="CF752" s="574"/>
      <c r="CG752" s="574"/>
      <c r="CH752" s="574"/>
      <c r="CI752" s="574"/>
      <c r="CJ752" s="574"/>
      <c r="CK752" s="574"/>
      <c r="CL752" s="574"/>
      <c r="CM752" s="574"/>
      <c r="CN752" s="574"/>
      <c r="CO752" s="574"/>
      <c r="CP752" s="574"/>
      <c r="CQ752" s="574"/>
      <c r="CR752" s="574"/>
      <c r="CS752" s="574"/>
      <c r="CT752" s="574"/>
      <c r="CU752" s="574"/>
      <c r="CV752" s="574"/>
      <c r="CW752" s="574"/>
      <c r="CX752" s="574"/>
      <c r="CY752" s="574"/>
      <c r="CZ752" s="574"/>
      <c r="DA752" s="574"/>
      <c r="DB752" s="574"/>
      <c r="DC752" s="574"/>
      <c r="DD752" s="574"/>
      <c r="DE752" s="574"/>
      <c r="DF752" s="574"/>
      <c r="DG752" s="574"/>
      <c r="DH752" s="574"/>
      <c r="DI752" s="574"/>
      <c r="DJ752" s="574"/>
      <c r="DK752" s="574"/>
      <c r="DL752" s="574"/>
      <c r="DM752" s="574"/>
      <c r="DN752" s="574"/>
      <c r="DO752" s="574"/>
      <c r="DP752" s="574"/>
      <c r="DQ752" s="574"/>
      <c r="DR752" s="574"/>
      <c r="DS752" s="574"/>
      <c r="DT752" s="574"/>
      <c r="DU752" s="574"/>
      <c r="DV752" s="574"/>
      <c r="DW752" s="574"/>
      <c r="DX752" s="574"/>
      <c r="DY752" s="574"/>
      <c r="DZ752" s="574"/>
      <c r="EA752" s="574"/>
      <c r="EB752" s="574"/>
      <c r="EC752" s="574"/>
      <c r="ED752" s="574"/>
      <c r="EE752" s="574"/>
      <c r="EF752" s="574"/>
      <c r="EG752" s="574"/>
      <c r="EH752" s="574"/>
      <c r="EI752" s="574"/>
      <c r="EJ752" s="574"/>
      <c r="EK752" s="574"/>
      <c r="EL752" s="574"/>
      <c r="EM752" s="574"/>
      <c r="EN752" s="574"/>
      <c r="EO752" s="574"/>
      <c r="EP752" s="574"/>
      <c r="EQ752" s="574"/>
      <c r="ER752" s="574"/>
      <c r="ES752" s="574"/>
      <c r="ET752" s="574"/>
      <c r="EU752" s="574"/>
      <c r="EV752" s="574"/>
      <c r="EW752" s="574"/>
      <c r="EX752" s="574"/>
      <c r="EY752" s="574"/>
      <c r="EZ752" s="574"/>
      <c r="FA752" s="574"/>
      <c r="FB752" s="574"/>
      <c r="FC752" s="574"/>
      <c r="FD752" s="574"/>
      <c r="FE752" s="574"/>
      <c r="FF752" s="574"/>
      <c r="FG752" s="574"/>
      <c r="FH752" s="574"/>
      <c r="FI752" s="574"/>
      <c r="FJ752" s="574"/>
      <c r="FK752" s="574"/>
      <c r="FL752" s="574"/>
      <c r="FM752" s="574"/>
      <c r="FN752" s="574"/>
      <c r="FO752" s="574"/>
      <c r="FP752" s="574"/>
      <c r="FQ752" s="574"/>
      <c r="FR752" s="574"/>
      <c r="FS752" s="574"/>
      <c r="FT752" s="574"/>
      <c r="FU752" s="574"/>
      <c r="FV752" s="574"/>
      <c r="FW752" s="574"/>
      <c r="FX752" s="574"/>
      <c r="FY752" s="574"/>
      <c r="FZ752" s="574"/>
      <c r="GA752" s="574"/>
      <c r="GB752" s="574"/>
      <c r="GC752" s="574"/>
      <c r="GD752" s="574"/>
      <c r="GE752" s="574"/>
      <c r="GF752" s="574"/>
      <c r="GG752" s="574"/>
      <c r="GH752" s="574"/>
      <c r="GI752" s="574"/>
      <c r="GJ752" s="574"/>
      <c r="GK752" s="574"/>
      <c r="GL752" s="574"/>
      <c r="GM752" s="574"/>
      <c r="GN752" s="574"/>
      <c r="GO752" s="574"/>
      <c r="GP752" s="574"/>
      <c r="GQ752" s="574"/>
      <c r="GR752" s="574"/>
      <c r="GS752" s="574"/>
      <c r="GT752" s="574"/>
      <c r="GU752" s="574"/>
      <c r="GV752" s="574"/>
      <c r="GW752" s="574"/>
      <c r="GX752" s="574"/>
      <c r="GY752" s="574"/>
      <c r="GZ752" s="574"/>
      <c r="HA752" s="574"/>
      <c r="HB752" s="574"/>
      <c r="HC752" s="574"/>
      <c r="HD752" s="574"/>
      <c r="HE752" s="574"/>
      <c r="HF752" s="574"/>
      <c r="HG752" s="574"/>
      <c r="HH752" s="574"/>
      <c r="HI752" s="574"/>
      <c r="HJ752" s="574"/>
      <c r="HK752" s="574"/>
      <c r="HL752" s="574"/>
      <c r="HM752" s="574"/>
      <c r="HN752" s="574"/>
      <c r="HO752" s="574"/>
      <c r="HP752" s="574"/>
      <c r="HQ752" s="574"/>
      <c r="HR752" s="574"/>
      <c r="HS752" s="574"/>
      <c r="HT752" s="574"/>
      <c r="HU752" s="574"/>
      <c r="HV752" s="574"/>
      <c r="HW752" s="574"/>
      <c r="HX752" s="574"/>
      <c r="HY752" s="574"/>
      <c r="HZ752" s="574"/>
      <c r="IA752" s="574"/>
      <c r="IB752" s="574"/>
      <c r="IC752" s="574"/>
      <c r="ID752" s="574"/>
      <c r="IE752" s="574"/>
      <c r="IF752" s="574"/>
      <c r="IG752" s="574"/>
      <c r="IH752" s="574"/>
      <c r="II752" s="574"/>
      <c r="IJ752" s="574"/>
      <c r="IK752" s="574"/>
      <c r="IL752" s="574"/>
      <c r="IM752" s="574"/>
      <c r="IN752" s="574"/>
      <c r="IO752" s="574"/>
      <c r="IP752" s="574"/>
      <c r="IQ752" s="574"/>
      <c r="IR752" s="574"/>
      <c r="IS752" s="574"/>
      <c r="IT752" s="574"/>
      <c r="IU752" s="574"/>
      <c r="IV752" s="574"/>
      <c r="IW752" s="574"/>
      <c r="IX752" s="574"/>
      <c r="IY752" s="574"/>
      <c r="IZ752" s="574"/>
      <c r="JA752" s="574"/>
      <c r="JB752" s="574"/>
      <c r="JC752" s="574"/>
      <c r="JD752" s="574"/>
      <c r="JE752" s="574"/>
      <c r="JF752" s="574"/>
      <c r="JG752" s="574"/>
      <c r="JH752" s="574"/>
      <c r="JI752" s="574"/>
      <c r="JJ752" s="574"/>
      <c r="JK752" s="574"/>
      <c r="JL752" s="574"/>
      <c r="JM752" s="574"/>
      <c r="JN752" s="574"/>
      <c r="JO752" s="574"/>
      <c r="JP752" s="574"/>
      <c r="JQ752" s="574"/>
      <c r="JR752" s="574"/>
      <c r="JS752" s="574"/>
      <c r="JT752" s="574"/>
      <c r="JU752" s="574"/>
      <c r="JV752" s="574"/>
      <c r="JW752" s="574"/>
      <c r="JX752" s="574"/>
      <c r="JY752" s="574"/>
      <c r="JZ752" s="574"/>
      <c r="KA752" s="574"/>
      <c r="KB752" s="574"/>
      <c r="KC752" s="574"/>
      <c r="KD752" s="574"/>
      <c r="KE752" s="574"/>
      <c r="KF752" s="574"/>
      <c r="KG752" s="574"/>
      <c r="KH752" s="574"/>
      <c r="KI752" s="574"/>
      <c r="KJ752" s="574"/>
      <c r="KK752" s="574"/>
      <c r="KL752" s="574"/>
      <c r="KM752" s="574"/>
      <c r="KN752" s="574"/>
      <c r="KO752" s="574"/>
      <c r="KP752" s="574"/>
      <c r="KQ752" s="574"/>
      <c r="KR752" s="574"/>
      <c r="KS752" s="574"/>
      <c r="KT752" s="574"/>
      <c r="KU752" s="574"/>
      <c r="KV752" s="574"/>
      <c r="KW752" s="574"/>
      <c r="KX752" s="574"/>
      <c r="KY752" s="574"/>
      <c r="KZ752" s="574"/>
      <c r="LA752" s="574"/>
      <c r="LB752" s="574"/>
      <c r="LC752" s="574"/>
      <c r="LD752" s="574"/>
      <c r="LE752" s="574"/>
      <c r="LF752" s="574"/>
      <c r="LG752" s="574"/>
      <c r="LH752" s="574"/>
      <c r="LI752" s="574"/>
      <c r="LJ752" s="574"/>
      <c r="LK752" s="574"/>
      <c r="LL752" s="574"/>
      <c r="LM752" s="574"/>
      <c r="LN752" s="574"/>
      <c r="LO752" s="574"/>
      <c r="LP752" s="574"/>
      <c r="LQ752" s="574"/>
      <c r="LR752" s="574"/>
      <c r="LS752" s="574"/>
      <c r="LT752" s="574"/>
      <c r="LU752" s="574"/>
      <c r="LV752" s="574"/>
      <c r="LW752" s="574"/>
      <c r="LX752" s="574"/>
      <c r="LY752" s="574"/>
      <c r="LZ752" s="574"/>
      <c r="MA752" s="574"/>
      <c r="MB752" s="574"/>
      <c r="MC752" s="574"/>
      <c r="MD752" s="574"/>
      <c r="ME752" s="574"/>
      <c r="MF752" s="574"/>
      <c r="MG752" s="574"/>
      <c r="MH752" s="574"/>
      <c r="MI752" s="574"/>
      <c r="MJ752" s="574"/>
      <c r="MK752" s="574"/>
      <c r="ML752" s="574"/>
      <c r="MM752" s="574"/>
      <c r="MN752" s="574"/>
      <c r="MO752" s="574"/>
      <c r="MP752" s="574"/>
      <c r="MQ752" s="574"/>
      <c r="MR752" s="574"/>
      <c r="MS752" s="574"/>
      <c r="MT752" s="574"/>
      <c r="MU752" s="574"/>
      <c r="MV752" s="574"/>
      <c r="MW752" s="574"/>
      <c r="MX752" s="574"/>
      <c r="MY752" s="574"/>
      <c r="MZ752" s="574"/>
      <c r="NA752" s="574"/>
      <c r="NB752" s="574"/>
      <c r="NC752" s="574"/>
      <c r="ND752" s="574"/>
      <c r="NE752" s="574"/>
      <c r="NF752" s="574"/>
      <c r="NG752" s="574"/>
      <c r="NH752" s="574"/>
      <c r="NI752" s="574"/>
      <c r="NJ752" s="574"/>
      <c r="NK752" s="574"/>
      <c r="NL752" s="574"/>
      <c r="NM752" s="574"/>
      <c r="NN752" s="574"/>
      <c r="NO752" s="574"/>
      <c r="NP752" s="574"/>
      <c r="NQ752" s="574"/>
      <c r="NR752" s="574"/>
      <c r="NS752" s="574"/>
      <c r="NT752" s="574"/>
      <c r="NU752" s="574"/>
      <c r="NV752" s="574"/>
      <c r="NW752" s="574"/>
      <c r="NX752" s="574"/>
      <c r="NY752" s="574"/>
      <c r="NZ752" s="574"/>
      <c r="OA752" s="574"/>
      <c r="OB752" s="574"/>
      <c r="OC752" s="574"/>
      <c r="OD752" s="574"/>
      <c r="OE752" s="574"/>
      <c r="OF752" s="574"/>
      <c r="OG752" s="574"/>
      <c r="OH752" s="574"/>
      <c r="OI752" s="574"/>
      <c r="OJ752" s="574"/>
      <c r="OK752" s="574"/>
      <c r="OL752" s="574"/>
      <c r="OM752" s="574"/>
      <c r="ON752" s="574"/>
      <c r="OO752" s="574"/>
      <c r="OP752" s="574"/>
      <c r="OQ752" s="574"/>
      <c r="OR752" s="574"/>
      <c r="OS752" s="574"/>
      <c r="OT752" s="574"/>
      <c r="OU752" s="574"/>
      <c r="OV752" s="574"/>
      <c r="OW752" s="574"/>
      <c r="OX752" s="574"/>
      <c r="OY752" s="574"/>
      <c r="OZ752" s="574"/>
      <c r="PA752" s="574"/>
      <c r="PB752" s="574"/>
      <c r="PC752" s="574"/>
      <c r="PD752" s="574"/>
      <c r="PE752" s="574"/>
      <c r="PF752" s="574"/>
      <c r="PG752" s="574"/>
      <c r="PH752" s="574"/>
      <c r="PI752" s="574"/>
      <c r="PJ752" s="574"/>
      <c r="PK752" s="574"/>
      <c r="PL752" s="574"/>
      <c r="PM752" s="574"/>
      <c r="PN752" s="574"/>
      <c r="PO752" s="574"/>
      <c r="PP752" s="574"/>
      <c r="PQ752" s="574"/>
      <c r="PR752" s="574"/>
      <c r="PS752" s="574"/>
      <c r="PT752" s="574"/>
      <c r="PU752" s="574"/>
      <c r="PV752" s="574"/>
      <c r="PW752" s="574"/>
      <c r="PX752" s="574"/>
      <c r="PY752" s="574"/>
      <c r="PZ752" s="574"/>
      <c r="QA752" s="574"/>
      <c r="QB752" s="574"/>
      <c r="QC752" s="574"/>
      <c r="QD752" s="574"/>
      <c r="QE752" s="574"/>
      <c r="QF752" s="574"/>
      <c r="QG752" s="574"/>
      <c r="QH752" s="574"/>
      <c r="QI752" s="574"/>
      <c r="QJ752" s="574"/>
      <c r="QK752" s="574"/>
      <c r="QL752" s="574"/>
      <c r="QM752" s="574"/>
      <c r="QN752" s="574"/>
      <c r="QO752" s="574"/>
      <c r="QP752" s="574"/>
      <c r="QQ752" s="574"/>
      <c r="QR752" s="574"/>
      <c r="QS752" s="574"/>
      <c r="QT752" s="574"/>
      <c r="QU752" s="574"/>
      <c r="QV752" s="574"/>
      <c r="QW752" s="574"/>
      <c r="QX752" s="574"/>
      <c r="QY752" s="574"/>
      <c r="QZ752" s="574"/>
      <c r="RA752" s="574"/>
      <c r="RB752" s="574"/>
      <c r="RC752" s="574"/>
      <c r="RD752" s="574"/>
      <c r="RE752" s="574"/>
      <c r="RF752" s="574"/>
      <c r="RG752" s="574"/>
      <c r="RH752" s="574"/>
      <c r="RI752" s="574"/>
      <c r="RJ752" s="574"/>
      <c r="RK752" s="574"/>
      <c r="RL752" s="574"/>
      <c r="RM752" s="574"/>
      <c r="RN752" s="574"/>
      <c r="RO752" s="574"/>
      <c r="RP752" s="574"/>
      <c r="RQ752" s="574"/>
      <c r="RR752" s="574"/>
      <c r="RS752" s="574"/>
      <c r="RT752" s="574"/>
      <c r="RU752" s="574"/>
      <c r="RV752" s="574"/>
      <c r="RW752" s="574"/>
      <c r="RX752" s="574"/>
      <c r="RY752" s="574"/>
      <c r="RZ752" s="574"/>
      <c r="SA752" s="574"/>
      <c r="SB752" s="574"/>
      <c r="SC752" s="574"/>
      <c r="SD752" s="574"/>
      <c r="SE752" s="574"/>
      <c r="SF752" s="574"/>
      <c r="SG752" s="574"/>
      <c r="SH752" s="574"/>
      <c r="SI752" s="574"/>
      <c r="SJ752" s="574"/>
      <c r="SK752" s="574"/>
      <c r="SL752" s="574"/>
      <c r="SM752" s="574"/>
      <c r="SN752" s="574"/>
      <c r="SO752" s="574"/>
      <c r="SP752" s="574"/>
      <c r="SQ752" s="574"/>
      <c r="SR752" s="574"/>
      <c r="SS752" s="574"/>
      <c r="ST752" s="574"/>
      <c r="SU752" s="574"/>
      <c r="SV752" s="574"/>
      <c r="SW752" s="574"/>
      <c r="SX752" s="574"/>
      <c r="SY752" s="574"/>
      <c r="SZ752" s="574"/>
      <c r="TA752" s="574"/>
      <c r="TB752" s="574"/>
      <c r="TC752" s="574"/>
      <c r="TD752" s="574"/>
      <c r="TE752" s="574"/>
      <c r="TF752" s="574"/>
      <c r="TG752" s="574"/>
      <c r="TH752" s="574"/>
      <c r="TI752" s="574"/>
      <c r="TJ752" s="574"/>
      <c r="TK752" s="574"/>
      <c r="TL752" s="574"/>
      <c r="TM752" s="574"/>
      <c r="TN752" s="574"/>
      <c r="TO752" s="574"/>
      <c r="TP752" s="574"/>
      <c r="TQ752" s="574"/>
      <c r="TR752" s="574"/>
      <c r="TS752" s="574"/>
      <c r="TT752" s="574"/>
      <c r="TU752" s="574"/>
      <c r="TV752" s="574"/>
      <c r="TW752" s="574"/>
      <c r="TX752" s="574"/>
      <c r="TY752" s="574"/>
      <c r="TZ752" s="574"/>
      <c r="UA752" s="574"/>
      <c r="UB752" s="574"/>
      <c r="UC752" s="574"/>
      <c r="UD752" s="574"/>
      <c r="UE752" s="574"/>
      <c r="UF752" s="574"/>
      <c r="UG752" s="574"/>
      <c r="UH752" s="574"/>
      <c r="UI752" s="574"/>
      <c r="UJ752" s="574"/>
      <c r="UK752" s="574"/>
      <c r="UL752" s="574"/>
      <c r="UM752" s="574"/>
      <c r="UN752" s="574"/>
      <c r="UO752" s="574"/>
      <c r="UP752" s="574"/>
      <c r="UQ752" s="574"/>
      <c r="UR752" s="574"/>
      <c r="US752" s="574"/>
      <c r="UT752" s="574"/>
      <c r="UU752" s="574"/>
      <c r="UV752" s="574"/>
      <c r="UW752" s="574"/>
      <c r="UX752" s="574"/>
      <c r="UY752" s="574"/>
      <c r="UZ752" s="574"/>
      <c r="VA752" s="574"/>
      <c r="VB752" s="574"/>
      <c r="VC752" s="574"/>
      <c r="VD752" s="574"/>
      <c r="VE752" s="574"/>
      <c r="VF752" s="574"/>
      <c r="VG752" s="574"/>
      <c r="VH752" s="574"/>
      <c r="VI752" s="574"/>
      <c r="VJ752" s="574"/>
      <c r="VK752" s="574"/>
      <c r="VL752" s="574"/>
      <c r="VM752" s="574"/>
      <c r="VN752" s="574"/>
      <c r="VO752" s="574"/>
      <c r="VP752" s="574"/>
      <c r="VQ752" s="574"/>
      <c r="VR752" s="574"/>
      <c r="VS752" s="574"/>
      <c r="VT752" s="574"/>
      <c r="VU752" s="574"/>
      <c r="VV752" s="574"/>
      <c r="VW752" s="574"/>
      <c r="VX752" s="574"/>
      <c r="VY752" s="574"/>
      <c r="VZ752" s="574"/>
      <c r="WA752" s="574"/>
      <c r="WB752" s="574"/>
      <c r="WC752" s="574"/>
      <c r="WD752" s="574"/>
      <c r="WE752" s="574"/>
      <c r="WF752" s="574"/>
      <c r="WG752" s="574"/>
      <c r="WH752" s="574"/>
      <c r="WI752" s="574"/>
      <c r="WJ752" s="574"/>
      <c r="WK752" s="574"/>
      <c r="WL752" s="574"/>
      <c r="WM752" s="574"/>
      <c r="WN752" s="574"/>
      <c r="WO752" s="574"/>
      <c r="WP752" s="574"/>
      <c r="WQ752" s="574"/>
      <c r="WR752" s="574"/>
      <c r="WS752" s="574"/>
      <c r="WT752" s="574"/>
      <c r="WU752" s="574"/>
      <c r="WV752" s="574"/>
      <c r="WW752" s="574"/>
      <c r="WX752" s="574"/>
      <c r="WY752" s="574"/>
      <c r="WZ752" s="574"/>
      <c r="XA752" s="574"/>
      <c r="XB752" s="574"/>
      <c r="XC752" s="574"/>
      <c r="XD752" s="574"/>
      <c r="XE752" s="574"/>
      <c r="XF752" s="574"/>
      <c r="XG752" s="574"/>
      <c r="XH752" s="574"/>
      <c r="XI752" s="574"/>
      <c r="XJ752" s="574"/>
      <c r="XK752" s="574"/>
      <c r="XL752" s="574"/>
      <c r="XM752" s="574"/>
      <c r="XN752" s="574"/>
      <c r="XO752" s="574"/>
      <c r="XP752" s="574"/>
      <c r="XQ752" s="574"/>
      <c r="XR752" s="574"/>
      <c r="XS752" s="574"/>
      <c r="XT752" s="574"/>
      <c r="XU752" s="574"/>
      <c r="XV752" s="574"/>
      <c r="XW752" s="574"/>
      <c r="XX752" s="574"/>
      <c r="XY752" s="574"/>
      <c r="XZ752" s="574"/>
      <c r="YA752" s="574"/>
      <c r="YB752" s="574"/>
      <c r="YC752" s="574"/>
      <c r="YD752" s="574"/>
      <c r="YE752" s="574"/>
      <c r="YF752" s="574"/>
      <c r="YG752" s="574"/>
      <c r="YH752" s="574"/>
      <c r="YI752" s="574"/>
      <c r="YJ752" s="574"/>
      <c r="YK752" s="574"/>
      <c r="YL752" s="574"/>
      <c r="YM752" s="574"/>
      <c r="YN752" s="574"/>
      <c r="YO752" s="574"/>
      <c r="YP752" s="574"/>
      <c r="YQ752" s="574"/>
      <c r="YR752" s="574"/>
      <c r="YS752" s="574"/>
      <c r="YT752" s="574"/>
      <c r="YU752" s="574"/>
      <c r="YV752" s="574"/>
      <c r="YW752" s="574"/>
      <c r="YX752" s="574"/>
      <c r="YY752" s="574"/>
      <c r="YZ752" s="574"/>
      <c r="ZA752" s="574"/>
      <c r="ZB752" s="574"/>
      <c r="ZC752" s="574"/>
      <c r="ZD752" s="574"/>
      <c r="ZE752" s="574"/>
      <c r="ZF752" s="574"/>
      <c r="ZG752" s="574"/>
      <c r="ZH752" s="574"/>
      <c r="ZI752" s="574"/>
      <c r="ZJ752" s="574"/>
      <c r="ZK752" s="574"/>
      <c r="ZL752" s="574"/>
      <c r="ZM752" s="574"/>
      <c r="ZN752" s="574"/>
      <c r="ZO752" s="574"/>
      <c r="ZP752" s="574"/>
      <c r="ZQ752" s="574"/>
      <c r="ZR752" s="574"/>
      <c r="ZS752" s="574"/>
      <c r="ZT752" s="574"/>
      <c r="ZU752" s="574"/>
      <c r="ZV752" s="574"/>
      <c r="ZW752" s="574"/>
      <c r="ZX752" s="574"/>
      <c r="ZY752" s="574"/>
      <c r="ZZ752" s="574"/>
      <c r="AAA752" s="574"/>
      <c r="AAB752" s="574"/>
      <c r="AAC752" s="574"/>
      <c r="AAD752" s="574"/>
      <c r="AAE752" s="574"/>
      <c r="AAF752" s="574"/>
      <c r="AAG752" s="574"/>
      <c r="AAH752" s="574"/>
      <c r="AAI752" s="574"/>
      <c r="AAJ752" s="574"/>
      <c r="AAK752" s="574"/>
      <c r="AAL752" s="574"/>
      <c r="AAM752" s="574"/>
      <c r="AAN752" s="574"/>
      <c r="AAO752" s="574"/>
      <c r="AAP752" s="574"/>
      <c r="AAQ752" s="574"/>
      <c r="AAR752" s="574"/>
      <c r="AAS752" s="574"/>
      <c r="AAT752" s="574"/>
      <c r="AAU752" s="574"/>
      <c r="AAV752" s="574"/>
      <c r="AAW752" s="574"/>
      <c r="AAX752" s="574"/>
      <c r="AAY752" s="574"/>
      <c r="AAZ752" s="574"/>
      <c r="ABA752" s="574"/>
      <c r="ABB752" s="574"/>
      <c r="ABC752" s="574"/>
      <c r="ABD752" s="574"/>
      <c r="ABE752" s="574"/>
      <c r="ABF752" s="574"/>
      <c r="ABG752" s="574"/>
      <c r="ABH752" s="574"/>
      <c r="ABI752" s="574"/>
      <c r="ABJ752" s="574"/>
      <c r="ABK752" s="574"/>
      <c r="ABL752" s="574"/>
      <c r="ABM752" s="574"/>
      <c r="ABN752" s="574"/>
      <c r="ABO752" s="574"/>
      <c r="ABP752" s="574"/>
      <c r="ABQ752" s="574"/>
      <c r="ABR752" s="574"/>
      <c r="ABS752" s="574"/>
      <c r="ABT752" s="574"/>
      <c r="ABU752" s="574"/>
      <c r="ABV752" s="574"/>
      <c r="ABW752" s="574"/>
      <c r="ABX752" s="574"/>
      <c r="ABY752" s="574"/>
      <c r="ABZ752" s="574"/>
      <c r="ACA752" s="574"/>
      <c r="ACB752" s="574"/>
      <c r="ACC752" s="574"/>
      <c r="ACD752" s="574"/>
      <c r="ACE752" s="574"/>
      <c r="ACF752" s="574"/>
      <c r="ACG752" s="574"/>
      <c r="ACH752" s="574"/>
      <c r="ACI752" s="574"/>
      <c r="ACJ752" s="574"/>
      <c r="ACK752" s="574"/>
      <c r="ACL752" s="574"/>
      <c r="ACM752" s="574"/>
      <c r="ACN752" s="574"/>
      <c r="ACO752" s="574"/>
      <c r="ACP752" s="574"/>
      <c r="ACQ752" s="574"/>
      <c r="ACR752" s="574"/>
      <c r="ACS752" s="574"/>
      <c r="ACT752" s="574"/>
      <c r="ACU752" s="574"/>
      <c r="ACV752" s="574"/>
      <c r="ACW752" s="574"/>
      <c r="ACX752" s="574"/>
      <c r="ACY752" s="574"/>
      <c r="ACZ752" s="574"/>
      <c r="ADA752" s="574"/>
      <c r="ADB752" s="574"/>
      <c r="ADC752" s="574"/>
      <c r="ADD752" s="574"/>
      <c r="ADE752" s="574"/>
      <c r="ADF752" s="574"/>
      <c r="ADG752" s="574"/>
      <c r="ADH752" s="574"/>
      <c r="ADI752" s="574"/>
      <c r="ADJ752" s="574"/>
      <c r="ADK752" s="574"/>
      <c r="ADL752" s="574"/>
      <c r="ADM752" s="574"/>
      <c r="ADN752" s="574"/>
      <c r="ADO752" s="574"/>
      <c r="ADP752" s="574"/>
      <c r="ADQ752" s="574"/>
      <c r="ADR752" s="574"/>
      <c r="ADS752" s="574"/>
      <c r="ADT752" s="574"/>
      <c r="ADU752" s="574"/>
      <c r="ADV752" s="574"/>
      <c r="ADW752" s="574"/>
      <c r="ADX752" s="574"/>
      <c r="ADY752" s="574"/>
      <c r="ADZ752" s="574"/>
      <c r="AEA752" s="574"/>
      <c r="AEB752" s="574"/>
      <c r="AEC752" s="574"/>
      <c r="AED752" s="574"/>
      <c r="AEE752" s="574"/>
      <c r="AEF752" s="574"/>
      <c r="AEG752" s="574"/>
      <c r="AEH752" s="574"/>
      <c r="AEI752" s="574"/>
      <c r="AEJ752" s="574"/>
      <c r="AEK752" s="574"/>
      <c r="AEL752" s="574"/>
      <c r="AEM752" s="574"/>
      <c r="AEN752" s="574"/>
      <c r="AEO752" s="574"/>
      <c r="AEP752" s="574"/>
      <c r="AEQ752" s="574"/>
      <c r="AER752" s="574"/>
      <c r="AES752" s="574"/>
      <c r="AET752" s="574"/>
      <c r="AEU752" s="574"/>
      <c r="AEV752" s="574"/>
      <c r="AEW752" s="574"/>
      <c r="AEX752" s="574"/>
      <c r="AEY752" s="574"/>
      <c r="AEZ752" s="574"/>
      <c r="AFA752" s="574"/>
      <c r="AFB752" s="574"/>
      <c r="AFC752" s="574"/>
      <c r="AFD752" s="574"/>
      <c r="AFE752" s="574"/>
      <c r="AFF752" s="574"/>
      <c r="AFG752" s="574"/>
      <c r="AFH752" s="574"/>
      <c r="AFI752" s="574"/>
      <c r="AFJ752" s="574"/>
      <c r="AFK752" s="574"/>
      <c r="AFL752" s="574"/>
      <c r="AFM752" s="574"/>
      <c r="AFN752" s="574"/>
      <c r="AFO752" s="574"/>
      <c r="AFP752" s="574"/>
      <c r="AFQ752" s="574"/>
      <c r="AFR752" s="574"/>
      <c r="AFS752" s="574"/>
      <c r="AFT752" s="574"/>
      <c r="AFU752" s="574"/>
      <c r="AFV752" s="574"/>
      <c r="AFW752" s="574"/>
      <c r="AFX752" s="574"/>
      <c r="AFY752" s="574"/>
      <c r="AFZ752" s="574"/>
      <c r="AGA752" s="574"/>
      <c r="AGB752" s="574"/>
      <c r="AGC752" s="574"/>
      <c r="AGD752" s="574"/>
      <c r="AGE752" s="574"/>
      <c r="AGF752" s="574"/>
      <c r="AGG752" s="574"/>
      <c r="AGH752" s="574"/>
      <c r="AGI752" s="574"/>
      <c r="AGJ752" s="574"/>
      <c r="AGK752" s="574"/>
      <c r="AGL752" s="574"/>
      <c r="AGM752" s="574"/>
      <c r="AGN752" s="574"/>
      <c r="AGO752" s="574"/>
      <c r="AGP752" s="574"/>
      <c r="AGQ752" s="574"/>
      <c r="AGR752" s="574"/>
      <c r="AGS752" s="574"/>
      <c r="AGT752" s="574"/>
      <c r="AGU752" s="574"/>
      <c r="AGV752" s="574"/>
      <c r="AGW752" s="574"/>
      <c r="AGX752" s="574"/>
      <c r="AGY752" s="574"/>
      <c r="AGZ752" s="574"/>
      <c r="AHA752" s="574"/>
      <c r="AHB752" s="574"/>
      <c r="AHC752" s="574"/>
      <c r="AHD752" s="574"/>
      <c r="AHE752" s="574"/>
      <c r="AHF752" s="574"/>
      <c r="AHG752" s="574"/>
      <c r="AHH752" s="574"/>
      <c r="AHI752" s="574"/>
      <c r="AHJ752" s="574"/>
      <c r="AHK752" s="574"/>
      <c r="AHL752" s="574"/>
      <c r="AHM752" s="574"/>
      <c r="AHN752" s="574"/>
      <c r="AHO752" s="574"/>
      <c r="AHP752" s="574"/>
      <c r="AHQ752" s="574"/>
      <c r="AHR752" s="574"/>
      <c r="AHS752" s="574"/>
      <c r="AHT752" s="574"/>
      <c r="AHU752" s="574"/>
      <c r="AHV752" s="574"/>
      <c r="AHW752" s="574"/>
      <c r="AHX752" s="574"/>
      <c r="AHY752" s="574"/>
      <c r="AHZ752" s="574"/>
      <c r="AIA752" s="574"/>
      <c r="AIB752" s="574"/>
      <c r="AIC752" s="574"/>
      <c r="AID752" s="574"/>
      <c r="AIE752" s="574"/>
      <c r="AIF752" s="574"/>
      <c r="AIG752" s="574"/>
      <c r="AIH752" s="574"/>
      <c r="AII752" s="574"/>
      <c r="AIJ752" s="574"/>
      <c r="AIK752" s="574"/>
      <c r="AIL752" s="574"/>
      <c r="AIM752" s="574"/>
      <c r="AIN752" s="574"/>
      <c r="AIO752" s="574"/>
      <c r="AIP752" s="574"/>
      <c r="AIQ752" s="574"/>
      <c r="AIR752" s="574"/>
      <c r="AIS752" s="574"/>
      <c r="AIT752" s="574"/>
      <c r="AIU752" s="574"/>
      <c r="AIV752" s="574"/>
      <c r="AIW752" s="574"/>
      <c r="AIX752" s="574"/>
      <c r="AIY752" s="574"/>
      <c r="AIZ752" s="574"/>
      <c r="AJA752" s="574"/>
      <c r="AJB752" s="574"/>
      <c r="AJC752" s="574"/>
      <c r="AJD752" s="574"/>
      <c r="AJE752" s="574"/>
      <c r="AJF752" s="574"/>
      <c r="AJG752" s="574"/>
      <c r="AJH752" s="574"/>
      <c r="AJI752" s="574"/>
      <c r="AJJ752" s="574"/>
      <c r="AJK752" s="574"/>
      <c r="AJL752" s="574"/>
      <c r="AJM752" s="574"/>
      <c r="AJN752" s="574"/>
      <c r="AJO752" s="574"/>
      <c r="AJP752" s="574"/>
      <c r="AJQ752" s="574"/>
      <c r="AJR752" s="574"/>
      <c r="AJS752" s="574"/>
      <c r="AJT752" s="574"/>
      <c r="AJU752" s="574"/>
      <c r="AJV752" s="574"/>
      <c r="AJW752" s="574"/>
      <c r="AJX752" s="574"/>
      <c r="AJY752" s="574"/>
      <c r="AJZ752" s="574"/>
      <c r="AKA752" s="574"/>
      <c r="AKB752" s="574"/>
      <c r="AKC752" s="574"/>
      <c r="AKD752" s="574"/>
      <c r="AKE752" s="574"/>
      <c r="AKF752" s="574"/>
      <c r="AKG752" s="574"/>
      <c r="AKH752" s="574"/>
      <c r="AKI752" s="574"/>
      <c r="AKJ752" s="574"/>
      <c r="AKK752" s="574"/>
      <c r="AKL752" s="574"/>
      <c r="AKM752" s="574"/>
      <c r="AKN752" s="574"/>
      <c r="AKO752" s="574"/>
      <c r="AKP752" s="574"/>
      <c r="AKQ752" s="574"/>
      <c r="AKR752" s="574"/>
      <c r="AKS752" s="574"/>
      <c r="AKT752" s="574"/>
      <c r="AKU752" s="574"/>
      <c r="AKV752" s="574"/>
      <c r="AKW752" s="574"/>
      <c r="AKX752" s="574"/>
      <c r="AKY752" s="574"/>
      <c r="AKZ752" s="574"/>
      <c r="ALA752" s="574"/>
      <c r="ALB752" s="574"/>
      <c r="ALC752" s="574"/>
      <c r="ALD752" s="574"/>
      <c r="ALE752" s="574"/>
      <c r="ALF752" s="574"/>
      <c r="ALG752" s="574"/>
      <c r="ALH752" s="574"/>
      <c r="ALI752" s="574"/>
      <c r="ALJ752" s="574"/>
      <c r="ALK752" s="574"/>
      <c r="ALL752" s="574"/>
      <c r="ALM752" s="574"/>
      <c r="ALN752" s="574"/>
      <c r="ALO752" s="574"/>
      <c r="ALP752" s="574"/>
      <c r="ALQ752" s="574"/>
      <c r="ALR752" s="574"/>
      <c r="ALS752" s="574"/>
      <c r="ALT752" s="574"/>
      <c r="ALU752" s="574"/>
      <c r="ALV752" s="574"/>
      <c r="ALW752" s="574"/>
      <c r="ALX752" s="574"/>
      <c r="ALY752" s="574"/>
      <c r="ALZ752" s="574"/>
      <c r="AMA752" s="574"/>
      <c r="AMB752" s="574"/>
      <c r="AMC752" s="574"/>
      <c r="AMD752" s="574"/>
      <c r="AME752" s="574"/>
      <c r="AMF752" s="574"/>
      <c r="AMG752" s="574"/>
      <c r="AMH752" s="574"/>
      <c r="AMI752" s="574"/>
      <c r="AMJ752" s="574"/>
      <c r="AMK752" s="574"/>
      <c r="AML752" s="574"/>
      <c r="AMM752" s="574"/>
      <c r="AMN752" s="574"/>
      <c r="AMO752" s="574"/>
      <c r="AMP752" s="574"/>
      <c r="AMQ752" s="574"/>
      <c r="AMR752" s="574"/>
      <c r="AMS752" s="574"/>
      <c r="AMT752" s="574"/>
      <c r="AMU752" s="574"/>
      <c r="AMV752" s="574"/>
      <c r="AMW752" s="574"/>
      <c r="AMX752" s="574"/>
      <c r="AMY752" s="574"/>
      <c r="AMZ752" s="574"/>
      <c r="ANA752" s="574"/>
      <c r="ANB752" s="574"/>
      <c r="ANC752" s="574"/>
      <c r="AND752" s="574"/>
      <c r="ANE752" s="574"/>
      <c r="ANF752" s="574"/>
      <c r="ANG752" s="574"/>
      <c r="ANH752" s="574"/>
      <c r="ANI752" s="574"/>
      <c r="ANJ752" s="574"/>
      <c r="ANK752" s="574"/>
      <c r="ANL752" s="574"/>
      <c r="ANM752" s="574"/>
      <c r="ANN752" s="574"/>
      <c r="ANO752" s="574"/>
      <c r="ANP752" s="574"/>
      <c r="ANQ752" s="574"/>
      <c r="ANR752" s="574"/>
      <c r="ANS752" s="574"/>
      <c r="ANT752" s="574"/>
      <c r="ANU752" s="574"/>
      <c r="ANV752" s="574"/>
      <c r="ANW752" s="574"/>
      <c r="ANX752" s="574"/>
      <c r="ANY752" s="574"/>
      <c r="ANZ752" s="574"/>
      <c r="AOA752" s="574"/>
      <c r="AOB752" s="574"/>
      <c r="AOC752" s="574"/>
      <c r="AOD752" s="574"/>
      <c r="AOE752" s="574"/>
      <c r="AOF752" s="574"/>
      <c r="AOG752" s="574"/>
      <c r="AOH752" s="574"/>
      <c r="AOI752" s="574"/>
      <c r="AOJ752" s="574"/>
      <c r="AOK752" s="574"/>
      <c r="AOL752" s="574"/>
      <c r="AOM752" s="574"/>
      <c r="AON752" s="574"/>
      <c r="AOO752" s="574"/>
      <c r="AOP752" s="574"/>
      <c r="AOQ752" s="574"/>
      <c r="AOR752" s="574"/>
      <c r="AOS752" s="574"/>
      <c r="AOT752" s="574"/>
      <c r="AOU752" s="574"/>
      <c r="AOV752" s="574"/>
      <c r="AOW752" s="574"/>
      <c r="AOX752" s="574"/>
      <c r="AOY752" s="574"/>
      <c r="AOZ752" s="574"/>
      <c r="APA752" s="574"/>
      <c r="APB752" s="574"/>
      <c r="APC752" s="574"/>
      <c r="APD752" s="574"/>
      <c r="APE752" s="574"/>
      <c r="APF752" s="574"/>
      <c r="APG752" s="574"/>
      <c r="APH752" s="574"/>
      <c r="API752" s="574"/>
      <c r="APJ752" s="574"/>
      <c r="APK752" s="574"/>
      <c r="APL752" s="574"/>
      <c r="APM752" s="574"/>
      <c r="APN752" s="574"/>
      <c r="APO752" s="574"/>
      <c r="APP752" s="574"/>
      <c r="APQ752" s="574"/>
      <c r="APR752" s="574"/>
      <c r="APS752" s="574"/>
      <c r="APT752" s="574"/>
      <c r="APU752" s="574"/>
      <c r="APV752" s="574"/>
      <c r="APW752" s="574"/>
      <c r="APX752" s="574"/>
      <c r="APY752" s="574"/>
      <c r="APZ752" s="574"/>
      <c r="AQA752" s="574"/>
      <c r="AQB752" s="574"/>
      <c r="AQC752" s="574"/>
      <c r="AQD752" s="574"/>
      <c r="AQE752" s="574"/>
      <c r="AQF752" s="574"/>
      <c r="AQG752" s="574"/>
      <c r="AQH752" s="574"/>
      <c r="AQI752" s="574"/>
      <c r="AQJ752" s="574"/>
      <c r="AQK752" s="574"/>
      <c r="AQL752" s="574"/>
      <c r="AQM752" s="574"/>
      <c r="AQN752" s="574"/>
      <c r="AQO752" s="574"/>
      <c r="AQP752" s="574"/>
      <c r="AQQ752" s="574"/>
      <c r="AQR752" s="574"/>
      <c r="AQS752" s="574"/>
      <c r="AQT752" s="574"/>
      <c r="AQU752" s="574"/>
      <c r="AQV752" s="574"/>
      <c r="AQW752" s="574"/>
      <c r="AQX752" s="574"/>
      <c r="AQY752" s="574"/>
      <c r="AQZ752" s="574"/>
      <c r="ARA752" s="574"/>
      <c r="ARB752" s="574"/>
      <c r="ARC752" s="574"/>
      <c r="ARD752" s="574"/>
      <c r="ARE752" s="574"/>
      <c r="ARF752" s="574"/>
      <c r="ARG752" s="574"/>
      <c r="ARH752" s="574"/>
      <c r="ARI752" s="574"/>
      <c r="ARJ752" s="574"/>
      <c r="ARK752" s="574"/>
      <c r="ARL752" s="574"/>
      <c r="ARM752" s="574"/>
      <c r="ARN752" s="574"/>
      <c r="ARO752" s="574"/>
      <c r="ARP752" s="574"/>
      <c r="ARQ752" s="574"/>
      <c r="ARR752" s="574"/>
      <c r="ARS752" s="574"/>
      <c r="ART752" s="574"/>
      <c r="ARU752" s="574"/>
      <c r="ARV752" s="574"/>
      <c r="ARW752" s="574"/>
      <c r="ARX752" s="574"/>
      <c r="ARY752" s="574"/>
      <c r="ARZ752" s="574"/>
      <c r="ASA752" s="574"/>
      <c r="ASB752" s="574"/>
      <c r="ASC752" s="574"/>
      <c r="ASD752" s="574"/>
      <c r="ASE752" s="574"/>
      <c r="ASF752" s="574"/>
      <c r="ASG752" s="574"/>
      <c r="ASH752" s="574"/>
      <c r="ASI752" s="574"/>
      <c r="ASJ752" s="574"/>
      <c r="ASK752" s="574"/>
      <c r="ASL752" s="574"/>
      <c r="ASM752" s="574"/>
      <c r="ASN752" s="574"/>
      <c r="ASO752" s="574"/>
      <c r="ASP752" s="574"/>
      <c r="ASQ752" s="574"/>
      <c r="ASR752" s="574"/>
      <c r="ASS752" s="574"/>
      <c r="AST752" s="574"/>
      <c r="ASU752" s="574"/>
      <c r="ASV752" s="574"/>
      <c r="ASW752" s="574"/>
      <c r="ASX752" s="574"/>
      <c r="ASY752" s="574"/>
      <c r="ASZ752" s="574"/>
      <c r="ATA752" s="574"/>
      <c r="ATB752" s="574"/>
      <c r="ATC752" s="574"/>
      <c r="ATD752" s="574"/>
      <c r="ATE752" s="574"/>
      <c r="ATF752" s="574"/>
      <c r="ATG752" s="574"/>
      <c r="ATH752" s="574"/>
      <c r="ATI752" s="574"/>
      <c r="ATJ752" s="574"/>
      <c r="ATK752" s="574"/>
      <c r="ATL752" s="574"/>
      <c r="ATM752" s="574"/>
      <c r="ATN752" s="574"/>
      <c r="ATO752" s="574"/>
      <c r="ATP752" s="574"/>
      <c r="ATQ752" s="574"/>
      <c r="ATR752" s="574"/>
      <c r="ATS752" s="574"/>
      <c r="ATT752" s="574"/>
      <c r="ATU752" s="574"/>
      <c r="ATV752" s="574"/>
      <c r="ATW752" s="574"/>
      <c r="ATX752" s="574"/>
      <c r="ATY752" s="574"/>
      <c r="ATZ752" s="574"/>
      <c r="AUA752" s="574"/>
      <c r="AUB752" s="574"/>
      <c r="AUC752" s="574"/>
      <c r="AUD752" s="574"/>
      <c r="AUE752" s="574"/>
      <c r="AUF752" s="574"/>
      <c r="AUG752" s="574"/>
      <c r="AUH752" s="574"/>
      <c r="AUI752" s="574"/>
      <c r="AUJ752" s="574"/>
      <c r="AUK752" s="574"/>
      <c r="AUL752" s="574"/>
      <c r="AUM752" s="574"/>
      <c r="AUN752" s="574"/>
      <c r="AUO752" s="574"/>
      <c r="AUP752" s="574"/>
      <c r="AUQ752" s="574"/>
      <c r="AUR752" s="574"/>
      <c r="AUS752" s="574"/>
      <c r="AUT752" s="574"/>
      <c r="AUU752" s="574"/>
      <c r="AUV752" s="574"/>
      <c r="AUW752" s="574"/>
      <c r="AUX752" s="574"/>
      <c r="AUY752" s="574"/>
      <c r="AUZ752" s="574"/>
      <c r="AVA752" s="574"/>
      <c r="AVB752" s="574"/>
      <c r="AVC752" s="574"/>
      <c r="AVD752" s="574"/>
      <c r="AVE752" s="574"/>
      <c r="AVF752" s="574"/>
      <c r="AVG752" s="574"/>
      <c r="AVH752" s="574"/>
      <c r="AVI752" s="574"/>
      <c r="AVJ752" s="574"/>
      <c r="AVK752" s="574"/>
      <c r="AVL752" s="574"/>
      <c r="AVM752" s="574"/>
      <c r="AVN752" s="574"/>
      <c r="AVO752" s="574"/>
      <c r="AVP752" s="574"/>
      <c r="AVQ752" s="574"/>
      <c r="AVR752" s="574"/>
      <c r="AVS752" s="574"/>
      <c r="AVT752" s="574"/>
      <c r="AVU752" s="574"/>
      <c r="AVV752" s="574"/>
      <c r="AVW752" s="574"/>
      <c r="AVX752" s="574"/>
      <c r="AVY752" s="574"/>
      <c r="AVZ752" s="574"/>
      <c r="AWA752" s="574"/>
      <c r="AWB752" s="574"/>
      <c r="AWC752" s="574"/>
      <c r="AWD752" s="574"/>
      <c r="AWE752" s="574"/>
      <c r="AWF752" s="574"/>
      <c r="AWG752" s="574"/>
      <c r="AWH752" s="574"/>
      <c r="AWI752" s="574"/>
      <c r="AWJ752" s="574"/>
      <c r="AWK752" s="574"/>
      <c r="AWL752" s="574"/>
      <c r="AWM752" s="574"/>
      <c r="AWN752" s="574"/>
      <c r="AWO752" s="574"/>
      <c r="AWP752" s="574"/>
      <c r="AWQ752" s="574"/>
      <c r="AWR752" s="574"/>
      <c r="AWS752" s="574"/>
      <c r="AWT752" s="574"/>
      <c r="AWU752" s="574"/>
      <c r="AWV752" s="574"/>
      <c r="AWW752" s="574"/>
      <c r="AWX752" s="574"/>
      <c r="AWY752" s="574"/>
      <c r="AWZ752" s="574"/>
      <c r="AXA752" s="574"/>
      <c r="AXB752" s="574"/>
      <c r="AXC752" s="574"/>
      <c r="AXD752" s="574"/>
      <c r="AXE752" s="574"/>
      <c r="AXF752" s="574"/>
      <c r="AXG752" s="574"/>
      <c r="AXH752" s="574"/>
      <c r="AXI752" s="574"/>
      <c r="AXJ752" s="574"/>
      <c r="AXK752" s="574"/>
      <c r="AXL752" s="574"/>
      <c r="AXM752" s="574"/>
      <c r="AXN752" s="574"/>
      <c r="AXO752" s="574"/>
      <c r="AXP752" s="574"/>
      <c r="AXQ752" s="574"/>
      <c r="AXR752" s="574"/>
      <c r="AXS752" s="574"/>
      <c r="AXT752" s="574"/>
      <c r="AXU752" s="574"/>
      <c r="AXV752" s="574"/>
      <c r="AXW752" s="574"/>
      <c r="AXX752" s="574"/>
      <c r="AXY752" s="574"/>
      <c r="AXZ752" s="574"/>
      <c r="AYA752" s="574"/>
      <c r="AYB752" s="574"/>
      <c r="AYC752" s="574"/>
      <c r="AYD752" s="574"/>
      <c r="AYE752" s="574"/>
      <c r="AYF752" s="574"/>
      <c r="AYG752" s="574"/>
      <c r="AYH752" s="574"/>
      <c r="AYI752" s="574"/>
      <c r="AYJ752" s="574"/>
      <c r="AYK752" s="574"/>
      <c r="AYL752" s="574"/>
      <c r="AYM752" s="574"/>
      <c r="AYN752" s="574"/>
      <c r="AYO752" s="574"/>
      <c r="AYP752" s="574"/>
      <c r="AYQ752" s="574"/>
      <c r="AYR752" s="574"/>
      <c r="AYS752" s="574"/>
      <c r="AYT752" s="574"/>
      <c r="AYU752" s="574"/>
      <c r="AYV752" s="574"/>
      <c r="AYW752" s="574"/>
      <c r="AYX752" s="574"/>
      <c r="AYY752" s="574"/>
      <c r="AYZ752" s="574"/>
      <c r="AZA752" s="574"/>
      <c r="AZB752" s="574"/>
      <c r="AZC752" s="574"/>
      <c r="AZD752" s="574"/>
      <c r="AZE752" s="574"/>
      <c r="AZF752" s="574"/>
      <c r="AZG752" s="574"/>
      <c r="AZH752" s="574"/>
      <c r="AZI752" s="574"/>
      <c r="AZJ752" s="574"/>
      <c r="AZK752" s="574"/>
      <c r="AZL752" s="574"/>
      <c r="AZM752" s="574"/>
      <c r="AZN752" s="574"/>
      <c r="AZO752" s="574"/>
      <c r="AZP752" s="574"/>
      <c r="AZQ752" s="574"/>
      <c r="AZR752" s="574"/>
      <c r="AZS752" s="574"/>
      <c r="AZT752" s="574"/>
      <c r="AZU752" s="574"/>
      <c r="AZV752" s="574"/>
      <c r="AZW752" s="574"/>
      <c r="AZX752" s="574"/>
      <c r="AZY752" s="574"/>
      <c r="AZZ752" s="574"/>
      <c r="BAA752" s="574"/>
      <c r="BAB752" s="574"/>
      <c r="BAC752" s="574"/>
      <c r="BAD752" s="574"/>
      <c r="BAE752" s="574"/>
      <c r="BAF752" s="574"/>
      <c r="BAG752" s="574"/>
      <c r="BAH752" s="574"/>
      <c r="BAI752" s="574"/>
      <c r="BAJ752" s="574"/>
      <c r="BAK752" s="574"/>
      <c r="BAL752" s="574"/>
      <c r="BAM752" s="574"/>
      <c r="BAN752" s="574"/>
      <c r="BAO752" s="574"/>
      <c r="BAP752" s="574"/>
      <c r="BAQ752" s="574"/>
      <c r="BAR752" s="574"/>
      <c r="BAS752" s="574"/>
      <c r="BAT752" s="574"/>
      <c r="BAU752" s="574"/>
      <c r="BAV752" s="574"/>
      <c r="BAW752" s="574"/>
      <c r="BAX752" s="574"/>
      <c r="BAY752" s="574"/>
      <c r="BAZ752" s="574"/>
      <c r="BBA752" s="574"/>
      <c r="BBB752" s="574"/>
      <c r="BBC752" s="574"/>
      <c r="BBD752" s="574"/>
      <c r="BBE752" s="574"/>
      <c r="BBF752" s="574"/>
      <c r="BBG752" s="574"/>
      <c r="BBH752" s="574"/>
      <c r="BBI752" s="574"/>
      <c r="BBJ752" s="574"/>
      <c r="BBK752" s="574"/>
      <c r="BBL752" s="574"/>
      <c r="BBM752" s="574"/>
      <c r="BBN752" s="574"/>
      <c r="BBO752" s="574"/>
      <c r="BBP752" s="574"/>
      <c r="BBQ752" s="574"/>
      <c r="BBR752" s="574"/>
      <c r="BBS752" s="574"/>
      <c r="BBT752" s="574"/>
      <c r="BBU752" s="574"/>
      <c r="BBV752" s="574"/>
      <c r="BBW752" s="574"/>
      <c r="BBX752" s="574"/>
      <c r="BBY752" s="574"/>
      <c r="BBZ752" s="574"/>
      <c r="BCA752" s="574"/>
      <c r="BCB752" s="574"/>
      <c r="BCC752" s="574"/>
      <c r="BCD752" s="574"/>
      <c r="BCE752" s="574"/>
      <c r="BCF752" s="574"/>
      <c r="BCG752" s="574"/>
      <c r="BCH752" s="574"/>
      <c r="BCI752" s="574"/>
      <c r="BCJ752" s="574"/>
      <c r="BCK752" s="574"/>
      <c r="BCL752" s="574"/>
      <c r="BCM752" s="574"/>
      <c r="BCN752" s="574"/>
      <c r="BCO752" s="574"/>
      <c r="BCP752" s="574"/>
      <c r="BCQ752" s="574"/>
      <c r="BCR752" s="574"/>
      <c r="BCS752" s="574"/>
      <c r="BCT752" s="574"/>
      <c r="BCU752" s="574"/>
      <c r="BCV752" s="574"/>
      <c r="BCW752" s="574"/>
      <c r="BCX752" s="574"/>
      <c r="BCY752" s="574"/>
      <c r="BCZ752" s="574"/>
      <c r="BDA752" s="574"/>
      <c r="BDB752" s="574"/>
      <c r="BDC752" s="574"/>
      <c r="BDD752" s="574"/>
      <c r="BDE752" s="574"/>
      <c r="BDF752" s="574"/>
      <c r="BDG752" s="574"/>
      <c r="BDH752" s="574"/>
      <c r="BDI752" s="574"/>
      <c r="BDJ752" s="574"/>
      <c r="BDK752" s="574"/>
      <c r="BDL752" s="574"/>
      <c r="BDM752" s="574"/>
      <c r="BDN752" s="574"/>
      <c r="BDO752" s="574"/>
      <c r="BDP752" s="574"/>
      <c r="BDQ752" s="574"/>
      <c r="BDR752" s="574"/>
      <c r="BDS752" s="574"/>
      <c r="BDT752" s="574"/>
      <c r="BDU752" s="574"/>
      <c r="BDV752" s="574"/>
      <c r="BDW752" s="574"/>
      <c r="BDX752" s="574"/>
      <c r="BDY752" s="574"/>
      <c r="BDZ752" s="574"/>
      <c r="BEA752" s="574"/>
      <c r="BEB752" s="574"/>
      <c r="BEC752" s="574"/>
      <c r="BED752" s="574"/>
      <c r="BEE752" s="574"/>
      <c r="BEF752" s="574"/>
      <c r="BEG752" s="574"/>
      <c r="BEH752" s="574"/>
      <c r="BEI752" s="574"/>
      <c r="BEJ752" s="574"/>
      <c r="BEK752" s="574"/>
      <c r="BEL752" s="574"/>
      <c r="BEM752" s="574"/>
      <c r="BEN752" s="574"/>
      <c r="BEO752" s="574"/>
      <c r="BEP752" s="574"/>
      <c r="BEQ752" s="574"/>
      <c r="BER752" s="574"/>
      <c r="BES752" s="574"/>
      <c r="BET752" s="574"/>
      <c r="BEU752" s="574"/>
      <c r="BEV752" s="574"/>
      <c r="BEW752" s="574"/>
      <c r="BEX752" s="574"/>
      <c r="BEY752" s="574"/>
      <c r="BEZ752" s="574"/>
      <c r="BFA752" s="574"/>
      <c r="BFB752" s="574"/>
      <c r="BFC752" s="574"/>
      <c r="BFD752" s="574"/>
      <c r="BFE752" s="574"/>
      <c r="BFF752" s="574"/>
      <c r="BFG752" s="574"/>
      <c r="BFH752" s="574"/>
      <c r="BFI752" s="574"/>
      <c r="BFJ752" s="574"/>
      <c r="BFK752" s="574"/>
      <c r="BFL752" s="574"/>
      <c r="BFM752" s="574"/>
      <c r="BFN752" s="574"/>
      <c r="BFO752" s="574"/>
      <c r="BFP752" s="574"/>
      <c r="BFQ752" s="574"/>
      <c r="BFR752" s="574"/>
      <c r="BFS752" s="574"/>
      <c r="BFT752" s="574"/>
      <c r="BFU752" s="574"/>
      <c r="BFV752" s="574"/>
      <c r="BFW752" s="574"/>
      <c r="BFX752" s="574"/>
      <c r="BFY752" s="574"/>
      <c r="BFZ752" s="574"/>
      <c r="BGA752" s="574"/>
      <c r="BGB752" s="574"/>
      <c r="BGC752" s="574"/>
      <c r="BGD752" s="574"/>
      <c r="BGE752" s="574"/>
      <c r="BGF752" s="574"/>
      <c r="BGG752" s="574"/>
      <c r="BGH752" s="574"/>
      <c r="BGI752" s="574"/>
      <c r="BGJ752" s="574"/>
      <c r="BGK752" s="574"/>
      <c r="BGL752" s="574"/>
      <c r="BGM752" s="574"/>
      <c r="BGN752" s="574"/>
      <c r="BGO752" s="574"/>
      <c r="BGP752" s="574"/>
      <c r="BGQ752" s="574"/>
      <c r="BGR752" s="574"/>
      <c r="BGS752" s="574"/>
      <c r="BGT752" s="574"/>
      <c r="BGU752" s="574"/>
      <c r="BGV752" s="574"/>
      <c r="BGW752" s="574"/>
      <c r="BGX752" s="574"/>
      <c r="BGY752" s="574"/>
      <c r="BGZ752" s="574"/>
      <c r="BHA752" s="574"/>
      <c r="BHB752" s="574"/>
      <c r="BHC752" s="574"/>
      <c r="BHD752" s="574"/>
      <c r="BHE752" s="574"/>
      <c r="BHF752" s="574"/>
      <c r="BHG752" s="574"/>
      <c r="BHH752" s="574"/>
      <c r="BHI752" s="574"/>
      <c r="BHJ752" s="574"/>
      <c r="BHK752" s="574"/>
      <c r="BHL752" s="574"/>
      <c r="BHM752" s="574"/>
      <c r="BHN752" s="574"/>
      <c r="BHO752" s="574"/>
      <c r="BHP752" s="574"/>
      <c r="BHQ752" s="574"/>
      <c r="BHR752" s="574"/>
      <c r="BHS752" s="574"/>
      <c r="BHT752" s="574"/>
      <c r="BHU752" s="574"/>
      <c r="BHV752" s="574"/>
      <c r="BHW752" s="574"/>
      <c r="BHX752" s="574"/>
      <c r="BHY752" s="574"/>
      <c r="BHZ752" s="574"/>
      <c r="BIA752" s="574"/>
      <c r="BIB752" s="574"/>
      <c r="BIC752" s="574"/>
      <c r="BID752" s="574"/>
      <c r="BIE752" s="574"/>
      <c r="BIF752" s="574"/>
      <c r="BIG752" s="574"/>
      <c r="BIH752" s="574"/>
      <c r="BII752" s="574"/>
      <c r="BIJ752" s="574"/>
      <c r="BIK752" s="574"/>
      <c r="BIL752" s="574"/>
      <c r="BIM752" s="574"/>
      <c r="BIN752" s="574"/>
      <c r="BIO752" s="574"/>
      <c r="BIP752" s="574"/>
      <c r="BIQ752" s="574"/>
      <c r="BIR752" s="574"/>
      <c r="BIS752" s="574"/>
      <c r="BIT752" s="574"/>
      <c r="BIU752" s="574"/>
      <c r="BIV752" s="574"/>
      <c r="BIW752" s="574"/>
      <c r="BIX752" s="574"/>
      <c r="BIY752" s="574"/>
      <c r="BIZ752" s="574"/>
      <c r="BJA752" s="574"/>
      <c r="BJB752" s="574"/>
      <c r="BJC752" s="574"/>
      <c r="BJD752" s="574"/>
      <c r="BJE752" s="574"/>
      <c r="BJF752" s="574"/>
      <c r="BJG752" s="574"/>
      <c r="BJH752" s="574"/>
      <c r="BJI752" s="574"/>
      <c r="BJJ752" s="574"/>
      <c r="BJK752" s="574"/>
      <c r="BJL752" s="574"/>
      <c r="BJM752" s="574"/>
      <c r="BJN752" s="574"/>
      <c r="BJO752" s="574"/>
      <c r="BJP752" s="574"/>
      <c r="BJQ752" s="574"/>
      <c r="BJR752" s="574"/>
      <c r="BJS752" s="574"/>
      <c r="BJT752" s="574"/>
      <c r="BJU752" s="574"/>
      <c r="BJV752" s="574"/>
      <c r="BJW752" s="574"/>
      <c r="BJX752" s="574"/>
      <c r="BJY752" s="574"/>
      <c r="BJZ752" s="574"/>
      <c r="BKA752" s="574"/>
      <c r="BKB752" s="574"/>
      <c r="BKC752" s="574"/>
      <c r="BKD752" s="574"/>
      <c r="BKE752" s="574"/>
      <c r="BKF752" s="574"/>
      <c r="BKG752" s="574"/>
      <c r="BKH752" s="574"/>
      <c r="BKI752" s="574"/>
      <c r="BKJ752" s="574"/>
      <c r="BKK752" s="574"/>
      <c r="BKL752" s="574"/>
      <c r="BKM752" s="574"/>
      <c r="BKN752" s="574"/>
      <c r="BKO752" s="574"/>
      <c r="BKP752" s="574"/>
      <c r="BKQ752" s="574"/>
      <c r="BKR752" s="574"/>
      <c r="BKS752" s="574"/>
      <c r="BKT752" s="574"/>
      <c r="BKU752" s="574"/>
      <c r="BKV752" s="574"/>
      <c r="BKW752" s="574"/>
      <c r="BKX752" s="574"/>
      <c r="BKY752" s="574"/>
      <c r="BKZ752" s="574"/>
      <c r="BLA752" s="574"/>
      <c r="BLB752" s="574"/>
      <c r="BLC752" s="574"/>
      <c r="BLD752" s="574"/>
      <c r="BLE752" s="574"/>
      <c r="BLF752" s="574"/>
      <c r="BLG752" s="574"/>
      <c r="BLH752" s="574"/>
      <c r="BLI752" s="574"/>
      <c r="BLJ752" s="574"/>
      <c r="BLK752" s="574"/>
      <c r="BLL752" s="574"/>
      <c r="BLM752" s="574"/>
      <c r="BLN752" s="574"/>
      <c r="BLO752" s="574"/>
      <c r="BLP752" s="574"/>
      <c r="BLQ752" s="574"/>
      <c r="BLR752" s="574"/>
      <c r="BLS752" s="574"/>
      <c r="BLT752" s="574"/>
      <c r="BLU752" s="574"/>
      <c r="BLV752" s="574"/>
      <c r="BLW752" s="574"/>
      <c r="BLX752" s="574"/>
      <c r="BLY752" s="574"/>
      <c r="BLZ752" s="574"/>
      <c r="BMA752" s="574"/>
      <c r="BMB752" s="574"/>
      <c r="BMC752" s="574"/>
      <c r="BMD752" s="574"/>
      <c r="BME752" s="574"/>
      <c r="BMF752" s="574"/>
      <c r="BMG752" s="574"/>
      <c r="BMH752" s="574"/>
      <c r="BMI752" s="574"/>
      <c r="BMJ752" s="574"/>
      <c r="BMK752" s="574"/>
      <c r="BML752" s="574"/>
      <c r="BMM752" s="574"/>
      <c r="BMN752" s="574"/>
      <c r="BMO752" s="574"/>
      <c r="BMP752" s="574"/>
      <c r="BMQ752" s="574"/>
      <c r="BMR752" s="574"/>
      <c r="BMS752" s="574"/>
      <c r="BMT752" s="574"/>
      <c r="BMU752" s="574"/>
      <c r="BMV752" s="574"/>
      <c r="BMW752" s="574"/>
      <c r="BMX752" s="574"/>
      <c r="BMY752" s="574"/>
      <c r="BMZ752" s="574"/>
      <c r="BNA752" s="574"/>
      <c r="BNB752" s="574"/>
      <c r="BNC752" s="574"/>
      <c r="BND752" s="574"/>
      <c r="BNE752" s="574"/>
      <c r="BNF752" s="574"/>
      <c r="BNG752" s="574"/>
      <c r="BNH752" s="574"/>
      <c r="BNI752" s="574"/>
      <c r="BNJ752" s="574"/>
      <c r="BNK752" s="574"/>
      <c r="BNL752" s="574"/>
      <c r="BNM752" s="574"/>
      <c r="BNN752" s="574"/>
      <c r="BNO752" s="574"/>
      <c r="BNP752" s="574"/>
      <c r="BNQ752" s="574"/>
      <c r="BNR752" s="574"/>
      <c r="BNS752" s="574"/>
      <c r="BNT752" s="574"/>
      <c r="BNU752" s="574"/>
      <c r="BNV752" s="574"/>
      <c r="BNW752" s="574"/>
      <c r="BNX752" s="574"/>
      <c r="BNY752" s="574"/>
      <c r="BNZ752" s="574"/>
      <c r="BOA752" s="574"/>
      <c r="BOB752" s="574"/>
      <c r="BOC752" s="574"/>
      <c r="BOD752" s="574"/>
      <c r="BOE752" s="574"/>
      <c r="BOF752" s="574"/>
      <c r="BOG752" s="574"/>
      <c r="BOH752" s="574"/>
      <c r="BOI752" s="574"/>
      <c r="BOJ752" s="574"/>
      <c r="BOK752" s="574"/>
      <c r="BOL752" s="574"/>
      <c r="BOM752" s="574"/>
      <c r="BON752" s="574"/>
      <c r="BOO752" s="574"/>
      <c r="BOP752" s="574"/>
      <c r="BOQ752" s="574"/>
      <c r="BOR752" s="574"/>
      <c r="BOS752" s="574"/>
      <c r="BOT752" s="574"/>
      <c r="BOU752" s="574"/>
      <c r="BOV752" s="574"/>
      <c r="BOW752" s="574"/>
      <c r="BOX752" s="574"/>
      <c r="BOY752" s="574"/>
      <c r="BOZ752" s="574"/>
      <c r="BPA752" s="574"/>
      <c r="BPB752" s="574"/>
      <c r="BPC752" s="574"/>
      <c r="BPD752" s="574"/>
      <c r="BPE752" s="574"/>
      <c r="BPF752" s="574"/>
      <c r="BPG752" s="574"/>
      <c r="BPH752" s="574"/>
      <c r="BPI752" s="574"/>
      <c r="BPJ752" s="574"/>
      <c r="BPK752" s="574"/>
      <c r="BPL752" s="574"/>
      <c r="BPM752" s="574"/>
      <c r="BPN752" s="574"/>
      <c r="BPO752" s="574"/>
      <c r="BPP752" s="574"/>
      <c r="BPQ752" s="574"/>
      <c r="BPR752" s="574"/>
      <c r="BPS752" s="574"/>
      <c r="BPT752" s="574"/>
      <c r="BPU752" s="574"/>
      <c r="BPV752" s="574"/>
      <c r="BPW752" s="574"/>
      <c r="BPX752" s="574"/>
      <c r="BPY752" s="574"/>
      <c r="BPZ752" s="574"/>
      <c r="BQA752" s="574"/>
      <c r="BQB752" s="574"/>
      <c r="BQC752" s="574"/>
      <c r="BQD752" s="574"/>
      <c r="BQE752" s="574"/>
      <c r="BQF752" s="574"/>
      <c r="BQG752" s="574"/>
      <c r="BQH752" s="574"/>
      <c r="BQI752" s="574"/>
      <c r="BQJ752" s="574"/>
      <c r="BQK752" s="574"/>
      <c r="BQL752" s="574"/>
      <c r="BQM752" s="574"/>
      <c r="BQN752" s="574"/>
      <c r="BQO752" s="574"/>
      <c r="BQP752" s="574"/>
      <c r="BQQ752" s="574"/>
      <c r="BQR752" s="574"/>
      <c r="BQS752" s="574"/>
      <c r="BQT752" s="574"/>
      <c r="BQU752" s="574"/>
      <c r="BQV752" s="574"/>
      <c r="BQW752" s="574"/>
      <c r="BQX752" s="574"/>
      <c r="BQY752" s="574"/>
      <c r="BQZ752" s="574"/>
      <c r="BRA752" s="574"/>
      <c r="BRB752" s="574"/>
      <c r="BRC752" s="574"/>
      <c r="BRD752" s="574"/>
      <c r="BRE752" s="574"/>
      <c r="BRF752" s="574"/>
      <c r="BRG752" s="574"/>
      <c r="BRH752" s="574"/>
      <c r="BRI752" s="574"/>
      <c r="BRJ752" s="574"/>
      <c r="BRK752" s="574"/>
      <c r="BRL752" s="574"/>
      <c r="BRM752" s="574"/>
      <c r="BRN752" s="574"/>
      <c r="BRO752" s="574"/>
      <c r="BRP752" s="574"/>
      <c r="BRQ752" s="574"/>
      <c r="BRR752" s="574"/>
      <c r="BRS752" s="574"/>
      <c r="BRT752" s="574"/>
      <c r="BRU752" s="574"/>
      <c r="BRV752" s="574"/>
      <c r="BRW752" s="574"/>
      <c r="BRX752" s="574"/>
      <c r="BRY752" s="574"/>
      <c r="BRZ752" s="574"/>
      <c r="BSA752" s="574"/>
      <c r="BSB752" s="574"/>
      <c r="BSC752" s="574"/>
      <c r="BSD752" s="574"/>
      <c r="BSE752" s="574"/>
      <c r="BSF752" s="574"/>
      <c r="BSG752" s="574"/>
      <c r="BSH752" s="574"/>
      <c r="BSI752" s="574"/>
      <c r="BSJ752" s="574"/>
      <c r="BSK752" s="574"/>
      <c r="BSL752" s="574"/>
      <c r="BSM752" s="574"/>
      <c r="BSN752" s="574"/>
      <c r="BSO752" s="574"/>
      <c r="BSP752" s="574"/>
      <c r="BSQ752" s="574"/>
      <c r="BSR752" s="574"/>
      <c r="BSS752" s="574"/>
      <c r="BST752" s="574"/>
      <c r="BSU752" s="574"/>
      <c r="BSV752" s="574"/>
      <c r="BSW752" s="574"/>
      <c r="BSX752" s="574"/>
      <c r="BSY752" s="574"/>
      <c r="BSZ752" s="574"/>
      <c r="BTA752" s="574"/>
      <c r="BTB752" s="574"/>
      <c r="BTC752" s="574"/>
      <c r="BTD752" s="574"/>
      <c r="BTE752" s="574"/>
      <c r="BTF752" s="574"/>
      <c r="BTG752" s="574"/>
      <c r="BTH752" s="574"/>
      <c r="BTI752" s="574"/>
      <c r="BTJ752" s="574"/>
      <c r="BTK752" s="574"/>
      <c r="BTL752" s="574"/>
      <c r="BTM752" s="574"/>
      <c r="BTN752" s="574"/>
      <c r="BTO752" s="574"/>
      <c r="BTP752" s="574"/>
      <c r="BTQ752" s="574"/>
      <c r="BTR752" s="574"/>
      <c r="BTS752" s="574"/>
      <c r="BTT752" s="574"/>
      <c r="BTU752" s="574"/>
      <c r="BTV752" s="574"/>
      <c r="BTW752" s="574"/>
      <c r="BTX752" s="574"/>
      <c r="BTY752" s="574"/>
      <c r="BTZ752" s="574"/>
      <c r="BUA752" s="574"/>
      <c r="BUB752" s="574"/>
      <c r="BUC752" s="574"/>
      <c r="BUD752" s="574"/>
      <c r="BUE752" s="574"/>
      <c r="BUF752" s="574"/>
      <c r="BUG752" s="574"/>
      <c r="BUH752" s="574"/>
      <c r="BUI752" s="574"/>
      <c r="BUJ752" s="574"/>
      <c r="BUK752" s="574"/>
      <c r="BUL752" s="574"/>
      <c r="BUM752" s="574"/>
      <c r="BUN752" s="574"/>
      <c r="BUO752" s="574"/>
      <c r="BUP752" s="574"/>
      <c r="BUQ752" s="574"/>
      <c r="BUR752" s="574"/>
      <c r="BUS752" s="574"/>
      <c r="BUT752" s="574"/>
      <c r="BUU752" s="574"/>
      <c r="BUV752" s="574"/>
      <c r="BUW752" s="574"/>
      <c r="BUX752" s="574"/>
      <c r="BUY752" s="574"/>
      <c r="BUZ752" s="574"/>
      <c r="BVA752" s="574"/>
      <c r="BVB752" s="574"/>
      <c r="BVC752" s="574"/>
      <c r="BVD752" s="574"/>
      <c r="BVE752" s="574"/>
      <c r="BVF752" s="574"/>
      <c r="BVG752" s="574"/>
      <c r="BVH752" s="574"/>
      <c r="BVI752" s="574"/>
      <c r="BVJ752" s="574"/>
      <c r="BVK752" s="574"/>
      <c r="BVL752" s="574"/>
      <c r="BVM752" s="574"/>
      <c r="BVN752" s="574"/>
      <c r="BVO752" s="574"/>
      <c r="BVP752" s="574"/>
      <c r="BVQ752" s="574"/>
      <c r="BVR752" s="574"/>
      <c r="BVS752" s="574"/>
      <c r="BVT752" s="574"/>
      <c r="BVU752" s="574"/>
      <c r="BVV752" s="574"/>
      <c r="BVW752" s="574"/>
      <c r="BVX752" s="574"/>
      <c r="BVY752" s="574"/>
      <c r="BVZ752" s="574"/>
      <c r="BWA752" s="574"/>
      <c r="BWB752" s="574"/>
      <c r="BWC752" s="574"/>
      <c r="BWD752" s="574"/>
      <c r="BWE752" s="574"/>
      <c r="BWF752" s="574"/>
      <c r="BWG752" s="574"/>
      <c r="BWH752" s="574"/>
      <c r="BWI752" s="574"/>
      <c r="BWJ752" s="574"/>
      <c r="BWK752" s="574"/>
      <c r="BWL752" s="574"/>
      <c r="BWM752" s="574"/>
      <c r="BWN752" s="574"/>
      <c r="BWO752" s="574"/>
      <c r="BWP752" s="574"/>
      <c r="BWQ752" s="574"/>
      <c r="BWR752" s="574"/>
      <c r="BWS752" s="574"/>
      <c r="BWT752" s="574"/>
      <c r="BWU752" s="574"/>
      <c r="BWV752" s="574"/>
      <c r="BWW752" s="574"/>
      <c r="BWX752" s="574"/>
      <c r="BWY752" s="574"/>
      <c r="BWZ752" s="574"/>
      <c r="BXA752" s="574"/>
      <c r="BXB752" s="574"/>
      <c r="BXC752" s="574"/>
      <c r="BXD752" s="574"/>
      <c r="BXE752" s="574"/>
      <c r="BXF752" s="574"/>
      <c r="BXG752" s="574"/>
      <c r="BXH752" s="574"/>
      <c r="BXI752" s="574"/>
      <c r="BXJ752" s="574"/>
      <c r="BXK752" s="574"/>
      <c r="BXL752" s="574"/>
      <c r="BXM752" s="574"/>
      <c r="BXN752" s="574"/>
      <c r="BXO752" s="574"/>
      <c r="BXP752" s="574"/>
      <c r="BXQ752" s="574"/>
      <c r="BXR752" s="574"/>
      <c r="BXS752" s="574"/>
      <c r="BXT752" s="574"/>
      <c r="BXU752" s="574"/>
      <c r="BXV752" s="574"/>
      <c r="BXW752" s="574"/>
      <c r="BXX752" s="574"/>
      <c r="BXY752" s="574"/>
      <c r="BXZ752" s="574"/>
      <c r="BYA752" s="574"/>
      <c r="BYB752" s="574"/>
      <c r="BYC752" s="574"/>
      <c r="BYD752" s="574"/>
      <c r="BYE752" s="574"/>
      <c r="BYF752" s="574"/>
      <c r="BYG752" s="574"/>
      <c r="BYH752" s="574"/>
      <c r="BYI752" s="574"/>
      <c r="BYJ752" s="574"/>
      <c r="BYK752" s="574"/>
      <c r="BYL752" s="574"/>
      <c r="BYM752" s="574"/>
      <c r="BYN752" s="574"/>
      <c r="BYO752" s="574"/>
      <c r="BYP752" s="574"/>
      <c r="BYQ752" s="574"/>
      <c r="BYR752" s="574"/>
      <c r="BYS752" s="574"/>
      <c r="BYT752" s="574"/>
      <c r="BYU752" s="574"/>
      <c r="BYV752" s="574"/>
      <c r="BYW752" s="574"/>
      <c r="BYX752" s="574"/>
      <c r="BYY752" s="574"/>
      <c r="BYZ752" s="574"/>
      <c r="BZA752" s="574"/>
      <c r="BZB752" s="574"/>
      <c r="BZC752" s="574"/>
      <c r="BZD752" s="574"/>
      <c r="BZE752" s="574"/>
      <c r="BZF752" s="574"/>
      <c r="BZG752" s="574"/>
      <c r="BZH752" s="574"/>
      <c r="BZI752" s="574"/>
      <c r="BZJ752" s="574"/>
      <c r="BZK752" s="574"/>
      <c r="BZL752" s="574"/>
      <c r="BZM752" s="574"/>
      <c r="BZN752" s="574"/>
      <c r="BZO752" s="574"/>
      <c r="BZP752" s="574"/>
      <c r="BZQ752" s="574"/>
      <c r="BZR752" s="574"/>
      <c r="BZS752" s="574"/>
      <c r="BZT752" s="574"/>
      <c r="BZU752" s="574"/>
      <c r="BZV752" s="574"/>
      <c r="BZW752" s="574"/>
      <c r="BZX752" s="574"/>
      <c r="BZY752" s="574"/>
      <c r="BZZ752" s="574"/>
      <c r="CAA752" s="574"/>
      <c r="CAB752" s="574"/>
      <c r="CAC752" s="574"/>
      <c r="CAD752" s="574"/>
      <c r="CAE752" s="574"/>
      <c r="CAF752" s="574"/>
      <c r="CAG752" s="574"/>
      <c r="CAH752" s="574"/>
      <c r="CAI752" s="574"/>
      <c r="CAJ752" s="574"/>
      <c r="CAK752" s="574"/>
      <c r="CAL752" s="574"/>
      <c r="CAM752" s="574"/>
      <c r="CAN752" s="574"/>
      <c r="CAO752" s="574"/>
      <c r="CAP752" s="574"/>
      <c r="CAQ752" s="574"/>
      <c r="CAR752" s="574"/>
      <c r="CAS752" s="574"/>
      <c r="CAT752" s="574"/>
      <c r="CAU752" s="574"/>
      <c r="CAV752" s="574"/>
      <c r="CAW752" s="574"/>
      <c r="CAX752" s="574"/>
      <c r="CAY752" s="574"/>
      <c r="CAZ752" s="574"/>
      <c r="CBA752" s="574"/>
      <c r="CBB752" s="574"/>
      <c r="CBC752" s="574"/>
      <c r="CBD752" s="574"/>
      <c r="CBE752" s="574"/>
      <c r="CBF752" s="574"/>
      <c r="CBG752" s="574"/>
      <c r="CBH752" s="574"/>
      <c r="CBI752" s="574"/>
      <c r="CBJ752" s="574"/>
      <c r="CBK752" s="574"/>
      <c r="CBL752" s="574"/>
      <c r="CBM752" s="574"/>
      <c r="CBN752" s="574"/>
      <c r="CBO752" s="574"/>
      <c r="CBP752" s="574"/>
      <c r="CBQ752" s="574"/>
      <c r="CBR752" s="574"/>
      <c r="CBS752" s="574"/>
      <c r="CBT752" s="574"/>
      <c r="CBU752" s="574"/>
      <c r="CBV752" s="574"/>
      <c r="CBW752" s="574"/>
      <c r="CBX752" s="574"/>
      <c r="CBY752" s="574"/>
      <c r="CBZ752" s="574"/>
      <c r="CCA752" s="574"/>
      <c r="CCB752" s="574"/>
      <c r="CCC752" s="574"/>
      <c r="CCD752" s="574"/>
      <c r="CCE752" s="574"/>
      <c r="CCF752" s="574"/>
      <c r="CCG752" s="574"/>
      <c r="CCH752" s="574"/>
      <c r="CCI752" s="574"/>
      <c r="CCJ752" s="574"/>
      <c r="CCK752" s="574"/>
      <c r="CCL752" s="574"/>
      <c r="CCM752" s="574"/>
      <c r="CCN752" s="574"/>
      <c r="CCO752" s="574"/>
      <c r="CCP752" s="574"/>
      <c r="CCQ752" s="574"/>
      <c r="CCR752" s="574"/>
      <c r="CCS752" s="574"/>
      <c r="CCT752" s="574"/>
      <c r="CCU752" s="574"/>
      <c r="CCV752" s="574"/>
      <c r="CCW752" s="574"/>
      <c r="CCX752" s="574"/>
      <c r="CCY752" s="574"/>
      <c r="CCZ752" s="574"/>
      <c r="CDA752" s="574"/>
      <c r="CDB752" s="574"/>
      <c r="CDC752" s="574"/>
      <c r="CDD752" s="574"/>
      <c r="CDE752" s="574"/>
      <c r="CDF752" s="574"/>
      <c r="CDG752" s="574"/>
      <c r="CDH752" s="574"/>
      <c r="CDI752" s="574"/>
      <c r="CDJ752" s="574"/>
      <c r="CDK752" s="574"/>
      <c r="CDL752" s="574"/>
      <c r="CDM752" s="574"/>
      <c r="CDN752" s="574"/>
      <c r="CDO752" s="574"/>
      <c r="CDP752" s="574"/>
      <c r="CDQ752" s="574"/>
      <c r="CDR752" s="574"/>
      <c r="CDS752" s="574"/>
      <c r="CDT752" s="574"/>
      <c r="CDU752" s="574"/>
      <c r="CDV752" s="574"/>
      <c r="CDW752" s="574"/>
      <c r="CDX752" s="574"/>
      <c r="CDY752" s="574"/>
      <c r="CDZ752" s="574"/>
      <c r="CEA752" s="574"/>
      <c r="CEB752" s="574"/>
      <c r="CEC752" s="574"/>
      <c r="CED752" s="574"/>
      <c r="CEE752" s="574"/>
      <c r="CEF752" s="574"/>
      <c r="CEG752" s="574"/>
      <c r="CEH752" s="574"/>
      <c r="CEI752" s="574"/>
      <c r="CEJ752" s="574"/>
      <c r="CEK752" s="574"/>
      <c r="CEL752" s="574"/>
      <c r="CEM752" s="574"/>
      <c r="CEN752" s="574"/>
      <c r="CEO752" s="574"/>
      <c r="CEP752" s="574"/>
      <c r="CEQ752" s="574"/>
      <c r="CER752" s="574"/>
      <c r="CES752" s="574"/>
      <c r="CET752" s="574"/>
      <c r="CEU752" s="574"/>
      <c r="CEV752" s="574"/>
      <c r="CEW752" s="574"/>
      <c r="CEX752" s="574"/>
      <c r="CEY752" s="574"/>
      <c r="CEZ752" s="574"/>
      <c r="CFA752" s="574"/>
      <c r="CFB752" s="574"/>
      <c r="CFC752" s="574"/>
      <c r="CFD752" s="574"/>
      <c r="CFE752" s="574"/>
      <c r="CFF752" s="574"/>
      <c r="CFG752" s="574"/>
      <c r="CFH752" s="574"/>
      <c r="CFI752" s="574"/>
      <c r="CFJ752" s="574"/>
      <c r="CFK752" s="574"/>
      <c r="CFL752" s="574"/>
      <c r="CFM752" s="574"/>
      <c r="CFN752" s="574"/>
      <c r="CFO752" s="574"/>
      <c r="CFP752" s="574"/>
      <c r="CFQ752" s="574"/>
      <c r="CFR752" s="574"/>
      <c r="CFS752" s="574"/>
      <c r="CFT752" s="574"/>
      <c r="CFU752" s="574"/>
      <c r="CFV752" s="574"/>
      <c r="CFW752" s="574"/>
      <c r="CFX752" s="574"/>
      <c r="CFY752" s="574"/>
      <c r="CFZ752" s="574"/>
      <c r="CGA752" s="574"/>
      <c r="CGB752" s="574"/>
      <c r="CGC752" s="574"/>
      <c r="CGD752" s="574"/>
      <c r="CGE752" s="574"/>
      <c r="CGF752" s="574"/>
      <c r="CGG752" s="574"/>
      <c r="CGH752" s="574"/>
      <c r="CGI752" s="574"/>
      <c r="CGJ752" s="574"/>
      <c r="CGK752" s="574"/>
      <c r="CGL752" s="574"/>
      <c r="CGM752" s="574"/>
      <c r="CGN752" s="574"/>
      <c r="CGO752" s="574"/>
      <c r="CGP752" s="574"/>
      <c r="CGQ752" s="574"/>
      <c r="CGR752" s="574"/>
      <c r="CGS752" s="574"/>
      <c r="CGT752" s="574"/>
      <c r="CGU752" s="574"/>
      <c r="CGV752" s="574"/>
      <c r="CGW752" s="574"/>
      <c r="CGX752" s="574"/>
      <c r="CGY752" s="574"/>
      <c r="CGZ752" s="574"/>
      <c r="CHA752" s="574"/>
      <c r="CHB752" s="574"/>
      <c r="CHC752" s="574"/>
      <c r="CHD752" s="574"/>
      <c r="CHE752" s="574"/>
      <c r="CHF752" s="574"/>
      <c r="CHG752" s="574"/>
      <c r="CHH752" s="574"/>
      <c r="CHI752" s="574"/>
      <c r="CHJ752" s="574"/>
      <c r="CHK752" s="574"/>
      <c r="CHL752" s="574"/>
      <c r="CHM752" s="574"/>
      <c r="CHN752" s="574"/>
      <c r="CHO752" s="574"/>
      <c r="CHP752" s="574"/>
      <c r="CHQ752" s="574"/>
      <c r="CHR752" s="574"/>
      <c r="CHS752" s="574"/>
      <c r="CHT752" s="574"/>
      <c r="CHU752" s="574"/>
      <c r="CHV752" s="574"/>
      <c r="CHW752" s="574"/>
      <c r="CHX752" s="574"/>
      <c r="CHY752" s="574"/>
      <c r="CHZ752" s="574"/>
      <c r="CIA752" s="574"/>
      <c r="CIB752" s="574"/>
      <c r="CIC752" s="574"/>
      <c r="CID752" s="574"/>
      <c r="CIE752" s="574"/>
      <c r="CIF752" s="574"/>
      <c r="CIG752" s="574"/>
      <c r="CIH752" s="574"/>
      <c r="CII752" s="574"/>
      <c r="CIJ752" s="574"/>
      <c r="CIK752" s="574"/>
      <c r="CIL752" s="574"/>
      <c r="CIM752" s="574"/>
      <c r="CIN752" s="574"/>
      <c r="CIO752" s="574"/>
      <c r="CIP752" s="574"/>
      <c r="CIQ752" s="574"/>
      <c r="CIR752" s="574"/>
      <c r="CIS752" s="574"/>
      <c r="CIT752" s="574"/>
      <c r="CIU752" s="574"/>
      <c r="CIV752" s="574"/>
      <c r="CIW752" s="574"/>
      <c r="CIX752" s="574"/>
      <c r="CIY752" s="574"/>
      <c r="CIZ752" s="574"/>
      <c r="CJA752" s="574"/>
      <c r="CJB752" s="574"/>
      <c r="CJC752" s="574"/>
      <c r="CJD752" s="574"/>
      <c r="CJE752" s="574"/>
      <c r="CJF752" s="574"/>
      <c r="CJG752" s="574"/>
      <c r="CJH752" s="574"/>
      <c r="CJI752" s="574"/>
      <c r="CJJ752" s="574"/>
      <c r="CJK752" s="574"/>
      <c r="CJL752" s="574"/>
      <c r="CJM752" s="574"/>
      <c r="CJN752" s="574"/>
      <c r="CJO752" s="574"/>
      <c r="CJP752" s="574"/>
      <c r="CJQ752" s="574"/>
      <c r="CJR752" s="574"/>
      <c r="CJS752" s="574"/>
      <c r="CJT752" s="574"/>
      <c r="CJU752" s="574"/>
      <c r="CJV752" s="574"/>
      <c r="CJW752" s="574"/>
      <c r="CJX752" s="574"/>
      <c r="CJY752" s="574"/>
      <c r="CJZ752" s="574"/>
      <c r="CKA752" s="574"/>
      <c r="CKB752" s="574"/>
      <c r="CKC752" s="574"/>
      <c r="CKD752" s="574"/>
      <c r="CKE752" s="574"/>
      <c r="CKF752" s="574"/>
      <c r="CKG752" s="574"/>
      <c r="CKH752" s="574"/>
      <c r="CKI752" s="574"/>
      <c r="CKJ752" s="574"/>
      <c r="CKK752" s="574"/>
      <c r="CKL752" s="574"/>
      <c r="CKM752" s="574"/>
      <c r="CKN752" s="574"/>
      <c r="CKO752" s="574"/>
      <c r="CKP752" s="574"/>
      <c r="CKQ752" s="574"/>
      <c r="CKR752" s="574"/>
      <c r="CKS752" s="574"/>
      <c r="CKT752" s="574"/>
      <c r="CKU752" s="574"/>
      <c r="CKV752" s="574"/>
      <c r="CKW752" s="574"/>
      <c r="CKX752" s="574"/>
      <c r="CKY752" s="574"/>
      <c r="CKZ752" s="574"/>
      <c r="CLA752" s="574"/>
      <c r="CLB752" s="574"/>
      <c r="CLC752" s="574"/>
      <c r="CLD752" s="574"/>
      <c r="CLE752" s="574"/>
      <c r="CLF752" s="574"/>
      <c r="CLG752" s="574"/>
      <c r="CLH752" s="574"/>
      <c r="CLI752" s="574"/>
      <c r="CLJ752" s="574"/>
      <c r="CLK752" s="574"/>
      <c r="CLL752" s="574"/>
      <c r="CLM752" s="574"/>
      <c r="CLN752" s="574"/>
      <c r="CLO752" s="574"/>
      <c r="CLP752" s="574"/>
      <c r="CLQ752" s="574"/>
      <c r="CLR752" s="574"/>
      <c r="CLS752" s="574"/>
      <c r="CLT752" s="574"/>
      <c r="CLU752" s="574"/>
      <c r="CLV752" s="574"/>
      <c r="CLW752" s="574"/>
      <c r="CLX752" s="574"/>
      <c r="CLY752" s="574"/>
      <c r="CLZ752" s="574"/>
      <c r="CMA752" s="574"/>
      <c r="CMB752" s="574"/>
      <c r="CMC752" s="574"/>
      <c r="CMD752" s="574"/>
      <c r="CME752" s="574"/>
      <c r="CMF752" s="574"/>
      <c r="CMG752" s="574"/>
      <c r="CMH752" s="574"/>
      <c r="CMI752" s="574"/>
      <c r="CMJ752" s="574"/>
      <c r="CMK752" s="574"/>
      <c r="CML752" s="574"/>
      <c r="CMM752" s="574"/>
      <c r="CMN752" s="574"/>
      <c r="CMO752" s="574"/>
      <c r="CMP752" s="574"/>
      <c r="CMQ752" s="574"/>
      <c r="CMR752" s="574"/>
      <c r="CMS752" s="574"/>
      <c r="CMT752" s="574"/>
      <c r="CMU752" s="574"/>
      <c r="CMV752" s="574"/>
      <c r="CMW752" s="574"/>
      <c r="CMX752" s="574"/>
      <c r="CMY752" s="574"/>
      <c r="CMZ752" s="574"/>
      <c r="CNA752" s="574"/>
      <c r="CNB752" s="574"/>
      <c r="CNC752" s="574"/>
      <c r="CND752" s="574"/>
      <c r="CNE752" s="574"/>
      <c r="CNF752" s="574"/>
      <c r="CNG752" s="574"/>
      <c r="CNH752" s="574"/>
      <c r="CNI752" s="574"/>
      <c r="CNJ752" s="574"/>
      <c r="CNK752" s="574"/>
      <c r="CNL752" s="574"/>
      <c r="CNM752" s="574"/>
      <c r="CNN752" s="574"/>
      <c r="CNO752" s="574"/>
      <c r="CNP752" s="574"/>
      <c r="CNQ752" s="574"/>
      <c r="CNR752" s="574"/>
      <c r="CNS752" s="574"/>
      <c r="CNT752" s="574"/>
      <c r="CNU752" s="574"/>
      <c r="CNV752" s="574"/>
      <c r="CNW752" s="574"/>
      <c r="CNX752" s="574"/>
      <c r="CNY752" s="574"/>
      <c r="CNZ752" s="574"/>
      <c r="COA752" s="574"/>
      <c r="COB752" s="574"/>
      <c r="COC752" s="574"/>
      <c r="COD752" s="574"/>
      <c r="COE752" s="574"/>
      <c r="COF752" s="574"/>
      <c r="COG752" s="574"/>
      <c r="COH752" s="574"/>
      <c r="COI752" s="574"/>
      <c r="COJ752" s="574"/>
      <c r="COK752" s="574"/>
      <c r="COL752" s="574"/>
      <c r="COM752" s="574"/>
      <c r="CON752" s="574"/>
      <c r="COO752" s="574"/>
      <c r="COP752" s="574"/>
      <c r="COQ752" s="574"/>
      <c r="COR752" s="574"/>
      <c r="COS752" s="574"/>
      <c r="COT752" s="574"/>
      <c r="COU752" s="574"/>
      <c r="COV752" s="574"/>
      <c r="COW752" s="574"/>
      <c r="COX752" s="574"/>
      <c r="COY752" s="574"/>
      <c r="COZ752" s="574"/>
      <c r="CPA752" s="574"/>
      <c r="CPB752" s="574"/>
      <c r="CPC752" s="574"/>
      <c r="CPD752" s="574"/>
      <c r="CPE752" s="574"/>
      <c r="CPF752" s="574"/>
      <c r="CPG752" s="574"/>
      <c r="CPH752" s="574"/>
      <c r="CPI752" s="574"/>
      <c r="CPJ752" s="574"/>
      <c r="CPK752" s="574"/>
      <c r="CPL752" s="574"/>
      <c r="CPM752" s="574"/>
      <c r="CPN752" s="574"/>
      <c r="CPO752" s="574"/>
      <c r="CPP752" s="574"/>
      <c r="CPQ752" s="574"/>
      <c r="CPR752" s="574"/>
      <c r="CPS752" s="574"/>
      <c r="CPT752" s="574"/>
      <c r="CPU752" s="574"/>
      <c r="CPV752" s="574"/>
      <c r="CPW752" s="574"/>
      <c r="CPX752" s="574"/>
      <c r="CPY752" s="574"/>
      <c r="CPZ752" s="574"/>
      <c r="CQA752" s="574"/>
      <c r="CQB752" s="574"/>
      <c r="CQC752" s="574"/>
      <c r="CQD752" s="574"/>
      <c r="CQE752" s="574"/>
      <c r="CQF752" s="574"/>
      <c r="CQG752" s="574"/>
      <c r="CQH752" s="574"/>
      <c r="CQI752" s="574"/>
      <c r="CQJ752" s="574"/>
      <c r="CQK752" s="574"/>
      <c r="CQL752" s="574"/>
      <c r="CQM752" s="574"/>
      <c r="CQN752" s="574"/>
      <c r="CQO752" s="574"/>
      <c r="CQP752" s="574"/>
      <c r="CQQ752" s="574"/>
      <c r="CQR752" s="574"/>
      <c r="CQS752" s="574"/>
      <c r="CQT752" s="574"/>
      <c r="CQU752" s="574"/>
      <c r="CQV752" s="574"/>
      <c r="CQW752" s="574"/>
      <c r="CQX752" s="574"/>
      <c r="CQY752" s="574"/>
      <c r="CQZ752" s="574"/>
      <c r="CRA752" s="574"/>
      <c r="CRB752" s="574"/>
      <c r="CRC752" s="574"/>
      <c r="CRD752" s="574"/>
      <c r="CRE752" s="574"/>
      <c r="CRF752" s="574"/>
      <c r="CRG752" s="574"/>
      <c r="CRH752" s="574"/>
      <c r="CRI752" s="574"/>
      <c r="CRJ752" s="574"/>
      <c r="CRK752" s="574"/>
      <c r="CRL752" s="574"/>
      <c r="CRM752" s="574"/>
      <c r="CRN752" s="574"/>
      <c r="CRO752" s="574"/>
      <c r="CRP752" s="574"/>
      <c r="CRQ752" s="574"/>
      <c r="CRR752" s="574"/>
      <c r="CRS752" s="574"/>
      <c r="CRT752" s="574"/>
      <c r="CRU752" s="574"/>
      <c r="CRV752" s="574"/>
      <c r="CRW752" s="574"/>
      <c r="CRX752" s="574"/>
      <c r="CRY752" s="574"/>
      <c r="CRZ752" s="574"/>
      <c r="CSA752" s="574"/>
      <c r="CSB752" s="574"/>
      <c r="CSC752" s="574"/>
      <c r="CSD752" s="574"/>
      <c r="CSE752" s="574"/>
      <c r="CSF752" s="574"/>
      <c r="CSG752" s="574"/>
      <c r="CSH752" s="574"/>
      <c r="CSI752" s="574"/>
      <c r="CSJ752" s="574"/>
      <c r="CSK752" s="574"/>
      <c r="CSL752" s="574"/>
      <c r="CSM752" s="574"/>
      <c r="CSN752" s="574"/>
      <c r="CSO752" s="574"/>
      <c r="CSP752" s="574"/>
      <c r="CSQ752" s="574"/>
      <c r="CSR752" s="574"/>
      <c r="CSS752" s="574"/>
      <c r="CST752" s="574"/>
      <c r="CSU752" s="574"/>
      <c r="CSV752" s="574"/>
      <c r="CSW752" s="574"/>
      <c r="CSX752" s="574"/>
      <c r="CSY752" s="574"/>
      <c r="CSZ752" s="574"/>
      <c r="CTA752" s="574"/>
      <c r="CTB752" s="574"/>
      <c r="CTC752" s="574"/>
      <c r="CTD752" s="574"/>
      <c r="CTE752" s="574"/>
      <c r="CTF752" s="574"/>
      <c r="CTG752" s="574"/>
      <c r="CTH752" s="574"/>
      <c r="CTI752" s="574"/>
      <c r="CTJ752" s="574"/>
      <c r="CTK752" s="574"/>
      <c r="CTL752" s="574"/>
      <c r="CTM752" s="574"/>
      <c r="CTN752" s="574"/>
      <c r="CTO752" s="574"/>
      <c r="CTP752" s="574"/>
      <c r="CTQ752" s="574"/>
      <c r="CTR752" s="574"/>
      <c r="CTS752" s="574"/>
      <c r="CTT752" s="574"/>
      <c r="CTU752" s="574"/>
      <c r="CTV752" s="574"/>
      <c r="CTW752" s="574"/>
      <c r="CTX752" s="574"/>
      <c r="CTY752" s="574"/>
      <c r="CTZ752" s="574"/>
      <c r="CUA752" s="574"/>
      <c r="CUB752" s="574"/>
      <c r="CUC752" s="574"/>
      <c r="CUD752" s="574"/>
      <c r="CUE752" s="574"/>
      <c r="CUF752" s="574"/>
      <c r="CUG752" s="574"/>
      <c r="CUH752" s="574"/>
      <c r="CUI752" s="574"/>
      <c r="CUJ752" s="574"/>
      <c r="CUK752" s="574"/>
      <c r="CUL752" s="574"/>
      <c r="CUM752" s="574"/>
      <c r="CUN752" s="574"/>
      <c r="CUO752" s="574"/>
      <c r="CUP752" s="574"/>
      <c r="CUQ752" s="574"/>
      <c r="CUR752" s="574"/>
      <c r="CUS752" s="574"/>
      <c r="CUT752" s="574"/>
      <c r="CUU752" s="574"/>
      <c r="CUV752" s="574"/>
      <c r="CUW752" s="574"/>
      <c r="CUX752" s="574"/>
      <c r="CUY752" s="574"/>
      <c r="CUZ752" s="574"/>
      <c r="CVA752" s="574"/>
      <c r="CVB752" s="574"/>
      <c r="CVC752" s="574"/>
      <c r="CVD752" s="574"/>
      <c r="CVE752" s="574"/>
      <c r="CVF752" s="574"/>
      <c r="CVG752" s="574"/>
      <c r="CVH752" s="574"/>
      <c r="CVI752" s="574"/>
      <c r="CVJ752" s="574"/>
      <c r="CVK752" s="574"/>
      <c r="CVL752" s="574"/>
      <c r="CVM752" s="574"/>
      <c r="CVN752" s="574"/>
      <c r="CVO752" s="574"/>
      <c r="CVP752" s="574"/>
      <c r="CVQ752" s="574"/>
      <c r="CVR752" s="574"/>
      <c r="CVS752" s="574"/>
      <c r="CVT752" s="574"/>
      <c r="CVU752" s="574"/>
      <c r="CVV752" s="574"/>
      <c r="CVW752" s="574"/>
      <c r="CVX752" s="574"/>
      <c r="CVY752" s="574"/>
      <c r="CVZ752" s="574"/>
      <c r="CWA752" s="574"/>
      <c r="CWB752" s="574"/>
      <c r="CWC752" s="574"/>
      <c r="CWD752" s="574"/>
      <c r="CWE752" s="574"/>
      <c r="CWF752" s="574"/>
      <c r="CWG752" s="574"/>
      <c r="CWH752" s="574"/>
      <c r="CWI752" s="574"/>
      <c r="CWJ752" s="574"/>
      <c r="CWK752" s="574"/>
      <c r="CWL752" s="574"/>
      <c r="CWM752" s="574"/>
      <c r="CWN752" s="574"/>
      <c r="CWO752" s="574"/>
      <c r="CWP752" s="574"/>
      <c r="CWQ752" s="574"/>
      <c r="CWR752" s="574"/>
      <c r="CWS752" s="574"/>
      <c r="CWT752" s="574"/>
      <c r="CWU752" s="574"/>
      <c r="CWV752" s="574"/>
      <c r="CWW752" s="574"/>
      <c r="CWX752" s="574"/>
      <c r="CWY752" s="574"/>
      <c r="CWZ752" s="574"/>
      <c r="CXA752" s="574"/>
      <c r="CXB752" s="574"/>
      <c r="CXC752" s="574"/>
      <c r="CXD752" s="574"/>
      <c r="CXE752" s="574"/>
      <c r="CXF752" s="574"/>
      <c r="CXG752" s="574"/>
      <c r="CXH752" s="574"/>
      <c r="CXI752" s="574"/>
      <c r="CXJ752" s="574"/>
      <c r="CXK752" s="574"/>
      <c r="CXL752" s="574"/>
      <c r="CXM752" s="574"/>
      <c r="CXN752" s="574"/>
      <c r="CXO752" s="574"/>
      <c r="CXP752" s="574"/>
      <c r="CXQ752" s="574"/>
      <c r="CXR752" s="574"/>
      <c r="CXS752" s="574"/>
      <c r="CXT752" s="574"/>
      <c r="CXU752" s="574"/>
      <c r="CXV752" s="574"/>
      <c r="CXW752" s="574"/>
      <c r="CXX752" s="574"/>
      <c r="CXY752" s="574"/>
      <c r="CXZ752" s="574"/>
      <c r="CYA752" s="574"/>
      <c r="CYB752" s="574"/>
      <c r="CYC752" s="574"/>
      <c r="CYD752" s="574"/>
      <c r="CYE752" s="574"/>
      <c r="CYF752" s="574"/>
      <c r="CYG752" s="574"/>
      <c r="CYH752" s="574"/>
      <c r="CYI752" s="574"/>
      <c r="CYJ752" s="574"/>
      <c r="CYK752" s="574"/>
      <c r="CYL752" s="574"/>
      <c r="CYM752" s="574"/>
      <c r="CYN752" s="574"/>
      <c r="CYO752" s="574"/>
      <c r="CYP752" s="574"/>
      <c r="CYQ752" s="574"/>
      <c r="CYR752" s="574"/>
      <c r="CYS752" s="574"/>
      <c r="CYT752" s="574"/>
      <c r="CYU752" s="574"/>
      <c r="CYV752" s="574"/>
      <c r="CYW752" s="574"/>
      <c r="CYX752" s="574"/>
      <c r="CYY752" s="574"/>
      <c r="CYZ752" s="574"/>
      <c r="CZA752" s="574"/>
      <c r="CZB752" s="574"/>
      <c r="CZC752" s="574"/>
      <c r="CZD752" s="574"/>
      <c r="CZE752" s="574"/>
      <c r="CZF752" s="574"/>
      <c r="CZG752" s="574"/>
      <c r="CZH752" s="574"/>
      <c r="CZI752" s="574"/>
      <c r="CZJ752" s="574"/>
      <c r="CZK752" s="574"/>
      <c r="CZL752" s="574"/>
      <c r="CZM752" s="574"/>
      <c r="CZN752" s="574"/>
      <c r="CZO752" s="574"/>
      <c r="CZP752" s="574"/>
      <c r="CZQ752" s="574"/>
      <c r="CZR752" s="574"/>
      <c r="CZS752" s="574"/>
      <c r="CZT752" s="574"/>
      <c r="CZU752" s="574"/>
      <c r="CZV752" s="574"/>
      <c r="CZW752" s="574"/>
      <c r="CZX752" s="574"/>
      <c r="CZY752" s="574"/>
      <c r="CZZ752" s="574"/>
      <c r="DAA752" s="574"/>
      <c r="DAB752" s="574"/>
      <c r="DAC752" s="574"/>
      <c r="DAD752" s="574"/>
      <c r="DAE752" s="574"/>
      <c r="DAF752" s="574"/>
      <c r="DAG752" s="574"/>
      <c r="DAH752" s="574"/>
      <c r="DAI752" s="574"/>
      <c r="DAJ752" s="574"/>
      <c r="DAK752" s="574"/>
      <c r="DAL752" s="574"/>
      <c r="DAM752" s="574"/>
      <c r="DAN752" s="574"/>
      <c r="DAO752" s="574"/>
      <c r="DAP752" s="574"/>
      <c r="DAQ752" s="574"/>
      <c r="DAR752" s="574"/>
      <c r="DAS752" s="574"/>
      <c r="DAT752" s="574"/>
      <c r="DAU752" s="574"/>
      <c r="DAV752" s="574"/>
      <c r="DAW752" s="574"/>
      <c r="DAX752" s="574"/>
      <c r="DAY752" s="574"/>
      <c r="DAZ752" s="574"/>
      <c r="DBA752" s="574"/>
      <c r="DBB752" s="574"/>
      <c r="DBC752" s="574"/>
      <c r="DBD752" s="574"/>
      <c r="DBE752" s="574"/>
      <c r="DBF752" s="574"/>
      <c r="DBG752" s="574"/>
      <c r="DBH752" s="574"/>
      <c r="DBI752" s="574"/>
      <c r="DBJ752" s="574"/>
      <c r="DBK752" s="574"/>
      <c r="DBL752" s="574"/>
      <c r="DBM752" s="574"/>
      <c r="DBN752" s="574"/>
      <c r="DBO752" s="574"/>
      <c r="DBP752" s="574"/>
      <c r="DBQ752" s="574"/>
      <c r="DBR752" s="574"/>
      <c r="DBS752" s="574"/>
      <c r="DBT752" s="574"/>
      <c r="DBU752" s="574"/>
      <c r="DBV752" s="574"/>
      <c r="DBW752" s="574"/>
      <c r="DBX752" s="574"/>
      <c r="DBY752" s="574"/>
      <c r="DBZ752" s="574"/>
      <c r="DCA752" s="574"/>
      <c r="DCB752" s="574"/>
      <c r="DCC752" s="574"/>
      <c r="DCD752" s="574"/>
      <c r="DCE752" s="574"/>
      <c r="DCF752" s="574"/>
      <c r="DCG752" s="574"/>
      <c r="DCH752" s="574"/>
      <c r="DCI752" s="574"/>
      <c r="DCJ752" s="574"/>
      <c r="DCK752" s="574"/>
      <c r="DCL752" s="574"/>
      <c r="DCM752" s="574"/>
      <c r="DCN752" s="574"/>
      <c r="DCO752" s="574"/>
      <c r="DCP752" s="574"/>
      <c r="DCQ752" s="574"/>
      <c r="DCR752" s="574"/>
      <c r="DCS752" s="574"/>
      <c r="DCT752" s="574"/>
      <c r="DCU752" s="574"/>
      <c r="DCV752" s="574"/>
      <c r="DCW752" s="574"/>
      <c r="DCX752" s="574"/>
      <c r="DCY752" s="574"/>
      <c r="DCZ752" s="574"/>
      <c r="DDA752" s="574"/>
      <c r="DDB752" s="574"/>
      <c r="DDC752" s="574"/>
      <c r="DDD752" s="574"/>
      <c r="DDE752" s="574"/>
      <c r="DDF752" s="574"/>
      <c r="DDG752" s="574"/>
      <c r="DDH752" s="574"/>
      <c r="DDI752" s="574"/>
      <c r="DDJ752" s="574"/>
      <c r="DDK752" s="574"/>
      <c r="DDL752" s="574"/>
      <c r="DDM752" s="574"/>
      <c r="DDN752" s="574"/>
      <c r="DDO752" s="574"/>
      <c r="DDP752" s="574"/>
      <c r="DDQ752" s="574"/>
      <c r="DDR752" s="574"/>
      <c r="DDS752" s="574"/>
      <c r="DDT752" s="574"/>
      <c r="DDU752" s="574"/>
      <c r="DDV752" s="574"/>
      <c r="DDW752" s="574"/>
      <c r="DDX752" s="574"/>
      <c r="DDY752" s="574"/>
      <c r="DDZ752" s="574"/>
      <c r="DEA752" s="574"/>
      <c r="DEB752" s="574"/>
      <c r="DEC752" s="574"/>
      <c r="DED752" s="574"/>
      <c r="DEE752" s="574"/>
      <c r="DEF752" s="574"/>
      <c r="DEG752" s="574"/>
      <c r="DEH752" s="574"/>
      <c r="DEI752" s="574"/>
      <c r="DEJ752" s="574"/>
      <c r="DEK752" s="574"/>
      <c r="DEL752" s="574"/>
      <c r="DEM752" s="574"/>
      <c r="DEN752" s="574"/>
      <c r="DEO752" s="574"/>
      <c r="DEP752" s="574"/>
      <c r="DEQ752" s="574"/>
      <c r="DER752" s="574"/>
      <c r="DES752" s="574"/>
      <c r="DET752" s="574"/>
      <c r="DEU752" s="574"/>
      <c r="DEV752" s="574"/>
      <c r="DEW752" s="574"/>
      <c r="DEX752" s="574"/>
      <c r="DEY752" s="574"/>
      <c r="DEZ752" s="574"/>
      <c r="DFA752" s="574"/>
      <c r="DFB752" s="574"/>
      <c r="DFC752" s="574"/>
      <c r="DFD752" s="574"/>
      <c r="DFE752" s="574"/>
      <c r="DFF752" s="574"/>
      <c r="DFG752" s="574"/>
      <c r="DFH752" s="574"/>
      <c r="DFI752" s="574"/>
      <c r="DFJ752" s="574"/>
      <c r="DFK752" s="574"/>
      <c r="DFL752" s="574"/>
      <c r="DFM752" s="574"/>
      <c r="DFN752" s="574"/>
      <c r="DFO752" s="574"/>
      <c r="DFP752" s="574"/>
      <c r="DFQ752" s="574"/>
      <c r="DFR752" s="574"/>
      <c r="DFS752" s="574"/>
      <c r="DFT752" s="574"/>
      <c r="DFU752" s="574"/>
      <c r="DFV752" s="574"/>
      <c r="DFW752" s="574"/>
      <c r="DFX752" s="574"/>
      <c r="DFY752" s="574"/>
      <c r="DFZ752" s="574"/>
      <c r="DGA752" s="574"/>
      <c r="DGB752" s="574"/>
      <c r="DGC752" s="574"/>
      <c r="DGD752" s="574"/>
      <c r="DGE752" s="574"/>
      <c r="DGF752" s="574"/>
      <c r="DGG752" s="574"/>
      <c r="DGH752" s="574"/>
      <c r="DGI752" s="574"/>
      <c r="DGJ752" s="574"/>
      <c r="DGK752" s="574"/>
      <c r="DGL752" s="574"/>
      <c r="DGM752" s="574"/>
      <c r="DGN752" s="574"/>
      <c r="DGO752" s="574"/>
      <c r="DGP752" s="574"/>
      <c r="DGQ752" s="574"/>
      <c r="DGR752" s="574"/>
      <c r="DGS752" s="574"/>
      <c r="DGT752" s="574"/>
      <c r="DGU752" s="574"/>
      <c r="DGV752" s="574"/>
      <c r="DGW752" s="574"/>
      <c r="DGX752" s="574"/>
      <c r="DGY752" s="574"/>
      <c r="DGZ752" s="574"/>
      <c r="DHA752" s="574"/>
      <c r="DHB752" s="574"/>
      <c r="DHC752" s="574"/>
      <c r="DHD752" s="574"/>
      <c r="DHE752" s="574"/>
      <c r="DHF752" s="574"/>
      <c r="DHG752" s="574"/>
      <c r="DHH752" s="574"/>
      <c r="DHI752" s="574"/>
      <c r="DHJ752" s="574"/>
      <c r="DHK752" s="574"/>
      <c r="DHL752" s="574"/>
      <c r="DHM752" s="574"/>
      <c r="DHN752" s="574"/>
      <c r="DHO752" s="574"/>
      <c r="DHP752" s="574"/>
      <c r="DHQ752" s="574"/>
      <c r="DHR752" s="574"/>
      <c r="DHS752" s="574"/>
      <c r="DHT752" s="574"/>
      <c r="DHU752" s="574"/>
      <c r="DHV752" s="574"/>
      <c r="DHW752" s="574"/>
      <c r="DHX752" s="574"/>
      <c r="DHY752" s="574"/>
      <c r="DHZ752" s="574"/>
      <c r="DIA752" s="574"/>
      <c r="DIB752" s="574"/>
      <c r="DIC752" s="574"/>
      <c r="DID752" s="574"/>
      <c r="DIE752" s="574"/>
      <c r="DIF752" s="574"/>
      <c r="DIG752" s="574"/>
      <c r="DIH752" s="574"/>
      <c r="DII752" s="574"/>
      <c r="DIJ752" s="574"/>
      <c r="DIK752" s="574"/>
      <c r="DIL752" s="574"/>
      <c r="DIM752" s="574"/>
      <c r="DIN752" s="574"/>
      <c r="DIO752" s="574"/>
      <c r="DIP752" s="574"/>
      <c r="DIQ752" s="574"/>
      <c r="DIR752" s="574"/>
      <c r="DIS752" s="574"/>
      <c r="DIT752" s="574"/>
      <c r="DIU752" s="574"/>
      <c r="DIV752" s="574"/>
      <c r="DIW752" s="574"/>
      <c r="DIX752" s="574"/>
      <c r="DIY752" s="574"/>
      <c r="DIZ752" s="574"/>
      <c r="DJA752" s="574"/>
      <c r="DJB752" s="574"/>
      <c r="DJC752" s="574"/>
      <c r="DJD752" s="574"/>
      <c r="DJE752" s="574"/>
      <c r="DJF752" s="574"/>
      <c r="DJG752" s="574"/>
      <c r="DJH752" s="574"/>
      <c r="DJI752" s="574"/>
      <c r="DJJ752" s="574"/>
      <c r="DJK752" s="574"/>
      <c r="DJL752" s="574"/>
      <c r="DJM752" s="574"/>
      <c r="DJN752" s="574"/>
      <c r="DJO752" s="574"/>
      <c r="DJP752" s="574"/>
      <c r="DJQ752" s="574"/>
      <c r="DJR752" s="574"/>
      <c r="DJS752" s="574"/>
      <c r="DJT752" s="574"/>
      <c r="DJU752" s="574"/>
      <c r="DJV752" s="574"/>
      <c r="DJW752" s="574"/>
      <c r="DJX752" s="574"/>
      <c r="DJY752" s="574"/>
      <c r="DJZ752" s="574"/>
      <c r="DKA752" s="574"/>
      <c r="DKB752" s="574"/>
      <c r="DKC752" s="574"/>
      <c r="DKD752" s="574"/>
      <c r="DKE752" s="574"/>
      <c r="DKF752" s="574"/>
      <c r="DKG752" s="574"/>
      <c r="DKH752" s="574"/>
      <c r="DKI752" s="574"/>
      <c r="DKJ752" s="574"/>
      <c r="DKK752" s="574"/>
      <c r="DKL752" s="574"/>
      <c r="DKM752" s="574"/>
      <c r="DKN752" s="574"/>
      <c r="DKO752" s="574"/>
      <c r="DKP752" s="574"/>
      <c r="DKQ752" s="574"/>
      <c r="DKR752" s="574"/>
      <c r="DKS752" s="574"/>
      <c r="DKT752" s="574"/>
      <c r="DKU752" s="574"/>
      <c r="DKV752" s="574"/>
      <c r="DKW752" s="574"/>
      <c r="DKX752" s="574"/>
      <c r="DKY752" s="574"/>
      <c r="DKZ752" s="574"/>
      <c r="DLA752" s="574"/>
      <c r="DLB752" s="574"/>
      <c r="DLC752" s="574"/>
      <c r="DLD752" s="574"/>
      <c r="DLE752" s="574"/>
      <c r="DLF752" s="574"/>
      <c r="DLG752" s="574"/>
      <c r="DLH752" s="574"/>
      <c r="DLI752" s="574"/>
      <c r="DLJ752" s="574"/>
      <c r="DLK752" s="574"/>
      <c r="DLL752" s="574"/>
      <c r="DLM752" s="574"/>
      <c r="DLN752" s="574"/>
      <c r="DLO752" s="574"/>
      <c r="DLP752" s="574"/>
      <c r="DLQ752" s="574"/>
      <c r="DLR752" s="574"/>
      <c r="DLS752" s="574"/>
      <c r="DLT752" s="574"/>
      <c r="DLU752" s="574"/>
      <c r="DLV752" s="574"/>
      <c r="DLW752" s="574"/>
      <c r="DLX752" s="574"/>
      <c r="DLY752" s="574"/>
      <c r="DLZ752" s="574"/>
      <c r="DMA752" s="574"/>
      <c r="DMB752" s="574"/>
      <c r="DMC752" s="574"/>
      <c r="DMD752" s="574"/>
      <c r="DME752" s="574"/>
      <c r="DMF752" s="574"/>
      <c r="DMG752" s="574"/>
      <c r="DMH752" s="574"/>
      <c r="DMI752" s="574"/>
      <c r="DMJ752" s="574"/>
      <c r="DMK752" s="574"/>
      <c r="DML752" s="574"/>
      <c r="DMM752" s="574"/>
      <c r="DMN752" s="574"/>
      <c r="DMO752" s="574"/>
      <c r="DMP752" s="574"/>
      <c r="DMQ752" s="574"/>
      <c r="DMR752" s="574"/>
      <c r="DMS752" s="574"/>
      <c r="DMT752" s="574"/>
      <c r="DMU752" s="574"/>
      <c r="DMV752" s="574"/>
      <c r="DMW752" s="574"/>
      <c r="DMX752" s="574"/>
      <c r="DMY752" s="574"/>
      <c r="DMZ752" s="574"/>
      <c r="DNA752" s="574"/>
      <c r="DNB752" s="574"/>
      <c r="DNC752" s="574"/>
      <c r="DND752" s="574"/>
      <c r="DNE752" s="574"/>
      <c r="DNF752" s="574"/>
      <c r="DNG752" s="574"/>
      <c r="DNH752" s="574"/>
      <c r="DNI752" s="574"/>
      <c r="DNJ752" s="574"/>
      <c r="DNK752" s="574"/>
      <c r="DNL752" s="574"/>
      <c r="DNM752" s="574"/>
      <c r="DNN752" s="574"/>
      <c r="DNO752" s="574"/>
      <c r="DNP752" s="574"/>
      <c r="DNQ752" s="574"/>
      <c r="DNR752" s="574"/>
      <c r="DNS752" s="574"/>
      <c r="DNT752" s="574"/>
      <c r="DNU752" s="574"/>
      <c r="DNV752" s="574"/>
      <c r="DNW752" s="574"/>
      <c r="DNX752" s="574"/>
      <c r="DNY752" s="574"/>
      <c r="DNZ752" s="574"/>
      <c r="DOA752" s="574"/>
      <c r="DOB752" s="574"/>
      <c r="DOC752" s="574"/>
      <c r="DOD752" s="574"/>
      <c r="DOE752" s="574"/>
      <c r="DOF752" s="574"/>
      <c r="DOG752" s="574"/>
      <c r="DOH752" s="574"/>
      <c r="DOI752" s="574"/>
      <c r="DOJ752" s="574"/>
      <c r="DOK752" s="574"/>
      <c r="DOL752" s="574"/>
      <c r="DOM752" s="574"/>
      <c r="DON752" s="574"/>
      <c r="DOO752" s="574"/>
      <c r="DOP752" s="574"/>
      <c r="DOQ752" s="574"/>
      <c r="DOR752" s="574"/>
      <c r="DOS752" s="574"/>
      <c r="DOT752" s="574"/>
      <c r="DOU752" s="574"/>
      <c r="DOV752" s="574"/>
      <c r="DOW752" s="574"/>
      <c r="DOX752" s="574"/>
      <c r="DOY752" s="574"/>
      <c r="DOZ752" s="574"/>
      <c r="DPA752" s="574"/>
      <c r="DPB752" s="574"/>
      <c r="DPC752" s="574"/>
      <c r="DPD752" s="574"/>
      <c r="DPE752" s="574"/>
      <c r="DPF752" s="574"/>
      <c r="DPG752" s="574"/>
      <c r="DPH752" s="574"/>
      <c r="DPI752" s="574"/>
      <c r="DPJ752" s="574"/>
      <c r="DPK752" s="574"/>
      <c r="DPL752" s="574"/>
      <c r="DPM752" s="574"/>
      <c r="DPN752" s="574"/>
      <c r="DPO752" s="574"/>
      <c r="DPP752" s="574"/>
      <c r="DPQ752" s="574"/>
      <c r="DPR752" s="574"/>
      <c r="DPS752" s="574"/>
      <c r="DPT752" s="574"/>
      <c r="DPU752" s="574"/>
      <c r="DPV752" s="574"/>
      <c r="DPW752" s="574"/>
      <c r="DPX752" s="574"/>
      <c r="DPY752" s="574"/>
      <c r="DPZ752" s="574"/>
      <c r="DQA752" s="574"/>
      <c r="DQB752" s="574"/>
      <c r="DQC752" s="574"/>
      <c r="DQD752" s="574"/>
      <c r="DQE752" s="574"/>
      <c r="DQF752" s="574"/>
      <c r="DQG752" s="574"/>
      <c r="DQH752" s="574"/>
      <c r="DQI752" s="574"/>
      <c r="DQJ752" s="574"/>
      <c r="DQK752" s="574"/>
      <c r="DQL752" s="574"/>
      <c r="DQM752" s="574"/>
      <c r="DQN752" s="574"/>
      <c r="DQO752" s="574"/>
      <c r="DQP752" s="574"/>
      <c r="DQQ752" s="574"/>
      <c r="DQR752" s="574"/>
      <c r="DQS752" s="574"/>
      <c r="DQT752" s="574"/>
      <c r="DQU752" s="574"/>
      <c r="DQV752" s="574"/>
      <c r="DQW752" s="574"/>
      <c r="DQX752" s="574"/>
      <c r="DQY752" s="574"/>
      <c r="DQZ752" s="574"/>
      <c r="DRA752" s="574"/>
      <c r="DRB752" s="574"/>
      <c r="DRC752" s="574"/>
      <c r="DRD752" s="574"/>
      <c r="DRE752" s="574"/>
      <c r="DRF752" s="574"/>
      <c r="DRG752" s="574"/>
      <c r="DRH752" s="574"/>
      <c r="DRI752" s="574"/>
      <c r="DRJ752" s="574"/>
      <c r="DRK752" s="574"/>
      <c r="DRL752" s="574"/>
      <c r="DRM752" s="574"/>
      <c r="DRN752" s="574"/>
      <c r="DRO752" s="574"/>
      <c r="DRP752" s="574"/>
      <c r="DRQ752" s="574"/>
      <c r="DRR752" s="574"/>
      <c r="DRS752" s="574"/>
      <c r="DRT752" s="574"/>
      <c r="DRU752" s="574"/>
      <c r="DRV752" s="574"/>
      <c r="DRW752" s="574"/>
      <c r="DRX752" s="574"/>
      <c r="DRY752" s="574"/>
      <c r="DRZ752" s="574"/>
      <c r="DSA752" s="574"/>
      <c r="DSB752" s="574"/>
      <c r="DSC752" s="574"/>
      <c r="DSD752" s="574"/>
      <c r="DSE752" s="574"/>
      <c r="DSF752" s="574"/>
      <c r="DSG752" s="574"/>
      <c r="DSH752" s="574"/>
      <c r="DSI752" s="574"/>
      <c r="DSJ752" s="574"/>
      <c r="DSK752" s="574"/>
      <c r="DSL752" s="574"/>
      <c r="DSM752" s="574"/>
      <c r="DSN752" s="574"/>
      <c r="DSO752" s="574"/>
      <c r="DSP752" s="574"/>
      <c r="DSQ752" s="574"/>
      <c r="DSR752" s="574"/>
      <c r="DSS752" s="574"/>
      <c r="DST752" s="574"/>
      <c r="DSU752" s="574"/>
      <c r="DSV752" s="574"/>
      <c r="DSW752" s="574"/>
      <c r="DSX752" s="574"/>
      <c r="DSY752" s="574"/>
      <c r="DSZ752" s="574"/>
      <c r="DTA752" s="574"/>
      <c r="DTB752" s="574"/>
      <c r="DTC752" s="574"/>
      <c r="DTD752" s="574"/>
      <c r="DTE752" s="574"/>
      <c r="DTF752" s="574"/>
      <c r="DTG752" s="574"/>
      <c r="DTH752" s="574"/>
      <c r="DTI752" s="574"/>
      <c r="DTJ752" s="574"/>
      <c r="DTK752" s="574"/>
      <c r="DTL752" s="574"/>
      <c r="DTM752" s="574"/>
      <c r="DTN752" s="574"/>
      <c r="DTO752" s="574"/>
      <c r="DTP752" s="574"/>
      <c r="DTQ752" s="574"/>
      <c r="DTR752" s="574"/>
      <c r="DTS752" s="574"/>
      <c r="DTT752" s="574"/>
      <c r="DTU752" s="574"/>
      <c r="DTV752" s="574"/>
      <c r="DTW752" s="574"/>
      <c r="DTX752" s="574"/>
      <c r="DTY752" s="574"/>
      <c r="DTZ752" s="574"/>
      <c r="DUA752" s="574"/>
      <c r="DUB752" s="574"/>
      <c r="DUC752" s="574"/>
      <c r="DUD752" s="574"/>
      <c r="DUE752" s="574"/>
      <c r="DUF752" s="574"/>
      <c r="DUG752" s="574"/>
      <c r="DUH752" s="574"/>
      <c r="DUI752" s="574"/>
      <c r="DUJ752" s="574"/>
      <c r="DUK752" s="574"/>
      <c r="DUL752" s="574"/>
      <c r="DUM752" s="574"/>
      <c r="DUN752" s="574"/>
      <c r="DUO752" s="574"/>
      <c r="DUP752" s="574"/>
      <c r="DUQ752" s="574"/>
      <c r="DUR752" s="574"/>
      <c r="DUS752" s="574"/>
      <c r="DUT752" s="574"/>
      <c r="DUU752" s="574"/>
      <c r="DUV752" s="574"/>
      <c r="DUW752" s="574"/>
      <c r="DUX752" s="574"/>
      <c r="DUY752" s="574"/>
      <c r="DUZ752" s="574"/>
      <c r="DVA752" s="574"/>
      <c r="DVB752" s="574"/>
      <c r="DVC752" s="574"/>
      <c r="DVD752" s="574"/>
      <c r="DVE752" s="574"/>
      <c r="DVF752" s="574"/>
      <c r="DVG752" s="574"/>
      <c r="DVH752" s="574"/>
      <c r="DVI752" s="574"/>
      <c r="DVJ752" s="574"/>
      <c r="DVK752" s="574"/>
      <c r="DVL752" s="574"/>
      <c r="DVM752" s="574"/>
      <c r="DVN752" s="574"/>
      <c r="DVO752" s="574"/>
      <c r="DVP752" s="574"/>
      <c r="DVQ752" s="574"/>
      <c r="DVR752" s="574"/>
      <c r="DVS752" s="574"/>
      <c r="DVT752" s="574"/>
      <c r="DVU752" s="574"/>
      <c r="DVV752" s="574"/>
      <c r="DVW752" s="574"/>
      <c r="DVX752" s="574"/>
      <c r="DVY752" s="574"/>
      <c r="DVZ752" s="574"/>
      <c r="DWA752" s="574"/>
      <c r="DWB752" s="574"/>
      <c r="DWC752" s="574"/>
      <c r="DWD752" s="574"/>
      <c r="DWE752" s="574"/>
      <c r="DWF752" s="574"/>
      <c r="DWG752" s="574"/>
      <c r="DWH752" s="574"/>
      <c r="DWI752" s="574"/>
      <c r="DWJ752" s="574"/>
      <c r="DWK752" s="574"/>
      <c r="DWL752" s="574"/>
      <c r="DWM752" s="574"/>
      <c r="DWN752" s="574"/>
      <c r="DWO752" s="574"/>
      <c r="DWP752" s="574"/>
      <c r="DWQ752" s="574"/>
      <c r="DWR752" s="574"/>
      <c r="DWS752" s="574"/>
      <c r="DWT752" s="574"/>
      <c r="DWU752" s="574"/>
      <c r="DWV752" s="574"/>
      <c r="DWW752" s="574"/>
      <c r="DWX752" s="574"/>
      <c r="DWY752" s="574"/>
      <c r="DWZ752" s="574"/>
      <c r="DXA752" s="574"/>
      <c r="DXB752" s="574"/>
      <c r="DXC752" s="574"/>
      <c r="DXD752" s="574"/>
      <c r="DXE752" s="574"/>
      <c r="DXF752" s="574"/>
      <c r="DXG752" s="574"/>
      <c r="DXH752" s="574"/>
      <c r="DXI752" s="574"/>
      <c r="DXJ752" s="574"/>
      <c r="DXK752" s="574"/>
      <c r="DXL752" s="574"/>
      <c r="DXM752" s="574"/>
      <c r="DXN752" s="574"/>
      <c r="DXO752" s="574"/>
      <c r="DXP752" s="574"/>
      <c r="DXQ752" s="574"/>
      <c r="DXR752" s="574"/>
      <c r="DXS752" s="574"/>
      <c r="DXT752" s="574"/>
      <c r="DXU752" s="574"/>
      <c r="DXV752" s="574"/>
      <c r="DXW752" s="574"/>
      <c r="DXX752" s="574"/>
      <c r="DXY752" s="574"/>
      <c r="DXZ752" s="574"/>
      <c r="DYA752" s="574"/>
      <c r="DYB752" s="574"/>
      <c r="DYC752" s="574"/>
      <c r="DYD752" s="574"/>
      <c r="DYE752" s="574"/>
      <c r="DYF752" s="574"/>
      <c r="DYG752" s="574"/>
      <c r="DYH752" s="574"/>
      <c r="DYI752" s="574"/>
      <c r="DYJ752" s="574"/>
      <c r="DYK752" s="574"/>
      <c r="DYL752" s="574"/>
      <c r="DYM752" s="574"/>
      <c r="DYN752" s="574"/>
      <c r="DYO752" s="574"/>
      <c r="DYP752" s="574"/>
      <c r="DYQ752" s="574"/>
      <c r="DYR752" s="574"/>
      <c r="DYS752" s="574"/>
      <c r="DYT752" s="574"/>
      <c r="DYU752" s="574"/>
      <c r="DYV752" s="574"/>
      <c r="DYW752" s="574"/>
      <c r="DYX752" s="574"/>
      <c r="DYY752" s="574"/>
      <c r="DYZ752" s="574"/>
      <c r="DZA752" s="574"/>
      <c r="DZB752" s="574"/>
      <c r="DZC752" s="574"/>
      <c r="DZD752" s="574"/>
      <c r="DZE752" s="574"/>
      <c r="DZF752" s="574"/>
      <c r="DZG752" s="574"/>
      <c r="DZH752" s="574"/>
      <c r="DZI752" s="574"/>
      <c r="DZJ752" s="574"/>
      <c r="DZK752" s="574"/>
      <c r="DZL752" s="574"/>
      <c r="DZM752" s="574"/>
      <c r="DZN752" s="574"/>
      <c r="DZO752" s="574"/>
      <c r="DZP752" s="574"/>
      <c r="DZQ752" s="574"/>
      <c r="DZR752" s="574"/>
      <c r="DZS752" s="574"/>
      <c r="DZT752" s="574"/>
      <c r="DZU752" s="574"/>
      <c r="DZV752" s="574"/>
      <c r="DZW752" s="574"/>
      <c r="DZX752" s="574"/>
      <c r="DZY752" s="574"/>
      <c r="DZZ752" s="574"/>
      <c r="EAA752" s="574"/>
      <c r="EAB752" s="574"/>
      <c r="EAC752" s="574"/>
      <c r="EAD752" s="574"/>
      <c r="EAE752" s="574"/>
      <c r="EAF752" s="574"/>
      <c r="EAG752" s="574"/>
      <c r="EAH752" s="574"/>
      <c r="EAI752" s="574"/>
      <c r="EAJ752" s="574"/>
      <c r="EAK752" s="574"/>
      <c r="EAL752" s="574"/>
      <c r="EAM752" s="574"/>
      <c r="EAN752" s="574"/>
      <c r="EAO752" s="574"/>
      <c r="EAP752" s="574"/>
      <c r="EAQ752" s="574"/>
      <c r="EAR752" s="574"/>
      <c r="EAS752" s="574"/>
      <c r="EAT752" s="574"/>
      <c r="EAU752" s="574"/>
      <c r="EAV752" s="574"/>
      <c r="EAW752" s="574"/>
      <c r="EAX752" s="574"/>
      <c r="EAY752" s="574"/>
      <c r="EAZ752" s="574"/>
      <c r="EBA752" s="574"/>
      <c r="EBB752" s="574"/>
      <c r="EBC752" s="574"/>
      <c r="EBD752" s="574"/>
      <c r="EBE752" s="574"/>
      <c r="EBF752" s="574"/>
      <c r="EBG752" s="574"/>
      <c r="EBH752" s="574"/>
      <c r="EBI752" s="574"/>
      <c r="EBJ752" s="574"/>
      <c r="EBK752" s="574"/>
      <c r="EBL752" s="574"/>
      <c r="EBM752" s="574"/>
      <c r="EBN752" s="574"/>
      <c r="EBO752" s="574"/>
      <c r="EBP752" s="574"/>
      <c r="EBQ752" s="574"/>
      <c r="EBR752" s="574"/>
      <c r="EBS752" s="574"/>
      <c r="EBT752" s="574"/>
      <c r="EBU752" s="574"/>
      <c r="EBV752" s="574"/>
      <c r="EBW752" s="574"/>
      <c r="EBX752" s="574"/>
      <c r="EBY752" s="574"/>
      <c r="EBZ752" s="574"/>
      <c r="ECA752" s="574"/>
      <c r="ECB752" s="574"/>
      <c r="ECC752" s="574"/>
      <c r="ECD752" s="574"/>
      <c r="ECE752" s="574"/>
      <c r="ECF752" s="574"/>
      <c r="ECG752" s="574"/>
      <c r="ECH752" s="574"/>
      <c r="ECI752" s="574"/>
      <c r="ECJ752" s="574"/>
      <c r="ECK752" s="574"/>
      <c r="ECL752" s="574"/>
      <c r="ECM752" s="574"/>
      <c r="ECN752" s="574"/>
      <c r="ECO752" s="574"/>
      <c r="ECP752" s="574"/>
      <c r="ECQ752" s="574"/>
      <c r="ECR752" s="574"/>
      <c r="ECS752" s="574"/>
      <c r="ECT752" s="574"/>
      <c r="ECU752" s="574"/>
      <c r="ECV752" s="574"/>
      <c r="ECW752" s="574"/>
      <c r="ECX752" s="574"/>
      <c r="ECY752" s="574"/>
      <c r="ECZ752" s="574"/>
      <c r="EDA752" s="574"/>
      <c r="EDB752" s="574"/>
      <c r="EDC752" s="574"/>
      <c r="EDD752" s="574"/>
      <c r="EDE752" s="574"/>
      <c r="EDF752" s="574"/>
      <c r="EDG752" s="574"/>
      <c r="EDH752" s="574"/>
      <c r="EDI752" s="574"/>
      <c r="EDJ752" s="574"/>
      <c r="EDK752" s="574"/>
      <c r="EDL752" s="574"/>
      <c r="EDM752" s="574"/>
      <c r="EDN752" s="574"/>
      <c r="EDO752" s="574"/>
      <c r="EDP752" s="574"/>
      <c r="EDQ752" s="574"/>
      <c r="EDR752" s="574"/>
      <c r="EDS752" s="574"/>
      <c r="EDT752" s="574"/>
      <c r="EDU752" s="574"/>
      <c r="EDV752" s="574"/>
      <c r="EDW752" s="574"/>
      <c r="EDX752" s="574"/>
      <c r="EDY752" s="574"/>
      <c r="EDZ752" s="574"/>
      <c r="EEA752" s="574"/>
      <c r="EEB752" s="574"/>
      <c r="EEC752" s="574"/>
      <c r="EED752" s="574"/>
      <c r="EEE752" s="574"/>
      <c r="EEF752" s="574"/>
      <c r="EEG752" s="574"/>
      <c r="EEH752" s="574"/>
      <c r="EEI752" s="574"/>
      <c r="EEJ752" s="574"/>
      <c r="EEK752" s="574"/>
      <c r="EEL752" s="574"/>
      <c r="EEM752" s="574"/>
      <c r="EEN752" s="574"/>
      <c r="EEO752" s="574"/>
      <c r="EEP752" s="574"/>
      <c r="EEQ752" s="574"/>
      <c r="EER752" s="574"/>
      <c r="EES752" s="574"/>
      <c r="EET752" s="574"/>
      <c r="EEU752" s="574"/>
      <c r="EEV752" s="574"/>
      <c r="EEW752" s="574"/>
      <c r="EEX752" s="574"/>
      <c r="EEY752" s="574"/>
      <c r="EEZ752" s="574"/>
      <c r="EFA752" s="574"/>
      <c r="EFB752" s="574"/>
      <c r="EFC752" s="574"/>
      <c r="EFD752" s="574"/>
      <c r="EFE752" s="574"/>
      <c r="EFF752" s="574"/>
      <c r="EFG752" s="574"/>
      <c r="EFH752" s="574"/>
      <c r="EFI752" s="574"/>
      <c r="EFJ752" s="574"/>
      <c r="EFK752" s="574"/>
      <c r="EFL752" s="574"/>
      <c r="EFM752" s="574"/>
      <c r="EFN752" s="574"/>
      <c r="EFO752" s="574"/>
      <c r="EFP752" s="574"/>
      <c r="EFQ752" s="574"/>
      <c r="EFR752" s="574"/>
      <c r="EFS752" s="574"/>
      <c r="EFT752" s="574"/>
      <c r="EFU752" s="574"/>
      <c r="EFV752" s="574"/>
      <c r="EFW752" s="574"/>
      <c r="EFX752" s="574"/>
      <c r="EFY752" s="574"/>
      <c r="EFZ752" s="574"/>
      <c r="EGA752" s="574"/>
      <c r="EGB752" s="574"/>
      <c r="EGC752" s="574"/>
      <c r="EGD752" s="574"/>
      <c r="EGE752" s="574"/>
      <c r="EGF752" s="574"/>
      <c r="EGG752" s="574"/>
      <c r="EGH752" s="574"/>
      <c r="EGI752" s="574"/>
      <c r="EGJ752" s="574"/>
      <c r="EGK752" s="574"/>
      <c r="EGL752" s="574"/>
      <c r="EGM752" s="574"/>
      <c r="EGN752" s="574"/>
      <c r="EGO752" s="574"/>
      <c r="EGP752" s="574"/>
      <c r="EGQ752" s="574"/>
      <c r="EGR752" s="574"/>
      <c r="EGS752" s="574"/>
      <c r="EGT752" s="574"/>
      <c r="EGU752" s="574"/>
      <c r="EGV752" s="574"/>
      <c r="EGW752" s="574"/>
      <c r="EGX752" s="574"/>
      <c r="EGY752" s="574"/>
      <c r="EGZ752" s="574"/>
      <c r="EHA752" s="574"/>
      <c r="EHB752" s="574"/>
      <c r="EHC752" s="574"/>
      <c r="EHD752" s="574"/>
      <c r="EHE752" s="574"/>
      <c r="EHF752" s="574"/>
      <c r="EHG752" s="574"/>
      <c r="EHH752" s="574"/>
      <c r="EHI752" s="574"/>
      <c r="EHJ752" s="574"/>
      <c r="EHK752" s="574"/>
      <c r="EHL752" s="574"/>
      <c r="EHM752" s="574"/>
      <c r="EHN752" s="574"/>
      <c r="EHO752" s="574"/>
      <c r="EHP752" s="574"/>
      <c r="EHQ752" s="574"/>
      <c r="EHR752" s="574"/>
      <c r="EHS752" s="574"/>
      <c r="EHT752" s="574"/>
      <c r="EHU752" s="574"/>
      <c r="EHV752" s="574"/>
      <c r="EHW752" s="574"/>
      <c r="EHX752" s="574"/>
      <c r="EHY752" s="574"/>
      <c r="EHZ752" s="574"/>
      <c r="EIA752" s="574"/>
      <c r="EIB752" s="574"/>
      <c r="EIC752" s="574"/>
      <c r="EID752" s="574"/>
      <c r="EIE752" s="574"/>
      <c r="EIF752" s="574"/>
      <c r="EIG752" s="574"/>
      <c r="EIH752" s="574"/>
      <c r="EII752" s="574"/>
      <c r="EIJ752" s="574"/>
      <c r="EIK752" s="574"/>
      <c r="EIL752" s="574"/>
      <c r="EIM752" s="574"/>
      <c r="EIN752" s="574"/>
      <c r="EIO752" s="574"/>
      <c r="EIP752" s="574"/>
      <c r="EIQ752" s="574"/>
      <c r="EIR752" s="574"/>
      <c r="EIS752" s="574"/>
      <c r="EIT752" s="574"/>
      <c r="EIU752" s="574"/>
      <c r="EIV752" s="574"/>
      <c r="EIW752" s="574"/>
      <c r="EIX752" s="574"/>
      <c r="EIY752" s="574"/>
      <c r="EIZ752" s="574"/>
      <c r="EJA752" s="574"/>
      <c r="EJB752" s="574"/>
      <c r="EJC752" s="574"/>
      <c r="EJD752" s="574"/>
      <c r="EJE752" s="574"/>
      <c r="EJF752" s="574"/>
      <c r="EJG752" s="574"/>
      <c r="EJH752" s="574"/>
      <c r="EJI752" s="574"/>
      <c r="EJJ752" s="574"/>
      <c r="EJK752" s="574"/>
      <c r="EJL752" s="574"/>
      <c r="EJM752" s="574"/>
      <c r="EJN752" s="574"/>
      <c r="EJO752" s="574"/>
      <c r="EJP752" s="574"/>
      <c r="EJQ752" s="574"/>
      <c r="EJR752" s="574"/>
      <c r="EJS752" s="574"/>
      <c r="EJT752" s="574"/>
      <c r="EJU752" s="574"/>
      <c r="EJV752" s="574"/>
      <c r="EJW752" s="574"/>
      <c r="EJX752" s="574"/>
      <c r="EJY752" s="574"/>
      <c r="EJZ752" s="574"/>
      <c r="EKA752" s="574"/>
      <c r="EKB752" s="574"/>
      <c r="EKC752" s="574"/>
      <c r="EKD752" s="574"/>
      <c r="EKE752" s="574"/>
      <c r="EKF752" s="574"/>
      <c r="EKG752" s="574"/>
      <c r="EKH752" s="574"/>
      <c r="EKI752" s="574"/>
      <c r="EKJ752" s="574"/>
      <c r="EKK752" s="574"/>
      <c r="EKL752" s="574"/>
      <c r="EKM752" s="574"/>
      <c r="EKN752" s="574"/>
      <c r="EKO752" s="574"/>
      <c r="EKP752" s="574"/>
      <c r="EKQ752" s="574"/>
      <c r="EKR752" s="574"/>
      <c r="EKS752" s="574"/>
      <c r="EKT752" s="574"/>
      <c r="EKU752" s="574"/>
      <c r="EKV752" s="574"/>
      <c r="EKW752" s="574"/>
      <c r="EKX752" s="574"/>
      <c r="EKY752" s="574"/>
      <c r="EKZ752" s="574"/>
      <c r="ELA752" s="574"/>
      <c r="ELB752" s="574"/>
      <c r="ELC752" s="574"/>
      <c r="ELD752" s="574"/>
      <c r="ELE752" s="574"/>
      <c r="ELF752" s="574"/>
      <c r="ELG752" s="574"/>
      <c r="ELH752" s="574"/>
      <c r="ELI752" s="574"/>
      <c r="ELJ752" s="574"/>
      <c r="ELK752" s="574"/>
      <c r="ELL752" s="574"/>
      <c r="ELM752" s="574"/>
      <c r="ELN752" s="574"/>
      <c r="ELO752" s="574"/>
      <c r="ELP752" s="574"/>
      <c r="ELQ752" s="574"/>
      <c r="ELR752" s="574"/>
      <c r="ELS752" s="574"/>
      <c r="ELT752" s="574"/>
      <c r="ELU752" s="574"/>
      <c r="ELV752" s="574"/>
      <c r="ELW752" s="574"/>
      <c r="ELX752" s="574"/>
      <c r="ELY752" s="574"/>
      <c r="ELZ752" s="574"/>
      <c r="EMA752" s="574"/>
      <c r="EMB752" s="574"/>
      <c r="EMC752" s="574"/>
      <c r="EMD752" s="574"/>
      <c r="EME752" s="574"/>
      <c r="EMF752" s="574"/>
      <c r="EMG752" s="574"/>
      <c r="EMH752" s="574"/>
      <c r="EMI752" s="574"/>
      <c r="EMJ752" s="574"/>
      <c r="EMK752" s="574"/>
      <c r="EML752" s="574"/>
      <c r="EMM752" s="574"/>
      <c r="EMN752" s="574"/>
      <c r="EMO752" s="574"/>
      <c r="EMP752" s="574"/>
      <c r="EMQ752" s="574"/>
      <c r="EMR752" s="574"/>
      <c r="EMS752" s="574"/>
      <c r="EMT752" s="574"/>
      <c r="EMU752" s="574"/>
      <c r="EMV752" s="574"/>
      <c r="EMW752" s="574"/>
      <c r="EMX752" s="574"/>
      <c r="EMY752" s="574"/>
      <c r="EMZ752" s="574"/>
      <c r="ENA752" s="574"/>
      <c r="ENB752" s="574"/>
      <c r="ENC752" s="574"/>
      <c r="END752" s="574"/>
      <c r="ENE752" s="574"/>
      <c r="ENF752" s="574"/>
      <c r="ENG752" s="574"/>
      <c r="ENH752" s="574"/>
      <c r="ENI752" s="574"/>
      <c r="ENJ752" s="574"/>
      <c r="ENK752" s="574"/>
      <c r="ENL752" s="574"/>
      <c r="ENM752" s="574"/>
      <c r="ENN752" s="574"/>
      <c r="ENO752" s="574"/>
      <c r="ENP752" s="574"/>
      <c r="ENQ752" s="574"/>
      <c r="ENR752" s="574"/>
      <c r="ENS752" s="574"/>
      <c r="ENT752" s="574"/>
      <c r="ENU752" s="574"/>
      <c r="ENV752" s="574"/>
      <c r="ENW752" s="574"/>
      <c r="ENX752" s="574"/>
      <c r="ENY752" s="574"/>
      <c r="ENZ752" s="574"/>
      <c r="EOA752" s="574"/>
      <c r="EOB752" s="574"/>
      <c r="EOC752" s="574"/>
      <c r="EOD752" s="574"/>
      <c r="EOE752" s="574"/>
      <c r="EOF752" s="574"/>
      <c r="EOG752" s="574"/>
      <c r="EOH752" s="574"/>
      <c r="EOI752" s="574"/>
      <c r="EOJ752" s="574"/>
      <c r="EOK752" s="574"/>
      <c r="EOL752" s="574"/>
      <c r="EOM752" s="574"/>
      <c r="EON752" s="574"/>
      <c r="EOO752" s="574"/>
      <c r="EOP752" s="574"/>
      <c r="EOQ752" s="574"/>
      <c r="EOR752" s="574"/>
      <c r="EOS752" s="574"/>
      <c r="EOT752" s="574"/>
      <c r="EOU752" s="574"/>
      <c r="EOV752" s="574"/>
      <c r="EOW752" s="574"/>
      <c r="EOX752" s="574"/>
      <c r="EOY752" s="574"/>
      <c r="EOZ752" s="574"/>
      <c r="EPA752" s="574"/>
      <c r="EPB752" s="574"/>
      <c r="EPC752" s="574"/>
      <c r="EPD752" s="574"/>
      <c r="EPE752" s="574"/>
      <c r="EPF752" s="574"/>
      <c r="EPG752" s="574"/>
      <c r="EPH752" s="574"/>
      <c r="EPI752" s="574"/>
      <c r="EPJ752" s="574"/>
      <c r="EPK752" s="574"/>
      <c r="EPL752" s="574"/>
      <c r="EPM752" s="574"/>
      <c r="EPN752" s="574"/>
      <c r="EPO752" s="574"/>
      <c r="EPP752" s="574"/>
      <c r="EPQ752" s="574"/>
      <c r="EPR752" s="574"/>
      <c r="EPS752" s="574"/>
      <c r="EPT752" s="574"/>
      <c r="EPU752" s="574"/>
      <c r="EPV752" s="574"/>
      <c r="EPW752" s="574"/>
      <c r="EPX752" s="574"/>
      <c r="EPY752" s="574"/>
      <c r="EPZ752" s="574"/>
      <c r="EQA752" s="574"/>
      <c r="EQB752" s="574"/>
      <c r="EQC752" s="574"/>
      <c r="EQD752" s="574"/>
      <c r="EQE752" s="574"/>
      <c r="EQF752" s="574"/>
      <c r="EQG752" s="574"/>
      <c r="EQH752" s="574"/>
      <c r="EQI752" s="574"/>
      <c r="EQJ752" s="574"/>
      <c r="EQK752" s="574"/>
      <c r="EQL752" s="574"/>
      <c r="EQM752" s="574"/>
      <c r="EQN752" s="574"/>
      <c r="EQO752" s="574"/>
      <c r="EQP752" s="574"/>
      <c r="EQQ752" s="574"/>
      <c r="EQR752" s="574"/>
      <c r="EQS752" s="574"/>
      <c r="EQT752" s="574"/>
      <c r="EQU752" s="574"/>
      <c r="EQV752" s="574"/>
      <c r="EQW752" s="574"/>
      <c r="EQX752" s="574"/>
      <c r="EQY752" s="574"/>
      <c r="EQZ752" s="574"/>
      <c r="ERA752" s="574"/>
      <c r="ERB752" s="574"/>
      <c r="ERC752" s="574"/>
      <c r="ERD752" s="574"/>
      <c r="ERE752" s="574"/>
      <c r="ERF752" s="574"/>
      <c r="ERG752" s="574"/>
      <c r="ERH752" s="574"/>
      <c r="ERI752" s="574"/>
      <c r="ERJ752" s="574"/>
      <c r="ERK752" s="574"/>
      <c r="ERL752" s="574"/>
      <c r="ERM752" s="574"/>
      <c r="ERN752" s="574"/>
      <c r="ERO752" s="574"/>
      <c r="ERP752" s="574"/>
      <c r="ERQ752" s="574"/>
      <c r="ERR752" s="574"/>
      <c r="ERS752" s="574"/>
      <c r="ERT752" s="574"/>
      <c r="ERU752" s="574"/>
      <c r="ERV752" s="574"/>
      <c r="ERW752" s="574"/>
      <c r="ERX752" s="574"/>
      <c r="ERY752" s="574"/>
      <c r="ERZ752" s="574"/>
      <c r="ESA752" s="574"/>
      <c r="ESB752" s="574"/>
      <c r="ESC752" s="574"/>
      <c r="ESD752" s="574"/>
      <c r="ESE752" s="574"/>
      <c r="ESF752" s="574"/>
      <c r="ESG752" s="574"/>
      <c r="ESH752" s="574"/>
      <c r="ESI752" s="574"/>
      <c r="ESJ752" s="574"/>
      <c r="ESK752" s="574"/>
      <c r="ESL752" s="574"/>
      <c r="ESM752" s="574"/>
      <c r="ESN752" s="574"/>
      <c r="ESO752" s="574"/>
      <c r="ESP752" s="574"/>
      <c r="ESQ752" s="574"/>
      <c r="ESR752" s="574"/>
      <c r="ESS752" s="574"/>
      <c r="EST752" s="574"/>
      <c r="ESU752" s="574"/>
      <c r="ESV752" s="574"/>
      <c r="ESW752" s="574"/>
      <c r="ESX752" s="574"/>
      <c r="ESY752" s="574"/>
      <c r="ESZ752" s="574"/>
      <c r="ETA752" s="574"/>
      <c r="ETB752" s="574"/>
      <c r="ETC752" s="574"/>
      <c r="ETD752" s="574"/>
      <c r="ETE752" s="574"/>
      <c r="ETF752" s="574"/>
      <c r="ETG752" s="574"/>
      <c r="ETH752" s="574"/>
      <c r="ETI752" s="574"/>
      <c r="ETJ752" s="574"/>
      <c r="ETK752" s="574"/>
      <c r="ETL752" s="574"/>
      <c r="ETM752" s="574"/>
      <c r="ETN752" s="574"/>
      <c r="ETO752" s="574"/>
      <c r="ETP752" s="574"/>
      <c r="ETQ752" s="574"/>
      <c r="ETR752" s="574"/>
      <c r="ETS752" s="574"/>
      <c r="ETT752" s="574"/>
      <c r="ETU752" s="574"/>
      <c r="ETV752" s="574"/>
      <c r="ETW752" s="574"/>
      <c r="ETX752" s="574"/>
      <c r="ETY752" s="574"/>
      <c r="ETZ752" s="574"/>
      <c r="EUA752" s="574"/>
      <c r="EUB752" s="574"/>
      <c r="EUC752" s="574"/>
      <c r="EUD752" s="574"/>
      <c r="EUE752" s="574"/>
      <c r="EUF752" s="574"/>
      <c r="EUG752" s="574"/>
      <c r="EUH752" s="574"/>
      <c r="EUI752" s="574"/>
      <c r="EUJ752" s="574"/>
      <c r="EUK752" s="574"/>
      <c r="EUL752" s="574"/>
      <c r="EUM752" s="574"/>
      <c r="EUN752" s="574"/>
      <c r="EUO752" s="574"/>
      <c r="EUP752" s="574"/>
      <c r="EUQ752" s="574"/>
      <c r="EUR752" s="574"/>
      <c r="EUS752" s="574"/>
      <c r="EUT752" s="574"/>
      <c r="EUU752" s="574"/>
      <c r="EUV752" s="574"/>
      <c r="EUW752" s="574"/>
      <c r="EUX752" s="574"/>
      <c r="EUY752" s="574"/>
      <c r="EUZ752" s="574"/>
      <c r="EVA752" s="574"/>
      <c r="EVB752" s="574"/>
      <c r="EVC752" s="574"/>
      <c r="EVD752" s="574"/>
      <c r="EVE752" s="574"/>
      <c r="EVF752" s="574"/>
      <c r="EVG752" s="574"/>
      <c r="EVH752" s="574"/>
      <c r="EVI752" s="574"/>
      <c r="EVJ752" s="574"/>
      <c r="EVK752" s="574"/>
      <c r="EVL752" s="574"/>
      <c r="EVM752" s="574"/>
      <c r="EVN752" s="574"/>
      <c r="EVO752" s="574"/>
      <c r="EVP752" s="574"/>
      <c r="EVQ752" s="574"/>
      <c r="EVR752" s="574"/>
      <c r="EVS752" s="574"/>
      <c r="EVT752" s="574"/>
      <c r="EVU752" s="574"/>
      <c r="EVV752" s="574"/>
      <c r="EVW752" s="574"/>
      <c r="EVX752" s="574"/>
      <c r="EVY752" s="574"/>
      <c r="EVZ752" s="574"/>
      <c r="EWA752" s="574"/>
      <c r="EWB752" s="574"/>
      <c r="EWC752" s="574"/>
      <c r="EWD752" s="574"/>
      <c r="EWE752" s="574"/>
      <c r="EWF752" s="574"/>
      <c r="EWG752" s="574"/>
      <c r="EWH752" s="574"/>
      <c r="EWI752" s="574"/>
      <c r="EWJ752" s="574"/>
      <c r="EWK752" s="574"/>
      <c r="EWL752" s="574"/>
      <c r="EWM752" s="574"/>
      <c r="EWN752" s="574"/>
      <c r="EWO752" s="574"/>
      <c r="EWP752" s="574"/>
      <c r="EWQ752" s="574"/>
      <c r="EWR752" s="574"/>
      <c r="EWS752" s="574"/>
      <c r="EWT752" s="574"/>
      <c r="EWU752" s="574"/>
      <c r="EWV752" s="574"/>
      <c r="EWW752" s="574"/>
      <c r="EWX752" s="574"/>
      <c r="EWY752" s="574"/>
      <c r="EWZ752" s="574"/>
      <c r="EXA752" s="574"/>
      <c r="EXB752" s="574"/>
      <c r="EXC752" s="574"/>
      <c r="EXD752" s="574"/>
      <c r="EXE752" s="574"/>
      <c r="EXF752" s="574"/>
      <c r="EXG752" s="574"/>
      <c r="EXH752" s="574"/>
      <c r="EXI752" s="574"/>
      <c r="EXJ752" s="574"/>
      <c r="EXK752" s="574"/>
      <c r="EXL752" s="574"/>
      <c r="EXM752" s="574"/>
      <c r="EXN752" s="574"/>
      <c r="EXO752" s="574"/>
      <c r="EXP752" s="574"/>
      <c r="EXQ752" s="574"/>
      <c r="EXR752" s="574"/>
      <c r="EXS752" s="574"/>
      <c r="EXT752" s="574"/>
      <c r="EXU752" s="574"/>
      <c r="EXV752" s="574"/>
      <c r="EXW752" s="574"/>
      <c r="EXX752" s="574"/>
      <c r="EXY752" s="574"/>
      <c r="EXZ752" s="574"/>
      <c r="EYA752" s="574"/>
      <c r="EYB752" s="574"/>
      <c r="EYC752" s="574"/>
      <c r="EYD752" s="574"/>
      <c r="EYE752" s="574"/>
      <c r="EYF752" s="574"/>
      <c r="EYG752" s="574"/>
      <c r="EYH752" s="574"/>
      <c r="EYI752" s="574"/>
      <c r="EYJ752" s="574"/>
      <c r="EYK752" s="574"/>
      <c r="EYL752" s="574"/>
      <c r="EYM752" s="574"/>
      <c r="EYN752" s="574"/>
      <c r="EYO752" s="574"/>
      <c r="EYP752" s="574"/>
      <c r="EYQ752" s="574"/>
      <c r="EYR752" s="574"/>
      <c r="EYS752" s="574"/>
      <c r="EYT752" s="574"/>
      <c r="EYU752" s="574"/>
      <c r="EYV752" s="574"/>
      <c r="EYW752" s="574"/>
      <c r="EYX752" s="574"/>
      <c r="EYY752" s="574"/>
      <c r="EYZ752" s="574"/>
      <c r="EZA752" s="574"/>
      <c r="EZB752" s="574"/>
      <c r="EZC752" s="574"/>
      <c r="EZD752" s="574"/>
      <c r="EZE752" s="574"/>
      <c r="EZF752" s="574"/>
      <c r="EZG752" s="574"/>
      <c r="EZH752" s="574"/>
      <c r="EZI752" s="574"/>
      <c r="EZJ752" s="574"/>
      <c r="EZK752" s="574"/>
      <c r="EZL752" s="574"/>
      <c r="EZM752" s="574"/>
      <c r="EZN752" s="574"/>
      <c r="EZO752" s="574"/>
      <c r="EZP752" s="574"/>
      <c r="EZQ752" s="574"/>
      <c r="EZR752" s="574"/>
      <c r="EZS752" s="574"/>
      <c r="EZT752" s="574"/>
      <c r="EZU752" s="574"/>
      <c r="EZV752" s="574"/>
      <c r="EZW752" s="574"/>
      <c r="EZX752" s="574"/>
      <c r="EZY752" s="574"/>
      <c r="EZZ752" s="574"/>
      <c r="FAA752" s="574"/>
      <c r="FAB752" s="574"/>
      <c r="FAC752" s="574"/>
      <c r="FAD752" s="574"/>
      <c r="FAE752" s="574"/>
      <c r="FAF752" s="574"/>
      <c r="FAG752" s="574"/>
      <c r="FAH752" s="574"/>
      <c r="FAI752" s="574"/>
      <c r="FAJ752" s="574"/>
      <c r="FAK752" s="574"/>
      <c r="FAL752" s="574"/>
      <c r="FAM752" s="574"/>
      <c r="FAN752" s="574"/>
      <c r="FAO752" s="574"/>
      <c r="FAP752" s="574"/>
      <c r="FAQ752" s="574"/>
      <c r="FAR752" s="574"/>
      <c r="FAS752" s="574"/>
      <c r="FAT752" s="574"/>
      <c r="FAU752" s="574"/>
      <c r="FAV752" s="574"/>
      <c r="FAW752" s="574"/>
      <c r="FAX752" s="574"/>
      <c r="FAY752" s="574"/>
      <c r="FAZ752" s="574"/>
      <c r="FBA752" s="574"/>
      <c r="FBB752" s="574"/>
      <c r="FBC752" s="574"/>
      <c r="FBD752" s="574"/>
      <c r="FBE752" s="574"/>
      <c r="FBF752" s="574"/>
      <c r="FBG752" s="574"/>
      <c r="FBH752" s="574"/>
      <c r="FBI752" s="574"/>
      <c r="FBJ752" s="574"/>
      <c r="FBK752" s="574"/>
      <c r="FBL752" s="574"/>
      <c r="FBM752" s="574"/>
      <c r="FBN752" s="574"/>
      <c r="FBO752" s="574"/>
      <c r="FBP752" s="574"/>
      <c r="FBQ752" s="574"/>
      <c r="FBR752" s="574"/>
      <c r="FBS752" s="574"/>
      <c r="FBT752" s="574"/>
      <c r="FBU752" s="574"/>
      <c r="FBV752" s="574"/>
      <c r="FBW752" s="574"/>
      <c r="FBX752" s="574"/>
      <c r="FBY752" s="574"/>
      <c r="FBZ752" s="574"/>
      <c r="FCA752" s="574"/>
      <c r="FCB752" s="574"/>
      <c r="FCC752" s="574"/>
      <c r="FCD752" s="574"/>
      <c r="FCE752" s="574"/>
      <c r="FCF752" s="574"/>
      <c r="FCG752" s="574"/>
      <c r="FCH752" s="574"/>
      <c r="FCI752" s="574"/>
      <c r="FCJ752" s="574"/>
      <c r="FCK752" s="574"/>
      <c r="FCL752" s="574"/>
      <c r="FCM752" s="574"/>
      <c r="FCN752" s="574"/>
      <c r="FCO752" s="574"/>
      <c r="FCP752" s="574"/>
      <c r="FCQ752" s="574"/>
      <c r="FCR752" s="574"/>
      <c r="FCS752" s="574"/>
      <c r="FCT752" s="574"/>
      <c r="FCU752" s="574"/>
      <c r="FCV752" s="574"/>
      <c r="FCW752" s="574"/>
      <c r="FCX752" s="574"/>
      <c r="FCY752" s="574"/>
      <c r="FCZ752" s="574"/>
      <c r="FDA752" s="574"/>
      <c r="FDB752" s="574"/>
      <c r="FDC752" s="574"/>
      <c r="FDD752" s="574"/>
      <c r="FDE752" s="574"/>
      <c r="FDF752" s="574"/>
      <c r="FDG752" s="574"/>
      <c r="FDH752" s="574"/>
      <c r="FDI752" s="574"/>
      <c r="FDJ752" s="574"/>
      <c r="FDK752" s="574"/>
      <c r="FDL752" s="574"/>
      <c r="FDM752" s="574"/>
      <c r="FDN752" s="574"/>
      <c r="FDO752" s="574"/>
      <c r="FDP752" s="574"/>
      <c r="FDQ752" s="574"/>
      <c r="FDR752" s="574"/>
      <c r="FDS752" s="574"/>
      <c r="FDT752" s="574"/>
      <c r="FDU752" s="574"/>
      <c r="FDV752" s="574"/>
      <c r="FDW752" s="574"/>
      <c r="FDX752" s="574"/>
      <c r="FDY752" s="574"/>
      <c r="FDZ752" s="574"/>
      <c r="FEA752" s="574"/>
      <c r="FEB752" s="574"/>
      <c r="FEC752" s="574"/>
      <c r="FED752" s="574"/>
      <c r="FEE752" s="574"/>
      <c r="FEF752" s="574"/>
      <c r="FEG752" s="574"/>
      <c r="FEH752" s="574"/>
      <c r="FEI752" s="574"/>
      <c r="FEJ752" s="574"/>
      <c r="FEK752" s="574"/>
      <c r="FEL752" s="574"/>
      <c r="FEM752" s="574"/>
      <c r="FEN752" s="574"/>
      <c r="FEO752" s="574"/>
      <c r="FEP752" s="574"/>
      <c r="FEQ752" s="574"/>
      <c r="FER752" s="574"/>
      <c r="FES752" s="574"/>
      <c r="FET752" s="574"/>
      <c r="FEU752" s="574"/>
      <c r="FEV752" s="574"/>
      <c r="FEW752" s="574"/>
      <c r="FEX752" s="574"/>
      <c r="FEY752" s="574"/>
      <c r="FEZ752" s="574"/>
      <c r="FFA752" s="574"/>
      <c r="FFB752" s="574"/>
      <c r="FFC752" s="574"/>
      <c r="FFD752" s="574"/>
      <c r="FFE752" s="574"/>
      <c r="FFF752" s="574"/>
      <c r="FFG752" s="574"/>
      <c r="FFH752" s="574"/>
      <c r="FFI752" s="574"/>
      <c r="FFJ752" s="574"/>
      <c r="FFK752" s="574"/>
      <c r="FFL752" s="574"/>
      <c r="FFM752" s="574"/>
      <c r="FFN752" s="574"/>
      <c r="FFO752" s="574"/>
      <c r="FFP752" s="574"/>
      <c r="FFQ752" s="574"/>
      <c r="FFR752" s="574"/>
      <c r="FFS752" s="574"/>
      <c r="FFT752" s="574"/>
      <c r="FFU752" s="574"/>
      <c r="FFV752" s="574"/>
      <c r="FFW752" s="574"/>
      <c r="FFX752" s="574"/>
      <c r="FFY752" s="574"/>
      <c r="FFZ752" s="574"/>
      <c r="FGA752" s="574"/>
      <c r="FGB752" s="574"/>
      <c r="FGC752" s="574"/>
      <c r="FGD752" s="574"/>
      <c r="FGE752" s="574"/>
      <c r="FGF752" s="574"/>
      <c r="FGG752" s="574"/>
      <c r="FGH752" s="574"/>
      <c r="FGI752" s="574"/>
      <c r="FGJ752" s="574"/>
      <c r="FGK752" s="574"/>
      <c r="FGL752" s="574"/>
      <c r="FGM752" s="574"/>
      <c r="FGN752" s="574"/>
      <c r="FGO752" s="574"/>
      <c r="FGP752" s="574"/>
      <c r="FGQ752" s="574"/>
      <c r="FGR752" s="574"/>
      <c r="FGS752" s="574"/>
      <c r="FGT752" s="574"/>
      <c r="FGU752" s="574"/>
      <c r="FGV752" s="574"/>
      <c r="FGW752" s="574"/>
      <c r="FGX752" s="574"/>
      <c r="FGY752" s="574"/>
      <c r="FGZ752" s="574"/>
      <c r="FHA752" s="574"/>
      <c r="FHB752" s="574"/>
      <c r="FHC752" s="574"/>
      <c r="FHD752" s="574"/>
      <c r="FHE752" s="574"/>
      <c r="FHF752" s="574"/>
      <c r="FHG752" s="574"/>
      <c r="FHH752" s="574"/>
      <c r="FHI752" s="574"/>
      <c r="FHJ752" s="574"/>
      <c r="FHK752" s="574"/>
      <c r="FHL752" s="574"/>
      <c r="FHM752" s="574"/>
      <c r="FHN752" s="574"/>
      <c r="FHO752" s="574"/>
      <c r="FHP752" s="574"/>
      <c r="FHQ752" s="574"/>
      <c r="FHR752" s="574"/>
      <c r="FHS752" s="574"/>
      <c r="FHT752" s="574"/>
      <c r="FHU752" s="574"/>
      <c r="FHV752" s="574"/>
      <c r="FHW752" s="574"/>
      <c r="FHX752" s="574"/>
      <c r="FHY752" s="574"/>
      <c r="FHZ752" s="574"/>
      <c r="FIA752" s="574"/>
      <c r="FIB752" s="574"/>
      <c r="FIC752" s="574"/>
      <c r="FID752" s="574"/>
      <c r="FIE752" s="574"/>
      <c r="FIF752" s="574"/>
      <c r="FIG752" s="574"/>
      <c r="FIH752" s="574"/>
      <c r="FII752" s="574"/>
      <c r="FIJ752" s="574"/>
      <c r="FIK752" s="574"/>
      <c r="FIL752" s="574"/>
      <c r="FIM752" s="574"/>
      <c r="FIN752" s="574"/>
      <c r="FIO752" s="574"/>
      <c r="FIP752" s="574"/>
      <c r="FIQ752" s="574"/>
      <c r="FIR752" s="574"/>
      <c r="FIS752" s="574"/>
      <c r="FIT752" s="574"/>
      <c r="FIU752" s="574"/>
      <c r="FIV752" s="574"/>
      <c r="FIW752" s="574"/>
      <c r="FIX752" s="574"/>
      <c r="FIY752" s="574"/>
      <c r="FIZ752" s="574"/>
      <c r="FJA752" s="574"/>
      <c r="FJB752" s="574"/>
      <c r="FJC752" s="574"/>
      <c r="FJD752" s="574"/>
      <c r="FJE752" s="574"/>
      <c r="FJF752" s="574"/>
      <c r="FJG752" s="574"/>
      <c r="FJH752" s="574"/>
      <c r="FJI752" s="574"/>
      <c r="FJJ752" s="574"/>
      <c r="FJK752" s="574"/>
      <c r="FJL752" s="574"/>
      <c r="FJM752" s="574"/>
      <c r="FJN752" s="574"/>
      <c r="FJO752" s="574"/>
      <c r="FJP752" s="574"/>
      <c r="FJQ752" s="574"/>
      <c r="FJR752" s="574"/>
      <c r="FJS752" s="574"/>
      <c r="FJT752" s="574"/>
      <c r="FJU752" s="574"/>
      <c r="FJV752" s="574"/>
      <c r="FJW752" s="574"/>
      <c r="FJX752" s="574"/>
      <c r="FJY752" s="574"/>
      <c r="FJZ752" s="574"/>
      <c r="FKA752" s="574"/>
      <c r="FKB752" s="574"/>
      <c r="FKC752" s="574"/>
      <c r="FKD752" s="574"/>
      <c r="FKE752" s="574"/>
      <c r="FKF752" s="574"/>
      <c r="FKG752" s="574"/>
      <c r="FKH752" s="574"/>
      <c r="FKI752" s="574"/>
      <c r="FKJ752" s="574"/>
      <c r="FKK752" s="574"/>
      <c r="FKL752" s="574"/>
      <c r="FKM752" s="574"/>
      <c r="FKN752" s="574"/>
      <c r="FKO752" s="574"/>
      <c r="FKP752" s="574"/>
      <c r="FKQ752" s="574"/>
      <c r="FKR752" s="574"/>
      <c r="FKS752" s="574"/>
      <c r="FKT752" s="574"/>
      <c r="FKU752" s="574"/>
      <c r="FKV752" s="574"/>
      <c r="FKW752" s="574"/>
      <c r="FKX752" s="574"/>
      <c r="FKY752" s="574"/>
      <c r="FKZ752" s="574"/>
      <c r="FLA752" s="574"/>
      <c r="FLB752" s="574"/>
      <c r="FLC752" s="574"/>
      <c r="FLD752" s="574"/>
      <c r="FLE752" s="574"/>
      <c r="FLF752" s="574"/>
      <c r="FLG752" s="574"/>
      <c r="FLH752" s="574"/>
      <c r="FLI752" s="574"/>
      <c r="FLJ752" s="574"/>
      <c r="FLK752" s="574"/>
      <c r="FLL752" s="574"/>
      <c r="FLM752" s="574"/>
      <c r="FLN752" s="574"/>
      <c r="FLO752" s="574"/>
      <c r="FLP752" s="574"/>
      <c r="FLQ752" s="574"/>
      <c r="FLR752" s="574"/>
      <c r="FLS752" s="574"/>
      <c r="FLT752" s="574"/>
      <c r="FLU752" s="574"/>
      <c r="FLV752" s="574"/>
      <c r="FLW752" s="574"/>
      <c r="FLX752" s="574"/>
      <c r="FLY752" s="574"/>
      <c r="FLZ752" s="574"/>
      <c r="FMA752" s="574"/>
      <c r="FMB752" s="574"/>
      <c r="FMC752" s="574"/>
      <c r="FMD752" s="574"/>
      <c r="FME752" s="574"/>
      <c r="FMF752" s="574"/>
      <c r="FMG752" s="574"/>
      <c r="FMH752" s="574"/>
      <c r="FMI752" s="574"/>
      <c r="FMJ752" s="574"/>
      <c r="FMK752" s="574"/>
      <c r="FML752" s="574"/>
      <c r="FMM752" s="574"/>
      <c r="FMN752" s="574"/>
      <c r="FMO752" s="574"/>
      <c r="FMP752" s="574"/>
      <c r="FMQ752" s="574"/>
      <c r="FMR752" s="574"/>
      <c r="FMS752" s="574"/>
      <c r="FMT752" s="574"/>
      <c r="FMU752" s="574"/>
      <c r="FMV752" s="574"/>
      <c r="FMW752" s="574"/>
      <c r="FMX752" s="574"/>
      <c r="FMY752" s="574"/>
      <c r="FMZ752" s="574"/>
      <c r="FNA752" s="574"/>
      <c r="FNB752" s="574"/>
      <c r="FNC752" s="574"/>
      <c r="FND752" s="574"/>
      <c r="FNE752" s="574"/>
      <c r="FNF752" s="574"/>
      <c r="FNG752" s="574"/>
      <c r="FNH752" s="574"/>
      <c r="FNI752" s="574"/>
      <c r="FNJ752" s="574"/>
      <c r="FNK752" s="574"/>
      <c r="FNL752" s="574"/>
      <c r="FNM752" s="574"/>
      <c r="FNN752" s="574"/>
      <c r="FNO752" s="574"/>
      <c r="FNP752" s="574"/>
      <c r="FNQ752" s="574"/>
      <c r="FNR752" s="574"/>
      <c r="FNS752" s="574"/>
      <c r="FNT752" s="574"/>
      <c r="FNU752" s="574"/>
      <c r="FNV752" s="574"/>
      <c r="FNW752" s="574"/>
      <c r="FNX752" s="574"/>
      <c r="FNY752" s="574"/>
      <c r="FNZ752" s="574"/>
      <c r="FOA752" s="574"/>
      <c r="FOB752" s="574"/>
      <c r="FOC752" s="574"/>
      <c r="FOD752" s="574"/>
      <c r="FOE752" s="574"/>
      <c r="FOF752" s="574"/>
      <c r="FOG752" s="574"/>
      <c r="FOH752" s="574"/>
      <c r="FOI752" s="574"/>
      <c r="FOJ752" s="574"/>
      <c r="FOK752" s="574"/>
      <c r="FOL752" s="574"/>
      <c r="FOM752" s="574"/>
      <c r="FON752" s="574"/>
      <c r="FOO752" s="574"/>
      <c r="FOP752" s="574"/>
      <c r="FOQ752" s="574"/>
      <c r="FOR752" s="574"/>
      <c r="FOS752" s="574"/>
      <c r="FOT752" s="574"/>
      <c r="FOU752" s="574"/>
      <c r="FOV752" s="574"/>
      <c r="FOW752" s="574"/>
      <c r="FOX752" s="574"/>
      <c r="FOY752" s="574"/>
      <c r="FOZ752" s="574"/>
      <c r="FPA752" s="574"/>
      <c r="FPB752" s="574"/>
      <c r="FPC752" s="574"/>
      <c r="FPD752" s="574"/>
      <c r="FPE752" s="574"/>
      <c r="FPF752" s="574"/>
      <c r="FPG752" s="574"/>
      <c r="FPH752" s="574"/>
      <c r="FPI752" s="574"/>
      <c r="FPJ752" s="574"/>
      <c r="FPK752" s="574"/>
      <c r="FPL752" s="574"/>
      <c r="FPM752" s="574"/>
      <c r="FPN752" s="574"/>
      <c r="FPO752" s="574"/>
      <c r="FPP752" s="574"/>
      <c r="FPQ752" s="574"/>
      <c r="FPR752" s="574"/>
      <c r="FPS752" s="574"/>
      <c r="FPT752" s="574"/>
      <c r="FPU752" s="574"/>
      <c r="FPV752" s="574"/>
      <c r="FPW752" s="574"/>
      <c r="FPX752" s="574"/>
      <c r="FPY752" s="574"/>
      <c r="FPZ752" s="574"/>
      <c r="FQA752" s="574"/>
      <c r="FQB752" s="574"/>
      <c r="FQC752" s="574"/>
      <c r="FQD752" s="574"/>
      <c r="FQE752" s="574"/>
      <c r="FQF752" s="574"/>
      <c r="FQG752" s="574"/>
      <c r="FQH752" s="574"/>
      <c r="FQI752" s="574"/>
      <c r="FQJ752" s="574"/>
      <c r="FQK752" s="574"/>
      <c r="FQL752" s="574"/>
      <c r="FQM752" s="574"/>
      <c r="FQN752" s="574"/>
      <c r="FQO752" s="574"/>
      <c r="FQP752" s="574"/>
      <c r="FQQ752" s="574"/>
      <c r="FQR752" s="574"/>
      <c r="FQS752" s="574"/>
      <c r="FQT752" s="574"/>
      <c r="FQU752" s="574"/>
      <c r="FQV752" s="574"/>
      <c r="FQW752" s="574"/>
      <c r="FQX752" s="574"/>
      <c r="FQY752" s="574"/>
      <c r="FQZ752" s="574"/>
      <c r="FRA752" s="574"/>
      <c r="FRB752" s="574"/>
      <c r="FRC752" s="574"/>
      <c r="FRD752" s="574"/>
      <c r="FRE752" s="574"/>
      <c r="FRF752" s="574"/>
      <c r="FRG752" s="574"/>
      <c r="FRH752" s="574"/>
      <c r="FRI752" s="574"/>
      <c r="FRJ752" s="574"/>
      <c r="FRK752" s="574"/>
      <c r="FRL752" s="574"/>
      <c r="FRM752" s="574"/>
      <c r="FRN752" s="574"/>
      <c r="FRO752" s="574"/>
      <c r="FRP752" s="574"/>
      <c r="FRQ752" s="574"/>
      <c r="FRR752" s="574"/>
      <c r="FRS752" s="574"/>
      <c r="FRT752" s="574"/>
      <c r="FRU752" s="574"/>
      <c r="FRV752" s="574"/>
      <c r="FRW752" s="574"/>
      <c r="FRX752" s="574"/>
      <c r="FRY752" s="574"/>
      <c r="FRZ752" s="574"/>
      <c r="FSA752" s="574"/>
      <c r="FSB752" s="574"/>
      <c r="FSC752" s="574"/>
      <c r="FSD752" s="574"/>
      <c r="FSE752" s="574"/>
      <c r="FSF752" s="574"/>
      <c r="FSG752" s="574"/>
      <c r="FSH752" s="574"/>
      <c r="FSI752" s="574"/>
      <c r="FSJ752" s="574"/>
      <c r="FSK752" s="574"/>
      <c r="FSL752" s="574"/>
      <c r="FSM752" s="574"/>
      <c r="FSN752" s="574"/>
      <c r="FSO752" s="574"/>
      <c r="FSP752" s="574"/>
      <c r="FSQ752" s="574"/>
      <c r="FSR752" s="574"/>
      <c r="FSS752" s="574"/>
      <c r="FST752" s="574"/>
      <c r="FSU752" s="574"/>
      <c r="FSV752" s="574"/>
      <c r="FSW752" s="574"/>
      <c r="FSX752" s="574"/>
      <c r="FSY752" s="574"/>
      <c r="FSZ752" s="574"/>
      <c r="FTA752" s="574"/>
      <c r="FTB752" s="574"/>
      <c r="FTC752" s="574"/>
      <c r="FTD752" s="574"/>
      <c r="FTE752" s="574"/>
      <c r="FTF752" s="574"/>
      <c r="FTG752" s="574"/>
      <c r="FTH752" s="574"/>
      <c r="FTI752" s="574"/>
      <c r="FTJ752" s="574"/>
      <c r="FTK752" s="574"/>
      <c r="FTL752" s="574"/>
      <c r="FTM752" s="574"/>
      <c r="FTN752" s="574"/>
      <c r="FTO752" s="574"/>
      <c r="FTP752" s="574"/>
      <c r="FTQ752" s="574"/>
      <c r="FTR752" s="574"/>
      <c r="FTS752" s="574"/>
      <c r="FTT752" s="574"/>
      <c r="FTU752" s="574"/>
      <c r="FTV752" s="574"/>
      <c r="FTW752" s="574"/>
      <c r="FTX752" s="574"/>
      <c r="FTY752" s="574"/>
      <c r="FTZ752" s="574"/>
      <c r="FUA752" s="574"/>
      <c r="FUB752" s="574"/>
      <c r="FUC752" s="574"/>
      <c r="FUD752" s="574"/>
      <c r="FUE752" s="574"/>
      <c r="FUF752" s="574"/>
      <c r="FUG752" s="574"/>
      <c r="FUH752" s="574"/>
      <c r="FUI752" s="574"/>
      <c r="FUJ752" s="574"/>
      <c r="FUK752" s="574"/>
      <c r="FUL752" s="574"/>
      <c r="FUM752" s="574"/>
      <c r="FUN752" s="574"/>
      <c r="FUO752" s="574"/>
      <c r="FUP752" s="574"/>
      <c r="FUQ752" s="574"/>
      <c r="FUR752" s="574"/>
      <c r="FUS752" s="574"/>
      <c r="FUT752" s="574"/>
      <c r="FUU752" s="574"/>
      <c r="FUV752" s="574"/>
      <c r="FUW752" s="574"/>
      <c r="FUX752" s="574"/>
      <c r="FUY752" s="574"/>
      <c r="FUZ752" s="574"/>
      <c r="FVA752" s="574"/>
      <c r="FVB752" s="574"/>
      <c r="FVC752" s="574"/>
      <c r="FVD752" s="574"/>
      <c r="FVE752" s="574"/>
      <c r="FVF752" s="574"/>
      <c r="FVG752" s="574"/>
      <c r="FVH752" s="574"/>
      <c r="FVI752" s="574"/>
      <c r="FVJ752" s="574"/>
      <c r="FVK752" s="574"/>
      <c r="FVL752" s="574"/>
      <c r="FVM752" s="574"/>
      <c r="FVN752" s="574"/>
      <c r="FVO752" s="574"/>
      <c r="FVP752" s="574"/>
      <c r="FVQ752" s="574"/>
      <c r="FVR752" s="574"/>
      <c r="FVS752" s="574"/>
      <c r="FVT752" s="574"/>
      <c r="FVU752" s="574"/>
      <c r="FVV752" s="574"/>
      <c r="FVW752" s="574"/>
      <c r="FVX752" s="574"/>
      <c r="FVY752" s="574"/>
      <c r="FVZ752" s="574"/>
      <c r="FWA752" s="574"/>
      <c r="FWB752" s="574"/>
      <c r="FWC752" s="574"/>
      <c r="FWD752" s="574"/>
      <c r="FWE752" s="574"/>
      <c r="FWF752" s="574"/>
      <c r="FWG752" s="574"/>
      <c r="FWH752" s="574"/>
      <c r="FWI752" s="574"/>
      <c r="FWJ752" s="574"/>
      <c r="FWK752" s="574"/>
      <c r="FWL752" s="574"/>
      <c r="FWM752" s="574"/>
      <c r="FWN752" s="574"/>
      <c r="FWO752" s="574"/>
      <c r="FWP752" s="574"/>
      <c r="FWQ752" s="574"/>
      <c r="FWR752" s="574"/>
      <c r="FWS752" s="574"/>
      <c r="FWT752" s="574"/>
      <c r="FWU752" s="574"/>
      <c r="FWV752" s="574"/>
      <c r="FWW752" s="574"/>
      <c r="FWX752" s="574"/>
      <c r="FWY752" s="574"/>
      <c r="FWZ752" s="574"/>
      <c r="FXA752" s="574"/>
      <c r="FXB752" s="574"/>
      <c r="FXC752" s="574"/>
      <c r="FXD752" s="574"/>
      <c r="FXE752" s="574"/>
      <c r="FXF752" s="574"/>
      <c r="FXG752" s="574"/>
      <c r="FXH752" s="574"/>
      <c r="FXI752" s="574"/>
      <c r="FXJ752" s="574"/>
      <c r="FXK752" s="574"/>
      <c r="FXL752" s="574"/>
      <c r="FXM752" s="574"/>
      <c r="FXN752" s="574"/>
      <c r="FXO752" s="574"/>
      <c r="FXP752" s="574"/>
      <c r="FXQ752" s="574"/>
      <c r="FXR752" s="574"/>
      <c r="FXS752" s="574"/>
      <c r="FXT752" s="574"/>
      <c r="FXU752" s="574"/>
      <c r="FXV752" s="574"/>
      <c r="FXW752" s="574"/>
      <c r="FXX752" s="574"/>
      <c r="FXY752" s="574"/>
      <c r="FXZ752" s="574"/>
      <c r="FYA752" s="574"/>
      <c r="FYB752" s="574"/>
      <c r="FYC752" s="574"/>
      <c r="FYD752" s="574"/>
      <c r="FYE752" s="574"/>
      <c r="FYF752" s="574"/>
      <c r="FYG752" s="574"/>
      <c r="FYH752" s="574"/>
      <c r="FYI752" s="574"/>
      <c r="FYJ752" s="574"/>
      <c r="FYK752" s="574"/>
      <c r="FYL752" s="574"/>
      <c r="FYM752" s="574"/>
      <c r="FYN752" s="574"/>
      <c r="FYO752" s="574"/>
      <c r="FYP752" s="574"/>
      <c r="FYQ752" s="574"/>
      <c r="FYR752" s="574"/>
      <c r="FYS752" s="574"/>
      <c r="FYT752" s="574"/>
      <c r="FYU752" s="574"/>
      <c r="FYV752" s="574"/>
      <c r="FYW752" s="574"/>
      <c r="FYX752" s="574"/>
      <c r="FYY752" s="574"/>
      <c r="FYZ752" s="574"/>
      <c r="FZA752" s="574"/>
      <c r="FZB752" s="574"/>
      <c r="FZC752" s="574"/>
      <c r="FZD752" s="574"/>
      <c r="FZE752" s="574"/>
      <c r="FZF752" s="574"/>
      <c r="FZG752" s="574"/>
      <c r="FZH752" s="574"/>
      <c r="FZI752" s="574"/>
      <c r="FZJ752" s="574"/>
      <c r="FZK752" s="574"/>
      <c r="FZL752" s="574"/>
      <c r="FZM752" s="574"/>
      <c r="FZN752" s="574"/>
      <c r="FZO752" s="574"/>
      <c r="FZP752" s="574"/>
      <c r="FZQ752" s="574"/>
      <c r="FZR752" s="574"/>
      <c r="FZS752" s="574"/>
      <c r="FZT752" s="574"/>
      <c r="FZU752" s="574"/>
      <c r="FZV752" s="574"/>
      <c r="FZW752" s="574"/>
      <c r="FZX752" s="574"/>
      <c r="FZY752" s="574"/>
      <c r="FZZ752" s="574"/>
      <c r="GAA752" s="574"/>
      <c r="GAB752" s="574"/>
      <c r="GAC752" s="574"/>
      <c r="GAD752" s="574"/>
      <c r="GAE752" s="574"/>
      <c r="GAF752" s="574"/>
      <c r="GAG752" s="574"/>
      <c r="GAH752" s="574"/>
      <c r="GAI752" s="574"/>
      <c r="GAJ752" s="574"/>
      <c r="GAK752" s="574"/>
      <c r="GAL752" s="574"/>
      <c r="GAM752" s="574"/>
      <c r="GAN752" s="574"/>
      <c r="GAO752" s="574"/>
      <c r="GAP752" s="574"/>
      <c r="GAQ752" s="574"/>
      <c r="GAR752" s="574"/>
      <c r="GAS752" s="574"/>
      <c r="GAT752" s="574"/>
      <c r="GAU752" s="574"/>
      <c r="GAV752" s="574"/>
      <c r="GAW752" s="574"/>
      <c r="GAX752" s="574"/>
      <c r="GAY752" s="574"/>
      <c r="GAZ752" s="574"/>
      <c r="GBA752" s="574"/>
      <c r="GBB752" s="574"/>
      <c r="GBC752" s="574"/>
      <c r="GBD752" s="574"/>
      <c r="GBE752" s="574"/>
      <c r="GBF752" s="574"/>
      <c r="GBG752" s="574"/>
      <c r="GBH752" s="574"/>
      <c r="GBI752" s="574"/>
      <c r="GBJ752" s="574"/>
      <c r="GBK752" s="574"/>
      <c r="GBL752" s="574"/>
      <c r="GBM752" s="574"/>
      <c r="GBN752" s="574"/>
      <c r="GBO752" s="574"/>
      <c r="GBP752" s="574"/>
      <c r="GBQ752" s="574"/>
      <c r="GBR752" s="574"/>
      <c r="GBS752" s="574"/>
      <c r="GBT752" s="574"/>
      <c r="GBU752" s="574"/>
      <c r="GBV752" s="574"/>
      <c r="GBW752" s="574"/>
      <c r="GBX752" s="574"/>
      <c r="GBY752" s="574"/>
      <c r="GBZ752" s="574"/>
      <c r="GCA752" s="574"/>
      <c r="GCB752" s="574"/>
      <c r="GCC752" s="574"/>
      <c r="GCD752" s="574"/>
      <c r="GCE752" s="574"/>
      <c r="GCF752" s="574"/>
      <c r="GCG752" s="574"/>
      <c r="GCH752" s="574"/>
      <c r="GCI752" s="574"/>
      <c r="GCJ752" s="574"/>
      <c r="GCK752" s="574"/>
      <c r="GCL752" s="574"/>
      <c r="GCM752" s="574"/>
      <c r="GCN752" s="574"/>
      <c r="GCO752" s="574"/>
      <c r="GCP752" s="574"/>
      <c r="GCQ752" s="574"/>
      <c r="GCR752" s="574"/>
      <c r="GCS752" s="574"/>
      <c r="GCT752" s="574"/>
      <c r="GCU752" s="574"/>
      <c r="GCV752" s="574"/>
      <c r="GCW752" s="574"/>
      <c r="GCX752" s="574"/>
      <c r="GCY752" s="574"/>
      <c r="GCZ752" s="574"/>
      <c r="GDA752" s="574"/>
      <c r="GDB752" s="574"/>
      <c r="GDC752" s="574"/>
      <c r="GDD752" s="574"/>
      <c r="GDE752" s="574"/>
      <c r="GDF752" s="574"/>
      <c r="GDG752" s="574"/>
      <c r="GDH752" s="574"/>
      <c r="GDI752" s="574"/>
      <c r="GDJ752" s="574"/>
      <c r="GDK752" s="574"/>
      <c r="GDL752" s="574"/>
      <c r="GDM752" s="574"/>
      <c r="GDN752" s="574"/>
      <c r="GDO752" s="574"/>
      <c r="GDP752" s="574"/>
      <c r="GDQ752" s="574"/>
      <c r="GDR752" s="574"/>
      <c r="GDS752" s="574"/>
      <c r="GDT752" s="574"/>
      <c r="GDU752" s="574"/>
      <c r="GDV752" s="574"/>
      <c r="GDW752" s="574"/>
      <c r="GDX752" s="574"/>
      <c r="GDY752" s="574"/>
      <c r="GDZ752" s="574"/>
      <c r="GEA752" s="574"/>
      <c r="GEB752" s="574"/>
      <c r="GEC752" s="574"/>
      <c r="GED752" s="574"/>
      <c r="GEE752" s="574"/>
      <c r="GEF752" s="574"/>
      <c r="GEG752" s="574"/>
      <c r="GEH752" s="574"/>
      <c r="GEI752" s="574"/>
      <c r="GEJ752" s="574"/>
      <c r="GEK752" s="574"/>
      <c r="GEL752" s="574"/>
      <c r="GEM752" s="574"/>
      <c r="GEN752" s="574"/>
      <c r="GEO752" s="574"/>
      <c r="GEP752" s="574"/>
      <c r="GEQ752" s="574"/>
      <c r="GER752" s="574"/>
      <c r="GES752" s="574"/>
      <c r="GET752" s="574"/>
      <c r="GEU752" s="574"/>
      <c r="GEV752" s="574"/>
      <c r="GEW752" s="574"/>
      <c r="GEX752" s="574"/>
      <c r="GEY752" s="574"/>
      <c r="GEZ752" s="574"/>
      <c r="GFA752" s="574"/>
      <c r="GFB752" s="574"/>
      <c r="GFC752" s="574"/>
      <c r="GFD752" s="574"/>
      <c r="GFE752" s="574"/>
      <c r="GFF752" s="574"/>
      <c r="GFG752" s="574"/>
      <c r="GFH752" s="574"/>
      <c r="GFI752" s="574"/>
      <c r="GFJ752" s="574"/>
      <c r="GFK752" s="574"/>
      <c r="GFL752" s="574"/>
      <c r="GFM752" s="574"/>
      <c r="GFN752" s="574"/>
      <c r="GFO752" s="574"/>
      <c r="GFP752" s="574"/>
      <c r="GFQ752" s="574"/>
      <c r="GFR752" s="574"/>
      <c r="GFS752" s="574"/>
      <c r="GFT752" s="574"/>
      <c r="GFU752" s="574"/>
      <c r="GFV752" s="574"/>
      <c r="GFW752" s="574"/>
      <c r="GFX752" s="574"/>
      <c r="GFY752" s="574"/>
      <c r="GFZ752" s="574"/>
      <c r="GGA752" s="574"/>
      <c r="GGB752" s="574"/>
      <c r="GGC752" s="574"/>
      <c r="GGD752" s="574"/>
      <c r="GGE752" s="574"/>
      <c r="GGF752" s="574"/>
      <c r="GGG752" s="574"/>
      <c r="GGH752" s="574"/>
      <c r="GGI752" s="574"/>
      <c r="GGJ752" s="574"/>
      <c r="GGK752" s="574"/>
      <c r="GGL752" s="574"/>
      <c r="GGM752" s="574"/>
      <c r="GGN752" s="574"/>
      <c r="GGO752" s="574"/>
      <c r="GGP752" s="574"/>
      <c r="GGQ752" s="574"/>
      <c r="GGR752" s="574"/>
      <c r="GGS752" s="574"/>
      <c r="GGT752" s="574"/>
      <c r="GGU752" s="574"/>
      <c r="GGV752" s="574"/>
      <c r="GGW752" s="574"/>
      <c r="GGX752" s="574"/>
      <c r="GGY752" s="574"/>
      <c r="GGZ752" s="574"/>
      <c r="GHA752" s="574"/>
      <c r="GHB752" s="574"/>
      <c r="GHC752" s="574"/>
      <c r="GHD752" s="574"/>
      <c r="GHE752" s="574"/>
      <c r="GHF752" s="574"/>
      <c r="GHG752" s="574"/>
      <c r="GHH752" s="574"/>
      <c r="GHI752" s="574"/>
      <c r="GHJ752" s="574"/>
      <c r="GHK752" s="574"/>
      <c r="GHL752" s="574"/>
      <c r="GHM752" s="574"/>
      <c r="GHN752" s="574"/>
      <c r="GHO752" s="574"/>
      <c r="GHP752" s="574"/>
      <c r="GHQ752" s="574"/>
      <c r="GHR752" s="574"/>
      <c r="GHS752" s="574"/>
      <c r="GHT752" s="574"/>
      <c r="GHU752" s="574"/>
      <c r="GHV752" s="574"/>
      <c r="GHW752" s="574"/>
      <c r="GHX752" s="574"/>
      <c r="GHY752" s="574"/>
      <c r="GHZ752" s="574"/>
      <c r="GIA752" s="574"/>
      <c r="GIB752" s="574"/>
      <c r="GIC752" s="574"/>
      <c r="GID752" s="574"/>
      <c r="GIE752" s="574"/>
      <c r="GIF752" s="574"/>
      <c r="GIG752" s="574"/>
      <c r="GIH752" s="574"/>
      <c r="GII752" s="574"/>
      <c r="GIJ752" s="574"/>
      <c r="GIK752" s="574"/>
      <c r="GIL752" s="574"/>
      <c r="GIM752" s="574"/>
      <c r="GIN752" s="574"/>
      <c r="GIO752" s="574"/>
      <c r="GIP752" s="574"/>
      <c r="GIQ752" s="574"/>
      <c r="GIR752" s="574"/>
      <c r="GIS752" s="574"/>
      <c r="GIT752" s="574"/>
      <c r="GIU752" s="574"/>
      <c r="GIV752" s="574"/>
      <c r="GIW752" s="574"/>
      <c r="GIX752" s="574"/>
      <c r="GIY752" s="574"/>
      <c r="GIZ752" s="574"/>
      <c r="GJA752" s="574"/>
      <c r="GJB752" s="574"/>
      <c r="GJC752" s="574"/>
      <c r="GJD752" s="574"/>
      <c r="GJE752" s="574"/>
      <c r="GJF752" s="574"/>
      <c r="GJG752" s="574"/>
      <c r="GJH752" s="574"/>
      <c r="GJI752" s="574"/>
      <c r="GJJ752" s="574"/>
      <c r="GJK752" s="574"/>
      <c r="GJL752" s="574"/>
      <c r="GJM752" s="574"/>
      <c r="GJN752" s="574"/>
      <c r="GJO752" s="574"/>
      <c r="GJP752" s="574"/>
      <c r="GJQ752" s="574"/>
      <c r="GJR752" s="574"/>
      <c r="GJS752" s="574"/>
      <c r="GJT752" s="574"/>
      <c r="GJU752" s="574"/>
      <c r="GJV752" s="574"/>
      <c r="GJW752" s="574"/>
      <c r="GJX752" s="574"/>
      <c r="GJY752" s="574"/>
      <c r="GJZ752" s="574"/>
      <c r="GKA752" s="574"/>
      <c r="GKB752" s="574"/>
      <c r="GKC752" s="574"/>
      <c r="GKD752" s="574"/>
      <c r="GKE752" s="574"/>
      <c r="GKF752" s="574"/>
      <c r="GKG752" s="574"/>
      <c r="GKH752" s="574"/>
      <c r="GKI752" s="574"/>
      <c r="GKJ752" s="574"/>
      <c r="GKK752" s="574"/>
      <c r="GKL752" s="574"/>
      <c r="GKM752" s="574"/>
      <c r="GKN752" s="574"/>
      <c r="GKO752" s="574"/>
      <c r="GKP752" s="574"/>
      <c r="GKQ752" s="574"/>
      <c r="GKR752" s="574"/>
      <c r="GKS752" s="574"/>
      <c r="GKT752" s="574"/>
      <c r="GKU752" s="574"/>
      <c r="GKV752" s="574"/>
      <c r="GKW752" s="574"/>
      <c r="GKX752" s="574"/>
      <c r="GKY752" s="574"/>
      <c r="GKZ752" s="574"/>
      <c r="GLA752" s="574"/>
      <c r="GLB752" s="574"/>
      <c r="GLC752" s="574"/>
      <c r="GLD752" s="574"/>
      <c r="GLE752" s="574"/>
      <c r="GLF752" s="574"/>
      <c r="GLG752" s="574"/>
      <c r="GLH752" s="574"/>
      <c r="GLI752" s="574"/>
      <c r="GLJ752" s="574"/>
      <c r="GLK752" s="574"/>
      <c r="GLL752" s="574"/>
      <c r="GLM752" s="574"/>
      <c r="GLN752" s="574"/>
      <c r="GLO752" s="574"/>
      <c r="GLP752" s="574"/>
      <c r="GLQ752" s="574"/>
      <c r="GLR752" s="574"/>
      <c r="GLS752" s="574"/>
      <c r="GLT752" s="574"/>
      <c r="GLU752" s="574"/>
      <c r="GLV752" s="574"/>
      <c r="GLW752" s="574"/>
      <c r="GLX752" s="574"/>
      <c r="GLY752" s="574"/>
      <c r="GLZ752" s="574"/>
      <c r="GMA752" s="574"/>
      <c r="GMB752" s="574"/>
      <c r="GMC752" s="574"/>
      <c r="GMD752" s="574"/>
      <c r="GME752" s="574"/>
      <c r="GMF752" s="574"/>
      <c r="GMG752" s="574"/>
      <c r="GMH752" s="574"/>
      <c r="GMI752" s="574"/>
      <c r="GMJ752" s="574"/>
      <c r="GMK752" s="574"/>
      <c r="GML752" s="574"/>
      <c r="GMM752" s="574"/>
      <c r="GMN752" s="574"/>
      <c r="GMO752" s="574"/>
      <c r="GMP752" s="574"/>
      <c r="GMQ752" s="574"/>
      <c r="GMR752" s="574"/>
      <c r="GMS752" s="574"/>
      <c r="GMT752" s="574"/>
      <c r="GMU752" s="574"/>
      <c r="GMV752" s="574"/>
      <c r="GMW752" s="574"/>
      <c r="GMX752" s="574"/>
      <c r="GMY752" s="574"/>
      <c r="GMZ752" s="574"/>
      <c r="GNA752" s="574"/>
      <c r="GNB752" s="574"/>
      <c r="GNC752" s="574"/>
      <c r="GND752" s="574"/>
      <c r="GNE752" s="574"/>
      <c r="GNF752" s="574"/>
      <c r="GNG752" s="574"/>
      <c r="GNH752" s="574"/>
      <c r="GNI752" s="574"/>
      <c r="GNJ752" s="574"/>
      <c r="GNK752" s="574"/>
      <c r="GNL752" s="574"/>
      <c r="GNM752" s="574"/>
      <c r="GNN752" s="574"/>
      <c r="GNO752" s="574"/>
      <c r="GNP752" s="574"/>
      <c r="GNQ752" s="574"/>
      <c r="GNR752" s="574"/>
      <c r="GNS752" s="574"/>
      <c r="GNT752" s="574"/>
      <c r="GNU752" s="574"/>
      <c r="GNV752" s="574"/>
      <c r="GNW752" s="574"/>
      <c r="GNX752" s="574"/>
      <c r="GNY752" s="574"/>
      <c r="GNZ752" s="574"/>
      <c r="GOA752" s="574"/>
      <c r="GOB752" s="574"/>
      <c r="GOC752" s="574"/>
      <c r="GOD752" s="574"/>
      <c r="GOE752" s="574"/>
      <c r="GOF752" s="574"/>
      <c r="GOG752" s="574"/>
      <c r="GOH752" s="574"/>
      <c r="GOI752" s="574"/>
      <c r="GOJ752" s="574"/>
      <c r="GOK752" s="574"/>
      <c r="GOL752" s="574"/>
      <c r="GOM752" s="574"/>
      <c r="GON752" s="574"/>
      <c r="GOO752" s="574"/>
      <c r="GOP752" s="574"/>
      <c r="GOQ752" s="574"/>
      <c r="GOR752" s="574"/>
      <c r="GOS752" s="574"/>
      <c r="GOT752" s="574"/>
      <c r="GOU752" s="574"/>
      <c r="GOV752" s="574"/>
      <c r="GOW752" s="574"/>
      <c r="GOX752" s="574"/>
      <c r="GOY752" s="574"/>
      <c r="GOZ752" s="574"/>
      <c r="GPA752" s="574"/>
      <c r="GPB752" s="574"/>
      <c r="GPC752" s="574"/>
      <c r="GPD752" s="574"/>
      <c r="GPE752" s="574"/>
      <c r="GPF752" s="574"/>
      <c r="GPG752" s="574"/>
      <c r="GPH752" s="574"/>
      <c r="GPI752" s="574"/>
      <c r="GPJ752" s="574"/>
      <c r="GPK752" s="574"/>
      <c r="GPL752" s="574"/>
      <c r="GPM752" s="574"/>
      <c r="GPN752" s="574"/>
      <c r="GPO752" s="574"/>
      <c r="GPP752" s="574"/>
      <c r="GPQ752" s="574"/>
      <c r="GPR752" s="574"/>
      <c r="GPS752" s="574"/>
      <c r="GPT752" s="574"/>
      <c r="GPU752" s="574"/>
      <c r="GPV752" s="574"/>
      <c r="GPW752" s="574"/>
      <c r="GPX752" s="574"/>
      <c r="GPY752" s="574"/>
      <c r="GPZ752" s="574"/>
      <c r="GQA752" s="574"/>
      <c r="GQB752" s="574"/>
      <c r="GQC752" s="574"/>
      <c r="GQD752" s="574"/>
      <c r="GQE752" s="574"/>
      <c r="GQF752" s="574"/>
      <c r="GQG752" s="574"/>
      <c r="GQH752" s="574"/>
      <c r="GQI752" s="574"/>
      <c r="GQJ752" s="574"/>
      <c r="GQK752" s="574"/>
      <c r="GQL752" s="574"/>
      <c r="GQM752" s="574"/>
      <c r="GQN752" s="574"/>
      <c r="GQO752" s="574"/>
      <c r="GQP752" s="574"/>
      <c r="GQQ752" s="574"/>
      <c r="GQR752" s="574"/>
      <c r="GQS752" s="574"/>
      <c r="GQT752" s="574"/>
      <c r="GQU752" s="574"/>
      <c r="GQV752" s="574"/>
      <c r="GQW752" s="574"/>
      <c r="GQX752" s="574"/>
      <c r="GQY752" s="574"/>
      <c r="GQZ752" s="574"/>
      <c r="GRA752" s="574"/>
      <c r="GRB752" s="574"/>
      <c r="GRC752" s="574"/>
      <c r="GRD752" s="574"/>
      <c r="GRE752" s="574"/>
      <c r="GRF752" s="574"/>
      <c r="GRG752" s="574"/>
      <c r="GRH752" s="574"/>
      <c r="GRI752" s="574"/>
      <c r="GRJ752" s="574"/>
      <c r="GRK752" s="574"/>
      <c r="GRL752" s="574"/>
      <c r="GRM752" s="574"/>
      <c r="GRN752" s="574"/>
      <c r="GRO752" s="574"/>
      <c r="GRP752" s="574"/>
      <c r="GRQ752" s="574"/>
      <c r="GRR752" s="574"/>
      <c r="GRS752" s="574"/>
      <c r="GRT752" s="574"/>
      <c r="GRU752" s="574"/>
      <c r="GRV752" s="574"/>
      <c r="GRW752" s="574"/>
      <c r="GRX752" s="574"/>
      <c r="GRY752" s="574"/>
      <c r="GRZ752" s="574"/>
      <c r="GSA752" s="574"/>
      <c r="GSB752" s="574"/>
      <c r="GSC752" s="574"/>
      <c r="GSD752" s="574"/>
      <c r="GSE752" s="574"/>
      <c r="GSF752" s="574"/>
      <c r="GSG752" s="574"/>
      <c r="GSH752" s="574"/>
      <c r="GSI752" s="574"/>
      <c r="GSJ752" s="574"/>
      <c r="GSK752" s="574"/>
      <c r="GSL752" s="574"/>
      <c r="GSM752" s="574"/>
      <c r="GSN752" s="574"/>
      <c r="GSO752" s="574"/>
      <c r="GSP752" s="574"/>
      <c r="GSQ752" s="574"/>
      <c r="GSR752" s="574"/>
      <c r="GSS752" s="574"/>
      <c r="GST752" s="574"/>
      <c r="GSU752" s="574"/>
      <c r="GSV752" s="574"/>
      <c r="GSW752" s="574"/>
      <c r="GSX752" s="574"/>
      <c r="GSY752" s="574"/>
      <c r="GSZ752" s="574"/>
      <c r="GTA752" s="574"/>
      <c r="GTB752" s="574"/>
      <c r="GTC752" s="574"/>
      <c r="GTD752" s="574"/>
      <c r="GTE752" s="574"/>
      <c r="GTF752" s="574"/>
      <c r="GTG752" s="574"/>
      <c r="GTH752" s="574"/>
      <c r="GTI752" s="574"/>
      <c r="GTJ752" s="574"/>
      <c r="GTK752" s="574"/>
      <c r="GTL752" s="574"/>
      <c r="GTM752" s="574"/>
      <c r="GTN752" s="574"/>
      <c r="GTO752" s="574"/>
      <c r="GTP752" s="574"/>
      <c r="GTQ752" s="574"/>
      <c r="GTR752" s="574"/>
      <c r="GTS752" s="574"/>
      <c r="GTT752" s="574"/>
      <c r="GTU752" s="574"/>
      <c r="GTV752" s="574"/>
      <c r="GTW752" s="574"/>
      <c r="GTX752" s="574"/>
      <c r="GTY752" s="574"/>
      <c r="GTZ752" s="574"/>
      <c r="GUA752" s="574"/>
      <c r="GUB752" s="574"/>
      <c r="GUC752" s="574"/>
      <c r="GUD752" s="574"/>
      <c r="GUE752" s="574"/>
      <c r="GUF752" s="574"/>
      <c r="GUG752" s="574"/>
      <c r="GUH752" s="574"/>
      <c r="GUI752" s="574"/>
      <c r="GUJ752" s="574"/>
      <c r="GUK752" s="574"/>
      <c r="GUL752" s="574"/>
      <c r="GUM752" s="574"/>
      <c r="GUN752" s="574"/>
      <c r="GUO752" s="574"/>
      <c r="GUP752" s="574"/>
      <c r="GUQ752" s="574"/>
      <c r="GUR752" s="574"/>
      <c r="GUS752" s="574"/>
      <c r="GUT752" s="574"/>
      <c r="GUU752" s="574"/>
      <c r="GUV752" s="574"/>
      <c r="GUW752" s="574"/>
      <c r="GUX752" s="574"/>
      <c r="GUY752" s="574"/>
      <c r="GUZ752" s="574"/>
      <c r="GVA752" s="574"/>
      <c r="GVB752" s="574"/>
      <c r="GVC752" s="574"/>
      <c r="GVD752" s="574"/>
      <c r="GVE752" s="574"/>
      <c r="GVF752" s="574"/>
      <c r="GVG752" s="574"/>
      <c r="GVH752" s="574"/>
      <c r="GVI752" s="574"/>
      <c r="GVJ752" s="574"/>
      <c r="GVK752" s="574"/>
      <c r="GVL752" s="574"/>
      <c r="GVM752" s="574"/>
      <c r="GVN752" s="574"/>
      <c r="GVO752" s="574"/>
      <c r="GVP752" s="574"/>
      <c r="GVQ752" s="574"/>
      <c r="GVR752" s="574"/>
      <c r="GVS752" s="574"/>
      <c r="GVT752" s="574"/>
      <c r="GVU752" s="574"/>
      <c r="GVV752" s="574"/>
      <c r="GVW752" s="574"/>
      <c r="GVX752" s="574"/>
      <c r="GVY752" s="574"/>
      <c r="GVZ752" s="574"/>
      <c r="GWA752" s="574"/>
      <c r="GWB752" s="574"/>
      <c r="GWC752" s="574"/>
      <c r="GWD752" s="574"/>
      <c r="GWE752" s="574"/>
      <c r="GWF752" s="574"/>
      <c r="GWG752" s="574"/>
      <c r="GWH752" s="574"/>
      <c r="GWI752" s="574"/>
      <c r="GWJ752" s="574"/>
      <c r="GWK752" s="574"/>
      <c r="GWL752" s="574"/>
      <c r="GWM752" s="574"/>
      <c r="GWN752" s="574"/>
      <c r="GWO752" s="574"/>
      <c r="GWP752" s="574"/>
      <c r="GWQ752" s="574"/>
      <c r="GWR752" s="574"/>
      <c r="GWS752" s="574"/>
      <c r="GWT752" s="574"/>
      <c r="GWU752" s="574"/>
      <c r="GWV752" s="574"/>
      <c r="GWW752" s="574"/>
      <c r="GWX752" s="574"/>
      <c r="GWY752" s="574"/>
      <c r="GWZ752" s="574"/>
      <c r="GXA752" s="574"/>
      <c r="GXB752" s="574"/>
      <c r="GXC752" s="574"/>
      <c r="GXD752" s="574"/>
      <c r="GXE752" s="574"/>
      <c r="GXF752" s="574"/>
      <c r="GXG752" s="574"/>
      <c r="GXH752" s="574"/>
      <c r="GXI752" s="574"/>
      <c r="GXJ752" s="574"/>
      <c r="GXK752" s="574"/>
      <c r="GXL752" s="574"/>
      <c r="GXM752" s="574"/>
      <c r="GXN752" s="574"/>
      <c r="GXO752" s="574"/>
      <c r="GXP752" s="574"/>
      <c r="GXQ752" s="574"/>
      <c r="GXR752" s="574"/>
      <c r="GXS752" s="574"/>
      <c r="GXT752" s="574"/>
      <c r="GXU752" s="574"/>
      <c r="GXV752" s="574"/>
      <c r="GXW752" s="574"/>
      <c r="GXX752" s="574"/>
      <c r="GXY752" s="574"/>
      <c r="GXZ752" s="574"/>
      <c r="GYA752" s="574"/>
      <c r="GYB752" s="574"/>
      <c r="GYC752" s="574"/>
      <c r="GYD752" s="574"/>
      <c r="GYE752" s="574"/>
      <c r="GYF752" s="574"/>
      <c r="GYG752" s="574"/>
      <c r="GYH752" s="574"/>
      <c r="GYI752" s="574"/>
      <c r="GYJ752" s="574"/>
      <c r="GYK752" s="574"/>
      <c r="GYL752" s="574"/>
      <c r="GYM752" s="574"/>
      <c r="GYN752" s="574"/>
      <c r="GYO752" s="574"/>
      <c r="GYP752" s="574"/>
      <c r="GYQ752" s="574"/>
      <c r="GYR752" s="574"/>
      <c r="GYS752" s="574"/>
      <c r="GYT752" s="574"/>
      <c r="GYU752" s="574"/>
      <c r="GYV752" s="574"/>
      <c r="GYW752" s="574"/>
      <c r="GYX752" s="574"/>
      <c r="GYY752" s="574"/>
      <c r="GYZ752" s="574"/>
      <c r="GZA752" s="574"/>
      <c r="GZB752" s="574"/>
      <c r="GZC752" s="574"/>
      <c r="GZD752" s="574"/>
      <c r="GZE752" s="574"/>
      <c r="GZF752" s="574"/>
      <c r="GZG752" s="574"/>
      <c r="GZH752" s="574"/>
      <c r="GZI752" s="574"/>
      <c r="GZJ752" s="574"/>
      <c r="GZK752" s="574"/>
      <c r="GZL752" s="574"/>
      <c r="GZM752" s="574"/>
      <c r="GZN752" s="574"/>
      <c r="GZO752" s="574"/>
      <c r="GZP752" s="574"/>
      <c r="GZQ752" s="574"/>
      <c r="GZR752" s="574"/>
      <c r="GZS752" s="574"/>
      <c r="GZT752" s="574"/>
      <c r="GZU752" s="574"/>
      <c r="GZV752" s="574"/>
      <c r="GZW752" s="574"/>
      <c r="GZX752" s="574"/>
      <c r="GZY752" s="574"/>
      <c r="GZZ752" s="574"/>
      <c r="HAA752" s="574"/>
      <c r="HAB752" s="574"/>
      <c r="HAC752" s="574"/>
      <c r="HAD752" s="574"/>
      <c r="HAE752" s="574"/>
      <c r="HAF752" s="574"/>
      <c r="HAG752" s="574"/>
      <c r="HAH752" s="574"/>
      <c r="HAI752" s="574"/>
      <c r="HAJ752" s="574"/>
      <c r="HAK752" s="574"/>
      <c r="HAL752" s="574"/>
      <c r="HAM752" s="574"/>
      <c r="HAN752" s="574"/>
      <c r="HAO752" s="574"/>
      <c r="HAP752" s="574"/>
      <c r="HAQ752" s="574"/>
      <c r="HAR752" s="574"/>
      <c r="HAS752" s="574"/>
      <c r="HAT752" s="574"/>
      <c r="HAU752" s="574"/>
      <c r="HAV752" s="574"/>
      <c r="HAW752" s="574"/>
      <c r="HAX752" s="574"/>
      <c r="HAY752" s="574"/>
      <c r="HAZ752" s="574"/>
      <c r="HBA752" s="574"/>
      <c r="HBB752" s="574"/>
      <c r="HBC752" s="574"/>
      <c r="HBD752" s="574"/>
      <c r="HBE752" s="574"/>
      <c r="HBF752" s="574"/>
      <c r="HBG752" s="574"/>
      <c r="HBH752" s="574"/>
      <c r="HBI752" s="574"/>
      <c r="HBJ752" s="574"/>
      <c r="HBK752" s="574"/>
      <c r="HBL752" s="574"/>
      <c r="HBM752" s="574"/>
      <c r="HBN752" s="574"/>
      <c r="HBO752" s="574"/>
      <c r="HBP752" s="574"/>
      <c r="HBQ752" s="574"/>
      <c r="HBR752" s="574"/>
      <c r="HBS752" s="574"/>
      <c r="HBT752" s="574"/>
      <c r="HBU752" s="574"/>
      <c r="HBV752" s="574"/>
      <c r="HBW752" s="574"/>
      <c r="HBX752" s="574"/>
      <c r="HBY752" s="574"/>
      <c r="HBZ752" s="574"/>
      <c r="HCA752" s="574"/>
      <c r="HCB752" s="574"/>
      <c r="HCC752" s="574"/>
      <c r="HCD752" s="574"/>
      <c r="HCE752" s="574"/>
      <c r="HCF752" s="574"/>
      <c r="HCG752" s="574"/>
      <c r="HCH752" s="574"/>
      <c r="HCI752" s="574"/>
      <c r="HCJ752" s="574"/>
      <c r="HCK752" s="574"/>
      <c r="HCL752" s="574"/>
      <c r="HCM752" s="574"/>
      <c r="HCN752" s="574"/>
      <c r="HCO752" s="574"/>
      <c r="HCP752" s="574"/>
      <c r="HCQ752" s="574"/>
      <c r="HCR752" s="574"/>
      <c r="HCS752" s="574"/>
      <c r="HCT752" s="574"/>
      <c r="HCU752" s="574"/>
      <c r="HCV752" s="574"/>
      <c r="HCW752" s="574"/>
      <c r="HCX752" s="574"/>
      <c r="HCY752" s="574"/>
      <c r="HCZ752" s="574"/>
      <c r="HDA752" s="574"/>
      <c r="HDB752" s="574"/>
      <c r="HDC752" s="574"/>
      <c r="HDD752" s="574"/>
      <c r="HDE752" s="574"/>
      <c r="HDF752" s="574"/>
      <c r="HDG752" s="574"/>
      <c r="HDH752" s="574"/>
      <c r="HDI752" s="574"/>
      <c r="HDJ752" s="574"/>
      <c r="HDK752" s="574"/>
      <c r="HDL752" s="574"/>
      <c r="HDM752" s="574"/>
      <c r="HDN752" s="574"/>
      <c r="HDO752" s="574"/>
      <c r="HDP752" s="574"/>
      <c r="HDQ752" s="574"/>
      <c r="HDR752" s="574"/>
      <c r="HDS752" s="574"/>
      <c r="HDT752" s="574"/>
      <c r="HDU752" s="574"/>
      <c r="HDV752" s="574"/>
      <c r="HDW752" s="574"/>
      <c r="HDX752" s="574"/>
      <c r="HDY752" s="574"/>
      <c r="HDZ752" s="574"/>
      <c r="HEA752" s="574"/>
      <c r="HEB752" s="574"/>
      <c r="HEC752" s="574"/>
      <c r="HED752" s="574"/>
      <c r="HEE752" s="574"/>
      <c r="HEF752" s="574"/>
      <c r="HEG752" s="574"/>
      <c r="HEH752" s="574"/>
      <c r="HEI752" s="574"/>
      <c r="HEJ752" s="574"/>
      <c r="HEK752" s="574"/>
      <c r="HEL752" s="574"/>
      <c r="HEM752" s="574"/>
      <c r="HEN752" s="574"/>
      <c r="HEO752" s="574"/>
      <c r="HEP752" s="574"/>
      <c r="HEQ752" s="574"/>
      <c r="HER752" s="574"/>
      <c r="HES752" s="574"/>
      <c r="HET752" s="574"/>
      <c r="HEU752" s="574"/>
      <c r="HEV752" s="574"/>
      <c r="HEW752" s="574"/>
      <c r="HEX752" s="574"/>
      <c r="HEY752" s="574"/>
      <c r="HEZ752" s="574"/>
      <c r="HFA752" s="574"/>
      <c r="HFB752" s="574"/>
      <c r="HFC752" s="574"/>
      <c r="HFD752" s="574"/>
      <c r="HFE752" s="574"/>
      <c r="HFF752" s="574"/>
      <c r="HFG752" s="574"/>
      <c r="HFH752" s="574"/>
      <c r="HFI752" s="574"/>
      <c r="HFJ752" s="574"/>
      <c r="HFK752" s="574"/>
      <c r="HFL752" s="574"/>
      <c r="HFM752" s="574"/>
      <c r="HFN752" s="574"/>
      <c r="HFO752" s="574"/>
      <c r="HFP752" s="574"/>
      <c r="HFQ752" s="574"/>
      <c r="HFR752" s="574"/>
      <c r="HFS752" s="574"/>
      <c r="HFT752" s="574"/>
      <c r="HFU752" s="574"/>
      <c r="HFV752" s="574"/>
      <c r="HFW752" s="574"/>
      <c r="HFX752" s="574"/>
      <c r="HFY752" s="574"/>
      <c r="HFZ752" s="574"/>
      <c r="HGA752" s="574"/>
      <c r="HGB752" s="574"/>
      <c r="HGC752" s="574"/>
      <c r="HGD752" s="574"/>
      <c r="HGE752" s="574"/>
      <c r="HGF752" s="574"/>
      <c r="HGG752" s="574"/>
      <c r="HGH752" s="574"/>
      <c r="HGI752" s="574"/>
      <c r="HGJ752" s="574"/>
      <c r="HGK752" s="574"/>
      <c r="HGL752" s="574"/>
      <c r="HGM752" s="574"/>
      <c r="HGN752" s="574"/>
      <c r="HGO752" s="574"/>
      <c r="HGP752" s="574"/>
      <c r="HGQ752" s="574"/>
      <c r="HGR752" s="574"/>
      <c r="HGS752" s="574"/>
      <c r="HGT752" s="574"/>
      <c r="HGU752" s="574"/>
      <c r="HGV752" s="574"/>
      <c r="HGW752" s="574"/>
      <c r="HGX752" s="574"/>
      <c r="HGY752" s="574"/>
      <c r="HGZ752" s="574"/>
      <c r="HHA752" s="574"/>
      <c r="HHB752" s="574"/>
      <c r="HHC752" s="574"/>
      <c r="HHD752" s="574"/>
      <c r="HHE752" s="574"/>
      <c r="HHF752" s="574"/>
      <c r="HHG752" s="574"/>
      <c r="HHH752" s="574"/>
      <c r="HHI752" s="574"/>
      <c r="HHJ752" s="574"/>
      <c r="HHK752" s="574"/>
      <c r="HHL752" s="574"/>
      <c r="HHM752" s="574"/>
      <c r="HHN752" s="574"/>
      <c r="HHO752" s="574"/>
      <c r="HHP752" s="574"/>
      <c r="HHQ752" s="574"/>
      <c r="HHR752" s="574"/>
      <c r="HHS752" s="574"/>
      <c r="HHT752" s="574"/>
      <c r="HHU752" s="574"/>
      <c r="HHV752" s="574"/>
      <c r="HHW752" s="574"/>
      <c r="HHX752" s="574"/>
      <c r="HHY752" s="574"/>
      <c r="HHZ752" s="574"/>
      <c r="HIA752" s="574"/>
      <c r="HIB752" s="574"/>
      <c r="HIC752" s="574"/>
      <c r="HID752" s="574"/>
      <c r="HIE752" s="574"/>
      <c r="HIF752" s="574"/>
      <c r="HIG752" s="574"/>
      <c r="HIH752" s="574"/>
      <c r="HII752" s="574"/>
      <c r="HIJ752" s="574"/>
      <c r="HIK752" s="574"/>
      <c r="HIL752" s="574"/>
      <c r="HIM752" s="574"/>
      <c r="HIN752" s="574"/>
      <c r="HIO752" s="574"/>
      <c r="HIP752" s="574"/>
      <c r="HIQ752" s="574"/>
      <c r="HIR752" s="574"/>
      <c r="HIS752" s="574"/>
      <c r="HIT752" s="574"/>
      <c r="HIU752" s="574"/>
      <c r="HIV752" s="574"/>
      <c r="HIW752" s="574"/>
      <c r="HIX752" s="574"/>
      <c r="HIY752" s="574"/>
      <c r="HIZ752" s="574"/>
      <c r="HJA752" s="574"/>
      <c r="HJB752" s="574"/>
      <c r="HJC752" s="574"/>
      <c r="HJD752" s="574"/>
      <c r="HJE752" s="574"/>
      <c r="HJF752" s="574"/>
      <c r="HJG752" s="574"/>
      <c r="HJH752" s="574"/>
      <c r="HJI752" s="574"/>
      <c r="HJJ752" s="574"/>
      <c r="HJK752" s="574"/>
      <c r="HJL752" s="574"/>
      <c r="HJM752" s="574"/>
      <c r="HJN752" s="574"/>
      <c r="HJO752" s="574"/>
      <c r="HJP752" s="574"/>
      <c r="HJQ752" s="574"/>
      <c r="HJR752" s="574"/>
      <c r="HJS752" s="574"/>
      <c r="HJT752" s="574"/>
      <c r="HJU752" s="574"/>
      <c r="HJV752" s="574"/>
      <c r="HJW752" s="574"/>
      <c r="HJX752" s="574"/>
      <c r="HJY752" s="574"/>
      <c r="HJZ752" s="574"/>
      <c r="HKA752" s="574"/>
      <c r="HKB752" s="574"/>
      <c r="HKC752" s="574"/>
      <c r="HKD752" s="574"/>
      <c r="HKE752" s="574"/>
      <c r="HKF752" s="574"/>
      <c r="HKG752" s="574"/>
      <c r="HKH752" s="574"/>
      <c r="HKI752" s="574"/>
      <c r="HKJ752" s="574"/>
      <c r="HKK752" s="574"/>
      <c r="HKL752" s="574"/>
      <c r="HKM752" s="574"/>
      <c r="HKN752" s="574"/>
      <c r="HKO752" s="574"/>
      <c r="HKP752" s="574"/>
      <c r="HKQ752" s="574"/>
      <c r="HKR752" s="574"/>
      <c r="HKS752" s="574"/>
      <c r="HKT752" s="574"/>
      <c r="HKU752" s="574"/>
      <c r="HKV752" s="574"/>
      <c r="HKW752" s="574"/>
      <c r="HKX752" s="574"/>
      <c r="HKY752" s="574"/>
      <c r="HKZ752" s="574"/>
      <c r="HLA752" s="574"/>
      <c r="HLB752" s="574"/>
      <c r="HLC752" s="574"/>
      <c r="HLD752" s="574"/>
      <c r="HLE752" s="574"/>
      <c r="HLF752" s="574"/>
      <c r="HLG752" s="574"/>
      <c r="HLH752" s="574"/>
      <c r="HLI752" s="574"/>
      <c r="HLJ752" s="574"/>
      <c r="HLK752" s="574"/>
      <c r="HLL752" s="574"/>
      <c r="HLM752" s="574"/>
      <c r="HLN752" s="574"/>
      <c r="HLO752" s="574"/>
      <c r="HLP752" s="574"/>
      <c r="HLQ752" s="574"/>
      <c r="HLR752" s="574"/>
      <c r="HLS752" s="574"/>
      <c r="HLT752" s="574"/>
      <c r="HLU752" s="574"/>
      <c r="HLV752" s="574"/>
      <c r="HLW752" s="574"/>
      <c r="HLX752" s="574"/>
      <c r="HLY752" s="574"/>
      <c r="HLZ752" s="574"/>
      <c r="HMA752" s="574"/>
      <c r="HMB752" s="574"/>
      <c r="HMC752" s="574"/>
      <c r="HMD752" s="574"/>
      <c r="HME752" s="574"/>
      <c r="HMF752" s="574"/>
      <c r="HMG752" s="574"/>
      <c r="HMH752" s="574"/>
      <c r="HMI752" s="574"/>
      <c r="HMJ752" s="574"/>
      <c r="HMK752" s="574"/>
      <c r="HML752" s="574"/>
      <c r="HMM752" s="574"/>
      <c r="HMN752" s="574"/>
      <c r="HMO752" s="574"/>
      <c r="HMP752" s="574"/>
      <c r="HMQ752" s="574"/>
      <c r="HMR752" s="574"/>
      <c r="HMS752" s="574"/>
      <c r="HMT752" s="574"/>
      <c r="HMU752" s="574"/>
      <c r="HMV752" s="574"/>
      <c r="HMW752" s="574"/>
      <c r="HMX752" s="574"/>
      <c r="HMY752" s="574"/>
      <c r="HMZ752" s="574"/>
      <c r="HNA752" s="574"/>
      <c r="HNB752" s="574"/>
      <c r="HNC752" s="574"/>
      <c r="HND752" s="574"/>
      <c r="HNE752" s="574"/>
      <c r="HNF752" s="574"/>
      <c r="HNG752" s="574"/>
      <c r="HNH752" s="574"/>
      <c r="HNI752" s="574"/>
      <c r="HNJ752" s="574"/>
      <c r="HNK752" s="574"/>
      <c r="HNL752" s="574"/>
      <c r="HNM752" s="574"/>
      <c r="HNN752" s="574"/>
      <c r="HNO752" s="574"/>
      <c r="HNP752" s="574"/>
      <c r="HNQ752" s="574"/>
      <c r="HNR752" s="574"/>
      <c r="HNS752" s="574"/>
      <c r="HNT752" s="574"/>
      <c r="HNU752" s="574"/>
      <c r="HNV752" s="574"/>
      <c r="HNW752" s="574"/>
      <c r="HNX752" s="574"/>
      <c r="HNY752" s="574"/>
      <c r="HNZ752" s="574"/>
      <c r="HOA752" s="574"/>
      <c r="HOB752" s="574"/>
      <c r="HOC752" s="574"/>
      <c r="HOD752" s="574"/>
      <c r="HOE752" s="574"/>
      <c r="HOF752" s="574"/>
      <c r="HOG752" s="574"/>
      <c r="HOH752" s="574"/>
      <c r="HOI752" s="574"/>
      <c r="HOJ752" s="574"/>
      <c r="HOK752" s="574"/>
      <c r="HOL752" s="574"/>
      <c r="HOM752" s="574"/>
      <c r="HON752" s="574"/>
      <c r="HOO752" s="574"/>
      <c r="HOP752" s="574"/>
      <c r="HOQ752" s="574"/>
      <c r="HOR752" s="574"/>
      <c r="HOS752" s="574"/>
      <c r="HOT752" s="574"/>
      <c r="HOU752" s="574"/>
      <c r="HOV752" s="574"/>
      <c r="HOW752" s="574"/>
      <c r="HOX752" s="574"/>
      <c r="HOY752" s="574"/>
      <c r="HOZ752" s="574"/>
      <c r="HPA752" s="574"/>
      <c r="HPB752" s="574"/>
      <c r="HPC752" s="574"/>
      <c r="HPD752" s="574"/>
      <c r="HPE752" s="574"/>
      <c r="HPF752" s="574"/>
      <c r="HPG752" s="574"/>
      <c r="HPH752" s="574"/>
      <c r="HPI752" s="574"/>
      <c r="HPJ752" s="574"/>
      <c r="HPK752" s="574"/>
      <c r="HPL752" s="574"/>
      <c r="HPM752" s="574"/>
      <c r="HPN752" s="574"/>
      <c r="HPO752" s="574"/>
      <c r="HPP752" s="574"/>
      <c r="HPQ752" s="574"/>
      <c r="HPR752" s="574"/>
      <c r="HPS752" s="574"/>
      <c r="HPT752" s="574"/>
      <c r="HPU752" s="574"/>
      <c r="HPV752" s="574"/>
      <c r="HPW752" s="574"/>
      <c r="HPX752" s="574"/>
      <c r="HPY752" s="574"/>
      <c r="HPZ752" s="574"/>
      <c r="HQA752" s="574"/>
      <c r="HQB752" s="574"/>
      <c r="HQC752" s="574"/>
      <c r="HQD752" s="574"/>
      <c r="HQE752" s="574"/>
      <c r="HQF752" s="574"/>
      <c r="HQG752" s="574"/>
      <c r="HQH752" s="574"/>
      <c r="HQI752" s="574"/>
      <c r="HQJ752" s="574"/>
      <c r="HQK752" s="574"/>
      <c r="HQL752" s="574"/>
      <c r="HQM752" s="574"/>
      <c r="HQN752" s="574"/>
      <c r="HQO752" s="574"/>
      <c r="HQP752" s="574"/>
      <c r="HQQ752" s="574"/>
      <c r="HQR752" s="574"/>
      <c r="HQS752" s="574"/>
      <c r="HQT752" s="574"/>
      <c r="HQU752" s="574"/>
      <c r="HQV752" s="574"/>
      <c r="HQW752" s="574"/>
      <c r="HQX752" s="574"/>
      <c r="HQY752" s="574"/>
      <c r="HQZ752" s="574"/>
      <c r="HRA752" s="574"/>
      <c r="HRB752" s="574"/>
      <c r="HRC752" s="574"/>
      <c r="HRD752" s="574"/>
      <c r="HRE752" s="574"/>
      <c r="HRF752" s="574"/>
      <c r="HRG752" s="574"/>
      <c r="HRH752" s="574"/>
      <c r="HRI752" s="574"/>
      <c r="HRJ752" s="574"/>
      <c r="HRK752" s="574"/>
      <c r="HRL752" s="574"/>
      <c r="HRM752" s="574"/>
      <c r="HRN752" s="574"/>
      <c r="HRO752" s="574"/>
      <c r="HRP752" s="574"/>
      <c r="HRQ752" s="574"/>
      <c r="HRR752" s="574"/>
      <c r="HRS752" s="574"/>
      <c r="HRT752" s="574"/>
      <c r="HRU752" s="574"/>
      <c r="HRV752" s="574"/>
      <c r="HRW752" s="574"/>
      <c r="HRX752" s="574"/>
      <c r="HRY752" s="574"/>
      <c r="HRZ752" s="574"/>
      <c r="HSA752" s="574"/>
      <c r="HSB752" s="574"/>
      <c r="HSC752" s="574"/>
      <c r="HSD752" s="574"/>
      <c r="HSE752" s="574"/>
      <c r="HSF752" s="574"/>
      <c r="HSG752" s="574"/>
      <c r="HSH752" s="574"/>
      <c r="HSI752" s="574"/>
      <c r="HSJ752" s="574"/>
      <c r="HSK752" s="574"/>
      <c r="HSL752" s="574"/>
      <c r="HSM752" s="574"/>
      <c r="HSN752" s="574"/>
      <c r="HSO752" s="574"/>
      <c r="HSP752" s="574"/>
      <c r="HSQ752" s="574"/>
      <c r="HSR752" s="574"/>
      <c r="HSS752" s="574"/>
      <c r="HST752" s="574"/>
      <c r="HSU752" s="574"/>
      <c r="HSV752" s="574"/>
      <c r="HSW752" s="574"/>
      <c r="HSX752" s="574"/>
      <c r="HSY752" s="574"/>
      <c r="HSZ752" s="574"/>
      <c r="HTA752" s="574"/>
      <c r="HTB752" s="574"/>
      <c r="HTC752" s="574"/>
      <c r="HTD752" s="574"/>
      <c r="HTE752" s="574"/>
      <c r="HTF752" s="574"/>
      <c r="HTG752" s="574"/>
      <c r="HTH752" s="574"/>
      <c r="HTI752" s="574"/>
      <c r="HTJ752" s="574"/>
      <c r="HTK752" s="574"/>
      <c r="HTL752" s="574"/>
      <c r="HTM752" s="574"/>
      <c r="HTN752" s="574"/>
      <c r="HTO752" s="574"/>
      <c r="HTP752" s="574"/>
      <c r="HTQ752" s="574"/>
      <c r="HTR752" s="574"/>
      <c r="HTS752" s="574"/>
      <c r="HTT752" s="574"/>
      <c r="HTU752" s="574"/>
      <c r="HTV752" s="574"/>
      <c r="HTW752" s="574"/>
      <c r="HTX752" s="574"/>
      <c r="HTY752" s="574"/>
      <c r="HTZ752" s="574"/>
      <c r="HUA752" s="574"/>
      <c r="HUB752" s="574"/>
      <c r="HUC752" s="574"/>
      <c r="HUD752" s="574"/>
      <c r="HUE752" s="574"/>
      <c r="HUF752" s="574"/>
      <c r="HUG752" s="574"/>
      <c r="HUH752" s="574"/>
      <c r="HUI752" s="574"/>
      <c r="HUJ752" s="574"/>
      <c r="HUK752" s="574"/>
      <c r="HUL752" s="574"/>
      <c r="HUM752" s="574"/>
      <c r="HUN752" s="574"/>
      <c r="HUO752" s="574"/>
      <c r="HUP752" s="574"/>
      <c r="HUQ752" s="574"/>
      <c r="HUR752" s="574"/>
      <c r="HUS752" s="574"/>
      <c r="HUT752" s="574"/>
      <c r="HUU752" s="574"/>
      <c r="HUV752" s="574"/>
      <c r="HUW752" s="574"/>
      <c r="HUX752" s="574"/>
      <c r="HUY752" s="574"/>
      <c r="HUZ752" s="574"/>
      <c r="HVA752" s="574"/>
      <c r="HVB752" s="574"/>
      <c r="HVC752" s="574"/>
      <c r="HVD752" s="574"/>
      <c r="HVE752" s="574"/>
      <c r="HVF752" s="574"/>
      <c r="HVG752" s="574"/>
      <c r="HVH752" s="574"/>
      <c r="HVI752" s="574"/>
      <c r="HVJ752" s="574"/>
      <c r="HVK752" s="574"/>
      <c r="HVL752" s="574"/>
      <c r="HVM752" s="574"/>
      <c r="HVN752" s="574"/>
      <c r="HVO752" s="574"/>
      <c r="HVP752" s="574"/>
      <c r="HVQ752" s="574"/>
      <c r="HVR752" s="574"/>
      <c r="HVS752" s="574"/>
      <c r="HVT752" s="574"/>
      <c r="HVU752" s="574"/>
      <c r="HVV752" s="574"/>
      <c r="HVW752" s="574"/>
      <c r="HVX752" s="574"/>
      <c r="HVY752" s="574"/>
      <c r="HVZ752" s="574"/>
      <c r="HWA752" s="574"/>
      <c r="HWB752" s="574"/>
      <c r="HWC752" s="574"/>
      <c r="HWD752" s="574"/>
      <c r="HWE752" s="574"/>
      <c r="HWF752" s="574"/>
      <c r="HWG752" s="574"/>
      <c r="HWH752" s="574"/>
      <c r="HWI752" s="574"/>
      <c r="HWJ752" s="574"/>
      <c r="HWK752" s="574"/>
      <c r="HWL752" s="574"/>
      <c r="HWM752" s="574"/>
      <c r="HWN752" s="574"/>
      <c r="HWO752" s="574"/>
      <c r="HWP752" s="574"/>
      <c r="HWQ752" s="574"/>
      <c r="HWR752" s="574"/>
      <c r="HWS752" s="574"/>
      <c r="HWT752" s="574"/>
      <c r="HWU752" s="574"/>
      <c r="HWV752" s="574"/>
      <c r="HWW752" s="574"/>
      <c r="HWX752" s="574"/>
      <c r="HWY752" s="574"/>
      <c r="HWZ752" s="574"/>
      <c r="HXA752" s="574"/>
      <c r="HXB752" s="574"/>
      <c r="HXC752" s="574"/>
      <c r="HXD752" s="574"/>
      <c r="HXE752" s="574"/>
      <c r="HXF752" s="574"/>
      <c r="HXG752" s="574"/>
      <c r="HXH752" s="574"/>
      <c r="HXI752" s="574"/>
      <c r="HXJ752" s="574"/>
      <c r="HXK752" s="574"/>
      <c r="HXL752" s="574"/>
      <c r="HXM752" s="574"/>
      <c r="HXN752" s="574"/>
      <c r="HXO752" s="574"/>
      <c r="HXP752" s="574"/>
      <c r="HXQ752" s="574"/>
      <c r="HXR752" s="574"/>
      <c r="HXS752" s="574"/>
      <c r="HXT752" s="574"/>
      <c r="HXU752" s="574"/>
      <c r="HXV752" s="574"/>
      <c r="HXW752" s="574"/>
      <c r="HXX752" s="574"/>
      <c r="HXY752" s="574"/>
      <c r="HXZ752" s="574"/>
      <c r="HYA752" s="574"/>
      <c r="HYB752" s="574"/>
      <c r="HYC752" s="574"/>
      <c r="HYD752" s="574"/>
      <c r="HYE752" s="574"/>
      <c r="HYF752" s="574"/>
      <c r="HYG752" s="574"/>
      <c r="HYH752" s="574"/>
      <c r="HYI752" s="574"/>
      <c r="HYJ752" s="574"/>
      <c r="HYK752" s="574"/>
      <c r="HYL752" s="574"/>
      <c r="HYM752" s="574"/>
      <c r="HYN752" s="574"/>
      <c r="HYO752" s="574"/>
      <c r="HYP752" s="574"/>
      <c r="HYQ752" s="574"/>
      <c r="HYR752" s="574"/>
      <c r="HYS752" s="574"/>
      <c r="HYT752" s="574"/>
      <c r="HYU752" s="574"/>
      <c r="HYV752" s="574"/>
      <c r="HYW752" s="574"/>
      <c r="HYX752" s="574"/>
      <c r="HYY752" s="574"/>
      <c r="HYZ752" s="574"/>
      <c r="HZA752" s="574"/>
      <c r="HZB752" s="574"/>
      <c r="HZC752" s="574"/>
      <c r="HZD752" s="574"/>
      <c r="HZE752" s="574"/>
      <c r="HZF752" s="574"/>
      <c r="HZG752" s="574"/>
      <c r="HZH752" s="574"/>
      <c r="HZI752" s="574"/>
      <c r="HZJ752" s="574"/>
      <c r="HZK752" s="574"/>
      <c r="HZL752" s="574"/>
      <c r="HZM752" s="574"/>
      <c r="HZN752" s="574"/>
      <c r="HZO752" s="574"/>
      <c r="HZP752" s="574"/>
      <c r="HZQ752" s="574"/>
      <c r="HZR752" s="574"/>
      <c r="HZS752" s="574"/>
      <c r="HZT752" s="574"/>
      <c r="HZU752" s="574"/>
      <c r="HZV752" s="574"/>
      <c r="HZW752" s="574"/>
      <c r="HZX752" s="574"/>
      <c r="HZY752" s="574"/>
      <c r="HZZ752" s="574"/>
      <c r="IAA752" s="574"/>
      <c r="IAB752" s="574"/>
      <c r="IAC752" s="574"/>
      <c r="IAD752" s="574"/>
      <c r="IAE752" s="574"/>
      <c r="IAF752" s="574"/>
      <c r="IAG752" s="574"/>
      <c r="IAH752" s="574"/>
      <c r="IAI752" s="574"/>
      <c r="IAJ752" s="574"/>
      <c r="IAK752" s="574"/>
      <c r="IAL752" s="574"/>
      <c r="IAM752" s="574"/>
      <c r="IAN752" s="574"/>
      <c r="IAO752" s="574"/>
      <c r="IAP752" s="574"/>
      <c r="IAQ752" s="574"/>
      <c r="IAR752" s="574"/>
      <c r="IAS752" s="574"/>
      <c r="IAT752" s="574"/>
      <c r="IAU752" s="574"/>
      <c r="IAV752" s="574"/>
      <c r="IAW752" s="574"/>
      <c r="IAX752" s="574"/>
      <c r="IAY752" s="574"/>
      <c r="IAZ752" s="574"/>
      <c r="IBA752" s="574"/>
      <c r="IBB752" s="574"/>
      <c r="IBC752" s="574"/>
      <c r="IBD752" s="574"/>
      <c r="IBE752" s="574"/>
      <c r="IBF752" s="574"/>
      <c r="IBG752" s="574"/>
      <c r="IBH752" s="574"/>
      <c r="IBI752" s="574"/>
      <c r="IBJ752" s="574"/>
      <c r="IBK752" s="574"/>
      <c r="IBL752" s="574"/>
      <c r="IBM752" s="574"/>
      <c r="IBN752" s="574"/>
      <c r="IBO752" s="574"/>
      <c r="IBP752" s="574"/>
      <c r="IBQ752" s="574"/>
      <c r="IBR752" s="574"/>
      <c r="IBS752" s="574"/>
      <c r="IBT752" s="574"/>
      <c r="IBU752" s="574"/>
      <c r="IBV752" s="574"/>
      <c r="IBW752" s="574"/>
      <c r="IBX752" s="574"/>
      <c r="IBY752" s="574"/>
      <c r="IBZ752" s="574"/>
      <c r="ICA752" s="574"/>
      <c r="ICB752" s="574"/>
      <c r="ICC752" s="574"/>
      <c r="ICD752" s="574"/>
      <c r="ICE752" s="574"/>
      <c r="ICF752" s="574"/>
      <c r="ICG752" s="574"/>
      <c r="ICH752" s="574"/>
      <c r="ICI752" s="574"/>
      <c r="ICJ752" s="574"/>
      <c r="ICK752" s="574"/>
      <c r="ICL752" s="574"/>
      <c r="ICM752" s="574"/>
      <c r="ICN752" s="574"/>
      <c r="ICO752" s="574"/>
      <c r="ICP752" s="574"/>
      <c r="ICQ752" s="574"/>
      <c r="ICR752" s="574"/>
      <c r="ICS752" s="574"/>
      <c r="ICT752" s="574"/>
      <c r="ICU752" s="574"/>
      <c r="ICV752" s="574"/>
      <c r="ICW752" s="574"/>
      <c r="ICX752" s="574"/>
      <c r="ICY752" s="574"/>
      <c r="ICZ752" s="574"/>
      <c r="IDA752" s="574"/>
      <c r="IDB752" s="574"/>
      <c r="IDC752" s="574"/>
      <c r="IDD752" s="574"/>
      <c r="IDE752" s="574"/>
      <c r="IDF752" s="574"/>
      <c r="IDG752" s="574"/>
      <c r="IDH752" s="574"/>
      <c r="IDI752" s="574"/>
      <c r="IDJ752" s="574"/>
      <c r="IDK752" s="574"/>
      <c r="IDL752" s="574"/>
      <c r="IDM752" s="574"/>
      <c r="IDN752" s="574"/>
      <c r="IDO752" s="574"/>
      <c r="IDP752" s="574"/>
      <c r="IDQ752" s="574"/>
      <c r="IDR752" s="574"/>
      <c r="IDS752" s="574"/>
      <c r="IDT752" s="574"/>
      <c r="IDU752" s="574"/>
      <c r="IDV752" s="574"/>
      <c r="IDW752" s="574"/>
      <c r="IDX752" s="574"/>
      <c r="IDY752" s="574"/>
      <c r="IDZ752" s="574"/>
      <c r="IEA752" s="574"/>
      <c r="IEB752" s="574"/>
      <c r="IEC752" s="574"/>
      <c r="IED752" s="574"/>
      <c r="IEE752" s="574"/>
      <c r="IEF752" s="574"/>
      <c r="IEG752" s="574"/>
      <c r="IEH752" s="574"/>
      <c r="IEI752" s="574"/>
      <c r="IEJ752" s="574"/>
      <c r="IEK752" s="574"/>
      <c r="IEL752" s="574"/>
      <c r="IEM752" s="574"/>
      <c r="IEN752" s="574"/>
      <c r="IEO752" s="574"/>
      <c r="IEP752" s="574"/>
      <c r="IEQ752" s="574"/>
      <c r="IER752" s="574"/>
      <c r="IES752" s="574"/>
      <c r="IET752" s="574"/>
      <c r="IEU752" s="574"/>
      <c r="IEV752" s="574"/>
      <c r="IEW752" s="574"/>
      <c r="IEX752" s="574"/>
      <c r="IEY752" s="574"/>
      <c r="IEZ752" s="574"/>
      <c r="IFA752" s="574"/>
      <c r="IFB752" s="574"/>
      <c r="IFC752" s="574"/>
      <c r="IFD752" s="574"/>
      <c r="IFE752" s="574"/>
      <c r="IFF752" s="574"/>
      <c r="IFG752" s="574"/>
      <c r="IFH752" s="574"/>
      <c r="IFI752" s="574"/>
      <c r="IFJ752" s="574"/>
      <c r="IFK752" s="574"/>
      <c r="IFL752" s="574"/>
      <c r="IFM752" s="574"/>
      <c r="IFN752" s="574"/>
      <c r="IFO752" s="574"/>
      <c r="IFP752" s="574"/>
      <c r="IFQ752" s="574"/>
      <c r="IFR752" s="574"/>
      <c r="IFS752" s="574"/>
      <c r="IFT752" s="574"/>
      <c r="IFU752" s="574"/>
      <c r="IFV752" s="574"/>
      <c r="IFW752" s="574"/>
      <c r="IFX752" s="574"/>
      <c r="IFY752" s="574"/>
      <c r="IFZ752" s="574"/>
      <c r="IGA752" s="574"/>
      <c r="IGB752" s="574"/>
      <c r="IGC752" s="574"/>
      <c r="IGD752" s="574"/>
      <c r="IGE752" s="574"/>
      <c r="IGF752" s="574"/>
      <c r="IGG752" s="574"/>
      <c r="IGH752" s="574"/>
      <c r="IGI752" s="574"/>
      <c r="IGJ752" s="574"/>
      <c r="IGK752" s="574"/>
      <c r="IGL752" s="574"/>
      <c r="IGM752" s="574"/>
      <c r="IGN752" s="574"/>
      <c r="IGO752" s="574"/>
      <c r="IGP752" s="574"/>
      <c r="IGQ752" s="574"/>
      <c r="IGR752" s="574"/>
      <c r="IGS752" s="574"/>
      <c r="IGT752" s="574"/>
      <c r="IGU752" s="574"/>
      <c r="IGV752" s="574"/>
      <c r="IGW752" s="574"/>
      <c r="IGX752" s="574"/>
      <c r="IGY752" s="574"/>
      <c r="IGZ752" s="574"/>
      <c r="IHA752" s="574"/>
      <c r="IHB752" s="574"/>
      <c r="IHC752" s="574"/>
      <c r="IHD752" s="574"/>
      <c r="IHE752" s="574"/>
      <c r="IHF752" s="574"/>
      <c r="IHG752" s="574"/>
      <c r="IHH752" s="574"/>
      <c r="IHI752" s="574"/>
      <c r="IHJ752" s="574"/>
      <c r="IHK752" s="574"/>
      <c r="IHL752" s="574"/>
      <c r="IHM752" s="574"/>
      <c r="IHN752" s="574"/>
      <c r="IHO752" s="574"/>
      <c r="IHP752" s="574"/>
      <c r="IHQ752" s="574"/>
      <c r="IHR752" s="574"/>
      <c r="IHS752" s="574"/>
      <c r="IHT752" s="574"/>
      <c r="IHU752" s="574"/>
      <c r="IHV752" s="574"/>
      <c r="IHW752" s="574"/>
      <c r="IHX752" s="574"/>
      <c r="IHY752" s="574"/>
      <c r="IHZ752" s="574"/>
      <c r="IIA752" s="574"/>
      <c r="IIB752" s="574"/>
      <c r="IIC752" s="574"/>
      <c r="IID752" s="574"/>
      <c r="IIE752" s="574"/>
      <c r="IIF752" s="574"/>
      <c r="IIG752" s="574"/>
      <c r="IIH752" s="574"/>
      <c r="III752" s="574"/>
      <c r="IIJ752" s="574"/>
      <c r="IIK752" s="574"/>
      <c r="IIL752" s="574"/>
      <c r="IIM752" s="574"/>
      <c r="IIN752" s="574"/>
      <c r="IIO752" s="574"/>
      <c r="IIP752" s="574"/>
      <c r="IIQ752" s="574"/>
      <c r="IIR752" s="574"/>
      <c r="IIS752" s="574"/>
      <c r="IIT752" s="574"/>
      <c r="IIU752" s="574"/>
      <c r="IIV752" s="574"/>
      <c r="IIW752" s="574"/>
      <c r="IIX752" s="574"/>
      <c r="IIY752" s="574"/>
      <c r="IIZ752" s="574"/>
      <c r="IJA752" s="574"/>
      <c r="IJB752" s="574"/>
      <c r="IJC752" s="574"/>
      <c r="IJD752" s="574"/>
      <c r="IJE752" s="574"/>
      <c r="IJF752" s="574"/>
      <c r="IJG752" s="574"/>
      <c r="IJH752" s="574"/>
      <c r="IJI752" s="574"/>
      <c r="IJJ752" s="574"/>
      <c r="IJK752" s="574"/>
      <c r="IJL752" s="574"/>
      <c r="IJM752" s="574"/>
      <c r="IJN752" s="574"/>
      <c r="IJO752" s="574"/>
      <c r="IJP752" s="574"/>
      <c r="IJQ752" s="574"/>
      <c r="IJR752" s="574"/>
      <c r="IJS752" s="574"/>
      <c r="IJT752" s="574"/>
      <c r="IJU752" s="574"/>
      <c r="IJV752" s="574"/>
      <c r="IJW752" s="574"/>
      <c r="IJX752" s="574"/>
      <c r="IJY752" s="574"/>
      <c r="IJZ752" s="574"/>
      <c r="IKA752" s="574"/>
      <c r="IKB752" s="574"/>
      <c r="IKC752" s="574"/>
      <c r="IKD752" s="574"/>
      <c r="IKE752" s="574"/>
      <c r="IKF752" s="574"/>
      <c r="IKG752" s="574"/>
      <c r="IKH752" s="574"/>
      <c r="IKI752" s="574"/>
      <c r="IKJ752" s="574"/>
      <c r="IKK752" s="574"/>
      <c r="IKL752" s="574"/>
      <c r="IKM752" s="574"/>
      <c r="IKN752" s="574"/>
      <c r="IKO752" s="574"/>
      <c r="IKP752" s="574"/>
      <c r="IKQ752" s="574"/>
      <c r="IKR752" s="574"/>
      <c r="IKS752" s="574"/>
      <c r="IKT752" s="574"/>
      <c r="IKU752" s="574"/>
      <c r="IKV752" s="574"/>
      <c r="IKW752" s="574"/>
      <c r="IKX752" s="574"/>
      <c r="IKY752" s="574"/>
      <c r="IKZ752" s="574"/>
      <c r="ILA752" s="574"/>
      <c r="ILB752" s="574"/>
      <c r="ILC752" s="574"/>
      <c r="ILD752" s="574"/>
      <c r="ILE752" s="574"/>
      <c r="ILF752" s="574"/>
      <c r="ILG752" s="574"/>
      <c r="ILH752" s="574"/>
      <c r="ILI752" s="574"/>
      <c r="ILJ752" s="574"/>
      <c r="ILK752" s="574"/>
      <c r="ILL752" s="574"/>
      <c r="ILM752" s="574"/>
      <c r="ILN752" s="574"/>
      <c r="ILO752" s="574"/>
      <c r="ILP752" s="574"/>
      <c r="ILQ752" s="574"/>
      <c r="ILR752" s="574"/>
      <c r="ILS752" s="574"/>
      <c r="ILT752" s="574"/>
      <c r="ILU752" s="574"/>
      <c r="ILV752" s="574"/>
      <c r="ILW752" s="574"/>
      <c r="ILX752" s="574"/>
      <c r="ILY752" s="574"/>
      <c r="ILZ752" s="574"/>
      <c r="IMA752" s="574"/>
      <c r="IMB752" s="574"/>
      <c r="IMC752" s="574"/>
      <c r="IMD752" s="574"/>
      <c r="IME752" s="574"/>
      <c r="IMF752" s="574"/>
      <c r="IMG752" s="574"/>
      <c r="IMH752" s="574"/>
      <c r="IMI752" s="574"/>
      <c r="IMJ752" s="574"/>
      <c r="IMK752" s="574"/>
      <c r="IML752" s="574"/>
      <c r="IMM752" s="574"/>
      <c r="IMN752" s="574"/>
      <c r="IMO752" s="574"/>
      <c r="IMP752" s="574"/>
      <c r="IMQ752" s="574"/>
      <c r="IMR752" s="574"/>
      <c r="IMS752" s="574"/>
      <c r="IMT752" s="574"/>
      <c r="IMU752" s="574"/>
      <c r="IMV752" s="574"/>
      <c r="IMW752" s="574"/>
      <c r="IMX752" s="574"/>
      <c r="IMY752" s="574"/>
      <c r="IMZ752" s="574"/>
      <c r="INA752" s="574"/>
      <c r="INB752" s="574"/>
      <c r="INC752" s="574"/>
      <c r="IND752" s="574"/>
      <c r="INE752" s="574"/>
      <c r="INF752" s="574"/>
      <c r="ING752" s="574"/>
      <c r="INH752" s="574"/>
      <c r="INI752" s="574"/>
      <c r="INJ752" s="574"/>
      <c r="INK752" s="574"/>
      <c r="INL752" s="574"/>
      <c r="INM752" s="574"/>
      <c r="INN752" s="574"/>
      <c r="INO752" s="574"/>
      <c r="INP752" s="574"/>
      <c r="INQ752" s="574"/>
      <c r="INR752" s="574"/>
      <c r="INS752" s="574"/>
      <c r="INT752" s="574"/>
      <c r="INU752" s="574"/>
      <c r="INV752" s="574"/>
      <c r="INW752" s="574"/>
      <c r="INX752" s="574"/>
      <c r="INY752" s="574"/>
      <c r="INZ752" s="574"/>
      <c r="IOA752" s="574"/>
      <c r="IOB752" s="574"/>
      <c r="IOC752" s="574"/>
      <c r="IOD752" s="574"/>
      <c r="IOE752" s="574"/>
      <c r="IOF752" s="574"/>
      <c r="IOG752" s="574"/>
      <c r="IOH752" s="574"/>
      <c r="IOI752" s="574"/>
      <c r="IOJ752" s="574"/>
      <c r="IOK752" s="574"/>
      <c r="IOL752" s="574"/>
      <c r="IOM752" s="574"/>
      <c r="ION752" s="574"/>
      <c r="IOO752" s="574"/>
      <c r="IOP752" s="574"/>
      <c r="IOQ752" s="574"/>
      <c r="IOR752" s="574"/>
      <c r="IOS752" s="574"/>
      <c r="IOT752" s="574"/>
      <c r="IOU752" s="574"/>
      <c r="IOV752" s="574"/>
      <c r="IOW752" s="574"/>
      <c r="IOX752" s="574"/>
      <c r="IOY752" s="574"/>
      <c r="IOZ752" s="574"/>
      <c r="IPA752" s="574"/>
      <c r="IPB752" s="574"/>
      <c r="IPC752" s="574"/>
      <c r="IPD752" s="574"/>
      <c r="IPE752" s="574"/>
      <c r="IPF752" s="574"/>
      <c r="IPG752" s="574"/>
      <c r="IPH752" s="574"/>
      <c r="IPI752" s="574"/>
      <c r="IPJ752" s="574"/>
      <c r="IPK752" s="574"/>
      <c r="IPL752" s="574"/>
      <c r="IPM752" s="574"/>
      <c r="IPN752" s="574"/>
      <c r="IPO752" s="574"/>
      <c r="IPP752" s="574"/>
      <c r="IPQ752" s="574"/>
      <c r="IPR752" s="574"/>
      <c r="IPS752" s="574"/>
      <c r="IPT752" s="574"/>
      <c r="IPU752" s="574"/>
      <c r="IPV752" s="574"/>
      <c r="IPW752" s="574"/>
      <c r="IPX752" s="574"/>
      <c r="IPY752" s="574"/>
      <c r="IPZ752" s="574"/>
      <c r="IQA752" s="574"/>
      <c r="IQB752" s="574"/>
      <c r="IQC752" s="574"/>
      <c r="IQD752" s="574"/>
      <c r="IQE752" s="574"/>
      <c r="IQF752" s="574"/>
      <c r="IQG752" s="574"/>
      <c r="IQH752" s="574"/>
      <c r="IQI752" s="574"/>
      <c r="IQJ752" s="574"/>
      <c r="IQK752" s="574"/>
      <c r="IQL752" s="574"/>
      <c r="IQM752" s="574"/>
      <c r="IQN752" s="574"/>
      <c r="IQO752" s="574"/>
      <c r="IQP752" s="574"/>
      <c r="IQQ752" s="574"/>
      <c r="IQR752" s="574"/>
      <c r="IQS752" s="574"/>
      <c r="IQT752" s="574"/>
      <c r="IQU752" s="574"/>
      <c r="IQV752" s="574"/>
      <c r="IQW752" s="574"/>
      <c r="IQX752" s="574"/>
      <c r="IQY752" s="574"/>
      <c r="IQZ752" s="574"/>
      <c r="IRA752" s="574"/>
      <c r="IRB752" s="574"/>
      <c r="IRC752" s="574"/>
      <c r="IRD752" s="574"/>
      <c r="IRE752" s="574"/>
      <c r="IRF752" s="574"/>
      <c r="IRG752" s="574"/>
      <c r="IRH752" s="574"/>
      <c r="IRI752" s="574"/>
      <c r="IRJ752" s="574"/>
      <c r="IRK752" s="574"/>
      <c r="IRL752" s="574"/>
      <c r="IRM752" s="574"/>
      <c r="IRN752" s="574"/>
      <c r="IRO752" s="574"/>
      <c r="IRP752" s="574"/>
      <c r="IRQ752" s="574"/>
      <c r="IRR752" s="574"/>
      <c r="IRS752" s="574"/>
      <c r="IRT752" s="574"/>
      <c r="IRU752" s="574"/>
      <c r="IRV752" s="574"/>
      <c r="IRW752" s="574"/>
      <c r="IRX752" s="574"/>
      <c r="IRY752" s="574"/>
      <c r="IRZ752" s="574"/>
      <c r="ISA752" s="574"/>
      <c r="ISB752" s="574"/>
      <c r="ISC752" s="574"/>
      <c r="ISD752" s="574"/>
      <c r="ISE752" s="574"/>
      <c r="ISF752" s="574"/>
      <c r="ISG752" s="574"/>
      <c r="ISH752" s="574"/>
      <c r="ISI752" s="574"/>
      <c r="ISJ752" s="574"/>
      <c r="ISK752" s="574"/>
      <c r="ISL752" s="574"/>
      <c r="ISM752" s="574"/>
      <c r="ISN752" s="574"/>
      <c r="ISO752" s="574"/>
      <c r="ISP752" s="574"/>
      <c r="ISQ752" s="574"/>
      <c r="ISR752" s="574"/>
      <c r="ISS752" s="574"/>
      <c r="IST752" s="574"/>
      <c r="ISU752" s="574"/>
      <c r="ISV752" s="574"/>
      <c r="ISW752" s="574"/>
      <c r="ISX752" s="574"/>
      <c r="ISY752" s="574"/>
      <c r="ISZ752" s="574"/>
      <c r="ITA752" s="574"/>
      <c r="ITB752" s="574"/>
      <c r="ITC752" s="574"/>
      <c r="ITD752" s="574"/>
      <c r="ITE752" s="574"/>
      <c r="ITF752" s="574"/>
      <c r="ITG752" s="574"/>
      <c r="ITH752" s="574"/>
      <c r="ITI752" s="574"/>
      <c r="ITJ752" s="574"/>
      <c r="ITK752" s="574"/>
      <c r="ITL752" s="574"/>
      <c r="ITM752" s="574"/>
      <c r="ITN752" s="574"/>
      <c r="ITO752" s="574"/>
      <c r="ITP752" s="574"/>
      <c r="ITQ752" s="574"/>
      <c r="ITR752" s="574"/>
      <c r="ITS752" s="574"/>
      <c r="ITT752" s="574"/>
      <c r="ITU752" s="574"/>
      <c r="ITV752" s="574"/>
      <c r="ITW752" s="574"/>
      <c r="ITX752" s="574"/>
      <c r="ITY752" s="574"/>
      <c r="ITZ752" s="574"/>
      <c r="IUA752" s="574"/>
      <c r="IUB752" s="574"/>
      <c r="IUC752" s="574"/>
      <c r="IUD752" s="574"/>
      <c r="IUE752" s="574"/>
      <c r="IUF752" s="574"/>
      <c r="IUG752" s="574"/>
      <c r="IUH752" s="574"/>
      <c r="IUI752" s="574"/>
      <c r="IUJ752" s="574"/>
      <c r="IUK752" s="574"/>
      <c r="IUL752" s="574"/>
      <c r="IUM752" s="574"/>
      <c r="IUN752" s="574"/>
      <c r="IUO752" s="574"/>
      <c r="IUP752" s="574"/>
      <c r="IUQ752" s="574"/>
      <c r="IUR752" s="574"/>
      <c r="IUS752" s="574"/>
      <c r="IUT752" s="574"/>
      <c r="IUU752" s="574"/>
      <c r="IUV752" s="574"/>
      <c r="IUW752" s="574"/>
      <c r="IUX752" s="574"/>
      <c r="IUY752" s="574"/>
      <c r="IUZ752" s="574"/>
      <c r="IVA752" s="574"/>
      <c r="IVB752" s="574"/>
      <c r="IVC752" s="574"/>
      <c r="IVD752" s="574"/>
      <c r="IVE752" s="574"/>
      <c r="IVF752" s="574"/>
      <c r="IVG752" s="574"/>
      <c r="IVH752" s="574"/>
      <c r="IVI752" s="574"/>
      <c r="IVJ752" s="574"/>
      <c r="IVK752" s="574"/>
      <c r="IVL752" s="574"/>
      <c r="IVM752" s="574"/>
      <c r="IVN752" s="574"/>
      <c r="IVO752" s="574"/>
      <c r="IVP752" s="574"/>
      <c r="IVQ752" s="574"/>
      <c r="IVR752" s="574"/>
      <c r="IVS752" s="574"/>
      <c r="IVT752" s="574"/>
      <c r="IVU752" s="574"/>
      <c r="IVV752" s="574"/>
      <c r="IVW752" s="574"/>
      <c r="IVX752" s="574"/>
      <c r="IVY752" s="574"/>
      <c r="IVZ752" s="574"/>
      <c r="IWA752" s="574"/>
      <c r="IWB752" s="574"/>
      <c r="IWC752" s="574"/>
      <c r="IWD752" s="574"/>
      <c r="IWE752" s="574"/>
      <c r="IWF752" s="574"/>
      <c r="IWG752" s="574"/>
      <c r="IWH752" s="574"/>
      <c r="IWI752" s="574"/>
      <c r="IWJ752" s="574"/>
      <c r="IWK752" s="574"/>
      <c r="IWL752" s="574"/>
      <c r="IWM752" s="574"/>
      <c r="IWN752" s="574"/>
      <c r="IWO752" s="574"/>
      <c r="IWP752" s="574"/>
      <c r="IWQ752" s="574"/>
      <c r="IWR752" s="574"/>
      <c r="IWS752" s="574"/>
      <c r="IWT752" s="574"/>
      <c r="IWU752" s="574"/>
      <c r="IWV752" s="574"/>
      <c r="IWW752" s="574"/>
      <c r="IWX752" s="574"/>
      <c r="IWY752" s="574"/>
      <c r="IWZ752" s="574"/>
      <c r="IXA752" s="574"/>
      <c r="IXB752" s="574"/>
      <c r="IXC752" s="574"/>
      <c r="IXD752" s="574"/>
      <c r="IXE752" s="574"/>
      <c r="IXF752" s="574"/>
      <c r="IXG752" s="574"/>
      <c r="IXH752" s="574"/>
      <c r="IXI752" s="574"/>
      <c r="IXJ752" s="574"/>
      <c r="IXK752" s="574"/>
      <c r="IXL752" s="574"/>
      <c r="IXM752" s="574"/>
      <c r="IXN752" s="574"/>
      <c r="IXO752" s="574"/>
      <c r="IXP752" s="574"/>
      <c r="IXQ752" s="574"/>
      <c r="IXR752" s="574"/>
      <c r="IXS752" s="574"/>
      <c r="IXT752" s="574"/>
      <c r="IXU752" s="574"/>
      <c r="IXV752" s="574"/>
      <c r="IXW752" s="574"/>
      <c r="IXX752" s="574"/>
      <c r="IXY752" s="574"/>
      <c r="IXZ752" s="574"/>
      <c r="IYA752" s="574"/>
      <c r="IYB752" s="574"/>
      <c r="IYC752" s="574"/>
      <c r="IYD752" s="574"/>
      <c r="IYE752" s="574"/>
      <c r="IYF752" s="574"/>
      <c r="IYG752" s="574"/>
      <c r="IYH752" s="574"/>
      <c r="IYI752" s="574"/>
      <c r="IYJ752" s="574"/>
      <c r="IYK752" s="574"/>
      <c r="IYL752" s="574"/>
      <c r="IYM752" s="574"/>
      <c r="IYN752" s="574"/>
      <c r="IYO752" s="574"/>
      <c r="IYP752" s="574"/>
      <c r="IYQ752" s="574"/>
      <c r="IYR752" s="574"/>
      <c r="IYS752" s="574"/>
      <c r="IYT752" s="574"/>
      <c r="IYU752" s="574"/>
      <c r="IYV752" s="574"/>
      <c r="IYW752" s="574"/>
      <c r="IYX752" s="574"/>
      <c r="IYY752" s="574"/>
      <c r="IYZ752" s="574"/>
      <c r="IZA752" s="574"/>
      <c r="IZB752" s="574"/>
      <c r="IZC752" s="574"/>
      <c r="IZD752" s="574"/>
      <c r="IZE752" s="574"/>
      <c r="IZF752" s="574"/>
      <c r="IZG752" s="574"/>
      <c r="IZH752" s="574"/>
      <c r="IZI752" s="574"/>
      <c r="IZJ752" s="574"/>
      <c r="IZK752" s="574"/>
      <c r="IZL752" s="574"/>
      <c r="IZM752" s="574"/>
      <c r="IZN752" s="574"/>
      <c r="IZO752" s="574"/>
      <c r="IZP752" s="574"/>
      <c r="IZQ752" s="574"/>
      <c r="IZR752" s="574"/>
      <c r="IZS752" s="574"/>
      <c r="IZT752" s="574"/>
      <c r="IZU752" s="574"/>
      <c r="IZV752" s="574"/>
      <c r="IZW752" s="574"/>
      <c r="IZX752" s="574"/>
      <c r="IZY752" s="574"/>
      <c r="IZZ752" s="574"/>
      <c r="JAA752" s="574"/>
      <c r="JAB752" s="574"/>
      <c r="JAC752" s="574"/>
      <c r="JAD752" s="574"/>
      <c r="JAE752" s="574"/>
      <c r="JAF752" s="574"/>
      <c r="JAG752" s="574"/>
      <c r="JAH752" s="574"/>
      <c r="JAI752" s="574"/>
      <c r="JAJ752" s="574"/>
      <c r="JAK752" s="574"/>
      <c r="JAL752" s="574"/>
      <c r="JAM752" s="574"/>
      <c r="JAN752" s="574"/>
      <c r="JAO752" s="574"/>
      <c r="JAP752" s="574"/>
      <c r="JAQ752" s="574"/>
      <c r="JAR752" s="574"/>
      <c r="JAS752" s="574"/>
      <c r="JAT752" s="574"/>
      <c r="JAU752" s="574"/>
      <c r="JAV752" s="574"/>
      <c r="JAW752" s="574"/>
      <c r="JAX752" s="574"/>
      <c r="JAY752" s="574"/>
      <c r="JAZ752" s="574"/>
      <c r="JBA752" s="574"/>
      <c r="JBB752" s="574"/>
      <c r="JBC752" s="574"/>
      <c r="JBD752" s="574"/>
      <c r="JBE752" s="574"/>
      <c r="JBF752" s="574"/>
      <c r="JBG752" s="574"/>
      <c r="JBH752" s="574"/>
      <c r="JBI752" s="574"/>
      <c r="JBJ752" s="574"/>
      <c r="JBK752" s="574"/>
      <c r="JBL752" s="574"/>
      <c r="JBM752" s="574"/>
      <c r="JBN752" s="574"/>
      <c r="JBO752" s="574"/>
      <c r="JBP752" s="574"/>
      <c r="JBQ752" s="574"/>
      <c r="JBR752" s="574"/>
      <c r="JBS752" s="574"/>
      <c r="JBT752" s="574"/>
      <c r="JBU752" s="574"/>
      <c r="JBV752" s="574"/>
      <c r="JBW752" s="574"/>
      <c r="JBX752" s="574"/>
      <c r="JBY752" s="574"/>
      <c r="JBZ752" s="574"/>
      <c r="JCA752" s="574"/>
      <c r="JCB752" s="574"/>
      <c r="JCC752" s="574"/>
      <c r="JCD752" s="574"/>
      <c r="JCE752" s="574"/>
      <c r="JCF752" s="574"/>
      <c r="JCG752" s="574"/>
      <c r="JCH752" s="574"/>
      <c r="JCI752" s="574"/>
      <c r="JCJ752" s="574"/>
      <c r="JCK752" s="574"/>
      <c r="JCL752" s="574"/>
      <c r="JCM752" s="574"/>
      <c r="JCN752" s="574"/>
      <c r="JCO752" s="574"/>
      <c r="JCP752" s="574"/>
      <c r="JCQ752" s="574"/>
      <c r="JCR752" s="574"/>
      <c r="JCS752" s="574"/>
      <c r="JCT752" s="574"/>
      <c r="JCU752" s="574"/>
      <c r="JCV752" s="574"/>
      <c r="JCW752" s="574"/>
      <c r="JCX752" s="574"/>
      <c r="JCY752" s="574"/>
      <c r="JCZ752" s="574"/>
      <c r="JDA752" s="574"/>
      <c r="JDB752" s="574"/>
      <c r="JDC752" s="574"/>
      <c r="JDD752" s="574"/>
      <c r="JDE752" s="574"/>
      <c r="JDF752" s="574"/>
      <c r="JDG752" s="574"/>
      <c r="JDH752" s="574"/>
      <c r="JDI752" s="574"/>
      <c r="JDJ752" s="574"/>
      <c r="JDK752" s="574"/>
      <c r="JDL752" s="574"/>
      <c r="JDM752" s="574"/>
      <c r="JDN752" s="574"/>
      <c r="JDO752" s="574"/>
      <c r="JDP752" s="574"/>
      <c r="JDQ752" s="574"/>
      <c r="JDR752" s="574"/>
      <c r="JDS752" s="574"/>
      <c r="JDT752" s="574"/>
      <c r="JDU752" s="574"/>
      <c r="JDV752" s="574"/>
      <c r="JDW752" s="574"/>
      <c r="JDX752" s="574"/>
      <c r="JDY752" s="574"/>
      <c r="JDZ752" s="574"/>
      <c r="JEA752" s="574"/>
      <c r="JEB752" s="574"/>
      <c r="JEC752" s="574"/>
      <c r="JED752" s="574"/>
      <c r="JEE752" s="574"/>
      <c r="JEF752" s="574"/>
      <c r="JEG752" s="574"/>
      <c r="JEH752" s="574"/>
      <c r="JEI752" s="574"/>
      <c r="JEJ752" s="574"/>
      <c r="JEK752" s="574"/>
      <c r="JEL752" s="574"/>
      <c r="JEM752" s="574"/>
      <c r="JEN752" s="574"/>
      <c r="JEO752" s="574"/>
      <c r="JEP752" s="574"/>
      <c r="JEQ752" s="574"/>
      <c r="JER752" s="574"/>
      <c r="JES752" s="574"/>
      <c r="JET752" s="574"/>
      <c r="JEU752" s="574"/>
      <c r="JEV752" s="574"/>
      <c r="JEW752" s="574"/>
      <c r="JEX752" s="574"/>
      <c r="JEY752" s="574"/>
      <c r="JEZ752" s="574"/>
      <c r="JFA752" s="574"/>
      <c r="JFB752" s="574"/>
      <c r="JFC752" s="574"/>
      <c r="JFD752" s="574"/>
      <c r="JFE752" s="574"/>
      <c r="JFF752" s="574"/>
      <c r="JFG752" s="574"/>
      <c r="JFH752" s="574"/>
      <c r="JFI752" s="574"/>
      <c r="JFJ752" s="574"/>
      <c r="JFK752" s="574"/>
      <c r="JFL752" s="574"/>
      <c r="JFM752" s="574"/>
      <c r="JFN752" s="574"/>
      <c r="JFO752" s="574"/>
      <c r="JFP752" s="574"/>
      <c r="JFQ752" s="574"/>
      <c r="JFR752" s="574"/>
      <c r="JFS752" s="574"/>
      <c r="JFT752" s="574"/>
      <c r="JFU752" s="574"/>
      <c r="JFV752" s="574"/>
      <c r="JFW752" s="574"/>
      <c r="JFX752" s="574"/>
      <c r="JFY752" s="574"/>
      <c r="JFZ752" s="574"/>
      <c r="JGA752" s="574"/>
      <c r="JGB752" s="574"/>
      <c r="JGC752" s="574"/>
      <c r="JGD752" s="574"/>
      <c r="JGE752" s="574"/>
      <c r="JGF752" s="574"/>
      <c r="JGG752" s="574"/>
      <c r="JGH752" s="574"/>
      <c r="JGI752" s="574"/>
      <c r="JGJ752" s="574"/>
      <c r="JGK752" s="574"/>
      <c r="JGL752" s="574"/>
      <c r="JGM752" s="574"/>
      <c r="JGN752" s="574"/>
      <c r="JGO752" s="574"/>
      <c r="JGP752" s="574"/>
      <c r="JGQ752" s="574"/>
      <c r="JGR752" s="574"/>
      <c r="JGS752" s="574"/>
      <c r="JGT752" s="574"/>
      <c r="JGU752" s="574"/>
      <c r="JGV752" s="574"/>
      <c r="JGW752" s="574"/>
      <c r="JGX752" s="574"/>
      <c r="JGY752" s="574"/>
      <c r="JGZ752" s="574"/>
      <c r="JHA752" s="574"/>
      <c r="JHB752" s="574"/>
      <c r="JHC752" s="574"/>
      <c r="JHD752" s="574"/>
      <c r="JHE752" s="574"/>
      <c r="JHF752" s="574"/>
      <c r="JHG752" s="574"/>
      <c r="JHH752" s="574"/>
      <c r="JHI752" s="574"/>
      <c r="JHJ752" s="574"/>
      <c r="JHK752" s="574"/>
      <c r="JHL752" s="574"/>
      <c r="JHM752" s="574"/>
      <c r="JHN752" s="574"/>
      <c r="JHO752" s="574"/>
      <c r="JHP752" s="574"/>
      <c r="JHQ752" s="574"/>
      <c r="JHR752" s="574"/>
      <c r="JHS752" s="574"/>
      <c r="JHT752" s="574"/>
      <c r="JHU752" s="574"/>
      <c r="JHV752" s="574"/>
      <c r="JHW752" s="574"/>
      <c r="JHX752" s="574"/>
      <c r="JHY752" s="574"/>
      <c r="JHZ752" s="574"/>
      <c r="JIA752" s="574"/>
      <c r="JIB752" s="574"/>
      <c r="JIC752" s="574"/>
      <c r="JID752" s="574"/>
      <c r="JIE752" s="574"/>
      <c r="JIF752" s="574"/>
      <c r="JIG752" s="574"/>
      <c r="JIH752" s="574"/>
      <c r="JII752" s="574"/>
      <c r="JIJ752" s="574"/>
      <c r="JIK752" s="574"/>
      <c r="JIL752" s="574"/>
      <c r="JIM752" s="574"/>
      <c r="JIN752" s="574"/>
      <c r="JIO752" s="574"/>
      <c r="JIP752" s="574"/>
      <c r="JIQ752" s="574"/>
      <c r="JIR752" s="574"/>
      <c r="JIS752" s="574"/>
      <c r="JIT752" s="574"/>
      <c r="JIU752" s="574"/>
      <c r="JIV752" s="574"/>
      <c r="JIW752" s="574"/>
      <c r="JIX752" s="574"/>
      <c r="JIY752" s="574"/>
      <c r="JIZ752" s="574"/>
      <c r="JJA752" s="574"/>
      <c r="JJB752" s="574"/>
      <c r="JJC752" s="574"/>
      <c r="JJD752" s="574"/>
      <c r="JJE752" s="574"/>
      <c r="JJF752" s="574"/>
      <c r="JJG752" s="574"/>
      <c r="JJH752" s="574"/>
      <c r="JJI752" s="574"/>
      <c r="JJJ752" s="574"/>
      <c r="JJK752" s="574"/>
      <c r="JJL752" s="574"/>
      <c r="JJM752" s="574"/>
      <c r="JJN752" s="574"/>
      <c r="JJO752" s="574"/>
      <c r="JJP752" s="574"/>
      <c r="JJQ752" s="574"/>
      <c r="JJR752" s="574"/>
      <c r="JJS752" s="574"/>
      <c r="JJT752" s="574"/>
      <c r="JJU752" s="574"/>
      <c r="JJV752" s="574"/>
      <c r="JJW752" s="574"/>
      <c r="JJX752" s="574"/>
      <c r="JJY752" s="574"/>
      <c r="JJZ752" s="574"/>
      <c r="JKA752" s="574"/>
      <c r="JKB752" s="574"/>
      <c r="JKC752" s="574"/>
      <c r="JKD752" s="574"/>
      <c r="JKE752" s="574"/>
      <c r="JKF752" s="574"/>
      <c r="JKG752" s="574"/>
      <c r="JKH752" s="574"/>
      <c r="JKI752" s="574"/>
      <c r="JKJ752" s="574"/>
      <c r="JKK752" s="574"/>
      <c r="JKL752" s="574"/>
      <c r="JKM752" s="574"/>
      <c r="JKN752" s="574"/>
      <c r="JKO752" s="574"/>
      <c r="JKP752" s="574"/>
      <c r="JKQ752" s="574"/>
      <c r="JKR752" s="574"/>
      <c r="JKS752" s="574"/>
      <c r="JKT752" s="574"/>
      <c r="JKU752" s="574"/>
      <c r="JKV752" s="574"/>
      <c r="JKW752" s="574"/>
      <c r="JKX752" s="574"/>
      <c r="JKY752" s="574"/>
      <c r="JKZ752" s="574"/>
      <c r="JLA752" s="574"/>
      <c r="JLB752" s="574"/>
      <c r="JLC752" s="574"/>
      <c r="JLD752" s="574"/>
      <c r="JLE752" s="574"/>
      <c r="JLF752" s="574"/>
      <c r="JLG752" s="574"/>
      <c r="JLH752" s="574"/>
      <c r="JLI752" s="574"/>
      <c r="JLJ752" s="574"/>
      <c r="JLK752" s="574"/>
      <c r="JLL752" s="574"/>
      <c r="JLM752" s="574"/>
      <c r="JLN752" s="574"/>
      <c r="JLO752" s="574"/>
      <c r="JLP752" s="574"/>
      <c r="JLQ752" s="574"/>
      <c r="JLR752" s="574"/>
      <c r="JLS752" s="574"/>
      <c r="JLT752" s="574"/>
      <c r="JLU752" s="574"/>
      <c r="JLV752" s="574"/>
      <c r="JLW752" s="574"/>
      <c r="JLX752" s="574"/>
      <c r="JLY752" s="574"/>
      <c r="JLZ752" s="574"/>
      <c r="JMA752" s="574"/>
      <c r="JMB752" s="574"/>
      <c r="JMC752" s="574"/>
      <c r="JMD752" s="574"/>
      <c r="JME752" s="574"/>
      <c r="JMF752" s="574"/>
      <c r="JMG752" s="574"/>
      <c r="JMH752" s="574"/>
      <c r="JMI752" s="574"/>
      <c r="JMJ752" s="574"/>
      <c r="JMK752" s="574"/>
      <c r="JML752" s="574"/>
      <c r="JMM752" s="574"/>
      <c r="JMN752" s="574"/>
      <c r="JMO752" s="574"/>
      <c r="JMP752" s="574"/>
      <c r="JMQ752" s="574"/>
      <c r="JMR752" s="574"/>
      <c r="JMS752" s="574"/>
      <c r="JMT752" s="574"/>
      <c r="JMU752" s="574"/>
      <c r="JMV752" s="574"/>
      <c r="JMW752" s="574"/>
      <c r="JMX752" s="574"/>
      <c r="JMY752" s="574"/>
      <c r="JMZ752" s="574"/>
      <c r="JNA752" s="574"/>
      <c r="JNB752" s="574"/>
      <c r="JNC752" s="574"/>
      <c r="JND752" s="574"/>
      <c r="JNE752" s="574"/>
      <c r="JNF752" s="574"/>
      <c r="JNG752" s="574"/>
      <c r="JNH752" s="574"/>
      <c r="JNI752" s="574"/>
      <c r="JNJ752" s="574"/>
      <c r="JNK752" s="574"/>
      <c r="JNL752" s="574"/>
      <c r="JNM752" s="574"/>
      <c r="JNN752" s="574"/>
      <c r="JNO752" s="574"/>
      <c r="JNP752" s="574"/>
      <c r="JNQ752" s="574"/>
      <c r="JNR752" s="574"/>
      <c r="JNS752" s="574"/>
      <c r="JNT752" s="574"/>
      <c r="JNU752" s="574"/>
      <c r="JNV752" s="574"/>
      <c r="JNW752" s="574"/>
      <c r="JNX752" s="574"/>
      <c r="JNY752" s="574"/>
      <c r="JNZ752" s="574"/>
      <c r="JOA752" s="574"/>
      <c r="JOB752" s="574"/>
      <c r="JOC752" s="574"/>
      <c r="JOD752" s="574"/>
      <c r="JOE752" s="574"/>
      <c r="JOF752" s="574"/>
      <c r="JOG752" s="574"/>
      <c r="JOH752" s="574"/>
      <c r="JOI752" s="574"/>
      <c r="JOJ752" s="574"/>
      <c r="JOK752" s="574"/>
      <c r="JOL752" s="574"/>
      <c r="JOM752" s="574"/>
      <c r="JON752" s="574"/>
      <c r="JOO752" s="574"/>
      <c r="JOP752" s="574"/>
      <c r="JOQ752" s="574"/>
      <c r="JOR752" s="574"/>
      <c r="JOS752" s="574"/>
      <c r="JOT752" s="574"/>
      <c r="JOU752" s="574"/>
      <c r="JOV752" s="574"/>
      <c r="JOW752" s="574"/>
      <c r="JOX752" s="574"/>
      <c r="JOY752" s="574"/>
      <c r="JOZ752" s="574"/>
      <c r="JPA752" s="574"/>
      <c r="JPB752" s="574"/>
      <c r="JPC752" s="574"/>
      <c r="JPD752" s="574"/>
      <c r="JPE752" s="574"/>
      <c r="JPF752" s="574"/>
      <c r="JPG752" s="574"/>
      <c r="JPH752" s="574"/>
      <c r="JPI752" s="574"/>
      <c r="JPJ752" s="574"/>
      <c r="JPK752" s="574"/>
      <c r="JPL752" s="574"/>
      <c r="JPM752" s="574"/>
      <c r="JPN752" s="574"/>
      <c r="JPO752" s="574"/>
      <c r="JPP752" s="574"/>
      <c r="JPQ752" s="574"/>
      <c r="JPR752" s="574"/>
      <c r="JPS752" s="574"/>
      <c r="JPT752" s="574"/>
      <c r="JPU752" s="574"/>
      <c r="JPV752" s="574"/>
      <c r="JPW752" s="574"/>
      <c r="JPX752" s="574"/>
      <c r="JPY752" s="574"/>
      <c r="JPZ752" s="574"/>
      <c r="JQA752" s="574"/>
      <c r="JQB752" s="574"/>
      <c r="JQC752" s="574"/>
      <c r="JQD752" s="574"/>
      <c r="JQE752" s="574"/>
      <c r="JQF752" s="574"/>
      <c r="JQG752" s="574"/>
      <c r="JQH752" s="574"/>
      <c r="JQI752" s="574"/>
      <c r="JQJ752" s="574"/>
      <c r="JQK752" s="574"/>
      <c r="JQL752" s="574"/>
      <c r="JQM752" s="574"/>
      <c r="JQN752" s="574"/>
      <c r="JQO752" s="574"/>
      <c r="JQP752" s="574"/>
      <c r="JQQ752" s="574"/>
      <c r="JQR752" s="574"/>
      <c r="JQS752" s="574"/>
      <c r="JQT752" s="574"/>
      <c r="JQU752" s="574"/>
      <c r="JQV752" s="574"/>
      <c r="JQW752" s="574"/>
      <c r="JQX752" s="574"/>
      <c r="JQY752" s="574"/>
      <c r="JQZ752" s="574"/>
      <c r="JRA752" s="574"/>
      <c r="JRB752" s="574"/>
      <c r="JRC752" s="574"/>
      <c r="JRD752" s="574"/>
      <c r="JRE752" s="574"/>
      <c r="JRF752" s="574"/>
      <c r="JRG752" s="574"/>
      <c r="JRH752" s="574"/>
      <c r="JRI752" s="574"/>
      <c r="JRJ752" s="574"/>
      <c r="JRK752" s="574"/>
      <c r="JRL752" s="574"/>
      <c r="JRM752" s="574"/>
      <c r="JRN752" s="574"/>
      <c r="JRO752" s="574"/>
      <c r="JRP752" s="574"/>
      <c r="JRQ752" s="574"/>
      <c r="JRR752" s="574"/>
      <c r="JRS752" s="574"/>
      <c r="JRT752" s="574"/>
      <c r="JRU752" s="574"/>
      <c r="JRV752" s="574"/>
      <c r="JRW752" s="574"/>
      <c r="JRX752" s="574"/>
      <c r="JRY752" s="574"/>
      <c r="JRZ752" s="574"/>
      <c r="JSA752" s="574"/>
      <c r="JSB752" s="574"/>
      <c r="JSC752" s="574"/>
      <c r="JSD752" s="574"/>
      <c r="JSE752" s="574"/>
      <c r="JSF752" s="574"/>
      <c r="JSG752" s="574"/>
      <c r="JSH752" s="574"/>
      <c r="JSI752" s="574"/>
      <c r="JSJ752" s="574"/>
      <c r="JSK752" s="574"/>
      <c r="JSL752" s="574"/>
      <c r="JSM752" s="574"/>
      <c r="JSN752" s="574"/>
      <c r="JSO752" s="574"/>
      <c r="JSP752" s="574"/>
      <c r="JSQ752" s="574"/>
      <c r="JSR752" s="574"/>
      <c r="JSS752" s="574"/>
      <c r="JST752" s="574"/>
      <c r="JSU752" s="574"/>
      <c r="JSV752" s="574"/>
      <c r="JSW752" s="574"/>
      <c r="JSX752" s="574"/>
      <c r="JSY752" s="574"/>
      <c r="JSZ752" s="574"/>
      <c r="JTA752" s="574"/>
      <c r="JTB752" s="574"/>
      <c r="JTC752" s="574"/>
      <c r="JTD752" s="574"/>
      <c r="JTE752" s="574"/>
      <c r="JTF752" s="574"/>
      <c r="JTG752" s="574"/>
      <c r="JTH752" s="574"/>
      <c r="JTI752" s="574"/>
      <c r="JTJ752" s="574"/>
      <c r="JTK752" s="574"/>
      <c r="JTL752" s="574"/>
      <c r="JTM752" s="574"/>
      <c r="JTN752" s="574"/>
      <c r="JTO752" s="574"/>
      <c r="JTP752" s="574"/>
      <c r="JTQ752" s="574"/>
      <c r="JTR752" s="574"/>
      <c r="JTS752" s="574"/>
      <c r="JTT752" s="574"/>
      <c r="JTU752" s="574"/>
      <c r="JTV752" s="574"/>
      <c r="JTW752" s="574"/>
      <c r="JTX752" s="574"/>
      <c r="JTY752" s="574"/>
      <c r="JTZ752" s="574"/>
      <c r="JUA752" s="574"/>
      <c r="JUB752" s="574"/>
      <c r="JUC752" s="574"/>
      <c r="JUD752" s="574"/>
      <c r="JUE752" s="574"/>
      <c r="JUF752" s="574"/>
      <c r="JUG752" s="574"/>
      <c r="JUH752" s="574"/>
      <c r="JUI752" s="574"/>
      <c r="JUJ752" s="574"/>
      <c r="JUK752" s="574"/>
      <c r="JUL752" s="574"/>
      <c r="JUM752" s="574"/>
      <c r="JUN752" s="574"/>
      <c r="JUO752" s="574"/>
      <c r="JUP752" s="574"/>
      <c r="JUQ752" s="574"/>
      <c r="JUR752" s="574"/>
      <c r="JUS752" s="574"/>
      <c r="JUT752" s="574"/>
      <c r="JUU752" s="574"/>
      <c r="JUV752" s="574"/>
      <c r="JUW752" s="574"/>
      <c r="JUX752" s="574"/>
      <c r="JUY752" s="574"/>
      <c r="JUZ752" s="574"/>
      <c r="JVA752" s="574"/>
      <c r="JVB752" s="574"/>
      <c r="JVC752" s="574"/>
      <c r="JVD752" s="574"/>
      <c r="JVE752" s="574"/>
      <c r="JVF752" s="574"/>
      <c r="JVG752" s="574"/>
      <c r="JVH752" s="574"/>
      <c r="JVI752" s="574"/>
      <c r="JVJ752" s="574"/>
      <c r="JVK752" s="574"/>
      <c r="JVL752" s="574"/>
      <c r="JVM752" s="574"/>
      <c r="JVN752" s="574"/>
      <c r="JVO752" s="574"/>
      <c r="JVP752" s="574"/>
      <c r="JVQ752" s="574"/>
      <c r="JVR752" s="574"/>
      <c r="JVS752" s="574"/>
      <c r="JVT752" s="574"/>
      <c r="JVU752" s="574"/>
      <c r="JVV752" s="574"/>
      <c r="JVW752" s="574"/>
      <c r="JVX752" s="574"/>
      <c r="JVY752" s="574"/>
      <c r="JVZ752" s="574"/>
      <c r="JWA752" s="574"/>
      <c r="JWB752" s="574"/>
      <c r="JWC752" s="574"/>
      <c r="JWD752" s="574"/>
      <c r="JWE752" s="574"/>
      <c r="JWF752" s="574"/>
      <c r="JWG752" s="574"/>
      <c r="JWH752" s="574"/>
      <c r="JWI752" s="574"/>
      <c r="JWJ752" s="574"/>
      <c r="JWK752" s="574"/>
      <c r="JWL752" s="574"/>
      <c r="JWM752" s="574"/>
      <c r="JWN752" s="574"/>
      <c r="JWO752" s="574"/>
      <c r="JWP752" s="574"/>
      <c r="JWQ752" s="574"/>
      <c r="JWR752" s="574"/>
      <c r="JWS752" s="574"/>
      <c r="JWT752" s="574"/>
      <c r="JWU752" s="574"/>
      <c r="JWV752" s="574"/>
      <c r="JWW752" s="574"/>
      <c r="JWX752" s="574"/>
      <c r="JWY752" s="574"/>
      <c r="JWZ752" s="574"/>
      <c r="JXA752" s="574"/>
      <c r="JXB752" s="574"/>
      <c r="JXC752" s="574"/>
      <c r="JXD752" s="574"/>
      <c r="JXE752" s="574"/>
      <c r="JXF752" s="574"/>
      <c r="JXG752" s="574"/>
      <c r="JXH752" s="574"/>
      <c r="JXI752" s="574"/>
      <c r="JXJ752" s="574"/>
      <c r="JXK752" s="574"/>
      <c r="JXL752" s="574"/>
      <c r="JXM752" s="574"/>
      <c r="JXN752" s="574"/>
      <c r="JXO752" s="574"/>
      <c r="JXP752" s="574"/>
      <c r="JXQ752" s="574"/>
      <c r="JXR752" s="574"/>
      <c r="JXS752" s="574"/>
      <c r="JXT752" s="574"/>
      <c r="JXU752" s="574"/>
      <c r="JXV752" s="574"/>
      <c r="JXW752" s="574"/>
      <c r="JXX752" s="574"/>
      <c r="JXY752" s="574"/>
      <c r="JXZ752" s="574"/>
      <c r="JYA752" s="574"/>
      <c r="JYB752" s="574"/>
      <c r="JYC752" s="574"/>
      <c r="JYD752" s="574"/>
      <c r="JYE752" s="574"/>
      <c r="JYF752" s="574"/>
      <c r="JYG752" s="574"/>
      <c r="JYH752" s="574"/>
      <c r="JYI752" s="574"/>
      <c r="JYJ752" s="574"/>
      <c r="JYK752" s="574"/>
      <c r="JYL752" s="574"/>
      <c r="JYM752" s="574"/>
      <c r="JYN752" s="574"/>
      <c r="JYO752" s="574"/>
      <c r="JYP752" s="574"/>
      <c r="JYQ752" s="574"/>
      <c r="JYR752" s="574"/>
      <c r="JYS752" s="574"/>
      <c r="JYT752" s="574"/>
      <c r="JYU752" s="574"/>
      <c r="JYV752" s="574"/>
      <c r="JYW752" s="574"/>
      <c r="JYX752" s="574"/>
      <c r="JYY752" s="574"/>
      <c r="JYZ752" s="574"/>
      <c r="JZA752" s="574"/>
      <c r="JZB752" s="574"/>
      <c r="JZC752" s="574"/>
      <c r="JZD752" s="574"/>
      <c r="JZE752" s="574"/>
      <c r="JZF752" s="574"/>
      <c r="JZG752" s="574"/>
      <c r="JZH752" s="574"/>
      <c r="JZI752" s="574"/>
      <c r="JZJ752" s="574"/>
      <c r="JZK752" s="574"/>
      <c r="JZL752" s="574"/>
      <c r="JZM752" s="574"/>
      <c r="JZN752" s="574"/>
      <c r="JZO752" s="574"/>
      <c r="JZP752" s="574"/>
      <c r="JZQ752" s="574"/>
      <c r="JZR752" s="574"/>
      <c r="JZS752" s="574"/>
      <c r="JZT752" s="574"/>
      <c r="JZU752" s="574"/>
      <c r="JZV752" s="574"/>
      <c r="JZW752" s="574"/>
      <c r="JZX752" s="574"/>
      <c r="JZY752" s="574"/>
      <c r="JZZ752" s="574"/>
      <c r="KAA752" s="574"/>
      <c r="KAB752" s="574"/>
      <c r="KAC752" s="574"/>
      <c r="KAD752" s="574"/>
      <c r="KAE752" s="574"/>
      <c r="KAF752" s="574"/>
      <c r="KAG752" s="574"/>
      <c r="KAH752" s="574"/>
      <c r="KAI752" s="574"/>
      <c r="KAJ752" s="574"/>
      <c r="KAK752" s="574"/>
      <c r="KAL752" s="574"/>
      <c r="KAM752" s="574"/>
      <c r="KAN752" s="574"/>
      <c r="KAO752" s="574"/>
      <c r="KAP752" s="574"/>
      <c r="KAQ752" s="574"/>
      <c r="KAR752" s="574"/>
      <c r="KAS752" s="574"/>
      <c r="KAT752" s="574"/>
      <c r="KAU752" s="574"/>
      <c r="KAV752" s="574"/>
      <c r="KAW752" s="574"/>
      <c r="KAX752" s="574"/>
      <c r="KAY752" s="574"/>
      <c r="KAZ752" s="574"/>
      <c r="KBA752" s="574"/>
      <c r="KBB752" s="574"/>
      <c r="KBC752" s="574"/>
      <c r="KBD752" s="574"/>
      <c r="KBE752" s="574"/>
      <c r="KBF752" s="574"/>
      <c r="KBG752" s="574"/>
      <c r="KBH752" s="574"/>
      <c r="KBI752" s="574"/>
      <c r="KBJ752" s="574"/>
      <c r="KBK752" s="574"/>
      <c r="KBL752" s="574"/>
      <c r="KBM752" s="574"/>
      <c r="KBN752" s="574"/>
      <c r="KBO752" s="574"/>
      <c r="KBP752" s="574"/>
      <c r="KBQ752" s="574"/>
      <c r="KBR752" s="574"/>
      <c r="KBS752" s="574"/>
      <c r="KBT752" s="574"/>
      <c r="KBU752" s="574"/>
      <c r="KBV752" s="574"/>
      <c r="KBW752" s="574"/>
      <c r="KBX752" s="574"/>
      <c r="KBY752" s="574"/>
      <c r="KBZ752" s="574"/>
      <c r="KCA752" s="574"/>
      <c r="KCB752" s="574"/>
      <c r="KCC752" s="574"/>
      <c r="KCD752" s="574"/>
      <c r="KCE752" s="574"/>
      <c r="KCF752" s="574"/>
      <c r="KCG752" s="574"/>
      <c r="KCH752" s="574"/>
      <c r="KCI752" s="574"/>
      <c r="KCJ752" s="574"/>
      <c r="KCK752" s="574"/>
      <c r="KCL752" s="574"/>
      <c r="KCM752" s="574"/>
      <c r="KCN752" s="574"/>
      <c r="KCO752" s="574"/>
      <c r="KCP752" s="574"/>
      <c r="KCQ752" s="574"/>
      <c r="KCR752" s="574"/>
      <c r="KCS752" s="574"/>
      <c r="KCT752" s="574"/>
      <c r="KCU752" s="574"/>
      <c r="KCV752" s="574"/>
      <c r="KCW752" s="574"/>
      <c r="KCX752" s="574"/>
      <c r="KCY752" s="574"/>
      <c r="KCZ752" s="574"/>
      <c r="KDA752" s="574"/>
      <c r="KDB752" s="574"/>
      <c r="KDC752" s="574"/>
      <c r="KDD752" s="574"/>
      <c r="KDE752" s="574"/>
      <c r="KDF752" s="574"/>
      <c r="KDG752" s="574"/>
      <c r="KDH752" s="574"/>
      <c r="KDI752" s="574"/>
      <c r="KDJ752" s="574"/>
      <c r="KDK752" s="574"/>
      <c r="KDL752" s="574"/>
      <c r="KDM752" s="574"/>
      <c r="KDN752" s="574"/>
      <c r="KDO752" s="574"/>
      <c r="KDP752" s="574"/>
      <c r="KDQ752" s="574"/>
      <c r="KDR752" s="574"/>
      <c r="KDS752" s="574"/>
      <c r="KDT752" s="574"/>
      <c r="KDU752" s="574"/>
      <c r="KDV752" s="574"/>
      <c r="KDW752" s="574"/>
      <c r="KDX752" s="574"/>
      <c r="KDY752" s="574"/>
      <c r="KDZ752" s="574"/>
      <c r="KEA752" s="574"/>
      <c r="KEB752" s="574"/>
      <c r="KEC752" s="574"/>
      <c r="KED752" s="574"/>
      <c r="KEE752" s="574"/>
      <c r="KEF752" s="574"/>
      <c r="KEG752" s="574"/>
      <c r="KEH752" s="574"/>
      <c r="KEI752" s="574"/>
      <c r="KEJ752" s="574"/>
      <c r="KEK752" s="574"/>
      <c r="KEL752" s="574"/>
      <c r="KEM752" s="574"/>
      <c r="KEN752" s="574"/>
      <c r="KEO752" s="574"/>
      <c r="KEP752" s="574"/>
      <c r="KEQ752" s="574"/>
      <c r="KER752" s="574"/>
      <c r="KES752" s="574"/>
      <c r="KET752" s="574"/>
      <c r="KEU752" s="574"/>
      <c r="KEV752" s="574"/>
      <c r="KEW752" s="574"/>
      <c r="KEX752" s="574"/>
      <c r="KEY752" s="574"/>
      <c r="KEZ752" s="574"/>
      <c r="KFA752" s="574"/>
      <c r="KFB752" s="574"/>
      <c r="KFC752" s="574"/>
      <c r="KFD752" s="574"/>
      <c r="KFE752" s="574"/>
      <c r="KFF752" s="574"/>
      <c r="KFG752" s="574"/>
      <c r="KFH752" s="574"/>
      <c r="KFI752" s="574"/>
      <c r="KFJ752" s="574"/>
      <c r="KFK752" s="574"/>
      <c r="KFL752" s="574"/>
      <c r="KFM752" s="574"/>
      <c r="KFN752" s="574"/>
      <c r="KFO752" s="574"/>
      <c r="KFP752" s="574"/>
      <c r="KFQ752" s="574"/>
      <c r="KFR752" s="574"/>
      <c r="KFS752" s="574"/>
      <c r="KFT752" s="574"/>
      <c r="KFU752" s="574"/>
      <c r="KFV752" s="574"/>
      <c r="KFW752" s="574"/>
      <c r="KFX752" s="574"/>
      <c r="KFY752" s="574"/>
      <c r="KFZ752" s="574"/>
      <c r="KGA752" s="574"/>
      <c r="KGB752" s="574"/>
      <c r="KGC752" s="574"/>
      <c r="KGD752" s="574"/>
      <c r="KGE752" s="574"/>
      <c r="KGF752" s="574"/>
      <c r="KGG752" s="574"/>
      <c r="KGH752" s="574"/>
      <c r="KGI752" s="574"/>
      <c r="KGJ752" s="574"/>
      <c r="KGK752" s="574"/>
      <c r="KGL752" s="574"/>
      <c r="KGM752" s="574"/>
      <c r="KGN752" s="574"/>
      <c r="KGO752" s="574"/>
      <c r="KGP752" s="574"/>
      <c r="KGQ752" s="574"/>
      <c r="KGR752" s="574"/>
      <c r="KGS752" s="574"/>
      <c r="KGT752" s="574"/>
      <c r="KGU752" s="574"/>
      <c r="KGV752" s="574"/>
      <c r="KGW752" s="574"/>
      <c r="KGX752" s="574"/>
      <c r="KGY752" s="574"/>
      <c r="KGZ752" s="574"/>
      <c r="KHA752" s="574"/>
      <c r="KHB752" s="574"/>
      <c r="KHC752" s="574"/>
      <c r="KHD752" s="574"/>
      <c r="KHE752" s="574"/>
      <c r="KHF752" s="574"/>
      <c r="KHG752" s="574"/>
      <c r="KHH752" s="574"/>
      <c r="KHI752" s="574"/>
      <c r="KHJ752" s="574"/>
      <c r="KHK752" s="574"/>
      <c r="KHL752" s="574"/>
      <c r="KHM752" s="574"/>
      <c r="KHN752" s="574"/>
      <c r="KHO752" s="574"/>
      <c r="KHP752" s="574"/>
      <c r="KHQ752" s="574"/>
      <c r="KHR752" s="574"/>
      <c r="KHS752" s="574"/>
      <c r="KHT752" s="574"/>
      <c r="KHU752" s="574"/>
      <c r="KHV752" s="574"/>
      <c r="KHW752" s="574"/>
      <c r="KHX752" s="574"/>
      <c r="KHY752" s="574"/>
      <c r="KHZ752" s="574"/>
      <c r="KIA752" s="574"/>
      <c r="KIB752" s="574"/>
      <c r="KIC752" s="574"/>
      <c r="KID752" s="574"/>
      <c r="KIE752" s="574"/>
      <c r="KIF752" s="574"/>
      <c r="KIG752" s="574"/>
      <c r="KIH752" s="574"/>
      <c r="KII752" s="574"/>
      <c r="KIJ752" s="574"/>
      <c r="KIK752" s="574"/>
      <c r="KIL752" s="574"/>
      <c r="KIM752" s="574"/>
      <c r="KIN752" s="574"/>
      <c r="KIO752" s="574"/>
      <c r="KIP752" s="574"/>
      <c r="KIQ752" s="574"/>
      <c r="KIR752" s="574"/>
      <c r="KIS752" s="574"/>
      <c r="KIT752" s="574"/>
      <c r="KIU752" s="574"/>
      <c r="KIV752" s="574"/>
      <c r="KIW752" s="574"/>
      <c r="KIX752" s="574"/>
      <c r="KIY752" s="574"/>
      <c r="KIZ752" s="574"/>
      <c r="KJA752" s="574"/>
      <c r="KJB752" s="574"/>
      <c r="KJC752" s="574"/>
      <c r="KJD752" s="574"/>
      <c r="KJE752" s="574"/>
      <c r="KJF752" s="574"/>
      <c r="KJG752" s="574"/>
      <c r="KJH752" s="574"/>
      <c r="KJI752" s="574"/>
      <c r="KJJ752" s="574"/>
      <c r="KJK752" s="574"/>
      <c r="KJL752" s="574"/>
      <c r="KJM752" s="574"/>
      <c r="KJN752" s="574"/>
      <c r="KJO752" s="574"/>
      <c r="KJP752" s="574"/>
      <c r="KJQ752" s="574"/>
      <c r="KJR752" s="574"/>
      <c r="KJS752" s="574"/>
      <c r="KJT752" s="574"/>
      <c r="KJU752" s="574"/>
      <c r="KJV752" s="574"/>
      <c r="KJW752" s="574"/>
      <c r="KJX752" s="574"/>
      <c r="KJY752" s="574"/>
      <c r="KJZ752" s="574"/>
      <c r="KKA752" s="574"/>
      <c r="KKB752" s="574"/>
      <c r="KKC752" s="574"/>
      <c r="KKD752" s="574"/>
      <c r="KKE752" s="574"/>
      <c r="KKF752" s="574"/>
      <c r="KKG752" s="574"/>
      <c r="KKH752" s="574"/>
      <c r="KKI752" s="574"/>
      <c r="KKJ752" s="574"/>
      <c r="KKK752" s="574"/>
      <c r="KKL752" s="574"/>
      <c r="KKM752" s="574"/>
      <c r="KKN752" s="574"/>
      <c r="KKO752" s="574"/>
      <c r="KKP752" s="574"/>
      <c r="KKQ752" s="574"/>
      <c r="KKR752" s="574"/>
      <c r="KKS752" s="574"/>
      <c r="KKT752" s="574"/>
      <c r="KKU752" s="574"/>
      <c r="KKV752" s="574"/>
      <c r="KKW752" s="574"/>
      <c r="KKX752" s="574"/>
      <c r="KKY752" s="574"/>
      <c r="KKZ752" s="574"/>
      <c r="KLA752" s="574"/>
      <c r="KLB752" s="574"/>
      <c r="KLC752" s="574"/>
      <c r="KLD752" s="574"/>
      <c r="KLE752" s="574"/>
      <c r="KLF752" s="574"/>
      <c r="KLG752" s="574"/>
      <c r="KLH752" s="574"/>
      <c r="KLI752" s="574"/>
      <c r="KLJ752" s="574"/>
      <c r="KLK752" s="574"/>
      <c r="KLL752" s="574"/>
      <c r="KLM752" s="574"/>
      <c r="KLN752" s="574"/>
      <c r="KLO752" s="574"/>
      <c r="KLP752" s="574"/>
      <c r="KLQ752" s="574"/>
      <c r="KLR752" s="574"/>
      <c r="KLS752" s="574"/>
      <c r="KLT752" s="574"/>
      <c r="KLU752" s="574"/>
      <c r="KLV752" s="574"/>
      <c r="KLW752" s="574"/>
      <c r="KLX752" s="574"/>
      <c r="KLY752" s="574"/>
      <c r="KLZ752" s="574"/>
      <c r="KMA752" s="574"/>
      <c r="KMB752" s="574"/>
      <c r="KMC752" s="574"/>
      <c r="KMD752" s="574"/>
      <c r="KME752" s="574"/>
      <c r="KMF752" s="574"/>
      <c r="KMG752" s="574"/>
      <c r="KMH752" s="574"/>
      <c r="KMI752" s="574"/>
      <c r="KMJ752" s="574"/>
      <c r="KMK752" s="574"/>
      <c r="KML752" s="574"/>
      <c r="KMM752" s="574"/>
      <c r="KMN752" s="574"/>
      <c r="KMO752" s="574"/>
      <c r="KMP752" s="574"/>
      <c r="KMQ752" s="574"/>
      <c r="KMR752" s="574"/>
      <c r="KMS752" s="574"/>
      <c r="KMT752" s="574"/>
      <c r="KMU752" s="574"/>
      <c r="KMV752" s="574"/>
      <c r="KMW752" s="574"/>
      <c r="KMX752" s="574"/>
      <c r="KMY752" s="574"/>
      <c r="KMZ752" s="574"/>
      <c r="KNA752" s="574"/>
      <c r="KNB752" s="574"/>
      <c r="KNC752" s="574"/>
      <c r="KND752" s="574"/>
      <c r="KNE752" s="574"/>
      <c r="KNF752" s="574"/>
      <c r="KNG752" s="574"/>
      <c r="KNH752" s="574"/>
      <c r="KNI752" s="574"/>
      <c r="KNJ752" s="574"/>
      <c r="KNK752" s="574"/>
      <c r="KNL752" s="574"/>
      <c r="KNM752" s="574"/>
      <c r="KNN752" s="574"/>
      <c r="KNO752" s="574"/>
      <c r="KNP752" s="574"/>
      <c r="KNQ752" s="574"/>
      <c r="KNR752" s="574"/>
      <c r="KNS752" s="574"/>
      <c r="KNT752" s="574"/>
      <c r="KNU752" s="574"/>
      <c r="KNV752" s="574"/>
      <c r="KNW752" s="574"/>
      <c r="KNX752" s="574"/>
      <c r="KNY752" s="574"/>
      <c r="KNZ752" s="574"/>
      <c r="KOA752" s="574"/>
      <c r="KOB752" s="574"/>
      <c r="KOC752" s="574"/>
      <c r="KOD752" s="574"/>
      <c r="KOE752" s="574"/>
      <c r="KOF752" s="574"/>
      <c r="KOG752" s="574"/>
      <c r="KOH752" s="574"/>
      <c r="KOI752" s="574"/>
      <c r="KOJ752" s="574"/>
      <c r="KOK752" s="574"/>
      <c r="KOL752" s="574"/>
      <c r="KOM752" s="574"/>
      <c r="KON752" s="574"/>
      <c r="KOO752" s="574"/>
      <c r="KOP752" s="574"/>
      <c r="KOQ752" s="574"/>
      <c r="KOR752" s="574"/>
      <c r="KOS752" s="574"/>
      <c r="KOT752" s="574"/>
      <c r="KOU752" s="574"/>
      <c r="KOV752" s="574"/>
      <c r="KOW752" s="574"/>
      <c r="KOX752" s="574"/>
      <c r="KOY752" s="574"/>
      <c r="KOZ752" s="574"/>
      <c r="KPA752" s="574"/>
      <c r="KPB752" s="574"/>
      <c r="KPC752" s="574"/>
      <c r="KPD752" s="574"/>
      <c r="KPE752" s="574"/>
      <c r="KPF752" s="574"/>
      <c r="KPG752" s="574"/>
      <c r="KPH752" s="574"/>
      <c r="KPI752" s="574"/>
      <c r="KPJ752" s="574"/>
      <c r="KPK752" s="574"/>
      <c r="KPL752" s="574"/>
      <c r="KPM752" s="574"/>
      <c r="KPN752" s="574"/>
      <c r="KPO752" s="574"/>
      <c r="KPP752" s="574"/>
      <c r="KPQ752" s="574"/>
      <c r="KPR752" s="574"/>
      <c r="KPS752" s="574"/>
      <c r="KPT752" s="574"/>
      <c r="KPU752" s="574"/>
      <c r="KPV752" s="574"/>
      <c r="KPW752" s="574"/>
      <c r="KPX752" s="574"/>
      <c r="KPY752" s="574"/>
      <c r="KPZ752" s="574"/>
      <c r="KQA752" s="574"/>
      <c r="KQB752" s="574"/>
      <c r="KQC752" s="574"/>
      <c r="KQD752" s="574"/>
      <c r="KQE752" s="574"/>
      <c r="KQF752" s="574"/>
      <c r="KQG752" s="574"/>
      <c r="KQH752" s="574"/>
      <c r="KQI752" s="574"/>
      <c r="KQJ752" s="574"/>
      <c r="KQK752" s="574"/>
      <c r="KQL752" s="574"/>
      <c r="KQM752" s="574"/>
      <c r="KQN752" s="574"/>
      <c r="KQO752" s="574"/>
      <c r="KQP752" s="574"/>
      <c r="KQQ752" s="574"/>
      <c r="KQR752" s="574"/>
      <c r="KQS752" s="574"/>
      <c r="KQT752" s="574"/>
      <c r="KQU752" s="574"/>
      <c r="KQV752" s="574"/>
      <c r="KQW752" s="574"/>
      <c r="KQX752" s="574"/>
      <c r="KQY752" s="574"/>
      <c r="KQZ752" s="574"/>
      <c r="KRA752" s="574"/>
      <c r="KRB752" s="574"/>
      <c r="KRC752" s="574"/>
      <c r="KRD752" s="574"/>
      <c r="KRE752" s="574"/>
      <c r="KRF752" s="574"/>
      <c r="KRG752" s="574"/>
      <c r="KRH752" s="574"/>
      <c r="KRI752" s="574"/>
      <c r="KRJ752" s="574"/>
      <c r="KRK752" s="574"/>
      <c r="KRL752" s="574"/>
      <c r="KRM752" s="574"/>
      <c r="KRN752" s="574"/>
      <c r="KRO752" s="574"/>
      <c r="KRP752" s="574"/>
      <c r="KRQ752" s="574"/>
      <c r="KRR752" s="574"/>
      <c r="KRS752" s="574"/>
      <c r="KRT752" s="574"/>
      <c r="KRU752" s="574"/>
      <c r="KRV752" s="574"/>
      <c r="KRW752" s="574"/>
      <c r="KRX752" s="574"/>
      <c r="KRY752" s="574"/>
      <c r="KRZ752" s="574"/>
      <c r="KSA752" s="574"/>
      <c r="KSB752" s="574"/>
      <c r="KSC752" s="574"/>
      <c r="KSD752" s="574"/>
      <c r="KSE752" s="574"/>
      <c r="KSF752" s="574"/>
      <c r="KSG752" s="574"/>
      <c r="KSH752" s="574"/>
      <c r="KSI752" s="574"/>
      <c r="KSJ752" s="574"/>
      <c r="KSK752" s="574"/>
      <c r="KSL752" s="574"/>
      <c r="KSM752" s="574"/>
      <c r="KSN752" s="574"/>
      <c r="KSO752" s="574"/>
      <c r="KSP752" s="574"/>
      <c r="KSQ752" s="574"/>
      <c r="KSR752" s="574"/>
      <c r="KSS752" s="574"/>
      <c r="KST752" s="574"/>
      <c r="KSU752" s="574"/>
      <c r="KSV752" s="574"/>
      <c r="KSW752" s="574"/>
      <c r="KSX752" s="574"/>
      <c r="KSY752" s="574"/>
      <c r="KSZ752" s="574"/>
      <c r="KTA752" s="574"/>
      <c r="KTB752" s="574"/>
      <c r="KTC752" s="574"/>
      <c r="KTD752" s="574"/>
      <c r="KTE752" s="574"/>
      <c r="KTF752" s="574"/>
      <c r="KTG752" s="574"/>
      <c r="KTH752" s="574"/>
      <c r="KTI752" s="574"/>
      <c r="KTJ752" s="574"/>
      <c r="KTK752" s="574"/>
      <c r="KTL752" s="574"/>
      <c r="KTM752" s="574"/>
      <c r="KTN752" s="574"/>
      <c r="KTO752" s="574"/>
      <c r="KTP752" s="574"/>
      <c r="KTQ752" s="574"/>
      <c r="KTR752" s="574"/>
      <c r="KTS752" s="574"/>
      <c r="KTT752" s="574"/>
      <c r="KTU752" s="574"/>
      <c r="KTV752" s="574"/>
      <c r="KTW752" s="574"/>
      <c r="KTX752" s="574"/>
      <c r="KTY752" s="574"/>
      <c r="KTZ752" s="574"/>
      <c r="KUA752" s="574"/>
      <c r="KUB752" s="574"/>
      <c r="KUC752" s="574"/>
      <c r="KUD752" s="574"/>
      <c r="KUE752" s="574"/>
      <c r="KUF752" s="574"/>
      <c r="KUG752" s="574"/>
      <c r="KUH752" s="574"/>
      <c r="KUI752" s="574"/>
      <c r="KUJ752" s="574"/>
      <c r="KUK752" s="574"/>
      <c r="KUL752" s="574"/>
      <c r="KUM752" s="574"/>
      <c r="KUN752" s="574"/>
      <c r="KUO752" s="574"/>
      <c r="KUP752" s="574"/>
      <c r="KUQ752" s="574"/>
      <c r="KUR752" s="574"/>
      <c r="KUS752" s="574"/>
      <c r="KUT752" s="574"/>
      <c r="KUU752" s="574"/>
      <c r="KUV752" s="574"/>
      <c r="KUW752" s="574"/>
      <c r="KUX752" s="574"/>
      <c r="KUY752" s="574"/>
      <c r="KUZ752" s="574"/>
      <c r="KVA752" s="574"/>
      <c r="KVB752" s="574"/>
      <c r="KVC752" s="574"/>
      <c r="KVD752" s="574"/>
      <c r="KVE752" s="574"/>
      <c r="KVF752" s="574"/>
      <c r="KVG752" s="574"/>
      <c r="KVH752" s="574"/>
      <c r="KVI752" s="574"/>
      <c r="KVJ752" s="574"/>
      <c r="KVK752" s="574"/>
      <c r="KVL752" s="574"/>
      <c r="KVM752" s="574"/>
      <c r="KVN752" s="574"/>
      <c r="KVO752" s="574"/>
      <c r="KVP752" s="574"/>
      <c r="KVQ752" s="574"/>
      <c r="KVR752" s="574"/>
      <c r="KVS752" s="574"/>
      <c r="KVT752" s="574"/>
      <c r="KVU752" s="574"/>
      <c r="KVV752" s="574"/>
      <c r="KVW752" s="574"/>
      <c r="KVX752" s="574"/>
      <c r="KVY752" s="574"/>
      <c r="KVZ752" s="574"/>
      <c r="KWA752" s="574"/>
      <c r="KWB752" s="574"/>
      <c r="KWC752" s="574"/>
      <c r="KWD752" s="574"/>
      <c r="KWE752" s="574"/>
      <c r="KWF752" s="574"/>
      <c r="KWG752" s="574"/>
      <c r="KWH752" s="574"/>
      <c r="KWI752" s="574"/>
      <c r="KWJ752" s="574"/>
      <c r="KWK752" s="574"/>
      <c r="KWL752" s="574"/>
      <c r="KWM752" s="574"/>
      <c r="KWN752" s="574"/>
      <c r="KWO752" s="574"/>
      <c r="KWP752" s="574"/>
      <c r="KWQ752" s="574"/>
      <c r="KWR752" s="574"/>
      <c r="KWS752" s="574"/>
      <c r="KWT752" s="574"/>
      <c r="KWU752" s="574"/>
      <c r="KWV752" s="574"/>
      <c r="KWW752" s="574"/>
      <c r="KWX752" s="574"/>
      <c r="KWY752" s="574"/>
      <c r="KWZ752" s="574"/>
      <c r="KXA752" s="574"/>
      <c r="KXB752" s="574"/>
      <c r="KXC752" s="574"/>
      <c r="KXD752" s="574"/>
      <c r="KXE752" s="574"/>
      <c r="KXF752" s="574"/>
      <c r="KXG752" s="574"/>
      <c r="KXH752" s="574"/>
      <c r="KXI752" s="574"/>
      <c r="KXJ752" s="574"/>
      <c r="KXK752" s="574"/>
      <c r="KXL752" s="574"/>
      <c r="KXM752" s="574"/>
      <c r="KXN752" s="574"/>
      <c r="KXO752" s="574"/>
      <c r="KXP752" s="574"/>
      <c r="KXQ752" s="574"/>
      <c r="KXR752" s="574"/>
      <c r="KXS752" s="574"/>
      <c r="KXT752" s="574"/>
      <c r="KXU752" s="574"/>
      <c r="KXV752" s="574"/>
      <c r="KXW752" s="574"/>
      <c r="KXX752" s="574"/>
      <c r="KXY752" s="574"/>
      <c r="KXZ752" s="574"/>
      <c r="KYA752" s="574"/>
      <c r="KYB752" s="574"/>
      <c r="KYC752" s="574"/>
      <c r="KYD752" s="574"/>
      <c r="KYE752" s="574"/>
      <c r="KYF752" s="574"/>
      <c r="KYG752" s="574"/>
      <c r="KYH752" s="574"/>
      <c r="KYI752" s="574"/>
      <c r="KYJ752" s="574"/>
      <c r="KYK752" s="574"/>
      <c r="KYL752" s="574"/>
      <c r="KYM752" s="574"/>
      <c r="KYN752" s="574"/>
      <c r="KYO752" s="574"/>
      <c r="KYP752" s="574"/>
      <c r="KYQ752" s="574"/>
      <c r="KYR752" s="574"/>
      <c r="KYS752" s="574"/>
      <c r="KYT752" s="574"/>
      <c r="KYU752" s="574"/>
      <c r="KYV752" s="574"/>
      <c r="KYW752" s="574"/>
      <c r="KYX752" s="574"/>
      <c r="KYY752" s="574"/>
      <c r="KYZ752" s="574"/>
      <c r="KZA752" s="574"/>
      <c r="KZB752" s="574"/>
      <c r="KZC752" s="574"/>
      <c r="KZD752" s="574"/>
      <c r="KZE752" s="574"/>
      <c r="KZF752" s="574"/>
      <c r="KZG752" s="574"/>
      <c r="KZH752" s="574"/>
      <c r="KZI752" s="574"/>
      <c r="KZJ752" s="574"/>
      <c r="KZK752" s="574"/>
      <c r="KZL752" s="574"/>
      <c r="KZM752" s="574"/>
      <c r="KZN752" s="574"/>
      <c r="KZO752" s="574"/>
      <c r="KZP752" s="574"/>
      <c r="KZQ752" s="574"/>
      <c r="KZR752" s="574"/>
      <c r="KZS752" s="574"/>
      <c r="KZT752" s="574"/>
      <c r="KZU752" s="574"/>
      <c r="KZV752" s="574"/>
      <c r="KZW752" s="574"/>
      <c r="KZX752" s="574"/>
      <c r="KZY752" s="574"/>
      <c r="KZZ752" s="574"/>
      <c r="LAA752" s="574"/>
      <c r="LAB752" s="574"/>
      <c r="LAC752" s="574"/>
      <c r="LAD752" s="574"/>
      <c r="LAE752" s="574"/>
      <c r="LAF752" s="574"/>
      <c r="LAG752" s="574"/>
      <c r="LAH752" s="574"/>
      <c r="LAI752" s="574"/>
      <c r="LAJ752" s="574"/>
      <c r="LAK752" s="574"/>
      <c r="LAL752" s="574"/>
      <c r="LAM752" s="574"/>
      <c r="LAN752" s="574"/>
      <c r="LAO752" s="574"/>
      <c r="LAP752" s="574"/>
      <c r="LAQ752" s="574"/>
      <c r="LAR752" s="574"/>
      <c r="LAS752" s="574"/>
      <c r="LAT752" s="574"/>
      <c r="LAU752" s="574"/>
      <c r="LAV752" s="574"/>
      <c r="LAW752" s="574"/>
      <c r="LAX752" s="574"/>
      <c r="LAY752" s="574"/>
      <c r="LAZ752" s="574"/>
      <c r="LBA752" s="574"/>
      <c r="LBB752" s="574"/>
      <c r="LBC752" s="574"/>
      <c r="LBD752" s="574"/>
      <c r="LBE752" s="574"/>
      <c r="LBF752" s="574"/>
      <c r="LBG752" s="574"/>
      <c r="LBH752" s="574"/>
      <c r="LBI752" s="574"/>
      <c r="LBJ752" s="574"/>
      <c r="LBK752" s="574"/>
      <c r="LBL752" s="574"/>
      <c r="LBM752" s="574"/>
      <c r="LBN752" s="574"/>
      <c r="LBO752" s="574"/>
      <c r="LBP752" s="574"/>
      <c r="LBQ752" s="574"/>
      <c r="LBR752" s="574"/>
      <c r="LBS752" s="574"/>
      <c r="LBT752" s="574"/>
      <c r="LBU752" s="574"/>
      <c r="LBV752" s="574"/>
      <c r="LBW752" s="574"/>
      <c r="LBX752" s="574"/>
      <c r="LBY752" s="574"/>
      <c r="LBZ752" s="574"/>
      <c r="LCA752" s="574"/>
      <c r="LCB752" s="574"/>
      <c r="LCC752" s="574"/>
      <c r="LCD752" s="574"/>
      <c r="LCE752" s="574"/>
      <c r="LCF752" s="574"/>
      <c r="LCG752" s="574"/>
      <c r="LCH752" s="574"/>
      <c r="LCI752" s="574"/>
      <c r="LCJ752" s="574"/>
      <c r="LCK752" s="574"/>
      <c r="LCL752" s="574"/>
      <c r="LCM752" s="574"/>
      <c r="LCN752" s="574"/>
      <c r="LCO752" s="574"/>
      <c r="LCP752" s="574"/>
      <c r="LCQ752" s="574"/>
      <c r="LCR752" s="574"/>
      <c r="LCS752" s="574"/>
      <c r="LCT752" s="574"/>
      <c r="LCU752" s="574"/>
      <c r="LCV752" s="574"/>
      <c r="LCW752" s="574"/>
      <c r="LCX752" s="574"/>
      <c r="LCY752" s="574"/>
      <c r="LCZ752" s="574"/>
      <c r="LDA752" s="574"/>
      <c r="LDB752" s="574"/>
      <c r="LDC752" s="574"/>
      <c r="LDD752" s="574"/>
      <c r="LDE752" s="574"/>
      <c r="LDF752" s="574"/>
      <c r="LDG752" s="574"/>
      <c r="LDH752" s="574"/>
      <c r="LDI752" s="574"/>
      <c r="LDJ752" s="574"/>
      <c r="LDK752" s="574"/>
      <c r="LDL752" s="574"/>
      <c r="LDM752" s="574"/>
      <c r="LDN752" s="574"/>
      <c r="LDO752" s="574"/>
      <c r="LDP752" s="574"/>
      <c r="LDQ752" s="574"/>
      <c r="LDR752" s="574"/>
      <c r="LDS752" s="574"/>
      <c r="LDT752" s="574"/>
      <c r="LDU752" s="574"/>
      <c r="LDV752" s="574"/>
      <c r="LDW752" s="574"/>
      <c r="LDX752" s="574"/>
      <c r="LDY752" s="574"/>
      <c r="LDZ752" s="574"/>
      <c r="LEA752" s="574"/>
      <c r="LEB752" s="574"/>
      <c r="LEC752" s="574"/>
      <c r="LED752" s="574"/>
      <c r="LEE752" s="574"/>
      <c r="LEF752" s="574"/>
      <c r="LEG752" s="574"/>
      <c r="LEH752" s="574"/>
      <c r="LEI752" s="574"/>
      <c r="LEJ752" s="574"/>
      <c r="LEK752" s="574"/>
      <c r="LEL752" s="574"/>
      <c r="LEM752" s="574"/>
      <c r="LEN752" s="574"/>
      <c r="LEO752" s="574"/>
      <c r="LEP752" s="574"/>
      <c r="LEQ752" s="574"/>
      <c r="LER752" s="574"/>
      <c r="LES752" s="574"/>
      <c r="LET752" s="574"/>
      <c r="LEU752" s="574"/>
      <c r="LEV752" s="574"/>
      <c r="LEW752" s="574"/>
      <c r="LEX752" s="574"/>
      <c r="LEY752" s="574"/>
      <c r="LEZ752" s="574"/>
      <c r="LFA752" s="574"/>
      <c r="LFB752" s="574"/>
      <c r="LFC752" s="574"/>
      <c r="LFD752" s="574"/>
      <c r="LFE752" s="574"/>
      <c r="LFF752" s="574"/>
      <c r="LFG752" s="574"/>
      <c r="LFH752" s="574"/>
      <c r="LFI752" s="574"/>
      <c r="LFJ752" s="574"/>
      <c r="LFK752" s="574"/>
      <c r="LFL752" s="574"/>
      <c r="LFM752" s="574"/>
      <c r="LFN752" s="574"/>
      <c r="LFO752" s="574"/>
      <c r="LFP752" s="574"/>
      <c r="LFQ752" s="574"/>
      <c r="LFR752" s="574"/>
      <c r="LFS752" s="574"/>
      <c r="LFT752" s="574"/>
      <c r="LFU752" s="574"/>
      <c r="LFV752" s="574"/>
      <c r="LFW752" s="574"/>
      <c r="LFX752" s="574"/>
      <c r="LFY752" s="574"/>
      <c r="LFZ752" s="574"/>
      <c r="LGA752" s="574"/>
      <c r="LGB752" s="574"/>
      <c r="LGC752" s="574"/>
      <c r="LGD752" s="574"/>
      <c r="LGE752" s="574"/>
      <c r="LGF752" s="574"/>
      <c r="LGG752" s="574"/>
      <c r="LGH752" s="574"/>
      <c r="LGI752" s="574"/>
      <c r="LGJ752" s="574"/>
      <c r="LGK752" s="574"/>
      <c r="LGL752" s="574"/>
      <c r="LGM752" s="574"/>
      <c r="LGN752" s="574"/>
      <c r="LGO752" s="574"/>
      <c r="LGP752" s="574"/>
      <c r="LGQ752" s="574"/>
      <c r="LGR752" s="574"/>
      <c r="LGS752" s="574"/>
      <c r="LGT752" s="574"/>
      <c r="LGU752" s="574"/>
      <c r="LGV752" s="574"/>
      <c r="LGW752" s="574"/>
      <c r="LGX752" s="574"/>
      <c r="LGY752" s="574"/>
      <c r="LGZ752" s="574"/>
      <c r="LHA752" s="574"/>
      <c r="LHB752" s="574"/>
      <c r="LHC752" s="574"/>
      <c r="LHD752" s="574"/>
      <c r="LHE752" s="574"/>
      <c r="LHF752" s="574"/>
      <c r="LHG752" s="574"/>
      <c r="LHH752" s="574"/>
      <c r="LHI752" s="574"/>
      <c r="LHJ752" s="574"/>
      <c r="LHK752" s="574"/>
      <c r="LHL752" s="574"/>
      <c r="LHM752" s="574"/>
      <c r="LHN752" s="574"/>
      <c r="LHO752" s="574"/>
      <c r="LHP752" s="574"/>
      <c r="LHQ752" s="574"/>
      <c r="LHR752" s="574"/>
      <c r="LHS752" s="574"/>
      <c r="LHT752" s="574"/>
      <c r="LHU752" s="574"/>
      <c r="LHV752" s="574"/>
      <c r="LHW752" s="574"/>
      <c r="LHX752" s="574"/>
      <c r="LHY752" s="574"/>
      <c r="LHZ752" s="574"/>
      <c r="LIA752" s="574"/>
      <c r="LIB752" s="574"/>
      <c r="LIC752" s="574"/>
      <c r="LID752" s="574"/>
      <c r="LIE752" s="574"/>
      <c r="LIF752" s="574"/>
      <c r="LIG752" s="574"/>
      <c r="LIH752" s="574"/>
      <c r="LII752" s="574"/>
      <c r="LIJ752" s="574"/>
      <c r="LIK752" s="574"/>
      <c r="LIL752" s="574"/>
      <c r="LIM752" s="574"/>
      <c r="LIN752" s="574"/>
      <c r="LIO752" s="574"/>
      <c r="LIP752" s="574"/>
      <c r="LIQ752" s="574"/>
      <c r="LIR752" s="574"/>
      <c r="LIS752" s="574"/>
      <c r="LIT752" s="574"/>
      <c r="LIU752" s="574"/>
      <c r="LIV752" s="574"/>
      <c r="LIW752" s="574"/>
      <c r="LIX752" s="574"/>
      <c r="LIY752" s="574"/>
      <c r="LIZ752" s="574"/>
      <c r="LJA752" s="574"/>
      <c r="LJB752" s="574"/>
      <c r="LJC752" s="574"/>
      <c r="LJD752" s="574"/>
      <c r="LJE752" s="574"/>
      <c r="LJF752" s="574"/>
      <c r="LJG752" s="574"/>
      <c r="LJH752" s="574"/>
      <c r="LJI752" s="574"/>
      <c r="LJJ752" s="574"/>
      <c r="LJK752" s="574"/>
      <c r="LJL752" s="574"/>
      <c r="LJM752" s="574"/>
      <c r="LJN752" s="574"/>
      <c r="LJO752" s="574"/>
      <c r="LJP752" s="574"/>
      <c r="LJQ752" s="574"/>
      <c r="LJR752" s="574"/>
      <c r="LJS752" s="574"/>
      <c r="LJT752" s="574"/>
      <c r="LJU752" s="574"/>
      <c r="LJV752" s="574"/>
      <c r="LJW752" s="574"/>
      <c r="LJX752" s="574"/>
      <c r="LJY752" s="574"/>
      <c r="LJZ752" s="574"/>
      <c r="LKA752" s="574"/>
      <c r="LKB752" s="574"/>
      <c r="LKC752" s="574"/>
      <c r="LKD752" s="574"/>
      <c r="LKE752" s="574"/>
      <c r="LKF752" s="574"/>
      <c r="LKG752" s="574"/>
      <c r="LKH752" s="574"/>
      <c r="LKI752" s="574"/>
      <c r="LKJ752" s="574"/>
      <c r="LKK752" s="574"/>
      <c r="LKL752" s="574"/>
      <c r="LKM752" s="574"/>
      <c r="LKN752" s="574"/>
      <c r="LKO752" s="574"/>
      <c r="LKP752" s="574"/>
      <c r="LKQ752" s="574"/>
      <c r="LKR752" s="574"/>
      <c r="LKS752" s="574"/>
      <c r="LKT752" s="574"/>
      <c r="LKU752" s="574"/>
      <c r="LKV752" s="574"/>
      <c r="LKW752" s="574"/>
      <c r="LKX752" s="574"/>
      <c r="LKY752" s="574"/>
      <c r="LKZ752" s="574"/>
      <c r="LLA752" s="574"/>
      <c r="LLB752" s="574"/>
      <c r="LLC752" s="574"/>
      <c r="LLD752" s="574"/>
      <c r="LLE752" s="574"/>
      <c r="LLF752" s="574"/>
      <c r="LLG752" s="574"/>
      <c r="LLH752" s="574"/>
      <c r="LLI752" s="574"/>
      <c r="LLJ752" s="574"/>
      <c r="LLK752" s="574"/>
      <c r="LLL752" s="574"/>
      <c r="LLM752" s="574"/>
      <c r="LLN752" s="574"/>
      <c r="LLO752" s="574"/>
      <c r="LLP752" s="574"/>
      <c r="LLQ752" s="574"/>
      <c r="LLR752" s="574"/>
      <c r="LLS752" s="574"/>
      <c r="LLT752" s="574"/>
      <c r="LLU752" s="574"/>
      <c r="LLV752" s="574"/>
      <c r="LLW752" s="574"/>
      <c r="LLX752" s="574"/>
      <c r="LLY752" s="574"/>
      <c r="LLZ752" s="574"/>
      <c r="LMA752" s="574"/>
      <c r="LMB752" s="574"/>
      <c r="LMC752" s="574"/>
      <c r="LMD752" s="574"/>
      <c r="LME752" s="574"/>
      <c r="LMF752" s="574"/>
      <c r="LMG752" s="574"/>
      <c r="LMH752" s="574"/>
      <c r="LMI752" s="574"/>
      <c r="LMJ752" s="574"/>
      <c r="LMK752" s="574"/>
      <c r="LML752" s="574"/>
      <c r="LMM752" s="574"/>
      <c r="LMN752" s="574"/>
      <c r="LMO752" s="574"/>
      <c r="LMP752" s="574"/>
      <c r="LMQ752" s="574"/>
      <c r="LMR752" s="574"/>
      <c r="LMS752" s="574"/>
      <c r="LMT752" s="574"/>
      <c r="LMU752" s="574"/>
      <c r="LMV752" s="574"/>
      <c r="LMW752" s="574"/>
      <c r="LMX752" s="574"/>
      <c r="LMY752" s="574"/>
      <c r="LMZ752" s="574"/>
      <c r="LNA752" s="574"/>
      <c r="LNB752" s="574"/>
      <c r="LNC752" s="574"/>
      <c r="LND752" s="574"/>
      <c r="LNE752" s="574"/>
      <c r="LNF752" s="574"/>
      <c r="LNG752" s="574"/>
      <c r="LNH752" s="574"/>
      <c r="LNI752" s="574"/>
      <c r="LNJ752" s="574"/>
      <c r="LNK752" s="574"/>
      <c r="LNL752" s="574"/>
      <c r="LNM752" s="574"/>
      <c r="LNN752" s="574"/>
      <c r="LNO752" s="574"/>
      <c r="LNP752" s="574"/>
      <c r="LNQ752" s="574"/>
      <c r="LNR752" s="574"/>
      <c r="LNS752" s="574"/>
      <c r="LNT752" s="574"/>
      <c r="LNU752" s="574"/>
      <c r="LNV752" s="574"/>
      <c r="LNW752" s="574"/>
      <c r="LNX752" s="574"/>
      <c r="LNY752" s="574"/>
      <c r="LNZ752" s="574"/>
      <c r="LOA752" s="574"/>
      <c r="LOB752" s="574"/>
      <c r="LOC752" s="574"/>
      <c r="LOD752" s="574"/>
      <c r="LOE752" s="574"/>
      <c r="LOF752" s="574"/>
      <c r="LOG752" s="574"/>
      <c r="LOH752" s="574"/>
      <c r="LOI752" s="574"/>
      <c r="LOJ752" s="574"/>
      <c r="LOK752" s="574"/>
      <c r="LOL752" s="574"/>
      <c r="LOM752" s="574"/>
      <c r="LON752" s="574"/>
      <c r="LOO752" s="574"/>
      <c r="LOP752" s="574"/>
      <c r="LOQ752" s="574"/>
      <c r="LOR752" s="574"/>
      <c r="LOS752" s="574"/>
      <c r="LOT752" s="574"/>
      <c r="LOU752" s="574"/>
      <c r="LOV752" s="574"/>
      <c r="LOW752" s="574"/>
      <c r="LOX752" s="574"/>
      <c r="LOY752" s="574"/>
      <c r="LOZ752" s="574"/>
      <c r="LPA752" s="574"/>
      <c r="LPB752" s="574"/>
      <c r="LPC752" s="574"/>
      <c r="LPD752" s="574"/>
      <c r="LPE752" s="574"/>
      <c r="LPF752" s="574"/>
      <c r="LPG752" s="574"/>
      <c r="LPH752" s="574"/>
      <c r="LPI752" s="574"/>
      <c r="LPJ752" s="574"/>
      <c r="LPK752" s="574"/>
      <c r="LPL752" s="574"/>
      <c r="LPM752" s="574"/>
      <c r="LPN752" s="574"/>
      <c r="LPO752" s="574"/>
      <c r="LPP752" s="574"/>
      <c r="LPQ752" s="574"/>
      <c r="LPR752" s="574"/>
      <c r="LPS752" s="574"/>
      <c r="LPT752" s="574"/>
      <c r="LPU752" s="574"/>
      <c r="LPV752" s="574"/>
      <c r="LPW752" s="574"/>
      <c r="LPX752" s="574"/>
      <c r="LPY752" s="574"/>
      <c r="LPZ752" s="574"/>
      <c r="LQA752" s="574"/>
      <c r="LQB752" s="574"/>
      <c r="LQC752" s="574"/>
      <c r="LQD752" s="574"/>
      <c r="LQE752" s="574"/>
      <c r="LQF752" s="574"/>
      <c r="LQG752" s="574"/>
      <c r="LQH752" s="574"/>
      <c r="LQI752" s="574"/>
      <c r="LQJ752" s="574"/>
      <c r="LQK752" s="574"/>
      <c r="LQL752" s="574"/>
      <c r="LQM752" s="574"/>
      <c r="LQN752" s="574"/>
      <c r="LQO752" s="574"/>
      <c r="LQP752" s="574"/>
      <c r="LQQ752" s="574"/>
      <c r="LQR752" s="574"/>
      <c r="LQS752" s="574"/>
      <c r="LQT752" s="574"/>
      <c r="LQU752" s="574"/>
      <c r="LQV752" s="574"/>
      <c r="LQW752" s="574"/>
      <c r="LQX752" s="574"/>
      <c r="LQY752" s="574"/>
      <c r="LQZ752" s="574"/>
      <c r="LRA752" s="574"/>
      <c r="LRB752" s="574"/>
      <c r="LRC752" s="574"/>
      <c r="LRD752" s="574"/>
      <c r="LRE752" s="574"/>
      <c r="LRF752" s="574"/>
      <c r="LRG752" s="574"/>
      <c r="LRH752" s="574"/>
      <c r="LRI752" s="574"/>
      <c r="LRJ752" s="574"/>
      <c r="LRK752" s="574"/>
      <c r="LRL752" s="574"/>
      <c r="LRM752" s="574"/>
      <c r="LRN752" s="574"/>
      <c r="LRO752" s="574"/>
      <c r="LRP752" s="574"/>
      <c r="LRQ752" s="574"/>
      <c r="LRR752" s="574"/>
      <c r="LRS752" s="574"/>
      <c r="LRT752" s="574"/>
      <c r="LRU752" s="574"/>
      <c r="LRV752" s="574"/>
      <c r="LRW752" s="574"/>
      <c r="LRX752" s="574"/>
      <c r="LRY752" s="574"/>
      <c r="LRZ752" s="574"/>
      <c r="LSA752" s="574"/>
      <c r="LSB752" s="574"/>
      <c r="LSC752" s="574"/>
      <c r="LSD752" s="574"/>
      <c r="LSE752" s="574"/>
      <c r="LSF752" s="574"/>
      <c r="LSG752" s="574"/>
      <c r="LSH752" s="574"/>
      <c r="LSI752" s="574"/>
      <c r="LSJ752" s="574"/>
      <c r="LSK752" s="574"/>
      <c r="LSL752" s="574"/>
      <c r="LSM752" s="574"/>
      <c r="LSN752" s="574"/>
      <c r="LSO752" s="574"/>
      <c r="LSP752" s="574"/>
      <c r="LSQ752" s="574"/>
      <c r="LSR752" s="574"/>
      <c r="LSS752" s="574"/>
      <c r="LST752" s="574"/>
      <c r="LSU752" s="574"/>
      <c r="LSV752" s="574"/>
      <c r="LSW752" s="574"/>
      <c r="LSX752" s="574"/>
      <c r="LSY752" s="574"/>
      <c r="LSZ752" s="574"/>
      <c r="LTA752" s="574"/>
      <c r="LTB752" s="574"/>
      <c r="LTC752" s="574"/>
      <c r="LTD752" s="574"/>
      <c r="LTE752" s="574"/>
      <c r="LTF752" s="574"/>
      <c r="LTG752" s="574"/>
      <c r="LTH752" s="574"/>
      <c r="LTI752" s="574"/>
      <c r="LTJ752" s="574"/>
      <c r="LTK752" s="574"/>
      <c r="LTL752" s="574"/>
      <c r="LTM752" s="574"/>
      <c r="LTN752" s="574"/>
      <c r="LTO752" s="574"/>
      <c r="LTP752" s="574"/>
      <c r="LTQ752" s="574"/>
      <c r="LTR752" s="574"/>
      <c r="LTS752" s="574"/>
      <c r="LTT752" s="574"/>
      <c r="LTU752" s="574"/>
      <c r="LTV752" s="574"/>
      <c r="LTW752" s="574"/>
      <c r="LTX752" s="574"/>
      <c r="LTY752" s="574"/>
      <c r="LTZ752" s="574"/>
      <c r="LUA752" s="574"/>
      <c r="LUB752" s="574"/>
      <c r="LUC752" s="574"/>
      <c r="LUD752" s="574"/>
      <c r="LUE752" s="574"/>
      <c r="LUF752" s="574"/>
      <c r="LUG752" s="574"/>
      <c r="LUH752" s="574"/>
      <c r="LUI752" s="574"/>
      <c r="LUJ752" s="574"/>
      <c r="LUK752" s="574"/>
      <c r="LUL752" s="574"/>
      <c r="LUM752" s="574"/>
      <c r="LUN752" s="574"/>
      <c r="LUO752" s="574"/>
      <c r="LUP752" s="574"/>
      <c r="LUQ752" s="574"/>
      <c r="LUR752" s="574"/>
      <c r="LUS752" s="574"/>
      <c r="LUT752" s="574"/>
      <c r="LUU752" s="574"/>
      <c r="LUV752" s="574"/>
      <c r="LUW752" s="574"/>
      <c r="LUX752" s="574"/>
      <c r="LUY752" s="574"/>
      <c r="LUZ752" s="574"/>
      <c r="LVA752" s="574"/>
      <c r="LVB752" s="574"/>
      <c r="LVC752" s="574"/>
      <c r="LVD752" s="574"/>
      <c r="LVE752" s="574"/>
      <c r="LVF752" s="574"/>
      <c r="LVG752" s="574"/>
      <c r="LVH752" s="574"/>
      <c r="LVI752" s="574"/>
      <c r="LVJ752" s="574"/>
      <c r="LVK752" s="574"/>
      <c r="LVL752" s="574"/>
      <c r="LVM752" s="574"/>
      <c r="LVN752" s="574"/>
      <c r="LVO752" s="574"/>
      <c r="LVP752" s="574"/>
      <c r="LVQ752" s="574"/>
      <c r="LVR752" s="574"/>
      <c r="LVS752" s="574"/>
      <c r="LVT752" s="574"/>
      <c r="LVU752" s="574"/>
      <c r="LVV752" s="574"/>
      <c r="LVW752" s="574"/>
      <c r="LVX752" s="574"/>
      <c r="LVY752" s="574"/>
      <c r="LVZ752" s="574"/>
      <c r="LWA752" s="574"/>
      <c r="LWB752" s="574"/>
      <c r="LWC752" s="574"/>
      <c r="LWD752" s="574"/>
      <c r="LWE752" s="574"/>
      <c r="LWF752" s="574"/>
      <c r="LWG752" s="574"/>
      <c r="LWH752" s="574"/>
      <c r="LWI752" s="574"/>
      <c r="LWJ752" s="574"/>
      <c r="LWK752" s="574"/>
      <c r="LWL752" s="574"/>
      <c r="LWM752" s="574"/>
      <c r="LWN752" s="574"/>
      <c r="LWO752" s="574"/>
      <c r="LWP752" s="574"/>
      <c r="LWQ752" s="574"/>
      <c r="LWR752" s="574"/>
      <c r="LWS752" s="574"/>
      <c r="LWT752" s="574"/>
      <c r="LWU752" s="574"/>
      <c r="LWV752" s="574"/>
      <c r="LWW752" s="574"/>
      <c r="LWX752" s="574"/>
      <c r="LWY752" s="574"/>
      <c r="LWZ752" s="574"/>
      <c r="LXA752" s="574"/>
      <c r="LXB752" s="574"/>
      <c r="LXC752" s="574"/>
      <c r="LXD752" s="574"/>
      <c r="LXE752" s="574"/>
      <c r="LXF752" s="574"/>
      <c r="LXG752" s="574"/>
      <c r="LXH752" s="574"/>
      <c r="LXI752" s="574"/>
      <c r="LXJ752" s="574"/>
      <c r="LXK752" s="574"/>
      <c r="LXL752" s="574"/>
      <c r="LXM752" s="574"/>
      <c r="LXN752" s="574"/>
      <c r="LXO752" s="574"/>
      <c r="LXP752" s="574"/>
      <c r="LXQ752" s="574"/>
      <c r="LXR752" s="574"/>
      <c r="LXS752" s="574"/>
      <c r="LXT752" s="574"/>
      <c r="LXU752" s="574"/>
      <c r="LXV752" s="574"/>
      <c r="LXW752" s="574"/>
      <c r="LXX752" s="574"/>
      <c r="LXY752" s="574"/>
      <c r="LXZ752" s="574"/>
      <c r="LYA752" s="574"/>
      <c r="LYB752" s="574"/>
      <c r="LYC752" s="574"/>
      <c r="LYD752" s="574"/>
      <c r="LYE752" s="574"/>
      <c r="LYF752" s="574"/>
      <c r="LYG752" s="574"/>
      <c r="LYH752" s="574"/>
      <c r="LYI752" s="574"/>
      <c r="LYJ752" s="574"/>
      <c r="LYK752" s="574"/>
      <c r="LYL752" s="574"/>
      <c r="LYM752" s="574"/>
      <c r="LYN752" s="574"/>
      <c r="LYO752" s="574"/>
      <c r="LYP752" s="574"/>
      <c r="LYQ752" s="574"/>
      <c r="LYR752" s="574"/>
      <c r="LYS752" s="574"/>
      <c r="LYT752" s="574"/>
      <c r="LYU752" s="574"/>
      <c r="LYV752" s="574"/>
      <c r="LYW752" s="574"/>
      <c r="LYX752" s="574"/>
      <c r="LYY752" s="574"/>
      <c r="LYZ752" s="574"/>
      <c r="LZA752" s="574"/>
      <c r="LZB752" s="574"/>
      <c r="LZC752" s="574"/>
      <c r="LZD752" s="574"/>
      <c r="LZE752" s="574"/>
      <c r="LZF752" s="574"/>
      <c r="LZG752" s="574"/>
      <c r="LZH752" s="574"/>
      <c r="LZI752" s="574"/>
      <c r="LZJ752" s="574"/>
      <c r="LZK752" s="574"/>
      <c r="LZL752" s="574"/>
      <c r="LZM752" s="574"/>
      <c r="LZN752" s="574"/>
      <c r="LZO752" s="574"/>
      <c r="LZP752" s="574"/>
      <c r="LZQ752" s="574"/>
      <c r="LZR752" s="574"/>
      <c r="LZS752" s="574"/>
      <c r="LZT752" s="574"/>
      <c r="LZU752" s="574"/>
      <c r="LZV752" s="574"/>
      <c r="LZW752" s="574"/>
      <c r="LZX752" s="574"/>
      <c r="LZY752" s="574"/>
      <c r="LZZ752" s="574"/>
      <c r="MAA752" s="574"/>
      <c r="MAB752" s="574"/>
      <c r="MAC752" s="574"/>
      <c r="MAD752" s="574"/>
      <c r="MAE752" s="574"/>
      <c r="MAF752" s="574"/>
      <c r="MAG752" s="574"/>
      <c r="MAH752" s="574"/>
      <c r="MAI752" s="574"/>
      <c r="MAJ752" s="574"/>
      <c r="MAK752" s="574"/>
      <c r="MAL752" s="574"/>
      <c r="MAM752" s="574"/>
      <c r="MAN752" s="574"/>
      <c r="MAO752" s="574"/>
      <c r="MAP752" s="574"/>
      <c r="MAQ752" s="574"/>
      <c r="MAR752" s="574"/>
      <c r="MAS752" s="574"/>
      <c r="MAT752" s="574"/>
      <c r="MAU752" s="574"/>
      <c r="MAV752" s="574"/>
      <c r="MAW752" s="574"/>
      <c r="MAX752" s="574"/>
      <c r="MAY752" s="574"/>
      <c r="MAZ752" s="574"/>
      <c r="MBA752" s="574"/>
      <c r="MBB752" s="574"/>
      <c r="MBC752" s="574"/>
      <c r="MBD752" s="574"/>
      <c r="MBE752" s="574"/>
      <c r="MBF752" s="574"/>
      <c r="MBG752" s="574"/>
      <c r="MBH752" s="574"/>
      <c r="MBI752" s="574"/>
      <c r="MBJ752" s="574"/>
      <c r="MBK752" s="574"/>
      <c r="MBL752" s="574"/>
      <c r="MBM752" s="574"/>
      <c r="MBN752" s="574"/>
      <c r="MBO752" s="574"/>
      <c r="MBP752" s="574"/>
      <c r="MBQ752" s="574"/>
      <c r="MBR752" s="574"/>
      <c r="MBS752" s="574"/>
      <c r="MBT752" s="574"/>
      <c r="MBU752" s="574"/>
      <c r="MBV752" s="574"/>
      <c r="MBW752" s="574"/>
      <c r="MBX752" s="574"/>
      <c r="MBY752" s="574"/>
      <c r="MBZ752" s="574"/>
      <c r="MCA752" s="574"/>
      <c r="MCB752" s="574"/>
      <c r="MCC752" s="574"/>
      <c r="MCD752" s="574"/>
      <c r="MCE752" s="574"/>
      <c r="MCF752" s="574"/>
      <c r="MCG752" s="574"/>
      <c r="MCH752" s="574"/>
      <c r="MCI752" s="574"/>
      <c r="MCJ752" s="574"/>
      <c r="MCK752" s="574"/>
      <c r="MCL752" s="574"/>
      <c r="MCM752" s="574"/>
      <c r="MCN752" s="574"/>
      <c r="MCO752" s="574"/>
      <c r="MCP752" s="574"/>
      <c r="MCQ752" s="574"/>
      <c r="MCR752" s="574"/>
      <c r="MCS752" s="574"/>
      <c r="MCT752" s="574"/>
      <c r="MCU752" s="574"/>
      <c r="MCV752" s="574"/>
      <c r="MCW752" s="574"/>
      <c r="MCX752" s="574"/>
      <c r="MCY752" s="574"/>
      <c r="MCZ752" s="574"/>
      <c r="MDA752" s="574"/>
      <c r="MDB752" s="574"/>
      <c r="MDC752" s="574"/>
      <c r="MDD752" s="574"/>
      <c r="MDE752" s="574"/>
      <c r="MDF752" s="574"/>
      <c r="MDG752" s="574"/>
      <c r="MDH752" s="574"/>
      <c r="MDI752" s="574"/>
      <c r="MDJ752" s="574"/>
      <c r="MDK752" s="574"/>
      <c r="MDL752" s="574"/>
      <c r="MDM752" s="574"/>
      <c r="MDN752" s="574"/>
      <c r="MDO752" s="574"/>
      <c r="MDP752" s="574"/>
      <c r="MDQ752" s="574"/>
      <c r="MDR752" s="574"/>
      <c r="MDS752" s="574"/>
      <c r="MDT752" s="574"/>
      <c r="MDU752" s="574"/>
      <c r="MDV752" s="574"/>
      <c r="MDW752" s="574"/>
      <c r="MDX752" s="574"/>
      <c r="MDY752" s="574"/>
      <c r="MDZ752" s="574"/>
      <c r="MEA752" s="574"/>
      <c r="MEB752" s="574"/>
      <c r="MEC752" s="574"/>
      <c r="MED752" s="574"/>
      <c r="MEE752" s="574"/>
      <c r="MEF752" s="574"/>
      <c r="MEG752" s="574"/>
      <c r="MEH752" s="574"/>
      <c r="MEI752" s="574"/>
      <c r="MEJ752" s="574"/>
      <c r="MEK752" s="574"/>
      <c r="MEL752" s="574"/>
      <c r="MEM752" s="574"/>
      <c r="MEN752" s="574"/>
      <c r="MEO752" s="574"/>
      <c r="MEP752" s="574"/>
      <c r="MEQ752" s="574"/>
      <c r="MER752" s="574"/>
      <c r="MES752" s="574"/>
      <c r="MET752" s="574"/>
      <c r="MEU752" s="574"/>
      <c r="MEV752" s="574"/>
      <c r="MEW752" s="574"/>
      <c r="MEX752" s="574"/>
      <c r="MEY752" s="574"/>
      <c r="MEZ752" s="574"/>
      <c r="MFA752" s="574"/>
      <c r="MFB752" s="574"/>
      <c r="MFC752" s="574"/>
      <c r="MFD752" s="574"/>
      <c r="MFE752" s="574"/>
      <c r="MFF752" s="574"/>
      <c r="MFG752" s="574"/>
      <c r="MFH752" s="574"/>
      <c r="MFI752" s="574"/>
      <c r="MFJ752" s="574"/>
      <c r="MFK752" s="574"/>
      <c r="MFL752" s="574"/>
      <c r="MFM752" s="574"/>
      <c r="MFN752" s="574"/>
      <c r="MFO752" s="574"/>
      <c r="MFP752" s="574"/>
      <c r="MFQ752" s="574"/>
      <c r="MFR752" s="574"/>
      <c r="MFS752" s="574"/>
      <c r="MFT752" s="574"/>
      <c r="MFU752" s="574"/>
      <c r="MFV752" s="574"/>
      <c r="MFW752" s="574"/>
      <c r="MFX752" s="574"/>
      <c r="MFY752" s="574"/>
      <c r="MFZ752" s="574"/>
      <c r="MGA752" s="574"/>
      <c r="MGB752" s="574"/>
      <c r="MGC752" s="574"/>
      <c r="MGD752" s="574"/>
      <c r="MGE752" s="574"/>
      <c r="MGF752" s="574"/>
      <c r="MGG752" s="574"/>
      <c r="MGH752" s="574"/>
      <c r="MGI752" s="574"/>
      <c r="MGJ752" s="574"/>
      <c r="MGK752" s="574"/>
      <c r="MGL752" s="574"/>
      <c r="MGM752" s="574"/>
      <c r="MGN752" s="574"/>
      <c r="MGO752" s="574"/>
      <c r="MGP752" s="574"/>
      <c r="MGQ752" s="574"/>
      <c r="MGR752" s="574"/>
      <c r="MGS752" s="574"/>
      <c r="MGT752" s="574"/>
      <c r="MGU752" s="574"/>
      <c r="MGV752" s="574"/>
      <c r="MGW752" s="574"/>
      <c r="MGX752" s="574"/>
      <c r="MGY752" s="574"/>
      <c r="MGZ752" s="574"/>
      <c r="MHA752" s="574"/>
      <c r="MHB752" s="574"/>
      <c r="MHC752" s="574"/>
      <c r="MHD752" s="574"/>
      <c r="MHE752" s="574"/>
      <c r="MHF752" s="574"/>
      <c r="MHG752" s="574"/>
      <c r="MHH752" s="574"/>
      <c r="MHI752" s="574"/>
      <c r="MHJ752" s="574"/>
      <c r="MHK752" s="574"/>
      <c r="MHL752" s="574"/>
      <c r="MHM752" s="574"/>
      <c r="MHN752" s="574"/>
      <c r="MHO752" s="574"/>
      <c r="MHP752" s="574"/>
      <c r="MHQ752" s="574"/>
      <c r="MHR752" s="574"/>
      <c r="MHS752" s="574"/>
      <c r="MHT752" s="574"/>
      <c r="MHU752" s="574"/>
      <c r="MHV752" s="574"/>
      <c r="MHW752" s="574"/>
      <c r="MHX752" s="574"/>
      <c r="MHY752" s="574"/>
      <c r="MHZ752" s="574"/>
      <c r="MIA752" s="574"/>
      <c r="MIB752" s="574"/>
      <c r="MIC752" s="574"/>
      <c r="MID752" s="574"/>
      <c r="MIE752" s="574"/>
      <c r="MIF752" s="574"/>
      <c r="MIG752" s="574"/>
      <c r="MIH752" s="574"/>
      <c r="MII752" s="574"/>
      <c r="MIJ752" s="574"/>
      <c r="MIK752" s="574"/>
      <c r="MIL752" s="574"/>
      <c r="MIM752" s="574"/>
      <c r="MIN752" s="574"/>
      <c r="MIO752" s="574"/>
      <c r="MIP752" s="574"/>
      <c r="MIQ752" s="574"/>
      <c r="MIR752" s="574"/>
      <c r="MIS752" s="574"/>
      <c r="MIT752" s="574"/>
      <c r="MIU752" s="574"/>
      <c r="MIV752" s="574"/>
      <c r="MIW752" s="574"/>
      <c r="MIX752" s="574"/>
      <c r="MIY752" s="574"/>
      <c r="MIZ752" s="574"/>
      <c r="MJA752" s="574"/>
      <c r="MJB752" s="574"/>
      <c r="MJC752" s="574"/>
      <c r="MJD752" s="574"/>
      <c r="MJE752" s="574"/>
      <c r="MJF752" s="574"/>
      <c r="MJG752" s="574"/>
      <c r="MJH752" s="574"/>
      <c r="MJI752" s="574"/>
      <c r="MJJ752" s="574"/>
      <c r="MJK752" s="574"/>
      <c r="MJL752" s="574"/>
      <c r="MJM752" s="574"/>
      <c r="MJN752" s="574"/>
      <c r="MJO752" s="574"/>
      <c r="MJP752" s="574"/>
      <c r="MJQ752" s="574"/>
      <c r="MJR752" s="574"/>
      <c r="MJS752" s="574"/>
      <c r="MJT752" s="574"/>
      <c r="MJU752" s="574"/>
      <c r="MJV752" s="574"/>
      <c r="MJW752" s="574"/>
      <c r="MJX752" s="574"/>
      <c r="MJY752" s="574"/>
      <c r="MJZ752" s="574"/>
      <c r="MKA752" s="574"/>
      <c r="MKB752" s="574"/>
      <c r="MKC752" s="574"/>
      <c r="MKD752" s="574"/>
      <c r="MKE752" s="574"/>
      <c r="MKF752" s="574"/>
      <c r="MKG752" s="574"/>
      <c r="MKH752" s="574"/>
      <c r="MKI752" s="574"/>
      <c r="MKJ752" s="574"/>
      <c r="MKK752" s="574"/>
      <c r="MKL752" s="574"/>
      <c r="MKM752" s="574"/>
      <c r="MKN752" s="574"/>
      <c r="MKO752" s="574"/>
      <c r="MKP752" s="574"/>
      <c r="MKQ752" s="574"/>
      <c r="MKR752" s="574"/>
      <c r="MKS752" s="574"/>
      <c r="MKT752" s="574"/>
      <c r="MKU752" s="574"/>
      <c r="MKV752" s="574"/>
      <c r="MKW752" s="574"/>
      <c r="MKX752" s="574"/>
      <c r="MKY752" s="574"/>
      <c r="MKZ752" s="574"/>
      <c r="MLA752" s="574"/>
      <c r="MLB752" s="574"/>
      <c r="MLC752" s="574"/>
      <c r="MLD752" s="574"/>
      <c r="MLE752" s="574"/>
      <c r="MLF752" s="574"/>
      <c r="MLG752" s="574"/>
      <c r="MLH752" s="574"/>
      <c r="MLI752" s="574"/>
      <c r="MLJ752" s="574"/>
      <c r="MLK752" s="574"/>
      <c r="MLL752" s="574"/>
      <c r="MLM752" s="574"/>
      <c r="MLN752" s="574"/>
      <c r="MLO752" s="574"/>
      <c r="MLP752" s="574"/>
      <c r="MLQ752" s="574"/>
      <c r="MLR752" s="574"/>
      <c r="MLS752" s="574"/>
      <c r="MLT752" s="574"/>
      <c r="MLU752" s="574"/>
      <c r="MLV752" s="574"/>
      <c r="MLW752" s="574"/>
      <c r="MLX752" s="574"/>
      <c r="MLY752" s="574"/>
      <c r="MLZ752" s="574"/>
      <c r="MMA752" s="574"/>
      <c r="MMB752" s="574"/>
      <c r="MMC752" s="574"/>
      <c r="MMD752" s="574"/>
      <c r="MME752" s="574"/>
      <c r="MMF752" s="574"/>
      <c r="MMG752" s="574"/>
      <c r="MMH752" s="574"/>
      <c r="MMI752" s="574"/>
      <c r="MMJ752" s="574"/>
      <c r="MMK752" s="574"/>
      <c r="MML752" s="574"/>
      <c r="MMM752" s="574"/>
      <c r="MMN752" s="574"/>
      <c r="MMO752" s="574"/>
      <c r="MMP752" s="574"/>
      <c r="MMQ752" s="574"/>
      <c r="MMR752" s="574"/>
      <c r="MMS752" s="574"/>
      <c r="MMT752" s="574"/>
      <c r="MMU752" s="574"/>
      <c r="MMV752" s="574"/>
      <c r="MMW752" s="574"/>
      <c r="MMX752" s="574"/>
      <c r="MMY752" s="574"/>
      <c r="MMZ752" s="574"/>
      <c r="MNA752" s="574"/>
      <c r="MNB752" s="574"/>
      <c r="MNC752" s="574"/>
      <c r="MND752" s="574"/>
      <c r="MNE752" s="574"/>
      <c r="MNF752" s="574"/>
      <c r="MNG752" s="574"/>
      <c r="MNH752" s="574"/>
      <c r="MNI752" s="574"/>
      <c r="MNJ752" s="574"/>
      <c r="MNK752" s="574"/>
      <c r="MNL752" s="574"/>
      <c r="MNM752" s="574"/>
      <c r="MNN752" s="574"/>
      <c r="MNO752" s="574"/>
      <c r="MNP752" s="574"/>
      <c r="MNQ752" s="574"/>
      <c r="MNR752" s="574"/>
      <c r="MNS752" s="574"/>
      <c r="MNT752" s="574"/>
      <c r="MNU752" s="574"/>
      <c r="MNV752" s="574"/>
      <c r="MNW752" s="574"/>
      <c r="MNX752" s="574"/>
      <c r="MNY752" s="574"/>
      <c r="MNZ752" s="574"/>
      <c r="MOA752" s="574"/>
      <c r="MOB752" s="574"/>
      <c r="MOC752" s="574"/>
      <c r="MOD752" s="574"/>
      <c r="MOE752" s="574"/>
      <c r="MOF752" s="574"/>
      <c r="MOG752" s="574"/>
      <c r="MOH752" s="574"/>
      <c r="MOI752" s="574"/>
      <c r="MOJ752" s="574"/>
      <c r="MOK752" s="574"/>
      <c r="MOL752" s="574"/>
      <c r="MOM752" s="574"/>
      <c r="MON752" s="574"/>
      <c r="MOO752" s="574"/>
      <c r="MOP752" s="574"/>
      <c r="MOQ752" s="574"/>
      <c r="MOR752" s="574"/>
      <c r="MOS752" s="574"/>
      <c r="MOT752" s="574"/>
      <c r="MOU752" s="574"/>
      <c r="MOV752" s="574"/>
      <c r="MOW752" s="574"/>
      <c r="MOX752" s="574"/>
      <c r="MOY752" s="574"/>
      <c r="MOZ752" s="574"/>
      <c r="MPA752" s="574"/>
      <c r="MPB752" s="574"/>
      <c r="MPC752" s="574"/>
      <c r="MPD752" s="574"/>
      <c r="MPE752" s="574"/>
      <c r="MPF752" s="574"/>
      <c r="MPG752" s="574"/>
      <c r="MPH752" s="574"/>
      <c r="MPI752" s="574"/>
      <c r="MPJ752" s="574"/>
      <c r="MPK752" s="574"/>
      <c r="MPL752" s="574"/>
      <c r="MPM752" s="574"/>
      <c r="MPN752" s="574"/>
      <c r="MPO752" s="574"/>
      <c r="MPP752" s="574"/>
      <c r="MPQ752" s="574"/>
      <c r="MPR752" s="574"/>
      <c r="MPS752" s="574"/>
      <c r="MPT752" s="574"/>
      <c r="MPU752" s="574"/>
      <c r="MPV752" s="574"/>
      <c r="MPW752" s="574"/>
      <c r="MPX752" s="574"/>
      <c r="MPY752" s="574"/>
      <c r="MPZ752" s="574"/>
      <c r="MQA752" s="574"/>
      <c r="MQB752" s="574"/>
      <c r="MQC752" s="574"/>
      <c r="MQD752" s="574"/>
      <c r="MQE752" s="574"/>
      <c r="MQF752" s="574"/>
      <c r="MQG752" s="574"/>
      <c r="MQH752" s="574"/>
      <c r="MQI752" s="574"/>
      <c r="MQJ752" s="574"/>
      <c r="MQK752" s="574"/>
      <c r="MQL752" s="574"/>
      <c r="MQM752" s="574"/>
      <c r="MQN752" s="574"/>
      <c r="MQO752" s="574"/>
      <c r="MQP752" s="574"/>
      <c r="MQQ752" s="574"/>
      <c r="MQR752" s="574"/>
      <c r="MQS752" s="574"/>
      <c r="MQT752" s="574"/>
      <c r="MQU752" s="574"/>
      <c r="MQV752" s="574"/>
      <c r="MQW752" s="574"/>
      <c r="MQX752" s="574"/>
      <c r="MQY752" s="574"/>
      <c r="MQZ752" s="574"/>
      <c r="MRA752" s="574"/>
      <c r="MRB752" s="574"/>
      <c r="MRC752" s="574"/>
      <c r="MRD752" s="574"/>
      <c r="MRE752" s="574"/>
      <c r="MRF752" s="574"/>
      <c r="MRG752" s="574"/>
      <c r="MRH752" s="574"/>
      <c r="MRI752" s="574"/>
      <c r="MRJ752" s="574"/>
      <c r="MRK752" s="574"/>
      <c r="MRL752" s="574"/>
      <c r="MRM752" s="574"/>
      <c r="MRN752" s="574"/>
      <c r="MRO752" s="574"/>
      <c r="MRP752" s="574"/>
      <c r="MRQ752" s="574"/>
      <c r="MRR752" s="574"/>
      <c r="MRS752" s="574"/>
      <c r="MRT752" s="574"/>
      <c r="MRU752" s="574"/>
      <c r="MRV752" s="574"/>
      <c r="MRW752" s="574"/>
      <c r="MRX752" s="574"/>
      <c r="MRY752" s="574"/>
      <c r="MRZ752" s="574"/>
      <c r="MSA752" s="574"/>
      <c r="MSB752" s="574"/>
      <c r="MSC752" s="574"/>
      <c r="MSD752" s="574"/>
      <c r="MSE752" s="574"/>
      <c r="MSF752" s="574"/>
      <c r="MSG752" s="574"/>
      <c r="MSH752" s="574"/>
      <c r="MSI752" s="574"/>
      <c r="MSJ752" s="574"/>
      <c r="MSK752" s="574"/>
      <c r="MSL752" s="574"/>
      <c r="MSM752" s="574"/>
      <c r="MSN752" s="574"/>
      <c r="MSO752" s="574"/>
      <c r="MSP752" s="574"/>
      <c r="MSQ752" s="574"/>
      <c r="MSR752" s="574"/>
      <c r="MSS752" s="574"/>
      <c r="MST752" s="574"/>
      <c r="MSU752" s="574"/>
      <c r="MSV752" s="574"/>
      <c r="MSW752" s="574"/>
      <c r="MSX752" s="574"/>
      <c r="MSY752" s="574"/>
      <c r="MSZ752" s="574"/>
      <c r="MTA752" s="574"/>
      <c r="MTB752" s="574"/>
      <c r="MTC752" s="574"/>
      <c r="MTD752" s="574"/>
      <c r="MTE752" s="574"/>
      <c r="MTF752" s="574"/>
      <c r="MTG752" s="574"/>
      <c r="MTH752" s="574"/>
      <c r="MTI752" s="574"/>
      <c r="MTJ752" s="574"/>
      <c r="MTK752" s="574"/>
      <c r="MTL752" s="574"/>
      <c r="MTM752" s="574"/>
      <c r="MTN752" s="574"/>
      <c r="MTO752" s="574"/>
      <c r="MTP752" s="574"/>
      <c r="MTQ752" s="574"/>
      <c r="MTR752" s="574"/>
      <c r="MTS752" s="574"/>
      <c r="MTT752" s="574"/>
      <c r="MTU752" s="574"/>
      <c r="MTV752" s="574"/>
      <c r="MTW752" s="574"/>
      <c r="MTX752" s="574"/>
      <c r="MTY752" s="574"/>
      <c r="MTZ752" s="574"/>
      <c r="MUA752" s="574"/>
      <c r="MUB752" s="574"/>
      <c r="MUC752" s="574"/>
      <c r="MUD752" s="574"/>
      <c r="MUE752" s="574"/>
      <c r="MUF752" s="574"/>
      <c r="MUG752" s="574"/>
      <c r="MUH752" s="574"/>
      <c r="MUI752" s="574"/>
      <c r="MUJ752" s="574"/>
      <c r="MUK752" s="574"/>
      <c r="MUL752" s="574"/>
      <c r="MUM752" s="574"/>
      <c r="MUN752" s="574"/>
      <c r="MUO752" s="574"/>
      <c r="MUP752" s="574"/>
      <c r="MUQ752" s="574"/>
      <c r="MUR752" s="574"/>
      <c r="MUS752" s="574"/>
      <c r="MUT752" s="574"/>
      <c r="MUU752" s="574"/>
      <c r="MUV752" s="574"/>
      <c r="MUW752" s="574"/>
      <c r="MUX752" s="574"/>
      <c r="MUY752" s="574"/>
      <c r="MUZ752" s="574"/>
      <c r="MVA752" s="574"/>
      <c r="MVB752" s="574"/>
      <c r="MVC752" s="574"/>
      <c r="MVD752" s="574"/>
      <c r="MVE752" s="574"/>
      <c r="MVF752" s="574"/>
      <c r="MVG752" s="574"/>
      <c r="MVH752" s="574"/>
      <c r="MVI752" s="574"/>
      <c r="MVJ752" s="574"/>
      <c r="MVK752" s="574"/>
      <c r="MVL752" s="574"/>
      <c r="MVM752" s="574"/>
      <c r="MVN752" s="574"/>
      <c r="MVO752" s="574"/>
      <c r="MVP752" s="574"/>
      <c r="MVQ752" s="574"/>
      <c r="MVR752" s="574"/>
      <c r="MVS752" s="574"/>
      <c r="MVT752" s="574"/>
      <c r="MVU752" s="574"/>
      <c r="MVV752" s="574"/>
      <c r="MVW752" s="574"/>
      <c r="MVX752" s="574"/>
      <c r="MVY752" s="574"/>
      <c r="MVZ752" s="574"/>
      <c r="MWA752" s="574"/>
      <c r="MWB752" s="574"/>
      <c r="MWC752" s="574"/>
      <c r="MWD752" s="574"/>
      <c r="MWE752" s="574"/>
      <c r="MWF752" s="574"/>
      <c r="MWG752" s="574"/>
      <c r="MWH752" s="574"/>
      <c r="MWI752" s="574"/>
      <c r="MWJ752" s="574"/>
      <c r="MWK752" s="574"/>
      <c r="MWL752" s="574"/>
      <c r="MWM752" s="574"/>
      <c r="MWN752" s="574"/>
      <c r="MWO752" s="574"/>
      <c r="MWP752" s="574"/>
      <c r="MWQ752" s="574"/>
      <c r="MWR752" s="574"/>
      <c r="MWS752" s="574"/>
      <c r="MWT752" s="574"/>
      <c r="MWU752" s="574"/>
      <c r="MWV752" s="574"/>
      <c r="MWW752" s="574"/>
      <c r="MWX752" s="574"/>
      <c r="MWY752" s="574"/>
      <c r="MWZ752" s="574"/>
      <c r="MXA752" s="574"/>
      <c r="MXB752" s="574"/>
      <c r="MXC752" s="574"/>
      <c r="MXD752" s="574"/>
      <c r="MXE752" s="574"/>
      <c r="MXF752" s="574"/>
      <c r="MXG752" s="574"/>
      <c r="MXH752" s="574"/>
      <c r="MXI752" s="574"/>
      <c r="MXJ752" s="574"/>
      <c r="MXK752" s="574"/>
      <c r="MXL752" s="574"/>
      <c r="MXM752" s="574"/>
      <c r="MXN752" s="574"/>
      <c r="MXO752" s="574"/>
      <c r="MXP752" s="574"/>
      <c r="MXQ752" s="574"/>
      <c r="MXR752" s="574"/>
      <c r="MXS752" s="574"/>
      <c r="MXT752" s="574"/>
      <c r="MXU752" s="574"/>
      <c r="MXV752" s="574"/>
      <c r="MXW752" s="574"/>
      <c r="MXX752" s="574"/>
      <c r="MXY752" s="574"/>
      <c r="MXZ752" s="574"/>
      <c r="MYA752" s="574"/>
      <c r="MYB752" s="574"/>
      <c r="MYC752" s="574"/>
      <c r="MYD752" s="574"/>
      <c r="MYE752" s="574"/>
      <c r="MYF752" s="574"/>
      <c r="MYG752" s="574"/>
      <c r="MYH752" s="574"/>
      <c r="MYI752" s="574"/>
      <c r="MYJ752" s="574"/>
      <c r="MYK752" s="574"/>
      <c r="MYL752" s="574"/>
      <c r="MYM752" s="574"/>
      <c r="MYN752" s="574"/>
      <c r="MYO752" s="574"/>
      <c r="MYP752" s="574"/>
      <c r="MYQ752" s="574"/>
      <c r="MYR752" s="574"/>
      <c r="MYS752" s="574"/>
      <c r="MYT752" s="574"/>
      <c r="MYU752" s="574"/>
      <c r="MYV752" s="574"/>
      <c r="MYW752" s="574"/>
      <c r="MYX752" s="574"/>
      <c r="MYY752" s="574"/>
      <c r="MYZ752" s="574"/>
      <c r="MZA752" s="574"/>
      <c r="MZB752" s="574"/>
      <c r="MZC752" s="574"/>
      <c r="MZD752" s="574"/>
      <c r="MZE752" s="574"/>
      <c r="MZF752" s="574"/>
      <c r="MZG752" s="574"/>
      <c r="MZH752" s="574"/>
      <c r="MZI752" s="574"/>
      <c r="MZJ752" s="574"/>
      <c r="MZK752" s="574"/>
      <c r="MZL752" s="574"/>
      <c r="MZM752" s="574"/>
      <c r="MZN752" s="574"/>
      <c r="MZO752" s="574"/>
      <c r="MZP752" s="574"/>
      <c r="MZQ752" s="574"/>
      <c r="MZR752" s="574"/>
      <c r="MZS752" s="574"/>
      <c r="MZT752" s="574"/>
      <c r="MZU752" s="574"/>
      <c r="MZV752" s="574"/>
      <c r="MZW752" s="574"/>
      <c r="MZX752" s="574"/>
      <c r="MZY752" s="574"/>
      <c r="MZZ752" s="574"/>
      <c r="NAA752" s="574"/>
      <c r="NAB752" s="574"/>
      <c r="NAC752" s="574"/>
      <c r="NAD752" s="574"/>
      <c r="NAE752" s="574"/>
      <c r="NAF752" s="574"/>
      <c r="NAG752" s="574"/>
      <c r="NAH752" s="574"/>
      <c r="NAI752" s="574"/>
      <c r="NAJ752" s="574"/>
      <c r="NAK752" s="574"/>
      <c r="NAL752" s="574"/>
      <c r="NAM752" s="574"/>
      <c r="NAN752" s="574"/>
      <c r="NAO752" s="574"/>
      <c r="NAP752" s="574"/>
      <c r="NAQ752" s="574"/>
      <c r="NAR752" s="574"/>
      <c r="NAS752" s="574"/>
      <c r="NAT752" s="574"/>
      <c r="NAU752" s="574"/>
      <c r="NAV752" s="574"/>
      <c r="NAW752" s="574"/>
      <c r="NAX752" s="574"/>
      <c r="NAY752" s="574"/>
      <c r="NAZ752" s="574"/>
      <c r="NBA752" s="574"/>
      <c r="NBB752" s="574"/>
      <c r="NBC752" s="574"/>
      <c r="NBD752" s="574"/>
      <c r="NBE752" s="574"/>
      <c r="NBF752" s="574"/>
      <c r="NBG752" s="574"/>
      <c r="NBH752" s="574"/>
      <c r="NBI752" s="574"/>
      <c r="NBJ752" s="574"/>
      <c r="NBK752" s="574"/>
      <c r="NBL752" s="574"/>
      <c r="NBM752" s="574"/>
      <c r="NBN752" s="574"/>
      <c r="NBO752" s="574"/>
      <c r="NBP752" s="574"/>
      <c r="NBQ752" s="574"/>
      <c r="NBR752" s="574"/>
      <c r="NBS752" s="574"/>
      <c r="NBT752" s="574"/>
      <c r="NBU752" s="574"/>
      <c r="NBV752" s="574"/>
      <c r="NBW752" s="574"/>
      <c r="NBX752" s="574"/>
      <c r="NBY752" s="574"/>
      <c r="NBZ752" s="574"/>
      <c r="NCA752" s="574"/>
      <c r="NCB752" s="574"/>
      <c r="NCC752" s="574"/>
      <c r="NCD752" s="574"/>
      <c r="NCE752" s="574"/>
      <c r="NCF752" s="574"/>
      <c r="NCG752" s="574"/>
      <c r="NCH752" s="574"/>
      <c r="NCI752" s="574"/>
      <c r="NCJ752" s="574"/>
      <c r="NCK752" s="574"/>
      <c r="NCL752" s="574"/>
      <c r="NCM752" s="574"/>
      <c r="NCN752" s="574"/>
      <c r="NCO752" s="574"/>
      <c r="NCP752" s="574"/>
      <c r="NCQ752" s="574"/>
      <c r="NCR752" s="574"/>
      <c r="NCS752" s="574"/>
      <c r="NCT752" s="574"/>
      <c r="NCU752" s="574"/>
      <c r="NCV752" s="574"/>
      <c r="NCW752" s="574"/>
      <c r="NCX752" s="574"/>
      <c r="NCY752" s="574"/>
      <c r="NCZ752" s="574"/>
      <c r="NDA752" s="574"/>
      <c r="NDB752" s="574"/>
      <c r="NDC752" s="574"/>
      <c r="NDD752" s="574"/>
      <c r="NDE752" s="574"/>
      <c r="NDF752" s="574"/>
      <c r="NDG752" s="574"/>
      <c r="NDH752" s="574"/>
      <c r="NDI752" s="574"/>
      <c r="NDJ752" s="574"/>
      <c r="NDK752" s="574"/>
      <c r="NDL752" s="574"/>
      <c r="NDM752" s="574"/>
      <c r="NDN752" s="574"/>
      <c r="NDO752" s="574"/>
      <c r="NDP752" s="574"/>
      <c r="NDQ752" s="574"/>
      <c r="NDR752" s="574"/>
      <c r="NDS752" s="574"/>
      <c r="NDT752" s="574"/>
      <c r="NDU752" s="574"/>
      <c r="NDV752" s="574"/>
      <c r="NDW752" s="574"/>
      <c r="NDX752" s="574"/>
      <c r="NDY752" s="574"/>
      <c r="NDZ752" s="574"/>
      <c r="NEA752" s="574"/>
      <c r="NEB752" s="574"/>
      <c r="NEC752" s="574"/>
      <c r="NED752" s="574"/>
      <c r="NEE752" s="574"/>
      <c r="NEF752" s="574"/>
      <c r="NEG752" s="574"/>
      <c r="NEH752" s="574"/>
      <c r="NEI752" s="574"/>
      <c r="NEJ752" s="574"/>
      <c r="NEK752" s="574"/>
      <c r="NEL752" s="574"/>
      <c r="NEM752" s="574"/>
      <c r="NEN752" s="574"/>
      <c r="NEO752" s="574"/>
      <c r="NEP752" s="574"/>
      <c r="NEQ752" s="574"/>
      <c r="NER752" s="574"/>
      <c r="NES752" s="574"/>
      <c r="NET752" s="574"/>
      <c r="NEU752" s="574"/>
      <c r="NEV752" s="574"/>
      <c r="NEW752" s="574"/>
      <c r="NEX752" s="574"/>
      <c r="NEY752" s="574"/>
      <c r="NEZ752" s="574"/>
      <c r="NFA752" s="574"/>
      <c r="NFB752" s="574"/>
      <c r="NFC752" s="574"/>
      <c r="NFD752" s="574"/>
      <c r="NFE752" s="574"/>
      <c r="NFF752" s="574"/>
      <c r="NFG752" s="574"/>
      <c r="NFH752" s="574"/>
      <c r="NFI752" s="574"/>
      <c r="NFJ752" s="574"/>
      <c r="NFK752" s="574"/>
      <c r="NFL752" s="574"/>
      <c r="NFM752" s="574"/>
      <c r="NFN752" s="574"/>
      <c r="NFO752" s="574"/>
      <c r="NFP752" s="574"/>
      <c r="NFQ752" s="574"/>
      <c r="NFR752" s="574"/>
      <c r="NFS752" s="574"/>
      <c r="NFT752" s="574"/>
      <c r="NFU752" s="574"/>
      <c r="NFV752" s="574"/>
      <c r="NFW752" s="574"/>
      <c r="NFX752" s="574"/>
      <c r="NFY752" s="574"/>
      <c r="NFZ752" s="574"/>
      <c r="NGA752" s="574"/>
      <c r="NGB752" s="574"/>
      <c r="NGC752" s="574"/>
      <c r="NGD752" s="574"/>
      <c r="NGE752" s="574"/>
      <c r="NGF752" s="574"/>
      <c r="NGG752" s="574"/>
      <c r="NGH752" s="574"/>
      <c r="NGI752" s="574"/>
      <c r="NGJ752" s="574"/>
      <c r="NGK752" s="574"/>
      <c r="NGL752" s="574"/>
      <c r="NGM752" s="574"/>
      <c r="NGN752" s="574"/>
      <c r="NGO752" s="574"/>
      <c r="NGP752" s="574"/>
      <c r="NGQ752" s="574"/>
      <c r="NGR752" s="574"/>
      <c r="NGS752" s="574"/>
      <c r="NGT752" s="574"/>
      <c r="NGU752" s="574"/>
      <c r="NGV752" s="574"/>
      <c r="NGW752" s="574"/>
      <c r="NGX752" s="574"/>
      <c r="NGY752" s="574"/>
      <c r="NGZ752" s="574"/>
      <c r="NHA752" s="574"/>
      <c r="NHB752" s="574"/>
      <c r="NHC752" s="574"/>
      <c r="NHD752" s="574"/>
      <c r="NHE752" s="574"/>
      <c r="NHF752" s="574"/>
      <c r="NHG752" s="574"/>
      <c r="NHH752" s="574"/>
      <c r="NHI752" s="574"/>
      <c r="NHJ752" s="574"/>
      <c r="NHK752" s="574"/>
      <c r="NHL752" s="574"/>
      <c r="NHM752" s="574"/>
      <c r="NHN752" s="574"/>
      <c r="NHO752" s="574"/>
      <c r="NHP752" s="574"/>
      <c r="NHQ752" s="574"/>
      <c r="NHR752" s="574"/>
      <c r="NHS752" s="574"/>
      <c r="NHT752" s="574"/>
      <c r="NHU752" s="574"/>
      <c r="NHV752" s="574"/>
      <c r="NHW752" s="574"/>
      <c r="NHX752" s="574"/>
      <c r="NHY752" s="574"/>
      <c r="NHZ752" s="574"/>
      <c r="NIA752" s="574"/>
      <c r="NIB752" s="574"/>
      <c r="NIC752" s="574"/>
      <c r="NID752" s="574"/>
      <c r="NIE752" s="574"/>
      <c r="NIF752" s="574"/>
      <c r="NIG752" s="574"/>
      <c r="NIH752" s="574"/>
      <c r="NII752" s="574"/>
      <c r="NIJ752" s="574"/>
      <c r="NIK752" s="574"/>
      <c r="NIL752" s="574"/>
      <c r="NIM752" s="574"/>
      <c r="NIN752" s="574"/>
      <c r="NIO752" s="574"/>
      <c r="NIP752" s="574"/>
      <c r="NIQ752" s="574"/>
      <c r="NIR752" s="574"/>
      <c r="NIS752" s="574"/>
      <c r="NIT752" s="574"/>
      <c r="NIU752" s="574"/>
      <c r="NIV752" s="574"/>
      <c r="NIW752" s="574"/>
      <c r="NIX752" s="574"/>
      <c r="NIY752" s="574"/>
      <c r="NIZ752" s="574"/>
      <c r="NJA752" s="574"/>
      <c r="NJB752" s="574"/>
      <c r="NJC752" s="574"/>
      <c r="NJD752" s="574"/>
      <c r="NJE752" s="574"/>
      <c r="NJF752" s="574"/>
      <c r="NJG752" s="574"/>
      <c r="NJH752" s="574"/>
      <c r="NJI752" s="574"/>
      <c r="NJJ752" s="574"/>
      <c r="NJK752" s="574"/>
      <c r="NJL752" s="574"/>
      <c r="NJM752" s="574"/>
      <c r="NJN752" s="574"/>
      <c r="NJO752" s="574"/>
      <c r="NJP752" s="574"/>
      <c r="NJQ752" s="574"/>
      <c r="NJR752" s="574"/>
      <c r="NJS752" s="574"/>
      <c r="NJT752" s="574"/>
      <c r="NJU752" s="574"/>
      <c r="NJV752" s="574"/>
      <c r="NJW752" s="574"/>
      <c r="NJX752" s="574"/>
      <c r="NJY752" s="574"/>
      <c r="NJZ752" s="574"/>
      <c r="NKA752" s="574"/>
      <c r="NKB752" s="574"/>
      <c r="NKC752" s="574"/>
      <c r="NKD752" s="574"/>
      <c r="NKE752" s="574"/>
      <c r="NKF752" s="574"/>
      <c r="NKG752" s="574"/>
      <c r="NKH752" s="574"/>
      <c r="NKI752" s="574"/>
      <c r="NKJ752" s="574"/>
      <c r="NKK752" s="574"/>
      <c r="NKL752" s="574"/>
      <c r="NKM752" s="574"/>
      <c r="NKN752" s="574"/>
      <c r="NKO752" s="574"/>
      <c r="NKP752" s="574"/>
      <c r="NKQ752" s="574"/>
      <c r="NKR752" s="574"/>
      <c r="NKS752" s="574"/>
      <c r="NKT752" s="574"/>
      <c r="NKU752" s="574"/>
      <c r="NKV752" s="574"/>
      <c r="NKW752" s="574"/>
      <c r="NKX752" s="574"/>
      <c r="NKY752" s="574"/>
      <c r="NKZ752" s="574"/>
      <c r="NLA752" s="574"/>
      <c r="NLB752" s="574"/>
      <c r="NLC752" s="574"/>
      <c r="NLD752" s="574"/>
      <c r="NLE752" s="574"/>
      <c r="NLF752" s="574"/>
      <c r="NLG752" s="574"/>
      <c r="NLH752" s="574"/>
      <c r="NLI752" s="574"/>
      <c r="NLJ752" s="574"/>
      <c r="NLK752" s="574"/>
      <c r="NLL752" s="574"/>
      <c r="NLM752" s="574"/>
      <c r="NLN752" s="574"/>
      <c r="NLO752" s="574"/>
      <c r="NLP752" s="574"/>
      <c r="NLQ752" s="574"/>
      <c r="NLR752" s="574"/>
      <c r="NLS752" s="574"/>
      <c r="NLT752" s="574"/>
      <c r="NLU752" s="574"/>
      <c r="NLV752" s="574"/>
      <c r="NLW752" s="574"/>
      <c r="NLX752" s="574"/>
      <c r="NLY752" s="574"/>
      <c r="NLZ752" s="574"/>
      <c r="NMA752" s="574"/>
      <c r="NMB752" s="574"/>
      <c r="NMC752" s="574"/>
      <c r="NMD752" s="574"/>
      <c r="NME752" s="574"/>
      <c r="NMF752" s="574"/>
      <c r="NMG752" s="574"/>
      <c r="NMH752" s="574"/>
      <c r="NMI752" s="574"/>
      <c r="NMJ752" s="574"/>
      <c r="NMK752" s="574"/>
      <c r="NML752" s="574"/>
      <c r="NMM752" s="574"/>
      <c r="NMN752" s="574"/>
      <c r="NMO752" s="574"/>
      <c r="NMP752" s="574"/>
      <c r="NMQ752" s="574"/>
      <c r="NMR752" s="574"/>
      <c r="NMS752" s="574"/>
      <c r="NMT752" s="574"/>
      <c r="NMU752" s="574"/>
      <c r="NMV752" s="574"/>
      <c r="NMW752" s="574"/>
      <c r="NMX752" s="574"/>
      <c r="NMY752" s="574"/>
      <c r="NMZ752" s="574"/>
      <c r="NNA752" s="574"/>
      <c r="NNB752" s="574"/>
      <c r="NNC752" s="574"/>
      <c r="NND752" s="574"/>
      <c r="NNE752" s="574"/>
      <c r="NNF752" s="574"/>
      <c r="NNG752" s="574"/>
      <c r="NNH752" s="574"/>
      <c r="NNI752" s="574"/>
      <c r="NNJ752" s="574"/>
      <c r="NNK752" s="574"/>
      <c r="NNL752" s="574"/>
      <c r="NNM752" s="574"/>
      <c r="NNN752" s="574"/>
      <c r="NNO752" s="574"/>
      <c r="NNP752" s="574"/>
      <c r="NNQ752" s="574"/>
      <c r="NNR752" s="574"/>
      <c r="NNS752" s="574"/>
      <c r="NNT752" s="574"/>
      <c r="NNU752" s="574"/>
      <c r="NNV752" s="574"/>
      <c r="NNW752" s="574"/>
      <c r="NNX752" s="574"/>
      <c r="NNY752" s="574"/>
      <c r="NNZ752" s="574"/>
      <c r="NOA752" s="574"/>
      <c r="NOB752" s="574"/>
      <c r="NOC752" s="574"/>
      <c r="NOD752" s="574"/>
      <c r="NOE752" s="574"/>
      <c r="NOF752" s="574"/>
      <c r="NOG752" s="574"/>
      <c r="NOH752" s="574"/>
      <c r="NOI752" s="574"/>
      <c r="NOJ752" s="574"/>
      <c r="NOK752" s="574"/>
      <c r="NOL752" s="574"/>
      <c r="NOM752" s="574"/>
      <c r="NON752" s="574"/>
      <c r="NOO752" s="574"/>
      <c r="NOP752" s="574"/>
      <c r="NOQ752" s="574"/>
      <c r="NOR752" s="574"/>
      <c r="NOS752" s="574"/>
      <c r="NOT752" s="574"/>
      <c r="NOU752" s="574"/>
      <c r="NOV752" s="574"/>
      <c r="NOW752" s="574"/>
      <c r="NOX752" s="574"/>
      <c r="NOY752" s="574"/>
      <c r="NOZ752" s="574"/>
      <c r="NPA752" s="574"/>
      <c r="NPB752" s="574"/>
      <c r="NPC752" s="574"/>
      <c r="NPD752" s="574"/>
      <c r="NPE752" s="574"/>
      <c r="NPF752" s="574"/>
      <c r="NPG752" s="574"/>
      <c r="NPH752" s="574"/>
      <c r="NPI752" s="574"/>
      <c r="NPJ752" s="574"/>
      <c r="NPK752" s="574"/>
      <c r="NPL752" s="574"/>
      <c r="NPM752" s="574"/>
      <c r="NPN752" s="574"/>
      <c r="NPO752" s="574"/>
      <c r="NPP752" s="574"/>
      <c r="NPQ752" s="574"/>
      <c r="NPR752" s="574"/>
      <c r="NPS752" s="574"/>
      <c r="NPT752" s="574"/>
      <c r="NPU752" s="574"/>
      <c r="NPV752" s="574"/>
      <c r="NPW752" s="574"/>
      <c r="NPX752" s="574"/>
      <c r="NPY752" s="574"/>
      <c r="NPZ752" s="574"/>
      <c r="NQA752" s="574"/>
      <c r="NQB752" s="574"/>
      <c r="NQC752" s="574"/>
      <c r="NQD752" s="574"/>
      <c r="NQE752" s="574"/>
      <c r="NQF752" s="574"/>
      <c r="NQG752" s="574"/>
      <c r="NQH752" s="574"/>
      <c r="NQI752" s="574"/>
      <c r="NQJ752" s="574"/>
      <c r="NQK752" s="574"/>
      <c r="NQL752" s="574"/>
      <c r="NQM752" s="574"/>
      <c r="NQN752" s="574"/>
      <c r="NQO752" s="574"/>
      <c r="NQP752" s="574"/>
      <c r="NQQ752" s="574"/>
      <c r="NQR752" s="574"/>
      <c r="NQS752" s="574"/>
      <c r="NQT752" s="574"/>
      <c r="NQU752" s="574"/>
      <c r="NQV752" s="574"/>
      <c r="NQW752" s="574"/>
      <c r="NQX752" s="574"/>
      <c r="NQY752" s="574"/>
      <c r="NQZ752" s="574"/>
      <c r="NRA752" s="574"/>
      <c r="NRB752" s="574"/>
      <c r="NRC752" s="574"/>
      <c r="NRD752" s="574"/>
      <c r="NRE752" s="574"/>
      <c r="NRF752" s="574"/>
      <c r="NRG752" s="574"/>
      <c r="NRH752" s="574"/>
      <c r="NRI752" s="574"/>
      <c r="NRJ752" s="574"/>
      <c r="NRK752" s="574"/>
      <c r="NRL752" s="574"/>
      <c r="NRM752" s="574"/>
      <c r="NRN752" s="574"/>
      <c r="NRO752" s="574"/>
      <c r="NRP752" s="574"/>
      <c r="NRQ752" s="574"/>
      <c r="NRR752" s="574"/>
      <c r="NRS752" s="574"/>
      <c r="NRT752" s="574"/>
      <c r="NRU752" s="574"/>
      <c r="NRV752" s="574"/>
      <c r="NRW752" s="574"/>
      <c r="NRX752" s="574"/>
      <c r="NRY752" s="574"/>
      <c r="NRZ752" s="574"/>
      <c r="NSA752" s="574"/>
      <c r="NSB752" s="574"/>
      <c r="NSC752" s="574"/>
      <c r="NSD752" s="574"/>
      <c r="NSE752" s="574"/>
      <c r="NSF752" s="574"/>
      <c r="NSG752" s="574"/>
      <c r="NSH752" s="574"/>
      <c r="NSI752" s="574"/>
      <c r="NSJ752" s="574"/>
      <c r="NSK752" s="574"/>
      <c r="NSL752" s="574"/>
      <c r="NSM752" s="574"/>
      <c r="NSN752" s="574"/>
      <c r="NSO752" s="574"/>
      <c r="NSP752" s="574"/>
      <c r="NSQ752" s="574"/>
      <c r="NSR752" s="574"/>
      <c r="NSS752" s="574"/>
      <c r="NST752" s="574"/>
      <c r="NSU752" s="574"/>
      <c r="NSV752" s="574"/>
      <c r="NSW752" s="574"/>
      <c r="NSX752" s="574"/>
      <c r="NSY752" s="574"/>
      <c r="NSZ752" s="574"/>
      <c r="NTA752" s="574"/>
      <c r="NTB752" s="574"/>
      <c r="NTC752" s="574"/>
      <c r="NTD752" s="574"/>
      <c r="NTE752" s="574"/>
      <c r="NTF752" s="574"/>
      <c r="NTG752" s="574"/>
      <c r="NTH752" s="574"/>
      <c r="NTI752" s="574"/>
      <c r="NTJ752" s="574"/>
      <c r="NTK752" s="574"/>
      <c r="NTL752" s="574"/>
      <c r="NTM752" s="574"/>
      <c r="NTN752" s="574"/>
      <c r="NTO752" s="574"/>
      <c r="NTP752" s="574"/>
      <c r="NTQ752" s="574"/>
      <c r="NTR752" s="574"/>
      <c r="NTS752" s="574"/>
      <c r="NTT752" s="574"/>
      <c r="NTU752" s="574"/>
      <c r="NTV752" s="574"/>
      <c r="NTW752" s="574"/>
      <c r="NTX752" s="574"/>
      <c r="NTY752" s="574"/>
      <c r="NTZ752" s="574"/>
      <c r="NUA752" s="574"/>
      <c r="NUB752" s="574"/>
      <c r="NUC752" s="574"/>
      <c r="NUD752" s="574"/>
      <c r="NUE752" s="574"/>
      <c r="NUF752" s="574"/>
      <c r="NUG752" s="574"/>
      <c r="NUH752" s="574"/>
      <c r="NUI752" s="574"/>
      <c r="NUJ752" s="574"/>
      <c r="NUK752" s="574"/>
      <c r="NUL752" s="574"/>
      <c r="NUM752" s="574"/>
      <c r="NUN752" s="574"/>
      <c r="NUO752" s="574"/>
      <c r="NUP752" s="574"/>
      <c r="NUQ752" s="574"/>
      <c r="NUR752" s="574"/>
      <c r="NUS752" s="574"/>
      <c r="NUT752" s="574"/>
      <c r="NUU752" s="574"/>
      <c r="NUV752" s="574"/>
      <c r="NUW752" s="574"/>
      <c r="NUX752" s="574"/>
      <c r="NUY752" s="574"/>
      <c r="NUZ752" s="574"/>
      <c r="NVA752" s="574"/>
      <c r="NVB752" s="574"/>
      <c r="NVC752" s="574"/>
      <c r="NVD752" s="574"/>
      <c r="NVE752" s="574"/>
      <c r="NVF752" s="574"/>
      <c r="NVG752" s="574"/>
      <c r="NVH752" s="574"/>
      <c r="NVI752" s="574"/>
      <c r="NVJ752" s="574"/>
      <c r="NVK752" s="574"/>
      <c r="NVL752" s="574"/>
      <c r="NVM752" s="574"/>
      <c r="NVN752" s="574"/>
      <c r="NVO752" s="574"/>
      <c r="NVP752" s="574"/>
      <c r="NVQ752" s="574"/>
      <c r="NVR752" s="574"/>
      <c r="NVS752" s="574"/>
      <c r="NVT752" s="574"/>
      <c r="NVU752" s="574"/>
      <c r="NVV752" s="574"/>
      <c r="NVW752" s="574"/>
      <c r="NVX752" s="574"/>
      <c r="NVY752" s="574"/>
      <c r="NVZ752" s="574"/>
      <c r="NWA752" s="574"/>
      <c r="NWB752" s="574"/>
      <c r="NWC752" s="574"/>
      <c r="NWD752" s="574"/>
      <c r="NWE752" s="574"/>
      <c r="NWF752" s="574"/>
      <c r="NWG752" s="574"/>
      <c r="NWH752" s="574"/>
      <c r="NWI752" s="574"/>
      <c r="NWJ752" s="574"/>
      <c r="NWK752" s="574"/>
      <c r="NWL752" s="574"/>
      <c r="NWM752" s="574"/>
      <c r="NWN752" s="574"/>
      <c r="NWO752" s="574"/>
      <c r="NWP752" s="574"/>
      <c r="NWQ752" s="574"/>
      <c r="NWR752" s="574"/>
      <c r="NWS752" s="574"/>
      <c r="NWT752" s="574"/>
      <c r="NWU752" s="574"/>
      <c r="NWV752" s="574"/>
      <c r="NWW752" s="574"/>
      <c r="NWX752" s="574"/>
      <c r="NWY752" s="574"/>
      <c r="NWZ752" s="574"/>
      <c r="NXA752" s="574"/>
      <c r="NXB752" s="574"/>
      <c r="NXC752" s="574"/>
      <c r="NXD752" s="574"/>
      <c r="NXE752" s="574"/>
      <c r="NXF752" s="574"/>
      <c r="NXG752" s="574"/>
      <c r="NXH752" s="574"/>
      <c r="NXI752" s="574"/>
      <c r="NXJ752" s="574"/>
      <c r="NXK752" s="574"/>
      <c r="NXL752" s="574"/>
      <c r="NXM752" s="574"/>
      <c r="NXN752" s="574"/>
      <c r="NXO752" s="574"/>
      <c r="NXP752" s="574"/>
      <c r="NXQ752" s="574"/>
      <c r="NXR752" s="574"/>
      <c r="NXS752" s="574"/>
      <c r="NXT752" s="574"/>
      <c r="NXU752" s="574"/>
      <c r="NXV752" s="574"/>
      <c r="NXW752" s="574"/>
      <c r="NXX752" s="574"/>
      <c r="NXY752" s="574"/>
      <c r="NXZ752" s="574"/>
      <c r="NYA752" s="574"/>
      <c r="NYB752" s="574"/>
      <c r="NYC752" s="574"/>
      <c r="NYD752" s="574"/>
      <c r="NYE752" s="574"/>
      <c r="NYF752" s="574"/>
      <c r="NYG752" s="574"/>
      <c r="NYH752" s="574"/>
      <c r="NYI752" s="574"/>
      <c r="NYJ752" s="574"/>
      <c r="NYK752" s="574"/>
      <c r="NYL752" s="574"/>
      <c r="NYM752" s="574"/>
      <c r="NYN752" s="574"/>
      <c r="NYO752" s="574"/>
      <c r="NYP752" s="574"/>
      <c r="NYQ752" s="574"/>
      <c r="NYR752" s="574"/>
      <c r="NYS752" s="574"/>
      <c r="NYT752" s="574"/>
      <c r="NYU752" s="574"/>
      <c r="NYV752" s="574"/>
      <c r="NYW752" s="574"/>
      <c r="NYX752" s="574"/>
      <c r="NYY752" s="574"/>
      <c r="NYZ752" s="574"/>
      <c r="NZA752" s="574"/>
      <c r="NZB752" s="574"/>
      <c r="NZC752" s="574"/>
      <c r="NZD752" s="574"/>
      <c r="NZE752" s="574"/>
      <c r="NZF752" s="574"/>
      <c r="NZG752" s="574"/>
      <c r="NZH752" s="574"/>
      <c r="NZI752" s="574"/>
      <c r="NZJ752" s="574"/>
      <c r="NZK752" s="574"/>
      <c r="NZL752" s="574"/>
      <c r="NZM752" s="574"/>
      <c r="NZN752" s="574"/>
      <c r="NZO752" s="574"/>
      <c r="NZP752" s="574"/>
      <c r="NZQ752" s="574"/>
      <c r="NZR752" s="574"/>
      <c r="NZS752" s="574"/>
      <c r="NZT752" s="574"/>
      <c r="NZU752" s="574"/>
      <c r="NZV752" s="574"/>
      <c r="NZW752" s="574"/>
      <c r="NZX752" s="574"/>
      <c r="NZY752" s="574"/>
      <c r="NZZ752" s="574"/>
      <c r="OAA752" s="574"/>
      <c r="OAB752" s="574"/>
      <c r="OAC752" s="574"/>
      <c r="OAD752" s="574"/>
      <c r="OAE752" s="574"/>
      <c r="OAF752" s="574"/>
      <c r="OAG752" s="574"/>
      <c r="OAH752" s="574"/>
      <c r="OAI752" s="574"/>
      <c r="OAJ752" s="574"/>
      <c r="OAK752" s="574"/>
      <c r="OAL752" s="574"/>
      <c r="OAM752" s="574"/>
      <c r="OAN752" s="574"/>
      <c r="OAO752" s="574"/>
      <c r="OAP752" s="574"/>
      <c r="OAQ752" s="574"/>
      <c r="OAR752" s="574"/>
      <c r="OAS752" s="574"/>
      <c r="OAT752" s="574"/>
      <c r="OAU752" s="574"/>
      <c r="OAV752" s="574"/>
      <c r="OAW752" s="574"/>
      <c r="OAX752" s="574"/>
      <c r="OAY752" s="574"/>
      <c r="OAZ752" s="574"/>
      <c r="OBA752" s="574"/>
      <c r="OBB752" s="574"/>
      <c r="OBC752" s="574"/>
      <c r="OBD752" s="574"/>
      <c r="OBE752" s="574"/>
      <c r="OBF752" s="574"/>
      <c r="OBG752" s="574"/>
      <c r="OBH752" s="574"/>
      <c r="OBI752" s="574"/>
      <c r="OBJ752" s="574"/>
      <c r="OBK752" s="574"/>
      <c r="OBL752" s="574"/>
      <c r="OBM752" s="574"/>
      <c r="OBN752" s="574"/>
      <c r="OBO752" s="574"/>
      <c r="OBP752" s="574"/>
      <c r="OBQ752" s="574"/>
      <c r="OBR752" s="574"/>
      <c r="OBS752" s="574"/>
      <c r="OBT752" s="574"/>
      <c r="OBU752" s="574"/>
      <c r="OBV752" s="574"/>
      <c r="OBW752" s="574"/>
      <c r="OBX752" s="574"/>
      <c r="OBY752" s="574"/>
      <c r="OBZ752" s="574"/>
      <c r="OCA752" s="574"/>
      <c r="OCB752" s="574"/>
      <c r="OCC752" s="574"/>
      <c r="OCD752" s="574"/>
      <c r="OCE752" s="574"/>
      <c r="OCF752" s="574"/>
      <c r="OCG752" s="574"/>
      <c r="OCH752" s="574"/>
      <c r="OCI752" s="574"/>
      <c r="OCJ752" s="574"/>
      <c r="OCK752" s="574"/>
      <c r="OCL752" s="574"/>
      <c r="OCM752" s="574"/>
      <c r="OCN752" s="574"/>
      <c r="OCO752" s="574"/>
      <c r="OCP752" s="574"/>
      <c r="OCQ752" s="574"/>
      <c r="OCR752" s="574"/>
      <c r="OCS752" s="574"/>
      <c r="OCT752" s="574"/>
      <c r="OCU752" s="574"/>
      <c r="OCV752" s="574"/>
      <c r="OCW752" s="574"/>
      <c r="OCX752" s="574"/>
      <c r="OCY752" s="574"/>
      <c r="OCZ752" s="574"/>
      <c r="ODA752" s="574"/>
      <c r="ODB752" s="574"/>
      <c r="ODC752" s="574"/>
      <c r="ODD752" s="574"/>
      <c r="ODE752" s="574"/>
      <c r="ODF752" s="574"/>
      <c r="ODG752" s="574"/>
      <c r="ODH752" s="574"/>
      <c r="ODI752" s="574"/>
      <c r="ODJ752" s="574"/>
      <c r="ODK752" s="574"/>
      <c r="ODL752" s="574"/>
      <c r="ODM752" s="574"/>
      <c r="ODN752" s="574"/>
      <c r="ODO752" s="574"/>
      <c r="ODP752" s="574"/>
      <c r="ODQ752" s="574"/>
      <c r="ODR752" s="574"/>
      <c r="ODS752" s="574"/>
      <c r="ODT752" s="574"/>
      <c r="ODU752" s="574"/>
      <c r="ODV752" s="574"/>
      <c r="ODW752" s="574"/>
      <c r="ODX752" s="574"/>
      <c r="ODY752" s="574"/>
      <c r="ODZ752" s="574"/>
      <c r="OEA752" s="574"/>
      <c r="OEB752" s="574"/>
      <c r="OEC752" s="574"/>
      <c r="OED752" s="574"/>
      <c r="OEE752" s="574"/>
      <c r="OEF752" s="574"/>
      <c r="OEG752" s="574"/>
      <c r="OEH752" s="574"/>
      <c r="OEI752" s="574"/>
      <c r="OEJ752" s="574"/>
      <c r="OEK752" s="574"/>
      <c r="OEL752" s="574"/>
      <c r="OEM752" s="574"/>
      <c r="OEN752" s="574"/>
      <c r="OEO752" s="574"/>
      <c r="OEP752" s="574"/>
      <c r="OEQ752" s="574"/>
      <c r="OER752" s="574"/>
      <c r="OES752" s="574"/>
      <c r="OET752" s="574"/>
      <c r="OEU752" s="574"/>
      <c r="OEV752" s="574"/>
      <c r="OEW752" s="574"/>
      <c r="OEX752" s="574"/>
      <c r="OEY752" s="574"/>
      <c r="OEZ752" s="574"/>
      <c r="OFA752" s="574"/>
      <c r="OFB752" s="574"/>
      <c r="OFC752" s="574"/>
      <c r="OFD752" s="574"/>
      <c r="OFE752" s="574"/>
      <c r="OFF752" s="574"/>
      <c r="OFG752" s="574"/>
      <c r="OFH752" s="574"/>
      <c r="OFI752" s="574"/>
      <c r="OFJ752" s="574"/>
      <c r="OFK752" s="574"/>
      <c r="OFL752" s="574"/>
      <c r="OFM752" s="574"/>
      <c r="OFN752" s="574"/>
      <c r="OFO752" s="574"/>
      <c r="OFP752" s="574"/>
      <c r="OFQ752" s="574"/>
      <c r="OFR752" s="574"/>
      <c r="OFS752" s="574"/>
      <c r="OFT752" s="574"/>
      <c r="OFU752" s="574"/>
      <c r="OFV752" s="574"/>
      <c r="OFW752" s="574"/>
      <c r="OFX752" s="574"/>
      <c r="OFY752" s="574"/>
      <c r="OFZ752" s="574"/>
      <c r="OGA752" s="574"/>
      <c r="OGB752" s="574"/>
      <c r="OGC752" s="574"/>
      <c r="OGD752" s="574"/>
      <c r="OGE752" s="574"/>
      <c r="OGF752" s="574"/>
      <c r="OGG752" s="574"/>
      <c r="OGH752" s="574"/>
      <c r="OGI752" s="574"/>
      <c r="OGJ752" s="574"/>
      <c r="OGK752" s="574"/>
      <c r="OGL752" s="574"/>
      <c r="OGM752" s="574"/>
      <c r="OGN752" s="574"/>
      <c r="OGO752" s="574"/>
      <c r="OGP752" s="574"/>
      <c r="OGQ752" s="574"/>
      <c r="OGR752" s="574"/>
      <c r="OGS752" s="574"/>
      <c r="OGT752" s="574"/>
      <c r="OGU752" s="574"/>
      <c r="OGV752" s="574"/>
      <c r="OGW752" s="574"/>
      <c r="OGX752" s="574"/>
      <c r="OGY752" s="574"/>
      <c r="OGZ752" s="574"/>
      <c r="OHA752" s="574"/>
      <c r="OHB752" s="574"/>
      <c r="OHC752" s="574"/>
      <c r="OHD752" s="574"/>
      <c r="OHE752" s="574"/>
      <c r="OHF752" s="574"/>
      <c r="OHG752" s="574"/>
      <c r="OHH752" s="574"/>
      <c r="OHI752" s="574"/>
      <c r="OHJ752" s="574"/>
      <c r="OHK752" s="574"/>
      <c r="OHL752" s="574"/>
      <c r="OHM752" s="574"/>
      <c r="OHN752" s="574"/>
      <c r="OHO752" s="574"/>
      <c r="OHP752" s="574"/>
      <c r="OHQ752" s="574"/>
      <c r="OHR752" s="574"/>
      <c r="OHS752" s="574"/>
      <c r="OHT752" s="574"/>
      <c r="OHU752" s="574"/>
      <c r="OHV752" s="574"/>
      <c r="OHW752" s="574"/>
      <c r="OHX752" s="574"/>
      <c r="OHY752" s="574"/>
      <c r="OHZ752" s="574"/>
      <c r="OIA752" s="574"/>
      <c r="OIB752" s="574"/>
      <c r="OIC752" s="574"/>
      <c r="OID752" s="574"/>
      <c r="OIE752" s="574"/>
      <c r="OIF752" s="574"/>
      <c r="OIG752" s="574"/>
      <c r="OIH752" s="574"/>
      <c r="OII752" s="574"/>
      <c r="OIJ752" s="574"/>
      <c r="OIK752" s="574"/>
      <c r="OIL752" s="574"/>
      <c r="OIM752" s="574"/>
      <c r="OIN752" s="574"/>
      <c r="OIO752" s="574"/>
      <c r="OIP752" s="574"/>
      <c r="OIQ752" s="574"/>
      <c r="OIR752" s="574"/>
      <c r="OIS752" s="574"/>
      <c r="OIT752" s="574"/>
      <c r="OIU752" s="574"/>
      <c r="OIV752" s="574"/>
      <c r="OIW752" s="574"/>
      <c r="OIX752" s="574"/>
      <c r="OIY752" s="574"/>
      <c r="OIZ752" s="574"/>
      <c r="OJA752" s="574"/>
      <c r="OJB752" s="574"/>
      <c r="OJC752" s="574"/>
      <c r="OJD752" s="574"/>
      <c r="OJE752" s="574"/>
      <c r="OJF752" s="574"/>
      <c r="OJG752" s="574"/>
      <c r="OJH752" s="574"/>
      <c r="OJI752" s="574"/>
      <c r="OJJ752" s="574"/>
      <c r="OJK752" s="574"/>
      <c r="OJL752" s="574"/>
      <c r="OJM752" s="574"/>
      <c r="OJN752" s="574"/>
      <c r="OJO752" s="574"/>
      <c r="OJP752" s="574"/>
      <c r="OJQ752" s="574"/>
      <c r="OJR752" s="574"/>
      <c r="OJS752" s="574"/>
      <c r="OJT752" s="574"/>
      <c r="OJU752" s="574"/>
      <c r="OJV752" s="574"/>
      <c r="OJW752" s="574"/>
      <c r="OJX752" s="574"/>
      <c r="OJY752" s="574"/>
      <c r="OJZ752" s="574"/>
      <c r="OKA752" s="574"/>
      <c r="OKB752" s="574"/>
      <c r="OKC752" s="574"/>
      <c r="OKD752" s="574"/>
      <c r="OKE752" s="574"/>
      <c r="OKF752" s="574"/>
      <c r="OKG752" s="574"/>
      <c r="OKH752" s="574"/>
      <c r="OKI752" s="574"/>
      <c r="OKJ752" s="574"/>
      <c r="OKK752" s="574"/>
      <c r="OKL752" s="574"/>
      <c r="OKM752" s="574"/>
      <c r="OKN752" s="574"/>
      <c r="OKO752" s="574"/>
      <c r="OKP752" s="574"/>
      <c r="OKQ752" s="574"/>
      <c r="OKR752" s="574"/>
      <c r="OKS752" s="574"/>
      <c r="OKT752" s="574"/>
      <c r="OKU752" s="574"/>
      <c r="OKV752" s="574"/>
      <c r="OKW752" s="574"/>
      <c r="OKX752" s="574"/>
      <c r="OKY752" s="574"/>
      <c r="OKZ752" s="574"/>
      <c r="OLA752" s="574"/>
      <c r="OLB752" s="574"/>
      <c r="OLC752" s="574"/>
      <c r="OLD752" s="574"/>
      <c r="OLE752" s="574"/>
      <c r="OLF752" s="574"/>
      <c r="OLG752" s="574"/>
      <c r="OLH752" s="574"/>
      <c r="OLI752" s="574"/>
      <c r="OLJ752" s="574"/>
      <c r="OLK752" s="574"/>
      <c r="OLL752" s="574"/>
      <c r="OLM752" s="574"/>
      <c r="OLN752" s="574"/>
      <c r="OLO752" s="574"/>
      <c r="OLP752" s="574"/>
      <c r="OLQ752" s="574"/>
      <c r="OLR752" s="574"/>
      <c r="OLS752" s="574"/>
      <c r="OLT752" s="574"/>
      <c r="OLU752" s="574"/>
      <c r="OLV752" s="574"/>
      <c r="OLW752" s="574"/>
      <c r="OLX752" s="574"/>
      <c r="OLY752" s="574"/>
      <c r="OLZ752" s="574"/>
      <c r="OMA752" s="574"/>
      <c r="OMB752" s="574"/>
      <c r="OMC752" s="574"/>
      <c r="OMD752" s="574"/>
      <c r="OME752" s="574"/>
      <c r="OMF752" s="574"/>
      <c r="OMG752" s="574"/>
      <c r="OMH752" s="574"/>
      <c r="OMI752" s="574"/>
      <c r="OMJ752" s="574"/>
      <c r="OMK752" s="574"/>
      <c r="OML752" s="574"/>
      <c r="OMM752" s="574"/>
      <c r="OMN752" s="574"/>
      <c r="OMO752" s="574"/>
      <c r="OMP752" s="574"/>
      <c r="OMQ752" s="574"/>
      <c r="OMR752" s="574"/>
      <c r="OMS752" s="574"/>
      <c r="OMT752" s="574"/>
      <c r="OMU752" s="574"/>
      <c r="OMV752" s="574"/>
      <c r="OMW752" s="574"/>
      <c r="OMX752" s="574"/>
      <c r="OMY752" s="574"/>
      <c r="OMZ752" s="574"/>
      <c r="ONA752" s="574"/>
      <c r="ONB752" s="574"/>
      <c r="ONC752" s="574"/>
      <c r="OND752" s="574"/>
      <c r="ONE752" s="574"/>
      <c r="ONF752" s="574"/>
      <c r="ONG752" s="574"/>
      <c r="ONH752" s="574"/>
      <c r="ONI752" s="574"/>
      <c r="ONJ752" s="574"/>
      <c r="ONK752" s="574"/>
      <c r="ONL752" s="574"/>
      <c r="ONM752" s="574"/>
      <c r="ONN752" s="574"/>
      <c r="ONO752" s="574"/>
      <c r="ONP752" s="574"/>
      <c r="ONQ752" s="574"/>
      <c r="ONR752" s="574"/>
      <c r="ONS752" s="574"/>
      <c r="ONT752" s="574"/>
      <c r="ONU752" s="574"/>
      <c r="ONV752" s="574"/>
      <c r="ONW752" s="574"/>
      <c r="ONX752" s="574"/>
      <c r="ONY752" s="574"/>
      <c r="ONZ752" s="574"/>
      <c r="OOA752" s="574"/>
      <c r="OOB752" s="574"/>
      <c r="OOC752" s="574"/>
      <c r="OOD752" s="574"/>
      <c r="OOE752" s="574"/>
      <c r="OOF752" s="574"/>
      <c r="OOG752" s="574"/>
      <c r="OOH752" s="574"/>
      <c r="OOI752" s="574"/>
      <c r="OOJ752" s="574"/>
      <c r="OOK752" s="574"/>
      <c r="OOL752" s="574"/>
      <c r="OOM752" s="574"/>
      <c r="OON752" s="574"/>
      <c r="OOO752" s="574"/>
      <c r="OOP752" s="574"/>
      <c r="OOQ752" s="574"/>
      <c r="OOR752" s="574"/>
      <c r="OOS752" s="574"/>
      <c r="OOT752" s="574"/>
      <c r="OOU752" s="574"/>
      <c r="OOV752" s="574"/>
      <c r="OOW752" s="574"/>
      <c r="OOX752" s="574"/>
      <c r="OOY752" s="574"/>
      <c r="OOZ752" s="574"/>
      <c r="OPA752" s="574"/>
      <c r="OPB752" s="574"/>
      <c r="OPC752" s="574"/>
      <c r="OPD752" s="574"/>
      <c r="OPE752" s="574"/>
      <c r="OPF752" s="574"/>
      <c r="OPG752" s="574"/>
      <c r="OPH752" s="574"/>
      <c r="OPI752" s="574"/>
      <c r="OPJ752" s="574"/>
      <c r="OPK752" s="574"/>
      <c r="OPL752" s="574"/>
      <c r="OPM752" s="574"/>
      <c r="OPN752" s="574"/>
      <c r="OPO752" s="574"/>
      <c r="OPP752" s="574"/>
      <c r="OPQ752" s="574"/>
      <c r="OPR752" s="574"/>
      <c r="OPS752" s="574"/>
      <c r="OPT752" s="574"/>
      <c r="OPU752" s="574"/>
      <c r="OPV752" s="574"/>
      <c r="OPW752" s="574"/>
      <c r="OPX752" s="574"/>
      <c r="OPY752" s="574"/>
      <c r="OPZ752" s="574"/>
      <c r="OQA752" s="574"/>
      <c r="OQB752" s="574"/>
      <c r="OQC752" s="574"/>
      <c r="OQD752" s="574"/>
      <c r="OQE752" s="574"/>
      <c r="OQF752" s="574"/>
      <c r="OQG752" s="574"/>
      <c r="OQH752" s="574"/>
      <c r="OQI752" s="574"/>
      <c r="OQJ752" s="574"/>
      <c r="OQK752" s="574"/>
      <c r="OQL752" s="574"/>
      <c r="OQM752" s="574"/>
      <c r="OQN752" s="574"/>
      <c r="OQO752" s="574"/>
      <c r="OQP752" s="574"/>
      <c r="OQQ752" s="574"/>
      <c r="OQR752" s="574"/>
      <c r="OQS752" s="574"/>
      <c r="OQT752" s="574"/>
      <c r="OQU752" s="574"/>
      <c r="OQV752" s="574"/>
      <c r="OQW752" s="574"/>
      <c r="OQX752" s="574"/>
      <c r="OQY752" s="574"/>
      <c r="OQZ752" s="574"/>
      <c r="ORA752" s="574"/>
      <c r="ORB752" s="574"/>
      <c r="ORC752" s="574"/>
      <c r="ORD752" s="574"/>
      <c r="ORE752" s="574"/>
      <c r="ORF752" s="574"/>
      <c r="ORG752" s="574"/>
      <c r="ORH752" s="574"/>
      <c r="ORI752" s="574"/>
      <c r="ORJ752" s="574"/>
      <c r="ORK752" s="574"/>
      <c r="ORL752" s="574"/>
      <c r="ORM752" s="574"/>
      <c r="ORN752" s="574"/>
      <c r="ORO752" s="574"/>
      <c r="ORP752" s="574"/>
      <c r="ORQ752" s="574"/>
      <c r="ORR752" s="574"/>
      <c r="ORS752" s="574"/>
      <c r="ORT752" s="574"/>
      <c r="ORU752" s="574"/>
      <c r="ORV752" s="574"/>
      <c r="ORW752" s="574"/>
      <c r="ORX752" s="574"/>
      <c r="ORY752" s="574"/>
      <c r="ORZ752" s="574"/>
      <c r="OSA752" s="574"/>
      <c r="OSB752" s="574"/>
      <c r="OSC752" s="574"/>
      <c r="OSD752" s="574"/>
      <c r="OSE752" s="574"/>
      <c r="OSF752" s="574"/>
      <c r="OSG752" s="574"/>
      <c r="OSH752" s="574"/>
      <c r="OSI752" s="574"/>
      <c r="OSJ752" s="574"/>
      <c r="OSK752" s="574"/>
      <c r="OSL752" s="574"/>
      <c r="OSM752" s="574"/>
      <c r="OSN752" s="574"/>
      <c r="OSO752" s="574"/>
      <c r="OSP752" s="574"/>
      <c r="OSQ752" s="574"/>
      <c r="OSR752" s="574"/>
      <c r="OSS752" s="574"/>
      <c r="OST752" s="574"/>
      <c r="OSU752" s="574"/>
      <c r="OSV752" s="574"/>
      <c r="OSW752" s="574"/>
      <c r="OSX752" s="574"/>
      <c r="OSY752" s="574"/>
      <c r="OSZ752" s="574"/>
      <c r="OTA752" s="574"/>
      <c r="OTB752" s="574"/>
      <c r="OTC752" s="574"/>
      <c r="OTD752" s="574"/>
      <c r="OTE752" s="574"/>
      <c r="OTF752" s="574"/>
      <c r="OTG752" s="574"/>
      <c r="OTH752" s="574"/>
      <c r="OTI752" s="574"/>
      <c r="OTJ752" s="574"/>
      <c r="OTK752" s="574"/>
      <c r="OTL752" s="574"/>
      <c r="OTM752" s="574"/>
      <c r="OTN752" s="574"/>
      <c r="OTO752" s="574"/>
      <c r="OTP752" s="574"/>
      <c r="OTQ752" s="574"/>
      <c r="OTR752" s="574"/>
      <c r="OTS752" s="574"/>
      <c r="OTT752" s="574"/>
      <c r="OTU752" s="574"/>
      <c r="OTV752" s="574"/>
      <c r="OTW752" s="574"/>
      <c r="OTX752" s="574"/>
      <c r="OTY752" s="574"/>
      <c r="OTZ752" s="574"/>
      <c r="OUA752" s="574"/>
      <c r="OUB752" s="574"/>
      <c r="OUC752" s="574"/>
      <c r="OUD752" s="574"/>
      <c r="OUE752" s="574"/>
      <c r="OUF752" s="574"/>
      <c r="OUG752" s="574"/>
      <c r="OUH752" s="574"/>
      <c r="OUI752" s="574"/>
      <c r="OUJ752" s="574"/>
      <c r="OUK752" s="574"/>
      <c r="OUL752" s="574"/>
      <c r="OUM752" s="574"/>
      <c r="OUN752" s="574"/>
      <c r="OUO752" s="574"/>
      <c r="OUP752" s="574"/>
      <c r="OUQ752" s="574"/>
      <c r="OUR752" s="574"/>
      <c r="OUS752" s="574"/>
      <c r="OUT752" s="574"/>
      <c r="OUU752" s="574"/>
      <c r="OUV752" s="574"/>
      <c r="OUW752" s="574"/>
      <c r="OUX752" s="574"/>
      <c r="OUY752" s="574"/>
      <c r="OUZ752" s="574"/>
      <c r="OVA752" s="574"/>
      <c r="OVB752" s="574"/>
      <c r="OVC752" s="574"/>
      <c r="OVD752" s="574"/>
      <c r="OVE752" s="574"/>
      <c r="OVF752" s="574"/>
      <c r="OVG752" s="574"/>
      <c r="OVH752" s="574"/>
      <c r="OVI752" s="574"/>
      <c r="OVJ752" s="574"/>
      <c r="OVK752" s="574"/>
      <c r="OVL752" s="574"/>
      <c r="OVM752" s="574"/>
      <c r="OVN752" s="574"/>
      <c r="OVO752" s="574"/>
      <c r="OVP752" s="574"/>
      <c r="OVQ752" s="574"/>
      <c r="OVR752" s="574"/>
      <c r="OVS752" s="574"/>
      <c r="OVT752" s="574"/>
      <c r="OVU752" s="574"/>
      <c r="OVV752" s="574"/>
      <c r="OVW752" s="574"/>
      <c r="OVX752" s="574"/>
      <c r="OVY752" s="574"/>
      <c r="OVZ752" s="574"/>
      <c r="OWA752" s="574"/>
      <c r="OWB752" s="574"/>
      <c r="OWC752" s="574"/>
      <c r="OWD752" s="574"/>
      <c r="OWE752" s="574"/>
      <c r="OWF752" s="574"/>
      <c r="OWG752" s="574"/>
      <c r="OWH752" s="574"/>
      <c r="OWI752" s="574"/>
      <c r="OWJ752" s="574"/>
      <c r="OWK752" s="574"/>
      <c r="OWL752" s="574"/>
      <c r="OWM752" s="574"/>
      <c r="OWN752" s="574"/>
      <c r="OWO752" s="574"/>
      <c r="OWP752" s="574"/>
      <c r="OWQ752" s="574"/>
      <c r="OWR752" s="574"/>
      <c r="OWS752" s="574"/>
      <c r="OWT752" s="574"/>
      <c r="OWU752" s="574"/>
      <c r="OWV752" s="574"/>
      <c r="OWW752" s="574"/>
      <c r="OWX752" s="574"/>
      <c r="OWY752" s="574"/>
      <c r="OWZ752" s="574"/>
      <c r="OXA752" s="574"/>
      <c r="OXB752" s="574"/>
      <c r="OXC752" s="574"/>
      <c r="OXD752" s="574"/>
      <c r="OXE752" s="574"/>
      <c r="OXF752" s="574"/>
      <c r="OXG752" s="574"/>
      <c r="OXH752" s="574"/>
      <c r="OXI752" s="574"/>
      <c r="OXJ752" s="574"/>
      <c r="OXK752" s="574"/>
      <c r="OXL752" s="574"/>
      <c r="OXM752" s="574"/>
      <c r="OXN752" s="574"/>
      <c r="OXO752" s="574"/>
      <c r="OXP752" s="574"/>
      <c r="OXQ752" s="574"/>
      <c r="OXR752" s="574"/>
      <c r="OXS752" s="574"/>
      <c r="OXT752" s="574"/>
      <c r="OXU752" s="574"/>
      <c r="OXV752" s="574"/>
      <c r="OXW752" s="574"/>
      <c r="OXX752" s="574"/>
      <c r="OXY752" s="574"/>
      <c r="OXZ752" s="574"/>
      <c r="OYA752" s="574"/>
      <c r="OYB752" s="574"/>
      <c r="OYC752" s="574"/>
      <c r="OYD752" s="574"/>
      <c r="OYE752" s="574"/>
      <c r="OYF752" s="574"/>
      <c r="OYG752" s="574"/>
      <c r="OYH752" s="574"/>
      <c r="OYI752" s="574"/>
      <c r="OYJ752" s="574"/>
      <c r="OYK752" s="574"/>
      <c r="OYL752" s="574"/>
      <c r="OYM752" s="574"/>
      <c r="OYN752" s="574"/>
      <c r="OYO752" s="574"/>
      <c r="OYP752" s="574"/>
      <c r="OYQ752" s="574"/>
      <c r="OYR752" s="574"/>
      <c r="OYS752" s="574"/>
      <c r="OYT752" s="574"/>
      <c r="OYU752" s="574"/>
      <c r="OYV752" s="574"/>
      <c r="OYW752" s="574"/>
      <c r="OYX752" s="574"/>
      <c r="OYY752" s="574"/>
      <c r="OYZ752" s="574"/>
      <c r="OZA752" s="574"/>
      <c r="OZB752" s="574"/>
      <c r="OZC752" s="574"/>
      <c r="OZD752" s="574"/>
      <c r="OZE752" s="574"/>
      <c r="OZF752" s="574"/>
      <c r="OZG752" s="574"/>
      <c r="OZH752" s="574"/>
      <c r="OZI752" s="574"/>
      <c r="OZJ752" s="574"/>
      <c r="OZK752" s="574"/>
      <c r="OZL752" s="574"/>
      <c r="OZM752" s="574"/>
      <c r="OZN752" s="574"/>
      <c r="OZO752" s="574"/>
      <c r="OZP752" s="574"/>
      <c r="OZQ752" s="574"/>
      <c r="OZR752" s="574"/>
      <c r="OZS752" s="574"/>
      <c r="OZT752" s="574"/>
      <c r="OZU752" s="574"/>
      <c r="OZV752" s="574"/>
      <c r="OZW752" s="574"/>
      <c r="OZX752" s="574"/>
      <c r="OZY752" s="574"/>
      <c r="OZZ752" s="574"/>
      <c r="PAA752" s="574"/>
      <c r="PAB752" s="574"/>
      <c r="PAC752" s="574"/>
      <c r="PAD752" s="574"/>
      <c r="PAE752" s="574"/>
      <c r="PAF752" s="574"/>
      <c r="PAG752" s="574"/>
      <c r="PAH752" s="574"/>
      <c r="PAI752" s="574"/>
      <c r="PAJ752" s="574"/>
      <c r="PAK752" s="574"/>
      <c r="PAL752" s="574"/>
      <c r="PAM752" s="574"/>
      <c r="PAN752" s="574"/>
      <c r="PAO752" s="574"/>
      <c r="PAP752" s="574"/>
      <c r="PAQ752" s="574"/>
      <c r="PAR752" s="574"/>
      <c r="PAS752" s="574"/>
      <c r="PAT752" s="574"/>
      <c r="PAU752" s="574"/>
      <c r="PAV752" s="574"/>
      <c r="PAW752" s="574"/>
      <c r="PAX752" s="574"/>
      <c r="PAY752" s="574"/>
      <c r="PAZ752" s="574"/>
      <c r="PBA752" s="574"/>
      <c r="PBB752" s="574"/>
      <c r="PBC752" s="574"/>
      <c r="PBD752" s="574"/>
      <c r="PBE752" s="574"/>
      <c r="PBF752" s="574"/>
      <c r="PBG752" s="574"/>
      <c r="PBH752" s="574"/>
      <c r="PBI752" s="574"/>
      <c r="PBJ752" s="574"/>
      <c r="PBK752" s="574"/>
      <c r="PBL752" s="574"/>
      <c r="PBM752" s="574"/>
      <c r="PBN752" s="574"/>
      <c r="PBO752" s="574"/>
      <c r="PBP752" s="574"/>
      <c r="PBQ752" s="574"/>
      <c r="PBR752" s="574"/>
      <c r="PBS752" s="574"/>
      <c r="PBT752" s="574"/>
      <c r="PBU752" s="574"/>
      <c r="PBV752" s="574"/>
      <c r="PBW752" s="574"/>
      <c r="PBX752" s="574"/>
      <c r="PBY752" s="574"/>
      <c r="PBZ752" s="574"/>
      <c r="PCA752" s="574"/>
      <c r="PCB752" s="574"/>
      <c r="PCC752" s="574"/>
      <c r="PCD752" s="574"/>
      <c r="PCE752" s="574"/>
      <c r="PCF752" s="574"/>
      <c r="PCG752" s="574"/>
      <c r="PCH752" s="574"/>
      <c r="PCI752" s="574"/>
      <c r="PCJ752" s="574"/>
      <c r="PCK752" s="574"/>
      <c r="PCL752" s="574"/>
      <c r="PCM752" s="574"/>
      <c r="PCN752" s="574"/>
      <c r="PCO752" s="574"/>
      <c r="PCP752" s="574"/>
      <c r="PCQ752" s="574"/>
      <c r="PCR752" s="574"/>
      <c r="PCS752" s="574"/>
      <c r="PCT752" s="574"/>
      <c r="PCU752" s="574"/>
      <c r="PCV752" s="574"/>
      <c r="PCW752" s="574"/>
      <c r="PCX752" s="574"/>
      <c r="PCY752" s="574"/>
      <c r="PCZ752" s="574"/>
      <c r="PDA752" s="574"/>
      <c r="PDB752" s="574"/>
      <c r="PDC752" s="574"/>
      <c r="PDD752" s="574"/>
      <c r="PDE752" s="574"/>
      <c r="PDF752" s="574"/>
      <c r="PDG752" s="574"/>
      <c r="PDH752" s="574"/>
      <c r="PDI752" s="574"/>
      <c r="PDJ752" s="574"/>
      <c r="PDK752" s="574"/>
      <c r="PDL752" s="574"/>
      <c r="PDM752" s="574"/>
      <c r="PDN752" s="574"/>
      <c r="PDO752" s="574"/>
      <c r="PDP752" s="574"/>
      <c r="PDQ752" s="574"/>
      <c r="PDR752" s="574"/>
      <c r="PDS752" s="574"/>
      <c r="PDT752" s="574"/>
      <c r="PDU752" s="574"/>
      <c r="PDV752" s="574"/>
      <c r="PDW752" s="574"/>
      <c r="PDX752" s="574"/>
      <c r="PDY752" s="574"/>
      <c r="PDZ752" s="574"/>
      <c r="PEA752" s="574"/>
      <c r="PEB752" s="574"/>
      <c r="PEC752" s="574"/>
      <c r="PED752" s="574"/>
      <c r="PEE752" s="574"/>
      <c r="PEF752" s="574"/>
      <c r="PEG752" s="574"/>
      <c r="PEH752" s="574"/>
      <c r="PEI752" s="574"/>
      <c r="PEJ752" s="574"/>
      <c r="PEK752" s="574"/>
      <c r="PEL752" s="574"/>
      <c r="PEM752" s="574"/>
      <c r="PEN752" s="574"/>
      <c r="PEO752" s="574"/>
      <c r="PEP752" s="574"/>
      <c r="PEQ752" s="574"/>
      <c r="PER752" s="574"/>
      <c r="PES752" s="574"/>
      <c r="PET752" s="574"/>
      <c r="PEU752" s="574"/>
      <c r="PEV752" s="574"/>
      <c r="PEW752" s="574"/>
      <c r="PEX752" s="574"/>
      <c r="PEY752" s="574"/>
      <c r="PEZ752" s="574"/>
      <c r="PFA752" s="574"/>
      <c r="PFB752" s="574"/>
      <c r="PFC752" s="574"/>
      <c r="PFD752" s="574"/>
      <c r="PFE752" s="574"/>
      <c r="PFF752" s="574"/>
      <c r="PFG752" s="574"/>
      <c r="PFH752" s="574"/>
      <c r="PFI752" s="574"/>
      <c r="PFJ752" s="574"/>
      <c r="PFK752" s="574"/>
      <c r="PFL752" s="574"/>
      <c r="PFM752" s="574"/>
      <c r="PFN752" s="574"/>
      <c r="PFO752" s="574"/>
      <c r="PFP752" s="574"/>
      <c r="PFQ752" s="574"/>
      <c r="PFR752" s="574"/>
      <c r="PFS752" s="574"/>
      <c r="PFT752" s="574"/>
      <c r="PFU752" s="574"/>
      <c r="PFV752" s="574"/>
      <c r="PFW752" s="574"/>
      <c r="PFX752" s="574"/>
      <c r="PFY752" s="574"/>
      <c r="PFZ752" s="574"/>
      <c r="PGA752" s="574"/>
      <c r="PGB752" s="574"/>
      <c r="PGC752" s="574"/>
      <c r="PGD752" s="574"/>
      <c r="PGE752" s="574"/>
      <c r="PGF752" s="574"/>
      <c r="PGG752" s="574"/>
      <c r="PGH752" s="574"/>
      <c r="PGI752" s="574"/>
      <c r="PGJ752" s="574"/>
      <c r="PGK752" s="574"/>
      <c r="PGL752" s="574"/>
      <c r="PGM752" s="574"/>
      <c r="PGN752" s="574"/>
      <c r="PGO752" s="574"/>
      <c r="PGP752" s="574"/>
      <c r="PGQ752" s="574"/>
      <c r="PGR752" s="574"/>
      <c r="PGS752" s="574"/>
      <c r="PGT752" s="574"/>
      <c r="PGU752" s="574"/>
      <c r="PGV752" s="574"/>
      <c r="PGW752" s="574"/>
      <c r="PGX752" s="574"/>
      <c r="PGY752" s="574"/>
      <c r="PGZ752" s="574"/>
      <c r="PHA752" s="574"/>
      <c r="PHB752" s="574"/>
      <c r="PHC752" s="574"/>
      <c r="PHD752" s="574"/>
      <c r="PHE752" s="574"/>
      <c r="PHF752" s="574"/>
      <c r="PHG752" s="574"/>
      <c r="PHH752" s="574"/>
      <c r="PHI752" s="574"/>
      <c r="PHJ752" s="574"/>
      <c r="PHK752" s="574"/>
      <c r="PHL752" s="574"/>
      <c r="PHM752" s="574"/>
      <c r="PHN752" s="574"/>
      <c r="PHO752" s="574"/>
      <c r="PHP752" s="574"/>
      <c r="PHQ752" s="574"/>
      <c r="PHR752" s="574"/>
      <c r="PHS752" s="574"/>
      <c r="PHT752" s="574"/>
      <c r="PHU752" s="574"/>
      <c r="PHV752" s="574"/>
      <c r="PHW752" s="574"/>
      <c r="PHX752" s="574"/>
      <c r="PHY752" s="574"/>
      <c r="PHZ752" s="574"/>
      <c r="PIA752" s="574"/>
      <c r="PIB752" s="574"/>
      <c r="PIC752" s="574"/>
      <c r="PID752" s="574"/>
      <c r="PIE752" s="574"/>
      <c r="PIF752" s="574"/>
      <c r="PIG752" s="574"/>
      <c r="PIH752" s="574"/>
      <c r="PII752" s="574"/>
      <c r="PIJ752" s="574"/>
      <c r="PIK752" s="574"/>
      <c r="PIL752" s="574"/>
      <c r="PIM752" s="574"/>
      <c r="PIN752" s="574"/>
      <c r="PIO752" s="574"/>
      <c r="PIP752" s="574"/>
      <c r="PIQ752" s="574"/>
      <c r="PIR752" s="574"/>
      <c r="PIS752" s="574"/>
      <c r="PIT752" s="574"/>
      <c r="PIU752" s="574"/>
      <c r="PIV752" s="574"/>
      <c r="PIW752" s="574"/>
      <c r="PIX752" s="574"/>
      <c r="PIY752" s="574"/>
      <c r="PIZ752" s="574"/>
      <c r="PJA752" s="574"/>
      <c r="PJB752" s="574"/>
      <c r="PJC752" s="574"/>
      <c r="PJD752" s="574"/>
      <c r="PJE752" s="574"/>
      <c r="PJF752" s="574"/>
      <c r="PJG752" s="574"/>
      <c r="PJH752" s="574"/>
      <c r="PJI752" s="574"/>
      <c r="PJJ752" s="574"/>
      <c r="PJK752" s="574"/>
      <c r="PJL752" s="574"/>
      <c r="PJM752" s="574"/>
      <c r="PJN752" s="574"/>
      <c r="PJO752" s="574"/>
      <c r="PJP752" s="574"/>
      <c r="PJQ752" s="574"/>
      <c r="PJR752" s="574"/>
      <c r="PJS752" s="574"/>
      <c r="PJT752" s="574"/>
      <c r="PJU752" s="574"/>
      <c r="PJV752" s="574"/>
      <c r="PJW752" s="574"/>
      <c r="PJX752" s="574"/>
      <c r="PJY752" s="574"/>
      <c r="PJZ752" s="574"/>
      <c r="PKA752" s="574"/>
      <c r="PKB752" s="574"/>
      <c r="PKC752" s="574"/>
      <c r="PKD752" s="574"/>
      <c r="PKE752" s="574"/>
      <c r="PKF752" s="574"/>
      <c r="PKG752" s="574"/>
      <c r="PKH752" s="574"/>
      <c r="PKI752" s="574"/>
      <c r="PKJ752" s="574"/>
      <c r="PKK752" s="574"/>
      <c r="PKL752" s="574"/>
      <c r="PKM752" s="574"/>
      <c r="PKN752" s="574"/>
      <c r="PKO752" s="574"/>
      <c r="PKP752" s="574"/>
      <c r="PKQ752" s="574"/>
      <c r="PKR752" s="574"/>
      <c r="PKS752" s="574"/>
      <c r="PKT752" s="574"/>
      <c r="PKU752" s="574"/>
      <c r="PKV752" s="574"/>
      <c r="PKW752" s="574"/>
      <c r="PKX752" s="574"/>
      <c r="PKY752" s="574"/>
      <c r="PKZ752" s="574"/>
      <c r="PLA752" s="574"/>
      <c r="PLB752" s="574"/>
      <c r="PLC752" s="574"/>
      <c r="PLD752" s="574"/>
      <c r="PLE752" s="574"/>
      <c r="PLF752" s="574"/>
      <c r="PLG752" s="574"/>
      <c r="PLH752" s="574"/>
      <c r="PLI752" s="574"/>
      <c r="PLJ752" s="574"/>
      <c r="PLK752" s="574"/>
      <c r="PLL752" s="574"/>
      <c r="PLM752" s="574"/>
      <c r="PLN752" s="574"/>
      <c r="PLO752" s="574"/>
      <c r="PLP752" s="574"/>
      <c r="PLQ752" s="574"/>
      <c r="PLR752" s="574"/>
      <c r="PLS752" s="574"/>
      <c r="PLT752" s="574"/>
      <c r="PLU752" s="574"/>
      <c r="PLV752" s="574"/>
      <c r="PLW752" s="574"/>
      <c r="PLX752" s="574"/>
      <c r="PLY752" s="574"/>
      <c r="PLZ752" s="574"/>
      <c r="PMA752" s="574"/>
      <c r="PMB752" s="574"/>
      <c r="PMC752" s="574"/>
      <c r="PMD752" s="574"/>
      <c r="PME752" s="574"/>
      <c r="PMF752" s="574"/>
      <c r="PMG752" s="574"/>
      <c r="PMH752" s="574"/>
      <c r="PMI752" s="574"/>
      <c r="PMJ752" s="574"/>
      <c r="PMK752" s="574"/>
      <c r="PML752" s="574"/>
      <c r="PMM752" s="574"/>
      <c r="PMN752" s="574"/>
      <c r="PMO752" s="574"/>
      <c r="PMP752" s="574"/>
      <c r="PMQ752" s="574"/>
      <c r="PMR752" s="574"/>
      <c r="PMS752" s="574"/>
      <c r="PMT752" s="574"/>
      <c r="PMU752" s="574"/>
      <c r="PMV752" s="574"/>
      <c r="PMW752" s="574"/>
      <c r="PMX752" s="574"/>
      <c r="PMY752" s="574"/>
      <c r="PMZ752" s="574"/>
      <c r="PNA752" s="574"/>
      <c r="PNB752" s="574"/>
      <c r="PNC752" s="574"/>
      <c r="PND752" s="574"/>
      <c r="PNE752" s="574"/>
      <c r="PNF752" s="574"/>
      <c r="PNG752" s="574"/>
      <c r="PNH752" s="574"/>
      <c r="PNI752" s="574"/>
      <c r="PNJ752" s="574"/>
      <c r="PNK752" s="574"/>
      <c r="PNL752" s="574"/>
      <c r="PNM752" s="574"/>
      <c r="PNN752" s="574"/>
      <c r="PNO752" s="574"/>
      <c r="PNP752" s="574"/>
      <c r="PNQ752" s="574"/>
      <c r="PNR752" s="574"/>
      <c r="PNS752" s="574"/>
      <c r="PNT752" s="574"/>
      <c r="PNU752" s="574"/>
      <c r="PNV752" s="574"/>
      <c r="PNW752" s="574"/>
      <c r="PNX752" s="574"/>
      <c r="PNY752" s="574"/>
      <c r="PNZ752" s="574"/>
      <c r="POA752" s="574"/>
      <c r="POB752" s="574"/>
      <c r="POC752" s="574"/>
      <c r="POD752" s="574"/>
      <c r="POE752" s="574"/>
      <c r="POF752" s="574"/>
      <c r="POG752" s="574"/>
      <c r="POH752" s="574"/>
      <c r="POI752" s="574"/>
      <c r="POJ752" s="574"/>
      <c r="POK752" s="574"/>
      <c r="POL752" s="574"/>
      <c r="POM752" s="574"/>
      <c r="PON752" s="574"/>
      <c r="POO752" s="574"/>
      <c r="POP752" s="574"/>
      <c r="POQ752" s="574"/>
      <c r="POR752" s="574"/>
      <c r="POS752" s="574"/>
      <c r="POT752" s="574"/>
      <c r="POU752" s="574"/>
      <c r="POV752" s="574"/>
      <c r="POW752" s="574"/>
      <c r="POX752" s="574"/>
      <c r="POY752" s="574"/>
      <c r="POZ752" s="574"/>
      <c r="PPA752" s="574"/>
      <c r="PPB752" s="574"/>
      <c r="PPC752" s="574"/>
      <c r="PPD752" s="574"/>
      <c r="PPE752" s="574"/>
      <c r="PPF752" s="574"/>
      <c r="PPG752" s="574"/>
      <c r="PPH752" s="574"/>
      <c r="PPI752" s="574"/>
      <c r="PPJ752" s="574"/>
      <c r="PPK752" s="574"/>
      <c r="PPL752" s="574"/>
      <c r="PPM752" s="574"/>
      <c r="PPN752" s="574"/>
      <c r="PPO752" s="574"/>
      <c r="PPP752" s="574"/>
      <c r="PPQ752" s="574"/>
      <c r="PPR752" s="574"/>
      <c r="PPS752" s="574"/>
      <c r="PPT752" s="574"/>
      <c r="PPU752" s="574"/>
      <c r="PPV752" s="574"/>
      <c r="PPW752" s="574"/>
      <c r="PPX752" s="574"/>
      <c r="PPY752" s="574"/>
      <c r="PPZ752" s="574"/>
      <c r="PQA752" s="574"/>
      <c r="PQB752" s="574"/>
      <c r="PQC752" s="574"/>
      <c r="PQD752" s="574"/>
      <c r="PQE752" s="574"/>
      <c r="PQF752" s="574"/>
      <c r="PQG752" s="574"/>
      <c r="PQH752" s="574"/>
      <c r="PQI752" s="574"/>
      <c r="PQJ752" s="574"/>
      <c r="PQK752" s="574"/>
      <c r="PQL752" s="574"/>
      <c r="PQM752" s="574"/>
      <c r="PQN752" s="574"/>
      <c r="PQO752" s="574"/>
      <c r="PQP752" s="574"/>
      <c r="PQQ752" s="574"/>
      <c r="PQR752" s="574"/>
      <c r="PQS752" s="574"/>
      <c r="PQT752" s="574"/>
      <c r="PQU752" s="574"/>
      <c r="PQV752" s="574"/>
      <c r="PQW752" s="574"/>
      <c r="PQX752" s="574"/>
      <c r="PQY752" s="574"/>
      <c r="PQZ752" s="574"/>
      <c r="PRA752" s="574"/>
      <c r="PRB752" s="574"/>
      <c r="PRC752" s="574"/>
      <c r="PRD752" s="574"/>
      <c r="PRE752" s="574"/>
      <c r="PRF752" s="574"/>
      <c r="PRG752" s="574"/>
      <c r="PRH752" s="574"/>
      <c r="PRI752" s="574"/>
      <c r="PRJ752" s="574"/>
      <c r="PRK752" s="574"/>
      <c r="PRL752" s="574"/>
      <c r="PRM752" s="574"/>
      <c r="PRN752" s="574"/>
      <c r="PRO752" s="574"/>
      <c r="PRP752" s="574"/>
      <c r="PRQ752" s="574"/>
      <c r="PRR752" s="574"/>
      <c r="PRS752" s="574"/>
      <c r="PRT752" s="574"/>
      <c r="PRU752" s="574"/>
      <c r="PRV752" s="574"/>
      <c r="PRW752" s="574"/>
      <c r="PRX752" s="574"/>
      <c r="PRY752" s="574"/>
      <c r="PRZ752" s="574"/>
      <c r="PSA752" s="574"/>
      <c r="PSB752" s="574"/>
      <c r="PSC752" s="574"/>
      <c r="PSD752" s="574"/>
      <c r="PSE752" s="574"/>
      <c r="PSF752" s="574"/>
      <c r="PSG752" s="574"/>
      <c r="PSH752" s="574"/>
      <c r="PSI752" s="574"/>
      <c r="PSJ752" s="574"/>
      <c r="PSK752" s="574"/>
      <c r="PSL752" s="574"/>
      <c r="PSM752" s="574"/>
      <c r="PSN752" s="574"/>
      <c r="PSO752" s="574"/>
      <c r="PSP752" s="574"/>
      <c r="PSQ752" s="574"/>
      <c r="PSR752" s="574"/>
      <c r="PSS752" s="574"/>
      <c r="PST752" s="574"/>
      <c r="PSU752" s="574"/>
      <c r="PSV752" s="574"/>
      <c r="PSW752" s="574"/>
      <c r="PSX752" s="574"/>
      <c r="PSY752" s="574"/>
      <c r="PSZ752" s="574"/>
      <c r="PTA752" s="574"/>
      <c r="PTB752" s="574"/>
      <c r="PTC752" s="574"/>
      <c r="PTD752" s="574"/>
      <c r="PTE752" s="574"/>
      <c r="PTF752" s="574"/>
      <c r="PTG752" s="574"/>
      <c r="PTH752" s="574"/>
      <c r="PTI752" s="574"/>
      <c r="PTJ752" s="574"/>
      <c r="PTK752" s="574"/>
      <c r="PTL752" s="574"/>
      <c r="PTM752" s="574"/>
      <c r="PTN752" s="574"/>
      <c r="PTO752" s="574"/>
      <c r="PTP752" s="574"/>
      <c r="PTQ752" s="574"/>
      <c r="PTR752" s="574"/>
      <c r="PTS752" s="574"/>
      <c r="PTT752" s="574"/>
      <c r="PTU752" s="574"/>
      <c r="PTV752" s="574"/>
      <c r="PTW752" s="574"/>
      <c r="PTX752" s="574"/>
      <c r="PTY752" s="574"/>
      <c r="PTZ752" s="574"/>
      <c r="PUA752" s="574"/>
      <c r="PUB752" s="574"/>
      <c r="PUC752" s="574"/>
      <c r="PUD752" s="574"/>
      <c r="PUE752" s="574"/>
      <c r="PUF752" s="574"/>
      <c r="PUG752" s="574"/>
      <c r="PUH752" s="574"/>
      <c r="PUI752" s="574"/>
      <c r="PUJ752" s="574"/>
      <c r="PUK752" s="574"/>
      <c r="PUL752" s="574"/>
      <c r="PUM752" s="574"/>
      <c r="PUN752" s="574"/>
      <c r="PUO752" s="574"/>
      <c r="PUP752" s="574"/>
      <c r="PUQ752" s="574"/>
      <c r="PUR752" s="574"/>
      <c r="PUS752" s="574"/>
      <c r="PUT752" s="574"/>
      <c r="PUU752" s="574"/>
      <c r="PUV752" s="574"/>
      <c r="PUW752" s="574"/>
      <c r="PUX752" s="574"/>
      <c r="PUY752" s="574"/>
      <c r="PUZ752" s="574"/>
      <c r="PVA752" s="574"/>
      <c r="PVB752" s="574"/>
      <c r="PVC752" s="574"/>
      <c r="PVD752" s="574"/>
      <c r="PVE752" s="574"/>
      <c r="PVF752" s="574"/>
      <c r="PVG752" s="574"/>
      <c r="PVH752" s="574"/>
      <c r="PVI752" s="574"/>
      <c r="PVJ752" s="574"/>
      <c r="PVK752" s="574"/>
      <c r="PVL752" s="574"/>
      <c r="PVM752" s="574"/>
      <c r="PVN752" s="574"/>
      <c r="PVO752" s="574"/>
      <c r="PVP752" s="574"/>
      <c r="PVQ752" s="574"/>
      <c r="PVR752" s="574"/>
      <c r="PVS752" s="574"/>
      <c r="PVT752" s="574"/>
      <c r="PVU752" s="574"/>
      <c r="PVV752" s="574"/>
      <c r="PVW752" s="574"/>
      <c r="PVX752" s="574"/>
      <c r="PVY752" s="574"/>
      <c r="PVZ752" s="574"/>
      <c r="PWA752" s="574"/>
      <c r="PWB752" s="574"/>
      <c r="PWC752" s="574"/>
      <c r="PWD752" s="574"/>
      <c r="PWE752" s="574"/>
      <c r="PWF752" s="574"/>
      <c r="PWG752" s="574"/>
      <c r="PWH752" s="574"/>
      <c r="PWI752" s="574"/>
      <c r="PWJ752" s="574"/>
      <c r="PWK752" s="574"/>
      <c r="PWL752" s="574"/>
      <c r="PWM752" s="574"/>
      <c r="PWN752" s="574"/>
      <c r="PWO752" s="574"/>
      <c r="PWP752" s="574"/>
      <c r="PWQ752" s="574"/>
      <c r="PWR752" s="574"/>
      <c r="PWS752" s="574"/>
      <c r="PWT752" s="574"/>
      <c r="PWU752" s="574"/>
      <c r="PWV752" s="574"/>
      <c r="PWW752" s="574"/>
      <c r="PWX752" s="574"/>
      <c r="PWY752" s="574"/>
      <c r="PWZ752" s="574"/>
      <c r="PXA752" s="574"/>
      <c r="PXB752" s="574"/>
      <c r="PXC752" s="574"/>
      <c r="PXD752" s="574"/>
      <c r="PXE752" s="574"/>
      <c r="PXF752" s="574"/>
      <c r="PXG752" s="574"/>
      <c r="PXH752" s="574"/>
      <c r="PXI752" s="574"/>
      <c r="PXJ752" s="574"/>
      <c r="PXK752" s="574"/>
      <c r="PXL752" s="574"/>
      <c r="PXM752" s="574"/>
      <c r="PXN752" s="574"/>
      <c r="PXO752" s="574"/>
      <c r="PXP752" s="574"/>
      <c r="PXQ752" s="574"/>
      <c r="PXR752" s="574"/>
      <c r="PXS752" s="574"/>
      <c r="PXT752" s="574"/>
      <c r="PXU752" s="574"/>
      <c r="PXV752" s="574"/>
      <c r="PXW752" s="574"/>
      <c r="PXX752" s="574"/>
      <c r="PXY752" s="574"/>
      <c r="PXZ752" s="574"/>
      <c r="PYA752" s="574"/>
      <c r="PYB752" s="574"/>
      <c r="PYC752" s="574"/>
      <c r="PYD752" s="574"/>
      <c r="PYE752" s="574"/>
      <c r="PYF752" s="574"/>
      <c r="PYG752" s="574"/>
      <c r="PYH752" s="574"/>
      <c r="PYI752" s="574"/>
      <c r="PYJ752" s="574"/>
      <c r="PYK752" s="574"/>
      <c r="PYL752" s="574"/>
      <c r="PYM752" s="574"/>
      <c r="PYN752" s="574"/>
      <c r="PYO752" s="574"/>
      <c r="PYP752" s="574"/>
      <c r="PYQ752" s="574"/>
      <c r="PYR752" s="574"/>
      <c r="PYS752" s="574"/>
      <c r="PYT752" s="574"/>
      <c r="PYU752" s="574"/>
      <c r="PYV752" s="574"/>
      <c r="PYW752" s="574"/>
      <c r="PYX752" s="574"/>
      <c r="PYY752" s="574"/>
      <c r="PYZ752" s="574"/>
      <c r="PZA752" s="574"/>
      <c r="PZB752" s="574"/>
      <c r="PZC752" s="574"/>
      <c r="PZD752" s="574"/>
      <c r="PZE752" s="574"/>
      <c r="PZF752" s="574"/>
      <c r="PZG752" s="574"/>
      <c r="PZH752" s="574"/>
      <c r="PZI752" s="574"/>
      <c r="PZJ752" s="574"/>
      <c r="PZK752" s="574"/>
      <c r="PZL752" s="574"/>
      <c r="PZM752" s="574"/>
      <c r="PZN752" s="574"/>
      <c r="PZO752" s="574"/>
      <c r="PZP752" s="574"/>
      <c r="PZQ752" s="574"/>
      <c r="PZR752" s="574"/>
      <c r="PZS752" s="574"/>
      <c r="PZT752" s="574"/>
      <c r="PZU752" s="574"/>
      <c r="PZV752" s="574"/>
      <c r="PZW752" s="574"/>
      <c r="PZX752" s="574"/>
      <c r="PZY752" s="574"/>
      <c r="PZZ752" s="574"/>
      <c r="QAA752" s="574"/>
      <c r="QAB752" s="574"/>
      <c r="QAC752" s="574"/>
      <c r="QAD752" s="574"/>
      <c r="QAE752" s="574"/>
      <c r="QAF752" s="574"/>
      <c r="QAG752" s="574"/>
      <c r="QAH752" s="574"/>
      <c r="QAI752" s="574"/>
      <c r="QAJ752" s="574"/>
      <c r="QAK752" s="574"/>
      <c r="QAL752" s="574"/>
      <c r="QAM752" s="574"/>
      <c r="QAN752" s="574"/>
      <c r="QAO752" s="574"/>
      <c r="QAP752" s="574"/>
      <c r="QAQ752" s="574"/>
      <c r="QAR752" s="574"/>
      <c r="QAS752" s="574"/>
      <c r="QAT752" s="574"/>
      <c r="QAU752" s="574"/>
      <c r="QAV752" s="574"/>
      <c r="QAW752" s="574"/>
      <c r="QAX752" s="574"/>
      <c r="QAY752" s="574"/>
      <c r="QAZ752" s="574"/>
      <c r="QBA752" s="574"/>
      <c r="QBB752" s="574"/>
      <c r="QBC752" s="574"/>
      <c r="QBD752" s="574"/>
      <c r="QBE752" s="574"/>
      <c r="QBF752" s="574"/>
      <c r="QBG752" s="574"/>
      <c r="QBH752" s="574"/>
      <c r="QBI752" s="574"/>
      <c r="QBJ752" s="574"/>
      <c r="QBK752" s="574"/>
      <c r="QBL752" s="574"/>
      <c r="QBM752" s="574"/>
      <c r="QBN752" s="574"/>
      <c r="QBO752" s="574"/>
      <c r="QBP752" s="574"/>
      <c r="QBQ752" s="574"/>
      <c r="QBR752" s="574"/>
      <c r="QBS752" s="574"/>
      <c r="QBT752" s="574"/>
      <c r="QBU752" s="574"/>
      <c r="QBV752" s="574"/>
      <c r="QBW752" s="574"/>
      <c r="QBX752" s="574"/>
      <c r="QBY752" s="574"/>
      <c r="QBZ752" s="574"/>
      <c r="QCA752" s="574"/>
      <c r="QCB752" s="574"/>
      <c r="QCC752" s="574"/>
      <c r="QCD752" s="574"/>
      <c r="QCE752" s="574"/>
      <c r="QCF752" s="574"/>
      <c r="QCG752" s="574"/>
      <c r="QCH752" s="574"/>
      <c r="QCI752" s="574"/>
      <c r="QCJ752" s="574"/>
      <c r="QCK752" s="574"/>
      <c r="QCL752" s="574"/>
      <c r="QCM752" s="574"/>
      <c r="QCN752" s="574"/>
      <c r="QCO752" s="574"/>
      <c r="QCP752" s="574"/>
      <c r="QCQ752" s="574"/>
      <c r="QCR752" s="574"/>
      <c r="QCS752" s="574"/>
      <c r="QCT752" s="574"/>
      <c r="QCU752" s="574"/>
      <c r="QCV752" s="574"/>
      <c r="QCW752" s="574"/>
      <c r="QCX752" s="574"/>
      <c r="QCY752" s="574"/>
      <c r="QCZ752" s="574"/>
      <c r="QDA752" s="574"/>
      <c r="QDB752" s="574"/>
      <c r="QDC752" s="574"/>
      <c r="QDD752" s="574"/>
      <c r="QDE752" s="574"/>
      <c r="QDF752" s="574"/>
      <c r="QDG752" s="574"/>
      <c r="QDH752" s="574"/>
      <c r="QDI752" s="574"/>
      <c r="QDJ752" s="574"/>
      <c r="QDK752" s="574"/>
      <c r="QDL752" s="574"/>
      <c r="QDM752" s="574"/>
      <c r="QDN752" s="574"/>
      <c r="QDO752" s="574"/>
      <c r="QDP752" s="574"/>
      <c r="QDQ752" s="574"/>
      <c r="QDR752" s="574"/>
      <c r="QDS752" s="574"/>
      <c r="QDT752" s="574"/>
      <c r="QDU752" s="574"/>
      <c r="QDV752" s="574"/>
      <c r="QDW752" s="574"/>
      <c r="QDX752" s="574"/>
      <c r="QDY752" s="574"/>
      <c r="QDZ752" s="574"/>
      <c r="QEA752" s="574"/>
      <c r="QEB752" s="574"/>
      <c r="QEC752" s="574"/>
      <c r="QED752" s="574"/>
      <c r="QEE752" s="574"/>
      <c r="QEF752" s="574"/>
      <c r="QEG752" s="574"/>
      <c r="QEH752" s="574"/>
      <c r="QEI752" s="574"/>
      <c r="QEJ752" s="574"/>
      <c r="QEK752" s="574"/>
      <c r="QEL752" s="574"/>
      <c r="QEM752" s="574"/>
      <c r="QEN752" s="574"/>
      <c r="QEO752" s="574"/>
      <c r="QEP752" s="574"/>
      <c r="QEQ752" s="574"/>
      <c r="QER752" s="574"/>
      <c r="QES752" s="574"/>
      <c r="QET752" s="574"/>
      <c r="QEU752" s="574"/>
      <c r="QEV752" s="574"/>
      <c r="QEW752" s="574"/>
      <c r="QEX752" s="574"/>
      <c r="QEY752" s="574"/>
      <c r="QEZ752" s="574"/>
      <c r="QFA752" s="574"/>
      <c r="QFB752" s="574"/>
      <c r="QFC752" s="574"/>
      <c r="QFD752" s="574"/>
      <c r="QFE752" s="574"/>
      <c r="QFF752" s="574"/>
      <c r="QFG752" s="574"/>
      <c r="QFH752" s="574"/>
      <c r="QFI752" s="574"/>
      <c r="QFJ752" s="574"/>
      <c r="QFK752" s="574"/>
      <c r="QFL752" s="574"/>
      <c r="QFM752" s="574"/>
      <c r="QFN752" s="574"/>
      <c r="QFO752" s="574"/>
      <c r="QFP752" s="574"/>
      <c r="QFQ752" s="574"/>
      <c r="QFR752" s="574"/>
      <c r="QFS752" s="574"/>
      <c r="QFT752" s="574"/>
      <c r="QFU752" s="574"/>
      <c r="QFV752" s="574"/>
      <c r="QFW752" s="574"/>
      <c r="QFX752" s="574"/>
      <c r="QFY752" s="574"/>
      <c r="QFZ752" s="574"/>
      <c r="QGA752" s="574"/>
      <c r="QGB752" s="574"/>
      <c r="QGC752" s="574"/>
      <c r="QGD752" s="574"/>
      <c r="QGE752" s="574"/>
      <c r="QGF752" s="574"/>
      <c r="QGG752" s="574"/>
      <c r="QGH752" s="574"/>
      <c r="QGI752" s="574"/>
      <c r="QGJ752" s="574"/>
      <c r="QGK752" s="574"/>
      <c r="QGL752" s="574"/>
      <c r="QGM752" s="574"/>
      <c r="QGN752" s="574"/>
      <c r="QGO752" s="574"/>
      <c r="QGP752" s="574"/>
      <c r="QGQ752" s="574"/>
      <c r="QGR752" s="574"/>
      <c r="QGS752" s="574"/>
      <c r="QGT752" s="574"/>
      <c r="QGU752" s="574"/>
      <c r="QGV752" s="574"/>
      <c r="QGW752" s="574"/>
      <c r="QGX752" s="574"/>
      <c r="QGY752" s="574"/>
      <c r="QGZ752" s="574"/>
      <c r="QHA752" s="574"/>
      <c r="QHB752" s="574"/>
      <c r="QHC752" s="574"/>
      <c r="QHD752" s="574"/>
      <c r="QHE752" s="574"/>
      <c r="QHF752" s="574"/>
      <c r="QHG752" s="574"/>
      <c r="QHH752" s="574"/>
      <c r="QHI752" s="574"/>
      <c r="QHJ752" s="574"/>
      <c r="QHK752" s="574"/>
      <c r="QHL752" s="574"/>
      <c r="QHM752" s="574"/>
      <c r="QHN752" s="574"/>
      <c r="QHO752" s="574"/>
      <c r="QHP752" s="574"/>
      <c r="QHQ752" s="574"/>
      <c r="QHR752" s="574"/>
      <c r="QHS752" s="574"/>
      <c r="QHT752" s="574"/>
      <c r="QHU752" s="574"/>
      <c r="QHV752" s="574"/>
      <c r="QHW752" s="574"/>
      <c r="QHX752" s="574"/>
      <c r="QHY752" s="574"/>
      <c r="QHZ752" s="574"/>
      <c r="QIA752" s="574"/>
      <c r="QIB752" s="574"/>
      <c r="QIC752" s="574"/>
      <c r="QID752" s="574"/>
      <c r="QIE752" s="574"/>
      <c r="QIF752" s="574"/>
      <c r="QIG752" s="574"/>
      <c r="QIH752" s="574"/>
      <c r="QII752" s="574"/>
      <c r="QIJ752" s="574"/>
      <c r="QIK752" s="574"/>
      <c r="QIL752" s="574"/>
      <c r="QIM752" s="574"/>
      <c r="QIN752" s="574"/>
      <c r="QIO752" s="574"/>
      <c r="QIP752" s="574"/>
      <c r="QIQ752" s="574"/>
      <c r="QIR752" s="574"/>
      <c r="QIS752" s="574"/>
      <c r="QIT752" s="574"/>
      <c r="QIU752" s="574"/>
      <c r="QIV752" s="574"/>
      <c r="QIW752" s="574"/>
      <c r="QIX752" s="574"/>
      <c r="QIY752" s="574"/>
      <c r="QIZ752" s="574"/>
      <c r="QJA752" s="574"/>
      <c r="QJB752" s="574"/>
      <c r="QJC752" s="574"/>
      <c r="QJD752" s="574"/>
      <c r="QJE752" s="574"/>
      <c r="QJF752" s="574"/>
      <c r="QJG752" s="574"/>
      <c r="QJH752" s="574"/>
      <c r="QJI752" s="574"/>
      <c r="QJJ752" s="574"/>
      <c r="QJK752" s="574"/>
      <c r="QJL752" s="574"/>
      <c r="QJM752" s="574"/>
      <c r="QJN752" s="574"/>
      <c r="QJO752" s="574"/>
      <c r="QJP752" s="574"/>
      <c r="QJQ752" s="574"/>
      <c r="QJR752" s="574"/>
      <c r="QJS752" s="574"/>
      <c r="QJT752" s="574"/>
      <c r="QJU752" s="574"/>
      <c r="QJV752" s="574"/>
      <c r="QJW752" s="574"/>
      <c r="QJX752" s="574"/>
      <c r="QJY752" s="574"/>
      <c r="QJZ752" s="574"/>
      <c r="QKA752" s="574"/>
      <c r="QKB752" s="574"/>
      <c r="QKC752" s="574"/>
      <c r="QKD752" s="574"/>
      <c r="QKE752" s="574"/>
      <c r="QKF752" s="574"/>
      <c r="QKG752" s="574"/>
      <c r="QKH752" s="574"/>
      <c r="QKI752" s="574"/>
      <c r="QKJ752" s="574"/>
      <c r="QKK752" s="574"/>
      <c r="QKL752" s="574"/>
      <c r="QKM752" s="574"/>
      <c r="QKN752" s="574"/>
      <c r="QKO752" s="574"/>
      <c r="QKP752" s="574"/>
      <c r="QKQ752" s="574"/>
      <c r="QKR752" s="574"/>
      <c r="QKS752" s="574"/>
      <c r="QKT752" s="574"/>
      <c r="QKU752" s="574"/>
      <c r="QKV752" s="574"/>
      <c r="QKW752" s="574"/>
      <c r="QKX752" s="574"/>
      <c r="QKY752" s="574"/>
      <c r="QKZ752" s="574"/>
      <c r="QLA752" s="574"/>
      <c r="QLB752" s="574"/>
      <c r="QLC752" s="574"/>
      <c r="QLD752" s="574"/>
      <c r="QLE752" s="574"/>
      <c r="QLF752" s="574"/>
      <c r="QLG752" s="574"/>
      <c r="QLH752" s="574"/>
      <c r="QLI752" s="574"/>
      <c r="QLJ752" s="574"/>
      <c r="QLK752" s="574"/>
      <c r="QLL752" s="574"/>
      <c r="QLM752" s="574"/>
      <c r="QLN752" s="574"/>
      <c r="QLO752" s="574"/>
      <c r="QLP752" s="574"/>
      <c r="QLQ752" s="574"/>
      <c r="QLR752" s="574"/>
      <c r="QLS752" s="574"/>
      <c r="QLT752" s="574"/>
      <c r="QLU752" s="574"/>
      <c r="QLV752" s="574"/>
      <c r="QLW752" s="574"/>
      <c r="QLX752" s="574"/>
      <c r="QLY752" s="574"/>
      <c r="QLZ752" s="574"/>
      <c r="QMA752" s="574"/>
      <c r="QMB752" s="574"/>
      <c r="QMC752" s="574"/>
      <c r="QMD752" s="574"/>
      <c r="QME752" s="574"/>
      <c r="QMF752" s="574"/>
      <c r="QMG752" s="574"/>
      <c r="QMH752" s="574"/>
      <c r="QMI752" s="574"/>
      <c r="QMJ752" s="574"/>
      <c r="QMK752" s="574"/>
      <c r="QML752" s="574"/>
      <c r="QMM752" s="574"/>
      <c r="QMN752" s="574"/>
      <c r="QMO752" s="574"/>
      <c r="QMP752" s="574"/>
      <c r="QMQ752" s="574"/>
      <c r="QMR752" s="574"/>
      <c r="QMS752" s="574"/>
      <c r="QMT752" s="574"/>
      <c r="QMU752" s="574"/>
      <c r="QMV752" s="574"/>
      <c r="QMW752" s="574"/>
      <c r="QMX752" s="574"/>
      <c r="QMY752" s="574"/>
      <c r="QMZ752" s="574"/>
      <c r="QNA752" s="574"/>
      <c r="QNB752" s="574"/>
      <c r="QNC752" s="574"/>
      <c r="QND752" s="574"/>
      <c r="QNE752" s="574"/>
      <c r="QNF752" s="574"/>
      <c r="QNG752" s="574"/>
      <c r="QNH752" s="574"/>
      <c r="QNI752" s="574"/>
      <c r="QNJ752" s="574"/>
      <c r="QNK752" s="574"/>
      <c r="QNL752" s="574"/>
      <c r="QNM752" s="574"/>
      <c r="QNN752" s="574"/>
      <c r="QNO752" s="574"/>
      <c r="QNP752" s="574"/>
      <c r="QNQ752" s="574"/>
      <c r="QNR752" s="574"/>
      <c r="QNS752" s="574"/>
      <c r="QNT752" s="574"/>
      <c r="QNU752" s="574"/>
      <c r="QNV752" s="574"/>
      <c r="QNW752" s="574"/>
      <c r="QNX752" s="574"/>
      <c r="QNY752" s="574"/>
      <c r="QNZ752" s="574"/>
      <c r="QOA752" s="574"/>
      <c r="QOB752" s="574"/>
      <c r="QOC752" s="574"/>
      <c r="QOD752" s="574"/>
      <c r="QOE752" s="574"/>
      <c r="QOF752" s="574"/>
      <c r="QOG752" s="574"/>
      <c r="QOH752" s="574"/>
      <c r="QOI752" s="574"/>
      <c r="QOJ752" s="574"/>
      <c r="QOK752" s="574"/>
      <c r="QOL752" s="574"/>
      <c r="QOM752" s="574"/>
      <c r="QON752" s="574"/>
      <c r="QOO752" s="574"/>
      <c r="QOP752" s="574"/>
      <c r="QOQ752" s="574"/>
      <c r="QOR752" s="574"/>
      <c r="QOS752" s="574"/>
      <c r="QOT752" s="574"/>
      <c r="QOU752" s="574"/>
      <c r="QOV752" s="574"/>
      <c r="QOW752" s="574"/>
      <c r="QOX752" s="574"/>
      <c r="QOY752" s="574"/>
      <c r="QOZ752" s="574"/>
      <c r="QPA752" s="574"/>
      <c r="QPB752" s="574"/>
      <c r="QPC752" s="574"/>
      <c r="QPD752" s="574"/>
      <c r="QPE752" s="574"/>
      <c r="QPF752" s="574"/>
      <c r="QPG752" s="574"/>
      <c r="QPH752" s="574"/>
      <c r="QPI752" s="574"/>
      <c r="QPJ752" s="574"/>
      <c r="QPK752" s="574"/>
      <c r="QPL752" s="574"/>
      <c r="QPM752" s="574"/>
      <c r="QPN752" s="574"/>
      <c r="QPO752" s="574"/>
      <c r="QPP752" s="574"/>
      <c r="QPQ752" s="574"/>
      <c r="QPR752" s="574"/>
      <c r="QPS752" s="574"/>
      <c r="QPT752" s="574"/>
      <c r="QPU752" s="574"/>
      <c r="QPV752" s="574"/>
      <c r="QPW752" s="574"/>
      <c r="QPX752" s="574"/>
      <c r="QPY752" s="574"/>
      <c r="QPZ752" s="574"/>
      <c r="QQA752" s="574"/>
      <c r="QQB752" s="574"/>
      <c r="QQC752" s="574"/>
      <c r="QQD752" s="574"/>
      <c r="QQE752" s="574"/>
      <c r="QQF752" s="574"/>
      <c r="QQG752" s="574"/>
      <c r="QQH752" s="574"/>
      <c r="QQI752" s="574"/>
      <c r="QQJ752" s="574"/>
      <c r="QQK752" s="574"/>
      <c r="QQL752" s="574"/>
      <c r="QQM752" s="574"/>
      <c r="QQN752" s="574"/>
      <c r="QQO752" s="574"/>
      <c r="QQP752" s="574"/>
      <c r="QQQ752" s="574"/>
      <c r="QQR752" s="574"/>
      <c r="QQS752" s="574"/>
      <c r="QQT752" s="574"/>
      <c r="QQU752" s="574"/>
      <c r="QQV752" s="574"/>
      <c r="QQW752" s="574"/>
      <c r="QQX752" s="574"/>
      <c r="QQY752" s="574"/>
      <c r="QQZ752" s="574"/>
      <c r="QRA752" s="574"/>
      <c r="QRB752" s="574"/>
      <c r="QRC752" s="574"/>
      <c r="QRD752" s="574"/>
      <c r="QRE752" s="574"/>
      <c r="QRF752" s="574"/>
      <c r="QRG752" s="574"/>
      <c r="QRH752" s="574"/>
      <c r="QRI752" s="574"/>
      <c r="QRJ752" s="574"/>
      <c r="QRK752" s="574"/>
      <c r="QRL752" s="574"/>
      <c r="QRM752" s="574"/>
      <c r="QRN752" s="574"/>
      <c r="QRO752" s="574"/>
      <c r="QRP752" s="574"/>
      <c r="QRQ752" s="574"/>
      <c r="QRR752" s="574"/>
      <c r="QRS752" s="574"/>
      <c r="QRT752" s="574"/>
      <c r="QRU752" s="574"/>
      <c r="QRV752" s="574"/>
      <c r="QRW752" s="574"/>
      <c r="QRX752" s="574"/>
      <c r="QRY752" s="574"/>
      <c r="QRZ752" s="574"/>
      <c r="QSA752" s="574"/>
      <c r="QSB752" s="574"/>
      <c r="QSC752" s="574"/>
      <c r="QSD752" s="574"/>
      <c r="QSE752" s="574"/>
      <c r="QSF752" s="574"/>
      <c r="QSG752" s="574"/>
      <c r="QSH752" s="574"/>
      <c r="QSI752" s="574"/>
      <c r="QSJ752" s="574"/>
      <c r="QSK752" s="574"/>
      <c r="QSL752" s="574"/>
      <c r="QSM752" s="574"/>
      <c r="QSN752" s="574"/>
      <c r="QSO752" s="574"/>
      <c r="QSP752" s="574"/>
      <c r="QSQ752" s="574"/>
      <c r="QSR752" s="574"/>
      <c r="QSS752" s="574"/>
      <c r="QST752" s="574"/>
      <c r="QSU752" s="574"/>
      <c r="QSV752" s="574"/>
      <c r="QSW752" s="574"/>
      <c r="QSX752" s="574"/>
      <c r="QSY752" s="574"/>
      <c r="QSZ752" s="574"/>
      <c r="QTA752" s="574"/>
      <c r="QTB752" s="574"/>
      <c r="QTC752" s="574"/>
      <c r="QTD752" s="574"/>
      <c r="QTE752" s="574"/>
      <c r="QTF752" s="574"/>
      <c r="QTG752" s="574"/>
      <c r="QTH752" s="574"/>
      <c r="QTI752" s="574"/>
      <c r="QTJ752" s="574"/>
      <c r="QTK752" s="574"/>
      <c r="QTL752" s="574"/>
      <c r="QTM752" s="574"/>
      <c r="QTN752" s="574"/>
      <c r="QTO752" s="574"/>
      <c r="QTP752" s="574"/>
      <c r="QTQ752" s="574"/>
      <c r="QTR752" s="574"/>
      <c r="QTS752" s="574"/>
      <c r="QTT752" s="574"/>
      <c r="QTU752" s="574"/>
      <c r="QTV752" s="574"/>
      <c r="QTW752" s="574"/>
      <c r="QTX752" s="574"/>
      <c r="QTY752" s="574"/>
      <c r="QTZ752" s="574"/>
      <c r="QUA752" s="574"/>
      <c r="QUB752" s="574"/>
      <c r="QUC752" s="574"/>
      <c r="QUD752" s="574"/>
      <c r="QUE752" s="574"/>
      <c r="QUF752" s="574"/>
      <c r="QUG752" s="574"/>
      <c r="QUH752" s="574"/>
      <c r="QUI752" s="574"/>
      <c r="QUJ752" s="574"/>
      <c r="QUK752" s="574"/>
      <c r="QUL752" s="574"/>
      <c r="QUM752" s="574"/>
      <c r="QUN752" s="574"/>
      <c r="QUO752" s="574"/>
      <c r="QUP752" s="574"/>
      <c r="QUQ752" s="574"/>
      <c r="QUR752" s="574"/>
      <c r="QUS752" s="574"/>
      <c r="QUT752" s="574"/>
      <c r="QUU752" s="574"/>
      <c r="QUV752" s="574"/>
      <c r="QUW752" s="574"/>
      <c r="QUX752" s="574"/>
      <c r="QUY752" s="574"/>
      <c r="QUZ752" s="574"/>
      <c r="QVA752" s="574"/>
      <c r="QVB752" s="574"/>
      <c r="QVC752" s="574"/>
      <c r="QVD752" s="574"/>
      <c r="QVE752" s="574"/>
      <c r="QVF752" s="574"/>
      <c r="QVG752" s="574"/>
      <c r="QVH752" s="574"/>
      <c r="QVI752" s="574"/>
      <c r="QVJ752" s="574"/>
      <c r="QVK752" s="574"/>
      <c r="QVL752" s="574"/>
      <c r="QVM752" s="574"/>
      <c r="QVN752" s="574"/>
      <c r="QVO752" s="574"/>
      <c r="QVP752" s="574"/>
      <c r="QVQ752" s="574"/>
      <c r="QVR752" s="574"/>
      <c r="QVS752" s="574"/>
      <c r="QVT752" s="574"/>
      <c r="QVU752" s="574"/>
      <c r="QVV752" s="574"/>
      <c r="QVW752" s="574"/>
      <c r="QVX752" s="574"/>
      <c r="QVY752" s="574"/>
      <c r="QVZ752" s="574"/>
      <c r="QWA752" s="574"/>
      <c r="QWB752" s="574"/>
      <c r="QWC752" s="574"/>
      <c r="QWD752" s="574"/>
      <c r="QWE752" s="574"/>
      <c r="QWF752" s="574"/>
      <c r="QWG752" s="574"/>
      <c r="QWH752" s="574"/>
      <c r="QWI752" s="574"/>
      <c r="QWJ752" s="574"/>
      <c r="QWK752" s="574"/>
      <c r="QWL752" s="574"/>
      <c r="QWM752" s="574"/>
      <c r="QWN752" s="574"/>
      <c r="QWO752" s="574"/>
      <c r="QWP752" s="574"/>
      <c r="QWQ752" s="574"/>
      <c r="QWR752" s="574"/>
      <c r="QWS752" s="574"/>
      <c r="QWT752" s="574"/>
      <c r="QWU752" s="574"/>
      <c r="QWV752" s="574"/>
      <c r="QWW752" s="574"/>
      <c r="QWX752" s="574"/>
      <c r="QWY752" s="574"/>
      <c r="QWZ752" s="574"/>
      <c r="QXA752" s="574"/>
      <c r="QXB752" s="574"/>
      <c r="QXC752" s="574"/>
      <c r="QXD752" s="574"/>
      <c r="QXE752" s="574"/>
      <c r="QXF752" s="574"/>
      <c r="QXG752" s="574"/>
      <c r="QXH752" s="574"/>
      <c r="QXI752" s="574"/>
      <c r="QXJ752" s="574"/>
      <c r="QXK752" s="574"/>
      <c r="QXL752" s="574"/>
      <c r="QXM752" s="574"/>
      <c r="QXN752" s="574"/>
      <c r="QXO752" s="574"/>
      <c r="QXP752" s="574"/>
      <c r="QXQ752" s="574"/>
      <c r="QXR752" s="574"/>
      <c r="QXS752" s="574"/>
      <c r="QXT752" s="574"/>
      <c r="QXU752" s="574"/>
      <c r="QXV752" s="574"/>
      <c r="QXW752" s="574"/>
      <c r="QXX752" s="574"/>
      <c r="QXY752" s="574"/>
      <c r="QXZ752" s="574"/>
      <c r="QYA752" s="574"/>
      <c r="QYB752" s="574"/>
      <c r="QYC752" s="574"/>
      <c r="QYD752" s="574"/>
      <c r="QYE752" s="574"/>
      <c r="QYF752" s="574"/>
      <c r="QYG752" s="574"/>
      <c r="QYH752" s="574"/>
      <c r="QYI752" s="574"/>
      <c r="QYJ752" s="574"/>
      <c r="QYK752" s="574"/>
      <c r="QYL752" s="574"/>
      <c r="QYM752" s="574"/>
      <c r="QYN752" s="574"/>
      <c r="QYO752" s="574"/>
      <c r="QYP752" s="574"/>
      <c r="QYQ752" s="574"/>
      <c r="QYR752" s="574"/>
      <c r="QYS752" s="574"/>
      <c r="QYT752" s="574"/>
      <c r="QYU752" s="574"/>
      <c r="QYV752" s="574"/>
      <c r="QYW752" s="574"/>
      <c r="QYX752" s="574"/>
      <c r="QYY752" s="574"/>
      <c r="QYZ752" s="574"/>
      <c r="QZA752" s="574"/>
      <c r="QZB752" s="574"/>
      <c r="QZC752" s="574"/>
      <c r="QZD752" s="574"/>
      <c r="QZE752" s="574"/>
      <c r="QZF752" s="574"/>
      <c r="QZG752" s="574"/>
      <c r="QZH752" s="574"/>
      <c r="QZI752" s="574"/>
      <c r="QZJ752" s="574"/>
      <c r="QZK752" s="574"/>
      <c r="QZL752" s="574"/>
      <c r="QZM752" s="574"/>
      <c r="QZN752" s="574"/>
      <c r="QZO752" s="574"/>
      <c r="QZP752" s="574"/>
      <c r="QZQ752" s="574"/>
      <c r="QZR752" s="574"/>
      <c r="QZS752" s="574"/>
      <c r="QZT752" s="574"/>
      <c r="QZU752" s="574"/>
      <c r="QZV752" s="574"/>
      <c r="QZW752" s="574"/>
      <c r="QZX752" s="574"/>
      <c r="QZY752" s="574"/>
      <c r="QZZ752" s="574"/>
      <c r="RAA752" s="574"/>
      <c r="RAB752" s="574"/>
      <c r="RAC752" s="574"/>
      <c r="RAD752" s="574"/>
      <c r="RAE752" s="574"/>
      <c r="RAF752" s="574"/>
      <c r="RAG752" s="574"/>
      <c r="RAH752" s="574"/>
      <c r="RAI752" s="574"/>
      <c r="RAJ752" s="574"/>
      <c r="RAK752" s="574"/>
      <c r="RAL752" s="574"/>
      <c r="RAM752" s="574"/>
      <c r="RAN752" s="574"/>
      <c r="RAO752" s="574"/>
      <c r="RAP752" s="574"/>
      <c r="RAQ752" s="574"/>
      <c r="RAR752" s="574"/>
      <c r="RAS752" s="574"/>
      <c r="RAT752" s="574"/>
      <c r="RAU752" s="574"/>
      <c r="RAV752" s="574"/>
      <c r="RAW752" s="574"/>
      <c r="RAX752" s="574"/>
      <c r="RAY752" s="574"/>
      <c r="RAZ752" s="574"/>
      <c r="RBA752" s="574"/>
      <c r="RBB752" s="574"/>
      <c r="RBC752" s="574"/>
      <c r="RBD752" s="574"/>
      <c r="RBE752" s="574"/>
      <c r="RBF752" s="574"/>
      <c r="RBG752" s="574"/>
      <c r="RBH752" s="574"/>
      <c r="RBI752" s="574"/>
      <c r="RBJ752" s="574"/>
      <c r="RBK752" s="574"/>
      <c r="RBL752" s="574"/>
      <c r="RBM752" s="574"/>
      <c r="RBN752" s="574"/>
      <c r="RBO752" s="574"/>
      <c r="RBP752" s="574"/>
      <c r="RBQ752" s="574"/>
      <c r="RBR752" s="574"/>
      <c r="RBS752" s="574"/>
      <c r="RBT752" s="574"/>
      <c r="RBU752" s="574"/>
      <c r="RBV752" s="574"/>
      <c r="RBW752" s="574"/>
      <c r="RBX752" s="574"/>
      <c r="RBY752" s="574"/>
      <c r="RBZ752" s="574"/>
      <c r="RCA752" s="574"/>
      <c r="RCB752" s="574"/>
      <c r="RCC752" s="574"/>
      <c r="RCD752" s="574"/>
      <c r="RCE752" s="574"/>
      <c r="RCF752" s="574"/>
      <c r="RCG752" s="574"/>
      <c r="RCH752" s="574"/>
      <c r="RCI752" s="574"/>
      <c r="RCJ752" s="574"/>
      <c r="RCK752" s="574"/>
      <c r="RCL752" s="574"/>
      <c r="RCM752" s="574"/>
      <c r="RCN752" s="574"/>
      <c r="RCO752" s="574"/>
      <c r="RCP752" s="574"/>
      <c r="RCQ752" s="574"/>
      <c r="RCR752" s="574"/>
      <c r="RCS752" s="574"/>
      <c r="RCT752" s="574"/>
      <c r="RCU752" s="574"/>
      <c r="RCV752" s="574"/>
      <c r="RCW752" s="574"/>
      <c r="RCX752" s="574"/>
      <c r="RCY752" s="574"/>
      <c r="RCZ752" s="574"/>
      <c r="RDA752" s="574"/>
      <c r="RDB752" s="574"/>
      <c r="RDC752" s="574"/>
      <c r="RDD752" s="574"/>
      <c r="RDE752" s="574"/>
      <c r="RDF752" s="574"/>
      <c r="RDG752" s="574"/>
      <c r="RDH752" s="574"/>
      <c r="RDI752" s="574"/>
      <c r="RDJ752" s="574"/>
      <c r="RDK752" s="574"/>
      <c r="RDL752" s="574"/>
      <c r="RDM752" s="574"/>
      <c r="RDN752" s="574"/>
      <c r="RDO752" s="574"/>
      <c r="RDP752" s="574"/>
      <c r="RDQ752" s="574"/>
      <c r="RDR752" s="574"/>
      <c r="RDS752" s="574"/>
      <c r="RDT752" s="574"/>
      <c r="RDU752" s="574"/>
      <c r="RDV752" s="574"/>
      <c r="RDW752" s="574"/>
      <c r="RDX752" s="574"/>
      <c r="RDY752" s="574"/>
      <c r="RDZ752" s="574"/>
      <c r="REA752" s="574"/>
      <c r="REB752" s="574"/>
      <c r="REC752" s="574"/>
      <c r="RED752" s="574"/>
      <c r="REE752" s="574"/>
      <c r="REF752" s="574"/>
      <c r="REG752" s="574"/>
      <c r="REH752" s="574"/>
      <c r="REI752" s="574"/>
      <c r="REJ752" s="574"/>
      <c r="REK752" s="574"/>
      <c r="REL752" s="574"/>
      <c r="REM752" s="574"/>
      <c r="REN752" s="574"/>
      <c r="REO752" s="574"/>
      <c r="REP752" s="574"/>
      <c r="REQ752" s="574"/>
      <c r="RER752" s="574"/>
      <c r="RES752" s="574"/>
      <c r="RET752" s="574"/>
      <c r="REU752" s="574"/>
      <c r="REV752" s="574"/>
      <c r="REW752" s="574"/>
      <c r="REX752" s="574"/>
      <c r="REY752" s="574"/>
      <c r="REZ752" s="574"/>
      <c r="RFA752" s="574"/>
      <c r="RFB752" s="574"/>
      <c r="RFC752" s="574"/>
      <c r="RFD752" s="574"/>
      <c r="RFE752" s="574"/>
      <c r="RFF752" s="574"/>
      <c r="RFG752" s="574"/>
      <c r="RFH752" s="574"/>
      <c r="RFI752" s="574"/>
      <c r="RFJ752" s="574"/>
      <c r="RFK752" s="574"/>
      <c r="RFL752" s="574"/>
      <c r="RFM752" s="574"/>
      <c r="RFN752" s="574"/>
      <c r="RFO752" s="574"/>
      <c r="RFP752" s="574"/>
      <c r="RFQ752" s="574"/>
      <c r="RFR752" s="574"/>
      <c r="RFS752" s="574"/>
      <c r="RFT752" s="574"/>
      <c r="RFU752" s="574"/>
      <c r="RFV752" s="574"/>
      <c r="RFW752" s="574"/>
      <c r="RFX752" s="574"/>
      <c r="RFY752" s="574"/>
      <c r="RFZ752" s="574"/>
      <c r="RGA752" s="574"/>
      <c r="RGB752" s="574"/>
      <c r="RGC752" s="574"/>
      <c r="RGD752" s="574"/>
      <c r="RGE752" s="574"/>
      <c r="RGF752" s="574"/>
      <c r="RGG752" s="574"/>
      <c r="RGH752" s="574"/>
      <c r="RGI752" s="574"/>
      <c r="RGJ752" s="574"/>
      <c r="RGK752" s="574"/>
      <c r="RGL752" s="574"/>
      <c r="RGM752" s="574"/>
      <c r="RGN752" s="574"/>
      <c r="RGO752" s="574"/>
      <c r="RGP752" s="574"/>
      <c r="RGQ752" s="574"/>
      <c r="RGR752" s="574"/>
      <c r="RGS752" s="574"/>
      <c r="RGT752" s="574"/>
      <c r="RGU752" s="574"/>
      <c r="RGV752" s="574"/>
      <c r="RGW752" s="574"/>
      <c r="RGX752" s="574"/>
      <c r="RGY752" s="574"/>
      <c r="RGZ752" s="574"/>
      <c r="RHA752" s="574"/>
      <c r="RHB752" s="574"/>
      <c r="RHC752" s="574"/>
      <c r="RHD752" s="574"/>
      <c r="RHE752" s="574"/>
      <c r="RHF752" s="574"/>
      <c r="RHG752" s="574"/>
      <c r="RHH752" s="574"/>
      <c r="RHI752" s="574"/>
      <c r="RHJ752" s="574"/>
      <c r="RHK752" s="574"/>
      <c r="RHL752" s="574"/>
      <c r="RHM752" s="574"/>
      <c r="RHN752" s="574"/>
      <c r="RHO752" s="574"/>
      <c r="RHP752" s="574"/>
      <c r="RHQ752" s="574"/>
      <c r="RHR752" s="574"/>
      <c r="RHS752" s="574"/>
      <c r="RHT752" s="574"/>
      <c r="RHU752" s="574"/>
      <c r="RHV752" s="574"/>
      <c r="RHW752" s="574"/>
      <c r="RHX752" s="574"/>
      <c r="RHY752" s="574"/>
      <c r="RHZ752" s="574"/>
      <c r="RIA752" s="574"/>
      <c r="RIB752" s="574"/>
      <c r="RIC752" s="574"/>
      <c r="RID752" s="574"/>
      <c r="RIE752" s="574"/>
      <c r="RIF752" s="574"/>
      <c r="RIG752" s="574"/>
      <c r="RIH752" s="574"/>
      <c r="RII752" s="574"/>
      <c r="RIJ752" s="574"/>
      <c r="RIK752" s="574"/>
      <c r="RIL752" s="574"/>
      <c r="RIM752" s="574"/>
      <c r="RIN752" s="574"/>
      <c r="RIO752" s="574"/>
      <c r="RIP752" s="574"/>
      <c r="RIQ752" s="574"/>
      <c r="RIR752" s="574"/>
      <c r="RIS752" s="574"/>
      <c r="RIT752" s="574"/>
      <c r="RIU752" s="574"/>
      <c r="RIV752" s="574"/>
      <c r="RIW752" s="574"/>
      <c r="RIX752" s="574"/>
      <c r="RIY752" s="574"/>
      <c r="RIZ752" s="574"/>
      <c r="RJA752" s="574"/>
      <c r="RJB752" s="574"/>
      <c r="RJC752" s="574"/>
      <c r="RJD752" s="574"/>
      <c r="RJE752" s="574"/>
      <c r="RJF752" s="574"/>
      <c r="RJG752" s="574"/>
      <c r="RJH752" s="574"/>
      <c r="RJI752" s="574"/>
      <c r="RJJ752" s="574"/>
      <c r="RJK752" s="574"/>
      <c r="RJL752" s="574"/>
      <c r="RJM752" s="574"/>
      <c r="RJN752" s="574"/>
      <c r="RJO752" s="574"/>
      <c r="RJP752" s="574"/>
      <c r="RJQ752" s="574"/>
      <c r="RJR752" s="574"/>
      <c r="RJS752" s="574"/>
      <c r="RJT752" s="574"/>
      <c r="RJU752" s="574"/>
      <c r="RJV752" s="574"/>
      <c r="RJW752" s="574"/>
      <c r="RJX752" s="574"/>
      <c r="RJY752" s="574"/>
      <c r="RJZ752" s="574"/>
      <c r="RKA752" s="574"/>
      <c r="RKB752" s="574"/>
      <c r="RKC752" s="574"/>
      <c r="RKD752" s="574"/>
      <c r="RKE752" s="574"/>
      <c r="RKF752" s="574"/>
      <c r="RKG752" s="574"/>
      <c r="RKH752" s="574"/>
      <c r="RKI752" s="574"/>
      <c r="RKJ752" s="574"/>
      <c r="RKK752" s="574"/>
      <c r="RKL752" s="574"/>
      <c r="RKM752" s="574"/>
      <c r="RKN752" s="574"/>
      <c r="RKO752" s="574"/>
      <c r="RKP752" s="574"/>
      <c r="RKQ752" s="574"/>
      <c r="RKR752" s="574"/>
      <c r="RKS752" s="574"/>
      <c r="RKT752" s="574"/>
      <c r="RKU752" s="574"/>
      <c r="RKV752" s="574"/>
      <c r="RKW752" s="574"/>
      <c r="RKX752" s="574"/>
      <c r="RKY752" s="574"/>
      <c r="RKZ752" s="574"/>
      <c r="RLA752" s="574"/>
      <c r="RLB752" s="574"/>
      <c r="RLC752" s="574"/>
      <c r="RLD752" s="574"/>
      <c r="RLE752" s="574"/>
      <c r="RLF752" s="574"/>
      <c r="RLG752" s="574"/>
      <c r="RLH752" s="574"/>
      <c r="RLI752" s="574"/>
      <c r="RLJ752" s="574"/>
      <c r="RLK752" s="574"/>
      <c r="RLL752" s="574"/>
      <c r="RLM752" s="574"/>
      <c r="RLN752" s="574"/>
      <c r="RLO752" s="574"/>
      <c r="RLP752" s="574"/>
      <c r="RLQ752" s="574"/>
      <c r="RLR752" s="574"/>
      <c r="RLS752" s="574"/>
      <c r="RLT752" s="574"/>
      <c r="RLU752" s="574"/>
      <c r="RLV752" s="574"/>
      <c r="RLW752" s="574"/>
      <c r="RLX752" s="574"/>
      <c r="RLY752" s="574"/>
      <c r="RLZ752" s="574"/>
      <c r="RMA752" s="574"/>
      <c r="RMB752" s="574"/>
      <c r="RMC752" s="574"/>
      <c r="RMD752" s="574"/>
      <c r="RME752" s="574"/>
      <c r="RMF752" s="574"/>
      <c r="RMG752" s="574"/>
      <c r="RMH752" s="574"/>
      <c r="RMI752" s="574"/>
      <c r="RMJ752" s="574"/>
      <c r="RMK752" s="574"/>
      <c r="RML752" s="574"/>
      <c r="RMM752" s="574"/>
      <c r="RMN752" s="574"/>
      <c r="RMO752" s="574"/>
      <c r="RMP752" s="574"/>
      <c r="RMQ752" s="574"/>
      <c r="RMR752" s="574"/>
      <c r="RMS752" s="574"/>
      <c r="RMT752" s="574"/>
      <c r="RMU752" s="574"/>
      <c r="RMV752" s="574"/>
      <c r="RMW752" s="574"/>
      <c r="RMX752" s="574"/>
      <c r="RMY752" s="574"/>
      <c r="RMZ752" s="574"/>
      <c r="RNA752" s="574"/>
      <c r="RNB752" s="574"/>
      <c r="RNC752" s="574"/>
      <c r="RND752" s="574"/>
      <c r="RNE752" s="574"/>
      <c r="RNF752" s="574"/>
      <c r="RNG752" s="574"/>
      <c r="RNH752" s="574"/>
      <c r="RNI752" s="574"/>
      <c r="RNJ752" s="574"/>
      <c r="RNK752" s="574"/>
      <c r="RNL752" s="574"/>
      <c r="RNM752" s="574"/>
      <c r="RNN752" s="574"/>
      <c r="RNO752" s="574"/>
      <c r="RNP752" s="574"/>
      <c r="RNQ752" s="574"/>
      <c r="RNR752" s="574"/>
      <c r="RNS752" s="574"/>
      <c r="RNT752" s="574"/>
      <c r="RNU752" s="574"/>
      <c r="RNV752" s="574"/>
      <c r="RNW752" s="574"/>
      <c r="RNX752" s="574"/>
      <c r="RNY752" s="574"/>
      <c r="RNZ752" s="574"/>
      <c r="ROA752" s="574"/>
      <c r="ROB752" s="574"/>
      <c r="ROC752" s="574"/>
      <c r="ROD752" s="574"/>
      <c r="ROE752" s="574"/>
      <c r="ROF752" s="574"/>
      <c r="ROG752" s="574"/>
      <c r="ROH752" s="574"/>
      <c r="ROI752" s="574"/>
      <c r="ROJ752" s="574"/>
      <c r="ROK752" s="574"/>
      <c r="ROL752" s="574"/>
      <c r="ROM752" s="574"/>
      <c r="RON752" s="574"/>
      <c r="ROO752" s="574"/>
      <c r="ROP752" s="574"/>
      <c r="ROQ752" s="574"/>
      <c r="ROR752" s="574"/>
      <c r="ROS752" s="574"/>
      <c r="ROT752" s="574"/>
      <c r="ROU752" s="574"/>
      <c r="ROV752" s="574"/>
      <c r="ROW752" s="574"/>
      <c r="ROX752" s="574"/>
      <c r="ROY752" s="574"/>
      <c r="ROZ752" s="574"/>
      <c r="RPA752" s="574"/>
      <c r="RPB752" s="574"/>
      <c r="RPC752" s="574"/>
      <c r="RPD752" s="574"/>
      <c r="RPE752" s="574"/>
      <c r="RPF752" s="574"/>
      <c r="RPG752" s="574"/>
      <c r="RPH752" s="574"/>
      <c r="RPI752" s="574"/>
      <c r="RPJ752" s="574"/>
      <c r="RPK752" s="574"/>
      <c r="RPL752" s="574"/>
      <c r="RPM752" s="574"/>
      <c r="RPN752" s="574"/>
      <c r="RPO752" s="574"/>
      <c r="RPP752" s="574"/>
      <c r="RPQ752" s="574"/>
      <c r="RPR752" s="574"/>
      <c r="RPS752" s="574"/>
      <c r="RPT752" s="574"/>
      <c r="RPU752" s="574"/>
      <c r="RPV752" s="574"/>
      <c r="RPW752" s="574"/>
      <c r="RPX752" s="574"/>
      <c r="RPY752" s="574"/>
      <c r="RPZ752" s="574"/>
      <c r="RQA752" s="574"/>
      <c r="RQB752" s="574"/>
      <c r="RQC752" s="574"/>
      <c r="RQD752" s="574"/>
      <c r="RQE752" s="574"/>
      <c r="RQF752" s="574"/>
      <c r="RQG752" s="574"/>
      <c r="RQH752" s="574"/>
      <c r="RQI752" s="574"/>
      <c r="RQJ752" s="574"/>
      <c r="RQK752" s="574"/>
      <c r="RQL752" s="574"/>
      <c r="RQM752" s="574"/>
      <c r="RQN752" s="574"/>
      <c r="RQO752" s="574"/>
      <c r="RQP752" s="574"/>
      <c r="RQQ752" s="574"/>
      <c r="RQR752" s="574"/>
      <c r="RQS752" s="574"/>
      <c r="RQT752" s="574"/>
      <c r="RQU752" s="574"/>
      <c r="RQV752" s="574"/>
      <c r="RQW752" s="574"/>
      <c r="RQX752" s="574"/>
      <c r="RQY752" s="574"/>
      <c r="RQZ752" s="574"/>
      <c r="RRA752" s="574"/>
      <c r="RRB752" s="574"/>
      <c r="RRC752" s="574"/>
      <c r="RRD752" s="574"/>
      <c r="RRE752" s="574"/>
      <c r="RRF752" s="574"/>
      <c r="RRG752" s="574"/>
      <c r="RRH752" s="574"/>
      <c r="RRI752" s="574"/>
      <c r="RRJ752" s="574"/>
      <c r="RRK752" s="574"/>
      <c r="RRL752" s="574"/>
      <c r="RRM752" s="574"/>
      <c r="RRN752" s="574"/>
      <c r="RRO752" s="574"/>
      <c r="RRP752" s="574"/>
      <c r="RRQ752" s="574"/>
      <c r="RRR752" s="574"/>
      <c r="RRS752" s="574"/>
      <c r="RRT752" s="574"/>
      <c r="RRU752" s="574"/>
      <c r="RRV752" s="574"/>
      <c r="RRW752" s="574"/>
      <c r="RRX752" s="574"/>
      <c r="RRY752" s="574"/>
      <c r="RRZ752" s="574"/>
      <c r="RSA752" s="574"/>
      <c r="RSB752" s="574"/>
      <c r="RSC752" s="574"/>
      <c r="RSD752" s="574"/>
      <c r="RSE752" s="574"/>
      <c r="RSF752" s="574"/>
      <c r="RSG752" s="574"/>
      <c r="RSH752" s="574"/>
      <c r="RSI752" s="574"/>
      <c r="RSJ752" s="574"/>
      <c r="RSK752" s="574"/>
      <c r="RSL752" s="574"/>
      <c r="RSM752" s="574"/>
      <c r="RSN752" s="574"/>
      <c r="RSO752" s="574"/>
      <c r="RSP752" s="574"/>
      <c r="RSQ752" s="574"/>
      <c r="RSR752" s="574"/>
      <c r="RSS752" s="574"/>
      <c r="RST752" s="574"/>
      <c r="RSU752" s="574"/>
      <c r="RSV752" s="574"/>
      <c r="RSW752" s="574"/>
      <c r="RSX752" s="574"/>
      <c r="RSY752" s="574"/>
      <c r="RSZ752" s="574"/>
      <c r="RTA752" s="574"/>
      <c r="RTB752" s="574"/>
      <c r="RTC752" s="574"/>
      <c r="RTD752" s="574"/>
      <c r="RTE752" s="574"/>
      <c r="RTF752" s="574"/>
      <c r="RTG752" s="574"/>
      <c r="RTH752" s="574"/>
      <c r="RTI752" s="574"/>
      <c r="RTJ752" s="574"/>
      <c r="RTK752" s="574"/>
      <c r="RTL752" s="574"/>
      <c r="RTM752" s="574"/>
      <c r="RTN752" s="574"/>
      <c r="RTO752" s="574"/>
      <c r="RTP752" s="574"/>
      <c r="RTQ752" s="574"/>
      <c r="RTR752" s="574"/>
      <c r="RTS752" s="574"/>
      <c r="RTT752" s="574"/>
      <c r="RTU752" s="574"/>
      <c r="RTV752" s="574"/>
      <c r="RTW752" s="574"/>
      <c r="RTX752" s="574"/>
      <c r="RTY752" s="574"/>
      <c r="RTZ752" s="574"/>
      <c r="RUA752" s="574"/>
      <c r="RUB752" s="574"/>
      <c r="RUC752" s="574"/>
      <c r="RUD752" s="574"/>
      <c r="RUE752" s="574"/>
      <c r="RUF752" s="574"/>
      <c r="RUG752" s="574"/>
      <c r="RUH752" s="574"/>
      <c r="RUI752" s="574"/>
      <c r="RUJ752" s="574"/>
      <c r="RUK752" s="574"/>
      <c r="RUL752" s="574"/>
      <c r="RUM752" s="574"/>
      <c r="RUN752" s="574"/>
      <c r="RUO752" s="574"/>
      <c r="RUP752" s="574"/>
      <c r="RUQ752" s="574"/>
      <c r="RUR752" s="574"/>
      <c r="RUS752" s="574"/>
      <c r="RUT752" s="574"/>
      <c r="RUU752" s="574"/>
      <c r="RUV752" s="574"/>
      <c r="RUW752" s="574"/>
      <c r="RUX752" s="574"/>
      <c r="RUY752" s="574"/>
      <c r="RUZ752" s="574"/>
      <c r="RVA752" s="574"/>
      <c r="RVB752" s="574"/>
      <c r="RVC752" s="574"/>
      <c r="RVD752" s="574"/>
      <c r="RVE752" s="574"/>
      <c r="RVF752" s="574"/>
      <c r="RVG752" s="574"/>
      <c r="RVH752" s="574"/>
      <c r="RVI752" s="574"/>
      <c r="RVJ752" s="574"/>
      <c r="RVK752" s="574"/>
      <c r="RVL752" s="574"/>
      <c r="RVM752" s="574"/>
      <c r="RVN752" s="574"/>
      <c r="RVO752" s="574"/>
      <c r="RVP752" s="574"/>
      <c r="RVQ752" s="574"/>
      <c r="RVR752" s="574"/>
      <c r="RVS752" s="574"/>
      <c r="RVT752" s="574"/>
      <c r="RVU752" s="574"/>
      <c r="RVV752" s="574"/>
      <c r="RVW752" s="574"/>
      <c r="RVX752" s="574"/>
      <c r="RVY752" s="574"/>
      <c r="RVZ752" s="574"/>
      <c r="RWA752" s="574"/>
      <c r="RWB752" s="574"/>
      <c r="RWC752" s="574"/>
      <c r="RWD752" s="574"/>
      <c r="RWE752" s="574"/>
      <c r="RWF752" s="574"/>
      <c r="RWG752" s="574"/>
      <c r="RWH752" s="574"/>
      <c r="RWI752" s="574"/>
      <c r="RWJ752" s="574"/>
      <c r="RWK752" s="574"/>
      <c r="RWL752" s="574"/>
      <c r="RWM752" s="574"/>
      <c r="RWN752" s="574"/>
      <c r="RWO752" s="574"/>
      <c r="RWP752" s="574"/>
      <c r="RWQ752" s="574"/>
      <c r="RWR752" s="574"/>
      <c r="RWS752" s="574"/>
      <c r="RWT752" s="574"/>
      <c r="RWU752" s="574"/>
      <c r="RWV752" s="574"/>
      <c r="RWW752" s="574"/>
      <c r="RWX752" s="574"/>
      <c r="RWY752" s="574"/>
      <c r="RWZ752" s="574"/>
      <c r="RXA752" s="574"/>
      <c r="RXB752" s="574"/>
      <c r="RXC752" s="574"/>
      <c r="RXD752" s="574"/>
      <c r="RXE752" s="574"/>
      <c r="RXF752" s="574"/>
      <c r="RXG752" s="574"/>
      <c r="RXH752" s="574"/>
      <c r="RXI752" s="574"/>
      <c r="RXJ752" s="574"/>
      <c r="RXK752" s="574"/>
      <c r="RXL752" s="574"/>
      <c r="RXM752" s="574"/>
      <c r="RXN752" s="574"/>
      <c r="RXO752" s="574"/>
      <c r="RXP752" s="574"/>
      <c r="RXQ752" s="574"/>
      <c r="RXR752" s="574"/>
      <c r="RXS752" s="574"/>
      <c r="RXT752" s="574"/>
      <c r="RXU752" s="574"/>
      <c r="RXV752" s="574"/>
      <c r="RXW752" s="574"/>
      <c r="RXX752" s="574"/>
      <c r="RXY752" s="574"/>
      <c r="RXZ752" s="574"/>
      <c r="RYA752" s="574"/>
      <c r="RYB752" s="574"/>
      <c r="RYC752" s="574"/>
      <c r="RYD752" s="574"/>
      <c r="RYE752" s="574"/>
      <c r="RYF752" s="574"/>
      <c r="RYG752" s="574"/>
      <c r="RYH752" s="574"/>
      <c r="RYI752" s="574"/>
      <c r="RYJ752" s="574"/>
      <c r="RYK752" s="574"/>
      <c r="RYL752" s="574"/>
      <c r="RYM752" s="574"/>
      <c r="RYN752" s="574"/>
      <c r="RYO752" s="574"/>
      <c r="RYP752" s="574"/>
      <c r="RYQ752" s="574"/>
      <c r="RYR752" s="574"/>
      <c r="RYS752" s="574"/>
      <c r="RYT752" s="574"/>
      <c r="RYU752" s="574"/>
      <c r="RYV752" s="574"/>
      <c r="RYW752" s="574"/>
      <c r="RYX752" s="574"/>
      <c r="RYY752" s="574"/>
      <c r="RYZ752" s="574"/>
      <c r="RZA752" s="574"/>
      <c r="RZB752" s="574"/>
      <c r="RZC752" s="574"/>
      <c r="RZD752" s="574"/>
      <c r="RZE752" s="574"/>
      <c r="RZF752" s="574"/>
      <c r="RZG752" s="574"/>
      <c r="RZH752" s="574"/>
      <c r="RZI752" s="574"/>
      <c r="RZJ752" s="574"/>
      <c r="RZK752" s="574"/>
      <c r="RZL752" s="574"/>
      <c r="RZM752" s="574"/>
      <c r="RZN752" s="574"/>
      <c r="RZO752" s="574"/>
      <c r="RZP752" s="574"/>
      <c r="RZQ752" s="574"/>
      <c r="RZR752" s="574"/>
      <c r="RZS752" s="574"/>
      <c r="RZT752" s="574"/>
      <c r="RZU752" s="574"/>
      <c r="RZV752" s="574"/>
      <c r="RZW752" s="574"/>
      <c r="RZX752" s="574"/>
      <c r="RZY752" s="574"/>
      <c r="RZZ752" s="574"/>
      <c r="SAA752" s="574"/>
      <c r="SAB752" s="574"/>
      <c r="SAC752" s="574"/>
      <c r="SAD752" s="574"/>
      <c r="SAE752" s="574"/>
      <c r="SAF752" s="574"/>
      <c r="SAG752" s="574"/>
      <c r="SAH752" s="574"/>
      <c r="SAI752" s="574"/>
      <c r="SAJ752" s="574"/>
      <c r="SAK752" s="574"/>
      <c r="SAL752" s="574"/>
      <c r="SAM752" s="574"/>
      <c r="SAN752" s="574"/>
      <c r="SAO752" s="574"/>
      <c r="SAP752" s="574"/>
      <c r="SAQ752" s="574"/>
      <c r="SAR752" s="574"/>
      <c r="SAS752" s="574"/>
      <c r="SAT752" s="574"/>
      <c r="SAU752" s="574"/>
      <c r="SAV752" s="574"/>
      <c r="SAW752" s="574"/>
      <c r="SAX752" s="574"/>
      <c r="SAY752" s="574"/>
      <c r="SAZ752" s="574"/>
      <c r="SBA752" s="574"/>
      <c r="SBB752" s="574"/>
      <c r="SBC752" s="574"/>
      <c r="SBD752" s="574"/>
      <c r="SBE752" s="574"/>
      <c r="SBF752" s="574"/>
      <c r="SBG752" s="574"/>
      <c r="SBH752" s="574"/>
      <c r="SBI752" s="574"/>
      <c r="SBJ752" s="574"/>
      <c r="SBK752" s="574"/>
      <c r="SBL752" s="574"/>
      <c r="SBM752" s="574"/>
      <c r="SBN752" s="574"/>
      <c r="SBO752" s="574"/>
      <c r="SBP752" s="574"/>
      <c r="SBQ752" s="574"/>
      <c r="SBR752" s="574"/>
      <c r="SBS752" s="574"/>
      <c r="SBT752" s="574"/>
      <c r="SBU752" s="574"/>
      <c r="SBV752" s="574"/>
      <c r="SBW752" s="574"/>
      <c r="SBX752" s="574"/>
      <c r="SBY752" s="574"/>
      <c r="SBZ752" s="574"/>
      <c r="SCA752" s="574"/>
      <c r="SCB752" s="574"/>
      <c r="SCC752" s="574"/>
      <c r="SCD752" s="574"/>
      <c r="SCE752" s="574"/>
      <c r="SCF752" s="574"/>
      <c r="SCG752" s="574"/>
      <c r="SCH752" s="574"/>
      <c r="SCI752" s="574"/>
      <c r="SCJ752" s="574"/>
      <c r="SCK752" s="574"/>
      <c r="SCL752" s="574"/>
      <c r="SCM752" s="574"/>
      <c r="SCN752" s="574"/>
      <c r="SCO752" s="574"/>
      <c r="SCP752" s="574"/>
      <c r="SCQ752" s="574"/>
      <c r="SCR752" s="574"/>
      <c r="SCS752" s="574"/>
      <c r="SCT752" s="574"/>
      <c r="SCU752" s="574"/>
      <c r="SCV752" s="574"/>
      <c r="SCW752" s="574"/>
      <c r="SCX752" s="574"/>
      <c r="SCY752" s="574"/>
      <c r="SCZ752" s="574"/>
      <c r="SDA752" s="574"/>
      <c r="SDB752" s="574"/>
      <c r="SDC752" s="574"/>
      <c r="SDD752" s="574"/>
      <c r="SDE752" s="574"/>
      <c r="SDF752" s="574"/>
      <c r="SDG752" s="574"/>
      <c r="SDH752" s="574"/>
      <c r="SDI752" s="574"/>
      <c r="SDJ752" s="574"/>
      <c r="SDK752" s="574"/>
      <c r="SDL752" s="574"/>
      <c r="SDM752" s="574"/>
      <c r="SDN752" s="574"/>
      <c r="SDO752" s="574"/>
      <c r="SDP752" s="574"/>
      <c r="SDQ752" s="574"/>
      <c r="SDR752" s="574"/>
      <c r="SDS752" s="574"/>
      <c r="SDT752" s="574"/>
      <c r="SDU752" s="574"/>
      <c r="SDV752" s="574"/>
      <c r="SDW752" s="574"/>
      <c r="SDX752" s="574"/>
      <c r="SDY752" s="574"/>
      <c r="SDZ752" s="574"/>
      <c r="SEA752" s="574"/>
      <c r="SEB752" s="574"/>
      <c r="SEC752" s="574"/>
      <c r="SED752" s="574"/>
      <c r="SEE752" s="574"/>
      <c r="SEF752" s="574"/>
      <c r="SEG752" s="574"/>
      <c r="SEH752" s="574"/>
      <c r="SEI752" s="574"/>
      <c r="SEJ752" s="574"/>
      <c r="SEK752" s="574"/>
      <c r="SEL752" s="574"/>
      <c r="SEM752" s="574"/>
      <c r="SEN752" s="574"/>
      <c r="SEO752" s="574"/>
      <c r="SEP752" s="574"/>
      <c r="SEQ752" s="574"/>
      <c r="SER752" s="574"/>
      <c r="SES752" s="574"/>
      <c r="SET752" s="574"/>
      <c r="SEU752" s="574"/>
      <c r="SEV752" s="574"/>
      <c r="SEW752" s="574"/>
      <c r="SEX752" s="574"/>
      <c r="SEY752" s="574"/>
      <c r="SEZ752" s="574"/>
      <c r="SFA752" s="574"/>
      <c r="SFB752" s="574"/>
      <c r="SFC752" s="574"/>
      <c r="SFD752" s="574"/>
      <c r="SFE752" s="574"/>
      <c r="SFF752" s="574"/>
      <c r="SFG752" s="574"/>
      <c r="SFH752" s="574"/>
      <c r="SFI752" s="574"/>
      <c r="SFJ752" s="574"/>
      <c r="SFK752" s="574"/>
      <c r="SFL752" s="574"/>
      <c r="SFM752" s="574"/>
      <c r="SFN752" s="574"/>
      <c r="SFO752" s="574"/>
      <c r="SFP752" s="574"/>
      <c r="SFQ752" s="574"/>
      <c r="SFR752" s="574"/>
      <c r="SFS752" s="574"/>
      <c r="SFT752" s="574"/>
      <c r="SFU752" s="574"/>
      <c r="SFV752" s="574"/>
      <c r="SFW752" s="574"/>
      <c r="SFX752" s="574"/>
      <c r="SFY752" s="574"/>
      <c r="SFZ752" s="574"/>
      <c r="SGA752" s="574"/>
      <c r="SGB752" s="574"/>
      <c r="SGC752" s="574"/>
      <c r="SGD752" s="574"/>
      <c r="SGE752" s="574"/>
      <c r="SGF752" s="574"/>
      <c r="SGG752" s="574"/>
      <c r="SGH752" s="574"/>
      <c r="SGI752" s="574"/>
      <c r="SGJ752" s="574"/>
      <c r="SGK752" s="574"/>
      <c r="SGL752" s="574"/>
      <c r="SGM752" s="574"/>
      <c r="SGN752" s="574"/>
      <c r="SGO752" s="574"/>
      <c r="SGP752" s="574"/>
      <c r="SGQ752" s="574"/>
      <c r="SGR752" s="574"/>
      <c r="SGS752" s="574"/>
      <c r="SGT752" s="574"/>
      <c r="SGU752" s="574"/>
      <c r="SGV752" s="574"/>
      <c r="SGW752" s="574"/>
      <c r="SGX752" s="574"/>
      <c r="SGY752" s="574"/>
      <c r="SGZ752" s="574"/>
      <c r="SHA752" s="574"/>
      <c r="SHB752" s="574"/>
      <c r="SHC752" s="574"/>
      <c r="SHD752" s="574"/>
      <c r="SHE752" s="574"/>
      <c r="SHF752" s="574"/>
      <c r="SHG752" s="574"/>
      <c r="SHH752" s="574"/>
      <c r="SHI752" s="574"/>
      <c r="SHJ752" s="574"/>
      <c r="SHK752" s="574"/>
      <c r="SHL752" s="574"/>
      <c r="SHM752" s="574"/>
      <c r="SHN752" s="574"/>
      <c r="SHO752" s="574"/>
      <c r="SHP752" s="574"/>
      <c r="SHQ752" s="574"/>
      <c r="SHR752" s="574"/>
      <c r="SHS752" s="574"/>
      <c r="SHT752" s="574"/>
      <c r="SHU752" s="574"/>
      <c r="SHV752" s="574"/>
      <c r="SHW752" s="574"/>
      <c r="SHX752" s="574"/>
      <c r="SHY752" s="574"/>
      <c r="SHZ752" s="574"/>
      <c r="SIA752" s="574"/>
      <c r="SIB752" s="574"/>
      <c r="SIC752" s="574"/>
      <c r="SID752" s="574"/>
      <c r="SIE752" s="574"/>
      <c r="SIF752" s="574"/>
      <c r="SIG752" s="574"/>
      <c r="SIH752" s="574"/>
      <c r="SII752" s="574"/>
      <c r="SIJ752" s="574"/>
      <c r="SIK752" s="574"/>
      <c r="SIL752" s="574"/>
      <c r="SIM752" s="574"/>
      <c r="SIN752" s="574"/>
      <c r="SIO752" s="574"/>
      <c r="SIP752" s="574"/>
      <c r="SIQ752" s="574"/>
      <c r="SIR752" s="574"/>
      <c r="SIS752" s="574"/>
      <c r="SIT752" s="574"/>
      <c r="SIU752" s="574"/>
      <c r="SIV752" s="574"/>
      <c r="SIW752" s="574"/>
      <c r="SIX752" s="574"/>
      <c r="SIY752" s="574"/>
      <c r="SIZ752" s="574"/>
      <c r="SJA752" s="574"/>
      <c r="SJB752" s="574"/>
      <c r="SJC752" s="574"/>
      <c r="SJD752" s="574"/>
      <c r="SJE752" s="574"/>
      <c r="SJF752" s="574"/>
      <c r="SJG752" s="574"/>
      <c r="SJH752" s="574"/>
      <c r="SJI752" s="574"/>
      <c r="SJJ752" s="574"/>
      <c r="SJK752" s="574"/>
      <c r="SJL752" s="574"/>
      <c r="SJM752" s="574"/>
      <c r="SJN752" s="574"/>
      <c r="SJO752" s="574"/>
      <c r="SJP752" s="574"/>
      <c r="SJQ752" s="574"/>
      <c r="SJR752" s="574"/>
      <c r="SJS752" s="574"/>
      <c r="SJT752" s="574"/>
      <c r="SJU752" s="574"/>
      <c r="SJV752" s="574"/>
      <c r="SJW752" s="574"/>
      <c r="SJX752" s="574"/>
      <c r="SJY752" s="574"/>
      <c r="SJZ752" s="574"/>
      <c r="SKA752" s="574"/>
      <c r="SKB752" s="574"/>
      <c r="SKC752" s="574"/>
      <c r="SKD752" s="574"/>
      <c r="SKE752" s="574"/>
      <c r="SKF752" s="574"/>
      <c r="SKG752" s="574"/>
      <c r="SKH752" s="574"/>
      <c r="SKI752" s="574"/>
      <c r="SKJ752" s="574"/>
      <c r="SKK752" s="574"/>
      <c r="SKL752" s="574"/>
      <c r="SKM752" s="574"/>
      <c r="SKN752" s="574"/>
      <c r="SKO752" s="574"/>
      <c r="SKP752" s="574"/>
      <c r="SKQ752" s="574"/>
      <c r="SKR752" s="574"/>
      <c r="SKS752" s="574"/>
      <c r="SKT752" s="574"/>
      <c r="SKU752" s="574"/>
      <c r="SKV752" s="574"/>
      <c r="SKW752" s="574"/>
      <c r="SKX752" s="574"/>
      <c r="SKY752" s="574"/>
      <c r="SKZ752" s="574"/>
      <c r="SLA752" s="574"/>
      <c r="SLB752" s="574"/>
      <c r="SLC752" s="574"/>
      <c r="SLD752" s="574"/>
      <c r="SLE752" s="574"/>
      <c r="SLF752" s="574"/>
      <c r="SLG752" s="574"/>
      <c r="SLH752" s="574"/>
      <c r="SLI752" s="574"/>
      <c r="SLJ752" s="574"/>
      <c r="SLK752" s="574"/>
      <c r="SLL752" s="574"/>
      <c r="SLM752" s="574"/>
      <c r="SLN752" s="574"/>
      <c r="SLO752" s="574"/>
      <c r="SLP752" s="574"/>
      <c r="SLQ752" s="574"/>
      <c r="SLR752" s="574"/>
      <c r="SLS752" s="574"/>
      <c r="SLT752" s="574"/>
      <c r="SLU752" s="574"/>
      <c r="SLV752" s="574"/>
      <c r="SLW752" s="574"/>
      <c r="SLX752" s="574"/>
      <c r="SLY752" s="574"/>
      <c r="SLZ752" s="574"/>
      <c r="SMA752" s="574"/>
      <c r="SMB752" s="574"/>
      <c r="SMC752" s="574"/>
      <c r="SMD752" s="574"/>
      <c r="SME752" s="574"/>
      <c r="SMF752" s="574"/>
      <c r="SMG752" s="574"/>
      <c r="SMH752" s="574"/>
      <c r="SMI752" s="574"/>
      <c r="SMJ752" s="574"/>
      <c r="SMK752" s="574"/>
      <c r="SML752" s="574"/>
      <c r="SMM752" s="574"/>
      <c r="SMN752" s="574"/>
      <c r="SMO752" s="574"/>
      <c r="SMP752" s="574"/>
      <c r="SMQ752" s="574"/>
      <c r="SMR752" s="574"/>
      <c r="SMS752" s="574"/>
      <c r="SMT752" s="574"/>
      <c r="SMU752" s="574"/>
      <c r="SMV752" s="574"/>
      <c r="SMW752" s="574"/>
      <c r="SMX752" s="574"/>
      <c r="SMY752" s="574"/>
      <c r="SMZ752" s="574"/>
      <c r="SNA752" s="574"/>
      <c r="SNB752" s="574"/>
      <c r="SNC752" s="574"/>
      <c r="SND752" s="574"/>
      <c r="SNE752" s="574"/>
      <c r="SNF752" s="574"/>
      <c r="SNG752" s="574"/>
      <c r="SNH752" s="574"/>
      <c r="SNI752" s="574"/>
      <c r="SNJ752" s="574"/>
      <c r="SNK752" s="574"/>
      <c r="SNL752" s="574"/>
      <c r="SNM752" s="574"/>
      <c r="SNN752" s="574"/>
      <c r="SNO752" s="574"/>
      <c r="SNP752" s="574"/>
      <c r="SNQ752" s="574"/>
      <c r="SNR752" s="574"/>
      <c r="SNS752" s="574"/>
      <c r="SNT752" s="574"/>
      <c r="SNU752" s="574"/>
      <c r="SNV752" s="574"/>
      <c r="SNW752" s="574"/>
      <c r="SNX752" s="574"/>
      <c r="SNY752" s="574"/>
      <c r="SNZ752" s="574"/>
      <c r="SOA752" s="574"/>
      <c r="SOB752" s="574"/>
      <c r="SOC752" s="574"/>
      <c r="SOD752" s="574"/>
      <c r="SOE752" s="574"/>
      <c r="SOF752" s="574"/>
      <c r="SOG752" s="574"/>
      <c r="SOH752" s="574"/>
      <c r="SOI752" s="574"/>
      <c r="SOJ752" s="574"/>
      <c r="SOK752" s="574"/>
      <c r="SOL752" s="574"/>
      <c r="SOM752" s="574"/>
      <c r="SON752" s="574"/>
      <c r="SOO752" s="574"/>
      <c r="SOP752" s="574"/>
      <c r="SOQ752" s="574"/>
      <c r="SOR752" s="574"/>
      <c r="SOS752" s="574"/>
      <c r="SOT752" s="574"/>
      <c r="SOU752" s="574"/>
      <c r="SOV752" s="574"/>
      <c r="SOW752" s="574"/>
      <c r="SOX752" s="574"/>
      <c r="SOY752" s="574"/>
      <c r="SOZ752" s="574"/>
      <c r="SPA752" s="574"/>
      <c r="SPB752" s="574"/>
      <c r="SPC752" s="574"/>
      <c r="SPD752" s="574"/>
      <c r="SPE752" s="574"/>
      <c r="SPF752" s="574"/>
      <c r="SPG752" s="574"/>
      <c r="SPH752" s="574"/>
      <c r="SPI752" s="574"/>
      <c r="SPJ752" s="574"/>
      <c r="SPK752" s="574"/>
      <c r="SPL752" s="574"/>
      <c r="SPM752" s="574"/>
      <c r="SPN752" s="574"/>
      <c r="SPO752" s="574"/>
      <c r="SPP752" s="574"/>
      <c r="SPQ752" s="574"/>
      <c r="SPR752" s="574"/>
      <c r="SPS752" s="574"/>
      <c r="SPT752" s="574"/>
      <c r="SPU752" s="574"/>
      <c r="SPV752" s="574"/>
      <c r="SPW752" s="574"/>
      <c r="SPX752" s="574"/>
      <c r="SPY752" s="574"/>
      <c r="SPZ752" s="574"/>
      <c r="SQA752" s="574"/>
      <c r="SQB752" s="574"/>
      <c r="SQC752" s="574"/>
      <c r="SQD752" s="574"/>
      <c r="SQE752" s="574"/>
      <c r="SQF752" s="574"/>
      <c r="SQG752" s="574"/>
      <c r="SQH752" s="574"/>
      <c r="SQI752" s="574"/>
      <c r="SQJ752" s="574"/>
      <c r="SQK752" s="574"/>
      <c r="SQL752" s="574"/>
      <c r="SQM752" s="574"/>
      <c r="SQN752" s="574"/>
      <c r="SQO752" s="574"/>
      <c r="SQP752" s="574"/>
      <c r="SQQ752" s="574"/>
      <c r="SQR752" s="574"/>
      <c r="SQS752" s="574"/>
      <c r="SQT752" s="574"/>
      <c r="SQU752" s="574"/>
      <c r="SQV752" s="574"/>
      <c r="SQW752" s="574"/>
      <c r="SQX752" s="574"/>
      <c r="SQY752" s="574"/>
      <c r="SQZ752" s="574"/>
      <c r="SRA752" s="574"/>
      <c r="SRB752" s="574"/>
      <c r="SRC752" s="574"/>
      <c r="SRD752" s="574"/>
      <c r="SRE752" s="574"/>
      <c r="SRF752" s="574"/>
      <c r="SRG752" s="574"/>
      <c r="SRH752" s="574"/>
      <c r="SRI752" s="574"/>
      <c r="SRJ752" s="574"/>
      <c r="SRK752" s="574"/>
      <c r="SRL752" s="574"/>
      <c r="SRM752" s="574"/>
      <c r="SRN752" s="574"/>
      <c r="SRO752" s="574"/>
      <c r="SRP752" s="574"/>
      <c r="SRQ752" s="574"/>
      <c r="SRR752" s="574"/>
      <c r="SRS752" s="574"/>
      <c r="SRT752" s="574"/>
      <c r="SRU752" s="574"/>
      <c r="SRV752" s="574"/>
      <c r="SRW752" s="574"/>
      <c r="SRX752" s="574"/>
      <c r="SRY752" s="574"/>
      <c r="SRZ752" s="574"/>
      <c r="SSA752" s="574"/>
      <c r="SSB752" s="574"/>
      <c r="SSC752" s="574"/>
      <c r="SSD752" s="574"/>
      <c r="SSE752" s="574"/>
      <c r="SSF752" s="574"/>
      <c r="SSG752" s="574"/>
      <c r="SSH752" s="574"/>
      <c r="SSI752" s="574"/>
      <c r="SSJ752" s="574"/>
      <c r="SSK752" s="574"/>
      <c r="SSL752" s="574"/>
      <c r="SSM752" s="574"/>
      <c r="SSN752" s="574"/>
      <c r="SSO752" s="574"/>
      <c r="SSP752" s="574"/>
      <c r="SSQ752" s="574"/>
      <c r="SSR752" s="574"/>
      <c r="SSS752" s="574"/>
      <c r="SST752" s="574"/>
      <c r="SSU752" s="574"/>
      <c r="SSV752" s="574"/>
      <c r="SSW752" s="574"/>
      <c r="SSX752" s="574"/>
      <c r="SSY752" s="574"/>
      <c r="SSZ752" s="574"/>
      <c r="STA752" s="574"/>
      <c r="STB752" s="574"/>
      <c r="STC752" s="574"/>
      <c r="STD752" s="574"/>
      <c r="STE752" s="574"/>
      <c r="STF752" s="574"/>
      <c r="STG752" s="574"/>
      <c r="STH752" s="574"/>
      <c r="STI752" s="574"/>
      <c r="STJ752" s="574"/>
      <c r="STK752" s="574"/>
      <c r="STL752" s="574"/>
      <c r="STM752" s="574"/>
      <c r="STN752" s="574"/>
      <c r="STO752" s="574"/>
      <c r="STP752" s="574"/>
      <c r="STQ752" s="574"/>
      <c r="STR752" s="574"/>
      <c r="STS752" s="574"/>
      <c r="STT752" s="574"/>
      <c r="STU752" s="574"/>
      <c r="STV752" s="574"/>
      <c r="STW752" s="574"/>
      <c r="STX752" s="574"/>
      <c r="STY752" s="574"/>
      <c r="STZ752" s="574"/>
      <c r="SUA752" s="574"/>
      <c r="SUB752" s="574"/>
      <c r="SUC752" s="574"/>
      <c r="SUD752" s="574"/>
      <c r="SUE752" s="574"/>
      <c r="SUF752" s="574"/>
      <c r="SUG752" s="574"/>
      <c r="SUH752" s="574"/>
      <c r="SUI752" s="574"/>
      <c r="SUJ752" s="574"/>
      <c r="SUK752" s="574"/>
      <c r="SUL752" s="574"/>
      <c r="SUM752" s="574"/>
      <c r="SUN752" s="574"/>
      <c r="SUO752" s="574"/>
      <c r="SUP752" s="574"/>
      <c r="SUQ752" s="574"/>
      <c r="SUR752" s="574"/>
      <c r="SUS752" s="574"/>
      <c r="SUT752" s="574"/>
      <c r="SUU752" s="574"/>
      <c r="SUV752" s="574"/>
      <c r="SUW752" s="574"/>
      <c r="SUX752" s="574"/>
      <c r="SUY752" s="574"/>
      <c r="SUZ752" s="574"/>
      <c r="SVA752" s="574"/>
      <c r="SVB752" s="574"/>
      <c r="SVC752" s="574"/>
      <c r="SVD752" s="574"/>
      <c r="SVE752" s="574"/>
      <c r="SVF752" s="574"/>
      <c r="SVG752" s="574"/>
      <c r="SVH752" s="574"/>
      <c r="SVI752" s="574"/>
      <c r="SVJ752" s="574"/>
      <c r="SVK752" s="574"/>
      <c r="SVL752" s="574"/>
      <c r="SVM752" s="574"/>
      <c r="SVN752" s="574"/>
      <c r="SVO752" s="574"/>
      <c r="SVP752" s="574"/>
      <c r="SVQ752" s="574"/>
      <c r="SVR752" s="574"/>
      <c r="SVS752" s="574"/>
      <c r="SVT752" s="574"/>
      <c r="SVU752" s="574"/>
      <c r="SVV752" s="574"/>
      <c r="SVW752" s="574"/>
      <c r="SVX752" s="574"/>
      <c r="SVY752" s="574"/>
      <c r="SVZ752" s="574"/>
      <c r="SWA752" s="574"/>
      <c r="SWB752" s="574"/>
      <c r="SWC752" s="574"/>
      <c r="SWD752" s="574"/>
      <c r="SWE752" s="574"/>
      <c r="SWF752" s="574"/>
      <c r="SWG752" s="574"/>
      <c r="SWH752" s="574"/>
      <c r="SWI752" s="574"/>
      <c r="SWJ752" s="574"/>
      <c r="SWK752" s="574"/>
      <c r="SWL752" s="574"/>
      <c r="SWM752" s="574"/>
      <c r="SWN752" s="574"/>
      <c r="SWO752" s="574"/>
      <c r="SWP752" s="574"/>
      <c r="SWQ752" s="574"/>
      <c r="SWR752" s="574"/>
      <c r="SWS752" s="574"/>
      <c r="SWT752" s="574"/>
      <c r="SWU752" s="574"/>
      <c r="SWV752" s="574"/>
      <c r="SWW752" s="574"/>
      <c r="SWX752" s="574"/>
      <c r="SWY752" s="574"/>
      <c r="SWZ752" s="574"/>
      <c r="SXA752" s="574"/>
      <c r="SXB752" s="574"/>
      <c r="SXC752" s="574"/>
      <c r="SXD752" s="574"/>
      <c r="SXE752" s="574"/>
      <c r="SXF752" s="574"/>
      <c r="SXG752" s="574"/>
      <c r="SXH752" s="574"/>
      <c r="SXI752" s="574"/>
      <c r="SXJ752" s="574"/>
      <c r="SXK752" s="574"/>
      <c r="SXL752" s="574"/>
      <c r="SXM752" s="574"/>
      <c r="SXN752" s="574"/>
      <c r="SXO752" s="574"/>
      <c r="SXP752" s="574"/>
      <c r="SXQ752" s="574"/>
      <c r="SXR752" s="574"/>
      <c r="SXS752" s="574"/>
      <c r="SXT752" s="574"/>
      <c r="SXU752" s="574"/>
      <c r="SXV752" s="574"/>
      <c r="SXW752" s="574"/>
      <c r="SXX752" s="574"/>
      <c r="SXY752" s="574"/>
      <c r="SXZ752" s="574"/>
      <c r="SYA752" s="574"/>
      <c r="SYB752" s="574"/>
      <c r="SYC752" s="574"/>
      <c r="SYD752" s="574"/>
      <c r="SYE752" s="574"/>
      <c r="SYF752" s="574"/>
      <c r="SYG752" s="574"/>
      <c r="SYH752" s="574"/>
      <c r="SYI752" s="574"/>
      <c r="SYJ752" s="574"/>
      <c r="SYK752" s="574"/>
      <c r="SYL752" s="574"/>
      <c r="SYM752" s="574"/>
      <c r="SYN752" s="574"/>
      <c r="SYO752" s="574"/>
      <c r="SYP752" s="574"/>
      <c r="SYQ752" s="574"/>
      <c r="SYR752" s="574"/>
      <c r="SYS752" s="574"/>
      <c r="SYT752" s="574"/>
      <c r="SYU752" s="574"/>
      <c r="SYV752" s="574"/>
      <c r="SYW752" s="574"/>
      <c r="SYX752" s="574"/>
      <c r="SYY752" s="574"/>
      <c r="SYZ752" s="574"/>
      <c r="SZA752" s="574"/>
      <c r="SZB752" s="574"/>
      <c r="SZC752" s="574"/>
      <c r="SZD752" s="574"/>
      <c r="SZE752" s="574"/>
      <c r="SZF752" s="574"/>
      <c r="SZG752" s="574"/>
      <c r="SZH752" s="574"/>
      <c r="SZI752" s="574"/>
      <c r="SZJ752" s="574"/>
      <c r="SZK752" s="574"/>
      <c r="SZL752" s="574"/>
      <c r="SZM752" s="574"/>
      <c r="SZN752" s="574"/>
      <c r="SZO752" s="574"/>
      <c r="SZP752" s="574"/>
      <c r="SZQ752" s="574"/>
      <c r="SZR752" s="574"/>
      <c r="SZS752" s="574"/>
      <c r="SZT752" s="574"/>
      <c r="SZU752" s="574"/>
      <c r="SZV752" s="574"/>
      <c r="SZW752" s="574"/>
      <c r="SZX752" s="574"/>
      <c r="SZY752" s="574"/>
      <c r="SZZ752" s="574"/>
      <c r="TAA752" s="574"/>
      <c r="TAB752" s="574"/>
      <c r="TAC752" s="574"/>
      <c r="TAD752" s="574"/>
      <c r="TAE752" s="574"/>
      <c r="TAF752" s="574"/>
      <c r="TAG752" s="574"/>
      <c r="TAH752" s="574"/>
      <c r="TAI752" s="574"/>
      <c r="TAJ752" s="574"/>
      <c r="TAK752" s="574"/>
      <c r="TAL752" s="574"/>
      <c r="TAM752" s="574"/>
      <c r="TAN752" s="574"/>
      <c r="TAO752" s="574"/>
      <c r="TAP752" s="574"/>
      <c r="TAQ752" s="574"/>
      <c r="TAR752" s="574"/>
      <c r="TAS752" s="574"/>
      <c r="TAT752" s="574"/>
      <c r="TAU752" s="574"/>
      <c r="TAV752" s="574"/>
      <c r="TAW752" s="574"/>
      <c r="TAX752" s="574"/>
      <c r="TAY752" s="574"/>
      <c r="TAZ752" s="574"/>
      <c r="TBA752" s="574"/>
      <c r="TBB752" s="574"/>
      <c r="TBC752" s="574"/>
      <c r="TBD752" s="574"/>
      <c r="TBE752" s="574"/>
      <c r="TBF752" s="574"/>
      <c r="TBG752" s="574"/>
      <c r="TBH752" s="574"/>
      <c r="TBI752" s="574"/>
      <c r="TBJ752" s="574"/>
      <c r="TBK752" s="574"/>
      <c r="TBL752" s="574"/>
      <c r="TBM752" s="574"/>
      <c r="TBN752" s="574"/>
      <c r="TBO752" s="574"/>
      <c r="TBP752" s="574"/>
      <c r="TBQ752" s="574"/>
      <c r="TBR752" s="574"/>
      <c r="TBS752" s="574"/>
      <c r="TBT752" s="574"/>
      <c r="TBU752" s="574"/>
      <c r="TBV752" s="574"/>
      <c r="TBW752" s="574"/>
      <c r="TBX752" s="574"/>
      <c r="TBY752" s="574"/>
      <c r="TBZ752" s="574"/>
      <c r="TCA752" s="574"/>
      <c r="TCB752" s="574"/>
      <c r="TCC752" s="574"/>
      <c r="TCD752" s="574"/>
      <c r="TCE752" s="574"/>
      <c r="TCF752" s="574"/>
      <c r="TCG752" s="574"/>
      <c r="TCH752" s="574"/>
      <c r="TCI752" s="574"/>
      <c r="TCJ752" s="574"/>
      <c r="TCK752" s="574"/>
      <c r="TCL752" s="574"/>
      <c r="TCM752" s="574"/>
      <c r="TCN752" s="574"/>
      <c r="TCO752" s="574"/>
      <c r="TCP752" s="574"/>
      <c r="TCQ752" s="574"/>
      <c r="TCR752" s="574"/>
      <c r="TCS752" s="574"/>
      <c r="TCT752" s="574"/>
      <c r="TCU752" s="574"/>
      <c r="TCV752" s="574"/>
      <c r="TCW752" s="574"/>
      <c r="TCX752" s="574"/>
      <c r="TCY752" s="574"/>
      <c r="TCZ752" s="574"/>
      <c r="TDA752" s="574"/>
      <c r="TDB752" s="574"/>
      <c r="TDC752" s="574"/>
      <c r="TDD752" s="574"/>
      <c r="TDE752" s="574"/>
      <c r="TDF752" s="574"/>
      <c r="TDG752" s="574"/>
      <c r="TDH752" s="574"/>
      <c r="TDI752" s="574"/>
      <c r="TDJ752" s="574"/>
      <c r="TDK752" s="574"/>
      <c r="TDL752" s="574"/>
      <c r="TDM752" s="574"/>
      <c r="TDN752" s="574"/>
      <c r="TDO752" s="574"/>
      <c r="TDP752" s="574"/>
      <c r="TDQ752" s="574"/>
      <c r="TDR752" s="574"/>
      <c r="TDS752" s="574"/>
      <c r="TDT752" s="574"/>
      <c r="TDU752" s="574"/>
      <c r="TDV752" s="574"/>
      <c r="TDW752" s="574"/>
      <c r="TDX752" s="574"/>
      <c r="TDY752" s="574"/>
      <c r="TDZ752" s="574"/>
      <c r="TEA752" s="574"/>
      <c r="TEB752" s="574"/>
      <c r="TEC752" s="574"/>
      <c r="TED752" s="574"/>
      <c r="TEE752" s="574"/>
      <c r="TEF752" s="574"/>
      <c r="TEG752" s="574"/>
      <c r="TEH752" s="574"/>
      <c r="TEI752" s="574"/>
      <c r="TEJ752" s="574"/>
      <c r="TEK752" s="574"/>
      <c r="TEL752" s="574"/>
      <c r="TEM752" s="574"/>
      <c r="TEN752" s="574"/>
      <c r="TEO752" s="574"/>
      <c r="TEP752" s="574"/>
      <c r="TEQ752" s="574"/>
      <c r="TER752" s="574"/>
      <c r="TES752" s="574"/>
      <c r="TET752" s="574"/>
      <c r="TEU752" s="574"/>
      <c r="TEV752" s="574"/>
      <c r="TEW752" s="574"/>
      <c r="TEX752" s="574"/>
      <c r="TEY752" s="574"/>
      <c r="TEZ752" s="574"/>
      <c r="TFA752" s="574"/>
      <c r="TFB752" s="574"/>
      <c r="TFC752" s="574"/>
      <c r="TFD752" s="574"/>
      <c r="TFE752" s="574"/>
      <c r="TFF752" s="574"/>
      <c r="TFG752" s="574"/>
      <c r="TFH752" s="574"/>
      <c r="TFI752" s="574"/>
      <c r="TFJ752" s="574"/>
      <c r="TFK752" s="574"/>
      <c r="TFL752" s="574"/>
      <c r="TFM752" s="574"/>
      <c r="TFN752" s="574"/>
      <c r="TFO752" s="574"/>
      <c r="TFP752" s="574"/>
      <c r="TFQ752" s="574"/>
      <c r="TFR752" s="574"/>
      <c r="TFS752" s="574"/>
      <c r="TFT752" s="574"/>
      <c r="TFU752" s="574"/>
      <c r="TFV752" s="574"/>
      <c r="TFW752" s="574"/>
      <c r="TFX752" s="574"/>
      <c r="TFY752" s="574"/>
      <c r="TFZ752" s="574"/>
      <c r="TGA752" s="574"/>
      <c r="TGB752" s="574"/>
      <c r="TGC752" s="574"/>
      <c r="TGD752" s="574"/>
      <c r="TGE752" s="574"/>
      <c r="TGF752" s="574"/>
      <c r="TGG752" s="574"/>
      <c r="TGH752" s="574"/>
      <c r="TGI752" s="574"/>
      <c r="TGJ752" s="574"/>
      <c r="TGK752" s="574"/>
      <c r="TGL752" s="574"/>
      <c r="TGM752" s="574"/>
      <c r="TGN752" s="574"/>
      <c r="TGO752" s="574"/>
      <c r="TGP752" s="574"/>
      <c r="TGQ752" s="574"/>
      <c r="TGR752" s="574"/>
      <c r="TGS752" s="574"/>
      <c r="TGT752" s="574"/>
      <c r="TGU752" s="574"/>
      <c r="TGV752" s="574"/>
      <c r="TGW752" s="574"/>
      <c r="TGX752" s="574"/>
      <c r="TGY752" s="574"/>
      <c r="TGZ752" s="574"/>
      <c r="THA752" s="574"/>
      <c r="THB752" s="574"/>
      <c r="THC752" s="574"/>
      <c r="THD752" s="574"/>
      <c r="THE752" s="574"/>
      <c r="THF752" s="574"/>
      <c r="THG752" s="574"/>
      <c r="THH752" s="574"/>
      <c r="THI752" s="574"/>
      <c r="THJ752" s="574"/>
      <c r="THK752" s="574"/>
      <c r="THL752" s="574"/>
      <c r="THM752" s="574"/>
      <c r="THN752" s="574"/>
      <c r="THO752" s="574"/>
      <c r="THP752" s="574"/>
      <c r="THQ752" s="574"/>
      <c r="THR752" s="574"/>
      <c r="THS752" s="574"/>
      <c r="THT752" s="574"/>
      <c r="THU752" s="574"/>
      <c r="THV752" s="574"/>
      <c r="THW752" s="574"/>
      <c r="THX752" s="574"/>
      <c r="THY752" s="574"/>
      <c r="THZ752" s="574"/>
      <c r="TIA752" s="574"/>
      <c r="TIB752" s="574"/>
      <c r="TIC752" s="574"/>
      <c r="TID752" s="574"/>
      <c r="TIE752" s="574"/>
      <c r="TIF752" s="574"/>
      <c r="TIG752" s="574"/>
      <c r="TIH752" s="574"/>
      <c r="TII752" s="574"/>
      <c r="TIJ752" s="574"/>
      <c r="TIK752" s="574"/>
      <c r="TIL752" s="574"/>
      <c r="TIM752" s="574"/>
      <c r="TIN752" s="574"/>
      <c r="TIO752" s="574"/>
      <c r="TIP752" s="574"/>
      <c r="TIQ752" s="574"/>
      <c r="TIR752" s="574"/>
      <c r="TIS752" s="574"/>
      <c r="TIT752" s="574"/>
      <c r="TIU752" s="574"/>
      <c r="TIV752" s="574"/>
      <c r="TIW752" s="574"/>
      <c r="TIX752" s="574"/>
      <c r="TIY752" s="574"/>
      <c r="TIZ752" s="574"/>
      <c r="TJA752" s="574"/>
      <c r="TJB752" s="574"/>
      <c r="TJC752" s="574"/>
      <c r="TJD752" s="574"/>
      <c r="TJE752" s="574"/>
      <c r="TJF752" s="574"/>
      <c r="TJG752" s="574"/>
      <c r="TJH752" s="574"/>
      <c r="TJI752" s="574"/>
      <c r="TJJ752" s="574"/>
      <c r="TJK752" s="574"/>
      <c r="TJL752" s="574"/>
      <c r="TJM752" s="574"/>
      <c r="TJN752" s="574"/>
      <c r="TJO752" s="574"/>
      <c r="TJP752" s="574"/>
      <c r="TJQ752" s="574"/>
      <c r="TJR752" s="574"/>
      <c r="TJS752" s="574"/>
      <c r="TJT752" s="574"/>
      <c r="TJU752" s="574"/>
      <c r="TJV752" s="574"/>
      <c r="TJW752" s="574"/>
      <c r="TJX752" s="574"/>
      <c r="TJY752" s="574"/>
      <c r="TJZ752" s="574"/>
      <c r="TKA752" s="574"/>
      <c r="TKB752" s="574"/>
      <c r="TKC752" s="574"/>
      <c r="TKD752" s="574"/>
      <c r="TKE752" s="574"/>
      <c r="TKF752" s="574"/>
      <c r="TKG752" s="574"/>
      <c r="TKH752" s="574"/>
      <c r="TKI752" s="574"/>
      <c r="TKJ752" s="574"/>
      <c r="TKK752" s="574"/>
      <c r="TKL752" s="574"/>
      <c r="TKM752" s="574"/>
      <c r="TKN752" s="574"/>
      <c r="TKO752" s="574"/>
      <c r="TKP752" s="574"/>
      <c r="TKQ752" s="574"/>
      <c r="TKR752" s="574"/>
      <c r="TKS752" s="574"/>
      <c r="TKT752" s="574"/>
      <c r="TKU752" s="574"/>
      <c r="TKV752" s="574"/>
      <c r="TKW752" s="574"/>
      <c r="TKX752" s="574"/>
      <c r="TKY752" s="574"/>
      <c r="TKZ752" s="574"/>
      <c r="TLA752" s="574"/>
      <c r="TLB752" s="574"/>
      <c r="TLC752" s="574"/>
      <c r="TLD752" s="574"/>
      <c r="TLE752" s="574"/>
      <c r="TLF752" s="574"/>
      <c r="TLG752" s="574"/>
      <c r="TLH752" s="574"/>
      <c r="TLI752" s="574"/>
      <c r="TLJ752" s="574"/>
      <c r="TLK752" s="574"/>
      <c r="TLL752" s="574"/>
      <c r="TLM752" s="574"/>
      <c r="TLN752" s="574"/>
      <c r="TLO752" s="574"/>
      <c r="TLP752" s="574"/>
      <c r="TLQ752" s="574"/>
      <c r="TLR752" s="574"/>
      <c r="TLS752" s="574"/>
      <c r="TLT752" s="574"/>
      <c r="TLU752" s="574"/>
      <c r="TLV752" s="574"/>
      <c r="TLW752" s="574"/>
      <c r="TLX752" s="574"/>
      <c r="TLY752" s="574"/>
      <c r="TLZ752" s="574"/>
      <c r="TMA752" s="574"/>
      <c r="TMB752" s="574"/>
      <c r="TMC752" s="574"/>
      <c r="TMD752" s="574"/>
      <c r="TME752" s="574"/>
      <c r="TMF752" s="574"/>
      <c r="TMG752" s="574"/>
      <c r="TMH752" s="574"/>
      <c r="TMI752" s="574"/>
      <c r="TMJ752" s="574"/>
      <c r="TMK752" s="574"/>
      <c r="TML752" s="574"/>
      <c r="TMM752" s="574"/>
      <c r="TMN752" s="574"/>
      <c r="TMO752" s="574"/>
      <c r="TMP752" s="574"/>
      <c r="TMQ752" s="574"/>
      <c r="TMR752" s="574"/>
      <c r="TMS752" s="574"/>
      <c r="TMT752" s="574"/>
      <c r="TMU752" s="574"/>
      <c r="TMV752" s="574"/>
      <c r="TMW752" s="574"/>
      <c r="TMX752" s="574"/>
      <c r="TMY752" s="574"/>
      <c r="TMZ752" s="574"/>
      <c r="TNA752" s="574"/>
      <c r="TNB752" s="574"/>
      <c r="TNC752" s="574"/>
      <c r="TND752" s="574"/>
      <c r="TNE752" s="574"/>
      <c r="TNF752" s="574"/>
      <c r="TNG752" s="574"/>
      <c r="TNH752" s="574"/>
      <c r="TNI752" s="574"/>
      <c r="TNJ752" s="574"/>
      <c r="TNK752" s="574"/>
      <c r="TNL752" s="574"/>
      <c r="TNM752" s="574"/>
      <c r="TNN752" s="574"/>
      <c r="TNO752" s="574"/>
      <c r="TNP752" s="574"/>
      <c r="TNQ752" s="574"/>
      <c r="TNR752" s="574"/>
      <c r="TNS752" s="574"/>
      <c r="TNT752" s="574"/>
      <c r="TNU752" s="574"/>
      <c r="TNV752" s="574"/>
      <c r="TNW752" s="574"/>
      <c r="TNX752" s="574"/>
      <c r="TNY752" s="574"/>
      <c r="TNZ752" s="574"/>
      <c r="TOA752" s="574"/>
      <c r="TOB752" s="574"/>
      <c r="TOC752" s="574"/>
      <c r="TOD752" s="574"/>
      <c r="TOE752" s="574"/>
      <c r="TOF752" s="574"/>
      <c r="TOG752" s="574"/>
      <c r="TOH752" s="574"/>
      <c r="TOI752" s="574"/>
      <c r="TOJ752" s="574"/>
      <c r="TOK752" s="574"/>
      <c r="TOL752" s="574"/>
      <c r="TOM752" s="574"/>
      <c r="TON752" s="574"/>
      <c r="TOO752" s="574"/>
      <c r="TOP752" s="574"/>
      <c r="TOQ752" s="574"/>
      <c r="TOR752" s="574"/>
      <c r="TOS752" s="574"/>
      <c r="TOT752" s="574"/>
      <c r="TOU752" s="574"/>
      <c r="TOV752" s="574"/>
      <c r="TOW752" s="574"/>
      <c r="TOX752" s="574"/>
      <c r="TOY752" s="574"/>
      <c r="TOZ752" s="574"/>
      <c r="TPA752" s="574"/>
      <c r="TPB752" s="574"/>
      <c r="TPC752" s="574"/>
      <c r="TPD752" s="574"/>
      <c r="TPE752" s="574"/>
      <c r="TPF752" s="574"/>
      <c r="TPG752" s="574"/>
      <c r="TPH752" s="574"/>
      <c r="TPI752" s="574"/>
      <c r="TPJ752" s="574"/>
      <c r="TPK752" s="574"/>
      <c r="TPL752" s="574"/>
      <c r="TPM752" s="574"/>
      <c r="TPN752" s="574"/>
      <c r="TPO752" s="574"/>
      <c r="TPP752" s="574"/>
      <c r="TPQ752" s="574"/>
      <c r="TPR752" s="574"/>
      <c r="TPS752" s="574"/>
      <c r="TPT752" s="574"/>
      <c r="TPU752" s="574"/>
      <c r="TPV752" s="574"/>
      <c r="TPW752" s="574"/>
      <c r="TPX752" s="574"/>
      <c r="TPY752" s="574"/>
      <c r="TPZ752" s="574"/>
      <c r="TQA752" s="574"/>
      <c r="TQB752" s="574"/>
      <c r="TQC752" s="574"/>
      <c r="TQD752" s="574"/>
      <c r="TQE752" s="574"/>
      <c r="TQF752" s="574"/>
      <c r="TQG752" s="574"/>
      <c r="TQH752" s="574"/>
      <c r="TQI752" s="574"/>
      <c r="TQJ752" s="574"/>
      <c r="TQK752" s="574"/>
      <c r="TQL752" s="574"/>
      <c r="TQM752" s="574"/>
      <c r="TQN752" s="574"/>
      <c r="TQO752" s="574"/>
      <c r="TQP752" s="574"/>
      <c r="TQQ752" s="574"/>
      <c r="TQR752" s="574"/>
      <c r="TQS752" s="574"/>
      <c r="TQT752" s="574"/>
      <c r="TQU752" s="574"/>
      <c r="TQV752" s="574"/>
      <c r="TQW752" s="574"/>
      <c r="TQX752" s="574"/>
      <c r="TQY752" s="574"/>
      <c r="TQZ752" s="574"/>
      <c r="TRA752" s="574"/>
      <c r="TRB752" s="574"/>
      <c r="TRC752" s="574"/>
      <c r="TRD752" s="574"/>
      <c r="TRE752" s="574"/>
      <c r="TRF752" s="574"/>
      <c r="TRG752" s="574"/>
      <c r="TRH752" s="574"/>
      <c r="TRI752" s="574"/>
      <c r="TRJ752" s="574"/>
      <c r="TRK752" s="574"/>
      <c r="TRL752" s="574"/>
      <c r="TRM752" s="574"/>
      <c r="TRN752" s="574"/>
      <c r="TRO752" s="574"/>
      <c r="TRP752" s="574"/>
      <c r="TRQ752" s="574"/>
      <c r="TRR752" s="574"/>
      <c r="TRS752" s="574"/>
      <c r="TRT752" s="574"/>
      <c r="TRU752" s="574"/>
      <c r="TRV752" s="574"/>
      <c r="TRW752" s="574"/>
      <c r="TRX752" s="574"/>
      <c r="TRY752" s="574"/>
      <c r="TRZ752" s="574"/>
      <c r="TSA752" s="574"/>
      <c r="TSB752" s="574"/>
      <c r="TSC752" s="574"/>
      <c r="TSD752" s="574"/>
      <c r="TSE752" s="574"/>
      <c r="TSF752" s="574"/>
      <c r="TSG752" s="574"/>
      <c r="TSH752" s="574"/>
      <c r="TSI752" s="574"/>
      <c r="TSJ752" s="574"/>
      <c r="TSK752" s="574"/>
      <c r="TSL752" s="574"/>
      <c r="TSM752" s="574"/>
      <c r="TSN752" s="574"/>
      <c r="TSO752" s="574"/>
      <c r="TSP752" s="574"/>
      <c r="TSQ752" s="574"/>
      <c r="TSR752" s="574"/>
      <c r="TSS752" s="574"/>
      <c r="TST752" s="574"/>
      <c r="TSU752" s="574"/>
      <c r="TSV752" s="574"/>
      <c r="TSW752" s="574"/>
      <c r="TSX752" s="574"/>
      <c r="TSY752" s="574"/>
      <c r="TSZ752" s="574"/>
      <c r="TTA752" s="574"/>
      <c r="TTB752" s="574"/>
      <c r="TTC752" s="574"/>
      <c r="TTD752" s="574"/>
      <c r="TTE752" s="574"/>
      <c r="TTF752" s="574"/>
      <c r="TTG752" s="574"/>
      <c r="TTH752" s="574"/>
      <c r="TTI752" s="574"/>
      <c r="TTJ752" s="574"/>
      <c r="TTK752" s="574"/>
      <c r="TTL752" s="574"/>
      <c r="TTM752" s="574"/>
      <c r="TTN752" s="574"/>
      <c r="TTO752" s="574"/>
      <c r="TTP752" s="574"/>
      <c r="TTQ752" s="574"/>
      <c r="TTR752" s="574"/>
      <c r="TTS752" s="574"/>
      <c r="TTT752" s="574"/>
      <c r="TTU752" s="574"/>
      <c r="TTV752" s="574"/>
      <c r="TTW752" s="574"/>
      <c r="TTX752" s="574"/>
      <c r="TTY752" s="574"/>
      <c r="TTZ752" s="574"/>
      <c r="TUA752" s="574"/>
      <c r="TUB752" s="574"/>
      <c r="TUC752" s="574"/>
      <c r="TUD752" s="574"/>
      <c r="TUE752" s="574"/>
      <c r="TUF752" s="574"/>
      <c r="TUG752" s="574"/>
      <c r="TUH752" s="574"/>
      <c r="TUI752" s="574"/>
      <c r="TUJ752" s="574"/>
      <c r="TUK752" s="574"/>
      <c r="TUL752" s="574"/>
      <c r="TUM752" s="574"/>
      <c r="TUN752" s="574"/>
      <c r="TUO752" s="574"/>
      <c r="TUP752" s="574"/>
      <c r="TUQ752" s="574"/>
      <c r="TUR752" s="574"/>
      <c r="TUS752" s="574"/>
      <c r="TUT752" s="574"/>
      <c r="TUU752" s="574"/>
      <c r="TUV752" s="574"/>
      <c r="TUW752" s="574"/>
      <c r="TUX752" s="574"/>
      <c r="TUY752" s="574"/>
      <c r="TUZ752" s="574"/>
      <c r="TVA752" s="574"/>
      <c r="TVB752" s="574"/>
      <c r="TVC752" s="574"/>
      <c r="TVD752" s="574"/>
      <c r="TVE752" s="574"/>
      <c r="TVF752" s="574"/>
      <c r="TVG752" s="574"/>
      <c r="TVH752" s="574"/>
      <c r="TVI752" s="574"/>
      <c r="TVJ752" s="574"/>
      <c r="TVK752" s="574"/>
      <c r="TVL752" s="574"/>
      <c r="TVM752" s="574"/>
      <c r="TVN752" s="574"/>
      <c r="TVO752" s="574"/>
      <c r="TVP752" s="574"/>
      <c r="TVQ752" s="574"/>
      <c r="TVR752" s="574"/>
      <c r="TVS752" s="574"/>
      <c r="TVT752" s="574"/>
      <c r="TVU752" s="574"/>
      <c r="TVV752" s="574"/>
      <c r="TVW752" s="574"/>
      <c r="TVX752" s="574"/>
      <c r="TVY752" s="574"/>
      <c r="TVZ752" s="574"/>
      <c r="TWA752" s="574"/>
      <c r="TWB752" s="574"/>
      <c r="TWC752" s="574"/>
      <c r="TWD752" s="574"/>
      <c r="TWE752" s="574"/>
      <c r="TWF752" s="574"/>
      <c r="TWG752" s="574"/>
      <c r="TWH752" s="574"/>
      <c r="TWI752" s="574"/>
      <c r="TWJ752" s="574"/>
      <c r="TWK752" s="574"/>
      <c r="TWL752" s="574"/>
      <c r="TWM752" s="574"/>
      <c r="TWN752" s="574"/>
      <c r="TWO752" s="574"/>
      <c r="TWP752" s="574"/>
      <c r="TWQ752" s="574"/>
      <c r="TWR752" s="574"/>
      <c r="TWS752" s="574"/>
      <c r="TWT752" s="574"/>
      <c r="TWU752" s="574"/>
      <c r="TWV752" s="574"/>
      <c r="TWW752" s="574"/>
      <c r="TWX752" s="574"/>
      <c r="TWY752" s="574"/>
      <c r="TWZ752" s="574"/>
      <c r="TXA752" s="574"/>
      <c r="TXB752" s="574"/>
      <c r="TXC752" s="574"/>
      <c r="TXD752" s="574"/>
      <c r="TXE752" s="574"/>
      <c r="TXF752" s="574"/>
      <c r="TXG752" s="574"/>
      <c r="TXH752" s="574"/>
      <c r="TXI752" s="574"/>
      <c r="TXJ752" s="574"/>
      <c r="TXK752" s="574"/>
      <c r="TXL752" s="574"/>
      <c r="TXM752" s="574"/>
      <c r="TXN752" s="574"/>
      <c r="TXO752" s="574"/>
      <c r="TXP752" s="574"/>
      <c r="TXQ752" s="574"/>
      <c r="TXR752" s="574"/>
      <c r="TXS752" s="574"/>
      <c r="TXT752" s="574"/>
      <c r="TXU752" s="574"/>
      <c r="TXV752" s="574"/>
      <c r="TXW752" s="574"/>
      <c r="TXX752" s="574"/>
      <c r="TXY752" s="574"/>
      <c r="TXZ752" s="574"/>
      <c r="TYA752" s="574"/>
      <c r="TYB752" s="574"/>
      <c r="TYC752" s="574"/>
      <c r="TYD752" s="574"/>
      <c r="TYE752" s="574"/>
      <c r="TYF752" s="574"/>
      <c r="TYG752" s="574"/>
      <c r="TYH752" s="574"/>
      <c r="TYI752" s="574"/>
      <c r="TYJ752" s="574"/>
      <c r="TYK752" s="574"/>
      <c r="TYL752" s="574"/>
      <c r="TYM752" s="574"/>
      <c r="TYN752" s="574"/>
      <c r="TYO752" s="574"/>
      <c r="TYP752" s="574"/>
      <c r="TYQ752" s="574"/>
      <c r="TYR752" s="574"/>
      <c r="TYS752" s="574"/>
      <c r="TYT752" s="574"/>
      <c r="TYU752" s="574"/>
      <c r="TYV752" s="574"/>
      <c r="TYW752" s="574"/>
      <c r="TYX752" s="574"/>
      <c r="TYY752" s="574"/>
      <c r="TYZ752" s="574"/>
      <c r="TZA752" s="574"/>
      <c r="TZB752" s="574"/>
      <c r="TZC752" s="574"/>
      <c r="TZD752" s="574"/>
      <c r="TZE752" s="574"/>
      <c r="TZF752" s="574"/>
      <c r="TZG752" s="574"/>
      <c r="TZH752" s="574"/>
      <c r="TZI752" s="574"/>
      <c r="TZJ752" s="574"/>
      <c r="TZK752" s="574"/>
      <c r="TZL752" s="574"/>
      <c r="TZM752" s="574"/>
      <c r="TZN752" s="574"/>
      <c r="TZO752" s="574"/>
      <c r="TZP752" s="574"/>
      <c r="TZQ752" s="574"/>
      <c r="TZR752" s="574"/>
      <c r="TZS752" s="574"/>
      <c r="TZT752" s="574"/>
      <c r="TZU752" s="574"/>
      <c r="TZV752" s="574"/>
      <c r="TZW752" s="574"/>
      <c r="TZX752" s="574"/>
      <c r="TZY752" s="574"/>
      <c r="TZZ752" s="574"/>
      <c r="UAA752" s="574"/>
      <c r="UAB752" s="574"/>
      <c r="UAC752" s="574"/>
      <c r="UAD752" s="574"/>
      <c r="UAE752" s="574"/>
      <c r="UAF752" s="574"/>
      <c r="UAG752" s="574"/>
      <c r="UAH752" s="574"/>
      <c r="UAI752" s="574"/>
      <c r="UAJ752" s="574"/>
      <c r="UAK752" s="574"/>
      <c r="UAL752" s="574"/>
      <c r="UAM752" s="574"/>
      <c r="UAN752" s="574"/>
      <c r="UAO752" s="574"/>
      <c r="UAP752" s="574"/>
      <c r="UAQ752" s="574"/>
      <c r="UAR752" s="574"/>
      <c r="UAS752" s="574"/>
      <c r="UAT752" s="574"/>
      <c r="UAU752" s="574"/>
      <c r="UAV752" s="574"/>
      <c r="UAW752" s="574"/>
      <c r="UAX752" s="574"/>
      <c r="UAY752" s="574"/>
      <c r="UAZ752" s="574"/>
      <c r="UBA752" s="574"/>
      <c r="UBB752" s="574"/>
      <c r="UBC752" s="574"/>
      <c r="UBD752" s="574"/>
      <c r="UBE752" s="574"/>
      <c r="UBF752" s="574"/>
      <c r="UBG752" s="574"/>
      <c r="UBH752" s="574"/>
      <c r="UBI752" s="574"/>
      <c r="UBJ752" s="574"/>
      <c r="UBK752" s="574"/>
      <c r="UBL752" s="574"/>
      <c r="UBM752" s="574"/>
      <c r="UBN752" s="574"/>
      <c r="UBO752" s="574"/>
      <c r="UBP752" s="574"/>
      <c r="UBQ752" s="574"/>
      <c r="UBR752" s="574"/>
      <c r="UBS752" s="574"/>
      <c r="UBT752" s="574"/>
      <c r="UBU752" s="574"/>
      <c r="UBV752" s="574"/>
      <c r="UBW752" s="574"/>
      <c r="UBX752" s="574"/>
      <c r="UBY752" s="574"/>
      <c r="UBZ752" s="574"/>
      <c r="UCA752" s="574"/>
      <c r="UCB752" s="574"/>
      <c r="UCC752" s="574"/>
      <c r="UCD752" s="574"/>
      <c r="UCE752" s="574"/>
      <c r="UCF752" s="574"/>
      <c r="UCG752" s="574"/>
      <c r="UCH752" s="574"/>
      <c r="UCI752" s="574"/>
      <c r="UCJ752" s="574"/>
      <c r="UCK752" s="574"/>
      <c r="UCL752" s="574"/>
      <c r="UCM752" s="574"/>
      <c r="UCN752" s="574"/>
      <c r="UCO752" s="574"/>
      <c r="UCP752" s="574"/>
      <c r="UCQ752" s="574"/>
      <c r="UCR752" s="574"/>
      <c r="UCS752" s="574"/>
      <c r="UCT752" s="574"/>
      <c r="UCU752" s="574"/>
      <c r="UCV752" s="574"/>
      <c r="UCW752" s="574"/>
      <c r="UCX752" s="574"/>
      <c r="UCY752" s="574"/>
      <c r="UCZ752" s="574"/>
      <c r="UDA752" s="574"/>
      <c r="UDB752" s="574"/>
      <c r="UDC752" s="574"/>
      <c r="UDD752" s="574"/>
      <c r="UDE752" s="574"/>
      <c r="UDF752" s="574"/>
      <c r="UDG752" s="574"/>
      <c r="UDH752" s="574"/>
      <c r="UDI752" s="574"/>
      <c r="UDJ752" s="574"/>
      <c r="UDK752" s="574"/>
      <c r="UDL752" s="574"/>
      <c r="UDM752" s="574"/>
      <c r="UDN752" s="574"/>
      <c r="UDO752" s="574"/>
      <c r="UDP752" s="574"/>
      <c r="UDQ752" s="574"/>
      <c r="UDR752" s="574"/>
      <c r="UDS752" s="574"/>
      <c r="UDT752" s="574"/>
      <c r="UDU752" s="574"/>
      <c r="UDV752" s="574"/>
      <c r="UDW752" s="574"/>
      <c r="UDX752" s="574"/>
      <c r="UDY752" s="574"/>
      <c r="UDZ752" s="574"/>
      <c r="UEA752" s="574"/>
      <c r="UEB752" s="574"/>
      <c r="UEC752" s="574"/>
      <c r="UED752" s="574"/>
      <c r="UEE752" s="574"/>
      <c r="UEF752" s="574"/>
      <c r="UEG752" s="574"/>
      <c r="UEH752" s="574"/>
      <c r="UEI752" s="574"/>
      <c r="UEJ752" s="574"/>
      <c r="UEK752" s="574"/>
      <c r="UEL752" s="574"/>
      <c r="UEM752" s="574"/>
      <c r="UEN752" s="574"/>
      <c r="UEO752" s="574"/>
      <c r="UEP752" s="574"/>
      <c r="UEQ752" s="574"/>
      <c r="UER752" s="574"/>
      <c r="UES752" s="574"/>
      <c r="UET752" s="574"/>
      <c r="UEU752" s="574"/>
      <c r="UEV752" s="574"/>
      <c r="UEW752" s="574"/>
      <c r="UEX752" s="574"/>
      <c r="UEY752" s="574"/>
      <c r="UEZ752" s="574"/>
      <c r="UFA752" s="574"/>
      <c r="UFB752" s="574"/>
      <c r="UFC752" s="574"/>
      <c r="UFD752" s="574"/>
      <c r="UFE752" s="574"/>
      <c r="UFF752" s="574"/>
      <c r="UFG752" s="574"/>
      <c r="UFH752" s="574"/>
      <c r="UFI752" s="574"/>
      <c r="UFJ752" s="574"/>
      <c r="UFK752" s="574"/>
      <c r="UFL752" s="574"/>
      <c r="UFM752" s="574"/>
      <c r="UFN752" s="574"/>
      <c r="UFO752" s="574"/>
      <c r="UFP752" s="574"/>
      <c r="UFQ752" s="574"/>
      <c r="UFR752" s="574"/>
      <c r="UFS752" s="574"/>
      <c r="UFT752" s="574"/>
      <c r="UFU752" s="574"/>
      <c r="UFV752" s="574"/>
      <c r="UFW752" s="574"/>
      <c r="UFX752" s="574"/>
      <c r="UFY752" s="574"/>
      <c r="UFZ752" s="574"/>
      <c r="UGA752" s="574"/>
      <c r="UGB752" s="574"/>
      <c r="UGC752" s="574"/>
      <c r="UGD752" s="574"/>
      <c r="UGE752" s="574"/>
      <c r="UGF752" s="574"/>
      <c r="UGG752" s="574"/>
      <c r="UGH752" s="574"/>
      <c r="UGI752" s="574"/>
      <c r="UGJ752" s="574"/>
      <c r="UGK752" s="574"/>
      <c r="UGL752" s="574"/>
      <c r="UGM752" s="574"/>
      <c r="UGN752" s="574"/>
      <c r="UGO752" s="574"/>
      <c r="UGP752" s="574"/>
      <c r="UGQ752" s="574"/>
      <c r="UGR752" s="574"/>
      <c r="UGS752" s="574"/>
      <c r="UGT752" s="574"/>
      <c r="UGU752" s="574"/>
      <c r="UGV752" s="574"/>
      <c r="UGW752" s="574"/>
      <c r="UGX752" s="574"/>
      <c r="UGY752" s="574"/>
      <c r="UGZ752" s="574"/>
      <c r="UHA752" s="574"/>
      <c r="UHB752" s="574"/>
      <c r="UHC752" s="574"/>
      <c r="UHD752" s="574"/>
      <c r="UHE752" s="574"/>
      <c r="UHF752" s="574"/>
      <c r="UHG752" s="574"/>
      <c r="UHH752" s="574"/>
      <c r="UHI752" s="574"/>
      <c r="UHJ752" s="574"/>
      <c r="UHK752" s="574"/>
      <c r="UHL752" s="574"/>
      <c r="UHM752" s="574"/>
      <c r="UHN752" s="574"/>
      <c r="UHO752" s="574"/>
      <c r="UHP752" s="574"/>
      <c r="UHQ752" s="574"/>
      <c r="UHR752" s="574"/>
      <c r="UHS752" s="574"/>
      <c r="UHT752" s="574"/>
      <c r="UHU752" s="574"/>
      <c r="UHV752" s="574"/>
      <c r="UHW752" s="574"/>
      <c r="UHX752" s="574"/>
      <c r="UHY752" s="574"/>
      <c r="UHZ752" s="574"/>
      <c r="UIA752" s="574"/>
      <c r="UIB752" s="574"/>
      <c r="UIC752" s="574"/>
      <c r="UID752" s="574"/>
      <c r="UIE752" s="574"/>
      <c r="UIF752" s="574"/>
      <c r="UIG752" s="574"/>
      <c r="UIH752" s="574"/>
      <c r="UII752" s="574"/>
      <c r="UIJ752" s="574"/>
      <c r="UIK752" s="574"/>
      <c r="UIL752" s="574"/>
      <c r="UIM752" s="574"/>
      <c r="UIN752" s="574"/>
      <c r="UIO752" s="574"/>
      <c r="UIP752" s="574"/>
      <c r="UIQ752" s="574"/>
      <c r="UIR752" s="574"/>
      <c r="UIS752" s="574"/>
      <c r="UIT752" s="574"/>
      <c r="UIU752" s="574"/>
      <c r="UIV752" s="574"/>
      <c r="UIW752" s="574"/>
      <c r="UIX752" s="574"/>
      <c r="UIY752" s="574"/>
      <c r="UIZ752" s="574"/>
      <c r="UJA752" s="574"/>
      <c r="UJB752" s="574"/>
      <c r="UJC752" s="574"/>
      <c r="UJD752" s="574"/>
      <c r="UJE752" s="574"/>
      <c r="UJF752" s="574"/>
      <c r="UJG752" s="574"/>
      <c r="UJH752" s="574"/>
      <c r="UJI752" s="574"/>
      <c r="UJJ752" s="574"/>
      <c r="UJK752" s="574"/>
      <c r="UJL752" s="574"/>
      <c r="UJM752" s="574"/>
      <c r="UJN752" s="574"/>
      <c r="UJO752" s="574"/>
      <c r="UJP752" s="574"/>
      <c r="UJQ752" s="574"/>
      <c r="UJR752" s="574"/>
      <c r="UJS752" s="574"/>
      <c r="UJT752" s="574"/>
      <c r="UJU752" s="574"/>
      <c r="UJV752" s="574"/>
      <c r="UJW752" s="574"/>
      <c r="UJX752" s="574"/>
      <c r="UJY752" s="574"/>
      <c r="UJZ752" s="574"/>
      <c r="UKA752" s="574"/>
      <c r="UKB752" s="574"/>
      <c r="UKC752" s="574"/>
      <c r="UKD752" s="574"/>
      <c r="UKE752" s="574"/>
      <c r="UKF752" s="574"/>
      <c r="UKG752" s="574"/>
      <c r="UKH752" s="574"/>
      <c r="UKI752" s="574"/>
      <c r="UKJ752" s="574"/>
      <c r="UKK752" s="574"/>
      <c r="UKL752" s="574"/>
      <c r="UKM752" s="574"/>
      <c r="UKN752" s="574"/>
      <c r="UKO752" s="574"/>
      <c r="UKP752" s="574"/>
      <c r="UKQ752" s="574"/>
      <c r="UKR752" s="574"/>
      <c r="UKS752" s="574"/>
      <c r="UKT752" s="574"/>
      <c r="UKU752" s="574"/>
      <c r="UKV752" s="574"/>
      <c r="UKW752" s="574"/>
      <c r="UKX752" s="574"/>
      <c r="UKY752" s="574"/>
      <c r="UKZ752" s="574"/>
      <c r="ULA752" s="574"/>
      <c r="ULB752" s="574"/>
      <c r="ULC752" s="574"/>
      <c r="ULD752" s="574"/>
      <c r="ULE752" s="574"/>
      <c r="ULF752" s="574"/>
      <c r="ULG752" s="574"/>
      <c r="ULH752" s="574"/>
      <c r="ULI752" s="574"/>
      <c r="ULJ752" s="574"/>
      <c r="ULK752" s="574"/>
      <c r="ULL752" s="574"/>
      <c r="ULM752" s="574"/>
      <c r="ULN752" s="574"/>
      <c r="ULO752" s="574"/>
      <c r="ULP752" s="574"/>
      <c r="ULQ752" s="574"/>
      <c r="ULR752" s="574"/>
      <c r="ULS752" s="574"/>
      <c r="ULT752" s="574"/>
      <c r="ULU752" s="574"/>
      <c r="ULV752" s="574"/>
      <c r="ULW752" s="574"/>
      <c r="ULX752" s="574"/>
      <c r="ULY752" s="574"/>
      <c r="ULZ752" s="574"/>
      <c r="UMA752" s="574"/>
      <c r="UMB752" s="574"/>
      <c r="UMC752" s="574"/>
      <c r="UMD752" s="574"/>
      <c r="UME752" s="574"/>
      <c r="UMF752" s="574"/>
      <c r="UMG752" s="574"/>
      <c r="UMH752" s="574"/>
      <c r="UMI752" s="574"/>
      <c r="UMJ752" s="574"/>
      <c r="UMK752" s="574"/>
      <c r="UML752" s="574"/>
      <c r="UMM752" s="574"/>
      <c r="UMN752" s="574"/>
      <c r="UMO752" s="574"/>
      <c r="UMP752" s="574"/>
      <c r="UMQ752" s="574"/>
      <c r="UMR752" s="574"/>
      <c r="UMS752" s="574"/>
      <c r="UMT752" s="574"/>
      <c r="UMU752" s="574"/>
      <c r="UMV752" s="574"/>
      <c r="UMW752" s="574"/>
      <c r="UMX752" s="574"/>
      <c r="UMY752" s="574"/>
      <c r="UMZ752" s="574"/>
      <c r="UNA752" s="574"/>
      <c r="UNB752" s="574"/>
      <c r="UNC752" s="574"/>
      <c r="UND752" s="574"/>
      <c r="UNE752" s="574"/>
      <c r="UNF752" s="574"/>
      <c r="UNG752" s="574"/>
      <c r="UNH752" s="574"/>
      <c r="UNI752" s="574"/>
      <c r="UNJ752" s="574"/>
      <c r="UNK752" s="574"/>
      <c r="UNL752" s="574"/>
      <c r="UNM752" s="574"/>
      <c r="UNN752" s="574"/>
      <c r="UNO752" s="574"/>
      <c r="UNP752" s="574"/>
      <c r="UNQ752" s="574"/>
      <c r="UNR752" s="574"/>
      <c r="UNS752" s="574"/>
      <c r="UNT752" s="574"/>
      <c r="UNU752" s="574"/>
      <c r="UNV752" s="574"/>
      <c r="UNW752" s="574"/>
      <c r="UNX752" s="574"/>
      <c r="UNY752" s="574"/>
      <c r="UNZ752" s="574"/>
      <c r="UOA752" s="574"/>
      <c r="UOB752" s="574"/>
      <c r="UOC752" s="574"/>
      <c r="UOD752" s="574"/>
      <c r="UOE752" s="574"/>
      <c r="UOF752" s="574"/>
      <c r="UOG752" s="574"/>
      <c r="UOH752" s="574"/>
      <c r="UOI752" s="574"/>
      <c r="UOJ752" s="574"/>
      <c r="UOK752" s="574"/>
      <c r="UOL752" s="574"/>
      <c r="UOM752" s="574"/>
      <c r="UON752" s="574"/>
      <c r="UOO752" s="574"/>
      <c r="UOP752" s="574"/>
      <c r="UOQ752" s="574"/>
      <c r="UOR752" s="574"/>
      <c r="UOS752" s="574"/>
      <c r="UOT752" s="574"/>
      <c r="UOU752" s="574"/>
      <c r="UOV752" s="574"/>
      <c r="UOW752" s="574"/>
      <c r="UOX752" s="574"/>
      <c r="UOY752" s="574"/>
      <c r="UOZ752" s="574"/>
      <c r="UPA752" s="574"/>
      <c r="UPB752" s="574"/>
      <c r="UPC752" s="574"/>
      <c r="UPD752" s="574"/>
      <c r="UPE752" s="574"/>
      <c r="UPF752" s="574"/>
      <c r="UPG752" s="574"/>
      <c r="UPH752" s="574"/>
      <c r="UPI752" s="574"/>
      <c r="UPJ752" s="574"/>
      <c r="UPK752" s="574"/>
      <c r="UPL752" s="574"/>
      <c r="UPM752" s="574"/>
      <c r="UPN752" s="574"/>
      <c r="UPO752" s="574"/>
      <c r="UPP752" s="574"/>
      <c r="UPQ752" s="574"/>
      <c r="UPR752" s="574"/>
      <c r="UPS752" s="574"/>
      <c r="UPT752" s="574"/>
      <c r="UPU752" s="574"/>
      <c r="UPV752" s="574"/>
      <c r="UPW752" s="574"/>
      <c r="UPX752" s="574"/>
      <c r="UPY752" s="574"/>
      <c r="UPZ752" s="574"/>
      <c r="UQA752" s="574"/>
      <c r="UQB752" s="574"/>
      <c r="UQC752" s="574"/>
      <c r="UQD752" s="574"/>
      <c r="UQE752" s="574"/>
      <c r="UQF752" s="574"/>
      <c r="UQG752" s="574"/>
      <c r="UQH752" s="574"/>
      <c r="UQI752" s="574"/>
      <c r="UQJ752" s="574"/>
      <c r="UQK752" s="574"/>
      <c r="UQL752" s="574"/>
      <c r="UQM752" s="574"/>
      <c r="UQN752" s="574"/>
      <c r="UQO752" s="574"/>
      <c r="UQP752" s="574"/>
      <c r="UQQ752" s="574"/>
      <c r="UQR752" s="574"/>
      <c r="UQS752" s="574"/>
      <c r="UQT752" s="574"/>
      <c r="UQU752" s="574"/>
      <c r="UQV752" s="574"/>
      <c r="UQW752" s="574"/>
      <c r="UQX752" s="574"/>
      <c r="UQY752" s="574"/>
      <c r="UQZ752" s="574"/>
      <c r="URA752" s="574"/>
      <c r="URB752" s="574"/>
      <c r="URC752" s="574"/>
      <c r="URD752" s="574"/>
      <c r="URE752" s="574"/>
      <c r="URF752" s="574"/>
      <c r="URG752" s="574"/>
      <c r="URH752" s="574"/>
      <c r="URI752" s="574"/>
      <c r="URJ752" s="574"/>
      <c r="URK752" s="574"/>
      <c r="URL752" s="574"/>
      <c r="URM752" s="574"/>
      <c r="URN752" s="574"/>
      <c r="URO752" s="574"/>
      <c r="URP752" s="574"/>
      <c r="URQ752" s="574"/>
      <c r="URR752" s="574"/>
      <c r="URS752" s="574"/>
      <c r="URT752" s="574"/>
      <c r="URU752" s="574"/>
      <c r="URV752" s="574"/>
      <c r="URW752" s="574"/>
      <c r="URX752" s="574"/>
      <c r="URY752" s="574"/>
      <c r="URZ752" s="574"/>
      <c r="USA752" s="574"/>
      <c r="USB752" s="574"/>
      <c r="USC752" s="574"/>
      <c r="USD752" s="574"/>
      <c r="USE752" s="574"/>
      <c r="USF752" s="574"/>
      <c r="USG752" s="574"/>
      <c r="USH752" s="574"/>
      <c r="USI752" s="574"/>
      <c r="USJ752" s="574"/>
      <c r="USK752" s="574"/>
      <c r="USL752" s="574"/>
      <c r="USM752" s="574"/>
      <c r="USN752" s="574"/>
      <c r="USO752" s="574"/>
      <c r="USP752" s="574"/>
      <c r="USQ752" s="574"/>
      <c r="USR752" s="574"/>
      <c r="USS752" s="574"/>
      <c r="UST752" s="574"/>
      <c r="USU752" s="574"/>
      <c r="USV752" s="574"/>
      <c r="USW752" s="574"/>
      <c r="USX752" s="574"/>
      <c r="USY752" s="574"/>
      <c r="USZ752" s="574"/>
      <c r="UTA752" s="574"/>
      <c r="UTB752" s="574"/>
      <c r="UTC752" s="574"/>
      <c r="UTD752" s="574"/>
      <c r="UTE752" s="574"/>
      <c r="UTF752" s="574"/>
      <c r="UTG752" s="574"/>
      <c r="UTH752" s="574"/>
      <c r="UTI752" s="574"/>
      <c r="UTJ752" s="574"/>
      <c r="UTK752" s="574"/>
      <c r="UTL752" s="574"/>
      <c r="UTM752" s="574"/>
      <c r="UTN752" s="574"/>
      <c r="UTO752" s="574"/>
      <c r="UTP752" s="574"/>
      <c r="UTQ752" s="574"/>
      <c r="UTR752" s="574"/>
      <c r="UTS752" s="574"/>
      <c r="UTT752" s="574"/>
      <c r="UTU752" s="574"/>
      <c r="UTV752" s="574"/>
      <c r="UTW752" s="574"/>
      <c r="UTX752" s="574"/>
      <c r="UTY752" s="574"/>
      <c r="UTZ752" s="574"/>
      <c r="UUA752" s="574"/>
      <c r="UUB752" s="574"/>
      <c r="UUC752" s="574"/>
      <c r="UUD752" s="574"/>
      <c r="UUE752" s="574"/>
      <c r="UUF752" s="574"/>
      <c r="UUG752" s="574"/>
      <c r="UUH752" s="574"/>
      <c r="UUI752" s="574"/>
      <c r="UUJ752" s="574"/>
      <c r="UUK752" s="574"/>
      <c r="UUL752" s="574"/>
      <c r="UUM752" s="574"/>
      <c r="UUN752" s="574"/>
      <c r="UUO752" s="574"/>
      <c r="UUP752" s="574"/>
      <c r="UUQ752" s="574"/>
      <c r="UUR752" s="574"/>
      <c r="UUS752" s="574"/>
      <c r="UUT752" s="574"/>
      <c r="UUU752" s="574"/>
      <c r="UUV752" s="574"/>
      <c r="UUW752" s="574"/>
      <c r="UUX752" s="574"/>
      <c r="UUY752" s="574"/>
      <c r="UUZ752" s="574"/>
      <c r="UVA752" s="574"/>
      <c r="UVB752" s="574"/>
      <c r="UVC752" s="574"/>
      <c r="UVD752" s="574"/>
      <c r="UVE752" s="574"/>
      <c r="UVF752" s="574"/>
      <c r="UVG752" s="574"/>
      <c r="UVH752" s="574"/>
      <c r="UVI752" s="574"/>
      <c r="UVJ752" s="574"/>
      <c r="UVK752" s="574"/>
      <c r="UVL752" s="574"/>
      <c r="UVM752" s="574"/>
      <c r="UVN752" s="574"/>
      <c r="UVO752" s="574"/>
      <c r="UVP752" s="574"/>
      <c r="UVQ752" s="574"/>
      <c r="UVR752" s="574"/>
      <c r="UVS752" s="574"/>
      <c r="UVT752" s="574"/>
      <c r="UVU752" s="574"/>
      <c r="UVV752" s="574"/>
      <c r="UVW752" s="574"/>
      <c r="UVX752" s="574"/>
      <c r="UVY752" s="574"/>
      <c r="UVZ752" s="574"/>
      <c r="UWA752" s="574"/>
      <c r="UWB752" s="574"/>
      <c r="UWC752" s="574"/>
      <c r="UWD752" s="574"/>
      <c r="UWE752" s="574"/>
      <c r="UWF752" s="574"/>
      <c r="UWG752" s="574"/>
      <c r="UWH752" s="574"/>
      <c r="UWI752" s="574"/>
      <c r="UWJ752" s="574"/>
      <c r="UWK752" s="574"/>
      <c r="UWL752" s="574"/>
      <c r="UWM752" s="574"/>
      <c r="UWN752" s="574"/>
      <c r="UWO752" s="574"/>
      <c r="UWP752" s="574"/>
      <c r="UWQ752" s="574"/>
      <c r="UWR752" s="574"/>
      <c r="UWS752" s="574"/>
      <c r="UWT752" s="574"/>
      <c r="UWU752" s="574"/>
      <c r="UWV752" s="574"/>
      <c r="UWW752" s="574"/>
      <c r="UWX752" s="574"/>
      <c r="UWY752" s="574"/>
      <c r="UWZ752" s="574"/>
      <c r="UXA752" s="574"/>
      <c r="UXB752" s="574"/>
      <c r="UXC752" s="574"/>
      <c r="UXD752" s="574"/>
      <c r="UXE752" s="574"/>
      <c r="UXF752" s="574"/>
      <c r="UXG752" s="574"/>
      <c r="UXH752" s="574"/>
      <c r="UXI752" s="574"/>
      <c r="UXJ752" s="574"/>
      <c r="UXK752" s="574"/>
      <c r="UXL752" s="574"/>
      <c r="UXM752" s="574"/>
      <c r="UXN752" s="574"/>
      <c r="UXO752" s="574"/>
      <c r="UXP752" s="574"/>
      <c r="UXQ752" s="574"/>
      <c r="UXR752" s="574"/>
      <c r="UXS752" s="574"/>
      <c r="UXT752" s="574"/>
      <c r="UXU752" s="574"/>
      <c r="UXV752" s="574"/>
      <c r="UXW752" s="574"/>
      <c r="UXX752" s="574"/>
      <c r="UXY752" s="574"/>
      <c r="UXZ752" s="574"/>
      <c r="UYA752" s="574"/>
      <c r="UYB752" s="574"/>
      <c r="UYC752" s="574"/>
      <c r="UYD752" s="574"/>
      <c r="UYE752" s="574"/>
      <c r="UYF752" s="574"/>
      <c r="UYG752" s="574"/>
      <c r="UYH752" s="574"/>
      <c r="UYI752" s="574"/>
      <c r="UYJ752" s="574"/>
      <c r="UYK752" s="574"/>
      <c r="UYL752" s="574"/>
      <c r="UYM752" s="574"/>
      <c r="UYN752" s="574"/>
      <c r="UYO752" s="574"/>
      <c r="UYP752" s="574"/>
      <c r="UYQ752" s="574"/>
      <c r="UYR752" s="574"/>
      <c r="UYS752" s="574"/>
      <c r="UYT752" s="574"/>
      <c r="UYU752" s="574"/>
      <c r="UYV752" s="574"/>
      <c r="UYW752" s="574"/>
      <c r="UYX752" s="574"/>
      <c r="UYY752" s="574"/>
      <c r="UYZ752" s="574"/>
      <c r="UZA752" s="574"/>
      <c r="UZB752" s="574"/>
      <c r="UZC752" s="574"/>
      <c r="UZD752" s="574"/>
      <c r="UZE752" s="574"/>
      <c r="UZF752" s="574"/>
      <c r="UZG752" s="574"/>
      <c r="UZH752" s="574"/>
      <c r="UZI752" s="574"/>
      <c r="UZJ752" s="574"/>
      <c r="UZK752" s="574"/>
      <c r="UZL752" s="574"/>
      <c r="UZM752" s="574"/>
      <c r="UZN752" s="574"/>
      <c r="UZO752" s="574"/>
      <c r="UZP752" s="574"/>
      <c r="UZQ752" s="574"/>
      <c r="UZR752" s="574"/>
      <c r="UZS752" s="574"/>
      <c r="UZT752" s="574"/>
      <c r="UZU752" s="574"/>
      <c r="UZV752" s="574"/>
      <c r="UZW752" s="574"/>
      <c r="UZX752" s="574"/>
      <c r="UZY752" s="574"/>
      <c r="UZZ752" s="574"/>
      <c r="VAA752" s="574"/>
      <c r="VAB752" s="574"/>
      <c r="VAC752" s="574"/>
      <c r="VAD752" s="574"/>
      <c r="VAE752" s="574"/>
      <c r="VAF752" s="574"/>
      <c r="VAG752" s="574"/>
      <c r="VAH752" s="574"/>
      <c r="VAI752" s="574"/>
      <c r="VAJ752" s="574"/>
      <c r="VAK752" s="574"/>
      <c r="VAL752" s="574"/>
      <c r="VAM752" s="574"/>
      <c r="VAN752" s="574"/>
      <c r="VAO752" s="574"/>
      <c r="VAP752" s="574"/>
      <c r="VAQ752" s="574"/>
      <c r="VAR752" s="574"/>
      <c r="VAS752" s="574"/>
      <c r="VAT752" s="574"/>
      <c r="VAU752" s="574"/>
      <c r="VAV752" s="574"/>
      <c r="VAW752" s="574"/>
      <c r="VAX752" s="574"/>
      <c r="VAY752" s="574"/>
      <c r="VAZ752" s="574"/>
      <c r="VBA752" s="574"/>
      <c r="VBB752" s="574"/>
      <c r="VBC752" s="574"/>
      <c r="VBD752" s="574"/>
      <c r="VBE752" s="574"/>
      <c r="VBF752" s="574"/>
      <c r="VBG752" s="574"/>
      <c r="VBH752" s="574"/>
      <c r="VBI752" s="574"/>
      <c r="VBJ752" s="574"/>
      <c r="VBK752" s="574"/>
      <c r="VBL752" s="574"/>
      <c r="VBM752" s="574"/>
      <c r="VBN752" s="574"/>
      <c r="VBO752" s="574"/>
      <c r="VBP752" s="574"/>
      <c r="VBQ752" s="574"/>
      <c r="VBR752" s="574"/>
      <c r="VBS752" s="574"/>
      <c r="VBT752" s="574"/>
      <c r="VBU752" s="574"/>
      <c r="VBV752" s="574"/>
      <c r="VBW752" s="574"/>
      <c r="VBX752" s="574"/>
      <c r="VBY752" s="574"/>
      <c r="VBZ752" s="574"/>
      <c r="VCA752" s="574"/>
      <c r="VCB752" s="574"/>
      <c r="VCC752" s="574"/>
      <c r="VCD752" s="574"/>
      <c r="VCE752" s="574"/>
      <c r="VCF752" s="574"/>
      <c r="VCG752" s="574"/>
      <c r="VCH752" s="574"/>
      <c r="VCI752" s="574"/>
      <c r="VCJ752" s="574"/>
      <c r="VCK752" s="574"/>
      <c r="VCL752" s="574"/>
      <c r="VCM752" s="574"/>
      <c r="VCN752" s="574"/>
      <c r="VCO752" s="574"/>
      <c r="VCP752" s="574"/>
      <c r="VCQ752" s="574"/>
      <c r="VCR752" s="574"/>
      <c r="VCS752" s="574"/>
      <c r="VCT752" s="574"/>
      <c r="VCU752" s="574"/>
      <c r="VCV752" s="574"/>
      <c r="VCW752" s="574"/>
      <c r="VCX752" s="574"/>
      <c r="VCY752" s="574"/>
      <c r="VCZ752" s="574"/>
      <c r="VDA752" s="574"/>
      <c r="VDB752" s="574"/>
      <c r="VDC752" s="574"/>
      <c r="VDD752" s="574"/>
      <c r="VDE752" s="574"/>
      <c r="VDF752" s="574"/>
      <c r="VDG752" s="574"/>
      <c r="VDH752" s="574"/>
      <c r="VDI752" s="574"/>
      <c r="VDJ752" s="574"/>
      <c r="VDK752" s="574"/>
      <c r="VDL752" s="574"/>
      <c r="VDM752" s="574"/>
      <c r="VDN752" s="574"/>
      <c r="VDO752" s="574"/>
      <c r="VDP752" s="574"/>
      <c r="VDQ752" s="574"/>
      <c r="VDR752" s="574"/>
      <c r="VDS752" s="574"/>
      <c r="VDT752" s="574"/>
      <c r="VDU752" s="574"/>
      <c r="VDV752" s="574"/>
      <c r="VDW752" s="574"/>
      <c r="VDX752" s="574"/>
      <c r="VDY752" s="574"/>
      <c r="VDZ752" s="574"/>
      <c r="VEA752" s="574"/>
      <c r="VEB752" s="574"/>
      <c r="VEC752" s="574"/>
      <c r="VED752" s="574"/>
      <c r="VEE752" s="574"/>
      <c r="VEF752" s="574"/>
      <c r="VEG752" s="574"/>
      <c r="VEH752" s="574"/>
      <c r="VEI752" s="574"/>
      <c r="VEJ752" s="574"/>
      <c r="VEK752" s="574"/>
      <c r="VEL752" s="574"/>
      <c r="VEM752" s="574"/>
      <c r="VEN752" s="574"/>
      <c r="VEO752" s="574"/>
      <c r="VEP752" s="574"/>
      <c r="VEQ752" s="574"/>
      <c r="VER752" s="574"/>
      <c r="VES752" s="574"/>
      <c r="VET752" s="574"/>
      <c r="VEU752" s="574"/>
      <c r="VEV752" s="574"/>
      <c r="VEW752" s="574"/>
      <c r="VEX752" s="574"/>
      <c r="VEY752" s="574"/>
      <c r="VEZ752" s="574"/>
      <c r="VFA752" s="574"/>
      <c r="VFB752" s="574"/>
      <c r="VFC752" s="574"/>
      <c r="VFD752" s="574"/>
      <c r="VFE752" s="574"/>
      <c r="VFF752" s="574"/>
      <c r="VFG752" s="574"/>
      <c r="VFH752" s="574"/>
      <c r="VFI752" s="574"/>
      <c r="VFJ752" s="574"/>
      <c r="VFK752" s="574"/>
      <c r="VFL752" s="574"/>
      <c r="VFM752" s="574"/>
      <c r="VFN752" s="574"/>
      <c r="VFO752" s="574"/>
      <c r="VFP752" s="574"/>
      <c r="VFQ752" s="574"/>
      <c r="VFR752" s="574"/>
      <c r="VFS752" s="574"/>
      <c r="VFT752" s="574"/>
      <c r="VFU752" s="574"/>
      <c r="VFV752" s="574"/>
      <c r="VFW752" s="574"/>
      <c r="VFX752" s="574"/>
      <c r="VFY752" s="574"/>
      <c r="VFZ752" s="574"/>
      <c r="VGA752" s="574"/>
      <c r="VGB752" s="574"/>
      <c r="VGC752" s="574"/>
      <c r="VGD752" s="574"/>
      <c r="VGE752" s="574"/>
      <c r="VGF752" s="574"/>
      <c r="VGG752" s="574"/>
      <c r="VGH752" s="574"/>
      <c r="VGI752" s="574"/>
      <c r="VGJ752" s="574"/>
      <c r="VGK752" s="574"/>
      <c r="VGL752" s="574"/>
      <c r="VGM752" s="574"/>
      <c r="VGN752" s="574"/>
      <c r="VGO752" s="574"/>
      <c r="VGP752" s="574"/>
      <c r="VGQ752" s="574"/>
      <c r="VGR752" s="574"/>
      <c r="VGS752" s="574"/>
      <c r="VGT752" s="574"/>
      <c r="VGU752" s="574"/>
      <c r="VGV752" s="574"/>
      <c r="VGW752" s="574"/>
      <c r="VGX752" s="574"/>
      <c r="VGY752" s="574"/>
      <c r="VGZ752" s="574"/>
      <c r="VHA752" s="574"/>
      <c r="VHB752" s="574"/>
      <c r="VHC752" s="574"/>
      <c r="VHD752" s="574"/>
      <c r="VHE752" s="574"/>
      <c r="VHF752" s="574"/>
      <c r="VHG752" s="574"/>
      <c r="VHH752" s="574"/>
      <c r="VHI752" s="574"/>
      <c r="VHJ752" s="574"/>
      <c r="VHK752" s="574"/>
      <c r="VHL752" s="574"/>
      <c r="VHM752" s="574"/>
      <c r="VHN752" s="574"/>
      <c r="VHO752" s="574"/>
      <c r="VHP752" s="574"/>
      <c r="VHQ752" s="574"/>
      <c r="VHR752" s="574"/>
      <c r="VHS752" s="574"/>
      <c r="VHT752" s="574"/>
      <c r="VHU752" s="574"/>
      <c r="VHV752" s="574"/>
      <c r="VHW752" s="574"/>
      <c r="VHX752" s="574"/>
      <c r="VHY752" s="574"/>
      <c r="VHZ752" s="574"/>
      <c r="VIA752" s="574"/>
      <c r="VIB752" s="574"/>
      <c r="VIC752" s="574"/>
      <c r="VID752" s="574"/>
      <c r="VIE752" s="574"/>
      <c r="VIF752" s="574"/>
      <c r="VIG752" s="574"/>
      <c r="VIH752" s="574"/>
      <c r="VII752" s="574"/>
      <c r="VIJ752" s="574"/>
      <c r="VIK752" s="574"/>
      <c r="VIL752" s="574"/>
      <c r="VIM752" s="574"/>
      <c r="VIN752" s="574"/>
      <c r="VIO752" s="574"/>
      <c r="VIP752" s="574"/>
      <c r="VIQ752" s="574"/>
      <c r="VIR752" s="574"/>
      <c r="VIS752" s="574"/>
      <c r="VIT752" s="574"/>
      <c r="VIU752" s="574"/>
      <c r="VIV752" s="574"/>
      <c r="VIW752" s="574"/>
      <c r="VIX752" s="574"/>
      <c r="VIY752" s="574"/>
      <c r="VIZ752" s="574"/>
      <c r="VJA752" s="574"/>
      <c r="VJB752" s="574"/>
      <c r="VJC752" s="574"/>
      <c r="VJD752" s="574"/>
      <c r="VJE752" s="574"/>
      <c r="VJF752" s="574"/>
      <c r="VJG752" s="574"/>
      <c r="VJH752" s="574"/>
      <c r="VJI752" s="574"/>
      <c r="VJJ752" s="574"/>
      <c r="VJK752" s="574"/>
      <c r="VJL752" s="574"/>
      <c r="VJM752" s="574"/>
      <c r="VJN752" s="574"/>
      <c r="VJO752" s="574"/>
      <c r="VJP752" s="574"/>
      <c r="VJQ752" s="574"/>
      <c r="VJR752" s="574"/>
      <c r="VJS752" s="574"/>
      <c r="VJT752" s="574"/>
      <c r="VJU752" s="574"/>
      <c r="VJV752" s="574"/>
      <c r="VJW752" s="574"/>
      <c r="VJX752" s="574"/>
      <c r="VJY752" s="574"/>
      <c r="VJZ752" s="574"/>
      <c r="VKA752" s="574"/>
      <c r="VKB752" s="574"/>
      <c r="VKC752" s="574"/>
      <c r="VKD752" s="574"/>
      <c r="VKE752" s="574"/>
      <c r="VKF752" s="574"/>
      <c r="VKG752" s="574"/>
      <c r="VKH752" s="574"/>
      <c r="VKI752" s="574"/>
      <c r="VKJ752" s="574"/>
      <c r="VKK752" s="574"/>
      <c r="VKL752" s="574"/>
      <c r="VKM752" s="574"/>
      <c r="VKN752" s="574"/>
      <c r="VKO752" s="574"/>
      <c r="VKP752" s="574"/>
      <c r="VKQ752" s="574"/>
      <c r="VKR752" s="574"/>
      <c r="VKS752" s="574"/>
      <c r="VKT752" s="574"/>
      <c r="VKU752" s="574"/>
      <c r="VKV752" s="574"/>
      <c r="VKW752" s="574"/>
      <c r="VKX752" s="574"/>
      <c r="VKY752" s="574"/>
      <c r="VKZ752" s="574"/>
      <c r="VLA752" s="574"/>
      <c r="VLB752" s="574"/>
      <c r="VLC752" s="574"/>
      <c r="VLD752" s="574"/>
      <c r="VLE752" s="574"/>
      <c r="VLF752" s="574"/>
      <c r="VLG752" s="574"/>
      <c r="VLH752" s="574"/>
      <c r="VLI752" s="574"/>
      <c r="VLJ752" s="574"/>
      <c r="VLK752" s="574"/>
      <c r="VLL752" s="574"/>
      <c r="VLM752" s="574"/>
      <c r="VLN752" s="574"/>
      <c r="VLO752" s="574"/>
      <c r="VLP752" s="574"/>
      <c r="VLQ752" s="574"/>
      <c r="VLR752" s="574"/>
      <c r="VLS752" s="574"/>
      <c r="VLT752" s="574"/>
      <c r="VLU752" s="574"/>
      <c r="VLV752" s="574"/>
      <c r="VLW752" s="574"/>
      <c r="VLX752" s="574"/>
      <c r="VLY752" s="574"/>
      <c r="VLZ752" s="574"/>
      <c r="VMA752" s="574"/>
      <c r="VMB752" s="574"/>
      <c r="VMC752" s="574"/>
      <c r="VMD752" s="574"/>
      <c r="VME752" s="574"/>
      <c r="VMF752" s="574"/>
      <c r="VMG752" s="574"/>
      <c r="VMH752" s="574"/>
      <c r="VMI752" s="574"/>
      <c r="VMJ752" s="574"/>
      <c r="VMK752" s="574"/>
      <c r="VML752" s="574"/>
      <c r="VMM752" s="574"/>
      <c r="VMN752" s="574"/>
      <c r="VMO752" s="574"/>
      <c r="VMP752" s="574"/>
      <c r="VMQ752" s="574"/>
      <c r="VMR752" s="574"/>
      <c r="VMS752" s="574"/>
      <c r="VMT752" s="574"/>
      <c r="VMU752" s="574"/>
      <c r="VMV752" s="574"/>
      <c r="VMW752" s="574"/>
      <c r="VMX752" s="574"/>
      <c r="VMY752" s="574"/>
      <c r="VMZ752" s="574"/>
      <c r="VNA752" s="574"/>
      <c r="VNB752" s="574"/>
      <c r="VNC752" s="574"/>
      <c r="VND752" s="574"/>
      <c r="VNE752" s="574"/>
      <c r="VNF752" s="574"/>
      <c r="VNG752" s="574"/>
      <c r="VNH752" s="574"/>
      <c r="VNI752" s="574"/>
      <c r="VNJ752" s="574"/>
      <c r="VNK752" s="574"/>
      <c r="VNL752" s="574"/>
      <c r="VNM752" s="574"/>
      <c r="VNN752" s="574"/>
      <c r="VNO752" s="574"/>
      <c r="VNP752" s="574"/>
      <c r="VNQ752" s="574"/>
      <c r="VNR752" s="574"/>
      <c r="VNS752" s="574"/>
      <c r="VNT752" s="574"/>
      <c r="VNU752" s="574"/>
      <c r="VNV752" s="574"/>
      <c r="VNW752" s="574"/>
      <c r="VNX752" s="574"/>
      <c r="VNY752" s="574"/>
      <c r="VNZ752" s="574"/>
      <c r="VOA752" s="574"/>
      <c r="VOB752" s="574"/>
      <c r="VOC752" s="574"/>
      <c r="VOD752" s="574"/>
      <c r="VOE752" s="574"/>
      <c r="VOF752" s="574"/>
      <c r="VOG752" s="574"/>
      <c r="VOH752" s="574"/>
      <c r="VOI752" s="574"/>
      <c r="VOJ752" s="574"/>
      <c r="VOK752" s="574"/>
      <c r="VOL752" s="574"/>
      <c r="VOM752" s="574"/>
      <c r="VON752" s="574"/>
      <c r="VOO752" s="574"/>
      <c r="VOP752" s="574"/>
      <c r="VOQ752" s="574"/>
      <c r="VOR752" s="574"/>
      <c r="VOS752" s="574"/>
      <c r="VOT752" s="574"/>
      <c r="VOU752" s="574"/>
      <c r="VOV752" s="574"/>
      <c r="VOW752" s="574"/>
      <c r="VOX752" s="574"/>
      <c r="VOY752" s="574"/>
      <c r="VOZ752" s="574"/>
      <c r="VPA752" s="574"/>
      <c r="VPB752" s="574"/>
      <c r="VPC752" s="574"/>
      <c r="VPD752" s="574"/>
      <c r="VPE752" s="574"/>
      <c r="VPF752" s="574"/>
      <c r="VPG752" s="574"/>
      <c r="VPH752" s="574"/>
      <c r="VPI752" s="574"/>
      <c r="VPJ752" s="574"/>
      <c r="VPK752" s="574"/>
      <c r="VPL752" s="574"/>
      <c r="VPM752" s="574"/>
      <c r="VPN752" s="574"/>
      <c r="VPO752" s="574"/>
      <c r="VPP752" s="574"/>
      <c r="VPQ752" s="574"/>
      <c r="VPR752" s="574"/>
      <c r="VPS752" s="574"/>
      <c r="VPT752" s="574"/>
      <c r="VPU752" s="574"/>
      <c r="VPV752" s="574"/>
      <c r="VPW752" s="574"/>
      <c r="VPX752" s="574"/>
      <c r="VPY752" s="574"/>
      <c r="VPZ752" s="574"/>
      <c r="VQA752" s="574"/>
      <c r="VQB752" s="574"/>
      <c r="VQC752" s="574"/>
      <c r="VQD752" s="574"/>
      <c r="VQE752" s="574"/>
      <c r="VQF752" s="574"/>
      <c r="VQG752" s="574"/>
      <c r="VQH752" s="574"/>
      <c r="VQI752" s="574"/>
      <c r="VQJ752" s="574"/>
      <c r="VQK752" s="574"/>
      <c r="VQL752" s="574"/>
      <c r="VQM752" s="574"/>
      <c r="VQN752" s="574"/>
      <c r="VQO752" s="574"/>
      <c r="VQP752" s="574"/>
      <c r="VQQ752" s="574"/>
      <c r="VQR752" s="574"/>
      <c r="VQS752" s="574"/>
      <c r="VQT752" s="574"/>
      <c r="VQU752" s="574"/>
      <c r="VQV752" s="574"/>
      <c r="VQW752" s="574"/>
      <c r="VQX752" s="574"/>
      <c r="VQY752" s="574"/>
      <c r="VQZ752" s="574"/>
      <c r="VRA752" s="574"/>
      <c r="VRB752" s="574"/>
      <c r="VRC752" s="574"/>
      <c r="VRD752" s="574"/>
      <c r="VRE752" s="574"/>
      <c r="VRF752" s="574"/>
      <c r="VRG752" s="574"/>
      <c r="VRH752" s="574"/>
      <c r="VRI752" s="574"/>
      <c r="VRJ752" s="574"/>
      <c r="VRK752" s="574"/>
      <c r="VRL752" s="574"/>
      <c r="VRM752" s="574"/>
      <c r="VRN752" s="574"/>
      <c r="VRO752" s="574"/>
      <c r="VRP752" s="574"/>
      <c r="VRQ752" s="574"/>
      <c r="VRR752" s="574"/>
      <c r="VRS752" s="574"/>
      <c r="VRT752" s="574"/>
      <c r="VRU752" s="574"/>
      <c r="VRV752" s="574"/>
      <c r="VRW752" s="574"/>
      <c r="VRX752" s="574"/>
      <c r="VRY752" s="574"/>
      <c r="VRZ752" s="574"/>
      <c r="VSA752" s="574"/>
      <c r="VSB752" s="574"/>
      <c r="VSC752" s="574"/>
      <c r="VSD752" s="574"/>
      <c r="VSE752" s="574"/>
      <c r="VSF752" s="574"/>
      <c r="VSG752" s="574"/>
      <c r="VSH752" s="574"/>
      <c r="VSI752" s="574"/>
      <c r="VSJ752" s="574"/>
      <c r="VSK752" s="574"/>
      <c r="VSL752" s="574"/>
      <c r="VSM752" s="574"/>
      <c r="VSN752" s="574"/>
      <c r="VSO752" s="574"/>
      <c r="VSP752" s="574"/>
      <c r="VSQ752" s="574"/>
      <c r="VSR752" s="574"/>
      <c r="VSS752" s="574"/>
      <c r="VST752" s="574"/>
      <c r="VSU752" s="574"/>
      <c r="VSV752" s="574"/>
      <c r="VSW752" s="574"/>
      <c r="VSX752" s="574"/>
      <c r="VSY752" s="574"/>
      <c r="VSZ752" s="574"/>
      <c r="VTA752" s="574"/>
      <c r="VTB752" s="574"/>
      <c r="VTC752" s="574"/>
      <c r="VTD752" s="574"/>
      <c r="VTE752" s="574"/>
      <c r="VTF752" s="574"/>
      <c r="VTG752" s="574"/>
      <c r="VTH752" s="574"/>
      <c r="VTI752" s="574"/>
      <c r="VTJ752" s="574"/>
      <c r="VTK752" s="574"/>
      <c r="VTL752" s="574"/>
      <c r="VTM752" s="574"/>
      <c r="VTN752" s="574"/>
      <c r="VTO752" s="574"/>
      <c r="VTP752" s="574"/>
      <c r="VTQ752" s="574"/>
      <c r="VTR752" s="574"/>
      <c r="VTS752" s="574"/>
      <c r="VTT752" s="574"/>
      <c r="VTU752" s="574"/>
      <c r="VTV752" s="574"/>
      <c r="VTW752" s="574"/>
      <c r="VTX752" s="574"/>
      <c r="VTY752" s="574"/>
      <c r="VTZ752" s="574"/>
      <c r="VUA752" s="574"/>
      <c r="VUB752" s="574"/>
      <c r="VUC752" s="574"/>
      <c r="VUD752" s="574"/>
      <c r="VUE752" s="574"/>
      <c r="VUF752" s="574"/>
      <c r="VUG752" s="574"/>
      <c r="VUH752" s="574"/>
      <c r="VUI752" s="574"/>
      <c r="VUJ752" s="574"/>
      <c r="VUK752" s="574"/>
      <c r="VUL752" s="574"/>
      <c r="VUM752" s="574"/>
      <c r="VUN752" s="574"/>
      <c r="VUO752" s="574"/>
      <c r="VUP752" s="574"/>
      <c r="VUQ752" s="574"/>
      <c r="VUR752" s="574"/>
      <c r="VUS752" s="574"/>
      <c r="VUT752" s="574"/>
      <c r="VUU752" s="574"/>
      <c r="VUV752" s="574"/>
      <c r="VUW752" s="574"/>
      <c r="VUX752" s="574"/>
      <c r="VUY752" s="574"/>
      <c r="VUZ752" s="574"/>
      <c r="VVA752" s="574"/>
      <c r="VVB752" s="574"/>
      <c r="VVC752" s="574"/>
      <c r="VVD752" s="574"/>
      <c r="VVE752" s="574"/>
      <c r="VVF752" s="574"/>
      <c r="VVG752" s="574"/>
      <c r="VVH752" s="574"/>
      <c r="VVI752" s="574"/>
      <c r="VVJ752" s="574"/>
      <c r="VVK752" s="574"/>
      <c r="VVL752" s="574"/>
      <c r="VVM752" s="574"/>
      <c r="VVN752" s="574"/>
      <c r="VVO752" s="574"/>
      <c r="VVP752" s="574"/>
      <c r="VVQ752" s="574"/>
      <c r="VVR752" s="574"/>
      <c r="VVS752" s="574"/>
      <c r="VVT752" s="574"/>
      <c r="VVU752" s="574"/>
      <c r="VVV752" s="574"/>
      <c r="VVW752" s="574"/>
      <c r="VVX752" s="574"/>
      <c r="VVY752" s="574"/>
      <c r="VVZ752" s="574"/>
      <c r="VWA752" s="574"/>
      <c r="VWB752" s="574"/>
      <c r="VWC752" s="574"/>
      <c r="VWD752" s="574"/>
      <c r="VWE752" s="574"/>
      <c r="VWF752" s="574"/>
      <c r="VWG752" s="574"/>
      <c r="VWH752" s="574"/>
      <c r="VWI752" s="574"/>
      <c r="VWJ752" s="574"/>
      <c r="VWK752" s="574"/>
      <c r="VWL752" s="574"/>
      <c r="VWM752" s="574"/>
      <c r="VWN752" s="574"/>
      <c r="VWO752" s="574"/>
      <c r="VWP752" s="574"/>
      <c r="VWQ752" s="574"/>
      <c r="VWR752" s="574"/>
      <c r="VWS752" s="574"/>
      <c r="VWT752" s="574"/>
      <c r="VWU752" s="574"/>
      <c r="VWV752" s="574"/>
      <c r="VWW752" s="574"/>
      <c r="VWX752" s="574"/>
      <c r="VWY752" s="574"/>
      <c r="VWZ752" s="574"/>
      <c r="VXA752" s="574"/>
      <c r="VXB752" s="574"/>
      <c r="VXC752" s="574"/>
      <c r="VXD752" s="574"/>
      <c r="VXE752" s="574"/>
      <c r="VXF752" s="574"/>
      <c r="VXG752" s="574"/>
      <c r="VXH752" s="574"/>
      <c r="VXI752" s="574"/>
      <c r="VXJ752" s="574"/>
      <c r="VXK752" s="574"/>
      <c r="VXL752" s="574"/>
      <c r="VXM752" s="574"/>
      <c r="VXN752" s="574"/>
      <c r="VXO752" s="574"/>
      <c r="VXP752" s="574"/>
      <c r="VXQ752" s="574"/>
      <c r="VXR752" s="574"/>
      <c r="VXS752" s="574"/>
      <c r="VXT752" s="574"/>
      <c r="VXU752" s="574"/>
      <c r="VXV752" s="574"/>
      <c r="VXW752" s="574"/>
      <c r="VXX752" s="574"/>
      <c r="VXY752" s="574"/>
      <c r="VXZ752" s="574"/>
      <c r="VYA752" s="574"/>
      <c r="VYB752" s="574"/>
      <c r="VYC752" s="574"/>
      <c r="VYD752" s="574"/>
      <c r="VYE752" s="574"/>
      <c r="VYF752" s="574"/>
      <c r="VYG752" s="574"/>
      <c r="VYH752" s="574"/>
      <c r="VYI752" s="574"/>
      <c r="VYJ752" s="574"/>
      <c r="VYK752" s="574"/>
      <c r="VYL752" s="574"/>
      <c r="VYM752" s="574"/>
      <c r="VYN752" s="574"/>
      <c r="VYO752" s="574"/>
      <c r="VYP752" s="574"/>
      <c r="VYQ752" s="574"/>
      <c r="VYR752" s="574"/>
      <c r="VYS752" s="574"/>
      <c r="VYT752" s="574"/>
      <c r="VYU752" s="574"/>
      <c r="VYV752" s="574"/>
      <c r="VYW752" s="574"/>
      <c r="VYX752" s="574"/>
      <c r="VYY752" s="574"/>
      <c r="VYZ752" s="574"/>
      <c r="VZA752" s="574"/>
      <c r="VZB752" s="574"/>
      <c r="VZC752" s="574"/>
      <c r="VZD752" s="574"/>
      <c r="VZE752" s="574"/>
      <c r="VZF752" s="574"/>
      <c r="VZG752" s="574"/>
      <c r="VZH752" s="574"/>
      <c r="VZI752" s="574"/>
      <c r="VZJ752" s="574"/>
      <c r="VZK752" s="574"/>
      <c r="VZL752" s="574"/>
      <c r="VZM752" s="574"/>
      <c r="VZN752" s="574"/>
      <c r="VZO752" s="574"/>
      <c r="VZP752" s="574"/>
      <c r="VZQ752" s="574"/>
      <c r="VZR752" s="574"/>
      <c r="VZS752" s="574"/>
      <c r="VZT752" s="574"/>
      <c r="VZU752" s="574"/>
      <c r="VZV752" s="574"/>
      <c r="VZW752" s="574"/>
      <c r="VZX752" s="574"/>
      <c r="VZY752" s="574"/>
      <c r="VZZ752" s="574"/>
      <c r="WAA752" s="574"/>
      <c r="WAB752" s="574"/>
      <c r="WAC752" s="574"/>
      <c r="WAD752" s="574"/>
      <c r="WAE752" s="574"/>
      <c r="WAF752" s="574"/>
      <c r="WAG752" s="574"/>
      <c r="WAH752" s="574"/>
      <c r="WAI752" s="574"/>
      <c r="WAJ752" s="574"/>
      <c r="WAK752" s="574"/>
      <c r="WAL752" s="574"/>
      <c r="WAM752" s="574"/>
      <c r="WAN752" s="574"/>
      <c r="WAO752" s="574"/>
      <c r="WAP752" s="574"/>
      <c r="WAQ752" s="574"/>
      <c r="WAR752" s="574"/>
      <c r="WAS752" s="574"/>
      <c r="WAT752" s="574"/>
      <c r="WAU752" s="574"/>
      <c r="WAV752" s="574"/>
      <c r="WAW752" s="574"/>
      <c r="WAX752" s="574"/>
      <c r="WAY752" s="574"/>
      <c r="WAZ752" s="574"/>
      <c r="WBA752" s="574"/>
      <c r="WBB752" s="574"/>
      <c r="WBC752" s="574"/>
      <c r="WBD752" s="574"/>
      <c r="WBE752" s="574"/>
      <c r="WBF752" s="574"/>
      <c r="WBG752" s="574"/>
      <c r="WBH752" s="574"/>
      <c r="WBI752" s="574"/>
      <c r="WBJ752" s="574"/>
      <c r="WBK752" s="574"/>
      <c r="WBL752" s="574"/>
      <c r="WBM752" s="574"/>
      <c r="WBN752" s="574"/>
      <c r="WBO752" s="574"/>
      <c r="WBP752" s="574"/>
      <c r="WBQ752" s="574"/>
      <c r="WBR752" s="574"/>
      <c r="WBS752" s="574"/>
      <c r="WBT752" s="574"/>
      <c r="WBU752" s="574"/>
      <c r="WBV752" s="574"/>
      <c r="WBW752" s="574"/>
      <c r="WBX752" s="574"/>
      <c r="WBY752" s="574"/>
      <c r="WBZ752" s="574"/>
      <c r="WCA752" s="574"/>
      <c r="WCB752" s="574"/>
      <c r="WCC752" s="574"/>
      <c r="WCD752" s="574"/>
      <c r="WCE752" s="574"/>
      <c r="WCF752" s="574"/>
      <c r="WCG752" s="574"/>
      <c r="WCH752" s="574"/>
      <c r="WCI752" s="574"/>
      <c r="WCJ752" s="574"/>
      <c r="WCK752" s="574"/>
      <c r="WCL752" s="574"/>
      <c r="WCM752" s="574"/>
      <c r="WCN752" s="574"/>
      <c r="WCO752" s="574"/>
      <c r="WCP752" s="574"/>
      <c r="WCQ752" s="574"/>
      <c r="WCR752" s="574"/>
      <c r="WCS752" s="574"/>
      <c r="WCT752" s="574"/>
      <c r="WCU752" s="574"/>
      <c r="WCV752" s="574"/>
      <c r="WCW752" s="574"/>
      <c r="WCX752" s="574"/>
      <c r="WCY752" s="574"/>
      <c r="WCZ752" s="574"/>
      <c r="WDA752" s="574"/>
      <c r="WDB752" s="574"/>
      <c r="WDC752" s="574"/>
      <c r="WDD752" s="574"/>
      <c r="WDE752" s="574"/>
      <c r="WDF752" s="574"/>
      <c r="WDG752" s="574"/>
      <c r="WDH752" s="574"/>
      <c r="WDI752" s="574"/>
      <c r="WDJ752" s="574"/>
      <c r="WDK752" s="574"/>
      <c r="WDL752" s="574"/>
      <c r="WDM752" s="574"/>
      <c r="WDN752" s="574"/>
      <c r="WDO752" s="574"/>
      <c r="WDP752" s="574"/>
      <c r="WDQ752" s="574"/>
      <c r="WDR752" s="574"/>
      <c r="WDS752" s="574"/>
      <c r="WDT752" s="574"/>
      <c r="WDU752" s="574"/>
      <c r="WDV752" s="574"/>
      <c r="WDW752" s="574"/>
      <c r="WDX752" s="574"/>
      <c r="WDY752" s="574"/>
      <c r="WDZ752" s="574"/>
      <c r="WEA752" s="574"/>
      <c r="WEB752" s="574"/>
      <c r="WEC752" s="574"/>
      <c r="WED752" s="574"/>
      <c r="WEE752" s="574"/>
      <c r="WEF752" s="574"/>
      <c r="WEG752" s="574"/>
      <c r="WEH752" s="574"/>
      <c r="WEI752" s="574"/>
      <c r="WEJ752" s="574"/>
      <c r="WEK752" s="574"/>
      <c r="WEL752" s="574"/>
      <c r="WEM752" s="574"/>
      <c r="WEN752" s="574"/>
      <c r="WEO752" s="574"/>
      <c r="WEP752" s="574"/>
      <c r="WEQ752" s="574"/>
      <c r="WER752" s="574"/>
      <c r="WES752" s="574"/>
      <c r="WET752" s="574"/>
      <c r="WEU752" s="574"/>
      <c r="WEV752" s="574"/>
      <c r="WEW752" s="574"/>
      <c r="WEX752" s="574"/>
      <c r="WEY752" s="574"/>
      <c r="WEZ752" s="574"/>
      <c r="WFA752" s="574"/>
      <c r="WFB752" s="574"/>
      <c r="WFC752" s="574"/>
      <c r="WFD752" s="574"/>
      <c r="WFE752" s="574"/>
      <c r="WFF752" s="574"/>
      <c r="WFG752" s="574"/>
      <c r="WFH752" s="574"/>
      <c r="WFI752" s="574"/>
      <c r="WFJ752" s="574"/>
      <c r="WFK752" s="574"/>
      <c r="WFL752" s="574"/>
      <c r="WFM752" s="574"/>
      <c r="WFN752" s="574"/>
      <c r="WFO752" s="574"/>
      <c r="WFP752" s="574"/>
      <c r="WFQ752" s="574"/>
      <c r="WFR752" s="574"/>
      <c r="WFS752" s="574"/>
      <c r="WFT752" s="574"/>
      <c r="WFU752" s="574"/>
      <c r="WFV752" s="574"/>
      <c r="WFW752" s="574"/>
      <c r="WFX752" s="574"/>
      <c r="WFY752" s="574"/>
      <c r="WFZ752" s="574"/>
      <c r="WGA752" s="574"/>
      <c r="WGB752" s="574"/>
      <c r="WGC752" s="574"/>
      <c r="WGD752" s="574"/>
      <c r="WGE752" s="574"/>
      <c r="WGF752" s="574"/>
      <c r="WGG752" s="574"/>
      <c r="WGH752" s="574"/>
      <c r="WGI752" s="574"/>
      <c r="WGJ752" s="574"/>
      <c r="WGK752" s="574"/>
      <c r="WGL752" s="574"/>
      <c r="WGM752" s="574"/>
      <c r="WGN752" s="574"/>
      <c r="WGO752" s="574"/>
      <c r="WGP752" s="574"/>
      <c r="WGQ752" s="574"/>
      <c r="WGR752" s="574"/>
      <c r="WGS752" s="574"/>
      <c r="WGT752" s="574"/>
      <c r="WGU752" s="574"/>
      <c r="WGV752" s="574"/>
      <c r="WGW752" s="574"/>
      <c r="WGX752" s="574"/>
      <c r="WGY752" s="574"/>
      <c r="WGZ752" s="574"/>
      <c r="WHA752" s="574"/>
      <c r="WHB752" s="574"/>
      <c r="WHC752" s="574"/>
      <c r="WHD752" s="574"/>
      <c r="WHE752" s="574"/>
      <c r="WHF752" s="574"/>
      <c r="WHG752" s="574"/>
      <c r="WHH752" s="574"/>
      <c r="WHI752" s="574"/>
      <c r="WHJ752" s="574"/>
      <c r="WHK752" s="574"/>
      <c r="WHL752" s="574"/>
      <c r="WHM752" s="574"/>
      <c r="WHN752" s="574"/>
      <c r="WHO752" s="574"/>
      <c r="WHP752" s="574"/>
      <c r="WHQ752" s="574"/>
      <c r="WHR752" s="574"/>
      <c r="WHS752" s="574"/>
      <c r="WHT752" s="574"/>
      <c r="WHU752" s="574"/>
      <c r="WHV752" s="574"/>
      <c r="WHW752" s="574"/>
      <c r="WHX752" s="574"/>
      <c r="WHY752" s="574"/>
      <c r="WHZ752" s="574"/>
      <c r="WIA752" s="574"/>
      <c r="WIB752" s="574"/>
      <c r="WIC752" s="574"/>
      <c r="WID752" s="574"/>
      <c r="WIE752" s="574"/>
      <c r="WIF752" s="574"/>
      <c r="WIG752" s="574"/>
      <c r="WIH752" s="574"/>
      <c r="WII752" s="574"/>
      <c r="WIJ752" s="574"/>
      <c r="WIK752" s="574"/>
      <c r="WIL752" s="574"/>
      <c r="WIM752" s="574"/>
      <c r="WIN752" s="574"/>
      <c r="WIO752" s="574"/>
      <c r="WIP752" s="574"/>
      <c r="WIQ752" s="574"/>
      <c r="WIR752" s="574"/>
      <c r="WIS752" s="574"/>
      <c r="WIT752" s="574"/>
      <c r="WIU752" s="574"/>
      <c r="WIV752" s="574"/>
      <c r="WIW752" s="574"/>
      <c r="WIX752" s="574"/>
      <c r="WIY752" s="574"/>
      <c r="WIZ752" s="574"/>
      <c r="WJA752" s="574"/>
      <c r="WJB752" s="574"/>
      <c r="WJC752" s="574"/>
      <c r="WJD752" s="574"/>
      <c r="WJE752" s="574"/>
      <c r="WJF752" s="574"/>
      <c r="WJG752" s="574"/>
      <c r="WJH752" s="574"/>
      <c r="WJI752" s="574"/>
      <c r="WJJ752" s="574"/>
      <c r="WJK752" s="574"/>
      <c r="WJL752" s="574"/>
      <c r="WJM752" s="574"/>
      <c r="WJN752" s="574"/>
      <c r="WJO752" s="574"/>
      <c r="WJP752" s="574"/>
      <c r="WJQ752" s="574"/>
      <c r="WJR752" s="574"/>
      <c r="WJS752" s="574"/>
      <c r="WJT752" s="574"/>
      <c r="WJU752" s="574"/>
      <c r="WJV752" s="574"/>
      <c r="WJW752" s="574"/>
      <c r="WJX752" s="574"/>
      <c r="WJY752" s="574"/>
      <c r="WJZ752" s="574"/>
      <c r="WKA752" s="574"/>
      <c r="WKB752" s="574"/>
      <c r="WKC752" s="574"/>
      <c r="WKD752" s="574"/>
      <c r="WKE752" s="574"/>
      <c r="WKF752" s="574"/>
      <c r="WKG752" s="574"/>
      <c r="WKH752" s="574"/>
      <c r="WKI752" s="574"/>
      <c r="WKJ752" s="574"/>
      <c r="WKK752" s="574"/>
      <c r="WKL752" s="574"/>
      <c r="WKM752" s="574"/>
      <c r="WKN752" s="574"/>
      <c r="WKO752" s="574"/>
      <c r="WKP752" s="574"/>
      <c r="WKQ752" s="574"/>
      <c r="WKR752" s="574"/>
      <c r="WKS752" s="574"/>
      <c r="WKT752" s="574"/>
      <c r="WKU752" s="574"/>
      <c r="WKV752" s="574"/>
      <c r="WKW752" s="574"/>
      <c r="WKX752" s="574"/>
      <c r="WKY752" s="574"/>
      <c r="WKZ752" s="574"/>
      <c r="WLA752" s="574"/>
      <c r="WLB752" s="574"/>
      <c r="WLC752" s="574"/>
      <c r="WLD752" s="574"/>
      <c r="WLE752" s="574"/>
      <c r="WLF752" s="574"/>
      <c r="WLG752" s="574"/>
      <c r="WLH752" s="574"/>
      <c r="WLI752" s="574"/>
      <c r="WLJ752" s="574"/>
      <c r="WLK752" s="574"/>
      <c r="WLL752" s="574"/>
      <c r="WLM752" s="574"/>
      <c r="WLN752" s="574"/>
      <c r="WLO752" s="574"/>
      <c r="WLP752" s="574"/>
      <c r="WLQ752" s="574"/>
      <c r="WLR752" s="574"/>
      <c r="WLS752" s="574"/>
      <c r="WLT752" s="574"/>
      <c r="WLU752" s="574"/>
      <c r="WLV752" s="574"/>
      <c r="WLW752" s="574"/>
      <c r="WLX752" s="574"/>
      <c r="WLY752" s="574"/>
      <c r="WLZ752" s="574"/>
      <c r="WMA752" s="574"/>
      <c r="WMB752" s="574"/>
      <c r="WMC752" s="574"/>
      <c r="WMD752" s="574"/>
      <c r="WME752" s="574"/>
      <c r="WMF752" s="574"/>
      <c r="WMG752" s="574"/>
      <c r="WMH752" s="574"/>
      <c r="WMI752" s="574"/>
      <c r="WMJ752" s="574"/>
      <c r="WMK752" s="574"/>
      <c r="WML752" s="574"/>
      <c r="WMM752" s="574"/>
      <c r="WMN752" s="574"/>
      <c r="WMO752" s="574"/>
      <c r="WMP752" s="574"/>
      <c r="WMQ752" s="574"/>
      <c r="WMR752" s="574"/>
      <c r="WMS752" s="574"/>
      <c r="WMT752" s="574"/>
      <c r="WMU752" s="574"/>
      <c r="WMV752" s="574"/>
      <c r="WMW752" s="574"/>
      <c r="WMX752" s="574"/>
      <c r="WMY752" s="574"/>
      <c r="WMZ752" s="574"/>
      <c r="WNA752" s="574"/>
      <c r="WNB752" s="574"/>
      <c r="WNC752" s="574"/>
      <c r="WND752" s="574"/>
      <c r="WNE752" s="574"/>
      <c r="WNF752" s="574"/>
      <c r="WNG752" s="574"/>
      <c r="WNH752" s="574"/>
      <c r="WNI752" s="574"/>
      <c r="WNJ752" s="574"/>
      <c r="WNK752" s="574"/>
      <c r="WNL752" s="574"/>
      <c r="WNM752" s="574"/>
      <c r="WNN752" s="574"/>
      <c r="WNO752" s="574"/>
      <c r="WNP752" s="574"/>
      <c r="WNQ752" s="574"/>
      <c r="WNR752" s="574"/>
      <c r="WNS752" s="574"/>
      <c r="WNT752" s="574"/>
      <c r="WNU752" s="574"/>
      <c r="WNV752" s="574"/>
      <c r="WNW752" s="574"/>
      <c r="WNX752" s="574"/>
      <c r="WNY752" s="574"/>
      <c r="WNZ752" s="574"/>
      <c r="WOA752" s="574"/>
      <c r="WOB752" s="574"/>
      <c r="WOC752" s="574"/>
      <c r="WOD752" s="574"/>
      <c r="WOE752" s="574"/>
      <c r="WOF752" s="574"/>
      <c r="WOG752" s="574"/>
      <c r="WOH752" s="574"/>
      <c r="WOI752" s="574"/>
      <c r="WOJ752" s="574"/>
      <c r="WOK752" s="574"/>
      <c r="WOL752" s="574"/>
      <c r="WOM752" s="574"/>
      <c r="WON752" s="574"/>
      <c r="WOO752" s="574"/>
      <c r="WOP752" s="574"/>
      <c r="WOQ752" s="574"/>
      <c r="WOR752" s="574"/>
      <c r="WOS752" s="574"/>
      <c r="WOT752" s="574"/>
      <c r="WOU752" s="574"/>
      <c r="WOV752" s="574"/>
      <c r="WOW752" s="574"/>
      <c r="WOX752" s="574"/>
      <c r="WOY752" s="574"/>
      <c r="WOZ752" s="574"/>
      <c r="WPA752" s="574"/>
      <c r="WPB752" s="574"/>
      <c r="WPC752" s="574"/>
      <c r="WPD752" s="574"/>
      <c r="WPE752" s="574"/>
      <c r="WPF752" s="574"/>
      <c r="WPG752" s="574"/>
      <c r="WPH752" s="574"/>
      <c r="WPI752" s="574"/>
      <c r="WPJ752" s="574"/>
      <c r="WPK752" s="574"/>
      <c r="WPL752" s="574"/>
      <c r="WPM752" s="574"/>
      <c r="WPN752" s="574"/>
      <c r="WPO752" s="574"/>
      <c r="WPP752" s="574"/>
      <c r="WPQ752" s="574"/>
      <c r="WPR752" s="574"/>
      <c r="WPS752" s="574"/>
      <c r="WPT752" s="574"/>
      <c r="WPU752" s="574"/>
      <c r="WPV752" s="574"/>
      <c r="WPW752" s="574"/>
      <c r="WPX752" s="574"/>
      <c r="WPY752" s="574"/>
      <c r="WPZ752" s="574"/>
      <c r="WQA752" s="574"/>
      <c r="WQB752" s="574"/>
      <c r="WQC752" s="574"/>
      <c r="WQD752" s="574"/>
      <c r="WQE752" s="574"/>
      <c r="WQF752" s="574"/>
      <c r="WQG752" s="574"/>
      <c r="WQH752" s="574"/>
      <c r="WQI752" s="574"/>
      <c r="WQJ752" s="574"/>
      <c r="WQK752" s="574"/>
      <c r="WQL752" s="574"/>
      <c r="WQM752" s="574"/>
      <c r="WQN752" s="574"/>
      <c r="WQO752" s="574"/>
      <c r="WQP752" s="574"/>
      <c r="WQQ752" s="574"/>
      <c r="WQR752" s="574"/>
      <c r="WQS752" s="574"/>
      <c r="WQT752" s="574"/>
      <c r="WQU752" s="574"/>
      <c r="WQV752" s="574"/>
      <c r="WQW752" s="574"/>
      <c r="WQX752" s="574"/>
      <c r="WQY752" s="574"/>
      <c r="WQZ752" s="574"/>
      <c r="WRA752" s="574"/>
      <c r="WRB752" s="574"/>
      <c r="WRC752" s="574"/>
      <c r="WRD752" s="574"/>
      <c r="WRE752" s="574"/>
      <c r="WRF752" s="574"/>
      <c r="WRG752" s="574"/>
      <c r="WRH752" s="574"/>
      <c r="WRI752" s="574"/>
      <c r="WRJ752" s="574"/>
      <c r="WRK752" s="574"/>
      <c r="WRL752" s="574"/>
      <c r="WRM752" s="574"/>
      <c r="WRN752" s="574"/>
      <c r="WRO752" s="574"/>
      <c r="WRP752" s="574"/>
      <c r="WRQ752" s="574"/>
      <c r="WRR752" s="574"/>
      <c r="WRS752" s="574"/>
      <c r="WRT752" s="574"/>
      <c r="WRU752" s="574"/>
      <c r="WRV752" s="574"/>
      <c r="WRW752" s="574"/>
      <c r="WRX752" s="574"/>
      <c r="WRY752" s="574"/>
      <c r="WRZ752" s="574"/>
      <c r="WSA752" s="574"/>
      <c r="WSB752" s="574"/>
      <c r="WSC752" s="574"/>
      <c r="WSD752" s="574"/>
      <c r="WSE752" s="574"/>
      <c r="WSF752" s="574"/>
      <c r="WSG752" s="574"/>
      <c r="WSH752" s="574"/>
      <c r="WSI752" s="574"/>
      <c r="WSJ752" s="574"/>
      <c r="WSK752" s="574"/>
      <c r="WSL752" s="574"/>
      <c r="WSM752" s="574"/>
      <c r="WSN752" s="574"/>
      <c r="WSO752" s="574"/>
      <c r="WSP752" s="574"/>
      <c r="WSQ752" s="574"/>
      <c r="WSR752" s="574"/>
      <c r="WSS752" s="574"/>
      <c r="WST752" s="574"/>
      <c r="WSU752" s="574"/>
      <c r="WSV752" s="574"/>
      <c r="WSW752" s="574"/>
      <c r="WSX752" s="574"/>
      <c r="WSY752" s="574"/>
      <c r="WSZ752" s="574"/>
      <c r="WTA752" s="574"/>
      <c r="WTB752" s="574"/>
      <c r="WTC752" s="574"/>
      <c r="WTD752" s="574"/>
      <c r="WTE752" s="574"/>
      <c r="WTF752" s="574"/>
      <c r="WTG752" s="574"/>
      <c r="WTH752" s="574"/>
      <c r="WTI752" s="574"/>
      <c r="WTJ752" s="574"/>
      <c r="WTK752" s="574"/>
      <c r="WTL752" s="574"/>
      <c r="WTM752" s="574"/>
      <c r="WTN752" s="574"/>
      <c r="WTO752" s="574"/>
      <c r="WTP752" s="574"/>
      <c r="WTQ752" s="574"/>
      <c r="WTR752" s="574"/>
      <c r="WTS752" s="574"/>
      <c r="WTT752" s="574"/>
      <c r="WTU752" s="574"/>
      <c r="WTV752" s="574"/>
      <c r="WTW752" s="574"/>
      <c r="WTX752" s="574"/>
      <c r="WTY752" s="574"/>
      <c r="WTZ752" s="574"/>
      <c r="WUA752" s="574"/>
      <c r="WUB752" s="574"/>
      <c r="WUC752" s="574"/>
      <c r="WUD752" s="574"/>
      <c r="WUE752" s="574"/>
      <c r="WUF752" s="574"/>
      <c r="WUG752" s="574"/>
      <c r="WUH752" s="574"/>
      <c r="WUI752" s="574"/>
      <c r="WUJ752" s="574"/>
      <c r="WUK752" s="574"/>
      <c r="WUL752" s="574"/>
      <c r="WUM752" s="574"/>
      <c r="WUN752" s="574"/>
      <c r="WUO752" s="574"/>
      <c r="WUP752" s="574"/>
      <c r="WUQ752" s="574"/>
      <c r="WUR752" s="574"/>
      <c r="WUS752" s="574"/>
      <c r="WUT752" s="574"/>
      <c r="WUU752" s="574"/>
      <c r="WUV752" s="574"/>
      <c r="WUW752" s="574"/>
      <c r="WUX752" s="574"/>
      <c r="WUY752" s="574"/>
      <c r="WUZ752" s="574"/>
      <c r="WVA752" s="574"/>
      <c r="WVB752" s="574"/>
      <c r="WVC752" s="574"/>
      <c r="WVD752" s="574"/>
      <c r="WVE752" s="574"/>
      <c r="WVF752" s="574"/>
      <c r="WVG752" s="574"/>
      <c r="WVH752" s="574"/>
      <c r="WVI752" s="574"/>
      <c r="WVJ752" s="574"/>
      <c r="WVK752" s="574"/>
      <c r="WVL752" s="574"/>
      <c r="WVM752" s="574"/>
      <c r="WVN752" s="574"/>
      <c r="WVO752" s="574"/>
      <c r="WVP752" s="574"/>
      <c r="WVQ752" s="574"/>
      <c r="WVR752" s="574"/>
      <c r="WVS752" s="574"/>
      <c r="WVT752" s="574"/>
      <c r="WVU752" s="574"/>
      <c r="WVV752" s="574"/>
      <c r="WVW752" s="574"/>
      <c r="WVX752" s="574"/>
      <c r="WVY752" s="574"/>
      <c r="WVZ752" s="574"/>
      <c r="WWA752" s="574"/>
      <c r="WWB752" s="574"/>
      <c r="WWC752" s="574"/>
      <c r="WWD752" s="574"/>
      <c r="WWE752" s="574"/>
      <c r="WWF752" s="574"/>
      <c r="WWG752" s="574"/>
      <c r="WWH752" s="574"/>
      <c r="WWI752" s="574"/>
      <c r="WWJ752" s="574"/>
      <c r="WWK752" s="574"/>
      <c r="WWL752" s="574"/>
      <c r="WWM752" s="574"/>
      <c r="WWN752" s="574"/>
      <c r="WWO752" s="574"/>
      <c r="WWP752" s="574"/>
      <c r="WWQ752" s="574"/>
      <c r="WWR752" s="574"/>
      <c r="WWS752" s="574"/>
      <c r="WWT752" s="574"/>
      <c r="WWU752" s="574"/>
      <c r="WWV752" s="574"/>
      <c r="WWW752" s="574"/>
      <c r="WWX752" s="574"/>
      <c r="WWY752" s="574"/>
      <c r="WWZ752" s="574"/>
      <c r="WXA752" s="574"/>
      <c r="WXB752" s="574"/>
      <c r="WXC752" s="574"/>
      <c r="WXD752" s="574"/>
      <c r="WXE752" s="574"/>
      <c r="WXF752" s="574"/>
      <c r="WXG752" s="574"/>
      <c r="WXH752" s="574"/>
      <c r="WXI752" s="574"/>
      <c r="WXJ752" s="574"/>
      <c r="WXK752" s="574"/>
      <c r="WXL752" s="574"/>
      <c r="WXM752" s="574"/>
      <c r="WXN752" s="574"/>
      <c r="WXO752" s="574"/>
      <c r="WXP752" s="574"/>
      <c r="WXQ752" s="574"/>
      <c r="WXR752" s="574"/>
      <c r="WXS752" s="574"/>
      <c r="WXT752" s="574"/>
      <c r="WXU752" s="574"/>
      <c r="WXV752" s="574"/>
      <c r="WXW752" s="574"/>
      <c r="WXX752" s="574"/>
      <c r="WXY752" s="574"/>
      <c r="WXZ752" s="574"/>
      <c r="WYA752" s="574"/>
      <c r="WYB752" s="574"/>
      <c r="WYC752" s="574"/>
      <c r="WYD752" s="574"/>
      <c r="WYE752" s="574"/>
      <c r="WYF752" s="574"/>
      <c r="WYG752" s="574"/>
      <c r="WYH752" s="574"/>
      <c r="WYI752" s="574"/>
      <c r="WYJ752" s="574"/>
      <c r="WYK752" s="574"/>
      <c r="WYL752" s="574"/>
      <c r="WYM752" s="574"/>
      <c r="WYN752" s="574"/>
      <c r="WYO752" s="574"/>
      <c r="WYP752" s="574"/>
      <c r="WYQ752" s="574"/>
      <c r="WYR752" s="574"/>
      <c r="WYS752" s="574"/>
      <c r="WYT752" s="574"/>
      <c r="WYU752" s="574"/>
      <c r="WYV752" s="574"/>
      <c r="WYW752" s="574"/>
      <c r="WYX752" s="574"/>
      <c r="WYY752" s="574"/>
      <c r="WYZ752" s="574"/>
      <c r="WZA752" s="574"/>
      <c r="WZB752" s="574"/>
      <c r="WZC752" s="574"/>
      <c r="WZD752" s="574"/>
      <c r="WZE752" s="574"/>
      <c r="WZF752" s="574"/>
      <c r="WZG752" s="574"/>
      <c r="WZH752" s="574"/>
      <c r="WZI752" s="574"/>
      <c r="WZJ752" s="574"/>
      <c r="WZK752" s="574"/>
      <c r="WZL752" s="574"/>
      <c r="WZM752" s="574"/>
      <c r="WZN752" s="574"/>
      <c r="WZO752" s="574"/>
      <c r="WZP752" s="574"/>
      <c r="WZQ752" s="574"/>
      <c r="WZR752" s="574"/>
      <c r="WZS752" s="574"/>
      <c r="WZT752" s="574"/>
      <c r="WZU752" s="574"/>
      <c r="WZV752" s="574"/>
      <c r="WZW752" s="574"/>
      <c r="WZX752" s="574"/>
      <c r="WZY752" s="574"/>
      <c r="WZZ752" s="574"/>
      <c r="XAA752" s="574"/>
      <c r="XAB752" s="574"/>
      <c r="XAC752" s="574"/>
      <c r="XAD752" s="574"/>
      <c r="XAE752" s="574"/>
      <c r="XAF752" s="574"/>
      <c r="XAG752" s="574"/>
      <c r="XAH752" s="574"/>
      <c r="XAI752" s="574"/>
      <c r="XAJ752" s="574"/>
      <c r="XAK752" s="574"/>
      <c r="XAL752" s="574"/>
      <c r="XAM752" s="574"/>
      <c r="XAN752" s="574"/>
      <c r="XAO752" s="574"/>
      <c r="XAP752" s="574"/>
      <c r="XAQ752" s="574"/>
      <c r="XAR752" s="574"/>
      <c r="XAS752" s="574"/>
      <c r="XAT752" s="574"/>
      <c r="XAU752" s="574"/>
      <c r="XAV752" s="574"/>
      <c r="XAW752" s="574"/>
      <c r="XAX752" s="574"/>
      <c r="XAY752" s="574"/>
      <c r="XAZ752" s="574"/>
      <c r="XBA752" s="574"/>
      <c r="XBB752" s="574"/>
      <c r="XBC752" s="574"/>
      <c r="XBD752" s="574"/>
      <c r="XBE752" s="574"/>
      <c r="XBF752" s="574"/>
      <c r="XBG752" s="574"/>
      <c r="XBH752" s="574"/>
      <c r="XBI752" s="574"/>
      <c r="XBJ752" s="574"/>
      <c r="XBK752" s="574"/>
      <c r="XBL752" s="574"/>
      <c r="XBM752" s="574"/>
      <c r="XBN752" s="574"/>
      <c r="XBO752" s="574"/>
      <c r="XBP752" s="574"/>
      <c r="XBQ752" s="574"/>
      <c r="XBR752" s="574"/>
      <c r="XBS752" s="574"/>
      <c r="XBT752" s="574"/>
      <c r="XBU752" s="574"/>
      <c r="XBV752" s="574"/>
      <c r="XBW752" s="574"/>
      <c r="XBX752" s="574"/>
      <c r="XBY752" s="574"/>
      <c r="XBZ752" s="574"/>
      <c r="XCA752" s="574"/>
      <c r="XCB752" s="574"/>
      <c r="XCC752" s="574"/>
      <c r="XCD752" s="574"/>
      <c r="XCE752" s="574"/>
      <c r="XCF752" s="574"/>
      <c r="XCG752" s="574"/>
      <c r="XCH752" s="574"/>
      <c r="XCI752" s="574"/>
      <c r="XCJ752" s="574"/>
      <c r="XCK752" s="574"/>
      <c r="XCL752" s="574"/>
      <c r="XCM752" s="574"/>
      <c r="XCN752" s="574"/>
      <c r="XCO752" s="574"/>
      <c r="XCP752" s="574"/>
      <c r="XCQ752" s="574"/>
      <c r="XCR752" s="574"/>
      <c r="XCS752" s="574"/>
      <c r="XCT752" s="574"/>
      <c r="XCU752" s="574"/>
      <c r="XCV752" s="574"/>
      <c r="XCW752" s="574"/>
      <c r="XCX752" s="574"/>
      <c r="XCY752" s="574"/>
      <c r="XCZ752" s="574"/>
      <c r="XDA752" s="574"/>
      <c r="XDB752" s="574"/>
      <c r="XDC752" s="574"/>
      <c r="XDD752" s="574"/>
      <c r="XDE752" s="574"/>
      <c r="XDF752" s="574"/>
      <c r="XDG752" s="574"/>
      <c r="XDH752" s="574"/>
      <c r="XDI752" s="574"/>
      <c r="XDJ752" s="574"/>
      <c r="XDK752" s="574"/>
      <c r="XDL752" s="574"/>
      <c r="XDM752" s="574"/>
      <c r="XDN752" s="574"/>
      <c r="XDO752" s="574"/>
      <c r="XDP752" s="574"/>
      <c r="XDQ752" s="574"/>
      <c r="XDR752" s="574"/>
      <c r="XDS752" s="574"/>
      <c r="XDT752" s="574"/>
      <c r="XDU752" s="574"/>
      <c r="XDV752" s="574"/>
      <c r="XDW752" s="574"/>
      <c r="XDX752" s="574"/>
      <c r="XDY752" s="574"/>
      <c r="XDZ752" s="574"/>
      <c r="XEA752" s="574"/>
      <c r="XEB752" s="574"/>
      <c r="XEC752" s="574"/>
      <c r="XED752" s="574"/>
      <c r="XEE752" s="574"/>
      <c r="XEF752" s="574"/>
      <c r="XEG752" s="574"/>
      <c r="XEH752" s="574"/>
      <c r="XEI752" s="574"/>
      <c r="XEJ752" s="574"/>
      <c r="XEK752" s="574"/>
      <c r="XEL752" s="574"/>
      <c r="XEM752" s="574"/>
      <c r="XEN752" s="574"/>
      <c r="XEO752" s="574"/>
      <c r="XEP752" s="574"/>
      <c r="XEQ752" s="574"/>
      <c r="XER752" s="574"/>
      <c r="XES752" s="574"/>
      <c r="XET752" s="574"/>
      <c r="XEU752" s="574"/>
      <c r="XEV752" s="574"/>
      <c r="XEW752" s="574"/>
      <c r="XEX752" s="574"/>
      <c r="XEY752" s="574"/>
      <c r="XEZ752" s="574"/>
      <c r="XFA752" s="574"/>
      <c r="XFB752" s="574"/>
    </row>
    <row r="753" spans="1:16382" ht="34.5" customHeight="1">
      <c r="A753" s="548">
        <v>853</v>
      </c>
      <c r="B753" s="549">
        <v>623</v>
      </c>
      <c r="C753" s="550" t="s">
        <v>1909</v>
      </c>
      <c r="D753" s="227" t="s">
        <v>515</v>
      </c>
      <c r="E753" s="440" t="s">
        <v>94</v>
      </c>
      <c r="F753" s="227" t="s">
        <v>255</v>
      </c>
      <c r="G753" s="551" t="s">
        <v>3038</v>
      </c>
      <c r="H753" s="552">
        <v>890983672</v>
      </c>
      <c r="I753" s="553" t="s">
        <v>42</v>
      </c>
      <c r="J753" s="554">
        <v>430967771</v>
      </c>
      <c r="K753" s="555" t="s">
        <v>3039</v>
      </c>
      <c r="L753" s="556" t="s">
        <v>2989</v>
      </c>
      <c r="M753" s="224" t="s">
        <v>519</v>
      </c>
      <c r="N753" s="557" t="e" cm="1">
        <f t="array" aca="1" ref="N753" ca="1">_xlfn.XLOOKUP(Contrato5[[#This Row],[SUPERVISOR TITULAR]],[2]!PERSONAL_ACTIVO_2024[[#All],[Nombre completo]],[2]!PERSONAL_ACTIVO_2024[[#All],[Documento identidad]],"",0)</f>
        <v>#NAME?</v>
      </c>
      <c r="O753" s="224" t="s">
        <v>853</v>
      </c>
      <c r="P753" s="558" t="e" cm="1">
        <f t="array" aca="1" ref="P753" ca="1">_xlfn.XLOOKUP(Contrato5[[#This Row],[SUPERVISOR SUPLENTE ]],[2]!PERSONAL_ACTIVO_2024[[#All],[Nombre completo]],[2]!PERSONAL_ACTIVO_2024[[#All],[Documento identidad]],"",0)</f>
        <v>#NAME?</v>
      </c>
      <c r="Q753" s="559">
        <v>665</v>
      </c>
      <c r="R753" s="560" t="e" cm="1">
        <f t="array" aca="1" ref="R753" ca="1">_xlfn.XLOOKUP(Contrato5[[#This Row],[CDP]],[2]!DISPONIBILIDADES_2024[[#All],[consecutivo]],[2]!DISPONIBILIDADES_2024[[#All],[fecha_aprobacion]],"",0)</f>
        <v>#NAME?</v>
      </c>
      <c r="S753" s="561" t="e">
        <f>SUMIF([2]!DISPONIBILIDADES_2024[[#All],[consecutivo]],Contrato5[[#This Row],[CDP]],[2]!DISPONIBILIDADES_2024[[#All],[valor_total_rubro]])</f>
        <v>#REF!</v>
      </c>
      <c r="T753" s="562" t="e" cm="1">
        <f t="array" aca="1" ref="T753" ca="1">_xlfn.XLOOKUP(Contrato5[[#This Row],[CONTRATO]]&amp;Contrato5[[#This Row],[CDP]],[2]!Corr_Contr_CDP[[#All],[CONTRATO-CDP]],[2]!Corr_Contr_CDP[[#All],[CRP]],_xlfn.XLOOKUP(Contrato5[[#This Row],[CDP]],[2]!COMPROMISOS_2024[[#All],[disponibilidad]],[2]!COMPROMISOS_2024[[#All],[consecutivo]],"",0),0)</f>
        <v>#NAME?</v>
      </c>
      <c r="U753" s="563" t="e" cm="1">
        <f t="array" aca="1" ref="U753" ca="1">+_xlfn.XLOOKUP(Contrato5[[#This Row],[RCP]],[2]!COMPROMISOS_2024[[#All],[consecutivo]],[2]!COMPROMISOS_2024[[#All],[fecha_aprobacion]],"",0)</f>
        <v>#NAME?</v>
      </c>
      <c r="V753" s="564" t="e">
        <f ca="1">SUMIF([2]!COMPROMISOS_2024[[#All],[consecutivo]],Contrato5[[#This Row],[RCP]],[2]!COMPROMISOS_2024[[#All],[valor_total]])</f>
        <v>#REF!</v>
      </c>
      <c r="W753" s="160">
        <v>45539</v>
      </c>
      <c r="X753" s="160">
        <v>45539</v>
      </c>
      <c r="Y753" s="143">
        <v>45541</v>
      </c>
      <c r="Z753" s="262">
        <v>45596</v>
      </c>
      <c r="AA753" s="183" t="s">
        <v>3040</v>
      </c>
      <c r="AB753" s="172" t="s">
        <v>500</v>
      </c>
      <c r="AC753" s="172"/>
      <c r="AD753" s="565">
        <v>202000005343</v>
      </c>
      <c r="AE753" s="548" t="s">
        <v>523</v>
      </c>
      <c r="AF753" s="566" t="str">
        <f>TEXT(LEFT(Contrato5[[#This Row],[CONTRATO]],3),"0")</f>
        <v>623</v>
      </c>
      <c r="AG753" s="566" t="str">
        <f>IF(LEN(Contrato5[[#This Row],[Contrato2]])=3,Contrato5[[#This Row],[Contrato2]],TEXT(Contrato5[[#This Row],[Contrato2]],"000"))</f>
        <v>623</v>
      </c>
      <c r="AH753" s="567">
        <f ca="1">IFERROR(_xlfn.DAYS(Contrato5[[#This Row],[Fecha Proyectada liquidación]],TODAY())/30,"")</f>
        <v>-1.4</v>
      </c>
      <c r="AI753" s="568">
        <f>+Contrato5[[#This Row],[FECHA TERMINACIÓN ]]+120</f>
        <v>45716</v>
      </c>
      <c r="AJ753" s="548"/>
      <c r="AK753" s="569" t="str">
        <f ca="1">IF(Contrato5[[#This Row],[FECHA TERMINACIÓN ]]&lt;TODAY(), "Terminado",IF(ISNUMBER(Contrato5[[#This Row],[Fecha Real de liquiidación ]]),"Liquidado",IF(Contrato5[[#This Row],[FECHA TERMINACIÓN ]]&gt;=TODAY(),"En ejecución","")))</f>
        <v>Terminado</v>
      </c>
      <c r="AL753" s="570" t="e">
        <f ca="1">SUMIF([2]!COMPROMISOS_2024[[#All],[consecutivo]],Contrato5[[#This Row],[RCP]],[2]!COMPROMISOS_2024[[#All],[Total pagado]])</f>
        <v>#REF!</v>
      </c>
      <c r="AM753" s="571">
        <f ca="1">IFERROR(Contrato5[[#This Row],[Pagos]]/Contrato5[[#This Row],[VALOR CONTRATO]],0)</f>
        <v>0</v>
      </c>
      <c r="AN753" s="572" t="e">
        <f ca="1">+Contrato5[[#This Row],[VALOR CONTRATO]]-Contrato5[[#This Row],[Pagos]]</f>
        <v>#REF!</v>
      </c>
      <c r="AO753" s="548" t="e" cm="1">
        <f t="array" aca="1" ref="AO753" ca="1">_xlfn.XLOOKUP(Contrato5[[#This Row],[DOCUMENTO ]],[2]!PERSONAL_ACTIVO_2024[[#All],[Documento identidad]],[2]!PERSONAL_ACTIVO_2024[[#All],[Mail ]],0,0)</f>
        <v>#NAME?</v>
      </c>
      <c r="AP753" s="548" t="e" cm="1">
        <f t="array" aca="1" ref="AP753" ca="1">_xlfn.XLOOKUP(Contrato5[[#This Row],[DOCUMENTO]],[2]!PERSONAL_ACTIVO_2024[[#All],[Documento identidad]],[2]!PERSONAL_ACTIVO_2024[[#All],[Mail ]],0,0)</f>
        <v>#NAME?</v>
      </c>
      <c r="AQ753" s="573" cm="1">
        <f t="array" aca="1" ref="AQ753" ca="1">IF(ISBLANK(Contrato5[[#This Row],[DEPENDENCIA ]]),0,IFERROR(_xlfn.XLOOKUP(Contrato5[[#This Row],[DEPENDENCIA ]],[2]!PERSONAL_ACTIVO_2024[[#All],[Dependencia]],[2]!PERSONAL_ACTIVO_2024[[#All],[Mail ]],0,0),0))</f>
        <v>0</v>
      </c>
      <c r="AR753" s="574"/>
      <c r="AS753" s="574"/>
      <c r="AT753" s="574"/>
      <c r="AU753" s="574"/>
      <c r="AV753" s="574"/>
      <c r="AW753" s="574"/>
      <c r="AX753" s="574"/>
      <c r="AY753" s="574"/>
      <c r="AZ753" s="574"/>
      <c r="BA753" s="574"/>
      <c r="BB753" s="574"/>
      <c r="BC753" s="574"/>
      <c r="BD753" s="574"/>
      <c r="BE753" s="574"/>
      <c r="BF753" s="574"/>
      <c r="BG753" s="574"/>
      <c r="BH753" s="574"/>
      <c r="BI753" s="574"/>
      <c r="BJ753" s="574"/>
      <c r="BK753" s="574"/>
      <c r="BL753" s="574"/>
      <c r="BM753" s="574"/>
      <c r="BN753" s="574"/>
      <c r="BO753" s="574"/>
      <c r="BP753" s="574"/>
      <c r="BQ753" s="574"/>
      <c r="BR753" s="574"/>
      <c r="BS753" s="574"/>
      <c r="BT753" s="574"/>
      <c r="BU753" s="574"/>
      <c r="BV753" s="574"/>
      <c r="BW753" s="574"/>
      <c r="BX753" s="574"/>
      <c r="BY753" s="574"/>
      <c r="BZ753" s="574"/>
      <c r="CA753" s="574"/>
      <c r="CB753" s="574"/>
      <c r="CC753" s="574"/>
      <c r="CD753" s="574"/>
      <c r="CE753" s="574"/>
      <c r="CF753" s="574"/>
      <c r="CG753" s="574"/>
      <c r="CH753" s="574"/>
      <c r="CI753" s="574"/>
      <c r="CJ753" s="574"/>
      <c r="CK753" s="574"/>
      <c r="CL753" s="574"/>
      <c r="CM753" s="574"/>
      <c r="CN753" s="574"/>
      <c r="CO753" s="574"/>
      <c r="CP753" s="574"/>
      <c r="CQ753" s="574"/>
      <c r="CR753" s="574"/>
      <c r="CS753" s="574"/>
      <c r="CT753" s="574"/>
      <c r="CU753" s="574"/>
      <c r="CV753" s="574"/>
      <c r="CW753" s="574"/>
      <c r="CX753" s="574"/>
      <c r="CY753" s="574"/>
      <c r="CZ753" s="574"/>
      <c r="DA753" s="574"/>
      <c r="DB753" s="574"/>
      <c r="DC753" s="574"/>
      <c r="DD753" s="574"/>
      <c r="DE753" s="574"/>
      <c r="DF753" s="574"/>
      <c r="DG753" s="574"/>
      <c r="DH753" s="574"/>
      <c r="DI753" s="574"/>
      <c r="DJ753" s="574"/>
      <c r="DK753" s="574"/>
      <c r="DL753" s="574"/>
      <c r="DM753" s="574"/>
      <c r="DN753" s="574"/>
      <c r="DO753" s="574"/>
      <c r="DP753" s="574"/>
      <c r="DQ753" s="574"/>
      <c r="DR753" s="574"/>
      <c r="DS753" s="574"/>
      <c r="DT753" s="574"/>
      <c r="DU753" s="574"/>
      <c r="DV753" s="574"/>
      <c r="DW753" s="574"/>
      <c r="DX753" s="574"/>
      <c r="DY753" s="574"/>
      <c r="DZ753" s="574"/>
      <c r="EA753" s="574"/>
      <c r="EB753" s="574"/>
      <c r="EC753" s="574"/>
      <c r="ED753" s="574"/>
      <c r="EE753" s="574"/>
      <c r="EF753" s="574"/>
      <c r="EG753" s="574"/>
      <c r="EH753" s="574"/>
      <c r="EI753" s="574"/>
      <c r="EJ753" s="574"/>
      <c r="EK753" s="574"/>
      <c r="EL753" s="574"/>
      <c r="EM753" s="574"/>
      <c r="EN753" s="574"/>
      <c r="EO753" s="574"/>
      <c r="EP753" s="574"/>
      <c r="EQ753" s="574"/>
      <c r="ER753" s="574"/>
      <c r="ES753" s="574"/>
      <c r="ET753" s="574"/>
      <c r="EU753" s="574"/>
      <c r="EV753" s="574"/>
      <c r="EW753" s="574"/>
      <c r="EX753" s="574"/>
      <c r="EY753" s="574"/>
      <c r="EZ753" s="574"/>
      <c r="FA753" s="574"/>
      <c r="FB753" s="574"/>
      <c r="FC753" s="574"/>
      <c r="FD753" s="574"/>
      <c r="FE753" s="574"/>
      <c r="FF753" s="574"/>
      <c r="FG753" s="574"/>
      <c r="FH753" s="574"/>
      <c r="FI753" s="574"/>
      <c r="FJ753" s="574"/>
      <c r="FK753" s="574"/>
      <c r="FL753" s="574"/>
      <c r="FM753" s="574"/>
      <c r="FN753" s="574"/>
      <c r="FO753" s="574"/>
      <c r="FP753" s="574"/>
      <c r="FQ753" s="574"/>
      <c r="FR753" s="574"/>
      <c r="FS753" s="574"/>
      <c r="FT753" s="574"/>
      <c r="FU753" s="574"/>
      <c r="FV753" s="574"/>
      <c r="FW753" s="574"/>
      <c r="FX753" s="574"/>
      <c r="FY753" s="574"/>
      <c r="FZ753" s="574"/>
      <c r="GA753" s="574"/>
      <c r="GB753" s="574"/>
      <c r="GC753" s="574"/>
      <c r="GD753" s="574"/>
      <c r="GE753" s="574"/>
      <c r="GF753" s="574"/>
      <c r="GG753" s="574"/>
      <c r="GH753" s="574"/>
      <c r="GI753" s="574"/>
      <c r="GJ753" s="574"/>
      <c r="GK753" s="574"/>
      <c r="GL753" s="574"/>
      <c r="GM753" s="574"/>
      <c r="GN753" s="574"/>
      <c r="GO753" s="574"/>
      <c r="GP753" s="574"/>
      <c r="GQ753" s="574"/>
      <c r="GR753" s="574"/>
      <c r="GS753" s="574"/>
      <c r="GT753" s="574"/>
      <c r="GU753" s="574"/>
      <c r="GV753" s="574"/>
      <c r="GW753" s="574"/>
      <c r="GX753" s="574"/>
      <c r="GY753" s="574"/>
      <c r="GZ753" s="574"/>
      <c r="HA753" s="574"/>
      <c r="HB753" s="574"/>
      <c r="HC753" s="574"/>
      <c r="HD753" s="574"/>
      <c r="HE753" s="574"/>
      <c r="HF753" s="574"/>
      <c r="HG753" s="574"/>
      <c r="HH753" s="574"/>
      <c r="HI753" s="574"/>
      <c r="HJ753" s="574"/>
      <c r="HK753" s="574"/>
      <c r="HL753" s="574"/>
      <c r="HM753" s="574"/>
      <c r="HN753" s="574"/>
      <c r="HO753" s="574"/>
      <c r="HP753" s="574"/>
      <c r="HQ753" s="574"/>
      <c r="HR753" s="574"/>
      <c r="HS753" s="574"/>
      <c r="HT753" s="574"/>
      <c r="HU753" s="574"/>
      <c r="HV753" s="574"/>
      <c r="HW753" s="574"/>
      <c r="HX753" s="574"/>
      <c r="HY753" s="574"/>
      <c r="HZ753" s="574"/>
      <c r="IA753" s="574"/>
      <c r="IB753" s="574"/>
      <c r="IC753" s="574"/>
      <c r="ID753" s="574"/>
      <c r="IE753" s="574"/>
      <c r="IF753" s="574"/>
      <c r="IG753" s="574"/>
      <c r="IH753" s="574"/>
      <c r="II753" s="574"/>
      <c r="IJ753" s="574"/>
      <c r="IK753" s="574"/>
      <c r="IL753" s="574"/>
      <c r="IM753" s="574"/>
      <c r="IN753" s="574"/>
      <c r="IO753" s="574"/>
      <c r="IP753" s="574"/>
      <c r="IQ753" s="574"/>
      <c r="IR753" s="574"/>
      <c r="IS753" s="574"/>
      <c r="IT753" s="574"/>
      <c r="IU753" s="574"/>
      <c r="IV753" s="574"/>
      <c r="IW753" s="574"/>
      <c r="IX753" s="574"/>
      <c r="IY753" s="574"/>
      <c r="IZ753" s="574"/>
      <c r="JA753" s="574"/>
      <c r="JB753" s="574"/>
      <c r="JC753" s="574"/>
      <c r="JD753" s="574"/>
      <c r="JE753" s="574"/>
      <c r="JF753" s="574"/>
      <c r="JG753" s="574"/>
      <c r="JH753" s="574"/>
      <c r="JI753" s="574"/>
      <c r="JJ753" s="574"/>
      <c r="JK753" s="574"/>
      <c r="JL753" s="574"/>
      <c r="JM753" s="574"/>
      <c r="JN753" s="574"/>
      <c r="JO753" s="574"/>
      <c r="JP753" s="574"/>
      <c r="JQ753" s="574"/>
      <c r="JR753" s="574"/>
      <c r="JS753" s="574"/>
      <c r="JT753" s="574"/>
      <c r="JU753" s="574"/>
      <c r="JV753" s="574"/>
      <c r="JW753" s="574"/>
      <c r="JX753" s="574"/>
      <c r="JY753" s="574"/>
      <c r="JZ753" s="574"/>
      <c r="KA753" s="574"/>
      <c r="KB753" s="574"/>
      <c r="KC753" s="574"/>
      <c r="KD753" s="574"/>
      <c r="KE753" s="574"/>
      <c r="KF753" s="574"/>
      <c r="KG753" s="574"/>
      <c r="KH753" s="574"/>
      <c r="KI753" s="574"/>
      <c r="KJ753" s="574"/>
      <c r="KK753" s="574"/>
      <c r="KL753" s="574"/>
      <c r="KM753" s="574"/>
      <c r="KN753" s="574"/>
      <c r="KO753" s="574"/>
      <c r="KP753" s="574"/>
      <c r="KQ753" s="574"/>
      <c r="KR753" s="574"/>
      <c r="KS753" s="574"/>
      <c r="KT753" s="574"/>
      <c r="KU753" s="574"/>
      <c r="KV753" s="574"/>
      <c r="KW753" s="574"/>
      <c r="KX753" s="574"/>
      <c r="KY753" s="574"/>
      <c r="KZ753" s="574"/>
      <c r="LA753" s="574"/>
      <c r="LB753" s="574"/>
      <c r="LC753" s="574"/>
      <c r="LD753" s="574"/>
      <c r="LE753" s="574"/>
      <c r="LF753" s="574"/>
      <c r="LG753" s="574"/>
      <c r="LH753" s="574"/>
      <c r="LI753" s="574"/>
      <c r="LJ753" s="574"/>
      <c r="LK753" s="574"/>
      <c r="LL753" s="574"/>
      <c r="LM753" s="574"/>
      <c r="LN753" s="574"/>
      <c r="LO753" s="574"/>
      <c r="LP753" s="574"/>
      <c r="LQ753" s="574"/>
      <c r="LR753" s="574"/>
      <c r="LS753" s="574"/>
      <c r="LT753" s="574"/>
      <c r="LU753" s="574"/>
      <c r="LV753" s="574"/>
      <c r="LW753" s="574"/>
      <c r="LX753" s="574"/>
      <c r="LY753" s="574"/>
      <c r="LZ753" s="574"/>
      <c r="MA753" s="574"/>
      <c r="MB753" s="574"/>
      <c r="MC753" s="574"/>
      <c r="MD753" s="574"/>
      <c r="ME753" s="574"/>
      <c r="MF753" s="574"/>
      <c r="MG753" s="574"/>
      <c r="MH753" s="574"/>
      <c r="MI753" s="574"/>
      <c r="MJ753" s="574"/>
      <c r="MK753" s="574"/>
      <c r="ML753" s="574"/>
      <c r="MM753" s="574"/>
      <c r="MN753" s="574"/>
      <c r="MO753" s="574"/>
      <c r="MP753" s="574"/>
      <c r="MQ753" s="574"/>
      <c r="MR753" s="574"/>
      <c r="MS753" s="574"/>
      <c r="MT753" s="574"/>
      <c r="MU753" s="574"/>
      <c r="MV753" s="574"/>
      <c r="MW753" s="574"/>
      <c r="MX753" s="574"/>
      <c r="MY753" s="574"/>
      <c r="MZ753" s="574"/>
      <c r="NA753" s="574"/>
      <c r="NB753" s="574"/>
      <c r="NC753" s="574"/>
      <c r="ND753" s="574"/>
      <c r="NE753" s="574"/>
      <c r="NF753" s="574"/>
      <c r="NG753" s="574"/>
      <c r="NH753" s="574"/>
      <c r="NI753" s="574"/>
      <c r="NJ753" s="574"/>
      <c r="NK753" s="574"/>
      <c r="NL753" s="574"/>
      <c r="NM753" s="574"/>
      <c r="NN753" s="574"/>
      <c r="NO753" s="574"/>
      <c r="NP753" s="574"/>
      <c r="NQ753" s="574"/>
      <c r="NR753" s="574"/>
      <c r="NS753" s="574"/>
      <c r="NT753" s="574"/>
      <c r="NU753" s="574"/>
      <c r="NV753" s="574"/>
      <c r="NW753" s="574"/>
      <c r="NX753" s="574"/>
      <c r="NY753" s="574"/>
      <c r="NZ753" s="574"/>
      <c r="OA753" s="574"/>
      <c r="OB753" s="574"/>
      <c r="OC753" s="574"/>
      <c r="OD753" s="574"/>
      <c r="OE753" s="574"/>
      <c r="OF753" s="574"/>
      <c r="OG753" s="574"/>
      <c r="OH753" s="574"/>
      <c r="OI753" s="574"/>
      <c r="OJ753" s="574"/>
      <c r="OK753" s="574"/>
      <c r="OL753" s="574"/>
      <c r="OM753" s="574"/>
      <c r="ON753" s="574"/>
      <c r="OO753" s="574"/>
      <c r="OP753" s="574"/>
      <c r="OQ753" s="574"/>
      <c r="OR753" s="574"/>
      <c r="OS753" s="574"/>
      <c r="OT753" s="574"/>
      <c r="OU753" s="574"/>
      <c r="OV753" s="574"/>
      <c r="OW753" s="574"/>
      <c r="OX753" s="574"/>
      <c r="OY753" s="574"/>
      <c r="OZ753" s="574"/>
      <c r="PA753" s="574"/>
      <c r="PB753" s="574"/>
      <c r="PC753" s="574"/>
      <c r="PD753" s="574"/>
      <c r="PE753" s="574"/>
      <c r="PF753" s="574"/>
      <c r="PG753" s="574"/>
      <c r="PH753" s="574"/>
      <c r="PI753" s="574"/>
      <c r="PJ753" s="574"/>
      <c r="PK753" s="574"/>
      <c r="PL753" s="574"/>
      <c r="PM753" s="574"/>
      <c r="PN753" s="574"/>
      <c r="PO753" s="574"/>
      <c r="PP753" s="574"/>
      <c r="PQ753" s="574"/>
      <c r="PR753" s="574"/>
      <c r="PS753" s="574"/>
      <c r="PT753" s="574"/>
      <c r="PU753" s="574"/>
      <c r="PV753" s="574"/>
      <c r="PW753" s="574"/>
      <c r="PX753" s="574"/>
      <c r="PY753" s="574"/>
      <c r="PZ753" s="574"/>
      <c r="QA753" s="574"/>
      <c r="QB753" s="574"/>
      <c r="QC753" s="574"/>
      <c r="QD753" s="574"/>
      <c r="QE753" s="574"/>
      <c r="QF753" s="574"/>
      <c r="QG753" s="574"/>
      <c r="QH753" s="574"/>
      <c r="QI753" s="574"/>
      <c r="QJ753" s="574"/>
      <c r="QK753" s="574"/>
      <c r="QL753" s="574"/>
      <c r="QM753" s="574"/>
      <c r="QN753" s="574"/>
      <c r="QO753" s="574"/>
      <c r="QP753" s="574"/>
      <c r="QQ753" s="574"/>
      <c r="QR753" s="574"/>
      <c r="QS753" s="574"/>
      <c r="QT753" s="574"/>
      <c r="QU753" s="574"/>
      <c r="QV753" s="574"/>
      <c r="QW753" s="574"/>
      <c r="QX753" s="574"/>
      <c r="QY753" s="574"/>
      <c r="QZ753" s="574"/>
      <c r="RA753" s="574"/>
      <c r="RB753" s="574"/>
      <c r="RC753" s="574"/>
      <c r="RD753" s="574"/>
      <c r="RE753" s="574"/>
      <c r="RF753" s="574"/>
      <c r="RG753" s="574"/>
      <c r="RH753" s="574"/>
      <c r="RI753" s="574"/>
      <c r="RJ753" s="574"/>
      <c r="RK753" s="574"/>
      <c r="RL753" s="574"/>
      <c r="RM753" s="574"/>
      <c r="RN753" s="574"/>
      <c r="RO753" s="574"/>
      <c r="RP753" s="574"/>
      <c r="RQ753" s="574"/>
      <c r="RR753" s="574"/>
      <c r="RS753" s="574"/>
      <c r="RT753" s="574"/>
      <c r="RU753" s="574"/>
      <c r="RV753" s="574"/>
      <c r="RW753" s="574"/>
      <c r="RX753" s="574"/>
      <c r="RY753" s="574"/>
      <c r="RZ753" s="574"/>
      <c r="SA753" s="574"/>
      <c r="SB753" s="574"/>
      <c r="SC753" s="574"/>
      <c r="SD753" s="574"/>
      <c r="SE753" s="574"/>
      <c r="SF753" s="574"/>
      <c r="SG753" s="574"/>
      <c r="SH753" s="574"/>
      <c r="SI753" s="574"/>
      <c r="SJ753" s="574"/>
      <c r="SK753" s="574"/>
      <c r="SL753" s="574"/>
      <c r="SM753" s="574"/>
      <c r="SN753" s="574"/>
      <c r="SO753" s="574"/>
      <c r="SP753" s="574"/>
      <c r="SQ753" s="574"/>
      <c r="SR753" s="574"/>
      <c r="SS753" s="574"/>
      <c r="ST753" s="574"/>
      <c r="SU753" s="574"/>
      <c r="SV753" s="574"/>
      <c r="SW753" s="574"/>
      <c r="SX753" s="574"/>
      <c r="SY753" s="574"/>
      <c r="SZ753" s="574"/>
      <c r="TA753" s="574"/>
      <c r="TB753" s="574"/>
      <c r="TC753" s="574"/>
      <c r="TD753" s="574"/>
      <c r="TE753" s="574"/>
      <c r="TF753" s="574"/>
      <c r="TG753" s="574"/>
      <c r="TH753" s="574"/>
      <c r="TI753" s="574"/>
      <c r="TJ753" s="574"/>
      <c r="TK753" s="574"/>
      <c r="TL753" s="574"/>
      <c r="TM753" s="574"/>
      <c r="TN753" s="574"/>
      <c r="TO753" s="574"/>
      <c r="TP753" s="574"/>
      <c r="TQ753" s="574"/>
      <c r="TR753" s="574"/>
      <c r="TS753" s="574"/>
      <c r="TT753" s="574"/>
      <c r="TU753" s="574"/>
      <c r="TV753" s="574"/>
      <c r="TW753" s="574"/>
      <c r="TX753" s="574"/>
      <c r="TY753" s="574"/>
      <c r="TZ753" s="574"/>
      <c r="UA753" s="574"/>
      <c r="UB753" s="574"/>
      <c r="UC753" s="574"/>
      <c r="UD753" s="574"/>
      <c r="UE753" s="574"/>
      <c r="UF753" s="574"/>
      <c r="UG753" s="574"/>
      <c r="UH753" s="574"/>
      <c r="UI753" s="574"/>
      <c r="UJ753" s="574"/>
      <c r="UK753" s="574"/>
      <c r="UL753" s="574"/>
      <c r="UM753" s="574"/>
      <c r="UN753" s="574"/>
      <c r="UO753" s="574"/>
      <c r="UP753" s="574"/>
      <c r="UQ753" s="574"/>
      <c r="UR753" s="574"/>
      <c r="US753" s="574"/>
      <c r="UT753" s="574"/>
      <c r="UU753" s="574"/>
      <c r="UV753" s="574"/>
      <c r="UW753" s="574"/>
      <c r="UX753" s="574"/>
      <c r="UY753" s="574"/>
      <c r="UZ753" s="574"/>
      <c r="VA753" s="574"/>
      <c r="VB753" s="574"/>
      <c r="VC753" s="574"/>
      <c r="VD753" s="574"/>
      <c r="VE753" s="574"/>
      <c r="VF753" s="574"/>
      <c r="VG753" s="574"/>
      <c r="VH753" s="574"/>
      <c r="VI753" s="574"/>
      <c r="VJ753" s="574"/>
      <c r="VK753" s="574"/>
      <c r="VL753" s="574"/>
      <c r="VM753" s="574"/>
      <c r="VN753" s="574"/>
      <c r="VO753" s="574"/>
      <c r="VP753" s="574"/>
      <c r="VQ753" s="574"/>
      <c r="VR753" s="574"/>
      <c r="VS753" s="574"/>
      <c r="VT753" s="574"/>
      <c r="VU753" s="574"/>
      <c r="VV753" s="574"/>
      <c r="VW753" s="574"/>
      <c r="VX753" s="574"/>
      <c r="VY753" s="574"/>
      <c r="VZ753" s="574"/>
      <c r="WA753" s="574"/>
      <c r="WB753" s="574"/>
      <c r="WC753" s="574"/>
      <c r="WD753" s="574"/>
      <c r="WE753" s="574"/>
      <c r="WF753" s="574"/>
      <c r="WG753" s="574"/>
      <c r="WH753" s="574"/>
      <c r="WI753" s="574"/>
      <c r="WJ753" s="574"/>
      <c r="WK753" s="574"/>
      <c r="WL753" s="574"/>
      <c r="WM753" s="574"/>
      <c r="WN753" s="574"/>
      <c r="WO753" s="574"/>
      <c r="WP753" s="574"/>
      <c r="WQ753" s="574"/>
      <c r="WR753" s="574"/>
      <c r="WS753" s="574"/>
      <c r="WT753" s="574"/>
      <c r="WU753" s="574"/>
      <c r="WV753" s="574"/>
      <c r="WW753" s="574"/>
      <c r="WX753" s="574"/>
      <c r="WY753" s="574"/>
      <c r="WZ753" s="574"/>
      <c r="XA753" s="574"/>
      <c r="XB753" s="574"/>
      <c r="XC753" s="574"/>
      <c r="XD753" s="574"/>
      <c r="XE753" s="574"/>
      <c r="XF753" s="574"/>
      <c r="XG753" s="574"/>
      <c r="XH753" s="574"/>
      <c r="XI753" s="574"/>
      <c r="XJ753" s="574"/>
      <c r="XK753" s="574"/>
      <c r="XL753" s="574"/>
      <c r="XM753" s="574"/>
      <c r="XN753" s="574"/>
      <c r="XO753" s="574"/>
      <c r="XP753" s="574"/>
      <c r="XQ753" s="574"/>
      <c r="XR753" s="574"/>
      <c r="XS753" s="574"/>
      <c r="XT753" s="574"/>
      <c r="XU753" s="574"/>
      <c r="XV753" s="574"/>
      <c r="XW753" s="574"/>
      <c r="XX753" s="574"/>
      <c r="XY753" s="574"/>
      <c r="XZ753" s="574"/>
      <c r="YA753" s="574"/>
      <c r="YB753" s="574"/>
      <c r="YC753" s="574"/>
      <c r="YD753" s="574"/>
      <c r="YE753" s="574"/>
      <c r="YF753" s="574"/>
      <c r="YG753" s="574"/>
      <c r="YH753" s="574"/>
      <c r="YI753" s="574"/>
      <c r="YJ753" s="574"/>
      <c r="YK753" s="574"/>
      <c r="YL753" s="574"/>
      <c r="YM753" s="574"/>
      <c r="YN753" s="574"/>
      <c r="YO753" s="574"/>
      <c r="YP753" s="574"/>
      <c r="YQ753" s="574"/>
      <c r="YR753" s="574"/>
      <c r="YS753" s="574"/>
      <c r="YT753" s="574"/>
      <c r="YU753" s="574"/>
      <c r="YV753" s="574"/>
      <c r="YW753" s="574"/>
      <c r="YX753" s="574"/>
      <c r="YY753" s="574"/>
      <c r="YZ753" s="574"/>
      <c r="ZA753" s="574"/>
      <c r="ZB753" s="574"/>
      <c r="ZC753" s="574"/>
      <c r="ZD753" s="574"/>
      <c r="ZE753" s="574"/>
      <c r="ZF753" s="574"/>
      <c r="ZG753" s="574"/>
      <c r="ZH753" s="574"/>
      <c r="ZI753" s="574"/>
      <c r="ZJ753" s="574"/>
      <c r="ZK753" s="574"/>
      <c r="ZL753" s="574"/>
      <c r="ZM753" s="574"/>
      <c r="ZN753" s="574"/>
      <c r="ZO753" s="574"/>
      <c r="ZP753" s="574"/>
      <c r="ZQ753" s="574"/>
      <c r="ZR753" s="574"/>
      <c r="ZS753" s="574"/>
      <c r="ZT753" s="574"/>
      <c r="ZU753" s="574"/>
      <c r="ZV753" s="574"/>
      <c r="ZW753" s="574"/>
      <c r="ZX753" s="574"/>
      <c r="ZY753" s="574"/>
      <c r="ZZ753" s="574"/>
      <c r="AAA753" s="574"/>
      <c r="AAB753" s="574"/>
      <c r="AAC753" s="574"/>
      <c r="AAD753" s="574"/>
      <c r="AAE753" s="574"/>
      <c r="AAF753" s="574"/>
      <c r="AAG753" s="574"/>
      <c r="AAH753" s="574"/>
      <c r="AAI753" s="574"/>
      <c r="AAJ753" s="574"/>
      <c r="AAK753" s="574"/>
      <c r="AAL753" s="574"/>
      <c r="AAM753" s="574"/>
      <c r="AAN753" s="574"/>
      <c r="AAO753" s="574"/>
      <c r="AAP753" s="574"/>
      <c r="AAQ753" s="574"/>
      <c r="AAR753" s="574"/>
      <c r="AAS753" s="574"/>
      <c r="AAT753" s="574"/>
      <c r="AAU753" s="574"/>
      <c r="AAV753" s="574"/>
      <c r="AAW753" s="574"/>
      <c r="AAX753" s="574"/>
      <c r="AAY753" s="574"/>
      <c r="AAZ753" s="574"/>
      <c r="ABA753" s="574"/>
      <c r="ABB753" s="574"/>
      <c r="ABC753" s="574"/>
      <c r="ABD753" s="574"/>
      <c r="ABE753" s="574"/>
      <c r="ABF753" s="574"/>
      <c r="ABG753" s="574"/>
      <c r="ABH753" s="574"/>
      <c r="ABI753" s="574"/>
      <c r="ABJ753" s="574"/>
      <c r="ABK753" s="574"/>
      <c r="ABL753" s="574"/>
      <c r="ABM753" s="574"/>
      <c r="ABN753" s="574"/>
      <c r="ABO753" s="574"/>
      <c r="ABP753" s="574"/>
      <c r="ABQ753" s="574"/>
      <c r="ABR753" s="574"/>
      <c r="ABS753" s="574"/>
      <c r="ABT753" s="574"/>
      <c r="ABU753" s="574"/>
      <c r="ABV753" s="574"/>
      <c r="ABW753" s="574"/>
      <c r="ABX753" s="574"/>
      <c r="ABY753" s="574"/>
      <c r="ABZ753" s="574"/>
      <c r="ACA753" s="574"/>
      <c r="ACB753" s="574"/>
      <c r="ACC753" s="574"/>
      <c r="ACD753" s="574"/>
      <c r="ACE753" s="574"/>
      <c r="ACF753" s="574"/>
      <c r="ACG753" s="574"/>
      <c r="ACH753" s="574"/>
      <c r="ACI753" s="574"/>
      <c r="ACJ753" s="574"/>
      <c r="ACK753" s="574"/>
      <c r="ACL753" s="574"/>
      <c r="ACM753" s="574"/>
      <c r="ACN753" s="574"/>
      <c r="ACO753" s="574"/>
      <c r="ACP753" s="574"/>
      <c r="ACQ753" s="574"/>
      <c r="ACR753" s="574"/>
      <c r="ACS753" s="574"/>
      <c r="ACT753" s="574"/>
      <c r="ACU753" s="574"/>
      <c r="ACV753" s="574"/>
      <c r="ACW753" s="574"/>
      <c r="ACX753" s="574"/>
      <c r="ACY753" s="574"/>
      <c r="ACZ753" s="574"/>
      <c r="ADA753" s="574"/>
      <c r="ADB753" s="574"/>
      <c r="ADC753" s="574"/>
      <c r="ADD753" s="574"/>
      <c r="ADE753" s="574"/>
      <c r="ADF753" s="574"/>
      <c r="ADG753" s="574"/>
      <c r="ADH753" s="574"/>
      <c r="ADI753" s="574"/>
      <c r="ADJ753" s="574"/>
      <c r="ADK753" s="574"/>
      <c r="ADL753" s="574"/>
      <c r="ADM753" s="574"/>
      <c r="ADN753" s="574"/>
      <c r="ADO753" s="574"/>
      <c r="ADP753" s="574"/>
      <c r="ADQ753" s="574"/>
      <c r="ADR753" s="574"/>
      <c r="ADS753" s="574"/>
      <c r="ADT753" s="574"/>
      <c r="ADU753" s="574"/>
      <c r="ADV753" s="574"/>
      <c r="ADW753" s="574"/>
      <c r="ADX753" s="574"/>
      <c r="ADY753" s="574"/>
      <c r="ADZ753" s="574"/>
      <c r="AEA753" s="574"/>
      <c r="AEB753" s="574"/>
      <c r="AEC753" s="574"/>
      <c r="AED753" s="574"/>
      <c r="AEE753" s="574"/>
      <c r="AEF753" s="574"/>
      <c r="AEG753" s="574"/>
      <c r="AEH753" s="574"/>
      <c r="AEI753" s="574"/>
      <c r="AEJ753" s="574"/>
      <c r="AEK753" s="574"/>
      <c r="AEL753" s="574"/>
      <c r="AEM753" s="574"/>
      <c r="AEN753" s="574"/>
      <c r="AEO753" s="574"/>
      <c r="AEP753" s="574"/>
      <c r="AEQ753" s="574"/>
      <c r="AER753" s="574"/>
      <c r="AES753" s="574"/>
      <c r="AET753" s="574"/>
      <c r="AEU753" s="574"/>
      <c r="AEV753" s="574"/>
      <c r="AEW753" s="574"/>
      <c r="AEX753" s="574"/>
      <c r="AEY753" s="574"/>
      <c r="AEZ753" s="574"/>
      <c r="AFA753" s="574"/>
      <c r="AFB753" s="574"/>
      <c r="AFC753" s="574"/>
      <c r="AFD753" s="574"/>
      <c r="AFE753" s="574"/>
      <c r="AFF753" s="574"/>
      <c r="AFG753" s="574"/>
      <c r="AFH753" s="574"/>
      <c r="AFI753" s="574"/>
      <c r="AFJ753" s="574"/>
      <c r="AFK753" s="574"/>
      <c r="AFL753" s="574"/>
      <c r="AFM753" s="574"/>
      <c r="AFN753" s="574"/>
      <c r="AFO753" s="574"/>
      <c r="AFP753" s="574"/>
      <c r="AFQ753" s="574"/>
      <c r="AFR753" s="574"/>
      <c r="AFS753" s="574"/>
      <c r="AFT753" s="574"/>
      <c r="AFU753" s="574"/>
      <c r="AFV753" s="574"/>
      <c r="AFW753" s="574"/>
      <c r="AFX753" s="574"/>
      <c r="AFY753" s="574"/>
      <c r="AFZ753" s="574"/>
      <c r="AGA753" s="574"/>
      <c r="AGB753" s="574"/>
      <c r="AGC753" s="574"/>
      <c r="AGD753" s="574"/>
      <c r="AGE753" s="574"/>
      <c r="AGF753" s="574"/>
      <c r="AGG753" s="574"/>
      <c r="AGH753" s="574"/>
      <c r="AGI753" s="574"/>
      <c r="AGJ753" s="574"/>
      <c r="AGK753" s="574"/>
      <c r="AGL753" s="574"/>
      <c r="AGM753" s="574"/>
      <c r="AGN753" s="574"/>
      <c r="AGO753" s="574"/>
      <c r="AGP753" s="574"/>
      <c r="AGQ753" s="574"/>
      <c r="AGR753" s="574"/>
      <c r="AGS753" s="574"/>
      <c r="AGT753" s="574"/>
      <c r="AGU753" s="574"/>
      <c r="AGV753" s="574"/>
      <c r="AGW753" s="574"/>
      <c r="AGX753" s="574"/>
      <c r="AGY753" s="574"/>
      <c r="AGZ753" s="574"/>
      <c r="AHA753" s="574"/>
      <c r="AHB753" s="574"/>
      <c r="AHC753" s="574"/>
      <c r="AHD753" s="574"/>
      <c r="AHE753" s="574"/>
      <c r="AHF753" s="574"/>
      <c r="AHG753" s="574"/>
      <c r="AHH753" s="574"/>
      <c r="AHI753" s="574"/>
      <c r="AHJ753" s="574"/>
      <c r="AHK753" s="574"/>
      <c r="AHL753" s="574"/>
      <c r="AHM753" s="574"/>
      <c r="AHN753" s="574"/>
      <c r="AHO753" s="574"/>
      <c r="AHP753" s="574"/>
      <c r="AHQ753" s="574"/>
      <c r="AHR753" s="574"/>
      <c r="AHS753" s="574"/>
      <c r="AHT753" s="574"/>
      <c r="AHU753" s="574"/>
      <c r="AHV753" s="574"/>
      <c r="AHW753" s="574"/>
      <c r="AHX753" s="574"/>
      <c r="AHY753" s="574"/>
      <c r="AHZ753" s="574"/>
      <c r="AIA753" s="574"/>
      <c r="AIB753" s="574"/>
      <c r="AIC753" s="574"/>
      <c r="AID753" s="574"/>
      <c r="AIE753" s="574"/>
      <c r="AIF753" s="574"/>
      <c r="AIG753" s="574"/>
      <c r="AIH753" s="574"/>
      <c r="AII753" s="574"/>
      <c r="AIJ753" s="574"/>
      <c r="AIK753" s="574"/>
      <c r="AIL753" s="574"/>
      <c r="AIM753" s="574"/>
      <c r="AIN753" s="574"/>
      <c r="AIO753" s="574"/>
      <c r="AIP753" s="574"/>
      <c r="AIQ753" s="574"/>
      <c r="AIR753" s="574"/>
      <c r="AIS753" s="574"/>
      <c r="AIT753" s="574"/>
      <c r="AIU753" s="574"/>
      <c r="AIV753" s="574"/>
      <c r="AIW753" s="574"/>
      <c r="AIX753" s="574"/>
      <c r="AIY753" s="574"/>
      <c r="AIZ753" s="574"/>
      <c r="AJA753" s="574"/>
      <c r="AJB753" s="574"/>
      <c r="AJC753" s="574"/>
      <c r="AJD753" s="574"/>
      <c r="AJE753" s="574"/>
      <c r="AJF753" s="574"/>
      <c r="AJG753" s="574"/>
      <c r="AJH753" s="574"/>
      <c r="AJI753" s="574"/>
      <c r="AJJ753" s="574"/>
      <c r="AJK753" s="574"/>
      <c r="AJL753" s="574"/>
      <c r="AJM753" s="574"/>
      <c r="AJN753" s="574"/>
      <c r="AJO753" s="574"/>
      <c r="AJP753" s="574"/>
      <c r="AJQ753" s="574"/>
      <c r="AJR753" s="574"/>
      <c r="AJS753" s="574"/>
      <c r="AJT753" s="574"/>
      <c r="AJU753" s="574"/>
      <c r="AJV753" s="574"/>
      <c r="AJW753" s="574"/>
      <c r="AJX753" s="574"/>
      <c r="AJY753" s="574"/>
      <c r="AJZ753" s="574"/>
      <c r="AKA753" s="574"/>
      <c r="AKB753" s="574"/>
      <c r="AKC753" s="574"/>
      <c r="AKD753" s="574"/>
      <c r="AKE753" s="574"/>
      <c r="AKF753" s="574"/>
      <c r="AKG753" s="574"/>
      <c r="AKH753" s="574"/>
      <c r="AKI753" s="574"/>
      <c r="AKJ753" s="574"/>
      <c r="AKK753" s="574"/>
      <c r="AKL753" s="574"/>
      <c r="AKM753" s="574"/>
      <c r="AKN753" s="574"/>
      <c r="AKO753" s="574"/>
      <c r="AKP753" s="574"/>
      <c r="AKQ753" s="574"/>
      <c r="AKR753" s="574"/>
      <c r="AKS753" s="574"/>
      <c r="AKT753" s="574"/>
      <c r="AKU753" s="574"/>
      <c r="AKV753" s="574"/>
      <c r="AKW753" s="574"/>
      <c r="AKX753" s="574"/>
      <c r="AKY753" s="574"/>
      <c r="AKZ753" s="574"/>
      <c r="ALA753" s="574"/>
      <c r="ALB753" s="574"/>
      <c r="ALC753" s="574"/>
      <c r="ALD753" s="574"/>
      <c r="ALE753" s="574"/>
      <c r="ALF753" s="574"/>
      <c r="ALG753" s="574"/>
      <c r="ALH753" s="574"/>
      <c r="ALI753" s="574"/>
      <c r="ALJ753" s="574"/>
      <c r="ALK753" s="574"/>
      <c r="ALL753" s="574"/>
      <c r="ALM753" s="574"/>
      <c r="ALN753" s="574"/>
      <c r="ALO753" s="574"/>
      <c r="ALP753" s="574"/>
      <c r="ALQ753" s="574"/>
      <c r="ALR753" s="574"/>
      <c r="ALS753" s="574"/>
      <c r="ALT753" s="574"/>
      <c r="ALU753" s="574"/>
      <c r="ALV753" s="574"/>
      <c r="ALW753" s="574"/>
      <c r="ALX753" s="574"/>
      <c r="ALY753" s="574"/>
      <c r="ALZ753" s="574"/>
      <c r="AMA753" s="574"/>
      <c r="AMB753" s="574"/>
      <c r="AMC753" s="574"/>
      <c r="AMD753" s="574"/>
      <c r="AME753" s="574"/>
      <c r="AMF753" s="574"/>
      <c r="AMG753" s="574"/>
      <c r="AMH753" s="574"/>
      <c r="AMI753" s="574"/>
      <c r="AMJ753" s="574"/>
      <c r="AMK753" s="574"/>
      <c r="AML753" s="574"/>
      <c r="AMM753" s="574"/>
      <c r="AMN753" s="574"/>
      <c r="AMO753" s="574"/>
      <c r="AMP753" s="574"/>
      <c r="AMQ753" s="574"/>
      <c r="AMR753" s="574"/>
      <c r="AMS753" s="574"/>
      <c r="AMT753" s="574"/>
      <c r="AMU753" s="574"/>
      <c r="AMV753" s="574"/>
      <c r="AMW753" s="574"/>
      <c r="AMX753" s="574"/>
      <c r="AMY753" s="574"/>
      <c r="AMZ753" s="574"/>
      <c r="ANA753" s="574"/>
      <c r="ANB753" s="574"/>
      <c r="ANC753" s="574"/>
      <c r="AND753" s="574"/>
      <c r="ANE753" s="574"/>
      <c r="ANF753" s="574"/>
      <c r="ANG753" s="574"/>
      <c r="ANH753" s="574"/>
      <c r="ANI753" s="574"/>
      <c r="ANJ753" s="574"/>
      <c r="ANK753" s="574"/>
      <c r="ANL753" s="574"/>
      <c r="ANM753" s="574"/>
      <c r="ANN753" s="574"/>
      <c r="ANO753" s="574"/>
      <c r="ANP753" s="574"/>
      <c r="ANQ753" s="574"/>
      <c r="ANR753" s="574"/>
      <c r="ANS753" s="574"/>
      <c r="ANT753" s="574"/>
      <c r="ANU753" s="574"/>
      <c r="ANV753" s="574"/>
      <c r="ANW753" s="574"/>
      <c r="ANX753" s="574"/>
      <c r="ANY753" s="574"/>
      <c r="ANZ753" s="574"/>
      <c r="AOA753" s="574"/>
      <c r="AOB753" s="574"/>
      <c r="AOC753" s="574"/>
      <c r="AOD753" s="574"/>
      <c r="AOE753" s="574"/>
      <c r="AOF753" s="574"/>
      <c r="AOG753" s="574"/>
      <c r="AOH753" s="574"/>
      <c r="AOI753" s="574"/>
      <c r="AOJ753" s="574"/>
      <c r="AOK753" s="574"/>
      <c r="AOL753" s="574"/>
      <c r="AOM753" s="574"/>
      <c r="AON753" s="574"/>
      <c r="AOO753" s="574"/>
      <c r="AOP753" s="574"/>
      <c r="AOQ753" s="574"/>
      <c r="AOR753" s="574"/>
      <c r="AOS753" s="574"/>
      <c r="AOT753" s="574"/>
      <c r="AOU753" s="574"/>
      <c r="AOV753" s="574"/>
      <c r="AOW753" s="574"/>
      <c r="AOX753" s="574"/>
      <c r="AOY753" s="574"/>
      <c r="AOZ753" s="574"/>
      <c r="APA753" s="574"/>
      <c r="APB753" s="574"/>
      <c r="APC753" s="574"/>
      <c r="APD753" s="574"/>
      <c r="APE753" s="574"/>
      <c r="APF753" s="574"/>
      <c r="APG753" s="574"/>
      <c r="APH753" s="574"/>
      <c r="API753" s="574"/>
      <c r="APJ753" s="574"/>
      <c r="APK753" s="574"/>
      <c r="APL753" s="574"/>
      <c r="APM753" s="574"/>
      <c r="APN753" s="574"/>
      <c r="APO753" s="574"/>
      <c r="APP753" s="574"/>
      <c r="APQ753" s="574"/>
      <c r="APR753" s="574"/>
      <c r="APS753" s="574"/>
      <c r="APT753" s="574"/>
      <c r="APU753" s="574"/>
      <c r="APV753" s="574"/>
      <c r="APW753" s="574"/>
      <c r="APX753" s="574"/>
      <c r="APY753" s="574"/>
      <c r="APZ753" s="574"/>
      <c r="AQA753" s="574"/>
      <c r="AQB753" s="574"/>
      <c r="AQC753" s="574"/>
      <c r="AQD753" s="574"/>
      <c r="AQE753" s="574"/>
      <c r="AQF753" s="574"/>
      <c r="AQG753" s="574"/>
      <c r="AQH753" s="574"/>
      <c r="AQI753" s="574"/>
      <c r="AQJ753" s="574"/>
      <c r="AQK753" s="574"/>
      <c r="AQL753" s="574"/>
      <c r="AQM753" s="574"/>
      <c r="AQN753" s="574"/>
      <c r="AQO753" s="574"/>
      <c r="AQP753" s="574"/>
      <c r="AQQ753" s="574"/>
      <c r="AQR753" s="574"/>
      <c r="AQS753" s="574"/>
      <c r="AQT753" s="574"/>
      <c r="AQU753" s="574"/>
      <c r="AQV753" s="574"/>
      <c r="AQW753" s="574"/>
      <c r="AQX753" s="574"/>
      <c r="AQY753" s="574"/>
      <c r="AQZ753" s="574"/>
      <c r="ARA753" s="574"/>
      <c r="ARB753" s="574"/>
      <c r="ARC753" s="574"/>
      <c r="ARD753" s="574"/>
      <c r="ARE753" s="574"/>
      <c r="ARF753" s="574"/>
      <c r="ARG753" s="574"/>
      <c r="ARH753" s="574"/>
      <c r="ARI753" s="574"/>
      <c r="ARJ753" s="574"/>
      <c r="ARK753" s="574"/>
      <c r="ARL753" s="574"/>
      <c r="ARM753" s="574"/>
      <c r="ARN753" s="574"/>
      <c r="ARO753" s="574"/>
      <c r="ARP753" s="574"/>
      <c r="ARQ753" s="574"/>
      <c r="ARR753" s="574"/>
      <c r="ARS753" s="574"/>
      <c r="ART753" s="574"/>
      <c r="ARU753" s="574"/>
      <c r="ARV753" s="574"/>
      <c r="ARW753" s="574"/>
      <c r="ARX753" s="574"/>
      <c r="ARY753" s="574"/>
      <c r="ARZ753" s="574"/>
      <c r="ASA753" s="574"/>
      <c r="ASB753" s="574"/>
      <c r="ASC753" s="574"/>
      <c r="ASD753" s="574"/>
      <c r="ASE753" s="574"/>
      <c r="ASF753" s="574"/>
      <c r="ASG753" s="574"/>
      <c r="ASH753" s="574"/>
      <c r="ASI753" s="574"/>
      <c r="ASJ753" s="574"/>
      <c r="ASK753" s="574"/>
      <c r="ASL753" s="574"/>
      <c r="ASM753" s="574"/>
      <c r="ASN753" s="574"/>
      <c r="ASO753" s="574"/>
      <c r="ASP753" s="574"/>
      <c r="ASQ753" s="574"/>
      <c r="ASR753" s="574"/>
      <c r="ASS753" s="574"/>
      <c r="AST753" s="574"/>
      <c r="ASU753" s="574"/>
      <c r="ASV753" s="574"/>
      <c r="ASW753" s="574"/>
      <c r="ASX753" s="574"/>
      <c r="ASY753" s="574"/>
      <c r="ASZ753" s="574"/>
      <c r="ATA753" s="574"/>
      <c r="ATB753" s="574"/>
      <c r="ATC753" s="574"/>
      <c r="ATD753" s="574"/>
      <c r="ATE753" s="574"/>
      <c r="ATF753" s="574"/>
      <c r="ATG753" s="574"/>
      <c r="ATH753" s="574"/>
      <c r="ATI753" s="574"/>
      <c r="ATJ753" s="574"/>
      <c r="ATK753" s="574"/>
      <c r="ATL753" s="574"/>
      <c r="ATM753" s="574"/>
      <c r="ATN753" s="574"/>
      <c r="ATO753" s="574"/>
      <c r="ATP753" s="574"/>
      <c r="ATQ753" s="574"/>
      <c r="ATR753" s="574"/>
      <c r="ATS753" s="574"/>
      <c r="ATT753" s="574"/>
      <c r="ATU753" s="574"/>
      <c r="ATV753" s="574"/>
      <c r="ATW753" s="574"/>
      <c r="ATX753" s="574"/>
      <c r="ATY753" s="574"/>
      <c r="ATZ753" s="574"/>
      <c r="AUA753" s="574"/>
      <c r="AUB753" s="574"/>
      <c r="AUC753" s="574"/>
      <c r="AUD753" s="574"/>
      <c r="AUE753" s="574"/>
      <c r="AUF753" s="574"/>
      <c r="AUG753" s="574"/>
      <c r="AUH753" s="574"/>
      <c r="AUI753" s="574"/>
      <c r="AUJ753" s="574"/>
      <c r="AUK753" s="574"/>
      <c r="AUL753" s="574"/>
      <c r="AUM753" s="574"/>
      <c r="AUN753" s="574"/>
      <c r="AUO753" s="574"/>
      <c r="AUP753" s="574"/>
      <c r="AUQ753" s="574"/>
      <c r="AUR753" s="574"/>
      <c r="AUS753" s="574"/>
      <c r="AUT753" s="574"/>
      <c r="AUU753" s="574"/>
      <c r="AUV753" s="574"/>
      <c r="AUW753" s="574"/>
      <c r="AUX753" s="574"/>
      <c r="AUY753" s="574"/>
      <c r="AUZ753" s="574"/>
      <c r="AVA753" s="574"/>
      <c r="AVB753" s="574"/>
      <c r="AVC753" s="574"/>
      <c r="AVD753" s="574"/>
      <c r="AVE753" s="574"/>
      <c r="AVF753" s="574"/>
      <c r="AVG753" s="574"/>
      <c r="AVH753" s="574"/>
      <c r="AVI753" s="574"/>
      <c r="AVJ753" s="574"/>
      <c r="AVK753" s="574"/>
      <c r="AVL753" s="574"/>
      <c r="AVM753" s="574"/>
      <c r="AVN753" s="574"/>
      <c r="AVO753" s="574"/>
      <c r="AVP753" s="574"/>
      <c r="AVQ753" s="574"/>
      <c r="AVR753" s="574"/>
      <c r="AVS753" s="574"/>
      <c r="AVT753" s="574"/>
      <c r="AVU753" s="574"/>
      <c r="AVV753" s="574"/>
      <c r="AVW753" s="574"/>
      <c r="AVX753" s="574"/>
      <c r="AVY753" s="574"/>
      <c r="AVZ753" s="574"/>
      <c r="AWA753" s="574"/>
      <c r="AWB753" s="574"/>
      <c r="AWC753" s="574"/>
      <c r="AWD753" s="574"/>
      <c r="AWE753" s="574"/>
      <c r="AWF753" s="574"/>
      <c r="AWG753" s="574"/>
      <c r="AWH753" s="574"/>
      <c r="AWI753" s="574"/>
      <c r="AWJ753" s="574"/>
      <c r="AWK753" s="574"/>
      <c r="AWL753" s="574"/>
      <c r="AWM753" s="574"/>
      <c r="AWN753" s="574"/>
      <c r="AWO753" s="574"/>
      <c r="AWP753" s="574"/>
      <c r="AWQ753" s="574"/>
      <c r="AWR753" s="574"/>
      <c r="AWS753" s="574"/>
      <c r="AWT753" s="574"/>
      <c r="AWU753" s="574"/>
      <c r="AWV753" s="574"/>
      <c r="AWW753" s="574"/>
      <c r="AWX753" s="574"/>
      <c r="AWY753" s="574"/>
      <c r="AWZ753" s="574"/>
      <c r="AXA753" s="574"/>
      <c r="AXB753" s="574"/>
      <c r="AXC753" s="574"/>
      <c r="AXD753" s="574"/>
      <c r="AXE753" s="574"/>
      <c r="AXF753" s="574"/>
      <c r="AXG753" s="574"/>
      <c r="AXH753" s="574"/>
      <c r="AXI753" s="574"/>
      <c r="AXJ753" s="574"/>
      <c r="AXK753" s="574"/>
      <c r="AXL753" s="574"/>
      <c r="AXM753" s="574"/>
      <c r="AXN753" s="574"/>
      <c r="AXO753" s="574"/>
      <c r="AXP753" s="574"/>
      <c r="AXQ753" s="574"/>
      <c r="AXR753" s="574"/>
      <c r="AXS753" s="574"/>
      <c r="AXT753" s="574"/>
      <c r="AXU753" s="574"/>
      <c r="AXV753" s="574"/>
      <c r="AXW753" s="574"/>
      <c r="AXX753" s="574"/>
      <c r="AXY753" s="574"/>
      <c r="AXZ753" s="574"/>
      <c r="AYA753" s="574"/>
      <c r="AYB753" s="574"/>
      <c r="AYC753" s="574"/>
      <c r="AYD753" s="574"/>
      <c r="AYE753" s="574"/>
      <c r="AYF753" s="574"/>
      <c r="AYG753" s="574"/>
      <c r="AYH753" s="574"/>
      <c r="AYI753" s="574"/>
      <c r="AYJ753" s="574"/>
      <c r="AYK753" s="574"/>
      <c r="AYL753" s="574"/>
      <c r="AYM753" s="574"/>
      <c r="AYN753" s="574"/>
      <c r="AYO753" s="574"/>
      <c r="AYP753" s="574"/>
      <c r="AYQ753" s="574"/>
      <c r="AYR753" s="574"/>
      <c r="AYS753" s="574"/>
      <c r="AYT753" s="574"/>
      <c r="AYU753" s="574"/>
      <c r="AYV753" s="574"/>
      <c r="AYW753" s="574"/>
      <c r="AYX753" s="574"/>
      <c r="AYY753" s="574"/>
      <c r="AYZ753" s="574"/>
      <c r="AZA753" s="574"/>
      <c r="AZB753" s="574"/>
      <c r="AZC753" s="574"/>
      <c r="AZD753" s="574"/>
      <c r="AZE753" s="574"/>
      <c r="AZF753" s="574"/>
      <c r="AZG753" s="574"/>
      <c r="AZH753" s="574"/>
      <c r="AZI753" s="574"/>
      <c r="AZJ753" s="574"/>
      <c r="AZK753" s="574"/>
      <c r="AZL753" s="574"/>
      <c r="AZM753" s="574"/>
      <c r="AZN753" s="574"/>
      <c r="AZO753" s="574"/>
      <c r="AZP753" s="574"/>
      <c r="AZQ753" s="574"/>
      <c r="AZR753" s="574"/>
      <c r="AZS753" s="574"/>
      <c r="AZT753" s="574"/>
      <c r="AZU753" s="574"/>
      <c r="AZV753" s="574"/>
      <c r="AZW753" s="574"/>
      <c r="AZX753" s="574"/>
      <c r="AZY753" s="574"/>
      <c r="AZZ753" s="574"/>
      <c r="BAA753" s="574"/>
      <c r="BAB753" s="574"/>
      <c r="BAC753" s="574"/>
      <c r="BAD753" s="574"/>
      <c r="BAE753" s="574"/>
      <c r="BAF753" s="574"/>
      <c r="BAG753" s="574"/>
      <c r="BAH753" s="574"/>
      <c r="BAI753" s="574"/>
      <c r="BAJ753" s="574"/>
      <c r="BAK753" s="574"/>
      <c r="BAL753" s="574"/>
      <c r="BAM753" s="574"/>
      <c r="BAN753" s="574"/>
      <c r="BAO753" s="574"/>
      <c r="BAP753" s="574"/>
      <c r="BAQ753" s="574"/>
      <c r="BAR753" s="574"/>
      <c r="BAS753" s="574"/>
      <c r="BAT753" s="574"/>
      <c r="BAU753" s="574"/>
      <c r="BAV753" s="574"/>
      <c r="BAW753" s="574"/>
      <c r="BAX753" s="574"/>
      <c r="BAY753" s="574"/>
      <c r="BAZ753" s="574"/>
      <c r="BBA753" s="574"/>
      <c r="BBB753" s="574"/>
      <c r="BBC753" s="574"/>
      <c r="BBD753" s="574"/>
      <c r="BBE753" s="574"/>
      <c r="BBF753" s="574"/>
      <c r="BBG753" s="574"/>
      <c r="BBH753" s="574"/>
      <c r="BBI753" s="574"/>
      <c r="BBJ753" s="574"/>
      <c r="BBK753" s="574"/>
      <c r="BBL753" s="574"/>
      <c r="BBM753" s="574"/>
      <c r="BBN753" s="574"/>
      <c r="BBO753" s="574"/>
      <c r="BBP753" s="574"/>
      <c r="BBQ753" s="574"/>
      <c r="BBR753" s="574"/>
      <c r="BBS753" s="574"/>
      <c r="BBT753" s="574"/>
      <c r="BBU753" s="574"/>
      <c r="BBV753" s="574"/>
      <c r="BBW753" s="574"/>
      <c r="BBX753" s="574"/>
      <c r="BBY753" s="574"/>
      <c r="BBZ753" s="574"/>
      <c r="BCA753" s="574"/>
      <c r="BCB753" s="574"/>
      <c r="BCC753" s="574"/>
      <c r="BCD753" s="574"/>
      <c r="BCE753" s="574"/>
      <c r="BCF753" s="574"/>
      <c r="BCG753" s="574"/>
      <c r="BCH753" s="574"/>
      <c r="BCI753" s="574"/>
      <c r="BCJ753" s="574"/>
      <c r="BCK753" s="574"/>
      <c r="BCL753" s="574"/>
      <c r="BCM753" s="574"/>
      <c r="BCN753" s="574"/>
      <c r="BCO753" s="574"/>
      <c r="BCP753" s="574"/>
      <c r="BCQ753" s="574"/>
      <c r="BCR753" s="574"/>
      <c r="BCS753" s="574"/>
      <c r="BCT753" s="574"/>
      <c r="BCU753" s="574"/>
      <c r="BCV753" s="574"/>
      <c r="BCW753" s="574"/>
      <c r="BCX753" s="574"/>
      <c r="BCY753" s="574"/>
      <c r="BCZ753" s="574"/>
      <c r="BDA753" s="574"/>
      <c r="BDB753" s="574"/>
      <c r="BDC753" s="574"/>
      <c r="BDD753" s="574"/>
      <c r="BDE753" s="574"/>
      <c r="BDF753" s="574"/>
      <c r="BDG753" s="574"/>
      <c r="BDH753" s="574"/>
      <c r="BDI753" s="574"/>
      <c r="BDJ753" s="574"/>
      <c r="BDK753" s="574"/>
      <c r="BDL753" s="574"/>
      <c r="BDM753" s="574"/>
      <c r="BDN753" s="574"/>
      <c r="BDO753" s="574"/>
      <c r="BDP753" s="574"/>
      <c r="BDQ753" s="574"/>
      <c r="BDR753" s="574"/>
      <c r="BDS753" s="574"/>
      <c r="BDT753" s="574"/>
      <c r="BDU753" s="574"/>
      <c r="BDV753" s="574"/>
      <c r="BDW753" s="574"/>
      <c r="BDX753" s="574"/>
      <c r="BDY753" s="574"/>
      <c r="BDZ753" s="574"/>
      <c r="BEA753" s="574"/>
      <c r="BEB753" s="574"/>
      <c r="BEC753" s="574"/>
      <c r="BED753" s="574"/>
      <c r="BEE753" s="574"/>
      <c r="BEF753" s="574"/>
      <c r="BEG753" s="574"/>
      <c r="BEH753" s="574"/>
      <c r="BEI753" s="574"/>
      <c r="BEJ753" s="574"/>
      <c r="BEK753" s="574"/>
      <c r="BEL753" s="574"/>
      <c r="BEM753" s="574"/>
      <c r="BEN753" s="574"/>
      <c r="BEO753" s="574"/>
      <c r="BEP753" s="574"/>
      <c r="BEQ753" s="574"/>
      <c r="BER753" s="574"/>
      <c r="BES753" s="574"/>
      <c r="BET753" s="574"/>
      <c r="BEU753" s="574"/>
      <c r="BEV753" s="574"/>
      <c r="BEW753" s="574"/>
      <c r="BEX753" s="574"/>
      <c r="BEY753" s="574"/>
      <c r="BEZ753" s="574"/>
      <c r="BFA753" s="574"/>
      <c r="BFB753" s="574"/>
      <c r="BFC753" s="574"/>
      <c r="BFD753" s="574"/>
      <c r="BFE753" s="574"/>
      <c r="BFF753" s="574"/>
      <c r="BFG753" s="574"/>
      <c r="BFH753" s="574"/>
      <c r="BFI753" s="574"/>
      <c r="BFJ753" s="574"/>
      <c r="BFK753" s="574"/>
      <c r="BFL753" s="574"/>
      <c r="BFM753" s="574"/>
      <c r="BFN753" s="574"/>
      <c r="BFO753" s="574"/>
      <c r="BFP753" s="574"/>
      <c r="BFQ753" s="574"/>
      <c r="BFR753" s="574"/>
      <c r="BFS753" s="574"/>
      <c r="BFT753" s="574"/>
      <c r="BFU753" s="574"/>
      <c r="BFV753" s="574"/>
      <c r="BFW753" s="574"/>
      <c r="BFX753" s="574"/>
      <c r="BFY753" s="574"/>
      <c r="BFZ753" s="574"/>
      <c r="BGA753" s="574"/>
      <c r="BGB753" s="574"/>
      <c r="BGC753" s="574"/>
      <c r="BGD753" s="574"/>
      <c r="BGE753" s="574"/>
      <c r="BGF753" s="574"/>
      <c r="BGG753" s="574"/>
      <c r="BGH753" s="574"/>
      <c r="BGI753" s="574"/>
      <c r="BGJ753" s="574"/>
      <c r="BGK753" s="574"/>
      <c r="BGL753" s="574"/>
      <c r="BGM753" s="574"/>
      <c r="BGN753" s="574"/>
      <c r="BGO753" s="574"/>
      <c r="BGP753" s="574"/>
      <c r="BGQ753" s="574"/>
      <c r="BGR753" s="574"/>
      <c r="BGS753" s="574"/>
      <c r="BGT753" s="574"/>
      <c r="BGU753" s="574"/>
      <c r="BGV753" s="574"/>
      <c r="BGW753" s="574"/>
      <c r="BGX753" s="574"/>
      <c r="BGY753" s="574"/>
      <c r="BGZ753" s="574"/>
      <c r="BHA753" s="574"/>
      <c r="BHB753" s="574"/>
      <c r="BHC753" s="574"/>
      <c r="BHD753" s="574"/>
      <c r="BHE753" s="574"/>
      <c r="BHF753" s="574"/>
      <c r="BHG753" s="574"/>
      <c r="BHH753" s="574"/>
      <c r="BHI753" s="574"/>
      <c r="BHJ753" s="574"/>
      <c r="BHK753" s="574"/>
      <c r="BHL753" s="574"/>
      <c r="BHM753" s="574"/>
      <c r="BHN753" s="574"/>
      <c r="BHO753" s="574"/>
      <c r="BHP753" s="574"/>
      <c r="BHQ753" s="574"/>
      <c r="BHR753" s="574"/>
      <c r="BHS753" s="574"/>
      <c r="BHT753" s="574"/>
      <c r="BHU753" s="574"/>
      <c r="BHV753" s="574"/>
      <c r="BHW753" s="574"/>
      <c r="BHX753" s="574"/>
      <c r="BHY753" s="574"/>
      <c r="BHZ753" s="574"/>
      <c r="BIA753" s="574"/>
      <c r="BIB753" s="574"/>
      <c r="BIC753" s="574"/>
      <c r="BID753" s="574"/>
      <c r="BIE753" s="574"/>
      <c r="BIF753" s="574"/>
      <c r="BIG753" s="574"/>
      <c r="BIH753" s="574"/>
      <c r="BII753" s="574"/>
      <c r="BIJ753" s="574"/>
      <c r="BIK753" s="574"/>
      <c r="BIL753" s="574"/>
      <c r="BIM753" s="574"/>
      <c r="BIN753" s="574"/>
      <c r="BIO753" s="574"/>
      <c r="BIP753" s="574"/>
      <c r="BIQ753" s="574"/>
      <c r="BIR753" s="574"/>
      <c r="BIS753" s="574"/>
      <c r="BIT753" s="574"/>
      <c r="BIU753" s="574"/>
      <c r="BIV753" s="574"/>
      <c r="BIW753" s="574"/>
      <c r="BIX753" s="574"/>
      <c r="BIY753" s="574"/>
      <c r="BIZ753" s="574"/>
      <c r="BJA753" s="574"/>
      <c r="BJB753" s="574"/>
      <c r="BJC753" s="574"/>
      <c r="BJD753" s="574"/>
      <c r="BJE753" s="574"/>
      <c r="BJF753" s="574"/>
      <c r="BJG753" s="574"/>
      <c r="BJH753" s="574"/>
      <c r="BJI753" s="574"/>
      <c r="BJJ753" s="574"/>
      <c r="BJK753" s="574"/>
      <c r="BJL753" s="574"/>
      <c r="BJM753" s="574"/>
      <c r="BJN753" s="574"/>
      <c r="BJO753" s="574"/>
      <c r="BJP753" s="574"/>
      <c r="BJQ753" s="574"/>
      <c r="BJR753" s="574"/>
      <c r="BJS753" s="574"/>
      <c r="BJT753" s="574"/>
      <c r="BJU753" s="574"/>
      <c r="BJV753" s="574"/>
      <c r="BJW753" s="574"/>
      <c r="BJX753" s="574"/>
      <c r="BJY753" s="574"/>
      <c r="BJZ753" s="574"/>
      <c r="BKA753" s="574"/>
      <c r="BKB753" s="574"/>
      <c r="BKC753" s="574"/>
      <c r="BKD753" s="574"/>
      <c r="BKE753" s="574"/>
      <c r="BKF753" s="574"/>
      <c r="BKG753" s="574"/>
      <c r="BKH753" s="574"/>
      <c r="BKI753" s="574"/>
      <c r="BKJ753" s="574"/>
      <c r="BKK753" s="574"/>
      <c r="BKL753" s="574"/>
      <c r="BKM753" s="574"/>
      <c r="BKN753" s="574"/>
      <c r="BKO753" s="574"/>
      <c r="BKP753" s="574"/>
      <c r="BKQ753" s="574"/>
      <c r="BKR753" s="574"/>
      <c r="BKS753" s="574"/>
      <c r="BKT753" s="574"/>
      <c r="BKU753" s="574"/>
      <c r="BKV753" s="574"/>
      <c r="BKW753" s="574"/>
      <c r="BKX753" s="574"/>
      <c r="BKY753" s="574"/>
      <c r="BKZ753" s="574"/>
      <c r="BLA753" s="574"/>
      <c r="BLB753" s="574"/>
      <c r="BLC753" s="574"/>
      <c r="BLD753" s="574"/>
      <c r="BLE753" s="574"/>
      <c r="BLF753" s="574"/>
      <c r="BLG753" s="574"/>
      <c r="BLH753" s="574"/>
      <c r="BLI753" s="574"/>
      <c r="BLJ753" s="574"/>
      <c r="BLK753" s="574"/>
      <c r="BLL753" s="574"/>
      <c r="BLM753" s="574"/>
      <c r="BLN753" s="574"/>
      <c r="BLO753" s="574"/>
      <c r="BLP753" s="574"/>
      <c r="BLQ753" s="574"/>
      <c r="BLR753" s="574"/>
      <c r="BLS753" s="574"/>
      <c r="BLT753" s="574"/>
      <c r="BLU753" s="574"/>
      <c r="BLV753" s="574"/>
      <c r="BLW753" s="574"/>
      <c r="BLX753" s="574"/>
      <c r="BLY753" s="574"/>
      <c r="BLZ753" s="574"/>
      <c r="BMA753" s="574"/>
      <c r="BMB753" s="574"/>
      <c r="BMC753" s="574"/>
      <c r="BMD753" s="574"/>
      <c r="BME753" s="574"/>
      <c r="BMF753" s="574"/>
      <c r="BMG753" s="574"/>
      <c r="BMH753" s="574"/>
      <c r="BMI753" s="574"/>
      <c r="BMJ753" s="574"/>
      <c r="BMK753" s="574"/>
      <c r="BML753" s="574"/>
      <c r="BMM753" s="574"/>
      <c r="BMN753" s="574"/>
      <c r="BMO753" s="574"/>
      <c r="BMP753" s="574"/>
      <c r="BMQ753" s="574"/>
      <c r="BMR753" s="574"/>
      <c r="BMS753" s="574"/>
      <c r="BMT753" s="574"/>
      <c r="BMU753" s="574"/>
      <c r="BMV753" s="574"/>
      <c r="BMW753" s="574"/>
      <c r="BMX753" s="574"/>
      <c r="BMY753" s="574"/>
      <c r="BMZ753" s="574"/>
      <c r="BNA753" s="574"/>
      <c r="BNB753" s="574"/>
      <c r="BNC753" s="574"/>
      <c r="BND753" s="574"/>
      <c r="BNE753" s="574"/>
      <c r="BNF753" s="574"/>
      <c r="BNG753" s="574"/>
      <c r="BNH753" s="574"/>
      <c r="BNI753" s="574"/>
      <c r="BNJ753" s="574"/>
      <c r="BNK753" s="574"/>
      <c r="BNL753" s="574"/>
      <c r="BNM753" s="574"/>
      <c r="BNN753" s="574"/>
      <c r="BNO753" s="574"/>
      <c r="BNP753" s="574"/>
      <c r="BNQ753" s="574"/>
      <c r="BNR753" s="574"/>
      <c r="BNS753" s="574"/>
      <c r="BNT753" s="574"/>
      <c r="BNU753" s="574"/>
      <c r="BNV753" s="574"/>
      <c r="BNW753" s="574"/>
      <c r="BNX753" s="574"/>
      <c r="BNY753" s="574"/>
      <c r="BNZ753" s="574"/>
      <c r="BOA753" s="574"/>
      <c r="BOB753" s="574"/>
      <c r="BOC753" s="574"/>
      <c r="BOD753" s="574"/>
      <c r="BOE753" s="574"/>
      <c r="BOF753" s="574"/>
      <c r="BOG753" s="574"/>
      <c r="BOH753" s="574"/>
      <c r="BOI753" s="574"/>
      <c r="BOJ753" s="574"/>
      <c r="BOK753" s="574"/>
      <c r="BOL753" s="574"/>
      <c r="BOM753" s="574"/>
      <c r="BON753" s="574"/>
      <c r="BOO753" s="574"/>
      <c r="BOP753" s="574"/>
      <c r="BOQ753" s="574"/>
      <c r="BOR753" s="574"/>
      <c r="BOS753" s="574"/>
      <c r="BOT753" s="574"/>
      <c r="BOU753" s="574"/>
      <c r="BOV753" s="574"/>
      <c r="BOW753" s="574"/>
      <c r="BOX753" s="574"/>
      <c r="BOY753" s="574"/>
      <c r="BOZ753" s="574"/>
      <c r="BPA753" s="574"/>
      <c r="BPB753" s="574"/>
      <c r="BPC753" s="574"/>
      <c r="BPD753" s="574"/>
      <c r="BPE753" s="574"/>
      <c r="BPF753" s="574"/>
      <c r="BPG753" s="574"/>
      <c r="BPH753" s="574"/>
      <c r="BPI753" s="574"/>
      <c r="BPJ753" s="574"/>
      <c r="BPK753" s="574"/>
      <c r="BPL753" s="574"/>
      <c r="BPM753" s="574"/>
      <c r="BPN753" s="574"/>
      <c r="BPO753" s="574"/>
      <c r="BPP753" s="574"/>
      <c r="BPQ753" s="574"/>
      <c r="BPR753" s="574"/>
      <c r="BPS753" s="574"/>
      <c r="BPT753" s="574"/>
      <c r="BPU753" s="574"/>
      <c r="BPV753" s="574"/>
      <c r="BPW753" s="574"/>
      <c r="BPX753" s="574"/>
      <c r="BPY753" s="574"/>
      <c r="BPZ753" s="574"/>
      <c r="BQA753" s="574"/>
      <c r="BQB753" s="574"/>
      <c r="BQC753" s="574"/>
      <c r="BQD753" s="574"/>
      <c r="BQE753" s="574"/>
      <c r="BQF753" s="574"/>
      <c r="BQG753" s="574"/>
      <c r="BQH753" s="574"/>
      <c r="BQI753" s="574"/>
      <c r="BQJ753" s="574"/>
      <c r="BQK753" s="574"/>
      <c r="BQL753" s="574"/>
      <c r="BQM753" s="574"/>
      <c r="BQN753" s="574"/>
      <c r="BQO753" s="574"/>
      <c r="BQP753" s="574"/>
      <c r="BQQ753" s="574"/>
      <c r="BQR753" s="574"/>
      <c r="BQS753" s="574"/>
      <c r="BQT753" s="574"/>
      <c r="BQU753" s="574"/>
      <c r="BQV753" s="574"/>
      <c r="BQW753" s="574"/>
      <c r="BQX753" s="574"/>
      <c r="BQY753" s="574"/>
      <c r="BQZ753" s="574"/>
      <c r="BRA753" s="574"/>
      <c r="BRB753" s="574"/>
      <c r="BRC753" s="574"/>
      <c r="BRD753" s="574"/>
      <c r="BRE753" s="574"/>
      <c r="BRF753" s="574"/>
      <c r="BRG753" s="574"/>
      <c r="BRH753" s="574"/>
      <c r="BRI753" s="574"/>
      <c r="BRJ753" s="574"/>
      <c r="BRK753" s="574"/>
      <c r="BRL753" s="574"/>
      <c r="BRM753" s="574"/>
      <c r="BRN753" s="574"/>
      <c r="BRO753" s="574"/>
      <c r="BRP753" s="574"/>
      <c r="BRQ753" s="574"/>
      <c r="BRR753" s="574"/>
      <c r="BRS753" s="574"/>
      <c r="BRT753" s="574"/>
      <c r="BRU753" s="574"/>
      <c r="BRV753" s="574"/>
      <c r="BRW753" s="574"/>
      <c r="BRX753" s="574"/>
      <c r="BRY753" s="574"/>
      <c r="BRZ753" s="574"/>
      <c r="BSA753" s="574"/>
      <c r="BSB753" s="574"/>
      <c r="BSC753" s="574"/>
      <c r="BSD753" s="574"/>
      <c r="BSE753" s="574"/>
      <c r="BSF753" s="574"/>
      <c r="BSG753" s="574"/>
      <c r="BSH753" s="574"/>
      <c r="BSI753" s="574"/>
      <c r="BSJ753" s="574"/>
      <c r="BSK753" s="574"/>
      <c r="BSL753" s="574"/>
      <c r="BSM753" s="574"/>
      <c r="BSN753" s="574"/>
      <c r="BSO753" s="574"/>
      <c r="BSP753" s="574"/>
      <c r="BSQ753" s="574"/>
      <c r="BSR753" s="574"/>
      <c r="BSS753" s="574"/>
      <c r="BST753" s="574"/>
      <c r="BSU753" s="574"/>
      <c r="BSV753" s="574"/>
      <c r="BSW753" s="574"/>
      <c r="BSX753" s="574"/>
      <c r="BSY753" s="574"/>
      <c r="BSZ753" s="574"/>
      <c r="BTA753" s="574"/>
      <c r="BTB753" s="574"/>
      <c r="BTC753" s="574"/>
      <c r="BTD753" s="574"/>
      <c r="BTE753" s="574"/>
      <c r="BTF753" s="574"/>
      <c r="BTG753" s="574"/>
      <c r="BTH753" s="574"/>
      <c r="BTI753" s="574"/>
      <c r="BTJ753" s="574"/>
      <c r="BTK753" s="574"/>
      <c r="BTL753" s="574"/>
      <c r="BTM753" s="574"/>
      <c r="BTN753" s="574"/>
      <c r="BTO753" s="574"/>
      <c r="BTP753" s="574"/>
      <c r="BTQ753" s="574"/>
      <c r="BTR753" s="574"/>
      <c r="BTS753" s="574"/>
      <c r="BTT753" s="574"/>
      <c r="BTU753" s="574"/>
      <c r="BTV753" s="574"/>
      <c r="BTW753" s="574"/>
      <c r="BTX753" s="574"/>
      <c r="BTY753" s="574"/>
      <c r="BTZ753" s="574"/>
      <c r="BUA753" s="574"/>
      <c r="BUB753" s="574"/>
      <c r="BUC753" s="574"/>
      <c r="BUD753" s="574"/>
      <c r="BUE753" s="574"/>
      <c r="BUF753" s="574"/>
      <c r="BUG753" s="574"/>
      <c r="BUH753" s="574"/>
      <c r="BUI753" s="574"/>
      <c r="BUJ753" s="574"/>
      <c r="BUK753" s="574"/>
      <c r="BUL753" s="574"/>
      <c r="BUM753" s="574"/>
      <c r="BUN753" s="574"/>
      <c r="BUO753" s="574"/>
      <c r="BUP753" s="574"/>
      <c r="BUQ753" s="574"/>
      <c r="BUR753" s="574"/>
      <c r="BUS753" s="574"/>
      <c r="BUT753" s="574"/>
      <c r="BUU753" s="574"/>
      <c r="BUV753" s="574"/>
      <c r="BUW753" s="574"/>
      <c r="BUX753" s="574"/>
      <c r="BUY753" s="574"/>
      <c r="BUZ753" s="574"/>
      <c r="BVA753" s="574"/>
      <c r="BVB753" s="574"/>
      <c r="BVC753" s="574"/>
      <c r="BVD753" s="574"/>
      <c r="BVE753" s="574"/>
      <c r="BVF753" s="574"/>
      <c r="BVG753" s="574"/>
      <c r="BVH753" s="574"/>
      <c r="BVI753" s="574"/>
      <c r="BVJ753" s="574"/>
      <c r="BVK753" s="574"/>
      <c r="BVL753" s="574"/>
      <c r="BVM753" s="574"/>
      <c r="BVN753" s="574"/>
      <c r="BVO753" s="574"/>
      <c r="BVP753" s="574"/>
      <c r="BVQ753" s="574"/>
      <c r="BVR753" s="574"/>
      <c r="BVS753" s="574"/>
      <c r="BVT753" s="574"/>
      <c r="BVU753" s="574"/>
      <c r="BVV753" s="574"/>
      <c r="BVW753" s="574"/>
      <c r="BVX753" s="574"/>
      <c r="BVY753" s="574"/>
      <c r="BVZ753" s="574"/>
      <c r="BWA753" s="574"/>
      <c r="BWB753" s="574"/>
      <c r="BWC753" s="574"/>
      <c r="BWD753" s="574"/>
      <c r="BWE753" s="574"/>
      <c r="BWF753" s="574"/>
      <c r="BWG753" s="574"/>
      <c r="BWH753" s="574"/>
      <c r="BWI753" s="574"/>
      <c r="BWJ753" s="574"/>
      <c r="BWK753" s="574"/>
      <c r="BWL753" s="574"/>
      <c r="BWM753" s="574"/>
      <c r="BWN753" s="574"/>
      <c r="BWO753" s="574"/>
      <c r="BWP753" s="574"/>
      <c r="BWQ753" s="574"/>
      <c r="BWR753" s="574"/>
      <c r="BWS753" s="574"/>
      <c r="BWT753" s="574"/>
      <c r="BWU753" s="574"/>
      <c r="BWV753" s="574"/>
      <c r="BWW753" s="574"/>
      <c r="BWX753" s="574"/>
      <c r="BWY753" s="574"/>
      <c r="BWZ753" s="574"/>
      <c r="BXA753" s="574"/>
      <c r="BXB753" s="574"/>
      <c r="BXC753" s="574"/>
      <c r="BXD753" s="574"/>
      <c r="BXE753" s="574"/>
      <c r="BXF753" s="574"/>
      <c r="BXG753" s="574"/>
      <c r="BXH753" s="574"/>
      <c r="BXI753" s="574"/>
      <c r="BXJ753" s="574"/>
      <c r="BXK753" s="574"/>
      <c r="BXL753" s="574"/>
      <c r="BXM753" s="574"/>
      <c r="BXN753" s="574"/>
      <c r="BXO753" s="574"/>
      <c r="BXP753" s="574"/>
      <c r="BXQ753" s="574"/>
      <c r="BXR753" s="574"/>
      <c r="BXS753" s="574"/>
      <c r="BXT753" s="574"/>
      <c r="BXU753" s="574"/>
      <c r="BXV753" s="574"/>
      <c r="BXW753" s="574"/>
      <c r="BXX753" s="574"/>
      <c r="BXY753" s="574"/>
      <c r="BXZ753" s="574"/>
      <c r="BYA753" s="574"/>
      <c r="BYB753" s="574"/>
      <c r="BYC753" s="574"/>
      <c r="BYD753" s="574"/>
      <c r="BYE753" s="574"/>
      <c r="BYF753" s="574"/>
      <c r="BYG753" s="574"/>
      <c r="BYH753" s="574"/>
      <c r="BYI753" s="574"/>
      <c r="BYJ753" s="574"/>
      <c r="BYK753" s="574"/>
      <c r="BYL753" s="574"/>
      <c r="BYM753" s="574"/>
      <c r="BYN753" s="574"/>
      <c r="BYO753" s="574"/>
      <c r="BYP753" s="574"/>
      <c r="BYQ753" s="574"/>
      <c r="BYR753" s="574"/>
      <c r="BYS753" s="574"/>
      <c r="BYT753" s="574"/>
      <c r="BYU753" s="574"/>
      <c r="BYV753" s="574"/>
      <c r="BYW753" s="574"/>
      <c r="BYX753" s="574"/>
      <c r="BYY753" s="574"/>
      <c r="BYZ753" s="574"/>
      <c r="BZA753" s="574"/>
      <c r="BZB753" s="574"/>
      <c r="BZC753" s="574"/>
      <c r="BZD753" s="574"/>
      <c r="BZE753" s="574"/>
      <c r="BZF753" s="574"/>
      <c r="BZG753" s="574"/>
      <c r="BZH753" s="574"/>
      <c r="BZI753" s="574"/>
      <c r="BZJ753" s="574"/>
      <c r="BZK753" s="574"/>
      <c r="BZL753" s="574"/>
      <c r="BZM753" s="574"/>
      <c r="BZN753" s="574"/>
      <c r="BZO753" s="574"/>
      <c r="BZP753" s="574"/>
      <c r="BZQ753" s="574"/>
      <c r="BZR753" s="574"/>
      <c r="BZS753" s="574"/>
      <c r="BZT753" s="574"/>
      <c r="BZU753" s="574"/>
      <c r="BZV753" s="574"/>
      <c r="BZW753" s="574"/>
      <c r="BZX753" s="574"/>
      <c r="BZY753" s="574"/>
      <c r="BZZ753" s="574"/>
      <c r="CAA753" s="574"/>
      <c r="CAB753" s="574"/>
      <c r="CAC753" s="574"/>
      <c r="CAD753" s="574"/>
      <c r="CAE753" s="574"/>
      <c r="CAF753" s="574"/>
      <c r="CAG753" s="574"/>
      <c r="CAH753" s="574"/>
      <c r="CAI753" s="574"/>
      <c r="CAJ753" s="574"/>
      <c r="CAK753" s="574"/>
      <c r="CAL753" s="574"/>
      <c r="CAM753" s="574"/>
      <c r="CAN753" s="574"/>
      <c r="CAO753" s="574"/>
      <c r="CAP753" s="574"/>
      <c r="CAQ753" s="574"/>
      <c r="CAR753" s="574"/>
      <c r="CAS753" s="574"/>
      <c r="CAT753" s="574"/>
      <c r="CAU753" s="574"/>
      <c r="CAV753" s="574"/>
      <c r="CAW753" s="574"/>
      <c r="CAX753" s="574"/>
      <c r="CAY753" s="574"/>
      <c r="CAZ753" s="574"/>
      <c r="CBA753" s="574"/>
      <c r="CBB753" s="574"/>
      <c r="CBC753" s="574"/>
      <c r="CBD753" s="574"/>
      <c r="CBE753" s="574"/>
      <c r="CBF753" s="574"/>
      <c r="CBG753" s="574"/>
      <c r="CBH753" s="574"/>
      <c r="CBI753" s="574"/>
      <c r="CBJ753" s="574"/>
      <c r="CBK753" s="574"/>
      <c r="CBL753" s="574"/>
      <c r="CBM753" s="574"/>
      <c r="CBN753" s="574"/>
      <c r="CBO753" s="574"/>
      <c r="CBP753" s="574"/>
      <c r="CBQ753" s="574"/>
      <c r="CBR753" s="574"/>
      <c r="CBS753" s="574"/>
      <c r="CBT753" s="574"/>
      <c r="CBU753" s="574"/>
      <c r="CBV753" s="574"/>
      <c r="CBW753" s="574"/>
      <c r="CBX753" s="574"/>
      <c r="CBY753" s="574"/>
      <c r="CBZ753" s="574"/>
      <c r="CCA753" s="574"/>
      <c r="CCB753" s="574"/>
      <c r="CCC753" s="574"/>
      <c r="CCD753" s="574"/>
      <c r="CCE753" s="574"/>
      <c r="CCF753" s="574"/>
      <c r="CCG753" s="574"/>
      <c r="CCH753" s="574"/>
      <c r="CCI753" s="574"/>
      <c r="CCJ753" s="574"/>
      <c r="CCK753" s="574"/>
      <c r="CCL753" s="574"/>
      <c r="CCM753" s="574"/>
      <c r="CCN753" s="574"/>
      <c r="CCO753" s="574"/>
      <c r="CCP753" s="574"/>
      <c r="CCQ753" s="574"/>
      <c r="CCR753" s="574"/>
      <c r="CCS753" s="574"/>
      <c r="CCT753" s="574"/>
      <c r="CCU753" s="574"/>
      <c r="CCV753" s="574"/>
      <c r="CCW753" s="574"/>
      <c r="CCX753" s="574"/>
      <c r="CCY753" s="574"/>
      <c r="CCZ753" s="574"/>
      <c r="CDA753" s="574"/>
      <c r="CDB753" s="574"/>
      <c r="CDC753" s="574"/>
      <c r="CDD753" s="574"/>
      <c r="CDE753" s="574"/>
      <c r="CDF753" s="574"/>
      <c r="CDG753" s="574"/>
      <c r="CDH753" s="574"/>
      <c r="CDI753" s="574"/>
      <c r="CDJ753" s="574"/>
      <c r="CDK753" s="574"/>
      <c r="CDL753" s="574"/>
      <c r="CDM753" s="574"/>
      <c r="CDN753" s="574"/>
      <c r="CDO753" s="574"/>
      <c r="CDP753" s="574"/>
      <c r="CDQ753" s="574"/>
      <c r="CDR753" s="574"/>
      <c r="CDS753" s="574"/>
      <c r="CDT753" s="574"/>
      <c r="CDU753" s="574"/>
      <c r="CDV753" s="574"/>
      <c r="CDW753" s="574"/>
      <c r="CDX753" s="574"/>
      <c r="CDY753" s="574"/>
      <c r="CDZ753" s="574"/>
      <c r="CEA753" s="574"/>
      <c r="CEB753" s="574"/>
      <c r="CEC753" s="574"/>
      <c r="CED753" s="574"/>
      <c r="CEE753" s="574"/>
      <c r="CEF753" s="574"/>
      <c r="CEG753" s="574"/>
      <c r="CEH753" s="574"/>
      <c r="CEI753" s="574"/>
      <c r="CEJ753" s="574"/>
      <c r="CEK753" s="574"/>
      <c r="CEL753" s="574"/>
      <c r="CEM753" s="574"/>
      <c r="CEN753" s="574"/>
      <c r="CEO753" s="574"/>
      <c r="CEP753" s="574"/>
      <c r="CEQ753" s="574"/>
      <c r="CER753" s="574"/>
      <c r="CES753" s="574"/>
      <c r="CET753" s="574"/>
      <c r="CEU753" s="574"/>
      <c r="CEV753" s="574"/>
      <c r="CEW753" s="574"/>
      <c r="CEX753" s="574"/>
      <c r="CEY753" s="574"/>
      <c r="CEZ753" s="574"/>
      <c r="CFA753" s="574"/>
      <c r="CFB753" s="574"/>
      <c r="CFC753" s="574"/>
      <c r="CFD753" s="574"/>
      <c r="CFE753" s="574"/>
      <c r="CFF753" s="574"/>
      <c r="CFG753" s="574"/>
      <c r="CFH753" s="574"/>
      <c r="CFI753" s="574"/>
      <c r="CFJ753" s="574"/>
      <c r="CFK753" s="574"/>
      <c r="CFL753" s="574"/>
      <c r="CFM753" s="574"/>
      <c r="CFN753" s="574"/>
      <c r="CFO753" s="574"/>
      <c r="CFP753" s="574"/>
      <c r="CFQ753" s="574"/>
      <c r="CFR753" s="574"/>
      <c r="CFS753" s="574"/>
      <c r="CFT753" s="574"/>
      <c r="CFU753" s="574"/>
      <c r="CFV753" s="574"/>
      <c r="CFW753" s="574"/>
      <c r="CFX753" s="574"/>
      <c r="CFY753" s="574"/>
      <c r="CFZ753" s="574"/>
      <c r="CGA753" s="574"/>
      <c r="CGB753" s="574"/>
      <c r="CGC753" s="574"/>
      <c r="CGD753" s="574"/>
      <c r="CGE753" s="574"/>
      <c r="CGF753" s="574"/>
      <c r="CGG753" s="574"/>
      <c r="CGH753" s="574"/>
      <c r="CGI753" s="574"/>
      <c r="CGJ753" s="574"/>
      <c r="CGK753" s="574"/>
      <c r="CGL753" s="574"/>
      <c r="CGM753" s="574"/>
      <c r="CGN753" s="574"/>
      <c r="CGO753" s="574"/>
      <c r="CGP753" s="574"/>
      <c r="CGQ753" s="574"/>
      <c r="CGR753" s="574"/>
      <c r="CGS753" s="574"/>
      <c r="CGT753" s="574"/>
      <c r="CGU753" s="574"/>
      <c r="CGV753" s="574"/>
      <c r="CGW753" s="574"/>
      <c r="CGX753" s="574"/>
      <c r="CGY753" s="574"/>
      <c r="CGZ753" s="574"/>
      <c r="CHA753" s="574"/>
      <c r="CHB753" s="574"/>
      <c r="CHC753" s="574"/>
      <c r="CHD753" s="574"/>
      <c r="CHE753" s="574"/>
      <c r="CHF753" s="574"/>
      <c r="CHG753" s="574"/>
      <c r="CHH753" s="574"/>
      <c r="CHI753" s="574"/>
      <c r="CHJ753" s="574"/>
      <c r="CHK753" s="574"/>
      <c r="CHL753" s="574"/>
      <c r="CHM753" s="574"/>
      <c r="CHN753" s="574"/>
      <c r="CHO753" s="574"/>
      <c r="CHP753" s="574"/>
      <c r="CHQ753" s="574"/>
      <c r="CHR753" s="574"/>
      <c r="CHS753" s="574"/>
      <c r="CHT753" s="574"/>
      <c r="CHU753" s="574"/>
      <c r="CHV753" s="574"/>
      <c r="CHW753" s="574"/>
      <c r="CHX753" s="574"/>
      <c r="CHY753" s="574"/>
      <c r="CHZ753" s="574"/>
      <c r="CIA753" s="574"/>
      <c r="CIB753" s="574"/>
      <c r="CIC753" s="574"/>
      <c r="CID753" s="574"/>
      <c r="CIE753" s="574"/>
      <c r="CIF753" s="574"/>
      <c r="CIG753" s="574"/>
      <c r="CIH753" s="574"/>
      <c r="CII753" s="574"/>
      <c r="CIJ753" s="574"/>
      <c r="CIK753" s="574"/>
      <c r="CIL753" s="574"/>
      <c r="CIM753" s="574"/>
      <c r="CIN753" s="574"/>
      <c r="CIO753" s="574"/>
      <c r="CIP753" s="574"/>
      <c r="CIQ753" s="574"/>
      <c r="CIR753" s="574"/>
      <c r="CIS753" s="574"/>
      <c r="CIT753" s="574"/>
      <c r="CIU753" s="574"/>
      <c r="CIV753" s="574"/>
      <c r="CIW753" s="574"/>
      <c r="CIX753" s="574"/>
      <c r="CIY753" s="574"/>
      <c r="CIZ753" s="574"/>
      <c r="CJA753" s="574"/>
      <c r="CJB753" s="574"/>
      <c r="CJC753" s="574"/>
      <c r="CJD753" s="574"/>
      <c r="CJE753" s="574"/>
      <c r="CJF753" s="574"/>
      <c r="CJG753" s="574"/>
      <c r="CJH753" s="574"/>
      <c r="CJI753" s="574"/>
      <c r="CJJ753" s="574"/>
      <c r="CJK753" s="574"/>
      <c r="CJL753" s="574"/>
      <c r="CJM753" s="574"/>
      <c r="CJN753" s="574"/>
      <c r="CJO753" s="574"/>
      <c r="CJP753" s="574"/>
      <c r="CJQ753" s="574"/>
      <c r="CJR753" s="574"/>
      <c r="CJS753" s="574"/>
      <c r="CJT753" s="574"/>
      <c r="CJU753" s="574"/>
      <c r="CJV753" s="574"/>
      <c r="CJW753" s="574"/>
      <c r="CJX753" s="574"/>
      <c r="CJY753" s="574"/>
      <c r="CJZ753" s="574"/>
      <c r="CKA753" s="574"/>
      <c r="CKB753" s="574"/>
      <c r="CKC753" s="574"/>
      <c r="CKD753" s="574"/>
      <c r="CKE753" s="574"/>
      <c r="CKF753" s="574"/>
      <c r="CKG753" s="574"/>
      <c r="CKH753" s="574"/>
      <c r="CKI753" s="574"/>
      <c r="CKJ753" s="574"/>
      <c r="CKK753" s="574"/>
      <c r="CKL753" s="574"/>
      <c r="CKM753" s="574"/>
      <c r="CKN753" s="574"/>
      <c r="CKO753" s="574"/>
      <c r="CKP753" s="574"/>
      <c r="CKQ753" s="574"/>
      <c r="CKR753" s="574"/>
      <c r="CKS753" s="574"/>
      <c r="CKT753" s="574"/>
      <c r="CKU753" s="574"/>
      <c r="CKV753" s="574"/>
      <c r="CKW753" s="574"/>
      <c r="CKX753" s="574"/>
      <c r="CKY753" s="574"/>
      <c r="CKZ753" s="574"/>
      <c r="CLA753" s="574"/>
      <c r="CLB753" s="574"/>
      <c r="CLC753" s="574"/>
      <c r="CLD753" s="574"/>
      <c r="CLE753" s="574"/>
      <c r="CLF753" s="574"/>
      <c r="CLG753" s="574"/>
      <c r="CLH753" s="574"/>
      <c r="CLI753" s="574"/>
      <c r="CLJ753" s="574"/>
      <c r="CLK753" s="574"/>
      <c r="CLL753" s="574"/>
      <c r="CLM753" s="574"/>
      <c r="CLN753" s="574"/>
      <c r="CLO753" s="574"/>
      <c r="CLP753" s="574"/>
      <c r="CLQ753" s="574"/>
      <c r="CLR753" s="574"/>
      <c r="CLS753" s="574"/>
      <c r="CLT753" s="574"/>
      <c r="CLU753" s="574"/>
      <c r="CLV753" s="574"/>
      <c r="CLW753" s="574"/>
      <c r="CLX753" s="574"/>
      <c r="CLY753" s="574"/>
      <c r="CLZ753" s="574"/>
      <c r="CMA753" s="574"/>
      <c r="CMB753" s="574"/>
      <c r="CMC753" s="574"/>
      <c r="CMD753" s="574"/>
      <c r="CME753" s="574"/>
      <c r="CMF753" s="574"/>
      <c r="CMG753" s="574"/>
      <c r="CMH753" s="574"/>
      <c r="CMI753" s="574"/>
      <c r="CMJ753" s="574"/>
      <c r="CMK753" s="574"/>
      <c r="CML753" s="574"/>
      <c r="CMM753" s="574"/>
      <c r="CMN753" s="574"/>
      <c r="CMO753" s="574"/>
      <c r="CMP753" s="574"/>
      <c r="CMQ753" s="574"/>
      <c r="CMR753" s="574"/>
      <c r="CMS753" s="574"/>
      <c r="CMT753" s="574"/>
      <c r="CMU753" s="574"/>
      <c r="CMV753" s="574"/>
      <c r="CMW753" s="574"/>
      <c r="CMX753" s="574"/>
      <c r="CMY753" s="574"/>
      <c r="CMZ753" s="574"/>
      <c r="CNA753" s="574"/>
      <c r="CNB753" s="574"/>
      <c r="CNC753" s="574"/>
      <c r="CND753" s="574"/>
      <c r="CNE753" s="574"/>
      <c r="CNF753" s="574"/>
      <c r="CNG753" s="574"/>
      <c r="CNH753" s="574"/>
      <c r="CNI753" s="574"/>
      <c r="CNJ753" s="574"/>
      <c r="CNK753" s="574"/>
      <c r="CNL753" s="574"/>
      <c r="CNM753" s="574"/>
      <c r="CNN753" s="574"/>
      <c r="CNO753" s="574"/>
      <c r="CNP753" s="574"/>
      <c r="CNQ753" s="574"/>
      <c r="CNR753" s="574"/>
      <c r="CNS753" s="574"/>
      <c r="CNT753" s="574"/>
      <c r="CNU753" s="574"/>
      <c r="CNV753" s="574"/>
      <c r="CNW753" s="574"/>
      <c r="CNX753" s="574"/>
      <c r="CNY753" s="574"/>
      <c r="CNZ753" s="574"/>
      <c r="COA753" s="574"/>
      <c r="COB753" s="574"/>
      <c r="COC753" s="574"/>
      <c r="COD753" s="574"/>
      <c r="COE753" s="574"/>
      <c r="COF753" s="574"/>
      <c r="COG753" s="574"/>
      <c r="COH753" s="574"/>
      <c r="COI753" s="574"/>
      <c r="COJ753" s="574"/>
      <c r="COK753" s="574"/>
      <c r="COL753" s="574"/>
      <c r="COM753" s="574"/>
      <c r="CON753" s="574"/>
      <c r="COO753" s="574"/>
      <c r="COP753" s="574"/>
      <c r="COQ753" s="574"/>
      <c r="COR753" s="574"/>
      <c r="COS753" s="574"/>
      <c r="COT753" s="574"/>
      <c r="COU753" s="574"/>
      <c r="COV753" s="574"/>
      <c r="COW753" s="574"/>
      <c r="COX753" s="574"/>
      <c r="COY753" s="574"/>
      <c r="COZ753" s="574"/>
      <c r="CPA753" s="574"/>
      <c r="CPB753" s="574"/>
      <c r="CPC753" s="574"/>
      <c r="CPD753" s="574"/>
      <c r="CPE753" s="574"/>
      <c r="CPF753" s="574"/>
      <c r="CPG753" s="574"/>
      <c r="CPH753" s="574"/>
      <c r="CPI753" s="574"/>
      <c r="CPJ753" s="574"/>
      <c r="CPK753" s="574"/>
      <c r="CPL753" s="574"/>
      <c r="CPM753" s="574"/>
      <c r="CPN753" s="574"/>
      <c r="CPO753" s="574"/>
      <c r="CPP753" s="574"/>
      <c r="CPQ753" s="574"/>
      <c r="CPR753" s="574"/>
      <c r="CPS753" s="574"/>
      <c r="CPT753" s="574"/>
      <c r="CPU753" s="574"/>
      <c r="CPV753" s="574"/>
      <c r="CPW753" s="574"/>
      <c r="CPX753" s="574"/>
      <c r="CPY753" s="574"/>
      <c r="CPZ753" s="574"/>
      <c r="CQA753" s="574"/>
      <c r="CQB753" s="574"/>
      <c r="CQC753" s="574"/>
      <c r="CQD753" s="574"/>
      <c r="CQE753" s="574"/>
      <c r="CQF753" s="574"/>
      <c r="CQG753" s="574"/>
      <c r="CQH753" s="574"/>
      <c r="CQI753" s="574"/>
      <c r="CQJ753" s="574"/>
      <c r="CQK753" s="574"/>
      <c r="CQL753" s="574"/>
      <c r="CQM753" s="574"/>
      <c r="CQN753" s="574"/>
      <c r="CQO753" s="574"/>
      <c r="CQP753" s="574"/>
      <c r="CQQ753" s="574"/>
      <c r="CQR753" s="574"/>
      <c r="CQS753" s="574"/>
      <c r="CQT753" s="574"/>
      <c r="CQU753" s="574"/>
      <c r="CQV753" s="574"/>
      <c r="CQW753" s="574"/>
      <c r="CQX753" s="574"/>
      <c r="CQY753" s="574"/>
      <c r="CQZ753" s="574"/>
      <c r="CRA753" s="574"/>
      <c r="CRB753" s="574"/>
      <c r="CRC753" s="574"/>
      <c r="CRD753" s="574"/>
      <c r="CRE753" s="574"/>
      <c r="CRF753" s="574"/>
      <c r="CRG753" s="574"/>
      <c r="CRH753" s="574"/>
      <c r="CRI753" s="574"/>
      <c r="CRJ753" s="574"/>
      <c r="CRK753" s="574"/>
      <c r="CRL753" s="574"/>
      <c r="CRM753" s="574"/>
      <c r="CRN753" s="574"/>
      <c r="CRO753" s="574"/>
      <c r="CRP753" s="574"/>
      <c r="CRQ753" s="574"/>
      <c r="CRR753" s="574"/>
      <c r="CRS753" s="574"/>
      <c r="CRT753" s="574"/>
      <c r="CRU753" s="574"/>
      <c r="CRV753" s="574"/>
      <c r="CRW753" s="574"/>
      <c r="CRX753" s="574"/>
      <c r="CRY753" s="574"/>
      <c r="CRZ753" s="574"/>
      <c r="CSA753" s="574"/>
      <c r="CSB753" s="574"/>
      <c r="CSC753" s="574"/>
      <c r="CSD753" s="574"/>
      <c r="CSE753" s="574"/>
      <c r="CSF753" s="574"/>
      <c r="CSG753" s="574"/>
      <c r="CSH753" s="574"/>
      <c r="CSI753" s="574"/>
      <c r="CSJ753" s="574"/>
      <c r="CSK753" s="574"/>
      <c r="CSL753" s="574"/>
      <c r="CSM753" s="574"/>
      <c r="CSN753" s="574"/>
      <c r="CSO753" s="574"/>
      <c r="CSP753" s="574"/>
      <c r="CSQ753" s="574"/>
      <c r="CSR753" s="574"/>
      <c r="CSS753" s="574"/>
      <c r="CST753" s="574"/>
      <c r="CSU753" s="574"/>
      <c r="CSV753" s="574"/>
      <c r="CSW753" s="574"/>
      <c r="CSX753" s="574"/>
      <c r="CSY753" s="574"/>
      <c r="CSZ753" s="574"/>
      <c r="CTA753" s="574"/>
      <c r="CTB753" s="574"/>
      <c r="CTC753" s="574"/>
      <c r="CTD753" s="574"/>
      <c r="CTE753" s="574"/>
      <c r="CTF753" s="574"/>
      <c r="CTG753" s="574"/>
      <c r="CTH753" s="574"/>
      <c r="CTI753" s="574"/>
      <c r="CTJ753" s="574"/>
      <c r="CTK753" s="574"/>
      <c r="CTL753" s="574"/>
      <c r="CTM753" s="574"/>
      <c r="CTN753" s="574"/>
      <c r="CTO753" s="574"/>
      <c r="CTP753" s="574"/>
      <c r="CTQ753" s="574"/>
      <c r="CTR753" s="574"/>
      <c r="CTS753" s="574"/>
      <c r="CTT753" s="574"/>
      <c r="CTU753" s="574"/>
      <c r="CTV753" s="574"/>
      <c r="CTW753" s="574"/>
      <c r="CTX753" s="574"/>
      <c r="CTY753" s="574"/>
      <c r="CTZ753" s="574"/>
      <c r="CUA753" s="574"/>
      <c r="CUB753" s="574"/>
      <c r="CUC753" s="574"/>
      <c r="CUD753" s="574"/>
      <c r="CUE753" s="574"/>
      <c r="CUF753" s="574"/>
      <c r="CUG753" s="574"/>
      <c r="CUH753" s="574"/>
      <c r="CUI753" s="574"/>
      <c r="CUJ753" s="574"/>
      <c r="CUK753" s="574"/>
      <c r="CUL753" s="574"/>
      <c r="CUM753" s="574"/>
      <c r="CUN753" s="574"/>
      <c r="CUO753" s="574"/>
      <c r="CUP753" s="574"/>
      <c r="CUQ753" s="574"/>
      <c r="CUR753" s="574"/>
      <c r="CUS753" s="574"/>
      <c r="CUT753" s="574"/>
      <c r="CUU753" s="574"/>
      <c r="CUV753" s="574"/>
      <c r="CUW753" s="574"/>
      <c r="CUX753" s="574"/>
      <c r="CUY753" s="574"/>
      <c r="CUZ753" s="574"/>
      <c r="CVA753" s="574"/>
      <c r="CVB753" s="574"/>
      <c r="CVC753" s="574"/>
      <c r="CVD753" s="574"/>
      <c r="CVE753" s="574"/>
      <c r="CVF753" s="574"/>
      <c r="CVG753" s="574"/>
      <c r="CVH753" s="574"/>
      <c r="CVI753" s="574"/>
      <c r="CVJ753" s="574"/>
      <c r="CVK753" s="574"/>
      <c r="CVL753" s="574"/>
      <c r="CVM753" s="574"/>
      <c r="CVN753" s="574"/>
      <c r="CVO753" s="574"/>
      <c r="CVP753" s="574"/>
      <c r="CVQ753" s="574"/>
      <c r="CVR753" s="574"/>
      <c r="CVS753" s="574"/>
      <c r="CVT753" s="574"/>
      <c r="CVU753" s="574"/>
      <c r="CVV753" s="574"/>
      <c r="CVW753" s="574"/>
      <c r="CVX753" s="574"/>
      <c r="CVY753" s="574"/>
      <c r="CVZ753" s="574"/>
      <c r="CWA753" s="574"/>
      <c r="CWB753" s="574"/>
      <c r="CWC753" s="574"/>
      <c r="CWD753" s="574"/>
      <c r="CWE753" s="574"/>
      <c r="CWF753" s="574"/>
      <c r="CWG753" s="574"/>
      <c r="CWH753" s="574"/>
      <c r="CWI753" s="574"/>
      <c r="CWJ753" s="574"/>
      <c r="CWK753" s="574"/>
      <c r="CWL753" s="574"/>
      <c r="CWM753" s="574"/>
      <c r="CWN753" s="574"/>
      <c r="CWO753" s="574"/>
      <c r="CWP753" s="574"/>
      <c r="CWQ753" s="574"/>
      <c r="CWR753" s="574"/>
      <c r="CWS753" s="574"/>
      <c r="CWT753" s="574"/>
      <c r="CWU753" s="574"/>
      <c r="CWV753" s="574"/>
      <c r="CWW753" s="574"/>
      <c r="CWX753" s="574"/>
      <c r="CWY753" s="574"/>
      <c r="CWZ753" s="574"/>
      <c r="CXA753" s="574"/>
      <c r="CXB753" s="574"/>
      <c r="CXC753" s="574"/>
      <c r="CXD753" s="574"/>
      <c r="CXE753" s="574"/>
      <c r="CXF753" s="574"/>
      <c r="CXG753" s="574"/>
      <c r="CXH753" s="574"/>
      <c r="CXI753" s="574"/>
      <c r="CXJ753" s="574"/>
      <c r="CXK753" s="574"/>
      <c r="CXL753" s="574"/>
      <c r="CXM753" s="574"/>
      <c r="CXN753" s="574"/>
      <c r="CXO753" s="574"/>
      <c r="CXP753" s="574"/>
      <c r="CXQ753" s="574"/>
      <c r="CXR753" s="574"/>
      <c r="CXS753" s="574"/>
      <c r="CXT753" s="574"/>
      <c r="CXU753" s="574"/>
      <c r="CXV753" s="574"/>
      <c r="CXW753" s="574"/>
      <c r="CXX753" s="574"/>
      <c r="CXY753" s="574"/>
      <c r="CXZ753" s="574"/>
      <c r="CYA753" s="574"/>
      <c r="CYB753" s="574"/>
      <c r="CYC753" s="574"/>
      <c r="CYD753" s="574"/>
      <c r="CYE753" s="574"/>
      <c r="CYF753" s="574"/>
      <c r="CYG753" s="574"/>
      <c r="CYH753" s="574"/>
      <c r="CYI753" s="574"/>
      <c r="CYJ753" s="574"/>
      <c r="CYK753" s="574"/>
      <c r="CYL753" s="574"/>
      <c r="CYM753" s="574"/>
      <c r="CYN753" s="574"/>
      <c r="CYO753" s="574"/>
      <c r="CYP753" s="574"/>
      <c r="CYQ753" s="574"/>
      <c r="CYR753" s="574"/>
      <c r="CYS753" s="574"/>
      <c r="CYT753" s="574"/>
      <c r="CYU753" s="574"/>
      <c r="CYV753" s="574"/>
      <c r="CYW753" s="574"/>
      <c r="CYX753" s="574"/>
      <c r="CYY753" s="574"/>
      <c r="CYZ753" s="574"/>
      <c r="CZA753" s="574"/>
      <c r="CZB753" s="574"/>
      <c r="CZC753" s="574"/>
      <c r="CZD753" s="574"/>
      <c r="CZE753" s="574"/>
      <c r="CZF753" s="574"/>
      <c r="CZG753" s="574"/>
      <c r="CZH753" s="574"/>
      <c r="CZI753" s="574"/>
      <c r="CZJ753" s="574"/>
      <c r="CZK753" s="574"/>
      <c r="CZL753" s="574"/>
      <c r="CZM753" s="574"/>
      <c r="CZN753" s="574"/>
      <c r="CZO753" s="574"/>
      <c r="CZP753" s="574"/>
      <c r="CZQ753" s="574"/>
      <c r="CZR753" s="574"/>
      <c r="CZS753" s="574"/>
      <c r="CZT753" s="574"/>
      <c r="CZU753" s="574"/>
      <c r="CZV753" s="574"/>
      <c r="CZW753" s="574"/>
      <c r="CZX753" s="574"/>
      <c r="CZY753" s="574"/>
      <c r="CZZ753" s="574"/>
      <c r="DAA753" s="574"/>
      <c r="DAB753" s="574"/>
      <c r="DAC753" s="574"/>
      <c r="DAD753" s="574"/>
      <c r="DAE753" s="574"/>
      <c r="DAF753" s="574"/>
      <c r="DAG753" s="574"/>
      <c r="DAH753" s="574"/>
      <c r="DAI753" s="574"/>
      <c r="DAJ753" s="574"/>
      <c r="DAK753" s="574"/>
      <c r="DAL753" s="574"/>
      <c r="DAM753" s="574"/>
      <c r="DAN753" s="574"/>
      <c r="DAO753" s="574"/>
      <c r="DAP753" s="574"/>
      <c r="DAQ753" s="574"/>
      <c r="DAR753" s="574"/>
      <c r="DAS753" s="574"/>
      <c r="DAT753" s="574"/>
      <c r="DAU753" s="574"/>
      <c r="DAV753" s="574"/>
      <c r="DAW753" s="574"/>
      <c r="DAX753" s="574"/>
      <c r="DAY753" s="574"/>
      <c r="DAZ753" s="574"/>
      <c r="DBA753" s="574"/>
      <c r="DBB753" s="574"/>
      <c r="DBC753" s="574"/>
      <c r="DBD753" s="574"/>
      <c r="DBE753" s="574"/>
      <c r="DBF753" s="574"/>
      <c r="DBG753" s="574"/>
      <c r="DBH753" s="574"/>
      <c r="DBI753" s="574"/>
      <c r="DBJ753" s="574"/>
      <c r="DBK753" s="574"/>
      <c r="DBL753" s="574"/>
      <c r="DBM753" s="574"/>
      <c r="DBN753" s="574"/>
      <c r="DBO753" s="574"/>
      <c r="DBP753" s="574"/>
      <c r="DBQ753" s="574"/>
      <c r="DBR753" s="574"/>
      <c r="DBS753" s="574"/>
      <c r="DBT753" s="574"/>
      <c r="DBU753" s="574"/>
      <c r="DBV753" s="574"/>
      <c r="DBW753" s="574"/>
      <c r="DBX753" s="574"/>
      <c r="DBY753" s="574"/>
      <c r="DBZ753" s="574"/>
      <c r="DCA753" s="574"/>
      <c r="DCB753" s="574"/>
      <c r="DCC753" s="574"/>
      <c r="DCD753" s="574"/>
      <c r="DCE753" s="574"/>
      <c r="DCF753" s="574"/>
      <c r="DCG753" s="574"/>
      <c r="DCH753" s="574"/>
      <c r="DCI753" s="574"/>
      <c r="DCJ753" s="574"/>
      <c r="DCK753" s="574"/>
      <c r="DCL753" s="574"/>
      <c r="DCM753" s="574"/>
      <c r="DCN753" s="574"/>
      <c r="DCO753" s="574"/>
      <c r="DCP753" s="574"/>
      <c r="DCQ753" s="574"/>
      <c r="DCR753" s="574"/>
      <c r="DCS753" s="574"/>
      <c r="DCT753" s="574"/>
      <c r="DCU753" s="574"/>
      <c r="DCV753" s="574"/>
      <c r="DCW753" s="574"/>
      <c r="DCX753" s="574"/>
      <c r="DCY753" s="574"/>
      <c r="DCZ753" s="574"/>
      <c r="DDA753" s="574"/>
      <c r="DDB753" s="574"/>
      <c r="DDC753" s="574"/>
      <c r="DDD753" s="574"/>
      <c r="DDE753" s="574"/>
      <c r="DDF753" s="574"/>
      <c r="DDG753" s="574"/>
      <c r="DDH753" s="574"/>
      <c r="DDI753" s="574"/>
      <c r="DDJ753" s="574"/>
      <c r="DDK753" s="574"/>
      <c r="DDL753" s="574"/>
      <c r="DDM753" s="574"/>
      <c r="DDN753" s="574"/>
      <c r="DDO753" s="574"/>
      <c r="DDP753" s="574"/>
      <c r="DDQ753" s="574"/>
      <c r="DDR753" s="574"/>
      <c r="DDS753" s="574"/>
      <c r="DDT753" s="574"/>
      <c r="DDU753" s="574"/>
      <c r="DDV753" s="574"/>
      <c r="DDW753" s="574"/>
      <c r="DDX753" s="574"/>
      <c r="DDY753" s="574"/>
      <c r="DDZ753" s="574"/>
      <c r="DEA753" s="574"/>
      <c r="DEB753" s="574"/>
      <c r="DEC753" s="574"/>
      <c r="DED753" s="574"/>
      <c r="DEE753" s="574"/>
      <c r="DEF753" s="574"/>
      <c r="DEG753" s="574"/>
      <c r="DEH753" s="574"/>
      <c r="DEI753" s="574"/>
      <c r="DEJ753" s="574"/>
      <c r="DEK753" s="574"/>
      <c r="DEL753" s="574"/>
      <c r="DEM753" s="574"/>
      <c r="DEN753" s="574"/>
      <c r="DEO753" s="574"/>
      <c r="DEP753" s="574"/>
      <c r="DEQ753" s="574"/>
      <c r="DER753" s="574"/>
      <c r="DES753" s="574"/>
      <c r="DET753" s="574"/>
      <c r="DEU753" s="574"/>
      <c r="DEV753" s="574"/>
      <c r="DEW753" s="574"/>
      <c r="DEX753" s="574"/>
      <c r="DEY753" s="574"/>
      <c r="DEZ753" s="574"/>
      <c r="DFA753" s="574"/>
      <c r="DFB753" s="574"/>
      <c r="DFC753" s="574"/>
      <c r="DFD753" s="574"/>
      <c r="DFE753" s="574"/>
      <c r="DFF753" s="574"/>
      <c r="DFG753" s="574"/>
      <c r="DFH753" s="574"/>
      <c r="DFI753" s="574"/>
      <c r="DFJ753" s="574"/>
      <c r="DFK753" s="574"/>
      <c r="DFL753" s="574"/>
      <c r="DFM753" s="574"/>
      <c r="DFN753" s="574"/>
      <c r="DFO753" s="574"/>
      <c r="DFP753" s="574"/>
      <c r="DFQ753" s="574"/>
      <c r="DFR753" s="574"/>
      <c r="DFS753" s="574"/>
      <c r="DFT753" s="574"/>
      <c r="DFU753" s="574"/>
      <c r="DFV753" s="574"/>
      <c r="DFW753" s="574"/>
      <c r="DFX753" s="574"/>
      <c r="DFY753" s="574"/>
      <c r="DFZ753" s="574"/>
      <c r="DGA753" s="574"/>
      <c r="DGB753" s="574"/>
      <c r="DGC753" s="574"/>
      <c r="DGD753" s="574"/>
      <c r="DGE753" s="574"/>
      <c r="DGF753" s="574"/>
      <c r="DGG753" s="574"/>
      <c r="DGH753" s="574"/>
      <c r="DGI753" s="574"/>
      <c r="DGJ753" s="574"/>
      <c r="DGK753" s="574"/>
      <c r="DGL753" s="574"/>
      <c r="DGM753" s="574"/>
      <c r="DGN753" s="574"/>
      <c r="DGO753" s="574"/>
      <c r="DGP753" s="574"/>
      <c r="DGQ753" s="574"/>
      <c r="DGR753" s="574"/>
      <c r="DGS753" s="574"/>
      <c r="DGT753" s="574"/>
      <c r="DGU753" s="574"/>
      <c r="DGV753" s="574"/>
      <c r="DGW753" s="574"/>
      <c r="DGX753" s="574"/>
      <c r="DGY753" s="574"/>
      <c r="DGZ753" s="574"/>
      <c r="DHA753" s="574"/>
      <c r="DHB753" s="574"/>
      <c r="DHC753" s="574"/>
      <c r="DHD753" s="574"/>
      <c r="DHE753" s="574"/>
      <c r="DHF753" s="574"/>
      <c r="DHG753" s="574"/>
      <c r="DHH753" s="574"/>
      <c r="DHI753" s="574"/>
      <c r="DHJ753" s="574"/>
      <c r="DHK753" s="574"/>
      <c r="DHL753" s="574"/>
      <c r="DHM753" s="574"/>
      <c r="DHN753" s="574"/>
      <c r="DHO753" s="574"/>
      <c r="DHP753" s="574"/>
      <c r="DHQ753" s="574"/>
      <c r="DHR753" s="574"/>
      <c r="DHS753" s="574"/>
      <c r="DHT753" s="574"/>
      <c r="DHU753" s="574"/>
      <c r="DHV753" s="574"/>
      <c r="DHW753" s="574"/>
      <c r="DHX753" s="574"/>
      <c r="DHY753" s="574"/>
      <c r="DHZ753" s="574"/>
      <c r="DIA753" s="574"/>
      <c r="DIB753" s="574"/>
      <c r="DIC753" s="574"/>
      <c r="DID753" s="574"/>
      <c r="DIE753" s="574"/>
      <c r="DIF753" s="574"/>
      <c r="DIG753" s="574"/>
      <c r="DIH753" s="574"/>
      <c r="DII753" s="574"/>
      <c r="DIJ753" s="574"/>
      <c r="DIK753" s="574"/>
      <c r="DIL753" s="574"/>
      <c r="DIM753" s="574"/>
      <c r="DIN753" s="574"/>
      <c r="DIO753" s="574"/>
      <c r="DIP753" s="574"/>
      <c r="DIQ753" s="574"/>
      <c r="DIR753" s="574"/>
      <c r="DIS753" s="574"/>
      <c r="DIT753" s="574"/>
      <c r="DIU753" s="574"/>
      <c r="DIV753" s="574"/>
      <c r="DIW753" s="574"/>
      <c r="DIX753" s="574"/>
      <c r="DIY753" s="574"/>
      <c r="DIZ753" s="574"/>
      <c r="DJA753" s="574"/>
      <c r="DJB753" s="574"/>
      <c r="DJC753" s="574"/>
      <c r="DJD753" s="574"/>
      <c r="DJE753" s="574"/>
      <c r="DJF753" s="574"/>
      <c r="DJG753" s="574"/>
      <c r="DJH753" s="574"/>
      <c r="DJI753" s="574"/>
      <c r="DJJ753" s="574"/>
      <c r="DJK753" s="574"/>
      <c r="DJL753" s="574"/>
      <c r="DJM753" s="574"/>
      <c r="DJN753" s="574"/>
      <c r="DJO753" s="574"/>
      <c r="DJP753" s="574"/>
      <c r="DJQ753" s="574"/>
      <c r="DJR753" s="574"/>
      <c r="DJS753" s="574"/>
      <c r="DJT753" s="574"/>
      <c r="DJU753" s="574"/>
      <c r="DJV753" s="574"/>
      <c r="DJW753" s="574"/>
      <c r="DJX753" s="574"/>
      <c r="DJY753" s="574"/>
      <c r="DJZ753" s="574"/>
      <c r="DKA753" s="574"/>
      <c r="DKB753" s="574"/>
      <c r="DKC753" s="574"/>
      <c r="DKD753" s="574"/>
      <c r="DKE753" s="574"/>
      <c r="DKF753" s="574"/>
      <c r="DKG753" s="574"/>
      <c r="DKH753" s="574"/>
      <c r="DKI753" s="574"/>
      <c r="DKJ753" s="574"/>
      <c r="DKK753" s="574"/>
      <c r="DKL753" s="574"/>
      <c r="DKM753" s="574"/>
      <c r="DKN753" s="574"/>
      <c r="DKO753" s="574"/>
      <c r="DKP753" s="574"/>
      <c r="DKQ753" s="574"/>
      <c r="DKR753" s="574"/>
      <c r="DKS753" s="574"/>
      <c r="DKT753" s="574"/>
      <c r="DKU753" s="574"/>
      <c r="DKV753" s="574"/>
      <c r="DKW753" s="574"/>
      <c r="DKX753" s="574"/>
      <c r="DKY753" s="574"/>
      <c r="DKZ753" s="574"/>
      <c r="DLA753" s="574"/>
      <c r="DLB753" s="574"/>
      <c r="DLC753" s="574"/>
      <c r="DLD753" s="574"/>
      <c r="DLE753" s="574"/>
      <c r="DLF753" s="574"/>
      <c r="DLG753" s="574"/>
      <c r="DLH753" s="574"/>
      <c r="DLI753" s="574"/>
      <c r="DLJ753" s="574"/>
      <c r="DLK753" s="574"/>
      <c r="DLL753" s="574"/>
      <c r="DLM753" s="574"/>
      <c r="DLN753" s="574"/>
      <c r="DLO753" s="574"/>
      <c r="DLP753" s="574"/>
      <c r="DLQ753" s="574"/>
      <c r="DLR753" s="574"/>
      <c r="DLS753" s="574"/>
      <c r="DLT753" s="574"/>
      <c r="DLU753" s="574"/>
      <c r="DLV753" s="574"/>
      <c r="DLW753" s="574"/>
      <c r="DLX753" s="574"/>
      <c r="DLY753" s="574"/>
      <c r="DLZ753" s="574"/>
      <c r="DMA753" s="574"/>
      <c r="DMB753" s="574"/>
      <c r="DMC753" s="574"/>
      <c r="DMD753" s="574"/>
      <c r="DME753" s="574"/>
      <c r="DMF753" s="574"/>
      <c r="DMG753" s="574"/>
      <c r="DMH753" s="574"/>
      <c r="DMI753" s="574"/>
      <c r="DMJ753" s="574"/>
      <c r="DMK753" s="574"/>
      <c r="DML753" s="574"/>
      <c r="DMM753" s="574"/>
      <c r="DMN753" s="574"/>
      <c r="DMO753" s="574"/>
      <c r="DMP753" s="574"/>
      <c r="DMQ753" s="574"/>
      <c r="DMR753" s="574"/>
      <c r="DMS753" s="574"/>
      <c r="DMT753" s="574"/>
      <c r="DMU753" s="574"/>
      <c r="DMV753" s="574"/>
      <c r="DMW753" s="574"/>
      <c r="DMX753" s="574"/>
      <c r="DMY753" s="574"/>
      <c r="DMZ753" s="574"/>
      <c r="DNA753" s="574"/>
      <c r="DNB753" s="574"/>
      <c r="DNC753" s="574"/>
      <c r="DND753" s="574"/>
      <c r="DNE753" s="574"/>
      <c r="DNF753" s="574"/>
      <c r="DNG753" s="574"/>
      <c r="DNH753" s="574"/>
      <c r="DNI753" s="574"/>
      <c r="DNJ753" s="574"/>
      <c r="DNK753" s="574"/>
      <c r="DNL753" s="574"/>
      <c r="DNM753" s="574"/>
      <c r="DNN753" s="574"/>
      <c r="DNO753" s="574"/>
      <c r="DNP753" s="574"/>
      <c r="DNQ753" s="574"/>
      <c r="DNR753" s="574"/>
      <c r="DNS753" s="574"/>
      <c r="DNT753" s="574"/>
      <c r="DNU753" s="574"/>
      <c r="DNV753" s="574"/>
      <c r="DNW753" s="574"/>
      <c r="DNX753" s="574"/>
      <c r="DNY753" s="574"/>
      <c r="DNZ753" s="574"/>
      <c r="DOA753" s="574"/>
      <c r="DOB753" s="574"/>
      <c r="DOC753" s="574"/>
      <c r="DOD753" s="574"/>
      <c r="DOE753" s="574"/>
      <c r="DOF753" s="574"/>
      <c r="DOG753" s="574"/>
      <c r="DOH753" s="574"/>
      <c r="DOI753" s="574"/>
      <c r="DOJ753" s="574"/>
      <c r="DOK753" s="574"/>
      <c r="DOL753" s="574"/>
      <c r="DOM753" s="574"/>
      <c r="DON753" s="574"/>
      <c r="DOO753" s="574"/>
      <c r="DOP753" s="574"/>
      <c r="DOQ753" s="574"/>
      <c r="DOR753" s="574"/>
      <c r="DOS753" s="574"/>
      <c r="DOT753" s="574"/>
      <c r="DOU753" s="574"/>
      <c r="DOV753" s="574"/>
      <c r="DOW753" s="574"/>
      <c r="DOX753" s="574"/>
      <c r="DOY753" s="574"/>
      <c r="DOZ753" s="574"/>
      <c r="DPA753" s="574"/>
      <c r="DPB753" s="574"/>
      <c r="DPC753" s="574"/>
      <c r="DPD753" s="574"/>
      <c r="DPE753" s="574"/>
      <c r="DPF753" s="574"/>
      <c r="DPG753" s="574"/>
      <c r="DPH753" s="574"/>
      <c r="DPI753" s="574"/>
      <c r="DPJ753" s="574"/>
      <c r="DPK753" s="574"/>
      <c r="DPL753" s="574"/>
      <c r="DPM753" s="574"/>
      <c r="DPN753" s="574"/>
      <c r="DPO753" s="574"/>
      <c r="DPP753" s="574"/>
      <c r="DPQ753" s="574"/>
      <c r="DPR753" s="574"/>
      <c r="DPS753" s="574"/>
      <c r="DPT753" s="574"/>
      <c r="DPU753" s="574"/>
      <c r="DPV753" s="574"/>
      <c r="DPW753" s="574"/>
      <c r="DPX753" s="574"/>
      <c r="DPY753" s="574"/>
      <c r="DPZ753" s="574"/>
      <c r="DQA753" s="574"/>
      <c r="DQB753" s="574"/>
      <c r="DQC753" s="574"/>
      <c r="DQD753" s="574"/>
      <c r="DQE753" s="574"/>
      <c r="DQF753" s="574"/>
      <c r="DQG753" s="574"/>
      <c r="DQH753" s="574"/>
      <c r="DQI753" s="574"/>
      <c r="DQJ753" s="574"/>
      <c r="DQK753" s="574"/>
      <c r="DQL753" s="574"/>
      <c r="DQM753" s="574"/>
      <c r="DQN753" s="574"/>
      <c r="DQO753" s="574"/>
      <c r="DQP753" s="574"/>
      <c r="DQQ753" s="574"/>
      <c r="DQR753" s="574"/>
      <c r="DQS753" s="574"/>
      <c r="DQT753" s="574"/>
      <c r="DQU753" s="574"/>
      <c r="DQV753" s="574"/>
      <c r="DQW753" s="574"/>
      <c r="DQX753" s="574"/>
      <c r="DQY753" s="574"/>
      <c r="DQZ753" s="574"/>
      <c r="DRA753" s="574"/>
      <c r="DRB753" s="574"/>
      <c r="DRC753" s="574"/>
      <c r="DRD753" s="574"/>
      <c r="DRE753" s="574"/>
      <c r="DRF753" s="574"/>
      <c r="DRG753" s="574"/>
      <c r="DRH753" s="574"/>
      <c r="DRI753" s="574"/>
      <c r="DRJ753" s="574"/>
      <c r="DRK753" s="574"/>
      <c r="DRL753" s="574"/>
      <c r="DRM753" s="574"/>
      <c r="DRN753" s="574"/>
      <c r="DRO753" s="574"/>
      <c r="DRP753" s="574"/>
      <c r="DRQ753" s="574"/>
      <c r="DRR753" s="574"/>
      <c r="DRS753" s="574"/>
      <c r="DRT753" s="574"/>
      <c r="DRU753" s="574"/>
      <c r="DRV753" s="574"/>
      <c r="DRW753" s="574"/>
      <c r="DRX753" s="574"/>
      <c r="DRY753" s="574"/>
      <c r="DRZ753" s="574"/>
      <c r="DSA753" s="574"/>
      <c r="DSB753" s="574"/>
      <c r="DSC753" s="574"/>
      <c r="DSD753" s="574"/>
      <c r="DSE753" s="574"/>
      <c r="DSF753" s="574"/>
      <c r="DSG753" s="574"/>
      <c r="DSH753" s="574"/>
      <c r="DSI753" s="574"/>
      <c r="DSJ753" s="574"/>
      <c r="DSK753" s="574"/>
      <c r="DSL753" s="574"/>
      <c r="DSM753" s="574"/>
      <c r="DSN753" s="574"/>
      <c r="DSO753" s="574"/>
      <c r="DSP753" s="574"/>
      <c r="DSQ753" s="574"/>
      <c r="DSR753" s="574"/>
      <c r="DSS753" s="574"/>
      <c r="DST753" s="574"/>
      <c r="DSU753" s="574"/>
      <c r="DSV753" s="574"/>
      <c r="DSW753" s="574"/>
      <c r="DSX753" s="574"/>
      <c r="DSY753" s="574"/>
      <c r="DSZ753" s="574"/>
      <c r="DTA753" s="574"/>
      <c r="DTB753" s="574"/>
      <c r="DTC753" s="574"/>
      <c r="DTD753" s="574"/>
      <c r="DTE753" s="574"/>
      <c r="DTF753" s="574"/>
      <c r="DTG753" s="574"/>
      <c r="DTH753" s="574"/>
      <c r="DTI753" s="574"/>
      <c r="DTJ753" s="574"/>
      <c r="DTK753" s="574"/>
      <c r="DTL753" s="574"/>
      <c r="DTM753" s="574"/>
      <c r="DTN753" s="574"/>
      <c r="DTO753" s="574"/>
      <c r="DTP753" s="574"/>
      <c r="DTQ753" s="574"/>
      <c r="DTR753" s="574"/>
      <c r="DTS753" s="574"/>
      <c r="DTT753" s="574"/>
      <c r="DTU753" s="574"/>
      <c r="DTV753" s="574"/>
      <c r="DTW753" s="574"/>
      <c r="DTX753" s="574"/>
      <c r="DTY753" s="574"/>
      <c r="DTZ753" s="574"/>
      <c r="DUA753" s="574"/>
      <c r="DUB753" s="574"/>
      <c r="DUC753" s="574"/>
      <c r="DUD753" s="574"/>
      <c r="DUE753" s="574"/>
      <c r="DUF753" s="574"/>
      <c r="DUG753" s="574"/>
      <c r="DUH753" s="574"/>
      <c r="DUI753" s="574"/>
      <c r="DUJ753" s="574"/>
      <c r="DUK753" s="574"/>
      <c r="DUL753" s="574"/>
      <c r="DUM753" s="574"/>
      <c r="DUN753" s="574"/>
      <c r="DUO753" s="574"/>
      <c r="DUP753" s="574"/>
      <c r="DUQ753" s="574"/>
      <c r="DUR753" s="574"/>
      <c r="DUS753" s="574"/>
      <c r="DUT753" s="574"/>
      <c r="DUU753" s="574"/>
      <c r="DUV753" s="574"/>
      <c r="DUW753" s="574"/>
      <c r="DUX753" s="574"/>
      <c r="DUY753" s="574"/>
      <c r="DUZ753" s="574"/>
      <c r="DVA753" s="574"/>
      <c r="DVB753" s="574"/>
      <c r="DVC753" s="574"/>
      <c r="DVD753" s="574"/>
      <c r="DVE753" s="574"/>
      <c r="DVF753" s="574"/>
      <c r="DVG753" s="574"/>
      <c r="DVH753" s="574"/>
      <c r="DVI753" s="574"/>
      <c r="DVJ753" s="574"/>
      <c r="DVK753" s="574"/>
      <c r="DVL753" s="574"/>
      <c r="DVM753" s="574"/>
      <c r="DVN753" s="574"/>
      <c r="DVO753" s="574"/>
      <c r="DVP753" s="574"/>
      <c r="DVQ753" s="574"/>
      <c r="DVR753" s="574"/>
      <c r="DVS753" s="574"/>
      <c r="DVT753" s="574"/>
      <c r="DVU753" s="574"/>
      <c r="DVV753" s="574"/>
      <c r="DVW753" s="574"/>
      <c r="DVX753" s="574"/>
      <c r="DVY753" s="574"/>
      <c r="DVZ753" s="574"/>
      <c r="DWA753" s="574"/>
      <c r="DWB753" s="574"/>
      <c r="DWC753" s="574"/>
      <c r="DWD753" s="574"/>
      <c r="DWE753" s="574"/>
      <c r="DWF753" s="574"/>
      <c r="DWG753" s="574"/>
      <c r="DWH753" s="574"/>
      <c r="DWI753" s="574"/>
      <c r="DWJ753" s="574"/>
      <c r="DWK753" s="574"/>
      <c r="DWL753" s="574"/>
      <c r="DWM753" s="574"/>
      <c r="DWN753" s="574"/>
      <c r="DWO753" s="574"/>
      <c r="DWP753" s="574"/>
      <c r="DWQ753" s="574"/>
      <c r="DWR753" s="574"/>
      <c r="DWS753" s="574"/>
      <c r="DWT753" s="574"/>
      <c r="DWU753" s="574"/>
      <c r="DWV753" s="574"/>
      <c r="DWW753" s="574"/>
      <c r="DWX753" s="574"/>
      <c r="DWY753" s="574"/>
      <c r="DWZ753" s="574"/>
      <c r="DXA753" s="574"/>
      <c r="DXB753" s="574"/>
      <c r="DXC753" s="574"/>
      <c r="DXD753" s="574"/>
      <c r="DXE753" s="574"/>
      <c r="DXF753" s="574"/>
      <c r="DXG753" s="574"/>
      <c r="DXH753" s="574"/>
      <c r="DXI753" s="574"/>
      <c r="DXJ753" s="574"/>
      <c r="DXK753" s="574"/>
      <c r="DXL753" s="574"/>
      <c r="DXM753" s="574"/>
      <c r="DXN753" s="574"/>
      <c r="DXO753" s="574"/>
      <c r="DXP753" s="574"/>
      <c r="DXQ753" s="574"/>
      <c r="DXR753" s="574"/>
      <c r="DXS753" s="574"/>
      <c r="DXT753" s="574"/>
      <c r="DXU753" s="574"/>
      <c r="DXV753" s="574"/>
      <c r="DXW753" s="574"/>
      <c r="DXX753" s="574"/>
      <c r="DXY753" s="574"/>
      <c r="DXZ753" s="574"/>
      <c r="DYA753" s="574"/>
      <c r="DYB753" s="574"/>
      <c r="DYC753" s="574"/>
      <c r="DYD753" s="574"/>
      <c r="DYE753" s="574"/>
      <c r="DYF753" s="574"/>
      <c r="DYG753" s="574"/>
      <c r="DYH753" s="574"/>
      <c r="DYI753" s="574"/>
      <c r="DYJ753" s="574"/>
      <c r="DYK753" s="574"/>
      <c r="DYL753" s="574"/>
      <c r="DYM753" s="574"/>
      <c r="DYN753" s="574"/>
      <c r="DYO753" s="574"/>
      <c r="DYP753" s="574"/>
      <c r="DYQ753" s="574"/>
      <c r="DYR753" s="574"/>
      <c r="DYS753" s="574"/>
      <c r="DYT753" s="574"/>
      <c r="DYU753" s="574"/>
      <c r="DYV753" s="574"/>
      <c r="DYW753" s="574"/>
      <c r="DYX753" s="574"/>
      <c r="DYY753" s="574"/>
      <c r="DYZ753" s="574"/>
      <c r="DZA753" s="574"/>
      <c r="DZB753" s="574"/>
      <c r="DZC753" s="574"/>
      <c r="DZD753" s="574"/>
      <c r="DZE753" s="574"/>
      <c r="DZF753" s="574"/>
      <c r="DZG753" s="574"/>
      <c r="DZH753" s="574"/>
      <c r="DZI753" s="574"/>
      <c r="DZJ753" s="574"/>
      <c r="DZK753" s="574"/>
      <c r="DZL753" s="574"/>
      <c r="DZM753" s="574"/>
      <c r="DZN753" s="574"/>
      <c r="DZO753" s="574"/>
      <c r="DZP753" s="574"/>
      <c r="DZQ753" s="574"/>
      <c r="DZR753" s="574"/>
      <c r="DZS753" s="574"/>
      <c r="DZT753" s="574"/>
      <c r="DZU753" s="574"/>
      <c r="DZV753" s="574"/>
      <c r="DZW753" s="574"/>
      <c r="DZX753" s="574"/>
      <c r="DZY753" s="574"/>
      <c r="DZZ753" s="574"/>
      <c r="EAA753" s="574"/>
      <c r="EAB753" s="574"/>
      <c r="EAC753" s="574"/>
      <c r="EAD753" s="574"/>
      <c r="EAE753" s="574"/>
      <c r="EAF753" s="574"/>
      <c r="EAG753" s="574"/>
      <c r="EAH753" s="574"/>
      <c r="EAI753" s="574"/>
      <c r="EAJ753" s="574"/>
      <c r="EAK753" s="574"/>
      <c r="EAL753" s="574"/>
      <c r="EAM753" s="574"/>
      <c r="EAN753" s="574"/>
      <c r="EAO753" s="574"/>
      <c r="EAP753" s="574"/>
      <c r="EAQ753" s="574"/>
      <c r="EAR753" s="574"/>
      <c r="EAS753" s="574"/>
      <c r="EAT753" s="574"/>
      <c r="EAU753" s="574"/>
      <c r="EAV753" s="574"/>
      <c r="EAW753" s="574"/>
      <c r="EAX753" s="574"/>
      <c r="EAY753" s="574"/>
      <c r="EAZ753" s="574"/>
      <c r="EBA753" s="574"/>
      <c r="EBB753" s="574"/>
      <c r="EBC753" s="574"/>
      <c r="EBD753" s="574"/>
      <c r="EBE753" s="574"/>
      <c r="EBF753" s="574"/>
      <c r="EBG753" s="574"/>
      <c r="EBH753" s="574"/>
      <c r="EBI753" s="574"/>
      <c r="EBJ753" s="574"/>
      <c r="EBK753" s="574"/>
      <c r="EBL753" s="574"/>
      <c r="EBM753" s="574"/>
      <c r="EBN753" s="574"/>
      <c r="EBO753" s="574"/>
      <c r="EBP753" s="574"/>
      <c r="EBQ753" s="574"/>
      <c r="EBR753" s="574"/>
      <c r="EBS753" s="574"/>
      <c r="EBT753" s="574"/>
      <c r="EBU753" s="574"/>
      <c r="EBV753" s="574"/>
      <c r="EBW753" s="574"/>
      <c r="EBX753" s="574"/>
      <c r="EBY753" s="574"/>
      <c r="EBZ753" s="574"/>
      <c r="ECA753" s="574"/>
      <c r="ECB753" s="574"/>
      <c r="ECC753" s="574"/>
      <c r="ECD753" s="574"/>
      <c r="ECE753" s="574"/>
      <c r="ECF753" s="574"/>
      <c r="ECG753" s="574"/>
      <c r="ECH753" s="574"/>
      <c r="ECI753" s="574"/>
      <c r="ECJ753" s="574"/>
      <c r="ECK753" s="574"/>
      <c r="ECL753" s="574"/>
      <c r="ECM753" s="574"/>
      <c r="ECN753" s="574"/>
      <c r="ECO753" s="574"/>
      <c r="ECP753" s="574"/>
      <c r="ECQ753" s="574"/>
      <c r="ECR753" s="574"/>
      <c r="ECS753" s="574"/>
      <c r="ECT753" s="574"/>
      <c r="ECU753" s="574"/>
      <c r="ECV753" s="574"/>
      <c r="ECW753" s="574"/>
      <c r="ECX753" s="574"/>
      <c r="ECY753" s="574"/>
      <c r="ECZ753" s="574"/>
      <c r="EDA753" s="574"/>
      <c r="EDB753" s="574"/>
      <c r="EDC753" s="574"/>
      <c r="EDD753" s="574"/>
      <c r="EDE753" s="574"/>
      <c r="EDF753" s="574"/>
      <c r="EDG753" s="574"/>
      <c r="EDH753" s="574"/>
      <c r="EDI753" s="574"/>
      <c r="EDJ753" s="574"/>
      <c r="EDK753" s="574"/>
      <c r="EDL753" s="574"/>
      <c r="EDM753" s="574"/>
      <c r="EDN753" s="574"/>
      <c r="EDO753" s="574"/>
      <c r="EDP753" s="574"/>
      <c r="EDQ753" s="574"/>
      <c r="EDR753" s="574"/>
      <c r="EDS753" s="574"/>
      <c r="EDT753" s="574"/>
      <c r="EDU753" s="574"/>
      <c r="EDV753" s="574"/>
      <c r="EDW753" s="574"/>
      <c r="EDX753" s="574"/>
      <c r="EDY753" s="574"/>
      <c r="EDZ753" s="574"/>
      <c r="EEA753" s="574"/>
      <c r="EEB753" s="574"/>
      <c r="EEC753" s="574"/>
      <c r="EED753" s="574"/>
      <c r="EEE753" s="574"/>
      <c r="EEF753" s="574"/>
      <c r="EEG753" s="574"/>
      <c r="EEH753" s="574"/>
      <c r="EEI753" s="574"/>
      <c r="EEJ753" s="574"/>
      <c r="EEK753" s="574"/>
      <c r="EEL753" s="574"/>
      <c r="EEM753" s="574"/>
      <c r="EEN753" s="574"/>
      <c r="EEO753" s="574"/>
      <c r="EEP753" s="574"/>
      <c r="EEQ753" s="574"/>
      <c r="EER753" s="574"/>
      <c r="EES753" s="574"/>
      <c r="EET753" s="574"/>
      <c r="EEU753" s="574"/>
      <c r="EEV753" s="574"/>
      <c r="EEW753" s="574"/>
      <c r="EEX753" s="574"/>
      <c r="EEY753" s="574"/>
      <c r="EEZ753" s="574"/>
      <c r="EFA753" s="574"/>
      <c r="EFB753" s="574"/>
      <c r="EFC753" s="574"/>
      <c r="EFD753" s="574"/>
      <c r="EFE753" s="574"/>
      <c r="EFF753" s="574"/>
      <c r="EFG753" s="574"/>
      <c r="EFH753" s="574"/>
      <c r="EFI753" s="574"/>
      <c r="EFJ753" s="574"/>
      <c r="EFK753" s="574"/>
      <c r="EFL753" s="574"/>
      <c r="EFM753" s="574"/>
      <c r="EFN753" s="574"/>
      <c r="EFO753" s="574"/>
      <c r="EFP753" s="574"/>
      <c r="EFQ753" s="574"/>
      <c r="EFR753" s="574"/>
      <c r="EFS753" s="574"/>
      <c r="EFT753" s="574"/>
      <c r="EFU753" s="574"/>
      <c r="EFV753" s="574"/>
      <c r="EFW753" s="574"/>
      <c r="EFX753" s="574"/>
      <c r="EFY753" s="574"/>
      <c r="EFZ753" s="574"/>
      <c r="EGA753" s="574"/>
      <c r="EGB753" s="574"/>
      <c r="EGC753" s="574"/>
      <c r="EGD753" s="574"/>
      <c r="EGE753" s="574"/>
      <c r="EGF753" s="574"/>
      <c r="EGG753" s="574"/>
      <c r="EGH753" s="574"/>
      <c r="EGI753" s="574"/>
      <c r="EGJ753" s="574"/>
      <c r="EGK753" s="574"/>
      <c r="EGL753" s="574"/>
      <c r="EGM753" s="574"/>
      <c r="EGN753" s="574"/>
      <c r="EGO753" s="574"/>
      <c r="EGP753" s="574"/>
      <c r="EGQ753" s="574"/>
      <c r="EGR753" s="574"/>
      <c r="EGS753" s="574"/>
      <c r="EGT753" s="574"/>
      <c r="EGU753" s="574"/>
      <c r="EGV753" s="574"/>
      <c r="EGW753" s="574"/>
      <c r="EGX753" s="574"/>
      <c r="EGY753" s="574"/>
      <c r="EGZ753" s="574"/>
      <c r="EHA753" s="574"/>
      <c r="EHB753" s="574"/>
      <c r="EHC753" s="574"/>
      <c r="EHD753" s="574"/>
      <c r="EHE753" s="574"/>
      <c r="EHF753" s="574"/>
      <c r="EHG753" s="574"/>
      <c r="EHH753" s="574"/>
      <c r="EHI753" s="574"/>
      <c r="EHJ753" s="574"/>
      <c r="EHK753" s="574"/>
      <c r="EHL753" s="574"/>
      <c r="EHM753" s="574"/>
      <c r="EHN753" s="574"/>
      <c r="EHO753" s="574"/>
      <c r="EHP753" s="574"/>
      <c r="EHQ753" s="574"/>
      <c r="EHR753" s="574"/>
      <c r="EHS753" s="574"/>
      <c r="EHT753" s="574"/>
      <c r="EHU753" s="574"/>
      <c r="EHV753" s="574"/>
      <c r="EHW753" s="574"/>
      <c r="EHX753" s="574"/>
      <c r="EHY753" s="574"/>
      <c r="EHZ753" s="574"/>
      <c r="EIA753" s="574"/>
      <c r="EIB753" s="574"/>
      <c r="EIC753" s="574"/>
      <c r="EID753" s="574"/>
      <c r="EIE753" s="574"/>
      <c r="EIF753" s="574"/>
      <c r="EIG753" s="574"/>
      <c r="EIH753" s="574"/>
      <c r="EII753" s="574"/>
      <c r="EIJ753" s="574"/>
      <c r="EIK753" s="574"/>
      <c r="EIL753" s="574"/>
      <c r="EIM753" s="574"/>
      <c r="EIN753" s="574"/>
      <c r="EIO753" s="574"/>
      <c r="EIP753" s="574"/>
      <c r="EIQ753" s="574"/>
      <c r="EIR753" s="574"/>
      <c r="EIS753" s="574"/>
      <c r="EIT753" s="574"/>
      <c r="EIU753" s="574"/>
      <c r="EIV753" s="574"/>
      <c r="EIW753" s="574"/>
      <c r="EIX753" s="574"/>
      <c r="EIY753" s="574"/>
      <c r="EIZ753" s="574"/>
      <c r="EJA753" s="574"/>
      <c r="EJB753" s="574"/>
      <c r="EJC753" s="574"/>
      <c r="EJD753" s="574"/>
      <c r="EJE753" s="574"/>
      <c r="EJF753" s="574"/>
      <c r="EJG753" s="574"/>
      <c r="EJH753" s="574"/>
      <c r="EJI753" s="574"/>
      <c r="EJJ753" s="574"/>
      <c r="EJK753" s="574"/>
      <c r="EJL753" s="574"/>
      <c r="EJM753" s="574"/>
      <c r="EJN753" s="574"/>
      <c r="EJO753" s="574"/>
      <c r="EJP753" s="574"/>
      <c r="EJQ753" s="574"/>
      <c r="EJR753" s="574"/>
      <c r="EJS753" s="574"/>
      <c r="EJT753" s="574"/>
      <c r="EJU753" s="574"/>
      <c r="EJV753" s="574"/>
      <c r="EJW753" s="574"/>
      <c r="EJX753" s="574"/>
      <c r="EJY753" s="574"/>
      <c r="EJZ753" s="574"/>
      <c r="EKA753" s="574"/>
      <c r="EKB753" s="574"/>
      <c r="EKC753" s="574"/>
      <c r="EKD753" s="574"/>
      <c r="EKE753" s="574"/>
      <c r="EKF753" s="574"/>
      <c r="EKG753" s="574"/>
      <c r="EKH753" s="574"/>
      <c r="EKI753" s="574"/>
      <c r="EKJ753" s="574"/>
      <c r="EKK753" s="574"/>
      <c r="EKL753" s="574"/>
      <c r="EKM753" s="574"/>
      <c r="EKN753" s="574"/>
      <c r="EKO753" s="574"/>
      <c r="EKP753" s="574"/>
      <c r="EKQ753" s="574"/>
      <c r="EKR753" s="574"/>
      <c r="EKS753" s="574"/>
      <c r="EKT753" s="574"/>
      <c r="EKU753" s="574"/>
      <c r="EKV753" s="574"/>
      <c r="EKW753" s="574"/>
      <c r="EKX753" s="574"/>
      <c r="EKY753" s="574"/>
      <c r="EKZ753" s="574"/>
      <c r="ELA753" s="574"/>
      <c r="ELB753" s="574"/>
      <c r="ELC753" s="574"/>
      <c r="ELD753" s="574"/>
      <c r="ELE753" s="574"/>
      <c r="ELF753" s="574"/>
      <c r="ELG753" s="574"/>
      <c r="ELH753" s="574"/>
      <c r="ELI753" s="574"/>
      <c r="ELJ753" s="574"/>
      <c r="ELK753" s="574"/>
      <c r="ELL753" s="574"/>
      <c r="ELM753" s="574"/>
      <c r="ELN753" s="574"/>
      <c r="ELO753" s="574"/>
      <c r="ELP753" s="574"/>
      <c r="ELQ753" s="574"/>
      <c r="ELR753" s="574"/>
      <c r="ELS753" s="574"/>
      <c r="ELT753" s="574"/>
      <c r="ELU753" s="574"/>
      <c r="ELV753" s="574"/>
      <c r="ELW753" s="574"/>
      <c r="ELX753" s="574"/>
      <c r="ELY753" s="574"/>
      <c r="ELZ753" s="574"/>
      <c r="EMA753" s="574"/>
      <c r="EMB753" s="574"/>
      <c r="EMC753" s="574"/>
      <c r="EMD753" s="574"/>
      <c r="EME753" s="574"/>
      <c r="EMF753" s="574"/>
      <c r="EMG753" s="574"/>
      <c r="EMH753" s="574"/>
      <c r="EMI753" s="574"/>
      <c r="EMJ753" s="574"/>
      <c r="EMK753" s="574"/>
      <c r="EML753" s="574"/>
      <c r="EMM753" s="574"/>
      <c r="EMN753" s="574"/>
      <c r="EMO753" s="574"/>
      <c r="EMP753" s="574"/>
      <c r="EMQ753" s="574"/>
      <c r="EMR753" s="574"/>
      <c r="EMS753" s="574"/>
      <c r="EMT753" s="574"/>
      <c r="EMU753" s="574"/>
      <c r="EMV753" s="574"/>
      <c r="EMW753" s="574"/>
      <c r="EMX753" s="574"/>
      <c r="EMY753" s="574"/>
      <c r="EMZ753" s="574"/>
      <c r="ENA753" s="574"/>
      <c r="ENB753" s="574"/>
      <c r="ENC753" s="574"/>
      <c r="END753" s="574"/>
      <c r="ENE753" s="574"/>
      <c r="ENF753" s="574"/>
      <c r="ENG753" s="574"/>
      <c r="ENH753" s="574"/>
      <c r="ENI753" s="574"/>
      <c r="ENJ753" s="574"/>
      <c r="ENK753" s="574"/>
      <c r="ENL753" s="574"/>
      <c r="ENM753" s="574"/>
      <c r="ENN753" s="574"/>
      <c r="ENO753" s="574"/>
      <c r="ENP753" s="574"/>
      <c r="ENQ753" s="574"/>
      <c r="ENR753" s="574"/>
      <c r="ENS753" s="574"/>
      <c r="ENT753" s="574"/>
      <c r="ENU753" s="574"/>
      <c r="ENV753" s="574"/>
      <c r="ENW753" s="574"/>
      <c r="ENX753" s="574"/>
      <c r="ENY753" s="574"/>
      <c r="ENZ753" s="574"/>
      <c r="EOA753" s="574"/>
      <c r="EOB753" s="574"/>
      <c r="EOC753" s="574"/>
      <c r="EOD753" s="574"/>
      <c r="EOE753" s="574"/>
      <c r="EOF753" s="574"/>
      <c r="EOG753" s="574"/>
      <c r="EOH753" s="574"/>
      <c r="EOI753" s="574"/>
      <c r="EOJ753" s="574"/>
      <c r="EOK753" s="574"/>
      <c r="EOL753" s="574"/>
      <c r="EOM753" s="574"/>
      <c r="EON753" s="574"/>
      <c r="EOO753" s="574"/>
      <c r="EOP753" s="574"/>
      <c r="EOQ753" s="574"/>
      <c r="EOR753" s="574"/>
      <c r="EOS753" s="574"/>
      <c r="EOT753" s="574"/>
      <c r="EOU753" s="574"/>
      <c r="EOV753" s="574"/>
      <c r="EOW753" s="574"/>
      <c r="EOX753" s="574"/>
      <c r="EOY753" s="574"/>
      <c r="EOZ753" s="574"/>
      <c r="EPA753" s="574"/>
      <c r="EPB753" s="574"/>
      <c r="EPC753" s="574"/>
      <c r="EPD753" s="574"/>
      <c r="EPE753" s="574"/>
      <c r="EPF753" s="574"/>
      <c r="EPG753" s="574"/>
      <c r="EPH753" s="574"/>
      <c r="EPI753" s="574"/>
      <c r="EPJ753" s="574"/>
      <c r="EPK753" s="574"/>
      <c r="EPL753" s="574"/>
      <c r="EPM753" s="574"/>
      <c r="EPN753" s="574"/>
      <c r="EPO753" s="574"/>
      <c r="EPP753" s="574"/>
      <c r="EPQ753" s="574"/>
      <c r="EPR753" s="574"/>
      <c r="EPS753" s="574"/>
      <c r="EPT753" s="574"/>
      <c r="EPU753" s="574"/>
      <c r="EPV753" s="574"/>
      <c r="EPW753" s="574"/>
      <c r="EPX753" s="574"/>
      <c r="EPY753" s="574"/>
      <c r="EPZ753" s="574"/>
      <c r="EQA753" s="574"/>
      <c r="EQB753" s="574"/>
      <c r="EQC753" s="574"/>
      <c r="EQD753" s="574"/>
      <c r="EQE753" s="574"/>
      <c r="EQF753" s="574"/>
      <c r="EQG753" s="574"/>
      <c r="EQH753" s="574"/>
      <c r="EQI753" s="574"/>
      <c r="EQJ753" s="574"/>
      <c r="EQK753" s="574"/>
      <c r="EQL753" s="574"/>
      <c r="EQM753" s="574"/>
      <c r="EQN753" s="574"/>
      <c r="EQO753" s="574"/>
      <c r="EQP753" s="574"/>
      <c r="EQQ753" s="574"/>
      <c r="EQR753" s="574"/>
      <c r="EQS753" s="574"/>
      <c r="EQT753" s="574"/>
      <c r="EQU753" s="574"/>
      <c r="EQV753" s="574"/>
      <c r="EQW753" s="574"/>
      <c r="EQX753" s="574"/>
      <c r="EQY753" s="574"/>
      <c r="EQZ753" s="574"/>
      <c r="ERA753" s="574"/>
      <c r="ERB753" s="574"/>
      <c r="ERC753" s="574"/>
      <c r="ERD753" s="574"/>
      <c r="ERE753" s="574"/>
      <c r="ERF753" s="574"/>
      <c r="ERG753" s="574"/>
      <c r="ERH753" s="574"/>
      <c r="ERI753" s="574"/>
      <c r="ERJ753" s="574"/>
      <c r="ERK753" s="574"/>
      <c r="ERL753" s="574"/>
      <c r="ERM753" s="574"/>
      <c r="ERN753" s="574"/>
      <c r="ERO753" s="574"/>
      <c r="ERP753" s="574"/>
      <c r="ERQ753" s="574"/>
      <c r="ERR753" s="574"/>
      <c r="ERS753" s="574"/>
      <c r="ERT753" s="574"/>
      <c r="ERU753" s="574"/>
      <c r="ERV753" s="574"/>
      <c r="ERW753" s="574"/>
      <c r="ERX753" s="574"/>
      <c r="ERY753" s="574"/>
      <c r="ERZ753" s="574"/>
      <c r="ESA753" s="574"/>
      <c r="ESB753" s="574"/>
      <c r="ESC753" s="574"/>
      <c r="ESD753" s="574"/>
      <c r="ESE753" s="574"/>
      <c r="ESF753" s="574"/>
      <c r="ESG753" s="574"/>
      <c r="ESH753" s="574"/>
      <c r="ESI753" s="574"/>
      <c r="ESJ753" s="574"/>
      <c r="ESK753" s="574"/>
      <c r="ESL753" s="574"/>
      <c r="ESM753" s="574"/>
      <c r="ESN753" s="574"/>
      <c r="ESO753" s="574"/>
      <c r="ESP753" s="574"/>
      <c r="ESQ753" s="574"/>
      <c r="ESR753" s="574"/>
      <c r="ESS753" s="574"/>
      <c r="EST753" s="574"/>
      <c r="ESU753" s="574"/>
      <c r="ESV753" s="574"/>
      <c r="ESW753" s="574"/>
      <c r="ESX753" s="574"/>
      <c r="ESY753" s="574"/>
      <c r="ESZ753" s="574"/>
      <c r="ETA753" s="574"/>
      <c r="ETB753" s="574"/>
      <c r="ETC753" s="574"/>
      <c r="ETD753" s="574"/>
      <c r="ETE753" s="574"/>
      <c r="ETF753" s="574"/>
      <c r="ETG753" s="574"/>
      <c r="ETH753" s="574"/>
      <c r="ETI753" s="574"/>
      <c r="ETJ753" s="574"/>
      <c r="ETK753" s="574"/>
      <c r="ETL753" s="574"/>
      <c r="ETM753" s="574"/>
      <c r="ETN753" s="574"/>
      <c r="ETO753" s="574"/>
      <c r="ETP753" s="574"/>
      <c r="ETQ753" s="574"/>
      <c r="ETR753" s="574"/>
      <c r="ETS753" s="574"/>
      <c r="ETT753" s="574"/>
      <c r="ETU753" s="574"/>
      <c r="ETV753" s="574"/>
      <c r="ETW753" s="574"/>
      <c r="ETX753" s="574"/>
      <c r="ETY753" s="574"/>
      <c r="ETZ753" s="574"/>
      <c r="EUA753" s="574"/>
      <c r="EUB753" s="574"/>
      <c r="EUC753" s="574"/>
      <c r="EUD753" s="574"/>
      <c r="EUE753" s="574"/>
      <c r="EUF753" s="574"/>
      <c r="EUG753" s="574"/>
      <c r="EUH753" s="574"/>
      <c r="EUI753" s="574"/>
      <c r="EUJ753" s="574"/>
      <c r="EUK753" s="574"/>
      <c r="EUL753" s="574"/>
      <c r="EUM753" s="574"/>
      <c r="EUN753" s="574"/>
      <c r="EUO753" s="574"/>
      <c r="EUP753" s="574"/>
      <c r="EUQ753" s="574"/>
      <c r="EUR753" s="574"/>
      <c r="EUS753" s="574"/>
      <c r="EUT753" s="574"/>
      <c r="EUU753" s="574"/>
      <c r="EUV753" s="574"/>
      <c r="EUW753" s="574"/>
      <c r="EUX753" s="574"/>
      <c r="EUY753" s="574"/>
      <c r="EUZ753" s="574"/>
      <c r="EVA753" s="574"/>
      <c r="EVB753" s="574"/>
      <c r="EVC753" s="574"/>
      <c r="EVD753" s="574"/>
      <c r="EVE753" s="574"/>
      <c r="EVF753" s="574"/>
      <c r="EVG753" s="574"/>
      <c r="EVH753" s="574"/>
      <c r="EVI753" s="574"/>
      <c r="EVJ753" s="574"/>
      <c r="EVK753" s="574"/>
      <c r="EVL753" s="574"/>
      <c r="EVM753" s="574"/>
      <c r="EVN753" s="574"/>
      <c r="EVO753" s="574"/>
      <c r="EVP753" s="574"/>
      <c r="EVQ753" s="574"/>
      <c r="EVR753" s="574"/>
      <c r="EVS753" s="574"/>
      <c r="EVT753" s="574"/>
      <c r="EVU753" s="574"/>
      <c r="EVV753" s="574"/>
      <c r="EVW753" s="574"/>
      <c r="EVX753" s="574"/>
      <c r="EVY753" s="574"/>
      <c r="EVZ753" s="574"/>
      <c r="EWA753" s="574"/>
      <c r="EWB753" s="574"/>
      <c r="EWC753" s="574"/>
      <c r="EWD753" s="574"/>
      <c r="EWE753" s="574"/>
      <c r="EWF753" s="574"/>
      <c r="EWG753" s="574"/>
      <c r="EWH753" s="574"/>
      <c r="EWI753" s="574"/>
      <c r="EWJ753" s="574"/>
      <c r="EWK753" s="574"/>
      <c r="EWL753" s="574"/>
      <c r="EWM753" s="574"/>
      <c r="EWN753" s="574"/>
      <c r="EWO753" s="574"/>
      <c r="EWP753" s="574"/>
      <c r="EWQ753" s="574"/>
      <c r="EWR753" s="574"/>
      <c r="EWS753" s="574"/>
      <c r="EWT753" s="574"/>
      <c r="EWU753" s="574"/>
      <c r="EWV753" s="574"/>
      <c r="EWW753" s="574"/>
      <c r="EWX753" s="574"/>
      <c r="EWY753" s="574"/>
      <c r="EWZ753" s="574"/>
      <c r="EXA753" s="574"/>
      <c r="EXB753" s="574"/>
      <c r="EXC753" s="574"/>
      <c r="EXD753" s="574"/>
      <c r="EXE753" s="574"/>
      <c r="EXF753" s="574"/>
      <c r="EXG753" s="574"/>
      <c r="EXH753" s="574"/>
      <c r="EXI753" s="574"/>
      <c r="EXJ753" s="574"/>
      <c r="EXK753" s="574"/>
      <c r="EXL753" s="574"/>
      <c r="EXM753" s="574"/>
      <c r="EXN753" s="574"/>
      <c r="EXO753" s="574"/>
      <c r="EXP753" s="574"/>
      <c r="EXQ753" s="574"/>
      <c r="EXR753" s="574"/>
      <c r="EXS753" s="574"/>
      <c r="EXT753" s="574"/>
      <c r="EXU753" s="574"/>
      <c r="EXV753" s="574"/>
      <c r="EXW753" s="574"/>
      <c r="EXX753" s="574"/>
      <c r="EXY753" s="574"/>
      <c r="EXZ753" s="574"/>
      <c r="EYA753" s="574"/>
      <c r="EYB753" s="574"/>
      <c r="EYC753" s="574"/>
      <c r="EYD753" s="574"/>
      <c r="EYE753" s="574"/>
      <c r="EYF753" s="574"/>
      <c r="EYG753" s="574"/>
      <c r="EYH753" s="574"/>
      <c r="EYI753" s="574"/>
      <c r="EYJ753" s="574"/>
      <c r="EYK753" s="574"/>
      <c r="EYL753" s="574"/>
      <c r="EYM753" s="574"/>
      <c r="EYN753" s="574"/>
      <c r="EYO753" s="574"/>
      <c r="EYP753" s="574"/>
      <c r="EYQ753" s="574"/>
      <c r="EYR753" s="574"/>
      <c r="EYS753" s="574"/>
      <c r="EYT753" s="574"/>
      <c r="EYU753" s="574"/>
      <c r="EYV753" s="574"/>
      <c r="EYW753" s="574"/>
      <c r="EYX753" s="574"/>
      <c r="EYY753" s="574"/>
      <c r="EYZ753" s="574"/>
      <c r="EZA753" s="574"/>
      <c r="EZB753" s="574"/>
      <c r="EZC753" s="574"/>
      <c r="EZD753" s="574"/>
      <c r="EZE753" s="574"/>
      <c r="EZF753" s="574"/>
      <c r="EZG753" s="574"/>
      <c r="EZH753" s="574"/>
      <c r="EZI753" s="574"/>
      <c r="EZJ753" s="574"/>
      <c r="EZK753" s="574"/>
      <c r="EZL753" s="574"/>
      <c r="EZM753" s="574"/>
      <c r="EZN753" s="574"/>
      <c r="EZO753" s="574"/>
      <c r="EZP753" s="574"/>
      <c r="EZQ753" s="574"/>
      <c r="EZR753" s="574"/>
      <c r="EZS753" s="574"/>
      <c r="EZT753" s="574"/>
      <c r="EZU753" s="574"/>
      <c r="EZV753" s="574"/>
      <c r="EZW753" s="574"/>
      <c r="EZX753" s="574"/>
      <c r="EZY753" s="574"/>
      <c r="EZZ753" s="574"/>
      <c r="FAA753" s="574"/>
      <c r="FAB753" s="574"/>
      <c r="FAC753" s="574"/>
      <c r="FAD753" s="574"/>
      <c r="FAE753" s="574"/>
      <c r="FAF753" s="574"/>
      <c r="FAG753" s="574"/>
      <c r="FAH753" s="574"/>
      <c r="FAI753" s="574"/>
      <c r="FAJ753" s="574"/>
      <c r="FAK753" s="574"/>
      <c r="FAL753" s="574"/>
      <c r="FAM753" s="574"/>
      <c r="FAN753" s="574"/>
      <c r="FAO753" s="574"/>
      <c r="FAP753" s="574"/>
      <c r="FAQ753" s="574"/>
      <c r="FAR753" s="574"/>
      <c r="FAS753" s="574"/>
      <c r="FAT753" s="574"/>
      <c r="FAU753" s="574"/>
      <c r="FAV753" s="574"/>
      <c r="FAW753" s="574"/>
      <c r="FAX753" s="574"/>
      <c r="FAY753" s="574"/>
      <c r="FAZ753" s="574"/>
      <c r="FBA753" s="574"/>
      <c r="FBB753" s="574"/>
      <c r="FBC753" s="574"/>
      <c r="FBD753" s="574"/>
      <c r="FBE753" s="574"/>
      <c r="FBF753" s="574"/>
      <c r="FBG753" s="574"/>
      <c r="FBH753" s="574"/>
      <c r="FBI753" s="574"/>
      <c r="FBJ753" s="574"/>
      <c r="FBK753" s="574"/>
      <c r="FBL753" s="574"/>
      <c r="FBM753" s="574"/>
      <c r="FBN753" s="574"/>
      <c r="FBO753" s="574"/>
      <c r="FBP753" s="574"/>
      <c r="FBQ753" s="574"/>
      <c r="FBR753" s="574"/>
      <c r="FBS753" s="574"/>
      <c r="FBT753" s="574"/>
      <c r="FBU753" s="574"/>
      <c r="FBV753" s="574"/>
      <c r="FBW753" s="574"/>
      <c r="FBX753" s="574"/>
      <c r="FBY753" s="574"/>
      <c r="FBZ753" s="574"/>
      <c r="FCA753" s="574"/>
      <c r="FCB753" s="574"/>
      <c r="FCC753" s="574"/>
      <c r="FCD753" s="574"/>
      <c r="FCE753" s="574"/>
      <c r="FCF753" s="574"/>
      <c r="FCG753" s="574"/>
      <c r="FCH753" s="574"/>
      <c r="FCI753" s="574"/>
      <c r="FCJ753" s="574"/>
      <c r="FCK753" s="574"/>
      <c r="FCL753" s="574"/>
      <c r="FCM753" s="574"/>
      <c r="FCN753" s="574"/>
      <c r="FCO753" s="574"/>
      <c r="FCP753" s="574"/>
      <c r="FCQ753" s="574"/>
      <c r="FCR753" s="574"/>
      <c r="FCS753" s="574"/>
      <c r="FCT753" s="574"/>
      <c r="FCU753" s="574"/>
      <c r="FCV753" s="574"/>
      <c r="FCW753" s="574"/>
      <c r="FCX753" s="574"/>
      <c r="FCY753" s="574"/>
      <c r="FCZ753" s="574"/>
      <c r="FDA753" s="574"/>
      <c r="FDB753" s="574"/>
      <c r="FDC753" s="574"/>
      <c r="FDD753" s="574"/>
      <c r="FDE753" s="574"/>
      <c r="FDF753" s="574"/>
      <c r="FDG753" s="574"/>
      <c r="FDH753" s="574"/>
      <c r="FDI753" s="574"/>
      <c r="FDJ753" s="574"/>
      <c r="FDK753" s="574"/>
      <c r="FDL753" s="574"/>
      <c r="FDM753" s="574"/>
      <c r="FDN753" s="574"/>
      <c r="FDO753" s="574"/>
      <c r="FDP753" s="574"/>
      <c r="FDQ753" s="574"/>
      <c r="FDR753" s="574"/>
      <c r="FDS753" s="574"/>
      <c r="FDT753" s="574"/>
      <c r="FDU753" s="574"/>
      <c r="FDV753" s="574"/>
      <c r="FDW753" s="574"/>
      <c r="FDX753" s="574"/>
      <c r="FDY753" s="574"/>
      <c r="FDZ753" s="574"/>
      <c r="FEA753" s="574"/>
      <c r="FEB753" s="574"/>
      <c r="FEC753" s="574"/>
      <c r="FED753" s="574"/>
      <c r="FEE753" s="574"/>
      <c r="FEF753" s="574"/>
      <c r="FEG753" s="574"/>
      <c r="FEH753" s="574"/>
      <c r="FEI753" s="574"/>
      <c r="FEJ753" s="574"/>
      <c r="FEK753" s="574"/>
      <c r="FEL753" s="574"/>
      <c r="FEM753" s="574"/>
      <c r="FEN753" s="574"/>
      <c r="FEO753" s="574"/>
      <c r="FEP753" s="574"/>
      <c r="FEQ753" s="574"/>
      <c r="FER753" s="574"/>
      <c r="FES753" s="574"/>
      <c r="FET753" s="574"/>
      <c r="FEU753" s="574"/>
      <c r="FEV753" s="574"/>
      <c r="FEW753" s="574"/>
      <c r="FEX753" s="574"/>
      <c r="FEY753" s="574"/>
      <c r="FEZ753" s="574"/>
      <c r="FFA753" s="574"/>
      <c r="FFB753" s="574"/>
      <c r="FFC753" s="574"/>
      <c r="FFD753" s="574"/>
      <c r="FFE753" s="574"/>
      <c r="FFF753" s="574"/>
      <c r="FFG753" s="574"/>
      <c r="FFH753" s="574"/>
      <c r="FFI753" s="574"/>
      <c r="FFJ753" s="574"/>
      <c r="FFK753" s="574"/>
      <c r="FFL753" s="574"/>
      <c r="FFM753" s="574"/>
      <c r="FFN753" s="574"/>
      <c r="FFO753" s="574"/>
      <c r="FFP753" s="574"/>
      <c r="FFQ753" s="574"/>
      <c r="FFR753" s="574"/>
      <c r="FFS753" s="574"/>
      <c r="FFT753" s="574"/>
      <c r="FFU753" s="574"/>
      <c r="FFV753" s="574"/>
      <c r="FFW753" s="574"/>
      <c r="FFX753" s="574"/>
      <c r="FFY753" s="574"/>
      <c r="FFZ753" s="574"/>
      <c r="FGA753" s="574"/>
      <c r="FGB753" s="574"/>
      <c r="FGC753" s="574"/>
      <c r="FGD753" s="574"/>
      <c r="FGE753" s="574"/>
      <c r="FGF753" s="574"/>
      <c r="FGG753" s="574"/>
      <c r="FGH753" s="574"/>
      <c r="FGI753" s="574"/>
      <c r="FGJ753" s="574"/>
      <c r="FGK753" s="574"/>
      <c r="FGL753" s="574"/>
      <c r="FGM753" s="574"/>
      <c r="FGN753" s="574"/>
      <c r="FGO753" s="574"/>
      <c r="FGP753" s="574"/>
      <c r="FGQ753" s="574"/>
      <c r="FGR753" s="574"/>
      <c r="FGS753" s="574"/>
      <c r="FGT753" s="574"/>
      <c r="FGU753" s="574"/>
      <c r="FGV753" s="574"/>
      <c r="FGW753" s="574"/>
      <c r="FGX753" s="574"/>
      <c r="FGY753" s="574"/>
      <c r="FGZ753" s="574"/>
      <c r="FHA753" s="574"/>
      <c r="FHB753" s="574"/>
      <c r="FHC753" s="574"/>
      <c r="FHD753" s="574"/>
      <c r="FHE753" s="574"/>
      <c r="FHF753" s="574"/>
      <c r="FHG753" s="574"/>
      <c r="FHH753" s="574"/>
      <c r="FHI753" s="574"/>
      <c r="FHJ753" s="574"/>
      <c r="FHK753" s="574"/>
      <c r="FHL753" s="574"/>
      <c r="FHM753" s="574"/>
      <c r="FHN753" s="574"/>
      <c r="FHO753" s="574"/>
      <c r="FHP753" s="574"/>
      <c r="FHQ753" s="574"/>
      <c r="FHR753" s="574"/>
      <c r="FHS753" s="574"/>
      <c r="FHT753" s="574"/>
      <c r="FHU753" s="574"/>
      <c r="FHV753" s="574"/>
      <c r="FHW753" s="574"/>
      <c r="FHX753" s="574"/>
      <c r="FHY753" s="574"/>
      <c r="FHZ753" s="574"/>
      <c r="FIA753" s="574"/>
      <c r="FIB753" s="574"/>
      <c r="FIC753" s="574"/>
      <c r="FID753" s="574"/>
      <c r="FIE753" s="574"/>
      <c r="FIF753" s="574"/>
      <c r="FIG753" s="574"/>
      <c r="FIH753" s="574"/>
      <c r="FII753" s="574"/>
      <c r="FIJ753" s="574"/>
      <c r="FIK753" s="574"/>
      <c r="FIL753" s="574"/>
      <c r="FIM753" s="574"/>
      <c r="FIN753" s="574"/>
      <c r="FIO753" s="574"/>
      <c r="FIP753" s="574"/>
      <c r="FIQ753" s="574"/>
      <c r="FIR753" s="574"/>
      <c r="FIS753" s="574"/>
      <c r="FIT753" s="574"/>
      <c r="FIU753" s="574"/>
      <c r="FIV753" s="574"/>
      <c r="FIW753" s="574"/>
      <c r="FIX753" s="574"/>
      <c r="FIY753" s="574"/>
      <c r="FIZ753" s="574"/>
      <c r="FJA753" s="574"/>
      <c r="FJB753" s="574"/>
      <c r="FJC753" s="574"/>
      <c r="FJD753" s="574"/>
      <c r="FJE753" s="574"/>
      <c r="FJF753" s="574"/>
      <c r="FJG753" s="574"/>
      <c r="FJH753" s="574"/>
      <c r="FJI753" s="574"/>
      <c r="FJJ753" s="574"/>
      <c r="FJK753" s="574"/>
      <c r="FJL753" s="574"/>
      <c r="FJM753" s="574"/>
      <c r="FJN753" s="574"/>
      <c r="FJO753" s="574"/>
      <c r="FJP753" s="574"/>
      <c r="FJQ753" s="574"/>
      <c r="FJR753" s="574"/>
      <c r="FJS753" s="574"/>
      <c r="FJT753" s="574"/>
      <c r="FJU753" s="574"/>
      <c r="FJV753" s="574"/>
      <c r="FJW753" s="574"/>
      <c r="FJX753" s="574"/>
      <c r="FJY753" s="574"/>
      <c r="FJZ753" s="574"/>
      <c r="FKA753" s="574"/>
      <c r="FKB753" s="574"/>
      <c r="FKC753" s="574"/>
      <c r="FKD753" s="574"/>
      <c r="FKE753" s="574"/>
      <c r="FKF753" s="574"/>
      <c r="FKG753" s="574"/>
      <c r="FKH753" s="574"/>
      <c r="FKI753" s="574"/>
      <c r="FKJ753" s="574"/>
      <c r="FKK753" s="574"/>
      <c r="FKL753" s="574"/>
      <c r="FKM753" s="574"/>
      <c r="FKN753" s="574"/>
      <c r="FKO753" s="574"/>
      <c r="FKP753" s="574"/>
      <c r="FKQ753" s="574"/>
      <c r="FKR753" s="574"/>
      <c r="FKS753" s="574"/>
      <c r="FKT753" s="574"/>
      <c r="FKU753" s="574"/>
      <c r="FKV753" s="574"/>
      <c r="FKW753" s="574"/>
      <c r="FKX753" s="574"/>
      <c r="FKY753" s="574"/>
      <c r="FKZ753" s="574"/>
      <c r="FLA753" s="574"/>
      <c r="FLB753" s="574"/>
      <c r="FLC753" s="574"/>
      <c r="FLD753" s="574"/>
      <c r="FLE753" s="574"/>
      <c r="FLF753" s="574"/>
      <c r="FLG753" s="574"/>
      <c r="FLH753" s="574"/>
      <c r="FLI753" s="574"/>
      <c r="FLJ753" s="574"/>
      <c r="FLK753" s="574"/>
      <c r="FLL753" s="574"/>
      <c r="FLM753" s="574"/>
      <c r="FLN753" s="574"/>
      <c r="FLO753" s="574"/>
      <c r="FLP753" s="574"/>
      <c r="FLQ753" s="574"/>
      <c r="FLR753" s="574"/>
      <c r="FLS753" s="574"/>
      <c r="FLT753" s="574"/>
      <c r="FLU753" s="574"/>
      <c r="FLV753" s="574"/>
      <c r="FLW753" s="574"/>
      <c r="FLX753" s="574"/>
      <c r="FLY753" s="574"/>
      <c r="FLZ753" s="574"/>
      <c r="FMA753" s="574"/>
      <c r="FMB753" s="574"/>
      <c r="FMC753" s="574"/>
      <c r="FMD753" s="574"/>
      <c r="FME753" s="574"/>
      <c r="FMF753" s="574"/>
      <c r="FMG753" s="574"/>
      <c r="FMH753" s="574"/>
      <c r="FMI753" s="574"/>
      <c r="FMJ753" s="574"/>
      <c r="FMK753" s="574"/>
      <c r="FML753" s="574"/>
      <c r="FMM753" s="574"/>
      <c r="FMN753" s="574"/>
      <c r="FMO753" s="574"/>
      <c r="FMP753" s="574"/>
      <c r="FMQ753" s="574"/>
      <c r="FMR753" s="574"/>
      <c r="FMS753" s="574"/>
      <c r="FMT753" s="574"/>
      <c r="FMU753" s="574"/>
      <c r="FMV753" s="574"/>
      <c r="FMW753" s="574"/>
      <c r="FMX753" s="574"/>
      <c r="FMY753" s="574"/>
      <c r="FMZ753" s="574"/>
      <c r="FNA753" s="574"/>
      <c r="FNB753" s="574"/>
      <c r="FNC753" s="574"/>
      <c r="FND753" s="574"/>
      <c r="FNE753" s="574"/>
      <c r="FNF753" s="574"/>
      <c r="FNG753" s="574"/>
      <c r="FNH753" s="574"/>
      <c r="FNI753" s="574"/>
      <c r="FNJ753" s="574"/>
      <c r="FNK753" s="574"/>
      <c r="FNL753" s="574"/>
      <c r="FNM753" s="574"/>
      <c r="FNN753" s="574"/>
      <c r="FNO753" s="574"/>
      <c r="FNP753" s="574"/>
      <c r="FNQ753" s="574"/>
      <c r="FNR753" s="574"/>
      <c r="FNS753" s="574"/>
      <c r="FNT753" s="574"/>
      <c r="FNU753" s="574"/>
      <c r="FNV753" s="574"/>
      <c r="FNW753" s="574"/>
      <c r="FNX753" s="574"/>
      <c r="FNY753" s="574"/>
      <c r="FNZ753" s="574"/>
      <c r="FOA753" s="574"/>
      <c r="FOB753" s="574"/>
      <c r="FOC753" s="574"/>
      <c r="FOD753" s="574"/>
      <c r="FOE753" s="574"/>
      <c r="FOF753" s="574"/>
      <c r="FOG753" s="574"/>
      <c r="FOH753" s="574"/>
      <c r="FOI753" s="574"/>
      <c r="FOJ753" s="574"/>
      <c r="FOK753" s="574"/>
      <c r="FOL753" s="574"/>
      <c r="FOM753" s="574"/>
      <c r="FON753" s="574"/>
      <c r="FOO753" s="574"/>
      <c r="FOP753" s="574"/>
      <c r="FOQ753" s="574"/>
      <c r="FOR753" s="574"/>
      <c r="FOS753" s="574"/>
      <c r="FOT753" s="574"/>
      <c r="FOU753" s="574"/>
      <c r="FOV753" s="574"/>
      <c r="FOW753" s="574"/>
      <c r="FOX753" s="574"/>
      <c r="FOY753" s="574"/>
      <c r="FOZ753" s="574"/>
      <c r="FPA753" s="574"/>
      <c r="FPB753" s="574"/>
      <c r="FPC753" s="574"/>
      <c r="FPD753" s="574"/>
      <c r="FPE753" s="574"/>
      <c r="FPF753" s="574"/>
      <c r="FPG753" s="574"/>
      <c r="FPH753" s="574"/>
      <c r="FPI753" s="574"/>
      <c r="FPJ753" s="574"/>
      <c r="FPK753" s="574"/>
      <c r="FPL753" s="574"/>
      <c r="FPM753" s="574"/>
      <c r="FPN753" s="574"/>
      <c r="FPO753" s="574"/>
      <c r="FPP753" s="574"/>
      <c r="FPQ753" s="574"/>
      <c r="FPR753" s="574"/>
      <c r="FPS753" s="574"/>
      <c r="FPT753" s="574"/>
      <c r="FPU753" s="574"/>
      <c r="FPV753" s="574"/>
      <c r="FPW753" s="574"/>
      <c r="FPX753" s="574"/>
      <c r="FPY753" s="574"/>
      <c r="FPZ753" s="574"/>
      <c r="FQA753" s="574"/>
      <c r="FQB753" s="574"/>
      <c r="FQC753" s="574"/>
      <c r="FQD753" s="574"/>
      <c r="FQE753" s="574"/>
      <c r="FQF753" s="574"/>
      <c r="FQG753" s="574"/>
      <c r="FQH753" s="574"/>
      <c r="FQI753" s="574"/>
      <c r="FQJ753" s="574"/>
      <c r="FQK753" s="574"/>
      <c r="FQL753" s="574"/>
      <c r="FQM753" s="574"/>
      <c r="FQN753" s="574"/>
      <c r="FQO753" s="574"/>
      <c r="FQP753" s="574"/>
      <c r="FQQ753" s="574"/>
      <c r="FQR753" s="574"/>
      <c r="FQS753" s="574"/>
      <c r="FQT753" s="574"/>
      <c r="FQU753" s="574"/>
      <c r="FQV753" s="574"/>
      <c r="FQW753" s="574"/>
      <c r="FQX753" s="574"/>
      <c r="FQY753" s="574"/>
      <c r="FQZ753" s="574"/>
      <c r="FRA753" s="574"/>
      <c r="FRB753" s="574"/>
      <c r="FRC753" s="574"/>
      <c r="FRD753" s="574"/>
      <c r="FRE753" s="574"/>
      <c r="FRF753" s="574"/>
      <c r="FRG753" s="574"/>
      <c r="FRH753" s="574"/>
      <c r="FRI753" s="574"/>
      <c r="FRJ753" s="574"/>
      <c r="FRK753" s="574"/>
      <c r="FRL753" s="574"/>
      <c r="FRM753" s="574"/>
      <c r="FRN753" s="574"/>
      <c r="FRO753" s="574"/>
      <c r="FRP753" s="574"/>
      <c r="FRQ753" s="574"/>
      <c r="FRR753" s="574"/>
      <c r="FRS753" s="574"/>
      <c r="FRT753" s="574"/>
      <c r="FRU753" s="574"/>
      <c r="FRV753" s="574"/>
      <c r="FRW753" s="574"/>
      <c r="FRX753" s="574"/>
      <c r="FRY753" s="574"/>
      <c r="FRZ753" s="574"/>
      <c r="FSA753" s="574"/>
      <c r="FSB753" s="574"/>
      <c r="FSC753" s="574"/>
      <c r="FSD753" s="574"/>
      <c r="FSE753" s="574"/>
      <c r="FSF753" s="574"/>
      <c r="FSG753" s="574"/>
      <c r="FSH753" s="574"/>
      <c r="FSI753" s="574"/>
      <c r="FSJ753" s="574"/>
      <c r="FSK753" s="574"/>
      <c r="FSL753" s="574"/>
      <c r="FSM753" s="574"/>
      <c r="FSN753" s="574"/>
      <c r="FSO753" s="574"/>
      <c r="FSP753" s="574"/>
      <c r="FSQ753" s="574"/>
      <c r="FSR753" s="574"/>
      <c r="FSS753" s="574"/>
      <c r="FST753" s="574"/>
      <c r="FSU753" s="574"/>
      <c r="FSV753" s="574"/>
      <c r="FSW753" s="574"/>
      <c r="FSX753" s="574"/>
      <c r="FSY753" s="574"/>
      <c r="FSZ753" s="574"/>
      <c r="FTA753" s="574"/>
      <c r="FTB753" s="574"/>
      <c r="FTC753" s="574"/>
      <c r="FTD753" s="574"/>
      <c r="FTE753" s="574"/>
      <c r="FTF753" s="574"/>
      <c r="FTG753" s="574"/>
      <c r="FTH753" s="574"/>
      <c r="FTI753" s="574"/>
      <c r="FTJ753" s="574"/>
      <c r="FTK753" s="574"/>
      <c r="FTL753" s="574"/>
      <c r="FTM753" s="574"/>
      <c r="FTN753" s="574"/>
      <c r="FTO753" s="574"/>
      <c r="FTP753" s="574"/>
      <c r="FTQ753" s="574"/>
      <c r="FTR753" s="574"/>
      <c r="FTS753" s="574"/>
      <c r="FTT753" s="574"/>
      <c r="FTU753" s="574"/>
      <c r="FTV753" s="574"/>
      <c r="FTW753" s="574"/>
      <c r="FTX753" s="574"/>
      <c r="FTY753" s="574"/>
      <c r="FTZ753" s="574"/>
      <c r="FUA753" s="574"/>
      <c r="FUB753" s="574"/>
      <c r="FUC753" s="574"/>
      <c r="FUD753" s="574"/>
      <c r="FUE753" s="574"/>
      <c r="FUF753" s="574"/>
      <c r="FUG753" s="574"/>
      <c r="FUH753" s="574"/>
      <c r="FUI753" s="574"/>
      <c r="FUJ753" s="574"/>
      <c r="FUK753" s="574"/>
      <c r="FUL753" s="574"/>
      <c r="FUM753" s="574"/>
      <c r="FUN753" s="574"/>
      <c r="FUO753" s="574"/>
      <c r="FUP753" s="574"/>
      <c r="FUQ753" s="574"/>
      <c r="FUR753" s="574"/>
      <c r="FUS753" s="574"/>
      <c r="FUT753" s="574"/>
      <c r="FUU753" s="574"/>
      <c r="FUV753" s="574"/>
      <c r="FUW753" s="574"/>
      <c r="FUX753" s="574"/>
      <c r="FUY753" s="574"/>
      <c r="FUZ753" s="574"/>
      <c r="FVA753" s="574"/>
      <c r="FVB753" s="574"/>
      <c r="FVC753" s="574"/>
      <c r="FVD753" s="574"/>
      <c r="FVE753" s="574"/>
      <c r="FVF753" s="574"/>
      <c r="FVG753" s="574"/>
      <c r="FVH753" s="574"/>
      <c r="FVI753" s="574"/>
      <c r="FVJ753" s="574"/>
      <c r="FVK753" s="574"/>
      <c r="FVL753" s="574"/>
      <c r="FVM753" s="574"/>
      <c r="FVN753" s="574"/>
      <c r="FVO753" s="574"/>
      <c r="FVP753" s="574"/>
      <c r="FVQ753" s="574"/>
      <c r="FVR753" s="574"/>
      <c r="FVS753" s="574"/>
      <c r="FVT753" s="574"/>
      <c r="FVU753" s="574"/>
      <c r="FVV753" s="574"/>
      <c r="FVW753" s="574"/>
      <c r="FVX753" s="574"/>
      <c r="FVY753" s="574"/>
      <c r="FVZ753" s="574"/>
      <c r="FWA753" s="574"/>
      <c r="FWB753" s="574"/>
      <c r="FWC753" s="574"/>
      <c r="FWD753" s="574"/>
      <c r="FWE753" s="574"/>
      <c r="FWF753" s="574"/>
      <c r="FWG753" s="574"/>
      <c r="FWH753" s="574"/>
      <c r="FWI753" s="574"/>
      <c r="FWJ753" s="574"/>
      <c r="FWK753" s="574"/>
      <c r="FWL753" s="574"/>
      <c r="FWM753" s="574"/>
      <c r="FWN753" s="574"/>
      <c r="FWO753" s="574"/>
      <c r="FWP753" s="574"/>
      <c r="FWQ753" s="574"/>
      <c r="FWR753" s="574"/>
      <c r="FWS753" s="574"/>
      <c r="FWT753" s="574"/>
      <c r="FWU753" s="574"/>
      <c r="FWV753" s="574"/>
      <c r="FWW753" s="574"/>
      <c r="FWX753" s="574"/>
      <c r="FWY753" s="574"/>
      <c r="FWZ753" s="574"/>
      <c r="FXA753" s="574"/>
      <c r="FXB753" s="574"/>
      <c r="FXC753" s="574"/>
      <c r="FXD753" s="574"/>
      <c r="FXE753" s="574"/>
      <c r="FXF753" s="574"/>
      <c r="FXG753" s="574"/>
      <c r="FXH753" s="574"/>
      <c r="FXI753" s="574"/>
      <c r="FXJ753" s="574"/>
      <c r="FXK753" s="574"/>
      <c r="FXL753" s="574"/>
      <c r="FXM753" s="574"/>
      <c r="FXN753" s="574"/>
      <c r="FXO753" s="574"/>
      <c r="FXP753" s="574"/>
      <c r="FXQ753" s="574"/>
      <c r="FXR753" s="574"/>
      <c r="FXS753" s="574"/>
      <c r="FXT753" s="574"/>
      <c r="FXU753" s="574"/>
      <c r="FXV753" s="574"/>
      <c r="FXW753" s="574"/>
      <c r="FXX753" s="574"/>
      <c r="FXY753" s="574"/>
      <c r="FXZ753" s="574"/>
      <c r="FYA753" s="574"/>
      <c r="FYB753" s="574"/>
      <c r="FYC753" s="574"/>
      <c r="FYD753" s="574"/>
      <c r="FYE753" s="574"/>
      <c r="FYF753" s="574"/>
      <c r="FYG753" s="574"/>
      <c r="FYH753" s="574"/>
      <c r="FYI753" s="574"/>
      <c r="FYJ753" s="574"/>
      <c r="FYK753" s="574"/>
      <c r="FYL753" s="574"/>
      <c r="FYM753" s="574"/>
      <c r="FYN753" s="574"/>
      <c r="FYO753" s="574"/>
      <c r="FYP753" s="574"/>
      <c r="FYQ753" s="574"/>
      <c r="FYR753" s="574"/>
      <c r="FYS753" s="574"/>
      <c r="FYT753" s="574"/>
      <c r="FYU753" s="574"/>
      <c r="FYV753" s="574"/>
      <c r="FYW753" s="574"/>
      <c r="FYX753" s="574"/>
      <c r="FYY753" s="574"/>
      <c r="FYZ753" s="574"/>
      <c r="FZA753" s="574"/>
      <c r="FZB753" s="574"/>
      <c r="FZC753" s="574"/>
      <c r="FZD753" s="574"/>
      <c r="FZE753" s="574"/>
      <c r="FZF753" s="574"/>
      <c r="FZG753" s="574"/>
      <c r="FZH753" s="574"/>
      <c r="FZI753" s="574"/>
      <c r="FZJ753" s="574"/>
      <c r="FZK753" s="574"/>
      <c r="FZL753" s="574"/>
      <c r="FZM753" s="574"/>
      <c r="FZN753" s="574"/>
      <c r="FZO753" s="574"/>
      <c r="FZP753" s="574"/>
      <c r="FZQ753" s="574"/>
      <c r="FZR753" s="574"/>
      <c r="FZS753" s="574"/>
      <c r="FZT753" s="574"/>
      <c r="FZU753" s="574"/>
      <c r="FZV753" s="574"/>
      <c r="FZW753" s="574"/>
      <c r="FZX753" s="574"/>
      <c r="FZY753" s="574"/>
      <c r="FZZ753" s="574"/>
      <c r="GAA753" s="574"/>
      <c r="GAB753" s="574"/>
      <c r="GAC753" s="574"/>
      <c r="GAD753" s="574"/>
      <c r="GAE753" s="574"/>
      <c r="GAF753" s="574"/>
      <c r="GAG753" s="574"/>
      <c r="GAH753" s="574"/>
      <c r="GAI753" s="574"/>
      <c r="GAJ753" s="574"/>
      <c r="GAK753" s="574"/>
      <c r="GAL753" s="574"/>
      <c r="GAM753" s="574"/>
      <c r="GAN753" s="574"/>
      <c r="GAO753" s="574"/>
      <c r="GAP753" s="574"/>
      <c r="GAQ753" s="574"/>
      <c r="GAR753" s="574"/>
      <c r="GAS753" s="574"/>
      <c r="GAT753" s="574"/>
      <c r="GAU753" s="574"/>
      <c r="GAV753" s="574"/>
      <c r="GAW753" s="574"/>
      <c r="GAX753" s="574"/>
      <c r="GAY753" s="574"/>
      <c r="GAZ753" s="574"/>
      <c r="GBA753" s="574"/>
      <c r="GBB753" s="574"/>
      <c r="GBC753" s="574"/>
      <c r="GBD753" s="574"/>
      <c r="GBE753" s="574"/>
      <c r="GBF753" s="574"/>
      <c r="GBG753" s="574"/>
      <c r="GBH753" s="574"/>
      <c r="GBI753" s="574"/>
      <c r="GBJ753" s="574"/>
      <c r="GBK753" s="574"/>
      <c r="GBL753" s="574"/>
      <c r="GBM753" s="574"/>
      <c r="GBN753" s="574"/>
      <c r="GBO753" s="574"/>
      <c r="GBP753" s="574"/>
      <c r="GBQ753" s="574"/>
      <c r="GBR753" s="574"/>
      <c r="GBS753" s="574"/>
      <c r="GBT753" s="574"/>
      <c r="GBU753" s="574"/>
      <c r="GBV753" s="574"/>
      <c r="GBW753" s="574"/>
      <c r="GBX753" s="574"/>
      <c r="GBY753" s="574"/>
      <c r="GBZ753" s="574"/>
      <c r="GCA753" s="574"/>
      <c r="GCB753" s="574"/>
      <c r="GCC753" s="574"/>
      <c r="GCD753" s="574"/>
      <c r="GCE753" s="574"/>
      <c r="GCF753" s="574"/>
      <c r="GCG753" s="574"/>
      <c r="GCH753" s="574"/>
      <c r="GCI753" s="574"/>
      <c r="GCJ753" s="574"/>
      <c r="GCK753" s="574"/>
      <c r="GCL753" s="574"/>
      <c r="GCM753" s="574"/>
      <c r="GCN753" s="574"/>
      <c r="GCO753" s="574"/>
      <c r="GCP753" s="574"/>
      <c r="GCQ753" s="574"/>
      <c r="GCR753" s="574"/>
      <c r="GCS753" s="574"/>
      <c r="GCT753" s="574"/>
      <c r="GCU753" s="574"/>
      <c r="GCV753" s="574"/>
      <c r="GCW753" s="574"/>
      <c r="GCX753" s="574"/>
      <c r="GCY753" s="574"/>
      <c r="GCZ753" s="574"/>
      <c r="GDA753" s="574"/>
      <c r="GDB753" s="574"/>
      <c r="GDC753" s="574"/>
      <c r="GDD753" s="574"/>
      <c r="GDE753" s="574"/>
      <c r="GDF753" s="574"/>
      <c r="GDG753" s="574"/>
      <c r="GDH753" s="574"/>
      <c r="GDI753" s="574"/>
      <c r="GDJ753" s="574"/>
      <c r="GDK753" s="574"/>
      <c r="GDL753" s="574"/>
      <c r="GDM753" s="574"/>
      <c r="GDN753" s="574"/>
      <c r="GDO753" s="574"/>
      <c r="GDP753" s="574"/>
      <c r="GDQ753" s="574"/>
      <c r="GDR753" s="574"/>
      <c r="GDS753" s="574"/>
      <c r="GDT753" s="574"/>
      <c r="GDU753" s="574"/>
      <c r="GDV753" s="574"/>
      <c r="GDW753" s="574"/>
      <c r="GDX753" s="574"/>
      <c r="GDY753" s="574"/>
      <c r="GDZ753" s="574"/>
      <c r="GEA753" s="574"/>
      <c r="GEB753" s="574"/>
      <c r="GEC753" s="574"/>
      <c r="GED753" s="574"/>
      <c r="GEE753" s="574"/>
      <c r="GEF753" s="574"/>
      <c r="GEG753" s="574"/>
      <c r="GEH753" s="574"/>
      <c r="GEI753" s="574"/>
      <c r="GEJ753" s="574"/>
      <c r="GEK753" s="574"/>
      <c r="GEL753" s="574"/>
      <c r="GEM753" s="574"/>
      <c r="GEN753" s="574"/>
      <c r="GEO753" s="574"/>
      <c r="GEP753" s="574"/>
      <c r="GEQ753" s="574"/>
      <c r="GER753" s="574"/>
      <c r="GES753" s="574"/>
      <c r="GET753" s="574"/>
      <c r="GEU753" s="574"/>
      <c r="GEV753" s="574"/>
      <c r="GEW753" s="574"/>
      <c r="GEX753" s="574"/>
      <c r="GEY753" s="574"/>
      <c r="GEZ753" s="574"/>
      <c r="GFA753" s="574"/>
      <c r="GFB753" s="574"/>
      <c r="GFC753" s="574"/>
      <c r="GFD753" s="574"/>
      <c r="GFE753" s="574"/>
      <c r="GFF753" s="574"/>
      <c r="GFG753" s="574"/>
      <c r="GFH753" s="574"/>
      <c r="GFI753" s="574"/>
      <c r="GFJ753" s="574"/>
      <c r="GFK753" s="574"/>
      <c r="GFL753" s="574"/>
      <c r="GFM753" s="574"/>
      <c r="GFN753" s="574"/>
      <c r="GFO753" s="574"/>
      <c r="GFP753" s="574"/>
      <c r="GFQ753" s="574"/>
      <c r="GFR753" s="574"/>
      <c r="GFS753" s="574"/>
      <c r="GFT753" s="574"/>
      <c r="GFU753" s="574"/>
      <c r="GFV753" s="574"/>
      <c r="GFW753" s="574"/>
      <c r="GFX753" s="574"/>
      <c r="GFY753" s="574"/>
      <c r="GFZ753" s="574"/>
      <c r="GGA753" s="574"/>
      <c r="GGB753" s="574"/>
      <c r="GGC753" s="574"/>
      <c r="GGD753" s="574"/>
      <c r="GGE753" s="574"/>
      <c r="GGF753" s="574"/>
      <c r="GGG753" s="574"/>
      <c r="GGH753" s="574"/>
      <c r="GGI753" s="574"/>
      <c r="GGJ753" s="574"/>
      <c r="GGK753" s="574"/>
      <c r="GGL753" s="574"/>
      <c r="GGM753" s="574"/>
      <c r="GGN753" s="574"/>
      <c r="GGO753" s="574"/>
      <c r="GGP753" s="574"/>
      <c r="GGQ753" s="574"/>
      <c r="GGR753" s="574"/>
      <c r="GGS753" s="574"/>
      <c r="GGT753" s="574"/>
      <c r="GGU753" s="574"/>
      <c r="GGV753" s="574"/>
      <c r="GGW753" s="574"/>
      <c r="GGX753" s="574"/>
      <c r="GGY753" s="574"/>
      <c r="GGZ753" s="574"/>
      <c r="GHA753" s="574"/>
      <c r="GHB753" s="574"/>
      <c r="GHC753" s="574"/>
      <c r="GHD753" s="574"/>
      <c r="GHE753" s="574"/>
      <c r="GHF753" s="574"/>
      <c r="GHG753" s="574"/>
      <c r="GHH753" s="574"/>
      <c r="GHI753" s="574"/>
      <c r="GHJ753" s="574"/>
      <c r="GHK753" s="574"/>
      <c r="GHL753" s="574"/>
      <c r="GHM753" s="574"/>
      <c r="GHN753" s="574"/>
      <c r="GHO753" s="574"/>
      <c r="GHP753" s="574"/>
      <c r="GHQ753" s="574"/>
      <c r="GHR753" s="574"/>
      <c r="GHS753" s="574"/>
      <c r="GHT753" s="574"/>
      <c r="GHU753" s="574"/>
      <c r="GHV753" s="574"/>
      <c r="GHW753" s="574"/>
      <c r="GHX753" s="574"/>
      <c r="GHY753" s="574"/>
      <c r="GHZ753" s="574"/>
      <c r="GIA753" s="574"/>
      <c r="GIB753" s="574"/>
      <c r="GIC753" s="574"/>
      <c r="GID753" s="574"/>
      <c r="GIE753" s="574"/>
      <c r="GIF753" s="574"/>
      <c r="GIG753" s="574"/>
      <c r="GIH753" s="574"/>
      <c r="GII753" s="574"/>
      <c r="GIJ753" s="574"/>
      <c r="GIK753" s="574"/>
      <c r="GIL753" s="574"/>
      <c r="GIM753" s="574"/>
      <c r="GIN753" s="574"/>
      <c r="GIO753" s="574"/>
      <c r="GIP753" s="574"/>
      <c r="GIQ753" s="574"/>
      <c r="GIR753" s="574"/>
      <c r="GIS753" s="574"/>
      <c r="GIT753" s="574"/>
      <c r="GIU753" s="574"/>
      <c r="GIV753" s="574"/>
      <c r="GIW753" s="574"/>
      <c r="GIX753" s="574"/>
      <c r="GIY753" s="574"/>
      <c r="GIZ753" s="574"/>
      <c r="GJA753" s="574"/>
      <c r="GJB753" s="574"/>
      <c r="GJC753" s="574"/>
      <c r="GJD753" s="574"/>
      <c r="GJE753" s="574"/>
      <c r="GJF753" s="574"/>
      <c r="GJG753" s="574"/>
      <c r="GJH753" s="574"/>
      <c r="GJI753" s="574"/>
      <c r="GJJ753" s="574"/>
      <c r="GJK753" s="574"/>
      <c r="GJL753" s="574"/>
      <c r="GJM753" s="574"/>
      <c r="GJN753" s="574"/>
      <c r="GJO753" s="574"/>
      <c r="GJP753" s="574"/>
      <c r="GJQ753" s="574"/>
      <c r="GJR753" s="574"/>
      <c r="GJS753" s="574"/>
      <c r="GJT753" s="574"/>
      <c r="GJU753" s="574"/>
      <c r="GJV753" s="574"/>
      <c r="GJW753" s="574"/>
      <c r="GJX753" s="574"/>
      <c r="GJY753" s="574"/>
      <c r="GJZ753" s="574"/>
      <c r="GKA753" s="574"/>
      <c r="GKB753" s="574"/>
      <c r="GKC753" s="574"/>
      <c r="GKD753" s="574"/>
      <c r="GKE753" s="574"/>
      <c r="GKF753" s="574"/>
      <c r="GKG753" s="574"/>
      <c r="GKH753" s="574"/>
      <c r="GKI753" s="574"/>
      <c r="GKJ753" s="574"/>
      <c r="GKK753" s="574"/>
      <c r="GKL753" s="574"/>
      <c r="GKM753" s="574"/>
      <c r="GKN753" s="574"/>
      <c r="GKO753" s="574"/>
      <c r="GKP753" s="574"/>
      <c r="GKQ753" s="574"/>
      <c r="GKR753" s="574"/>
      <c r="GKS753" s="574"/>
      <c r="GKT753" s="574"/>
      <c r="GKU753" s="574"/>
      <c r="GKV753" s="574"/>
      <c r="GKW753" s="574"/>
      <c r="GKX753" s="574"/>
      <c r="GKY753" s="574"/>
      <c r="GKZ753" s="574"/>
      <c r="GLA753" s="574"/>
      <c r="GLB753" s="574"/>
      <c r="GLC753" s="574"/>
      <c r="GLD753" s="574"/>
      <c r="GLE753" s="574"/>
      <c r="GLF753" s="574"/>
      <c r="GLG753" s="574"/>
      <c r="GLH753" s="574"/>
      <c r="GLI753" s="574"/>
      <c r="GLJ753" s="574"/>
      <c r="GLK753" s="574"/>
      <c r="GLL753" s="574"/>
      <c r="GLM753" s="574"/>
      <c r="GLN753" s="574"/>
      <c r="GLO753" s="574"/>
      <c r="GLP753" s="574"/>
      <c r="GLQ753" s="574"/>
      <c r="GLR753" s="574"/>
      <c r="GLS753" s="574"/>
      <c r="GLT753" s="574"/>
      <c r="GLU753" s="574"/>
      <c r="GLV753" s="574"/>
      <c r="GLW753" s="574"/>
      <c r="GLX753" s="574"/>
      <c r="GLY753" s="574"/>
      <c r="GLZ753" s="574"/>
      <c r="GMA753" s="574"/>
      <c r="GMB753" s="574"/>
      <c r="GMC753" s="574"/>
      <c r="GMD753" s="574"/>
      <c r="GME753" s="574"/>
      <c r="GMF753" s="574"/>
      <c r="GMG753" s="574"/>
      <c r="GMH753" s="574"/>
      <c r="GMI753" s="574"/>
      <c r="GMJ753" s="574"/>
      <c r="GMK753" s="574"/>
      <c r="GML753" s="574"/>
      <c r="GMM753" s="574"/>
      <c r="GMN753" s="574"/>
      <c r="GMO753" s="574"/>
      <c r="GMP753" s="574"/>
      <c r="GMQ753" s="574"/>
      <c r="GMR753" s="574"/>
      <c r="GMS753" s="574"/>
      <c r="GMT753" s="574"/>
      <c r="GMU753" s="574"/>
      <c r="GMV753" s="574"/>
      <c r="GMW753" s="574"/>
      <c r="GMX753" s="574"/>
      <c r="GMY753" s="574"/>
      <c r="GMZ753" s="574"/>
      <c r="GNA753" s="574"/>
      <c r="GNB753" s="574"/>
      <c r="GNC753" s="574"/>
      <c r="GND753" s="574"/>
      <c r="GNE753" s="574"/>
      <c r="GNF753" s="574"/>
      <c r="GNG753" s="574"/>
      <c r="GNH753" s="574"/>
      <c r="GNI753" s="574"/>
      <c r="GNJ753" s="574"/>
      <c r="GNK753" s="574"/>
      <c r="GNL753" s="574"/>
      <c r="GNM753" s="574"/>
      <c r="GNN753" s="574"/>
      <c r="GNO753" s="574"/>
      <c r="GNP753" s="574"/>
      <c r="GNQ753" s="574"/>
      <c r="GNR753" s="574"/>
      <c r="GNS753" s="574"/>
      <c r="GNT753" s="574"/>
      <c r="GNU753" s="574"/>
      <c r="GNV753" s="574"/>
      <c r="GNW753" s="574"/>
      <c r="GNX753" s="574"/>
      <c r="GNY753" s="574"/>
      <c r="GNZ753" s="574"/>
      <c r="GOA753" s="574"/>
      <c r="GOB753" s="574"/>
      <c r="GOC753" s="574"/>
      <c r="GOD753" s="574"/>
      <c r="GOE753" s="574"/>
      <c r="GOF753" s="574"/>
      <c r="GOG753" s="574"/>
      <c r="GOH753" s="574"/>
      <c r="GOI753" s="574"/>
      <c r="GOJ753" s="574"/>
      <c r="GOK753" s="574"/>
      <c r="GOL753" s="574"/>
      <c r="GOM753" s="574"/>
      <c r="GON753" s="574"/>
      <c r="GOO753" s="574"/>
      <c r="GOP753" s="574"/>
      <c r="GOQ753" s="574"/>
      <c r="GOR753" s="574"/>
      <c r="GOS753" s="574"/>
      <c r="GOT753" s="574"/>
      <c r="GOU753" s="574"/>
      <c r="GOV753" s="574"/>
      <c r="GOW753" s="574"/>
      <c r="GOX753" s="574"/>
      <c r="GOY753" s="574"/>
      <c r="GOZ753" s="574"/>
      <c r="GPA753" s="574"/>
      <c r="GPB753" s="574"/>
      <c r="GPC753" s="574"/>
      <c r="GPD753" s="574"/>
      <c r="GPE753" s="574"/>
      <c r="GPF753" s="574"/>
      <c r="GPG753" s="574"/>
      <c r="GPH753" s="574"/>
      <c r="GPI753" s="574"/>
      <c r="GPJ753" s="574"/>
      <c r="GPK753" s="574"/>
      <c r="GPL753" s="574"/>
      <c r="GPM753" s="574"/>
      <c r="GPN753" s="574"/>
      <c r="GPO753" s="574"/>
      <c r="GPP753" s="574"/>
      <c r="GPQ753" s="574"/>
      <c r="GPR753" s="574"/>
      <c r="GPS753" s="574"/>
      <c r="GPT753" s="574"/>
      <c r="GPU753" s="574"/>
      <c r="GPV753" s="574"/>
      <c r="GPW753" s="574"/>
      <c r="GPX753" s="574"/>
      <c r="GPY753" s="574"/>
      <c r="GPZ753" s="574"/>
      <c r="GQA753" s="574"/>
      <c r="GQB753" s="574"/>
      <c r="GQC753" s="574"/>
      <c r="GQD753" s="574"/>
      <c r="GQE753" s="574"/>
      <c r="GQF753" s="574"/>
      <c r="GQG753" s="574"/>
      <c r="GQH753" s="574"/>
      <c r="GQI753" s="574"/>
      <c r="GQJ753" s="574"/>
      <c r="GQK753" s="574"/>
      <c r="GQL753" s="574"/>
      <c r="GQM753" s="574"/>
      <c r="GQN753" s="574"/>
      <c r="GQO753" s="574"/>
      <c r="GQP753" s="574"/>
      <c r="GQQ753" s="574"/>
      <c r="GQR753" s="574"/>
      <c r="GQS753" s="574"/>
      <c r="GQT753" s="574"/>
      <c r="GQU753" s="574"/>
      <c r="GQV753" s="574"/>
      <c r="GQW753" s="574"/>
      <c r="GQX753" s="574"/>
      <c r="GQY753" s="574"/>
      <c r="GQZ753" s="574"/>
      <c r="GRA753" s="574"/>
      <c r="GRB753" s="574"/>
      <c r="GRC753" s="574"/>
      <c r="GRD753" s="574"/>
      <c r="GRE753" s="574"/>
      <c r="GRF753" s="574"/>
      <c r="GRG753" s="574"/>
      <c r="GRH753" s="574"/>
      <c r="GRI753" s="574"/>
      <c r="GRJ753" s="574"/>
      <c r="GRK753" s="574"/>
      <c r="GRL753" s="574"/>
      <c r="GRM753" s="574"/>
      <c r="GRN753" s="574"/>
      <c r="GRO753" s="574"/>
      <c r="GRP753" s="574"/>
      <c r="GRQ753" s="574"/>
      <c r="GRR753" s="574"/>
      <c r="GRS753" s="574"/>
      <c r="GRT753" s="574"/>
      <c r="GRU753" s="574"/>
      <c r="GRV753" s="574"/>
      <c r="GRW753" s="574"/>
      <c r="GRX753" s="574"/>
      <c r="GRY753" s="574"/>
      <c r="GRZ753" s="574"/>
      <c r="GSA753" s="574"/>
      <c r="GSB753" s="574"/>
      <c r="GSC753" s="574"/>
      <c r="GSD753" s="574"/>
      <c r="GSE753" s="574"/>
      <c r="GSF753" s="574"/>
      <c r="GSG753" s="574"/>
      <c r="GSH753" s="574"/>
      <c r="GSI753" s="574"/>
      <c r="GSJ753" s="574"/>
      <c r="GSK753" s="574"/>
      <c r="GSL753" s="574"/>
      <c r="GSM753" s="574"/>
      <c r="GSN753" s="574"/>
      <c r="GSO753" s="574"/>
      <c r="GSP753" s="574"/>
      <c r="GSQ753" s="574"/>
      <c r="GSR753" s="574"/>
      <c r="GSS753" s="574"/>
      <c r="GST753" s="574"/>
      <c r="GSU753" s="574"/>
      <c r="GSV753" s="574"/>
      <c r="GSW753" s="574"/>
      <c r="GSX753" s="574"/>
      <c r="GSY753" s="574"/>
      <c r="GSZ753" s="574"/>
      <c r="GTA753" s="574"/>
      <c r="GTB753" s="574"/>
      <c r="GTC753" s="574"/>
      <c r="GTD753" s="574"/>
      <c r="GTE753" s="574"/>
      <c r="GTF753" s="574"/>
      <c r="GTG753" s="574"/>
      <c r="GTH753" s="574"/>
      <c r="GTI753" s="574"/>
      <c r="GTJ753" s="574"/>
      <c r="GTK753" s="574"/>
      <c r="GTL753" s="574"/>
      <c r="GTM753" s="574"/>
      <c r="GTN753" s="574"/>
      <c r="GTO753" s="574"/>
      <c r="GTP753" s="574"/>
      <c r="GTQ753" s="574"/>
      <c r="GTR753" s="574"/>
      <c r="GTS753" s="574"/>
      <c r="GTT753" s="574"/>
      <c r="GTU753" s="574"/>
      <c r="GTV753" s="574"/>
      <c r="GTW753" s="574"/>
      <c r="GTX753" s="574"/>
      <c r="GTY753" s="574"/>
      <c r="GTZ753" s="574"/>
      <c r="GUA753" s="574"/>
      <c r="GUB753" s="574"/>
      <c r="GUC753" s="574"/>
      <c r="GUD753" s="574"/>
      <c r="GUE753" s="574"/>
      <c r="GUF753" s="574"/>
      <c r="GUG753" s="574"/>
      <c r="GUH753" s="574"/>
      <c r="GUI753" s="574"/>
      <c r="GUJ753" s="574"/>
      <c r="GUK753" s="574"/>
      <c r="GUL753" s="574"/>
      <c r="GUM753" s="574"/>
      <c r="GUN753" s="574"/>
      <c r="GUO753" s="574"/>
      <c r="GUP753" s="574"/>
      <c r="GUQ753" s="574"/>
      <c r="GUR753" s="574"/>
      <c r="GUS753" s="574"/>
      <c r="GUT753" s="574"/>
      <c r="GUU753" s="574"/>
      <c r="GUV753" s="574"/>
      <c r="GUW753" s="574"/>
      <c r="GUX753" s="574"/>
      <c r="GUY753" s="574"/>
      <c r="GUZ753" s="574"/>
      <c r="GVA753" s="574"/>
      <c r="GVB753" s="574"/>
      <c r="GVC753" s="574"/>
      <c r="GVD753" s="574"/>
      <c r="GVE753" s="574"/>
      <c r="GVF753" s="574"/>
      <c r="GVG753" s="574"/>
      <c r="GVH753" s="574"/>
      <c r="GVI753" s="574"/>
      <c r="GVJ753" s="574"/>
      <c r="GVK753" s="574"/>
      <c r="GVL753" s="574"/>
      <c r="GVM753" s="574"/>
      <c r="GVN753" s="574"/>
      <c r="GVO753" s="574"/>
      <c r="GVP753" s="574"/>
      <c r="GVQ753" s="574"/>
      <c r="GVR753" s="574"/>
      <c r="GVS753" s="574"/>
      <c r="GVT753" s="574"/>
      <c r="GVU753" s="574"/>
      <c r="GVV753" s="574"/>
      <c r="GVW753" s="574"/>
      <c r="GVX753" s="574"/>
      <c r="GVY753" s="574"/>
      <c r="GVZ753" s="574"/>
      <c r="GWA753" s="574"/>
      <c r="GWB753" s="574"/>
      <c r="GWC753" s="574"/>
      <c r="GWD753" s="574"/>
      <c r="GWE753" s="574"/>
      <c r="GWF753" s="574"/>
      <c r="GWG753" s="574"/>
      <c r="GWH753" s="574"/>
      <c r="GWI753" s="574"/>
      <c r="GWJ753" s="574"/>
      <c r="GWK753" s="574"/>
      <c r="GWL753" s="574"/>
      <c r="GWM753" s="574"/>
      <c r="GWN753" s="574"/>
      <c r="GWO753" s="574"/>
      <c r="GWP753" s="574"/>
      <c r="GWQ753" s="574"/>
      <c r="GWR753" s="574"/>
      <c r="GWS753" s="574"/>
      <c r="GWT753" s="574"/>
      <c r="GWU753" s="574"/>
      <c r="GWV753" s="574"/>
      <c r="GWW753" s="574"/>
      <c r="GWX753" s="574"/>
      <c r="GWY753" s="574"/>
      <c r="GWZ753" s="574"/>
      <c r="GXA753" s="574"/>
      <c r="GXB753" s="574"/>
      <c r="GXC753" s="574"/>
      <c r="GXD753" s="574"/>
      <c r="GXE753" s="574"/>
      <c r="GXF753" s="574"/>
      <c r="GXG753" s="574"/>
      <c r="GXH753" s="574"/>
      <c r="GXI753" s="574"/>
      <c r="GXJ753" s="574"/>
      <c r="GXK753" s="574"/>
      <c r="GXL753" s="574"/>
      <c r="GXM753" s="574"/>
      <c r="GXN753" s="574"/>
      <c r="GXO753" s="574"/>
      <c r="GXP753" s="574"/>
      <c r="GXQ753" s="574"/>
      <c r="GXR753" s="574"/>
      <c r="GXS753" s="574"/>
      <c r="GXT753" s="574"/>
      <c r="GXU753" s="574"/>
      <c r="GXV753" s="574"/>
      <c r="GXW753" s="574"/>
      <c r="GXX753" s="574"/>
      <c r="GXY753" s="574"/>
      <c r="GXZ753" s="574"/>
      <c r="GYA753" s="574"/>
      <c r="GYB753" s="574"/>
      <c r="GYC753" s="574"/>
      <c r="GYD753" s="574"/>
      <c r="GYE753" s="574"/>
      <c r="GYF753" s="574"/>
      <c r="GYG753" s="574"/>
      <c r="GYH753" s="574"/>
      <c r="GYI753" s="574"/>
      <c r="GYJ753" s="574"/>
      <c r="GYK753" s="574"/>
      <c r="GYL753" s="574"/>
      <c r="GYM753" s="574"/>
      <c r="GYN753" s="574"/>
      <c r="GYO753" s="574"/>
      <c r="GYP753" s="574"/>
      <c r="GYQ753" s="574"/>
      <c r="GYR753" s="574"/>
      <c r="GYS753" s="574"/>
      <c r="GYT753" s="574"/>
      <c r="GYU753" s="574"/>
      <c r="GYV753" s="574"/>
      <c r="GYW753" s="574"/>
      <c r="GYX753" s="574"/>
      <c r="GYY753" s="574"/>
      <c r="GYZ753" s="574"/>
      <c r="GZA753" s="574"/>
      <c r="GZB753" s="574"/>
      <c r="GZC753" s="574"/>
      <c r="GZD753" s="574"/>
      <c r="GZE753" s="574"/>
      <c r="GZF753" s="574"/>
      <c r="GZG753" s="574"/>
      <c r="GZH753" s="574"/>
      <c r="GZI753" s="574"/>
      <c r="GZJ753" s="574"/>
      <c r="GZK753" s="574"/>
      <c r="GZL753" s="574"/>
      <c r="GZM753" s="574"/>
      <c r="GZN753" s="574"/>
      <c r="GZO753" s="574"/>
      <c r="GZP753" s="574"/>
      <c r="GZQ753" s="574"/>
      <c r="GZR753" s="574"/>
      <c r="GZS753" s="574"/>
      <c r="GZT753" s="574"/>
      <c r="GZU753" s="574"/>
      <c r="GZV753" s="574"/>
      <c r="GZW753" s="574"/>
      <c r="GZX753" s="574"/>
      <c r="GZY753" s="574"/>
      <c r="GZZ753" s="574"/>
      <c r="HAA753" s="574"/>
      <c r="HAB753" s="574"/>
      <c r="HAC753" s="574"/>
      <c r="HAD753" s="574"/>
      <c r="HAE753" s="574"/>
      <c r="HAF753" s="574"/>
      <c r="HAG753" s="574"/>
      <c r="HAH753" s="574"/>
      <c r="HAI753" s="574"/>
      <c r="HAJ753" s="574"/>
      <c r="HAK753" s="574"/>
      <c r="HAL753" s="574"/>
      <c r="HAM753" s="574"/>
      <c r="HAN753" s="574"/>
      <c r="HAO753" s="574"/>
      <c r="HAP753" s="574"/>
      <c r="HAQ753" s="574"/>
      <c r="HAR753" s="574"/>
      <c r="HAS753" s="574"/>
      <c r="HAT753" s="574"/>
      <c r="HAU753" s="574"/>
      <c r="HAV753" s="574"/>
      <c r="HAW753" s="574"/>
      <c r="HAX753" s="574"/>
      <c r="HAY753" s="574"/>
      <c r="HAZ753" s="574"/>
      <c r="HBA753" s="574"/>
      <c r="HBB753" s="574"/>
      <c r="HBC753" s="574"/>
      <c r="HBD753" s="574"/>
      <c r="HBE753" s="574"/>
      <c r="HBF753" s="574"/>
      <c r="HBG753" s="574"/>
      <c r="HBH753" s="574"/>
      <c r="HBI753" s="574"/>
      <c r="HBJ753" s="574"/>
      <c r="HBK753" s="574"/>
      <c r="HBL753" s="574"/>
      <c r="HBM753" s="574"/>
      <c r="HBN753" s="574"/>
      <c r="HBO753" s="574"/>
      <c r="HBP753" s="574"/>
      <c r="HBQ753" s="574"/>
      <c r="HBR753" s="574"/>
      <c r="HBS753" s="574"/>
      <c r="HBT753" s="574"/>
      <c r="HBU753" s="574"/>
      <c r="HBV753" s="574"/>
      <c r="HBW753" s="574"/>
      <c r="HBX753" s="574"/>
      <c r="HBY753" s="574"/>
      <c r="HBZ753" s="574"/>
      <c r="HCA753" s="574"/>
      <c r="HCB753" s="574"/>
      <c r="HCC753" s="574"/>
      <c r="HCD753" s="574"/>
      <c r="HCE753" s="574"/>
      <c r="HCF753" s="574"/>
      <c r="HCG753" s="574"/>
      <c r="HCH753" s="574"/>
      <c r="HCI753" s="574"/>
      <c r="HCJ753" s="574"/>
      <c r="HCK753" s="574"/>
      <c r="HCL753" s="574"/>
      <c r="HCM753" s="574"/>
      <c r="HCN753" s="574"/>
      <c r="HCO753" s="574"/>
      <c r="HCP753" s="574"/>
      <c r="HCQ753" s="574"/>
      <c r="HCR753" s="574"/>
      <c r="HCS753" s="574"/>
      <c r="HCT753" s="574"/>
      <c r="HCU753" s="574"/>
      <c r="HCV753" s="574"/>
      <c r="HCW753" s="574"/>
      <c r="HCX753" s="574"/>
      <c r="HCY753" s="574"/>
      <c r="HCZ753" s="574"/>
      <c r="HDA753" s="574"/>
      <c r="HDB753" s="574"/>
      <c r="HDC753" s="574"/>
      <c r="HDD753" s="574"/>
      <c r="HDE753" s="574"/>
      <c r="HDF753" s="574"/>
      <c r="HDG753" s="574"/>
      <c r="HDH753" s="574"/>
      <c r="HDI753" s="574"/>
      <c r="HDJ753" s="574"/>
      <c r="HDK753" s="574"/>
      <c r="HDL753" s="574"/>
      <c r="HDM753" s="574"/>
      <c r="HDN753" s="574"/>
      <c r="HDO753" s="574"/>
      <c r="HDP753" s="574"/>
      <c r="HDQ753" s="574"/>
      <c r="HDR753" s="574"/>
      <c r="HDS753" s="574"/>
      <c r="HDT753" s="574"/>
      <c r="HDU753" s="574"/>
      <c r="HDV753" s="574"/>
      <c r="HDW753" s="574"/>
      <c r="HDX753" s="574"/>
      <c r="HDY753" s="574"/>
      <c r="HDZ753" s="574"/>
      <c r="HEA753" s="574"/>
      <c r="HEB753" s="574"/>
      <c r="HEC753" s="574"/>
      <c r="HED753" s="574"/>
      <c r="HEE753" s="574"/>
      <c r="HEF753" s="574"/>
      <c r="HEG753" s="574"/>
      <c r="HEH753" s="574"/>
      <c r="HEI753" s="574"/>
      <c r="HEJ753" s="574"/>
      <c r="HEK753" s="574"/>
      <c r="HEL753" s="574"/>
      <c r="HEM753" s="574"/>
      <c r="HEN753" s="574"/>
      <c r="HEO753" s="574"/>
      <c r="HEP753" s="574"/>
      <c r="HEQ753" s="574"/>
      <c r="HER753" s="574"/>
      <c r="HES753" s="574"/>
      <c r="HET753" s="574"/>
      <c r="HEU753" s="574"/>
      <c r="HEV753" s="574"/>
      <c r="HEW753" s="574"/>
      <c r="HEX753" s="574"/>
      <c r="HEY753" s="574"/>
      <c r="HEZ753" s="574"/>
      <c r="HFA753" s="574"/>
      <c r="HFB753" s="574"/>
      <c r="HFC753" s="574"/>
      <c r="HFD753" s="574"/>
      <c r="HFE753" s="574"/>
      <c r="HFF753" s="574"/>
      <c r="HFG753" s="574"/>
      <c r="HFH753" s="574"/>
      <c r="HFI753" s="574"/>
      <c r="HFJ753" s="574"/>
      <c r="HFK753" s="574"/>
      <c r="HFL753" s="574"/>
      <c r="HFM753" s="574"/>
      <c r="HFN753" s="574"/>
      <c r="HFO753" s="574"/>
      <c r="HFP753" s="574"/>
      <c r="HFQ753" s="574"/>
      <c r="HFR753" s="574"/>
      <c r="HFS753" s="574"/>
      <c r="HFT753" s="574"/>
      <c r="HFU753" s="574"/>
      <c r="HFV753" s="574"/>
      <c r="HFW753" s="574"/>
      <c r="HFX753" s="574"/>
      <c r="HFY753" s="574"/>
      <c r="HFZ753" s="574"/>
      <c r="HGA753" s="574"/>
      <c r="HGB753" s="574"/>
      <c r="HGC753" s="574"/>
      <c r="HGD753" s="574"/>
      <c r="HGE753" s="574"/>
      <c r="HGF753" s="574"/>
      <c r="HGG753" s="574"/>
      <c r="HGH753" s="574"/>
      <c r="HGI753" s="574"/>
      <c r="HGJ753" s="574"/>
      <c r="HGK753" s="574"/>
      <c r="HGL753" s="574"/>
      <c r="HGM753" s="574"/>
      <c r="HGN753" s="574"/>
      <c r="HGO753" s="574"/>
      <c r="HGP753" s="574"/>
      <c r="HGQ753" s="574"/>
      <c r="HGR753" s="574"/>
      <c r="HGS753" s="574"/>
      <c r="HGT753" s="574"/>
      <c r="HGU753" s="574"/>
      <c r="HGV753" s="574"/>
      <c r="HGW753" s="574"/>
      <c r="HGX753" s="574"/>
      <c r="HGY753" s="574"/>
      <c r="HGZ753" s="574"/>
      <c r="HHA753" s="574"/>
      <c r="HHB753" s="574"/>
      <c r="HHC753" s="574"/>
      <c r="HHD753" s="574"/>
      <c r="HHE753" s="574"/>
      <c r="HHF753" s="574"/>
      <c r="HHG753" s="574"/>
      <c r="HHH753" s="574"/>
      <c r="HHI753" s="574"/>
      <c r="HHJ753" s="574"/>
      <c r="HHK753" s="574"/>
      <c r="HHL753" s="574"/>
      <c r="HHM753" s="574"/>
      <c r="HHN753" s="574"/>
      <c r="HHO753" s="574"/>
      <c r="HHP753" s="574"/>
      <c r="HHQ753" s="574"/>
      <c r="HHR753" s="574"/>
      <c r="HHS753" s="574"/>
      <c r="HHT753" s="574"/>
      <c r="HHU753" s="574"/>
      <c r="HHV753" s="574"/>
      <c r="HHW753" s="574"/>
      <c r="HHX753" s="574"/>
      <c r="HHY753" s="574"/>
      <c r="HHZ753" s="574"/>
      <c r="HIA753" s="574"/>
      <c r="HIB753" s="574"/>
      <c r="HIC753" s="574"/>
      <c r="HID753" s="574"/>
      <c r="HIE753" s="574"/>
      <c r="HIF753" s="574"/>
      <c r="HIG753" s="574"/>
      <c r="HIH753" s="574"/>
      <c r="HII753" s="574"/>
      <c r="HIJ753" s="574"/>
      <c r="HIK753" s="574"/>
      <c r="HIL753" s="574"/>
      <c r="HIM753" s="574"/>
      <c r="HIN753" s="574"/>
      <c r="HIO753" s="574"/>
      <c r="HIP753" s="574"/>
      <c r="HIQ753" s="574"/>
      <c r="HIR753" s="574"/>
      <c r="HIS753" s="574"/>
      <c r="HIT753" s="574"/>
      <c r="HIU753" s="574"/>
      <c r="HIV753" s="574"/>
      <c r="HIW753" s="574"/>
      <c r="HIX753" s="574"/>
      <c r="HIY753" s="574"/>
      <c r="HIZ753" s="574"/>
      <c r="HJA753" s="574"/>
      <c r="HJB753" s="574"/>
      <c r="HJC753" s="574"/>
      <c r="HJD753" s="574"/>
      <c r="HJE753" s="574"/>
      <c r="HJF753" s="574"/>
      <c r="HJG753" s="574"/>
      <c r="HJH753" s="574"/>
      <c r="HJI753" s="574"/>
      <c r="HJJ753" s="574"/>
      <c r="HJK753" s="574"/>
      <c r="HJL753" s="574"/>
      <c r="HJM753" s="574"/>
      <c r="HJN753" s="574"/>
      <c r="HJO753" s="574"/>
      <c r="HJP753" s="574"/>
      <c r="HJQ753" s="574"/>
      <c r="HJR753" s="574"/>
      <c r="HJS753" s="574"/>
      <c r="HJT753" s="574"/>
      <c r="HJU753" s="574"/>
      <c r="HJV753" s="574"/>
      <c r="HJW753" s="574"/>
      <c r="HJX753" s="574"/>
      <c r="HJY753" s="574"/>
      <c r="HJZ753" s="574"/>
      <c r="HKA753" s="574"/>
      <c r="HKB753" s="574"/>
      <c r="HKC753" s="574"/>
      <c r="HKD753" s="574"/>
      <c r="HKE753" s="574"/>
      <c r="HKF753" s="574"/>
      <c r="HKG753" s="574"/>
      <c r="HKH753" s="574"/>
      <c r="HKI753" s="574"/>
      <c r="HKJ753" s="574"/>
      <c r="HKK753" s="574"/>
      <c r="HKL753" s="574"/>
      <c r="HKM753" s="574"/>
      <c r="HKN753" s="574"/>
      <c r="HKO753" s="574"/>
      <c r="HKP753" s="574"/>
      <c r="HKQ753" s="574"/>
      <c r="HKR753" s="574"/>
      <c r="HKS753" s="574"/>
      <c r="HKT753" s="574"/>
      <c r="HKU753" s="574"/>
      <c r="HKV753" s="574"/>
      <c r="HKW753" s="574"/>
      <c r="HKX753" s="574"/>
      <c r="HKY753" s="574"/>
      <c r="HKZ753" s="574"/>
      <c r="HLA753" s="574"/>
      <c r="HLB753" s="574"/>
      <c r="HLC753" s="574"/>
      <c r="HLD753" s="574"/>
      <c r="HLE753" s="574"/>
      <c r="HLF753" s="574"/>
      <c r="HLG753" s="574"/>
      <c r="HLH753" s="574"/>
      <c r="HLI753" s="574"/>
      <c r="HLJ753" s="574"/>
      <c r="HLK753" s="574"/>
      <c r="HLL753" s="574"/>
      <c r="HLM753" s="574"/>
      <c r="HLN753" s="574"/>
      <c r="HLO753" s="574"/>
      <c r="HLP753" s="574"/>
      <c r="HLQ753" s="574"/>
      <c r="HLR753" s="574"/>
      <c r="HLS753" s="574"/>
      <c r="HLT753" s="574"/>
      <c r="HLU753" s="574"/>
      <c r="HLV753" s="574"/>
      <c r="HLW753" s="574"/>
      <c r="HLX753" s="574"/>
      <c r="HLY753" s="574"/>
      <c r="HLZ753" s="574"/>
      <c r="HMA753" s="574"/>
      <c r="HMB753" s="574"/>
      <c r="HMC753" s="574"/>
      <c r="HMD753" s="574"/>
      <c r="HME753" s="574"/>
      <c r="HMF753" s="574"/>
      <c r="HMG753" s="574"/>
      <c r="HMH753" s="574"/>
      <c r="HMI753" s="574"/>
      <c r="HMJ753" s="574"/>
      <c r="HMK753" s="574"/>
      <c r="HML753" s="574"/>
      <c r="HMM753" s="574"/>
      <c r="HMN753" s="574"/>
      <c r="HMO753" s="574"/>
      <c r="HMP753" s="574"/>
      <c r="HMQ753" s="574"/>
      <c r="HMR753" s="574"/>
      <c r="HMS753" s="574"/>
      <c r="HMT753" s="574"/>
      <c r="HMU753" s="574"/>
      <c r="HMV753" s="574"/>
      <c r="HMW753" s="574"/>
      <c r="HMX753" s="574"/>
      <c r="HMY753" s="574"/>
      <c r="HMZ753" s="574"/>
      <c r="HNA753" s="574"/>
      <c r="HNB753" s="574"/>
      <c r="HNC753" s="574"/>
      <c r="HND753" s="574"/>
      <c r="HNE753" s="574"/>
      <c r="HNF753" s="574"/>
      <c r="HNG753" s="574"/>
      <c r="HNH753" s="574"/>
      <c r="HNI753" s="574"/>
      <c r="HNJ753" s="574"/>
      <c r="HNK753" s="574"/>
      <c r="HNL753" s="574"/>
      <c r="HNM753" s="574"/>
      <c r="HNN753" s="574"/>
      <c r="HNO753" s="574"/>
      <c r="HNP753" s="574"/>
      <c r="HNQ753" s="574"/>
      <c r="HNR753" s="574"/>
      <c r="HNS753" s="574"/>
      <c r="HNT753" s="574"/>
      <c r="HNU753" s="574"/>
      <c r="HNV753" s="574"/>
      <c r="HNW753" s="574"/>
      <c r="HNX753" s="574"/>
      <c r="HNY753" s="574"/>
      <c r="HNZ753" s="574"/>
      <c r="HOA753" s="574"/>
      <c r="HOB753" s="574"/>
      <c r="HOC753" s="574"/>
      <c r="HOD753" s="574"/>
      <c r="HOE753" s="574"/>
      <c r="HOF753" s="574"/>
      <c r="HOG753" s="574"/>
      <c r="HOH753" s="574"/>
      <c r="HOI753" s="574"/>
      <c r="HOJ753" s="574"/>
      <c r="HOK753" s="574"/>
      <c r="HOL753" s="574"/>
      <c r="HOM753" s="574"/>
      <c r="HON753" s="574"/>
      <c r="HOO753" s="574"/>
      <c r="HOP753" s="574"/>
      <c r="HOQ753" s="574"/>
      <c r="HOR753" s="574"/>
      <c r="HOS753" s="574"/>
      <c r="HOT753" s="574"/>
      <c r="HOU753" s="574"/>
      <c r="HOV753" s="574"/>
      <c r="HOW753" s="574"/>
      <c r="HOX753" s="574"/>
      <c r="HOY753" s="574"/>
      <c r="HOZ753" s="574"/>
      <c r="HPA753" s="574"/>
      <c r="HPB753" s="574"/>
      <c r="HPC753" s="574"/>
      <c r="HPD753" s="574"/>
      <c r="HPE753" s="574"/>
      <c r="HPF753" s="574"/>
      <c r="HPG753" s="574"/>
      <c r="HPH753" s="574"/>
      <c r="HPI753" s="574"/>
      <c r="HPJ753" s="574"/>
      <c r="HPK753" s="574"/>
      <c r="HPL753" s="574"/>
      <c r="HPM753" s="574"/>
      <c r="HPN753" s="574"/>
      <c r="HPO753" s="574"/>
      <c r="HPP753" s="574"/>
      <c r="HPQ753" s="574"/>
      <c r="HPR753" s="574"/>
      <c r="HPS753" s="574"/>
      <c r="HPT753" s="574"/>
      <c r="HPU753" s="574"/>
      <c r="HPV753" s="574"/>
      <c r="HPW753" s="574"/>
      <c r="HPX753" s="574"/>
      <c r="HPY753" s="574"/>
      <c r="HPZ753" s="574"/>
      <c r="HQA753" s="574"/>
      <c r="HQB753" s="574"/>
      <c r="HQC753" s="574"/>
      <c r="HQD753" s="574"/>
      <c r="HQE753" s="574"/>
      <c r="HQF753" s="574"/>
      <c r="HQG753" s="574"/>
      <c r="HQH753" s="574"/>
      <c r="HQI753" s="574"/>
      <c r="HQJ753" s="574"/>
      <c r="HQK753" s="574"/>
      <c r="HQL753" s="574"/>
      <c r="HQM753" s="574"/>
      <c r="HQN753" s="574"/>
      <c r="HQO753" s="574"/>
      <c r="HQP753" s="574"/>
      <c r="HQQ753" s="574"/>
      <c r="HQR753" s="574"/>
      <c r="HQS753" s="574"/>
      <c r="HQT753" s="574"/>
      <c r="HQU753" s="574"/>
      <c r="HQV753" s="574"/>
      <c r="HQW753" s="574"/>
      <c r="HQX753" s="574"/>
      <c r="HQY753" s="574"/>
      <c r="HQZ753" s="574"/>
      <c r="HRA753" s="574"/>
      <c r="HRB753" s="574"/>
      <c r="HRC753" s="574"/>
      <c r="HRD753" s="574"/>
      <c r="HRE753" s="574"/>
      <c r="HRF753" s="574"/>
      <c r="HRG753" s="574"/>
      <c r="HRH753" s="574"/>
      <c r="HRI753" s="574"/>
      <c r="HRJ753" s="574"/>
      <c r="HRK753" s="574"/>
      <c r="HRL753" s="574"/>
      <c r="HRM753" s="574"/>
      <c r="HRN753" s="574"/>
      <c r="HRO753" s="574"/>
      <c r="HRP753" s="574"/>
      <c r="HRQ753" s="574"/>
      <c r="HRR753" s="574"/>
      <c r="HRS753" s="574"/>
      <c r="HRT753" s="574"/>
      <c r="HRU753" s="574"/>
      <c r="HRV753" s="574"/>
      <c r="HRW753" s="574"/>
      <c r="HRX753" s="574"/>
      <c r="HRY753" s="574"/>
      <c r="HRZ753" s="574"/>
      <c r="HSA753" s="574"/>
      <c r="HSB753" s="574"/>
      <c r="HSC753" s="574"/>
      <c r="HSD753" s="574"/>
      <c r="HSE753" s="574"/>
      <c r="HSF753" s="574"/>
      <c r="HSG753" s="574"/>
      <c r="HSH753" s="574"/>
      <c r="HSI753" s="574"/>
      <c r="HSJ753" s="574"/>
      <c r="HSK753" s="574"/>
      <c r="HSL753" s="574"/>
      <c r="HSM753" s="574"/>
      <c r="HSN753" s="574"/>
      <c r="HSO753" s="574"/>
      <c r="HSP753" s="574"/>
      <c r="HSQ753" s="574"/>
      <c r="HSR753" s="574"/>
      <c r="HSS753" s="574"/>
      <c r="HST753" s="574"/>
      <c r="HSU753" s="574"/>
      <c r="HSV753" s="574"/>
      <c r="HSW753" s="574"/>
      <c r="HSX753" s="574"/>
      <c r="HSY753" s="574"/>
      <c r="HSZ753" s="574"/>
      <c r="HTA753" s="574"/>
      <c r="HTB753" s="574"/>
      <c r="HTC753" s="574"/>
      <c r="HTD753" s="574"/>
      <c r="HTE753" s="574"/>
      <c r="HTF753" s="574"/>
      <c r="HTG753" s="574"/>
      <c r="HTH753" s="574"/>
      <c r="HTI753" s="574"/>
      <c r="HTJ753" s="574"/>
      <c r="HTK753" s="574"/>
      <c r="HTL753" s="574"/>
      <c r="HTM753" s="574"/>
      <c r="HTN753" s="574"/>
      <c r="HTO753" s="574"/>
      <c r="HTP753" s="574"/>
      <c r="HTQ753" s="574"/>
      <c r="HTR753" s="574"/>
      <c r="HTS753" s="574"/>
      <c r="HTT753" s="574"/>
      <c r="HTU753" s="574"/>
      <c r="HTV753" s="574"/>
      <c r="HTW753" s="574"/>
      <c r="HTX753" s="574"/>
      <c r="HTY753" s="574"/>
      <c r="HTZ753" s="574"/>
      <c r="HUA753" s="574"/>
      <c r="HUB753" s="574"/>
      <c r="HUC753" s="574"/>
      <c r="HUD753" s="574"/>
      <c r="HUE753" s="574"/>
      <c r="HUF753" s="574"/>
      <c r="HUG753" s="574"/>
      <c r="HUH753" s="574"/>
      <c r="HUI753" s="574"/>
      <c r="HUJ753" s="574"/>
      <c r="HUK753" s="574"/>
      <c r="HUL753" s="574"/>
      <c r="HUM753" s="574"/>
      <c r="HUN753" s="574"/>
      <c r="HUO753" s="574"/>
      <c r="HUP753" s="574"/>
      <c r="HUQ753" s="574"/>
      <c r="HUR753" s="574"/>
      <c r="HUS753" s="574"/>
      <c r="HUT753" s="574"/>
      <c r="HUU753" s="574"/>
      <c r="HUV753" s="574"/>
      <c r="HUW753" s="574"/>
      <c r="HUX753" s="574"/>
      <c r="HUY753" s="574"/>
      <c r="HUZ753" s="574"/>
      <c r="HVA753" s="574"/>
      <c r="HVB753" s="574"/>
      <c r="HVC753" s="574"/>
      <c r="HVD753" s="574"/>
      <c r="HVE753" s="574"/>
      <c r="HVF753" s="574"/>
      <c r="HVG753" s="574"/>
      <c r="HVH753" s="574"/>
      <c r="HVI753" s="574"/>
      <c r="HVJ753" s="574"/>
      <c r="HVK753" s="574"/>
      <c r="HVL753" s="574"/>
      <c r="HVM753" s="574"/>
      <c r="HVN753" s="574"/>
      <c r="HVO753" s="574"/>
      <c r="HVP753" s="574"/>
      <c r="HVQ753" s="574"/>
      <c r="HVR753" s="574"/>
      <c r="HVS753" s="574"/>
      <c r="HVT753" s="574"/>
      <c r="HVU753" s="574"/>
      <c r="HVV753" s="574"/>
      <c r="HVW753" s="574"/>
      <c r="HVX753" s="574"/>
      <c r="HVY753" s="574"/>
      <c r="HVZ753" s="574"/>
      <c r="HWA753" s="574"/>
      <c r="HWB753" s="574"/>
      <c r="HWC753" s="574"/>
      <c r="HWD753" s="574"/>
      <c r="HWE753" s="574"/>
      <c r="HWF753" s="574"/>
      <c r="HWG753" s="574"/>
      <c r="HWH753" s="574"/>
      <c r="HWI753" s="574"/>
      <c r="HWJ753" s="574"/>
      <c r="HWK753" s="574"/>
      <c r="HWL753" s="574"/>
      <c r="HWM753" s="574"/>
      <c r="HWN753" s="574"/>
      <c r="HWO753" s="574"/>
      <c r="HWP753" s="574"/>
      <c r="HWQ753" s="574"/>
      <c r="HWR753" s="574"/>
      <c r="HWS753" s="574"/>
      <c r="HWT753" s="574"/>
      <c r="HWU753" s="574"/>
      <c r="HWV753" s="574"/>
      <c r="HWW753" s="574"/>
      <c r="HWX753" s="574"/>
      <c r="HWY753" s="574"/>
      <c r="HWZ753" s="574"/>
      <c r="HXA753" s="574"/>
      <c r="HXB753" s="574"/>
      <c r="HXC753" s="574"/>
      <c r="HXD753" s="574"/>
      <c r="HXE753" s="574"/>
      <c r="HXF753" s="574"/>
      <c r="HXG753" s="574"/>
      <c r="HXH753" s="574"/>
      <c r="HXI753" s="574"/>
      <c r="HXJ753" s="574"/>
      <c r="HXK753" s="574"/>
      <c r="HXL753" s="574"/>
      <c r="HXM753" s="574"/>
      <c r="HXN753" s="574"/>
      <c r="HXO753" s="574"/>
      <c r="HXP753" s="574"/>
      <c r="HXQ753" s="574"/>
      <c r="HXR753" s="574"/>
      <c r="HXS753" s="574"/>
      <c r="HXT753" s="574"/>
      <c r="HXU753" s="574"/>
      <c r="HXV753" s="574"/>
      <c r="HXW753" s="574"/>
      <c r="HXX753" s="574"/>
      <c r="HXY753" s="574"/>
      <c r="HXZ753" s="574"/>
      <c r="HYA753" s="574"/>
      <c r="HYB753" s="574"/>
      <c r="HYC753" s="574"/>
      <c r="HYD753" s="574"/>
      <c r="HYE753" s="574"/>
      <c r="HYF753" s="574"/>
      <c r="HYG753" s="574"/>
      <c r="HYH753" s="574"/>
      <c r="HYI753" s="574"/>
      <c r="HYJ753" s="574"/>
      <c r="HYK753" s="574"/>
      <c r="HYL753" s="574"/>
      <c r="HYM753" s="574"/>
      <c r="HYN753" s="574"/>
      <c r="HYO753" s="574"/>
      <c r="HYP753" s="574"/>
      <c r="HYQ753" s="574"/>
      <c r="HYR753" s="574"/>
      <c r="HYS753" s="574"/>
      <c r="HYT753" s="574"/>
      <c r="HYU753" s="574"/>
      <c r="HYV753" s="574"/>
      <c r="HYW753" s="574"/>
      <c r="HYX753" s="574"/>
      <c r="HYY753" s="574"/>
      <c r="HYZ753" s="574"/>
      <c r="HZA753" s="574"/>
      <c r="HZB753" s="574"/>
      <c r="HZC753" s="574"/>
      <c r="HZD753" s="574"/>
      <c r="HZE753" s="574"/>
      <c r="HZF753" s="574"/>
      <c r="HZG753" s="574"/>
      <c r="HZH753" s="574"/>
      <c r="HZI753" s="574"/>
      <c r="HZJ753" s="574"/>
      <c r="HZK753" s="574"/>
      <c r="HZL753" s="574"/>
      <c r="HZM753" s="574"/>
      <c r="HZN753" s="574"/>
      <c r="HZO753" s="574"/>
      <c r="HZP753" s="574"/>
      <c r="HZQ753" s="574"/>
      <c r="HZR753" s="574"/>
      <c r="HZS753" s="574"/>
      <c r="HZT753" s="574"/>
      <c r="HZU753" s="574"/>
      <c r="HZV753" s="574"/>
      <c r="HZW753" s="574"/>
      <c r="HZX753" s="574"/>
      <c r="HZY753" s="574"/>
      <c r="HZZ753" s="574"/>
      <c r="IAA753" s="574"/>
      <c r="IAB753" s="574"/>
      <c r="IAC753" s="574"/>
      <c r="IAD753" s="574"/>
      <c r="IAE753" s="574"/>
      <c r="IAF753" s="574"/>
      <c r="IAG753" s="574"/>
      <c r="IAH753" s="574"/>
      <c r="IAI753" s="574"/>
      <c r="IAJ753" s="574"/>
      <c r="IAK753" s="574"/>
      <c r="IAL753" s="574"/>
      <c r="IAM753" s="574"/>
      <c r="IAN753" s="574"/>
      <c r="IAO753" s="574"/>
      <c r="IAP753" s="574"/>
      <c r="IAQ753" s="574"/>
      <c r="IAR753" s="574"/>
      <c r="IAS753" s="574"/>
      <c r="IAT753" s="574"/>
      <c r="IAU753" s="574"/>
      <c r="IAV753" s="574"/>
      <c r="IAW753" s="574"/>
      <c r="IAX753" s="574"/>
      <c r="IAY753" s="574"/>
      <c r="IAZ753" s="574"/>
      <c r="IBA753" s="574"/>
      <c r="IBB753" s="574"/>
      <c r="IBC753" s="574"/>
      <c r="IBD753" s="574"/>
      <c r="IBE753" s="574"/>
      <c r="IBF753" s="574"/>
      <c r="IBG753" s="574"/>
      <c r="IBH753" s="574"/>
      <c r="IBI753" s="574"/>
      <c r="IBJ753" s="574"/>
      <c r="IBK753" s="574"/>
      <c r="IBL753" s="574"/>
      <c r="IBM753" s="574"/>
      <c r="IBN753" s="574"/>
      <c r="IBO753" s="574"/>
      <c r="IBP753" s="574"/>
      <c r="IBQ753" s="574"/>
      <c r="IBR753" s="574"/>
      <c r="IBS753" s="574"/>
      <c r="IBT753" s="574"/>
      <c r="IBU753" s="574"/>
      <c r="IBV753" s="574"/>
      <c r="IBW753" s="574"/>
      <c r="IBX753" s="574"/>
      <c r="IBY753" s="574"/>
      <c r="IBZ753" s="574"/>
      <c r="ICA753" s="574"/>
      <c r="ICB753" s="574"/>
      <c r="ICC753" s="574"/>
      <c r="ICD753" s="574"/>
      <c r="ICE753" s="574"/>
      <c r="ICF753" s="574"/>
      <c r="ICG753" s="574"/>
      <c r="ICH753" s="574"/>
      <c r="ICI753" s="574"/>
      <c r="ICJ753" s="574"/>
      <c r="ICK753" s="574"/>
      <c r="ICL753" s="574"/>
      <c r="ICM753" s="574"/>
      <c r="ICN753" s="574"/>
      <c r="ICO753" s="574"/>
      <c r="ICP753" s="574"/>
      <c r="ICQ753" s="574"/>
      <c r="ICR753" s="574"/>
      <c r="ICS753" s="574"/>
      <c r="ICT753" s="574"/>
      <c r="ICU753" s="574"/>
      <c r="ICV753" s="574"/>
      <c r="ICW753" s="574"/>
      <c r="ICX753" s="574"/>
      <c r="ICY753" s="574"/>
      <c r="ICZ753" s="574"/>
      <c r="IDA753" s="574"/>
      <c r="IDB753" s="574"/>
      <c r="IDC753" s="574"/>
      <c r="IDD753" s="574"/>
      <c r="IDE753" s="574"/>
      <c r="IDF753" s="574"/>
      <c r="IDG753" s="574"/>
      <c r="IDH753" s="574"/>
      <c r="IDI753" s="574"/>
      <c r="IDJ753" s="574"/>
      <c r="IDK753" s="574"/>
      <c r="IDL753" s="574"/>
      <c r="IDM753" s="574"/>
      <c r="IDN753" s="574"/>
      <c r="IDO753" s="574"/>
      <c r="IDP753" s="574"/>
      <c r="IDQ753" s="574"/>
      <c r="IDR753" s="574"/>
      <c r="IDS753" s="574"/>
      <c r="IDT753" s="574"/>
      <c r="IDU753" s="574"/>
      <c r="IDV753" s="574"/>
      <c r="IDW753" s="574"/>
      <c r="IDX753" s="574"/>
      <c r="IDY753" s="574"/>
      <c r="IDZ753" s="574"/>
      <c r="IEA753" s="574"/>
      <c r="IEB753" s="574"/>
      <c r="IEC753" s="574"/>
      <c r="IED753" s="574"/>
      <c r="IEE753" s="574"/>
      <c r="IEF753" s="574"/>
      <c r="IEG753" s="574"/>
      <c r="IEH753" s="574"/>
      <c r="IEI753" s="574"/>
      <c r="IEJ753" s="574"/>
      <c r="IEK753" s="574"/>
      <c r="IEL753" s="574"/>
      <c r="IEM753" s="574"/>
      <c r="IEN753" s="574"/>
      <c r="IEO753" s="574"/>
      <c r="IEP753" s="574"/>
      <c r="IEQ753" s="574"/>
      <c r="IER753" s="574"/>
      <c r="IES753" s="574"/>
      <c r="IET753" s="574"/>
      <c r="IEU753" s="574"/>
      <c r="IEV753" s="574"/>
      <c r="IEW753" s="574"/>
      <c r="IEX753" s="574"/>
      <c r="IEY753" s="574"/>
      <c r="IEZ753" s="574"/>
      <c r="IFA753" s="574"/>
      <c r="IFB753" s="574"/>
      <c r="IFC753" s="574"/>
      <c r="IFD753" s="574"/>
      <c r="IFE753" s="574"/>
      <c r="IFF753" s="574"/>
      <c r="IFG753" s="574"/>
      <c r="IFH753" s="574"/>
      <c r="IFI753" s="574"/>
      <c r="IFJ753" s="574"/>
      <c r="IFK753" s="574"/>
      <c r="IFL753" s="574"/>
      <c r="IFM753" s="574"/>
      <c r="IFN753" s="574"/>
      <c r="IFO753" s="574"/>
      <c r="IFP753" s="574"/>
      <c r="IFQ753" s="574"/>
      <c r="IFR753" s="574"/>
      <c r="IFS753" s="574"/>
      <c r="IFT753" s="574"/>
      <c r="IFU753" s="574"/>
      <c r="IFV753" s="574"/>
      <c r="IFW753" s="574"/>
      <c r="IFX753" s="574"/>
      <c r="IFY753" s="574"/>
      <c r="IFZ753" s="574"/>
      <c r="IGA753" s="574"/>
      <c r="IGB753" s="574"/>
      <c r="IGC753" s="574"/>
      <c r="IGD753" s="574"/>
      <c r="IGE753" s="574"/>
      <c r="IGF753" s="574"/>
      <c r="IGG753" s="574"/>
      <c r="IGH753" s="574"/>
      <c r="IGI753" s="574"/>
      <c r="IGJ753" s="574"/>
      <c r="IGK753" s="574"/>
      <c r="IGL753" s="574"/>
      <c r="IGM753" s="574"/>
      <c r="IGN753" s="574"/>
      <c r="IGO753" s="574"/>
      <c r="IGP753" s="574"/>
      <c r="IGQ753" s="574"/>
      <c r="IGR753" s="574"/>
      <c r="IGS753" s="574"/>
      <c r="IGT753" s="574"/>
      <c r="IGU753" s="574"/>
      <c r="IGV753" s="574"/>
      <c r="IGW753" s="574"/>
      <c r="IGX753" s="574"/>
      <c r="IGY753" s="574"/>
      <c r="IGZ753" s="574"/>
      <c r="IHA753" s="574"/>
      <c r="IHB753" s="574"/>
      <c r="IHC753" s="574"/>
      <c r="IHD753" s="574"/>
      <c r="IHE753" s="574"/>
      <c r="IHF753" s="574"/>
      <c r="IHG753" s="574"/>
      <c r="IHH753" s="574"/>
      <c r="IHI753" s="574"/>
      <c r="IHJ753" s="574"/>
      <c r="IHK753" s="574"/>
      <c r="IHL753" s="574"/>
      <c r="IHM753" s="574"/>
      <c r="IHN753" s="574"/>
      <c r="IHO753" s="574"/>
      <c r="IHP753" s="574"/>
      <c r="IHQ753" s="574"/>
      <c r="IHR753" s="574"/>
      <c r="IHS753" s="574"/>
      <c r="IHT753" s="574"/>
      <c r="IHU753" s="574"/>
      <c r="IHV753" s="574"/>
      <c r="IHW753" s="574"/>
      <c r="IHX753" s="574"/>
      <c r="IHY753" s="574"/>
      <c r="IHZ753" s="574"/>
      <c r="IIA753" s="574"/>
      <c r="IIB753" s="574"/>
      <c r="IIC753" s="574"/>
      <c r="IID753" s="574"/>
      <c r="IIE753" s="574"/>
      <c r="IIF753" s="574"/>
      <c r="IIG753" s="574"/>
      <c r="IIH753" s="574"/>
      <c r="III753" s="574"/>
      <c r="IIJ753" s="574"/>
      <c r="IIK753" s="574"/>
      <c r="IIL753" s="574"/>
      <c r="IIM753" s="574"/>
      <c r="IIN753" s="574"/>
      <c r="IIO753" s="574"/>
      <c r="IIP753" s="574"/>
      <c r="IIQ753" s="574"/>
      <c r="IIR753" s="574"/>
      <c r="IIS753" s="574"/>
      <c r="IIT753" s="574"/>
      <c r="IIU753" s="574"/>
      <c r="IIV753" s="574"/>
      <c r="IIW753" s="574"/>
      <c r="IIX753" s="574"/>
      <c r="IIY753" s="574"/>
      <c r="IIZ753" s="574"/>
      <c r="IJA753" s="574"/>
      <c r="IJB753" s="574"/>
      <c r="IJC753" s="574"/>
      <c r="IJD753" s="574"/>
      <c r="IJE753" s="574"/>
      <c r="IJF753" s="574"/>
      <c r="IJG753" s="574"/>
      <c r="IJH753" s="574"/>
      <c r="IJI753" s="574"/>
      <c r="IJJ753" s="574"/>
      <c r="IJK753" s="574"/>
      <c r="IJL753" s="574"/>
      <c r="IJM753" s="574"/>
      <c r="IJN753" s="574"/>
      <c r="IJO753" s="574"/>
      <c r="IJP753" s="574"/>
      <c r="IJQ753" s="574"/>
      <c r="IJR753" s="574"/>
      <c r="IJS753" s="574"/>
      <c r="IJT753" s="574"/>
      <c r="IJU753" s="574"/>
      <c r="IJV753" s="574"/>
      <c r="IJW753" s="574"/>
      <c r="IJX753" s="574"/>
      <c r="IJY753" s="574"/>
      <c r="IJZ753" s="574"/>
      <c r="IKA753" s="574"/>
      <c r="IKB753" s="574"/>
      <c r="IKC753" s="574"/>
      <c r="IKD753" s="574"/>
      <c r="IKE753" s="574"/>
      <c r="IKF753" s="574"/>
      <c r="IKG753" s="574"/>
      <c r="IKH753" s="574"/>
      <c r="IKI753" s="574"/>
      <c r="IKJ753" s="574"/>
      <c r="IKK753" s="574"/>
      <c r="IKL753" s="574"/>
      <c r="IKM753" s="574"/>
      <c r="IKN753" s="574"/>
      <c r="IKO753" s="574"/>
      <c r="IKP753" s="574"/>
      <c r="IKQ753" s="574"/>
      <c r="IKR753" s="574"/>
      <c r="IKS753" s="574"/>
      <c r="IKT753" s="574"/>
      <c r="IKU753" s="574"/>
      <c r="IKV753" s="574"/>
      <c r="IKW753" s="574"/>
      <c r="IKX753" s="574"/>
      <c r="IKY753" s="574"/>
      <c r="IKZ753" s="574"/>
      <c r="ILA753" s="574"/>
      <c r="ILB753" s="574"/>
      <c r="ILC753" s="574"/>
      <c r="ILD753" s="574"/>
      <c r="ILE753" s="574"/>
      <c r="ILF753" s="574"/>
      <c r="ILG753" s="574"/>
      <c r="ILH753" s="574"/>
      <c r="ILI753" s="574"/>
      <c r="ILJ753" s="574"/>
      <c r="ILK753" s="574"/>
      <c r="ILL753" s="574"/>
      <c r="ILM753" s="574"/>
      <c r="ILN753" s="574"/>
      <c r="ILO753" s="574"/>
      <c r="ILP753" s="574"/>
      <c r="ILQ753" s="574"/>
      <c r="ILR753" s="574"/>
      <c r="ILS753" s="574"/>
      <c r="ILT753" s="574"/>
      <c r="ILU753" s="574"/>
      <c r="ILV753" s="574"/>
      <c r="ILW753" s="574"/>
      <c r="ILX753" s="574"/>
      <c r="ILY753" s="574"/>
      <c r="ILZ753" s="574"/>
      <c r="IMA753" s="574"/>
      <c r="IMB753" s="574"/>
      <c r="IMC753" s="574"/>
      <c r="IMD753" s="574"/>
      <c r="IME753" s="574"/>
      <c r="IMF753" s="574"/>
      <c r="IMG753" s="574"/>
      <c r="IMH753" s="574"/>
      <c r="IMI753" s="574"/>
      <c r="IMJ753" s="574"/>
      <c r="IMK753" s="574"/>
      <c r="IML753" s="574"/>
      <c r="IMM753" s="574"/>
      <c r="IMN753" s="574"/>
      <c r="IMO753" s="574"/>
      <c r="IMP753" s="574"/>
      <c r="IMQ753" s="574"/>
      <c r="IMR753" s="574"/>
      <c r="IMS753" s="574"/>
      <c r="IMT753" s="574"/>
      <c r="IMU753" s="574"/>
      <c r="IMV753" s="574"/>
      <c r="IMW753" s="574"/>
      <c r="IMX753" s="574"/>
      <c r="IMY753" s="574"/>
      <c r="IMZ753" s="574"/>
      <c r="INA753" s="574"/>
      <c r="INB753" s="574"/>
      <c r="INC753" s="574"/>
      <c r="IND753" s="574"/>
      <c r="INE753" s="574"/>
      <c r="INF753" s="574"/>
      <c r="ING753" s="574"/>
      <c r="INH753" s="574"/>
      <c r="INI753" s="574"/>
      <c r="INJ753" s="574"/>
      <c r="INK753" s="574"/>
      <c r="INL753" s="574"/>
      <c r="INM753" s="574"/>
      <c r="INN753" s="574"/>
      <c r="INO753" s="574"/>
      <c r="INP753" s="574"/>
      <c r="INQ753" s="574"/>
      <c r="INR753" s="574"/>
      <c r="INS753" s="574"/>
      <c r="INT753" s="574"/>
      <c r="INU753" s="574"/>
      <c r="INV753" s="574"/>
      <c r="INW753" s="574"/>
      <c r="INX753" s="574"/>
      <c r="INY753" s="574"/>
      <c r="INZ753" s="574"/>
      <c r="IOA753" s="574"/>
      <c r="IOB753" s="574"/>
      <c r="IOC753" s="574"/>
      <c r="IOD753" s="574"/>
      <c r="IOE753" s="574"/>
      <c r="IOF753" s="574"/>
      <c r="IOG753" s="574"/>
      <c r="IOH753" s="574"/>
      <c r="IOI753" s="574"/>
      <c r="IOJ753" s="574"/>
      <c r="IOK753" s="574"/>
      <c r="IOL753" s="574"/>
      <c r="IOM753" s="574"/>
      <c r="ION753" s="574"/>
      <c r="IOO753" s="574"/>
      <c r="IOP753" s="574"/>
      <c r="IOQ753" s="574"/>
      <c r="IOR753" s="574"/>
      <c r="IOS753" s="574"/>
      <c r="IOT753" s="574"/>
      <c r="IOU753" s="574"/>
      <c r="IOV753" s="574"/>
      <c r="IOW753" s="574"/>
      <c r="IOX753" s="574"/>
      <c r="IOY753" s="574"/>
      <c r="IOZ753" s="574"/>
      <c r="IPA753" s="574"/>
      <c r="IPB753" s="574"/>
      <c r="IPC753" s="574"/>
      <c r="IPD753" s="574"/>
      <c r="IPE753" s="574"/>
      <c r="IPF753" s="574"/>
      <c r="IPG753" s="574"/>
      <c r="IPH753" s="574"/>
      <c r="IPI753" s="574"/>
      <c r="IPJ753" s="574"/>
      <c r="IPK753" s="574"/>
      <c r="IPL753" s="574"/>
      <c r="IPM753" s="574"/>
      <c r="IPN753" s="574"/>
      <c r="IPO753" s="574"/>
      <c r="IPP753" s="574"/>
      <c r="IPQ753" s="574"/>
      <c r="IPR753" s="574"/>
      <c r="IPS753" s="574"/>
      <c r="IPT753" s="574"/>
      <c r="IPU753" s="574"/>
      <c r="IPV753" s="574"/>
      <c r="IPW753" s="574"/>
      <c r="IPX753" s="574"/>
      <c r="IPY753" s="574"/>
      <c r="IPZ753" s="574"/>
      <c r="IQA753" s="574"/>
      <c r="IQB753" s="574"/>
      <c r="IQC753" s="574"/>
      <c r="IQD753" s="574"/>
      <c r="IQE753" s="574"/>
      <c r="IQF753" s="574"/>
      <c r="IQG753" s="574"/>
      <c r="IQH753" s="574"/>
      <c r="IQI753" s="574"/>
      <c r="IQJ753" s="574"/>
      <c r="IQK753" s="574"/>
      <c r="IQL753" s="574"/>
      <c r="IQM753" s="574"/>
      <c r="IQN753" s="574"/>
      <c r="IQO753" s="574"/>
      <c r="IQP753" s="574"/>
      <c r="IQQ753" s="574"/>
      <c r="IQR753" s="574"/>
      <c r="IQS753" s="574"/>
      <c r="IQT753" s="574"/>
      <c r="IQU753" s="574"/>
      <c r="IQV753" s="574"/>
      <c r="IQW753" s="574"/>
      <c r="IQX753" s="574"/>
      <c r="IQY753" s="574"/>
      <c r="IQZ753" s="574"/>
      <c r="IRA753" s="574"/>
      <c r="IRB753" s="574"/>
      <c r="IRC753" s="574"/>
      <c r="IRD753" s="574"/>
      <c r="IRE753" s="574"/>
      <c r="IRF753" s="574"/>
      <c r="IRG753" s="574"/>
      <c r="IRH753" s="574"/>
      <c r="IRI753" s="574"/>
      <c r="IRJ753" s="574"/>
      <c r="IRK753" s="574"/>
      <c r="IRL753" s="574"/>
      <c r="IRM753" s="574"/>
      <c r="IRN753" s="574"/>
      <c r="IRO753" s="574"/>
      <c r="IRP753" s="574"/>
      <c r="IRQ753" s="574"/>
      <c r="IRR753" s="574"/>
      <c r="IRS753" s="574"/>
      <c r="IRT753" s="574"/>
      <c r="IRU753" s="574"/>
      <c r="IRV753" s="574"/>
      <c r="IRW753" s="574"/>
      <c r="IRX753" s="574"/>
      <c r="IRY753" s="574"/>
      <c r="IRZ753" s="574"/>
      <c r="ISA753" s="574"/>
      <c r="ISB753" s="574"/>
      <c r="ISC753" s="574"/>
      <c r="ISD753" s="574"/>
      <c r="ISE753" s="574"/>
      <c r="ISF753" s="574"/>
      <c r="ISG753" s="574"/>
      <c r="ISH753" s="574"/>
      <c r="ISI753" s="574"/>
      <c r="ISJ753" s="574"/>
      <c r="ISK753" s="574"/>
      <c r="ISL753" s="574"/>
      <c r="ISM753" s="574"/>
      <c r="ISN753" s="574"/>
      <c r="ISO753" s="574"/>
      <c r="ISP753" s="574"/>
      <c r="ISQ753" s="574"/>
      <c r="ISR753" s="574"/>
      <c r="ISS753" s="574"/>
      <c r="IST753" s="574"/>
      <c r="ISU753" s="574"/>
      <c r="ISV753" s="574"/>
      <c r="ISW753" s="574"/>
      <c r="ISX753" s="574"/>
      <c r="ISY753" s="574"/>
      <c r="ISZ753" s="574"/>
      <c r="ITA753" s="574"/>
      <c r="ITB753" s="574"/>
      <c r="ITC753" s="574"/>
      <c r="ITD753" s="574"/>
      <c r="ITE753" s="574"/>
      <c r="ITF753" s="574"/>
      <c r="ITG753" s="574"/>
      <c r="ITH753" s="574"/>
      <c r="ITI753" s="574"/>
      <c r="ITJ753" s="574"/>
      <c r="ITK753" s="574"/>
      <c r="ITL753" s="574"/>
      <c r="ITM753" s="574"/>
      <c r="ITN753" s="574"/>
      <c r="ITO753" s="574"/>
      <c r="ITP753" s="574"/>
      <c r="ITQ753" s="574"/>
      <c r="ITR753" s="574"/>
      <c r="ITS753" s="574"/>
      <c r="ITT753" s="574"/>
      <c r="ITU753" s="574"/>
      <c r="ITV753" s="574"/>
      <c r="ITW753" s="574"/>
      <c r="ITX753" s="574"/>
      <c r="ITY753" s="574"/>
      <c r="ITZ753" s="574"/>
      <c r="IUA753" s="574"/>
      <c r="IUB753" s="574"/>
      <c r="IUC753" s="574"/>
      <c r="IUD753" s="574"/>
      <c r="IUE753" s="574"/>
      <c r="IUF753" s="574"/>
      <c r="IUG753" s="574"/>
      <c r="IUH753" s="574"/>
      <c r="IUI753" s="574"/>
      <c r="IUJ753" s="574"/>
      <c r="IUK753" s="574"/>
      <c r="IUL753" s="574"/>
      <c r="IUM753" s="574"/>
      <c r="IUN753" s="574"/>
      <c r="IUO753" s="574"/>
      <c r="IUP753" s="574"/>
      <c r="IUQ753" s="574"/>
      <c r="IUR753" s="574"/>
      <c r="IUS753" s="574"/>
      <c r="IUT753" s="574"/>
      <c r="IUU753" s="574"/>
      <c r="IUV753" s="574"/>
      <c r="IUW753" s="574"/>
      <c r="IUX753" s="574"/>
      <c r="IUY753" s="574"/>
      <c r="IUZ753" s="574"/>
      <c r="IVA753" s="574"/>
      <c r="IVB753" s="574"/>
      <c r="IVC753" s="574"/>
      <c r="IVD753" s="574"/>
      <c r="IVE753" s="574"/>
      <c r="IVF753" s="574"/>
      <c r="IVG753" s="574"/>
      <c r="IVH753" s="574"/>
      <c r="IVI753" s="574"/>
      <c r="IVJ753" s="574"/>
      <c r="IVK753" s="574"/>
      <c r="IVL753" s="574"/>
      <c r="IVM753" s="574"/>
      <c r="IVN753" s="574"/>
      <c r="IVO753" s="574"/>
      <c r="IVP753" s="574"/>
      <c r="IVQ753" s="574"/>
      <c r="IVR753" s="574"/>
      <c r="IVS753" s="574"/>
      <c r="IVT753" s="574"/>
      <c r="IVU753" s="574"/>
      <c r="IVV753" s="574"/>
      <c r="IVW753" s="574"/>
      <c r="IVX753" s="574"/>
      <c r="IVY753" s="574"/>
      <c r="IVZ753" s="574"/>
      <c r="IWA753" s="574"/>
      <c r="IWB753" s="574"/>
      <c r="IWC753" s="574"/>
      <c r="IWD753" s="574"/>
      <c r="IWE753" s="574"/>
      <c r="IWF753" s="574"/>
      <c r="IWG753" s="574"/>
      <c r="IWH753" s="574"/>
      <c r="IWI753" s="574"/>
      <c r="IWJ753" s="574"/>
      <c r="IWK753" s="574"/>
      <c r="IWL753" s="574"/>
      <c r="IWM753" s="574"/>
      <c r="IWN753" s="574"/>
      <c r="IWO753" s="574"/>
      <c r="IWP753" s="574"/>
      <c r="IWQ753" s="574"/>
      <c r="IWR753" s="574"/>
      <c r="IWS753" s="574"/>
      <c r="IWT753" s="574"/>
      <c r="IWU753" s="574"/>
      <c r="IWV753" s="574"/>
      <c r="IWW753" s="574"/>
      <c r="IWX753" s="574"/>
      <c r="IWY753" s="574"/>
      <c r="IWZ753" s="574"/>
      <c r="IXA753" s="574"/>
      <c r="IXB753" s="574"/>
      <c r="IXC753" s="574"/>
      <c r="IXD753" s="574"/>
      <c r="IXE753" s="574"/>
      <c r="IXF753" s="574"/>
      <c r="IXG753" s="574"/>
      <c r="IXH753" s="574"/>
      <c r="IXI753" s="574"/>
      <c r="IXJ753" s="574"/>
      <c r="IXK753" s="574"/>
      <c r="IXL753" s="574"/>
      <c r="IXM753" s="574"/>
      <c r="IXN753" s="574"/>
      <c r="IXO753" s="574"/>
      <c r="IXP753" s="574"/>
      <c r="IXQ753" s="574"/>
      <c r="IXR753" s="574"/>
      <c r="IXS753" s="574"/>
      <c r="IXT753" s="574"/>
      <c r="IXU753" s="574"/>
      <c r="IXV753" s="574"/>
      <c r="IXW753" s="574"/>
      <c r="IXX753" s="574"/>
      <c r="IXY753" s="574"/>
      <c r="IXZ753" s="574"/>
      <c r="IYA753" s="574"/>
      <c r="IYB753" s="574"/>
      <c r="IYC753" s="574"/>
      <c r="IYD753" s="574"/>
      <c r="IYE753" s="574"/>
      <c r="IYF753" s="574"/>
      <c r="IYG753" s="574"/>
      <c r="IYH753" s="574"/>
      <c r="IYI753" s="574"/>
      <c r="IYJ753" s="574"/>
      <c r="IYK753" s="574"/>
      <c r="IYL753" s="574"/>
      <c r="IYM753" s="574"/>
      <c r="IYN753" s="574"/>
      <c r="IYO753" s="574"/>
      <c r="IYP753" s="574"/>
      <c r="IYQ753" s="574"/>
      <c r="IYR753" s="574"/>
      <c r="IYS753" s="574"/>
      <c r="IYT753" s="574"/>
      <c r="IYU753" s="574"/>
      <c r="IYV753" s="574"/>
      <c r="IYW753" s="574"/>
      <c r="IYX753" s="574"/>
      <c r="IYY753" s="574"/>
      <c r="IYZ753" s="574"/>
      <c r="IZA753" s="574"/>
      <c r="IZB753" s="574"/>
      <c r="IZC753" s="574"/>
      <c r="IZD753" s="574"/>
      <c r="IZE753" s="574"/>
      <c r="IZF753" s="574"/>
      <c r="IZG753" s="574"/>
      <c r="IZH753" s="574"/>
      <c r="IZI753" s="574"/>
      <c r="IZJ753" s="574"/>
      <c r="IZK753" s="574"/>
      <c r="IZL753" s="574"/>
      <c r="IZM753" s="574"/>
      <c r="IZN753" s="574"/>
      <c r="IZO753" s="574"/>
      <c r="IZP753" s="574"/>
      <c r="IZQ753" s="574"/>
      <c r="IZR753" s="574"/>
      <c r="IZS753" s="574"/>
      <c r="IZT753" s="574"/>
      <c r="IZU753" s="574"/>
      <c r="IZV753" s="574"/>
      <c r="IZW753" s="574"/>
      <c r="IZX753" s="574"/>
      <c r="IZY753" s="574"/>
      <c r="IZZ753" s="574"/>
      <c r="JAA753" s="574"/>
      <c r="JAB753" s="574"/>
      <c r="JAC753" s="574"/>
      <c r="JAD753" s="574"/>
      <c r="JAE753" s="574"/>
      <c r="JAF753" s="574"/>
      <c r="JAG753" s="574"/>
      <c r="JAH753" s="574"/>
      <c r="JAI753" s="574"/>
      <c r="JAJ753" s="574"/>
      <c r="JAK753" s="574"/>
      <c r="JAL753" s="574"/>
      <c r="JAM753" s="574"/>
      <c r="JAN753" s="574"/>
      <c r="JAO753" s="574"/>
      <c r="JAP753" s="574"/>
      <c r="JAQ753" s="574"/>
      <c r="JAR753" s="574"/>
      <c r="JAS753" s="574"/>
      <c r="JAT753" s="574"/>
      <c r="JAU753" s="574"/>
      <c r="JAV753" s="574"/>
      <c r="JAW753" s="574"/>
      <c r="JAX753" s="574"/>
      <c r="JAY753" s="574"/>
      <c r="JAZ753" s="574"/>
      <c r="JBA753" s="574"/>
      <c r="JBB753" s="574"/>
      <c r="JBC753" s="574"/>
      <c r="JBD753" s="574"/>
      <c r="JBE753" s="574"/>
      <c r="JBF753" s="574"/>
      <c r="JBG753" s="574"/>
      <c r="JBH753" s="574"/>
      <c r="JBI753" s="574"/>
      <c r="JBJ753" s="574"/>
      <c r="JBK753" s="574"/>
      <c r="JBL753" s="574"/>
      <c r="JBM753" s="574"/>
      <c r="JBN753" s="574"/>
      <c r="JBO753" s="574"/>
      <c r="JBP753" s="574"/>
      <c r="JBQ753" s="574"/>
      <c r="JBR753" s="574"/>
      <c r="JBS753" s="574"/>
      <c r="JBT753" s="574"/>
      <c r="JBU753" s="574"/>
      <c r="JBV753" s="574"/>
      <c r="JBW753" s="574"/>
      <c r="JBX753" s="574"/>
      <c r="JBY753" s="574"/>
      <c r="JBZ753" s="574"/>
      <c r="JCA753" s="574"/>
      <c r="JCB753" s="574"/>
      <c r="JCC753" s="574"/>
      <c r="JCD753" s="574"/>
      <c r="JCE753" s="574"/>
      <c r="JCF753" s="574"/>
      <c r="JCG753" s="574"/>
      <c r="JCH753" s="574"/>
      <c r="JCI753" s="574"/>
      <c r="JCJ753" s="574"/>
      <c r="JCK753" s="574"/>
      <c r="JCL753" s="574"/>
      <c r="JCM753" s="574"/>
      <c r="JCN753" s="574"/>
      <c r="JCO753" s="574"/>
      <c r="JCP753" s="574"/>
      <c r="JCQ753" s="574"/>
      <c r="JCR753" s="574"/>
      <c r="JCS753" s="574"/>
      <c r="JCT753" s="574"/>
      <c r="JCU753" s="574"/>
      <c r="JCV753" s="574"/>
      <c r="JCW753" s="574"/>
      <c r="JCX753" s="574"/>
      <c r="JCY753" s="574"/>
      <c r="JCZ753" s="574"/>
      <c r="JDA753" s="574"/>
      <c r="JDB753" s="574"/>
      <c r="JDC753" s="574"/>
      <c r="JDD753" s="574"/>
      <c r="JDE753" s="574"/>
      <c r="JDF753" s="574"/>
      <c r="JDG753" s="574"/>
      <c r="JDH753" s="574"/>
      <c r="JDI753" s="574"/>
      <c r="JDJ753" s="574"/>
      <c r="JDK753" s="574"/>
      <c r="JDL753" s="574"/>
      <c r="JDM753" s="574"/>
      <c r="JDN753" s="574"/>
      <c r="JDO753" s="574"/>
      <c r="JDP753" s="574"/>
      <c r="JDQ753" s="574"/>
      <c r="JDR753" s="574"/>
      <c r="JDS753" s="574"/>
      <c r="JDT753" s="574"/>
      <c r="JDU753" s="574"/>
      <c r="JDV753" s="574"/>
      <c r="JDW753" s="574"/>
      <c r="JDX753" s="574"/>
      <c r="JDY753" s="574"/>
      <c r="JDZ753" s="574"/>
      <c r="JEA753" s="574"/>
      <c r="JEB753" s="574"/>
      <c r="JEC753" s="574"/>
      <c r="JED753" s="574"/>
      <c r="JEE753" s="574"/>
      <c r="JEF753" s="574"/>
      <c r="JEG753" s="574"/>
      <c r="JEH753" s="574"/>
      <c r="JEI753" s="574"/>
      <c r="JEJ753" s="574"/>
      <c r="JEK753" s="574"/>
      <c r="JEL753" s="574"/>
      <c r="JEM753" s="574"/>
      <c r="JEN753" s="574"/>
      <c r="JEO753" s="574"/>
      <c r="JEP753" s="574"/>
      <c r="JEQ753" s="574"/>
      <c r="JER753" s="574"/>
      <c r="JES753" s="574"/>
      <c r="JET753" s="574"/>
      <c r="JEU753" s="574"/>
      <c r="JEV753" s="574"/>
      <c r="JEW753" s="574"/>
      <c r="JEX753" s="574"/>
      <c r="JEY753" s="574"/>
      <c r="JEZ753" s="574"/>
      <c r="JFA753" s="574"/>
      <c r="JFB753" s="574"/>
      <c r="JFC753" s="574"/>
      <c r="JFD753" s="574"/>
      <c r="JFE753" s="574"/>
      <c r="JFF753" s="574"/>
      <c r="JFG753" s="574"/>
      <c r="JFH753" s="574"/>
      <c r="JFI753" s="574"/>
      <c r="JFJ753" s="574"/>
      <c r="JFK753" s="574"/>
      <c r="JFL753" s="574"/>
      <c r="JFM753" s="574"/>
      <c r="JFN753" s="574"/>
      <c r="JFO753" s="574"/>
      <c r="JFP753" s="574"/>
      <c r="JFQ753" s="574"/>
      <c r="JFR753" s="574"/>
      <c r="JFS753" s="574"/>
      <c r="JFT753" s="574"/>
      <c r="JFU753" s="574"/>
      <c r="JFV753" s="574"/>
      <c r="JFW753" s="574"/>
      <c r="JFX753" s="574"/>
      <c r="JFY753" s="574"/>
      <c r="JFZ753" s="574"/>
      <c r="JGA753" s="574"/>
      <c r="JGB753" s="574"/>
      <c r="JGC753" s="574"/>
      <c r="JGD753" s="574"/>
      <c r="JGE753" s="574"/>
      <c r="JGF753" s="574"/>
      <c r="JGG753" s="574"/>
      <c r="JGH753" s="574"/>
      <c r="JGI753" s="574"/>
      <c r="JGJ753" s="574"/>
      <c r="JGK753" s="574"/>
      <c r="JGL753" s="574"/>
      <c r="JGM753" s="574"/>
      <c r="JGN753" s="574"/>
      <c r="JGO753" s="574"/>
      <c r="JGP753" s="574"/>
      <c r="JGQ753" s="574"/>
      <c r="JGR753" s="574"/>
      <c r="JGS753" s="574"/>
      <c r="JGT753" s="574"/>
      <c r="JGU753" s="574"/>
      <c r="JGV753" s="574"/>
      <c r="JGW753" s="574"/>
      <c r="JGX753" s="574"/>
      <c r="JGY753" s="574"/>
      <c r="JGZ753" s="574"/>
      <c r="JHA753" s="574"/>
      <c r="JHB753" s="574"/>
      <c r="JHC753" s="574"/>
      <c r="JHD753" s="574"/>
      <c r="JHE753" s="574"/>
      <c r="JHF753" s="574"/>
      <c r="JHG753" s="574"/>
      <c r="JHH753" s="574"/>
      <c r="JHI753" s="574"/>
      <c r="JHJ753" s="574"/>
      <c r="JHK753" s="574"/>
      <c r="JHL753" s="574"/>
      <c r="JHM753" s="574"/>
      <c r="JHN753" s="574"/>
      <c r="JHO753" s="574"/>
      <c r="JHP753" s="574"/>
      <c r="JHQ753" s="574"/>
      <c r="JHR753" s="574"/>
      <c r="JHS753" s="574"/>
      <c r="JHT753" s="574"/>
      <c r="JHU753" s="574"/>
      <c r="JHV753" s="574"/>
      <c r="JHW753" s="574"/>
      <c r="JHX753" s="574"/>
      <c r="JHY753" s="574"/>
      <c r="JHZ753" s="574"/>
      <c r="JIA753" s="574"/>
      <c r="JIB753" s="574"/>
      <c r="JIC753" s="574"/>
      <c r="JID753" s="574"/>
      <c r="JIE753" s="574"/>
      <c r="JIF753" s="574"/>
      <c r="JIG753" s="574"/>
      <c r="JIH753" s="574"/>
      <c r="JII753" s="574"/>
      <c r="JIJ753" s="574"/>
      <c r="JIK753" s="574"/>
      <c r="JIL753" s="574"/>
      <c r="JIM753" s="574"/>
      <c r="JIN753" s="574"/>
      <c r="JIO753" s="574"/>
      <c r="JIP753" s="574"/>
      <c r="JIQ753" s="574"/>
      <c r="JIR753" s="574"/>
      <c r="JIS753" s="574"/>
      <c r="JIT753" s="574"/>
      <c r="JIU753" s="574"/>
      <c r="JIV753" s="574"/>
      <c r="JIW753" s="574"/>
      <c r="JIX753" s="574"/>
      <c r="JIY753" s="574"/>
      <c r="JIZ753" s="574"/>
      <c r="JJA753" s="574"/>
      <c r="JJB753" s="574"/>
      <c r="JJC753" s="574"/>
      <c r="JJD753" s="574"/>
      <c r="JJE753" s="574"/>
      <c r="JJF753" s="574"/>
      <c r="JJG753" s="574"/>
      <c r="JJH753" s="574"/>
      <c r="JJI753" s="574"/>
      <c r="JJJ753" s="574"/>
      <c r="JJK753" s="574"/>
      <c r="JJL753" s="574"/>
      <c r="JJM753" s="574"/>
      <c r="JJN753" s="574"/>
      <c r="JJO753" s="574"/>
      <c r="JJP753" s="574"/>
      <c r="JJQ753" s="574"/>
      <c r="JJR753" s="574"/>
      <c r="JJS753" s="574"/>
      <c r="JJT753" s="574"/>
      <c r="JJU753" s="574"/>
      <c r="JJV753" s="574"/>
      <c r="JJW753" s="574"/>
      <c r="JJX753" s="574"/>
      <c r="JJY753" s="574"/>
      <c r="JJZ753" s="574"/>
      <c r="JKA753" s="574"/>
      <c r="JKB753" s="574"/>
      <c r="JKC753" s="574"/>
      <c r="JKD753" s="574"/>
      <c r="JKE753" s="574"/>
      <c r="JKF753" s="574"/>
      <c r="JKG753" s="574"/>
      <c r="JKH753" s="574"/>
      <c r="JKI753" s="574"/>
      <c r="JKJ753" s="574"/>
      <c r="JKK753" s="574"/>
      <c r="JKL753" s="574"/>
      <c r="JKM753" s="574"/>
      <c r="JKN753" s="574"/>
      <c r="JKO753" s="574"/>
      <c r="JKP753" s="574"/>
      <c r="JKQ753" s="574"/>
      <c r="JKR753" s="574"/>
      <c r="JKS753" s="574"/>
      <c r="JKT753" s="574"/>
      <c r="JKU753" s="574"/>
      <c r="JKV753" s="574"/>
      <c r="JKW753" s="574"/>
      <c r="JKX753" s="574"/>
      <c r="JKY753" s="574"/>
      <c r="JKZ753" s="574"/>
      <c r="JLA753" s="574"/>
      <c r="JLB753" s="574"/>
      <c r="JLC753" s="574"/>
      <c r="JLD753" s="574"/>
      <c r="JLE753" s="574"/>
      <c r="JLF753" s="574"/>
      <c r="JLG753" s="574"/>
      <c r="JLH753" s="574"/>
      <c r="JLI753" s="574"/>
      <c r="JLJ753" s="574"/>
      <c r="JLK753" s="574"/>
      <c r="JLL753" s="574"/>
      <c r="JLM753" s="574"/>
      <c r="JLN753" s="574"/>
      <c r="JLO753" s="574"/>
      <c r="JLP753" s="574"/>
      <c r="JLQ753" s="574"/>
      <c r="JLR753" s="574"/>
      <c r="JLS753" s="574"/>
      <c r="JLT753" s="574"/>
      <c r="JLU753" s="574"/>
      <c r="JLV753" s="574"/>
      <c r="JLW753" s="574"/>
      <c r="JLX753" s="574"/>
      <c r="JLY753" s="574"/>
      <c r="JLZ753" s="574"/>
      <c r="JMA753" s="574"/>
      <c r="JMB753" s="574"/>
      <c r="JMC753" s="574"/>
      <c r="JMD753" s="574"/>
      <c r="JME753" s="574"/>
      <c r="JMF753" s="574"/>
      <c r="JMG753" s="574"/>
      <c r="JMH753" s="574"/>
      <c r="JMI753" s="574"/>
      <c r="JMJ753" s="574"/>
      <c r="JMK753" s="574"/>
      <c r="JML753" s="574"/>
      <c r="JMM753" s="574"/>
      <c r="JMN753" s="574"/>
      <c r="JMO753" s="574"/>
      <c r="JMP753" s="574"/>
      <c r="JMQ753" s="574"/>
      <c r="JMR753" s="574"/>
      <c r="JMS753" s="574"/>
      <c r="JMT753" s="574"/>
      <c r="JMU753" s="574"/>
      <c r="JMV753" s="574"/>
      <c r="JMW753" s="574"/>
      <c r="JMX753" s="574"/>
      <c r="JMY753" s="574"/>
      <c r="JMZ753" s="574"/>
      <c r="JNA753" s="574"/>
      <c r="JNB753" s="574"/>
      <c r="JNC753" s="574"/>
      <c r="JND753" s="574"/>
      <c r="JNE753" s="574"/>
      <c r="JNF753" s="574"/>
      <c r="JNG753" s="574"/>
      <c r="JNH753" s="574"/>
      <c r="JNI753" s="574"/>
      <c r="JNJ753" s="574"/>
      <c r="JNK753" s="574"/>
      <c r="JNL753" s="574"/>
      <c r="JNM753" s="574"/>
      <c r="JNN753" s="574"/>
      <c r="JNO753" s="574"/>
      <c r="JNP753" s="574"/>
      <c r="JNQ753" s="574"/>
      <c r="JNR753" s="574"/>
      <c r="JNS753" s="574"/>
      <c r="JNT753" s="574"/>
      <c r="JNU753" s="574"/>
      <c r="JNV753" s="574"/>
      <c r="JNW753" s="574"/>
      <c r="JNX753" s="574"/>
      <c r="JNY753" s="574"/>
      <c r="JNZ753" s="574"/>
      <c r="JOA753" s="574"/>
      <c r="JOB753" s="574"/>
      <c r="JOC753" s="574"/>
      <c r="JOD753" s="574"/>
      <c r="JOE753" s="574"/>
      <c r="JOF753" s="574"/>
      <c r="JOG753" s="574"/>
      <c r="JOH753" s="574"/>
      <c r="JOI753" s="574"/>
      <c r="JOJ753" s="574"/>
      <c r="JOK753" s="574"/>
      <c r="JOL753" s="574"/>
      <c r="JOM753" s="574"/>
      <c r="JON753" s="574"/>
      <c r="JOO753" s="574"/>
      <c r="JOP753" s="574"/>
      <c r="JOQ753" s="574"/>
      <c r="JOR753" s="574"/>
      <c r="JOS753" s="574"/>
      <c r="JOT753" s="574"/>
      <c r="JOU753" s="574"/>
      <c r="JOV753" s="574"/>
      <c r="JOW753" s="574"/>
      <c r="JOX753" s="574"/>
      <c r="JOY753" s="574"/>
      <c r="JOZ753" s="574"/>
      <c r="JPA753" s="574"/>
      <c r="JPB753" s="574"/>
      <c r="JPC753" s="574"/>
      <c r="JPD753" s="574"/>
      <c r="JPE753" s="574"/>
      <c r="JPF753" s="574"/>
      <c r="JPG753" s="574"/>
      <c r="JPH753" s="574"/>
      <c r="JPI753" s="574"/>
      <c r="JPJ753" s="574"/>
      <c r="JPK753" s="574"/>
      <c r="JPL753" s="574"/>
      <c r="JPM753" s="574"/>
      <c r="JPN753" s="574"/>
      <c r="JPO753" s="574"/>
      <c r="JPP753" s="574"/>
      <c r="JPQ753" s="574"/>
      <c r="JPR753" s="574"/>
      <c r="JPS753" s="574"/>
      <c r="JPT753" s="574"/>
      <c r="JPU753" s="574"/>
      <c r="JPV753" s="574"/>
      <c r="JPW753" s="574"/>
      <c r="JPX753" s="574"/>
      <c r="JPY753" s="574"/>
      <c r="JPZ753" s="574"/>
      <c r="JQA753" s="574"/>
      <c r="JQB753" s="574"/>
      <c r="JQC753" s="574"/>
      <c r="JQD753" s="574"/>
      <c r="JQE753" s="574"/>
      <c r="JQF753" s="574"/>
      <c r="JQG753" s="574"/>
      <c r="JQH753" s="574"/>
      <c r="JQI753" s="574"/>
      <c r="JQJ753" s="574"/>
      <c r="JQK753" s="574"/>
      <c r="JQL753" s="574"/>
      <c r="JQM753" s="574"/>
      <c r="JQN753" s="574"/>
      <c r="JQO753" s="574"/>
      <c r="JQP753" s="574"/>
      <c r="JQQ753" s="574"/>
      <c r="JQR753" s="574"/>
      <c r="JQS753" s="574"/>
      <c r="JQT753" s="574"/>
      <c r="JQU753" s="574"/>
      <c r="JQV753" s="574"/>
      <c r="JQW753" s="574"/>
      <c r="JQX753" s="574"/>
      <c r="JQY753" s="574"/>
      <c r="JQZ753" s="574"/>
      <c r="JRA753" s="574"/>
      <c r="JRB753" s="574"/>
      <c r="JRC753" s="574"/>
      <c r="JRD753" s="574"/>
      <c r="JRE753" s="574"/>
      <c r="JRF753" s="574"/>
      <c r="JRG753" s="574"/>
      <c r="JRH753" s="574"/>
      <c r="JRI753" s="574"/>
      <c r="JRJ753" s="574"/>
      <c r="JRK753" s="574"/>
      <c r="JRL753" s="574"/>
      <c r="JRM753" s="574"/>
      <c r="JRN753" s="574"/>
      <c r="JRO753" s="574"/>
      <c r="JRP753" s="574"/>
      <c r="JRQ753" s="574"/>
      <c r="JRR753" s="574"/>
      <c r="JRS753" s="574"/>
      <c r="JRT753" s="574"/>
      <c r="JRU753" s="574"/>
      <c r="JRV753" s="574"/>
      <c r="JRW753" s="574"/>
      <c r="JRX753" s="574"/>
      <c r="JRY753" s="574"/>
      <c r="JRZ753" s="574"/>
      <c r="JSA753" s="574"/>
      <c r="JSB753" s="574"/>
      <c r="JSC753" s="574"/>
      <c r="JSD753" s="574"/>
      <c r="JSE753" s="574"/>
      <c r="JSF753" s="574"/>
      <c r="JSG753" s="574"/>
      <c r="JSH753" s="574"/>
      <c r="JSI753" s="574"/>
      <c r="JSJ753" s="574"/>
      <c r="JSK753" s="574"/>
      <c r="JSL753" s="574"/>
      <c r="JSM753" s="574"/>
      <c r="JSN753" s="574"/>
      <c r="JSO753" s="574"/>
      <c r="JSP753" s="574"/>
      <c r="JSQ753" s="574"/>
      <c r="JSR753" s="574"/>
      <c r="JSS753" s="574"/>
      <c r="JST753" s="574"/>
      <c r="JSU753" s="574"/>
      <c r="JSV753" s="574"/>
      <c r="JSW753" s="574"/>
      <c r="JSX753" s="574"/>
      <c r="JSY753" s="574"/>
      <c r="JSZ753" s="574"/>
      <c r="JTA753" s="574"/>
      <c r="JTB753" s="574"/>
      <c r="JTC753" s="574"/>
      <c r="JTD753" s="574"/>
      <c r="JTE753" s="574"/>
      <c r="JTF753" s="574"/>
      <c r="JTG753" s="574"/>
      <c r="JTH753" s="574"/>
      <c r="JTI753" s="574"/>
      <c r="JTJ753" s="574"/>
      <c r="JTK753" s="574"/>
      <c r="JTL753" s="574"/>
      <c r="JTM753" s="574"/>
      <c r="JTN753" s="574"/>
      <c r="JTO753" s="574"/>
      <c r="JTP753" s="574"/>
      <c r="JTQ753" s="574"/>
      <c r="JTR753" s="574"/>
      <c r="JTS753" s="574"/>
      <c r="JTT753" s="574"/>
      <c r="JTU753" s="574"/>
      <c r="JTV753" s="574"/>
      <c r="JTW753" s="574"/>
      <c r="JTX753" s="574"/>
      <c r="JTY753" s="574"/>
      <c r="JTZ753" s="574"/>
      <c r="JUA753" s="574"/>
      <c r="JUB753" s="574"/>
      <c r="JUC753" s="574"/>
      <c r="JUD753" s="574"/>
      <c r="JUE753" s="574"/>
      <c r="JUF753" s="574"/>
      <c r="JUG753" s="574"/>
      <c r="JUH753" s="574"/>
      <c r="JUI753" s="574"/>
      <c r="JUJ753" s="574"/>
      <c r="JUK753" s="574"/>
      <c r="JUL753" s="574"/>
      <c r="JUM753" s="574"/>
      <c r="JUN753" s="574"/>
      <c r="JUO753" s="574"/>
      <c r="JUP753" s="574"/>
      <c r="JUQ753" s="574"/>
      <c r="JUR753" s="574"/>
      <c r="JUS753" s="574"/>
      <c r="JUT753" s="574"/>
      <c r="JUU753" s="574"/>
      <c r="JUV753" s="574"/>
      <c r="JUW753" s="574"/>
      <c r="JUX753" s="574"/>
      <c r="JUY753" s="574"/>
      <c r="JUZ753" s="574"/>
      <c r="JVA753" s="574"/>
      <c r="JVB753" s="574"/>
      <c r="JVC753" s="574"/>
      <c r="JVD753" s="574"/>
      <c r="JVE753" s="574"/>
      <c r="JVF753" s="574"/>
      <c r="JVG753" s="574"/>
      <c r="JVH753" s="574"/>
      <c r="JVI753" s="574"/>
      <c r="JVJ753" s="574"/>
      <c r="JVK753" s="574"/>
      <c r="JVL753" s="574"/>
      <c r="JVM753" s="574"/>
      <c r="JVN753" s="574"/>
      <c r="JVO753" s="574"/>
      <c r="JVP753" s="574"/>
      <c r="JVQ753" s="574"/>
      <c r="JVR753" s="574"/>
      <c r="JVS753" s="574"/>
      <c r="JVT753" s="574"/>
      <c r="JVU753" s="574"/>
      <c r="JVV753" s="574"/>
      <c r="JVW753" s="574"/>
      <c r="JVX753" s="574"/>
      <c r="JVY753" s="574"/>
      <c r="JVZ753" s="574"/>
      <c r="JWA753" s="574"/>
      <c r="JWB753" s="574"/>
      <c r="JWC753" s="574"/>
      <c r="JWD753" s="574"/>
      <c r="JWE753" s="574"/>
      <c r="JWF753" s="574"/>
      <c r="JWG753" s="574"/>
      <c r="JWH753" s="574"/>
      <c r="JWI753" s="574"/>
      <c r="JWJ753" s="574"/>
      <c r="JWK753" s="574"/>
      <c r="JWL753" s="574"/>
      <c r="JWM753" s="574"/>
      <c r="JWN753" s="574"/>
      <c r="JWO753" s="574"/>
      <c r="JWP753" s="574"/>
      <c r="JWQ753" s="574"/>
      <c r="JWR753" s="574"/>
      <c r="JWS753" s="574"/>
      <c r="JWT753" s="574"/>
      <c r="JWU753" s="574"/>
      <c r="JWV753" s="574"/>
      <c r="JWW753" s="574"/>
      <c r="JWX753" s="574"/>
      <c r="JWY753" s="574"/>
      <c r="JWZ753" s="574"/>
      <c r="JXA753" s="574"/>
      <c r="JXB753" s="574"/>
      <c r="JXC753" s="574"/>
      <c r="JXD753" s="574"/>
      <c r="JXE753" s="574"/>
      <c r="JXF753" s="574"/>
      <c r="JXG753" s="574"/>
      <c r="JXH753" s="574"/>
      <c r="JXI753" s="574"/>
      <c r="JXJ753" s="574"/>
      <c r="JXK753" s="574"/>
      <c r="JXL753" s="574"/>
      <c r="JXM753" s="574"/>
      <c r="JXN753" s="574"/>
      <c r="JXO753" s="574"/>
      <c r="JXP753" s="574"/>
      <c r="JXQ753" s="574"/>
      <c r="JXR753" s="574"/>
      <c r="JXS753" s="574"/>
      <c r="JXT753" s="574"/>
      <c r="JXU753" s="574"/>
      <c r="JXV753" s="574"/>
      <c r="JXW753" s="574"/>
      <c r="JXX753" s="574"/>
      <c r="JXY753" s="574"/>
      <c r="JXZ753" s="574"/>
      <c r="JYA753" s="574"/>
      <c r="JYB753" s="574"/>
      <c r="JYC753" s="574"/>
      <c r="JYD753" s="574"/>
      <c r="JYE753" s="574"/>
      <c r="JYF753" s="574"/>
      <c r="JYG753" s="574"/>
      <c r="JYH753" s="574"/>
      <c r="JYI753" s="574"/>
      <c r="JYJ753" s="574"/>
      <c r="JYK753" s="574"/>
      <c r="JYL753" s="574"/>
      <c r="JYM753" s="574"/>
      <c r="JYN753" s="574"/>
      <c r="JYO753" s="574"/>
      <c r="JYP753" s="574"/>
      <c r="JYQ753" s="574"/>
      <c r="JYR753" s="574"/>
      <c r="JYS753" s="574"/>
      <c r="JYT753" s="574"/>
      <c r="JYU753" s="574"/>
      <c r="JYV753" s="574"/>
      <c r="JYW753" s="574"/>
      <c r="JYX753" s="574"/>
      <c r="JYY753" s="574"/>
      <c r="JYZ753" s="574"/>
      <c r="JZA753" s="574"/>
      <c r="JZB753" s="574"/>
      <c r="JZC753" s="574"/>
      <c r="JZD753" s="574"/>
      <c r="JZE753" s="574"/>
      <c r="JZF753" s="574"/>
      <c r="JZG753" s="574"/>
      <c r="JZH753" s="574"/>
      <c r="JZI753" s="574"/>
      <c r="JZJ753" s="574"/>
      <c r="JZK753" s="574"/>
      <c r="JZL753" s="574"/>
      <c r="JZM753" s="574"/>
      <c r="JZN753" s="574"/>
      <c r="JZO753" s="574"/>
      <c r="JZP753" s="574"/>
      <c r="JZQ753" s="574"/>
      <c r="JZR753" s="574"/>
      <c r="JZS753" s="574"/>
      <c r="JZT753" s="574"/>
      <c r="JZU753" s="574"/>
      <c r="JZV753" s="574"/>
      <c r="JZW753" s="574"/>
      <c r="JZX753" s="574"/>
      <c r="JZY753" s="574"/>
      <c r="JZZ753" s="574"/>
      <c r="KAA753" s="574"/>
      <c r="KAB753" s="574"/>
      <c r="KAC753" s="574"/>
      <c r="KAD753" s="574"/>
      <c r="KAE753" s="574"/>
      <c r="KAF753" s="574"/>
      <c r="KAG753" s="574"/>
      <c r="KAH753" s="574"/>
      <c r="KAI753" s="574"/>
      <c r="KAJ753" s="574"/>
      <c r="KAK753" s="574"/>
      <c r="KAL753" s="574"/>
      <c r="KAM753" s="574"/>
      <c r="KAN753" s="574"/>
      <c r="KAO753" s="574"/>
      <c r="KAP753" s="574"/>
      <c r="KAQ753" s="574"/>
      <c r="KAR753" s="574"/>
      <c r="KAS753" s="574"/>
      <c r="KAT753" s="574"/>
      <c r="KAU753" s="574"/>
      <c r="KAV753" s="574"/>
      <c r="KAW753" s="574"/>
      <c r="KAX753" s="574"/>
      <c r="KAY753" s="574"/>
      <c r="KAZ753" s="574"/>
      <c r="KBA753" s="574"/>
      <c r="KBB753" s="574"/>
      <c r="KBC753" s="574"/>
      <c r="KBD753" s="574"/>
      <c r="KBE753" s="574"/>
      <c r="KBF753" s="574"/>
      <c r="KBG753" s="574"/>
      <c r="KBH753" s="574"/>
      <c r="KBI753" s="574"/>
      <c r="KBJ753" s="574"/>
      <c r="KBK753" s="574"/>
      <c r="KBL753" s="574"/>
      <c r="KBM753" s="574"/>
      <c r="KBN753" s="574"/>
      <c r="KBO753" s="574"/>
      <c r="KBP753" s="574"/>
      <c r="KBQ753" s="574"/>
      <c r="KBR753" s="574"/>
      <c r="KBS753" s="574"/>
      <c r="KBT753" s="574"/>
      <c r="KBU753" s="574"/>
      <c r="KBV753" s="574"/>
      <c r="KBW753" s="574"/>
      <c r="KBX753" s="574"/>
      <c r="KBY753" s="574"/>
      <c r="KBZ753" s="574"/>
      <c r="KCA753" s="574"/>
      <c r="KCB753" s="574"/>
      <c r="KCC753" s="574"/>
      <c r="KCD753" s="574"/>
      <c r="KCE753" s="574"/>
      <c r="KCF753" s="574"/>
      <c r="KCG753" s="574"/>
      <c r="KCH753" s="574"/>
      <c r="KCI753" s="574"/>
      <c r="KCJ753" s="574"/>
      <c r="KCK753" s="574"/>
      <c r="KCL753" s="574"/>
      <c r="KCM753" s="574"/>
      <c r="KCN753" s="574"/>
      <c r="KCO753" s="574"/>
      <c r="KCP753" s="574"/>
      <c r="KCQ753" s="574"/>
      <c r="KCR753" s="574"/>
      <c r="KCS753" s="574"/>
      <c r="KCT753" s="574"/>
      <c r="KCU753" s="574"/>
      <c r="KCV753" s="574"/>
      <c r="KCW753" s="574"/>
      <c r="KCX753" s="574"/>
      <c r="KCY753" s="574"/>
      <c r="KCZ753" s="574"/>
      <c r="KDA753" s="574"/>
      <c r="KDB753" s="574"/>
      <c r="KDC753" s="574"/>
      <c r="KDD753" s="574"/>
      <c r="KDE753" s="574"/>
      <c r="KDF753" s="574"/>
      <c r="KDG753" s="574"/>
      <c r="KDH753" s="574"/>
      <c r="KDI753" s="574"/>
      <c r="KDJ753" s="574"/>
      <c r="KDK753" s="574"/>
      <c r="KDL753" s="574"/>
      <c r="KDM753" s="574"/>
      <c r="KDN753" s="574"/>
      <c r="KDO753" s="574"/>
      <c r="KDP753" s="574"/>
      <c r="KDQ753" s="574"/>
      <c r="KDR753" s="574"/>
      <c r="KDS753" s="574"/>
      <c r="KDT753" s="574"/>
      <c r="KDU753" s="574"/>
      <c r="KDV753" s="574"/>
      <c r="KDW753" s="574"/>
      <c r="KDX753" s="574"/>
      <c r="KDY753" s="574"/>
      <c r="KDZ753" s="574"/>
      <c r="KEA753" s="574"/>
      <c r="KEB753" s="574"/>
      <c r="KEC753" s="574"/>
      <c r="KED753" s="574"/>
      <c r="KEE753" s="574"/>
      <c r="KEF753" s="574"/>
      <c r="KEG753" s="574"/>
      <c r="KEH753" s="574"/>
      <c r="KEI753" s="574"/>
      <c r="KEJ753" s="574"/>
      <c r="KEK753" s="574"/>
      <c r="KEL753" s="574"/>
      <c r="KEM753" s="574"/>
      <c r="KEN753" s="574"/>
      <c r="KEO753" s="574"/>
      <c r="KEP753" s="574"/>
      <c r="KEQ753" s="574"/>
      <c r="KER753" s="574"/>
      <c r="KES753" s="574"/>
      <c r="KET753" s="574"/>
      <c r="KEU753" s="574"/>
      <c r="KEV753" s="574"/>
      <c r="KEW753" s="574"/>
      <c r="KEX753" s="574"/>
      <c r="KEY753" s="574"/>
      <c r="KEZ753" s="574"/>
      <c r="KFA753" s="574"/>
      <c r="KFB753" s="574"/>
      <c r="KFC753" s="574"/>
      <c r="KFD753" s="574"/>
      <c r="KFE753" s="574"/>
      <c r="KFF753" s="574"/>
      <c r="KFG753" s="574"/>
      <c r="KFH753" s="574"/>
      <c r="KFI753" s="574"/>
      <c r="KFJ753" s="574"/>
      <c r="KFK753" s="574"/>
      <c r="KFL753" s="574"/>
      <c r="KFM753" s="574"/>
      <c r="KFN753" s="574"/>
      <c r="KFO753" s="574"/>
      <c r="KFP753" s="574"/>
      <c r="KFQ753" s="574"/>
      <c r="KFR753" s="574"/>
      <c r="KFS753" s="574"/>
      <c r="KFT753" s="574"/>
      <c r="KFU753" s="574"/>
      <c r="KFV753" s="574"/>
      <c r="KFW753" s="574"/>
      <c r="KFX753" s="574"/>
      <c r="KFY753" s="574"/>
      <c r="KFZ753" s="574"/>
      <c r="KGA753" s="574"/>
      <c r="KGB753" s="574"/>
      <c r="KGC753" s="574"/>
      <c r="KGD753" s="574"/>
      <c r="KGE753" s="574"/>
      <c r="KGF753" s="574"/>
      <c r="KGG753" s="574"/>
      <c r="KGH753" s="574"/>
      <c r="KGI753" s="574"/>
      <c r="KGJ753" s="574"/>
      <c r="KGK753" s="574"/>
      <c r="KGL753" s="574"/>
      <c r="KGM753" s="574"/>
      <c r="KGN753" s="574"/>
      <c r="KGO753" s="574"/>
      <c r="KGP753" s="574"/>
      <c r="KGQ753" s="574"/>
      <c r="KGR753" s="574"/>
      <c r="KGS753" s="574"/>
      <c r="KGT753" s="574"/>
      <c r="KGU753" s="574"/>
      <c r="KGV753" s="574"/>
      <c r="KGW753" s="574"/>
      <c r="KGX753" s="574"/>
      <c r="KGY753" s="574"/>
      <c r="KGZ753" s="574"/>
      <c r="KHA753" s="574"/>
      <c r="KHB753" s="574"/>
      <c r="KHC753" s="574"/>
      <c r="KHD753" s="574"/>
      <c r="KHE753" s="574"/>
      <c r="KHF753" s="574"/>
      <c r="KHG753" s="574"/>
      <c r="KHH753" s="574"/>
      <c r="KHI753" s="574"/>
      <c r="KHJ753" s="574"/>
      <c r="KHK753" s="574"/>
      <c r="KHL753" s="574"/>
      <c r="KHM753" s="574"/>
      <c r="KHN753" s="574"/>
      <c r="KHO753" s="574"/>
      <c r="KHP753" s="574"/>
      <c r="KHQ753" s="574"/>
      <c r="KHR753" s="574"/>
      <c r="KHS753" s="574"/>
      <c r="KHT753" s="574"/>
      <c r="KHU753" s="574"/>
      <c r="KHV753" s="574"/>
      <c r="KHW753" s="574"/>
      <c r="KHX753" s="574"/>
      <c r="KHY753" s="574"/>
      <c r="KHZ753" s="574"/>
      <c r="KIA753" s="574"/>
      <c r="KIB753" s="574"/>
      <c r="KIC753" s="574"/>
      <c r="KID753" s="574"/>
      <c r="KIE753" s="574"/>
      <c r="KIF753" s="574"/>
      <c r="KIG753" s="574"/>
      <c r="KIH753" s="574"/>
      <c r="KII753" s="574"/>
      <c r="KIJ753" s="574"/>
      <c r="KIK753" s="574"/>
      <c r="KIL753" s="574"/>
      <c r="KIM753" s="574"/>
      <c r="KIN753" s="574"/>
      <c r="KIO753" s="574"/>
      <c r="KIP753" s="574"/>
      <c r="KIQ753" s="574"/>
      <c r="KIR753" s="574"/>
      <c r="KIS753" s="574"/>
      <c r="KIT753" s="574"/>
      <c r="KIU753" s="574"/>
      <c r="KIV753" s="574"/>
      <c r="KIW753" s="574"/>
      <c r="KIX753" s="574"/>
      <c r="KIY753" s="574"/>
      <c r="KIZ753" s="574"/>
      <c r="KJA753" s="574"/>
      <c r="KJB753" s="574"/>
      <c r="KJC753" s="574"/>
      <c r="KJD753" s="574"/>
      <c r="KJE753" s="574"/>
      <c r="KJF753" s="574"/>
      <c r="KJG753" s="574"/>
      <c r="KJH753" s="574"/>
      <c r="KJI753" s="574"/>
      <c r="KJJ753" s="574"/>
      <c r="KJK753" s="574"/>
      <c r="KJL753" s="574"/>
      <c r="KJM753" s="574"/>
      <c r="KJN753" s="574"/>
      <c r="KJO753" s="574"/>
      <c r="KJP753" s="574"/>
      <c r="KJQ753" s="574"/>
      <c r="KJR753" s="574"/>
      <c r="KJS753" s="574"/>
      <c r="KJT753" s="574"/>
      <c r="KJU753" s="574"/>
      <c r="KJV753" s="574"/>
      <c r="KJW753" s="574"/>
      <c r="KJX753" s="574"/>
      <c r="KJY753" s="574"/>
      <c r="KJZ753" s="574"/>
      <c r="KKA753" s="574"/>
      <c r="KKB753" s="574"/>
      <c r="KKC753" s="574"/>
      <c r="KKD753" s="574"/>
      <c r="KKE753" s="574"/>
      <c r="KKF753" s="574"/>
      <c r="KKG753" s="574"/>
      <c r="KKH753" s="574"/>
      <c r="KKI753" s="574"/>
      <c r="KKJ753" s="574"/>
      <c r="KKK753" s="574"/>
      <c r="KKL753" s="574"/>
      <c r="KKM753" s="574"/>
      <c r="KKN753" s="574"/>
      <c r="KKO753" s="574"/>
      <c r="KKP753" s="574"/>
      <c r="KKQ753" s="574"/>
      <c r="KKR753" s="574"/>
      <c r="KKS753" s="574"/>
      <c r="KKT753" s="574"/>
      <c r="KKU753" s="574"/>
      <c r="KKV753" s="574"/>
      <c r="KKW753" s="574"/>
      <c r="KKX753" s="574"/>
      <c r="KKY753" s="574"/>
      <c r="KKZ753" s="574"/>
      <c r="KLA753" s="574"/>
      <c r="KLB753" s="574"/>
      <c r="KLC753" s="574"/>
      <c r="KLD753" s="574"/>
      <c r="KLE753" s="574"/>
      <c r="KLF753" s="574"/>
      <c r="KLG753" s="574"/>
      <c r="KLH753" s="574"/>
      <c r="KLI753" s="574"/>
      <c r="KLJ753" s="574"/>
      <c r="KLK753" s="574"/>
      <c r="KLL753" s="574"/>
      <c r="KLM753" s="574"/>
      <c r="KLN753" s="574"/>
      <c r="KLO753" s="574"/>
      <c r="KLP753" s="574"/>
      <c r="KLQ753" s="574"/>
      <c r="KLR753" s="574"/>
      <c r="KLS753" s="574"/>
      <c r="KLT753" s="574"/>
      <c r="KLU753" s="574"/>
      <c r="KLV753" s="574"/>
      <c r="KLW753" s="574"/>
      <c r="KLX753" s="574"/>
      <c r="KLY753" s="574"/>
      <c r="KLZ753" s="574"/>
      <c r="KMA753" s="574"/>
      <c r="KMB753" s="574"/>
      <c r="KMC753" s="574"/>
      <c r="KMD753" s="574"/>
      <c r="KME753" s="574"/>
      <c r="KMF753" s="574"/>
      <c r="KMG753" s="574"/>
      <c r="KMH753" s="574"/>
      <c r="KMI753" s="574"/>
      <c r="KMJ753" s="574"/>
      <c r="KMK753" s="574"/>
      <c r="KML753" s="574"/>
      <c r="KMM753" s="574"/>
      <c r="KMN753" s="574"/>
      <c r="KMO753" s="574"/>
      <c r="KMP753" s="574"/>
      <c r="KMQ753" s="574"/>
      <c r="KMR753" s="574"/>
      <c r="KMS753" s="574"/>
      <c r="KMT753" s="574"/>
      <c r="KMU753" s="574"/>
      <c r="KMV753" s="574"/>
      <c r="KMW753" s="574"/>
      <c r="KMX753" s="574"/>
      <c r="KMY753" s="574"/>
      <c r="KMZ753" s="574"/>
      <c r="KNA753" s="574"/>
      <c r="KNB753" s="574"/>
      <c r="KNC753" s="574"/>
      <c r="KND753" s="574"/>
      <c r="KNE753" s="574"/>
      <c r="KNF753" s="574"/>
      <c r="KNG753" s="574"/>
      <c r="KNH753" s="574"/>
      <c r="KNI753" s="574"/>
      <c r="KNJ753" s="574"/>
      <c r="KNK753" s="574"/>
      <c r="KNL753" s="574"/>
      <c r="KNM753" s="574"/>
      <c r="KNN753" s="574"/>
      <c r="KNO753" s="574"/>
      <c r="KNP753" s="574"/>
      <c r="KNQ753" s="574"/>
      <c r="KNR753" s="574"/>
      <c r="KNS753" s="574"/>
      <c r="KNT753" s="574"/>
      <c r="KNU753" s="574"/>
      <c r="KNV753" s="574"/>
      <c r="KNW753" s="574"/>
      <c r="KNX753" s="574"/>
      <c r="KNY753" s="574"/>
      <c r="KNZ753" s="574"/>
      <c r="KOA753" s="574"/>
      <c r="KOB753" s="574"/>
      <c r="KOC753" s="574"/>
      <c r="KOD753" s="574"/>
      <c r="KOE753" s="574"/>
      <c r="KOF753" s="574"/>
      <c r="KOG753" s="574"/>
      <c r="KOH753" s="574"/>
      <c r="KOI753" s="574"/>
      <c r="KOJ753" s="574"/>
      <c r="KOK753" s="574"/>
      <c r="KOL753" s="574"/>
      <c r="KOM753" s="574"/>
      <c r="KON753" s="574"/>
      <c r="KOO753" s="574"/>
      <c r="KOP753" s="574"/>
      <c r="KOQ753" s="574"/>
      <c r="KOR753" s="574"/>
      <c r="KOS753" s="574"/>
      <c r="KOT753" s="574"/>
      <c r="KOU753" s="574"/>
      <c r="KOV753" s="574"/>
      <c r="KOW753" s="574"/>
      <c r="KOX753" s="574"/>
      <c r="KOY753" s="574"/>
      <c r="KOZ753" s="574"/>
      <c r="KPA753" s="574"/>
      <c r="KPB753" s="574"/>
      <c r="KPC753" s="574"/>
      <c r="KPD753" s="574"/>
      <c r="KPE753" s="574"/>
      <c r="KPF753" s="574"/>
      <c r="KPG753" s="574"/>
      <c r="KPH753" s="574"/>
      <c r="KPI753" s="574"/>
      <c r="KPJ753" s="574"/>
      <c r="KPK753" s="574"/>
      <c r="KPL753" s="574"/>
      <c r="KPM753" s="574"/>
      <c r="KPN753" s="574"/>
      <c r="KPO753" s="574"/>
      <c r="KPP753" s="574"/>
      <c r="KPQ753" s="574"/>
      <c r="KPR753" s="574"/>
      <c r="KPS753" s="574"/>
      <c r="KPT753" s="574"/>
      <c r="KPU753" s="574"/>
      <c r="KPV753" s="574"/>
      <c r="KPW753" s="574"/>
      <c r="KPX753" s="574"/>
      <c r="KPY753" s="574"/>
      <c r="KPZ753" s="574"/>
      <c r="KQA753" s="574"/>
      <c r="KQB753" s="574"/>
      <c r="KQC753" s="574"/>
      <c r="KQD753" s="574"/>
      <c r="KQE753" s="574"/>
      <c r="KQF753" s="574"/>
      <c r="KQG753" s="574"/>
      <c r="KQH753" s="574"/>
      <c r="KQI753" s="574"/>
      <c r="KQJ753" s="574"/>
      <c r="KQK753" s="574"/>
      <c r="KQL753" s="574"/>
      <c r="KQM753" s="574"/>
      <c r="KQN753" s="574"/>
      <c r="KQO753" s="574"/>
      <c r="KQP753" s="574"/>
      <c r="KQQ753" s="574"/>
      <c r="KQR753" s="574"/>
      <c r="KQS753" s="574"/>
      <c r="KQT753" s="574"/>
      <c r="KQU753" s="574"/>
      <c r="KQV753" s="574"/>
      <c r="KQW753" s="574"/>
      <c r="KQX753" s="574"/>
      <c r="KQY753" s="574"/>
      <c r="KQZ753" s="574"/>
      <c r="KRA753" s="574"/>
      <c r="KRB753" s="574"/>
      <c r="KRC753" s="574"/>
      <c r="KRD753" s="574"/>
      <c r="KRE753" s="574"/>
      <c r="KRF753" s="574"/>
      <c r="KRG753" s="574"/>
      <c r="KRH753" s="574"/>
      <c r="KRI753" s="574"/>
      <c r="KRJ753" s="574"/>
      <c r="KRK753" s="574"/>
      <c r="KRL753" s="574"/>
      <c r="KRM753" s="574"/>
      <c r="KRN753" s="574"/>
      <c r="KRO753" s="574"/>
      <c r="KRP753" s="574"/>
      <c r="KRQ753" s="574"/>
      <c r="KRR753" s="574"/>
      <c r="KRS753" s="574"/>
      <c r="KRT753" s="574"/>
      <c r="KRU753" s="574"/>
      <c r="KRV753" s="574"/>
      <c r="KRW753" s="574"/>
      <c r="KRX753" s="574"/>
      <c r="KRY753" s="574"/>
      <c r="KRZ753" s="574"/>
      <c r="KSA753" s="574"/>
      <c r="KSB753" s="574"/>
      <c r="KSC753" s="574"/>
      <c r="KSD753" s="574"/>
      <c r="KSE753" s="574"/>
      <c r="KSF753" s="574"/>
      <c r="KSG753" s="574"/>
      <c r="KSH753" s="574"/>
      <c r="KSI753" s="574"/>
      <c r="KSJ753" s="574"/>
      <c r="KSK753" s="574"/>
      <c r="KSL753" s="574"/>
      <c r="KSM753" s="574"/>
      <c r="KSN753" s="574"/>
      <c r="KSO753" s="574"/>
      <c r="KSP753" s="574"/>
      <c r="KSQ753" s="574"/>
      <c r="KSR753" s="574"/>
      <c r="KSS753" s="574"/>
      <c r="KST753" s="574"/>
      <c r="KSU753" s="574"/>
      <c r="KSV753" s="574"/>
      <c r="KSW753" s="574"/>
      <c r="KSX753" s="574"/>
      <c r="KSY753" s="574"/>
      <c r="KSZ753" s="574"/>
      <c r="KTA753" s="574"/>
      <c r="KTB753" s="574"/>
      <c r="KTC753" s="574"/>
      <c r="KTD753" s="574"/>
      <c r="KTE753" s="574"/>
      <c r="KTF753" s="574"/>
      <c r="KTG753" s="574"/>
      <c r="KTH753" s="574"/>
      <c r="KTI753" s="574"/>
      <c r="KTJ753" s="574"/>
      <c r="KTK753" s="574"/>
      <c r="KTL753" s="574"/>
      <c r="KTM753" s="574"/>
      <c r="KTN753" s="574"/>
      <c r="KTO753" s="574"/>
      <c r="KTP753" s="574"/>
      <c r="KTQ753" s="574"/>
      <c r="KTR753" s="574"/>
      <c r="KTS753" s="574"/>
      <c r="KTT753" s="574"/>
      <c r="KTU753" s="574"/>
      <c r="KTV753" s="574"/>
      <c r="KTW753" s="574"/>
      <c r="KTX753" s="574"/>
      <c r="KTY753" s="574"/>
      <c r="KTZ753" s="574"/>
      <c r="KUA753" s="574"/>
      <c r="KUB753" s="574"/>
      <c r="KUC753" s="574"/>
      <c r="KUD753" s="574"/>
      <c r="KUE753" s="574"/>
      <c r="KUF753" s="574"/>
      <c r="KUG753" s="574"/>
      <c r="KUH753" s="574"/>
      <c r="KUI753" s="574"/>
      <c r="KUJ753" s="574"/>
      <c r="KUK753" s="574"/>
      <c r="KUL753" s="574"/>
      <c r="KUM753" s="574"/>
      <c r="KUN753" s="574"/>
      <c r="KUO753" s="574"/>
      <c r="KUP753" s="574"/>
      <c r="KUQ753" s="574"/>
      <c r="KUR753" s="574"/>
      <c r="KUS753" s="574"/>
      <c r="KUT753" s="574"/>
      <c r="KUU753" s="574"/>
      <c r="KUV753" s="574"/>
      <c r="KUW753" s="574"/>
      <c r="KUX753" s="574"/>
      <c r="KUY753" s="574"/>
      <c r="KUZ753" s="574"/>
      <c r="KVA753" s="574"/>
      <c r="KVB753" s="574"/>
      <c r="KVC753" s="574"/>
      <c r="KVD753" s="574"/>
      <c r="KVE753" s="574"/>
      <c r="KVF753" s="574"/>
      <c r="KVG753" s="574"/>
      <c r="KVH753" s="574"/>
      <c r="KVI753" s="574"/>
      <c r="KVJ753" s="574"/>
      <c r="KVK753" s="574"/>
      <c r="KVL753" s="574"/>
      <c r="KVM753" s="574"/>
      <c r="KVN753" s="574"/>
      <c r="KVO753" s="574"/>
      <c r="KVP753" s="574"/>
      <c r="KVQ753" s="574"/>
      <c r="KVR753" s="574"/>
      <c r="KVS753" s="574"/>
      <c r="KVT753" s="574"/>
      <c r="KVU753" s="574"/>
      <c r="KVV753" s="574"/>
      <c r="KVW753" s="574"/>
      <c r="KVX753" s="574"/>
      <c r="KVY753" s="574"/>
      <c r="KVZ753" s="574"/>
      <c r="KWA753" s="574"/>
      <c r="KWB753" s="574"/>
      <c r="KWC753" s="574"/>
      <c r="KWD753" s="574"/>
      <c r="KWE753" s="574"/>
      <c r="KWF753" s="574"/>
      <c r="KWG753" s="574"/>
      <c r="KWH753" s="574"/>
      <c r="KWI753" s="574"/>
      <c r="KWJ753" s="574"/>
      <c r="KWK753" s="574"/>
      <c r="KWL753" s="574"/>
      <c r="KWM753" s="574"/>
      <c r="KWN753" s="574"/>
      <c r="KWO753" s="574"/>
      <c r="KWP753" s="574"/>
      <c r="KWQ753" s="574"/>
      <c r="KWR753" s="574"/>
      <c r="KWS753" s="574"/>
      <c r="KWT753" s="574"/>
      <c r="KWU753" s="574"/>
      <c r="KWV753" s="574"/>
      <c r="KWW753" s="574"/>
      <c r="KWX753" s="574"/>
      <c r="KWY753" s="574"/>
      <c r="KWZ753" s="574"/>
      <c r="KXA753" s="574"/>
      <c r="KXB753" s="574"/>
      <c r="KXC753" s="574"/>
      <c r="KXD753" s="574"/>
      <c r="KXE753" s="574"/>
      <c r="KXF753" s="574"/>
      <c r="KXG753" s="574"/>
      <c r="KXH753" s="574"/>
      <c r="KXI753" s="574"/>
      <c r="KXJ753" s="574"/>
      <c r="KXK753" s="574"/>
      <c r="KXL753" s="574"/>
      <c r="KXM753" s="574"/>
      <c r="KXN753" s="574"/>
      <c r="KXO753" s="574"/>
      <c r="KXP753" s="574"/>
      <c r="KXQ753" s="574"/>
      <c r="KXR753" s="574"/>
      <c r="KXS753" s="574"/>
      <c r="KXT753" s="574"/>
      <c r="KXU753" s="574"/>
      <c r="KXV753" s="574"/>
      <c r="KXW753" s="574"/>
      <c r="KXX753" s="574"/>
      <c r="KXY753" s="574"/>
      <c r="KXZ753" s="574"/>
      <c r="KYA753" s="574"/>
      <c r="KYB753" s="574"/>
      <c r="KYC753" s="574"/>
      <c r="KYD753" s="574"/>
      <c r="KYE753" s="574"/>
      <c r="KYF753" s="574"/>
      <c r="KYG753" s="574"/>
      <c r="KYH753" s="574"/>
      <c r="KYI753" s="574"/>
      <c r="KYJ753" s="574"/>
      <c r="KYK753" s="574"/>
      <c r="KYL753" s="574"/>
      <c r="KYM753" s="574"/>
      <c r="KYN753" s="574"/>
      <c r="KYO753" s="574"/>
      <c r="KYP753" s="574"/>
      <c r="KYQ753" s="574"/>
      <c r="KYR753" s="574"/>
      <c r="KYS753" s="574"/>
      <c r="KYT753" s="574"/>
      <c r="KYU753" s="574"/>
      <c r="KYV753" s="574"/>
      <c r="KYW753" s="574"/>
      <c r="KYX753" s="574"/>
      <c r="KYY753" s="574"/>
      <c r="KYZ753" s="574"/>
      <c r="KZA753" s="574"/>
      <c r="KZB753" s="574"/>
      <c r="KZC753" s="574"/>
      <c r="KZD753" s="574"/>
      <c r="KZE753" s="574"/>
      <c r="KZF753" s="574"/>
      <c r="KZG753" s="574"/>
      <c r="KZH753" s="574"/>
      <c r="KZI753" s="574"/>
      <c r="KZJ753" s="574"/>
      <c r="KZK753" s="574"/>
      <c r="KZL753" s="574"/>
      <c r="KZM753" s="574"/>
      <c r="KZN753" s="574"/>
      <c r="KZO753" s="574"/>
      <c r="KZP753" s="574"/>
      <c r="KZQ753" s="574"/>
      <c r="KZR753" s="574"/>
      <c r="KZS753" s="574"/>
      <c r="KZT753" s="574"/>
      <c r="KZU753" s="574"/>
      <c r="KZV753" s="574"/>
      <c r="KZW753" s="574"/>
      <c r="KZX753" s="574"/>
      <c r="KZY753" s="574"/>
      <c r="KZZ753" s="574"/>
      <c r="LAA753" s="574"/>
      <c r="LAB753" s="574"/>
      <c r="LAC753" s="574"/>
      <c r="LAD753" s="574"/>
      <c r="LAE753" s="574"/>
      <c r="LAF753" s="574"/>
      <c r="LAG753" s="574"/>
      <c r="LAH753" s="574"/>
      <c r="LAI753" s="574"/>
      <c r="LAJ753" s="574"/>
      <c r="LAK753" s="574"/>
      <c r="LAL753" s="574"/>
      <c r="LAM753" s="574"/>
      <c r="LAN753" s="574"/>
      <c r="LAO753" s="574"/>
      <c r="LAP753" s="574"/>
      <c r="LAQ753" s="574"/>
      <c r="LAR753" s="574"/>
      <c r="LAS753" s="574"/>
      <c r="LAT753" s="574"/>
      <c r="LAU753" s="574"/>
      <c r="LAV753" s="574"/>
      <c r="LAW753" s="574"/>
      <c r="LAX753" s="574"/>
      <c r="LAY753" s="574"/>
      <c r="LAZ753" s="574"/>
      <c r="LBA753" s="574"/>
      <c r="LBB753" s="574"/>
      <c r="LBC753" s="574"/>
      <c r="LBD753" s="574"/>
      <c r="LBE753" s="574"/>
      <c r="LBF753" s="574"/>
      <c r="LBG753" s="574"/>
      <c r="LBH753" s="574"/>
      <c r="LBI753" s="574"/>
      <c r="LBJ753" s="574"/>
      <c r="LBK753" s="574"/>
      <c r="LBL753" s="574"/>
      <c r="LBM753" s="574"/>
      <c r="LBN753" s="574"/>
      <c r="LBO753" s="574"/>
      <c r="LBP753" s="574"/>
      <c r="LBQ753" s="574"/>
      <c r="LBR753" s="574"/>
      <c r="LBS753" s="574"/>
      <c r="LBT753" s="574"/>
      <c r="LBU753" s="574"/>
      <c r="LBV753" s="574"/>
      <c r="LBW753" s="574"/>
      <c r="LBX753" s="574"/>
      <c r="LBY753" s="574"/>
      <c r="LBZ753" s="574"/>
      <c r="LCA753" s="574"/>
      <c r="LCB753" s="574"/>
      <c r="LCC753" s="574"/>
      <c r="LCD753" s="574"/>
      <c r="LCE753" s="574"/>
      <c r="LCF753" s="574"/>
      <c r="LCG753" s="574"/>
      <c r="LCH753" s="574"/>
      <c r="LCI753" s="574"/>
      <c r="LCJ753" s="574"/>
      <c r="LCK753" s="574"/>
      <c r="LCL753" s="574"/>
      <c r="LCM753" s="574"/>
      <c r="LCN753" s="574"/>
      <c r="LCO753" s="574"/>
      <c r="LCP753" s="574"/>
      <c r="LCQ753" s="574"/>
      <c r="LCR753" s="574"/>
      <c r="LCS753" s="574"/>
      <c r="LCT753" s="574"/>
      <c r="LCU753" s="574"/>
      <c r="LCV753" s="574"/>
      <c r="LCW753" s="574"/>
      <c r="LCX753" s="574"/>
      <c r="LCY753" s="574"/>
      <c r="LCZ753" s="574"/>
      <c r="LDA753" s="574"/>
      <c r="LDB753" s="574"/>
      <c r="LDC753" s="574"/>
      <c r="LDD753" s="574"/>
      <c r="LDE753" s="574"/>
      <c r="LDF753" s="574"/>
      <c r="LDG753" s="574"/>
      <c r="LDH753" s="574"/>
      <c r="LDI753" s="574"/>
      <c r="LDJ753" s="574"/>
      <c r="LDK753" s="574"/>
      <c r="LDL753" s="574"/>
      <c r="LDM753" s="574"/>
      <c r="LDN753" s="574"/>
      <c r="LDO753" s="574"/>
      <c r="LDP753" s="574"/>
      <c r="LDQ753" s="574"/>
      <c r="LDR753" s="574"/>
      <c r="LDS753" s="574"/>
      <c r="LDT753" s="574"/>
      <c r="LDU753" s="574"/>
      <c r="LDV753" s="574"/>
      <c r="LDW753" s="574"/>
      <c r="LDX753" s="574"/>
      <c r="LDY753" s="574"/>
      <c r="LDZ753" s="574"/>
      <c r="LEA753" s="574"/>
      <c r="LEB753" s="574"/>
      <c r="LEC753" s="574"/>
      <c r="LED753" s="574"/>
      <c r="LEE753" s="574"/>
      <c r="LEF753" s="574"/>
      <c r="LEG753" s="574"/>
      <c r="LEH753" s="574"/>
      <c r="LEI753" s="574"/>
      <c r="LEJ753" s="574"/>
      <c r="LEK753" s="574"/>
      <c r="LEL753" s="574"/>
      <c r="LEM753" s="574"/>
      <c r="LEN753" s="574"/>
      <c r="LEO753" s="574"/>
      <c r="LEP753" s="574"/>
      <c r="LEQ753" s="574"/>
      <c r="LER753" s="574"/>
      <c r="LES753" s="574"/>
      <c r="LET753" s="574"/>
      <c r="LEU753" s="574"/>
      <c r="LEV753" s="574"/>
      <c r="LEW753" s="574"/>
      <c r="LEX753" s="574"/>
      <c r="LEY753" s="574"/>
      <c r="LEZ753" s="574"/>
      <c r="LFA753" s="574"/>
      <c r="LFB753" s="574"/>
      <c r="LFC753" s="574"/>
      <c r="LFD753" s="574"/>
      <c r="LFE753" s="574"/>
      <c r="LFF753" s="574"/>
      <c r="LFG753" s="574"/>
      <c r="LFH753" s="574"/>
      <c r="LFI753" s="574"/>
      <c r="LFJ753" s="574"/>
      <c r="LFK753" s="574"/>
      <c r="LFL753" s="574"/>
      <c r="LFM753" s="574"/>
      <c r="LFN753" s="574"/>
      <c r="LFO753" s="574"/>
      <c r="LFP753" s="574"/>
      <c r="LFQ753" s="574"/>
      <c r="LFR753" s="574"/>
      <c r="LFS753" s="574"/>
      <c r="LFT753" s="574"/>
      <c r="LFU753" s="574"/>
      <c r="LFV753" s="574"/>
      <c r="LFW753" s="574"/>
      <c r="LFX753" s="574"/>
      <c r="LFY753" s="574"/>
      <c r="LFZ753" s="574"/>
      <c r="LGA753" s="574"/>
      <c r="LGB753" s="574"/>
      <c r="LGC753" s="574"/>
      <c r="LGD753" s="574"/>
      <c r="LGE753" s="574"/>
      <c r="LGF753" s="574"/>
      <c r="LGG753" s="574"/>
      <c r="LGH753" s="574"/>
      <c r="LGI753" s="574"/>
      <c r="LGJ753" s="574"/>
      <c r="LGK753" s="574"/>
      <c r="LGL753" s="574"/>
      <c r="LGM753" s="574"/>
      <c r="LGN753" s="574"/>
      <c r="LGO753" s="574"/>
      <c r="LGP753" s="574"/>
      <c r="LGQ753" s="574"/>
      <c r="LGR753" s="574"/>
      <c r="LGS753" s="574"/>
      <c r="LGT753" s="574"/>
      <c r="LGU753" s="574"/>
      <c r="LGV753" s="574"/>
      <c r="LGW753" s="574"/>
      <c r="LGX753" s="574"/>
      <c r="LGY753" s="574"/>
      <c r="LGZ753" s="574"/>
      <c r="LHA753" s="574"/>
      <c r="LHB753" s="574"/>
      <c r="LHC753" s="574"/>
      <c r="LHD753" s="574"/>
      <c r="LHE753" s="574"/>
      <c r="LHF753" s="574"/>
      <c r="LHG753" s="574"/>
      <c r="LHH753" s="574"/>
      <c r="LHI753" s="574"/>
      <c r="LHJ753" s="574"/>
      <c r="LHK753" s="574"/>
      <c r="LHL753" s="574"/>
      <c r="LHM753" s="574"/>
      <c r="LHN753" s="574"/>
      <c r="LHO753" s="574"/>
      <c r="LHP753" s="574"/>
      <c r="LHQ753" s="574"/>
      <c r="LHR753" s="574"/>
      <c r="LHS753" s="574"/>
      <c r="LHT753" s="574"/>
      <c r="LHU753" s="574"/>
      <c r="LHV753" s="574"/>
      <c r="LHW753" s="574"/>
      <c r="LHX753" s="574"/>
      <c r="LHY753" s="574"/>
      <c r="LHZ753" s="574"/>
      <c r="LIA753" s="574"/>
      <c r="LIB753" s="574"/>
      <c r="LIC753" s="574"/>
      <c r="LID753" s="574"/>
      <c r="LIE753" s="574"/>
      <c r="LIF753" s="574"/>
      <c r="LIG753" s="574"/>
      <c r="LIH753" s="574"/>
      <c r="LII753" s="574"/>
      <c r="LIJ753" s="574"/>
      <c r="LIK753" s="574"/>
      <c r="LIL753" s="574"/>
      <c r="LIM753" s="574"/>
      <c r="LIN753" s="574"/>
      <c r="LIO753" s="574"/>
      <c r="LIP753" s="574"/>
      <c r="LIQ753" s="574"/>
      <c r="LIR753" s="574"/>
      <c r="LIS753" s="574"/>
      <c r="LIT753" s="574"/>
      <c r="LIU753" s="574"/>
      <c r="LIV753" s="574"/>
      <c r="LIW753" s="574"/>
      <c r="LIX753" s="574"/>
      <c r="LIY753" s="574"/>
      <c r="LIZ753" s="574"/>
      <c r="LJA753" s="574"/>
      <c r="LJB753" s="574"/>
      <c r="LJC753" s="574"/>
      <c r="LJD753" s="574"/>
      <c r="LJE753" s="574"/>
      <c r="LJF753" s="574"/>
      <c r="LJG753" s="574"/>
      <c r="LJH753" s="574"/>
      <c r="LJI753" s="574"/>
      <c r="LJJ753" s="574"/>
      <c r="LJK753" s="574"/>
      <c r="LJL753" s="574"/>
      <c r="LJM753" s="574"/>
      <c r="LJN753" s="574"/>
      <c r="LJO753" s="574"/>
      <c r="LJP753" s="574"/>
      <c r="LJQ753" s="574"/>
      <c r="LJR753" s="574"/>
      <c r="LJS753" s="574"/>
      <c r="LJT753" s="574"/>
      <c r="LJU753" s="574"/>
      <c r="LJV753" s="574"/>
      <c r="LJW753" s="574"/>
      <c r="LJX753" s="574"/>
      <c r="LJY753" s="574"/>
      <c r="LJZ753" s="574"/>
      <c r="LKA753" s="574"/>
      <c r="LKB753" s="574"/>
      <c r="LKC753" s="574"/>
      <c r="LKD753" s="574"/>
      <c r="LKE753" s="574"/>
      <c r="LKF753" s="574"/>
      <c r="LKG753" s="574"/>
      <c r="LKH753" s="574"/>
      <c r="LKI753" s="574"/>
      <c r="LKJ753" s="574"/>
      <c r="LKK753" s="574"/>
      <c r="LKL753" s="574"/>
      <c r="LKM753" s="574"/>
      <c r="LKN753" s="574"/>
      <c r="LKO753" s="574"/>
      <c r="LKP753" s="574"/>
      <c r="LKQ753" s="574"/>
      <c r="LKR753" s="574"/>
      <c r="LKS753" s="574"/>
      <c r="LKT753" s="574"/>
      <c r="LKU753" s="574"/>
      <c r="LKV753" s="574"/>
      <c r="LKW753" s="574"/>
      <c r="LKX753" s="574"/>
      <c r="LKY753" s="574"/>
      <c r="LKZ753" s="574"/>
      <c r="LLA753" s="574"/>
      <c r="LLB753" s="574"/>
      <c r="LLC753" s="574"/>
      <c r="LLD753" s="574"/>
      <c r="LLE753" s="574"/>
      <c r="LLF753" s="574"/>
      <c r="LLG753" s="574"/>
      <c r="LLH753" s="574"/>
      <c r="LLI753" s="574"/>
      <c r="LLJ753" s="574"/>
      <c r="LLK753" s="574"/>
      <c r="LLL753" s="574"/>
      <c r="LLM753" s="574"/>
      <c r="LLN753" s="574"/>
      <c r="LLO753" s="574"/>
      <c r="LLP753" s="574"/>
      <c r="LLQ753" s="574"/>
      <c r="LLR753" s="574"/>
      <c r="LLS753" s="574"/>
      <c r="LLT753" s="574"/>
      <c r="LLU753" s="574"/>
      <c r="LLV753" s="574"/>
      <c r="LLW753" s="574"/>
      <c r="LLX753" s="574"/>
      <c r="LLY753" s="574"/>
      <c r="LLZ753" s="574"/>
      <c r="LMA753" s="574"/>
      <c r="LMB753" s="574"/>
      <c r="LMC753" s="574"/>
      <c r="LMD753" s="574"/>
      <c r="LME753" s="574"/>
      <c r="LMF753" s="574"/>
      <c r="LMG753" s="574"/>
      <c r="LMH753" s="574"/>
      <c r="LMI753" s="574"/>
      <c r="LMJ753" s="574"/>
      <c r="LMK753" s="574"/>
      <c r="LML753" s="574"/>
      <c r="LMM753" s="574"/>
      <c r="LMN753" s="574"/>
      <c r="LMO753" s="574"/>
      <c r="LMP753" s="574"/>
      <c r="LMQ753" s="574"/>
      <c r="LMR753" s="574"/>
      <c r="LMS753" s="574"/>
      <c r="LMT753" s="574"/>
      <c r="LMU753" s="574"/>
      <c r="LMV753" s="574"/>
      <c r="LMW753" s="574"/>
      <c r="LMX753" s="574"/>
      <c r="LMY753" s="574"/>
      <c r="LMZ753" s="574"/>
      <c r="LNA753" s="574"/>
      <c r="LNB753" s="574"/>
      <c r="LNC753" s="574"/>
      <c r="LND753" s="574"/>
      <c r="LNE753" s="574"/>
      <c r="LNF753" s="574"/>
      <c r="LNG753" s="574"/>
      <c r="LNH753" s="574"/>
      <c r="LNI753" s="574"/>
      <c r="LNJ753" s="574"/>
      <c r="LNK753" s="574"/>
      <c r="LNL753" s="574"/>
      <c r="LNM753" s="574"/>
      <c r="LNN753" s="574"/>
      <c r="LNO753" s="574"/>
      <c r="LNP753" s="574"/>
      <c r="LNQ753" s="574"/>
      <c r="LNR753" s="574"/>
      <c r="LNS753" s="574"/>
      <c r="LNT753" s="574"/>
      <c r="LNU753" s="574"/>
      <c r="LNV753" s="574"/>
      <c r="LNW753" s="574"/>
      <c r="LNX753" s="574"/>
      <c r="LNY753" s="574"/>
      <c r="LNZ753" s="574"/>
      <c r="LOA753" s="574"/>
      <c r="LOB753" s="574"/>
      <c r="LOC753" s="574"/>
      <c r="LOD753" s="574"/>
      <c r="LOE753" s="574"/>
      <c r="LOF753" s="574"/>
      <c r="LOG753" s="574"/>
      <c r="LOH753" s="574"/>
      <c r="LOI753" s="574"/>
      <c r="LOJ753" s="574"/>
      <c r="LOK753" s="574"/>
      <c r="LOL753" s="574"/>
      <c r="LOM753" s="574"/>
      <c r="LON753" s="574"/>
      <c r="LOO753" s="574"/>
      <c r="LOP753" s="574"/>
      <c r="LOQ753" s="574"/>
      <c r="LOR753" s="574"/>
      <c r="LOS753" s="574"/>
      <c r="LOT753" s="574"/>
      <c r="LOU753" s="574"/>
      <c r="LOV753" s="574"/>
      <c r="LOW753" s="574"/>
      <c r="LOX753" s="574"/>
      <c r="LOY753" s="574"/>
      <c r="LOZ753" s="574"/>
      <c r="LPA753" s="574"/>
      <c r="LPB753" s="574"/>
      <c r="LPC753" s="574"/>
      <c r="LPD753" s="574"/>
      <c r="LPE753" s="574"/>
      <c r="LPF753" s="574"/>
      <c r="LPG753" s="574"/>
      <c r="LPH753" s="574"/>
      <c r="LPI753" s="574"/>
      <c r="LPJ753" s="574"/>
      <c r="LPK753" s="574"/>
      <c r="LPL753" s="574"/>
      <c r="LPM753" s="574"/>
      <c r="LPN753" s="574"/>
      <c r="LPO753" s="574"/>
      <c r="LPP753" s="574"/>
      <c r="LPQ753" s="574"/>
      <c r="LPR753" s="574"/>
      <c r="LPS753" s="574"/>
      <c r="LPT753" s="574"/>
      <c r="LPU753" s="574"/>
      <c r="LPV753" s="574"/>
      <c r="LPW753" s="574"/>
      <c r="LPX753" s="574"/>
      <c r="LPY753" s="574"/>
      <c r="LPZ753" s="574"/>
      <c r="LQA753" s="574"/>
      <c r="LQB753" s="574"/>
      <c r="LQC753" s="574"/>
      <c r="LQD753" s="574"/>
      <c r="LQE753" s="574"/>
      <c r="LQF753" s="574"/>
      <c r="LQG753" s="574"/>
      <c r="LQH753" s="574"/>
      <c r="LQI753" s="574"/>
      <c r="LQJ753" s="574"/>
      <c r="LQK753" s="574"/>
      <c r="LQL753" s="574"/>
      <c r="LQM753" s="574"/>
      <c r="LQN753" s="574"/>
      <c r="LQO753" s="574"/>
      <c r="LQP753" s="574"/>
      <c r="LQQ753" s="574"/>
      <c r="LQR753" s="574"/>
      <c r="LQS753" s="574"/>
      <c r="LQT753" s="574"/>
      <c r="LQU753" s="574"/>
      <c r="LQV753" s="574"/>
      <c r="LQW753" s="574"/>
      <c r="LQX753" s="574"/>
      <c r="LQY753" s="574"/>
      <c r="LQZ753" s="574"/>
      <c r="LRA753" s="574"/>
      <c r="LRB753" s="574"/>
      <c r="LRC753" s="574"/>
      <c r="LRD753" s="574"/>
      <c r="LRE753" s="574"/>
      <c r="LRF753" s="574"/>
      <c r="LRG753" s="574"/>
      <c r="LRH753" s="574"/>
      <c r="LRI753" s="574"/>
      <c r="LRJ753" s="574"/>
      <c r="LRK753" s="574"/>
      <c r="LRL753" s="574"/>
      <c r="LRM753" s="574"/>
      <c r="LRN753" s="574"/>
      <c r="LRO753" s="574"/>
      <c r="LRP753" s="574"/>
      <c r="LRQ753" s="574"/>
      <c r="LRR753" s="574"/>
      <c r="LRS753" s="574"/>
      <c r="LRT753" s="574"/>
      <c r="LRU753" s="574"/>
      <c r="LRV753" s="574"/>
      <c r="LRW753" s="574"/>
      <c r="LRX753" s="574"/>
      <c r="LRY753" s="574"/>
      <c r="LRZ753" s="574"/>
      <c r="LSA753" s="574"/>
      <c r="LSB753" s="574"/>
      <c r="LSC753" s="574"/>
      <c r="LSD753" s="574"/>
      <c r="LSE753" s="574"/>
      <c r="LSF753" s="574"/>
      <c r="LSG753" s="574"/>
      <c r="LSH753" s="574"/>
      <c r="LSI753" s="574"/>
      <c r="LSJ753" s="574"/>
      <c r="LSK753" s="574"/>
      <c r="LSL753" s="574"/>
      <c r="LSM753" s="574"/>
      <c r="LSN753" s="574"/>
      <c r="LSO753" s="574"/>
      <c r="LSP753" s="574"/>
      <c r="LSQ753" s="574"/>
      <c r="LSR753" s="574"/>
      <c r="LSS753" s="574"/>
      <c r="LST753" s="574"/>
      <c r="LSU753" s="574"/>
      <c r="LSV753" s="574"/>
      <c r="LSW753" s="574"/>
      <c r="LSX753" s="574"/>
      <c r="LSY753" s="574"/>
      <c r="LSZ753" s="574"/>
      <c r="LTA753" s="574"/>
      <c r="LTB753" s="574"/>
      <c r="LTC753" s="574"/>
      <c r="LTD753" s="574"/>
      <c r="LTE753" s="574"/>
      <c r="LTF753" s="574"/>
      <c r="LTG753" s="574"/>
      <c r="LTH753" s="574"/>
      <c r="LTI753" s="574"/>
      <c r="LTJ753" s="574"/>
      <c r="LTK753" s="574"/>
      <c r="LTL753" s="574"/>
      <c r="LTM753" s="574"/>
      <c r="LTN753" s="574"/>
      <c r="LTO753" s="574"/>
      <c r="LTP753" s="574"/>
      <c r="LTQ753" s="574"/>
      <c r="LTR753" s="574"/>
      <c r="LTS753" s="574"/>
      <c r="LTT753" s="574"/>
      <c r="LTU753" s="574"/>
      <c r="LTV753" s="574"/>
      <c r="LTW753" s="574"/>
      <c r="LTX753" s="574"/>
      <c r="LTY753" s="574"/>
      <c r="LTZ753" s="574"/>
      <c r="LUA753" s="574"/>
      <c r="LUB753" s="574"/>
      <c r="LUC753" s="574"/>
      <c r="LUD753" s="574"/>
      <c r="LUE753" s="574"/>
      <c r="LUF753" s="574"/>
      <c r="LUG753" s="574"/>
      <c r="LUH753" s="574"/>
      <c r="LUI753" s="574"/>
      <c r="LUJ753" s="574"/>
      <c r="LUK753" s="574"/>
      <c r="LUL753" s="574"/>
      <c r="LUM753" s="574"/>
      <c r="LUN753" s="574"/>
      <c r="LUO753" s="574"/>
      <c r="LUP753" s="574"/>
      <c r="LUQ753" s="574"/>
      <c r="LUR753" s="574"/>
      <c r="LUS753" s="574"/>
      <c r="LUT753" s="574"/>
      <c r="LUU753" s="574"/>
      <c r="LUV753" s="574"/>
      <c r="LUW753" s="574"/>
      <c r="LUX753" s="574"/>
      <c r="LUY753" s="574"/>
      <c r="LUZ753" s="574"/>
      <c r="LVA753" s="574"/>
      <c r="LVB753" s="574"/>
      <c r="LVC753" s="574"/>
      <c r="LVD753" s="574"/>
      <c r="LVE753" s="574"/>
      <c r="LVF753" s="574"/>
      <c r="LVG753" s="574"/>
      <c r="LVH753" s="574"/>
      <c r="LVI753" s="574"/>
      <c r="LVJ753" s="574"/>
      <c r="LVK753" s="574"/>
      <c r="LVL753" s="574"/>
      <c r="LVM753" s="574"/>
      <c r="LVN753" s="574"/>
      <c r="LVO753" s="574"/>
      <c r="LVP753" s="574"/>
      <c r="LVQ753" s="574"/>
      <c r="LVR753" s="574"/>
      <c r="LVS753" s="574"/>
      <c r="LVT753" s="574"/>
      <c r="LVU753" s="574"/>
      <c r="LVV753" s="574"/>
      <c r="LVW753" s="574"/>
      <c r="LVX753" s="574"/>
      <c r="LVY753" s="574"/>
      <c r="LVZ753" s="574"/>
      <c r="LWA753" s="574"/>
      <c r="LWB753" s="574"/>
      <c r="LWC753" s="574"/>
      <c r="LWD753" s="574"/>
      <c r="LWE753" s="574"/>
      <c r="LWF753" s="574"/>
      <c r="LWG753" s="574"/>
      <c r="LWH753" s="574"/>
      <c r="LWI753" s="574"/>
      <c r="LWJ753" s="574"/>
      <c r="LWK753" s="574"/>
      <c r="LWL753" s="574"/>
      <c r="LWM753" s="574"/>
      <c r="LWN753" s="574"/>
      <c r="LWO753" s="574"/>
      <c r="LWP753" s="574"/>
      <c r="LWQ753" s="574"/>
      <c r="LWR753" s="574"/>
      <c r="LWS753" s="574"/>
      <c r="LWT753" s="574"/>
      <c r="LWU753" s="574"/>
      <c r="LWV753" s="574"/>
      <c r="LWW753" s="574"/>
      <c r="LWX753" s="574"/>
      <c r="LWY753" s="574"/>
      <c r="LWZ753" s="574"/>
      <c r="LXA753" s="574"/>
      <c r="LXB753" s="574"/>
      <c r="LXC753" s="574"/>
      <c r="LXD753" s="574"/>
      <c r="LXE753" s="574"/>
      <c r="LXF753" s="574"/>
      <c r="LXG753" s="574"/>
      <c r="LXH753" s="574"/>
      <c r="LXI753" s="574"/>
      <c r="LXJ753" s="574"/>
      <c r="LXK753" s="574"/>
      <c r="LXL753" s="574"/>
      <c r="LXM753" s="574"/>
      <c r="LXN753" s="574"/>
      <c r="LXO753" s="574"/>
      <c r="LXP753" s="574"/>
      <c r="LXQ753" s="574"/>
      <c r="LXR753" s="574"/>
      <c r="LXS753" s="574"/>
      <c r="LXT753" s="574"/>
      <c r="LXU753" s="574"/>
      <c r="LXV753" s="574"/>
      <c r="LXW753" s="574"/>
      <c r="LXX753" s="574"/>
      <c r="LXY753" s="574"/>
      <c r="LXZ753" s="574"/>
      <c r="LYA753" s="574"/>
      <c r="LYB753" s="574"/>
      <c r="LYC753" s="574"/>
      <c r="LYD753" s="574"/>
      <c r="LYE753" s="574"/>
      <c r="LYF753" s="574"/>
      <c r="LYG753" s="574"/>
      <c r="LYH753" s="574"/>
      <c r="LYI753" s="574"/>
      <c r="LYJ753" s="574"/>
      <c r="LYK753" s="574"/>
      <c r="LYL753" s="574"/>
      <c r="LYM753" s="574"/>
      <c r="LYN753" s="574"/>
      <c r="LYO753" s="574"/>
      <c r="LYP753" s="574"/>
      <c r="LYQ753" s="574"/>
      <c r="LYR753" s="574"/>
      <c r="LYS753" s="574"/>
      <c r="LYT753" s="574"/>
      <c r="LYU753" s="574"/>
      <c r="LYV753" s="574"/>
      <c r="LYW753" s="574"/>
      <c r="LYX753" s="574"/>
      <c r="LYY753" s="574"/>
      <c r="LYZ753" s="574"/>
      <c r="LZA753" s="574"/>
      <c r="LZB753" s="574"/>
      <c r="LZC753" s="574"/>
      <c r="LZD753" s="574"/>
      <c r="LZE753" s="574"/>
      <c r="LZF753" s="574"/>
      <c r="LZG753" s="574"/>
      <c r="LZH753" s="574"/>
      <c r="LZI753" s="574"/>
      <c r="LZJ753" s="574"/>
      <c r="LZK753" s="574"/>
      <c r="LZL753" s="574"/>
      <c r="LZM753" s="574"/>
      <c r="LZN753" s="574"/>
      <c r="LZO753" s="574"/>
      <c r="LZP753" s="574"/>
      <c r="LZQ753" s="574"/>
      <c r="LZR753" s="574"/>
      <c r="LZS753" s="574"/>
      <c r="LZT753" s="574"/>
      <c r="LZU753" s="574"/>
      <c r="LZV753" s="574"/>
      <c r="LZW753" s="574"/>
      <c r="LZX753" s="574"/>
      <c r="LZY753" s="574"/>
      <c r="LZZ753" s="574"/>
      <c r="MAA753" s="574"/>
      <c r="MAB753" s="574"/>
      <c r="MAC753" s="574"/>
      <c r="MAD753" s="574"/>
      <c r="MAE753" s="574"/>
      <c r="MAF753" s="574"/>
      <c r="MAG753" s="574"/>
      <c r="MAH753" s="574"/>
      <c r="MAI753" s="574"/>
      <c r="MAJ753" s="574"/>
      <c r="MAK753" s="574"/>
      <c r="MAL753" s="574"/>
      <c r="MAM753" s="574"/>
      <c r="MAN753" s="574"/>
      <c r="MAO753" s="574"/>
      <c r="MAP753" s="574"/>
      <c r="MAQ753" s="574"/>
      <c r="MAR753" s="574"/>
      <c r="MAS753" s="574"/>
      <c r="MAT753" s="574"/>
      <c r="MAU753" s="574"/>
      <c r="MAV753" s="574"/>
      <c r="MAW753" s="574"/>
      <c r="MAX753" s="574"/>
      <c r="MAY753" s="574"/>
      <c r="MAZ753" s="574"/>
      <c r="MBA753" s="574"/>
      <c r="MBB753" s="574"/>
      <c r="MBC753" s="574"/>
      <c r="MBD753" s="574"/>
      <c r="MBE753" s="574"/>
      <c r="MBF753" s="574"/>
      <c r="MBG753" s="574"/>
      <c r="MBH753" s="574"/>
      <c r="MBI753" s="574"/>
      <c r="MBJ753" s="574"/>
      <c r="MBK753" s="574"/>
      <c r="MBL753" s="574"/>
      <c r="MBM753" s="574"/>
      <c r="MBN753" s="574"/>
      <c r="MBO753" s="574"/>
      <c r="MBP753" s="574"/>
      <c r="MBQ753" s="574"/>
      <c r="MBR753" s="574"/>
      <c r="MBS753" s="574"/>
      <c r="MBT753" s="574"/>
      <c r="MBU753" s="574"/>
      <c r="MBV753" s="574"/>
      <c r="MBW753" s="574"/>
      <c r="MBX753" s="574"/>
      <c r="MBY753" s="574"/>
      <c r="MBZ753" s="574"/>
      <c r="MCA753" s="574"/>
      <c r="MCB753" s="574"/>
      <c r="MCC753" s="574"/>
      <c r="MCD753" s="574"/>
      <c r="MCE753" s="574"/>
      <c r="MCF753" s="574"/>
      <c r="MCG753" s="574"/>
      <c r="MCH753" s="574"/>
      <c r="MCI753" s="574"/>
      <c r="MCJ753" s="574"/>
      <c r="MCK753" s="574"/>
      <c r="MCL753" s="574"/>
      <c r="MCM753" s="574"/>
      <c r="MCN753" s="574"/>
      <c r="MCO753" s="574"/>
      <c r="MCP753" s="574"/>
      <c r="MCQ753" s="574"/>
      <c r="MCR753" s="574"/>
      <c r="MCS753" s="574"/>
      <c r="MCT753" s="574"/>
      <c r="MCU753" s="574"/>
      <c r="MCV753" s="574"/>
      <c r="MCW753" s="574"/>
      <c r="MCX753" s="574"/>
      <c r="MCY753" s="574"/>
      <c r="MCZ753" s="574"/>
      <c r="MDA753" s="574"/>
      <c r="MDB753" s="574"/>
      <c r="MDC753" s="574"/>
      <c r="MDD753" s="574"/>
      <c r="MDE753" s="574"/>
      <c r="MDF753" s="574"/>
      <c r="MDG753" s="574"/>
      <c r="MDH753" s="574"/>
      <c r="MDI753" s="574"/>
      <c r="MDJ753" s="574"/>
      <c r="MDK753" s="574"/>
      <c r="MDL753" s="574"/>
      <c r="MDM753" s="574"/>
      <c r="MDN753" s="574"/>
      <c r="MDO753" s="574"/>
      <c r="MDP753" s="574"/>
      <c r="MDQ753" s="574"/>
      <c r="MDR753" s="574"/>
      <c r="MDS753" s="574"/>
      <c r="MDT753" s="574"/>
      <c r="MDU753" s="574"/>
      <c r="MDV753" s="574"/>
      <c r="MDW753" s="574"/>
      <c r="MDX753" s="574"/>
      <c r="MDY753" s="574"/>
      <c r="MDZ753" s="574"/>
      <c r="MEA753" s="574"/>
      <c r="MEB753" s="574"/>
      <c r="MEC753" s="574"/>
      <c r="MED753" s="574"/>
      <c r="MEE753" s="574"/>
      <c r="MEF753" s="574"/>
      <c r="MEG753" s="574"/>
      <c r="MEH753" s="574"/>
      <c r="MEI753" s="574"/>
      <c r="MEJ753" s="574"/>
      <c r="MEK753" s="574"/>
      <c r="MEL753" s="574"/>
      <c r="MEM753" s="574"/>
      <c r="MEN753" s="574"/>
      <c r="MEO753" s="574"/>
      <c r="MEP753" s="574"/>
      <c r="MEQ753" s="574"/>
      <c r="MER753" s="574"/>
      <c r="MES753" s="574"/>
      <c r="MET753" s="574"/>
      <c r="MEU753" s="574"/>
      <c r="MEV753" s="574"/>
      <c r="MEW753" s="574"/>
      <c r="MEX753" s="574"/>
      <c r="MEY753" s="574"/>
      <c r="MEZ753" s="574"/>
      <c r="MFA753" s="574"/>
      <c r="MFB753" s="574"/>
      <c r="MFC753" s="574"/>
      <c r="MFD753" s="574"/>
      <c r="MFE753" s="574"/>
      <c r="MFF753" s="574"/>
      <c r="MFG753" s="574"/>
      <c r="MFH753" s="574"/>
      <c r="MFI753" s="574"/>
      <c r="MFJ753" s="574"/>
      <c r="MFK753" s="574"/>
      <c r="MFL753" s="574"/>
      <c r="MFM753" s="574"/>
      <c r="MFN753" s="574"/>
      <c r="MFO753" s="574"/>
      <c r="MFP753" s="574"/>
      <c r="MFQ753" s="574"/>
      <c r="MFR753" s="574"/>
      <c r="MFS753" s="574"/>
      <c r="MFT753" s="574"/>
      <c r="MFU753" s="574"/>
      <c r="MFV753" s="574"/>
      <c r="MFW753" s="574"/>
      <c r="MFX753" s="574"/>
      <c r="MFY753" s="574"/>
      <c r="MFZ753" s="574"/>
      <c r="MGA753" s="574"/>
      <c r="MGB753" s="574"/>
      <c r="MGC753" s="574"/>
      <c r="MGD753" s="574"/>
      <c r="MGE753" s="574"/>
      <c r="MGF753" s="574"/>
      <c r="MGG753" s="574"/>
      <c r="MGH753" s="574"/>
      <c r="MGI753" s="574"/>
      <c r="MGJ753" s="574"/>
      <c r="MGK753" s="574"/>
      <c r="MGL753" s="574"/>
      <c r="MGM753" s="574"/>
      <c r="MGN753" s="574"/>
      <c r="MGO753" s="574"/>
      <c r="MGP753" s="574"/>
      <c r="MGQ753" s="574"/>
      <c r="MGR753" s="574"/>
      <c r="MGS753" s="574"/>
      <c r="MGT753" s="574"/>
      <c r="MGU753" s="574"/>
      <c r="MGV753" s="574"/>
      <c r="MGW753" s="574"/>
      <c r="MGX753" s="574"/>
      <c r="MGY753" s="574"/>
      <c r="MGZ753" s="574"/>
      <c r="MHA753" s="574"/>
      <c r="MHB753" s="574"/>
      <c r="MHC753" s="574"/>
      <c r="MHD753" s="574"/>
      <c r="MHE753" s="574"/>
      <c r="MHF753" s="574"/>
      <c r="MHG753" s="574"/>
      <c r="MHH753" s="574"/>
      <c r="MHI753" s="574"/>
      <c r="MHJ753" s="574"/>
      <c r="MHK753" s="574"/>
      <c r="MHL753" s="574"/>
      <c r="MHM753" s="574"/>
      <c r="MHN753" s="574"/>
      <c r="MHO753" s="574"/>
      <c r="MHP753" s="574"/>
      <c r="MHQ753" s="574"/>
      <c r="MHR753" s="574"/>
      <c r="MHS753" s="574"/>
      <c r="MHT753" s="574"/>
      <c r="MHU753" s="574"/>
      <c r="MHV753" s="574"/>
      <c r="MHW753" s="574"/>
      <c r="MHX753" s="574"/>
      <c r="MHY753" s="574"/>
      <c r="MHZ753" s="574"/>
      <c r="MIA753" s="574"/>
      <c r="MIB753" s="574"/>
      <c r="MIC753" s="574"/>
      <c r="MID753" s="574"/>
      <c r="MIE753" s="574"/>
      <c r="MIF753" s="574"/>
      <c r="MIG753" s="574"/>
      <c r="MIH753" s="574"/>
      <c r="MII753" s="574"/>
      <c r="MIJ753" s="574"/>
      <c r="MIK753" s="574"/>
      <c r="MIL753" s="574"/>
      <c r="MIM753" s="574"/>
      <c r="MIN753" s="574"/>
      <c r="MIO753" s="574"/>
      <c r="MIP753" s="574"/>
      <c r="MIQ753" s="574"/>
      <c r="MIR753" s="574"/>
      <c r="MIS753" s="574"/>
      <c r="MIT753" s="574"/>
      <c r="MIU753" s="574"/>
      <c r="MIV753" s="574"/>
      <c r="MIW753" s="574"/>
      <c r="MIX753" s="574"/>
      <c r="MIY753" s="574"/>
      <c r="MIZ753" s="574"/>
      <c r="MJA753" s="574"/>
      <c r="MJB753" s="574"/>
      <c r="MJC753" s="574"/>
      <c r="MJD753" s="574"/>
      <c r="MJE753" s="574"/>
      <c r="MJF753" s="574"/>
      <c r="MJG753" s="574"/>
      <c r="MJH753" s="574"/>
      <c r="MJI753" s="574"/>
      <c r="MJJ753" s="574"/>
      <c r="MJK753" s="574"/>
      <c r="MJL753" s="574"/>
      <c r="MJM753" s="574"/>
      <c r="MJN753" s="574"/>
      <c r="MJO753" s="574"/>
      <c r="MJP753" s="574"/>
      <c r="MJQ753" s="574"/>
      <c r="MJR753" s="574"/>
      <c r="MJS753" s="574"/>
      <c r="MJT753" s="574"/>
      <c r="MJU753" s="574"/>
      <c r="MJV753" s="574"/>
      <c r="MJW753" s="574"/>
      <c r="MJX753" s="574"/>
      <c r="MJY753" s="574"/>
      <c r="MJZ753" s="574"/>
      <c r="MKA753" s="574"/>
      <c r="MKB753" s="574"/>
      <c r="MKC753" s="574"/>
      <c r="MKD753" s="574"/>
      <c r="MKE753" s="574"/>
      <c r="MKF753" s="574"/>
      <c r="MKG753" s="574"/>
      <c r="MKH753" s="574"/>
      <c r="MKI753" s="574"/>
      <c r="MKJ753" s="574"/>
      <c r="MKK753" s="574"/>
      <c r="MKL753" s="574"/>
      <c r="MKM753" s="574"/>
      <c r="MKN753" s="574"/>
      <c r="MKO753" s="574"/>
      <c r="MKP753" s="574"/>
      <c r="MKQ753" s="574"/>
      <c r="MKR753" s="574"/>
      <c r="MKS753" s="574"/>
      <c r="MKT753" s="574"/>
      <c r="MKU753" s="574"/>
      <c r="MKV753" s="574"/>
      <c r="MKW753" s="574"/>
      <c r="MKX753" s="574"/>
      <c r="MKY753" s="574"/>
      <c r="MKZ753" s="574"/>
      <c r="MLA753" s="574"/>
      <c r="MLB753" s="574"/>
      <c r="MLC753" s="574"/>
      <c r="MLD753" s="574"/>
      <c r="MLE753" s="574"/>
      <c r="MLF753" s="574"/>
      <c r="MLG753" s="574"/>
      <c r="MLH753" s="574"/>
      <c r="MLI753" s="574"/>
      <c r="MLJ753" s="574"/>
      <c r="MLK753" s="574"/>
      <c r="MLL753" s="574"/>
      <c r="MLM753" s="574"/>
      <c r="MLN753" s="574"/>
      <c r="MLO753" s="574"/>
      <c r="MLP753" s="574"/>
      <c r="MLQ753" s="574"/>
      <c r="MLR753" s="574"/>
      <c r="MLS753" s="574"/>
      <c r="MLT753" s="574"/>
      <c r="MLU753" s="574"/>
      <c r="MLV753" s="574"/>
      <c r="MLW753" s="574"/>
      <c r="MLX753" s="574"/>
      <c r="MLY753" s="574"/>
      <c r="MLZ753" s="574"/>
      <c r="MMA753" s="574"/>
      <c r="MMB753" s="574"/>
      <c r="MMC753" s="574"/>
      <c r="MMD753" s="574"/>
      <c r="MME753" s="574"/>
      <c r="MMF753" s="574"/>
      <c r="MMG753" s="574"/>
      <c r="MMH753" s="574"/>
      <c r="MMI753" s="574"/>
      <c r="MMJ753" s="574"/>
      <c r="MMK753" s="574"/>
      <c r="MML753" s="574"/>
      <c r="MMM753" s="574"/>
      <c r="MMN753" s="574"/>
      <c r="MMO753" s="574"/>
      <c r="MMP753" s="574"/>
      <c r="MMQ753" s="574"/>
      <c r="MMR753" s="574"/>
      <c r="MMS753" s="574"/>
      <c r="MMT753" s="574"/>
      <c r="MMU753" s="574"/>
      <c r="MMV753" s="574"/>
      <c r="MMW753" s="574"/>
      <c r="MMX753" s="574"/>
      <c r="MMY753" s="574"/>
      <c r="MMZ753" s="574"/>
      <c r="MNA753" s="574"/>
      <c r="MNB753" s="574"/>
      <c r="MNC753" s="574"/>
      <c r="MND753" s="574"/>
      <c r="MNE753" s="574"/>
      <c r="MNF753" s="574"/>
      <c r="MNG753" s="574"/>
      <c r="MNH753" s="574"/>
      <c r="MNI753" s="574"/>
      <c r="MNJ753" s="574"/>
      <c r="MNK753" s="574"/>
      <c r="MNL753" s="574"/>
      <c r="MNM753" s="574"/>
      <c r="MNN753" s="574"/>
      <c r="MNO753" s="574"/>
      <c r="MNP753" s="574"/>
      <c r="MNQ753" s="574"/>
      <c r="MNR753" s="574"/>
      <c r="MNS753" s="574"/>
      <c r="MNT753" s="574"/>
      <c r="MNU753" s="574"/>
      <c r="MNV753" s="574"/>
      <c r="MNW753" s="574"/>
      <c r="MNX753" s="574"/>
      <c r="MNY753" s="574"/>
      <c r="MNZ753" s="574"/>
      <c r="MOA753" s="574"/>
      <c r="MOB753" s="574"/>
      <c r="MOC753" s="574"/>
      <c r="MOD753" s="574"/>
      <c r="MOE753" s="574"/>
      <c r="MOF753" s="574"/>
      <c r="MOG753" s="574"/>
      <c r="MOH753" s="574"/>
      <c r="MOI753" s="574"/>
      <c r="MOJ753" s="574"/>
      <c r="MOK753" s="574"/>
      <c r="MOL753" s="574"/>
      <c r="MOM753" s="574"/>
      <c r="MON753" s="574"/>
      <c r="MOO753" s="574"/>
      <c r="MOP753" s="574"/>
      <c r="MOQ753" s="574"/>
      <c r="MOR753" s="574"/>
      <c r="MOS753" s="574"/>
      <c r="MOT753" s="574"/>
      <c r="MOU753" s="574"/>
      <c r="MOV753" s="574"/>
      <c r="MOW753" s="574"/>
      <c r="MOX753" s="574"/>
      <c r="MOY753" s="574"/>
      <c r="MOZ753" s="574"/>
      <c r="MPA753" s="574"/>
      <c r="MPB753" s="574"/>
      <c r="MPC753" s="574"/>
      <c r="MPD753" s="574"/>
      <c r="MPE753" s="574"/>
      <c r="MPF753" s="574"/>
      <c r="MPG753" s="574"/>
      <c r="MPH753" s="574"/>
      <c r="MPI753" s="574"/>
      <c r="MPJ753" s="574"/>
      <c r="MPK753" s="574"/>
      <c r="MPL753" s="574"/>
      <c r="MPM753" s="574"/>
      <c r="MPN753" s="574"/>
      <c r="MPO753" s="574"/>
      <c r="MPP753" s="574"/>
      <c r="MPQ753" s="574"/>
      <c r="MPR753" s="574"/>
      <c r="MPS753" s="574"/>
      <c r="MPT753" s="574"/>
      <c r="MPU753" s="574"/>
      <c r="MPV753" s="574"/>
      <c r="MPW753" s="574"/>
      <c r="MPX753" s="574"/>
      <c r="MPY753" s="574"/>
      <c r="MPZ753" s="574"/>
      <c r="MQA753" s="574"/>
      <c r="MQB753" s="574"/>
      <c r="MQC753" s="574"/>
      <c r="MQD753" s="574"/>
      <c r="MQE753" s="574"/>
      <c r="MQF753" s="574"/>
      <c r="MQG753" s="574"/>
      <c r="MQH753" s="574"/>
      <c r="MQI753" s="574"/>
      <c r="MQJ753" s="574"/>
      <c r="MQK753" s="574"/>
      <c r="MQL753" s="574"/>
      <c r="MQM753" s="574"/>
      <c r="MQN753" s="574"/>
      <c r="MQO753" s="574"/>
      <c r="MQP753" s="574"/>
      <c r="MQQ753" s="574"/>
      <c r="MQR753" s="574"/>
      <c r="MQS753" s="574"/>
      <c r="MQT753" s="574"/>
      <c r="MQU753" s="574"/>
      <c r="MQV753" s="574"/>
      <c r="MQW753" s="574"/>
      <c r="MQX753" s="574"/>
      <c r="MQY753" s="574"/>
      <c r="MQZ753" s="574"/>
      <c r="MRA753" s="574"/>
      <c r="MRB753" s="574"/>
      <c r="MRC753" s="574"/>
      <c r="MRD753" s="574"/>
      <c r="MRE753" s="574"/>
      <c r="MRF753" s="574"/>
      <c r="MRG753" s="574"/>
      <c r="MRH753" s="574"/>
      <c r="MRI753" s="574"/>
      <c r="MRJ753" s="574"/>
      <c r="MRK753" s="574"/>
      <c r="MRL753" s="574"/>
      <c r="MRM753" s="574"/>
      <c r="MRN753" s="574"/>
      <c r="MRO753" s="574"/>
      <c r="MRP753" s="574"/>
      <c r="MRQ753" s="574"/>
      <c r="MRR753" s="574"/>
      <c r="MRS753" s="574"/>
      <c r="MRT753" s="574"/>
      <c r="MRU753" s="574"/>
      <c r="MRV753" s="574"/>
      <c r="MRW753" s="574"/>
      <c r="MRX753" s="574"/>
      <c r="MRY753" s="574"/>
      <c r="MRZ753" s="574"/>
      <c r="MSA753" s="574"/>
      <c r="MSB753" s="574"/>
      <c r="MSC753" s="574"/>
      <c r="MSD753" s="574"/>
      <c r="MSE753" s="574"/>
      <c r="MSF753" s="574"/>
      <c r="MSG753" s="574"/>
      <c r="MSH753" s="574"/>
      <c r="MSI753" s="574"/>
      <c r="MSJ753" s="574"/>
      <c r="MSK753" s="574"/>
      <c r="MSL753" s="574"/>
      <c r="MSM753" s="574"/>
      <c r="MSN753" s="574"/>
      <c r="MSO753" s="574"/>
      <c r="MSP753" s="574"/>
      <c r="MSQ753" s="574"/>
      <c r="MSR753" s="574"/>
      <c r="MSS753" s="574"/>
      <c r="MST753" s="574"/>
      <c r="MSU753" s="574"/>
      <c r="MSV753" s="574"/>
      <c r="MSW753" s="574"/>
      <c r="MSX753" s="574"/>
      <c r="MSY753" s="574"/>
      <c r="MSZ753" s="574"/>
      <c r="MTA753" s="574"/>
      <c r="MTB753" s="574"/>
      <c r="MTC753" s="574"/>
      <c r="MTD753" s="574"/>
      <c r="MTE753" s="574"/>
      <c r="MTF753" s="574"/>
      <c r="MTG753" s="574"/>
      <c r="MTH753" s="574"/>
      <c r="MTI753" s="574"/>
      <c r="MTJ753" s="574"/>
      <c r="MTK753" s="574"/>
      <c r="MTL753" s="574"/>
      <c r="MTM753" s="574"/>
      <c r="MTN753" s="574"/>
      <c r="MTO753" s="574"/>
      <c r="MTP753" s="574"/>
      <c r="MTQ753" s="574"/>
      <c r="MTR753" s="574"/>
      <c r="MTS753" s="574"/>
      <c r="MTT753" s="574"/>
      <c r="MTU753" s="574"/>
      <c r="MTV753" s="574"/>
      <c r="MTW753" s="574"/>
      <c r="MTX753" s="574"/>
      <c r="MTY753" s="574"/>
      <c r="MTZ753" s="574"/>
      <c r="MUA753" s="574"/>
      <c r="MUB753" s="574"/>
      <c r="MUC753" s="574"/>
      <c r="MUD753" s="574"/>
      <c r="MUE753" s="574"/>
      <c r="MUF753" s="574"/>
      <c r="MUG753" s="574"/>
      <c r="MUH753" s="574"/>
      <c r="MUI753" s="574"/>
      <c r="MUJ753" s="574"/>
      <c r="MUK753" s="574"/>
      <c r="MUL753" s="574"/>
      <c r="MUM753" s="574"/>
      <c r="MUN753" s="574"/>
      <c r="MUO753" s="574"/>
      <c r="MUP753" s="574"/>
      <c r="MUQ753" s="574"/>
      <c r="MUR753" s="574"/>
      <c r="MUS753" s="574"/>
      <c r="MUT753" s="574"/>
      <c r="MUU753" s="574"/>
      <c r="MUV753" s="574"/>
      <c r="MUW753" s="574"/>
      <c r="MUX753" s="574"/>
      <c r="MUY753" s="574"/>
      <c r="MUZ753" s="574"/>
      <c r="MVA753" s="574"/>
      <c r="MVB753" s="574"/>
      <c r="MVC753" s="574"/>
      <c r="MVD753" s="574"/>
      <c r="MVE753" s="574"/>
      <c r="MVF753" s="574"/>
      <c r="MVG753" s="574"/>
      <c r="MVH753" s="574"/>
      <c r="MVI753" s="574"/>
      <c r="MVJ753" s="574"/>
      <c r="MVK753" s="574"/>
      <c r="MVL753" s="574"/>
      <c r="MVM753" s="574"/>
      <c r="MVN753" s="574"/>
      <c r="MVO753" s="574"/>
      <c r="MVP753" s="574"/>
      <c r="MVQ753" s="574"/>
      <c r="MVR753" s="574"/>
      <c r="MVS753" s="574"/>
      <c r="MVT753" s="574"/>
      <c r="MVU753" s="574"/>
      <c r="MVV753" s="574"/>
      <c r="MVW753" s="574"/>
      <c r="MVX753" s="574"/>
      <c r="MVY753" s="574"/>
      <c r="MVZ753" s="574"/>
      <c r="MWA753" s="574"/>
      <c r="MWB753" s="574"/>
      <c r="MWC753" s="574"/>
      <c r="MWD753" s="574"/>
      <c r="MWE753" s="574"/>
      <c r="MWF753" s="574"/>
      <c r="MWG753" s="574"/>
      <c r="MWH753" s="574"/>
      <c r="MWI753" s="574"/>
      <c r="MWJ753" s="574"/>
      <c r="MWK753" s="574"/>
      <c r="MWL753" s="574"/>
      <c r="MWM753" s="574"/>
      <c r="MWN753" s="574"/>
      <c r="MWO753" s="574"/>
      <c r="MWP753" s="574"/>
      <c r="MWQ753" s="574"/>
      <c r="MWR753" s="574"/>
      <c r="MWS753" s="574"/>
      <c r="MWT753" s="574"/>
      <c r="MWU753" s="574"/>
      <c r="MWV753" s="574"/>
      <c r="MWW753" s="574"/>
      <c r="MWX753" s="574"/>
      <c r="MWY753" s="574"/>
      <c r="MWZ753" s="574"/>
      <c r="MXA753" s="574"/>
      <c r="MXB753" s="574"/>
      <c r="MXC753" s="574"/>
      <c r="MXD753" s="574"/>
      <c r="MXE753" s="574"/>
      <c r="MXF753" s="574"/>
      <c r="MXG753" s="574"/>
      <c r="MXH753" s="574"/>
      <c r="MXI753" s="574"/>
      <c r="MXJ753" s="574"/>
      <c r="MXK753" s="574"/>
      <c r="MXL753" s="574"/>
      <c r="MXM753" s="574"/>
      <c r="MXN753" s="574"/>
      <c r="MXO753" s="574"/>
      <c r="MXP753" s="574"/>
      <c r="MXQ753" s="574"/>
      <c r="MXR753" s="574"/>
      <c r="MXS753" s="574"/>
      <c r="MXT753" s="574"/>
      <c r="MXU753" s="574"/>
      <c r="MXV753" s="574"/>
      <c r="MXW753" s="574"/>
      <c r="MXX753" s="574"/>
      <c r="MXY753" s="574"/>
      <c r="MXZ753" s="574"/>
      <c r="MYA753" s="574"/>
      <c r="MYB753" s="574"/>
      <c r="MYC753" s="574"/>
      <c r="MYD753" s="574"/>
      <c r="MYE753" s="574"/>
      <c r="MYF753" s="574"/>
      <c r="MYG753" s="574"/>
      <c r="MYH753" s="574"/>
      <c r="MYI753" s="574"/>
      <c r="MYJ753" s="574"/>
      <c r="MYK753" s="574"/>
      <c r="MYL753" s="574"/>
      <c r="MYM753" s="574"/>
      <c r="MYN753" s="574"/>
      <c r="MYO753" s="574"/>
      <c r="MYP753" s="574"/>
      <c r="MYQ753" s="574"/>
      <c r="MYR753" s="574"/>
      <c r="MYS753" s="574"/>
      <c r="MYT753" s="574"/>
      <c r="MYU753" s="574"/>
      <c r="MYV753" s="574"/>
      <c r="MYW753" s="574"/>
      <c r="MYX753" s="574"/>
      <c r="MYY753" s="574"/>
      <c r="MYZ753" s="574"/>
      <c r="MZA753" s="574"/>
      <c r="MZB753" s="574"/>
      <c r="MZC753" s="574"/>
      <c r="MZD753" s="574"/>
      <c r="MZE753" s="574"/>
      <c r="MZF753" s="574"/>
      <c r="MZG753" s="574"/>
      <c r="MZH753" s="574"/>
      <c r="MZI753" s="574"/>
      <c r="MZJ753" s="574"/>
      <c r="MZK753" s="574"/>
      <c r="MZL753" s="574"/>
      <c r="MZM753" s="574"/>
      <c r="MZN753" s="574"/>
      <c r="MZO753" s="574"/>
      <c r="MZP753" s="574"/>
      <c r="MZQ753" s="574"/>
      <c r="MZR753" s="574"/>
      <c r="MZS753" s="574"/>
      <c r="MZT753" s="574"/>
      <c r="MZU753" s="574"/>
      <c r="MZV753" s="574"/>
      <c r="MZW753" s="574"/>
      <c r="MZX753" s="574"/>
      <c r="MZY753" s="574"/>
      <c r="MZZ753" s="574"/>
      <c r="NAA753" s="574"/>
      <c r="NAB753" s="574"/>
      <c r="NAC753" s="574"/>
      <c r="NAD753" s="574"/>
      <c r="NAE753" s="574"/>
      <c r="NAF753" s="574"/>
      <c r="NAG753" s="574"/>
      <c r="NAH753" s="574"/>
      <c r="NAI753" s="574"/>
      <c r="NAJ753" s="574"/>
      <c r="NAK753" s="574"/>
      <c r="NAL753" s="574"/>
      <c r="NAM753" s="574"/>
      <c r="NAN753" s="574"/>
      <c r="NAO753" s="574"/>
      <c r="NAP753" s="574"/>
      <c r="NAQ753" s="574"/>
      <c r="NAR753" s="574"/>
      <c r="NAS753" s="574"/>
      <c r="NAT753" s="574"/>
      <c r="NAU753" s="574"/>
      <c r="NAV753" s="574"/>
      <c r="NAW753" s="574"/>
      <c r="NAX753" s="574"/>
      <c r="NAY753" s="574"/>
      <c r="NAZ753" s="574"/>
      <c r="NBA753" s="574"/>
      <c r="NBB753" s="574"/>
      <c r="NBC753" s="574"/>
      <c r="NBD753" s="574"/>
      <c r="NBE753" s="574"/>
      <c r="NBF753" s="574"/>
      <c r="NBG753" s="574"/>
      <c r="NBH753" s="574"/>
      <c r="NBI753" s="574"/>
      <c r="NBJ753" s="574"/>
      <c r="NBK753" s="574"/>
      <c r="NBL753" s="574"/>
      <c r="NBM753" s="574"/>
      <c r="NBN753" s="574"/>
      <c r="NBO753" s="574"/>
      <c r="NBP753" s="574"/>
      <c r="NBQ753" s="574"/>
      <c r="NBR753" s="574"/>
      <c r="NBS753" s="574"/>
      <c r="NBT753" s="574"/>
      <c r="NBU753" s="574"/>
      <c r="NBV753" s="574"/>
      <c r="NBW753" s="574"/>
      <c r="NBX753" s="574"/>
      <c r="NBY753" s="574"/>
      <c r="NBZ753" s="574"/>
      <c r="NCA753" s="574"/>
      <c r="NCB753" s="574"/>
      <c r="NCC753" s="574"/>
      <c r="NCD753" s="574"/>
      <c r="NCE753" s="574"/>
      <c r="NCF753" s="574"/>
      <c r="NCG753" s="574"/>
      <c r="NCH753" s="574"/>
      <c r="NCI753" s="574"/>
      <c r="NCJ753" s="574"/>
      <c r="NCK753" s="574"/>
      <c r="NCL753" s="574"/>
      <c r="NCM753" s="574"/>
      <c r="NCN753" s="574"/>
      <c r="NCO753" s="574"/>
      <c r="NCP753" s="574"/>
      <c r="NCQ753" s="574"/>
      <c r="NCR753" s="574"/>
      <c r="NCS753" s="574"/>
      <c r="NCT753" s="574"/>
      <c r="NCU753" s="574"/>
      <c r="NCV753" s="574"/>
      <c r="NCW753" s="574"/>
      <c r="NCX753" s="574"/>
      <c r="NCY753" s="574"/>
      <c r="NCZ753" s="574"/>
      <c r="NDA753" s="574"/>
      <c r="NDB753" s="574"/>
      <c r="NDC753" s="574"/>
      <c r="NDD753" s="574"/>
      <c r="NDE753" s="574"/>
      <c r="NDF753" s="574"/>
      <c r="NDG753" s="574"/>
      <c r="NDH753" s="574"/>
      <c r="NDI753" s="574"/>
      <c r="NDJ753" s="574"/>
      <c r="NDK753" s="574"/>
      <c r="NDL753" s="574"/>
      <c r="NDM753" s="574"/>
      <c r="NDN753" s="574"/>
      <c r="NDO753" s="574"/>
      <c r="NDP753" s="574"/>
      <c r="NDQ753" s="574"/>
      <c r="NDR753" s="574"/>
      <c r="NDS753" s="574"/>
      <c r="NDT753" s="574"/>
      <c r="NDU753" s="574"/>
      <c r="NDV753" s="574"/>
      <c r="NDW753" s="574"/>
      <c r="NDX753" s="574"/>
      <c r="NDY753" s="574"/>
      <c r="NDZ753" s="574"/>
      <c r="NEA753" s="574"/>
      <c r="NEB753" s="574"/>
      <c r="NEC753" s="574"/>
      <c r="NED753" s="574"/>
      <c r="NEE753" s="574"/>
      <c r="NEF753" s="574"/>
      <c r="NEG753" s="574"/>
      <c r="NEH753" s="574"/>
      <c r="NEI753" s="574"/>
      <c r="NEJ753" s="574"/>
      <c r="NEK753" s="574"/>
      <c r="NEL753" s="574"/>
      <c r="NEM753" s="574"/>
      <c r="NEN753" s="574"/>
      <c r="NEO753" s="574"/>
      <c r="NEP753" s="574"/>
      <c r="NEQ753" s="574"/>
      <c r="NER753" s="574"/>
      <c r="NES753" s="574"/>
      <c r="NET753" s="574"/>
      <c r="NEU753" s="574"/>
      <c r="NEV753" s="574"/>
      <c r="NEW753" s="574"/>
      <c r="NEX753" s="574"/>
      <c r="NEY753" s="574"/>
      <c r="NEZ753" s="574"/>
      <c r="NFA753" s="574"/>
      <c r="NFB753" s="574"/>
      <c r="NFC753" s="574"/>
      <c r="NFD753" s="574"/>
      <c r="NFE753" s="574"/>
      <c r="NFF753" s="574"/>
      <c r="NFG753" s="574"/>
      <c r="NFH753" s="574"/>
      <c r="NFI753" s="574"/>
      <c r="NFJ753" s="574"/>
      <c r="NFK753" s="574"/>
      <c r="NFL753" s="574"/>
      <c r="NFM753" s="574"/>
      <c r="NFN753" s="574"/>
      <c r="NFO753" s="574"/>
      <c r="NFP753" s="574"/>
      <c r="NFQ753" s="574"/>
      <c r="NFR753" s="574"/>
      <c r="NFS753" s="574"/>
      <c r="NFT753" s="574"/>
      <c r="NFU753" s="574"/>
      <c r="NFV753" s="574"/>
      <c r="NFW753" s="574"/>
      <c r="NFX753" s="574"/>
      <c r="NFY753" s="574"/>
      <c r="NFZ753" s="574"/>
      <c r="NGA753" s="574"/>
      <c r="NGB753" s="574"/>
      <c r="NGC753" s="574"/>
      <c r="NGD753" s="574"/>
      <c r="NGE753" s="574"/>
      <c r="NGF753" s="574"/>
      <c r="NGG753" s="574"/>
      <c r="NGH753" s="574"/>
      <c r="NGI753" s="574"/>
      <c r="NGJ753" s="574"/>
      <c r="NGK753" s="574"/>
      <c r="NGL753" s="574"/>
      <c r="NGM753" s="574"/>
      <c r="NGN753" s="574"/>
      <c r="NGO753" s="574"/>
      <c r="NGP753" s="574"/>
      <c r="NGQ753" s="574"/>
      <c r="NGR753" s="574"/>
      <c r="NGS753" s="574"/>
      <c r="NGT753" s="574"/>
      <c r="NGU753" s="574"/>
      <c r="NGV753" s="574"/>
      <c r="NGW753" s="574"/>
      <c r="NGX753" s="574"/>
      <c r="NGY753" s="574"/>
      <c r="NGZ753" s="574"/>
      <c r="NHA753" s="574"/>
      <c r="NHB753" s="574"/>
      <c r="NHC753" s="574"/>
      <c r="NHD753" s="574"/>
      <c r="NHE753" s="574"/>
      <c r="NHF753" s="574"/>
      <c r="NHG753" s="574"/>
      <c r="NHH753" s="574"/>
      <c r="NHI753" s="574"/>
      <c r="NHJ753" s="574"/>
      <c r="NHK753" s="574"/>
      <c r="NHL753" s="574"/>
      <c r="NHM753" s="574"/>
      <c r="NHN753" s="574"/>
      <c r="NHO753" s="574"/>
      <c r="NHP753" s="574"/>
      <c r="NHQ753" s="574"/>
      <c r="NHR753" s="574"/>
      <c r="NHS753" s="574"/>
      <c r="NHT753" s="574"/>
      <c r="NHU753" s="574"/>
      <c r="NHV753" s="574"/>
      <c r="NHW753" s="574"/>
      <c r="NHX753" s="574"/>
      <c r="NHY753" s="574"/>
      <c r="NHZ753" s="574"/>
      <c r="NIA753" s="574"/>
      <c r="NIB753" s="574"/>
      <c r="NIC753" s="574"/>
      <c r="NID753" s="574"/>
      <c r="NIE753" s="574"/>
      <c r="NIF753" s="574"/>
      <c r="NIG753" s="574"/>
      <c r="NIH753" s="574"/>
      <c r="NII753" s="574"/>
      <c r="NIJ753" s="574"/>
      <c r="NIK753" s="574"/>
      <c r="NIL753" s="574"/>
      <c r="NIM753" s="574"/>
      <c r="NIN753" s="574"/>
      <c r="NIO753" s="574"/>
      <c r="NIP753" s="574"/>
      <c r="NIQ753" s="574"/>
      <c r="NIR753" s="574"/>
      <c r="NIS753" s="574"/>
      <c r="NIT753" s="574"/>
      <c r="NIU753" s="574"/>
      <c r="NIV753" s="574"/>
      <c r="NIW753" s="574"/>
      <c r="NIX753" s="574"/>
      <c r="NIY753" s="574"/>
      <c r="NIZ753" s="574"/>
      <c r="NJA753" s="574"/>
      <c r="NJB753" s="574"/>
      <c r="NJC753" s="574"/>
      <c r="NJD753" s="574"/>
      <c r="NJE753" s="574"/>
      <c r="NJF753" s="574"/>
      <c r="NJG753" s="574"/>
      <c r="NJH753" s="574"/>
      <c r="NJI753" s="574"/>
      <c r="NJJ753" s="574"/>
      <c r="NJK753" s="574"/>
      <c r="NJL753" s="574"/>
      <c r="NJM753" s="574"/>
      <c r="NJN753" s="574"/>
      <c r="NJO753" s="574"/>
      <c r="NJP753" s="574"/>
      <c r="NJQ753" s="574"/>
      <c r="NJR753" s="574"/>
      <c r="NJS753" s="574"/>
      <c r="NJT753" s="574"/>
      <c r="NJU753" s="574"/>
      <c r="NJV753" s="574"/>
      <c r="NJW753" s="574"/>
      <c r="NJX753" s="574"/>
      <c r="NJY753" s="574"/>
      <c r="NJZ753" s="574"/>
      <c r="NKA753" s="574"/>
      <c r="NKB753" s="574"/>
      <c r="NKC753" s="574"/>
      <c r="NKD753" s="574"/>
      <c r="NKE753" s="574"/>
      <c r="NKF753" s="574"/>
      <c r="NKG753" s="574"/>
      <c r="NKH753" s="574"/>
      <c r="NKI753" s="574"/>
      <c r="NKJ753" s="574"/>
      <c r="NKK753" s="574"/>
      <c r="NKL753" s="574"/>
      <c r="NKM753" s="574"/>
      <c r="NKN753" s="574"/>
      <c r="NKO753" s="574"/>
      <c r="NKP753" s="574"/>
      <c r="NKQ753" s="574"/>
      <c r="NKR753" s="574"/>
      <c r="NKS753" s="574"/>
      <c r="NKT753" s="574"/>
      <c r="NKU753" s="574"/>
      <c r="NKV753" s="574"/>
      <c r="NKW753" s="574"/>
      <c r="NKX753" s="574"/>
      <c r="NKY753" s="574"/>
      <c r="NKZ753" s="574"/>
      <c r="NLA753" s="574"/>
      <c r="NLB753" s="574"/>
      <c r="NLC753" s="574"/>
      <c r="NLD753" s="574"/>
      <c r="NLE753" s="574"/>
      <c r="NLF753" s="574"/>
      <c r="NLG753" s="574"/>
      <c r="NLH753" s="574"/>
      <c r="NLI753" s="574"/>
      <c r="NLJ753" s="574"/>
      <c r="NLK753" s="574"/>
      <c r="NLL753" s="574"/>
      <c r="NLM753" s="574"/>
      <c r="NLN753" s="574"/>
      <c r="NLO753" s="574"/>
      <c r="NLP753" s="574"/>
      <c r="NLQ753" s="574"/>
      <c r="NLR753" s="574"/>
      <c r="NLS753" s="574"/>
      <c r="NLT753" s="574"/>
      <c r="NLU753" s="574"/>
      <c r="NLV753" s="574"/>
      <c r="NLW753" s="574"/>
      <c r="NLX753" s="574"/>
      <c r="NLY753" s="574"/>
      <c r="NLZ753" s="574"/>
      <c r="NMA753" s="574"/>
      <c r="NMB753" s="574"/>
      <c r="NMC753" s="574"/>
      <c r="NMD753" s="574"/>
      <c r="NME753" s="574"/>
      <c r="NMF753" s="574"/>
      <c r="NMG753" s="574"/>
      <c r="NMH753" s="574"/>
      <c r="NMI753" s="574"/>
      <c r="NMJ753" s="574"/>
      <c r="NMK753" s="574"/>
      <c r="NML753" s="574"/>
      <c r="NMM753" s="574"/>
      <c r="NMN753" s="574"/>
      <c r="NMO753" s="574"/>
      <c r="NMP753" s="574"/>
      <c r="NMQ753" s="574"/>
      <c r="NMR753" s="574"/>
      <c r="NMS753" s="574"/>
      <c r="NMT753" s="574"/>
      <c r="NMU753" s="574"/>
      <c r="NMV753" s="574"/>
      <c r="NMW753" s="574"/>
      <c r="NMX753" s="574"/>
      <c r="NMY753" s="574"/>
      <c r="NMZ753" s="574"/>
      <c r="NNA753" s="574"/>
      <c r="NNB753" s="574"/>
      <c r="NNC753" s="574"/>
      <c r="NND753" s="574"/>
      <c r="NNE753" s="574"/>
      <c r="NNF753" s="574"/>
      <c r="NNG753" s="574"/>
      <c r="NNH753" s="574"/>
      <c r="NNI753" s="574"/>
      <c r="NNJ753" s="574"/>
      <c r="NNK753" s="574"/>
      <c r="NNL753" s="574"/>
      <c r="NNM753" s="574"/>
      <c r="NNN753" s="574"/>
      <c r="NNO753" s="574"/>
      <c r="NNP753" s="574"/>
      <c r="NNQ753" s="574"/>
      <c r="NNR753" s="574"/>
      <c r="NNS753" s="574"/>
      <c r="NNT753" s="574"/>
      <c r="NNU753" s="574"/>
      <c r="NNV753" s="574"/>
      <c r="NNW753" s="574"/>
      <c r="NNX753" s="574"/>
      <c r="NNY753" s="574"/>
      <c r="NNZ753" s="574"/>
      <c r="NOA753" s="574"/>
      <c r="NOB753" s="574"/>
      <c r="NOC753" s="574"/>
      <c r="NOD753" s="574"/>
      <c r="NOE753" s="574"/>
      <c r="NOF753" s="574"/>
      <c r="NOG753" s="574"/>
      <c r="NOH753" s="574"/>
      <c r="NOI753" s="574"/>
      <c r="NOJ753" s="574"/>
      <c r="NOK753" s="574"/>
      <c r="NOL753" s="574"/>
      <c r="NOM753" s="574"/>
      <c r="NON753" s="574"/>
      <c r="NOO753" s="574"/>
      <c r="NOP753" s="574"/>
      <c r="NOQ753" s="574"/>
      <c r="NOR753" s="574"/>
      <c r="NOS753" s="574"/>
      <c r="NOT753" s="574"/>
      <c r="NOU753" s="574"/>
      <c r="NOV753" s="574"/>
      <c r="NOW753" s="574"/>
      <c r="NOX753" s="574"/>
      <c r="NOY753" s="574"/>
      <c r="NOZ753" s="574"/>
      <c r="NPA753" s="574"/>
      <c r="NPB753" s="574"/>
      <c r="NPC753" s="574"/>
      <c r="NPD753" s="574"/>
      <c r="NPE753" s="574"/>
      <c r="NPF753" s="574"/>
      <c r="NPG753" s="574"/>
      <c r="NPH753" s="574"/>
      <c r="NPI753" s="574"/>
      <c r="NPJ753" s="574"/>
      <c r="NPK753" s="574"/>
      <c r="NPL753" s="574"/>
      <c r="NPM753" s="574"/>
      <c r="NPN753" s="574"/>
      <c r="NPO753" s="574"/>
      <c r="NPP753" s="574"/>
      <c r="NPQ753" s="574"/>
      <c r="NPR753" s="574"/>
      <c r="NPS753" s="574"/>
      <c r="NPT753" s="574"/>
      <c r="NPU753" s="574"/>
      <c r="NPV753" s="574"/>
      <c r="NPW753" s="574"/>
      <c r="NPX753" s="574"/>
      <c r="NPY753" s="574"/>
      <c r="NPZ753" s="574"/>
      <c r="NQA753" s="574"/>
      <c r="NQB753" s="574"/>
      <c r="NQC753" s="574"/>
      <c r="NQD753" s="574"/>
      <c r="NQE753" s="574"/>
      <c r="NQF753" s="574"/>
      <c r="NQG753" s="574"/>
      <c r="NQH753" s="574"/>
      <c r="NQI753" s="574"/>
      <c r="NQJ753" s="574"/>
      <c r="NQK753" s="574"/>
      <c r="NQL753" s="574"/>
      <c r="NQM753" s="574"/>
      <c r="NQN753" s="574"/>
      <c r="NQO753" s="574"/>
      <c r="NQP753" s="574"/>
      <c r="NQQ753" s="574"/>
      <c r="NQR753" s="574"/>
      <c r="NQS753" s="574"/>
      <c r="NQT753" s="574"/>
      <c r="NQU753" s="574"/>
      <c r="NQV753" s="574"/>
      <c r="NQW753" s="574"/>
      <c r="NQX753" s="574"/>
      <c r="NQY753" s="574"/>
      <c r="NQZ753" s="574"/>
      <c r="NRA753" s="574"/>
      <c r="NRB753" s="574"/>
      <c r="NRC753" s="574"/>
      <c r="NRD753" s="574"/>
      <c r="NRE753" s="574"/>
      <c r="NRF753" s="574"/>
      <c r="NRG753" s="574"/>
      <c r="NRH753" s="574"/>
      <c r="NRI753" s="574"/>
      <c r="NRJ753" s="574"/>
      <c r="NRK753" s="574"/>
      <c r="NRL753" s="574"/>
      <c r="NRM753" s="574"/>
      <c r="NRN753" s="574"/>
      <c r="NRO753" s="574"/>
      <c r="NRP753" s="574"/>
      <c r="NRQ753" s="574"/>
      <c r="NRR753" s="574"/>
      <c r="NRS753" s="574"/>
      <c r="NRT753" s="574"/>
      <c r="NRU753" s="574"/>
      <c r="NRV753" s="574"/>
      <c r="NRW753" s="574"/>
      <c r="NRX753" s="574"/>
      <c r="NRY753" s="574"/>
      <c r="NRZ753" s="574"/>
      <c r="NSA753" s="574"/>
      <c r="NSB753" s="574"/>
      <c r="NSC753" s="574"/>
      <c r="NSD753" s="574"/>
      <c r="NSE753" s="574"/>
      <c r="NSF753" s="574"/>
      <c r="NSG753" s="574"/>
      <c r="NSH753" s="574"/>
      <c r="NSI753" s="574"/>
      <c r="NSJ753" s="574"/>
      <c r="NSK753" s="574"/>
      <c r="NSL753" s="574"/>
      <c r="NSM753" s="574"/>
      <c r="NSN753" s="574"/>
      <c r="NSO753" s="574"/>
      <c r="NSP753" s="574"/>
      <c r="NSQ753" s="574"/>
      <c r="NSR753" s="574"/>
      <c r="NSS753" s="574"/>
      <c r="NST753" s="574"/>
      <c r="NSU753" s="574"/>
      <c r="NSV753" s="574"/>
      <c r="NSW753" s="574"/>
      <c r="NSX753" s="574"/>
      <c r="NSY753" s="574"/>
      <c r="NSZ753" s="574"/>
      <c r="NTA753" s="574"/>
      <c r="NTB753" s="574"/>
      <c r="NTC753" s="574"/>
      <c r="NTD753" s="574"/>
      <c r="NTE753" s="574"/>
      <c r="NTF753" s="574"/>
      <c r="NTG753" s="574"/>
      <c r="NTH753" s="574"/>
      <c r="NTI753" s="574"/>
      <c r="NTJ753" s="574"/>
      <c r="NTK753" s="574"/>
      <c r="NTL753" s="574"/>
      <c r="NTM753" s="574"/>
      <c r="NTN753" s="574"/>
      <c r="NTO753" s="574"/>
      <c r="NTP753" s="574"/>
      <c r="NTQ753" s="574"/>
      <c r="NTR753" s="574"/>
      <c r="NTS753" s="574"/>
      <c r="NTT753" s="574"/>
      <c r="NTU753" s="574"/>
      <c r="NTV753" s="574"/>
      <c r="NTW753" s="574"/>
      <c r="NTX753" s="574"/>
      <c r="NTY753" s="574"/>
      <c r="NTZ753" s="574"/>
      <c r="NUA753" s="574"/>
      <c r="NUB753" s="574"/>
      <c r="NUC753" s="574"/>
      <c r="NUD753" s="574"/>
      <c r="NUE753" s="574"/>
      <c r="NUF753" s="574"/>
      <c r="NUG753" s="574"/>
      <c r="NUH753" s="574"/>
      <c r="NUI753" s="574"/>
      <c r="NUJ753" s="574"/>
      <c r="NUK753" s="574"/>
      <c r="NUL753" s="574"/>
      <c r="NUM753" s="574"/>
      <c r="NUN753" s="574"/>
      <c r="NUO753" s="574"/>
      <c r="NUP753" s="574"/>
      <c r="NUQ753" s="574"/>
      <c r="NUR753" s="574"/>
      <c r="NUS753" s="574"/>
      <c r="NUT753" s="574"/>
      <c r="NUU753" s="574"/>
      <c r="NUV753" s="574"/>
      <c r="NUW753" s="574"/>
      <c r="NUX753" s="574"/>
      <c r="NUY753" s="574"/>
      <c r="NUZ753" s="574"/>
      <c r="NVA753" s="574"/>
      <c r="NVB753" s="574"/>
      <c r="NVC753" s="574"/>
      <c r="NVD753" s="574"/>
      <c r="NVE753" s="574"/>
      <c r="NVF753" s="574"/>
      <c r="NVG753" s="574"/>
      <c r="NVH753" s="574"/>
      <c r="NVI753" s="574"/>
      <c r="NVJ753" s="574"/>
      <c r="NVK753" s="574"/>
      <c r="NVL753" s="574"/>
      <c r="NVM753" s="574"/>
      <c r="NVN753" s="574"/>
      <c r="NVO753" s="574"/>
      <c r="NVP753" s="574"/>
      <c r="NVQ753" s="574"/>
      <c r="NVR753" s="574"/>
      <c r="NVS753" s="574"/>
      <c r="NVT753" s="574"/>
      <c r="NVU753" s="574"/>
      <c r="NVV753" s="574"/>
      <c r="NVW753" s="574"/>
      <c r="NVX753" s="574"/>
      <c r="NVY753" s="574"/>
      <c r="NVZ753" s="574"/>
      <c r="NWA753" s="574"/>
      <c r="NWB753" s="574"/>
      <c r="NWC753" s="574"/>
      <c r="NWD753" s="574"/>
      <c r="NWE753" s="574"/>
      <c r="NWF753" s="574"/>
      <c r="NWG753" s="574"/>
      <c r="NWH753" s="574"/>
      <c r="NWI753" s="574"/>
      <c r="NWJ753" s="574"/>
      <c r="NWK753" s="574"/>
      <c r="NWL753" s="574"/>
      <c r="NWM753" s="574"/>
      <c r="NWN753" s="574"/>
      <c r="NWO753" s="574"/>
      <c r="NWP753" s="574"/>
      <c r="NWQ753" s="574"/>
      <c r="NWR753" s="574"/>
      <c r="NWS753" s="574"/>
      <c r="NWT753" s="574"/>
      <c r="NWU753" s="574"/>
      <c r="NWV753" s="574"/>
      <c r="NWW753" s="574"/>
      <c r="NWX753" s="574"/>
      <c r="NWY753" s="574"/>
      <c r="NWZ753" s="574"/>
      <c r="NXA753" s="574"/>
      <c r="NXB753" s="574"/>
      <c r="NXC753" s="574"/>
      <c r="NXD753" s="574"/>
      <c r="NXE753" s="574"/>
      <c r="NXF753" s="574"/>
      <c r="NXG753" s="574"/>
      <c r="NXH753" s="574"/>
      <c r="NXI753" s="574"/>
      <c r="NXJ753" s="574"/>
      <c r="NXK753" s="574"/>
      <c r="NXL753" s="574"/>
      <c r="NXM753" s="574"/>
      <c r="NXN753" s="574"/>
      <c r="NXO753" s="574"/>
      <c r="NXP753" s="574"/>
      <c r="NXQ753" s="574"/>
      <c r="NXR753" s="574"/>
      <c r="NXS753" s="574"/>
      <c r="NXT753" s="574"/>
      <c r="NXU753" s="574"/>
      <c r="NXV753" s="574"/>
      <c r="NXW753" s="574"/>
      <c r="NXX753" s="574"/>
      <c r="NXY753" s="574"/>
      <c r="NXZ753" s="574"/>
      <c r="NYA753" s="574"/>
      <c r="NYB753" s="574"/>
      <c r="NYC753" s="574"/>
      <c r="NYD753" s="574"/>
      <c r="NYE753" s="574"/>
      <c r="NYF753" s="574"/>
      <c r="NYG753" s="574"/>
      <c r="NYH753" s="574"/>
      <c r="NYI753" s="574"/>
      <c r="NYJ753" s="574"/>
      <c r="NYK753" s="574"/>
      <c r="NYL753" s="574"/>
      <c r="NYM753" s="574"/>
      <c r="NYN753" s="574"/>
      <c r="NYO753" s="574"/>
      <c r="NYP753" s="574"/>
      <c r="NYQ753" s="574"/>
      <c r="NYR753" s="574"/>
      <c r="NYS753" s="574"/>
      <c r="NYT753" s="574"/>
      <c r="NYU753" s="574"/>
      <c r="NYV753" s="574"/>
      <c r="NYW753" s="574"/>
      <c r="NYX753" s="574"/>
      <c r="NYY753" s="574"/>
      <c r="NYZ753" s="574"/>
      <c r="NZA753" s="574"/>
      <c r="NZB753" s="574"/>
      <c r="NZC753" s="574"/>
      <c r="NZD753" s="574"/>
      <c r="NZE753" s="574"/>
      <c r="NZF753" s="574"/>
      <c r="NZG753" s="574"/>
      <c r="NZH753" s="574"/>
      <c r="NZI753" s="574"/>
      <c r="NZJ753" s="574"/>
      <c r="NZK753" s="574"/>
      <c r="NZL753" s="574"/>
      <c r="NZM753" s="574"/>
      <c r="NZN753" s="574"/>
      <c r="NZO753" s="574"/>
      <c r="NZP753" s="574"/>
      <c r="NZQ753" s="574"/>
      <c r="NZR753" s="574"/>
      <c r="NZS753" s="574"/>
      <c r="NZT753" s="574"/>
      <c r="NZU753" s="574"/>
      <c r="NZV753" s="574"/>
      <c r="NZW753" s="574"/>
      <c r="NZX753" s="574"/>
      <c r="NZY753" s="574"/>
      <c r="NZZ753" s="574"/>
      <c r="OAA753" s="574"/>
      <c r="OAB753" s="574"/>
      <c r="OAC753" s="574"/>
      <c r="OAD753" s="574"/>
      <c r="OAE753" s="574"/>
      <c r="OAF753" s="574"/>
      <c r="OAG753" s="574"/>
      <c r="OAH753" s="574"/>
      <c r="OAI753" s="574"/>
      <c r="OAJ753" s="574"/>
      <c r="OAK753" s="574"/>
      <c r="OAL753" s="574"/>
      <c r="OAM753" s="574"/>
      <c r="OAN753" s="574"/>
      <c r="OAO753" s="574"/>
      <c r="OAP753" s="574"/>
      <c r="OAQ753" s="574"/>
      <c r="OAR753" s="574"/>
      <c r="OAS753" s="574"/>
      <c r="OAT753" s="574"/>
      <c r="OAU753" s="574"/>
      <c r="OAV753" s="574"/>
      <c r="OAW753" s="574"/>
      <c r="OAX753" s="574"/>
      <c r="OAY753" s="574"/>
      <c r="OAZ753" s="574"/>
      <c r="OBA753" s="574"/>
      <c r="OBB753" s="574"/>
      <c r="OBC753" s="574"/>
      <c r="OBD753" s="574"/>
      <c r="OBE753" s="574"/>
      <c r="OBF753" s="574"/>
      <c r="OBG753" s="574"/>
      <c r="OBH753" s="574"/>
      <c r="OBI753" s="574"/>
      <c r="OBJ753" s="574"/>
      <c r="OBK753" s="574"/>
      <c r="OBL753" s="574"/>
      <c r="OBM753" s="574"/>
      <c r="OBN753" s="574"/>
      <c r="OBO753" s="574"/>
      <c r="OBP753" s="574"/>
      <c r="OBQ753" s="574"/>
      <c r="OBR753" s="574"/>
      <c r="OBS753" s="574"/>
      <c r="OBT753" s="574"/>
      <c r="OBU753" s="574"/>
      <c r="OBV753" s="574"/>
      <c r="OBW753" s="574"/>
      <c r="OBX753" s="574"/>
      <c r="OBY753" s="574"/>
      <c r="OBZ753" s="574"/>
      <c r="OCA753" s="574"/>
      <c r="OCB753" s="574"/>
      <c r="OCC753" s="574"/>
      <c r="OCD753" s="574"/>
      <c r="OCE753" s="574"/>
      <c r="OCF753" s="574"/>
      <c r="OCG753" s="574"/>
      <c r="OCH753" s="574"/>
      <c r="OCI753" s="574"/>
      <c r="OCJ753" s="574"/>
      <c r="OCK753" s="574"/>
      <c r="OCL753" s="574"/>
      <c r="OCM753" s="574"/>
      <c r="OCN753" s="574"/>
      <c r="OCO753" s="574"/>
      <c r="OCP753" s="574"/>
      <c r="OCQ753" s="574"/>
      <c r="OCR753" s="574"/>
      <c r="OCS753" s="574"/>
      <c r="OCT753" s="574"/>
      <c r="OCU753" s="574"/>
      <c r="OCV753" s="574"/>
      <c r="OCW753" s="574"/>
      <c r="OCX753" s="574"/>
      <c r="OCY753" s="574"/>
      <c r="OCZ753" s="574"/>
      <c r="ODA753" s="574"/>
      <c r="ODB753" s="574"/>
      <c r="ODC753" s="574"/>
      <c r="ODD753" s="574"/>
      <c r="ODE753" s="574"/>
      <c r="ODF753" s="574"/>
      <c r="ODG753" s="574"/>
      <c r="ODH753" s="574"/>
      <c r="ODI753" s="574"/>
      <c r="ODJ753" s="574"/>
      <c r="ODK753" s="574"/>
      <c r="ODL753" s="574"/>
      <c r="ODM753" s="574"/>
      <c r="ODN753" s="574"/>
      <c r="ODO753" s="574"/>
      <c r="ODP753" s="574"/>
      <c r="ODQ753" s="574"/>
      <c r="ODR753" s="574"/>
      <c r="ODS753" s="574"/>
      <c r="ODT753" s="574"/>
      <c r="ODU753" s="574"/>
      <c r="ODV753" s="574"/>
      <c r="ODW753" s="574"/>
      <c r="ODX753" s="574"/>
      <c r="ODY753" s="574"/>
      <c r="ODZ753" s="574"/>
      <c r="OEA753" s="574"/>
      <c r="OEB753" s="574"/>
      <c r="OEC753" s="574"/>
      <c r="OED753" s="574"/>
      <c r="OEE753" s="574"/>
      <c r="OEF753" s="574"/>
      <c r="OEG753" s="574"/>
      <c r="OEH753" s="574"/>
      <c r="OEI753" s="574"/>
      <c r="OEJ753" s="574"/>
      <c r="OEK753" s="574"/>
      <c r="OEL753" s="574"/>
      <c r="OEM753" s="574"/>
      <c r="OEN753" s="574"/>
      <c r="OEO753" s="574"/>
      <c r="OEP753" s="574"/>
      <c r="OEQ753" s="574"/>
      <c r="OER753" s="574"/>
      <c r="OES753" s="574"/>
      <c r="OET753" s="574"/>
      <c r="OEU753" s="574"/>
      <c r="OEV753" s="574"/>
      <c r="OEW753" s="574"/>
      <c r="OEX753" s="574"/>
      <c r="OEY753" s="574"/>
      <c r="OEZ753" s="574"/>
      <c r="OFA753" s="574"/>
      <c r="OFB753" s="574"/>
      <c r="OFC753" s="574"/>
      <c r="OFD753" s="574"/>
      <c r="OFE753" s="574"/>
      <c r="OFF753" s="574"/>
      <c r="OFG753" s="574"/>
      <c r="OFH753" s="574"/>
      <c r="OFI753" s="574"/>
      <c r="OFJ753" s="574"/>
      <c r="OFK753" s="574"/>
      <c r="OFL753" s="574"/>
      <c r="OFM753" s="574"/>
      <c r="OFN753" s="574"/>
      <c r="OFO753" s="574"/>
      <c r="OFP753" s="574"/>
      <c r="OFQ753" s="574"/>
      <c r="OFR753" s="574"/>
      <c r="OFS753" s="574"/>
      <c r="OFT753" s="574"/>
      <c r="OFU753" s="574"/>
      <c r="OFV753" s="574"/>
      <c r="OFW753" s="574"/>
      <c r="OFX753" s="574"/>
      <c r="OFY753" s="574"/>
      <c r="OFZ753" s="574"/>
      <c r="OGA753" s="574"/>
      <c r="OGB753" s="574"/>
      <c r="OGC753" s="574"/>
      <c r="OGD753" s="574"/>
      <c r="OGE753" s="574"/>
      <c r="OGF753" s="574"/>
      <c r="OGG753" s="574"/>
      <c r="OGH753" s="574"/>
      <c r="OGI753" s="574"/>
      <c r="OGJ753" s="574"/>
      <c r="OGK753" s="574"/>
      <c r="OGL753" s="574"/>
      <c r="OGM753" s="574"/>
      <c r="OGN753" s="574"/>
      <c r="OGO753" s="574"/>
      <c r="OGP753" s="574"/>
      <c r="OGQ753" s="574"/>
      <c r="OGR753" s="574"/>
      <c r="OGS753" s="574"/>
      <c r="OGT753" s="574"/>
      <c r="OGU753" s="574"/>
      <c r="OGV753" s="574"/>
      <c r="OGW753" s="574"/>
      <c r="OGX753" s="574"/>
      <c r="OGY753" s="574"/>
      <c r="OGZ753" s="574"/>
      <c r="OHA753" s="574"/>
      <c r="OHB753" s="574"/>
      <c r="OHC753" s="574"/>
      <c r="OHD753" s="574"/>
      <c r="OHE753" s="574"/>
      <c r="OHF753" s="574"/>
      <c r="OHG753" s="574"/>
      <c r="OHH753" s="574"/>
      <c r="OHI753" s="574"/>
      <c r="OHJ753" s="574"/>
      <c r="OHK753" s="574"/>
      <c r="OHL753" s="574"/>
      <c r="OHM753" s="574"/>
      <c r="OHN753" s="574"/>
      <c r="OHO753" s="574"/>
      <c r="OHP753" s="574"/>
      <c r="OHQ753" s="574"/>
      <c r="OHR753" s="574"/>
      <c r="OHS753" s="574"/>
      <c r="OHT753" s="574"/>
      <c r="OHU753" s="574"/>
      <c r="OHV753" s="574"/>
      <c r="OHW753" s="574"/>
      <c r="OHX753" s="574"/>
      <c r="OHY753" s="574"/>
      <c r="OHZ753" s="574"/>
      <c r="OIA753" s="574"/>
      <c r="OIB753" s="574"/>
      <c r="OIC753" s="574"/>
      <c r="OID753" s="574"/>
      <c r="OIE753" s="574"/>
      <c r="OIF753" s="574"/>
      <c r="OIG753" s="574"/>
      <c r="OIH753" s="574"/>
      <c r="OII753" s="574"/>
      <c r="OIJ753" s="574"/>
      <c r="OIK753" s="574"/>
      <c r="OIL753" s="574"/>
      <c r="OIM753" s="574"/>
      <c r="OIN753" s="574"/>
      <c r="OIO753" s="574"/>
      <c r="OIP753" s="574"/>
      <c r="OIQ753" s="574"/>
      <c r="OIR753" s="574"/>
      <c r="OIS753" s="574"/>
      <c r="OIT753" s="574"/>
      <c r="OIU753" s="574"/>
      <c r="OIV753" s="574"/>
      <c r="OIW753" s="574"/>
      <c r="OIX753" s="574"/>
      <c r="OIY753" s="574"/>
      <c r="OIZ753" s="574"/>
      <c r="OJA753" s="574"/>
      <c r="OJB753" s="574"/>
      <c r="OJC753" s="574"/>
      <c r="OJD753" s="574"/>
      <c r="OJE753" s="574"/>
      <c r="OJF753" s="574"/>
      <c r="OJG753" s="574"/>
      <c r="OJH753" s="574"/>
      <c r="OJI753" s="574"/>
      <c r="OJJ753" s="574"/>
      <c r="OJK753" s="574"/>
      <c r="OJL753" s="574"/>
      <c r="OJM753" s="574"/>
      <c r="OJN753" s="574"/>
      <c r="OJO753" s="574"/>
      <c r="OJP753" s="574"/>
      <c r="OJQ753" s="574"/>
      <c r="OJR753" s="574"/>
      <c r="OJS753" s="574"/>
      <c r="OJT753" s="574"/>
      <c r="OJU753" s="574"/>
      <c r="OJV753" s="574"/>
      <c r="OJW753" s="574"/>
      <c r="OJX753" s="574"/>
      <c r="OJY753" s="574"/>
      <c r="OJZ753" s="574"/>
      <c r="OKA753" s="574"/>
      <c r="OKB753" s="574"/>
      <c r="OKC753" s="574"/>
      <c r="OKD753" s="574"/>
      <c r="OKE753" s="574"/>
      <c r="OKF753" s="574"/>
      <c r="OKG753" s="574"/>
      <c r="OKH753" s="574"/>
      <c r="OKI753" s="574"/>
      <c r="OKJ753" s="574"/>
      <c r="OKK753" s="574"/>
      <c r="OKL753" s="574"/>
      <c r="OKM753" s="574"/>
      <c r="OKN753" s="574"/>
      <c r="OKO753" s="574"/>
      <c r="OKP753" s="574"/>
      <c r="OKQ753" s="574"/>
      <c r="OKR753" s="574"/>
      <c r="OKS753" s="574"/>
      <c r="OKT753" s="574"/>
      <c r="OKU753" s="574"/>
      <c r="OKV753" s="574"/>
      <c r="OKW753" s="574"/>
      <c r="OKX753" s="574"/>
      <c r="OKY753" s="574"/>
      <c r="OKZ753" s="574"/>
      <c r="OLA753" s="574"/>
      <c r="OLB753" s="574"/>
      <c r="OLC753" s="574"/>
      <c r="OLD753" s="574"/>
      <c r="OLE753" s="574"/>
      <c r="OLF753" s="574"/>
      <c r="OLG753" s="574"/>
      <c r="OLH753" s="574"/>
      <c r="OLI753" s="574"/>
      <c r="OLJ753" s="574"/>
      <c r="OLK753" s="574"/>
      <c r="OLL753" s="574"/>
      <c r="OLM753" s="574"/>
      <c r="OLN753" s="574"/>
      <c r="OLO753" s="574"/>
      <c r="OLP753" s="574"/>
      <c r="OLQ753" s="574"/>
      <c r="OLR753" s="574"/>
      <c r="OLS753" s="574"/>
      <c r="OLT753" s="574"/>
      <c r="OLU753" s="574"/>
      <c r="OLV753" s="574"/>
      <c r="OLW753" s="574"/>
      <c r="OLX753" s="574"/>
      <c r="OLY753" s="574"/>
      <c r="OLZ753" s="574"/>
      <c r="OMA753" s="574"/>
      <c r="OMB753" s="574"/>
      <c r="OMC753" s="574"/>
      <c r="OMD753" s="574"/>
      <c r="OME753" s="574"/>
      <c r="OMF753" s="574"/>
      <c r="OMG753" s="574"/>
      <c r="OMH753" s="574"/>
      <c r="OMI753" s="574"/>
      <c r="OMJ753" s="574"/>
      <c r="OMK753" s="574"/>
      <c r="OML753" s="574"/>
      <c r="OMM753" s="574"/>
      <c r="OMN753" s="574"/>
      <c r="OMO753" s="574"/>
      <c r="OMP753" s="574"/>
      <c r="OMQ753" s="574"/>
      <c r="OMR753" s="574"/>
      <c r="OMS753" s="574"/>
      <c r="OMT753" s="574"/>
      <c r="OMU753" s="574"/>
      <c r="OMV753" s="574"/>
      <c r="OMW753" s="574"/>
      <c r="OMX753" s="574"/>
      <c r="OMY753" s="574"/>
      <c r="OMZ753" s="574"/>
      <c r="ONA753" s="574"/>
      <c r="ONB753" s="574"/>
      <c r="ONC753" s="574"/>
      <c r="OND753" s="574"/>
      <c r="ONE753" s="574"/>
      <c r="ONF753" s="574"/>
      <c r="ONG753" s="574"/>
      <c r="ONH753" s="574"/>
      <c r="ONI753" s="574"/>
      <c r="ONJ753" s="574"/>
      <c r="ONK753" s="574"/>
      <c r="ONL753" s="574"/>
      <c r="ONM753" s="574"/>
      <c r="ONN753" s="574"/>
      <c r="ONO753" s="574"/>
      <c r="ONP753" s="574"/>
      <c r="ONQ753" s="574"/>
      <c r="ONR753" s="574"/>
      <c r="ONS753" s="574"/>
      <c r="ONT753" s="574"/>
      <c r="ONU753" s="574"/>
      <c r="ONV753" s="574"/>
      <c r="ONW753" s="574"/>
      <c r="ONX753" s="574"/>
      <c r="ONY753" s="574"/>
      <c r="ONZ753" s="574"/>
      <c r="OOA753" s="574"/>
      <c r="OOB753" s="574"/>
      <c r="OOC753" s="574"/>
      <c r="OOD753" s="574"/>
      <c r="OOE753" s="574"/>
      <c r="OOF753" s="574"/>
      <c r="OOG753" s="574"/>
      <c r="OOH753" s="574"/>
      <c r="OOI753" s="574"/>
      <c r="OOJ753" s="574"/>
      <c r="OOK753" s="574"/>
      <c r="OOL753" s="574"/>
      <c r="OOM753" s="574"/>
      <c r="OON753" s="574"/>
      <c r="OOO753" s="574"/>
      <c r="OOP753" s="574"/>
      <c r="OOQ753" s="574"/>
      <c r="OOR753" s="574"/>
      <c r="OOS753" s="574"/>
      <c r="OOT753" s="574"/>
      <c r="OOU753" s="574"/>
      <c r="OOV753" s="574"/>
      <c r="OOW753" s="574"/>
      <c r="OOX753" s="574"/>
      <c r="OOY753" s="574"/>
      <c r="OOZ753" s="574"/>
      <c r="OPA753" s="574"/>
      <c r="OPB753" s="574"/>
      <c r="OPC753" s="574"/>
      <c r="OPD753" s="574"/>
      <c r="OPE753" s="574"/>
      <c r="OPF753" s="574"/>
      <c r="OPG753" s="574"/>
      <c r="OPH753" s="574"/>
      <c r="OPI753" s="574"/>
      <c r="OPJ753" s="574"/>
      <c r="OPK753" s="574"/>
      <c r="OPL753" s="574"/>
      <c r="OPM753" s="574"/>
      <c r="OPN753" s="574"/>
      <c r="OPO753" s="574"/>
      <c r="OPP753" s="574"/>
      <c r="OPQ753" s="574"/>
      <c r="OPR753" s="574"/>
      <c r="OPS753" s="574"/>
      <c r="OPT753" s="574"/>
      <c r="OPU753" s="574"/>
      <c r="OPV753" s="574"/>
      <c r="OPW753" s="574"/>
      <c r="OPX753" s="574"/>
      <c r="OPY753" s="574"/>
      <c r="OPZ753" s="574"/>
      <c r="OQA753" s="574"/>
      <c r="OQB753" s="574"/>
      <c r="OQC753" s="574"/>
      <c r="OQD753" s="574"/>
      <c r="OQE753" s="574"/>
      <c r="OQF753" s="574"/>
      <c r="OQG753" s="574"/>
      <c r="OQH753" s="574"/>
      <c r="OQI753" s="574"/>
      <c r="OQJ753" s="574"/>
      <c r="OQK753" s="574"/>
      <c r="OQL753" s="574"/>
      <c r="OQM753" s="574"/>
      <c r="OQN753" s="574"/>
      <c r="OQO753" s="574"/>
      <c r="OQP753" s="574"/>
      <c r="OQQ753" s="574"/>
      <c r="OQR753" s="574"/>
      <c r="OQS753" s="574"/>
      <c r="OQT753" s="574"/>
      <c r="OQU753" s="574"/>
      <c r="OQV753" s="574"/>
      <c r="OQW753" s="574"/>
      <c r="OQX753" s="574"/>
      <c r="OQY753" s="574"/>
      <c r="OQZ753" s="574"/>
      <c r="ORA753" s="574"/>
      <c r="ORB753" s="574"/>
      <c r="ORC753" s="574"/>
      <c r="ORD753" s="574"/>
      <c r="ORE753" s="574"/>
      <c r="ORF753" s="574"/>
      <c r="ORG753" s="574"/>
      <c r="ORH753" s="574"/>
      <c r="ORI753" s="574"/>
      <c r="ORJ753" s="574"/>
      <c r="ORK753" s="574"/>
      <c r="ORL753" s="574"/>
      <c r="ORM753" s="574"/>
      <c r="ORN753" s="574"/>
      <c r="ORO753" s="574"/>
      <c r="ORP753" s="574"/>
      <c r="ORQ753" s="574"/>
      <c r="ORR753" s="574"/>
      <c r="ORS753" s="574"/>
      <c r="ORT753" s="574"/>
      <c r="ORU753" s="574"/>
      <c r="ORV753" s="574"/>
      <c r="ORW753" s="574"/>
      <c r="ORX753" s="574"/>
      <c r="ORY753" s="574"/>
      <c r="ORZ753" s="574"/>
      <c r="OSA753" s="574"/>
      <c r="OSB753" s="574"/>
      <c r="OSC753" s="574"/>
      <c r="OSD753" s="574"/>
      <c r="OSE753" s="574"/>
      <c r="OSF753" s="574"/>
      <c r="OSG753" s="574"/>
      <c r="OSH753" s="574"/>
      <c r="OSI753" s="574"/>
      <c r="OSJ753" s="574"/>
      <c r="OSK753" s="574"/>
      <c r="OSL753" s="574"/>
      <c r="OSM753" s="574"/>
      <c r="OSN753" s="574"/>
      <c r="OSO753" s="574"/>
      <c r="OSP753" s="574"/>
      <c r="OSQ753" s="574"/>
      <c r="OSR753" s="574"/>
      <c r="OSS753" s="574"/>
      <c r="OST753" s="574"/>
      <c r="OSU753" s="574"/>
      <c r="OSV753" s="574"/>
      <c r="OSW753" s="574"/>
      <c r="OSX753" s="574"/>
      <c r="OSY753" s="574"/>
      <c r="OSZ753" s="574"/>
      <c r="OTA753" s="574"/>
      <c r="OTB753" s="574"/>
      <c r="OTC753" s="574"/>
      <c r="OTD753" s="574"/>
      <c r="OTE753" s="574"/>
      <c r="OTF753" s="574"/>
      <c r="OTG753" s="574"/>
      <c r="OTH753" s="574"/>
      <c r="OTI753" s="574"/>
      <c r="OTJ753" s="574"/>
      <c r="OTK753" s="574"/>
      <c r="OTL753" s="574"/>
      <c r="OTM753" s="574"/>
      <c r="OTN753" s="574"/>
      <c r="OTO753" s="574"/>
      <c r="OTP753" s="574"/>
      <c r="OTQ753" s="574"/>
      <c r="OTR753" s="574"/>
      <c r="OTS753" s="574"/>
      <c r="OTT753" s="574"/>
      <c r="OTU753" s="574"/>
      <c r="OTV753" s="574"/>
      <c r="OTW753" s="574"/>
      <c r="OTX753" s="574"/>
      <c r="OTY753" s="574"/>
      <c r="OTZ753" s="574"/>
      <c r="OUA753" s="574"/>
      <c r="OUB753" s="574"/>
      <c r="OUC753" s="574"/>
      <c r="OUD753" s="574"/>
      <c r="OUE753" s="574"/>
      <c r="OUF753" s="574"/>
      <c r="OUG753" s="574"/>
      <c r="OUH753" s="574"/>
      <c r="OUI753" s="574"/>
      <c r="OUJ753" s="574"/>
      <c r="OUK753" s="574"/>
      <c r="OUL753" s="574"/>
      <c r="OUM753" s="574"/>
      <c r="OUN753" s="574"/>
      <c r="OUO753" s="574"/>
      <c r="OUP753" s="574"/>
      <c r="OUQ753" s="574"/>
      <c r="OUR753" s="574"/>
      <c r="OUS753" s="574"/>
      <c r="OUT753" s="574"/>
      <c r="OUU753" s="574"/>
      <c r="OUV753" s="574"/>
      <c r="OUW753" s="574"/>
      <c r="OUX753" s="574"/>
      <c r="OUY753" s="574"/>
      <c r="OUZ753" s="574"/>
      <c r="OVA753" s="574"/>
      <c r="OVB753" s="574"/>
      <c r="OVC753" s="574"/>
      <c r="OVD753" s="574"/>
      <c r="OVE753" s="574"/>
      <c r="OVF753" s="574"/>
      <c r="OVG753" s="574"/>
      <c r="OVH753" s="574"/>
      <c r="OVI753" s="574"/>
      <c r="OVJ753" s="574"/>
      <c r="OVK753" s="574"/>
      <c r="OVL753" s="574"/>
      <c r="OVM753" s="574"/>
      <c r="OVN753" s="574"/>
      <c r="OVO753" s="574"/>
      <c r="OVP753" s="574"/>
      <c r="OVQ753" s="574"/>
      <c r="OVR753" s="574"/>
      <c r="OVS753" s="574"/>
      <c r="OVT753" s="574"/>
      <c r="OVU753" s="574"/>
      <c r="OVV753" s="574"/>
      <c r="OVW753" s="574"/>
      <c r="OVX753" s="574"/>
      <c r="OVY753" s="574"/>
      <c r="OVZ753" s="574"/>
      <c r="OWA753" s="574"/>
      <c r="OWB753" s="574"/>
      <c r="OWC753" s="574"/>
      <c r="OWD753" s="574"/>
      <c r="OWE753" s="574"/>
      <c r="OWF753" s="574"/>
      <c r="OWG753" s="574"/>
      <c r="OWH753" s="574"/>
      <c r="OWI753" s="574"/>
      <c r="OWJ753" s="574"/>
      <c r="OWK753" s="574"/>
      <c r="OWL753" s="574"/>
      <c r="OWM753" s="574"/>
      <c r="OWN753" s="574"/>
      <c r="OWO753" s="574"/>
      <c r="OWP753" s="574"/>
      <c r="OWQ753" s="574"/>
      <c r="OWR753" s="574"/>
      <c r="OWS753" s="574"/>
      <c r="OWT753" s="574"/>
      <c r="OWU753" s="574"/>
      <c r="OWV753" s="574"/>
      <c r="OWW753" s="574"/>
      <c r="OWX753" s="574"/>
      <c r="OWY753" s="574"/>
      <c r="OWZ753" s="574"/>
      <c r="OXA753" s="574"/>
      <c r="OXB753" s="574"/>
      <c r="OXC753" s="574"/>
      <c r="OXD753" s="574"/>
      <c r="OXE753" s="574"/>
      <c r="OXF753" s="574"/>
      <c r="OXG753" s="574"/>
      <c r="OXH753" s="574"/>
      <c r="OXI753" s="574"/>
      <c r="OXJ753" s="574"/>
      <c r="OXK753" s="574"/>
      <c r="OXL753" s="574"/>
      <c r="OXM753" s="574"/>
      <c r="OXN753" s="574"/>
      <c r="OXO753" s="574"/>
      <c r="OXP753" s="574"/>
      <c r="OXQ753" s="574"/>
      <c r="OXR753" s="574"/>
      <c r="OXS753" s="574"/>
      <c r="OXT753" s="574"/>
      <c r="OXU753" s="574"/>
      <c r="OXV753" s="574"/>
      <c r="OXW753" s="574"/>
      <c r="OXX753" s="574"/>
      <c r="OXY753" s="574"/>
      <c r="OXZ753" s="574"/>
      <c r="OYA753" s="574"/>
      <c r="OYB753" s="574"/>
      <c r="OYC753" s="574"/>
      <c r="OYD753" s="574"/>
      <c r="OYE753" s="574"/>
      <c r="OYF753" s="574"/>
      <c r="OYG753" s="574"/>
      <c r="OYH753" s="574"/>
      <c r="OYI753" s="574"/>
      <c r="OYJ753" s="574"/>
      <c r="OYK753" s="574"/>
      <c r="OYL753" s="574"/>
      <c r="OYM753" s="574"/>
      <c r="OYN753" s="574"/>
      <c r="OYO753" s="574"/>
      <c r="OYP753" s="574"/>
      <c r="OYQ753" s="574"/>
      <c r="OYR753" s="574"/>
      <c r="OYS753" s="574"/>
      <c r="OYT753" s="574"/>
      <c r="OYU753" s="574"/>
      <c r="OYV753" s="574"/>
      <c r="OYW753" s="574"/>
      <c r="OYX753" s="574"/>
      <c r="OYY753" s="574"/>
      <c r="OYZ753" s="574"/>
      <c r="OZA753" s="574"/>
      <c r="OZB753" s="574"/>
      <c r="OZC753" s="574"/>
      <c r="OZD753" s="574"/>
      <c r="OZE753" s="574"/>
      <c r="OZF753" s="574"/>
      <c r="OZG753" s="574"/>
      <c r="OZH753" s="574"/>
      <c r="OZI753" s="574"/>
      <c r="OZJ753" s="574"/>
      <c r="OZK753" s="574"/>
      <c r="OZL753" s="574"/>
      <c r="OZM753" s="574"/>
      <c r="OZN753" s="574"/>
      <c r="OZO753" s="574"/>
      <c r="OZP753" s="574"/>
      <c r="OZQ753" s="574"/>
      <c r="OZR753" s="574"/>
      <c r="OZS753" s="574"/>
      <c r="OZT753" s="574"/>
      <c r="OZU753" s="574"/>
      <c r="OZV753" s="574"/>
      <c r="OZW753" s="574"/>
      <c r="OZX753" s="574"/>
      <c r="OZY753" s="574"/>
      <c r="OZZ753" s="574"/>
      <c r="PAA753" s="574"/>
      <c r="PAB753" s="574"/>
      <c r="PAC753" s="574"/>
      <c r="PAD753" s="574"/>
      <c r="PAE753" s="574"/>
      <c r="PAF753" s="574"/>
      <c r="PAG753" s="574"/>
      <c r="PAH753" s="574"/>
      <c r="PAI753" s="574"/>
      <c r="PAJ753" s="574"/>
      <c r="PAK753" s="574"/>
      <c r="PAL753" s="574"/>
      <c r="PAM753" s="574"/>
      <c r="PAN753" s="574"/>
      <c r="PAO753" s="574"/>
      <c r="PAP753" s="574"/>
      <c r="PAQ753" s="574"/>
      <c r="PAR753" s="574"/>
      <c r="PAS753" s="574"/>
      <c r="PAT753" s="574"/>
      <c r="PAU753" s="574"/>
      <c r="PAV753" s="574"/>
      <c r="PAW753" s="574"/>
      <c r="PAX753" s="574"/>
      <c r="PAY753" s="574"/>
      <c r="PAZ753" s="574"/>
      <c r="PBA753" s="574"/>
      <c r="PBB753" s="574"/>
      <c r="PBC753" s="574"/>
      <c r="PBD753" s="574"/>
      <c r="PBE753" s="574"/>
      <c r="PBF753" s="574"/>
      <c r="PBG753" s="574"/>
      <c r="PBH753" s="574"/>
      <c r="PBI753" s="574"/>
      <c r="PBJ753" s="574"/>
      <c r="PBK753" s="574"/>
      <c r="PBL753" s="574"/>
      <c r="PBM753" s="574"/>
      <c r="PBN753" s="574"/>
      <c r="PBO753" s="574"/>
      <c r="PBP753" s="574"/>
      <c r="PBQ753" s="574"/>
      <c r="PBR753" s="574"/>
      <c r="PBS753" s="574"/>
      <c r="PBT753" s="574"/>
      <c r="PBU753" s="574"/>
      <c r="PBV753" s="574"/>
      <c r="PBW753" s="574"/>
      <c r="PBX753" s="574"/>
      <c r="PBY753" s="574"/>
      <c r="PBZ753" s="574"/>
      <c r="PCA753" s="574"/>
      <c r="PCB753" s="574"/>
      <c r="PCC753" s="574"/>
      <c r="PCD753" s="574"/>
      <c r="PCE753" s="574"/>
      <c r="PCF753" s="574"/>
      <c r="PCG753" s="574"/>
      <c r="PCH753" s="574"/>
      <c r="PCI753" s="574"/>
      <c r="PCJ753" s="574"/>
      <c r="PCK753" s="574"/>
      <c r="PCL753" s="574"/>
      <c r="PCM753" s="574"/>
      <c r="PCN753" s="574"/>
      <c r="PCO753" s="574"/>
      <c r="PCP753" s="574"/>
      <c r="PCQ753" s="574"/>
      <c r="PCR753" s="574"/>
      <c r="PCS753" s="574"/>
      <c r="PCT753" s="574"/>
      <c r="PCU753" s="574"/>
      <c r="PCV753" s="574"/>
      <c r="PCW753" s="574"/>
      <c r="PCX753" s="574"/>
      <c r="PCY753" s="574"/>
      <c r="PCZ753" s="574"/>
      <c r="PDA753" s="574"/>
      <c r="PDB753" s="574"/>
      <c r="PDC753" s="574"/>
      <c r="PDD753" s="574"/>
      <c r="PDE753" s="574"/>
      <c r="PDF753" s="574"/>
      <c r="PDG753" s="574"/>
      <c r="PDH753" s="574"/>
      <c r="PDI753" s="574"/>
      <c r="PDJ753" s="574"/>
      <c r="PDK753" s="574"/>
      <c r="PDL753" s="574"/>
      <c r="PDM753" s="574"/>
      <c r="PDN753" s="574"/>
      <c r="PDO753" s="574"/>
      <c r="PDP753" s="574"/>
      <c r="PDQ753" s="574"/>
      <c r="PDR753" s="574"/>
      <c r="PDS753" s="574"/>
      <c r="PDT753" s="574"/>
      <c r="PDU753" s="574"/>
      <c r="PDV753" s="574"/>
      <c r="PDW753" s="574"/>
      <c r="PDX753" s="574"/>
      <c r="PDY753" s="574"/>
      <c r="PDZ753" s="574"/>
      <c r="PEA753" s="574"/>
      <c r="PEB753" s="574"/>
      <c r="PEC753" s="574"/>
      <c r="PED753" s="574"/>
      <c r="PEE753" s="574"/>
      <c r="PEF753" s="574"/>
      <c r="PEG753" s="574"/>
      <c r="PEH753" s="574"/>
      <c r="PEI753" s="574"/>
      <c r="PEJ753" s="574"/>
      <c r="PEK753" s="574"/>
      <c r="PEL753" s="574"/>
      <c r="PEM753" s="574"/>
      <c r="PEN753" s="574"/>
      <c r="PEO753" s="574"/>
      <c r="PEP753" s="574"/>
      <c r="PEQ753" s="574"/>
      <c r="PER753" s="574"/>
      <c r="PES753" s="574"/>
      <c r="PET753" s="574"/>
      <c r="PEU753" s="574"/>
      <c r="PEV753" s="574"/>
      <c r="PEW753" s="574"/>
      <c r="PEX753" s="574"/>
      <c r="PEY753" s="574"/>
      <c r="PEZ753" s="574"/>
      <c r="PFA753" s="574"/>
      <c r="PFB753" s="574"/>
      <c r="PFC753" s="574"/>
      <c r="PFD753" s="574"/>
      <c r="PFE753" s="574"/>
      <c r="PFF753" s="574"/>
      <c r="PFG753" s="574"/>
      <c r="PFH753" s="574"/>
      <c r="PFI753" s="574"/>
      <c r="PFJ753" s="574"/>
      <c r="PFK753" s="574"/>
      <c r="PFL753" s="574"/>
      <c r="PFM753" s="574"/>
      <c r="PFN753" s="574"/>
      <c r="PFO753" s="574"/>
      <c r="PFP753" s="574"/>
      <c r="PFQ753" s="574"/>
      <c r="PFR753" s="574"/>
      <c r="PFS753" s="574"/>
      <c r="PFT753" s="574"/>
      <c r="PFU753" s="574"/>
      <c r="PFV753" s="574"/>
      <c r="PFW753" s="574"/>
      <c r="PFX753" s="574"/>
      <c r="PFY753" s="574"/>
      <c r="PFZ753" s="574"/>
      <c r="PGA753" s="574"/>
      <c r="PGB753" s="574"/>
      <c r="PGC753" s="574"/>
      <c r="PGD753" s="574"/>
      <c r="PGE753" s="574"/>
      <c r="PGF753" s="574"/>
      <c r="PGG753" s="574"/>
      <c r="PGH753" s="574"/>
      <c r="PGI753" s="574"/>
      <c r="PGJ753" s="574"/>
      <c r="PGK753" s="574"/>
      <c r="PGL753" s="574"/>
      <c r="PGM753" s="574"/>
      <c r="PGN753" s="574"/>
      <c r="PGO753" s="574"/>
      <c r="PGP753" s="574"/>
      <c r="PGQ753" s="574"/>
      <c r="PGR753" s="574"/>
      <c r="PGS753" s="574"/>
      <c r="PGT753" s="574"/>
      <c r="PGU753" s="574"/>
      <c r="PGV753" s="574"/>
      <c r="PGW753" s="574"/>
      <c r="PGX753" s="574"/>
      <c r="PGY753" s="574"/>
      <c r="PGZ753" s="574"/>
      <c r="PHA753" s="574"/>
      <c r="PHB753" s="574"/>
      <c r="PHC753" s="574"/>
      <c r="PHD753" s="574"/>
      <c r="PHE753" s="574"/>
      <c r="PHF753" s="574"/>
      <c r="PHG753" s="574"/>
      <c r="PHH753" s="574"/>
      <c r="PHI753" s="574"/>
      <c r="PHJ753" s="574"/>
      <c r="PHK753" s="574"/>
      <c r="PHL753" s="574"/>
      <c r="PHM753" s="574"/>
      <c r="PHN753" s="574"/>
      <c r="PHO753" s="574"/>
      <c r="PHP753" s="574"/>
      <c r="PHQ753" s="574"/>
      <c r="PHR753" s="574"/>
      <c r="PHS753" s="574"/>
      <c r="PHT753" s="574"/>
      <c r="PHU753" s="574"/>
      <c r="PHV753" s="574"/>
      <c r="PHW753" s="574"/>
      <c r="PHX753" s="574"/>
      <c r="PHY753" s="574"/>
      <c r="PHZ753" s="574"/>
      <c r="PIA753" s="574"/>
      <c r="PIB753" s="574"/>
      <c r="PIC753" s="574"/>
      <c r="PID753" s="574"/>
      <c r="PIE753" s="574"/>
      <c r="PIF753" s="574"/>
      <c r="PIG753" s="574"/>
      <c r="PIH753" s="574"/>
      <c r="PII753" s="574"/>
      <c r="PIJ753" s="574"/>
      <c r="PIK753" s="574"/>
      <c r="PIL753" s="574"/>
      <c r="PIM753" s="574"/>
      <c r="PIN753" s="574"/>
      <c r="PIO753" s="574"/>
      <c r="PIP753" s="574"/>
      <c r="PIQ753" s="574"/>
      <c r="PIR753" s="574"/>
      <c r="PIS753" s="574"/>
      <c r="PIT753" s="574"/>
      <c r="PIU753" s="574"/>
      <c r="PIV753" s="574"/>
      <c r="PIW753" s="574"/>
      <c r="PIX753" s="574"/>
      <c r="PIY753" s="574"/>
      <c r="PIZ753" s="574"/>
      <c r="PJA753" s="574"/>
      <c r="PJB753" s="574"/>
      <c r="PJC753" s="574"/>
      <c r="PJD753" s="574"/>
      <c r="PJE753" s="574"/>
      <c r="PJF753" s="574"/>
      <c r="PJG753" s="574"/>
      <c r="PJH753" s="574"/>
      <c r="PJI753" s="574"/>
      <c r="PJJ753" s="574"/>
      <c r="PJK753" s="574"/>
      <c r="PJL753" s="574"/>
      <c r="PJM753" s="574"/>
      <c r="PJN753" s="574"/>
      <c r="PJO753" s="574"/>
      <c r="PJP753" s="574"/>
      <c r="PJQ753" s="574"/>
      <c r="PJR753" s="574"/>
      <c r="PJS753" s="574"/>
      <c r="PJT753" s="574"/>
      <c r="PJU753" s="574"/>
      <c r="PJV753" s="574"/>
      <c r="PJW753" s="574"/>
      <c r="PJX753" s="574"/>
      <c r="PJY753" s="574"/>
      <c r="PJZ753" s="574"/>
      <c r="PKA753" s="574"/>
      <c r="PKB753" s="574"/>
      <c r="PKC753" s="574"/>
      <c r="PKD753" s="574"/>
      <c r="PKE753" s="574"/>
      <c r="PKF753" s="574"/>
      <c r="PKG753" s="574"/>
      <c r="PKH753" s="574"/>
      <c r="PKI753" s="574"/>
      <c r="PKJ753" s="574"/>
      <c r="PKK753" s="574"/>
      <c r="PKL753" s="574"/>
      <c r="PKM753" s="574"/>
      <c r="PKN753" s="574"/>
      <c r="PKO753" s="574"/>
      <c r="PKP753" s="574"/>
      <c r="PKQ753" s="574"/>
      <c r="PKR753" s="574"/>
      <c r="PKS753" s="574"/>
      <c r="PKT753" s="574"/>
      <c r="PKU753" s="574"/>
      <c r="PKV753" s="574"/>
      <c r="PKW753" s="574"/>
      <c r="PKX753" s="574"/>
      <c r="PKY753" s="574"/>
      <c r="PKZ753" s="574"/>
      <c r="PLA753" s="574"/>
      <c r="PLB753" s="574"/>
      <c r="PLC753" s="574"/>
      <c r="PLD753" s="574"/>
      <c r="PLE753" s="574"/>
      <c r="PLF753" s="574"/>
      <c r="PLG753" s="574"/>
      <c r="PLH753" s="574"/>
      <c r="PLI753" s="574"/>
      <c r="PLJ753" s="574"/>
      <c r="PLK753" s="574"/>
      <c r="PLL753" s="574"/>
      <c r="PLM753" s="574"/>
      <c r="PLN753" s="574"/>
      <c r="PLO753" s="574"/>
      <c r="PLP753" s="574"/>
      <c r="PLQ753" s="574"/>
      <c r="PLR753" s="574"/>
      <c r="PLS753" s="574"/>
      <c r="PLT753" s="574"/>
      <c r="PLU753" s="574"/>
      <c r="PLV753" s="574"/>
      <c r="PLW753" s="574"/>
      <c r="PLX753" s="574"/>
      <c r="PLY753" s="574"/>
      <c r="PLZ753" s="574"/>
      <c r="PMA753" s="574"/>
      <c r="PMB753" s="574"/>
      <c r="PMC753" s="574"/>
      <c r="PMD753" s="574"/>
      <c r="PME753" s="574"/>
      <c r="PMF753" s="574"/>
      <c r="PMG753" s="574"/>
      <c r="PMH753" s="574"/>
      <c r="PMI753" s="574"/>
      <c r="PMJ753" s="574"/>
      <c r="PMK753" s="574"/>
      <c r="PML753" s="574"/>
      <c r="PMM753" s="574"/>
      <c r="PMN753" s="574"/>
      <c r="PMO753" s="574"/>
      <c r="PMP753" s="574"/>
      <c r="PMQ753" s="574"/>
      <c r="PMR753" s="574"/>
      <c r="PMS753" s="574"/>
      <c r="PMT753" s="574"/>
      <c r="PMU753" s="574"/>
      <c r="PMV753" s="574"/>
      <c r="PMW753" s="574"/>
      <c r="PMX753" s="574"/>
      <c r="PMY753" s="574"/>
      <c r="PMZ753" s="574"/>
      <c r="PNA753" s="574"/>
      <c r="PNB753" s="574"/>
      <c r="PNC753" s="574"/>
      <c r="PND753" s="574"/>
      <c r="PNE753" s="574"/>
      <c r="PNF753" s="574"/>
      <c r="PNG753" s="574"/>
      <c r="PNH753" s="574"/>
      <c r="PNI753" s="574"/>
      <c r="PNJ753" s="574"/>
      <c r="PNK753" s="574"/>
      <c r="PNL753" s="574"/>
      <c r="PNM753" s="574"/>
      <c r="PNN753" s="574"/>
      <c r="PNO753" s="574"/>
      <c r="PNP753" s="574"/>
      <c r="PNQ753" s="574"/>
      <c r="PNR753" s="574"/>
      <c r="PNS753" s="574"/>
      <c r="PNT753" s="574"/>
      <c r="PNU753" s="574"/>
      <c r="PNV753" s="574"/>
      <c r="PNW753" s="574"/>
      <c r="PNX753" s="574"/>
      <c r="PNY753" s="574"/>
      <c r="PNZ753" s="574"/>
      <c r="POA753" s="574"/>
      <c r="POB753" s="574"/>
      <c r="POC753" s="574"/>
      <c r="POD753" s="574"/>
      <c r="POE753" s="574"/>
      <c r="POF753" s="574"/>
      <c r="POG753" s="574"/>
      <c r="POH753" s="574"/>
      <c r="POI753" s="574"/>
      <c r="POJ753" s="574"/>
      <c r="POK753" s="574"/>
      <c r="POL753" s="574"/>
      <c r="POM753" s="574"/>
      <c r="PON753" s="574"/>
      <c r="POO753" s="574"/>
      <c r="POP753" s="574"/>
      <c r="POQ753" s="574"/>
      <c r="POR753" s="574"/>
      <c r="POS753" s="574"/>
      <c r="POT753" s="574"/>
      <c r="POU753" s="574"/>
      <c r="POV753" s="574"/>
      <c r="POW753" s="574"/>
      <c r="POX753" s="574"/>
      <c r="POY753" s="574"/>
      <c r="POZ753" s="574"/>
      <c r="PPA753" s="574"/>
      <c r="PPB753" s="574"/>
      <c r="PPC753" s="574"/>
      <c r="PPD753" s="574"/>
      <c r="PPE753" s="574"/>
      <c r="PPF753" s="574"/>
      <c r="PPG753" s="574"/>
      <c r="PPH753" s="574"/>
      <c r="PPI753" s="574"/>
      <c r="PPJ753" s="574"/>
      <c r="PPK753" s="574"/>
      <c r="PPL753" s="574"/>
      <c r="PPM753" s="574"/>
      <c r="PPN753" s="574"/>
      <c r="PPO753" s="574"/>
      <c r="PPP753" s="574"/>
      <c r="PPQ753" s="574"/>
      <c r="PPR753" s="574"/>
      <c r="PPS753" s="574"/>
      <c r="PPT753" s="574"/>
      <c r="PPU753" s="574"/>
      <c r="PPV753" s="574"/>
      <c r="PPW753" s="574"/>
      <c r="PPX753" s="574"/>
      <c r="PPY753" s="574"/>
      <c r="PPZ753" s="574"/>
      <c r="PQA753" s="574"/>
      <c r="PQB753" s="574"/>
      <c r="PQC753" s="574"/>
      <c r="PQD753" s="574"/>
      <c r="PQE753" s="574"/>
      <c r="PQF753" s="574"/>
      <c r="PQG753" s="574"/>
      <c r="PQH753" s="574"/>
      <c r="PQI753" s="574"/>
      <c r="PQJ753" s="574"/>
      <c r="PQK753" s="574"/>
      <c r="PQL753" s="574"/>
      <c r="PQM753" s="574"/>
      <c r="PQN753" s="574"/>
      <c r="PQO753" s="574"/>
      <c r="PQP753" s="574"/>
      <c r="PQQ753" s="574"/>
      <c r="PQR753" s="574"/>
      <c r="PQS753" s="574"/>
      <c r="PQT753" s="574"/>
      <c r="PQU753" s="574"/>
      <c r="PQV753" s="574"/>
      <c r="PQW753" s="574"/>
      <c r="PQX753" s="574"/>
      <c r="PQY753" s="574"/>
      <c r="PQZ753" s="574"/>
      <c r="PRA753" s="574"/>
      <c r="PRB753" s="574"/>
      <c r="PRC753" s="574"/>
      <c r="PRD753" s="574"/>
      <c r="PRE753" s="574"/>
      <c r="PRF753" s="574"/>
      <c r="PRG753" s="574"/>
      <c r="PRH753" s="574"/>
      <c r="PRI753" s="574"/>
      <c r="PRJ753" s="574"/>
      <c r="PRK753" s="574"/>
      <c r="PRL753" s="574"/>
      <c r="PRM753" s="574"/>
      <c r="PRN753" s="574"/>
      <c r="PRO753" s="574"/>
      <c r="PRP753" s="574"/>
      <c r="PRQ753" s="574"/>
      <c r="PRR753" s="574"/>
      <c r="PRS753" s="574"/>
      <c r="PRT753" s="574"/>
      <c r="PRU753" s="574"/>
      <c r="PRV753" s="574"/>
      <c r="PRW753" s="574"/>
      <c r="PRX753" s="574"/>
      <c r="PRY753" s="574"/>
      <c r="PRZ753" s="574"/>
      <c r="PSA753" s="574"/>
      <c r="PSB753" s="574"/>
      <c r="PSC753" s="574"/>
      <c r="PSD753" s="574"/>
      <c r="PSE753" s="574"/>
      <c r="PSF753" s="574"/>
      <c r="PSG753" s="574"/>
      <c r="PSH753" s="574"/>
      <c r="PSI753" s="574"/>
      <c r="PSJ753" s="574"/>
      <c r="PSK753" s="574"/>
      <c r="PSL753" s="574"/>
      <c r="PSM753" s="574"/>
      <c r="PSN753" s="574"/>
      <c r="PSO753" s="574"/>
      <c r="PSP753" s="574"/>
      <c r="PSQ753" s="574"/>
      <c r="PSR753" s="574"/>
      <c r="PSS753" s="574"/>
      <c r="PST753" s="574"/>
      <c r="PSU753" s="574"/>
      <c r="PSV753" s="574"/>
      <c r="PSW753" s="574"/>
      <c r="PSX753" s="574"/>
      <c r="PSY753" s="574"/>
      <c r="PSZ753" s="574"/>
      <c r="PTA753" s="574"/>
      <c r="PTB753" s="574"/>
      <c r="PTC753" s="574"/>
      <c r="PTD753" s="574"/>
      <c r="PTE753" s="574"/>
      <c r="PTF753" s="574"/>
      <c r="PTG753" s="574"/>
      <c r="PTH753" s="574"/>
      <c r="PTI753" s="574"/>
      <c r="PTJ753" s="574"/>
      <c r="PTK753" s="574"/>
      <c r="PTL753" s="574"/>
      <c r="PTM753" s="574"/>
      <c r="PTN753" s="574"/>
      <c r="PTO753" s="574"/>
      <c r="PTP753" s="574"/>
      <c r="PTQ753" s="574"/>
      <c r="PTR753" s="574"/>
      <c r="PTS753" s="574"/>
      <c r="PTT753" s="574"/>
      <c r="PTU753" s="574"/>
      <c r="PTV753" s="574"/>
      <c r="PTW753" s="574"/>
      <c r="PTX753" s="574"/>
      <c r="PTY753" s="574"/>
      <c r="PTZ753" s="574"/>
      <c r="PUA753" s="574"/>
      <c r="PUB753" s="574"/>
      <c r="PUC753" s="574"/>
      <c r="PUD753" s="574"/>
      <c r="PUE753" s="574"/>
      <c r="PUF753" s="574"/>
      <c r="PUG753" s="574"/>
      <c r="PUH753" s="574"/>
      <c r="PUI753" s="574"/>
      <c r="PUJ753" s="574"/>
      <c r="PUK753" s="574"/>
      <c r="PUL753" s="574"/>
      <c r="PUM753" s="574"/>
      <c r="PUN753" s="574"/>
      <c r="PUO753" s="574"/>
      <c r="PUP753" s="574"/>
      <c r="PUQ753" s="574"/>
      <c r="PUR753" s="574"/>
      <c r="PUS753" s="574"/>
      <c r="PUT753" s="574"/>
      <c r="PUU753" s="574"/>
      <c r="PUV753" s="574"/>
      <c r="PUW753" s="574"/>
      <c r="PUX753" s="574"/>
      <c r="PUY753" s="574"/>
      <c r="PUZ753" s="574"/>
      <c r="PVA753" s="574"/>
      <c r="PVB753" s="574"/>
      <c r="PVC753" s="574"/>
      <c r="PVD753" s="574"/>
      <c r="PVE753" s="574"/>
      <c r="PVF753" s="574"/>
      <c r="PVG753" s="574"/>
      <c r="PVH753" s="574"/>
      <c r="PVI753" s="574"/>
      <c r="PVJ753" s="574"/>
      <c r="PVK753" s="574"/>
      <c r="PVL753" s="574"/>
      <c r="PVM753" s="574"/>
      <c r="PVN753" s="574"/>
      <c r="PVO753" s="574"/>
      <c r="PVP753" s="574"/>
      <c r="PVQ753" s="574"/>
      <c r="PVR753" s="574"/>
      <c r="PVS753" s="574"/>
      <c r="PVT753" s="574"/>
      <c r="PVU753" s="574"/>
      <c r="PVV753" s="574"/>
      <c r="PVW753" s="574"/>
      <c r="PVX753" s="574"/>
      <c r="PVY753" s="574"/>
      <c r="PVZ753" s="574"/>
      <c r="PWA753" s="574"/>
      <c r="PWB753" s="574"/>
      <c r="PWC753" s="574"/>
      <c r="PWD753" s="574"/>
      <c r="PWE753" s="574"/>
      <c r="PWF753" s="574"/>
      <c r="PWG753" s="574"/>
      <c r="PWH753" s="574"/>
      <c r="PWI753" s="574"/>
      <c r="PWJ753" s="574"/>
      <c r="PWK753" s="574"/>
      <c r="PWL753" s="574"/>
      <c r="PWM753" s="574"/>
      <c r="PWN753" s="574"/>
      <c r="PWO753" s="574"/>
      <c r="PWP753" s="574"/>
      <c r="PWQ753" s="574"/>
      <c r="PWR753" s="574"/>
      <c r="PWS753" s="574"/>
      <c r="PWT753" s="574"/>
      <c r="PWU753" s="574"/>
      <c r="PWV753" s="574"/>
      <c r="PWW753" s="574"/>
      <c r="PWX753" s="574"/>
      <c r="PWY753" s="574"/>
      <c r="PWZ753" s="574"/>
      <c r="PXA753" s="574"/>
      <c r="PXB753" s="574"/>
      <c r="PXC753" s="574"/>
      <c r="PXD753" s="574"/>
      <c r="PXE753" s="574"/>
      <c r="PXF753" s="574"/>
      <c r="PXG753" s="574"/>
      <c r="PXH753" s="574"/>
      <c r="PXI753" s="574"/>
      <c r="PXJ753" s="574"/>
      <c r="PXK753" s="574"/>
      <c r="PXL753" s="574"/>
      <c r="PXM753" s="574"/>
      <c r="PXN753" s="574"/>
      <c r="PXO753" s="574"/>
      <c r="PXP753" s="574"/>
      <c r="PXQ753" s="574"/>
      <c r="PXR753" s="574"/>
      <c r="PXS753" s="574"/>
      <c r="PXT753" s="574"/>
      <c r="PXU753" s="574"/>
      <c r="PXV753" s="574"/>
      <c r="PXW753" s="574"/>
      <c r="PXX753" s="574"/>
      <c r="PXY753" s="574"/>
      <c r="PXZ753" s="574"/>
      <c r="PYA753" s="574"/>
      <c r="PYB753" s="574"/>
      <c r="PYC753" s="574"/>
      <c r="PYD753" s="574"/>
      <c r="PYE753" s="574"/>
      <c r="PYF753" s="574"/>
      <c r="PYG753" s="574"/>
      <c r="PYH753" s="574"/>
      <c r="PYI753" s="574"/>
      <c r="PYJ753" s="574"/>
      <c r="PYK753" s="574"/>
      <c r="PYL753" s="574"/>
      <c r="PYM753" s="574"/>
      <c r="PYN753" s="574"/>
      <c r="PYO753" s="574"/>
      <c r="PYP753" s="574"/>
      <c r="PYQ753" s="574"/>
      <c r="PYR753" s="574"/>
      <c r="PYS753" s="574"/>
      <c r="PYT753" s="574"/>
      <c r="PYU753" s="574"/>
      <c r="PYV753" s="574"/>
      <c r="PYW753" s="574"/>
      <c r="PYX753" s="574"/>
      <c r="PYY753" s="574"/>
      <c r="PYZ753" s="574"/>
      <c r="PZA753" s="574"/>
      <c r="PZB753" s="574"/>
      <c r="PZC753" s="574"/>
      <c r="PZD753" s="574"/>
      <c r="PZE753" s="574"/>
      <c r="PZF753" s="574"/>
      <c r="PZG753" s="574"/>
      <c r="PZH753" s="574"/>
      <c r="PZI753" s="574"/>
      <c r="PZJ753" s="574"/>
      <c r="PZK753" s="574"/>
      <c r="PZL753" s="574"/>
      <c r="PZM753" s="574"/>
      <c r="PZN753" s="574"/>
      <c r="PZO753" s="574"/>
      <c r="PZP753" s="574"/>
      <c r="PZQ753" s="574"/>
      <c r="PZR753" s="574"/>
      <c r="PZS753" s="574"/>
      <c r="PZT753" s="574"/>
      <c r="PZU753" s="574"/>
      <c r="PZV753" s="574"/>
      <c r="PZW753" s="574"/>
      <c r="PZX753" s="574"/>
      <c r="PZY753" s="574"/>
      <c r="PZZ753" s="574"/>
      <c r="QAA753" s="574"/>
      <c r="QAB753" s="574"/>
      <c r="QAC753" s="574"/>
      <c r="QAD753" s="574"/>
      <c r="QAE753" s="574"/>
      <c r="QAF753" s="574"/>
      <c r="QAG753" s="574"/>
      <c r="QAH753" s="574"/>
      <c r="QAI753" s="574"/>
      <c r="QAJ753" s="574"/>
      <c r="QAK753" s="574"/>
      <c r="QAL753" s="574"/>
      <c r="QAM753" s="574"/>
      <c r="QAN753" s="574"/>
      <c r="QAO753" s="574"/>
      <c r="QAP753" s="574"/>
      <c r="QAQ753" s="574"/>
      <c r="QAR753" s="574"/>
      <c r="QAS753" s="574"/>
      <c r="QAT753" s="574"/>
      <c r="QAU753" s="574"/>
      <c r="QAV753" s="574"/>
      <c r="QAW753" s="574"/>
      <c r="QAX753" s="574"/>
      <c r="QAY753" s="574"/>
      <c r="QAZ753" s="574"/>
      <c r="QBA753" s="574"/>
      <c r="QBB753" s="574"/>
      <c r="QBC753" s="574"/>
      <c r="QBD753" s="574"/>
      <c r="QBE753" s="574"/>
      <c r="QBF753" s="574"/>
      <c r="QBG753" s="574"/>
      <c r="QBH753" s="574"/>
      <c r="QBI753" s="574"/>
      <c r="QBJ753" s="574"/>
      <c r="QBK753" s="574"/>
      <c r="QBL753" s="574"/>
      <c r="QBM753" s="574"/>
      <c r="QBN753" s="574"/>
      <c r="QBO753" s="574"/>
      <c r="QBP753" s="574"/>
      <c r="QBQ753" s="574"/>
      <c r="QBR753" s="574"/>
      <c r="QBS753" s="574"/>
      <c r="QBT753" s="574"/>
      <c r="QBU753" s="574"/>
      <c r="QBV753" s="574"/>
      <c r="QBW753" s="574"/>
      <c r="QBX753" s="574"/>
      <c r="QBY753" s="574"/>
      <c r="QBZ753" s="574"/>
      <c r="QCA753" s="574"/>
      <c r="QCB753" s="574"/>
      <c r="QCC753" s="574"/>
      <c r="QCD753" s="574"/>
      <c r="QCE753" s="574"/>
      <c r="QCF753" s="574"/>
      <c r="QCG753" s="574"/>
      <c r="QCH753" s="574"/>
      <c r="QCI753" s="574"/>
      <c r="QCJ753" s="574"/>
      <c r="QCK753" s="574"/>
      <c r="QCL753" s="574"/>
      <c r="QCM753" s="574"/>
      <c r="QCN753" s="574"/>
      <c r="QCO753" s="574"/>
      <c r="QCP753" s="574"/>
      <c r="QCQ753" s="574"/>
      <c r="QCR753" s="574"/>
      <c r="QCS753" s="574"/>
      <c r="QCT753" s="574"/>
      <c r="QCU753" s="574"/>
      <c r="QCV753" s="574"/>
      <c r="QCW753" s="574"/>
      <c r="QCX753" s="574"/>
      <c r="QCY753" s="574"/>
      <c r="QCZ753" s="574"/>
      <c r="QDA753" s="574"/>
      <c r="QDB753" s="574"/>
      <c r="QDC753" s="574"/>
      <c r="QDD753" s="574"/>
      <c r="QDE753" s="574"/>
      <c r="QDF753" s="574"/>
      <c r="QDG753" s="574"/>
      <c r="QDH753" s="574"/>
      <c r="QDI753" s="574"/>
      <c r="QDJ753" s="574"/>
      <c r="QDK753" s="574"/>
      <c r="QDL753" s="574"/>
      <c r="QDM753" s="574"/>
      <c r="QDN753" s="574"/>
      <c r="QDO753" s="574"/>
      <c r="QDP753" s="574"/>
      <c r="QDQ753" s="574"/>
      <c r="QDR753" s="574"/>
      <c r="QDS753" s="574"/>
      <c r="QDT753" s="574"/>
      <c r="QDU753" s="574"/>
      <c r="QDV753" s="574"/>
      <c r="QDW753" s="574"/>
      <c r="QDX753" s="574"/>
      <c r="QDY753" s="574"/>
      <c r="QDZ753" s="574"/>
      <c r="QEA753" s="574"/>
      <c r="QEB753" s="574"/>
      <c r="QEC753" s="574"/>
      <c r="QED753" s="574"/>
      <c r="QEE753" s="574"/>
      <c r="QEF753" s="574"/>
      <c r="QEG753" s="574"/>
      <c r="QEH753" s="574"/>
      <c r="QEI753" s="574"/>
      <c r="QEJ753" s="574"/>
      <c r="QEK753" s="574"/>
      <c r="QEL753" s="574"/>
      <c r="QEM753" s="574"/>
      <c r="QEN753" s="574"/>
      <c r="QEO753" s="574"/>
      <c r="QEP753" s="574"/>
      <c r="QEQ753" s="574"/>
      <c r="QER753" s="574"/>
      <c r="QES753" s="574"/>
      <c r="QET753" s="574"/>
      <c r="QEU753" s="574"/>
      <c r="QEV753" s="574"/>
      <c r="QEW753" s="574"/>
      <c r="QEX753" s="574"/>
      <c r="QEY753" s="574"/>
      <c r="QEZ753" s="574"/>
      <c r="QFA753" s="574"/>
      <c r="QFB753" s="574"/>
      <c r="QFC753" s="574"/>
      <c r="QFD753" s="574"/>
      <c r="QFE753" s="574"/>
      <c r="QFF753" s="574"/>
      <c r="QFG753" s="574"/>
      <c r="QFH753" s="574"/>
      <c r="QFI753" s="574"/>
      <c r="QFJ753" s="574"/>
      <c r="QFK753" s="574"/>
      <c r="QFL753" s="574"/>
      <c r="QFM753" s="574"/>
      <c r="QFN753" s="574"/>
      <c r="QFO753" s="574"/>
      <c r="QFP753" s="574"/>
      <c r="QFQ753" s="574"/>
      <c r="QFR753" s="574"/>
      <c r="QFS753" s="574"/>
      <c r="QFT753" s="574"/>
      <c r="QFU753" s="574"/>
      <c r="QFV753" s="574"/>
      <c r="QFW753" s="574"/>
      <c r="QFX753" s="574"/>
      <c r="QFY753" s="574"/>
      <c r="QFZ753" s="574"/>
      <c r="QGA753" s="574"/>
      <c r="QGB753" s="574"/>
      <c r="QGC753" s="574"/>
      <c r="QGD753" s="574"/>
      <c r="QGE753" s="574"/>
      <c r="QGF753" s="574"/>
      <c r="QGG753" s="574"/>
      <c r="QGH753" s="574"/>
      <c r="QGI753" s="574"/>
      <c r="QGJ753" s="574"/>
      <c r="QGK753" s="574"/>
      <c r="QGL753" s="574"/>
      <c r="QGM753" s="574"/>
      <c r="QGN753" s="574"/>
      <c r="QGO753" s="574"/>
      <c r="QGP753" s="574"/>
      <c r="QGQ753" s="574"/>
      <c r="QGR753" s="574"/>
      <c r="QGS753" s="574"/>
      <c r="QGT753" s="574"/>
      <c r="QGU753" s="574"/>
      <c r="QGV753" s="574"/>
      <c r="QGW753" s="574"/>
      <c r="QGX753" s="574"/>
      <c r="QGY753" s="574"/>
      <c r="QGZ753" s="574"/>
      <c r="QHA753" s="574"/>
      <c r="QHB753" s="574"/>
      <c r="QHC753" s="574"/>
      <c r="QHD753" s="574"/>
      <c r="QHE753" s="574"/>
      <c r="QHF753" s="574"/>
      <c r="QHG753" s="574"/>
      <c r="QHH753" s="574"/>
      <c r="QHI753" s="574"/>
      <c r="QHJ753" s="574"/>
      <c r="QHK753" s="574"/>
      <c r="QHL753" s="574"/>
      <c r="QHM753" s="574"/>
      <c r="QHN753" s="574"/>
      <c r="QHO753" s="574"/>
      <c r="QHP753" s="574"/>
      <c r="QHQ753" s="574"/>
      <c r="QHR753" s="574"/>
      <c r="QHS753" s="574"/>
      <c r="QHT753" s="574"/>
      <c r="QHU753" s="574"/>
      <c r="QHV753" s="574"/>
      <c r="QHW753" s="574"/>
      <c r="QHX753" s="574"/>
      <c r="QHY753" s="574"/>
      <c r="QHZ753" s="574"/>
      <c r="QIA753" s="574"/>
      <c r="QIB753" s="574"/>
      <c r="QIC753" s="574"/>
      <c r="QID753" s="574"/>
      <c r="QIE753" s="574"/>
      <c r="QIF753" s="574"/>
      <c r="QIG753" s="574"/>
      <c r="QIH753" s="574"/>
      <c r="QII753" s="574"/>
      <c r="QIJ753" s="574"/>
      <c r="QIK753" s="574"/>
      <c r="QIL753" s="574"/>
      <c r="QIM753" s="574"/>
      <c r="QIN753" s="574"/>
      <c r="QIO753" s="574"/>
      <c r="QIP753" s="574"/>
      <c r="QIQ753" s="574"/>
      <c r="QIR753" s="574"/>
      <c r="QIS753" s="574"/>
      <c r="QIT753" s="574"/>
      <c r="QIU753" s="574"/>
      <c r="QIV753" s="574"/>
      <c r="QIW753" s="574"/>
      <c r="QIX753" s="574"/>
      <c r="QIY753" s="574"/>
      <c r="QIZ753" s="574"/>
      <c r="QJA753" s="574"/>
      <c r="QJB753" s="574"/>
      <c r="QJC753" s="574"/>
      <c r="QJD753" s="574"/>
      <c r="QJE753" s="574"/>
      <c r="QJF753" s="574"/>
      <c r="QJG753" s="574"/>
      <c r="QJH753" s="574"/>
      <c r="QJI753" s="574"/>
      <c r="QJJ753" s="574"/>
      <c r="QJK753" s="574"/>
      <c r="QJL753" s="574"/>
      <c r="QJM753" s="574"/>
      <c r="QJN753" s="574"/>
      <c r="QJO753" s="574"/>
      <c r="QJP753" s="574"/>
      <c r="QJQ753" s="574"/>
      <c r="QJR753" s="574"/>
      <c r="QJS753" s="574"/>
      <c r="QJT753" s="574"/>
      <c r="QJU753" s="574"/>
      <c r="QJV753" s="574"/>
      <c r="QJW753" s="574"/>
      <c r="QJX753" s="574"/>
      <c r="QJY753" s="574"/>
      <c r="QJZ753" s="574"/>
      <c r="QKA753" s="574"/>
      <c r="QKB753" s="574"/>
      <c r="QKC753" s="574"/>
      <c r="QKD753" s="574"/>
      <c r="QKE753" s="574"/>
      <c r="QKF753" s="574"/>
      <c r="QKG753" s="574"/>
      <c r="QKH753" s="574"/>
      <c r="QKI753" s="574"/>
      <c r="QKJ753" s="574"/>
      <c r="QKK753" s="574"/>
      <c r="QKL753" s="574"/>
      <c r="QKM753" s="574"/>
      <c r="QKN753" s="574"/>
      <c r="QKO753" s="574"/>
      <c r="QKP753" s="574"/>
      <c r="QKQ753" s="574"/>
      <c r="QKR753" s="574"/>
      <c r="QKS753" s="574"/>
      <c r="QKT753" s="574"/>
      <c r="QKU753" s="574"/>
      <c r="QKV753" s="574"/>
      <c r="QKW753" s="574"/>
      <c r="QKX753" s="574"/>
      <c r="QKY753" s="574"/>
      <c r="QKZ753" s="574"/>
      <c r="QLA753" s="574"/>
      <c r="QLB753" s="574"/>
      <c r="QLC753" s="574"/>
      <c r="QLD753" s="574"/>
      <c r="QLE753" s="574"/>
      <c r="QLF753" s="574"/>
      <c r="QLG753" s="574"/>
      <c r="QLH753" s="574"/>
      <c r="QLI753" s="574"/>
      <c r="QLJ753" s="574"/>
      <c r="QLK753" s="574"/>
      <c r="QLL753" s="574"/>
      <c r="QLM753" s="574"/>
      <c r="QLN753" s="574"/>
      <c r="QLO753" s="574"/>
      <c r="QLP753" s="574"/>
      <c r="QLQ753" s="574"/>
      <c r="QLR753" s="574"/>
      <c r="QLS753" s="574"/>
      <c r="QLT753" s="574"/>
      <c r="QLU753" s="574"/>
      <c r="QLV753" s="574"/>
      <c r="QLW753" s="574"/>
      <c r="QLX753" s="574"/>
      <c r="QLY753" s="574"/>
      <c r="QLZ753" s="574"/>
      <c r="QMA753" s="574"/>
      <c r="QMB753" s="574"/>
      <c r="QMC753" s="574"/>
      <c r="QMD753" s="574"/>
      <c r="QME753" s="574"/>
      <c r="QMF753" s="574"/>
      <c r="QMG753" s="574"/>
      <c r="QMH753" s="574"/>
      <c r="QMI753" s="574"/>
      <c r="QMJ753" s="574"/>
      <c r="QMK753" s="574"/>
      <c r="QML753" s="574"/>
      <c r="QMM753" s="574"/>
      <c r="QMN753" s="574"/>
      <c r="QMO753" s="574"/>
      <c r="QMP753" s="574"/>
      <c r="QMQ753" s="574"/>
      <c r="QMR753" s="574"/>
      <c r="QMS753" s="574"/>
      <c r="QMT753" s="574"/>
      <c r="QMU753" s="574"/>
      <c r="QMV753" s="574"/>
      <c r="QMW753" s="574"/>
      <c r="QMX753" s="574"/>
      <c r="QMY753" s="574"/>
      <c r="QMZ753" s="574"/>
      <c r="QNA753" s="574"/>
      <c r="QNB753" s="574"/>
      <c r="QNC753" s="574"/>
      <c r="QND753" s="574"/>
      <c r="QNE753" s="574"/>
      <c r="QNF753" s="574"/>
      <c r="QNG753" s="574"/>
      <c r="QNH753" s="574"/>
      <c r="QNI753" s="574"/>
      <c r="QNJ753" s="574"/>
      <c r="QNK753" s="574"/>
      <c r="QNL753" s="574"/>
      <c r="QNM753" s="574"/>
      <c r="QNN753" s="574"/>
      <c r="QNO753" s="574"/>
      <c r="QNP753" s="574"/>
      <c r="QNQ753" s="574"/>
      <c r="QNR753" s="574"/>
      <c r="QNS753" s="574"/>
      <c r="QNT753" s="574"/>
      <c r="QNU753" s="574"/>
      <c r="QNV753" s="574"/>
      <c r="QNW753" s="574"/>
      <c r="QNX753" s="574"/>
      <c r="QNY753" s="574"/>
      <c r="QNZ753" s="574"/>
      <c r="QOA753" s="574"/>
      <c r="QOB753" s="574"/>
      <c r="QOC753" s="574"/>
      <c r="QOD753" s="574"/>
      <c r="QOE753" s="574"/>
      <c r="QOF753" s="574"/>
      <c r="QOG753" s="574"/>
      <c r="QOH753" s="574"/>
      <c r="QOI753" s="574"/>
      <c r="QOJ753" s="574"/>
      <c r="QOK753" s="574"/>
      <c r="QOL753" s="574"/>
      <c r="QOM753" s="574"/>
      <c r="QON753" s="574"/>
      <c r="QOO753" s="574"/>
      <c r="QOP753" s="574"/>
      <c r="QOQ753" s="574"/>
      <c r="QOR753" s="574"/>
      <c r="QOS753" s="574"/>
      <c r="QOT753" s="574"/>
      <c r="QOU753" s="574"/>
      <c r="QOV753" s="574"/>
      <c r="QOW753" s="574"/>
      <c r="QOX753" s="574"/>
      <c r="QOY753" s="574"/>
      <c r="QOZ753" s="574"/>
      <c r="QPA753" s="574"/>
      <c r="QPB753" s="574"/>
      <c r="QPC753" s="574"/>
      <c r="QPD753" s="574"/>
      <c r="QPE753" s="574"/>
      <c r="QPF753" s="574"/>
      <c r="QPG753" s="574"/>
      <c r="QPH753" s="574"/>
      <c r="QPI753" s="574"/>
      <c r="QPJ753" s="574"/>
      <c r="QPK753" s="574"/>
      <c r="QPL753" s="574"/>
      <c r="QPM753" s="574"/>
      <c r="QPN753" s="574"/>
      <c r="QPO753" s="574"/>
      <c r="QPP753" s="574"/>
      <c r="QPQ753" s="574"/>
      <c r="QPR753" s="574"/>
      <c r="QPS753" s="574"/>
      <c r="QPT753" s="574"/>
      <c r="QPU753" s="574"/>
      <c r="QPV753" s="574"/>
      <c r="QPW753" s="574"/>
      <c r="QPX753" s="574"/>
      <c r="QPY753" s="574"/>
      <c r="QPZ753" s="574"/>
      <c r="QQA753" s="574"/>
      <c r="QQB753" s="574"/>
      <c r="QQC753" s="574"/>
      <c r="QQD753" s="574"/>
      <c r="QQE753" s="574"/>
      <c r="QQF753" s="574"/>
      <c r="QQG753" s="574"/>
      <c r="QQH753" s="574"/>
      <c r="QQI753" s="574"/>
      <c r="QQJ753" s="574"/>
      <c r="QQK753" s="574"/>
      <c r="QQL753" s="574"/>
      <c r="QQM753" s="574"/>
      <c r="QQN753" s="574"/>
      <c r="QQO753" s="574"/>
      <c r="QQP753" s="574"/>
      <c r="QQQ753" s="574"/>
      <c r="QQR753" s="574"/>
      <c r="QQS753" s="574"/>
      <c r="QQT753" s="574"/>
      <c r="QQU753" s="574"/>
      <c r="QQV753" s="574"/>
      <c r="QQW753" s="574"/>
      <c r="QQX753" s="574"/>
      <c r="QQY753" s="574"/>
      <c r="QQZ753" s="574"/>
      <c r="QRA753" s="574"/>
      <c r="QRB753" s="574"/>
      <c r="QRC753" s="574"/>
      <c r="QRD753" s="574"/>
      <c r="QRE753" s="574"/>
      <c r="QRF753" s="574"/>
      <c r="QRG753" s="574"/>
      <c r="QRH753" s="574"/>
      <c r="QRI753" s="574"/>
      <c r="QRJ753" s="574"/>
      <c r="QRK753" s="574"/>
      <c r="QRL753" s="574"/>
      <c r="QRM753" s="574"/>
      <c r="QRN753" s="574"/>
      <c r="QRO753" s="574"/>
      <c r="QRP753" s="574"/>
      <c r="QRQ753" s="574"/>
      <c r="QRR753" s="574"/>
      <c r="QRS753" s="574"/>
      <c r="QRT753" s="574"/>
      <c r="QRU753" s="574"/>
      <c r="QRV753" s="574"/>
      <c r="QRW753" s="574"/>
      <c r="QRX753" s="574"/>
      <c r="QRY753" s="574"/>
      <c r="QRZ753" s="574"/>
      <c r="QSA753" s="574"/>
      <c r="QSB753" s="574"/>
      <c r="QSC753" s="574"/>
      <c r="QSD753" s="574"/>
      <c r="QSE753" s="574"/>
      <c r="QSF753" s="574"/>
      <c r="QSG753" s="574"/>
      <c r="QSH753" s="574"/>
      <c r="QSI753" s="574"/>
      <c r="QSJ753" s="574"/>
      <c r="QSK753" s="574"/>
      <c r="QSL753" s="574"/>
      <c r="QSM753" s="574"/>
      <c r="QSN753" s="574"/>
      <c r="QSO753" s="574"/>
      <c r="QSP753" s="574"/>
      <c r="QSQ753" s="574"/>
      <c r="QSR753" s="574"/>
      <c r="QSS753" s="574"/>
      <c r="QST753" s="574"/>
      <c r="QSU753" s="574"/>
      <c r="QSV753" s="574"/>
      <c r="QSW753" s="574"/>
      <c r="QSX753" s="574"/>
      <c r="QSY753" s="574"/>
      <c r="QSZ753" s="574"/>
      <c r="QTA753" s="574"/>
      <c r="QTB753" s="574"/>
      <c r="QTC753" s="574"/>
      <c r="QTD753" s="574"/>
      <c r="QTE753" s="574"/>
      <c r="QTF753" s="574"/>
      <c r="QTG753" s="574"/>
      <c r="QTH753" s="574"/>
      <c r="QTI753" s="574"/>
      <c r="QTJ753" s="574"/>
      <c r="QTK753" s="574"/>
      <c r="QTL753" s="574"/>
      <c r="QTM753" s="574"/>
      <c r="QTN753" s="574"/>
      <c r="QTO753" s="574"/>
      <c r="QTP753" s="574"/>
      <c r="QTQ753" s="574"/>
      <c r="QTR753" s="574"/>
      <c r="QTS753" s="574"/>
      <c r="QTT753" s="574"/>
      <c r="QTU753" s="574"/>
      <c r="QTV753" s="574"/>
      <c r="QTW753" s="574"/>
      <c r="QTX753" s="574"/>
      <c r="QTY753" s="574"/>
      <c r="QTZ753" s="574"/>
      <c r="QUA753" s="574"/>
      <c r="QUB753" s="574"/>
      <c r="QUC753" s="574"/>
      <c r="QUD753" s="574"/>
      <c r="QUE753" s="574"/>
      <c r="QUF753" s="574"/>
      <c r="QUG753" s="574"/>
      <c r="QUH753" s="574"/>
      <c r="QUI753" s="574"/>
      <c r="QUJ753" s="574"/>
      <c r="QUK753" s="574"/>
      <c r="QUL753" s="574"/>
      <c r="QUM753" s="574"/>
      <c r="QUN753" s="574"/>
      <c r="QUO753" s="574"/>
      <c r="QUP753" s="574"/>
      <c r="QUQ753" s="574"/>
      <c r="QUR753" s="574"/>
      <c r="QUS753" s="574"/>
      <c r="QUT753" s="574"/>
      <c r="QUU753" s="574"/>
      <c r="QUV753" s="574"/>
      <c r="QUW753" s="574"/>
      <c r="QUX753" s="574"/>
      <c r="QUY753" s="574"/>
      <c r="QUZ753" s="574"/>
      <c r="QVA753" s="574"/>
      <c r="QVB753" s="574"/>
      <c r="QVC753" s="574"/>
      <c r="QVD753" s="574"/>
      <c r="QVE753" s="574"/>
      <c r="QVF753" s="574"/>
      <c r="QVG753" s="574"/>
      <c r="QVH753" s="574"/>
      <c r="QVI753" s="574"/>
      <c r="QVJ753" s="574"/>
      <c r="QVK753" s="574"/>
      <c r="QVL753" s="574"/>
      <c r="QVM753" s="574"/>
      <c r="QVN753" s="574"/>
      <c r="QVO753" s="574"/>
      <c r="QVP753" s="574"/>
      <c r="QVQ753" s="574"/>
      <c r="QVR753" s="574"/>
      <c r="QVS753" s="574"/>
      <c r="QVT753" s="574"/>
      <c r="QVU753" s="574"/>
      <c r="QVV753" s="574"/>
      <c r="QVW753" s="574"/>
      <c r="QVX753" s="574"/>
      <c r="QVY753" s="574"/>
      <c r="QVZ753" s="574"/>
      <c r="QWA753" s="574"/>
      <c r="QWB753" s="574"/>
      <c r="QWC753" s="574"/>
      <c r="QWD753" s="574"/>
      <c r="QWE753" s="574"/>
      <c r="QWF753" s="574"/>
      <c r="QWG753" s="574"/>
      <c r="QWH753" s="574"/>
      <c r="QWI753" s="574"/>
      <c r="QWJ753" s="574"/>
      <c r="QWK753" s="574"/>
      <c r="QWL753" s="574"/>
      <c r="QWM753" s="574"/>
      <c r="QWN753" s="574"/>
      <c r="QWO753" s="574"/>
      <c r="QWP753" s="574"/>
      <c r="QWQ753" s="574"/>
      <c r="QWR753" s="574"/>
      <c r="QWS753" s="574"/>
      <c r="QWT753" s="574"/>
      <c r="QWU753" s="574"/>
      <c r="QWV753" s="574"/>
      <c r="QWW753" s="574"/>
      <c r="QWX753" s="574"/>
      <c r="QWY753" s="574"/>
      <c r="QWZ753" s="574"/>
      <c r="QXA753" s="574"/>
      <c r="QXB753" s="574"/>
      <c r="QXC753" s="574"/>
      <c r="QXD753" s="574"/>
      <c r="QXE753" s="574"/>
      <c r="QXF753" s="574"/>
      <c r="QXG753" s="574"/>
      <c r="QXH753" s="574"/>
      <c r="QXI753" s="574"/>
      <c r="QXJ753" s="574"/>
      <c r="QXK753" s="574"/>
      <c r="QXL753" s="574"/>
      <c r="QXM753" s="574"/>
      <c r="QXN753" s="574"/>
      <c r="QXO753" s="574"/>
      <c r="QXP753" s="574"/>
      <c r="QXQ753" s="574"/>
      <c r="QXR753" s="574"/>
      <c r="QXS753" s="574"/>
      <c r="QXT753" s="574"/>
      <c r="QXU753" s="574"/>
      <c r="QXV753" s="574"/>
      <c r="QXW753" s="574"/>
      <c r="QXX753" s="574"/>
      <c r="QXY753" s="574"/>
      <c r="QXZ753" s="574"/>
      <c r="QYA753" s="574"/>
      <c r="QYB753" s="574"/>
      <c r="QYC753" s="574"/>
      <c r="QYD753" s="574"/>
      <c r="QYE753" s="574"/>
      <c r="QYF753" s="574"/>
      <c r="QYG753" s="574"/>
      <c r="QYH753" s="574"/>
      <c r="QYI753" s="574"/>
      <c r="QYJ753" s="574"/>
      <c r="QYK753" s="574"/>
      <c r="QYL753" s="574"/>
      <c r="QYM753" s="574"/>
      <c r="QYN753" s="574"/>
      <c r="QYO753" s="574"/>
      <c r="QYP753" s="574"/>
      <c r="QYQ753" s="574"/>
      <c r="QYR753" s="574"/>
      <c r="QYS753" s="574"/>
      <c r="QYT753" s="574"/>
      <c r="QYU753" s="574"/>
      <c r="QYV753" s="574"/>
      <c r="QYW753" s="574"/>
      <c r="QYX753" s="574"/>
      <c r="QYY753" s="574"/>
      <c r="QYZ753" s="574"/>
      <c r="QZA753" s="574"/>
      <c r="QZB753" s="574"/>
      <c r="QZC753" s="574"/>
      <c r="QZD753" s="574"/>
      <c r="QZE753" s="574"/>
      <c r="QZF753" s="574"/>
      <c r="QZG753" s="574"/>
      <c r="QZH753" s="574"/>
      <c r="QZI753" s="574"/>
      <c r="QZJ753" s="574"/>
      <c r="QZK753" s="574"/>
      <c r="QZL753" s="574"/>
      <c r="QZM753" s="574"/>
      <c r="QZN753" s="574"/>
      <c r="QZO753" s="574"/>
      <c r="QZP753" s="574"/>
      <c r="QZQ753" s="574"/>
      <c r="QZR753" s="574"/>
      <c r="QZS753" s="574"/>
      <c r="QZT753" s="574"/>
      <c r="QZU753" s="574"/>
      <c r="QZV753" s="574"/>
      <c r="QZW753" s="574"/>
      <c r="QZX753" s="574"/>
      <c r="QZY753" s="574"/>
      <c r="QZZ753" s="574"/>
      <c r="RAA753" s="574"/>
      <c r="RAB753" s="574"/>
      <c r="RAC753" s="574"/>
      <c r="RAD753" s="574"/>
      <c r="RAE753" s="574"/>
      <c r="RAF753" s="574"/>
      <c r="RAG753" s="574"/>
      <c r="RAH753" s="574"/>
      <c r="RAI753" s="574"/>
      <c r="RAJ753" s="574"/>
      <c r="RAK753" s="574"/>
      <c r="RAL753" s="574"/>
      <c r="RAM753" s="574"/>
      <c r="RAN753" s="574"/>
      <c r="RAO753" s="574"/>
      <c r="RAP753" s="574"/>
      <c r="RAQ753" s="574"/>
      <c r="RAR753" s="574"/>
      <c r="RAS753" s="574"/>
      <c r="RAT753" s="574"/>
      <c r="RAU753" s="574"/>
      <c r="RAV753" s="574"/>
      <c r="RAW753" s="574"/>
      <c r="RAX753" s="574"/>
      <c r="RAY753" s="574"/>
      <c r="RAZ753" s="574"/>
      <c r="RBA753" s="574"/>
      <c r="RBB753" s="574"/>
      <c r="RBC753" s="574"/>
      <c r="RBD753" s="574"/>
      <c r="RBE753" s="574"/>
      <c r="RBF753" s="574"/>
      <c r="RBG753" s="574"/>
      <c r="RBH753" s="574"/>
      <c r="RBI753" s="574"/>
      <c r="RBJ753" s="574"/>
      <c r="RBK753" s="574"/>
      <c r="RBL753" s="574"/>
      <c r="RBM753" s="574"/>
      <c r="RBN753" s="574"/>
      <c r="RBO753" s="574"/>
      <c r="RBP753" s="574"/>
      <c r="RBQ753" s="574"/>
      <c r="RBR753" s="574"/>
      <c r="RBS753" s="574"/>
      <c r="RBT753" s="574"/>
      <c r="RBU753" s="574"/>
      <c r="RBV753" s="574"/>
      <c r="RBW753" s="574"/>
      <c r="RBX753" s="574"/>
      <c r="RBY753" s="574"/>
      <c r="RBZ753" s="574"/>
      <c r="RCA753" s="574"/>
      <c r="RCB753" s="574"/>
      <c r="RCC753" s="574"/>
      <c r="RCD753" s="574"/>
      <c r="RCE753" s="574"/>
      <c r="RCF753" s="574"/>
      <c r="RCG753" s="574"/>
      <c r="RCH753" s="574"/>
      <c r="RCI753" s="574"/>
      <c r="RCJ753" s="574"/>
      <c r="RCK753" s="574"/>
      <c r="RCL753" s="574"/>
      <c r="RCM753" s="574"/>
      <c r="RCN753" s="574"/>
      <c r="RCO753" s="574"/>
      <c r="RCP753" s="574"/>
      <c r="RCQ753" s="574"/>
      <c r="RCR753" s="574"/>
      <c r="RCS753" s="574"/>
      <c r="RCT753" s="574"/>
      <c r="RCU753" s="574"/>
      <c r="RCV753" s="574"/>
      <c r="RCW753" s="574"/>
      <c r="RCX753" s="574"/>
      <c r="RCY753" s="574"/>
      <c r="RCZ753" s="574"/>
      <c r="RDA753" s="574"/>
      <c r="RDB753" s="574"/>
      <c r="RDC753" s="574"/>
      <c r="RDD753" s="574"/>
      <c r="RDE753" s="574"/>
      <c r="RDF753" s="574"/>
      <c r="RDG753" s="574"/>
      <c r="RDH753" s="574"/>
      <c r="RDI753" s="574"/>
      <c r="RDJ753" s="574"/>
      <c r="RDK753" s="574"/>
      <c r="RDL753" s="574"/>
      <c r="RDM753" s="574"/>
      <c r="RDN753" s="574"/>
      <c r="RDO753" s="574"/>
      <c r="RDP753" s="574"/>
      <c r="RDQ753" s="574"/>
      <c r="RDR753" s="574"/>
      <c r="RDS753" s="574"/>
      <c r="RDT753" s="574"/>
      <c r="RDU753" s="574"/>
      <c r="RDV753" s="574"/>
      <c r="RDW753" s="574"/>
      <c r="RDX753" s="574"/>
      <c r="RDY753" s="574"/>
      <c r="RDZ753" s="574"/>
      <c r="REA753" s="574"/>
      <c r="REB753" s="574"/>
      <c r="REC753" s="574"/>
      <c r="RED753" s="574"/>
      <c r="REE753" s="574"/>
      <c r="REF753" s="574"/>
      <c r="REG753" s="574"/>
      <c r="REH753" s="574"/>
      <c r="REI753" s="574"/>
      <c r="REJ753" s="574"/>
      <c r="REK753" s="574"/>
      <c r="REL753" s="574"/>
      <c r="REM753" s="574"/>
      <c r="REN753" s="574"/>
      <c r="REO753" s="574"/>
      <c r="REP753" s="574"/>
      <c r="REQ753" s="574"/>
      <c r="RER753" s="574"/>
      <c r="RES753" s="574"/>
      <c r="RET753" s="574"/>
      <c r="REU753" s="574"/>
      <c r="REV753" s="574"/>
      <c r="REW753" s="574"/>
      <c r="REX753" s="574"/>
      <c r="REY753" s="574"/>
      <c r="REZ753" s="574"/>
      <c r="RFA753" s="574"/>
      <c r="RFB753" s="574"/>
      <c r="RFC753" s="574"/>
      <c r="RFD753" s="574"/>
      <c r="RFE753" s="574"/>
      <c r="RFF753" s="574"/>
      <c r="RFG753" s="574"/>
      <c r="RFH753" s="574"/>
      <c r="RFI753" s="574"/>
      <c r="RFJ753" s="574"/>
      <c r="RFK753" s="574"/>
      <c r="RFL753" s="574"/>
      <c r="RFM753" s="574"/>
      <c r="RFN753" s="574"/>
      <c r="RFO753" s="574"/>
      <c r="RFP753" s="574"/>
      <c r="RFQ753" s="574"/>
      <c r="RFR753" s="574"/>
      <c r="RFS753" s="574"/>
      <c r="RFT753" s="574"/>
      <c r="RFU753" s="574"/>
      <c r="RFV753" s="574"/>
      <c r="RFW753" s="574"/>
      <c r="RFX753" s="574"/>
      <c r="RFY753" s="574"/>
      <c r="RFZ753" s="574"/>
      <c r="RGA753" s="574"/>
      <c r="RGB753" s="574"/>
      <c r="RGC753" s="574"/>
      <c r="RGD753" s="574"/>
      <c r="RGE753" s="574"/>
      <c r="RGF753" s="574"/>
      <c r="RGG753" s="574"/>
      <c r="RGH753" s="574"/>
      <c r="RGI753" s="574"/>
      <c r="RGJ753" s="574"/>
      <c r="RGK753" s="574"/>
      <c r="RGL753" s="574"/>
      <c r="RGM753" s="574"/>
      <c r="RGN753" s="574"/>
      <c r="RGO753" s="574"/>
      <c r="RGP753" s="574"/>
      <c r="RGQ753" s="574"/>
      <c r="RGR753" s="574"/>
      <c r="RGS753" s="574"/>
      <c r="RGT753" s="574"/>
      <c r="RGU753" s="574"/>
      <c r="RGV753" s="574"/>
      <c r="RGW753" s="574"/>
      <c r="RGX753" s="574"/>
      <c r="RGY753" s="574"/>
      <c r="RGZ753" s="574"/>
      <c r="RHA753" s="574"/>
      <c r="RHB753" s="574"/>
      <c r="RHC753" s="574"/>
      <c r="RHD753" s="574"/>
      <c r="RHE753" s="574"/>
      <c r="RHF753" s="574"/>
      <c r="RHG753" s="574"/>
      <c r="RHH753" s="574"/>
      <c r="RHI753" s="574"/>
      <c r="RHJ753" s="574"/>
      <c r="RHK753" s="574"/>
      <c r="RHL753" s="574"/>
      <c r="RHM753" s="574"/>
      <c r="RHN753" s="574"/>
      <c r="RHO753" s="574"/>
      <c r="RHP753" s="574"/>
      <c r="RHQ753" s="574"/>
      <c r="RHR753" s="574"/>
      <c r="RHS753" s="574"/>
      <c r="RHT753" s="574"/>
      <c r="RHU753" s="574"/>
      <c r="RHV753" s="574"/>
      <c r="RHW753" s="574"/>
      <c r="RHX753" s="574"/>
      <c r="RHY753" s="574"/>
      <c r="RHZ753" s="574"/>
      <c r="RIA753" s="574"/>
      <c r="RIB753" s="574"/>
      <c r="RIC753" s="574"/>
      <c r="RID753" s="574"/>
      <c r="RIE753" s="574"/>
      <c r="RIF753" s="574"/>
      <c r="RIG753" s="574"/>
      <c r="RIH753" s="574"/>
      <c r="RII753" s="574"/>
      <c r="RIJ753" s="574"/>
      <c r="RIK753" s="574"/>
      <c r="RIL753" s="574"/>
      <c r="RIM753" s="574"/>
      <c r="RIN753" s="574"/>
      <c r="RIO753" s="574"/>
      <c r="RIP753" s="574"/>
      <c r="RIQ753" s="574"/>
      <c r="RIR753" s="574"/>
      <c r="RIS753" s="574"/>
      <c r="RIT753" s="574"/>
      <c r="RIU753" s="574"/>
      <c r="RIV753" s="574"/>
      <c r="RIW753" s="574"/>
      <c r="RIX753" s="574"/>
      <c r="RIY753" s="574"/>
      <c r="RIZ753" s="574"/>
      <c r="RJA753" s="574"/>
      <c r="RJB753" s="574"/>
      <c r="RJC753" s="574"/>
      <c r="RJD753" s="574"/>
      <c r="RJE753" s="574"/>
      <c r="RJF753" s="574"/>
      <c r="RJG753" s="574"/>
      <c r="RJH753" s="574"/>
      <c r="RJI753" s="574"/>
      <c r="RJJ753" s="574"/>
      <c r="RJK753" s="574"/>
      <c r="RJL753" s="574"/>
      <c r="RJM753" s="574"/>
      <c r="RJN753" s="574"/>
      <c r="RJO753" s="574"/>
      <c r="RJP753" s="574"/>
      <c r="RJQ753" s="574"/>
      <c r="RJR753" s="574"/>
      <c r="RJS753" s="574"/>
      <c r="RJT753" s="574"/>
      <c r="RJU753" s="574"/>
      <c r="RJV753" s="574"/>
      <c r="RJW753" s="574"/>
      <c r="RJX753" s="574"/>
      <c r="RJY753" s="574"/>
      <c r="RJZ753" s="574"/>
      <c r="RKA753" s="574"/>
      <c r="RKB753" s="574"/>
      <c r="RKC753" s="574"/>
      <c r="RKD753" s="574"/>
      <c r="RKE753" s="574"/>
      <c r="RKF753" s="574"/>
      <c r="RKG753" s="574"/>
      <c r="RKH753" s="574"/>
      <c r="RKI753" s="574"/>
      <c r="RKJ753" s="574"/>
      <c r="RKK753" s="574"/>
      <c r="RKL753" s="574"/>
      <c r="RKM753" s="574"/>
      <c r="RKN753" s="574"/>
      <c r="RKO753" s="574"/>
      <c r="RKP753" s="574"/>
      <c r="RKQ753" s="574"/>
      <c r="RKR753" s="574"/>
      <c r="RKS753" s="574"/>
      <c r="RKT753" s="574"/>
      <c r="RKU753" s="574"/>
      <c r="RKV753" s="574"/>
      <c r="RKW753" s="574"/>
      <c r="RKX753" s="574"/>
      <c r="RKY753" s="574"/>
      <c r="RKZ753" s="574"/>
      <c r="RLA753" s="574"/>
      <c r="RLB753" s="574"/>
      <c r="RLC753" s="574"/>
      <c r="RLD753" s="574"/>
      <c r="RLE753" s="574"/>
      <c r="RLF753" s="574"/>
      <c r="RLG753" s="574"/>
      <c r="RLH753" s="574"/>
      <c r="RLI753" s="574"/>
      <c r="RLJ753" s="574"/>
      <c r="RLK753" s="574"/>
      <c r="RLL753" s="574"/>
      <c r="RLM753" s="574"/>
      <c r="RLN753" s="574"/>
      <c r="RLO753" s="574"/>
      <c r="RLP753" s="574"/>
      <c r="RLQ753" s="574"/>
      <c r="RLR753" s="574"/>
      <c r="RLS753" s="574"/>
      <c r="RLT753" s="574"/>
      <c r="RLU753" s="574"/>
      <c r="RLV753" s="574"/>
      <c r="RLW753" s="574"/>
      <c r="RLX753" s="574"/>
      <c r="RLY753" s="574"/>
      <c r="RLZ753" s="574"/>
      <c r="RMA753" s="574"/>
      <c r="RMB753" s="574"/>
      <c r="RMC753" s="574"/>
      <c r="RMD753" s="574"/>
      <c r="RME753" s="574"/>
      <c r="RMF753" s="574"/>
      <c r="RMG753" s="574"/>
      <c r="RMH753" s="574"/>
      <c r="RMI753" s="574"/>
      <c r="RMJ753" s="574"/>
      <c r="RMK753" s="574"/>
      <c r="RML753" s="574"/>
      <c r="RMM753" s="574"/>
      <c r="RMN753" s="574"/>
      <c r="RMO753" s="574"/>
      <c r="RMP753" s="574"/>
      <c r="RMQ753" s="574"/>
      <c r="RMR753" s="574"/>
      <c r="RMS753" s="574"/>
      <c r="RMT753" s="574"/>
      <c r="RMU753" s="574"/>
      <c r="RMV753" s="574"/>
      <c r="RMW753" s="574"/>
      <c r="RMX753" s="574"/>
      <c r="RMY753" s="574"/>
      <c r="RMZ753" s="574"/>
      <c r="RNA753" s="574"/>
      <c r="RNB753" s="574"/>
      <c r="RNC753" s="574"/>
      <c r="RND753" s="574"/>
      <c r="RNE753" s="574"/>
      <c r="RNF753" s="574"/>
      <c r="RNG753" s="574"/>
      <c r="RNH753" s="574"/>
      <c r="RNI753" s="574"/>
      <c r="RNJ753" s="574"/>
      <c r="RNK753" s="574"/>
      <c r="RNL753" s="574"/>
      <c r="RNM753" s="574"/>
      <c r="RNN753" s="574"/>
      <c r="RNO753" s="574"/>
      <c r="RNP753" s="574"/>
      <c r="RNQ753" s="574"/>
      <c r="RNR753" s="574"/>
      <c r="RNS753" s="574"/>
      <c r="RNT753" s="574"/>
      <c r="RNU753" s="574"/>
      <c r="RNV753" s="574"/>
      <c r="RNW753" s="574"/>
      <c r="RNX753" s="574"/>
      <c r="RNY753" s="574"/>
      <c r="RNZ753" s="574"/>
      <c r="ROA753" s="574"/>
      <c r="ROB753" s="574"/>
      <c r="ROC753" s="574"/>
      <c r="ROD753" s="574"/>
      <c r="ROE753" s="574"/>
      <c r="ROF753" s="574"/>
      <c r="ROG753" s="574"/>
      <c r="ROH753" s="574"/>
      <c r="ROI753" s="574"/>
      <c r="ROJ753" s="574"/>
      <c r="ROK753" s="574"/>
      <c r="ROL753" s="574"/>
      <c r="ROM753" s="574"/>
      <c r="RON753" s="574"/>
      <c r="ROO753" s="574"/>
      <c r="ROP753" s="574"/>
      <c r="ROQ753" s="574"/>
      <c r="ROR753" s="574"/>
      <c r="ROS753" s="574"/>
      <c r="ROT753" s="574"/>
      <c r="ROU753" s="574"/>
      <c r="ROV753" s="574"/>
      <c r="ROW753" s="574"/>
      <c r="ROX753" s="574"/>
      <c r="ROY753" s="574"/>
      <c r="ROZ753" s="574"/>
      <c r="RPA753" s="574"/>
      <c r="RPB753" s="574"/>
      <c r="RPC753" s="574"/>
      <c r="RPD753" s="574"/>
      <c r="RPE753" s="574"/>
      <c r="RPF753" s="574"/>
      <c r="RPG753" s="574"/>
      <c r="RPH753" s="574"/>
      <c r="RPI753" s="574"/>
      <c r="RPJ753" s="574"/>
      <c r="RPK753" s="574"/>
      <c r="RPL753" s="574"/>
      <c r="RPM753" s="574"/>
      <c r="RPN753" s="574"/>
      <c r="RPO753" s="574"/>
      <c r="RPP753" s="574"/>
      <c r="RPQ753" s="574"/>
      <c r="RPR753" s="574"/>
      <c r="RPS753" s="574"/>
      <c r="RPT753" s="574"/>
      <c r="RPU753" s="574"/>
      <c r="RPV753" s="574"/>
      <c r="RPW753" s="574"/>
      <c r="RPX753" s="574"/>
      <c r="RPY753" s="574"/>
      <c r="RPZ753" s="574"/>
      <c r="RQA753" s="574"/>
      <c r="RQB753" s="574"/>
      <c r="RQC753" s="574"/>
      <c r="RQD753" s="574"/>
      <c r="RQE753" s="574"/>
      <c r="RQF753" s="574"/>
      <c r="RQG753" s="574"/>
      <c r="RQH753" s="574"/>
      <c r="RQI753" s="574"/>
      <c r="RQJ753" s="574"/>
      <c r="RQK753" s="574"/>
      <c r="RQL753" s="574"/>
      <c r="RQM753" s="574"/>
      <c r="RQN753" s="574"/>
      <c r="RQO753" s="574"/>
      <c r="RQP753" s="574"/>
      <c r="RQQ753" s="574"/>
      <c r="RQR753" s="574"/>
      <c r="RQS753" s="574"/>
      <c r="RQT753" s="574"/>
      <c r="RQU753" s="574"/>
      <c r="RQV753" s="574"/>
      <c r="RQW753" s="574"/>
      <c r="RQX753" s="574"/>
      <c r="RQY753" s="574"/>
      <c r="RQZ753" s="574"/>
      <c r="RRA753" s="574"/>
      <c r="RRB753" s="574"/>
      <c r="RRC753" s="574"/>
      <c r="RRD753" s="574"/>
      <c r="RRE753" s="574"/>
      <c r="RRF753" s="574"/>
      <c r="RRG753" s="574"/>
      <c r="RRH753" s="574"/>
      <c r="RRI753" s="574"/>
      <c r="RRJ753" s="574"/>
      <c r="RRK753" s="574"/>
      <c r="RRL753" s="574"/>
      <c r="RRM753" s="574"/>
      <c r="RRN753" s="574"/>
      <c r="RRO753" s="574"/>
      <c r="RRP753" s="574"/>
      <c r="RRQ753" s="574"/>
      <c r="RRR753" s="574"/>
      <c r="RRS753" s="574"/>
      <c r="RRT753" s="574"/>
      <c r="RRU753" s="574"/>
      <c r="RRV753" s="574"/>
      <c r="RRW753" s="574"/>
      <c r="RRX753" s="574"/>
      <c r="RRY753" s="574"/>
      <c r="RRZ753" s="574"/>
      <c r="RSA753" s="574"/>
      <c r="RSB753" s="574"/>
      <c r="RSC753" s="574"/>
      <c r="RSD753" s="574"/>
      <c r="RSE753" s="574"/>
      <c r="RSF753" s="574"/>
      <c r="RSG753" s="574"/>
      <c r="RSH753" s="574"/>
      <c r="RSI753" s="574"/>
      <c r="RSJ753" s="574"/>
      <c r="RSK753" s="574"/>
      <c r="RSL753" s="574"/>
      <c r="RSM753" s="574"/>
      <c r="RSN753" s="574"/>
      <c r="RSO753" s="574"/>
      <c r="RSP753" s="574"/>
      <c r="RSQ753" s="574"/>
      <c r="RSR753" s="574"/>
      <c r="RSS753" s="574"/>
      <c r="RST753" s="574"/>
      <c r="RSU753" s="574"/>
      <c r="RSV753" s="574"/>
      <c r="RSW753" s="574"/>
      <c r="RSX753" s="574"/>
      <c r="RSY753" s="574"/>
      <c r="RSZ753" s="574"/>
      <c r="RTA753" s="574"/>
      <c r="RTB753" s="574"/>
      <c r="RTC753" s="574"/>
      <c r="RTD753" s="574"/>
      <c r="RTE753" s="574"/>
      <c r="RTF753" s="574"/>
      <c r="RTG753" s="574"/>
      <c r="RTH753" s="574"/>
      <c r="RTI753" s="574"/>
      <c r="RTJ753" s="574"/>
      <c r="RTK753" s="574"/>
      <c r="RTL753" s="574"/>
      <c r="RTM753" s="574"/>
      <c r="RTN753" s="574"/>
      <c r="RTO753" s="574"/>
      <c r="RTP753" s="574"/>
      <c r="RTQ753" s="574"/>
      <c r="RTR753" s="574"/>
      <c r="RTS753" s="574"/>
      <c r="RTT753" s="574"/>
      <c r="RTU753" s="574"/>
      <c r="RTV753" s="574"/>
      <c r="RTW753" s="574"/>
      <c r="RTX753" s="574"/>
      <c r="RTY753" s="574"/>
      <c r="RTZ753" s="574"/>
      <c r="RUA753" s="574"/>
      <c r="RUB753" s="574"/>
      <c r="RUC753" s="574"/>
      <c r="RUD753" s="574"/>
      <c r="RUE753" s="574"/>
      <c r="RUF753" s="574"/>
      <c r="RUG753" s="574"/>
      <c r="RUH753" s="574"/>
      <c r="RUI753" s="574"/>
      <c r="RUJ753" s="574"/>
      <c r="RUK753" s="574"/>
      <c r="RUL753" s="574"/>
      <c r="RUM753" s="574"/>
      <c r="RUN753" s="574"/>
      <c r="RUO753" s="574"/>
      <c r="RUP753" s="574"/>
      <c r="RUQ753" s="574"/>
      <c r="RUR753" s="574"/>
      <c r="RUS753" s="574"/>
      <c r="RUT753" s="574"/>
      <c r="RUU753" s="574"/>
      <c r="RUV753" s="574"/>
      <c r="RUW753" s="574"/>
      <c r="RUX753" s="574"/>
      <c r="RUY753" s="574"/>
      <c r="RUZ753" s="574"/>
      <c r="RVA753" s="574"/>
      <c r="RVB753" s="574"/>
      <c r="RVC753" s="574"/>
      <c r="RVD753" s="574"/>
      <c r="RVE753" s="574"/>
      <c r="RVF753" s="574"/>
      <c r="RVG753" s="574"/>
      <c r="RVH753" s="574"/>
      <c r="RVI753" s="574"/>
      <c r="RVJ753" s="574"/>
      <c r="RVK753" s="574"/>
      <c r="RVL753" s="574"/>
      <c r="RVM753" s="574"/>
      <c r="RVN753" s="574"/>
      <c r="RVO753" s="574"/>
      <c r="RVP753" s="574"/>
      <c r="RVQ753" s="574"/>
      <c r="RVR753" s="574"/>
      <c r="RVS753" s="574"/>
      <c r="RVT753" s="574"/>
      <c r="RVU753" s="574"/>
      <c r="RVV753" s="574"/>
      <c r="RVW753" s="574"/>
      <c r="RVX753" s="574"/>
      <c r="RVY753" s="574"/>
      <c r="RVZ753" s="574"/>
      <c r="RWA753" s="574"/>
      <c r="RWB753" s="574"/>
      <c r="RWC753" s="574"/>
      <c r="RWD753" s="574"/>
      <c r="RWE753" s="574"/>
      <c r="RWF753" s="574"/>
      <c r="RWG753" s="574"/>
      <c r="RWH753" s="574"/>
      <c r="RWI753" s="574"/>
      <c r="RWJ753" s="574"/>
      <c r="RWK753" s="574"/>
      <c r="RWL753" s="574"/>
      <c r="RWM753" s="574"/>
      <c r="RWN753" s="574"/>
      <c r="RWO753" s="574"/>
      <c r="RWP753" s="574"/>
      <c r="RWQ753" s="574"/>
      <c r="RWR753" s="574"/>
      <c r="RWS753" s="574"/>
      <c r="RWT753" s="574"/>
      <c r="RWU753" s="574"/>
      <c r="RWV753" s="574"/>
      <c r="RWW753" s="574"/>
      <c r="RWX753" s="574"/>
      <c r="RWY753" s="574"/>
      <c r="RWZ753" s="574"/>
      <c r="RXA753" s="574"/>
      <c r="RXB753" s="574"/>
      <c r="RXC753" s="574"/>
      <c r="RXD753" s="574"/>
      <c r="RXE753" s="574"/>
      <c r="RXF753" s="574"/>
      <c r="RXG753" s="574"/>
      <c r="RXH753" s="574"/>
      <c r="RXI753" s="574"/>
      <c r="RXJ753" s="574"/>
      <c r="RXK753" s="574"/>
      <c r="RXL753" s="574"/>
      <c r="RXM753" s="574"/>
      <c r="RXN753" s="574"/>
      <c r="RXO753" s="574"/>
      <c r="RXP753" s="574"/>
      <c r="RXQ753" s="574"/>
      <c r="RXR753" s="574"/>
      <c r="RXS753" s="574"/>
      <c r="RXT753" s="574"/>
      <c r="RXU753" s="574"/>
      <c r="RXV753" s="574"/>
      <c r="RXW753" s="574"/>
      <c r="RXX753" s="574"/>
      <c r="RXY753" s="574"/>
      <c r="RXZ753" s="574"/>
      <c r="RYA753" s="574"/>
      <c r="RYB753" s="574"/>
      <c r="RYC753" s="574"/>
      <c r="RYD753" s="574"/>
      <c r="RYE753" s="574"/>
      <c r="RYF753" s="574"/>
      <c r="RYG753" s="574"/>
      <c r="RYH753" s="574"/>
      <c r="RYI753" s="574"/>
      <c r="RYJ753" s="574"/>
      <c r="RYK753" s="574"/>
      <c r="RYL753" s="574"/>
      <c r="RYM753" s="574"/>
      <c r="RYN753" s="574"/>
      <c r="RYO753" s="574"/>
      <c r="RYP753" s="574"/>
      <c r="RYQ753" s="574"/>
      <c r="RYR753" s="574"/>
      <c r="RYS753" s="574"/>
      <c r="RYT753" s="574"/>
      <c r="RYU753" s="574"/>
      <c r="RYV753" s="574"/>
      <c r="RYW753" s="574"/>
      <c r="RYX753" s="574"/>
      <c r="RYY753" s="574"/>
      <c r="RYZ753" s="574"/>
      <c r="RZA753" s="574"/>
      <c r="RZB753" s="574"/>
      <c r="RZC753" s="574"/>
      <c r="RZD753" s="574"/>
      <c r="RZE753" s="574"/>
      <c r="RZF753" s="574"/>
      <c r="RZG753" s="574"/>
      <c r="RZH753" s="574"/>
      <c r="RZI753" s="574"/>
      <c r="RZJ753" s="574"/>
      <c r="RZK753" s="574"/>
      <c r="RZL753" s="574"/>
      <c r="RZM753" s="574"/>
      <c r="RZN753" s="574"/>
      <c r="RZO753" s="574"/>
      <c r="RZP753" s="574"/>
      <c r="RZQ753" s="574"/>
      <c r="RZR753" s="574"/>
      <c r="RZS753" s="574"/>
      <c r="RZT753" s="574"/>
      <c r="RZU753" s="574"/>
      <c r="RZV753" s="574"/>
      <c r="RZW753" s="574"/>
      <c r="RZX753" s="574"/>
      <c r="RZY753" s="574"/>
      <c r="RZZ753" s="574"/>
      <c r="SAA753" s="574"/>
      <c r="SAB753" s="574"/>
      <c r="SAC753" s="574"/>
      <c r="SAD753" s="574"/>
      <c r="SAE753" s="574"/>
      <c r="SAF753" s="574"/>
      <c r="SAG753" s="574"/>
      <c r="SAH753" s="574"/>
      <c r="SAI753" s="574"/>
      <c r="SAJ753" s="574"/>
      <c r="SAK753" s="574"/>
      <c r="SAL753" s="574"/>
      <c r="SAM753" s="574"/>
      <c r="SAN753" s="574"/>
      <c r="SAO753" s="574"/>
      <c r="SAP753" s="574"/>
      <c r="SAQ753" s="574"/>
      <c r="SAR753" s="574"/>
      <c r="SAS753" s="574"/>
      <c r="SAT753" s="574"/>
      <c r="SAU753" s="574"/>
      <c r="SAV753" s="574"/>
      <c r="SAW753" s="574"/>
      <c r="SAX753" s="574"/>
      <c r="SAY753" s="574"/>
      <c r="SAZ753" s="574"/>
      <c r="SBA753" s="574"/>
      <c r="SBB753" s="574"/>
      <c r="SBC753" s="574"/>
      <c r="SBD753" s="574"/>
      <c r="SBE753" s="574"/>
      <c r="SBF753" s="574"/>
      <c r="SBG753" s="574"/>
      <c r="SBH753" s="574"/>
      <c r="SBI753" s="574"/>
      <c r="SBJ753" s="574"/>
      <c r="SBK753" s="574"/>
      <c r="SBL753" s="574"/>
      <c r="SBM753" s="574"/>
      <c r="SBN753" s="574"/>
      <c r="SBO753" s="574"/>
      <c r="SBP753" s="574"/>
      <c r="SBQ753" s="574"/>
      <c r="SBR753" s="574"/>
      <c r="SBS753" s="574"/>
      <c r="SBT753" s="574"/>
      <c r="SBU753" s="574"/>
      <c r="SBV753" s="574"/>
      <c r="SBW753" s="574"/>
      <c r="SBX753" s="574"/>
      <c r="SBY753" s="574"/>
      <c r="SBZ753" s="574"/>
      <c r="SCA753" s="574"/>
      <c r="SCB753" s="574"/>
      <c r="SCC753" s="574"/>
      <c r="SCD753" s="574"/>
      <c r="SCE753" s="574"/>
      <c r="SCF753" s="574"/>
      <c r="SCG753" s="574"/>
      <c r="SCH753" s="574"/>
      <c r="SCI753" s="574"/>
      <c r="SCJ753" s="574"/>
      <c r="SCK753" s="574"/>
      <c r="SCL753" s="574"/>
      <c r="SCM753" s="574"/>
      <c r="SCN753" s="574"/>
      <c r="SCO753" s="574"/>
      <c r="SCP753" s="574"/>
      <c r="SCQ753" s="574"/>
      <c r="SCR753" s="574"/>
      <c r="SCS753" s="574"/>
      <c r="SCT753" s="574"/>
      <c r="SCU753" s="574"/>
      <c r="SCV753" s="574"/>
      <c r="SCW753" s="574"/>
      <c r="SCX753" s="574"/>
      <c r="SCY753" s="574"/>
      <c r="SCZ753" s="574"/>
      <c r="SDA753" s="574"/>
      <c r="SDB753" s="574"/>
      <c r="SDC753" s="574"/>
      <c r="SDD753" s="574"/>
      <c r="SDE753" s="574"/>
      <c r="SDF753" s="574"/>
      <c r="SDG753" s="574"/>
      <c r="SDH753" s="574"/>
      <c r="SDI753" s="574"/>
      <c r="SDJ753" s="574"/>
      <c r="SDK753" s="574"/>
      <c r="SDL753" s="574"/>
      <c r="SDM753" s="574"/>
      <c r="SDN753" s="574"/>
      <c r="SDO753" s="574"/>
      <c r="SDP753" s="574"/>
      <c r="SDQ753" s="574"/>
      <c r="SDR753" s="574"/>
      <c r="SDS753" s="574"/>
      <c r="SDT753" s="574"/>
      <c r="SDU753" s="574"/>
      <c r="SDV753" s="574"/>
      <c r="SDW753" s="574"/>
      <c r="SDX753" s="574"/>
      <c r="SDY753" s="574"/>
      <c r="SDZ753" s="574"/>
      <c r="SEA753" s="574"/>
      <c r="SEB753" s="574"/>
      <c r="SEC753" s="574"/>
      <c r="SED753" s="574"/>
      <c r="SEE753" s="574"/>
      <c r="SEF753" s="574"/>
      <c r="SEG753" s="574"/>
      <c r="SEH753" s="574"/>
      <c r="SEI753" s="574"/>
      <c r="SEJ753" s="574"/>
      <c r="SEK753" s="574"/>
      <c r="SEL753" s="574"/>
      <c r="SEM753" s="574"/>
      <c r="SEN753" s="574"/>
      <c r="SEO753" s="574"/>
      <c r="SEP753" s="574"/>
      <c r="SEQ753" s="574"/>
      <c r="SER753" s="574"/>
      <c r="SES753" s="574"/>
      <c r="SET753" s="574"/>
      <c r="SEU753" s="574"/>
      <c r="SEV753" s="574"/>
      <c r="SEW753" s="574"/>
      <c r="SEX753" s="574"/>
      <c r="SEY753" s="574"/>
      <c r="SEZ753" s="574"/>
      <c r="SFA753" s="574"/>
      <c r="SFB753" s="574"/>
      <c r="SFC753" s="574"/>
      <c r="SFD753" s="574"/>
      <c r="SFE753" s="574"/>
      <c r="SFF753" s="574"/>
      <c r="SFG753" s="574"/>
      <c r="SFH753" s="574"/>
      <c r="SFI753" s="574"/>
      <c r="SFJ753" s="574"/>
      <c r="SFK753" s="574"/>
      <c r="SFL753" s="574"/>
      <c r="SFM753" s="574"/>
      <c r="SFN753" s="574"/>
      <c r="SFO753" s="574"/>
      <c r="SFP753" s="574"/>
      <c r="SFQ753" s="574"/>
      <c r="SFR753" s="574"/>
      <c r="SFS753" s="574"/>
      <c r="SFT753" s="574"/>
      <c r="SFU753" s="574"/>
      <c r="SFV753" s="574"/>
      <c r="SFW753" s="574"/>
      <c r="SFX753" s="574"/>
      <c r="SFY753" s="574"/>
      <c r="SFZ753" s="574"/>
      <c r="SGA753" s="574"/>
      <c r="SGB753" s="574"/>
      <c r="SGC753" s="574"/>
      <c r="SGD753" s="574"/>
      <c r="SGE753" s="574"/>
      <c r="SGF753" s="574"/>
      <c r="SGG753" s="574"/>
      <c r="SGH753" s="574"/>
      <c r="SGI753" s="574"/>
      <c r="SGJ753" s="574"/>
      <c r="SGK753" s="574"/>
      <c r="SGL753" s="574"/>
      <c r="SGM753" s="574"/>
      <c r="SGN753" s="574"/>
      <c r="SGO753" s="574"/>
      <c r="SGP753" s="574"/>
      <c r="SGQ753" s="574"/>
      <c r="SGR753" s="574"/>
      <c r="SGS753" s="574"/>
      <c r="SGT753" s="574"/>
      <c r="SGU753" s="574"/>
      <c r="SGV753" s="574"/>
      <c r="SGW753" s="574"/>
      <c r="SGX753" s="574"/>
      <c r="SGY753" s="574"/>
      <c r="SGZ753" s="574"/>
      <c r="SHA753" s="574"/>
      <c r="SHB753" s="574"/>
      <c r="SHC753" s="574"/>
      <c r="SHD753" s="574"/>
      <c r="SHE753" s="574"/>
      <c r="SHF753" s="574"/>
      <c r="SHG753" s="574"/>
      <c r="SHH753" s="574"/>
      <c r="SHI753" s="574"/>
      <c r="SHJ753" s="574"/>
      <c r="SHK753" s="574"/>
      <c r="SHL753" s="574"/>
      <c r="SHM753" s="574"/>
      <c r="SHN753" s="574"/>
      <c r="SHO753" s="574"/>
      <c r="SHP753" s="574"/>
      <c r="SHQ753" s="574"/>
      <c r="SHR753" s="574"/>
      <c r="SHS753" s="574"/>
      <c r="SHT753" s="574"/>
      <c r="SHU753" s="574"/>
      <c r="SHV753" s="574"/>
      <c r="SHW753" s="574"/>
      <c r="SHX753" s="574"/>
      <c r="SHY753" s="574"/>
      <c r="SHZ753" s="574"/>
      <c r="SIA753" s="574"/>
      <c r="SIB753" s="574"/>
      <c r="SIC753" s="574"/>
      <c r="SID753" s="574"/>
      <c r="SIE753" s="574"/>
      <c r="SIF753" s="574"/>
      <c r="SIG753" s="574"/>
      <c r="SIH753" s="574"/>
      <c r="SII753" s="574"/>
      <c r="SIJ753" s="574"/>
      <c r="SIK753" s="574"/>
      <c r="SIL753" s="574"/>
      <c r="SIM753" s="574"/>
      <c r="SIN753" s="574"/>
      <c r="SIO753" s="574"/>
      <c r="SIP753" s="574"/>
      <c r="SIQ753" s="574"/>
      <c r="SIR753" s="574"/>
      <c r="SIS753" s="574"/>
      <c r="SIT753" s="574"/>
      <c r="SIU753" s="574"/>
      <c r="SIV753" s="574"/>
      <c r="SIW753" s="574"/>
      <c r="SIX753" s="574"/>
      <c r="SIY753" s="574"/>
      <c r="SIZ753" s="574"/>
      <c r="SJA753" s="574"/>
      <c r="SJB753" s="574"/>
      <c r="SJC753" s="574"/>
      <c r="SJD753" s="574"/>
      <c r="SJE753" s="574"/>
      <c r="SJF753" s="574"/>
      <c r="SJG753" s="574"/>
      <c r="SJH753" s="574"/>
      <c r="SJI753" s="574"/>
      <c r="SJJ753" s="574"/>
      <c r="SJK753" s="574"/>
      <c r="SJL753" s="574"/>
      <c r="SJM753" s="574"/>
      <c r="SJN753" s="574"/>
      <c r="SJO753" s="574"/>
      <c r="SJP753" s="574"/>
      <c r="SJQ753" s="574"/>
      <c r="SJR753" s="574"/>
      <c r="SJS753" s="574"/>
      <c r="SJT753" s="574"/>
      <c r="SJU753" s="574"/>
      <c r="SJV753" s="574"/>
      <c r="SJW753" s="574"/>
      <c r="SJX753" s="574"/>
      <c r="SJY753" s="574"/>
      <c r="SJZ753" s="574"/>
      <c r="SKA753" s="574"/>
      <c r="SKB753" s="574"/>
      <c r="SKC753" s="574"/>
      <c r="SKD753" s="574"/>
      <c r="SKE753" s="574"/>
      <c r="SKF753" s="574"/>
      <c r="SKG753" s="574"/>
      <c r="SKH753" s="574"/>
      <c r="SKI753" s="574"/>
      <c r="SKJ753" s="574"/>
      <c r="SKK753" s="574"/>
      <c r="SKL753" s="574"/>
      <c r="SKM753" s="574"/>
      <c r="SKN753" s="574"/>
      <c r="SKO753" s="574"/>
      <c r="SKP753" s="574"/>
      <c r="SKQ753" s="574"/>
      <c r="SKR753" s="574"/>
      <c r="SKS753" s="574"/>
      <c r="SKT753" s="574"/>
      <c r="SKU753" s="574"/>
      <c r="SKV753" s="574"/>
      <c r="SKW753" s="574"/>
      <c r="SKX753" s="574"/>
      <c r="SKY753" s="574"/>
      <c r="SKZ753" s="574"/>
      <c r="SLA753" s="574"/>
      <c r="SLB753" s="574"/>
      <c r="SLC753" s="574"/>
      <c r="SLD753" s="574"/>
      <c r="SLE753" s="574"/>
      <c r="SLF753" s="574"/>
      <c r="SLG753" s="574"/>
      <c r="SLH753" s="574"/>
      <c r="SLI753" s="574"/>
      <c r="SLJ753" s="574"/>
      <c r="SLK753" s="574"/>
      <c r="SLL753" s="574"/>
      <c r="SLM753" s="574"/>
      <c r="SLN753" s="574"/>
      <c r="SLO753" s="574"/>
      <c r="SLP753" s="574"/>
      <c r="SLQ753" s="574"/>
      <c r="SLR753" s="574"/>
      <c r="SLS753" s="574"/>
      <c r="SLT753" s="574"/>
      <c r="SLU753" s="574"/>
      <c r="SLV753" s="574"/>
      <c r="SLW753" s="574"/>
      <c r="SLX753" s="574"/>
      <c r="SLY753" s="574"/>
      <c r="SLZ753" s="574"/>
      <c r="SMA753" s="574"/>
      <c r="SMB753" s="574"/>
      <c r="SMC753" s="574"/>
      <c r="SMD753" s="574"/>
      <c r="SME753" s="574"/>
      <c r="SMF753" s="574"/>
      <c r="SMG753" s="574"/>
      <c r="SMH753" s="574"/>
      <c r="SMI753" s="574"/>
      <c r="SMJ753" s="574"/>
      <c r="SMK753" s="574"/>
      <c r="SML753" s="574"/>
      <c r="SMM753" s="574"/>
      <c r="SMN753" s="574"/>
      <c r="SMO753" s="574"/>
      <c r="SMP753" s="574"/>
      <c r="SMQ753" s="574"/>
      <c r="SMR753" s="574"/>
      <c r="SMS753" s="574"/>
      <c r="SMT753" s="574"/>
      <c r="SMU753" s="574"/>
      <c r="SMV753" s="574"/>
      <c r="SMW753" s="574"/>
      <c r="SMX753" s="574"/>
      <c r="SMY753" s="574"/>
      <c r="SMZ753" s="574"/>
      <c r="SNA753" s="574"/>
      <c r="SNB753" s="574"/>
      <c r="SNC753" s="574"/>
      <c r="SND753" s="574"/>
      <c r="SNE753" s="574"/>
      <c r="SNF753" s="574"/>
      <c r="SNG753" s="574"/>
      <c r="SNH753" s="574"/>
      <c r="SNI753" s="574"/>
      <c r="SNJ753" s="574"/>
      <c r="SNK753" s="574"/>
      <c r="SNL753" s="574"/>
      <c r="SNM753" s="574"/>
      <c r="SNN753" s="574"/>
      <c r="SNO753" s="574"/>
      <c r="SNP753" s="574"/>
      <c r="SNQ753" s="574"/>
      <c r="SNR753" s="574"/>
      <c r="SNS753" s="574"/>
      <c r="SNT753" s="574"/>
      <c r="SNU753" s="574"/>
      <c r="SNV753" s="574"/>
      <c r="SNW753" s="574"/>
      <c r="SNX753" s="574"/>
      <c r="SNY753" s="574"/>
      <c r="SNZ753" s="574"/>
      <c r="SOA753" s="574"/>
      <c r="SOB753" s="574"/>
      <c r="SOC753" s="574"/>
      <c r="SOD753" s="574"/>
      <c r="SOE753" s="574"/>
      <c r="SOF753" s="574"/>
      <c r="SOG753" s="574"/>
      <c r="SOH753" s="574"/>
      <c r="SOI753" s="574"/>
      <c r="SOJ753" s="574"/>
      <c r="SOK753" s="574"/>
      <c r="SOL753" s="574"/>
      <c r="SOM753" s="574"/>
      <c r="SON753" s="574"/>
      <c r="SOO753" s="574"/>
      <c r="SOP753" s="574"/>
      <c r="SOQ753" s="574"/>
      <c r="SOR753" s="574"/>
      <c r="SOS753" s="574"/>
      <c r="SOT753" s="574"/>
      <c r="SOU753" s="574"/>
      <c r="SOV753" s="574"/>
      <c r="SOW753" s="574"/>
      <c r="SOX753" s="574"/>
      <c r="SOY753" s="574"/>
      <c r="SOZ753" s="574"/>
      <c r="SPA753" s="574"/>
      <c r="SPB753" s="574"/>
      <c r="SPC753" s="574"/>
      <c r="SPD753" s="574"/>
      <c r="SPE753" s="574"/>
      <c r="SPF753" s="574"/>
      <c r="SPG753" s="574"/>
      <c r="SPH753" s="574"/>
      <c r="SPI753" s="574"/>
      <c r="SPJ753" s="574"/>
      <c r="SPK753" s="574"/>
      <c r="SPL753" s="574"/>
      <c r="SPM753" s="574"/>
      <c r="SPN753" s="574"/>
      <c r="SPO753" s="574"/>
      <c r="SPP753" s="574"/>
      <c r="SPQ753" s="574"/>
      <c r="SPR753" s="574"/>
      <c r="SPS753" s="574"/>
      <c r="SPT753" s="574"/>
      <c r="SPU753" s="574"/>
      <c r="SPV753" s="574"/>
      <c r="SPW753" s="574"/>
      <c r="SPX753" s="574"/>
      <c r="SPY753" s="574"/>
      <c r="SPZ753" s="574"/>
      <c r="SQA753" s="574"/>
      <c r="SQB753" s="574"/>
      <c r="SQC753" s="574"/>
      <c r="SQD753" s="574"/>
      <c r="SQE753" s="574"/>
      <c r="SQF753" s="574"/>
      <c r="SQG753" s="574"/>
      <c r="SQH753" s="574"/>
      <c r="SQI753" s="574"/>
      <c r="SQJ753" s="574"/>
      <c r="SQK753" s="574"/>
      <c r="SQL753" s="574"/>
      <c r="SQM753" s="574"/>
      <c r="SQN753" s="574"/>
      <c r="SQO753" s="574"/>
      <c r="SQP753" s="574"/>
      <c r="SQQ753" s="574"/>
      <c r="SQR753" s="574"/>
      <c r="SQS753" s="574"/>
      <c r="SQT753" s="574"/>
      <c r="SQU753" s="574"/>
      <c r="SQV753" s="574"/>
      <c r="SQW753" s="574"/>
      <c r="SQX753" s="574"/>
      <c r="SQY753" s="574"/>
      <c r="SQZ753" s="574"/>
      <c r="SRA753" s="574"/>
      <c r="SRB753" s="574"/>
      <c r="SRC753" s="574"/>
      <c r="SRD753" s="574"/>
      <c r="SRE753" s="574"/>
      <c r="SRF753" s="574"/>
      <c r="SRG753" s="574"/>
      <c r="SRH753" s="574"/>
      <c r="SRI753" s="574"/>
      <c r="SRJ753" s="574"/>
      <c r="SRK753" s="574"/>
      <c r="SRL753" s="574"/>
      <c r="SRM753" s="574"/>
      <c r="SRN753" s="574"/>
      <c r="SRO753" s="574"/>
      <c r="SRP753" s="574"/>
      <c r="SRQ753" s="574"/>
      <c r="SRR753" s="574"/>
      <c r="SRS753" s="574"/>
      <c r="SRT753" s="574"/>
      <c r="SRU753" s="574"/>
      <c r="SRV753" s="574"/>
      <c r="SRW753" s="574"/>
      <c r="SRX753" s="574"/>
      <c r="SRY753" s="574"/>
      <c r="SRZ753" s="574"/>
      <c r="SSA753" s="574"/>
      <c r="SSB753" s="574"/>
      <c r="SSC753" s="574"/>
      <c r="SSD753" s="574"/>
      <c r="SSE753" s="574"/>
      <c r="SSF753" s="574"/>
      <c r="SSG753" s="574"/>
      <c r="SSH753" s="574"/>
      <c r="SSI753" s="574"/>
      <c r="SSJ753" s="574"/>
      <c r="SSK753" s="574"/>
      <c r="SSL753" s="574"/>
      <c r="SSM753" s="574"/>
      <c r="SSN753" s="574"/>
      <c r="SSO753" s="574"/>
      <c r="SSP753" s="574"/>
      <c r="SSQ753" s="574"/>
      <c r="SSR753" s="574"/>
      <c r="SSS753" s="574"/>
      <c r="SST753" s="574"/>
      <c r="SSU753" s="574"/>
      <c r="SSV753" s="574"/>
      <c r="SSW753" s="574"/>
      <c r="SSX753" s="574"/>
      <c r="SSY753" s="574"/>
      <c r="SSZ753" s="574"/>
      <c r="STA753" s="574"/>
      <c r="STB753" s="574"/>
      <c r="STC753" s="574"/>
      <c r="STD753" s="574"/>
      <c r="STE753" s="574"/>
      <c r="STF753" s="574"/>
      <c r="STG753" s="574"/>
      <c r="STH753" s="574"/>
      <c r="STI753" s="574"/>
      <c r="STJ753" s="574"/>
      <c r="STK753" s="574"/>
      <c r="STL753" s="574"/>
      <c r="STM753" s="574"/>
      <c r="STN753" s="574"/>
      <c r="STO753" s="574"/>
      <c r="STP753" s="574"/>
      <c r="STQ753" s="574"/>
      <c r="STR753" s="574"/>
      <c r="STS753" s="574"/>
      <c r="STT753" s="574"/>
      <c r="STU753" s="574"/>
      <c r="STV753" s="574"/>
      <c r="STW753" s="574"/>
      <c r="STX753" s="574"/>
      <c r="STY753" s="574"/>
      <c r="STZ753" s="574"/>
      <c r="SUA753" s="574"/>
      <c r="SUB753" s="574"/>
      <c r="SUC753" s="574"/>
      <c r="SUD753" s="574"/>
      <c r="SUE753" s="574"/>
      <c r="SUF753" s="574"/>
      <c r="SUG753" s="574"/>
      <c r="SUH753" s="574"/>
      <c r="SUI753" s="574"/>
      <c r="SUJ753" s="574"/>
      <c r="SUK753" s="574"/>
      <c r="SUL753" s="574"/>
      <c r="SUM753" s="574"/>
      <c r="SUN753" s="574"/>
      <c r="SUO753" s="574"/>
      <c r="SUP753" s="574"/>
      <c r="SUQ753" s="574"/>
      <c r="SUR753" s="574"/>
      <c r="SUS753" s="574"/>
      <c r="SUT753" s="574"/>
      <c r="SUU753" s="574"/>
      <c r="SUV753" s="574"/>
      <c r="SUW753" s="574"/>
      <c r="SUX753" s="574"/>
      <c r="SUY753" s="574"/>
      <c r="SUZ753" s="574"/>
      <c r="SVA753" s="574"/>
      <c r="SVB753" s="574"/>
      <c r="SVC753" s="574"/>
      <c r="SVD753" s="574"/>
      <c r="SVE753" s="574"/>
      <c r="SVF753" s="574"/>
      <c r="SVG753" s="574"/>
      <c r="SVH753" s="574"/>
      <c r="SVI753" s="574"/>
      <c r="SVJ753" s="574"/>
      <c r="SVK753" s="574"/>
      <c r="SVL753" s="574"/>
      <c r="SVM753" s="574"/>
      <c r="SVN753" s="574"/>
      <c r="SVO753" s="574"/>
      <c r="SVP753" s="574"/>
      <c r="SVQ753" s="574"/>
      <c r="SVR753" s="574"/>
      <c r="SVS753" s="574"/>
      <c r="SVT753" s="574"/>
      <c r="SVU753" s="574"/>
      <c r="SVV753" s="574"/>
      <c r="SVW753" s="574"/>
      <c r="SVX753" s="574"/>
      <c r="SVY753" s="574"/>
      <c r="SVZ753" s="574"/>
      <c r="SWA753" s="574"/>
      <c r="SWB753" s="574"/>
      <c r="SWC753" s="574"/>
      <c r="SWD753" s="574"/>
      <c r="SWE753" s="574"/>
      <c r="SWF753" s="574"/>
      <c r="SWG753" s="574"/>
      <c r="SWH753" s="574"/>
      <c r="SWI753" s="574"/>
      <c r="SWJ753" s="574"/>
      <c r="SWK753" s="574"/>
      <c r="SWL753" s="574"/>
      <c r="SWM753" s="574"/>
      <c r="SWN753" s="574"/>
      <c r="SWO753" s="574"/>
      <c r="SWP753" s="574"/>
      <c r="SWQ753" s="574"/>
      <c r="SWR753" s="574"/>
      <c r="SWS753" s="574"/>
      <c r="SWT753" s="574"/>
      <c r="SWU753" s="574"/>
      <c r="SWV753" s="574"/>
      <c r="SWW753" s="574"/>
      <c r="SWX753" s="574"/>
      <c r="SWY753" s="574"/>
      <c r="SWZ753" s="574"/>
      <c r="SXA753" s="574"/>
      <c r="SXB753" s="574"/>
      <c r="SXC753" s="574"/>
      <c r="SXD753" s="574"/>
      <c r="SXE753" s="574"/>
      <c r="SXF753" s="574"/>
      <c r="SXG753" s="574"/>
      <c r="SXH753" s="574"/>
      <c r="SXI753" s="574"/>
      <c r="SXJ753" s="574"/>
      <c r="SXK753" s="574"/>
      <c r="SXL753" s="574"/>
      <c r="SXM753" s="574"/>
      <c r="SXN753" s="574"/>
      <c r="SXO753" s="574"/>
      <c r="SXP753" s="574"/>
      <c r="SXQ753" s="574"/>
      <c r="SXR753" s="574"/>
      <c r="SXS753" s="574"/>
      <c r="SXT753" s="574"/>
      <c r="SXU753" s="574"/>
      <c r="SXV753" s="574"/>
      <c r="SXW753" s="574"/>
      <c r="SXX753" s="574"/>
      <c r="SXY753" s="574"/>
      <c r="SXZ753" s="574"/>
      <c r="SYA753" s="574"/>
      <c r="SYB753" s="574"/>
      <c r="SYC753" s="574"/>
      <c r="SYD753" s="574"/>
      <c r="SYE753" s="574"/>
      <c r="SYF753" s="574"/>
      <c r="SYG753" s="574"/>
      <c r="SYH753" s="574"/>
      <c r="SYI753" s="574"/>
      <c r="SYJ753" s="574"/>
      <c r="SYK753" s="574"/>
      <c r="SYL753" s="574"/>
      <c r="SYM753" s="574"/>
      <c r="SYN753" s="574"/>
      <c r="SYO753" s="574"/>
      <c r="SYP753" s="574"/>
      <c r="SYQ753" s="574"/>
      <c r="SYR753" s="574"/>
      <c r="SYS753" s="574"/>
      <c r="SYT753" s="574"/>
      <c r="SYU753" s="574"/>
      <c r="SYV753" s="574"/>
      <c r="SYW753" s="574"/>
      <c r="SYX753" s="574"/>
      <c r="SYY753" s="574"/>
      <c r="SYZ753" s="574"/>
      <c r="SZA753" s="574"/>
      <c r="SZB753" s="574"/>
      <c r="SZC753" s="574"/>
      <c r="SZD753" s="574"/>
      <c r="SZE753" s="574"/>
      <c r="SZF753" s="574"/>
      <c r="SZG753" s="574"/>
      <c r="SZH753" s="574"/>
      <c r="SZI753" s="574"/>
      <c r="SZJ753" s="574"/>
      <c r="SZK753" s="574"/>
      <c r="SZL753" s="574"/>
      <c r="SZM753" s="574"/>
      <c r="SZN753" s="574"/>
      <c r="SZO753" s="574"/>
      <c r="SZP753" s="574"/>
      <c r="SZQ753" s="574"/>
      <c r="SZR753" s="574"/>
      <c r="SZS753" s="574"/>
      <c r="SZT753" s="574"/>
      <c r="SZU753" s="574"/>
      <c r="SZV753" s="574"/>
      <c r="SZW753" s="574"/>
      <c r="SZX753" s="574"/>
      <c r="SZY753" s="574"/>
      <c r="SZZ753" s="574"/>
      <c r="TAA753" s="574"/>
      <c r="TAB753" s="574"/>
      <c r="TAC753" s="574"/>
      <c r="TAD753" s="574"/>
      <c r="TAE753" s="574"/>
      <c r="TAF753" s="574"/>
      <c r="TAG753" s="574"/>
      <c r="TAH753" s="574"/>
      <c r="TAI753" s="574"/>
      <c r="TAJ753" s="574"/>
      <c r="TAK753" s="574"/>
      <c r="TAL753" s="574"/>
      <c r="TAM753" s="574"/>
      <c r="TAN753" s="574"/>
      <c r="TAO753" s="574"/>
      <c r="TAP753" s="574"/>
      <c r="TAQ753" s="574"/>
      <c r="TAR753" s="574"/>
      <c r="TAS753" s="574"/>
      <c r="TAT753" s="574"/>
      <c r="TAU753" s="574"/>
      <c r="TAV753" s="574"/>
      <c r="TAW753" s="574"/>
      <c r="TAX753" s="574"/>
      <c r="TAY753" s="574"/>
      <c r="TAZ753" s="574"/>
      <c r="TBA753" s="574"/>
      <c r="TBB753" s="574"/>
      <c r="TBC753" s="574"/>
      <c r="TBD753" s="574"/>
      <c r="TBE753" s="574"/>
      <c r="TBF753" s="574"/>
      <c r="TBG753" s="574"/>
      <c r="TBH753" s="574"/>
      <c r="TBI753" s="574"/>
      <c r="TBJ753" s="574"/>
      <c r="TBK753" s="574"/>
      <c r="TBL753" s="574"/>
      <c r="TBM753" s="574"/>
      <c r="TBN753" s="574"/>
      <c r="TBO753" s="574"/>
      <c r="TBP753" s="574"/>
      <c r="TBQ753" s="574"/>
      <c r="TBR753" s="574"/>
      <c r="TBS753" s="574"/>
      <c r="TBT753" s="574"/>
      <c r="TBU753" s="574"/>
      <c r="TBV753" s="574"/>
      <c r="TBW753" s="574"/>
      <c r="TBX753" s="574"/>
      <c r="TBY753" s="574"/>
      <c r="TBZ753" s="574"/>
      <c r="TCA753" s="574"/>
      <c r="TCB753" s="574"/>
      <c r="TCC753" s="574"/>
      <c r="TCD753" s="574"/>
      <c r="TCE753" s="574"/>
      <c r="TCF753" s="574"/>
      <c r="TCG753" s="574"/>
      <c r="TCH753" s="574"/>
      <c r="TCI753" s="574"/>
      <c r="TCJ753" s="574"/>
      <c r="TCK753" s="574"/>
      <c r="TCL753" s="574"/>
      <c r="TCM753" s="574"/>
      <c r="TCN753" s="574"/>
      <c r="TCO753" s="574"/>
      <c r="TCP753" s="574"/>
      <c r="TCQ753" s="574"/>
      <c r="TCR753" s="574"/>
      <c r="TCS753" s="574"/>
      <c r="TCT753" s="574"/>
      <c r="TCU753" s="574"/>
      <c r="TCV753" s="574"/>
      <c r="TCW753" s="574"/>
      <c r="TCX753" s="574"/>
      <c r="TCY753" s="574"/>
      <c r="TCZ753" s="574"/>
      <c r="TDA753" s="574"/>
      <c r="TDB753" s="574"/>
      <c r="TDC753" s="574"/>
      <c r="TDD753" s="574"/>
      <c r="TDE753" s="574"/>
      <c r="TDF753" s="574"/>
      <c r="TDG753" s="574"/>
      <c r="TDH753" s="574"/>
      <c r="TDI753" s="574"/>
      <c r="TDJ753" s="574"/>
      <c r="TDK753" s="574"/>
      <c r="TDL753" s="574"/>
      <c r="TDM753" s="574"/>
      <c r="TDN753" s="574"/>
      <c r="TDO753" s="574"/>
      <c r="TDP753" s="574"/>
      <c r="TDQ753" s="574"/>
      <c r="TDR753" s="574"/>
      <c r="TDS753" s="574"/>
      <c r="TDT753" s="574"/>
      <c r="TDU753" s="574"/>
      <c r="TDV753" s="574"/>
      <c r="TDW753" s="574"/>
      <c r="TDX753" s="574"/>
      <c r="TDY753" s="574"/>
      <c r="TDZ753" s="574"/>
      <c r="TEA753" s="574"/>
      <c r="TEB753" s="574"/>
      <c r="TEC753" s="574"/>
      <c r="TED753" s="574"/>
      <c r="TEE753" s="574"/>
      <c r="TEF753" s="574"/>
      <c r="TEG753" s="574"/>
      <c r="TEH753" s="574"/>
      <c r="TEI753" s="574"/>
      <c r="TEJ753" s="574"/>
      <c r="TEK753" s="574"/>
      <c r="TEL753" s="574"/>
      <c r="TEM753" s="574"/>
      <c r="TEN753" s="574"/>
      <c r="TEO753" s="574"/>
      <c r="TEP753" s="574"/>
      <c r="TEQ753" s="574"/>
      <c r="TER753" s="574"/>
      <c r="TES753" s="574"/>
      <c r="TET753" s="574"/>
      <c r="TEU753" s="574"/>
      <c r="TEV753" s="574"/>
      <c r="TEW753" s="574"/>
      <c r="TEX753" s="574"/>
      <c r="TEY753" s="574"/>
      <c r="TEZ753" s="574"/>
      <c r="TFA753" s="574"/>
      <c r="TFB753" s="574"/>
      <c r="TFC753" s="574"/>
      <c r="TFD753" s="574"/>
      <c r="TFE753" s="574"/>
      <c r="TFF753" s="574"/>
      <c r="TFG753" s="574"/>
      <c r="TFH753" s="574"/>
      <c r="TFI753" s="574"/>
      <c r="TFJ753" s="574"/>
      <c r="TFK753" s="574"/>
      <c r="TFL753" s="574"/>
      <c r="TFM753" s="574"/>
      <c r="TFN753" s="574"/>
      <c r="TFO753" s="574"/>
      <c r="TFP753" s="574"/>
      <c r="TFQ753" s="574"/>
      <c r="TFR753" s="574"/>
      <c r="TFS753" s="574"/>
      <c r="TFT753" s="574"/>
      <c r="TFU753" s="574"/>
      <c r="TFV753" s="574"/>
      <c r="TFW753" s="574"/>
      <c r="TFX753" s="574"/>
      <c r="TFY753" s="574"/>
      <c r="TFZ753" s="574"/>
      <c r="TGA753" s="574"/>
      <c r="TGB753" s="574"/>
      <c r="TGC753" s="574"/>
      <c r="TGD753" s="574"/>
      <c r="TGE753" s="574"/>
      <c r="TGF753" s="574"/>
      <c r="TGG753" s="574"/>
      <c r="TGH753" s="574"/>
      <c r="TGI753" s="574"/>
      <c r="TGJ753" s="574"/>
      <c r="TGK753" s="574"/>
      <c r="TGL753" s="574"/>
      <c r="TGM753" s="574"/>
      <c r="TGN753" s="574"/>
      <c r="TGO753" s="574"/>
      <c r="TGP753" s="574"/>
      <c r="TGQ753" s="574"/>
      <c r="TGR753" s="574"/>
      <c r="TGS753" s="574"/>
      <c r="TGT753" s="574"/>
      <c r="TGU753" s="574"/>
      <c r="TGV753" s="574"/>
      <c r="TGW753" s="574"/>
      <c r="TGX753" s="574"/>
      <c r="TGY753" s="574"/>
      <c r="TGZ753" s="574"/>
      <c r="THA753" s="574"/>
      <c r="THB753" s="574"/>
      <c r="THC753" s="574"/>
      <c r="THD753" s="574"/>
      <c r="THE753" s="574"/>
      <c r="THF753" s="574"/>
      <c r="THG753" s="574"/>
      <c r="THH753" s="574"/>
      <c r="THI753" s="574"/>
      <c r="THJ753" s="574"/>
      <c r="THK753" s="574"/>
      <c r="THL753" s="574"/>
      <c r="THM753" s="574"/>
      <c r="THN753" s="574"/>
      <c r="THO753" s="574"/>
      <c r="THP753" s="574"/>
      <c r="THQ753" s="574"/>
      <c r="THR753" s="574"/>
      <c r="THS753" s="574"/>
      <c r="THT753" s="574"/>
      <c r="THU753" s="574"/>
      <c r="THV753" s="574"/>
      <c r="THW753" s="574"/>
      <c r="THX753" s="574"/>
      <c r="THY753" s="574"/>
      <c r="THZ753" s="574"/>
      <c r="TIA753" s="574"/>
      <c r="TIB753" s="574"/>
      <c r="TIC753" s="574"/>
      <c r="TID753" s="574"/>
      <c r="TIE753" s="574"/>
      <c r="TIF753" s="574"/>
      <c r="TIG753" s="574"/>
      <c r="TIH753" s="574"/>
      <c r="TII753" s="574"/>
      <c r="TIJ753" s="574"/>
      <c r="TIK753" s="574"/>
      <c r="TIL753" s="574"/>
      <c r="TIM753" s="574"/>
      <c r="TIN753" s="574"/>
      <c r="TIO753" s="574"/>
      <c r="TIP753" s="574"/>
      <c r="TIQ753" s="574"/>
      <c r="TIR753" s="574"/>
      <c r="TIS753" s="574"/>
      <c r="TIT753" s="574"/>
      <c r="TIU753" s="574"/>
      <c r="TIV753" s="574"/>
      <c r="TIW753" s="574"/>
      <c r="TIX753" s="574"/>
      <c r="TIY753" s="574"/>
      <c r="TIZ753" s="574"/>
      <c r="TJA753" s="574"/>
      <c r="TJB753" s="574"/>
      <c r="TJC753" s="574"/>
      <c r="TJD753" s="574"/>
      <c r="TJE753" s="574"/>
      <c r="TJF753" s="574"/>
      <c r="TJG753" s="574"/>
      <c r="TJH753" s="574"/>
      <c r="TJI753" s="574"/>
      <c r="TJJ753" s="574"/>
      <c r="TJK753" s="574"/>
      <c r="TJL753" s="574"/>
      <c r="TJM753" s="574"/>
      <c r="TJN753" s="574"/>
      <c r="TJO753" s="574"/>
      <c r="TJP753" s="574"/>
      <c r="TJQ753" s="574"/>
      <c r="TJR753" s="574"/>
      <c r="TJS753" s="574"/>
      <c r="TJT753" s="574"/>
      <c r="TJU753" s="574"/>
      <c r="TJV753" s="574"/>
      <c r="TJW753" s="574"/>
      <c r="TJX753" s="574"/>
      <c r="TJY753" s="574"/>
      <c r="TJZ753" s="574"/>
      <c r="TKA753" s="574"/>
      <c r="TKB753" s="574"/>
      <c r="TKC753" s="574"/>
      <c r="TKD753" s="574"/>
      <c r="TKE753" s="574"/>
      <c r="TKF753" s="574"/>
      <c r="TKG753" s="574"/>
      <c r="TKH753" s="574"/>
      <c r="TKI753" s="574"/>
      <c r="TKJ753" s="574"/>
      <c r="TKK753" s="574"/>
      <c r="TKL753" s="574"/>
      <c r="TKM753" s="574"/>
      <c r="TKN753" s="574"/>
      <c r="TKO753" s="574"/>
      <c r="TKP753" s="574"/>
      <c r="TKQ753" s="574"/>
      <c r="TKR753" s="574"/>
      <c r="TKS753" s="574"/>
      <c r="TKT753" s="574"/>
      <c r="TKU753" s="574"/>
      <c r="TKV753" s="574"/>
      <c r="TKW753" s="574"/>
      <c r="TKX753" s="574"/>
      <c r="TKY753" s="574"/>
      <c r="TKZ753" s="574"/>
      <c r="TLA753" s="574"/>
      <c r="TLB753" s="574"/>
      <c r="TLC753" s="574"/>
      <c r="TLD753" s="574"/>
      <c r="TLE753" s="574"/>
      <c r="TLF753" s="574"/>
      <c r="TLG753" s="574"/>
      <c r="TLH753" s="574"/>
      <c r="TLI753" s="574"/>
      <c r="TLJ753" s="574"/>
      <c r="TLK753" s="574"/>
      <c r="TLL753" s="574"/>
      <c r="TLM753" s="574"/>
      <c r="TLN753" s="574"/>
      <c r="TLO753" s="574"/>
      <c r="TLP753" s="574"/>
      <c r="TLQ753" s="574"/>
      <c r="TLR753" s="574"/>
      <c r="TLS753" s="574"/>
      <c r="TLT753" s="574"/>
      <c r="TLU753" s="574"/>
      <c r="TLV753" s="574"/>
      <c r="TLW753" s="574"/>
      <c r="TLX753" s="574"/>
      <c r="TLY753" s="574"/>
      <c r="TLZ753" s="574"/>
      <c r="TMA753" s="574"/>
      <c r="TMB753" s="574"/>
      <c r="TMC753" s="574"/>
      <c r="TMD753" s="574"/>
      <c r="TME753" s="574"/>
      <c r="TMF753" s="574"/>
      <c r="TMG753" s="574"/>
      <c r="TMH753" s="574"/>
      <c r="TMI753" s="574"/>
      <c r="TMJ753" s="574"/>
      <c r="TMK753" s="574"/>
      <c r="TML753" s="574"/>
      <c r="TMM753" s="574"/>
      <c r="TMN753" s="574"/>
      <c r="TMO753" s="574"/>
      <c r="TMP753" s="574"/>
      <c r="TMQ753" s="574"/>
      <c r="TMR753" s="574"/>
      <c r="TMS753" s="574"/>
      <c r="TMT753" s="574"/>
      <c r="TMU753" s="574"/>
      <c r="TMV753" s="574"/>
      <c r="TMW753" s="574"/>
      <c r="TMX753" s="574"/>
      <c r="TMY753" s="574"/>
      <c r="TMZ753" s="574"/>
      <c r="TNA753" s="574"/>
      <c r="TNB753" s="574"/>
      <c r="TNC753" s="574"/>
      <c r="TND753" s="574"/>
      <c r="TNE753" s="574"/>
      <c r="TNF753" s="574"/>
      <c r="TNG753" s="574"/>
      <c r="TNH753" s="574"/>
      <c r="TNI753" s="574"/>
      <c r="TNJ753" s="574"/>
      <c r="TNK753" s="574"/>
      <c r="TNL753" s="574"/>
      <c r="TNM753" s="574"/>
      <c r="TNN753" s="574"/>
      <c r="TNO753" s="574"/>
      <c r="TNP753" s="574"/>
      <c r="TNQ753" s="574"/>
      <c r="TNR753" s="574"/>
      <c r="TNS753" s="574"/>
      <c r="TNT753" s="574"/>
      <c r="TNU753" s="574"/>
      <c r="TNV753" s="574"/>
      <c r="TNW753" s="574"/>
      <c r="TNX753" s="574"/>
      <c r="TNY753" s="574"/>
      <c r="TNZ753" s="574"/>
      <c r="TOA753" s="574"/>
      <c r="TOB753" s="574"/>
      <c r="TOC753" s="574"/>
      <c r="TOD753" s="574"/>
      <c r="TOE753" s="574"/>
      <c r="TOF753" s="574"/>
      <c r="TOG753" s="574"/>
      <c r="TOH753" s="574"/>
      <c r="TOI753" s="574"/>
      <c r="TOJ753" s="574"/>
      <c r="TOK753" s="574"/>
      <c r="TOL753" s="574"/>
      <c r="TOM753" s="574"/>
      <c r="TON753" s="574"/>
      <c r="TOO753" s="574"/>
      <c r="TOP753" s="574"/>
      <c r="TOQ753" s="574"/>
      <c r="TOR753" s="574"/>
      <c r="TOS753" s="574"/>
      <c r="TOT753" s="574"/>
      <c r="TOU753" s="574"/>
      <c r="TOV753" s="574"/>
      <c r="TOW753" s="574"/>
      <c r="TOX753" s="574"/>
      <c r="TOY753" s="574"/>
      <c r="TOZ753" s="574"/>
      <c r="TPA753" s="574"/>
      <c r="TPB753" s="574"/>
      <c r="TPC753" s="574"/>
      <c r="TPD753" s="574"/>
      <c r="TPE753" s="574"/>
      <c r="TPF753" s="574"/>
      <c r="TPG753" s="574"/>
      <c r="TPH753" s="574"/>
      <c r="TPI753" s="574"/>
      <c r="TPJ753" s="574"/>
      <c r="TPK753" s="574"/>
      <c r="TPL753" s="574"/>
      <c r="TPM753" s="574"/>
      <c r="TPN753" s="574"/>
      <c r="TPO753" s="574"/>
      <c r="TPP753" s="574"/>
      <c r="TPQ753" s="574"/>
      <c r="TPR753" s="574"/>
      <c r="TPS753" s="574"/>
      <c r="TPT753" s="574"/>
      <c r="TPU753" s="574"/>
      <c r="TPV753" s="574"/>
      <c r="TPW753" s="574"/>
      <c r="TPX753" s="574"/>
      <c r="TPY753" s="574"/>
      <c r="TPZ753" s="574"/>
      <c r="TQA753" s="574"/>
      <c r="TQB753" s="574"/>
      <c r="TQC753" s="574"/>
      <c r="TQD753" s="574"/>
      <c r="TQE753" s="574"/>
      <c r="TQF753" s="574"/>
      <c r="TQG753" s="574"/>
      <c r="TQH753" s="574"/>
      <c r="TQI753" s="574"/>
      <c r="TQJ753" s="574"/>
      <c r="TQK753" s="574"/>
      <c r="TQL753" s="574"/>
      <c r="TQM753" s="574"/>
      <c r="TQN753" s="574"/>
      <c r="TQO753" s="574"/>
      <c r="TQP753" s="574"/>
      <c r="TQQ753" s="574"/>
      <c r="TQR753" s="574"/>
      <c r="TQS753" s="574"/>
      <c r="TQT753" s="574"/>
      <c r="TQU753" s="574"/>
      <c r="TQV753" s="574"/>
      <c r="TQW753" s="574"/>
      <c r="TQX753" s="574"/>
      <c r="TQY753" s="574"/>
      <c r="TQZ753" s="574"/>
      <c r="TRA753" s="574"/>
      <c r="TRB753" s="574"/>
      <c r="TRC753" s="574"/>
      <c r="TRD753" s="574"/>
      <c r="TRE753" s="574"/>
      <c r="TRF753" s="574"/>
      <c r="TRG753" s="574"/>
      <c r="TRH753" s="574"/>
      <c r="TRI753" s="574"/>
      <c r="TRJ753" s="574"/>
      <c r="TRK753" s="574"/>
      <c r="TRL753" s="574"/>
      <c r="TRM753" s="574"/>
      <c r="TRN753" s="574"/>
      <c r="TRO753" s="574"/>
      <c r="TRP753" s="574"/>
      <c r="TRQ753" s="574"/>
      <c r="TRR753" s="574"/>
      <c r="TRS753" s="574"/>
      <c r="TRT753" s="574"/>
      <c r="TRU753" s="574"/>
      <c r="TRV753" s="574"/>
      <c r="TRW753" s="574"/>
      <c r="TRX753" s="574"/>
      <c r="TRY753" s="574"/>
      <c r="TRZ753" s="574"/>
      <c r="TSA753" s="574"/>
      <c r="TSB753" s="574"/>
      <c r="TSC753" s="574"/>
      <c r="TSD753" s="574"/>
      <c r="TSE753" s="574"/>
      <c r="TSF753" s="574"/>
      <c r="TSG753" s="574"/>
      <c r="TSH753" s="574"/>
      <c r="TSI753" s="574"/>
      <c r="TSJ753" s="574"/>
      <c r="TSK753" s="574"/>
      <c r="TSL753" s="574"/>
      <c r="TSM753" s="574"/>
      <c r="TSN753" s="574"/>
      <c r="TSO753" s="574"/>
      <c r="TSP753" s="574"/>
      <c r="TSQ753" s="574"/>
      <c r="TSR753" s="574"/>
      <c r="TSS753" s="574"/>
      <c r="TST753" s="574"/>
      <c r="TSU753" s="574"/>
      <c r="TSV753" s="574"/>
      <c r="TSW753" s="574"/>
      <c r="TSX753" s="574"/>
      <c r="TSY753" s="574"/>
      <c r="TSZ753" s="574"/>
      <c r="TTA753" s="574"/>
      <c r="TTB753" s="574"/>
      <c r="TTC753" s="574"/>
      <c r="TTD753" s="574"/>
      <c r="TTE753" s="574"/>
      <c r="TTF753" s="574"/>
      <c r="TTG753" s="574"/>
      <c r="TTH753" s="574"/>
      <c r="TTI753" s="574"/>
      <c r="TTJ753" s="574"/>
      <c r="TTK753" s="574"/>
      <c r="TTL753" s="574"/>
      <c r="TTM753" s="574"/>
      <c r="TTN753" s="574"/>
      <c r="TTO753" s="574"/>
      <c r="TTP753" s="574"/>
      <c r="TTQ753" s="574"/>
      <c r="TTR753" s="574"/>
      <c r="TTS753" s="574"/>
      <c r="TTT753" s="574"/>
      <c r="TTU753" s="574"/>
      <c r="TTV753" s="574"/>
      <c r="TTW753" s="574"/>
      <c r="TTX753" s="574"/>
      <c r="TTY753" s="574"/>
      <c r="TTZ753" s="574"/>
      <c r="TUA753" s="574"/>
      <c r="TUB753" s="574"/>
      <c r="TUC753" s="574"/>
      <c r="TUD753" s="574"/>
      <c r="TUE753" s="574"/>
      <c r="TUF753" s="574"/>
      <c r="TUG753" s="574"/>
      <c r="TUH753" s="574"/>
      <c r="TUI753" s="574"/>
      <c r="TUJ753" s="574"/>
      <c r="TUK753" s="574"/>
      <c r="TUL753" s="574"/>
      <c r="TUM753" s="574"/>
      <c r="TUN753" s="574"/>
      <c r="TUO753" s="574"/>
      <c r="TUP753" s="574"/>
      <c r="TUQ753" s="574"/>
      <c r="TUR753" s="574"/>
      <c r="TUS753" s="574"/>
      <c r="TUT753" s="574"/>
      <c r="TUU753" s="574"/>
      <c r="TUV753" s="574"/>
      <c r="TUW753" s="574"/>
      <c r="TUX753" s="574"/>
      <c r="TUY753" s="574"/>
      <c r="TUZ753" s="574"/>
      <c r="TVA753" s="574"/>
      <c r="TVB753" s="574"/>
      <c r="TVC753" s="574"/>
      <c r="TVD753" s="574"/>
      <c r="TVE753" s="574"/>
      <c r="TVF753" s="574"/>
      <c r="TVG753" s="574"/>
      <c r="TVH753" s="574"/>
      <c r="TVI753" s="574"/>
      <c r="TVJ753" s="574"/>
      <c r="TVK753" s="574"/>
      <c r="TVL753" s="574"/>
      <c r="TVM753" s="574"/>
      <c r="TVN753" s="574"/>
      <c r="TVO753" s="574"/>
      <c r="TVP753" s="574"/>
      <c r="TVQ753" s="574"/>
      <c r="TVR753" s="574"/>
      <c r="TVS753" s="574"/>
      <c r="TVT753" s="574"/>
      <c r="TVU753" s="574"/>
      <c r="TVV753" s="574"/>
      <c r="TVW753" s="574"/>
      <c r="TVX753" s="574"/>
      <c r="TVY753" s="574"/>
      <c r="TVZ753" s="574"/>
      <c r="TWA753" s="574"/>
      <c r="TWB753" s="574"/>
      <c r="TWC753" s="574"/>
      <c r="TWD753" s="574"/>
      <c r="TWE753" s="574"/>
      <c r="TWF753" s="574"/>
      <c r="TWG753" s="574"/>
      <c r="TWH753" s="574"/>
      <c r="TWI753" s="574"/>
      <c r="TWJ753" s="574"/>
      <c r="TWK753" s="574"/>
      <c r="TWL753" s="574"/>
      <c r="TWM753" s="574"/>
      <c r="TWN753" s="574"/>
      <c r="TWO753" s="574"/>
      <c r="TWP753" s="574"/>
      <c r="TWQ753" s="574"/>
      <c r="TWR753" s="574"/>
      <c r="TWS753" s="574"/>
      <c r="TWT753" s="574"/>
      <c r="TWU753" s="574"/>
      <c r="TWV753" s="574"/>
      <c r="TWW753" s="574"/>
      <c r="TWX753" s="574"/>
      <c r="TWY753" s="574"/>
      <c r="TWZ753" s="574"/>
      <c r="TXA753" s="574"/>
      <c r="TXB753" s="574"/>
      <c r="TXC753" s="574"/>
      <c r="TXD753" s="574"/>
      <c r="TXE753" s="574"/>
      <c r="TXF753" s="574"/>
      <c r="TXG753" s="574"/>
      <c r="TXH753" s="574"/>
      <c r="TXI753" s="574"/>
      <c r="TXJ753" s="574"/>
      <c r="TXK753" s="574"/>
      <c r="TXL753" s="574"/>
      <c r="TXM753" s="574"/>
      <c r="TXN753" s="574"/>
      <c r="TXO753" s="574"/>
      <c r="TXP753" s="574"/>
      <c r="TXQ753" s="574"/>
      <c r="TXR753" s="574"/>
      <c r="TXS753" s="574"/>
      <c r="TXT753" s="574"/>
      <c r="TXU753" s="574"/>
      <c r="TXV753" s="574"/>
      <c r="TXW753" s="574"/>
      <c r="TXX753" s="574"/>
      <c r="TXY753" s="574"/>
      <c r="TXZ753" s="574"/>
      <c r="TYA753" s="574"/>
      <c r="TYB753" s="574"/>
      <c r="TYC753" s="574"/>
      <c r="TYD753" s="574"/>
      <c r="TYE753" s="574"/>
      <c r="TYF753" s="574"/>
      <c r="TYG753" s="574"/>
      <c r="TYH753" s="574"/>
      <c r="TYI753" s="574"/>
      <c r="TYJ753" s="574"/>
      <c r="TYK753" s="574"/>
      <c r="TYL753" s="574"/>
      <c r="TYM753" s="574"/>
      <c r="TYN753" s="574"/>
      <c r="TYO753" s="574"/>
      <c r="TYP753" s="574"/>
      <c r="TYQ753" s="574"/>
      <c r="TYR753" s="574"/>
      <c r="TYS753" s="574"/>
      <c r="TYT753" s="574"/>
      <c r="TYU753" s="574"/>
      <c r="TYV753" s="574"/>
      <c r="TYW753" s="574"/>
      <c r="TYX753" s="574"/>
      <c r="TYY753" s="574"/>
      <c r="TYZ753" s="574"/>
      <c r="TZA753" s="574"/>
      <c r="TZB753" s="574"/>
      <c r="TZC753" s="574"/>
      <c r="TZD753" s="574"/>
      <c r="TZE753" s="574"/>
      <c r="TZF753" s="574"/>
      <c r="TZG753" s="574"/>
      <c r="TZH753" s="574"/>
      <c r="TZI753" s="574"/>
      <c r="TZJ753" s="574"/>
      <c r="TZK753" s="574"/>
      <c r="TZL753" s="574"/>
      <c r="TZM753" s="574"/>
      <c r="TZN753" s="574"/>
      <c r="TZO753" s="574"/>
      <c r="TZP753" s="574"/>
      <c r="TZQ753" s="574"/>
      <c r="TZR753" s="574"/>
      <c r="TZS753" s="574"/>
      <c r="TZT753" s="574"/>
      <c r="TZU753" s="574"/>
      <c r="TZV753" s="574"/>
      <c r="TZW753" s="574"/>
      <c r="TZX753" s="574"/>
      <c r="TZY753" s="574"/>
      <c r="TZZ753" s="574"/>
      <c r="UAA753" s="574"/>
      <c r="UAB753" s="574"/>
      <c r="UAC753" s="574"/>
      <c r="UAD753" s="574"/>
      <c r="UAE753" s="574"/>
      <c r="UAF753" s="574"/>
      <c r="UAG753" s="574"/>
      <c r="UAH753" s="574"/>
      <c r="UAI753" s="574"/>
      <c r="UAJ753" s="574"/>
      <c r="UAK753" s="574"/>
      <c r="UAL753" s="574"/>
      <c r="UAM753" s="574"/>
      <c r="UAN753" s="574"/>
      <c r="UAO753" s="574"/>
      <c r="UAP753" s="574"/>
      <c r="UAQ753" s="574"/>
      <c r="UAR753" s="574"/>
      <c r="UAS753" s="574"/>
      <c r="UAT753" s="574"/>
      <c r="UAU753" s="574"/>
      <c r="UAV753" s="574"/>
      <c r="UAW753" s="574"/>
      <c r="UAX753" s="574"/>
      <c r="UAY753" s="574"/>
      <c r="UAZ753" s="574"/>
      <c r="UBA753" s="574"/>
      <c r="UBB753" s="574"/>
      <c r="UBC753" s="574"/>
      <c r="UBD753" s="574"/>
      <c r="UBE753" s="574"/>
      <c r="UBF753" s="574"/>
      <c r="UBG753" s="574"/>
      <c r="UBH753" s="574"/>
      <c r="UBI753" s="574"/>
      <c r="UBJ753" s="574"/>
      <c r="UBK753" s="574"/>
      <c r="UBL753" s="574"/>
      <c r="UBM753" s="574"/>
      <c r="UBN753" s="574"/>
      <c r="UBO753" s="574"/>
      <c r="UBP753" s="574"/>
      <c r="UBQ753" s="574"/>
      <c r="UBR753" s="574"/>
      <c r="UBS753" s="574"/>
      <c r="UBT753" s="574"/>
      <c r="UBU753" s="574"/>
      <c r="UBV753" s="574"/>
      <c r="UBW753" s="574"/>
      <c r="UBX753" s="574"/>
      <c r="UBY753" s="574"/>
      <c r="UBZ753" s="574"/>
      <c r="UCA753" s="574"/>
      <c r="UCB753" s="574"/>
      <c r="UCC753" s="574"/>
      <c r="UCD753" s="574"/>
      <c r="UCE753" s="574"/>
      <c r="UCF753" s="574"/>
      <c r="UCG753" s="574"/>
      <c r="UCH753" s="574"/>
      <c r="UCI753" s="574"/>
      <c r="UCJ753" s="574"/>
      <c r="UCK753" s="574"/>
      <c r="UCL753" s="574"/>
      <c r="UCM753" s="574"/>
      <c r="UCN753" s="574"/>
      <c r="UCO753" s="574"/>
      <c r="UCP753" s="574"/>
      <c r="UCQ753" s="574"/>
      <c r="UCR753" s="574"/>
      <c r="UCS753" s="574"/>
      <c r="UCT753" s="574"/>
      <c r="UCU753" s="574"/>
      <c r="UCV753" s="574"/>
      <c r="UCW753" s="574"/>
      <c r="UCX753" s="574"/>
      <c r="UCY753" s="574"/>
      <c r="UCZ753" s="574"/>
      <c r="UDA753" s="574"/>
      <c r="UDB753" s="574"/>
      <c r="UDC753" s="574"/>
      <c r="UDD753" s="574"/>
      <c r="UDE753" s="574"/>
      <c r="UDF753" s="574"/>
      <c r="UDG753" s="574"/>
      <c r="UDH753" s="574"/>
      <c r="UDI753" s="574"/>
      <c r="UDJ753" s="574"/>
      <c r="UDK753" s="574"/>
      <c r="UDL753" s="574"/>
      <c r="UDM753" s="574"/>
      <c r="UDN753" s="574"/>
      <c r="UDO753" s="574"/>
      <c r="UDP753" s="574"/>
      <c r="UDQ753" s="574"/>
      <c r="UDR753" s="574"/>
      <c r="UDS753" s="574"/>
      <c r="UDT753" s="574"/>
      <c r="UDU753" s="574"/>
      <c r="UDV753" s="574"/>
      <c r="UDW753" s="574"/>
      <c r="UDX753" s="574"/>
      <c r="UDY753" s="574"/>
      <c r="UDZ753" s="574"/>
      <c r="UEA753" s="574"/>
      <c r="UEB753" s="574"/>
      <c r="UEC753" s="574"/>
      <c r="UED753" s="574"/>
      <c r="UEE753" s="574"/>
      <c r="UEF753" s="574"/>
      <c r="UEG753" s="574"/>
      <c r="UEH753" s="574"/>
      <c r="UEI753" s="574"/>
      <c r="UEJ753" s="574"/>
      <c r="UEK753" s="574"/>
      <c r="UEL753" s="574"/>
      <c r="UEM753" s="574"/>
      <c r="UEN753" s="574"/>
      <c r="UEO753" s="574"/>
      <c r="UEP753" s="574"/>
      <c r="UEQ753" s="574"/>
      <c r="UER753" s="574"/>
      <c r="UES753" s="574"/>
      <c r="UET753" s="574"/>
      <c r="UEU753" s="574"/>
      <c r="UEV753" s="574"/>
      <c r="UEW753" s="574"/>
      <c r="UEX753" s="574"/>
      <c r="UEY753" s="574"/>
      <c r="UEZ753" s="574"/>
      <c r="UFA753" s="574"/>
      <c r="UFB753" s="574"/>
      <c r="UFC753" s="574"/>
      <c r="UFD753" s="574"/>
      <c r="UFE753" s="574"/>
      <c r="UFF753" s="574"/>
      <c r="UFG753" s="574"/>
      <c r="UFH753" s="574"/>
      <c r="UFI753" s="574"/>
      <c r="UFJ753" s="574"/>
      <c r="UFK753" s="574"/>
      <c r="UFL753" s="574"/>
      <c r="UFM753" s="574"/>
      <c r="UFN753" s="574"/>
      <c r="UFO753" s="574"/>
      <c r="UFP753" s="574"/>
      <c r="UFQ753" s="574"/>
      <c r="UFR753" s="574"/>
      <c r="UFS753" s="574"/>
      <c r="UFT753" s="574"/>
      <c r="UFU753" s="574"/>
      <c r="UFV753" s="574"/>
      <c r="UFW753" s="574"/>
      <c r="UFX753" s="574"/>
      <c r="UFY753" s="574"/>
      <c r="UFZ753" s="574"/>
      <c r="UGA753" s="574"/>
      <c r="UGB753" s="574"/>
      <c r="UGC753" s="574"/>
      <c r="UGD753" s="574"/>
      <c r="UGE753" s="574"/>
      <c r="UGF753" s="574"/>
      <c r="UGG753" s="574"/>
      <c r="UGH753" s="574"/>
      <c r="UGI753" s="574"/>
      <c r="UGJ753" s="574"/>
      <c r="UGK753" s="574"/>
      <c r="UGL753" s="574"/>
      <c r="UGM753" s="574"/>
      <c r="UGN753" s="574"/>
      <c r="UGO753" s="574"/>
      <c r="UGP753" s="574"/>
      <c r="UGQ753" s="574"/>
      <c r="UGR753" s="574"/>
      <c r="UGS753" s="574"/>
      <c r="UGT753" s="574"/>
      <c r="UGU753" s="574"/>
      <c r="UGV753" s="574"/>
      <c r="UGW753" s="574"/>
      <c r="UGX753" s="574"/>
      <c r="UGY753" s="574"/>
      <c r="UGZ753" s="574"/>
      <c r="UHA753" s="574"/>
      <c r="UHB753" s="574"/>
      <c r="UHC753" s="574"/>
      <c r="UHD753" s="574"/>
      <c r="UHE753" s="574"/>
      <c r="UHF753" s="574"/>
      <c r="UHG753" s="574"/>
      <c r="UHH753" s="574"/>
      <c r="UHI753" s="574"/>
      <c r="UHJ753" s="574"/>
      <c r="UHK753" s="574"/>
      <c r="UHL753" s="574"/>
      <c r="UHM753" s="574"/>
      <c r="UHN753" s="574"/>
      <c r="UHO753" s="574"/>
      <c r="UHP753" s="574"/>
      <c r="UHQ753" s="574"/>
      <c r="UHR753" s="574"/>
      <c r="UHS753" s="574"/>
      <c r="UHT753" s="574"/>
      <c r="UHU753" s="574"/>
      <c r="UHV753" s="574"/>
      <c r="UHW753" s="574"/>
      <c r="UHX753" s="574"/>
      <c r="UHY753" s="574"/>
      <c r="UHZ753" s="574"/>
      <c r="UIA753" s="574"/>
      <c r="UIB753" s="574"/>
      <c r="UIC753" s="574"/>
      <c r="UID753" s="574"/>
      <c r="UIE753" s="574"/>
      <c r="UIF753" s="574"/>
      <c r="UIG753" s="574"/>
      <c r="UIH753" s="574"/>
      <c r="UII753" s="574"/>
      <c r="UIJ753" s="574"/>
      <c r="UIK753" s="574"/>
      <c r="UIL753" s="574"/>
      <c r="UIM753" s="574"/>
      <c r="UIN753" s="574"/>
      <c r="UIO753" s="574"/>
      <c r="UIP753" s="574"/>
      <c r="UIQ753" s="574"/>
      <c r="UIR753" s="574"/>
      <c r="UIS753" s="574"/>
      <c r="UIT753" s="574"/>
      <c r="UIU753" s="574"/>
      <c r="UIV753" s="574"/>
      <c r="UIW753" s="574"/>
      <c r="UIX753" s="574"/>
      <c r="UIY753" s="574"/>
      <c r="UIZ753" s="574"/>
      <c r="UJA753" s="574"/>
      <c r="UJB753" s="574"/>
      <c r="UJC753" s="574"/>
      <c r="UJD753" s="574"/>
      <c r="UJE753" s="574"/>
      <c r="UJF753" s="574"/>
      <c r="UJG753" s="574"/>
      <c r="UJH753" s="574"/>
      <c r="UJI753" s="574"/>
      <c r="UJJ753" s="574"/>
      <c r="UJK753" s="574"/>
      <c r="UJL753" s="574"/>
      <c r="UJM753" s="574"/>
      <c r="UJN753" s="574"/>
      <c r="UJO753" s="574"/>
      <c r="UJP753" s="574"/>
      <c r="UJQ753" s="574"/>
      <c r="UJR753" s="574"/>
      <c r="UJS753" s="574"/>
      <c r="UJT753" s="574"/>
      <c r="UJU753" s="574"/>
      <c r="UJV753" s="574"/>
      <c r="UJW753" s="574"/>
      <c r="UJX753" s="574"/>
      <c r="UJY753" s="574"/>
      <c r="UJZ753" s="574"/>
      <c r="UKA753" s="574"/>
      <c r="UKB753" s="574"/>
      <c r="UKC753" s="574"/>
      <c r="UKD753" s="574"/>
      <c r="UKE753" s="574"/>
      <c r="UKF753" s="574"/>
      <c r="UKG753" s="574"/>
      <c r="UKH753" s="574"/>
      <c r="UKI753" s="574"/>
      <c r="UKJ753" s="574"/>
      <c r="UKK753" s="574"/>
      <c r="UKL753" s="574"/>
      <c r="UKM753" s="574"/>
      <c r="UKN753" s="574"/>
      <c r="UKO753" s="574"/>
      <c r="UKP753" s="574"/>
      <c r="UKQ753" s="574"/>
      <c r="UKR753" s="574"/>
      <c r="UKS753" s="574"/>
      <c r="UKT753" s="574"/>
      <c r="UKU753" s="574"/>
      <c r="UKV753" s="574"/>
      <c r="UKW753" s="574"/>
      <c r="UKX753" s="574"/>
      <c r="UKY753" s="574"/>
      <c r="UKZ753" s="574"/>
      <c r="ULA753" s="574"/>
      <c r="ULB753" s="574"/>
      <c r="ULC753" s="574"/>
      <c r="ULD753" s="574"/>
      <c r="ULE753" s="574"/>
      <c r="ULF753" s="574"/>
      <c r="ULG753" s="574"/>
      <c r="ULH753" s="574"/>
      <c r="ULI753" s="574"/>
      <c r="ULJ753" s="574"/>
      <c r="ULK753" s="574"/>
      <c r="ULL753" s="574"/>
      <c r="ULM753" s="574"/>
      <c r="ULN753" s="574"/>
      <c r="ULO753" s="574"/>
      <c r="ULP753" s="574"/>
      <c r="ULQ753" s="574"/>
      <c r="ULR753" s="574"/>
      <c r="ULS753" s="574"/>
      <c r="ULT753" s="574"/>
      <c r="ULU753" s="574"/>
      <c r="ULV753" s="574"/>
      <c r="ULW753" s="574"/>
      <c r="ULX753" s="574"/>
      <c r="ULY753" s="574"/>
      <c r="ULZ753" s="574"/>
      <c r="UMA753" s="574"/>
      <c r="UMB753" s="574"/>
      <c r="UMC753" s="574"/>
      <c r="UMD753" s="574"/>
      <c r="UME753" s="574"/>
      <c r="UMF753" s="574"/>
      <c r="UMG753" s="574"/>
      <c r="UMH753" s="574"/>
      <c r="UMI753" s="574"/>
      <c r="UMJ753" s="574"/>
      <c r="UMK753" s="574"/>
      <c r="UML753" s="574"/>
      <c r="UMM753" s="574"/>
      <c r="UMN753" s="574"/>
      <c r="UMO753" s="574"/>
      <c r="UMP753" s="574"/>
      <c r="UMQ753" s="574"/>
      <c r="UMR753" s="574"/>
      <c r="UMS753" s="574"/>
      <c r="UMT753" s="574"/>
      <c r="UMU753" s="574"/>
      <c r="UMV753" s="574"/>
      <c r="UMW753" s="574"/>
      <c r="UMX753" s="574"/>
      <c r="UMY753" s="574"/>
      <c r="UMZ753" s="574"/>
      <c r="UNA753" s="574"/>
      <c r="UNB753" s="574"/>
      <c r="UNC753" s="574"/>
      <c r="UND753" s="574"/>
      <c r="UNE753" s="574"/>
      <c r="UNF753" s="574"/>
      <c r="UNG753" s="574"/>
      <c r="UNH753" s="574"/>
      <c r="UNI753" s="574"/>
      <c r="UNJ753" s="574"/>
      <c r="UNK753" s="574"/>
      <c r="UNL753" s="574"/>
      <c r="UNM753" s="574"/>
      <c r="UNN753" s="574"/>
      <c r="UNO753" s="574"/>
      <c r="UNP753" s="574"/>
      <c r="UNQ753" s="574"/>
      <c r="UNR753" s="574"/>
      <c r="UNS753" s="574"/>
      <c r="UNT753" s="574"/>
      <c r="UNU753" s="574"/>
      <c r="UNV753" s="574"/>
      <c r="UNW753" s="574"/>
      <c r="UNX753" s="574"/>
      <c r="UNY753" s="574"/>
      <c r="UNZ753" s="574"/>
      <c r="UOA753" s="574"/>
      <c r="UOB753" s="574"/>
      <c r="UOC753" s="574"/>
      <c r="UOD753" s="574"/>
      <c r="UOE753" s="574"/>
      <c r="UOF753" s="574"/>
      <c r="UOG753" s="574"/>
      <c r="UOH753" s="574"/>
      <c r="UOI753" s="574"/>
      <c r="UOJ753" s="574"/>
      <c r="UOK753" s="574"/>
      <c r="UOL753" s="574"/>
      <c r="UOM753" s="574"/>
      <c r="UON753" s="574"/>
      <c r="UOO753" s="574"/>
      <c r="UOP753" s="574"/>
      <c r="UOQ753" s="574"/>
      <c r="UOR753" s="574"/>
      <c r="UOS753" s="574"/>
      <c r="UOT753" s="574"/>
      <c r="UOU753" s="574"/>
      <c r="UOV753" s="574"/>
      <c r="UOW753" s="574"/>
      <c r="UOX753" s="574"/>
      <c r="UOY753" s="574"/>
      <c r="UOZ753" s="574"/>
      <c r="UPA753" s="574"/>
      <c r="UPB753" s="574"/>
      <c r="UPC753" s="574"/>
      <c r="UPD753" s="574"/>
      <c r="UPE753" s="574"/>
      <c r="UPF753" s="574"/>
      <c r="UPG753" s="574"/>
      <c r="UPH753" s="574"/>
      <c r="UPI753" s="574"/>
      <c r="UPJ753" s="574"/>
      <c r="UPK753" s="574"/>
      <c r="UPL753" s="574"/>
      <c r="UPM753" s="574"/>
      <c r="UPN753" s="574"/>
      <c r="UPO753" s="574"/>
      <c r="UPP753" s="574"/>
      <c r="UPQ753" s="574"/>
      <c r="UPR753" s="574"/>
      <c r="UPS753" s="574"/>
      <c r="UPT753" s="574"/>
      <c r="UPU753" s="574"/>
      <c r="UPV753" s="574"/>
      <c r="UPW753" s="574"/>
      <c r="UPX753" s="574"/>
      <c r="UPY753" s="574"/>
      <c r="UPZ753" s="574"/>
      <c r="UQA753" s="574"/>
      <c r="UQB753" s="574"/>
      <c r="UQC753" s="574"/>
      <c r="UQD753" s="574"/>
      <c r="UQE753" s="574"/>
      <c r="UQF753" s="574"/>
      <c r="UQG753" s="574"/>
      <c r="UQH753" s="574"/>
      <c r="UQI753" s="574"/>
      <c r="UQJ753" s="574"/>
      <c r="UQK753" s="574"/>
      <c r="UQL753" s="574"/>
      <c r="UQM753" s="574"/>
      <c r="UQN753" s="574"/>
      <c r="UQO753" s="574"/>
      <c r="UQP753" s="574"/>
      <c r="UQQ753" s="574"/>
      <c r="UQR753" s="574"/>
      <c r="UQS753" s="574"/>
      <c r="UQT753" s="574"/>
      <c r="UQU753" s="574"/>
      <c r="UQV753" s="574"/>
      <c r="UQW753" s="574"/>
      <c r="UQX753" s="574"/>
      <c r="UQY753" s="574"/>
      <c r="UQZ753" s="574"/>
      <c r="URA753" s="574"/>
      <c r="URB753" s="574"/>
      <c r="URC753" s="574"/>
      <c r="URD753" s="574"/>
      <c r="URE753" s="574"/>
      <c r="URF753" s="574"/>
      <c r="URG753" s="574"/>
      <c r="URH753" s="574"/>
      <c r="URI753" s="574"/>
      <c r="URJ753" s="574"/>
      <c r="URK753" s="574"/>
      <c r="URL753" s="574"/>
      <c r="URM753" s="574"/>
      <c r="URN753" s="574"/>
      <c r="URO753" s="574"/>
      <c r="URP753" s="574"/>
      <c r="URQ753" s="574"/>
      <c r="URR753" s="574"/>
      <c r="URS753" s="574"/>
      <c r="URT753" s="574"/>
      <c r="URU753" s="574"/>
      <c r="URV753" s="574"/>
      <c r="URW753" s="574"/>
      <c r="URX753" s="574"/>
      <c r="URY753" s="574"/>
      <c r="URZ753" s="574"/>
      <c r="USA753" s="574"/>
      <c r="USB753" s="574"/>
      <c r="USC753" s="574"/>
      <c r="USD753" s="574"/>
      <c r="USE753" s="574"/>
      <c r="USF753" s="574"/>
      <c r="USG753" s="574"/>
      <c r="USH753" s="574"/>
      <c r="USI753" s="574"/>
      <c r="USJ753" s="574"/>
      <c r="USK753" s="574"/>
      <c r="USL753" s="574"/>
      <c r="USM753" s="574"/>
      <c r="USN753" s="574"/>
      <c r="USO753" s="574"/>
      <c r="USP753" s="574"/>
      <c r="USQ753" s="574"/>
      <c r="USR753" s="574"/>
      <c r="USS753" s="574"/>
      <c r="UST753" s="574"/>
      <c r="USU753" s="574"/>
      <c r="USV753" s="574"/>
      <c r="USW753" s="574"/>
      <c r="USX753" s="574"/>
      <c r="USY753" s="574"/>
      <c r="USZ753" s="574"/>
      <c r="UTA753" s="574"/>
      <c r="UTB753" s="574"/>
      <c r="UTC753" s="574"/>
      <c r="UTD753" s="574"/>
      <c r="UTE753" s="574"/>
      <c r="UTF753" s="574"/>
      <c r="UTG753" s="574"/>
      <c r="UTH753" s="574"/>
      <c r="UTI753" s="574"/>
      <c r="UTJ753" s="574"/>
      <c r="UTK753" s="574"/>
      <c r="UTL753" s="574"/>
      <c r="UTM753" s="574"/>
      <c r="UTN753" s="574"/>
      <c r="UTO753" s="574"/>
      <c r="UTP753" s="574"/>
      <c r="UTQ753" s="574"/>
      <c r="UTR753" s="574"/>
      <c r="UTS753" s="574"/>
      <c r="UTT753" s="574"/>
      <c r="UTU753" s="574"/>
      <c r="UTV753" s="574"/>
      <c r="UTW753" s="574"/>
      <c r="UTX753" s="574"/>
      <c r="UTY753" s="574"/>
      <c r="UTZ753" s="574"/>
      <c r="UUA753" s="574"/>
      <c r="UUB753" s="574"/>
      <c r="UUC753" s="574"/>
      <c r="UUD753" s="574"/>
      <c r="UUE753" s="574"/>
      <c r="UUF753" s="574"/>
      <c r="UUG753" s="574"/>
      <c r="UUH753" s="574"/>
      <c r="UUI753" s="574"/>
      <c r="UUJ753" s="574"/>
      <c r="UUK753" s="574"/>
      <c r="UUL753" s="574"/>
      <c r="UUM753" s="574"/>
      <c r="UUN753" s="574"/>
      <c r="UUO753" s="574"/>
      <c r="UUP753" s="574"/>
      <c r="UUQ753" s="574"/>
      <c r="UUR753" s="574"/>
      <c r="UUS753" s="574"/>
      <c r="UUT753" s="574"/>
      <c r="UUU753" s="574"/>
      <c r="UUV753" s="574"/>
      <c r="UUW753" s="574"/>
      <c r="UUX753" s="574"/>
      <c r="UUY753" s="574"/>
      <c r="UUZ753" s="574"/>
      <c r="UVA753" s="574"/>
      <c r="UVB753" s="574"/>
      <c r="UVC753" s="574"/>
      <c r="UVD753" s="574"/>
      <c r="UVE753" s="574"/>
      <c r="UVF753" s="574"/>
      <c r="UVG753" s="574"/>
      <c r="UVH753" s="574"/>
      <c r="UVI753" s="574"/>
      <c r="UVJ753" s="574"/>
      <c r="UVK753" s="574"/>
      <c r="UVL753" s="574"/>
      <c r="UVM753" s="574"/>
      <c r="UVN753" s="574"/>
      <c r="UVO753" s="574"/>
      <c r="UVP753" s="574"/>
      <c r="UVQ753" s="574"/>
      <c r="UVR753" s="574"/>
      <c r="UVS753" s="574"/>
      <c r="UVT753" s="574"/>
      <c r="UVU753" s="574"/>
      <c r="UVV753" s="574"/>
      <c r="UVW753" s="574"/>
      <c r="UVX753" s="574"/>
      <c r="UVY753" s="574"/>
      <c r="UVZ753" s="574"/>
      <c r="UWA753" s="574"/>
      <c r="UWB753" s="574"/>
      <c r="UWC753" s="574"/>
      <c r="UWD753" s="574"/>
      <c r="UWE753" s="574"/>
      <c r="UWF753" s="574"/>
      <c r="UWG753" s="574"/>
      <c r="UWH753" s="574"/>
      <c r="UWI753" s="574"/>
      <c r="UWJ753" s="574"/>
      <c r="UWK753" s="574"/>
      <c r="UWL753" s="574"/>
      <c r="UWM753" s="574"/>
      <c r="UWN753" s="574"/>
      <c r="UWO753" s="574"/>
      <c r="UWP753" s="574"/>
      <c r="UWQ753" s="574"/>
      <c r="UWR753" s="574"/>
      <c r="UWS753" s="574"/>
      <c r="UWT753" s="574"/>
      <c r="UWU753" s="574"/>
      <c r="UWV753" s="574"/>
      <c r="UWW753" s="574"/>
      <c r="UWX753" s="574"/>
      <c r="UWY753" s="574"/>
      <c r="UWZ753" s="574"/>
      <c r="UXA753" s="574"/>
      <c r="UXB753" s="574"/>
      <c r="UXC753" s="574"/>
      <c r="UXD753" s="574"/>
      <c r="UXE753" s="574"/>
      <c r="UXF753" s="574"/>
      <c r="UXG753" s="574"/>
      <c r="UXH753" s="574"/>
      <c r="UXI753" s="574"/>
      <c r="UXJ753" s="574"/>
      <c r="UXK753" s="574"/>
      <c r="UXL753" s="574"/>
      <c r="UXM753" s="574"/>
      <c r="UXN753" s="574"/>
      <c r="UXO753" s="574"/>
      <c r="UXP753" s="574"/>
      <c r="UXQ753" s="574"/>
      <c r="UXR753" s="574"/>
      <c r="UXS753" s="574"/>
      <c r="UXT753" s="574"/>
      <c r="UXU753" s="574"/>
      <c r="UXV753" s="574"/>
      <c r="UXW753" s="574"/>
      <c r="UXX753" s="574"/>
      <c r="UXY753" s="574"/>
      <c r="UXZ753" s="574"/>
      <c r="UYA753" s="574"/>
      <c r="UYB753" s="574"/>
      <c r="UYC753" s="574"/>
      <c r="UYD753" s="574"/>
      <c r="UYE753" s="574"/>
      <c r="UYF753" s="574"/>
      <c r="UYG753" s="574"/>
      <c r="UYH753" s="574"/>
      <c r="UYI753" s="574"/>
      <c r="UYJ753" s="574"/>
      <c r="UYK753" s="574"/>
      <c r="UYL753" s="574"/>
      <c r="UYM753" s="574"/>
      <c r="UYN753" s="574"/>
      <c r="UYO753" s="574"/>
      <c r="UYP753" s="574"/>
      <c r="UYQ753" s="574"/>
      <c r="UYR753" s="574"/>
      <c r="UYS753" s="574"/>
      <c r="UYT753" s="574"/>
      <c r="UYU753" s="574"/>
      <c r="UYV753" s="574"/>
      <c r="UYW753" s="574"/>
      <c r="UYX753" s="574"/>
      <c r="UYY753" s="574"/>
      <c r="UYZ753" s="574"/>
      <c r="UZA753" s="574"/>
      <c r="UZB753" s="574"/>
      <c r="UZC753" s="574"/>
      <c r="UZD753" s="574"/>
      <c r="UZE753" s="574"/>
      <c r="UZF753" s="574"/>
      <c r="UZG753" s="574"/>
      <c r="UZH753" s="574"/>
      <c r="UZI753" s="574"/>
      <c r="UZJ753" s="574"/>
      <c r="UZK753" s="574"/>
      <c r="UZL753" s="574"/>
      <c r="UZM753" s="574"/>
      <c r="UZN753" s="574"/>
      <c r="UZO753" s="574"/>
      <c r="UZP753" s="574"/>
      <c r="UZQ753" s="574"/>
      <c r="UZR753" s="574"/>
      <c r="UZS753" s="574"/>
      <c r="UZT753" s="574"/>
      <c r="UZU753" s="574"/>
      <c r="UZV753" s="574"/>
      <c r="UZW753" s="574"/>
      <c r="UZX753" s="574"/>
      <c r="UZY753" s="574"/>
      <c r="UZZ753" s="574"/>
      <c r="VAA753" s="574"/>
      <c r="VAB753" s="574"/>
      <c r="VAC753" s="574"/>
      <c r="VAD753" s="574"/>
      <c r="VAE753" s="574"/>
      <c r="VAF753" s="574"/>
      <c r="VAG753" s="574"/>
      <c r="VAH753" s="574"/>
      <c r="VAI753" s="574"/>
      <c r="VAJ753" s="574"/>
      <c r="VAK753" s="574"/>
      <c r="VAL753" s="574"/>
      <c r="VAM753" s="574"/>
      <c r="VAN753" s="574"/>
      <c r="VAO753" s="574"/>
      <c r="VAP753" s="574"/>
      <c r="VAQ753" s="574"/>
      <c r="VAR753" s="574"/>
      <c r="VAS753" s="574"/>
      <c r="VAT753" s="574"/>
      <c r="VAU753" s="574"/>
      <c r="VAV753" s="574"/>
      <c r="VAW753" s="574"/>
      <c r="VAX753" s="574"/>
      <c r="VAY753" s="574"/>
      <c r="VAZ753" s="574"/>
      <c r="VBA753" s="574"/>
      <c r="VBB753" s="574"/>
      <c r="VBC753" s="574"/>
      <c r="VBD753" s="574"/>
      <c r="VBE753" s="574"/>
      <c r="VBF753" s="574"/>
      <c r="VBG753" s="574"/>
      <c r="VBH753" s="574"/>
      <c r="VBI753" s="574"/>
      <c r="VBJ753" s="574"/>
      <c r="VBK753" s="574"/>
      <c r="VBL753" s="574"/>
      <c r="VBM753" s="574"/>
      <c r="VBN753" s="574"/>
      <c r="VBO753" s="574"/>
      <c r="VBP753" s="574"/>
      <c r="VBQ753" s="574"/>
      <c r="VBR753" s="574"/>
      <c r="VBS753" s="574"/>
      <c r="VBT753" s="574"/>
      <c r="VBU753" s="574"/>
      <c r="VBV753" s="574"/>
      <c r="VBW753" s="574"/>
      <c r="VBX753" s="574"/>
      <c r="VBY753" s="574"/>
      <c r="VBZ753" s="574"/>
      <c r="VCA753" s="574"/>
      <c r="VCB753" s="574"/>
      <c r="VCC753" s="574"/>
      <c r="VCD753" s="574"/>
      <c r="VCE753" s="574"/>
      <c r="VCF753" s="574"/>
      <c r="VCG753" s="574"/>
      <c r="VCH753" s="574"/>
      <c r="VCI753" s="574"/>
      <c r="VCJ753" s="574"/>
      <c r="VCK753" s="574"/>
      <c r="VCL753" s="574"/>
      <c r="VCM753" s="574"/>
      <c r="VCN753" s="574"/>
      <c r="VCO753" s="574"/>
      <c r="VCP753" s="574"/>
      <c r="VCQ753" s="574"/>
      <c r="VCR753" s="574"/>
      <c r="VCS753" s="574"/>
      <c r="VCT753" s="574"/>
      <c r="VCU753" s="574"/>
      <c r="VCV753" s="574"/>
      <c r="VCW753" s="574"/>
      <c r="VCX753" s="574"/>
      <c r="VCY753" s="574"/>
      <c r="VCZ753" s="574"/>
      <c r="VDA753" s="574"/>
      <c r="VDB753" s="574"/>
      <c r="VDC753" s="574"/>
      <c r="VDD753" s="574"/>
      <c r="VDE753" s="574"/>
      <c r="VDF753" s="574"/>
      <c r="VDG753" s="574"/>
      <c r="VDH753" s="574"/>
      <c r="VDI753" s="574"/>
      <c r="VDJ753" s="574"/>
      <c r="VDK753" s="574"/>
      <c r="VDL753" s="574"/>
      <c r="VDM753" s="574"/>
      <c r="VDN753" s="574"/>
      <c r="VDO753" s="574"/>
      <c r="VDP753" s="574"/>
      <c r="VDQ753" s="574"/>
      <c r="VDR753" s="574"/>
      <c r="VDS753" s="574"/>
      <c r="VDT753" s="574"/>
      <c r="VDU753" s="574"/>
      <c r="VDV753" s="574"/>
      <c r="VDW753" s="574"/>
      <c r="VDX753" s="574"/>
      <c r="VDY753" s="574"/>
      <c r="VDZ753" s="574"/>
      <c r="VEA753" s="574"/>
      <c r="VEB753" s="574"/>
      <c r="VEC753" s="574"/>
      <c r="VED753" s="574"/>
      <c r="VEE753" s="574"/>
      <c r="VEF753" s="574"/>
      <c r="VEG753" s="574"/>
      <c r="VEH753" s="574"/>
      <c r="VEI753" s="574"/>
      <c r="VEJ753" s="574"/>
      <c r="VEK753" s="574"/>
      <c r="VEL753" s="574"/>
      <c r="VEM753" s="574"/>
      <c r="VEN753" s="574"/>
      <c r="VEO753" s="574"/>
      <c r="VEP753" s="574"/>
      <c r="VEQ753" s="574"/>
      <c r="VER753" s="574"/>
      <c r="VES753" s="574"/>
      <c r="VET753" s="574"/>
      <c r="VEU753" s="574"/>
      <c r="VEV753" s="574"/>
      <c r="VEW753" s="574"/>
      <c r="VEX753" s="574"/>
      <c r="VEY753" s="574"/>
      <c r="VEZ753" s="574"/>
      <c r="VFA753" s="574"/>
      <c r="VFB753" s="574"/>
      <c r="VFC753" s="574"/>
      <c r="VFD753" s="574"/>
      <c r="VFE753" s="574"/>
      <c r="VFF753" s="574"/>
      <c r="VFG753" s="574"/>
      <c r="VFH753" s="574"/>
      <c r="VFI753" s="574"/>
      <c r="VFJ753" s="574"/>
      <c r="VFK753" s="574"/>
      <c r="VFL753" s="574"/>
      <c r="VFM753" s="574"/>
      <c r="VFN753" s="574"/>
      <c r="VFO753" s="574"/>
      <c r="VFP753" s="574"/>
      <c r="VFQ753" s="574"/>
      <c r="VFR753" s="574"/>
      <c r="VFS753" s="574"/>
      <c r="VFT753" s="574"/>
      <c r="VFU753" s="574"/>
      <c r="VFV753" s="574"/>
      <c r="VFW753" s="574"/>
      <c r="VFX753" s="574"/>
      <c r="VFY753" s="574"/>
      <c r="VFZ753" s="574"/>
      <c r="VGA753" s="574"/>
      <c r="VGB753" s="574"/>
      <c r="VGC753" s="574"/>
      <c r="VGD753" s="574"/>
      <c r="VGE753" s="574"/>
      <c r="VGF753" s="574"/>
      <c r="VGG753" s="574"/>
      <c r="VGH753" s="574"/>
      <c r="VGI753" s="574"/>
      <c r="VGJ753" s="574"/>
      <c r="VGK753" s="574"/>
      <c r="VGL753" s="574"/>
      <c r="VGM753" s="574"/>
      <c r="VGN753" s="574"/>
      <c r="VGO753" s="574"/>
      <c r="VGP753" s="574"/>
      <c r="VGQ753" s="574"/>
      <c r="VGR753" s="574"/>
      <c r="VGS753" s="574"/>
      <c r="VGT753" s="574"/>
      <c r="VGU753" s="574"/>
      <c r="VGV753" s="574"/>
      <c r="VGW753" s="574"/>
      <c r="VGX753" s="574"/>
      <c r="VGY753" s="574"/>
      <c r="VGZ753" s="574"/>
      <c r="VHA753" s="574"/>
      <c r="VHB753" s="574"/>
      <c r="VHC753" s="574"/>
      <c r="VHD753" s="574"/>
      <c r="VHE753" s="574"/>
      <c r="VHF753" s="574"/>
      <c r="VHG753" s="574"/>
      <c r="VHH753" s="574"/>
      <c r="VHI753" s="574"/>
      <c r="VHJ753" s="574"/>
      <c r="VHK753" s="574"/>
      <c r="VHL753" s="574"/>
      <c r="VHM753" s="574"/>
      <c r="VHN753" s="574"/>
      <c r="VHO753" s="574"/>
      <c r="VHP753" s="574"/>
      <c r="VHQ753" s="574"/>
      <c r="VHR753" s="574"/>
      <c r="VHS753" s="574"/>
      <c r="VHT753" s="574"/>
      <c r="VHU753" s="574"/>
      <c r="VHV753" s="574"/>
      <c r="VHW753" s="574"/>
      <c r="VHX753" s="574"/>
      <c r="VHY753" s="574"/>
      <c r="VHZ753" s="574"/>
      <c r="VIA753" s="574"/>
      <c r="VIB753" s="574"/>
      <c r="VIC753" s="574"/>
      <c r="VID753" s="574"/>
      <c r="VIE753" s="574"/>
      <c r="VIF753" s="574"/>
      <c r="VIG753" s="574"/>
      <c r="VIH753" s="574"/>
      <c r="VII753" s="574"/>
      <c r="VIJ753" s="574"/>
      <c r="VIK753" s="574"/>
      <c r="VIL753" s="574"/>
      <c r="VIM753" s="574"/>
      <c r="VIN753" s="574"/>
      <c r="VIO753" s="574"/>
      <c r="VIP753" s="574"/>
      <c r="VIQ753" s="574"/>
      <c r="VIR753" s="574"/>
      <c r="VIS753" s="574"/>
      <c r="VIT753" s="574"/>
      <c r="VIU753" s="574"/>
      <c r="VIV753" s="574"/>
      <c r="VIW753" s="574"/>
      <c r="VIX753" s="574"/>
      <c r="VIY753" s="574"/>
      <c r="VIZ753" s="574"/>
      <c r="VJA753" s="574"/>
      <c r="VJB753" s="574"/>
      <c r="VJC753" s="574"/>
      <c r="VJD753" s="574"/>
      <c r="VJE753" s="574"/>
      <c r="VJF753" s="574"/>
      <c r="VJG753" s="574"/>
      <c r="VJH753" s="574"/>
      <c r="VJI753" s="574"/>
      <c r="VJJ753" s="574"/>
      <c r="VJK753" s="574"/>
      <c r="VJL753" s="574"/>
      <c r="VJM753" s="574"/>
      <c r="VJN753" s="574"/>
      <c r="VJO753" s="574"/>
      <c r="VJP753" s="574"/>
      <c r="VJQ753" s="574"/>
      <c r="VJR753" s="574"/>
      <c r="VJS753" s="574"/>
      <c r="VJT753" s="574"/>
      <c r="VJU753" s="574"/>
      <c r="VJV753" s="574"/>
      <c r="VJW753" s="574"/>
      <c r="VJX753" s="574"/>
      <c r="VJY753" s="574"/>
      <c r="VJZ753" s="574"/>
      <c r="VKA753" s="574"/>
      <c r="VKB753" s="574"/>
      <c r="VKC753" s="574"/>
      <c r="VKD753" s="574"/>
      <c r="VKE753" s="574"/>
      <c r="VKF753" s="574"/>
      <c r="VKG753" s="574"/>
      <c r="VKH753" s="574"/>
      <c r="VKI753" s="574"/>
      <c r="VKJ753" s="574"/>
      <c r="VKK753" s="574"/>
      <c r="VKL753" s="574"/>
      <c r="VKM753" s="574"/>
      <c r="VKN753" s="574"/>
      <c r="VKO753" s="574"/>
      <c r="VKP753" s="574"/>
      <c r="VKQ753" s="574"/>
      <c r="VKR753" s="574"/>
      <c r="VKS753" s="574"/>
      <c r="VKT753" s="574"/>
      <c r="VKU753" s="574"/>
      <c r="VKV753" s="574"/>
      <c r="VKW753" s="574"/>
      <c r="VKX753" s="574"/>
      <c r="VKY753" s="574"/>
      <c r="VKZ753" s="574"/>
      <c r="VLA753" s="574"/>
      <c r="VLB753" s="574"/>
      <c r="VLC753" s="574"/>
      <c r="VLD753" s="574"/>
      <c r="VLE753" s="574"/>
      <c r="VLF753" s="574"/>
      <c r="VLG753" s="574"/>
      <c r="VLH753" s="574"/>
      <c r="VLI753" s="574"/>
      <c r="VLJ753" s="574"/>
      <c r="VLK753" s="574"/>
      <c r="VLL753" s="574"/>
      <c r="VLM753" s="574"/>
      <c r="VLN753" s="574"/>
      <c r="VLO753" s="574"/>
      <c r="VLP753" s="574"/>
      <c r="VLQ753" s="574"/>
      <c r="VLR753" s="574"/>
      <c r="VLS753" s="574"/>
      <c r="VLT753" s="574"/>
      <c r="VLU753" s="574"/>
      <c r="VLV753" s="574"/>
      <c r="VLW753" s="574"/>
      <c r="VLX753" s="574"/>
      <c r="VLY753" s="574"/>
      <c r="VLZ753" s="574"/>
      <c r="VMA753" s="574"/>
      <c r="VMB753" s="574"/>
      <c r="VMC753" s="574"/>
      <c r="VMD753" s="574"/>
      <c r="VME753" s="574"/>
      <c r="VMF753" s="574"/>
      <c r="VMG753" s="574"/>
      <c r="VMH753" s="574"/>
      <c r="VMI753" s="574"/>
      <c r="VMJ753" s="574"/>
      <c r="VMK753" s="574"/>
      <c r="VML753" s="574"/>
      <c r="VMM753" s="574"/>
      <c r="VMN753" s="574"/>
      <c r="VMO753" s="574"/>
      <c r="VMP753" s="574"/>
      <c r="VMQ753" s="574"/>
      <c r="VMR753" s="574"/>
      <c r="VMS753" s="574"/>
      <c r="VMT753" s="574"/>
      <c r="VMU753" s="574"/>
      <c r="VMV753" s="574"/>
      <c r="VMW753" s="574"/>
      <c r="VMX753" s="574"/>
      <c r="VMY753" s="574"/>
      <c r="VMZ753" s="574"/>
      <c r="VNA753" s="574"/>
      <c r="VNB753" s="574"/>
      <c r="VNC753" s="574"/>
      <c r="VND753" s="574"/>
      <c r="VNE753" s="574"/>
      <c r="VNF753" s="574"/>
      <c r="VNG753" s="574"/>
      <c r="VNH753" s="574"/>
      <c r="VNI753" s="574"/>
      <c r="VNJ753" s="574"/>
      <c r="VNK753" s="574"/>
      <c r="VNL753" s="574"/>
      <c r="VNM753" s="574"/>
      <c r="VNN753" s="574"/>
      <c r="VNO753" s="574"/>
      <c r="VNP753" s="574"/>
      <c r="VNQ753" s="574"/>
      <c r="VNR753" s="574"/>
      <c r="VNS753" s="574"/>
      <c r="VNT753" s="574"/>
      <c r="VNU753" s="574"/>
      <c r="VNV753" s="574"/>
      <c r="VNW753" s="574"/>
      <c r="VNX753" s="574"/>
      <c r="VNY753" s="574"/>
      <c r="VNZ753" s="574"/>
      <c r="VOA753" s="574"/>
      <c r="VOB753" s="574"/>
      <c r="VOC753" s="574"/>
      <c r="VOD753" s="574"/>
      <c r="VOE753" s="574"/>
      <c r="VOF753" s="574"/>
      <c r="VOG753" s="574"/>
      <c r="VOH753" s="574"/>
      <c r="VOI753" s="574"/>
      <c r="VOJ753" s="574"/>
      <c r="VOK753" s="574"/>
      <c r="VOL753" s="574"/>
      <c r="VOM753" s="574"/>
      <c r="VON753" s="574"/>
      <c r="VOO753" s="574"/>
      <c r="VOP753" s="574"/>
      <c r="VOQ753" s="574"/>
      <c r="VOR753" s="574"/>
      <c r="VOS753" s="574"/>
      <c r="VOT753" s="574"/>
      <c r="VOU753" s="574"/>
      <c r="VOV753" s="574"/>
      <c r="VOW753" s="574"/>
      <c r="VOX753" s="574"/>
      <c r="VOY753" s="574"/>
      <c r="VOZ753" s="574"/>
      <c r="VPA753" s="574"/>
      <c r="VPB753" s="574"/>
      <c r="VPC753" s="574"/>
      <c r="VPD753" s="574"/>
      <c r="VPE753" s="574"/>
      <c r="VPF753" s="574"/>
      <c r="VPG753" s="574"/>
      <c r="VPH753" s="574"/>
      <c r="VPI753" s="574"/>
      <c r="VPJ753" s="574"/>
      <c r="VPK753" s="574"/>
      <c r="VPL753" s="574"/>
      <c r="VPM753" s="574"/>
      <c r="VPN753" s="574"/>
      <c r="VPO753" s="574"/>
      <c r="VPP753" s="574"/>
      <c r="VPQ753" s="574"/>
      <c r="VPR753" s="574"/>
      <c r="VPS753" s="574"/>
      <c r="VPT753" s="574"/>
      <c r="VPU753" s="574"/>
      <c r="VPV753" s="574"/>
      <c r="VPW753" s="574"/>
      <c r="VPX753" s="574"/>
      <c r="VPY753" s="574"/>
      <c r="VPZ753" s="574"/>
      <c r="VQA753" s="574"/>
      <c r="VQB753" s="574"/>
      <c r="VQC753" s="574"/>
      <c r="VQD753" s="574"/>
      <c r="VQE753" s="574"/>
      <c r="VQF753" s="574"/>
      <c r="VQG753" s="574"/>
      <c r="VQH753" s="574"/>
      <c r="VQI753" s="574"/>
      <c r="VQJ753" s="574"/>
      <c r="VQK753" s="574"/>
      <c r="VQL753" s="574"/>
      <c r="VQM753" s="574"/>
      <c r="VQN753" s="574"/>
      <c r="VQO753" s="574"/>
      <c r="VQP753" s="574"/>
      <c r="VQQ753" s="574"/>
      <c r="VQR753" s="574"/>
      <c r="VQS753" s="574"/>
      <c r="VQT753" s="574"/>
      <c r="VQU753" s="574"/>
      <c r="VQV753" s="574"/>
      <c r="VQW753" s="574"/>
      <c r="VQX753" s="574"/>
      <c r="VQY753" s="574"/>
      <c r="VQZ753" s="574"/>
      <c r="VRA753" s="574"/>
      <c r="VRB753" s="574"/>
      <c r="VRC753" s="574"/>
      <c r="VRD753" s="574"/>
      <c r="VRE753" s="574"/>
      <c r="VRF753" s="574"/>
      <c r="VRG753" s="574"/>
      <c r="VRH753" s="574"/>
      <c r="VRI753" s="574"/>
      <c r="VRJ753" s="574"/>
      <c r="VRK753" s="574"/>
      <c r="VRL753" s="574"/>
      <c r="VRM753" s="574"/>
      <c r="VRN753" s="574"/>
      <c r="VRO753" s="574"/>
      <c r="VRP753" s="574"/>
      <c r="VRQ753" s="574"/>
      <c r="VRR753" s="574"/>
      <c r="VRS753" s="574"/>
      <c r="VRT753" s="574"/>
      <c r="VRU753" s="574"/>
      <c r="VRV753" s="574"/>
      <c r="VRW753" s="574"/>
      <c r="VRX753" s="574"/>
      <c r="VRY753" s="574"/>
      <c r="VRZ753" s="574"/>
      <c r="VSA753" s="574"/>
      <c r="VSB753" s="574"/>
      <c r="VSC753" s="574"/>
      <c r="VSD753" s="574"/>
      <c r="VSE753" s="574"/>
      <c r="VSF753" s="574"/>
      <c r="VSG753" s="574"/>
      <c r="VSH753" s="574"/>
      <c r="VSI753" s="574"/>
      <c r="VSJ753" s="574"/>
      <c r="VSK753" s="574"/>
      <c r="VSL753" s="574"/>
      <c r="VSM753" s="574"/>
      <c r="VSN753" s="574"/>
      <c r="VSO753" s="574"/>
      <c r="VSP753" s="574"/>
      <c r="VSQ753" s="574"/>
      <c r="VSR753" s="574"/>
      <c r="VSS753" s="574"/>
      <c r="VST753" s="574"/>
      <c r="VSU753" s="574"/>
      <c r="VSV753" s="574"/>
      <c r="VSW753" s="574"/>
      <c r="VSX753" s="574"/>
      <c r="VSY753" s="574"/>
      <c r="VSZ753" s="574"/>
      <c r="VTA753" s="574"/>
      <c r="VTB753" s="574"/>
      <c r="VTC753" s="574"/>
      <c r="VTD753" s="574"/>
      <c r="VTE753" s="574"/>
      <c r="VTF753" s="574"/>
      <c r="VTG753" s="574"/>
      <c r="VTH753" s="574"/>
      <c r="VTI753" s="574"/>
      <c r="VTJ753" s="574"/>
      <c r="VTK753" s="574"/>
      <c r="VTL753" s="574"/>
      <c r="VTM753" s="574"/>
      <c r="VTN753" s="574"/>
      <c r="VTO753" s="574"/>
      <c r="VTP753" s="574"/>
      <c r="VTQ753" s="574"/>
      <c r="VTR753" s="574"/>
      <c r="VTS753" s="574"/>
      <c r="VTT753" s="574"/>
      <c r="VTU753" s="574"/>
      <c r="VTV753" s="574"/>
      <c r="VTW753" s="574"/>
      <c r="VTX753" s="574"/>
      <c r="VTY753" s="574"/>
      <c r="VTZ753" s="574"/>
      <c r="VUA753" s="574"/>
      <c r="VUB753" s="574"/>
      <c r="VUC753" s="574"/>
      <c r="VUD753" s="574"/>
      <c r="VUE753" s="574"/>
      <c r="VUF753" s="574"/>
      <c r="VUG753" s="574"/>
      <c r="VUH753" s="574"/>
      <c r="VUI753" s="574"/>
      <c r="VUJ753" s="574"/>
      <c r="VUK753" s="574"/>
      <c r="VUL753" s="574"/>
      <c r="VUM753" s="574"/>
      <c r="VUN753" s="574"/>
      <c r="VUO753" s="574"/>
      <c r="VUP753" s="574"/>
      <c r="VUQ753" s="574"/>
      <c r="VUR753" s="574"/>
      <c r="VUS753" s="574"/>
      <c r="VUT753" s="574"/>
      <c r="VUU753" s="574"/>
      <c r="VUV753" s="574"/>
      <c r="VUW753" s="574"/>
      <c r="VUX753" s="574"/>
      <c r="VUY753" s="574"/>
      <c r="VUZ753" s="574"/>
      <c r="VVA753" s="574"/>
      <c r="VVB753" s="574"/>
      <c r="VVC753" s="574"/>
      <c r="VVD753" s="574"/>
      <c r="VVE753" s="574"/>
      <c r="VVF753" s="574"/>
      <c r="VVG753" s="574"/>
      <c r="VVH753" s="574"/>
      <c r="VVI753" s="574"/>
      <c r="VVJ753" s="574"/>
      <c r="VVK753" s="574"/>
      <c r="VVL753" s="574"/>
      <c r="VVM753" s="574"/>
      <c r="VVN753" s="574"/>
      <c r="VVO753" s="574"/>
      <c r="VVP753" s="574"/>
      <c r="VVQ753" s="574"/>
      <c r="VVR753" s="574"/>
      <c r="VVS753" s="574"/>
      <c r="VVT753" s="574"/>
      <c r="VVU753" s="574"/>
      <c r="VVV753" s="574"/>
      <c r="VVW753" s="574"/>
      <c r="VVX753" s="574"/>
      <c r="VVY753" s="574"/>
      <c r="VVZ753" s="574"/>
      <c r="VWA753" s="574"/>
      <c r="VWB753" s="574"/>
      <c r="VWC753" s="574"/>
      <c r="VWD753" s="574"/>
      <c r="VWE753" s="574"/>
      <c r="VWF753" s="574"/>
      <c r="VWG753" s="574"/>
      <c r="VWH753" s="574"/>
      <c r="VWI753" s="574"/>
      <c r="VWJ753" s="574"/>
      <c r="VWK753" s="574"/>
      <c r="VWL753" s="574"/>
      <c r="VWM753" s="574"/>
      <c r="VWN753" s="574"/>
      <c r="VWO753" s="574"/>
      <c r="VWP753" s="574"/>
      <c r="VWQ753" s="574"/>
      <c r="VWR753" s="574"/>
      <c r="VWS753" s="574"/>
      <c r="VWT753" s="574"/>
      <c r="VWU753" s="574"/>
      <c r="VWV753" s="574"/>
      <c r="VWW753" s="574"/>
      <c r="VWX753" s="574"/>
      <c r="VWY753" s="574"/>
      <c r="VWZ753" s="574"/>
      <c r="VXA753" s="574"/>
      <c r="VXB753" s="574"/>
      <c r="VXC753" s="574"/>
      <c r="VXD753" s="574"/>
      <c r="VXE753" s="574"/>
      <c r="VXF753" s="574"/>
      <c r="VXG753" s="574"/>
      <c r="VXH753" s="574"/>
      <c r="VXI753" s="574"/>
      <c r="VXJ753" s="574"/>
      <c r="VXK753" s="574"/>
      <c r="VXL753" s="574"/>
      <c r="VXM753" s="574"/>
      <c r="VXN753" s="574"/>
      <c r="VXO753" s="574"/>
      <c r="VXP753" s="574"/>
      <c r="VXQ753" s="574"/>
      <c r="VXR753" s="574"/>
      <c r="VXS753" s="574"/>
      <c r="VXT753" s="574"/>
      <c r="VXU753" s="574"/>
      <c r="VXV753" s="574"/>
      <c r="VXW753" s="574"/>
      <c r="VXX753" s="574"/>
      <c r="VXY753" s="574"/>
      <c r="VXZ753" s="574"/>
      <c r="VYA753" s="574"/>
      <c r="VYB753" s="574"/>
      <c r="VYC753" s="574"/>
      <c r="VYD753" s="574"/>
      <c r="VYE753" s="574"/>
      <c r="VYF753" s="574"/>
      <c r="VYG753" s="574"/>
      <c r="VYH753" s="574"/>
      <c r="VYI753" s="574"/>
      <c r="VYJ753" s="574"/>
      <c r="VYK753" s="574"/>
      <c r="VYL753" s="574"/>
      <c r="VYM753" s="574"/>
      <c r="VYN753" s="574"/>
      <c r="VYO753" s="574"/>
      <c r="VYP753" s="574"/>
      <c r="VYQ753" s="574"/>
      <c r="VYR753" s="574"/>
      <c r="VYS753" s="574"/>
      <c r="VYT753" s="574"/>
      <c r="VYU753" s="574"/>
      <c r="VYV753" s="574"/>
      <c r="VYW753" s="574"/>
      <c r="VYX753" s="574"/>
      <c r="VYY753" s="574"/>
      <c r="VYZ753" s="574"/>
      <c r="VZA753" s="574"/>
      <c r="VZB753" s="574"/>
      <c r="VZC753" s="574"/>
      <c r="VZD753" s="574"/>
      <c r="VZE753" s="574"/>
      <c r="VZF753" s="574"/>
      <c r="VZG753" s="574"/>
      <c r="VZH753" s="574"/>
      <c r="VZI753" s="574"/>
      <c r="VZJ753" s="574"/>
      <c r="VZK753" s="574"/>
      <c r="VZL753" s="574"/>
      <c r="VZM753" s="574"/>
      <c r="VZN753" s="574"/>
      <c r="VZO753" s="574"/>
      <c r="VZP753" s="574"/>
      <c r="VZQ753" s="574"/>
      <c r="VZR753" s="574"/>
      <c r="VZS753" s="574"/>
      <c r="VZT753" s="574"/>
      <c r="VZU753" s="574"/>
      <c r="VZV753" s="574"/>
      <c r="VZW753" s="574"/>
      <c r="VZX753" s="574"/>
      <c r="VZY753" s="574"/>
      <c r="VZZ753" s="574"/>
      <c r="WAA753" s="574"/>
      <c r="WAB753" s="574"/>
      <c r="WAC753" s="574"/>
      <c r="WAD753" s="574"/>
      <c r="WAE753" s="574"/>
      <c r="WAF753" s="574"/>
      <c r="WAG753" s="574"/>
      <c r="WAH753" s="574"/>
      <c r="WAI753" s="574"/>
      <c r="WAJ753" s="574"/>
      <c r="WAK753" s="574"/>
      <c r="WAL753" s="574"/>
      <c r="WAM753" s="574"/>
      <c r="WAN753" s="574"/>
      <c r="WAO753" s="574"/>
      <c r="WAP753" s="574"/>
      <c r="WAQ753" s="574"/>
      <c r="WAR753" s="574"/>
      <c r="WAS753" s="574"/>
      <c r="WAT753" s="574"/>
      <c r="WAU753" s="574"/>
      <c r="WAV753" s="574"/>
      <c r="WAW753" s="574"/>
      <c r="WAX753" s="574"/>
      <c r="WAY753" s="574"/>
      <c r="WAZ753" s="574"/>
      <c r="WBA753" s="574"/>
      <c r="WBB753" s="574"/>
      <c r="WBC753" s="574"/>
      <c r="WBD753" s="574"/>
      <c r="WBE753" s="574"/>
      <c r="WBF753" s="574"/>
      <c r="WBG753" s="574"/>
      <c r="WBH753" s="574"/>
      <c r="WBI753" s="574"/>
      <c r="WBJ753" s="574"/>
      <c r="WBK753" s="574"/>
      <c r="WBL753" s="574"/>
      <c r="WBM753" s="574"/>
      <c r="WBN753" s="574"/>
      <c r="WBO753" s="574"/>
      <c r="WBP753" s="574"/>
      <c r="WBQ753" s="574"/>
      <c r="WBR753" s="574"/>
      <c r="WBS753" s="574"/>
      <c r="WBT753" s="574"/>
      <c r="WBU753" s="574"/>
      <c r="WBV753" s="574"/>
      <c r="WBW753" s="574"/>
      <c r="WBX753" s="574"/>
      <c r="WBY753" s="574"/>
      <c r="WBZ753" s="574"/>
      <c r="WCA753" s="574"/>
      <c r="WCB753" s="574"/>
      <c r="WCC753" s="574"/>
      <c r="WCD753" s="574"/>
      <c r="WCE753" s="574"/>
      <c r="WCF753" s="574"/>
      <c r="WCG753" s="574"/>
      <c r="WCH753" s="574"/>
      <c r="WCI753" s="574"/>
      <c r="WCJ753" s="574"/>
      <c r="WCK753" s="574"/>
      <c r="WCL753" s="574"/>
      <c r="WCM753" s="574"/>
      <c r="WCN753" s="574"/>
      <c r="WCO753" s="574"/>
      <c r="WCP753" s="574"/>
      <c r="WCQ753" s="574"/>
      <c r="WCR753" s="574"/>
      <c r="WCS753" s="574"/>
      <c r="WCT753" s="574"/>
      <c r="WCU753" s="574"/>
      <c r="WCV753" s="574"/>
      <c r="WCW753" s="574"/>
      <c r="WCX753" s="574"/>
      <c r="WCY753" s="574"/>
      <c r="WCZ753" s="574"/>
      <c r="WDA753" s="574"/>
      <c r="WDB753" s="574"/>
      <c r="WDC753" s="574"/>
      <c r="WDD753" s="574"/>
      <c r="WDE753" s="574"/>
      <c r="WDF753" s="574"/>
      <c r="WDG753" s="574"/>
      <c r="WDH753" s="574"/>
      <c r="WDI753" s="574"/>
      <c r="WDJ753" s="574"/>
      <c r="WDK753" s="574"/>
      <c r="WDL753" s="574"/>
      <c r="WDM753" s="574"/>
      <c r="WDN753" s="574"/>
      <c r="WDO753" s="574"/>
      <c r="WDP753" s="574"/>
      <c r="WDQ753" s="574"/>
      <c r="WDR753" s="574"/>
      <c r="WDS753" s="574"/>
      <c r="WDT753" s="574"/>
      <c r="WDU753" s="574"/>
      <c r="WDV753" s="574"/>
      <c r="WDW753" s="574"/>
      <c r="WDX753" s="574"/>
      <c r="WDY753" s="574"/>
      <c r="WDZ753" s="574"/>
      <c r="WEA753" s="574"/>
      <c r="WEB753" s="574"/>
      <c r="WEC753" s="574"/>
      <c r="WED753" s="574"/>
      <c r="WEE753" s="574"/>
      <c r="WEF753" s="574"/>
      <c r="WEG753" s="574"/>
      <c r="WEH753" s="574"/>
      <c r="WEI753" s="574"/>
      <c r="WEJ753" s="574"/>
      <c r="WEK753" s="574"/>
      <c r="WEL753" s="574"/>
      <c r="WEM753" s="574"/>
      <c r="WEN753" s="574"/>
      <c r="WEO753" s="574"/>
      <c r="WEP753" s="574"/>
      <c r="WEQ753" s="574"/>
      <c r="WER753" s="574"/>
      <c r="WES753" s="574"/>
      <c r="WET753" s="574"/>
      <c r="WEU753" s="574"/>
      <c r="WEV753" s="574"/>
      <c r="WEW753" s="574"/>
      <c r="WEX753" s="574"/>
      <c r="WEY753" s="574"/>
      <c r="WEZ753" s="574"/>
      <c r="WFA753" s="574"/>
      <c r="WFB753" s="574"/>
      <c r="WFC753" s="574"/>
      <c r="WFD753" s="574"/>
      <c r="WFE753" s="574"/>
      <c r="WFF753" s="574"/>
      <c r="WFG753" s="574"/>
      <c r="WFH753" s="574"/>
      <c r="WFI753" s="574"/>
      <c r="WFJ753" s="574"/>
      <c r="WFK753" s="574"/>
      <c r="WFL753" s="574"/>
      <c r="WFM753" s="574"/>
      <c r="WFN753" s="574"/>
      <c r="WFO753" s="574"/>
      <c r="WFP753" s="574"/>
      <c r="WFQ753" s="574"/>
      <c r="WFR753" s="574"/>
      <c r="WFS753" s="574"/>
      <c r="WFT753" s="574"/>
      <c r="WFU753" s="574"/>
      <c r="WFV753" s="574"/>
      <c r="WFW753" s="574"/>
      <c r="WFX753" s="574"/>
      <c r="WFY753" s="574"/>
      <c r="WFZ753" s="574"/>
      <c r="WGA753" s="574"/>
      <c r="WGB753" s="574"/>
      <c r="WGC753" s="574"/>
      <c r="WGD753" s="574"/>
      <c r="WGE753" s="574"/>
      <c r="WGF753" s="574"/>
      <c r="WGG753" s="574"/>
      <c r="WGH753" s="574"/>
      <c r="WGI753" s="574"/>
      <c r="WGJ753" s="574"/>
      <c r="WGK753" s="574"/>
      <c r="WGL753" s="574"/>
      <c r="WGM753" s="574"/>
      <c r="WGN753" s="574"/>
      <c r="WGO753" s="574"/>
      <c r="WGP753" s="574"/>
      <c r="WGQ753" s="574"/>
      <c r="WGR753" s="574"/>
      <c r="WGS753" s="574"/>
      <c r="WGT753" s="574"/>
      <c r="WGU753" s="574"/>
      <c r="WGV753" s="574"/>
      <c r="WGW753" s="574"/>
      <c r="WGX753" s="574"/>
      <c r="WGY753" s="574"/>
      <c r="WGZ753" s="574"/>
      <c r="WHA753" s="574"/>
      <c r="WHB753" s="574"/>
      <c r="WHC753" s="574"/>
      <c r="WHD753" s="574"/>
      <c r="WHE753" s="574"/>
      <c r="WHF753" s="574"/>
      <c r="WHG753" s="574"/>
      <c r="WHH753" s="574"/>
      <c r="WHI753" s="574"/>
      <c r="WHJ753" s="574"/>
      <c r="WHK753" s="574"/>
      <c r="WHL753" s="574"/>
      <c r="WHM753" s="574"/>
      <c r="WHN753" s="574"/>
      <c r="WHO753" s="574"/>
      <c r="WHP753" s="574"/>
      <c r="WHQ753" s="574"/>
      <c r="WHR753" s="574"/>
      <c r="WHS753" s="574"/>
      <c r="WHT753" s="574"/>
      <c r="WHU753" s="574"/>
      <c r="WHV753" s="574"/>
      <c r="WHW753" s="574"/>
      <c r="WHX753" s="574"/>
      <c r="WHY753" s="574"/>
      <c r="WHZ753" s="574"/>
      <c r="WIA753" s="574"/>
      <c r="WIB753" s="574"/>
      <c r="WIC753" s="574"/>
      <c r="WID753" s="574"/>
      <c r="WIE753" s="574"/>
      <c r="WIF753" s="574"/>
      <c r="WIG753" s="574"/>
      <c r="WIH753" s="574"/>
      <c r="WII753" s="574"/>
      <c r="WIJ753" s="574"/>
      <c r="WIK753" s="574"/>
      <c r="WIL753" s="574"/>
      <c r="WIM753" s="574"/>
      <c r="WIN753" s="574"/>
      <c r="WIO753" s="574"/>
      <c r="WIP753" s="574"/>
      <c r="WIQ753" s="574"/>
      <c r="WIR753" s="574"/>
      <c r="WIS753" s="574"/>
      <c r="WIT753" s="574"/>
      <c r="WIU753" s="574"/>
      <c r="WIV753" s="574"/>
      <c r="WIW753" s="574"/>
      <c r="WIX753" s="574"/>
      <c r="WIY753" s="574"/>
      <c r="WIZ753" s="574"/>
      <c r="WJA753" s="574"/>
      <c r="WJB753" s="574"/>
      <c r="WJC753" s="574"/>
      <c r="WJD753" s="574"/>
      <c r="WJE753" s="574"/>
      <c r="WJF753" s="574"/>
      <c r="WJG753" s="574"/>
      <c r="WJH753" s="574"/>
      <c r="WJI753" s="574"/>
      <c r="WJJ753" s="574"/>
      <c r="WJK753" s="574"/>
      <c r="WJL753" s="574"/>
      <c r="WJM753" s="574"/>
      <c r="WJN753" s="574"/>
      <c r="WJO753" s="574"/>
      <c r="WJP753" s="574"/>
      <c r="WJQ753" s="574"/>
      <c r="WJR753" s="574"/>
      <c r="WJS753" s="574"/>
      <c r="WJT753" s="574"/>
      <c r="WJU753" s="574"/>
      <c r="WJV753" s="574"/>
      <c r="WJW753" s="574"/>
      <c r="WJX753" s="574"/>
      <c r="WJY753" s="574"/>
      <c r="WJZ753" s="574"/>
      <c r="WKA753" s="574"/>
      <c r="WKB753" s="574"/>
      <c r="WKC753" s="574"/>
      <c r="WKD753" s="574"/>
      <c r="WKE753" s="574"/>
      <c r="WKF753" s="574"/>
      <c r="WKG753" s="574"/>
      <c r="WKH753" s="574"/>
      <c r="WKI753" s="574"/>
      <c r="WKJ753" s="574"/>
      <c r="WKK753" s="574"/>
      <c r="WKL753" s="574"/>
      <c r="WKM753" s="574"/>
      <c r="WKN753" s="574"/>
      <c r="WKO753" s="574"/>
      <c r="WKP753" s="574"/>
      <c r="WKQ753" s="574"/>
      <c r="WKR753" s="574"/>
      <c r="WKS753" s="574"/>
      <c r="WKT753" s="574"/>
      <c r="WKU753" s="574"/>
      <c r="WKV753" s="574"/>
      <c r="WKW753" s="574"/>
      <c r="WKX753" s="574"/>
      <c r="WKY753" s="574"/>
      <c r="WKZ753" s="574"/>
      <c r="WLA753" s="574"/>
      <c r="WLB753" s="574"/>
      <c r="WLC753" s="574"/>
      <c r="WLD753" s="574"/>
      <c r="WLE753" s="574"/>
      <c r="WLF753" s="574"/>
      <c r="WLG753" s="574"/>
      <c r="WLH753" s="574"/>
      <c r="WLI753" s="574"/>
      <c r="WLJ753" s="574"/>
      <c r="WLK753" s="574"/>
      <c r="WLL753" s="574"/>
      <c r="WLM753" s="574"/>
      <c r="WLN753" s="574"/>
      <c r="WLO753" s="574"/>
      <c r="WLP753" s="574"/>
      <c r="WLQ753" s="574"/>
      <c r="WLR753" s="574"/>
      <c r="WLS753" s="574"/>
      <c r="WLT753" s="574"/>
      <c r="WLU753" s="574"/>
      <c r="WLV753" s="574"/>
      <c r="WLW753" s="574"/>
      <c r="WLX753" s="574"/>
      <c r="WLY753" s="574"/>
      <c r="WLZ753" s="574"/>
      <c r="WMA753" s="574"/>
      <c r="WMB753" s="574"/>
      <c r="WMC753" s="574"/>
      <c r="WMD753" s="574"/>
      <c r="WME753" s="574"/>
      <c r="WMF753" s="574"/>
      <c r="WMG753" s="574"/>
      <c r="WMH753" s="574"/>
      <c r="WMI753" s="574"/>
      <c r="WMJ753" s="574"/>
      <c r="WMK753" s="574"/>
      <c r="WML753" s="574"/>
      <c r="WMM753" s="574"/>
      <c r="WMN753" s="574"/>
      <c r="WMO753" s="574"/>
      <c r="WMP753" s="574"/>
      <c r="WMQ753" s="574"/>
      <c r="WMR753" s="574"/>
      <c r="WMS753" s="574"/>
      <c r="WMT753" s="574"/>
      <c r="WMU753" s="574"/>
      <c r="WMV753" s="574"/>
      <c r="WMW753" s="574"/>
      <c r="WMX753" s="574"/>
      <c r="WMY753" s="574"/>
      <c r="WMZ753" s="574"/>
      <c r="WNA753" s="574"/>
      <c r="WNB753" s="574"/>
      <c r="WNC753" s="574"/>
      <c r="WND753" s="574"/>
      <c r="WNE753" s="574"/>
      <c r="WNF753" s="574"/>
      <c r="WNG753" s="574"/>
      <c r="WNH753" s="574"/>
      <c r="WNI753" s="574"/>
      <c r="WNJ753" s="574"/>
      <c r="WNK753" s="574"/>
      <c r="WNL753" s="574"/>
      <c r="WNM753" s="574"/>
      <c r="WNN753" s="574"/>
      <c r="WNO753" s="574"/>
      <c r="WNP753" s="574"/>
      <c r="WNQ753" s="574"/>
      <c r="WNR753" s="574"/>
      <c r="WNS753" s="574"/>
      <c r="WNT753" s="574"/>
      <c r="WNU753" s="574"/>
      <c r="WNV753" s="574"/>
      <c r="WNW753" s="574"/>
      <c r="WNX753" s="574"/>
      <c r="WNY753" s="574"/>
      <c r="WNZ753" s="574"/>
      <c r="WOA753" s="574"/>
      <c r="WOB753" s="574"/>
      <c r="WOC753" s="574"/>
      <c r="WOD753" s="574"/>
      <c r="WOE753" s="574"/>
      <c r="WOF753" s="574"/>
      <c r="WOG753" s="574"/>
      <c r="WOH753" s="574"/>
      <c r="WOI753" s="574"/>
      <c r="WOJ753" s="574"/>
      <c r="WOK753" s="574"/>
      <c r="WOL753" s="574"/>
      <c r="WOM753" s="574"/>
      <c r="WON753" s="574"/>
      <c r="WOO753" s="574"/>
      <c r="WOP753" s="574"/>
      <c r="WOQ753" s="574"/>
      <c r="WOR753" s="574"/>
      <c r="WOS753" s="574"/>
      <c r="WOT753" s="574"/>
      <c r="WOU753" s="574"/>
      <c r="WOV753" s="574"/>
      <c r="WOW753" s="574"/>
      <c r="WOX753" s="574"/>
      <c r="WOY753" s="574"/>
      <c r="WOZ753" s="574"/>
      <c r="WPA753" s="574"/>
      <c r="WPB753" s="574"/>
      <c r="WPC753" s="574"/>
      <c r="WPD753" s="574"/>
      <c r="WPE753" s="574"/>
      <c r="WPF753" s="574"/>
      <c r="WPG753" s="574"/>
      <c r="WPH753" s="574"/>
      <c r="WPI753" s="574"/>
      <c r="WPJ753" s="574"/>
      <c r="WPK753" s="574"/>
      <c r="WPL753" s="574"/>
      <c r="WPM753" s="574"/>
      <c r="WPN753" s="574"/>
      <c r="WPO753" s="574"/>
      <c r="WPP753" s="574"/>
      <c r="WPQ753" s="574"/>
      <c r="WPR753" s="574"/>
      <c r="WPS753" s="574"/>
      <c r="WPT753" s="574"/>
      <c r="WPU753" s="574"/>
      <c r="WPV753" s="574"/>
      <c r="WPW753" s="574"/>
      <c r="WPX753" s="574"/>
      <c r="WPY753" s="574"/>
      <c r="WPZ753" s="574"/>
      <c r="WQA753" s="574"/>
      <c r="WQB753" s="574"/>
      <c r="WQC753" s="574"/>
      <c r="WQD753" s="574"/>
      <c r="WQE753" s="574"/>
      <c r="WQF753" s="574"/>
      <c r="WQG753" s="574"/>
      <c r="WQH753" s="574"/>
      <c r="WQI753" s="574"/>
      <c r="WQJ753" s="574"/>
      <c r="WQK753" s="574"/>
      <c r="WQL753" s="574"/>
      <c r="WQM753" s="574"/>
      <c r="WQN753" s="574"/>
      <c r="WQO753" s="574"/>
      <c r="WQP753" s="574"/>
      <c r="WQQ753" s="574"/>
      <c r="WQR753" s="574"/>
      <c r="WQS753" s="574"/>
      <c r="WQT753" s="574"/>
      <c r="WQU753" s="574"/>
      <c r="WQV753" s="574"/>
      <c r="WQW753" s="574"/>
      <c r="WQX753" s="574"/>
      <c r="WQY753" s="574"/>
      <c r="WQZ753" s="574"/>
      <c r="WRA753" s="574"/>
      <c r="WRB753" s="574"/>
      <c r="WRC753" s="574"/>
      <c r="WRD753" s="574"/>
      <c r="WRE753" s="574"/>
      <c r="WRF753" s="574"/>
      <c r="WRG753" s="574"/>
      <c r="WRH753" s="574"/>
      <c r="WRI753" s="574"/>
      <c r="WRJ753" s="574"/>
      <c r="WRK753" s="574"/>
      <c r="WRL753" s="574"/>
      <c r="WRM753" s="574"/>
      <c r="WRN753" s="574"/>
      <c r="WRO753" s="574"/>
      <c r="WRP753" s="574"/>
      <c r="WRQ753" s="574"/>
      <c r="WRR753" s="574"/>
      <c r="WRS753" s="574"/>
      <c r="WRT753" s="574"/>
      <c r="WRU753" s="574"/>
      <c r="WRV753" s="574"/>
      <c r="WRW753" s="574"/>
      <c r="WRX753" s="574"/>
      <c r="WRY753" s="574"/>
      <c r="WRZ753" s="574"/>
      <c r="WSA753" s="574"/>
      <c r="WSB753" s="574"/>
      <c r="WSC753" s="574"/>
      <c r="WSD753" s="574"/>
      <c r="WSE753" s="574"/>
      <c r="WSF753" s="574"/>
      <c r="WSG753" s="574"/>
      <c r="WSH753" s="574"/>
      <c r="WSI753" s="574"/>
      <c r="WSJ753" s="574"/>
      <c r="WSK753" s="574"/>
      <c r="WSL753" s="574"/>
      <c r="WSM753" s="574"/>
      <c r="WSN753" s="574"/>
      <c r="WSO753" s="574"/>
      <c r="WSP753" s="574"/>
      <c r="WSQ753" s="574"/>
      <c r="WSR753" s="574"/>
      <c r="WSS753" s="574"/>
      <c r="WST753" s="574"/>
      <c r="WSU753" s="574"/>
      <c r="WSV753" s="574"/>
      <c r="WSW753" s="574"/>
      <c r="WSX753" s="574"/>
      <c r="WSY753" s="574"/>
      <c r="WSZ753" s="574"/>
      <c r="WTA753" s="574"/>
      <c r="WTB753" s="574"/>
      <c r="WTC753" s="574"/>
      <c r="WTD753" s="574"/>
      <c r="WTE753" s="574"/>
      <c r="WTF753" s="574"/>
      <c r="WTG753" s="574"/>
      <c r="WTH753" s="574"/>
      <c r="WTI753" s="574"/>
      <c r="WTJ753" s="574"/>
      <c r="WTK753" s="574"/>
      <c r="WTL753" s="574"/>
      <c r="WTM753" s="574"/>
      <c r="WTN753" s="574"/>
      <c r="WTO753" s="574"/>
      <c r="WTP753" s="574"/>
      <c r="WTQ753" s="574"/>
      <c r="WTR753" s="574"/>
      <c r="WTS753" s="574"/>
      <c r="WTT753" s="574"/>
      <c r="WTU753" s="574"/>
      <c r="WTV753" s="574"/>
      <c r="WTW753" s="574"/>
      <c r="WTX753" s="574"/>
      <c r="WTY753" s="574"/>
      <c r="WTZ753" s="574"/>
      <c r="WUA753" s="574"/>
      <c r="WUB753" s="574"/>
      <c r="WUC753" s="574"/>
      <c r="WUD753" s="574"/>
      <c r="WUE753" s="574"/>
      <c r="WUF753" s="574"/>
      <c r="WUG753" s="574"/>
      <c r="WUH753" s="574"/>
      <c r="WUI753" s="574"/>
      <c r="WUJ753" s="574"/>
      <c r="WUK753" s="574"/>
      <c r="WUL753" s="574"/>
      <c r="WUM753" s="574"/>
      <c r="WUN753" s="574"/>
      <c r="WUO753" s="574"/>
      <c r="WUP753" s="574"/>
      <c r="WUQ753" s="574"/>
      <c r="WUR753" s="574"/>
      <c r="WUS753" s="574"/>
      <c r="WUT753" s="574"/>
      <c r="WUU753" s="574"/>
      <c r="WUV753" s="574"/>
      <c r="WUW753" s="574"/>
      <c r="WUX753" s="574"/>
      <c r="WUY753" s="574"/>
      <c r="WUZ753" s="574"/>
      <c r="WVA753" s="574"/>
      <c r="WVB753" s="574"/>
      <c r="WVC753" s="574"/>
      <c r="WVD753" s="574"/>
      <c r="WVE753" s="574"/>
      <c r="WVF753" s="574"/>
      <c r="WVG753" s="574"/>
      <c r="WVH753" s="574"/>
      <c r="WVI753" s="574"/>
      <c r="WVJ753" s="574"/>
      <c r="WVK753" s="574"/>
      <c r="WVL753" s="574"/>
      <c r="WVM753" s="574"/>
      <c r="WVN753" s="574"/>
      <c r="WVO753" s="574"/>
      <c r="WVP753" s="574"/>
      <c r="WVQ753" s="574"/>
      <c r="WVR753" s="574"/>
      <c r="WVS753" s="574"/>
      <c r="WVT753" s="574"/>
      <c r="WVU753" s="574"/>
      <c r="WVV753" s="574"/>
      <c r="WVW753" s="574"/>
      <c r="WVX753" s="574"/>
      <c r="WVY753" s="574"/>
      <c r="WVZ753" s="574"/>
      <c r="WWA753" s="574"/>
      <c r="WWB753" s="574"/>
      <c r="WWC753" s="574"/>
      <c r="WWD753" s="574"/>
      <c r="WWE753" s="574"/>
      <c r="WWF753" s="574"/>
      <c r="WWG753" s="574"/>
      <c r="WWH753" s="574"/>
      <c r="WWI753" s="574"/>
      <c r="WWJ753" s="574"/>
      <c r="WWK753" s="574"/>
      <c r="WWL753" s="574"/>
      <c r="WWM753" s="574"/>
      <c r="WWN753" s="574"/>
      <c r="WWO753" s="574"/>
      <c r="WWP753" s="574"/>
      <c r="WWQ753" s="574"/>
      <c r="WWR753" s="574"/>
      <c r="WWS753" s="574"/>
      <c r="WWT753" s="574"/>
      <c r="WWU753" s="574"/>
      <c r="WWV753" s="574"/>
      <c r="WWW753" s="574"/>
      <c r="WWX753" s="574"/>
      <c r="WWY753" s="574"/>
      <c r="WWZ753" s="574"/>
      <c r="WXA753" s="574"/>
      <c r="WXB753" s="574"/>
      <c r="WXC753" s="574"/>
      <c r="WXD753" s="574"/>
      <c r="WXE753" s="574"/>
      <c r="WXF753" s="574"/>
      <c r="WXG753" s="574"/>
      <c r="WXH753" s="574"/>
      <c r="WXI753" s="574"/>
      <c r="WXJ753" s="574"/>
      <c r="WXK753" s="574"/>
      <c r="WXL753" s="574"/>
      <c r="WXM753" s="574"/>
      <c r="WXN753" s="574"/>
      <c r="WXO753" s="574"/>
      <c r="WXP753" s="574"/>
      <c r="WXQ753" s="574"/>
      <c r="WXR753" s="574"/>
      <c r="WXS753" s="574"/>
      <c r="WXT753" s="574"/>
      <c r="WXU753" s="574"/>
      <c r="WXV753" s="574"/>
      <c r="WXW753" s="574"/>
      <c r="WXX753" s="574"/>
      <c r="WXY753" s="574"/>
      <c r="WXZ753" s="574"/>
      <c r="WYA753" s="574"/>
      <c r="WYB753" s="574"/>
      <c r="WYC753" s="574"/>
      <c r="WYD753" s="574"/>
      <c r="WYE753" s="574"/>
      <c r="WYF753" s="574"/>
      <c r="WYG753" s="574"/>
      <c r="WYH753" s="574"/>
      <c r="WYI753" s="574"/>
      <c r="WYJ753" s="574"/>
      <c r="WYK753" s="574"/>
      <c r="WYL753" s="574"/>
      <c r="WYM753" s="574"/>
      <c r="WYN753" s="574"/>
      <c r="WYO753" s="574"/>
      <c r="WYP753" s="574"/>
      <c r="WYQ753" s="574"/>
      <c r="WYR753" s="574"/>
      <c r="WYS753" s="574"/>
      <c r="WYT753" s="574"/>
      <c r="WYU753" s="574"/>
      <c r="WYV753" s="574"/>
      <c r="WYW753" s="574"/>
      <c r="WYX753" s="574"/>
      <c r="WYY753" s="574"/>
      <c r="WYZ753" s="574"/>
      <c r="WZA753" s="574"/>
      <c r="WZB753" s="574"/>
      <c r="WZC753" s="574"/>
      <c r="WZD753" s="574"/>
      <c r="WZE753" s="574"/>
      <c r="WZF753" s="574"/>
      <c r="WZG753" s="574"/>
      <c r="WZH753" s="574"/>
      <c r="WZI753" s="574"/>
      <c r="WZJ753" s="574"/>
      <c r="WZK753" s="574"/>
      <c r="WZL753" s="574"/>
      <c r="WZM753" s="574"/>
      <c r="WZN753" s="574"/>
      <c r="WZO753" s="574"/>
      <c r="WZP753" s="574"/>
      <c r="WZQ753" s="574"/>
      <c r="WZR753" s="574"/>
      <c r="WZS753" s="574"/>
      <c r="WZT753" s="574"/>
      <c r="WZU753" s="574"/>
      <c r="WZV753" s="574"/>
      <c r="WZW753" s="574"/>
      <c r="WZX753" s="574"/>
      <c r="WZY753" s="574"/>
      <c r="WZZ753" s="574"/>
      <c r="XAA753" s="574"/>
      <c r="XAB753" s="574"/>
      <c r="XAC753" s="574"/>
      <c r="XAD753" s="574"/>
      <c r="XAE753" s="574"/>
      <c r="XAF753" s="574"/>
      <c r="XAG753" s="574"/>
      <c r="XAH753" s="574"/>
      <c r="XAI753" s="574"/>
      <c r="XAJ753" s="574"/>
      <c r="XAK753" s="574"/>
      <c r="XAL753" s="574"/>
      <c r="XAM753" s="574"/>
      <c r="XAN753" s="574"/>
      <c r="XAO753" s="574"/>
      <c r="XAP753" s="574"/>
      <c r="XAQ753" s="574"/>
      <c r="XAR753" s="574"/>
      <c r="XAS753" s="574"/>
      <c r="XAT753" s="574"/>
      <c r="XAU753" s="574"/>
      <c r="XAV753" s="574"/>
      <c r="XAW753" s="574"/>
      <c r="XAX753" s="574"/>
      <c r="XAY753" s="574"/>
      <c r="XAZ753" s="574"/>
      <c r="XBA753" s="574"/>
      <c r="XBB753" s="574"/>
      <c r="XBC753" s="574"/>
      <c r="XBD753" s="574"/>
      <c r="XBE753" s="574"/>
      <c r="XBF753" s="574"/>
      <c r="XBG753" s="574"/>
      <c r="XBH753" s="574"/>
      <c r="XBI753" s="574"/>
      <c r="XBJ753" s="574"/>
      <c r="XBK753" s="574"/>
      <c r="XBL753" s="574"/>
      <c r="XBM753" s="574"/>
      <c r="XBN753" s="574"/>
      <c r="XBO753" s="574"/>
      <c r="XBP753" s="574"/>
      <c r="XBQ753" s="574"/>
      <c r="XBR753" s="574"/>
      <c r="XBS753" s="574"/>
      <c r="XBT753" s="574"/>
      <c r="XBU753" s="574"/>
      <c r="XBV753" s="574"/>
      <c r="XBW753" s="574"/>
      <c r="XBX753" s="574"/>
      <c r="XBY753" s="574"/>
      <c r="XBZ753" s="574"/>
      <c r="XCA753" s="574"/>
      <c r="XCB753" s="574"/>
      <c r="XCC753" s="574"/>
      <c r="XCD753" s="574"/>
      <c r="XCE753" s="574"/>
      <c r="XCF753" s="574"/>
      <c r="XCG753" s="574"/>
      <c r="XCH753" s="574"/>
      <c r="XCI753" s="574"/>
      <c r="XCJ753" s="574"/>
      <c r="XCK753" s="574"/>
      <c r="XCL753" s="574"/>
      <c r="XCM753" s="574"/>
      <c r="XCN753" s="574"/>
      <c r="XCO753" s="574"/>
      <c r="XCP753" s="574"/>
      <c r="XCQ753" s="574"/>
      <c r="XCR753" s="574"/>
      <c r="XCS753" s="574"/>
      <c r="XCT753" s="574"/>
      <c r="XCU753" s="574"/>
      <c r="XCV753" s="574"/>
      <c r="XCW753" s="574"/>
      <c r="XCX753" s="574"/>
      <c r="XCY753" s="574"/>
      <c r="XCZ753" s="574"/>
      <c r="XDA753" s="574"/>
      <c r="XDB753" s="574"/>
      <c r="XDC753" s="574"/>
      <c r="XDD753" s="574"/>
      <c r="XDE753" s="574"/>
      <c r="XDF753" s="574"/>
      <c r="XDG753" s="574"/>
      <c r="XDH753" s="574"/>
      <c r="XDI753" s="574"/>
      <c r="XDJ753" s="574"/>
      <c r="XDK753" s="574"/>
      <c r="XDL753" s="574"/>
      <c r="XDM753" s="574"/>
      <c r="XDN753" s="574"/>
      <c r="XDO753" s="574"/>
      <c r="XDP753" s="574"/>
      <c r="XDQ753" s="574"/>
      <c r="XDR753" s="574"/>
      <c r="XDS753" s="574"/>
      <c r="XDT753" s="574"/>
      <c r="XDU753" s="574"/>
      <c r="XDV753" s="574"/>
      <c r="XDW753" s="574"/>
      <c r="XDX753" s="574"/>
      <c r="XDY753" s="574"/>
      <c r="XDZ753" s="574"/>
      <c r="XEA753" s="574"/>
      <c r="XEB753" s="574"/>
      <c r="XEC753" s="574"/>
      <c r="XED753" s="574"/>
      <c r="XEE753" s="574"/>
      <c r="XEF753" s="574"/>
      <c r="XEG753" s="574"/>
      <c r="XEH753" s="574"/>
      <c r="XEI753" s="574"/>
      <c r="XEJ753" s="574"/>
      <c r="XEK753" s="574"/>
      <c r="XEL753" s="574"/>
      <c r="XEM753" s="574"/>
      <c r="XEN753" s="574"/>
      <c r="XEO753" s="574"/>
      <c r="XEP753" s="574"/>
      <c r="XEQ753" s="574"/>
      <c r="XER753" s="574"/>
      <c r="XES753" s="574"/>
      <c r="XET753" s="574"/>
      <c r="XEU753" s="574"/>
      <c r="XEV753" s="574"/>
      <c r="XEW753" s="574"/>
      <c r="XEX753" s="574"/>
      <c r="XEY753" s="574"/>
      <c r="XEZ753" s="574"/>
      <c r="XFA753" s="574"/>
      <c r="XFB753" s="574"/>
    </row>
    <row r="754" spans="1:16382" ht="34.5" customHeight="1">
      <c r="A754" s="548">
        <v>698</v>
      </c>
      <c r="B754" s="549">
        <v>624</v>
      </c>
      <c r="C754" s="550" t="s">
        <v>1385</v>
      </c>
      <c r="D754" s="227" t="s">
        <v>493</v>
      </c>
      <c r="E754" s="440" t="s">
        <v>94</v>
      </c>
      <c r="F754" s="227" t="s">
        <v>255</v>
      </c>
      <c r="G754" s="551" t="s">
        <v>3041</v>
      </c>
      <c r="H754" s="552">
        <v>890900286</v>
      </c>
      <c r="I754" s="553" t="s">
        <v>42</v>
      </c>
      <c r="J754" s="554">
        <v>0</v>
      </c>
      <c r="K754" s="555" t="s">
        <v>42</v>
      </c>
      <c r="L754" s="556" t="s">
        <v>3042</v>
      </c>
      <c r="M754" s="224"/>
      <c r="N754" s="557" t="e" cm="1">
        <f t="array" aca="1" ref="N754" ca="1">_xlfn.XLOOKUP(Contrato5[[#This Row],[SUPERVISOR TITULAR]],[2]!PERSONAL_ACTIVO_2024[[#All],[Nombre completo]],[2]!PERSONAL_ACTIVO_2024[[#All],[Documento identidad]],"",0)</f>
        <v>#NAME?</v>
      </c>
      <c r="O754" s="224"/>
      <c r="P754" s="558" t="e" cm="1">
        <f t="array" aca="1" ref="P754" ca="1">_xlfn.XLOOKUP(Contrato5[[#This Row],[SUPERVISOR SUPLENTE ]],[2]!PERSONAL_ACTIVO_2024[[#All],[Nombre completo]],[2]!PERSONAL_ACTIVO_2024[[#All],[Documento identidad]],"",0)</f>
        <v>#NAME?</v>
      </c>
      <c r="Q754" s="559" t="s">
        <v>42</v>
      </c>
      <c r="R754" s="560" t="e" cm="1">
        <f t="array" aca="1" ref="R754" ca="1">_xlfn.XLOOKUP(Contrato5[[#This Row],[CDP]],[2]!DISPONIBILIDADES_2024[[#All],[consecutivo]],[2]!DISPONIBILIDADES_2024[[#All],[fecha_aprobacion]],"",0)</f>
        <v>#NAME?</v>
      </c>
      <c r="S754" s="561" t="e">
        <f>SUMIF([2]!DISPONIBILIDADES_2024[[#All],[consecutivo]],Contrato5[[#This Row],[CDP]],[2]!DISPONIBILIDADES_2024[[#All],[valor_total_rubro]])</f>
        <v>#REF!</v>
      </c>
      <c r="T754" s="562" t="e" cm="1">
        <f t="array" aca="1" ref="T754" ca="1">_xlfn.XLOOKUP(Contrato5[[#This Row],[CONTRATO]]&amp;Contrato5[[#This Row],[CDP]],[2]!Corr_Contr_CDP[[#All],[CONTRATO-CDP]],[2]!Corr_Contr_CDP[[#All],[CRP]],_xlfn.XLOOKUP(Contrato5[[#This Row],[CDP]],[2]!COMPROMISOS_2024[[#All],[disponibilidad]],[2]!COMPROMISOS_2024[[#All],[consecutivo]],"",0),0)</f>
        <v>#NAME?</v>
      </c>
      <c r="U754" s="563" t="e" cm="1">
        <f t="array" aca="1" ref="U754" ca="1">+_xlfn.XLOOKUP(Contrato5[[#This Row],[RCP]],[2]!COMPROMISOS_2024[[#All],[consecutivo]],[2]!COMPROMISOS_2024[[#All],[fecha_aprobacion]],"",0)</f>
        <v>#NAME?</v>
      </c>
      <c r="V754" s="564" t="e">
        <f ca="1">SUMIF([2]!COMPROMISOS_2024[[#All],[consecutivo]],Contrato5[[#This Row],[RCP]],[2]!COMPROMISOS_2024[[#All],[valor_total]])</f>
        <v>#REF!</v>
      </c>
      <c r="W754" s="160">
        <v>45538</v>
      </c>
      <c r="X754" s="160" t="s">
        <v>1045</v>
      </c>
      <c r="Y754" s="143">
        <v>45539</v>
      </c>
      <c r="Z754" s="262">
        <v>45962</v>
      </c>
      <c r="AA754" s="183" t="s">
        <v>3043</v>
      </c>
      <c r="AB754" s="172" t="s">
        <v>2613</v>
      </c>
      <c r="AC754" s="172"/>
      <c r="AD754" s="565">
        <v>202000005344</v>
      </c>
      <c r="AE754" s="548" t="s">
        <v>523</v>
      </c>
      <c r="AF754" s="566" t="str">
        <f>TEXT(LEFT(Contrato5[[#This Row],[CONTRATO]],3),"0")</f>
        <v>624</v>
      </c>
      <c r="AG754" s="566" t="str">
        <f>IF(LEN(Contrato5[[#This Row],[Contrato2]])=3,Contrato5[[#This Row],[Contrato2]],TEXT(Contrato5[[#This Row],[Contrato2]],"000"))</f>
        <v>624</v>
      </c>
      <c r="AH754" s="567">
        <f ca="1">IFERROR(_xlfn.DAYS(Contrato5[[#This Row],[Fecha Proyectada liquidación]],TODAY())/30,"")</f>
        <v>10.8</v>
      </c>
      <c r="AI754" s="568">
        <f>+Contrato5[[#This Row],[FECHA TERMINACIÓN ]]+120</f>
        <v>46082</v>
      </c>
      <c r="AJ754" s="548"/>
      <c r="AK754" s="569" t="str">
        <f ca="1">IF(Contrato5[[#This Row],[FECHA TERMINACIÓN ]]&lt;TODAY(), "Terminado",IF(ISNUMBER(Contrato5[[#This Row],[Fecha Real de liquiidación ]]),"Liquidado",IF(Contrato5[[#This Row],[FECHA TERMINACIÓN ]]&gt;=TODAY(),"En ejecución","")))</f>
        <v>En ejecución</v>
      </c>
      <c r="AL754" s="570" t="e">
        <f ca="1">SUMIF([2]!COMPROMISOS_2024[[#All],[consecutivo]],Contrato5[[#This Row],[RCP]],[2]!COMPROMISOS_2024[[#All],[Total pagado]])</f>
        <v>#REF!</v>
      </c>
      <c r="AM754" s="571">
        <f ca="1">IFERROR(Contrato5[[#This Row],[Pagos]]/Contrato5[[#This Row],[VALOR CONTRATO]],0)</f>
        <v>0</v>
      </c>
      <c r="AN754" s="572" t="e">
        <f ca="1">+Contrato5[[#This Row],[VALOR CONTRATO]]-Contrato5[[#This Row],[Pagos]]</f>
        <v>#REF!</v>
      </c>
      <c r="AO754" s="548" t="e" cm="1">
        <f t="array" aca="1" ref="AO754" ca="1">_xlfn.XLOOKUP(Contrato5[[#This Row],[DOCUMENTO ]],[2]!PERSONAL_ACTIVO_2024[[#All],[Documento identidad]],[2]!PERSONAL_ACTIVO_2024[[#All],[Mail ]],0,0)</f>
        <v>#NAME?</v>
      </c>
      <c r="AP754" s="548" t="e" cm="1">
        <f t="array" aca="1" ref="AP754" ca="1">_xlfn.XLOOKUP(Contrato5[[#This Row],[DOCUMENTO]],[2]!PERSONAL_ACTIVO_2024[[#All],[Documento identidad]],[2]!PERSONAL_ACTIVO_2024[[#All],[Mail ]],0,0)</f>
        <v>#NAME?</v>
      </c>
      <c r="AQ754" s="573" cm="1">
        <f t="array" aca="1" ref="AQ754" ca="1">IF(ISBLANK(Contrato5[[#This Row],[DEPENDENCIA ]]),0,IFERROR(_xlfn.XLOOKUP(Contrato5[[#This Row],[DEPENDENCIA ]],[2]!PERSONAL_ACTIVO_2024[[#All],[Dependencia]],[2]!PERSONAL_ACTIVO_2024[[#All],[Mail ]],0,0),0))</f>
        <v>0</v>
      </c>
      <c r="AR754" s="574"/>
      <c r="AS754" s="574"/>
      <c r="AT754" s="574"/>
      <c r="AU754" s="574"/>
      <c r="AV754" s="574"/>
      <c r="AW754" s="574"/>
      <c r="AX754" s="574"/>
      <c r="AY754" s="574"/>
      <c r="AZ754" s="574"/>
      <c r="BA754" s="574"/>
      <c r="BB754" s="574"/>
      <c r="BC754" s="574"/>
      <c r="BD754" s="574"/>
      <c r="BE754" s="574"/>
      <c r="BF754" s="574"/>
      <c r="BG754" s="574"/>
      <c r="BH754" s="574"/>
      <c r="BI754" s="574"/>
      <c r="BJ754" s="574"/>
      <c r="BK754" s="574"/>
      <c r="BL754" s="574"/>
      <c r="BM754" s="574"/>
      <c r="BN754" s="574"/>
      <c r="BO754" s="574"/>
      <c r="BP754" s="574"/>
      <c r="BQ754" s="574"/>
      <c r="BR754" s="574"/>
      <c r="BS754" s="574"/>
      <c r="BT754" s="574"/>
      <c r="BU754" s="574"/>
      <c r="BV754" s="574"/>
      <c r="BW754" s="574"/>
      <c r="BX754" s="574"/>
      <c r="BY754" s="574"/>
      <c r="BZ754" s="574"/>
      <c r="CA754" s="574"/>
      <c r="CB754" s="574"/>
      <c r="CC754" s="574"/>
      <c r="CD754" s="574"/>
      <c r="CE754" s="574"/>
      <c r="CF754" s="574"/>
      <c r="CG754" s="574"/>
      <c r="CH754" s="574"/>
      <c r="CI754" s="574"/>
      <c r="CJ754" s="574"/>
      <c r="CK754" s="574"/>
      <c r="CL754" s="574"/>
      <c r="CM754" s="574"/>
      <c r="CN754" s="574"/>
      <c r="CO754" s="574"/>
      <c r="CP754" s="574"/>
      <c r="CQ754" s="574"/>
      <c r="CR754" s="574"/>
      <c r="CS754" s="574"/>
      <c r="CT754" s="574"/>
      <c r="CU754" s="574"/>
      <c r="CV754" s="574"/>
      <c r="CW754" s="574"/>
      <c r="CX754" s="574"/>
      <c r="CY754" s="574"/>
      <c r="CZ754" s="574"/>
      <c r="DA754" s="574"/>
      <c r="DB754" s="574"/>
      <c r="DC754" s="574"/>
      <c r="DD754" s="574"/>
      <c r="DE754" s="574"/>
      <c r="DF754" s="574"/>
      <c r="DG754" s="574"/>
      <c r="DH754" s="574"/>
      <c r="DI754" s="574"/>
      <c r="DJ754" s="574"/>
      <c r="DK754" s="574"/>
      <c r="DL754" s="574"/>
      <c r="DM754" s="574"/>
      <c r="DN754" s="574"/>
      <c r="DO754" s="574"/>
      <c r="DP754" s="574"/>
      <c r="DQ754" s="574"/>
      <c r="DR754" s="574"/>
      <c r="DS754" s="574"/>
      <c r="DT754" s="574"/>
      <c r="DU754" s="574"/>
      <c r="DV754" s="574"/>
      <c r="DW754" s="574"/>
      <c r="DX754" s="574"/>
      <c r="DY754" s="574"/>
      <c r="DZ754" s="574"/>
      <c r="EA754" s="574"/>
      <c r="EB754" s="574"/>
      <c r="EC754" s="574"/>
      <c r="ED754" s="574"/>
      <c r="EE754" s="574"/>
      <c r="EF754" s="574"/>
      <c r="EG754" s="574"/>
      <c r="EH754" s="574"/>
      <c r="EI754" s="574"/>
      <c r="EJ754" s="574"/>
      <c r="EK754" s="574"/>
      <c r="EL754" s="574"/>
      <c r="EM754" s="574"/>
      <c r="EN754" s="574"/>
      <c r="EO754" s="574"/>
      <c r="EP754" s="574"/>
      <c r="EQ754" s="574"/>
      <c r="ER754" s="574"/>
      <c r="ES754" s="574"/>
      <c r="ET754" s="574"/>
      <c r="EU754" s="574"/>
      <c r="EV754" s="574"/>
      <c r="EW754" s="574"/>
      <c r="EX754" s="574"/>
      <c r="EY754" s="574"/>
      <c r="EZ754" s="574"/>
      <c r="FA754" s="574"/>
      <c r="FB754" s="574"/>
      <c r="FC754" s="574"/>
      <c r="FD754" s="574"/>
      <c r="FE754" s="574"/>
      <c r="FF754" s="574"/>
      <c r="FG754" s="574"/>
      <c r="FH754" s="574"/>
      <c r="FI754" s="574"/>
      <c r="FJ754" s="574"/>
      <c r="FK754" s="574"/>
      <c r="FL754" s="574"/>
      <c r="FM754" s="574"/>
      <c r="FN754" s="574"/>
      <c r="FO754" s="574"/>
      <c r="FP754" s="574"/>
      <c r="FQ754" s="574"/>
      <c r="FR754" s="574"/>
      <c r="FS754" s="574"/>
      <c r="FT754" s="574"/>
      <c r="FU754" s="574"/>
      <c r="FV754" s="574"/>
      <c r="FW754" s="574"/>
      <c r="FX754" s="574"/>
      <c r="FY754" s="574"/>
      <c r="FZ754" s="574"/>
      <c r="GA754" s="574"/>
      <c r="GB754" s="574"/>
      <c r="GC754" s="574"/>
      <c r="GD754" s="574"/>
      <c r="GE754" s="574"/>
      <c r="GF754" s="574"/>
      <c r="GG754" s="574"/>
      <c r="GH754" s="574"/>
      <c r="GI754" s="574"/>
      <c r="GJ754" s="574"/>
      <c r="GK754" s="574"/>
      <c r="GL754" s="574"/>
      <c r="GM754" s="574"/>
      <c r="GN754" s="574"/>
      <c r="GO754" s="574"/>
      <c r="GP754" s="574"/>
      <c r="GQ754" s="574"/>
      <c r="GR754" s="574"/>
      <c r="GS754" s="574"/>
      <c r="GT754" s="574"/>
      <c r="GU754" s="574"/>
      <c r="GV754" s="574"/>
      <c r="GW754" s="574"/>
      <c r="GX754" s="574"/>
      <c r="GY754" s="574"/>
      <c r="GZ754" s="574"/>
      <c r="HA754" s="574"/>
      <c r="HB754" s="574"/>
      <c r="HC754" s="574"/>
      <c r="HD754" s="574"/>
      <c r="HE754" s="574"/>
      <c r="HF754" s="574"/>
      <c r="HG754" s="574"/>
      <c r="HH754" s="574"/>
      <c r="HI754" s="574"/>
      <c r="HJ754" s="574"/>
      <c r="HK754" s="574"/>
      <c r="HL754" s="574"/>
      <c r="HM754" s="574"/>
      <c r="HN754" s="574"/>
      <c r="HO754" s="574"/>
      <c r="HP754" s="574"/>
      <c r="HQ754" s="574"/>
      <c r="HR754" s="574"/>
      <c r="HS754" s="574"/>
      <c r="HT754" s="574"/>
      <c r="HU754" s="574"/>
      <c r="HV754" s="574"/>
      <c r="HW754" s="574"/>
      <c r="HX754" s="574"/>
      <c r="HY754" s="574"/>
      <c r="HZ754" s="574"/>
      <c r="IA754" s="574"/>
      <c r="IB754" s="574"/>
      <c r="IC754" s="574"/>
      <c r="ID754" s="574"/>
      <c r="IE754" s="574"/>
      <c r="IF754" s="574"/>
      <c r="IG754" s="574"/>
      <c r="IH754" s="574"/>
      <c r="II754" s="574"/>
      <c r="IJ754" s="574"/>
      <c r="IK754" s="574"/>
      <c r="IL754" s="574"/>
      <c r="IM754" s="574"/>
      <c r="IN754" s="574"/>
      <c r="IO754" s="574"/>
      <c r="IP754" s="574"/>
      <c r="IQ754" s="574"/>
      <c r="IR754" s="574"/>
      <c r="IS754" s="574"/>
      <c r="IT754" s="574"/>
      <c r="IU754" s="574"/>
      <c r="IV754" s="574"/>
      <c r="IW754" s="574"/>
      <c r="IX754" s="574"/>
      <c r="IY754" s="574"/>
      <c r="IZ754" s="574"/>
      <c r="JA754" s="574"/>
      <c r="JB754" s="574"/>
      <c r="JC754" s="574"/>
      <c r="JD754" s="574"/>
      <c r="JE754" s="574"/>
      <c r="JF754" s="574"/>
      <c r="JG754" s="574"/>
      <c r="JH754" s="574"/>
      <c r="JI754" s="574"/>
      <c r="JJ754" s="574"/>
      <c r="JK754" s="574"/>
      <c r="JL754" s="574"/>
      <c r="JM754" s="574"/>
      <c r="JN754" s="574"/>
      <c r="JO754" s="574"/>
      <c r="JP754" s="574"/>
      <c r="JQ754" s="574"/>
      <c r="JR754" s="574"/>
      <c r="JS754" s="574"/>
      <c r="JT754" s="574"/>
      <c r="JU754" s="574"/>
      <c r="JV754" s="574"/>
      <c r="JW754" s="574"/>
      <c r="JX754" s="574"/>
      <c r="JY754" s="574"/>
      <c r="JZ754" s="574"/>
      <c r="KA754" s="574"/>
      <c r="KB754" s="574"/>
      <c r="KC754" s="574"/>
      <c r="KD754" s="574"/>
      <c r="KE754" s="574"/>
      <c r="KF754" s="574"/>
      <c r="KG754" s="574"/>
      <c r="KH754" s="574"/>
      <c r="KI754" s="574"/>
      <c r="KJ754" s="574"/>
      <c r="KK754" s="574"/>
      <c r="KL754" s="574"/>
      <c r="KM754" s="574"/>
      <c r="KN754" s="574"/>
      <c r="KO754" s="574"/>
      <c r="KP754" s="574"/>
      <c r="KQ754" s="574"/>
      <c r="KR754" s="574"/>
      <c r="KS754" s="574"/>
      <c r="KT754" s="574"/>
      <c r="KU754" s="574"/>
      <c r="KV754" s="574"/>
      <c r="KW754" s="574"/>
      <c r="KX754" s="574"/>
      <c r="KY754" s="574"/>
      <c r="KZ754" s="574"/>
      <c r="LA754" s="574"/>
      <c r="LB754" s="574"/>
      <c r="LC754" s="574"/>
      <c r="LD754" s="574"/>
      <c r="LE754" s="574"/>
      <c r="LF754" s="574"/>
      <c r="LG754" s="574"/>
      <c r="LH754" s="574"/>
      <c r="LI754" s="574"/>
      <c r="LJ754" s="574"/>
      <c r="LK754" s="574"/>
      <c r="LL754" s="574"/>
      <c r="LM754" s="574"/>
      <c r="LN754" s="574"/>
      <c r="LO754" s="574"/>
      <c r="LP754" s="574"/>
      <c r="LQ754" s="574"/>
      <c r="LR754" s="574"/>
      <c r="LS754" s="574"/>
      <c r="LT754" s="574"/>
      <c r="LU754" s="574"/>
      <c r="LV754" s="574"/>
      <c r="LW754" s="574"/>
      <c r="LX754" s="574"/>
      <c r="LY754" s="574"/>
      <c r="LZ754" s="574"/>
      <c r="MA754" s="574"/>
      <c r="MB754" s="574"/>
      <c r="MC754" s="574"/>
      <c r="MD754" s="574"/>
      <c r="ME754" s="574"/>
      <c r="MF754" s="574"/>
      <c r="MG754" s="574"/>
      <c r="MH754" s="574"/>
      <c r="MI754" s="574"/>
      <c r="MJ754" s="574"/>
      <c r="MK754" s="574"/>
      <c r="ML754" s="574"/>
      <c r="MM754" s="574"/>
      <c r="MN754" s="574"/>
      <c r="MO754" s="574"/>
      <c r="MP754" s="574"/>
      <c r="MQ754" s="574"/>
      <c r="MR754" s="574"/>
      <c r="MS754" s="574"/>
      <c r="MT754" s="574"/>
      <c r="MU754" s="574"/>
      <c r="MV754" s="574"/>
      <c r="MW754" s="574"/>
      <c r="MX754" s="574"/>
      <c r="MY754" s="574"/>
      <c r="MZ754" s="574"/>
      <c r="NA754" s="574"/>
      <c r="NB754" s="574"/>
      <c r="NC754" s="574"/>
      <c r="ND754" s="574"/>
      <c r="NE754" s="574"/>
      <c r="NF754" s="574"/>
      <c r="NG754" s="574"/>
      <c r="NH754" s="574"/>
      <c r="NI754" s="574"/>
      <c r="NJ754" s="574"/>
      <c r="NK754" s="574"/>
      <c r="NL754" s="574"/>
      <c r="NM754" s="574"/>
      <c r="NN754" s="574"/>
      <c r="NO754" s="574"/>
      <c r="NP754" s="574"/>
      <c r="NQ754" s="574"/>
      <c r="NR754" s="574"/>
      <c r="NS754" s="574"/>
      <c r="NT754" s="574"/>
      <c r="NU754" s="574"/>
      <c r="NV754" s="574"/>
      <c r="NW754" s="574"/>
      <c r="NX754" s="574"/>
      <c r="NY754" s="574"/>
      <c r="NZ754" s="574"/>
      <c r="OA754" s="574"/>
      <c r="OB754" s="574"/>
      <c r="OC754" s="574"/>
      <c r="OD754" s="574"/>
      <c r="OE754" s="574"/>
      <c r="OF754" s="574"/>
      <c r="OG754" s="574"/>
      <c r="OH754" s="574"/>
      <c r="OI754" s="574"/>
      <c r="OJ754" s="574"/>
      <c r="OK754" s="574"/>
      <c r="OL754" s="574"/>
      <c r="OM754" s="574"/>
      <c r="ON754" s="574"/>
      <c r="OO754" s="574"/>
      <c r="OP754" s="574"/>
      <c r="OQ754" s="574"/>
      <c r="OR754" s="574"/>
      <c r="OS754" s="574"/>
      <c r="OT754" s="574"/>
      <c r="OU754" s="574"/>
      <c r="OV754" s="574"/>
      <c r="OW754" s="574"/>
      <c r="OX754" s="574"/>
      <c r="OY754" s="574"/>
      <c r="OZ754" s="574"/>
      <c r="PA754" s="574"/>
      <c r="PB754" s="574"/>
      <c r="PC754" s="574"/>
      <c r="PD754" s="574"/>
      <c r="PE754" s="574"/>
      <c r="PF754" s="574"/>
      <c r="PG754" s="574"/>
      <c r="PH754" s="574"/>
      <c r="PI754" s="574"/>
      <c r="PJ754" s="574"/>
      <c r="PK754" s="574"/>
      <c r="PL754" s="574"/>
      <c r="PM754" s="574"/>
      <c r="PN754" s="574"/>
      <c r="PO754" s="574"/>
      <c r="PP754" s="574"/>
      <c r="PQ754" s="574"/>
      <c r="PR754" s="574"/>
      <c r="PS754" s="574"/>
      <c r="PT754" s="574"/>
      <c r="PU754" s="574"/>
      <c r="PV754" s="574"/>
      <c r="PW754" s="574"/>
      <c r="PX754" s="574"/>
      <c r="PY754" s="574"/>
      <c r="PZ754" s="574"/>
      <c r="QA754" s="574"/>
      <c r="QB754" s="574"/>
      <c r="QC754" s="574"/>
      <c r="QD754" s="574"/>
      <c r="QE754" s="574"/>
      <c r="QF754" s="574"/>
      <c r="QG754" s="574"/>
      <c r="QH754" s="574"/>
      <c r="QI754" s="574"/>
      <c r="QJ754" s="574"/>
      <c r="QK754" s="574"/>
      <c r="QL754" s="574"/>
      <c r="QM754" s="574"/>
      <c r="QN754" s="574"/>
      <c r="QO754" s="574"/>
      <c r="QP754" s="574"/>
      <c r="QQ754" s="574"/>
      <c r="QR754" s="574"/>
      <c r="QS754" s="574"/>
      <c r="QT754" s="574"/>
      <c r="QU754" s="574"/>
      <c r="QV754" s="574"/>
      <c r="QW754" s="574"/>
      <c r="QX754" s="574"/>
      <c r="QY754" s="574"/>
      <c r="QZ754" s="574"/>
      <c r="RA754" s="574"/>
      <c r="RB754" s="574"/>
      <c r="RC754" s="574"/>
      <c r="RD754" s="574"/>
      <c r="RE754" s="574"/>
      <c r="RF754" s="574"/>
      <c r="RG754" s="574"/>
      <c r="RH754" s="574"/>
      <c r="RI754" s="574"/>
      <c r="RJ754" s="574"/>
      <c r="RK754" s="574"/>
      <c r="RL754" s="574"/>
      <c r="RM754" s="574"/>
      <c r="RN754" s="574"/>
      <c r="RO754" s="574"/>
      <c r="RP754" s="574"/>
      <c r="RQ754" s="574"/>
      <c r="RR754" s="574"/>
      <c r="RS754" s="574"/>
      <c r="RT754" s="574"/>
      <c r="RU754" s="574"/>
      <c r="RV754" s="574"/>
      <c r="RW754" s="574"/>
      <c r="RX754" s="574"/>
      <c r="RY754" s="574"/>
      <c r="RZ754" s="574"/>
      <c r="SA754" s="574"/>
      <c r="SB754" s="574"/>
      <c r="SC754" s="574"/>
      <c r="SD754" s="574"/>
      <c r="SE754" s="574"/>
      <c r="SF754" s="574"/>
      <c r="SG754" s="574"/>
      <c r="SH754" s="574"/>
      <c r="SI754" s="574"/>
      <c r="SJ754" s="574"/>
      <c r="SK754" s="574"/>
      <c r="SL754" s="574"/>
      <c r="SM754" s="574"/>
      <c r="SN754" s="574"/>
      <c r="SO754" s="574"/>
      <c r="SP754" s="574"/>
      <c r="SQ754" s="574"/>
      <c r="SR754" s="574"/>
      <c r="SS754" s="574"/>
      <c r="ST754" s="574"/>
      <c r="SU754" s="574"/>
      <c r="SV754" s="574"/>
      <c r="SW754" s="574"/>
      <c r="SX754" s="574"/>
      <c r="SY754" s="574"/>
      <c r="SZ754" s="574"/>
      <c r="TA754" s="574"/>
      <c r="TB754" s="574"/>
      <c r="TC754" s="574"/>
      <c r="TD754" s="574"/>
      <c r="TE754" s="574"/>
      <c r="TF754" s="574"/>
      <c r="TG754" s="574"/>
      <c r="TH754" s="574"/>
      <c r="TI754" s="574"/>
      <c r="TJ754" s="574"/>
      <c r="TK754" s="574"/>
      <c r="TL754" s="574"/>
      <c r="TM754" s="574"/>
      <c r="TN754" s="574"/>
      <c r="TO754" s="574"/>
      <c r="TP754" s="574"/>
      <c r="TQ754" s="574"/>
      <c r="TR754" s="574"/>
      <c r="TS754" s="574"/>
      <c r="TT754" s="574"/>
      <c r="TU754" s="574"/>
      <c r="TV754" s="574"/>
      <c r="TW754" s="574"/>
      <c r="TX754" s="574"/>
      <c r="TY754" s="574"/>
      <c r="TZ754" s="574"/>
      <c r="UA754" s="574"/>
      <c r="UB754" s="574"/>
      <c r="UC754" s="574"/>
      <c r="UD754" s="574"/>
      <c r="UE754" s="574"/>
      <c r="UF754" s="574"/>
      <c r="UG754" s="574"/>
      <c r="UH754" s="574"/>
      <c r="UI754" s="574"/>
      <c r="UJ754" s="574"/>
      <c r="UK754" s="574"/>
      <c r="UL754" s="574"/>
      <c r="UM754" s="574"/>
      <c r="UN754" s="574"/>
      <c r="UO754" s="574"/>
      <c r="UP754" s="574"/>
      <c r="UQ754" s="574"/>
      <c r="UR754" s="574"/>
      <c r="US754" s="574"/>
      <c r="UT754" s="574"/>
      <c r="UU754" s="574"/>
      <c r="UV754" s="574"/>
      <c r="UW754" s="574"/>
      <c r="UX754" s="574"/>
      <c r="UY754" s="574"/>
      <c r="UZ754" s="574"/>
      <c r="VA754" s="574"/>
      <c r="VB754" s="574"/>
      <c r="VC754" s="574"/>
      <c r="VD754" s="574"/>
      <c r="VE754" s="574"/>
      <c r="VF754" s="574"/>
      <c r="VG754" s="574"/>
      <c r="VH754" s="574"/>
      <c r="VI754" s="574"/>
      <c r="VJ754" s="574"/>
      <c r="VK754" s="574"/>
      <c r="VL754" s="574"/>
      <c r="VM754" s="574"/>
      <c r="VN754" s="574"/>
      <c r="VO754" s="574"/>
      <c r="VP754" s="574"/>
      <c r="VQ754" s="574"/>
      <c r="VR754" s="574"/>
      <c r="VS754" s="574"/>
      <c r="VT754" s="574"/>
      <c r="VU754" s="574"/>
      <c r="VV754" s="574"/>
      <c r="VW754" s="574"/>
      <c r="VX754" s="574"/>
      <c r="VY754" s="574"/>
      <c r="VZ754" s="574"/>
      <c r="WA754" s="574"/>
      <c r="WB754" s="574"/>
      <c r="WC754" s="574"/>
      <c r="WD754" s="574"/>
      <c r="WE754" s="574"/>
      <c r="WF754" s="574"/>
      <c r="WG754" s="574"/>
      <c r="WH754" s="574"/>
      <c r="WI754" s="574"/>
      <c r="WJ754" s="574"/>
      <c r="WK754" s="574"/>
      <c r="WL754" s="574"/>
      <c r="WM754" s="574"/>
      <c r="WN754" s="574"/>
      <c r="WO754" s="574"/>
      <c r="WP754" s="574"/>
      <c r="WQ754" s="574"/>
      <c r="WR754" s="574"/>
      <c r="WS754" s="574"/>
      <c r="WT754" s="574"/>
      <c r="WU754" s="574"/>
      <c r="WV754" s="574"/>
      <c r="WW754" s="574"/>
      <c r="WX754" s="574"/>
      <c r="WY754" s="574"/>
      <c r="WZ754" s="574"/>
      <c r="XA754" s="574"/>
      <c r="XB754" s="574"/>
      <c r="XC754" s="574"/>
      <c r="XD754" s="574"/>
      <c r="XE754" s="574"/>
      <c r="XF754" s="574"/>
      <c r="XG754" s="574"/>
      <c r="XH754" s="574"/>
      <c r="XI754" s="574"/>
      <c r="XJ754" s="574"/>
      <c r="XK754" s="574"/>
      <c r="XL754" s="574"/>
      <c r="XM754" s="574"/>
      <c r="XN754" s="574"/>
      <c r="XO754" s="574"/>
      <c r="XP754" s="574"/>
      <c r="XQ754" s="574"/>
      <c r="XR754" s="574"/>
      <c r="XS754" s="574"/>
      <c r="XT754" s="574"/>
      <c r="XU754" s="574"/>
      <c r="XV754" s="574"/>
      <c r="XW754" s="574"/>
      <c r="XX754" s="574"/>
      <c r="XY754" s="574"/>
      <c r="XZ754" s="574"/>
      <c r="YA754" s="574"/>
      <c r="YB754" s="574"/>
      <c r="YC754" s="574"/>
      <c r="YD754" s="574"/>
      <c r="YE754" s="574"/>
      <c r="YF754" s="574"/>
      <c r="YG754" s="574"/>
      <c r="YH754" s="574"/>
      <c r="YI754" s="574"/>
      <c r="YJ754" s="574"/>
      <c r="YK754" s="574"/>
      <c r="YL754" s="574"/>
      <c r="YM754" s="574"/>
      <c r="YN754" s="574"/>
      <c r="YO754" s="574"/>
      <c r="YP754" s="574"/>
      <c r="YQ754" s="574"/>
      <c r="YR754" s="574"/>
      <c r="YS754" s="574"/>
      <c r="YT754" s="574"/>
      <c r="YU754" s="574"/>
      <c r="YV754" s="574"/>
      <c r="YW754" s="574"/>
      <c r="YX754" s="574"/>
      <c r="YY754" s="574"/>
      <c r="YZ754" s="574"/>
      <c r="ZA754" s="574"/>
      <c r="ZB754" s="574"/>
      <c r="ZC754" s="574"/>
      <c r="ZD754" s="574"/>
      <c r="ZE754" s="574"/>
      <c r="ZF754" s="574"/>
      <c r="ZG754" s="574"/>
      <c r="ZH754" s="574"/>
      <c r="ZI754" s="574"/>
      <c r="ZJ754" s="574"/>
      <c r="ZK754" s="574"/>
      <c r="ZL754" s="574"/>
      <c r="ZM754" s="574"/>
      <c r="ZN754" s="574"/>
      <c r="ZO754" s="574"/>
      <c r="ZP754" s="574"/>
      <c r="ZQ754" s="574"/>
      <c r="ZR754" s="574"/>
      <c r="ZS754" s="574"/>
      <c r="ZT754" s="574"/>
      <c r="ZU754" s="574"/>
      <c r="ZV754" s="574"/>
      <c r="ZW754" s="574"/>
      <c r="ZX754" s="574"/>
      <c r="ZY754" s="574"/>
      <c r="ZZ754" s="574"/>
      <c r="AAA754" s="574"/>
      <c r="AAB754" s="574"/>
      <c r="AAC754" s="574"/>
      <c r="AAD754" s="574"/>
      <c r="AAE754" s="574"/>
      <c r="AAF754" s="574"/>
      <c r="AAG754" s="574"/>
      <c r="AAH754" s="574"/>
      <c r="AAI754" s="574"/>
      <c r="AAJ754" s="574"/>
      <c r="AAK754" s="574"/>
      <c r="AAL754" s="574"/>
      <c r="AAM754" s="574"/>
      <c r="AAN754" s="574"/>
      <c r="AAO754" s="574"/>
      <c r="AAP754" s="574"/>
      <c r="AAQ754" s="574"/>
      <c r="AAR754" s="574"/>
      <c r="AAS754" s="574"/>
      <c r="AAT754" s="574"/>
      <c r="AAU754" s="574"/>
      <c r="AAV754" s="574"/>
      <c r="AAW754" s="574"/>
      <c r="AAX754" s="574"/>
      <c r="AAY754" s="574"/>
      <c r="AAZ754" s="574"/>
      <c r="ABA754" s="574"/>
      <c r="ABB754" s="574"/>
      <c r="ABC754" s="574"/>
      <c r="ABD754" s="574"/>
      <c r="ABE754" s="574"/>
      <c r="ABF754" s="574"/>
      <c r="ABG754" s="574"/>
      <c r="ABH754" s="574"/>
      <c r="ABI754" s="574"/>
      <c r="ABJ754" s="574"/>
      <c r="ABK754" s="574"/>
      <c r="ABL754" s="574"/>
      <c r="ABM754" s="574"/>
      <c r="ABN754" s="574"/>
      <c r="ABO754" s="574"/>
      <c r="ABP754" s="574"/>
      <c r="ABQ754" s="574"/>
      <c r="ABR754" s="574"/>
      <c r="ABS754" s="574"/>
      <c r="ABT754" s="574"/>
      <c r="ABU754" s="574"/>
      <c r="ABV754" s="574"/>
      <c r="ABW754" s="574"/>
      <c r="ABX754" s="574"/>
      <c r="ABY754" s="574"/>
      <c r="ABZ754" s="574"/>
      <c r="ACA754" s="574"/>
      <c r="ACB754" s="574"/>
      <c r="ACC754" s="574"/>
      <c r="ACD754" s="574"/>
      <c r="ACE754" s="574"/>
      <c r="ACF754" s="574"/>
      <c r="ACG754" s="574"/>
      <c r="ACH754" s="574"/>
      <c r="ACI754" s="574"/>
      <c r="ACJ754" s="574"/>
      <c r="ACK754" s="574"/>
      <c r="ACL754" s="574"/>
      <c r="ACM754" s="574"/>
      <c r="ACN754" s="574"/>
      <c r="ACO754" s="574"/>
      <c r="ACP754" s="574"/>
      <c r="ACQ754" s="574"/>
      <c r="ACR754" s="574"/>
      <c r="ACS754" s="574"/>
      <c r="ACT754" s="574"/>
      <c r="ACU754" s="574"/>
      <c r="ACV754" s="574"/>
      <c r="ACW754" s="574"/>
      <c r="ACX754" s="574"/>
      <c r="ACY754" s="574"/>
      <c r="ACZ754" s="574"/>
      <c r="ADA754" s="574"/>
      <c r="ADB754" s="574"/>
      <c r="ADC754" s="574"/>
      <c r="ADD754" s="574"/>
      <c r="ADE754" s="574"/>
      <c r="ADF754" s="574"/>
      <c r="ADG754" s="574"/>
      <c r="ADH754" s="574"/>
      <c r="ADI754" s="574"/>
      <c r="ADJ754" s="574"/>
      <c r="ADK754" s="574"/>
      <c r="ADL754" s="574"/>
      <c r="ADM754" s="574"/>
      <c r="ADN754" s="574"/>
      <c r="ADO754" s="574"/>
      <c r="ADP754" s="574"/>
      <c r="ADQ754" s="574"/>
      <c r="ADR754" s="574"/>
      <c r="ADS754" s="574"/>
      <c r="ADT754" s="574"/>
      <c r="ADU754" s="574"/>
      <c r="ADV754" s="574"/>
      <c r="ADW754" s="574"/>
      <c r="ADX754" s="574"/>
      <c r="ADY754" s="574"/>
      <c r="ADZ754" s="574"/>
      <c r="AEA754" s="574"/>
      <c r="AEB754" s="574"/>
      <c r="AEC754" s="574"/>
      <c r="AED754" s="574"/>
      <c r="AEE754" s="574"/>
      <c r="AEF754" s="574"/>
      <c r="AEG754" s="574"/>
      <c r="AEH754" s="574"/>
      <c r="AEI754" s="574"/>
      <c r="AEJ754" s="574"/>
      <c r="AEK754" s="574"/>
      <c r="AEL754" s="574"/>
      <c r="AEM754" s="574"/>
      <c r="AEN754" s="574"/>
      <c r="AEO754" s="574"/>
      <c r="AEP754" s="574"/>
      <c r="AEQ754" s="574"/>
      <c r="AER754" s="574"/>
      <c r="AES754" s="574"/>
      <c r="AET754" s="574"/>
      <c r="AEU754" s="574"/>
      <c r="AEV754" s="574"/>
      <c r="AEW754" s="574"/>
      <c r="AEX754" s="574"/>
      <c r="AEY754" s="574"/>
      <c r="AEZ754" s="574"/>
      <c r="AFA754" s="574"/>
      <c r="AFB754" s="574"/>
      <c r="AFC754" s="574"/>
      <c r="AFD754" s="574"/>
      <c r="AFE754" s="574"/>
      <c r="AFF754" s="574"/>
      <c r="AFG754" s="574"/>
      <c r="AFH754" s="574"/>
      <c r="AFI754" s="574"/>
      <c r="AFJ754" s="574"/>
      <c r="AFK754" s="574"/>
      <c r="AFL754" s="574"/>
      <c r="AFM754" s="574"/>
      <c r="AFN754" s="574"/>
      <c r="AFO754" s="574"/>
      <c r="AFP754" s="574"/>
      <c r="AFQ754" s="574"/>
      <c r="AFR754" s="574"/>
      <c r="AFS754" s="574"/>
      <c r="AFT754" s="574"/>
      <c r="AFU754" s="574"/>
      <c r="AFV754" s="574"/>
      <c r="AFW754" s="574"/>
      <c r="AFX754" s="574"/>
      <c r="AFY754" s="574"/>
      <c r="AFZ754" s="574"/>
      <c r="AGA754" s="574"/>
      <c r="AGB754" s="574"/>
      <c r="AGC754" s="574"/>
      <c r="AGD754" s="574"/>
      <c r="AGE754" s="574"/>
      <c r="AGF754" s="574"/>
      <c r="AGG754" s="574"/>
      <c r="AGH754" s="574"/>
      <c r="AGI754" s="574"/>
      <c r="AGJ754" s="574"/>
      <c r="AGK754" s="574"/>
      <c r="AGL754" s="574"/>
      <c r="AGM754" s="574"/>
      <c r="AGN754" s="574"/>
      <c r="AGO754" s="574"/>
      <c r="AGP754" s="574"/>
      <c r="AGQ754" s="574"/>
      <c r="AGR754" s="574"/>
      <c r="AGS754" s="574"/>
      <c r="AGT754" s="574"/>
      <c r="AGU754" s="574"/>
      <c r="AGV754" s="574"/>
      <c r="AGW754" s="574"/>
      <c r="AGX754" s="574"/>
      <c r="AGY754" s="574"/>
      <c r="AGZ754" s="574"/>
      <c r="AHA754" s="574"/>
      <c r="AHB754" s="574"/>
      <c r="AHC754" s="574"/>
      <c r="AHD754" s="574"/>
      <c r="AHE754" s="574"/>
      <c r="AHF754" s="574"/>
      <c r="AHG754" s="574"/>
      <c r="AHH754" s="574"/>
      <c r="AHI754" s="574"/>
      <c r="AHJ754" s="574"/>
      <c r="AHK754" s="574"/>
      <c r="AHL754" s="574"/>
      <c r="AHM754" s="574"/>
      <c r="AHN754" s="574"/>
      <c r="AHO754" s="574"/>
      <c r="AHP754" s="574"/>
      <c r="AHQ754" s="574"/>
      <c r="AHR754" s="574"/>
      <c r="AHS754" s="574"/>
      <c r="AHT754" s="574"/>
      <c r="AHU754" s="574"/>
      <c r="AHV754" s="574"/>
      <c r="AHW754" s="574"/>
      <c r="AHX754" s="574"/>
      <c r="AHY754" s="574"/>
      <c r="AHZ754" s="574"/>
      <c r="AIA754" s="574"/>
      <c r="AIB754" s="574"/>
      <c r="AIC754" s="574"/>
      <c r="AID754" s="574"/>
      <c r="AIE754" s="574"/>
      <c r="AIF754" s="574"/>
      <c r="AIG754" s="574"/>
      <c r="AIH754" s="574"/>
      <c r="AII754" s="574"/>
      <c r="AIJ754" s="574"/>
      <c r="AIK754" s="574"/>
      <c r="AIL754" s="574"/>
      <c r="AIM754" s="574"/>
      <c r="AIN754" s="574"/>
      <c r="AIO754" s="574"/>
      <c r="AIP754" s="574"/>
      <c r="AIQ754" s="574"/>
      <c r="AIR754" s="574"/>
      <c r="AIS754" s="574"/>
      <c r="AIT754" s="574"/>
      <c r="AIU754" s="574"/>
      <c r="AIV754" s="574"/>
      <c r="AIW754" s="574"/>
      <c r="AIX754" s="574"/>
      <c r="AIY754" s="574"/>
      <c r="AIZ754" s="574"/>
      <c r="AJA754" s="574"/>
      <c r="AJB754" s="574"/>
      <c r="AJC754" s="574"/>
      <c r="AJD754" s="574"/>
      <c r="AJE754" s="574"/>
      <c r="AJF754" s="574"/>
      <c r="AJG754" s="574"/>
      <c r="AJH754" s="574"/>
      <c r="AJI754" s="574"/>
      <c r="AJJ754" s="574"/>
      <c r="AJK754" s="574"/>
      <c r="AJL754" s="574"/>
      <c r="AJM754" s="574"/>
      <c r="AJN754" s="574"/>
      <c r="AJO754" s="574"/>
      <c r="AJP754" s="574"/>
      <c r="AJQ754" s="574"/>
      <c r="AJR754" s="574"/>
      <c r="AJS754" s="574"/>
      <c r="AJT754" s="574"/>
      <c r="AJU754" s="574"/>
      <c r="AJV754" s="574"/>
      <c r="AJW754" s="574"/>
      <c r="AJX754" s="574"/>
      <c r="AJY754" s="574"/>
      <c r="AJZ754" s="574"/>
      <c r="AKA754" s="574"/>
      <c r="AKB754" s="574"/>
      <c r="AKC754" s="574"/>
      <c r="AKD754" s="574"/>
      <c r="AKE754" s="574"/>
      <c r="AKF754" s="574"/>
      <c r="AKG754" s="574"/>
      <c r="AKH754" s="574"/>
      <c r="AKI754" s="574"/>
      <c r="AKJ754" s="574"/>
      <c r="AKK754" s="574"/>
      <c r="AKL754" s="574"/>
      <c r="AKM754" s="574"/>
      <c r="AKN754" s="574"/>
      <c r="AKO754" s="574"/>
      <c r="AKP754" s="574"/>
      <c r="AKQ754" s="574"/>
      <c r="AKR754" s="574"/>
      <c r="AKS754" s="574"/>
      <c r="AKT754" s="574"/>
      <c r="AKU754" s="574"/>
      <c r="AKV754" s="574"/>
      <c r="AKW754" s="574"/>
      <c r="AKX754" s="574"/>
      <c r="AKY754" s="574"/>
      <c r="AKZ754" s="574"/>
      <c r="ALA754" s="574"/>
      <c r="ALB754" s="574"/>
      <c r="ALC754" s="574"/>
      <c r="ALD754" s="574"/>
      <c r="ALE754" s="574"/>
      <c r="ALF754" s="574"/>
      <c r="ALG754" s="574"/>
      <c r="ALH754" s="574"/>
      <c r="ALI754" s="574"/>
      <c r="ALJ754" s="574"/>
      <c r="ALK754" s="574"/>
      <c r="ALL754" s="574"/>
      <c r="ALM754" s="574"/>
      <c r="ALN754" s="574"/>
      <c r="ALO754" s="574"/>
      <c r="ALP754" s="574"/>
      <c r="ALQ754" s="574"/>
      <c r="ALR754" s="574"/>
      <c r="ALS754" s="574"/>
      <c r="ALT754" s="574"/>
      <c r="ALU754" s="574"/>
      <c r="ALV754" s="574"/>
      <c r="ALW754" s="574"/>
      <c r="ALX754" s="574"/>
      <c r="ALY754" s="574"/>
      <c r="ALZ754" s="574"/>
      <c r="AMA754" s="574"/>
      <c r="AMB754" s="574"/>
      <c r="AMC754" s="574"/>
      <c r="AMD754" s="574"/>
      <c r="AME754" s="574"/>
      <c r="AMF754" s="574"/>
      <c r="AMG754" s="574"/>
      <c r="AMH754" s="574"/>
      <c r="AMI754" s="574"/>
      <c r="AMJ754" s="574"/>
      <c r="AMK754" s="574"/>
      <c r="AML754" s="574"/>
      <c r="AMM754" s="574"/>
      <c r="AMN754" s="574"/>
      <c r="AMO754" s="574"/>
      <c r="AMP754" s="574"/>
      <c r="AMQ754" s="574"/>
      <c r="AMR754" s="574"/>
      <c r="AMS754" s="574"/>
      <c r="AMT754" s="574"/>
      <c r="AMU754" s="574"/>
      <c r="AMV754" s="574"/>
      <c r="AMW754" s="574"/>
      <c r="AMX754" s="574"/>
      <c r="AMY754" s="574"/>
      <c r="AMZ754" s="574"/>
      <c r="ANA754" s="574"/>
      <c r="ANB754" s="574"/>
      <c r="ANC754" s="574"/>
      <c r="AND754" s="574"/>
      <c r="ANE754" s="574"/>
      <c r="ANF754" s="574"/>
      <c r="ANG754" s="574"/>
      <c r="ANH754" s="574"/>
      <c r="ANI754" s="574"/>
      <c r="ANJ754" s="574"/>
      <c r="ANK754" s="574"/>
      <c r="ANL754" s="574"/>
      <c r="ANM754" s="574"/>
      <c r="ANN754" s="574"/>
      <c r="ANO754" s="574"/>
      <c r="ANP754" s="574"/>
      <c r="ANQ754" s="574"/>
      <c r="ANR754" s="574"/>
      <c r="ANS754" s="574"/>
      <c r="ANT754" s="574"/>
      <c r="ANU754" s="574"/>
      <c r="ANV754" s="574"/>
      <c r="ANW754" s="574"/>
      <c r="ANX754" s="574"/>
      <c r="ANY754" s="574"/>
      <c r="ANZ754" s="574"/>
      <c r="AOA754" s="574"/>
      <c r="AOB754" s="574"/>
      <c r="AOC754" s="574"/>
      <c r="AOD754" s="574"/>
      <c r="AOE754" s="574"/>
      <c r="AOF754" s="574"/>
      <c r="AOG754" s="574"/>
      <c r="AOH754" s="574"/>
      <c r="AOI754" s="574"/>
      <c r="AOJ754" s="574"/>
      <c r="AOK754" s="574"/>
      <c r="AOL754" s="574"/>
      <c r="AOM754" s="574"/>
      <c r="AON754" s="574"/>
      <c r="AOO754" s="574"/>
      <c r="AOP754" s="574"/>
      <c r="AOQ754" s="574"/>
      <c r="AOR754" s="574"/>
      <c r="AOS754" s="574"/>
      <c r="AOT754" s="574"/>
      <c r="AOU754" s="574"/>
      <c r="AOV754" s="574"/>
      <c r="AOW754" s="574"/>
      <c r="AOX754" s="574"/>
      <c r="AOY754" s="574"/>
      <c r="AOZ754" s="574"/>
      <c r="APA754" s="574"/>
      <c r="APB754" s="574"/>
      <c r="APC754" s="574"/>
      <c r="APD754" s="574"/>
      <c r="APE754" s="574"/>
      <c r="APF754" s="574"/>
      <c r="APG754" s="574"/>
      <c r="APH754" s="574"/>
      <c r="API754" s="574"/>
      <c r="APJ754" s="574"/>
      <c r="APK754" s="574"/>
      <c r="APL754" s="574"/>
      <c r="APM754" s="574"/>
      <c r="APN754" s="574"/>
      <c r="APO754" s="574"/>
      <c r="APP754" s="574"/>
      <c r="APQ754" s="574"/>
      <c r="APR754" s="574"/>
      <c r="APS754" s="574"/>
      <c r="APT754" s="574"/>
      <c r="APU754" s="574"/>
      <c r="APV754" s="574"/>
      <c r="APW754" s="574"/>
      <c r="APX754" s="574"/>
      <c r="APY754" s="574"/>
      <c r="APZ754" s="574"/>
      <c r="AQA754" s="574"/>
      <c r="AQB754" s="574"/>
      <c r="AQC754" s="574"/>
      <c r="AQD754" s="574"/>
      <c r="AQE754" s="574"/>
      <c r="AQF754" s="574"/>
      <c r="AQG754" s="574"/>
      <c r="AQH754" s="574"/>
      <c r="AQI754" s="574"/>
      <c r="AQJ754" s="574"/>
      <c r="AQK754" s="574"/>
      <c r="AQL754" s="574"/>
      <c r="AQM754" s="574"/>
      <c r="AQN754" s="574"/>
      <c r="AQO754" s="574"/>
      <c r="AQP754" s="574"/>
      <c r="AQQ754" s="574"/>
      <c r="AQR754" s="574"/>
      <c r="AQS754" s="574"/>
      <c r="AQT754" s="574"/>
      <c r="AQU754" s="574"/>
      <c r="AQV754" s="574"/>
      <c r="AQW754" s="574"/>
      <c r="AQX754" s="574"/>
      <c r="AQY754" s="574"/>
      <c r="AQZ754" s="574"/>
      <c r="ARA754" s="574"/>
      <c r="ARB754" s="574"/>
      <c r="ARC754" s="574"/>
      <c r="ARD754" s="574"/>
      <c r="ARE754" s="574"/>
      <c r="ARF754" s="574"/>
      <c r="ARG754" s="574"/>
      <c r="ARH754" s="574"/>
      <c r="ARI754" s="574"/>
      <c r="ARJ754" s="574"/>
      <c r="ARK754" s="574"/>
      <c r="ARL754" s="574"/>
      <c r="ARM754" s="574"/>
      <c r="ARN754" s="574"/>
      <c r="ARO754" s="574"/>
      <c r="ARP754" s="574"/>
      <c r="ARQ754" s="574"/>
      <c r="ARR754" s="574"/>
      <c r="ARS754" s="574"/>
      <c r="ART754" s="574"/>
      <c r="ARU754" s="574"/>
      <c r="ARV754" s="574"/>
      <c r="ARW754" s="574"/>
      <c r="ARX754" s="574"/>
      <c r="ARY754" s="574"/>
      <c r="ARZ754" s="574"/>
      <c r="ASA754" s="574"/>
      <c r="ASB754" s="574"/>
      <c r="ASC754" s="574"/>
      <c r="ASD754" s="574"/>
      <c r="ASE754" s="574"/>
      <c r="ASF754" s="574"/>
      <c r="ASG754" s="574"/>
      <c r="ASH754" s="574"/>
      <c r="ASI754" s="574"/>
      <c r="ASJ754" s="574"/>
      <c r="ASK754" s="574"/>
      <c r="ASL754" s="574"/>
      <c r="ASM754" s="574"/>
      <c r="ASN754" s="574"/>
      <c r="ASO754" s="574"/>
      <c r="ASP754" s="574"/>
      <c r="ASQ754" s="574"/>
      <c r="ASR754" s="574"/>
      <c r="ASS754" s="574"/>
      <c r="AST754" s="574"/>
      <c r="ASU754" s="574"/>
      <c r="ASV754" s="574"/>
      <c r="ASW754" s="574"/>
      <c r="ASX754" s="574"/>
      <c r="ASY754" s="574"/>
      <c r="ASZ754" s="574"/>
      <c r="ATA754" s="574"/>
      <c r="ATB754" s="574"/>
      <c r="ATC754" s="574"/>
      <c r="ATD754" s="574"/>
      <c r="ATE754" s="574"/>
      <c r="ATF754" s="574"/>
      <c r="ATG754" s="574"/>
      <c r="ATH754" s="574"/>
      <c r="ATI754" s="574"/>
      <c r="ATJ754" s="574"/>
      <c r="ATK754" s="574"/>
      <c r="ATL754" s="574"/>
      <c r="ATM754" s="574"/>
      <c r="ATN754" s="574"/>
      <c r="ATO754" s="574"/>
      <c r="ATP754" s="574"/>
      <c r="ATQ754" s="574"/>
      <c r="ATR754" s="574"/>
      <c r="ATS754" s="574"/>
      <c r="ATT754" s="574"/>
      <c r="ATU754" s="574"/>
      <c r="ATV754" s="574"/>
      <c r="ATW754" s="574"/>
      <c r="ATX754" s="574"/>
      <c r="ATY754" s="574"/>
      <c r="ATZ754" s="574"/>
      <c r="AUA754" s="574"/>
      <c r="AUB754" s="574"/>
      <c r="AUC754" s="574"/>
      <c r="AUD754" s="574"/>
      <c r="AUE754" s="574"/>
      <c r="AUF754" s="574"/>
      <c r="AUG754" s="574"/>
      <c r="AUH754" s="574"/>
      <c r="AUI754" s="574"/>
      <c r="AUJ754" s="574"/>
      <c r="AUK754" s="574"/>
      <c r="AUL754" s="574"/>
      <c r="AUM754" s="574"/>
      <c r="AUN754" s="574"/>
      <c r="AUO754" s="574"/>
      <c r="AUP754" s="574"/>
      <c r="AUQ754" s="574"/>
      <c r="AUR754" s="574"/>
      <c r="AUS754" s="574"/>
      <c r="AUT754" s="574"/>
      <c r="AUU754" s="574"/>
      <c r="AUV754" s="574"/>
      <c r="AUW754" s="574"/>
      <c r="AUX754" s="574"/>
      <c r="AUY754" s="574"/>
      <c r="AUZ754" s="574"/>
      <c r="AVA754" s="574"/>
      <c r="AVB754" s="574"/>
      <c r="AVC754" s="574"/>
      <c r="AVD754" s="574"/>
      <c r="AVE754" s="574"/>
      <c r="AVF754" s="574"/>
      <c r="AVG754" s="574"/>
      <c r="AVH754" s="574"/>
      <c r="AVI754" s="574"/>
      <c r="AVJ754" s="574"/>
      <c r="AVK754" s="574"/>
      <c r="AVL754" s="574"/>
      <c r="AVM754" s="574"/>
      <c r="AVN754" s="574"/>
      <c r="AVO754" s="574"/>
      <c r="AVP754" s="574"/>
      <c r="AVQ754" s="574"/>
      <c r="AVR754" s="574"/>
      <c r="AVS754" s="574"/>
      <c r="AVT754" s="574"/>
      <c r="AVU754" s="574"/>
      <c r="AVV754" s="574"/>
      <c r="AVW754" s="574"/>
      <c r="AVX754" s="574"/>
      <c r="AVY754" s="574"/>
      <c r="AVZ754" s="574"/>
      <c r="AWA754" s="574"/>
      <c r="AWB754" s="574"/>
      <c r="AWC754" s="574"/>
      <c r="AWD754" s="574"/>
      <c r="AWE754" s="574"/>
      <c r="AWF754" s="574"/>
      <c r="AWG754" s="574"/>
      <c r="AWH754" s="574"/>
      <c r="AWI754" s="574"/>
      <c r="AWJ754" s="574"/>
      <c r="AWK754" s="574"/>
      <c r="AWL754" s="574"/>
      <c r="AWM754" s="574"/>
      <c r="AWN754" s="574"/>
      <c r="AWO754" s="574"/>
      <c r="AWP754" s="574"/>
      <c r="AWQ754" s="574"/>
      <c r="AWR754" s="574"/>
      <c r="AWS754" s="574"/>
      <c r="AWT754" s="574"/>
      <c r="AWU754" s="574"/>
      <c r="AWV754" s="574"/>
      <c r="AWW754" s="574"/>
      <c r="AWX754" s="574"/>
      <c r="AWY754" s="574"/>
      <c r="AWZ754" s="574"/>
      <c r="AXA754" s="574"/>
      <c r="AXB754" s="574"/>
      <c r="AXC754" s="574"/>
      <c r="AXD754" s="574"/>
      <c r="AXE754" s="574"/>
      <c r="AXF754" s="574"/>
      <c r="AXG754" s="574"/>
      <c r="AXH754" s="574"/>
      <c r="AXI754" s="574"/>
      <c r="AXJ754" s="574"/>
      <c r="AXK754" s="574"/>
      <c r="AXL754" s="574"/>
      <c r="AXM754" s="574"/>
      <c r="AXN754" s="574"/>
      <c r="AXO754" s="574"/>
      <c r="AXP754" s="574"/>
      <c r="AXQ754" s="574"/>
      <c r="AXR754" s="574"/>
      <c r="AXS754" s="574"/>
      <c r="AXT754" s="574"/>
      <c r="AXU754" s="574"/>
      <c r="AXV754" s="574"/>
      <c r="AXW754" s="574"/>
      <c r="AXX754" s="574"/>
      <c r="AXY754" s="574"/>
      <c r="AXZ754" s="574"/>
      <c r="AYA754" s="574"/>
      <c r="AYB754" s="574"/>
      <c r="AYC754" s="574"/>
      <c r="AYD754" s="574"/>
      <c r="AYE754" s="574"/>
      <c r="AYF754" s="574"/>
      <c r="AYG754" s="574"/>
      <c r="AYH754" s="574"/>
      <c r="AYI754" s="574"/>
      <c r="AYJ754" s="574"/>
      <c r="AYK754" s="574"/>
      <c r="AYL754" s="574"/>
      <c r="AYM754" s="574"/>
      <c r="AYN754" s="574"/>
      <c r="AYO754" s="574"/>
      <c r="AYP754" s="574"/>
      <c r="AYQ754" s="574"/>
      <c r="AYR754" s="574"/>
      <c r="AYS754" s="574"/>
      <c r="AYT754" s="574"/>
      <c r="AYU754" s="574"/>
      <c r="AYV754" s="574"/>
      <c r="AYW754" s="574"/>
      <c r="AYX754" s="574"/>
      <c r="AYY754" s="574"/>
      <c r="AYZ754" s="574"/>
      <c r="AZA754" s="574"/>
      <c r="AZB754" s="574"/>
      <c r="AZC754" s="574"/>
      <c r="AZD754" s="574"/>
      <c r="AZE754" s="574"/>
      <c r="AZF754" s="574"/>
      <c r="AZG754" s="574"/>
      <c r="AZH754" s="574"/>
      <c r="AZI754" s="574"/>
      <c r="AZJ754" s="574"/>
      <c r="AZK754" s="574"/>
      <c r="AZL754" s="574"/>
      <c r="AZM754" s="574"/>
      <c r="AZN754" s="574"/>
      <c r="AZO754" s="574"/>
      <c r="AZP754" s="574"/>
      <c r="AZQ754" s="574"/>
      <c r="AZR754" s="574"/>
      <c r="AZS754" s="574"/>
      <c r="AZT754" s="574"/>
      <c r="AZU754" s="574"/>
      <c r="AZV754" s="574"/>
      <c r="AZW754" s="574"/>
      <c r="AZX754" s="574"/>
      <c r="AZY754" s="574"/>
      <c r="AZZ754" s="574"/>
      <c r="BAA754" s="574"/>
      <c r="BAB754" s="574"/>
      <c r="BAC754" s="574"/>
      <c r="BAD754" s="574"/>
      <c r="BAE754" s="574"/>
      <c r="BAF754" s="574"/>
      <c r="BAG754" s="574"/>
      <c r="BAH754" s="574"/>
      <c r="BAI754" s="574"/>
      <c r="BAJ754" s="574"/>
      <c r="BAK754" s="574"/>
      <c r="BAL754" s="574"/>
      <c r="BAM754" s="574"/>
      <c r="BAN754" s="574"/>
      <c r="BAO754" s="574"/>
      <c r="BAP754" s="574"/>
      <c r="BAQ754" s="574"/>
      <c r="BAR754" s="574"/>
      <c r="BAS754" s="574"/>
      <c r="BAT754" s="574"/>
      <c r="BAU754" s="574"/>
      <c r="BAV754" s="574"/>
      <c r="BAW754" s="574"/>
      <c r="BAX754" s="574"/>
      <c r="BAY754" s="574"/>
      <c r="BAZ754" s="574"/>
      <c r="BBA754" s="574"/>
      <c r="BBB754" s="574"/>
      <c r="BBC754" s="574"/>
      <c r="BBD754" s="574"/>
      <c r="BBE754" s="574"/>
      <c r="BBF754" s="574"/>
      <c r="BBG754" s="574"/>
      <c r="BBH754" s="574"/>
      <c r="BBI754" s="574"/>
      <c r="BBJ754" s="574"/>
      <c r="BBK754" s="574"/>
      <c r="BBL754" s="574"/>
      <c r="BBM754" s="574"/>
      <c r="BBN754" s="574"/>
      <c r="BBO754" s="574"/>
      <c r="BBP754" s="574"/>
      <c r="BBQ754" s="574"/>
      <c r="BBR754" s="574"/>
      <c r="BBS754" s="574"/>
      <c r="BBT754" s="574"/>
      <c r="BBU754" s="574"/>
      <c r="BBV754" s="574"/>
      <c r="BBW754" s="574"/>
      <c r="BBX754" s="574"/>
      <c r="BBY754" s="574"/>
      <c r="BBZ754" s="574"/>
      <c r="BCA754" s="574"/>
      <c r="BCB754" s="574"/>
      <c r="BCC754" s="574"/>
      <c r="BCD754" s="574"/>
      <c r="BCE754" s="574"/>
      <c r="BCF754" s="574"/>
      <c r="BCG754" s="574"/>
      <c r="BCH754" s="574"/>
      <c r="BCI754" s="574"/>
      <c r="BCJ754" s="574"/>
      <c r="BCK754" s="574"/>
      <c r="BCL754" s="574"/>
      <c r="BCM754" s="574"/>
      <c r="BCN754" s="574"/>
      <c r="BCO754" s="574"/>
      <c r="BCP754" s="574"/>
      <c r="BCQ754" s="574"/>
      <c r="BCR754" s="574"/>
      <c r="BCS754" s="574"/>
      <c r="BCT754" s="574"/>
      <c r="BCU754" s="574"/>
      <c r="BCV754" s="574"/>
      <c r="BCW754" s="574"/>
      <c r="BCX754" s="574"/>
      <c r="BCY754" s="574"/>
      <c r="BCZ754" s="574"/>
      <c r="BDA754" s="574"/>
      <c r="BDB754" s="574"/>
      <c r="BDC754" s="574"/>
      <c r="BDD754" s="574"/>
      <c r="BDE754" s="574"/>
      <c r="BDF754" s="574"/>
      <c r="BDG754" s="574"/>
      <c r="BDH754" s="574"/>
      <c r="BDI754" s="574"/>
      <c r="BDJ754" s="574"/>
      <c r="BDK754" s="574"/>
      <c r="BDL754" s="574"/>
      <c r="BDM754" s="574"/>
      <c r="BDN754" s="574"/>
      <c r="BDO754" s="574"/>
      <c r="BDP754" s="574"/>
      <c r="BDQ754" s="574"/>
      <c r="BDR754" s="574"/>
      <c r="BDS754" s="574"/>
      <c r="BDT754" s="574"/>
      <c r="BDU754" s="574"/>
      <c r="BDV754" s="574"/>
      <c r="BDW754" s="574"/>
      <c r="BDX754" s="574"/>
      <c r="BDY754" s="574"/>
      <c r="BDZ754" s="574"/>
      <c r="BEA754" s="574"/>
      <c r="BEB754" s="574"/>
      <c r="BEC754" s="574"/>
      <c r="BED754" s="574"/>
      <c r="BEE754" s="574"/>
      <c r="BEF754" s="574"/>
      <c r="BEG754" s="574"/>
      <c r="BEH754" s="574"/>
      <c r="BEI754" s="574"/>
      <c r="BEJ754" s="574"/>
      <c r="BEK754" s="574"/>
      <c r="BEL754" s="574"/>
      <c r="BEM754" s="574"/>
      <c r="BEN754" s="574"/>
      <c r="BEO754" s="574"/>
      <c r="BEP754" s="574"/>
      <c r="BEQ754" s="574"/>
      <c r="BER754" s="574"/>
      <c r="BES754" s="574"/>
      <c r="BET754" s="574"/>
      <c r="BEU754" s="574"/>
      <c r="BEV754" s="574"/>
      <c r="BEW754" s="574"/>
      <c r="BEX754" s="574"/>
      <c r="BEY754" s="574"/>
      <c r="BEZ754" s="574"/>
      <c r="BFA754" s="574"/>
      <c r="BFB754" s="574"/>
      <c r="BFC754" s="574"/>
      <c r="BFD754" s="574"/>
      <c r="BFE754" s="574"/>
      <c r="BFF754" s="574"/>
      <c r="BFG754" s="574"/>
      <c r="BFH754" s="574"/>
      <c r="BFI754" s="574"/>
      <c r="BFJ754" s="574"/>
      <c r="BFK754" s="574"/>
      <c r="BFL754" s="574"/>
      <c r="BFM754" s="574"/>
      <c r="BFN754" s="574"/>
      <c r="BFO754" s="574"/>
      <c r="BFP754" s="574"/>
      <c r="BFQ754" s="574"/>
      <c r="BFR754" s="574"/>
      <c r="BFS754" s="574"/>
      <c r="BFT754" s="574"/>
      <c r="BFU754" s="574"/>
      <c r="BFV754" s="574"/>
      <c r="BFW754" s="574"/>
      <c r="BFX754" s="574"/>
      <c r="BFY754" s="574"/>
      <c r="BFZ754" s="574"/>
      <c r="BGA754" s="574"/>
      <c r="BGB754" s="574"/>
      <c r="BGC754" s="574"/>
      <c r="BGD754" s="574"/>
      <c r="BGE754" s="574"/>
      <c r="BGF754" s="574"/>
      <c r="BGG754" s="574"/>
      <c r="BGH754" s="574"/>
      <c r="BGI754" s="574"/>
      <c r="BGJ754" s="574"/>
      <c r="BGK754" s="574"/>
      <c r="BGL754" s="574"/>
      <c r="BGM754" s="574"/>
      <c r="BGN754" s="574"/>
      <c r="BGO754" s="574"/>
      <c r="BGP754" s="574"/>
      <c r="BGQ754" s="574"/>
      <c r="BGR754" s="574"/>
      <c r="BGS754" s="574"/>
      <c r="BGT754" s="574"/>
      <c r="BGU754" s="574"/>
      <c r="BGV754" s="574"/>
      <c r="BGW754" s="574"/>
      <c r="BGX754" s="574"/>
      <c r="BGY754" s="574"/>
      <c r="BGZ754" s="574"/>
      <c r="BHA754" s="574"/>
      <c r="BHB754" s="574"/>
      <c r="BHC754" s="574"/>
      <c r="BHD754" s="574"/>
      <c r="BHE754" s="574"/>
      <c r="BHF754" s="574"/>
      <c r="BHG754" s="574"/>
      <c r="BHH754" s="574"/>
      <c r="BHI754" s="574"/>
      <c r="BHJ754" s="574"/>
      <c r="BHK754" s="574"/>
      <c r="BHL754" s="574"/>
      <c r="BHM754" s="574"/>
      <c r="BHN754" s="574"/>
      <c r="BHO754" s="574"/>
      <c r="BHP754" s="574"/>
      <c r="BHQ754" s="574"/>
      <c r="BHR754" s="574"/>
      <c r="BHS754" s="574"/>
      <c r="BHT754" s="574"/>
      <c r="BHU754" s="574"/>
      <c r="BHV754" s="574"/>
      <c r="BHW754" s="574"/>
      <c r="BHX754" s="574"/>
      <c r="BHY754" s="574"/>
      <c r="BHZ754" s="574"/>
      <c r="BIA754" s="574"/>
      <c r="BIB754" s="574"/>
      <c r="BIC754" s="574"/>
      <c r="BID754" s="574"/>
      <c r="BIE754" s="574"/>
      <c r="BIF754" s="574"/>
      <c r="BIG754" s="574"/>
      <c r="BIH754" s="574"/>
      <c r="BII754" s="574"/>
      <c r="BIJ754" s="574"/>
      <c r="BIK754" s="574"/>
      <c r="BIL754" s="574"/>
      <c r="BIM754" s="574"/>
      <c r="BIN754" s="574"/>
      <c r="BIO754" s="574"/>
      <c r="BIP754" s="574"/>
      <c r="BIQ754" s="574"/>
      <c r="BIR754" s="574"/>
      <c r="BIS754" s="574"/>
      <c r="BIT754" s="574"/>
      <c r="BIU754" s="574"/>
      <c r="BIV754" s="574"/>
      <c r="BIW754" s="574"/>
      <c r="BIX754" s="574"/>
      <c r="BIY754" s="574"/>
      <c r="BIZ754" s="574"/>
      <c r="BJA754" s="574"/>
      <c r="BJB754" s="574"/>
      <c r="BJC754" s="574"/>
      <c r="BJD754" s="574"/>
      <c r="BJE754" s="574"/>
      <c r="BJF754" s="574"/>
      <c r="BJG754" s="574"/>
      <c r="BJH754" s="574"/>
      <c r="BJI754" s="574"/>
      <c r="BJJ754" s="574"/>
      <c r="BJK754" s="574"/>
      <c r="BJL754" s="574"/>
      <c r="BJM754" s="574"/>
      <c r="BJN754" s="574"/>
      <c r="BJO754" s="574"/>
      <c r="BJP754" s="574"/>
      <c r="BJQ754" s="574"/>
      <c r="BJR754" s="574"/>
      <c r="BJS754" s="574"/>
      <c r="BJT754" s="574"/>
      <c r="BJU754" s="574"/>
      <c r="BJV754" s="574"/>
      <c r="BJW754" s="574"/>
      <c r="BJX754" s="574"/>
      <c r="BJY754" s="574"/>
      <c r="BJZ754" s="574"/>
      <c r="BKA754" s="574"/>
      <c r="BKB754" s="574"/>
      <c r="BKC754" s="574"/>
      <c r="BKD754" s="574"/>
      <c r="BKE754" s="574"/>
      <c r="BKF754" s="574"/>
      <c r="BKG754" s="574"/>
      <c r="BKH754" s="574"/>
      <c r="BKI754" s="574"/>
      <c r="BKJ754" s="574"/>
      <c r="BKK754" s="574"/>
      <c r="BKL754" s="574"/>
      <c r="BKM754" s="574"/>
      <c r="BKN754" s="574"/>
      <c r="BKO754" s="574"/>
      <c r="BKP754" s="574"/>
      <c r="BKQ754" s="574"/>
      <c r="BKR754" s="574"/>
      <c r="BKS754" s="574"/>
      <c r="BKT754" s="574"/>
      <c r="BKU754" s="574"/>
      <c r="BKV754" s="574"/>
      <c r="BKW754" s="574"/>
      <c r="BKX754" s="574"/>
      <c r="BKY754" s="574"/>
      <c r="BKZ754" s="574"/>
      <c r="BLA754" s="574"/>
      <c r="BLB754" s="574"/>
      <c r="BLC754" s="574"/>
      <c r="BLD754" s="574"/>
      <c r="BLE754" s="574"/>
      <c r="BLF754" s="574"/>
      <c r="BLG754" s="574"/>
      <c r="BLH754" s="574"/>
      <c r="BLI754" s="574"/>
      <c r="BLJ754" s="574"/>
      <c r="BLK754" s="574"/>
      <c r="BLL754" s="574"/>
      <c r="BLM754" s="574"/>
      <c r="BLN754" s="574"/>
      <c r="BLO754" s="574"/>
      <c r="BLP754" s="574"/>
      <c r="BLQ754" s="574"/>
      <c r="BLR754" s="574"/>
      <c r="BLS754" s="574"/>
      <c r="BLT754" s="574"/>
      <c r="BLU754" s="574"/>
      <c r="BLV754" s="574"/>
      <c r="BLW754" s="574"/>
      <c r="BLX754" s="574"/>
      <c r="BLY754" s="574"/>
      <c r="BLZ754" s="574"/>
      <c r="BMA754" s="574"/>
      <c r="BMB754" s="574"/>
      <c r="BMC754" s="574"/>
      <c r="BMD754" s="574"/>
      <c r="BME754" s="574"/>
      <c r="BMF754" s="574"/>
      <c r="BMG754" s="574"/>
      <c r="BMH754" s="574"/>
      <c r="BMI754" s="574"/>
      <c r="BMJ754" s="574"/>
      <c r="BMK754" s="574"/>
      <c r="BML754" s="574"/>
      <c r="BMM754" s="574"/>
      <c r="BMN754" s="574"/>
      <c r="BMO754" s="574"/>
      <c r="BMP754" s="574"/>
      <c r="BMQ754" s="574"/>
      <c r="BMR754" s="574"/>
      <c r="BMS754" s="574"/>
      <c r="BMT754" s="574"/>
      <c r="BMU754" s="574"/>
      <c r="BMV754" s="574"/>
      <c r="BMW754" s="574"/>
      <c r="BMX754" s="574"/>
      <c r="BMY754" s="574"/>
      <c r="BMZ754" s="574"/>
      <c r="BNA754" s="574"/>
      <c r="BNB754" s="574"/>
      <c r="BNC754" s="574"/>
      <c r="BND754" s="574"/>
      <c r="BNE754" s="574"/>
      <c r="BNF754" s="574"/>
      <c r="BNG754" s="574"/>
      <c r="BNH754" s="574"/>
      <c r="BNI754" s="574"/>
      <c r="BNJ754" s="574"/>
      <c r="BNK754" s="574"/>
      <c r="BNL754" s="574"/>
      <c r="BNM754" s="574"/>
      <c r="BNN754" s="574"/>
      <c r="BNO754" s="574"/>
      <c r="BNP754" s="574"/>
      <c r="BNQ754" s="574"/>
      <c r="BNR754" s="574"/>
      <c r="BNS754" s="574"/>
      <c r="BNT754" s="574"/>
      <c r="BNU754" s="574"/>
      <c r="BNV754" s="574"/>
      <c r="BNW754" s="574"/>
      <c r="BNX754" s="574"/>
      <c r="BNY754" s="574"/>
      <c r="BNZ754" s="574"/>
      <c r="BOA754" s="574"/>
      <c r="BOB754" s="574"/>
      <c r="BOC754" s="574"/>
      <c r="BOD754" s="574"/>
      <c r="BOE754" s="574"/>
      <c r="BOF754" s="574"/>
      <c r="BOG754" s="574"/>
      <c r="BOH754" s="574"/>
      <c r="BOI754" s="574"/>
      <c r="BOJ754" s="574"/>
      <c r="BOK754" s="574"/>
      <c r="BOL754" s="574"/>
      <c r="BOM754" s="574"/>
      <c r="BON754" s="574"/>
      <c r="BOO754" s="574"/>
      <c r="BOP754" s="574"/>
      <c r="BOQ754" s="574"/>
      <c r="BOR754" s="574"/>
      <c r="BOS754" s="574"/>
      <c r="BOT754" s="574"/>
      <c r="BOU754" s="574"/>
      <c r="BOV754" s="574"/>
      <c r="BOW754" s="574"/>
      <c r="BOX754" s="574"/>
      <c r="BOY754" s="574"/>
      <c r="BOZ754" s="574"/>
      <c r="BPA754" s="574"/>
      <c r="BPB754" s="574"/>
      <c r="BPC754" s="574"/>
      <c r="BPD754" s="574"/>
      <c r="BPE754" s="574"/>
      <c r="BPF754" s="574"/>
      <c r="BPG754" s="574"/>
      <c r="BPH754" s="574"/>
      <c r="BPI754" s="574"/>
      <c r="BPJ754" s="574"/>
      <c r="BPK754" s="574"/>
      <c r="BPL754" s="574"/>
      <c r="BPM754" s="574"/>
      <c r="BPN754" s="574"/>
      <c r="BPO754" s="574"/>
      <c r="BPP754" s="574"/>
      <c r="BPQ754" s="574"/>
      <c r="BPR754" s="574"/>
      <c r="BPS754" s="574"/>
      <c r="BPT754" s="574"/>
      <c r="BPU754" s="574"/>
      <c r="BPV754" s="574"/>
      <c r="BPW754" s="574"/>
      <c r="BPX754" s="574"/>
      <c r="BPY754" s="574"/>
      <c r="BPZ754" s="574"/>
      <c r="BQA754" s="574"/>
      <c r="BQB754" s="574"/>
      <c r="BQC754" s="574"/>
      <c r="BQD754" s="574"/>
      <c r="BQE754" s="574"/>
      <c r="BQF754" s="574"/>
      <c r="BQG754" s="574"/>
      <c r="BQH754" s="574"/>
      <c r="BQI754" s="574"/>
      <c r="BQJ754" s="574"/>
      <c r="BQK754" s="574"/>
      <c r="BQL754" s="574"/>
      <c r="BQM754" s="574"/>
      <c r="BQN754" s="574"/>
      <c r="BQO754" s="574"/>
      <c r="BQP754" s="574"/>
      <c r="BQQ754" s="574"/>
      <c r="BQR754" s="574"/>
      <c r="BQS754" s="574"/>
      <c r="BQT754" s="574"/>
      <c r="BQU754" s="574"/>
      <c r="BQV754" s="574"/>
      <c r="BQW754" s="574"/>
      <c r="BQX754" s="574"/>
      <c r="BQY754" s="574"/>
      <c r="BQZ754" s="574"/>
      <c r="BRA754" s="574"/>
      <c r="BRB754" s="574"/>
      <c r="BRC754" s="574"/>
      <c r="BRD754" s="574"/>
      <c r="BRE754" s="574"/>
      <c r="BRF754" s="574"/>
      <c r="BRG754" s="574"/>
      <c r="BRH754" s="574"/>
      <c r="BRI754" s="574"/>
      <c r="BRJ754" s="574"/>
      <c r="BRK754" s="574"/>
      <c r="BRL754" s="574"/>
      <c r="BRM754" s="574"/>
      <c r="BRN754" s="574"/>
      <c r="BRO754" s="574"/>
      <c r="BRP754" s="574"/>
      <c r="BRQ754" s="574"/>
      <c r="BRR754" s="574"/>
      <c r="BRS754" s="574"/>
      <c r="BRT754" s="574"/>
      <c r="BRU754" s="574"/>
      <c r="BRV754" s="574"/>
      <c r="BRW754" s="574"/>
      <c r="BRX754" s="574"/>
      <c r="BRY754" s="574"/>
      <c r="BRZ754" s="574"/>
      <c r="BSA754" s="574"/>
      <c r="BSB754" s="574"/>
      <c r="BSC754" s="574"/>
      <c r="BSD754" s="574"/>
      <c r="BSE754" s="574"/>
      <c r="BSF754" s="574"/>
      <c r="BSG754" s="574"/>
      <c r="BSH754" s="574"/>
      <c r="BSI754" s="574"/>
      <c r="BSJ754" s="574"/>
      <c r="BSK754" s="574"/>
      <c r="BSL754" s="574"/>
      <c r="BSM754" s="574"/>
      <c r="BSN754" s="574"/>
      <c r="BSO754" s="574"/>
      <c r="BSP754" s="574"/>
      <c r="BSQ754" s="574"/>
      <c r="BSR754" s="574"/>
      <c r="BSS754" s="574"/>
      <c r="BST754" s="574"/>
      <c r="BSU754" s="574"/>
      <c r="BSV754" s="574"/>
      <c r="BSW754" s="574"/>
      <c r="BSX754" s="574"/>
      <c r="BSY754" s="574"/>
      <c r="BSZ754" s="574"/>
      <c r="BTA754" s="574"/>
      <c r="BTB754" s="574"/>
      <c r="BTC754" s="574"/>
      <c r="BTD754" s="574"/>
      <c r="BTE754" s="574"/>
      <c r="BTF754" s="574"/>
      <c r="BTG754" s="574"/>
      <c r="BTH754" s="574"/>
      <c r="BTI754" s="574"/>
      <c r="BTJ754" s="574"/>
      <c r="BTK754" s="574"/>
      <c r="BTL754" s="574"/>
      <c r="BTM754" s="574"/>
      <c r="BTN754" s="574"/>
      <c r="BTO754" s="574"/>
      <c r="BTP754" s="574"/>
      <c r="BTQ754" s="574"/>
      <c r="BTR754" s="574"/>
      <c r="BTS754" s="574"/>
      <c r="BTT754" s="574"/>
      <c r="BTU754" s="574"/>
      <c r="BTV754" s="574"/>
      <c r="BTW754" s="574"/>
      <c r="BTX754" s="574"/>
      <c r="BTY754" s="574"/>
      <c r="BTZ754" s="574"/>
      <c r="BUA754" s="574"/>
      <c r="BUB754" s="574"/>
      <c r="BUC754" s="574"/>
      <c r="BUD754" s="574"/>
      <c r="BUE754" s="574"/>
      <c r="BUF754" s="574"/>
      <c r="BUG754" s="574"/>
      <c r="BUH754" s="574"/>
      <c r="BUI754" s="574"/>
      <c r="BUJ754" s="574"/>
      <c r="BUK754" s="574"/>
      <c r="BUL754" s="574"/>
      <c r="BUM754" s="574"/>
      <c r="BUN754" s="574"/>
      <c r="BUO754" s="574"/>
      <c r="BUP754" s="574"/>
      <c r="BUQ754" s="574"/>
      <c r="BUR754" s="574"/>
      <c r="BUS754" s="574"/>
      <c r="BUT754" s="574"/>
      <c r="BUU754" s="574"/>
      <c r="BUV754" s="574"/>
      <c r="BUW754" s="574"/>
      <c r="BUX754" s="574"/>
      <c r="BUY754" s="574"/>
      <c r="BUZ754" s="574"/>
      <c r="BVA754" s="574"/>
      <c r="BVB754" s="574"/>
      <c r="BVC754" s="574"/>
      <c r="BVD754" s="574"/>
      <c r="BVE754" s="574"/>
      <c r="BVF754" s="574"/>
      <c r="BVG754" s="574"/>
      <c r="BVH754" s="574"/>
      <c r="BVI754" s="574"/>
      <c r="BVJ754" s="574"/>
      <c r="BVK754" s="574"/>
      <c r="BVL754" s="574"/>
      <c r="BVM754" s="574"/>
      <c r="BVN754" s="574"/>
      <c r="BVO754" s="574"/>
      <c r="BVP754" s="574"/>
      <c r="BVQ754" s="574"/>
      <c r="BVR754" s="574"/>
      <c r="BVS754" s="574"/>
      <c r="BVT754" s="574"/>
      <c r="BVU754" s="574"/>
      <c r="BVV754" s="574"/>
      <c r="BVW754" s="574"/>
      <c r="BVX754" s="574"/>
      <c r="BVY754" s="574"/>
      <c r="BVZ754" s="574"/>
      <c r="BWA754" s="574"/>
      <c r="BWB754" s="574"/>
      <c r="BWC754" s="574"/>
      <c r="BWD754" s="574"/>
      <c r="BWE754" s="574"/>
      <c r="BWF754" s="574"/>
      <c r="BWG754" s="574"/>
      <c r="BWH754" s="574"/>
      <c r="BWI754" s="574"/>
      <c r="BWJ754" s="574"/>
      <c r="BWK754" s="574"/>
      <c r="BWL754" s="574"/>
      <c r="BWM754" s="574"/>
      <c r="BWN754" s="574"/>
      <c r="BWO754" s="574"/>
      <c r="BWP754" s="574"/>
      <c r="BWQ754" s="574"/>
      <c r="BWR754" s="574"/>
      <c r="BWS754" s="574"/>
      <c r="BWT754" s="574"/>
      <c r="BWU754" s="574"/>
      <c r="BWV754" s="574"/>
      <c r="BWW754" s="574"/>
      <c r="BWX754" s="574"/>
      <c r="BWY754" s="574"/>
      <c r="BWZ754" s="574"/>
      <c r="BXA754" s="574"/>
      <c r="BXB754" s="574"/>
      <c r="BXC754" s="574"/>
      <c r="BXD754" s="574"/>
      <c r="BXE754" s="574"/>
      <c r="BXF754" s="574"/>
      <c r="BXG754" s="574"/>
      <c r="BXH754" s="574"/>
      <c r="BXI754" s="574"/>
      <c r="BXJ754" s="574"/>
      <c r="BXK754" s="574"/>
      <c r="BXL754" s="574"/>
      <c r="BXM754" s="574"/>
      <c r="BXN754" s="574"/>
      <c r="BXO754" s="574"/>
      <c r="BXP754" s="574"/>
      <c r="BXQ754" s="574"/>
      <c r="BXR754" s="574"/>
      <c r="BXS754" s="574"/>
      <c r="BXT754" s="574"/>
      <c r="BXU754" s="574"/>
      <c r="BXV754" s="574"/>
      <c r="BXW754" s="574"/>
      <c r="BXX754" s="574"/>
      <c r="BXY754" s="574"/>
      <c r="BXZ754" s="574"/>
      <c r="BYA754" s="574"/>
      <c r="BYB754" s="574"/>
      <c r="BYC754" s="574"/>
      <c r="BYD754" s="574"/>
      <c r="BYE754" s="574"/>
      <c r="BYF754" s="574"/>
      <c r="BYG754" s="574"/>
      <c r="BYH754" s="574"/>
      <c r="BYI754" s="574"/>
      <c r="BYJ754" s="574"/>
      <c r="BYK754" s="574"/>
      <c r="BYL754" s="574"/>
      <c r="BYM754" s="574"/>
      <c r="BYN754" s="574"/>
      <c r="BYO754" s="574"/>
      <c r="BYP754" s="574"/>
      <c r="BYQ754" s="574"/>
      <c r="BYR754" s="574"/>
      <c r="BYS754" s="574"/>
      <c r="BYT754" s="574"/>
      <c r="BYU754" s="574"/>
      <c r="BYV754" s="574"/>
      <c r="BYW754" s="574"/>
      <c r="BYX754" s="574"/>
      <c r="BYY754" s="574"/>
      <c r="BYZ754" s="574"/>
      <c r="BZA754" s="574"/>
      <c r="BZB754" s="574"/>
      <c r="BZC754" s="574"/>
      <c r="BZD754" s="574"/>
      <c r="BZE754" s="574"/>
      <c r="BZF754" s="574"/>
      <c r="BZG754" s="574"/>
      <c r="BZH754" s="574"/>
      <c r="BZI754" s="574"/>
      <c r="BZJ754" s="574"/>
      <c r="BZK754" s="574"/>
      <c r="BZL754" s="574"/>
      <c r="BZM754" s="574"/>
      <c r="BZN754" s="574"/>
      <c r="BZO754" s="574"/>
      <c r="BZP754" s="574"/>
      <c r="BZQ754" s="574"/>
      <c r="BZR754" s="574"/>
      <c r="BZS754" s="574"/>
      <c r="BZT754" s="574"/>
      <c r="BZU754" s="574"/>
      <c r="BZV754" s="574"/>
      <c r="BZW754" s="574"/>
      <c r="BZX754" s="574"/>
      <c r="BZY754" s="574"/>
      <c r="BZZ754" s="574"/>
      <c r="CAA754" s="574"/>
      <c r="CAB754" s="574"/>
      <c r="CAC754" s="574"/>
      <c r="CAD754" s="574"/>
      <c r="CAE754" s="574"/>
      <c r="CAF754" s="574"/>
      <c r="CAG754" s="574"/>
      <c r="CAH754" s="574"/>
      <c r="CAI754" s="574"/>
      <c r="CAJ754" s="574"/>
      <c r="CAK754" s="574"/>
      <c r="CAL754" s="574"/>
      <c r="CAM754" s="574"/>
      <c r="CAN754" s="574"/>
      <c r="CAO754" s="574"/>
      <c r="CAP754" s="574"/>
      <c r="CAQ754" s="574"/>
      <c r="CAR754" s="574"/>
      <c r="CAS754" s="574"/>
      <c r="CAT754" s="574"/>
      <c r="CAU754" s="574"/>
      <c r="CAV754" s="574"/>
      <c r="CAW754" s="574"/>
      <c r="CAX754" s="574"/>
      <c r="CAY754" s="574"/>
      <c r="CAZ754" s="574"/>
      <c r="CBA754" s="574"/>
      <c r="CBB754" s="574"/>
      <c r="CBC754" s="574"/>
      <c r="CBD754" s="574"/>
      <c r="CBE754" s="574"/>
      <c r="CBF754" s="574"/>
      <c r="CBG754" s="574"/>
      <c r="CBH754" s="574"/>
      <c r="CBI754" s="574"/>
      <c r="CBJ754" s="574"/>
      <c r="CBK754" s="574"/>
      <c r="CBL754" s="574"/>
      <c r="CBM754" s="574"/>
      <c r="CBN754" s="574"/>
      <c r="CBO754" s="574"/>
      <c r="CBP754" s="574"/>
      <c r="CBQ754" s="574"/>
      <c r="CBR754" s="574"/>
      <c r="CBS754" s="574"/>
      <c r="CBT754" s="574"/>
      <c r="CBU754" s="574"/>
      <c r="CBV754" s="574"/>
      <c r="CBW754" s="574"/>
      <c r="CBX754" s="574"/>
      <c r="CBY754" s="574"/>
      <c r="CBZ754" s="574"/>
      <c r="CCA754" s="574"/>
      <c r="CCB754" s="574"/>
      <c r="CCC754" s="574"/>
      <c r="CCD754" s="574"/>
      <c r="CCE754" s="574"/>
      <c r="CCF754" s="574"/>
      <c r="CCG754" s="574"/>
      <c r="CCH754" s="574"/>
      <c r="CCI754" s="574"/>
      <c r="CCJ754" s="574"/>
      <c r="CCK754" s="574"/>
      <c r="CCL754" s="574"/>
      <c r="CCM754" s="574"/>
      <c r="CCN754" s="574"/>
      <c r="CCO754" s="574"/>
      <c r="CCP754" s="574"/>
      <c r="CCQ754" s="574"/>
      <c r="CCR754" s="574"/>
      <c r="CCS754" s="574"/>
      <c r="CCT754" s="574"/>
      <c r="CCU754" s="574"/>
      <c r="CCV754" s="574"/>
      <c r="CCW754" s="574"/>
      <c r="CCX754" s="574"/>
      <c r="CCY754" s="574"/>
      <c r="CCZ754" s="574"/>
      <c r="CDA754" s="574"/>
      <c r="CDB754" s="574"/>
      <c r="CDC754" s="574"/>
      <c r="CDD754" s="574"/>
      <c r="CDE754" s="574"/>
      <c r="CDF754" s="574"/>
      <c r="CDG754" s="574"/>
      <c r="CDH754" s="574"/>
      <c r="CDI754" s="574"/>
      <c r="CDJ754" s="574"/>
      <c r="CDK754" s="574"/>
      <c r="CDL754" s="574"/>
      <c r="CDM754" s="574"/>
      <c r="CDN754" s="574"/>
      <c r="CDO754" s="574"/>
      <c r="CDP754" s="574"/>
      <c r="CDQ754" s="574"/>
      <c r="CDR754" s="574"/>
      <c r="CDS754" s="574"/>
      <c r="CDT754" s="574"/>
      <c r="CDU754" s="574"/>
      <c r="CDV754" s="574"/>
      <c r="CDW754" s="574"/>
      <c r="CDX754" s="574"/>
      <c r="CDY754" s="574"/>
      <c r="CDZ754" s="574"/>
      <c r="CEA754" s="574"/>
      <c r="CEB754" s="574"/>
      <c r="CEC754" s="574"/>
      <c r="CED754" s="574"/>
      <c r="CEE754" s="574"/>
      <c r="CEF754" s="574"/>
      <c r="CEG754" s="574"/>
      <c r="CEH754" s="574"/>
      <c r="CEI754" s="574"/>
      <c r="CEJ754" s="574"/>
      <c r="CEK754" s="574"/>
      <c r="CEL754" s="574"/>
      <c r="CEM754" s="574"/>
      <c r="CEN754" s="574"/>
      <c r="CEO754" s="574"/>
      <c r="CEP754" s="574"/>
      <c r="CEQ754" s="574"/>
      <c r="CER754" s="574"/>
      <c r="CES754" s="574"/>
      <c r="CET754" s="574"/>
      <c r="CEU754" s="574"/>
      <c r="CEV754" s="574"/>
      <c r="CEW754" s="574"/>
      <c r="CEX754" s="574"/>
      <c r="CEY754" s="574"/>
      <c r="CEZ754" s="574"/>
      <c r="CFA754" s="574"/>
      <c r="CFB754" s="574"/>
      <c r="CFC754" s="574"/>
      <c r="CFD754" s="574"/>
      <c r="CFE754" s="574"/>
      <c r="CFF754" s="574"/>
      <c r="CFG754" s="574"/>
      <c r="CFH754" s="574"/>
      <c r="CFI754" s="574"/>
      <c r="CFJ754" s="574"/>
      <c r="CFK754" s="574"/>
      <c r="CFL754" s="574"/>
      <c r="CFM754" s="574"/>
      <c r="CFN754" s="574"/>
      <c r="CFO754" s="574"/>
      <c r="CFP754" s="574"/>
      <c r="CFQ754" s="574"/>
      <c r="CFR754" s="574"/>
      <c r="CFS754" s="574"/>
      <c r="CFT754" s="574"/>
      <c r="CFU754" s="574"/>
      <c r="CFV754" s="574"/>
      <c r="CFW754" s="574"/>
      <c r="CFX754" s="574"/>
      <c r="CFY754" s="574"/>
      <c r="CFZ754" s="574"/>
      <c r="CGA754" s="574"/>
      <c r="CGB754" s="574"/>
      <c r="CGC754" s="574"/>
      <c r="CGD754" s="574"/>
      <c r="CGE754" s="574"/>
      <c r="CGF754" s="574"/>
      <c r="CGG754" s="574"/>
      <c r="CGH754" s="574"/>
      <c r="CGI754" s="574"/>
      <c r="CGJ754" s="574"/>
      <c r="CGK754" s="574"/>
      <c r="CGL754" s="574"/>
      <c r="CGM754" s="574"/>
      <c r="CGN754" s="574"/>
      <c r="CGO754" s="574"/>
      <c r="CGP754" s="574"/>
      <c r="CGQ754" s="574"/>
      <c r="CGR754" s="574"/>
      <c r="CGS754" s="574"/>
      <c r="CGT754" s="574"/>
      <c r="CGU754" s="574"/>
      <c r="CGV754" s="574"/>
      <c r="CGW754" s="574"/>
      <c r="CGX754" s="574"/>
      <c r="CGY754" s="574"/>
      <c r="CGZ754" s="574"/>
      <c r="CHA754" s="574"/>
      <c r="CHB754" s="574"/>
      <c r="CHC754" s="574"/>
      <c r="CHD754" s="574"/>
      <c r="CHE754" s="574"/>
      <c r="CHF754" s="574"/>
      <c r="CHG754" s="574"/>
      <c r="CHH754" s="574"/>
      <c r="CHI754" s="574"/>
      <c r="CHJ754" s="574"/>
      <c r="CHK754" s="574"/>
      <c r="CHL754" s="574"/>
      <c r="CHM754" s="574"/>
      <c r="CHN754" s="574"/>
      <c r="CHO754" s="574"/>
      <c r="CHP754" s="574"/>
      <c r="CHQ754" s="574"/>
      <c r="CHR754" s="574"/>
      <c r="CHS754" s="574"/>
      <c r="CHT754" s="574"/>
      <c r="CHU754" s="574"/>
      <c r="CHV754" s="574"/>
      <c r="CHW754" s="574"/>
      <c r="CHX754" s="574"/>
      <c r="CHY754" s="574"/>
      <c r="CHZ754" s="574"/>
      <c r="CIA754" s="574"/>
      <c r="CIB754" s="574"/>
      <c r="CIC754" s="574"/>
      <c r="CID754" s="574"/>
      <c r="CIE754" s="574"/>
      <c r="CIF754" s="574"/>
      <c r="CIG754" s="574"/>
      <c r="CIH754" s="574"/>
      <c r="CII754" s="574"/>
      <c r="CIJ754" s="574"/>
      <c r="CIK754" s="574"/>
      <c r="CIL754" s="574"/>
      <c r="CIM754" s="574"/>
      <c r="CIN754" s="574"/>
      <c r="CIO754" s="574"/>
      <c r="CIP754" s="574"/>
      <c r="CIQ754" s="574"/>
      <c r="CIR754" s="574"/>
      <c r="CIS754" s="574"/>
      <c r="CIT754" s="574"/>
      <c r="CIU754" s="574"/>
      <c r="CIV754" s="574"/>
      <c r="CIW754" s="574"/>
      <c r="CIX754" s="574"/>
      <c r="CIY754" s="574"/>
      <c r="CIZ754" s="574"/>
      <c r="CJA754" s="574"/>
      <c r="CJB754" s="574"/>
      <c r="CJC754" s="574"/>
      <c r="CJD754" s="574"/>
      <c r="CJE754" s="574"/>
      <c r="CJF754" s="574"/>
      <c r="CJG754" s="574"/>
      <c r="CJH754" s="574"/>
      <c r="CJI754" s="574"/>
      <c r="CJJ754" s="574"/>
      <c r="CJK754" s="574"/>
      <c r="CJL754" s="574"/>
      <c r="CJM754" s="574"/>
      <c r="CJN754" s="574"/>
      <c r="CJO754" s="574"/>
      <c r="CJP754" s="574"/>
      <c r="CJQ754" s="574"/>
      <c r="CJR754" s="574"/>
      <c r="CJS754" s="574"/>
      <c r="CJT754" s="574"/>
      <c r="CJU754" s="574"/>
      <c r="CJV754" s="574"/>
      <c r="CJW754" s="574"/>
      <c r="CJX754" s="574"/>
      <c r="CJY754" s="574"/>
      <c r="CJZ754" s="574"/>
      <c r="CKA754" s="574"/>
      <c r="CKB754" s="574"/>
      <c r="CKC754" s="574"/>
      <c r="CKD754" s="574"/>
      <c r="CKE754" s="574"/>
      <c r="CKF754" s="574"/>
      <c r="CKG754" s="574"/>
      <c r="CKH754" s="574"/>
      <c r="CKI754" s="574"/>
      <c r="CKJ754" s="574"/>
      <c r="CKK754" s="574"/>
      <c r="CKL754" s="574"/>
      <c r="CKM754" s="574"/>
      <c r="CKN754" s="574"/>
      <c r="CKO754" s="574"/>
      <c r="CKP754" s="574"/>
      <c r="CKQ754" s="574"/>
      <c r="CKR754" s="574"/>
      <c r="CKS754" s="574"/>
      <c r="CKT754" s="574"/>
      <c r="CKU754" s="574"/>
      <c r="CKV754" s="574"/>
      <c r="CKW754" s="574"/>
      <c r="CKX754" s="574"/>
      <c r="CKY754" s="574"/>
      <c r="CKZ754" s="574"/>
      <c r="CLA754" s="574"/>
      <c r="CLB754" s="574"/>
      <c r="CLC754" s="574"/>
      <c r="CLD754" s="574"/>
      <c r="CLE754" s="574"/>
      <c r="CLF754" s="574"/>
      <c r="CLG754" s="574"/>
      <c r="CLH754" s="574"/>
      <c r="CLI754" s="574"/>
      <c r="CLJ754" s="574"/>
      <c r="CLK754" s="574"/>
      <c r="CLL754" s="574"/>
      <c r="CLM754" s="574"/>
      <c r="CLN754" s="574"/>
      <c r="CLO754" s="574"/>
      <c r="CLP754" s="574"/>
      <c r="CLQ754" s="574"/>
      <c r="CLR754" s="574"/>
      <c r="CLS754" s="574"/>
      <c r="CLT754" s="574"/>
      <c r="CLU754" s="574"/>
      <c r="CLV754" s="574"/>
      <c r="CLW754" s="574"/>
      <c r="CLX754" s="574"/>
      <c r="CLY754" s="574"/>
      <c r="CLZ754" s="574"/>
      <c r="CMA754" s="574"/>
      <c r="CMB754" s="574"/>
      <c r="CMC754" s="574"/>
      <c r="CMD754" s="574"/>
      <c r="CME754" s="574"/>
      <c r="CMF754" s="574"/>
      <c r="CMG754" s="574"/>
      <c r="CMH754" s="574"/>
      <c r="CMI754" s="574"/>
      <c r="CMJ754" s="574"/>
      <c r="CMK754" s="574"/>
      <c r="CML754" s="574"/>
      <c r="CMM754" s="574"/>
      <c r="CMN754" s="574"/>
      <c r="CMO754" s="574"/>
      <c r="CMP754" s="574"/>
      <c r="CMQ754" s="574"/>
      <c r="CMR754" s="574"/>
      <c r="CMS754" s="574"/>
      <c r="CMT754" s="574"/>
      <c r="CMU754" s="574"/>
      <c r="CMV754" s="574"/>
      <c r="CMW754" s="574"/>
      <c r="CMX754" s="574"/>
      <c r="CMY754" s="574"/>
      <c r="CMZ754" s="574"/>
      <c r="CNA754" s="574"/>
      <c r="CNB754" s="574"/>
      <c r="CNC754" s="574"/>
      <c r="CND754" s="574"/>
      <c r="CNE754" s="574"/>
      <c r="CNF754" s="574"/>
      <c r="CNG754" s="574"/>
      <c r="CNH754" s="574"/>
      <c r="CNI754" s="574"/>
      <c r="CNJ754" s="574"/>
      <c r="CNK754" s="574"/>
      <c r="CNL754" s="574"/>
      <c r="CNM754" s="574"/>
      <c r="CNN754" s="574"/>
      <c r="CNO754" s="574"/>
      <c r="CNP754" s="574"/>
      <c r="CNQ754" s="574"/>
      <c r="CNR754" s="574"/>
      <c r="CNS754" s="574"/>
      <c r="CNT754" s="574"/>
      <c r="CNU754" s="574"/>
      <c r="CNV754" s="574"/>
      <c r="CNW754" s="574"/>
      <c r="CNX754" s="574"/>
      <c r="CNY754" s="574"/>
      <c r="CNZ754" s="574"/>
      <c r="COA754" s="574"/>
      <c r="COB754" s="574"/>
      <c r="COC754" s="574"/>
      <c r="COD754" s="574"/>
      <c r="COE754" s="574"/>
      <c r="COF754" s="574"/>
      <c r="COG754" s="574"/>
      <c r="COH754" s="574"/>
      <c r="COI754" s="574"/>
      <c r="COJ754" s="574"/>
      <c r="COK754" s="574"/>
      <c r="COL754" s="574"/>
      <c r="COM754" s="574"/>
      <c r="CON754" s="574"/>
      <c r="COO754" s="574"/>
      <c r="COP754" s="574"/>
      <c r="COQ754" s="574"/>
      <c r="COR754" s="574"/>
      <c r="COS754" s="574"/>
      <c r="COT754" s="574"/>
      <c r="COU754" s="574"/>
      <c r="COV754" s="574"/>
      <c r="COW754" s="574"/>
      <c r="COX754" s="574"/>
      <c r="COY754" s="574"/>
      <c r="COZ754" s="574"/>
      <c r="CPA754" s="574"/>
      <c r="CPB754" s="574"/>
      <c r="CPC754" s="574"/>
      <c r="CPD754" s="574"/>
      <c r="CPE754" s="574"/>
      <c r="CPF754" s="574"/>
      <c r="CPG754" s="574"/>
      <c r="CPH754" s="574"/>
      <c r="CPI754" s="574"/>
      <c r="CPJ754" s="574"/>
      <c r="CPK754" s="574"/>
      <c r="CPL754" s="574"/>
      <c r="CPM754" s="574"/>
      <c r="CPN754" s="574"/>
      <c r="CPO754" s="574"/>
      <c r="CPP754" s="574"/>
      <c r="CPQ754" s="574"/>
      <c r="CPR754" s="574"/>
      <c r="CPS754" s="574"/>
      <c r="CPT754" s="574"/>
      <c r="CPU754" s="574"/>
      <c r="CPV754" s="574"/>
      <c r="CPW754" s="574"/>
      <c r="CPX754" s="574"/>
      <c r="CPY754" s="574"/>
      <c r="CPZ754" s="574"/>
      <c r="CQA754" s="574"/>
      <c r="CQB754" s="574"/>
      <c r="CQC754" s="574"/>
      <c r="CQD754" s="574"/>
      <c r="CQE754" s="574"/>
      <c r="CQF754" s="574"/>
      <c r="CQG754" s="574"/>
      <c r="CQH754" s="574"/>
      <c r="CQI754" s="574"/>
      <c r="CQJ754" s="574"/>
      <c r="CQK754" s="574"/>
      <c r="CQL754" s="574"/>
      <c r="CQM754" s="574"/>
      <c r="CQN754" s="574"/>
      <c r="CQO754" s="574"/>
      <c r="CQP754" s="574"/>
      <c r="CQQ754" s="574"/>
      <c r="CQR754" s="574"/>
      <c r="CQS754" s="574"/>
      <c r="CQT754" s="574"/>
      <c r="CQU754" s="574"/>
      <c r="CQV754" s="574"/>
      <c r="CQW754" s="574"/>
      <c r="CQX754" s="574"/>
      <c r="CQY754" s="574"/>
      <c r="CQZ754" s="574"/>
      <c r="CRA754" s="574"/>
      <c r="CRB754" s="574"/>
      <c r="CRC754" s="574"/>
      <c r="CRD754" s="574"/>
      <c r="CRE754" s="574"/>
      <c r="CRF754" s="574"/>
      <c r="CRG754" s="574"/>
      <c r="CRH754" s="574"/>
      <c r="CRI754" s="574"/>
      <c r="CRJ754" s="574"/>
      <c r="CRK754" s="574"/>
      <c r="CRL754" s="574"/>
      <c r="CRM754" s="574"/>
      <c r="CRN754" s="574"/>
      <c r="CRO754" s="574"/>
      <c r="CRP754" s="574"/>
      <c r="CRQ754" s="574"/>
      <c r="CRR754" s="574"/>
      <c r="CRS754" s="574"/>
      <c r="CRT754" s="574"/>
      <c r="CRU754" s="574"/>
      <c r="CRV754" s="574"/>
      <c r="CRW754" s="574"/>
      <c r="CRX754" s="574"/>
      <c r="CRY754" s="574"/>
      <c r="CRZ754" s="574"/>
      <c r="CSA754" s="574"/>
      <c r="CSB754" s="574"/>
      <c r="CSC754" s="574"/>
      <c r="CSD754" s="574"/>
      <c r="CSE754" s="574"/>
      <c r="CSF754" s="574"/>
      <c r="CSG754" s="574"/>
      <c r="CSH754" s="574"/>
      <c r="CSI754" s="574"/>
      <c r="CSJ754" s="574"/>
      <c r="CSK754" s="574"/>
      <c r="CSL754" s="574"/>
      <c r="CSM754" s="574"/>
      <c r="CSN754" s="574"/>
      <c r="CSO754" s="574"/>
      <c r="CSP754" s="574"/>
      <c r="CSQ754" s="574"/>
      <c r="CSR754" s="574"/>
      <c r="CSS754" s="574"/>
      <c r="CST754" s="574"/>
      <c r="CSU754" s="574"/>
      <c r="CSV754" s="574"/>
      <c r="CSW754" s="574"/>
      <c r="CSX754" s="574"/>
      <c r="CSY754" s="574"/>
      <c r="CSZ754" s="574"/>
      <c r="CTA754" s="574"/>
      <c r="CTB754" s="574"/>
      <c r="CTC754" s="574"/>
      <c r="CTD754" s="574"/>
      <c r="CTE754" s="574"/>
      <c r="CTF754" s="574"/>
      <c r="CTG754" s="574"/>
      <c r="CTH754" s="574"/>
      <c r="CTI754" s="574"/>
      <c r="CTJ754" s="574"/>
      <c r="CTK754" s="574"/>
      <c r="CTL754" s="574"/>
      <c r="CTM754" s="574"/>
      <c r="CTN754" s="574"/>
      <c r="CTO754" s="574"/>
      <c r="CTP754" s="574"/>
      <c r="CTQ754" s="574"/>
      <c r="CTR754" s="574"/>
      <c r="CTS754" s="574"/>
      <c r="CTT754" s="574"/>
      <c r="CTU754" s="574"/>
      <c r="CTV754" s="574"/>
      <c r="CTW754" s="574"/>
      <c r="CTX754" s="574"/>
      <c r="CTY754" s="574"/>
      <c r="CTZ754" s="574"/>
      <c r="CUA754" s="574"/>
      <c r="CUB754" s="574"/>
      <c r="CUC754" s="574"/>
      <c r="CUD754" s="574"/>
      <c r="CUE754" s="574"/>
      <c r="CUF754" s="574"/>
      <c r="CUG754" s="574"/>
      <c r="CUH754" s="574"/>
      <c r="CUI754" s="574"/>
      <c r="CUJ754" s="574"/>
      <c r="CUK754" s="574"/>
      <c r="CUL754" s="574"/>
      <c r="CUM754" s="574"/>
      <c r="CUN754" s="574"/>
      <c r="CUO754" s="574"/>
      <c r="CUP754" s="574"/>
      <c r="CUQ754" s="574"/>
      <c r="CUR754" s="574"/>
      <c r="CUS754" s="574"/>
      <c r="CUT754" s="574"/>
      <c r="CUU754" s="574"/>
      <c r="CUV754" s="574"/>
      <c r="CUW754" s="574"/>
      <c r="CUX754" s="574"/>
      <c r="CUY754" s="574"/>
      <c r="CUZ754" s="574"/>
      <c r="CVA754" s="574"/>
      <c r="CVB754" s="574"/>
      <c r="CVC754" s="574"/>
      <c r="CVD754" s="574"/>
      <c r="CVE754" s="574"/>
      <c r="CVF754" s="574"/>
      <c r="CVG754" s="574"/>
      <c r="CVH754" s="574"/>
      <c r="CVI754" s="574"/>
      <c r="CVJ754" s="574"/>
      <c r="CVK754" s="574"/>
      <c r="CVL754" s="574"/>
      <c r="CVM754" s="574"/>
      <c r="CVN754" s="574"/>
      <c r="CVO754" s="574"/>
      <c r="CVP754" s="574"/>
      <c r="CVQ754" s="574"/>
      <c r="CVR754" s="574"/>
      <c r="CVS754" s="574"/>
      <c r="CVT754" s="574"/>
      <c r="CVU754" s="574"/>
      <c r="CVV754" s="574"/>
      <c r="CVW754" s="574"/>
      <c r="CVX754" s="574"/>
      <c r="CVY754" s="574"/>
      <c r="CVZ754" s="574"/>
      <c r="CWA754" s="574"/>
      <c r="CWB754" s="574"/>
      <c r="CWC754" s="574"/>
      <c r="CWD754" s="574"/>
      <c r="CWE754" s="574"/>
      <c r="CWF754" s="574"/>
      <c r="CWG754" s="574"/>
      <c r="CWH754" s="574"/>
      <c r="CWI754" s="574"/>
      <c r="CWJ754" s="574"/>
      <c r="CWK754" s="574"/>
      <c r="CWL754" s="574"/>
      <c r="CWM754" s="574"/>
      <c r="CWN754" s="574"/>
      <c r="CWO754" s="574"/>
      <c r="CWP754" s="574"/>
      <c r="CWQ754" s="574"/>
      <c r="CWR754" s="574"/>
      <c r="CWS754" s="574"/>
      <c r="CWT754" s="574"/>
      <c r="CWU754" s="574"/>
      <c r="CWV754" s="574"/>
      <c r="CWW754" s="574"/>
      <c r="CWX754" s="574"/>
      <c r="CWY754" s="574"/>
      <c r="CWZ754" s="574"/>
      <c r="CXA754" s="574"/>
      <c r="CXB754" s="574"/>
      <c r="CXC754" s="574"/>
      <c r="CXD754" s="574"/>
      <c r="CXE754" s="574"/>
      <c r="CXF754" s="574"/>
      <c r="CXG754" s="574"/>
      <c r="CXH754" s="574"/>
      <c r="CXI754" s="574"/>
      <c r="CXJ754" s="574"/>
      <c r="CXK754" s="574"/>
      <c r="CXL754" s="574"/>
      <c r="CXM754" s="574"/>
      <c r="CXN754" s="574"/>
      <c r="CXO754" s="574"/>
      <c r="CXP754" s="574"/>
      <c r="CXQ754" s="574"/>
      <c r="CXR754" s="574"/>
      <c r="CXS754" s="574"/>
      <c r="CXT754" s="574"/>
      <c r="CXU754" s="574"/>
      <c r="CXV754" s="574"/>
      <c r="CXW754" s="574"/>
      <c r="CXX754" s="574"/>
      <c r="CXY754" s="574"/>
      <c r="CXZ754" s="574"/>
      <c r="CYA754" s="574"/>
      <c r="CYB754" s="574"/>
      <c r="CYC754" s="574"/>
      <c r="CYD754" s="574"/>
      <c r="CYE754" s="574"/>
      <c r="CYF754" s="574"/>
      <c r="CYG754" s="574"/>
      <c r="CYH754" s="574"/>
      <c r="CYI754" s="574"/>
      <c r="CYJ754" s="574"/>
      <c r="CYK754" s="574"/>
      <c r="CYL754" s="574"/>
      <c r="CYM754" s="574"/>
      <c r="CYN754" s="574"/>
      <c r="CYO754" s="574"/>
      <c r="CYP754" s="574"/>
      <c r="CYQ754" s="574"/>
      <c r="CYR754" s="574"/>
      <c r="CYS754" s="574"/>
      <c r="CYT754" s="574"/>
      <c r="CYU754" s="574"/>
      <c r="CYV754" s="574"/>
      <c r="CYW754" s="574"/>
      <c r="CYX754" s="574"/>
      <c r="CYY754" s="574"/>
      <c r="CYZ754" s="574"/>
      <c r="CZA754" s="574"/>
      <c r="CZB754" s="574"/>
      <c r="CZC754" s="574"/>
      <c r="CZD754" s="574"/>
      <c r="CZE754" s="574"/>
      <c r="CZF754" s="574"/>
      <c r="CZG754" s="574"/>
      <c r="CZH754" s="574"/>
      <c r="CZI754" s="574"/>
      <c r="CZJ754" s="574"/>
      <c r="CZK754" s="574"/>
      <c r="CZL754" s="574"/>
      <c r="CZM754" s="574"/>
      <c r="CZN754" s="574"/>
      <c r="CZO754" s="574"/>
      <c r="CZP754" s="574"/>
      <c r="CZQ754" s="574"/>
      <c r="CZR754" s="574"/>
      <c r="CZS754" s="574"/>
      <c r="CZT754" s="574"/>
      <c r="CZU754" s="574"/>
      <c r="CZV754" s="574"/>
      <c r="CZW754" s="574"/>
      <c r="CZX754" s="574"/>
      <c r="CZY754" s="574"/>
      <c r="CZZ754" s="574"/>
      <c r="DAA754" s="574"/>
      <c r="DAB754" s="574"/>
      <c r="DAC754" s="574"/>
      <c r="DAD754" s="574"/>
      <c r="DAE754" s="574"/>
      <c r="DAF754" s="574"/>
      <c r="DAG754" s="574"/>
      <c r="DAH754" s="574"/>
      <c r="DAI754" s="574"/>
      <c r="DAJ754" s="574"/>
      <c r="DAK754" s="574"/>
      <c r="DAL754" s="574"/>
      <c r="DAM754" s="574"/>
      <c r="DAN754" s="574"/>
      <c r="DAO754" s="574"/>
      <c r="DAP754" s="574"/>
      <c r="DAQ754" s="574"/>
      <c r="DAR754" s="574"/>
      <c r="DAS754" s="574"/>
      <c r="DAT754" s="574"/>
      <c r="DAU754" s="574"/>
      <c r="DAV754" s="574"/>
      <c r="DAW754" s="574"/>
      <c r="DAX754" s="574"/>
      <c r="DAY754" s="574"/>
      <c r="DAZ754" s="574"/>
      <c r="DBA754" s="574"/>
      <c r="DBB754" s="574"/>
      <c r="DBC754" s="574"/>
      <c r="DBD754" s="574"/>
      <c r="DBE754" s="574"/>
      <c r="DBF754" s="574"/>
      <c r="DBG754" s="574"/>
      <c r="DBH754" s="574"/>
      <c r="DBI754" s="574"/>
      <c r="DBJ754" s="574"/>
      <c r="DBK754" s="574"/>
      <c r="DBL754" s="574"/>
      <c r="DBM754" s="574"/>
      <c r="DBN754" s="574"/>
      <c r="DBO754" s="574"/>
      <c r="DBP754" s="574"/>
      <c r="DBQ754" s="574"/>
      <c r="DBR754" s="574"/>
      <c r="DBS754" s="574"/>
      <c r="DBT754" s="574"/>
      <c r="DBU754" s="574"/>
      <c r="DBV754" s="574"/>
      <c r="DBW754" s="574"/>
      <c r="DBX754" s="574"/>
      <c r="DBY754" s="574"/>
      <c r="DBZ754" s="574"/>
      <c r="DCA754" s="574"/>
      <c r="DCB754" s="574"/>
      <c r="DCC754" s="574"/>
      <c r="DCD754" s="574"/>
      <c r="DCE754" s="574"/>
      <c r="DCF754" s="574"/>
      <c r="DCG754" s="574"/>
      <c r="DCH754" s="574"/>
      <c r="DCI754" s="574"/>
      <c r="DCJ754" s="574"/>
      <c r="DCK754" s="574"/>
      <c r="DCL754" s="574"/>
      <c r="DCM754" s="574"/>
      <c r="DCN754" s="574"/>
      <c r="DCO754" s="574"/>
      <c r="DCP754" s="574"/>
      <c r="DCQ754" s="574"/>
      <c r="DCR754" s="574"/>
      <c r="DCS754" s="574"/>
      <c r="DCT754" s="574"/>
      <c r="DCU754" s="574"/>
      <c r="DCV754" s="574"/>
      <c r="DCW754" s="574"/>
      <c r="DCX754" s="574"/>
      <c r="DCY754" s="574"/>
      <c r="DCZ754" s="574"/>
      <c r="DDA754" s="574"/>
      <c r="DDB754" s="574"/>
      <c r="DDC754" s="574"/>
      <c r="DDD754" s="574"/>
      <c r="DDE754" s="574"/>
      <c r="DDF754" s="574"/>
      <c r="DDG754" s="574"/>
      <c r="DDH754" s="574"/>
      <c r="DDI754" s="574"/>
      <c r="DDJ754" s="574"/>
      <c r="DDK754" s="574"/>
      <c r="DDL754" s="574"/>
      <c r="DDM754" s="574"/>
      <c r="DDN754" s="574"/>
      <c r="DDO754" s="574"/>
      <c r="DDP754" s="574"/>
      <c r="DDQ754" s="574"/>
      <c r="DDR754" s="574"/>
      <c r="DDS754" s="574"/>
      <c r="DDT754" s="574"/>
      <c r="DDU754" s="574"/>
      <c r="DDV754" s="574"/>
      <c r="DDW754" s="574"/>
      <c r="DDX754" s="574"/>
      <c r="DDY754" s="574"/>
      <c r="DDZ754" s="574"/>
      <c r="DEA754" s="574"/>
      <c r="DEB754" s="574"/>
      <c r="DEC754" s="574"/>
      <c r="DED754" s="574"/>
      <c r="DEE754" s="574"/>
      <c r="DEF754" s="574"/>
      <c r="DEG754" s="574"/>
      <c r="DEH754" s="574"/>
      <c r="DEI754" s="574"/>
      <c r="DEJ754" s="574"/>
      <c r="DEK754" s="574"/>
      <c r="DEL754" s="574"/>
      <c r="DEM754" s="574"/>
      <c r="DEN754" s="574"/>
      <c r="DEO754" s="574"/>
      <c r="DEP754" s="574"/>
      <c r="DEQ754" s="574"/>
      <c r="DER754" s="574"/>
      <c r="DES754" s="574"/>
      <c r="DET754" s="574"/>
      <c r="DEU754" s="574"/>
      <c r="DEV754" s="574"/>
      <c r="DEW754" s="574"/>
      <c r="DEX754" s="574"/>
      <c r="DEY754" s="574"/>
      <c r="DEZ754" s="574"/>
      <c r="DFA754" s="574"/>
      <c r="DFB754" s="574"/>
      <c r="DFC754" s="574"/>
      <c r="DFD754" s="574"/>
      <c r="DFE754" s="574"/>
      <c r="DFF754" s="574"/>
      <c r="DFG754" s="574"/>
      <c r="DFH754" s="574"/>
      <c r="DFI754" s="574"/>
      <c r="DFJ754" s="574"/>
      <c r="DFK754" s="574"/>
      <c r="DFL754" s="574"/>
      <c r="DFM754" s="574"/>
      <c r="DFN754" s="574"/>
      <c r="DFO754" s="574"/>
      <c r="DFP754" s="574"/>
      <c r="DFQ754" s="574"/>
      <c r="DFR754" s="574"/>
      <c r="DFS754" s="574"/>
      <c r="DFT754" s="574"/>
      <c r="DFU754" s="574"/>
      <c r="DFV754" s="574"/>
      <c r="DFW754" s="574"/>
      <c r="DFX754" s="574"/>
      <c r="DFY754" s="574"/>
      <c r="DFZ754" s="574"/>
      <c r="DGA754" s="574"/>
      <c r="DGB754" s="574"/>
      <c r="DGC754" s="574"/>
      <c r="DGD754" s="574"/>
      <c r="DGE754" s="574"/>
      <c r="DGF754" s="574"/>
      <c r="DGG754" s="574"/>
      <c r="DGH754" s="574"/>
      <c r="DGI754" s="574"/>
      <c r="DGJ754" s="574"/>
      <c r="DGK754" s="574"/>
      <c r="DGL754" s="574"/>
      <c r="DGM754" s="574"/>
      <c r="DGN754" s="574"/>
      <c r="DGO754" s="574"/>
      <c r="DGP754" s="574"/>
      <c r="DGQ754" s="574"/>
      <c r="DGR754" s="574"/>
      <c r="DGS754" s="574"/>
      <c r="DGT754" s="574"/>
      <c r="DGU754" s="574"/>
      <c r="DGV754" s="574"/>
      <c r="DGW754" s="574"/>
      <c r="DGX754" s="574"/>
      <c r="DGY754" s="574"/>
      <c r="DGZ754" s="574"/>
      <c r="DHA754" s="574"/>
      <c r="DHB754" s="574"/>
      <c r="DHC754" s="574"/>
      <c r="DHD754" s="574"/>
      <c r="DHE754" s="574"/>
      <c r="DHF754" s="574"/>
      <c r="DHG754" s="574"/>
      <c r="DHH754" s="574"/>
      <c r="DHI754" s="574"/>
      <c r="DHJ754" s="574"/>
      <c r="DHK754" s="574"/>
      <c r="DHL754" s="574"/>
      <c r="DHM754" s="574"/>
      <c r="DHN754" s="574"/>
      <c r="DHO754" s="574"/>
      <c r="DHP754" s="574"/>
      <c r="DHQ754" s="574"/>
      <c r="DHR754" s="574"/>
      <c r="DHS754" s="574"/>
      <c r="DHT754" s="574"/>
      <c r="DHU754" s="574"/>
      <c r="DHV754" s="574"/>
      <c r="DHW754" s="574"/>
      <c r="DHX754" s="574"/>
      <c r="DHY754" s="574"/>
      <c r="DHZ754" s="574"/>
      <c r="DIA754" s="574"/>
      <c r="DIB754" s="574"/>
      <c r="DIC754" s="574"/>
      <c r="DID754" s="574"/>
      <c r="DIE754" s="574"/>
      <c r="DIF754" s="574"/>
      <c r="DIG754" s="574"/>
      <c r="DIH754" s="574"/>
      <c r="DII754" s="574"/>
      <c r="DIJ754" s="574"/>
      <c r="DIK754" s="574"/>
      <c r="DIL754" s="574"/>
      <c r="DIM754" s="574"/>
      <c r="DIN754" s="574"/>
      <c r="DIO754" s="574"/>
      <c r="DIP754" s="574"/>
      <c r="DIQ754" s="574"/>
      <c r="DIR754" s="574"/>
      <c r="DIS754" s="574"/>
      <c r="DIT754" s="574"/>
      <c r="DIU754" s="574"/>
      <c r="DIV754" s="574"/>
      <c r="DIW754" s="574"/>
      <c r="DIX754" s="574"/>
      <c r="DIY754" s="574"/>
      <c r="DIZ754" s="574"/>
      <c r="DJA754" s="574"/>
      <c r="DJB754" s="574"/>
      <c r="DJC754" s="574"/>
      <c r="DJD754" s="574"/>
      <c r="DJE754" s="574"/>
      <c r="DJF754" s="574"/>
      <c r="DJG754" s="574"/>
      <c r="DJH754" s="574"/>
      <c r="DJI754" s="574"/>
      <c r="DJJ754" s="574"/>
      <c r="DJK754" s="574"/>
      <c r="DJL754" s="574"/>
      <c r="DJM754" s="574"/>
      <c r="DJN754" s="574"/>
      <c r="DJO754" s="574"/>
      <c r="DJP754" s="574"/>
      <c r="DJQ754" s="574"/>
      <c r="DJR754" s="574"/>
      <c r="DJS754" s="574"/>
      <c r="DJT754" s="574"/>
      <c r="DJU754" s="574"/>
      <c r="DJV754" s="574"/>
      <c r="DJW754" s="574"/>
      <c r="DJX754" s="574"/>
      <c r="DJY754" s="574"/>
      <c r="DJZ754" s="574"/>
      <c r="DKA754" s="574"/>
      <c r="DKB754" s="574"/>
      <c r="DKC754" s="574"/>
      <c r="DKD754" s="574"/>
      <c r="DKE754" s="574"/>
      <c r="DKF754" s="574"/>
      <c r="DKG754" s="574"/>
      <c r="DKH754" s="574"/>
      <c r="DKI754" s="574"/>
      <c r="DKJ754" s="574"/>
      <c r="DKK754" s="574"/>
      <c r="DKL754" s="574"/>
      <c r="DKM754" s="574"/>
      <c r="DKN754" s="574"/>
      <c r="DKO754" s="574"/>
      <c r="DKP754" s="574"/>
      <c r="DKQ754" s="574"/>
      <c r="DKR754" s="574"/>
      <c r="DKS754" s="574"/>
      <c r="DKT754" s="574"/>
      <c r="DKU754" s="574"/>
      <c r="DKV754" s="574"/>
      <c r="DKW754" s="574"/>
      <c r="DKX754" s="574"/>
      <c r="DKY754" s="574"/>
      <c r="DKZ754" s="574"/>
      <c r="DLA754" s="574"/>
      <c r="DLB754" s="574"/>
      <c r="DLC754" s="574"/>
      <c r="DLD754" s="574"/>
      <c r="DLE754" s="574"/>
      <c r="DLF754" s="574"/>
      <c r="DLG754" s="574"/>
      <c r="DLH754" s="574"/>
      <c r="DLI754" s="574"/>
      <c r="DLJ754" s="574"/>
      <c r="DLK754" s="574"/>
      <c r="DLL754" s="574"/>
      <c r="DLM754" s="574"/>
      <c r="DLN754" s="574"/>
      <c r="DLO754" s="574"/>
      <c r="DLP754" s="574"/>
      <c r="DLQ754" s="574"/>
      <c r="DLR754" s="574"/>
      <c r="DLS754" s="574"/>
      <c r="DLT754" s="574"/>
      <c r="DLU754" s="574"/>
      <c r="DLV754" s="574"/>
      <c r="DLW754" s="574"/>
      <c r="DLX754" s="574"/>
      <c r="DLY754" s="574"/>
      <c r="DLZ754" s="574"/>
      <c r="DMA754" s="574"/>
      <c r="DMB754" s="574"/>
      <c r="DMC754" s="574"/>
      <c r="DMD754" s="574"/>
      <c r="DME754" s="574"/>
      <c r="DMF754" s="574"/>
      <c r="DMG754" s="574"/>
      <c r="DMH754" s="574"/>
      <c r="DMI754" s="574"/>
      <c r="DMJ754" s="574"/>
      <c r="DMK754" s="574"/>
      <c r="DML754" s="574"/>
      <c r="DMM754" s="574"/>
      <c r="DMN754" s="574"/>
      <c r="DMO754" s="574"/>
      <c r="DMP754" s="574"/>
      <c r="DMQ754" s="574"/>
      <c r="DMR754" s="574"/>
      <c r="DMS754" s="574"/>
      <c r="DMT754" s="574"/>
      <c r="DMU754" s="574"/>
      <c r="DMV754" s="574"/>
      <c r="DMW754" s="574"/>
      <c r="DMX754" s="574"/>
      <c r="DMY754" s="574"/>
      <c r="DMZ754" s="574"/>
      <c r="DNA754" s="574"/>
      <c r="DNB754" s="574"/>
      <c r="DNC754" s="574"/>
      <c r="DND754" s="574"/>
      <c r="DNE754" s="574"/>
      <c r="DNF754" s="574"/>
      <c r="DNG754" s="574"/>
      <c r="DNH754" s="574"/>
      <c r="DNI754" s="574"/>
      <c r="DNJ754" s="574"/>
      <c r="DNK754" s="574"/>
      <c r="DNL754" s="574"/>
      <c r="DNM754" s="574"/>
      <c r="DNN754" s="574"/>
      <c r="DNO754" s="574"/>
      <c r="DNP754" s="574"/>
      <c r="DNQ754" s="574"/>
      <c r="DNR754" s="574"/>
      <c r="DNS754" s="574"/>
      <c r="DNT754" s="574"/>
      <c r="DNU754" s="574"/>
      <c r="DNV754" s="574"/>
      <c r="DNW754" s="574"/>
      <c r="DNX754" s="574"/>
      <c r="DNY754" s="574"/>
      <c r="DNZ754" s="574"/>
      <c r="DOA754" s="574"/>
      <c r="DOB754" s="574"/>
      <c r="DOC754" s="574"/>
      <c r="DOD754" s="574"/>
      <c r="DOE754" s="574"/>
      <c r="DOF754" s="574"/>
      <c r="DOG754" s="574"/>
      <c r="DOH754" s="574"/>
      <c r="DOI754" s="574"/>
      <c r="DOJ754" s="574"/>
      <c r="DOK754" s="574"/>
      <c r="DOL754" s="574"/>
      <c r="DOM754" s="574"/>
      <c r="DON754" s="574"/>
      <c r="DOO754" s="574"/>
      <c r="DOP754" s="574"/>
      <c r="DOQ754" s="574"/>
      <c r="DOR754" s="574"/>
      <c r="DOS754" s="574"/>
      <c r="DOT754" s="574"/>
      <c r="DOU754" s="574"/>
      <c r="DOV754" s="574"/>
      <c r="DOW754" s="574"/>
      <c r="DOX754" s="574"/>
      <c r="DOY754" s="574"/>
      <c r="DOZ754" s="574"/>
      <c r="DPA754" s="574"/>
      <c r="DPB754" s="574"/>
      <c r="DPC754" s="574"/>
      <c r="DPD754" s="574"/>
      <c r="DPE754" s="574"/>
      <c r="DPF754" s="574"/>
      <c r="DPG754" s="574"/>
      <c r="DPH754" s="574"/>
      <c r="DPI754" s="574"/>
      <c r="DPJ754" s="574"/>
      <c r="DPK754" s="574"/>
      <c r="DPL754" s="574"/>
      <c r="DPM754" s="574"/>
      <c r="DPN754" s="574"/>
      <c r="DPO754" s="574"/>
      <c r="DPP754" s="574"/>
      <c r="DPQ754" s="574"/>
      <c r="DPR754" s="574"/>
      <c r="DPS754" s="574"/>
      <c r="DPT754" s="574"/>
      <c r="DPU754" s="574"/>
      <c r="DPV754" s="574"/>
      <c r="DPW754" s="574"/>
      <c r="DPX754" s="574"/>
      <c r="DPY754" s="574"/>
      <c r="DPZ754" s="574"/>
      <c r="DQA754" s="574"/>
      <c r="DQB754" s="574"/>
      <c r="DQC754" s="574"/>
      <c r="DQD754" s="574"/>
      <c r="DQE754" s="574"/>
      <c r="DQF754" s="574"/>
      <c r="DQG754" s="574"/>
      <c r="DQH754" s="574"/>
      <c r="DQI754" s="574"/>
      <c r="DQJ754" s="574"/>
      <c r="DQK754" s="574"/>
      <c r="DQL754" s="574"/>
      <c r="DQM754" s="574"/>
      <c r="DQN754" s="574"/>
      <c r="DQO754" s="574"/>
      <c r="DQP754" s="574"/>
      <c r="DQQ754" s="574"/>
      <c r="DQR754" s="574"/>
      <c r="DQS754" s="574"/>
      <c r="DQT754" s="574"/>
      <c r="DQU754" s="574"/>
      <c r="DQV754" s="574"/>
      <c r="DQW754" s="574"/>
      <c r="DQX754" s="574"/>
      <c r="DQY754" s="574"/>
      <c r="DQZ754" s="574"/>
      <c r="DRA754" s="574"/>
      <c r="DRB754" s="574"/>
      <c r="DRC754" s="574"/>
      <c r="DRD754" s="574"/>
      <c r="DRE754" s="574"/>
      <c r="DRF754" s="574"/>
      <c r="DRG754" s="574"/>
      <c r="DRH754" s="574"/>
      <c r="DRI754" s="574"/>
      <c r="DRJ754" s="574"/>
      <c r="DRK754" s="574"/>
      <c r="DRL754" s="574"/>
      <c r="DRM754" s="574"/>
      <c r="DRN754" s="574"/>
      <c r="DRO754" s="574"/>
      <c r="DRP754" s="574"/>
      <c r="DRQ754" s="574"/>
      <c r="DRR754" s="574"/>
      <c r="DRS754" s="574"/>
      <c r="DRT754" s="574"/>
      <c r="DRU754" s="574"/>
      <c r="DRV754" s="574"/>
      <c r="DRW754" s="574"/>
      <c r="DRX754" s="574"/>
      <c r="DRY754" s="574"/>
      <c r="DRZ754" s="574"/>
      <c r="DSA754" s="574"/>
      <c r="DSB754" s="574"/>
      <c r="DSC754" s="574"/>
      <c r="DSD754" s="574"/>
      <c r="DSE754" s="574"/>
      <c r="DSF754" s="574"/>
      <c r="DSG754" s="574"/>
      <c r="DSH754" s="574"/>
      <c r="DSI754" s="574"/>
      <c r="DSJ754" s="574"/>
      <c r="DSK754" s="574"/>
      <c r="DSL754" s="574"/>
      <c r="DSM754" s="574"/>
      <c r="DSN754" s="574"/>
      <c r="DSO754" s="574"/>
      <c r="DSP754" s="574"/>
      <c r="DSQ754" s="574"/>
      <c r="DSR754" s="574"/>
      <c r="DSS754" s="574"/>
      <c r="DST754" s="574"/>
      <c r="DSU754" s="574"/>
      <c r="DSV754" s="574"/>
      <c r="DSW754" s="574"/>
      <c r="DSX754" s="574"/>
      <c r="DSY754" s="574"/>
      <c r="DSZ754" s="574"/>
      <c r="DTA754" s="574"/>
      <c r="DTB754" s="574"/>
      <c r="DTC754" s="574"/>
      <c r="DTD754" s="574"/>
      <c r="DTE754" s="574"/>
      <c r="DTF754" s="574"/>
      <c r="DTG754" s="574"/>
      <c r="DTH754" s="574"/>
      <c r="DTI754" s="574"/>
      <c r="DTJ754" s="574"/>
      <c r="DTK754" s="574"/>
      <c r="DTL754" s="574"/>
      <c r="DTM754" s="574"/>
      <c r="DTN754" s="574"/>
      <c r="DTO754" s="574"/>
      <c r="DTP754" s="574"/>
      <c r="DTQ754" s="574"/>
      <c r="DTR754" s="574"/>
      <c r="DTS754" s="574"/>
      <c r="DTT754" s="574"/>
      <c r="DTU754" s="574"/>
      <c r="DTV754" s="574"/>
      <c r="DTW754" s="574"/>
      <c r="DTX754" s="574"/>
      <c r="DTY754" s="574"/>
      <c r="DTZ754" s="574"/>
      <c r="DUA754" s="574"/>
      <c r="DUB754" s="574"/>
      <c r="DUC754" s="574"/>
      <c r="DUD754" s="574"/>
      <c r="DUE754" s="574"/>
      <c r="DUF754" s="574"/>
      <c r="DUG754" s="574"/>
      <c r="DUH754" s="574"/>
      <c r="DUI754" s="574"/>
      <c r="DUJ754" s="574"/>
      <c r="DUK754" s="574"/>
      <c r="DUL754" s="574"/>
      <c r="DUM754" s="574"/>
      <c r="DUN754" s="574"/>
      <c r="DUO754" s="574"/>
      <c r="DUP754" s="574"/>
      <c r="DUQ754" s="574"/>
      <c r="DUR754" s="574"/>
      <c r="DUS754" s="574"/>
      <c r="DUT754" s="574"/>
      <c r="DUU754" s="574"/>
      <c r="DUV754" s="574"/>
      <c r="DUW754" s="574"/>
      <c r="DUX754" s="574"/>
      <c r="DUY754" s="574"/>
      <c r="DUZ754" s="574"/>
      <c r="DVA754" s="574"/>
      <c r="DVB754" s="574"/>
      <c r="DVC754" s="574"/>
      <c r="DVD754" s="574"/>
      <c r="DVE754" s="574"/>
      <c r="DVF754" s="574"/>
      <c r="DVG754" s="574"/>
      <c r="DVH754" s="574"/>
      <c r="DVI754" s="574"/>
      <c r="DVJ754" s="574"/>
      <c r="DVK754" s="574"/>
      <c r="DVL754" s="574"/>
      <c r="DVM754" s="574"/>
      <c r="DVN754" s="574"/>
      <c r="DVO754" s="574"/>
      <c r="DVP754" s="574"/>
      <c r="DVQ754" s="574"/>
      <c r="DVR754" s="574"/>
      <c r="DVS754" s="574"/>
      <c r="DVT754" s="574"/>
      <c r="DVU754" s="574"/>
      <c r="DVV754" s="574"/>
      <c r="DVW754" s="574"/>
      <c r="DVX754" s="574"/>
      <c r="DVY754" s="574"/>
      <c r="DVZ754" s="574"/>
      <c r="DWA754" s="574"/>
      <c r="DWB754" s="574"/>
      <c r="DWC754" s="574"/>
      <c r="DWD754" s="574"/>
      <c r="DWE754" s="574"/>
      <c r="DWF754" s="574"/>
      <c r="DWG754" s="574"/>
      <c r="DWH754" s="574"/>
      <c r="DWI754" s="574"/>
      <c r="DWJ754" s="574"/>
      <c r="DWK754" s="574"/>
      <c r="DWL754" s="574"/>
      <c r="DWM754" s="574"/>
      <c r="DWN754" s="574"/>
      <c r="DWO754" s="574"/>
      <c r="DWP754" s="574"/>
      <c r="DWQ754" s="574"/>
      <c r="DWR754" s="574"/>
      <c r="DWS754" s="574"/>
      <c r="DWT754" s="574"/>
      <c r="DWU754" s="574"/>
      <c r="DWV754" s="574"/>
      <c r="DWW754" s="574"/>
      <c r="DWX754" s="574"/>
      <c r="DWY754" s="574"/>
      <c r="DWZ754" s="574"/>
      <c r="DXA754" s="574"/>
      <c r="DXB754" s="574"/>
      <c r="DXC754" s="574"/>
      <c r="DXD754" s="574"/>
      <c r="DXE754" s="574"/>
      <c r="DXF754" s="574"/>
      <c r="DXG754" s="574"/>
      <c r="DXH754" s="574"/>
      <c r="DXI754" s="574"/>
      <c r="DXJ754" s="574"/>
      <c r="DXK754" s="574"/>
      <c r="DXL754" s="574"/>
      <c r="DXM754" s="574"/>
      <c r="DXN754" s="574"/>
      <c r="DXO754" s="574"/>
      <c r="DXP754" s="574"/>
      <c r="DXQ754" s="574"/>
      <c r="DXR754" s="574"/>
      <c r="DXS754" s="574"/>
      <c r="DXT754" s="574"/>
      <c r="DXU754" s="574"/>
      <c r="DXV754" s="574"/>
      <c r="DXW754" s="574"/>
      <c r="DXX754" s="574"/>
      <c r="DXY754" s="574"/>
      <c r="DXZ754" s="574"/>
      <c r="DYA754" s="574"/>
      <c r="DYB754" s="574"/>
      <c r="DYC754" s="574"/>
      <c r="DYD754" s="574"/>
      <c r="DYE754" s="574"/>
      <c r="DYF754" s="574"/>
      <c r="DYG754" s="574"/>
      <c r="DYH754" s="574"/>
      <c r="DYI754" s="574"/>
      <c r="DYJ754" s="574"/>
      <c r="DYK754" s="574"/>
      <c r="DYL754" s="574"/>
      <c r="DYM754" s="574"/>
      <c r="DYN754" s="574"/>
      <c r="DYO754" s="574"/>
      <c r="DYP754" s="574"/>
      <c r="DYQ754" s="574"/>
      <c r="DYR754" s="574"/>
      <c r="DYS754" s="574"/>
      <c r="DYT754" s="574"/>
      <c r="DYU754" s="574"/>
      <c r="DYV754" s="574"/>
      <c r="DYW754" s="574"/>
      <c r="DYX754" s="574"/>
      <c r="DYY754" s="574"/>
      <c r="DYZ754" s="574"/>
      <c r="DZA754" s="574"/>
      <c r="DZB754" s="574"/>
      <c r="DZC754" s="574"/>
      <c r="DZD754" s="574"/>
      <c r="DZE754" s="574"/>
      <c r="DZF754" s="574"/>
      <c r="DZG754" s="574"/>
      <c r="DZH754" s="574"/>
      <c r="DZI754" s="574"/>
      <c r="DZJ754" s="574"/>
      <c r="DZK754" s="574"/>
      <c r="DZL754" s="574"/>
      <c r="DZM754" s="574"/>
      <c r="DZN754" s="574"/>
      <c r="DZO754" s="574"/>
      <c r="DZP754" s="574"/>
      <c r="DZQ754" s="574"/>
      <c r="DZR754" s="574"/>
      <c r="DZS754" s="574"/>
      <c r="DZT754" s="574"/>
      <c r="DZU754" s="574"/>
      <c r="DZV754" s="574"/>
      <c r="DZW754" s="574"/>
      <c r="DZX754" s="574"/>
      <c r="DZY754" s="574"/>
      <c r="DZZ754" s="574"/>
      <c r="EAA754" s="574"/>
      <c r="EAB754" s="574"/>
      <c r="EAC754" s="574"/>
      <c r="EAD754" s="574"/>
      <c r="EAE754" s="574"/>
      <c r="EAF754" s="574"/>
      <c r="EAG754" s="574"/>
      <c r="EAH754" s="574"/>
      <c r="EAI754" s="574"/>
      <c r="EAJ754" s="574"/>
      <c r="EAK754" s="574"/>
      <c r="EAL754" s="574"/>
      <c r="EAM754" s="574"/>
      <c r="EAN754" s="574"/>
      <c r="EAO754" s="574"/>
      <c r="EAP754" s="574"/>
      <c r="EAQ754" s="574"/>
      <c r="EAR754" s="574"/>
      <c r="EAS754" s="574"/>
      <c r="EAT754" s="574"/>
      <c r="EAU754" s="574"/>
      <c r="EAV754" s="574"/>
      <c r="EAW754" s="574"/>
      <c r="EAX754" s="574"/>
      <c r="EAY754" s="574"/>
      <c r="EAZ754" s="574"/>
      <c r="EBA754" s="574"/>
      <c r="EBB754" s="574"/>
      <c r="EBC754" s="574"/>
      <c r="EBD754" s="574"/>
      <c r="EBE754" s="574"/>
      <c r="EBF754" s="574"/>
      <c r="EBG754" s="574"/>
      <c r="EBH754" s="574"/>
      <c r="EBI754" s="574"/>
      <c r="EBJ754" s="574"/>
      <c r="EBK754" s="574"/>
      <c r="EBL754" s="574"/>
      <c r="EBM754" s="574"/>
      <c r="EBN754" s="574"/>
      <c r="EBO754" s="574"/>
      <c r="EBP754" s="574"/>
      <c r="EBQ754" s="574"/>
      <c r="EBR754" s="574"/>
      <c r="EBS754" s="574"/>
      <c r="EBT754" s="574"/>
      <c r="EBU754" s="574"/>
      <c r="EBV754" s="574"/>
      <c r="EBW754" s="574"/>
      <c r="EBX754" s="574"/>
      <c r="EBY754" s="574"/>
      <c r="EBZ754" s="574"/>
      <c r="ECA754" s="574"/>
      <c r="ECB754" s="574"/>
      <c r="ECC754" s="574"/>
      <c r="ECD754" s="574"/>
      <c r="ECE754" s="574"/>
      <c r="ECF754" s="574"/>
      <c r="ECG754" s="574"/>
      <c r="ECH754" s="574"/>
      <c r="ECI754" s="574"/>
      <c r="ECJ754" s="574"/>
      <c r="ECK754" s="574"/>
      <c r="ECL754" s="574"/>
      <c r="ECM754" s="574"/>
      <c r="ECN754" s="574"/>
      <c r="ECO754" s="574"/>
      <c r="ECP754" s="574"/>
      <c r="ECQ754" s="574"/>
      <c r="ECR754" s="574"/>
      <c r="ECS754" s="574"/>
      <c r="ECT754" s="574"/>
      <c r="ECU754" s="574"/>
      <c r="ECV754" s="574"/>
      <c r="ECW754" s="574"/>
      <c r="ECX754" s="574"/>
      <c r="ECY754" s="574"/>
      <c r="ECZ754" s="574"/>
      <c r="EDA754" s="574"/>
      <c r="EDB754" s="574"/>
      <c r="EDC754" s="574"/>
      <c r="EDD754" s="574"/>
      <c r="EDE754" s="574"/>
      <c r="EDF754" s="574"/>
      <c r="EDG754" s="574"/>
      <c r="EDH754" s="574"/>
      <c r="EDI754" s="574"/>
      <c r="EDJ754" s="574"/>
      <c r="EDK754" s="574"/>
      <c r="EDL754" s="574"/>
      <c r="EDM754" s="574"/>
      <c r="EDN754" s="574"/>
      <c r="EDO754" s="574"/>
      <c r="EDP754" s="574"/>
      <c r="EDQ754" s="574"/>
      <c r="EDR754" s="574"/>
      <c r="EDS754" s="574"/>
      <c r="EDT754" s="574"/>
      <c r="EDU754" s="574"/>
      <c r="EDV754" s="574"/>
      <c r="EDW754" s="574"/>
      <c r="EDX754" s="574"/>
      <c r="EDY754" s="574"/>
      <c r="EDZ754" s="574"/>
      <c r="EEA754" s="574"/>
      <c r="EEB754" s="574"/>
      <c r="EEC754" s="574"/>
      <c r="EED754" s="574"/>
      <c r="EEE754" s="574"/>
      <c r="EEF754" s="574"/>
      <c r="EEG754" s="574"/>
      <c r="EEH754" s="574"/>
      <c r="EEI754" s="574"/>
      <c r="EEJ754" s="574"/>
      <c r="EEK754" s="574"/>
      <c r="EEL754" s="574"/>
      <c r="EEM754" s="574"/>
      <c r="EEN754" s="574"/>
      <c r="EEO754" s="574"/>
      <c r="EEP754" s="574"/>
      <c r="EEQ754" s="574"/>
      <c r="EER754" s="574"/>
      <c r="EES754" s="574"/>
      <c r="EET754" s="574"/>
      <c r="EEU754" s="574"/>
      <c r="EEV754" s="574"/>
      <c r="EEW754" s="574"/>
      <c r="EEX754" s="574"/>
      <c r="EEY754" s="574"/>
      <c r="EEZ754" s="574"/>
      <c r="EFA754" s="574"/>
      <c r="EFB754" s="574"/>
      <c r="EFC754" s="574"/>
      <c r="EFD754" s="574"/>
      <c r="EFE754" s="574"/>
      <c r="EFF754" s="574"/>
      <c r="EFG754" s="574"/>
      <c r="EFH754" s="574"/>
      <c r="EFI754" s="574"/>
      <c r="EFJ754" s="574"/>
      <c r="EFK754" s="574"/>
      <c r="EFL754" s="574"/>
      <c r="EFM754" s="574"/>
      <c r="EFN754" s="574"/>
      <c r="EFO754" s="574"/>
      <c r="EFP754" s="574"/>
      <c r="EFQ754" s="574"/>
      <c r="EFR754" s="574"/>
      <c r="EFS754" s="574"/>
      <c r="EFT754" s="574"/>
      <c r="EFU754" s="574"/>
      <c r="EFV754" s="574"/>
      <c r="EFW754" s="574"/>
      <c r="EFX754" s="574"/>
      <c r="EFY754" s="574"/>
      <c r="EFZ754" s="574"/>
      <c r="EGA754" s="574"/>
      <c r="EGB754" s="574"/>
      <c r="EGC754" s="574"/>
      <c r="EGD754" s="574"/>
      <c r="EGE754" s="574"/>
      <c r="EGF754" s="574"/>
      <c r="EGG754" s="574"/>
      <c r="EGH754" s="574"/>
      <c r="EGI754" s="574"/>
      <c r="EGJ754" s="574"/>
      <c r="EGK754" s="574"/>
      <c r="EGL754" s="574"/>
      <c r="EGM754" s="574"/>
      <c r="EGN754" s="574"/>
      <c r="EGO754" s="574"/>
      <c r="EGP754" s="574"/>
      <c r="EGQ754" s="574"/>
      <c r="EGR754" s="574"/>
      <c r="EGS754" s="574"/>
      <c r="EGT754" s="574"/>
      <c r="EGU754" s="574"/>
      <c r="EGV754" s="574"/>
      <c r="EGW754" s="574"/>
      <c r="EGX754" s="574"/>
      <c r="EGY754" s="574"/>
      <c r="EGZ754" s="574"/>
      <c r="EHA754" s="574"/>
      <c r="EHB754" s="574"/>
      <c r="EHC754" s="574"/>
      <c r="EHD754" s="574"/>
      <c r="EHE754" s="574"/>
      <c r="EHF754" s="574"/>
      <c r="EHG754" s="574"/>
      <c r="EHH754" s="574"/>
      <c r="EHI754" s="574"/>
      <c r="EHJ754" s="574"/>
      <c r="EHK754" s="574"/>
      <c r="EHL754" s="574"/>
      <c r="EHM754" s="574"/>
      <c r="EHN754" s="574"/>
      <c r="EHO754" s="574"/>
      <c r="EHP754" s="574"/>
      <c r="EHQ754" s="574"/>
      <c r="EHR754" s="574"/>
      <c r="EHS754" s="574"/>
      <c r="EHT754" s="574"/>
      <c r="EHU754" s="574"/>
      <c r="EHV754" s="574"/>
      <c r="EHW754" s="574"/>
      <c r="EHX754" s="574"/>
      <c r="EHY754" s="574"/>
      <c r="EHZ754" s="574"/>
      <c r="EIA754" s="574"/>
      <c r="EIB754" s="574"/>
      <c r="EIC754" s="574"/>
      <c r="EID754" s="574"/>
      <c r="EIE754" s="574"/>
      <c r="EIF754" s="574"/>
      <c r="EIG754" s="574"/>
      <c r="EIH754" s="574"/>
      <c r="EII754" s="574"/>
      <c r="EIJ754" s="574"/>
      <c r="EIK754" s="574"/>
      <c r="EIL754" s="574"/>
      <c r="EIM754" s="574"/>
      <c r="EIN754" s="574"/>
      <c r="EIO754" s="574"/>
      <c r="EIP754" s="574"/>
      <c r="EIQ754" s="574"/>
      <c r="EIR754" s="574"/>
      <c r="EIS754" s="574"/>
      <c r="EIT754" s="574"/>
      <c r="EIU754" s="574"/>
      <c r="EIV754" s="574"/>
      <c r="EIW754" s="574"/>
      <c r="EIX754" s="574"/>
      <c r="EIY754" s="574"/>
      <c r="EIZ754" s="574"/>
      <c r="EJA754" s="574"/>
      <c r="EJB754" s="574"/>
      <c r="EJC754" s="574"/>
      <c r="EJD754" s="574"/>
      <c r="EJE754" s="574"/>
      <c r="EJF754" s="574"/>
      <c r="EJG754" s="574"/>
      <c r="EJH754" s="574"/>
      <c r="EJI754" s="574"/>
      <c r="EJJ754" s="574"/>
      <c r="EJK754" s="574"/>
      <c r="EJL754" s="574"/>
      <c r="EJM754" s="574"/>
      <c r="EJN754" s="574"/>
      <c r="EJO754" s="574"/>
      <c r="EJP754" s="574"/>
      <c r="EJQ754" s="574"/>
      <c r="EJR754" s="574"/>
      <c r="EJS754" s="574"/>
      <c r="EJT754" s="574"/>
      <c r="EJU754" s="574"/>
      <c r="EJV754" s="574"/>
      <c r="EJW754" s="574"/>
      <c r="EJX754" s="574"/>
      <c r="EJY754" s="574"/>
      <c r="EJZ754" s="574"/>
      <c r="EKA754" s="574"/>
      <c r="EKB754" s="574"/>
      <c r="EKC754" s="574"/>
      <c r="EKD754" s="574"/>
      <c r="EKE754" s="574"/>
      <c r="EKF754" s="574"/>
      <c r="EKG754" s="574"/>
      <c r="EKH754" s="574"/>
      <c r="EKI754" s="574"/>
      <c r="EKJ754" s="574"/>
      <c r="EKK754" s="574"/>
      <c r="EKL754" s="574"/>
      <c r="EKM754" s="574"/>
      <c r="EKN754" s="574"/>
      <c r="EKO754" s="574"/>
      <c r="EKP754" s="574"/>
      <c r="EKQ754" s="574"/>
      <c r="EKR754" s="574"/>
      <c r="EKS754" s="574"/>
      <c r="EKT754" s="574"/>
      <c r="EKU754" s="574"/>
      <c r="EKV754" s="574"/>
      <c r="EKW754" s="574"/>
      <c r="EKX754" s="574"/>
      <c r="EKY754" s="574"/>
      <c r="EKZ754" s="574"/>
      <c r="ELA754" s="574"/>
      <c r="ELB754" s="574"/>
      <c r="ELC754" s="574"/>
      <c r="ELD754" s="574"/>
      <c r="ELE754" s="574"/>
      <c r="ELF754" s="574"/>
      <c r="ELG754" s="574"/>
      <c r="ELH754" s="574"/>
      <c r="ELI754" s="574"/>
      <c r="ELJ754" s="574"/>
      <c r="ELK754" s="574"/>
      <c r="ELL754" s="574"/>
      <c r="ELM754" s="574"/>
      <c r="ELN754" s="574"/>
      <c r="ELO754" s="574"/>
      <c r="ELP754" s="574"/>
      <c r="ELQ754" s="574"/>
      <c r="ELR754" s="574"/>
      <c r="ELS754" s="574"/>
      <c r="ELT754" s="574"/>
      <c r="ELU754" s="574"/>
      <c r="ELV754" s="574"/>
      <c r="ELW754" s="574"/>
      <c r="ELX754" s="574"/>
      <c r="ELY754" s="574"/>
      <c r="ELZ754" s="574"/>
      <c r="EMA754" s="574"/>
      <c r="EMB754" s="574"/>
      <c r="EMC754" s="574"/>
      <c r="EMD754" s="574"/>
      <c r="EME754" s="574"/>
      <c r="EMF754" s="574"/>
      <c r="EMG754" s="574"/>
      <c r="EMH754" s="574"/>
      <c r="EMI754" s="574"/>
      <c r="EMJ754" s="574"/>
      <c r="EMK754" s="574"/>
      <c r="EML754" s="574"/>
      <c r="EMM754" s="574"/>
      <c r="EMN754" s="574"/>
      <c r="EMO754" s="574"/>
      <c r="EMP754" s="574"/>
      <c r="EMQ754" s="574"/>
      <c r="EMR754" s="574"/>
      <c r="EMS754" s="574"/>
      <c r="EMT754" s="574"/>
      <c r="EMU754" s="574"/>
      <c r="EMV754" s="574"/>
      <c r="EMW754" s="574"/>
      <c r="EMX754" s="574"/>
      <c r="EMY754" s="574"/>
      <c r="EMZ754" s="574"/>
      <c r="ENA754" s="574"/>
      <c r="ENB754" s="574"/>
      <c r="ENC754" s="574"/>
      <c r="END754" s="574"/>
      <c r="ENE754" s="574"/>
      <c r="ENF754" s="574"/>
      <c r="ENG754" s="574"/>
      <c r="ENH754" s="574"/>
      <c r="ENI754" s="574"/>
      <c r="ENJ754" s="574"/>
      <c r="ENK754" s="574"/>
      <c r="ENL754" s="574"/>
      <c r="ENM754" s="574"/>
      <c r="ENN754" s="574"/>
      <c r="ENO754" s="574"/>
      <c r="ENP754" s="574"/>
      <c r="ENQ754" s="574"/>
      <c r="ENR754" s="574"/>
      <c r="ENS754" s="574"/>
      <c r="ENT754" s="574"/>
      <c r="ENU754" s="574"/>
      <c r="ENV754" s="574"/>
      <c r="ENW754" s="574"/>
      <c r="ENX754" s="574"/>
      <c r="ENY754" s="574"/>
      <c r="ENZ754" s="574"/>
      <c r="EOA754" s="574"/>
      <c r="EOB754" s="574"/>
      <c r="EOC754" s="574"/>
      <c r="EOD754" s="574"/>
      <c r="EOE754" s="574"/>
      <c r="EOF754" s="574"/>
      <c r="EOG754" s="574"/>
      <c r="EOH754" s="574"/>
      <c r="EOI754" s="574"/>
      <c r="EOJ754" s="574"/>
      <c r="EOK754" s="574"/>
      <c r="EOL754" s="574"/>
      <c r="EOM754" s="574"/>
      <c r="EON754" s="574"/>
      <c r="EOO754" s="574"/>
      <c r="EOP754" s="574"/>
      <c r="EOQ754" s="574"/>
      <c r="EOR754" s="574"/>
      <c r="EOS754" s="574"/>
      <c r="EOT754" s="574"/>
      <c r="EOU754" s="574"/>
      <c r="EOV754" s="574"/>
      <c r="EOW754" s="574"/>
      <c r="EOX754" s="574"/>
      <c r="EOY754" s="574"/>
      <c r="EOZ754" s="574"/>
      <c r="EPA754" s="574"/>
      <c r="EPB754" s="574"/>
      <c r="EPC754" s="574"/>
      <c r="EPD754" s="574"/>
      <c r="EPE754" s="574"/>
      <c r="EPF754" s="574"/>
      <c r="EPG754" s="574"/>
      <c r="EPH754" s="574"/>
      <c r="EPI754" s="574"/>
      <c r="EPJ754" s="574"/>
      <c r="EPK754" s="574"/>
      <c r="EPL754" s="574"/>
      <c r="EPM754" s="574"/>
      <c r="EPN754" s="574"/>
      <c r="EPO754" s="574"/>
      <c r="EPP754" s="574"/>
      <c r="EPQ754" s="574"/>
      <c r="EPR754" s="574"/>
      <c r="EPS754" s="574"/>
      <c r="EPT754" s="574"/>
      <c r="EPU754" s="574"/>
      <c r="EPV754" s="574"/>
      <c r="EPW754" s="574"/>
      <c r="EPX754" s="574"/>
      <c r="EPY754" s="574"/>
      <c r="EPZ754" s="574"/>
      <c r="EQA754" s="574"/>
      <c r="EQB754" s="574"/>
      <c r="EQC754" s="574"/>
      <c r="EQD754" s="574"/>
      <c r="EQE754" s="574"/>
      <c r="EQF754" s="574"/>
      <c r="EQG754" s="574"/>
      <c r="EQH754" s="574"/>
      <c r="EQI754" s="574"/>
      <c r="EQJ754" s="574"/>
      <c r="EQK754" s="574"/>
      <c r="EQL754" s="574"/>
      <c r="EQM754" s="574"/>
      <c r="EQN754" s="574"/>
      <c r="EQO754" s="574"/>
      <c r="EQP754" s="574"/>
      <c r="EQQ754" s="574"/>
      <c r="EQR754" s="574"/>
      <c r="EQS754" s="574"/>
      <c r="EQT754" s="574"/>
      <c r="EQU754" s="574"/>
      <c r="EQV754" s="574"/>
      <c r="EQW754" s="574"/>
      <c r="EQX754" s="574"/>
      <c r="EQY754" s="574"/>
      <c r="EQZ754" s="574"/>
      <c r="ERA754" s="574"/>
      <c r="ERB754" s="574"/>
      <c r="ERC754" s="574"/>
      <c r="ERD754" s="574"/>
      <c r="ERE754" s="574"/>
      <c r="ERF754" s="574"/>
      <c r="ERG754" s="574"/>
      <c r="ERH754" s="574"/>
      <c r="ERI754" s="574"/>
      <c r="ERJ754" s="574"/>
      <c r="ERK754" s="574"/>
      <c r="ERL754" s="574"/>
      <c r="ERM754" s="574"/>
      <c r="ERN754" s="574"/>
      <c r="ERO754" s="574"/>
      <c r="ERP754" s="574"/>
      <c r="ERQ754" s="574"/>
      <c r="ERR754" s="574"/>
      <c r="ERS754" s="574"/>
      <c r="ERT754" s="574"/>
      <c r="ERU754" s="574"/>
      <c r="ERV754" s="574"/>
      <c r="ERW754" s="574"/>
      <c r="ERX754" s="574"/>
      <c r="ERY754" s="574"/>
      <c r="ERZ754" s="574"/>
      <c r="ESA754" s="574"/>
      <c r="ESB754" s="574"/>
      <c r="ESC754" s="574"/>
      <c r="ESD754" s="574"/>
      <c r="ESE754" s="574"/>
      <c r="ESF754" s="574"/>
      <c r="ESG754" s="574"/>
      <c r="ESH754" s="574"/>
      <c r="ESI754" s="574"/>
      <c r="ESJ754" s="574"/>
      <c r="ESK754" s="574"/>
      <c r="ESL754" s="574"/>
      <c r="ESM754" s="574"/>
      <c r="ESN754" s="574"/>
      <c r="ESO754" s="574"/>
      <c r="ESP754" s="574"/>
      <c r="ESQ754" s="574"/>
      <c r="ESR754" s="574"/>
      <c r="ESS754" s="574"/>
      <c r="EST754" s="574"/>
      <c r="ESU754" s="574"/>
      <c r="ESV754" s="574"/>
      <c r="ESW754" s="574"/>
      <c r="ESX754" s="574"/>
      <c r="ESY754" s="574"/>
      <c r="ESZ754" s="574"/>
      <c r="ETA754" s="574"/>
      <c r="ETB754" s="574"/>
      <c r="ETC754" s="574"/>
      <c r="ETD754" s="574"/>
      <c r="ETE754" s="574"/>
      <c r="ETF754" s="574"/>
      <c r="ETG754" s="574"/>
      <c r="ETH754" s="574"/>
      <c r="ETI754" s="574"/>
      <c r="ETJ754" s="574"/>
      <c r="ETK754" s="574"/>
      <c r="ETL754" s="574"/>
      <c r="ETM754" s="574"/>
      <c r="ETN754" s="574"/>
      <c r="ETO754" s="574"/>
      <c r="ETP754" s="574"/>
      <c r="ETQ754" s="574"/>
      <c r="ETR754" s="574"/>
      <c r="ETS754" s="574"/>
      <c r="ETT754" s="574"/>
      <c r="ETU754" s="574"/>
      <c r="ETV754" s="574"/>
      <c r="ETW754" s="574"/>
      <c r="ETX754" s="574"/>
      <c r="ETY754" s="574"/>
      <c r="ETZ754" s="574"/>
      <c r="EUA754" s="574"/>
      <c r="EUB754" s="574"/>
      <c r="EUC754" s="574"/>
      <c r="EUD754" s="574"/>
      <c r="EUE754" s="574"/>
      <c r="EUF754" s="574"/>
      <c r="EUG754" s="574"/>
      <c r="EUH754" s="574"/>
      <c r="EUI754" s="574"/>
      <c r="EUJ754" s="574"/>
      <c r="EUK754" s="574"/>
      <c r="EUL754" s="574"/>
      <c r="EUM754" s="574"/>
      <c r="EUN754" s="574"/>
      <c r="EUO754" s="574"/>
      <c r="EUP754" s="574"/>
      <c r="EUQ754" s="574"/>
      <c r="EUR754" s="574"/>
      <c r="EUS754" s="574"/>
      <c r="EUT754" s="574"/>
      <c r="EUU754" s="574"/>
      <c r="EUV754" s="574"/>
      <c r="EUW754" s="574"/>
      <c r="EUX754" s="574"/>
      <c r="EUY754" s="574"/>
      <c r="EUZ754" s="574"/>
      <c r="EVA754" s="574"/>
      <c r="EVB754" s="574"/>
      <c r="EVC754" s="574"/>
      <c r="EVD754" s="574"/>
      <c r="EVE754" s="574"/>
      <c r="EVF754" s="574"/>
      <c r="EVG754" s="574"/>
      <c r="EVH754" s="574"/>
      <c r="EVI754" s="574"/>
      <c r="EVJ754" s="574"/>
      <c r="EVK754" s="574"/>
      <c r="EVL754" s="574"/>
      <c r="EVM754" s="574"/>
      <c r="EVN754" s="574"/>
      <c r="EVO754" s="574"/>
      <c r="EVP754" s="574"/>
      <c r="EVQ754" s="574"/>
      <c r="EVR754" s="574"/>
      <c r="EVS754" s="574"/>
      <c r="EVT754" s="574"/>
      <c r="EVU754" s="574"/>
      <c r="EVV754" s="574"/>
      <c r="EVW754" s="574"/>
      <c r="EVX754" s="574"/>
      <c r="EVY754" s="574"/>
      <c r="EVZ754" s="574"/>
      <c r="EWA754" s="574"/>
      <c r="EWB754" s="574"/>
      <c r="EWC754" s="574"/>
      <c r="EWD754" s="574"/>
      <c r="EWE754" s="574"/>
      <c r="EWF754" s="574"/>
      <c r="EWG754" s="574"/>
      <c r="EWH754" s="574"/>
      <c r="EWI754" s="574"/>
      <c r="EWJ754" s="574"/>
      <c r="EWK754" s="574"/>
      <c r="EWL754" s="574"/>
      <c r="EWM754" s="574"/>
      <c r="EWN754" s="574"/>
      <c r="EWO754" s="574"/>
      <c r="EWP754" s="574"/>
      <c r="EWQ754" s="574"/>
      <c r="EWR754" s="574"/>
      <c r="EWS754" s="574"/>
      <c r="EWT754" s="574"/>
      <c r="EWU754" s="574"/>
      <c r="EWV754" s="574"/>
      <c r="EWW754" s="574"/>
      <c r="EWX754" s="574"/>
      <c r="EWY754" s="574"/>
      <c r="EWZ754" s="574"/>
      <c r="EXA754" s="574"/>
      <c r="EXB754" s="574"/>
      <c r="EXC754" s="574"/>
      <c r="EXD754" s="574"/>
      <c r="EXE754" s="574"/>
      <c r="EXF754" s="574"/>
      <c r="EXG754" s="574"/>
      <c r="EXH754" s="574"/>
      <c r="EXI754" s="574"/>
      <c r="EXJ754" s="574"/>
      <c r="EXK754" s="574"/>
      <c r="EXL754" s="574"/>
      <c r="EXM754" s="574"/>
      <c r="EXN754" s="574"/>
      <c r="EXO754" s="574"/>
      <c r="EXP754" s="574"/>
      <c r="EXQ754" s="574"/>
      <c r="EXR754" s="574"/>
      <c r="EXS754" s="574"/>
      <c r="EXT754" s="574"/>
      <c r="EXU754" s="574"/>
      <c r="EXV754" s="574"/>
      <c r="EXW754" s="574"/>
      <c r="EXX754" s="574"/>
      <c r="EXY754" s="574"/>
      <c r="EXZ754" s="574"/>
      <c r="EYA754" s="574"/>
      <c r="EYB754" s="574"/>
      <c r="EYC754" s="574"/>
      <c r="EYD754" s="574"/>
      <c r="EYE754" s="574"/>
      <c r="EYF754" s="574"/>
      <c r="EYG754" s="574"/>
      <c r="EYH754" s="574"/>
      <c r="EYI754" s="574"/>
      <c r="EYJ754" s="574"/>
      <c r="EYK754" s="574"/>
      <c r="EYL754" s="574"/>
      <c r="EYM754" s="574"/>
      <c r="EYN754" s="574"/>
      <c r="EYO754" s="574"/>
      <c r="EYP754" s="574"/>
      <c r="EYQ754" s="574"/>
      <c r="EYR754" s="574"/>
      <c r="EYS754" s="574"/>
      <c r="EYT754" s="574"/>
      <c r="EYU754" s="574"/>
      <c r="EYV754" s="574"/>
      <c r="EYW754" s="574"/>
      <c r="EYX754" s="574"/>
      <c r="EYY754" s="574"/>
      <c r="EYZ754" s="574"/>
      <c r="EZA754" s="574"/>
      <c r="EZB754" s="574"/>
      <c r="EZC754" s="574"/>
      <c r="EZD754" s="574"/>
      <c r="EZE754" s="574"/>
      <c r="EZF754" s="574"/>
      <c r="EZG754" s="574"/>
      <c r="EZH754" s="574"/>
      <c r="EZI754" s="574"/>
      <c r="EZJ754" s="574"/>
      <c r="EZK754" s="574"/>
      <c r="EZL754" s="574"/>
      <c r="EZM754" s="574"/>
      <c r="EZN754" s="574"/>
      <c r="EZO754" s="574"/>
      <c r="EZP754" s="574"/>
      <c r="EZQ754" s="574"/>
      <c r="EZR754" s="574"/>
      <c r="EZS754" s="574"/>
      <c r="EZT754" s="574"/>
      <c r="EZU754" s="574"/>
      <c r="EZV754" s="574"/>
      <c r="EZW754" s="574"/>
      <c r="EZX754" s="574"/>
      <c r="EZY754" s="574"/>
      <c r="EZZ754" s="574"/>
      <c r="FAA754" s="574"/>
      <c r="FAB754" s="574"/>
      <c r="FAC754" s="574"/>
      <c r="FAD754" s="574"/>
      <c r="FAE754" s="574"/>
      <c r="FAF754" s="574"/>
      <c r="FAG754" s="574"/>
      <c r="FAH754" s="574"/>
      <c r="FAI754" s="574"/>
      <c r="FAJ754" s="574"/>
      <c r="FAK754" s="574"/>
      <c r="FAL754" s="574"/>
      <c r="FAM754" s="574"/>
      <c r="FAN754" s="574"/>
      <c r="FAO754" s="574"/>
      <c r="FAP754" s="574"/>
      <c r="FAQ754" s="574"/>
      <c r="FAR754" s="574"/>
      <c r="FAS754" s="574"/>
      <c r="FAT754" s="574"/>
      <c r="FAU754" s="574"/>
      <c r="FAV754" s="574"/>
      <c r="FAW754" s="574"/>
      <c r="FAX754" s="574"/>
      <c r="FAY754" s="574"/>
      <c r="FAZ754" s="574"/>
      <c r="FBA754" s="574"/>
      <c r="FBB754" s="574"/>
      <c r="FBC754" s="574"/>
      <c r="FBD754" s="574"/>
      <c r="FBE754" s="574"/>
      <c r="FBF754" s="574"/>
      <c r="FBG754" s="574"/>
      <c r="FBH754" s="574"/>
      <c r="FBI754" s="574"/>
      <c r="FBJ754" s="574"/>
      <c r="FBK754" s="574"/>
      <c r="FBL754" s="574"/>
      <c r="FBM754" s="574"/>
      <c r="FBN754" s="574"/>
      <c r="FBO754" s="574"/>
      <c r="FBP754" s="574"/>
      <c r="FBQ754" s="574"/>
      <c r="FBR754" s="574"/>
      <c r="FBS754" s="574"/>
      <c r="FBT754" s="574"/>
      <c r="FBU754" s="574"/>
      <c r="FBV754" s="574"/>
      <c r="FBW754" s="574"/>
      <c r="FBX754" s="574"/>
      <c r="FBY754" s="574"/>
      <c r="FBZ754" s="574"/>
      <c r="FCA754" s="574"/>
      <c r="FCB754" s="574"/>
      <c r="FCC754" s="574"/>
      <c r="FCD754" s="574"/>
      <c r="FCE754" s="574"/>
      <c r="FCF754" s="574"/>
      <c r="FCG754" s="574"/>
      <c r="FCH754" s="574"/>
      <c r="FCI754" s="574"/>
      <c r="FCJ754" s="574"/>
      <c r="FCK754" s="574"/>
      <c r="FCL754" s="574"/>
      <c r="FCM754" s="574"/>
      <c r="FCN754" s="574"/>
      <c r="FCO754" s="574"/>
      <c r="FCP754" s="574"/>
      <c r="FCQ754" s="574"/>
      <c r="FCR754" s="574"/>
      <c r="FCS754" s="574"/>
      <c r="FCT754" s="574"/>
      <c r="FCU754" s="574"/>
      <c r="FCV754" s="574"/>
      <c r="FCW754" s="574"/>
      <c r="FCX754" s="574"/>
      <c r="FCY754" s="574"/>
      <c r="FCZ754" s="574"/>
      <c r="FDA754" s="574"/>
      <c r="FDB754" s="574"/>
      <c r="FDC754" s="574"/>
      <c r="FDD754" s="574"/>
      <c r="FDE754" s="574"/>
      <c r="FDF754" s="574"/>
      <c r="FDG754" s="574"/>
      <c r="FDH754" s="574"/>
      <c r="FDI754" s="574"/>
      <c r="FDJ754" s="574"/>
      <c r="FDK754" s="574"/>
      <c r="FDL754" s="574"/>
      <c r="FDM754" s="574"/>
      <c r="FDN754" s="574"/>
      <c r="FDO754" s="574"/>
      <c r="FDP754" s="574"/>
      <c r="FDQ754" s="574"/>
      <c r="FDR754" s="574"/>
      <c r="FDS754" s="574"/>
      <c r="FDT754" s="574"/>
      <c r="FDU754" s="574"/>
      <c r="FDV754" s="574"/>
      <c r="FDW754" s="574"/>
      <c r="FDX754" s="574"/>
      <c r="FDY754" s="574"/>
      <c r="FDZ754" s="574"/>
      <c r="FEA754" s="574"/>
      <c r="FEB754" s="574"/>
      <c r="FEC754" s="574"/>
      <c r="FED754" s="574"/>
      <c r="FEE754" s="574"/>
      <c r="FEF754" s="574"/>
      <c r="FEG754" s="574"/>
      <c r="FEH754" s="574"/>
      <c r="FEI754" s="574"/>
      <c r="FEJ754" s="574"/>
      <c r="FEK754" s="574"/>
      <c r="FEL754" s="574"/>
      <c r="FEM754" s="574"/>
      <c r="FEN754" s="574"/>
      <c r="FEO754" s="574"/>
      <c r="FEP754" s="574"/>
      <c r="FEQ754" s="574"/>
      <c r="FER754" s="574"/>
      <c r="FES754" s="574"/>
      <c r="FET754" s="574"/>
      <c r="FEU754" s="574"/>
      <c r="FEV754" s="574"/>
      <c r="FEW754" s="574"/>
      <c r="FEX754" s="574"/>
      <c r="FEY754" s="574"/>
      <c r="FEZ754" s="574"/>
      <c r="FFA754" s="574"/>
      <c r="FFB754" s="574"/>
      <c r="FFC754" s="574"/>
      <c r="FFD754" s="574"/>
      <c r="FFE754" s="574"/>
      <c r="FFF754" s="574"/>
      <c r="FFG754" s="574"/>
      <c r="FFH754" s="574"/>
      <c r="FFI754" s="574"/>
      <c r="FFJ754" s="574"/>
      <c r="FFK754" s="574"/>
      <c r="FFL754" s="574"/>
      <c r="FFM754" s="574"/>
      <c r="FFN754" s="574"/>
      <c r="FFO754" s="574"/>
      <c r="FFP754" s="574"/>
      <c r="FFQ754" s="574"/>
      <c r="FFR754" s="574"/>
      <c r="FFS754" s="574"/>
      <c r="FFT754" s="574"/>
      <c r="FFU754" s="574"/>
      <c r="FFV754" s="574"/>
      <c r="FFW754" s="574"/>
      <c r="FFX754" s="574"/>
      <c r="FFY754" s="574"/>
      <c r="FFZ754" s="574"/>
      <c r="FGA754" s="574"/>
      <c r="FGB754" s="574"/>
      <c r="FGC754" s="574"/>
      <c r="FGD754" s="574"/>
      <c r="FGE754" s="574"/>
      <c r="FGF754" s="574"/>
      <c r="FGG754" s="574"/>
      <c r="FGH754" s="574"/>
      <c r="FGI754" s="574"/>
      <c r="FGJ754" s="574"/>
      <c r="FGK754" s="574"/>
      <c r="FGL754" s="574"/>
      <c r="FGM754" s="574"/>
      <c r="FGN754" s="574"/>
      <c r="FGO754" s="574"/>
      <c r="FGP754" s="574"/>
      <c r="FGQ754" s="574"/>
      <c r="FGR754" s="574"/>
      <c r="FGS754" s="574"/>
      <c r="FGT754" s="574"/>
      <c r="FGU754" s="574"/>
      <c r="FGV754" s="574"/>
      <c r="FGW754" s="574"/>
      <c r="FGX754" s="574"/>
      <c r="FGY754" s="574"/>
      <c r="FGZ754" s="574"/>
      <c r="FHA754" s="574"/>
      <c r="FHB754" s="574"/>
      <c r="FHC754" s="574"/>
      <c r="FHD754" s="574"/>
      <c r="FHE754" s="574"/>
      <c r="FHF754" s="574"/>
      <c r="FHG754" s="574"/>
      <c r="FHH754" s="574"/>
      <c r="FHI754" s="574"/>
      <c r="FHJ754" s="574"/>
      <c r="FHK754" s="574"/>
      <c r="FHL754" s="574"/>
      <c r="FHM754" s="574"/>
      <c r="FHN754" s="574"/>
      <c r="FHO754" s="574"/>
      <c r="FHP754" s="574"/>
      <c r="FHQ754" s="574"/>
      <c r="FHR754" s="574"/>
      <c r="FHS754" s="574"/>
      <c r="FHT754" s="574"/>
      <c r="FHU754" s="574"/>
      <c r="FHV754" s="574"/>
      <c r="FHW754" s="574"/>
      <c r="FHX754" s="574"/>
      <c r="FHY754" s="574"/>
      <c r="FHZ754" s="574"/>
      <c r="FIA754" s="574"/>
      <c r="FIB754" s="574"/>
      <c r="FIC754" s="574"/>
      <c r="FID754" s="574"/>
      <c r="FIE754" s="574"/>
      <c r="FIF754" s="574"/>
      <c r="FIG754" s="574"/>
      <c r="FIH754" s="574"/>
      <c r="FII754" s="574"/>
      <c r="FIJ754" s="574"/>
      <c r="FIK754" s="574"/>
      <c r="FIL754" s="574"/>
      <c r="FIM754" s="574"/>
      <c r="FIN754" s="574"/>
      <c r="FIO754" s="574"/>
      <c r="FIP754" s="574"/>
      <c r="FIQ754" s="574"/>
      <c r="FIR754" s="574"/>
      <c r="FIS754" s="574"/>
      <c r="FIT754" s="574"/>
      <c r="FIU754" s="574"/>
      <c r="FIV754" s="574"/>
      <c r="FIW754" s="574"/>
      <c r="FIX754" s="574"/>
      <c r="FIY754" s="574"/>
      <c r="FIZ754" s="574"/>
      <c r="FJA754" s="574"/>
      <c r="FJB754" s="574"/>
      <c r="FJC754" s="574"/>
      <c r="FJD754" s="574"/>
      <c r="FJE754" s="574"/>
      <c r="FJF754" s="574"/>
      <c r="FJG754" s="574"/>
      <c r="FJH754" s="574"/>
      <c r="FJI754" s="574"/>
      <c r="FJJ754" s="574"/>
      <c r="FJK754" s="574"/>
      <c r="FJL754" s="574"/>
      <c r="FJM754" s="574"/>
      <c r="FJN754" s="574"/>
      <c r="FJO754" s="574"/>
      <c r="FJP754" s="574"/>
      <c r="FJQ754" s="574"/>
      <c r="FJR754" s="574"/>
      <c r="FJS754" s="574"/>
      <c r="FJT754" s="574"/>
      <c r="FJU754" s="574"/>
      <c r="FJV754" s="574"/>
      <c r="FJW754" s="574"/>
      <c r="FJX754" s="574"/>
      <c r="FJY754" s="574"/>
      <c r="FJZ754" s="574"/>
      <c r="FKA754" s="574"/>
      <c r="FKB754" s="574"/>
      <c r="FKC754" s="574"/>
      <c r="FKD754" s="574"/>
      <c r="FKE754" s="574"/>
      <c r="FKF754" s="574"/>
      <c r="FKG754" s="574"/>
      <c r="FKH754" s="574"/>
      <c r="FKI754" s="574"/>
      <c r="FKJ754" s="574"/>
      <c r="FKK754" s="574"/>
      <c r="FKL754" s="574"/>
      <c r="FKM754" s="574"/>
      <c r="FKN754" s="574"/>
      <c r="FKO754" s="574"/>
      <c r="FKP754" s="574"/>
      <c r="FKQ754" s="574"/>
      <c r="FKR754" s="574"/>
      <c r="FKS754" s="574"/>
      <c r="FKT754" s="574"/>
      <c r="FKU754" s="574"/>
      <c r="FKV754" s="574"/>
      <c r="FKW754" s="574"/>
      <c r="FKX754" s="574"/>
      <c r="FKY754" s="574"/>
      <c r="FKZ754" s="574"/>
      <c r="FLA754" s="574"/>
      <c r="FLB754" s="574"/>
      <c r="FLC754" s="574"/>
      <c r="FLD754" s="574"/>
      <c r="FLE754" s="574"/>
      <c r="FLF754" s="574"/>
      <c r="FLG754" s="574"/>
      <c r="FLH754" s="574"/>
      <c r="FLI754" s="574"/>
      <c r="FLJ754" s="574"/>
      <c r="FLK754" s="574"/>
      <c r="FLL754" s="574"/>
      <c r="FLM754" s="574"/>
      <c r="FLN754" s="574"/>
      <c r="FLO754" s="574"/>
      <c r="FLP754" s="574"/>
      <c r="FLQ754" s="574"/>
      <c r="FLR754" s="574"/>
      <c r="FLS754" s="574"/>
      <c r="FLT754" s="574"/>
      <c r="FLU754" s="574"/>
      <c r="FLV754" s="574"/>
      <c r="FLW754" s="574"/>
      <c r="FLX754" s="574"/>
      <c r="FLY754" s="574"/>
      <c r="FLZ754" s="574"/>
      <c r="FMA754" s="574"/>
      <c r="FMB754" s="574"/>
      <c r="FMC754" s="574"/>
      <c r="FMD754" s="574"/>
      <c r="FME754" s="574"/>
      <c r="FMF754" s="574"/>
      <c r="FMG754" s="574"/>
      <c r="FMH754" s="574"/>
      <c r="FMI754" s="574"/>
      <c r="FMJ754" s="574"/>
      <c r="FMK754" s="574"/>
      <c r="FML754" s="574"/>
      <c r="FMM754" s="574"/>
      <c r="FMN754" s="574"/>
      <c r="FMO754" s="574"/>
      <c r="FMP754" s="574"/>
      <c r="FMQ754" s="574"/>
      <c r="FMR754" s="574"/>
      <c r="FMS754" s="574"/>
      <c r="FMT754" s="574"/>
      <c r="FMU754" s="574"/>
      <c r="FMV754" s="574"/>
      <c r="FMW754" s="574"/>
      <c r="FMX754" s="574"/>
      <c r="FMY754" s="574"/>
      <c r="FMZ754" s="574"/>
      <c r="FNA754" s="574"/>
      <c r="FNB754" s="574"/>
      <c r="FNC754" s="574"/>
      <c r="FND754" s="574"/>
      <c r="FNE754" s="574"/>
      <c r="FNF754" s="574"/>
      <c r="FNG754" s="574"/>
      <c r="FNH754" s="574"/>
      <c r="FNI754" s="574"/>
      <c r="FNJ754" s="574"/>
      <c r="FNK754" s="574"/>
      <c r="FNL754" s="574"/>
      <c r="FNM754" s="574"/>
      <c r="FNN754" s="574"/>
      <c r="FNO754" s="574"/>
      <c r="FNP754" s="574"/>
      <c r="FNQ754" s="574"/>
      <c r="FNR754" s="574"/>
      <c r="FNS754" s="574"/>
      <c r="FNT754" s="574"/>
      <c r="FNU754" s="574"/>
      <c r="FNV754" s="574"/>
      <c r="FNW754" s="574"/>
      <c r="FNX754" s="574"/>
      <c r="FNY754" s="574"/>
      <c r="FNZ754" s="574"/>
      <c r="FOA754" s="574"/>
      <c r="FOB754" s="574"/>
      <c r="FOC754" s="574"/>
      <c r="FOD754" s="574"/>
      <c r="FOE754" s="574"/>
      <c r="FOF754" s="574"/>
      <c r="FOG754" s="574"/>
      <c r="FOH754" s="574"/>
      <c r="FOI754" s="574"/>
      <c r="FOJ754" s="574"/>
      <c r="FOK754" s="574"/>
      <c r="FOL754" s="574"/>
      <c r="FOM754" s="574"/>
      <c r="FON754" s="574"/>
      <c r="FOO754" s="574"/>
      <c r="FOP754" s="574"/>
      <c r="FOQ754" s="574"/>
      <c r="FOR754" s="574"/>
      <c r="FOS754" s="574"/>
      <c r="FOT754" s="574"/>
      <c r="FOU754" s="574"/>
      <c r="FOV754" s="574"/>
      <c r="FOW754" s="574"/>
      <c r="FOX754" s="574"/>
      <c r="FOY754" s="574"/>
      <c r="FOZ754" s="574"/>
      <c r="FPA754" s="574"/>
      <c r="FPB754" s="574"/>
      <c r="FPC754" s="574"/>
      <c r="FPD754" s="574"/>
      <c r="FPE754" s="574"/>
      <c r="FPF754" s="574"/>
      <c r="FPG754" s="574"/>
      <c r="FPH754" s="574"/>
      <c r="FPI754" s="574"/>
      <c r="FPJ754" s="574"/>
      <c r="FPK754" s="574"/>
      <c r="FPL754" s="574"/>
      <c r="FPM754" s="574"/>
      <c r="FPN754" s="574"/>
      <c r="FPO754" s="574"/>
      <c r="FPP754" s="574"/>
      <c r="FPQ754" s="574"/>
      <c r="FPR754" s="574"/>
      <c r="FPS754" s="574"/>
      <c r="FPT754" s="574"/>
      <c r="FPU754" s="574"/>
      <c r="FPV754" s="574"/>
      <c r="FPW754" s="574"/>
      <c r="FPX754" s="574"/>
      <c r="FPY754" s="574"/>
      <c r="FPZ754" s="574"/>
      <c r="FQA754" s="574"/>
      <c r="FQB754" s="574"/>
      <c r="FQC754" s="574"/>
      <c r="FQD754" s="574"/>
      <c r="FQE754" s="574"/>
      <c r="FQF754" s="574"/>
      <c r="FQG754" s="574"/>
      <c r="FQH754" s="574"/>
      <c r="FQI754" s="574"/>
      <c r="FQJ754" s="574"/>
      <c r="FQK754" s="574"/>
      <c r="FQL754" s="574"/>
      <c r="FQM754" s="574"/>
      <c r="FQN754" s="574"/>
      <c r="FQO754" s="574"/>
      <c r="FQP754" s="574"/>
      <c r="FQQ754" s="574"/>
      <c r="FQR754" s="574"/>
      <c r="FQS754" s="574"/>
      <c r="FQT754" s="574"/>
      <c r="FQU754" s="574"/>
      <c r="FQV754" s="574"/>
      <c r="FQW754" s="574"/>
      <c r="FQX754" s="574"/>
      <c r="FQY754" s="574"/>
      <c r="FQZ754" s="574"/>
      <c r="FRA754" s="574"/>
      <c r="FRB754" s="574"/>
      <c r="FRC754" s="574"/>
      <c r="FRD754" s="574"/>
      <c r="FRE754" s="574"/>
      <c r="FRF754" s="574"/>
      <c r="FRG754" s="574"/>
      <c r="FRH754" s="574"/>
      <c r="FRI754" s="574"/>
      <c r="FRJ754" s="574"/>
      <c r="FRK754" s="574"/>
      <c r="FRL754" s="574"/>
      <c r="FRM754" s="574"/>
      <c r="FRN754" s="574"/>
      <c r="FRO754" s="574"/>
      <c r="FRP754" s="574"/>
      <c r="FRQ754" s="574"/>
      <c r="FRR754" s="574"/>
      <c r="FRS754" s="574"/>
      <c r="FRT754" s="574"/>
      <c r="FRU754" s="574"/>
      <c r="FRV754" s="574"/>
      <c r="FRW754" s="574"/>
      <c r="FRX754" s="574"/>
      <c r="FRY754" s="574"/>
      <c r="FRZ754" s="574"/>
      <c r="FSA754" s="574"/>
      <c r="FSB754" s="574"/>
      <c r="FSC754" s="574"/>
      <c r="FSD754" s="574"/>
      <c r="FSE754" s="574"/>
      <c r="FSF754" s="574"/>
      <c r="FSG754" s="574"/>
      <c r="FSH754" s="574"/>
      <c r="FSI754" s="574"/>
      <c r="FSJ754" s="574"/>
      <c r="FSK754" s="574"/>
      <c r="FSL754" s="574"/>
      <c r="FSM754" s="574"/>
      <c r="FSN754" s="574"/>
      <c r="FSO754" s="574"/>
      <c r="FSP754" s="574"/>
      <c r="FSQ754" s="574"/>
      <c r="FSR754" s="574"/>
      <c r="FSS754" s="574"/>
      <c r="FST754" s="574"/>
      <c r="FSU754" s="574"/>
      <c r="FSV754" s="574"/>
      <c r="FSW754" s="574"/>
      <c r="FSX754" s="574"/>
      <c r="FSY754" s="574"/>
      <c r="FSZ754" s="574"/>
      <c r="FTA754" s="574"/>
      <c r="FTB754" s="574"/>
      <c r="FTC754" s="574"/>
      <c r="FTD754" s="574"/>
      <c r="FTE754" s="574"/>
      <c r="FTF754" s="574"/>
      <c r="FTG754" s="574"/>
      <c r="FTH754" s="574"/>
      <c r="FTI754" s="574"/>
      <c r="FTJ754" s="574"/>
      <c r="FTK754" s="574"/>
      <c r="FTL754" s="574"/>
      <c r="FTM754" s="574"/>
      <c r="FTN754" s="574"/>
      <c r="FTO754" s="574"/>
      <c r="FTP754" s="574"/>
      <c r="FTQ754" s="574"/>
      <c r="FTR754" s="574"/>
      <c r="FTS754" s="574"/>
      <c r="FTT754" s="574"/>
      <c r="FTU754" s="574"/>
      <c r="FTV754" s="574"/>
      <c r="FTW754" s="574"/>
      <c r="FTX754" s="574"/>
      <c r="FTY754" s="574"/>
      <c r="FTZ754" s="574"/>
      <c r="FUA754" s="574"/>
      <c r="FUB754" s="574"/>
      <c r="FUC754" s="574"/>
      <c r="FUD754" s="574"/>
      <c r="FUE754" s="574"/>
      <c r="FUF754" s="574"/>
      <c r="FUG754" s="574"/>
      <c r="FUH754" s="574"/>
      <c r="FUI754" s="574"/>
      <c r="FUJ754" s="574"/>
      <c r="FUK754" s="574"/>
      <c r="FUL754" s="574"/>
      <c r="FUM754" s="574"/>
      <c r="FUN754" s="574"/>
      <c r="FUO754" s="574"/>
      <c r="FUP754" s="574"/>
      <c r="FUQ754" s="574"/>
      <c r="FUR754" s="574"/>
      <c r="FUS754" s="574"/>
      <c r="FUT754" s="574"/>
      <c r="FUU754" s="574"/>
      <c r="FUV754" s="574"/>
      <c r="FUW754" s="574"/>
      <c r="FUX754" s="574"/>
      <c r="FUY754" s="574"/>
      <c r="FUZ754" s="574"/>
      <c r="FVA754" s="574"/>
      <c r="FVB754" s="574"/>
      <c r="FVC754" s="574"/>
      <c r="FVD754" s="574"/>
      <c r="FVE754" s="574"/>
      <c r="FVF754" s="574"/>
      <c r="FVG754" s="574"/>
      <c r="FVH754" s="574"/>
      <c r="FVI754" s="574"/>
      <c r="FVJ754" s="574"/>
      <c r="FVK754" s="574"/>
      <c r="FVL754" s="574"/>
      <c r="FVM754" s="574"/>
      <c r="FVN754" s="574"/>
      <c r="FVO754" s="574"/>
      <c r="FVP754" s="574"/>
      <c r="FVQ754" s="574"/>
      <c r="FVR754" s="574"/>
      <c r="FVS754" s="574"/>
      <c r="FVT754" s="574"/>
      <c r="FVU754" s="574"/>
      <c r="FVV754" s="574"/>
      <c r="FVW754" s="574"/>
      <c r="FVX754" s="574"/>
      <c r="FVY754" s="574"/>
      <c r="FVZ754" s="574"/>
      <c r="FWA754" s="574"/>
      <c r="FWB754" s="574"/>
      <c r="FWC754" s="574"/>
      <c r="FWD754" s="574"/>
      <c r="FWE754" s="574"/>
      <c r="FWF754" s="574"/>
      <c r="FWG754" s="574"/>
      <c r="FWH754" s="574"/>
      <c r="FWI754" s="574"/>
      <c r="FWJ754" s="574"/>
      <c r="FWK754" s="574"/>
      <c r="FWL754" s="574"/>
      <c r="FWM754" s="574"/>
      <c r="FWN754" s="574"/>
      <c r="FWO754" s="574"/>
      <c r="FWP754" s="574"/>
      <c r="FWQ754" s="574"/>
      <c r="FWR754" s="574"/>
      <c r="FWS754" s="574"/>
      <c r="FWT754" s="574"/>
      <c r="FWU754" s="574"/>
      <c r="FWV754" s="574"/>
      <c r="FWW754" s="574"/>
      <c r="FWX754" s="574"/>
      <c r="FWY754" s="574"/>
      <c r="FWZ754" s="574"/>
      <c r="FXA754" s="574"/>
      <c r="FXB754" s="574"/>
      <c r="FXC754" s="574"/>
      <c r="FXD754" s="574"/>
      <c r="FXE754" s="574"/>
      <c r="FXF754" s="574"/>
      <c r="FXG754" s="574"/>
      <c r="FXH754" s="574"/>
      <c r="FXI754" s="574"/>
      <c r="FXJ754" s="574"/>
      <c r="FXK754" s="574"/>
      <c r="FXL754" s="574"/>
      <c r="FXM754" s="574"/>
      <c r="FXN754" s="574"/>
      <c r="FXO754" s="574"/>
      <c r="FXP754" s="574"/>
      <c r="FXQ754" s="574"/>
      <c r="FXR754" s="574"/>
      <c r="FXS754" s="574"/>
      <c r="FXT754" s="574"/>
      <c r="FXU754" s="574"/>
      <c r="FXV754" s="574"/>
      <c r="FXW754" s="574"/>
      <c r="FXX754" s="574"/>
      <c r="FXY754" s="574"/>
      <c r="FXZ754" s="574"/>
      <c r="FYA754" s="574"/>
      <c r="FYB754" s="574"/>
      <c r="FYC754" s="574"/>
      <c r="FYD754" s="574"/>
      <c r="FYE754" s="574"/>
      <c r="FYF754" s="574"/>
      <c r="FYG754" s="574"/>
      <c r="FYH754" s="574"/>
      <c r="FYI754" s="574"/>
      <c r="FYJ754" s="574"/>
      <c r="FYK754" s="574"/>
      <c r="FYL754" s="574"/>
      <c r="FYM754" s="574"/>
      <c r="FYN754" s="574"/>
      <c r="FYO754" s="574"/>
      <c r="FYP754" s="574"/>
      <c r="FYQ754" s="574"/>
      <c r="FYR754" s="574"/>
      <c r="FYS754" s="574"/>
      <c r="FYT754" s="574"/>
      <c r="FYU754" s="574"/>
      <c r="FYV754" s="574"/>
      <c r="FYW754" s="574"/>
      <c r="FYX754" s="574"/>
      <c r="FYY754" s="574"/>
      <c r="FYZ754" s="574"/>
      <c r="FZA754" s="574"/>
      <c r="FZB754" s="574"/>
      <c r="FZC754" s="574"/>
      <c r="FZD754" s="574"/>
      <c r="FZE754" s="574"/>
      <c r="FZF754" s="574"/>
      <c r="FZG754" s="574"/>
      <c r="FZH754" s="574"/>
      <c r="FZI754" s="574"/>
      <c r="FZJ754" s="574"/>
      <c r="FZK754" s="574"/>
      <c r="FZL754" s="574"/>
      <c r="FZM754" s="574"/>
      <c r="FZN754" s="574"/>
      <c r="FZO754" s="574"/>
      <c r="FZP754" s="574"/>
      <c r="FZQ754" s="574"/>
      <c r="FZR754" s="574"/>
      <c r="FZS754" s="574"/>
      <c r="FZT754" s="574"/>
      <c r="FZU754" s="574"/>
      <c r="FZV754" s="574"/>
      <c r="FZW754" s="574"/>
      <c r="FZX754" s="574"/>
      <c r="FZY754" s="574"/>
      <c r="FZZ754" s="574"/>
      <c r="GAA754" s="574"/>
      <c r="GAB754" s="574"/>
      <c r="GAC754" s="574"/>
      <c r="GAD754" s="574"/>
      <c r="GAE754" s="574"/>
      <c r="GAF754" s="574"/>
      <c r="GAG754" s="574"/>
      <c r="GAH754" s="574"/>
      <c r="GAI754" s="574"/>
      <c r="GAJ754" s="574"/>
      <c r="GAK754" s="574"/>
      <c r="GAL754" s="574"/>
      <c r="GAM754" s="574"/>
      <c r="GAN754" s="574"/>
      <c r="GAO754" s="574"/>
      <c r="GAP754" s="574"/>
      <c r="GAQ754" s="574"/>
      <c r="GAR754" s="574"/>
      <c r="GAS754" s="574"/>
      <c r="GAT754" s="574"/>
      <c r="GAU754" s="574"/>
      <c r="GAV754" s="574"/>
      <c r="GAW754" s="574"/>
      <c r="GAX754" s="574"/>
      <c r="GAY754" s="574"/>
      <c r="GAZ754" s="574"/>
      <c r="GBA754" s="574"/>
      <c r="GBB754" s="574"/>
      <c r="GBC754" s="574"/>
      <c r="GBD754" s="574"/>
      <c r="GBE754" s="574"/>
      <c r="GBF754" s="574"/>
      <c r="GBG754" s="574"/>
      <c r="GBH754" s="574"/>
      <c r="GBI754" s="574"/>
      <c r="GBJ754" s="574"/>
      <c r="GBK754" s="574"/>
      <c r="GBL754" s="574"/>
      <c r="GBM754" s="574"/>
      <c r="GBN754" s="574"/>
      <c r="GBO754" s="574"/>
      <c r="GBP754" s="574"/>
      <c r="GBQ754" s="574"/>
      <c r="GBR754" s="574"/>
      <c r="GBS754" s="574"/>
      <c r="GBT754" s="574"/>
      <c r="GBU754" s="574"/>
      <c r="GBV754" s="574"/>
      <c r="GBW754" s="574"/>
      <c r="GBX754" s="574"/>
      <c r="GBY754" s="574"/>
      <c r="GBZ754" s="574"/>
      <c r="GCA754" s="574"/>
      <c r="GCB754" s="574"/>
      <c r="GCC754" s="574"/>
      <c r="GCD754" s="574"/>
      <c r="GCE754" s="574"/>
      <c r="GCF754" s="574"/>
      <c r="GCG754" s="574"/>
      <c r="GCH754" s="574"/>
      <c r="GCI754" s="574"/>
      <c r="GCJ754" s="574"/>
      <c r="GCK754" s="574"/>
      <c r="GCL754" s="574"/>
      <c r="GCM754" s="574"/>
      <c r="GCN754" s="574"/>
      <c r="GCO754" s="574"/>
      <c r="GCP754" s="574"/>
      <c r="GCQ754" s="574"/>
      <c r="GCR754" s="574"/>
      <c r="GCS754" s="574"/>
      <c r="GCT754" s="574"/>
      <c r="GCU754" s="574"/>
      <c r="GCV754" s="574"/>
      <c r="GCW754" s="574"/>
      <c r="GCX754" s="574"/>
      <c r="GCY754" s="574"/>
      <c r="GCZ754" s="574"/>
      <c r="GDA754" s="574"/>
      <c r="GDB754" s="574"/>
      <c r="GDC754" s="574"/>
      <c r="GDD754" s="574"/>
      <c r="GDE754" s="574"/>
      <c r="GDF754" s="574"/>
      <c r="GDG754" s="574"/>
      <c r="GDH754" s="574"/>
      <c r="GDI754" s="574"/>
      <c r="GDJ754" s="574"/>
      <c r="GDK754" s="574"/>
      <c r="GDL754" s="574"/>
      <c r="GDM754" s="574"/>
      <c r="GDN754" s="574"/>
      <c r="GDO754" s="574"/>
      <c r="GDP754" s="574"/>
      <c r="GDQ754" s="574"/>
      <c r="GDR754" s="574"/>
      <c r="GDS754" s="574"/>
      <c r="GDT754" s="574"/>
      <c r="GDU754" s="574"/>
      <c r="GDV754" s="574"/>
      <c r="GDW754" s="574"/>
      <c r="GDX754" s="574"/>
      <c r="GDY754" s="574"/>
      <c r="GDZ754" s="574"/>
      <c r="GEA754" s="574"/>
      <c r="GEB754" s="574"/>
      <c r="GEC754" s="574"/>
      <c r="GED754" s="574"/>
      <c r="GEE754" s="574"/>
      <c r="GEF754" s="574"/>
      <c r="GEG754" s="574"/>
      <c r="GEH754" s="574"/>
      <c r="GEI754" s="574"/>
      <c r="GEJ754" s="574"/>
      <c r="GEK754" s="574"/>
      <c r="GEL754" s="574"/>
      <c r="GEM754" s="574"/>
      <c r="GEN754" s="574"/>
      <c r="GEO754" s="574"/>
      <c r="GEP754" s="574"/>
      <c r="GEQ754" s="574"/>
      <c r="GER754" s="574"/>
      <c r="GES754" s="574"/>
      <c r="GET754" s="574"/>
      <c r="GEU754" s="574"/>
      <c r="GEV754" s="574"/>
      <c r="GEW754" s="574"/>
      <c r="GEX754" s="574"/>
      <c r="GEY754" s="574"/>
      <c r="GEZ754" s="574"/>
      <c r="GFA754" s="574"/>
      <c r="GFB754" s="574"/>
      <c r="GFC754" s="574"/>
      <c r="GFD754" s="574"/>
      <c r="GFE754" s="574"/>
      <c r="GFF754" s="574"/>
      <c r="GFG754" s="574"/>
      <c r="GFH754" s="574"/>
      <c r="GFI754" s="574"/>
      <c r="GFJ754" s="574"/>
      <c r="GFK754" s="574"/>
      <c r="GFL754" s="574"/>
      <c r="GFM754" s="574"/>
      <c r="GFN754" s="574"/>
      <c r="GFO754" s="574"/>
      <c r="GFP754" s="574"/>
      <c r="GFQ754" s="574"/>
      <c r="GFR754" s="574"/>
      <c r="GFS754" s="574"/>
      <c r="GFT754" s="574"/>
      <c r="GFU754" s="574"/>
      <c r="GFV754" s="574"/>
      <c r="GFW754" s="574"/>
      <c r="GFX754" s="574"/>
      <c r="GFY754" s="574"/>
      <c r="GFZ754" s="574"/>
      <c r="GGA754" s="574"/>
      <c r="GGB754" s="574"/>
      <c r="GGC754" s="574"/>
      <c r="GGD754" s="574"/>
      <c r="GGE754" s="574"/>
      <c r="GGF754" s="574"/>
      <c r="GGG754" s="574"/>
      <c r="GGH754" s="574"/>
      <c r="GGI754" s="574"/>
      <c r="GGJ754" s="574"/>
      <c r="GGK754" s="574"/>
      <c r="GGL754" s="574"/>
      <c r="GGM754" s="574"/>
      <c r="GGN754" s="574"/>
      <c r="GGO754" s="574"/>
      <c r="GGP754" s="574"/>
      <c r="GGQ754" s="574"/>
      <c r="GGR754" s="574"/>
      <c r="GGS754" s="574"/>
      <c r="GGT754" s="574"/>
      <c r="GGU754" s="574"/>
      <c r="GGV754" s="574"/>
      <c r="GGW754" s="574"/>
      <c r="GGX754" s="574"/>
      <c r="GGY754" s="574"/>
      <c r="GGZ754" s="574"/>
      <c r="GHA754" s="574"/>
      <c r="GHB754" s="574"/>
      <c r="GHC754" s="574"/>
      <c r="GHD754" s="574"/>
      <c r="GHE754" s="574"/>
      <c r="GHF754" s="574"/>
      <c r="GHG754" s="574"/>
      <c r="GHH754" s="574"/>
      <c r="GHI754" s="574"/>
      <c r="GHJ754" s="574"/>
      <c r="GHK754" s="574"/>
      <c r="GHL754" s="574"/>
      <c r="GHM754" s="574"/>
      <c r="GHN754" s="574"/>
      <c r="GHO754" s="574"/>
      <c r="GHP754" s="574"/>
      <c r="GHQ754" s="574"/>
      <c r="GHR754" s="574"/>
      <c r="GHS754" s="574"/>
      <c r="GHT754" s="574"/>
      <c r="GHU754" s="574"/>
      <c r="GHV754" s="574"/>
      <c r="GHW754" s="574"/>
      <c r="GHX754" s="574"/>
      <c r="GHY754" s="574"/>
      <c r="GHZ754" s="574"/>
      <c r="GIA754" s="574"/>
      <c r="GIB754" s="574"/>
      <c r="GIC754" s="574"/>
      <c r="GID754" s="574"/>
      <c r="GIE754" s="574"/>
      <c r="GIF754" s="574"/>
      <c r="GIG754" s="574"/>
      <c r="GIH754" s="574"/>
      <c r="GII754" s="574"/>
      <c r="GIJ754" s="574"/>
      <c r="GIK754" s="574"/>
      <c r="GIL754" s="574"/>
      <c r="GIM754" s="574"/>
      <c r="GIN754" s="574"/>
      <c r="GIO754" s="574"/>
      <c r="GIP754" s="574"/>
      <c r="GIQ754" s="574"/>
      <c r="GIR754" s="574"/>
      <c r="GIS754" s="574"/>
      <c r="GIT754" s="574"/>
      <c r="GIU754" s="574"/>
      <c r="GIV754" s="574"/>
      <c r="GIW754" s="574"/>
      <c r="GIX754" s="574"/>
      <c r="GIY754" s="574"/>
      <c r="GIZ754" s="574"/>
      <c r="GJA754" s="574"/>
      <c r="GJB754" s="574"/>
      <c r="GJC754" s="574"/>
      <c r="GJD754" s="574"/>
      <c r="GJE754" s="574"/>
      <c r="GJF754" s="574"/>
      <c r="GJG754" s="574"/>
      <c r="GJH754" s="574"/>
      <c r="GJI754" s="574"/>
      <c r="GJJ754" s="574"/>
      <c r="GJK754" s="574"/>
      <c r="GJL754" s="574"/>
      <c r="GJM754" s="574"/>
      <c r="GJN754" s="574"/>
      <c r="GJO754" s="574"/>
      <c r="GJP754" s="574"/>
      <c r="GJQ754" s="574"/>
      <c r="GJR754" s="574"/>
      <c r="GJS754" s="574"/>
      <c r="GJT754" s="574"/>
      <c r="GJU754" s="574"/>
      <c r="GJV754" s="574"/>
      <c r="GJW754" s="574"/>
      <c r="GJX754" s="574"/>
      <c r="GJY754" s="574"/>
      <c r="GJZ754" s="574"/>
      <c r="GKA754" s="574"/>
      <c r="GKB754" s="574"/>
      <c r="GKC754" s="574"/>
      <c r="GKD754" s="574"/>
      <c r="GKE754" s="574"/>
      <c r="GKF754" s="574"/>
      <c r="GKG754" s="574"/>
      <c r="GKH754" s="574"/>
      <c r="GKI754" s="574"/>
      <c r="GKJ754" s="574"/>
      <c r="GKK754" s="574"/>
      <c r="GKL754" s="574"/>
      <c r="GKM754" s="574"/>
      <c r="GKN754" s="574"/>
      <c r="GKO754" s="574"/>
      <c r="GKP754" s="574"/>
      <c r="GKQ754" s="574"/>
      <c r="GKR754" s="574"/>
      <c r="GKS754" s="574"/>
      <c r="GKT754" s="574"/>
      <c r="GKU754" s="574"/>
      <c r="GKV754" s="574"/>
      <c r="GKW754" s="574"/>
      <c r="GKX754" s="574"/>
      <c r="GKY754" s="574"/>
      <c r="GKZ754" s="574"/>
      <c r="GLA754" s="574"/>
      <c r="GLB754" s="574"/>
      <c r="GLC754" s="574"/>
      <c r="GLD754" s="574"/>
      <c r="GLE754" s="574"/>
      <c r="GLF754" s="574"/>
      <c r="GLG754" s="574"/>
      <c r="GLH754" s="574"/>
      <c r="GLI754" s="574"/>
      <c r="GLJ754" s="574"/>
      <c r="GLK754" s="574"/>
      <c r="GLL754" s="574"/>
      <c r="GLM754" s="574"/>
      <c r="GLN754" s="574"/>
      <c r="GLO754" s="574"/>
      <c r="GLP754" s="574"/>
      <c r="GLQ754" s="574"/>
      <c r="GLR754" s="574"/>
      <c r="GLS754" s="574"/>
      <c r="GLT754" s="574"/>
      <c r="GLU754" s="574"/>
      <c r="GLV754" s="574"/>
      <c r="GLW754" s="574"/>
      <c r="GLX754" s="574"/>
      <c r="GLY754" s="574"/>
      <c r="GLZ754" s="574"/>
      <c r="GMA754" s="574"/>
      <c r="GMB754" s="574"/>
      <c r="GMC754" s="574"/>
      <c r="GMD754" s="574"/>
      <c r="GME754" s="574"/>
      <c r="GMF754" s="574"/>
      <c r="GMG754" s="574"/>
      <c r="GMH754" s="574"/>
      <c r="GMI754" s="574"/>
      <c r="GMJ754" s="574"/>
      <c r="GMK754" s="574"/>
      <c r="GML754" s="574"/>
      <c r="GMM754" s="574"/>
      <c r="GMN754" s="574"/>
      <c r="GMO754" s="574"/>
      <c r="GMP754" s="574"/>
      <c r="GMQ754" s="574"/>
      <c r="GMR754" s="574"/>
      <c r="GMS754" s="574"/>
      <c r="GMT754" s="574"/>
      <c r="GMU754" s="574"/>
      <c r="GMV754" s="574"/>
      <c r="GMW754" s="574"/>
      <c r="GMX754" s="574"/>
      <c r="GMY754" s="574"/>
      <c r="GMZ754" s="574"/>
      <c r="GNA754" s="574"/>
      <c r="GNB754" s="574"/>
      <c r="GNC754" s="574"/>
      <c r="GND754" s="574"/>
      <c r="GNE754" s="574"/>
      <c r="GNF754" s="574"/>
      <c r="GNG754" s="574"/>
      <c r="GNH754" s="574"/>
      <c r="GNI754" s="574"/>
      <c r="GNJ754" s="574"/>
      <c r="GNK754" s="574"/>
      <c r="GNL754" s="574"/>
      <c r="GNM754" s="574"/>
      <c r="GNN754" s="574"/>
      <c r="GNO754" s="574"/>
      <c r="GNP754" s="574"/>
      <c r="GNQ754" s="574"/>
      <c r="GNR754" s="574"/>
      <c r="GNS754" s="574"/>
      <c r="GNT754" s="574"/>
      <c r="GNU754" s="574"/>
      <c r="GNV754" s="574"/>
      <c r="GNW754" s="574"/>
      <c r="GNX754" s="574"/>
      <c r="GNY754" s="574"/>
      <c r="GNZ754" s="574"/>
      <c r="GOA754" s="574"/>
      <c r="GOB754" s="574"/>
      <c r="GOC754" s="574"/>
      <c r="GOD754" s="574"/>
      <c r="GOE754" s="574"/>
      <c r="GOF754" s="574"/>
      <c r="GOG754" s="574"/>
      <c r="GOH754" s="574"/>
      <c r="GOI754" s="574"/>
      <c r="GOJ754" s="574"/>
      <c r="GOK754" s="574"/>
      <c r="GOL754" s="574"/>
      <c r="GOM754" s="574"/>
      <c r="GON754" s="574"/>
      <c r="GOO754" s="574"/>
      <c r="GOP754" s="574"/>
      <c r="GOQ754" s="574"/>
      <c r="GOR754" s="574"/>
      <c r="GOS754" s="574"/>
      <c r="GOT754" s="574"/>
      <c r="GOU754" s="574"/>
      <c r="GOV754" s="574"/>
      <c r="GOW754" s="574"/>
      <c r="GOX754" s="574"/>
      <c r="GOY754" s="574"/>
      <c r="GOZ754" s="574"/>
      <c r="GPA754" s="574"/>
      <c r="GPB754" s="574"/>
      <c r="GPC754" s="574"/>
      <c r="GPD754" s="574"/>
      <c r="GPE754" s="574"/>
      <c r="GPF754" s="574"/>
      <c r="GPG754" s="574"/>
      <c r="GPH754" s="574"/>
      <c r="GPI754" s="574"/>
      <c r="GPJ754" s="574"/>
      <c r="GPK754" s="574"/>
      <c r="GPL754" s="574"/>
      <c r="GPM754" s="574"/>
      <c r="GPN754" s="574"/>
      <c r="GPO754" s="574"/>
      <c r="GPP754" s="574"/>
      <c r="GPQ754" s="574"/>
      <c r="GPR754" s="574"/>
      <c r="GPS754" s="574"/>
      <c r="GPT754" s="574"/>
      <c r="GPU754" s="574"/>
      <c r="GPV754" s="574"/>
      <c r="GPW754" s="574"/>
      <c r="GPX754" s="574"/>
      <c r="GPY754" s="574"/>
      <c r="GPZ754" s="574"/>
      <c r="GQA754" s="574"/>
      <c r="GQB754" s="574"/>
      <c r="GQC754" s="574"/>
      <c r="GQD754" s="574"/>
      <c r="GQE754" s="574"/>
      <c r="GQF754" s="574"/>
      <c r="GQG754" s="574"/>
      <c r="GQH754" s="574"/>
      <c r="GQI754" s="574"/>
      <c r="GQJ754" s="574"/>
      <c r="GQK754" s="574"/>
      <c r="GQL754" s="574"/>
      <c r="GQM754" s="574"/>
      <c r="GQN754" s="574"/>
      <c r="GQO754" s="574"/>
      <c r="GQP754" s="574"/>
      <c r="GQQ754" s="574"/>
      <c r="GQR754" s="574"/>
      <c r="GQS754" s="574"/>
      <c r="GQT754" s="574"/>
      <c r="GQU754" s="574"/>
      <c r="GQV754" s="574"/>
      <c r="GQW754" s="574"/>
      <c r="GQX754" s="574"/>
      <c r="GQY754" s="574"/>
      <c r="GQZ754" s="574"/>
      <c r="GRA754" s="574"/>
      <c r="GRB754" s="574"/>
      <c r="GRC754" s="574"/>
      <c r="GRD754" s="574"/>
      <c r="GRE754" s="574"/>
      <c r="GRF754" s="574"/>
      <c r="GRG754" s="574"/>
      <c r="GRH754" s="574"/>
      <c r="GRI754" s="574"/>
      <c r="GRJ754" s="574"/>
      <c r="GRK754" s="574"/>
      <c r="GRL754" s="574"/>
      <c r="GRM754" s="574"/>
      <c r="GRN754" s="574"/>
      <c r="GRO754" s="574"/>
      <c r="GRP754" s="574"/>
      <c r="GRQ754" s="574"/>
      <c r="GRR754" s="574"/>
      <c r="GRS754" s="574"/>
      <c r="GRT754" s="574"/>
      <c r="GRU754" s="574"/>
      <c r="GRV754" s="574"/>
      <c r="GRW754" s="574"/>
      <c r="GRX754" s="574"/>
      <c r="GRY754" s="574"/>
      <c r="GRZ754" s="574"/>
      <c r="GSA754" s="574"/>
      <c r="GSB754" s="574"/>
      <c r="GSC754" s="574"/>
      <c r="GSD754" s="574"/>
      <c r="GSE754" s="574"/>
      <c r="GSF754" s="574"/>
      <c r="GSG754" s="574"/>
      <c r="GSH754" s="574"/>
      <c r="GSI754" s="574"/>
      <c r="GSJ754" s="574"/>
      <c r="GSK754" s="574"/>
      <c r="GSL754" s="574"/>
      <c r="GSM754" s="574"/>
      <c r="GSN754" s="574"/>
      <c r="GSO754" s="574"/>
      <c r="GSP754" s="574"/>
      <c r="GSQ754" s="574"/>
      <c r="GSR754" s="574"/>
      <c r="GSS754" s="574"/>
      <c r="GST754" s="574"/>
      <c r="GSU754" s="574"/>
      <c r="GSV754" s="574"/>
      <c r="GSW754" s="574"/>
      <c r="GSX754" s="574"/>
      <c r="GSY754" s="574"/>
      <c r="GSZ754" s="574"/>
      <c r="GTA754" s="574"/>
      <c r="GTB754" s="574"/>
      <c r="GTC754" s="574"/>
      <c r="GTD754" s="574"/>
      <c r="GTE754" s="574"/>
      <c r="GTF754" s="574"/>
      <c r="GTG754" s="574"/>
      <c r="GTH754" s="574"/>
      <c r="GTI754" s="574"/>
      <c r="GTJ754" s="574"/>
      <c r="GTK754" s="574"/>
      <c r="GTL754" s="574"/>
      <c r="GTM754" s="574"/>
      <c r="GTN754" s="574"/>
      <c r="GTO754" s="574"/>
      <c r="GTP754" s="574"/>
      <c r="GTQ754" s="574"/>
      <c r="GTR754" s="574"/>
      <c r="GTS754" s="574"/>
      <c r="GTT754" s="574"/>
      <c r="GTU754" s="574"/>
      <c r="GTV754" s="574"/>
      <c r="GTW754" s="574"/>
      <c r="GTX754" s="574"/>
      <c r="GTY754" s="574"/>
      <c r="GTZ754" s="574"/>
      <c r="GUA754" s="574"/>
      <c r="GUB754" s="574"/>
      <c r="GUC754" s="574"/>
      <c r="GUD754" s="574"/>
      <c r="GUE754" s="574"/>
      <c r="GUF754" s="574"/>
      <c r="GUG754" s="574"/>
      <c r="GUH754" s="574"/>
      <c r="GUI754" s="574"/>
      <c r="GUJ754" s="574"/>
      <c r="GUK754" s="574"/>
      <c r="GUL754" s="574"/>
      <c r="GUM754" s="574"/>
      <c r="GUN754" s="574"/>
      <c r="GUO754" s="574"/>
      <c r="GUP754" s="574"/>
      <c r="GUQ754" s="574"/>
      <c r="GUR754" s="574"/>
      <c r="GUS754" s="574"/>
      <c r="GUT754" s="574"/>
      <c r="GUU754" s="574"/>
      <c r="GUV754" s="574"/>
      <c r="GUW754" s="574"/>
      <c r="GUX754" s="574"/>
      <c r="GUY754" s="574"/>
      <c r="GUZ754" s="574"/>
      <c r="GVA754" s="574"/>
      <c r="GVB754" s="574"/>
      <c r="GVC754" s="574"/>
      <c r="GVD754" s="574"/>
      <c r="GVE754" s="574"/>
      <c r="GVF754" s="574"/>
      <c r="GVG754" s="574"/>
      <c r="GVH754" s="574"/>
      <c r="GVI754" s="574"/>
      <c r="GVJ754" s="574"/>
      <c r="GVK754" s="574"/>
      <c r="GVL754" s="574"/>
      <c r="GVM754" s="574"/>
      <c r="GVN754" s="574"/>
      <c r="GVO754" s="574"/>
      <c r="GVP754" s="574"/>
      <c r="GVQ754" s="574"/>
      <c r="GVR754" s="574"/>
      <c r="GVS754" s="574"/>
      <c r="GVT754" s="574"/>
      <c r="GVU754" s="574"/>
      <c r="GVV754" s="574"/>
      <c r="GVW754" s="574"/>
      <c r="GVX754" s="574"/>
      <c r="GVY754" s="574"/>
      <c r="GVZ754" s="574"/>
      <c r="GWA754" s="574"/>
      <c r="GWB754" s="574"/>
      <c r="GWC754" s="574"/>
      <c r="GWD754" s="574"/>
      <c r="GWE754" s="574"/>
      <c r="GWF754" s="574"/>
      <c r="GWG754" s="574"/>
      <c r="GWH754" s="574"/>
      <c r="GWI754" s="574"/>
      <c r="GWJ754" s="574"/>
      <c r="GWK754" s="574"/>
      <c r="GWL754" s="574"/>
      <c r="GWM754" s="574"/>
      <c r="GWN754" s="574"/>
      <c r="GWO754" s="574"/>
      <c r="GWP754" s="574"/>
      <c r="GWQ754" s="574"/>
      <c r="GWR754" s="574"/>
      <c r="GWS754" s="574"/>
      <c r="GWT754" s="574"/>
      <c r="GWU754" s="574"/>
      <c r="GWV754" s="574"/>
      <c r="GWW754" s="574"/>
      <c r="GWX754" s="574"/>
      <c r="GWY754" s="574"/>
      <c r="GWZ754" s="574"/>
      <c r="GXA754" s="574"/>
      <c r="GXB754" s="574"/>
      <c r="GXC754" s="574"/>
      <c r="GXD754" s="574"/>
      <c r="GXE754" s="574"/>
      <c r="GXF754" s="574"/>
      <c r="GXG754" s="574"/>
      <c r="GXH754" s="574"/>
      <c r="GXI754" s="574"/>
      <c r="GXJ754" s="574"/>
      <c r="GXK754" s="574"/>
      <c r="GXL754" s="574"/>
      <c r="GXM754" s="574"/>
      <c r="GXN754" s="574"/>
      <c r="GXO754" s="574"/>
      <c r="GXP754" s="574"/>
      <c r="GXQ754" s="574"/>
      <c r="GXR754" s="574"/>
      <c r="GXS754" s="574"/>
      <c r="GXT754" s="574"/>
      <c r="GXU754" s="574"/>
      <c r="GXV754" s="574"/>
      <c r="GXW754" s="574"/>
      <c r="GXX754" s="574"/>
      <c r="GXY754" s="574"/>
      <c r="GXZ754" s="574"/>
      <c r="GYA754" s="574"/>
      <c r="GYB754" s="574"/>
      <c r="GYC754" s="574"/>
      <c r="GYD754" s="574"/>
      <c r="GYE754" s="574"/>
      <c r="GYF754" s="574"/>
      <c r="GYG754" s="574"/>
      <c r="GYH754" s="574"/>
      <c r="GYI754" s="574"/>
      <c r="GYJ754" s="574"/>
      <c r="GYK754" s="574"/>
      <c r="GYL754" s="574"/>
      <c r="GYM754" s="574"/>
      <c r="GYN754" s="574"/>
      <c r="GYO754" s="574"/>
      <c r="GYP754" s="574"/>
      <c r="GYQ754" s="574"/>
      <c r="GYR754" s="574"/>
      <c r="GYS754" s="574"/>
      <c r="GYT754" s="574"/>
      <c r="GYU754" s="574"/>
      <c r="GYV754" s="574"/>
      <c r="GYW754" s="574"/>
      <c r="GYX754" s="574"/>
      <c r="GYY754" s="574"/>
      <c r="GYZ754" s="574"/>
      <c r="GZA754" s="574"/>
      <c r="GZB754" s="574"/>
      <c r="GZC754" s="574"/>
      <c r="GZD754" s="574"/>
      <c r="GZE754" s="574"/>
      <c r="GZF754" s="574"/>
      <c r="GZG754" s="574"/>
      <c r="GZH754" s="574"/>
      <c r="GZI754" s="574"/>
      <c r="GZJ754" s="574"/>
      <c r="GZK754" s="574"/>
      <c r="GZL754" s="574"/>
      <c r="GZM754" s="574"/>
      <c r="GZN754" s="574"/>
      <c r="GZO754" s="574"/>
      <c r="GZP754" s="574"/>
      <c r="GZQ754" s="574"/>
      <c r="GZR754" s="574"/>
      <c r="GZS754" s="574"/>
      <c r="GZT754" s="574"/>
      <c r="GZU754" s="574"/>
      <c r="GZV754" s="574"/>
      <c r="GZW754" s="574"/>
      <c r="GZX754" s="574"/>
      <c r="GZY754" s="574"/>
      <c r="GZZ754" s="574"/>
      <c r="HAA754" s="574"/>
      <c r="HAB754" s="574"/>
      <c r="HAC754" s="574"/>
      <c r="HAD754" s="574"/>
      <c r="HAE754" s="574"/>
      <c r="HAF754" s="574"/>
      <c r="HAG754" s="574"/>
      <c r="HAH754" s="574"/>
      <c r="HAI754" s="574"/>
      <c r="HAJ754" s="574"/>
      <c r="HAK754" s="574"/>
      <c r="HAL754" s="574"/>
      <c r="HAM754" s="574"/>
      <c r="HAN754" s="574"/>
      <c r="HAO754" s="574"/>
      <c r="HAP754" s="574"/>
      <c r="HAQ754" s="574"/>
      <c r="HAR754" s="574"/>
      <c r="HAS754" s="574"/>
      <c r="HAT754" s="574"/>
      <c r="HAU754" s="574"/>
      <c r="HAV754" s="574"/>
      <c r="HAW754" s="574"/>
      <c r="HAX754" s="574"/>
      <c r="HAY754" s="574"/>
      <c r="HAZ754" s="574"/>
      <c r="HBA754" s="574"/>
      <c r="HBB754" s="574"/>
      <c r="HBC754" s="574"/>
      <c r="HBD754" s="574"/>
      <c r="HBE754" s="574"/>
      <c r="HBF754" s="574"/>
      <c r="HBG754" s="574"/>
      <c r="HBH754" s="574"/>
      <c r="HBI754" s="574"/>
      <c r="HBJ754" s="574"/>
      <c r="HBK754" s="574"/>
      <c r="HBL754" s="574"/>
      <c r="HBM754" s="574"/>
      <c r="HBN754" s="574"/>
      <c r="HBO754" s="574"/>
      <c r="HBP754" s="574"/>
      <c r="HBQ754" s="574"/>
      <c r="HBR754" s="574"/>
      <c r="HBS754" s="574"/>
      <c r="HBT754" s="574"/>
      <c r="HBU754" s="574"/>
      <c r="HBV754" s="574"/>
      <c r="HBW754" s="574"/>
      <c r="HBX754" s="574"/>
      <c r="HBY754" s="574"/>
      <c r="HBZ754" s="574"/>
      <c r="HCA754" s="574"/>
      <c r="HCB754" s="574"/>
      <c r="HCC754" s="574"/>
      <c r="HCD754" s="574"/>
      <c r="HCE754" s="574"/>
      <c r="HCF754" s="574"/>
      <c r="HCG754" s="574"/>
      <c r="HCH754" s="574"/>
      <c r="HCI754" s="574"/>
      <c r="HCJ754" s="574"/>
      <c r="HCK754" s="574"/>
      <c r="HCL754" s="574"/>
      <c r="HCM754" s="574"/>
      <c r="HCN754" s="574"/>
      <c r="HCO754" s="574"/>
      <c r="HCP754" s="574"/>
      <c r="HCQ754" s="574"/>
      <c r="HCR754" s="574"/>
      <c r="HCS754" s="574"/>
      <c r="HCT754" s="574"/>
      <c r="HCU754" s="574"/>
      <c r="HCV754" s="574"/>
      <c r="HCW754" s="574"/>
      <c r="HCX754" s="574"/>
      <c r="HCY754" s="574"/>
      <c r="HCZ754" s="574"/>
      <c r="HDA754" s="574"/>
      <c r="HDB754" s="574"/>
      <c r="HDC754" s="574"/>
      <c r="HDD754" s="574"/>
      <c r="HDE754" s="574"/>
      <c r="HDF754" s="574"/>
      <c r="HDG754" s="574"/>
      <c r="HDH754" s="574"/>
      <c r="HDI754" s="574"/>
      <c r="HDJ754" s="574"/>
      <c r="HDK754" s="574"/>
      <c r="HDL754" s="574"/>
      <c r="HDM754" s="574"/>
      <c r="HDN754" s="574"/>
      <c r="HDO754" s="574"/>
      <c r="HDP754" s="574"/>
      <c r="HDQ754" s="574"/>
      <c r="HDR754" s="574"/>
      <c r="HDS754" s="574"/>
      <c r="HDT754" s="574"/>
      <c r="HDU754" s="574"/>
      <c r="HDV754" s="574"/>
      <c r="HDW754" s="574"/>
      <c r="HDX754" s="574"/>
      <c r="HDY754" s="574"/>
      <c r="HDZ754" s="574"/>
      <c r="HEA754" s="574"/>
      <c r="HEB754" s="574"/>
      <c r="HEC754" s="574"/>
      <c r="HED754" s="574"/>
      <c r="HEE754" s="574"/>
      <c r="HEF754" s="574"/>
      <c r="HEG754" s="574"/>
      <c r="HEH754" s="574"/>
      <c r="HEI754" s="574"/>
      <c r="HEJ754" s="574"/>
      <c r="HEK754" s="574"/>
      <c r="HEL754" s="574"/>
      <c r="HEM754" s="574"/>
      <c r="HEN754" s="574"/>
      <c r="HEO754" s="574"/>
      <c r="HEP754" s="574"/>
      <c r="HEQ754" s="574"/>
      <c r="HER754" s="574"/>
      <c r="HES754" s="574"/>
      <c r="HET754" s="574"/>
      <c r="HEU754" s="574"/>
      <c r="HEV754" s="574"/>
      <c r="HEW754" s="574"/>
      <c r="HEX754" s="574"/>
      <c r="HEY754" s="574"/>
      <c r="HEZ754" s="574"/>
      <c r="HFA754" s="574"/>
      <c r="HFB754" s="574"/>
      <c r="HFC754" s="574"/>
      <c r="HFD754" s="574"/>
      <c r="HFE754" s="574"/>
      <c r="HFF754" s="574"/>
      <c r="HFG754" s="574"/>
      <c r="HFH754" s="574"/>
      <c r="HFI754" s="574"/>
      <c r="HFJ754" s="574"/>
      <c r="HFK754" s="574"/>
      <c r="HFL754" s="574"/>
      <c r="HFM754" s="574"/>
      <c r="HFN754" s="574"/>
      <c r="HFO754" s="574"/>
      <c r="HFP754" s="574"/>
      <c r="HFQ754" s="574"/>
      <c r="HFR754" s="574"/>
      <c r="HFS754" s="574"/>
      <c r="HFT754" s="574"/>
      <c r="HFU754" s="574"/>
      <c r="HFV754" s="574"/>
      <c r="HFW754" s="574"/>
      <c r="HFX754" s="574"/>
      <c r="HFY754" s="574"/>
      <c r="HFZ754" s="574"/>
      <c r="HGA754" s="574"/>
      <c r="HGB754" s="574"/>
      <c r="HGC754" s="574"/>
      <c r="HGD754" s="574"/>
      <c r="HGE754" s="574"/>
      <c r="HGF754" s="574"/>
      <c r="HGG754" s="574"/>
      <c r="HGH754" s="574"/>
      <c r="HGI754" s="574"/>
      <c r="HGJ754" s="574"/>
      <c r="HGK754" s="574"/>
      <c r="HGL754" s="574"/>
      <c r="HGM754" s="574"/>
      <c r="HGN754" s="574"/>
      <c r="HGO754" s="574"/>
      <c r="HGP754" s="574"/>
      <c r="HGQ754" s="574"/>
      <c r="HGR754" s="574"/>
      <c r="HGS754" s="574"/>
      <c r="HGT754" s="574"/>
      <c r="HGU754" s="574"/>
      <c r="HGV754" s="574"/>
      <c r="HGW754" s="574"/>
      <c r="HGX754" s="574"/>
      <c r="HGY754" s="574"/>
      <c r="HGZ754" s="574"/>
      <c r="HHA754" s="574"/>
      <c r="HHB754" s="574"/>
      <c r="HHC754" s="574"/>
      <c r="HHD754" s="574"/>
      <c r="HHE754" s="574"/>
      <c r="HHF754" s="574"/>
      <c r="HHG754" s="574"/>
      <c r="HHH754" s="574"/>
      <c r="HHI754" s="574"/>
      <c r="HHJ754" s="574"/>
      <c r="HHK754" s="574"/>
      <c r="HHL754" s="574"/>
      <c r="HHM754" s="574"/>
      <c r="HHN754" s="574"/>
      <c r="HHO754" s="574"/>
      <c r="HHP754" s="574"/>
      <c r="HHQ754" s="574"/>
      <c r="HHR754" s="574"/>
      <c r="HHS754" s="574"/>
      <c r="HHT754" s="574"/>
      <c r="HHU754" s="574"/>
      <c r="HHV754" s="574"/>
      <c r="HHW754" s="574"/>
      <c r="HHX754" s="574"/>
      <c r="HHY754" s="574"/>
      <c r="HHZ754" s="574"/>
      <c r="HIA754" s="574"/>
      <c r="HIB754" s="574"/>
      <c r="HIC754" s="574"/>
      <c r="HID754" s="574"/>
      <c r="HIE754" s="574"/>
      <c r="HIF754" s="574"/>
      <c r="HIG754" s="574"/>
      <c r="HIH754" s="574"/>
      <c r="HII754" s="574"/>
      <c r="HIJ754" s="574"/>
      <c r="HIK754" s="574"/>
      <c r="HIL754" s="574"/>
      <c r="HIM754" s="574"/>
      <c r="HIN754" s="574"/>
      <c r="HIO754" s="574"/>
      <c r="HIP754" s="574"/>
      <c r="HIQ754" s="574"/>
      <c r="HIR754" s="574"/>
      <c r="HIS754" s="574"/>
      <c r="HIT754" s="574"/>
      <c r="HIU754" s="574"/>
      <c r="HIV754" s="574"/>
      <c r="HIW754" s="574"/>
      <c r="HIX754" s="574"/>
      <c r="HIY754" s="574"/>
      <c r="HIZ754" s="574"/>
      <c r="HJA754" s="574"/>
      <c r="HJB754" s="574"/>
      <c r="HJC754" s="574"/>
      <c r="HJD754" s="574"/>
      <c r="HJE754" s="574"/>
      <c r="HJF754" s="574"/>
      <c r="HJG754" s="574"/>
      <c r="HJH754" s="574"/>
      <c r="HJI754" s="574"/>
      <c r="HJJ754" s="574"/>
      <c r="HJK754" s="574"/>
      <c r="HJL754" s="574"/>
      <c r="HJM754" s="574"/>
      <c r="HJN754" s="574"/>
      <c r="HJO754" s="574"/>
      <c r="HJP754" s="574"/>
      <c r="HJQ754" s="574"/>
      <c r="HJR754" s="574"/>
      <c r="HJS754" s="574"/>
      <c r="HJT754" s="574"/>
      <c r="HJU754" s="574"/>
      <c r="HJV754" s="574"/>
      <c r="HJW754" s="574"/>
      <c r="HJX754" s="574"/>
      <c r="HJY754" s="574"/>
      <c r="HJZ754" s="574"/>
      <c r="HKA754" s="574"/>
      <c r="HKB754" s="574"/>
      <c r="HKC754" s="574"/>
      <c r="HKD754" s="574"/>
      <c r="HKE754" s="574"/>
      <c r="HKF754" s="574"/>
      <c r="HKG754" s="574"/>
      <c r="HKH754" s="574"/>
      <c r="HKI754" s="574"/>
      <c r="HKJ754" s="574"/>
      <c r="HKK754" s="574"/>
      <c r="HKL754" s="574"/>
      <c r="HKM754" s="574"/>
      <c r="HKN754" s="574"/>
      <c r="HKO754" s="574"/>
      <c r="HKP754" s="574"/>
      <c r="HKQ754" s="574"/>
      <c r="HKR754" s="574"/>
      <c r="HKS754" s="574"/>
      <c r="HKT754" s="574"/>
      <c r="HKU754" s="574"/>
      <c r="HKV754" s="574"/>
      <c r="HKW754" s="574"/>
      <c r="HKX754" s="574"/>
      <c r="HKY754" s="574"/>
      <c r="HKZ754" s="574"/>
      <c r="HLA754" s="574"/>
      <c r="HLB754" s="574"/>
      <c r="HLC754" s="574"/>
      <c r="HLD754" s="574"/>
      <c r="HLE754" s="574"/>
      <c r="HLF754" s="574"/>
      <c r="HLG754" s="574"/>
      <c r="HLH754" s="574"/>
      <c r="HLI754" s="574"/>
      <c r="HLJ754" s="574"/>
      <c r="HLK754" s="574"/>
      <c r="HLL754" s="574"/>
      <c r="HLM754" s="574"/>
      <c r="HLN754" s="574"/>
      <c r="HLO754" s="574"/>
      <c r="HLP754" s="574"/>
      <c r="HLQ754" s="574"/>
      <c r="HLR754" s="574"/>
      <c r="HLS754" s="574"/>
      <c r="HLT754" s="574"/>
      <c r="HLU754" s="574"/>
      <c r="HLV754" s="574"/>
      <c r="HLW754" s="574"/>
      <c r="HLX754" s="574"/>
      <c r="HLY754" s="574"/>
      <c r="HLZ754" s="574"/>
      <c r="HMA754" s="574"/>
      <c r="HMB754" s="574"/>
      <c r="HMC754" s="574"/>
      <c r="HMD754" s="574"/>
      <c r="HME754" s="574"/>
      <c r="HMF754" s="574"/>
      <c r="HMG754" s="574"/>
      <c r="HMH754" s="574"/>
      <c r="HMI754" s="574"/>
      <c r="HMJ754" s="574"/>
      <c r="HMK754" s="574"/>
      <c r="HML754" s="574"/>
      <c r="HMM754" s="574"/>
      <c r="HMN754" s="574"/>
      <c r="HMO754" s="574"/>
      <c r="HMP754" s="574"/>
      <c r="HMQ754" s="574"/>
      <c r="HMR754" s="574"/>
      <c r="HMS754" s="574"/>
      <c r="HMT754" s="574"/>
      <c r="HMU754" s="574"/>
      <c r="HMV754" s="574"/>
      <c r="HMW754" s="574"/>
      <c r="HMX754" s="574"/>
      <c r="HMY754" s="574"/>
      <c r="HMZ754" s="574"/>
      <c r="HNA754" s="574"/>
      <c r="HNB754" s="574"/>
      <c r="HNC754" s="574"/>
      <c r="HND754" s="574"/>
      <c r="HNE754" s="574"/>
      <c r="HNF754" s="574"/>
      <c r="HNG754" s="574"/>
      <c r="HNH754" s="574"/>
      <c r="HNI754" s="574"/>
      <c r="HNJ754" s="574"/>
      <c r="HNK754" s="574"/>
      <c r="HNL754" s="574"/>
      <c r="HNM754" s="574"/>
      <c r="HNN754" s="574"/>
      <c r="HNO754" s="574"/>
      <c r="HNP754" s="574"/>
      <c r="HNQ754" s="574"/>
      <c r="HNR754" s="574"/>
      <c r="HNS754" s="574"/>
      <c r="HNT754" s="574"/>
      <c r="HNU754" s="574"/>
      <c r="HNV754" s="574"/>
      <c r="HNW754" s="574"/>
      <c r="HNX754" s="574"/>
      <c r="HNY754" s="574"/>
      <c r="HNZ754" s="574"/>
      <c r="HOA754" s="574"/>
      <c r="HOB754" s="574"/>
      <c r="HOC754" s="574"/>
      <c r="HOD754" s="574"/>
      <c r="HOE754" s="574"/>
      <c r="HOF754" s="574"/>
      <c r="HOG754" s="574"/>
      <c r="HOH754" s="574"/>
      <c r="HOI754" s="574"/>
      <c r="HOJ754" s="574"/>
      <c r="HOK754" s="574"/>
      <c r="HOL754" s="574"/>
      <c r="HOM754" s="574"/>
      <c r="HON754" s="574"/>
      <c r="HOO754" s="574"/>
      <c r="HOP754" s="574"/>
      <c r="HOQ754" s="574"/>
      <c r="HOR754" s="574"/>
      <c r="HOS754" s="574"/>
      <c r="HOT754" s="574"/>
      <c r="HOU754" s="574"/>
      <c r="HOV754" s="574"/>
      <c r="HOW754" s="574"/>
      <c r="HOX754" s="574"/>
      <c r="HOY754" s="574"/>
      <c r="HOZ754" s="574"/>
      <c r="HPA754" s="574"/>
      <c r="HPB754" s="574"/>
      <c r="HPC754" s="574"/>
      <c r="HPD754" s="574"/>
      <c r="HPE754" s="574"/>
      <c r="HPF754" s="574"/>
      <c r="HPG754" s="574"/>
      <c r="HPH754" s="574"/>
      <c r="HPI754" s="574"/>
      <c r="HPJ754" s="574"/>
      <c r="HPK754" s="574"/>
      <c r="HPL754" s="574"/>
      <c r="HPM754" s="574"/>
      <c r="HPN754" s="574"/>
      <c r="HPO754" s="574"/>
      <c r="HPP754" s="574"/>
      <c r="HPQ754" s="574"/>
      <c r="HPR754" s="574"/>
      <c r="HPS754" s="574"/>
      <c r="HPT754" s="574"/>
      <c r="HPU754" s="574"/>
      <c r="HPV754" s="574"/>
      <c r="HPW754" s="574"/>
      <c r="HPX754" s="574"/>
      <c r="HPY754" s="574"/>
      <c r="HPZ754" s="574"/>
      <c r="HQA754" s="574"/>
      <c r="HQB754" s="574"/>
      <c r="HQC754" s="574"/>
      <c r="HQD754" s="574"/>
      <c r="HQE754" s="574"/>
      <c r="HQF754" s="574"/>
      <c r="HQG754" s="574"/>
      <c r="HQH754" s="574"/>
      <c r="HQI754" s="574"/>
      <c r="HQJ754" s="574"/>
      <c r="HQK754" s="574"/>
      <c r="HQL754" s="574"/>
      <c r="HQM754" s="574"/>
      <c r="HQN754" s="574"/>
      <c r="HQO754" s="574"/>
      <c r="HQP754" s="574"/>
      <c r="HQQ754" s="574"/>
      <c r="HQR754" s="574"/>
      <c r="HQS754" s="574"/>
      <c r="HQT754" s="574"/>
      <c r="HQU754" s="574"/>
      <c r="HQV754" s="574"/>
      <c r="HQW754" s="574"/>
      <c r="HQX754" s="574"/>
      <c r="HQY754" s="574"/>
      <c r="HQZ754" s="574"/>
      <c r="HRA754" s="574"/>
      <c r="HRB754" s="574"/>
      <c r="HRC754" s="574"/>
      <c r="HRD754" s="574"/>
      <c r="HRE754" s="574"/>
      <c r="HRF754" s="574"/>
      <c r="HRG754" s="574"/>
      <c r="HRH754" s="574"/>
      <c r="HRI754" s="574"/>
      <c r="HRJ754" s="574"/>
      <c r="HRK754" s="574"/>
      <c r="HRL754" s="574"/>
      <c r="HRM754" s="574"/>
      <c r="HRN754" s="574"/>
      <c r="HRO754" s="574"/>
      <c r="HRP754" s="574"/>
      <c r="HRQ754" s="574"/>
      <c r="HRR754" s="574"/>
      <c r="HRS754" s="574"/>
      <c r="HRT754" s="574"/>
      <c r="HRU754" s="574"/>
      <c r="HRV754" s="574"/>
      <c r="HRW754" s="574"/>
      <c r="HRX754" s="574"/>
      <c r="HRY754" s="574"/>
      <c r="HRZ754" s="574"/>
      <c r="HSA754" s="574"/>
      <c r="HSB754" s="574"/>
      <c r="HSC754" s="574"/>
      <c r="HSD754" s="574"/>
      <c r="HSE754" s="574"/>
      <c r="HSF754" s="574"/>
      <c r="HSG754" s="574"/>
      <c r="HSH754" s="574"/>
      <c r="HSI754" s="574"/>
      <c r="HSJ754" s="574"/>
      <c r="HSK754" s="574"/>
      <c r="HSL754" s="574"/>
      <c r="HSM754" s="574"/>
      <c r="HSN754" s="574"/>
      <c r="HSO754" s="574"/>
      <c r="HSP754" s="574"/>
      <c r="HSQ754" s="574"/>
      <c r="HSR754" s="574"/>
      <c r="HSS754" s="574"/>
      <c r="HST754" s="574"/>
      <c r="HSU754" s="574"/>
      <c r="HSV754" s="574"/>
      <c r="HSW754" s="574"/>
      <c r="HSX754" s="574"/>
      <c r="HSY754" s="574"/>
      <c r="HSZ754" s="574"/>
      <c r="HTA754" s="574"/>
      <c r="HTB754" s="574"/>
      <c r="HTC754" s="574"/>
      <c r="HTD754" s="574"/>
      <c r="HTE754" s="574"/>
      <c r="HTF754" s="574"/>
      <c r="HTG754" s="574"/>
      <c r="HTH754" s="574"/>
      <c r="HTI754" s="574"/>
      <c r="HTJ754" s="574"/>
      <c r="HTK754" s="574"/>
      <c r="HTL754" s="574"/>
      <c r="HTM754" s="574"/>
      <c r="HTN754" s="574"/>
      <c r="HTO754" s="574"/>
      <c r="HTP754" s="574"/>
      <c r="HTQ754" s="574"/>
      <c r="HTR754" s="574"/>
      <c r="HTS754" s="574"/>
      <c r="HTT754" s="574"/>
      <c r="HTU754" s="574"/>
      <c r="HTV754" s="574"/>
      <c r="HTW754" s="574"/>
      <c r="HTX754" s="574"/>
      <c r="HTY754" s="574"/>
      <c r="HTZ754" s="574"/>
      <c r="HUA754" s="574"/>
      <c r="HUB754" s="574"/>
      <c r="HUC754" s="574"/>
      <c r="HUD754" s="574"/>
      <c r="HUE754" s="574"/>
      <c r="HUF754" s="574"/>
      <c r="HUG754" s="574"/>
      <c r="HUH754" s="574"/>
      <c r="HUI754" s="574"/>
      <c r="HUJ754" s="574"/>
      <c r="HUK754" s="574"/>
      <c r="HUL754" s="574"/>
      <c r="HUM754" s="574"/>
      <c r="HUN754" s="574"/>
      <c r="HUO754" s="574"/>
      <c r="HUP754" s="574"/>
      <c r="HUQ754" s="574"/>
      <c r="HUR754" s="574"/>
      <c r="HUS754" s="574"/>
      <c r="HUT754" s="574"/>
      <c r="HUU754" s="574"/>
      <c r="HUV754" s="574"/>
      <c r="HUW754" s="574"/>
      <c r="HUX754" s="574"/>
      <c r="HUY754" s="574"/>
      <c r="HUZ754" s="574"/>
      <c r="HVA754" s="574"/>
      <c r="HVB754" s="574"/>
      <c r="HVC754" s="574"/>
      <c r="HVD754" s="574"/>
      <c r="HVE754" s="574"/>
      <c r="HVF754" s="574"/>
      <c r="HVG754" s="574"/>
      <c r="HVH754" s="574"/>
      <c r="HVI754" s="574"/>
      <c r="HVJ754" s="574"/>
      <c r="HVK754" s="574"/>
      <c r="HVL754" s="574"/>
      <c r="HVM754" s="574"/>
      <c r="HVN754" s="574"/>
      <c r="HVO754" s="574"/>
      <c r="HVP754" s="574"/>
      <c r="HVQ754" s="574"/>
      <c r="HVR754" s="574"/>
      <c r="HVS754" s="574"/>
      <c r="HVT754" s="574"/>
      <c r="HVU754" s="574"/>
      <c r="HVV754" s="574"/>
      <c r="HVW754" s="574"/>
      <c r="HVX754" s="574"/>
      <c r="HVY754" s="574"/>
      <c r="HVZ754" s="574"/>
      <c r="HWA754" s="574"/>
      <c r="HWB754" s="574"/>
      <c r="HWC754" s="574"/>
      <c r="HWD754" s="574"/>
      <c r="HWE754" s="574"/>
      <c r="HWF754" s="574"/>
      <c r="HWG754" s="574"/>
      <c r="HWH754" s="574"/>
      <c r="HWI754" s="574"/>
      <c r="HWJ754" s="574"/>
      <c r="HWK754" s="574"/>
      <c r="HWL754" s="574"/>
      <c r="HWM754" s="574"/>
      <c r="HWN754" s="574"/>
      <c r="HWO754" s="574"/>
      <c r="HWP754" s="574"/>
      <c r="HWQ754" s="574"/>
      <c r="HWR754" s="574"/>
      <c r="HWS754" s="574"/>
      <c r="HWT754" s="574"/>
      <c r="HWU754" s="574"/>
      <c r="HWV754" s="574"/>
      <c r="HWW754" s="574"/>
      <c r="HWX754" s="574"/>
      <c r="HWY754" s="574"/>
      <c r="HWZ754" s="574"/>
      <c r="HXA754" s="574"/>
      <c r="HXB754" s="574"/>
      <c r="HXC754" s="574"/>
      <c r="HXD754" s="574"/>
      <c r="HXE754" s="574"/>
      <c r="HXF754" s="574"/>
      <c r="HXG754" s="574"/>
      <c r="HXH754" s="574"/>
      <c r="HXI754" s="574"/>
      <c r="HXJ754" s="574"/>
      <c r="HXK754" s="574"/>
      <c r="HXL754" s="574"/>
      <c r="HXM754" s="574"/>
      <c r="HXN754" s="574"/>
      <c r="HXO754" s="574"/>
      <c r="HXP754" s="574"/>
      <c r="HXQ754" s="574"/>
      <c r="HXR754" s="574"/>
      <c r="HXS754" s="574"/>
      <c r="HXT754" s="574"/>
      <c r="HXU754" s="574"/>
      <c r="HXV754" s="574"/>
      <c r="HXW754" s="574"/>
      <c r="HXX754" s="574"/>
      <c r="HXY754" s="574"/>
      <c r="HXZ754" s="574"/>
      <c r="HYA754" s="574"/>
      <c r="HYB754" s="574"/>
      <c r="HYC754" s="574"/>
      <c r="HYD754" s="574"/>
      <c r="HYE754" s="574"/>
      <c r="HYF754" s="574"/>
      <c r="HYG754" s="574"/>
      <c r="HYH754" s="574"/>
      <c r="HYI754" s="574"/>
      <c r="HYJ754" s="574"/>
      <c r="HYK754" s="574"/>
      <c r="HYL754" s="574"/>
      <c r="HYM754" s="574"/>
      <c r="HYN754" s="574"/>
      <c r="HYO754" s="574"/>
      <c r="HYP754" s="574"/>
      <c r="HYQ754" s="574"/>
      <c r="HYR754" s="574"/>
      <c r="HYS754" s="574"/>
      <c r="HYT754" s="574"/>
      <c r="HYU754" s="574"/>
      <c r="HYV754" s="574"/>
      <c r="HYW754" s="574"/>
      <c r="HYX754" s="574"/>
      <c r="HYY754" s="574"/>
      <c r="HYZ754" s="574"/>
      <c r="HZA754" s="574"/>
      <c r="HZB754" s="574"/>
      <c r="HZC754" s="574"/>
      <c r="HZD754" s="574"/>
      <c r="HZE754" s="574"/>
      <c r="HZF754" s="574"/>
      <c r="HZG754" s="574"/>
      <c r="HZH754" s="574"/>
      <c r="HZI754" s="574"/>
      <c r="HZJ754" s="574"/>
      <c r="HZK754" s="574"/>
      <c r="HZL754" s="574"/>
      <c r="HZM754" s="574"/>
      <c r="HZN754" s="574"/>
      <c r="HZO754" s="574"/>
      <c r="HZP754" s="574"/>
      <c r="HZQ754" s="574"/>
      <c r="HZR754" s="574"/>
      <c r="HZS754" s="574"/>
      <c r="HZT754" s="574"/>
      <c r="HZU754" s="574"/>
      <c r="HZV754" s="574"/>
      <c r="HZW754" s="574"/>
      <c r="HZX754" s="574"/>
      <c r="HZY754" s="574"/>
      <c r="HZZ754" s="574"/>
      <c r="IAA754" s="574"/>
      <c r="IAB754" s="574"/>
      <c r="IAC754" s="574"/>
      <c r="IAD754" s="574"/>
      <c r="IAE754" s="574"/>
      <c r="IAF754" s="574"/>
      <c r="IAG754" s="574"/>
      <c r="IAH754" s="574"/>
      <c r="IAI754" s="574"/>
      <c r="IAJ754" s="574"/>
      <c r="IAK754" s="574"/>
      <c r="IAL754" s="574"/>
      <c r="IAM754" s="574"/>
      <c r="IAN754" s="574"/>
      <c r="IAO754" s="574"/>
      <c r="IAP754" s="574"/>
      <c r="IAQ754" s="574"/>
      <c r="IAR754" s="574"/>
      <c r="IAS754" s="574"/>
      <c r="IAT754" s="574"/>
      <c r="IAU754" s="574"/>
      <c r="IAV754" s="574"/>
      <c r="IAW754" s="574"/>
      <c r="IAX754" s="574"/>
      <c r="IAY754" s="574"/>
      <c r="IAZ754" s="574"/>
      <c r="IBA754" s="574"/>
      <c r="IBB754" s="574"/>
      <c r="IBC754" s="574"/>
      <c r="IBD754" s="574"/>
      <c r="IBE754" s="574"/>
      <c r="IBF754" s="574"/>
      <c r="IBG754" s="574"/>
      <c r="IBH754" s="574"/>
      <c r="IBI754" s="574"/>
      <c r="IBJ754" s="574"/>
      <c r="IBK754" s="574"/>
      <c r="IBL754" s="574"/>
      <c r="IBM754" s="574"/>
      <c r="IBN754" s="574"/>
      <c r="IBO754" s="574"/>
      <c r="IBP754" s="574"/>
      <c r="IBQ754" s="574"/>
      <c r="IBR754" s="574"/>
      <c r="IBS754" s="574"/>
      <c r="IBT754" s="574"/>
      <c r="IBU754" s="574"/>
      <c r="IBV754" s="574"/>
      <c r="IBW754" s="574"/>
      <c r="IBX754" s="574"/>
      <c r="IBY754" s="574"/>
      <c r="IBZ754" s="574"/>
      <c r="ICA754" s="574"/>
      <c r="ICB754" s="574"/>
      <c r="ICC754" s="574"/>
      <c r="ICD754" s="574"/>
      <c r="ICE754" s="574"/>
      <c r="ICF754" s="574"/>
      <c r="ICG754" s="574"/>
      <c r="ICH754" s="574"/>
      <c r="ICI754" s="574"/>
      <c r="ICJ754" s="574"/>
      <c r="ICK754" s="574"/>
      <c r="ICL754" s="574"/>
      <c r="ICM754" s="574"/>
      <c r="ICN754" s="574"/>
      <c r="ICO754" s="574"/>
      <c r="ICP754" s="574"/>
      <c r="ICQ754" s="574"/>
      <c r="ICR754" s="574"/>
      <c r="ICS754" s="574"/>
      <c r="ICT754" s="574"/>
      <c r="ICU754" s="574"/>
      <c r="ICV754" s="574"/>
      <c r="ICW754" s="574"/>
      <c r="ICX754" s="574"/>
      <c r="ICY754" s="574"/>
      <c r="ICZ754" s="574"/>
      <c r="IDA754" s="574"/>
      <c r="IDB754" s="574"/>
      <c r="IDC754" s="574"/>
      <c r="IDD754" s="574"/>
      <c r="IDE754" s="574"/>
      <c r="IDF754" s="574"/>
      <c r="IDG754" s="574"/>
      <c r="IDH754" s="574"/>
      <c r="IDI754" s="574"/>
      <c r="IDJ754" s="574"/>
      <c r="IDK754" s="574"/>
      <c r="IDL754" s="574"/>
      <c r="IDM754" s="574"/>
      <c r="IDN754" s="574"/>
      <c r="IDO754" s="574"/>
      <c r="IDP754" s="574"/>
      <c r="IDQ754" s="574"/>
      <c r="IDR754" s="574"/>
      <c r="IDS754" s="574"/>
      <c r="IDT754" s="574"/>
      <c r="IDU754" s="574"/>
      <c r="IDV754" s="574"/>
      <c r="IDW754" s="574"/>
      <c r="IDX754" s="574"/>
      <c r="IDY754" s="574"/>
      <c r="IDZ754" s="574"/>
      <c r="IEA754" s="574"/>
      <c r="IEB754" s="574"/>
      <c r="IEC754" s="574"/>
      <c r="IED754" s="574"/>
      <c r="IEE754" s="574"/>
      <c r="IEF754" s="574"/>
      <c r="IEG754" s="574"/>
      <c r="IEH754" s="574"/>
      <c r="IEI754" s="574"/>
      <c r="IEJ754" s="574"/>
      <c r="IEK754" s="574"/>
      <c r="IEL754" s="574"/>
      <c r="IEM754" s="574"/>
      <c r="IEN754" s="574"/>
      <c r="IEO754" s="574"/>
      <c r="IEP754" s="574"/>
      <c r="IEQ754" s="574"/>
      <c r="IER754" s="574"/>
      <c r="IES754" s="574"/>
      <c r="IET754" s="574"/>
      <c r="IEU754" s="574"/>
      <c r="IEV754" s="574"/>
      <c r="IEW754" s="574"/>
      <c r="IEX754" s="574"/>
      <c r="IEY754" s="574"/>
      <c r="IEZ754" s="574"/>
      <c r="IFA754" s="574"/>
      <c r="IFB754" s="574"/>
      <c r="IFC754" s="574"/>
      <c r="IFD754" s="574"/>
      <c r="IFE754" s="574"/>
      <c r="IFF754" s="574"/>
      <c r="IFG754" s="574"/>
      <c r="IFH754" s="574"/>
      <c r="IFI754" s="574"/>
      <c r="IFJ754" s="574"/>
      <c r="IFK754" s="574"/>
      <c r="IFL754" s="574"/>
      <c r="IFM754" s="574"/>
      <c r="IFN754" s="574"/>
      <c r="IFO754" s="574"/>
      <c r="IFP754" s="574"/>
      <c r="IFQ754" s="574"/>
      <c r="IFR754" s="574"/>
      <c r="IFS754" s="574"/>
      <c r="IFT754" s="574"/>
      <c r="IFU754" s="574"/>
      <c r="IFV754" s="574"/>
      <c r="IFW754" s="574"/>
      <c r="IFX754" s="574"/>
      <c r="IFY754" s="574"/>
      <c r="IFZ754" s="574"/>
      <c r="IGA754" s="574"/>
      <c r="IGB754" s="574"/>
      <c r="IGC754" s="574"/>
      <c r="IGD754" s="574"/>
      <c r="IGE754" s="574"/>
      <c r="IGF754" s="574"/>
      <c r="IGG754" s="574"/>
      <c r="IGH754" s="574"/>
      <c r="IGI754" s="574"/>
      <c r="IGJ754" s="574"/>
      <c r="IGK754" s="574"/>
      <c r="IGL754" s="574"/>
      <c r="IGM754" s="574"/>
      <c r="IGN754" s="574"/>
      <c r="IGO754" s="574"/>
      <c r="IGP754" s="574"/>
      <c r="IGQ754" s="574"/>
      <c r="IGR754" s="574"/>
      <c r="IGS754" s="574"/>
      <c r="IGT754" s="574"/>
      <c r="IGU754" s="574"/>
      <c r="IGV754" s="574"/>
      <c r="IGW754" s="574"/>
      <c r="IGX754" s="574"/>
      <c r="IGY754" s="574"/>
      <c r="IGZ754" s="574"/>
      <c r="IHA754" s="574"/>
      <c r="IHB754" s="574"/>
      <c r="IHC754" s="574"/>
      <c r="IHD754" s="574"/>
      <c r="IHE754" s="574"/>
      <c r="IHF754" s="574"/>
      <c r="IHG754" s="574"/>
      <c r="IHH754" s="574"/>
      <c r="IHI754" s="574"/>
      <c r="IHJ754" s="574"/>
      <c r="IHK754" s="574"/>
      <c r="IHL754" s="574"/>
      <c r="IHM754" s="574"/>
      <c r="IHN754" s="574"/>
      <c r="IHO754" s="574"/>
      <c r="IHP754" s="574"/>
      <c r="IHQ754" s="574"/>
      <c r="IHR754" s="574"/>
      <c r="IHS754" s="574"/>
      <c r="IHT754" s="574"/>
      <c r="IHU754" s="574"/>
      <c r="IHV754" s="574"/>
      <c r="IHW754" s="574"/>
      <c r="IHX754" s="574"/>
      <c r="IHY754" s="574"/>
      <c r="IHZ754" s="574"/>
      <c r="IIA754" s="574"/>
      <c r="IIB754" s="574"/>
      <c r="IIC754" s="574"/>
      <c r="IID754" s="574"/>
      <c r="IIE754" s="574"/>
      <c r="IIF754" s="574"/>
      <c r="IIG754" s="574"/>
      <c r="IIH754" s="574"/>
      <c r="III754" s="574"/>
      <c r="IIJ754" s="574"/>
      <c r="IIK754" s="574"/>
      <c r="IIL754" s="574"/>
      <c r="IIM754" s="574"/>
      <c r="IIN754" s="574"/>
      <c r="IIO754" s="574"/>
      <c r="IIP754" s="574"/>
      <c r="IIQ754" s="574"/>
      <c r="IIR754" s="574"/>
      <c r="IIS754" s="574"/>
      <c r="IIT754" s="574"/>
      <c r="IIU754" s="574"/>
      <c r="IIV754" s="574"/>
      <c r="IIW754" s="574"/>
      <c r="IIX754" s="574"/>
      <c r="IIY754" s="574"/>
      <c r="IIZ754" s="574"/>
      <c r="IJA754" s="574"/>
      <c r="IJB754" s="574"/>
      <c r="IJC754" s="574"/>
      <c r="IJD754" s="574"/>
      <c r="IJE754" s="574"/>
      <c r="IJF754" s="574"/>
      <c r="IJG754" s="574"/>
      <c r="IJH754" s="574"/>
      <c r="IJI754" s="574"/>
      <c r="IJJ754" s="574"/>
      <c r="IJK754" s="574"/>
      <c r="IJL754" s="574"/>
      <c r="IJM754" s="574"/>
      <c r="IJN754" s="574"/>
      <c r="IJO754" s="574"/>
      <c r="IJP754" s="574"/>
      <c r="IJQ754" s="574"/>
      <c r="IJR754" s="574"/>
      <c r="IJS754" s="574"/>
      <c r="IJT754" s="574"/>
      <c r="IJU754" s="574"/>
      <c r="IJV754" s="574"/>
      <c r="IJW754" s="574"/>
      <c r="IJX754" s="574"/>
      <c r="IJY754" s="574"/>
      <c r="IJZ754" s="574"/>
      <c r="IKA754" s="574"/>
      <c r="IKB754" s="574"/>
      <c r="IKC754" s="574"/>
      <c r="IKD754" s="574"/>
      <c r="IKE754" s="574"/>
      <c r="IKF754" s="574"/>
      <c r="IKG754" s="574"/>
      <c r="IKH754" s="574"/>
      <c r="IKI754" s="574"/>
      <c r="IKJ754" s="574"/>
      <c r="IKK754" s="574"/>
      <c r="IKL754" s="574"/>
      <c r="IKM754" s="574"/>
      <c r="IKN754" s="574"/>
      <c r="IKO754" s="574"/>
      <c r="IKP754" s="574"/>
      <c r="IKQ754" s="574"/>
      <c r="IKR754" s="574"/>
      <c r="IKS754" s="574"/>
      <c r="IKT754" s="574"/>
      <c r="IKU754" s="574"/>
      <c r="IKV754" s="574"/>
      <c r="IKW754" s="574"/>
      <c r="IKX754" s="574"/>
      <c r="IKY754" s="574"/>
      <c r="IKZ754" s="574"/>
      <c r="ILA754" s="574"/>
      <c r="ILB754" s="574"/>
      <c r="ILC754" s="574"/>
      <c r="ILD754" s="574"/>
      <c r="ILE754" s="574"/>
      <c r="ILF754" s="574"/>
      <c r="ILG754" s="574"/>
      <c r="ILH754" s="574"/>
      <c r="ILI754" s="574"/>
      <c r="ILJ754" s="574"/>
      <c r="ILK754" s="574"/>
      <c r="ILL754" s="574"/>
      <c r="ILM754" s="574"/>
      <c r="ILN754" s="574"/>
      <c r="ILO754" s="574"/>
      <c r="ILP754" s="574"/>
      <c r="ILQ754" s="574"/>
      <c r="ILR754" s="574"/>
      <c r="ILS754" s="574"/>
      <c r="ILT754" s="574"/>
      <c r="ILU754" s="574"/>
      <c r="ILV754" s="574"/>
      <c r="ILW754" s="574"/>
      <c r="ILX754" s="574"/>
      <c r="ILY754" s="574"/>
      <c r="ILZ754" s="574"/>
      <c r="IMA754" s="574"/>
      <c r="IMB754" s="574"/>
      <c r="IMC754" s="574"/>
      <c r="IMD754" s="574"/>
      <c r="IME754" s="574"/>
      <c r="IMF754" s="574"/>
      <c r="IMG754" s="574"/>
      <c r="IMH754" s="574"/>
      <c r="IMI754" s="574"/>
      <c r="IMJ754" s="574"/>
      <c r="IMK754" s="574"/>
      <c r="IML754" s="574"/>
      <c r="IMM754" s="574"/>
      <c r="IMN754" s="574"/>
      <c r="IMO754" s="574"/>
      <c r="IMP754" s="574"/>
      <c r="IMQ754" s="574"/>
      <c r="IMR754" s="574"/>
      <c r="IMS754" s="574"/>
      <c r="IMT754" s="574"/>
      <c r="IMU754" s="574"/>
      <c r="IMV754" s="574"/>
      <c r="IMW754" s="574"/>
      <c r="IMX754" s="574"/>
      <c r="IMY754" s="574"/>
      <c r="IMZ754" s="574"/>
      <c r="INA754" s="574"/>
      <c r="INB754" s="574"/>
      <c r="INC754" s="574"/>
      <c r="IND754" s="574"/>
      <c r="INE754" s="574"/>
      <c r="INF754" s="574"/>
      <c r="ING754" s="574"/>
      <c r="INH754" s="574"/>
      <c r="INI754" s="574"/>
      <c r="INJ754" s="574"/>
      <c r="INK754" s="574"/>
      <c r="INL754" s="574"/>
      <c r="INM754" s="574"/>
      <c r="INN754" s="574"/>
      <c r="INO754" s="574"/>
      <c r="INP754" s="574"/>
      <c r="INQ754" s="574"/>
      <c r="INR754" s="574"/>
      <c r="INS754" s="574"/>
      <c r="INT754" s="574"/>
      <c r="INU754" s="574"/>
      <c r="INV754" s="574"/>
      <c r="INW754" s="574"/>
      <c r="INX754" s="574"/>
      <c r="INY754" s="574"/>
      <c r="INZ754" s="574"/>
      <c r="IOA754" s="574"/>
      <c r="IOB754" s="574"/>
      <c r="IOC754" s="574"/>
      <c r="IOD754" s="574"/>
      <c r="IOE754" s="574"/>
      <c r="IOF754" s="574"/>
      <c r="IOG754" s="574"/>
      <c r="IOH754" s="574"/>
      <c r="IOI754" s="574"/>
      <c r="IOJ754" s="574"/>
      <c r="IOK754" s="574"/>
      <c r="IOL754" s="574"/>
      <c r="IOM754" s="574"/>
      <c r="ION754" s="574"/>
      <c r="IOO754" s="574"/>
      <c r="IOP754" s="574"/>
      <c r="IOQ754" s="574"/>
      <c r="IOR754" s="574"/>
      <c r="IOS754" s="574"/>
      <c r="IOT754" s="574"/>
      <c r="IOU754" s="574"/>
      <c r="IOV754" s="574"/>
      <c r="IOW754" s="574"/>
      <c r="IOX754" s="574"/>
      <c r="IOY754" s="574"/>
      <c r="IOZ754" s="574"/>
      <c r="IPA754" s="574"/>
      <c r="IPB754" s="574"/>
      <c r="IPC754" s="574"/>
      <c r="IPD754" s="574"/>
      <c r="IPE754" s="574"/>
      <c r="IPF754" s="574"/>
      <c r="IPG754" s="574"/>
      <c r="IPH754" s="574"/>
      <c r="IPI754" s="574"/>
      <c r="IPJ754" s="574"/>
      <c r="IPK754" s="574"/>
      <c r="IPL754" s="574"/>
      <c r="IPM754" s="574"/>
      <c r="IPN754" s="574"/>
      <c r="IPO754" s="574"/>
      <c r="IPP754" s="574"/>
      <c r="IPQ754" s="574"/>
      <c r="IPR754" s="574"/>
      <c r="IPS754" s="574"/>
      <c r="IPT754" s="574"/>
      <c r="IPU754" s="574"/>
      <c r="IPV754" s="574"/>
      <c r="IPW754" s="574"/>
      <c r="IPX754" s="574"/>
      <c r="IPY754" s="574"/>
      <c r="IPZ754" s="574"/>
      <c r="IQA754" s="574"/>
      <c r="IQB754" s="574"/>
      <c r="IQC754" s="574"/>
      <c r="IQD754" s="574"/>
      <c r="IQE754" s="574"/>
      <c r="IQF754" s="574"/>
      <c r="IQG754" s="574"/>
      <c r="IQH754" s="574"/>
      <c r="IQI754" s="574"/>
      <c r="IQJ754" s="574"/>
      <c r="IQK754" s="574"/>
      <c r="IQL754" s="574"/>
      <c r="IQM754" s="574"/>
      <c r="IQN754" s="574"/>
      <c r="IQO754" s="574"/>
      <c r="IQP754" s="574"/>
      <c r="IQQ754" s="574"/>
      <c r="IQR754" s="574"/>
      <c r="IQS754" s="574"/>
      <c r="IQT754" s="574"/>
      <c r="IQU754" s="574"/>
      <c r="IQV754" s="574"/>
      <c r="IQW754" s="574"/>
      <c r="IQX754" s="574"/>
      <c r="IQY754" s="574"/>
      <c r="IQZ754" s="574"/>
      <c r="IRA754" s="574"/>
      <c r="IRB754" s="574"/>
      <c r="IRC754" s="574"/>
      <c r="IRD754" s="574"/>
      <c r="IRE754" s="574"/>
      <c r="IRF754" s="574"/>
      <c r="IRG754" s="574"/>
      <c r="IRH754" s="574"/>
      <c r="IRI754" s="574"/>
      <c r="IRJ754" s="574"/>
      <c r="IRK754" s="574"/>
      <c r="IRL754" s="574"/>
      <c r="IRM754" s="574"/>
      <c r="IRN754" s="574"/>
      <c r="IRO754" s="574"/>
      <c r="IRP754" s="574"/>
      <c r="IRQ754" s="574"/>
      <c r="IRR754" s="574"/>
      <c r="IRS754" s="574"/>
      <c r="IRT754" s="574"/>
      <c r="IRU754" s="574"/>
      <c r="IRV754" s="574"/>
      <c r="IRW754" s="574"/>
      <c r="IRX754" s="574"/>
      <c r="IRY754" s="574"/>
      <c r="IRZ754" s="574"/>
      <c r="ISA754" s="574"/>
      <c r="ISB754" s="574"/>
      <c r="ISC754" s="574"/>
      <c r="ISD754" s="574"/>
      <c r="ISE754" s="574"/>
      <c r="ISF754" s="574"/>
      <c r="ISG754" s="574"/>
      <c r="ISH754" s="574"/>
      <c r="ISI754" s="574"/>
      <c r="ISJ754" s="574"/>
      <c r="ISK754" s="574"/>
      <c r="ISL754" s="574"/>
      <c r="ISM754" s="574"/>
      <c r="ISN754" s="574"/>
      <c r="ISO754" s="574"/>
      <c r="ISP754" s="574"/>
      <c r="ISQ754" s="574"/>
      <c r="ISR754" s="574"/>
      <c r="ISS754" s="574"/>
      <c r="IST754" s="574"/>
      <c r="ISU754" s="574"/>
      <c r="ISV754" s="574"/>
      <c r="ISW754" s="574"/>
      <c r="ISX754" s="574"/>
      <c r="ISY754" s="574"/>
      <c r="ISZ754" s="574"/>
      <c r="ITA754" s="574"/>
      <c r="ITB754" s="574"/>
      <c r="ITC754" s="574"/>
      <c r="ITD754" s="574"/>
      <c r="ITE754" s="574"/>
      <c r="ITF754" s="574"/>
      <c r="ITG754" s="574"/>
      <c r="ITH754" s="574"/>
      <c r="ITI754" s="574"/>
      <c r="ITJ754" s="574"/>
      <c r="ITK754" s="574"/>
      <c r="ITL754" s="574"/>
      <c r="ITM754" s="574"/>
      <c r="ITN754" s="574"/>
      <c r="ITO754" s="574"/>
      <c r="ITP754" s="574"/>
      <c r="ITQ754" s="574"/>
      <c r="ITR754" s="574"/>
      <c r="ITS754" s="574"/>
      <c r="ITT754" s="574"/>
      <c r="ITU754" s="574"/>
      <c r="ITV754" s="574"/>
      <c r="ITW754" s="574"/>
      <c r="ITX754" s="574"/>
      <c r="ITY754" s="574"/>
      <c r="ITZ754" s="574"/>
      <c r="IUA754" s="574"/>
      <c r="IUB754" s="574"/>
      <c r="IUC754" s="574"/>
      <c r="IUD754" s="574"/>
      <c r="IUE754" s="574"/>
      <c r="IUF754" s="574"/>
      <c r="IUG754" s="574"/>
      <c r="IUH754" s="574"/>
      <c r="IUI754" s="574"/>
      <c r="IUJ754" s="574"/>
      <c r="IUK754" s="574"/>
      <c r="IUL754" s="574"/>
      <c r="IUM754" s="574"/>
      <c r="IUN754" s="574"/>
      <c r="IUO754" s="574"/>
      <c r="IUP754" s="574"/>
      <c r="IUQ754" s="574"/>
      <c r="IUR754" s="574"/>
      <c r="IUS754" s="574"/>
      <c r="IUT754" s="574"/>
      <c r="IUU754" s="574"/>
      <c r="IUV754" s="574"/>
      <c r="IUW754" s="574"/>
      <c r="IUX754" s="574"/>
      <c r="IUY754" s="574"/>
      <c r="IUZ754" s="574"/>
      <c r="IVA754" s="574"/>
      <c r="IVB754" s="574"/>
      <c r="IVC754" s="574"/>
      <c r="IVD754" s="574"/>
      <c r="IVE754" s="574"/>
      <c r="IVF754" s="574"/>
      <c r="IVG754" s="574"/>
      <c r="IVH754" s="574"/>
      <c r="IVI754" s="574"/>
      <c r="IVJ754" s="574"/>
      <c r="IVK754" s="574"/>
      <c r="IVL754" s="574"/>
      <c r="IVM754" s="574"/>
      <c r="IVN754" s="574"/>
      <c r="IVO754" s="574"/>
      <c r="IVP754" s="574"/>
      <c r="IVQ754" s="574"/>
      <c r="IVR754" s="574"/>
      <c r="IVS754" s="574"/>
      <c r="IVT754" s="574"/>
      <c r="IVU754" s="574"/>
      <c r="IVV754" s="574"/>
      <c r="IVW754" s="574"/>
      <c r="IVX754" s="574"/>
      <c r="IVY754" s="574"/>
      <c r="IVZ754" s="574"/>
      <c r="IWA754" s="574"/>
      <c r="IWB754" s="574"/>
      <c r="IWC754" s="574"/>
      <c r="IWD754" s="574"/>
      <c r="IWE754" s="574"/>
      <c r="IWF754" s="574"/>
      <c r="IWG754" s="574"/>
      <c r="IWH754" s="574"/>
      <c r="IWI754" s="574"/>
      <c r="IWJ754" s="574"/>
      <c r="IWK754" s="574"/>
      <c r="IWL754" s="574"/>
      <c r="IWM754" s="574"/>
      <c r="IWN754" s="574"/>
      <c r="IWO754" s="574"/>
      <c r="IWP754" s="574"/>
      <c r="IWQ754" s="574"/>
      <c r="IWR754" s="574"/>
      <c r="IWS754" s="574"/>
      <c r="IWT754" s="574"/>
      <c r="IWU754" s="574"/>
      <c r="IWV754" s="574"/>
      <c r="IWW754" s="574"/>
      <c r="IWX754" s="574"/>
      <c r="IWY754" s="574"/>
      <c r="IWZ754" s="574"/>
      <c r="IXA754" s="574"/>
      <c r="IXB754" s="574"/>
      <c r="IXC754" s="574"/>
      <c r="IXD754" s="574"/>
      <c r="IXE754" s="574"/>
      <c r="IXF754" s="574"/>
      <c r="IXG754" s="574"/>
      <c r="IXH754" s="574"/>
      <c r="IXI754" s="574"/>
      <c r="IXJ754" s="574"/>
      <c r="IXK754" s="574"/>
      <c r="IXL754" s="574"/>
      <c r="IXM754" s="574"/>
      <c r="IXN754" s="574"/>
      <c r="IXO754" s="574"/>
      <c r="IXP754" s="574"/>
      <c r="IXQ754" s="574"/>
      <c r="IXR754" s="574"/>
      <c r="IXS754" s="574"/>
      <c r="IXT754" s="574"/>
      <c r="IXU754" s="574"/>
      <c r="IXV754" s="574"/>
      <c r="IXW754" s="574"/>
      <c r="IXX754" s="574"/>
      <c r="IXY754" s="574"/>
      <c r="IXZ754" s="574"/>
      <c r="IYA754" s="574"/>
      <c r="IYB754" s="574"/>
      <c r="IYC754" s="574"/>
      <c r="IYD754" s="574"/>
      <c r="IYE754" s="574"/>
      <c r="IYF754" s="574"/>
      <c r="IYG754" s="574"/>
      <c r="IYH754" s="574"/>
      <c r="IYI754" s="574"/>
      <c r="IYJ754" s="574"/>
      <c r="IYK754" s="574"/>
      <c r="IYL754" s="574"/>
      <c r="IYM754" s="574"/>
      <c r="IYN754" s="574"/>
      <c r="IYO754" s="574"/>
      <c r="IYP754" s="574"/>
      <c r="IYQ754" s="574"/>
      <c r="IYR754" s="574"/>
      <c r="IYS754" s="574"/>
      <c r="IYT754" s="574"/>
      <c r="IYU754" s="574"/>
      <c r="IYV754" s="574"/>
      <c r="IYW754" s="574"/>
      <c r="IYX754" s="574"/>
      <c r="IYY754" s="574"/>
      <c r="IYZ754" s="574"/>
      <c r="IZA754" s="574"/>
      <c r="IZB754" s="574"/>
      <c r="IZC754" s="574"/>
      <c r="IZD754" s="574"/>
      <c r="IZE754" s="574"/>
      <c r="IZF754" s="574"/>
      <c r="IZG754" s="574"/>
      <c r="IZH754" s="574"/>
      <c r="IZI754" s="574"/>
      <c r="IZJ754" s="574"/>
      <c r="IZK754" s="574"/>
      <c r="IZL754" s="574"/>
      <c r="IZM754" s="574"/>
      <c r="IZN754" s="574"/>
      <c r="IZO754" s="574"/>
      <c r="IZP754" s="574"/>
      <c r="IZQ754" s="574"/>
      <c r="IZR754" s="574"/>
      <c r="IZS754" s="574"/>
      <c r="IZT754" s="574"/>
      <c r="IZU754" s="574"/>
      <c r="IZV754" s="574"/>
      <c r="IZW754" s="574"/>
      <c r="IZX754" s="574"/>
      <c r="IZY754" s="574"/>
      <c r="IZZ754" s="574"/>
      <c r="JAA754" s="574"/>
      <c r="JAB754" s="574"/>
      <c r="JAC754" s="574"/>
      <c r="JAD754" s="574"/>
      <c r="JAE754" s="574"/>
      <c r="JAF754" s="574"/>
      <c r="JAG754" s="574"/>
      <c r="JAH754" s="574"/>
      <c r="JAI754" s="574"/>
      <c r="JAJ754" s="574"/>
      <c r="JAK754" s="574"/>
      <c r="JAL754" s="574"/>
      <c r="JAM754" s="574"/>
      <c r="JAN754" s="574"/>
      <c r="JAO754" s="574"/>
      <c r="JAP754" s="574"/>
      <c r="JAQ754" s="574"/>
      <c r="JAR754" s="574"/>
      <c r="JAS754" s="574"/>
      <c r="JAT754" s="574"/>
      <c r="JAU754" s="574"/>
      <c r="JAV754" s="574"/>
      <c r="JAW754" s="574"/>
      <c r="JAX754" s="574"/>
      <c r="JAY754" s="574"/>
      <c r="JAZ754" s="574"/>
      <c r="JBA754" s="574"/>
      <c r="JBB754" s="574"/>
      <c r="JBC754" s="574"/>
      <c r="JBD754" s="574"/>
      <c r="JBE754" s="574"/>
      <c r="JBF754" s="574"/>
      <c r="JBG754" s="574"/>
      <c r="JBH754" s="574"/>
      <c r="JBI754" s="574"/>
      <c r="JBJ754" s="574"/>
      <c r="JBK754" s="574"/>
      <c r="JBL754" s="574"/>
      <c r="JBM754" s="574"/>
      <c r="JBN754" s="574"/>
      <c r="JBO754" s="574"/>
      <c r="JBP754" s="574"/>
      <c r="JBQ754" s="574"/>
      <c r="JBR754" s="574"/>
      <c r="JBS754" s="574"/>
      <c r="JBT754" s="574"/>
      <c r="JBU754" s="574"/>
      <c r="JBV754" s="574"/>
      <c r="JBW754" s="574"/>
      <c r="JBX754" s="574"/>
      <c r="JBY754" s="574"/>
      <c r="JBZ754" s="574"/>
      <c r="JCA754" s="574"/>
      <c r="JCB754" s="574"/>
      <c r="JCC754" s="574"/>
      <c r="JCD754" s="574"/>
      <c r="JCE754" s="574"/>
      <c r="JCF754" s="574"/>
      <c r="JCG754" s="574"/>
      <c r="JCH754" s="574"/>
      <c r="JCI754" s="574"/>
      <c r="JCJ754" s="574"/>
      <c r="JCK754" s="574"/>
      <c r="JCL754" s="574"/>
      <c r="JCM754" s="574"/>
      <c r="JCN754" s="574"/>
      <c r="JCO754" s="574"/>
      <c r="JCP754" s="574"/>
      <c r="JCQ754" s="574"/>
      <c r="JCR754" s="574"/>
      <c r="JCS754" s="574"/>
      <c r="JCT754" s="574"/>
      <c r="JCU754" s="574"/>
      <c r="JCV754" s="574"/>
      <c r="JCW754" s="574"/>
      <c r="JCX754" s="574"/>
      <c r="JCY754" s="574"/>
      <c r="JCZ754" s="574"/>
      <c r="JDA754" s="574"/>
      <c r="JDB754" s="574"/>
      <c r="JDC754" s="574"/>
      <c r="JDD754" s="574"/>
      <c r="JDE754" s="574"/>
      <c r="JDF754" s="574"/>
      <c r="JDG754" s="574"/>
      <c r="JDH754" s="574"/>
      <c r="JDI754" s="574"/>
      <c r="JDJ754" s="574"/>
      <c r="JDK754" s="574"/>
      <c r="JDL754" s="574"/>
      <c r="JDM754" s="574"/>
      <c r="JDN754" s="574"/>
      <c r="JDO754" s="574"/>
      <c r="JDP754" s="574"/>
      <c r="JDQ754" s="574"/>
      <c r="JDR754" s="574"/>
      <c r="JDS754" s="574"/>
      <c r="JDT754" s="574"/>
      <c r="JDU754" s="574"/>
      <c r="JDV754" s="574"/>
      <c r="JDW754" s="574"/>
      <c r="JDX754" s="574"/>
      <c r="JDY754" s="574"/>
      <c r="JDZ754" s="574"/>
      <c r="JEA754" s="574"/>
      <c r="JEB754" s="574"/>
      <c r="JEC754" s="574"/>
      <c r="JED754" s="574"/>
      <c r="JEE754" s="574"/>
      <c r="JEF754" s="574"/>
      <c r="JEG754" s="574"/>
      <c r="JEH754" s="574"/>
      <c r="JEI754" s="574"/>
      <c r="JEJ754" s="574"/>
      <c r="JEK754" s="574"/>
      <c r="JEL754" s="574"/>
      <c r="JEM754" s="574"/>
      <c r="JEN754" s="574"/>
      <c r="JEO754" s="574"/>
      <c r="JEP754" s="574"/>
      <c r="JEQ754" s="574"/>
      <c r="JER754" s="574"/>
      <c r="JES754" s="574"/>
      <c r="JET754" s="574"/>
      <c r="JEU754" s="574"/>
      <c r="JEV754" s="574"/>
      <c r="JEW754" s="574"/>
      <c r="JEX754" s="574"/>
      <c r="JEY754" s="574"/>
      <c r="JEZ754" s="574"/>
      <c r="JFA754" s="574"/>
      <c r="JFB754" s="574"/>
      <c r="JFC754" s="574"/>
      <c r="JFD754" s="574"/>
      <c r="JFE754" s="574"/>
      <c r="JFF754" s="574"/>
      <c r="JFG754" s="574"/>
      <c r="JFH754" s="574"/>
      <c r="JFI754" s="574"/>
      <c r="JFJ754" s="574"/>
      <c r="JFK754" s="574"/>
      <c r="JFL754" s="574"/>
      <c r="JFM754" s="574"/>
      <c r="JFN754" s="574"/>
      <c r="JFO754" s="574"/>
      <c r="JFP754" s="574"/>
      <c r="JFQ754" s="574"/>
      <c r="JFR754" s="574"/>
      <c r="JFS754" s="574"/>
      <c r="JFT754" s="574"/>
      <c r="JFU754" s="574"/>
      <c r="JFV754" s="574"/>
      <c r="JFW754" s="574"/>
      <c r="JFX754" s="574"/>
      <c r="JFY754" s="574"/>
      <c r="JFZ754" s="574"/>
      <c r="JGA754" s="574"/>
      <c r="JGB754" s="574"/>
      <c r="JGC754" s="574"/>
      <c r="JGD754" s="574"/>
      <c r="JGE754" s="574"/>
      <c r="JGF754" s="574"/>
      <c r="JGG754" s="574"/>
      <c r="JGH754" s="574"/>
      <c r="JGI754" s="574"/>
      <c r="JGJ754" s="574"/>
      <c r="JGK754" s="574"/>
      <c r="JGL754" s="574"/>
      <c r="JGM754" s="574"/>
      <c r="JGN754" s="574"/>
      <c r="JGO754" s="574"/>
      <c r="JGP754" s="574"/>
      <c r="JGQ754" s="574"/>
      <c r="JGR754" s="574"/>
      <c r="JGS754" s="574"/>
      <c r="JGT754" s="574"/>
      <c r="JGU754" s="574"/>
      <c r="JGV754" s="574"/>
      <c r="JGW754" s="574"/>
      <c r="JGX754" s="574"/>
      <c r="JGY754" s="574"/>
      <c r="JGZ754" s="574"/>
      <c r="JHA754" s="574"/>
      <c r="JHB754" s="574"/>
      <c r="JHC754" s="574"/>
      <c r="JHD754" s="574"/>
      <c r="JHE754" s="574"/>
      <c r="JHF754" s="574"/>
      <c r="JHG754" s="574"/>
      <c r="JHH754" s="574"/>
      <c r="JHI754" s="574"/>
      <c r="JHJ754" s="574"/>
      <c r="JHK754" s="574"/>
      <c r="JHL754" s="574"/>
      <c r="JHM754" s="574"/>
      <c r="JHN754" s="574"/>
      <c r="JHO754" s="574"/>
      <c r="JHP754" s="574"/>
      <c r="JHQ754" s="574"/>
      <c r="JHR754" s="574"/>
      <c r="JHS754" s="574"/>
      <c r="JHT754" s="574"/>
      <c r="JHU754" s="574"/>
      <c r="JHV754" s="574"/>
      <c r="JHW754" s="574"/>
      <c r="JHX754" s="574"/>
      <c r="JHY754" s="574"/>
      <c r="JHZ754" s="574"/>
      <c r="JIA754" s="574"/>
      <c r="JIB754" s="574"/>
      <c r="JIC754" s="574"/>
      <c r="JID754" s="574"/>
      <c r="JIE754" s="574"/>
      <c r="JIF754" s="574"/>
      <c r="JIG754" s="574"/>
      <c r="JIH754" s="574"/>
      <c r="JII754" s="574"/>
      <c r="JIJ754" s="574"/>
      <c r="JIK754" s="574"/>
      <c r="JIL754" s="574"/>
      <c r="JIM754" s="574"/>
      <c r="JIN754" s="574"/>
      <c r="JIO754" s="574"/>
      <c r="JIP754" s="574"/>
      <c r="JIQ754" s="574"/>
      <c r="JIR754" s="574"/>
      <c r="JIS754" s="574"/>
      <c r="JIT754" s="574"/>
      <c r="JIU754" s="574"/>
      <c r="JIV754" s="574"/>
      <c r="JIW754" s="574"/>
      <c r="JIX754" s="574"/>
      <c r="JIY754" s="574"/>
      <c r="JIZ754" s="574"/>
      <c r="JJA754" s="574"/>
      <c r="JJB754" s="574"/>
      <c r="JJC754" s="574"/>
      <c r="JJD754" s="574"/>
      <c r="JJE754" s="574"/>
      <c r="JJF754" s="574"/>
      <c r="JJG754" s="574"/>
      <c r="JJH754" s="574"/>
      <c r="JJI754" s="574"/>
      <c r="JJJ754" s="574"/>
      <c r="JJK754" s="574"/>
      <c r="JJL754" s="574"/>
      <c r="JJM754" s="574"/>
      <c r="JJN754" s="574"/>
      <c r="JJO754" s="574"/>
      <c r="JJP754" s="574"/>
      <c r="JJQ754" s="574"/>
      <c r="JJR754" s="574"/>
      <c r="JJS754" s="574"/>
      <c r="JJT754" s="574"/>
      <c r="JJU754" s="574"/>
      <c r="JJV754" s="574"/>
      <c r="JJW754" s="574"/>
      <c r="JJX754" s="574"/>
      <c r="JJY754" s="574"/>
      <c r="JJZ754" s="574"/>
      <c r="JKA754" s="574"/>
      <c r="JKB754" s="574"/>
      <c r="JKC754" s="574"/>
      <c r="JKD754" s="574"/>
      <c r="JKE754" s="574"/>
      <c r="JKF754" s="574"/>
      <c r="JKG754" s="574"/>
      <c r="JKH754" s="574"/>
      <c r="JKI754" s="574"/>
      <c r="JKJ754" s="574"/>
      <c r="JKK754" s="574"/>
      <c r="JKL754" s="574"/>
      <c r="JKM754" s="574"/>
      <c r="JKN754" s="574"/>
      <c r="JKO754" s="574"/>
      <c r="JKP754" s="574"/>
      <c r="JKQ754" s="574"/>
      <c r="JKR754" s="574"/>
      <c r="JKS754" s="574"/>
      <c r="JKT754" s="574"/>
      <c r="JKU754" s="574"/>
      <c r="JKV754" s="574"/>
      <c r="JKW754" s="574"/>
      <c r="JKX754" s="574"/>
      <c r="JKY754" s="574"/>
      <c r="JKZ754" s="574"/>
      <c r="JLA754" s="574"/>
      <c r="JLB754" s="574"/>
      <c r="JLC754" s="574"/>
      <c r="JLD754" s="574"/>
      <c r="JLE754" s="574"/>
      <c r="JLF754" s="574"/>
      <c r="JLG754" s="574"/>
      <c r="JLH754" s="574"/>
      <c r="JLI754" s="574"/>
      <c r="JLJ754" s="574"/>
      <c r="JLK754" s="574"/>
      <c r="JLL754" s="574"/>
      <c r="JLM754" s="574"/>
      <c r="JLN754" s="574"/>
      <c r="JLO754" s="574"/>
      <c r="JLP754" s="574"/>
      <c r="JLQ754" s="574"/>
      <c r="JLR754" s="574"/>
      <c r="JLS754" s="574"/>
      <c r="JLT754" s="574"/>
      <c r="JLU754" s="574"/>
      <c r="JLV754" s="574"/>
      <c r="JLW754" s="574"/>
      <c r="JLX754" s="574"/>
      <c r="JLY754" s="574"/>
      <c r="JLZ754" s="574"/>
      <c r="JMA754" s="574"/>
      <c r="JMB754" s="574"/>
      <c r="JMC754" s="574"/>
      <c r="JMD754" s="574"/>
      <c r="JME754" s="574"/>
      <c r="JMF754" s="574"/>
      <c r="JMG754" s="574"/>
      <c r="JMH754" s="574"/>
      <c r="JMI754" s="574"/>
      <c r="JMJ754" s="574"/>
      <c r="JMK754" s="574"/>
      <c r="JML754" s="574"/>
      <c r="JMM754" s="574"/>
      <c r="JMN754" s="574"/>
      <c r="JMO754" s="574"/>
      <c r="JMP754" s="574"/>
      <c r="JMQ754" s="574"/>
      <c r="JMR754" s="574"/>
      <c r="JMS754" s="574"/>
      <c r="JMT754" s="574"/>
      <c r="JMU754" s="574"/>
      <c r="JMV754" s="574"/>
      <c r="JMW754" s="574"/>
      <c r="JMX754" s="574"/>
      <c r="JMY754" s="574"/>
      <c r="JMZ754" s="574"/>
      <c r="JNA754" s="574"/>
      <c r="JNB754" s="574"/>
      <c r="JNC754" s="574"/>
      <c r="JND754" s="574"/>
      <c r="JNE754" s="574"/>
      <c r="JNF754" s="574"/>
      <c r="JNG754" s="574"/>
      <c r="JNH754" s="574"/>
      <c r="JNI754" s="574"/>
      <c r="JNJ754" s="574"/>
      <c r="JNK754" s="574"/>
      <c r="JNL754" s="574"/>
      <c r="JNM754" s="574"/>
      <c r="JNN754" s="574"/>
      <c r="JNO754" s="574"/>
      <c r="JNP754" s="574"/>
      <c r="JNQ754" s="574"/>
      <c r="JNR754" s="574"/>
      <c r="JNS754" s="574"/>
      <c r="JNT754" s="574"/>
      <c r="JNU754" s="574"/>
      <c r="JNV754" s="574"/>
      <c r="JNW754" s="574"/>
      <c r="JNX754" s="574"/>
      <c r="JNY754" s="574"/>
      <c r="JNZ754" s="574"/>
      <c r="JOA754" s="574"/>
      <c r="JOB754" s="574"/>
      <c r="JOC754" s="574"/>
      <c r="JOD754" s="574"/>
      <c r="JOE754" s="574"/>
      <c r="JOF754" s="574"/>
      <c r="JOG754" s="574"/>
      <c r="JOH754" s="574"/>
      <c r="JOI754" s="574"/>
      <c r="JOJ754" s="574"/>
      <c r="JOK754" s="574"/>
      <c r="JOL754" s="574"/>
      <c r="JOM754" s="574"/>
      <c r="JON754" s="574"/>
      <c r="JOO754" s="574"/>
      <c r="JOP754" s="574"/>
      <c r="JOQ754" s="574"/>
      <c r="JOR754" s="574"/>
      <c r="JOS754" s="574"/>
      <c r="JOT754" s="574"/>
      <c r="JOU754" s="574"/>
      <c r="JOV754" s="574"/>
      <c r="JOW754" s="574"/>
      <c r="JOX754" s="574"/>
      <c r="JOY754" s="574"/>
      <c r="JOZ754" s="574"/>
      <c r="JPA754" s="574"/>
      <c r="JPB754" s="574"/>
      <c r="JPC754" s="574"/>
      <c r="JPD754" s="574"/>
      <c r="JPE754" s="574"/>
      <c r="JPF754" s="574"/>
      <c r="JPG754" s="574"/>
      <c r="JPH754" s="574"/>
      <c r="JPI754" s="574"/>
      <c r="JPJ754" s="574"/>
      <c r="JPK754" s="574"/>
      <c r="JPL754" s="574"/>
      <c r="JPM754" s="574"/>
      <c r="JPN754" s="574"/>
      <c r="JPO754" s="574"/>
      <c r="JPP754" s="574"/>
      <c r="JPQ754" s="574"/>
      <c r="JPR754" s="574"/>
      <c r="JPS754" s="574"/>
      <c r="JPT754" s="574"/>
      <c r="JPU754" s="574"/>
      <c r="JPV754" s="574"/>
      <c r="JPW754" s="574"/>
      <c r="JPX754" s="574"/>
      <c r="JPY754" s="574"/>
      <c r="JPZ754" s="574"/>
      <c r="JQA754" s="574"/>
      <c r="JQB754" s="574"/>
      <c r="JQC754" s="574"/>
      <c r="JQD754" s="574"/>
      <c r="JQE754" s="574"/>
      <c r="JQF754" s="574"/>
      <c r="JQG754" s="574"/>
      <c r="JQH754" s="574"/>
      <c r="JQI754" s="574"/>
      <c r="JQJ754" s="574"/>
      <c r="JQK754" s="574"/>
      <c r="JQL754" s="574"/>
      <c r="JQM754" s="574"/>
      <c r="JQN754" s="574"/>
      <c r="JQO754" s="574"/>
      <c r="JQP754" s="574"/>
      <c r="JQQ754" s="574"/>
      <c r="JQR754" s="574"/>
      <c r="JQS754" s="574"/>
      <c r="JQT754" s="574"/>
      <c r="JQU754" s="574"/>
      <c r="JQV754" s="574"/>
      <c r="JQW754" s="574"/>
      <c r="JQX754" s="574"/>
      <c r="JQY754" s="574"/>
      <c r="JQZ754" s="574"/>
      <c r="JRA754" s="574"/>
      <c r="JRB754" s="574"/>
      <c r="JRC754" s="574"/>
      <c r="JRD754" s="574"/>
      <c r="JRE754" s="574"/>
      <c r="JRF754" s="574"/>
      <c r="JRG754" s="574"/>
      <c r="JRH754" s="574"/>
      <c r="JRI754" s="574"/>
      <c r="JRJ754" s="574"/>
      <c r="JRK754" s="574"/>
      <c r="JRL754" s="574"/>
      <c r="JRM754" s="574"/>
      <c r="JRN754" s="574"/>
      <c r="JRO754" s="574"/>
      <c r="JRP754" s="574"/>
      <c r="JRQ754" s="574"/>
      <c r="JRR754" s="574"/>
      <c r="JRS754" s="574"/>
      <c r="JRT754" s="574"/>
      <c r="JRU754" s="574"/>
      <c r="JRV754" s="574"/>
      <c r="JRW754" s="574"/>
      <c r="JRX754" s="574"/>
      <c r="JRY754" s="574"/>
      <c r="JRZ754" s="574"/>
      <c r="JSA754" s="574"/>
      <c r="JSB754" s="574"/>
      <c r="JSC754" s="574"/>
      <c r="JSD754" s="574"/>
      <c r="JSE754" s="574"/>
      <c r="JSF754" s="574"/>
      <c r="JSG754" s="574"/>
      <c r="JSH754" s="574"/>
      <c r="JSI754" s="574"/>
      <c r="JSJ754" s="574"/>
      <c r="JSK754" s="574"/>
      <c r="JSL754" s="574"/>
      <c r="JSM754" s="574"/>
      <c r="JSN754" s="574"/>
      <c r="JSO754" s="574"/>
      <c r="JSP754" s="574"/>
      <c r="JSQ754" s="574"/>
      <c r="JSR754" s="574"/>
      <c r="JSS754" s="574"/>
      <c r="JST754" s="574"/>
      <c r="JSU754" s="574"/>
      <c r="JSV754" s="574"/>
      <c r="JSW754" s="574"/>
      <c r="JSX754" s="574"/>
      <c r="JSY754" s="574"/>
      <c r="JSZ754" s="574"/>
      <c r="JTA754" s="574"/>
      <c r="JTB754" s="574"/>
      <c r="JTC754" s="574"/>
      <c r="JTD754" s="574"/>
      <c r="JTE754" s="574"/>
      <c r="JTF754" s="574"/>
      <c r="JTG754" s="574"/>
      <c r="JTH754" s="574"/>
      <c r="JTI754" s="574"/>
      <c r="JTJ754" s="574"/>
      <c r="JTK754" s="574"/>
      <c r="JTL754" s="574"/>
      <c r="JTM754" s="574"/>
      <c r="JTN754" s="574"/>
      <c r="JTO754" s="574"/>
      <c r="JTP754" s="574"/>
      <c r="JTQ754" s="574"/>
      <c r="JTR754" s="574"/>
      <c r="JTS754" s="574"/>
      <c r="JTT754" s="574"/>
      <c r="JTU754" s="574"/>
      <c r="JTV754" s="574"/>
      <c r="JTW754" s="574"/>
      <c r="JTX754" s="574"/>
      <c r="JTY754" s="574"/>
      <c r="JTZ754" s="574"/>
      <c r="JUA754" s="574"/>
      <c r="JUB754" s="574"/>
      <c r="JUC754" s="574"/>
      <c r="JUD754" s="574"/>
      <c r="JUE754" s="574"/>
      <c r="JUF754" s="574"/>
      <c r="JUG754" s="574"/>
      <c r="JUH754" s="574"/>
      <c r="JUI754" s="574"/>
      <c r="JUJ754" s="574"/>
      <c r="JUK754" s="574"/>
      <c r="JUL754" s="574"/>
      <c r="JUM754" s="574"/>
      <c r="JUN754" s="574"/>
      <c r="JUO754" s="574"/>
      <c r="JUP754" s="574"/>
      <c r="JUQ754" s="574"/>
      <c r="JUR754" s="574"/>
      <c r="JUS754" s="574"/>
      <c r="JUT754" s="574"/>
      <c r="JUU754" s="574"/>
      <c r="JUV754" s="574"/>
      <c r="JUW754" s="574"/>
      <c r="JUX754" s="574"/>
      <c r="JUY754" s="574"/>
      <c r="JUZ754" s="574"/>
      <c r="JVA754" s="574"/>
      <c r="JVB754" s="574"/>
      <c r="JVC754" s="574"/>
      <c r="JVD754" s="574"/>
      <c r="JVE754" s="574"/>
      <c r="JVF754" s="574"/>
      <c r="JVG754" s="574"/>
      <c r="JVH754" s="574"/>
      <c r="JVI754" s="574"/>
      <c r="JVJ754" s="574"/>
      <c r="JVK754" s="574"/>
      <c r="JVL754" s="574"/>
      <c r="JVM754" s="574"/>
      <c r="JVN754" s="574"/>
      <c r="JVO754" s="574"/>
      <c r="JVP754" s="574"/>
      <c r="JVQ754" s="574"/>
      <c r="JVR754" s="574"/>
      <c r="JVS754" s="574"/>
      <c r="JVT754" s="574"/>
      <c r="JVU754" s="574"/>
      <c r="JVV754" s="574"/>
      <c r="JVW754" s="574"/>
      <c r="JVX754" s="574"/>
      <c r="JVY754" s="574"/>
      <c r="JVZ754" s="574"/>
      <c r="JWA754" s="574"/>
      <c r="JWB754" s="574"/>
      <c r="JWC754" s="574"/>
      <c r="JWD754" s="574"/>
      <c r="JWE754" s="574"/>
      <c r="JWF754" s="574"/>
      <c r="JWG754" s="574"/>
      <c r="JWH754" s="574"/>
      <c r="JWI754" s="574"/>
      <c r="JWJ754" s="574"/>
      <c r="JWK754" s="574"/>
      <c r="JWL754" s="574"/>
      <c r="JWM754" s="574"/>
      <c r="JWN754" s="574"/>
      <c r="JWO754" s="574"/>
      <c r="JWP754" s="574"/>
      <c r="JWQ754" s="574"/>
      <c r="JWR754" s="574"/>
      <c r="JWS754" s="574"/>
      <c r="JWT754" s="574"/>
      <c r="JWU754" s="574"/>
      <c r="JWV754" s="574"/>
      <c r="JWW754" s="574"/>
      <c r="JWX754" s="574"/>
      <c r="JWY754" s="574"/>
      <c r="JWZ754" s="574"/>
      <c r="JXA754" s="574"/>
      <c r="JXB754" s="574"/>
      <c r="JXC754" s="574"/>
      <c r="JXD754" s="574"/>
      <c r="JXE754" s="574"/>
      <c r="JXF754" s="574"/>
      <c r="JXG754" s="574"/>
      <c r="JXH754" s="574"/>
      <c r="JXI754" s="574"/>
      <c r="JXJ754" s="574"/>
      <c r="JXK754" s="574"/>
      <c r="JXL754" s="574"/>
      <c r="JXM754" s="574"/>
      <c r="JXN754" s="574"/>
      <c r="JXO754" s="574"/>
      <c r="JXP754" s="574"/>
      <c r="JXQ754" s="574"/>
      <c r="JXR754" s="574"/>
      <c r="JXS754" s="574"/>
      <c r="JXT754" s="574"/>
      <c r="JXU754" s="574"/>
      <c r="JXV754" s="574"/>
      <c r="JXW754" s="574"/>
      <c r="JXX754" s="574"/>
      <c r="JXY754" s="574"/>
      <c r="JXZ754" s="574"/>
      <c r="JYA754" s="574"/>
      <c r="JYB754" s="574"/>
      <c r="JYC754" s="574"/>
      <c r="JYD754" s="574"/>
      <c r="JYE754" s="574"/>
      <c r="JYF754" s="574"/>
      <c r="JYG754" s="574"/>
      <c r="JYH754" s="574"/>
      <c r="JYI754" s="574"/>
      <c r="JYJ754" s="574"/>
      <c r="JYK754" s="574"/>
      <c r="JYL754" s="574"/>
      <c r="JYM754" s="574"/>
      <c r="JYN754" s="574"/>
      <c r="JYO754" s="574"/>
      <c r="JYP754" s="574"/>
      <c r="JYQ754" s="574"/>
      <c r="JYR754" s="574"/>
      <c r="JYS754" s="574"/>
      <c r="JYT754" s="574"/>
      <c r="JYU754" s="574"/>
      <c r="JYV754" s="574"/>
      <c r="JYW754" s="574"/>
      <c r="JYX754" s="574"/>
      <c r="JYY754" s="574"/>
      <c r="JYZ754" s="574"/>
      <c r="JZA754" s="574"/>
      <c r="JZB754" s="574"/>
      <c r="JZC754" s="574"/>
      <c r="JZD754" s="574"/>
      <c r="JZE754" s="574"/>
      <c r="JZF754" s="574"/>
      <c r="JZG754" s="574"/>
      <c r="JZH754" s="574"/>
      <c r="JZI754" s="574"/>
      <c r="JZJ754" s="574"/>
      <c r="JZK754" s="574"/>
      <c r="JZL754" s="574"/>
      <c r="JZM754" s="574"/>
      <c r="JZN754" s="574"/>
      <c r="JZO754" s="574"/>
      <c r="JZP754" s="574"/>
      <c r="JZQ754" s="574"/>
      <c r="JZR754" s="574"/>
      <c r="JZS754" s="574"/>
      <c r="JZT754" s="574"/>
      <c r="JZU754" s="574"/>
      <c r="JZV754" s="574"/>
      <c r="JZW754" s="574"/>
      <c r="JZX754" s="574"/>
      <c r="JZY754" s="574"/>
      <c r="JZZ754" s="574"/>
      <c r="KAA754" s="574"/>
      <c r="KAB754" s="574"/>
      <c r="KAC754" s="574"/>
      <c r="KAD754" s="574"/>
      <c r="KAE754" s="574"/>
      <c r="KAF754" s="574"/>
      <c r="KAG754" s="574"/>
      <c r="KAH754" s="574"/>
      <c r="KAI754" s="574"/>
      <c r="KAJ754" s="574"/>
      <c r="KAK754" s="574"/>
      <c r="KAL754" s="574"/>
      <c r="KAM754" s="574"/>
      <c r="KAN754" s="574"/>
      <c r="KAO754" s="574"/>
      <c r="KAP754" s="574"/>
      <c r="KAQ754" s="574"/>
      <c r="KAR754" s="574"/>
      <c r="KAS754" s="574"/>
      <c r="KAT754" s="574"/>
      <c r="KAU754" s="574"/>
      <c r="KAV754" s="574"/>
      <c r="KAW754" s="574"/>
      <c r="KAX754" s="574"/>
      <c r="KAY754" s="574"/>
      <c r="KAZ754" s="574"/>
      <c r="KBA754" s="574"/>
      <c r="KBB754" s="574"/>
      <c r="KBC754" s="574"/>
      <c r="KBD754" s="574"/>
      <c r="KBE754" s="574"/>
      <c r="KBF754" s="574"/>
      <c r="KBG754" s="574"/>
      <c r="KBH754" s="574"/>
      <c r="KBI754" s="574"/>
      <c r="KBJ754" s="574"/>
      <c r="KBK754" s="574"/>
      <c r="KBL754" s="574"/>
      <c r="KBM754" s="574"/>
      <c r="KBN754" s="574"/>
      <c r="KBO754" s="574"/>
      <c r="KBP754" s="574"/>
      <c r="KBQ754" s="574"/>
      <c r="KBR754" s="574"/>
      <c r="KBS754" s="574"/>
      <c r="KBT754" s="574"/>
      <c r="KBU754" s="574"/>
      <c r="KBV754" s="574"/>
      <c r="KBW754" s="574"/>
      <c r="KBX754" s="574"/>
      <c r="KBY754" s="574"/>
      <c r="KBZ754" s="574"/>
      <c r="KCA754" s="574"/>
      <c r="KCB754" s="574"/>
      <c r="KCC754" s="574"/>
      <c r="KCD754" s="574"/>
      <c r="KCE754" s="574"/>
      <c r="KCF754" s="574"/>
      <c r="KCG754" s="574"/>
      <c r="KCH754" s="574"/>
      <c r="KCI754" s="574"/>
      <c r="KCJ754" s="574"/>
      <c r="KCK754" s="574"/>
      <c r="KCL754" s="574"/>
      <c r="KCM754" s="574"/>
      <c r="KCN754" s="574"/>
      <c r="KCO754" s="574"/>
      <c r="KCP754" s="574"/>
      <c r="KCQ754" s="574"/>
      <c r="KCR754" s="574"/>
      <c r="KCS754" s="574"/>
      <c r="KCT754" s="574"/>
      <c r="KCU754" s="574"/>
      <c r="KCV754" s="574"/>
      <c r="KCW754" s="574"/>
      <c r="KCX754" s="574"/>
      <c r="KCY754" s="574"/>
      <c r="KCZ754" s="574"/>
      <c r="KDA754" s="574"/>
      <c r="KDB754" s="574"/>
      <c r="KDC754" s="574"/>
      <c r="KDD754" s="574"/>
      <c r="KDE754" s="574"/>
      <c r="KDF754" s="574"/>
      <c r="KDG754" s="574"/>
      <c r="KDH754" s="574"/>
      <c r="KDI754" s="574"/>
      <c r="KDJ754" s="574"/>
      <c r="KDK754" s="574"/>
      <c r="KDL754" s="574"/>
      <c r="KDM754" s="574"/>
      <c r="KDN754" s="574"/>
      <c r="KDO754" s="574"/>
      <c r="KDP754" s="574"/>
      <c r="KDQ754" s="574"/>
      <c r="KDR754" s="574"/>
      <c r="KDS754" s="574"/>
      <c r="KDT754" s="574"/>
      <c r="KDU754" s="574"/>
      <c r="KDV754" s="574"/>
      <c r="KDW754" s="574"/>
      <c r="KDX754" s="574"/>
      <c r="KDY754" s="574"/>
      <c r="KDZ754" s="574"/>
      <c r="KEA754" s="574"/>
      <c r="KEB754" s="574"/>
      <c r="KEC754" s="574"/>
      <c r="KED754" s="574"/>
      <c r="KEE754" s="574"/>
      <c r="KEF754" s="574"/>
      <c r="KEG754" s="574"/>
      <c r="KEH754" s="574"/>
      <c r="KEI754" s="574"/>
      <c r="KEJ754" s="574"/>
      <c r="KEK754" s="574"/>
      <c r="KEL754" s="574"/>
      <c r="KEM754" s="574"/>
      <c r="KEN754" s="574"/>
      <c r="KEO754" s="574"/>
      <c r="KEP754" s="574"/>
      <c r="KEQ754" s="574"/>
      <c r="KER754" s="574"/>
      <c r="KES754" s="574"/>
      <c r="KET754" s="574"/>
      <c r="KEU754" s="574"/>
      <c r="KEV754" s="574"/>
      <c r="KEW754" s="574"/>
      <c r="KEX754" s="574"/>
      <c r="KEY754" s="574"/>
      <c r="KEZ754" s="574"/>
      <c r="KFA754" s="574"/>
      <c r="KFB754" s="574"/>
      <c r="KFC754" s="574"/>
      <c r="KFD754" s="574"/>
      <c r="KFE754" s="574"/>
      <c r="KFF754" s="574"/>
      <c r="KFG754" s="574"/>
      <c r="KFH754" s="574"/>
      <c r="KFI754" s="574"/>
      <c r="KFJ754" s="574"/>
      <c r="KFK754" s="574"/>
      <c r="KFL754" s="574"/>
      <c r="KFM754" s="574"/>
      <c r="KFN754" s="574"/>
      <c r="KFO754" s="574"/>
      <c r="KFP754" s="574"/>
      <c r="KFQ754" s="574"/>
      <c r="KFR754" s="574"/>
      <c r="KFS754" s="574"/>
      <c r="KFT754" s="574"/>
      <c r="KFU754" s="574"/>
      <c r="KFV754" s="574"/>
      <c r="KFW754" s="574"/>
      <c r="KFX754" s="574"/>
      <c r="KFY754" s="574"/>
      <c r="KFZ754" s="574"/>
      <c r="KGA754" s="574"/>
      <c r="KGB754" s="574"/>
      <c r="KGC754" s="574"/>
      <c r="KGD754" s="574"/>
      <c r="KGE754" s="574"/>
      <c r="KGF754" s="574"/>
      <c r="KGG754" s="574"/>
      <c r="KGH754" s="574"/>
      <c r="KGI754" s="574"/>
      <c r="KGJ754" s="574"/>
      <c r="KGK754" s="574"/>
      <c r="KGL754" s="574"/>
      <c r="KGM754" s="574"/>
      <c r="KGN754" s="574"/>
      <c r="KGO754" s="574"/>
      <c r="KGP754" s="574"/>
      <c r="KGQ754" s="574"/>
      <c r="KGR754" s="574"/>
      <c r="KGS754" s="574"/>
      <c r="KGT754" s="574"/>
      <c r="KGU754" s="574"/>
      <c r="KGV754" s="574"/>
      <c r="KGW754" s="574"/>
      <c r="KGX754" s="574"/>
      <c r="KGY754" s="574"/>
      <c r="KGZ754" s="574"/>
      <c r="KHA754" s="574"/>
      <c r="KHB754" s="574"/>
      <c r="KHC754" s="574"/>
      <c r="KHD754" s="574"/>
      <c r="KHE754" s="574"/>
      <c r="KHF754" s="574"/>
      <c r="KHG754" s="574"/>
      <c r="KHH754" s="574"/>
      <c r="KHI754" s="574"/>
      <c r="KHJ754" s="574"/>
      <c r="KHK754" s="574"/>
      <c r="KHL754" s="574"/>
      <c r="KHM754" s="574"/>
      <c r="KHN754" s="574"/>
      <c r="KHO754" s="574"/>
      <c r="KHP754" s="574"/>
      <c r="KHQ754" s="574"/>
      <c r="KHR754" s="574"/>
      <c r="KHS754" s="574"/>
      <c r="KHT754" s="574"/>
      <c r="KHU754" s="574"/>
      <c r="KHV754" s="574"/>
      <c r="KHW754" s="574"/>
      <c r="KHX754" s="574"/>
      <c r="KHY754" s="574"/>
      <c r="KHZ754" s="574"/>
      <c r="KIA754" s="574"/>
      <c r="KIB754" s="574"/>
      <c r="KIC754" s="574"/>
      <c r="KID754" s="574"/>
      <c r="KIE754" s="574"/>
      <c r="KIF754" s="574"/>
      <c r="KIG754" s="574"/>
      <c r="KIH754" s="574"/>
      <c r="KII754" s="574"/>
      <c r="KIJ754" s="574"/>
      <c r="KIK754" s="574"/>
      <c r="KIL754" s="574"/>
      <c r="KIM754" s="574"/>
      <c r="KIN754" s="574"/>
      <c r="KIO754" s="574"/>
      <c r="KIP754" s="574"/>
      <c r="KIQ754" s="574"/>
      <c r="KIR754" s="574"/>
      <c r="KIS754" s="574"/>
      <c r="KIT754" s="574"/>
      <c r="KIU754" s="574"/>
      <c r="KIV754" s="574"/>
      <c r="KIW754" s="574"/>
      <c r="KIX754" s="574"/>
      <c r="KIY754" s="574"/>
      <c r="KIZ754" s="574"/>
      <c r="KJA754" s="574"/>
      <c r="KJB754" s="574"/>
      <c r="KJC754" s="574"/>
      <c r="KJD754" s="574"/>
      <c r="KJE754" s="574"/>
      <c r="KJF754" s="574"/>
      <c r="KJG754" s="574"/>
      <c r="KJH754" s="574"/>
      <c r="KJI754" s="574"/>
      <c r="KJJ754" s="574"/>
      <c r="KJK754" s="574"/>
      <c r="KJL754" s="574"/>
      <c r="KJM754" s="574"/>
      <c r="KJN754" s="574"/>
      <c r="KJO754" s="574"/>
      <c r="KJP754" s="574"/>
      <c r="KJQ754" s="574"/>
      <c r="KJR754" s="574"/>
      <c r="KJS754" s="574"/>
      <c r="KJT754" s="574"/>
      <c r="KJU754" s="574"/>
      <c r="KJV754" s="574"/>
      <c r="KJW754" s="574"/>
      <c r="KJX754" s="574"/>
      <c r="KJY754" s="574"/>
      <c r="KJZ754" s="574"/>
      <c r="KKA754" s="574"/>
      <c r="KKB754" s="574"/>
      <c r="KKC754" s="574"/>
      <c r="KKD754" s="574"/>
      <c r="KKE754" s="574"/>
      <c r="KKF754" s="574"/>
      <c r="KKG754" s="574"/>
      <c r="KKH754" s="574"/>
      <c r="KKI754" s="574"/>
      <c r="KKJ754" s="574"/>
      <c r="KKK754" s="574"/>
      <c r="KKL754" s="574"/>
      <c r="KKM754" s="574"/>
      <c r="KKN754" s="574"/>
      <c r="KKO754" s="574"/>
      <c r="KKP754" s="574"/>
      <c r="KKQ754" s="574"/>
      <c r="KKR754" s="574"/>
      <c r="KKS754" s="574"/>
      <c r="KKT754" s="574"/>
      <c r="KKU754" s="574"/>
      <c r="KKV754" s="574"/>
      <c r="KKW754" s="574"/>
      <c r="KKX754" s="574"/>
      <c r="KKY754" s="574"/>
      <c r="KKZ754" s="574"/>
      <c r="KLA754" s="574"/>
      <c r="KLB754" s="574"/>
      <c r="KLC754" s="574"/>
      <c r="KLD754" s="574"/>
      <c r="KLE754" s="574"/>
      <c r="KLF754" s="574"/>
      <c r="KLG754" s="574"/>
      <c r="KLH754" s="574"/>
      <c r="KLI754" s="574"/>
      <c r="KLJ754" s="574"/>
      <c r="KLK754" s="574"/>
      <c r="KLL754" s="574"/>
      <c r="KLM754" s="574"/>
      <c r="KLN754" s="574"/>
      <c r="KLO754" s="574"/>
      <c r="KLP754" s="574"/>
      <c r="KLQ754" s="574"/>
      <c r="KLR754" s="574"/>
      <c r="KLS754" s="574"/>
      <c r="KLT754" s="574"/>
      <c r="KLU754" s="574"/>
      <c r="KLV754" s="574"/>
      <c r="KLW754" s="574"/>
      <c r="KLX754" s="574"/>
      <c r="KLY754" s="574"/>
      <c r="KLZ754" s="574"/>
      <c r="KMA754" s="574"/>
      <c r="KMB754" s="574"/>
      <c r="KMC754" s="574"/>
      <c r="KMD754" s="574"/>
      <c r="KME754" s="574"/>
      <c r="KMF754" s="574"/>
      <c r="KMG754" s="574"/>
      <c r="KMH754" s="574"/>
      <c r="KMI754" s="574"/>
      <c r="KMJ754" s="574"/>
      <c r="KMK754" s="574"/>
      <c r="KML754" s="574"/>
      <c r="KMM754" s="574"/>
      <c r="KMN754" s="574"/>
      <c r="KMO754" s="574"/>
      <c r="KMP754" s="574"/>
      <c r="KMQ754" s="574"/>
      <c r="KMR754" s="574"/>
      <c r="KMS754" s="574"/>
      <c r="KMT754" s="574"/>
      <c r="KMU754" s="574"/>
      <c r="KMV754" s="574"/>
      <c r="KMW754" s="574"/>
      <c r="KMX754" s="574"/>
      <c r="KMY754" s="574"/>
      <c r="KMZ754" s="574"/>
      <c r="KNA754" s="574"/>
      <c r="KNB754" s="574"/>
      <c r="KNC754" s="574"/>
      <c r="KND754" s="574"/>
      <c r="KNE754" s="574"/>
      <c r="KNF754" s="574"/>
      <c r="KNG754" s="574"/>
      <c r="KNH754" s="574"/>
      <c r="KNI754" s="574"/>
      <c r="KNJ754" s="574"/>
      <c r="KNK754" s="574"/>
      <c r="KNL754" s="574"/>
      <c r="KNM754" s="574"/>
      <c r="KNN754" s="574"/>
      <c r="KNO754" s="574"/>
      <c r="KNP754" s="574"/>
      <c r="KNQ754" s="574"/>
      <c r="KNR754" s="574"/>
      <c r="KNS754" s="574"/>
      <c r="KNT754" s="574"/>
      <c r="KNU754" s="574"/>
      <c r="KNV754" s="574"/>
      <c r="KNW754" s="574"/>
      <c r="KNX754" s="574"/>
      <c r="KNY754" s="574"/>
      <c r="KNZ754" s="574"/>
      <c r="KOA754" s="574"/>
      <c r="KOB754" s="574"/>
      <c r="KOC754" s="574"/>
      <c r="KOD754" s="574"/>
      <c r="KOE754" s="574"/>
      <c r="KOF754" s="574"/>
      <c r="KOG754" s="574"/>
      <c r="KOH754" s="574"/>
      <c r="KOI754" s="574"/>
      <c r="KOJ754" s="574"/>
      <c r="KOK754" s="574"/>
      <c r="KOL754" s="574"/>
      <c r="KOM754" s="574"/>
      <c r="KON754" s="574"/>
      <c r="KOO754" s="574"/>
      <c r="KOP754" s="574"/>
      <c r="KOQ754" s="574"/>
      <c r="KOR754" s="574"/>
      <c r="KOS754" s="574"/>
      <c r="KOT754" s="574"/>
      <c r="KOU754" s="574"/>
      <c r="KOV754" s="574"/>
      <c r="KOW754" s="574"/>
      <c r="KOX754" s="574"/>
      <c r="KOY754" s="574"/>
      <c r="KOZ754" s="574"/>
      <c r="KPA754" s="574"/>
      <c r="KPB754" s="574"/>
      <c r="KPC754" s="574"/>
      <c r="KPD754" s="574"/>
      <c r="KPE754" s="574"/>
      <c r="KPF754" s="574"/>
      <c r="KPG754" s="574"/>
      <c r="KPH754" s="574"/>
      <c r="KPI754" s="574"/>
      <c r="KPJ754" s="574"/>
      <c r="KPK754" s="574"/>
      <c r="KPL754" s="574"/>
      <c r="KPM754" s="574"/>
      <c r="KPN754" s="574"/>
      <c r="KPO754" s="574"/>
      <c r="KPP754" s="574"/>
      <c r="KPQ754" s="574"/>
      <c r="KPR754" s="574"/>
      <c r="KPS754" s="574"/>
      <c r="KPT754" s="574"/>
      <c r="KPU754" s="574"/>
      <c r="KPV754" s="574"/>
      <c r="KPW754" s="574"/>
      <c r="KPX754" s="574"/>
      <c r="KPY754" s="574"/>
      <c r="KPZ754" s="574"/>
      <c r="KQA754" s="574"/>
      <c r="KQB754" s="574"/>
      <c r="KQC754" s="574"/>
      <c r="KQD754" s="574"/>
      <c r="KQE754" s="574"/>
      <c r="KQF754" s="574"/>
      <c r="KQG754" s="574"/>
      <c r="KQH754" s="574"/>
      <c r="KQI754" s="574"/>
      <c r="KQJ754" s="574"/>
      <c r="KQK754" s="574"/>
      <c r="KQL754" s="574"/>
      <c r="KQM754" s="574"/>
      <c r="KQN754" s="574"/>
      <c r="KQO754" s="574"/>
      <c r="KQP754" s="574"/>
      <c r="KQQ754" s="574"/>
      <c r="KQR754" s="574"/>
      <c r="KQS754" s="574"/>
      <c r="KQT754" s="574"/>
      <c r="KQU754" s="574"/>
      <c r="KQV754" s="574"/>
      <c r="KQW754" s="574"/>
      <c r="KQX754" s="574"/>
      <c r="KQY754" s="574"/>
      <c r="KQZ754" s="574"/>
      <c r="KRA754" s="574"/>
      <c r="KRB754" s="574"/>
      <c r="KRC754" s="574"/>
      <c r="KRD754" s="574"/>
      <c r="KRE754" s="574"/>
      <c r="KRF754" s="574"/>
      <c r="KRG754" s="574"/>
      <c r="KRH754" s="574"/>
      <c r="KRI754" s="574"/>
      <c r="KRJ754" s="574"/>
      <c r="KRK754" s="574"/>
      <c r="KRL754" s="574"/>
      <c r="KRM754" s="574"/>
      <c r="KRN754" s="574"/>
      <c r="KRO754" s="574"/>
      <c r="KRP754" s="574"/>
      <c r="KRQ754" s="574"/>
      <c r="KRR754" s="574"/>
      <c r="KRS754" s="574"/>
      <c r="KRT754" s="574"/>
      <c r="KRU754" s="574"/>
      <c r="KRV754" s="574"/>
      <c r="KRW754" s="574"/>
      <c r="KRX754" s="574"/>
      <c r="KRY754" s="574"/>
      <c r="KRZ754" s="574"/>
      <c r="KSA754" s="574"/>
      <c r="KSB754" s="574"/>
      <c r="KSC754" s="574"/>
      <c r="KSD754" s="574"/>
      <c r="KSE754" s="574"/>
      <c r="KSF754" s="574"/>
      <c r="KSG754" s="574"/>
      <c r="KSH754" s="574"/>
      <c r="KSI754" s="574"/>
      <c r="KSJ754" s="574"/>
      <c r="KSK754" s="574"/>
      <c r="KSL754" s="574"/>
      <c r="KSM754" s="574"/>
      <c r="KSN754" s="574"/>
      <c r="KSO754" s="574"/>
      <c r="KSP754" s="574"/>
      <c r="KSQ754" s="574"/>
      <c r="KSR754" s="574"/>
      <c r="KSS754" s="574"/>
      <c r="KST754" s="574"/>
      <c r="KSU754" s="574"/>
      <c r="KSV754" s="574"/>
      <c r="KSW754" s="574"/>
      <c r="KSX754" s="574"/>
      <c r="KSY754" s="574"/>
      <c r="KSZ754" s="574"/>
      <c r="KTA754" s="574"/>
      <c r="KTB754" s="574"/>
      <c r="KTC754" s="574"/>
      <c r="KTD754" s="574"/>
      <c r="KTE754" s="574"/>
      <c r="KTF754" s="574"/>
      <c r="KTG754" s="574"/>
      <c r="KTH754" s="574"/>
      <c r="KTI754" s="574"/>
      <c r="KTJ754" s="574"/>
      <c r="KTK754" s="574"/>
      <c r="KTL754" s="574"/>
      <c r="KTM754" s="574"/>
      <c r="KTN754" s="574"/>
      <c r="KTO754" s="574"/>
      <c r="KTP754" s="574"/>
      <c r="KTQ754" s="574"/>
      <c r="KTR754" s="574"/>
      <c r="KTS754" s="574"/>
      <c r="KTT754" s="574"/>
      <c r="KTU754" s="574"/>
      <c r="KTV754" s="574"/>
      <c r="KTW754" s="574"/>
      <c r="KTX754" s="574"/>
      <c r="KTY754" s="574"/>
      <c r="KTZ754" s="574"/>
      <c r="KUA754" s="574"/>
      <c r="KUB754" s="574"/>
      <c r="KUC754" s="574"/>
      <c r="KUD754" s="574"/>
      <c r="KUE754" s="574"/>
      <c r="KUF754" s="574"/>
      <c r="KUG754" s="574"/>
      <c r="KUH754" s="574"/>
      <c r="KUI754" s="574"/>
      <c r="KUJ754" s="574"/>
      <c r="KUK754" s="574"/>
      <c r="KUL754" s="574"/>
      <c r="KUM754" s="574"/>
      <c r="KUN754" s="574"/>
      <c r="KUO754" s="574"/>
      <c r="KUP754" s="574"/>
      <c r="KUQ754" s="574"/>
      <c r="KUR754" s="574"/>
      <c r="KUS754" s="574"/>
      <c r="KUT754" s="574"/>
      <c r="KUU754" s="574"/>
      <c r="KUV754" s="574"/>
      <c r="KUW754" s="574"/>
      <c r="KUX754" s="574"/>
      <c r="KUY754" s="574"/>
      <c r="KUZ754" s="574"/>
      <c r="KVA754" s="574"/>
      <c r="KVB754" s="574"/>
      <c r="KVC754" s="574"/>
      <c r="KVD754" s="574"/>
      <c r="KVE754" s="574"/>
      <c r="KVF754" s="574"/>
      <c r="KVG754" s="574"/>
      <c r="KVH754" s="574"/>
      <c r="KVI754" s="574"/>
      <c r="KVJ754" s="574"/>
      <c r="KVK754" s="574"/>
      <c r="KVL754" s="574"/>
      <c r="KVM754" s="574"/>
      <c r="KVN754" s="574"/>
      <c r="KVO754" s="574"/>
      <c r="KVP754" s="574"/>
      <c r="KVQ754" s="574"/>
      <c r="KVR754" s="574"/>
      <c r="KVS754" s="574"/>
      <c r="KVT754" s="574"/>
      <c r="KVU754" s="574"/>
      <c r="KVV754" s="574"/>
      <c r="KVW754" s="574"/>
      <c r="KVX754" s="574"/>
      <c r="KVY754" s="574"/>
      <c r="KVZ754" s="574"/>
      <c r="KWA754" s="574"/>
      <c r="KWB754" s="574"/>
      <c r="KWC754" s="574"/>
      <c r="KWD754" s="574"/>
      <c r="KWE754" s="574"/>
      <c r="KWF754" s="574"/>
      <c r="KWG754" s="574"/>
      <c r="KWH754" s="574"/>
      <c r="KWI754" s="574"/>
      <c r="KWJ754" s="574"/>
      <c r="KWK754" s="574"/>
      <c r="KWL754" s="574"/>
      <c r="KWM754" s="574"/>
      <c r="KWN754" s="574"/>
      <c r="KWO754" s="574"/>
      <c r="KWP754" s="574"/>
      <c r="KWQ754" s="574"/>
      <c r="KWR754" s="574"/>
      <c r="KWS754" s="574"/>
      <c r="KWT754" s="574"/>
      <c r="KWU754" s="574"/>
      <c r="KWV754" s="574"/>
      <c r="KWW754" s="574"/>
      <c r="KWX754" s="574"/>
      <c r="KWY754" s="574"/>
      <c r="KWZ754" s="574"/>
      <c r="KXA754" s="574"/>
      <c r="KXB754" s="574"/>
      <c r="KXC754" s="574"/>
      <c r="KXD754" s="574"/>
      <c r="KXE754" s="574"/>
      <c r="KXF754" s="574"/>
      <c r="KXG754" s="574"/>
      <c r="KXH754" s="574"/>
      <c r="KXI754" s="574"/>
      <c r="KXJ754" s="574"/>
      <c r="KXK754" s="574"/>
      <c r="KXL754" s="574"/>
      <c r="KXM754" s="574"/>
      <c r="KXN754" s="574"/>
      <c r="KXO754" s="574"/>
      <c r="KXP754" s="574"/>
      <c r="KXQ754" s="574"/>
      <c r="KXR754" s="574"/>
      <c r="KXS754" s="574"/>
      <c r="KXT754" s="574"/>
      <c r="KXU754" s="574"/>
      <c r="KXV754" s="574"/>
      <c r="KXW754" s="574"/>
      <c r="KXX754" s="574"/>
      <c r="KXY754" s="574"/>
      <c r="KXZ754" s="574"/>
      <c r="KYA754" s="574"/>
      <c r="KYB754" s="574"/>
      <c r="KYC754" s="574"/>
      <c r="KYD754" s="574"/>
      <c r="KYE754" s="574"/>
      <c r="KYF754" s="574"/>
      <c r="KYG754" s="574"/>
      <c r="KYH754" s="574"/>
      <c r="KYI754" s="574"/>
      <c r="KYJ754" s="574"/>
      <c r="KYK754" s="574"/>
      <c r="KYL754" s="574"/>
      <c r="KYM754" s="574"/>
      <c r="KYN754" s="574"/>
      <c r="KYO754" s="574"/>
      <c r="KYP754" s="574"/>
      <c r="KYQ754" s="574"/>
      <c r="KYR754" s="574"/>
      <c r="KYS754" s="574"/>
      <c r="KYT754" s="574"/>
      <c r="KYU754" s="574"/>
      <c r="KYV754" s="574"/>
      <c r="KYW754" s="574"/>
      <c r="KYX754" s="574"/>
      <c r="KYY754" s="574"/>
      <c r="KYZ754" s="574"/>
      <c r="KZA754" s="574"/>
      <c r="KZB754" s="574"/>
      <c r="KZC754" s="574"/>
      <c r="KZD754" s="574"/>
      <c r="KZE754" s="574"/>
      <c r="KZF754" s="574"/>
      <c r="KZG754" s="574"/>
      <c r="KZH754" s="574"/>
      <c r="KZI754" s="574"/>
      <c r="KZJ754" s="574"/>
      <c r="KZK754" s="574"/>
      <c r="KZL754" s="574"/>
      <c r="KZM754" s="574"/>
      <c r="KZN754" s="574"/>
      <c r="KZO754" s="574"/>
      <c r="KZP754" s="574"/>
      <c r="KZQ754" s="574"/>
      <c r="KZR754" s="574"/>
      <c r="KZS754" s="574"/>
      <c r="KZT754" s="574"/>
      <c r="KZU754" s="574"/>
      <c r="KZV754" s="574"/>
      <c r="KZW754" s="574"/>
      <c r="KZX754" s="574"/>
      <c r="KZY754" s="574"/>
      <c r="KZZ754" s="574"/>
      <c r="LAA754" s="574"/>
      <c r="LAB754" s="574"/>
      <c r="LAC754" s="574"/>
      <c r="LAD754" s="574"/>
      <c r="LAE754" s="574"/>
      <c r="LAF754" s="574"/>
      <c r="LAG754" s="574"/>
      <c r="LAH754" s="574"/>
      <c r="LAI754" s="574"/>
      <c r="LAJ754" s="574"/>
      <c r="LAK754" s="574"/>
      <c r="LAL754" s="574"/>
      <c r="LAM754" s="574"/>
      <c r="LAN754" s="574"/>
      <c r="LAO754" s="574"/>
      <c r="LAP754" s="574"/>
      <c r="LAQ754" s="574"/>
      <c r="LAR754" s="574"/>
      <c r="LAS754" s="574"/>
      <c r="LAT754" s="574"/>
      <c r="LAU754" s="574"/>
      <c r="LAV754" s="574"/>
      <c r="LAW754" s="574"/>
      <c r="LAX754" s="574"/>
      <c r="LAY754" s="574"/>
      <c r="LAZ754" s="574"/>
      <c r="LBA754" s="574"/>
      <c r="LBB754" s="574"/>
      <c r="LBC754" s="574"/>
      <c r="LBD754" s="574"/>
      <c r="LBE754" s="574"/>
      <c r="LBF754" s="574"/>
      <c r="LBG754" s="574"/>
      <c r="LBH754" s="574"/>
      <c r="LBI754" s="574"/>
      <c r="LBJ754" s="574"/>
      <c r="LBK754" s="574"/>
      <c r="LBL754" s="574"/>
      <c r="LBM754" s="574"/>
      <c r="LBN754" s="574"/>
      <c r="LBO754" s="574"/>
      <c r="LBP754" s="574"/>
      <c r="LBQ754" s="574"/>
      <c r="LBR754" s="574"/>
      <c r="LBS754" s="574"/>
      <c r="LBT754" s="574"/>
      <c r="LBU754" s="574"/>
      <c r="LBV754" s="574"/>
      <c r="LBW754" s="574"/>
      <c r="LBX754" s="574"/>
      <c r="LBY754" s="574"/>
      <c r="LBZ754" s="574"/>
      <c r="LCA754" s="574"/>
      <c r="LCB754" s="574"/>
      <c r="LCC754" s="574"/>
      <c r="LCD754" s="574"/>
      <c r="LCE754" s="574"/>
      <c r="LCF754" s="574"/>
      <c r="LCG754" s="574"/>
      <c r="LCH754" s="574"/>
      <c r="LCI754" s="574"/>
      <c r="LCJ754" s="574"/>
      <c r="LCK754" s="574"/>
      <c r="LCL754" s="574"/>
      <c r="LCM754" s="574"/>
      <c r="LCN754" s="574"/>
      <c r="LCO754" s="574"/>
      <c r="LCP754" s="574"/>
      <c r="LCQ754" s="574"/>
      <c r="LCR754" s="574"/>
      <c r="LCS754" s="574"/>
      <c r="LCT754" s="574"/>
      <c r="LCU754" s="574"/>
      <c r="LCV754" s="574"/>
      <c r="LCW754" s="574"/>
      <c r="LCX754" s="574"/>
      <c r="LCY754" s="574"/>
      <c r="LCZ754" s="574"/>
      <c r="LDA754" s="574"/>
      <c r="LDB754" s="574"/>
      <c r="LDC754" s="574"/>
      <c r="LDD754" s="574"/>
      <c r="LDE754" s="574"/>
      <c r="LDF754" s="574"/>
      <c r="LDG754" s="574"/>
      <c r="LDH754" s="574"/>
      <c r="LDI754" s="574"/>
      <c r="LDJ754" s="574"/>
      <c r="LDK754" s="574"/>
      <c r="LDL754" s="574"/>
      <c r="LDM754" s="574"/>
      <c r="LDN754" s="574"/>
      <c r="LDO754" s="574"/>
      <c r="LDP754" s="574"/>
      <c r="LDQ754" s="574"/>
      <c r="LDR754" s="574"/>
      <c r="LDS754" s="574"/>
      <c r="LDT754" s="574"/>
      <c r="LDU754" s="574"/>
      <c r="LDV754" s="574"/>
      <c r="LDW754" s="574"/>
      <c r="LDX754" s="574"/>
      <c r="LDY754" s="574"/>
      <c r="LDZ754" s="574"/>
      <c r="LEA754" s="574"/>
      <c r="LEB754" s="574"/>
      <c r="LEC754" s="574"/>
      <c r="LED754" s="574"/>
      <c r="LEE754" s="574"/>
      <c r="LEF754" s="574"/>
      <c r="LEG754" s="574"/>
      <c r="LEH754" s="574"/>
      <c r="LEI754" s="574"/>
      <c r="LEJ754" s="574"/>
      <c r="LEK754" s="574"/>
      <c r="LEL754" s="574"/>
      <c r="LEM754" s="574"/>
      <c r="LEN754" s="574"/>
      <c r="LEO754" s="574"/>
      <c r="LEP754" s="574"/>
      <c r="LEQ754" s="574"/>
      <c r="LER754" s="574"/>
      <c r="LES754" s="574"/>
      <c r="LET754" s="574"/>
      <c r="LEU754" s="574"/>
      <c r="LEV754" s="574"/>
      <c r="LEW754" s="574"/>
      <c r="LEX754" s="574"/>
      <c r="LEY754" s="574"/>
      <c r="LEZ754" s="574"/>
      <c r="LFA754" s="574"/>
      <c r="LFB754" s="574"/>
      <c r="LFC754" s="574"/>
      <c r="LFD754" s="574"/>
      <c r="LFE754" s="574"/>
      <c r="LFF754" s="574"/>
      <c r="LFG754" s="574"/>
      <c r="LFH754" s="574"/>
      <c r="LFI754" s="574"/>
      <c r="LFJ754" s="574"/>
      <c r="LFK754" s="574"/>
      <c r="LFL754" s="574"/>
      <c r="LFM754" s="574"/>
      <c r="LFN754" s="574"/>
      <c r="LFO754" s="574"/>
      <c r="LFP754" s="574"/>
      <c r="LFQ754" s="574"/>
      <c r="LFR754" s="574"/>
      <c r="LFS754" s="574"/>
      <c r="LFT754" s="574"/>
      <c r="LFU754" s="574"/>
      <c r="LFV754" s="574"/>
      <c r="LFW754" s="574"/>
      <c r="LFX754" s="574"/>
      <c r="LFY754" s="574"/>
      <c r="LFZ754" s="574"/>
      <c r="LGA754" s="574"/>
      <c r="LGB754" s="574"/>
      <c r="LGC754" s="574"/>
      <c r="LGD754" s="574"/>
      <c r="LGE754" s="574"/>
      <c r="LGF754" s="574"/>
      <c r="LGG754" s="574"/>
      <c r="LGH754" s="574"/>
      <c r="LGI754" s="574"/>
      <c r="LGJ754" s="574"/>
      <c r="LGK754" s="574"/>
      <c r="LGL754" s="574"/>
      <c r="LGM754" s="574"/>
      <c r="LGN754" s="574"/>
      <c r="LGO754" s="574"/>
      <c r="LGP754" s="574"/>
      <c r="LGQ754" s="574"/>
      <c r="LGR754" s="574"/>
      <c r="LGS754" s="574"/>
      <c r="LGT754" s="574"/>
      <c r="LGU754" s="574"/>
      <c r="LGV754" s="574"/>
      <c r="LGW754" s="574"/>
      <c r="LGX754" s="574"/>
      <c r="LGY754" s="574"/>
      <c r="LGZ754" s="574"/>
      <c r="LHA754" s="574"/>
      <c r="LHB754" s="574"/>
      <c r="LHC754" s="574"/>
      <c r="LHD754" s="574"/>
      <c r="LHE754" s="574"/>
      <c r="LHF754" s="574"/>
      <c r="LHG754" s="574"/>
      <c r="LHH754" s="574"/>
      <c r="LHI754" s="574"/>
      <c r="LHJ754" s="574"/>
      <c r="LHK754" s="574"/>
      <c r="LHL754" s="574"/>
      <c r="LHM754" s="574"/>
      <c r="LHN754" s="574"/>
      <c r="LHO754" s="574"/>
      <c r="LHP754" s="574"/>
      <c r="LHQ754" s="574"/>
      <c r="LHR754" s="574"/>
      <c r="LHS754" s="574"/>
      <c r="LHT754" s="574"/>
      <c r="LHU754" s="574"/>
      <c r="LHV754" s="574"/>
      <c r="LHW754" s="574"/>
      <c r="LHX754" s="574"/>
      <c r="LHY754" s="574"/>
      <c r="LHZ754" s="574"/>
      <c r="LIA754" s="574"/>
      <c r="LIB754" s="574"/>
      <c r="LIC754" s="574"/>
      <c r="LID754" s="574"/>
      <c r="LIE754" s="574"/>
      <c r="LIF754" s="574"/>
      <c r="LIG754" s="574"/>
      <c r="LIH754" s="574"/>
      <c r="LII754" s="574"/>
      <c r="LIJ754" s="574"/>
      <c r="LIK754" s="574"/>
      <c r="LIL754" s="574"/>
      <c r="LIM754" s="574"/>
      <c r="LIN754" s="574"/>
      <c r="LIO754" s="574"/>
      <c r="LIP754" s="574"/>
      <c r="LIQ754" s="574"/>
      <c r="LIR754" s="574"/>
      <c r="LIS754" s="574"/>
      <c r="LIT754" s="574"/>
      <c r="LIU754" s="574"/>
      <c r="LIV754" s="574"/>
      <c r="LIW754" s="574"/>
      <c r="LIX754" s="574"/>
      <c r="LIY754" s="574"/>
      <c r="LIZ754" s="574"/>
      <c r="LJA754" s="574"/>
      <c r="LJB754" s="574"/>
      <c r="LJC754" s="574"/>
      <c r="LJD754" s="574"/>
      <c r="LJE754" s="574"/>
      <c r="LJF754" s="574"/>
      <c r="LJG754" s="574"/>
      <c r="LJH754" s="574"/>
      <c r="LJI754" s="574"/>
      <c r="LJJ754" s="574"/>
      <c r="LJK754" s="574"/>
      <c r="LJL754" s="574"/>
      <c r="LJM754" s="574"/>
      <c r="LJN754" s="574"/>
      <c r="LJO754" s="574"/>
      <c r="LJP754" s="574"/>
      <c r="LJQ754" s="574"/>
      <c r="LJR754" s="574"/>
      <c r="LJS754" s="574"/>
      <c r="LJT754" s="574"/>
      <c r="LJU754" s="574"/>
      <c r="LJV754" s="574"/>
      <c r="LJW754" s="574"/>
      <c r="LJX754" s="574"/>
      <c r="LJY754" s="574"/>
      <c r="LJZ754" s="574"/>
      <c r="LKA754" s="574"/>
      <c r="LKB754" s="574"/>
      <c r="LKC754" s="574"/>
      <c r="LKD754" s="574"/>
      <c r="LKE754" s="574"/>
      <c r="LKF754" s="574"/>
      <c r="LKG754" s="574"/>
      <c r="LKH754" s="574"/>
      <c r="LKI754" s="574"/>
      <c r="LKJ754" s="574"/>
      <c r="LKK754" s="574"/>
      <c r="LKL754" s="574"/>
      <c r="LKM754" s="574"/>
      <c r="LKN754" s="574"/>
      <c r="LKO754" s="574"/>
      <c r="LKP754" s="574"/>
      <c r="LKQ754" s="574"/>
      <c r="LKR754" s="574"/>
      <c r="LKS754" s="574"/>
      <c r="LKT754" s="574"/>
      <c r="LKU754" s="574"/>
      <c r="LKV754" s="574"/>
      <c r="LKW754" s="574"/>
      <c r="LKX754" s="574"/>
      <c r="LKY754" s="574"/>
      <c r="LKZ754" s="574"/>
      <c r="LLA754" s="574"/>
      <c r="LLB754" s="574"/>
      <c r="LLC754" s="574"/>
      <c r="LLD754" s="574"/>
      <c r="LLE754" s="574"/>
      <c r="LLF754" s="574"/>
      <c r="LLG754" s="574"/>
      <c r="LLH754" s="574"/>
      <c r="LLI754" s="574"/>
      <c r="LLJ754" s="574"/>
      <c r="LLK754" s="574"/>
      <c r="LLL754" s="574"/>
      <c r="LLM754" s="574"/>
      <c r="LLN754" s="574"/>
      <c r="LLO754" s="574"/>
      <c r="LLP754" s="574"/>
      <c r="LLQ754" s="574"/>
      <c r="LLR754" s="574"/>
      <c r="LLS754" s="574"/>
      <c r="LLT754" s="574"/>
      <c r="LLU754" s="574"/>
      <c r="LLV754" s="574"/>
      <c r="LLW754" s="574"/>
      <c r="LLX754" s="574"/>
      <c r="LLY754" s="574"/>
      <c r="LLZ754" s="574"/>
      <c r="LMA754" s="574"/>
      <c r="LMB754" s="574"/>
      <c r="LMC754" s="574"/>
      <c r="LMD754" s="574"/>
      <c r="LME754" s="574"/>
      <c r="LMF754" s="574"/>
      <c r="LMG754" s="574"/>
      <c r="LMH754" s="574"/>
      <c r="LMI754" s="574"/>
      <c r="LMJ754" s="574"/>
      <c r="LMK754" s="574"/>
      <c r="LML754" s="574"/>
      <c r="LMM754" s="574"/>
      <c r="LMN754" s="574"/>
      <c r="LMO754" s="574"/>
      <c r="LMP754" s="574"/>
      <c r="LMQ754" s="574"/>
      <c r="LMR754" s="574"/>
      <c r="LMS754" s="574"/>
      <c r="LMT754" s="574"/>
      <c r="LMU754" s="574"/>
      <c r="LMV754" s="574"/>
      <c r="LMW754" s="574"/>
      <c r="LMX754" s="574"/>
      <c r="LMY754" s="574"/>
      <c r="LMZ754" s="574"/>
      <c r="LNA754" s="574"/>
      <c r="LNB754" s="574"/>
      <c r="LNC754" s="574"/>
      <c r="LND754" s="574"/>
      <c r="LNE754" s="574"/>
      <c r="LNF754" s="574"/>
      <c r="LNG754" s="574"/>
      <c r="LNH754" s="574"/>
      <c r="LNI754" s="574"/>
      <c r="LNJ754" s="574"/>
      <c r="LNK754" s="574"/>
      <c r="LNL754" s="574"/>
      <c r="LNM754" s="574"/>
      <c r="LNN754" s="574"/>
      <c r="LNO754" s="574"/>
      <c r="LNP754" s="574"/>
      <c r="LNQ754" s="574"/>
      <c r="LNR754" s="574"/>
      <c r="LNS754" s="574"/>
      <c r="LNT754" s="574"/>
      <c r="LNU754" s="574"/>
      <c r="LNV754" s="574"/>
      <c r="LNW754" s="574"/>
      <c r="LNX754" s="574"/>
      <c r="LNY754" s="574"/>
      <c r="LNZ754" s="574"/>
      <c r="LOA754" s="574"/>
      <c r="LOB754" s="574"/>
      <c r="LOC754" s="574"/>
      <c r="LOD754" s="574"/>
      <c r="LOE754" s="574"/>
      <c r="LOF754" s="574"/>
      <c r="LOG754" s="574"/>
      <c r="LOH754" s="574"/>
      <c r="LOI754" s="574"/>
      <c r="LOJ754" s="574"/>
      <c r="LOK754" s="574"/>
      <c r="LOL754" s="574"/>
      <c r="LOM754" s="574"/>
      <c r="LON754" s="574"/>
      <c r="LOO754" s="574"/>
      <c r="LOP754" s="574"/>
      <c r="LOQ754" s="574"/>
      <c r="LOR754" s="574"/>
      <c r="LOS754" s="574"/>
      <c r="LOT754" s="574"/>
      <c r="LOU754" s="574"/>
      <c r="LOV754" s="574"/>
      <c r="LOW754" s="574"/>
      <c r="LOX754" s="574"/>
      <c r="LOY754" s="574"/>
      <c r="LOZ754" s="574"/>
      <c r="LPA754" s="574"/>
      <c r="LPB754" s="574"/>
      <c r="LPC754" s="574"/>
      <c r="LPD754" s="574"/>
      <c r="LPE754" s="574"/>
      <c r="LPF754" s="574"/>
      <c r="LPG754" s="574"/>
      <c r="LPH754" s="574"/>
      <c r="LPI754" s="574"/>
      <c r="LPJ754" s="574"/>
      <c r="LPK754" s="574"/>
      <c r="LPL754" s="574"/>
      <c r="LPM754" s="574"/>
      <c r="LPN754" s="574"/>
      <c r="LPO754" s="574"/>
      <c r="LPP754" s="574"/>
      <c r="LPQ754" s="574"/>
      <c r="LPR754" s="574"/>
      <c r="LPS754" s="574"/>
      <c r="LPT754" s="574"/>
      <c r="LPU754" s="574"/>
      <c r="LPV754" s="574"/>
      <c r="LPW754" s="574"/>
      <c r="LPX754" s="574"/>
      <c r="LPY754" s="574"/>
      <c r="LPZ754" s="574"/>
      <c r="LQA754" s="574"/>
      <c r="LQB754" s="574"/>
      <c r="LQC754" s="574"/>
      <c r="LQD754" s="574"/>
      <c r="LQE754" s="574"/>
      <c r="LQF754" s="574"/>
      <c r="LQG754" s="574"/>
      <c r="LQH754" s="574"/>
      <c r="LQI754" s="574"/>
      <c r="LQJ754" s="574"/>
      <c r="LQK754" s="574"/>
      <c r="LQL754" s="574"/>
      <c r="LQM754" s="574"/>
      <c r="LQN754" s="574"/>
      <c r="LQO754" s="574"/>
      <c r="LQP754" s="574"/>
      <c r="LQQ754" s="574"/>
      <c r="LQR754" s="574"/>
      <c r="LQS754" s="574"/>
      <c r="LQT754" s="574"/>
      <c r="LQU754" s="574"/>
      <c r="LQV754" s="574"/>
      <c r="LQW754" s="574"/>
      <c r="LQX754" s="574"/>
      <c r="LQY754" s="574"/>
      <c r="LQZ754" s="574"/>
      <c r="LRA754" s="574"/>
      <c r="LRB754" s="574"/>
      <c r="LRC754" s="574"/>
      <c r="LRD754" s="574"/>
      <c r="LRE754" s="574"/>
      <c r="LRF754" s="574"/>
      <c r="LRG754" s="574"/>
      <c r="LRH754" s="574"/>
      <c r="LRI754" s="574"/>
      <c r="LRJ754" s="574"/>
      <c r="LRK754" s="574"/>
      <c r="LRL754" s="574"/>
      <c r="LRM754" s="574"/>
      <c r="LRN754" s="574"/>
      <c r="LRO754" s="574"/>
      <c r="LRP754" s="574"/>
      <c r="LRQ754" s="574"/>
      <c r="LRR754" s="574"/>
      <c r="LRS754" s="574"/>
      <c r="LRT754" s="574"/>
      <c r="LRU754" s="574"/>
      <c r="LRV754" s="574"/>
      <c r="LRW754" s="574"/>
      <c r="LRX754" s="574"/>
      <c r="LRY754" s="574"/>
      <c r="LRZ754" s="574"/>
      <c r="LSA754" s="574"/>
      <c r="LSB754" s="574"/>
      <c r="LSC754" s="574"/>
      <c r="LSD754" s="574"/>
      <c r="LSE754" s="574"/>
      <c r="LSF754" s="574"/>
      <c r="LSG754" s="574"/>
      <c r="LSH754" s="574"/>
      <c r="LSI754" s="574"/>
      <c r="LSJ754" s="574"/>
      <c r="LSK754" s="574"/>
      <c r="LSL754" s="574"/>
      <c r="LSM754" s="574"/>
      <c r="LSN754" s="574"/>
      <c r="LSO754" s="574"/>
      <c r="LSP754" s="574"/>
      <c r="LSQ754" s="574"/>
      <c r="LSR754" s="574"/>
      <c r="LSS754" s="574"/>
      <c r="LST754" s="574"/>
      <c r="LSU754" s="574"/>
      <c r="LSV754" s="574"/>
      <c r="LSW754" s="574"/>
      <c r="LSX754" s="574"/>
      <c r="LSY754" s="574"/>
      <c r="LSZ754" s="574"/>
      <c r="LTA754" s="574"/>
      <c r="LTB754" s="574"/>
      <c r="LTC754" s="574"/>
      <c r="LTD754" s="574"/>
      <c r="LTE754" s="574"/>
      <c r="LTF754" s="574"/>
      <c r="LTG754" s="574"/>
      <c r="LTH754" s="574"/>
      <c r="LTI754" s="574"/>
      <c r="LTJ754" s="574"/>
      <c r="LTK754" s="574"/>
      <c r="LTL754" s="574"/>
      <c r="LTM754" s="574"/>
      <c r="LTN754" s="574"/>
      <c r="LTO754" s="574"/>
      <c r="LTP754" s="574"/>
      <c r="LTQ754" s="574"/>
      <c r="LTR754" s="574"/>
      <c r="LTS754" s="574"/>
      <c r="LTT754" s="574"/>
      <c r="LTU754" s="574"/>
      <c r="LTV754" s="574"/>
      <c r="LTW754" s="574"/>
      <c r="LTX754" s="574"/>
      <c r="LTY754" s="574"/>
      <c r="LTZ754" s="574"/>
      <c r="LUA754" s="574"/>
      <c r="LUB754" s="574"/>
      <c r="LUC754" s="574"/>
      <c r="LUD754" s="574"/>
      <c r="LUE754" s="574"/>
      <c r="LUF754" s="574"/>
      <c r="LUG754" s="574"/>
      <c r="LUH754" s="574"/>
      <c r="LUI754" s="574"/>
      <c r="LUJ754" s="574"/>
      <c r="LUK754" s="574"/>
      <c r="LUL754" s="574"/>
      <c r="LUM754" s="574"/>
      <c r="LUN754" s="574"/>
      <c r="LUO754" s="574"/>
      <c r="LUP754" s="574"/>
      <c r="LUQ754" s="574"/>
      <c r="LUR754" s="574"/>
      <c r="LUS754" s="574"/>
      <c r="LUT754" s="574"/>
      <c r="LUU754" s="574"/>
      <c r="LUV754" s="574"/>
      <c r="LUW754" s="574"/>
      <c r="LUX754" s="574"/>
      <c r="LUY754" s="574"/>
      <c r="LUZ754" s="574"/>
      <c r="LVA754" s="574"/>
      <c r="LVB754" s="574"/>
      <c r="LVC754" s="574"/>
      <c r="LVD754" s="574"/>
      <c r="LVE754" s="574"/>
      <c r="LVF754" s="574"/>
      <c r="LVG754" s="574"/>
      <c r="LVH754" s="574"/>
      <c r="LVI754" s="574"/>
      <c r="LVJ754" s="574"/>
      <c r="LVK754" s="574"/>
      <c r="LVL754" s="574"/>
      <c r="LVM754" s="574"/>
      <c r="LVN754" s="574"/>
      <c r="LVO754" s="574"/>
      <c r="LVP754" s="574"/>
      <c r="LVQ754" s="574"/>
      <c r="LVR754" s="574"/>
      <c r="LVS754" s="574"/>
      <c r="LVT754" s="574"/>
      <c r="LVU754" s="574"/>
      <c r="LVV754" s="574"/>
      <c r="LVW754" s="574"/>
      <c r="LVX754" s="574"/>
      <c r="LVY754" s="574"/>
      <c r="LVZ754" s="574"/>
      <c r="LWA754" s="574"/>
      <c r="LWB754" s="574"/>
      <c r="LWC754" s="574"/>
      <c r="LWD754" s="574"/>
      <c r="LWE754" s="574"/>
      <c r="LWF754" s="574"/>
      <c r="LWG754" s="574"/>
      <c r="LWH754" s="574"/>
      <c r="LWI754" s="574"/>
      <c r="LWJ754" s="574"/>
      <c r="LWK754" s="574"/>
      <c r="LWL754" s="574"/>
      <c r="LWM754" s="574"/>
      <c r="LWN754" s="574"/>
      <c r="LWO754" s="574"/>
      <c r="LWP754" s="574"/>
      <c r="LWQ754" s="574"/>
      <c r="LWR754" s="574"/>
      <c r="LWS754" s="574"/>
      <c r="LWT754" s="574"/>
      <c r="LWU754" s="574"/>
      <c r="LWV754" s="574"/>
      <c r="LWW754" s="574"/>
      <c r="LWX754" s="574"/>
      <c r="LWY754" s="574"/>
      <c r="LWZ754" s="574"/>
      <c r="LXA754" s="574"/>
      <c r="LXB754" s="574"/>
      <c r="LXC754" s="574"/>
      <c r="LXD754" s="574"/>
      <c r="LXE754" s="574"/>
      <c r="LXF754" s="574"/>
      <c r="LXG754" s="574"/>
      <c r="LXH754" s="574"/>
      <c r="LXI754" s="574"/>
      <c r="LXJ754" s="574"/>
      <c r="LXK754" s="574"/>
      <c r="LXL754" s="574"/>
      <c r="LXM754" s="574"/>
      <c r="LXN754" s="574"/>
      <c r="LXO754" s="574"/>
      <c r="LXP754" s="574"/>
      <c r="LXQ754" s="574"/>
      <c r="LXR754" s="574"/>
      <c r="LXS754" s="574"/>
      <c r="LXT754" s="574"/>
      <c r="LXU754" s="574"/>
      <c r="LXV754" s="574"/>
      <c r="LXW754" s="574"/>
      <c r="LXX754" s="574"/>
      <c r="LXY754" s="574"/>
      <c r="LXZ754" s="574"/>
      <c r="LYA754" s="574"/>
      <c r="LYB754" s="574"/>
      <c r="LYC754" s="574"/>
      <c r="LYD754" s="574"/>
      <c r="LYE754" s="574"/>
      <c r="LYF754" s="574"/>
      <c r="LYG754" s="574"/>
      <c r="LYH754" s="574"/>
      <c r="LYI754" s="574"/>
      <c r="LYJ754" s="574"/>
      <c r="LYK754" s="574"/>
      <c r="LYL754" s="574"/>
      <c r="LYM754" s="574"/>
      <c r="LYN754" s="574"/>
      <c r="LYO754" s="574"/>
      <c r="LYP754" s="574"/>
      <c r="LYQ754" s="574"/>
      <c r="LYR754" s="574"/>
      <c r="LYS754" s="574"/>
      <c r="LYT754" s="574"/>
      <c r="LYU754" s="574"/>
      <c r="LYV754" s="574"/>
      <c r="LYW754" s="574"/>
      <c r="LYX754" s="574"/>
      <c r="LYY754" s="574"/>
      <c r="LYZ754" s="574"/>
      <c r="LZA754" s="574"/>
      <c r="LZB754" s="574"/>
      <c r="LZC754" s="574"/>
      <c r="LZD754" s="574"/>
      <c r="LZE754" s="574"/>
      <c r="LZF754" s="574"/>
      <c r="LZG754" s="574"/>
      <c r="LZH754" s="574"/>
      <c r="LZI754" s="574"/>
      <c r="LZJ754" s="574"/>
      <c r="LZK754" s="574"/>
      <c r="LZL754" s="574"/>
      <c r="LZM754" s="574"/>
      <c r="LZN754" s="574"/>
      <c r="LZO754" s="574"/>
      <c r="LZP754" s="574"/>
      <c r="LZQ754" s="574"/>
      <c r="LZR754" s="574"/>
      <c r="LZS754" s="574"/>
      <c r="LZT754" s="574"/>
      <c r="LZU754" s="574"/>
      <c r="LZV754" s="574"/>
      <c r="LZW754" s="574"/>
      <c r="LZX754" s="574"/>
      <c r="LZY754" s="574"/>
      <c r="LZZ754" s="574"/>
      <c r="MAA754" s="574"/>
      <c r="MAB754" s="574"/>
      <c r="MAC754" s="574"/>
      <c r="MAD754" s="574"/>
      <c r="MAE754" s="574"/>
      <c r="MAF754" s="574"/>
      <c r="MAG754" s="574"/>
      <c r="MAH754" s="574"/>
      <c r="MAI754" s="574"/>
      <c r="MAJ754" s="574"/>
      <c r="MAK754" s="574"/>
      <c r="MAL754" s="574"/>
      <c r="MAM754" s="574"/>
      <c r="MAN754" s="574"/>
      <c r="MAO754" s="574"/>
      <c r="MAP754" s="574"/>
      <c r="MAQ754" s="574"/>
      <c r="MAR754" s="574"/>
      <c r="MAS754" s="574"/>
      <c r="MAT754" s="574"/>
      <c r="MAU754" s="574"/>
      <c r="MAV754" s="574"/>
      <c r="MAW754" s="574"/>
      <c r="MAX754" s="574"/>
      <c r="MAY754" s="574"/>
      <c r="MAZ754" s="574"/>
      <c r="MBA754" s="574"/>
      <c r="MBB754" s="574"/>
      <c r="MBC754" s="574"/>
      <c r="MBD754" s="574"/>
      <c r="MBE754" s="574"/>
      <c r="MBF754" s="574"/>
      <c r="MBG754" s="574"/>
      <c r="MBH754" s="574"/>
      <c r="MBI754" s="574"/>
      <c r="MBJ754" s="574"/>
      <c r="MBK754" s="574"/>
      <c r="MBL754" s="574"/>
      <c r="MBM754" s="574"/>
      <c r="MBN754" s="574"/>
      <c r="MBO754" s="574"/>
      <c r="MBP754" s="574"/>
      <c r="MBQ754" s="574"/>
      <c r="MBR754" s="574"/>
      <c r="MBS754" s="574"/>
      <c r="MBT754" s="574"/>
      <c r="MBU754" s="574"/>
      <c r="MBV754" s="574"/>
      <c r="MBW754" s="574"/>
      <c r="MBX754" s="574"/>
      <c r="MBY754" s="574"/>
      <c r="MBZ754" s="574"/>
      <c r="MCA754" s="574"/>
      <c r="MCB754" s="574"/>
      <c r="MCC754" s="574"/>
      <c r="MCD754" s="574"/>
      <c r="MCE754" s="574"/>
      <c r="MCF754" s="574"/>
      <c r="MCG754" s="574"/>
      <c r="MCH754" s="574"/>
      <c r="MCI754" s="574"/>
      <c r="MCJ754" s="574"/>
      <c r="MCK754" s="574"/>
      <c r="MCL754" s="574"/>
      <c r="MCM754" s="574"/>
      <c r="MCN754" s="574"/>
      <c r="MCO754" s="574"/>
      <c r="MCP754" s="574"/>
      <c r="MCQ754" s="574"/>
      <c r="MCR754" s="574"/>
      <c r="MCS754" s="574"/>
      <c r="MCT754" s="574"/>
      <c r="MCU754" s="574"/>
      <c r="MCV754" s="574"/>
      <c r="MCW754" s="574"/>
      <c r="MCX754" s="574"/>
      <c r="MCY754" s="574"/>
      <c r="MCZ754" s="574"/>
      <c r="MDA754" s="574"/>
      <c r="MDB754" s="574"/>
      <c r="MDC754" s="574"/>
      <c r="MDD754" s="574"/>
      <c r="MDE754" s="574"/>
      <c r="MDF754" s="574"/>
      <c r="MDG754" s="574"/>
      <c r="MDH754" s="574"/>
      <c r="MDI754" s="574"/>
      <c r="MDJ754" s="574"/>
      <c r="MDK754" s="574"/>
      <c r="MDL754" s="574"/>
      <c r="MDM754" s="574"/>
      <c r="MDN754" s="574"/>
      <c r="MDO754" s="574"/>
      <c r="MDP754" s="574"/>
      <c r="MDQ754" s="574"/>
      <c r="MDR754" s="574"/>
      <c r="MDS754" s="574"/>
      <c r="MDT754" s="574"/>
      <c r="MDU754" s="574"/>
      <c r="MDV754" s="574"/>
      <c r="MDW754" s="574"/>
      <c r="MDX754" s="574"/>
      <c r="MDY754" s="574"/>
      <c r="MDZ754" s="574"/>
      <c r="MEA754" s="574"/>
      <c r="MEB754" s="574"/>
      <c r="MEC754" s="574"/>
      <c r="MED754" s="574"/>
      <c r="MEE754" s="574"/>
      <c r="MEF754" s="574"/>
      <c r="MEG754" s="574"/>
      <c r="MEH754" s="574"/>
      <c r="MEI754" s="574"/>
      <c r="MEJ754" s="574"/>
      <c r="MEK754" s="574"/>
      <c r="MEL754" s="574"/>
      <c r="MEM754" s="574"/>
      <c r="MEN754" s="574"/>
      <c r="MEO754" s="574"/>
      <c r="MEP754" s="574"/>
      <c r="MEQ754" s="574"/>
      <c r="MER754" s="574"/>
      <c r="MES754" s="574"/>
      <c r="MET754" s="574"/>
      <c r="MEU754" s="574"/>
      <c r="MEV754" s="574"/>
      <c r="MEW754" s="574"/>
      <c r="MEX754" s="574"/>
      <c r="MEY754" s="574"/>
      <c r="MEZ754" s="574"/>
      <c r="MFA754" s="574"/>
      <c r="MFB754" s="574"/>
      <c r="MFC754" s="574"/>
      <c r="MFD754" s="574"/>
      <c r="MFE754" s="574"/>
      <c r="MFF754" s="574"/>
      <c r="MFG754" s="574"/>
      <c r="MFH754" s="574"/>
      <c r="MFI754" s="574"/>
      <c r="MFJ754" s="574"/>
      <c r="MFK754" s="574"/>
      <c r="MFL754" s="574"/>
      <c r="MFM754" s="574"/>
      <c r="MFN754" s="574"/>
      <c r="MFO754" s="574"/>
      <c r="MFP754" s="574"/>
      <c r="MFQ754" s="574"/>
      <c r="MFR754" s="574"/>
      <c r="MFS754" s="574"/>
      <c r="MFT754" s="574"/>
      <c r="MFU754" s="574"/>
      <c r="MFV754" s="574"/>
      <c r="MFW754" s="574"/>
      <c r="MFX754" s="574"/>
      <c r="MFY754" s="574"/>
      <c r="MFZ754" s="574"/>
      <c r="MGA754" s="574"/>
      <c r="MGB754" s="574"/>
      <c r="MGC754" s="574"/>
      <c r="MGD754" s="574"/>
      <c r="MGE754" s="574"/>
      <c r="MGF754" s="574"/>
      <c r="MGG754" s="574"/>
      <c r="MGH754" s="574"/>
      <c r="MGI754" s="574"/>
      <c r="MGJ754" s="574"/>
      <c r="MGK754" s="574"/>
      <c r="MGL754" s="574"/>
      <c r="MGM754" s="574"/>
      <c r="MGN754" s="574"/>
      <c r="MGO754" s="574"/>
      <c r="MGP754" s="574"/>
      <c r="MGQ754" s="574"/>
      <c r="MGR754" s="574"/>
      <c r="MGS754" s="574"/>
      <c r="MGT754" s="574"/>
      <c r="MGU754" s="574"/>
      <c r="MGV754" s="574"/>
      <c r="MGW754" s="574"/>
      <c r="MGX754" s="574"/>
      <c r="MGY754" s="574"/>
      <c r="MGZ754" s="574"/>
      <c r="MHA754" s="574"/>
      <c r="MHB754" s="574"/>
      <c r="MHC754" s="574"/>
      <c r="MHD754" s="574"/>
      <c r="MHE754" s="574"/>
      <c r="MHF754" s="574"/>
      <c r="MHG754" s="574"/>
      <c r="MHH754" s="574"/>
      <c r="MHI754" s="574"/>
      <c r="MHJ754" s="574"/>
      <c r="MHK754" s="574"/>
      <c r="MHL754" s="574"/>
      <c r="MHM754" s="574"/>
      <c r="MHN754" s="574"/>
      <c r="MHO754" s="574"/>
      <c r="MHP754" s="574"/>
      <c r="MHQ754" s="574"/>
      <c r="MHR754" s="574"/>
      <c r="MHS754" s="574"/>
      <c r="MHT754" s="574"/>
      <c r="MHU754" s="574"/>
      <c r="MHV754" s="574"/>
      <c r="MHW754" s="574"/>
      <c r="MHX754" s="574"/>
      <c r="MHY754" s="574"/>
      <c r="MHZ754" s="574"/>
      <c r="MIA754" s="574"/>
      <c r="MIB754" s="574"/>
      <c r="MIC754" s="574"/>
      <c r="MID754" s="574"/>
      <c r="MIE754" s="574"/>
      <c r="MIF754" s="574"/>
      <c r="MIG754" s="574"/>
      <c r="MIH754" s="574"/>
      <c r="MII754" s="574"/>
      <c r="MIJ754" s="574"/>
      <c r="MIK754" s="574"/>
      <c r="MIL754" s="574"/>
      <c r="MIM754" s="574"/>
      <c r="MIN754" s="574"/>
      <c r="MIO754" s="574"/>
      <c r="MIP754" s="574"/>
      <c r="MIQ754" s="574"/>
      <c r="MIR754" s="574"/>
      <c r="MIS754" s="574"/>
      <c r="MIT754" s="574"/>
      <c r="MIU754" s="574"/>
      <c r="MIV754" s="574"/>
      <c r="MIW754" s="574"/>
      <c r="MIX754" s="574"/>
      <c r="MIY754" s="574"/>
      <c r="MIZ754" s="574"/>
      <c r="MJA754" s="574"/>
      <c r="MJB754" s="574"/>
      <c r="MJC754" s="574"/>
      <c r="MJD754" s="574"/>
      <c r="MJE754" s="574"/>
      <c r="MJF754" s="574"/>
      <c r="MJG754" s="574"/>
      <c r="MJH754" s="574"/>
      <c r="MJI754" s="574"/>
      <c r="MJJ754" s="574"/>
      <c r="MJK754" s="574"/>
      <c r="MJL754" s="574"/>
      <c r="MJM754" s="574"/>
      <c r="MJN754" s="574"/>
      <c r="MJO754" s="574"/>
      <c r="MJP754" s="574"/>
      <c r="MJQ754" s="574"/>
      <c r="MJR754" s="574"/>
      <c r="MJS754" s="574"/>
      <c r="MJT754" s="574"/>
      <c r="MJU754" s="574"/>
      <c r="MJV754" s="574"/>
      <c r="MJW754" s="574"/>
      <c r="MJX754" s="574"/>
      <c r="MJY754" s="574"/>
      <c r="MJZ754" s="574"/>
      <c r="MKA754" s="574"/>
      <c r="MKB754" s="574"/>
      <c r="MKC754" s="574"/>
      <c r="MKD754" s="574"/>
      <c r="MKE754" s="574"/>
      <c r="MKF754" s="574"/>
      <c r="MKG754" s="574"/>
      <c r="MKH754" s="574"/>
      <c r="MKI754" s="574"/>
      <c r="MKJ754" s="574"/>
      <c r="MKK754" s="574"/>
      <c r="MKL754" s="574"/>
      <c r="MKM754" s="574"/>
      <c r="MKN754" s="574"/>
      <c r="MKO754" s="574"/>
      <c r="MKP754" s="574"/>
      <c r="MKQ754" s="574"/>
      <c r="MKR754" s="574"/>
      <c r="MKS754" s="574"/>
      <c r="MKT754" s="574"/>
      <c r="MKU754" s="574"/>
      <c r="MKV754" s="574"/>
      <c r="MKW754" s="574"/>
      <c r="MKX754" s="574"/>
      <c r="MKY754" s="574"/>
      <c r="MKZ754" s="574"/>
      <c r="MLA754" s="574"/>
      <c r="MLB754" s="574"/>
      <c r="MLC754" s="574"/>
      <c r="MLD754" s="574"/>
      <c r="MLE754" s="574"/>
      <c r="MLF754" s="574"/>
      <c r="MLG754" s="574"/>
      <c r="MLH754" s="574"/>
      <c r="MLI754" s="574"/>
      <c r="MLJ754" s="574"/>
      <c r="MLK754" s="574"/>
      <c r="MLL754" s="574"/>
      <c r="MLM754" s="574"/>
      <c r="MLN754" s="574"/>
      <c r="MLO754" s="574"/>
      <c r="MLP754" s="574"/>
      <c r="MLQ754" s="574"/>
      <c r="MLR754" s="574"/>
      <c r="MLS754" s="574"/>
      <c r="MLT754" s="574"/>
      <c r="MLU754" s="574"/>
      <c r="MLV754" s="574"/>
      <c r="MLW754" s="574"/>
      <c r="MLX754" s="574"/>
      <c r="MLY754" s="574"/>
      <c r="MLZ754" s="574"/>
      <c r="MMA754" s="574"/>
      <c r="MMB754" s="574"/>
      <c r="MMC754" s="574"/>
      <c r="MMD754" s="574"/>
      <c r="MME754" s="574"/>
      <c r="MMF754" s="574"/>
      <c r="MMG754" s="574"/>
      <c r="MMH754" s="574"/>
      <c r="MMI754" s="574"/>
      <c r="MMJ754" s="574"/>
      <c r="MMK754" s="574"/>
      <c r="MML754" s="574"/>
      <c r="MMM754" s="574"/>
      <c r="MMN754" s="574"/>
      <c r="MMO754" s="574"/>
      <c r="MMP754" s="574"/>
      <c r="MMQ754" s="574"/>
      <c r="MMR754" s="574"/>
      <c r="MMS754" s="574"/>
      <c r="MMT754" s="574"/>
      <c r="MMU754" s="574"/>
      <c r="MMV754" s="574"/>
      <c r="MMW754" s="574"/>
      <c r="MMX754" s="574"/>
      <c r="MMY754" s="574"/>
      <c r="MMZ754" s="574"/>
      <c r="MNA754" s="574"/>
      <c r="MNB754" s="574"/>
      <c r="MNC754" s="574"/>
      <c r="MND754" s="574"/>
      <c r="MNE754" s="574"/>
      <c r="MNF754" s="574"/>
      <c r="MNG754" s="574"/>
      <c r="MNH754" s="574"/>
      <c r="MNI754" s="574"/>
      <c r="MNJ754" s="574"/>
      <c r="MNK754" s="574"/>
      <c r="MNL754" s="574"/>
      <c r="MNM754" s="574"/>
      <c r="MNN754" s="574"/>
      <c r="MNO754" s="574"/>
      <c r="MNP754" s="574"/>
      <c r="MNQ754" s="574"/>
      <c r="MNR754" s="574"/>
      <c r="MNS754" s="574"/>
      <c r="MNT754" s="574"/>
      <c r="MNU754" s="574"/>
      <c r="MNV754" s="574"/>
      <c r="MNW754" s="574"/>
      <c r="MNX754" s="574"/>
      <c r="MNY754" s="574"/>
      <c r="MNZ754" s="574"/>
      <c r="MOA754" s="574"/>
      <c r="MOB754" s="574"/>
      <c r="MOC754" s="574"/>
      <c r="MOD754" s="574"/>
      <c r="MOE754" s="574"/>
      <c r="MOF754" s="574"/>
      <c r="MOG754" s="574"/>
      <c r="MOH754" s="574"/>
      <c r="MOI754" s="574"/>
      <c r="MOJ754" s="574"/>
      <c r="MOK754" s="574"/>
      <c r="MOL754" s="574"/>
      <c r="MOM754" s="574"/>
      <c r="MON754" s="574"/>
      <c r="MOO754" s="574"/>
      <c r="MOP754" s="574"/>
      <c r="MOQ754" s="574"/>
      <c r="MOR754" s="574"/>
      <c r="MOS754" s="574"/>
      <c r="MOT754" s="574"/>
      <c r="MOU754" s="574"/>
      <c r="MOV754" s="574"/>
      <c r="MOW754" s="574"/>
      <c r="MOX754" s="574"/>
      <c r="MOY754" s="574"/>
      <c r="MOZ754" s="574"/>
      <c r="MPA754" s="574"/>
      <c r="MPB754" s="574"/>
      <c r="MPC754" s="574"/>
      <c r="MPD754" s="574"/>
      <c r="MPE754" s="574"/>
      <c r="MPF754" s="574"/>
      <c r="MPG754" s="574"/>
      <c r="MPH754" s="574"/>
      <c r="MPI754" s="574"/>
      <c r="MPJ754" s="574"/>
      <c r="MPK754" s="574"/>
      <c r="MPL754" s="574"/>
      <c r="MPM754" s="574"/>
      <c r="MPN754" s="574"/>
      <c r="MPO754" s="574"/>
      <c r="MPP754" s="574"/>
      <c r="MPQ754" s="574"/>
      <c r="MPR754" s="574"/>
      <c r="MPS754" s="574"/>
      <c r="MPT754" s="574"/>
      <c r="MPU754" s="574"/>
      <c r="MPV754" s="574"/>
      <c r="MPW754" s="574"/>
      <c r="MPX754" s="574"/>
      <c r="MPY754" s="574"/>
      <c r="MPZ754" s="574"/>
      <c r="MQA754" s="574"/>
      <c r="MQB754" s="574"/>
      <c r="MQC754" s="574"/>
      <c r="MQD754" s="574"/>
      <c r="MQE754" s="574"/>
      <c r="MQF754" s="574"/>
      <c r="MQG754" s="574"/>
      <c r="MQH754" s="574"/>
      <c r="MQI754" s="574"/>
      <c r="MQJ754" s="574"/>
      <c r="MQK754" s="574"/>
      <c r="MQL754" s="574"/>
      <c r="MQM754" s="574"/>
      <c r="MQN754" s="574"/>
      <c r="MQO754" s="574"/>
      <c r="MQP754" s="574"/>
      <c r="MQQ754" s="574"/>
      <c r="MQR754" s="574"/>
      <c r="MQS754" s="574"/>
      <c r="MQT754" s="574"/>
      <c r="MQU754" s="574"/>
      <c r="MQV754" s="574"/>
      <c r="MQW754" s="574"/>
      <c r="MQX754" s="574"/>
      <c r="MQY754" s="574"/>
      <c r="MQZ754" s="574"/>
      <c r="MRA754" s="574"/>
      <c r="MRB754" s="574"/>
      <c r="MRC754" s="574"/>
      <c r="MRD754" s="574"/>
      <c r="MRE754" s="574"/>
      <c r="MRF754" s="574"/>
      <c r="MRG754" s="574"/>
      <c r="MRH754" s="574"/>
      <c r="MRI754" s="574"/>
      <c r="MRJ754" s="574"/>
      <c r="MRK754" s="574"/>
      <c r="MRL754" s="574"/>
      <c r="MRM754" s="574"/>
      <c r="MRN754" s="574"/>
      <c r="MRO754" s="574"/>
      <c r="MRP754" s="574"/>
      <c r="MRQ754" s="574"/>
      <c r="MRR754" s="574"/>
      <c r="MRS754" s="574"/>
      <c r="MRT754" s="574"/>
      <c r="MRU754" s="574"/>
      <c r="MRV754" s="574"/>
      <c r="MRW754" s="574"/>
      <c r="MRX754" s="574"/>
      <c r="MRY754" s="574"/>
      <c r="MRZ754" s="574"/>
      <c r="MSA754" s="574"/>
      <c r="MSB754" s="574"/>
      <c r="MSC754" s="574"/>
      <c r="MSD754" s="574"/>
      <c r="MSE754" s="574"/>
      <c r="MSF754" s="574"/>
      <c r="MSG754" s="574"/>
      <c r="MSH754" s="574"/>
      <c r="MSI754" s="574"/>
      <c r="MSJ754" s="574"/>
      <c r="MSK754" s="574"/>
      <c r="MSL754" s="574"/>
      <c r="MSM754" s="574"/>
      <c r="MSN754" s="574"/>
      <c r="MSO754" s="574"/>
      <c r="MSP754" s="574"/>
      <c r="MSQ754" s="574"/>
      <c r="MSR754" s="574"/>
      <c r="MSS754" s="574"/>
      <c r="MST754" s="574"/>
      <c r="MSU754" s="574"/>
      <c r="MSV754" s="574"/>
      <c r="MSW754" s="574"/>
      <c r="MSX754" s="574"/>
      <c r="MSY754" s="574"/>
      <c r="MSZ754" s="574"/>
      <c r="MTA754" s="574"/>
      <c r="MTB754" s="574"/>
      <c r="MTC754" s="574"/>
      <c r="MTD754" s="574"/>
      <c r="MTE754" s="574"/>
      <c r="MTF754" s="574"/>
      <c r="MTG754" s="574"/>
      <c r="MTH754" s="574"/>
      <c r="MTI754" s="574"/>
      <c r="MTJ754" s="574"/>
      <c r="MTK754" s="574"/>
      <c r="MTL754" s="574"/>
      <c r="MTM754" s="574"/>
      <c r="MTN754" s="574"/>
      <c r="MTO754" s="574"/>
      <c r="MTP754" s="574"/>
      <c r="MTQ754" s="574"/>
      <c r="MTR754" s="574"/>
      <c r="MTS754" s="574"/>
      <c r="MTT754" s="574"/>
      <c r="MTU754" s="574"/>
      <c r="MTV754" s="574"/>
      <c r="MTW754" s="574"/>
      <c r="MTX754" s="574"/>
      <c r="MTY754" s="574"/>
      <c r="MTZ754" s="574"/>
      <c r="MUA754" s="574"/>
      <c r="MUB754" s="574"/>
      <c r="MUC754" s="574"/>
      <c r="MUD754" s="574"/>
      <c r="MUE754" s="574"/>
      <c r="MUF754" s="574"/>
      <c r="MUG754" s="574"/>
      <c r="MUH754" s="574"/>
      <c r="MUI754" s="574"/>
      <c r="MUJ754" s="574"/>
      <c r="MUK754" s="574"/>
      <c r="MUL754" s="574"/>
      <c r="MUM754" s="574"/>
      <c r="MUN754" s="574"/>
      <c r="MUO754" s="574"/>
      <c r="MUP754" s="574"/>
      <c r="MUQ754" s="574"/>
      <c r="MUR754" s="574"/>
      <c r="MUS754" s="574"/>
      <c r="MUT754" s="574"/>
      <c r="MUU754" s="574"/>
      <c r="MUV754" s="574"/>
      <c r="MUW754" s="574"/>
      <c r="MUX754" s="574"/>
      <c r="MUY754" s="574"/>
      <c r="MUZ754" s="574"/>
      <c r="MVA754" s="574"/>
      <c r="MVB754" s="574"/>
      <c r="MVC754" s="574"/>
      <c r="MVD754" s="574"/>
      <c r="MVE754" s="574"/>
      <c r="MVF754" s="574"/>
      <c r="MVG754" s="574"/>
      <c r="MVH754" s="574"/>
      <c r="MVI754" s="574"/>
      <c r="MVJ754" s="574"/>
      <c r="MVK754" s="574"/>
      <c r="MVL754" s="574"/>
      <c r="MVM754" s="574"/>
      <c r="MVN754" s="574"/>
      <c r="MVO754" s="574"/>
      <c r="MVP754" s="574"/>
      <c r="MVQ754" s="574"/>
      <c r="MVR754" s="574"/>
      <c r="MVS754" s="574"/>
      <c r="MVT754" s="574"/>
      <c r="MVU754" s="574"/>
      <c r="MVV754" s="574"/>
      <c r="MVW754" s="574"/>
      <c r="MVX754" s="574"/>
      <c r="MVY754" s="574"/>
      <c r="MVZ754" s="574"/>
      <c r="MWA754" s="574"/>
      <c r="MWB754" s="574"/>
      <c r="MWC754" s="574"/>
      <c r="MWD754" s="574"/>
      <c r="MWE754" s="574"/>
      <c r="MWF754" s="574"/>
      <c r="MWG754" s="574"/>
      <c r="MWH754" s="574"/>
      <c r="MWI754" s="574"/>
      <c r="MWJ754" s="574"/>
      <c r="MWK754" s="574"/>
      <c r="MWL754" s="574"/>
      <c r="MWM754" s="574"/>
      <c r="MWN754" s="574"/>
      <c r="MWO754" s="574"/>
      <c r="MWP754" s="574"/>
      <c r="MWQ754" s="574"/>
      <c r="MWR754" s="574"/>
      <c r="MWS754" s="574"/>
      <c r="MWT754" s="574"/>
      <c r="MWU754" s="574"/>
      <c r="MWV754" s="574"/>
      <c r="MWW754" s="574"/>
      <c r="MWX754" s="574"/>
      <c r="MWY754" s="574"/>
      <c r="MWZ754" s="574"/>
      <c r="MXA754" s="574"/>
      <c r="MXB754" s="574"/>
      <c r="MXC754" s="574"/>
      <c r="MXD754" s="574"/>
      <c r="MXE754" s="574"/>
      <c r="MXF754" s="574"/>
      <c r="MXG754" s="574"/>
      <c r="MXH754" s="574"/>
      <c r="MXI754" s="574"/>
      <c r="MXJ754" s="574"/>
      <c r="MXK754" s="574"/>
      <c r="MXL754" s="574"/>
      <c r="MXM754" s="574"/>
      <c r="MXN754" s="574"/>
      <c r="MXO754" s="574"/>
      <c r="MXP754" s="574"/>
      <c r="MXQ754" s="574"/>
      <c r="MXR754" s="574"/>
      <c r="MXS754" s="574"/>
      <c r="MXT754" s="574"/>
      <c r="MXU754" s="574"/>
      <c r="MXV754" s="574"/>
      <c r="MXW754" s="574"/>
      <c r="MXX754" s="574"/>
      <c r="MXY754" s="574"/>
      <c r="MXZ754" s="574"/>
      <c r="MYA754" s="574"/>
      <c r="MYB754" s="574"/>
      <c r="MYC754" s="574"/>
      <c r="MYD754" s="574"/>
      <c r="MYE754" s="574"/>
      <c r="MYF754" s="574"/>
      <c r="MYG754" s="574"/>
      <c r="MYH754" s="574"/>
      <c r="MYI754" s="574"/>
      <c r="MYJ754" s="574"/>
      <c r="MYK754" s="574"/>
      <c r="MYL754" s="574"/>
      <c r="MYM754" s="574"/>
      <c r="MYN754" s="574"/>
      <c r="MYO754" s="574"/>
      <c r="MYP754" s="574"/>
      <c r="MYQ754" s="574"/>
      <c r="MYR754" s="574"/>
      <c r="MYS754" s="574"/>
      <c r="MYT754" s="574"/>
      <c r="MYU754" s="574"/>
      <c r="MYV754" s="574"/>
      <c r="MYW754" s="574"/>
      <c r="MYX754" s="574"/>
      <c r="MYY754" s="574"/>
      <c r="MYZ754" s="574"/>
      <c r="MZA754" s="574"/>
      <c r="MZB754" s="574"/>
      <c r="MZC754" s="574"/>
      <c r="MZD754" s="574"/>
      <c r="MZE754" s="574"/>
      <c r="MZF754" s="574"/>
      <c r="MZG754" s="574"/>
      <c r="MZH754" s="574"/>
      <c r="MZI754" s="574"/>
      <c r="MZJ754" s="574"/>
      <c r="MZK754" s="574"/>
      <c r="MZL754" s="574"/>
      <c r="MZM754" s="574"/>
      <c r="MZN754" s="574"/>
      <c r="MZO754" s="574"/>
      <c r="MZP754" s="574"/>
      <c r="MZQ754" s="574"/>
      <c r="MZR754" s="574"/>
      <c r="MZS754" s="574"/>
      <c r="MZT754" s="574"/>
      <c r="MZU754" s="574"/>
      <c r="MZV754" s="574"/>
      <c r="MZW754" s="574"/>
      <c r="MZX754" s="574"/>
      <c r="MZY754" s="574"/>
      <c r="MZZ754" s="574"/>
      <c r="NAA754" s="574"/>
      <c r="NAB754" s="574"/>
      <c r="NAC754" s="574"/>
      <c r="NAD754" s="574"/>
      <c r="NAE754" s="574"/>
      <c r="NAF754" s="574"/>
      <c r="NAG754" s="574"/>
      <c r="NAH754" s="574"/>
      <c r="NAI754" s="574"/>
      <c r="NAJ754" s="574"/>
      <c r="NAK754" s="574"/>
      <c r="NAL754" s="574"/>
      <c r="NAM754" s="574"/>
      <c r="NAN754" s="574"/>
      <c r="NAO754" s="574"/>
      <c r="NAP754" s="574"/>
      <c r="NAQ754" s="574"/>
      <c r="NAR754" s="574"/>
      <c r="NAS754" s="574"/>
      <c r="NAT754" s="574"/>
      <c r="NAU754" s="574"/>
      <c r="NAV754" s="574"/>
      <c r="NAW754" s="574"/>
      <c r="NAX754" s="574"/>
      <c r="NAY754" s="574"/>
      <c r="NAZ754" s="574"/>
      <c r="NBA754" s="574"/>
      <c r="NBB754" s="574"/>
      <c r="NBC754" s="574"/>
      <c r="NBD754" s="574"/>
      <c r="NBE754" s="574"/>
      <c r="NBF754" s="574"/>
      <c r="NBG754" s="574"/>
      <c r="NBH754" s="574"/>
      <c r="NBI754" s="574"/>
      <c r="NBJ754" s="574"/>
      <c r="NBK754" s="574"/>
      <c r="NBL754" s="574"/>
      <c r="NBM754" s="574"/>
      <c r="NBN754" s="574"/>
      <c r="NBO754" s="574"/>
      <c r="NBP754" s="574"/>
      <c r="NBQ754" s="574"/>
      <c r="NBR754" s="574"/>
      <c r="NBS754" s="574"/>
      <c r="NBT754" s="574"/>
      <c r="NBU754" s="574"/>
      <c r="NBV754" s="574"/>
      <c r="NBW754" s="574"/>
      <c r="NBX754" s="574"/>
      <c r="NBY754" s="574"/>
      <c r="NBZ754" s="574"/>
      <c r="NCA754" s="574"/>
      <c r="NCB754" s="574"/>
      <c r="NCC754" s="574"/>
      <c r="NCD754" s="574"/>
      <c r="NCE754" s="574"/>
      <c r="NCF754" s="574"/>
      <c r="NCG754" s="574"/>
      <c r="NCH754" s="574"/>
      <c r="NCI754" s="574"/>
      <c r="NCJ754" s="574"/>
      <c r="NCK754" s="574"/>
      <c r="NCL754" s="574"/>
      <c r="NCM754" s="574"/>
      <c r="NCN754" s="574"/>
      <c r="NCO754" s="574"/>
      <c r="NCP754" s="574"/>
      <c r="NCQ754" s="574"/>
      <c r="NCR754" s="574"/>
      <c r="NCS754" s="574"/>
      <c r="NCT754" s="574"/>
      <c r="NCU754" s="574"/>
      <c r="NCV754" s="574"/>
      <c r="NCW754" s="574"/>
      <c r="NCX754" s="574"/>
      <c r="NCY754" s="574"/>
      <c r="NCZ754" s="574"/>
      <c r="NDA754" s="574"/>
      <c r="NDB754" s="574"/>
      <c r="NDC754" s="574"/>
      <c r="NDD754" s="574"/>
      <c r="NDE754" s="574"/>
      <c r="NDF754" s="574"/>
      <c r="NDG754" s="574"/>
      <c r="NDH754" s="574"/>
      <c r="NDI754" s="574"/>
      <c r="NDJ754" s="574"/>
      <c r="NDK754" s="574"/>
      <c r="NDL754" s="574"/>
      <c r="NDM754" s="574"/>
      <c r="NDN754" s="574"/>
      <c r="NDO754" s="574"/>
      <c r="NDP754" s="574"/>
      <c r="NDQ754" s="574"/>
      <c r="NDR754" s="574"/>
      <c r="NDS754" s="574"/>
      <c r="NDT754" s="574"/>
      <c r="NDU754" s="574"/>
      <c r="NDV754" s="574"/>
      <c r="NDW754" s="574"/>
      <c r="NDX754" s="574"/>
      <c r="NDY754" s="574"/>
      <c r="NDZ754" s="574"/>
      <c r="NEA754" s="574"/>
      <c r="NEB754" s="574"/>
      <c r="NEC754" s="574"/>
      <c r="NED754" s="574"/>
      <c r="NEE754" s="574"/>
      <c r="NEF754" s="574"/>
      <c r="NEG754" s="574"/>
      <c r="NEH754" s="574"/>
      <c r="NEI754" s="574"/>
      <c r="NEJ754" s="574"/>
      <c r="NEK754" s="574"/>
      <c r="NEL754" s="574"/>
      <c r="NEM754" s="574"/>
      <c r="NEN754" s="574"/>
      <c r="NEO754" s="574"/>
      <c r="NEP754" s="574"/>
      <c r="NEQ754" s="574"/>
      <c r="NER754" s="574"/>
      <c r="NES754" s="574"/>
      <c r="NET754" s="574"/>
      <c r="NEU754" s="574"/>
      <c r="NEV754" s="574"/>
      <c r="NEW754" s="574"/>
      <c r="NEX754" s="574"/>
      <c r="NEY754" s="574"/>
      <c r="NEZ754" s="574"/>
      <c r="NFA754" s="574"/>
      <c r="NFB754" s="574"/>
      <c r="NFC754" s="574"/>
      <c r="NFD754" s="574"/>
      <c r="NFE754" s="574"/>
      <c r="NFF754" s="574"/>
      <c r="NFG754" s="574"/>
      <c r="NFH754" s="574"/>
      <c r="NFI754" s="574"/>
      <c r="NFJ754" s="574"/>
      <c r="NFK754" s="574"/>
      <c r="NFL754" s="574"/>
      <c r="NFM754" s="574"/>
      <c r="NFN754" s="574"/>
      <c r="NFO754" s="574"/>
      <c r="NFP754" s="574"/>
      <c r="NFQ754" s="574"/>
      <c r="NFR754" s="574"/>
      <c r="NFS754" s="574"/>
      <c r="NFT754" s="574"/>
      <c r="NFU754" s="574"/>
      <c r="NFV754" s="574"/>
      <c r="NFW754" s="574"/>
      <c r="NFX754" s="574"/>
      <c r="NFY754" s="574"/>
      <c r="NFZ754" s="574"/>
      <c r="NGA754" s="574"/>
      <c r="NGB754" s="574"/>
      <c r="NGC754" s="574"/>
      <c r="NGD754" s="574"/>
      <c r="NGE754" s="574"/>
      <c r="NGF754" s="574"/>
      <c r="NGG754" s="574"/>
      <c r="NGH754" s="574"/>
      <c r="NGI754" s="574"/>
      <c r="NGJ754" s="574"/>
      <c r="NGK754" s="574"/>
      <c r="NGL754" s="574"/>
      <c r="NGM754" s="574"/>
      <c r="NGN754" s="574"/>
      <c r="NGO754" s="574"/>
      <c r="NGP754" s="574"/>
      <c r="NGQ754" s="574"/>
      <c r="NGR754" s="574"/>
      <c r="NGS754" s="574"/>
      <c r="NGT754" s="574"/>
      <c r="NGU754" s="574"/>
      <c r="NGV754" s="574"/>
      <c r="NGW754" s="574"/>
      <c r="NGX754" s="574"/>
      <c r="NGY754" s="574"/>
      <c r="NGZ754" s="574"/>
      <c r="NHA754" s="574"/>
      <c r="NHB754" s="574"/>
      <c r="NHC754" s="574"/>
      <c r="NHD754" s="574"/>
      <c r="NHE754" s="574"/>
      <c r="NHF754" s="574"/>
      <c r="NHG754" s="574"/>
      <c r="NHH754" s="574"/>
      <c r="NHI754" s="574"/>
      <c r="NHJ754" s="574"/>
      <c r="NHK754" s="574"/>
      <c r="NHL754" s="574"/>
      <c r="NHM754" s="574"/>
      <c r="NHN754" s="574"/>
      <c r="NHO754" s="574"/>
      <c r="NHP754" s="574"/>
      <c r="NHQ754" s="574"/>
      <c r="NHR754" s="574"/>
      <c r="NHS754" s="574"/>
      <c r="NHT754" s="574"/>
      <c r="NHU754" s="574"/>
      <c r="NHV754" s="574"/>
      <c r="NHW754" s="574"/>
      <c r="NHX754" s="574"/>
      <c r="NHY754" s="574"/>
      <c r="NHZ754" s="574"/>
      <c r="NIA754" s="574"/>
      <c r="NIB754" s="574"/>
      <c r="NIC754" s="574"/>
      <c r="NID754" s="574"/>
      <c r="NIE754" s="574"/>
      <c r="NIF754" s="574"/>
      <c r="NIG754" s="574"/>
      <c r="NIH754" s="574"/>
      <c r="NII754" s="574"/>
      <c r="NIJ754" s="574"/>
      <c r="NIK754" s="574"/>
      <c r="NIL754" s="574"/>
      <c r="NIM754" s="574"/>
      <c r="NIN754" s="574"/>
      <c r="NIO754" s="574"/>
      <c r="NIP754" s="574"/>
      <c r="NIQ754" s="574"/>
      <c r="NIR754" s="574"/>
      <c r="NIS754" s="574"/>
      <c r="NIT754" s="574"/>
      <c r="NIU754" s="574"/>
      <c r="NIV754" s="574"/>
      <c r="NIW754" s="574"/>
      <c r="NIX754" s="574"/>
      <c r="NIY754" s="574"/>
      <c r="NIZ754" s="574"/>
      <c r="NJA754" s="574"/>
      <c r="NJB754" s="574"/>
      <c r="NJC754" s="574"/>
      <c r="NJD754" s="574"/>
      <c r="NJE754" s="574"/>
      <c r="NJF754" s="574"/>
      <c r="NJG754" s="574"/>
      <c r="NJH754" s="574"/>
      <c r="NJI754" s="574"/>
      <c r="NJJ754" s="574"/>
      <c r="NJK754" s="574"/>
      <c r="NJL754" s="574"/>
      <c r="NJM754" s="574"/>
      <c r="NJN754" s="574"/>
      <c r="NJO754" s="574"/>
      <c r="NJP754" s="574"/>
      <c r="NJQ754" s="574"/>
      <c r="NJR754" s="574"/>
      <c r="NJS754" s="574"/>
      <c r="NJT754" s="574"/>
      <c r="NJU754" s="574"/>
      <c r="NJV754" s="574"/>
      <c r="NJW754" s="574"/>
      <c r="NJX754" s="574"/>
      <c r="NJY754" s="574"/>
      <c r="NJZ754" s="574"/>
      <c r="NKA754" s="574"/>
      <c r="NKB754" s="574"/>
      <c r="NKC754" s="574"/>
      <c r="NKD754" s="574"/>
      <c r="NKE754" s="574"/>
      <c r="NKF754" s="574"/>
      <c r="NKG754" s="574"/>
      <c r="NKH754" s="574"/>
      <c r="NKI754" s="574"/>
      <c r="NKJ754" s="574"/>
      <c r="NKK754" s="574"/>
      <c r="NKL754" s="574"/>
      <c r="NKM754" s="574"/>
      <c r="NKN754" s="574"/>
      <c r="NKO754" s="574"/>
      <c r="NKP754" s="574"/>
      <c r="NKQ754" s="574"/>
      <c r="NKR754" s="574"/>
      <c r="NKS754" s="574"/>
      <c r="NKT754" s="574"/>
      <c r="NKU754" s="574"/>
      <c r="NKV754" s="574"/>
      <c r="NKW754" s="574"/>
      <c r="NKX754" s="574"/>
      <c r="NKY754" s="574"/>
      <c r="NKZ754" s="574"/>
      <c r="NLA754" s="574"/>
      <c r="NLB754" s="574"/>
      <c r="NLC754" s="574"/>
      <c r="NLD754" s="574"/>
      <c r="NLE754" s="574"/>
      <c r="NLF754" s="574"/>
      <c r="NLG754" s="574"/>
      <c r="NLH754" s="574"/>
      <c r="NLI754" s="574"/>
      <c r="NLJ754" s="574"/>
      <c r="NLK754" s="574"/>
      <c r="NLL754" s="574"/>
      <c r="NLM754" s="574"/>
      <c r="NLN754" s="574"/>
      <c r="NLO754" s="574"/>
      <c r="NLP754" s="574"/>
      <c r="NLQ754" s="574"/>
      <c r="NLR754" s="574"/>
      <c r="NLS754" s="574"/>
      <c r="NLT754" s="574"/>
      <c r="NLU754" s="574"/>
      <c r="NLV754" s="574"/>
      <c r="NLW754" s="574"/>
      <c r="NLX754" s="574"/>
      <c r="NLY754" s="574"/>
      <c r="NLZ754" s="574"/>
      <c r="NMA754" s="574"/>
      <c r="NMB754" s="574"/>
      <c r="NMC754" s="574"/>
      <c r="NMD754" s="574"/>
      <c r="NME754" s="574"/>
      <c r="NMF754" s="574"/>
      <c r="NMG754" s="574"/>
      <c r="NMH754" s="574"/>
      <c r="NMI754" s="574"/>
      <c r="NMJ754" s="574"/>
      <c r="NMK754" s="574"/>
      <c r="NML754" s="574"/>
      <c r="NMM754" s="574"/>
      <c r="NMN754" s="574"/>
      <c r="NMO754" s="574"/>
      <c r="NMP754" s="574"/>
      <c r="NMQ754" s="574"/>
      <c r="NMR754" s="574"/>
      <c r="NMS754" s="574"/>
      <c r="NMT754" s="574"/>
      <c r="NMU754" s="574"/>
      <c r="NMV754" s="574"/>
      <c r="NMW754" s="574"/>
      <c r="NMX754" s="574"/>
      <c r="NMY754" s="574"/>
      <c r="NMZ754" s="574"/>
      <c r="NNA754" s="574"/>
      <c r="NNB754" s="574"/>
      <c r="NNC754" s="574"/>
      <c r="NND754" s="574"/>
      <c r="NNE754" s="574"/>
      <c r="NNF754" s="574"/>
      <c r="NNG754" s="574"/>
      <c r="NNH754" s="574"/>
      <c r="NNI754" s="574"/>
      <c r="NNJ754" s="574"/>
      <c r="NNK754" s="574"/>
      <c r="NNL754" s="574"/>
      <c r="NNM754" s="574"/>
      <c r="NNN754" s="574"/>
      <c r="NNO754" s="574"/>
      <c r="NNP754" s="574"/>
      <c r="NNQ754" s="574"/>
      <c r="NNR754" s="574"/>
      <c r="NNS754" s="574"/>
      <c r="NNT754" s="574"/>
      <c r="NNU754" s="574"/>
      <c r="NNV754" s="574"/>
      <c r="NNW754" s="574"/>
      <c r="NNX754" s="574"/>
      <c r="NNY754" s="574"/>
      <c r="NNZ754" s="574"/>
      <c r="NOA754" s="574"/>
      <c r="NOB754" s="574"/>
      <c r="NOC754" s="574"/>
      <c r="NOD754" s="574"/>
      <c r="NOE754" s="574"/>
      <c r="NOF754" s="574"/>
      <c r="NOG754" s="574"/>
      <c r="NOH754" s="574"/>
      <c r="NOI754" s="574"/>
      <c r="NOJ754" s="574"/>
      <c r="NOK754" s="574"/>
      <c r="NOL754" s="574"/>
      <c r="NOM754" s="574"/>
      <c r="NON754" s="574"/>
      <c r="NOO754" s="574"/>
      <c r="NOP754" s="574"/>
      <c r="NOQ754" s="574"/>
      <c r="NOR754" s="574"/>
      <c r="NOS754" s="574"/>
      <c r="NOT754" s="574"/>
      <c r="NOU754" s="574"/>
      <c r="NOV754" s="574"/>
      <c r="NOW754" s="574"/>
      <c r="NOX754" s="574"/>
      <c r="NOY754" s="574"/>
      <c r="NOZ754" s="574"/>
      <c r="NPA754" s="574"/>
      <c r="NPB754" s="574"/>
      <c r="NPC754" s="574"/>
      <c r="NPD754" s="574"/>
      <c r="NPE754" s="574"/>
      <c r="NPF754" s="574"/>
      <c r="NPG754" s="574"/>
      <c r="NPH754" s="574"/>
      <c r="NPI754" s="574"/>
      <c r="NPJ754" s="574"/>
      <c r="NPK754" s="574"/>
      <c r="NPL754" s="574"/>
      <c r="NPM754" s="574"/>
      <c r="NPN754" s="574"/>
      <c r="NPO754" s="574"/>
      <c r="NPP754" s="574"/>
      <c r="NPQ754" s="574"/>
      <c r="NPR754" s="574"/>
      <c r="NPS754" s="574"/>
      <c r="NPT754" s="574"/>
      <c r="NPU754" s="574"/>
      <c r="NPV754" s="574"/>
      <c r="NPW754" s="574"/>
      <c r="NPX754" s="574"/>
      <c r="NPY754" s="574"/>
      <c r="NPZ754" s="574"/>
      <c r="NQA754" s="574"/>
      <c r="NQB754" s="574"/>
      <c r="NQC754" s="574"/>
      <c r="NQD754" s="574"/>
      <c r="NQE754" s="574"/>
      <c r="NQF754" s="574"/>
      <c r="NQG754" s="574"/>
      <c r="NQH754" s="574"/>
      <c r="NQI754" s="574"/>
      <c r="NQJ754" s="574"/>
      <c r="NQK754" s="574"/>
      <c r="NQL754" s="574"/>
      <c r="NQM754" s="574"/>
      <c r="NQN754" s="574"/>
      <c r="NQO754" s="574"/>
      <c r="NQP754" s="574"/>
      <c r="NQQ754" s="574"/>
      <c r="NQR754" s="574"/>
      <c r="NQS754" s="574"/>
      <c r="NQT754" s="574"/>
      <c r="NQU754" s="574"/>
      <c r="NQV754" s="574"/>
      <c r="NQW754" s="574"/>
      <c r="NQX754" s="574"/>
      <c r="NQY754" s="574"/>
      <c r="NQZ754" s="574"/>
      <c r="NRA754" s="574"/>
      <c r="NRB754" s="574"/>
      <c r="NRC754" s="574"/>
      <c r="NRD754" s="574"/>
      <c r="NRE754" s="574"/>
      <c r="NRF754" s="574"/>
      <c r="NRG754" s="574"/>
      <c r="NRH754" s="574"/>
      <c r="NRI754" s="574"/>
      <c r="NRJ754" s="574"/>
      <c r="NRK754" s="574"/>
      <c r="NRL754" s="574"/>
      <c r="NRM754" s="574"/>
      <c r="NRN754" s="574"/>
      <c r="NRO754" s="574"/>
      <c r="NRP754" s="574"/>
      <c r="NRQ754" s="574"/>
      <c r="NRR754" s="574"/>
      <c r="NRS754" s="574"/>
      <c r="NRT754" s="574"/>
      <c r="NRU754" s="574"/>
      <c r="NRV754" s="574"/>
      <c r="NRW754" s="574"/>
      <c r="NRX754" s="574"/>
      <c r="NRY754" s="574"/>
      <c r="NRZ754" s="574"/>
      <c r="NSA754" s="574"/>
      <c r="NSB754" s="574"/>
      <c r="NSC754" s="574"/>
      <c r="NSD754" s="574"/>
      <c r="NSE754" s="574"/>
      <c r="NSF754" s="574"/>
      <c r="NSG754" s="574"/>
      <c r="NSH754" s="574"/>
      <c r="NSI754" s="574"/>
      <c r="NSJ754" s="574"/>
      <c r="NSK754" s="574"/>
      <c r="NSL754" s="574"/>
      <c r="NSM754" s="574"/>
      <c r="NSN754" s="574"/>
      <c r="NSO754" s="574"/>
      <c r="NSP754" s="574"/>
      <c r="NSQ754" s="574"/>
      <c r="NSR754" s="574"/>
      <c r="NSS754" s="574"/>
      <c r="NST754" s="574"/>
      <c r="NSU754" s="574"/>
      <c r="NSV754" s="574"/>
      <c r="NSW754" s="574"/>
      <c r="NSX754" s="574"/>
      <c r="NSY754" s="574"/>
      <c r="NSZ754" s="574"/>
      <c r="NTA754" s="574"/>
      <c r="NTB754" s="574"/>
      <c r="NTC754" s="574"/>
      <c r="NTD754" s="574"/>
      <c r="NTE754" s="574"/>
      <c r="NTF754" s="574"/>
      <c r="NTG754" s="574"/>
      <c r="NTH754" s="574"/>
      <c r="NTI754" s="574"/>
      <c r="NTJ754" s="574"/>
      <c r="NTK754" s="574"/>
      <c r="NTL754" s="574"/>
      <c r="NTM754" s="574"/>
      <c r="NTN754" s="574"/>
      <c r="NTO754" s="574"/>
      <c r="NTP754" s="574"/>
      <c r="NTQ754" s="574"/>
      <c r="NTR754" s="574"/>
      <c r="NTS754" s="574"/>
      <c r="NTT754" s="574"/>
      <c r="NTU754" s="574"/>
      <c r="NTV754" s="574"/>
      <c r="NTW754" s="574"/>
      <c r="NTX754" s="574"/>
      <c r="NTY754" s="574"/>
      <c r="NTZ754" s="574"/>
      <c r="NUA754" s="574"/>
      <c r="NUB754" s="574"/>
      <c r="NUC754" s="574"/>
      <c r="NUD754" s="574"/>
      <c r="NUE754" s="574"/>
      <c r="NUF754" s="574"/>
      <c r="NUG754" s="574"/>
      <c r="NUH754" s="574"/>
      <c r="NUI754" s="574"/>
      <c r="NUJ754" s="574"/>
      <c r="NUK754" s="574"/>
      <c r="NUL754" s="574"/>
      <c r="NUM754" s="574"/>
      <c r="NUN754" s="574"/>
      <c r="NUO754" s="574"/>
      <c r="NUP754" s="574"/>
      <c r="NUQ754" s="574"/>
      <c r="NUR754" s="574"/>
      <c r="NUS754" s="574"/>
      <c r="NUT754" s="574"/>
      <c r="NUU754" s="574"/>
      <c r="NUV754" s="574"/>
      <c r="NUW754" s="574"/>
      <c r="NUX754" s="574"/>
      <c r="NUY754" s="574"/>
      <c r="NUZ754" s="574"/>
      <c r="NVA754" s="574"/>
      <c r="NVB754" s="574"/>
      <c r="NVC754" s="574"/>
      <c r="NVD754" s="574"/>
      <c r="NVE754" s="574"/>
      <c r="NVF754" s="574"/>
      <c r="NVG754" s="574"/>
      <c r="NVH754" s="574"/>
      <c r="NVI754" s="574"/>
      <c r="NVJ754" s="574"/>
      <c r="NVK754" s="574"/>
      <c r="NVL754" s="574"/>
      <c r="NVM754" s="574"/>
      <c r="NVN754" s="574"/>
      <c r="NVO754" s="574"/>
      <c r="NVP754" s="574"/>
      <c r="NVQ754" s="574"/>
      <c r="NVR754" s="574"/>
      <c r="NVS754" s="574"/>
      <c r="NVT754" s="574"/>
      <c r="NVU754" s="574"/>
      <c r="NVV754" s="574"/>
      <c r="NVW754" s="574"/>
      <c r="NVX754" s="574"/>
      <c r="NVY754" s="574"/>
      <c r="NVZ754" s="574"/>
      <c r="NWA754" s="574"/>
      <c r="NWB754" s="574"/>
      <c r="NWC754" s="574"/>
      <c r="NWD754" s="574"/>
      <c r="NWE754" s="574"/>
      <c r="NWF754" s="574"/>
      <c r="NWG754" s="574"/>
      <c r="NWH754" s="574"/>
      <c r="NWI754" s="574"/>
      <c r="NWJ754" s="574"/>
      <c r="NWK754" s="574"/>
      <c r="NWL754" s="574"/>
      <c r="NWM754" s="574"/>
      <c r="NWN754" s="574"/>
      <c r="NWO754" s="574"/>
      <c r="NWP754" s="574"/>
      <c r="NWQ754" s="574"/>
      <c r="NWR754" s="574"/>
      <c r="NWS754" s="574"/>
      <c r="NWT754" s="574"/>
      <c r="NWU754" s="574"/>
      <c r="NWV754" s="574"/>
      <c r="NWW754" s="574"/>
      <c r="NWX754" s="574"/>
      <c r="NWY754" s="574"/>
      <c r="NWZ754" s="574"/>
      <c r="NXA754" s="574"/>
      <c r="NXB754" s="574"/>
      <c r="NXC754" s="574"/>
      <c r="NXD754" s="574"/>
      <c r="NXE754" s="574"/>
      <c r="NXF754" s="574"/>
      <c r="NXG754" s="574"/>
      <c r="NXH754" s="574"/>
      <c r="NXI754" s="574"/>
      <c r="NXJ754" s="574"/>
      <c r="NXK754" s="574"/>
      <c r="NXL754" s="574"/>
      <c r="NXM754" s="574"/>
      <c r="NXN754" s="574"/>
      <c r="NXO754" s="574"/>
      <c r="NXP754" s="574"/>
      <c r="NXQ754" s="574"/>
      <c r="NXR754" s="574"/>
      <c r="NXS754" s="574"/>
      <c r="NXT754" s="574"/>
      <c r="NXU754" s="574"/>
      <c r="NXV754" s="574"/>
      <c r="NXW754" s="574"/>
      <c r="NXX754" s="574"/>
      <c r="NXY754" s="574"/>
      <c r="NXZ754" s="574"/>
      <c r="NYA754" s="574"/>
      <c r="NYB754" s="574"/>
      <c r="NYC754" s="574"/>
      <c r="NYD754" s="574"/>
      <c r="NYE754" s="574"/>
      <c r="NYF754" s="574"/>
      <c r="NYG754" s="574"/>
      <c r="NYH754" s="574"/>
      <c r="NYI754" s="574"/>
      <c r="NYJ754" s="574"/>
      <c r="NYK754" s="574"/>
      <c r="NYL754" s="574"/>
      <c r="NYM754" s="574"/>
      <c r="NYN754" s="574"/>
      <c r="NYO754" s="574"/>
      <c r="NYP754" s="574"/>
      <c r="NYQ754" s="574"/>
      <c r="NYR754" s="574"/>
      <c r="NYS754" s="574"/>
      <c r="NYT754" s="574"/>
      <c r="NYU754" s="574"/>
      <c r="NYV754" s="574"/>
      <c r="NYW754" s="574"/>
      <c r="NYX754" s="574"/>
      <c r="NYY754" s="574"/>
      <c r="NYZ754" s="574"/>
      <c r="NZA754" s="574"/>
      <c r="NZB754" s="574"/>
      <c r="NZC754" s="574"/>
      <c r="NZD754" s="574"/>
      <c r="NZE754" s="574"/>
      <c r="NZF754" s="574"/>
      <c r="NZG754" s="574"/>
      <c r="NZH754" s="574"/>
      <c r="NZI754" s="574"/>
      <c r="NZJ754" s="574"/>
      <c r="NZK754" s="574"/>
      <c r="NZL754" s="574"/>
      <c r="NZM754" s="574"/>
      <c r="NZN754" s="574"/>
      <c r="NZO754" s="574"/>
      <c r="NZP754" s="574"/>
      <c r="NZQ754" s="574"/>
      <c r="NZR754" s="574"/>
      <c r="NZS754" s="574"/>
      <c r="NZT754" s="574"/>
      <c r="NZU754" s="574"/>
      <c r="NZV754" s="574"/>
      <c r="NZW754" s="574"/>
      <c r="NZX754" s="574"/>
      <c r="NZY754" s="574"/>
      <c r="NZZ754" s="574"/>
      <c r="OAA754" s="574"/>
      <c r="OAB754" s="574"/>
      <c r="OAC754" s="574"/>
      <c r="OAD754" s="574"/>
      <c r="OAE754" s="574"/>
      <c r="OAF754" s="574"/>
      <c r="OAG754" s="574"/>
      <c r="OAH754" s="574"/>
      <c r="OAI754" s="574"/>
      <c r="OAJ754" s="574"/>
      <c r="OAK754" s="574"/>
      <c r="OAL754" s="574"/>
      <c r="OAM754" s="574"/>
      <c r="OAN754" s="574"/>
      <c r="OAO754" s="574"/>
      <c r="OAP754" s="574"/>
      <c r="OAQ754" s="574"/>
      <c r="OAR754" s="574"/>
      <c r="OAS754" s="574"/>
      <c r="OAT754" s="574"/>
      <c r="OAU754" s="574"/>
      <c r="OAV754" s="574"/>
      <c r="OAW754" s="574"/>
      <c r="OAX754" s="574"/>
      <c r="OAY754" s="574"/>
      <c r="OAZ754" s="574"/>
      <c r="OBA754" s="574"/>
      <c r="OBB754" s="574"/>
      <c r="OBC754" s="574"/>
      <c r="OBD754" s="574"/>
      <c r="OBE754" s="574"/>
      <c r="OBF754" s="574"/>
      <c r="OBG754" s="574"/>
      <c r="OBH754" s="574"/>
      <c r="OBI754" s="574"/>
      <c r="OBJ754" s="574"/>
      <c r="OBK754" s="574"/>
      <c r="OBL754" s="574"/>
      <c r="OBM754" s="574"/>
      <c r="OBN754" s="574"/>
      <c r="OBO754" s="574"/>
      <c r="OBP754" s="574"/>
      <c r="OBQ754" s="574"/>
      <c r="OBR754" s="574"/>
      <c r="OBS754" s="574"/>
      <c r="OBT754" s="574"/>
      <c r="OBU754" s="574"/>
      <c r="OBV754" s="574"/>
      <c r="OBW754" s="574"/>
      <c r="OBX754" s="574"/>
      <c r="OBY754" s="574"/>
      <c r="OBZ754" s="574"/>
      <c r="OCA754" s="574"/>
      <c r="OCB754" s="574"/>
      <c r="OCC754" s="574"/>
      <c r="OCD754" s="574"/>
      <c r="OCE754" s="574"/>
      <c r="OCF754" s="574"/>
      <c r="OCG754" s="574"/>
      <c r="OCH754" s="574"/>
      <c r="OCI754" s="574"/>
      <c r="OCJ754" s="574"/>
      <c r="OCK754" s="574"/>
      <c r="OCL754" s="574"/>
      <c r="OCM754" s="574"/>
      <c r="OCN754" s="574"/>
      <c r="OCO754" s="574"/>
      <c r="OCP754" s="574"/>
      <c r="OCQ754" s="574"/>
      <c r="OCR754" s="574"/>
      <c r="OCS754" s="574"/>
      <c r="OCT754" s="574"/>
      <c r="OCU754" s="574"/>
      <c r="OCV754" s="574"/>
      <c r="OCW754" s="574"/>
      <c r="OCX754" s="574"/>
      <c r="OCY754" s="574"/>
      <c r="OCZ754" s="574"/>
      <c r="ODA754" s="574"/>
      <c r="ODB754" s="574"/>
      <c r="ODC754" s="574"/>
      <c r="ODD754" s="574"/>
      <c r="ODE754" s="574"/>
      <c r="ODF754" s="574"/>
      <c r="ODG754" s="574"/>
      <c r="ODH754" s="574"/>
      <c r="ODI754" s="574"/>
      <c r="ODJ754" s="574"/>
      <c r="ODK754" s="574"/>
      <c r="ODL754" s="574"/>
      <c r="ODM754" s="574"/>
      <c r="ODN754" s="574"/>
      <c r="ODO754" s="574"/>
      <c r="ODP754" s="574"/>
      <c r="ODQ754" s="574"/>
      <c r="ODR754" s="574"/>
      <c r="ODS754" s="574"/>
      <c r="ODT754" s="574"/>
      <c r="ODU754" s="574"/>
      <c r="ODV754" s="574"/>
      <c r="ODW754" s="574"/>
      <c r="ODX754" s="574"/>
      <c r="ODY754" s="574"/>
      <c r="ODZ754" s="574"/>
      <c r="OEA754" s="574"/>
      <c r="OEB754" s="574"/>
      <c r="OEC754" s="574"/>
      <c r="OED754" s="574"/>
      <c r="OEE754" s="574"/>
      <c r="OEF754" s="574"/>
      <c r="OEG754" s="574"/>
      <c r="OEH754" s="574"/>
      <c r="OEI754" s="574"/>
      <c r="OEJ754" s="574"/>
      <c r="OEK754" s="574"/>
      <c r="OEL754" s="574"/>
      <c r="OEM754" s="574"/>
      <c r="OEN754" s="574"/>
      <c r="OEO754" s="574"/>
      <c r="OEP754" s="574"/>
      <c r="OEQ754" s="574"/>
      <c r="OER754" s="574"/>
      <c r="OES754" s="574"/>
      <c r="OET754" s="574"/>
      <c r="OEU754" s="574"/>
      <c r="OEV754" s="574"/>
      <c r="OEW754" s="574"/>
      <c r="OEX754" s="574"/>
      <c r="OEY754" s="574"/>
      <c r="OEZ754" s="574"/>
      <c r="OFA754" s="574"/>
      <c r="OFB754" s="574"/>
      <c r="OFC754" s="574"/>
      <c r="OFD754" s="574"/>
      <c r="OFE754" s="574"/>
      <c r="OFF754" s="574"/>
      <c r="OFG754" s="574"/>
      <c r="OFH754" s="574"/>
      <c r="OFI754" s="574"/>
      <c r="OFJ754" s="574"/>
      <c r="OFK754" s="574"/>
      <c r="OFL754" s="574"/>
      <c r="OFM754" s="574"/>
      <c r="OFN754" s="574"/>
      <c r="OFO754" s="574"/>
      <c r="OFP754" s="574"/>
      <c r="OFQ754" s="574"/>
      <c r="OFR754" s="574"/>
      <c r="OFS754" s="574"/>
      <c r="OFT754" s="574"/>
      <c r="OFU754" s="574"/>
      <c r="OFV754" s="574"/>
      <c r="OFW754" s="574"/>
      <c r="OFX754" s="574"/>
      <c r="OFY754" s="574"/>
      <c r="OFZ754" s="574"/>
      <c r="OGA754" s="574"/>
      <c r="OGB754" s="574"/>
      <c r="OGC754" s="574"/>
      <c r="OGD754" s="574"/>
      <c r="OGE754" s="574"/>
      <c r="OGF754" s="574"/>
      <c r="OGG754" s="574"/>
      <c r="OGH754" s="574"/>
      <c r="OGI754" s="574"/>
      <c r="OGJ754" s="574"/>
      <c r="OGK754" s="574"/>
      <c r="OGL754" s="574"/>
      <c r="OGM754" s="574"/>
      <c r="OGN754" s="574"/>
      <c r="OGO754" s="574"/>
      <c r="OGP754" s="574"/>
      <c r="OGQ754" s="574"/>
      <c r="OGR754" s="574"/>
      <c r="OGS754" s="574"/>
      <c r="OGT754" s="574"/>
      <c r="OGU754" s="574"/>
      <c r="OGV754" s="574"/>
      <c r="OGW754" s="574"/>
      <c r="OGX754" s="574"/>
      <c r="OGY754" s="574"/>
      <c r="OGZ754" s="574"/>
      <c r="OHA754" s="574"/>
      <c r="OHB754" s="574"/>
      <c r="OHC754" s="574"/>
      <c r="OHD754" s="574"/>
      <c r="OHE754" s="574"/>
      <c r="OHF754" s="574"/>
      <c r="OHG754" s="574"/>
      <c r="OHH754" s="574"/>
      <c r="OHI754" s="574"/>
      <c r="OHJ754" s="574"/>
      <c r="OHK754" s="574"/>
      <c r="OHL754" s="574"/>
      <c r="OHM754" s="574"/>
      <c r="OHN754" s="574"/>
      <c r="OHO754" s="574"/>
      <c r="OHP754" s="574"/>
      <c r="OHQ754" s="574"/>
      <c r="OHR754" s="574"/>
      <c r="OHS754" s="574"/>
      <c r="OHT754" s="574"/>
      <c r="OHU754" s="574"/>
      <c r="OHV754" s="574"/>
      <c r="OHW754" s="574"/>
      <c r="OHX754" s="574"/>
      <c r="OHY754" s="574"/>
      <c r="OHZ754" s="574"/>
      <c r="OIA754" s="574"/>
      <c r="OIB754" s="574"/>
      <c r="OIC754" s="574"/>
      <c r="OID754" s="574"/>
      <c r="OIE754" s="574"/>
      <c r="OIF754" s="574"/>
      <c r="OIG754" s="574"/>
      <c r="OIH754" s="574"/>
      <c r="OII754" s="574"/>
      <c r="OIJ754" s="574"/>
      <c r="OIK754" s="574"/>
      <c r="OIL754" s="574"/>
      <c r="OIM754" s="574"/>
      <c r="OIN754" s="574"/>
      <c r="OIO754" s="574"/>
      <c r="OIP754" s="574"/>
      <c r="OIQ754" s="574"/>
      <c r="OIR754" s="574"/>
      <c r="OIS754" s="574"/>
      <c r="OIT754" s="574"/>
      <c r="OIU754" s="574"/>
      <c r="OIV754" s="574"/>
      <c r="OIW754" s="574"/>
      <c r="OIX754" s="574"/>
      <c r="OIY754" s="574"/>
      <c r="OIZ754" s="574"/>
      <c r="OJA754" s="574"/>
      <c r="OJB754" s="574"/>
      <c r="OJC754" s="574"/>
      <c r="OJD754" s="574"/>
      <c r="OJE754" s="574"/>
      <c r="OJF754" s="574"/>
      <c r="OJG754" s="574"/>
      <c r="OJH754" s="574"/>
      <c r="OJI754" s="574"/>
      <c r="OJJ754" s="574"/>
      <c r="OJK754" s="574"/>
      <c r="OJL754" s="574"/>
      <c r="OJM754" s="574"/>
      <c r="OJN754" s="574"/>
      <c r="OJO754" s="574"/>
      <c r="OJP754" s="574"/>
      <c r="OJQ754" s="574"/>
      <c r="OJR754" s="574"/>
      <c r="OJS754" s="574"/>
      <c r="OJT754" s="574"/>
      <c r="OJU754" s="574"/>
      <c r="OJV754" s="574"/>
      <c r="OJW754" s="574"/>
      <c r="OJX754" s="574"/>
      <c r="OJY754" s="574"/>
      <c r="OJZ754" s="574"/>
      <c r="OKA754" s="574"/>
      <c r="OKB754" s="574"/>
      <c r="OKC754" s="574"/>
      <c r="OKD754" s="574"/>
      <c r="OKE754" s="574"/>
      <c r="OKF754" s="574"/>
      <c r="OKG754" s="574"/>
      <c r="OKH754" s="574"/>
      <c r="OKI754" s="574"/>
      <c r="OKJ754" s="574"/>
      <c r="OKK754" s="574"/>
      <c r="OKL754" s="574"/>
      <c r="OKM754" s="574"/>
      <c r="OKN754" s="574"/>
      <c r="OKO754" s="574"/>
      <c r="OKP754" s="574"/>
      <c r="OKQ754" s="574"/>
      <c r="OKR754" s="574"/>
      <c r="OKS754" s="574"/>
      <c r="OKT754" s="574"/>
      <c r="OKU754" s="574"/>
      <c r="OKV754" s="574"/>
      <c r="OKW754" s="574"/>
      <c r="OKX754" s="574"/>
      <c r="OKY754" s="574"/>
      <c r="OKZ754" s="574"/>
      <c r="OLA754" s="574"/>
      <c r="OLB754" s="574"/>
      <c r="OLC754" s="574"/>
      <c r="OLD754" s="574"/>
      <c r="OLE754" s="574"/>
      <c r="OLF754" s="574"/>
      <c r="OLG754" s="574"/>
      <c r="OLH754" s="574"/>
      <c r="OLI754" s="574"/>
      <c r="OLJ754" s="574"/>
      <c r="OLK754" s="574"/>
      <c r="OLL754" s="574"/>
      <c r="OLM754" s="574"/>
      <c r="OLN754" s="574"/>
      <c r="OLO754" s="574"/>
      <c r="OLP754" s="574"/>
      <c r="OLQ754" s="574"/>
      <c r="OLR754" s="574"/>
      <c r="OLS754" s="574"/>
      <c r="OLT754" s="574"/>
      <c r="OLU754" s="574"/>
      <c r="OLV754" s="574"/>
      <c r="OLW754" s="574"/>
      <c r="OLX754" s="574"/>
      <c r="OLY754" s="574"/>
      <c r="OLZ754" s="574"/>
      <c r="OMA754" s="574"/>
      <c r="OMB754" s="574"/>
      <c r="OMC754" s="574"/>
      <c r="OMD754" s="574"/>
      <c r="OME754" s="574"/>
      <c r="OMF754" s="574"/>
      <c r="OMG754" s="574"/>
      <c r="OMH754" s="574"/>
      <c r="OMI754" s="574"/>
      <c r="OMJ754" s="574"/>
      <c r="OMK754" s="574"/>
      <c r="OML754" s="574"/>
      <c r="OMM754" s="574"/>
      <c r="OMN754" s="574"/>
      <c r="OMO754" s="574"/>
      <c r="OMP754" s="574"/>
      <c r="OMQ754" s="574"/>
      <c r="OMR754" s="574"/>
      <c r="OMS754" s="574"/>
      <c r="OMT754" s="574"/>
      <c r="OMU754" s="574"/>
      <c r="OMV754" s="574"/>
      <c r="OMW754" s="574"/>
      <c r="OMX754" s="574"/>
      <c r="OMY754" s="574"/>
      <c r="OMZ754" s="574"/>
      <c r="ONA754" s="574"/>
      <c r="ONB754" s="574"/>
      <c r="ONC754" s="574"/>
      <c r="OND754" s="574"/>
      <c r="ONE754" s="574"/>
      <c r="ONF754" s="574"/>
      <c r="ONG754" s="574"/>
      <c r="ONH754" s="574"/>
      <c r="ONI754" s="574"/>
      <c r="ONJ754" s="574"/>
      <c r="ONK754" s="574"/>
      <c r="ONL754" s="574"/>
      <c r="ONM754" s="574"/>
      <c r="ONN754" s="574"/>
      <c r="ONO754" s="574"/>
      <c r="ONP754" s="574"/>
      <c r="ONQ754" s="574"/>
      <c r="ONR754" s="574"/>
      <c r="ONS754" s="574"/>
      <c r="ONT754" s="574"/>
      <c r="ONU754" s="574"/>
      <c r="ONV754" s="574"/>
      <c r="ONW754" s="574"/>
      <c r="ONX754" s="574"/>
      <c r="ONY754" s="574"/>
      <c r="ONZ754" s="574"/>
      <c r="OOA754" s="574"/>
      <c r="OOB754" s="574"/>
      <c r="OOC754" s="574"/>
      <c r="OOD754" s="574"/>
      <c r="OOE754" s="574"/>
      <c r="OOF754" s="574"/>
      <c r="OOG754" s="574"/>
      <c r="OOH754" s="574"/>
      <c r="OOI754" s="574"/>
      <c r="OOJ754" s="574"/>
      <c r="OOK754" s="574"/>
      <c r="OOL754" s="574"/>
      <c r="OOM754" s="574"/>
      <c r="OON754" s="574"/>
      <c r="OOO754" s="574"/>
      <c r="OOP754" s="574"/>
      <c r="OOQ754" s="574"/>
      <c r="OOR754" s="574"/>
      <c r="OOS754" s="574"/>
      <c r="OOT754" s="574"/>
      <c r="OOU754" s="574"/>
      <c r="OOV754" s="574"/>
      <c r="OOW754" s="574"/>
      <c r="OOX754" s="574"/>
      <c r="OOY754" s="574"/>
      <c r="OOZ754" s="574"/>
      <c r="OPA754" s="574"/>
      <c r="OPB754" s="574"/>
      <c r="OPC754" s="574"/>
      <c r="OPD754" s="574"/>
      <c r="OPE754" s="574"/>
      <c r="OPF754" s="574"/>
      <c r="OPG754" s="574"/>
      <c r="OPH754" s="574"/>
      <c r="OPI754" s="574"/>
      <c r="OPJ754" s="574"/>
      <c r="OPK754" s="574"/>
      <c r="OPL754" s="574"/>
      <c r="OPM754" s="574"/>
      <c r="OPN754" s="574"/>
      <c r="OPO754" s="574"/>
      <c r="OPP754" s="574"/>
      <c r="OPQ754" s="574"/>
      <c r="OPR754" s="574"/>
      <c r="OPS754" s="574"/>
      <c r="OPT754" s="574"/>
      <c r="OPU754" s="574"/>
      <c r="OPV754" s="574"/>
      <c r="OPW754" s="574"/>
      <c r="OPX754" s="574"/>
      <c r="OPY754" s="574"/>
      <c r="OPZ754" s="574"/>
      <c r="OQA754" s="574"/>
      <c r="OQB754" s="574"/>
      <c r="OQC754" s="574"/>
      <c r="OQD754" s="574"/>
      <c r="OQE754" s="574"/>
      <c r="OQF754" s="574"/>
      <c r="OQG754" s="574"/>
      <c r="OQH754" s="574"/>
      <c r="OQI754" s="574"/>
      <c r="OQJ754" s="574"/>
      <c r="OQK754" s="574"/>
      <c r="OQL754" s="574"/>
      <c r="OQM754" s="574"/>
      <c r="OQN754" s="574"/>
      <c r="OQO754" s="574"/>
      <c r="OQP754" s="574"/>
      <c r="OQQ754" s="574"/>
      <c r="OQR754" s="574"/>
      <c r="OQS754" s="574"/>
      <c r="OQT754" s="574"/>
      <c r="OQU754" s="574"/>
      <c r="OQV754" s="574"/>
      <c r="OQW754" s="574"/>
      <c r="OQX754" s="574"/>
      <c r="OQY754" s="574"/>
      <c r="OQZ754" s="574"/>
      <c r="ORA754" s="574"/>
      <c r="ORB754" s="574"/>
      <c r="ORC754" s="574"/>
      <c r="ORD754" s="574"/>
      <c r="ORE754" s="574"/>
      <c r="ORF754" s="574"/>
      <c r="ORG754" s="574"/>
      <c r="ORH754" s="574"/>
      <c r="ORI754" s="574"/>
      <c r="ORJ754" s="574"/>
      <c r="ORK754" s="574"/>
      <c r="ORL754" s="574"/>
      <c r="ORM754" s="574"/>
      <c r="ORN754" s="574"/>
      <c r="ORO754" s="574"/>
      <c r="ORP754" s="574"/>
      <c r="ORQ754" s="574"/>
      <c r="ORR754" s="574"/>
      <c r="ORS754" s="574"/>
      <c r="ORT754" s="574"/>
      <c r="ORU754" s="574"/>
      <c r="ORV754" s="574"/>
      <c r="ORW754" s="574"/>
      <c r="ORX754" s="574"/>
      <c r="ORY754" s="574"/>
      <c r="ORZ754" s="574"/>
      <c r="OSA754" s="574"/>
      <c r="OSB754" s="574"/>
      <c r="OSC754" s="574"/>
      <c r="OSD754" s="574"/>
      <c r="OSE754" s="574"/>
      <c r="OSF754" s="574"/>
      <c r="OSG754" s="574"/>
      <c r="OSH754" s="574"/>
      <c r="OSI754" s="574"/>
      <c r="OSJ754" s="574"/>
      <c r="OSK754" s="574"/>
      <c r="OSL754" s="574"/>
      <c r="OSM754" s="574"/>
      <c r="OSN754" s="574"/>
      <c r="OSO754" s="574"/>
      <c r="OSP754" s="574"/>
      <c r="OSQ754" s="574"/>
      <c r="OSR754" s="574"/>
      <c r="OSS754" s="574"/>
      <c r="OST754" s="574"/>
      <c r="OSU754" s="574"/>
      <c r="OSV754" s="574"/>
      <c r="OSW754" s="574"/>
      <c r="OSX754" s="574"/>
      <c r="OSY754" s="574"/>
      <c r="OSZ754" s="574"/>
      <c r="OTA754" s="574"/>
      <c r="OTB754" s="574"/>
      <c r="OTC754" s="574"/>
      <c r="OTD754" s="574"/>
      <c r="OTE754" s="574"/>
      <c r="OTF754" s="574"/>
      <c r="OTG754" s="574"/>
      <c r="OTH754" s="574"/>
      <c r="OTI754" s="574"/>
      <c r="OTJ754" s="574"/>
      <c r="OTK754" s="574"/>
      <c r="OTL754" s="574"/>
      <c r="OTM754" s="574"/>
      <c r="OTN754" s="574"/>
      <c r="OTO754" s="574"/>
      <c r="OTP754" s="574"/>
      <c r="OTQ754" s="574"/>
      <c r="OTR754" s="574"/>
      <c r="OTS754" s="574"/>
      <c r="OTT754" s="574"/>
      <c r="OTU754" s="574"/>
      <c r="OTV754" s="574"/>
      <c r="OTW754" s="574"/>
      <c r="OTX754" s="574"/>
      <c r="OTY754" s="574"/>
      <c r="OTZ754" s="574"/>
      <c r="OUA754" s="574"/>
      <c r="OUB754" s="574"/>
      <c r="OUC754" s="574"/>
      <c r="OUD754" s="574"/>
      <c r="OUE754" s="574"/>
      <c r="OUF754" s="574"/>
      <c r="OUG754" s="574"/>
      <c r="OUH754" s="574"/>
      <c r="OUI754" s="574"/>
      <c r="OUJ754" s="574"/>
      <c r="OUK754" s="574"/>
      <c r="OUL754" s="574"/>
      <c r="OUM754" s="574"/>
      <c r="OUN754" s="574"/>
      <c r="OUO754" s="574"/>
      <c r="OUP754" s="574"/>
      <c r="OUQ754" s="574"/>
      <c r="OUR754" s="574"/>
      <c r="OUS754" s="574"/>
      <c r="OUT754" s="574"/>
      <c r="OUU754" s="574"/>
      <c r="OUV754" s="574"/>
      <c r="OUW754" s="574"/>
      <c r="OUX754" s="574"/>
      <c r="OUY754" s="574"/>
      <c r="OUZ754" s="574"/>
      <c r="OVA754" s="574"/>
      <c r="OVB754" s="574"/>
      <c r="OVC754" s="574"/>
      <c r="OVD754" s="574"/>
      <c r="OVE754" s="574"/>
      <c r="OVF754" s="574"/>
      <c r="OVG754" s="574"/>
      <c r="OVH754" s="574"/>
      <c r="OVI754" s="574"/>
      <c r="OVJ754" s="574"/>
      <c r="OVK754" s="574"/>
      <c r="OVL754" s="574"/>
      <c r="OVM754" s="574"/>
      <c r="OVN754" s="574"/>
      <c r="OVO754" s="574"/>
      <c r="OVP754" s="574"/>
      <c r="OVQ754" s="574"/>
      <c r="OVR754" s="574"/>
      <c r="OVS754" s="574"/>
      <c r="OVT754" s="574"/>
      <c r="OVU754" s="574"/>
      <c r="OVV754" s="574"/>
      <c r="OVW754" s="574"/>
      <c r="OVX754" s="574"/>
      <c r="OVY754" s="574"/>
      <c r="OVZ754" s="574"/>
      <c r="OWA754" s="574"/>
      <c r="OWB754" s="574"/>
      <c r="OWC754" s="574"/>
      <c r="OWD754" s="574"/>
      <c r="OWE754" s="574"/>
      <c r="OWF754" s="574"/>
      <c r="OWG754" s="574"/>
      <c r="OWH754" s="574"/>
      <c r="OWI754" s="574"/>
      <c r="OWJ754" s="574"/>
      <c r="OWK754" s="574"/>
      <c r="OWL754" s="574"/>
      <c r="OWM754" s="574"/>
      <c r="OWN754" s="574"/>
      <c r="OWO754" s="574"/>
      <c r="OWP754" s="574"/>
      <c r="OWQ754" s="574"/>
      <c r="OWR754" s="574"/>
      <c r="OWS754" s="574"/>
      <c r="OWT754" s="574"/>
      <c r="OWU754" s="574"/>
      <c r="OWV754" s="574"/>
      <c r="OWW754" s="574"/>
      <c r="OWX754" s="574"/>
      <c r="OWY754" s="574"/>
      <c r="OWZ754" s="574"/>
      <c r="OXA754" s="574"/>
      <c r="OXB754" s="574"/>
      <c r="OXC754" s="574"/>
      <c r="OXD754" s="574"/>
      <c r="OXE754" s="574"/>
      <c r="OXF754" s="574"/>
      <c r="OXG754" s="574"/>
      <c r="OXH754" s="574"/>
      <c r="OXI754" s="574"/>
      <c r="OXJ754" s="574"/>
      <c r="OXK754" s="574"/>
      <c r="OXL754" s="574"/>
      <c r="OXM754" s="574"/>
      <c r="OXN754" s="574"/>
      <c r="OXO754" s="574"/>
      <c r="OXP754" s="574"/>
      <c r="OXQ754" s="574"/>
      <c r="OXR754" s="574"/>
      <c r="OXS754" s="574"/>
      <c r="OXT754" s="574"/>
      <c r="OXU754" s="574"/>
      <c r="OXV754" s="574"/>
      <c r="OXW754" s="574"/>
      <c r="OXX754" s="574"/>
      <c r="OXY754" s="574"/>
      <c r="OXZ754" s="574"/>
      <c r="OYA754" s="574"/>
      <c r="OYB754" s="574"/>
      <c r="OYC754" s="574"/>
      <c r="OYD754" s="574"/>
      <c r="OYE754" s="574"/>
      <c r="OYF754" s="574"/>
      <c r="OYG754" s="574"/>
      <c r="OYH754" s="574"/>
      <c r="OYI754" s="574"/>
      <c r="OYJ754" s="574"/>
      <c r="OYK754" s="574"/>
      <c r="OYL754" s="574"/>
      <c r="OYM754" s="574"/>
      <c r="OYN754" s="574"/>
      <c r="OYO754" s="574"/>
      <c r="OYP754" s="574"/>
      <c r="OYQ754" s="574"/>
      <c r="OYR754" s="574"/>
      <c r="OYS754" s="574"/>
      <c r="OYT754" s="574"/>
      <c r="OYU754" s="574"/>
      <c r="OYV754" s="574"/>
      <c r="OYW754" s="574"/>
      <c r="OYX754" s="574"/>
      <c r="OYY754" s="574"/>
      <c r="OYZ754" s="574"/>
      <c r="OZA754" s="574"/>
      <c r="OZB754" s="574"/>
      <c r="OZC754" s="574"/>
      <c r="OZD754" s="574"/>
      <c r="OZE754" s="574"/>
      <c r="OZF754" s="574"/>
      <c r="OZG754" s="574"/>
      <c r="OZH754" s="574"/>
      <c r="OZI754" s="574"/>
      <c r="OZJ754" s="574"/>
      <c r="OZK754" s="574"/>
      <c r="OZL754" s="574"/>
      <c r="OZM754" s="574"/>
      <c r="OZN754" s="574"/>
      <c r="OZO754" s="574"/>
      <c r="OZP754" s="574"/>
      <c r="OZQ754" s="574"/>
      <c r="OZR754" s="574"/>
      <c r="OZS754" s="574"/>
      <c r="OZT754" s="574"/>
      <c r="OZU754" s="574"/>
      <c r="OZV754" s="574"/>
      <c r="OZW754" s="574"/>
      <c r="OZX754" s="574"/>
      <c r="OZY754" s="574"/>
      <c r="OZZ754" s="574"/>
      <c r="PAA754" s="574"/>
      <c r="PAB754" s="574"/>
      <c r="PAC754" s="574"/>
      <c r="PAD754" s="574"/>
      <c r="PAE754" s="574"/>
      <c r="PAF754" s="574"/>
      <c r="PAG754" s="574"/>
      <c r="PAH754" s="574"/>
      <c r="PAI754" s="574"/>
      <c r="PAJ754" s="574"/>
      <c r="PAK754" s="574"/>
      <c r="PAL754" s="574"/>
      <c r="PAM754" s="574"/>
      <c r="PAN754" s="574"/>
      <c r="PAO754" s="574"/>
      <c r="PAP754" s="574"/>
      <c r="PAQ754" s="574"/>
      <c r="PAR754" s="574"/>
      <c r="PAS754" s="574"/>
      <c r="PAT754" s="574"/>
      <c r="PAU754" s="574"/>
      <c r="PAV754" s="574"/>
      <c r="PAW754" s="574"/>
      <c r="PAX754" s="574"/>
      <c r="PAY754" s="574"/>
      <c r="PAZ754" s="574"/>
      <c r="PBA754" s="574"/>
      <c r="PBB754" s="574"/>
      <c r="PBC754" s="574"/>
      <c r="PBD754" s="574"/>
      <c r="PBE754" s="574"/>
      <c r="PBF754" s="574"/>
      <c r="PBG754" s="574"/>
      <c r="PBH754" s="574"/>
      <c r="PBI754" s="574"/>
      <c r="PBJ754" s="574"/>
      <c r="PBK754" s="574"/>
      <c r="PBL754" s="574"/>
      <c r="PBM754" s="574"/>
      <c r="PBN754" s="574"/>
      <c r="PBO754" s="574"/>
      <c r="PBP754" s="574"/>
      <c r="PBQ754" s="574"/>
      <c r="PBR754" s="574"/>
      <c r="PBS754" s="574"/>
      <c r="PBT754" s="574"/>
      <c r="PBU754" s="574"/>
      <c r="PBV754" s="574"/>
      <c r="PBW754" s="574"/>
      <c r="PBX754" s="574"/>
      <c r="PBY754" s="574"/>
      <c r="PBZ754" s="574"/>
      <c r="PCA754" s="574"/>
      <c r="PCB754" s="574"/>
      <c r="PCC754" s="574"/>
      <c r="PCD754" s="574"/>
      <c r="PCE754" s="574"/>
      <c r="PCF754" s="574"/>
      <c r="PCG754" s="574"/>
      <c r="PCH754" s="574"/>
      <c r="PCI754" s="574"/>
      <c r="PCJ754" s="574"/>
      <c r="PCK754" s="574"/>
      <c r="PCL754" s="574"/>
      <c r="PCM754" s="574"/>
      <c r="PCN754" s="574"/>
      <c r="PCO754" s="574"/>
      <c r="PCP754" s="574"/>
      <c r="PCQ754" s="574"/>
      <c r="PCR754" s="574"/>
      <c r="PCS754" s="574"/>
      <c r="PCT754" s="574"/>
      <c r="PCU754" s="574"/>
      <c r="PCV754" s="574"/>
      <c r="PCW754" s="574"/>
      <c r="PCX754" s="574"/>
      <c r="PCY754" s="574"/>
      <c r="PCZ754" s="574"/>
      <c r="PDA754" s="574"/>
      <c r="PDB754" s="574"/>
      <c r="PDC754" s="574"/>
      <c r="PDD754" s="574"/>
      <c r="PDE754" s="574"/>
      <c r="PDF754" s="574"/>
      <c r="PDG754" s="574"/>
      <c r="PDH754" s="574"/>
      <c r="PDI754" s="574"/>
      <c r="PDJ754" s="574"/>
      <c r="PDK754" s="574"/>
      <c r="PDL754" s="574"/>
      <c r="PDM754" s="574"/>
      <c r="PDN754" s="574"/>
      <c r="PDO754" s="574"/>
      <c r="PDP754" s="574"/>
      <c r="PDQ754" s="574"/>
      <c r="PDR754" s="574"/>
      <c r="PDS754" s="574"/>
      <c r="PDT754" s="574"/>
      <c r="PDU754" s="574"/>
      <c r="PDV754" s="574"/>
      <c r="PDW754" s="574"/>
      <c r="PDX754" s="574"/>
      <c r="PDY754" s="574"/>
      <c r="PDZ754" s="574"/>
      <c r="PEA754" s="574"/>
      <c r="PEB754" s="574"/>
      <c r="PEC754" s="574"/>
      <c r="PED754" s="574"/>
      <c r="PEE754" s="574"/>
      <c r="PEF754" s="574"/>
      <c r="PEG754" s="574"/>
      <c r="PEH754" s="574"/>
      <c r="PEI754" s="574"/>
      <c r="PEJ754" s="574"/>
      <c r="PEK754" s="574"/>
      <c r="PEL754" s="574"/>
      <c r="PEM754" s="574"/>
      <c r="PEN754" s="574"/>
      <c r="PEO754" s="574"/>
      <c r="PEP754" s="574"/>
      <c r="PEQ754" s="574"/>
      <c r="PER754" s="574"/>
      <c r="PES754" s="574"/>
      <c r="PET754" s="574"/>
      <c r="PEU754" s="574"/>
      <c r="PEV754" s="574"/>
      <c r="PEW754" s="574"/>
      <c r="PEX754" s="574"/>
      <c r="PEY754" s="574"/>
      <c r="PEZ754" s="574"/>
      <c r="PFA754" s="574"/>
      <c r="PFB754" s="574"/>
      <c r="PFC754" s="574"/>
      <c r="PFD754" s="574"/>
      <c r="PFE754" s="574"/>
      <c r="PFF754" s="574"/>
      <c r="PFG754" s="574"/>
      <c r="PFH754" s="574"/>
      <c r="PFI754" s="574"/>
      <c r="PFJ754" s="574"/>
      <c r="PFK754" s="574"/>
      <c r="PFL754" s="574"/>
      <c r="PFM754" s="574"/>
      <c r="PFN754" s="574"/>
      <c r="PFO754" s="574"/>
      <c r="PFP754" s="574"/>
      <c r="PFQ754" s="574"/>
      <c r="PFR754" s="574"/>
      <c r="PFS754" s="574"/>
      <c r="PFT754" s="574"/>
      <c r="PFU754" s="574"/>
      <c r="PFV754" s="574"/>
      <c r="PFW754" s="574"/>
      <c r="PFX754" s="574"/>
      <c r="PFY754" s="574"/>
      <c r="PFZ754" s="574"/>
      <c r="PGA754" s="574"/>
      <c r="PGB754" s="574"/>
      <c r="PGC754" s="574"/>
      <c r="PGD754" s="574"/>
      <c r="PGE754" s="574"/>
      <c r="PGF754" s="574"/>
      <c r="PGG754" s="574"/>
      <c r="PGH754" s="574"/>
      <c r="PGI754" s="574"/>
      <c r="PGJ754" s="574"/>
      <c r="PGK754" s="574"/>
      <c r="PGL754" s="574"/>
      <c r="PGM754" s="574"/>
      <c r="PGN754" s="574"/>
      <c r="PGO754" s="574"/>
      <c r="PGP754" s="574"/>
      <c r="PGQ754" s="574"/>
      <c r="PGR754" s="574"/>
      <c r="PGS754" s="574"/>
      <c r="PGT754" s="574"/>
      <c r="PGU754" s="574"/>
      <c r="PGV754" s="574"/>
      <c r="PGW754" s="574"/>
      <c r="PGX754" s="574"/>
      <c r="PGY754" s="574"/>
      <c r="PGZ754" s="574"/>
      <c r="PHA754" s="574"/>
      <c r="PHB754" s="574"/>
      <c r="PHC754" s="574"/>
      <c r="PHD754" s="574"/>
      <c r="PHE754" s="574"/>
      <c r="PHF754" s="574"/>
      <c r="PHG754" s="574"/>
      <c r="PHH754" s="574"/>
      <c r="PHI754" s="574"/>
      <c r="PHJ754" s="574"/>
      <c r="PHK754" s="574"/>
      <c r="PHL754" s="574"/>
      <c r="PHM754" s="574"/>
      <c r="PHN754" s="574"/>
      <c r="PHO754" s="574"/>
      <c r="PHP754" s="574"/>
      <c r="PHQ754" s="574"/>
      <c r="PHR754" s="574"/>
      <c r="PHS754" s="574"/>
      <c r="PHT754" s="574"/>
      <c r="PHU754" s="574"/>
      <c r="PHV754" s="574"/>
      <c r="PHW754" s="574"/>
      <c r="PHX754" s="574"/>
      <c r="PHY754" s="574"/>
      <c r="PHZ754" s="574"/>
      <c r="PIA754" s="574"/>
      <c r="PIB754" s="574"/>
      <c r="PIC754" s="574"/>
      <c r="PID754" s="574"/>
      <c r="PIE754" s="574"/>
      <c r="PIF754" s="574"/>
      <c r="PIG754" s="574"/>
      <c r="PIH754" s="574"/>
      <c r="PII754" s="574"/>
      <c r="PIJ754" s="574"/>
      <c r="PIK754" s="574"/>
      <c r="PIL754" s="574"/>
      <c r="PIM754" s="574"/>
      <c r="PIN754" s="574"/>
      <c r="PIO754" s="574"/>
      <c r="PIP754" s="574"/>
      <c r="PIQ754" s="574"/>
      <c r="PIR754" s="574"/>
      <c r="PIS754" s="574"/>
      <c r="PIT754" s="574"/>
      <c r="PIU754" s="574"/>
      <c r="PIV754" s="574"/>
      <c r="PIW754" s="574"/>
      <c r="PIX754" s="574"/>
      <c r="PIY754" s="574"/>
      <c r="PIZ754" s="574"/>
      <c r="PJA754" s="574"/>
      <c r="PJB754" s="574"/>
      <c r="PJC754" s="574"/>
      <c r="PJD754" s="574"/>
      <c r="PJE754" s="574"/>
      <c r="PJF754" s="574"/>
      <c r="PJG754" s="574"/>
      <c r="PJH754" s="574"/>
      <c r="PJI754" s="574"/>
      <c r="PJJ754" s="574"/>
      <c r="PJK754" s="574"/>
      <c r="PJL754" s="574"/>
      <c r="PJM754" s="574"/>
      <c r="PJN754" s="574"/>
      <c r="PJO754" s="574"/>
      <c r="PJP754" s="574"/>
      <c r="PJQ754" s="574"/>
      <c r="PJR754" s="574"/>
      <c r="PJS754" s="574"/>
      <c r="PJT754" s="574"/>
      <c r="PJU754" s="574"/>
      <c r="PJV754" s="574"/>
      <c r="PJW754" s="574"/>
      <c r="PJX754" s="574"/>
      <c r="PJY754" s="574"/>
      <c r="PJZ754" s="574"/>
      <c r="PKA754" s="574"/>
      <c r="PKB754" s="574"/>
      <c r="PKC754" s="574"/>
      <c r="PKD754" s="574"/>
      <c r="PKE754" s="574"/>
      <c r="PKF754" s="574"/>
      <c r="PKG754" s="574"/>
      <c r="PKH754" s="574"/>
      <c r="PKI754" s="574"/>
      <c r="PKJ754" s="574"/>
      <c r="PKK754" s="574"/>
      <c r="PKL754" s="574"/>
      <c r="PKM754" s="574"/>
      <c r="PKN754" s="574"/>
      <c r="PKO754" s="574"/>
      <c r="PKP754" s="574"/>
      <c r="PKQ754" s="574"/>
      <c r="PKR754" s="574"/>
      <c r="PKS754" s="574"/>
      <c r="PKT754" s="574"/>
      <c r="PKU754" s="574"/>
      <c r="PKV754" s="574"/>
      <c r="PKW754" s="574"/>
      <c r="PKX754" s="574"/>
      <c r="PKY754" s="574"/>
      <c r="PKZ754" s="574"/>
      <c r="PLA754" s="574"/>
      <c r="PLB754" s="574"/>
      <c r="PLC754" s="574"/>
      <c r="PLD754" s="574"/>
      <c r="PLE754" s="574"/>
      <c r="PLF754" s="574"/>
      <c r="PLG754" s="574"/>
      <c r="PLH754" s="574"/>
      <c r="PLI754" s="574"/>
      <c r="PLJ754" s="574"/>
      <c r="PLK754" s="574"/>
      <c r="PLL754" s="574"/>
      <c r="PLM754" s="574"/>
      <c r="PLN754" s="574"/>
      <c r="PLO754" s="574"/>
      <c r="PLP754" s="574"/>
      <c r="PLQ754" s="574"/>
      <c r="PLR754" s="574"/>
      <c r="PLS754" s="574"/>
      <c r="PLT754" s="574"/>
      <c r="PLU754" s="574"/>
      <c r="PLV754" s="574"/>
      <c r="PLW754" s="574"/>
      <c r="PLX754" s="574"/>
      <c r="PLY754" s="574"/>
      <c r="PLZ754" s="574"/>
      <c r="PMA754" s="574"/>
      <c r="PMB754" s="574"/>
      <c r="PMC754" s="574"/>
      <c r="PMD754" s="574"/>
      <c r="PME754" s="574"/>
      <c r="PMF754" s="574"/>
      <c r="PMG754" s="574"/>
      <c r="PMH754" s="574"/>
      <c r="PMI754" s="574"/>
      <c r="PMJ754" s="574"/>
      <c r="PMK754" s="574"/>
      <c r="PML754" s="574"/>
      <c r="PMM754" s="574"/>
      <c r="PMN754" s="574"/>
      <c r="PMO754" s="574"/>
      <c r="PMP754" s="574"/>
      <c r="PMQ754" s="574"/>
      <c r="PMR754" s="574"/>
      <c r="PMS754" s="574"/>
      <c r="PMT754" s="574"/>
      <c r="PMU754" s="574"/>
      <c r="PMV754" s="574"/>
      <c r="PMW754" s="574"/>
      <c r="PMX754" s="574"/>
      <c r="PMY754" s="574"/>
      <c r="PMZ754" s="574"/>
      <c r="PNA754" s="574"/>
      <c r="PNB754" s="574"/>
      <c r="PNC754" s="574"/>
      <c r="PND754" s="574"/>
      <c r="PNE754" s="574"/>
      <c r="PNF754" s="574"/>
      <c r="PNG754" s="574"/>
      <c r="PNH754" s="574"/>
      <c r="PNI754" s="574"/>
      <c r="PNJ754" s="574"/>
      <c r="PNK754" s="574"/>
      <c r="PNL754" s="574"/>
      <c r="PNM754" s="574"/>
      <c r="PNN754" s="574"/>
      <c r="PNO754" s="574"/>
      <c r="PNP754" s="574"/>
      <c r="PNQ754" s="574"/>
      <c r="PNR754" s="574"/>
      <c r="PNS754" s="574"/>
      <c r="PNT754" s="574"/>
      <c r="PNU754" s="574"/>
      <c r="PNV754" s="574"/>
      <c r="PNW754" s="574"/>
      <c r="PNX754" s="574"/>
      <c r="PNY754" s="574"/>
      <c r="PNZ754" s="574"/>
      <c r="POA754" s="574"/>
      <c r="POB754" s="574"/>
      <c r="POC754" s="574"/>
      <c r="POD754" s="574"/>
      <c r="POE754" s="574"/>
      <c r="POF754" s="574"/>
      <c r="POG754" s="574"/>
      <c r="POH754" s="574"/>
      <c r="POI754" s="574"/>
      <c r="POJ754" s="574"/>
      <c r="POK754" s="574"/>
      <c r="POL754" s="574"/>
      <c r="POM754" s="574"/>
      <c r="PON754" s="574"/>
      <c r="POO754" s="574"/>
      <c r="POP754" s="574"/>
      <c r="POQ754" s="574"/>
      <c r="POR754" s="574"/>
      <c r="POS754" s="574"/>
      <c r="POT754" s="574"/>
      <c r="POU754" s="574"/>
      <c r="POV754" s="574"/>
      <c r="POW754" s="574"/>
      <c r="POX754" s="574"/>
      <c r="POY754" s="574"/>
      <c r="POZ754" s="574"/>
      <c r="PPA754" s="574"/>
      <c r="PPB754" s="574"/>
      <c r="PPC754" s="574"/>
      <c r="PPD754" s="574"/>
      <c r="PPE754" s="574"/>
      <c r="PPF754" s="574"/>
      <c r="PPG754" s="574"/>
      <c r="PPH754" s="574"/>
      <c r="PPI754" s="574"/>
      <c r="PPJ754" s="574"/>
      <c r="PPK754" s="574"/>
      <c r="PPL754" s="574"/>
      <c r="PPM754" s="574"/>
      <c r="PPN754" s="574"/>
      <c r="PPO754" s="574"/>
      <c r="PPP754" s="574"/>
      <c r="PPQ754" s="574"/>
      <c r="PPR754" s="574"/>
      <c r="PPS754" s="574"/>
      <c r="PPT754" s="574"/>
      <c r="PPU754" s="574"/>
      <c r="PPV754" s="574"/>
      <c r="PPW754" s="574"/>
      <c r="PPX754" s="574"/>
      <c r="PPY754" s="574"/>
      <c r="PPZ754" s="574"/>
      <c r="PQA754" s="574"/>
      <c r="PQB754" s="574"/>
      <c r="PQC754" s="574"/>
      <c r="PQD754" s="574"/>
      <c r="PQE754" s="574"/>
      <c r="PQF754" s="574"/>
      <c r="PQG754" s="574"/>
      <c r="PQH754" s="574"/>
      <c r="PQI754" s="574"/>
      <c r="PQJ754" s="574"/>
      <c r="PQK754" s="574"/>
      <c r="PQL754" s="574"/>
      <c r="PQM754" s="574"/>
      <c r="PQN754" s="574"/>
      <c r="PQO754" s="574"/>
      <c r="PQP754" s="574"/>
      <c r="PQQ754" s="574"/>
      <c r="PQR754" s="574"/>
      <c r="PQS754" s="574"/>
      <c r="PQT754" s="574"/>
      <c r="PQU754" s="574"/>
      <c r="PQV754" s="574"/>
      <c r="PQW754" s="574"/>
      <c r="PQX754" s="574"/>
      <c r="PQY754" s="574"/>
      <c r="PQZ754" s="574"/>
      <c r="PRA754" s="574"/>
      <c r="PRB754" s="574"/>
      <c r="PRC754" s="574"/>
      <c r="PRD754" s="574"/>
      <c r="PRE754" s="574"/>
      <c r="PRF754" s="574"/>
      <c r="PRG754" s="574"/>
      <c r="PRH754" s="574"/>
      <c r="PRI754" s="574"/>
      <c r="PRJ754" s="574"/>
      <c r="PRK754" s="574"/>
      <c r="PRL754" s="574"/>
      <c r="PRM754" s="574"/>
      <c r="PRN754" s="574"/>
      <c r="PRO754" s="574"/>
      <c r="PRP754" s="574"/>
      <c r="PRQ754" s="574"/>
      <c r="PRR754" s="574"/>
      <c r="PRS754" s="574"/>
      <c r="PRT754" s="574"/>
      <c r="PRU754" s="574"/>
      <c r="PRV754" s="574"/>
      <c r="PRW754" s="574"/>
      <c r="PRX754" s="574"/>
      <c r="PRY754" s="574"/>
      <c r="PRZ754" s="574"/>
      <c r="PSA754" s="574"/>
      <c r="PSB754" s="574"/>
      <c r="PSC754" s="574"/>
      <c r="PSD754" s="574"/>
      <c r="PSE754" s="574"/>
      <c r="PSF754" s="574"/>
      <c r="PSG754" s="574"/>
      <c r="PSH754" s="574"/>
      <c r="PSI754" s="574"/>
      <c r="PSJ754" s="574"/>
      <c r="PSK754" s="574"/>
      <c r="PSL754" s="574"/>
      <c r="PSM754" s="574"/>
      <c r="PSN754" s="574"/>
      <c r="PSO754" s="574"/>
      <c r="PSP754" s="574"/>
      <c r="PSQ754" s="574"/>
      <c r="PSR754" s="574"/>
      <c r="PSS754" s="574"/>
      <c r="PST754" s="574"/>
      <c r="PSU754" s="574"/>
      <c r="PSV754" s="574"/>
      <c r="PSW754" s="574"/>
      <c r="PSX754" s="574"/>
      <c r="PSY754" s="574"/>
      <c r="PSZ754" s="574"/>
      <c r="PTA754" s="574"/>
      <c r="PTB754" s="574"/>
      <c r="PTC754" s="574"/>
      <c r="PTD754" s="574"/>
      <c r="PTE754" s="574"/>
      <c r="PTF754" s="574"/>
      <c r="PTG754" s="574"/>
      <c r="PTH754" s="574"/>
      <c r="PTI754" s="574"/>
      <c r="PTJ754" s="574"/>
      <c r="PTK754" s="574"/>
      <c r="PTL754" s="574"/>
      <c r="PTM754" s="574"/>
      <c r="PTN754" s="574"/>
      <c r="PTO754" s="574"/>
      <c r="PTP754" s="574"/>
      <c r="PTQ754" s="574"/>
      <c r="PTR754" s="574"/>
      <c r="PTS754" s="574"/>
      <c r="PTT754" s="574"/>
      <c r="PTU754" s="574"/>
      <c r="PTV754" s="574"/>
      <c r="PTW754" s="574"/>
      <c r="PTX754" s="574"/>
      <c r="PTY754" s="574"/>
      <c r="PTZ754" s="574"/>
      <c r="PUA754" s="574"/>
      <c r="PUB754" s="574"/>
      <c r="PUC754" s="574"/>
      <c r="PUD754" s="574"/>
      <c r="PUE754" s="574"/>
      <c r="PUF754" s="574"/>
      <c r="PUG754" s="574"/>
      <c r="PUH754" s="574"/>
      <c r="PUI754" s="574"/>
      <c r="PUJ754" s="574"/>
      <c r="PUK754" s="574"/>
      <c r="PUL754" s="574"/>
      <c r="PUM754" s="574"/>
      <c r="PUN754" s="574"/>
      <c r="PUO754" s="574"/>
      <c r="PUP754" s="574"/>
      <c r="PUQ754" s="574"/>
      <c r="PUR754" s="574"/>
      <c r="PUS754" s="574"/>
      <c r="PUT754" s="574"/>
      <c r="PUU754" s="574"/>
      <c r="PUV754" s="574"/>
      <c r="PUW754" s="574"/>
      <c r="PUX754" s="574"/>
      <c r="PUY754" s="574"/>
      <c r="PUZ754" s="574"/>
      <c r="PVA754" s="574"/>
      <c r="PVB754" s="574"/>
      <c r="PVC754" s="574"/>
      <c r="PVD754" s="574"/>
      <c r="PVE754" s="574"/>
      <c r="PVF754" s="574"/>
      <c r="PVG754" s="574"/>
      <c r="PVH754" s="574"/>
      <c r="PVI754" s="574"/>
      <c r="PVJ754" s="574"/>
      <c r="PVK754" s="574"/>
      <c r="PVL754" s="574"/>
      <c r="PVM754" s="574"/>
      <c r="PVN754" s="574"/>
      <c r="PVO754" s="574"/>
      <c r="PVP754" s="574"/>
      <c r="PVQ754" s="574"/>
      <c r="PVR754" s="574"/>
      <c r="PVS754" s="574"/>
      <c r="PVT754" s="574"/>
      <c r="PVU754" s="574"/>
      <c r="PVV754" s="574"/>
      <c r="PVW754" s="574"/>
      <c r="PVX754" s="574"/>
      <c r="PVY754" s="574"/>
      <c r="PVZ754" s="574"/>
      <c r="PWA754" s="574"/>
      <c r="PWB754" s="574"/>
      <c r="PWC754" s="574"/>
      <c r="PWD754" s="574"/>
      <c r="PWE754" s="574"/>
      <c r="PWF754" s="574"/>
      <c r="PWG754" s="574"/>
      <c r="PWH754" s="574"/>
      <c r="PWI754" s="574"/>
      <c r="PWJ754" s="574"/>
      <c r="PWK754" s="574"/>
      <c r="PWL754" s="574"/>
      <c r="PWM754" s="574"/>
      <c r="PWN754" s="574"/>
      <c r="PWO754" s="574"/>
      <c r="PWP754" s="574"/>
      <c r="PWQ754" s="574"/>
      <c r="PWR754" s="574"/>
      <c r="PWS754" s="574"/>
      <c r="PWT754" s="574"/>
      <c r="PWU754" s="574"/>
      <c r="PWV754" s="574"/>
      <c r="PWW754" s="574"/>
      <c r="PWX754" s="574"/>
      <c r="PWY754" s="574"/>
      <c r="PWZ754" s="574"/>
      <c r="PXA754" s="574"/>
      <c r="PXB754" s="574"/>
      <c r="PXC754" s="574"/>
      <c r="PXD754" s="574"/>
      <c r="PXE754" s="574"/>
      <c r="PXF754" s="574"/>
      <c r="PXG754" s="574"/>
      <c r="PXH754" s="574"/>
      <c r="PXI754" s="574"/>
      <c r="PXJ754" s="574"/>
      <c r="PXK754" s="574"/>
      <c r="PXL754" s="574"/>
      <c r="PXM754" s="574"/>
      <c r="PXN754" s="574"/>
      <c r="PXO754" s="574"/>
      <c r="PXP754" s="574"/>
      <c r="PXQ754" s="574"/>
      <c r="PXR754" s="574"/>
      <c r="PXS754" s="574"/>
      <c r="PXT754" s="574"/>
      <c r="PXU754" s="574"/>
      <c r="PXV754" s="574"/>
      <c r="PXW754" s="574"/>
      <c r="PXX754" s="574"/>
      <c r="PXY754" s="574"/>
      <c r="PXZ754" s="574"/>
      <c r="PYA754" s="574"/>
      <c r="PYB754" s="574"/>
      <c r="PYC754" s="574"/>
      <c r="PYD754" s="574"/>
      <c r="PYE754" s="574"/>
      <c r="PYF754" s="574"/>
      <c r="PYG754" s="574"/>
      <c r="PYH754" s="574"/>
      <c r="PYI754" s="574"/>
      <c r="PYJ754" s="574"/>
      <c r="PYK754" s="574"/>
      <c r="PYL754" s="574"/>
      <c r="PYM754" s="574"/>
      <c r="PYN754" s="574"/>
      <c r="PYO754" s="574"/>
      <c r="PYP754" s="574"/>
      <c r="PYQ754" s="574"/>
      <c r="PYR754" s="574"/>
      <c r="PYS754" s="574"/>
      <c r="PYT754" s="574"/>
      <c r="PYU754" s="574"/>
      <c r="PYV754" s="574"/>
      <c r="PYW754" s="574"/>
      <c r="PYX754" s="574"/>
      <c r="PYY754" s="574"/>
      <c r="PYZ754" s="574"/>
      <c r="PZA754" s="574"/>
      <c r="PZB754" s="574"/>
      <c r="PZC754" s="574"/>
      <c r="PZD754" s="574"/>
      <c r="PZE754" s="574"/>
      <c r="PZF754" s="574"/>
      <c r="PZG754" s="574"/>
      <c r="PZH754" s="574"/>
      <c r="PZI754" s="574"/>
      <c r="PZJ754" s="574"/>
      <c r="PZK754" s="574"/>
      <c r="PZL754" s="574"/>
      <c r="PZM754" s="574"/>
      <c r="PZN754" s="574"/>
      <c r="PZO754" s="574"/>
      <c r="PZP754" s="574"/>
      <c r="PZQ754" s="574"/>
      <c r="PZR754" s="574"/>
      <c r="PZS754" s="574"/>
      <c r="PZT754" s="574"/>
      <c r="PZU754" s="574"/>
      <c r="PZV754" s="574"/>
      <c r="PZW754" s="574"/>
      <c r="PZX754" s="574"/>
      <c r="PZY754" s="574"/>
      <c r="PZZ754" s="574"/>
      <c r="QAA754" s="574"/>
      <c r="QAB754" s="574"/>
      <c r="QAC754" s="574"/>
      <c r="QAD754" s="574"/>
      <c r="QAE754" s="574"/>
      <c r="QAF754" s="574"/>
      <c r="QAG754" s="574"/>
      <c r="QAH754" s="574"/>
      <c r="QAI754" s="574"/>
      <c r="QAJ754" s="574"/>
      <c r="QAK754" s="574"/>
      <c r="QAL754" s="574"/>
      <c r="QAM754" s="574"/>
      <c r="QAN754" s="574"/>
      <c r="QAO754" s="574"/>
      <c r="QAP754" s="574"/>
      <c r="QAQ754" s="574"/>
      <c r="QAR754" s="574"/>
      <c r="QAS754" s="574"/>
      <c r="QAT754" s="574"/>
      <c r="QAU754" s="574"/>
      <c r="QAV754" s="574"/>
      <c r="QAW754" s="574"/>
      <c r="QAX754" s="574"/>
      <c r="QAY754" s="574"/>
      <c r="QAZ754" s="574"/>
      <c r="QBA754" s="574"/>
      <c r="QBB754" s="574"/>
      <c r="QBC754" s="574"/>
      <c r="QBD754" s="574"/>
      <c r="QBE754" s="574"/>
      <c r="QBF754" s="574"/>
      <c r="QBG754" s="574"/>
      <c r="QBH754" s="574"/>
      <c r="QBI754" s="574"/>
      <c r="QBJ754" s="574"/>
      <c r="QBK754" s="574"/>
      <c r="QBL754" s="574"/>
      <c r="QBM754" s="574"/>
      <c r="QBN754" s="574"/>
      <c r="QBO754" s="574"/>
      <c r="QBP754" s="574"/>
      <c r="QBQ754" s="574"/>
      <c r="QBR754" s="574"/>
      <c r="QBS754" s="574"/>
      <c r="QBT754" s="574"/>
      <c r="QBU754" s="574"/>
      <c r="QBV754" s="574"/>
      <c r="QBW754" s="574"/>
      <c r="QBX754" s="574"/>
      <c r="QBY754" s="574"/>
      <c r="QBZ754" s="574"/>
      <c r="QCA754" s="574"/>
      <c r="QCB754" s="574"/>
      <c r="QCC754" s="574"/>
      <c r="QCD754" s="574"/>
      <c r="QCE754" s="574"/>
      <c r="QCF754" s="574"/>
      <c r="QCG754" s="574"/>
      <c r="QCH754" s="574"/>
      <c r="QCI754" s="574"/>
      <c r="QCJ754" s="574"/>
      <c r="QCK754" s="574"/>
      <c r="QCL754" s="574"/>
      <c r="QCM754" s="574"/>
      <c r="QCN754" s="574"/>
      <c r="QCO754" s="574"/>
      <c r="QCP754" s="574"/>
      <c r="QCQ754" s="574"/>
      <c r="QCR754" s="574"/>
      <c r="QCS754" s="574"/>
      <c r="QCT754" s="574"/>
      <c r="QCU754" s="574"/>
      <c r="QCV754" s="574"/>
      <c r="QCW754" s="574"/>
      <c r="QCX754" s="574"/>
      <c r="QCY754" s="574"/>
      <c r="QCZ754" s="574"/>
      <c r="QDA754" s="574"/>
      <c r="QDB754" s="574"/>
      <c r="QDC754" s="574"/>
      <c r="QDD754" s="574"/>
      <c r="QDE754" s="574"/>
      <c r="QDF754" s="574"/>
      <c r="QDG754" s="574"/>
      <c r="QDH754" s="574"/>
      <c r="QDI754" s="574"/>
      <c r="QDJ754" s="574"/>
      <c r="QDK754" s="574"/>
      <c r="QDL754" s="574"/>
      <c r="QDM754" s="574"/>
      <c r="QDN754" s="574"/>
      <c r="QDO754" s="574"/>
      <c r="QDP754" s="574"/>
      <c r="QDQ754" s="574"/>
      <c r="QDR754" s="574"/>
      <c r="QDS754" s="574"/>
      <c r="QDT754" s="574"/>
      <c r="QDU754" s="574"/>
      <c r="QDV754" s="574"/>
      <c r="QDW754" s="574"/>
      <c r="QDX754" s="574"/>
      <c r="QDY754" s="574"/>
      <c r="QDZ754" s="574"/>
      <c r="QEA754" s="574"/>
      <c r="QEB754" s="574"/>
      <c r="QEC754" s="574"/>
      <c r="QED754" s="574"/>
      <c r="QEE754" s="574"/>
      <c r="QEF754" s="574"/>
      <c r="QEG754" s="574"/>
      <c r="QEH754" s="574"/>
      <c r="QEI754" s="574"/>
      <c r="QEJ754" s="574"/>
      <c r="QEK754" s="574"/>
      <c r="QEL754" s="574"/>
      <c r="QEM754" s="574"/>
      <c r="QEN754" s="574"/>
      <c r="QEO754" s="574"/>
      <c r="QEP754" s="574"/>
      <c r="QEQ754" s="574"/>
      <c r="QER754" s="574"/>
      <c r="QES754" s="574"/>
      <c r="QET754" s="574"/>
      <c r="QEU754" s="574"/>
      <c r="QEV754" s="574"/>
      <c r="QEW754" s="574"/>
      <c r="QEX754" s="574"/>
      <c r="QEY754" s="574"/>
      <c r="QEZ754" s="574"/>
      <c r="QFA754" s="574"/>
      <c r="QFB754" s="574"/>
      <c r="QFC754" s="574"/>
      <c r="QFD754" s="574"/>
      <c r="QFE754" s="574"/>
      <c r="QFF754" s="574"/>
      <c r="QFG754" s="574"/>
      <c r="QFH754" s="574"/>
      <c r="QFI754" s="574"/>
      <c r="QFJ754" s="574"/>
      <c r="QFK754" s="574"/>
      <c r="QFL754" s="574"/>
      <c r="QFM754" s="574"/>
      <c r="QFN754" s="574"/>
      <c r="QFO754" s="574"/>
      <c r="QFP754" s="574"/>
      <c r="QFQ754" s="574"/>
      <c r="QFR754" s="574"/>
      <c r="QFS754" s="574"/>
      <c r="QFT754" s="574"/>
      <c r="QFU754" s="574"/>
      <c r="QFV754" s="574"/>
      <c r="QFW754" s="574"/>
      <c r="QFX754" s="574"/>
      <c r="QFY754" s="574"/>
      <c r="QFZ754" s="574"/>
      <c r="QGA754" s="574"/>
      <c r="QGB754" s="574"/>
      <c r="QGC754" s="574"/>
      <c r="QGD754" s="574"/>
      <c r="QGE754" s="574"/>
      <c r="QGF754" s="574"/>
      <c r="QGG754" s="574"/>
      <c r="QGH754" s="574"/>
      <c r="QGI754" s="574"/>
      <c r="QGJ754" s="574"/>
      <c r="QGK754" s="574"/>
      <c r="QGL754" s="574"/>
      <c r="QGM754" s="574"/>
      <c r="QGN754" s="574"/>
      <c r="QGO754" s="574"/>
      <c r="QGP754" s="574"/>
      <c r="QGQ754" s="574"/>
      <c r="QGR754" s="574"/>
      <c r="QGS754" s="574"/>
      <c r="QGT754" s="574"/>
      <c r="QGU754" s="574"/>
      <c r="QGV754" s="574"/>
      <c r="QGW754" s="574"/>
      <c r="QGX754" s="574"/>
      <c r="QGY754" s="574"/>
      <c r="QGZ754" s="574"/>
      <c r="QHA754" s="574"/>
      <c r="QHB754" s="574"/>
      <c r="QHC754" s="574"/>
      <c r="QHD754" s="574"/>
      <c r="QHE754" s="574"/>
      <c r="QHF754" s="574"/>
      <c r="QHG754" s="574"/>
      <c r="QHH754" s="574"/>
      <c r="QHI754" s="574"/>
      <c r="QHJ754" s="574"/>
      <c r="QHK754" s="574"/>
      <c r="QHL754" s="574"/>
      <c r="QHM754" s="574"/>
      <c r="QHN754" s="574"/>
      <c r="QHO754" s="574"/>
      <c r="QHP754" s="574"/>
      <c r="QHQ754" s="574"/>
      <c r="QHR754" s="574"/>
      <c r="QHS754" s="574"/>
      <c r="QHT754" s="574"/>
      <c r="QHU754" s="574"/>
      <c r="QHV754" s="574"/>
      <c r="QHW754" s="574"/>
      <c r="QHX754" s="574"/>
      <c r="QHY754" s="574"/>
      <c r="QHZ754" s="574"/>
      <c r="QIA754" s="574"/>
      <c r="QIB754" s="574"/>
      <c r="QIC754" s="574"/>
      <c r="QID754" s="574"/>
      <c r="QIE754" s="574"/>
      <c r="QIF754" s="574"/>
      <c r="QIG754" s="574"/>
      <c r="QIH754" s="574"/>
      <c r="QII754" s="574"/>
      <c r="QIJ754" s="574"/>
      <c r="QIK754" s="574"/>
      <c r="QIL754" s="574"/>
      <c r="QIM754" s="574"/>
      <c r="QIN754" s="574"/>
      <c r="QIO754" s="574"/>
      <c r="QIP754" s="574"/>
      <c r="QIQ754" s="574"/>
      <c r="QIR754" s="574"/>
      <c r="QIS754" s="574"/>
      <c r="QIT754" s="574"/>
      <c r="QIU754" s="574"/>
      <c r="QIV754" s="574"/>
      <c r="QIW754" s="574"/>
      <c r="QIX754" s="574"/>
      <c r="QIY754" s="574"/>
      <c r="QIZ754" s="574"/>
      <c r="QJA754" s="574"/>
      <c r="QJB754" s="574"/>
      <c r="QJC754" s="574"/>
      <c r="QJD754" s="574"/>
      <c r="QJE754" s="574"/>
      <c r="QJF754" s="574"/>
      <c r="QJG754" s="574"/>
      <c r="QJH754" s="574"/>
      <c r="QJI754" s="574"/>
      <c r="QJJ754" s="574"/>
      <c r="QJK754" s="574"/>
      <c r="QJL754" s="574"/>
      <c r="QJM754" s="574"/>
      <c r="QJN754" s="574"/>
      <c r="QJO754" s="574"/>
      <c r="QJP754" s="574"/>
      <c r="QJQ754" s="574"/>
      <c r="QJR754" s="574"/>
      <c r="QJS754" s="574"/>
      <c r="QJT754" s="574"/>
      <c r="QJU754" s="574"/>
      <c r="QJV754" s="574"/>
      <c r="QJW754" s="574"/>
      <c r="QJX754" s="574"/>
      <c r="QJY754" s="574"/>
      <c r="QJZ754" s="574"/>
      <c r="QKA754" s="574"/>
      <c r="QKB754" s="574"/>
      <c r="QKC754" s="574"/>
      <c r="QKD754" s="574"/>
      <c r="QKE754" s="574"/>
      <c r="QKF754" s="574"/>
      <c r="QKG754" s="574"/>
      <c r="QKH754" s="574"/>
      <c r="QKI754" s="574"/>
      <c r="QKJ754" s="574"/>
      <c r="QKK754" s="574"/>
      <c r="QKL754" s="574"/>
      <c r="QKM754" s="574"/>
      <c r="QKN754" s="574"/>
      <c r="QKO754" s="574"/>
      <c r="QKP754" s="574"/>
      <c r="QKQ754" s="574"/>
      <c r="QKR754" s="574"/>
      <c r="QKS754" s="574"/>
      <c r="QKT754" s="574"/>
      <c r="QKU754" s="574"/>
      <c r="QKV754" s="574"/>
      <c r="QKW754" s="574"/>
      <c r="QKX754" s="574"/>
      <c r="QKY754" s="574"/>
      <c r="QKZ754" s="574"/>
      <c r="QLA754" s="574"/>
      <c r="QLB754" s="574"/>
      <c r="QLC754" s="574"/>
      <c r="QLD754" s="574"/>
      <c r="QLE754" s="574"/>
      <c r="QLF754" s="574"/>
      <c r="QLG754" s="574"/>
      <c r="QLH754" s="574"/>
      <c r="QLI754" s="574"/>
      <c r="QLJ754" s="574"/>
      <c r="QLK754" s="574"/>
      <c r="QLL754" s="574"/>
      <c r="QLM754" s="574"/>
      <c r="QLN754" s="574"/>
      <c r="QLO754" s="574"/>
      <c r="QLP754" s="574"/>
      <c r="QLQ754" s="574"/>
      <c r="QLR754" s="574"/>
      <c r="QLS754" s="574"/>
      <c r="QLT754" s="574"/>
      <c r="QLU754" s="574"/>
      <c r="QLV754" s="574"/>
      <c r="QLW754" s="574"/>
      <c r="QLX754" s="574"/>
      <c r="QLY754" s="574"/>
      <c r="QLZ754" s="574"/>
      <c r="QMA754" s="574"/>
      <c r="QMB754" s="574"/>
      <c r="QMC754" s="574"/>
      <c r="QMD754" s="574"/>
      <c r="QME754" s="574"/>
      <c r="QMF754" s="574"/>
      <c r="QMG754" s="574"/>
      <c r="QMH754" s="574"/>
      <c r="QMI754" s="574"/>
      <c r="QMJ754" s="574"/>
      <c r="QMK754" s="574"/>
      <c r="QML754" s="574"/>
      <c r="QMM754" s="574"/>
      <c r="QMN754" s="574"/>
      <c r="QMO754" s="574"/>
      <c r="QMP754" s="574"/>
      <c r="QMQ754" s="574"/>
      <c r="QMR754" s="574"/>
      <c r="QMS754" s="574"/>
      <c r="QMT754" s="574"/>
      <c r="QMU754" s="574"/>
      <c r="QMV754" s="574"/>
      <c r="QMW754" s="574"/>
      <c r="QMX754" s="574"/>
      <c r="QMY754" s="574"/>
      <c r="QMZ754" s="574"/>
      <c r="QNA754" s="574"/>
      <c r="QNB754" s="574"/>
      <c r="QNC754" s="574"/>
      <c r="QND754" s="574"/>
      <c r="QNE754" s="574"/>
      <c r="QNF754" s="574"/>
      <c r="QNG754" s="574"/>
      <c r="QNH754" s="574"/>
      <c r="QNI754" s="574"/>
      <c r="QNJ754" s="574"/>
      <c r="QNK754" s="574"/>
      <c r="QNL754" s="574"/>
      <c r="QNM754" s="574"/>
      <c r="QNN754" s="574"/>
      <c r="QNO754" s="574"/>
      <c r="QNP754" s="574"/>
      <c r="QNQ754" s="574"/>
      <c r="QNR754" s="574"/>
      <c r="QNS754" s="574"/>
      <c r="QNT754" s="574"/>
      <c r="QNU754" s="574"/>
      <c r="QNV754" s="574"/>
      <c r="QNW754" s="574"/>
      <c r="QNX754" s="574"/>
      <c r="QNY754" s="574"/>
      <c r="QNZ754" s="574"/>
      <c r="QOA754" s="574"/>
      <c r="QOB754" s="574"/>
      <c r="QOC754" s="574"/>
      <c r="QOD754" s="574"/>
      <c r="QOE754" s="574"/>
      <c r="QOF754" s="574"/>
      <c r="QOG754" s="574"/>
      <c r="QOH754" s="574"/>
      <c r="QOI754" s="574"/>
      <c r="QOJ754" s="574"/>
      <c r="QOK754" s="574"/>
      <c r="QOL754" s="574"/>
      <c r="QOM754" s="574"/>
      <c r="QON754" s="574"/>
      <c r="QOO754" s="574"/>
      <c r="QOP754" s="574"/>
      <c r="QOQ754" s="574"/>
      <c r="QOR754" s="574"/>
      <c r="QOS754" s="574"/>
      <c r="QOT754" s="574"/>
      <c r="QOU754" s="574"/>
      <c r="QOV754" s="574"/>
      <c r="QOW754" s="574"/>
      <c r="QOX754" s="574"/>
      <c r="QOY754" s="574"/>
      <c r="QOZ754" s="574"/>
      <c r="QPA754" s="574"/>
      <c r="QPB754" s="574"/>
      <c r="QPC754" s="574"/>
      <c r="QPD754" s="574"/>
      <c r="QPE754" s="574"/>
      <c r="QPF754" s="574"/>
      <c r="QPG754" s="574"/>
      <c r="QPH754" s="574"/>
      <c r="QPI754" s="574"/>
      <c r="QPJ754" s="574"/>
      <c r="QPK754" s="574"/>
      <c r="QPL754" s="574"/>
      <c r="QPM754" s="574"/>
      <c r="QPN754" s="574"/>
      <c r="QPO754" s="574"/>
      <c r="QPP754" s="574"/>
      <c r="QPQ754" s="574"/>
      <c r="QPR754" s="574"/>
      <c r="QPS754" s="574"/>
      <c r="QPT754" s="574"/>
      <c r="QPU754" s="574"/>
      <c r="QPV754" s="574"/>
      <c r="QPW754" s="574"/>
      <c r="QPX754" s="574"/>
      <c r="QPY754" s="574"/>
      <c r="QPZ754" s="574"/>
      <c r="QQA754" s="574"/>
      <c r="QQB754" s="574"/>
      <c r="QQC754" s="574"/>
      <c r="QQD754" s="574"/>
      <c r="QQE754" s="574"/>
      <c r="QQF754" s="574"/>
      <c r="QQG754" s="574"/>
      <c r="QQH754" s="574"/>
      <c r="QQI754" s="574"/>
      <c r="QQJ754" s="574"/>
      <c r="QQK754" s="574"/>
      <c r="QQL754" s="574"/>
      <c r="QQM754" s="574"/>
      <c r="QQN754" s="574"/>
      <c r="QQO754" s="574"/>
      <c r="QQP754" s="574"/>
      <c r="QQQ754" s="574"/>
      <c r="QQR754" s="574"/>
      <c r="QQS754" s="574"/>
      <c r="QQT754" s="574"/>
      <c r="QQU754" s="574"/>
      <c r="QQV754" s="574"/>
      <c r="QQW754" s="574"/>
      <c r="QQX754" s="574"/>
      <c r="QQY754" s="574"/>
      <c r="QQZ754" s="574"/>
      <c r="QRA754" s="574"/>
      <c r="QRB754" s="574"/>
      <c r="QRC754" s="574"/>
      <c r="QRD754" s="574"/>
      <c r="QRE754" s="574"/>
      <c r="QRF754" s="574"/>
      <c r="QRG754" s="574"/>
      <c r="QRH754" s="574"/>
      <c r="QRI754" s="574"/>
      <c r="QRJ754" s="574"/>
      <c r="QRK754" s="574"/>
      <c r="QRL754" s="574"/>
      <c r="QRM754" s="574"/>
      <c r="QRN754" s="574"/>
      <c r="QRO754" s="574"/>
      <c r="QRP754" s="574"/>
      <c r="QRQ754" s="574"/>
      <c r="QRR754" s="574"/>
      <c r="QRS754" s="574"/>
      <c r="QRT754" s="574"/>
      <c r="QRU754" s="574"/>
      <c r="QRV754" s="574"/>
      <c r="QRW754" s="574"/>
      <c r="QRX754" s="574"/>
      <c r="QRY754" s="574"/>
      <c r="QRZ754" s="574"/>
      <c r="QSA754" s="574"/>
      <c r="QSB754" s="574"/>
      <c r="QSC754" s="574"/>
      <c r="QSD754" s="574"/>
      <c r="QSE754" s="574"/>
      <c r="QSF754" s="574"/>
      <c r="QSG754" s="574"/>
      <c r="QSH754" s="574"/>
      <c r="QSI754" s="574"/>
      <c r="QSJ754" s="574"/>
      <c r="QSK754" s="574"/>
      <c r="QSL754" s="574"/>
      <c r="QSM754" s="574"/>
      <c r="QSN754" s="574"/>
      <c r="QSO754" s="574"/>
      <c r="QSP754" s="574"/>
      <c r="QSQ754" s="574"/>
      <c r="QSR754" s="574"/>
      <c r="QSS754" s="574"/>
      <c r="QST754" s="574"/>
      <c r="QSU754" s="574"/>
      <c r="QSV754" s="574"/>
      <c r="QSW754" s="574"/>
      <c r="QSX754" s="574"/>
      <c r="QSY754" s="574"/>
      <c r="QSZ754" s="574"/>
      <c r="QTA754" s="574"/>
      <c r="QTB754" s="574"/>
      <c r="QTC754" s="574"/>
      <c r="QTD754" s="574"/>
      <c r="QTE754" s="574"/>
      <c r="QTF754" s="574"/>
      <c r="QTG754" s="574"/>
      <c r="QTH754" s="574"/>
      <c r="QTI754" s="574"/>
      <c r="QTJ754" s="574"/>
      <c r="QTK754" s="574"/>
      <c r="QTL754" s="574"/>
      <c r="QTM754" s="574"/>
      <c r="QTN754" s="574"/>
      <c r="QTO754" s="574"/>
      <c r="QTP754" s="574"/>
      <c r="QTQ754" s="574"/>
      <c r="QTR754" s="574"/>
      <c r="QTS754" s="574"/>
      <c r="QTT754" s="574"/>
      <c r="QTU754" s="574"/>
      <c r="QTV754" s="574"/>
      <c r="QTW754" s="574"/>
      <c r="QTX754" s="574"/>
      <c r="QTY754" s="574"/>
      <c r="QTZ754" s="574"/>
      <c r="QUA754" s="574"/>
      <c r="QUB754" s="574"/>
      <c r="QUC754" s="574"/>
      <c r="QUD754" s="574"/>
      <c r="QUE754" s="574"/>
      <c r="QUF754" s="574"/>
      <c r="QUG754" s="574"/>
      <c r="QUH754" s="574"/>
      <c r="QUI754" s="574"/>
      <c r="QUJ754" s="574"/>
      <c r="QUK754" s="574"/>
      <c r="QUL754" s="574"/>
      <c r="QUM754" s="574"/>
      <c r="QUN754" s="574"/>
      <c r="QUO754" s="574"/>
      <c r="QUP754" s="574"/>
      <c r="QUQ754" s="574"/>
      <c r="QUR754" s="574"/>
      <c r="QUS754" s="574"/>
      <c r="QUT754" s="574"/>
      <c r="QUU754" s="574"/>
      <c r="QUV754" s="574"/>
      <c r="QUW754" s="574"/>
      <c r="QUX754" s="574"/>
      <c r="QUY754" s="574"/>
      <c r="QUZ754" s="574"/>
      <c r="QVA754" s="574"/>
      <c r="QVB754" s="574"/>
      <c r="QVC754" s="574"/>
      <c r="QVD754" s="574"/>
      <c r="QVE754" s="574"/>
      <c r="QVF754" s="574"/>
      <c r="QVG754" s="574"/>
      <c r="QVH754" s="574"/>
      <c r="QVI754" s="574"/>
      <c r="QVJ754" s="574"/>
      <c r="QVK754" s="574"/>
      <c r="QVL754" s="574"/>
      <c r="QVM754" s="574"/>
      <c r="QVN754" s="574"/>
      <c r="QVO754" s="574"/>
      <c r="QVP754" s="574"/>
      <c r="QVQ754" s="574"/>
      <c r="QVR754" s="574"/>
      <c r="QVS754" s="574"/>
      <c r="QVT754" s="574"/>
      <c r="QVU754" s="574"/>
      <c r="QVV754" s="574"/>
      <c r="QVW754" s="574"/>
      <c r="QVX754" s="574"/>
      <c r="QVY754" s="574"/>
      <c r="QVZ754" s="574"/>
      <c r="QWA754" s="574"/>
      <c r="QWB754" s="574"/>
      <c r="QWC754" s="574"/>
      <c r="QWD754" s="574"/>
      <c r="QWE754" s="574"/>
      <c r="QWF754" s="574"/>
      <c r="QWG754" s="574"/>
      <c r="QWH754" s="574"/>
      <c r="QWI754" s="574"/>
      <c r="QWJ754" s="574"/>
      <c r="QWK754" s="574"/>
      <c r="QWL754" s="574"/>
      <c r="QWM754" s="574"/>
      <c r="QWN754" s="574"/>
      <c r="QWO754" s="574"/>
      <c r="QWP754" s="574"/>
      <c r="QWQ754" s="574"/>
      <c r="QWR754" s="574"/>
      <c r="QWS754" s="574"/>
      <c r="QWT754" s="574"/>
      <c r="QWU754" s="574"/>
      <c r="QWV754" s="574"/>
      <c r="QWW754" s="574"/>
      <c r="QWX754" s="574"/>
      <c r="QWY754" s="574"/>
      <c r="QWZ754" s="574"/>
      <c r="QXA754" s="574"/>
      <c r="QXB754" s="574"/>
      <c r="QXC754" s="574"/>
      <c r="QXD754" s="574"/>
      <c r="QXE754" s="574"/>
      <c r="QXF754" s="574"/>
      <c r="QXG754" s="574"/>
      <c r="QXH754" s="574"/>
      <c r="QXI754" s="574"/>
      <c r="QXJ754" s="574"/>
      <c r="QXK754" s="574"/>
      <c r="QXL754" s="574"/>
      <c r="QXM754" s="574"/>
      <c r="QXN754" s="574"/>
      <c r="QXO754" s="574"/>
      <c r="QXP754" s="574"/>
      <c r="QXQ754" s="574"/>
      <c r="QXR754" s="574"/>
      <c r="QXS754" s="574"/>
      <c r="QXT754" s="574"/>
      <c r="QXU754" s="574"/>
      <c r="QXV754" s="574"/>
      <c r="QXW754" s="574"/>
      <c r="QXX754" s="574"/>
      <c r="QXY754" s="574"/>
      <c r="QXZ754" s="574"/>
      <c r="QYA754" s="574"/>
      <c r="QYB754" s="574"/>
      <c r="QYC754" s="574"/>
      <c r="QYD754" s="574"/>
      <c r="QYE754" s="574"/>
      <c r="QYF754" s="574"/>
      <c r="QYG754" s="574"/>
      <c r="QYH754" s="574"/>
      <c r="QYI754" s="574"/>
      <c r="QYJ754" s="574"/>
      <c r="QYK754" s="574"/>
      <c r="QYL754" s="574"/>
      <c r="QYM754" s="574"/>
      <c r="QYN754" s="574"/>
      <c r="QYO754" s="574"/>
      <c r="QYP754" s="574"/>
      <c r="QYQ754" s="574"/>
      <c r="QYR754" s="574"/>
      <c r="QYS754" s="574"/>
      <c r="QYT754" s="574"/>
      <c r="QYU754" s="574"/>
      <c r="QYV754" s="574"/>
      <c r="QYW754" s="574"/>
      <c r="QYX754" s="574"/>
      <c r="QYY754" s="574"/>
      <c r="QYZ754" s="574"/>
      <c r="QZA754" s="574"/>
      <c r="QZB754" s="574"/>
      <c r="QZC754" s="574"/>
      <c r="QZD754" s="574"/>
      <c r="QZE754" s="574"/>
      <c r="QZF754" s="574"/>
      <c r="QZG754" s="574"/>
      <c r="QZH754" s="574"/>
      <c r="QZI754" s="574"/>
      <c r="QZJ754" s="574"/>
      <c r="QZK754" s="574"/>
      <c r="QZL754" s="574"/>
      <c r="QZM754" s="574"/>
      <c r="QZN754" s="574"/>
      <c r="QZO754" s="574"/>
      <c r="QZP754" s="574"/>
      <c r="QZQ754" s="574"/>
      <c r="QZR754" s="574"/>
      <c r="QZS754" s="574"/>
      <c r="QZT754" s="574"/>
      <c r="QZU754" s="574"/>
      <c r="QZV754" s="574"/>
      <c r="QZW754" s="574"/>
      <c r="QZX754" s="574"/>
      <c r="QZY754" s="574"/>
      <c r="QZZ754" s="574"/>
      <c r="RAA754" s="574"/>
      <c r="RAB754" s="574"/>
      <c r="RAC754" s="574"/>
      <c r="RAD754" s="574"/>
      <c r="RAE754" s="574"/>
      <c r="RAF754" s="574"/>
      <c r="RAG754" s="574"/>
      <c r="RAH754" s="574"/>
      <c r="RAI754" s="574"/>
      <c r="RAJ754" s="574"/>
      <c r="RAK754" s="574"/>
      <c r="RAL754" s="574"/>
      <c r="RAM754" s="574"/>
      <c r="RAN754" s="574"/>
      <c r="RAO754" s="574"/>
      <c r="RAP754" s="574"/>
      <c r="RAQ754" s="574"/>
      <c r="RAR754" s="574"/>
      <c r="RAS754" s="574"/>
      <c r="RAT754" s="574"/>
      <c r="RAU754" s="574"/>
      <c r="RAV754" s="574"/>
      <c r="RAW754" s="574"/>
      <c r="RAX754" s="574"/>
      <c r="RAY754" s="574"/>
      <c r="RAZ754" s="574"/>
      <c r="RBA754" s="574"/>
      <c r="RBB754" s="574"/>
      <c r="RBC754" s="574"/>
      <c r="RBD754" s="574"/>
      <c r="RBE754" s="574"/>
      <c r="RBF754" s="574"/>
      <c r="RBG754" s="574"/>
      <c r="RBH754" s="574"/>
      <c r="RBI754" s="574"/>
      <c r="RBJ754" s="574"/>
      <c r="RBK754" s="574"/>
      <c r="RBL754" s="574"/>
      <c r="RBM754" s="574"/>
      <c r="RBN754" s="574"/>
      <c r="RBO754" s="574"/>
      <c r="RBP754" s="574"/>
      <c r="RBQ754" s="574"/>
      <c r="RBR754" s="574"/>
      <c r="RBS754" s="574"/>
      <c r="RBT754" s="574"/>
      <c r="RBU754" s="574"/>
      <c r="RBV754" s="574"/>
      <c r="RBW754" s="574"/>
      <c r="RBX754" s="574"/>
      <c r="RBY754" s="574"/>
      <c r="RBZ754" s="574"/>
      <c r="RCA754" s="574"/>
      <c r="RCB754" s="574"/>
      <c r="RCC754" s="574"/>
      <c r="RCD754" s="574"/>
      <c r="RCE754" s="574"/>
      <c r="RCF754" s="574"/>
      <c r="RCG754" s="574"/>
      <c r="RCH754" s="574"/>
      <c r="RCI754" s="574"/>
      <c r="RCJ754" s="574"/>
      <c r="RCK754" s="574"/>
      <c r="RCL754" s="574"/>
      <c r="RCM754" s="574"/>
      <c r="RCN754" s="574"/>
      <c r="RCO754" s="574"/>
      <c r="RCP754" s="574"/>
      <c r="RCQ754" s="574"/>
      <c r="RCR754" s="574"/>
      <c r="RCS754" s="574"/>
      <c r="RCT754" s="574"/>
      <c r="RCU754" s="574"/>
      <c r="RCV754" s="574"/>
      <c r="RCW754" s="574"/>
      <c r="RCX754" s="574"/>
      <c r="RCY754" s="574"/>
      <c r="RCZ754" s="574"/>
      <c r="RDA754" s="574"/>
      <c r="RDB754" s="574"/>
      <c r="RDC754" s="574"/>
      <c r="RDD754" s="574"/>
      <c r="RDE754" s="574"/>
      <c r="RDF754" s="574"/>
      <c r="RDG754" s="574"/>
      <c r="RDH754" s="574"/>
      <c r="RDI754" s="574"/>
      <c r="RDJ754" s="574"/>
      <c r="RDK754" s="574"/>
      <c r="RDL754" s="574"/>
      <c r="RDM754" s="574"/>
      <c r="RDN754" s="574"/>
      <c r="RDO754" s="574"/>
      <c r="RDP754" s="574"/>
      <c r="RDQ754" s="574"/>
      <c r="RDR754" s="574"/>
      <c r="RDS754" s="574"/>
      <c r="RDT754" s="574"/>
      <c r="RDU754" s="574"/>
      <c r="RDV754" s="574"/>
      <c r="RDW754" s="574"/>
      <c r="RDX754" s="574"/>
      <c r="RDY754" s="574"/>
      <c r="RDZ754" s="574"/>
      <c r="REA754" s="574"/>
      <c r="REB754" s="574"/>
      <c r="REC754" s="574"/>
      <c r="RED754" s="574"/>
      <c r="REE754" s="574"/>
      <c r="REF754" s="574"/>
      <c r="REG754" s="574"/>
      <c r="REH754" s="574"/>
      <c r="REI754" s="574"/>
      <c r="REJ754" s="574"/>
      <c r="REK754" s="574"/>
      <c r="REL754" s="574"/>
      <c r="REM754" s="574"/>
      <c r="REN754" s="574"/>
      <c r="REO754" s="574"/>
      <c r="REP754" s="574"/>
      <c r="REQ754" s="574"/>
      <c r="RER754" s="574"/>
      <c r="RES754" s="574"/>
      <c r="RET754" s="574"/>
      <c r="REU754" s="574"/>
      <c r="REV754" s="574"/>
      <c r="REW754" s="574"/>
      <c r="REX754" s="574"/>
      <c r="REY754" s="574"/>
      <c r="REZ754" s="574"/>
      <c r="RFA754" s="574"/>
      <c r="RFB754" s="574"/>
      <c r="RFC754" s="574"/>
      <c r="RFD754" s="574"/>
      <c r="RFE754" s="574"/>
      <c r="RFF754" s="574"/>
      <c r="RFG754" s="574"/>
      <c r="RFH754" s="574"/>
      <c r="RFI754" s="574"/>
      <c r="RFJ754" s="574"/>
      <c r="RFK754" s="574"/>
      <c r="RFL754" s="574"/>
      <c r="RFM754" s="574"/>
      <c r="RFN754" s="574"/>
      <c r="RFO754" s="574"/>
      <c r="RFP754" s="574"/>
      <c r="RFQ754" s="574"/>
      <c r="RFR754" s="574"/>
      <c r="RFS754" s="574"/>
      <c r="RFT754" s="574"/>
      <c r="RFU754" s="574"/>
      <c r="RFV754" s="574"/>
      <c r="RFW754" s="574"/>
      <c r="RFX754" s="574"/>
      <c r="RFY754" s="574"/>
      <c r="RFZ754" s="574"/>
      <c r="RGA754" s="574"/>
      <c r="RGB754" s="574"/>
      <c r="RGC754" s="574"/>
      <c r="RGD754" s="574"/>
      <c r="RGE754" s="574"/>
      <c r="RGF754" s="574"/>
      <c r="RGG754" s="574"/>
      <c r="RGH754" s="574"/>
      <c r="RGI754" s="574"/>
      <c r="RGJ754" s="574"/>
      <c r="RGK754" s="574"/>
      <c r="RGL754" s="574"/>
      <c r="RGM754" s="574"/>
      <c r="RGN754" s="574"/>
      <c r="RGO754" s="574"/>
      <c r="RGP754" s="574"/>
      <c r="RGQ754" s="574"/>
      <c r="RGR754" s="574"/>
      <c r="RGS754" s="574"/>
      <c r="RGT754" s="574"/>
      <c r="RGU754" s="574"/>
      <c r="RGV754" s="574"/>
      <c r="RGW754" s="574"/>
      <c r="RGX754" s="574"/>
      <c r="RGY754" s="574"/>
      <c r="RGZ754" s="574"/>
      <c r="RHA754" s="574"/>
      <c r="RHB754" s="574"/>
      <c r="RHC754" s="574"/>
      <c r="RHD754" s="574"/>
      <c r="RHE754" s="574"/>
      <c r="RHF754" s="574"/>
      <c r="RHG754" s="574"/>
      <c r="RHH754" s="574"/>
      <c r="RHI754" s="574"/>
      <c r="RHJ754" s="574"/>
      <c r="RHK754" s="574"/>
      <c r="RHL754" s="574"/>
      <c r="RHM754" s="574"/>
      <c r="RHN754" s="574"/>
      <c r="RHO754" s="574"/>
      <c r="RHP754" s="574"/>
      <c r="RHQ754" s="574"/>
      <c r="RHR754" s="574"/>
      <c r="RHS754" s="574"/>
      <c r="RHT754" s="574"/>
      <c r="RHU754" s="574"/>
      <c r="RHV754" s="574"/>
      <c r="RHW754" s="574"/>
      <c r="RHX754" s="574"/>
      <c r="RHY754" s="574"/>
      <c r="RHZ754" s="574"/>
      <c r="RIA754" s="574"/>
      <c r="RIB754" s="574"/>
      <c r="RIC754" s="574"/>
      <c r="RID754" s="574"/>
      <c r="RIE754" s="574"/>
      <c r="RIF754" s="574"/>
      <c r="RIG754" s="574"/>
      <c r="RIH754" s="574"/>
      <c r="RII754" s="574"/>
      <c r="RIJ754" s="574"/>
      <c r="RIK754" s="574"/>
      <c r="RIL754" s="574"/>
      <c r="RIM754" s="574"/>
      <c r="RIN754" s="574"/>
      <c r="RIO754" s="574"/>
      <c r="RIP754" s="574"/>
      <c r="RIQ754" s="574"/>
      <c r="RIR754" s="574"/>
      <c r="RIS754" s="574"/>
      <c r="RIT754" s="574"/>
      <c r="RIU754" s="574"/>
      <c r="RIV754" s="574"/>
      <c r="RIW754" s="574"/>
      <c r="RIX754" s="574"/>
      <c r="RIY754" s="574"/>
      <c r="RIZ754" s="574"/>
      <c r="RJA754" s="574"/>
      <c r="RJB754" s="574"/>
      <c r="RJC754" s="574"/>
      <c r="RJD754" s="574"/>
      <c r="RJE754" s="574"/>
      <c r="RJF754" s="574"/>
      <c r="RJG754" s="574"/>
      <c r="RJH754" s="574"/>
      <c r="RJI754" s="574"/>
      <c r="RJJ754" s="574"/>
      <c r="RJK754" s="574"/>
      <c r="RJL754" s="574"/>
      <c r="RJM754" s="574"/>
      <c r="RJN754" s="574"/>
      <c r="RJO754" s="574"/>
      <c r="RJP754" s="574"/>
      <c r="RJQ754" s="574"/>
      <c r="RJR754" s="574"/>
      <c r="RJS754" s="574"/>
      <c r="RJT754" s="574"/>
      <c r="RJU754" s="574"/>
      <c r="RJV754" s="574"/>
      <c r="RJW754" s="574"/>
      <c r="RJX754" s="574"/>
      <c r="RJY754" s="574"/>
      <c r="RJZ754" s="574"/>
      <c r="RKA754" s="574"/>
      <c r="RKB754" s="574"/>
      <c r="RKC754" s="574"/>
      <c r="RKD754" s="574"/>
      <c r="RKE754" s="574"/>
      <c r="RKF754" s="574"/>
      <c r="RKG754" s="574"/>
      <c r="RKH754" s="574"/>
      <c r="RKI754" s="574"/>
      <c r="RKJ754" s="574"/>
      <c r="RKK754" s="574"/>
      <c r="RKL754" s="574"/>
      <c r="RKM754" s="574"/>
      <c r="RKN754" s="574"/>
      <c r="RKO754" s="574"/>
      <c r="RKP754" s="574"/>
      <c r="RKQ754" s="574"/>
      <c r="RKR754" s="574"/>
      <c r="RKS754" s="574"/>
      <c r="RKT754" s="574"/>
      <c r="RKU754" s="574"/>
      <c r="RKV754" s="574"/>
      <c r="RKW754" s="574"/>
      <c r="RKX754" s="574"/>
      <c r="RKY754" s="574"/>
      <c r="RKZ754" s="574"/>
      <c r="RLA754" s="574"/>
      <c r="RLB754" s="574"/>
      <c r="RLC754" s="574"/>
      <c r="RLD754" s="574"/>
      <c r="RLE754" s="574"/>
      <c r="RLF754" s="574"/>
      <c r="RLG754" s="574"/>
      <c r="RLH754" s="574"/>
      <c r="RLI754" s="574"/>
      <c r="RLJ754" s="574"/>
      <c r="RLK754" s="574"/>
      <c r="RLL754" s="574"/>
      <c r="RLM754" s="574"/>
      <c r="RLN754" s="574"/>
      <c r="RLO754" s="574"/>
      <c r="RLP754" s="574"/>
      <c r="RLQ754" s="574"/>
      <c r="RLR754" s="574"/>
      <c r="RLS754" s="574"/>
      <c r="RLT754" s="574"/>
      <c r="RLU754" s="574"/>
      <c r="RLV754" s="574"/>
      <c r="RLW754" s="574"/>
      <c r="RLX754" s="574"/>
      <c r="RLY754" s="574"/>
      <c r="RLZ754" s="574"/>
      <c r="RMA754" s="574"/>
      <c r="RMB754" s="574"/>
      <c r="RMC754" s="574"/>
      <c r="RMD754" s="574"/>
      <c r="RME754" s="574"/>
      <c r="RMF754" s="574"/>
      <c r="RMG754" s="574"/>
      <c r="RMH754" s="574"/>
      <c r="RMI754" s="574"/>
      <c r="RMJ754" s="574"/>
      <c r="RMK754" s="574"/>
      <c r="RML754" s="574"/>
      <c r="RMM754" s="574"/>
      <c r="RMN754" s="574"/>
      <c r="RMO754" s="574"/>
      <c r="RMP754" s="574"/>
      <c r="RMQ754" s="574"/>
      <c r="RMR754" s="574"/>
      <c r="RMS754" s="574"/>
      <c r="RMT754" s="574"/>
      <c r="RMU754" s="574"/>
      <c r="RMV754" s="574"/>
      <c r="RMW754" s="574"/>
      <c r="RMX754" s="574"/>
      <c r="RMY754" s="574"/>
      <c r="RMZ754" s="574"/>
      <c r="RNA754" s="574"/>
      <c r="RNB754" s="574"/>
      <c r="RNC754" s="574"/>
      <c r="RND754" s="574"/>
      <c r="RNE754" s="574"/>
      <c r="RNF754" s="574"/>
      <c r="RNG754" s="574"/>
      <c r="RNH754" s="574"/>
      <c r="RNI754" s="574"/>
      <c r="RNJ754" s="574"/>
      <c r="RNK754" s="574"/>
      <c r="RNL754" s="574"/>
      <c r="RNM754" s="574"/>
      <c r="RNN754" s="574"/>
      <c r="RNO754" s="574"/>
      <c r="RNP754" s="574"/>
      <c r="RNQ754" s="574"/>
      <c r="RNR754" s="574"/>
      <c r="RNS754" s="574"/>
      <c r="RNT754" s="574"/>
      <c r="RNU754" s="574"/>
      <c r="RNV754" s="574"/>
      <c r="RNW754" s="574"/>
      <c r="RNX754" s="574"/>
      <c r="RNY754" s="574"/>
      <c r="RNZ754" s="574"/>
      <c r="ROA754" s="574"/>
      <c r="ROB754" s="574"/>
      <c r="ROC754" s="574"/>
      <c r="ROD754" s="574"/>
      <c r="ROE754" s="574"/>
      <c r="ROF754" s="574"/>
      <c r="ROG754" s="574"/>
      <c r="ROH754" s="574"/>
      <c r="ROI754" s="574"/>
      <c r="ROJ754" s="574"/>
      <c r="ROK754" s="574"/>
      <c r="ROL754" s="574"/>
      <c r="ROM754" s="574"/>
      <c r="RON754" s="574"/>
      <c r="ROO754" s="574"/>
      <c r="ROP754" s="574"/>
      <c r="ROQ754" s="574"/>
      <c r="ROR754" s="574"/>
      <c r="ROS754" s="574"/>
      <c r="ROT754" s="574"/>
      <c r="ROU754" s="574"/>
      <c r="ROV754" s="574"/>
      <c r="ROW754" s="574"/>
      <c r="ROX754" s="574"/>
      <c r="ROY754" s="574"/>
      <c r="ROZ754" s="574"/>
      <c r="RPA754" s="574"/>
      <c r="RPB754" s="574"/>
      <c r="RPC754" s="574"/>
      <c r="RPD754" s="574"/>
      <c r="RPE754" s="574"/>
      <c r="RPF754" s="574"/>
      <c r="RPG754" s="574"/>
      <c r="RPH754" s="574"/>
      <c r="RPI754" s="574"/>
      <c r="RPJ754" s="574"/>
      <c r="RPK754" s="574"/>
      <c r="RPL754" s="574"/>
      <c r="RPM754" s="574"/>
      <c r="RPN754" s="574"/>
      <c r="RPO754" s="574"/>
      <c r="RPP754" s="574"/>
      <c r="RPQ754" s="574"/>
      <c r="RPR754" s="574"/>
      <c r="RPS754" s="574"/>
      <c r="RPT754" s="574"/>
      <c r="RPU754" s="574"/>
      <c r="RPV754" s="574"/>
      <c r="RPW754" s="574"/>
      <c r="RPX754" s="574"/>
      <c r="RPY754" s="574"/>
      <c r="RPZ754" s="574"/>
      <c r="RQA754" s="574"/>
      <c r="RQB754" s="574"/>
      <c r="RQC754" s="574"/>
      <c r="RQD754" s="574"/>
      <c r="RQE754" s="574"/>
      <c r="RQF754" s="574"/>
      <c r="RQG754" s="574"/>
      <c r="RQH754" s="574"/>
      <c r="RQI754" s="574"/>
      <c r="RQJ754" s="574"/>
      <c r="RQK754" s="574"/>
      <c r="RQL754" s="574"/>
      <c r="RQM754" s="574"/>
      <c r="RQN754" s="574"/>
      <c r="RQO754" s="574"/>
      <c r="RQP754" s="574"/>
      <c r="RQQ754" s="574"/>
      <c r="RQR754" s="574"/>
      <c r="RQS754" s="574"/>
      <c r="RQT754" s="574"/>
      <c r="RQU754" s="574"/>
      <c r="RQV754" s="574"/>
      <c r="RQW754" s="574"/>
      <c r="RQX754" s="574"/>
      <c r="RQY754" s="574"/>
      <c r="RQZ754" s="574"/>
      <c r="RRA754" s="574"/>
      <c r="RRB754" s="574"/>
      <c r="RRC754" s="574"/>
      <c r="RRD754" s="574"/>
      <c r="RRE754" s="574"/>
      <c r="RRF754" s="574"/>
      <c r="RRG754" s="574"/>
      <c r="RRH754" s="574"/>
      <c r="RRI754" s="574"/>
      <c r="RRJ754" s="574"/>
      <c r="RRK754" s="574"/>
      <c r="RRL754" s="574"/>
      <c r="RRM754" s="574"/>
      <c r="RRN754" s="574"/>
      <c r="RRO754" s="574"/>
      <c r="RRP754" s="574"/>
      <c r="RRQ754" s="574"/>
      <c r="RRR754" s="574"/>
      <c r="RRS754" s="574"/>
      <c r="RRT754" s="574"/>
      <c r="RRU754" s="574"/>
      <c r="RRV754" s="574"/>
      <c r="RRW754" s="574"/>
      <c r="RRX754" s="574"/>
      <c r="RRY754" s="574"/>
      <c r="RRZ754" s="574"/>
      <c r="RSA754" s="574"/>
      <c r="RSB754" s="574"/>
      <c r="RSC754" s="574"/>
      <c r="RSD754" s="574"/>
      <c r="RSE754" s="574"/>
      <c r="RSF754" s="574"/>
      <c r="RSG754" s="574"/>
      <c r="RSH754" s="574"/>
      <c r="RSI754" s="574"/>
      <c r="RSJ754" s="574"/>
      <c r="RSK754" s="574"/>
      <c r="RSL754" s="574"/>
      <c r="RSM754" s="574"/>
      <c r="RSN754" s="574"/>
      <c r="RSO754" s="574"/>
      <c r="RSP754" s="574"/>
      <c r="RSQ754" s="574"/>
      <c r="RSR754" s="574"/>
      <c r="RSS754" s="574"/>
      <c r="RST754" s="574"/>
      <c r="RSU754" s="574"/>
      <c r="RSV754" s="574"/>
      <c r="RSW754" s="574"/>
      <c r="RSX754" s="574"/>
      <c r="RSY754" s="574"/>
      <c r="RSZ754" s="574"/>
      <c r="RTA754" s="574"/>
      <c r="RTB754" s="574"/>
      <c r="RTC754" s="574"/>
      <c r="RTD754" s="574"/>
      <c r="RTE754" s="574"/>
      <c r="RTF754" s="574"/>
      <c r="RTG754" s="574"/>
      <c r="RTH754" s="574"/>
      <c r="RTI754" s="574"/>
      <c r="RTJ754" s="574"/>
      <c r="RTK754" s="574"/>
      <c r="RTL754" s="574"/>
      <c r="RTM754" s="574"/>
      <c r="RTN754" s="574"/>
      <c r="RTO754" s="574"/>
      <c r="RTP754" s="574"/>
      <c r="RTQ754" s="574"/>
      <c r="RTR754" s="574"/>
      <c r="RTS754" s="574"/>
      <c r="RTT754" s="574"/>
      <c r="RTU754" s="574"/>
      <c r="RTV754" s="574"/>
      <c r="RTW754" s="574"/>
      <c r="RTX754" s="574"/>
      <c r="RTY754" s="574"/>
      <c r="RTZ754" s="574"/>
      <c r="RUA754" s="574"/>
      <c r="RUB754" s="574"/>
      <c r="RUC754" s="574"/>
      <c r="RUD754" s="574"/>
      <c r="RUE754" s="574"/>
      <c r="RUF754" s="574"/>
      <c r="RUG754" s="574"/>
      <c r="RUH754" s="574"/>
      <c r="RUI754" s="574"/>
      <c r="RUJ754" s="574"/>
      <c r="RUK754" s="574"/>
      <c r="RUL754" s="574"/>
      <c r="RUM754" s="574"/>
      <c r="RUN754" s="574"/>
      <c r="RUO754" s="574"/>
      <c r="RUP754" s="574"/>
      <c r="RUQ754" s="574"/>
      <c r="RUR754" s="574"/>
      <c r="RUS754" s="574"/>
      <c r="RUT754" s="574"/>
      <c r="RUU754" s="574"/>
      <c r="RUV754" s="574"/>
      <c r="RUW754" s="574"/>
      <c r="RUX754" s="574"/>
      <c r="RUY754" s="574"/>
      <c r="RUZ754" s="574"/>
      <c r="RVA754" s="574"/>
      <c r="RVB754" s="574"/>
      <c r="RVC754" s="574"/>
      <c r="RVD754" s="574"/>
      <c r="RVE754" s="574"/>
      <c r="RVF754" s="574"/>
      <c r="RVG754" s="574"/>
      <c r="RVH754" s="574"/>
      <c r="RVI754" s="574"/>
      <c r="RVJ754" s="574"/>
      <c r="RVK754" s="574"/>
      <c r="RVL754" s="574"/>
      <c r="RVM754" s="574"/>
      <c r="RVN754" s="574"/>
      <c r="RVO754" s="574"/>
      <c r="RVP754" s="574"/>
      <c r="RVQ754" s="574"/>
      <c r="RVR754" s="574"/>
      <c r="RVS754" s="574"/>
      <c r="RVT754" s="574"/>
      <c r="RVU754" s="574"/>
      <c r="RVV754" s="574"/>
      <c r="RVW754" s="574"/>
      <c r="RVX754" s="574"/>
      <c r="RVY754" s="574"/>
      <c r="RVZ754" s="574"/>
      <c r="RWA754" s="574"/>
      <c r="RWB754" s="574"/>
      <c r="RWC754" s="574"/>
      <c r="RWD754" s="574"/>
      <c r="RWE754" s="574"/>
      <c r="RWF754" s="574"/>
      <c r="RWG754" s="574"/>
      <c r="RWH754" s="574"/>
      <c r="RWI754" s="574"/>
      <c r="RWJ754" s="574"/>
      <c r="RWK754" s="574"/>
      <c r="RWL754" s="574"/>
      <c r="RWM754" s="574"/>
      <c r="RWN754" s="574"/>
      <c r="RWO754" s="574"/>
      <c r="RWP754" s="574"/>
      <c r="RWQ754" s="574"/>
      <c r="RWR754" s="574"/>
      <c r="RWS754" s="574"/>
      <c r="RWT754" s="574"/>
      <c r="RWU754" s="574"/>
      <c r="RWV754" s="574"/>
      <c r="RWW754" s="574"/>
      <c r="RWX754" s="574"/>
      <c r="RWY754" s="574"/>
      <c r="RWZ754" s="574"/>
      <c r="RXA754" s="574"/>
      <c r="RXB754" s="574"/>
      <c r="RXC754" s="574"/>
      <c r="RXD754" s="574"/>
      <c r="RXE754" s="574"/>
      <c r="RXF754" s="574"/>
      <c r="RXG754" s="574"/>
      <c r="RXH754" s="574"/>
      <c r="RXI754" s="574"/>
      <c r="RXJ754" s="574"/>
      <c r="RXK754" s="574"/>
      <c r="RXL754" s="574"/>
      <c r="RXM754" s="574"/>
      <c r="RXN754" s="574"/>
      <c r="RXO754" s="574"/>
      <c r="RXP754" s="574"/>
      <c r="RXQ754" s="574"/>
      <c r="RXR754" s="574"/>
      <c r="RXS754" s="574"/>
      <c r="RXT754" s="574"/>
      <c r="RXU754" s="574"/>
      <c r="RXV754" s="574"/>
      <c r="RXW754" s="574"/>
      <c r="RXX754" s="574"/>
      <c r="RXY754" s="574"/>
      <c r="RXZ754" s="574"/>
      <c r="RYA754" s="574"/>
      <c r="RYB754" s="574"/>
      <c r="RYC754" s="574"/>
      <c r="RYD754" s="574"/>
      <c r="RYE754" s="574"/>
      <c r="RYF754" s="574"/>
      <c r="RYG754" s="574"/>
      <c r="RYH754" s="574"/>
      <c r="RYI754" s="574"/>
      <c r="RYJ754" s="574"/>
      <c r="RYK754" s="574"/>
      <c r="RYL754" s="574"/>
      <c r="RYM754" s="574"/>
      <c r="RYN754" s="574"/>
      <c r="RYO754" s="574"/>
      <c r="RYP754" s="574"/>
      <c r="RYQ754" s="574"/>
      <c r="RYR754" s="574"/>
      <c r="RYS754" s="574"/>
      <c r="RYT754" s="574"/>
      <c r="RYU754" s="574"/>
      <c r="RYV754" s="574"/>
      <c r="RYW754" s="574"/>
      <c r="RYX754" s="574"/>
      <c r="RYY754" s="574"/>
      <c r="RYZ754" s="574"/>
      <c r="RZA754" s="574"/>
      <c r="RZB754" s="574"/>
      <c r="RZC754" s="574"/>
      <c r="RZD754" s="574"/>
      <c r="RZE754" s="574"/>
      <c r="RZF754" s="574"/>
      <c r="RZG754" s="574"/>
      <c r="RZH754" s="574"/>
      <c r="RZI754" s="574"/>
      <c r="RZJ754" s="574"/>
      <c r="RZK754" s="574"/>
      <c r="RZL754" s="574"/>
      <c r="RZM754" s="574"/>
      <c r="RZN754" s="574"/>
      <c r="RZO754" s="574"/>
      <c r="RZP754" s="574"/>
      <c r="RZQ754" s="574"/>
      <c r="RZR754" s="574"/>
      <c r="RZS754" s="574"/>
      <c r="RZT754" s="574"/>
      <c r="RZU754" s="574"/>
      <c r="RZV754" s="574"/>
      <c r="RZW754" s="574"/>
      <c r="RZX754" s="574"/>
      <c r="RZY754" s="574"/>
      <c r="RZZ754" s="574"/>
      <c r="SAA754" s="574"/>
      <c r="SAB754" s="574"/>
      <c r="SAC754" s="574"/>
      <c r="SAD754" s="574"/>
      <c r="SAE754" s="574"/>
      <c r="SAF754" s="574"/>
      <c r="SAG754" s="574"/>
      <c r="SAH754" s="574"/>
      <c r="SAI754" s="574"/>
      <c r="SAJ754" s="574"/>
      <c r="SAK754" s="574"/>
      <c r="SAL754" s="574"/>
      <c r="SAM754" s="574"/>
      <c r="SAN754" s="574"/>
      <c r="SAO754" s="574"/>
      <c r="SAP754" s="574"/>
      <c r="SAQ754" s="574"/>
      <c r="SAR754" s="574"/>
      <c r="SAS754" s="574"/>
      <c r="SAT754" s="574"/>
      <c r="SAU754" s="574"/>
      <c r="SAV754" s="574"/>
      <c r="SAW754" s="574"/>
      <c r="SAX754" s="574"/>
      <c r="SAY754" s="574"/>
      <c r="SAZ754" s="574"/>
      <c r="SBA754" s="574"/>
      <c r="SBB754" s="574"/>
      <c r="SBC754" s="574"/>
      <c r="SBD754" s="574"/>
      <c r="SBE754" s="574"/>
      <c r="SBF754" s="574"/>
      <c r="SBG754" s="574"/>
      <c r="SBH754" s="574"/>
      <c r="SBI754" s="574"/>
      <c r="SBJ754" s="574"/>
      <c r="SBK754" s="574"/>
      <c r="SBL754" s="574"/>
      <c r="SBM754" s="574"/>
      <c r="SBN754" s="574"/>
      <c r="SBO754" s="574"/>
      <c r="SBP754" s="574"/>
      <c r="SBQ754" s="574"/>
      <c r="SBR754" s="574"/>
      <c r="SBS754" s="574"/>
      <c r="SBT754" s="574"/>
      <c r="SBU754" s="574"/>
      <c r="SBV754" s="574"/>
      <c r="SBW754" s="574"/>
      <c r="SBX754" s="574"/>
      <c r="SBY754" s="574"/>
      <c r="SBZ754" s="574"/>
      <c r="SCA754" s="574"/>
      <c r="SCB754" s="574"/>
      <c r="SCC754" s="574"/>
      <c r="SCD754" s="574"/>
      <c r="SCE754" s="574"/>
      <c r="SCF754" s="574"/>
      <c r="SCG754" s="574"/>
      <c r="SCH754" s="574"/>
      <c r="SCI754" s="574"/>
      <c r="SCJ754" s="574"/>
      <c r="SCK754" s="574"/>
      <c r="SCL754" s="574"/>
      <c r="SCM754" s="574"/>
      <c r="SCN754" s="574"/>
      <c r="SCO754" s="574"/>
      <c r="SCP754" s="574"/>
      <c r="SCQ754" s="574"/>
      <c r="SCR754" s="574"/>
      <c r="SCS754" s="574"/>
      <c r="SCT754" s="574"/>
      <c r="SCU754" s="574"/>
      <c r="SCV754" s="574"/>
      <c r="SCW754" s="574"/>
      <c r="SCX754" s="574"/>
      <c r="SCY754" s="574"/>
      <c r="SCZ754" s="574"/>
      <c r="SDA754" s="574"/>
      <c r="SDB754" s="574"/>
      <c r="SDC754" s="574"/>
      <c r="SDD754" s="574"/>
      <c r="SDE754" s="574"/>
      <c r="SDF754" s="574"/>
      <c r="SDG754" s="574"/>
      <c r="SDH754" s="574"/>
      <c r="SDI754" s="574"/>
      <c r="SDJ754" s="574"/>
      <c r="SDK754" s="574"/>
      <c r="SDL754" s="574"/>
      <c r="SDM754" s="574"/>
      <c r="SDN754" s="574"/>
      <c r="SDO754" s="574"/>
      <c r="SDP754" s="574"/>
      <c r="SDQ754" s="574"/>
      <c r="SDR754" s="574"/>
      <c r="SDS754" s="574"/>
      <c r="SDT754" s="574"/>
      <c r="SDU754" s="574"/>
      <c r="SDV754" s="574"/>
      <c r="SDW754" s="574"/>
      <c r="SDX754" s="574"/>
      <c r="SDY754" s="574"/>
      <c r="SDZ754" s="574"/>
      <c r="SEA754" s="574"/>
      <c r="SEB754" s="574"/>
      <c r="SEC754" s="574"/>
      <c r="SED754" s="574"/>
      <c r="SEE754" s="574"/>
      <c r="SEF754" s="574"/>
      <c r="SEG754" s="574"/>
      <c r="SEH754" s="574"/>
      <c r="SEI754" s="574"/>
      <c r="SEJ754" s="574"/>
      <c r="SEK754" s="574"/>
      <c r="SEL754" s="574"/>
      <c r="SEM754" s="574"/>
      <c r="SEN754" s="574"/>
      <c r="SEO754" s="574"/>
      <c r="SEP754" s="574"/>
      <c r="SEQ754" s="574"/>
      <c r="SER754" s="574"/>
      <c r="SES754" s="574"/>
      <c r="SET754" s="574"/>
      <c r="SEU754" s="574"/>
      <c r="SEV754" s="574"/>
      <c r="SEW754" s="574"/>
      <c r="SEX754" s="574"/>
      <c r="SEY754" s="574"/>
      <c r="SEZ754" s="574"/>
      <c r="SFA754" s="574"/>
      <c r="SFB754" s="574"/>
      <c r="SFC754" s="574"/>
      <c r="SFD754" s="574"/>
      <c r="SFE754" s="574"/>
      <c r="SFF754" s="574"/>
      <c r="SFG754" s="574"/>
      <c r="SFH754" s="574"/>
      <c r="SFI754" s="574"/>
      <c r="SFJ754" s="574"/>
      <c r="SFK754" s="574"/>
      <c r="SFL754" s="574"/>
      <c r="SFM754" s="574"/>
      <c r="SFN754" s="574"/>
      <c r="SFO754" s="574"/>
      <c r="SFP754" s="574"/>
      <c r="SFQ754" s="574"/>
      <c r="SFR754" s="574"/>
      <c r="SFS754" s="574"/>
      <c r="SFT754" s="574"/>
      <c r="SFU754" s="574"/>
      <c r="SFV754" s="574"/>
      <c r="SFW754" s="574"/>
      <c r="SFX754" s="574"/>
      <c r="SFY754" s="574"/>
      <c r="SFZ754" s="574"/>
      <c r="SGA754" s="574"/>
      <c r="SGB754" s="574"/>
      <c r="SGC754" s="574"/>
      <c r="SGD754" s="574"/>
      <c r="SGE754" s="574"/>
      <c r="SGF754" s="574"/>
      <c r="SGG754" s="574"/>
      <c r="SGH754" s="574"/>
      <c r="SGI754" s="574"/>
      <c r="SGJ754" s="574"/>
      <c r="SGK754" s="574"/>
      <c r="SGL754" s="574"/>
      <c r="SGM754" s="574"/>
      <c r="SGN754" s="574"/>
      <c r="SGO754" s="574"/>
      <c r="SGP754" s="574"/>
      <c r="SGQ754" s="574"/>
      <c r="SGR754" s="574"/>
      <c r="SGS754" s="574"/>
      <c r="SGT754" s="574"/>
      <c r="SGU754" s="574"/>
      <c r="SGV754" s="574"/>
      <c r="SGW754" s="574"/>
      <c r="SGX754" s="574"/>
      <c r="SGY754" s="574"/>
      <c r="SGZ754" s="574"/>
      <c r="SHA754" s="574"/>
      <c r="SHB754" s="574"/>
      <c r="SHC754" s="574"/>
      <c r="SHD754" s="574"/>
      <c r="SHE754" s="574"/>
      <c r="SHF754" s="574"/>
      <c r="SHG754" s="574"/>
      <c r="SHH754" s="574"/>
      <c r="SHI754" s="574"/>
      <c r="SHJ754" s="574"/>
      <c r="SHK754" s="574"/>
      <c r="SHL754" s="574"/>
      <c r="SHM754" s="574"/>
      <c r="SHN754" s="574"/>
      <c r="SHO754" s="574"/>
      <c r="SHP754" s="574"/>
      <c r="SHQ754" s="574"/>
      <c r="SHR754" s="574"/>
      <c r="SHS754" s="574"/>
      <c r="SHT754" s="574"/>
      <c r="SHU754" s="574"/>
      <c r="SHV754" s="574"/>
      <c r="SHW754" s="574"/>
      <c r="SHX754" s="574"/>
      <c r="SHY754" s="574"/>
      <c r="SHZ754" s="574"/>
      <c r="SIA754" s="574"/>
      <c r="SIB754" s="574"/>
      <c r="SIC754" s="574"/>
      <c r="SID754" s="574"/>
      <c r="SIE754" s="574"/>
      <c r="SIF754" s="574"/>
      <c r="SIG754" s="574"/>
      <c r="SIH754" s="574"/>
      <c r="SII754" s="574"/>
      <c r="SIJ754" s="574"/>
      <c r="SIK754" s="574"/>
      <c r="SIL754" s="574"/>
      <c r="SIM754" s="574"/>
      <c r="SIN754" s="574"/>
      <c r="SIO754" s="574"/>
      <c r="SIP754" s="574"/>
      <c r="SIQ754" s="574"/>
      <c r="SIR754" s="574"/>
      <c r="SIS754" s="574"/>
      <c r="SIT754" s="574"/>
      <c r="SIU754" s="574"/>
      <c r="SIV754" s="574"/>
      <c r="SIW754" s="574"/>
      <c r="SIX754" s="574"/>
      <c r="SIY754" s="574"/>
      <c r="SIZ754" s="574"/>
      <c r="SJA754" s="574"/>
      <c r="SJB754" s="574"/>
      <c r="SJC754" s="574"/>
      <c r="SJD754" s="574"/>
      <c r="SJE754" s="574"/>
      <c r="SJF754" s="574"/>
      <c r="SJG754" s="574"/>
      <c r="SJH754" s="574"/>
      <c r="SJI754" s="574"/>
      <c r="SJJ754" s="574"/>
      <c r="SJK754" s="574"/>
      <c r="SJL754" s="574"/>
      <c r="SJM754" s="574"/>
      <c r="SJN754" s="574"/>
      <c r="SJO754" s="574"/>
      <c r="SJP754" s="574"/>
      <c r="SJQ754" s="574"/>
      <c r="SJR754" s="574"/>
      <c r="SJS754" s="574"/>
      <c r="SJT754" s="574"/>
      <c r="SJU754" s="574"/>
      <c r="SJV754" s="574"/>
      <c r="SJW754" s="574"/>
      <c r="SJX754" s="574"/>
      <c r="SJY754" s="574"/>
      <c r="SJZ754" s="574"/>
      <c r="SKA754" s="574"/>
      <c r="SKB754" s="574"/>
      <c r="SKC754" s="574"/>
      <c r="SKD754" s="574"/>
      <c r="SKE754" s="574"/>
      <c r="SKF754" s="574"/>
      <c r="SKG754" s="574"/>
      <c r="SKH754" s="574"/>
      <c r="SKI754" s="574"/>
      <c r="SKJ754" s="574"/>
      <c r="SKK754" s="574"/>
      <c r="SKL754" s="574"/>
      <c r="SKM754" s="574"/>
      <c r="SKN754" s="574"/>
      <c r="SKO754" s="574"/>
      <c r="SKP754" s="574"/>
      <c r="SKQ754" s="574"/>
      <c r="SKR754" s="574"/>
      <c r="SKS754" s="574"/>
      <c r="SKT754" s="574"/>
      <c r="SKU754" s="574"/>
      <c r="SKV754" s="574"/>
      <c r="SKW754" s="574"/>
      <c r="SKX754" s="574"/>
      <c r="SKY754" s="574"/>
      <c r="SKZ754" s="574"/>
      <c r="SLA754" s="574"/>
      <c r="SLB754" s="574"/>
      <c r="SLC754" s="574"/>
      <c r="SLD754" s="574"/>
      <c r="SLE754" s="574"/>
      <c r="SLF754" s="574"/>
      <c r="SLG754" s="574"/>
      <c r="SLH754" s="574"/>
      <c r="SLI754" s="574"/>
      <c r="SLJ754" s="574"/>
      <c r="SLK754" s="574"/>
      <c r="SLL754" s="574"/>
      <c r="SLM754" s="574"/>
      <c r="SLN754" s="574"/>
      <c r="SLO754" s="574"/>
      <c r="SLP754" s="574"/>
      <c r="SLQ754" s="574"/>
      <c r="SLR754" s="574"/>
      <c r="SLS754" s="574"/>
      <c r="SLT754" s="574"/>
      <c r="SLU754" s="574"/>
      <c r="SLV754" s="574"/>
      <c r="SLW754" s="574"/>
      <c r="SLX754" s="574"/>
      <c r="SLY754" s="574"/>
      <c r="SLZ754" s="574"/>
      <c r="SMA754" s="574"/>
      <c r="SMB754" s="574"/>
      <c r="SMC754" s="574"/>
      <c r="SMD754" s="574"/>
      <c r="SME754" s="574"/>
      <c r="SMF754" s="574"/>
      <c r="SMG754" s="574"/>
      <c r="SMH754" s="574"/>
      <c r="SMI754" s="574"/>
      <c r="SMJ754" s="574"/>
      <c r="SMK754" s="574"/>
      <c r="SML754" s="574"/>
      <c r="SMM754" s="574"/>
      <c r="SMN754" s="574"/>
      <c r="SMO754" s="574"/>
      <c r="SMP754" s="574"/>
      <c r="SMQ754" s="574"/>
      <c r="SMR754" s="574"/>
      <c r="SMS754" s="574"/>
      <c r="SMT754" s="574"/>
      <c r="SMU754" s="574"/>
      <c r="SMV754" s="574"/>
      <c r="SMW754" s="574"/>
      <c r="SMX754" s="574"/>
      <c r="SMY754" s="574"/>
      <c r="SMZ754" s="574"/>
      <c r="SNA754" s="574"/>
      <c r="SNB754" s="574"/>
      <c r="SNC754" s="574"/>
      <c r="SND754" s="574"/>
      <c r="SNE754" s="574"/>
      <c r="SNF754" s="574"/>
      <c r="SNG754" s="574"/>
      <c r="SNH754" s="574"/>
      <c r="SNI754" s="574"/>
      <c r="SNJ754" s="574"/>
      <c r="SNK754" s="574"/>
      <c r="SNL754" s="574"/>
      <c r="SNM754" s="574"/>
      <c r="SNN754" s="574"/>
      <c r="SNO754" s="574"/>
      <c r="SNP754" s="574"/>
      <c r="SNQ754" s="574"/>
      <c r="SNR754" s="574"/>
      <c r="SNS754" s="574"/>
      <c r="SNT754" s="574"/>
      <c r="SNU754" s="574"/>
      <c r="SNV754" s="574"/>
      <c r="SNW754" s="574"/>
      <c r="SNX754" s="574"/>
      <c r="SNY754" s="574"/>
      <c r="SNZ754" s="574"/>
      <c r="SOA754" s="574"/>
      <c r="SOB754" s="574"/>
      <c r="SOC754" s="574"/>
      <c r="SOD754" s="574"/>
      <c r="SOE754" s="574"/>
      <c r="SOF754" s="574"/>
      <c r="SOG754" s="574"/>
      <c r="SOH754" s="574"/>
      <c r="SOI754" s="574"/>
      <c r="SOJ754" s="574"/>
      <c r="SOK754" s="574"/>
      <c r="SOL754" s="574"/>
      <c r="SOM754" s="574"/>
      <c r="SON754" s="574"/>
      <c r="SOO754" s="574"/>
      <c r="SOP754" s="574"/>
      <c r="SOQ754" s="574"/>
      <c r="SOR754" s="574"/>
      <c r="SOS754" s="574"/>
      <c r="SOT754" s="574"/>
      <c r="SOU754" s="574"/>
      <c r="SOV754" s="574"/>
      <c r="SOW754" s="574"/>
      <c r="SOX754" s="574"/>
      <c r="SOY754" s="574"/>
      <c r="SOZ754" s="574"/>
      <c r="SPA754" s="574"/>
      <c r="SPB754" s="574"/>
      <c r="SPC754" s="574"/>
      <c r="SPD754" s="574"/>
      <c r="SPE754" s="574"/>
      <c r="SPF754" s="574"/>
      <c r="SPG754" s="574"/>
      <c r="SPH754" s="574"/>
      <c r="SPI754" s="574"/>
      <c r="SPJ754" s="574"/>
      <c r="SPK754" s="574"/>
      <c r="SPL754" s="574"/>
      <c r="SPM754" s="574"/>
      <c r="SPN754" s="574"/>
      <c r="SPO754" s="574"/>
      <c r="SPP754" s="574"/>
      <c r="SPQ754" s="574"/>
      <c r="SPR754" s="574"/>
      <c r="SPS754" s="574"/>
      <c r="SPT754" s="574"/>
      <c r="SPU754" s="574"/>
      <c r="SPV754" s="574"/>
      <c r="SPW754" s="574"/>
      <c r="SPX754" s="574"/>
      <c r="SPY754" s="574"/>
      <c r="SPZ754" s="574"/>
      <c r="SQA754" s="574"/>
      <c r="SQB754" s="574"/>
      <c r="SQC754" s="574"/>
      <c r="SQD754" s="574"/>
      <c r="SQE754" s="574"/>
      <c r="SQF754" s="574"/>
      <c r="SQG754" s="574"/>
      <c r="SQH754" s="574"/>
      <c r="SQI754" s="574"/>
      <c r="SQJ754" s="574"/>
      <c r="SQK754" s="574"/>
      <c r="SQL754" s="574"/>
      <c r="SQM754" s="574"/>
      <c r="SQN754" s="574"/>
      <c r="SQO754" s="574"/>
      <c r="SQP754" s="574"/>
      <c r="SQQ754" s="574"/>
      <c r="SQR754" s="574"/>
      <c r="SQS754" s="574"/>
      <c r="SQT754" s="574"/>
      <c r="SQU754" s="574"/>
      <c r="SQV754" s="574"/>
      <c r="SQW754" s="574"/>
      <c r="SQX754" s="574"/>
      <c r="SQY754" s="574"/>
      <c r="SQZ754" s="574"/>
      <c r="SRA754" s="574"/>
      <c r="SRB754" s="574"/>
      <c r="SRC754" s="574"/>
      <c r="SRD754" s="574"/>
      <c r="SRE754" s="574"/>
      <c r="SRF754" s="574"/>
      <c r="SRG754" s="574"/>
      <c r="SRH754" s="574"/>
      <c r="SRI754" s="574"/>
      <c r="SRJ754" s="574"/>
      <c r="SRK754" s="574"/>
      <c r="SRL754" s="574"/>
      <c r="SRM754" s="574"/>
      <c r="SRN754" s="574"/>
      <c r="SRO754" s="574"/>
      <c r="SRP754" s="574"/>
      <c r="SRQ754" s="574"/>
      <c r="SRR754" s="574"/>
      <c r="SRS754" s="574"/>
      <c r="SRT754" s="574"/>
      <c r="SRU754" s="574"/>
      <c r="SRV754" s="574"/>
      <c r="SRW754" s="574"/>
      <c r="SRX754" s="574"/>
      <c r="SRY754" s="574"/>
      <c r="SRZ754" s="574"/>
      <c r="SSA754" s="574"/>
      <c r="SSB754" s="574"/>
      <c r="SSC754" s="574"/>
      <c r="SSD754" s="574"/>
      <c r="SSE754" s="574"/>
      <c r="SSF754" s="574"/>
      <c r="SSG754" s="574"/>
      <c r="SSH754" s="574"/>
      <c r="SSI754" s="574"/>
      <c r="SSJ754" s="574"/>
      <c r="SSK754" s="574"/>
      <c r="SSL754" s="574"/>
      <c r="SSM754" s="574"/>
      <c r="SSN754" s="574"/>
      <c r="SSO754" s="574"/>
      <c r="SSP754" s="574"/>
      <c r="SSQ754" s="574"/>
      <c r="SSR754" s="574"/>
      <c r="SSS754" s="574"/>
      <c r="SST754" s="574"/>
      <c r="SSU754" s="574"/>
      <c r="SSV754" s="574"/>
      <c r="SSW754" s="574"/>
      <c r="SSX754" s="574"/>
      <c r="SSY754" s="574"/>
      <c r="SSZ754" s="574"/>
      <c r="STA754" s="574"/>
      <c r="STB754" s="574"/>
      <c r="STC754" s="574"/>
      <c r="STD754" s="574"/>
      <c r="STE754" s="574"/>
      <c r="STF754" s="574"/>
      <c r="STG754" s="574"/>
      <c r="STH754" s="574"/>
      <c r="STI754" s="574"/>
      <c r="STJ754" s="574"/>
      <c r="STK754" s="574"/>
      <c r="STL754" s="574"/>
      <c r="STM754" s="574"/>
      <c r="STN754" s="574"/>
      <c r="STO754" s="574"/>
      <c r="STP754" s="574"/>
      <c r="STQ754" s="574"/>
      <c r="STR754" s="574"/>
      <c r="STS754" s="574"/>
      <c r="STT754" s="574"/>
      <c r="STU754" s="574"/>
      <c r="STV754" s="574"/>
      <c r="STW754" s="574"/>
      <c r="STX754" s="574"/>
      <c r="STY754" s="574"/>
      <c r="STZ754" s="574"/>
      <c r="SUA754" s="574"/>
      <c r="SUB754" s="574"/>
      <c r="SUC754" s="574"/>
      <c r="SUD754" s="574"/>
      <c r="SUE754" s="574"/>
      <c r="SUF754" s="574"/>
      <c r="SUG754" s="574"/>
      <c r="SUH754" s="574"/>
      <c r="SUI754" s="574"/>
      <c r="SUJ754" s="574"/>
      <c r="SUK754" s="574"/>
      <c r="SUL754" s="574"/>
      <c r="SUM754" s="574"/>
      <c r="SUN754" s="574"/>
      <c r="SUO754" s="574"/>
      <c r="SUP754" s="574"/>
      <c r="SUQ754" s="574"/>
      <c r="SUR754" s="574"/>
      <c r="SUS754" s="574"/>
      <c r="SUT754" s="574"/>
      <c r="SUU754" s="574"/>
      <c r="SUV754" s="574"/>
      <c r="SUW754" s="574"/>
      <c r="SUX754" s="574"/>
      <c r="SUY754" s="574"/>
      <c r="SUZ754" s="574"/>
      <c r="SVA754" s="574"/>
      <c r="SVB754" s="574"/>
      <c r="SVC754" s="574"/>
      <c r="SVD754" s="574"/>
      <c r="SVE754" s="574"/>
      <c r="SVF754" s="574"/>
      <c r="SVG754" s="574"/>
      <c r="SVH754" s="574"/>
      <c r="SVI754" s="574"/>
      <c r="SVJ754" s="574"/>
      <c r="SVK754" s="574"/>
      <c r="SVL754" s="574"/>
      <c r="SVM754" s="574"/>
      <c r="SVN754" s="574"/>
      <c r="SVO754" s="574"/>
      <c r="SVP754" s="574"/>
      <c r="SVQ754" s="574"/>
      <c r="SVR754" s="574"/>
      <c r="SVS754" s="574"/>
      <c r="SVT754" s="574"/>
      <c r="SVU754" s="574"/>
      <c r="SVV754" s="574"/>
      <c r="SVW754" s="574"/>
      <c r="SVX754" s="574"/>
      <c r="SVY754" s="574"/>
      <c r="SVZ754" s="574"/>
      <c r="SWA754" s="574"/>
      <c r="SWB754" s="574"/>
      <c r="SWC754" s="574"/>
      <c r="SWD754" s="574"/>
      <c r="SWE754" s="574"/>
      <c r="SWF754" s="574"/>
      <c r="SWG754" s="574"/>
      <c r="SWH754" s="574"/>
      <c r="SWI754" s="574"/>
      <c r="SWJ754" s="574"/>
      <c r="SWK754" s="574"/>
      <c r="SWL754" s="574"/>
      <c r="SWM754" s="574"/>
      <c r="SWN754" s="574"/>
      <c r="SWO754" s="574"/>
      <c r="SWP754" s="574"/>
      <c r="SWQ754" s="574"/>
      <c r="SWR754" s="574"/>
      <c r="SWS754" s="574"/>
      <c r="SWT754" s="574"/>
      <c r="SWU754" s="574"/>
      <c r="SWV754" s="574"/>
      <c r="SWW754" s="574"/>
      <c r="SWX754" s="574"/>
      <c r="SWY754" s="574"/>
      <c r="SWZ754" s="574"/>
      <c r="SXA754" s="574"/>
      <c r="SXB754" s="574"/>
      <c r="SXC754" s="574"/>
      <c r="SXD754" s="574"/>
      <c r="SXE754" s="574"/>
      <c r="SXF754" s="574"/>
      <c r="SXG754" s="574"/>
      <c r="SXH754" s="574"/>
      <c r="SXI754" s="574"/>
      <c r="SXJ754" s="574"/>
      <c r="SXK754" s="574"/>
      <c r="SXL754" s="574"/>
      <c r="SXM754" s="574"/>
      <c r="SXN754" s="574"/>
      <c r="SXO754" s="574"/>
      <c r="SXP754" s="574"/>
      <c r="SXQ754" s="574"/>
      <c r="SXR754" s="574"/>
      <c r="SXS754" s="574"/>
      <c r="SXT754" s="574"/>
      <c r="SXU754" s="574"/>
      <c r="SXV754" s="574"/>
      <c r="SXW754" s="574"/>
      <c r="SXX754" s="574"/>
      <c r="SXY754" s="574"/>
      <c r="SXZ754" s="574"/>
      <c r="SYA754" s="574"/>
      <c r="SYB754" s="574"/>
      <c r="SYC754" s="574"/>
      <c r="SYD754" s="574"/>
      <c r="SYE754" s="574"/>
      <c r="SYF754" s="574"/>
      <c r="SYG754" s="574"/>
      <c r="SYH754" s="574"/>
      <c r="SYI754" s="574"/>
      <c r="SYJ754" s="574"/>
      <c r="SYK754" s="574"/>
      <c r="SYL754" s="574"/>
      <c r="SYM754" s="574"/>
      <c r="SYN754" s="574"/>
      <c r="SYO754" s="574"/>
      <c r="SYP754" s="574"/>
      <c r="SYQ754" s="574"/>
      <c r="SYR754" s="574"/>
      <c r="SYS754" s="574"/>
      <c r="SYT754" s="574"/>
      <c r="SYU754" s="574"/>
      <c r="SYV754" s="574"/>
      <c r="SYW754" s="574"/>
      <c r="SYX754" s="574"/>
      <c r="SYY754" s="574"/>
      <c r="SYZ754" s="574"/>
      <c r="SZA754" s="574"/>
      <c r="SZB754" s="574"/>
      <c r="SZC754" s="574"/>
      <c r="SZD754" s="574"/>
      <c r="SZE754" s="574"/>
      <c r="SZF754" s="574"/>
      <c r="SZG754" s="574"/>
      <c r="SZH754" s="574"/>
      <c r="SZI754" s="574"/>
      <c r="SZJ754" s="574"/>
      <c r="SZK754" s="574"/>
      <c r="SZL754" s="574"/>
      <c r="SZM754" s="574"/>
      <c r="SZN754" s="574"/>
      <c r="SZO754" s="574"/>
      <c r="SZP754" s="574"/>
      <c r="SZQ754" s="574"/>
      <c r="SZR754" s="574"/>
      <c r="SZS754" s="574"/>
      <c r="SZT754" s="574"/>
      <c r="SZU754" s="574"/>
      <c r="SZV754" s="574"/>
      <c r="SZW754" s="574"/>
      <c r="SZX754" s="574"/>
      <c r="SZY754" s="574"/>
      <c r="SZZ754" s="574"/>
      <c r="TAA754" s="574"/>
      <c r="TAB754" s="574"/>
      <c r="TAC754" s="574"/>
      <c r="TAD754" s="574"/>
      <c r="TAE754" s="574"/>
      <c r="TAF754" s="574"/>
      <c r="TAG754" s="574"/>
      <c r="TAH754" s="574"/>
      <c r="TAI754" s="574"/>
      <c r="TAJ754" s="574"/>
      <c r="TAK754" s="574"/>
      <c r="TAL754" s="574"/>
      <c r="TAM754" s="574"/>
      <c r="TAN754" s="574"/>
      <c r="TAO754" s="574"/>
      <c r="TAP754" s="574"/>
      <c r="TAQ754" s="574"/>
      <c r="TAR754" s="574"/>
      <c r="TAS754" s="574"/>
      <c r="TAT754" s="574"/>
      <c r="TAU754" s="574"/>
      <c r="TAV754" s="574"/>
      <c r="TAW754" s="574"/>
      <c r="TAX754" s="574"/>
      <c r="TAY754" s="574"/>
      <c r="TAZ754" s="574"/>
      <c r="TBA754" s="574"/>
      <c r="TBB754" s="574"/>
      <c r="TBC754" s="574"/>
      <c r="TBD754" s="574"/>
      <c r="TBE754" s="574"/>
      <c r="TBF754" s="574"/>
      <c r="TBG754" s="574"/>
      <c r="TBH754" s="574"/>
      <c r="TBI754" s="574"/>
      <c r="TBJ754" s="574"/>
      <c r="TBK754" s="574"/>
      <c r="TBL754" s="574"/>
      <c r="TBM754" s="574"/>
      <c r="TBN754" s="574"/>
      <c r="TBO754" s="574"/>
      <c r="TBP754" s="574"/>
      <c r="TBQ754" s="574"/>
      <c r="TBR754" s="574"/>
      <c r="TBS754" s="574"/>
      <c r="TBT754" s="574"/>
      <c r="TBU754" s="574"/>
      <c r="TBV754" s="574"/>
      <c r="TBW754" s="574"/>
      <c r="TBX754" s="574"/>
      <c r="TBY754" s="574"/>
      <c r="TBZ754" s="574"/>
      <c r="TCA754" s="574"/>
      <c r="TCB754" s="574"/>
      <c r="TCC754" s="574"/>
      <c r="TCD754" s="574"/>
      <c r="TCE754" s="574"/>
      <c r="TCF754" s="574"/>
      <c r="TCG754" s="574"/>
      <c r="TCH754" s="574"/>
      <c r="TCI754" s="574"/>
      <c r="TCJ754" s="574"/>
      <c r="TCK754" s="574"/>
      <c r="TCL754" s="574"/>
      <c r="TCM754" s="574"/>
      <c r="TCN754" s="574"/>
      <c r="TCO754" s="574"/>
      <c r="TCP754" s="574"/>
      <c r="TCQ754" s="574"/>
      <c r="TCR754" s="574"/>
      <c r="TCS754" s="574"/>
      <c r="TCT754" s="574"/>
      <c r="TCU754" s="574"/>
      <c r="TCV754" s="574"/>
      <c r="TCW754" s="574"/>
      <c r="TCX754" s="574"/>
      <c r="TCY754" s="574"/>
      <c r="TCZ754" s="574"/>
      <c r="TDA754" s="574"/>
      <c r="TDB754" s="574"/>
      <c r="TDC754" s="574"/>
      <c r="TDD754" s="574"/>
      <c r="TDE754" s="574"/>
      <c r="TDF754" s="574"/>
      <c r="TDG754" s="574"/>
      <c r="TDH754" s="574"/>
      <c r="TDI754" s="574"/>
      <c r="TDJ754" s="574"/>
      <c r="TDK754" s="574"/>
      <c r="TDL754" s="574"/>
      <c r="TDM754" s="574"/>
      <c r="TDN754" s="574"/>
      <c r="TDO754" s="574"/>
      <c r="TDP754" s="574"/>
      <c r="TDQ754" s="574"/>
      <c r="TDR754" s="574"/>
      <c r="TDS754" s="574"/>
      <c r="TDT754" s="574"/>
      <c r="TDU754" s="574"/>
      <c r="TDV754" s="574"/>
      <c r="TDW754" s="574"/>
      <c r="TDX754" s="574"/>
      <c r="TDY754" s="574"/>
      <c r="TDZ754" s="574"/>
      <c r="TEA754" s="574"/>
      <c r="TEB754" s="574"/>
      <c r="TEC754" s="574"/>
      <c r="TED754" s="574"/>
      <c r="TEE754" s="574"/>
      <c r="TEF754" s="574"/>
      <c r="TEG754" s="574"/>
      <c r="TEH754" s="574"/>
      <c r="TEI754" s="574"/>
      <c r="TEJ754" s="574"/>
      <c r="TEK754" s="574"/>
      <c r="TEL754" s="574"/>
      <c r="TEM754" s="574"/>
      <c r="TEN754" s="574"/>
      <c r="TEO754" s="574"/>
      <c r="TEP754" s="574"/>
      <c r="TEQ754" s="574"/>
      <c r="TER754" s="574"/>
      <c r="TES754" s="574"/>
      <c r="TET754" s="574"/>
      <c r="TEU754" s="574"/>
      <c r="TEV754" s="574"/>
      <c r="TEW754" s="574"/>
      <c r="TEX754" s="574"/>
      <c r="TEY754" s="574"/>
      <c r="TEZ754" s="574"/>
      <c r="TFA754" s="574"/>
      <c r="TFB754" s="574"/>
      <c r="TFC754" s="574"/>
      <c r="TFD754" s="574"/>
      <c r="TFE754" s="574"/>
      <c r="TFF754" s="574"/>
      <c r="TFG754" s="574"/>
      <c r="TFH754" s="574"/>
      <c r="TFI754" s="574"/>
      <c r="TFJ754" s="574"/>
      <c r="TFK754" s="574"/>
      <c r="TFL754" s="574"/>
      <c r="TFM754" s="574"/>
      <c r="TFN754" s="574"/>
      <c r="TFO754" s="574"/>
      <c r="TFP754" s="574"/>
      <c r="TFQ754" s="574"/>
      <c r="TFR754" s="574"/>
      <c r="TFS754" s="574"/>
      <c r="TFT754" s="574"/>
      <c r="TFU754" s="574"/>
      <c r="TFV754" s="574"/>
      <c r="TFW754" s="574"/>
      <c r="TFX754" s="574"/>
      <c r="TFY754" s="574"/>
      <c r="TFZ754" s="574"/>
      <c r="TGA754" s="574"/>
      <c r="TGB754" s="574"/>
      <c r="TGC754" s="574"/>
      <c r="TGD754" s="574"/>
      <c r="TGE754" s="574"/>
      <c r="TGF754" s="574"/>
      <c r="TGG754" s="574"/>
      <c r="TGH754" s="574"/>
      <c r="TGI754" s="574"/>
      <c r="TGJ754" s="574"/>
      <c r="TGK754" s="574"/>
      <c r="TGL754" s="574"/>
      <c r="TGM754" s="574"/>
      <c r="TGN754" s="574"/>
      <c r="TGO754" s="574"/>
      <c r="TGP754" s="574"/>
      <c r="TGQ754" s="574"/>
      <c r="TGR754" s="574"/>
      <c r="TGS754" s="574"/>
      <c r="TGT754" s="574"/>
      <c r="TGU754" s="574"/>
      <c r="TGV754" s="574"/>
      <c r="TGW754" s="574"/>
      <c r="TGX754" s="574"/>
      <c r="TGY754" s="574"/>
      <c r="TGZ754" s="574"/>
      <c r="THA754" s="574"/>
      <c r="THB754" s="574"/>
      <c r="THC754" s="574"/>
      <c r="THD754" s="574"/>
      <c r="THE754" s="574"/>
      <c r="THF754" s="574"/>
      <c r="THG754" s="574"/>
      <c r="THH754" s="574"/>
      <c r="THI754" s="574"/>
      <c r="THJ754" s="574"/>
      <c r="THK754" s="574"/>
      <c r="THL754" s="574"/>
      <c r="THM754" s="574"/>
      <c r="THN754" s="574"/>
      <c r="THO754" s="574"/>
      <c r="THP754" s="574"/>
      <c r="THQ754" s="574"/>
      <c r="THR754" s="574"/>
      <c r="THS754" s="574"/>
      <c r="THT754" s="574"/>
      <c r="THU754" s="574"/>
      <c r="THV754" s="574"/>
      <c r="THW754" s="574"/>
      <c r="THX754" s="574"/>
      <c r="THY754" s="574"/>
      <c r="THZ754" s="574"/>
      <c r="TIA754" s="574"/>
      <c r="TIB754" s="574"/>
      <c r="TIC754" s="574"/>
      <c r="TID754" s="574"/>
      <c r="TIE754" s="574"/>
      <c r="TIF754" s="574"/>
      <c r="TIG754" s="574"/>
      <c r="TIH754" s="574"/>
      <c r="TII754" s="574"/>
      <c r="TIJ754" s="574"/>
      <c r="TIK754" s="574"/>
      <c r="TIL754" s="574"/>
      <c r="TIM754" s="574"/>
      <c r="TIN754" s="574"/>
      <c r="TIO754" s="574"/>
      <c r="TIP754" s="574"/>
      <c r="TIQ754" s="574"/>
      <c r="TIR754" s="574"/>
      <c r="TIS754" s="574"/>
      <c r="TIT754" s="574"/>
      <c r="TIU754" s="574"/>
      <c r="TIV754" s="574"/>
      <c r="TIW754" s="574"/>
      <c r="TIX754" s="574"/>
      <c r="TIY754" s="574"/>
      <c r="TIZ754" s="574"/>
      <c r="TJA754" s="574"/>
      <c r="TJB754" s="574"/>
      <c r="TJC754" s="574"/>
      <c r="TJD754" s="574"/>
      <c r="TJE754" s="574"/>
      <c r="TJF754" s="574"/>
      <c r="TJG754" s="574"/>
      <c r="TJH754" s="574"/>
      <c r="TJI754" s="574"/>
      <c r="TJJ754" s="574"/>
      <c r="TJK754" s="574"/>
      <c r="TJL754" s="574"/>
      <c r="TJM754" s="574"/>
      <c r="TJN754" s="574"/>
      <c r="TJO754" s="574"/>
      <c r="TJP754" s="574"/>
      <c r="TJQ754" s="574"/>
      <c r="TJR754" s="574"/>
      <c r="TJS754" s="574"/>
      <c r="TJT754" s="574"/>
      <c r="TJU754" s="574"/>
      <c r="TJV754" s="574"/>
      <c r="TJW754" s="574"/>
      <c r="TJX754" s="574"/>
      <c r="TJY754" s="574"/>
      <c r="TJZ754" s="574"/>
      <c r="TKA754" s="574"/>
      <c r="TKB754" s="574"/>
      <c r="TKC754" s="574"/>
      <c r="TKD754" s="574"/>
      <c r="TKE754" s="574"/>
      <c r="TKF754" s="574"/>
      <c r="TKG754" s="574"/>
      <c r="TKH754" s="574"/>
      <c r="TKI754" s="574"/>
      <c r="TKJ754" s="574"/>
      <c r="TKK754" s="574"/>
      <c r="TKL754" s="574"/>
      <c r="TKM754" s="574"/>
      <c r="TKN754" s="574"/>
      <c r="TKO754" s="574"/>
      <c r="TKP754" s="574"/>
      <c r="TKQ754" s="574"/>
      <c r="TKR754" s="574"/>
      <c r="TKS754" s="574"/>
      <c r="TKT754" s="574"/>
      <c r="TKU754" s="574"/>
      <c r="TKV754" s="574"/>
      <c r="TKW754" s="574"/>
      <c r="TKX754" s="574"/>
      <c r="TKY754" s="574"/>
      <c r="TKZ754" s="574"/>
      <c r="TLA754" s="574"/>
      <c r="TLB754" s="574"/>
      <c r="TLC754" s="574"/>
      <c r="TLD754" s="574"/>
      <c r="TLE754" s="574"/>
      <c r="TLF754" s="574"/>
      <c r="TLG754" s="574"/>
      <c r="TLH754" s="574"/>
      <c r="TLI754" s="574"/>
      <c r="TLJ754" s="574"/>
      <c r="TLK754" s="574"/>
      <c r="TLL754" s="574"/>
      <c r="TLM754" s="574"/>
      <c r="TLN754" s="574"/>
      <c r="TLO754" s="574"/>
      <c r="TLP754" s="574"/>
      <c r="TLQ754" s="574"/>
      <c r="TLR754" s="574"/>
      <c r="TLS754" s="574"/>
      <c r="TLT754" s="574"/>
      <c r="TLU754" s="574"/>
      <c r="TLV754" s="574"/>
      <c r="TLW754" s="574"/>
      <c r="TLX754" s="574"/>
      <c r="TLY754" s="574"/>
      <c r="TLZ754" s="574"/>
      <c r="TMA754" s="574"/>
      <c r="TMB754" s="574"/>
      <c r="TMC754" s="574"/>
      <c r="TMD754" s="574"/>
      <c r="TME754" s="574"/>
      <c r="TMF754" s="574"/>
      <c r="TMG754" s="574"/>
      <c r="TMH754" s="574"/>
      <c r="TMI754" s="574"/>
      <c r="TMJ754" s="574"/>
      <c r="TMK754" s="574"/>
      <c r="TML754" s="574"/>
      <c r="TMM754" s="574"/>
      <c r="TMN754" s="574"/>
      <c r="TMO754" s="574"/>
      <c r="TMP754" s="574"/>
      <c r="TMQ754" s="574"/>
      <c r="TMR754" s="574"/>
      <c r="TMS754" s="574"/>
      <c r="TMT754" s="574"/>
      <c r="TMU754" s="574"/>
      <c r="TMV754" s="574"/>
      <c r="TMW754" s="574"/>
      <c r="TMX754" s="574"/>
      <c r="TMY754" s="574"/>
      <c r="TMZ754" s="574"/>
      <c r="TNA754" s="574"/>
      <c r="TNB754" s="574"/>
      <c r="TNC754" s="574"/>
      <c r="TND754" s="574"/>
      <c r="TNE754" s="574"/>
      <c r="TNF754" s="574"/>
      <c r="TNG754" s="574"/>
      <c r="TNH754" s="574"/>
      <c r="TNI754" s="574"/>
      <c r="TNJ754" s="574"/>
      <c r="TNK754" s="574"/>
      <c r="TNL754" s="574"/>
      <c r="TNM754" s="574"/>
      <c r="TNN754" s="574"/>
      <c r="TNO754" s="574"/>
      <c r="TNP754" s="574"/>
      <c r="TNQ754" s="574"/>
      <c r="TNR754" s="574"/>
      <c r="TNS754" s="574"/>
      <c r="TNT754" s="574"/>
      <c r="TNU754" s="574"/>
      <c r="TNV754" s="574"/>
      <c r="TNW754" s="574"/>
      <c r="TNX754" s="574"/>
      <c r="TNY754" s="574"/>
      <c r="TNZ754" s="574"/>
      <c r="TOA754" s="574"/>
      <c r="TOB754" s="574"/>
      <c r="TOC754" s="574"/>
      <c r="TOD754" s="574"/>
      <c r="TOE754" s="574"/>
      <c r="TOF754" s="574"/>
      <c r="TOG754" s="574"/>
      <c r="TOH754" s="574"/>
      <c r="TOI754" s="574"/>
      <c r="TOJ754" s="574"/>
      <c r="TOK754" s="574"/>
      <c r="TOL754" s="574"/>
      <c r="TOM754" s="574"/>
      <c r="TON754" s="574"/>
      <c r="TOO754" s="574"/>
      <c r="TOP754" s="574"/>
      <c r="TOQ754" s="574"/>
      <c r="TOR754" s="574"/>
      <c r="TOS754" s="574"/>
      <c r="TOT754" s="574"/>
      <c r="TOU754" s="574"/>
      <c r="TOV754" s="574"/>
      <c r="TOW754" s="574"/>
      <c r="TOX754" s="574"/>
      <c r="TOY754" s="574"/>
      <c r="TOZ754" s="574"/>
      <c r="TPA754" s="574"/>
      <c r="TPB754" s="574"/>
      <c r="TPC754" s="574"/>
      <c r="TPD754" s="574"/>
      <c r="TPE754" s="574"/>
      <c r="TPF754" s="574"/>
      <c r="TPG754" s="574"/>
      <c r="TPH754" s="574"/>
      <c r="TPI754" s="574"/>
      <c r="TPJ754" s="574"/>
      <c r="TPK754" s="574"/>
      <c r="TPL754" s="574"/>
      <c r="TPM754" s="574"/>
      <c r="TPN754" s="574"/>
      <c r="TPO754" s="574"/>
      <c r="TPP754" s="574"/>
      <c r="TPQ754" s="574"/>
      <c r="TPR754" s="574"/>
      <c r="TPS754" s="574"/>
      <c r="TPT754" s="574"/>
      <c r="TPU754" s="574"/>
      <c r="TPV754" s="574"/>
      <c r="TPW754" s="574"/>
      <c r="TPX754" s="574"/>
      <c r="TPY754" s="574"/>
      <c r="TPZ754" s="574"/>
      <c r="TQA754" s="574"/>
      <c r="TQB754" s="574"/>
      <c r="TQC754" s="574"/>
      <c r="TQD754" s="574"/>
      <c r="TQE754" s="574"/>
      <c r="TQF754" s="574"/>
      <c r="TQG754" s="574"/>
      <c r="TQH754" s="574"/>
      <c r="TQI754" s="574"/>
      <c r="TQJ754" s="574"/>
      <c r="TQK754" s="574"/>
      <c r="TQL754" s="574"/>
      <c r="TQM754" s="574"/>
      <c r="TQN754" s="574"/>
      <c r="TQO754" s="574"/>
      <c r="TQP754" s="574"/>
      <c r="TQQ754" s="574"/>
      <c r="TQR754" s="574"/>
      <c r="TQS754" s="574"/>
      <c r="TQT754" s="574"/>
      <c r="TQU754" s="574"/>
      <c r="TQV754" s="574"/>
      <c r="TQW754" s="574"/>
      <c r="TQX754" s="574"/>
      <c r="TQY754" s="574"/>
      <c r="TQZ754" s="574"/>
      <c r="TRA754" s="574"/>
      <c r="TRB754" s="574"/>
      <c r="TRC754" s="574"/>
      <c r="TRD754" s="574"/>
      <c r="TRE754" s="574"/>
      <c r="TRF754" s="574"/>
      <c r="TRG754" s="574"/>
      <c r="TRH754" s="574"/>
      <c r="TRI754" s="574"/>
      <c r="TRJ754" s="574"/>
      <c r="TRK754" s="574"/>
      <c r="TRL754" s="574"/>
      <c r="TRM754" s="574"/>
      <c r="TRN754" s="574"/>
      <c r="TRO754" s="574"/>
      <c r="TRP754" s="574"/>
      <c r="TRQ754" s="574"/>
      <c r="TRR754" s="574"/>
      <c r="TRS754" s="574"/>
      <c r="TRT754" s="574"/>
      <c r="TRU754" s="574"/>
      <c r="TRV754" s="574"/>
      <c r="TRW754" s="574"/>
      <c r="TRX754" s="574"/>
      <c r="TRY754" s="574"/>
      <c r="TRZ754" s="574"/>
      <c r="TSA754" s="574"/>
      <c r="TSB754" s="574"/>
      <c r="TSC754" s="574"/>
      <c r="TSD754" s="574"/>
      <c r="TSE754" s="574"/>
      <c r="TSF754" s="574"/>
      <c r="TSG754" s="574"/>
      <c r="TSH754" s="574"/>
      <c r="TSI754" s="574"/>
      <c r="TSJ754" s="574"/>
      <c r="TSK754" s="574"/>
      <c r="TSL754" s="574"/>
      <c r="TSM754" s="574"/>
      <c r="TSN754" s="574"/>
      <c r="TSO754" s="574"/>
      <c r="TSP754" s="574"/>
      <c r="TSQ754" s="574"/>
      <c r="TSR754" s="574"/>
      <c r="TSS754" s="574"/>
      <c r="TST754" s="574"/>
      <c r="TSU754" s="574"/>
      <c r="TSV754" s="574"/>
      <c r="TSW754" s="574"/>
      <c r="TSX754" s="574"/>
      <c r="TSY754" s="574"/>
      <c r="TSZ754" s="574"/>
      <c r="TTA754" s="574"/>
      <c r="TTB754" s="574"/>
      <c r="TTC754" s="574"/>
      <c r="TTD754" s="574"/>
      <c r="TTE754" s="574"/>
      <c r="TTF754" s="574"/>
      <c r="TTG754" s="574"/>
      <c r="TTH754" s="574"/>
      <c r="TTI754" s="574"/>
      <c r="TTJ754" s="574"/>
      <c r="TTK754" s="574"/>
      <c r="TTL754" s="574"/>
      <c r="TTM754" s="574"/>
      <c r="TTN754" s="574"/>
      <c r="TTO754" s="574"/>
      <c r="TTP754" s="574"/>
      <c r="TTQ754" s="574"/>
      <c r="TTR754" s="574"/>
      <c r="TTS754" s="574"/>
      <c r="TTT754" s="574"/>
      <c r="TTU754" s="574"/>
      <c r="TTV754" s="574"/>
      <c r="TTW754" s="574"/>
      <c r="TTX754" s="574"/>
      <c r="TTY754" s="574"/>
      <c r="TTZ754" s="574"/>
      <c r="TUA754" s="574"/>
      <c r="TUB754" s="574"/>
      <c r="TUC754" s="574"/>
      <c r="TUD754" s="574"/>
      <c r="TUE754" s="574"/>
      <c r="TUF754" s="574"/>
      <c r="TUG754" s="574"/>
      <c r="TUH754" s="574"/>
      <c r="TUI754" s="574"/>
      <c r="TUJ754" s="574"/>
      <c r="TUK754" s="574"/>
      <c r="TUL754" s="574"/>
      <c r="TUM754" s="574"/>
      <c r="TUN754" s="574"/>
      <c r="TUO754" s="574"/>
      <c r="TUP754" s="574"/>
      <c r="TUQ754" s="574"/>
      <c r="TUR754" s="574"/>
      <c r="TUS754" s="574"/>
      <c r="TUT754" s="574"/>
      <c r="TUU754" s="574"/>
      <c r="TUV754" s="574"/>
      <c r="TUW754" s="574"/>
      <c r="TUX754" s="574"/>
      <c r="TUY754" s="574"/>
      <c r="TUZ754" s="574"/>
      <c r="TVA754" s="574"/>
      <c r="TVB754" s="574"/>
      <c r="TVC754" s="574"/>
      <c r="TVD754" s="574"/>
      <c r="TVE754" s="574"/>
      <c r="TVF754" s="574"/>
      <c r="TVG754" s="574"/>
      <c r="TVH754" s="574"/>
      <c r="TVI754" s="574"/>
      <c r="TVJ754" s="574"/>
      <c r="TVK754" s="574"/>
      <c r="TVL754" s="574"/>
      <c r="TVM754" s="574"/>
      <c r="TVN754" s="574"/>
      <c r="TVO754" s="574"/>
      <c r="TVP754" s="574"/>
      <c r="TVQ754" s="574"/>
      <c r="TVR754" s="574"/>
      <c r="TVS754" s="574"/>
      <c r="TVT754" s="574"/>
      <c r="TVU754" s="574"/>
      <c r="TVV754" s="574"/>
      <c r="TVW754" s="574"/>
      <c r="TVX754" s="574"/>
      <c r="TVY754" s="574"/>
      <c r="TVZ754" s="574"/>
      <c r="TWA754" s="574"/>
      <c r="TWB754" s="574"/>
      <c r="TWC754" s="574"/>
      <c r="TWD754" s="574"/>
      <c r="TWE754" s="574"/>
      <c r="TWF754" s="574"/>
      <c r="TWG754" s="574"/>
      <c r="TWH754" s="574"/>
      <c r="TWI754" s="574"/>
      <c r="TWJ754" s="574"/>
      <c r="TWK754" s="574"/>
      <c r="TWL754" s="574"/>
      <c r="TWM754" s="574"/>
      <c r="TWN754" s="574"/>
      <c r="TWO754" s="574"/>
      <c r="TWP754" s="574"/>
      <c r="TWQ754" s="574"/>
      <c r="TWR754" s="574"/>
      <c r="TWS754" s="574"/>
      <c r="TWT754" s="574"/>
      <c r="TWU754" s="574"/>
      <c r="TWV754" s="574"/>
      <c r="TWW754" s="574"/>
      <c r="TWX754" s="574"/>
      <c r="TWY754" s="574"/>
      <c r="TWZ754" s="574"/>
      <c r="TXA754" s="574"/>
      <c r="TXB754" s="574"/>
      <c r="TXC754" s="574"/>
      <c r="TXD754" s="574"/>
      <c r="TXE754" s="574"/>
      <c r="TXF754" s="574"/>
      <c r="TXG754" s="574"/>
      <c r="TXH754" s="574"/>
      <c r="TXI754" s="574"/>
      <c r="TXJ754" s="574"/>
      <c r="TXK754" s="574"/>
      <c r="TXL754" s="574"/>
      <c r="TXM754" s="574"/>
      <c r="TXN754" s="574"/>
      <c r="TXO754" s="574"/>
      <c r="TXP754" s="574"/>
      <c r="TXQ754" s="574"/>
      <c r="TXR754" s="574"/>
      <c r="TXS754" s="574"/>
      <c r="TXT754" s="574"/>
      <c r="TXU754" s="574"/>
      <c r="TXV754" s="574"/>
      <c r="TXW754" s="574"/>
      <c r="TXX754" s="574"/>
      <c r="TXY754" s="574"/>
      <c r="TXZ754" s="574"/>
      <c r="TYA754" s="574"/>
      <c r="TYB754" s="574"/>
      <c r="TYC754" s="574"/>
      <c r="TYD754" s="574"/>
      <c r="TYE754" s="574"/>
      <c r="TYF754" s="574"/>
      <c r="TYG754" s="574"/>
      <c r="TYH754" s="574"/>
      <c r="TYI754" s="574"/>
      <c r="TYJ754" s="574"/>
      <c r="TYK754" s="574"/>
      <c r="TYL754" s="574"/>
      <c r="TYM754" s="574"/>
      <c r="TYN754" s="574"/>
      <c r="TYO754" s="574"/>
      <c r="TYP754" s="574"/>
      <c r="TYQ754" s="574"/>
      <c r="TYR754" s="574"/>
      <c r="TYS754" s="574"/>
      <c r="TYT754" s="574"/>
      <c r="TYU754" s="574"/>
      <c r="TYV754" s="574"/>
      <c r="TYW754" s="574"/>
      <c r="TYX754" s="574"/>
      <c r="TYY754" s="574"/>
      <c r="TYZ754" s="574"/>
      <c r="TZA754" s="574"/>
      <c r="TZB754" s="574"/>
      <c r="TZC754" s="574"/>
      <c r="TZD754" s="574"/>
      <c r="TZE754" s="574"/>
      <c r="TZF754" s="574"/>
      <c r="TZG754" s="574"/>
      <c r="TZH754" s="574"/>
      <c r="TZI754" s="574"/>
      <c r="TZJ754" s="574"/>
      <c r="TZK754" s="574"/>
      <c r="TZL754" s="574"/>
      <c r="TZM754" s="574"/>
      <c r="TZN754" s="574"/>
      <c r="TZO754" s="574"/>
      <c r="TZP754" s="574"/>
      <c r="TZQ754" s="574"/>
      <c r="TZR754" s="574"/>
      <c r="TZS754" s="574"/>
      <c r="TZT754" s="574"/>
      <c r="TZU754" s="574"/>
      <c r="TZV754" s="574"/>
      <c r="TZW754" s="574"/>
      <c r="TZX754" s="574"/>
      <c r="TZY754" s="574"/>
      <c r="TZZ754" s="574"/>
      <c r="UAA754" s="574"/>
      <c r="UAB754" s="574"/>
      <c r="UAC754" s="574"/>
      <c r="UAD754" s="574"/>
      <c r="UAE754" s="574"/>
      <c r="UAF754" s="574"/>
      <c r="UAG754" s="574"/>
      <c r="UAH754" s="574"/>
      <c r="UAI754" s="574"/>
      <c r="UAJ754" s="574"/>
      <c r="UAK754" s="574"/>
      <c r="UAL754" s="574"/>
      <c r="UAM754" s="574"/>
      <c r="UAN754" s="574"/>
      <c r="UAO754" s="574"/>
      <c r="UAP754" s="574"/>
      <c r="UAQ754" s="574"/>
      <c r="UAR754" s="574"/>
      <c r="UAS754" s="574"/>
      <c r="UAT754" s="574"/>
      <c r="UAU754" s="574"/>
      <c r="UAV754" s="574"/>
      <c r="UAW754" s="574"/>
      <c r="UAX754" s="574"/>
      <c r="UAY754" s="574"/>
      <c r="UAZ754" s="574"/>
      <c r="UBA754" s="574"/>
      <c r="UBB754" s="574"/>
      <c r="UBC754" s="574"/>
      <c r="UBD754" s="574"/>
      <c r="UBE754" s="574"/>
      <c r="UBF754" s="574"/>
      <c r="UBG754" s="574"/>
      <c r="UBH754" s="574"/>
      <c r="UBI754" s="574"/>
      <c r="UBJ754" s="574"/>
      <c r="UBK754" s="574"/>
      <c r="UBL754" s="574"/>
      <c r="UBM754" s="574"/>
      <c r="UBN754" s="574"/>
      <c r="UBO754" s="574"/>
      <c r="UBP754" s="574"/>
      <c r="UBQ754" s="574"/>
      <c r="UBR754" s="574"/>
      <c r="UBS754" s="574"/>
      <c r="UBT754" s="574"/>
      <c r="UBU754" s="574"/>
      <c r="UBV754" s="574"/>
      <c r="UBW754" s="574"/>
      <c r="UBX754" s="574"/>
      <c r="UBY754" s="574"/>
      <c r="UBZ754" s="574"/>
      <c r="UCA754" s="574"/>
      <c r="UCB754" s="574"/>
      <c r="UCC754" s="574"/>
      <c r="UCD754" s="574"/>
      <c r="UCE754" s="574"/>
      <c r="UCF754" s="574"/>
      <c r="UCG754" s="574"/>
      <c r="UCH754" s="574"/>
      <c r="UCI754" s="574"/>
      <c r="UCJ754" s="574"/>
      <c r="UCK754" s="574"/>
      <c r="UCL754" s="574"/>
      <c r="UCM754" s="574"/>
      <c r="UCN754" s="574"/>
      <c r="UCO754" s="574"/>
      <c r="UCP754" s="574"/>
      <c r="UCQ754" s="574"/>
      <c r="UCR754" s="574"/>
      <c r="UCS754" s="574"/>
      <c r="UCT754" s="574"/>
      <c r="UCU754" s="574"/>
      <c r="UCV754" s="574"/>
      <c r="UCW754" s="574"/>
      <c r="UCX754" s="574"/>
      <c r="UCY754" s="574"/>
      <c r="UCZ754" s="574"/>
      <c r="UDA754" s="574"/>
      <c r="UDB754" s="574"/>
      <c r="UDC754" s="574"/>
      <c r="UDD754" s="574"/>
      <c r="UDE754" s="574"/>
      <c r="UDF754" s="574"/>
      <c r="UDG754" s="574"/>
      <c r="UDH754" s="574"/>
      <c r="UDI754" s="574"/>
      <c r="UDJ754" s="574"/>
      <c r="UDK754" s="574"/>
      <c r="UDL754" s="574"/>
      <c r="UDM754" s="574"/>
      <c r="UDN754" s="574"/>
      <c r="UDO754" s="574"/>
      <c r="UDP754" s="574"/>
      <c r="UDQ754" s="574"/>
      <c r="UDR754" s="574"/>
      <c r="UDS754" s="574"/>
      <c r="UDT754" s="574"/>
      <c r="UDU754" s="574"/>
      <c r="UDV754" s="574"/>
      <c r="UDW754" s="574"/>
      <c r="UDX754" s="574"/>
      <c r="UDY754" s="574"/>
      <c r="UDZ754" s="574"/>
      <c r="UEA754" s="574"/>
      <c r="UEB754" s="574"/>
      <c r="UEC754" s="574"/>
      <c r="UED754" s="574"/>
      <c r="UEE754" s="574"/>
      <c r="UEF754" s="574"/>
      <c r="UEG754" s="574"/>
      <c r="UEH754" s="574"/>
      <c r="UEI754" s="574"/>
      <c r="UEJ754" s="574"/>
      <c r="UEK754" s="574"/>
      <c r="UEL754" s="574"/>
      <c r="UEM754" s="574"/>
      <c r="UEN754" s="574"/>
      <c r="UEO754" s="574"/>
      <c r="UEP754" s="574"/>
      <c r="UEQ754" s="574"/>
      <c r="UER754" s="574"/>
      <c r="UES754" s="574"/>
      <c r="UET754" s="574"/>
      <c r="UEU754" s="574"/>
      <c r="UEV754" s="574"/>
      <c r="UEW754" s="574"/>
      <c r="UEX754" s="574"/>
      <c r="UEY754" s="574"/>
      <c r="UEZ754" s="574"/>
      <c r="UFA754" s="574"/>
      <c r="UFB754" s="574"/>
      <c r="UFC754" s="574"/>
      <c r="UFD754" s="574"/>
      <c r="UFE754" s="574"/>
      <c r="UFF754" s="574"/>
      <c r="UFG754" s="574"/>
      <c r="UFH754" s="574"/>
      <c r="UFI754" s="574"/>
      <c r="UFJ754" s="574"/>
      <c r="UFK754" s="574"/>
      <c r="UFL754" s="574"/>
      <c r="UFM754" s="574"/>
      <c r="UFN754" s="574"/>
      <c r="UFO754" s="574"/>
      <c r="UFP754" s="574"/>
      <c r="UFQ754" s="574"/>
      <c r="UFR754" s="574"/>
      <c r="UFS754" s="574"/>
      <c r="UFT754" s="574"/>
      <c r="UFU754" s="574"/>
      <c r="UFV754" s="574"/>
      <c r="UFW754" s="574"/>
      <c r="UFX754" s="574"/>
      <c r="UFY754" s="574"/>
      <c r="UFZ754" s="574"/>
      <c r="UGA754" s="574"/>
      <c r="UGB754" s="574"/>
      <c r="UGC754" s="574"/>
      <c r="UGD754" s="574"/>
      <c r="UGE754" s="574"/>
      <c r="UGF754" s="574"/>
      <c r="UGG754" s="574"/>
      <c r="UGH754" s="574"/>
      <c r="UGI754" s="574"/>
      <c r="UGJ754" s="574"/>
      <c r="UGK754" s="574"/>
      <c r="UGL754" s="574"/>
      <c r="UGM754" s="574"/>
      <c r="UGN754" s="574"/>
      <c r="UGO754" s="574"/>
      <c r="UGP754" s="574"/>
      <c r="UGQ754" s="574"/>
      <c r="UGR754" s="574"/>
      <c r="UGS754" s="574"/>
      <c r="UGT754" s="574"/>
      <c r="UGU754" s="574"/>
      <c r="UGV754" s="574"/>
      <c r="UGW754" s="574"/>
      <c r="UGX754" s="574"/>
      <c r="UGY754" s="574"/>
      <c r="UGZ754" s="574"/>
      <c r="UHA754" s="574"/>
      <c r="UHB754" s="574"/>
      <c r="UHC754" s="574"/>
      <c r="UHD754" s="574"/>
      <c r="UHE754" s="574"/>
      <c r="UHF754" s="574"/>
      <c r="UHG754" s="574"/>
      <c r="UHH754" s="574"/>
      <c r="UHI754" s="574"/>
      <c r="UHJ754" s="574"/>
      <c r="UHK754" s="574"/>
      <c r="UHL754" s="574"/>
      <c r="UHM754" s="574"/>
      <c r="UHN754" s="574"/>
      <c r="UHO754" s="574"/>
      <c r="UHP754" s="574"/>
      <c r="UHQ754" s="574"/>
      <c r="UHR754" s="574"/>
      <c r="UHS754" s="574"/>
      <c r="UHT754" s="574"/>
      <c r="UHU754" s="574"/>
      <c r="UHV754" s="574"/>
      <c r="UHW754" s="574"/>
      <c r="UHX754" s="574"/>
      <c r="UHY754" s="574"/>
      <c r="UHZ754" s="574"/>
      <c r="UIA754" s="574"/>
      <c r="UIB754" s="574"/>
      <c r="UIC754" s="574"/>
      <c r="UID754" s="574"/>
      <c r="UIE754" s="574"/>
      <c r="UIF754" s="574"/>
      <c r="UIG754" s="574"/>
      <c r="UIH754" s="574"/>
      <c r="UII754" s="574"/>
      <c r="UIJ754" s="574"/>
      <c r="UIK754" s="574"/>
      <c r="UIL754" s="574"/>
      <c r="UIM754" s="574"/>
      <c r="UIN754" s="574"/>
      <c r="UIO754" s="574"/>
      <c r="UIP754" s="574"/>
      <c r="UIQ754" s="574"/>
      <c r="UIR754" s="574"/>
      <c r="UIS754" s="574"/>
      <c r="UIT754" s="574"/>
      <c r="UIU754" s="574"/>
      <c r="UIV754" s="574"/>
      <c r="UIW754" s="574"/>
      <c r="UIX754" s="574"/>
      <c r="UIY754" s="574"/>
      <c r="UIZ754" s="574"/>
      <c r="UJA754" s="574"/>
      <c r="UJB754" s="574"/>
      <c r="UJC754" s="574"/>
      <c r="UJD754" s="574"/>
      <c r="UJE754" s="574"/>
      <c r="UJF754" s="574"/>
      <c r="UJG754" s="574"/>
      <c r="UJH754" s="574"/>
      <c r="UJI754" s="574"/>
      <c r="UJJ754" s="574"/>
      <c r="UJK754" s="574"/>
      <c r="UJL754" s="574"/>
      <c r="UJM754" s="574"/>
      <c r="UJN754" s="574"/>
      <c r="UJO754" s="574"/>
      <c r="UJP754" s="574"/>
      <c r="UJQ754" s="574"/>
      <c r="UJR754" s="574"/>
      <c r="UJS754" s="574"/>
      <c r="UJT754" s="574"/>
      <c r="UJU754" s="574"/>
      <c r="UJV754" s="574"/>
      <c r="UJW754" s="574"/>
      <c r="UJX754" s="574"/>
      <c r="UJY754" s="574"/>
      <c r="UJZ754" s="574"/>
      <c r="UKA754" s="574"/>
      <c r="UKB754" s="574"/>
      <c r="UKC754" s="574"/>
      <c r="UKD754" s="574"/>
      <c r="UKE754" s="574"/>
      <c r="UKF754" s="574"/>
      <c r="UKG754" s="574"/>
      <c r="UKH754" s="574"/>
      <c r="UKI754" s="574"/>
      <c r="UKJ754" s="574"/>
      <c r="UKK754" s="574"/>
      <c r="UKL754" s="574"/>
      <c r="UKM754" s="574"/>
      <c r="UKN754" s="574"/>
      <c r="UKO754" s="574"/>
      <c r="UKP754" s="574"/>
      <c r="UKQ754" s="574"/>
      <c r="UKR754" s="574"/>
      <c r="UKS754" s="574"/>
      <c r="UKT754" s="574"/>
      <c r="UKU754" s="574"/>
      <c r="UKV754" s="574"/>
      <c r="UKW754" s="574"/>
      <c r="UKX754" s="574"/>
      <c r="UKY754" s="574"/>
      <c r="UKZ754" s="574"/>
      <c r="ULA754" s="574"/>
      <c r="ULB754" s="574"/>
      <c r="ULC754" s="574"/>
      <c r="ULD754" s="574"/>
      <c r="ULE754" s="574"/>
      <c r="ULF754" s="574"/>
      <c r="ULG754" s="574"/>
      <c r="ULH754" s="574"/>
      <c r="ULI754" s="574"/>
      <c r="ULJ754" s="574"/>
      <c r="ULK754" s="574"/>
      <c r="ULL754" s="574"/>
      <c r="ULM754" s="574"/>
      <c r="ULN754" s="574"/>
      <c r="ULO754" s="574"/>
      <c r="ULP754" s="574"/>
      <c r="ULQ754" s="574"/>
      <c r="ULR754" s="574"/>
      <c r="ULS754" s="574"/>
      <c r="ULT754" s="574"/>
      <c r="ULU754" s="574"/>
      <c r="ULV754" s="574"/>
      <c r="ULW754" s="574"/>
      <c r="ULX754" s="574"/>
      <c r="ULY754" s="574"/>
      <c r="ULZ754" s="574"/>
      <c r="UMA754" s="574"/>
      <c r="UMB754" s="574"/>
      <c r="UMC754" s="574"/>
      <c r="UMD754" s="574"/>
      <c r="UME754" s="574"/>
      <c r="UMF754" s="574"/>
      <c r="UMG754" s="574"/>
      <c r="UMH754" s="574"/>
      <c r="UMI754" s="574"/>
      <c r="UMJ754" s="574"/>
      <c r="UMK754" s="574"/>
      <c r="UML754" s="574"/>
      <c r="UMM754" s="574"/>
      <c r="UMN754" s="574"/>
      <c r="UMO754" s="574"/>
      <c r="UMP754" s="574"/>
      <c r="UMQ754" s="574"/>
      <c r="UMR754" s="574"/>
      <c r="UMS754" s="574"/>
      <c r="UMT754" s="574"/>
      <c r="UMU754" s="574"/>
      <c r="UMV754" s="574"/>
      <c r="UMW754" s="574"/>
      <c r="UMX754" s="574"/>
      <c r="UMY754" s="574"/>
      <c r="UMZ754" s="574"/>
      <c r="UNA754" s="574"/>
      <c r="UNB754" s="574"/>
      <c r="UNC754" s="574"/>
      <c r="UND754" s="574"/>
      <c r="UNE754" s="574"/>
      <c r="UNF754" s="574"/>
      <c r="UNG754" s="574"/>
      <c r="UNH754" s="574"/>
      <c r="UNI754" s="574"/>
      <c r="UNJ754" s="574"/>
      <c r="UNK754" s="574"/>
      <c r="UNL754" s="574"/>
      <c r="UNM754" s="574"/>
      <c r="UNN754" s="574"/>
      <c r="UNO754" s="574"/>
      <c r="UNP754" s="574"/>
      <c r="UNQ754" s="574"/>
      <c r="UNR754" s="574"/>
      <c r="UNS754" s="574"/>
      <c r="UNT754" s="574"/>
      <c r="UNU754" s="574"/>
      <c r="UNV754" s="574"/>
      <c r="UNW754" s="574"/>
      <c r="UNX754" s="574"/>
      <c r="UNY754" s="574"/>
      <c r="UNZ754" s="574"/>
      <c r="UOA754" s="574"/>
      <c r="UOB754" s="574"/>
      <c r="UOC754" s="574"/>
      <c r="UOD754" s="574"/>
      <c r="UOE754" s="574"/>
      <c r="UOF754" s="574"/>
      <c r="UOG754" s="574"/>
      <c r="UOH754" s="574"/>
      <c r="UOI754" s="574"/>
      <c r="UOJ754" s="574"/>
      <c r="UOK754" s="574"/>
      <c r="UOL754" s="574"/>
      <c r="UOM754" s="574"/>
      <c r="UON754" s="574"/>
      <c r="UOO754" s="574"/>
      <c r="UOP754" s="574"/>
      <c r="UOQ754" s="574"/>
      <c r="UOR754" s="574"/>
      <c r="UOS754" s="574"/>
      <c r="UOT754" s="574"/>
      <c r="UOU754" s="574"/>
      <c r="UOV754" s="574"/>
      <c r="UOW754" s="574"/>
      <c r="UOX754" s="574"/>
      <c r="UOY754" s="574"/>
      <c r="UOZ754" s="574"/>
      <c r="UPA754" s="574"/>
      <c r="UPB754" s="574"/>
      <c r="UPC754" s="574"/>
      <c r="UPD754" s="574"/>
      <c r="UPE754" s="574"/>
      <c r="UPF754" s="574"/>
      <c r="UPG754" s="574"/>
      <c r="UPH754" s="574"/>
      <c r="UPI754" s="574"/>
      <c r="UPJ754" s="574"/>
      <c r="UPK754" s="574"/>
      <c r="UPL754" s="574"/>
      <c r="UPM754" s="574"/>
      <c r="UPN754" s="574"/>
      <c r="UPO754" s="574"/>
      <c r="UPP754" s="574"/>
      <c r="UPQ754" s="574"/>
      <c r="UPR754" s="574"/>
      <c r="UPS754" s="574"/>
      <c r="UPT754" s="574"/>
      <c r="UPU754" s="574"/>
      <c r="UPV754" s="574"/>
      <c r="UPW754" s="574"/>
      <c r="UPX754" s="574"/>
      <c r="UPY754" s="574"/>
      <c r="UPZ754" s="574"/>
      <c r="UQA754" s="574"/>
      <c r="UQB754" s="574"/>
      <c r="UQC754" s="574"/>
      <c r="UQD754" s="574"/>
      <c r="UQE754" s="574"/>
      <c r="UQF754" s="574"/>
      <c r="UQG754" s="574"/>
      <c r="UQH754" s="574"/>
      <c r="UQI754" s="574"/>
      <c r="UQJ754" s="574"/>
      <c r="UQK754" s="574"/>
      <c r="UQL754" s="574"/>
      <c r="UQM754" s="574"/>
      <c r="UQN754" s="574"/>
      <c r="UQO754" s="574"/>
      <c r="UQP754" s="574"/>
      <c r="UQQ754" s="574"/>
      <c r="UQR754" s="574"/>
      <c r="UQS754" s="574"/>
      <c r="UQT754" s="574"/>
      <c r="UQU754" s="574"/>
      <c r="UQV754" s="574"/>
      <c r="UQW754" s="574"/>
      <c r="UQX754" s="574"/>
      <c r="UQY754" s="574"/>
      <c r="UQZ754" s="574"/>
      <c r="URA754" s="574"/>
      <c r="URB754" s="574"/>
      <c r="URC754" s="574"/>
      <c r="URD754" s="574"/>
      <c r="URE754" s="574"/>
      <c r="URF754" s="574"/>
      <c r="URG754" s="574"/>
      <c r="URH754" s="574"/>
      <c r="URI754" s="574"/>
      <c r="URJ754" s="574"/>
      <c r="URK754" s="574"/>
      <c r="URL754" s="574"/>
      <c r="URM754" s="574"/>
      <c r="URN754" s="574"/>
      <c r="URO754" s="574"/>
      <c r="URP754" s="574"/>
      <c r="URQ754" s="574"/>
      <c r="URR754" s="574"/>
      <c r="URS754" s="574"/>
      <c r="URT754" s="574"/>
      <c r="URU754" s="574"/>
      <c r="URV754" s="574"/>
      <c r="URW754" s="574"/>
      <c r="URX754" s="574"/>
      <c r="URY754" s="574"/>
      <c r="URZ754" s="574"/>
      <c r="USA754" s="574"/>
      <c r="USB754" s="574"/>
      <c r="USC754" s="574"/>
      <c r="USD754" s="574"/>
      <c r="USE754" s="574"/>
      <c r="USF754" s="574"/>
      <c r="USG754" s="574"/>
      <c r="USH754" s="574"/>
      <c r="USI754" s="574"/>
      <c r="USJ754" s="574"/>
      <c r="USK754" s="574"/>
      <c r="USL754" s="574"/>
      <c r="USM754" s="574"/>
      <c r="USN754" s="574"/>
      <c r="USO754" s="574"/>
      <c r="USP754" s="574"/>
      <c r="USQ754" s="574"/>
      <c r="USR754" s="574"/>
      <c r="USS754" s="574"/>
      <c r="UST754" s="574"/>
      <c r="USU754" s="574"/>
      <c r="USV754" s="574"/>
      <c r="USW754" s="574"/>
      <c r="USX754" s="574"/>
      <c r="USY754" s="574"/>
      <c r="USZ754" s="574"/>
      <c r="UTA754" s="574"/>
      <c r="UTB754" s="574"/>
      <c r="UTC754" s="574"/>
      <c r="UTD754" s="574"/>
      <c r="UTE754" s="574"/>
      <c r="UTF754" s="574"/>
      <c r="UTG754" s="574"/>
      <c r="UTH754" s="574"/>
      <c r="UTI754" s="574"/>
      <c r="UTJ754" s="574"/>
      <c r="UTK754" s="574"/>
      <c r="UTL754" s="574"/>
      <c r="UTM754" s="574"/>
      <c r="UTN754" s="574"/>
      <c r="UTO754" s="574"/>
      <c r="UTP754" s="574"/>
      <c r="UTQ754" s="574"/>
      <c r="UTR754" s="574"/>
      <c r="UTS754" s="574"/>
      <c r="UTT754" s="574"/>
      <c r="UTU754" s="574"/>
      <c r="UTV754" s="574"/>
      <c r="UTW754" s="574"/>
      <c r="UTX754" s="574"/>
      <c r="UTY754" s="574"/>
      <c r="UTZ754" s="574"/>
      <c r="UUA754" s="574"/>
      <c r="UUB754" s="574"/>
      <c r="UUC754" s="574"/>
      <c r="UUD754" s="574"/>
      <c r="UUE754" s="574"/>
      <c r="UUF754" s="574"/>
      <c r="UUG754" s="574"/>
      <c r="UUH754" s="574"/>
      <c r="UUI754" s="574"/>
      <c r="UUJ754" s="574"/>
      <c r="UUK754" s="574"/>
      <c r="UUL754" s="574"/>
      <c r="UUM754" s="574"/>
      <c r="UUN754" s="574"/>
      <c r="UUO754" s="574"/>
      <c r="UUP754" s="574"/>
      <c r="UUQ754" s="574"/>
      <c r="UUR754" s="574"/>
      <c r="UUS754" s="574"/>
      <c r="UUT754" s="574"/>
      <c r="UUU754" s="574"/>
      <c r="UUV754" s="574"/>
      <c r="UUW754" s="574"/>
      <c r="UUX754" s="574"/>
      <c r="UUY754" s="574"/>
      <c r="UUZ754" s="574"/>
      <c r="UVA754" s="574"/>
      <c r="UVB754" s="574"/>
      <c r="UVC754" s="574"/>
      <c r="UVD754" s="574"/>
      <c r="UVE754" s="574"/>
      <c r="UVF754" s="574"/>
      <c r="UVG754" s="574"/>
      <c r="UVH754" s="574"/>
      <c r="UVI754" s="574"/>
      <c r="UVJ754" s="574"/>
      <c r="UVK754" s="574"/>
      <c r="UVL754" s="574"/>
      <c r="UVM754" s="574"/>
      <c r="UVN754" s="574"/>
      <c r="UVO754" s="574"/>
      <c r="UVP754" s="574"/>
      <c r="UVQ754" s="574"/>
      <c r="UVR754" s="574"/>
      <c r="UVS754" s="574"/>
      <c r="UVT754" s="574"/>
      <c r="UVU754" s="574"/>
      <c r="UVV754" s="574"/>
      <c r="UVW754" s="574"/>
      <c r="UVX754" s="574"/>
      <c r="UVY754" s="574"/>
      <c r="UVZ754" s="574"/>
      <c r="UWA754" s="574"/>
      <c r="UWB754" s="574"/>
      <c r="UWC754" s="574"/>
      <c r="UWD754" s="574"/>
      <c r="UWE754" s="574"/>
      <c r="UWF754" s="574"/>
      <c r="UWG754" s="574"/>
      <c r="UWH754" s="574"/>
      <c r="UWI754" s="574"/>
      <c r="UWJ754" s="574"/>
      <c r="UWK754" s="574"/>
      <c r="UWL754" s="574"/>
      <c r="UWM754" s="574"/>
      <c r="UWN754" s="574"/>
      <c r="UWO754" s="574"/>
      <c r="UWP754" s="574"/>
      <c r="UWQ754" s="574"/>
      <c r="UWR754" s="574"/>
      <c r="UWS754" s="574"/>
      <c r="UWT754" s="574"/>
      <c r="UWU754" s="574"/>
      <c r="UWV754" s="574"/>
      <c r="UWW754" s="574"/>
      <c r="UWX754" s="574"/>
      <c r="UWY754" s="574"/>
      <c r="UWZ754" s="574"/>
      <c r="UXA754" s="574"/>
      <c r="UXB754" s="574"/>
      <c r="UXC754" s="574"/>
      <c r="UXD754" s="574"/>
      <c r="UXE754" s="574"/>
      <c r="UXF754" s="574"/>
      <c r="UXG754" s="574"/>
      <c r="UXH754" s="574"/>
      <c r="UXI754" s="574"/>
      <c r="UXJ754" s="574"/>
      <c r="UXK754" s="574"/>
      <c r="UXL754" s="574"/>
      <c r="UXM754" s="574"/>
      <c r="UXN754" s="574"/>
      <c r="UXO754" s="574"/>
      <c r="UXP754" s="574"/>
      <c r="UXQ754" s="574"/>
      <c r="UXR754" s="574"/>
      <c r="UXS754" s="574"/>
      <c r="UXT754" s="574"/>
      <c r="UXU754" s="574"/>
      <c r="UXV754" s="574"/>
      <c r="UXW754" s="574"/>
      <c r="UXX754" s="574"/>
      <c r="UXY754" s="574"/>
      <c r="UXZ754" s="574"/>
      <c r="UYA754" s="574"/>
      <c r="UYB754" s="574"/>
      <c r="UYC754" s="574"/>
      <c r="UYD754" s="574"/>
      <c r="UYE754" s="574"/>
      <c r="UYF754" s="574"/>
      <c r="UYG754" s="574"/>
      <c r="UYH754" s="574"/>
      <c r="UYI754" s="574"/>
      <c r="UYJ754" s="574"/>
      <c r="UYK754" s="574"/>
      <c r="UYL754" s="574"/>
      <c r="UYM754" s="574"/>
      <c r="UYN754" s="574"/>
      <c r="UYO754" s="574"/>
      <c r="UYP754" s="574"/>
      <c r="UYQ754" s="574"/>
      <c r="UYR754" s="574"/>
      <c r="UYS754" s="574"/>
      <c r="UYT754" s="574"/>
      <c r="UYU754" s="574"/>
      <c r="UYV754" s="574"/>
      <c r="UYW754" s="574"/>
      <c r="UYX754" s="574"/>
      <c r="UYY754" s="574"/>
      <c r="UYZ754" s="574"/>
      <c r="UZA754" s="574"/>
      <c r="UZB754" s="574"/>
      <c r="UZC754" s="574"/>
      <c r="UZD754" s="574"/>
      <c r="UZE754" s="574"/>
      <c r="UZF754" s="574"/>
      <c r="UZG754" s="574"/>
      <c r="UZH754" s="574"/>
      <c r="UZI754" s="574"/>
      <c r="UZJ754" s="574"/>
      <c r="UZK754" s="574"/>
      <c r="UZL754" s="574"/>
      <c r="UZM754" s="574"/>
      <c r="UZN754" s="574"/>
      <c r="UZO754" s="574"/>
      <c r="UZP754" s="574"/>
      <c r="UZQ754" s="574"/>
      <c r="UZR754" s="574"/>
      <c r="UZS754" s="574"/>
      <c r="UZT754" s="574"/>
      <c r="UZU754" s="574"/>
      <c r="UZV754" s="574"/>
      <c r="UZW754" s="574"/>
      <c r="UZX754" s="574"/>
      <c r="UZY754" s="574"/>
      <c r="UZZ754" s="574"/>
      <c r="VAA754" s="574"/>
      <c r="VAB754" s="574"/>
      <c r="VAC754" s="574"/>
      <c r="VAD754" s="574"/>
      <c r="VAE754" s="574"/>
      <c r="VAF754" s="574"/>
      <c r="VAG754" s="574"/>
      <c r="VAH754" s="574"/>
      <c r="VAI754" s="574"/>
      <c r="VAJ754" s="574"/>
      <c r="VAK754" s="574"/>
      <c r="VAL754" s="574"/>
      <c r="VAM754" s="574"/>
      <c r="VAN754" s="574"/>
      <c r="VAO754" s="574"/>
      <c r="VAP754" s="574"/>
      <c r="VAQ754" s="574"/>
      <c r="VAR754" s="574"/>
      <c r="VAS754" s="574"/>
      <c r="VAT754" s="574"/>
      <c r="VAU754" s="574"/>
      <c r="VAV754" s="574"/>
      <c r="VAW754" s="574"/>
      <c r="VAX754" s="574"/>
      <c r="VAY754" s="574"/>
      <c r="VAZ754" s="574"/>
      <c r="VBA754" s="574"/>
      <c r="VBB754" s="574"/>
      <c r="VBC754" s="574"/>
      <c r="VBD754" s="574"/>
      <c r="VBE754" s="574"/>
      <c r="VBF754" s="574"/>
      <c r="VBG754" s="574"/>
      <c r="VBH754" s="574"/>
      <c r="VBI754" s="574"/>
      <c r="VBJ754" s="574"/>
      <c r="VBK754" s="574"/>
      <c r="VBL754" s="574"/>
      <c r="VBM754" s="574"/>
      <c r="VBN754" s="574"/>
      <c r="VBO754" s="574"/>
      <c r="VBP754" s="574"/>
      <c r="VBQ754" s="574"/>
      <c r="VBR754" s="574"/>
      <c r="VBS754" s="574"/>
      <c r="VBT754" s="574"/>
      <c r="VBU754" s="574"/>
      <c r="VBV754" s="574"/>
      <c r="VBW754" s="574"/>
      <c r="VBX754" s="574"/>
      <c r="VBY754" s="574"/>
      <c r="VBZ754" s="574"/>
      <c r="VCA754" s="574"/>
      <c r="VCB754" s="574"/>
      <c r="VCC754" s="574"/>
      <c r="VCD754" s="574"/>
      <c r="VCE754" s="574"/>
      <c r="VCF754" s="574"/>
      <c r="VCG754" s="574"/>
      <c r="VCH754" s="574"/>
      <c r="VCI754" s="574"/>
      <c r="VCJ754" s="574"/>
      <c r="VCK754" s="574"/>
      <c r="VCL754" s="574"/>
      <c r="VCM754" s="574"/>
      <c r="VCN754" s="574"/>
      <c r="VCO754" s="574"/>
      <c r="VCP754" s="574"/>
      <c r="VCQ754" s="574"/>
      <c r="VCR754" s="574"/>
      <c r="VCS754" s="574"/>
      <c r="VCT754" s="574"/>
      <c r="VCU754" s="574"/>
      <c r="VCV754" s="574"/>
      <c r="VCW754" s="574"/>
      <c r="VCX754" s="574"/>
      <c r="VCY754" s="574"/>
      <c r="VCZ754" s="574"/>
      <c r="VDA754" s="574"/>
      <c r="VDB754" s="574"/>
      <c r="VDC754" s="574"/>
      <c r="VDD754" s="574"/>
      <c r="VDE754" s="574"/>
      <c r="VDF754" s="574"/>
      <c r="VDG754" s="574"/>
      <c r="VDH754" s="574"/>
      <c r="VDI754" s="574"/>
      <c r="VDJ754" s="574"/>
      <c r="VDK754" s="574"/>
      <c r="VDL754" s="574"/>
      <c r="VDM754" s="574"/>
      <c r="VDN754" s="574"/>
      <c r="VDO754" s="574"/>
      <c r="VDP754" s="574"/>
      <c r="VDQ754" s="574"/>
      <c r="VDR754" s="574"/>
      <c r="VDS754" s="574"/>
      <c r="VDT754" s="574"/>
      <c r="VDU754" s="574"/>
      <c r="VDV754" s="574"/>
      <c r="VDW754" s="574"/>
      <c r="VDX754" s="574"/>
      <c r="VDY754" s="574"/>
      <c r="VDZ754" s="574"/>
      <c r="VEA754" s="574"/>
      <c r="VEB754" s="574"/>
      <c r="VEC754" s="574"/>
      <c r="VED754" s="574"/>
      <c r="VEE754" s="574"/>
      <c r="VEF754" s="574"/>
      <c r="VEG754" s="574"/>
      <c r="VEH754" s="574"/>
      <c r="VEI754" s="574"/>
      <c r="VEJ754" s="574"/>
      <c r="VEK754" s="574"/>
      <c r="VEL754" s="574"/>
      <c r="VEM754" s="574"/>
      <c r="VEN754" s="574"/>
      <c r="VEO754" s="574"/>
      <c r="VEP754" s="574"/>
      <c r="VEQ754" s="574"/>
      <c r="VER754" s="574"/>
      <c r="VES754" s="574"/>
      <c r="VET754" s="574"/>
      <c r="VEU754" s="574"/>
      <c r="VEV754" s="574"/>
      <c r="VEW754" s="574"/>
      <c r="VEX754" s="574"/>
      <c r="VEY754" s="574"/>
      <c r="VEZ754" s="574"/>
      <c r="VFA754" s="574"/>
      <c r="VFB754" s="574"/>
      <c r="VFC754" s="574"/>
      <c r="VFD754" s="574"/>
      <c r="VFE754" s="574"/>
      <c r="VFF754" s="574"/>
      <c r="VFG754" s="574"/>
      <c r="VFH754" s="574"/>
      <c r="VFI754" s="574"/>
      <c r="VFJ754" s="574"/>
      <c r="VFK754" s="574"/>
      <c r="VFL754" s="574"/>
      <c r="VFM754" s="574"/>
      <c r="VFN754" s="574"/>
      <c r="VFO754" s="574"/>
      <c r="VFP754" s="574"/>
      <c r="VFQ754" s="574"/>
      <c r="VFR754" s="574"/>
      <c r="VFS754" s="574"/>
      <c r="VFT754" s="574"/>
      <c r="VFU754" s="574"/>
      <c r="VFV754" s="574"/>
      <c r="VFW754" s="574"/>
      <c r="VFX754" s="574"/>
      <c r="VFY754" s="574"/>
      <c r="VFZ754" s="574"/>
      <c r="VGA754" s="574"/>
      <c r="VGB754" s="574"/>
      <c r="VGC754" s="574"/>
      <c r="VGD754" s="574"/>
      <c r="VGE754" s="574"/>
      <c r="VGF754" s="574"/>
      <c r="VGG754" s="574"/>
      <c r="VGH754" s="574"/>
      <c r="VGI754" s="574"/>
      <c r="VGJ754" s="574"/>
      <c r="VGK754" s="574"/>
      <c r="VGL754" s="574"/>
      <c r="VGM754" s="574"/>
      <c r="VGN754" s="574"/>
      <c r="VGO754" s="574"/>
      <c r="VGP754" s="574"/>
      <c r="VGQ754" s="574"/>
      <c r="VGR754" s="574"/>
      <c r="VGS754" s="574"/>
      <c r="VGT754" s="574"/>
      <c r="VGU754" s="574"/>
      <c r="VGV754" s="574"/>
      <c r="VGW754" s="574"/>
      <c r="VGX754" s="574"/>
      <c r="VGY754" s="574"/>
      <c r="VGZ754" s="574"/>
      <c r="VHA754" s="574"/>
      <c r="VHB754" s="574"/>
      <c r="VHC754" s="574"/>
      <c r="VHD754" s="574"/>
      <c r="VHE754" s="574"/>
      <c r="VHF754" s="574"/>
      <c r="VHG754" s="574"/>
      <c r="VHH754" s="574"/>
      <c r="VHI754" s="574"/>
      <c r="VHJ754" s="574"/>
      <c r="VHK754" s="574"/>
      <c r="VHL754" s="574"/>
      <c r="VHM754" s="574"/>
      <c r="VHN754" s="574"/>
      <c r="VHO754" s="574"/>
      <c r="VHP754" s="574"/>
      <c r="VHQ754" s="574"/>
      <c r="VHR754" s="574"/>
      <c r="VHS754" s="574"/>
      <c r="VHT754" s="574"/>
      <c r="VHU754" s="574"/>
      <c r="VHV754" s="574"/>
      <c r="VHW754" s="574"/>
      <c r="VHX754" s="574"/>
      <c r="VHY754" s="574"/>
      <c r="VHZ754" s="574"/>
      <c r="VIA754" s="574"/>
      <c r="VIB754" s="574"/>
      <c r="VIC754" s="574"/>
      <c r="VID754" s="574"/>
      <c r="VIE754" s="574"/>
      <c r="VIF754" s="574"/>
      <c r="VIG754" s="574"/>
      <c r="VIH754" s="574"/>
      <c r="VII754" s="574"/>
      <c r="VIJ754" s="574"/>
      <c r="VIK754" s="574"/>
      <c r="VIL754" s="574"/>
      <c r="VIM754" s="574"/>
      <c r="VIN754" s="574"/>
      <c r="VIO754" s="574"/>
      <c r="VIP754" s="574"/>
      <c r="VIQ754" s="574"/>
      <c r="VIR754" s="574"/>
      <c r="VIS754" s="574"/>
      <c r="VIT754" s="574"/>
      <c r="VIU754" s="574"/>
      <c r="VIV754" s="574"/>
      <c r="VIW754" s="574"/>
      <c r="VIX754" s="574"/>
      <c r="VIY754" s="574"/>
      <c r="VIZ754" s="574"/>
      <c r="VJA754" s="574"/>
      <c r="VJB754" s="574"/>
      <c r="VJC754" s="574"/>
      <c r="VJD754" s="574"/>
      <c r="VJE754" s="574"/>
      <c r="VJF754" s="574"/>
      <c r="VJG754" s="574"/>
      <c r="VJH754" s="574"/>
      <c r="VJI754" s="574"/>
      <c r="VJJ754" s="574"/>
      <c r="VJK754" s="574"/>
      <c r="VJL754" s="574"/>
      <c r="VJM754" s="574"/>
      <c r="VJN754" s="574"/>
      <c r="VJO754" s="574"/>
      <c r="VJP754" s="574"/>
      <c r="VJQ754" s="574"/>
      <c r="VJR754" s="574"/>
      <c r="VJS754" s="574"/>
      <c r="VJT754" s="574"/>
      <c r="VJU754" s="574"/>
      <c r="VJV754" s="574"/>
      <c r="VJW754" s="574"/>
      <c r="VJX754" s="574"/>
      <c r="VJY754" s="574"/>
      <c r="VJZ754" s="574"/>
      <c r="VKA754" s="574"/>
      <c r="VKB754" s="574"/>
      <c r="VKC754" s="574"/>
      <c r="VKD754" s="574"/>
      <c r="VKE754" s="574"/>
      <c r="VKF754" s="574"/>
      <c r="VKG754" s="574"/>
      <c r="VKH754" s="574"/>
      <c r="VKI754" s="574"/>
      <c r="VKJ754" s="574"/>
      <c r="VKK754" s="574"/>
      <c r="VKL754" s="574"/>
      <c r="VKM754" s="574"/>
      <c r="VKN754" s="574"/>
      <c r="VKO754" s="574"/>
      <c r="VKP754" s="574"/>
      <c r="VKQ754" s="574"/>
      <c r="VKR754" s="574"/>
      <c r="VKS754" s="574"/>
      <c r="VKT754" s="574"/>
      <c r="VKU754" s="574"/>
      <c r="VKV754" s="574"/>
      <c r="VKW754" s="574"/>
      <c r="VKX754" s="574"/>
      <c r="VKY754" s="574"/>
      <c r="VKZ754" s="574"/>
      <c r="VLA754" s="574"/>
      <c r="VLB754" s="574"/>
      <c r="VLC754" s="574"/>
      <c r="VLD754" s="574"/>
      <c r="VLE754" s="574"/>
      <c r="VLF754" s="574"/>
      <c r="VLG754" s="574"/>
      <c r="VLH754" s="574"/>
      <c r="VLI754" s="574"/>
      <c r="VLJ754" s="574"/>
      <c r="VLK754" s="574"/>
      <c r="VLL754" s="574"/>
      <c r="VLM754" s="574"/>
      <c r="VLN754" s="574"/>
      <c r="VLO754" s="574"/>
      <c r="VLP754" s="574"/>
      <c r="VLQ754" s="574"/>
      <c r="VLR754" s="574"/>
      <c r="VLS754" s="574"/>
      <c r="VLT754" s="574"/>
      <c r="VLU754" s="574"/>
      <c r="VLV754" s="574"/>
      <c r="VLW754" s="574"/>
      <c r="VLX754" s="574"/>
      <c r="VLY754" s="574"/>
      <c r="VLZ754" s="574"/>
      <c r="VMA754" s="574"/>
      <c r="VMB754" s="574"/>
      <c r="VMC754" s="574"/>
      <c r="VMD754" s="574"/>
      <c r="VME754" s="574"/>
      <c r="VMF754" s="574"/>
      <c r="VMG754" s="574"/>
      <c r="VMH754" s="574"/>
      <c r="VMI754" s="574"/>
      <c r="VMJ754" s="574"/>
      <c r="VMK754" s="574"/>
      <c r="VML754" s="574"/>
      <c r="VMM754" s="574"/>
      <c r="VMN754" s="574"/>
      <c r="VMO754" s="574"/>
      <c r="VMP754" s="574"/>
      <c r="VMQ754" s="574"/>
      <c r="VMR754" s="574"/>
      <c r="VMS754" s="574"/>
      <c r="VMT754" s="574"/>
      <c r="VMU754" s="574"/>
      <c r="VMV754" s="574"/>
      <c r="VMW754" s="574"/>
      <c r="VMX754" s="574"/>
      <c r="VMY754" s="574"/>
      <c r="VMZ754" s="574"/>
      <c r="VNA754" s="574"/>
      <c r="VNB754" s="574"/>
      <c r="VNC754" s="574"/>
      <c r="VND754" s="574"/>
      <c r="VNE754" s="574"/>
      <c r="VNF754" s="574"/>
      <c r="VNG754" s="574"/>
      <c r="VNH754" s="574"/>
      <c r="VNI754" s="574"/>
      <c r="VNJ754" s="574"/>
      <c r="VNK754" s="574"/>
      <c r="VNL754" s="574"/>
      <c r="VNM754" s="574"/>
      <c r="VNN754" s="574"/>
      <c r="VNO754" s="574"/>
      <c r="VNP754" s="574"/>
      <c r="VNQ754" s="574"/>
      <c r="VNR754" s="574"/>
      <c r="VNS754" s="574"/>
      <c r="VNT754" s="574"/>
      <c r="VNU754" s="574"/>
      <c r="VNV754" s="574"/>
      <c r="VNW754" s="574"/>
      <c r="VNX754" s="574"/>
      <c r="VNY754" s="574"/>
      <c r="VNZ754" s="574"/>
      <c r="VOA754" s="574"/>
      <c r="VOB754" s="574"/>
      <c r="VOC754" s="574"/>
      <c r="VOD754" s="574"/>
      <c r="VOE754" s="574"/>
      <c r="VOF754" s="574"/>
      <c r="VOG754" s="574"/>
      <c r="VOH754" s="574"/>
      <c r="VOI754" s="574"/>
      <c r="VOJ754" s="574"/>
      <c r="VOK754" s="574"/>
      <c r="VOL754" s="574"/>
      <c r="VOM754" s="574"/>
      <c r="VON754" s="574"/>
      <c r="VOO754" s="574"/>
      <c r="VOP754" s="574"/>
      <c r="VOQ754" s="574"/>
      <c r="VOR754" s="574"/>
      <c r="VOS754" s="574"/>
      <c r="VOT754" s="574"/>
      <c r="VOU754" s="574"/>
      <c r="VOV754" s="574"/>
      <c r="VOW754" s="574"/>
      <c r="VOX754" s="574"/>
      <c r="VOY754" s="574"/>
      <c r="VOZ754" s="574"/>
      <c r="VPA754" s="574"/>
      <c r="VPB754" s="574"/>
      <c r="VPC754" s="574"/>
      <c r="VPD754" s="574"/>
      <c r="VPE754" s="574"/>
      <c r="VPF754" s="574"/>
      <c r="VPG754" s="574"/>
      <c r="VPH754" s="574"/>
      <c r="VPI754" s="574"/>
      <c r="VPJ754" s="574"/>
      <c r="VPK754" s="574"/>
      <c r="VPL754" s="574"/>
      <c r="VPM754" s="574"/>
      <c r="VPN754" s="574"/>
      <c r="VPO754" s="574"/>
      <c r="VPP754" s="574"/>
      <c r="VPQ754" s="574"/>
      <c r="VPR754" s="574"/>
      <c r="VPS754" s="574"/>
      <c r="VPT754" s="574"/>
      <c r="VPU754" s="574"/>
      <c r="VPV754" s="574"/>
      <c r="VPW754" s="574"/>
      <c r="VPX754" s="574"/>
      <c r="VPY754" s="574"/>
      <c r="VPZ754" s="574"/>
      <c r="VQA754" s="574"/>
      <c r="VQB754" s="574"/>
      <c r="VQC754" s="574"/>
      <c r="VQD754" s="574"/>
      <c r="VQE754" s="574"/>
      <c r="VQF754" s="574"/>
      <c r="VQG754" s="574"/>
      <c r="VQH754" s="574"/>
      <c r="VQI754" s="574"/>
      <c r="VQJ754" s="574"/>
      <c r="VQK754" s="574"/>
      <c r="VQL754" s="574"/>
      <c r="VQM754" s="574"/>
      <c r="VQN754" s="574"/>
      <c r="VQO754" s="574"/>
      <c r="VQP754" s="574"/>
      <c r="VQQ754" s="574"/>
      <c r="VQR754" s="574"/>
      <c r="VQS754" s="574"/>
      <c r="VQT754" s="574"/>
      <c r="VQU754" s="574"/>
      <c r="VQV754" s="574"/>
      <c r="VQW754" s="574"/>
      <c r="VQX754" s="574"/>
      <c r="VQY754" s="574"/>
      <c r="VQZ754" s="574"/>
      <c r="VRA754" s="574"/>
      <c r="VRB754" s="574"/>
      <c r="VRC754" s="574"/>
      <c r="VRD754" s="574"/>
      <c r="VRE754" s="574"/>
      <c r="VRF754" s="574"/>
      <c r="VRG754" s="574"/>
      <c r="VRH754" s="574"/>
      <c r="VRI754" s="574"/>
      <c r="VRJ754" s="574"/>
      <c r="VRK754" s="574"/>
      <c r="VRL754" s="574"/>
      <c r="VRM754" s="574"/>
      <c r="VRN754" s="574"/>
      <c r="VRO754" s="574"/>
      <c r="VRP754" s="574"/>
      <c r="VRQ754" s="574"/>
      <c r="VRR754" s="574"/>
      <c r="VRS754" s="574"/>
      <c r="VRT754" s="574"/>
      <c r="VRU754" s="574"/>
      <c r="VRV754" s="574"/>
      <c r="VRW754" s="574"/>
      <c r="VRX754" s="574"/>
      <c r="VRY754" s="574"/>
      <c r="VRZ754" s="574"/>
      <c r="VSA754" s="574"/>
      <c r="VSB754" s="574"/>
      <c r="VSC754" s="574"/>
      <c r="VSD754" s="574"/>
      <c r="VSE754" s="574"/>
      <c r="VSF754" s="574"/>
      <c r="VSG754" s="574"/>
      <c r="VSH754" s="574"/>
      <c r="VSI754" s="574"/>
      <c r="VSJ754" s="574"/>
      <c r="VSK754" s="574"/>
      <c r="VSL754" s="574"/>
      <c r="VSM754" s="574"/>
      <c r="VSN754" s="574"/>
      <c r="VSO754" s="574"/>
      <c r="VSP754" s="574"/>
      <c r="VSQ754" s="574"/>
      <c r="VSR754" s="574"/>
      <c r="VSS754" s="574"/>
      <c r="VST754" s="574"/>
      <c r="VSU754" s="574"/>
      <c r="VSV754" s="574"/>
      <c r="VSW754" s="574"/>
      <c r="VSX754" s="574"/>
      <c r="VSY754" s="574"/>
      <c r="VSZ754" s="574"/>
      <c r="VTA754" s="574"/>
      <c r="VTB754" s="574"/>
      <c r="VTC754" s="574"/>
      <c r="VTD754" s="574"/>
      <c r="VTE754" s="574"/>
      <c r="VTF754" s="574"/>
      <c r="VTG754" s="574"/>
      <c r="VTH754" s="574"/>
      <c r="VTI754" s="574"/>
      <c r="VTJ754" s="574"/>
      <c r="VTK754" s="574"/>
      <c r="VTL754" s="574"/>
      <c r="VTM754" s="574"/>
      <c r="VTN754" s="574"/>
      <c r="VTO754" s="574"/>
      <c r="VTP754" s="574"/>
      <c r="VTQ754" s="574"/>
      <c r="VTR754" s="574"/>
      <c r="VTS754" s="574"/>
      <c r="VTT754" s="574"/>
      <c r="VTU754" s="574"/>
      <c r="VTV754" s="574"/>
      <c r="VTW754" s="574"/>
      <c r="VTX754" s="574"/>
      <c r="VTY754" s="574"/>
      <c r="VTZ754" s="574"/>
      <c r="VUA754" s="574"/>
      <c r="VUB754" s="574"/>
      <c r="VUC754" s="574"/>
      <c r="VUD754" s="574"/>
      <c r="VUE754" s="574"/>
      <c r="VUF754" s="574"/>
      <c r="VUG754" s="574"/>
      <c r="VUH754" s="574"/>
      <c r="VUI754" s="574"/>
      <c r="VUJ754" s="574"/>
      <c r="VUK754" s="574"/>
      <c r="VUL754" s="574"/>
      <c r="VUM754" s="574"/>
      <c r="VUN754" s="574"/>
      <c r="VUO754" s="574"/>
      <c r="VUP754" s="574"/>
      <c r="VUQ754" s="574"/>
      <c r="VUR754" s="574"/>
      <c r="VUS754" s="574"/>
      <c r="VUT754" s="574"/>
      <c r="VUU754" s="574"/>
      <c r="VUV754" s="574"/>
      <c r="VUW754" s="574"/>
      <c r="VUX754" s="574"/>
      <c r="VUY754" s="574"/>
      <c r="VUZ754" s="574"/>
      <c r="VVA754" s="574"/>
      <c r="VVB754" s="574"/>
      <c r="VVC754" s="574"/>
      <c r="VVD754" s="574"/>
      <c r="VVE754" s="574"/>
      <c r="VVF754" s="574"/>
      <c r="VVG754" s="574"/>
      <c r="VVH754" s="574"/>
      <c r="VVI754" s="574"/>
      <c r="VVJ754" s="574"/>
      <c r="VVK754" s="574"/>
      <c r="VVL754" s="574"/>
      <c r="VVM754" s="574"/>
      <c r="VVN754" s="574"/>
      <c r="VVO754" s="574"/>
      <c r="VVP754" s="574"/>
      <c r="VVQ754" s="574"/>
      <c r="VVR754" s="574"/>
      <c r="VVS754" s="574"/>
      <c r="VVT754" s="574"/>
      <c r="VVU754" s="574"/>
      <c r="VVV754" s="574"/>
      <c r="VVW754" s="574"/>
      <c r="VVX754" s="574"/>
      <c r="VVY754" s="574"/>
      <c r="VVZ754" s="574"/>
      <c r="VWA754" s="574"/>
      <c r="VWB754" s="574"/>
      <c r="VWC754" s="574"/>
      <c r="VWD754" s="574"/>
      <c r="VWE754" s="574"/>
      <c r="VWF754" s="574"/>
      <c r="VWG754" s="574"/>
      <c r="VWH754" s="574"/>
      <c r="VWI754" s="574"/>
      <c r="VWJ754" s="574"/>
      <c r="VWK754" s="574"/>
      <c r="VWL754" s="574"/>
      <c r="VWM754" s="574"/>
      <c r="VWN754" s="574"/>
      <c r="VWO754" s="574"/>
      <c r="VWP754" s="574"/>
      <c r="VWQ754" s="574"/>
      <c r="VWR754" s="574"/>
      <c r="VWS754" s="574"/>
      <c r="VWT754" s="574"/>
      <c r="VWU754" s="574"/>
      <c r="VWV754" s="574"/>
      <c r="VWW754" s="574"/>
      <c r="VWX754" s="574"/>
      <c r="VWY754" s="574"/>
      <c r="VWZ754" s="574"/>
      <c r="VXA754" s="574"/>
      <c r="VXB754" s="574"/>
      <c r="VXC754" s="574"/>
      <c r="VXD754" s="574"/>
      <c r="VXE754" s="574"/>
      <c r="VXF754" s="574"/>
      <c r="VXG754" s="574"/>
      <c r="VXH754" s="574"/>
      <c r="VXI754" s="574"/>
      <c r="VXJ754" s="574"/>
      <c r="VXK754" s="574"/>
      <c r="VXL754" s="574"/>
      <c r="VXM754" s="574"/>
      <c r="VXN754" s="574"/>
      <c r="VXO754" s="574"/>
      <c r="VXP754" s="574"/>
      <c r="VXQ754" s="574"/>
      <c r="VXR754" s="574"/>
      <c r="VXS754" s="574"/>
      <c r="VXT754" s="574"/>
      <c r="VXU754" s="574"/>
      <c r="VXV754" s="574"/>
      <c r="VXW754" s="574"/>
      <c r="VXX754" s="574"/>
      <c r="VXY754" s="574"/>
      <c r="VXZ754" s="574"/>
      <c r="VYA754" s="574"/>
      <c r="VYB754" s="574"/>
      <c r="VYC754" s="574"/>
      <c r="VYD754" s="574"/>
      <c r="VYE754" s="574"/>
      <c r="VYF754" s="574"/>
      <c r="VYG754" s="574"/>
      <c r="VYH754" s="574"/>
      <c r="VYI754" s="574"/>
      <c r="VYJ754" s="574"/>
      <c r="VYK754" s="574"/>
      <c r="VYL754" s="574"/>
      <c r="VYM754" s="574"/>
      <c r="VYN754" s="574"/>
      <c r="VYO754" s="574"/>
      <c r="VYP754" s="574"/>
      <c r="VYQ754" s="574"/>
      <c r="VYR754" s="574"/>
      <c r="VYS754" s="574"/>
      <c r="VYT754" s="574"/>
      <c r="VYU754" s="574"/>
      <c r="VYV754" s="574"/>
      <c r="VYW754" s="574"/>
      <c r="VYX754" s="574"/>
      <c r="VYY754" s="574"/>
      <c r="VYZ754" s="574"/>
      <c r="VZA754" s="574"/>
      <c r="VZB754" s="574"/>
      <c r="VZC754" s="574"/>
      <c r="VZD754" s="574"/>
      <c r="VZE754" s="574"/>
      <c r="VZF754" s="574"/>
      <c r="VZG754" s="574"/>
      <c r="VZH754" s="574"/>
      <c r="VZI754" s="574"/>
      <c r="VZJ754" s="574"/>
      <c r="VZK754" s="574"/>
      <c r="VZL754" s="574"/>
      <c r="VZM754" s="574"/>
      <c r="VZN754" s="574"/>
      <c r="VZO754" s="574"/>
      <c r="VZP754" s="574"/>
      <c r="VZQ754" s="574"/>
      <c r="VZR754" s="574"/>
      <c r="VZS754" s="574"/>
      <c r="VZT754" s="574"/>
      <c r="VZU754" s="574"/>
      <c r="VZV754" s="574"/>
      <c r="VZW754" s="574"/>
      <c r="VZX754" s="574"/>
      <c r="VZY754" s="574"/>
      <c r="VZZ754" s="574"/>
      <c r="WAA754" s="574"/>
      <c r="WAB754" s="574"/>
      <c r="WAC754" s="574"/>
      <c r="WAD754" s="574"/>
      <c r="WAE754" s="574"/>
      <c r="WAF754" s="574"/>
      <c r="WAG754" s="574"/>
      <c r="WAH754" s="574"/>
      <c r="WAI754" s="574"/>
      <c r="WAJ754" s="574"/>
      <c r="WAK754" s="574"/>
      <c r="WAL754" s="574"/>
      <c r="WAM754" s="574"/>
      <c r="WAN754" s="574"/>
      <c r="WAO754" s="574"/>
      <c r="WAP754" s="574"/>
      <c r="WAQ754" s="574"/>
      <c r="WAR754" s="574"/>
      <c r="WAS754" s="574"/>
      <c r="WAT754" s="574"/>
      <c r="WAU754" s="574"/>
      <c r="WAV754" s="574"/>
      <c r="WAW754" s="574"/>
      <c r="WAX754" s="574"/>
      <c r="WAY754" s="574"/>
      <c r="WAZ754" s="574"/>
      <c r="WBA754" s="574"/>
      <c r="WBB754" s="574"/>
      <c r="WBC754" s="574"/>
      <c r="WBD754" s="574"/>
      <c r="WBE754" s="574"/>
      <c r="WBF754" s="574"/>
      <c r="WBG754" s="574"/>
      <c r="WBH754" s="574"/>
      <c r="WBI754" s="574"/>
      <c r="WBJ754" s="574"/>
      <c r="WBK754" s="574"/>
      <c r="WBL754" s="574"/>
      <c r="WBM754" s="574"/>
      <c r="WBN754" s="574"/>
      <c r="WBO754" s="574"/>
      <c r="WBP754" s="574"/>
      <c r="WBQ754" s="574"/>
      <c r="WBR754" s="574"/>
      <c r="WBS754" s="574"/>
      <c r="WBT754" s="574"/>
      <c r="WBU754" s="574"/>
      <c r="WBV754" s="574"/>
      <c r="WBW754" s="574"/>
      <c r="WBX754" s="574"/>
      <c r="WBY754" s="574"/>
      <c r="WBZ754" s="574"/>
      <c r="WCA754" s="574"/>
      <c r="WCB754" s="574"/>
      <c r="WCC754" s="574"/>
      <c r="WCD754" s="574"/>
      <c r="WCE754" s="574"/>
      <c r="WCF754" s="574"/>
      <c r="WCG754" s="574"/>
      <c r="WCH754" s="574"/>
      <c r="WCI754" s="574"/>
      <c r="WCJ754" s="574"/>
      <c r="WCK754" s="574"/>
      <c r="WCL754" s="574"/>
      <c r="WCM754" s="574"/>
      <c r="WCN754" s="574"/>
      <c r="WCO754" s="574"/>
      <c r="WCP754" s="574"/>
      <c r="WCQ754" s="574"/>
      <c r="WCR754" s="574"/>
      <c r="WCS754" s="574"/>
      <c r="WCT754" s="574"/>
      <c r="WCU754" s="574"/>
      <c r="WCV754" s="574"/>
      <c r="WCW754" s="574"/>
      <c r="WCX754" s="574"/>
      <c r="WCY754" s="574"/>
      <c r="WCZ754" s="574"/>
      <c r="WDA754" s="574"/>
      <c r="WDB754" s="574"/>
      <c r="WDC754" s="574"/>
      <c r="WDD754" s="574"/>
      <c r="WDE754" s="574"/>
      <c r="WDF754" s="574"/>
      <c r="WDG754" s="574"/>
      <c r="WDH754" s="574"/>
      <c r="WDI754" s="574"/>
      <c r="WDJ754" s="574"/>
      <c r="WDK754" s="574"/>
      <c r="WDL754" s="574"/>
      <c r="WDM754" s="574"/>
      <c r="WDN754" s="574"/>
      <c r="WDO754" s="574"/>
      <c r="WDP754" s="574"/>
      <c r="WDQ754" s="574"/>
      <c r="WDR754" s="574"/>
      <c r="WDS754" s="574"/>
      <c r="WDT754" s="574"/>
      <c r="WDU754" s="574"/>
      <c r="WDV754" s="574"/>
      <c r="WDW754" s="574"/>
      <c r="WDX754" s="574"/>
      <c r="WDY754" s="574"/>
      <c r="WDZ754" s="574"/>
      <c r="WEA754" s="574"/>
      <c r="WEB754" s="574"/>
      <c r="WEC754" s="574"/>
      <c r="WED754" s="574"/>
      <c r="WEE754" s="574"/>
      <c r="WEF754" s="574"/>
      <c r="WEG754" s="574"/>
      <c r="WEH754" s="574"/>
      <c r="WEI754" s="574"/>
      <c r="WEJ754" s="574"/>
      <c r="WEK754" s="574"/>
      <c r="WEL754" s="574"/>
      <c r="WEM754" s="574"/>
      <c r="WEN754" s="574"/>
      <c r="WEO754" s="574"/>
      <c r="WEP754" s="574"/>
      <c r="WEQ754" s="574"/>
      <c r="WER754" s="574"/>
      <c r="WES754" s="574"/>
      <c r="WET754" s="574"/>
      <c r="WEU754" s="574"/>
      <c r="WEV754" s="574"/>
      <c r="WEW754" s="574"/>
      <c r="WEX754" s="574"/>
      <c r="WEY754" s="574"/>
      <c r="WEZ754" s="574"/>
      <c r="WFA754" s="574"/>
      <c r="WFB754" s="574"/>
      <c r="WFC754" s="574"/>
      <c r="WFD754" s="574"/>
      <c r="WFE754" s="574"/>
      <c r="WFF754" s="574"/>
      <c r="WFG754" s="574"/>
      <c r="WFH754" s="574"/>
      <c r="WFI754" s="574"/>
      <c r="WFJ754" s="574"/>
      <c r="WFK754" s="574"/>
      <c r="WFL754" s="574"/>
      <c r="WFM754" s="574"/>
      <c r="WFN754" s="574"/>
      <c r="WFO754" s="574"/>
      <c r="WFP754" s="574"/>
      <c r="WFQ754" s="574"/>
      <c r="WFR754" s="574"/>
      <c r="WFS754" s="574"/>
      <c r="WFT754" s="574"/>
      <c r="WFU754" s="574"/>
      <c r="WFV754" s="574"/>
      <c r="WFW754" s="574"/>
      <c r="WFX754" s="574"/>
      <c r="WFY754" s="574"/>
      <c r="WFZ754" s="574"/>
      <c r="WGA754" s="574"/>
      <c r="WGB754" s="574"/>
      <c r="WGC754" s="574"/>
      <c r="WGD754" s="574"/>
      <c r="WGE754" s="574"/>
      <c r="WGF754" s="574"/>
      <c r="WGG754" s="574"/>
      <c r="WGH754" s="574"/>
      <c r="WGI754" s="574"/>
      <c r="WGJ754" s="574"/>
      <c r="WGK754" s="574"/>
      <c r="WGL754" s="574"/>
      <c r="WGM754" s="574"/>
      <c r="WGN754" s="574"/>
      <c r="WGO754" s="574"/>
      <c r="WGP754" s="574"/>
      <c r="WGQ754" s="574"/>
      <c r="WGR754" s="574"/>
      <c r="WGS754" s="574"/>
      <c r="WGT754" s="574"/>
      <c r="WGU754" s="574"/>
      <c r="WGV754" s="574"/>
      <c r="WGW754" s="574"/>
      <c r="WGX754" s="574"/>
      <c r="WGY754" s="574"/>
      <c r="WGZ754" s="574"/>
      <c r="WHA754" s="574"/>
      <c r="WHB754" s="574"/>
      <c r="WHC754" s="574"/>
      <c r="WHD754" s="574"/>
      <c r="WHE754" s="574"/>
      <c r="WHF754" s="574"/>
      <c r="WHG754" s="574"/>
      <c r="WHH754" s="574"/>
      <c r="WHI754" s="574"/>
      <c r="WHJ754" s="574"/>
      <c r="WHK754" s="574"/>
      <c r="WHL754" s="574"/>
      <c r="WHM754" s="574"/>
      <c r="WHN754" s="574"/>
      <c r="WHO754" s="574"/>
      <c r="WHP754" s="574"/>
      <c r="WHQ754" s="574"/>
      <c r="WHR754" s="574"/>
      <c r="WHS754" s="574"/>
      <c r="WHT754" s="574"/>
      <c r="WHU754" s="574"/>
      <c r="WHV754" s="574"/>
      <c r="WHW754" s="574"/>
      <c r="WHX754" s="574"/>
      <c r="WHY754" s="574"/>
      <c r="WHZ754" s="574"/>
      <c r="WIA754" s="574"/>
      <c r="WIB754" s="574"/>
      <c r="WIC754" s="574"/>
      <c r="WID754" s="574"/>
      <c r="WIE754" s="574"/>
      <c r="WIF754" s="574"/>
      <c r="WIG754" s="574"/>
      <c r="WIH754" s="574"/>
      <c r="WII754" s="574"/>
      <c r="WIJ754" s="574"/>
      <c r="WIK754" s="574"/>
      <c r="WIL754" s="574"/>
      <c r="WIM754" s="574"/>
      <c r="WIN754" s="574"/>
      <c r="WIO754" s="574"/>
      <c r="WIP754" s="574"/>
      <c r="WIQ754" s="574"/>
      <c r="WIR754" s="574"/>
      <c r="WIS754" s="574"/>
      <c r="WIT754" s="574"/>
      <c r="WIU754" s="574"/>
      <c r="WIV754" s="574"/>
      <c r="WIW754" s="574"/>
      <c r="WIX754" s="574"/>
      <c r="WIY754" s="574"/>
      <c r="WIZ754" s="574"/>
      <c r="WJA754" s="574"/>
      <c r="WJB754" s="574"/>
      <c r="WJC754" s="574"/>
      <c r="WJD754" s="574"/>
      <c r="WJE754" s="574"/>
      <c r="WJF754" s="574"/>
      <c r="WJG754" s="574"/>
      <c r="WJH754" s="574"/>
      <c r="WJI754" s="574"/>
      <c r="WJJ754" s="574"/>
      <c r="WJK754" s="574"/>
      <c r="WJL754" s="574"/>
      <c r="WJM754" s="574"/>
      <c r="WJN754" s="574"/>
      <c r="WJO754" s="574"/>
      <c r="WJP754" s="574"/>
      <c r="WJQ754" s="574"/>
      <c r="WJR754" s="574"/>
      <c r="WJS754" s="574"/>
      <c r="WJT754" s="574"/>
      <c r="WJU754" s="574"/>
      <c r="WJV754" s="574"/>
      <c r="WJW754" s="574"/>
      <c r="WJX754" s="574"/>
      <c r="WJY754" s="574"/>
      <c r="WJZ754" s="574"/>
      <c r="WKA754" s="574"/>
      <c r="WKB754" s="574"/>
      <c r="WKC754" s="574"/>
      <c r="WKD754" s="574"/>
      <c r="WKE754" s="574"/>
      <c r="WKF754" s="574"/>
      <c r="WKG754" s="574"/>
      <c r="WKH754" s="574"/>
      <c r="WKI754" s="574"/>
      <c r="WKJ754" s="574"/>
      <c r="WKK754" s="574"/>
      <c r="WKL754" s="574"/>
      <c r="WKM754" s="574"/>
      <c r="WKN754" s="574"/>
      <c r="WKO754" s="574"/>
      <c r="WKP754" s="574"/>
      <c r="WKQ754" s="574"/>
      <c r="WKR754" s="574"/>
      <c r="WKS754" s="574"/>
      <c r="WKT754" s="574"/>
      <c r="WKU754" s="574"/>
      <c r="WKV754" s="574"/>
      <c r="WKW754" s="574"/>
      <c r="WKX754" s="574"/>
      <c r="WKY754" s="574"/>
      <c r="WKZ754" s="574"/>
      <c r="WLA754" s="574"/>
      <c r="WLB754" s="574"/>
      <c r="WLC754" s="574"/>
      <c r="WLD754" s="574"/>
      <c r="WLE754" s="574"/>
      <c r="WLF754" s="574"/>
      <c r="WLG754" s="574"/>
      <c r="WLH754" s="574"/>
      <c r="WLI754" s="574"/>
      <c r="WLJ754" s="574"/>
      <c r="WLK754" s="574"/>
      <c r="WLL754" s="574"/>
      <c r="WLM754" s="574"/>
      <c r="WLN754" s="574"/>
      <c r="WLO754" s="574"/>
      <c r="WLP754" s="574"/>
      <c r="WLQ754" s="574"/>
      <c r="WLR754" s="574"/>
      <c r="WLS754" s="574"/>
      <c r="WLT754" s="574"/>
      <c r="WLU754" s="574"/>
      <c r="WLV754" s="574"/>
      <c r="WLW754" s="574"/>
      <c r="WLX754" s="574"/>
      <c r="WLY754" s="574"/>
      <c r="WLZ754" s="574"/>
      <c r="WMA754" s="574"/>
      <c r="WMB754" s="574"/>
      <c r="WMC754" s="574"/>
      <c r="WMD754" s="574"/>
      <c r="WME754" s="574"/>
      <c r="WMF754" s="574"/>
      <c r="WMG754" s="574"/>
      <c r="WMH754" s="574"/>
      <c r="WMI754" s="574"/>
      <c r="WMJ754" s="574"/>
      <c r="WMK754" s="574"/>
      <c r="WML754" s="574"/>
      <c r="WMM754" s="574"/>
      <c r="WMN754" s="574"/>
      <c r="WMO754" s="574"/>
      <c r="WMP754" s="574"/>
      <c r="WMQ754" s="574"/>
      <c r="WMR754" s="574"/>
      <c r="WMS754" s="574"/>
      <c r="WMT754" s="574"/>
      <c r="WMU754" s="574"/>
      <c r="WMV754" s="574"/>
      <c r="WMW754" s="574"/>
      <c r="WMX754" s="574"/>
      <c r="WMY754" s="574"/>
      <c r="WMZ754" s="574"/>
      <c r="WNA754" s="574"/>
      <c r="WNB754" s="574"/>
      <c r="WNC754" s="574"/>
      <c r="WND754" s="574"/>
      <c r="WNE754" s="574"/>
      <c r="WNF754" s="574"/>
      <c r="WNG754" s="574"/>
      <c r="WNH754" s="574"/>
      <c r="WNI754" s="574"/>
      <c r="WNJ754" s="574"/>
      <c r="WNK754" s="574"/>
      <c r="WNL754" s="574"/>
      <c r="WNM754" s="574"/>
      <c r="WNN754" s="574"/>
      <c r="WNO754" s="574"/>
      <c r="WNP754" s="574"/>
      <c r="WNQ754" s="574"/>
      <c r="WNR754" s="574"/>
      <c r="WNS754" s="574"/>
      <c r="WNT754" s="574"/>
      <c r="WNU754" s="574"/>
      <c r="WNV754" s="574"/>
      <c r="WNW754" s="574"/>
      <c r="WNX754" s="574"/>
      <c r="WNY754" s="574"/>
      <c r="WNZ754" s="574"/>
      <c r="WOA754" s="574"/>
      <c r="WOB754" s="574"/>
      <c r="WOC754" s="574"/>
      <c r="WOD754" s="574"/>
      <c r="WOE754" s="574"/>
      <c r="WOF754" s="574"/>
      <c r="WOG754" s="574"/>
      <c r="WOH754" s="574"/>
      <c r="WOI754" s="574"/>
      <c r="WOJ754" s="574"/>
      <c r="WOK754" s="574"/>
      <c r="WOL754" s="574"/>
      <c r="WOM754" s="574"/>
      <c r="WON754" s="574"/>
      <c r="WOO754" s="574"/>
      <c r="WOP754" s="574"/>
      <c r="WOQ754" s="574"/>
      <c r="WOR754" s="574"/>
      <c r="WOS754" s="574"/>
      <c r="WOT754" s="574"/>
      <c r="WOU754" s="574"/>
      <c r="WOV754" s="574"/>
      <c r="WOW754" s="574"/>
      <c r="WOX754" s="574"/>
      <c r="WOY754" s="574"/>
      <c r="WOZ754" s="574"/>
      <c r="WPA754" s="574"/>
      <c r="WPB754" s="574"/>
      <c r="WPC754" s="574"/>
      <c r="WPD754" s="574"/>
      <c r="WPE754" s="574"/>
      <c r="WPF754" s="574"/>
      <c r="WPG754" s="574"/>
      <c r="WPH754" s="574"/>
      <c r="WPI754" s="574"/>
      <c r="WPJ754" s="574"/>
      <c r="WPK754" s="574"/>
      <c r="WPL754" s="574"/>
      <c r="WPM754" s="574"/>
      <c r="WPN754" s="574"/>
      <c r="WPO754" s="574"/>
      <c r="WPP754" s="574"/>
      <c r="WPQ754" s="574"/>
      <c r="WPR754" s="574"/>
      <c r="WPS754" s="574"/>
      <c r="WPT754" s="574"/>
      <c r="WPU754" s="574"/>
      <c r="WPV754" s="574"/>
      <c r="WPW754" s="574"/>
      <c r="WPX754" s="574"/>
      <c r="WPY754" s="574"/>
      <c r="WPZ754" s="574"/>
      <c r="WQA754" s="574"/>
      <c r="WQB754" s="574"/>
      <c r="WQC754" s="574"/>
      <c r="WQD754" s="574"/>
      <c r="WQE754" s="574"/>
      <c r="WQF754" s="574"/>
      <c r="WQG754" s="574"/>
      <c r="WQH754" s="574"/>
      <c r="WQI754" s="574"/>
      <c r="WQJ754" s="574"/>
      <c r="WQK754" s="574"/>
      <c r="WQL754" s="574"/>
      <c r="WQM754" s="574"/>
      <c r="WQN754" s="574"/>
      <c r="WQO754" s="574"/>
      <c r="WQP754" s="574"/>
      <c r="WQQ754" s="574"/>
      <c r="WQR754" s="574"/>
      <c r="WQS754" s="574"/>
      <c r="WQT754" s="574"/>
      <c r="WQU754" s="574"/>
      <c r="WQV754" s="574"/>
      <c r="WQW754" s="574"/>
      <c r="WQX754" s="574"/>
      <c r="WQY754" s="574"/>
      <c r="WQZ754" s="574"/>
      <c r="WRA754" s="574"/>
      <c r="WRB754" s="574"/>
      <c r="WRC754" s="574"/>
      <c r="WRD754" s="574"/>
      <c r="WRE754" s="574"/>
      <c r="WRF754" s="574"/>
      <c r="WRG754" s="574"/>
      <c r="WRH754" s="574"/>
      <c r="WRI754" s="574"/>
      <c r="WRJ754" s="574"/>
      <c r="WRK754" s="574"/>
      <c r="WRL754" s="574"/>
      <c r="WRM754" s="574"/>
      <c r="WRN754" s="574"/>
      <c r="WRO754" s="574"/>
      <c r="WRP754" s="574"/>
      <c r="WRQ754" s="574"/>
      <c r="WRR754" s="574"/>
      <c r="WRS754" s="574"/>
      <c r="WRT754" s="574"/>
      <c r="WRU754" s="574"/>
      <c r="WRV754" s="574"/>
      <c r="WRW754" s="574"/>
      <c r="WRX754" s="574"/>
      <c r="WRY754" s="574"/>
      <c r="WRZ754" s="574"/>
      <c r="WSA754" s="574"/>
      <c r="WSB754" s="574"/>
      <c r="WSC754" s="574"/>
      <c r="WSD754" s="574"/>
      <c r="WSE754" s="574"/>
      <c r="WSF754" s="574"/>
      <c r="WSG754" s="574"/>
      <c r="WSH754" s="574"/>
      <c r="WSI754" s="574"/>
      <c r="WSJ754" s="574"/>
      <c r="WSK754" s="574"/>
      <c r="WSL754" s="574"/>
      <c r="WSM754" s="574"/>
      <c r="WSN754" s="574"/>
      <c r="WSO754" s="574"/>
      <c r="WSP754" s="574"/>
      <c r="WSQ754" s="574"/>
      <c r="WSR754" s="574"/>
      <c r="WSS754" s="574"/>
      <c r="WST754" s="574"/>
      <c r="WSU754" s="574"/>
      <c r="WSV754" s="574"/>
      <c r="WSW754" s="574"/>
      <c r="WSX754" s="574"/>
      <c r="WSY754" s="574"/>
      <c r="WSZ754" s="574"/>
      <c r="WTA754" s="574"/>
      <c r="WTB754" s="574"/>
      <c r="WTC754" s="574"/>
      <c r="WTD754" s="574"/>
      <c r="WTE754" s="574"/>
      <c r="WTF754" s="574"/>
      <c r="WTG754" s="574"/>
      <c r="WTH754" s="574"/>
      <c r="WTI754" s="574"/>
      <c r="WTJ754" s="574"/>
      <c r="WTK754" s="574"/>
      <c r="WTL754" s="574"/>
      <c r="WTM754" s="574"/>
      <c r="WTN754" s="574"/>
      <c r="WTO754" s="574"/>
      <c r="WTP754" s="574"/>
      <c r="WTQ754" s="574"/>
      <c r="WTR754" s="574"/>
      <c r="WTS754" s="574"/>
      <c r="WTT754" s="574"/>
      <c r="WTU754" s="574"/>
      <c r="WTV754" s="574"/>
      <c r="WTW754" s="574"/>
      <c r="WTX754" s="574"/>
      <c r="WTY754" s="574"/>
      <c r="WTZ754" s="574"/>
      <c r="WUA754" s="574"/>
      <c r="WUB754" s="574"/>
      <c r="WUC754" s="574"/>
      <c r="WUD754" s="574"/>
      <c r="WUE754" s="574"/>
      <c r="WUF754" s="574"/>
      <c r="WUG754" s="574"/>
      <c r="WUH754" s="574"/>
      <c r="WUI754" s="574"/>
      <c r="WUJ754" s="574"/>
      <c r="WUK754" s="574"/>
      <c r="WUL754" s="574"/>
      <c r="WUM754" s="574"/>
      <c r="WUN754" s="574"/>
      <c r="WUO754" s="574"/>
      <c r="WUP754" s="574"/>
      <c r="WUQ754" s="574"/>
      <c r="WUR754" s="574"/>
      <c r="WUS754" s="574"/>
      <c r="WUT754" s="574"/>
      <c r="WUU754" s="574"/>
      <c r="WUV754" s="574"/>
      <c r="WUW754" s="574"/>
      <c r="WUX754" s="574"/>
      <c r="WUY754" s="574"/>
      <c r="WUZ754" s="574"/>
      <c r="WVA754" s="574"/>
      <c r="WVB754" s="574"/>
      <c r="WVC754" s="574"/>
      <c r="WVD754" s="574"/>
      <c r="WVE754" s="574"/>
      <c r="WVF754" s="574"/>
      <c r="WVG754" s="574"/>
      <c r="WVH754" s="574"/>
      <c r="WVI754" s="574"/>
      <c r="WVJ754" s="574"/>
      <c r="WVK754" s="574"/>
      <c r="WVL754" s="574"/>
      <c r="WVM754" s="574"/>
      <c r="WVN754" s="574"/>
      <c r="WVO754" s="574"/>
      <c r="WVP754" s="574"/>
      <c r="WVQ754" s="574"/>
      <c r="WVR754" s="574"/>
      <c r="WVS754" s="574"/>
      <c r="WVT754" s="574"/>
      <c r="WVU754" s="574"/>
      <c r="WVV754" s="574"/>
      <c r="WVW754" s="574"/>
      <c r="WVX754" s="574"/>
      <c r="WVY754" s="574"/>
      <c r="WVZ754" s="574"/>
      <c r="WWA754" s="574"/>
      <c r="WWB754" s="574"/>
      <c r="WWC754" s="574"/>
      <c r="WWD754" s="574"/>
      <c r="WWE754" s="574"/>
      <c r="WWF754" s="574"/>
      <c r="WWG754" s="574"/>
      <c r="WWH754" s="574"/>
      <c r="WWI754" s="574"/>
      <c r="WWJ754" s="574"/>
      <c r="WWK754" s="574"/>
      <c r="WWL754" s="574"/>
      <c r="WWM754" s="574"/>
      <c r="WWN754" s="574"/>
      <c r="WWO754" s="574"/>
      <c r="WWP754" s="574"/>
      <c r="WWQ754" s="574"/>
      <c r="WWR754" s="574"/>
      <c r="WWS754" s="574"/>
      <c r="WWT754" s="574"/>
      <c r="WWU754" s="574"/>
      <c r="WWV754" s="574"/>
      <c r="WWW754" s="574"/>
      <c r="WWX754" s="574"/>
      <c r="WWY754" s="574"/>
      <c r="WWZ754" s="574"/>
      <c r="WXA754" s="574"/>
      <c r="WXB754" s="574"/>
      <c r="WXC754" s="574"/>
      <c r="WXD754" s="574"/>
      <c r="WXE754" s="574"/>
      <c r="WXF754" s="574"/>
      <c r="WXG754" s="574"/>
      <c r="WXH754" s="574"/>
      <c r="WXI754" s="574"/>
      <c r="WXJ754" s="574"/>
      <c r="WXK754" s="574"/>
      <c r="WXL754" s="574"/>
      <c r="WXM754" s="574"/>
      <c r="WXN754" s="574"/>
      <c r="WXO754" s="574"/>
      <c r="WXP754" s="574"/>
      <c r="WXQ754" s="574"/>
      <c r="WXR754" s="574"/>
      <c r="WXS754" s="574"/>
      <c r="WXT754" s="574"/>
      <c r="WXU754" s="574"/>
      <c r="WXV754" s="574"/>
      <c r="WXW754" s="574"/>
      <c r="WXX754" s="574"/>
      <c r="WXY754" s="574"/>
      <c r="WXZ754" s="574"/>
      <c r="WYA754" s="574"/>
      <c r="WYB754" s="574"/>
      <c r="WYC754" s="574"/>
      <c r="WYD754" s="574"/>
      <c r="WYE754" s="574"/>
      <c r="WYF754" s="574"/>
      <c r="WYG754" s="574"/>
      <c r="WYH754" s="574"/>
      <c r="WYI754" s="574"/>
      <c r="WYJ754" s="574"/>
      <c r="WYK754" s="574"/>
      <c r="WYL754" s="574"/>
      <c r="WYM754" s="574"/>
      <c r="WYN754" s="574"/>
      <c r="WYO754" s="574"/>
      <c r="WYP754" s="574"/>
      <c r="WYQ754" s="574"/>
      <c r="WYR754" s="574"/>
      <c r="WYS754" s="574"/>
      <c r="WYT754" s="574"/>
      <c r="WYU754" s="574"/>
      <c r="WYV754" s="574"/>
      <c r="WYW754" s="574"/>
      <c r="WYX754" s="574"/>
      <c r="WYY754" s="574"/>
      <c r="WYZ754" s="574"/>
      <c r="WZA754" s="574"/>
      <c r="WZB754" s="574"/>
      <c r="WZC754" s="574"/>
      <c r="WZD754" s="574"/>
      <c r="WZE754" s="574"/>
      <c r="WZF754" s="574"/>
      <c r="WZG754" s="574"/>
      <c r="WZH754" s="574"/>
      <c r="WZI754" s="574"/>
      <c r="WZJ754" s="574"/>
      <c r="WZK754" s="574"/>
      <c r="WZL754" s="574"/>
      <c r="WZM754" s="574"/>
      <c r="WZN754" s="574"/>
      <c r="WZO754" s="574"/>
      <c r="WZP754" s="574"/>
      <c r="WZQ754" s="574"/>
      <c r="WZR754" s="574"/>
      <c r="WZS754" s="574"/>
      <c r="WZT754" s="574"/>
      <c r="WZU754" s="574"/>
      <c r="WZV754" s="574"/>
      <c r="WZW754" s="574"/>
      <c r="WZX754" s="574"/>
      <c r="WZY754" s="574"/>
      <c r="WZZ754" s="574"/>
      <c r="XAA754" s="574"/>
      <c r="XAB754" s="574"/>
      <c r="XAC754" s="574"/>
      <c r="XAD754" s="574"/>
      <c r="XAE754" s="574"/>
      <c r="XAF754" s="574"/>
      <c r="XAG754" s="574"/>
      <c r="XAH754" s="574"/>
      <c r="XAI754" s="574"/>
      <c r="XAJ754" s="574"/>
      <c r="XAK754" s="574"/>
      <c r="XAL754" s="574"/>
      <c r="XAM754" s="574"/>
      <c r="XAN754" s="574"/>
      <c r="XAO754" s="574"/>
      <c r="XAP754" s="574"/>
      <c r="XAQ754" s="574"/>
      <c r="XAR754" s="574"/>
      <c r="XAS754" s="574"/>
      <c r="XAT754" s="574"/>
      <c r="XAU754" s="574"/>
      <c r="XAV754" s="574"/>
      <c r="XAW754" s="574"/>
      <c r="XAX754" s="574"/>
      <c r="XAY754" s="574"/>
      <c r="XAZ754" s="574"/>
      <c r="XBA754" s="574"/>
      <c r="XBB754" s="574"/>
      <c r="XBC754" s="574"/>
      <c r="XBD754" s="574"/>
      <c r="XBE754" s="574"/>
      <c r="XBF754" s="574"/>
      <c r="XBG754" s="574"/>
      <c r="XBH754" s="574"/>
      <c r="XBI754" s="574"/>
      <c r="XBJ754" s="574"/>
      <c r="XBK754" s="574"/>
      <c r="XBL754" s="574"/>
      <c r="XBM754" s="574"/>
      <c r="XBN754" s="574"/>
      <c r="XBO754" s="574"/>
      <c r="XBP754" s="574"/>
      <c r="XBQ754" s="574"/>
      <c r="XBR754" s="574"/>
      <c r="XBS754" s="574"/>
      <c r="XBT754" s="574"/>
      <c r="XBU754" s="574"/>
      <c r="XBV754" s="574"/>
      <c r="XBW754" s="574"/>
      <c r="XBX754" s="574"/>
      <c r="XBY754" s="574"/>
      <c r="XBZ754" s="574"/>
      <c r="XCA754" s="574"/>
      <c r="XCB754" s="574"/>
      <c r="XCC754" s="574"/>
      <c r="XCD754" s="574"/>
      <c r="XCE754" s="574"/>
      <c r="XCF754" s="574"/>
      <c r="XCG754" s="574"/>
      <c r="XCH754" s="574"/>
      <c r="XCI754" s="574"/>
      <c r="XCJ754" s="574"/>
      <c r="XCK754" s="574"/>
      <c r="XCL754" s="574"/>
      <c r="XCM754" s="574"/>
      <c r="XCN754" s="574"/>
      <c r="XCO754" s="574"/>
      <c r="XCP754" s="574"/>
      <c r="XCQ754" s="574"/>
      <c r="XCR754" s="574"/>
      <c r="XCS754" s="574"/>
      <c r="XCT754" s="574"/>
      <c r="XCU754" s="574"/>
      <c r="XCV754" s="574"/>
      <c r="XCW754" s="574"/>
      <c r="XCX754" s="574"/>
      <c r="XCY754" s="574"/>
      <c r="XCZ754" s="574"/>
      <c r="XDA754" s="574"/>
      <c r="XDB754" s="574"/>
      <c r="XDC754" s="574"/>
      <c r="XDD754" s="574"/>
      <c r="XDE754" s="574"/>
      <c r="XDF754" s="574"/>
      <c r="XDG754" s="574"/>
      <c r="XDH754" s="574"/>
      <c r="XDI754" s="574"/>
      <c r="XDJ754" s="574"/>
      <c r="XDK754" s="574"/>
      <c r="XDL754" s="574"/>
      <c r="XDM754" s="574"/>
      <c r="XDN754" s="574"/>
      <c r="XDO754" s="574"/>
      <c r="XDP754" s="574"/>
      <c r="XDQ754" s="574"/>
      <c r="XDR754" s="574"/>
      <c r="XDS754" s="574"/>
      <c r="XDT754" s="574"/>
      <c r="XDU754" s="574"/>
      <c r="XDV754" s="574"/>
      <c r="XDW754" s="574"/>
      <c r="XDX754" s="574"/>
      <c r="XDY754" s="574"/>
      <c r="XDZ754" s="574"/>
      <c r="XEA754" s="574"/>
      <c r="XEB754" s="574"/>
      <c r="XEC754" s="574"/>
      <c r="XED754" s="574"/>
      <c r="XEE754" s="574"/>
      <c r="XEF754" s="574"/>
      <c r="XEG754" s="574"/>
      <c r="XEH754" s="574"/>
      <c r="XEI754" s="574"/>
      <c r="XEJ754" s="574"/>
      <c r="XEK754" s="574"/>
      <c r="XEL754" s="574"/>
      <c r="XEM754" s="574"/>
      <c r="XEN754" s="574"/>
      <c r="XEO754" s="574"/>
      <c r="XEP754" s="574"/>
      <c r="XEQ754" s="574"/>
      <c r="XER754" s="574"/>
      <c r="XES754" s="574"/>
      <c r="XET754" s="574"/>
      <c r="XEU754" s="574"/>
      <c r="XEV754" s="574"/>
      <c r="XEW754" s="574"/>
      <c r="XEX754" s="574"/>
      <c r="XEY754" s="574"/>
      <c r="XEZ754" s="574"/>
      <c r="XFA754" s="574"/>
      <c r="XFB754" s="574"/>
    </row>
    <row r="755" spans="1:16382" ht="34.5" customHeight="1">
      <c r="A755" s="575">
        <v>797</v>
      </c>
      <c r="B755" s="576" t="s">
        <v>3044</v>
      </c>
      <c r="C755" s="577" t="s">
        <v>1412</v>
      </c>
      <c r="D755" s="578" t="s">
        <v>493</v>
      </c>
      <c r="E755" s="579" t="s">
        <v>94</v>
      </c>
      <c r="F755" s="578" t="s">
        <v>255</v>
      </c>
      <c r="G755" s="580"/>
      <c r="H755" s="581"/>
      <c r="I755" s="582"/>
      <c r="J755" s="582">
        <v>16663345</v>
      </c>
      <c r="K755" s="583"/>
      <c r="L755" s="584"/>
      <c r="M755" s="194"/>
      <c r="N755" s="195" t="e" cm="1">
        <f t="array" aca="1" ref="N755" ca="1">_xlfn.XLOOKUP(Contrato5[[#This Row],[SUPERVISOR TITULAR]],[2]!PERSONAL_ACTIVO_2024[[#All],[Nombre completo]],[2]!PERSONAL_ACTIVO_2024[[#All],[Documento identidad]],"",0)</f>
        <v>#NAME?</v>
      </c>
      <c r="O755" s="194"/>
      <c r="P755" s="135" t="e" cm="1">
        <f t="array" aca="1" ref="P755" ca="1">_xlfn.XLOOKUP(Contrato5[[#This Row],[SUPERVISOR SUPLENTE ]],[2]!PERSONAL_ACTIVO_2024[[#All],[Nombre completo]],[2]!PERSONAL_ACTIVO_2024[[#All],[Documento identidad]],"",0)</f>
        <v>#NAME?</v>
      </c>
      <c r="Q755" s="170">
        <v>832</v>
      </c>
      <c r="R755" s="137" t="e" cm="1">
        <f t="array" aca="1" ref="R755" ca="1">_xlfn.XLOOKUP(Contrato5[[#This Row],[CDP]],[2]!DISPONIBILIDADES_2024[[#All],[consecutivo]],[2]!DISPONIBILIDADES_2024[[#All],[fecha_aprobacion]],"",0)</f>
        <v>#NAME?</v>
      </c>
      <c r="S755" s="138" t="e">
        <f>SUMIF([2]!DISPONIBILIDADES_2024[[#All],[consecutivo]],Contrato5[[#This Row],[CDP]],[2]!DISPONIBILIDADES_2024[[#All],[valor_total_rubro]])</f>
        <v>#REF!</v>
      </c>
      <c r="T755" s="139" t="e" cm="1">
        <f t="array" aca="1" ref="T755" ca="1">_xlfn.XLOOKUP(Contrato5[[#This Row],[CONTRATO]]&amp;Contrato5[[#This Row],[CDP]],[2]!Corr_Contr_CDP[[#All],[CONTRATO-CDP]],[2]!Corr_Contr_CDP[[#All],[CRP]],_xlfn.XLOOKUP(Contrato5[[#This Row],[CDP]],[2]!COMPROMISOS_2024[[#All],[disponibilidad]],[2]!COMPROMISOS_2024[[#All],[consecutivo]],"",0),0)</f>
        <v>#NAME?</v>
      </c>
      <c r="U755" s="140" t="e" cm="1">
        <f t="array" aca="1" ref="U755" ca="1">+_xlfn.XLOOKUP(Contrato5[[#This Row],[RCP]],[2]!COMPROMISOS_2024[[#All],[consecutivo]],[2]!COMPROMISOS_2024[[#All],[fecha_aprobacion]],"",0)</f>
        <v>#NAME?</v>
      </c>
      <c r="V755" s="141" t="e">
        <f ca="1">SUMIF([2]!COMPROMISOS_2024[[#All],[consecutivo]],Contrato5[[#This Row],[RCP]],[2]!COMPROMISOS_2024[[#All],[valor_total]])</f>
        <v>#REF!</v>
      </c>
      <c r="W755" s="160"/>
      <c r="X755" s="161"/>
      <c r="Y755" s="143" t="e">
        <f ca="1">+LEFT(_xlfn.XLOOKUP(Contrato5[[#This Row],[CONTRATO3DIG]],[2]SECOP_II!AE:AE,[2]SECOP_II!F:F,"",0),10)</f>
        <v>#NAME?</v>
      </c>
      <c r="Z755" s="262" t="e">
        <f ca="1">+LEFT(_xlfn.XLOOKUP(Contrato5[[#This Row],[CONTRATO3DIG]],[2]SECOP_II!AE:AE,[2]SECOP_II!G:G,"",0),10)</f>
        <v>#NAME?</v>
      </c>
      <c r="AA755" s="225"/>
      <c r="AB755" s="172"/>
      <c r="AC755" s="127"/>
      <c r="AD755" s="211"/>
      <c r="AE755" s="147"/>
      <c r="AF755" s="148" t="str">
        <f>TEXT(LEFT(Contrato5[[#This Row],[CONTRATO]],3),"0")</f>
        <v>624</v>
      </c>
      <c r="AG755" s="148" t="str">
        <f>IF(LEN(Contrato5[[#This Row],[Contrato2]])=3,Contrato5[[#This Row],[Contrato2]],TEXT(Contrato5[[#This Row],[Contrato2]],"000"))</f>
        <v>624</v>
      </c>
      <c r="AH755" s="149" t="str">
        <f ca="1">IFERROR(_xlfn.DAYS(Contrato5[[#This Row],[Fecha Proyectada liquidación]],TODAY())/30,"")</f>
        <v/>
      </c>
      <c r="AI755" s="150" t="e">
        <f ca="1">+Contrato5[[#This Row],[FECHA TERMINACIÓN ]]+120</f>
        <v>#NAME?</v>
      </c>
      <c r="AJ755" s="147"/>
      <c r="AK755" s="152" t="e">
        <f ca="1">IF(Contrato5[[#This Row],[FECHA TERMINACIÓN ]]&lt;TODAY(), "Terminado",IF(ISNUMBER(Contrato5[[#This Row],[Fecha Real de liquiidación ]]),"Liquidado",IF(Contrato5[[#This Row],[FECHA TERMINACIÓN ]]&gt;=TODAY(),"En ejecución","")))</f>
        <v>#NAME?</v>
      </c>
      <c r="AL755" s="153" t="e">
        <f ca="1">SUMIF([2]!COMPROMISOS_2024[[#All],[consecutivo]],Contrato5[[#This Row],[RCP]],[2]!COMPROMISOS_2024[[#All],[Total pagado]])</f>
        <v>#REF!</v>
      </c>
      <c r="AM755" s="154">
        <f ca="1">IFERROR(Contrato5[[#This Row],[Pagos]]/Contrato5[[#This Row],[VALOR CONTRATO]],0)</f>
        <v>0</v>
      </c>
      <c r="AN755" s="198" t="e">
        <f ca="1">+Contrato5[[#This Row],[VALOR CONTRATO]]-Contrato5[[#This Row],[Pagos]]</f>
        <v>#REF!</v>
      </c>
      <c r="AO755" s="147" t="e" cm="1">
        <f t="array" aca="1" ref="AO755" ca="1">_xlfn.XLOOKUP(Contrato5[[#This Row],[DOCUMENTO ]],[2]!PERSONAL_ACTIVO_2024[[#All],[Documento identidad]],[2]!PERSONAL_ACTIVO_2024[[#All],[Mail ]],0,0)</f>
        <v>#NAME?</v>
      </c>
      <c r="AP755" s="147" t="e" cm="1">
        <f t="array" aca="1" ref="AP755" ca="1">_xlfn.XLOOKUP(Contrato5[[#This Row],[DOCUMENTO]],[2]!PERSONAL_ACTIVO_2024[[#All],[Documento identidad]],[2]!PERSONAL_ACTIVO_2024[[#All],[Mail ]],0,0)</f>
        <v>#NAME?</v>
      </c>
      <c r="AQ755" s="439" cm="1">
        <f t="array" aca="1" ref="AQ755" ca="1">IF(ISBLANK(Contrato5[[#This Row],[DEPENDENCIA ]]),0,IFERROR(_xlfn.XLOOKUP(Contrato5[[#This Row],[DEPENDENCIA ]],[2]!PERSONAL_ACTIVO_2024[[#All],[Dependencia]],[2]!PERSONAL_ACTIVO_2024[[#All],[Mail ]],0,0),0))</f>
        <v>0</v>
      </c>
    </row>
    <row r="756" spans="1:16382" ht="34.5" customHeight="1">
      <c r="A756" s="575">
        <v>798</v>
      </c>
      <c r="B756" s="576" t="s">
        <v>3045</v>
      </c>
      <c r="C756" s="577" t="s">
        <v>1412</v>
      </c>
      <c r="D756" s="578" t="s">
        <v>493</v>
      </c>
      <c r="E756" s="579" t="s">
        <v>94</v>
      </c>
      <c r="F756" s="578" t="s">
        <v>255</v>
      </c>
      <c r="G756" s="580"/>
      <c r="H756" s="581"/>
      <c r="I756" s="582"/>
      <c r="J756" s="582">
        <v>33727915</v>
      </c>
      <c r="K756" s="583"/>
      <c r="L756" s="584"/>
      <c r="M756" s="194"/>
      <c r="N756" s="195" t="e" cm="1">
        <f t="array" aca="1" ref="N756" ca="1">_xlfn.XLOOKUP(Contrato5[[#This Row],[SUPERVISOR TITULAR]],[2]!PERSONAL_ACTIVO_2024[[#All],[Nombre completo]],[2]!PERSONAL_ACTIVO_2024[[#All],[Documento identidad]],"",0)</f>
        <v>#NAME?</v>
      </c>
      <c r="O756" s="194"/>
      <c r="P756" s="135" t="e" cm="1">
        <f t="array" aca="1" ref="P756" ca="1">_xlfn.XLOOKUP(Contrato5[[#This Row],[SUPERVISOR SUPLENTE ]],[2]!PERSONAL_ACTIVO_2024[[#All],[Nombre completo]],[2]!PERSONAL_ACTIVO_2024[[#All],[Documento identidad]],"",0)</f>
        <v>#NAME?</v>
      </c>
      <c r="Q756" s="170">
        <v>832</v>
      </c>
      <c r="R756" s="137" t="e" cm="1">
        <f t="array" aca="1" ref="R756" ca="1">_xlfn.XLOOKUP(Contrato5[[#This Row],[CDP]],[2]!DISPONIBILIDADES_2024[[#All],[consecutivo]],[2]!DISPONIBILIDADES_2024[[#All],[fecha_aprobacion]],"",0)</f>
        <v>#NAME?</v>
      </c>
      <c r="S756" s="138" t="e">
        <f>SUMIF([2]!DISPONIBILIDADES_2024[[#All],[consecutivo]],Contrato5[[#This Row],[CDP]],[2]!DISPONIBILIDADES_2024[[#All],[valor_total_rubro]])</f>
        <v>#REF!</v>
      </c>
      <c r="T756" s="139" t="e" cm="1">
        <f t="array" aca="1" ref="T756" ca="1">_xlfn.XLOOKUP(Contrato5[[#This Row],[CONTRATO]]&amp;Contrato5[[#This Row],[CDP]],[2]!Corr_Contr_CDP[[#All],[CONTRATO-CDP]],[2]!Corr_Contr_CDP[[#All],[CRP]],_xlfn.XLOOKUP(Contrato5[[#This Row],[CDP]],[2]!COMPROMISOS_2024[[#All],[disponibilidad]],[2]!COMPROMISOS_2024[[#All],[consecutivo]],"",0),0)</f>
        <v>#NAME?</v>
      </c>
      <c r="U756" s="140" t="e" cm="1">
        <f t="array" aca="1" ref="U756" ca="1">+_xlfn.XLOOKUP(Contrato5[[#This Row],[RCP]],[2]!COMPROMISOS_2024[[#All],[consecutivo]],[2]!COMPROMISOS_2024[[#All],[fecha_aprobacion]],"",0)</f>
        <v>#NAME?</v>
      </c>
      <c r="V756" s="141" t="e">
        <f ca="1">SUMIF([2]!COMPROMISOS_2024[[#All],[consecutivo]],Contrato5[[#This Row],[RCP]],[2]!COMPROMISOS_2024[[#All],[valor_total]])</f>
        <v>#REF!</v>
      </c>
      <c r="W756" s="160"/>
      <c r="X756" s="161"/>
      <c r="Y756" s="143" t="e">
        <f ca="1">+LEFT(_xlfn.XLOOKUP(Contrato5[[#This Row],[CONTRATO3DIG]],[2]SECOP_II!AE:AE,[2]SECOP_II!F:F,"",0),10)</f>
        <v>#NAME?</v>
      </c>
      <c r="Z756" s="262" t="e">
        <f ca="1">+LEFT(_xlfn.XLOOKUP(Contrato5[[#This Row],[CONTRATO3DIG]],[2]SECOP_II!AE:AE,[2]SECOP_II!G:G,"",0),10)</f>
        <v>#NAME?</v>
      </c>
      <c r="AA756" s="225"/>
      <c r="AB756" s="172"/>
      <c r="AC756" s="127"/>
      <c r="AD756" s="211"/>
      <c r="AE756" s="147"/>
      <c r="AF756" s="148" t="str">
        <f>TEXT(LEFT(Contrato5[[#This Row],[CONTRATO]],3),"0")</f>
        <v>624</v>
      </c>
      <c r="AG756" s="148" t="str">
        <f>IF(LEN(Contrato5[[#This Row],[Contrato2]])=3,Contrato5[[#This Row],[Contrato2]],TEXT(Contrato5[[#This Row],[Contrato2]],"000"))</f>
        <v>624</v>
      </c>
      <c r="AH756" s="149" t="str">
        <f ca="1">IFERROR(_xlfn.DAYS(Contrato5[[#This Row],[Fecha Proyectada liquidación]],TODAY())/30,"")</f>
        <v/>
      </c>
      <c r="AI756" s="150" t="e">
        <f ca="1">+Contrato5[[#This Row],[FECHA TERMINACIÓN ]]+120</f>
        <v>#NAME?</v>
      </c>
      <c r="AJ756" s="147"/>
      <c r="AK756" s="152" t="e">
        <f ca="1">IF(Contrato5[[#This Row],[FECHA TERMINACIÓN ]]&lt;TODAY(), "Terminado",IF(ISNUMBER(Contrato5[[#This Row],[Fecha Real de liquiidación ]]),"Liquidado",IF(Contrato5[[#This Row],[FECHA TERMINACIÓN ]]&gt;=TODAY(),"En ejecución","")))</f>
        <v>#NAME?</v>
      </c>
      <c r="AL756" s="153" t="e">
        <f ca="1">SUMIF([2]!COMPROMISOS_2024[[#All],[consecutivo]],Contrato5[[#This Row],[RCP]],[2]!COMPROMISOS_2024[[#All],[Total pagado]])</f>
        <v>#REF!</v>
      </c>
      <c r="AM756" s="154">
        <f ca="1">IFERROR(Contrato5[[#This Row],[Pagos]]/Contrato5[[#This Row],[VALOR CONTRATO]],0)</f>
        <v>0</v>
      </c>
      <c r="AN756" s="198" t="e">
        <f ca="1">+Contrato5[[#This Row],[VALOR CONTRATO]]-Contrato5[[#This Row],[Pagos]]</f>
        <v>#REF!</v>
      </c>
      <c r="AO756" s="147" t="e" cm="1">
        <f t="array" aca="1" ref="AO756" ca="1">_xlfn.XLOOKUP(Contrato5[[#This Row],[DOCUMENTO ]],[2]!PERSONAL_ACTIVO_2024[[#All],[Documento identidad]],[2]!PERSONAL_ACTIVO_2024[[#All],[Mail ]],0,0)</f>
        <v>#NAME?</v>
      </c>
      <c r="AP756" s="147" t="e" cm="1">
        <f t="array" aca="1" ref="AP756" ca="1">_xlfn.XLOOKUP(Contrato5[[#This Row],[DOCUMENTO]],[2]!PERSONAL_ACTIVO_2024[[#All],[Documento identidad]],[2]!PERSONAL_ACTIVO_2024[[#All],[Mail ]],0,0)</f>
        <v>#NAME?</v>
      </c>
      <c r="AQ756" s="439" cm="1">
        <f t="array" aca="1" ref="AQ756" ca="1">IF(ISBLANK(Contrato5[[#This Row],[DEPENDENCIA ]]),0,IFERROR(_xlfn.XLOOKUP(Contrato5[[#This Row],[DEPENDENCIA ]],[2]!PERSONAL_ACTIVO_2024[[#All],[Dependencia]],[2]!PERSONAL_ACTIVO_2024[[#All],[Mail ]],0,0),0))</f>
        <v>0</v>
      </c>
    </row>
    <row r="757" spans="1:16382" ht="34.5" customHeight="1">
      <c r="A757" s="575">
        <v>799</v>
      </c>
      <c r="B757" s="576" t="s">
        <v>3046</v>
      </c>
      <c r="C757" s="577" t="s">
        <v>1412</v>
      </c>
      <c r="D757" s="578" t="s">
        <v>493</v>
      </c>
      <c r="E757" s="579" t="s">
        <v>94</v>
      </c>
      <c r="F757" s="578" t="s">
        <v>255</v>
      </c>
      <c r="G757" s="580"/>
      <c r="H757" s="581"/>
      <c r="I757" s="582"/>
      <c r="J757" s="582">
        <v>802436389</v>
      </c>
      <c r="K757" s="583"/>
      <c r="L757" s="584"/>
      <c r="M757" s="194"/>
      <c r="N757" s="195" t="e" cm="1">
        <f t="array" aca="1" ref="N757" ca="1">_xlfn.XLOOKUP(Contrato5[[#This Row],[SUPERVISOR TITULAR]],[2]!PERSONAL_ACTIVO_2024[[#All],[Nombre completo]],[2]!PERSONAL_ACTIVO_2024[[#All],[Documento identidad]],"",0)</f>
        <v>#NAME?</v>
      </c>
      <c r="O757" s="194"/>
      <c r="P757" s="135" t="e" cm="1">
        <f t="array" aca="1" ref="P757" ca="1">_xlfn.XLOOKUP(Contrato5[[#This Row],[SUPERVISOR SUPLENTE ]],[2]!PERSONAL_ACTIVO_2024[[#All],[Nombre completo]],[2]!PERSONAL_ACTIVO_2024[[#All],[Documento identidad]],"",0)</f>
        <v>#NAME?</v>
      </c>
      <c r="Q757" s="170">
        <v>832</v>
      </c>
      <c r="R757" s="137" t="e" cm="1">
        <f t="array" aca="1" ref="R757" ca="1">_xlfn.XLOOKUP(Contrato5[[#This Row],[CDP]],[2]!DISPONIBILIDADES_2024[[#All],[consecutivo]],[2]!DISPONIBILIDADES_2024[[#All],[fecha_aprobacion]],"",0)</f>
        <v>#NAME?</v>
      </c>
      <c r="S757" s="138" t="e">
        <f>SUMIF([2]!DISPONIBILIDADES_2024[[#All],[consecutivo]],Contrato5[[#This Row],[CDP]],[2]!DISPONIBILIDADES_2024[[#All],[valor_total_rubro]])</f>
        <v>#REF!</v>
      </c>
      <c r="T757" s="139" t="e" cm="1">
        <f t="array" aca="1" ref="T757" ca="1">_xlfn.XLOOKUP(Contrato5[[#This Row],[CONTRATO]]&amp;Contrato5[[#This Row],[CDP]],[2]!Corr_Contr_CDP[[#All],[CONTRATO-CDP]],[2]!Corr_Contr_CDP[[#All],[CRP]],_xlfn.XLOOKUP(Contrato5[[#This Row],[CDP]],[2]!COMPROMISOS_2024[[#All],[disponibilidad]],[2]!COMPROMISOS_2024[[#All],[consecutivo]],"",0),0)</f>
        <v>#NAME?</v>
      </c>
      <c r="U757" s="140" t="e" cm="1">
        <f t="array" aca="1" ref="U757" ca="1">+_xlfn.XLOOKUP(Contrato5[[#This Row],[RCP]],[2]!COMPROMISOS_2024[[#All],[consecutivo]],[2]!COMPROMISOS_2024[[#All],[fecha_aprobacion]],"",0)</f>
        <v>#NAME?</v>
      </c>
      <c r="V757" s="141" t="e">
        <f ca="1">SUMIF([2]!COMPROMISOS_2024[[#All],[consecutivo]],Contrato5[[#This Row],[RCP]],[2]!COMPROMISOS_2024[[#All],[valor_total]])</f>
        <v>#REF!</v>
      </c>
      <c r="W757" s="160"/>
      <c r="X757" s="161"/>
      <c r="Y757" s="143" t="e">
        <f ca="1">+LEFT(_xlfn.XLOOKUP(Contrato5[[#This Row],[CONTRATO3DIG]],[2]SECOP_II!AE:AE,[2]SECOP_II!F:F,"",0),10)</f>
        <v>#NAME?</v>
      </c>
      <c r="Z757" s="262" t="e">
        <f ca="1">+LEFT(_xlfn.XLOOKUP(Contrato5[[#This Row],[CONTRATO3DIG]],[2]SECOP_II!AE:AE,[2]SECOP_II!G:G,"",0),10)</f>
        <v>#NAME?</v>
      </c>
      <c r="AA757" s="225"/>
      <c r="AB757" s="172"/>
      <c r="AC757" s="127"/>
      <c r="AD757" s="211"/>
      <c r="AE757" s="147"/>
      <c r="AF757" s="148" t="str">
        <f>TEXT(LEFT(Contrato5[[#This Row],[CONTRATO]],3),"0")</f>
        <v>624</v>
      </c>
      <c r="AG757" s="148" t="str">
        <f>IF(LEN(Contrato5[[#This Row],[Contrato2]])=3,Contrato5[[#This Row],[Contrato2]],TEXT(Contrato5[[#This Row],[Contrato2]],"000"))</f>
        <v>624</v>
      </c>
      <c r="AH757" s="149" t="str">
        <f ca="1">IFERROR(_xlfn.DAYS(Contrato5[[#This Row],[Fecha Proyectada liquidación]],TODAY())/30,"")</f>
        <v/>
      </c>
      <c r="AI757" s="150" t="e">
        <f ca="1">+Contrato5[[#This Row],[FECHA TERMINACIÓN ]]+120</f>
        <v>#NAME?</v>
      </c>
      <c r="AJ757" s="147"/>
      <c r="AK757" s="152" t="e">
        <f ca="1">IF(Contrato5[[#This Row],[FECHA TERMINACIÓN ]]&lt;TODAY(), "Terminado",IF(ISNUMBER(Contrato5[[#This Row],[Fecha Real de liquiidación ]]),"Liquidado",IF(Contrato5[[#This Row],[FECHA TERMINACIÓN ]]&gt;=TODAY(),"En ejecución","")))</f>
        <v>#NAME?</v>
      </c>
      <c r="AL757" s="153" t="e">
        <f ca="1">SUMIF([2]!COMPROMISOS_2024[[#All],[consecutivo]],Contrato5[[#This Row],[RCP]],[2]!COMPROMISOS_2024[[#All],[Total pagado]])</f>
        <v>#REF!</v>
      </c>
      <c r="AM757" s="154">
        <f ca="1">IFERROR(Contrato5[[#This Row],[Pagos]]/Contrato5[[#This Row],[VALOR CONTRATO]],0)</f>
        <v>0</v>
      </c>
      <c r="AN757" s="198" t="e">
        <f ca="1">+Contrato5[[#This Row],[VALOR CONTRATO]]-Contrato5[[#This Row],[Pagos]]</f>
        <v>#REF!</v>
      </c>
      <c r="AO757" s="147" t="e" cm="1">
        <f t="array" aca="1" ref="AO757" ca="1">_xlfn.XLOOKUP(Contrato5[[#This Row],[DOCUMENTO ]],[2]!PERSONAL_ACTIVO_2024[[#All],[Documento identidad]],[2]!PERSONAL_ACTIVO_2024[[#All],[Mail ]],0,0)</f>
        <v>#NAME?</v>
      </c>
      <c r="AP757" s="147" t="e" cm="1">
        <f t="array" aca="1" ref="AP757" ca="1">_xlfn.XLOOKUP(Contrato5[[#This Row],[DOCUMENTO]],[2]!PERSONAL_ACTIVO_2024[[#All],[Documento identidad]],[2]!PERSONAL_ACTIVO_2024[[#All],[Mail ]],0,0)</f>
        <v>#NAME?</v>
      </c>
      <c r="AQ757" s="439" cm="1">
        <f t="array" aca="1" ref="AQ757" ca="1">IF(ISBLANK(Contrato5[[#This Row],[DEPENDENCIA ]]),0,IFERROR(_xlfn.XLOOKUP(Contrato5[[#This Row],[DEPENDENCIA ]],[2]!PERSONAL_ACTIVO_2024[[#All],[Dependencia]],[2]!PERSONAL_ACTIVO_2024[[#All],[Mail ]],0,0),0))</f>
        <v>0</v>
      </c>
    </row>
    <row r="758" spans="1:16382" ht="34.5" customHeight="1">
      <c r="A758" s="575">
        <v>1037</v>
      </c>
      <c r="B758" s="576" t="s">
        <v>3047</v>
      </c>
      <c r="C758" s="577" t="s">
        <v>1412</v>
      </c>
      <c r="D758" s="578" t="s">
        <v>493</v>
      </c>
      <c r="E758" s="579" t="s">
        <v>94</v>
      </c>
      <c r="F758" s="578" t="s">
        <v>255</v>
      </c>
      <c r="G758" s="580"/>
      <c r="H758" s="581"/>
      <c r="I758" s="582"/>
      <c r="J758" s="582">
        <v>622586250</v>
      </c>
      <c r="K758" s="583"/>
      <c r="L758" s="584"/>
      <c r="M758" s="194"/>
      <c r="N758" s="195" t="e" cm="1">
        <f t="array" aca="1" ref="N758" ca="1">_xlfn.XLOOKUP(Contrato5[[#This Row],[SUPERVISOR TITULAR]],[2]!PERSONAL_ACTIVO_2024[[#All],[Nombre completo]],[2]!PERSONAL_ACTIVO_2024[[#All],[Documento identidad]],"",0)</f>
        <v>#NAME?</v>
      </c>
      <c r="O758" s="194"/>
      <c r="P758" s="135" t="e" cm="1">
        <f t="array" aca="1" ref="P758" ca="1">_xlfn.XLOOKUP(Contrato5[[#This Row],[SUPERVISOR SUPLENTE ]],[2]!PERSONAL_ACTIVO_2024[[#All],[Nombre completo]],[2]!PERSONAL_ACTIVO_2024[[#All],[Documento identidad]],"",0)</f>
        <v>#NAME?</v>
      </c>
      <c r="Q758" s="170">
        <v>841</v>
      </c>
      <c r="R758" s="137" t="e" cm="1">
        <f t="array" aca="1" ref="R758" ca="1">_xlfn.XLOOKUP(Contrato5[[#This Row],[CDP]],[2]!DISPONIBILIDADES_2024[[#All],[consecutivo]],[2]!DISPONIBILIDADES_2024[[#All],[fecha_aprobacion]],"",0)</f>
        <v>#NAME?</v>
      </c>
      <c r="S758" s="138" t="e">
        <f>SUMIF([2]!DISPONIBILIDADES_2024[[#All],[consecutivo]],Contrato5[[#This Row],[CDP]],[2]!DISPONIBILIDADES_2024[[#All],[valor_total_rubro]])</f>
        <v>#REF!</v>
      </c>
      <c r="T758" s="139" t="e" cm="1">
        <f t="array" aca="1" ref="T758" ca="1">_xlfn.XLOOKUP(Contrato5[[#This Row],[CONTRATO]]&amp;Contrato5[[#This Row],[CDP]],[2]!Corr_Contr_CDP[[#All],[CONTRATO-CDP]],[2]!Corr_Contr_CDP[[#All],[CRP]],_xlfn.XLOOKUP(Contrato5[[#This Row],[CDP]],[2]!COMPROMISOS_2024[[#All],[disponibilidad]],[2]!COMPROMISOS_2024[[#All],[consecutivo]],"",0),0)</f>
        <v>#NAME?</v>
      </c>
      <c r="U758" s="140" t="e" cm="1">
        <f t="array" aca="1" ref="U758" ca="1">+_xlfn.XLOOKUP(Contrato5[[#This Row],[RCP]],[2]!COMPROMISOS_2024[[#All],[consecutivo]],[2]!COMPROMISOS_2024[[#All],[fecha_aprobacion]],"",0)</f>
        <v>#NAME?</v>
      </c>
      <c r="V758" s="141" t="e">
        <f ca="1">SUMIF([2]!COMPROMISOS_2024[[#All],[consecutivo]],Contrato5[[#This Row],[RCP]],[2]!COMPROMISOS_2024[[#All],[valor_total]])</f>
        <v>#REF!</v>
      </c>
      <c r="W758" s="160"/>
      <c r="X758" s="161"/>
      <c r="Y758" s="143" t="e">
        <f ca="1">+LEFT(_xlfn.XLOOKUP(Contrato5[[#This Row],[CONTRATO3DIG]],[2]SECOP_II!AE:AE,[2]SECOP_II!F:F,"",0),10)</f>
        <v>#NAME?</v>
      </c>
      <c r="Z758" s="262" t="e">
        <f ca="1">+LEFT(_xlfn.XLOOKUP(Contrato5[[#This Row],[CONTRATO3DIG]],[2]SECOP_II!AE:AE,[2]SECOP_II!G:G,"",0),10)</f>
        <v>#NAME?</v>
      </c>
      <c r="AA758" s="225"/>
      <c r="AB758" s="172"/>
      <c r="AC758" s="127"/>
      <c r="AD758" s="211"/>
      <c r="AE758" s="147"/>
      <c r="AF758" s="148" t="str">
        <f>TEXT(LEFT(Contrato5[[#This Row],[CONTRATO]],3),"0")</f>
        <v>624</v>
      </c>
      <c r="AG758" s="148" t="str">
        <f>IF(LEN(Contrato5[[#This Row],[Contrato2]])=3,Contrato5[[#This Row],[Contrato2]],TEXT(Contrato5[[#This Row],[Contrato2]],"000"))</f>
        <v>624</v>
      </c>
      <c r="AH758" s="149" t="str">
        <f ca="1">IFERROR(_xlfn.DAYS(Contrato5[[#This Row],[Fecha Proyectada liquidación]],TODAY())/30,"")</f>
        <v/>
      </c>
      <c r="AI758" s="150" t="e">
        <f ca="1">+Contrato5[[#This Row],[FECHA TERMINACIÓN ]]+120</f>
        <v>#NAME?</v>
      </c>
      <c r="AJ758" s="147"/>
      <c r="AK758" s="152" t="e">
        <f ca="1">IF(Contrato5[[#This Row],[FECHA TERMINACIÓN ]]&lt;TODAY(), "Terminado",IF(ISNUMBER(Contrato5[[#This Row],[Fecha Real de liquiidación ]]),"Liquidado",IF(Contrato5[[#This Row],[FECHA TERMINACIÓN ]]&gt;=TODAY(),"En ejecución","")))</f>
        <v>#NAME?</v>
      </c>
      <c r="AL758" s="153" t="e">
        <f ca="1">SUMIF([2]!COMPROMISOS_2024[[#All],[consecutivo]],Contrato5[[#This Row],[RCP]],[2]!COMPROMISOS_2024[[#All],[Total pagado]])</f>
        <v>#REF!</v>
      </c>
      <c r="AM758" s="154">
        <f ca="1">IFERROR(Contrato5[[#This Row],[Pagos]]/Contrato5[[#This Row],[VALOR CONTRATO]],0)</f>
        <v>0</v>
      </c>
      <c r="AN758" s="198" t="e">
        <f ca="1">+Contrato5[[#This Row],[VALOR CONTRATO]]-Contrato5[[#This Row],[Pagos]]</f>
        <v>#REF!</v>
      </c>
      <c r="AO758" s="147" t="e" cm="1">
        <f t="array" aca="1" ref="AO758" ca="1">_xlfn.XLOOKUP(Contrato5[[#This Row],[DOCUMENTO ]],[2]!PERSONAL_ACTIVO_2024[[#All],[Documento identidad]],[2]!PERSONAL_ACTIVO_2024[[#All],[Mail ]],0,0)</f>
        <v>#NAME?</v>
      </c>
      <c r="AP758" s="147" t="e" cm="1">
        <f t="array" aca="1" ref="AP758" ca="1">_xlfn.XLOOKUP(Contrato5[[#This Row],[DOCUMENTO]],[2]!PERSONAL_ACTIVO_2024[[#All],[Documento identidad]],[2]!PERSONAL_ACTIVO_2024[[#All],[Mail ]],0,0)</f>
        <v>#NAME?</v>
      </c>
      <c r="AQ758" s="439" cm="1">
        <f t="array" aca="1" ref="AQ758" ca="1">IF(ISBLANK(Contrato5[[#This Row],[DEPENDENCIA ]]),0,IFERROR(_xlfn.XLOOKUP(Contrato5[[#This Row],[DEPENDENCIA ]],[2]!PERSONAL_ACTIVO_2024[[#All],[Dependencia]],[2]!PERSONAL_ACTIVO_2024[[#All],[Mail ]],0,0),0))</f>
        <v>0</v>
      </c>
    </row>
    <row r="759" spans="1:16382" ht="34.5" customHeight="1">
      <c r="A759" s="147">
        <v>1101</v>
      </c>
      <c r="B759" s="124">
        <v>625</v>
      </c>
      <c r="C759" s="162" t="s">
        <v>2136</v>
      </c>
      <c r="D759" s="227" t="s">
        <v>583</v>
      </c>
      <c r="E759" s="440" t="s">
        <v>94</v>
      </c>
      <c r="F759" s="227" t="s">
        <v>1376</v>
      </c>
      <c r="G759" s="281" t="s">
        <v>879</v>
      </c>
      <c r="H759" s="436">
        <v>1028029120</v>
      </c>
      <c r="I759" s="273">
        <v>3379853</v>
      </c>
      <c r="J759" s="437">
        <v>13068764</v>
      </c>
      <c r="K759" s="131" t="s">
        <v>42</v>
      </c>
      <c r="L759" s="438" t="s">
        <v>2541</v>
      </c>
      <c r="M759" s="194" t="s">
        <v>880</v>
      </c>
      <c r="N759" s="177" t="e" cm="1">
        <f t="array" aca="1" ref="N759" ca="1">_xlfn.XLOOKUP(Contrato5[[#This Row],[SUPERVISOR TITULAR]],[2]!PERSONAL_ACTIVO_2024[[#All],[Nombre completo]],[2]!PERSONAL_ACTIVO_2024[[#All],[Documento identidad]],"",0)</f>
        <v>#NAME?</v>
      </c>
      <c r="O759" s="194" t="s">
        <v>497</v>
      </c>
      <c r="P759" s="196" t="e" cm="1">
        <f t="array" aca="1" ref="P759" ca="1">_xlfn.XLOOKUP(Contrato5[[#This Row],[SUPERVISOR SUPLENTE ]],[2]!PERSONAL_ACTIVO_2024[[#All],[Nombre completo]],[2]!PERSONAL_ACTIVO_2024[[#All],[Documento identidad]],"",0)</f>
        <v>#NAME?</v>
      </c>
      <c r="Q759" s="170">
        <v>882</v>
      </c>
      <c r="R759" s="137" t="e" cm="1">
        <f t="array" aca="1" ref="R759" ca="1">_xlfn.XLOOKUP(Contrato5[[#This Row],[CDP]],[2]!DISPONIBILIDADES_2024[[#All],[consecutivo]],[2]!DISPONIBILIDADES_2024[[#All],[fecha_aprobacion]],"",0)</f>
        <v>#NAME?</v>
      </c>
      <c r="S759" s="138" t="e">
        <f>SUMIF([2]!DISPONIBILIDADES_2024[[#All],[consecutivo]],Contrato5[[#This Row],[CDP]],[2]!DISPONIBILIDADES_2024[[#All],[valor_total_rubro]])</f>
        <v>#REF!</v>
      </c>
      <c r="T759" s="139" t="e" cm="1">
        <f t="array" aca="1" ref="T759" ca="1">_xlfn.XLOOKUP(Contrato5[[#This Row],[CONTRATO]]&amp;Contrato5[[#This Row],[CDP]],[2]!Corr_Contr_CDP[[#All],[CONTRATO-CDP]],[2]!Corr_Contr_CDP[[#All],[CRP]],_xlfn.XLOOKUP(Contrato5[[#This Row],[CDP]],[2]!COMPROMISOS_2024[[#All],[disponibilidad]],[2]!COMPROMISOS_2024[[#All],[consecutivo]],"",0),0)</f>
        <v>#NAME?</v>
      </c>
      <c r="U759" s="140" t="e" cm="1">
        <f t="array" aca="1" ref="U759" ca="1">+_xlfn.XLOOKUP(Contrato5[[#This Row],[RCP]],[2]!COMPROMISOS_2024[[#All],[consecutivo]],[2]!COMPROMISOS_2024[[#All],[fecha_aprobacion]],"",0)</f>
        <v>#NAME?</v>
      </c>
      <c r="V759" s="141" t="e">
        <f ca="1">SUMIF([2]!COMPROMISOS_2024[[#All],[consecutivo]],Contrato5[[#This Row],[RCP]],[2]!COMPROMISOS_2024[[#All],[valor_total]])</f>
        <v>#REF!</v>
      </c>
      <c r="W759" s="160">
        <v>45547</v>
      </c>
      <c r="X759" s="160" t="s">
        <v>1045</v>
      </c>
      <c r="Y759" s="143">
        <v>45548</v>
      </c>
      <c r="Z759" s="262">
        <v>45656</v>
      </c>
      <c r="AA759" s="183" t="s">
        <v>3048</v>
      </c>
      <c r="AB759" s="172" t="s">
        <v>3049</v>
      </c>
      <c r="AC759" s="172"/>
      <c r="AD759" s="547">
        <v>202000005345</v>
      </c>
      <c r="AE759" s="147" t="s">
        <v>523</v>
      </c>
      <c r="AF759" s="148" t="str">
        <f>TEXT(LEFT(Contrato5[[#This Row],[CONTRATO]],3),"0")</f>
        <v>625</v>
      </c>
      <c r="AG759" s="148" t="str">
        <f>IF(LEN(Contrato5[[#This Row],[Contrato2]])=3,Contrato5[[#This Row],[Contrato2]],TEXT(Contrato5[[#This Row],[Contrato2]],"000"))</f>
        <v>625</v>
      </c>
      <c r="AH759" s="149">
        <f ca="1">IFERROR(_xlfn.DAYS(Contrato5[[#This Row],[Fecha Proyectada liquidación]],TODAY())/30,"")</f>
        <v>0.6</v>
      </c>
      <c r="AI759" s="150">
        <f>+Contrato5[[#This Row],[FECHA TERMINACIÓN ]]+120</f>
        <v>45776</v>
      </c>
      <c r="AJ759" s="147"/>
      <c r="AK759" s="152" t="str">
        <f ca="1">IF(Contrato5[[#This Row],[FECHA TERMINACIÓN ]]&lt;TODAY(), "Terminado",IF(ISNUMBER(Contrato5[[#This Row],[Fecha Real de liquiidación ]]),"Liquidado",IF(Contrato5[[#This Row],[FECHA TERMINACIÓN ]]&gt;=TODAY(),"En ejecución","")))</f>
        <v>Terminado</v>
      </c>
      <c r="AL759" s="153" t="e">
        <f ca="1">SUMIF([2]!COMPROMISOS_2024[[#All],[consecutivo]],Contrato5[[#This Row],[RCP]],[2]!COMPROMISOS_2024[[#All],[Total pagado]])</f>
        <v>#REF!</v>
      </c>
      <c r="AM759" s="154">
        <f ca="1">IFERROR(Contrato5[[#This Row],[Pagos]]/Contrato5[[#This Row],[VALOR CONTRATO]],0)</f>
        <v>0</v>
      </c>
      <c r="AN759" s="198" t="e">
        <f ca="1">+Contrato5[[#This Row],[VALOR CONTRATO]]-Contrato5[[#This Row],[Pagos]]</f>
        <v>#REF!</v>
      </c>
      <c r="AO759" s="147" t="e" cm="1">
        <f t="array" aca="1" ref="AO759" ca="1">_xlfn.XLOOKUP(Contrato5[[#This Row],[DOCUMENTO ]],[2]!PERSONAL_ACTIVO_2024[[#All],[Documento identidad]],[2]!PERSONAL_ACTIVO_2024[[#All],[Mail ]],0,0)</f>
        <v>#NAME?</v>
      </c>
      <c r="AP759" s="147" t="e" cm="1">
        <f t="array" aca="1" ref="AP759" ca="1">_xlfn.XLOOKUP(Contrato5[[#This Row],[DOCUMENTO]],[2]!PERSONAL_ACTIVO_2024[[#All],[Documento identidad]],[2]!PERSONAL_ACTIVO_2024[[#All],[Mail ]],0,0)</f>
        <v>#NAME?</v>
      </c>
      <c r="AQ759" s="439" cm="1">
        <f t="array" aca="1" ref="AQ759" ca="1">IF(ISBLANK(Contrato5[[#This Row],[DEPENDENCIA ]]),0,IFERROR(_xlfn.XLOOKUP(Contrato5[[#This Row],[DEPENDENCIA ]],[2]!PERSONAL_ACTIVO_2024[[#All],[Dependencia]],[2]!PERSONAL_ACTIVO_2024[[#All],[Mail ]],0,0),0))</f>
        <v>0</v>
      </c>
    </row>
    <row r="760" spans="1:16382" ht="34.5" customHeight="1">
      <c r="A760" s="147">
        <v>998</v>
      </c>
      <c r="B760" s="124">
        <v>626</v>
      </c>
      <c r="C760" s="162" t="s">
        <v>1328</v>
      </c>
      <c r="D760" s="227" t="s">
        <v>3010</v>
      </c>
      <c r="E760" s="440" t="s">
        <v>94</v>
      </c>
      <c r="F760" s="227" t="s">
        <v>1376</v>
      </c>
      <c r="G760" s="281" t="s">
        <v>899</v>
      </c>
      <c r="H760" s="436">
        <v>1128438943</v>
      </c>
      <c r="I760" s="273">
        <v>7150000</v>
      </c>
      <c r="J760" s="437">
        <v>25501661</v>
      </c>
      <c r="K760" s="131" t="s">
        <v>42</v>
      </c>
      <c r="L760" s="438" t="s">
        <v>2541</v>
      </c>
      <c r="M760" s="194" t="s">
        <v>796</v>
      </c>
      <c r="N760" s="177" t="e" cm="1">
        <f t="array" aca="1" ref="N760" ca="1">_xlfn.XLOOKUP(Contrato5[[#This Row],[SUPERVISOR TITULAR]],[2]!PERSONAL_ACTIVO_2024[[#All],[Nombre completo]],[2]!PERSONAL_ACTIVO_2024[[#All],[Documento identidad]],"",0)</f>
        <v>#NAME?</v>
      </c>
      <c r="O760" s="194" t="s">
        <v>2536</v>
      </c>
      <c r="P760" s="196" t="e" cm="1">
        <f t="array" aca="1" ref="P760" ca="1">_xlfn.XLOOKUP(Contrato5[[#This Row],[SUPERVISOR SUPLENTE ]],[2]!PERSONAL_ACTIVO_2024[[#All],[Nombre completo]],[2]!PERSONAL_ACTIVO_2024[[#All],[Documento identidad]],"",0)</f>
        <v>#NAME?</v>
      </c>
      <c r="Q760" s="170">
        <v>837</v>
      </c>
      <c r="R760" s="137" t="e" cm="1">
        <f t="array" aca="1" ref="R760" ca="1">_xlfn.XLOOKUP(Contrato5[[#This Row],[CDP]],[2]!DISPONIBILIDADES_2024[[#All],[consecutivo]],[2]!DISPONIBILIDADES_2024[[#All],[fecha_aprobacion]],"",0)</f>
        <v>#NAME?</v>
      </c>
      <c r="S760" s="138" t="e">
        <f>SUMIF([2]!DISPONIBILIDADES_2024[[#All],[consecutivo]],Contrato5[[#This Row],[CDP]],[2]!DISPONIBILIDADES_2024[[#All],[valor_total_rubro]])</f>
        <v>#REF!</v>
      </c>
      <c r="T760" s="139" t="e" cm="1">
        <f t="array" aca="1" ref="T760" ca="1">_xlfn.XLOOKUP(Contrato5[[#This Row],[CONTRATO]]&amp;Contrato5[[#This Row],[CDP]],[2]!Corr_Contr_CDP[[#All],[CONTRATO-CDP]],[2]!Corr_Contr_CDP[[#All],[CRP]],_xlfn.XLOOKUP(Contrato5[[#This Row],[CDP]],[2]!COMPROMISOS_2024[[#All],[disponibilidad]],[2]!COMPROMISOS_2024[[#All],[consecutivo]],"",0),0)</f>
        <v>#NAME?</v>
      </c>
      <c r="U760" s="140" t="e" cm="1">
        <f t="array" aca="1" ref="U760" ca="1">+_xlfn.XLOOKUP(Contrato5[[#This Row],[RCP]],[2]!COMPROMISOS_2024[[#All],[consecutivo]],[2]!COMPROMISOS_2024[[#All],[fecha_aprobacion]],"",0)</f>
        <v>#NAME?</v>
      </c>
      <c r="V760" s="141" t="e">
        <f ca="1">SUMIF([2]!COMPROMISOS_2024[[#All],[consecutivo]],Contrato5[[#This Row],[RCP]],[2]!COMPROMISOS_2024[[#All],[valor_total]])</f>
        <v>#REF!</v>
      </c>
      <c r="W760" s="160">
        <v>45547</v>
      </c>
      <c r="X760" s="160" t="s">
        <v>1045</v>
      </c>
      <c r="Y760" s="143">
        <v>45551</v>
      </c>
      <c r="Z760" s="262">
        <v>45656</v>
      </c>
      <c r="AA760" s="183" t="s">
        <v>3050</v>
      </c>
      <c r="AB760" s="172" t="s">
        <v>3051</v>
      </c>
      <c r="AC760" s="172"/>
      <c r="AD760" s="547">
        <v>202000005346</v>
      </c>
      <c r="AE760" s="147" t="s">
        <v>523</v>
      </c>
      <c r="AF760" s="148" t="str">
        <f>TEXT(LEFT(Contrato5[[#This Row],[CONTRATO]],3),"0")</f>
        <v>626</v>
      </c>
      <c r="AG760" s="148" t="str">
        <f>IF(LEN(Contrato5[[#This Row],[Contrato2]])=3,Contrato5[[#This Row],[Contrato2]],TEXT(Contrato5[[#This Row],[Contrato2]],"000"))</f>
        <v>626</v>
      </c>
      <c r="AH760" s="149">
        <f ca="1">IFERROR(_xlfn.DAYS(Contrato5[[#This Row],[Fecha Proyectada liquidación]],TODAY())/30,"")</f>
        <v>0.6</v>
      </c>
      <c r="AI760" s="150">
        <f>+Contrato5[[#This Row],[FECHA TERMINACIÓN ]]+120</f>
        <v>45776</v>
      </c>
      <c r="AJ760" s="147"/>
      <c r="AK760" s="152" t="str">
        <f ca="1">IF(Contrato5[[#This Row],[FECHA TERMINACIÓN ]]&lt;TODAY(), "Terminado",IF(ISNUMBER(Contrato5[[#This Row],[Fecha Real de liquiidación ]]),"Liquidado",IF(Contrato5[[#This Row],[FECHA TERMINACIÓN ]]&gt;=TODAY(),"En ejecución","")))</f>
        <v>Terminado</v>
      </c>
      <c r="AL760" s="153" t="e">
        <f ca="1">SUMIF([2]!COMPROMISOS_2024[[#All],[consecutivo]],Contrato5[[#This Row],[RCP]],[2]!COMPROMISOS_2024[[#All],[Total pagado]])</f>
        <v>#REF!</v>
      </c>
      <c r="AM760" s="154">
        <f ca="1">IFERROR(Contrato5[[#This Row],[Pagos]]/Contrato5[[#This Row],[VALOR CONTRATO]],0)</f>
        <v>0</v>
      </c>
      <c r="AN760" s="198" t="e">
        <f ca="1">+Contrato5[[#This Row],[VALOR CONTRATO]]-Contrato5[[#This Row],[Pagos]]</f>
        <v>#REF!</v>
      </c>
      <c r="AO760" s="147" t="e" cm="1">
        <f t="array" aca="1" ref="AO760" ca="1">_xlfn.XLOOKUP(Contrato5[[#This Row],[DOCUMENTO ]],[2]!PERSONAL_ACTIVO_2024[[#All],[Documento identidad]],[2]!PERSONAL_ACTIVO_2024[[#All],[Mail ]],0,0)</f>
        <v>#NAME?</v>
      </c>
      <c r="AP760" s="147" t="e" cm="1">
        <f t="array" aca="1" ref="AP760" ca="1">_xlfn.XLOOKUP(Contrato5[[#This Row],[DOCUMENTO]],[2]!PERSONAL_ACTIVO_2024[[#All],[Documento identidad]],[2]!PERSONAL_ACTIVO_2024[[#All],[Mail ]],0,0)</f>
        <v>#NAME?</v>
      </c>
      <c r="AQ760" s="439" cm="1">
        <f t="array" aca="1" ref="AQ760" ca="1">IF(ISBLANK(Contrato5[[#This Row],[DEPENDENCIA ]]),0,IFERROR(_xlfn.XLOOKUP(Contrato5[[#This Row],[DEPENDENCIA ]],[2]!PERSONAL_ACTIVO_2024[[#All],[Dependencia]],[2]!PERSONAL_ACTIVO_2024[[#All],[Mail ]],0,0),0))</f>
        <v>0</v>
      </c>
    </row>
    <row r="761" spans="1:16382" ht="34.5" customHeight="1">
      <c r="A761" s="147">
        <v>1089</v>
      </c>
      <c r="B761" s="124">
        <v>627</v>
      </c>
      <c r="C761" s="162" t="s">
        <v>2221</v>
      </c>
      <c r="D761" s="227" t="s">
        <v>583</v>
      </c>
      <c r="E761" s="440" t="s">
        <v>94</v>
      </c>
      <c r="F761" s="227" t="s">
        <v>1767</v>
      </c>
      <c r="G761" s="281" t="s">
        <v>2685</v>
      </c>
      <c r="H761" s="436">
        <v>890984385</v>
      </c>
      <c r="I761" s="273" t="s">
        <v>42</v>
      </c>
      <c r="J761" s="437">
        <v>100000000</v>
      </c>
      <c r="K761" s="131" t="s">
        <v>42</v>
      </c>
      <c r="L761" s="438" t="s">
        <v>2541</v>
      </c>
      <c r="M761" s="194" t="s">
        <v>592</v>
      </c>
      <c r="N761" s="177" t="e" cm="1">
        <f t="array" aca="1" ref="N761" ca="1">_xlfn.XLOOKUP(Contrato5[[#This Row],[SUPERVISOR TITULAR]],[2]!PERSONAL_ACTIVO_2024[[#All],[Nombre completo]],[2]!PERSONAL_ACTIVO_2024[[#All],[Documento identidad]],"",0)</f>
        <v>#NAME?</v>
      </c>
      <c r="O761" s="194" t="s">
        <v>600</v>
      </c>
      <c r="P761" s="196" t="e" cm="1">
        <f t="array" aca="1" ref="P761" ca="1">_xlfn.XLOOKUP(Contrato5[[#This Row],[SUPERVISOR SUPLENTE ]],[2]!PERSONAL_ACTIVO_2024[[#All],[Nombre completo]],[2]!PERSONAL_ACTIVO_2024[[#All],[Documento identidad]],"",0)</f>
        <v>#NAME?</v>
      </c>
      <c r="Q761" s="170">
        <v>875</v>
      </c>
      <c r="R761" s="137" t="e" cm="1">
        <f t="array" aca="1" ref="R761" ca="1">_xlfn.XLOOKUP(Contrato5[[#This Row],[CDP]],[2]!DISPONIBILIDADES_2024[[#All],[consecutivo]],[2]!DISPONIBILIDADES_2024[[#All],[fecha_aprobacion]],"",0)</f>
        <v>#NAME?</v>
      </c>
      <c r="S761" s="138" t="e">
        <f>SUMIF([2]!DISPONIBILIDADES_2024[[#All],[consecutivo]],Contrato5[[#This Row],[CDP]],[2]!DISPONIBILIDADES_2024[[#All],[valor_total_rubro]])</f>
        <v>#REF!</v>
      </c>
      <c r="T761" s="139" t="e" cm="1">
        <f t="array" aca="1" ref="T761" ca="1">_xlfn.XLOOKUP(Contrato5[[#This Row],[CONTRATO]]&amp;Contrato5[[#This Row],[CDP]],[2]!Corr_Contr_CDP[[#All],[CONTRATO-CDP]],[2]!Corr_Contr_CDP[[#All],[CRP]],_xlfn.XLOOKUP(Contrato5[[#This Row],[CDP]],[2]!COMPROMISOS_2024[[#All],[disponibilidad]],[2]!COMPROMISOS_2024[[#All],[consecutivo]],"",0),0)</f>
        <v>#NAME?</v>
      </c>
      <c r="U761" s="140" t="e" cm="1">
        <f t="array" aca="1" ref="U761" ca="1">+_xlfn.XLOOKUP(Contrato5[[#This Row],[RCP]],[2]!COMPROMISOS_2024[[#All],[consecutivo]],[2]!COMPROMISOS_2024[[#All],[fecha_aprobacion]],"",0)</f>
        <v>#NAME?</v>
      </c>
      <c r="V761" s="141" t="e">
        <f ca="1">SUMIF([2]!COMPROMISOS_2024[[#All],[consecutivo]],Contrato5[[#This Row],[RCP]],[2]!COMPROMISOS_2024[[#All],[valor_total]])</f>
        <v>#REF!</v>
      </c>
      <c r="W761" s="160">
        <v>45548</v>
      </c>
      <c r="X761" s="161">
        <v>45553</v>
      </c>
      <c r="Y761" s="143">
        <v>45554</v>
      </c>
      <c r="Z761" s="262">
        <v>45656</v>
      </c>
      <c r="AA761" s="171" t="s">
        <v>3052</v>
      </c>
      <c r="AB761" s="172" t="s">
        <v>686</v>
      </c>
      <c r="AC761" s="172"/>
      <c r="AD761" s="547">
        <v>202000005347</v>
      </c>
      <c r="AE761" s="147" t="s">
        <v>523</v>
      </c>
      <c r="AF761" s="148" t="str">
        <f>TEXT(LEFT(Contrato5[[#This Row],[CONTRATO]],3),"0")</f>
        <v>627</v>
      </c>
      <c r="AG761" s="148" t="str">
        <f>IF(LEN(Contrato5[[#This Row],[Contrato2]])=3,Contrato5[[#This Row],[Contrato2]],TEXT(Contrato5[[#This Row],[Contrato2]],"000"))</f>
        <v>627</v>
      </c>
      <c r="AH761" s="149">
        <f ca="1">IFERROR(_xlfn.DAYS(Contrato5[[#This Row],[Fecha Proyectada liquidación]],TODAY())/30,"")</f>
        <v>0.6</v>
      </c>
      <c r="AI761" s="150">
        <f>+Contrato5[[#This Row],[FECHA TERMINACIÓN ]]+120</f>
        <v>45776</v>
      </c>
      <c r="AJ761" s="147"/>
      <c r="AK761" s="152" t="str">
        <f ca="1">IF(Contrato5[[#This Row],[FECHA TERMINACIÓN ]]&lt;TODAY(), "Terminado",IF(ISNUMBER(Contrato5[[#This Row],[Fecha Real de liquiidación ]]),"Liquidado",IF(Contrato5[[#This Row],[FECHA TERMINACIÓN ]]&gt;=TODAY(),"En ejecución","")))</f>
        <v>Terminado</v>
      </c>
      <c r="AL761" s="153" t="e">
        <f ca="1">SUMIF([2]!COMPROMISOS_2024[[#All],[consecutivo]],Contrato5[[#This Row],[RCP]],[2]!COMPROMISOS_2024[[#All],[Total pagado]])</f>
        <v>#REF!</v>
      </c>
      <c r="AM761" s="154">
        <f ca="1">IFERROR(Contrato5[[#This Row],[Pagos]]/Contrato5[[#This Row],[VALOR CONTRATO]],0)</f>
        <v>0</v>
      </c>
      <c r="AN761" s="198" t="e">
        <f ca="1">+Contrato5[[#This Row],[VALOR CONTRATO]]-Contrato5[[#This Row],[Pagos]]</f>
        <v>#REF!</v>
      </c>
      <c r="AO761" s="147" t="e" cm="1">
        <f t="array" aca="1" ref="AO761" ca="1">_xlfn.XLOOKUP(Contrato5[[#This Row],[DOCUMENTO ]],[2]!PERSONAL_ACTIVO_2024[[#All],[Documento identidad]],[2]!PERSONAL_ACTIVO_2024[[#All],[Mail ]],0,0)</f>
        <v>#NAME?</v>
      </c>
      <c r="AP761" s="147" t="e" cm="1">
        <f t="array" aca="1" ref="AP761" ca="1">_xlfn.XLOOKUP(Contrato5[[#This Row],[DOCUMENTO]],[2]!PERSONAL_ACTIVO_2024[[#All],[Documento identidad]],[2]!PERSONAL_ACTIVO_2024[[#All],[Mail ]],0,0)</f>
        <v>#NAME?</v>
      </c>
      <c r="AQ761" s="439" cm="1">
        <f t="array" aca="1" ref="AQ761" ca="1">IF(ISBLANK(Contrato5[[#This Row],[DEPENDENCIA ]]),0,IFERROR(_xlfn.XLOOKUP(Contrato5[[#This Row],[DEPENDENCIA ]],[2]!PERSONAL_ACTIVO_2024[[#All],[Dependencia]],[2]!PERSONAL_ACTIVO_2024[[#All],[Mail ]],0,0),0))</f>
        <v>0</v>
      </c>
    </row>
    <row r="762" spans="1:16382" ht="34.5" customHeight="1">
      <c r="A762" s="147">
        <v>1090</v>
      </c>
      <c r="B762" s="124">
        <v>628</v>
      </c>
      <c r="C762" s="162" t="s">
        <v>2222</v>
      </c>
      <c r="D762" s="227" t="s">
        <v>583</v>
      </c>
      <c r="E762" s="440" t="s">
        <v>94</v>
      </c>
      <c r="F762" s="227" t="s">
        <v>1767</v>
      </c>
      <c r="G762" s="281" t="s">
        <v>3053</v>
      </c>
      <c r="H762" s="436">
        <v>800160385</v>
      </c>
      <c r="I762" s="273" t="s">
        <v>42</v>
      </c>
      <c r="J762" s="437">
        <v>100000000</v>
      </c>
      <c r="K762" s="413" t="s">
        <v>42</v>
      </c>
      <c r="L762" s="438" t="s">
        <v>2541</v>
      </c>
      <c r="M762" s="194" t="s">
        <v>600</v>
      </c>
      <c r="N762" s="177" t="e" cm="1">
        <f t="array" aca="1" ref="N762" ca="1">_xlfn.XLOOKUP(Contrato5[[#This Row],[SUPERVISOR TITULAR]],[2]!PERSONAL_ACTIVO_2024[[#All],[Nombre completo]],[2]!PERSONAL_ACTIVO_2024[[#All],[Documento identidad]],"",0)</f>
        <v>#NAME?</v>
      </c>
      <c r="O762" s="194" t="s">
        <v>2495</v>
      </c>
      <c r="P762" s="196" t="e" cm="1">
        <f t="array" aca="1" ref="P762" ca="1">_xlfn.XLOOKUP(Contrato5[[#This Row],[SUPERVISOR SUPLENTE ]],[2]!PERSONAL_ACTIVO_2024[[#All],[Nombre completo]],[2]!PERSONAL_ACTIVO_2024[[#All],[Documento identidad]],"",0)</f>
        <v>#NAME?</v>
      </c>
      <c r="Q762" s="170">
        <v>877</v>
      </c>
      <c r="R762" s="137" t="e" cm="1">
        <f t="array" aca="1" ref="R762" ca="1">_xlfn.XLOOKUP(Contrato5[[#This Row],[CDP]],[2]!DISPONIBILIDADES_2024[[#All],[consecutivo]],[2]!DISPONIBILIDADES_2024[[#All],[fecha_aprobacion]],"",0)</f>
        <v>#NAME?</v>
      </c>
      <c r="S762" s="138" t="e">
        <f>SUMIF([2]!DISPONIBILIDADES_2024[[#All],[consecutivo]],Contrato5[[#This Row],[CDP]],[2]!DISPONIBILIDADES_2024[[#All],[valor_total_rubro]])</f>
        <v>#REF!</v>
      </c>
      <c r="T762" s="139" t="e" cm="1">
        <f t="array" aca="1" ref="T762" ca="1">_xlfn.XLOOKUP(Contrato5[[#This Row],[CONTRATO]]&amp;Contrato5[[#This Row],[CDP]],[2]!Corr_Contr_CDP[[#All],[CONTRATO-CDP]],[2]!Corr_Contr_CDP[[#All],[CRP]],_xlfn.XLOOKUP(Contrato5[[#This Row],[CDP]],[2]!COMPROMISOS_2024[[#All],[disponibilidad]],[2]!COMPROMISOS_2024[[#All],[consecutivo]],"",0),0)</f>
        <v>#NAME?</v>
      </c>
      <c r="U762" s="140" t="e" cm="1">
        <f t="array" aca="1" ref="U762" ca="1">+_xlfn.XLOOKUP(Contrato5[[#This Row],[RCP]],[2]!COMPROMISOS_2024[[#All],[consecutivo]],[2]!COMPROMISOS_2024[[#All],[fecha_aprobacion]],"",0)</f>
        <v>#NAME?</v>
      </c>
      <c r="V762" s="141" t="e">
        <f ca="1">SUMIF([2]!COMPROMISOS_2024[[#All],[consecutivo]],Contrato5[[#This Row],[RCP]],[2]!COMPROMISOS_2024[[#All],[valor_total]])</f>
        <v>#REF!</v>
      </c>
      <c r="W762" s="160">
        <v>45555</v>
      </c>
      <c r="X762" s="161">
        <v>45562</v>
      </c>
      <c r="Y762" s="143">
        <v>45562</v>
      </c>
      <c r="Z762" s="262">
        <v>45656</v>
      </c>
      <c r="AA762" s="183" t="s">
        <v>3054</v>
      </c>
      <c r="AB762" s="172" t="s">
        <v>686</v>
      </c>
      <c r="AC762" s="172"/>
      <c r="AD762" s="547">
        <v>202000005348</v>
      </c>
      <c r="AE762" s="147" t="s">
        <v>523</v>
      </c>
      <c r="AF762" s="148" t="str">
        <f>TEXT(LEFT(Contrato5[[#This Row],[CONTRATO]],3),"0")</f>
        <v>628</v>
      </c>
      <c r="AG762" s="148" t="str">
        <f>IF(LEN(Contrato5[[#This Row],[Contrato2]])=3,Contrato5[[#This Row],[Contrato2]],TEXT(Contrato5[[#This Row],[Contrato2]],"000"))</f>
        <v>628</v>
      </c>
      <c r="AH762" s="149">
        <f ca="1">IFERROR(_xlfn.DAYS(Contrato5[[#This Row],[Fecha Proyectada liquidación]],TODAY())/30,"")</f>
        <v>0.6</v>
      </c>
      <c r="AI762" s="150">
        <f>+Contrato5[[#This Row],[FECHA TERMINACIÓN ]]+120</f>
        <v>45776</v>
      </c>
      <c r="AJ762" s="147"/>
      <c r="AK762" s="152" t="str">
        <f ca="1">IF(Contrato5[[#This Row],[FECHA TERMINACIÓN ]]&lt;TODAY(), "Terminado",IF(ISNUMBER(Contrato5[[#This Row],[Fecha Real de liquiidación ]]),"Liquidado",IF(Contrato5[[#This Row],[FECHA TERMINACIÓN ]]&gt;=TODAY(),"En ejecución","")))</f>
        <v>Terminado</v>
      </c>
      <c r="AL762" s="153" t="e">
        <f ca="1">SUMIF([2]!COMPROMISOS_2024[[#All],[consecutivo]],Contrato5[[#This Row],[RCP]],[2]!COMPROMISOS_2024[[#All],[Total pagado]])</f>
        <v>#REF!</v>
      </c>
      <c r="AM762" s="154">
        <f ca="1">IFERROR(Contrato5[[#This Row],[Pagos]]/Contrato5[[#This Row],[VALOR CONTRATO]],0)</f>
        <v>0</v>
      </c>
      <c r="AN762" s="198" t="e">
        <f ca="1">+Contrato5[[#This Row],[VALOR CONTRATO]]-Contrato5[[#This Row],[Pagos]]</f>
        <v>#REF!</v>
      </c>
      <c r="AO762" s="147" t="e" cm="1">
        <f t="array" aca="1" ref="AO762" ca="1">_xlfn.XLOOKUP(Contrato5[[#This Row],[DOCUMENTO ]],[2]!PERSONAL_ACTIVO_2024[[#All],[Documento identidad]],[2]!PERSONAL_ACTIVO_2024[[#All],[Mail ]],0,0)</f>
        <v>#NAME?</v>
      </c>
      <c r="AP762" s="147" t="e" cm="1">
        <f t="array" aca="1" ref="AP762" ca="1">_xlfn.XLOOKUP(Contrato5[[#This Row],[DOCUMENTO]],[2]!PERSONAL_ACTIVO_2024[[#All],[Documento identidad]],[2]!PERSONAL_ACTIVO_2024[[#All],[Mail ]],0,0)</f>
        <v>#NAME?</v>
      </c>
      <c r="AQ762" s="439" cm="1">
        <f t="array" aca="1" ref="AQ762" ca="1">IF(ISBLANK(Contrato5[[#This Row],[DEPENDENCIA ]]),0,IFERROR(_xlfn.XLOOKUP(Contrato5[[#This Row],[DEPENDENCIA ]],[2]!PERSONAL_ACTIVO_2024[[#All],[Dependencia]],[2]!PERSONAL_ACTIVO_2024[[#All],[Mail ]],0,0),0))</f>
        <v>0</v>
      </c>
    </row>
    <row r="763" spans="1:16382" ht="34.5" customHeight="1">
      <c r="A763" s="147">
        <v>714</v>
      </c>
      <c r="B763" s="124">
        <v>629</v>
      </c>
      <c r="C763" s="162" t="s">
        <v>1768</v>
      </c>
      <c r="D763" s="227" t="s">
        <v>583</v>
      </c>
      <c r="E763" s="440" t="s">
        <v>94</v>
      </c>
      <c r="F763" s="227" t="s">
        <v>222</v>
      </c>
      <c r="G763" s="281" t="s">
        <v>3055</v>
      </c>
      <c r="H763" s="436">
        <v>890905674</v>
      </c>
      <c r="I763" s="273" t="s">
        <v>42</v>
      </c>
      <c r="J763" s="437">
        <v>100000000</v>
      </c>
      <c r="K763" s="131" t="s">
        <v>42</v>
      </c>
      <c r="L763" s="438" t="s">
        <v>2541</v>
      </c>
      <c r="M763" s="194" t="s">
        <v>592</v>
      </c>
      <c r="N763" s="177" t="e" cm="1">
        <f t="array" aca="1" ref="N763" ca="1">_xlfn.XLOOKUP(Contrato5[[#This Row],[SUPERVISOR TITULAR]],[2]!PERSONAL_ACTIVO_2024[[#All],[Nombre completo]],[2]!PERSONAL_ACTIVO_2024[[#All],[Documento identidad]],"",0)</f>
        <v>#NAME?</v>
      </c>
      <c r="O763" s="194" t="s">
        <v>600</v>
      </c>
      <c r="P763" s="196" t="e" cm="1">
        <f t="array" aca="1" ref="P763" ca="1">_xlfn.XLOOKUP(Contrato5[[#This Row],[SUPERVISOR SUPLENTE ]],[2]!PERSONAL_ACTIVO_2024[[#All],[Nombre completo]],[2]!PERSONAL_ACTIVO_2024[[#All],[Documento identidad]],"",0)</f>
        <v>#NAME?</v>
      </c>
      <c r="Q763" s="170">
        <v>623</v>
      </c>
      <c r="R763" s="137" t="e" cm="1">
        <f t="array" aca="1" ref="R763" ca="1">_xlfn.XLOOKUP(Contrato5[[#This Row],[CDP]],[2]!DISPONIBILIDADES_2024[[#All],[consecutivo]],[2]!DISPONIBILIDADES_2024[[#All],[fecha_aprobacion]],"",0)</f>
        <v>#NAME?</v>
      </c>
      <c r="S763" s="138" t="e">
        <f>SUMIF([2]!DISPONIBILIDADES_2024[[#All],[consecutivo]],Contrato5[[#This Row],[CDP]],[2]!DISPONIBILIDADES_2024[[#All],[valor_total_rubro]])</f>
        <v>#REF!</v>
      </c>
      <c r="T763" s="139" t="e" cm="1">
        <f t="array" aca="1" ref="T763" ca="1">_xlfn.XLOOKUP(Contrato5[[#This Row],[CONTRATO]]&amp;Contrato5[[#This Row],[CDP]],[2]!Corr_Contr_CDP[[#All],[CONTRATO-CDP]],[2]!Corr_Contr_CDP[[#All],[CRP]],_xlfn.XLOOKUP(Contrato5[[#This Row],[CDP]],[2]!COMPROMISOS_2024[[#All],[disponibilidad]],[2]!COMPROMISOS_2024[[#All],[consecutivo]],"",0),0)</f>
        <v>#NAME?</v>
      </c>
      <c r="U763" s="140" t="e" cm="1">
        <f t="array" aca="1" ref="U763" ca="1">+_xlfn.XLOOKUP(Contrato5[[#This Row],[RCP]],[2]!COMPROMISOS_2024[[#All],[consecutivo]],[2]!COMPROMISOS_2024[[#All],[fecha_aprobacion]],"",0)</f>
        <v>#NAME?</v>
      </c>
      <c r="V763" s="141" t="e">
        <f ca="1">SUMIF([2]!COMPROMISOS_2024[[#All],[consecutivo]],Contrato5[[#This Row],[RCP]],[2]!COMPROMISOS_2024[[#All],[valor_total]])</f>
        <v>#REF!</v>
      </c>
      <c r="W763" s="160">
        <v>45545</v>
      </c>
      <c r="X763" s="161">
        <v>45548</v>
      </c>
      <c r="Y763" s="143">
        <v>45551</v>
      </c>
      <c r="Z763" s="262">
        <v>45656</v>
      </c>
      <c r="AA763" s="183" t="s">
        <v>3056</v>
      </c>
      <c r="AB763" s="172" t="s">
        <v>686</v>
      </c>
      <c r="AC763" s="172"/>
      <c r="AD763" s="547">
        <v>202000005349</v>
      </c>
      <c r="AE763" s="147" t="s">
        <v>523</v>
      </c>
      <c r="AF763" s="148" t="str">
        <f>TEXT(LEFT(Contrato5[[#This Row],[CONTRATO]],3),"0")</f>
        <v>629</v>
      </c>
      <c r="AG763" s="148" t="str">
        <f>IF(LEN(Contrato5[[#This Row],[Contrato2]])=3,Contrato5[[#This Row],[Contrato2]],TEXT(Contrato5[[#This Row],[Contrato2]],"000"))</f>
        <v>629</v>
      </c>
      <c r="AH763" s="149">
        <f ca="1">IFERROR(_xlfn.DAYS(Contrato5[[#This Row],[Fecha Proyectada liquidación]],TODAY())/30,"")</f>
        <v>0.6</v>
      </c>
      <c r="AI763" s="150">
        <f>+Contrato5[[#This Row],[FECHA TERMINACIÓN ]]+120</f>
        <v>45776</v>
      </c>
      <c r="AJ763" s="147"/>
      <c r="AK763" s="152" t="str">
        <f ca="1">IF(Contrato5[[#This Row],[FECHA TERMINACIÓN ]]&lt;TODAY(), "Terminado",IF(ISNUMBER(Contrato5[[#This Row],[Fecha Real de liquiidación ]]),"Liquidado",IF(Contrato5[[#This Row],[FECHA TERMINACIÓN ]]&gt;=TODAY(),"En ejecución","")))</f>
        <v>Terminado</v>
      </c>
      <c r="AL763" s="153" t="e">
        <f ca="1">SUMIF([2]!COMPROMISOS_2024[[#All],[consecutivo]],Contrato5[[#This Row],[RCP]],[2]!COMPROMISOS_2024[[#All],[Total pagado]])</f>
        <v>#REF!</v>
      </c>
      <c r="AM763" s="154">
        <f ca="1">IFERROR(Contrato5[[#This Row],[Pagos]]/Contrato5[[#This Row],[VALOR CONTRATO]],0)</f>
        <v>0</v>
      </c>
      <c r="AN763" s="198" t="e">
        <f ca="1">+Contrato5[[#This Row],[VALOR CONTRATO]]-Contrato5[[#This Row],[Pagos]]</f>
        <v>#REF!</v>
      </c>
      <c r="AO763" s="147" t="e" cm="1">
        <f t="array" aca="1" ref="AO763" ca="1">_xlfn.XLOOKUP(Contrato5[[#This Row],[DOCUMENTO ]],[2]!PERSONAL_ACTIVO_2024[[#All],[Documento identidad]],[2]!PERSONAL_ACTIVO_2024[[#All],[Mail ]],0,0)</f>
        <v>#NAME?</v>
      </c>
      <c r="AP763" s="147" t="e" cm="1">
        <f t="array" aca="1" ref="AP763" ca="1">_xlfn.XLOOKUP(Contrato5[[#This Row],[DOCUMENTO]],[2]!PERSONAL_ACTIVO_2024[[#All],[Documento identidad]],[2]!PERSONAL_ACTIVO_2024[[#All],[Mail ]],0,0)</f>
        <v>#NAME?</v>
      </c>
      <c r="AQ763" s="439" cm="1">
        <f t="array" aca="1" ref="AQ763" ca="1">IF(ISBLANK(Contrato5[[#This Row],[DEPENDENCIA ]]),0,IFERROR(_xlfn.XLOOKUP(Contrato5[[#This Row],[DEPENDENCIA ]],[2]!PERSONAL_ACTIVO_2024[[#All],[Dependencia]],[2]!PERSONAL_ACTIVO_2024[[#All],[Mail ]],0,0),0))</f>
        <v>0</v>
      </c>
    </row>
    <row r="764" spans="1:16382" ht="34.5" customHeight="1">
      <c r="A764" s="147">
        <v>1026</v>
      </c>
      <c r="B764" s="124">
        <v>630</v>
      </c>
      <c r="C764" s="162" t="s">
        <v>2123</v>
      </c>
      <c r="D764" s="227" t="s">
        <v>583</v>
      </c>
      <c r="E764" s="440" t="s">
        <v>898</v>
      </c>
      <c r="F764" s="227" t="s">
        <v>1376</v>
      </c>
      <c r="G764" s="281" t="s">
        <v>1038</v>
      </c>
      <c r="H764" s="436">
        <v>79456026</v>
      </c>
      <c r="I764" s="273">
        <v>9780000</v>
      </c>
      <c r="J764" s="437">
        <v>36512000</v>
      </c>
      <c r="K764" s="131" t="s">
        <v>42</v>
      </c>
      <c r="L764" s="438" t="s">
        <v>3042</v>
      </c>
      <c r="M764" s="194" t="s">
        <v>984</v>
      </c>
      <c r="N764" s="177" t="e" cm="1">
        <f t="array" aca="1" ref="N764" ca="1">_xlfn.XLOOKUP(Contrato5[[#This Row],[SUPERVISOR TITULAR]],[2]!PERSONAL_ACTIVO_2024[[#All],[Nombre completo]],[2]!PERSONAL_ACTIVO_2024[[#All],[Documento identidad]],"",0)</f>
        <v>#NAME?</v>
      </c>
      <c r="O764" s="194" t="s">
        <v>1185</v>
      </c>
      <c r="P764" s="196" t="e" cm="1">
        <f t="array" aca="1" ref="P764" ca="1">_xlfn.XLOOKUP(Contrato5[[#This Row],[SUPERVISOR SUPLENTE ]],[2]!PERSONAL_ACTIVO_2024[[#All],[Nombre completo]],[2]!PERSONAL_ACTIVO_2024[[#All],[Documento identidad]],"",0)</f>
        <v>#NAME?</v>
      </c>
      <c r="Q764" s="170">
        <v>840</v>
      </c>
      <c r="R764" s="137" t="e" cm="1">
        <f t="array" aca="1" ref="R764" ca="1">_xlfn.XLOOKUP(Contrato5[[#This Row],[CDP]],[2]!DISPONIBILIDADES_2024[[#All],[consecutivo]],[2]!DISPONIBILIDADES_2024[[#All],[fecha_aprobacion]],"",0)</f>
        <v>#NAME?</v>
      </c>
      <c r="S764" s="138" t="e">
        <f>SUMIF([2]!DISPONIBILIDADES_2024[[#All],[consecutivo]],Contrato5[[#This Row],[CDP]],[2]!DISPONIBILIDADES_2024[[#All],[valor_total_rubro]])</f>
        <v>#REF!</v>
      </c>
      <c r="T764" s="139" t="e" cm="1">
        <f t="array" aca="1" ref="T764" ca="1">_xlfn.XLOOKUP(Contrato5[[#This Row],[CONTRATO]]&amp;Contrato5[[#This Row],[CDP]],[2]!Corr_Contr_CDP[[#All],[CONTRATO-CDP]],[2]!Corr_Contr_CDP[[#All],[CRP]],_xlfn.XLOOKUP(Contrato5[[#This Row],[CDP]],[2]!COMPROMISOS_2024[[#All],[disponibilidad]],[2]!COMPROMISOS_2024[[#All],[consecutivo]],"",0),0)</f>
        <v>#NAME?</v>
      </c>
      <c r="U764" s="140" t="e" cm="1">
        <f t="array" aca="1" ref="U764" ca="1">+_xlfn.XLOOKUP(Contrato5[[#This Row],[RCP]],[2]!COMPROMISOS_2024[[#All],[consecutivo]],[2]!COMPROMISOS_2024[[#All],[fecha_aprobacion]],"",0)</f>
        <v>#NAME?</v>
      </c>
      <c r="V764" s="141" t="e">
        <f ca="1">SUMIF([2]!COMPROMISOS_2024[[#All],[consecutivo]],Contrato5[[#This Row],[RCP]],[2]!COMPROMISOS_2024[[#All],[valor_total]])</f>
        <v>#REF!</v>
      </c>
      <c r="W764" s="160">
        <v>45547</v>
      </c>
      <c r="X764" s="160" t="s">
        <v>1045</v>
      </c>
      <c r="Y764" s="143">
        <v>45547</v>
      </c>
      <c r="Z764" s="262">
        <v>45657</v>
      </c>
      <c r="AA764" s="183" t="s">
        <v>3057</v>
      </c>
      <c r="AB764" s="172" t="s">
        <v>3058</v>
      </c>
      <c r="AC764" s="172"/>
      <c r="AD764" s="547">
        <v>202000005350</v>
      </c>
      <c r="AE764" s="147" t="s">
        <v>523</v>
      </c>
      <c r="AF764" s="148" t="str">
        <f>TEXT(LEFT(Contrato5[[#This Row],[CONTRATO]],3),"0")</f>
        <v>630</v>
      </c>
      <c r="AG764" s="148" t="str">
        <f>IF(LEN(Contrato5[[#This Row],[Contrato2]])=3,Contrato5[[#This Row],[Contrato2]],TEXT(Contrato5[[#This Row],[Contrato2]],"000"))</f>
        <v>630</v>
      </c>
      <c r="AH764" s="149">
        <f ca="1">IFERROR(_xlfn.DAYS(Contrato5[[#This Row],[Fecha Proyectada liquidación]],TODAY())/30,"")</f>
        <v>0.6333333333333333</v>
      </c>
      <c r="AI764" s="150">
        <f>+Contrato5[[#This Row],[FECHA TERMINACIÓN ]]+120</f>
        <v>45777</v>
      </c>
      <c r="AJ764" s="147"/>
      <c r="AK764" s="152" t="str">
        <f ca="1">IF(Contrato5[[#This Row],[FECHA TERMINACIÓN ]]&lt;TODAY(), "Terminado",IF(ISNUMBER(Contrato5[[#This Row],[Fecha Real de liquiidación ]]),"Liquidado",IF(Contrato5[[#This Row],[FECHA TERMINACIÓN ]]&gt;=TODAY(),"En ejecución","")))</f>
        <v>Terminado</v>
      </c>
      <c r="AL764" s="153" t="e">
        <f ca="1">SUMIF([2]!COMPROMISOS_2024[[#All],[consecutivo]],Contrato5[[#This Row],[RCP]],[2]!COMPROMISOS_2024[[#All],[Total pagado]])</f>
        <v>#REF!</v>
      </c>
      <c r="AM764" s="154">
        <f ca="1">IFERROR(Contrato5[[#This Row],[Pagos]]/Contrato5[[#This Row],[VALOR CONTRATO]],0)</f>
        <v>0</v>
      </c>
      <c r="AN764" s="198" t="e">
        <f ca="1">+Contrato5[[#This Row],[VALOR CONTRATO]]-Contrato5[[#This Row],[Pagos]]</f>
        <v>#REF!</v>
      </c>
      <c r="AO764" s="147" t="e" cm="1">
        <f t="array" aca="1" ref="AO764" ca="1">_xlfn.XLOOKUP(Contrato5[[#This Row],[DOCUMENTO ]],[2]!PERSONAL_ACTIVO_2024[[#All],[Documento identidad]],[2]!PERSONAL_ACTIVO_2024[[#All],[Mail ]],0,0)</f>
        <v>#NAME?</v>
      </c>
      <c r="AP764" s="147" t="e" cm="1">
        <f t="array" aca="1" ref="AP764" ca="1">_xlfn.XLOOKUP(Contrato5[[#This Row],[DOCUMENTO]],[2]!PERSONAL_ACTIVO_2024[[#All],[Documento identidad]],[2]!PERSONAL_ACTIVO_2024[[#All],[Mail ]],0,0)</f>
        <v>#NAME?</v>
      </c>
      <c r="AQ764" s="439" cm="1">
        <f t="array" aca="1" ref="AQ764" ca="1">IF(ISBLANK(Contrato5[[#This Row],[DEPENDENCIA ]]),0,IFERROR(_xlfn.XLOOKUP(Contrato5[[#This Row],[DEPENDENCIA ]],[2]!PERSONAL_ACTIVO_2024[[#All],[Dependencia]],[2]!PERSONAL_ACTIVO_2024[[#All],[Mail ]],0,0),0))</f>
        <v>0</v>
      </c>
    </row>
    <row r="765" spans="1:16382" ht="34.5" customHeight="1">
      <c r="A765" s="125">
        <v>713</v>
      </c>
      <c r="B765" s="124">
        <v>631</v>
      </c>
      <c r="C765" s="162" t="s">
        <v>1766</v>
      </c>
      <c r="D765" s="227" t="s">
        <v>583</v>
      </c>
      <c r="E765" s="440" t="s">
        <v>94</v>
      </c>
      <c r="F765" s="227" t="s">
        <v>222</v>
      </c>
      <c r="G765" s="281" t="s">
        <v>3059</v>
      </c>
      <c r="H765" s="436">
        <v>890983980</v>
      </c>
      <c r="I765" s="273" t="s">
        <v>42</v>
      </c>
      <c r="J765" s="437">
        <v>125000000</v>
      </c>
      <c r="K765" s="131" t="s">
        <v>42</v>
      </c>
      <c r="L765" s="438" t="s">
        <v>2541</v>
      </c>
      <c r="M765" s="194" t="s">
        <v>589</v>
      </c>
      <c r="N765" s="177" t="e" cm="1">
        <f t="array" aca="1" ref="N765" ca="1">_xlfn.XLOOKUP(Contrato5[[#This Row],[SUPERVISOR TITULAR]],[2]!PERSONAL_ACTIVO_2024[[#All],[Nombre completo]],[2]!PERSONAL_ACTIVO_2024[[#All],[Documento identidad]],"",0)</f>
        <v>#NAME?</v>
      </c>
      <c r="O765" s="194" t="s">
        <v>586</v>
      </c>
      <c r="P765" s="196" t="e" cm="1">
        <f t="array" aca="1" ref="P765" ca="1">_xlfn.XLOOKUP(Contrato5[[#This Row],[SUPERVISOR SUPLENTE ]],[2]!PERSONAL_ACTIVO_2024[[#All],[Nombre completo]],[2]!PERSONAL_ACTIVO_2024[[#All],[Documento identidad]],"",0)</f>
        <v>#NAME?</v>
      </c>
      <c r="Q765" s="170">
        <v>655</v>
      </c>
      <c r="R765" s="137" t="e" cm="1">
        <f t="array" aca="1" ref="R765" ca="1">_xlfn.XLOOKUP(Contrato5[[#This Row],[CDP]],[2]!DISPONIBILIDADES_2024[[#All],[consecutivo]],[2]!DISPONIBILIDADES_2024[[#All],[fecha_aprobacion]],"",0)</f>
        <v>#NAME?</v>
      </c>
      <c r="S765" s="138" t="e">
        <f>SUMIF([2]!DISPONIBILIDADES_2024[[#All],[consecutivo]],Contrato5[[#This Row],[CDP]],[2]!DISPONIBILIDADES_2024[[#All],[valor_total_rubro]])</f>
        <v>#REF!</v>
      </c>
      <c r="T765" s="139" t="e" cm="1">
        <f t="array" aca="1" ref="T765" ca="1">_xlfn.XLOOKUP(Contrato5[[#This Row],[CONTRATO]]&amp;Contrato5[[#This Row],[CDP]],[2]!Corr_Contr_CDP[[#All],[CONTRATO-CDP]],[2]!Corr_Contr_CDP[[#All],[CRP]],_xlfn.XLOOKUP(Contrato5[[#This Row],[CDP]],[2]!COMPROMISOS_2024[[#All],[disponibilidad]],[2]!COMPROMISOS_2024[[#All],[consecutivo]],"",0),0)</f>
        <v>#NAME?</v>
      </c>
      <c r="U765" s="140" t="e" cm="1">
        <f t="array" aca="1" ref="U765" ca="1">+_xlfn.XLOOKUP(Contrato5[[#This Row],[RCP]],[2]!COMPROMISOS_2024[[#All],[consecutivo]],[2]!COMPROMISOS_2024[[#All],[fecha_aprobacion]],"",0)</f>
        <v>#NAME?</v>
      </c>
      <c r="V765" s="141" t="e">
        <f ca="1">SUMIF([2]!COMPROMISOS_2024[[#All],[consecutivo]],Contrato5[[#This Row],[RCP]],[2]!COMPROMISOS_2024[[#All],[valor_total]])</f>
        <v>#REF!</v>
      </c>
      <c r="W765" s="160">
        <v>45544</v>
      </c>
      <c r="X765" s="161">
        <v>45547</v>
      </c>
      <c r="Y765" s="143">
        <v>45548</v>
      </c>
      <c r="Z765" s="262">
        <v>45656</v>
      </c>
      <c r="AA765" s="183" t="s">
        <v>3060</v>
      </c>
      <c r="AB765" s="172" t="s">
        <v>686</v>
      </c>
      <c r="AC765" s="172"/>
      <c r="AD765" s="547">
        <v>202000005352</v>
      </c>
      <c r="AE765" s="147" t="s">
        <v>523</v>
      </c>
      <c r="AF765" s="148" t="str">
        <f>TEXT(LEFT(Contrato5[[#This Row],[CONTRATO]],3),"0")</f>
        <v>631</v>
      </c>
      <c r="AG765" s="148" t="str">
        <f>IF(LEN(Contrato5[[#This Row],[Contrato2]])=3,Contrato5[[#This Row],[Contrato2]],TEXT(Contrato5[[#This Row],[Contrato2]],"000"))</f>
        <v>631</v>
      </c>
      <c r="AH765" s="149">
        <f ca="1">IFERROR(_xlfn.DAYS(Contrato5[[#This Row],[Fecha Proyectada liquidación]],TODAY())/30,"")</f>
        <v>0.6</v>
      </c>
      <c r="AI765" s="150">
        <f>+Contrato5[[#This Row],[FECHA TERMINACIÓN ]]+120</f>
        <v>45776</v>
      </c>
      <c r="AJ765" s="147"/>
      <c r="AK765" s="152" t="str">
        <f ca="1">IF(Contrato5[[#This Row],[FECHA TERMINACIÓN ]]&lt;TODAY(), "Terminado",IF(ISNUMBER(Contrato5[[#This Row],[Fecha Real de liquiidación ]]),"Liquidado",IF(Contrato5[[#This Row],[FECHA TERMINACIÓN ]]&gt;=TODAY(),"En ejecución","")))</f>
        <v>Terminado</v>
      </c>
      <c r="AL765" s="153" t="e">
        <f ca="1">SUMIF([2]!COMPROMISOS_2024[[#All],[consecutivo]],Contrato5[[#This Row],[RCP]],[2]!COMPROMISOS_2024[[#All],[Total pagado]])</f>
        <v>#REF!</v>
      </c>
      <c r="AM765" s="154">
        <f ca="1">IFERROR(Contrato5[[#This Row],[Pagos]]/Contrato5[[#This Row],[VALOR CONTRATO]],0)</f>
        <v>0</v>
      </c>
      <c r="AN765" s="198" t="e">
        <f ca="1">+Contrato5[[#This Row],[VALOR CONTRATO]]-Contrato5[[#This Row],[Pagos]]</f>
        <v>#REF!</v>
      </c>
      <c r="AO765" s="147" t="e" cm="1">
        <f t="array" aca="1" ref="AO765" ca="1">_xlfn.XLOOKUP(Contrato5[[#This Row],[DOCUMENTO ]],[2]!PERSONAL_ACTIVO_2024[[#All],[Documento identidad]],[2]!PERSONAL_ACTIVO_2024[[#All],[Mail ]],0,0)</f>
        <v>#NAME?</v>
      </c>
      <c r="AP765" s="147" t="e" cm="1">
        <f t="array" aca="1" ref="AP765" ca="1">_xlfn.XLOOKUP(Contrato5[[#This Row],[DOCUMENTO]],[2]!PERSONAL_ACTIVO_2024[[#All],[Documento identidad]],[2]!PERSONAL_ACTIVO_2024[[#All],[Mail ]],0,0)</f>
        <v>#NAME?</v>
      </c>
      <c r="AQ765" s="439" cm="1">
        <f t="array" aca="1" ref="AQ765" ca="1">IF(ISBLANK(Contrato5[[#This Row],[DEPENDENCIA ]]),0,IFERROR(_xlfn.XLOOKUP(Contrato5[[#This Row],[DEPENDENCIA ]],[2]!PERSONAL_ACTIVO_2024[[#All],[Dependencia]],[2]!PERSONAL_ACTIVO_2024[[#All],[Mail ]],0,0),0))</f>
        <v>0</v>
      </c>
    </row>
    <row r="766" spans="1:16382" ht="34.5" customHeight="1">
      <c r="A766" s="125">
        <v>989</v>
      </c>
      <c r="B766" s="124">
        <v>632</v>
      </c>
      <c r="C766" s="162" t="s">
        <v>1396</v>
      </c>
      <c r="D766" s="227" t="s">
        <v>493</v>
      </c>
      <c r="E766" s="172" t="s">
        <v>94</v>
      </c>
      <c r="F766" s="227" t="s">
        <v>1376</v>
      </c>
      <c r="G766" s="289" t="s">
        <v>958</v>
      </c>
      <c r="H766" s="436">
        <v>10454334598</v>
      </c>
      <c r="I766" s="273">
        <v>3986061</v>
      </c>
      <c r="J766" s="437">
        <v>13419738.699999999</v>
      </c>
      <c r="K766" s="131" t="s">
        <v>42</v>
      </c>
      <c r="L766" s="438" t="s">
        <v>3042</v>
      </c>
      <c r="M766" s="194" t="s">
        <v>497</v>
      </c>
      <c r="N766" s="192" t="e" cm="1">
        <f t="array" aca="1" ref="N766" ca="1">_xlfn.XLOOKUP(Contrato5[[#This Row],[SUPERVISOR TITULAR]],[2]!PERSONAL_ACTIVO_2024[[#All],[Nombre completo]],[2]!PERSONAL_ACTIVO_2024[[#All],[Documento identidad]],"",0)</f>
        <v>#NAME?</v>
      </c>
      <c r="O766" s="194" t="s">
        <v>568</v>
      </c>
      <c r="P766" s="196" t="e" cm="1">
        <f t="array" aca="1" ref="P766" ca="1">_xlfn.XLOOKUP(Contrato5[[#This Row],[SUPERVISOR SUPLENTE ]],[2]!PERSONAL_ACTIVO_2024[[#All],[Nombre completo]],[2]!PERSONAL_ACTIVO_2024[[#All],[Documento identidad]],"",0)</f>
        <v>#NAME?</v>
      </c>
      <c r="Q766" s="170">
        <v>869</v>
      </c>
      <c r="R766" s="137" t="e" cm="1">
        <f t="array" aca="1" ref="R766" ca="1">_xlfn.XLOOKUP(Contrato5[[#This Row],[CDP]],[2]!DISPONIBILIDADES_2024[[#All],[consecutivo]],[2]!DISPONIBILIDADES_2024[[#All],[fecha_aprobacion]],"",0)</f>
        <v>#NAME?</v>
      </c>
      <c r="S766" s="138" t="e">
        <f>SUMIF([2]!DISPONIBILIDADES_2024[[#All],[consecutivo]],Contrato5[[#This Row],[CDP]],[2]!DISPONIBILIDADES_2024[[#All],[valor_total_rubro]])</f>
        <v>#REF!</v>
      </c>
      <c r="T766" s="139" t="e" cm="1">
        <f t="array" aca="1" ref="T766" ca="1">_xlfn.XLOOKUP(Contrato5[[#This Row],[CONTRATO]]&amp;Contrato5[[#This Row],[CDP]],[2]!Corr_Contr_CDP[[#All],[CONTRATO-CDP]],[2]!Corr_Contr_CDP[[#All],[CRP]],_xlfn.XLOOKUP(Contrato5[[#This Row],[CDP]],[2]!COMPROMISOS_2024[[#All],[disponibilidad]],[2]!COMPROMISOS_2024[[#All],[consecutivo]],"",0),0)</f>
        <v>#NAME?</v>
      </c>
      <c r="U766" s="140" t="e" cm="1">
        <f t="array" aca="1" ref="U766" ca="1">+_xlfn.XLOOKUP(Contrato5[[#This Row],[RCP]],[2]!COMPROMISOS_2024[[#All],[consecutivo]],[2]!COMPROMISOS_2024[[#All],[fecha_aprobacion]],"",0)</f>
        <v>#NAME?</v>
      </c>
      <c r="V766" s="141" t="e">
        <f ca="1">SUMIF([2]!COMPROMISOS_2024[[#All],[consecutivo]],Contrato5[[#This Row],[RCP]],[2]!COMPROMISOS_2024[[#All],[valor_total]])</f>
        <v>#REF!</v>
      </c>
      <c r="W766" s="160">
        <v>45555</v>
      </c>
      <c r="X766" s="160" t="s">
        <v>1045</v>
      </c>
      <c r="Y766" s="143">
        <v>45558</v>
      </c>
      <c r="Z766" s="262">
        <v>45657</v>
      </c>
      <c r="AA766" s="183" t="s">
        <v>3061</v>
      </c>
      <c r="AB766" s="172" t="s">
        <v>3062</v>
      </c>
      <c r="AC766" s="172"/>
      <c r="AD766" s="547">
        <v>202000005353</v>
      </c>
      <c r="AE766" s="147" t="s">
        <v>523</v>
      </c>
      <c r="AF766" s="148" t="str">
        <f>TEXT(LEFT(Contrato5[[#This Row],[CONTRATO]],3),"0")</f>
        <v>632</v>
      </c>
      <c r="AG766" s="148" t="str">
        <f>IF(LEN(Contrato5[[#This Row],[Contrato2]])=3,Contrato5[[#This Row],[Contrato2]],TEXT(Contrato5[[#This Row],[Contrato2]],"000"))</f>
        <v>632</v>
      </c>
      <c r="AH766" s="149">
        <f ca="1">IFERROR(_xlfn.DAYS(Contrato5[[#This Row],[Fecha Proyectada liquidación]],TODAY())/30,"")</f>
        <v>0.6333333333333333</v>
      </c>
      <c r="AI766" s="150">
        <f>+Contrato5[[#This Row],[FECHA TERMINACIÓN ]]+120</f>
        <v>45777</v>
      </c>
      <c r="AJ766" s="147"/>
      <c r="AK766" s="152" t="str">
        <f ca="1">IF(Contrato5[[#This Row],[FECHA TERMINACIÓN ]]&lt;TODAY(), "Terminado",IF(ISNUMBER(Contrato5[[#This Row],[Fecha Real de liquiidación ]]),"Liquidado",IF(Contrato5[[#This Row],[FECHA TERMINACIÓN ]]&gt;=TODAY(),"En ejecución","")))</f>
        <v>Terminado</v>
      </c>
      <c r="AL766" s="153" t="e">
        <f ca="1">SUMIF([2]!COMPROMISOS_2024[[#All],[consecutivo]],Contrato5[[#This Row],[RCP]],[2]!COMPROMISOS_2024[[#All],[Total pagado]])</f>
        <v>#REF!</v>
      </c>
      <c r="AM766" s="154">
        <f ca="1">IFERROR(Contrato5[[#This Row],[Pagos]]/Contrato5[[#This Row],[VALOR CONTRATO]],0)</f>
        <v>0</v>
      </c>
      <c r="AN766" s="198" t="e">
        <f ca="1">+Contrato5[[#This Row],[VALOR CONTRATO]]-Contrato5[[#This Row],[Pagos]]</f>
        <v>#REF!</v>
      </c>
      <c r="AO766" s="147" t="e" cm="1">
        <f t="array" aca="1" ref="AO766" ca="1">_xlfn.XLOOKUP(Contrato5[[#This Row],[DOCUMENTO ]],[2]!PERSONAL_ACTIVO_2024[[#All],[Documento identidad]],[2]!PERSONAL_ACTIVO_2024[[#All],[Mail ]],0,0)</f>
        <v>#NAME?</v>
      </c>
      <c r="AP766" s="147" t="e" cm="1">
        <f t="array" aca="1" ref="AP766" ca="1">_xlfn.XLOOKUP(Contrato5[[#This Row],[DOCUMENTO]],[2]!PERSONAL_ACTIVO_2024[[#All],[Documento identidad]],[2]!PERSONAL_ACTIVO_2024[[#All],[Mail ]],0,0)</f>
        <v>#NAME?</v>
      </c>
      <c r="AQ766" s="439" cm="1">
        <f t="array" aca="1" ref="AQ766" ca="1">IF(ISBLANK(Contrato5[[#This Row],[DEPENDENCIA ]]),0,IFERROR(_xlfn.XLOOKUP(Contrato5[[#This Row],[DEPENDENCIA ]],[2]!PERSONAL_ACTIVO_2024[[#All],[Dependencia]],[2]!PERSONAL_ACTIVO_2024[[#All],[Mail ]],0,0),0))</f>
        <v>0</v>
      </c>
    </row>
    <row r="767" spans="1:16382" ht="34.5" customHeight="1">
      <c r="A767" s="147">
        <v>776</v>
      </c>
      <c r="B767" s="124">
        <v>633</v>
      </c>
      <c r="C767" s="162" t="s">
        <v>1491</v>
      </c>
      <c r="D767" s="227" t="s">
        <v>556</v>
      </c>
      <c r="E767" s="172" t="s">
        <v>94</v>
      </c>
      <c r="F767" s="227" t="s">
        <v>1376</v>
      </c>
      <c r="G767" s="281" t="s">
        <v>827</v>
      </c>
      <c r="H767" s="436">
        <v>1037575009</v>
      </c>
      <c r="I767" s="273">
        <v>4550000</v>
      </c>
      <c r="J767" s="437">
        <v>16986674</v>
      </c>
      <c r="K767" s="131" t="s">
        <v>42</v>
      </c>
      <c r="L767" s="438" t="s">
        <v>2541</v>
      </c>
      <c r="M767" s="194" t="s">
        <v>560</v>
      </c>
      <c r="N767" s="177" t="e" cm="1">
        <f t="array" aca="1" ref="N767" ca="1">_xlfn.XLOOKUP(Contrato5[[#This Row],[SUPERVISOR TITULAR]],[2]!PERSONAL_ACTIVO_2024[[#All],[Nombre completo]],[2]!PERSONAL_ACTIVO_2024[[#All],[Documento identidad]],"",0)</f>
        <v>#NAME?</v>
      </c>
      <c r="O767" s="194" t="s">
        <v>828</v>
      </c>
      <c r="P767" s="196" t="e" cm="1">
        <f t="array" aca="1" ref="P767" ca="1">_xlfn.XLOOKUP(Contrato5[[#This Row],[SUPERVISOR SUPLENTE ]],[2]!PERSONAL_ACTIVO_2024[[#All],[Nombre completo]],[2]!PERSONAL_ACTIVO_2024[[#All],[Documento identidad]],"",0)</f>
        <v>#NAME?</v>
      </c>
      <c r="Q767" s="170">
        <v>671</v>
      </c>
      <c r="R767" s="137" t="e" cm="1">
        <f t="array" aca="1" ref="R767" ca="1">_xlfn.XLOOKUP(Contrato5[[#This Row],[CDP]],[2]!DISPONIBILIDADES_2024[[#All],[consecutivo]],[2]!DISPONIBILIDADES_2024[[#All],[fecha_aprobacion]],"",0)</f>
        <v>#NAME?</v>
      </c>
      <c r="S767" s="138" t="e">
        <f>SUMIF([2]!DISPONIBILIDADES_2024[[#All],[consecutivo]],Contrato5[[#This Row],[CDP]],[2]!DISPONIBILIDADES_2024[[#All],[valor_total_rubro]])</f>
        <v>#REF!</v>
      </c>
      <c r="T767" s="139" t="e" cm="1">
        <f t="array" aca="1" ref="T767" ca="1">_xlfn.XLOOKUP(Contrato5[[#This Row],[CONTRATO]]&amp;Contrato5[[#This Row],[CDP]],[2]!Corr_Contr_CDP[[#All],[CONTRATO-CDP]],[2]!Corr_Contr_CDP[[#All],[CRP]],_xlfn.XLOOKUP(Contrato5[[#This Row],[CDP]],[2]!COMPROMISOS_2024[[#All],[disponibilidad]],[2]!COMPROMISOS_2024[[#All],[consecutivo]],"",0),0)</f>
        <v>#NAME?</v>
      </c>
      <c r="U767" s="140" t="e" cm="1">
        <f t="array" aca="1" ref="U767" ca="1">+_xlfn.XLOOKUP(Contrato5[[#This Row],[RCP]],[2]!COMPROMISOS_2024[[#All],[consecutivo]],[2]!COMPROMISOS_2024[[#All],[fecha_aprobacion]],"",0)</f>
        <v>#NAME?</v>
      </c>
      <c r="V767" s="141" t="e">
        <f ca="1">SUMIF([2]!COMPROMISOS_2024[[#All],[consecutivo]],Contrato5[[#This Row],[RCP]],[2]!COMPROMISOS_2024[[#All],[valor_total]])</f>
        <v>#REF!</v>
      </c>
      <c r="W767" s="160">
        <v>45545</v>
      </c>
      <c r="X767" s="160" t="s">
        <v>1045</v>
      </c>
      <c r="Y767" s="143">
        <v>45546</v>
      </c>
      <c r="Z767" s="262">
        <v>45656</v>
      </c>
      <c r="AA767" s="183" t="s">
        <v>3063</v>
      </c>
      <c r="AB767" s="172" t="s">
        <v>3064</v>
      </c>
      <c r="AC767" s="172"/>
      <c r="AD767" s="547">
        <v>202000005354</v>
      </c>
      <c r="AE767" s="147" t="s">
        <v>523</v>
      </c>
      <c r="AF767" s="148" t="str">
        <f>TEXT(LEFT(Contrato5[[#This Row],[CONTRATO]],3),"0")</f>
        <v>633</v>
      </c>
      <c r="AG767" s="148" t="str">
        <f>IF(LEN(Contrato5[[#This Row],[Contrato2]])=3,Contrato5[[#This Row],[Contrato2]],TEXT(Contrato5[[#This Row],[Contrato2]],"000"))</f>
        <v>633</v>
      </c>
      <c r="AH767" s="149">
        <f ca="1">IFERROR(_xlfn.DAYS(Contrato5[[#This Row],[Fecha Proyectada liquidación]],TODAY())/30,"")</f>
        <v>0.6</v>
      </c>
      <c r="AI767" s="150">
        <f>+Contrato5[[#This Row],[FECHA TERMINACIÓN ]]+120</f>
        <v>45776</v>
      </c>
      <c r="AJ767" s="147"/>
      <c r="AK767" s="152" t="str">
        <f ca="1">IF(Contrato5[[#This Row],[FECHA TERMINACIÓN ]]&lt;TODAY(), "Terminado",IF(ISNUMBER(Contrato5[[#This Row],[Fecha Real de liquiidación ]]),"Liquidado",IF(Contrato5[[#This Row],[FECHA TERMINACIÓN ]]&gt;=TODAY(),"En ejecución","")))</f>
        <v>Terminado</v>
      </c>
      <c r="AL767" s="153" t="e">
        <f ca="1">SUMIF([2]!COMPROMISOS_2024[[#All],[consecutivo]],Contrato5[[#This Row],[RCP]],[2]!COMPROMISOS_2024[[#All],[Total pagado]])</f>
        <v>#REF!</v>
      </c>
      <c r="AM767" s="154">
        <f ca="1">IFERROR(Contrato5[[#This Row],[Pagos]]/Contrato5[[#This Row],[VALOR CONTRATO]],0)</f>
        <v>0</v>
      </c>
      <c r="AN767" s="198" t="e">
        <f ca="1">+Contrato5[[#This Row],[VALOR CONTRATO]]-Contrato5[[#This Row],[Pagos]]</f>
        <v>#REF!</v>
      </c>
      <c r="AO767" s="147" t="e" cm="1">
        <f t="array" aca="1" ref="AO767" ca="1">_xlfn.XLOOKUP(Contrato5[[#This Row],[DOCUMENTO ]],[2]!PERSONAL_ACTIVO_2024[[#All],[Documento identidad]],[2]!PERSONAL_ACTIVO_2024[[#All],[Mail ]],0,0)</f>
        <v>#NAME?</v>
      </c>
      <c r="AP767" s="147" t="e" cm="1">
        <f t="array" aca="1" ref="AP767" ca="1">_xlfn.XLOOKUP(Contrato5[[#This Row],[DOCUMENTO]],[2]!PERSONAL_ACTIVO_2024[[#All],[Documento identidad]],[2]!PERSONAL_ACTIVO_2024[[#All],[Mail ]],0,0)</f>
        <v>#NAME?</v>
      </c>
      <c r="AQ767" s="439" cm="1">
        <f t="array" aca="1" ref="AQ767" ca="1">IF(ISBLANK(Contrato5[[#This Row],[DEPENDENCIA ]]),0,IFERROR(_xlfn.XLOOKUP(Contrato5[[#This Row],[DEPENDENCIA ]],[2]!PERSONAL_ACTIVO_2024[[#All],[Dependencia]],[2]!PERSONAL_ACTIVO_2024[[#All],[Mail ]],0,0),0))</f>
        <v>0</v>
      </c>
    </row>
    <row r="768" spans="1:16382" ht="34.5" customHeight="1">
      <c r="A768" s="147">
        <v>1106</v>
      </c>
      <c r="B768" s="124">
        <v>634</v>
      </c>
      <c r="C768" s="162" t="s">
        <v>2412</v>
      </c>
      <c r="D768" s="227" t="s">
        <v>515</v>
      </c>
      <c r="E768" s="440" t="s">
        <v>94</v>
      </c>
      <c r="F768" s="227" t="s">
        <v>1376</v>
      </c>
      <c r="G768" s="281" t="s">
        <v>843</v>
      </c>
      <c r="H768" s="436">
        <v>71022067</v>
      </c>
      <c r="I768" s="273">
        <v>9100000</v>
      </c>
      <c r="J768" s="437">
        <v>30636667</v>
      </c>
      <c r="K768" s="131" t="s">
        <v>42</v>
      </c>
      <c r="L768" s="506" t="s">
        <v>3065</v>
      </c>
      <c r="M768" s="194" t="s">
        <v>526</v>
      </c>
      <c r="N768" s="177" t="e" cm="1">
        <f t="array" aca="1" ref="N768" ca="1">_xlfn.XLOOKUP(Contrato5[[#This Row],[SUPERVISOR TITULAR]],[2]!PERSONAL_ACTIVO_2024[[#All],[Nombre completo]],[2]!PERSONAL_ACTIVO_2024[[#All],[Documento identidad]],"",0)</f>
        <v>#NAME?</v>
      </c>
      <c r="O768" s="194" t="s">
        <v>796</v>
      </c>
      <c r="P768" s="196" t="e" cm="1">
        <f t="array" aca="1" ref="P768" ca="1">_xlfn.XLOOKUP(Contrato5[[#This Row],[SUPERVISOR SUPLENTE ]],[2]!PERSONAL_ACTIVO_2024[[#All],[Nombre completo]],[2]!PERSONAL_ACTIVO_2024[[#All],[Documento identidad]],"",0)</f>
        <v>#NAME?</v>
      </c>
      <c r="Q768" s="170">
        <v>895</v>
      </c>
      <c r="R768" s="137" t="e" cm="1">
        <f t="array" aca="1" ref="R768" ca="1">_xlfn.XLOOKUP(Contrato5[[#This Row],[CDP]],[2]!DISPONIBILIDADES_2024[[#All],[consecutivo]],[2]!DISPONIBILIDADES_2024[[#All],[fecha_aprobacion]],"",0)</f>
        <v>#NAME?</v>
      </c>
      <c r="S768" s="138" t="e">
        <f>SUMIF([2]!DISPONIBILIDADES_2024[[#All],[consecutivo]],Contrato5[[#This Row],[CDP]],[2]!DISPONIBILIDADES_2024[[#All],[valor_total_rubro]])</f>
        <v>#REF!</v>
      </c>
      <c r="T768" s="139" t="e" cm="1">
        <f t="array" aca="1" ref="T768" ca="1">_xlfn.XLOOKUP(Contrato5[[#This Row],[CONTRATO]]&amp;Contrato5[[#This Row],[CDP]],[2]!Corr_Contr_CDP[[#All],[CONTRATO-CDP]],[2]!Corr_Contr_CDP[[#All],[CRP]],_xlfn.XLOOKUP(Contrato5[[#This Row],[CDP]],[2]!COMPROMISOS_2024[[#All],[disponibilidad]],[2]!COMPROMISOS_2024[[#All],[consecutivo]],"",0),0)</f>
        <v>#NAME?</v>
      </c>
      <c r="U768" s="140" t="e" cm="1">
        <f t="array" aca="1" ref="U768" ca="1">+_xlfn.XLOOKUP(Contrato5[[#This Row],[RCP]],[2]!COMPROMISOS_2024[[#All],[consecutivo]],[2]!COMPROMISOS_2024[[#All],[fecha_aprobacion]],"",0)</f>
        <v>#NAME?</v>
      </c>
      <c r="V768" s="141" t="e">
        <f ca="1">SUMIF([2]!COMPROMISOS_2024[[#All],[consecutivo]],Contrato5[[#This Row],[RCP]],[2]!COMPROMISOS_2024[[#All],[valor_total]])</f>
        <v>#REF!</v>
      </c>
      <c r="W768" s="160">
        <v>45552</v>
      </c>
      <c r="X768" s="160" t="s">
        <v>1045</v>
      </c>
      <c r="Y768" s="143">
        <v>45555</v>
      </c>
      <c r="Z768" s="262">
        <v>45656</v>
      </c>
      <c r="AA768" s="171" t="s">
        <v>3066</v>
      </c>
      <c r="AB768" s="172" t="s">
        <v>3067</v>
      </c>
      <c r="AC768" s="172"/>
      <c r="AD768" s="547">
        <v>202000005355</v>
      </c>
      <c r="AE768" s="147" t="s">
        <v>523</v>
      </c>
      <c r="AF768" s="148" t="str">
        <f>TEXT(LEFT(Contrato5[[#This Row],[CONTRATO]],3),"0")</f>
        <v>634</v>
      </c>
      <c r="AG768" s="148" t="str">
        <f>IF(LEN(Contrato5[[#This Row],[Contrato2]])=3,Contrato5[[#This Row],[Contrato2]],TEXT(Contrato5[[#This Row],[Contrato2]],"000"))</f>
        <v>634</v>
      </c>
      <c r="AH768" s="149">
        <f ca="1">IFERROR(_xlfn.DAYS(Contrato5[[#This Row],[Fecha Proyectada liquidación]],TODAY())/30,"")</f>
        <v>0.6</v>
      </c>
      <c r="AI768" s="150">
        <f>+Contrato5[[#This Row],[FECHA TERMINACIÓN ]]+120</f>
        <v>45776</v>
      </c>
      <c r="AJ768" s="147"/>
      <c r="AK768" s="152" t="str">
        <f ca="1">IF(Contrato5[[#This Row],[FECHA TERMINACIÓN ]]&lt;TODAY(), "Terminado",IF(ISNUMBER(Contrato5[[#This Row],[Fecha Real de liquiidación ]]),"Liquidado",IF(Contrato5[[#This Row],[FECHA TERMINACIÓN ]]&gt;=TODAY(),"En ejecución","")))</f>
        <v>Terminado</v>
      </c>
      <c r="AL768" s="153" t="e">
        <f ca="1">SUMIF([2]!COMPROMISOS_2024[[#All],[consecutivo]],Contrato5[[#This Row],[RCP]],[2]!COMPROMISOS_2024[[#All],[Total pagado]])</f>
        <v>#REF!</v>
      </c>
      <c r="AM768" s="154">
        <f ca="1">IFERROR(Contrato5[[#This Row],[Pagos]]/Contrato5[[#This Row],[VALOR CONTRATO]],0)</f>
        <v>0</v>
      </c>
      <c r="AN768" s="198" t="e">
        <f ca="1">+Contrato5[[#This Row],[VALOR CONTRATO]]-Contrato5[[#This Row],[Pagos]]</f>
        <v>#REF!</v>
      </c>
      <c r="AO768" s="147" t="e" cm="1">
        <f t="array" aca="1" ref="AO768" ca="1">_xlfn.XLOOKUP(Contrato5[[#This Row],[DOCUMENTO ]],[2]!PERSONAL_ACTIVO_2024[[#All],[Documento identidad]],[2]!PERSONAL_ACTIVO_2024[[#All],[Mail ]],0,0)</f>
        <v>#NAME?</v>
      </c>
      <c r="AP768" s="147" t="e" cm="1">
        <f t="array" aca="1" ref="AP768" ca="1">_xlfn.XLOOKUP(Contrato5[[#This Row],[DOCUMENTO]],[2]!PERSONAL_ACTIVO_2024[[#All],[Documento identidad]],[2]!PERSONAL_ACTIVO_2024[[#All],[Mail ]],0,0)</f>
        <v>#NAME?</v>
      </c>
      <c r="AQ768" s="439" cm="1">
        <f t="array" aca="1" ref="AQ768" ca="1">IF(ISBLANK(Contrato5[[#This Row],[DEPENDENCIA ]]),0,IFERROR(_xlfn.XLOOKUP(Contrato5[[#This Row],[DEPENDENCIA ]],[2]!PERSONAL_ACTIVO_2024[[#All],[Dependencia]],[2]!PERSONAL_ACTIVO_2024[[#All],[Mail ]],0,0),0))</f>
        <v>0</v>
      </c>
    </row>
    <row r="769" spans="1:43" ht="34.5" customHeight="1">
      <c r="A769" s="147">
        <v>1033</v>
      </c>
      <c r="B769" s="124">
        <v>635</v>
      </c>
      <c r="C769" s="162" t="s">
        <v>2130</v>
      </c>
      <c r="D769" s="227" t="s">
        <v>583</v>
      </c>
      <c r="E769" s="440" t="s">
        <v>94</v>
      </c>
      <c r="F769" s="227" t="s">
        <v>1376</v>
      </c>
      <c r="G769" s="281" t="s">
        <v>2551</v>
      </c>
      <c r="H769" s="436">
        <v>43584634</v>
      </c>
      <c r="I769" s="273">
        <v>7690469</v>
      </c>
      <c r="J769" s="437">
        <v>31530923</v>
      </c>
      <c r="K769" s="131" t="s">
        <v>42</v>
      </c>
      <c r="L769" s="438" t="s">
        <v>3042</v>
      </c>
      <c r="M769" s="194" t="s">
        <v>1205</v>
      </c>
      <c r="N769" s="177" t="e" cm="1">
        <f t="array" aca="1" ref="N769" ca="1">_xlfn.XLOOKUP(Contrato5[[#This Row],[SUPERVISOR TITULAR]],[2]!PERSONAL_ACTIVO_2024[[#All],[Nombre completo]],[2]!PERSONAL_ACTIVO_2024[[#All],[Documento identidad]],"",0)</f>
        <v>#NAME?</v>
      </c>
      <c r="O769" s="194" t="s">
        <v>605</v>
      </c>
      <c r="P769" s="196" t="e" cm="1">
        <f t="array" aca="1" ref="P769" ca="1">_xlfn.XLOOKUP(Contrato5[[#This Row],[SUPERVISOR SUPLENTE ]],[2]!PERSONAL_ACTIVO_2024[[#All],[Nombre completo]],[2]!PERSONAL_ACTIVO_2024[[#All],[Documento identidad]],"",0)</f>
        <v>#NAME?</v>
      </c>
      <c r="Q769" s="170">
        <v>844</v>
      </c>
      <c r="R769" s="137" t="e" cm="1">
        <f t="array" aca="1" ref="R769" ca="1">_xlfn.XLOOKUP(Contrato5[[#This Row],[CDP]],[2]!DISPONIBILIDADES_2024[[#All],[consecutivo]],[2]!DISPONIBILIDADES_2024[[#All],[fecha_aprobacion]],"",0)</f>
        <v>#NAME?</v>
      </c>
      <c r="S769" s="138" t="e">
        <f>SUMIF([2]!DISPONIBILIDADES_2024[[#All],[consecutivo]],Contrato5[[#This Row],[CDP]],[2]!DISPONIBILIDADES_2024[[#All],[valor_total_rubro]])</f>
        <v>#REF!</v>
      </c>
      <c r="T769" s="139" t="e" cm="1">
        <f t="array" aca="1" ref="T769" ca="1">_xlfn.XLOOKUP(Contrato5[[#This Row],[CONTRATO]]&amp;Contrato5[[#This Row],[CDP]],[2]!Corr_Contr_CDP[[#All],[CONTRATO-CDP]],[2]!Corr_Contr_CDP[[#All],[CRP]],_xlfn.XLOOKUP(Contrato5[[#This Row],[CDP]],[2]!COMPROMISOS_2024[[#All],[disponibilidad]],[2]!COMPROMISOS_2024[[#All],[consecutivo]],"",0),0)</f>
        <v>#NAME?</v>
      </c>
      <c r="U769" s="140" t="e" cm="1">
        <f t="array" aca="1" ref="U769" ca="1">+_xlfn.XLOOKUP(Contrato5[[#This Row],[RCP]],[2]!COMPROMISOS_2024[[#All],[consecutivo]],[2]!COMPROMISOS_2024[[#All],[fecha_aprobacion]],"",0)</f>
        <v>#NAME?</v>
      </c>
      <c r="V769" s="141" t="e">
        <f ca="1">SUMIF([2]!COMPROMISOS_2024[[#All],[consecutivo]],Contrato5[[#This Row],[RCP]],[2]!COMPROMISOS_2024[[#All],[valor_total]])</f>
        <v>#REF!</v>
      </c>
      <c r="W769" s="160">
        <v>45551</v>
      </c>
      <c r="X769" s="160" t="s">
        <v>1045</v>
      </c>
      <c r="Y769" s="143">
        <v>45551</v>
      </c>
      <c r="Z769" s="262">
        <v>45657</v>
      </c>
      <c r="AA769" s="183" t="s">
        <v>3068</v>
      </c>
      <c r="AB769" s="172" t="s">
        <v>3069</v>
      </c>
      <c r="AC769" s="172"/>
      <c r="AD769" s="547">
        <v>202000005357</v>
      </c>
      <c r="AE769" s="147" t="s">
        <v>523</v>
      </c>
      <c r="AF769" s="148" t="str">
        <f>TEXT(LEFT(Contrato5[[#This Row],[CONTRATO]],3),"0")</f>
        <v>635</v>
      </c>
      <c r="AG769" s="148" t="str">
        <f>IF(LEN(Contrato5[[#This Row],[Contrato2]])=3,Contrato5[[#This Row],[Contrato2]],TEXT(Contrato5[[#This Row],[Contrato2]],"000"))</f>
        <v>635</v>
      </c>
      <c r="AH769" s="149">
        <f ca="1">IFERROR(_xlfn.DAYS(Contrato5[[#This Row],[Fecha Proyectada liquidación]],TODAY())/30,"")</f>
        <v>0.6333333333333333</v>
      </c>
      <c r="AI769" s="150">
        <f>+Contrato5[[#This Row],[FECHA TERMINACIÓN ]]+120</f>
        <v>45777</v>
      </c>
      <c r="AJ769" s="147"/>
      <c r="AK769" s="152" t="str">
        <f ca="1">IF(Contrato5[[#This Row],[FECHA TERMINACIÓN ]]&lt;TODAY(), "Terminado",IF(ISNUMBER(Contrato5[[#This Row],[Fecha Real de liquiidación ]]),"Liquidado",IF(Contrato5[[#This Row],[FECHA TERMINACIÓN ]]&gt;=TODAY(),"En ejecución","")))</f>
        <v>Terminado</v>
      </c>
      <c r="AL769" s="153" t="e">
        <f ca="1">SUMIF([2]!COMPROMISOS_2024[[#All],[consecutivo]],Contrato5[[#This Row],[RCP]],[2]!COMPROMISOS_2024[[#All],[Total pagado]])</f>
        <v>#REF!</v>
      </c>
      <c r="AM769" s="154">
        <f ca="1">IFERROR(Contrato5[[#This Row],[Pagos]]/Contrato5[[#This Row],[VALOR CONTRATO]],0)</f>
        <v>0</v>
      </c>
      <c r="AN769" s="198" t="e">
        <f ca="1">+Contrato5[[#This Row],[VALOR CONTRATO]]-Contrato5[[#This Row],[Pagos]]</f>
        <v>#REF!</v>
      </c>
      <c r="AO769" s="147" t="e" cm="1">
        <f t="array" aca="1" ref="AO769" ca="1">_xlfn.XLOOKUP(Contrato5[[#This Row],[DOCUMENTO ]],[2]!PERSONAL_ACTIVO_2024[[#All],[Documento identidad]],[2]!PERSONAL_ACTIVO_2024[[#All],[Mail ]],0,0)</f>
        <v>#NAME?</v>
      </c>
      <c r="AP769" s="147" t="e" cm="1">
        <f t="array" aca="1" ref="AP769" ca="1">_xlfn.XLOOKUP(Contrato5[[#This Row],[DOCUMENTO]],[2]!PERSONAL_ACTIVO_2024[[#All],[Documento identidad]],[2]!PERSONAL_ACTIVO_2024[[#All],[Mail ]],0,0)</f>
        <v>#NAME?</v>
      </c>
      <c r="AQ769" s="439" cm="1">
        <f t="array" aca="1" ref="AQ769" ca="1">IF(ISBLANK(Contrato5[[#This Row],[DEPENDENCIA ]]),0,IFERROR(_xlfn.XLOOKUP(Contrato5[[#This Row],[DEPENDENCIA ]],[2]!PERSONAL_ACTIVO_2024[[#All],[Dependencia]],[2]!PERSONAL_ACTIVO_2024[[#All],[Mail ]],0,0),0))</f>
        <v>0</v>
      </c>
    </row>
    <row r="770" spans="1:43" ht="34.5" customHeight="1">
      <c r="A770" s="147">
        <v>1028</v>
      </c>
      <c r="B770" s="124">
        <v>636</v>
      </c>
      <c r="C770" s="162" t="s">
        <v>2125</v>
      </c>
      <c r="D770" s="227" t="s">
        <v>583</v>
      </c>
      <c r="E770" s="440" t="s">
        <v>94</v>
      </c>
      <c r="F770" s="227" t="s">
        <v>1376</v>
      </c>
      <c r="G770" s="281" t="s">
        <v>1183</v>
      </c>
      <c r="H770" s="436">
        <v>1015067883</v>
      </c>
      <c r="I770" s="273">
        <v>4500000</v>
      </c>
      <c r="J770" s="437">
        <v>18450000</v>
      </c>
      <c r="K770" s="131" t="s">
        <v>42</v>
      </c>
      <c r="L770" s="438" t="s">
        <v>3042</v>
      </c>
      <c r="M770" s="194" t="s">
        <v>1184</v>
      </c>
      <c r="N770" s="177" t="e" cm="1">
        <f t="array" aca="1" ref="N770" ca="1">_xlfn.XLOOKUP(Contrato5[[#This Row],[SUPERVISOR TITULAR]],[2]!PERSONAL_ACTIVO_2024[[#All],[Nombre completo]],[2]!PERSONAL_ACTIVO_2024[[#All],[Documento identidad]],"",0)</f>
        <v>#NAME?</v>
      </c>
      <c r="O770" s="194" t="s">
        <v>1185</v>
      </c>
      <c r="P770" s="196" t="e" cm="1">
        <f t="array" aca="1" ref="P770" ca="1">_xlfn.XLOOKUP(Contrato5[[#This Row],[SUPERVISOR SUPLENTE ]],[2]!PERSONAL_ACTIVO_2024[[#All],[Nombre completo]],[2]!PERSONAL_ACTIVO_2024[[#All],[Documento identidad]],"",0)</f>
        <v>#NAME?</v>
      </c>
      <c r="Q770" s="170">
        <v>845</v>
      </c>
      <c r="R770" s="137" t="e" cm="1">
        <f t="array" aca="1" ref="R770" ca="1">_xlfn.XLOOKUP(Contrato5[[#This Row],[CDP]],[2]!DISPONIBILIDADES_2024[[#All],[consecutivo]],[2]!DISPONIBILIDADES_2024[[#All],[fecha_aprobacion]],"",0)</f>
        <v>#NAME?</v>
      </c>
      <c r="S770" s="138" t="e">
        <f>SUMIF([2]!DISPONIBILIDADES_2024[[#All],[consecutivo]],Contrato5[[#This Row],[CDP]],[2]!DISPONIBILIDADES_2024[[#All],[valor_total_rubro]])</f>
        <v>#REF!</v>
      </c>
      <c r="T770" s="139" t="e" cm="1">
        <f t="array" aca="1" ref="T770" ca="1">_xlfn.XLOOKUP(Contrato5[[#This Row],[CONTRATO]]&amp;Contrato5[[#This Row],[CDP]],[2]!Corr_Contr_CDP[[#All],[CONTRATO-CDP]],[2]!Corr_Contr_CDP[[#All],[CRP]],_xlfn.XLOOKUP(Contrato5[[#This Row],[CDP]],[2]!COMPROMISOS_2024[[#All],[disponibilidad]],[2]!COMPROMISOS_2024[[#All],[consecutivo]],"",0),0)</f>
        <v>#NAME?</v>
      </c>
      <c r="U770" s="140" t="e" cm="1">
        <f t="array" aca="1" ref="U770" ca="1">+_xlfn.XLOOKUP(Contrato5[[#This Row],[RCP]],[2]!COMPROMISOS_2024[[#All],[consecutivo]],[2]!COMPROMISOS_2024[[#All],[fecha_aprobacion]],"",0)</f>
        <v>#NAME?</v>
      </c>
      <c r="V770" s="141" t="e">
        <f ca="1">SUMIF([2]!COMPROMISOS_2024[[#All],[consecutivo]],Contrato5[[#This Row],[RCP]],[2]!COMPROMISOS_2024[[#All],[valor_total]])</f>
        <v>#REF!</v>
      </c>
      <c r="W770" s="160">
        <v>45552</v>
      </c>
      <c r="X770" s="160" t="s">
        <v>1045</v>
      </c>
      <c r="Y770" s="143">
        <v>45553</v>
      </c>
      <c r="Z770" s="262">
        <v>45657</v>
      </c>
      <c r="AA770" s="171" t="s">
        <v>3070</v>
      </c>
      <c r="AB770" s="172" t="s">
        <v>3069</v>
      </c>
      <c r="AC770" s="172"/>
      <c r="AD770" s="547">
        <v>202000005358</v>
      </c>
      <c r="AE770" s="147" t="s">
        <v>523</v>
      </c>
      <c r="AF770" s="148" t="str">
        <f>TEXT(LEFT(Contrato5[[#This Row],[CONTRATO]],3),"0")</f>
        <v>636</v>
      </c>
      <c r="AG770" s="148" t="str">
        <f>IF(LEN(Contrato5[[#This Row],[Contrato2]])=3,Contrato5[[#This Row],[Contrato2]],TEXT(Contrato5[[#This Row],[Contrato2]],"000"))</f>
        <v>636</v>
      </c>
      <c r="AH770" s="149">
        <f ca="1">IFERROR(_xlfn.DAYS(Contrato5[[#This Row],[Fecha Proyectada liquidación]],TODAY())/30,"")</f>
        <v>0.6333333333333333</v>
      </c>
      <c r="AI770" s="150">
        <f>+Contrato5[[#This Row],[FECHA TERMINACIÓN ]]+120</f>
        <v>45777</v>
      </c>
      <c r="AJ770" s="147"/>
      <c r="AK770" s="152" t="str">
        <f ca="1">IF(Contrato5[[#This Row],[FECHA TERMINACIÓN ]]&lt;TODAY(), "Terminado",IF(ISNUMBER(Contrato5[[#This Row],[Fecha Real de liquiidación ]]),"Liquidado",IF(Contrato5[[#This Row],[FECHA TERMINACIÓN ]]&gt;=TODAY(),"En ejecución","")))</f>
        <v>Terminado</v>
      </c>
      <c r="AL770" s="153" t="e">
        <f ca="1">SUMIF([2]!COMPROMISOS_2024[[#All],[consecutivo]],Contrato5[[#This Row],[RCP]],[2]!COMPROMISOS_2024[[#All],[Total pagado]])</f>
        <v>#REF!</v>
      </c>
      <c r="AM770" s="154">
        <f ca="1">IFERROR(Contrato5[[#This Row],[Pagos]]/Contrato5[[#This Row],[VALOR CONTRATO]],0)</f>
        <v>0</v>
      </c>
      <c r="AN770" s="198" t="e">
        <f ca="1">+Contrato5[[#This Row],[VALOR CONTRATO]]-Contrato5[[#This Row],[Pagos]]</f>
        <v>#REF!</v>
      </c>
      <c r="AO770" s="147" t="e" cm="1">
        <f t="array" aca="1" ref="AO770" ca="1">_xlfn.XLOOKUP(Contrato5[[#This Row],[DOCUMENTO ]],[2]!PERSONAL_ACTIVO_2024[[#All],[Documento identidad]],[2]!PERSONAL_ACTIVO_2024[[#All],[Mail ]],0,0)</f>
        <v>#NAME?</v>
      </c>
      <c r="AP770" s="147" t="e" cm="1">
        <f t="array" aca="1" ref="AP770" ca="1">_xlfn.XLOOKUP(Contrato5[[#This Row],[DOCUMENTO]],[2]!PERSONAL_ACTIVO_2024[[#All],[Documento identidad]],[2]!PERSONAL_ACTIVO_2024[[#All],[Mail ]],0,0)</f>
        <v>#NAME?</v>
      </c>
      <c r="AQ770" s="439" cm="1">
        <f t="array" aca="1" ref="AQ770" ca="1">IF(ISBLANK(Contrato5[[#This Row],[DEPENDENCIA ]]),0,IFERROR(_xlfn.XLOOKUP(Contrato5[[#This Row],[DEPENDENCIA ]],[2]!PERSONAL_ACTIVO_2024[[#All],[Dependencia]],[2]!PERSONAL_ACTIVO_2024[[#All],[Mail ]],0,0),0))</f>
        <v>0</v>
      </c>
    </row>
    <row r="771" spans="1:43" ht="34.5" customHeight="1">
      <c r="A771" s="147">
        <v>1102</v>
      </c>
      <c r="B771" s="124">
        <v>637</v>
      </c>
      <c r="C771" s="162" t="s">
        <v>2409</v>
      </c>
      <c r="D771" s="227" t="s">
        <v>515</v>
      </c>
      <c r="E771" s="440" t="s">
        <v>94</v>
      </c>
      <c r="F771" s="227" t="s">
        <v>1376</v>
      </c>
      <c r="G771" s="281" t="s">
        <v>809</v>
      </c>
      <c r="H771" s="436">
        <v>1036927426</v>
      </c>
      <c r="I771" s="273">
        <v>8450000</v>
      </c>
      <c r="J771" s="437">
        <v>31546667</v>
      </c>
      <c r="K771" s="131" t="s">
        <v>42</v>
      </c>
      <c r="L771" s="438" t="s">
        <v>2454</v>
      </c>
      <c r="M771" s="194" t="s">
        <v>545</v>
      </c>
      <c r="N771" s="177" t="e" cm="1">
        <f t="array" aca="1" ref="N771" ca="1">_xlfn.XLOOKUP(Contrato5[[#This Row],[SUPERVISOR TITULAR]],[2]!PERSONAL_ACTIVO_2024[[#All],[Nombre completo]],[2]!PERSONAL_ACTIVO_2024[[#All],[Documento identidad]],"",0)</f>
        <v>#NAME?</v>
      </c>
      <c r="O771" s="194" t="s">
        <v>544</v>
      </c>
      <c r="P771" s="196" t="e" cm="1">
        <f t="array" aca="1" ref="P771" ca="1">_xlfn.XLOOKUP(Contrato5[[#This Row],[SUPERVISOR SUPLENTE ]],[2]!PERSONAL_ACTIVO_2024[[#All],[Nombre completo]],[2]!PERSONAL_ACTIVO_2024[[#All],[Documento identidad]],"",0)</f>
        <v>#NAME?</v>
      </c>
      <c r="Q771" s="170">
        <v>891</v>
      </c>
      <c r="R771" s="137" t="e" cm="1">
        <f t="array" aca="1" ref="R771" ca="1">_xlfn.XLOOKUP(Contrato5[[#This Row],[CDP]],[2]!DISPONIBILIDADES_2024[[#All],[consecutivo]],[2]!DISPONIBILIDADES_2024[[#All],[fecha_aprobacion]],"",0)</f>
        <v>#NAME?</v>
      </c>
      <c r="S771" s="138" t="e">
        <f>SUMIF([2]!DISPONIBILIDADES_2024[[#All],[consecutivo]],Contrato5[[#This Row],[CDP]],[2]!DISPONIBILIDADES_2024[[#All],[valor_total_rubro]])</f>
        <v>#REF!</v>
      </c>
      <c r="T771" s="139" t="e" cm="1">
        <f t="array" aca="1" ref="T771" ca="1">_xlfn.XLOOKUP(Contrato5[[#This Row],[CONTRATO]]&amp;Contrato5[[#This Row],[CDP]],[2]!Corr_Contr_CDP[[#All],[CONTRATO-CDP]],[2]!Corr_Contr_CDP[[#All],[CRP]],_xlfn.XLOOKUP(Contrato5[[#This Row],[CDP]],[2]!COMPROMISOS_2024[[#All],[disponibilidad]],[2]!COMPROMISOS_2024[[#All],[consecutivo]],"",0),0)</f>
        <v>#NAME?</v>
      </c>
      <c r="U771" s="140" t="e" cm="1">
        <f t="array" aca="1" ref="U771" ca="1">+_xlfn.XLOOKUP(Contrato5[[#This Row],[RCP]],[2]!COMPROMISOS_2024[[#All],[consecutivo]],[2]!COMPROMISOS_2024[[#All],[fecha_aprobacion]],"",0)</f>
        <v>#NAME?</v>
      </c>
      <c r="V771" s="141" t="e">
        <f ca="1">SUMIF([2]!COMPROMISOS_2024[[#All],[consecutivo]],Contrato5[[#This Row],[RCP]],[2]!COMPROMISOS_2024[[#All],[valor_total]])</f>
        <v>#REF!</v>
      </c>
      <c r="W771" s="160">
        <v>45552</v>
      </c>
      <c r="X771" s="160" t="s">
        <v>1045</v>
      </c>
      <c r="Y771" s="143">
        <v>45554</v>
      </c>
      <c r="Z771" s="262">
        <v>45657</v>
      </c>
      <c r="AA771" s="171" t="s">
        <v>3071</v>
      </c>
      <c r="AB771" s="172" t="s">
        <v>3072</v>
      </c>
      <c r="AC771" s="172"/>
      <c r="AD771" s="547">
        <v>202000005359</v>
      </c>
      <c r="AE771" s="147" t="s">
        <v>523</v>
      </c>
      <c r="AF771" s="148" t="str">
        <f>TEXT(LEFT(Contrato5[[#This Row],[CONTRATO]],3),"0")</f>
        <v>637</v>
      </c>
      <c r="AG771" s="148" t="str">
        <f>IF(LEN(Contrato5[[#This Row],[Contrato2]])=3,Contrato5[[#This Row],[Contrato2]],TEXT(Contrato5[[#This Row],[Contrato2]],"000"))</f>
        <v>637</v>
      </c>
      <c r="AH771" s="149">
        <f ca="1">IFERROR(_xlfn.DAYS(Contrato5[[#This Row],[Fecha Proyectada liquidación]],TODAY())/30,"")</f>
        <v>0.6333333333333333</v>
      </c>
      <c r="AI771" s="150">
        <f>+Contrato5[[#This Row],[FECHA TERMINACIÓN ]]+120</f>
        <v>45777</v>
      </c>
      <c r="AJ771" s="147"/>
      <c r="AK771" s="152" t="str">
        <f ca="1">IF(Contrato5[[#This Row],[FECHA TERMINACIÓN ]]&lt;TODAY(), "Terminado",IF(ISNUMBER(Contrato5[[#This Row],[Fecha Real de liquiidación ]]),"Liquidado",IF(Contrato5[[#This Row],[FECHA TERMINACIÓN ]]&gt;=TODAY(),"En ejecución","")))</f>
        <v>Terminado</v>
      </c>
      <c r="AL771" s="153" t="e">
        <f ca="1">SUMIF([2]!COMPROMISOS_2024[[#All],[consecutivo]],Contrato5[[#This Row],[RCP]],[2]!COMPROMISOS_2024[[#All],[Total pagado]])</f>
        <v>#REF!</v>
      </c>
      <c r="AM771" s="154">
        <f ca="1">IFERROR(Contrato5[[#This Row],[Pagos]]/Contrato5[[#This Row],[VALOR CONTRATO]],0)</f>
        <v>0</v>
      </c>
      <c r="AN771" s="198" t="e">
        <f ca="1">+Contrato5[[#This Row],[VALOR CONTRATO]]-Contrato5[[#This Row],[Pagos]]</f>
        <v>#REF!</v>
      </c>
      <c r="AO771" s="147" t="e" cm="1">
        <f t="array" aca="1" ref="AO771" ca="1">_xlfn.XLOOKUP(Contrato5[[#This Row],[DOCUMENTO ]],[2]!PERSONAL_ACTIVO_2024[[#All],[Documento identidad]],[2]!PERSONAL_ACTIVO_2024[[#All],[Mail ]],0,0)</f>
        <v>#NAME?</v>
      </c>
      <c r="AP771" s="147" t="e" cm="1">
        <f t="array" aca="1" ref="AP771" ca="1">_xlfn.XLOOKUP(Contrato5[[#This Row],[DOCUMENTO]],[2]!PERSONAL_ACTIVO_2024[[#All],[Documento identidad]],[2]!PERSONAL_ACTIVO_2024[[#All],[Mail ]],0,0)</f>
        <v>#NAME?</v>
      </c>
      <c r="AQ771" s="439" cm="1">
        <f t="array" aca="1" ref="AQ771" ca="1">IF(ISBLANK(Contrato5[[#This Row],[DEPENDENCIA ]]),0,IFERROR(_xlfn.XLOOKUP(Contrato5[[#This Row],[DEPENDENCIA ]],[2]!PERSONAL_ACTIVO_2024[[#All],[Dependencia]],[2]!PERSONAL_ACTIVO_2024[[#All],[Mail ]],0,0),0))</f>
        <v>0</v>
      </c>
    </row>
    <row r="772" spans="1:43" ht="34.5" customHeight="1">
      <c r="A772" s="147">
        <v>1129</v>
      </c>
      <c r="B772" s="124">
        <v>638</v>
      </c>
      <c r="C772" s="162" t="s">
        <v>1940</v>
      </c>
      <c r="D772" s="227" t="s">
        <v>556</v>
      </c>
      <c r="E772" s="440" t="s">
        <v>94</v>
      </c>
      <c r="F772" s="227" t="s">
        <v>1376</v>
      </c>
      <c r="G772" s="281" t="s">
        <v>3073</v>
      </c>
      <c r="H772" s="436">
        <v>1128470360</v>
      </c>
      <c r="I772" s="273">
        <v>7690469</v>
      </c>
      <c r="J772" s="437">
        <v>26916642</v>
      </c>
      <c r="K772" s="131" t="s">
        <v>42</v>
      </c>
      <c r="L772" s="438" t="s">
        <v>2454</v>
      </c>
      <c r="M772" s="194" t="s">
        <v>559</v>
      </c>
      <c r="N772" s="177" t="e" cm="1">
        <f t="array" aca="1" ref="N772" ca="1">_xlfn.XLOOKUP(Contrato5[[#This Row],[SUPERVISOR TITULAR]],[2]!PERSONAL_ACTIVO_2024[[#All],[Nombre completo]],[2]!PERSONAL_ACTIVO_2024[[#All],[Documento identidad]],"",0)</f>
        <v>#NAME?</v>
      </c>
      <c r="O772" s="194" t="s">
        <v>2487</v>
      </c>
      <c r="P772" s="196" t="e" cm="1">
        <f t="array" aca="1" ref="P772" ca="1">_xlfn.XLOOKUP(Contrato5[[#This Row],[SUPERVISOR SUPLENTE ]],[2]!PERSONAL_ACTIVO_2024[[#All],[Nombre completo]],[2]!PERSONAL_ACTIVO_2024[[#All],[Documento identidad]],"",0)</f>
        <v>#NAME?</v>
      </c>
      <c r="Q772" s="170">
        <v>917</v>
      </c>
      <c r="R772" s="137" t="e" cm="1">
        <f t="array" aca="1" ref="R772" ca="1">_xlfn.XLOOKUP(Contrato5[[#This Row],[CDP]],[2]!DISPONIBILIDADES_2024[[#All],[consecutivo]],[2]!DISPONIBILIDADES_2024[[#All],[fecha_aprobacion]],"",0)</f>
        <v>#NAME?</v>
      </c>
      <c r="S772" s="138" t="e">
        <f>SUMIF([2]!DISPONIBILIDADES_2024[[#All],[consecutivo]],Contrato5[[#This Row],[CDP]],[2]!DISPONIBILIDADES_2024[[#All],[valor_total_rubro]])</f>
        <v>#REF!</v>
      </c>
      <c r="T772" s="139" t="e" cm="1">
        <f t="array" aca="1" ref="T772" ca="1">_xlfn.XLOOKUP(Contrato5[[#This Row],[CONTRATO]]&amp;Contrato5[[#This Row],[CDP]],[2]!Corr_Contr_CDP[[#All],[CONTRATO-CDP]],[2]!Corr_Contr_CDP[[#All],[CRP]],_xlfn.XLOOKUP(Contrato5[[#This Row],[CDP]],[2]!COMPROMISOS_2024[[#All],[disponibilidad]],[2]!COMPROMISOS_2024[[#All],[consecutivo]],"",0),0)</f>
        <v>#NAME?</v>
      </c>
      <c r="U772" s="140" t="e" cm="1">
        <f t="array" aca="1" ref="U772" ca="1">+_xlfn.XLOOKUP(Contrato5[[#This Row],[RCP]],[2]!COMPROMISOS_2024[[#All],[consecutivo]],[2]!COMPROMISOS_2024[[#All],[fecha_aprobacion]],"",0)</f>
        <v>#NAME?</v>
      </c>
      <c r="V772" s="141" t="e">
        <f ca="1">SUMIF([2]!COMPROMISOS_2024[[#All],[consecutivo]],Contrato5[[#This Row],[RCP]],[2]!COMPROMISOS_2024[[#All],[valor_total]])</f>
        <v>#REF!</v>
      </c>
      <c r="W772" s="160">
        <v>45558</v>
      </c>
      <c r="X772" s="160" t="s">
        <v>1045</v>
      </c>
      <c r="Y772" s="143">
        <v>45558</v>
      </c>
      <c r="Z772" s="262">
        <v>45657</v>
      </c>
      <c r="AA772" s="183" t="s">
        <v>3074</v>
      </c>
      <c r="AB772" s="172" t="s">
        <v>3075</v>
      </c>
      <c r="AC772" s="172"/>
      <c r="AD772" s="547">
        <v>202000005361</v>
      </c>
      <c r="AE772" s="147" t="s">
        <v>523</v>
      </c>
      <c r="AF772" s="148" t="str">
        <f>TEXT(LEFT(Contrato5[[#This Row],[CONTRATO]],3),"0")</f>
        <v>638</v>
      </c>
      <c r="AG772" s="148" t="str">
        <f>IF(LEN(Contrato5[[#This Row],[Contrato2]])=3,Contrato5[[#This Row],[Contrato2]],TEXT(Contrato5[[#This Row],[Contrato2]],"000"))</f>
        <v>638</v>
      </c>
      <c r="AH772" s="149">
        <f ca="1">IFERROR(_xlfn.DAYS(Contrato5[[#This Row],[Fecha Proyectada liquidación]],TODAY())/30,"")</f>
        <v>0.6333333333333333</v>
      </c>
      <c r="AI772" s="150">
        <f>+Contrato5[[#This Row],[FECHA TERMINACIÓN ]]+120</f>
        <v>45777</v>
      </c>
      <c r="AJ772" s="147"/>
      <c r="AK772" s="152" t="str">
        <f ca="1">IF(Contrato5[[#This Row],[FECHA TERMINACIÓN ]]&lt;TODAY(), "Terminado",IF(ISNUMBER(Contrato5[[#This Row],[Fecha Real de liquiidación ]]),"Liquidado",IF(Contrato5[[#This Row],[FECHA TERMINACIÓN ]]&gt;=TODAY(),"En ejecución","")))</f>
        <v>Terminado</v>
      </c>
      <c r="AL772" s="153" t="e">
        <f ca="1">SUMIF([2]!COMPROMISOS_2024[[#All],[consecutivo]],Contrato5[[#This Row],[RCP]],[2]!COMPROMISOS_2024[[#All],[Total pagado]])</f>
        <v>#REF!</v>
      </c>
      <c r="AM772" s="154">
        <f ca="1">IFERROR(Contrato5[[#This Row],[Pagos]]/Contrato5[[#This Row],[VALOR CONTRATO]],0)</f>
        <v>0</v>
      </c>
      <c r="AN772" s="198" t="e">
        <f ca="1">+Contrato5[[#This Row],[VALOR CONTRATO]]-Contrato5[[#This Row],[Pagos]]</f>
        <v>#REF!</v>
      </c>
      <c r="AO772" s="147" t="e" cm="1">
        <f t="array" aca="1" ref="AO772" ca="1">_xlfn.XLOOKUP(Contrato5[[#This Row],[DOCUMENTO ]],[2]!PERSONAL_ACTIVO_2024[[#All],[Documento identidad]],[2]!PERSONAL_ACTIVO_2024[[#All],[Mail ]],0,0)</f>
        <v>#NAME?</v>
      </c>
      <c r="AP772" s="147" t="e" cm="1">
        <f t="array" aca="1" ref="AP772" ca="1">_xlfn.XLOOKUP(Contrato5[[#This Row],[DOCUMENTO]],[2]!PERSONAL_ACTIVO_2024[[#All],[Documento identidad]],[2]!PERSONAL_ACTIVO_2024[[#All],[Mail ]],0,0)</f>
        <v>#NAME?</v>
      </c>
      <c r="AQ772" s="439" cm="1">
        <f t="array" aca="1" ref="AQ772" ca="1">IF(ISBLANK(Contrato5[[#This Row],[DEPENDENCIA ]]),0,IFERROR(_xlfn.XLOOKUP(Contrato5[[#This Row],[DEPENDENCIA ]],[2]!PERSONAL_ACTIVO_2024[[#All],[Dependencia]],[2]!PERSONAL_ACTIVO_2024[[#All],[Mail ]],0,0),0))</f>
        <v>0</v>
      </c>
    </row>
    <row r="773" spans="1:43" ht="34.5" customHeight="1">
      <c r="A773" s="147">
        <v>1157</v>
      </c>
      <c r="B773" s="124">
        <v>639</v>
      </c>
      <c r="C773" s="162" t="s">
        <v>2398</v>
      </c>
      <c r="D773" s="227" t="s">
        <v>515</v>
      </c>
      <c r="E773" s="440" t="s">
        <v>94</v>
      </c>
      <c r="F773" s="227" t="s">
        <v>161</v>
      </c>
      <c r="G773" s="281" t="s">
        <v>516</v>
      </c>
      <c r="H773" s="436">
        <v>901437957</v>
      </c>
      <c r="I773" s="273" t="s">
        <v>42</v>
      </c>
      <c r="J773" s="437">
        <v>128903449</v>
      </c>
      <c r="K773" s="131" t="s">
        <v>42</v>
      </c>
      <c r="L773" s="438" t="s">
        <v>2454</v>
      </c>
      <c r="M773" s="194" t="s">
        <v>519</v>
      </c>
      <c r="N773" s="177" t="e" cm="1">
        <f t="array" aca="1" ref="N773" ca="1">_xlfn.XLOOKUP(Contrato5[[#This Row],[SUPERVISOR TITULAR]],[2]!PERSONAL_ACTIVO_2024[[#All],[Nombre completo]],[2]!PERSONAL_ACTIVO_2024[[#All],[Documento identidad]],"",0)</f>
        <v>#NAME?</v>
      </c>
      <c r="O773" s="194" t="s">
        <v>836</v>
      </c>
      <c r="P773" s="196" t="e" cm="1">
        <f t="array" aca="1" ref="P773" ca="1">_xlfn.XLOOKUP(Contrato5[[#This Row],[SUPERVISOR SUPLENTE ]],[2]!PERSONAL_ACTIVO_2024[[#All],[Nombre completo]],[2]!PERSONAL_ACTIVO_2024[[#All],[Documento identidad]],"",0)</f>
        <v>#NAME?</v>
      </c>
      <c r="Q773" s="170">
        <v>956</v>
      </c>
      <c r="R773" s="137" t="e" cm="1">
        <f t="array" aca="1" ref="R773" ca="1">_xlfn.XLOOKUP(Contrato5[[#This Row],[CDP]],[2]!DISPONIBILIDADES_2024[[#All],[consecutivo]],[2]!DISPONIBILIDADES_2024[[#All],[fecha_aprobacion]],"",0)</f>
        <v>#NAME?</v>
      </c>
      <c r="S773" s="138" t="e">
        <f>SUMIF([2]!DISPONIBILIDADES_2024[[#All],[consecutivo]],Contrato5[[#This Row],[CDP]],[2]!DISPONIBILIDADES_2024[[#All],[valor_total_rubro]])</f>
        <v>#REF!</v>
      </c>
      <c r="T773" s="139" t="e" cm="1">
        <f t="array" aca="1" ref="T773" ca="1">_xlfn.XLOOKUP(Contrato5[[#This Row],[CONTRATO]]&amp;Contrato5[[#This Row],[CDP]],[2]!Corr_Contr_CDP[[#All],[CONTRATO-CDP]],[2]!Corr_Contr_CDP[[#All],[CRP]],_xlfn.XLOOKUP(Contrato5[[#This Row],[CDP]],[2]!COMPROMISOS_2024[[#All],[disponibilidad]],[2]!COMPROMISOS_2024[[#All],[consecutivo]],"",0),0)</f>
        <v>#NAME?</v>
      </c>
      <c r="U773" s="140" t="e" cm="1">
        <f t="array" aca="1" ref="U773" ca="1">+_xlfn.XLOOKUP(Contrato5[[#This Row],[RCP]],[2]!COMPROMISOS_2024[[#All],[consecutivo]],[2]!COMPROMISOS_2024[[#All],[fecha_aprobacion]],"",0)</f>
        <v>#NAME?</v>
      </c>
      <c r="V773" s="141" t="e">
        <f ca="1">SUMIF([2]!COMPROMISOS_2024[[#All],[consecutivo]],Contrato5[[#This Row],[RCP]],[2]!COMPROMISOS_2024[[#All],[valor_total]])</f>
        <v>#REF!</v>
      </c>
      <c r="W773" s="160">
        <v>45552</v>
      </c>
      <c r="X773" s="160">
        <v>45552</v>
      </c>
      <c r="Y773" s="143">
        <v>45552</v>
      </c>
      <c r="Z773" s="262">
        <v>45582</v>
      </c>
      <c r="AA773" s="171" t="s">
        <v>3076</v>
      </c>
      <c r="AB773" s="172" t="s">
        <v>878</v>
      </c>
      <c r="AC773" s="172"/>
      <c r="AD773" s="547">
        <v>202000005362</v>
      </c>
      <c r="AE773" s="147" t="s">
        <v>523</v>
      </c>
      <c r="AF773" s="148" t="str">
        <f>TEXT(LEFT(Contrato5[[#This Row],[CONTRATO]],3),"0")</f>
        <v>639</v>
      </c>
      <c r="AG773" s="148" t="str">
        <f>IF(LEN(Contrato5[[#This Row],[Contrato2]])=3,Contrato5[[#This Row],[Contrato2]],TEXT(Contrato5[[#This Row],[Contrato2]],"000"))</f>
        <v>639</v>
      </c>
      <c r="AH773" s="149">
        <f ca="1">IFERROR(_xlfn.DAYS(Contrato5[[#This Row],[Fecha Proyectada liquidación]],TODAY())/30,"")</f>
        <v>-1.8666666666666667</v>
      </c>
      <c r="AI773" s="150">
        <f>+Contrato5[[#This Row],[FECHA TERMINACIÓN ]]+120</f>
        <v>45702</v>
      </c>
      <c r="AJ773" s="147"/>
      <c r="AK773" s="152" t="str">
        <f ca="1">IF(Contrato5[[#This Row],[FECHA TERMINACIÓN ]]&lt;TODAY(), "Terminado",IF(ISNUMBER(Contrato5[[#This Row],[Fecha Real de liquiidación ]]),"Liquidado",IF(Contrato5[[#This Row],[FECHA TERMINACIÓN ]]&gt;=TODAY(),"En ejecución","")))</f>
        <v>Terminado</v>
      </c>
      <c r="AL773" s="153" t="e">
        <f ca="1">SUMIF([2]!COMPROMISOS_2024[[#All],[consecutivo]],Contrato5[[#This Row],[RCP]],[2]!COMPROMISOS_2024[[#All],[Total pagado]])</f>
        <v>#REF!</v>
      </c>
      <c r="AM773" s="154">
        <f ca="1">IFERROR(Contrato5[[#This Row],[Pagos]]/Contrato5[[#This Row],[VALOR CONTRATO]],0)</f>
        <v>0</v>
      </c>
      <c r="AN773" s="198" t="e">
        <f ca="1">+Contrato5[[#This Row],[VALOR CONTRATO]]-Contrato5[[#This Row],[Pagos]]</f>
        <v>#REF!</v>
      </c>
      <c r="AO773" s="147" t="e" cm="1">
        <f t="array" aca="1" ref="AO773" ca="1">_xlfn.XLOOKUP(Contrato5[[#This Row],[DOCUMENTO ]],[2]!PERSONAL_ACTIVO_2024[[#All],[Documento identidad]],[2]!PERSONAL_ACTIVO_2024[[#All],[Mail ]],0,0)</f>
        <v>#NAME?</v>
      </c>
      <c r="AP773" s="147" t="e" cm="1">
        <f t="array" aca="1" ref="AP773" ca="1">_xlfn.XLOOKUP(Contrato5[[#This Row],[DOCUMENTO]],[2]!PERSONAL_ACTIVO_2024[[#All],[Documento identidad]],[2]!PERSONAL_ACTIVO_2024[[#All],[Mail ]],0,0)</f>
        <v>#NAME?</v>
      </c>
      <c r="AQ773" s="439" cm="1">
        <f t="array" aca="1" ref="AQ773" ca="1">IF(ISBLANK(Contrato5[[#This Row],[DEPENDENCIA ]]),0,IFERROR(_xlfn.XLOOKUP(Contrato5[[#This Row],[DEPENDENCIA ]],[2]!PERSONAL_ACTIVO_2024[[#All],[Dependencia]],[2]!PERSONAL_ACTIVO_2024[[#All],[Mail ]],0,0),0))</f>
        <v>0</v>
      </c>
    </row>
    <row r="774" spans="1:43" ht="34.5" customHeight="1">
      <c r="A774" s="147">
        <v>1130</v>
      </c>
      <c r="B774" s="124">
        <v>640</v>
      </c>
      <c r="C774" s="162" t="s">
        <v>1941</v>
      </c>
      <c r="D774" s="227" t="s">
        <v>556</v>
      </c>
      <c r="E774" s="440" t="s">
        <v>94</v>
      </c>
      <c r="F774" s="227" t="s">
        <v>1376</v>
      </c>
      <c r="G774" s="281" t="s">
        <v>815</v>
      </c>
      <c r="H774" s="436">
        <v>1152195916</v>
      </c>
      <c r="I774" s="273">
        <v>7150000</v>
      </c>
      <c r="J774" s="437">
        <v>25024995</v>
      </c>
      <c r="K774" s="131" t="s">
        <v>42</v>
      </c>
      <c r="L774" s="438" t="s">
        <v>2454</v>
      </c>
      <c r="M774" s="194" t="s">
        <v>560</v>
      </c>
      <c r="N774" s="177" t="e" cm="1">
        <f t="array" aca="1" ref="N774" ca="1">_xlfn.XLOOKUP(Contrato5[[#This Row],[SUPERVISOR TITULAR]],[2]!PERSONAL_ACTIVO_2024[[#All],[Nombre completo]],[2]!PERSONAL_ACTIVO_2024[[#All],[Documento identidad]],"",0)</f>
        <v>#NAME?</v>
      </c>
      <c r="O774" s="194" t="s">
        <v>559</v>
      </c>
      <c r="P774" s="196" t="e" cm="1">
        <f t="array" aca="1" ref="P774" ca="1">_xlfn.XLOOKUP(Contrato5[[#This Row],[SUPERVISOR SUPLENTE ]],[2]!PERSONAL_ACTIVO_2024[[#All],[Nombre completo]],[2]!PERSONAL_ACTIVO_2024[[#All],[Documento identidad]],"",0)</f>
        <v>#NAME?</v>
      </c>
      <c r="Q774" s="170">
        <v>918</v>
      </c>
      <c r="R774" s="137" t="e" cm="1">
        <f t="array" aca="1" ref="R774" ca="1">_xlfn.XLOOKUP(Contrato5[[#This Row],[CDP]],[2]!DISPONIBILIDADES_2024[[#All],[consecutivo]],[2]!DISPONIBILIDADES_2024[[#All],[fecha_aprobacion]],"",0)</f>
        <v>#NAME?</v>
      </c>
      <c r="S774" s="138" t="e">
        <f>SUMIF([2]!DISPONIBILIDADES_2024[[#All],[consecutivo]],Contrato5[[#This Row],[CDP]],[2]!DISPONIBILIDADES_2024[[#All],[valor_total_rubro]])</f>
        <v>#REF!</v>
      </c>
      <c r="T774" s="139" t="e" cm="1">
        <f t="array" aca="1" ref="T774" ca="1">_xlfn.XLOOKUP(Contrato5[[#This Row],[CONTRATO]]&amp;Contrato5[[#This Row],[CDP]],[2]!Corr_Contr_CDP[[#All],[CONTRATO-CDP]],[2]!Corr_Contr_CDP[[#All],[CRP]],_xlfn.XLOOKUP(Contrato5[[#This Row],[CDP]],[2]!COMPROMISOS_2024[[#All],[disponibilidad]],[2]!COMPROMISOS_2024[[#All],[consecutivo]],"",0),0)</f>
        <v>#NAME?</v>
      </c>
      <c r="U774" s="140" t="e" cm="1">
        <f t="array" aca="1" ref="U774" ca="1">+_xlfn.XLOOKUP(Contrato5[[#This Row],[RCP]],[2]!COMPROMISOS_2024[[#All],[consecutivo]],[2]!COMPROMISOS_2024[[#All],[fecha_aprobacion]],"",0)</f>
        <v>#NAME?</v>
      </c>
      <c r="V774" s="141" t="e">
        <f ca="1">SUMIF([2]!COMPROMISOS_2024[[#All],[consecutivo]],Contrato5[[#This Row],[RCP]],[2]!COMPROMISOS_2024[[#All],[valor_total]])</f>
        <v>#REF!</v>
      </c>
      <c r="W774" s="160">
        <v>45552</v>
      </c>
      <c r="X774" s="160" t="s">
        <v>1045</v>
      </c>
      <c r="Y774" s="143">
        <v>45553</v>
      </c>
      <c r="Z774" s="262">
        <v>45657</v>
      </c>
      <c r="AA774" s="171" t="s">
        <v>3077</v>
      </c>
      <c r="AB774" s="245" t="s">
        <v>3072</v>
      </c>
      <c r="AC774" s="172"/>
      <c r="AD774" s="547">
        <v>202000005363</v>
      </c>
      <c r="AE774" s="147" t="s">
        <v>523</v>
      </c>
      <c r="AF774" s="148" t="str">
        <f>TEXT(LEFT(Contrato5[[#This Row],[CONTRATO]],3),"0")</f>
        <v>640</v>
      </c>
      <c r="AG774" s="148" t="str">
        <f>IF(LEN(Contrato5[[#This Row],[Contrato2]])=3,Contrato5[[#This Row],[Contrato2]],TEXT(Contrato5[[#This Row],[Contrato2]],"000"))</f>
        <v>640</v>
      </c>
      <c r="AH774" s="149">
        <f ca="1">IFERROR(_xlfn.DAYS(Contrato5[[#This Row],[Fecha Proyectada liquidación]],TODAY())/30,"")</f>
        <v>0.6333333333333333</v>
      </c>
      <c r="AI774" s="150">
        <f>+Contrato5[[#This Row],[FECHA TERMINACIÓN ]]+120</f>
        <v>45777</v>
      </c>
      <c r="AJ774" s="147"/>
      <c r="AK774" s="152" t="str">
        <f ca="1">IF(Contrato5[[#This Row],[FECHA TERMINACIÓN ]]&lt;TODAY(), "Terminado",IF(ISNUMBER(Contrato5[[#This Row],[Fecha Real de liquiidación ]]),"Liquidado",IF(Contrato5[[#This Row],[FECHA TERMINACIÓN ]]&gt;=TODAY(),"En ejecución","")))</f>
        <v>Terminado</v>
      </c>
      <c r="AL774" s="153" t="e">
        <f ca="1">SUMIF([2]!COMPROMISOS_2024[[#All],[consecutivo]],Contrato5[[#This Row],[RCP]],[2]!COMPROMISOS_2024[[#All],[Total pagado]])</f>
        <v>#REF!</v>
      </c>
      <c r="AM774" s="154">
        <f ca="1">IFERROR(Contrato5[[#This Row],[Pagos]]/Contrato5[[#This Row],[VALOR CONTRATO]],0)</f>
        <v>0</v>
      </c>
      <c r="AN774" s="198" t="e">
        <f ca="1">+Contrato5[[#This Row],[VALOR CONTRATO]]-Contrato5[[#This Row],[Pagos]]</f>
        <v>#REF!</v>
      </c>
      <c r="AO774" s="147" t="e" cm="1">
        <f t="array" aca="1" ref="AO774" ca="1">_xlfn.XLOOKUP(Contrato5[[#This Row],[DOCUMENTO ]],[2]!PERSONAL_ACTIVO_2024[[#All],[Documento identidad]],[2]!PERSONAL_ACTIVO_2024[[#All],[Mail ]],0,0)</f>
        <v>#NAME?</v>
      </c>
      <c r="AP774" s="147" t="e" cm="1">
        <f t="array" aca="1" ref="AP774" ca="1">_xlfn.XLOOKUP(Contrato5[[#This Row],[DOCUMENTO]],[2]!PERSONAL_ACTIVO_2024[[#All],[Documento identidad]],[2]!PERSONAL_ACTIVO_2024[[#All],[Mail ]],0,0)</f>
        <v>#NAME?</v>
      </c>
      <c r="AQ774" s="439" cm="1">
        <f t="array" aca="1" ref="AQ774" ca="1">IF(ISBLANK(Contrato5[[#This Row],[DEPENDENCIA ]]),0,IFERROR(_xlfn.XLOOKUP(Contrato5[[#This Row],[DEPENDENCIA ]],[2]!PERSONAL_ACTIVO_2024[[#All],[Dependencia]],[2]!PERSONAL_ACTIVO_2024[[#All],[Mail ]],0,0),0))</f>
        <v>0</v>
      </c>
    </row>
    <row r="775" spans="1:43" ht="34.5" customHeight="1">
      <c r="A775" s="147">
        <v>1005</v>
      </c>
      <c r="B775" s="124">
        <v>641</v>
      </c>
      <c r="C775" s="162" t="s">
        <v>2078</v>
      </c>
      <c r="D775" s="227" t="s">
        <v>583</v>
      </c>
      <c r="E775" s="440" t="s">
        <v>898</v>
      </c>
      <c r="F775" s="227" t="s">
        <v>1376</v>
      </c>
      <c r="G775" s="281" t="s">
        <v>939</v>
      </c>
      <c r="H775" s="436">
        <v>98570270</v>
      </c>
      <c r="I775" s="273">
        <v>3952382</v>
      </c>
      <c r="J775" s="437">
        <v>12252384</v>
      </c>
      <c r="K775" s="131" t="s">
        <v>42</v>
      </c>
      <c r="L775" s="438" t="s">
        <v>2454</v>
      </c>
      <c r="M775" s="194" t="s">
        <v>600</v>
      </c>
      <c r="N775" s="177" t="e" cm="1">
        <f t="array" aca="1" ref="N775" ca="1">_xlfn.XLOOKUP(Contrato5[[#This Row],[SUPERVISOR TITULAR]],[2]!PERSONAL_ACTIVO_2024[[#All],[Nombre completo]],[2]!PERSONAL_ACTIVO_2024[[#All],[Documento identidad]],"",0)</f>
        <v>#NAME?</v>
      </c>
      <c r="O775" s="194" t="s">
        <v>2495</v>
      </c>
      <c r="P775" s="196" t="e" cm="1">
        <f t="array" aca="1" ref="P775" ca="1">_xlfn.XLOOKUP(Contrato5[[#This Row],[SUPERVISOR SUPLENTE ]],[2]!PERSONAL_ACTIVO_2024[[#All],[Nombre completo]],[2]!PERSONAL_ACTIVO_2024[[#All],[Documento identidad]],"",0)</f>
        <v>#NAME?</v>
      </c>
      <c r="Q775" s="170">
        <v>859</v>
      </c>
      <c r="R775" s="137" t="e" cm="1">
        <f t="array" aca="1" ref="R775" ca="1">_xlfn.XLOOKUP(Contrato5[[#This Row],[CDP]],[2]!DISPONIBILIDADES_2024[[#All],[consecutivo]],[2]!DISPONIBILIDADES_2024[[#All],[fecha_aprobacion]],"",0)</f>
        <v>#NAME?</v>
      </c>
      <c r="S775" s="138" t="e">
        <f>SUMIF([2]!DISPONIBILIDADES_2024[[#All],[consecutivo]],Contrato5[[#This Row],[CDP]],[2]!DISPONIBILIDADES_2024[[#All],[valor_total_rubro]])</f>
        <v>#REF!</v>
      </c>
      <c r="T775" s="139" t="e" cm="1">
        <f t="array" aca="1" ref="T775" ca="1">_xlfn.XLOOKUP(Contrato5[[#This Row],[CONTRATO]]&amp;Contrato5[[#This Row],[CDP]],[2]!Corr_Contr_CDP[[#All],[CONTRATO-CDP]],[2]!Corr_Contr_CDP[[#All],[CRP]],_xlfn.XLOOKUP(Contrato5[[#This Row],[CDP]],[2]!COMPROMISOS_2024[[#All],[disponibilidad]],[2]!COMPROMISOS_2024[[#All],[consecutivo]],"",0),0)</f>
        <v>#NAME?</v>
      </c>
      <c r="U775" s="140" t="e" cm="1">
        <f t="array" aca="1" ref="U775" ca="1">+_xlfn.XLOOKUP(Contrato5[[#This Row],[RCP]],[2]!COMPROMISOS_2024[[#All],[consecutivo]],[2]!COMPROMISOS_2024[[#All],[fecha_aprobacion]],"",0)</f>
        <v>#NAME?</v>
      </c>
      <c r="V775" s="141" t="e">
        <f ca="1">SUMIF([2]!COMPROMISOS_2024[[#All],[consecutivo]],Contrato5[[#This Row],[RCP]],[2]!COMPROMISOS_2024[[#All],[valor_total]])</f>
        <v>#REF!</v>
      </c>
      <c r="W775" s="160">
        <v>45552</v>
      </c>
      <c r="X775" s="160" t="s">
        <v>1045</v>
      </c>
      <c r="Y775" s="143">
        <v>45553</v>
      </c>
      <c r="Z775" s="262">
        <v>45643</v>
      </c>
      <c r="AA775" s="171" t="s">
        <v>3078</v>
      </c>
      <c r="AB775" s="160" t="s">
        <v>3079</v>
      </c>
      <c r="AC775" s="172"/>
      <c r="AD775" s="547">
        <v>202000005364</v>
      </c>
      <c r="AE775" s="147" t="s">
        <v>523</v>
      </c>
      <c r="AF775" s="148" t="str">
        <f>TEXT(LEFT(Contrato5[[#This Row],[CONTRATO]],3),"0")</f>
        <v>641</v>
      </c>
      <c r="AG775" s="148" t="str">
        <f>IF(LEN(Contrato5[[#This Row],[Contrato2]])=3,Contrato5[[#This Row],[Contrato2]],TEXT(Contrato5[[#This Row],[Contrato2]],"000"))</f>
        <v>641</v>
      </c>
      <c r="AH775" s="149">
        <f ca="1">IFERROR(_xlfn.DAYS(Contrato5[[#This Row],[Fecha Proyectada liquidación]],TODAY())/30,"")</f>
        <v>0.16666666666666666</v>
      </c>
      <c r="AI775" s="150">
        <f>+Contrato5[[#This Row],[FECHA TERMINACIÓN ]]+120</f>
        <v>45763</v>
      </c>
      <c r="AJ775" s="147"/>
      <c r="AK775" s="152" t="str">
        <f ca="1">IF(Contrato5[[#This Row],[FECHA TERMINACIÓN ]]&lt;TODAY(), "Terminado",IF(ISNUMBER(Contrato5[[#This Row],[Fecha Real de liquiidación ]]),"Liquidado",IF(Contrato5[[#This Row],[FECHA TERMINACIÓN ]]&gt;=TODAY(),"En ejecución","")))</f>
        <v>Terminado</v>
      </c>
      <c r="AL775" s="153" t="e">
        <f ca="1">SUMIF([2]!COMPROMISOS_2024[[#All],[consecutivo]],Contrato5[[#This Row],[RCP]],[2]!COMPROMISOS_2024[[#All],[Total pagado]])</f>
        <v>#REF!</v>
      </c>
      <c r="AM775" s="154">
        <f ca="1">IFERROR(Contrato5[[#This Row],[Pagos]]/Contrato5[[#This Row],[VALOR CONTRATO]],0)</f>
        <v>0</v>
      </c>
      <c r="AN775" s="198" t="e">
        <f ca="1">+Contrato5[[#This Row],[VALOR CONTRATO]]-Contrato5[[#This Row],[Pagos]]</f>
        <v>#REF!</v>
      </c>
      <c r="AO775" s="147" t="e" cm="1">
        <f t="array" aca="1" ref="AO775" ca="1">_xlfn.XLOOKUP(Contrato5[[#This Row],[DOCUMENTO ]],[2]!PERSONAL_ACTIVO_2024[[#All],[Documento identidad]],[2]!PERSONAL_ACTIVO_2024[[#All],[Mail ]],0,0)</f>
        <v>#NAME?</v>
      </c>
      <c r="AP775" s="147" t="e" cm="1">
        <f t="array" aca="1" ref="AP775" ca="1">_xlfn.XLOOKUP(Contrato5[[#This Row],[DOCUMENTO]],[2]!PERSONAL_ACTIVO_2024[[#All],[Documento identidad]],[2]!PERSONAL_ACTIVO_2024[[#All],[Mail ]],0,0)</f>
        <v>#NAME?</v>
      </c>
      <c r="AQ775" s="439" cm="1">
        <f t="array" aca="1" ref="AQ775" ca="1">IF(ISBLANK(Contrato5[[#This Row],[DEPENDENCIA ]]),0,IFERROR(_xlfn.XLOOKUP(Contrato5[[#This Row],[DEPENDENCIA ]],[2]!PERSONAL_ACTIVO_2024[[#All],[Dependencia]],[2]!PERSONAL_ACTIVO_2024[[#All],[Mail ]],0,0),0))</f>
        <v>0</v>
      </c>
    </row>
    <row r="776" spans="1:43" ht="34.5" customHeight="1">
      <c r="A776" s="147">
        <v>1006</v>
      </c>
      <c r="B776" s="124">
        <v>642</v>
      </c>
      <c r="C776" s="162" t="s">
        <v>2078</v>
      </c>
      <c r="D776" s="227" t="s">
        <v>583</v>
      </c>
      <c r="E776" s="440" t="s">
        <v>898</v>
      </c>
      <c r="F776" s="227" t="s">
        <v>1376</v>
      </c>
      <c r="G776" s="300" t="s">
        <v>3080</v>
      </c>
      <c r="H776" s="436">
        <v>1001227167</v>
      </c>
      <c r="I776" s="273">
        <v>3952382</v>
      </c>
      <c r="J776" s="437">
        <v>12252384</v>
      </c>
      <c r="K776" s="131" t="s">
        <v>42</v>
      </c>
      <c r="L776" s="438" t="s">
        <v>2454</v>
      </c>
      <c r="M776" s="194" t="s">
        <v>600</v>
      </c>
      <c r="N776" s="177" t="e" cm="1">
        <f t="array" aca="1" ref="N776" ca="1">_xlfn.XLOOKUP(Contrato5[[#This Row],[SUPERVISOR TITULAR]],[2]!PERSONAL_ACTIVO_2024[[#All],[Nombre completo]],[2]!PERSONAL_ACTIVO_2024[[#All],[Documento identidad]],"",0)</f>
        <v>#NAME?</v>
      </c>
      <c r="O776" s="194" t="s">
        <v>2495</v>
      </c>
      <c r="P776" s="196" t="e" cm="1">
        <f t="array" aca="1" ref="P776" ca="1">_xlfn.XLOOKUP(Contrato5[[#This Row],[SUPERVISOR SUPLENTE ]],[2]!PERSONAL_ACTIVO_2024[[#All],[Nombre completo]],[2]!PERSONAL_ACTIVO_2024[[#All],[Documento identidad]],"",0)</f>
        <v>#NAME?</v>
      </c>
      <c r="Q776" s="170">
        <v>860</v>
      </c>
      <c r="R776" s="137" t="e" cm="1">
        <f t="array" aca="1" ref="R776" ca="1">_xlfn.XLOOKUP(Contrato5[[#This Row],[CDP]],[2]!DISPONIBILIDADES_2024[[#All],[consecutivo]],[2]!DISPONIBILIDADES_2024[[#All],[fecha_aprobacion]],"",0)</f>
        <v>#NAME?</v>
      </c>
      <c r="S776" s="138" t="e">
        <f>SUMIF([2]!DISPONIBILIDADES_2024[[#All],[consecutivo]],Contrato5[[#This Row],[CDP]],[2]!DISPONIBILIDADES_2024[[#All],[valor_total_rubro]])</f>
        <v>#REF!</v>
      </c>
      <c r="T776" s="139" t="e" cm="1">
        <f t="array" aca="1" ref="T776" ca="1">_xlfn.XLOOKUP(Contrato5[[#This Row],[CONTRATO]]&amp;Contrato5[[#This Row],[CDP]],[2]!Corr_Contr_CDP[[#All],[CONTRATO-CDP]],[2]!Corr_Contr_CDP[[#All],[CRP]],_xlfn.XLOOKUP(Contrato5[[#This Row],[CDP]],[2]!COMPROMISOS_2024[[#All],[disponibilidad]],[2]!COMPROMISOS_2024[[#All],[consecutivo]],"",0),0)</f>
        <v>#NAME?</v>
      </c>
      <c r="U776" s="140" t="e" cm="1">
        <f t="array" aca="1" ref="U776" ca="1">+_xlfn.XLOOKUP(Contrato5[[#This Row],[RCP]],[2]!COMPROMISOS_2024[[#All],[consecutivo]],[2]!COMPROMISOS_2024[[#All],[fecha_aprobacion]],"",0)</f>
        <v>#NAME?</v>
      </c>
      <c r="V776" s="141" t="e">
        <f ca="1">SUMIF([2]!COMPROMISOS_2024[[#All],[consecutivo]],Contrato5[[#This Row],[RCP]],[2]!COMPROMISOS_2024[[#All],[valor_total]])</f>
        <v>#REF!</v>
      </c>
      <c r="W776" s="160">
        <v>45552</v>
      </c>
      <c r="X776" s="160" t="s">
        <v>1045</v>
      </c>
      <c r="Y776" s="143">
        <v>45553</v>
      </c>
      <c r="Z776" s="262">
        <v>45643</v>
      </c>
      <c r="AA776" s="171" t="s">
        <v>3078</v>
      </c>
      <c r="AB776" s="160" t="s">
        <v>3079</v>
      </c>
      <c r="AC776" s="172"/>
      <c r="AD776" s="547">
        <v>202000005365</v>
      </c>
      <c r="AE776" s="147" t="s">
        <v>523</v>
      </c>
      <c r="AF776" s="148" t="str">
        <f>TEXT(LEFT(Contrato5[[#This Row],[CONTRATO]],3),"0")</f>
        <v>642</v>
      </c>
      <c r="AG776" s="148" t="str">
        <f>IF(LEN(Contrato5[[#This Row],[Contrato2]])=3,Contrato5[[#This Row],[Contrato2]],TEXT(Contrato5[[#This Row],[Contrato2]],"000"))</f>
        <v>642</v>
      </c>
      <c r="AH776" s="149">
        <f ca="1">IFERROR(_xlfn.DAYS(Contrato5[[#This Row],[Fecha Proyectada liquidación]],TODAY())/30,"")</f>
        <v>0.16666666666666666</v>
      </c>
      <c r="AI776" s="150">
        <f>+Contrato5[[#This Row],[FECHA TERMINACIÓN ]]+120</f>
        <v>45763</v>
      </c>
      <c r="AJ776" s="147"/>
      <c r="AK776" s="152" t="str">
        <f ca="1">IF(Contrato5[[#This Row],[FECHA TERMINACIÓN ]]&lt;TODAY(), "Terminado",IF(ISNUMBER(Contrato5[[#This Row],[Fecha Real de liquiidación ]]),"Liquidado",IF(Contrato5[[#This Row],[FECHA TERMINACIÓN ]]&gt;=TODAY(),"En ejecución","")))</f>
        <v>Terminado</v>
      </c>
      <c r="AL776" s="153" t="e">
        <f ca="1">SUMIF([2]!COMPROMISOS_2024[[#All],[consecutivo]],Contrato5[[#This Row],[RCP]],[2]!COMPROMISOS_2024[[#All],[Total pagado]])</f>
        <v>#REF!</v>
      </c>
      <c r="AM776" s="154">
        <f ca="1">IFERROR(Contrato5[[#This Row],[Pagos]]/Contrato5[[#This Row],[VALOR CONTRATO]],0)</f>
        <v>0</v>
      </c>
      <c r="AN776" s="198" t="e">
        <f ca="1">+Contrato5[[#This Row],[VALOR CONTRATO]]-Contrato5[[#This Row],[Pagos]]</f>
        <v>#REF!</v>
      </c>
      <c r="AO776" s="147" t="e" cm="1">
        <f t="array" aca="1" ref="AO776" ca="1">_xlfn.XLOOKUP(Contrato5[[#This Row],[DOCUMENTO ]],[2]!PERSONAL_ACTIVO_2024[[#All],[Documento identidad]],[2]!PERSONAL_ACTIVO_2024[[#All],[Mail ]],0,0)</f>
        <v>#NAME?</v>
      </c>
      <c r="AP776" s="147" t="e" cm="1">
        <f t="array" aca="1" ref="AP776" ca="1">_xlfn.XLOOKUP(Contrato5[[#This Row],[DOCUMENTO]],[2]!PERSONAL_ACTIVO_2024[[#All],[Documento identidad]],[2]!PERSONAL_ACTIVO_2024[[#All],[Mail ]],0,0)</f>
        <v>#NAME?</v>
      </c>
      <c r="AQ776" s="439" cm="1">
        <f t="array" aca="1" ref="AQ776" ca="1">IF(ISBLANK(Contrato5[[#This Row],[DEPENDENCIA ]]),0,IFERROR(_xlfn.XLOOKUP(Contrato5[[#This Row],[DEPENDENCIA ]],[2]!PERSONAL_ACTIVO_2024[[#All],[Dependencia]],[2]!PERSONAL_ACTIVO_2024[[#All],[Mail ]],0,0),0))</f>
        <v>0</v>
      </c>
    </row>
    <row r="777" spans="1:43" ht="34.5" customHeight="1">
      <c r="A777" s="147">
        <v>1007</v>
      </c>
      <c r="B777" s="124">
        <v>643</v>
      </c>
      <c r="C777" s="162" t="s">
        <v>2078</v>
      </c>
      <c r="D777" s="227" t="s">
        <v>583</v>
      </c>
      <c r="E777" s="440" t="s">
        <v>898</v>
      </c>
      <c r="F777" s="227" t="s">
        <v>1376</v>
      </c>
      <c r="G777" s="300" t="s">
        <v>3081</v>
      </c>
      <c r="H777" s="436">
        <v>1026148854</v>
      </c>
      <c r="I777" s="585">
        <v>2574842</v>
      </c>
      <c r="J777" s="437">
        <v>7982010</v>
      </c>
      <c r="K777" s="131" t="s">
        <v>42</v>
      </c>
      <c r="L777" s="438" t="s">
        <v>2454</v>
      </c>
      <c r="M777" s="194" t="s">
        <v>600</v>
      </c>
      <c r="N777" s="177" t="e" cm="1">
        <f t="array" aca="1" ref="N777" ca="1">_xlfn.XLOOKUP(Contrato5[[#This Row],[SUPERVISOR TITULAR]],[2]!PERSONAL_ACTIVO_2024[[#All],[Nombre completo]],[2]!PERSONAL_ACTIVO_2024[[#All],[Documento identidad]],"",0)</f>
        <v>#NAME?</v>
      </c>
      <c r="O777" s="194" t="s">
        <v>2495</v>
      </c>
      <c r="P777" s="196" t="e" cm="1">
        <f t="array" aca="1" ref="P777" ca="1">_xlfn.XLOOKUP(Contrato5[[#This Row],[SUPERVISOR SUPLENTE ]],[2]!PERSONAL_ACTIVO_2024[[#All],[Nombre completo]],[2]!PERSONAL_ACTIVO_2024[[#All],[Documento identidad]],"",0)</f>
        <v>#NAME?</v>
      </c>
      <c r="Q777" s="170">
        <v>879</v>
      </c>
      <c r="R777" s="137" t="e" cm="1">
        <f t="array" aca="1" ref="R777" ca="1">_xlfn.XLOOKUP(Contrato5[[#This Row],[CDP]],[2]!DISPONIBILIDADES_2024[[#All],[consecutivo]],[2]!DISPONIBILIDADES_2024[[#All],[fecha_aprobacion]],"",0)</f>
        <v>#NAME?</v>
      </c>
      <c r="S777" s="138" t="e">
        <f>SUMIF([2]!DISPONIBILIDADES_2024[[#All],[consecutivo]],Contrato5[[#This Row],[CDP]],[2]!DISPONIBILIDADES_2024[[#All],[valor_total_rubro]])</f>
        <v>#REF!</v>
      </c>
      <c r="T777" s="139" t="e" cm="1">
        <f t="array" aca="1" ref="T777" ca="1">_xlfn.XLOOKUP(Contrato5[[#This Row],[CONTRATO]]&amp;Contrato5[[#This Row],[CDP]],[2]!Corr_Contr_CDP[[#All],[CONTRATO-CDP]],[2]!Corr_Contr_CDP[[#All],[CRP]],_xlfn.XLOOKUP(Contrato5[[#This Row],[CDP]],[2]!COMPROMISOS_2024[[#All],[disponibilidad]],[2]!COMPROMISOS_2024[[#All],[consecutivo]],"",0),0)</f>
        <v>#NAME?</v>
      </c>
      <c r="U777" s="140" t="e" cm="1">
        <f t="array" aca="1" ref="U777" ca="1">+_xlfn.XLOOKUP(Contrato5[[#This Row],[RCP]],[2]!COMPROMISOS_2024[[#All],[consecutivo]],[2]!COMPROMISOS_2024[[#All],[fecha_aprobacion]],"",0)</f>
        <v>#NAME?</v>
      </c>
      <c r="V777" s="141" t="e">
        <f ca="1">SUMIF([2]!COMPROMISOS_2024[[#All],[consecutivo]],Contrato5[[#This Row],[RCP]],[2]!COMPROMISOS_2024[[#All],[valor_total]])</f>
        <v>#REF!</v>
      </c>
      <c r="W777" s="160">
        <v>45552</v>
      </c>
      <c r="X777" s="160" t="s">
        <v>1045</v>
      </c>
      <c r="Y777" s="143">
        <v>45553</v>
      </c>
      <c r="Z777" s="262">
        <v>45643</v>
      </c>
      <c r="AA777" s="171" t="s">
        <v>3078</v>
      </c>
      <c r="AB777" s="160" t="s">
        <v>3079</v>
      </c>
      <c r="AC777" s="172"/>
      <c r="AD777" s="547">
        <v>202000005366</v>
      </c>
      <c r="AE777" s="147" t="s">
        <v>523</v>
      </c>
      <c r="AF777" s="148" t="str">
        <f>TEXT(LEFT(Contrato5[[#This Row],[CONTRATO]],3),"0")</f>
        <v>643</v>
      </c>
      <c r="AG777" s="148" t="str">
        <f>IF(LEN(Contrato5[[#This Row],[Contrato2]])=3,Contrato5[[#This Row],[Contrato2]],TEXT(Contrato5[[#This Row],[Contrato2]],"000"))</f>
        <v>643</v>
      </c>
      <c r="AH777" s="149">
        <f ca="1">IFERROR(_xlfn.DAYS(Contrato5[[#This Row],[Fecha Proyectada liquidación]],TODAY())/30,"")</f>
        <v>0.16666666666666666</v>
      </c>
      <c r="AI777" s="150">
        <f>+Contrato5[[#This Row],[FECHA TERMINACIÓN ]]+120</f>
        <v>45763</v>
      </c>
      <c r="AJ777" s="147"/>
      <c r="AK777" s="152" t="str">
        <f ca="1">IF(Contrato5[[#This Row],[FECHA TERMINACIÓN ]]&lt;TODAY(), "Terminado",IF(ISNUMBER(Contrato5[[#This Row],[Fecha Real de liquiidación ]]),"Liquidado",IF(Contrato5[[#This Row],[FECHA TERMINACIÓN ]]&gt;=TODAY(),"En ejecución","")))</f>
        <v>Terminado</v>
      </c>
      <c r="AL777" s="153" t="e">
        <f ca="1">SUMIF([2]!COMPROMISOS_2024[[#All],[consecutivo]],Contrato5[[#This Row],[RCP]],[2]!COMPROMISOS_2024[[#All],[Total pagado]])</f>
        <v>#REF!</v>
      </c>
      <c r="AM777" s="154">
        <f ca="1">IFERROR(Contrato5[[#This Row],[Pagos]]/Contrato5[[#This Row],[VALOR CONTRATO]],0)</f>
        <v>0</v>
      </c>
      <c r="AN777" s="198" t="e">
        <f ca="1">+Contrato5[[#This Row],[VALOR CONTRATO]]-Contrato5[[#This Row],[Pagos]]</f>
        <v>#REF!</v>
      </c>
      <c r="AO777" s="147" t="e" cm="1">
        <f t="array" aca="1" ref="AO777" ca="1">_xlfn.XLOOKUP(Contrato5[[#This Row],[DOCUMENTO ]],[2]!PERSONAL_ACTIVO_2024[[#All],[Documento identidad]],[2]!PERSONAL_ACTIVO_2024[[#All],[Mail ]],0,0)</f>
        <v>#NAME?</v>
      </c>
      <c r="AP777" s="147" t="e" cm="1">
        <f t="array" aca="1" ref="AP777" ca="1">_xlfn.XLOOKUP(Contrato5[[#This Row],[DOCUMENTO]],[2]!PERSONAL_ACTIVO_2024[[#All],[Documento identidad]],[2]!PERSONAL_ACTIVO_2024[[#All],[Mail ]],0,0)</f>
        <v>#NAME?</v>
      </c>
      <c r="AQ777" s="439" cm="1">
        <f t="array" aca="1" ref="AQ777" ca="1">IF(ISBLANK(Contrato5[[#This Row],[DEPENDENCIA ]]),0,IFERROR(_xlfn.XLOOKUP(Contrato5[[#This Row],[DEPENDENCIA ]],[2]!PERSONAL_ACTIVO_2024[[#All],[Dependencia]],[2]!PERSONAL_ACTIVO_2024[[#All],[Mail ]],0,0),0))</f>
        <v>0</v>
      </c>
    </row>
    <row r="778" spans="1:43" ht="34.5" customHeight="1">
      <c r="A778" s="147">
        <v>1008</v>
      </c>
      <c r="B778" s="124">
        <v>644</v>
      </c>
      <c r="C778" s="162" t="s">
        <v>2078</v>
      </c>
      <c r="D778" s="227" t="s">
        <v>583</v>
      </c>
      <c r="E778" s="440" t="s">
        <v>898</v>
      </c>
      <c r="F778" s="227" t="s">
        <v>1376</v>
      </c>
      <c r="G778" s="281" t="s">
        <v>3082</v>
      </c>
      <c r="H778" s="436">
        <v>1214731711</v>
      </c>
      <c r="I778" s="273">
        <v>4908936</v>
      </c>
      <c r="J778" s="437">
        <v>15217702</v>
      </c>
      <c r="K778" s="131" t="s">
        <v>42</v>
      </c>
      <c r="L778" s="438" t="s">
        <v>2454</v>
      </c>
      <c r="M778" s="194" t="s">
        <v>589</v>
      </c>
      <c r="N778" s="177" t="e" cm="1">
        <f t="array" aca="1" ref="N778" ca="1">_xlfn.XLOOKUP(Contrato5[[#This Row],[SUPERVISOR TITULAR]],[2]!PERSONAL_ACTIVO_2024[[#All],[Nombre completo]],[2]!PERSONAL_ACTIVO_2024[[#All],[Documento identidad]],"",0)</f>
        <v>#NAME?</v>
      </c>
      <c r="O778" s="194" t="s">
        <v>586</v>
      </c>
      <c r="P778" s="196" t="e" cm="1">
        <f t="array" aca="1" ref="P778" ca="1">_xlfn.XLOOKUP(Contrato5[[#This Row],[SUPERVISOR SUPLENTE ]],[2]!PERSONAL_ACTIVO_2024[[#All],[Nombre completo]],[2]!PERSONAL_ACTIVO_2024[[#All],[Documento identidad]],"",0)</f>
        <v>#NAME?</v>
      </c>
      <c r="Q778" s="170">
        <v>861</v>
      </c>
      <c r="R778" s="137" t="e" cm="1">
        <f t="array" aca="1" ref="R778" ca="1">_xlfn.XLOOKUP(Contrato5[[#This Row],[CDP]],[2]!DISPONIBILIDADES_2024[[#All],[consecutivo]],[2]!DISPONIBILIDADES_2024[[#All],[fecha_aprobacion]],"",0)</f>
        <v>#NAME?</v>
      </c>
      <c r="S778" s="138" t="e">
        <f>SUMIF([2]!DISPONIBILIDADES_2024[[#All],[consecutivo]],Contrato5[[#This Row],[CDP]],[2]!DISPONIBILIDADES_2024[[#All],[valor_total_rubro]])</f>
        <v>#REF!</v>
      </c>
      <c r="T778" s="139" t="e" cm="1">
        <f t="array" aca="1" ref="T778" ca="1">_xlfn.XLOOKUP(Contrato5[[#This Row],[CONTRATO]]&amp;Contrato5[[#This Row],[CDP]],[2]!Corr_Contr_CDP[[#All],[CONTRATO-CDP]],[2]!Corr_Contr_CDP[[#All],[CRP]],_xlfn.XLOOKUP(Contrato5[[#This Row],[CDP]],[2]!COMPROMISOS_2024[[#All],[disponibilidad]],[2]!COMPROMISOS_2024[[#All],[consecutivo]],"",0),0)</f>
        <v>#NAME?</v>
      </c>
      <c r="U778" s="140" t="e" cm="1">
        <f t="array" aca="1" ref="U778" ca="1">+_xlfn.XLOOKUP(Contrato5[[#This Row],[RCP]],[2]!COMPROMISOS_2024[[#All],[consecutivo]],[2]!COMPROMISOS_2024[[#All],[fecha_aprobacion]],"",0)</f>
        <v>#NAME?</v>
      </c>
      <c r="V778" s="141" t="e">
        <f ca="1">SUMIF([2]!COMPROMISOS_2024[[#All],[consecutivo]],Contrato5[[#This Row],[RCP]],[2]!COMPROMISOS_2024[[#All],[valor_total]])</f>
        <v>#REF!</v>
      </c>
      <c r="W778" s="160">
        <v>45552</v>
      </c>
      <c r="X778" s="160" t="s">
        <v>1045</v>
      </c>
      <c r="Y778" s="143">
        <v>45553</v>
      </c>
      <c r="Z778" s="262">
        <v>45643</v>
      </c>
      <c r="AA778" s="171" t="s">
        <v>3078</v>
      </c>
      <c r="AB778" s="160" t="s">
        <v>3079</v>
      </c>
      <c r="AC778" s="172"/>
      <c r="AD778" s="547">
        <v>202000005367</v>
      </c>
      <c r="AE778" s="147" t="s">
        <v>523</v>
      </c>
      <c r="AF778" s="148" t="str">
        <f>TEXT(LEFT(Contrato5[[#This Row],[CONTRATO]],3),"0")</f>
        <v>644</v>
      </c>
      <c r="AG778" s="148" t="str">
        <f>IF(LEN(Contrato5[[#This Row],[Contrato2]])=3,Contrato5[[#This Row],[Contrato2]],TEXT(Contrato5[[#This Row],[Contrato2]],"000"))</f>
        <v>644</v>
      </c>
      <c r="AH778" s="149">
        <f ca="1">IFERROR(_xlfn.DAYS(Contrato5[[#This Row],[Fecha Proyectada liquidación]],TODAY())/30,"")</f>
        <v>0.16666666666666666</v>
      </c>
      <c r="AI778" s="150">
        <f>+Contrato5[[#This Row],[FECHA TERMINACIÓN ]]+120</f>
        <v>45763</v>
      </c>
      <c r="AJ778" s="147"/>
      <c r="AK778" s="152" t="str">
        <f ca="1">IF(Contrato5[[#This Row],[FECHA TERMINACIÓN ]]&lt;TODAY(), "Terminado",IF(ISNUMBER(Contrato5[[#This Row],[Fecha Real de liquiidación ]]),"Liquidado",IF(Contrato5[[#This Row],[FECHA TERMINACIÓN ]]&gt;=TODAY(),"En ejecución","")))</f>
        <v>Terminado</v>
      </c>
      <c r="AL778" s="153" t="e">
        <f ca="1">SUMIF([2]!COMPROMISOS_2024[[#All],[consecutivo]],Contrato5[[#This Row],[RCP]],[2]!COMPROMISOS_2024[[#All],[Total pagado]])</f>
        <v>#REF!</v>
      </c>
      <c r="AM778" s="154">
        <f ca="1">IFERROR(Contrato5[[#This Row],[Pagos]]/Contrato5[[#This Row],[VALOR CONTRATO]],0)</f>
        <v>0</v>
      </c>
      <c r="AN778" s="198" t="e">
        <f ca="1">+Contrato5[[#This Row],[VALOR CONTRATO]]-Contrato5[[#This Row],[Pagos]]</f>
        <v>#REF!</v>
      </c>
      <c r="AO778" s="147" t="e" cm="1">
        <f t="array" aca="1" ref="AO778" ca="1">_xlfn.XLOOKUP(Contrato5[[#This Row],[DOCUMENTO ]],[2]!PERSONAL_ACTIVO_2024[[#All],[Documento identidad]],[2]!PERSONAL_ACTIVO_2024[[#All],[Mail ]],0,0)</f>
        <v>#NAME?</v>
      </c>
      <c r="AP778" s="147" t="e" cm="1">
        <f t="array" aca="1" ref="AP778" ca="1">_xlfn.XLOOKUP(Contrato5[[#This Row],[DOCUMENTO]],[2]!PERSONAL_ACTIVO_2024[[#All],[Documento identidad]],[2]!PERSONAL_ACTIVO_2024[[#All],[Mail ]],0,0)</f>
        <v>#NAME?</v>
      </c>
      <c r="AQ778" s="439" cm="1">
        <f t="array" aca="1" ref="AQ778" ca="1">IF(ISBLANK(Contrato5[[#This Row],[DEPENDENCIA ]]),0,IFERROR(_xlfn.XLOOKUP(Contrato5[[#This Row],[DEPENDENCIA ]],[2]!PERSONAL_ACTIVO_2024[[#All],[Dependencia]],[2]!PERSONAL_ACTIVO_2024[[#All],[Mail ]],0,0),0))</f>
        <v>0</v>
      </c>
    </row>
    <row r="779" spans="1:43" ht="34.5" customHeight="1">
      <c r="A779" s="147">
        <v>1009</v>
      </c>
      <c r="B779" s="124">
        <v>645</v>
      </c>
      <c r="C779" s="162" t="s">
        <v>2078</v>
      </c>
      <c r="D779" s="227" t="s">
        <v>583</v>
      </c>
      <c r="E779" s="440" t="s">
        <v>898</v>
      </c>
      <c r="F779" s="227" t="s">
        <v>1376</v>
      </c>
      <c r="G779" s="281" t="s">
        <v>3083</v>
      </c>
      <c r="H779" s="436">
        <v>1036669441</v>
      </c>
      <c r="I779" s="273">
        <v>3952382</v>
      </c>
      <c r="J779" s="437">
        <v>12252384</v>
      </c>
      <c r="K779" s="131" t="s">
        <v>42</v>
      </c>
      <c r="L779" s="438" t="s">
        <v>2454</v>
      </c>
      <c r="M779" s="194" t="s">
        <v>592</v>
      </c>
      <c r="N779" s="177" t="e" cm="1">
        <f t="array" aca="1" ref="N779" ca="1">_xlfn.XLOOKUP(Contrato5[[#This Row],[SUPERVISOR TITULAR]],[2]!PERSONAL_ACTIVO_2024[[#All],[Nombre completo]],[2]!PERSONAL_ACTIVO_2024[[#All],[Documento identidad]],"",0)</f>
        <v>#NAME?</v>
      </c>
      <c r="O779" s="194" t="s">
        <v>600</v>
      </c>
      <c r="P779" s="196" t="e" cm="1">
        <f t="array" aca="1" ref="P779" ca="1">_xlfn.XLOOKUP(Contrato5[[#This Row],[SUPERVISOR SUPLENTE ]],[2]!PERSONAL_ACTIVO_2024[[#All],[Nombre completo]],[2]!PERSONAL_ACTIVO_2024[[#All],[Documento identidad]],"",0)</f>
        <v>#NAME?</v>
      </c>
      <c r="Q779" s="170">
        <v>856</v>
      </c>
      <c r="R779" s="137" t="e" cm="1">
        <f t="array" aca="1" ref="R779" ca="1">_xlfn.XLOOKUP(Contrato5[[#This Row],[CDP]],[2]!DISPONIBILIDADES_2024[[#All],[consecutivo]],[2]!DISPONIBILIDADES_2024[[#All],[fecha_aprobacion]],"",0)</f>
        <v>#NAME?</v>
      </c>
      <c r="S779" s="138" t="e">
        <f>SUMIF([2]!DISPONIBILIDADES_2024[[#All],[consecutivo]],Contrato5[[#This Row],[CDP]],[2]!DISPONIBILIDADES_2024[[#All],[valor_total_rubro]])</f>
        <v>#REF!</v>
      </c>
      <c r="T779" s="139" t="e" cm="1">
        <f t="array" aca="1" ref="T779" ca="1">_xlfn.XLOOKUP(Contrato5[[#This Row],[CONTRATO]]&amp;Contrato5[[#This Row],[CDP]],[2]!Corr_Contr_CDP[[#All],[CONTRATO-CDP]],[2]!Corr_Contr_CDP[[#All],[CRP]],_xlfn.XLOOKUP(Contrato5[[#This Row],[CDP]],[2]!COMPROMISOS_2024[[#All],[disponibilidad]],[2]!COMPROMISOS_2024[[#All],[consecutivo]],"",0),0)</f>
        <v>#NAME?</v>
      </c>
      <c r="U779" s="140" t="e" cm="1">
        <f t="array" aca="1" ref="U779" ca="1">+_xlfn.XLOOKUP(Contrato5[[#This Row],[RCP]],[2]!COMPROMISOS_2024[[#All],[consecutivo]],[2]!COMPROMISOS_2024[[#All],[fecha_aprobacion]],"",0)</f>
        <v>#NAME?</v>
      </c>
      <c r="V779" s="141" t="e">
        <f ca="1">SUMIF([2]!COMPROMISOS_2024[[#All],[consecutivo]],Contrato5[[#This Row],[RCP]],[2]!COMPROMISOS_2024[[#All],[valor_total]])</f>
        <v>#REF!</v>
      </c>
      <c r="W779" s="160">
        <v>45552</v>
      </c>
      <c r="X779" s="160" t="s">
        <v>1045</v>
      </c>
      <c r="Y779" s="143">
        <v>45553</v>
      </c>
      <c r="Z779" s="262">
        <v>45643</v>
      </c>
      <c r="AA779" s="171" t="s">
        <v>3078</v>
      </c>
      <c r="AB779" s="160" t="s">
        <v>3079</v>
      </c>
      <c r="AC779" s="172"/>
      <c r="AD779" s="547">
        <v>202000005368</v>
      </c>
      <c r="AE779" s="147" t="s">
        <v>523</v>
      </c>
      <c r="AF779" s="148" t="str">
        <f>TEXT(LEFT(Contrato5[[#This Row],[CONTRATO]],3),"0")</f>
        <v>645</v>
      </c>
      <c r="AG779" s="148" t="str">
        <f>IF(LEN(Contrato5[[#This Row],[Contrato2]])=3,Contrato5[[#This Row],[Contrato2]],TEXT(Contrato5[[#This Row],[Contrato2]],"000"))</f>
        <v>645</v>
      </c>
      <c r="AH779" s="149">
        <f ca="1">IFERROR(_xlfn.DAYS(Contrato5[[#This Row],[Fecha Proyectada liquidación]],TODAY())/30,"")</f>
        <v>0.16666666666666666</v>
      </c>
      <c r="AI779" s="150">
        <f>+Contrato5[[#This Row],[FECHA TERMINACIÓN ]]+120</f>
        <v>45763</v>
      </c>
      <c r="AJ779" s="147"/>
      <c r="AK779" s="152" t="str">
        <f ca="1">IF(Contrato5[[#This Row],[FECHA TERMINACIÓN ]]&lt;TODAY(), "Terminado",IF(ISNUMBER(Contrato5[[#This Row],[Fecha Real de liquiidación ]]),"Liquidado",IF(Contrato5[[#This Row],[FECHA TERMINACIÓN ]]&gt;=TODAY(),"En ejecución","")))</f>
        <v>Terminado</v>
      </c>
      <c r="AL779" s="153" t="e">
        <f ca="1">SUMIF([2]!COMPROMISOS_2024[[#All],[consecutivo]],Contrato5[[#This Row],[RCP]],[2]!COMPROMISOS_2024[[#All],[Total pagado]])</f>
        <v>#REF!</v>
      </c>
      <c r="AM779" s="154">
        <f ca="1">IFERROR(Contrato5[[#This Row],[Pagos]]/Contrato5[[#This Row],[VALOR CONTRATO]],0)</f>
        <v>0</v>
      </c>
      <c r="AN779" s="198" t="e">
        <f ca="1">+Contrato5[[#This Row],[VALOR CONTRATO]]-Contrato5[[#This Row],[Pagos]]</f>
        <v>#REF!</v>
      </c>
      <c r="AO779" s="147" t="e" cm="1">
        <f t="array" aca="1" ref="AO779" ca="1">_xlfn.XLOOKUP(Contrato5[[#This Row],[DOCUMENTO ]],[2]!PERSONAL_ACTIVO_2024[[#All],[Documento identidad]],[2]!PERSONAL_ACTIVO_2024[[#All],[Mail ]],0,0)</f>
        <v>#NAME?</v>
      </c>
      <c r="AP779" s="147" t="e" cm="1">
        <f t="array" aca="1" ref="AP779" ca="1">_xlfn.XLOOKUP(Contrato5[[#This Row],[DOCUMENTO]],[2]!PERSONAL_ACTIVO_2024[[#All],[Documento identidad]],[2]!PERSONAL_ACTIVO_2024[[#All],[Mail ]],0,0)</f>
        <v>#NAME?</v>
      </c>
      <c r="AQ779" s="439" cm="1">
        <f t="array" aca="1" ref="AQ779" ca="1">IF(ISBLANK(Contrato5[[#This Row],[DEPENDENCIA ]]),0,IFERROR(_xlfn.XLOOKUP(Contrato5[[#This Row],[DEPENDENCIA ]],[2]!PERSONAL_ACTIVO_2024[[#All],[Dependencia]],[2]!PERSONAL_ACTIVO_2024[[#All],[Mail ]],0,0),0))</f>
        <v>0</v>
      </c>
    </row>
    <row r="780" spans="1:43" ht="34.5" customHeight="1">
      <c r="A780" s="147">
        <v>1010</v>
      </c>
      <c r="B780" s="124">
        <v>646</v>
      </c>
      <c r="C780" s="162" t="s">
        <v>2078</v>
      </c>
      <c r="D780" s="227" t="s">
        <v>583</v>
      </c>
      <c r="E780" s="440" t="s">
        <v>898</v>
      </c>
      <c r="F780" s="227" t="s">
        <v>1376</v>
      </c>
      <c r="G780" s="281" t="s">
        <v>944</v>
      </c>
      <c r="H780" s="436">
        <v>1152225382</v>
      </c>
      <c r="I780" s="273">
        <v>4908936</v>
      </c>
      <c r="J780" s="437">
        <v>15217702</v>
      </c>
      <c r="K780" s="131" t="s">
        <v>42</v>
      </c>
      <c r="L780" s="438" t="s">
        <v>2454</v>
      </c>
      <c r="M780" s="194" t="s">
        <v>592</v>
      </c>
      <c r="N780" s="177" t="e" cm="1">
        <f t="array" aca="1" ref="N780" ca="1">_xlfn.XLOOKUP(Contrato5[[#This Row],[SUPERVISOR TITULAR]],[2]!PERSONAL_ACTIVO_2024[[#All],[Nombre completo]],[2]!PERSONAL_ACTIVO_2024[[#All],[Documento identidad]],"",0)</f>
        <v>#NAME?</v>
      </c>
      <c r="O780" s="194" t="s">
        <v>600</v>
      </c>
      <c r="P780" s="196" t="e" cm="1">
        <f t="array" aca="1" ref="P780" ca="1">_xlfn.XLOOKUP(Contrato5[[#This Row],[SUPERVISOR SUPLENTE ]],[2]!PERSONAL_ACTIVO_2024[[#All],[Nombre completo]],[2]!PERSONAL_ACTIVO_2024[[#All],[Documento identidad]],"",0)</f>
        <v>#NAME?</v>
      </c>
      <c r="Q780" s="170">
        <v>862</v>
      </c>
      <c r="R780" s="137" t="e" cm="1">
        <f t="array" aca="1" ref="R780" ca="1">_xlfn.XLOOKUP(Contrato5[[#This Row],[CDP]],[2]!DISPONIBILIDADES_2024[[#All],[consecutivo]],[2]!DISPONIBILIDADES_2024[[#All],[fecha_aprobacion]],"",0)</f>
        <v>#NAME?</v>
      </c>
      <c r="S780" s="138" t="e">
        <f>SUMIF([2]!DISPONIBILIDADES_2024[[#All],[consecutivo]],Contrato5[[#This Row],[CDP]],[2]!DISPONIBILIDADES_2024[[#All],[valor_total_rubro]])</f>
        <v>#REF!</v>
      </c>
      <c r="T780" s="139" t="e" cm="1">
        <f t="array" aca="1" ref="T780" ca="1">_xlfn.XLOOKUP(Contrato5[[#This Row],[CONTRATO]]&amp;Contrato5[[#This Row],[CDP]],[2]!Corr_Contr_CDP[[#All],[CONTRATO-CDP]],[2]!Corr_Contr_CDP[[#All],[CRP]],_xlfn.XLOOKUP(Contrato5[[#This Row],[CDP]],[2]!COMPROMISOS_2024[[#All],[disponibilidad]],[2]!COMPROMISOS_2024[[#All],[consecutivo]],"",0),0)</f>
        <v>#NAME?</v>
      </c>
      <c r="U780" s="140" t="e" cm="1">
        <f t="array" aca="1" ref="U780" ca="1">+_xlfn.XLOOKUP(Contrato5[[#This Row],[RCP]],[2]!COMPROMISOS_2024[[#All],[consecutivo]],[2]!COMPROMISOS_2024[[#All],[fecha_aprobacion]],"",0)</f>
        <v>#NAME?</v>
      </c>
      <c r="V780" s="141" t="e">
        <f ca="1">SUMIF([2]!COMPROMISOS_2024[[#All],[consecutivo]],Contrato5[[#This Row],[RCP]],[2]!COMPROMISOS_2024[[#All],[valor_total]])</f>
        <v>#REF!</v>
      </c>
      <c r="W780" s="160">
        <v>45552</v>
      </c>
      <c r="X780" s="160" t="s">
        <v>1045</v>
      </c>
      <c r="Y780" s="143">
        <v>45553</v>
      </c>
      <c r="Z780" s="262">
        <v>45643</v>
      </c>
      <c r="AA780" s="171" t="s">
        <v>3078</v>
      </c>
      <c r="AB780" s="160" t="s">
        <v>3079</v>
      </c>
      <c r="AC780" s="172"/>
      <c r="AD780" s="547">
        <v>202000005370</v>
      </c>
      <c r="AE780" s="147" t="s">
        <v>523</v>
      </c>
      <c r="AF780" s="148" t="str">
        <f>TEXT(LEFT(Contrato5[[#This Row],[CONTRATO]],3),"0")</f>
        <v>646</v>
      </c>
      <c r="AG780" s="148" t="str">
        <f>IF(LEN(Contrato5[[#This Row],[Contrato2]])=3,Contrato5[[#This Row],[Contrato2]],TEXT(Contrato5[[#This Row],[Contrato2]],"000"))</f>
        <v>646</v>
      </c>
      <c r="AH780" s="149">
        <f ca="1">IFERROR(_xlfn.DAYS(Contrato5[[#This Row],[Fecha Proyectada liquidación]],TODAY())/30,"")</f>
        <v>0.16666666666666666</v>
      </c>
      <c r="AI780" s="150">
        <f>+Contrato5[[#This Row],[FECHA TERMINACIÓN ]]+120</f>
        <v>45763</v>
      </c>
      <c r="AJ780" s="147"/>
      <c r="AK780" s="152" t="str">
        <f ca="1">IF(Contrato5[[#This Row],[FECHA TERMINACIÓN ]]&lt;TODAY(), "Terminado",IF(ISNUMBER(Contrato5[[#This Row],[Fecha Real de liquiidación ]]),"Liquidado",IF(Contrato5[[#This Row],[FECHA TERMINACIÓN ]]&gt;=TODAY(),"En ejecución","")))</f>
        <v>Terminado</v>
      </c>
      <c r="AL780" s="153" t="e">
        <f ca="1">SUMIF([2]!COMPROMISOS_2024[[#All],[consecutivo]],Contrato5[[#This Row],[RCP]],[2]!COMPROMISOS_2024[[#All],[Total pagado]])</f>
        <v>#REF!</v>
      </c>
      <c r="AM780" s="154">
        <f ca="1">IFERROR(Contrato5[[#This Row],[Pagos]]/Contrato5[[#This Row],[VALOR CONTRATO]],0)</f>
        <v>0</v>
      </c>
      <c r="AN780" s="198" t="e">
        <f ca="1">+Contrato5[[#This Row],[VALOR CONTRATO]]-Contrato5[[#This Row],[Pagos]]</f>
        <v>#REF!</v>
      </c>
      <c r="AO780" s="147" t="e" cm="1">
        <f t="array" aca="1" ref="AO780" ca="1">_xlfn.XLOOKUP(Contrato5[[#This Row],[DOCUMENTO ]],[2]!PERSONAL_ACTIVO_2024[[#All],[Documento identidad]],[2]!PERSONAL_ACTIVO_2024[[#All],[Mail ]],0,0)</f>
        <v>#NAME?</v>
      </c>
      <c r="AP780" s="147" t="e" cm="1">
        <f t="array" aca="1" ref="AP780" ca="1">_xlfn.XLOOKUP(Contrato5[[#This Row],[DOCUMENTO]],[2]!PERSONAL_ACTIVO_2024[[#All],[Documento identidad]],[2]!PERSONAL_ACTIVO_2024[[#All],[Mail ]],0,0)</f>
        <v>#NAME?</v>
      </c>
      <c r="AQ780" s="439" cm="1">
        <f t="array" aca="1" ref="AQ780" ca="1">IF(ISBLANK(Contrato5[[#This Row],[DEPENDENCIA ]]),0,IFERROR(_xlfn.XLOOKUP(Contrato5[[#This Row],[DEPENDENCIA ]],[2]!PERSONAL_ACTIVO_2024[[#All],[Dependencia]],[2]!PERSONAL_ACTIVO_2024[[#All],[Mail ]],0,0),0))</f>
        <v>0</v>
      </c>
    </row>
    <row r="781" spans="1:43" ht="34.5" customHeight="1">
      <c r="A781" s="147">
        <v>1011</v>
      </c>
      <c r="B781" s="124">
        <v>647</v>
      </c>
      <c r="C781" s="162" t="s">
        <v>2078</v>
      </c>
      <c r="D781" s="227" t="s">
        <v>583</v>
      </c>
      <c r="E781" s="440" t="s">
        <v>898</v>
      </c>
      <c r="F781" s="227" t="s">
        <v>1376</v>
      </c>
      <c r="G781" s="281" t="s">
        <v>3084</v>
      </c>
      <c r="H781" s="436">
        <v>43599588</v>
      </c>
      <c r="I781" s="273">
        <v>5931149</v>
      </c>
      <c r="J781" s="437">
        <v>18386562</v>
      </c>
      <c r="K781" s="131" t="s">
        <v>42</v>
      </c>
      <c r="L781" s="438" t="s">
        <v>2454</v>
      </c>
      <c r="M781" s="194" t="s">
        <v>600</v>
      </c>
      <c r="N781" s="177" t="e" cm="1">
        <f t="array" aca="1" ref="N781" ca="1">_xlfn.XLOOKUP(Contrato5[[#This Row],[SUPERVISOR TITULAR]],[2]!PERSONAL_ACTIVO_2024[[#All],[Nombre completo]],[2]!PERSONAL_ACTIVO_2024[[#All],[Documento identidad]],"",0)</f>
        <v>#NAME?</v>
      </c>
      <c r="O781" s="194" t="s">
        <v>2495</v>
      </c>
      <c r="P781" s="196" t="e" cm="1">
        <f t="array" aca="1" ref="P781" ca="1">_xlfn.XLOOKUP(Contrato5[[#This Row],[SUPERVISOR SUPLENTE ]],[2]!PERSONAL_ACTIVO_2024[[#All],[Nombre completo]],[2]!PERSONAL_ACTIVO_2024[[#All],[Documento identidad]],"",0)</f>
        <v>#NAME?</v>
      </c>
      <c r="Q781" s="170">
        <v>863</v>
      </c>
      <c r="R781" s="137" t="e" cm="1">
        <f t="array" aca="1" ref="R781" ca="1">_xlfn.XLOOKUP(Contrato5[[#This Row],[CDP]],[2]!DISPONIBILIDADES_2024[[#All],[consecutivo]],[2]!DISPONIBILIDADES_2024[[#All],[fecha_aprobacion]],"",0)</f>
        <v>#NAME?</v>
      </c>
      <c r="S781" s="138" t="e">
        <f>SUMIF([2]!DISPONIBILIDADES_2024[[#All],[consecutivo]],Contrato5[[#This Row],[CDP]],[2]!DISPONIBILIDADES_2024[[#All],[valor_total_rubro]])</f>
        <v>#REF!</v>
      </c>
      <c r="T781" s="139" t="e" cm="1">
        <f t="array" aca="1" ref="T781" ca="1">_xlfn.XLOOKUP(Contrato5[[#This Row],[CONTRATO]]&amp;Contrato5[[#This Row],[CDP]],[2]!Corr_Contr_CDP[[#All],[CONTRATO-CDP]],[2]!Corr_Contr_CDP[[#All],[CRP]],_xlfn.XLOOKUP(Contrato5[[#This Row],[CDP]],[2]!COMPROMISOS_2024[[#All],[disponibilidad]],[2]!COMPROMISOS_2024[[#All],[consecutivo]],"",0),0)</f>
        <v>#NAME?</v>
      </c>
      <c r="U781" s="140" t="e" cm="1">
        <f t="array" aca="1" ref="U781" ca="1">+_xlfn.XLOOKUP(Contrato5[[#This Row],[RCP]],[2]!COMPROMISOS_2024[[#All],[consecutivo]],[2]!COMPROMISOS_2024[[#All],[fecha_aprobacion]],"",0)</f>
        <v>#NAME?</v>
      </c>
      <c r="V781" s="141" t="e">
        <f ca="1">SUMIF([2]!COMPROMISOS_2024[[#All],[consecutivo]],Contrato5[[#This Row],[RCP]],[2]!COMPROMISOS_2024[[#All],[valor_total]])</f>
        <v>#REF!</v>
      </c>
      <c r="W781" s="160">
        <v>45552</v>
      </c>
      <c r="X781" s="160" t="s">
        <v>1045</v>
      </c>
      <c r="Y781" s="143">
        <v>45553</v>
      </c>
      <c r="Z781" s="262">
        <v>45643</v>
      </c>
      <c r="AA781" s="171" t="s">
        <v>3078</v>
      </c>
      <c r="AB781" s="160" t="s">
        <v>3079</v>
      </c>
      <c r="AC781" s="172"/>
      <c r="AD781" s="547">
        <v>202000005371</v>
      </c>
      <c r="AE781" s="147" t="s">
        <v>523</v>
      </c>
      <c r="AF781" s="148" t="str">
        <f>TEXT(LEFT(Contrato5[[#This Row],[CONTRATO]],3),"0")</f>
        <v>647</v>
      </c>
      <c r="AG781" s="148" t="str">
        <f>IF(LEN(Contrato5[[#This Row],[Contrato2]])=3,Contrato5[[#This Row],[Contrato2]],TEXT(Contrato5[[#This Row],[Contrato2]],"000"))</f>
        <v>647</v>
      </c>
      <c r="AH781" s="149">
        <f ca="1">IFERROR(_xlfn.DAYS(Contrato5[[#This Row],[Fecha Proyectada liquidación]],TODAY())/30,"")</f>
        <v>0.16666666666666666</v>
      </c>
      <c r="AI781" s="150">
        <f>+Contrato5[[#This Row],[FECHA TERMINACIÓN ]]+120</f>
        <v>45763</v>
      </c>
      <c r="AJ781" s="147"/>
      <c r="AK781" s="152" t="str">
        <f ca="1">IF(Contrato5[[#This Row],[FECHA TERMINACIÓN ]]&lt;TODAY(), "Terminado",IF(ISNUMBER(Contrato5[[#This Row],[Fecha Real de liquiidación ]]),"Liquidado",IF(Contrato5[[#This Row],[FECHA TERMINACIÓN ]]&gt;=TODAY(),"En ejecución","")))</f>
        <v>Terminado</v>
      </c>
      <c r="AL781" s="153" t="e">
        <f ca="1">SUMIF([2]!COMPROMISOS_2024[[#All],[consecutivo]],Contrato5[[#This Row],[RCP]],[2]!COMPROMISOS_2024[[#All],[Total pagado]])</f>
        <v>#REF!</v>
      </c>
      <c r="AM781" s="154">
        <f ca="1">IFERROR(Contrato5[[#This Row],[Pagos]]/Contrato5[[#This Row],[VALOR CONTRATO]],0)</f>
        <v>0</v>
      </c>
      <c r="AN781" s="198" t="e">
        <f ca="1">+Contrato5[[#This Row],[VALOR CONTRATO]]-Contrato5[[#This Row],[Pagos]]</f>
        <v>#REF!</v>
      </c>
      <c r="AO781" s="147" t="e" cm="1">
        <f t="array" aca="1" ref="AO781" ca="1">_xlfn.XLOOKUP(Contrato5[[#This Row],[DOCUMENTO ]],[2]!PERSONAL_ACTIVO_2024[[#All],[Documento identidad]],[2]!PERSONAL_ACTIVO_2024[[#All],[Mail ]],0,0)</f>
        <v>#NAME?</v>
      </c>
      <c r="AP781" s="147" t="e" cm="1">
        <f t="array" aca="1" ref="AP781" ca="1">_xlfn.XLOOKUP(Contrato5[[#This Row],[DOCUMENTO]],[2]!PERSONAL_ACTIVO_2024[[#All],[Documento identidad]],[2]!PERSONAL_ACTIVO_2024[[#All],[Mail ]],0,0)</f>
        <v>#NAME?</v>
      </c>
      <c r="AQ781" s="439" cm="1">
        <f t="array" aca="1" ref="AQ781" ca="1">IF(ISBLANK(Contrato5[[#This Row],[DEPENDENCIA ]]),0,IFERROR(_xlfn.XLOOKUP(Contrato5[[#This Row],[DEPENDENCIA ]],[2]!PERSONAL_ACTIVO_2024[[#All],[Dependencia]],[2]!PERSONAL_ACTIVO_2024[[#All],[Mail ]],0,0),0))</f>
        <v>0</v>
      </c>
    </row>
    <row r="782" spans="1:43" ht="34.5" customHeight="1">
      <c r="A782" s="147">
        <v>1013</v>
      </c>
      <c r="B782" s="124">
        <v>648</v>
      </c>
      <c r="C782" s="162" t="s">
        <v>2078</v>
      </c>
      <c r="D782" s="227" t="s">
        <v>583</v>
      </c>
      <c r="E782" s="440" t="s">
        <v>898</v>
      </c>
      <c r="F782" s="227" t="s">
        <v>1376</v>
      </c>
      <c r="G782" s="281" t="s">
        <v>947</v>
      </c>
      <c r="H782" s="436">
        <v>1017215382</v>
      </c>
      <c r="I782" s="273">
        <v>4908936</v>
      </c>
      <c r="J782" s="437">
        <v>15217702</v>
      </c>
      <c r="K782" s="131" t="s">
        <v>42</v>
      </c>
      <c r="L782" s="438" t="s">
        <v>2454</v>
      </c>
      <c r="M782" s="194" t="s">
        <v>586</v>
      </c>
      <c r="N782" s="177" t="e" cm="1">
        <f t="array" aca="1" ref="N782" ca="1">_xlfn.XLOOKUP(Contrato5[[#This Row],[SUPERVISOR TITULAR]],[2]!PERSONAL_ACTIVO_2024[[#All],[Nombre completo]],[2]!PERSONAL_ACTIVO_2024[[#All],[Documento identidad]],"",0)</f>
        <v>#NAME?</v>
      </c>
      <c r="O782" s="194" t="s">
        <v>589</v>
      </c>
      <c r="P782" s="196" t="e" cm="1">
        <f t="array" aca="1" ref="P782" ca="1">_xlfn.XLOOKUP(Contrato5[[#This Row],[SUPERVISOR SUPLENTE ]],[2]!PERSONAL_ACTIVO_2024[[#All],[Nombre completo]],[2]!PERSONAL_ACTIVO_2024[[#All],[Documento identidad]],"",0)</f>
        <v>#NAME?</v>
      </c>
      <c r="Q782" s="170">
        <v>864</v>
      </c>
      <c r="R782" s="137" t="e" cm="1">
        <f t="array" aca="1" ref="R782" ca="1">_xlfn.XLOOKUP(Contrato5[[#This Row],[CDP]],[2]!DISPONIBILIDADES_2024[[#All],[consecutivo]],[2]!DISPONIBILIDADES_2024[[#All],[fecha_aprobacion]],"",0)</f>
        <v>#NAME?</v>
      </c>
      <c r="S782" s="138" t="e">
        <f>SUMIF([2]!DISPONIBILIDADES_2024[[#All],[consecutivo]],Contrato5[[#This Row],[CDP]],[2]!DISPONIBILIDADES_2024[[#All],[valor_total_rubro]])</f>
        <v>#REF!</v>
      </c>
      <c r="T782" s="139" t="e" cm="1">
        <f t="array" aca="1" ref="T782" ca="1">_xlfn.XLOOKUP(Contrato5[[#This Row],[CONTRATO]]&amp;Contrato5[[#This Row],[CDP]],[2]!Corr_Contr_CDP[[#All],[CONTRATO-CDP]],[2]!Corr_Contr_CDP[[#All],[CRP]],_xlfn.XLOOKUP(Contrato5[[#This Row],[CDP]],[2]!COMPROMISOS_2024[[#All],[disponibilidad]],[2]!COMPROMISOS_2024[[#All],[consecutivo]],"",0),0)</f>
        <v>#NAME?</v>
      </c>
      <c r="U782" s="140" t="e" cm="1">
        <f t="array" aca="1" ref="U782" ca="1">+_xlfn.XLOOKUP(Contrato5[[#This Row],[RCP]],[2]!COMPROMISOS_2024[[#All],[consecutivo]],[2]!COMPROMISOS_2024[[#All],[fecha_aprobacion]],"",0)</f>
        <v>#NAME?</v>
      </c>
      <c r="V782" s="141" t="e">
        <f ca="1">SUMIF([2]!COMPROMISOS_2024[[#All],[consecutivo]],Contrato5[[#This Row],[RCP]],[2]!COMPROMISOS_2024[[#All],[valor_total]])</f>
        <v>#REF!</v>
      </c>
      <c r="W782" s="160">
        <v>45552</v>
      </c>
      <c r="X782" s="160" t="s">
        <v>1045</v>
      </c>
      <c r="Y782" s="143">
        <v>45553</v>
      </c>
      <c r="Z782" s="262">
        <v>45643</v>
      </c>
      <c r="AA782" s="171" t="s">
        <v>3078</v>
      </c>
      <c r="AB782" s="160" t="s">
        <v>3079</v>
      </c>
      <c r="AC782" s="172"/>
      <c r="AD782" s="547">
        <v>202000005375</v>
      </c>
      <c r="AE782" s="147" t="s">
        <v>523</v>
      </c>
      <c r="AF782" s="148" t="str">
        <f>TEXT(LEFT(Contrato5[[#This Row],[CONTRATO]],3),"0")</f>
        <v>648</v>
      </c>
      <c r="AG782" s="148" t="str">
        <f>IF(LEN(Contrato5[[#This Row],[Contrato2]])=3,Contrato5[[#This Row],[Contrato2]],TEXT(Contrato5[[#This Row],[Contrato2]],"000"))</f>
        <v>648</v>
      </c>
      <c r="AH782" s="149">
        <f ca="1">IFERROR(_xlfn.DAYS(Contrato5[[#This Row],[Fecha Proyectada liquidación]],TODAY())/30,"")</f>
        <v>0.16666666666666666</v>
      </c>
      <c r="AI782" s="150">
        <f>+Contrato5[[#This Row],[FECHA TERMINACIÓN ]]+120</f>
        <v>45763</v>
      </c>
      <c r="AJ782" s="147"/>
      <c r="AK782" s="152" t="str">
        <f ca="1">IF(Contrato5[[#This Row],[FECHA TERMINACIÓN ]]&lt;TODAY(), "Terminado",IF(ISNUMBER(Contrato5[[#This Row],[Fecha Real de liquiidación ]]),"Liquidado",IF(Contrato5[[#This Row],[FECHA TERMINACIÓN ]]&gt;=TODAY(),"En ejecución","")))</f>
        <v>Terminado</v>
      </c>
      <c r="AL782" s="153" t="e">
        <f ca="1">SUMIF([2]!COMPROMISOS_2024[[#All],[consecutivo]],Contrato5[[#This Row],[RCP]],[2]!COMPROMISOS_2024[[#All],[Total pagado]])</f>
        <v>#REF!</v>
      </c>
      <c r="AM782" s="154">
        <f ca="1">IFERROR(Contrato5[[#This Row],[Pagos]]/Contrato5[[#This Row],[VALOR CONTRATO]],0)</f>
        <v>0</v>
      </c>
      <c r="AN782" s="198" t="e">
        <f ca="1">+Contrato5[[#This Row],[VALOR CONTRATO]]-Contrato5[[#This Row],[Pagos]]</f>
        <v>#REF!</v>
      </c>
      <c r="AO782" s="147" t="e" cm="1">
        <f t="array" aca="1" ref="AO782" ca="1">_xlfn.XLOOKUP(Contrato5[[#This Row],[DOCUMENTO ]],[2]!PERSONAL_ACTIVO_2024[[#All],[Documento identidad]],[2]!PERSONAL_ACTIVO_2024[[#All],[Mail ]],0,0)</f>
        <v>#NAME?</v>
      </c>
      <c r="AP782" s="147" t="e" cm="1">
        <f t="array" aca="1" ref="AP782" ca="1">_xlfn.XLOOKUP(Contrato5[[#This Row],[DOCUMENTO]],[2]!PERSONAL_ACTIVO_2024[[#All],[Documento identidad]],[2]!PERSONAL_ACTIVO_2024[[#All],[Mail ]],0,0)</f>
        <v>#NAME?</v>
      </c>
      <c r="AQ782" s="439" cm="1">
        <f t="array" aca="1" ref="AQ782" ca="1">IF(ISBLANK(Contrato5[[#This Row],[DEPENDENCIA ]]),0,IFERROR(_xlfn.XLOOKUP(Contrato5[[#This Row],[DEPENDENCIA ]],[2]!PERSONAL_ACTIVO_2024[[#All],[Dependencia]],[2]!PERSONAL_ACTIVO_2024[[#All],[Mail ]],0,0),0))</f>
        <v>0</v>
      </c>
    </row>
    <row r="783" spans="1:43" ht="34.5" customHeight="1">
      <c r="A783" s="303">
        <v>1014</v>
      </c>
      <c r="B783" s="124">
        <v>649</v>
      </c>
      <c r="C783" s="162" t="s">
        <v>2078</v>
      </c>
      <c r="D783" s="227" t="s">
        <v>583</v>
      </c>
      <c r="E783" s="440" t="s">
        <v>898</v>
      </c>
      <c r="F783" s="227" t="s">
        <v>1376</v>
      </c>
      <c r="G783" s="307" t="s">
        <v>3085</v>
      </c>
      <c r="H783" s="436">
        <v>98630846</v>
      </c>
      <c r="I783" s="273">
        <v>4908936</v>
      </c>
      <c r="J783" s="437">
        <v>15217702</v>
      </c>
      <c r="K783" s="131" t="s">
        <v>42</v>
      </c>
      <c r="L783" s="438" t="s">
        <v>2454</v>
      </c>
      <c r="M783" s="194" t="s">
        <v>586</v>
      </c>
      <c r="N783" s="177" t="e" cm="1">
        <f t="array" aca="1" ref="N783" ca="1">_xlfn.XLOOKUP(Contrato5[[#This Row],[SUPERVISOR TITULAR]],[2]!PERSONAL_ACTIVO_2024[[#All],[Nombre completo]],[2]!PERSONAL_ACTIVO_2024[[#All],[Documento identidad]],"",0)</f>
        <v>#NAME?</v>
      </c>
      <c r="O783" s="194" t="s">
        <v>589</v>
      </c>
      <c r="P783" s="196" t="e" cm="1">
        <f t="array" aca="1" ref="P783" ca="1">_xlfn.XLOOKUP(Contrato5[[#This Row],[SUPERVISOR SUPLENTE ]],[2]!PERSONAL_ACTIVO_2024[[#All],[Nombre completo]],[2]!PERSONAL_ACTIVO_2024[[#All],[Documento identidad]],"",0)</f>
        <v>#NAME?</v>
      </c>
      <c r="Q783" s="222">
        <v>855</v>
      </c>
      <c r="R783" s="137" t="e" cm="1">
        <f t="array" aca="1" ref="R783" ca="1">_xlfn.XLOOKUP(Contrato5[[#This Row],[CDP]],[2]!DISPONIBILIDADES_2024[[#All],[consecutivo]],[2]!DISPONIBILIDADES_2024[[#All],[fecha_aprobacion]],"",0)</f>
        <v>#NAME?</v>
      </c>
      <c r="S783" s="138" t="e">
        <f>SUMIF([2]!DISPONIBILIDADES_2024[[#All],[consecutivo]],Contrato5[[#This Row],[CDP]],[2]!DISPONIBILIDADES_2024[[#All],[valor_total_rubro]])</f>
        <v>#REF!</v>
      </c>
      <c r="T783" s="139" t="e" cm="1">
        <f t="array" aca="1" ref="T783" ca="1">_xlfn.XLOOKUP(Contrato5[[#This Row],[CONTRATO]]&amp;Contrato5[[#This Row],[CDP]],[2]!Corr_Contr_CDP[[#All],[CONTRATO-CDP]],[2]!Corr_Contr_CDP[[#All],[CRP]],_xlfn.XLOOKUP(Contrato5[[#This Row],[CDP]],[2]!COMPROMISOS_2024[[#All],[disponibilidad]],[2]!COMPROMISOS_2024[[#All],[consecutivo]],"",0),0)</f>
        <v>#NAME?</v>
      </c>
      <c r="U783" s="140" t="e" cm="1">
        <f t="array" aca="1" ref="U783" ca="1">+_xlfn.XLOOKUP(Contrato5[[#This Row],[RCP]],[2]!COMPROMISOS_2024[[#All],[consecutivo]],[2]!COMPROMISOS_2024[[#All],[fecha_aprobacion]],"",0)</f>
        <v>#NAME?</v>
      </c>
      <c r="V783" s="141" t="e">
        <f ca="1">SUMIF([2]!COMPROMISOS_2024[[#All],[consecutivo]],Contrato5[[#This Row],[RCP]],[2]!COMPROMISOS_2024[[#All],[valor_total]])</f>
        <v>#REF!</v>
      </c>
      <c r="W783" s="160">
        <v>45552</v>
      </c>
      <c r="X783" s="160" t="s">
        <v>1045</v>
      </c>
      <c r="Y783" s="143">
        <v>45553</v>
      </c>
      <c r="Z783" s="262">
        <v>45643</v>
      </c>
      <c r="AA783" s="171" t="s">
        <v>3078</v>
      </c>
      <c r="AB783" s="160" t="s">
        <v>3079</v>
      </c>
      <c r="AC783" s="273"/>
      <c r="AD783" s="547">
        <v>202000005379</v>
      </c>
      <c r="AE783" s="147" t="s">
        <v>523</v>
      </c>
      <c r="AF783" s="148" t="str">
        <f>TEXT(LEFT(Contrato5[[#This Row],[CONTRATO]],3),"0")</f>
        <v>649</v>
      </c>
      <c r="AG783" s="148" t="str">
        <f>IF(LEN(Contrato5[[#This Row],[Contrato2]])=3,Contrato5[[#This Row],[Contrato2]],TEXT(Contrato5[[#This Row],[Contrato2]],"000"))</f>
        <v>649</v>
      </c>
      <c r="AH783" s="149">
        <f ca="1">IFERROR(_xlfn.DAYS(Contrato5[[#This Row],[Fecha Proyectada liquidación]],TODAY())/30,"")</f>
        <v>0.16666666666666666</v>
      </c>
      <c r="AI783" s="150">
        <f>+Contrato5[[#This Row],[FECHA TERMINACIÓN ]]+120</f>
        <v>45763</v>
      </c>
      <c r="AJ783" s="147"/>
      <c r="AK783" s="152" t="str">
        <f ca="1">IF(Contrato5[[#This Row],[FECHA TERMINACIÓN ]]&lt;TODAY(), "Terminado",IF(ISNUMBER(Contrato5[[#This Row],[Fecha Real de liquiidación ]]),"Liquidado",IF(Contrato5[[#This Row],[FECHA TERMINACIÓN ]]&gt;=TODAY(),"En ejecución","")))</f>
        <v>Terminado</v>
      </c>
      <c r="AL783" s="153" t="e">
        <f ca="1">SUMIF([2]!COMPROMISOS_2024[[#All],[consecutivo]],Contrato5[[#This Row],[RCP]],[2]!COMPROMISOS_2024[[#All],[Total pagado]])</f>
        <v>#REF!</v>
      </c>
      <c r="AM783" s="154">
        <f ca="1">IFERROR(Contrato5[[#This Row],[Pagos]]/Contrato5[[#This Row],[VALOR CONTRATO]],0)</f>
        <v>0</v>
      </c>
      <c r="AN783" s="198" t="e">
        <f ca="1">+Contrato5[[#This Row],[VALOR CONTRATO]]-Contrato5[[#This Row],[Pagos]]</f>
        <v>#REF!</v>
      </c>
      <c r="AO783" s="147" t="e" cm="1">
        <f t="array" aca="1" ref="AO783" ca="1">_xlfn.XLOOKUP(Contrato5[[#This Row],[DOCUMENTO ]],[2]!PERSONAL_ACTIVO_2024[[#All],[Documento identidad]],[2]!PERSONAL_ACTIVO_2024[[#All],[Mail ]],0,0)</f>
        <v>#NAME?</v>
      </c>
      <c r="AP783" s="147" t="e" cm="1">
        <f t="array" aca="1" ref="AP783" ca="1">_xlfn.XLOOKUP(Contrato5[[#This Row],[DOCUMENTO]],[2]!PERSONAL_ACTIVO_2024[[#All],[Documento identidad]],[2]!PERSONAL_ACTIVO_2024[[#All],[Mail ]],0,0)</f>
        <v>#NAME?</v>
      </c>
      <c r="AQ783" s="439" cm="1">
        <f t="array" aca="1" ref="AQ783" ca="1">IF(ISBLANK(Contrato5[[#This Row],[DEPENDENCIA ]]),0,IFERROR(_xlfn.XLOOKUP(Contrato5[[#This Row],[DEPENDENCIA ]],[2]!PERSONAL_ACTIVO_2024[[#All],[Dependencia]],[2]!PERSONAL_ACTIVO_2024[[#All],[Mail ]],0,0),0))</f>
        <v>0</v>
      </c>
    </row>
    <row r="784" spans="1:43" ht="34.5" customHeight="1">
      <c r="A784" s="147">
        <v>1015</v>
      </c>
      <c r="B784" s="124">
        <v>650</v>
      </c>
      <c r="C784" s="162" t="s">
        <v>2078</v>
      </c>
      <c r="D784" s="227" t="s">
        <v>583</v>
      </c>
      <c r="E784" s="440" t="s">
        <v>898</v>
      </c>
      <c r="F784" s="227" t="s">
        <v>1376</v>
      </c>
      <c r="G784" s="281" t="s">
        <v>949</v>
      </c>
      <c r="H784" s="436">
        <v>71217825</v>
      </c>
      <c r="I784" s="273">
        <v>4908936</v>
      </c>
      <c r="J784" s="437">
        <v>15217702</v>
      </c>
      <c r="K784" s="131" t="s">
        <v>42</v>
      </c>
      <c r="L784" s="438" t="s">
        <v>2454</v>
      </c>
      <c r="M784" s="194" t="s">
        <v>586</v>
      </c>
      <c r="N784" s="177" t="e" cm="1">
        <f t="array" aca="1" ref="N784" ca="1">_xlfn.XLOOKUP(Contrato5[[#This Row],[SUPERVISOR TITULAR]],[2]!PERSONAL_ACTIVO_2024[[#All],[Nombre completo]],[2]!PERSONAL_ACTIVO_2024[[#All],[Documento identidad]],"",0)</f>
        <v>#NAME?</v>
      </c>
      <c r="O784" s="194" t="s">
        <v>589</v>
      </c>
      <c r="P784" s="196" t="e" cm="1">
        <f t="array" aca="1" ref="P784" ca="1">_xlfn.XLOOKUP(Contrato5[[#This Row],[SUPERVISOR SUPLENTE ]],[2]!PERSONAL_ACTIVO_2024[[#All],[Nombre completo]],[2]!PERSONAL_ACTIVO_2024[[#All],[Documento identidad]],"",0)</f>
        <v>#NAME?</v>
      </c>
      <c r="Q784" s="170">
        <v>865</v>
      </c>
      <c r="R784" s="137" t="e" cm="1">
        <f t="array" aca="1" ref="R784" ca="1">_xlfn.XLOOKUP(Contrato5[[#This Row],[CDP]],[2]!DISPONIBILIDADES_2024[[#All],[consecutivo]],[2]!DISPONIBILIDADES_2024[[#All],[fecha_aprobacion]],"",0)</f>
        <v>#NAME?</v>
      </c>
      <c r="S784" s="138" t="e">
        <f>SUMIF([2]!DISPONIBILIDADES_2024[[#All],[consecutivo]],Contrato5[[#This Row],[CDP]],[2]!DISPONIBILIDADES_2024[[#All],[valor_total_rubro]])</f>
        <v>#REF!</v>
      </c>
      <c r="T784" s="139" t="e" cm="1">
        <f t="array" aca="1" ref="T784" ca="1">_xlfn.XLOOKUP(Contrato5[[#This Row],[CONTRATO]]&amp;Contrato5[[#This Row],[CDP]],[2]!Corr_Contr_CDP[[#All],[CONTRATO-CDP]],[2]!Corr_Contr_CDP[[#All],[CRP]],_xlfn.XLOOKUP(Contrato5[[#This Row],[CDP]],[2]!COMPROMISOS_2024[[#All],[disponibilidad]],[2]!COMPROMISOS_2024[[#All],[consecutivo]],"",0),0)</f>
        <v>#NAME?</v>
      </c>
      <c r="U784" s="140" t="e" cm="1">
        <f t="array" aca="1" ref="U784" ca="1">+_xlfn.XLOOKUP(Contrato5[[#This Row],[RCP]],[2]!COMPROMISOS_2024[[#All],[consecutivo]],[2]!COMPROMISOS_2024[[#All],[fecha_aprobacion]],"",0)</f>
        <v>#NAME?</v>
      </c>
      <c r="V784" s="141" t="e">
        <f ca="1">SUMIF([2]!COMPROMISOS_2024[[#All],[consecutivo]],Contrato5[[#This Row],[RCP]],[2]!COMPROMISOS_2024[[#All],[valor_total]])</f>
        <v>#REF!</v>
      </c>
      <c r="W784" s="160">
        <v>45552</v>
      </c>
      <c r="X784" s="160" t="s">
        <v>1045</v>
      </c>
      <c r="Y784" s="143">
        <v>45553</v>
      </c>
      <c r="Z784" s="262">
        <v>45643</v>
      </c>
      <c r="AA784" s="171" t="s">
        <v>3078</v>
      </c>
      <c r="AB784" s="160" t="s">
        <v>3079</v>
      </c>
      <c r="AC784" s="172"/>
      <c r="AD784" s="547">
        <v>202000005381</v>
      </c>
      <c r="AE784" s="147" t="s">
        <v>523</v>
      </c>
      <c r="AF784" s="148" t="str">
        <f>TEXT(LEFT(Contrato5[[#This Row],[CONTRATO]],3),"0")</f>
        <v>650</v>
      </c>
      <c r="AG784" s="148" t="str">
        <f>IF(LEN(Contrato5[[#This Row],[Contrato2]])=3,Contrato5[[#This Row],[Contrato2]],TEXT(Contrato5[[#This Row],[Contrato2]],"000"))</f>
        <v>650</v>
      </c>
      <c r="AH784" s="149">
        <f ca="1">IFERROR(_xlfn.DAYS(Contrato5[[#This Row],[Fecha Proyectada liquidación]],TODAY())/30,"")</f>
        <v>0.16666666666666666</v>
      </c>
      <c r="AI784" s="150">
        <f>+Contrato5[[#This Row],[FECHA TERMINACIÓN ]]+120</f>
        <v>45763</v>
      </c>
      <c r="AJ784" s="147"/>
      <c r="AK784" s="152" t="str">
        <f ca="1">IF(Contrato5[[#This Row],[FECHA TERMINACIÓN ]]&lt;TODAY(), "Terminado",IF(ISNUMBER(Contrato5[[#This Row],[Fecha Real de liquiidación ]]),"Liquidado",IF(Contrato5[[#This Row],[FECHA TERMINACIÓN ]]&gt;=TODAY(),"En ejecución","")))</f>
        <v>Terminado</v>
      </c>
      <c r="AL784" s="153" t="e">
        <f ca="1">SUMIF([2]!COMPROMISOS_2024[[#All],[consecutivo]],Contrato5[[#This Row],[RCP]],[2]!COMPROMISOS_2024[[#All],[Total pagado]])</f>
        <v>#REF!</v>
      </c>
      <c r="AM784" s="154">
        <f ca="1">IFERROR(Contrato5[[#This Row],[Pagos]]/Contrato5[[#This Row],[VALOR CONTRATO]],0)</f>
        <v>0</v>
      </c>
      <c r="AN784" s="198" t="e">
        <f ca="1">+Contrato5[[#This Row],[VALOR CONTRATO]]-Contrato5[[#This Row],[Pagos]]</f>
        <v>#REF!</v>
      </c>
      <c r="AO784" s="147" t="e" cm="1">
        <f t="array" aca="1" ref="AO784" ca="1">_xlfn.XLOOKUP(Contrato5[[#This Row],[DOCUMENTO ]],[2]!PERSONAL_ACTIVO_2024[[#All],[Documento identidad]],[2]!PERSONAL_ACTIVO_2024[[#All],[Mail ]],0,0)</f>
        <v>#NAME?</v>
      </c>
      <c r="AP784" s="147" t="e" cm="1">
        <f t="array" aca="1" ref="AP784" ca="1">_xlfn.XLOOKUP(Contrato5[[#This Row],[DOCUMENTO]],[2]!PERSONAL_ACTIVO_2024[[#All],[Documento identidad]],[2]!PERSONAL_ACTIVO_2024[[#All],[Mail ]],0,0)</f>
        <v>#NAME?</v>
      </c>
      <c r="AQ784" s="439" cm="1">
        <f t="array" aca="1" ref="AQ784" ca="1">IF(ISBLANK(Contrato5[[#This Row],[DEPENDENCIA ]]),0,IFERROR(_xlfn.XLOOKUP(Contrato5[[#This Row],[DEPENDENCIA ]],[2]!PERSONAL_ACTIVO_2024[[#All],[Dependencia]],[2]!PERSONAL_ACTIVO_2024[[#All],[Mail ]],0,0),0))</f>
        <v>0</v>
      </c>
    </row>
    <row r="785" spans="1:43" ht="34.5" customHeight="1">
      <c r="A785" s="147">
        <v>1016</v>
      </c>
      <c r="B785" s="124">
        <v>651</v>
      </c>
      <c r="C785" s="162" t="s">
        <v>2078</v>
      </c>
      <c r="D785" s="227" t="s">
        <v>583</v>
      </c>
      <c r="E785" s="440" t="s">
        <v>898</v>
      </c>
      <c r="F785" s="227" t="s">
        <v>1376</v>
      </c>
      <c r="G785" s="281" t="s">
        <v>950</v>
      </c>
      <c r="H785" s="436">
        <v>1020418840</v>
      </c>
      <c r="I785" s="273">
        <v>4908936</v>
      </c>
      <c r="J785" s="437">
        <v>15217702</v>
      </c>
      <c r="K785" s="131" t="s">
        <v>42</v>
      </c>
      <c r="L785" s="438" t="s">
        <v>2454</v>
      </c>
      <c r="M785" s="194" t="s">
        <v>586</v>
      </c>
      <c r="N785" s="177" t="e" cm="1">
        <f t="array" aca="1" ref="N785" ca="1">_xlfn.XLOOKUP(Contrato5[[#This Row],[SUPERVISOR TITULAR]],[2]!PERSONAL_ACTIVO_2024[[#All],[Nombre completo]],[2]!PERSONAL_ACTIVO_2024[[#All],[Documento identidad]],"",0)</f>
        <v>#NAME?</v>
      </c>
      <c r="O785" s="194" t="s">
        <v>589</v>
      </c>
      <c r="P785" s="196" t="e" cm="1">
        <f t="array" aca="1" ref="P785" ca="1">_xlfn.XLOOKUP(Contrato5[[#This Row],[SUPERVISOR SUPLENTE ]],[2]!PERSONAL_ACTIVO_2024[[#All],[Nombre completo]],[2]!PERSONAL_ACTIVO_2024[[#All],[Documento identidad]],"",0)</f>
        <v>#NAME?</v>
      </c>
      <c r="Q785" s="170">
        <v>866</v>
      </c>
      <c r="R785" s="137" t="e" cm="1">
        <f t="array" aca="1" ref="R785" ca="1">_xlfn.XLOOKUP(Contrato5[[#This Row],[CDP]],[2]!DISPONIBILIDADES_2024[[#All],[consecutivo]],[2]!DISPONIBILIDADES_2024[[#All],[fecha_aprobacion]],"",0)</f>
        <v>#NAME?</v>
      </c>
      <c r="S785" s="138" t="e">
        <f>SUMIF([2]!DISPONIBILIDADES_2024[[#All],[consecutivo]],Contrato5[[#This Row],[CDP]],[2]!DISPONIBILIDADES_2024[[#All],[valor_total_rubro]])</f>
        <v>#REF!</v>
      </c>
      <c r="T785" s="139" t="e" cm="1">
        <f t="array" aca="1" ref="T785" ca="1">_xlfn.XLOOKUP(Contrato5[[#This Row],[CONTRATO]]&amp;Contrato5[[#This Row],[CDP]],[2]!Corr_Contr_CDP[[#All],[CONTRATO-CDP]],[2]!Corr_Contr_CDP[[#All],[CRP]],_xlfn.XLOOKUP(Contrato5[[#This Row],[CDP]],[2]!COMPROMISOS_2024[[#All],[disponibilidad]],[2]!COMPROMISOS_2024[[#All],[consecutivo]],"",0),0)</f>
        <v>#NAME?</v>
      </c>
      <c r="U785" s="140" t="e" cm="1">
        <f t="array" aca="1" ref="U785" ca="1">+_xlfn.XLOOKUP(Contrato5[[#This Row],[RCP]],[2]!COMPROMISOS_2024[[#All],[consecutivo]],[2]!COMPROMISOS_2024[[#All],[fecha_aprobacion]],"",0)</f>
        <v>#NAME?</v>
      </c>
      <c r="V785" s="141" t="e">
        <f ca="1">SUMIF([2]!COMPROMISOS_2024[[#All],[consecutivo]],Contrato5[[#This Row],[RCP]],[2]!COMPROMISOS_2024[[#All],[valor_total]])</f>
        <v>#REF!</v>
      </c>
      <c r="W785" s="160">
        <v>45552</v>
      </c>
      <c r="X785" s="160" t="s">
        <v>1045</v>
      </c>
      <c r="Y785" s="143">
        <v>45553</v>
      </c>
      <c r="Z785" s="262">
        <v>45643</v>
      </c>
      <c r="AA785" s="171" t="s">
        <v>3078</v>
      </c>
      <c r="AB785" s="160" t="s">
        <v>3079</v>
      </c>
      <c r="AC785" s="172"/>
      <c r="AD785" s="547">
        <v>202000005385</v>
      </c>
      <c r="AE785" s="147" t="s">
        <v>523</v>
      </c>
      <c r="AF785" s="148" t="str">
        <f>TEXT(LEFT(Contrato5[[#This Row],[CONTRATO]],3),"0")</f>
        <v>651</v>
      </c>
      <c r="AG785" s="148" t="str">
        <f>IF(LEN(Contrato5[[#This Row],[Contrato2]])=3,Contrato5[[#This Row],[Contrato2]],TEXT(Contrato5[[#This Row],[Contrato2]],"000"))</f>
        <v>651</v>
      </c>
      <c r="AH785" s="149">
        <f ca="1">IFERROR(_xlfn.DAYS(Contrato5[[#This Row],[Fecha Proyectada liquidación]],TODAY())/30,"")</f>
        <v>0.16666666666666666</v>
      </c>
      <c r="AI785" s="150">
        <f>+Contrato5[[#This Row],[FECHA TERMINACIÓN ]]+120</f>
        <v>45763</v>
      </c>
      <c r="AJ785" s="147"/>
      <c r="AK785" s="152" t="str">
        <f ca="1">IF(Contrato5[[#This Row],[FECHA TERMINACIÓN ]]&lt;TODAY(), "Terminado",IF(ISNUMBER(Contrato5[[#This Row],[Fecha Real de liquiidación ]]),"Liquidado",IF(Contrato5[[#This Row],[FECHA TERMINACIÓN ]]&gt;=TODAY(),"En ejecución","")))</f>
        <v>Terminado</v>
      </c>
      <c r="AL785" s="153" t="e">
        <f ca="1">SUMIF([2]!COMPROMISOS_2024[[#All],[consecutivo]],Contrato5[[#This Row],[RCP]],[2]!COMPROMISOS_2024[[#All],[Total pagado]])</f>
        <v>#REF!</v>
      </c>
      <c r="AM785" s="154">
        <f ca="1">IFERROR(Contrato5[[#This Row],[Pagos]]/Contrato5[[#This Row],[VALOR CONTRATO]],0)</f>
        <v>0</v>
      </c>
      <c r="AN785" s="198" t="e">
        <f ca="1">+Contrato5[[#This Row],[VALOR CONTRATO]]-Contrato5[[#This Row],[Pagos]]</f>
        <v>#REF!</v>
      </c>
      <c r="AO785" s="147" t="e" cm="1">
        <f t="array" aca="1" ref="AO785" ca="1">_xlfn.XLOOKUP(Contrato5[[#This Row],[DOCUMENTO ]],[2]!PERSONAL_ACTIVO_2024[[#All],[Documento identidad]],[2]!PERSONAL_ACTIVO_2024[[#All],[Mail ]],0,0)</f>
        <v>#NAME?</v>
      </c>
      <c r="AP785" s="147" t="e" cm="1">
        <f t="array" aca="1" ref="AP785" ca="1">_xlfn.XLOOKUP(Contrato5[[#This Row],[DOCUMENTO]],[2]!PERSONAL_ACTIVO_2024[[#All],[Documento identidad]],[2]!PERSONAL_ACTIVO_2024[[#All],[Mail ]],0,0)</f>
        <v>#NAME?</v>
      </c>
      <c r="AQ785" s="439" cm="1">
        <f t="array" aca="1" ref="AQ785" ca="1">IF(ISBLANK(Contrato5[[#This Row],[DEPENDENCIA ]]),0,IFERROR(_xlfn.XLOOKUP(Contrato5[[#This Row],[DEPENDENCIA ]],[2]!PERSONAL_ACTIVO_2024[[#All],[Dependencia]],[2]!PERSONAL_ACTIVO_2024[[#All],[Mail ]],0,0),0))</f>
        <v>0</v>
      </c>
    </row>
    <row r="786" spans="1:43" ht="34.5" customHeight="1">
      <c r="A786" s="147">
        <v>1017</v>
      </c>
      <c r="B786" s="124">
        <v>652</v>
      </c>
      <c r="C786" s="162" t="s">
        <v>2078</v>
      </c>
      <c r="D786" s="227" t="s">
        <v>583</v>
      </c>
      <c r="E786" s="440" t="s">
        <v>898</v>
      </c>
      <c r="F786" s="227" t="s">
        <v>1376</v>
      </c>
      <c r="G786" s="281" t="s">
        <v>951</v>
      </c>
      <c r="H786" s="436">
        <v>43278118</v>
      </c>
      <c r="I786" s="273">
        <v>4908936</v>
      </c>
      <c r="J786" s="437">
        <v>15217702</v>
      </c>
      <c r="K786" s="131" t="s">
        <v>42</v>
      </c>
      <c r="L786" s="438" t="s">
        <v>2454</v>
      </c>
      <c r="M786" s="194" t="s">
        <v>600</v>
      </c>
      <c r="N786" s="177" t="e" cm="1">
        <f t="array" aca="1" ref="N786" ca="1">_xlfn.XLOOKUP(Contrato5[[#This Row],[SUPERVISOR TITULAR]],[2]!PERSONAL_ACTIVO_2024[[#All],[Nombre completo]],[2]!PERSONAL_ACTIVO_2024[[#All],[Documento identidad]],"",0)</f>
        <v>#NAME?</v>
      </c>
      <c r="O786" s="194" t="s">
        <v>2495</v>
      </c>
      <c r="P786" s="196" t="e" cm="1">
        <f t="array" aca="1" ref="P786" ca="1">_xlfn.XLOOKUP(Contrato5[[#This Row],[SUPERVISOR SUPLENTE ]],[2]!PERSONAL_ACTIVO_2024[[#All],[Nombre completo]],[2]!PERSONAL_ACTIVO_2024[[#All],[Documento identidad]],"",0)</f>
        <v>#NAME?</v>
      </c>
      <c r="Q786" s="170">
        <v>867</v>
      </c>
      <c r="R786" s="137" t="e" cm="1">
        <f t="array" aca="1" ref="R786" ca="1">_xlfn.XLOOKUP(Contrato5[[#This Row],[CDP]],[2]!DISPONIBILIDADES_2024[[#All],[consecutivo]],[2]!DISPONIBILIDADES_2024[[#All],[fecha_aprobacion]],"",0)</f>
        <v>#NAME?</v>
      </c>
      <c r="S786" s="138" t="e">
        <f>SUMIF([2]!DISPONIBILIDADES_2024[[#All],[consecutivo]],Contrato5[[#This Row],[CDP]],[2]!DISPONIBILIDADES_2024[[#All],[valor_total_rubro]])</f>
        <v>#REF!</v>
      </c>
      <c r="T786" s="139" t="e" cm="1">
        <f t="array" aca="1" ref="T786" ca="1">_xlfn.XLOOKUP(Contrato5[[#This Row],[CONTRATO]]&amp;Contrato5[[#This Row],[CDP]],[2]!Corr_Contr_CDP[[#All],[CONTRATO-CDP]],[2]!Corr_Contr_CDP[[#All],[CRP]],_xlfn.XLOOKUP(Contrato5[[#This Row],[CDP]],[2]!COMPROMISOS_2024[[#All],[disponibilidad]],[2]!COMPROMISOS_2024[[#All],[consecutivo]],"",0),0)</f>
        <v>#NAME?</v>
      </c>
      <c r="U786" s="140" t="e" cm="1">
        <f t="array" aca="1" ref="U786" ca="1">+_xlfn.XLOOKUP(Contrato5[[#This Row],[RCP]],[2]!COMPROMISOS_2024[[#All],[consecutivo]],[2]!COMPROMISOS_2024[[#All],[fecha_aprobacion]],"",0)</f>
        <v>#NAME?</v>
      </c>
      <c r="V786" s="141" t="e">
        <f ca="1">SUMIF([2]!COMPROMISOS_2024[[#All],[consecutivo]],Contrato5[[#This Row],[RCP]],[2]!COMPROMISOS_2024[[#All],[valor_total]])</f>
        <v>#REF!</v>
      </c>
      <c r="W786" s="160">
        <v>45552</v>
      </c>
      <c r="X786" s="160" t="s">
        <v>1045</v>
      </c>
      <c r="Y786" s="143">
        <v>45553</v>
      </c>
      <c r="Z786" s="262">
        <v>45643</v>
      </c>
      <c r="AA786" s="171" t="s">
        <v>3078</v>
      </c>
      <c r="AB786" s="160" t="s">
        <v>3079</v>
      </c>
      <c r="AC786" s="172"/>
      <c r="AD786" s="547">
        <v>202000005387</v>
      </c>
      <c r="AE786" s="147" t="s">
        <v>523</v>
      </c>
      <c r="AF786" s="148" t="str">
        <f>TEXT(LEFT(Contrato5[[#This Row],[CONTRATO]],3),"0")</f>
        <v>652</v>
      </c>
      <c r="AG786" s="148" t="str">
        <f>IF(LEN(Contrato5[[#This Row],[Contrato2]])=3,Contrato5[[#This Row],[Contrato2]],TEXT(Contrato5[[#This Row],[Contrato2]],"000"))</f>
        <v>652</v>
      </c>
      <c r="AH786" s="149">
        <f ca="1">IFERROR(_xlfn.DAYS(Contrato5[[#This Row],[Fecha Proyectada liquidación]],TODAY())/30,"")</f>
        <v>0.16666666666666666</v>
      </c>
      <c r="AI786" s="150">
        <f>+Contrato5[[#This Row],[FECHA TERMINACIÓN ]]+120</f>
        <v>45763</v>
      </c>
      <c r="AJ786" s="147"/>
      <c r="AK786" s="152" t="str">
        <f ca="1">IF(Contrato5[[#This Row],[FECHA TERMINACIÓN ]]&lt;TODAY(), "Terminado",IF(ISNUMBER(Contrato5[[#This Row],[Fecha Real de liquiidación ]]),"Liquidado",IF(Contrato5[[#This Row],[FECHA TERMINACIÓN ]]&gt;=TODAY(),"En ejecución","")))</f>
        <v>Terminado</v>
      </c>
      <c r="AL786" s="153" t="e">
        <f ca="1">SUMIF([2]!COMPROMISOS_2024[[#All],[consecutivo]],Contrato5[[#This Row],[RCP]],[2]!COMPROMISOS_2024[[#All],[Total pagado]])</f>
        <v>#REF!</v>
      </c>
      <c r="AM786" s="154">
        <f ca="1">IFERROR(Contrato5[[#This Row],[Pagos]]/Contrato5[[#This Row],[VALOR CONTRATO]],0)</f>
        <v>0</v>
      </c>
      <c r="AN786" s="198" t="e">
        <f ca="1">+Contrato5[[#This Row],[VALOR CONTRATO]]-Contrato5[[#This Row],[Pagos]]</f>
        <v>#REF!</v>
      </c>
      <c r="AO786" s="147" t="e" cm="1">
        <f t="array" aca="1" ref="AO786" ca="1">_xlfn.XLOOKUP(Contrato5[[#This Row],[DOCUMENTO ]],[2]!PERSONAL_ACTIVO_2024[[#All],[Documento identidad]],[2]!PERSONAL_ACTIVO_2024[[#All],[Mail ]],0,0)</f>
        <v>#NAME?</v>
      </c>
      <c r="AP786" s="147" t="e" cm="1">
        <f t="array" aca="1" ref="AP786" ca="1">_xlfn.XLOOKUP(Contrato5[[#This Row],[DOCUMENTO]],[2]!PERSONAL_ACTIVO_2024[[#All],[Documento identidad]],[2]!PERSONAL_ACTIVO_2024[[#All],[Mail ]],0,0)</f>
        <v>#NAME?</v>
      </c>
      <c r="AQ786" s="439" cm="1">
        <f t="array" aca="1" ref="AQ786" ca="1">IF(ISBLANK(Contrato5[[#This Row],[DEPENDENCIA ]]),0,IFERROR(_xlfn.XLOOKUP(Contrato5[[#This Row],[DEPENDENCIA ]],[2]!PERSONAL_ACTIVO_2024[[#All],[Dependencia]],[2]!PERSONAL_ACTIVO_2024[[#All],[Mail ]],0,0),0))</f>
        <v>0</v>
      </c>
    </row>
    <row r="787" spans="1:43" ht="34.5" customHeight="1">
      <c r="A787" s="147">
        <v>1018</v>
      </c>
      <c r="B787" s="124">
        <v>653</v>
      </c>
      <c r="C787" s="162" t="s">
        <v>2078</v>
      </c>
      <c r="D787" s="227" t="s">
        <v>583</v>
      </c>
      <c r="E787" s="440" t="s">
        <v>898</v>
      </c>
      <c r="F787" s="227" t="s">
        <v>1376</v>
      </c>
      <c r="G787" s="281" t="s">
        <v>3086</v>
      </c>
      <c r="H787" s="436">
        <v>1007416617</v>
      </c>
      <c r="I787" s="273">
        <v>4908936</v>
      </c>
      <c r="J787" s="437">
        <v>15217702</v>
      </c>
      <c r="K787" s="131" t="s">
        <v>42</v>
      </c>
      <c r="L787" s="438" t="s">
        <v>2454</v>
      </c>
      <c r="M787" s="194" t="s">
        <v>586</v>
      </c>
      <c r="N787" s="177" t="e" cm="1">
        <f t="array" aca="1" ref="N787" ca="1">_xlfn.XLOOKUP(Contrato5[[#This Row],[SUPERVISOR TITULAR]],[2]!PERSONAL_ACTIVO_2024[[#All],[Nombre completo]],[2]!PERSONAL_ACTIVO_2024[[#All],[Documento identidad]],"",0)</f>
        <v>#NAME?</v>
      </c>
      <c r="O787" s="194" t="s">
        <v>589</v>
      </c>
      <c r="P787" s="196" t="e" cm="1">
        <f t="array" aca="1" ref="P787" ca="1">_xlfn.XLOOKUP(Contrato5[[#This Row],[SUPERVISOR SUPLENTE ]],[2]!PERSONAL_ACTIVO_2024[[#All],[Nombre completo]],[2]!PERSONAL_ACTIVO_2024[[#All],[Documento identidad]],"",0)</f>
        <v>#NAME?</v>
      </c>
      <c r="Q787" s="170">
        <v>868</v>
      </c>
      <c r="R787" s="137" t="e" cm="1">
        <f t="array" aca="1" ref="R787" ca="1">_xlfn.XLOOKUP(Contrato5[[#This Row],[CDP]],[2]!DISPONIBILIDADES_2024[[#All],[consecutivo]],[2]!DISPONIBILIDADES_2024[[#All],[fecha_aprobacion]],"",0)</f>
        <v>#NAME?</v>
      </c>
      <c r="S787" s="138" t="e">
        <f>SUMIF([2]!DISPONIBILIDADES_2024[[#All],[consecutivo]],Contrato5[[#This Row],[CDP]],[2]!DISPONIBILIDADES_2024[[#All],[valor_total_rubro]])</f>
        <v>#REF!</v>
      </c>
      <c r="T787" s="139" t="e" cm="1">
        <f t="array" aca="1" ref="T787" ca="1">_xlfn.XLOOKUP(Contrato5[[#This Row],[CONTRATO]]&amp;Contrato5[[#This Row],[CDP]],[2]!Corr_Contr_CDP[[#All],[CONTRATO-CDP]],[2]!Corr_Contr_CDP[[#All],[CRP]],_xlfn.XLOOKUP(Contrato5[[#This Row],[CDP]],[2]!COMPROMISOS_2024[[#All],[disponibilidad]],[2]!COMPROMISOS_2024[[#All],[consecutivo]],"",0),0)</f>
        <v>#NAME?</v>
      </c>
      <c r="U787" s="140" t="e" cm="1">
        <f t="array" aca="1" ref="U787" ca="1">+_xlfn.XLOOKUP(Contrato5[[#This Row],[RCP]],[2]!COMPROMISOS_2024[[#All],[consecutivo]],[2]!COMPROMISOS_2024[[#All],[fecha_aprobacion]],"",0)</f>
        <v>#NAME?</v>
      </c>
      <c r="V787" s="141" t="e">
        <f ca="1">SUMIF([2]!COMPROMISOS_2024[[#All],[consecutivo]],Contrato5[[#This Row],[RCP]],[2]!COMPROMISOS_2024[[#All],[valor_total]])</f>
        <v>#REF!</v>
      </c>
      <c r="W787" s="160">
        <v>45552</v>
      </c>
      <c r="X787" s="160" t="s">
        <v>1045</v>
      </c>
      <c r="Y787" s="143">
        <v>45553</v>
      </c>
      <c r="Z787" s="262">
        <v>45643</v>
      </c>
      <c r="AA787" s="171" t="s">
        <v>3078</v>
      </c>
      <c r="AB787" s="160" t="s">
        <v>3079</v>
      </c>
      <c r="AC787" s="172"/>
      <c r="AD787" s="547">
        <v>202000005389</v>
      </c>
      <c r="AE787" s="147" t="s">
        <v>523</v>
      </c>
      <c r="AF787" s="148" t="str">
        <f>TEXT(LEFT(Contrato5[[#This Row],[CONTRATO]],3),"0")</f>
        <v>653</v>
      </c>
      <c r="AG787" s="148" t="str">
        <f>IF(LEN(Contrato5[[#This Row],[Contrato2]])=3,Contrato5[[#This Row],[Contrato2]],TEXT(Contrato5[[#This Row],[Contrato2]],"000"))</f>
        <v>653</v>
      </c>
      <c r="AH787" s="149">
        <f ca="1">IFERROR(_xlfn.DAYS(Contrato5[[#This Row],[Fecha Proyectada liquidación]],TODAY())/30,"")</f>
        <v>0.16666666666666666</v>
      </c>
      <c r="AI787" s="150">
        <f>+Contrato5[[#This Row],[FECHA TERMINACIÓN ]]+120</f>
        <v>45763</v>
      </c>
      <c r="AJ787" s="147"/>
      <c r="AK787" s="152" t="str">
        <f ca="1">IF(Contrato5[[#This Row],[FECHA TERMINACIÓN ]]&lt;TODAY(), "Terminado",IF(ISNUMBER(Contrato5[[#This Row],[Fecha Real de liquiidación ]]),"Liquidado",IF(Contrato5[[#This Row],[FECHA TERMINACIÓN ]]&gt;=TODAY(),"En ejecución","")))</f>
        <v>Terminado</v>
      </c>
      <c r="AL787" s="153" t="e">
        <f ca="1">SUMIF([2]!COMPROMISOS_2024[[#All],[consecutivo]],Contrato5[[#This Row],[RCP]],[2]!COMPROMISOS_2024[[#All],[Total pagado]])</f>
        <v>#REF!</v>
      </c>
      <c r="AM787" s="154">
        <f ca="1">IFERROR(Contrato5[[#This Row],[Pagos]]/Contrato5[[#This Row],[VALOR CONTRATO]],0)</f>
        <v>0</v>
      </c>
      <c r="AN787" s="198" t="e">
        <f ca="1">+Contrato5[[#This Row],[VALOR CONTRATO]]-Contrato5[[#This Row],[Pagos]]</f>
        <v>#REF!</v>
      </c>
      <c r="AO787" s="147" t="e" cm="1">
        <f t="array" aca="1" ref="AO787" ca="1">_xlfn.XLOOKUP(Contrato5[[#This Row],[DOCUMENTO ]],[2]!PERSONAL_ACTIVO_2024[[#All],[Documento identidad]],[2]!PERSONAL_ACTIVO_2024[[#All],[Mail ]],0,0)</f>
        <v>#NAME?</v>
      </c>
      <c r="AP787" s="147" t="e" cm="1">
        <f t="array" aca="1" ref="AP787" ca="1">_xlfn.XLOOKUP(Contrato5[[#This Row],[DOCUMENTO]],[2]!PERSONAL_ACTIVO_2024[[#All],[Documento identidad]],[2]!PERSONAL_ACTIVO_2024[[#All],[Mail ]],0,0)</f>
        <v>#NAME?</v>
      </c>
      <c r="AQ787" s="439" cm="1">
        <f t="array" aca="1" ref="AQ787" ca="1">IF(ISBLANK(Contrato5[[#This Row],[DEPENDENCIA ]]),0,IFERROR(_xlfn.XLOOKUP(Contrato5[[#This Row],[DEPENDENCIA ]],[2]!PERSONAL_ACTIVO_2024[[#All],[Dependencia]],[2]!PERSONAL_ACTIVO_2024[[#All],[Mail ]],0,0),0))</f>
        <v>0</v>
      </c>
    </row>
    <row r="788" spans="1:43" ht="34.5" customHeight="1">
      <c r="A788" s="147">
        <v>1019</v>
      </c>
      <c r="B788" s="124">
        <v>654</v>
      </c>
      <c r="C788" s="162" t="s">
        <v>2080</v>
      </c>
      <c r="D788" s="227" t="s">
        <v>583</v>
      </c>
      <c r="E788" s="440" t="s">
        <v>898</v>
      </c>
      <c r="F788" s="227" t="s">
        <v>1376</v>
      </c>
      <c r="G788" s="281" t="s">
        <v>3087</v>
      </c>
      <c r="H788" s="436">
        <v>1054092294</v>
      </c>
      <c r="I788" s="273">
        <v>3952382</v>
      </c>
      <c r="J788" s="437">
        <v>12252384</v>
      </c>
      <c r="K788" s="131" t="s">
        <v>42</v>
      </c>
      <c r="L788" s="438" t="s">
        <v>2454</v>
      </c>
      <c r="M788" s="194" t="s">
        <v>586</v>
      </c>
      <c r="N788" s="177" t="e" cm="1">
        <f t="array" aca="1" ref="N788" ca="1">_xlfn.XLOOKUP(Contrato5[[#This Row],[SUPERVISOR TITULAR]],[2]!PERSONAL_ACTIVO_2024[[#All],[Nombre completo]],[2]!PERSONAL_ACTIVO_2024[[#All],[Documento identidad]],"",0)</f>
        <v>#NAME?</v>
      </c>
      <c r="O788" s="194" t="s">
        <v>589</v>
      </c>
      <c r="P788" s="196" t="e" cm="1">
        <f t="array" aca="1" ref="P788" ca="1">_xlfn.XLOOKUP(Contrato5[[#This Row],[SUPERVISOR SUPLENTE ]],[2]!PERSONAL_ACTIVO_2024[[#All],[Nombre completo]],[2]!PERSONAL_ACTIVO_2024[[#All],[Documento identidad]],"",0)</f>
        <v>#NAME?</v>
      </c>
      <c r="Q788" s="170">
        <v>858</v>
      </c>
      <c r="R788" s="137" t="e" cm="1">
        <f t="array" aca="1" ref="R788" ca="1">_xlfn.XLOOKUP(Contrato5[[#This Row],[CDP]],[2]!DISPONIBILIDADES_2024[[#All],[consecutivo]],[2]!DISPONIBILIDADES_2024[[#All],[fecha_aprobacion]],"",0)</f>
        <v>#NAME?</v>
      </c>
      <c r="S788" s="138" t="e">
        <f>SUMIF([2]!DISPONIBILIDADES_2024[[#All],[consecutivo]],Contrato5[[#This Row],[CDP]],[2]!DISPONIBILIDADES_2024[[#All],[valor_total_rubro]])</f>
        <v>#REF!</v>
      </c>
      <c r="T788" s="139" t="e" cm="1">
        <f t="array" aca="1" ref="T788" ca="1">_xlfn.XLOOKUP(Contrato5[[#This Row],[CONTRATO]]&amp;Contrato5[[#This Row],[CDP]],[2]!Corr_Contr_CDP[[#All],[CONTRATO-CDP]],[2]!Corr_Contr_CDP[[#All],[CRP]],_xlfn.XLOOKUP(Contrato5[[#This Row],[CDP]],[2]!COMPROMISOS_2024[[#All],[disponibilidad]],[2]!COMPROMISOS_2024[[#All],[consecutivo]],"",0),0)</f>
        <v>#NAME?</v>
      </c>
      <c r="U788" s="140" t="e" cm="1">
        <f t="array" aca="1" ref="U788" ca="1">+_xlfn.XLOOKUP(Contrato5[[#This Row],[RCP]],[2]!COMPROMISOS_2024[[#All],[consecutivo]],[2]!COMPROMISOS_2024[[#All],[fecha_aprobacion]],"",0)</f>
        <v>#NAME?</v>
      </c>
      <c r="V788" s="141" t="e">
        <f ca="1">SUMIF([2]!COMPROMISOS_2024[[#All],[consecutivo]],Contrato5[[#This Row],[RCP]],[2]!COMPROMISOS_2024[[#All],[valor_total]])</f>
        <v>#REF!</v>
      </c>
      <c r="W788" s="160">
        <v>45552</v>
      </c>
      <c r="X788" s="160" t="s">
        <v>1045</v>
      </c>
      <c r="Y788" s="143">
        <v>45553</v>
      </c>
      <c r="Z788" s="262">
        <v>45643</v>
      </c>
      <c r="AA788" s="171" t="s">
        <v>3078</v>
      </c>
      <c r="AB788" s="160" t="s">
        <v>3079</v>
      </c>
      <c r="AC788" s="172"/>
      <c r="AD788" s="547">
        <v>202000005390</v>
      </c>
      <c r="AE788" s="147" t="s">
        <v>523</v>
      </c>
      <c r="AF788" s="148" t="str">
        <f>TEXT(LEFT(Contrato5[[#This Row],[CONTRATO]],3),"0")</f>
        <v>654</v>
      </c>
      <c r="AG788" s="148" t="str">
        <f>IF(LEN(Contrato5[[#This Row],[Contrato2]])=3,Contrato5[[#This Row],[Contrato2]],TEXT(Contrato5[[#This Row],[Contrato2]],"000"))</f>
        <v>654</v>
      </c>
      <c r="AH788" s="149">
        <f ca="1">IFERROR(_xlfn.DAYS(Contrato5[[#This Row],[Fecha Proyectada liquidación]],TODAY())/30,"")</f>
        <v>0.16666666666666666</v>
      </c>
      <c r="AI788" s="150">
        <f>+Contrato5[[#This Row],[FECHA TERMINACIÓN ]]+120</f>
        <v>45763</v>
      </c>
      <c r="AJ788" s="147"/>
      <c r="AK788" s="152" t="str">
        <f ca="1">IF(Contrato5[[#This Row],[FECHA TERMINACIÓN ]]&lt;TODAY(), "Terminado",IF(ISNUMBER(Contrato5[[#This Row],[Fecha Real de liquiidación ]]),"Liquidado",IF(Contrato5[[#This Row],[FECHA TERMINACIÓN ]]&gt;=TODAY(),"En ejecución","")))</f>
        <v>Terminado</v>
      </c>
      <c r="AL788" s="153" t="e">
        <f ca="1">SUMIF([2]!COMPROMISOS_2024[[#All],[consecutivo]],Contrato5[[#This Row],[RCP]],[2]!COMPROMISOS_2024[[#All],[Total pagado]])</f>
        <v>#REF!</v>
      </c>
      <c r="AM788" s="154">
        <f ca="1">IFERROR(Contrato5[[#This Row],[Pagos]]/Contrato5[[#This Row],[VALOR CONTRATO]],0)</f>
        <v>0</v>
      </c>
      <c r="AN788" s="198" t="e">
        <f ca="1">+Contrato5[[#This Row],[VALOR CONTRATO]]-Contrato5[[#This Row],[Pagos]]</f>
        <v>#REF!</v>
      </c>
      <c r="AO788" s="147" t="e" cm="1">
        <f t="array" aca="1" ref="AO788" ca="1">_xlfn.XLOOKUP(Contrato5[[#This Row],[DOCUMENTO ]],[2]!PERSONAL_ACTIVO_2024[[#All],[Documento identidad]],[2]!PERSONAL_ACTIVO_2024[[#All],[Mail ]],0,0)</f>
        <v>#NAME?</v>
      </c>
      <c r="AP788" s="147" t="e" cm="1">
        <f t="array" aca="1" ref="AP788" ca="1">_xlfn.XLOOKUP(Contrato5[[#This Row],[DOCUMENTO]],[2]!PERSONAL_ACTIVO_2024[[#All],[Documento identidad]],[2]!PERSONAL_ACTIVO_2024[[#All],[Mail ]],0,0)</f>
        <v>#NAME?</v>
      </c>
      <c r="AQ788" s="439" cm="1">
        <f t="array" aca="1" ref="AQ788" ca="1">IF(ISBLANK(Contrato5[[#This Row],[DEPENDENCIA ]]),0,IFERROR(_xlfn.XLOOKUP(Contrato5[[#This Row],[DEPENDENCIA ]],[2]!PERSONAL_ACTIVO_2024[[#All],[Dependencia]],[2]!PERSONAL_ACTIVO_2024[[#All],[Mail ]],0,0),0))</f>
        <v>0</v>
      </c>
    </row>
    <row r="789" spans="1:43" ht="34.5" customHeight="1">
      <c r="A789" s="147">
        <v>1020</v>
      </c>
      <c r="B789" s="124">
        <v>655</v>
      </c>
      <c r="C789" s="162" t="s">
        <v>2081</v>
      </c>
      <c r="D789" s="227" t="s">
        <v>583</v>
      </c>
      <c r="E789" s="440" t="s">
        <v>898</v>
      </c>
      <c r="F789" s="227" t="s">
        <v>1376</v>
      </c>
      <c r="G789" s="281" t="s">
        <v>3088</v>
      </c>
      <c r="H789" s="436">
        <v>94447085</v>
      </c>
      <c r="I789" s="273">
        <v>5931149</v>
      </c>
      <c r="J789" s="437">
        <v>18386562</v>
      </c>
      <c r="K789" s="131" t="s">
        <v>42</v>
      </c>
      <c r="L789" s="438" t="s">
        <v>2454</v>
      </c>
      <c r="M789" s="194" t="s">
        <v>600</v>
      </c>
      <c r="N789" s="177" t="e" cm="1">
        <f t="array" aca="1" ref="N789" ca="1">_xlfn.XLOOKUP(Contrato5[[#This Row],[SUPERVISOR TITULAR]],[2]!PERSONAL_ACTIVO_2024[[#All],[Nombre completo]],[2]!PERSONAL_ACTIVO_2024[[#All],[Documento identidad]],"",0)</f>
        <v>#NAME?</v>
      </c>
      <c r="O789" s="194" t="s">
        <v>2495</v>
      </c>
      <c r="P789" s="196" t="e" cm="1">
        <f t="array" aca="1" ref="P789" ca="1">_xlfn.XLOOKUP(Contrato5[[#This Row],[SUPERVISOR SUPLENTE ]],[2]!PERSONAL_ACTIVO_2024[[#All],[Nombre completo]],[2]!PERSONAL_ACTIVO_2024[[#All],[Documento identidad]],"",0)</f>
        <v>#NAME?</v>
      </c>
      <c r="Q789" s="170">
        <v>857</v>
      </c>
      <c r="R789" s="137" t="e" cm="1">
        <f t="array" aca="1" ref="R789" ca="1">_xlfn.XLOOKUP(Contrato5[[#This Row],[CDP]],[2]!DISPONIBILIDADES_2024[[#All],[consecutivo]],[2]!DISPONIBILIDADES_2024[[#All],[fecha_aprobacion]],"",0)</f>
        <v>#NAME?</v>
      </c>
      <c r="S789" s="138" t="e">
        <f>SUMIF([2]!DISPONIBILIDADES_2024[[#All],[consecutivo]],Contrato5[[#This Row],[CDP]],[2]!DISPONIBILIDADES_2024[[#All],[valor_total_rubro]])</f>
        <v>#REF!</v>
      </c>
      <c r="T789" s="139" t="e" cm="1">
        <f t="array" aca="1" ref="T789" ca="1">_xlfn.XLOOKUP(Contrato5[[#This Row],[CONTRATO]]&amp;Contrato5[[#This Row],[CDP]],[2]!Corr_Contr_CDP[[#All],[CONTRATO-CDP]],[2]!Corr_Contr_CDP[[#All],[CRP]],_xlfn.XLOOKUP(Contrato5[[#This Row],[CDP]],[2]!COMPROMISOS_2024[[#All],[disponibilidad]],[2]!COMPROMISOS_2024[[#All],[consecutivo]],"",0),0)</f>
        <v>#NAME?</v>
      </c>
      <c r="U789" s="140" t="e" cm="1">
        <f t="array" aca="1" ref="U789" ca="1">+_xlfn.XLOOKUP(Contrato5[[#This Row],[RCP]],[2]!COMPROMISOS_2024[[#All],[consecutivo]],[2]!COMPROMISOS_2024[[#All],[fecha_aprobacion]],"",0)</f>
        <v>#NAME?</v>
      </c>
      <c r="V789" s="141" t="e">
        <f ca="1">SUMIF([2]!COMPROMISOS_2024[[#All],[consecutivo]],Contrato5[[#This Row],[RCP]],[2]!COMPROMISOS_2024[[#All],[valor_total]])</f>
        <v>#REF!</v>
      </c>
      <c r="W789" s="160">
        <v>45552</v>
      </c>
      <c r="X789" s="160" t="s">
        <v>1045</v>
      </c>
      <c r="Y789" s="143">
        <v>45553</v>
      </c>
      <c r="Z789" s="262">
        <v>45643</v>
      </c>
      <c r="AA789" s="171" t="s">
        <v>3078</v>
      </c>
      <c r="AB789" s="160" t="s">
        <v>3079</v>
      </c>
      <c r="AC789" s="172"/>
      <c r="AD789" s="547">
        <v>202000005391</v>
      </c>
      <c r="AE789" s="147" t="s">
        <v>523</v>
      </c>
      <c r="AF789" s="148" t="str">
        <f>TEXT(LEFT(Contrato5[[#This Row],[CONTRATO]],3),"0")</f>
        <v>655</v>
      </c>
      <c r="AG789" s="148" t="str">
        <f>IF(LEN(Contrato5[[#This Row],[Contrato2]])=3,Contrato5[[#This Row],[Contrato2]],TEXT(Contrato5[[#This Row],[Contrato2]],"000"))</f>
        <v>655</v>
      </c>
      <c r="AH789" s="149">
        <f ca="1">IFERROR(_xlfn.DAYS(Contrato5[[#This Row],[Fecha Proyectada liquidación]],TODAY())/30,"")</f>
        <v>0.16666666666666666</v>
      </c>
      <c r="AI789" s="150">
        <f>+Contrato5[[#This Row],[FECHA TERMINACIÓN ]]+120</f>
        <v>45763</v>
      </c>
      <c r="AJ789" s="147"/>
      <c r="AK789" s="152" t="str">
        <f ca="1">IF(Contrato5[[#This Row],[FECHA TERMINACIÓN ]]&lt;TODAY(), "Terminado",IF(ISNUMBER(Contrato5[[#This Row],[Fecha Real de liquiidación ]]),"Liquidado",IF(Contrato5[[#This Row],[FECHA TERMINACIÓN ]]&gt;=TODAY(),"En ejecución","")))</f>
        <v>Terminado</v>
      </c>
      <c r="AL789" s="153" t="e">
        <f ca="1">SUMIF([2]!COMPROMISOS_2024[[#All],[consecutivo]],Contrato5[[#This Row],[RCP]],[2]!COMPROMISOS_2024[[#All],[Total pagado]])</f>
        <v>#REF!</v>
      </c>
      <c r="AM789" s="154">
        <f ca="1">IFERROR(Contrato5[[#This Row],[Pagos]]/Contrato5[[#This Row],[VALOR CONTRATO]],0)</f>
        <v>0</v>
      </c>
      <c r="AN789" s="198" t="e">
        <f ca="1">+Contrato5[[#This Row],[VALOR CONTRATO]]-Contrato5[[#This Row],[Pagos]]</f>
        <v>#REF!</v>
      </c>
      <c r="AO789" s="147" t="e" cm="1">
        <f t="array" aca="1" ref="AO789" ca="1">_xlfn.XLOOKUP(Contrato5[[#This Row],[DOCUMENTO ]],[2]!PERSONAL_ACTIVO_2024[[#All],[Documento identidad]],[2]!PERSONAL_ACTIVO_2024[[#All],[Mail ]],0,0)</f>
        <v>#NAME?</v>
      </c>
      <c r="AP789" s="147" t="e" cm="1">
        <f t="array" aca="1" ref="AP789" ca="1">_xlfn.XLOOKUP(Contrato5[[#This Row],[DOCUMENTO]],[2]!PERSONAL_ACTIVO_2024[[#All],[Documento identidad]],[2]!PERSONAL_ACTIVO_2024[[#All],[Mail ]],0,0)</f>
        <v>#NAME?</v>
      </c>
      <c r="AQ789" s="439" cm="1">
        <f t="array" aca="1" ref="AQ789" ca="1">IF(ISBLANK(Contrato5[[#This Row],[DEPENDENCIA ]]),0,IFERROR(_xlfn.XLOOKUP(Contrato5[[#This Row],[DEPENDENCIA ]],[2]!PERSONAL_ACTIVO_2024[[#All],[Dependencia]],[2]!PERSONAL_ACTIVO_2024[[#All],[Mail ]],0,0),0))</f>
        <v>0</v>
      </c>
    </row>
    <row r="790" spans="1:43" ht="34.5" customHeight="1">
      <c r="A790" s="147">
        <v>1093</v>
      </c>
      <c r="B790" s="124">
        <v>656</v>
      </c>
      <c r="C790" s="162" t="s">
        <v>2080</v>
      </c>
      <c r="D790" s="227" t="s">
        <v>583</v>
      </c>
      <c r="E790" s="440" t="s">
        <v>898</v>
      </c>
      <c r="F790" s="227" t="s">
        <v>1376</v>
      </c>
      <c r="G790" s="281" t="s">
        <v>3089</v>
      </c>
      <c r="H790" s="436">
        <v>80795654</v>
      </c>
      <c r="I790" s="273">
        <v>3952382</v>
      </c>
      <c r="J790" s="437">
        <v>12252384</v>
      </c>
      <c r="K790" s="131" t="s">
        <v>42</v>
      </c>
      <c r="L790" s="438" t="s">
        <v>2454</v>
      </c>
      <c r="M790" s="194" t="s">
        <v>586</v>
      </c>
      <c r="N790" s="177" t="e" cm="1">
        <f t="array" aca="1" ref="N790" ca="1">_xlfn.XLOOKUP(Contrato5[[#This Row],[SUPERVISOR TITULAR]],[2]!PERSONAL_ACTIVO_2024[[#All],[Nombre completo]],[2]!PERSONAL_ACTIVO_2024[[#All],[Documento identidad]],"",0)</f>
        <v>#NAME?</v>
      </c>
      <c r="O790" s="194" t="s">
        <v>589</v>
      </c>
      <c r="P790" s="196" t="e" cm="1">
        <f t="array" aca="1" ref="P790" ca="1">_xlfn.XLOOKUP(Contrato5[[#This Row],[SUPERVISOR SUPLENTE ]],[2]!PERSONAL_ACTIVO_2024[[#All],[Nombre completo]],[2]!PERSONAL_ACTIVO_2024[[#All],[Documento identidad]],"",0)</f>
        <v>#NAME?</v>
      </c>
      <c r="Q790" s="170">
        <v>888</v>
      </c>
      <c r="R790" s="137" t="e" cm="1">
        <f t="array" aca="1" ref="R790" ca="1">_xlfn.XLOOKUP(Contrato5[[#This Row],[CDP]],[2]!DISPONIBILIDADES_2024[[#All],[consecutivo]],[2]!DISPONIBILIDADES_2024[[#All],[fecha_aprobacion]],"",0)</f>
        <v>#NAME?</v>
      </c>
      <c r="S790" s="138" t="e">
        <f>SUMIF([2]!DISPONIBILIDADES_2024[[#All],[consecutivo]],Contrato5[[#This Row],[CDP]],[2]!DISPONIBILIDADES_2024[[#All],[valor_total_rubro]])</f>
        <v>#REF!</v>
      </c>
      <c r="T790" s="139" t="e" cm="1">
        <f t="array" aca="1" ref="T790" ca="1">_xlfn.XLOOKUP(Contrato5[[#This Row],[CONTRATO]]&amp;Contrato5[[#This Row],[CDP]],[2]!Corr_Contr_CDP[[#All],[CONTRATO-CDP]],[2]!Corr_Contr_CDP[[#All],[CRP]],_xlfn.XLOOKUP(Contrato5[[#This Row],[CDP]],[2]!COMPROMISOS_2024[[#All],[disponibilidad]],[2]!COMPROMISOS_2024[[#All],[consecutivo]],"",0),0)</f>
        <v>#NAME?</v>
      </c>
      <c r="U790" s="140" t="e" cm="1">
        <f t="array" aca="1" ref="U790" ca="1">+_xlfn.XLOOKUP(Contrato5[[#This Row],[RCP]],[2]!COMPROMISOS_2024[[#All],[consecutivo]],[2]!COMPROMISOS_2024[[#All],[fecha_aprobacion]],"",0)</f>
        <v>#NAME?</v>
      </c>
      <c r="V790" s="141" t="e">
        <f ca="1">SUMIF([2]!COMPROMISOS_2024[[#All],[consecutivo]],Contrato5[[#This Row],[RCP]],[2]!COMPROMISOS_2024[[#All],[valor_total]])</f>
        <v>#REF!</v>
      </c>
      <c r="W790" s="160">
        <v>45552</v>
      </c>
      <c r="X790" s="160" t="s">
        <v>1045</v>
      </c>
      <c r="Y790" s="143">
        <v>45553</v>
      </c>
      <c r="Z790" s="262">
        <v>45643</v>
      </c>
      <c r="AA790" s="171" t="s">
        <v>3078</v>
      </c>
      <c r="AB790" s="160" t="s">
        <v>3079</v>
      </c>
      <c r="AC790" s="172"/>
      <c r="AD790" s="547">
        <v>202000005392</v>
      </c>
      <c r="AE790" s="147" t="s">
        <v>523</v>
      </c>
      <c r="AF790" s="148" t="str">
        <f>TEXT(LEFT(Contrato5[[#This Row],[CONTRATO]],3),"0")</f>
        <v>656</v>
      </c>
      <c r="AG790" s="148" t="str">
        <f>IF(LEN(Contrato5[[#This Row],[Contrato2]])=3,Contrato5[[#This Row],[Contrato2]],TEXT(Contrato5[[#This Row],[Contrato2]],"000"))</f>
        <v>656</v>
      </c>
      <c r="AH790" s="149">
        <f ca="1">IFERROR(_xlfn.DAYS(Contrato5[[#This Row],[Fecha Proyectada liquidación]],TODAY())/30,"")</f>
        <v>0.16666666666666666</v>
      </c>
      <c r="AI790" s="150">
        <f>+Contrato5[[#This Row],[FECHA TERMINACIÓN ]]+120</f>
        <v>45763</v>
      </c>
      <c r="AJ790" s="147"/>
      <c r="AK790" s="152" t="str">
        <f ca="1">IF(Contrato5[[#This Row],[FECHA TERMINACIÓN ]]&lt;TODAY(), "Terminado",IF(ISNUMBER(Contrato5[[#This Row],[Fecha Real de liquiidación ]]),"Liquidado",IF(Contrato5[[#This Row],[FECHA TERMINACIÓN ]]&gt;=TODAY(),"En ejecución","")))</f>
        <v>Terminado</v>
      </c>
      <c r="AL790" s="153" t="e">
        <f ca="1">SUMIF([2]!COMPROMISOS_2024[[#All],[consecutivo]],Contrato5[[#This Row],[RCP]],[2]!COMPROMISOS_2024[[#All],[Total pagado]])</f>
        <v>#REF!</v>
      </c>
      <c r="AM790" s="154">
        <f ca="1">IFERROR(Contrato5[[#This Row],[Pagos]]/Contrato5[[#This Row],[VALOR CONTRATO]],0)</f>
        <v>0</v>
      </c>
      <c r="AN790" s="198" t="e">
        <f ca="1">+Contrato5[[#This Row],[VALOR CONTRATO]]-Contrato5[[#This Row],[Pagos]]</f>
        <v>#REF!</v>
      </c>
      <c r="AO790" s="147" t="e" cm="1">
        <f t="array" aca="1" ref="AO790" ca="1">_xlfn.XLOOKUP(Contrato5[[#This Row],[DOCUMENTO ]],[2]!PERSONAL_ACTIVO_2024[[#All],[Documento identidad]],[2]!PERSONAL_ACTIVO_2024[[#All],[Mail ]],0,0)</f>
        <v>#NAME?</v>
      </c>
      <c r="AP790" s="147" t="e" cm="1">
        <f t="array" aca="1" ref="AP790" ca="1">_xlfn.XLOOKUP(Contrato5[[#This Row],[DOCUMENTO]],[2]!PERSONAL_ACTIVO_2024[[#All],[Documento identidad]],[2]!PERSONAL_ACTIVO_2024[[#All],[Mail ]],0,0)</f>
        <v>#NAME?</v>
      </c>
      <c r="AQ790" s="439" cm="1">
        <f t="array" aca="1" ref="AQ790" ca="1">IF(ISBLANK(Contrato5[[#This Row],[DEPENDENCIA ]]),0,IFERROR(_xlfn.XLOOKUP(Contrato5[[#This Row],[DEPENDENCIA ]],[2]!PERSONAL_ACTIVO_2024[[#All],[Dependencia]],[2]!PERSONAL_ACTIVO_2024[[#All],[Mail ]],0,0),0))</f>
        <v>0</v>
      </c>
    </row>
    <row r="791" spans="1:43" ht="34.5" customHeight="1">
      <c r="A791" s="147">
        <v>1094</v>
      </c>
      <c r="B791" s="124">
        <v>657</v>
      </c>
      <c r="C791" s="162" t="s">
        <v>2131</v>
      </c>
      <c r="D791" s="227" t="s">
        <v>583</v>
      </c>
      <c r="E791" s="440" t="s">
        <v>898</v>
      </c>
      <c r="F791" s="227" t="s">
        <v>1376</v>
      </c>
      <c r="G791" s="281" t="s">
        <v>3090</v>
      </c>
      <c r="H791" s="436">
        <v>8323529</v>
      </c>
      <c r="I791" s="273">
        <v>4908936</v>
      </c>
      <c r="J791" s="437">
        <v>15217702</v>
      </c>
      <c r="K791" s="131" t="s">
        <v>42</v>
      </c>
      <c r="L791" s="438" t="s">
        <v>2454</v>
      </c>
      <c r="M791" s="194" t="s">
        <v>600</v>
      </c>
      <c r="N791" s="177" t="e" cm="1">
        <f t="array" aca="1" ref="N791" ca="1">_xlfn.XLOOKUP(Contrato5[[#This Row],[SUPERVISOR TITULAR]],[2]!PERSONAL_ACTIVO_2024[[#All],[Nombre completo]],[2]!PERSONAL_ACTIVO_2024[[#All],[Documento identidad]],"",0)</f>
        <v>#NAME?</v>
      </c>
      <c r="O791" s="194" t="s">
        <v>2495</v>
      </c>
      <c r="P791" s="196" t="e" cm="1">
        <f t="array" aca="1" ref="P791" ca="1">_xlfn.XLOOKUP(Contrato5[[#This Row],[SUPERVISOR SUPLENTE ]],[2]!PERSONAL_ACTIVO_2024[[#All],[Nombre completo]],[2]!PERSONAL_ACTIVO_2024[[#All],[Documento identidad]],"",0)</f>
        <v>#NAME?</v>
      </c>
      <c r="Q791" s="170">
        <v>884</v>
      </c>
      <c r="R791" s="137" t="e" cm="1">
        <f t="array" aca="1" ref="R791" ca="1">_xlfn.XLOOKUP(Contrato5[[#This Row],[CDP]],[2]!DISPONIBILIDADES_2024[[#All],[consecutivo]],[2]!DISPONIBILIDADES_2024[[#All],[fecha_aprobacion]],"",0)</f>
        <v>#NAME?</v>
      </c>
      <c r="S791" s="138" t="e">
        <f>SUMIF([2]!DISPONIBILIDADES_2024[[#All],[consecutivo]],Contrato5[[#This Row],[CDP]],[2]!DISPONIBILIDADES_2024[[#All],[valor_total_rubro]])</f>
        <v>#REF!</v>
      </c>
      <c r="T791" s="139" t="e" cm="1">
        <f t="array" aca="1" ref="T791" ca="1">_xlfn.XLOOKUP(Contrato5[[#This Row],[CONTRATO]]&amp;Contrato5[[#This Row],[CDP]],[2]!Corr_Contr_CDP[[#All],[CONTRATO-CDP]],[2]!Corr_Contr_CDP[[#All],[CRP]],_xlfn.XLOOKUP(Contrato5[[#This Row],[CDP]],[2]!COMPROMISOS_2024[[#All],[disponibilidad]],[2]!COMPROMISOS_2024[[#All],[consecutivo]],"",0),0)</f>
        <v>#NAME?</v>
      </c>
      <c r="U791" s="140" t="e" cm="1">
        <f t="array" aca="1" ref="U791" ca="1">+_xlfn.XLOOKUP(Contrato5[[#This Row],[RCP]],[2]!COMPROMISOS_2024[[#All],[consecutivo]],[2]!COMPROMISOS_2024[[#All],[fecha_aprobacion]],"",0)</f>
        <v>#NAME?</v>
      </c>
      <c r="V791" s="141" t="e">
        <f ca="1">SUMIF([2]!COMPROMISOS_2024[[#All],[consecutivo]],Contrato5[[#This Row],[RCP]],[2]!COMPROMISOS_2024[[#All],[valor_total]])</f>
        <v>#REF!</v>
      </c>
      <c r="W791" s="160">
        <v>45552</v>
      </c>
      <c r="X791" s="160" t="s">
        <v>1045</v>
      </c>
      <c r="Y791" s="143">
        <v>45553</v>
      </c>
      <c r="Z791" s="262">
        <v>45643</v>
      </c>
      <c r="AA791" s="171" t="s">
        <v>3078</v>
      </c>
      <c r="AB791" s="160" t="s">
        <v>3079</v>
      </c>
      <c r="AC791" s="172"/>
      <c r="AD791" s="547">
        <v>202000005393</v>
      </c>
      <c r="AE791" s="147" t="s">
        <v>523</v>
      </c>
      <c r="AF791" s="148" t="str">
        <f>TEXT(LEFT(Contrato5[[#This Row],[CONTRATO]],3),"0")</f>
        <v>657</v>
      </c>
      <c r="AG791" s="148" t="str">
        <f>IF(LEN(Contrato5[[#This Row],[Contrato2]])=3,Contrato5[[#This Row],[Contrato2]],TEXT(Contrato5[[#This Row],[Contrato2]],"000"))</f>
        <v>657</v>
      </c>
      <c r="AH791" s="149">
        <f ca="1">IFERROR(_xlfn.DAYS(Contrato5[[#This Row],[Fecha Proyectada liquidación]],TODAY())/30,"")</f>
        <v>0.16666666666666666</v>
      </c>
      <c r="AI791" s="150">
        <f>+Contrato5[[#This Row],[FECHA TERMINACIÓN ]]+120</f>
        <v>45763</v>
      </c>
      <c r="AJ791" s="147"/>
      <c r="AK791" s="152" t="str">
        <f ca="1">IF(Contrato5[[#This Row],[FECHA TERMINACIÓN ]]&lt;TODAY(), "Terminado",IF(ISNUMBER(Contrato5[[#This Row],[Fecha Real de liquiidación ]]),"Liquidado",IF(Contrato5[[#This Row],[FECHA TERMINACIÓN ]]&gt;=TODAY(),"En ejecución","")))</f>
        <v>Terminado</v>
      </c>
      <c r="AL791" s="153" t="e">
        <f ca="1">SUMIF([2]!COMPROMISOS_2024[[#All],[consecutivo]],Contrato5[[#This Row],[RCP]],[2]!COMPROMISOS_2024[[#All],[Total pagado]])</f>
        <v>#REF!</v>
      </c>
      <c r="AM791" s="154">
        <f ca="1">IFERROR(Contrato5[[#This Row],[Pagos]]/Contrato5[[#This Row],[VALOR CONTRATO]],0)</f>
        <v>0</v>
      </c>
      <c r="AN791" s="198" t="e">
        <f ca="1">+Contrato5[[#This Row],[VALOR CONTRATO]]-Contrato5[[#This Row],[Pagos]]</f>
        <v>#REF!</v>
      </c>
      <c r="AO791" s="147" t="e" cm="1">
        <f t="array" aca="1" ref="AO791" ca="1">_xlfn.XLOOKUP(Contrato5[[#This Row],[DOCUMENTO ]],[2]!PERSONAL_ACTIVO_2024[[#All],[Documento identidad]],[2]!PERSONAL_ACTIVO_2024[[#All],[Mail ]],0,0)</f>
        <v>#NAME?</v>
      </c>
      <c r="AP791" s="147" t="e" cm="1">
        <f t="array" aca="1" ref="AP791" ca="1">_xlfn.XLOOKUP(Contrato5[[#This Row],[DOCUMENTO]],[2]!PERSONAL_ACTIVO_2024[[#All],[Documento identidad]],[2]!PERSONAL_ACTIVO_2024[[#All],[Mail ]],0,0)</f>
        <v>#NAME?</v>
      </c>
      <c r="AQ791" s="439" cm="1">
        <f t="array" aca="1" ref="AQ791" ca="1">IF(ISBLANK(Contrato5[[#This Row],[DEPENDENCIA ]]),0,IFERROR(_xlfn.XLOOKUP(Contrato5[[#This Row],[DEPENDENCIA ]],[2]!PERSONAL_ACTIVO_2024[[#All],[Dependencia]],[2]!PERSONAL_ACTIVO_2024[[#All],[Mail ]],0,0),0))</f>
        <v>0</v>
      </c>
    </row>
    <row r="792" spans="1:43" ht="34.5" customHeight="1">
      <c r="A792" s="147">
        <v>1095</v>
      </c>
      <c r="B792" s="124">
        <v>658</v>
      </c>
      <c r="C792" s="162" t="s">
        <v>2131</v>
      </c>
      <c r="D792" s="227" t="s">
        <v>583</v>
      </c>
      <c r="E792" s="440" t="s">
        <v>898</v>
      </c>
      <c r="F792" s="227" t="s">
        <v>1376</v>
      </c>
      <c r="G792" s="281" t="s">
        <v>3091</v>
      </c>
      <c r="H792" s="436">
        <v>1045021905</v>
      </c>
      <c r="I792" s="273">
        <v>5931149</v>
      </c>
      <c r="J792" s="437">
        <v>18386562</v>
      </c>
      <c r="K792" s="131" t="s">
        <v>42</v>
      </c>
      <c r="L792" s="438" t="s">
        <v>2454</v>
      </c>
      <c r="M792" s="194" t="s">
        <v>600</v>
      </c>
      <c r="N792" s="177" t="e" cm="1">
        <f t="array" aca="1" ref="N792" ca="1">_xlfn.XLOOKUP(Contrato5[[#This Row],[SUPERVISOR TITULAR]],[2]!PERSONAL_ACTIVO_2024[[#All],[Nombre completo]],[2]!PERSONAL_ACTIVO_2024[[#All],[Documento identidad]],"",0)</f>
        <v>#NAME?</v>
      </c>
      <c r="O792" s="194" t="s">
        <v>2495</v>
      </c>
      <c r="P792" s="196" t="e" cm="1">
        <f t="array" aca="1" ref="P792" ca="1">_xlfn.XLOOKUP(Contrato5[[#This Row],[SUPERVISOR SUPLENTE ]],[2]!PERSONAL_ACTIVO_2024[[#All],[Nombre completo]],[2]!PERSONAL_ACTIVO_2024[[#All],[Documento identidad]],"",0)</f>
        <v>#NAME?</v>
      </c>
      <c r="Q792" s="170">
        <v>881</v>
      </c>
      <c r="R792" s="137" t="e" cm="1">
        <f t="array" aca="1" ref="R792" ca="1">_xlfn.XLOOKUP(Contrato5[[#This Row],[CDP]],[2]!DISPONIBILIDADES_2024[[#All],[consecutivo]],[2]!DISPONIBILIDADES_2024[[#All],[fecha_aprobacion]],"",0)</f>
        <v>#NAME?</v>
      </c>
      <c r="S792" s="138" t="e">
        <f>SUMIF([2]!DISPONIBILIDADES_2024[[#All],[consecutivo]],Contrato5[[#This Row],[CDP]],[2]!DISPONIBILIDADES_2024[[#All],[valor_total_rubro]])</f>
        <v>#REF!</v>
      </c>
      <c r="T792" s="139" t="e" cm="1">
        <f t="array" aca="1" ref="T792" ca="1">_xlfn.XLOOKUP(Contrato5[[#This Row],[CONTRATO]]&amp;Contrato5[[#This Row],[CDP]],[2]!Corr_Contr_CDP[[#All],[CONTRATO-CDP]],[2]!Corr_Contr_CDP[[#All],[CRP]],_xlfn.XLOOKUP(Contrato5[[#This Row],[CDP]],[2]!COMPROMISOS_2024[[#All],[disponibilidad]],[2]!COMPROMISOS_2024[[#All],[consecutivo]],"",0),0)</f>
        <v>#NAME?</v>
      </c>
      <c r="U792" s="140" t="e" cm="1">
        <f t="array" aca="1" ref="U792" ca="1">+_xlfn.XLOOKUP(Contrato5[[#This Row],[RCP]],[2]!COMPROMISOS_2024[[#All],[consecutivo]],[2]!COMPROMISOS_2024[[#All],[fecha_aprobacion]],"",0)</f>
        <v>#NAME?</v>
      </c>
      <c r="V792" s="141" t="e">
        <f ca="1">SUMIF([2]!COMPROMISOS_2024[[#All],[consecutivo]],Contrato5[[#This Row],[RCP]],[2]!COMPROMISOS_2024[[#All],[valor_total]])</f>
        <v>#REF!</v>
      </c>
      <c r="W792" s="160">
        <v>45552</v>
      </c>
      <c r="X792" s="160" t="s">
        <v>1045</v>
      </c>
      <c r="Y792" s="143">
        <v>45553</v>
      </c>
      <c r="Z792" s="262">
        <v>45643</v>
      </c>
      <c r="AA792" s="171" t="s">
        <v>3078</v>
      </c>
      <c r="AB792" s="160" t="s">
        <v>3079</v>
      </c>
      <c r="AC792" s="172"/>
      <c r="AD792" s="547">
        <v>202000005394</v>
      </c>
      <c r="AE792" s="147" t="s">
        <v>523</v>
      </c>
      <c r="AF792" s="148" t="str">
        <f>TEXT(LEFT(Contrato5[[#This Row],[CONTRATO]],3),"0")</f>
        <v>658</v>
      </c>
      <c r="AG792" s="148" t="str">
        <f>IF(LEN(Contrato5[[#This Row],[Contrato2]])=3,Contrato5[[#This Row],[Contrato2]],TEXT(Contrato5[[#This Row],[Contrato2]],"000"))</f>
        <v>658</v>
      </c>
      <c r="AH792" s="149">
        <f ca="1">IFERROR(_xlfn.DAYS(Contrato5[[#This Row],[Fecha Proyectada liquidación]],TODAY())/30,"")</f>
        <v>0.16666666666666666</v>
      </c>
      <c r="AI792" s="150">
        <f>+Contrato5[[#This Row],[FECHA TERMINACIÓN ]]+120</f>
        <v>45763</v>
      </c>
      <c r="AJ792" s="147"/>
      <c r="AK792" s="152" t="str">
        <f ca="1">IF(Contrato5[[#This Row],[FECHA TERMINACIÓN ]]&lt;TODAY(), "Terminado",IF(ISNUMBER(Contrato5[[#This Row],[Fecha Real de liquiidación ]]),"Liquidado",IF(Contrato5[[#This Row],[FECHA TERMINACIÓN ]]&gt;=TODAY(),"En ejecución","")))</f>
        <v>Terminado</v>
      </c>
      <c r="AL792" s="153" t="e">
        <f ca="1">SUMIF([2]!COMPROMISOS_2024[[#All],[consecutivo]],Contrato5[[#This Row],[RCP]],[2]!COMPROMISOS_2024[[#All],[Total pagado]])</f>
        <v>#REF!</v>
      </c>
      <c r="AM792" s="154">
        <f ca="1">IFERROR(Contrato5[[#This Row],[Pagos]]/Contrato5[[#This Row],[VALOR CONTRATO]],0)</f>
        <v>0</v>
      </c>
      <c r="AN792" s="198" t="e">
        <f ca="1">+Contrato5[[#This Row],[VALOR CONTRATO]]-Contrato5[[#This Row],[Pagos]]</f>
        <v>#REF!</v>
      </c>
      <c r="AO792" s="147" t="e" cm="1">
        <f t="array" aca="1" ref="AO792" ca="1">_xlfn.XLOOKUP(Contrato5[[#This Row],[DOCUMENTO ]],[2]!PERSONAL_ACTIVO_2024[[#All],[Documento identidad]],[2]!PERSONAL_ACTIVO_2024[[#All],[Mail ]],0,0)</f>
        <v>#NAME?</v>
      </c>
      <c r="AP792" s="147" t="e" cm="1">
        <f t="array" aca="1" ref="AP792" ca="1">_xlfn.XLOOKUP(Contrato5[[#This Row],[DOCUMENTO]],[2]!PERSONAL_ACTIVO_2024[[#All],[Documento identidad]],[2]!PERSONAL_ACTIVO_2024[[#All],[Mail ]],0,0)</f>
        <v>#NAME?</v>
      </c>
      <c r="AQ792" s="439" cm="1">
        <f t="array" aca="1" ref="AQ792" ca="1">IF(ISBLANK(Contrato5[[#This Row],[DEPENDENCIA ]]),0,IFERROR(_xlfn.XLOOKUP(Contrato5[[#This Row],[DEPENDENCIA ]],[2]!PERSONAL_ACTIVO_2024[[#All],[Dependencia]],[2]!PERSONAL_ACTIVO_2024[[#All],[Mail ]],0,0),0))</f>
        <v>0</v>
      </c>
    </row>
    <row r="793" spans="1:43" ht="34.5" customHeight="1">
      <c r="A793" s="147">
        <v>1098</v>
      </c>
      <c r="B793" s="124">
        <v>659</v>
      </c>
      <c r="C793" s="162" t="s">
        <v>2134</v>
      </c>
      <c r="D793" s="227" t="s">
        <v>583</v>
      </c>
      <c r="E793" s="440" t="s">
        <v>898</v>
      </c>
      <c r="F793" s="227" t="s">
        <v>1376</v>
      </c>
      <c r="G793" s="281" t="s">
        <v>3092</v>
      </c>
      <c r="H793" s="436">
        <v>1040355608</v>
      </c>
      <c r="I793" s="273">
        <v>3952382</v>
      </c>
      <c r="J793" s="437">
        <v>12252384</v>
      </c>
      <c r="K793" s="131" t="s">
        <v>42</v>
      </c>
      <c r="L793" s="438" t="s">
        <v>2454</v>
      </c>
      <c r="M793" s="194" t="s">
        <v>589</v>
      </c>
      <c r="N793" s="177" t="e" cm="1">
        <f t="array" aca="1" ref="N793" ca="1">_xlfn.XLOOKUP(Contrato5[[#This Row],[SUPERVISOR TITULAR]],[2]!PERSONAL_ACTIVO_2024[[#All],[Nombre completo]],[2]!PERSONAL_ACTIVO_2024[[#All],[Documento identidad]],"",0)</f>
        <v>#NAME?</v>
      </c>
      <c r="O793" s="194" t="s">
        <v>586</v>
      </c>
      <c r="P793" s="196" t="e" cm="1">
        <f t="array" aca="1" ref="P793" ca="1">_xlfn.XLOOKUP(Contrato5[[#This Row],[SUPERVISOR SUPLENTE ]],[2]!PERSONAL_ACTIVO_2024[[#All],[Nombre completo]],[2]!PERSONAL_ACTIVO_2024[[#All],[Documento identidad]],"",0)</f>
        <v>#NAME?</v>
      </c>
      <c r="Q793" s="170">
        <v>887</v>
      </c>
      <c r="R793" s="137" t="e" cm="1">
        <f t="array" aca="1" ref="R793" ca="1">_xlfn.XLOOKUP(Contrato5[[#This Row],[CDP]],[2]!DISPONIBILIDADES_2024[[#All],[consecutivo]],[2]!DISPONIBILIDADES_2024[[#All],[fecha_aprobacion]],"",0)</f>
        <v>#NAME?</v>
      </c>
      <c r="S793" s="138" t="e">
        <f>SUMIF([2]!DISPONIBILIDADES_2024[[#All],[consecutivo]],Contrato5[[#This Row],[CDP]],[2]!DISPONIBILIDADES_2024[[#All],[valor_total_rubro]])</f>
        <v>#REF!</v>
      </c>
      <c r="T793" s="139" t="e" cm="1">
        <f t="array" aca="1" ref="T793" ca="1">_xlfn.XLOOKUP(Contrato5[[#This Row],[CONTRATO]]&amp;Contrato5[[#This Row],[CDP]],[2]!Corr_Contr_CDP[[#All],[CONTRATO-CDP]],[2]!Corr_Contr_CDP[[#All],[CRP]],_xlfn.XLOOKUP(Contrato5[[#This Row],[CDP]],[2]!COMPROMISOS_2024[[#All],[disponibilidad]],[2]!COMPROMISOS_2024[[#All],[consecutivo]],"",0),0)</f>
        <v>#NAME?</v>
      </c>
      <c r="U793" s="140" t="e" cm="1">
        <f t="array" aca="1" ref="U793" ca="1">+_xlfn.XLOOKUP(Contrato5[[#This Row],[RCP]],[2]!COMPROMISOS_2024[[#All],[consecutivo]],[2]!COMPROMISOS_2024[[#All],[fecha_aprobacion]],"",0)</f>
        <v>#NAME?</v>
      </c>
      <c r="V793" s="141" t="e">
        <f ca="1">SUMIF([2]!COMPROMISOS_2024[[#All],[consecutivo]],Contrato5[[#This Row],[RCP]],[2]!COMPROMISOS_2024[[#All],[valor_total]])</f>
        <v>#REF!</v>
      </c>
      <c r="W793" s="160">
        <v>45552</v>
      </c>
      <c r="X793" s="160" t="s">
        <v>1045</v>
      </c>
      <c r="Y793" s="143">
        <v>45553</v>
      </c>
      <c r="Z793" s="262">
        <v>45643</v>
      </c>
      <c r="AA793" s="171" t="s">
        <v>2873</v>
      </c>
      <c r="AB793" s="160" t="s">
        <v>3079</v>
      </c>
      <c r="AC793" s="172"/>
      <c r="AD793" s="547">
        <v>202000005395</v>
      </c>
      <c r="AE793" s="147" t="s">
        <v>523</v>
      </c>
      <c r="AF793" s="148" t="str">
        <f>TEXT(LEFT(Contrato5[[#This Row],[CONTRATO]],3),"0")</f>
        <v>659</v>
      </c>
      <c r="AG793" s="148" t="str">
        <f>IF(LEN(Contrato5[[#This Row],[Contrato2]])=3,Contrato5[[#This Row],[Contrato2]],TEXT(Contrato5[[#This Row],[Contrato2]],"000"))</f>
        <v>659</v>
      </c>
      <c r="AH793" s="149">
        <f ca="1">IFERROR(_xlfn.DAYS(Contrato5[[#This Row],[Fecha Proyectada liquidación]],TODAY())/30,"")</f>
        <v>0.16666666666666666</v>
      </c>
      <c r="AI793" s="150">
        <f>+Contrato5[[#This Row],[FECHA TERMINACIÓN ]]+120</f>
        <v>45763</v>
      </c>
      <c r="AJ793" s="147"/>
      <c r="AK793" s="152" t="str">
        <f ca="1">IF(Contrato5[[#This Row],[FECHA TERMINACIÓN ]]&lt;TODAY(), "Terminado",IF(ISNUMBER(Contrato5[[#This Row],[Fecha Real de liquiidación ]]),"Liquidado",IF(Contrato5[[#This Row],[FECHA TERMINACIÓN ]]&gt;=TODAY(),"En ejecución","")))</f>
        <v>Terminado</v>
      </c>
      <c r="AL793" s="153" t="e">
        <f ca="1">SUMIF([2]!COMPROMISOS_2024[[#All],[consecutivo]],Contrato5[[#This Row],[RCP]],[2]!COMPROMISOS_2024[[#All],[Total pagado]])</f>
        <v>#REF!</v>
      </c>
      <c r="AM793" s="154">
        <f ca="1">IFERROR(Contrato5[[#This Row],[Pagos]]/Contrato5[[#This Row],[VALOR CONTRATO]],0)</f>
        <v>0</v>
      </c>
      <c r="AN793" s="198" t="e">
        <f ca="1">+Contrato5[[#This Row],[VALOR CONTRATO]]-Contrato5[[#This Row],[Pagos]]</f>
        <v>#REF!</v>
      </c>
      <c r="AO793" s="147" t="e" cm="1">
        <f t="array" aca="1" ref="AO793" ca="1">_xlfn.XLOOKUP(Contrato5[[#This Row],[DOCUMENTO ]],[2]!PERSONAL_ACTIVO_2024[[#All],[Documento identidad]],[2]!PERSONAL_ACTIVO_2024[[#All],[Mail ]],0,0)</f>
        <v>#NAME?</v>
      </c>
      <c r="AP793" s="147" t="e" cm="1">
        <f t="array" aca="1" ref="AP793" ca="1">_xlfn.XLOOKUP(Contrato5[[#This Row],[DOCUMENTO]],[2]!PERSONAL_ACTIVO_2024[[#All],[Documento identidad]],[2]!PERSONAL_ACTIVO_2024[[#All],[Mail ]],0,0)</f>
        <v>#NAME?</v>
      </c>
      <c r="AQ793" s="439" cm="1">
        <f t="array" aca="1" ref="AQ793" ca="1">IF(ISBLANK(Contrato5[[#This Row],[DEPENDENCIA ]]),0,IFERROR(_xlfn.XLOOKUP(Contrato5[[#This Row],[DEPENDENCIA ]],[2]!PERSONAL_ACTIVO_2024[[#All],[Dependencia]],[2]!PERSONAL_ACTIVO_2024[[#All],[Mail ]],0,0),0))</f>
        <v>0</v>
      </c>
    </row>
    <row r="794" spans="1:43" ht="34.5" customHeight="1">
      <c r="A794" s="147">
        <v>1099</v>
      </c>
      <c r="B794" s="124">
        <v>660</v>
      </c>
      <c r="C794" s="162" t="s">
        <v>2089</v>
      </c>
      <c r="D794" s="227" t="s">
        <v>583</v>
      </c>
      <c r="E794" s="440" t="s">
        <v>898</v>
      </c>
      <c r="F794" s="227" t="s">
        <v>1376</v>
      </c>
      <c r="G794" s="281" t="s">
        <v>3093</v>
      </c>
      <c r="H794" s="436">
        <v>1037236165</v>
      </c>
      <c r="I794" s="273">
        <v>5931149</v>
      </c>
      <c r="J794" s="437">
        <v>18386562</v>
      </c>
      <c r="K794" s="131" t="s">
        <v>42</v>
      </c>
      <c r="L794" s="438" t="s">
        <v>2454</v>
      </c>
      <c r="M794" s="194" t="s">
        <v>600</v>
      </c>
      <c r="N794" s="177" t="e" cm="1">
        <f t="array" aca="1" ref="N794" ca="1">_xlfn.XLOOKUP(Contrato5[[#This Row],[SUPERVISOR TITULAR]],[2]!PERSONAL_ACTIVO_2024[[#All],[Nombre completo]],[2]!PERSONAL_ACTIVO_2024[[#All],[Documento identidad]],"",0)</f>
        <v>#NAME?</v>
      </c>
      <c r="O794" s="194" t="s">
        <v>2495</v>
      </c>
      <c r="P794" s="196" t="e" cm="1">
        <f t="array" aca="1" ref="P794" ca="1">_xlfn.XLOOKUP(Contrato5[[#This Row],[SUPERVISOR SUPLENTE ]],[2]!PERSONAL_ACTIVO_2024[[#All],[Nombre completo]],[2]!PERSONAL_ACTIVO_2024[[#All],[Documento identidad]],"",0)</f>
        <v>#NAME?</v>
      </c>
      <c r="Q794" s="170">
        <v>886</v>
      </c>
      <c r="R794" s="137" t="e" cm="1">
        <f t="array" aca="1" ref="R794" ca="1">_xlfn.XLOOKUP(Contrato5[[#This Row],[CDP]],[2]!DISPONIBILIDADES_2024[[#All],[consecutivo]],[2]!DISPONIBILIDADES_2024[[#All],[fecha_aprobacion]],"",0)</f>
        <v>#NAME?</v>
      </c>
      <c r="S794" s="138" t="e">
        <f>SUMIF([2]!DISPONIBILIDADES_2024[[#All],[consecutivo]],Contrato5[[#This Row],[CDP]],[2]!DISPONIBILIDADES_2024[[#All],[valor_total_rubro]])</f>
        <v>#REF!</v>
      </c>
      <c r="T794" s="139" t="e" cm="1">
        <f t="array" aca="1" ref="T794" ca="1">_xlfn.XLOOKUP(Contrato5[[#This Row],[CONTRATO]]&amp;Contrato5[[#This Row],[CDP]],[2]!Corr_Contr_CDP[[#All],[CONTRATO-CDP]],[2]!Corr_Contr_CDP[[#All],[CRP]],_xlfn.XLOOKUP(Contrato5[[#This Row],[CDP]],[2]!COMPROMISOS_2024[[#All],[disponibilidad]],[2]!COMPROMISOS_2024[[#All],[consecutivo]],"",0),0)</f>
        <v>#NAME?</v>
      </c>
      <c r="U794" s="140" t="e" cm="1">
        <f t="array" aca="1" ref="U794" ca="1">+_xlfn.XLOOKUP(Contrato5[[#This Row],[RCP]],[2]!COMPROMISOS_2024[[#All],[consecutivo]],[2]!COMPROMISOS_2024[[#All],[fecha_aprobacion]],"",0)</f>
        <v>#NAME?</v>
      </c>
      <c r="V794" s="141" t="e">
        <f ca="1">SUMIF([2]!COMPROMISOS_2024[[#All],[consecutivo]],Contrato5[[#This Row],[RCP]],[2]!COMPROMISOS_2024[[#All],[valor_total]])</f>
        <v>#REF!</v>
      </c>
      <c r="W794" s="160">
        <v>45552</v>
      </c>
      <c r="X794" s="160" t="s">
        <v>1045</v>
      </c>
      <c r="Y794" s="143">
        <v>45553</v>
      </c>
      <c r="Z794" s="262">
        <v>45643</v>
      </c>
      <c r="AA794" s="171" t="s">
        <v>3078</v>
      </c>
      <c r="AB794" s="160" t="s">
        <v>3079</v>
      </c>
      <c r="AC794" s="172"/>
      <c r="AD794" s="547">
        <v>202000005396</v>
      </c>
      <c r="AE794" s="147" t="s">
        <v>523</v>
      </c>
      <c r="AF794" s="148" t="str">
        <f>TEXT(LEFT(Contrato5[[#This Row],[CONTRATO]],3),"0")</f>
        <v>660</v>
      </c>
      <c r="AG794" s="148" t="str">
        <f>IF(LEN(Contrato5[[#This Row],[Contrato2]])=3,Contrato5[[#This Row],[Contrato2]],TEXT(Contrato5[[#This Row],[Contrato2]],"000"))</f>
        <v>660</v>
      </c>
      <c r="AH794" s="149">
        <f ca="1">IFERROR(_xlfn.DAYS(Contrato5[[#This Row],[Fecha Proyectada liquidación]],TODAY())/30,"")</f>
        <v>0.16666666666666666</v>
      </c>
      <c r="AI794" s="150">
        <f>+Contrato5[[#This Row],[FECHA TERMINACIÓN ]]+120</f>
        <v>45763</v>
      </c>
      <c r="AJ794" s="147"/>
      <c r="AK794" s="152" t="str">
        <f ca="1">IF(Contrato5[[#This Row],[FECHA TERMINACIÓN ]]&lt;TODAY(), "Terminado",IF(ISNUMBER(Contrato5[[#This Row],[Fecha Real de liquiidación ]]),"Liquidado",IF(Contrato5[[#This Row],[FECHA TERMINACIÓN ]]&gt;=TODAY(),"En ejecución","")))</f>
        <v>Terminado</v>
      </c>
      <c r="AL794" s="153" t="e">
        <f ca="1">SUMIF([2]!COMPROMISOS_2024[[#All],[consecutivo]],Contrato5[[#This Row],[RCP]],[2]!COMPROMISOS_2024[[#All],[Total pagado]])</f>
        <v>#REF!</v>
      </c>
      <c r="AM794" s="154">
        <f ca="1">IFERROR(Contrato5[[#This Row],[Pagos]]/Contrato5[[#This Row],[VALOR CONTRATO]],0)</f>
        <v>0</v>
      </c>
      <c r="AN794" s="198" t="e">
        <f ca="1">+Contrato5[[#This Row],[VALOR CONTRATO]]-Contrato5[[#This Row],[Pagos]]</f>
        <v>#REF!</v>
      </c>
      <c r="AO794" s="147" t="e" cm="1">
        <f t="array" aca="1" ref="AO794" ca="1">_xlfn.XLOOKUP(Contrato5[[#This Row],[DOCUMENTO ]],[2]!PERSONAL_ACTIVO_2024[[#All],[Documento identidad]],[2]!PERSONAL_ACTIVO_2024[[#All],[Mail ]],0,0)</f>
        <v>#NAME?</v>
      </c>
      <c r="AP794" s="147" t="e" cm="1">
        <f t="array" aca="1" ref="AP794" ca="1">_xlfn.XLOOKUP(Contrato5[[#This Row],[DOCUMENTO]],[2]!PERSONAL_ACTIVO_2024[[#All],[Documento identidad]],[2]!PERSONAL_ACTIVO_2024[[#All],[Mail ]],0,0)</f>
        <v>#NAME?</v>
      </c>
      <c r="AQ794" s="439" cm="1">
        <f t="array" aca="1" ref="AQ794" ca="1">IF(ISBLANK(Contrato5[[#This Row],[DEPENDENCIA ]]),0,IFERROR(_xlfn.XLOOKUP(Contrato5[[#This Row],[DEPENDENCIA ]],[2]!PERSONAL_ACTIVO_2024[[#All],[Dependencia]],[2]!PERSONAL_ACTIVO_2024[[#All],[Mail ]],0,0),0))</f>
        <v>0</v>
      </c>
    </row>
    <row r="795" spans="1:43" ht="34.5" customHeight="1">
      <c r="A795" s="147">
        <v>1116</v>
      </c>
      <c r="B795" s="124">
        <v>661</v>
      </c>
      <c r="C795" s="162" t="s">
        <v>2072</v>
      </c>
      <c r="D795" s="227" t="s">
        <v>536</v>
      </c>
      <c r="E795" s="440" t="s">
        <v>898</v>
      </c>
      <c r="F795" s="227" t="s">
        <v>1376</v>
      </c>
      <c r="G795" s="281" t="s">
        <v>901</v>
      </c>
      <c r="H795" s="436">
        <v>1126787814</v>
      </c>
      <c r="I795" s="273">
        <v>9346824</v>
      </c>
      <c r="J795" s="437">
        <v>32713884</v>
      </c>
      <c r="K795" s="131" t="s">
        <v>42</v>
      </c>
      <c r="L795" s="438" t="s">
        <v>2454</v>
      </c>
      <c r="M795" s="194" t="s">
        <v>538</v>
      </c>
      <c r="N795" s="177" t="e" cm="1">
        <f t="array" aca="1" ref="N795" ca="1">_xlfn.XLOOKUP(Contrato5[[#This Row],[SUPERVISOR TITULAR]],[2]!PERSONAL_ACTIVO_2024[[#All],[Nombre completo]],[2]!PERSONAL_ACTIVO_2024[[#All],[Documento identidad]],"",0)</f>
        <v>#NAME?</v>
      </c>
      <c r="O795" s="194" t="s">
        <v>539</v>
      </c>
      <c r="P795" s="196" t="e" cm="1">
        <f t="array" aca="1" ref="P795" ca="1">_xlfn.XLOOKUP(Contrato5[[#This Row],[SUPERVISOR SUPLENTE ]],[2]!PERSONAL_ACTIVO_2024[[#All],[Nombre completo]],[2]!PERSONAL_ACTIVO_2024[[#All],[Documento identidad]],"",0)</f>
        <v>#NAME?</v>
      </c>
      <c r="Q795" s="170">
        <v>911</v>
      </c>
      <c r="R795" s="137" t="e" cm="1">
        <f t="array" aca="1" ref="R795" ca="1">_xlfn.XLOOKUP(Contrato5[[#This Row],[CDP]],[2]!DISPONIBILIDADES_2024[[#All],[consecutivo]],[2]!DISPONIBILIDADES_2024[[#All],[fecha_aprobacion]],"",0)</f>
        <v>#NAME?</v>
      </c>
      <c r="S795" s="138" t="e">
        <f>SUMIF([2]!DISPONIBILIDADES_2024[[#All],[consecutivo]],Contrato5[[#This Row],[CDP]],[2]!DISPONIBILIDADES_2024[[#All],[valor_total_rubro]])</f>
        <v>#REF!</v>
      </c>
      <c r="T795" s="139" t="e" cm="1">
        <f t="array" aca="1" ref="T795" ca="1">_xlfn.XLOOKUP(Contrato5[[#This Row],[CONTRATO]]&amp;Contrato5[[#This Row],[CDP]],[2]!Corr_Contr_CDP[[#All],[CONTRATO-CDP]],[2]!Corr_Contr_CDP[[#All],[CRP]],_xlfn.XLOOKUP(Contrato5[[#This Row],[CDP]],[2]!COMPROMISOS_2024[[#All],[disponibilidad]],[2]!COMPROMISOS_2024[[#All],[consecutivo]],"",0),0)</f>
        <v>#NAME?</v>
      </c>
      <c r="U795" s="140" t="e" cm="1">
        <f t="array" aca="1" ref="U795" ca="1">+_xlfn.XLOOKUP(Contrato5[[#This Row],[RCP]],[2]!COMPROMISOS_2024[[#All],[consecutivo]],[2]!COMPROMISOS_2024[[#All],[fecha_aprobacion]],"",0)</f>
        <v>#NAME?</v>
      </c>
      <c r="V795" s="141" t="e">
        <f ca="1">SUMIF([2]!COMPROMISOS_2024[[#All],[consecutivo]],Contrato5[[#This Row],[RCP]],[2]!COMPROMISOS_2024[[#All],[valor_total]])</f>
        <v>#REF!</v>
      </c>
      <c r="W795" s="160">
        <v>45558</v>
      </c>
      <c r="X795" s="160" t="s">
        <v>1045</v>
      </c>
      <c r="Y795" s="143">
        <v>45558</v>
      </c>
      <c r="Z795" s="262">
        <v>45656</v>
      </c>
      <c r="AA795" s="183" t="s">
        <v>3094</v>
      </c>
      <c r="AB795" s="245" t="s">
        <v>3095</v>
      </c>
      <c r="AC795" s="172"/>
      <c r="AD795" s="547">
        <v>202000005397</v>
      </c>
      <c r="AE795" s="147" t="s">
        <v>523</v>
      </c>
      <c r="AF795" s="148" t="str">
        <f>TEXT(LEFT(Contrato5[[#This Row],[CONTRATO]],3),"0")</f>
        <v>661</v>
      </c>
      <c r="AG795" s="148" t="str">
        <f>IF(LEN(Contrato5[[#This Row],[Contrato2]])=3,Contrato5[[#This Row],[Contrato2]],TEXT(Contrato5[[#This Row],[Contrato2]],"000"))</f>
        <v>661</v>
      </c>
      <c r="AH795" s="149">
        <f ca="1">IFERROR(_xlfn.DAYS(Contrato5[[#This Row],[Fecha Proyectada liquidación]],TODAY())/30,"")</f>
        <v>0.6</v>
      </c>
      <c r="AI795" s="150">
        <f>+Contrato5[[#This Row],[FECHA TERMINACIÓN ]]+120</f>
        <v>45776</v>
      </c>
      <c r="AJ795" s="147"/>
      <c r="AK795" s="152" t="str">
        <f ca="1">IF(Contrato5[[#This Row],[FECHA TERMINACIÓN ]]&lt;TODAY(), "Terminado",IF(ISNUMBER(Contrato5[[#This Row],[Fecha Real de liquiidación ]]),"Liquidado",IF(Contrato5[[#This Row],[FECHA TERMINACIÓN ]]&gt;=TODAY(),"En ejecución","")))</f>
        <v>Terminado</v>
      </c>
      <c r="AL795" s="153" t="e">
        <f ca="1">SUMIF([2]!COMPROMISOS_2024[[#All],[consecutivo]],Contrato5[[#This Row],[RCP]],[2]!COMPROMISOS_2024[[#All],[Total pagado]])</f>
        <v>#REF!</v>
      </c>
      <c r="AM795" s="154">
        <f ca="1">IFERROR(Contrato5[[#This Row],[Pagos]]/Contrato5[[#This Row],[VALOR CONTRATO]],0)</f>
        <v>0</v>
      </c>
      <c r="AN795" s="198" t="e">
        <f ca="1">+Contrato5[[#This Row],[VALOR CONTRATO]]-Contrato5[[#This Row],[Pagos]]</f>
        <v>#REF!</v>
      </c>
      <c r="AO795" s="147" t="e" cm="1">
        <f t="array" aca="1" ref="AO795" ca="1">_xlfn.XLOOKUP(Contrato5[[#This Row],[DOCUMENTO ]],[2]!PERSONAL_ACTIVO_2024[[#All],[Documento identidad]],[2]!PERSONAL_ACTIVO_2024[[#All],[Mail ]],0,0)</f>
        <v>#NAME?</v>
      </c>
      <c r="AP795" s="147" t="e" cm="1">
        <f t="array" aca="1" ref="AP795" ca="1">_xlfn.XLOOKUP(Contrato5[[#This Row],[DOCUMENTO]],[2]!PERSONAL_ACTIVO_2024[[#All],[Documento identidad]],[2]!PERSONAL_ACTIVO_2024[[#All],[Mail ]],0,0)</f>
        <v>#NAME?</v>
      </c>
      <c r="AQ795" s="439" cm="1">
        <f t="array" aca="1" ref="AQ795" ca="1">IF(ISBLANK(Contrato5[[#This Row],[DEPENDENCIA ]]),0,IFERROR(_xlfn.XLOOKUP(Contrato5[[#This Row],[DEPENDENCIA ]],[2]!PERSONAL_ACTIVO_2024[[#All],[Dependencia]],[2]!PERSONAL_ACTIVO_2024[[#All],[Mail ]],0,0),0))</f>
        <v>0</v>
      </c>
    </row>
    <row r="796" spans="1:43" ht="34.5" customHeight="1">
      <c r="A796" s="147">
        <v>1103</v>
      </c>
      <c r="B796" s="124">
        <v>662</v>
      </c>
      <c r="C796" s="162" t="s">
        <v>2410</v>
      </c>
      <c r="D796" s="227" t="s">
        <v>515</v>
      </c>
      <c r="E796" s="440" t="s">
        <v>898</v>
      </c>
      <c r="F796" s="227" t="s">
        <v>1376</v>
      </c>
      <c r="G796" s="281" t="s">
        <v>834</v>
      </c>
      <c r="H796" s="436">
        <v>1017123832</v>
      </c>
      <c r="I796" s="273">
        <v>10400000</v>
      </c>
      <c r="J796" s="437">
        <v>35360000</v>
      </c>
      <c r="K796" s="131" t="s">
        <v>42</v>
      </c>
      <c r="L796" s="438" t="s">
        <v>2454</v>
      </c>
      <c r="M796" s="194" t="s">
        <v>836</v>
      </c>
      <c r="N796" s="177" t="e" cm="1">
        <f t="array" aca="1" ref="N796" ca="1">_xlfn.XLOOKUP(Contrato5[[#This Row],[SUPERVISOR TITULAR]],[2]!PERSONAL_ACTIVO_2024[[#All],[Nombre completo]],[2]!PERSONAL_ACTIVO_2024[[#All],[Documento identidad]],"",0)</f>
        <v>#NAME?</v>
      </c>
      <c r="O796" s="194" t="s">
        <v>2546</v>
      </c>
      <c r="P796" s="196" t="e" cm="1">
        <f t="array" aca="1" ref="P796" ca="1">_xlfn.XLOOKUP(Contrato5[[#This Row],[SUPERVISOR SUPLENTE ]],[2]!PERSONAL_ACTIVO_2024[[#All],[Nombre completo]],[2]!PERSONAL_ACTIVO_2024[[#All],[Documento identidad]],"",0)</f>
        <v>#NAME?</v>
      </c>
      <c r="Q796" s="170">
        <v>892</v>
      </c>
      <c r="R796" s="137" t="e" cm="1">
        <f t="array" aca="1" ref="R796" ca="1">_xlfn.XLOOKUP(Contrato5[[#This Row],[CDP]],[2]!DISPONIBILIDADES_2024[[#All],[consecutivo]],[2]!DISPONIBILIDADES_2024[[#All],[fecha_aprobacion]],"",0)</f>
        <v>#NAME?</v>
      </c>
      <c r="S796" s="138" t="e">
        <f>SUMIF([2]!DISPONIBILIDADES_2024[[#All],[consecutivo]],Contrato5[[#This Row],[CDP]],[2]!DISPONIBILIDADES_2024[[#All],[valor_total_rubro]])</f>
        <v>#REF!</v>
      </c>
      <c r="T796" s="139" t="e" cm="1">
        <f t="array" aca="1" ref="T796" ca="1">_xlfn.XLOOKUP(Contrato5[[#This Row],[CONTRATO]]&amp;Contrato5[[#This Row],[CDP]],[2]!Corr_Contr_CDP[[#All],[CONTRATO-CDP]],[2]!Corr_Contr_CDP[[#All],[CRP]],_xlfn.XLOOKUP(Contrato5[[#This Row],[CDP]],[2]!COMPROMISOS_2024[[#All],[disponibilidad]],[2]!COMPROMISOS_2024[[#All],[consecutivo]],"",0),0)</f>
        <v>#NAME?</v>
      </c>
      <c r="U796" s="140" t="e" cm="1">
        <f t="array" aca="1" ref="U796" ca="1">+_xlfn.XLOOKUP(Contrato5[[#This Row],[RCP]],[2]!COMPROMISOS_2024[[#All],[consecutivo]],[2]!COMPROMISOS_2024[[#All],[fecha_aprobacion]],"",0)</f>
        <v>#NAME?</v>
      </c>
      <c r="V796" s="141" t="e">
        <f ca="1">SUMIF([2]!COMPROMISOS_2024[[#All],[consecutivo]],Contrato5[[#This Row],[RCP]],[2]!COMPROMISOS_2024[[#All],[valor_total]])</f>
        <v>#REF!</v>
      </c>
      <c r="W796" s="160">
        <v>45553</v>
      </c>
      <c r="X796" s="160" t="s">
        <v>1045</v>
      </c>
      <c r="Y796" s="143">
        <v>45554</v>
      </c>
      <c r="Z796" s="262">
        <v>45656</v>
      </c>
      <c r="AA796" s="183" t="s">
        <v>3096</v>
      </c>
      <c r="AB796" s="172" t="s">
        <v>3067</v>
      </c>
      <c r="AC796" s="172"/>
      <c r="AD796" s="547">
        <v>202000005398</v>
      </c>
      <c r="AE796" s="147" t="s">
        <v>523</v>
      </c>
      <c r="AF796" s="148" t="str">
        <f>TEXT(LEFT(Contrato5[[#This Row],[CONTRATO]],3),"0")</f>
        <v>662</v>
      </c>
      <c r="AG796" s="148" t="str">
        <f>IF(LEN(Contrato5[[#This Row],[Contrato2]])=3,Contrato5[[#This Row],[Contrato2]],TEXT(Contrato5[[#This Row],[Contrato2]],"000"))</f>
        <v>662</v>
      </c>
      <c r="AH796" s="149">
        <f ca="1">IFERROR(_xlfn.DAYS(Contrato5[[#This Row],[Fecha Proyectada liquidación]],TODAY())/30,"")</f>
        <v>0.6</v>
      </c>
      <c r="AI796" s="150">
        <f>+Contrato5[[#This Row],[FECHA TERMINACIÓN ]]+120</f>
        <v>45776</v>
      </c>
      <c r="AJ796" s="147"/>
      <c r="AK796" s="152" t="str">
        <f ca="1">IF(Contrato5[[#This Row],[FECHA TERMINACIÓN ]]&lt;TODAY(), "Terminado",IF(ISNUMBER(Contrato5[[#This Row],[Fecha Real de liquiidación ]]),"Liquidado",IF(Contrato5[[#This Row],[FECHA TERMINACIÓN ]]&gt;=TODAY(),"En ejecución","")))</f>
        <v>Terminado</v>
      </c>
      <c r="AL796" s="153" t="e">
        <f ca="1">SUMIF([2]!COMPROMISOS_2024[[#All],[consecutivo]],Contrato5[[#This Row],[RCP]],[2]!COMPROMISOS_2024[[#All],[Total pagado]])</f>
        <v>#REF!</v>
      </c>
      <c r="AM796" s="154">
        <f ca="1">IFERROR(Contrato5[[#This Row],[Pagos]]/Contrato5[[#This Row],[VALOR CONTRATO]],0)</f>
        <v>0</v>
      </c>
      <c r="AN796" s="198" t="e">
        <f ca="1">+Contrato5[[#This Row],[VALOR CONTRATO]]-Contrato5[[#This Row],[Pagos]]</f>
        <v>#REF!</v>
      </c>
      <c r="AO796" s="147" t="e" cm="1">
        <f t="array" aca="1" ref="AO796" ca="1">_xlfn.XLOOKUP(Contrato5[[#This Row],[DOCUMENTO ]],[2]!PERSONAL_ACTIVO_2024[[#All],[Documento identidad]],[2]!PERSONAL_ACTIVO_2024[[#All],[Mail ]],0,0)</f>
        <v>#NAME?</v>
      </c>
      <c r="AP796" s="147" t="e" cm="1">
        <f t="array" aca="1" ref="AP796" ca="1">_xlfn.XLOOKUP(Contrato5[[#This Row],[DOCUMENTO]],[2]!PERSONAL_ACTIVO_2024[[#All],[Documento identidad]],[2]!PERSONAL_ACTIVO_2024[[#All],[Mail ]],0,0)</f>
        <v>#NAME?</v>
      </c>
      <c r="AQ796" s="439" cm="1">
        <f t="array" aca="1" ref="AQ796" ca="1">IF(ISBLANK(Contrato5[[#This Row],[DEPENDENCIA ]]),0,IFERROR(_xlfn.XLOOKUP(Contrato5[[#This Row],[DEPENDENCIA ]],[2]!PERSONAL_ACTIVO_2024[[#All],[Dependencia]],[2]!PERSONAL_ACTIVO_2024[[#All],[Mail ]],0,0),0))</f>
        <v>0</v>
      </c>
    </row>
    <row r="797" spans="1:43" ht="34.5" customHeight="1">
      <c r="A797" s="147">
        <v>1104</v>
      </c>
      <c r="B797" s="124">
        <v>663</v>
      </c>
      <c r="C797" s="162" t="s">
        <v>2411</v>
      </c>
      <c r="D797" s="227" t="s">
        <v>515</v>
      </c>
      <c r="E797" s="440" t="s">
        <v>898</v>
      </c>
      <c r="F797" s="227" t="s">
        <v>1376</v>
      </c>
      <c r="G797" s="281" t="s">
        <v>820</v>
      </c>
      <c r="H797" s="436">
        <v>1038408339</v>
      </c>
      <c r="I797" s="273">
        <v>5200000</v>
      </c>
      <c r="J797" s="437">
        <v>19413333</v>
      </c>
      <c r="K797" s="131" t="s">
        <v>42</v>
      </c>
      <c r="L797" s="438" t="s">
        <v>2454</v>
      </c>
      <c r="M797" s="194" t="s">
        <v>910</v>
      </c>
      <c r="N797" s="177" t="e" cm="1">
        <f t="array" aca="1" ref="N797" ca="1">_xlfn.XLOOKUP(Contrato5[[#This Row],[SUPERVISOR TITULAR]],[2]!PERSONAL_ACTIVO_2024[[#All],[Nombre completo]],[2]!PERSONAL_ACTIVO_2024[[#All],[Documento identidad]],"",0)</f>
        <v>#NAME?</v>
      </c>
      <c r="O797" s="194" t="s">
        <v>836</v>
      </c>
      <c r="P797" s="196" t="e" cm="1">
        <f t="array" aca="1" ref="P797" ca="1">_xlfn.XLOOKUP(Contrato5[[#This Row],[SUPERVISOR SUPLENTE ]],[2]!PERSONAL_ACTIVO_2024[[#All],[Nombre completo]],[2]!PERSONAL_ACTIVO_2024[[#All],[Documento identidad]],"",0)</f>
        <v>#NAME?</v>
      </c>
      <c r="Q797" s="170">
        <v>893</v>
      </c>
      <c r="R797" s="137" t="e" cm="1">
        <f t="array" aca="1" ref="R797" ca="1">_xlfn.XLOOKUP(Contrato5[[#This Row],[CDP]],[2]!DISPONIBILIDADES_2024[[#All],[consecutivo]],[2]!DISPONIBILIDADES_2024[[#All],[fecha_aprobacion]],"",0)</f>
        <v>#NAME?</v>
      </c>
      <c r="S797" s="138" t="e">
        <f>SUMIF([2]!DISPONIBILIDADES_2024[[#All],[consecutivo]],Contrato5[[#This Row],[CDP]],[2]!DISPONIBILIDADES_2024[[#All],[valor_total_rubro]])</f>
        <v>#REF!</v>
      </c>
      <c r="T797" s="139" t="e" cm="1">
        <f t="array" aca="1" ref="T797" ca="1">_xlfn.XLOOKUP(Contrato5[[#This Row],[CONTRATO]]&amp;Contrato5[[#This Row],[CDP]],[2]!Corr_Contr_CDP[[#All],[CONTRATO-CDP]],[2]!Corr_Contr_CDP[[#All],[CRP]],_xlfn.XLOOKUP(Contrato5[[#This Row],[CDP]],[2]!COMPROMISOS_2024[[#All],[disponibilidad]],[2]!COMPROMISOS_2024[[#All],[consecutivo]],"",0),0)</f>
        <v>#NAME?</v>
      </c>
      <c r="U797" s="140" t="e" cm="1">
        <f t="array" aca="1" ref="U797" ca="1">+_xlfn.XLOOKUP(Contrato5[[#This Row],[RCP]],[2]!COMPROMISOS_2024[[#All],[consecutivo]],[2]!COMPROMISOS_2024[[#All],[fecha_aprobacion]],"",0)</f>
        <v>#NAME?</v>
      </c>
      <c r="V797" s="141" t="e">
        <f ca="1">SUMIF([2]!COMPROMISOS_2024[[#All],[consecutivo]],Contrato5[[#This Row],[RCP]],[2]!COMPROMISOS_2024[[#All],[valor_total]])</f>
        <v>#REF!</v>
      </c>
      <c r="W797" s="160">
        <v>45553</v>
      </c>
      <c r="X797" s="160" t="s">
        <v>1045</v>
      </c>
      <c r="Y797" s="143">
        <v>45554</v>
      </c>
      <c r="Z797" s="262">
        <v>45656</v>
      </c>
      <c r="AA797" s="171" t="s">
        <v>3097</v>
      </c>
      <c r="AB797" s="172" t="s">
        <v>3067</v>
      </c>
      <c r="AC797" s="172"/>
      <c r="AD797" s="547">
        <v>202000005399</v>
      </c>
      <c r="AE797" s="147" t="s">
        <v>523</v>
      </c>
      <c r="AF797" s="148" t="str">
        <f>TEXT(LEFT(Contrato5[[#This Row],[CONTRATO]],3),"0")</f>
        <v>663</v>
      </c>
      <c r="AG797" s="148" t="str">
        <f>IF(LEN(Contrato5[[#This Row],[Contrato2]])=3,Contrato5[[#This Row],[Contrato2]],TEXT(Contrato5[[#This Row],[Contrato2]],"000"))</f>
        <v>663</v>
      </c>
      <c r="AH797" s="149">
        <f ca="1">IFERROR(_xlfn.DAYS(Contrato5[[#This Row],[Fecha Proyectada liquidación]],TODAY())/30,"")</f>
        <v>0.6</v>
      </c>
      <c r="AI797" s="150">
        <f>+Contrato5[[#This Row],[FECHA TERMINACIÓN ]]+120</f>
        <v>45776</v>
      </c>
      <c r="AJ797" s="147"/>
      <c r="AK797" s="152" t="str">
        <f ca="1">IF(Contrato5[[#This Row],[FECHA TERMINACIÓN ]]&lt;TODAY(), "Terminado",IF(ISNUMBER(Contrato5[[#This Row],[Fecha Real de liquiidación ]]),"Liquidado",IF(Contrato5[[#This Row],[FECHA TERMINACIÓN ]]&gt;=TODAY(),"En ejecución","")))</f>
        <v>Terminado</v>
      </c>
      <c r="AL797" s="153" t="e">
        <f ca="1">SUMIF([2]!COMPROMISOS_2024[[#All],[consecutivo]],Contrato5[[#This Row],[RCP]],[2]!COMPROMISOS_2024[[#All],[Total pagado]])</f>
        <v>#REF!</v>
      </c>
      <c r="AM797" s="154">
        <f ca="1">IFERROR(Contrato5[[#This Row],[Pagos]]/Contrato5[[#This Row],[VALOR CONTRATO]],0)</f>
        <v>0</v>
      </c>
      <c r="AN797" s="198" t="e">
        <f ca="1">+Contrato5[[#This Row],[VALOR CONTRATO]]-Contrato5[[#This Row],[Pagos]]</f>
        <v>#REF!</v>
      </c>
      <c r="AO797" s="147" t="e" cm="1">
        <f t="array" aca="1" ref="AO797" ca="1">_xlfn.XLOOKUP(Contrato5[[#This Row],[DOCUMENTO ]],[2]!PERSONAL_ACTIVO_2024[[#All],[Documento identidad]],[2]!PERSONAL_ACTIVO_2024[[#All],[Mail ]],0,0)</f>
        <v>#NAME?</v>
      </c>
      <c r="AP797" s="147" t="e" cm="1">
        <f t="array" aca="1" ref="AP797" ca="1">_xlfn.XLOOKUP(Contrato5[[#This Row],[DOCUMENTO]],[2]!PERSONAL_ACTIVO_2024[[#All],[Documento identidad]],[2]!PERSONAL_ACTIVO_2024[[#All],[Mail ]],0,0)</f>
        <v>#NAME?</v>
      </c>
      <c r="AQ797" s="439" cm="1">
        <f t="array" aca="1" ref="AQ797" ca="1">IF(ISBLANK(Contrato5[[#This Row],[DEPENDENCIA ]]),0,IFERROR(_xlfn.XLOOKUP(Contrato5[[#This Row],[DEPENDENCIA ]],[2]!PERSONAL_ACTIVO_2024[[#All],[Dependencia]],[2]!PERSONAL_ACTIVO_2024[[#All],[Mail ]],0,0),0))</f>
        <v>0</v>
      </c>
    </row>
    <row r="798" spans="1:43" ht="34.5" customHeight="1">
      <c r="A798" s="147" t="s">
        <v>2197</v>
      </c>
      <c r="B798" s="124">
        <v>664</v>
      </c>
      <c r="C798" s="162" t="s">
        <v>2198</v>
      </c>
      <c r="D798" s="227" t="s">
        <v>583</v>
      </c>
      <c r="E798" s="440" t="s">
        <v>898</v>
      </c>
      <c r="F798" s="227" t="s">
        <v>3098</v>
      </c>
      <c r="G798" s="281" t="s">
        <v>3099</v>
      </c>
      <c r="H798" s="436">
        <v>900575614</v>
      </c>
      <c r="I798" s="273" t="s">
        <v>42</v>
      </c>
      <c r="J798" s="437">
        <v>396990000</v>
      </c>
      <c r="K798" s="131" t="s">
        <v>42</v>
      </c>
      <c r="L798" s="438" t="s">
        <v>3042</v>
      </c>
      <c r="M798" s="194" t="s">
        <v>605</v>
      </c>
      <c r="N798" s="177" t="e" cm="1">
        <f t="array" aca="1" ref="N798" ca="1">_xlfn.XLOOKUP(Contrato5[[#This Row],[SUPERVISOR TITULAR]],[2]!PERSONAL_ACTIVO_2024[[#All],[Nombre completo]],[2]!PERSONAL_ACTIVO_2024[[#All],[Documento identidad]],"",0)</f>
        <v>#NAME?</v>
      </c>
      <c r="O798" s="194" t="s">
        <v>1087</v>
      </c>
      <c r="P798" s="196" t="e" cm="1">
        <f t="array" aca="1" ref="P798" ca="1">_xlfn.XLOOKUP(Contrato5[[#This Row],[SUPERVISOR SUPLENTE ]],[2]!PERSONAL_ACTIVO_2024[[#All],[Nombre completo]],[2]!PERSONAL_ACTIVO_2024[[#All],[Documento identidad]],"",0)</f>
        <v>#NAME?</v>
      </c>
      <c r="Q798" s="170">
        <v>852</v>
      </c>
      <c r="R798" s="137" t="e" cm="1">
        <f t="array" aca="1" ref="R798" ca="1">_xlfn.XLOOKUP(Contrato5[[#This Row],[CDP]],[2]!DISPONIBILIDADES_2024[[#All],[consecutivo]],[2]!DISPONIBILIDADES_2024[[#All],[fecha_aprobacion]],"",0)</f>
        <v>#NAME?</v>
      </c>
      <c r="S798" s="138" t="e">
        <f>SUMIF([2]!DISPONIBILIDADES_2024[[#All],[consecutivo]],Contrato5[[#This Row],[CDP]],[2]!DISPONIBILIDADES_2024[[#All],[valor_total_rubro]])</f>
        <v>#REF!</v>
      </c>
      <c r="T798" s="139" t="e" cm="1">
        <f t="array" aca="1" ref="T798" ca="1">_xlfn.XLOOKUP(Contrato5[[#This Row],[CONTRATO]]&amp;Contrato5[[#This Row],[CDP]],[2]!Corr_Contr_CDP[[#All],[CONTRATO-CDP]],[2]!Corr_Contr_CDP[[#All],[CRP]],_xlfn.XLOOKUP(Contrato5[[#This Row],[CDP]],[2]!COMPROMISOS_2024[[#All],[disponibilidad]],[2]!COMPROMISOS_2024[[#All],[consecutivo]],"",0),0)</f>
        <v>#NAME?</v>
      </c>
      <c r="U798" s="140" t="e" cm="1">
        <f t="array" aca="1" ref="U798" ca="1">+_xlfn.XLOOKUP(Contrato5[[#This Row],[RCP]],[2]!COMPROMISOS_2024[[#All],[consecutivo]],[2]!COMPROMISOS_2024[[#All],[fecha_aprobacion]],"",0)</f>
        <v>#NAME?</v>
      </c>
      <c r="V798" s="141" t="e">
        <f ca="1">SUMIF([2]!COMPROMISOS_2024[[#All],[consecutivo]],Contrato5[[#This Row],[RCP]],[2]!COMPROMISOS_2024[[#All],[valor_total]])</f>
        <v>#REF!</v>
      </c>
      <c r="W798" s="160">
        <v>45554</v>
      </c>
      <c r="X798" s="160">
        <v>45559</v>
      </c>
      <c r="Y798" s="143">
        <v>45560</v>
      </c>
      <c r="Z798" s="262">
        <v>45641</v>
      </c>
      <c r="AA798" s="183" t="s">
        <v>3100</v>
      </c>
      <c r="AB798" s="172" t="s">
        <v>3101</v>
      </c>
      <c r="AC798" s="172"/>
      <c r="AD798" s="547">
        <v>202000005400</v>
      </c>
      <c r="AE798" s="147" t="s">
        <v>523</v>
      </c>
      <c r="AF798" s="148" t="str">
        <f>TEXT(LEFT(Contrato5[[#This Row],[CONTRATO]],3),"0")</f>
        <v>664</v>
      </c>
      <c r="AG798" s="148" t="str">
        <f>IF(LEN(Contrato5[[#This Row],[Contrato2]])=3,Contrato5[[#This Row],[Contrato2]],TEXT(Contrato5[[#This Row],[Contrato2]],"000"))</f>
        <v>664</v>
      </c>
      <c r="AH798" s="149">
        <f ca="1">IFERROR(_xlfn.DAYS(Contrato5[[#This Row],[Fecha Proyectada liquidación]],TODAY())/30,"")</f>
        <v>0.1</v>
      </c>
      <c r="AI798" s="150">
        <f>+Contrato5[[#This Row],[FECHA TERMINACIÓN ]]+120</f>
        <v>45761</v>
      </c>
      <c r="AJ798" s="147"/>
      <c r="AK798" s="152" t="str">
        <f ca="1">IF(Contrato5[[#This Row],[FECHA TERMINACIÓN ]]&lt;TODAY(), "Terminado",IF(ISNUMBER(Contrato5[[#This Row],[Fecha Real de liquiidación ]]),"Liquidado",IF(Contrato5[[#This Row],[FECHA TERMINACIÓN ]]&gt;=TODAY(),"En ejecución","")))</f>
        <v>Terminado</v>
      </c>
      <c r="AL798" s="153" t="e">
        <f ca="1">SUMIF([2]!COMPROMISOS_2024[[#All],[consecutivo]],Contrato5[[#This Row],[RCP]],[2]!COMPROMISOS_2024[[#All],[Total pagado]])</f>
        <v>#REF!</v>
      </c>
      <c r="AM798" s="154">
        <f ca="1">IFERROR(Contrato5[[#This Row],[Pagos]]/Contrato5[[#This Row],[VALOR CONTRATO]],0)</f>
        <v>0</v>
      </c>
      <c r="AN798" s="198" t="e">
        <f ca="1">+Contrato5[[#This Row],[VALOR CONTRATO]]-Contrato5[[#This Row],[Pagos]]</f>
        <v>#REF!</v>
      </c>
      <c r="AO798" s="147" t="e" cm="1">
        <f t="array" aca="1" ref="AO798" ca="1">_xlfn.XLOOKUP(Contrato5[[#This Row],[DOCUMENTO ]],[2]!PERSONAL_ACTIVO_2024[[#All],[Documento identidad]],[2]!PERSONAL_ACTIVO_2024[[#All],[Mail ]],0,0)</f>
        <v>#NAME?</v>
      </c>
      <c r="AP798" s="147" t="e" cm="1">
        <f t="array" aca="1" ref="AP798" ca="1">_xlfn.XLOOKUP(Contrato5[[#This Row],[DOCUMENTO]],[2]!PERSONAL_ACTIVO_2024[[#All],[Documento identidad]],[2]!PERSONAL_ACTIVO_2024[[#All],[Mail ]],0,0)</f>
        <v>#NAME?</v>
      </c>
      <c r="AQ798" s="439" cm="1">
        <f t="array" aca="1" ref="AQ798" ca="1">IF(ISBLANK(Contrato5[[#This Row],[DEPENDENCIA ]]),0,IFERROR(_xlfn.XLOOKUP(Contrato5[[#This Row],[DEPENDENCIA ]],[2]!PERSONAL_ACTIVO_2024[[#All],[Dependencia]],[2]!PERSONAL_ACTIVO_2024[[#All],[Mail ]],0,0),0))</f>
        <v>0</v>
      </c>
    </row>
    <row r="799" spans="1:43" ht="34.5" customHeight="1">
      <c r="A799" s="147" t="s">
        <v>2200</v>
      </c>
      <c r="B799" s="124">
        <v>665</v>
      </c>
      <c r="C799" s="162" t="s">
        <v>2201</v>
      </c>
      <c r="D799" s="227" t="s">
        <v>583</v>
      </c>
      <c r="E799" s="440" t="s">
        <v>898</v>
      </c>
      <c r="F799" s="126" t="s">
        <v>3098</v>
      </c>
      <c r="G799" s="289" t="s">
        <v>3102</v>
      </c>
      <c r="H799" s="436">
        <v>901814200</v>
      </c>
      <c r="I799" s="273" t="s">
        <v>42</v>
      </c>
      <c r="J799" s="437">
        <v>185671893</v>
      </c>
      <c r="K799" s="131" t="s">
        <v>42</v>
      </c>
      <c r="L799" s="438" t="s">
        <v>3042</v>
      </c>
      <c r="M799" s="194" t="s">
        <v>880</v>
      </c>
      <c r="N799" s="177" t="e" cm="1">
        <f t="array" aca="1" ref="N799" ca="1">_xlfn.XLOOKUP(Contrato5[[#This Row],[SUPERVISOR TITULAR]],[2]!PERSONAL_ACTIVO_2024[[#All],[Nombre completo]],[2]!PERSONAL_ACTIVO_2024[[#All],[Documento identidad]],"",0)</f>
        <v>#NAME?</v>
      </c>
      <c r="O799" s="194" t="s">
        <v>645</v>
      </c>
      <c r="P799" s="196" t="e" cm="1">
        <f t="array" aca="1" ref="P799" ca="1">_xlfn.XLOOKUP(Contrato5[[#This Row],[SUPERVISOR SUPLENTE ]],[2]!PERSONAL_ACTIVO_2024[[#All],[Nombre completo]],[2]!PERSONAL_ACTIVO_2024[[#All],[Documento identidad]],"",0)</f>
        <v>#NAME?</v>
      </c>
      <c r="Q799" s="170">
        <v>852</v>
      </c>
      <c r="R799" s="137" t="e" cm="1">
        <f t="array" aca="1" ref="R799" ca="1">_xlfn.XLOOKUP(Contrato5[[#This Row],[CDP]],[2]!DISPONIBILIDADES_2024[[#All],[consecutivo]],[2]!DISPONIBILIDADES_2024[[#All],[fecha_aprobacion]],"",0)</f>
        <v>#NAME?</v>
      </c>
      <c r="S799" s="138" t="e">
        <f>SUMIF([2]!DISPONIBILIDADES_2024[[#All],[consecutivo]],Contrato5[[#This Row],[CDP]],[2]!DISPONIBILIDADES_2024[[#All],[valor_total_rubro]])</f>
        <v>#REF!</v>
      </c>
      <c r="T799" s="139" t="e" cm="1">
        <f t="array" aca="1" ref="T799" ca="1">_xlfn.XLOOKUP(Contrato5[[#This Row],[CONTRATO]]&amp;Contrato5[[#This Row],[CDP]],[2]!Corr_Contr_CDP[[#All],[CONTRATO-CDP]],[2]!Corr_Contr_CDP[[#All],[CRP]],_xlfn.XLOOKUP(Contrato5[[#This Row],[CDP]],[2]!COMPROMISOS_2024[[#All],[disponibilidad]],[2]!COMPROMISOS_2024[[#All],[consecutivo]],"",0),0)</f>
        <v>#NAME?</v>
      </c>
      <c r="U799" s="140" t="e" cm="1">
        <f t="array" aca="1" ref="U799" ca="1">+_xlfn.XLOOKUP(Contrato5[[#This Row],[RCP]],[2]!COMPROMISOS_2024[[#All],[consecutivo]],[2]!COMPROMISOS_2024[[#All],[fecha_aprobacion]],"",0)</f>
        <v>#NAME?</v>
      </c>
      <c r="V799" s="141" t="e">
        <f ca="1">SUMIF([2]!COMPROMISOS_2024[[#All],[consecutivo]],Contrato5[[#This Row],[RCP]],[2]!COMPROMISOS_2024[[#All],[valor_total]])</f>
        <v>#REF!</v>
      </c>
      <c r="W799" s="160">
        <v>45554</v>
      </c>
      <c r="X799" s="161">
        <v>45555</v>
      </c>
      <c r="Y799" s="143">
        <v>45560</v>
      </c>
      <c r="Z799" s="262">
        <v>45641</v>
      </c>
      <c r="AA799" s="183" t="s">
        <v>3100</v>
      </c>
      <c r="AB799" s="172" t="s">
        <v>3101</v>
      </c>
      <c r="AC799" s="172"/>
      <c r="AD799" s="547">
        <v>202000005405</v>
      </c>
      <c r="AE799" s="147" t="s">
        <v>523</v>
      </c>
      <c r="AF799" s="148" t="str">
        <f>TEXT(LEFT(Contrato5[[#This Row],[CONTRATO]],3),"0")</f>
        <v>665</v>
      </c>
      <c r="AG799" s="148" t="str">
        <f>IF(LEN(Contrato5[[#This Row],[Contrato2]])=3,Contrato5[[#This Row],[Contrato2]],TEXT(Contrato5[[#This Row],[Contrato2]],"000"))</f>
        <v>665</v>
      </c>
      <c r="AH799" s="149">
        <f ca="1">IFERROR(_xlfn.DAYS(Contrato5[[#This Row],[Fecha Proyectada liquidación]],TODAY())/30,"")</f>
        <v>0.1</v>
      </c>
      <c r="AI799" s="150">
        <f>+Contrato5[[#This Row],[FECHA TERMINACIÓN ]]+120</f>
        <v>45761</v>
      </c>
      <c r="AJ799" s="147"/>
      <c r="AK799" s="152" t="str">
        <f ca="1">IF(Contrato5[[#This Row],[FECHA TERMINACIÓN ]]&lt;TODAY(), "Terminado",IF(ISNUMBER(Contrato5[[#This Row],[Fecha Real de liquiidación ]]),"Liquidado",IF(Contrato5[[#This Row],[FECHA TERMINACIÓN ]]&gt;=TODAY(),"En ejecución","")))</f>
        <v>Terminado</v>
      </c>
      <c r="AL799" s="153" t="e">
        <f ca="1">SUMIF([2]!COMPROMISOS_2024[[#All],[consecutivo]],Contrato5[[#This Row],[RCP]],[2]!COMPROMISOS_2024[[#All],[Total pagado]])</f>
        <v>#REF!</v>
      </c>
      <c r="AM799" s="154">
        <f ca="1">IFERROR(Contrato5[[#This Row],[Pagos]]/Contrato5[[#This Row],[VALOR CONTRATO]],0)</f>
        <v>0</v>
      </c>
      <c r="AN799" s="198" t="e">
        <f ca="1">+Contrato5[[#This Row],[VALOR CONTRATO]]-Contrato5[[#This Row],[Pagos]]</f>
        <v>#REF!</v>
      </c>
      <c r="AO799" s="147" t="e" cm="1">
        <f t="array" aca="1" ref="AO799" ca="1">_xlfn.XLOOKUP(Contrato5[[#This Row],[DOCUMENTO ]],[2]!PERSONAL_ACTIVO_2024[[#All],[Documento identidad]],[2]!PERSONAL_ACTIVO_2024[[#All],[Mail ]],0,0)</f>
        <v>#NAME?</v>
      </c>
      <c r="AP799" s="147" t="e" cm="1">
        <f t="array" aca="1" ref="AP799" ca="1">_xlfn.XLOOKUP(Contrato5[[#This Row],[DOCUMENTO]],[2]!PERSONAL_ACTIVO_2024[[#All],[Documento identidad]],[2]!PERSONAL_ACTIVO_2024[[#All],[Mail ]],0,0)</f>
        <v>#NAME?</v>
      </c>
      <c r="AQ799" s="439" cm="1">
        <f t="array" aca="1" ref="AQ799" ca="1">IF(ISBLANK(Contrato5[[#This Row],[DEPENDENCIA ]]),0,IFERROR(_xlfn.XLOOKUP(Contrato5[[#This Row],[DEPENDENCIA ]],[2]!PERSONAL_ACTIVO_2024[[#All],[Dependencia]],[2]!PERSONAL_ACTIVO_2024[[#All],[Mail ]],0,0),0))</f>
        <v>0</v>
      </c>
    </row>
    <row r="800" spans="1:43" ht="34.5" customHeight="1">
      <c r="A800" s="147">
        <v>1200</v>
      </c>
      <c r="B800" s="124">
        <v>666</v>
      </c>
      <c r="C800" s="162" t="s">
        <v>2418</v>
      </c>
      <c r="D800" s="227" t="s">
        <v>515</v>
      </c>
      <c r="E800" s="172" t="s">
        <v>94</v>
      </c>
      <c r="F800" s="227" t="s">
        <v>255</v>
      </c>
      <c r="G800" s="281" t="s">
        <v>3103</v>
      </c>
      <c r="H800" s="436">
        <v>900266892</v>
      </c>
      <c r="I800" s="273" t="s">
        <v>42</v>
      </c>
      <c r="J800" s="437">
        <v>2252934785</v>
      </c>
      <c r="K800" s="131" t="s">
        <v>3104</v>
      </c>
      <c r="L800" s="438" t="s">
        <v>2454</v>
      </c>
      <c r="M800" s="194" t="s">
        <v>823</v>
      </c>
      <c r="N800" s="177" t="e" cm="1">
        <f t="array" aca="1" ref="N800" ca="1">_xlfn.XLOOKUP(Contrato5[[#This Row],[SUPERVISOR TITULAR]],[2]!PERSONAL_ACTIVO_2024[[#All],[Nombre completo]],[2]!PERSONAL_ACTIVO_2024[[#All],[Documento identidad]],"",0)</f>
        <v>#NAME?</v>
      </c>
      <c r="O800" s="194" t="s">
        <v>2546</v>
      </c>
      <c r="P800" s="196" t="e" cm="1">
        <f t="array" aca="1" ref="P800" ca="1">_xlfn.XLOOKUP(Contrato5[[#This Row],[SUPERVISOR SUPLENTE ]],[2]!PERSONAL_ACTIVO_2024[[#All],[Nombre completo]],[2]!PERSONAL_ACTIVO_2024[[#All],[Documento identidad]],"",0)</f>
        <v>#NAME?</v>
      </c>
      <c r="Q800" s="170">
        <v>971</v>
      </c>
      <c r="R800" s="137" t="e" cm="1">
        <f t="array" aca="1" ref="R800" ca="1">_xlfn.XLOOKUP(Contrato5[[#This Row],[CDP]],[2]!DISPONIBILIDADES_2024[[#All],[consecutivo]],[2]!DISPONIBILIDADES_2024[[#All],[fecha_aprobacion]],"",0)</f>
        <v>#NAME?</v>
      </c>
      <c r="S800" s="138" t="e">
        <f>SUMIF([2]!DISPONIBILIDADES_2024[[#All],[consecutivo]],Contrato5[[#This Row],[CDP]],[2]!DISPONIBILIDADES_2024[[#All],[valor_total_rubro]])</f>
        <v>#REF!</v>
      </c>
      <c r="T800" s="139" t="e" cm="1">
        <f t="array" aca="1" ref="T800" ca="1">_xlfn.XLOOKUP(Contrato5[[#This Row],[CONTRATO]]&amp;Contrato5[[#This Row],[CDP]],[2]!Corr_Contr_CDP[[#All],[CONTRATO-CDP]],[2]!Corr_Contr_CDP[[#All],[CRP]],_xlfn.XLOOKUP(Contrato5[[#This Row],[CDP]],[2]!COMPROMISOS_2024[[#All],[disponibilidad]],[2]!COMPROMISOS_2024[[#All],[consecutivo]],"",0),0)</f>
        <v>#NAME?</v>
      </c>
      <c r="U800" s="140" t="e" cm="1">
        <f t="array" aca="1" ref="U800" ca="1">+_xlfn.XLOOKUP(Contrato5[[#This Row],[RCP]],[2]!COMPROMISOS_2024[[#All],[consecutivo]],[2]!COMPROMISOS_2024[[#All],[fecha_aprobacion]],"",0)</f>
        <v>#NAME?</v>
      </c>
      <c r="V800" s="141" t="e">
        <f ca="1">SUMIF([2]!COMPROMISOS_2024[[#All],[consecutivo]],Contrato5[[#This Row],[RCP]],[2]!COMPROMISOS_2024[[#All],[valor_total]])</f>
        <v>#REF!</v>
      </c>
      <c r="W800" s="160">
        <v>45558</v>
      </c>
      <c r="X800" s="161">
        <v>45559</v>
      </c>
      <c r="Y800" s="143">
        <v>45559</v>
      </c>
      <c r="Z800" s="262">
        <v>45649</v>
      </c>
      <c r="AA800" s="183" t="s">
        <v>3105</v>
      </c>
      <c r="AB800" s="172" t="s">
        <v>529</v>
      </c>
      <c r="AC800" s="172"/>
      <c r="AD800" s="547">
        <v>202000005406</v>
      </c>
      <c r="AE800" s="147" t="s">
        <v>523</v>
      </c>
      <c r="AF800" s="148" t="str">
        <f>TEXT(LEFT(Contrato5[[#This Row],[CONTRATO]],3),"0")</f>
        <v>666</v>
      </c>
      <c r="AG800" s="148" t="str">
        <f>IF(LEN(Contrato5[[#This Row],[Contrato2]])=3,Contrato5[[#This Row],[Contrato2]],TEXT(Contrato5[[#This Row],[Contrato2]],"000"))</f>
        <v>666</v>
      </c>
      <c r="AH800" s="149">
        <f ca="1">IFERROR(_xlfn.DAYS(Contrato5[[#This Row],[Fecha Proyectada liquidación]],TODAY())/30,"")</f>
        <v>0.36666666666666664</v>
      </c>
      <c r="AI800" s="150">
        <f>+Contrato5[[#This Row],[FECHA TERMINACIÓN ]]+120</f>
        <v>45769</v>
      </c>
      <c r="AJ800" s="147"/>
      <c r="AK800" s="152" t="str">
        <f ca="1">IF(Contrato5[[#This Row],[FECHA TERMINACIÓN ]]&lt;TODAY(), "Terminado",IF(ISNUMBER(Contrato5[[#This Row],[Fecha Real de liquiidación ]]),"Liquidado",IF(Contrato5[[#This Row],[FECHA TERMINACIÓN ]]&gt;=TODAY(),"En ejecución","")))</f>
        <v>Terminado</v>
      </c>
      <c r="AL800" s="153" t="e">
        <f ca="1">SUMIF([2]!COMPROMISOS_2024[[#All],[consecutivo]],Contrato5[[#This Row],[RCP]],[2]!COMPROMISOS_2024[[#All],[Total pagado]])</f>
        <v>#REF!</v>
      </c>
      <c r="AM800" s="154">
        <f ca="1">IFERROR(Contrato5[[#This Row],[Pagos]]/Contrato5[[#This Row],[VALOR CONTRATO]],0)</f>
        <v>0</v>
      </c>
      <c r="AN800" s="198" t="e">
        <f ca="1">+Contrato5[[#This Row],[VALOR CONTRATO]]-Contrato5[[#This Row],[Pagos]]</f>
        <v>#REF!</v>
      </c>
      <c r="AO800" s="147" t="e" cm="1">
        <f t="array" aca="1" ref="AO800" ca="1">_xlfn.XLOOKUP(Contrato5[[#This Row],[DOCUMENTO ]],[2]!PERSONAL_ACTIVO_2024[[#All],[Documento identidad]],[2]!PERSONAL_ACTIVO_2024[[#All],[Mail ]],0,0)</f>
        <v>#NAME?</v>
      </c>
      <c r="AP800" s="147" t="e" cm="1">
        <f t="array" aca="1" ref="AP800" ca="1">_xlfn.XLOOKUP(Contrato5[[#This Row],[DOCUMENTO]],[2]!PERSONAL_ACTIVO_2024[[#All],[Documento identidad]],[2]!PERSONAL_ACTIVO_2024[[#All],[Mail ]],0,0)</f>
        <v>#NAME?</v>
      </c>
      <c r="AQ800" s="439" cm="1">
        <f t="array" aca="1" ref="AQ800" ca="1">IF(ISBLANK(Contrato5[[#This Row],[DEPENDENCIA ]]),0,IFERROR(_xlfn.XLOOKUP(Contrato5[[#This Row],[DEPENDENCIA ]],[2]!PERSONAL_ACTIVO_2024[[#All],[Dependencia]],[2]!PERSONAL_ACTIVO_2024[[#All],[Mail ]],0,0),0))</f>
        <v>0</v>
      </c>
    </row>
    <row r="801" spans="1:43" ht="34.5" customHeight="1">
      <c r="A801" s="147">
        <v>1201</v>
      </c>
      <c r="B801" s="124">
        <v>667</v>
      </c>
      <c r="C801" s="162" t="s">
        <v>2419</v>
      </c>
      <c r="D801" s="227" t="s">
        <v>515</v>
      </c>
      <c r="E801" s="172" t="s">
        <v>94</v>
      </c>
      <c r="F801" s="227" t="s">
        <v>255</v>
      </c>
      <c r="G801" s="281" t="s">
        <v>2775</v>
      </c>
      <c r="H801" s="436">
        <v>811005365</v>
      </c>
      <c r="I801" s="273" t="s">
        <v>42</v>
      </c>
      <c r="J801" s="437">
        <v>1455240709</v>
      </c>
      <c r="K801" s="131" t="s">
        <v>3106</v>
      </c>
      <c r="L801" s="438" t="s">
        <v>2454</v>
      </c>
      <c r="M801" s="194" t="s">
        <v>519</v>
      </c>
      <c r="N801" s="177" t="e" cm="1">
        <f t="array" aca="1" ref="N801" ca="1">_xlfn.XLOOKUP(Contrato5[[#This Row],[SUPERVISOR TITULAR]],[2]!PERSONAL_ACTIVO_2024[[#All],[Nombre completo]],[2]!PERSONAL_ACTIVO_2024[[#All],[Documento identidad]],"",0)</f>
        <v>#NAME?</v>
      </c>
      <c r="O801" s="194" t="s">
        <v>823</v>
      </c>
      <c r="P801" s="196" t="e" cm="1">
        <f t="array" aca="1" ref="P801" ca="1">_xlfn.XLOOKUP(Contrato5[[#This Row],[SUPERVISOR SUPLENTE ]],[2]!PERSONAL_ACTIVO_2024[[#All],[Nombre completo]],[2]!PERSONAL_ACTIVO_2024[[#All],[Documento identidad]],"",0)</f>
        <v>#NAME?</v>
      </c>
      <c r="Q801" s="170">
        <v>970</v>
      </c>
      <c r="R801" s="137" t="e" cm="1">
        <f t="array" aca="1" ref="R801" ca="1">_xlfn.XLOOKUP(Contrato5[[#This Row],[CDP]],[2]!DISPONIBILIDADES_2024[[#All],[consecutivo]],[2]!DISPONIBILIDADES_2024[[#All],[fecha_aprobacion]],"",0)</f>
        <v>#NAME?</v>
      </c>
      <c r="S801" s="138" t="e">
        <f>SUMIF([2]!DISPONIBILIDADES_2024[[#All],[consecutivo]],Contrato5[[#This Row],[CDP]],[2]!DISPONIBILIDADES_2024[[#All],[valor_total_rubro]])</f>
        <v>#REF!</v>
      </c>
      <c r="T801" s="139" t="e" cm="1">
        <f t="array" aca="1" ref="T801" ca="1">_xlfn.XLOOKUP(Contrato5[[#This Row],[CONTRATO]]&amp;Contrato5[[#This Row],[CDP]],[2]!Corr_Contr_CDP[[#All],[CONTRATO-CDP]],[2]!Corr_Contr_CDP[[#All],[CRP]],_xlfn.XLOOKUP(Contrato5[[#This Row],[CDP]],[2]!COMPROMISOS_2024[[#All],[disponibilidad]],[2]!COMPROMISOS_2024[[#All],[consecutivo]],"",0),0)</f>
        <v>#NAME?</v>
      </c>
      <c r="U801" s="140" t="e" cm="1">
        <f t="array" aca="1" ref="U801" ca="1">+_xlfn.XLOOKUP(Contrato5[[#This Row],[RCP]],[2]!COMPROMISOS_2024[[#All],[consecutivo]],[2]!COMPROMISOS_2024[[#All],[fecha_aprobacion]],"",0)</f>
        <v>#NAME?</v>
      </c>
      <c r="V801" s="141" t="e">
        <f ca="1">SUMIF([2]!COMPROMISOS_2024[[#All],[consecutivo]],Contrato5[[#This Row],[RCP]],[2]!COMPROMISOS_2024[[#All],[valor_total]])</f>
        <v>#REF!</v>
      </c>
      <c r="W801" s="160">
        <v>45562</v>
      </c>
      <c r="X801" s="161">
        <v>45562</v>
      </c>
      <c r="Y801" s="143">
        <v>45562</v>
      </c>
      <c r="Z801" s="262">
        <v>45657</v>
      </c>
      <c r="AA801" s="183" t="s">
        <v>3107</v>
      </c>
      <c r="AB801" s="172" t="s">
        <v>529</v>
      </c>
      <c r="AC801" s="172"/>
      <c r="AD801" s="425">
        <v>202000005407</v>
      </c>
      <c r="AE801" s="147" t="s">
        <v>523</v>
      </c>
      <c r="AF801" s="148" t="str">
        <f>TEXT(LEFT(Contrato5[[#This Row],[CONTRATO]],3),"0")</f>
        <v>667</v>
      </c>
      <c r="AG801" s="148" t="str">
        <f>IF(LEN(Contrato5[[#This Row],[Contrato2]])=3,Contrato5[[#This Row],[Contrato2]],TEXT(Contrato5[[#This Row],[Contrato2]],"000"))</f>
        <v>667</v>
      </c>
      <c r="AH801" s="149">
        <f ca="1">IFERROR(_xlfn.DAYS(Contrato5[[#This Row],[Fecha Proyectada liquidación]],TODAY())/30,"")</f>
        <v>0.6333333333333333</v>
      </c>
      <c r="AI801" s="150">
        <f>+Contrato5[[#This Row],[FECHA TERMINACIÓN ]]+120</f>
        <v>45777</v>
      </c>
      <c r="AJ801" s="147"/>
      <c r="AK801" s="152" t="str">
        <f ca="1">IF(Contrato5[[#This Row],[FECHA TERMINACIÓN ]]&lt;TODAY(), "Terminado",IF(ISNUMBER(Contrato5[[#This Row],[Fecha Real de liquiidación ]]),"Liquidado",IF(Contrato5[[#This Row],[FECHA TERMINACIÓN ]]&gt;=TODAY(),"En ejecución","")))</f>
        <v>Terminado</v>
      </c>
      <c r="AL801" s="153" t="e">
        <f ca="1">SUMIF([2]!COMPROMISOS_2024[[#All],[consecutivo]],Contrato5[[#This Row],[RCP]],[2]!COMPROMISOS_2024[[#All],[Total pagado]])</f>
        <v>#REF!</v>
      </c>
      <c r="AM801" s="154">
        <f ca="1">IFERROR(Contrato5[[#This Row],[Pagos]]/Contrato5[[#This Row],[VALOR CONTRATO]],0)</f>
        <v>0</v>
      </c>
      <c r="AN801" s="198" t="e">
        <f ca="1">+Contrato5[[#This Row],[VALOR CONTRATO]]-Contrato5[[#This Row],[Pagos]]</f>
        <v>#REF!</v>
      </c>
      <c r="AO801" s="147" t="e" cm="1">
        <f t="array" aca="1" ref="AO801" ca="1">_xlfn.XLOOKUP(Contrato5[[#This Row],[DOCUMENTO ]],[2]!PERSONAL_ACTIVO_2024[[#All],[Documento identidad]],[2]!PERSONAL_ACTIVO_2024[[#All],[Mail ]],0,0)</f>
        <v>#NAME?</v>
      </c>
      <c r="AP801" s="147" t="e" cm="1">
        <f t="array" aca="1" ref="AP801" ca="1">_xlfn.XLOOKUP(Contrato5[[#This Row],[DOCUMENTO]],[2]!PERSONAL_ACTIVO_2024[[#All],[Documento identidad]],[2]!PERSONAL_ACTIVO_2024[[#All],[Mail ]],0,0)</f>
        <v>#NAME?</v>
      </c>
      <c r="AQ801" s="439" cm="1">
        <f t="array" aca="1" ref="AQ801" ca="1">IF(ISBLANK(Contrato5[[#This Row],[DEPENDENCIA ]]),0,IFERROR(_xlfn.XLOOKUP(Contrato5[[#This Row],[DEPENDENCIA ]],[2]!PERSONAL_ACTIVO_2024[[#All],[Dependencia]],[2]!PERSONAL_ACTIVO_2024[[#All],[Mail ]],0,0),0))</f>
        <v>0</v>
      </c>
    </row>
    <row r="802" spans="1:43" ht="75" customHeight="1">
      <c r="A802" s="147">
        <v>791</v>
      </c>
      <c r="B802" s="124">
        <v>668</v>
      </c>
      <c r="C802" s="162" t="s">
        <v>1387</v>
      </c>
      <c r="D802" s="227" t="s">
        <v>493</v>
      </c>
      <c r="E802" s="172" t="s">
        <v>151</v>
      </c>
      <c r="F802" s="227" t="s">
        <v>494</v>
      </c>
      <c r="G802" s="281" t="s">
        <v>3108</v>
      </c>
      <c r="H802" s="436">
        <v>901853254</v>
      </c>
      <c r="I802" s="273" t="s">
        <v>42</v>
      </c>
      <c r="J802" s="437">
        <v>29890843</v>
      </c>
      <c r="K802" s="131" t="s">
        <v>42</v>
      </c>
      <c r="L802" s="438" t="s">
        <v>3019</v>
      </c>
      <c r="M802" s="194" t="s">
        <v>498</v>
      </c>
      <c r="N802" s="177" t="e" cm="1">
        <f t="array" aca="1" ref="N802" ca="1">_xlfn.XLOOKUP(Contrato5[[#This Row],[SUPERVISOR TITULAR]],[2]!PERSONAL_ACTIVO_2024[[#All],[Nombre completo]],[2]!PERSONAL_ACTIVO_2024[[#All],[Documento identidad]],"",0)</f>
        <v>#NAME?</v>
      </c>
      <c r="O802" s="194" t="s">
        <v>2486</v>
      </c>
      <c r="P802" s="196" t="e" cm="1">
        <f t="array" aca="1" ref="P802" ca="1">_xlfn.XLOOKUP(Contrato5[[#This Row],[SUPERVISOR SUPLENTE ]],[2]!PERSONAL_ACTIVO_2024[[#All],[Nombre completo]],[2]!PERSONAL_ACTIVO_2024[[#All],[Documento identidad]],"",0)</f>
        <v>#NAME?</v>
      </c>
      <c r="Q802" s="170">
        <v>833</v>
      </c>
      <c r="R802" s="137" t="e" cm="1">
        <f t="array" aca="1" ref="R802" ca="1">_xlfn.XLOOKUP(Contrato5[[#This Row],[CDP]],[2]!DISPONIBILIDADES_2024[[#All],[consecutivo]],[2]!DISPONIBILIDADES_2024[[#All],[fecha_aprobacion]],"",0)</f>
        <v>#NAME?</v>
      </c>
      <c r="S802" s="138" t="e">
        <f>SUMIF([2]!DISPONIBILIDADES_2024[[#All],[consecutivo]],Contrato5[[#This Row],[CDP]],[2]!DISPONIBILIDADES_2024[[#All],[valor_total_rubro]])</f>
        <v>#REF!</v>
      </c>
      <c r="T802" s="139" t="e" cm="1">
        <f t="array" aca="1" ref="T802" ca="1">_xlfn.XLOOKUP(Contrato5[[#This Row],[CONTRATO]]&amp;Contrato5[[#This Row],[CDP]],[2]!Corr_Contr_CDP[[#All],[CONTRATO-CDP]],[2]!Corr_Contr_CDP[[#All],[CRP]],_xlfn.XLOOKUP(Contrato5[[#This Row],[CDP]],[2]!COMPROMISOS_2024[[#All],[disponibilidad]],[2]!COMPROMISOS_2024[[#All],[consecutivo]],"",0),0)</f>
        <v>#NAME?</v>
      </c>
      <c r="U802" s="140" t="e" cm="1">
        <f t="array" aca="1" ref="U802" ca="1">+_xlfn.XLOOKUP(Contrato5[[#This Row],[RCP]],[2]!COMPROMISOS_2024[[#All],[consecutivo]],[2]!COMPROMISOS_2024[[#All],[fecha_aprobacion]],"",0)</f>
        <v>#NAME?</v>
      </c>
      <c r="V802" s="141" t="e">
        <f ca="1">SUMIF([2]!COMPROMISOS_2024[[#All],[consecutivo]],Contrato5[[#This Row],[RCP]],[2]!COMPROMISOS_2024[[#All],[valor_total]])</f>
        <v>#REF!</v>
      </c>
      <c r="W802" s="160">
        <v>45560</v>
      </c>
      <c r="X802" s="161">
        <v>45561</v>
      </c>
      <c r="Y802" s="143">
        <v>45561</v>
      </c>
      <c r="Z802" s="262">
        <v>45657</v>
      </c>
      <c r="AA802" s="183" t="s">
        <v>3109</v>
      </c>
      <c r="AB802" s="172" t="s">
        <v>3095</v>
      </c>
      <c r="AC802" s="172"/>
      <c r="AD802" s="425">
        <v>202000005408</v>
      </c>
      <c r="AE802" s="147" t="s">
        <v>523</v>
      </c>
      <c r="AF802" s="148" t="str">
        <f>TEXT(LEFT(Contrato5[[#This Row],[CONTRATO]],3),"0")</f>
        <v>668</v>
      </c>
      <c r="AG802" s="148" t="str">
        <f>IF(LEN(Contrato5[[#This Row],[Contrato2]])=3,Contrato5[[#This Row],[Contrato2]],TEXT(Contrato5[[#This Row],[Contrato2]],"000"))</f>
        <v>668</v>
      </c>
      <c r="AH802" s="149">
        <f ca="1">IFERROR(_xlfn.DAYS(Contrato5[[#This Row],[Fecha Proyectada liquidación]],TODAY())/30,"")</f>
        <v>0.6333333333333333</v>
      </c>
      <c r="AI802" s="150">
        <f>+Contrato5[[#This Row],[FECHA TERMINACIÓN ]]+120</f>
        <v>45777</v>
      </c>
      <c r="AJ802" s="147"/>
      <c r="AK802" s="152" t="str">
        <f ca="1">IF(Contrato5[[#This Row],[FECHA TERMINACIÓN ]]&lt;TODAY(), "Terminado",IF(ISNUMBER(Contrato5[[#This Row],[Fecha Real de liquiidación ]]),"Liquidado",IF(Contrato5[[#This Row],[FECHA TERMINACIÓN ]]&gt;=TODAY(),"En ejecución","")))</f>
        <v>Terminado</v>
      </c>
      <c r="AL802" s="153" t="e">
        <f ca="1">SUMIF([2]!COMPROMISOS_2024[[#All],[consecutivo]],Contrato5[[#This Row],[RCP]],[2]!COMPROMISOS_2024[[#All],[Total pagado]])</f>
        <v>#REF!</v>
      </c>
      <c r="AM802" s="154">
        <f ca="1">IFERROR(Contrato5[[#This Row],[Pagos]]/Contrato5[[#This Row],[VALOR CONTRATO]],0)</f>
        <v>0</v>
      </c>
      <c r="AN802" s="198" t="e">
        <f ca="1">+Contrato5[[#This Row],[VALOR CONTRATO]]-Contrato5[[#This Row],[Pagos]]</f>
        <v>#REF!</v>
      </c>
      <c r="AO802" s="147" t="e" cm="1">
        <f t="array" aca="1" ref="AO802" ca="1">_xlfn.XLOOKUP(Contrato5[[#This Row],[DOCUMENTO ]],[2]!PERSONAL_ACTIVO_2024[[#All],[Documento identidad]],[2]!PERSONAL_ACTIVO_2024[[#All],[Mail ]],0,0)</f>
        <v>#NAME?</v>
      </c>
      <c r="AP802" s="147" t="e" cm="1">
        <f t="array" aca="1" ref="AP802" ca="1">_xlfn.XLOOKUP(Contrato5[[#This Row],[DOCUMENTO]],[2]!PERSONAL_ACTIVO_2024[[#All],[Documento identidad]],[2]!PERSONAL_ACTIVO_2024[[#All],[Mail ]],0,0)</f>
        <v>#NAME?</v>
      </c>
      <c r="AQ802" s="439" cm="1">
        <f t="array" aca="1" ref="AQ802" ca="1">IF(ISBLANK(Contrato5[[#This Row],[DEPENDENCIA ]]),0,IFERROR(_xlfn.XLOOKUP(Contrato5[[#This Row],[DEPENDENCIA ]],[2]!PERSONAL_ACTIVO_2024[[#All],[Dependencia]],[2]!PERSONAL_ACTIVO_2024[[#All],[Mail ]],0,0),0))</f>
        <v>0</v>
      </c>
    </row>
    <row r="803" spans="1:43" ht="47.25" customHeight="1">
      <c r="A803" s="147">
        <v>1152</v>
      </c>
      <c r="B803" s="124">
        <v>669</v>
      </c>
      <c r="C803" s="162" t="s">
        <v>2082</v>
      </c>
      <c r="D803" s="227" t="s">
        <v>583</v>
      </c>
      <c r="E803" s="440" t="s">
        <v>898</v>
      </c>
      <c r="F803" s="227" t="s">
        <v>1376</v>
      </c>
      <c r="G803" s="281" t="s">
        <v>3110</v>
      </c>
      <c r="H803" s="436">
        <v>1036948477</v>
      </c>
      <c r="I803" s="273">
        <v>4908936</v>
      </c>
      <c r="J803" s="437">
        <v>13908652</v>
      </c>
      <c r="K803" s="131" t="s">
        <v>42</v>
      </c>
      <c r="L803" s="438" t="s">
        <v>2548</v>
      </c>
      <c r="M803" s="194" t="s">
        <v>589</v>
      </c>
      <c r="N803" s="177" t="e" cm="1">
        <f t="array" aca="1" ref="N803" ca="1">_xlfn.XLOOKUP(Contrato5[[#This Row],[SUPERVISOR TITULAR]],[2]!PERSONAL_ACTIVO_2024[[#All],[Nombre completo]],[2]!PERSONAL_ACTIVO_2024[[#All],[Documento identidad]],"",0)</f>
        <v>#NAME?</v>
      </c>
      <c r="O803" s="194" t="s">
        <v>586</v>
      </c>
      <c r="P803" s="196" t="e" cm="1">
        <f t="array" aca="1" ref="P803" ca="1">_xlfn.XLOOKUP(Contrato5[[#This Row],[SUPERVISOR SUPLENTE ]],[2]!PERSONAL_ACTIVO_2024[[#All],[Nombre completo]],[2]!PERSONAL_ACTIVO_2024[[#All],[Documento identidad]],"",0)</f>
        <v>#NAME?</v>
      </c>
      <c r="Q803" s="170">
        <v>945</v>
      </c>
      <c r="R803" s="137" t="e" cm="1">
        <f t="array" aca="1" ref="R803" ca="1">_xlfn.XLOOKUP(Contrato5[[#This Row],[CDP]],[2]!DISPONIBILIDADES_2024[[#All],[consecutivo]],[2]!DISPONIBILIDADES_2024[[#All],[fecha_aprobacion]],"",0)</f>
        <v>#NAME?</v>
      </c>
      <c r="S803" s="138" t="e">
        <f>SUMIF([2]!DISPONIBILIDADES_2024[[#All],[consecutivo]],Contrato5[[#This Row],[CDP]],[2]!DISPONIBILIDADES_2024[[#All],[valor_total_rubro]])</f>
        <v>#REF!</v>
      </c>
      <c r="T803" s="139" t="e" cm="1">
        <f t="array" aca="1" ref="T803" ca="1">_xlfn.XLOOKUP(Contrato5[[#This Row],[CONTRATO]]&amp;Contrato5[[#This Row],[CDP]],[2]!Corr_Contr_CDP[[#All],[CONTRATO-CDP]],[2]!Corr_Contr_CDP[[#All],[CRP]],_xlfn.XLOOKUP(Contrato5[[#This Row],[CDP]],[2]!COMPROMISOS_2024[[#All],[disponibilidad]],[2]!COMPROMISOS_2024[[#All],[consecutivo]],"",0),0)</f>
        <v>#NAME?</v>
      </c>
      <c r="U803" s="140" t="e" cm="1">
        <f t="array" aca="1" ref="U803" ca="1">+_xlfn.XLOOKUP(Contrato5[[#This Row],[RCP]],[2]!COMPROMISOS_2024[[#All],[consecutivo]],[2]!COMPROMISOS_2024[[#All],[fecha_aprobacion]],"",0)</f>
        <v>#NAME?</v>
      </c>
      <c r="V803" s="141" t="e">
        <f ca="1">SUMIF([2]!COMPROMISOS_2024[[#All],[consecutivo]],Contrato5[[#This Row],[RCP]],[2]!COMPROMISOS_2024[[#All],[valor_total]])</f>
        <v>#REF!</v>
      </c>
      <c r="W803" s="160">
        <v>45559</v>
      </c>
      <c r="X803" s="160" t="s">
        <v>1045</v>
      </c>
      <c r="Y803" s="143">
        <v>45560</v>
      </c>
      <c r="Z803" s="262">
        <v>45643</v>
      </c>
      <c r="AA803" s="183" t="s">
        <v>3111</v>
      </c>
      <c r="AB803" s="172" t="s">
        <v>3112</v>
      </c>
      <c r="AC803" s="172"/>
      <c r="AD803" s="425">
        <v>202000005409</v>
      </c>
      <c r="AE803" s="147" t="s">
        <v>523</v>
      </c>
      <c r="AF803" s="148" t="str">
        <f>TEXT(LEFT(Contrato5[[#This Row],[CONTRATO]],3),"0")</f>
        <v>669</v>
      </c>
      <c r="AG803" s="148" t="str">
        <f>IF(LEN(Contrato5[[#This Row],[Contrato2]])=3,Contrato5[[#This Row],[Contrato2]],TEXT(Contrato5[[#This Row],[Contrato2]],"000"))</f>
        <v>669</v>
      </c>
      <c r="AH803" s="149">
        <f ca="1">IFERROR(_xlfn.DAYS(Contrato5[[#This Row],[Fecha Proyectada liquidación]],TODAY())/30,"")</f>
        <v>0.16666666666666666</v>
      </c>
      <c r="AI803" s="150">
        <f>+Contrato5[[#This Row],[FECHA TERMINACIÓN ]]+120</f>
        <v>45763</v>
      </c>
      <c r="AJ803" s="147"/>
      <c r="AK803" s="152" t="str">
        <f ca="1">IF(Contrato5[[#This Row],[FECHA TERMINACIÓN ]]&lt;TODAY(), "Terminado",IF(ISNUMBER(Contrato5[[#This Row],[Fecha Real de liquiidación ]]),"Liquidado",IF(Contrato5[[#This Row],[FECHA TERMINACIÓN ]]&gt;=TODAY(),"En ejecución","")))</f>
        <v>Terminado</v>
      </c>
      <c r="AL803" s="153" t="e">
        <f ca="1">SUMIF([2]!COMPROMISOS_2024[[#All],[consecutivo]],Contrato5[[#This Row],[RCP]],[2]!COMPROMISOS_2024[[#All],[Total pagado]])</f>
        <v>#REF!</v>
      </c>
      <c r="AM803" s="154">
        <f ca="1">IFERROR(Contrato5[[#This Row],[Pagos]]/Contrato5[[#This Row],[VALOR CONTRATO]],0)</f>
        <v>0</v>
      </c>
      <c r="AN803" s="198" t="e">
        <f ca="1">+Contrato5[[#This Row],[VALOR CONTRATO]]-Contrato5[[#This Row],[Pagos]]</f>
        <v>#REF!</v>
      </c>
      <c r="AO803" s="147" t="e" cm="1">
        <f t="array" aca="1" ref="AO803" ca="1">_xlfn.XLOOKUP(Contrato5[[#This Row],[DOCUMENTO ]],[2]!PERSONAL_ACTIVO_2024[[#All],[Documento identidad]],[2]!PERSONAL_ACTIVO_2024[[#All],[Mail ]],0,0)</f>
        <v>#NAME?</v>
      </c>
      <c r="AP803" s="147" t="e" cm="1">
        <f t="array" aca="1" ref="AP803" ca="1">_xlfn.XLOOKUP(Contrato5[[#This Row],[DOCUMENTO]],[2]!PERSONAL_ACTIVO_2024[[#All],[Documento identidad]],[2]!PERSONAL_ACTIVO_2024[[#All],[Mail ]],0,0)</f>
        <v>#NAME?</v>
      </c>
      <c r="AQ803" s="439" cm="1">
        <f t="array" aca="1" ref="AQ803" ca="1">IF(ISBLANK(Contrato5[[#This Row],[DEPENDENCIA ]]),0,IFERROR(_xlfn.XLOOKUP(Contrato5[[#This Row],[DEPENDENCIA ]],[2]!PERSONAL_ACTIVO_2024[[#All],[Dependencia]],[2]!PERSONAL_ACTIVO_2024[[#All],[Mail ]],0,0),0))</f>
        <v>0</v>
      </c>
    </row>
    <row r="804" spans="1:43" ht="150" customHeight="1">
      <c r="A804" s="147">
        <v>1092</v>
      </c>
      <c r="B804" s="124">
        <v>670</v>
      </c>
      <c r="C804" s="162" t="s">
        <v>2224</v>
      </c>
      <c r="D804" s="227" t="s">
        <v>583</v>
      </c>
      <c r="E804" s="440" t="s">
        <v>898</v>
      </c>
      <c r="F804" s="227" t="s">
        <v>1767</v>
      </c>
      <c r="G804" s="281" t="s">
        <v>3113</v>
      </c>
      <c r="H804" s="436">
        <v>800153894</v>
      </c>
      <c r="I804" s="273" t="s">
        <v>42</v>
      </c>
      <c r="J804" s="437">
        <v>40000000</v>
      </c>
      <c r="K804" s="413" t="s">
        <v>42</v>
      </c>
      <c r="L804" s="438" t="s">
        <v>2548</v>
      </c>
      <c r="M804" s="194" t="s">
        <v>589</v>
      </c>
      <c r="N804" s="177" t="e" cm="1">
        <f t="array" aca="1" ref="N804" ca="1">_xlfn.XLOOKUP(Contrato5[[#This Row],[SUPERVISOR TITULAR]],[2]!PERSONAL_ACTIVO_2024[[#All],[Nombre completo]],[2]!PERSONAL_ACTIVO_2024[[#All],[Documento identidad]],"",0)</f>
        <v>#NAME?</v>
      </c>
      <c r="O804" s="194" t="s">
        <v>586</v>
      </c>
      <c r="P804" s="196" t="e" cm="1">
        <f t="array" aca="1" ref="P804" ca="1">_xlfn.XLOOKUP(Contrato5[[#This Row],[SUPERVISOR SUPLENTE ]],[2]!PERSONAL_ACTIVO_2024[[#All],[Nombre completo]],[2]!PERSONAL_ACTIVO_2024[[#All],[Documento identidad]],"",0)</f>
        <v>#NAME?</v>
      </c>
      <c r="Q804" s="170">
        <v>878</v>
      </c>
      <c r="R804" s="137" t="e" cm="1">
        <f t="array" aca="1" ref="R804" ca="1">_xlfn.XLOOKUP(Contrato5[[#This Row],[CDP]],[2]!DISPONIBILIDADES_2024[[#All],[consecutivo]],[2]!DISPONIBILIDADES_2024[[#All],[fecha_aprobacion]],"",0)</f>
        <v>#NAME?</v>
      </c>
      <c r="S804" s="138" t="e">
        <f>SUMIF([2]!DISPONIBILIDADES_2024[[#All],[consecutivo]],Contrato5[[#This Row],[CDP]],[2]!DISPONIBILIDADES_2024[[#All],[valor_total_rubro]])</f>
        <v>#REF!</v>
      </c>
      <c r="T804" s="139" t="e" cm="1">
        <f t="array" aca="1" ref="T804" ca="1">_xlfn.XLOOKUP(Contrato5[[#This Row],[CONTRATO]]&amp;Contrato5[[#This Row],[CDP]],[2]!Corr_Contr_CDP[[#All],[CONTRATO-CDP]],[2]!Corr_Contr_CDP[[#All],[CRP]],_xlfn.XLOOKUP(Contrato5[[#This Row],[CDP]],[2]!COMPROMISOS_2024[[#All],[disponibilidad]],[2]!COMPROMISOS_2024[[#All],[consecutivo]],"",0),0)</f>
        <v>#NAME?</v>
      </c>
      <c r="U804" s="140" t="e" cm="1">
        <f t="array" aca="1" ref="U804" ca="1">+_xlfn.XLOOKUP(Contrato5[[#This Row],[RCP]],[2]!COMPROMISOS_2024[[#All],[consecutivo]],[2]!COMPROMISOS_2024[[#All],[fecha_aprobacion]],"",0)</f>
        <v>#NAME?</v>
      </c>
      <c r="V804" s="141" t="e">
        <f ca="1">SUMIF([2]!COMPROMISOS_2024[[#All],[consecutivo]],Contrato5[[#This Row],[RCP]],[2]!COMPROMISOS_2024[[#All],[valor_total]])</f>
        <v>#REF!</v>
      </c>
      <c r="W804" s="160">
        <v>45567</v>
      </c>
      <c r="X804" s="161">
        <v>45568</v>
      </c>
      <c r="Y804" s="143">
        <v>45568</v>
      </c>
      <c r="Z804" s="262">
        <v>45656</v>
      </c>
      <c r="AA804" s="171" t="s">
        <v>3114</v>
      </c>
      <c r="AB804" s="172" t="s">
        <v>3115</v>
      </c>
      <c r="AC804" s="172"/>
      <c r="AD804" s="425">
        <v>202000005563</v>
      </c>
      <c r="AE804" s="147" t="s">
        <v>523</v>
      </c>
      <c r="AF804" s="148" t="str">
        <f>TEXT(LEFT(Contrato5[[#This Row],[CONTRATO]],3),"0")</f>
        <v>670</v>
      </c>
      <c r="AG804" s="148" t="str">
        <f>IF(LEN(Contrato5[[#This Row],[Contrato2]])=3,Contrato5[[#This Row],[Contrato2]],TEXT(Contrato5[[#This Row],[Contrato2]],"000"))</f>
        <v>670</v>
      </c>
      <c r="AH804" s="149">
        <f ca="1">IFERROR(_xlfn.DAYS(Contrato5[[#This Row],[Fecha Proyectada liquidación]],TODAY())/30,"")</f>
        <v>0.6</v>
      </c>
      <c r="AI804" s="150">
        <f>+Contrato5[[#This Row],[FECHA TERMINACIÓN ]]+120</f>
        <v>45776</v>
      </c>
      <c r="AJ804" s="147"/>
      <c r="AK804" s="152" t="str">
        <f ca="1">IF(Contrato5[[#This Row],[FECHA TERMINACIÓN ]]&lt;TODAY(), "Terminado",IF(ISNUMBER(Contrato5[[#This Row],[Fecha Real de liquiidación ]]),"Liquidado",IF(Contrato5[[#This Row],[FECHA TERMINACIÓN ]]&gt;=TODAY(),"En ejecución","")))</f>
        <v>Terminado</v>
      </c>
      <c r="AL804" s="153" t="e">
        <f ca="1">SUMIF([2]!COMPROMISOS_2024[[#All],[consecutivo]],Contrato5[[#This Row],[RCP]],[2]!COMPROMISOS_2024[[#All],[Total pagado]])</f>
        <v>#REF!</v>
      </c>
      <c r="AM804" s="154">
        <f ca="1">IFERROR(Contrato5[[#This Row],[Pagos]]/Contrato5[[#This Row],[VALOR CONTRATO]],0)</f>
        <v>0</v>
      </c>
      <c r="AN804" s="198" t="e">
        <f ca="1">+Contrato5[[#This Row],[VALOR CONTRATO]]-Contrato5[[#This Row],[Pagos]]</f>
        <v>#REF!</v>
      </c>
      <c r="AO804" s="147" t="e" cm="1">
        <f t="array" aca="1" ref="AO804" ca="1">_xlfn.XLOOKUP(Contrato5[[#This Row],[DOCUMENTO ]],[2]!PERSONAL_ACTIVO_2024[[#All],[Documento identidad]],[2]!PERSONAL_ACTIVO_2024[[#All],[Mail ]],0,0)</f>
        <v>#NAME?</v>
      </c>
      <c r="AP804" s="147" t="e" cm="1">
        <f t="array" aca="1" ref="AP804" ca="1">_xlfn.XLOOKUP(Contrato5[[#This Row],[DOCUMENTO]],[2]!PERSONAL_ACTIVO_2024[[#All],[Documento identidad]],[2]!PERSONAL_ACTIVO_2024[[#All],[Mail ]],0,0)</f>
        <v>#NAME?</v>
      </c>
      <c r="AQ804" s="439" cm="1">
        <f t="array" aca="1" ref="AQ804" ca="1">IF(ISBLANK(Contrato5[[#This Row],[DEPENDENCIA ]]),0,IFERROR(_xlfn.XLOOKUP(Contrato5[[#This Row],[DEPENDENCIA ]],[2]!PERSONAL_ACTIVO_2024[[#All],[Dependencia]],[2]!PERSONAL_ACTIVO_2024[[#All],[Mail ]],0,0),0))</f>
        <v>0</v>
      </c>
    </row>
    <row r="805" spans="1:43" ht="75" customHeight="1">
      <c r="A805" s="147" t="s">
        <v>42</v>
      </c>
      <c r="B805" s="124">
        <v>671</v>
      </c>
      <c r="C805" s="162" t="s">
        <v>1898</v>
      </c>
      <c r="D805" s="227" t="s">
        <v>515</v>
      </c>
      <c r="E805" s="440" t="s">
        <v>2614</v>
      </c>
      <c r="F805" s="227" t="s">
        <v>2614</v>
      </c>
      <c r="G805" s="281" t="s">
        <v>2641</v>
      </c>
      <c r="H805" s="436">
        <v>890980040</v>
      </c>
      <c r="I805" s="309" t="s">
        <v>42</v>
      </c>
      <c r="J805" s="445">
        <v>85482482</v>
      </c>
      <c r="K805" s="281" t="s">
        <v>2720</v>
      </c>
      <c r="L805" s="438" t="s">
        <v>2548</v>
      </c>
      <c r="M805" s="194"/>
      <c r="N805" s="177"/>
      <c r="O805" s="194"/>
      <c r="P805" s="196"/>
      <c r="Q805" s="170"/>
      <c r="R805" s="137" t="e" cm="1">
        <f t="array" aca="1" ref="R805" ca="1">_xlfn.XLOOKUP(Contrato5[[#This Row],[CDP]],[2]!DISPONIBILIDADES_2024[[#All],[consecutivo]],[2]!DISPONIBILIDADES_2024[[#All],[fecha_aprobacion]],"",0)</f>
        <v>#NAME?</v>
      </c>
      <c r="S805" s="138" t="e">
        <f>SUMIF([2]!DISPONIBILIDADES_2024[[#All],[consecutivo]],Contrato5[[#This Row],[CDP]],[2]!DISPONIBILIDADES_2024[[#All],[valor_total_rubro]])</f>
        <v>#REF!</v>
      </c>
      <c r="T805" s="139" t="e" cm="1">
        <f t="array" aca="1" ref="T805" ca="1">_xlfn.XLOOKUP(Contrato5[[#This Row],[CONTRATO]]&amp;Contrato5[[#This Row],[CDP]],[2]!Corr_Contr_CDP[[#All],[CONTRATO-CDP]],[2]!Corr_Contr_CDP[[#All],[CRP]],_xlfn.XLOOKUP(Contrato5[[#This Row],[CDP]],[2]!COMPROMISOS_2024[[#All],[disponibilidad]],[2]!COMPROMISOS_2024[[#All],[consecutivo]],"",0),0)</f>
        <v>#NAME?</v>
      </c>
      <c r="U805" s="140" t="e" cm="1">
        <f t="array" aca="1" ref="U805" ca="1">+_xlfn.XLOOKUP(Contrato5[[#This Row],[RCP]],[2]!COMPROMISOS_2024[[#All],[consecutivo]],[2]!COMPROMISOS_2024[[#All],[fecha_aprobacion]],"",0)</f>
        <v>#NAME?</v>
      </c>
      <c r="V805" s="141" t="e">
        <f ca="1">SUMIF([2]!COMPROMISOS_2024[[#All],[consecutivo]],Contrato5[[#This Row],[RCP]],[2]!COMPROMISOS_2024[[#All],[valor_total]])</f>
        <v>#REF!</v>
      </c>
      <c r="W805" s="160"/>
      <c r="X805" s="161"/>
      <c r="Y805" s="143" t="e">
        <f ca="1">+LEFT(_xlfn.XLOOKUP(Contrato5[[#This Row],[CONTRATO3DIG]],[2]SECOP_II!AE:AE,[2]SECOP_II!F:F,"",0),10)</f>
        <v>#NAME?</v>
      </c>
      <c r="Z805" s="262">
        <v>45657</v>
      </c>
      <c r="AA805" s="171" t="s">
        <v>3116</v>
      </c>
      <c r="AB805" s="172" t="s">
        <v>3117</v>
      </c>
      <c r="AC805" s="172"/>
      <c r="AD805" s="288"/>
      <c r="AE805" s="147" t="s">
        <v>95</v>
      </c>
      <c r="AF805" s="148" t="str">
        <f>TEXT(LEFT(Contrato5[[#This Row],[CONTRATO]],3),"0")</f>
        <v>671</v>
      </c>
      <c r="AG805" s="148" t="str">
        <f>IF(LEN(Contrato5[[#This Row],[Contrato2]])=3,Contrato5[[#This Row],[Contrato2]],TEXT(Contrato5[[#This Row],[Contrato2]],"000"))</f>
        <v>671</v>
      </c>
      <c r="AH805" s="149">
        <f ca="1">IFERROR(_xlfn.DAYS(Contrato5[[#This Row],[Fecha Proyectada liquidación]],TODAY())/30,"")</f>
        <v>0.6333333333333333</v>
      </c>
      <c r="AI805" s="150">
        <f>+Contrato5[[#This Row],[FECHA TERMINACIÓN ]]+120</f>
        <v>45777</v>
      </c>
      <c r="AJ805" s="147"/>
      <c r="AK805" s="152" t="str">
        <f ca="1">IF(Contrato5[[#This Row],[FECHA TERMINACIÓN ]]&lt;TODAY(), "Terminado",IF(ISNUMBER(Contrato5[[#This Row],[Fecha Real de liquiidación ]]),"Liquidado",IF(Contrato5[[#This Row],[FECHA TERMINACIÓN ]]&gt;=TODAY(),"En ejecución","")))</f>
        <v>Terminado</v>
      </c>
      <c r="AL805" s="153" t="e">
        <f ca="1">SUMIF([2]!COMPROMISOS_2024[[#All],[consecutivo]],Contrato5[[#This Row],[RCP]],[2]!COMPROMISOS_2024[[#All],[Total pagado]])</f>
        <v>#REF!</v>
      </c>
      <c r="AM805" s="154">
        <f ca="1">IFERROR(Contrato5[[#This Row],[Pagos]]/Contrato5[[#This Row],[VALOR CONTRATO]],0)</f>
        <v>0</v>
      </c>
      <c r="AN805" s="198" t="e">
        <f ca="1">+Contrato5[[#This Row],[VALOR CONTRATO]]-Contrato5[[#This Row],[Pagos]]</f>
        <v>#REF!</v>
      </c>
      <c r="AO805" s="147" t="e" cm="1">
        <f t="array" aca="1" ref="AO805" ca="1">_xlfn.XLOOKUP(Contrato5[[#This Row],[DOCUMENTO ]],[2]!PERSONAL_ACTIVO_2024[[#All],[Documento identidad]],[2]!PERSONAL_ACTIVO_2024[[#All],[Mail ]],0,0)</f>
        <v>#NAME?</v>
      </c>
      <c r="AP805" s="147" t="e" cm="1">
        <f t="array" aca="1" ref="AP805" ca="1">_xlfn.XLOOKUP(Contrato5[[#This Row],[DOCUMENTO]],[2]!PERSONAL_ACTIVO_2024[[#All],[Documento identidad]],[2]!PERSONAL_ACTIVO_2024[[#All],[Mail ]],0,0)</f>
        <v>#NAME?</v>
      </c>
      <c r="AQ805" s="439" cm="1">
        <f t="array" aca="1" ref="AQ805" ca="1">IF(ISBLANK(Contrato5[[#This Row],[DEPENDENCIA ]]),0,IFERROR(_xlfn.XLOOKUP(Contrato5[[#This Row],[DEPENDENCIA ]],[2]!PERSONAL_ACTIVO_2024[[#All],[Dependencia]],[2]!PERSONAL_ACTIVO_2024[[#All],[Mail ]],0,0),0))</f>
        <v>0</v>
      </c>
    </row>
    <row r="806" spans="1:43" ht="60" customHeight="1">
      <c r="A806" s="147">
        <v>1121</v>
      </c>
      <c r="B806" s="124">
        <v>672</v>
      </c>
      <c r="C806" s="162" t="s">
        <v>1407</v>
      </c>
      <c r="D806" s="227" t="s">
        <v>493</v>
      </c>
      <c r="E806" s="172" t="s">
        <v>94</v>
      </c>
      <c r="F806" s="227" t="s">
        <v>89</v>
      </c>
      <c r="G806" s="281" t="s">
        <v>3118</v>
      </c>
      <c r="H806" s="436">
        <v>860012336</v>
      </c>
      <c r="I806" s="273" t="s">
        <v>42</v>
      </c>
      <c r="J806" s="437">
        <v>28469560</v>
      </c>
      <c r="K806" s="413" t="s">
        <v>42</v>
      </c>
      <c r="L806" s="438" t="s">
        <v>2548</v>
      </c>
      <c r="M806" s="194" t="s">
        <v>539</v>
      </c>
      <c r="N806" s="177" t="e" cm="1">
        <f t="array" aca="1" ref="N806" ca="1">_xlfn.XLOOKUP(Contrato5[[#This Row],[SUPERVISOR TITULAR]],[2]!PERSONAL_ACTIVO_2024[[#All],[Nombre completo]],[2]!PERSONAL_ACTIVO_2024[[#All],[Documento identidad]],"",0)</f>
        <v>#NAME?</v>
      </c>
      <c r="O806" s="194" t="s">
        <v>538</v>
      </c>
      <c r="P806" s="196" t="e" cm="1">
        <f t="array" aca="1" ref="P806" ca="1">_xlfn.XLOOKUP(Contrato5[[#This Row],[SUPERVISOR SUPLENTE ]],[2]!PERSONAL_ACTIVO_2024[[#All],[Nombre completo]],[2]!PERSONAL_ACTIVO_2024[[#All],[Documento identidad]],"",0)</f>
        <v>#NAME?</v>
      </c>
      <c r="Q806" s="170">
        <v>912</v>
      </c>
      <c r="R806" s="137" t="e" cm="1">
        <f t="array" aca="1" ref="R806" ca="1">_xlfn.XLOOKUP(Contrato5[[#This Row],[CDP]],[2]!DISPONIBILIDADES_2024[[#All],[consecutivo]],[2]!DISPONIBILIDADES_2024[[#All],[fecha_aprobacion]],"",0)</f>
        <v>#NAME?</v>
      </c>
      <c r="S806" s="138" t="e">
        <f>SUMIF([2]!DISPONIBILIDADES_2024[[#All],[consecutivo]],Contrato5[[#This Row],[CDP]],[2]!DISPONIBILIDADES_2024[[#All],[valor_total_rubro]])</f>
        <v>#REF!</v>
      </c>
      <c r="T806" s="139" t="e" cm="1">
        <f t="array" aca="1" ref="T806" ca="1">_xlfn.XLOOKUP(Contrato5[[#This Row],[CONTRATO]]&amp;Contrato5[[#This Row],[CDP]],[2]!Corr_Contr_CDP[[#All],[CONTRATO-CDP]],[2]!Corr_Contr_CDP[[#All],[CRP]],_xlfn.XLOOKUP(Contrato5[[#This Row],[CDP]],[2]!COMPROMISOS_2024[[#All],[disponibilidad]],[2]!COMPROMISOS_2024[[#All],[consecutivo]],"",0),0)</f>
        <v>#NAME?</v>
      </c>
      <c r="U806" s="140" t="e" cm="1">
        <f t="array" aca="1" ref="U806" ca="1">+_xlfn.XLOOKUP(Contrato5[[#This Row],[RCP]],[2]!COMPROMISOS_2024[[#All],[consecutivo]],[2]!COMPROMISOS_2024[[#All],[fecha_aprobacion]],"",0)</f>
        <v>#NAME?</v>
      </c>
      <c r="V806" s="141" t="e">
        <f ca="1">SUMIF([2]!COMPROMISOS_2024[[#All],[consecutivo]],Contrato5[[#This Row],[RCP]],[2]!COMPROMISOS_2024[[#All],[valor_total]])</f>
        <v>#REF!</v>
      </c>
      <c r="W806" s="160">
        <v>45567</v>
      </c>
      <c r="X806" s="161">
        <v>45568</v>
      </c>
      <c r="Y806" s="143">
        <v>45572</v>
      </c>
      <c r="Z806" s="262">
        <v>45656</v>
      </c>
      <c r="AA806" s="171" t="s">
        <v>3119</v>
      </c>
      <c r="AB806" s="172" t="s">
        <v>529</v>
      </c>
      <c r="AC806" s="172"/>
      <c r="AD806" s="211">
        <v>202000005564</v>
      </c>
      <c r="AE806" s="147" t="s">
        <v>523</v>
      </c>
      <c r="AF806" s="148" t="str">
        <f>TEXT(LEFT(Contrato5[[#This Row],[CONTRATO]],3),"0")</f>
        <v>672</v>
      </c>
      <c r="AG806" s="148" t="str">
        <f>IF(LEN(Contrato5[[#This Row],[Contrato2]])=3,Contrato5[[#This Row],[Contrato2]],TEXT(Contrato5[[#This Row],[Contrato2]],"000"))</f>
        <v>672</v>
      </c>
      <c r="AH806" s="149">
        <f ca="1">IFERROR(_xlfn.DAYS(Contrato5[[#This Row],[Fecha Proyectada liquidación]],TODAY())/30,"")</f>
        <v>0.6</v>
      </c>
      <c r="AI806" s="150">
        <f>+Contrato5[[#This Row],[FECHA TERMINACIÓN ]]+120</f>
        <v>45776</v>
      </c>
      <c r="AJ806" s="147"/>
      <c r="AK806" s="152" t="str">
        <f ca="1">IF(Contrato5[[#This Row],[FECHA TERMINACIÓN ]]&lt;TODAY(), "Terminado",IF(ISNUMBER(Contrato5[[#This Row],[Fecha Real de liquiidación ]]),"Liquidado",IF(Contrato5[[#This Row],[FECHA TERMINACIÓN ]]&gt;=TODAY(),"En ejecución","")))</f>
        <v>Terminado</v>
      </c>
      <c r="AL806" s="153" t="e">
        <f ca="1">SUMIF([2]!COMPROMISOS_2024[[#All],[consecutivo]],Contrato5[[#This Row],[RCP]],[2]!COMPROMISOS_2024[[#All],[Total pagado]])</f>
        <v>#REF!</v>
      </c>
      <c r="AM806" s="154">
        <f ca="1">IFERROR(Contrato5[[#This Row],[Pagos]]/Contrato5[[#This Row],[VALOR CONTRATO]],0)</f>
        <v>0</v>
      </c>
      <c r="AN806" s="198" t="e">
        <f ca="1">+Contrato5[[#This Row],[VALOR CONTRATO]]-Contrato5[[#This Row],[Pagos]]</f>
        <v>#REF!</v>
      </c>
      <c r="AO806" s="147" t="e" cm="1">
        <f t="array" aca="1" ref="AO806" ca="1">_xlfn.XLOOKUP(Contrato5[[#This Row],[DOCUMENTO ]],[2]!PERSONAL_ACTIVO_2024[[#All],[Documento identidad]],[2]!PERSONAL_ACTIVO_2024[[#All],[Mail ]],0,0)</f>
        <v>#NAME?</v>
      </c>
      <c r="AP806" s="147" t="e" cm="1">
        <f t="array" aca="1" ref="AP806" ca="1">_xlfn.XLOOKUP(Contrato5[[#This Row],[DOCUMENTO]],[2]!PERSONAL_ACTIVO_2024[[#All],[Documento identidad]],[2]!PERSONAL_ACTIVO_2024[[#All],[Mail ]],0,0)</f>
        <v>#NAME?</v>
      </c>
      <c r="AQ806" s="439" cm="1">
        <f t="array" aca="1" ref="AQ806" ca="1">IF(ISBLANK(Contrato5[[#This Row],[DEPENDENCIA ]]),0,IFERROR(_xlfn.XLOOKUP(Contrato5[[#This Row],[DEPENDENCIA ]],[2]!PERSONAL_ACTIVO_2024[[#All],[Dependencia]],[2]!PERSONAL_ACTIVO_2024[[#All],[Mail ]],0,0),0))</f>
        <v>0</v>
      </c>
    </row>
    <row r="807" spans="1:43" ht="63" customHeight="1">
      <c r="A807" s="147">
        <v>1122</v>
      </c>
      <c r="B807" s="124">
        <v>673</v>
      </c>
      <c r="C807" s="162" t="s">
        <v>2068</v>
      </c>
      <c r="D807" s="227" t="s">
        <v>493</v>
      </c>
      <c r="E807" s="227" t="s">
        <v>94</v>
      </c>
      <c r="F807" s="227" t="s">
        <v>494</v>
      </c>
      <c r="G807" s="281" t="s">
        <v>3014</v>
      </c>
      <c r="H807" s="436">
        <v>900969726</v>
      </c>
      <c r="I807" s="273" t="s">
        <v>42</v>
      </c>
      <c r="J807" s="445">
        <v>847000000</v>
      </c>
      <c r="K807" s="413" t="s">
        <v>42</v>
      </c>
      <c r="L807" s="438" t="s">
        <v>2548</v>
      </c>
      <c r="M807" s="194" t="s">
        <v>568</v>
      </c>
      <c r="N807" s="177" t="e" cm="1">
        <f t="array" aca="1" ref="N807" ca="1">_xlfn.XLOOKUP(Contrato5[[#This Row],[SUPERVISOR TITULAR]],[2]!PERSONAL_ACTIVO_2024[[#All],[Nombre completo]],[2]!PERSONAL_ACTIVO_2024[[#All],[Documento identidad]],"",0)</f>
        <v>#NAME?</v>
      </c>
      <c r="O807" s="194" t="s">
        <v>531</v>
      </c>
      <c r="P807" s="196" t="e" cm="1">
        <f t="array" aca="1" ref="P807" ca="1">_xlfn.XLOOKUP(Contrato5[[#This Row],[SUPERVISOR SUPLENTE ]],[2]!PERSONAL_ACTIVO_2024[[#All],[Nombre completo]],[2]!PERSONAL_ACTIVO_2024[[#All],[Documento identidad]],"",0)</f>
        <v>#NAME?</v>
      </c>
      <c r="Q807" s="170">
        <v>933</v>
      </c>
      <c r="R807" s="137" t="e" cm="1">
        <f t="array" aca="1" ref="R807" ca="1">_xlfn.XLOOKUP(Contrato5[[#This Row],[CDP]],[2]!DISPONIBILIDADES_2024[[#All],[consecutivo]],[2]!DISPONIBILIDADES_2024[[#All],[fecha_aprobacion]],"",0)</f>
        <v>#NAME?</v>
      </c>
      <c r="S807" s="138" t="e">
        <f>SUMIF([2]!DISPONIBILIDADES_2024[[#All],[consecutivo]],Contrato5[[#This Row],[CDP]],[2]!DISPONIBILIDADES_2024[[#All],[valor_total_rubro]])</f>
        <v>#REF!</v>
      </c>
      <c r="T807" s="139" t="e" cm="1">
        <f t="array" aca="1" ref="T807" ca="1">_xlfn.XLOOKUP(Contrato5[[#This Row],[CONTRATO]]&amp;Contrato5[[#This Row],[CDP]],[2]!Corr_Contr_CDP[[#All],[CONTRATO-CDP]],[2]!Corr_Contr_CDP[[#All],[CRP]],_xlfn.XLOOKUP(Contrato5[[#This Row],[CDP]],[2]!COMPROMISOS_2024[[#All],[disponibilidad]],[2]!COMPROMISOS_2024[[#All],[consecutivo]],"",0),0)</f>
        <v>#NAME?</v>
      </c>
      <c r="U807" s="140" t="e" cm="1">
        <f t="array" aca="1" ref="U807" ca="1">+_xlfn.XLOOKUP(Contrato5[[#This Row],[RCP]],[2]!COMPROMISOS_2024[[#All],[consecutivo]],[2]!COMPROMISOS_2024[[#All],[fecha_aprobacion]],"",0)</f>
        <v>#NAME?</v>
      </c>
      <c r="V807" s="141" t="e">
        <f ca="1">SUMIF([2]!COMPROMISOS_2024[[#All],[consecutivo]],Contrato5[[#This Row],[RCP]],[2]!COMPROMISOS_2024[[#All],[valor_total]])</f>
        <v>#REF!</v>
      </c>
      <c r="W807" s="160">
        <v>45575</v>
      </c>
      <c r="X807" s="160" t="s">
        <v>1045</v>
      </c>
      <c r="Y807" s="143">
        <v>45576</v>
      </c>
      <c r="Z807" s="262">
        <v>45777</v>
      </c>
      <c r="AA807" s="171" t="s">
        <v>3120</v>
      </c>
      <c r="AB807" s="227" t="s">
        <v>3121</v>
      </c>
      <c r="AC807" s="227"/>
      <c r="AD807" s="211">
        <v>202000005565</v>
      </c>
      <c r="AE807" s="147" t="s">
        <v>523</v>
      </c>
      <c r="AF807" s="148" t="str">
        <f>TEXT(LEFT(Contrato5[[#This Row],[CONTRATO]],3),"0")</f>
        <v>673</v>
      </c>
      <c r="AG807" s="148" t="str">
        <f>IF(LEN(Contrato5[[#This Row],[Contrato2]])=3,Contrato5[[#This Row],[Contrato2]],TEXT(Contrato5[[#This Row],[Contrato2]],"000"))</f>
        <v>673</v>
      </c>
      <c r="AH807" s="149">
        <f ca="1">IFERROR(_xlfn.DAYS(Contrato5[[#This Row],[Fecha Proyectada liquidación]],TODAY())/30,"")</f>
        <v>4.6333333333333337</v>
      </c>
      <c r="AI807" s="150">
        <f>+Contrato5[[#This Row],[FECHA TERMINACIÓN ]]+120</f>
        <v>45897</v>
      </c>
      <c r="AJ807" s="147"/>
      <c r="AK807" s="152" t="str">
        <f ca="1">IF(Contrato5[[#This Row],[FECHA TERMINACIÓN ]]&lt;TODAY(), "Terminado",IF(ISNUMBER(Contrato5[[#This Row],[Fecha Real de liquiidación ]]),"Liquidado",IF(Contrato5[[#This Row],[FECHA TERMINACIÓN ]]&gt;=TODAY(),"En ejecución","")))</f>
        <v>En ejecución</v>
      </c>
      <c r="AL807" s="153" t="e">
        <f ca="1">SUMIF([2]!COMPROMISOS_2024[[#All],[consecutivo]],Contrato5[[#This Row],[RCP]],[2]!COMPROMISOS_2024[[#All],[Total pagado]])</f>
        <v>#REF!</v>
      </c>
      <c r="AM807" s="154">
        <f ca="1">IFERROR(Contrato5[[#This Row],[Pagos]]/Contrato5[[#This Row],[VALOR CONTRATO]],0)</f>
        <v>0</v>
      </c>
      <c r="AN807" s="198" t="e">
        <f ca="1">+Contrato5[[#This Row],[VALOR CONTRATO]]-Contrato5[[#This Row],[Pagos]]</f>
        <v>#REF!</v>
      </c>
      <c r="AO807" s="147" t="e" cm="1">
        <f t="array" aca="1" ref="AO807" ca="1">_xlfn.XLOOKUP(Contrato5[[#This Row],[DOCUMENTO ]],[2]!PERSONAL_ACTIVO_2024[[#All],[Documento identidad]],[2]!PERSONAL_ACTIVO_2024[[#All],[Mail ]],0,0)</f>
        <v>#NAME?</v>
      </c>
      <c r="AP807" s="147" t="e" cm="1">
        <f t="array" aca="1" ref="AP807" ca="1">_xlfn.XLOOKUP(Contrato5[[#This Row],[DOCUMENTO]],[2]!PERSONAL_ACTIVO_2024[[#All],[Documento identidad]],[2]!PERSONAL_ACTIVO_2024[[#All],[Mail ]],0,0)</f>
        <v>#NAME?</v>
      </c>
      <c r="AQ807" s="439" cm="1">
        <f t="array" aca="1" ref="AQ807" ca="1">IF(ISBLANK(Contrato5[[#This Row],[DEPENDENCIA ]]),0,IFERROR(_xlfn.XLOOKUP(Contrato5[[#This Row],[DEPENDENCIA ]],[2]!PERSONAL_ACTIVO_2024[[#All],[Dependencia]],[2]!PERSONAL_ACTIVO_2024[[#All],[Mail ]],0,0),0))</f>
        <v>0</v>
      </c>
    </row>
    <row r="808" spans="1:43" ht="60" customHeight="1">
      <c r="A808" s="147">
        <v>1117</v>
      </c>
      <c r="B808" s="124">
        <v>674</v>
      </c>
      <c r="C808" s="162" t="s">
        <v>2073</v>
      </c>
      <c r="D808" s="227" t="s">
        <v>493</v>
      </c>
      <c r="E808" s="227" t="s">
        <v>94</v>
      </c>
      <c r="F808" s="227" t="s">
        <v>1376</v>
      </c>
      <c r="G808" s="281" t="s">
        <v>914</v>
      </c>
      <c r="H808" s="436">
        <v>43625894</v>
      </c>
      <c r="I808" s="309">
        <v>7150000</v>
      </c>
      <c r="J808" s="445">
        <v>23356667</v>
      </c>
      <c r="K808" s="413" t="s">
        <v>42</v>
      </c>
      <c r="L808" s="438" t="s">
        <v>2548</v>
      </c>
      <c r="M808" s="194" t="s">
        <v>538</v>
      </c>
      <c r="N808" s="177" t="e" cm="1">
        <f t="array" aca="1" ref="N808" ca="1">_xlfn.XLOOKUP(Contrato5[[#This Row],[SUPERVISOR TITULAR]],[2]!PERSONAL_ACTIVO_2024[[#All],[Nombre completo]],[2]!PERSONAL_ACTIVO_2024[[#All],[Documento identidad]],"",0)</f>
        <v>#NAME?</v>
      </c>
      <c r="O808" s="194"/>
      <c r="P808" s="196" t="e" cm="1">
        <f t="array" aca="1" ref="P808" ca="1">_xlfn.XLOOKUP(Contrato5[[#This Row],[SUPERVISOR SUPLENTE ]],[2]!PERSONAL_ACTIVO_2024[[#All],[Nombre completo]],[2]!PERSONAL_ACTIVO_2024[[#All],[Documento identidad]],"",0)</f>
        <v>#NAME?</v>
      </c>
      <c r="Q808" s="170">
        <v>910</v>
      </c>
      <c r="R808" s="137" t="e" cm="1">
        <f t="array" aca="1" ref="R808" ca="1">_xlfn.XLOOKUP(Contrato5[[#This Row],[CDP]],[2]!DISPONIBILIDADES_2024[[#All],[consecutivo]],[2]!DISPONIBILIDADES_2024[[#All],[fecha_aprobacion]],"",0)</f>
        <v>#NAME?</v>
      </c>
      <c r="S808" s="138" t="e">
        <f>SUMIF([2]!DISPONIBILIDADES_2024[[#All],[consecutivo]],Contrato5[[#This Row],[CDP]],[2]!DISPONIBILIDADES_2024[[#All],[valor_total_rubro]])</f>
        <v>#REF!</v>
      </c>
      <c r="T808" s="139" t="e" cm="1">
        <f t="array" aca="1" ref="T808" ca="1">_xlfn.XLOOKUP(Contrato5[[#This Row],[CONTRATO]]&amp;Contrato5[[#This Row],[CDP]],[2]!Corr_Contr_CDP[[#All],[CONTRATO-CDP]],[2]!Corr_Contr_CDP[[#All],[CRP]],_xlfn.XLOOKUP(Contrato5[[#This Row],[CDP]],[2]!COMPROMISOS_2024[[#All],[disponibilidad]],[2]!COMPROMISOS_2024[[#All],[consecutivo]],"",0),0)</f>
        <v>#NAME?</v>
      </c>
      <c r="U808" s="140" t="e" cm="1">
        <f t="array" aca="1" ref="U808" ca="1">+_xlfn.XLOOKUP(Contrato5[[#This Row],[RCP]],[2]!COMPROMISOS_2024[[#All],[consecutivo]],[2]!COMPROMISOS_2024[[#All],[fecha_aprobacion]],"",0)</f>
        <v>#NAME?</v>
      </c>
      <c r="V808" s="141" t="e">
        <f ca="1">SUMIF([2]!COMPROMISOS_2024[[#All],[consecutivo]],Contrato5[[#This Row],[RCP]],[2]!COMPROMISOS_2024[[#All],[valor_total]])</f>
        <v>#REF!</v>
      </c>
      <c r="W808" s="160">
        <v>45566</v>
      </c>
      <c r="X808" s="160" t="s">
        <v>1045</v>
      </c>
      <c r="Y808" s="143">
        <v>45567</v>
      </c>
      <c r="Z808" s="262">
        <v>45656</v>
      </c>
      <c r="AA808" s="171" t="s">
        <v>3122</v>
      </c>
      <c r="AB808" s="227" t="s">
        <v>3115</v>
      </c>
      <c r="AC808" s="227"/>
      <c r="AD808" s="211">
        <v>202000005566</v>
      </c>
      <c r="AE808" s="147" t="s">
        <v>523</v>
      </c>
      <c r="AF808" s="148" t="str">
        <f>TEXT(LEFT(Contrato5[[#This Row],[CONTRATO]],3),"0")</f>
        <v>674</v>
      </c>
      <c r="AG808" s="148" t="str">
        <f>IF(LEN(Contrato5[[#This Row],[Contrato2]])=3,Contrato5[[#This Row],[Contrato2]],TEXT(Contrato5[[#This Row],[Contrato2]],"000"))</f>
        <v>674</v>
      </c>
      <c r="AH808" s="149">
        <f ca="1">IFERROR(_xlfn.DAYS(Contrato5[[#This Row],[Fecha Proyectada liquidación]],TODAY())/30,"")</f>
        <v>0.6</v>
      </c>
      <c r="AI808" s="150">
        <f>+Contrato5[[#This Row],[FECHA TERMINACIÓN ]]+120</f>
        <v>45776</v>
      </c>
      <c r="AJ808" s="147"/>
      <c r="AK808" s="152" t="str">
        <f ca="1">IF(Contrato5[[#This Row],[FECHA TERMINACIÓN ]]&lt;TODAY(), "Terminado",IF(ISNUMBER(Contrato5[[#This Row],[Fecha Real de liquiidación ]]),"Liquidado",IF(Contrato5[[#This Row],[FECHA TERMINACIÓN ]]&gt;=TODAY(),"En ejecución","")))</f>
        <v>Terminado</v>
      </c>
      <c r="AL808" s="153" t="e">
        <f ca="1">SUMIF([2]!COMPROMISOS_2024[[#All],[consecutivo]],Contrato5[[#This Row],[RCP]],[2]!COMPROMISOS_2024[[#All],[Total pagado]])</f>
        <v>#REF!</v>
      </c>
      <c r="AM808" s="154">
        <f ca="1">IFERROR(Contrato5[[#This Row],[Pagos]]/Contrato5[[#This Row],[VALOR CONTRATO]],0)</f>
        <v>0</v>
      </c>
      <c r="AN808" s="198" t="e">
        <f ca="1">+Contrato5[[#This Row],[VALOR CONTRATO]]-Contrato5[[#This Row],[Pagos]]</f>
        <v>#REF!</v>
      </c>
      <c r="AO808" s="147" t="e" cm="1">
        <f t="array" aca="1" ref="AO808" ca="1">_xlfn.XLOOKUP(Contrato5[[#This Row],[DOCUMENTO ]],[2]!PERSONAL_ACTIVO_2024[[#All],[Documento identidad]],[2]!PERSONAL_ACTIVO_2024[[#All],[Mail ]],0,0)</f>
        <v>#NAME?</v>
      </c>
      <c r="AP808" s="147" t="e" cm="1">
        <f t="array" aca="1" ref="AP808" ca="1">_xlfn.XLOOKUP(Contrato5[[#This Row],[DOCUMENTO]],[2]!PERSONAL_ACTIVO_2024[[#All],[Documento identidad]],[2]!PERSONAL_ACTIVO_2024[[#All],[Mail ]],0,0)</f>
        <v>#NAME?</v>
      </c>
      <c r="AQ808" s="439" cm="1">
        <f t="array" aca="1" ref="AQ808" ca="1">IF(ISBLANK(Contrato5[[#This Row],[DEPENDENCIA ]]),0,IFERROR(_xlfn.XLOOKUP(Contrato5[[#This Row],[DEPENDENCIA ]],[2]!PERSONAL_ACTIVO_2024[[#All],[Dependencia]],[2]!PERSONAL_ACTIVO_2024[[#All],[Mail ]],0,0),0))</f>
        <v>0</v>
      </c>
    </row>
    <row r="809" spans="1:43" ht="60" customHeight="1">
      <c r="A809" s="147">
        <v>760</v>
      </c>
      <c r="B809" s="124">
        <v>675</v>
      </c>
      <c r="C809" s="162" t="s">
        <v>1800</v>
      </c>
      <c r="D809" s="227" t="s">
        <v>602</v>
      </c>
      <c r="E809" s="227" t="s">
        <v>94</v>
      </c>
      <c r="F809" s="227" t="s">
        <v>1376</v>
      </c>
      <c r="G809" s="281" t="s">
        <v>1154</v>
      </c>
      <c r="H809" s="436">
        <v>1039472270</v>
      </c>
      <c r="I809" s="309">
        <v>4500000</v>
      </c>
      <c r="J809" s="445">
        <v>16650000</v>
      </c>
      <c r="K809" s="413" t="s">
        <v>42</v>
      </c>
      <c r="L809" s="438" t="s">
        <v>2548</v>
      </c>
      <c r="M809" s="194" t="s">
        <v>604</v>
      </c>
      <c r="N809" s="177" t="e" cm="1">
        <f t="array" aca="1" ref="N809" ca="1">_xlfn.XLOOKUP(Contrato5[[#This Row],[SUPERVISOR TITULAR]],[2]!PERSONAL_ACTIVO_2024[[#All],[Nombre completo]],[2]!PERSONAL_ACTIVO_2024[[#All],[Documento identidad]],"",0)</f>
        <v>#NAME?</v>
      </c>
      <c r="O809" s="194" t="s">
        <v>613</v>
      </c>
      <c r="P809" s="196" t="e" cm="1">
        <f t="array" aca="1" ref="P809" ca="1">_xlfn.XLOOKUP(Contrato5[[#This Row],[SUPERVISOR SUPLENTE ]],[2]!PERSONAL_ACTIVO_2024[[#All],[Nombre completo]],[2]!PERSONAL_ACTIVO_2024[[#All],[Documento identidad]],"",0)</f>
        <v>#NAME?</v>
      </c>
      <c r="Q809" s="170">
        <v>806</v>
      </c>
      <c r="R809" s="137" t="e" cm="1">
        <f t="array" aca="1" ref="R809" ca="1">_xlfn.XLOOKUP(Contrato5[[#This Row],[CDP]],[2]!DISPONIBILIDADES_2024[[#All],[consecutivo]],[2]!DISPONIBILIDADES_2024[[#All],[fecha_aprobacion]],"",0)</f>
        <v>#NAME?</v>
      </c>
      <c r="S809" s="138" t="e">
        <f>SUMIF([2]!DISPONIBILIDADES_2024[[#All],[consecutivo]],Contrato5[[#This Row],[CDP]],[2]!DISPONIBILIDADES_2024[[#All],[valor_total_rubro]])</f>
        <v>#REF!</v>
      </c>
      <c r="T809" s="139" t="e" cm="1">
        <f t="array" aca="1" ref="T809" ca="1">_xlfn.XLOOKUP(Contrato5[[#This Row],[CONTRATO]]&amp;Contrato5[[#This Row],[CDP]],[2]!Corr_Contr_CDP[[#All],[CONTRATO-CDP]],[2]!Corr_Contr_CDP[[#All],[CRP]],_xlfn.XLOOKUP(Contrato5[[#This Row],[CDP]],[2]!COMPROMISOS_2024[[#All],[disponibilidad]],[2]!COMPROMISOS_2024[[#All],[consecutivo]],"",0),0)</f>
        <v>#NAME?</v>
      </c>
      <c r="U809" s="140" t="e" cm="1">
        <f t="array" aca="1" ref="U809" ca="1">+_xlfn.XLOOKUP(Contrato5[[#This Row],[RCP]],[2]!COMPROMISOS_2024[[#All],[consecutivo]],[2]!COMPROMISOS_2024[[#All],[fecha_aprobacion]],"",0)</f>
        <v>#NAME?</v>
      </c>
      <c r="V809" s="141" t="e">
        <f ca="1">SUMIF([2]!COMPROMISOS_2024[[#All],[consecutivo]],Contrato5[[#This Row],[RCP]],[2]!COMPROMISOS_2024[[#All],[valor_total]])</f>
        <v>#REF!</v>
      </c>
      <c r="W809" s="160">
        <v>45565</v>
      </c>
      <c r="X809" s="160" t="s">
        <v>1045</v>
      </c>
      <c r="Y809" s="143">
        <v>45565</v>
      </c>
      <c r="Z809" s="262">
        <v>45657</v>
      </c>
      <c r="AA809" s="183" t="s">
        <v>3123</v>
      </c>
      <c r="AB809" s="172" t="s">
        <v>3124</v>
      </c>
      <c r="AC809" s="172"/>
      <c r="AD809" s="211">
        <v>202000005410</v>
      </c>
      <c r="AE809" s="147" t="s">
        <v>523</v>
      </c>
      <c r="AF809" s="148" t="str">
        <f>TEXT(LEFT(Contrato5[[#This Row],[CONTRATO]],3),"0")</f>
        <v>675</v>
      </c>
      <c r="AG809" s="148" t="str">
        <f>IF(LEN(Contrato5[[#This Row],[Contrato2]])=3,Contrato5[[#This Row],[Contrato2]],TEXT(Contrato5[[#This Row],[Contrato2]],"000"))</f>
        <v>675</v>
      </c>
      <c r="AH809" s="149">
        <f ca="1">IFERROR(_xlfn.DAYS(Contrato5[[#This Row],[Fecha Proyectada liquidación]],TODAY())/30,"")</f>
        <v>0.6333333333333333</v>
      </c>
      <c r="AI809" s="150">
        <f>+Contrato5[[#This Row],[FECHA TERMINACIÓN ]]+120</f>
        <v>45777</v>
      </c>
      <c r="AJ809" s="147"/>
      <c r="AK809" s="152" t="str">
        <f ca="1">IF(Contrato5[[#This Row],[FECHA TERMINACIÓN ]]&lt;TODAY(), "Terminado",IF(ISNUMBER(Contrato5[[#This Row],[Fecha Real de liquiidación ]]),"Liquidado",IF(Contrato5[[#This Row],[FECHA TERMINACIÓN ]]&gt;=TODAY(),"En ejecución","")))</f>
        <v>Terminado</v>
      </c>
      <c r="AL809" s="153" t="e">
        <f ca="1">SUMIF([2]!COMPROMISOS_2024[[#All],[consecutivo]],Contrato5[[#This Row],[RCP]],[2]!COMPROMISOS_2024[[#All],[Total pagado]])</f>
        <v>#REF!</v>
      </c>
      <c r="AM809" s="154">
        <f ca="1">IFERROR(Contrato5[[#This Row],[Pagos]]/Contrato5[[#This Row],[VALOR CONTRATO]],0)</f>
        <v>0</v>
      </c>
      <c r="AN809" s="198" t="e">
        <f ca="1">+Contrato5[[#This Row],[VALOR CONTRATO]]-Contrato5[[#This Row],[Pagos]]</f>
        <v>#REF!</v>
      </c>
      <c r="AO809" s="147" t="e" cm="1">
        <f t="array" aca="1" ref="AO809" ca="1">_xlfn.XLOOKUP(Contrato5[[#This Row],[DOCUMENTO ]],[2]!PERSONAL_ACTIVO_2024[[#All],[Documento identidad]],[2]!PERSONAL_ACTIVO_2024[[#All],[Mail ]],0,0)</f>
        <v>#NAME?</v>
      </c>
      <c r="AP809" s="147" t="e" cm="1">
        <f t="array" aca="1" ref="AP809" ca="1">_xlfn.XLOOKUP(Contrato5[[#This Row],[DOCUMENTO]],[2]!PERSONAL_ACTIVO_2024[[#All],[Documento identidad]],[2]!PERSONAL_ACTIVO_2024[[#All],[Mail ]],0,0)</f>
        <v>#NAME?</v>
      </c>
      <c r="AQ809" s="439" cm="1">
        <f t="array" aca="1" ref="AQ809" ca="1">IF(ISBLANK(Contrato5[[#This Row],[DEPENDENCIA ]]),0,IFERROR(_xlfn.XLOOKUP(Contrato5[[#This Row],[DEPENDENCIA ]],[2]!PERSONAL_ACTIVO_2024[[#All],[Dependencia]],[2]!PERSONAL_ACTIVO_2024[[#All],[Mail ]],0,0),0))</f>
        <v>0</v>
      </c>
    </row>
    <row r="810" spans="1:43" ht="75" customHeight="1">
      <c r="A810" s="147">
        <v>1022</v>
      </c>
      <c r="B810" s="124">
        <v>676</v>
      </c>
      <c r="C810" s="162" t="s">
        <v>2106</v>
      </c>
      <c r="D810" s="227" t="s">
        <v>583</v>
      </c>
      <c r="E810" s="172" t="s">
        <v>898</v>
      </c>
      <c r="F810" s="227" t="s">
        <v>255</v>
      </c>
      <c r="G810" s="281" t="s">
        <v>3125</v>
      </c>
      <c r="H810" s="436">
        <v>811017520</v>
      </c>
      <c r="I810" s="309" t="s">
        <v>42</v>
      </c>
      <c r="J810" s="445">
        <v>400000000</v>
      </c>
      <c r="K810" s="413" t="s">
        <v>42</v>
      </c>
      <c r="L810" s="438" t="s">
        <v>2462</v>
      </c>
      <c r="M810" s="194" t="s">
        <v>600</v>
      </c>
      <c r="N810" s="177" t="e" cm="1">
        <f t="array" aca="1" ref="N810" ca="1">_xlfn.XLOOKUP(Contrato5[[#This Row],[SUPERVISOR TITULAR]],[2]!PERSONAL_ACTIVO_2024[[#All],[Nombre completo]],[2]!PERSONAL_ACTIVO_2024[[#All],[Documento identidad]],"",0)</f>
        <v>#NAME?</v>
      </c>
      <c r="O810" s="194" t="s">
        <v>2495</v>
      </c>
      <c r="P810" s="196" t="e" cm="1">
        <f t="array" aca="1" ref="P810" ca="1">_xlfn.XLOOKUP(Contrato5[[#This Row],[SUPERVISOR SUPLENTE ]],[2]!PERSONAL_ACTIVO_2024[[#All],[Nombre completo]],[2]!PERSONAL_ACTIVO_2024[[#All],[Documento identidad]],"",0)</f>
        <v>#NAME?</v>
      </c>
      <c r="Q810" s="170">
        <v>958</v>
      </c>
      <c r="R810" s="137" t="e" cm="1">
        <f t="array" aca="1" ref="R810" ca="1">_xlfn.XLOOKUP(Contrato5[[#This Row],[CDP]],[2]!DISPONIBILIDADES_2024[[#All],[consecutivo]],[2]!DISPONIBILIDADES_2024[[#All],[fecha_aprobacion]],"",0)</f>
        <v>#NAME?</v>
      </c>
      <c r="S810" s="138" t="e">
        <f>SUMIF([2]!DISPONIBILIDADES_2024[[#All],[consecutivo]],Contrato5[[#This Row],[CDP]],[2]!DISPONIBILIDADES_2024[[#All],[valor_total_rubro]])</f>
        <v>#REF!</v>
      </c>
      <c r="T810" s="139" t="e" cm="1">
        <f t="array" aca="1" ref="T810" ca="1">_xlfn.XLOOKUP(Contrato5[[#This Row],[CONTRATO]]&amp;Contrato5[[#This Row],[CDP]],[2]!Corr_Contr_CDP[[#All],[CONTRATO-CDP]],[2]!Corr_Contr_CDP[[#All],[CRP]],_xlfn.XLOOKUP(Contrato5[[#This Row],[CDP]],[2]!COMPROMISOS_2024[[#All],[disponibilidad]],[2]!COMPROMISOS_2024[[#All],[consecutivo]],"",0),0)</f>
        <v>#NAME?</v>
      </c>
      <c r="U810" s="140" t="e" cm="1">
        <f t="array" aca="1" ref="U810" ca="1">+_xlfn.XLOOKUP(Contrato5[[#This Row],[RCP]],[2]!COMPROMISOS_2024[[#All],[consecutivo]],[2]!COMPROMISOS_2024[[#All],[fecha_aprobacion]],"",0)</f>
        <v>#NAME?</v>
      </c>
      <c r="V810" s="141" t="e">
        <f ca="1">SUMIF([2]!COMPROMISOS_2024[[#All],[consecutivo]],Contrato5[[#This Row],[RCP]],[2]!COMPROMISOS_2024[[#All],[valor_total]])</f>
        <v>#REF!</v>
      </c>
      <c r="W810" s="160">
        <v>45568</v>
      </c>
      <c r="X810" s="161">
        <v>45572</v>
      </c>
      <c r="Y810" s="143">
        <v>45572</v>
      </c>
      <c r="Z810" s="262">
        <v>45656</v>
      </c>
      <c r="AA810" s="171" t="s">
        <v>3126</v>
      </c>
      <c r="AB810" s="172" t="s">
        <v>3112</v>
      </c>
      <c r="AC810" s="172"/>
      <c r="AD810" s="211">
        <v>202000005567</v>
      </c>
      <c r="AE810" s="147" t="s">
        <v>523</v>
      </c>
      <c r="AF810" s="148" t="str">
        <f>TEXT(LEFT(Contrato5[[#This Row],[CONTRATO]],3),"0")</f>
        <v>676</v>
      </c>
      <c r="AG810" s="148" t="str">
        <f>IF(LEN(Contrato5[[#This Row],[Contrato2]])=3,Contrato5[[#This Row],[Contrato2]],TEXT(Contrato5[[#This Row],[Contrato2]],"000"))</f>
        <v>676</v>
      </c>
      <c r="AH810" s="149">
        <f ca="1">IFERROR(_xlfn.DAYS(Contrato5[[#This Row],[Fecha Proyectada liquidación]],TODAY())/30,"")</f>
        <v>0.6</v>
      </c>
      <c r="AI810" s="150">
        <f>+Contrato5[[#This Row],[FECHA TERMINACIÓN ]]+120</f>
        <v>45776</v>
      </c>
      <c r="AJ810" s="147"/>
      <c r="AK810" s="152" t="str">
        <f ca="1">IF(Contrato5[[#This Row],[FECHA TERMINACIÓN ]]&lt;TODAY(), "Terminado",IF(ISNUMBER(Contrato5[[#This Row],[Fecha Real de liquiidación ]]),"Liquidado",IF(Contrato5[[#This Row],[FECHA TERMINACIÓN ]]&gt;=TODAY(),"En ejecución","")))</f>
        <v>Terminado</v>
      </c>
      <c r="AL810" s="153" t="e">
        <f ca="1">SUMIF([2]!COMPROMISOS_2024[[#All],[consecutivo]],Contrato5[[#This Row],[RCP]],[2]!COMPROMISOS_2024[[#All],[Total pagado]])</f>
        <v>#REF!</v>
      </c>
      <c r="AM810" s="154">
        <f ca="1">IFERROR(Contrato5[[#This Row],[Pagos]]/Contrato5[[#This Row],[VALOR CONTRATO]],0)</f>
        <v>0</v>
      </c>
      <c r="AN810" s="198" t="e">
        <f ca="1">+Contrato5[[#This Row],[VALOR CONTRATO]]-Contrato5[[#This Row],[Pagos]]</f>
        <v>#REF!</v>
      </c>
      <c r="AO810" s="147" t="e" cm="1">
        <f t="array" aca="1" ref="AO810" ca="1">_xlfn.XLOOKUP(Contrato5[[#This Row],[DOCUMENTO ]],[2]!PERSONAL_ACTIVO_2024[[#All],[Documento identidad]],[2]!PERSONAL_ACTIVO_2024[[#All],[Mail ]],0,0)</f>
        <v>#NAME?</v>
      </c>
      <c r="AP810" s="147" t="e" cm="1">
        <f t="array" aca="1" ref="AP810" ca="1">_xlfn.XLOOKUP(Contrato5[[#This Row],[DOCUMENTO]],[2]!PERSONAL_ACTIVO_2024[[#All],[Documento identidad]],[2]!PERSONAL_ACTIVO_2024[[#All],[Mail ]],0,0)</f>
        <v>#NAME?</v>
      </c>
      <c r="AQ810" s="439" cm="1">
        <f t="array" aca="1" ref="AQ810" ca="1">IF(ISBLANK(Contrato5[[#This Row],[DEPENDENCIA ]]),0,IFERROR(_xlfn.XLOOKUP(Contrato5[[#This Row],[DEPENDENCIA ]],[2]!PERSONAL_ACTIVO_2024[[#All],[Dependencia]],[2]!PERSONAL_ACTIVO_2024[[#All],[Mail ]],0,0),0))</f>
        <v>0</v>
      </c>
    </row>
    <row r="811" spans="1:43" ht="47.25" customHeight="1">
      <c r="A811" s="147">
        <v>1153</v>
      </c>
      <c r="B811" s="124">
        <v>677</v>
      </c>
      <c r="C811" s="162" t="s">
        <v>2086</v>
      </c>
      <c r="D811" s="227" t="s">
        <v>583</v>
      </c>
      <c r="E811" s="172" t="s">
        <v>898</v>
      </c>
      <c r="F811" s="227" t="s">
        <v>1376</v>
      </c>
      <c r="G811" s="281" t="s">
        <v>3127</v>
      </c>
      <c r="H811" s="436">
        <v>1036614834</v>
      </c>
      <c r="I811" s="309">
        <v>4908936</v>
      </c>
      <c r="J811" s="445">
        <v>12599602</v>
      </c>
      <c r="K811" s="413" t="s">
        <v>42</v>
      </c>
      <c r="L811" s="438" t="s">
        <v>2462</v>
      </c>
      <c r="M811" s="194" t="s">
        <v>592</v>
      </c>
      <c r="N811" s="177" t="e" cm="1">
        <f t="array" aca="1" ref="N811" ca="1">_xlfn.XLOOKUP(Contrato5[[#This Row],[SUPERVISOR TITULAR]],[2]!PERSONAL_ACTIVO_2024[[#All],[Nombre completo]],[2]!PERSONAL_ACTIVO_2024[[#All],[Documento identidad]],"",0)</f>
        <v>#NAME?</v>
      </c>
      <c r="O811" s="194" t="s">
        <v>600</v>
      </c>
      <c r="P811" s="196" t="e" cm="1">
        <f t="array" aca="1" ref="P811" ca="1">_xlfn.XLOOKUP(Contrato5[[#This Row],[SUPERVISOR SUPLENTE ]],[2]!PERSONAL_ACTIVO_2024[[#All],[Nombre completo]],[2]!PERSONAL_ACTIVO_2024[[#All],[Documento identidad]],"",0)</f>
        <v>#NAME?</v>
      </c>
      <c r="Q811" s="170">
        <v>947</v>
      </c>
      <c r="R811" s="137" t="e" cm="1">
        <f t="array" aca="1" ref="R811" ca="1">_xlfn.XLOOKUP(Contrato5[[#This Row],[CDP]],[2]!DISPONIBILIDADES_2024[[#All],[consecutivo]],[2]!DISPONIBILIDADES_2024[[#All],[fecha_aprobacion]],"",0)</f>
        <v>#NAME?</v>
      </c>
      <c r="S811" s="138" t="e">
        <f>SUMIF([2]!DISPONIBILIDADES_2024[[#All],[consecutivo]],Contrato5[[#This Row],[CDP]],[2]!DISPONIBILIDADES_2024[[#All],[valor_total_rubro]])</f>
        <v>#REF!</v>
      </c>
      <c r="T811" s="139" t="e" cm="1">
        <f t="array" aca="1" ref="T811" ca="1">_xlfn.XLOOKUP(Contrato5[[#This Row],[CONTRATO]]&amp;Contrato5[[#This Row],[CDP]],[2]!Corr_Contr_CDP[[#All],[CONTRATO-CDP]],[2]!Corr_Contr_CDP[[#All],[CRP]],_xlfn.XLOOKUP(Contrato5[[#This Row],[CDP]],[2]!COMPROMISOS_2024[[#All],[disponibilidad]],[2]!COMPROMISOS_2024[[#All],[consecutivo]],"",0),0)</f>
        <v>#NAME?</v>
      </c>
      <c r="U811" s="140" t="e" cm="1">
        <f t="array" aca="1" ref="U811" ca="1">+_xlfn.XLOOKUP(Contrato5[[#This Row],[RCP]],[2]!COMPROMISOS_2024[[#All],[consecutivo]],[2]!COMPROMISOS_2024[[#All],[fecha_aprobacion]],"",0)</f>
        <v>#NAME?</v>
      </c>
      <c r="V811" s="141" t="e">
        <f ca="1">SUMIF([2]!COMPROMISOS_2024[[#All],[consecutivo]],Contrato5[[#This Row],[RCP]],[2]!COMPROMISOS_2024[[#All],[valor_total]])</f>
        <v>#REF!</v>
      </c>
      <c r="W811" s="160">
        <v>45567</v>
      </c>
      <c r="X811" s="160" t="s">
        <v>1045</v>
      </c>
      <c r="Y811" s="143">
        <v>45567</v>
      </c>
      <c r="Z811" s="262">
        <v>45643</v>
      </c>
      <c r="AA811" s="171" t="s">
        <v>3128</v>
      </c>
      <c r="AB811" s="172" t="s">
        <v>3129</v>
      </c>
      <c r="AC811" s="172"/>
      <c r="AD811" s="211">
        <v>202000005568</v>
      </c>
      <c r="AE811" s="147" t="s">
        <v>523</v>
      </c>
      <c r="AF811" s="148" t="str">
        <f>TEXT(LEFT(Contrato5[[#This Row],[CONTRATO]],3),"0")</f>
        <v>677</v>
      </c>
      <c r="AG811" s="148" t="str">
        <f>IF(LEN(Contrato5[[#This Row],[Contrato2]])=3,Contrato5[[#This Row],[Contrato2]],TEXT(Contrato5[[#This Row],[Contrato2]],"000"))</f>
        <v>677</v>
      </c>
      <c r="AH811" s="149">
        <f ca="1">IFERROR(_xlfn.DAYS(Contrato5[[#This Row],[Fecha Proyectada liquidación]],TODAY())/30,"")</f>
        <v>0.16666666666666666</v>
      </c>
      <c r="AI811" s="150">
        <f>+Contrato5[[#This Row],[FECHA TERMINACIÓN ]]+120</f>
        <v>45763</v>
      </c>
      <c r="AJ811" s="147"/>
      <c r="AK811" s="152" t="str">
        <f ca="1">IF(Contrato5[[#This Row],[FECHA TERMINACIÓN ]]&lt;TODAY(), "Terminado",IF(ISNUMBER(Contrato5[[#This Row],[Fecha Real de liquiidación ]]),"Liquidado",IF(Contrato5[[#This Row],[FECHA TERMINACIÓN ]]&gt;=TODAY(),"En ejecución","")))</f>
        <v>Terminado</v>
      </c>
      <c r="AL811" s="153" t="e">
        <f ca="1">SUMIF([2]!COMPROMISOS_2024[[#All],[consecutivo]],Contrato5[[#This Row],[RCP]],[2]!COMPROMISOS_2024[[#All],[Total pagado]])</f>
        <v>#REF!</v>
      </c>
      <c r="AM811" s="154">
        <f ca="1">IFERROR(Contrato5[[#This Row],[Pagos]]/Contrato5[[#This Row],[VALOR CONTRATO]],0)</f>
        <v>0</v>
      </c>
      <c r="AN811" s="198" t="e">
        <f ca="1">+Contrato5[[#This Row],[VALOR CONTRATO]]-Contrato5[[#This Row],[Pagos]]</f>
        <v>#REF!</v>
      </c>
      <c r="AO811" s="147" t="e" cm="1">
        <f t="array" aca="1" ref="AO811" ca="1">_xlfn.XLOOKUP(Contrato5[[#This Row],[DOCUMENTO ]],[2]!PERSONAL_ACTIVO_2024[[#All],[Documento identidad]],[2]!PERSONAL_ACTIVO_2024[[#All],[Mail ]],0,0)</f>
        <v>#NAME?</v>
      </c>
      <c r="AP811" s="147" t="e" cm="1">
        <f t="array" aca="1" ref="AP811" ca="1">_xlfn.XLOOKUP(Contrato5[[#This Row],[DOCUMENTO]],[2]!PERSONAL_ACTIVO_2024[[#All],[Documento identidad]],[2]!PERSONAL_ACTIVO_2024[[#All],[Mail ]],0,0)</f>
        <v>#NAME?</v>
      </c>
      <c r="AQ811" s="439" cm="1">
        <f t="array" aca="1" ref="AQ811" ca="1">IF(ISBLANK(Contrato5[[#This Row],[DEPENDENCIA ]]),0,IFERROR(_xlfn.XLOOKUP(Contrato5[[#This Row],[DEPENDENCIA ]],[2]!PERSONAL_ACTIVO_2024[[#All],[Dependencia]],[2]!PERSONAL_ACTIVO_2024[[#All],[Mail ]],0,0),0))</f>
        <v>0</v>
      </c>
    </row>
    <row r="812" spans="1:43" ht="47.25" customHeight="1">
      <c r="A812" s="147">
        <v>1154</v>
      </c>
      <c r="B812" s="124">
        <v>678</v>
      </c>
      <c r="C812" s="162" t="s">
        <v>2087</v>
      </c>
      <c r="D812" s="227" t="s">
        <v>583</v>
      </c>
      <c r="E812" s="172" t="s">
        <v>898</v>
      </c>
      <c r="F812" s="227" t="s">
        <v>1376</v>
      </c>
      <c r="G812" s="281" t="s">
        <v>3130</v>
      </c>
      <c r="H812" s="436">
        <v>1039472052</v>
      </c>
      <c r="I812" s="309">
        <v>2574842</v>
      </c>
      <c r="J812" s="445">
        <v>6608761</v>
      </c>
      <c r="K812" s="413" t="s">
        <v>42</v>
      </c>
      <c r="L812" s="438" t="s">
        <v>2462</v>
      </c>
      <c r="M812" s="194" t="s">
        <v>592</v>
      </c>
      <c r="N812" s="177" t="e" cm="1">
        <f t="array" aca="1" ref="N812" ca="1">_xlfn.XLOOKUP(Contrato5[[#This Row],[SUPERVISOR TITULAR]],[2]!PERSONAL_ACTIVO_2024[[#All],[Nombre completo]],[2]!PERSONAL_ACTIVO_2024[[#All],[Documento identidad]],"",0)</f>
        <v>#NAME?</v>
      </c>
      <c r="O812" s="194" t="s">
        <v>600</v>
      </c>
      <c r="P812" s="196" t="e" cm="1">
        <f t="array" aca="1" ref="P812" ca="1">_xlfn.XLOOKUP(Contrato5[[#This Row],[SUPERVISOR SUPLENTE ]],[2]!PERSONAL_ACTIVO_2024[[#All],[Nombre completo]],[2]!PERSONAL_ACTIVO_2024[[#All],[Documento identidad]],"",0)</f>
        <v>#NAME?</v>
      </c>
      <c r="Q812" s="170">
        <v>974</v>
      </c>
      <c r="R812" s="137" t="e" cm="1">
        <f t="array" aca="1" ref="R812" ca="1">_xlfn.XLOOKUP(Contrato5[[#This Row],[CDP]],[2]!DISPONIBILIDADES_2024[[#All],[consecutivo]],[2]!DISPONIBILIDADES_2024[[#All],[fecha_aprobacion]],"",0)</f>
        <v>#NAME?</v>
      </c>
      <c r="S812" s="138" t="e">
        <f>SUMIF([2]!DISPONIBILIDADES_2024[[#All],[consecutivo]],Contrato5[[#This Row],[CDP]],[2]!DISPONIBILIDADES_2024[[#All],[valor_total_rubro]])</f>
        <v>#REF!</v>
      </c>
      <c r="T812" s="139" t="e" cm="1">
        <f t="array" aca="1" ref="T812" ca="1">_xlfn.XLOOKUP(Contrato5[[#This Row],[CONTRATO]]&amp;Contrato5[[#This Row],[CDP]],[2]!Corr_Contr_CDP[[#All],[CONTRATO-CDP]],[2]!Corr_Contr_CDP[[#All],[CRP]],_xlfn.XLOOKUP(Contrato5[[#This Row],[CDP]],[2]!COMPROMISOS_2024[[#All],[disponibilidad]],[2]!COMPROMISOS_2024[[#All],[consecutivo]],"",0),0)</f>
        <v>#NAME?</v>
      </c>
      <c r="U812" s="140" t="e" cm="1">
        <f t="array" aca="1" ref="U812" ca="1">+_xlfn.XLOOKUP(Contrato5[[#This Row],[RCP]],[2]!COMPROMISOS_2024[[#All],[consecutivo]],[2]!COMPROMISOS_2024[[#All],[fecha_aprobacion]],"",0)</f>
        <v>#NAME?</v>
      </c>
      <c r="V812" s="141" t="e">
        <f ca="1">SUMIF([2]!COMPROMISOS_2024[[#All],[consecutivo]],Contrato5[[#This Row],[RCP]],[2]!COMPROMISOS_2024[[#All],[valor_total]])</f>
        <v>#REF!</v>
      </c>
      <c r="W812" s="160">
        <v>45567</v>
      </c>
      <c r="X812" s="160" t="s">
        <v>1045</v>
      </c>
      <c r="Y812" s="143">
        <v>45567</v>
      </c>
      <c r="Z812" s="262">
        <v>45643</v>
      </c>
      <c r="AA812" s="171" t="s">
        <v>3131</v>
      </c>
      <c r="AB812" s="172" t="s">
        <v>3129</v>
      </c>
      <c r="AC812" s="172"/>
      <c r="AD812" s="211">
        <v>202000005570</v>
      </c>
      <c r="AE812" s="147" t="s">
        <v>523</v>
      </c>
      <c r="AF812" s="148" t="str">
        <f>TEXT(LEFT(Contrato5[[#This Row],[CONTRATO]],3),"0")</f>
        <v>678</v>
      </c>
      <c r="AG812" s="148" t="str">
        <f>IF(LEN(Contrato5[[#This Row],[Contrato2]])=3,Contrato5[[#This Row],[Contrato2]],TEXT(Contrato5[[#This Row],[Contrato2]],"000"))</f>
        <v>678</v>
      </c>
      <c r="AH812" s="149">
        <f ca="1">IFERROR(_xlfn.DAYS(Contrato5[[#This Row],[Fecha Proyectada liquidación]],TODAY())/30,"")</f>
        <v>0.16666666666666666</v>
      </c>
      <c r="AI812" s="150">
        <f>+Contrato5[[#This Row],[FECHA TERMINACIÓN ]]+120</f>
        <v>45763</v>
      </c>
      <c r="AJ812" s="147"/>
      <c r="AK812" s="152" t="str">
        <f ca="1">IF(Contrato5[[#This Row],[FECHA TERMINACIÓN ]]&lt;TODAY(), "Terminado",IF(ISNUMBER(Contrato5[[#This Row],[Fecha Real de liquiidación ]]),"Liquidado",IF(Contrato5[[#This Row],[FECHA TERMINACIÓN ]]&gt;=TODAY(),"En ejecución","")))</f>
        <v>Terminado</v>
      </c>
      <c r="AL812" s="153" t="e">
        <f ca="1">SUMIF([2]!COMPROMISOS_2024[[#All],[consecutivo]],Contrato5[[#This Row],[RCP]],[2]!COMPROMISOS_2024[[#All],[Total pagado]])</f>
        <v>#REF!</v>
      </c>
      <c r="AM812" s="154">
        <f ca="1">IFERROR(Contrato5[[#This Row],[Pagos]]/Contrato5[[#This Row],[VALOR CONTRATO]],0)</f>
        <v>0</v>
      </c>
      <c r="AN812" s="198" t="e">
        <f ca="1">+Contrato5[[#This Row],[VALOR CONTRATO]]-Contrato5[[#This Row],[Pagos]]</f>
        <v>#REF!</v>
      </c>
      <c r="AO812" s="147" t="e" cm="1">
        <f t="array" aca="1" ref="AO812" ca="1">_xlfn.XLOOKUP(Contrato5[[#This Row],[DOCUMENTO ]],[2]!PERSONAL_ACTIVO_2024[[#All],[Documento identidad]],[2]!PERSONAL_ACTIVO_2024[[#All],[Mail ]],0,0)</f>
        <v>#NAME?</v>
      </c>
      <c r="AP812" s="147" t="e" cm="1">
        <f t="array" aca="1" ref="AP812" ca="1">_xlfn.XLOOKUP(Contrato5[[#This Row],[DOCUMENTO]],[2]!PERSONAL_ACTIVO_2024[[#All],[Documento identidad]],[2]!PERSONAL_ACTIVO_2024[[#All],[Mail ]],0,0)</f>
        <v>#NAME?</v>
      </c>
      <c r="AQ812" s="439" cm="1">
        <f t="array" aca="1" ref="AQ812" ca="1">IF(ISBLANK(Contrato5[[#This Row],[DEPENDENCIA ]]),0,IFERROR(_xlfn.XLOOKUP(Contrato5[[#This Row],[DEPENDENCIA ]],[2]!PERSONAL_ACTIVO_2024[[#All],[Dependencia]],[2]!PERSONAL_ACTIVO_2024[[#All],[Mail ]],0,0),0))</f>
        <v>0</v>
      </c>
    </row>
    <row r="813" spans="1:43" ht="105" customHeight="1">
      <c r="A813" s="147">
        <v>1088</v>
      </c>
      <c r="B813" s="124">
        <v>679</v>
      </c>
      <c r="C813" s="162" t="s">
        <v>2220</v>
      </c>
      <c r="D813" s="227" t="s">
        <v>583</v>
      </c>
      <c r="E813" s="172" t="s">
        <v>94</v>
      </c>
      <c r="F813" s="227" t="s">
        <v>1767</v>
      </c>
      <c r="G813" s="281" t="s">
        <v>2629</v>
      </c>
      <c r="H813" s="436">
        <v>890906312</v>
      </c>
      <c r="I813" s="309" t="s">
        <v>42</v>
      </c>
      <c r="J813" s="445">
        <v>300000000</v>
      </c>
      <c r="K813" s="413" t="s">
        <v>42</v>
      </c>
      <c r="L813" s="438" t="s">
        <v>2462</v>
      </c>
      <c r="M813" s="194" t="s">
        <v>600</v>
      </c>
      <c r="N813" s="177" t="e" cm="1">
        <f t="array" aca="1" ref="N813" ca="1">_xlfn.XLOOKUP(Contrato5[[#This Row],[SUPERVISOR TITULAR]],[2]!PERSONAL_ACTIVO_2024[[#All],[Nombre completo]],[2]!PERSONAL_ACTIVO_2024[[#All],[Documento identidad]],"",0)</f>
        <v>#NAME?</v>
      </c>
      <c r="O813" s="194" t="s">
        <v>2495</v>
      </c>
      <c r="P813" s="196" t="e" cm="1">
        <f t="array" aca="1" ref="P813" ca="1">_xlfn.XLOOKUP(Contrato5[[#This Row],[SUPERVISOR SUPLENTE ]],[2]!PERSONAL_ACTIVO_2024[[#All],[Nombre completo]],[2]!PERSONAL_ACTIVO_2024[[#All],[Documento identidad]],"",0)</f>
        <v>#NAME?</v>
      </c>
      <c r="Q813" s="170">
        <v>874</v>
      </c>
      <c r="R813" s="137" t="e" cm="1">
        <f t="array" aca="1" ref="R813" ca="1">_xlfn.XLOOKUP(Contrato5[[#This Row],[CDP]],[2]!DISPONIBILIDADES_2024[[#All],[consecutivo]],[2]!DISPONIBILIDADES_2024[[#All],[fecha_aprobacion]],"",0)</f>
        <v>#NAME?</v>
      </c>
      <c r="S813" s="138" t="e">
        <f>SUMIF([2]!DISPONIBILIDADES_2024[[#All],[consecutivo]],Contrato5[[#This Row],[CDP]],[2]!DISPONIBILIDADES_2024[[#All],[valor_total_rubro]])</f>
        <v>#REF!</v>
      </c>
      <c r="T813" s="139" t="e" cm="1">
        <f t="array" aca="1" ref="T813" ca="1">_xlfn.XLOOKUP(Contrato5[[#This Row],[CONTRATO]]&amp;Contrato5[[#This Row],[CDP]],[2]!Corr_Contr_CDP[[#All],[CONTRATO-CDP]],[2]!Corr_Contr_CDP[[#All],[CRP]],_xlfn.XLOOKUP(Contrato5[[#This Row],[CDP]],[2]!COMPROMISOS_2024[[#All],[disponibilidad]],[2]!COMPROMISOS_2024[[#All],[consecutivo]],"",0),0)</f>
        <v>#NAME?</v>
      </c>
      <c r="U813" s="140" t="e" cm="1">
        <f t="array" aca="1" ref="U813" ca="1">+_xlfn.XLOOKUP(Contrato5[[#This Row],[RCP]],[2]!COMPROMISOS_2024[[#All],[consecutivo]],[2]!COMPROMISOS_2024[[#All],[fecha_aprobacion]],"",0)</f>
        <v>#NAME?</v>
      </c>
      <c r="V813" s="141" t="e">
        <f ca="1">SUMIF([2]!COMPROMISOS_2024[[#All],[consecutivo]],Contrato5[[#This Row],[RCP]],[2]!COMPROMISOS_2024[[#All],[valor_total]])</f>
        <v>#REF!</v>
      </c>
      <c r="W813" s="160">
        <v>45569</v>
      </c>
      <c r="X813" s="161">
        <v>45572</v>
      </c>
      <c r="Y813" s="143">
        <v>45573</v>
      </c>
      <c r="Z813" s="262">
        <v>45656</v>
      </c>
      <c r="AA813" s="171" t="s">
        <v>3132</v>
      </c>
      <c r="AB813" s="172" t="s">
        <v>3133</v>
      </c>
      <c r="AC813" s="172"/>
      <c r="AD813" s="425">
        <v>202000005571</v>
      </c>
      <c r="AE813" s="147" t="s">
        <v>523</v>
      </c>
      <c r="AF813" s="148" t="str">
        <f>TEXT(LEFT(Contrato5[[#This Row],[CONTRATO]],3),"0")</f>
        <v>679</v>
      </c>
      <c r="AG813" s="148" t="str">
        <f>IF(LEN(Contrato5[[#This Row],[Contrato2]])=3,Contrato5[[#This Row],[Contrato2]],TEXT(Contrato5[[#This Row],[Contrato2]],"000"))</f>
        <v>679</v>
      </c>
      <c r="AH813" s="149">
        <f ca="1">IFERROR(_xlfn.DAYS(Contrato5[[#This Row],[Fecha Proyectada liquidación]],TODAY())/30,"")</f>
        <v>0.6</v>
      </c>
      <c r="AI813" s="150">
        <f>+Contrato5[[#This Row],[FECHA TERMINACIÓN ]]+120</f>
        <v>45776</v>
      </c>
      <c r="AJ813" s="147"/>
      <c r="AK813" s="152" t="str">
        <f ca="1">IF(Contrato5[[#This Row],[FECHA TERMINACIÓN ]]&lt;TODAY(), "Terminado",IF(ISNUMBER(Contrato5[[#This Row],[Fecha Real de liquiidación ]]),"Liquidado",IF(Contrato5[[#This Row],[FECHA TERMINACIÓN ]]&gt;=TODAY(),"En ejecución","")))</f>
        <v>Terminado</v>
      </c>
      <c r="AL813" s="153" t="e">
        <f ca="1">SUMIF([2]!COMPROMISOS_2024[[#All],[consecutivo]],Contrato5[[#This Row],[RCP]],[2]!COMPROMISOS_2024[[#All],[Total pagado]])</f>
        <v>#REF!</v>
      </c>
      <c r="AM813" s="154">
        <f ca="1">IFERROR(Contrato5[[#This Row],[Pagos]]/Contrato5[[#This Row],[VALOR CONTRATO]],0)</f>
        <v>0</v>
      </c>
      <c r="AN813" s="198" t="e">
        <f ca="1">+Contrato5[[#This Row],[VALOR CONTRATO]]-Contrato5[[#This Row],[Pagos]]</f>
        <v>#REF!</v>
      </c>
      <c r="AO813" s="147" t="e" cm="1">
        <f t="array" aca="1" ref="AO813" ca="1">_xlfn.XLOOKUP(Contrato5[[#This Row],[DOCUMENTO ]],[2]!PERSONAL_ACTIVO_2024[[#All],[Documento identidad]],[2]!PERSONAL_ACTIVO_2024[[#All],[Mail ]],0,0)</f>
        <v>#NAME?</v>
      </c>
      <c r="AP813" s="147" t="e" cm="1">
        <f t="array" aca="1" ref="AP813" ca="1">_xlfn.XLOOKUP(Contrato5[[#This Row],[DOCUMENTO]],[2]!PERSONAL_ACTIVO_2024[[#All],[Documento identidad]],[2]!PERSONAL_ACTIVO_2024[[#All],[Mail ]],0,0)</f>
        <v>#NAME?</v>
      </c>
      <c r="AQ813" s="439" cm="1">
        <f t="array" aca="1" ref="AQ813" ca="1">IF(ISBLANK(Contrato5[[#This Row],[DEPENDENCIA ]]),0,IFERROR(_xlfn.XLOOKUP(Contrato5[[#This Row],[DEPENDENCIA ]],[2]!PERSONAL_ACTIVO_2024[[#All],[Dependencia]],[2]!PERSONAL_ACTIVO_2024[[#All],[Mail ]],0,0),0))</f>
        <v>0</v>
      </c>
    </row>
    <row r="814" spans="1:43" ht="34.5" customHeight="1">
      <c r="A814" s="147">
        <v>1202</v>
      </c>
      <c r="B814" s="124">
        <v>680</v>
      </c>
      <c r="C814" s="162" t="s">
        <v>2205</v>
      </c>
      <c r="D814" s="227" t="s">
        <v>583</v>
      </c>
      <c r="E814" s="172" t="s">
        <v>94</v>
      </c>
      <c r="F814" s="227" t="s">
        <v>255</v>
      </c>
      <c r="G814" s="281" t="s">
        <v>3134</v>
      </c>
      <c r="H814" s="436">
        <v>811032187</v>
      </c>
      <c r="I814" s="309" t="s">
        <v>42</v>
      </c>
      <c r="J814" s="445">
        <v>130000000</v>
      </c>
      <c r="K814" s="131" t="s">
        <v>3135</v>
      </c>
      <c r="L814" s="438" t="s">
        <v>2462</v>
      </c>
      <c r="M814" s="194" t="s">
        <v>645</v>
      </c>
      <c r="N814" s="177" t="e" cm="1">
        <f t="array" aca="1" ref="N814" ca="1">_xlfn.XLOOKUP(Contrato5[[#This Row],[SUPERVISOR TITULAR]],[2]!PERSONAL_ACTIVO_2024[[#All],[Nombre completo]],[2]!PERSONAL_ACTIVO_2024[[#All],[Documento identidad]],"",0)</f>
        <v>#NAME?</v>
      </c>
      <c r="O814" s="194" t="s">
        <v>2807</v>
      </c>
      <c r="P814" s="196" t="e" cm="1">
        <f t="array" aca="1" ref="P814" ca="1">_xlfn.XLOOKUP(Contrato5[[#This Row],[SUPERVISOR SUPLENTE ]],[2]!PERSONAL_ACTIVO_2024[[#All],[Nombre completo]],[2]!PERSONAL_ACTIVO_2024[[#All],[Documento identidad]],"",0)</f>
        <v>#NAME?</v>
      </c>
      <c r="Q814" s="170">
        <v>976</v>
      </c>
      <c r="R814" s="137" t="e" cm="1">
        <f t="array" aca="1" ref="R814" ca="1">_xlfn.XLOOKUP(Contrato5[[#This Row],[CDP]],[2]!DISPONIBILIDADES_2024[[#All],[consecutivo]],[2]!DISPONIBILIDADES_2024[[#All],[fecha_aprobacion]],"",0)</f>
        <v>#NAME?</v>
      </c>
      <c r="S814" s="138" t="e">
        <f>SUMIF([2]!DISPONIBILIDADES_2024[[#All],[consecutivo]],Contrato5[[#This Row],[CDP]],[2]!DISPONIBILIDADES_2024[[#All],[valor_total_rubro]])</f>
        <v>#REF!</v>
      </c>
      <c r="T814" s="139" t="e" cm="1">
        <f t="array" aca="1" ref="T814" ca="1">_xlfn.XLOOKUP(Contrato5[[#This Row],[CONTRATO]]&amp;Contrato5[[#This Row],[CDP]],[2]!Corr_Contr_CDP[[#All],[CONTRATO-CDP]],[2]!Corr_Contr_CDP[[#All],[CRP]],_xlfn.XLOOKUP(Contrato5[[#This Row],[CDP]],[2]!COMPROMISOS_2024[[#All],[disponibilidad]],[2]!COMPROMISOS_2024[[#All],[consecutivo]],"",0),0)</f>
        <v>#NAME?</v>
      </c>
      <c r="U814" s="140" t="e" cm="1">
        <f t="array" aca="1" ref="U814" ca="1">+_xlfn.XLOOKUP(Contrato5[[#This Row],[RCP]],[2]!COMPROMISOS_2024[[#All],[consecutivo]],[2]!COMPROMISOS_2024[[#All],[fecha_aprobacion]],"",0)</f>
        <v>#NAME?</v>
      </c>
      <c r="V814" s="141" t="e">
        <f ca="1">SUMIF([2]!COMPROMISOS_2024[[#All],[consecutivo]],Contrato5[[#This Row],[RCP]],[2]!COMPROMISOS_2024[[#All],[valor_total]])</f>
        <v>#REF!</v>
      </c>
      <c r="W814" s="160">
        <v>45574</v>
      </c>
      <c r="X814" s="160" t="s">
        <v>1045</v>
      </c>
      <c r="Y814" s="143">
        <v>45576</v>
      </c>
      <c r="Z814" s="262">
        <v>45637</v>
      </c>
      <c r="AA814" s="586" t="s">
        <v>3136</v>
      </c>
      <c r="AB814" s="172" t="s">
        <v>500</v>
      </c>
      <c r="AC814" s="172"/>
      <c r="AD814" s="587">
        <v>202000005606</v>
      </c>
      <c r="AE814" s="147" t="s">
        <v>523</v>
      </c>
      <c r="AF814" s="148" t="str">
        <f>TEXT(LEFT(Contrato5[[#This Row],[CONTRATO]],3),"0")</f>
        <v>680</v>
      </c>
      <c r="AG814" s="148" t="str">
        <f>IF(LEN(Contrato5[[#This Row],[Contrato2]])=3,Contrato5[[#This Row],[Contrato2]],TEXT(Contrato5[[#This Row],[Contrato2]],"000"))</f>
        <v>680</v>
      </c>
      <c r="AH814" s="149">
        <f ca="1">IFERROR(_xlfn.DAYS(Contrato5[[#This Row],[Fecha Proyectada liquidación]],TODAY())/30,"")</f>
        <v>-3.3333333333333333E-2</v>
      </c>
      <c r="AI814" s="150">
        <f>+Contrato5[[#This Row],[FECHA TERMINACIÓN ]]+120</f>
        <v>45757</v>
      </c>
      <c r="AJ814" s="147"/>
      <c r="AK814" s="152" t="str">
        <f ca="1">IF(Contrato5[[#This Row],[FECHA TERMINACIÓN ]]&lt;TODAY(), "Terminado",IF(ISNUMBER(Contrato5[[#This Row],[Fecha Real de liquiidación ]]),"Liquidado",IF(Contrato5[[#This Row],[FECHA TERMINACIÓN ]]&gt;=TODAY(),"En ejecución","")))</f>
        <v>Terminado</v>
      </c>
      <c r="AL814" s="153" t="e">
        <f ca="1">SUMIF([2]!COMPROMISOS_2024[[#All],[consecutivo]],Contrato5[[#This Row],[RCP]],[2]!COMPROMISOS_2024[[#All],[Total pagado]])</f>
        <v>#REF!</v>
      </c>
      <c r="AM814" s="154">
        <f ca="1">IFERROR(Contrato5[[#This Row],[Pagos]]/Contrato5[[#This Row],[VALOR CONTRATO]],0)</f>
        <v>0</v>
      </c>
      <c r="AN814" s="198" t="e">
        <f ca="1">+Contrato5[[#This Row],[VALOR CONTRATO]]-Contrato5[[#This Row],[Pagos]]</f>
        <v>#REF!</v>
      </c>
      <c r="AO814" s="147" t="e" cm="1">
        <f t="array" aca="1" ref="AO814" ca="1">_xlfn.XLOOKUP(Contrato5[[#This Row],[DOCUMENTO ]],[2]!PERSONAL_ACTIVO_2024[[#All],[Documento identidad]],[2]!PERSONAL_ACTIVO_2024[[#All],[Mail ]],0,0)</f>
        <v>#NAME?</v>
      </c>
      <c r="AP814" s="147" t="e" cm="1">
        <f t="array" aca="1" ref="AP814" ca="1">_xlfn.XLOOKUP(Contrato5[[#This Row],[DOCUMENTO]],[2]!PERSONAL_ACTIVO_2024[[#All],[Documento identidad]],[2]!PERSONAL_ACTIVO_2024[[#All],[Mail ]],0,0)</f>
        <v>#NAME?</v>
      </c>
      <c r="AQ814" s="439" cm="1">
        <f t="array" aca="1" ref="AQ814" ca="1">IF(ISBLANK(Contrato5[[#This Row],[DEPENDENCIA ]]),0,IFERROR(_xlfn.XLOOKUP(Contrato5[[#This Row],[DEPENDENCIA ]],[2]!PERSONAL_ACTIVO_2024[[#All],[Dependencia]],[2]!PERSONAL_ACTIVO_2024[[#All],[Mail ]],0,0),0))</f>
        <v>0</v>
      </c>
    </row>
    <row r="815" spans="1:43" ht="34.5" customHeight="1">
      <c r="A815" s="147">
        <v>991</v>
      </c>
      <c r="B815" s="124">
        <v>681</v>
      </c>
      <c r="C815" s="162" t="s">
        <v>1861</v>
      </c>
      <c r="D815" s="227" t="s">
        <v>515</v>
      </c>
      <c r="E815" s="172" t="s">
        <v>94</v>
      </c>
      <c r="F815" s="227" t="s">
        <v>255</v>
      </c>
      <c r="G815" s="281" t="s">
        <v>3137</v>
      </c>
      <c r="H815" s="436">
        <v>811016084</v>
      </c>
      <c r="I815" s="309" t="s">
        <v>42</v>
      </c>
      <c r="J815" s="445">
        <v>60000000</v>
      </c>
      <c r="K815" s="413" t="s">
        <v>42</v>
      </c>
      <c r="L815" s="438" t="s">
        <v>2462</v>
      </c>
      <c r="M815" s="194" t="s">
        <v>550</v>
      </c>
      <c r="N815" s="177" t="e" cm="1">
        <f t="array" aca="1" ref="N815" ca="1">_xlfn.XLOOKUP(Contrato5[[#This Row],[SUPERVISOR TITULAR]],[2]!PERSONAL_ACTIVO_2024[[#All],[Nombre completo]],[2]!PERSONAL_ACTIVO_2024[[#All],[Documento identidad]],"",0)</f>
        <v>#NAME?</v>
      </c>
      <c r="O815" s="194" t="s">
        <v>852</v>
      </c>
      <c r="P815" s="196" t="e" cm="1">
        <f t="array" aca="1" ref="P815" ca="1">_xlfn.XLOOKUP(Contrato5[[#This Row],[SUPERVISOR SUPLENTE ]],[2]!PERSONAL_ACTIVO_2024[[#All],[Nombre completo]],[2]!PERSONAL_ACTIVO_2024[[#All],[Documento identidad]],"",0)</f>
        <v>#NAME?</v>
      </c>
      <c r="Q815" s="170">
        <v>811</v>
      </c>
      <c r="R815" s="137" t="e" cm="1">
        <f t="array" aca="1" ref="R815" ca="1">_xlfn.XLOOKUP(Contrato5[[#This Row],[CDP]],[2]!DISPONIBILIDADES_2024[[#All],[consecutivo]],[2]!DISPONIBILIDADES_2024[[#All],[fecha_aprobacion]],"",0)</f>
        <v>#NAME?</v>
      </c>
      <c r="S815" s="138" t="e">
        <f>SUMIF([2]!DISPONIBILIDADES_2024[[#All],[consecutivo]],Contrato5[[#This Row],[CDP]],[2]!DISPONIBILIDADES_2024[[#All],[valor_total_rubro]])</f>
        <v>#REF!</v>
      </c>
      <c r="T815" s="139" t="e" cm="1">
        <f t="array" aca="1" ref="T815" ca="1">_xlfn.XLOOKUP(Contrato5[[#This Row],[CONTRATO]]&amp;Contrato5[[#This Row],[CDP]],[2]!Corr_Contr_CDP[[#All],[CONTRATO-CDP]],[2]!Corr_Contr_CDP[[#All],[CRP]],_xlfn.XLOOKUP(Contrato5[[#This Row],[CDP]],[2]!COMPROMISOS_2024[[#All],[disponibilidad]],[2]!COMPROMISOS_2024[[#All],[consecutivo]],"",0),0)</f>
        <v>#NAME?</v>
      </c>
      <c r="U815" s="140" t="e" cm="1">
        <f t="array" aca="1" ref="U815" ca="1">+_xlfn.XLOOKUP(Contrato5[[#This Row],[RCP]],[2]!COMPROMISOS_2024[[#All],[consecutivo]],[2]!COMPROMISOS_2024[[#All],[fecha_aprobacion]],"",0)</f>
        <v>#NAME?</v>
      </c>
      <c r="V815" s="141" t="e">
        <f ca="1">SUMIF([2]!COMPROMISOS_2024[[#All],[consecutivo]],Contrato5[[#This Row],[RCP]],[2]!COMPROMISOS_2024[[#All],[valor_total]])</f>
        <v>#REF!</v>
      </c>
      <c r="W815" s="160">
        <v>45572</v>
      </c>
      <c r="X815" s="161">
        <v>45573</v>
      </c>
      <c r="Y815" s="143">
        <v>45572</v>
      </c>
      <c r="Z815" s="262">
        <v>45657</v>
      </c>
      <c r="AA815" s="183" t="s">
        <v>3138</v>
      </c>
      <c r="AB815" s="172" t="s">
        <v>2562</v>
      </c>
      <c r="AC815" s="172"/>
      <c r="AD815" s="425">
        <v>202000005572</v>
      </c>
      <c r="AE815" s="147" t="s">
        <v>523</v>
      </c>
      <c r="AF815" s="148" t="str">
        <f>TEXT(LEFT(Contrato5[[#This Row],[CONTRATO]],3),"0")</f>
        <v>681</v>
      </c>
      <c r="AG815" s="148" t="str">
        <f>IF(LEN(Contrato5[[#This Row],[Contrato2]])=3,Contrato5[[#This Row],[Contrato2]],TEXT(Contrato5[[#This Row],[Contrato2]],"000"))</f>
        <v>681</v>
      </c>
      <c r="AH815" s="149">
        <f ca="1">IFERROR(_xlfn.DAYS(Contrato5[[#This Row],[Fecha Proyectada liquidación]],TODAY())/30,"")</f>
        <v>0.6333333333333333</v>
      </c>
      <c r="AI815" s="150">
        <f>+Contrato5[[#This Row],[FECHA TERMINACIÓN ]]+120</f>
        <v>45777</v>
      </c>
      <c r="AJ815" s="147"/>
      <c r="AK815" s="152" t="str">
        <f ca="1">IF(Contrato5[[#This Row],[FECHA TERMINACIÓN ]]&lt;TODAY(), "Terminado",IF(ISNUMBER(Contrato5[[#This Row],[Fecha Real de liquiidación ]]),"Liquidado",IF(Contrato5[[#This Row],[FECHA TERMINACIÓN ]]&gt;=TODAY(),"En ejecución","")))</f>
        <v>Terminado</v>
      </c>
      <c r="AL815" s="153" t="e">
        <f ca="1">SUMIF([2]!COMPROMISOS_2024[[#All],[consecutivo]],Contrato5[[#This Row],[RCP]],[2]!COMPROMISOS_2024[[#All],[Total pagado]])</f>
        <v>#REF!</v>
      </c>
      <c r="AM815" s="154">
        <f ca="1">IFERROR(Contrato5[[#This Row],[Pagos]]/Contrato5[[#This Row],[VALOR CONTRATO]],0)</f>
        <v>0</v>
      </c>
      <c r="AN815" s="198" t="e">
        <f ca="1">+Contrato5[[#This Row],[VALOR CONTRATO]]-Contrato5[[#This Row],[Pagos]]</f>
        <v>#REF!</v>
      </c>
      <c r="AO815" s="147" t="e" cm="1">
        <f t="array" aca="1" ref="AO815" ca="1">_xlfn.XLOOKUP(Contrato5[[#This Row],[DOCUMENTO ]],[2]!PERSONAL_ACTIVO_2024[[#All],[Documento identidad]],[2]!PERSONAL_ACTIVO_2024[[#All],[Mail ]],0,0)</f>
        <v>#NAME?</v>
      </c>
      <c r="AP815" s="147" t="e" cm="1">
        <f t="array" aca="1" ref="AP815" ca="1">_xlfn.XLOOKUP(Contrato5[[#This Row],[DOCUMENTO]],[2]!PERSONAL_ACTIVO_2024[[#All],[Documento identidad]],[2]!PERSONAL_ACTIVO_2024[[#All],[Mail ]],0,0)</f>
        <v>#NAME?</v>
      </c>
      <c r="AQ815" s="439" cm="1">
        <f t="array" aca="1" ref="AQ815" ca="1">IF(ISBLANK(Contrato5[[#This Row],[DEPENDENCIA ]]),0,IFERROR(_xlfn.XLOOKUP(Contrato5[[#This Row],[DEPENDENCIA ]],[2]!PERSONAL_ACTIVO_2024[[#All],[Dependencia]],[2]!PERSONAL_ACTIVO_2024[[#All],[Mail ]],0,0),0))</f>
        <v>0</v>
      </c>
    </row>
    <row r="816" spans="1:43" ht="34.5" customHeight="1">
      <c r="A816" s="147">
        <v>1115</v>
      </c>
      <c r="B816" s="124">
        <v>681</v>
      </c>
      <c r="C816" s="162" t="s">
        <v>1861</v>
      </c>
      <c r="D816" s="227" t="s">
        <v>515</v>
      </c>
      <c r="E816" s="172" t="s">
        <v>94</v>
      </c>
      <c r="F816" s="227" t="s">
        <v>255</v>
      </c>
      <c r="G816" s="281" t="s">
        <v>3137</v>
      </c>
      <c r="H816" s="436">
        <v>811016084</v>
      </c>
      <c r="I816" s="273" t="s">
        <v>42</v>
      </c>
      <c r="J816" s="445">
        <v>33717000</v>
      </c>
      <c r="K816" s="413" t="s">
        <v>42</v>
      </c>
      <c r="L816" s="438" t="s">
        <v>2462</v>
      </c>
      <c r="M816" s="194" t="s">
        <v>550</v>
      </c>
      <c r="N816" s="177" t="e" cm="1">
        <f t="array" aca="1" ref="N816" ca="1">_xlfn.XLOOKUP(Contrato5[[#This Row],[SUPERVISOR TITULAR]],[2]!PERSONAL_ACTIVO_2024[[#All],[Nombre completo]],[2]!PERSONAL_ACTIVO_2024[[#All],[Documento identidad]],"",0)</f>
        <v>#NAME?</v>
      </c>
      <c r="O816" s="194" t="s">
        <v>852</v>
      </c>
      <c r="P816" s="196" t="e" cm="1">
        <f t="array" aca="1" ref="P816" ca="1">_xlfn.XLOOKUP(Contrato5[[#This Row],[SUPERVISOR SUPLENTE ]],[2]!PERSONAL_ACTIVO_2024[[#All],[Nombre completo]],[2]!PERSONAL_ACTIVO_2024[[#All],[Documento identidad]],"",0)</f>
        <v>#NAME?</v>
      </c>
      <c r="Q816" s="170">
        <v>903</v>
      </c>
      <c r="R816" s="137" t="e" cm="1">
        <f t="array" aca="1" ref="R816" ca="1">_xlfn.XLOOKUP(Contrato5[[#This Row],[CDP]],[2]!DISPONIBILIDADES_2024[[#All],[consecutivo]],[2]!DISPONIBILIDADES_2024[[#All],[fecha_aprobacion]],"",0)</f>
        <v>#NAME?</v>
      </c>
      <c r="S816" s="138" t="e">
        <f>SUMIF([2]!DISPONIBILIDADES_2024[[#All],[consecutivo]],Contrato5[[#This Row],[CDP]],[2]!DISPONIBILIDADES_2024[[#All],[valor_total_rubro]])</f>
        <v>#REF!</v>
      </c>
      <c r="T816" s="139" t="e" cm="1">
        <f t="array" aca="1" ref="T816" ca="1">_xlfn.XLOOKUP(Contrato5[[#This Row],[CONTRATO]]&amp;Contrato5[[#This Row],[CDP]],[2]!Corr_Contr_CDP[[#All],[CONTRATO-CDP]],[2]!Corr_Contr_CDP[[#All],[CRP]],_xlfn.XLOOKUP(Contrato5[[#This Row],[CDP]],[2]!COMPROMISOS_2024[[#All],[disponibilidad]],[2]!COMPROMISOS_2024[[#All],[consecutivo]],"",0),0)</f>
        <v>#NAME?</v>
      </c>
      <c r="U816" s="140" t="e" cm="1">
        <f t="array" aca="1" ref="U816" ca="1">+_xlfn.XLOOKUP(Contrato5[[#This Row],[RCP]],[2]!COMPROMISOS_2024[[#All],[consecutivo]],[2]!COMPROMISOS_2024[[#All],[fecha_aprobacion]],"",0)</f>
        <v>#NAME?</v>
      </c>
      <c r="V816" s="141" t="e">
        <f ca="1">SUMIF([2]!COMPROMISOS_2024[[#All],[consecutivo]],Contrato5[[#This Row],[RCP]],[2]!COMPROMISOS_2024[[#All],[valor_total]])</f>
        <v>#REF!</v>
      </c>
      <c r="W816" s="160">
        <v>45572</v>
      </c>
      <c r="X816" s="161">
        <v>45573</v>
      </c>
      <c r="Y816" s="143">
        <v>45572</v>
      </c>
      <c r="Z816" s="262">
        <v>45657</v>
      </c>
      <c r="AA816" s="183" t="s">
        <v>3138</v>
      </c>
      <c r="AB816" s="172" t="s">
        <v>2562</v>
      </c>
      <c r="AC816" s="172"/>
      <c r="AD816" s="425">
        <v>202000005572</v>
      </c>
      <c r="AE816" s="147" t="s">
        <v>523</v>
      </c>
      <c r="AF816" s="148" t="str">
        <f>TEXT(LEFT(Contrato5[[#This Row],[CONTRATO]],3),"0")</f>
        <v>681</v>
      </c>
      <c r="AG816" s="148" t="str">
        <f>IF(LEN(Contrato5[[#This Row],[Contrato2]])=3,Contrato5[[#This Row],[Contrato2]],TEXT(Contrato5[[#This Row],[Contrato2]],"000"))</f>
        <v>681</v>
      </c>
      <c r="AH816" s="149">
        <f ca="1">IFERROR(_xlfn.DAYS(Contrato5[[#This Row],[Fecha Proyectada liquidación]],TODAY())/30,"")</f>
        <v>0.6333333333333333</v>
      </c>
      <c r="AI816" s="150">
        <f>+Contrato5[[#This Row],[FECHA TERMINACIÓN ]]+120</f>
        <v>45777</v>
      </c>
      <c r="AJ816" s="147"/>
      <c r="AK816" s="152" t="str">
        <f ca="1">IF(Contrato5[[#This Row],[FECHA TERMINACIÓN ]]&lt;TODAY(), "Terminado",IF(ISNUMBER(Contrato5[[#This Row],[Fecha Real de liquiidación ]]),"Liquidado",IF(Contrato5[[#This Row],[FECHA TERMINACIÓN ]]&gt;=TODAY(),"En ejecución","")))</f>
        <v>Terminado</v>
      </c>
      <c r="AL816" s="153" t="e">
        <f ca="1">SUMIF([2]!COMPROMISOS_2024[[#All],[consecutivo]],Contrato5[[#This Row],[RCP]],[2]!COMPROMISOS_2024[[#All],[Total pagado]])</f>
        <v>#REF!</v>
      </c>
      <c r="AM816" s="154">
        <f ca="1">IFERROR(Contrato5[[#This Row],[Pagos]]/Contrato5[[#This Row],[VALOR CONTRATO]],0)</f>
        <v>0</v>
      </c>
      <c r="AN816" s="198" t="e">
        <f ca="1">+Contrato5[[#This Row],[VALOR CONTRATO]]-Contrato5[[#This Row],[Pagos]]</f>
        <v>#REF!</v>
      </c>
      <c r="AO816" s="147" t="e" cm="1">
        <f t="array" aca="1" ref="AO816" ca="1">_xlfn.XLOOKUP(Contrato5[[#This Row],[DOCUMENTO ]],[2]!PERSONAL_ACTIVO_2024[[#All],[Documento identidad]],[2]!PERSONAL_ACTIVO_2024[[#All],[Mail ]],0,0)</f>
        <v>#NAME?</v>
      </c>
      <c r="AP816" s="147" t="e" cm="1">
        <f t="array" aca="1" ref="AP816" ca="1">_xlfn.XLOOKUP(Contrato5[[#This Row],[DOCUMENTO]],[2]!PERSONAL_ACTIVO_2024[[#All],[Documento identidad]],[2]!PERSONAL_ACTIVO_2024[[#All],[Mail ]],0,0)</f>
        <v>#NAME?</v>
      </c>
      <c r="AQ816" s="439" cm="1">
        <f t="array" aca="1" ref="AQ816" ca="1">IF(ISBLANK(Contrato5[[#This Row],[DEPENDENCIA ]]),0,IFERROR(_xlfn.XLOOKUP(Contrato5[[#This Row],[DEPENDENCIA ]],[2]!PERSONAL_ACTIVO_2024[[#All],[Dependencia]],[2]!PERSONAL_ACTIVO_2024[[#All],[Mail ]],0,0),0))</f>
        <v>0</v>
      </c>
    </row>
    <row r="817" spans="1:43" ht="34.5" customHeight="1">
      <c r="A817" s="147" t="s">
        <v>2386</v>
      </c>
      <c r="B817" s="124">
        <v>681</v>
      </c>
      <c r="C817" s="162" t="s">
        <v>1861</v>
      </c>
      <c r="D817" s="227" t="s">
        <v>515</v>
      </c>
      <c r="E817" s="172" t="s">
        <v>94</v>
      </c>
      <c r="F817" s="227" t="s">
        <v>255</v>
      </c>
      <c r="G817" s="281" t="s">
        <v>3137</v>
      </c>
      <c r="H817" s="436">
        <v>811016084</v>
      </c>
      <c r="I817" s="309" t="s">
        <v>42</v>
      </c>
      <c r="J817" s="445">
        <v>18283000</v>
      </c>
      <c r="K817" s="413" t="s">
        <v>42</v>
      </c>
      <c r="L817" s="438" t="s">
        <v>2462</v>
      </c>
      <c r="M817" s="194" t="s">
        <v>550</v>
      </c>
      <c r="N817" s="177" t="e" cm="1">
        <f t="array" aca="1" ref="N817" ca="1">_xlfn.XLOOKUP(Contrato5[[#This Row],[SUPERVISOR TITULAR]],[2]!PERSONAL_ACTIVO_2024[[#All],[Nombre completo]],[2]!PERSONAL_ACTIVO_2024[[#All],[Documento identidad]],"",0)</f>
        <v>#NAME?</v>
      </c>
      <c r="O817" s="194" t="s">
        <v>852</v>
      </c>
      <c r="P817" s="196" t="e" cm="1">
        <f t="array" aca="1" ref="P817" ca="1">_xlfn.XLOOKUP(Contrato5[[#This Row],[SUPERVISOR SUPLENTE ]],[2]!PERSONAL_ACTIVO_2024[[#All],[Nombre completo]],[2]!PERSONAL_ACTIVO_2024[[#All],[Documento identidad]],"",0)</f>
        <v>#NAME?</v>
      </c>
      <c r="Q817" s="170">
        <v>944</v>
      </c>
      <c r="R817" s="137" t="e" cm="1">
        <f t="array" aca="1" ref="R817" ca="1">_xlfn.XLOOKUP(Contrato5[[#This Row],[CDP]],[2]!DISPONIBILIDADES_2024[[#All],[consecutivo]],[2]!DISPONIBILIDADES_2024[[#All],[fecha_aprobacion]],"",0)</f>
        <v>#NAME?</v>
      </c>
      <c r="S817" s="138" t="e">
        <f>SUMIF([2]!DISPONIBILIDADES_2024[[#All],[consecutivo]],Contrato5[[#This Row],[CDP]],[2]!DISPONIBILIDADES_2024[[#All],[valor_total_rubro]])</f>
        <v>#REF!</v>
      </c>
      <c r="T817" s="139" t="e" cm="1">
        <f t="array" aca="1" ref="T817" ca="1">_xlfn.XLOOKUP(Contrato5[[#This Row],[CONTRATO]]&amp;Contrato5[[#This Row],[CDP]],[2]!Corr_Contr_CDP[[#All],[CONTRATO-CDP]],[2]!Corr_Contr_CDP[[#All],[CRP]],_xlfn.XLOOKUP(Contrato5[[#This Row],[CDP]],[2]!COMPROMISOS_2024[[#All],[disponibilidad]],[2]!COMPROMISOS_2024[[#All],[consecutivo]],"",0),0)</f>
        <v>#NAME?</v>
      </c>
      <c r="U817" s="140" t="e" cm="1">
        <f t="array" aca="1" ref="U817" ca="1">+_xlfn.XLOOKUP(Contrato5[[#This Row],[RCP]],[2]!COMPROMISOS_2024[[#All],[consecutivo]],[2]!COMPROMISOS_2024[[#All],[fecha_aprobacion]],"",0)</f>
        <v>#NAME?</v>
      </c>
      <c r="V817" s="141" t="e">
        <f ca="1">SUMIF([2]!COMPROMISOS_2024[[#All],[consecutivo]],Contrato5[[#This Row],[RCP]],[2]!COMPROMISOS_2024[[#All],[valor_total]])</f>
        <v>#REF!</v>
      </c>
      <c r="W817" s="160">
        <v>45572</v>
      </c>
      <c r="X817" s="161">
        <v>45573</v>
      </c>
      <c r="Y817" s="143">
        <v>45572</v>
      </c>
      <c r="Z817" s="262">
        <v>45657</v>
      </c>
      <c r="AA817" s="183" t="s">
        <v>3138</v>
      </c>
      <c r="AB817" s="172" t="s">
        <v>2562</v>
      </c>
      <c r="AC817" s="172"/>
      <c r="AD817" s="425">
        <v>202000005572</v>
      </c>
      <c r="AE817" s="147" t="s">
        <v>523</v>
      </c>
      <c r="AF817" s="148" t="str">
        <f>TEXT(LEFT(Contrato5[[#This Row],[CONTRATO]],3),"0")</f>
        <v>681</v>
      </c>
      <c r="AG817" s="148" t="str">
        <f>IF(LEN(Contrato5[[#This Row],[Contrato2]])=3,Contrato5[[#This Row],[Contrato2]],TEXT(Contrato5[[#This Row],[Contrato2]],"000"))</f>
        <v>681</v>
      </c>
      <c r="AH817" s="149">
        <f ca="1">IFERROR(_xlfn.DAYS(Contrato5[[#This Row],[Fecha Proyectada liquidación]],TODAY())/30,"")</f>
        <v>0.6333333333333333</v>
      </c>
      <c r="AI817" s="150">
        <f>+Contrato5[[#This Row],[FECHA TERMINACIÓN ]]+120</f>
        <v>45777</v>
      </c>
      <c r="AJ817" s="147"/>
      <c r="AK817" s="152" t="str">
        <f ca="1">IF(Contrato5[[#This Row],[FECHA TERMINACIÓN ]]&lt;TODAY(), "Terminado",IF(ISNUMBER(Contrato5[[#This Row],[Fecha Real de liquiidación ]]),"Liquidado",IF(Contrato5[[#This Row],[FECHA TERMINACIÓN ]]&gt;=TODAY(),"En ejecución","")))</f>
        <v>Terminado</v>
      </c>
      <c r="AL817" s="153" t="e">
        <f ca="1">SUMIF([2]!COMPROMISOS_2024[[#All],[consecutivo]],Contrato5[[#This Row],[RCP]],[2]!COMPROMISOS_2024[[#All],[Total pagado]])</f>
        <v>#REF!</v>
      </c>
      <c r="AM817" s="154">
        <f ca="1">IFERROR(Contrato5[[#This Row],[Pagos]]/Contrato5[[#This Row],[VALOR CONTRATO]],0)</f>
        <v>0</v>
      </c>
      <c r="AN817" s="198" t="e">
        <f ca="1">+Contrato5[[#This Row],[VALOR CONTRATO]]-Contrato5[[#This Row],[Pagos]]</f>
        <v>#REF!</v>
      </c>
      <c r="AO817" s="147" t="e" cm="1">
        <f t="array" aca="1" ref="AO817" ca="1">_xlfn.XLOOKUP(Contrato5[[#This Row],[DOCUMENTO ]],[2]!PERSONAL_ACTIVO_2024[[#All],[Documento identidad]],[2]!PERSONAL_ACTIVO_2024[[#All],[Mail ]],0,0)</f>
        <v>#NAME?</v>
      </c>
      <c r="AP817" s="147" t="e" cm="1">
        <f t="array" aca="1" ref="AP817" ca="1">_xlfn.XLOOKUP(Contrato5[[#This Row],[DOCUMENTO]],[2]!PERSONAL_ACTIVO_2024[[#All],[Documento identidad]],[2]!PERSONAL_ACTIVO_2024[[#All],[Mail ]],0,0)</f>
        <v>#NAME?</v>
      </c>
      <c r="AQ817" s="439" cm="1">
        <f t="array" aca="1" ref="AQ817" ca="1">IF(ISBLANK(Contrato5[[#This Row],[DEPENDENCIA ]]),0,IFERROR(_xlfn.XLOOKUP(Contrato5[[#This Row],[DEPENDENCIA ]],[2]!PERSONAL_ACTIVO_2024[[#All],[Dependencia]],[2]!PERSONAL_ACTIVO_2024[[#All],[Mail ]],0,0),0))</f>
        <v>0</v>
      </c>
    </row>
    <row r="818" spans="1:43" ht="34.5" customHeight="1">
      <c r="A818" s="147">
        <v>1150</v>
      </c>
      <c r="B818" s="124">
        <v>682</v>
      </c>
      <c r="C818" s="162" t="s">
        <v>2142</v>
      </c>
      <c r="D818" s="227" t="s">
        <v>583</v>
      </c>
      <c r="E818" s="172" t="s">
        <v>898</v>
      </c>
      <c r="F818" s="227" t="s">
        <v>1767</v>
      </c>
      <c r="G818" s="281" t="s">
        <v>995</v>
      </c>
      <c r="H818" s="436">
        <v>890906279</v>
      </c>
      <c r="I818" s="309" t="s">
        <v>42</v>
      </c>
      <c r="J818" s="445">
        <v>220000000</v>
      </c>
      <c r="K818" s="413" t="s">
        <v>42</v>
      </c>
      <c r="L818" s="438" t="s">
        <v>2462</v>
      </c>
      <c r="M818" s="194" t="s">
        <v>600</v>
      </c>
      <c r="N818" s="177" t="e" cm="1">
        <f t="array" aca="1" ref="N818" ca="1">_xlfn.XLOOKUP(Contrato5[[#This Row],[SUPERVISOR TITULAR]],[2]!PERSONAL_ACTIVO_2024[[#All],[Nombre completo]],[2]!PERSONAL_ACTIVO_2024[[#All],[Documento identidad]],"",0)</f>
        <v>#NAME?</v>
      </c>
      <c r="O818" s="194" t="s">
        <v>2495</v>
      </c>
      <c r="P818" s="196" t="e" cm="1">
        <f t="array" aca="1" ref="P818" ca="1">_xlfn.XLOOKUP(Contrato5[[#This Row],[SUPERVISOR SUPLENTE ]],[2]!PERSONAL_ACTIVO_2024[[#All],[Nombre completo]],[2]!PERSONAL_ACTIVO_2024[[#All],[Documento identidad]],"",0)</f>
        <v>#NAME?</v>
      </c>
      <c r="Q818" s="170">
        <v>957</v>
      </c>
      <c r="R818" s="137" t="e" cm="1">
        <f t="array" aca="1" ref="R818" ca="1">_xlfn.XLOOKUP(Contrato5[[#This Row],[CDP]],[2]!DISPONIBILIDADES_2024[[#All],[consecutivo]],[2]!DISPONIBILIDADES_2024[[#All],[fecha_aprobacion]],"",0)</f>
        <v>#NAME?</v>
      </c>
      <c r="S818" s="138" t="e">
        <f>SUMIF([2]!DISPONIBILIDADES_2024[[#All],[consecutivo]],Contrato5[[#This Row],[CDP]],[2]!DISPONIBILIDADES_2024[[#All],[valor_total_rubro]])</f>
        <v>#REF!</v>
      </c>
      <c r="T818" s="139" t="e" cm="1">
        <f t="array" aca="1" ref="T818" ca="1">_xlfn.XLOOKUP(Contrato5[[#This Row],[CONTRATO]]&amp;Contrato5[[#This Row],[CDP]],[2]!Corr_Contr_CDP[[#All],[CONTRATO-CDP]],[2]!Corr_Contr_CDP[[#All],[CRP]],_xlfn.XLOOKUP(Contrato5[[#This Row],[CDP]],[2]!COMPROMISOS_2024[[#All],[disponibilidad]],[2]!COMPROMISOS_2024[[#All],[consecutivo]],"",0),0)</f>
        <v>#NAME?</v>
      </c>
      <c r="U818" s="140" t="e" cm="1">
        <f t="array" aca="1" ref="U818" ca="1">+_xlfn.XLOOKUP(Contrato5[[#This Row],[RCP]],[2]!COMPROMISOS_2024[[#All],[consecutivo]],[2]!COMPROMISOS_2024[[#All],[fecha_aprobacion]],"",0)</f>
        <v>#NAME?</v>
      </c>
      <c r="V818" s="141" t="e">
        <f ca="1">SUMIF([2]!COMPROMISOS_2024[[#All],[consecutivo]],Contrato5[[#This Row],[RCP]],[2]!COMPROMISOS_2024[[#All],[valor_total]])</f>
        <v>#REF!</v>
      </c>
      <c r="W818" s="160">
        <v>45568</v>
      </c>
      <c r="X818" s="161">
        <v>45573</v>
      </c>
      <c r="Y818" s="143">
        <v>45572</v>
      </c>
      <c r="Z818" s="262">
        <v>45656</v>
      </c>
      <c r="AA818" s="183" t="s">
        <v>3139</v>
      </c>
      <c r="AB818" s="172" t="s">
        <v>3133</v>
      </c>
      <c r="AC818" s="172"/>
      <c r="AD818" s="425">
        <v>202000005573</v>
      </c>
      <c r="AE818" s="147" t="s">
        <v>523</v>
      </c>
      <c r="AF818" s="148" t="str">
        <f>TEXT(LEFT(Contrato5[[#This Row],[CONTRATO]],3),"0")</f>
        <v>682</v>
      </c>
      <c r="AG818" s="148" t="str">
        <f>IF(LEN(Contrato5[[#This Row],[Contrato2]])=3,Contrato5[[#This Row],[Contrato2]],TEXT(Contrato5[[#This Row],[Contrato2]],"000"))</f>
        <v>682</v>
      </c>
      <c r="AH818" s="149">
        <f ca="1">IFERROR(_xlfn.DAYS(Contrato5[[#This Row],[Fecha Proyectada liquidación]],TODAY())/30,"")</f>
        <v>0.6</v>
      </c>
      <c r="AI818" s="150">
        <f>+Contrato5[[#This Row],[FECHA TERMINACIÓN ]]+120</f>
        <v>45776</v>
      </c>
      <c r="AJ818" s="147"/>
      <c r="AK818" s="152" t="str">
        <f ca="1">IF(Contrato5[[#This Row],[FECHA TERMINACIÓN ]]&lt;TODAY(), "Terminado",IF(ISNUMBER(Contrato5[[#This Row],[Fecha Real de liquiidación ]]),"Liquidado",IF(Contrato5[[#This Row],[FECHA TERMINACIÓN ]]&gt;=TODAY(),"En ejecución","")))</f>
        <v>Terminado</v>
      </c>
      <c r="AL818" s="153" t="e">
        <f ca="1">SUMIF([2]!COMPROMISOS_2024[[#All],[consecutivo]],Contrato5[[#This Row],[RCP]],[2]!COMPROMISOS_2024[[#All],[Total pagado]])</f>
        <v>#REF!</v>
      </c>
      <c r="AM818" s="154">
        <f ca="1">IFERROR(Contrato5[[#This Row],[Pagos]]/Contrato5[[#This Row],[VALOR CONTRATO]],0)</f>
        <v>0</v>
      </c>
      <c r="AN818" s="198" t="e">
        <f ca="1">+Contrato5[[#This Row],[VALOR CONTRATO]]-Contrato5[[#This Row],[Pagos]]</f>
        <v>#REF!</v>
      </c>
      <c r="AO818" s="147" t="e" cm="1">
        <f t="array" aca="1" ref="AO818" ca="1">_xlfn.XLOOKUP(Contrato5[[#This Row],[DOCUMENTO ]],[2]!PERSONAL_ACTIVO_2024[[#All],[Documento identidad]],[2]!PERSONAL_ACTIVO_2024[[#All],[Mail ]],0,0)</f>
        <v>#NAME?</v>
      </c>
      <c r="AP818" s="147" t="e" cm="1">
        <f t="array" aca="1" ref="AP818" ca="1">_xlfn.XLOOKUP(Contrato5[[#This Row],[DOCUMENTO]],[2]!PERSONAL_ACTIVO_2024[[#All],[Documento identidad]],[2]!PERSONAL_ACTIVO_2024[[#All],[Mail ]],0,0)</f>
        <v>#NAME?</v>
      </c>
      <c r="AQ818" s="439" cm="1">
        <f t="array" aca="1" ref="AQ818" ca="1">IF(ISBLANK(Contrato5[[#This Row],[DEPENDENCIA ]]),0,IFERROR(_xlfn.XLOOKUP(Contrato5[[#This Row],[DEPENDENCIA ]],[2]!PERSONAL_ACTIVO_2024[[#All],[Dependencia]],[2]!PERSONAL_ACTIVO_2024[[#All],[Mail ]],0,0),0))</f>
        <v>0</v>
      </c>
    </row>
    <row r="819" spans="1:43" ht="34.5" customHeight="1">
      <c r="A819" s="147">
        <v>1211</v>
      </c>
      <c r="B819" s="124">
        <v>683</v>
      </c>
      <c r="C819" s="162" t="s">
        <v>2429</v>
      </c>
      <c r="D819" s="227" t="s">
        <v>493</v>
      </c>
      <c r="E819" s="440" t="s">
        <v>94</v>
      </c>
      <c r="F819" s="227" t="s">
        <v>2781</v>
      </c>
      <c r="G819" s="281" t="s">
        <v>3140</v>
      </c>
      <c r="H819" s="436"/>
      <c r="I819" s="309">
        <v>0</v>
      </c>
      <c r="J819" s="445">
        <v>0</v>
      </c>
      <c r="K819" s="147" t="s">
        <v>3141</v>
      </c>
      <c r="L819" s="438" t="s">
        <v>2462</v>
      </c>
      <c r="M819" s="194" t="s">
        <v>497</v>
      </c>
      <c r="N819" s="177" t="e" cm="1">
        <f t="array" aca="1" ref="N819" ca="1">_xlfn.XLOOKUP(Contrato5[[#This Row],[SUPERVISOR TITULAR]],[2]!PERSONAL_ACTIVO_2024[[#All],[Nombre completo]],[2]!PERSONAL_ACTIVO_2024[[#All],[Documento identidad]],"",0)</f>
        <v>#NAME?</v>
      </c>
      <c r="O819" s="194" t="s">
        <v>498</v>
      </c>
      <c r="P819" s="196" t="e" cm="1">
        <f t="array" aca="1" ref="P819" ca="1">_xlfn.XLOOKUP(Contrato5[[#This Row],[SUPERVISOR SUPLENTE ]],[2]!PERSONAL_ACTIVO_2024[[#All],[Nombre completo]],[2]!PERSONAL_ACTIVO_2024[[#All],[Documento identidad]],"",0)</f>
        <v>#NAME?</v>
      </c>
      <c r="Q819" s="170"/>
      <c r="R819" s="137" t="e" cm="1">
        <f t="array" aca="1" ref="R819" ca="1">_xlfn.XLOOKUP(Contrato5[[#This Row],[CDP]],[2]!DISPONIBILIDADES_2024[[#All],[consecutivo]],[2]!DISPONIBILIDADES_2024[[#All],[fecha_aprobacion]],"",0)</f>
        <v>#NAME?</v>
      </c>
      <c r="S819" s="138" t="e">
        <f>SUMIF([2]!DISPONIBILIDADES_2024[[#All],[consecutivo]],Contrato5[[#This Row],[CDP]],[2]!DISPONIBILIDADES_2024[[#All],[valor_total_rubro]])</f>
        <v>#REF!</v>
      </c>
      <c r="T819" s="139" t="e" cm="1">
        <f t="array" aca="1" ref="T819" ca="1">_xlfn.XLOOKUP(Contrato5[[#This Row],[CONTRATO]]&amp;Contrato5[[#This Row],[CDP]],[2]!Corr_Contr_CDP[[#All],[CONTRATO-CDP]],[2]!Corr_Contr_CDP[[#All],[CRP]],_xlfn.XLOOKUP(Contrato5[[#This Row],[CDP]],[2]!COMPROMISOS_2024[[#All],[disponibilidad]],[2]!COMPROMISOS_2024[[#All],[consecutivo]],"",0),0)</f>
        <v>#NAME?</v>
      </c>
      <c r="U819" s="140" t="e" cm="1">
        <f t="array" aca="1" ref="U819" ca="1">+_xlfn.XLOOKUP(Contrato5[[#This Row],[RCP]],[2]!COMPROMISOS_2024[[#All],[consecutivo]],[2]!COMPROMISOS_2024[[#All],[fecha_aprobacion]],"",0)</f>
        <v>#NAME?</v>
      </c>
      <c r="V819" s="141" t="e">
        <f ca="1">SUMIF([2]!COMPROMISOS_2024[[#All],[consecutivo]],Contrato5[[#This Row],[RCP]],[2]!COMPROMISOS_2024[[#All],[valor_total]])</f>
        <v>#REF!</v>
      </c>
      <c r="W819" s="160">
        <v>45567</v>
      </c>
      <c r="X819" s="161" t="s">
        <v>1045</v>
      </c>
      <c r="Y819" s="143">
        <v>45573</v>
      </c>
      <c r="Z819" s="262">
        <v>46303</v>
      </c>
      <c r="AA819" s="183"/>
      <c r="AB819" s="172" t="s">
        <v>3142</v>
      </c>
      <c r="AC819" s="172"/>
      <c r="AD819" s="288"/>
      <c r="AE819" s="147"/>
      <c r="AF819" s="148" t="str">
        <f>TEXT(LEFT(Contrato5[[#This Row],[CONTRATO]],3),"0")</f>
        <v>683</v>
      </c>
      <c r="AG819" s="148" t="str">
        <f>IF(LEN(Contrato5[[#This Row],[Contrato2]])=3,Contrato5[[#This Row],[Contrato2]],TEXT(Contrato5[[#This Row],[Contrato2]],"000"))</f>
        <v>683</v>
      </c>
      <c r="AH819" s="149">
        <f ca="1">IFERROR(_xlfn.DAYS(Contrato5[[#This Row],[Fecha Proyectada liquidación]],TODAY())/30,"")</f>
        <v>22.166666666666668</v>
      </c>
      <c r="AI819" s="150">
        <f>+Contrato5[[#This Row],[FECHA TERMINACIÓN ]]+120</f>
        <v>46423</v>
      </c>
      <c r="AJ819" s="147"/>
      <c r="AK819" s="152" t="str">
        <f ca="1">IF(Contrato5[[#This Row],[FECHA TERMINACIÓN ]]&lt;TODAY(), "Terminado",IF(ISNUMBER(Contrato5[[#This Row],[Fecha Real de liquiidación ]]),"Liquidado",IF(Contrato5[[#This Row],[FECHA TERMINACIÓN ]]&gt;=TODAY(),"En ejecución","")))</f>
        <v>En ejecución</v>
      </c>
      <c r="AL819" s="153" t="e">
        <f ca="1">SUMIF([2]!COMPROMISOS_2024[[#All],[consecutivo]],Contrato5[[#This Row],[RCP]],[2]!COMPROMISOS_2024[[#All],[Total pagado]])</f>
        <v>#REF!</v>
      </c>
      <c r="AM819" s="154">
        <f ca="1">IFERROR(Contrato5[[#This Row],[Pagos]]/Contrato5[[#This Row],[VALOR CONTRATO]],0)</f>
        <v>0</v>
      </c>
      <c r="AN819" s="198" t="e">
        <f ca="1">+Contrato5[[#This Row],[VALOR CONTRATO]]-Contrato5[[#This Row],[Pagos]]</f>
        <v>#REF!</v>
      </c>
      <c r="AO819" s="147" t="e" cm="1">
        <f t="array" aca="1" ref="AO819" ca="1">_xlfn.XLOOKUP(Contrato5[[#This Row],[DOCUMENTO ]],[2]!PERSONAL_ACTIVO_2024[[#All],[Documento identidad]],[2]!PERSONAL_ACTIVO_2024[[#All],[Mail ]],0,0)</f>
        <v>#NAME?</v>
      </c>
      <c r="AP819" s="147" t="e" cm="1">
        <f t="array" aca="1" ref="AP819" ca="1">_xlfn.XLOOKUP(Contrato5[[#This Row],[DOCUMENTO]],[2]!PERSONAL_ACTIVO_2024[[#All],[Documento identidad]],[2]!PERSONAL_ACTIVO_2024[[#All],[Mail ]],0,0)</f>
        <v>#NAME?</v>
      </c>
      <c r="AQ819" s="439" cm="1">
        <f t="array" aca="1" ref="AQ819" ca="1">IF(ISBLANK(Contrato5[[#This Row],[DEPENDENCIA ]]),0,IFERROR(_xlfn.XLOOKUP(Contrato5[[#This Row],[DEPENDENCIA ]],[2]!PERSONAL_ACTIVO_2024[[#All],[Dependencia]],[2]!PERSONAL_ACTIVO_2024[[#All],[Mail ]],0,0),0))</f>
        <v>0</v>
      </c>
    </row>
    <row r="820" spans="1:43" ht="34.5" customHeight="1">
      <c r="A820" s="147">
        <v>704</v>
      </c>
      <c r="B820" s="124">
        <v>684</v>
      </c>
      <c r="C820" s="162" t="s">
        <v>1760</v>
      </c>
      <c r="D820" s="227" t="s">
        <v>583</v>
      </c>
      <c r="E820" s="227" t="s">
        <v>94</v>
      </c>
      <c r="F820" s="227" t="s">
        <v>255</v>
      </c>
      <c r="G820" s="281" t="s">
        <v>3125</v>
      </c>
      <c r="H820" s="436">
        <v>811017520</v>
      </c>
      <c r="I820" s="309" t="s">
        <v>42</v>
      </c>
      <c r="J820" s="445">
        <v>110000000</v>
      </c>
      <c r="K820" s="413" t="s">
        <v>42</v>
      </c>
      <c r="L820" s="438" t="s">
        <v>2462</v>
      </c>
      <c r="M820" s="194" t="s">
        <v>600</v>
      </c>
      <c r="N820" s="177" t="e" cm="1">
        <f t="array" aca="1" ref="N820" ca="1">_xlfn.XLOOKUP(Contrato5[[#This Row],[SUPERVISOR TITULAR]],[2]!PERSONAL_ACTIVO_2024[[#All],[Nombre completo]],[2]!PERSONAL_ACTIVO_2024[[#All],[Documento identidad]],"",0)</f>
        <v>#NAME?</v>
      </c>
      <c r="O820" s="194" t="s">
        <v>2495</v>
      </c>
      <c r="P820" s="196" t="e" cm="1">
        <f t="array" aca="1" ref="P820" ca="1">_xlfn.XLOOKUP(Contrato5[[#This Row],[SUPERVISOR SUPLENTE ]],[2]!PERSONAL_ACTIVO_2024[[#All],[Nombre completo]],[2]!PERSONAL_ACTIVO_2024[[#All],[Documento identidad]],"",0)</f>
        <v>#NAME?</v>
      </c>
      <c r="Q820" s="170">
        <v>802</v>
      </c>
      <c r="R820" s="137" t="e" cm="1">
        <f t="array" aca="1" ref="R820" ca="1">_xlfn.XLOOKUP(Contrato5[[#This Row],[CDP]],[2]!DISPONIBILIDADES_2024[[#All],[consecutivo]],[2]!DISPONIBILIDADES_2024[[#All],[fecha_aprobacion]],"",0)</f>
        <v>#NAME?</v>
      </c>
      <c r="S820" s="138" t="e">
        <f>SUMIF([2]!DISPONIBILIDADES_2024[[#All],[consecutivo]],Contrato5[[#This Row],[CDP]],[2]!DISPONIBILIDADES_2024[[#All],[valor_total_rubro]])</f>
        <v>#REF!</v>
      </c>
      <c r="T820" s="139" t="e" cm="1">
        <f t="array" aca="1" ref="T820" ca="1">_xlfn.XLOOKUP(Contrato5[[#This Row],[CONTRATO]]&amp;Contrato5[[#This Row],[CDP]],[2]!Corr_Contr_CDP[[#All],[CONTRATO-CDP]],[2]!Corr_Contr_CDP[[#All],[CRP]],_xlfn.XLOOKUP(Contrato5[[#This Row],[CDP]],[2]!COMPROMISOS_2024[[#All],[disponibilidad]],[2]!COMPROMISOS_2024[[#All],[consecutivo]],"",0),0)</f>
        <v>#NAME?</v>
      </c>
      <c r="U820" s="140" t="e" cm="1">
        <f t="array" aca="1" ref="U820" ca="1">+_xlfn.XLOOKUP(Contrato5[[#This Row],[RCP]],[2]!COMPROMISOS_2024[[#All],[consecutivo]],[2]!COMPROMISOS_2024[[#All],[fecha_aprobacion]],"",0)</f>
        <v>#NAME?</v>
      </c>
      <c r="V820" s="141" t="e">
        <f ca="1">SUMIF([2]!COMPROMISOS_2024[[#All],[consecutivo]],Contrato5[[#This Row],[RCP]],[2]!COMPROMISOS_2024[[#All],[valor_total]])</f>
        <v>#REF!</v>
      </c>
      <c r="W820" s="160">
        <v>45568</v>
      </c>
      <c r="X820" s="161">
        <v>45572</v>
      </c>
      <c r="Y820" s="143">
        <v>45573</v>
      </c>
      <c r="Z820" s="262">
        <v>45656</v>
      </c>
      <c r="AA820" s="183" t="s">
        <v>3143</v>
      </c>
      <c r="AB820" s="172" t="s">
        <v>3112</v>
      </c>
      <c r="AC820" s="172"/>
      <c r="AD820" s="425">
        <v>202000005574</v>
      </c>
      <c r="AE820" s="147" t="s">
        <v>523</v>
      </c>
      <c r="AF820" s="148" t="str">
        <f>TEXT(LEFT(Contrato5[[#This Row],[CONTRATO]],3),"0")</f>
        <v>684</v>
      </c>
      <c r="AG820" s="148" t="str">
        <f>IF(LEN(Contrato5[[#This Row],[Contrato2]])=3,Contrato5[[#This Row],[Contrato2]],TEXT(Contrato5[[#This Row],[Contrato2]],"000"))</f>
        <v>684</v>
      </c>
      <c r="AH820" s="149">
        <f ca="1">IFERROR(_xlfn.DAYS(Contrato5[[#This Row],[Fecha Proyectada liquidación]],TODAY())/30,"")</f>
        <v>0.6</v>
      </c>
      <c r="AI820" s="150">
        <f>+Contrato5[[#This Row],[FECHA TERMINACIÓN ]]+120</f>
        <v>45776</v>
      </c>
      <c r="AJ820" s="147"/>
      <c r="AK820" s="152" t="str">
        <f ca="1">IF(Contrato5[[#This Row],[FECHA TERMINACIÓN ]]&lt;TODAY(), "Terminado",IF(ISNUMBER(Contrato5[[#This Row],[Fecha Real de liquiidación ]]),"Liquidado",IF(Contrato5[[#This Row],[FECHA TERMINACIÓN ]]&gt;=TODAY(),"En ejecución","")))</f>
        <v>Terminado</v>
      </c>
      <c r="AL820" s="153" t="e">
        <f ca="1">SUMIF([2]!COMPROMISOS_2024[[#All],[consecutivo]],Contrato5[[#This Row],[RCP]],[2]!COMPROMISOS_2024[[#All],[Total pagado]])</f>
        <v>#REF!</v>
      </c>
      <c r="AM820" s="154">
        <f ca="1">IFERROR(Contrato5[[#This Row],[Pagos]]/Contrato5[[#This Row],[VALOR CONTRATO]],0)</f>
        <v>0</v>
      </c>
      <c r="AN820" s="198" t="e">
        <f ca="1">+Contrato5[[#This Row],[VALOR CONTRATO]]-Contrato5[[#This Row],[Pagos]]</f>
        <v>#REF!</v>
      </c>
      <c r="AO820" s="147" t="e" cm="1">
        <f t="array" aca="1" ref="AO820" ca="1">_xlfn.XLOOKUP(Contrato5[[#This Row],[DOCUMENTO ]],[2]!PERSONAL_ACTIVO_2024[[#All],[Documento identidad]],[2]!PERSONAL_ACTIVO_2024[[#All],[Mail ]],0,0)</f>
        <v>#NAME?</v>
      </c>
      <c r="AP820" s="147" t="e" cm="1">
        <f t="array" aca="1" ref="AP820" ca="1">_xlfn.XLOOKUP(Contrato5[[#This Row],[DOCUMENTO]],[2]!PERSONAL_ACTIVO_2024[[#All],[Documento identidad]],[2]!PERSONAL_ACTIVO_2024[[#All],[Mail ]],0,0)</f>
        <v>#NAME?</v>
      </c>
      <c r="AQ820" s="439" cm="1">
        <f t="array" aca="1" ref="AQ820" ca="1">IF(ISBLANK(Contrato5[[#This Row],[DEPENDENCIA ]]),0,IFERROR(_xlfn.XLOOKUP(Contrato5[[#This Row],[DEPENDENCIA ]],[2]!PERSONAL_ACTIVO_2024[[#All],[Dependencia]],[2]!PERSONAL_ACTIVO_2024[[#All],[Mail ]],0,0),0))</f>
        <v>0</v>
      </c>
    </row>
    <row r="821" spans="1:43" ht="34.5" customHeight="1">
      <c r="A821" s="147">
        <v>1119</v>
      </c>
      <c r="B821" s="124">
        <v>685</v>
      </c>
      <c r="C821" s="162" t="s">
        <v>2075</v>
      </c>
      <c r="D821" s="227" t="s">
        <v>493</v>
      </c>
      <c r="E821" s="227" t="s">
        <v>94</v>
      </c>
      <c r="F821" s="227" t="s">
        <v>1376</v>
      </c>
      <c r="G821" s="281" t="s">
        <v>3144</v>
      </c>
      <c r="H821" s="436">
        <v>1036966894</v>
      </c>
      <c r="I821" s="309">
        <v>7150000</v>
      </c>
      <c r="J821" s="445">
        <v>21450000</v>
      </c>
      <c r="K821" s="413" t="s">
        <v>42</v>
      </c>
      <c r="L821" s="438" t="s">
        <v>2548</v>
      </c>
      <c r="M821" s="194" t="s">
        <v>539</v>
      </c>
      <c r="N821" s="177" t="e" cm="1">
        <f t="array" aca="1" ref="N821" ca="1">_xlfn.XLOOKUP(Contrato5[[#This Row],[SUPERVISOR TITULAR]],[2]!PERSONAL_ACTIVO_2024[[#All],[Nombre completo]],[2]!PERSONAL_ACTIVO_2024[[#All],[Documento identidad]],"",0)</f>
        <v>#NAME?</v>
      </c>
      <c r="O821" s="194"/>
      <c r="P821" s="196" t="e" cm="1">
        <f t="array" aca="1" ref="P821" ca="1">_xlfn.XLOOKUP(Contrato5[[#This Row],[SUPERVISOR SUPLENTE ]],[2]!PERSONAL_ACTIVO_2024[[#All],[Nombre completo]],[2]!PERSONAL_ACTIVO_2024[[#All],[Documento identidad]],"",0)</f>
        <v>#NAME?</v>
      </c>
      <c r="Q821" s="170">
        <v>909</v>
      </c>
      <c r="R821" s="137" t="e" cm="1">
        <f t="array" aca="1" ref="R821" ca="1">_xlfn.XLOOKUP(Contrato5[[#This Row],[CDP]],[2]!DISPONIBILIDADES_2024[[#All],[consecutivo]],[2]!DISPONIBILIDADES_2024[[#All],[fecha_aprobacion]],"",0)</f>
        <v>#NAME?</v>
      </c>
      <c r="S821" s="138" t="e">
        <f>SUMIF([2]!DISPONIBILIDADES_2024[[#All],[consecutivo]],Contrato5[[#This Row],[CDP]],[2]!DISPONIBILIDADES_2024[[#All],[valor_total_rubro]])</f>
        <v>#REF!</v>
      </c>
      <c r="T821" s="139" t="e" cm="1">
        <f t="array" aca="1" ref="T821" ca="1">_xlfn.XLOOKUP(Contrato5[[#This Row],[CONTRATO]]&amp;Contrato5[[#This Row],[CDP]],[2]!Corr_Contr_CDP[[#All],[CONTRATO-CDP]],[2]!Corr_Contr_CDP[[#All],[CRP]],_xlfn.XLOOKUP(Contrato5[[#This Row],[CDP]],[2]!COMPROMISOS_2024[[#All],[disponibilidad]],[2]!COMPROMISOS_2024[[#All],[consecutivo]],"",0),0)</f>
        <v>#NAME?</v>
      </c>
      <c r="U821" s="140" t="e" cm="1">
        <f t="array" aca="1" ref="U821" ca="1">+_xlfn.XLOOKUP(Contrato5[[#This Row],[RCP]],[2]!COMPROMISOS_2024[[#All],[consecutivo]],[2]!COMPROMISOS_2024[[#All],[fecha_aprobacion]],"",0)</f>
        <v>#NAME?</v>
      </c>
      <c r="V821" s="141" t="e">
        <f ca="1">SUMIF([2]!COMPROMISOS_2024[[#All],[consecutivo]],Contrato5[[#This Row],[RCP]],[2]!COMPROMISOS_2024[[#All],[valor_total]])</f>
        <v>#REF!</v>
      </c>
      <c r="W821" s="160">
        <v>45567</v>
      </c>
      <c r="X821" s="160" t="s">
        <v>1045</v>
      </c>
      <c r="Y821" s="143">
        <v>45567</v>
      </c>
      <c r="Z821" s="262">
        <v>45656</v>
      </c>
      <c r="AA821" s="183" t="s">
        <v>3145</v>
      </c>
      <c r="AB821" s="172" t="s">
        <v>2587</v>
      </c>
      <c r="AC821" s="172"/>
      <c r="AD821" s="425">
        <v>202000005575</v>
      </c>
      <c r="AE821" s="147" t="s">
        <v>523</v>
      </c>
      <c r="AF821" s="148" t="str">
        <f>TEXT(LEFT(Contrato5[[#This Row],[CONTRATO]],3),"0")</f>
        <v>685</v>
      </c>
      <c r="AG821" s="148" t="str">
        <f>IF(LEN(Contrato5[[#This Row],[Contrato2]])=3,Contrato5[[#This Row],[Contrato2]],TEXT(Contrato5[[#This Row],[Contrato2]],"000"))</f>
        <v>685</v>
      </c>
      <c r="AH821" s="149">
        <f ca="1">IFERROR(_xlfn.DAYS(Contrato5[[#This Row],[Fecha Proyectada liquidación]],TODAY())/30,"")</f>
        <v>0.6</v>
      </c>
      <c r="AI821" s="150">
        <f>+Contrato5[[#This Row],[FECHA TERMINACIÓN ]]+120</f>
        <v>45776</v>
      </c>
      <c r="AJ821" s="147"/>
      <c r="AK821" s="152" t="str">
        <f ca="1">IF(Contrato5[[#This Row],[FECHA TERMINACIÓN ]]&lt;TODAY(), "Terminado",IF(ISNUMBER(Contrato5[[#This Row],[Fecha Real de liquiidación ]]),"Liquidado",IF(Contrato5[[#This Row],[FECHA TERMINACIÓN ]]&gt;=TODAY(),"En ejecución","")))</f>
        <v>Terminado</v>
      </c>
      <c r="AL821" s="153" t="e">
        <f ca="1">SUMIF([2]!COMPROMISOS_2024[[#All],[consecutivo]],Contrato5[[#This Row],[RCP]],[2]!COMPROMISOS_2024[[#All],[Total pagado]])</f>
        <v>#REF!</v>
      </c>
      <c r="AM821" s="154">
        <f ca="1">IFERROR(Contrato5[[#This Row],[Pagos]]/Contrato5[[#This Row],[VALOR CONTRATO]],0)</f>
        <v>0</v>
      </c>
      <c r="AN821" s="198" t="e">
        <f ca="1">+Contrato5[[#This Row],[VALOR CONTRATO]]-Contrato5[[#This Row],[Pagos]]</f>
        <v>#REF!</v>
      </c>
      <c r="AO821" s="147" t="e" cm="1">
        <f t="array" aca="1" ref="AO821" ca="1">_xlfn.XLOOKUP(Contrato5[[#This Row],[DOCUMENTO ]],[2]!PERSONAL_ACTIVO_2024[[#All],[Documento identidad]],[2]!PERSONAL_ACTIVO_2024[[#All],[Mail ]],0,0)</f>
        <v>#NAME?</v>
      </c>
      <c r="AP821" s="147" t="e" cm="1">
        <f t="array" aca="1" ref="AP821" ca="1">_xlfn.XLOOKUP(Contrato5[[#This Row],[DOCUMENTO]],[2]!PERSONAL_ACTIVO_2024[[#All],[Documento identidad]],[2]!PERSONAL_ACTIVO_2024[[#All],[Mail ]],0,0)</f>
        <v>#NAME?</v>
      </c>
      <c r="AQ821" s="439" cm="1">
        <f t="array" aca="1" ref="AQ821" ca="1">IF(ISBLANK(Contrato5[[#This Row],[DEPENDENCIA ]]),0,IFERROR(_xlfn.XLOOKUP(Contrato5[[#This Row],[DEPENDENCIA ]],[2]!PERSONAL_ACTIVO_2024[[#All],[Dependencia]],[2]!PERSONAL_ACTIVO_2024[[#All],[Mail ]],0,0),0))</f>
        <v>0</v>
      </c>
    </row>
    <row r="822" spans="1:43" ht="34.5" customHeight="1">
      <c r="A822" s="147">
        <v>990</v>
      </c>
      <c r="B822" s="124">
        <v>686</v>
      </c>
      <c r="C822" s="162" t="s">
        <v>1859</v>
      </c>
      <c r="D822" s="227" t="s">
        <v>515</v>
      </c>
      <c r="E822" s="227" t="s">
        <v>94</v>
      </c>
      <c r="F822" s="227" t="s">
        <v>494</v>
      </c>
      <c r="G822" s="281" t="s">
        <v>516</v>
      </c>
      <c r="H822" s="436">
        <v>901437957</v>
      </c>
      <c r="I822" s="309" t="s">
        <v>42</v>
      </c>
      <c r="J822" s="445">
        <v>703328504</v>
      </c>
      <c r="K822" s="413" t="s">
        <v>42</v>
      </c>
      <c r="L822" s="438" t="s">
        <v>3146</v>
      </c>
      <c r="M822" s="194" t="s">
        <v>852</v>
      </c>
      <c r="N822" s="177" t="e" cm="1">
        <f t="array" aca="1" ref="N822" ca="1">_xlfn.XLOOKUP(Contrato5[[#This Row],[SUPERVISOR TITULAR]],[2]!PERSONAL_ACTIVO_2024[[#All],[Nombre completo]],[2]!PERSONAL_ACTIVO_2024[[#All],[Documento identidad]],"",0)</f>
        <v>#NAME?</v>
      </c>
      <c r="O822" s="194" t="s">
        <v>549</v>
      </c>
      <c r="P822" s="196" t="e" cm="1">
        <f t="array" aca="1" ref="P822" ca="1">_xlfn.XLOOKUP(Contrato5[[#This Row],[SUPERVISOR SUPLENTE ]],[2]!PERSONAL_ACTIVO_2024[[#All],[Nombre completo]],[2]!PERSONAL_ACTIVO_2024[[#All],[Documento identidad]],"",0)</f>
        <v>#NAME?</v>
      </c>
      <c r="Q822" s="170">
        <v>810</v>
      </c>
      <c r="R822" s="137" t="e" cm="1">
        <f t="array" aca="1" ref="R822" ca="1">_xlfn.XLOOKUP(Contrato5[[#This Row],[CDP]],[2]!DISPONIBILIDADES_2024[[#All],[consecutivo]],[2]!DISPONIBILIDADES_2024[[#All],[fecha_aprobacion]],"",0)</f>
        <v>#NAME?</v>
      </c>
      <c r="S822" s="138" t="e">
        <f>SUMIF([2]!DISPONIBILIDADES_2024[[#All],[consecutivo]],Contrato5[[#This Row],[CDP]],[2]!DISPONIBILIDADES_2024[[#All],[valor_total_rubro]])</f>
        <v>#REF!</v>
      </c>
      <c r="T822" s="139" t="e" cm="1">
        <f t="array" aca="1" ref="T822" ca="1">_xlfn.XLOOKUP(Contrato5[[#This Row],[CONTRATO]]&amp;Contrato5[[#This Row],[CDP]],[2]!Corr_Contr_CDP[[#All],[CONTRATO-CDP]],[2]!Corr_Contr_CDP[[#All],[CRP]],_xlfn.XLOOKUP(Contrato5[[#This Row],[CDP]],[2]!COMPROMISOS_2024[[#All],[disponibilidad]],[2]!COMPROMISOS_2024[[#All],[consecutivo]],"",0),0)</f>
        <v>#NAME?</v>
      </c>
      <c r="U822" s="140" t="e" cm="1">
        <f t="array" aca="1" ref="U822" ca="1">+_xlfn.XLOOKUP(Contrato5[[#This Row],[RCP]],[2]!COMPROMISOS_2024[[#All],[consecutivo]],[2]!COMPROMISOS_2024[[#All],[fecha_aprobacion]],"",0)</f>
        <v>#NAME?</v>
      </c>
      <c r="V822" s="141" t="e">
        <f ca="1">SUMIF([2]!COMPROMISOS_2024[[#All],[consecutivo]],Contrato5[[#This Row],[RCP]],[2]!COMPROMISOS_2024[[#All],[valor_total]])</f>
        <v>#REF!</v>
      </c>
      <c r="W822" s="160">
        <v>45574</v>
      </c>
      <c r="X822" s="161">
        <v>45574</v>
      </c>
      <c r="Y822" s="143">
        <v>45575</v>
      </c>
      <c r="Z822" s="262">
        <v>45656</v>
      </c>
      <c r="AA822" s="183" t="s">
        <v>3147</v>
      </c>
      <c r="AB822" s="172" t="s">
        <v>529</v>
      </c>
      <c r="AC822" s="172"/>
      <c r="AD822" s="425">
        <v>202000005576</v>
      </c>
      <c r="AE822" s="147" t="s">
        <v>523</v>
      </c>
      <c r="AF822" s="148" t="str">
        <f>TEXT(LEFT(Contrato5[[#This Row],[CONTRATO]],3),"0")</f>
        <v>686</v>
      </c>
      <c r="AG822" s="148" t="str">
        <f>IF(LEN(Contrato5[[#This Row],[Contrato2]])=3,Contrato5[[#This Row],[Contrato2]],TEXT(Contrato5[[#This Row],[Contrato2]],"000"))</f>
        <v>686</v>
      </c>
      <c r="AH822" s="149">
        <f ca="1">IFERROR(_xlfn.DAYS(Contrato5[[#This Row],[Fecha Proyectada liquidación]],TODAY())/30,"")</f>
        <v>0.6</v>
      </c>
      <c r="AI822" s="150">
        <f>+Contrato5[[#This Row],[FECHA TERMINACIÓN ]]+120</f>
        <v>45776</v>
      </c>
      <c r="AJ822" s="147"/>
      <c r="AK822" s="152" t="str">
        <f ca="1">IF(Contrato5[[#This Row],[FECHA TERMINACIÓN ]]&lt;TODAY(), "Terminado",IF(ISNUMBER(Contrato5[[#This Row],[Fecha Real de liquiidación ]]),"Liquidado",IF(Contrato5[[#This Row],[FECHA TERMINACIÓN ]]&gt;=TODAY(),"En ejecución","")))</f>
        <v>Terminado</v>
      </c>
      <c r="AL822" s="153" t="e">
        <f ca="1">SUMIF([2]!COMPROMISOS_2024[[#All],[consecutivo]],Contrato5[[#This Row],[RCP]],[2]!COMPROMISOS_2024[[#All],[Total pagado]])</f>
        <v>#REF!</v>
      </c>
      <c r="AM822" s="154">
        <f ca="1">IFERROR(Contrato5[[#This Row],[Pagos]]/Contrato5[[#This Row],[VALOR CONTRATO]],0)</f>
        <v>0</v>
      </c>
      <c r="AN822" s="198" t="e">
        <f ca="1">+Contrato5[[#This Row],[VALOR CONTRATO]]-Contrato5[[#This Row],[Pagos]]</f>
        <v>#REF!</v>
      </c>
      <c r="AO822" s="147" t="e" cm="1">
        <f t="array" aca="1" ref="AO822" ca="1">_xlfn.XLOOKUP(Contrato5[[#This Row],[DOCUMENTO ]],[2]!PERSONAL_ACTIVO_2024[[#All],[Documento identidad]],[2]!PERSONAL_ACTIVO_2024[[#All],[Mail ]],0,0)</f>
        <v>#NAME?</v>
      </c>
      <c r="AP822" s="147" t="e" cm="1">
        <f t="array" aca="1" ref="AP822" ca="1">_xlfn.XLOOKUP(Contrato5[[#This Row],[DOCUMENTO]],[2]!PERSONAL_ACTIVO_2024[[#All],[Documento identidad]],[2]!PERSONAL_ACTIVO_2024[[#All],[Mail ]],0,0)</f>
        <v>#NAME?</v>
      </c>
      <c r="AQ822" s="439" cm="1">
        <f t="array" aca="1" ref="AQ822" ca="1">IF(ISBLANK(Contrato5[[#This Row],[DEPENDENCIA ]]),0,IFERROR(_xlfn.XLOOKUP(Contrato5[[#This Row],[DEPENDENCIA ]],[2]!PERSONAL_ACTIVO_2024[[#All],[Dependencia]],[2]!PERSONAL_ACTIVO_2024[[#All],[Mail ]],0,0),0))</f>
        <v>0</v>
      </c>
    </row>
    <row r="823" spans="1:43" ht="34.5" customHeight="1">
      <c r="A823" s="147">
        <v>767</v>
      </c>
      <c r="B823" s="124">
        <v>687</v>
      </c>
      <c r="C823" s="162" t="s">
        <v>1483</v>
      </c>
      <c r="D823" s="227" t="s">
        <v>556</v>
      </c>
      <c r="E823" s="227" t="s">
        <v>197</v>
      </c>
      <c r="F823" s="227" t="s">
        <v>494</v>
      </c>
      <c r="G823" s="281" t="s">
        <v>3148</v>
      </c>
      <c r="H823" s="436">
        <v>830016004</v>
      </c>
      <c r="I823" s="309" t="s">
        <v>42</v>
      </c>
      <c r="J823" s="445">
        <v>54900000</v>
      </c>
      <c r="K823" s="413" t="s">
        <v>42</v>
      </c>
      <c r="L823" s="438" t="s">
        <v>2815</v>
      </c>
      <c r="M823" s="194" t="s">
        <v>560</v>
      </c>
      <c r="N823" s="177" t="e" cm="1">
        <f t="array" aca="1" ref="N823" ca="1">_xlfn.XLOOKUP(Contrato5[[#This Row],[SUPERVISOR TITULAR]],[2]!PERSONAL_ACTIVO_2024[[#All],[Nombre completo]],[2]!PERSONAL_ACTIVO_2024[[#All],[Documento identidad]],"",0)</f>
        <v>#NAME?</v>
      </c>
      <c r="O823" s="194" t="s">
        <v>2504</v>
      </c>
      <c r="P823" s="196" t="e" cm="1">
        <f t="array" aca="1" ref="P823" ca="1">_xlfn.XLOOKUP(Contrato5[[#This Row],[SUPERVISOR SUPLENTE ]],[2]!PERSONAL_ACTIVO_2024[[#All],[Nombre completo]],[2]!PERSONAL_ACTIVO_2024[[#All],[Documento identidad]],"",0)</f>
        <v>#NAME?</v>
      </c>
      <c r="Q823" s="170">
        <v>626</v>
      </c>
      <c r="R823" s="137" t="e" cm="1">
        <f t="array" aca="1" ref="R823" ca="1">_xlfn.XLOOKUP(Contrato5[[#This Row],[CDP]],[2]!DISPONIBILIDADES_2024[[#All],[consecutivo]],[2]!DISPONIBILIDADES_2024[[#All],[fecha_aprobacion]],"",0)</f>
        <v>#NAME?</v>
      </c>
      <c r="S823" s="138" t="e">
        <f>SUMIF([2]!DISPONIBILIDADES_2024[[#All],[consecutivo]],Contrato5[[#This Row],[CDP]],[2]!DISPONIBILIDADES_2024[[#All],[valor_total_rubro]])</f>
        <v>#REF!</v>
      </c>
      <c r="T823" s="139" t="e" cm="1">
        <f t="array" aca="1" ref="T823" ca="1">_xlfn.XLOOKUP(Contrato5[[#This Row],[CONTRATO]]&amp;Contrato5[[#This Row],[CDP]],[2]!Corr_Contr_CDP[[#All],[CONTRATO-CDP]],[2]!Corr_Contr_CDP[[#All],[CRP]],_xlfn.XLOOKUP(Contrato5[[#This Row],[CDP]],[2]!COMPROMISOS_2024[[#All],[disponibilidad]],[2]!COMPROMISOS_2024[[#All],[consecutivo]],"",0),0)</f>
        <v>#NAME?</v>
      </c>
      <c r="U823" s="140" t="e" cm="1">
        <f t="array" aca="1" ref="U823" ca="1">+_xlfn.XLOOKUP(Contrato5[[#This Row],[RCP]],[2]!COMPROMISOS_2024[[#All],[consecutivo]],[2]!COMPROMISOS_2024[[#All],[fecha_aprobacion]],"",0)</f>
        <v>#NAME?</v>
      </c>
      <c r="V823" s="141" t="e">
        <f ca="1">SUMIF([2]!COMPROMISOS_2024[[#All],[consecutivo]],Contrato5[[#This Row],[RCP]],[2]!COMPROMISOS_2024[[#All],[valor_total]])</f>
        <v>#REF!</v>
      </c>
      <c r="W823" s="160">
        <v>45574</v>
      </c>
      <c r="X823" s="161">
        <v>45576</v>
      </c>
      <c r="Y823" s="143">
        <v>45582</v>
      </c>
      <c r="Z823" s="262">
        <v>45657</v>
      </c>
      <c r="AA823" s="183" t="s">
        <v>3149</v>
      </c>
      <c r="AB823" s="172" t="s">
        <v>878</v>
      </c>
      <c r="AC823" s="172"/>
      <c r="AD823" s="425">
        <v>202000005577</v>
      </c>
      <c r="AE823" s="147" t="s">
        <v>523</v>
      </c>
      <c r="AF823" s="148" t="str">
        <f>TEXT(LEFT(Contrato5[[#This Row],[CONTRATO]],3),"0")</f>
        <v>687</v>
      </c>
      <c r="AG823" s="148" t="str">
        <f>IF(LEN(Contrato5[[#This Row],[Contrato2]])=3,Contrato5[[#This Row],[Contrato2]],TEXT(Contrato5[[#This Row],[Contrato2]],"000"))</f>
        <v>687</v>
      </c>
      <c r="AH823" s="149">
        <f ca="1">IFERROR(_xlfn.DAYS(Contrato5[[#This Row],[Fecha Proyectada liquidación]],TODAY())/30,"")</f>
        <v>0.6333333333333333</v>
      </c>
      <c r="AI823" s="150">
        <f>+Contrato5[[#This Row],[FECHA TERMINACIÓN ]]+120</f>
        <v>45777</v>
      </c>
      <c r="AJ823" s="147"/>
      <c r="AK823" s="152" t="str">
        <f ca="1">IF(Contrato5[[#This Row],[FECHA TERMINACIÓN ]]&lt;TODAY(), "Terminado",IF(ISNUMBER(Contrato5[[#This Row],[Fecha Real de liquiidación ]]),"Liquidado",IF(Contrato5[[#This Row],[FECHA TERMINACIÓN ]]&gt;=TODAY(),"En ejecución","")))</f>
        <v>Terminado</v>
      </c>
      <c r="AL823" s="153" t="e">
        <f ca="1">SUMIF([2]!COMPROMISOS_2024[[#All],[consecutivo]],Contrato5[[#This Row],[RCP]],[2]!COMPROMISOS_2024[[#All],[Total pagado]])</f>
        <v>#REF!</v>
      </c>
      <c r="AM823" s="154">
        <f ca="1">IFERROR(Contrato5[[#This Row],[Pagos]]/Contrato5[[#This Row],[VALOR CONTRATO]],0)</f>
        <v>0</v>
      </c>
      <c r="AN823" s="198" t="e">
        <f ca="1">+Contrato5[[#This Row],[VALOR CONTRATO]]-Contrato5[[#This Row],[Pagos]]</f>
        <v>#REF!</v>
      </c>
      <c r="AO823" s="147" t="e" cm="1">
        <f t="array" aca="1" ref="AO823" ca="1">_xlfn.XLOOKUP(Contrato5[[#This Row],[DOCUMENTO ]],[2]!PERSONAL_ACTIVO_2024[[#All],[Documento identidad]],[2]!PERSONAL_ACTIVO_2024[[#All],[Mail ]],0,0)</f>
        <v>#NAME?</v>
      </c>
      <c r="AP823" s="147" t="e" cm="1">
        <f t="array" aca="1" ref="AP823" ca="1">_xlfn.XLOOKUP(Contrato5[[#This Row],[DOCUMENTO]],[2]!PERSONAL_ACTIVO_2024[[#All],[Documento identidad]],[2]!PERSONAL_ACTIVO_2024[[#All],[Mail ]],0,0)</f>
        <v>#NAME?</v>
      </c>
      <c r="AQ823" s="439" cm="1">
        <f t="array" aca="1" ref="AQ823" ca="1">IF(ISBLANK(Contrato5[[#This Row],[DEPENDENCIA ]]),0,IFERROR(_xlfn.XLOOKUP(Contrato5[[#This Row],[DEPENDENCIA ]],[2]!PERSONAL_ACTIVO_2024[[#All],[Dependencia]],[2]!PERSONAL_ACTIVO_2024[[#All],[Mail ]],0,0),0))</f>
        <v>0</v>
      </c>
    </row>
    <row r="824" spans="1:43" ht="34.5" customHeight="1">
      <c r="A824" s="147" t="s">
        <v>1390</v>
      </c>
      <c r="B824" s="124">
        <v>688</v>
      </c>
      <c r="C824" s="162" t="s">
        <v>1391</v>
      </c>
      <c r="D824" s="227" t="s">
        <v>3010</v>
      </c>
      <c r="E824" s="227" t="s">
        <v>94</v>
      </c>
      <c r="F824" s="227" t="s">
        <v>1376</v>
      </c>
      <c r="G824" s="281" t="s">
        <v>3150</v>
      </c>
      <c r="H824" s="436">
        <v>43463569</v>
      </c>
      <c r="I824" s="309">
        <v>3250000</v>
      </c>
      <c r="J824" s="445">
        <v>10616664</v>
      </c>
      <c r="K824" s="413" t="s">
        <v>42</v>
      </c>
      <c r="L824" s="438" t="s">
        <v>2548</v>
      </c>
      <c r="M824" s="194" t="s">
        <v>3011</v>
      </c>
      <c r="N824" s="177" t="e" cm="1">
        <f t="array" aca="1" ref="N824" ca="1">_xlfn.XLOOKUP(Contrato5[[#This Row],[SUPERVISOR TITULAR]],[2]!PERSONAL_ACTIVO_2024[[#All],[Nombre completo]],[2]!PERSONAL_ACTIVO_2024[[#All],[Documento identidad]],"",0)</f>
        <v>#NAME?</v>
      </c>
      <c r="O824" s="194" t="s">
        <v>799</v>
      </c>
      <c r="P824" s="196" t="e" cm="1">
        <f t="array" aca="1" ref="P824" ca="1">_xlfn.XLOOKUP(Contrato5[[#This Row],[SUPERVISOR SUPLENTE ]],[2]!PERSONAL_ACTIVO_2024[[#All],[Nombre completo]],[2]!PERSONAL_ACTIVO_2024[[#All],[Documento identidad]],"",0)</f>
        <v>#NAME?</v>
      </c>
      <c r="Q824" s="170">
        <v>817</v>
      </c>
      <c r="R824" s="137" t="e" cm="1">
        <f t="array" aca="1" ref="R824" ca="1">_xlfn.XLOOKUP(Contrato5[[#This Row],[CDP]],[2]!DISPONIBILIDADES_2024[[#All],[consecutivo]],[2]!DISPONIBILIDADES_2024[[#All],[fecha_aprobacion]],"",0)</f>
        <v>#NAME?</v>
      </c>
      <c r="S824" s="138" t="e">
        <f>SUMIF([2]!DISPONIBILIDADES_2024[[#All],[consecutivo]],Contrato5[[#This Row],[CDP]],[2]!DISPONIBILIDADES_2024[[#All],[valor_total_rubro]])</f>
        <v>#REF!</v>
      </c>
      <c r="T824" s="139" t="e" cm="1">
        <f t="array" aca="1" ref="T824" ca="1">_xlfn.XLOOKUP(Contrato5[[#This Row],[CONTRATO]]&amp;Contrato5[[#This Row],[CDP]],[2]!Corr_Contr_CDP[[#All],[CONTRATO-CDP]],[2]!Corr_Contr_CDP[[#All],[CRP]],_xlfn.XLOOKUP(Contrato5[[#This Row],[CDP]],[2]!COMPROMISOS_2024[[#All],[disponibilidad]],[2]!COMPROMISOS_2024[[#All],[consecutivo]],"",0),0)</f>
        <v>#NAME?</v>
      </c>
      <c r="U824" s="140" t="e" cm="1">
        <f t="array" aca="1" ref="U824" ca="1">+_xlfn.XLOOKUP(Contrato5[[#This Row],[RCP]],[2]!COMPROMISOS_2024[[#All],[consecutivo]],[2]!COMPROMISOS_2024[[#All],[fecha_aprobacion]],"",0)</f>
        <v>#NAME?</v>
      </c>
      <c r="V824" s="141" t="e">
        <f ca="1">SUMIF([2]!COMPROMISOS_2024[[#All],[consecutivo]],Contrato5[[#This Row],[RCP]],[2]!COMPROMISOS_2024[[#All],[valor_total]])</f>
        <v>#REF!</v>
      </c>
      <c r="W824" s="160">
        <v>45582</v>
      </c>
      <c r="X824" s="160" t="s">
        <v>1045</v>
      </c>
      <c r="Y824" s="143">
        <v>45587</v>
      </c>
      <c r="Z824" s="262">
        <v>45657</v>
      </c>
      <c r="AA824" s="183" t="s">
        <v>3151</v>
      </c>
      <c r="AB824" s="172" t="s">
        <v>3101</v>
      </c>
      <c r="AC824" s="172"/>
      <c r="AD824" s="425">
        <v>202000005578</v>
      </c>
      <c r="AE824" s="147" t="s">
        <v>523</v>
      </c>
      <c r="AF824" s="148" t="str">
        <f>TEXT(LEFT(Contrato5[[#This Row],[CONTRATO]],3),"0")</f>
        <v>688</v>
      </c>
      <c r="AG824" s="148" t="str">
        <f>IF(LEN(Contrato5[[#This Row],[Contrato2]])=3,Contrato5[[#This Row],[Contrato2]],TEXT(Contrato5[[#This Row],[Contrato2]],"000"))</f>
        <v>688</v>
      </c>
      <c r="AH824" s="149">
        <f ca="1">IFERROR(_xlfn.DAYS(Contrato5[[#This Row],[Fecha Proyectada liquidación]],TODAY())/30,"")</f>
        <v>0.6333333333333333</v>
      </c>
      <c r="AI824" s="150">
        <f>+Contrato5[[#This Row],[FECHA TERMINACIÓN ]]+120</f>
        <v>45777</v>
      </c>
      <c r="AJ824" s="147"/>
      <c r="AK824" s="152" t="str">
        <f ca="1">IF(Contrato5[[#This Row],[FECHA TERMINACIÓN ]]&lt;TODAY(), "Terminado",IF(ISNUMBER(Contrato5[[#This Row],[Fecha Real de liquiidación ]]),"Liquidado",IF(Contrato5[[#This Row],[FECHA TERMINACIÓN ]]&gt;=TODAY(),"En ejecución","")))</f>
        <v>Terminado</v>
      </c>
      <c r="AL824" s="153" t="e">
        <f ca="1">SUMIF([2]!COMPROMISOS_2024[[#All],[consecutivo]],Contrato5[[#This Row],[RCP]],[2]!COMPROMISOS_2024[[#All],[Total pagado]])</f>
        <v>#REF!</v>
      </c>
      <c r="AM824" s="154">
        <f ca="1">IFERROR(Contrato5[[#This Row],[Pagos]]/Contrato5[[#This Row],[VALOR CONTRATO]],0)</f>
        <v>0</v>
      </c>
      <c r="AN824" s="198" t="e">
        <f ca="1">+Contrato5[[#This Row],[VALOR CONTRATO]]-Contrato5[[#This Row],[Pagos]]</f>
        <v>#REF!</v>
      </c>
      <c r="AO824" s="147" t="e" cm="1">
        <f t="array" aca="1" ref="AO824" ca="1">_xlfn.XLOOKUP(Contrato5[[#This Row],[DOCUMENTO ]],[2]!PERSONAL_ACTIVO_2024[[#All],[Documento identidad]],[2]!PERSONAL_ACTIVO_2024[[#All],[Mail ]],0,0)</f>
        <v>#NAME?</v>
      </c>
      <c r="AP824" s="147" t="e" cm="1">
        <f t="array" aca="1" ref="AP824" ca="1">_xlfn.XLOOKUP(Contrato5[[#This Row],[DOCUMENTO]],[2]!PERSONAL_ACTIVO_2024[[#All],[Documento identidad]],[2]!PERSONAL_ACTIVO_2024[[#All],[Mail ]],0,0)</f>
        <v>#NAME?</v>
      </c>
      <c r="AQ824" s="439" cm="1">
        <f t="array" aca="1" ref="AQ824" ca="1">IF(ISBLANK(Contrato5[[#This Row],[DEPENDENCIA ]]),0,IFERROR(_xlfn.XLOOKUP(Contrato5[[#This Row],[DEPENDENCIA ]],[2]!PERSONAL_ACTIVO_2024[[#All],[Dependencia]],[2]!PERSONAL_ACTIVO_2024[[#All],[Mail ]],0,0),0))</f>
        <v>0</v>
      </c>
    </row>
    <row r="825" spans="1:43" ht="34.5" customHeight="1">
      <c r="A825" s="147">
        <v>1208</v>
      </c>
      <c r="B825" s="124">
        <v>689</v>
      </c>
      <c r="C825" s="162" t="s">
        <v>2226</v>
      </c>
      <c r="D825" s="227" t="s">
        <v>583</v>
      </c>
      <c r="E825" s="227" t="s">
        <v>94</v>
      </c>
      <c r="F825" s="227" t="s">
        <v>255</v>
      </c>
      <c r="G825" s="281" t="s">
        <v>3152</v>
      </c>
      <c r="H825" s="436">
        <v>890980179</v>
      </c>
      <c r="I825" s="309">
        <v>0</v>
      </c>
      <c r="J825" s="445">
        <v>0</v>
      </c>
      <c r="K825" s="147"/>
      <c r="L825" s="438" t="s">
        <v>2462</v>
      </c>
      <c r="M825" s="194" t="s">
        <v>645</v>
      </c>
      <c r="N825" s="177" t="e" cm="1">
        <f t="array" aca="1" ref="N825" ca="1">_xlfn.XLOOKUP(Contrato5[[#This Row],[SUPERVISOR TITULAR]],[2]!PERSONAL_ACTIVO_2024[[#All],[Nombre completo]],[2]!PERSONAL_ACTIVO_2024[[#All],[Documento identidad]],"",0)</f>
        <v>#NAME?</v>
      </c>
      <c r="O825" s="194" t="s">
        <v>2807</v>
      </c>
      <c r="P825" s="196" t="e" cm="1">
        <f t="array" aca="1" ref="P825" ca="1">_xlfn.XLOOKUP(Contrato5[[#This Row],[SUPERVISOR SUPLENTE ]],[2]!PERSONAL_ACTIVO_2024[[#All],[Nombre completo]],[2]!PERSONAL_ACTIVO_2024[[#All],[Documento identidad]],"",0)</f>
        <v>#NAME?</v>
      </c>
      <c r="Q825" s="170">
        <v>0</v>
      </c>
      <c r="R825" s="137" t="e" cm="1">
        <f t="array" aca="1" ref="R825" ca="1">_xlfn.XLOOKUP(Contrato5[[#This Row],[CDP]],[2]!DISPONIBILIDADES_2024[[#All],[consecutivo]],[2]!DISPONIBILIDADES_2024[[#All],[fecha_aprobacion]],"",0)</f>
        <v>#NAME?</v>
      </c>
      <c r="S825" s="138" t="e">
        <f>SUMIF([2]!DISPONIBILIDADES_2024[[#All],[consecutivo]],Contrato5[[#This Row],[CDP]],[2]!DISPONIBILIDADES_2024[[#All],[valor_total_rubro]])</f>
        <v>#REF!</v>
      </c>
      <c r="T825" s="139" t="e" cm="1">
        <f t="array" aca="1" ref="T825" ca="1">_xlfn.XLOOKUP(Contrato5[[#This Row],[CONTRATO]]&amp;Contrato5[[#This Row],[CDP]],[2]!Corr_Contr_CDP[[#All],[CONTRATO-CDP]],[2]!Corr_Contr_CDP[[#All],[CRP]],_xlfn.XLOOKUP(Contrato5[[#This Row],[CDP]],[2]!COMPROMISOS_2024[[#All],[disponibilidad]],[2]!COMPROMISOS_2024[[#All],[consecutivo]],"",0),0)</f>
        <v>#NAME?</v>
      </c>
      <c r="U825" s="140" t="e" cm="1">
        <f t="array" aca="1" ref="U825" ca="1">+_xlfn.XLOOKUP(Contrato5[[#This Row],[RCP]],[2]!COMPROMISOS_2024[[#All],[consecutivo]],[2]!COMPROMISOS_2024[[#All],[fecha_aprobacion]],"",0)</f>
        <v>#NAME?</v>
      </c>
      <c r="V825" s="141" t="e">
        <f ca="1">SUMIF([2]!COMPROMISOS_2024[[#All],[consecutivo]],Contrato5[[#This Row],[RCP]],[2]!COMPROMISOS_2024[[#All],[valor_total]])</f>
        <v>#REF!</v>
      </c>
      <c r="W825" s="160">
        <v>45575</v>
      </c>
      <c r="X825" s="160" t="s">
        <v>1045</v>
      </c>
      <c r="Y825" s="143">
        <v>45576</v>
      </c>
      <c r="Z825" s="262">
        <v>45657</v>
      </c>
      <c r="AA825" s="183"/>
      <c r="AB825" s="172" t="s">
        <v>3153</v>
      </c>
      <c r="AC825" s="172"/>
      <c r="AD825" s="288"/>
      <c r="AE825" s="147"/>
      <c r="AF825" s="148" t="str">
        <f>TEXT(LEFT(Contrato5[[#This Row],[CONTRATO]],3),"0")</f>
        <v>689</v>
      </c>
      <c r="AG825" s="148" t="str">
        <f>IF(LEN(Contrato5[[#This Row],[Contrato2]])=3,Contrato5[[#This Row],[Contrato2]],TEXT(Contrato5[[#This Row],[Contrato2]],"000"))</f>
        <v>689</v>
      </c>
      <c r="AH825" s="149">
        <f ca="1">IFERROR(_xlfn.DAYS(Contrato5[[#This Row],[Fecha Proyectada liquidación]],TODAY())/30,"")</f>
        <v>0.6333333333333333</v>
      </c>
      <c r="AI825" s="150">
        <f>+Contrato5[[#This Row],[FECHA TERMINACIÓN ]]+120</f>
        <v>45777</v>
      </c>
      <c r="AJ825" s="147"/>
      <c r="AK825" s="152" t="str">
        <f ca="1">IF(Contrato5[[#This Row],[FECHA TERMINACIÓN ]]&lt;TODAY(), "Terminado",IF(ISNUMBER(Contrato5[[#This Row],[Fecha Real de liquiidación ]]),"Liquidado",IF(Contrato5[[#This Row],[FECHA TERMINACIÓN ]]&gt;=TODAY(),"En ejecución","")))</f>
        <v>Terminado</v>
      </c>
      <c r="AL825" s="153" t="e">
        <f ca="1">SUMIF([2]!COMPROMISOS_2024[[#All],[consecutivo]],Contrato5[[#This Row],[RCP]],[2]!COMPROMISOS_2024[[#All],[Total pagado]])</f>
        <v>#REF!</v>
      </c>
      <c r="AM825" s="154">
        <f ca="1">IFERROR(Contrato5[[#This Row],[Pagos]]/Contrato5[[#This Row],[VALOR CONTRATO]],0)</f>
        <v>0</v>
      </c>
      <c r="AN825" s="198" t="e">
        <f ca="1">+Contrato5[[#This Row],[VALOR CONTRATO]]-Contrato5[[#This Row],[Pagos]]</f>
        <v>#REF!</v>
      </c>
      <c r="AO825" s="147" t="e" cm="1">
        <f t="array" aca="1" ref="AO825" ca="1">_xlfn.XLOOKUP(Contrato5[[#This Row],[DOCUMENTO ]],[2]!PERSONAL_ACTIVO_2024[[#All],[Documento identidad]],[2]!PERSONAL_ACTIVO_2024[[#All],[Mail ]],0,0)</f>
        <v>#NAME?</v>
      </c>
      <c r="AP825" s="147" t="e" cm="1">
        <f t="array" aca="1" ref="AP825" ca="1">_xlfn.XLOOKUP(Contrato5[[#This Row],[DOCUMENTO]],[2]!PERSONAL_ACTIVO_2024[[#All],[Documento identidad]],[2]!PERSONAL_ACTIVO_2024[[#All],[Mail ]],0,0)</f>
        <v>#NAME?</v>
      </c>
      <c r="AQ825" s="439" cm="1">
        <f t="array" aca="1" ref="AQ825" ca="1">IF(ISBLANK(Contrato5[[#This Row],[DEPENDENCIA ]]),0,IFERROR(_xlfn.XLOOKUP(Contrato5[[#This Row],[DEPENDENCIA ]],[2]!PERSONAL_ACTIVO_2024[[#All],[Dependencia]],[2]!PERSONAL_ACTIVO_2024[[#All],[Mail ]],0,0),0))</f>
        <v>0</v>
      </c>
    </row>
    <row r="826" spans="1:43" ht="34.5" customHeight="1">
      <c r="A826" s="147">
        <v>1192</v>
      </c>
      <c r="B826" s="124">
        <v>690</v>
      </c>
      <c r="C826" s="162" t="s">
        <v>2181</v>
      </c>
      <c r="D826" s="227" t="s">
        <v>583</v>
      </c>
      <c r="E826" s="227" t="s">
        <v>898</v>
      </c>
      <c r="F826" s="227" t="s">
        <v>1376</v>
      </c>
      <c r="G826" s="281" t="s">
        <v>1007</v>
      </c>
      <c r="H826" s="436">
        <v>15434878</v>
      </c>
      <c r="I826" s="309">
        <v>5931149</v>
      </c>
      <c r="J826" s="445">
        <v>13641643</v>
      </c>
      <c r="K826" s="413" t="s">
        <v>42</v>
      </c>
      <c r="L826" s="438" t="s">
        <v>2564</v>
      </c>
      <c r="M826" s="194" t="s">
        <v>592</v>
      </c>
      <c r="N826" s="177" t="e" cm="1">
        <f t="array" aca="1" ref="N826" ca="1">_xlfn.XLOOKUP(Contrato5[[#This Row],[SUPERVISOR TITULAR]],[2]!PERSONAL_ACTIVO_2024[[#All],[Nombre completo]],[2]!PERSONAL_ACTIVO_2024[[#All],[Documento identidad]],"",0)</f>
        <v>#NAME?</v>
      </c>
      <c r="O826" s="194" t="s">
        <v>3154</v>
      </c>
      <c r="P826" s="196" t="e" cm="1">
        <f t="array" aca="1" ref="P826" ca="1">_xlfn.XLOOKUP(Contrato5[[#This Row],[SUPERVISOR SUPLENTE ]],[2]!PERSONAL_ACTIVO_2024[[#All],[Nombre completo]],[2]!PERSONAL_ACTIVO_2024[[#All],[Documento identidad]],"",0)</f>
        <v>#NAME?</v>
      </c>
      <c r="Q826" s="170">
        <v>1004</v>
      </c>
      <c r="R826" s="137" t="e" cm="1">
        <f t="array" aca="1" ref="R826" ca="1">_xlfn.XLOOKUP(Contrato5[[#This Row],[CDP]],[2]!DISPONIBILIDADES_2024[[#All],[consecutivo]],[2]!DISPONIBILIDADES_2024[[#All],[fecha_aprobacion]],"",0)</f>
        <v>#NAME?</v>
      </c>
      <c r="S826" s="138" t="e">
        <f>SUMIF([2]!DISPONIBILIDADES_2024[[#All],[consecutivo]],Contrato5[[#This Row],[CDP]],[2]!DISPONIBILIDADES_2024[[#All],[valor_total_rubro]])</f>
        <v>#REF!</v>
      </c>
      <c r="T826" s="139" t="e" cm="1">
        <f t="array" aca="1" ref="T826" ca="1">_xlfn.XLOOKUP(Contrato5[[#This Row],[CONTRATO]]&amp;Contrato5[[#This Row],[CDP]],[2]!Corr_Contr_CDP[[#All],[CONTRATO-CDP]],[2]!Corr_Contr_CDP[[#All],[CRP]],_xlfn.XLOOKUP(Contrato5[[#This Row],[CDP]],[2]!COMPROMISOS_2024[[#All],[disponibilidad]],[2]!COMPROMISOS_2024[[#All],[consecutivo]],"",0),0)</f>
        <v>#NAME?</v>
      </c>
      <c r="U826" s="140" t="e" cm="1">
        <f t="array" aca="1" ref="U826" ca="1">+_xlfn.XLOOKUP(Contrato5[[#This Row],[RCP]],[2]!COMPROMISOS_2024[[#All],[consecutivo]],[2]!COMPROMISOS_2024[[#All],[fecha_aprobacion]],"",0)</f>
        <v>#NAME?</v>
      </c>
      <c r="V826" s="141" t="e">
        <f ca="1">SUMIF([2]!COMPROMISOS_2024[[#All],[consecutivo]],Contrato5[[#This Row],[RCP]],[2]!COMPROMISOS_2024[[#All],[valor_total]])</f>
        <v>#REF!</v>
      </c>
      <c r="W826" s="160">
        <v>45573</v>
      </c>
      <c r="X826" s="160" t="s">
        <v>1045</v>
      </c>
      <c r="Y826" s="143">
        <v>45574</v>
      </c>
      <c r="Z826" s="262">
        <v>45643</v>
      </c>
      <c r="AA826" s="183" t="s">
        <v>3155</v>
      </c>
      <c r="AB826" s="588" t="s">
        <v>3156</v>
      </c>
      <c r="AC826" s="172"/>
      <c r="AD826" s="425">
        <v>202000005579</v>
      </c>
      <c r="AE826" s="147" t="s">
        <v>523</v>
      </c>
      <c r="AF826" s="148" t="str">
        <f>TEXT(LEFT(Contrato5[[#This Row],[CONTRATO]],3),"0")</f>
        <v>690</v>
      </c>
      <c r="AG826" s="148" t="str">
        <f>IF(LEN(Contrato5[[#This Row],[Contrato2]])=3,Contrato5[[#This Row],[Contrato2]],TEXT(Contrato5[[#This Row],[Contrato2]],"000"))</f>
        <v>690</v>
      </c>
      <c r="AH826" s="149">
        <f ca="1">IFERROR(_xlfn.DAYS(Contrato5[[#This Row],[Fecha Proyectada liquidación]],TODAY())/30,"")</f>
        <v>0.16666666666666666</v>
      </c>
      <c r="AI826" s="150">
        <f>+Contrato5[[#This Row],[FECHA TERMINACIÓN ]]+120</f>
        <v>45763</v>
      </c>
      <c r="AJ826" s="147"/>
      <c r="AK826" s="152" t="str">
        <f ca="1">IF(Contrato5[[#This Row],[FECHA TERMINACIÓN ]]&lt;TODAY(), "Terminado",IF(ISNUMBER(Contrato5[[#This Row],[Fecha Real de liquiidación ]]),"Liquidado",IF(Contrato5[[#This Row],[FECHA TERMINACIÓN ]]&gt;=TODAY(),"En ejecución","")))</f>
        <v>Terminado</v>
      </c>
      <c r="AL826" s="153" t="e">
        <f ca="1">SUMIF([2]!COMPROMISOS_2024[[#All],[consecutivo]],Contrato5[[#This Row],[RCP]],[2]!COMPROMISOS_2024[[#All],[Total pagado]])</f>
        <v>#REF!</v>
      </c>
      <c r="AM826" s="154">
        <f ca="1">IFERROR(Contrato5[[#This Row],[Pagos]]/Contrato5[[#This Row],[VALOR CONTRATO]],0)</f>
        <v>0</v>
      </c>
      <c r="AN826" s="198" t="e">
        <f ca="1">+Contrato5[[#This Row],[VALOR CONTRATO]]-Contrato5[[#This Row],[Pagos]]</f>
        <v>#REF!</v>
      </c>
      <c r="AO826" s="147" t="e" cm="1">
        <f t="array" aca="1" ref="AO826" ca="1">_xlfn.XLOOKUP(Contrato5[[#This Row],[DOCUMENTO ]],[2]!PERSONAL_ACTIVO_2024[[#All],[Documento identidad]],[2]!PERSONAL_ACTIVO_2024[[#All],[Mail ]],0,0)</f>
        <v>#NAME?</v>
      </c>
      <c r="AP826" s="147" t="e" cm="1">
        <f t="array" aca="1" ref="AP826" ca="1">_xlfn.XLOOKUP(Contrato5[[#This Row],[DOCUMENTO]],[2]!PERSONAL_ACTIVO_2024[[#All],[Documento identidad]],[2]!PERSONAL_ACTIVO_2024[[#All],[Mail ]],0,0)</f>
        <v>#NAME?</v>
      </c>
      <c r="AQ826" s="439" cm="1">
        <f t="array" aca="1" ref="AQ826" ca="1">IF(ISBLANK(Contrato5[[#This Row],[DEPENDENCIA ]]),0,IFERROR(_xlfn.XLOOKUP(Contrato5[[#This Row],[DEPENDENCIA ]],[2]!PERSONAL_ACTIVO_2024[[#All],[Dependencia]],[2]!PERSONAL_ACTIVO_2024[[#All],[Mail ]],0,0),0))</f>
        <v>0</v>
      </c>
    </row>
    <row r="827" spans="1:43" ht="34.5" customHeight="1">
      <c r="A827" s="147">
        <v>1193</v>
      </c>
      <c r="B827" s="124">
        <v>691</v>
      </c>
      <c r="C827" s="162" t="s">
        <v>1991</v>
      </c>
      <c r="D827" s="227" t="s">
        <v>583</v>
      </c>
      <c r="E827" s="227" t="s">
        <v>898</v>
      </c>
      <c r="F827" s="227" t="s">
        <v>1376</v>
      </c>
      <c r="G827" s="281" t="s">
        <v>3157</v>
      </c>
      <c r="H827" s="436">
        <v>1017133137</v>
      </c>
      <c r="I827" s="309">
        <v>5931149</v>
      </c>
      <c r="J827" s="445">
        <v>13641643</v>
      </c>
      <c r="K827" s="413" t="s">
        <v>42</v>
      </c>
      <c r="L827" s="438" t="s">
        <v>2564</v>
      </c>
      <c r="M827" s="194" t="s">
        <v>589</v>
      </c>
      <c r="N827" s="177" t="e" cm="1">
        <f t="array" aca="1" ref="N827" ca="1">_xlfn.XLOOKUP(Contrato5[[#This Row],[SUPERVISOR TITULAR]],[2]!PERSONAL_ACTIVO_2024[[#All],[Nombre completo]],[2]!PERSONAL_ACTIVO_2024[[#All],[Documento identidad]],"",0)</f>
        <v>#NAME?</v>
      </c>
      <c r="O827" s="194" t="s">
        <v>586</v>
      </c>
      <c r="P827" s="196" t="e" cm="1">
        <f t="array" aca="1" ref="P827" ca="1">_xlfn.XLOOKUP(Contrato5[[#This Row],[SUPERVISOR SUPLENTE ]],[2]!PERSONAL_ACTIVO_2024[[#All],[Nombre completo]],[2]!PERSONAL_ACTIVO_2024[[#All],[Documento identidad]],"",0)</f>
        <v>#NAME?</v>
      </c>
      <c r="Q827" s="170">
        <v>1005</v>
      </c>
      <c r="R827" s="137" t="e" cm="1">
        <f t="array" aca="1" ref="R827" ca="1">_xlfn.XLOOKUP(Contrato5[[#This Row],[CDP]],[2]!DISPONIBILIDADES_2024[[#All],[consecutivo]],[2]!DISPONIBILIDADES_2024[[#All],[fecha_aprobacion]],"",0)</f>
        <v>#NAME?</v>
      </c>
      <c r="S827" s="138" t="e">
        <f>SUMIF([2]!DISPONIBILIDADES_2024[[#All],[consecutivo]],Contrato5[[#This Row],[CDP]],[2]!DISPONIBILIDADES_2024[[#All],[valor_total_rubro]])</f>
        <v>#REF!</v>
      </c>
      <c r="T827" s="139" t="e" cm="1">
        <f t="array" aca="1" ref="T827" ca="1">_xlfn.XLOOKUP(Contrato5[[#This Row],[CONTRATO]]&amp;Contrato5[[#This Row],[CDP]],[2]!Corr_Contr_CDP[[#All],[CONTRATO-CDP]],[2]!Corr_Contr_CDP[[#All],[CRP]],_xlfn.XLOOKUP(Contrato5[[#This Row],[CDP]],[2]!COMPROMISOS_2024[[#All],[disponibilidad]],[2]!COMPROMISOS_2024[[#All],[consecutivo]],"",0),0)</f>
        <v>#NAME?</v>
      </c>
      <c r="U827" s="140" t="e" cm="1">
        <f t="array" aca="1" ref="U827" ca="1">+_xlfn.XLOOKUP(Contrato5[[#This Row],[RCP]],[2]!COMPROMISOS_2024[[#All],[consecutivo]],[2]!COMPROMISOS_2024[[#All],[fecha_aprobacion]],"",0)</f>
        <v>#NAME?</v>
      </c>
      <c r="V827" s="141" t="e">
        <f ca="1">SUMIF([2]!COMPROMISOS_2024[[#All],[consecutivo]],Contrato5[[#This Row],[RCP]],[2]!COMPROMISOS_2024[[#All],[valor_total]])</f>
        <v>#REF!</v>
      </c>
      <c r="W827" s="160">
        <v>45572</v>
      </c>
      <c r="X827" s="160" t="s">
        <v>1045</v>
      </c>
      <c r="Y827" s="143">
        <v>45574</v>
      </c>
      <c r="Z827" s="262">
        <v>45643</v>
      </c>
      <c r="AA827" s="183" t="s">
        <v>3155</v>
      </c>
      <c r="AB827" s="588" t="s">
        <v>3156</v>
      </c>
      <c r="AC827" s="172"/>
      <c r="AD827" s="425">
        <v>202000005580</v>
      </c>
      <c r="AE827" s="147" t="s">
        <v>523</v>
      </c>
      <c r="AF827" s="148" t="str">
        <f>TEXT(LEFT(Contrato5[[#This Row],[CONTRATO]],3),"0")</f>
        <v>691</v>
      </c>
      <c r="AG827" s="148" t="str">
        <f>IF(LEN(Contrato5[[#This Row],[Contrato2]])=3,Contrato5[[#This Row],[Contrato2]],TEXT(Contrato5[[#This Row],[Contrato2]],"000"))</f>
        <v>691</v>
      </c>
      <c r="AH827" s="149">
        <f ca="1">IFERROR(_xlfn.DAYS(Contrato5[[#This Row],[Fecha Proyectada liquidación]],TODAY())/30,"")</f>
        <v>0.16666666666666666</v>
      </c>
      <c r="AI827" s="150">
        <f>+Contrato5[[#This Row],[FECHA TERMINACIÓN ]]+120</f>
        <v>45763</v>
      </c>
      <c r="AJ827" s="147"/>
      <c r="AK827" s="152" t="str">
        <f ca="1">IF(Contrato5[[#This Row],[FECHA TERMINACIÓN ]]&lt;TODAY(), "Terminado",IF(ISNUMBER(Contrato5[[#This Row],[Fecha Real de liquiidación ]]),"Liquidado",IF(Contrato5[[#This Row],[FECHA TERMINACIÓN ]]&gt;=TODAY(),"En ejecución","")))</f>
        <v>Terminado</v>
      </c>
      <c r="AL827" s="153" t="e">
        <f ca="1">SUMIF([2]!COMPROMISOS_2024[[#All],[consecutivo]],Contrato5[[#This Row],[RCP]],[2]!COMPROMISOS_2024[[#All],[Total pagado]])</f>
        <v>#REF!</v>
      </c>
      <c r="AM827" s="154">
        <f ca="1">IFERROR(Contrato5[[#This Row],[Pagos]]/Contrato5[[#This Row],[VALOR CONTRATO]],0)</f>
        <v>0</v>
      </c>
      <c r="AN827" s="198" t="e">
        <f ca="1">+Contrato5[[#This Row],[VALOR CONTRATO]]-Contrato5[[#This Row],[Pagos]]</f>
        <v>#REF!</v>
      </c>
      <c r="AO827" s="147" t="e" cm="1">
        <f t="array" aca="1" ref="AO827" ca="1">_xlfn.XLOOKUP(Contrato5[[#This Row],[DOCUMENTO ]],[2]!PERSONAL_ACTIVO_2024[[#All],[Documento identidad]],[2]!PERSONAL_ACTIVO_2024[[#All],[Mail ]],0,0)</f>
        <v>#NAME?</v>
      </c>
      <c r="AP827" s="147" t="e" cm="1">
        <f t="array" aca="1" ref="AP827" ca="1">_xlfn.XLOOKUP(Contrato5[[#This Row],[DOCUMENTO]],[2]!PERSONAL_ACTIVO_2024[[#All],[Documento identidad]],[2]!PERSONAL_ACTIVO_2024[[#All],[Mail ]],0,0)</f>
        <v>#NAME?</v>
      </c>
      <c r="AQ827" s="439" cm="1">
        <f t="array" aca="1" ref="AQ827" ca="1">IF(ISBLANK(Contrato5[[#This Row],[DEPENDENCIA ]]),0,IFERROR(_xlfn.XLOOKUP(Contrato5[[#This Row],[DEPENDENCIA ]],[2]!PERSONAL_ACTIVO_2024[[#All],[Dependencia]],[2]!PERSONAL_ACTIVO_2024[[#All],[Mail ]],0,0),0))</f>
        <v>0</v>
      </c>
    </row>
    <row r="828" spans="1:43" ht="34.5" customHeight="1">
      <c r="A828" s="147">
        <v>1194</v>
      </c>
      <c r="B828" s="124">
        <v>692</v>
      </c>
      <c r="C828" s="162" t="s">
        <v>2005</v>
      </c>
      <c r="D828" s="227" t="s">
        <v>583</v>
      </c>
      <c r="E828" s="227" t="s">
        <v>94</v>
      </c>
      <c r="F828" s="227" t="s">
        <v>1376</v>
      </c>
      <c r="G828" s="281" t="s">
        <v>3158</v>
      </c>
      <c r="H828" s="436">
        <v>8026087</v>
      </c>
      <c r="I828" s="309">
        <v>7908765</v>
      </c>
      <c r="J828" s="445">
        <v>18190160</v>
      </c>
      <c r="K828" s="413" t="s">
        <v>42</v>
      </c>
      <c r="L828" s="438" t="s">
        <v>2564</v>
      </c>
      <c r="M828" s="194" t="s">
        <v>586</v>
      </c>
      <c r="N828" s="177" t="e" cm="1">
        <f t="array" aca="1" ref="N828" ca="1">_xlfn.XLOOKUP(Contrato5[[#This Row],[SUPERVISOR TITULAR]],[2]!PERSONAL_ACTIVO_2024[[#All],[Nombre completo]],[2]!PERSONAL_ACTIVO_2024[[#All],[Documento identidad]],"",0)</f>
        <v>#NAME?</v>
      </c>
      <c r="O828" s="194" t="s">
        <v>589</v>
      </c>
      <c r="P828" s="196" t="e" cm="1">
        <f t="array" aca="1" ref="P828" ca="1">_xlfn.XLOOKUP(Contrato5[[#This Row],[SUPERVISOR SUPLENTE ]],[2]!PERSONAL_ACTIVO_2024[[#All],[Nombre completo]],[2]!PERSONAL_ACTIVO_2024[[#All],[Documento identidad]],"",0)</f>
        <v>#NAME?</v>
      </c>
      <c r="Q828" s="170">
        <v>1006</v>
      </c>
      <c r="R828" s="137" t="e" cm="1">
        <f t="array" aca="1" ref="R828" ca="1">_xlfn.XLOOKUP(Contrato5[[#This Row],[CDP]],[2]!DISPONIBILIDADES_2024[[#All],[consecutivo]],[2]!DISPONIBILIDADES_2024[[#All],[fecha_aprobacion]],"",0)</f>
        <v>#NAME?</v>
      </c>
      <c r="S828" s="138" t="e">
        <f>SUMIF([2]!DISPONIBILIDADES_2024[[#All],[consecutivo]],Contrato5[[#This Row],[CDP]],[2]!DISPONIBILIDADES_2024[[#All],[valor_total_rubro]])</f>
        <v>#REF!</v>
      </c>
      <c r="T828" s="139" t="e" cm="1">
        <f t="array" aca="1" ref="T828" ca="1">_xlfn.XLOOKUP(Contrato5[[#This Row],[CONTRATO]]&amp;Contrato5[[#This Row],[CDP]],[2]!Corr_Contr_CDP[[#All],[CONTRATO-CDP]],[2]!Corr_Contr_CDP[[#All],[CRP]],_xlfn.XLOOKUP(Contrato5[[#This Row],[CDP]],[2]!COMPROMISOS_2024[[#All],[disponibilidad]],[2]!COMPROMISOS_2024[[#All],[consecutivo]],"",0),0)</f>
        <v>#NAME?</v>
      </c>
      <c r="U828" s="140" t="e" cm="1">
        <f t="array" aca="1" ref="U828" ca="1">+_xlfn.XLOOKUP(Contrato5[[#This Row],[RCP]],[2]!COMPROMISOS_2024[[#All],[consecutivo]],[2]!COMPROMISOS_2024[[#All],[fecha_aprobacion]],"",0)</f>
        <v>#NAME?</v>
      </c>
      <c r="V828" s="141" t="e">
        <f ca="1">SUMIF([2]!COMPROMISOS_2024[[#All],[consecutivo]],Contrato5[[#This Row],[RCP]],[2]!COMPROMISOS_2024[[#All],[valor_total]])</f>
        <v>#REF!</v>
      </c>
      <c r="W828" s="160">
        <v>45573</v>
      </c>
      <c r="X828" s="160" t="s">
        <v>1045</v>
      </c>
      <c r="Y828" s="143">
        <v>45574</v>
      </c>
      <c r="Z828" s="262">
        <v>45643</v>
      </c>
      <c r="AA828" s="183" t="s">
        <v>3155</v>
      </c>
      <c r="AB828" s="588" t="s">
        <v>3156</v>
      </c>
      <c r="AC828" s="172"/>
      <c r="AD828" s="425">
        <v>202000005581</v>
      </c>
      <c r="AE828" s="147" t="s">
        <v>523</v>
      </c>
      <c r="AF828" s="148" t="str">
        <f>TEXT(LEFT(Contrato5[[#This Row],[CONTRATO]],3),"0")</f>
        <v>692</v>
      </c>
      <c r="AG828" s="148" t="str">
        <f>IF(LEN(Contrato5[[#This Row],[Contrato2]])=3,Contrato5[[#This Row],[Contrato2]],TEXT(Contrato5[[#This Row],[Contrato2]],"000"))</f>
        <v>692</v>
      </c>
      <c r="AH828" s="149">
        <f ca="1">IFERROR(_xlfn.DAYS(Contrato5[[#This Row],[Fecha Proyectada liquidación]],TODAY())/30,"")</f>
        <v>0.16666666666666666</v>
      </c>
      <c r="AI828" s="150">
        <f>+Contrato5[[#This Row],[FECHA TERMINACIÓN ]]+120</f>
        <v>45763</v>
      </c>
      <c r="AJ828" s="147"/>
      <c r="AK828" s="152" t="str">
        <f ca="1">IF(Contrato5[[#This Row],[FECHA TERMINACIÓN ]]&lt;TODAY(), "Terminado",IF(ISNUMBER(Contrato5[[#This Row],[Fecha Real de liquiidación ]]),"Liquidado",IF(Contrato5[[#This Row],[FECHA TERMINACIÓN ]]&gt;=TODAY(),"En ejecución","")))</f>
        <v>Terminado</v>
      </c>
      <c r="AL828" s="153" t="e">
        <f ca="1">SUMIF([2]!COMPROMISOS_2024[[#All],[consecutivo]],Contrato5[[#This Row],[RCP]],[2]!COMPROMISOS_2024[[#All],[Total pagado]])</f>
        <v>#REF!</v>
      </c>
      <c r="AM828" s="154">
        <f ca="1">IFERROR(Contrato5[[#This Row],[Pagos]]/Contrato5[[#This Row],[VALOR CONTRATO]],0)</f>
        <v>0</v>
      </c>
      <c r="AN828" s="198" t="e">
        <f ca="1">+Contrato5[[#This Row],[VALOR CONTRATO]]-Contrato5[[#This Row],[Pagos]]</f>
        <v>#REF!</v>
      </c>
      <c r="AO828" s="147" t="e" cm="1">
        <f t="array" aca="1" ref="AO828" ca="1">_xlfn.XLOOKUP(Contrato5[[#This Row],[DOCUMENTO ]],[2]!PERSONAL_ACTIVO_2024[[#All],[Documento identidad]],[2]!PERSONAL_ACTIVO_2024[[#All],[Mail ]],0,0)</f>
        <v>#NAME?</v>
      </c>
      <c r="AP828" s="147" t="e" cm="1">
        <f t="array" aca="1" ref="AP828" ca="1">_xlfn.XLOOKUP(Contrato5[[#This Row],[DOCUMENTO]],[2]!PERSONAL_ACTIVO_2024[[#All],[Documento identidad]],[2]!PERSONAL_ACTIVO_2024[[#All],[Mail ]],0,0)</f>
        <v>#NAME?</v>
      </c>
      <c r="AQ828" s="439" cm="1">
        <f t="array" aca="1" ref="AQ828" ca="1">IF(ISBLANK(Contrato5[[#This Row],[DEPENDENCIA ]]),0,IFERROR(_xlfn.XLOOKUP(Contrato5[[#This Row],[DEPENDENCIA ]],[2]!PERSONAL_ACTIVO_2024[[#All],[Dependencia]],[2]!PERSONAL_ACTIVO_2024[[#All],[Mail ]],0,0),0))</f>
        <v>0</v>
      </c>
    </row>
    <row r="829" spans="1:43" ht="34.5" customHeight="1">
      <c r="A829" s="147">
        <v>1097</v>
      </c>
      <c r="B829" s="124">
        <v>693</v>
      </c>
      <c r="C829" s="162" t="s">
        <v>3159</v>
      </c>
      <c r="D829" s="227" t="s">
        <v>583</v>
      </c>
      <c r="E829" s="227" t="s">
        <v>94</v>
      </c>
      <c r="F829" s="227" t="s">
        <v>1376</v>
      </c>
      <c r="G829" s="281" t="s">
        <v>3160</v>
      </c>
      <c r="H829" s="436">
        <v>71718769</v>
      </c>
      <c r="I829" s="309">
        <v>3952382</v>
      </c>
      <c r="J829" s="445">
        <v>9090479</v>
      </c>
      <c r="K829" s="413" t="s">
        <v>42</v>
      </c>
      <c r="L829" s="438" t="s">
        <v>2564</v>
      </c>
      <c r="M829" s="194" t="s">
        <v>586</v>
      </c>
      <c r="N829" s="177" t="e" cm="1">
        <f t="array" aca="1" ref="N829" ca="1">_xlfn.XLOOKUP(Contrato5[[#This Row],[SUPERVISOR TITULAR]],[2]!PERSONAL_ACTIVO_2024[[#All],[Nombre completo]],[2]!PERSONAL_ACTIVO_2024[[#All],[Documento identidad]],"",0)</f>
        <v>#NAME?</v>
      </c>
      <c r="O829" s="194" t="s">
        <v>589</v>
      </c>
      <c r="P829" s="196" t="e" cm="1">
        <f t="array" aca="1" ref="P829" ca="1">_xlfn.XLOOKUP(Contrato5[[#This Row],[SUPERVISOR SUPLENTE ]],[2]!PERSONAL_ACTIVO_2024[[#All],[Nombre completo]],[2]!PERSONAL_ACTIVO_2024[[#All],[Documento identidad]],"",0)</f>
        <v>#NAME?</v>
      </c>
      <c r="Q829" s="170">
        <v>885</v>
      </c>
      <c r="R829" s="137" t="e" cm="1">
        <f t="array" aca="1" ref="R829" ca="1">_xlfn.XLOOKUP(Contrato5[[#This Row],[CDP]],[2]!DISPONIBILIDADES_2024[[#All],[consecutivo]],[2]!DISPONIBILIDADES_2024[[#All],[fecha_aprobacion]],"",0)</f>
        <v>#NAME?</v>
      </c>
      <c r="S829" s="138" t="e">
        <f>SUMIF([2]!DISPONIBILIDADES_2024[[#All],[consecutivo]],Contrato5[[#This Row],[CDP]],[2]!DISPONIBILIDADES_2024[[#All],[valor_total_rubro]])</f>
        <v>#REF!</v>
      </c>
      <c r="T829" s="139" t="e" cm="1">
        <f t="array" aca="1" ref="T829" ca="1">_xlfn.XLOOKUP(Contrato5[[#This Row],[CONTRATO]]&amp;Contrato5[[#This Row],[CDP]],[2]!Corr_Contr_CDP[[#All],[CONTRATO-CDP]],[2]!Corr_Contr_CDP[[#All],[CRP]],_xlfn.XLOOKUP(Contrato5[[#This Row],[CDP]],[2]!COMPROMISOS_2024[[#All],[disponibilidad]],[2]!COMPROMISOS_2024[[#All],[consecutivo]],"",0),0)</f>
        <v>#NAME?</v>
      </c>
      <c r="U829" s="140" t="e" cm="1">
        <f t="array" aca="1" ref="U829" ca="1">+_xlfn.XLOOKUP(Contrato5[[#This Row],[RCP]],[2]!COMPROMISOS_2024[[#All],[consecutivo]],[2]!COMPROMISOS_2024[[#All],[fecha_aprobacion]],"",0)</f>
        <v>#NAME?</v>
      </c>
      <c r="V829" s="141" t="e">
        <f ca="1">SUMIF([2]!COMPROMISOS_2024[[#All],[consecutivo]],Contrato5[[#This Row],[RCP]],[2]!COMPROMISOS_2024[[#All],[valor_total]])</f>
        <v>#REF!</v>
      </c>
      <c r="W829" s="160">
        <v>45573</v>
      </c>
      <c r="X829" s="160" t="s">
        <v>1045</v>
      </c>
      <c r="Y829" s="143">
        <v>45574</v>
      </c>
      <c r="Z829" s="262">
        <v>45643</v>
      </c>
      <c r="AA829" s="183" t="s">
        <v>3155</v>
      </c>
      <c r="AB829" s="588" t="s">
        <v>3156</v>
      </c>
      <c r="AC829" s="172"/>
      <c r="AD829" s="425">
        <v>202000005582</v>
      </c>
      <c r="AE829" s="147" t="s">
        <v>523</v>
      </c>
      <c r="AF829" s="148" t="str">
        <f>TEXT(LEFT(Contrato5[[#This Row],[CONTRATO]],3),"0")</f>
        <v>693</v>
      </c>
      <c r="AG829" s="148" t="str">
        <f>IF(LEN(Contrato5[[#This Row],[Contrato2]])=3,Contrato5[[#This Row],[Contrato2]],TEXT(Contrato5[[#This Row],[Contrato2]],"000"))</f>
        <v>693</v>
      </c>
      <c r="AH829" s="149">
        <f ca="1">IFERROR(_xlfn.DAYS(Contrato5[[#This Row],[Fecha Proyectada liquidación]],TODAY())/30,"")</f>
        <v>0.16666666666666666</v>
      </c>
      <c r="AI829" s="150">
        <f>+Contrato5[[#This Row],[FECHA TERMINACIÓN ]]+120</f>
        <v>45763</v>
      </c>
      <c r="AJ829" s="147"/>
      <c r="AK829" s="152" t="str">
        <f ca="1">IF(Contrato5[[#This Row],[FECHA TERMINACIÓN ]]&lt;TODAY(), "Terminado",IF(ISNUMBER(Contrato5[[#This Row],[Fecha Real de liquiidación ]]),"Liquidado",IF(Contrato5[[#This Row],[FECHA TERMINACIÓN ]]&gt;=TODAY(),"En ejecución","")))</f>
        <v>Terminado</v>
      </c>
      <c r="AL829" s="153" t="e">
        <f ca="1">SUMIF([2]!COMPROMISOS_2024[[#All],[consecutivo]],Contrato5[[#This Row],[RCP]],[2]!COMPROMISOS_2024[[#All],[Total pagado]])</f>
        <v>#REF!</v>
      </c>
      <c r="AM829" s="154">
        <f ca="1">IFERROR(Contrato5[[#This Row],[Pagos]]/Contrato5[[#This Row],[VALOR CONTRATO]],0)</f>
        <v>0</v>
      </c>
      <c r="AN829" s="198" t="e">
        <f ca="1">+Contrato5[[#This Row],[VALOR CONTRATO]]-Contrato5[[#This Row],[Pagos]]</f>
        <v>#REF!</v>
      </c>
      <c r="AO829" s="147" t="e" cm="1">
        <f t="array" aca="1" ref="AO829" ca="1">_xlfn.XLOOKUP(Contrato5[[#This Row],[DOCUMENTO ]],[2]!PERSONAL_ACTIVO_2024[[#All],[Documento identidad]],[2]!PERSONAL_ACTIVO_2024[[#All],[Mail ]],0,0)</f>
        <v>#NAME?</v>
      </c>
      <c r="AP829" s="147" t="e" cm="1">
        <f t="array" aca="1" ref="AP829" ca="1">_xlfn.XLOOKUP(Contrato5[[#This Row],[DOCUMENTO]],[2]!PERSONAL_ACTIVO_2024[[#All],[Documento identidad]],[2]!PERSONAL_ACTIVO_2024[[#All],[Mail ]],0,0)</f>
        <v>#NAME?</v>
      </c>
      <c r="AQ829" s="439" cm="1">
        <f t="array" aca="1" ref="AQ829" ca="1">IF(ISBLANK(Contrato5[[#This Row],[DEPENDENCIA ]]),0,IFERROR(_xlfn.XLOOKUP(Contrato5[[#This Row],[DEPENDENCIA ]],[2]!PERSONAL_ACTIVO_2024[[#All],[Dependencia]],[2]!PERSONAL_ACTIVO_2024[[#All],[Mail ]],0,0),0))</f>
        <v>0</v>
      </c>
    </row>
    <row r="830" spans="1:43" ht="34.5" customHeight="1">
      <c r="A830" s="147">
        <v>1205</v>
      </c>
      <c r="B830" s="124">
        <v>694</v>
      </c>
      <c r="C830" s="162" t="s">
        <v>2088</v>
      </c>
      <c r="D830" s="227" t="s">
        <v>583</v>
      </c>
      <c r="E830" s="227" t="s">
        <v>94</v>
      </c>
      <c r="F830" s="227" t="s">
        <v>1376</v>
      </c>
      <c r="G830" s="281" t="s">
        <v>3161</v>
      </c>
      <c r="H830" s="436">
        <v>1041325263</v>
      </c>
      <c r="I830" s="309">
        <v>5931149</v>
      </c>
      <c r="J830" s="445">
        <v>13641643</v>
      </c>
      <c r="K830" s="413" t="s">
        <v>42</v>
      </c>
      <c r="L830" s="438" t="s">
        <v>2564</v>
      </c>
      <c r="M830" s="194" t="s">
        <v>586</v>
      </c>
      <c r="N830" s="177" t="e" cm="1">
        <f t="array" aca="1" ref="N830" ca="1">_xlfn.XLOOKUP(Contrato5[[#This Row],[SUPERVISOR TITULAR]],[2]!PERSONAL_ACTIVO_2024[[#All],[Nombre completo]],[2]!PERSONAL_ACTIVO_2024[[#All],[Documento identidad]],"",0)</f>
        <v>#NAME?</v>
      </c>
      <c r="O830" s="194" t="s">
        <v>589</v>
      </c>
      <c r="P830" s="196" t="e" cm="1">
        <f t="array" aca="1" ref="P830" ca="1">_xlfn.XLOOKUP(Contrato5[[#This Row],[SUPERVISOR SUPLENTE ]],[2]!PERSONAL_ACTIVO_2024[[#All],[Nombre completo]],[2]!PERSONAL_ACTIVO_2024[[#All],[Documento identidad]],"",0)</f>
        <v>#NAME?</v>
      </c>
      <c r="Q830" s="170">
        <v>1018</v>
      </c>
      <c r="R830" s="137" t="e" cm="1">
        <f t="array" aca="1" ref="R830" ca="1">_xlfn.XLOOKUP(Contrato5[[#This Row],[CDP]],[2]!DISPONIBILIDADES_2024[[#All],[consecutivo]],[2]!DISPONIBILIDADES_2024[[#All],[fecha_aprobacion]],"",0)</f>
        <v>#NAME?</v>
      </c>
      <c r="S830" s="138" t="e">
        <f>SUMIF([2]!DISPONIBILIDADES_2024[[#All],[consecutivo]],Contrato5[[#This Row],[CDP]],[2]!DISPONIBILIDADES_2024[[#All],[valor_total_rubro]])</f>
        <v>#REF!</v>
      </c>
      <c r="T830" s="139" t="e" cm="1">
        <f t="array" aca="1" ref="T830" ca="1">_xlfn.XLOOKUP(Contrato5[[#This Row],[CONTRATO]]&amp;Contrato5[[#This Row],[CDP]],[2]!Corr_Contr_CDP[[#All],[CONTRATO-CDP]],[2]!Corr_Contr_CDP[[#All],[CRP]],_xlfn.XLOOKUP(Contrato5[[#This Row],[CDP]],[2]!COMPROMISOS_2024[[#All],[disponibilidad]],[2]!COMPROMISOS_2024[[#All],[consecutivo]],"",0),0)</f>
        <v>#NAME?</v>
      </c>
      <c r="U830" s="140" t="e" cm="1">
        <f t="array" aca="1" ref="U830" ca="1">+_xlfn.XLOOKUP(Contrato5[[#This Row],[RCP]],[2]!COMPROMISOS_2024[[#All],[consecutivo]],[2]!COMPROMISOS_2024[[#All],[fecha_aprobacion]],"",0)</f>
        <v>#NAME?</v>
      </c>
      <c r="V830" s="141" t="e">
        <f ca="1">SUMIF([2]!COMPROMISOS_2024[[#All],[consecutivo]],Contrato5[[#This Row],[RCP]],[2]!COMPROMISOS_2024[[#All],[valor_total]])</f>
        <v>#REF!</v>
      </c>
      <c r="W830" s="160">
        <v>45572</v>
      </c>
      <c r="X830" s="160" t="s">
        <v>1045</v>
      </c>
      <c r="Y830" s="143">
        <v>45574</v>
      </c>
      <c r="Z830" s="262">
        <v>45643</v>
      </c>
      <c r="AA830" s="183" t="s">
        <v>3155</v>
      </c>
      <c r="AB830" s="588" t="s">
        <v>3156</v>
      </c>
      <c r="AC830" s="172"/>
      <c r="AD830" s="425">
        <v>202000005583</v>
      </c>
      <c r="AE830" s="147" t="s">
        <v>523</v>
      </c>
      <c r="AF830" s="148" t="str">
        <f>TEXT(LEFT(Contrato5[[#This Row],[CONTRATO]],3),"0")</f>
        <v>694</v>
      </c>
      <c r="AG830" s="148" t="str">
        <f>IF(LEN(Contrato5[[#This Row],[Contrato2]])=3,Contrato5[[#This Row],[Contrato2]],TEXT(Contrato5[[#This Row],[Contrato2]],"000"))</f>
        <v>694</v>
      </c>
      <c r="AH830" s="149">
        <f ca="1">IFERROR(_xlfn.DAYS(Contrato5[[#This Row],[Fecha Proyectada liquidación]],TODAY())/30,"")</f>
        <v>0.16666666666666666</v>
      </c>
      <c r="AI830" s="150">
        <f>+Contrato5[[#This Row],[FECHA TERMINACIÓN ]]+120</f>
        <v>45763</v>
      </c>
      <c r="AJ830" s="147"/>
      <c r="AK830" s="152" t="str">
        <f ca="1">IF(Contrato5[[#This Row],[FECHA TERMINACIÓN ]]&lt;TODAY(), "Terminado",IF(ISNUMBER(Contrato5[[#This Row],[Fecha Real de liquiidación ]]),"Liquidado",IF(Contrato5[[#This Row],[FECHA TERMINACIÓN ]]&gt;=TODAY(),"En ejecución","")))</f>
        <v>Terminado</v>
      </c>
      <c r="AL830" s="153" t="e">
        <f ca="1">SUMIF([2]!COMPROMISOS_2024[[#All],[consecutivo]],Contrato5[[#This Row],[RCP]],[2]!COMPROMISOS_2024[[#All],[Total pagado]])</f>
        <v>#REF!</v>
      </c>
      <c r="AM830" s="154">
        <f ca="1">IFERROR(Contrato5[[#This Row],[Pagos]]/Contrato5[[#This Row],[VALOR CONTRATO]],0)</f>
        <v>0</v>
      </c>
      <c r="AN830" s="198" t="e">
        <f ca="1">+Contrato5[[#This Row],[VALOR CONTRATO]]-Contrato5[[#This Row],[Pagos]]</f>
        <v>#REF!</v>
      </c>
      <c r="AO830" s="147" t="e" cm="1">
        <f t="array" aca="1" ref="AO830" ca="1">_xlfn.XLOOKUP(Contrato5[[#This Row],[DOCUMENTO ]],[2]!PERSONAL_ACTIVO_2024[[#All],[Documento identidad]],[2]!PERSONAL_ACTIVO_2024[[#All],[Mail ]],0,0)</f>
        <v>#NAME?</v>
      </c>
      <c r="AP830" s="147" t="e" cm="1">
        <f t="array" aca="1" ref="AP830" ca="1">_xlfn.XLOOKUP(Contrato5[[#This Row],[DOCUMENTO]],[2]!PERSONAL_ACTIVO_2024[[#All],[Documento identidad]],[2]!PERSONAL_ACTIVO_2024[[#All],[Mail ]],0,0)</f>
        <v>#NAME?</v>
      </c>
      <c r="AQ830" s="439" cm="1">
        <f t="array" aca="1" ref="AQ830" ca="1">IF(ISBLANK(Contrato5[[#This Row],[DEPENDENCIA ]]),0,IFERROR(_xlfn.XLOOKUP(Contrato5[[#This Row],[DEPENDENCIA ]],[2]!PERSONAL_ACTIVO_2024[[#All],[Dependencia]],[2]!PERSONAL_ACTIVO_2024[[#All],[Mail ]],0,0),0))</f>
        <v>0</v>
      </c>
    </row>
    <row r="831" spans="1:43" ht="34.5" customHeight="1">
      <c r="A831" s="147">
        <v>1163</v>
      </c>
      <c r="B831" s="124">
        <v>695</v>
      </c>
      <c r="C831" s="162" t="s">
        <v>2152</v>
      </c>
      <c r="D831" s="227" t="s">
        <v>583</v>
      </c>
      <c r="E831" s="227" t="s">
        <v>94</v>
      </c>
      <c r="F831" s="227" t="s">
        <v>255</v>
      </c>
      <c r="G831" s="281" t="s">
        <v>3162</v>
      </c>
      <c r="H831" s="436">
        <v>811013918</v>
      </c>
      <c r="I831" s="309" t="s">
        <v>42</v>
      </c>
      <c r="J831" s="445">
        <v>55000000</v>
      </c>
      <c r="K831" s="413" t="s">
        <v>42</v>
      </c>
      <c r="L831" s="438" t="s">
        <v>2564</v>
      </c>
      <c r="M831" s="194" t="s">
        <v>586</v>
      </c>
      <c r="N831" s="177" t="e" cm="1">
        <f t="array" aca="1" ref="N831" ca="1">_xlfn.XLOOKUP(Contrato5[[#This Row],[SUPERVISOR TITULAR]],[2]!PERSONAL_ACTIVO_2024[[#All],[Nombre completo]],[2]!PERSONAL_ACTIVO_2024[[#All],[Documento identidad]],"",0)</f>
        <v>#NAME?</v>
      </c>
      <c r="O831" s="194" t="s">
        <v>589</v>
      </c>
      <c r="P831" s="196" t="e" cm="1">
        <f t="array" aca="1" ref="P831" ca="1">_xlfn.XLOOKUP(Contrato5[[#This Row],[SUPERVISOR SUPLENTE ]],[2]!PERSONAL_ACTIVO_2024[[#All],[Nombre completo]],[2]!PERSONAL_ACTIVO_2024[[#All],[Documento identidad]],"",0)</f>
        <v>#NAME?</v>
      </c>
      <c r="Q831" s="170">
        <v>1015</v>
      </c>
      <c r="R831" s="137" t="e" cm="1">
        <f t="array" aca="1" ref="R831" ca="1">_xlfn.XLOOKUP(Contrato5[[#This Row],[CDP]],[2]!DISPONIBILIDADES_2024[[#All],[consecutivo]],[2]!DISPONIBILIDADES_2024[[#All],[fecha_aprobacion]],"",0)</f>
        <v>#NAME?</v>
      </c>
      <c r="S831" s="138" t="e">
        <f>SUMIF([2]!DISPONIBILIDADES_2024[[#All],[consecutivo]],Contrato5[[#This Row],[CDP]],[2]!DISPONIBILIDADES_2024[[#All],[valor_total_rubro]])</f>
        <v>#REF!</v>
      </c>
      <c r="T831" s="139" t="e" cm="1">
        <f t="array" aca="1" ref="T831" ca="1">_xlfn.XLOOKUP(Contrato5[[#This Row],[CONTRATO]]&amp;Contrato5[[#This Row],[CDP]],[2]!Corr_Contr_CDP[[#All],[CONTRATO-CDP]],[2]!Corr_Contr_CDP[[#All],[CRP]],_xlfn.XLOOKUP(Contrato5[[#This Row],[CDP]],[2]!COMPROMISOS_2024[[#All],[disponibilidad]],[2]!COMPROMISOS_2024[[#All],[consecutivo]],"",0),0)</f>
        <v>#NAME?</v>
      </c>
      <c r="U831" s="140" t="e" cm="1">
        <f t="array" aca="1" ref="U831" ca="1">+_xlfn.XLOOKUP(Contrato5[[#This Row],[RCP]],[2]!COMPROMISOS_2024[[#All],[consecutivo]],[2]!COMPROMISOS_2024[[#All],[fecha_aprobacion]],"",0)</f>
        <v>#NAME?</v>
      </c>
      <c r="V831" s="141" t="e">
        <f ca="1">SUMIF([2]!COMPROMISOS_2024[[#All],[consecutivo]],Contrato5[[#This Row],[RCP]],[2]!COMPROMISOS_2024[[#All],[valor_total]])</f>
        <v>#REF!</v>
      </c>
      <c r="W831" s="160">
        <v>45576</v>
      </c>
      <c r="X831" s="160">
        <v>45582</v>
      </c>
      <c r="Y831" s="143">
        <v>45582</v>
      </c>
      <c r="Z831" s="262">
        <v>45656</v>
      </c>
      <c r="AA831" s="183" t="s">
        <v>3163</v>
      </c>
      <c r="AB831" s="172" t="s">
        <v>3101</v>
      </c>
      <c r="AC831" s="172"/>
      <c r="AD831" s="425">
        <v>202000005584</v>
      </c>
      <c r="AE831" s="147" t="s">
        <v>523</v>
      </c>
      <c r="AF831" s="148" t="str">
        <f>TEXT(LEFT(Contrato5[[#This Row],[CONTRATO]],3),"0")</f>
        <v>695</v>
      </c>
      <c r="AG831" s="148" t="str">
        <f>IF(LEN(Contrato5[[#This Row],[Contrato2]])=3,Contrato5[[#This Row],[Contrato2]],TEXT(Contrato5[[#This Row],[Contrato2]],"000"))</f>
        <v>695</v>
      </c>
      <c r="AH831" s="149">
        <f ca="1">IFERROR(_xlfn.DAYS(Contrato5[[#This Row],[Fecha Proyectada liquidación]],TODAY())/30,"")</f>
        <v>0.6</v>
      </c>
      <c r="AI831" s="150">
        <f>+Contrato5[[#This Row],[FECHA TERMINACIÓN ]]+120</f>
        <v>45776</v>
      </c>
      <c r="AJ831" s="147"/>
      <c r="AK831" s="152" t="str">
        <f ca="1">IF(Contrato5[[#This Row],[FECHA TERMINACIÓN ]]&lt;TODAY(), "Terminado",IF(ISNUMBER(Contrato5[[#This Row],[Fecha Real de liquiidación ]]),"Liquidado",IF(Contrato5[[#This Row],[FECHA TERMINACIÓN ]]&gt;=TODAY(),"En ejecución","")))</f>
        <v>Terminado</v>
      </c>
      <c r="AL831" s="153" t="e">
        <f ca="1">SUMIF([2]!COMPROMISOS_2024[[#All],[consecutivo]],Contrato5[[#This Row],[RCP]],[2]!COMPROMISOS_2024[[#All],[Total pagado]])</f>
        <v>#REF!</v>
      </c>
      <c r="AM831" s="154">
        <f ca="1">IFERROR(Contrato5[[#This Row],[Pagos]]/Contrato5[[#This Row],[VALOR CONTRATO]],0)</f>
        <v>0</v>
      </c>
      <c r="AN831" s="198" t="e">
        <f ca="1">+Contrato5[[#This Row],[VALOR CONTRATO]]-Contrato5[[#This Row],[Pagos]]</f>
        <v>#REF!</v>
      </c>
      <c r="AO831" s="147" t="e" cm="1">
        <f t="array" aca="1" ref="AO831" ca="1">_xlfn.XLOOKUP(Contrato5[[#This Row],[DOCUMENTO ]],[2]!PERSONAL_ACTIVO_2024[[#All],[Documento identidad]],[2]!PERSONAL_ACTIVO_2024[[#All],[Mail ]],0,0)</f>
        <v>#NAME?</v>
      </c>
      <c r="AP831" s="147" t="e" cm="1">
        <f t="array" aca="1" ref="AP831" ca="1">_xlfn.XLOOKUP(Contrato5[[#This Row],[DOCUMENTO]],[2]!PERSONAL_ACTIVO_2024[[#All],[Documento identidad]],[2]!PERSONAL_ACTIVO_2024[[#All],[Mail ]],0,0)</f>
        <v>#NAME?</v>
      </c>
      <c r="AQ831" s="439" cm="1">
        <f t="array" aca="1" ref="AQ831" ca="1">IF(ISBLANK(Contrato5[[#This Row],[DEPENDENCIA ]]),0,IFERROR(_xlfn.XLOOKUP(Contrato5[[#This Row],[DEPENDENCIA ]],[2]!PERSONAL_ACTIVO_2024[[#All],[Dependencia]],[2]!PERSONAL_ACTIVO_2024[[#All],[Mail ]],0,0),0))</f>
        <v>0</v>
      </c>
    </row>
    <row r="832" spans="1:43" ht="34.5" customHeight="1">
      <c r="A832" s="147">
        <v>1100</v>
      </c>
      <c r="B832" s="124">
        <v>696</v>
      </c>
      <c r="C832" s="162" t="s">
        <v>2135</v>
      </c>
      <c r="D832" s="227" t="s">
        <v>583</v>
      </c>
      <c r="E832" s="227" t="s">
        <v>94</v>
      </c>
      <c r="F832" s="227" t="s">
        <v>255</v>
      </c>
      <c r="G832" s="281" t="s">
        <v>3164</v>
      </c>
      <c r="H832" s="436">
        <v>890905626</v>
      </c>
      <c r="I832" s="309" t="s">
        <v>42</v>
      </c>
      <c r="J832" s="445">
        <v>40000000</v>
      </c>
      <c r="K832" s="413" t="s">
        <v>42</v>
      </c>
      <c r="L832" s="438" t="s">
        <v>2564</v>
      </c>
      <c r="M832" s="194" t="s">
        <v>586</v>
      </c>
      <c r="N832" s="177" t="e" cm="1">
        <f t="array" aca="1" ref="N832" ca="1">_xlfn.XLOOKUP(Contrato5[[#This Row],[SUPERVISOR TITULAR]],[2]!PERSONAL_ACTIVO_2024[[#All],[Nombre completo]],[2]!PERSONAL_ACTIVO_2024[[#All],[Documento identidad]],"",0)</f>
        <v>#NAME?</v>
      </c>
      <c r="O832" s="194" t="s">
        <v>589</v>
      </c>
      <c r="P832" s="196" t="e" cm="1">
        <f t="array" aca="1" ref="P832" ca="1">_xlfn.XLOOKUP(Contrato5[[#This Row],[SUPERVISOR SUPLENTE ]],[2]!PERSONAL_ACTIVO_2024[[#All],[Nombre completo]],[2]!PERSONAL_ACTIVO_2024[[#All],[Documento identidad]],"",0)</f>
        <v>#NAME?</v>
      </c>
      <c r="Q832" s="170">
        <v>1022</v>
      </c>
      <c r="R832" s="137" t="e" cm="1">
        <f t="array" aca="1" ref="R832" ca="1">_xlfn.XLOOKUP(Contrato5[[#This Row],[CDP]],[2]!DISPONIBILIDADES_2024[[#All],[consecutivo]],[2]!DISPONIBILIDADES_2024[[#All],[fecha_aprobacion]],"",0)</f>
        <v>#NAME?</v>
      </c>
      <c r="S832" s="138" t="e">
        <f>SUMIF([2]!DISPONIBILIDADES_2024[[#All],[consecutivo]],Contrato5[[#This Row],[CDP]],[2]!DISPONIBILIDADES_2024[[#All],[valor_total_rubro]])</f>
        <v>#REF!</v>
      </c>
      <c r="T832" s="139" t="e" cm="1">
        <f t="array" aca="1" ref="T832" ca="1">_xlfn.XLOOKUP(Contrato5[[#This Row],[CONTRATO]]&amp;Contrato5[[#This Row],[CDP]],[2]!Corr_Contr_CDP[[#All],[CONTRATO-CDP]],[2]!Corr_Contr_CDP[[#All],[CRP]],_xlfn.XLOOKUP(Contrato5[[#This Row],[CDP]],[2]!COMPROMISOS_2024[[#All],[disponibilidad]],[2]!COMPROMISOS_2024[[#All],[consecutivo]],"",0),0)</f>
        <v>#NAME?</v>
      </c>
      <c r="U832" s="140" t="e" cm="1">
        <f t="array" aca="1" ref="U832" ca="1">+_xlfn.XLOOKUP(Contrato5[[#This Row],[RCP]],[2]!COMPROMISOS_2024[[#All],[consecutivo]],[2]!COMPROMISOS_2024[[#All],[fecha_aprobacion]],"",0)</f>
        <v>#NAME?</v>
      </c>
      <c r="V832" s="141" t="e">
        <f ca="1">SUMIF([2]!COMPROMISOS_2024[[#All],[consecutivo]],Contrato5[[#This Row],[RCP]],[2]!COMPROMISOS_2024[[#All],[valor_total]])</f>
        <v>#REF!</v>
      </c>
      <c r="W832" s="160">
        <v>45576</v>
      </c>
      <c r="X832" s="160">
        <v>45581</v>
      </c>
      <c r="Y832" s="143">
        <v>45581</v>
      </c>
      <c r="Z832" s="262">
        <v>45656</v>
      </c>
      <c r="AA832" s="183" t="s">
        <v>3165</v>
      </c>
      <c r="AB832" s="172" t="s">
        <v>3101</v>
      </c>
      <c r="AC832" s="172"/>
      <c r="AD832" s="425">
        <v>202000005585</v>
      </c>
      <c r="AE832" s="147" t="s">
        <v>523</v>
      </c>
      <c r="AF832" s="148" t="str">
        <f>TEXT(LEFT(Contrato5[[#This Row],[CONTRATO]],3),"0")</f>
        <v>696</v>
      </c>
      <c r="AG832" s="148" t="str">
        <f>IF(LEN(Contrato5[[#This Row],[Contrato2]])=3,Contrato5[[#This Row],[Contrato2]],TEXT(Contrato5[[#This Row],[Contrato2]],"000"))</f>
        <v>696</v>
      </c>
      <c r="AH832" s="149">
        <f ca="1">IFERROR(_xlfn.DAYS(Contrato5[[#This Row],[Fecha Proyectada liquidación]],TODAY())/30,"")</f>
        <v>0.6</v>
      </c>
      <c r="AI832" s="150">
        <f>+Contrato5[[#This Row],[FECHA TERMINACIÓN ]]+120</f>
        <v>45776</v>
      </c>
      <c r="AJ832" s="147"/>
      <c r="AK832" s="152" t="str">
        <f ca="1">IF(Contrato5[[#This Row],[FECHA TERMINACIÓN ]]&lt;TODAY(), "Terminado",IF(ISNUMBER(Contrato5[[#This Row],[Fecha Real de liquiidación ]]),"Liquidado",IF(Contrato5[[#This Row],[FECHA TERMINACIÓN ]]&gt;=TODAY(),"En ejecución","")))</f>
        <v>Terminado</v>
      </c>
      <c r="AL832" s="153" t="e">
        <f ca="1">SUMIF([2]!COMPROMISOS_2024[[#All],[consecutivo]],Contrato5[[#This Row],[RCP]],[2]!COMPROMISOS_2024[[#All],[Total pagado]])</f>
        <v>#REF!</v>
      </c>
      <c r="AM832" s="154">
        <f ca="1">IFERROR(Contrato5[[#This Row],[Pagos]]/Contrato5[[#This Row],[VALOR CONTRATO]],0)</f>
        <v>0</v>
      </c>
      <c r="AN832" s="198" t="e">
        <f ca="1">+Contrato5[[#This Row],[VALOR CONTRATO]]-Contrato5[[#This Row],[Pagos]]</f>
        <v>#REF!</v>
      </c>
      <c r="AO832" s="147" t="e" cm="1">
        <f t="array" aca="1" ref="AO832" ca="1">_xlfn.XLOOKUP(Contrato5[[#This Row],[DOCUMENTO ]],[2]!PERSONAL_ACTIVO_2024[[#All],[Documento identidad]],[2]!PERSONAL_ACTIVO_2024[[#All],[Mail ]],0,0)</f>
        <v>#NAME?</v>
      </c>
      <c r="AP832" s="147" t="e" cm="1">
        <f t="array" aca="1" ref="AP832" ca="1">_xlfn.XLOOKUP(Contrato5[[#This Row],[DOCUMENTO]],[2]!PERSONAL_ACTIVO_2024[[#All],[Documento identidad]],[2]!PERSONAL_ACTIVO_2024[[#All],[Mail ]],0,0)</f>
        <v>#NAME?</v>
      </c>
      <c r="AQ832" s="439" cm="1">
        <f t="array" aca="1" ref="AQ832" ca="1">IF(ISBLANK(Contrato5[[#This Row],[DEPENDENCIA ]]),0,IFERROR(_xlfn.XLOOKUP(Contrato5[[#This Row],[DEPENDENCIA ]],[2]!PERSONAL_ACTIVO_2024[[#All],[Dependencia]],[2]!PERSONAL_ACTIVO_2024[[#All],[Mail ]],0,0),0))</f>
        <v>0</v>
      </c>
    </row>
    <row r="833" spans="1:43" ht="34.5" customHeight="1">
      <c r="A833" s="147">
        <v>1036</v>
      </c>
      <c r="B833" s="124">
        <v>697</v>
      </c>
      <c r="C833" s="162" t="s">
        <v>2387</v>
      </c>
      <c r="D833" s="227" t="s">
        <v>3166</v>
      </c>
      <c r="E833" s="227" t="s">
        <v>94</v>
      </c>
      <c r="F833" s="227" t="s">
        <v>255</v>
      </c>
      <c r="G833" s="281" t="s">
        <v>2647</v>
      </c>
      <c r="H833" s="436">
        <v>800169283</v>
      </c>
      <c r="I833" s="309">
        <v>0</v>
      </c>
      <c r="J833" s="445">
        <v>35000000</v>
      </c>
      <c r="K833" s="131" t="s">
        <v>3167</v>
      </c>
      <c r="L833" s="438" t="s">
        <v>2564</v>
      </c>
      <c r="M833" s="194" t="s">
        <v>853</v>
      </c>
      <c r="N833" s="177" t="e" cm="1">
        <f t="array" aca="1" ref="N833" ca="1">_xlfn.XLOOKUP(Contrato5[[#This Row],[SUPERVISOR TITULAR]],[2]!PERSONAL_ACTIVO_2024[[#All],[Nombre completo]],[2]!PERSONAL_ACTIVO_2024[[#All],[Documento identidad]],"",0)</f>
        <v>#NAME?</v>
      </c>
      <c r="O833" s="194" t="s">
        <v>852</v>
      </c>
      <c r="P833" s="196" t="e" cm="1">
        <f t="array" aca="1" ref="P833" ca="1">_xlfn.XLOOKUP(Contrato5[[#This Row],[SUPERVISOR SUPLENTE ]],[2]!PERSONAL_ACTIVO_2024[[#All],[Nombre completo]],[2]!PERSONAL_ACTIVO_2024[[#All],[Documento identidad]],"",0)</f>
        <v>#NAME?</v>
      </c>
      <c r="Q833" s="170">
        <v>965</v>
      </c>
      <c r="R833" s="137" t="e" cm="1">
        <f t="array" aca="1" ref="R833" ca="1">_xlfn.XLOOKUP(Contrato5[[#This Row],[CDP]],[2]!DISPONIBILIDADES_2024[[#All],[consecutivo]],[2]!DISPONIBILIDADES_2024[[#All],[fecha_aprobacion]],"",0)</f>
        <v>#NAME?</v>
      </c>
      <c r="S833" s="138" t="e">
        <f>SUMIF([2]!DISPONIBILIDADES_2024[[#All],[consecutivo]],Contrato5[[#This Row],[CDP]],[2]!DISPONIBILIDADES_2024[[#All],[valor_total_rubro]])</f>
        <v>#REF!</v>
      </c>
      <c r="T833" s="139" t="e" cm="1">
        <f t="array" aca="1" ref="T833" ca="1">_xlfn.XLOOKUP(Contrato5[[#This Row],[CONTRATO]]&amp;Contrato5[[#This Row],[CDP]],[2]!Corr_Contr_CDP[[#All],[CONTRATO-CDP]],[2]!Corr_Contr_CDP[[#All],[CRP]],_xlfn.XLOOKUP(Contrato5[[#This Row],[CDP]],[2]!COMPROMISOS_2024[[#All],[disponibilidad]],[2]!COMPROMISOS_2024[[#All],[consecutivo]],"",0),0)</f>
        <v>#NAME?</v>
      </c>
      <c r="U833" s="140" t="e" cm="1">
        <f t="array" aca="1" ref="U833" ca="1">+_xlfn.XLOOKUP(Contrato5[[#This Row],[RCP]],[2]!COMPROMISOS_2024[[#All],[consecutivo]],[2]!COMPROMISOS_2024[[#All],[fecha_aprobacion]],"",0)</f>
        <v>#NAME?</v>
      </c>
      <c r="V833" s="141" t="e">
        <f ca="1">SUMIF([2]!COMPROMISOS_2024[[#All],[consecutivo]],Contrato5[[#This Row],[RCP]],[2]!COMPROMISOS_2024[[#All],[valor_total]])</f>
        <v>#REF!</v>
      </c>
      <c r="W833" s="160">
        <v>45575</v>
      </c>
      <c r="X833" s="160">
        <v>45576</v>
      </c>
      <c r="Y833" s="143">
        <v>45576</v>
      </c>
      <c r="Z833" s="262">
        <v>45657</v>
      </c>
      <c r="AA833" s="183" t="s">
        <v>3168</v>
      </c>
      <c r="AB833" s="160" t="s">
        <v>2567</v>
      </c>
      <c r="AC833" s="172"/>
      <c r="AD833" s="589">
        <v>202000005586</v>
      </c>
      <c r="AE833" s="147" t="s">
        <v>523</v>
      </c>
      <c r="AF833" s="148" t="str">
        <f>TEXT(LEFT(Contrato5[[#This Row],[CONTRATO]],3),"0")</f>
        <v>697</v>
      </c>
      <c r="AG833" s="148" t="str">
        <f>IF(LEN(Contrato5[[#This Row],[Contrato2]])=3,Contrato5[[#This Row],[Contrato2]],TEXT(Contrato5[[#This Row],[Contrato2]],"000"))</f>
        <v>697</v>
      </c>
      <c r="AH833" s="149">
        <f ca="1">IFERROR(_xlfn.DAYS(Contrato5[[#This Row],[Fecha Proyectada liquidación]],TODAY())/30,"")</f>
        <v>0.6333333333333333</v>
      </c>
      <c r="AI833" s="150">
        <f>+Contrato5[[#This Row],[FECHA TERMINACIÓN ]]+120</f>
        <v>45777</v>
      </c>
      <c r="AJ833" s="147"/>
      <c r="AK833" s="152" t="str">
        <f ca="1">IF(Contrato5[[#This Row],[FECHA TERMINACIÓN ]]&lt;TODAY(), "Terminado",IF(ISNUMBER(Contrato5[[#This Row],[Fecha Real de liquiidación ]]),"Liquidado",IF(Contrato5[[#This Row],[FECHA TERMINACIÓN ]]&gt;=TODAY(),"En ejecución","")))</f>
        <v>Terminado</v>
      </c>
      <c r="AL833" s="153" t="e">
        <f ca="1">SUMIF([2]!COMPROMISOS_2024[[#All],[consecutivo]],Contrato5[[#This Row],[RCP]],[2]!COMPROMISOS_2024[[#All],[Total pagado]])</f>
        <v>#REF!</v>
      </c>
      <c r="AM833" s="154">
        <f ca="1">IFERROR(Contrato5[[#This Row],[Pagos]]/Contrato5[[#This Row],[VALOR CONTRATO]],0)</f>
        <v>0</v>
      </c>
      <c r="AN833" s="198" t="e">
        <f ca="1">+Contrato5[[#This Row],[VALOR CONTRATO]]-Contrato5[[#This Row],[Pagos]]</f>
        <v>#REF!</v>
      </c>
      <c r="AO833" s="147" t="e" cm="1">
        <f t="array" aca="1" ref="AO833" ca="1">_xlfn.XLOOKUP(Contrato5[[#This Row],[DOCUMENTO ]],[2]!PERSONAL_ACTIVO_2024[[#All],[Documento identidad]],[2]!PERSONAL_ACTIVO_2024[[#All],[Mail ]],0,0)</f>
        <v>#NAME?</v>
      </c>
      <c r="AP833" s="147" t="e" cm="1">
        <f t="array" aca="1" ref="AP833" ca="1">_xlfn.XLOOKUP(Contrato5[[#This Row],[DOCUMENTO]],[2]!PERSONAL_ACTIVO_2024[[#All],[Documento identidad]],[2]!PERSONAL_ACTIVO_2024[[#All],[Mail ]],0,0)</f>
        <v>#NAME?</v>
      </c>
      <c r="AQ833" s="439" cm="1">
        <f t="array" aca="1" ref="AQ833" ca="1">IF(ISBLANK(Contrato5[[#This Row],[DEPENDENCIA ]]),0,IFERROR(_xlfn.XLOOKUP(Contrato5[[#This Row],[DEPENDENCIA ]],[2]!PERSONAL_ACTIVO_2024[[#All],[Dependencia]],[2]!PERSONAL_ACTIVO_2024[[#All],[Mail ]],0,0),0))</f>
        <v>0</v>
      </c>
    </row>
    <row r="834" spans="1:43" ht="34.5" customHeight="1">
      <c r="A834" s="147">
        <v>1027</v>
      </c>
      <c r="B834" s="124">
        <v>698</v>
      </c>
      <c r="C834" s="162" t="s">
        <v>2124</v>
      </c>
      <c r="D834" s="227" t="s">
        <v>3169</v>
      </c>
      <c r="E834" s="227" t="s">
        <v>94</v>
      </c>
      <c r="F834" s="227" t="s">
        <v>1376</v>
      </c>
      <c r="G834" s="281" t="s">
        <v>3170</v>
      </c>
      <c r="H834" s="436">
        <v>1038417615</v>
      </c>
      <c r="I834" s="309">
        <v>7400000</v>
      </c>
      <c r="J834" s="445">
        <v>22200000</v>
      </c>
      <c r="K834" s="413" t="s">
        <v>42</v>
      </c>
      <c r="L834" s="438" t="s">
        <v>2564</v>
      </c>
      <c r="M834" s="194" t="s">
        <v>605</v>
      </c>
      <c r="N834" s="177" t="e" cm="1">
        <f t="array" aca="1" ref="N834" ca="1">_xlfn.XLOOKUP(Contrato5[[#This Row],[SUPERVISOR TITULAR]],[2]!PERSONAL_ACTIVO_2024[[#All],[Nombre completo]],[2]!PERSONAL_ACTIVO_2024[[#All],[Documento identidad]],"",0)</f>
        <v>#NAME?</v>
      </c>
      <c r="O834" s="194" t="s">
        <v>1087</v>
      </c>
      <c r="P834" s="196" t="e" cm="1">
        <f t="array" aca="1" ref="P834" ca="1">_xlfn.XLOOKUP(Contrato5[[#This Row],[SUPERVISOR SUPLENTE ]],[2]!PERSONAL_ACTIVO_2024[[#All],[Nombre completo]],[2]!PERSONAL_ACTIVO_2024[[#All],[Documento identidad]],"",0)</f>
        <v>#NAME?</v>
      </c>
      <c r="Q834" s="170">
        <v>987</v>
      </c>
      <c r="R834" s="137" t="e" cm="1">
        <f t="array" aca="1" ref="R834" ca="1">_xlfn.XLOOKUP(Contrato5[[#This Row],[CDP]],[2]!DISPONIBILIDADES_2024[[#All],[consecutivo]],[2]!DISPONIBILIDADES_2024[[#All],[fecha_aprobacion]],"",0)</f>
        <v>#NAME?</v>
      </c>
      <c r="S834" s="138" t="e">
        <f>SUMIF([2]!DISPONIBILIDADES_2024[[#All],[consecutivo]],Contrato5[[#This Row],[CDP]],[2]!DISPONIBILIDADES_2024[[#All],[valor_total_rubro]])</f>
        <v>#REF!</v>
      </c>
      <c r="T834" s="139" t="e" cm="1">
        <f t="array" aca="1" ref="T834" ca="1">_xlfn.XLOOKUP(Contrato5[[#This Row],[CONTRATO]]&amp;Contrato5[[#This Row],[CDP]],[2]!Corr_Contr_CDP[[#All],[CONTRATO-CDP]],[2]!Corr_Contr_CDP[[#All],[CRP]],_xlfn.XLOOKUP(Contrato5[[#This Row],[CDP]],[2]!COMPROMISOS_2024[[#All],[disponibilidad]],[2]!COMPROMISOS_2024[[#All],[consecutivo]],"",0),0)</f>
        <v>#NAME?</v>
      </c>
      <c r="U834" s="140" t="e" cm="1">
        <f t="array" aca="1" ref="U834" ca="1">+_xlfn.XLOOKUP(Contrato5[[#This Row],[RCP]],[2]!COMPROMISOS_2024[[#All],[consecutivo]],[2]!COMPROMISOS_2024[[#All],[fecha_aprobacion]],"",0)</f>
        <v>#NAME?</v>
      </c>
      <c r="V834" s="141" t="e">
        <f ca="1">SUMIF([2]!COMPROMISOS_2024[[#All],[consecutivo]],Contrato5[[#This Row],[RCP]],[2]!COMPROMISOS_2024[[#All],[valor_total]])</f>
        <v>#REF!</v>
      </c>
      <c r="W834" s="160">
        <v>45576</v>
      </c>
      <c r="X834" s="160" t="s">
        <v>1045</v>
      </c>
      <c r="Y834" s="143">
        <v>45577</v>
      </c>
      <c r="Z834" s="262">
        <v>45657</v>
      </c>
      <c r="AA834" s="183" t="s">
        <v>3171</v>
      </c>
      <c r="AB834" s="172" t="s">
        <v>529</v>
      </c>
      <c r="AC834" s="172"/>
      <c r="AD834" s="425">
        <v>202000005587</v>
      </c>
      <c r="AE834" s="147" t="s">
        <v>523</v>
      </c>
      <c r="AF834" s="148" t="str">
        <f>TEXT(LEFT(Contrato5[[#This Row],[CONTRATO]],3),"0")</f>
        <v>698</v>
      </c>
      <c r="AG834" s="148" t="str">
        <f>IF(LEN(Contrato5[[#This Row],[Contrato2]])=3,Contrato5[[#This Row],[Contrato2]],TEXT(Contrato5[[#This Row],[Contrato2]],"000"))</f>
        <v>698</v>
      </c>
      <c r="AH834" s="149">
        <f ca="1">IFERROR(_xlfn.DAYS(Contrato5[[#This Row],[Fecha Proyectada liquidación]],TODAY())/30,"")</f>
        <v>0.6333333333333333</v>
      </c>
      <c r="AI834" s="150">
        <f>+Contrato5[[#This Row],[FECHA TERMINACIÓN ]]+120</f>
        <v>45777</v>
      </c>
      <c r="AJ834" s="147"/>
      <c r="AK834" s="152" t="str">
        <f ca="1">IF(Contrato5[[#This Row],[FECHA TERMINACIÓN ]]&lt;TODAY(), "Terminado",IF(ISNUMBER(Contrato5[[#This Row],[Fecha Real de liquiidación ]]),"Liquidado",IF(Contrato5[[#This Row],[FECHA TERMINACIÓN ]]&gt;=TODAY(),"En ejecución","")))</f>
        <v>Terminado</v>
      </c>
      <c r="AL834" s="153" t="e">
        <f ca="1">SUMIF([2]!COMPROMISOS_2024[[#All],[consecutivo]],Contrato5[[#This Row],[RCP]],[2]!COMPROMISOS_2024[[#All],[Total pagado]])</f>
        <v>#REF!</v>
      </c>
      <c r="AM834" s="154">
        <f ca="1">IFERROR(Contrato5[[#This Row],[Pagos]]/Contrato5[[#This Row],[VALOR CONTRATO]],0)</f>
        <v>0</v>
      </c>
      <c r="AN834" s="198" t="e">
        <f ca="1">+Contrato5[[#This Row],[VALOR CONTRATO]]-Contrato5[[#This Row],[Pagos]]</f>
        <v>#REF!</v>
      </c>
      <c r="AO834" s="147" t="e" cm="1">
        <f t="array" aca="1" ref="AO834" ca="1">_xlfn.XLOOKUP(Contrato5[[#This Row],[DOCUMENTO ]],[2]!PERSONAL_ACTIVO_2024[[#All],[Documento identidad]],[2]!PERSONAL_ACTIVO_2024[[#All],[Mail ]],0,0)</f>
        <v>#NAME?</v>
      </c>
      <c r="AP834" s="147" t="e" cm="1">
        <f t="array" aca="1" ref="AP834" ca="1">_xlfn.XLOOKUP(Contrato5[[#This Row],[DOCUMENTO]],[2]!PERSONAL_ACTIVO_2024[[#All],[Documento identidad]],[2]!PERSONAL_ACTIVO_2024[[#All],[Mail ]],0,0)</f>
        <v>#NAME?</v>
      </c>
      <c r="AQ834" s="439" cm="1">
        <f t="array" aca="1" ref="AQ834" ca="1">IF(ISBLANK(Contrato5[[#This Row],[DEPENDENCIA ]]),0,IFERROR(_xlfn.XLOOKUP(Contrato5[[#This Row],[DEPENDENCIA ]],[2]!PERSONAL_ACTIVO_2024[[#All],[Dependencia]],[2]!PERSONAL_ACTIVO_2024[[#All],[Mail ]],0,0),0))</f>
        <v>0</v>
      </c>
    </row>
    <row r="835" spans="1:43" ht="34.5" customHeight="1">
      <c r="A835" s="147">
        <v>1214</v>
      </c>
      <c r="B835" s="124">
        <v>699</v>
      </c>
      <c r="C835" s="162" t="s">
        <v>2321</v>
      </c>
      <c r="D835" s="227" t="s">
        <v>3166</v>
      </c>
      <c r="E835" s="227" t="s">
        <v>94</v>
      </c>
      <c r="F835" s="227" t="s">
        <v>255</v>
      </c>
      <c r="G835" s="281" t="s">
        <v>3172</v>
      </c>
      <c r="H835" s="436">
        <v>900342664</v>
      </c>
      <c r="I835" s="309" t="s">
        <v>42</v>
      </c>
      <c r="J835" s="445">
        <v>438814288</v>
      </c>
      <c r="K835" s="131" t="s">
        <v>3173</v>
      </c>
      <c r="L835" s="438" t="s">
        <v>3174</v>
      </c>
      <c r="M835" s="194" t="s">
        <v>550</v>
      </c>
      <c r="N835" s="177" t="e" cm="1">
        <f t="array" aca="1" ref="N835" ca="1">_xlfn.XLOOKUP(Contrato5[[#This Row],[SUPERVISOR TITULAR]],[2]!PERSONAL_ACTIVO_2024[[#All],[Nombre completo]],[2]!PERSONAL_ACTIVO_2024[[#All],[Documento identidad]],"",0)</f>
        <v>#NAME?</v>
      </c>
      <c r="O835" s="194" t="s">
        <v>577</v>
      </c>
      <c r="P835" s="196" t="e" cm="1">
        <f t="array" aca="1" ref="P835" ca="1">_xlfn.XLOOKUP(Contrato5[[#This Row],[SUPERVISOR SUPLENTE ]],[2]!PERSONAL_ACTIVO_2024[[#All],[Nombre completo]],[2]!PERSONAL_ACTIVO_2024[[#All],[Documento identidad]],"",0)</f>
        <v>#NAME?</v>
      </c>
      <c r="Q835" s="170">
        <v>1029</v>
      </c>
      <c r="R835" s="137" t="e" cm="1">
        <f t="array" aca="1" ref="R835" ca="1">_xlfn.XLOOKUP(Contrato5[[#This Row],[CDP]],[2]!DISPONIBILIDADES_2024[[#All],[consecutivo]],[2]!DISPONIBILIDADES_2024[[#All],[fecha_aprobacion]],"",0)</f>
        <v>#NAME?</v>
      </c>
      <c r="S835" s="138" t="e">
        <f>SUMIF([2]!DISPONIBILIDADES_2024[[#All],[consecutivo]],Contrato5[[#This Row],[CDP]],[2]!DISPONIBILIDADES_2024[[#All],[valor_total_rubro]])</f>
        <v>#REF!</v>
      </c>
      <c r="T835" s="139" t="e" cm="1">
        <f t="array" aca="1" ref="T835" ca="1">_xlfn.XLOOKUP(Contrato5[[#This Row],[CONTRATO]]&amp;Contrato5[[#This Row],[CDP]],[2]!Corr_Contr_CDP[[#All],[CONTRATO-CDP]],[2]!Corr_Contr_CDP[[#All],[CRP]],_xlfn.XLOOKUP(Contrato5[[#This Row],[CDP]],[2]!COMPROMISOS_2024[[#All],[disponibilidad]],[2]!COMPROMISOS_2024[[#All],[consecutivo]],"",0),0)</f>
        <v>#NAME?</v>
      </c>
      <c r="U835" s="140" t="e" cm="1">
        <f t="array" aca="1" ref="U835" ca="1">+_xlfn.XLOOKUP(Contrato5[[#This Row],[RCP]],[2]!COMPROMISOS_2024[[#All],[consecutivo]],[2]!COMPROMISOS_2024[[#All],[fecha_aprobacion]],"",0)</f>
        <v>#NAME?</v>
      </c>
      <c r="V835" s="141" t="e">
        <f ca="1">SUMIF([2]!COMPROMISOS_2024[[#All],[consecutivo]],Contrato5[[#This Row],[RCP]],[2]!COMPROMISOS_2024[[#All],[valor_total]])</f>
        <v>#REF!</v>
      </c>
      <c r="W835" s="160">
        <v>45582</v>
      </c>
      <c r="X835" s="160">
        <v>45583</v>
      </c>
      <c r="Y835" s="143">
        <v>45583</v>
      </c>
      <c r="Z835" s="262">
        <v>45657</v>
      </c>
      <c r="AA835" s="183" t="s">
        <v>3175</v>
      </c>
      <c r="AB835" s="172" t="s">
        <v>3176</v>
      </c>
      <c r="AC835" s="172"/>
      <c r="AD835" s="425">
        <v>202000005588</v>
      </c>
      <c r="AE835" s="147" t="s">
        <v>523</v>
      </c>
      <c r="AF835" s="148" t="str">
        <f>TEXT(LEFT(Contrato5[[#This Row],[CONTRATO]],3),"0")</f>
        <v>699</v>
      </c>
      <c r="AG835" s="148" t="str">
        <f>IF(LEN(Contrato5[[#This Row],[Contrato2]])=3,Contrato5[[#This Row],[Contrato2]],TEXT(Contrato5[[#This Row],[Contrato2]],"000"))</f>
        <v>699</v>
      </c>
      <c r="AH835" s="149">
        <f ca="1">IFERROR(_xlfn.DAYS(Contrato5[[#This Row],[Fecha Proyectada liquidación]],TODAY())/30,"")</f>
        <v>0.6333333333333333</v>
      </c>
      <c r="AI835" s="150">
        <f>+Contrato5[[#This Row],[FECHA TERMINACIÓN ]]+120</f>
        <v>45777</v>
      </c>
      <c r="AJ835" s="147"/>
      <c r="AK835" s="152" t="str">
        <f ca="1">IF(Contrato5[[#This Row],[FECHA TERMINACIÓN ]]&lt;TODAY(), "Terminado",IF(ISNUMBER(Contrato5[[#This Row],[Fecha Real de liquiidación ]]),"Liquidado",IF(Contrato5[[#This Row],[FECHA TERMINACIÓN ]]&gt;=TODAY(),"En ejecución","")))</f>
        <v>Terminado</v>
      </c>
      <c r="AL835" s="153" t="e">
        <f ca="1">SUMIF([2]!COMPROMISOS_2024[[#All],[consecutivo]],Contrato5[[#This Row],[RCP]],[2]!COMPROMISOS_2024[[#All],[Total pagado]])</f>
        <v>#REF!</v>
      </c>
      <c r="AM835" s="154">
        <f ca="1">IFERROR(Contrato5[[#This Row],[Pagos]]/Contrato5[[#This Row],[VALOR CONTRATO]],0)</f>
        <v>0</v>
      </c>
      <c r="AN835" s="198" t="e">
        <f ca="1">+Contrato5[[#This Row],[VALOR CONTRATO]]-Contrato5[[#This Row],[Pagos]]</f>
        <v>#REF!</v>
      </c>
      <c r="AO835" s="147" t="e" cm="1">
        <f t="array" aca="1" ref="AO835" ca="1">_xlfn.XLOOKUP(Contrato5[[#This Row],[DOCUMENTO ]],[2]!PERSONAL_ACTIVO_2024[[#All],[Documento identidad]],[2]!PERSONAL_ACTIVO_2024[[#All],[Mail ]],0,0)</f>
        <v>#NAME?</v>
      </c>
      <c r="AP835" s="147" t="e" cm="1">
        <f t="array" aca="1" ref="AP835" ca="1">_xlfn.XLOOKUP(Contrato5[[#This Row],[DOCUMENTO]],[2]!PERSONAL_ACTIVO_2024[[#All],[Documento identidad]],[2]!PERSONAL_ACTIVO_2024[[#All],[Mail ]],0,0)</f>
        <v>#NAME?</v>
      </c>
      <c r="AQ835" s="439" cm="1">
        <f t="array" aca="1" ref="AQ835" ca="1">IF(ISBLANK(Contrato5[[#This Row],[DEPENDENCIA ]]),0,IFERROR(_xlfn.XLOOKUP(Contrato5[[#This Row],[DEPENDENCIA ]],[2]!PERSONAL_ACTIVO_2024[[#All],[Dependencia]],[2]!PERSONAL_ACTIVO_2024[[#All],[Mail ]],0,0),0))</f>
        <v>0</v>
      </c>
    </row>
    <row r="836" spans="1:43" ht="34.5" customHeight="1">
      <c r="A836" s="147">
        <v>1218</v>
      </c>
      <c r="B836" s="124">
        <v>700</v>
      </c>
      <c r="C836" s="162" t="s">
        <v>2090</v>
      </c>
      <c r="D836" s="227" t="s">
        <v>583</v>
      </c>
      <c r="E836" s="227" t="s">
        <v>898</v>
      </c>
      <c r="F836" s="227" t="s">
        <v>1376</v>
      </c>
      <c r="G836" s="281" t="s">
        <v>3177</v>
      </c>
      <c r="H836" s="436">
        <v>1017176615</v>
      </c>
      <c r="I836" s="309">
        <v>2574842</v>
      </c>
      <c r="J836" s="445">
        <v>5407168</v>
      </c>
      <c r="K836" s="413" t="s">
        <v>42</v>
      </c>
      <c r="L836" s="438" t="s">
        <v>2570</v>
      </c>
      <c r="M836" s="194" t="s">
        <v>592</v>
      </c>
      <c r="N836" s="177" t="e" cm="1">
        <f t="array" aca="1" ref="N836" ca="1">_xlfn.XLOOKUP(Contrato5[[#This Row],[SUPERVISOR TITULAR]],[2]!PERSONAL_ACTIVO_2024[[#All],[Nombre completo]],[2]!PERSONAL_ACTIVO_2024[[#All],[Documento identidad]],"",0)</f>
        <v>#NAME?</v>
      </c>
      <c r="O836" s="194" t="s">
        <v>600</v>
      </c>
      <c r="P836" s="196" t="e" cm="1">
        <f t="array" aca="1" ref="P836" ca="1">_xlfn.XLOOKUP(Contrato5[[#This Row],[SUPERVISOR SUPLENTE ]],[2]!PERSONAL_ACTIVO_2024[[#All],[Nombre completo]],[2]!PERSONAL_ACTIVO_2024[[#All],[Documento identidad]],"",0)</f>
        <v>#NAME?</v>
      </c>
      <c r="Q836" s="170">
        <v>1034</v>
      </c>
      <c r="R836" s="137" t="e" cm="1">
        <f t="array" aca="1" ref="R836" ca="1">_xlfn.XLOOKUP(Contrato5[[#This Row],[CDP]],[2]!DISPONIBILIDADES_2024[[#All],[consecutivo]],[2]!DISPONIBILIDADES_2024[[#All],[fecha_aprobacion]],"",0)</f>
        <v>#NAME?</v>
      </c>
      <c r="S836" s="138" t="e">
        <f>SUMIF([2]!DISPONIBILIDADES_2024[[#All],[consecutivo]],Contrato5[[#This Row],[CDP]],[2]!DISPONIBILIDADES_2024[[#All],[valor_total_rubro]])</f>
        <v>#REF!</v>
      </c>
      <c r="T836" s="139" t="e" cm="1">
        <f t="array" aca="1" ref="T836" ca="1">_xlfn.XLOOKUP(Contrato5[[#This Row],[CONTRATO]]&amp;Contrato5[[#This Row],[CDP]],[2]!Corr_Contr_CDP[[#All],[CONTRATO-CDP]],[2]!Corr_Contr_CDP[[#All],[CRP]],_xlfn.XLOOKUP(Contrato5[[#This Row],[CDP]],[2]!COMPROMISOS_2024[[#All],[disponibilidad]],[2]!COMPROMISOS_2024[[#All],[consecutivo]],"",0),0)</f>
        <v>#NAME?</v>
      </c>
      <c r="U836" s="140" t="e" cm="1">
        <f t="array" aca="1" ref="U836" ca="1">+_xlfn.XLOOKUP(Contrato5[[#This Row],[RCP]],[2]!COMPROMISOS_2024[[#All],[consecutivo]],[2]!COMPROMISOS_2024[[#All],[fecha_aprobacion]],"",0)</f>
        <v>#NAME?</v>
      </c>
      <c r="V836" s="141" t="e">
        <f ca="1">SUMIF([2]!COMPROMISOS_2024[[#All],[consecutivo]],Contrato5[[#This Row],[RCP]],[2]!COMPROMISOS_2024[[#All],[valor_total]])</f>
        <v>#REF!</v>
      </c>
      <c r="W836" s="160">
        <v>45581</v>
      </c>
      <c r="X836" s="160" t="s">
        <v>1045</v>
      </c>
      <c r="Y836" s="143">
        <v>45583</v>
      </c>
      <c r="Z836" s="262">
        <v>45643</v>
      </c>
      <c r="AA836" s="183" t="s">
        <v>3178</v>
      </c>
      <c r="AB836" s="172" t="s">
        <v>3179</v>
      </c>
      <c r="AC836" s="172"/>
      <c r="AD836" s="425">
        <v>202000005589</v>
      </c>
      <c r="AE836" s="147" t="s">
        <v>523</v>
      </c>
      <c r="AF836" s="148" t="str">
        <f>TEXT(LEFT(Contrato5[[#This Row],[CONTRATO]],3),"0")</f>
        <v>700</v>
      </c>
      <c r="AG836" s="148" t="str">
        <f>IF(LEN(Contrato5[[#This Row],[Contrato2]])=3,Contrato5[[#This Row],[Contrato2]],TEXT(Contrato5[[#This Row],[Contrato2]],"000"))</f>
        <v>700</v>
      </c>
      <c r="AH836" s="149">
        <f ca="1">IFERROR(_xlfn.DAYS(Contrato5[[#This Row],[Fecha Proyectada liquidación]],TODAY())/30,"")</f>
        <v>0.16666666666666666</v>
      </c>
      <c r="AI836" s="150">
        <f>+Contrato5[[#This Row],[FECHA TERMINACIÓN ]]+120</f>
        <v>45763</v>
      </c>
      <c r="AJ836" s="147"/>
      <c r="AK836" s="152" t="str">
        <f ca="1">IF(Contrato5[[#This Row],[FECHA TERMINACIÓN ]]&lt;TODAY(), "Terminado",IF(ISNUMBER(Contrato5[[#This Row],[Fecha Real de liquiidación ]]),"Liquidado",IF(Contrato5[[#This Row],[FECHA TERMINACIÓN ]]&gt;=TODAY(),"En ejecución","")))</f>
        <v>Terminado</v>
      </c>
      <c r="AL836" s="153" t="e">
        <f ca="1">SUMIF([2]!COMPROMISOS_2024[[#All],[consecutivo]],Contrato5[[#This Row],[RCP]],[2]!COMPROMISOS_2024[[#All],[Total pagado]])</f>
        <v>#REF!</v>
      </c>
      <c r="AM836" s="154">
        <f ca="1">IFERROR(Contrato5[[#This Row],[Pagos]]/Contrato5[[#This Row],[VALOR CONTRATO]],0)</f>
        <v>0</v>
      </c>
      <c r="AN836" s="198" t="e">
        <f ca="1">+Contrato5[[#This Row],[VALOR CONTRATO]]-Contrato5[[#This Row],[Pagos]]</f>
        <v>#REF!</v>
      </c>
      <c r="AO836" s="147" t="e" cm="1">
        <f t="array" aca="1" ref="AO836" ca="1">_xlfn.XLOOKUP(Contrato5[[#This Row],[DOCUMENTO ]],[2]!PERSONAL_ACTIVO_2024[[#All],[Documento identidad]],[2]!PERSONAL_ACTIVO_2024[[#All],[Mail ]],0,0)</f>
        <v>#NAME?</v>
      </c>
      <c r="AP836" s="147" t="e" cm="1">
        <f t="array" aca="1" ref="AP836" ca="1">_xlfn.XLOOKUP(Contrato5[[#This Row],[DOCUMENTO]],[2]!PERSONAL_ACTIVO_2024[[#All],[Documento identidad]],[2]!PERSONAL_ACTIVO_2024[[#All],[Mail ]],0,0)</f>
        <v>#NAME?</v>
      </c>
      <c r="AQ836" s="439" cm="1">
        <f t="array" aca="1" ref="AQ836" ca="1">IF(ISBLANK(Contrato5[[#This Row],[DEPENDENCIA ]]),0,IFERROR(_xlfn.XLOOKUP(Contrato5[[#This Row],[DEPENDENCIA ]],[2]!PERSONAL_ACTIVO_2024[[#All],[Dependencia]],[2]!PERSONAL_ACTIVO_2024[[#All],[Mail ]],0,0),0))</f>
        <v>0</v>
      </c>
    </row>
    <row r="837" spans="1:43" ht="34.5" customHeight="1">
      <c r="A837" s="147">
        <v>1217</v>
      </c>
      <c r="B837" s="124">
        <v>701</v>
      </c>
      <c r="C837" s="162" t="s">
        <v>2089</v>
      </c>
      <c r="D837" s="227" t="s">
        <v>583</v>
      </c>
      <c r="E837" s="227" t="s">
        <v>898</v>
      </c>
      <c r="F837" s="227" t="s">
        <v>1376</v>
      </c>
      <c r="G837" s="281" t="s">
        <v>3180</v>
      </c>
      <c r="H837" s="436">
        <v>1045505327</v>
      </c>
      <c r="I837" s="309">
        <v>2574842</v>
      </c>
      <c r="J837" s="445">
        <v>5407168</v>
      </c>
      <c r="K837" s="413" t="s">
        <v>42</v>
      </c>
      <c r="L837" s="438" t="s">
        <v>2570</v>
      </c>
      <c r="M837" s="194" t="s">
        <v>600</v>
      </c>
      <c r="N837" s="177" t="e" cm="1">
        <f t="array" aca="1" ref="N837" ca="1">_xlfn.XLOOKUP(Contrato5[[#This Row],[SUPERVISOR TITULAR]],[2]!PERSONAL_ACTIVO_2024[[#All],[Nombre completo]],[2]!PERSONAL_ACTIVO_2024[[#All],[Documento identidad]],"",0)</f>
        <v>#NAME?</v>
      </c>
      <c r="O837" s="194" t="s">
        <v>592</v>
      </c>
      <c r="P837" s="196" t="e" cm="1">
        <f t="array" aca="1" ref="P837" ca="1">_xlfn.XLOOKUP(Contrato5[[#This Row],[SUPERVISOR SUPLENTE ]],[2]!PERSONAL_ACTIVO_2024[[#All],[Nombre completo]],[2]!PERSONAL_ACTIVO_2024[[#All],[Documento identidad]],"",0)</f>
        <v>#NAME?</v>
      </c>
      <c r="Q837" s="170">
        <v>1036</v>
      </c>
      <c r="R837" s="137" t="e" cm="1">
        <f t="array" aca="1" ref="R837" ca="1">_xlfn.XLOOKUP(Contrato5[[#This Row],[CDP]],[2]!DISPONIBILIDADES_2024[[#All],[consecutivo]],[2]!DISPONIBILIDADES_2024[[#All],[fecha_aprobacion]],"",0)</f>
        <v>#NAME?</v>
      </c>
      <c r="S837" s="138" t="e">
        <f>SUMIF([2]!DISPONIBILIDADES_2024[[#All],[consecutivo]],Contrato5[[#This Row],[CDP]],[2]!DISPONIBILIDADES_2024[[#All],[valor_total_rubro]])</f>
        <v>#REF!</v>
      </c>
      <c r="T837" s="139" t="e" cm="1">
        <f t="array" aca="1" ref="T837" ca="1">_xlfn.XLOOKUP(Contrato5[[#This Row],[CONTRATO]]&amp;Contrato5[[#This Row],[CDP]],[2]!Corr_Contr_CDP[[#All],[CONTRATO-CDP]],[2]!Corr_Contr_CDP[[#All],[CRP]],_xlfn.XLOOKUP(Contrato5[[#This Row],[CDP]],[2]!COMPROMISOS_2024[[#All],[disponibilidad]],[2]!COMPROMISOS_2024[[#All],[consecutivo]],"",0),0)</f>
        <v>#NAME?</v>
      </c>
      <c r="U837" s="140" t="e" cm="1">
        <f t="array" aca="1" ref="U837" ca="1">+_xlfn.XLOOKUP(Contrato5[[#This Row],[RCP]],[2]!COMPROMISOS_2024[[#All],[consecutivo]],[2]!COMPROMISOS_2024[[#All],[fecha_aprobacion]],"",0)</f>
        <v>#NAME?</v>
      </c>
      <c r="V837" s="141" t="e">
        <f ca="1">SUMIF([2]!COMPROMISOS_2024[[#All],[consecutivo]],Contrato5[[#This Row],[RCP]],[2]!COMPROMISOS_2024[[#All],[valor_total]])</f>
        <v>#REF!</v>
      </c>
      <c r="W837" s="160">
        <v>45580</v>
      </c>
      <c r="X837" s="161" t="s">
        <v>1045</v>
      </c>
      <c r="Y837" s="143">
        <v>45581</v>
      </c>
      <c r="Z837" s="262">
        <v>45643</v>
      </c>
      <c r="AA837" s="183" t="s">
        <v>3181</v>
      </c>
      <c r="AB837" s="172" t="s">
        <v>3179</v>
      </c>
      <c r="AC837" s="172"/>
      <c r="AD837" s="425">
        <v>202000005590</v>
      </c>
      <c r="AE837" s="147" t="s">
        <v>523</v>
      </c>
      <c r="AF837" s="148" t="str">
        <f>TEXT(LEFT(Contrato5[[#This Row],[CONTRATO]],3),"0")</f>
        <v>701</v>
      </c>
      <c r="AG837" s="148" t="str">
        <f>IF(LEN(Contrato5[[#This Row],[Contrato2]])=3,Contrato5[[#This Row],[Contrato2]],TEXT(Contrato5[[#This Row],[Contrato2]],"000"))</f>
        <v>701</v>
      </c>
      <c r="AH837" s="149">
        <f ca="1">IFERROR(_xlfn.DAYS(Contrato5[[#This Row],[Fecha Proyectada liquidación]],TODAY())/30,"")</f>
        <v>0.16666666666666666</v>
      </c>
      <c r="AI837" s="150">
        <f>+Contrato5[[#This Row],[FECHA TERMINACIÓN ]]+120</f>
        <v>45763</v>
      </c>
      <c r="AJ837" s="147"/>
      <c r="AK837" s="152" t="str">
        <f ca="1">IF(Contrato5[[#This Row],[FECHA TERMINACIÓN ]]&lt;TODAY(), "Terminado",IF(ISNUMBER(Contrato5[[#This Row],[Fecha Real de liquiidación ]]),"Liquidado",IF(Contrato5[[#This Row],[FECHA TERMINACIÓN ]]&gt;=TODAY(),"En ejecución","")))</f>
        <v>Terminado</v>
      </c>
      <c r="AL837" s="153" t="e">
        <f ca="1">SUMIF([2]!COMPROMISOS_2024[[#All],[consecutivo]],Contrato5[[#This Row],[RCP]],[2]!COMPROMISOS_2024[[#All],[Total pagado]])</f>
        <v>#REF!</v>
      </c>
      <c r="AM837" s="154">
        <f ca="1">IFERROR(Contrato5[[#This Row],[Pagos]]/Contrato5[[#This Row],[VALOR CONTRATO]],0)</f>
        <v>0</v>
      </c>
      <c r="AN837" s="198" t="e">
        <f ca="1">+Contrato5[[#This Row],[VALOR CONTRATO]]-Contrato5[[#This Row],[Pagos]]</f>
        <v>#REF!</v>
      </c>
      <c r="AO837" s="147" t="e" cm="1">
        <f t="array" aca="1" ref="AO837" ca="1">_xlfn.XLOOKUP(Contrato5[[#This Row],[DOCUMENTO ]],[2]!PERSONAL_ACTIVO_2024[[#All],[Documento identidad]],[2]!PERSONAL_ACTIVO_2024[[#All],[Mail ]],0,0)</f>
        <v>#NAME?</v>
      </c>
      <c r="AP837" s="147" t="e" cm="1">
        <f t="array" aca="1" ref="AP837" ca="1">_xlfn.XLOOKUP(Contrato5[[#This Row],[DOCUMENTO]],[2]!PERSONAL_ACTIVO_2024[[#All],[Documento identidad]],[2]!PERSONAL_ACTIVO_2024[[#All],[Mail ]],0,0)</f>
        <v>#NAME?</v>
      </c>
      <c r="AQ837" s="439" cm="1">
        <f t="array" aca="1" ref="AQ837" ca="1">IF(ISBLANK(Contrato5[[#This Row],[DEPENDENCIA ]]),0,IFERROR(_xlfn.XLOOKUP(Contrato5[[#This Row],[DEPENDENCIA ]],[2]!PERSONAL_ACTIVO_2024[[#All],[Dependencia]],[2]!PERSONAL_ACTIVO_2024[[#All],[Mail ]],0,0),0))</f>
        <v>0</v>
      </c>
    </row>
    <row r="838" spans="1:43" ht="34.5" customHeight="1">
      <c r="A838" s="147">
        <v>1216</v>
      </c>
      <c r="B838" s="124">
        <v>702</v>
      </c>
      <c r="C838" s="162" t="s">
        <v>2089</v>
      </c>
      <c r="D838" s="227" t="s">
        <v>583</v>
      </c>
      <c r="E838" s="227" t="s">
        <v>898</v>
      </c>
      <c r="F838" s="227" t="s">
        <v>1376</v>
      </c>
      <c r="G838" s="281" t="s">
        <v>3182</v>
      </c>
      <c r="H838" s="436">
        <v>1128422064</v>
      </c>
      <c r="I838" s="309">
        <v>3952382</v>
      </c>
      <c r="J838" s="445">
        <v>8300002</v>
      </c>
      <c r="K838" s="413" t="s">
        <v>42</v>
      </c>
      <c r="L838" s="438" t="s">
        <v>2570</v>
      </c>
      <c r="M838" s="194" t="s">
        <v>600</v>
      </c>
      <c r="N838" s="177" t="e" cm="1">
        <f t="array" aca="1" ref="N838" ca="1">_xlfn.XLOOKUP(Contrato5[[#This Row],[SUPERVISOR TITULAR]],[2]!PERSONAL_ACTIVO_2024[[#All],[Nombre completo]],[2]!PERSONAL_ACTIVO_2024[[#All],[Documento identidad]],"",0)</f>
        <v>#NAME?</v>
      </c>
      <c r="O838" s="194" t="s">
        <v>592</v>
      </c>
      <c r="P838" s="196" t="e" cm="1">
        <f t="array" aca="1" ref="P838" ca="1">_xlfn.XLOOKUP(Contrato5[[#This Row],[SUPERVISOR SUPLENTE ]],[2]!PERSONAL_ACTIVO_2024[[#All],[Nombre completo]],[2]!PERSONAL_ACTIVO_2024[[#All],[Documento identidad]],"",0)</f>
        <v>#NAME?</v>
      </c>
      <c r="Q838" s="170">
        <v>1037</v>
      </c>
      <c r="R838" s="137" t="e" cm="1">
        <f t="array" aca="1" ref="R838" ca="1">_xlfn.XLOOKUP(Contrato5[[#This Row],[CDP]],[2]!DISPONIBILIDADES_2024[[#All],[consecutivo]],[2]!DISPONIBILIDADES_2024[[#All],[fecha_aprobacion]],"",0)</f>
        <v>#NAME?</v>
      </c>
      <c r="S838" s="138" t="e">
        <f>SUMIF([2]!DISPONIBILIDADES_2024[[#All],[consecutivo]],Contrato5[[#This Row],[CDP]],[2]!DISPONIBILIDADES_2024[[#All],[valor_total_rubro]])</f>
        <v>#REF!</v>
      </c>
      <c r="T838" s="139" t="e" cm="1">
        <f t="array" aca="1" ref="T838" ca="1">_xlfn.XLOOKUP(Contrato5[[#This Row],[CONTRATO]]&amp;Contrato5[[#This Row],[CDP]],[2]!Corr_Contr_CDP[[#All],[CONTRATO-CDP]],[2]!Corr_Contr_CDP[[#All],[CRP]],_xlfn.XLOOKUP(Contrato5[[#This Row],[CDP]],[2]!COMPROMISOS_2024[[#All],[disponibilidad]],[2]!COMPROMISOS_2024[[#All],[consecutivo]],"",0),0)</f>
        <v>#NAME?</v>
      </c>
      <c r="U838" s="140" t="e" cm="1">
        <f t="array" aca="1" ref="U838" ca="1">+_xlfn.XLOOKUP(Contrato5[[#This Row],[RCP]],[2]!COMPROMISOS_2024[[#All],[consecutivo]],[2]!COMPROMISOS_2024[[#All],[fecha_aprobacion]],"",0)</f>
        <v>#NAME?</v>
      </c>
      <c r="V838" s="141" t="e">
        <f ca="1">SUMIF([2]!COMPROMISOS_2024[[#All],[consecutivo]],Contrato5[[#This Row],[RCP]],[2]!COMPROMISOS_2024[[#All],[valor_total]])</f>
        <v>#REF!</v>
      </c>
      <c r="W838" s="160">
        <v>45580</v>
      </c>
      <c r="X838" s="161" t="s">
        <v>1045</v>
      </c>
      <c r="Y838" s="143">
        <v>45581</v>
      </c>
      <c r="Z838" s="262">
        <v>45643</v>
      </c>
      <c r="AA838" s="183" t="s">
        <v>3183</v>
      </c>
      <c r="AB838" s="172" t="s">
        <v>3179</v>
      </c>
      <c r="AC838" s="172"/>
      <c r="AD838" s="425">
        <v>202000005591</v>
      </c>
      <c r="AE838" s="147" t="s">
        <v>523</v>
      </c>
      <c r="AF838" s="148" t="str">
        <f>TEXT(LEFT(Contrato5[[#This Row],[CONTRATO]],3),"0")</f>
        <v>702</v>
      </c>
      <c r="AG838" s="148" t="str">
        <f>IF(LEN(Contrato5[[#This Row],[Contrato2]])=3,Contrato5[[#This Row],[Contrato2]],TEXT(Contrato5[[#This Row],[Contrato2]],"000"))</f>
        <v>702</v>
      </c>
      <c r="AH838" s="149">
        <f ca="1">IFERROR(_xlfn.DAYS(Contrato5[[#This Row],[Fecha Proyectada liquidación]],TODAY())/30,"")</f>
        <v>0.16666666666666666</v>
      </c>
      <c r="AI838" s="150">
        <f>+Contrato5[[#This Row],[FECHA TERMINACIÓN ]]+120</f>
        <v>45763</v>
      </c>
      <c r="AJ838" s="147"/>
      <c r="AK838" s="152" t="str">
        <f ca="1">IF(Contrato5[[#This Row],[FECHA TERMINACIÓN ]]&lt;TODAY(), "Terminado",IF(ISNUMBER(Contrato5[[#This Row],[Fecha Real de liquiidación ]]),"Liquidado",IF(Contrato5[[#This Row],[FECHA TERMINACIÓN ]]&gt;=TODAY(),"En ejecución","")))</f>
        <v>Terminado</v>
      </c>
      <c r="AL838" s="153" t="e">
        <f ca="1">SUMIF([2]!COMPROMISOS_2024[[#All],[consecutivo]],Contrato5[[#This Row],[RCP]],[2]!COMPROMISOS_2024[[#All],[Total pagado]])</f>
        <v>#REF!</v>
      </c>
      <c r="AM838" s="154">
        <f ca="1">IFERROR(Contrato5[[#This Row],[Pagos]]/Contrato5[[#This Row],[VALOR CONTRATO]],0)</f>
        <v>0</v>
      </c>
      <c r="AN838" s="198" t="e">
        <f ca="1">+Contrato5[[#This Row],[VALOR CONTRATO]]-Contrato5[[#This Row],[Pagos]]</f>
        <v>#REF!</v>
      </c>
      <c r="AO838" s="147" t="e" cm="1">
        <f t="array" aca="1" ref="AO838" ca="1">_xlfn.XLOOKUP(Contrato5[[#This Row],[DOCUMENTO ]],[2]!PERSONAL_ACTIVO_2024[[#All],[Documento identidad]],[2]!PERSONAL_ACTIVO_2024[[#All],[Mail ]],0,0)</f>
        <v>#NAME?</v>
      </c>
      <c r="AP838" s="147" t="e" cm="1">
        <f t="array" aca="1" ref="AP838" ca="1">_xlfn.XLOOKUP(Contrato5[[#This Row],[DOCUMENTO]],[2]!PERSONAL_ACTIVO_2024[[#All],[Documento identidad]],[2]!PERSONAL_ACTIVO_2024[[#All],[Mail ]],0,0)</f>
        <v>#NAME?</v>
      </c>
      <c r="AQ838" s="439" cm="1">
        <f t="array" aca="1" ref="AQ838" ca="1">IF(ISBLANK(Contrato5[[#This Row],[DEPENDENCIA ]]),0,IFERROR(_xlfn.XLOOKUP(Contrato5[[#This Row],[DEPENDENCIA ]],[2]!PERSONAL_ACTIVO_2024[[#All],[Dependencia]],[2]!PERSONAL_ACTIVO_2024[[#All],[Mail ]],0,0),0))</f>
        <v>0</v>
      </c>
    </row>
    <row r="839" spans="1:43" ht="34.5" customHeight="1">
      <c r="A839" s="147">
        <v>1219</v>
      </c>
      <c r="B839" s="124">
        <v>703</v>
      </c>
      <c r="C839" s="162" t="s">
        <v>2091</v>
      </c>
      <c r="D839" s="227" t="s">
        <v>583</v>
      </c>
      <c r="E839" s="227" t="s">
        <v>898</v>
      </c>
      <c r="F839" s="227" t="s">
        <v>1767</v>
      </c>
      <c r="G839" s="281" t="s">
        <v>3184</v>
      </c>
      <c r="H839" s="436">
        <v>900193228</v>
      </c>
      <c r="I839" s="309" t="s">
        <v>42</v>
      </c>
      <c r="J839" s="445">
        <v>40000000</v>
      </c>
      <c r="K839" s="413" t="s">
        <v>42</v>
      </c>
      <c r="L839" s="438" t="s">
        <v>2570</v>
      </c>
      <c r="M839" s="194" t="s">
        <v>600</v>
      </c>
      <c r="N839" s="177" t="e" cm="1">
        <f t="array" aca="1" ref="N839" ca="1">_xlfn.XLOOKUP(Contrato5[[#This Row],[SUPERVISOR TITULAR]],[2]!PERSONAL_ACTIVO_2024[[#All],[Nombre completo]],[2]!PERSONAL_ACTIVO_2024[[#All],[Documento identidad]],"",0)</f>
        <v>#NAME?</v>
      </c>
      <c r="O839" s="194" t="s">
        <v>592</v>
      </c>
      <c r="P839" s="196" t="e" cm="1">
        <f t="array" aca="1" ref="P839" ca="1">_xlfn.XLOOKUP(Contrato5[[#This Row],[SUPERVISOR SUPLENTE ]],[2]!PERSONAL_ACTIVO_2024[[#All],[Nombre completo]],[2]!PERSONAL_ACTIVO_2024[[#All],[Documento identidad]],"",0)</f>
        <v>#NAME?</v>
      </c>
      <c r="Q839" s="170">
        <v>1038</v>
      </c>
      <c r="R839" s="137" t="e" cm="1">
        <f t="array" aca="1" ref="R839" ca="1">_xlfn.XLOOKUP(Contrato5[[#This Row],[CDP]],[2]!DISPONIBILIDADES_2024[[#All],[consecutivo]],[2]!DISPONIBILIDADES_2024[[#All],[fecha_aprobacion]],"",0)</f>
        <v>#NAME?</v>
      </c>
      <c r="S839" s="138" t="e">
        <f>SUMIF([2]!DISPONIBILIDADES_2024[[#All],[consecutivo]],Contrato5[[#This Row],[CDP]],[2]!DISPONIBILIDADES_2024[[#All],[valor_total_rubro]])</f>
        <v>#REF!</v>
      </c>
      <c r="T839" s="139" t="e" cm="1">
        <f t="array" aca="1" ref="T839" ca="1">_xlfn.XLOOKUP(Contrato5[[#This Row],[CONTRATO]]&amp;Contrato5[[#This Row],[CDP]],[2]!Corr_Contr_CDP[[#All],[CONTRATO-CDP]],[2]!Corr_Contr_CDP[[#All],[CRP]],_xlfn.XLOOKUP(Contrato5[[#This Row],[CDP]],[2]!COMPROMISOS_2024[[#All],[disponibilidad]],[2]!COMPROMISOS_2024[[#All],[consecutivo]],"",0),0)</f>
        <v>#NAME?</v>
      </c>
      <c r="U839" s="140" t="e" cm="1">
        <f t="array" aca="1" ref="U839" ca="1">+_xlfn.XLOOKUP(Contrato5[[#This Row],[RCP]],[2]!COMPROMISOS_2024[[#All],[consecutivo]],[2]!COMPROMISOS_2024[[#All],[fecha_aprobacion]],"",0)</f>
        <v>#NAME?</v>
      </c>
      <c r="V839" s="141" t="e">
        <f ca="1">SUMIF([2]!COMPROMISOS_2024[[#All],[consecutivo]],Contrato5[[#This Row],[RCP]],[2]!COMPROMISOS_2024[[#All],[valor_total]])</f>
        <v>#REF!</v>
      </c>
      <c r="W839" s="160">
        <v>45588</v>
      </c>
      <c r="X839" s="161">
        <v>45597</v>
      </c>
      <c r="Y839" s="143">
        <v>45597</v>
      </c>
      <c r="Z839" s="262">
        <v>45656</v>
      </c>
      <c r="AA839" s="171" t="s">
        <v>3185</v>
      </c>
      <c r="AB839" s="172" t="s">
        <v>2591</v>
      </c>
      <c r="AC839" s="172"/>
      <c r="AD839" s="590">
        <v>202000005655</v>
      </c>
      <c r="AE839" s="147"/>
      <c r="AF839" s="148" t="str">
        <f>TEXT(LEFT(Contrato5[[#This Row],[CONTRATO]],3),"0")</f>
        <v>703</v>
      </c>
      <c r="AG839" s="148" t="str">
        <f>IF(LEN(Contrato5[[#This Row],[Contrato2]])=3,Contrato5[[#This Row],[Contrato2]],TEXT(Contrato5[[#This Row],[Contrato2]],"000"))</f>
        <v>703</v>
      </c>
      <c r="AH839" s="149">
        <f ca="1">IFERROR(_xlfn.DAYS(Contrato5[[#This Row],[Fecha Proyectada liquidación]],TODAY())/30,"")</f>
        <v>0.6</v>
      </c>
      <c r="AI839" s="150">
        <f>+Contrato5[[#This Row],[FECHA TERMINACIÓN ]]+120</f>
        <v>45776</v>
      </c>
      <c r="AJ839" s="147"/>
      <c r="AK839" s="152" t="str">
        <f ca="1">IF(Contrato5[[#This Row],[FECHA TERMINACIÓN ]]&lt;TODAY(), "Terminado",IF(ISNUMBER(Contrato5[[#This Row],[Fecha Real de liquiidación ]]),"Liquidado",IF(Contrato5[[#This Row],[FECHA TERMINACIÓN ]]&gt;=TODAY(),"En ejecución","")))</f>
        <v>Terminado</v>
      </c>
      <c r="AL839" s="153" t="e">
        <f ca="1">SUMIF([2]!COMPROMISOS_2024[[#All],[consecutivo]],Contrato5[[#This Row],[RCP]],[2]!COMPROMISOS_2024[[#All],[Total pagado]])</f>
        <v>#REF!</v>
      </c>
      <c r="AM839" s="154">
        <f ca="1">IFERROR(Contrato5[[#This Row],[Pagos]]/Contrato5[[#This Row],[VALOR CONTRATO]],0)</f>
        <v>0</v>
      </c>
      <c r="AN839" s="198" t="e">
        <f ca="1">+Contrato5[[#This Row],[VALOR CONTRATO]]-Contrato5[[#This Row],[Pagos]]</f>
        <v>#REF!</v>
      </c>
      <c r="AO839" s="147" t="e" cm="1">
        <f t="array" aca="1" ref="AO839" ca="1">_xlfn.XLOOKUP(Contrato5[[#This Row],[DOCUMENTO ]],[2]!PERSONAL_ACTIVO_2024[[#All],[Documento identidad]],[2]!PERSONAL_ACTIVO_2024[[#All],[Mail ]],0,0)</f>
        <v>#NAME?</v>
      </c>
      <c r="AP839" s="147" t="e" cm="1">
        <f t="array" aca="1" ref="AP839" ca="1">_xlfn.XLOOKUP(Contrato5[[#This Row],[DOCUMENTO]],[2]!PERSONAL_ACTIVO_2024[[#All],[Documento identidad]],[2]!PERSONAL_ACTIVO_2024[[#All],[Mail ]],0,0)</f>
        <v>#NAME?</v>
      </c>
      <c r="AQ839" s="439" cm="1">
        <f t="array" aca="1" ref="AQ839" ca="1">IF(ISBLANK(Contrato5[[#This Row],[DEPENDENCIA ]]),0,IFERROR(_xlfn.XLOOKUP(Contrato5[[#This Row],[DEPENDENCIA ]],[2]!PERSONAL_ACTIVO_2024[[#All],[Dependencia]],[2]!PERSONAL_ACTIVO_2024[[#All],[Mail ]],0,0),0))</f>
        <v>0</v>
      </c>
    </row>
    <row r="840" spans="1:43" ht="34.5" customHeight="1">
      <c r="A840" s="147">
        <v>1203</v>
      </c>
      <c r="B840" s="124">
        <v>704</v>
      </c>
      <c r="C840" s="162" t="s">
        <v>2345</v>
      </c>
      <c r="D840" s="227" t="s">
        <v>515</v>
      </c>
      <c r="E840" s="227" t="s">
        <v>94</v>
      </c>
      <c r="F840" s="227" t="s">
        <v>255</v>
      </c>
      <c r="G840" s="281" t="s">
        <v>2641</v>
      </c>
      <c r="H840" s="436">
        <v>890980040</v>
      </c>
      <c r="I840" s="309" t="s">
        <v>42</v>
      </c>
      <c r="J840" s="445">
        <v>100000000</v>
      </c>
      <c r="K840" s="413" t="s">
        <v>42</v>
      </c>
      <c r="L840" s="438" t="s">
        <v>2570</v>
      </c>
      <c r="M840" s="194" t="s">
        <v>545</v>
      </c>
      <c r="N840" s="177" t="e" cm="1">
        <f t="array" aca="1" ref="N840" ca="1">_xlfn.XLOOKUP(Contrato5[[#This Row],[SUPERVISOR TITULAR]],[2]!PERSONAL_ACTIVO_2024[[#All],[Nombre completo]],[2]!PERSONAL_ACTIVO_2024[[#All],[Documento identidad]],"",0)</f>
        <v>#NAME?</v>
      </c>
      <c r="O840" s="194" t="s">
        <v>544</v>
      </c>
      <c r="P840" s="196" t="e" cm="1">
        <f t="array" aca="1" ref="P840" ca="1">_xlfn.XLOOKUP(Contrato5[[#This Row],[SUPERVISOR SUPLENTE ]],[2]!PERSONAL_ACTIVO_2024[[#All],[Nombre completo]],[2]!PERSONAL_ACTIVO_2024[[#All],[Documento identidad]],"",0)</f>
        <v>#NAME?</v>
      </c>
      <c r="Q840" s="170">
        <v>1020</v>
      </c>
      <c r="R840" s="137" t="e" cm="1">
        <f t="array" aca="1" ref="R840" ca="1">_xlfn.XLOOKUP(Contrato5[[#This Row],[CDP]],[2]!DISPONIBILIDADES_2024[[#All],[consecutivo]],[2]!DISPONIBILIDADES_2024[[#All],[fecha_aprobacion]],"",0)</f>
        <v>#NAME?</v>
      </c>
      <c r="S840" s="138" t="e">
        <f>SUMIF([2]!DISPONIBILIDADES_2024[[#All],[consecutivo]],Contrato5[[#This Row],[CDP]],[2]!DISPONIBILIDADES_2024[[#All],[valor_total_rubro]])</f>
        <v>#REF!</v>
      </c>
      <c r="T840" s="139" t="e" cm="1">
        <f t="array" aca="1" ref="T840" ca="1">_xlfn.XLOOKUP(Contrato5[[#This Row],[CONTRATO]]&amp;Contrato5[[#This Row],[CDP]],[2]!Corr_Contr_CDP[[#All],[CONTRATO-CDP]],[2]!Corr_Contr_CDP[[#All],[CRP]],_xlfn.XLOOKUP(Contrato5[[#This Row],[CDP]],[2]!COMPROMISOS_2024[[#All],[disponibilidad]],[2]!COMPROMISOS_2024[[#All],[consecutivo]],"",0),0)</f>
        <v>#NAME?</v>
      </c>
      <c r="U840" s="140" t="e" cm="1">
        <f t="array" aca="1" ref="U840" ca="1">+_xlfn.XLOOKUP(Contrato5[[#This Row],[RCP]],[2]!COMPROMISOS_2024[[#All],[consecutivo]],[2]!COMPROMISOS_2024[[#All],[fecha_aprobacion]],"",0)</f>
        <v>#NAME?</v>
      </c>
      <c r="V840" s="141" t="e">
        <f ca="1">SUMIF([2]!COMPROMISOS_2024[[#All],[consecutivo]],Contrato5[[#This Row],[RCP]],[2]!COMPROMISOS_2024[[#All],[valor_total]])</f>
        <v>#REF!</v>
      </c>
      <c r="W840" s="160">
        <v>45580</v>
      </c>
      <c r="X840" s="161">
        <v>45581</v>
      </c>
      <c r="Y840" s="143">
        <v>45581</v>
      </c>
      <c r="Z840" s="262">
        <v>45657</v>
      </c>
      <c r="AA840" s="183" t="s">
        <v>3186</v>
      </c>
      <c r="AB840" s="172" t="s">
        <v>3176</v>
      </c>
      <c r="AC840" s="172"/>
      <c r="AD840" s="591">
        <v>202000005592</v>
      </c>
      <c r="AE840" s="147" t="s">
        <v>523</v>
      </c>
      <c r="AF840" s="148" t="str">
        <f>TEXT(LEFT(Contrato5[[#This Row],[CONTRATO]],3),"0")</f>
        <v>704</v>
      </c>
      <c r="AG840" s="148" t="str">
        <f>IF(LEN(Contrato5[[#This Row],[Contrato2]])=3,Contrato5[[#This Row],[Contrato2]],TEXT(Contrato5[[#This Row],[Contrato2]],"000"))</f>
        <v>704</v>
      </c>
      <c r="AH840" s="149">
        <f ca="1">IFERROR(_xlfn.DAYS(Contrato5[[#This Row],[Fecha Proyectada liquidación]],TODAY())/30,"")</f>
        <v>0.6333333333333333</v>
      </c>
      <c r="AI840" s="150">
        <f>+Contrato5[[#This Row],[FECHA TERMINACIÓN ]]+120</f>
        <v>45777</v>
      </c>
      <c r="AJ840" s="147"/>
      <c r="AK840" s="152" t="str">
        <f ca="1">IF(Contrato5[[#This Row],[FECHA TERMINACIÓN ]]&lt;TODAY(), "Terminado",IF(ISNUMBER(Contrato5[[#This Row],[Fecha Real de liquiidación ]]),"Liquidado",IF(Contrato5[[#This Row],[FECHA TERMINACIÓN ]]&gt;=TODAY(),"En ejecución","")))</f>
        <v>Terminado</v>
      </c>
      <c r="AL840" s="153" t="e">
        <f ca="1">SUMIF([2]!COMPROMISOS_2024[[#All],[consecutivo]],Contrato5[[#This Row],[RCP]],[2]!COMPROMISOS_2024[[#All],[Total pagado]])</f>
        <v>#REF!</v>
      </c>
      <c r="AM840" s="154">
        <f ca="1">IFERROR(Contrato5[[#This Row],[Pagos]]/Contrato5[[#This Row],[VALOR CONTRATO]],0)</f>
        <v>0</v>
      </c>
      <c r="AN840" s="198" t="e">
        <f ca="1">+Contrato5[[#This Row],[VALOR CONTRATO]]-Contrato5[[#This Row],[Pagos]]</f>
        <v>#REF!</v>
      </c>
      <c r="AO840" s="147" t="e" cm="1">
        <f t="array" aca="1" ref="AO840" ca="1">_xlfn.XLOOKUP(Contrato5[[#This Row],[DOCUMENTO ]],[2]!PERSONAL_ACTIVO_2024[[#All],[Documento identidad]],[2]!PERSONAL_ACTIVO_2024[[#All],[Mail ]],0,0)</f>
        <v>#NAME?</v>
      </c>
      <c r="AP840" s="147" t="e" cm="1">
        <f t="array" aca="1" ref="AP840" ca="1">_xlfn.XLOOKUP(Contrato5[[#This Row],[DOCUMENTO]],[2]!PERSONAL_ACTIVO_2024[[#All],[Documento identidad]],[2]!PERSONAL_ACTIVO_2024[[#All],[Mail ]],0,0)</f>
        <v>#NAME?</v>
      </c>
      <c r="AQ840" s="439" cm="1">
        <f t="array" aca="1" ref="AQ840" ca="1">IF(ISBLANK(Contrato5[[#This Row],[DEPENDENCIA ]]),0,IFERROR(_xlfn.XLOOKUP(Contrato5[[#This Row],[DEPENDENCIA ]],[2]!PERSONAL_ACTIVO_2024[[#All],[Dependencia]],[2]!PERSONAL_ACTIVO_2024[[#All],[Mail ]],0,0),0))</f>
        <v>0</v>
      </c>
    </row>
    <row r="841" spans="1:43" ht="34.5" customHeight="1">
      <c r="A841" s="147">
        <v>996</v>
      </c>
      <c r="B841" s="124">
        <v>705</v>
      </c>
      <c r="C841" s="162" t="s">
        <v>1404</v>
      </c>
      <c r="D841" s="227" t="s">
        <v>3010</v>
      </c>
      <c r="E841" s="227" t="s">
        <v>898</v>
      </c>
      <c r="F841" s="227" t="s">
        <v>1376</v>
      </c>
      <c r="G841" s="281" t="s">
        <v>3187</v>
      </c>
      <c r="H841" s="436">
        <v>1128417217</v>
      </c>
      <c r="I841" s="309">
        <v>7150000</v>
      </c>
      <c r="J841" s="445">
        <v>16683334</v>
      </c>
      <c r="K841" s="413" t="s">
        <v>42</v>
      </c>
      <c r="L841" s="438" t="s">
        <v>2570</v>
      </c>
      <c r="M841" s="194" t="s">
        <v>503</v>
      </c>
      <c r="N841" s="177" t="e" cm="1">
        <f t="array" aca="1" ref="N841" ca="1">_xlfn.XLOOKUP(Contrato5[[#This Row],[SUPERVISOR TITULAR]],[2]!PERSONAL_ACTIVO_2024[[#All],[Nombre completo]],[2]!PERSONAL_ACTIVO_2024[[#All],[Documento identidad]],"",0)</f>
        <v>#NAME?</v>
      </c>
      <c r="O841" s="194" t="s">
        <v>799</v>
      </c>
      <c r="P841" s="196" t="e" cm="1">
        <f t="array" aca="1" ref="P841" ca="1">_xlfn.XLOOKUP(Contrato5[[#This Row],[SUPERVISOR SUPLENTE ]],[2]!PERSONAL_ACTIVO_2024[[#All],[Nombre completo]],[2]!PERSONAL_ACTIVO_2024[[#All],[Documento identidad]],"",0)</f>
        <v>#NAME?</v>
      </c>
      <c r="Q841" s="170">
        <v>1040</v>
      </c>
      <c r="R841" s="137" t="e" cm="1">
        <f t="array" aca="1" ref="R841" ca="1">_xlfn.XLOOKUP(Contrato5[[#This Row],[CDP]],[2]!DISPONIBILIDADES_2024[[#All],[consecutivo]],[2]!DISPONIBILIDADES_2024[[#All],[fecha_aprobacion]],"",0)</f>
        <v>#NAME?</v>
      </c>
      <c r="S841" s="138" t="e">
        <f>SUMIF([2]!DISPONIBILIDADES_2024[[#All],[consecutivo]],Contrato5[[#This Row],[CDP]],[2]!DISPONIBILIDADES_2024[[#All],[valor_total_rubro]])</f>
        <v>#REF!</v>
      </c>
      <c r="T841" s="139" t="e" cm="1">
        <f t="array" aca="1" ref="T841" ca="1">_xlfn.XLOOKUP(Contrato5[[#This Row],[CONTRATO]]&amp;Contrato5[[#This Row],[CDP]],[2]!Corr_Contr_CDP[[#All],[CONTRATO-CDP]],[2]!Corr_Contr_CDP[[#All],[CRP]],_xlfn.XLOOKUP(Contrato5[[#This Row],[CDP]],[2]!COMPROMISOS_2024[[#All],[disponibilidad]],[2]!COMPROMISOS_2024[[#All],[consecutivo]],"",0),0)</f>
        <v>#NAME?</v>
      </c>
      <c r="U841" s="140" t="e" cm="1">
        <f t="array" aca="1" ref="U841" ca="1">+_xlfn.XLOOKUP(Contrato5[[#This Row],[RCP]],[2]!COMPROMISOS_2024[[#All],[consecutivo]],[2]!COMPROMISOS_2024[[#All],[fecha_aprobacion]],"",0)</f>
        <v>#NAME?</v>
      </c>
      <c r="V841" s="141" t="e">
        <f ca="1">SUMIF([2]!COMPROMISOS_2024[[#All],[consecutivo]],Contrato5[[#This Row],[RCP]],[2]!COMPROMISOS_2024[[#All],[valor_total]])</f>
        <v>#REF!</v>
      </c>
      <c r="W841" s="160">
        <v>45589</v>
      </c>
      <c r="X841" s="160" t="s">
        <v>1045</v>
      </c>
      <c r="Y841" s="143">
        <v>45593</v>
      </c>
      <c r="Z841" s="262">
        <v>45657</v>
      </c>
      <c r="AA841" s="183" t="s">
        <v>3188</v>
      </c>
      <c r="AB841" s="172" t="s">
        <v>2585</v>
      </c>
      <c r="AC841" s="172"/>
      <c r="AD841" s="425">
        <v>202000005597</v>
      </c>
      <c r="AE841" s="147" t="s">
        <v>523</v>
      </c>
      <c r="AF841" s="148" t="str">
        <f>TEXT(LEFT(Contrato5[[#This Row],[CONTRATO]],3),"0")</f>
        <v>705</v>
      </c>
      <c r="AG841" s="148" t="str">
        <f>IF(LEN(Contrato5[[#This Row],[Contrato2]])=3,Contrato5[[#This Row],[Contrato2]],TEXT(Contrato5[[#This Row],[Contrato2]],"000"))</f>
        <v>705</v>
      </c>
      <c r="AH841" s="149">
        <f ca="1">IFERROR(_xlfn.DAYS(Contrato5[[#This Row],[Fecha Proyectada liquidación]],TODAY())/30,"")</f>
        <v>0.6333333333333333</v>
      </c>
      <c r="AI841" s="150">
        <f>+Contrato5[[#This Row],[FECHA TERMINACIÓN ]]+120</f>
        <v>45777</v>
      </c>
      <c r="AJ841" s="147"/>
      <c r="AK841" s="152" t="str">
        <f ca="1">IF(Contrato5[[#This Row],[FECHA TERMINACIÓN ]]&lt;TODAY(), "Terminado",IF(ISNUMBER(Contrato5[[#This Row],[Fecha Real de liquiidación ]]),"Liquidado",IF(Contrato5[[#This Row],[FECHA TERMINACIÓN ]]&gt;=TODAY(),"En ejecución","")))</f>
        <v>Terminado</v>
      </c>
      <c r="AL841" s="153" t="e">
        <f ca="1">SUMIF([2]!COMPROMISOS_2024[[#All],[consecutivo]],Contrato5[[#This Row],[RCP]],[2]!COMPROMISOS_2024[[#All],[Total pagado]])</f>
        <v>#REF!</v>
      </c>
      <c r="AM841" s="154">
        <f ca="1">IFERROR(Contrato5[[#This Row],[Pagos]]/Contrato5[[#This Row],[VALOR CONTRATO]],0)</f>
        <v>0</v>
      </c>
      <c r="AN841" s="198" t="e">
        <f ca="1">+Contrato5[[#This Row],[VALOR CONTRATO]]-Contrato5[[#This Row],[Pagos]]</f>
        <v>#REF!</v>
      </c>
      <c r="AO841" s="147" t="e" cm="1">
        <f t="array" aca="1" ref="AO841" ca="1">_xlfn.XLOOKUP(Contrato5[[#This Row],[DOCUMENTO ]],[2]!PERSONAL_ACTIVO_2024[[#All],[Documento identidad]],[2]!PERSONAL_ACTIVO_2024[[#All],[Mail ]],0,0)</f>
        <v>#NAME?</v>
      </c>
      <c r="AP841" s="147" t="e" cm="1">
        <f t="array" aca="1" ref="AP841" ca="1">_xlfn.XLOOKUP(Contrato5[[#This Row],[DOCUMENTO]],[2]!PERSONAL_ACTIVO_2024[[#All],[Documento identidad]],[2]!PERSONAL_ACTIVO_2024[[#All],[Mail ]],0,0)</f>
        <v>#NAME?</v>
      </c>
      <c r="AQ841" s="439" cm="1">
        <f t="array" aca="1" ref="AQ841" ca="1">IF(ISBLANK(Contrato5[[#This Row],[DEPENDENCIA ]]),0,IFERROR(_xlfn.XLOOKUP(Contrato5[[#This Row],[DEPENDENCIA ]],[2]!PERSONAL_ACTIVO_2024[[#All],[Dependencia]],[2]!PERSONAL_ACTIVO_2024[[#All],[Mail ]],0,0),0))</f>
        <v>0</v>
      </c>
    </row>
    <row r="842" spans="1:43" ht="34.5" customHeight="1">
      <c r="A842" s="147">
        <v>1215</v>
      </c>
      <c r="B842" s="124">
        <v>706</v>
      </c>
      <c r="C842" s="162" t="s">
        <v>2322</v>
      </c>
      <c r="D842" s="227" t="s">
        <v>515</v>
      </c>
      <c r="E842" s="227" t="s">
        <v>94</v>
      </c>
      <c r="F842" s="227" t="s">
        <v>255</v>
      </c>
      <c r="G842" s="281" t="s">
        <v>3189</v>
      </c>
      <c r="H842" s="436">
        <v>890981080</v>
      </c>
      <c r="I842" s="309" t="s">
        <v>42</v>
      </c>
      <c r="J842" s="445">
        <v>416938001</v>
      </c>
      <c r="K842" s="131" t="s">
        <v>3190</v>
      </c>
      <c r="L842" s="438" t="s">
        <v>3174</v>
      </c>
      <c r="M842" s="194" t="s">
        <v>853</v>
      </c>
      <c r="N842" s="177" t="e" cm="1">
        <f t="array" aca="1" ref="N842" ca="1">_xlfn.XLOOKUP(Contrato5[[#This Row],[SUPERVISOR TITULAR]],[2]!PERSONAL_ACTIVO_2024[[#All],[Nombre completo]],[2]!PERSONAL_ACTIVO_2024[[#All],[Documento identidad]],"",0)</f>
        <v>#NAME?</v>
      </c>
      <c r="O842" s="194" t="s">
        <v>2637</v>
      </c>
      <c r="P842" s="196" t="e" cm="1">
        <f t="array" aca="1" ref="P842" ca="1">_xlfn.XLOOKUP(Contrato5[[#This Row],[SUPERVISOR SUPLENTE ]],[2]!PERSONAL_ACTIVO_2024[[#All],[Nombre completo]],[2]!PERSONAL_ACTIVO_2024[[#All],[Documento identidad]],"",0)</f>
        <v>#NAME?</v>
      </c>
      <c r="Q842" s="170">
        <v>1030</v>
      </c>
      <c r="R842" s="137" t="e" cm="1">
        <f t="array" aca="1" ref="R842" ca="1">_xlfn.XLOOKUP(Contrato5[[#This Row],[CDP]],[2]!DISPONIBILIDADES_2024[[#All],[consecutivo]],[2]!DISPONIBILIDADES_2024[[#All],[fecha_aprobacion]],"",0)</f>
        <v>#NAME?</v>
      </c>
      <c r="S842" s="138" t="e">
        <f>SUMIF([2]!DISPONIBILIDADES_2024[[#All],[consecutivo]],Contrato5[[#This Row],[CDP]],[2]!DISPONIBILIDADES_2024[[#All],[valor_total_rubro]])</f>
        <v>#REF!</v>
      </c>
      <c r="T842" s="139" t="e" cm="1">
        <f t="array" aca="1" ref="T842" ca="1">_xlfn.XLOOKUP(Contrato5[[#This Row],[CONTRATO]]&amp;Contrato5[[#This Row],[CDP]],[2]!Corr_Contr_CDP[[#All],[CONTRATO-CDP]],[2]!Corr_Contr_CDP[[#All],[CRP]],_xlfn.XLOOKUP(Contrato5[[#This Row],[CDP]],[2]!COMPROMISOS_2024[[#All],[disponibilidad]],[2]!COMPROMISOS_2024[[#All],[consecutivo]],"",0),0)</f>
        <v>#NAME?</v>
      </c>
      <c r="U842" s="140" t="e" cm="1">
        <f t="array" aca="1" ref="U842" ca="1">+_xlfn.XLOOKUP(Contrato5[[#This Row],[RCP]],[2]!COMPROMISOS_2024[[#All],[consecutivo]],[2]!COMPROMISOS_2024[[#All],[fecha_aprobacion]],"",0)</f>
        <v>#NAME?</v>
      </c>
      <c r="V842" s="141" t="e">
        <f ca="1">SUMIF([2]!COMPROMISOS_2024[[#All],[consecutivo]],Contrato5[[#This Row],[RCP]],[2]!COMPROMISOS_2024[[#All],[valor_total]])</f>
        <v>#REF!</v>
      </c>
      <c r="W842" s="160">
        <v>45581</v>
      </c>
      <c r="X842" s="161">
        <v>45582</v>
      </c>
      <c r="Y842" s="143">
        <v>45583</v>
      </c>
      <c r="Z842" s="262">
        <v>45657</v>
      </c>
      <c r="AA842" s="183" t="s">
        <v>3191</v>
      </c>
      <c r="AB842" s="172" t="s">
        <v>3176</v>
      </c>
      <c r="AC842" s="172"/>
      <c r="AD842" s="425">
        <v>202000005593</v>
      </c>
      <c r="AE842" s="147" t="s">
        <v>523</v>
      </c>
      <c r="AF842" s="148" t="str">
        <f>TEXT(LEFT(Contrato5[[#This Row],[CONTRATO]],3),"0")</f>
        <v>706</v>
      </c>
      <c r="AG842" s="148" t="str">
        <f>IF(LEN(Contrato5[[#This Row],[Contrato2]])=3,Contrato5[[#This Row],[Contrato2]],TEXT(Contrato5[[#This Row],[Contrato2]],"000"))</f>
        <v>706</v>
      </c>
      <c r="AH842" s="149">
        <f ca="1">IFERROR(_xlfn.DAYS(Contrato5[[#This Row],[Fecha Proyectada liquidación]],TODAY())/30,"")</f>
        <v>0.6333333333333333</v>
      </c>
      <c r="AI842" s="150">
        <f>+Contrato5[[#This Row],[FECHA TERMINACIÓN ]]+120</f>
        <v>45777</v>
      </c>
      <c r="AJ842" s="147"/>
      <c r="AK842" s="152" t="str">
        <f ca="1">IF(Contrato5[[#This Row],[FECHA TERMINACIÓN ]]&lt;TODAY(), "Terminado",IF(ISNUMBER(Contrato5[[#This Row],[Fecha Real de liquiidación ]]),"Liquidado",IF(Contrato5[[#This Row],[FECHA TERMINACIÓN ]]&gt;=TODAY(),"En ejecución","")))</f>
        <v>Terminado</v>
      </c>
      <c r="AL842" s="153" t="e">
        <f ca="1">SUMIF([2]!COMPROMISOS_2024[[#All],[consecutivo]],Contrato5[[#This Row],[RCP]],[2]!COMPROMISOS_2024[[#All],[Total pagado]])</f>
        <v>#REF!</v>
      </c>
      <c r="AM842" s="154">
        <f ca="1">IFERROR(Contrato5[[#This Row],[Pagos]]/Contrato5[[#This Row],[VALOR CONTRATO]],0)</f>
        <v>0</v>
      </c>
      <c r="AN842" s="198" t="e">
        <f ca="1">+Contrato5[[#This Row],[VALOR CONTRATO]]-Contrato5[[#This Row],[Pagos]]</f>
        <v>#REF!</v>
      </c>
      <c r="AO842" s="147" t="e" cm="1">
        <f t="array" aca="1" ref="AO842" ca="1">_xlfn.XLOOKUP(Contrato5[[#This Row],[DOCUMENTO ]],[2]!PERSONAL_ACTIVO_2024[[#All],[Documento identidad]],[2]!PERSONAL_ACTIVO_2024[[#All],[Mail ]],0,0)</f>
        <v>#NAME?</v>
      </c>
      <c r="AP842" s="147" t="e" cm="1">
        <f t="array" aca="1" ref="AP842" ca="1">_xlfn.XLOOKUP(Contrato5[[#This Row],[DOCUMENTO]],[2]!PERSONAL_ACTIVO_2024[[#All],[Documento identidad]],[2]!PERSONAL_ACTIVO_2024[[#All],[Mail ]],0,0)</f>
        <v>#NAME?</v>
      </c>
      <c r="AQ842" s="439" cm="1">
        <f t="array" aca="1" ref="AQ842" ca="1">IF(ISBLANK(Contrato5[[#This Row],[DEPENDENCIA ]]),0,IFERROR(_xlfn.XLOOKUP(Contrato5[[#This Row],[DEPENDENCIA ]],[2]!PERSONAL_ACTIVO_2024[[#All],[Dependencia]],[2]!PERSONAL_ACTIVO_2024[[#All],[Mail ]],0,0),0))</f>
        <v>0</v>
      </c>
    </row>
    <row r="843" spans="1:43" ht="34.5" customHeight="1">
      <c r="A843" s="147">
        <v>1228</v>
      </c>
      <c r="B843" s="124">
        <v>707</v>
      </c>
      <c r="C843" s="162" t="s">
        <v>2327</v>
      </c>
      <c r="D843" s="227" t="s">
        <v>515</v>
      </c>
      <c r="E843" s="227" t="s">
        <v>94</v>
      </c>
      <c r="F843" s="227" t="s">
        <v>161</v>
      </c>
      <c r="G843" s="281" t="s">
        <v>516</v>
      </c>
      <c r="H843" s="436">
        <v>901437957</v>
      </c>
      <c r="I843" s="309" t="s">
        <v>42</v>
      </c>
      <c r="J843" s="445">
        <v>2791771916</v>
      </c>
      <c r="K843" s="413" t="s">
        <v>42</v>
      </c>
      <c r="L843" s="438" t="s">
        <v>3174</v>
      </c>
      <c r="M843" s="194" t="s">
        <v>519</v>
      </c>
      <c r="N843" s="177" t="e" cm="1">
        <f t="array" aca="1" ref="N843" ca="1">_xlfn.XLOOKUP(Contrato5[[#This Row],[SUPERVISOR TITULAR]],[2]!PERSONAL_ACTIVO_2024[[#All],[Nombre completo]],[2]!PERSONAL_ACTIVO_2024[[#All],[Documento identidad]],"",0)</f>
        <v>#NAME?</v>
      </c>
      <c r="O843" s="194" t="s">
        <v>836</v>
      </c>
      <c r="P843" s="196" t="e" cm="1">
        <f t="array" aca="1" ref="P843" ca="1">_xlfn.XLOOKUP(Contrato5[[#This Row],[SUPERVISOR SUPLENTE ]],[2]!PERSONAL_ACTIVO_2024[[#All],[Nombre completo]],[2]!PERSONAL_ACTIVO_2024[[#All],[Documento identidad]],"",0)</f>
        <v>#NAME?</v>
      </c>
      <c r="Q843" s="170">
        <v>1046</v>
      </c>
      <c r="R843" s="137" t="e" cm="1">
        <f t="array" aca="1" ref="R843" ca="1">_xlfn.XLOOKUP(Contrato5[[#This Row],[CDP]],[2]!DISPONIBILIDADES_2024[[#All],[consecutivo]],[2]!DISPONIBILIDADES_2024[[#All],[fecha_aprobacion]],"",0)</f>
        <v>#NAME?</v>
      </c>
      <c r="S843" s="138" t="e">
        <f>SUMIF([2]!DISPONIBILIDADES_2024[[#All],[consecutivo]],Contrato5[[#This Row],[CDP]],[2]!DISPONIBILIDADES_2024[[#All],[valor_total_rubro]])</f>
        <v>#REF!</v>
      </c>
      <c r="T843" s="139" t="e" cm="1">
        <f t="array" aca="1" ref="T843" ca="1">_xlfn.XLOOKUP(Contrato5[[#This Row],[CONTRATO]]&amp;Contrato5[[#This Row],[CDP]],[2]!Corr_Contr_CDP[[#All],[CONTRATO-CDP]],[2]!Corr_Contr_CDP[[#All],[CRP]],_xlfn.XLOOKUP(Contrato5[[#This Row],[CDP]],[2]!COMPROMISOS_2024[[#All],[disponibilidad]],[2]!COMPROMISOS_2024[[#All],[consecutivo]],"",0),0)</f>
        <v>#NAME?</v>
      </c>
      <c r="U843" s="140" t="e" cm="1">
        <f t="array" aca="1" ref="U843" ca="1">+_xlfn.XLOOKUP(Contrato5[[#This Row],[RCP]],[2]!COMPROMISOS_2024[[#All],[consecutivo]],[2]!COMPROMISOS_2024[[#All],[fecha_aprobacion]],"",0)</f>
        <v>#NAME?</v>
      </c>
      <c r="V843" s="141" t="e">
        <f ca="1">SUMIF([2]!COMPROMISOS_2024[[#All],[consecutivo]],Contrato5[[#This Row],[RCP]],[2]!COMPROMISOS_2024[[#All],[valor_total]])</f>
        <v>#REF!</v>
      </c>
      <c r="W843" s="160">
        <v>45583</v>
      </c>
      <c r="X843" s="160" t="s">
        <v>1045</v>
      </c>
      <c r="Y843" s="143">
        <v>45583</v>
      </c>
      <c r="Z843" s="262">
        <v>45657</v>
      </c>
      <c r="AA843" s="183" t="s">
        <v>3192</v>
      </c>
      <c r="AB843" s="172" t="s">
        <v>2581</v>
      </c>
      <c r="AC843" s="172"/>
      <c r="AD843" s="425">
        <v>202000005594</v>
      </c>
      <c r="AE843" s="147" t="s">
        <v>523</v>
      </c>
      <c r="AF843" s="148" t="str">
        <f>TEXT(LEFT(Contrato5[[#This Row],[CONTRATO]],3),"0")</f>
        <v>707</v>
      </c>
      <c r="AG843" s="148" t="str">
        <f>IF(LEN(Contrato5[[#This Row],[Contrato2]])=3,Contrato5[[#This Row],[Contrato2]],TEXT(Contrato5[[#This Row],[Contrato2]],"000"))</f>
        <v>707</v>
      </c>
      <c r="AH843" s="149">
        <f ca="1">IFERROR(_xlfn.DAYS(Contrato5[[#This Row],[Fecha Proyectada liquidación]],TODAY())/30,"")</f>
        <v>0.6333333333333333</v>
      </c>
      <c r="AI843" s="150">
        <f>+Contrato5[[#This Row],[FECHA TERMINACIÓN ]]+120</f>
        <v>45777</v>
      </c>
      <c r="AJ843" s="147"/>
      <c r="AK843" s="152" t="str">
        <f ca="1">IF(Contrato5[[#This Row],[FECHA TERMINACIÓN ]]&lt;TODAY(), "Terminado",IF(ISNUMBER(Contrato5[[#This Row],[Fecha Real de liquiidación ]]),"Liquidado",IF(Contrato5[[#This Row],[FECHA TERMINACIÓN ]]&gt;=TODAY(),"En ejecución","")))</f>
        <v>Terminado</v>
      </c>
      <c r="AL843" s="153" t="e">
        <f ca="1">SUMIF([2]!COMPROMISOS_2024[[#All],[consecutivo]],Contrato5[[#This Row],[RCP]],[2]!COMPROMISOS_2024[[#All],[Total pagado]])</f>
        <v>#REF!</v>
      </c>
      <c r="AM843" s="154">
        <f ca="1">IFERROR(Contrato5[[#This Row],[Pagos]]/Contrato5[[#This Row],[VALOR CONTRATO]],0)</f>
        <v>0</v>
      </c>
      <c r="AN843" s="198" t="e">
        <f ca="1">+Contrato5[[#This Row],[VALOR CONTRATO]]-Contrato5[[#This Row],[Pagos]]</f>
        <v>#REF!</v>
      </c>
      <c r="AO843" s="147" t="e" cm="1">
        <f t="array" aca="1" ref="AO843" ca="1">_xlfn.XLOOKUP(Contrato5[[#This Row],[DOCUMENTO ]],[2]!PERSONAL_ACTIVO_2024[[#All],[Documento identidad]],[2]!PERSONAL_ACTIVO_2024[[#All],[Mail ]],0,0)</f>
        <v>#NAME?</v>
      </c>
      <c r="AP843" s="147" t="e" cm="1">
        <f t="array" aca="1" ref="AP843" ca="1">_xlfn.XLOOKUP(Contrato5[[#This Row],[DOCUMENTO]],[2]!PERSONAL_ACTIVO_2024[[#All],[Documento identidad]],[2]!PERSONAL_ACTIVO_2024[[#All],[Mail ]],0,0)</f>
        <v>#NAME?</v>
      </c>
      <c r="AQ843" s="439" cm="1">
        <f t="array" aca="1" ref="AQ843" ca="1">IF(ISBLANK(Contrato5[[#This Row],[DEPENDENCIA ]]),0,IFERROR(_xlfn.XLOOKUP(Contrato5[[#This Row],[DEPENDENCIA ]],[2]!PERSONAL_ACTIVO_2024[[#All],[Dependencia]],[2]!PERSONAL_ACTIVO_2024[[#All],[Mail ]],0,0),0))</f>
        <v>0</v>
      </c>
    </row>
    <row r="844" spans="1:43" ht="34.5" customHeight="1">
      <c r="A844" s="147">
        <v>1229</v>
      </c>
      <c r="B844" s="124">
        <v>708</v>
      </c>
      <c r="C844" s="162" t="s">
        <v>2329</v>
      </c>
      <c r="D844" s="227" t="s">
        <v>515</v>
      </c>
      <c r="E844" s="227" t="s">
        <v>94</v>
      </c>
      <c r="F844" s="227" t="s">
        <v>2330</v>
      </c>
      <c r="G844" s="281" t="s">
        <v>3193</v>
      </c>
      <c r="H844" s="436">
        <v>811002052</v>
      </c>
      <c r="I844" s="309" t="s">
        <v>42</v>
      </c>
      <c r="J844" s="445">
        <v>10242558</v>
      </c>
      <c r="K844" s="413" t="s">
        <v>42</v>
      </c>
      <c r="L844" s="438" t="s">
        <v>2578</v>
      </c>
      <c r="M844" s="194" t="s">
        <v>549</v>
      </c>
      <c r="N844" s="177" t="e" cm="1">
        <f t="array" aca="1" ref="N844" ca="1">_xlfn.XLOOKUP(Contrato5[[#This Row],[SUPERVISOR TITULAR]],[2]!PERSONAL_ACTIVO_2024[[#All],[Nombre completo]],[2]!PERSONAL_ACTIVO_2024[[#All],[Documento identidad]],"",0)</f>
        <v>#NAME?</v>
      </c>
      <c r="O844" s="194" t="s">
        <v>550</v>
      </c>
      <c r="P844" s="196" t="e" cm="1">
        <f t="array" aca="1" ref="P844" ca="1">_xlfn.XLOOKUP(Contrato5[[#This Row],[SUPERVISOR SUPLENTE ]],[2]!PERSONAL_ACTIVO_2024[[#All],[Nombre completo]],[2]!PERSONAL_ACTIVO_2024[[#All],[Documento identidad]],"",0)</f>
        <v>#NAME?</v>
      </c>
      <c r="Q844" s="170">
        <v>1047</v>
      </c>
      <c r="R844" s="137" t="e" cm="1">
        <f t="array" aca="1" ref="R844" ca="1">_xlfn.XLOOKUP(Contrato5[[#This Row],[CDP]],[2]!DISPONIBILIDADES_2024[[#All],[consecutivo]],[2]!DISPONIBILIDADES_2024[[#All],[fecha_aprobacion]],"",0)</f>
        <v>#NAME?</v>
      </c>
      <c r="S844" s="138" t="e">
        <f>SUMIF([2]!DISPONIBILIDADES_2024[[#All],[consecutivo]],Contrato5[[#This Row],[CDP]],[2]!DISPONIBILIDADES_2024[[#All],[valor_total_rubro]])</f>
        <v>#REF!</v>
      </c>
      <c r="T844" s="139" t="e" cm="1">
        <f t="array" aca="1" ref="T844" ca="1">_xlfn.XLOOKUP(Contrato5[[#This Row],[CONTRATO]]&amp;Contrato5[[#This Row],[CDP]],[2]!Corr_Contr_CDP[[#All],[CONTRATO-CDP]],[2]!Corr_Contr_CDP[[#All],[CRP]],_xlfn.XLOOKUP(Contrato5[[#This Row],[CDP]],[2]!COMPROMISOS_2024[[#All],[disponibilidad]],[2]!COMPROMISOS_2024[[#All],[consecutivo]],"",0),0)</f>
        <v>#NAME?</v>
      </c>
      <c r="U844" s="140" t="e" cm="1">
        <f t="array" aca="1" ref="U844" ca="1">+_xlfn.XLOOKUP(Contrato5[[#This Row],[RCP]],[2]!COMPROMISOS_2024[[#All],[consecutivo]],[2]!COMPROMISOS_2024[[#All],[fecha_aprobacion]],"",0)</f>
        <v>#NAME?</v>
      </c>
      <c r="V844" s="141" t="e">
        <f ca="1">SUMIF([2]!COMPROMISOS_2024[[#All],[consecutivo]],Contrato5[[#This Row],[RCP]],[2]!COMPROMISOS_2024[[#All],[valor_total]])</f>
        <v>#REF!</v>
      </c>
      <c r="W844" s="160">
        <v>45603</v>
      </c>
      <c r="X844" s="160" t="s">
        <v>1045</v>
      </c>
      <c r="Y844" s="143">
        <v>45608</v>
      </c>
      <c r="Z844" s="262">
        <v>45637</v>
      </c>
      <c r="AA844" s="171" t="s">
        <v>3194</v>
      </c>
      <c r="AB844" s="172" t="s">
        <v>878</v>
      </c>
      <c r="AC844" s="172"/>
      <c r="AD844" s="592">
        <v>202000005656</v>
      </c>
      <c r="AE844" s="147"/>
      <c r="AF844" s="148" t="str">
        <f>TEXT(LEFT(Contrato5[[#This Row],[CONTRATO]],3),"0")</f>
        <v>708</v>
      </c>
      <c r="AG844" s="148" t="str">
        <f>IF(LEN(Contrato5[[#This Row],[Contrato2]])=3,Contrato5[[#This Row],[Contrato2]],TEXT(Contrato5[[#This Row],[Contrato2]],"000"))</f>
        <v>708</v>
      </c>
      <c r="AH844" s="149">
        <f ca="1">IFERROR(_xlfn.DAYS(Contrato5[[#This Row],[Fecha Proyectada liquidación]],TODAY())/30,"")</f>
        <v>-3.3333333333333333E-2</v>
      </c>
      <c r="AI844" s="150">
        <f>+Contrato5[[#This Row],[FECHA TERMINACIÓN ]]+120</f>
        <v>45757</v>
      </c>
      <c r="AJ844" s="147"/>
      <c r="AK844" s="152" t="str">
        <f ca="1">IF(Contrato5[[#This Row],[FECHA TERMINACIÓN ]]&lt;TODAY(), "Terminado",IF(ISNUMBER(Contrato5[[#This Row],[Fecha Real de liquiidación ]]),"Liquidado",IF(Contrato5[[#This Row],[FECHA TERMINACIÓN ]]&gt;=TODAY(),"En ejecución","")))</f>
        <v>Terminado</v>
      </c>
      <c r="AL844" s="153" t="e">
        <f ca="1">SUMIF([2]!COMPROMISOS_2024[[#All],[consecutivo]],Contrato5[[#This Row],[RCP]],[2]!COMPROMISOS_2024[[#All],[Total pagado]])</f>
        <v>#REF!</v>
      </c>
      <c r="AM844" s="154">
        <f ca="1">IFERROR(Contrato5[[#This Row],[Pagos]]/Contrato5[[#This Row],[VALOR CONTRATO]],0)</f>
        <v>0</v>
      </c>
      <c r="AN844" s="198" t="e">
        <f ca="1">+Contrato5[[#This Row],[VALOR CONTRATO]]-Contrato5[[#This Row],[Pagos]]</f>
        <v>#REF!</v>
      </c>
      <c r="AO844" s="147" t="e" cm="1">
        <f t="array" aca="1" ref="AO844" ca="1">_xlfn.XLOOKUP(Contrato5[[#This Row],[DOCUMENTO ]],[2]!PERSONAL_ACTIVO_2024[[#All],[Documento identidad]],[2]!PERSONAL_ACTIVO_2024[[#All],[Mail ]],0,0)</f>
        <v>#NAME?</v>
      </c>
      <c r="AP844" s="147" t="e" cm="1">
        <f t="array" aca="1" ref="AP844" ca="1">_xlfn.XLOOKUP(Contrato5[[#This Row],[DOCUMENTO]],[2]!PERSONAL_ACTIVO_2024[[#All],[Documento identidad]],[2]!PERSONAL_ACTIVO_2024[[#All],[Mail ]],0,0)</f>
        <v>#NAME?</v>
      </c>
      <c r="AQ844" s="439" cm="1">
        <f t="array" aca="1" ref="AQ844" ca="1">IF(ISBLANK(Contrato5[[#This Row],[DEPENDENCIA ]]),0,IFERROR(_xlfn.XLOOKUP(Contrato5[[#This Row],[DEPENDENCIA ]],[2]!PERSONAL_ACTIVO_2024[[#All],[Dependencia]],[2]!PERSONAL_ACTIVO_2024[[#All],[Mail ]],0,0),0))</f>
        <v>0</v>
      </c>
    </row>
    <row r="845" spans="1:43" ht="34.5" customHeight="1">
      <c r="A845" s="147">
        <v>1230</v>
      </c>
      <c r="B845" s="124">
        <v>709</v>
      </c>
      <c r="C845" s="162" t="s">
        <v>2364</v>
      </c>
      <c r="D845" s="227" t="s">
        <v>515</v>
      </c>
      <c r="E845" s="227" t="s">
        <v>94</v>
      </c>
      <c r="F845" s="227" t="s">
        <v>494</v>
      </c>
      <c r="G845" s="281" t="s">
        <v>3195</v>
      </c>
      <c r="H845" s="436">
        <v>901691188</v>
      </c>
      <c r="I845" s="309" t="s">
        <v>42</v>
      </c>
      <c r="J845" s="445">
        <v>69958224</v>
      </c>
      <c r="K845" s="413" t="s">
        <v>42</v>
      </c>
      <c r="L845" s="438" t="s">
        <v>2578</v>
      </c>
      <c r="M845" s="194" t="s">
        <v>544</v>
      </c>
      <c r="N845" s="177" t="e" cm="1">
        <f t="array" aca="1" ref="N845" ca="1">_xlfn.XLOOKUP(Contrato5[[#This Row],[SUPERVISOR TITULAR]],[2]!PERSONAL_ACTIVO_2024[[#All],[Nombre completo]],[2]!PERSONAL_ACTIVO_2024[[#All],[Documento identidad]],"",0)</f>
        <v>#NAME?</v>
      </c>
      <c r="O845" s="194" t="s">
        <v>545</v>
      </c>
      <c r="P845" s="196" t="e" cm="1">
        <f t="array" aca="1" ref="P845" ca="1">_xlfn.XLOOKUP(Contrato5[[#This Row],[SUPERVISOR SUPLENTE ]],[2]!PERSONAL_ACTIVO_2024[[#All],[Nombre completo]],[2]!PERSONAL_ACTIVO_2024[[#All],[Documento identidad]],"",0)</f>
        <v>#NAME?</v>
      </c>
      <c r="Q845" s="170">
        <v>1048</v>
      </c>
      <c r="R845" s="137" t="e" cm="1">
        <f t="array" aca="1" ref="R845" ca="1">_xlfn.XLOOKUP(Contrato5[[#This Row],[CDP]],[2]!DISPONIBILIDADES_2024[[#All],[consecutivo]],[2]!DISPONIBILIDADES_2024[[#All],[fecha_aprobacion]],"",0)</f>
        <v>#NAME?</v>
      </c>
      <c r="S845" s="138" t="e">
        <f>SUMIF([2]!DISPONIBILIDADES_2024[[#All],[consecutivo]],Contrato5[[#This Row],[CDP]],[2]!DISPONIBILIDADES_2024[[#All],[valor_total_rubro]])</f>
        <v>#REF!</v>
      </c>
      <c r="T845" s="139">
        <v>11949</v>
      </c>
      <c r="U845" s="140" t="e" cm="1">
        <f t="array" aca="1" ref="U845" ca="1">+_xlfn.XLOOKUP(Contrato5[[#This Row],[RCP]],[2]!COMPROMISOS_2024[[#All],[consecutivo]],[2]!COMPROMISOS_2024[[#All],[fecha_aprobacion]],"",0)</f>
        <v>#NAME?</v>
      </c>
      <c r="V845" s="141" t="e">
        <f>SUMIF([2]!COMPROMISOS_2024[[#All],[consecutivo]],Contrato5[[#This Row],[RCP]],[2]!COMPROMISOS_2024[[#All],[valor_total]])</f>
        <v>#REF!</v>
      </c>
      <c r="W845" s="160">
        <v>45603</v>
      </c>
      <c r="X845" s="161">
        <v>45604</v>
      </c>
      <c r="Y845" s="143">
        <v>45604</v>
      </c>
      <c r="Z845" s="262">
        <v>45656</v>
      </c>
      <c r="AA845" s="171" t="s">
        <v>3196</v>
      </c>
      <c r="AB845" s="172" t="s">
        <v>3176</v>
      </c>
      <c r="AC845" s="172"/>
      <c r="AD845" s="592">
        <v>202000005657</v>
      </c>
      <c r="AE845" s="147"/>
      <c r="AF845" s="148" t="str">
        <f>TEXT(LEFT(Contrato5[[#This Row],[CONTRATO]],3),"0")</f>
        <v>709</v>
      </c>
      <c r="AG845" s="148" t="str">
        <f>IF(LEN(Contrato5[[#This Row],[Contrato2]])=3,Contrato5[[#This Row],[Contrato2]],TEXT(Contrato5[[#This Row],[Contrato2]],"000"))</f>
        <v>709</v>
      </c>
      <c r="AH845" s="149">
        <f ca="1">IFERROR(_xlfn.DAYS(Contrato5[[#This Row],[Fecha Proyectada liquidación]],TODAY())/30,"")</f>
        <v>0.6</v>
      </c>
      <c r="AI845" s="150">
        <f>+Contrato5[[#This Row],[FECHA TERMINACIÓN ]]+120</f>
        <v>45776</v>
      </c>
      <c r="AJ845" s="147"/>
      <c r="AK845" s="152" t="str">
        <f ca="1">IF(Contrato5[[#This Row],[FECHA TERMINACIÓN ]]&lt;TODAY(), "Terminado",IF(ISNUMBER(Contrato5[[#This Row],[Fecha Real de liquiidación ]]),"Liquidado",IF(Contrato5[[#This Row],[FECHA TERMINACIÓN ]]&gt;=TODAY(),"En ejecución","")))</f>
        <v>Terminado</v>
      </c>
      <c r="AL845" s="153" t="e">
        <f>SUMIF([2]!COMPROMISOS_2024[[#All],[consecutivo]],Contrato5[[#This Row],[RCP]],[2]!COMPROMISOS_2024[[#All],[Total pagado]])</f>
        <v>#REF!</v>
      </c>
      <c r="AM845" s="154">
        <f>IFERROR(Contrato5[[#This Row],[Pagos]]/Contrato5[[#This Row],[VALOR CONTRATO]],0)</f>
        <v>0</v>
      </c>
      <c r="AN845" s="198" t="e">
        <f>+Contrato5[[#This Row],[VALOR CONTRATO]]-Contrato5[[#This Row],[Pagos]]</f>
        <v>#REF!</v>
      </c>
      <c r="AO845" s="147" t="e" cm="1">
        <f t="array" aca="1" ref="AO845" ca="1">_xlfn.XLOOKUP(Contrato5[[#This Row],[DOCUMENTO ]],[2]!PERSONAL_ACTIVO_2024[[#All],[Documento identidad]],[2]!PERSONAL_ACTIVO_2024[[#All],[Mail ]],0,0)</f>
        <v>#NAME?</v>
      </c>
      <c r="AP845" s="147" t="e" cm="1">
        <f t="array" aca="1" ref="AP845" ca="1">_xlfn.XLOOKUP(Contrato5[[#This Row],[DOCUMENTO]],[2]!PERSONAL_ACTIVO_2024[[#All],[Documento identidad]],[2]!PERSONAL_ACTIVO_2024[[#All],[Mail ]],0,0)</f>
        <v>#NAME?</v>
      </c>
      <c r="AQ845" s="439" cm="1">
        <f t="array" aca="1" ref="AQ845" ca="1">IF(ISBLANK(Contrato5[[#This Row],[DEPENDENCIA ]]),0,IFERROR(_xlfn.XLOOKUP(Contrato5[[#This Row],[DEPENDENCIA ]],[2]!PERSONAL_ACTIVO_2024[[#All],[Dependencia]],[2]!PERSONAL_ACTIVO_2024[[#All],[Mail ]],0,0),0))</f>
        <v>0</v>
      </c>
    </row>
    <row r="846" spans="1:43" ht="34.5" customHeight="1">
      <c r="A846" s="147">
        <v>1223</v>
      </c>
      <c r="B846" s="124">
        <v>710</v>
      </c>
      <c r="C846" s="162" t="s">
        <v>1497</v>
      </c>
      <c r="D846" s="227" t="s">
        <v>583</v>
      </c>
      <c r="E846" s="227" t="s">
        <v>94</v>
      </c>
      <c r="F846" s="227" t="s">
        <v>1376</v>
      </c>
      <c r="G846" s="281" t="s">
        <v>3197</v>
      </c>
      <c r="H846" s="436">
        <v>1020432342</v>
      </c>
      <c r="I846" s="309">
        <v>7400000</v>
      </c>
      <c r="J846" s="445">
        <v>18746667</v>
      </c>
      <c r="K846" s="413" t="s">
        <v>42</v>
      </c>
      <c r="L846" s="438" t="s">
        <v>2578</v>
      </c>
      <c r="M846" s="194" t="s">
        <v>613</v>
      </c>
      <c r="N846" s="177" t="e" cm="1">
        <f t="array" aca="1" ref="N846" ca="1">_xlfn.XLOOKUP(Contrato5[[#This Row],[SUPERVISOR TITULAR]],[2]!PERSONAL_ACTIVO_2024[[#All],[Nombre completo]],[2]!PERSONAL_ACTIVO_2024[[#All],[Documento identidad]],"",0)</f>
        <v>#NAME?</v>
      </c>
      <c r="O846" s="194" t="s">
        <v>604</v>
      </c>
      <c r="P846" s="196" t="e" cm="1">
        <f t="array" aca="1" ref="P846" ca="1">_xlfn.XLOOKUP(Contrato5[[#This Row],[SUPERVISOR SUPLENTE ]],[2]!PERSONAL_ACTIVO_2024[[#All],[Nombre completo]],[2]!PERSONAL_ACTIVO_2024[[#All],[Documento identidad]],"",0)</f>
        <v>#NAME?</v>
      </c>
      <c r="Q846" s="170">
        <v>1033</v>
      </c>
      <c r="R846" s="137" t="e" cm="1">
        <f t="array" aca="1" ref="R846" ca="1">_xlfn.XLOOKUP(Contrato5[[#This Row],[CDP]],[2]!DISPONIBILIDADES_2024[[#All],[consecutivo]],[2]!DISPONIBILIDADES_2024[[#All],[fecha_aprobacion]],"",0)</f>
        <v>#NAME?</v>
      </c>
      <c r="S846" s="138" t="e">
        <f>SUMIF([2]!DISPONIBILIDADES_2024[[#All],[consecutivo]],Contrato5[[#This Row],[CDP]],[2]!DISPONIBILIDADES_2024[[#All],[valor_total_rubro]])</f>
        <v>#REF!</v>
      </c>
      <c r="T846" s="139" t="e" cm="1">
        <f t="array" aca="1" ref="T846" ca="1">_xlfn.XLOOKUP(Contrato5[[#This Row],[CONTRATO]]&amp;Contrato5[[#This Row],[CDP]],[2]!Corr_Contr_CDP[[#All],[CONTRATO-CDP]],[2]!Corr_Contr_CDP[[#All],[CRP]],_xlfn.XLOOKUP(Contrato5[[#This Row],[CDP]],[2]!COMPROMISOS_2024[[#All],[disponibilidad]],[2]!COMPROMISOS_2024[[#All],[consecutivo]],"",0),0)</f>
        <v>#NAME?</v>
      </c>
      <c r="U846" s="140" t="e" cm="1">
        <f t="array" aca="1" ref="U846" ca="1">+_xlfn.XLOOKUP(Contrato5[[#This Row],[RCP]],[2]!COMPROMISOS_2024[[#All],[consecutivo]],[2]!COMPROMISOS_2024[[#All],[fecha_aprobacion]],"",0)</f>
        <v>#NAME?</v>
      </c>
      <c r="V846" s="141" t="e">
        <f ca="1">SUMIF([2]!COMPROMISOS_2024[[#All],[consecutivo]],Contrato5[[#This Row],[RCP]],[2]!COMPROMISOS_2024[[#All],[valor_total]])</f>
        <v>#REF!</v>
      </c>
      <c r="W846" s="160">
        <v>45588</v>
      </c>
      <c r="X846" s="160" t="s">
        <v>1045</v>
      </c>
      <c r="Y846" s="143">
        <v>45589</v>
      </c>
      <c r="Z846" s="262">
        <v>45657</v>
      </c>
      <c r="AA846" s="183" t="s">
        <v>3198</v>
      </c>
      <c r="AB846" s="172" t="s">
        <v>3199</v>
      </c>
      <c r="AC846" s="172"/>
      <c r="AD846" s="211">
        <v>202000005595</v>
      </c>
      <c r="AE846" s="147" t="s">
        <v>523</v>
      </c>
      <c r="AF846" s="148" t="str">
        <f>TEXT(LEFT(Contrato5[[#This Row],[CONTRATO]],3),"0")</f>
        <v>710</v>
      </c>
      <c r="AG846" s="148" t="str">
        <f>IF(LEN(Contrato5[[#This Row],[Contrato2]])=3,Contrato5[[#This Row],[Contrato2]],TEXT(Contrato5[[#This Row],[Contrato2]],"000"))</f>
        <v>710</v>
      </c>
      <c r="AH846" s="149">
        <f ca="1">IFERROR(_xlfn.DAYS(Contrato5[[#This Row],[Fecha Proyectada liquidación]],TODAY())/30,"")</f>
        <v>0.6333333333333333</v>
      </c>
      <c r="AI846" s="150">
        <f>+Contrato5[[#This Row],[FECHA TERMINACIÓN ]]+120</f>
        <v>45777</v>
      </c>
      <c r="AJ846" s="147"/>
      <c r="AK846" s="152" t="str">
        <f ca="1">IF(Contrato5[[#This Row],[FECHA TERMINACIÓN ]]&lt;TODAY(), "Terminado",IF(ISNUMBER(Contrato5[[#This Row],[Fecha Real de liquiidación ]]),"Liquidado",IF(Contrato5[[#This Row],[FECHA TERMINACIÓN ]]&gt;=TODAY(),"En ejecución","")))</f>
        <v>Terminado</v>
      </c>
      <c r="AL846" s="153" t="e">
        <f ca="1">SUMIF([2]!COMPROMISOS_2024[[#All],[consecutivo]],Contrato5[[#This Row],[RCP]],[2]!COMPROMISOS_2024[[#All],[Total pagado]])</f>
        <v>#REF!</v>
      </c>
      <c r="AM846" s="154">
        <f ca="1">IFERROR(Contrato5[[#This Row],[Pagos]]/Contrato5[[#This Row],[VALOR CONTRATO]],0)</f>
        <v>0</v>
      </c>
      <c r="AN846" s="198" t="e">
        <f ca="1">+Contrato5[[#This Row],[VALOR CONTRATO]]-Contrato5[[#This Row],[Pagos]]</f>
        <v>#REF!</v>
      </c>
      <c r="AO846" s="147" t="e" cm="1">
        <f t="array" aca="1" ref="AO846" ca="1">_xlfn.XLOOKUP(Contrato5[[#This Row],[DOCUMENTO ]],[2]!PERSONAL_ACTIVO_2024[[#All],[Documento identidad]],[2]!PERSONAL_ACTIVO_2024[[#All],[Mail ]],0,0)</f>
        <v>#NAME?</v>
      </c>
      <c r="AP846" s="147" t="e" cm="1">
        <f t="array" aca="1" ref="AP846" ca="1">_xlfn.XLOOKUP(Contrato5[[#This Row],[DOCUMENTO]],[2]!PERSONAL_ACTIVO_2024[[#All],[Documento identidad]],[2]!PERSONAL_ACTIVO_2024[[#All],[Mail ]],0,0)</f>
        <v>#NAME?</v>
      </c>
      <c r="AQ846" s="439" cm="1">
        <f t="array" aca="1" ref="AQ846" ca="1">IF(ISBLANK(Contrato5[[#This Row],[DEPENDENCIA ]]),0,IFERROR(_xlfn.XLOOKUP(Contrato5[[#This Row],[DEPENDENCIA ]],[2]!PERSONAL_ACTIVO_2024[[#All],[Dependencia]],[2]!PERSONAL_ACTIVO_2024[[#All],[Mail ]],0,0),0))</f>
        <v>0</v>
      </c>
    </row>
    <row r="847" spans="1:43" ht="34.5" customHeight="1">
      <c r="A847" s="147">
        <v>1234</v>
      </c>
      <c r="B847" s="124">
        <v>711</v>
      </c>
      <c r="C847" s="162" t="s">
        <v>1409</v>
      </c>
      <c r="D847" s="227" t="s">
        <v>3010</v>
      </c>
      <c r="E847" s="227" t="s">
        <v>94</v>
      </c>
      <c r="F847" s="227" t="s">
        <v>1376</v>
      </c>
      <c r="G847" s="281" t="s">
        <v>3200</v>
      </c>
      <c r="H847" s="436">
        <v>1037669125</v>
      </c>
      <c r="I847" s="309">
        <v>4550000</v>
      </c>
      <c r="J847" s="445">
        <v>9965153</v>
      </c>
      <c r="K847" s="413" t="s">
        <v>42</v>
      </c>
      <c r="L847" s="438" t="s">
        <v>2578</v>
      </c>
      <c r="M847" s="194" t="s">
        <v>502</v>
      </c>
      <c r="N847" s="177" t="e" cm="1">
        <f t="array" aca="1" ref="N847" ca="1">_xlfn.XLOOKUP(Contrato5[[#This Row],[SUPERVISOR TITULAR]],[2]!PERSONAL_ACTIVO_2024[[#All],[Nombre completo]],[2]!PERSONAL_ACTIVO_2024[[#All],[Documento identidad]],"",0)</f>
        <v>#NAME?</v>
      </c>
      <c r="O847" s="194" t="s">
        <v>799</v>
      </c>
      <c r="P847" s="196" t="e" cm="1">
        <f t="array" aca="1" ref="P847" ca="1">_xlfn.XLOOKUP(Contrato5[[#This Row],[SUPERVISOR SUPLENTE ]],[2]!PERSONAL_ACTIVO_2024[[#All],[Nombre completo]],[2]!PERSONAL_ACTIVO_2024[[#All],[Documento identidad]],"",0)</f>
        <v>#NAME?</v>
      </c>
      <c r="Q847" s="170">
        <v>1059</v>
      </c>
      <c r="R847" s="137" t="e" cm="1">
        <f t="array" aca="1" ref="R847" ca="1">_xlfn.XLOOKUP(Contrato5[[#This Row],[CDP]],[2]!DISPONIBILIDADES_2024[[#All],[consecutivo]],[2]!DISPONIBILIDADES_2024[[#All],[fecha_aprobacion]],"",0)</f>
        <v>#NAME?</v>
      </c>
      <c r="S847" s="138" t="e">
        <f>SUMIF([2]!DISPONIBILIDADES_2024[[#All],[consecutivo]],Contrato5[[#This Row],[CDP]],[2]!DISPONIBILIDADES_2024[[#All],[valor_total_rubro]])</f>
        <v>#REF!</v>
      </c>
      <c r="T847" s="139" t="e" cm="1">
        <f t="array" aca="1" ref="T847" ca="1">_xlfn.XLOOKUP(Contrato5[[#This Row],[CONTRATO]]&amp;Contrato5[[#This Row],[CDP]],[2]!Corr_Contr_CDP[[#All],[CONTRATO-CDP]],[2]!Corr_Contr_CDP[[#All],[CRP]],_xlfn.XLOOKUP(Contrato5[[#This Row],[CDP]],[2]!COMPROMISOS_2024[[#All],[disponibilidad]],[2]!COMPROMISOS_2024[[#All],[consecutivo]],"",0),0)</f>
        <v>#NAME?</v>
      </c>
      <c r="U847" s="140" t="e" cm="1">
        <f t="array" aca="1" ref="U847" ca="1">+_xlfn.XLOOKUP(Contrato5[[#This Row],[RCP]],[2]!COMPROMISOS_2024[[#All],[consecutivo]],[2]!COMPROMISOS_2024[[#All],[fecha_aprobacion]],"",0)</f>
        <v>#NAME?</v>
      </c>
      <c r="V847" s="141" t="e">
        <f ca="1">SUMIF([2]!COMPROMISOS_2024[[#All],[consecutivo]],Contrato5[[#This Row],[RCP]],[2]!COMPROMISOS_2024[[#All],[valor_total]])</f>
        <v>#REF!</v>
      </c>
      <c r="W847" s="160">
        <v>45590</v>
      </c>
      <c r="X847" s="160" t="s">
        <v>1045</v>
      </c>
      <c r="Y847" s="143">
        <v>45593</v>
      </c>
      <c r="Z847" s="262">
        <v>45657</v>
      </c>
      <c r="AA847" s="183" t="s">
        <v>3201</v>
      </c>
      <c r="AB847" s="172" t="s">
        <v>3202</v>
      </c>
      <c r="AC847" s="172"/>
      <c r="AD847" s="211">
        <v>202000005600</v>
      </c>
      <c r="AE847" s="147" t="s">
        <v>523</v>
      </c>
      <c r="AF847" s="148" t="str">
        <f>TEXT(LEFT(Contrato5[[#This Row],[CONTRATO]],3),"0")</f>
        <v>711</v>
      </c>
      <c r="AG847" s="148" t="str">
        <f>IF(LEN(Contrato5[[#This Row],[Contrato2]])=3,Contrato5[[#This Row],[Contrato2]],TEXT(Contrato5[[#This Row],[Contrato2]],"000"))</f>
        <v>711</v>
      </c>
      <c r="AH847" s="149">
        <f ca="1">IFERROR(_xlfn.DAYS(Contrato5[[#This Row],[Fecha Proyectada liquidación]],TODAY())/30,"")</f>
        <v>0.6333333333333333</v>
      </c>
      <c r="AI847" s="150">
        <f>+Contrato5[[#This Row],[FECHA TERMINACIÓN ]]+120</f>
        <v>45777</v>
      </c>
      <c r="AJ847" s="147"/>
      <c r="AK847" s="152" t="str">
        <f ca="1">IF(Contrato5[[#This Row],[FECHA TERMINACIÓN ]]&lt;TODAY(), "Terminado",IF(ISNUMBER(Contrato5[[#This Row],[Fecha Real de liquiidación ]]),"Liquidado",IF(Contrato5[[#This Row],[FECHA TERMINACIÓN ]]&gt;=TODAY(),"En ejecución","")))</f>
        <v>Terminado</v>
      </c>
      <c r="AL847" s="153" t="e">
        <f ca="1">SUMIF([2]!COMPROMISOS_2024[[#All],[consecutivo]],Contrato5[[#This Row],[RCP]],[2]!COMPROMISOS_2024[[#All],[Total pagado]])</f>
        <v>#REF!</v>
      </c>
      <c r="AM847" s="154">
        <f ca="1">IFERROR(Contrato5[[#This Row],[Pagos]]/Contrato5[[#This Row],[VALOR CONTRATO]],0)</f>
        <v>0</v>
      </c>
      <c r="AN847" s="198" t="e">
        <f ca="1">+Contrato5[[#This Row],[VALOR CONTRATO]]-Contrato5[[#This Row],[Pagos]]</f>
        <v>#REF!</v>
      </c>
      <c r="AO847" s="147" t="e" cm="1">
        <f t="array" aca="1" ref="AO847" ca="1">_xlfn.XLOOKUP(Contrato5[[#This Row],[DOCUMENTO ]],[2]!PERSONAL_ACTIVO_2024[[#All],[Documento identidad]],[2]!PERSONAL_ACTIVO_2024[[#All],[Mail ]],0,0)</f>
        <v>#NAME?</v>
      </c>
      <c r="AP847" s="147" t="e" cm="1">
        <f t="array" aca="1" ref="AP847" ca="1">_xlfn.XLOOKUP(Contrato5[[#This Row],[DOCUMENTO]],[2]!PERSONAL_ACTIVO_2024[[#All],[Documento identidad]],[2]!PERSONAL_ACTIVO_2024[[#All],[Mail ]],0,0)</f>
        <v>#NAME?</v>
      </c>
      <c r="AQ847" s="439" cm="1">
        <f t="array" aca="1" ref="AQ847" ca="1">IF(ISBLANK(Contrato5[[#This Row],[DEPENDENCIA ]]),0,IFERROR(_xlfn.XLOOKUP(Contrato5[[#This Row],[DEPENDENCIA ]],[2]!PERSONAL_ACTIVO_2024[[#All],[Dependencia]],[2]!PERSONAL_ACTIVO_2024[[#All],[Mail ]],0,0),0))</f>
        <v>0</v>
      </c>
    </row>
    <row r="848" spans="1:43" ht="34.5" customHeight="1">
      <c r="A848" s="147">
        <v>32</v>
      </c>
      <c r="B848" s="124">
        <v>712</v>
      </c>
      <c r="C848" s="162" t="s">
        <v>1320</v>
      </c>
      <c r="D848" s="227" t="s">
        <v>493</v>
      </c>
      <c r="E848" s="227" t="s">
        <v>125</v>
      </c>
      <c r="F848" s="227" t="s">
        <v>494</v>
      </c>
      <c r="G848" s="281" t="s">
        <v>3203</v>
      </c>
      <c r="H848" s="436">
        <v>811033671</v>
      </c>
      <c r="I848" s="309" t="s">
        <v>42</v>
      </c>
      <c r="J848" s="445">
        <v>171647980</v>
      </c>
      <c r="K848" s="413" t="s">
        <v>42</v>
      </c>
      <c r="L848" s="438" t="s">
        <v>3042</v>
      </c>
      <c r="M848" s="194" t="s">
        <v>502</v>
      </c>
      <c r="N848" s="177" t="e" cm="1">
        <f t="array" aca="1" ref="N848" ca="1">_xlfn.XLOOKUP(Contrato5[[#This Row],[SUPERVISOR TITULAR]],[2]!PERSONAL_ACTIVO_2024[[#All],[Nombre completo]],[2]!PERSONAL_ACTIVO_2024[[#All],[Documento identidad]],"",0)</f>
        <v>#NAME?</v>
      </c>
      <c r="O848" s="194" t="s">
        <v>799</v>
      </c>
      <c r="P848" s="196" t="e" cm="1">
        <f t="array" aca="1" ref="P848" ca="1">_xlfn.XLOOKUP(Contrato5[[#This Row],[SUPERVISOR SUPLENTE ]],[2]!PERSONAL_ACTIVO_2024[[#All],[Nombre completo]],[2]!PERSONAL_ACTIVO_2024[[#All],[Documento identidad]],"",0)</f>
        <v>#NAME?</v>
      </c>
      <c r="Q848" s="170">
        <v>800</v>
      </c>
      <c r="R848" s="137" t="e" cm="1">
        <f t="array" aca="1" ref="R848" ca="1">_xlfn.XLOOKUP(Contrato5[[#This Row],[CDP]],[2]!DISPONIBILIDADES_2024[[#All],[consecutivo]],[2]!DISPONIBILIDADES_2024[[#All],[fecha_aprobacion]],"",0)</f>
        <v>#NAME?</v>
      </c>
      <c r="S848" s="138" t="e">
        <f>SUMIF([2]!DISPONIBILIDADES_2024[[#All],[consecutivo]],Contrato5[[#This Row],[CDP]],[2]!DISPONIBILIDADES_2024[[#All],[valor_total_rubro]])</f>
        <v>#REF!</v>
      </c>
      <c r="T848" s="139" t="e" cm="1">
        <f t="array" aca="1" ref="T848" ca="1">_xlfn.XLOOKUP(Contrato5[[#This Row],[CONTRATO]]&amp;Contrato5[[#This Row],[CDP]],[2]!Corr_Contr_CDP[[#All],[CONTRATO-CDP]],[2]!Corr_Contr_CDP[[#All],[CRP]],_xlfn.XLOOKUP(Contrato5[[#This Row],[CDP]],[2]!COMPROMISOS_2024[[#All],[disponibilidad]],[2]!COMPROMISOS_2024[[#All],[consecutivo]],"",0),0)</f>
        <v>#NAME?</v>
      </c>
      <c r="U848" s="140" t="e" cm="1">
        <f t="array" aca="1" ref="U848" ca="1">+_xlfn.XLOOKUP(Contrato5[[#This Row],[RCP]],[2]!COMPROMISOS_2024[[#All],[consecutivo]],[2]!COMPROMISOS_2024[[#All],[fecha_aprobacion]],"",0)</f>
        <v>#NAME?</v>
      </c>
      <c r="V848" s="141" t="e">
        <f ca="1">SUMIF([2]!COMPROMISOS_2024[[#All],[consecutivo]],Contrato5[[#This Row],[RCP]],[2]!COMPROMISOS_2024[[#All],[valor_total]])</f>
        <v>#REF!</v>
      </c>
      <c r="W848" s="160">
        <v>45588</v>
      </c>
      <c r="X848" s="161">
        <v>45591</v>
      </c>
      <c r="Y848" s="143">
        <v>45594</v>
      </c>
      <c r="Z848" s="262">
        <v>45657</v>
      </c>
      <c r="AA848" s="183" t="s">
        <v>3204</v>
      </c>
      <c r="AB848" s="172" t="s">
        <v>2590</v>
      </c>
      <c r="AC848" s="172"/>
      <c r="AD848" s="211">
        <v>202000005599</v>
      </c>
      <c r="AE848" s="147" t="s">
        <v>523</v>
      </c>
      <c r="AF848" s="148" t="str">
        <f>TEXT(LEFT(Contrato5[[#This Row],[CONTRATO]],3),"0")</f>
        <v>712</v>
      </c>
      <c r="AG848" s="148" t="str">
        <f>IF(LEN(Contrato5[[#This Row],[Contrato2]])=3,Contrato5[[#This Row],[Contrato2]],TEXT(Contrato5[[#This Row],[Contrato2]],"000"))</f>
        <v>712</v>
      </c>
      <c r="AH848" s="149">
        <f ca="1">IFERROR(_xlfn.DAYS(Contrato5[[#This Row],[Fecha Proyectada liquidación]],TODAY())/30,"")</f>
        <v>0.6333333333333333</v>
      </c>
      <c r="AI848" s="150">
        <f>+Contrato5[[#This Row],[FECHA TERMINACIÓN ]]+120</f>
        <v>45777</v>
      </c>
      <c r="AJ848" s="147"/>
      <c r="AK848" s="152" t="str">
        <f ca="1">IF(Contrato5[[#This Row],[FECHA TERMINACIÓN ]]&lt;TODAY(), "Terminado",IF(ISNUMBER(Contrato5[[#This Row],[Fecha Real de liquiidación ]]),"Liquidado",IF(Contrato5[[#This Row],[FECHA TERMINACIÓN ]]&gt;=TODAY(),"En ejecución","")))</f>
        <v>Terminado</v>
      </c>
      <c r="AL848" s="153" t="e">
        <f ca="1">SUMIF([2]!COMPROMISOS_2024[[#All],[consecutivo]],Contrato5[[#This Row],[RCP]],[2]!COMPROMISOS_2024[[#All],[Total pagado]])</f>
        <v>#REF!</v>
      </c>
      <c r="AM848" s="154">
        <f ca="1">IFERROR(Contrato5[[#This Row],[Pagos]]/Contrato5[[#This Row],[VALOR CONTRATO]],0)</f>
        <v>0</v>
      </c>
      <c r="AN848" s="198" t="e">
        <f ca="1">+Contrato5[[#This Row],[VALOR CONTRATO]]-Contrato5[[#This Row],[Pagos]]</f>
        <v>#REF!</v>
      </c>
      <c r="AO848" s="147" t="e" cm="1">
        <f t="array" aca="1" ref="AO848" ca="1">_xlfn.XLOOKUP(Contrato5[[#This Row],[DOCUMENTO ]],[2]!PERSONAL_ACTIVO_2024[[#All],[Documento identidad]],[2]!PERSONAL_ACTIVO_2024[[#All],[Mail ]],0,0)</f>
        <v>#NAME?</v>
      </c>
      <c r="AP848" s="147" t="e" cm="1">
        <f t="array" aca="1" ref="AP848" ca="1">_xlfn.XLOOKUP(Contrato5[[#This Row],[DOCUMENTO]],[2]!PERSONAL_ACTIVO_2024[[#All],[Documento identidad]],[2]!PERSONAL_ACTIVO_2024[[#All],[Mail ]],0,0)</f>
        <v>#NAME?</v>
      </c>
      <c r="AQ848" s="439" cm="1">
        <f t="array" aca="1" ref="AQ848" ca="1">IF(ISBLANK(Contrato5[[#This Row],[DEPENDENCIA ]]),0,IFERROR(_xlfn.XLOOKUP(Contrato5[[#This Row],[DEPENDENCIA ]],[2]!PERSONAL_ACTIVO_2024[[#All],[Dependencia]],[2]!PERSONAL_ACTIVO_2024[[#All],[Mail ]],0,0),0))</f>
        <v>0</v>
      </c>
    </row>
    <row r="849" spans="1:43" ht="34.5" customHeight="1">
      <c r="A849" s="147">
        <v>1199</v>
      </c>
      <c r="B849" s="124">
        <v>713</v>
      </c>
      <c r="C849" s="162" t="s">
        <v>1328</v>
      </c>
      <c r="D849" s="227" t="s">
        <v>583</v>
      </c>
      <c r="E849" s="227" t="s">
        <v>94</v>
      </c>
      <c r="F849" s="227" t="s">
        <v>1376</v>
      </c>
      <c r="G849" s="281" t="s">
        <v>1058</v>
      </c>
      <c r="H849" s="436">
        <v>1039471177</v>
      </c>
      <c r="I849" s="309">
        <v>7150000</v>
      </c>
      <c r="J849" s="445">
        <v>17398333</v>
      </c>
      <c r="K849" s="413" t="s">
        <v>42</v>
      </c>
      <c r="L849" s="438" t="s">
        <v>2578</v>
      </c>
      <c r="M849" s="194" t="s">
        <v>795</v>
      </c>
      <c r="N849" s="177" t="e" cm="1">
        <f t="array" aca="1" ref="N849" ca="1">_xlfn.XLOOKUP(Contrato5[[#This Row],[SUPERVISOR TITULAR]],[2]!PERSONAL_ACTIVO_2024[[#All],[Nombre completo]],[2]!PERSONAL_ACTIVO_2024[[#All],[Documento identidad]],"",0)</f>
        <v>#NAME?</v>
      </c>
      <c r="O849" s="194" t="s">
        <v>844</v>
      </c>
      <c r="P849" s="196" t="e" cm="1">
        <f t="array" aca="1" ref="P849" ca="1">_xlfn.XLOOKUP(Contrato5[[#This Row],[SUPERVISOR SUPLENTE ]],[2]!PERSONAL_ACTIVO_2024[[#All],[Nombre completo]],[2]!PERSONAL_ACTIVO_2024[[#All],[Documento identidad]],"",0)</f>
        <v>#NAME?</v>
      </c>
      <c r="Q849" s="170">
        <v>1011</v>
      </c>
      <c r="R849" s="137" t="e" cm="1">
        <f t="array" aca="1" ref="R849" ca="1">_xlfn.XLOOKUP(Contrato5[[#This Row],[CDP]],[2]!DISPONIBILIDADES_2024[[#All],[consecutivo]],[2]!DISPONIBILIDADES_2024[[#All],[fecha_aprobacion]],"",0)</f>
        <v>#NAME?</v>
      </c>
      <c r="S849" s="138" t="e">
        <f>SUMIF([2]!DISPONIBILIDADES_2024[[#All],[consecutivo]],Contrato5[[#This Row],[CDP]],[2]!DISPONIBILIDADES_2024[[#All],[valor_total_rubro]])</f>
        <v>#REF!</v>
      </c>
      <c r="T849" s="139" t="e" cm="1">
        <f t="array" aca="1" ref="T849" ca="1">_xlfn.XLOOKUP(Contrato5[[#This Row],[CONTRATO]]&amp;Contrato5[[#This Row],[CDP]],[2]!Corr_Contr_CDP[[#All],[CONTRATO-CDP]],[2]!Corr_Contr_CDP[[#All],[CRP]],_xlfn.XLOOKUP(Contrato5[[#This Row],[CDP]],[2]!COMPROMISOS_2024[[#All],[disponibilidad]],[2]!COMPROMISOS_2024[[#All],[consecutivo]],"",0),0)</f>
        <v>#NAME?</v>
      </c>
      <c r="U849" s="140" t="e" cm="1">
        <f t="array" aca="1" ref="U849" ca="1">+_xlfn.XLOOKUP(Contrato5[[#This Row],[RCP]],[2]!COMPROMISOS_2024[[#All],[consecutivo]],[2]!COMPROMISOS_2024[[#All],[fecha_aprobacion]],"",0)</f>
        <v>#NAME?</v>
      </c>
      <c r="V849" s="141" t="e">
        <f ca="1">SUMIF([2]!COMPROMISOS_2024[[#All],[consecutivo]],Contrato5[[#This Row],[RCP]],[2]!COMPROMISOS_2024[[#All],[valor_total]])</f>
        <v>#REF!</v>
      </c>
      <c r="W849" s="160">
        <v>45588</v>
      </c>
      <c r="X849" s="161" t="s">
        <v>1045</v>
      </c>
      <c r="Y849" s="143">
        <v>45590</v>
      </c>
      <c r="Z849" s="262">
        <v>45656</v>
      </c>
      <c r="AA849" s="183" t="s">
        <v>3205</v>
      </c>
      <c r="AB849" s="172" t="s">
        <v>3206</v>
      </c>
      <c r="AC849" s="172"/>
      <c r="AD849" s="211">
        <v>202000005601</v>
      </c>
      <c r="AE849" s="147" t="s">
        <v>523</v>
      </c>
      <c r="AF849" s="148" t="str">
        <f>TEXT(LEFT(Contrato5[[#This Row],[CONTRATO]],3),"0")</f>
        <v>713</v>
      </c>
      <c r="AG849" s="148" t="str">
        <f>IF(LEN(Contrato5[[#This Row],[Contrato2]])=3,Contrato5[[#This Row],[Contrato2]],TEXT(Contrato5[[#This Row],[Contrato2]],"000"))</f>
        <v>713</v>
      </c>
      <c r="AH849" s="149">
        <f ca="1">IFERROR(_xlfn.DAYS(Contrato5[[#This Row],[Fecha Proyectada liquidación]],TODAY())/30,"")</f>
        <v>0.6</v>
      </c>
      <c r="AI849" s="150">
        <f>+Contrato5[[#This Row],[FECHA TERMINACIÓN ]]+120</f>
        <v>45776</v>
      </c>
      <c r="AJ849" s="147"/>
      <c r="AK849" s="152" t="str">
        <f ca="1">IF(Contrato5[[#This Row],[FECHA TERMINACIÓN ]]&lt;TODAY(), "Terminado",IF(ISNUMBER(Contrato5[[#This Row],[Fecha Real de liquiidación ]]),"Liquidado",IF(Contrato5[[#This Row],[FECHA TERMINACIÓN ]]&gt;=TODAY(),"En ejecución","")))</f>
        <v>Terminado</v>
      </c>
      <c r="AL849" s="153" t="e">
        <f ca="1">SUMIF([2]!COMPROMISOS_2024[[#All],[consecutivo]],Contrato5[[#This Row],[RCP]],[2]!COMPROMISOS_2024[[#All],[Total pagado]])</f>
        <v>#REF!</v>
      </c>
      <c r="AM849" s="154">
        <f ca="1">IFERROR(Contrato5[[#This Row],[Pagos]]/Contrato5[[#This Row],[VALOR CONTRATO]],0)</f>
        <v>0</v>
      </c>
      <c r="AN849" s="198" t="e">
        <f ca="1">+Contrato5[[#This Row],[VALOR CONTRATO]]-Contrato5[[#This Row],[Pagos]]</f>
        <v>#REF!</v>
      </c>
      <c r="AO849" s="147" t="e" cm="1">
        <f t="array" aca="1" ref="AO849" ca="1">_xlfn.XLOOKUP(Contrato5[[#This Row],[DOCUMENTO ]],[2]!PERSONAL_ACTIVO_2024[[#All],[Documento identidad]],[2]!PERSONAL_ACTIVO_2024[[#All],[Mail ]],0,0)</f>
        <v>#NAME?</v>
      </c>
      <c r="AP849" s="147" t="e" cm="1">
        <f t="array" aca="1" ref="AP849" ca="1">_xlfn.XLOOKUP(Contrato5[[#This Row],[DOCUMENTO]],[2]!PERSONAL_ACTIVO_2024[[#All],[Documento identidad]],[2]!PERSONAL_ACTIVO_2024[[#All],[Mail ]],0,0)</f>
        <v>#NAME?</v>
      </c>
      <c r="AQ849" s="439" cm="1">
        <f t="array" aca="1" ref="AQ849" ca="1">IF(ISBLANK(Contrato5[[#This Row],[DEPENDENCIA ]]),0,IFERROR(_xlfn.XLOOKUP(Contrato5[[#This Row],[DEPENDENCIA ]],[2]!PERSONAL_ACTIVO_2024[[#All],[Dependencia]],[2]!PERSONAL_ACTIVO_2024[[#All],[Mail ]],0,0),0))</f>
        <v>0</v>
      </c>
    </row>
    <row r="850" spans="1:43" ht="34.5" customHeight="1">
      <c r="A850" s="147">
        <v>1035</v>
      </c>
      <c r="B850" s="124">
        <v>714</v>
      </c>
      <c r="C850" s="162" t="s">
        <v>2210</v>
      </c>
      <c r="D850" s="227" t="s">
        <v>583</v>
      </c>
      <c r="E850" s="227" t="s">
        <v>94</v>
      </c>
      <c r="F850" s="227" t="s">
        <v>161</v>
      </c>
      <c r="G850" s="281" t="s">
        <v>516</v>
      </c>
      <c r="H850" s="436">
        <v>901437957</v>
      </c>
      <c r="I850" s="309" t="s">
        <v>42</v>
      </c>
      <c r="J850" s="445">
        <v>8000000000</v>
      </c>
      <c r="K850" s="413" t="s">
        <v>42</v>
      </c>
      <c r="L850" s="438" t="s">
        <v>2595</v>
      </c>
      <c r="M850" s="194" t="s">
        <v>3207</v>
      </c>
      <c r="N850" s="177" t="e" cm="1">
        <f t="array" aca="1" ref="N850" ca="1">_xlfn.XLOOKUP(Contrato5[[#This Row],[SUPERVISOR TITULAR]],[2]!PERSONAL_ACTIVO_2024[[#All],[Nombre completo]],[2]!PERSONAL_ACTIVO_2024[[#All],[Documento identidad]],"",0)</f>
        <v>#NAME?</v>
      </c>
      <c r="O850" s="194" t="s">
        <v>585</v>
      </c>
      <c r="P850" s="196" t="e" cm="1">
        <f t="array" aca="1" ref="P850" ca="1">_xlfn.XLOOKUP(Contrato5[[#This Row],[SUPERVISOR SUPLENTE ]],[2]!PERSONAL_ACTIVO_2024[[#All],[Nombre completo]],[2]!PERSONAL_ACTIVO_2024[[#All],[Documento identidad]],"",0)</f>
        <v>#NAME?</v>
      </c>
      <c r="Q850" s="301">
        <v>959</v>
      </c>
      <c r="R850" s="137" t="e" cm="1">
        <f t="array" aca="1" ref="R850" ca="1">_xlfn.XLOOKUP(Contrato5[[#This Row],[CDP]],[2]!DISPONIBILIDADES_2024[[#All],[consecutivo]],[2]!DISPONIBILIDADES_2024[[#All],[fecha_aprobacion]],"",0)</f>
        <v>#NAME?</v>
      </c>
      <c r="S850" s="138" t="e">
        <f>SUMIF([2]!DISPONIBILIDADES_2024[[#All],[consecutivo]],Contrato5[[#This Row],[CDP]],[2]!DISPONIBILIDADES_2024[[#All],[valor_total_rubro]])</f>
        <v>#REF!</v>
      </c>
      <c r="T850" s="139" t="e" cm="1">
        <f t="array" aca="1" ref="T850" ca="1">_xlfn.XLOOKUP(Contrato5[[#This Row],[CONTRATO]]&amp;Contrato5[[#This Row],[CDP]],[2]!Corr_Contr_CDP[[#All],[CONTRATO-CDP]],[2]!Corr_Contr_CDP[[#All],[CRP]],_xlfn.XLOOKUP(Contrato5[[#This Row],[CDP]],[2]!COMPROMISOS_2024[[#All],[disponibilidad]],[2]!COMPROMISOS_2024[[#All],[consecutivo]],"",0),0)</f>
        <v>#NAME?</v>
      </c>
      <c r="U850" s="140" t="e" cm="1">
        <f t="array" aca="1" ref="U850" ca="1">+_xlfn.XLOOKUP(Contrato5[[#This Row],[RCP]],[2]!COMPROMISOS_2024[[#All],[consecutivo]],[2]!COMPROMISOS_2024[[#All],[fecha_aprobacion]],"",0)</f>
        <v>#NAME?</v>
      </c>
      <c r="V850" s="141" t="e">
        <f ca="1">SUMIF([2]!COMPROMISOS_2024[[#All],[consecutivo]],Contrato5[[#This Row],[RCP]],[2]!COMPROMISOS_2024[[#All],[valor_total]])</f>
        <v>#REF!</v>
      </c>
      <c r="W850" s="160">
        <v>45593</v>
      </c>
      <c r="X850" s="161" t="s">
        <v>1045</v>
      </c>
      <c r="Y850" s="143">
        <v>45593</v>
      </c>
      <c r="Z850" s="262">
        <v>45656</v>
      </c>
      <c r="AA850" s="183" t="s">
        <v>3208</v>
      </c>
      <c r="AB850" s="172" t="s">
        <v>3209</v>
      </c>
      <c r="AC850" s="172"/>
      <c r="AD850" s="425">
        <v>202000005602</v>
      </c>
      <c r="AE850" s="147" t="s">
        <v>523</v>
      </c>
      <c r="AF850" s="148" t="str">
        <f>TEXT(LEFT(Contrato5[[#This Row],[CONTRATO]],3),"0")</f>
        <v>714</v>
      </c>
      <c r="AG850" s="148" t="str">
        <f>IF(LEN(Contrato5[[#This Row],[Contrato2]])=3,Contrato5[[#This Row],[Contrato2]],TEXT(Contrato5[[#This Row],[Contrato2]],"000"))</f>
        <v>714</v>
      </c>
      <c r="AH850" s="149">
        <f ca="1">IFERROR(_xlfn.DAYS(Contrato5[[#This Row],[Fecha Proyectada liquidación]],TODAY())/30,"")</f>
        <v>0.6</v>
      </c>
      <c r="AI850" s="150">
        <f>+Contrato5[[#This Row],[FECHA TERMINACIÓN ]]+120</f>
        <v>45776</v>
      </c>
      <c r="AJ850" s="147"/>
      <c r="AK850" s="152" t="str">
        <f ca="1">IF(Contrato5[[#This Row],[FECHA TERMINACIÓN ]]&lt;TODAY(), "Terminado",IF(ISNUMBER(Contrato5[[#This Row],[Fecha Real de liquiidación ]]),"Liquidado",IF(Contrato5[[#This Row],[FECHA TERMINACIÓN ]]&gt;=TODAY(),"En ejecución","")))</f>
        <v>Terminado</v>
      </c>
      <c r="AL850" s="153" t="e">
        <f ca="1">SUMIF([2]!COMPROMISOS_2024[[#All],[consecutivo]],Contrato5[[#This Row],[RCP]],[2]!COMPROMISOS_2024[[#All],[Total pagado]])</f>
        <v>#REF!</v>
      </c>
      <c r="AM850" s="154">
        <f ca="1">IFERROR(Contrato5[[#This Row],[Pagos]]/Contrato5[[#This Row],[VALOR CONTRATO]],0)</f>
        <v>0</v>
      </c>
      <c r="AN850" s="198" t="e">
        <f ca="1">+Contrato5[[#This Row],[VALOR CONTRATO]]-Contrato5[[#This Row],[Pagos]]</f>
        <v>#REF!</v>
      </c>
      <c r="AO850" s="147" t="e" cm="1">
        <f t="array" aca="1" ref="AO850" ca="1">_xlfn.XLOOKUP(Contrato5[[#This Row],[DOCUMENTO ]],[2]!PERSONAL_ACTIVO_2024[[#All],[Documento identidad]],[2]!PERSONAL_ACTIVO_2024[[#All],[Mail ]],0,0)</f>
        <v>#NAME?</v>
      </c>
      <c r="AP850" s="147" t="e" cm="1">
        <f t="array" aca="1" ref="AP850" ca="1">_xlfn.XLOOKUP(Contrato5[[#This Row],[DOCUMENTO]],[2]!PERSONAL_ACTIVO_2024[[#All],[Documento identidad]],[2]!PERSONAL_ACTIVO_2024[[#All],[Mail ]],0,0)</f>
        <v>#NAME?</v>
      </c>
      <c r="AQ850" s="439" cm="1">
        <f t="array" aca="1" ref="AQ850" ca="1">IF(ISBLANK(Contrato5[[#This Row],[DEPENDENCIA ]]),0,IFERROR(_xlfn.XLOOKUP(Contrato5[[#This Row],[DEPENDENCIA ]],[2]!PERSONAL_ACTIVO_2024[[#All],[Dependencia]],[2]!PERSONAL_ACTIVO_2024[[#All],[Mail ]],0,0),0))</f>
        <v>0</v>
      </c>
    </row>
    <row r="851" spans="1:43" ht="34.5" customHeight="1">
      <c r="A851" s="147" t="s">
        <v>2244</v>
      </c>
      <c r="B851" s="124">
        <v>714</v>
      </c>
      <c r="C851" s="162" t="s">
        <v>2210</v>
      </c>
      <c r="D851" s="227" t="s">
        <v>583</v>
      </c>
      <c r="E851" s="227" t="s">
        <v>94</v>
      </c>
      <c r="F851" s="227" t="s">
        <v>161</v>
      </c>
      <c r="G851" s="281" t="s">
        <v>516</v>
      </c>
      <c r="H851" s="436">
        <v>901437957</v>
      </c>
      <c r="I851" s="309" t="s">
        <v>42</v>
      </c>
      <c r="J851" s="445">
        <v>4000000000</v>
      </c>
      <c r="K851" s="413" t="s">
        <v>42</v>
      </c>
      <c r="L851" s="438" t="s">
        <v>2595</v>
      </c>
      <c r="M851" s="194" t="s">
        <v>3207</v>
      </c>
      <c r="N851" s="177" t="e" cm="1">
        <f t="array" aca="1" ref="N851" ca="1">_xlfn.XLOOKUP(Contrato5[[#This Row],[SUPERVISOR TITULAR]],[2]!PERSONAL_ACTIVO_2024[[#All],[Nombre completo]],[2]!PERSONAL_ACTIVO_2024[[#All],[Documento identidad]],"",0)</f>
        <v>#NAME?</v>
      </c>
      <c r="O851" s="194" t="s">
        <v>585</v>
      </c>
      <c r="P851" s="196" t="e" cm="1">
        <f t="array" aca="1" ref="P851" ca="1">_xlfn.XLOOKUP(Contrato5[[#This Row],[SUPERVISOR SUPLENTE ]],[2]!PERSONAL_ACTIVO_2024[[#All],[Nombre completo]],[2]!PERSONAL_ACTIVO_2024[[#All],[Documento identidad]],"",0)</f>
        <v>#NAME?</v>
      </c>
      <c r="Q851" s="301">
        <v>1060</v>
      </c>
      <c r="R851" s="137" t="e" cm="1">
        <f t="array" aca="1" ref="R851" ca="1">_xlfn.XLOOKUP(Contrato5[[#This Row],[CDP]],[2]!DISPONIBILIDADES_2024[[#All],[consecutivo]],[2]!DISPONIBILIDADES_2024[[#All],[fecha_aprobacion]],"",0)</f>
        <v>#NAME?</v>
      </c>
      <c r="S851" s="138" t="e">
        <f>SUMIF([2]!DISPONIBILIDADES_2024[[#All],[consecutivo]],Contrato5[[#This Row],[CDP]],[2]!DISPONIBILIDADES_2024[[#All],[valor_total_rubro]])</f>
        <v>#REF!</v>
      </c>
      <c r="T851" s="139" t="e" cm="1">
        <f t="array" aca="1" ref="T851" ca="1">_xlfn.XLOOKUP(Contrato5[[#This Row],[CONTRATO]]&amp;Contrato5[[#This Row],[CDP]],[2]!Corr_Contr_CDP[[#All],[CONTRATO-CDP]],[2]!Corr_Contr_CDP[[#All],[CRP]],_xlfn.XLOOKUP(Contrato5[[#This Row],[CDP]],[2]!COMPROMISOS_2024[[#All],[disponibilidad]],[2]!COMPROMISOS_2024[[#All],[consecutivo]],"",0),0)</f>
        <v>#NAME?</v>
      </c>
      <c r="U851" s="140" t="e" cm="1">
        <f t="array" aca="1" ref="U851" ca="1">+_xlfn.XLOOKUP(Contrato5[[#This Row],[RCP]],[2]!COMPROMISOS_2024[[#All],[consecutivo]],[2]!COMPROMISOS_2024[[#All],[fecha_aprobacion]],"",0)</f>
        <v>#NAME?</v>
      </c>
      <c r="V851" s="141" t="e">
        <f ca="1">SUMIF([2]!COMPROMISOS_2024[[#All],[consecutivo]],Contrato5[[#This Row],[RCP]],[2]!COMPROMISOS_2024[[#All],[valor_total]])</f>
        <v>#REF!</v>
      </c>
      <c r="W851" s="160">
        <v>45593</v>
      </c>
      <c r="X851" s="161" t="s">
        <v>1045</v>
      </c>
      <c r="Y851" s="143">
        <v>45593</v>
      </c>
      <c r="Z851" s="262">
        <v>45656</v>
      </c>
      <c r="AA851" s="183" t="s">
        <v>3208</v>
      </c>
      <c r="AB851" s="172" t="s">
        <v>3209</v>
      </c>
      <c r="AC851" s="127"/>
      <c r="AD851" s="425">
        <v>202000005602</v>
      </c>
      <c r="AE851" s="147" t="s">
        <v>523</v>
      </c>
      <c r="AF851" s="148" t="str">
        <f>TEXT(LEFT(Contrato5[[#This Row],[CONTRATO]],3),"0")</f>
        <v>714</v>
      </c>
      <c r="AG851" s="148" t="str">
        <f>IF(LEN(Contrato5[[#This Row],[Contrato2]])=3,Contrato5[[#This Row],[Contrato2]],TEXT(Contrato5[[#This Row],[Contrato2]],"000"))</f>
        <v>714</v>
      </c>
      <c r="AH851" s="149">
        <f ca="1">IFERROR(_xlfn.DAYS(Contrato5[[#This Row],[Fecha Proyectada liquidación]],TODAY())/30,"")</f>
        <v>0.6</v>
      </c>
      <c r="AI851" s="150">
        <f>+Contrato5[[#This Row],[FECHA TERMINACIÓN ]]+120</f>
        <v>45776</v>
      </c>
      <c r="AJ851" s="147"/>
      <c r="AK851" s="152" t="str">
        <f ca="1">IF(Contrato5[[#This Row],[FECHA TERMINACIÓN ]]&lt;TODAY(), "Terminado",IF(ISNUMBER(Contrato5[[#This Row],[Fecha Real de liquiidación ]]),"Liquidado",IF(Contrato5[[#This Row],[FECHA TERMINACIÓN ]]&gt;=TODAY(),"En ejecución","")))</f>
        <v>Terminado</v>
      </c>
      <c r="AL851" s="153" t="e">
        <f ca="1">SUMIF([2]!COMPROMISOS_2024[[#All],[consecutivo]],Contrato5[[#This Row],[RCP]],[2]!COMPROMISOS_2024[[#All],[Total pagado]])</f>
        <v>#REF!</v>
      </c>
      <c r="AM851" s="154">
        <f ca="1">IFERROR(Contrato5[[#This Row],[Pagos]]/Contrato5[[#This Row],[VALOR CONTRATO]],0)</f>
        <v>0</v>
      </c>
      <c r="AN851" s="198" t="e">
        <f ca="1">+Contrato5[[#This Row],[VALOR CONTRATO]]-Contrato5[[#This Row],[Pagos]]</f>
        <v>#REF!</v>
      </c>
      <c r="AO851" s="147" t="e" cm="1">
        <f t="array" aca="1" ref="AO851" ca="1">_xlfn.XLOOKUP(Contrato5[[#This Row],[DOCUMENTO ]],[2]!PERSONAL_ACTIVO_2024[[#All],[Documento identidad]],[2]!PERSONAL_ACTIVO_2024[[#All],[Mail ]],0,0)</f>
        <v>#NAME?</v>
      </c>
      <c r="AP851" s="147" t="e" cm="1">
        <f t="array" aca="1" ref="AP851" ca="1">_xlfn.XLOOKUP(Contrato5[[#This Row],[DOCUMENTO]],[2]!PERSONAL_ACTIVO_2024[[#All],[Documento identidad]],[2]!PERSONAL_ACTIVO_2024[[#All],[Mail ]],0,0)</f>
        <v>#NAME?</v>
      </c>
      <c r="AQ851" s="439" cm="1">
        <f t="array" aca="1" ref="AQ851" ca="1">IF(ISBLANK(Contrato5[[#This Row],[DEPENDENCIA ]]),0,IFERROR(_xlfn.XLOOKUP(Contrato5[[#This Row],[DEPENDENCIA ]],[2]!PERSONAL_ACTIVO_2024[[#All],[Dependencia]],[2]!PERSONAL_ACTIVO_2024[[#All],[Mail ]],0,0),0))</f>
        <v>0</v>
      </c>
    </row>
    <row r="852" spans="1:43" ht="34.5" customHeight="1">
      <c r="A852" s="147">
        <v>768</v>
      </c>
      <c r="B852" s="124">
        <v>715</v>
      </c>
      <c r="C852" s="162" t="s">
        <v>1484</v>
      </c>
      <c r="D852" s="227" t="s">
        <v>556</v>
      </c>
      <c r="E852" s="227" t="s">
        <v>197</v>
      </c>
      <c r="F852" s="227" t="s">
        <v>494</v>
      </c>
      <c r="G852" s="281" t="s">
        <v>3210</v>
      </c>
      <c r="H852" s="436">
        <v>901095387</v>
      </c>
      <c r="I852" s="309" t="s">
        <v>42</v>
      </c>
      <c r="J852" s="445">
        <v>127771639</v>
      </c>
      <c r="K852" s="413" t="s">
        <v>42</v>
      </c>
      <c r="L852" s="438" t="s">
        <v>3002</v>
      </c>
      <c r="M852" s="194" t="s">
        <v>559</v>
      </c>
      <c r="N852" s="177" t="e" cm="1">
        <f t="array" aca="1" ref="N852" ca="1">_xlfn.XLOOKUP(Contrato5[[#This Row],[SUPERVISOR TITULAR]],[2]!PERSONAL_ACTIVO_2024[[#All],[Nombre completo]],[2]!PERSONAL_ACTIVO_2024[[#All],[Documento identidad]],"",0)</f>
        <v>#NAME?</v>
      </c>
      <c r="O852" s="194" t="s">
        <v>560</v>
      </c>
      <c r="P852" s="196" t="e" cm="1">
        <f t="array" aca="1" ref="P852" ca="1">_xlfn.XLOOKUP(Contrato5[[#This Row],[SUPERVISOR SUPLENTE ]],[2]!PERSONAL_ACTIVO_2024[[#All],[Nombre completo]],[2]!PERSONAL_ACTIVO_2024[[#All],[Documento identidad]],"",0)</f>
        <v>#NAME?</v>
      </c>
      <c r="Q852" s="170">
        <v>636</v>
      </c>
      <c r="R852" s="137" t="e" cm="1">
        <f t="array" aca="1" ref="R852" ca="1">_xlfn.XLOOKUP(Contrato5[[#This Row],[CDP]],[2]!DISPONIBILIDADES_2024[[#All],[consecutivo]],[2]!DISPONIBILIDADES_2024[[#All],[fecha_aprobacion]],"",0)</f>
        <v>#NAME?</v>
      </c>
      <c r="S852" s="138" t="e">
        <f>SUMIF([2]!DISPONIBILIDADES_2024[[#All],[consecutivo]],Contrato5[[#This Row],[CDP]],[2]!DISPONIBILIDADES_2024[[#All],[valor_total_rubro]])</f>
        <v>#REF!</v>
      </c>
      <c r="T852" s="139" t="e" cm="1">
        <f t="array" aca="1" ref="T852" ca="1">_xlfn.XLOOKUP(Contrato5[[#This Row],[CONTRATO]]&amp;Contrato5[[#This Row],[CDP]],[2]!Corr_Contr_CDP[[#All],[CONTRATO-CDP]],[2]!Corr_Contr_CDP[[#All],[CRP]],_xlfn.XLOOKUP(Contrato5[[#This Row],[CDP]],[2]!COMPROMISOS_2024[[#All],[disponibilidad]],[2]!COMPROMISOS_2024[[#All],[consecutivo]],"",0),0)</f>
        <v>#NAME?</v>
      </c>
      <c r="U852" s="140" t="e" cm="1">
        <f t="array" aca="1" ref="U852" ca="1">+_xlfn.XLOOKUP(Contrato5[[#This Row],[RCP]],[2]!COMPROMISOS_2024[[#All],[consecutivo]],[2]!COMPROMISOS_2024[[#All],[fecha_aprobacion]],"",0)</f>
        <v>#NAME?</v>
      </c>
      <c r="V852" s="141" t="e">
        <f ca="1">SUMIF([2]!COMPROMISOS_2024[[#All],[consecutivo]],Contrato5[[#This Row],[RCP]],[2]!COMPROMISOS_2024[[#All],[valor_total]])</f>
        <v>#REF!</v>
      </c>
      <c r="W852" s="160">
        <v>45595</v>
      </c>
      <c r="X852" s="161">
        <v>45597</v>
      </c>
      <c r="Y852" s="143">
        <v>45597</v>
      </c>
      <c r="Z852" s="262">
        <v>45657</v>
      </c>
      <c r="AA852" s="171" t="s">
        <v>3211</v>
      </c>
      <c r="AB852" s="172" t="s">
        <v>500</v>
      </c>
      <c r="AC852" s="172"/>
      <c r="AD852" s="425">
        <v>202000005658</v>
      </c>
      <c r="AE852" s="147"/>
      <c r="AF852" s="148" t="str">
        <f>TEXT(LEFT(Contrato5[[#This Row],[CONTRATO]],3),"0")</f>
        <v>715</v>
      </c>
      <c r="AG852" s="148" t="str">
        <f>IF(LEN(Contrato5[[#This Row],[Contrato2]])=3,Contrato5[[#This Row],[Contrato2]],TEXT(Contrato5[[#This Row],[Contrato2]],"000"))</f>
        <v>715</v>
      </c>
      <c r="AH852" s="149">
        <f ca="1">IFERROR(_xlfn.DAYS(Contrato5[[#This Row],[Fecha Proyectada liquidación]],TODAY())/30,"")</f>
        <v>0.6333333333333333</v>
      </c>
      <c r="AI852" s="150">
        <f>+Contrato5[[#This Row],[FECHA TERMINACIÓN ]]+120</f>
        <v>45777</v>
      </c>
      <c r="AJ852" s="147"/>
      <c r="AK852" s="152" t="str">
        <f ca="1">IF(Contrato5[[#This Row],[FECHA TERMINACIÓN ]]&lt;TODAY(), "Terminado",IF(ISNUMBER(Contrato5[[#This Row],[Fecha Real de liquiidación ]]),"Liquidado",IF(Contrato5[[#This Row],[FECHA TERMINACIÓN ]]&gt;=TODAY(),"En ejecución","")))</f>
        <v>Terminado</v>
      </c>
      <c r="AL852" s="153" t="e">
        <f ca="1">SUMIF([2]!COMPROMISOS_2024[[#All],[consecutivo]],Contrato5[[#This Row],[RCP]],[2]!COMPROMISOS_2024[[#All],[Total pagado]])</f>
        <v>#REF!</v>
      </c>
      <c r="AM852" s="154">
        <f ca="1">IFERROR(Contrato5[[#This Row],[Pagos]]/Contrato5[[#This Row],[VALOR CONTRATO]],0)</f>
        <v>0</v>
      </c>
      <c r="AN852" s="198" t="e">
        <f ca="1">+Contrato5[[#This Row],[VALOR CONTRATO]]-Contrato5[[#This Row],[Pagos]]</f>
        <v>#REF!</v>
      </c>
      <c r="AO852" s="147" t="e" cm="1">
        <f t="array" aca="1" ref="AO852" ca="1">_xlfn.XLOOKUP(Contrato5[[#This Row],[DOCUMENTO ]],[2]!PERSONAL_ACTIVO_2024[[#All],[Documento identidad]],[2]!PERSONAL_ACTIVO_2024[[#All],[Mail ]],0,0)</f>
        <v>#NAME?</v>
      </c>
      <c r="AP852" s="147" t="e" cm="1">
        <f t="array" aca="1" ref="AP852" ca="1">_xlfn.XLOOKUP(Contrato5[[#This Row],[DOCUMENTO]],[2]!PERSONAL_ACTIVO_2024[[#All],[Documento identidad]],[2]!PERSONAL_ACTIVO_2024[[#All],[Mail ]],0,0)</f>
        <v>#NAME?</v>
      </c>
      <c r="AQ852" s="439" cm="1">
        <f t="array" aca="1" ref="AQ852" ca="1">IF(ISBLANK(Contrato5[[#This Row],[DEPENDENCIA ]]),0,IFERROR(_xlfn.XLOOKUP(Contrato5[[#This Row],[DEPENDENCIA ]],[2]!PERSONAL_ACTIVO_2024[[#All],[Dependencia]],[2]!PERSONAL_ACTIVO_2024[[#All],[Mail ]],0,0),0))</f>
        <v>0</v>
      </c>
    </row>
    <row r="853" spans="1:43" ht="34.5" customHeight="1">
      <c r="A853" s="147">
        <v>1238</v>
      </c>
      <c r="B853" s="124">
        <v>716</v>
      </c>
      <c r="C853" s="162" t="s">
        <v>2333</v>
      </c>
      <c r="D853" s="227" t="s">
        <v>515</v>
      </c>
      <c r="E853" s="227" t="s">
        <v>94</v>
      </c>
      <c r="F853" s="227" t="s">
        <v>255</v>
      </c>
      <c r="G853" s="281" t="s">
        <v>3212</v>
      </c>
      <c r="H853" s="436">
        <v>890982068</v>
      </c>
      <c r="I853" s="309" t="s">
        <v>42</v>
      </c>
      <c r="J853" s="445">
        <v>530069493</v>
      </c>
      <c r="K853" s="131" t="s">
        <v>3213</v>
      </c>
      <c r="L853" s="438" t="s">
        <v>2595</v>
      </c>
      <c r="M853" s="194" t="s">
        <v>822</v>
      </c>
      <c r="N853" s="177" t="e" cm="1">
        <f t="array" aca="1" ref="N853" ca="1">_xlfn.XLOOKUP(Contrato5[[#This Row],[SUPERVISOR TITULAR]],[2]!PERSONAL_ACTIVO_2024[[#All],[Nombre completo]],[2]!PERSONAL_ACTIVO_2024[[#All],[Documento identidad]],"",0)</f>
        <v>#NAME?</v>
      </c>
      <c r="O853" s="194" t="s">
        <v>520</v>
      </c>
      <c r="P853" s="196" t="e" cm="1">
        <f t="array" aca="1" ref="P853" ca="1">_xlfn.XLOOKUP(Contrato5[[#This Row],[SUPERVISOR SUPLENTE ]],[2]!PERSONAL_ACTIVO_2024[[#All],[Nombre completo]],[2]!PERSONAL_ACTIVO_2024[[#All],[Documento identidad]],"",0)</f>
        <v>#NAME?</v>
      </c>
      <c r="Q853" s="170">
        <v>1066</v>
      </c>
      <c r="R853" s="137" t="e" cm="1">
        <f t="array" aca="1" ref="R853" ca="1">_xlfn.XLOOKUP(Contrato5[[#This Row],[CDP]],[2]!DISPONIBILIDADES_2024[[#All],[consecutivo]],[2]!DISPONIBILIDADES_2024[[#All],[fecha_aprobacion]],"",0)</f>
        <v>#NAME?</v>
      </c>
      <c r="S853" s="138" t="e">
        <f>SUMIF([2]!DISPONIBILIDADES_2024[[#All],[consecutivo]],Contrato5[[#This Row],[CDP]],[2]!DISPONIBILIDADES_2024[[#All],[valor_total_rubro]])</f>
        <v>#REF!</v>
      </c>
      <c r="T853" s="139" t="e" cm="1">
        <f t="array" aca="1" ref="T853" ca="1">_xlfn.XLOOKUP(Contrato5[[#This Row],[CONTRATO]]&amp;Contrato5[[#This Row],[CDP]],[2]!Corr_Contr_CDP[[#All],[CONTRATO-CDP]],[2]!Corr_Contr_CDP[[#All],[CRP]],_xlfn.XLOOKUP(Contrato5[[#This Row],[CDP]],[2]!COMPROMISOS_2024[[#All],[disponibilidad]],[2]!COMPROMISOS_2024[[#All],[consecutivo]],"",0),0)</f>
        <v>#NAME?</v>
      </c>
      <c r="U853" s="140" t="e" cm="1">
        <f t="array" aca="1" ref="U853" ca="1">+_xlfn.XLOOKUP(Contrato5[[#This Row],[RCP]],[2]!COMPROMISOS_2024[[#All],[consecutivo]],[2]!COMPROMISOS_2024[[#All],[fecha_aprobacion]],"",0)</f>
        <v>#NAME?</v>
      </c>
      <c r="V853" s="141" t="e">
        <f ca="1">SUMIF([2]!COMPROMISOS_2024[[#All],[consecutivo]],Contrato5[[#This Row],[RCP]],[2]!COMPROMISOS_2024[[#All],[valor_total]])</f>
        <v>#REF!</v>
      </c>
      <c r="W853" s="160">
        <v>45590</v>
      </c>
      <c r="X853" s="160" t="s">
        <v>1045</v>
      </c>
      <c r="Y853" s="143">
        <v>45593</v>
      </c>
      <c r="Z853" s="262">
        <v>45657</v>
      </c>
      <c r="AA853" s="183" t="s">
        <v>3214</v>
      </c>
      <c r="AB853" s="172" t="s">
        <v>3215</v>
      </c>
      <c r="AC853" s="172"/>
      <c r="AD853" s="425">
        <v>202000005603</v>
      </c>
      <c r="AE853" s="147" t="s">
        <v>523</v>
      </c>
      <c r="AF853" s="148" t="str">
        <f>TEXT(LEFT(Contrato5[[#This Row],[CONTRATO]],3),"0")</f>
        <v>716</v>
      </c>
      <c r="AG853" s="148" t="str">
        <f>IF(LEN(Contrato5[[#This Row],[Contrato2]])=3,Contrato5[[#This Row],[Contrato2]],TEXT(Contrato5[[#This Row],[Contrato2]],"000"))</f>
        <v>716</v>
      </c>
      <c r="AH853" s="149">
        <f ca="1">IFERROR(_xlfn.DAYS(Contrato5[[#This Row],[Fecha Proyectada liquidación]],TODAY())/30,"")</f>
        <v>0.6333333333333333</v>
      </c>
      <c r="AI853" s="150">
        <f>+Contrato5[[#This Row],[FECHA TERMINACIÓN ]]+120</f>
        <v>45777</v>
      </c>
      <c r="AJ853" s="147"/>
      <c r="AK853" s="152" t="str">
        <f ca="1">IF(Contrato5[[#This Row],[FECHA TERMINACIÓN ]]&lt;TODAY(), "Terminado",IF(ISNUMBER(Contrato5[[#This Row],[Fecha Real de liquiidación ]]),"Liquidado",IF(Contrato5[[#This Row],[FECHA TERMINACIÓN ]]&gt;=TODAY(),"En ejecución","")))</f>
        <v>Terminado</v>
      </c>
      <c r="AL853" s="153" t="e">
        <f ca="1">SUMIF([2]!COMPROMISOS_2024[[#All],[consecutivo]],Contrato5[[#This Row],[RCP]],[2]!COMPROMISOS_2024[[#All],[Total pagado]])</f>
        <v>#REF!</v>
      </c>
      <c r="AM853" s="154">
        <f ca="1">IFERROR(Contrato5[[#This Row],[Pagos]]/Contrato5[[#This Row],[VALOR CONTRATO]],0)</f>
        <v>0</v>
      </c>
      <c r="AN853" s="198" t="e">
        <f ca="1">+Contrato5[[#This Row],[VALOR CONTRATO]]-Contrato5[[#This Row],[Pagos]]</f>
        <v>#REF!</v>
      </c>
      <c r="AO853" s="147" t="e" cm="1">
        <f t="array" aca="1" ref="AO853" ca="1">_xlfn.XLOOKUP(Contrato5[[#This Row],[DOCUMENTO ]],[2]!PERSONAL_ACTIVO_2024[[#All],[Documento identidad]],[2]!PERSONAL_ACTIVO_2024[[#All],[Mail ]],0,0)</f>
        <v>#NAME?</v>
      </c>
      <c r="AP853" s="147" t="e" cm="1">
        <f t="array" aca="1" ref="AP853" ca="1">_xlfn.XLOOKUP(Contrato5[[#This Row],[DOCUMENTO]],[2]!PERSONAL_ACTIVO_2024[[#All],[Documento identidad]],[2]!PERSONAL_ACTIVO_2024[[#All],[Mail ]],0,0)</f>
        <v>#NAME?</v>
      </c>
      <c r="AQ853" s="439" cm="1">
        <f t="array" aca="1" ref="AQ853" ca="1">IF(ISBLANK(Contrato5[[#This Row],[DEPENDENCIA ]]),0,IFERROR(_xlfn.XLOOKUP(Contrato5[[#This Row],[DEPENDENCIA ]],[2]!PERSONAL_ACTIVO_2024[[#All],[Dependencia]],[2]!PERSONAL_ACTIVO_2024[[#All],[Mail ]],0,0),0))</f>
        <v>0</v>
      </c>
    </row>
    <row r="854" spans="1:43" ht="34.5" customHeight="1">
      <c r="A854" s="147">
        <v>1242</v>
      </c>
      <c r="B854" s="124">
        <v>717</v>
      </c>
      <c r="C854" s="162" t="s">
        <v>2336</v>
      </c>
      <c r="D854" s="227" t="s">
        <v>515</v>
      </c>
      <c r="E854" s="227" t="s">
        <v>94</v>
      </c>
      <c r="F854" s="227" t="s">
        <v>255</v>
      </c>
      <c r="G854" s="281" t="s">
        <v>3216</v>
      </c>
      <c r="H854" s="436">
        <v>811008841</v>
      </c>
      <c r="I854" s="309" t="s">
        <v>42</v>
      </c>
      <c r="J854" s="445">
        <v>687796274</v>
      </c>
      <c r="K854" s="131" t="s">
        <v>3217</v>
      </c>
      <c r="L854" s="438" t="s">
        <v>2595</v>
      </c>
      <c r="M854" s="194" t="s">
        <v>520</v>
      </c>
      <c r="N854" s="177" t="e" cm="1">
        <f t="array" aca="1" ref="N854" ca="1">_xlfn.XLOOKUP(Contrato5[[#This Row],[SUPERVISOR TITULAR]],[2]!PERSONAL_ACTIVO_2024[[#All],[Nombre completo]],[2]!PERSONAL_ACTIVO_2024[[#All],[Documento identidad]],"",0)</f>
        <v>#NAME?</v>
      </c>
      <c r="O854" s="194" t="s">
        <v>519</v>
      </c>
      <c r="P854" s="196" t="e" cm="1">
        <f t="array" aca="1" ref="P854" ca="1">_xlfn.XLOOKUP(Contrato5[[#This Row],[SUPERVISOR SUPLENTE ]],[2]!PERSONAL_ACTIVO_2024[[#All],[Nombre completo]],[2]!PERSONAL_ACTIVO_2024[[#All],[Documento identidad]],"",0)</f>
        <v>#NAME?</v>
      </c>
      <c r="Q854" s="170">
        <v>1079</v>
      </c>
      <c r="R854" s="137" t="e" cm="1">
        <f t="array" aca="1" ref="R854" ca="1">_xlfn.XLOOKUP(Contrato5[[#This Row],[CDP]],[2]!DISPONIBILIDADES_2024[[#All],[consecutivo]],[2]!DISPONIBILIDADES_2024[[#All],[fecha_aprobacion]],"",0)</f>
        <v>#NAME?</v>
      </c>
      <c r="S854" s="138" t="e">
        <f>SUMIF([2]!DISPONIBILIDADES_2024[[#All],[consecutivo]],Contrato5[[#This Row],[CDP]],[2]!DISPONIBILIDADES_2024[[#All],[valor_total_rubro]])</f>
        <v>#REF!</v>
      </c>
      <c r="T854" s="139" t="e" cm="1">
        <f t="array" aca="1" ref="T854" ca="1">_xlfn.XLOOKUP(Contrato5[[#This Row],[CONTRATO]]&amp;Contrato5[[#This Row],[CDP]],[2]!Corr_Contr_CDP[[#All],[CONTRATO-CDP]],[2]!Corr_Contr_CDP[[#All],[CRP]],_xlfn.XLOOKUP(Contrato5[[#This Row],[CDP]],[2]!COMPROMISOS_2024[[#All],[disponibilidad]],[2]!COMPROMISOS_2024[[#All],[consecutivo]],"",0),0)</f>
        <v>#NAME?</v>
      </c>
      <c r="U854" s="140" t="e" cm="1">
        <f t="array" aca="1" ref="U854" ca="1">+_xlfn.XLOOKUP(Contrato5[[#This Row],[RCP]],[2]!COMPROMISOS_2024[[#All],[consecutivo]],[2]!COMPROMISOS_2024[[#All],[fecha_aprobacion]],"",0)</f>
        <v>#NAME?</v>
      </c>
      <c r="V854" s="141" t="e">
        <f ca="1">SUMIF([2]!COMPROMISOS_2024[[#All],[consecutivo]],Contrato5[[#This Row],[RCP]],[2]!COMPROMISOS_2024[[#All],[valor_total]])</f>
        <v>#REF!</v>
      </c>
      <c r="W854" s="160">
        <v>45594</v>
      </c>
      <c r="X854" s="161">
        <v>45596</v>
      </c>
      <c r="Y854" s="143">
        <v>45596</v>
      </c>
      <c r="Z854" s="262">
        <v>45657</v>
      </c>
      <c r="AA854" s="171" t="s">
        <v>3218</v>
      </c>
      <c r="AB854" s="172" t="s">
        <v>3219</v>
      </c>
      <c r="AC854" s="172"/>
      <c r="AD854" s="425">
        <v>202000005604</v>
      </c>
      <c r="AE854" s="147" t="s">
        <v>523</v>
      </c>
      <c r="AF854" s="148" t="str">
        <f>TEXT(LEFT(Contrato5[[#This Row],[CONTRATO]],3),"0")</f>
        <v>717</v>
      </c>
      <c r="AG854" s="148" t="str">
        <f>IF(LEN(Contrato5[[#This Row],[Contrato2]])=3,Contrato5[[#This Row],[Contrato2]],TEXT(Contrato5[[#This Row],[Contrato2]],"000"))</f>
        <v>717</v>
      </c>
      <c r="AH854" s="149">
        <f ca="1">IFERROR(_xlfn.DAYS(Contrato5[[#This Row],[Fecha Proyectada liquidación]],TODAY())/30,"")</f>
        <v>0.6333333333333333</v>
      </c>
      <c r="AI854" s="150">
        <f>+Contrato5[[#This Row],[FECHA TERMINACIÓN ]]+120</f>
        <v>45777</v>
      </c>
      <c r="AJ854" s="147"/>
      <c r="AK854" s="152" t="str">
        <f ca="1">IF(Contrato5[[#This Row],[FECHA TERMINACIÓN ]]&lt;TODAY(), "Terminado",IF(ISNUMBER(Contrato5[[#This Row],[Fecha Real de liquiidación ]]),"Liquidado",IF(Contrato5[[#This Row],[FECHA TERMINACIÓN ]]&gt;=TODAY(),"En ejecución","")))</f>
        <v>Terminado</v>
      </c>
      <c r="AL854" s="153" t="e">
        <f ca="1">SUMIF([2]!COMPROMISOS_2024[[#All],[consecutivo]],Contrato5[[#This Row],[RCP]],[2]!COMPROMISOS_2024[[#All],[Total pagado]])</f>
        <v>#REF!</v>
      </c>
      <c r="AM854" s="154">
        <f ca="1">IFERROR(Contrato5[[#This Row],[Pagos]]/Contrato5[[#This Row],[VALOR CONTRATO]],0)</f>
        <v>0</v>
      </c>
      <c r="AN854" s="198" t="e">
        <f ca="1">+Contrato5[[#This Row],[VALOR CONTRATO]]-Contrato5[[#This Row],[Pagos]]</f>
        <v>#REF!</v>
      </c>
      <c r="AO854" s="147" t="e" cm="1">
        <f t="array" aca="1" ref="AO854" ca="1">_xlfn.XLOOKUP(Contrato5[[#This Row],[DOCUMENTO ]],[2]!PERSONAL_ACTIVO_2024[[#All],[Documento identidad]],[2]!PERSONAL_ACTIVO_2024[[#All],[Mail ]],0,0)</f>
        <v>#NAME?</v>
      </c>
      <c r="AP854" s="147" t="e" cm="1">
        <f t="array" aca="1" ref="AP854" ca="1">_xlfn.XLOOKUP(Contrato5[[#This Row],[DOCUMENTO]],[2]!PERSONAL_ACTIVO_2024[[#All],[Documento identidad]],[2]!PERSONAL_ACTIVO_2024[[#All],[Mail ]],0,0)</f>
        <v>#NAME?</v>
      </c>
      <c r="AQ854" s="439" cm="1">
        <f t="array" aca="1" ref="AQ854" ca="1">IF(ISBLANK(Contrato5[[#This Row],[DEPENDENCIA ]]),0,IFERROR(_xlfn.XLOOKUP(Contrato5[[#This Row],[DEPENDENCIA ]],[2]!PERSONAL_ACTIVO_2024[[#All],[Dependencia]],[2]!PERSONAL_ACTIVO_2024[[#All],[Mail ]],0,0),0))</f>
        <v>0</v>
      </c>
    </row>
    <row r="855" spans="1:43" ht="34.5" customHeight="1">
      <c r="A855" s="147">
        <v>1240</v>
      </c>
      <c r="B855" s="124">
        <v>718</v>
      </c>
      <c r="C855" s="162" t="s">
        <v>2335</v>
      </c>
      <c r="D855" s="227" t="s">
        <v>515</v>
      </c>
      <c r="E855" s="227" t="s">
        <v>94</v>
      </c>
      <c r="F855" s="227" t="s">
        <v>255</v>
      </c>
      <c r="G855" s="281" t="s">
        <v>3220</v>
      </c>
      <c r="H855" s="436">
        <v>890980342</v>
      </c>
      <c r="I855" s="309" t="s">
        <v>42</v>
      </c>
      <c r="J855" s="445">
        <v>488011583</v>
      </c>
      <c r="K855" s="131" t="s">
        <v>3221</v>
      </c>
      <c r="L855" s="438" t="s">
        <v>2595</v>
      </c>
      <c r="M855" s="194" t="s">
        <v>519</v>
      </c>
      <c r="N855" s="177" t="e" cm="1">
        <f t="array" aca="1" ref="N855" ca="1">_xlfn.XLOOKUP(Contrato5[[#This Row],[SUPERVISOR TITULAR]],[2]!PERSONAL_ACTIVO_2024[[#All],[Nombre completo]],[2]!PERSONAL_ACTIVO_2024[[#All],[Documento identidad]],"",0)</f>
        <v>#NAME?</v>
      </c>
      <c r="O855" s="194" t="s">
        <v>836</v>
      </c>
      <c r="P855" s="196" t="e" cm="1">
        <f t="array" aca="1" ref="P855" ca="1">_xlfn.XLOOKUP(Contrato5[[#This Row],[SUPERVISOR SUPLENTE ]],[2]!PERSONAL_ACTIVO_2024[[#All],[Nombre completo]],[2]!PERSONAL_ACTIVO_2024[[#All],[Documento identidad]],"",0)</f>
        <v>#NAME?</v>
      </c>
      <c r="Q855" s="170">
        <v>1080</v>
      </c>
      <c r="R855" s="137" t="e" cm="1">
        <f t="array" aca="1" ref="R855" ca="1">_xlfn.XLOOKUP(Contrato5[[#This Row],[CDP]],[2]!DISPONIBILIDADES_2024[[#All],[consecutivo]],[2]!DISPONIBILIDADES_2024[[#All],[fecha_aprobacion]],"",0)</f>
        <v>#NAME?</v>
      </c>
      <c r="S855" s="138" t="e">
        <f>SUMIF([2]!DISPONIBILIDADES_2024[[#All],[consecutivo]],Contrato5[[#This Row],[CDP]],[2]!DISPONIBILIDADES_2024[[#All],[valor_total_rubro]])</f>
        <v>#REF!</v>
      </c>
      <c r="T855" s="139" t="e" cm="1">
        <f t="array" aca="1" ref="T855" ca="1">_xlfn.XLOOKUP(Contrato5[[#This Row],[CONTRATO]]&amp;Contrato5[[#This Row],[CDP]],[2]!Corr_Contr_CDP[[#All],[CONTRATO-CDP]],[2]!Corr_Contr_CDP[[#All],[CRP]],_xlfn.XLOOKUP(Contrato5[[#This Row],[CDP]],[2]!COMPROMISOS_2024[[#All],[disponibilidad]],[2]!COMPROMISOS_2024[[#All],[consecutivo]],"",0),0)</f>
        <v>#NAME?</v>
      </c>
      <c r="U855" s="140" t="e" cm="1">
        <f t="array" aca="1" ref="U855" ca="1">+_xlfn.XLOOKUP(Contrato5[[#This Row],[RCP]],[2]!COMPROMISOS_2024[[#All],[consecutivo]],[2]!COMPROMISOS_2024[[#All],[fecha_aprobacion]],"",0)</f>
        <v>#NAME?</v>
      </c>
      <c r="V855" s="141" t="e">
        <f ca="1">SUMIF([2]!COMPROMISOS_2024[[#All],[consecutivo]],Contrato5[[#This Row],[RCP]],[2]!COMPROMISOS_2024[[#All],[valor_total]])</f>
        <v>#REF!</v>
      </c>
      <c r="W855" s="160">
        <v>45593</v>
      </c>
      <c r="X855" s="161">
        <v>45597</v>
      </c>
      <c r="Y855" s="143">
        <v>45597</v>
      </c>
      <c r="Z855" s="262">
        <v>45657</v>
      </c>
      <c r="AA855" s="171" t="s">
        <v>3222</v>
      </c>
      <c r="AB855" s="172" t="s">
        <v>3219</v>
      </c>
      <c r="AC855" s="172"/>
      <c r="AD855" s="425">
        <v>202000005659</v>
      </c>
      <c r="AE855" s="147"/>
      <c r="AF855" s="148" t="str">
        <f>TEXT(LEFT(Contrato5[[#This Row],[CONTRATO]],3),"0")</f>
        <v>718</v>
      </c>
      <c r="AG855" s="148" t="str">
        <f>IF(LEN(Contrato5[[#This Row],[Contrato2]])=3,Contrato5[[#This Row],[Contrato2]],TEXT(Contrato5[[#This Row],[Contrato2]],"000"))</f>
        <v>718</v>
      </c>
      <c r="AH855" s="149">
        <f ca="1">IFERROR(_xlfn.DAYS(Contrato5[[#This Row],[Fecha Proyectada liquidación]],TODAY())/30,"")</f>
        <v>0.6333333333333333</v>
      </c>
      <c r="AI855" s="150">
        <f>+Contrato5[[#This Row],[FECHA TERMINACIÓN ]]+120</f>
        <v>45777</v>
      </c>
      <c r="AJ855" s="147"/>
      <c r="AK855" s="152" t="str">
        <f ca="1">IF(Contrato5[[#This Row],[FECHA TERMINACIÓN ]]&lt;TODAY(), "Terminado",IF(ISNUMBER(Contrato5[[#This Row],[Fecha Real de liquiidación ]]),"Liquidado",IF(Contrato5[[#This Row],[FECHA TERMINACIÓN ]]&gt;=TODAY(),"En ejecución","")))</f>
        <v>Terminado</v>
      </c>
      <c r="AL855" s="153" t="e">
        <f ca="1">SUMIF([2]!COMPROMISOS_2024[[#All],[consecutivo]],Contrato5[[#This Row],[RCP]],[2]!COMPROMISOS_2024[[#All],[Total pagado]])</f>
        <v>#REF!</v>
      </c>
      <c r="AM855" s="154">
        <f ca="1">IFERROR(Contrato5[[#This Row],[Pagos]]/Contrato5[[#This Row],[VALOR CONTRATO]],0)</f>
        <v>0</v>
      </c>
      <c r="AN855" s="198" t="e">
        <f ca="1">+Contrato5[[#This Row],[VALOR CONTRATO]]-Contrato5[[#This Row],[Pagos]]</f>
        <v>#REF!</v>
      </c>
      <c r="AO855" s="147" t="e" cm="1">
        <f t="array" aca="1" ref="AO855" ca="1">_xlfn.XLOOKUP(Contrato5[[#This Row],[DOCUMENTO ]],[2]!PERSONAL_ACTIVO_2024[[#All],[Documento identidad]],[2]!PERSONAL_ACTIVO_2024[[#All],[Mail ]],0,0)</f>
        <v>#NAME?</v>
      </c>
      <c r="AP855" s="147" t="e" cm="1">
        <f t="array" aca="1" ref="AP855" ca="1">_xlfn.XLOOKUP(Contrato5[[#This Row],[DOCUMENTO]],[2]!PERSONAL_ACTIVO_2024[[#All],[Documento identidad]],[2]!PERSONAL_ACTIVO_2024[[#All],[Mail ]],0,0)</f>
        <v>#NAME?</v>
      </c>
      <c r="AQ855" s="439" cm="1">
        <f t="array" aca="1" ref="AQ855" ca="1">IF(ISBLANK(Contrato5[[#This Row],[DEPENDENCIA ]]),0,IFERROR(_xlfn.XLOOKUP(Contrato5[[#This Row],[DEPENDENCIA ]],[2]!PERSONAL_ACTIVO_2024[[#All],[Dependencia]],[2]!PERSONAL_ACTIVO_2024[[#All],[Mail ]],0,0),0))</f>
        <v>0</v>
      </c>
    </row>
    <row r="856" spans="1:43" ht="34.5" customHeight="1">
      <c r="A856" s="147">
        <v>1210</v>
      </c>
      <c r="B856" s="124">
        <v>719</v>
      </c>
      <c r="C856" s="162" t="s">
        <v>1808</v>
      </c>
      <c r="D856" s="227" t="s">
        <v>510</v>
      </c>
      <c r="E856" s="227" t="s">
        <v>94</v>
      </c>
      <c r="F856" s="227" t="s">
        <v>255</v>
      </c>
      <c r="G856" s="281" t="s">
        <v>1098</v>
      </c>
      <c r="H856" s="436">
        <v>901105143</v>
      </c>
      <c r="I856" s="309" t="s">
        <v>42</v>
      </c>
      <c r="J856" s="445">
        <f>46270967+41274486</f>
        <v>87545453</v>
      </c>
      <c r="K856" s="413" t="s">
        <v>42</v>
      </c>
      <c r="L856" s="438" t="s">
        <v>2595</v>
      </c>
      <c r="M856" s="194" t="s">
        <v>2603</v>
      </c>
      <c r="N856" s="177" t="e" cm="1">
        <f t="array" aca="1" ref="N856" ca="1">_xlfn.XLOOKUP(Contrato5[[#This Row],[SUPERVISOR TITULAR]],[2]!PERSONAL_ACTIVO_2024[[#All],[Nombre completo]],[2]!PERSONAL_ACTIVO_2024[[#All],[Documento identidad]],"",0)</f>
        <v>#NAME?</v>
      </c>
      <c r="O856" s="194" t="s">
        <v>597</v>
      </c>
      <c r="P856" s="196" t="e" cm="1">
        <f t="array" aca="1" ref="P856" ca="1">_xlfn.XLOOKUP(Contrato5[[#This Row],[SUPERVISOR SUPLENTE ]],[2]!PERSONAL_ACTIVO_2024[[#All],[Nombre completo]],[2]!PERSONAL_ACTIVO_2024[[#All],[Documento identidad]],"",0)</f>
        <v>#NAME?</v>
      </c>
      <c r="Q856" s="301">
        <v>1031</v>
      </c>
      <c r="R856" s="137" t="e" cm="1">
        <f t="array" aca="1" ref="R856" ca="1">_xlfn.XLOOKUP(Contrato5[[#This Row],[CDP]],[2]!DISPONIBILIDADES_2024[[#All],[consecutivo]],[2]!DISPONIBILIDADES_2024[[#All],[fecha_aprobacion]],"",0)</f>
        <v>#NAME?</v>
      </c>
      <c r="S856" s="138" t="e">
        <f>SUMIF([2]!DISPONIBILIDADES_2024[[#All],[consecutivo]],Contrato5[[#This Row],[CDP]],[2]!DISPONIBILIDADES_2024[[#All],[valor_total_rubro]])</f>
        <v>#REF!</v>
      </c>
      <c r="T856" s="139" t="e" cm="1">
        <f t="array" aca="1" ref="T856" ca="1">_xlfn.XLOOKUP(Contrato5[[#This Row],[CONTRATO]]&amp;Contrato5[[#This Row],[CDP]],[2]!Corr_Contr_CDP[[#All],[CONTRATO-CDP]],[2]!Corr_Contr_CDP[[#All],[CRP]],_xlfn.XLOOKUP(Contrato5[[#This Row],[CDP]],[2]!COMPROMISOS_2024[[#All],[disponibilidad]],[2]!COMPROMISOS_2024[[#All],[consecutivo]],"",0),0)</f>
        <v>#NAME?</v>
      </c>
      <c r="U856" s="140" t="e" cm="1">
        <f t="array" aca="1" ref="U856" ca="1">+_xlfn.XLOOKUP(Contrato5[[#This Row],[RCP]],[2]!COMPROMISOS_2024[[#All],[consecutivo]],[2]!COMPROMISOS_2024[[#All],[fecha_aprobacion]],"",0)</f>
        <v>#NAME?</v>
      </c>
      <c r="V856" s="141" t="e">
        <f ca="1">SUMIF([2]!COMPROMISOS_2024[[#All],[consecutivo]],Contrato5[[#This Row],[RCP]],[2]!COMPROMISOS_2024[[#All],[valor_total]])</f>
        <v>#REF!</v>
      </c>
      <c r="W856" s="160">
        <v>45596</v>
      </c>
      <c r="X856" s="160" t="s">
        <v>1045</v>
      </c>
      <c r="Y856" s="143">
        <v>45609</v>
      </c>
      <c r="Z856" s="262">
        <v>45677</v>
      </c>
      <c r="AA856" s="171" t="s">
        <v>3223</v>
      </c>
      <c r="AB856" s="172" t="s">
        <v>500</v>
      </c>
      <c r="AC856" s="172"/>
      <c r="AD856" s="425">
        <v>202000005660</v>
      </c>
      <c r="AE856" s="147"/>
      <c r="AF856" s="148" t="str">
        <f>TEXT(LEFT(Contrato5[[#This Row],[CONTRATO]],3),"0")</f>
        <v>719</v>
      </c>
      <c r="AG856" s="148" t="str">
        <f>IF(LEN(Contrato5[[#This Row],[Contrato2]])=3,Contrato5[[#This Row],[Contrato2]],TEXT(Contrato5[[#This Row],[Contrato2]],"000"))</f>
        <v>719</v>
      </c>
      <c r="AH856" s="149">
        <f ca="1">IFERROR(_xlfn.DAYS(Contrato5[[#This Row],[Fecha Proyectada liquidación]],TODAY())/30,"")</f>
        <v>1.3</v>
      </c>
      <c r="AI856" s="150">
        <f>+Contrato5[[#This Row],[FECHA TERMINACIÓN ]]+120</f>
        <v>45797</v>
      </c>
      <c r="AJ856" s="147"/>
      <c r="AK856" s="152" t="str">
        <f ca="1">IF(Contrato5[[#This Row],[FECHA TERMINACIÓN ]]&lt;TODAY(), "Terminado",IF(ISNUMBER(Contrato5[[#This Row],[Fecha Real de liquiidación ]]),"Liquidado",IF(Contrato5[[#This Row],[FECHA TERMINACIÓN ]]&gt;=TODAY(),"En ejecución","")))</f>
        <v>Terminado</v>
      </c>
      <c r="AL856" s="153" t="e">
        <f ca="1">SUMIF([2]!COMPROMISOS_2024[[#All],[consecutivo]],Contrato5[[#This Row],[RCP]],[2]!COMPROMISOS_2024[[#All],[Total pagado]])</f>
        <v>#REF!</v>
      </c>
      <c r="AM856" s="154">
        <f ca="1">IFERROR(Contrato5[[#This Row],[Pagos]]/Contrato5[[#This Row],[VALOR CONTRATO]],0)</f>
        <v>0</v>
      </c>
      <c r="AN856" s="198" t="e">
        <f ca="1">+Contrato5[[#This Row],[VALOR CONTRATO]]-Contrato5[[#This Row],[Pagos]]</f>
        <v>#REF!</v>
      </c>
      <c r="AO856" s="147" t="e" cm="1">
        <f t="array" aca="1" ref="AO856" ca="1">_xlfn.XLOOKUP(Contrato5[[#This Row],[DOCUMENTO ]],[2]!PERSONAL_ACTIVO_2024[[#All],[Documento identidad]],[2]!PERSONAL_ACTIVO_2024[[#All],[Mail ]],0,0)</f>
        <v>#NAME?</v>
      </c>
      <c r="AP856" s="147" t="e" cm="1">
        <f t="array" aca="1" ref="AP856" ca="1">_xlfn.XLOOKUP(Contrato5[[#This Row],[DOCUMENTO]],[2]!PERSONAL_ACTIVO_2024[[#All],[Documento identidad]],[2]!PERSONAL_ACTIVO_2024[[#All],[Mail ]],0,0)</f>
        <v>#NAME?</v>
      </c>
      <c r="AQ856" s="439" cm="1">
        <f t="array" aca="1" ref="AQ856" ca="1">IF(ISBLANK(Contrato5[[#This Row],[DEPENDENCIA ]]),0,IFERROR(_xlfn.XLOOKUP(Contrato5[[#This Row],[DEPENDENCIA ]],[2]!PERSONAL_ACTIVO_2024[[#All],[Dependencia]],[2]!PERSONAL_ACTIVO_2024[[#All],[Mail ]],0,0),0))</f>
        <v>0</v>
      </c>
    </row>
    <row r="857" spans="1:43" ht="34.5" customHeight="1">
      <c r="A857" s="147" t="s">
        <v>1810</v>
      </c>
      <c r="B857" s="124">
        <v>719</v>
      </c>
      <c r="C857" s="162" t="s">
        <v>1808</v>
      </c>
      <c r="D857" s="227" t="s">
        <v>510</v>
      </c>
      <c r="E857" s="227" t="s">
        <v>94</v>
      </c>
      <c r="F857" s="227" t="s">
        <v>255</v>
      </c>
      <c r="G857" s="281" t="s">
        <v>1098</v>
      </c>
      <c r="H857" s="436">
        <v>901105143</v>
      </c>
      <c r="I857" s="273" t="s">
        <v>42</v>
      </c>
      <c r="J857" s="437">
        <v>3383120</v>
      </c>
      <c r="K857" s="413" t="s">
        <v>42</v>
      </c>
      <c r="L857" s="438" t="s">
        <v>2595</v>
      </c>
      <c r="M857" s="194" t="s">
        <v>2603</v>
      </c>
      <c r="N857" s="177" t="e" cm="1">
        <f t="array" aca="1" ref="N857" ca="1">_xlfn.XLOOKUP(Contrato5[[#This Row],[SUPERVISOR TITULAR]],[2]!PERSONAL_ACTIVO_2024[[#All],[Nombre completo]],[2]!PERSONAL_ACTIVO_2024[[#All],[Documento identidad]],"",0)</f>
        <v>#NAME?</v>
      </c>
      <c r="O857" s="194" t="s">
        <v>597</v>
      </c>
      <c r="P857" s="196" t="e" cm="1">
        <f t="array" aca="1" ref="P857" ca="1">_xlfn.XLOOKUP(Contrato5[[#This Row],[SUPERVISOR SUPLENTE ]],[2]!PERSONAL_ACTIVO_2024[[#All],[Nombre completo]],[2]!PERSONAL_ACTIVO_2024[[#All],[Documento identidad]],"",0)</f>
        <v>#NAME?</v>
      </c>
      <c r="Q857" s="170">
        <v>1078</v>
      </c>
      <c r="R857" s="137" t="e" cm="1">
        <f t="array" aca="1" ref="R857" ca="1">_xlfn.XLOOKUP(Contrato5[[#This Row],[CDP]],[2]!DISPONIBILIDADES_2024[[#All],[consecutivo]],[2]!DISPONIBILIDADES_2024[[#All],[fecha_aprobacion]],"",0)</f>
        <v>#NAME?</v>
      </c>
      <c r="S857" s="138" t="e">
        <f>SUMIF([2]!DISPONIBILIDADES_2024[[#All],[consecutivo]],Contrato5[[#This Row],[CDP]],[2]!DISPONIBILIDADES_2024[[#All],[valor_total_rubro]])</f>
        <v>#REF!</v>
      </c>
      <c r="T857" s="139" t="e" cm="1">
        <f t="array" aca="1" ref="T857" ca="1">_xlfn.XLOOKUP(Contrato5[[#This Row],[CONTRATO]]&amp;Contrato5[[#This Row],[CDP]],[2]!Corr_Contr_CDP[[#All],[CONTRATO-CDP]],[2]!Corr_Contr_CDP[[#All],[CRP]],_xlfn.XLOOKUP(Contrato5[[#This Row],[CDP]],[2]!COMPROMISOS_2024[[#All],[disponibilidad]],[2]!COMPROMISOS_2024[[#All],[consecutivo]],"",0),0)</f>
        <v>#NAME?</v>
      </c>
      <c r="U857" s="140" t="e" cm="1">
        <f t="array" aca="1" ref="U857" ca="1">+_xlfn.XLOOKUP(Contrato5[[#This Row],[RCP]],[2]!COMPROMISOS_2024[[#All],[consecutivo]],[2]!COMPROMISOS_2024[[#All],[fecha_aprobacion]],"",0)</f>
        <v>#NAME?</v>
      </c>
      <c r="V857" s="141" t="e">
        <f ca="1">SUMIF([2]!COMPROMISOS_2024[[#All],[consecutivo]],Contrato5[[#This Row],[RCP]],[2]!COMPROMISOS_2024[[#All],[valor_total]])</f>
        <v>#REF!</v>
      </c>
      <c r="W857" s="160">
        <v>45596</v>
      </c>
      <c r="X857" s="160" t="s">
        <v>1045</v>
      </c>
      <c r="Y857" s="143">
        <v>45609</v>
      </c>
      <c r="Z857" s="262">
        <v>45677</v>
      </c>
      <c r="AA857" s="171" t="s">
        <v>3223</v>
      </c>
      <c r="AB857" s="172" t="s">
        <v>500</v>
      </c>
      <c r="AC857" s="127"/>
      <c r="AD857" s="425">
        <v>202000005660</v>
      </c>
      <c r="AE857" s="147"/>
      <c r="AF857" s="148" t="str">
        <f>TEXT(LEFT(Contrato5[[#This Row],[CONTRATO]],3),"0")</f>
        <v>719</v>
      </c>
      <c r="AG857" s="148" t="str">
        <f>IF(LEN(Contrato5[[#This Row],[Contrato2]])=3,Contrato5[[#This Row],[Contrato2]],TEXT(Contrato5[[#This Row],[Contrato2]],"000"))</f>
        <v>719</v>
      </c>
      <c r="AH857" s="149">
        <f ca="1">IFERROR(_xlfn.DAYS(Contrato5[[#This Row],[Fecha Proyectada liquidación]],TODAY())/30,"")</f>
        <v>1.3</v>
      </c>
      <c r="AI857" s="150">
        <f>+Contrato5[[#This Row],[FECHA TERMINACIÓN ]]+120</f>
        <v>45797</v>
      </c>
      <c r="AJ857" s="147"/>
      <c r="AK857" s="152" t="str">
        <f ca="1">IF(Contrato5[[#This Row],[FECHA TERMINACIÓN ]]&lt;TODAY(), "Terminado",IF(ISNUMBER(Contrato5[[#This Row],[Fecha Real de liquiidación ]]),"Liquidado",IF(Contrato5[[#This Row],[FECHA TERMINACIÓN ]]&gt;=TODAY(),"En ejecución","")))</f>
        <v>Terminado</v>
      </c>
      <c r="AL857" s="153" t="e">
        <f ca="1">SUMIF([2]!COMPROMISOS_2024[[#All],[consecutivo]],Contrato5[[#This Row],[RCP]],[2]!COMPROMISOS_2024[[#All],[Total pagado]])</f>
        <v>#REF!</v>
      </c>
      <c r="AM857" s="154">
        <f ca="1">IFERROR(Contrato5[[#This Row],[Pagos]]/Contrato5[[#This Row],[VALOR CONTRATO]],0)</f>
        <v>0</v>
      </c>
      <c r="AN857" s="198" t="e">
        <f ca="1">+Contrato5[[#This Row],[VALOR CONTRATO]]-Contrato5[[#This Row],[Pagos]]</f>
        <v>#REF!</v>
      </c>
      <c r="AO857" s="147" t="e" cm="1">
        <f t="array" aca="1" ref="AO857" ca="1">_xlfn.XLOOKUP(Contrato5[[#This Row],[DOCUMENTO ]],[2]!PERSONAL_ACTIVO_2024[[#All],[Documento identidad]],[2]!PERSONAL_ACTIVO_2024[[#All],[Mail ]],0,0)</f>
        <v>#NAME?</v>
      </c>
      <c r="AP857" s="147" t="e" cm="1">
        <f t="array" aca="1" ref="AP857" ca="1">_xlfn.XLOOKUP(Contrato5[[#This Row],[DOCUMENTO]],[2]!PERSONAL_ACTIVO_2024[[#All],[Documento identidad]],[2]!PERSONAL_ACTIVO_2024[[#All],[Mail ]],0,0)</f>
        <v>#NAME?</v>
      </c>
      <c r="AQ857" s="439" cm="1">
        <f t="array" aca="1" ref="AQ857" ca="1">IF(ISBLANK(Contrato5[[#This Row],[DEPENDENCIA ]]),0,IFERROR(_xlfn.XLOOKUP(Contrato5[[#This Row],[DEPENDENCIA ]],[2]!PERSONAL_ACTIVO_2024[[#All],[Dependencia]],[2]!PERSONAL_ACTIVO_2024[[#All],[Mail ]],0,0),0))</f>
        <v>0</v>
      </c>
    </row>
    <row r="858" spans="1:43" ht="34.5" customHeight="1">
      <c r="A858" s="147">
        <v>1096</v>
      </c>
      <c r="B858" s="124">
        <v>720</v>
      </c>
      <c r="C858" s="162" t="s">
        <v>2133</v>
      </c>
      <c r="D858" s="227" t="s">
        <v>583</v>
      </c>
      <c r="E858" s="227" t="s">
        <v>898</v>
      </c>
      <c r="F858" s="227" t="s">
        <v>1376</v>
      </c>
      <c r="G858" s="281" t="s">
        <v>3224</v>
      </c>
      <c r="H858" s="436">
        <v>70522067</v>
      </c>
      <c r="I858" s="309">
        <v>2574842</v>
      </c>
      <c r="J858" s="445">
        <v>4205575</v>
      </c>
      <c r="K858" s="413" t="s">
        <v>42</v>
      </c>
      <c r="L858" s="438" t="s">
        <v>2595</v>
      </c>
      <c r="M858" s="194" t="s">
        <v>586</v>
      </c>
      <c r="N858" s="177" t="e" cm="1">
        <f t="array" aca="1" ref="N858" ca="1">_xlfn.XLOOKUP(Contrato5[[#This Row],[SUPERVISOR TITULAR]],[2]!PERSONAL_ACTIVO_2024[[#All],[Nombre completo]],[2]!PERSONAL_ACTIVO_2024[[#All],[Documento identidad]],"",0)</f>
        <v>#NAME?</v>
      </c>
      <c r="O858" s="194" t="s">
        <v>589</v>
      </c>
      <c r="P858" s="196" t="e" cm="1">
        <f t="array" aca="1" ref="P858" ca="1">_xlfn.XLOOKUP(Contrato5[[#This Row],[SUPERVISOR SUPLENTE ]],[2]!PERSONAL_ACTIVO_2024[[#All],[Nombre completo]],[2]!PERSONAL_ACTIVO_2024[[#All],[Documento identidad]],"",0)</f>
        <v>#NAME?</v>
      </c>
      <c r="Q858" s="170">
        <v>883</v>
      </c>
      <c r="R858" s="137" t="e" cm="1">
        <f t="array" aca="1" ref="R858" ca="1">_xlfn.XLOOKUP(Contrato5[[#This Row],[CDP]],[2]!DISPONIBILIDADES_2024[[#All],[consecutivo]],[2]!DISPONIBILIDADES_2024[[#All],[fecha_aprobacion]],"",0)</f>
        <v>#NAME?</v>
      </c>
      <c r="S858" s="138" t="e">
        <f>SUMIF([2]!DISPONIBILIDADES_2024[[#All],[consecutivo]],Contrato5[[#This Row],[CDP]],[2]!DISPONIBILIDADES_2024[[#All],[valor_total_rubro]])</f>
        <v>#REF!</v>
      </c>
      <c r="T858" s="139" t="e" cm="1">
        <f t="array" aca="1" ref="T858" ca="1">_xlfn.XLOOKUP(Contrato5[[#This Row],[CONTRATO]]&amp;Contrato5[[#This Row],[CDP]],[2]!Corr_Contr_CDP[[#All],[CONTRATO-CDP]],[2]!Corr_Contr_CDP[[#All],[CRP]],_xlfn.XLOOKUP(Contrato5[[#This Row],[CDP]],[2]!COMPROMISOS_2024[[#All],[disponibilidad]],[2]!COMPROMISOS_2024[[#All],[consecutivo]],"",0),0)</f>
        <v>#NAME?</v>
      </c>
      <c r="U858" s="140" t="e" cm="1">
        <f t="array" aca="1" ref="U858" ca="1">+_xlfn.XLOOKUP(Contrato5[[#This Row],[RCP]],[2]!COMPROMISOS_2024[[#All],[consecutivo]],[2]!COMPROMISOS_2024[[#All],[fecha_aprobacion]],"",0)</f>
        <v>#NAME?</v>
      </c>
      <c r="V858" s="141" t="e">
        <f ca="1">SUMIF([2]!COMPROMISOS_2024[[#All],[consecutivo]],Contrato5[[#This Row],[RCP]],[2]!COMPROMISOS_2024[[#All],[valor_total]])</f>
        <v>#REF!</v>
      </c>
      <c r="W858" s="160">
        <v>45595</v>
      </c>
      <c r="X858" s="160" t="s">
        <v>1045</v>
      </c>
      <c r="Y858" s="143">
        <v>45597</v>
      </c>
      <c r="Z858" s="262">
        <v>45643</v>
      </c>
      <c r="AA858" s="171" t="s">
        <v>3225</v>
      </c>
      <c r="AB858" s="172" t="s">
        <v>3226</v>
      </c>
      <c r="AC858" s="172"/>
      <c r="AD858" s="425">
        <v>202000005661</v>
      </c>
      <c r="AE858" s="147"/>
      <c r="AF858" s="148" t="str">
        <f>TEXT(LEFT(Contrato5[[#This Row],[CONTRATO]],3),"0")</f>
        <v>720</v>
      </c>
      <c r="AG858" s="148" t="str">
        <f>IF(LEN(Contrato5[[#This Row],[Contrato2]])=3,Contrato5[[#This Row],[Contrato2]],TEXT(Contrato5[[#This Row],[Contrato2]],"000"))</f>
        <v>720</v>
      </c>
      <c r="AH858" s="149">
        <f ca="1">IFERROR(_xlfn.DAYS(Contrato5[[#This Row],[Fecha Proyectada liquidación]],TODAY())/30,"")</f>
        <v>0.16666666666666666</v>
      </c>
      <c r="AI858" s="150">
        <f>+Contrato5[[#This Row],[FECHA TERMINACIÓN ]]+120</f>
        <v>45763</v>
      </c>
      <c r="AJ858" s="147"/>
      <c r="AK858" s="152" t="str">
        <f ca="1">IF(Contrato5[[#This Row],[FECHA TERMINACIÓN ]]&lt;TODAY(), "Terminado",IF(ISNUMBER(Contrato5[[#This Row],[Fecha Real de liquiidación ]]),"Liquidado",IF(Contrato5[[#This Row],[FECHA TERMINACIÓN ]]&gt;=TODAY(),"En ejecución","")))</f>
        <v>Terminado</v>
      </c>
      <c r="AL858" s="153" t="e">
        <f ca="1">SUMIF([2]!COMPROMISOS_2024[[#All],[consecutivo]],Contrato5[[#This Row],[RCP]],[2]!COMPROMISOS_2024[[#All],[Total pagado]])</f>
        <v>#REF!</v>
      </c>
      <c r="AM858" s="154">
        <f ca="1">IFERROR(Contrato5[[#This Row],[Pagos]]/Contrato5[[#This Row],[VALOR CONTRATO]],0)</f>
        <v>0</v>
      </c>
      <c r="AN858" s="198" t="e">
        <f ca="1">+Contrato5[[#This Row],[VALOR CONTRATO]]-Contrato5[[#This Row],[Pagos]]</f>
        <v>#REF!</v>
      </c>
      <c r="AO858" s="147" t="e" cm="1">
        <f t="array" aca="1" ref="AO858" ca="1">_xlfn.XLOOKUP(Contrato5[[#This Row],[DOCUMENTO ]],[2]!PERSONAL_ACTIVO_2024[[#All],[Documento identidad]],[2]!PERSONAL_ACTIVO_2024[[#All],[Mail ]],0,0)</f>
        <v>#NAME?</v>
      </c>
      <c r="AP858" s="147" t="e" cm="1">
        <f t="array" aca="1" ref="AP858" ca="1">_xlfn.XLOOKUP(Contrato5[[#This Row],[DOCUMENTO]],[2]!PERSONAL_ACTIVO_2024[[#All],[Documento identidad]],[2]!PERSONAL_ACTIVO_2024[[#All],[Mail ]],0,0)</f>
        <v>#NAME?</v>
      </c>
      <c r="AQ858" s="439" cm="1">
        <f t="array" aca="1" ref="AQ858" ca="1">IF(ISBLANK(Contrato5[[#This Row],[DEPENDENCIA ]]),0,IFERROR(_xlfn.XLOOKUP(Contrato5[[#This Row],[DEPENDENCIA ]],[2]!PERSONAL_ACTIVO_2024[[#All],[Dependencia]],[2]!PERSONAL_ACTIVO_2024[[#All],[Mail ]],0,0),0))</f>
        <v>0</v>
      </c>
    </row>
    <row r="859" spans="1:43" ht="34.5" customHeight="1">
      <c r="A859" s="147">
        <v>1255</v>
      </c>
      <c r="B859" s="124">
        <v>721</v>
      </c>
      <c r="C859" s="162" t="s">
        <v>2426</v>
      </c>
      <c r="D859" s="227" t="s">
        <v>493</v>
      </c>
      <c r="E859" s="227" t="s">
        <v>898</v>
      </c>
      <c r="F859" s="227" t="s">
        <v>1376</v>
      </c>
      <c r="G859" s="281" t="s">
        <v>3227</v>
      </c>
      <c r="H859" s="436">
        <v>1035971812</v>
      </c>
      <c r="I859" s="309">
        <v>3250000</v>
      </c>
      <c r="J859" s="445">
        <v>6500000</v>
      </c>
      <c r="K859" s="413" t="s">
        <v>42</v>
      </c>
      <c r="L859" s="438" t="s">
        <v>2445</v>
      </c>
      <c r="M859" s="194" t="s">
        <v>568</v>
      </c>
      <c r="N859" s="177" t="e" cm="1">
        <f t="array" aca="1" ref="N859" ca="1">_xlfn.XLOOKUP(Contrato5[[#This Row],[SUPERVISOR TITULAR]],[2]!PERSONAL_ACTIVO_2024[[#All],[Nombre completo]],[2]!PERSONAL_ACTIVO_2024[[#All],[Documento identidad]],"",0)</f>
        <v>#NAME?</v>
      </c>
      <c r="O859" s="194" t="s">
        <v>569</v>
      </c>
      <c r="P859" s="196" t="e" cm="1">
        <f t="array" aca="1" ref="P859" ca="1">_xlfn.XLOOKUP(Contrato5[[#This Row],[SUPERVISOR SUPLENTE ]],[2]!PERSONAL_ACTIVO_2024[[#All],[Nombre completo]],[2]!PERSONAL_ACTIVO_2024[[#All],[Documento identidad]],"",0)</f>
        <v>#NAME?</v>
      </c>
      <c r="Q859" s="170">
        <v>1083</v>
      </c>
      <c r="R859" s="137" t="e" cm="1">
        <f t="array" aca="1" ref="R859" ca="1">_xlfn.XLOOKUP(Contrato5[[#This Row],[CDP]],[2]!DISPONIBILIDADES_2024[[#All],[consecutivo]],[2]!DISPONIBILIDADES_2024[[#All],[fecha_aprobacion]],"",0)</f>
        <v>#NAME?</v>
      </c>
      <c r="S859" s="138" t="e">
        <f>SUMIF([2]!DISPONIBILIDADES_2024[[#All],[consecutivo]],Contrato5[[#This Row],[CDP]],[2]!DISPONIBILIDADES_2024[[#All],[valor_total_rubro]])</f>
        <v>#REF!</v>
      </c>
      <c r="T859" s="139" t="e" cm="1">
        <f t="array" aca="1" ref="T859" ca="1">_xlfn.XLOOKUP(Contrato5[[#This Row],[CONTRATO]]&amp;Contrato5[[#This Row],[CDP]],[2]!Corr_Contr_CDP[[#All],[CONTRATO-CDP]],[2]!Corr_Contr_CDP[[#All],[CRP]],_xlfn.XLOOKUP(Contrato5[[#This Row],[CDP]],[2]!COMPROMISOS_2024[[#All],[disponibilidad]],[2]!COMPROMISOS_2024[[#All],[consecutivo]],"",0),0)</f>
        <v>#NAME?</v>
      </c>
      <c r="U859" s="140" t="e" cm="1">
        <f t="array" aca="1" ref="U859" ca="1">+_xlfn.XLOOKUP(Contrato5[[#This Row],[RCP]],[2]!COMPROMISOS_2024[[#All],[consecutivo]],[2]!COMPROMISOS_2024[[#All],[fecha_aprobacion]],"",0)</f>
        <v>#NAME?</v>
      </c>
      <c r="V859" s="141" t="e">
        <f ca="1">SUMIF([2]!COMPROMISOS_2024[[#All],[consecutivo]],Contrato5[[#This Row],[RCP]],[2]!COMPROMISOS_2024[[#All],[valor_total]])</f>
        <v>#REF!</v>
      </c>
      <c r="W859" s="160">
        <v>45604</v>
      </c>
      <c r="X859" s="160" t="s">
        <v>1045</v>
      </c>
      <c r="Y859" s="143">
        <v>45608</v>
      </c>
      <c r="Z859" s="262">
        <v>45657</v>
      </c>
      <c r="AA859" s="171" t="s">
        <v>3228</v>
      </c>
      <c r="AB859" s="172" t="s">
        <v>3229</v>
      </c>
      <c r="AC859" s="172"/>
      <c r="AD859" s="425">
        <v>202000005662</v>
      </c>
      <c r="AE859" s="147"/>
      <c r="AF859" s="148" t="str">
        <f>TEXT(LEFT(Contrato5[[#This Row],[CONTRATO]],3),"0")</f>
        <v>721</v>
      </c>
      <c r="AG859" s="148" t="str">
        <f>IF(LEN(Contrato5[[#This Row],[Contrato2]])=3,Contrato5[[#This Row],[Contrato2]],TEXT(Contrato5[[#This Row],[Contrato2]],"000"))</f>
        <v>721</v>
      </c>
      <c r="AH859" s="149">
        <f ca="1">IFERROR(_xlfn.DAYS(Contrato5[[#This Row],[Fecha Proyectada liquidación]],TODAY())/30,"")</f>
        <v>0.6333333333333333</v>
      </c>
      <c r="AI859" s="150">
        <f>+Contrato5[[#This Row],[FECHA TERMINACIÓN ]]+120</f>
        <v>45777</v>
      </c>
      <c r="AJ859" s="147"/>
      <c r="AK859" s="152" t="str">
        <f ca="1">IF(Contrato5[[#This Row],[FECHA TERMINACIÓN ]]&lt;TODAY(), "Terminado",IF(ISNUMBER(Contrato5[[#This Row],[Fecha Real de liquiidación ]]),"Liquidado",IF(Contrato5[[#This Row],[FECHA TERMINACIÓN ]]&gt;=TODAY(),"En ejecución","")))</f>
        <v>Terminado</v>
      </c>
      <c r="AL859" s="153" t="e">
        <f ca="1">SUMIF([2]!COMPROMISOS_2024[[#All],[consecutivo]],Contrato5[[#This Row],[RCP]],[2]!COMPROMISOS_2024[[#All],[Total pagado]])</f>
        <v>#REF!</v>
      </c>
      <c r="AM859" s="154">
        <f ca="1">IFERROR(Contrato5[[#This Row],[Pagos]]/Contrato5[[#This Row],[VALOR CONTRATO]],0)</f>
        <v>0</v>
      </c>
      <c r="AN859" s="198" t="e">
        <f ca="1">+Contrato5[[#This Row],[VALOR CONTRATO]]-Contrato5[[#This Row],[Pagos]]</f>
        <v>#REF!</v>
      </c>
      <c r="AO859" s="147" t="e" cm="1">
        <f t="array" aca="1" ref="AO859" ca="1">_xlfn.XLOOKUP(Contrato5[[#This Row],[DOCUMENTO ]],[2]!PERSONAL_ACTIVO_2024[[#All],[Documento identidad]],[2]!PERSONAL_ACTIVO_2024[[#All],[Mail ]],0,0)</f>
        <v>#NAME?</v>
      </c>
      <c r="AP859" s="147" t="e" cm="1">
        <f t="array" aca="1" ref="AP859" ca="1">_xlfn.XLOOKUP(Contrato5[[#This Row],[DOCUMENTO]],[2]!PERSONAL_ACTIVO_2024[[#All],[Documento identidad]],[2]!PERSONAL_ACTIVO_2024[[#All],[Mail ]],0,0)</f>
        <v>#NAME?</v>
      </c>
      <c r="AQ859" s="439" cm="1">
        <f t="array" aca="1" ref="AQ859" ca="1">IF(ISBLANK(Contrato5[[#This Row],[DEPENDENCIA ]]),0,IFERROR(_xlfn.XLOOKUP(Contrato5[[#This Row],[DEPENDENCIA ]],[2]!PERSONAL_ACTIVO_2024[[#All],[Dependencia]],[2]!PERSONAL_ACTIVO_2024[[#All],[Mail ]],0,0),0))</f>
        <v>0</v>
      </c>
    </row>
    <row r="860" spans="1:43" ht="34.5" customHeight="1">
      <c r="A860" s="147">
        <v>1239</v>
      </c>
      <c r="B860" s="124">
        <v>722</v>
      </c>
      <c r="C860" s="162" t="s">
        <v>2334</v>
      </c>
      <c r="D860" s="227" t="s">
        <v>515</v>
      </c>
      <c r="E860" s="227" t="s">
        <v>94</v>
      </c>
      <c r="F860" s="227" t="s">
        <v>255</v>
      </c>
      <c r="G860" s="281" t="s">
        <v>3103</v>
      </c>
      <c r="H860" s="436">
        <v>900266892</v>
      </c>
      <c r="I860" s="309" t="s">
        <v>42</v>
      </c>
      <c r="J860" s="445">
        <v>786446024</v>
      </c>
      <c r="K860" s="131" t="s">
        <v>3230</v>
      </c>
      <c r="L860" s="438" t="s">
        <v>2445</v>
      </c>
      <c r="M860" s="194" t="s">
        <v>894</v>
      </c>
      <c r="N860" s="177" t="e" cm="1">
        <f t="array" aca="1" ref="N860" ca="1">_xlfn.XLOOKUP(Contrato5[[#This Row],[SUPERVISOR TITULAR]],[2]!PERSONAL_ACTIVO_2024[[#All],[Nombre completo]],[2]!PERSONAL_ACTIVO_2024[[#All],[Documento identidad]],"",0)</f>
        <v>#NAME?</v>
      </c>
      <c r="O860" s="194" t="s">
        <v>823</v>
      </c>
      <c r="P860" s="196" t="e" cm="1">
        <f t="array" aca="1" ref="P860" ca="1">_xlfn.XLOOKUP(Contrato5[[#This Row],[SUPERVISOR SUPLENTE ]],[2]!PERSONAL_ACTIVO_2024[[#All],[Nombre completo]],[2]!PERSONAL_ACTIVO_2024[[#All],[Documento identidad]],"",0)</f>
        <v>#NAME?</v>
      </c>
      <c r="Q860" s="170">
        <v>1088</v>
      </c>
      <c r="R860" s="137" t="e" cm="1">
        <f t="array" aca="1" ref="R860" ca="1">_xlfn.XLOOKUP(Contrato5[[#This Row],[CDP]],[2]!DISPONIBILIDADES_2024[[#All],[consecutivo]],[2]!DISPONIBILIDADES_2024[[#All],[fecha_aprobacion]],"",0)</f>
        <v>#NAME?</v>
      </c>
      <c r="S860" s="138" t="e">
        <f>SUMIF([2]!DISPONIBILIDADES_2024[[#All],[consecutivo]],Contrato5[[#This Row],[CDP]],[2]!DISPONIBILIDADES_2024[[#All],[valor_total_rubro]])</f>
        <v>#REF!</v>
      </c>
      <c r="T860" s="139" t="e" cm="1">
        <f t="array" aca="1" ref="T860" ca="1">_xlfn.XLOOKUP(Contrato5[[#This Row],[CONTRATO]]&amp;Contrato5[[#This Row],[CDP]],[2]!Corr_Contr_CDP[[#All],[CONTRATO-CDP]],[2]!Corr_Contr_CDP[[#All],[CRP]],_xlfn.XLOOKUP(Contrato5[[#This Row],[CDP]],[2]!COMPROMISOS_2024[[#All],[disponibilidad]],[2]!COMPROMISOS_2024[[#All],[consecutivo]],"",0),0)</f>
        <v>#NAME?</v>
      </c>
      <c r="U860" s="140" t="e" cm="1">
        <f t="array" aca="1" ref="U860" ca="1">+_xlfn.XLOOKUP(Contrato5[[#This Row],[RCP]],[2]!COMPROMISOS_2024[[#All],[consecutivo]],[2]!COMPROMISOS_2024[[#All],[fecha_aprobacion]],"",0)</f>
        <v>#NAME?</v>
      </c>
      <c r="V860" s="141" t="e">
        <f ca="1">SUMIF([2]!COMPROMISOS_2024[[#All],[consecutivo]],Contrato5[[#This Row],[RCP]],[2]!COMPROMISOS_2024[[#All],[valor_total]])</f>
        <v>#REF!</v>
      </c>
      <c r="W860" s="160">
        <v>45602</v>
      </c>
      <c r="X860" s="161">
        <v>45602</v>
      </c>
      <c r="Y860" s="143">
        <v>45602</v>
      </c>
      <c r="Z860" s="262">
        <v>45657</v>
      </c>
      <c r="AA860" s="171" t="s">
        <v>3231</v>
      </c>
      <c r="AB860" s="172" t="s">
        <v>2610</v>
      </c>
      <c r="AC860" s="172"/>
      <c r="AD860" s="425">
        <v>202000005663</v>
      </c>
      <c r="AE860" s="147"/>
      <c r="AF860" s="148" t="str">
        <f>TEXT(LEFT(Contrato5[[#This Row],[CONTRATO]],3),"0")</f>
        <v>722</v>
      </c>
      <c r="AG860" s="148" t="str">
        <f>IF(LEN(Contrato5[[#This Row],[Contrato2]])=3,Contrato5[[#This Row],[Contrato2]],TEXT(Contrato5[[#This Row],[Contrato2]],"000"))</f>
        <v>722</v>
      </c>
      <c r="AH860" s="149">
        <f ca="1">IFERROR(_xlfn.DAYS(Contrato5[[#This Row],[Fecha Proyectada liquidación]],TODAY())/30,"")</f>
        <v>0.6333333333333333</v>
      </c>
      <c r="AI860" s="150">
        <f>+Contrato5[[#This Row],[FECHA TERMINACIÓN ]]+120</f>
        <v>45777</v>
      </c>
      <c r="AJ860" s="147"/>
      <c r="AK860" s="152" t="str">
        <f ca="1">IF(Contrato5[[#This Row],[FECHA TERMINACIÓN ]]&lt;TODAY(), "Terminado",IF(ISNUMBER(Contrato5[[#This Row],[Fecha Real de liquiidación ]]),"Liquidado",IF(Contrato5[[#This Row],[FECHA TERMINACIÓN ]]&gt;=TODAY(),"En ejecución","")))</f>
        <v>Terminado</v>
      </c>
      <c r="AL860" s="153" t="e">
        <f ca="1">SUMIF([2]!COMPROMISOS_2024[[#All],[consecutivo]],Contrato5[[#This Row],[RCP]],[2]!COMPROMISOS_2024[[#All],[Total pagado]])</f>
        <v>#REF!</v>
      </c>
      <c r="AM860" s="154">
        <f ca="1">IFERROR(Contrato5[[#This Row],[Pagos]]/Contrato5[[#This Row],[VALOR CONTRATO]],0)</f>
        <v>0</v>
      </c>
      <c r="AN860" s="198" t="e">
        <f ca="1">+Contrato5[[#This Row],[VALOR CONTRATO]]-Contrato5[[#This Row],[Pagos]]</f>
        <v>#REF!</v>
      </c>
      <c r="AO860" s="147" t="e" cm="1">
        <f t="array" aca="1" ref="AO860" ca="1">_xlfn.XLOOKUP(Contrato5[[#This Row],[DOCUMENTO ]],[2]!PERSONAL_ACTIVO_2024[[#All],[Documento identidad]],[2]!PERSONAL_ACTIVO_2024[[#All],[Mail ]],0,0)</f>
        <v>#NAME?</v>
      </c>
      <c r="AP860" s="147" t="e" cm="1">
        <f t="array" aca="1" ref="AP860" ca="1">_xlfn.XLOOKUP(Contrato5[[#This Row],[DOCUMENTO]],[2]!PERSONAL_ACTIVO_2024[[#All],[Documento identidad]],[2]!PERSONAL_ACTIVO_2024[[#All],[Mail ]],0,0)</f>
        <v>#NAME?</v>
      </c>
      <c r="AQ860" s="439" cm="1">
        <f t="array" aca="1" ref="AQ860" ca="1">IF(ISBLANK(Contrato5[[#This Row],[DEPENDENCIA ]]),0,IFERROR(_xlfn.XLOOKUP(Contrato5[[#This Row],[DEPENDENCIA ]],[2]!PERSONAL_ACTIVO_2024[[#All],[Dependencia]],[2]!PERSONAL_ACTIVO_2024[[#All],[Mail ]],0,0),0))</f>
        <v>0</v>
      </c>
    </row>
    <row r="861" spans="1:43" ht="34.5" customHeight="1">
      <c r="A861" s="147">
        <v>1253</v>
      </c>
      <c r="B861" s="124">
        <v>723</v>
      </c>
      <c r="C861" s="162" t="s">
        <v>2408</v>
      </c>
      <c r="D861" s="227" t="s">
        <v>515</v>
      </c>
      <c r="E861" s="227" t="s">
        <v>898</v>
      </c>
      <c r="F861" s="227" t="s">
        <v>1376</v>
      </c>
      <c r="G861" s="281" t="s">
        <v>3232</v>
      </c>
      <c r="H861" s="436">
        <v>8155451</v>
      </c>
      <c r="I861" s="309">
        <v>8450000</v>
      </c>
      <c r="J861" s="445">
        <v>16900000</v>
      </c>
      <c r="K861" s="131" t="s">
        <v>3233</v>
      </c>
      <c r="L861" s="438" t="s">
        <v>2445</v>
      </c>
      <c r="M861" s="194" t="s">
        <v>823</v>
      </c>
      <c r="N861" s="177" t="e" cm="1">
        <f t="array" aca="1" ref="N861" ca="1">_xlfn.XLOOKUP(Contrato5[[#This Row],[SUPERVISOR TITULAR]],[2]!PERSONAL_ACTIVO_2024[[#All],[Nombre completo]],[2]!PERSONAL_ACTIVO_2024[[#All],[Documento identidad]],"",0)</f>
        <v>#NAME?</v>
      </c>
      <c r="O861" s="194" t="s">
        <v>822</v>
      </c>
      <c r="P861" s="196" t="e" cm="1">
        <f t="array" aca="1" ref="P861" ca="1">_xlfn.XLOOKUP(Contrato5[[#This Row],[SUPERVISOR SUPLENTE ]],[2]!PERSONAL_ACTIVO_2024[[#All],[Nombre completo]],[2]!PERSONAL_ACTIVO_2024[[#All],[Documento identidad]],"",0)</f>
        <v>#NAME?</v>
      </c>
      <c r="Q861" s="170">
        <v>1081</v>
      </c>
      <c r="R861" s="137" t="e" cm="1">
        <f t="array" aca="1" ref="R861" ca="1">_xlfn.XLOOKUP(Contrato5[[#This Row],[CDP]],[2]!DISPONIBILIDADES_2024[[#All],[consecutivo]],[2]!DISPONIBILIDADES_2024[[#All],[fecha_aprobacion]],"",0)</f>
        <v>#NAME?</v>
      </c>
      <c r="S861" s="138" t="e">
        <f>SUMIF([2]!DISPONIBILIDADES_2024[[#All],[consecutivo]],Contrato5[[#This Row],[CDP]],[2]!DISPONIBILIDADES_2024[[#All],[valor_total_rubro]])</f>
        <v>#REF!</v>
      </c>
      <c r="T861" s="139" t="e" cm="1">
        <f t="array" aca="1" ref="T861" ca="1">_xlfn.XLOOKUP(Contrato5[[#This Row],[CONTRATO]]&amp;Contrato5[[#This Row],[CDP]],[2]!Corr_Contr_CDP[[#All],[CONTRATO-CDP]],[2]!Corr_Contr_CDP[[#All],[CRP]],_xlfn.XLOOKUP(Contrato5[[#This Row],[CDP]],[2]!COMPROMISOS_2024[[#All],[disponibilidad]],[2]!COMPROMISOS_2024[[#All],[consecutivo]],"",0),0)</f>
        <v>#NAME?</v>
      </c>
      <c r="U861" s="140" t="e" cm="1">
        <f t="array" aca="1" ref="U861" ca="1">+_xlfn.XLOOKUP(Contrato5[[#This Row],[RCP]],[2]!COMPROMISOS_2024[[#All],[consecutivo]],[2]!COMPROMISOS_2024[[#All],[fecha_aprobacion]],"",0)</f>
        <v>#NAME?</v>
      </c>
      <c r="V861" s="141" t="e">
        <f ca="1">SUMIF([2]!COMPROMISOS_2024[[#All],[consecutivo]],Contrato5[[#This Row],[RCP]],[2]!COMPROMISOS_2024[[#All],[valor_total]])</f>
        <v>#REF!</v>
      </c>
      <c r="W861" s="160">
        <v>45602</v>
      </c>
      <c r="X861" s="160" t="s">
        <v>1045</v>
      </c>
      <c r="Y861" s="143">
        <v>45604</v>
      </c>
      <c r="Z861" s="593">
        <v>45656</v>
      </c>
      <c r="AA861" s="171" t="s">
        <v>3234</v>
      </c>
      <c r="AB861" s="172" t="s">
        <v>3229</v>
      </c>
      <c r="AC861" s="172"/>
      <c r="AD861" s="425">
        <v>202000005664</v>
      </c>
      <c r="AE861" s="147"/>
      <c r="AF861" s="148" t="str">
        <f>TEXT(LEFT(Contrato5[[#This Row],[CONTRATO]],3),"0")</f>
        <v>723</v>
      </c>
      <c r="AG861" s="148" t="str">
        <f>IF(LEN(Contrato5[[#This Row],[Contrato2]])=3,Contrato5[[#This Row],[Contrato2]],TEXT(Contrato5[[#This Row],[Contrato2]],"000"))</f>
        <v>723</v>
      </c>
      <c r="AH861" s="149">
        <f ca="1">IFERROR(_xlfn.DAYS(Contrato5[[#This Row],[Fecha Proyectada liquidación]],TODAY())/30,"")</f>
        <v>0.6</v>
      </c>
      <c r="AI861" s="150">
        <f>+Contrato5[[#This Row],[FECHA TERMINACIÓN ]]+120</f>
        <v>45776</v>
      </c>
      <c r="AJ861" s="147"/>
      <c r="AK861" s="152" t="str">
        <f ca="1">IF(Contrato5[[#This Row],[FECHA TERMINACIÓN ]]&lt;TODAY(), "Terminado",IF(ISNUMBER(Contrato5[[#This Row],[Fecha Real de liquiidación ]]),"Liquidado",IF(Contrato5[[#This Row],[FECHA TERMINACIÓN ]]&gt;=TODAY(),"En ejecución","")))</f>
        <v>Terminado</v>
      </c>
      <c r="AL861" s="153" t="e">
        <f ca="1">SUMIF([2]!COMPROMISOS_2024[[#All],[consecutivo]],Contrato5[[#This Row],[RCP]],[2]!COMPROMISOS_2024[[#All],[Total pagado]])</f>
        <v>#REF!</v>
      </c>
      <c r="AM861" s="154">
        <f ca="1">IFERROR(Contrato5[[#This Row],[Pagos]]/Contrato5[[#This Row],[VALOR CONTRATO]],0)</f>
        <v>0</v>
      </c>
      <c r="AN861" s="198" t="e">
        <f ca="1">+Contrato5[[#This Row],[VALOR CONTRATO]]-Contrato5[[#This Row],[Pagos]]</f>
        <v>#REF!</v>
      </c>
      <c r="AO861" s="147" t="e" cm="1">
        <f t="array" aca="1" ref="AO861" ca="1">_xlfn.XLOOKUP(Contrato5[[#This Row],[DOCUMENTO ]],[2]!PERSONAL_ACTIVO_2024[[#All],[Documento identidad]],[2]!PERSONAL_ACTIVO_2024[[#All],[Mail ]],0,0)</f>
        <v>#NAME?</v>
      </c>
      <c r="AP861" s="147" t="e" cm="1">
        <f t="array" aca="1" ref="AP861" ca="1">_xlfn.XLOOKUP(Contrato5[[#This Row],[DOCUMENTO]],[2]!PERSONAL_ACTIVO_2024[[#All],[Documento identidad]],[2]!PERSONAL_ACTIVO_2024[[#All],[Mail ]],0,0)</f>
        <v>#NAME?</v>
      </c>
      <c r="AQ861" s="439" cm="1">
        <f t="array" aca="1" ref="AQ861" ca="1">IF(ISBLANK(Contrato5[[#This Row],[DEPENDENCIA ]]),0,IFERROR(_xlfn.XLOOKUP(Contrato5[[#This Row],[DEPENDENCIA ]],[2]!PERSONAL_ACTIVO_2024[[#All],[Dependencia]],[2]!PERSONAL_ACTIVO_2024[[#All],[Mail ]],0,0),0))</f>
        <v>0</v>
      </c>
    </row>
    <row r="862" spans="1:43" ht="34.5" customHeight="1">
      <c r="A862" s="147">
        <v>1252</v>
      </c>
      <c r="B862" s="124">
        <v>724</v>
      </c>
      <c r="C862" s="162" t="s">
        <v>2136</v>
      </c>
      <c r="D862" s="227" t="s">
        <v>583</v>
      </c>
      <c r="E862" s="227" t="s">
        <v>898</v>
      </c>
      <c r="F862" s="227" t="s">
        <v>1376</v>
      </c>
      <c r="G862" s="281" t="s">
        <v>3235</v>
      </c>
      <c r="H862" s="436">
        <v>71629972</v>
      </c>
      <c r="I862" s="165">
        <v>3250000</v>
      </c>
      <c r="J862" s="445">
        <v>5958333</v>
      </c>
      <c r="K862" s="413" t="s">
        <v>42</v>
      </c>
      <c r="L862" s="438" t="s">
        <v>2683</v>
      </c>
      <c r="M862" s="194" t="s">
        <v>605</v>
      </c>
      <c r="N862" s="177" t="e" cm="1">
        <f t="array" aca="1" ref="N862" ca="1">_xlfn.XLOOKUP(Contrato5[[#This Row],[SUPERVISOR TITULAR]],[2]!PERSONAL_ACTIVO_2024[[#All],[Nombre completo]],[2]!PERSONAL_ACTIVO_2024[[#All],[Documento identidad]],"",0)</f>
        <v>#NAME?</v>
      </c>
      <c r="O862" s="194" t="s">
        <v>880</v>
      </c>
      <c r="P862" s="196" t="e" cm="1">
        <f t="array" aca="1" ref="P862" ca="1">_xlfn.XLOOKUP(Contrato5[[#This Row],[SUPERVISOR SUPLENTE ]],[2]!PERSONAL_ACTIVO_2024[[#All],[Nombre completo]],[2]!PERSONAL_ACTIVO_2024[[#All],[Documento identidad]],"",0)</f>
        <v>#NAME?</v>
      </c>
      <c r="Q862" s="170">
        <v>1125</v>
      </c>
      <c r="R862" s="137" t="e" cm="1">
        <f t="array" aca="1" ref="R862" ca="1">_xlfn.XLOOKUP(Contrato5[[#This Row],[CDP]],[2]!DISPONIBILIDADES_2024[[#All],[consecutivo]],[2]!DISPONIBILIDADES_2024[[#All],[fecha_aprobacion]],"",0)</f>
        <v>#NAME?</v>
      </c>
      <c r="S862" s="138" t="e">
        <f>SUMIF([2]!DISPONIBILIDADES_2024[[#All],[consecutivo]],Contrato5[[#This Row],[CDP]],[2]!DISPONIBILIDADES_2024[[#All],[valor_total_rubro]])</f>
        <v>#REF!</v>
      </c>
      <c r="T862" s="139" t="e" cm="1">
        <f t="array" aca="1" ref="T862" ca="1">_xlfn.XLOOKUP(Contrato5[[#This Row],[CONTRATO]]&amp;Contrato5[[#This Row],[CDP]],[2]!Corr_Contr_CDP[[#All],[CONTRATO-CDP]],[2]!Corr_Contr_CDP[[#All],[CRP]],_xlfn.XLOOKUP(Contrato5[[#This Row],[CDP]],[2]!COMPROMISOS_2024[[#All],[disponibilidad]],[2]!COMPROMISOS_2024[[#All],[consecutivo]],"",0),0)</f>
        <v>#NAME?</v>
      </c>
      <c r="U862" s="140" t="e" cm="1">
        <f t="array" aca="1" ref="U862" ca="1">+_xlfn.XLOOKUP(Contrato5[[#This Row],[RCP]],[2]!COMPROMISOS_2024[[#All],[consecutivo]],[2]!COMPROMISOS_2024[[#All],[fecha_aprobacion]],"",0)</f>
        <v>#NAME?</v>
      </c>
      <c r="V862" s="141" t="e">
        <f ca="1">SUMIF([2]!COMPROMISOS_2024[[#All],[consecutivo]],Contrato5[[#This Row],[RCP]],[2]!COMPROMISOS_2024[[#All],[valor_total]])</f>
        <v>#REF!</v>
      </c>
      <c r="W862" s="160">
        <v>45603</v>
      </c>
      <c r="X862" s="160" t="s">
        <v>1045</v>
      </c>
      <c r="Y862" s="143">
        <v>45603</v>
      </c>
      <c r="Z862" s="262">
        <v>45657</v>
      </c>
      <c r="AA862" s="171" t="s">
        <v>3236</v>
      </c>
      <c r="AB862" s="172" t="s">
        <v>2610</v>
      </c>
      <c r="AC862" s="172"/>
      <c r="AD862" s="425">
        <v>202000005665</v>
      </c>
      <c r="AE862" s="147"/>
      <c r="AF862" s="148" t="str">
        <f>TEXT(LEFT(Contrato5[[#This Row],[CONTRATO]],3),"0")</f>
        <v>724</v>
      </c>
      <c r="AG862" s="148" t="str">
        <f>IF(LEN(Contrato5[[#This Row],[Contrato2]])=3,Contrato5[[#This Row],[Contrato2]],TEXT(Contrato5[[#This Row],[Contrato2]],"000"))</f>
        <v>724</v>
      </c>
      <c r="AH862" s="149">
        <f ca="1">IFERROR(_xlfn.DAYS(Contrato5[[#This Row],[Fecha Proyectada liquidación]],TODAY())/30,"")</f>
        <v>0.6333333333333333</v>
      </c>
      <c r="AI862" s="150">
        <f>+Contrato5[[#This Row],[FECHA TERMINACIÓN ]]+120</f>
        <v>45777</v>
      </c>
      <c r="AJ862" s="147"/>
      <c r="AK862" s="152" t="str">
        <f ca="1">IF(Contrato5[[#This Row],[FECHA TERMINACIÓN ]]&lt;TODAY(), "Terminado",IF(ISNUMBER(Contrato5[[#This Row],[Fecha Real de liquiidación ]]),"Liquidado",IF(Contrato5[[#This Row],[FECHA TERMINACIÓN ]]&gt;=TODAY(),"En ejecución","")))</f>
        <v>Terminado</v>
      </c>
      <c r="AL862" s="153" t="e">
        <f ca="1">SUMIF([2]!COMPROMISOS_2024[[#All],[consecutivo]],Contrato5[[#This Row],[RCP]],[2]!COMPROMISOS_2024[[#All],[Total pagado]])</f>
        <v>#REF!</v>
      </c>
      <c r="AM862" s="154">
        <f ca="1">IFERROR(Contrato5[[#This Row],[Pagos]]/Contrato5[[#This Row],[VALOR CONTRATO]],0)</f>
        <v>0</v>
      </c>
      <c r="AN862" s="198" t="e">
        <f ca="1">+Contrato5[[#This Row],[VALOR CONTRATO]]-Contrato5[[#This Row],[Pagos]]</f>
        <v>#REF!</v>
      </c>
      <c r="AO862" s="147" t="e" cm="1">
        <f t="array" aca="1" ref="AO862" ca="1">_xlfn.XLOOKUP(Contrato5[[#This Row],[DOCUMENTO ]],[2]!PERSONAL_ACTIVO_2024[[#All],[Documento identidad]],[2]!PERSONAL_ACTIVO_2024[[#All],[Mail ]],0,0)</f>
        <v>#NAME?</v>
      </c>
      <c r="AP862" s="147" t="e" cm="1">
        <f t="array" aca="1" ref="AP862" ca="1">_xlfn.XLOOKUP(Contrato5[[#This Row],[DOCUMENTO]],[2]!PERSONAL_ACTIVO_2024[[#All],[Documento identidad]],[2]!PERSONAL_ACTIVO_2024[[#All],[Mail ]],0,0)</f>
        <v>#NAME?</v>
      </c>
      <c r="AQ862" s="439" cm="1">
        <f t="array" aca="1" ref="AQ862" ca="1">IF(ISBLANK(Contrato5[[#This Row],[DEPENDENCIA ]]),0,IFERROR(_xlfn.XLOOKUP(Contrato5[[#This Row],[DEPENDENCIA ]],[2]!PERSONAL_ACTIVO_2024[[#All],[Dependencia]],[2]!PERSONAL_ACTIVO_2024[[#All],[Mail ]],0,0),0))</f>
        <v>0</v>
      </c>
    </row>
    <row r="863" spans="1:43" ht="34.5" customHeight="1">
      <c r="A863" s="147">
        <v>1251</v>
      </c>
      <c r="B863" s="124">
        <v>725</v>
      </c>
      <c r="C863" s="162" t="s">
        <v>2136</v>
      </c>
      <c r="D863" s="227" t="s">
        <v>583</v>
      </c>
      <c r="E863" s="227" t="s">
        <v>898</v>
      </c>
      <c r="F863" s="227" t="s">
        <v>1376</v>
      </c>
      <c r="G863" s="281" t="s">
        <v>3237</v>
      </c>
      <c r="H863" s="436">
        <v>71394945</v>
      </c>
      <c r="I863" s="165">
        <v>3250000</v>
      </c>
      <c r="J863" s="445">
        <v>5958333</v>
      </c>
      <c r="K863" s="413" t="s">
        <v>42</v>
      </c>
      <c r="L863" s="438" t="s">
        <v>2683</v>
      </c>
      <c r="M863" s="194" t="s">
        <v>880</v>
      </c>
      <c r="N863" s="177" t="e" cm="1">
        <f t="array" aca="1" ref="N863" ca="1">_xlfn.XLOOKUP(Contrato5[[#This Row],[SUPERVISOR TITULAR]],[2]!PERSONAL_ACTIVO_2024[[#All],[Nombre completo]],[2]!PERSONAL_ACTIVO_2024[[#All],[Documento identidad]],"",0)</f>
        <v>#NAME?</v>
      </c>
      <c r="O863" s="194" t="s">
        <v>605</v>
      </c>
      <c r="P863" s="196" t="e" cm="1">
        <f t="array" aca="1" ref="P863" ca="1">_xlfn.XLOOKUP(Contrato5[[#This Row],[SUPERVISOR SUPLENTE ]],[2]!PERSONAL_ACTIVO_2024[[#All],[Nombre completo]],[2]!PERSONAL_ACTIVO_2024[[#All],[Documento identidad]],"",0)</f>
        <v>#NAME?</v>
      </c>
      <c r="Q863" s="170">
        <v>1069</v>
      </c>
      <c r="R863" s="137" t="e" cm="1">
        <f t="array" aca="1" ref="R863" ca="1">_xlfn.XLOOKUP(Contrato5[[#This Row],[CDP]],[2]!DISPONIBILIDADES_2024[[#All],[consecutivo]],[2]!DISPONIBILIDADES_2024[[#All],[fecha_aprobacion]],"",0)</f>
        <v>#NAME?</v>
      </c>
      <c r="S863" s="138" t="e">
        <f>SUMIF([2]!DISPONIBILIDADES_2024[[#All],[consecutivo]],Contrato5[[#This Row],[CDP]],[2]!DISPONIBILIDADES_2024[[#All],[valor_total_rubro]])</f>
        <v>#REF!</v>
      </c>
      <c r="T863" s="139" t="e" cm="1">
        <f t="array" aca="1" ref="T863" ca="1">_xlfn.XLOOKUP(Contrato5[[#This Row],[CONTRATO]]&amp;Contrato5[[#This Row],[CDP]],[2]!Corr_Contr_CDP[[#All],[CONTRATO-CDP]],[2]!Corr_Contr_CDP[[#All],[CRP]],_xlfn.XLOOKUP(Contrato5[[#This Row],[CDP]],[2]!COMPROMISOS_2024[[#All],[disponibilidad]],[2]!COMPROMISOS_2024[[#All],[consecutivo]],"",0),0)</f>
        <v>#NAME?</v>
      </c>
      <c r="U863" s="140" t="e" cm="1">
        <f t="array" aca="1" ref="U863" ca="1">+_xlfn.XLOOKUP(Contrato5[[#This Row],[RCP]],[2]!COMPROMISOS_2024[[#All],[consecutivo]],[2]!COMPROMISOS_2024[[#All],[fecha_aprobacion]],"",0)</f>
        <v>#NAME?</v>
      </c>
      <c r="V863" s="141" t="e">
        <f ca="1">SUMIF([2]!COMPROMISOS_2024[[#All],[consecutivo]],Contrato5[[#This Row],[RCP]],[2]!COMPROMISOS_2024[[#All],[valor_total]])</f>
        <v>#REF!</v>
      </c>
      <c r="W863" s="160">
        <v>45603</v>
      </c>
      <c r="X863" s="160" t="s">
        <v>1045</v>
      </c>
      <c r="Y863" s="143">
        <v>45604</v>
      </c>
      <c r="Z863" s="262">
        <v>45657</v>
      </c>
      <c r="AA863" s="171" t="s">
        <v>3238</v>
      </c>
      <c r="AB863" s="172" t="s">
        <v>2610</v>
      </c>
      <c r="AC863" s="172"/>
      <c r="AD863" s="425">
        <v>202000005666</v>
      </c>
      <c r="AE863" s="147"/>
      <c r="AF863" s="148" t="str">
        <f>TEXT(LEFT(Contrato5[[#This Row],[CONTRATO]],3),"0")</f>
        <v>725</v>
      </c>
      <c r="AG863" s="148" t="str">
        <f>IF(LEN(Contrato5[[#This Row],[Contrato2]])=3,Contrato5[[#This Row],[Contrato2]],TEXT(Contrato5[[#This Row],[Contrato2]],"000"))</f>
        <v>725</v>
      </c>
      <c r="AH863" s="149">
        <f ca="1">IFERROR(_xlfn.DAYS(Contrato5[[#This Row],[Fecha Proyectada liquidación]],TODAY())/30,"")</f>
        <v>0.6333333333333333</v>
      </c>
      <c r="AI863" s="150">
        <f>+Contrato5[[#This Row],[FECHA TERMINACIÓN ]]+120</f>
        <v>45777</v>
      </c>
      <c r="AJ863" s="147"/>
      <c r="AK863" s="152" t="str">
        <f ca="1">IF(Contrato5[[#This Row],[FECHA TERMINACIÓN ]]&lt;TODAY(), "Terminado",IF(ISNUMBER(Contrato5[[#This Row],[Fecha Real de liquiidación ]]),"Liquidado",IF(Contrato5[[#This Row],[FECHA TERMINACIÓN ]]&gt;=TODAY(),"En ejecución","")))</f>
        <v>Terminado</v>
      </c>
      <c r="AL863" s="153" t="e">
        <f ca="1">SUMIF([2]!COMPROMISOS_2024[[#All],[consecutivo]],Contrato5[[#This Row],[RCP]],[2]!COMPROMISOS_2024[[#All],[Total pagado]])</f>
        <v>#REF!</v>
      </c>
      <c r="AM863" s="154">
        <f ca="1">IFERROR(Contrato5[[#This Row],[Pagos]]/Contrato5[[#This Row],[VALOR CONTRATO]],0)</f>
        <v>0</v>
      </c>
      <c r="AN863" s="198" t="e">
        <f ca="1">+Contrato5[[#This Row],[VALOR CONTRATO]]-Contrato5[[#This Row],[Pagos]]</f>
        <v>#REF!</v>
      </c>
      <c r="AO863" s="147" t="e" cm="1">
        <f t="array" aca="1" ref="AO863" ca="1">_xlfn.XLOOKUP(Contrato5[[#This Row],[DOCUMENTO ]],[2]!PERSONAL_ACTIVO_2024[[#All],[Documento identidad]],[2]!PERSONAL_ACTIVO_2024[[#All],[Mail ]],0,0)</f>
        <v>#NAME?</v>
      </c>
      <c r="AP863" s="147" t="e" cm="1">
        <f t="array" aca="1" ref="AP863" ca="1">_xlfn.XLOOKUP(Contrato5[[#This Row],[DOCUMENTO]],[2]!PERSONAL_ACTIVO_2024[[#All],[Documento identidad]],[2]!PERSONAL_ACTIVO_2024[[#All],[Mail ]],0,0)</f>
        <v>#NAME?</v>
      </c>
      <c r="AQ863" s="439" cm="1">
        <f t="array" aca="1" ref="AQ863" ca="1">IF(ISBLANK(Contrato5[[#This Row],[DEPENDENCIA ]]),0,IFERROR(_xlfn.XLOOKUP(Contrato5[[#This Row],[DEPENDENCIA ]],[2]!PERSONAL_ACTIVO_2024[[#All],[Dependencia]],[2]!PERSONAL_ACTIVO_2024[[#All],[Mail ]],0,0),0))</f>
        <v>0</v>
      </c>
    </row>
    <row r="864" spans="1:43" ht="34.5" customHeight="1">
      <c r="A864" s="147">
        <v>1258</v>
      </c>
      <c r="B864" s="124">
        <v>726</v>
      </c>
      <c r="C864" s="162" t="s">
        <v>2118</v>
      </c>
      <c r="D864" s="227" t="s">
        <v>583</v>
      </c>
      <c r="E864" s="227" t="s">
        <v>898</v>
      </c>
      <c r="F864" s="227" t="s">
        <v>1767</v>
      </c>
      <c r="G864" s="281" t="s">
        <v>3239</v>
      </c>
      <c r="H864" s="436">
        <v>890984031</v>
      </c>
      <c r="I864" s="309" t="s">
        <v>42</v>
      </c>
      <c r="J864" s="445">
        <v>100000000</v>
      </c>
      <c r="K864" s="413" t="s">
        <v>42</v>
      </c>
      <c r="L864" s="438" t="s">
        <v>2683</v>
      </c>
      <c r="M864" s="194" t="s">
        <v>589</v>
      </c>
      <c r="N864" s="177" t="e" cm="1">
        <f t="array" aca="1" ref="N864" ca="1">_xlfn.XLOOKUP(Contrato5[[#This Row],[SUPERVISOR TITULAR]],[2]!PERSONAL_ACTIVO_2024[[#All],[Nombre completo]],[2]!PERSONAL_ACTIVO_2024[[#All],[Documento identidad]],"",0)</f>
        <v>#NAME?</v>
      </c>
      <c r="O864" s="194" t="s">
        <v>586</v>
      </c>
      <c r="P864" s="196" t="e" cm="1">
        <f t="array" aca="1" ref="P864" ca="1">_xlfn.XLOOKUP(Contrato5[[#This Row],[SUPERVISOR SUPLENTE ]],[2]!PERSONAL_ACTIVO_2024[[#All],[Nombre completo]],[2]!PERSONAL_ACTIVO_2024[[#All],[Documento identidad]],"",0)</f>
        <v>#NAME?</v>
      </c>
      <c r="Q864" s="170">
        <v>1104</v>
      </c>
      <c r="R864" s="137" t="e" cm="1">
        <f t="array" aca="1" ref="R864" ca="1">_xlfn.XLOOKUP(Contrato5[[#This Row],[CDP]],[2]!DISPONIBILIDADES_2024[[#All],[consecutivo]],[2]!DISPONIBILIDADES_2024[[#All],[fecha_aprobacion]],"",0)</f>
        <v>#NAME?</v>
      </c>
      <c r="S864" s="138" t="e">
        <f>SUMIF([2]!DISPONIBILIDADES_2024[[#All],[consecutivo]],Contrato5[[#This Row],[CDP]],[2]!DISPONIBILIDADES_2024[[#All],[valor_total_rubro]])</f>
        <v>#REF!</v>
      </c>
      <c r="T864" s="139" t="e" cm="1">
        <f t="array" aca="1" ref="T864" ca="1">_xlfn.XLOOKUP(Contrato5[[#This Row],[CONTRATO]]&amp;Contrato5[[#This Row],[CDP]],[2]!Corr_Contr_CDP[[#All],[CONTRATO-CDP]],[2]!Corr_Contr_CDP[[#All],[CRP]],_xlfn.XLOOKUP(Contrato5[[#This Row],[CDP]],[2]!COMPROMISOS_2024[[#All],[disponibilidad]],[2]!COMPROMISOS_2024[[#All],[consecutivo]],"",0),0)</f>
        <v>#NAME?</v>
      </c>
      <c r="U864" s="140" t="e" cm="1">
        <f t="array" aca="1" ref="U864" ca="1">+_xlfn.XLOOKUP(Contrato5[[#This Row],[RCP]],[2]!COMPROMISOS_2024[[#All],[consecutivo]],[2]!COMPROMISOS_2024[[#All],[fecha_aprobacion]],"",0)</f>
        <v>#NAME?</v>
      </c>
      <c r="V864" s="141" t="e">
        <f ca="1">SUMIF([2]!COMPROMISOS_2024[[#All],[consecutivo]],Contrato5[[#This Row],[RCP]],[2]!COMPROMISOS_2024[[#All],[valor_total]])</f>
        <v>#REF!</v>
      </c>
      <c r="W864" s="160">
        <v>45610</v>
      </c>
      <c r="X864" s="161">
        <v>45610</v>
      </c>
      <c r="Y864" s="143">
        <v>45610</v>
      </c>
      <c r="Z864" s="262">
        <v>45656</v>
      </c>
      <c r="AA864" s="171" t="s">
        <v>3240</v>
      </c>
      <c r="AB864" s="172" t="s">
        <v>3241</v>
      </c>
      <c r="AC864" s="172"/>
      <c r="AD864" s="425">
        <v>202000005667</v>
      </c>
      <c r="AE864" s="147"/>
      <c r="AF864" s="148" t="str">
        <f>TEXT(LEFT(Contrato5[[#This Row],[CONTRATO]],3),"0")</f>
        <v>726</v>
      </c>
      <c r="AG864" s="148" t="str">
        <f>IF(LEN(Contrato5[[#This Row],[Contrato2]])=3,Contrato5[[#This Row],[Contrato2]],TEXT(Contrato5[[#This Row],[Contrato2]],"000"))</f>
        <v>726</v>
      </c>
      <c r="AH864" s="149">
        <f ca="1">IFERROR(_xlfn.DAYS(Contrato5[[#This Row],[Fecha Proyectada liquidación]],TODAY())/30,"")</f>
        <v>0.6</v>
      </c>
      <c r="AI864" s="150">
        <f>+Contrato5[[#This Row],[FECHA TERMINACIÓN ]]+120</f>
        <v>45776</v>
      </c>
      <c r="AJ864" s="147"/>
      <c r="AK864" s="152" t="str">
        <f ca="1">IF(Contrato5[[#This Row],[FECHA TERMINACIÓN ]]&lt;TODAY(), "Terminado",IF(ISNUMBER(Contrato5[[#This Row],[Fecha Real de liquiidación ]]),"Liquidado",IF(Contrato5[[#This Row],[FECHA TERMINACIÓN ]]&gt;=TODAY(),"En ejecución","")))</f>
        <v>Terminado</v>
      </c>
      <c r="AL864" s="153" t="e">
        <f ca="1">SUMIF([2]!COMPROMISOS_2024[[#All],[consecutivo]],Contrato5[[#This Row],[RCP]],[2]!COMPROMISOS_2024[[#All],[Total pagado]])</f>
        <v>#REF!</v>
      </c>
      <c r="AM864" s="154">
        <f ca="1">IFERROR(Contrato5[[#This Row],[Pagos]]/Contrato5[[#This Row],[VALOR CONTRATO]],0)</f>
        <v>0</v>
      </c>
      <c r="AN864" s="198" t="e">
        <f ca="1">+Contrato5[[#This Row],[VALOR CONTRATO]]-Contrato5[[#This Row],[Pagos]]</f>
        <v>#REF!</v>
      </c>
      <c r="AO864" s="147" t="e" cm="1">
        <f t="array" aca="1" ref="AO864" ca="1">_xlfn.XLOOKUP(Contrato5[[#This Row],[DOCUMENTO ]],[2]!PERSONAL_ACTIVO_2024[[#All],[Documento identidad]],[2]!PERSONAL_ACTIVO_2024[[#All],[Mail ]],0,0)</f>
        <v>#NAME?</v>
      </c>
      <c r="AP864" s="147" t="e" cm="1">
        <f t="array" aca="1" ref="AP864" ca="1">_xlfn.XLOOKUP(Contrato5[[#This Row],[DOCUMENTO]],[2]!PERSONAL_ACTIVO_2024[[#All],[Documento identidad]],[2]!PERSONAL_ACTIVO_2024[[#All],[Mail ]],0,0)</f>
        <v>#NAME?</v>
      </c>
      <c r="AQ864" s="439" cm="1">
        <f t="array" aca="1" ref="AQ864" ca="1">IF(ISBLANK(Contrato5[[#This Row],[DEPENDENCIA ]]),0,IFERROR(_xlfn.XLOOKUP(Contrato5[[#This Row],[DEPENDENCIA ]],[2]!PERSONAL_ACTIVO_2024[[#All],[Dependencia]],[2]!PERSONAL_ACTIVO_2024[[#All],[Mail ]],0,0),0))</f>
        <v>0</v>
      </c>
    </row>
    <row r="865" spans="1:43" ht="34.5" customHeight="1">
      <c r="A865" s="147">
        <v>1260</v>
      </c>
      <c r="B865" s="124">
        <v>727</v>
      </c>
      <c r="C865" s="162" t="s">
        <v>2390</v>
      </c>
      <c r="D865" s="227" t="s">
        <v>515</v>
      </c>
      <c r="E865" s="227" t="s">
        <v>94</v>
      </c>
      <c r="F865" s="227" t="s">
        <v>494</v>
      </c>
      <c r="G865" s="281" t="s">
        <v>3242</v>
      </c>
      <c r="H865" s="436">
        <v>811021812</v>
      </c>
      <c r="I865" s="309" t="s">
        <v>42</v>
      </c>
      <c r="J865" s="445">
        <v>700000000</v>
      </c>
      <c r="K865" s="413" t="s">
        <v>42</v>
      </c>
      <c r="L865" s="438" t="s">
        <v>2683</v>
      </c>
      <c r="M865" s="194" t="s">
        <v>954</v>
      </c>
      <c r="N865" s="177" t="e" cm="1">
        <f t="array" aca="1" ref="N865" ca="1">_xlfn.XLOOKUP(Contrato5[[#This Row],[SUPERVISOR TITULAR]],[2]!PERSONAL_ACTIVO_2024[[#All],[Nombre completo]],[2]!PERSONAL_ACTIVO_2024[[#All],[Documento identidad]],"",0)</f>
        <v>#NAME?</v>
      </c>
      <c r="O865" s="194" t="s">
        <v>853</v>
      </c>
      <c r="P865" s="196" t="e" cm="1">
        <f t="array" aca="1" ref="P865" ca="1">_xlfn.XLOOKUP(Contrato5[[#This Row],[SUPERVISOR SUPLENTE ]],[2]!PERSONAL_ACTIVO_2024[[#All],[Nombre completo]],[2]!PERSONAL_ACTIVO_2024[[#All],[Documento identidad]],"",0)</f>
        <v>#NAME?</v>
      </c>
      <c r="Q865" s="170">
        <v>1094</v>
      </c>
      <c r="R865" s="137" t="e" cm="1">
        <f t="array" aca="1" ref="R865" ca="1">_xlfn.XLOOKUP(Contrato5[[#This Row],[CDP]],[2]!DISPONIBILIDADES_2024[[#All],[consecutivo]],[2]!DISPONIBILIDADES_2024[[#All],[fecha_aprobacion]],"",0)</f>
        <v>#NAME?</v>
      </c>
      <c r="S865" s="138" t="e">
        <f>SUMIF([2]!DISPONIBILIDADES_2024[[#All],[consecutivo]],Contrato5[[#This Row],[CDP]],[2]!DISPONIBILIDADES_2024[[#All],[valor_total_rubro]])</f>
        <v>#REF!</v>
      </c>
      <c r="T865" s="139" t="e" cm="1">
        <f t="array" aca="1" ref="T865" ca="1">_xlfn.XLOOKUP(Contrato5[[#This Row],[CONTRATO]]&amp;Contrato5[[#This Row],[CDP]],[2]!Corr_Contr_CDP[[#All],[CONTRATO-CDP]],[2]!Corr_Contr_CDP[[#All],[CRP]],_xlfn.XLOOKUP(Contrato5[[#This Row],[CDP]],[2]!COMPROMISOS_2024[[#All],[disponibilidad]],[2]!COMPROMISOS_2024[[#All],[consecutivo]],"",0),0)</f>
        <v>#NAME?</v>
      </c>
      <c r="U865" s="140" t="e" cm="1">
        <f t="array" aca="1" ref="U865" ca="1">+_xlfn.XLOOKUP(Contrato5[[#This Row],[RCP]],[2]!COMPROMISOS_2024[[#All],[consecutivo]],[2]!COMPROMISOS_2024[[#All],[fecha_aprobacion]],"",0)</f>
        <v>#NAME?</v>
      </c>
      <c r="V865" s="141" t="e">
        <f ca="1">SUMIF([2]!COMPROMISOS_2024[[#All],[consecutivo]],Contrato5[[#This Row],[RCP]],[2]!COMPROMISOS_2024[[#All],[valor_total]])</f>
        <v>#REF!</v>
      </c>
      <c r="W865" s="160">
        <v>45611</v>
      </c>
      <c r="X865" s="161">
        <v>45614</v>
      </c>
      <c r="Y865" s="143">
        <v>45614</v>
      </c>
      <c r="Z865" s="262">
        <v>45656</v>
      </c>
      <c r="AA865" s="171" t="s">
        <v>3243</v>
      </c>
      <c r="AB865" s="172" t="s">
        <v>3241</v>
      </c>
      <c r="AC865" s="172"/>
      <c r="AD865" s="425">
        <v>202000005668</v>
      </c>
      <c r="AE865" s="147"/>
      <c r="AF865" s="148" t="str">
        <f>TEXT(LEFT(Contrato5[[#This Row],[CONTRATO]],3),"0")</f>
        <v>727</v>
      </c>
      <c r="AG865" s="148" t="str">
        <f>IF(LEN(Contrato5[[#This Row],[Contrato2]])=3,Contrato5[[#This Row],[Contrato2]],TEXT(Contrato5[[#This Row],[Contrato2]],"000"))</f>
        <v>727</v>
      </c>
      <c r="AH865" s="149">
        <f ca="1">IFERROR(_xlfn.DAYS(Contrato5[[#This Row],[Fecha Proyectada liquidación]],TODAY())/30,"")</f>
        <v>0.6</v>
      </c>
      <c r="AI865" s="150">
        <f>+Contrato5[[#This Row],[FECHA TERMINACIÓN ]]+120</f>
        <v>45776</v>
      </c>
      <c r="AJ865" s="147"/>
      <c r="AK865" s="152" t="str">
        <f ca="1">IF(Contrato5[[#This Row],[FECHA TERMINACIÓN ]]&lt;TODAY(), "Terminado",IF(ISNUMBER(Contrato5[[#This Row],[Fecha Real de liquiidación ]]),"Liquidado",IF(Contrato5[[#This Row],[FECHA TERMINACIÓN ]]&gt;=TODAY(),"En ejecución","")))</f>
        <v>Terminado</v>
      </c>
      <c r="AL865" s="153" t="e">
        <f ca="1">SUMIF([2]!COMPROMISOS_2024[[#All],[consecutivo]],Contrato5[[#This Row],[RCP]],[2]!COMPROMISOS_2024[[#All],[Total pagado]])</f>
        <v>#REF!</v>
      </c>
      <c r="AM865" s="154">
        <f ca="1">IFERROR(Contrato5[[#This Row],[Pagos]]/Contrato5[[#This Row],[VALOR CONTRATO]],0)</f>
        <v>0</v>
      </c>
      <c r="AN865" s="198" t="e">
        <f ca="1">+Contrato5[[#This Row],[VALOR CONTRATO]]-Contrato5[[#This Row],[Pagos]]</f>
        <v>#REF!</v>
      </c>
      <c r="AO865" s="147" t="e" cm="1">
        <f t="array" aca="1" ref="AO865" ca="1">_xlfn.XLOOKUP(Contrato5[[#This Row],[DOCUMENTO ]],[2]!PERSONAL_ACTIVO_2024[[#All],[Documento identidad]],[2]!PERSONAL_ACTIVO_2024[[#All],[Mail ]],0,0)</f>
        <v>#NAME?</v>
      </c>
      <c r="AP865" s="147" t="e" cm="1">
        <f t="array" aca="1" ref="AP865" ca="1">_xlfn.XLOOKUP(Contrato5[[#This Row],[DOCUMENTO]],[2]!PERSONAL_ACTIVO_2024[[#All],[Documento identidad]],[2]!PERSONAL_ACTIVO_2024[[#All],[Mail ]],0,0)</f>
        <v>#NAME?</v>
      </c>
      <c r="AQ865" s="439" cm="1">
        <f t="array" aca="1" ref="AQ865" ca="1">IF(ISBLANK(Contrato5[[#This Row],[DEPENDENCIA ]]),0,IFERROR(_xlfn.XLOOKUP(Contrato5[[#This Row],[DEPENDENCIA ]],[2]!PERSONAL_ACTIVO_2024[[#All],[Dependencia]],[2]!PERSONAL_ACTIVO_2024[[#All],[Mail ]],0,0),0))</f>
        <v>0</v>
      </c>
    </row>
    <row r="866" spans="1:43" ht="34.5" customHeight="1">
      <c r="A866" s="147">
        <v>1292</v>
      </c>
      <c r="B866" s="124">
        <v>728</v>
      </c>
      <c r="C866" s="162" t="s">
        <v>2422</v>
      </c>
      <c r="D866" s="227" t="s">
        <v>515</v>
      </c>
      <c r="E866" s="227" t="s">
        <v>94</v>
      </c>
      <c r="F866" s="227" t="s">
        <v>255</v>
      </c>
      <c r="G866" s="281" t="s">
        <v>3244</v>
      </c>
      <c r="H866" s="282">
        <v>890982641</v>
      </c>
      <c r="I866" s="309" t="s">
        <v>42</v>
      </c>
      <c r="J866" s="445">
        <v>428629018</v>
      </c>
      <c r="K866" s="131" t="s">
        <v>3245</v>
      </c>
      <c r="L866" s="438" t="s">
        <v>3246</v>
      </c>
      <c r="M866" s="194" t="s">
        <v>910</v>
      </c>
      <c r="N866" s="177" t="e" cm="1">
        <f t="array" aca="1" ref="N866" ca="1">_xlfn.XLOOKUP(Contrato5[[#This Row],[SUPERVISOR TITULAR]],[2]!PERSONAL_ACTIVO_2024[[#All],[Nombre completo]],[2]!PERSONAL_ACTIVO_2024[[#All],[Documento identidad]],"",0)</f>
        <v>#NAME?</v>
      </c>
      <c r="O866" s="194" t="s">
        <v>520</v>
      </c>
      <c r="P866" s="196" t="e" cm="1">
        <f t="array" aca="1" ref="P866" ca="1">_xlfn.XLOOKUP(Contrato5[[#This Row],[SUPERVISOR SUPLENTE ]],[2]!PERSONAL_ACTIVO_2024[[#All],[Nombre completo]],[2]!PERSONAL_ACTIVO_2024[[#All],[Documento identidad]],"",0)</f>
        <v>#NAME?</v>
      </c>
      <c r="Q866" s="170">
        <v>1137</v>
      </c>
      <c r="R866" s="137" t="e" cm="1">
        <f t="array" aca="1" ref="R866" ca="1">_xlfn.XLOOKUP(Contrato5[[#This Row],[CDP]],[2]!DISPONIBILIDADES_2024[[#All],[consecutivo]],[2]!DISPONIBILIDADES_2024[[#All],[fecha_aprobacion]],"",0)</f>
        <v>#NAME?</v>
      </c>
      <c r="S866" s="138" t="e">
        <f>SUMIF([2]!DISPONIBILIDADES_2024[[#All],[consecutivo]],Contrato5[[#This Row],[CDP]],[2]!DISPONIBILIDADES_2024[[#All],[valor_total_rubro]])</f>
        <v>#REF!</v>
      </c>
      <c r="T866" s="139" t="e" cm="1">
        <f t="array" aca="1" ref="T866" ca="1">_xlfn.XLOOKUP(Contrato5[[#This Row],[CONTRATO]]&amp;Contrato5[[#This Row],[CDP]],[2]!Corr_Contr_CDP[[#All],[CONTRATO-CDP]],[2]!Corr_Contr_CDP[[#All],[CRP]],_xlfn.XLOOKUP(Contrato5[[#This Row],[CDP]],[2]!COMPROMISOS_2024[[#All],[disponibilidad]],[2]!COMPROMISOS_2024[[#All],[consecutivo]],"",0),0)</f>
        <v>#NAME?</v>
      </c>
      <c r="U866" s="140" t="e" cm="1">
        <f t="array" aca="1" ref="U866" ca="1">+_xlfn.XLOOKUP(Contrato5[[#This Row],[RCP]],[2]!COMPROMISOS_2024[[#All],[consecutivo]],[2]!COMPROMISOS_2024[[#All],[fecha_aprobacion]],"",0)</f>
        <v>#NAME?</v>
      </c>
      <c r="V866" s="141" t="e">
        <f ca="1">SUMIF([2]!COMPROMISOS_2024[[#All],[consecutivo]],Contrato5[[#This Row],[RCP]],[2]!COMPROMISOS_2024[[#All],[valor_total]])</f>
        <v>#REF!</v>
      </c>
      <c r="W866" s="160">
        <v>45609</v>
      </c>
      <c r="X866" s="161">
        <v>45611</v>
      </c>
      <c r="Y866" s="143">
        <v>45611</v>
      </c>
      <c r="Z866" s="262">
        <v>45657</v>
      </c>
      <c r="AA866" s="171" t="s">
        <v>3247</v>
      </c>
      <c r="AB866" s="172" t="s">
        <v>3248</v>
      </c>
      <c r="AC866" s="172"/>
      <c r="AD866" s="425">
        <v>202000005669</v>
      </c>
      <c r="AE866" s="147"/>
      <c r="AF866" s="148" t="str">
        <f>TEXT(LEFT(Contrato5[[#This Row],[CONTRATO]],3),"0")</f>
        <v>728</v>
      </c>
      <c r="AG866" s="148" t="str">
        <f>IF(LEN(Contrato5[[#This Row],[Contrato2]])=3,Contrato5[[#This Row],[Contrato2]],TEXT(Contrato5[[#This Row],[Contrato2]],"000"))</f>
        <v>728</v>
      </c>
      <c r="AH866" s="149">
        <f ca="1">IFERROR(_xlfn.DAYS(Contrato5[[#This Row],[Fecha Proyectada liquidación]],TODAY())/30,"")</f>
        <v>0.6333333333333333</v>
      </c>
      <c r="AI866" s="150">
        <f>+Contrato5[[#This Row],[FECHA TERMINACIÓN ]]+120</f>
        <v>45777</v>
      </c>
      <c r="AJ866" s="147"/>
      <c r="AK866" s="152" t="str">
        <f ca="1">IF(Contrato5[[#This Row],[FECHA TERMINACIÓN ]]&lt;TODAY(), "Terminado",IF(ISNUMBER(Contrato5[[#This Row],[Fecha Real de liquiidación ]]),"Liquidado",IF(Contrato5[[#This Row],[FECHA TERMINACIÓN ]]&gt;=TODAY(),"En ejecución","")))</f>
        <v>Terminado</v>
      </c>
      <c r="AL866" s="153" t="e">
        <f ca="1">SUMIF([2]!COMPROMISOS_2024[[#All],[consecutivo]],Contrato5[[#This Row],[RCP]],[2]!COMPROMISOS_2024[[#All],[Total pagado]])</f>
        <v>#REF!</v>
      </c>
      <c r="AM866" s="154">
        <f ca="1">IFERROR(Contrato5[[#This Row],[Pagos]]/Contrato5[[#This Row],[VALOR CONTRATO]],0)</f>
        <v>0</v>
      </c>
      <c r="AN866" s="198" t="e">
        <f ca="1">+Contrato5[[#This Row],[VALOR CONTRATO]]-Contrato5[[#This Row],[Pagos]]</f>
        <v>#REF!</v>
      </c>
      <c r="AO866" s="147" t="e" cm="1">
        <f t="array" aca="1" ref="AO866" ca="1">_xlfn.XLOOKUP(Contrato5[[#This Row],[DOCUMENTO ]],[2]!PERSONAL_ACTIVO_2024[[#All],[Documento identidad]],[2]!PERSONAL_ACTIVO_2024[[#All],[Mail ]],0,0)</f>
        <v>#NAME?</v>
      </c>
      <c r="AP866" s="147" t="e" cm="1">
        <f t="array" aca="1" ref="AP866" ca="1">_xlfn.XLOOKUP(Contrato5[[#This Row],[DOCUMENTO]],[2]!PERSONAL_ACTIVO_2024[[#All],[Documento identidad]],[2]!PERSONAL_ACTIVO_2024[[#All],[Mail ]],0,0)</f>
        <v>#NAME?</v>
      </c>
      <c r="AQ866" s="439" cm="1">
        <f t="array" aca="1" ref="AQ866" ca="1">IF(ISBLANK(Contrato5[[#This Row],[DEPENDENCIA ]]),0,IFERROR(_xlfn.XLOOKUP(Contrato5[[#This Row],[DEPENDENCIA ]],[2]!PERSONAL_ACTIVO_2024[[#All],[Dependencia]],[2]!PERSONAL_ACTIVO_2024[[#All],[Mail ]],0,0),0))</f>
        <v>0</v>
      </c>
    </row>
    <row r="867" spans="1:43" ht="34.5" customHeight="1">
      <c r="A867" s="147">
        <v>30</v>
      </c>
      <c r="B867" s="124">
        <v>729</v>
      </c>
      <c r="C867" s="162" t="s">
        <v>106</v>
      </c>
      <c r="D867" s="227" t="s">
        <v>493</v>
      </c>
      <c r="E867" s="227" t="s">
        <v>264</v>
      </c>
      <c r="F867" s="227" t="s">
        <v>107</v>
      </c>
      <c r="G867" s="281" t="s">
        <v>3249</v>
      </c>
      <c r="H867" s="282">
        <v>8028884</v>
      </c>
      <c r="I867" s="309" t="s">
        <v>42</v>
      </c>
      <c r="J867" s="445">
        <v>40894000</v>
      </c>
      <c r="K867" s="413" t="s">
        <v>42</v>
      </c>
      <c r="L867" s="438" t="s">
        <v>2989</v>
      </c>
      <c r="M867" s="194" t="s">
        <v>505</v>
      </c>
      <c r="N867" s="177" t="e" cm="1">
        <f t="array" aca="1" ref="N867" ca="1">_xlfn.XLOOKUP(Contrato5[[#This Row],[SUPERVISOR TITULAR]],[2]!PERSONAL_ACTIVO_2024[[#All],[Nombre completo]],[2]!PERSONAL_ACTIVO_2024[[#All],[Documento identidad]],"",0)</f>
        <v>#NAME?</v>
      </c>
      <c r="O867" s="194" t="s">
        <v>2618</v>
      </c>
      <c r="P867" s="196" t="e" cm="1">
        <f t="array" aca="1" ref="P867" ca="1">_xlfn.XLOOKUP(Contrato5[[#This Row],[SUPERVISOR SUPLENTE ]],[2]!PERSONAL_ACTIVO_2024[[#All],[Nombre completo]],[2]!PERSONAL_ACTIVO_2024[[#All],[Documento identidad]],"",0)</f>
        <v>#NAME?</v>
      </c>
      <c r="Q867" s="170">
        <v>816</v>
      </c>
      <c r="R867" s="137" t="e" cm="1">
        <f t="array" aca="1" ref="R867" ca="1">_xlfn.XLOOKUP(Contrato5[[#This Row],[CDP]],[2]!DISPONIBILIDADES_2024[[#All],[consecutivo]],[2]!DISPONIBILIDADES_2024[[#All],[fecha_aprobacion]],"",0)</f>
        <v>#NAME?</v>
      </c>
      <c r="S867" s="138" t="e">
        <f>SUMIF([2]!DISPONIBILIDADES_2024[[#All],[consecutivo]],Contrato5[[#This Row],[CDP]],[2]!DISPONIBILIDADES_2024[[#All],[valor_total_rubro]])</f>
        <v>#REF!</v>
      </c>
      <c r="T867" s="139" t="e" cm="1">
        <f t="array" aca="1" ref="T867" ca="1">_xlfn.XLOOKUP(Contrato5[[#This Row],[CONTRATO]]&amp;Contrato5[[#This Row],[CDP]],[2]!Corr_Contr_CDP[[#All],[CONTRATO-CDP]],[2]!Corr_Contr_CDP[[#All],[CRP]],_xlfn.XLOOKUP(Contrato5[[#This Row],[CDP]],[2]!COMPROMISOS_2024[[#All],[disponibilidad]],[2]!COMPROMISOS_2024[[#All],[consecutivo]],"",0),0)</f>
        <v>#NAME?</v>
      </c>
      <c r="U867" s="140" t="e" cm="1">
        <f t="array" aca="1" ref="U867" ca="1">+_xlfn.XLOOKUP(Contrato5[[#This Row],[RCP]],[2]!COMPROMISOS_2024[[#All],[consecutivo]],[2]!COMPROMISOS_2024[[#All],[fecha_aprobacion]],"",0)</f>
        <v>#NAME?</v>
      </c>
      <c r="V867" s="141" t="e">
        <f ca="1">SUMIF([2]!COMPROMISOS_2024[[#All],[consecutivo]],Contrato5[[#This Row],[RCP]],[2]!COMPROMISOS_2024[[#All],[valor_total]])</f>
        <v>#REF!</v>
      </c>
      <c r="W867" s="160">
        <v>45616</v>
      </c>
      <c r="X867" s="161">
        <v>45628</v>
      </c>
      <c r="Y867" s="143">
        <v>45628</v>
      </c>
      <c r="Z867" s="262">
        <v>45656</v>
      </c>
      <c r="AA867" s="171" t="s">
        <v>3149</v>
      </c>
      <c r="AB867" s="172" t="s">
        <v>3250</v>
      </c>
      <c r="AC867" s="172"/>
      <c r="AD867" s="425">
        <v>202000005789</v>
      </c>
      <c r="AE867" s="147" t="s">
        <v>523</v>
      </c>
      <c r="AF867" s="148" t="str">
        <f>TEXT(LEFT(Contrato5[[#This Row],[CONTRATO]],3),"0")</f>
        <v>729</v>
      </c>
      <c r="AG867" s="148" t="str">
        <f>IF(LEN(Contrato5[[#This Row],[Contrato2]])=3,Contrato5[[#This Row],[Contrato2]],TEXT(Contrato5[[#This Row],[Contrato2]],"000"))</f>
        <v>729</v>
      </c>
      <c r="AH867" s="149">
        <f ca="1">IFERROR(_xlfn.DAYS(Contrato5[[#This Row],[Fecha Proyectada liquidación]],TODAY())/30,"")</f>
        <v>0.6</v>
      </c>
      <c r="AI867" s="150">
        <f>+Contrato5[[#This Row],[FECHA TERMINACIÓN ]]+120</f>
        <v>45776</v>
      </c>
      <c r="AJ867" s="147"/>
      <c r="AK867" s="152" t="str">
        <f ca="1">IF(Contrato5[[#This Row],[FECHA TERMINACIÓN ]]&lt;TODAY(), "Terminado",IF(ISNUMBER(Contrato5[[#This Row],[Fecha Real de liquiidación ]]),"Liquidado",IF(Contrato5[[#This Row],[FECHA TERMINACIÓN ]]&gt;=TODAY(),"En ejecución","")))</f>
        <v>Terminado</v>
      </c>
      <c r="AL867" s="153" t="e">
        <f ca="1">SUMIF([2]!COMPROMISOS_2024[[#All],[consecutivo]],Contrato5[[#This Row],[RCP]],[2]!COMPROMISOS_2024[[#All],[Total pagado]])</f>
        <v>#REF!</v>
      </c>
      <c r="AM867" s="154">
        <f ca="1">IFERROR(Contrato5[[#This Row],[Pagos]]/Contrato5[[#This Row],[VALOR CONTRATO]],0)</f>
        <v>0</v>
      </c>
      <c r="AN867" s="198" t="e">
        <f ca="1">+Contrato5[[#This Row],[VALOR CONTRATO]]-Contrato5[[#This Row],[Pagos]]</f>
        <v>#REF!</v>
      </c>
      <c r="AO867" s="147" t="e" cm="1">
        <f t="array" aca="1" ref="AO867" ca="1">_xlfn.XLOOKUP(Contrato5[[#This Row],[DOCUMENTO ]],[2]!PERSONAL_ACTIVO_2024[[#All],[Documento identidad]],[2]!PERSONAL_ACTIVO_2024[[#All],[Mail ]],0,0)</f>
        <v>#NAME?</v>
      </c>
      <c r="AP867" s="147" t="e" cm="1">
        <f t="array" aca="1" ref="AP867" ca="1">_xlfn.XLOOKUP(Contrato5[[#This Row],[DOCUMENTO]],[2]!PERSONAL_ACTIVO_2024[[#All],[Documento identidad]],[2]!PERSONAL_ACTIVO_2024[[#All],[Mail ]],0,0)</f>
        <v>#NAME?</v>
      </c>
      <c r="AQ867" s="439" cm="1">
        <f t="array" aca="1" ref="AQ867" ca="1">IF(ISBLANK(Contrato5[[#This Row],[DEPENDENCIA ]]),0,IFERROR(_xlfn.XLOOKUP(Contrato5[[#This Row],[DEPENDENCIA ]],[2]!PERSONAL_ACTIVO_2024[[#All],[Dependencia]],[2]!PERSONAL_ACTIVO_2024[[#All],[Mail ]],0,0),0))</f>
        <v>0</v>
      </c>
    </row>
    <row r="868" spans="1:43" ht="34.5" customHeight="1">
      <c r="A868" s="147">
        <v>1233</v>
      </c>
      <c r="B868" s="124">
        <v>730</v>
      </c>
      <c r="C868" s="162" t="s">
        <v>1399</v>
      </c>
      <c r="D868" s="227" t="s">
        <v>493</v>
      </c>
      <c r="E868" s="227" t="s">
        <v>88</v>
      </c>
      <c r="F868" s="227" t="s">
        <v>107</v>
      </c>
      <c r="G868" s="281" t="s">
        <v>3251</v>
      </c>
      <c r="H868" s="282">
        <v>8272894</v>
      </c>
      <c r="I868" s="309" t="s">
        <v>42</v>
      </c>
      <c r="J868" s="445">
        <v>25084504</v>
      </c>
      <c r="K868" s="413" t="s">
        <v>42</v>
      </c>
      <c r="L868" s="438" t="s">
        <v>2578</v>
      </c>
      <c r="M868" s="194" t="s">
        <v>2618</v>
      </c>
      <c r="N868" s="177" t="e" cm="1">
        <f t="array" aca="1" ref="N868" ca="1">_xlfn.XLOOKUP(Contrato5[[#This Row],[SUPERVISOR TITULAR]],[2]!PERSONAL_ACTIVO_2024[[#All],[Nombre completo]],[2]!PERSONAL_ACTIVO_2024[[#All],[Documento identidad]],"",0)</f>
        <v>#NAME?</v>
      </c>
      <c r="O868" s="194" t="s">
        <v>505</v>
      </c>
      <c r="P868" s="196" t="e" cm="1">
        <f t="array" aca="1" ref="P868" ca="1">_xlfn.XLOOKUP(Contrato5[[#This Row],[SUPERVISOR SUPLENTE ]],[2]!PERSONAL_ACTIVO_2024[[#All],[Nombre completo]],[2]!PERSONAL_ACTIVO_2024[[#All],[Documento identidad]],"",0)</f>
        <v>#NAME?</v>
      </c>
      <c r="Q868" s="170">
        <v>1052</v>
      </c>
      <c r="R868" s="137" t="e" cm="1">
        <f t="array" aca="1" ref="R868" ca="1">_xlfn.XLOOKUP(Contrato5[[#This Row],[CDP]],[2]!DISPONIBILIDADES_2024[[#All],[consecutivo]],[2]!DISPONIBILIDADES_2024[[#All],[fecha_aprobacion]],"",0)</f>
        <v>#NAME?</v>
      </c>
      <c r="S868" s="138" t="e">
        <f>SUMIF([2]!DISPONIBILIDADES_2024[[#All],[consecutivo]],Contrato5[[#This Row],[CDP]],[2]!DISPONIBILIDADES_2024[[#All],[valor_total_rubro]])</f>
        <v>#REF!</v>
      </c>
      <c r="T868" s="139" t="e" cm="1">
        <f t="array" aca="1" ref="T868" ca="1">_xlfn.XLOOKUP(Contrato5[[#This Row],[CONTRATO]]&amp;Contrato5[[#This Row],[CDP]],[2]!Corr_Contr_CDP[[#All],[CONTRATO-CDP]],[2]!Corr_Contr_CDP[[#All],[CRP]],_xlfn.XLOOKUP(Contrato5[[#This Row],[CDP]],[2]!COMPROMISOS_2024[[#All],[disponibilidad]],[2]!COMPROMISOS_2024[[#All],[consecutivo]],"",0),0)</f>
        <v>#NAME?</v>
      </c>
      <c r="U868" s="140" t="e" cm="1">
        <f t="array" aca="1" ref="U868" ca="1">+_xlfn.XLOOKUP(Contrato5[[#This Row],[RCP]],[2]!COMPROMISOS_2024[[#All],[consecutivo]],[2]!COMPROMISOS_2024[[#All],[fecha_aprobacion]],"",0)</f>
        <v>#NAME?</v>
      </c>
      <c r="V868" s="141" t="e">
        <f ca="1">SUMIF([2]!COMPROMISOS_2024[[#All],[consecutivo]],Contrato5[[#This Row],[RCP]],[2]!COMPROMISOS_2024[[#All],[valor_total]])</f>
        <v>#REF!</v>
      </c>
      <c r="W868" s="160">
        <v>45616</v>
      </c>
      <c r="X868" s="161">
        <v>45616</v>
      </c>
      <c r="Y868" s="143">
        <v>45623</v>
      </c>
      <c r="Z868" s="262">
        <v>45656</v>
      </c>
      <c r="AA868" s="213" t="s">
        <v>3252</v>
      </c>
      <c r="AB868" s="172" t="s">
        <v>3253</v>
      </c>
      <c r="AC868" s="172"/>
      <c r="AD868" s="425">
        <v>202000005670</v>
      </c>
      <c r="AE868" s="147" t="s">
        <v>523</v>
      </c>
      <c r="AF868" s="148" t="str">
        <f>TEXT(LEFT(Contrato5[[#This Row],[CONTRATO]],3),"0")</f>
        <v>730</v>
      </c>
      <c r="AG868" s="148" t="str">
        <f>IF(LEN(Contrato5[[#This Row],[Contrato2]])=3,Contrato5[[#This Row],[Contrato2]],TEXT(Contrato5[[#This Row],[Contrato2]],"000"))</f>
        <v>730</v>
      </c>
      <c r="AH868" s="149">
        <f ca="1">IFERROR(_xlfn.DAYS(Contrato5[[#This Row],[Fecha Proyectada liquidación]],TODAY())/30,"")</f>
        <v>0.6</v>
      </c>
      <c r="AI868" s="150">
        <f>+Contrato5[[#This Row],[FECHA TERMINACIÓN ]]+120</f>
        <v>45776</v>
      </c>
      <c r="AJ868" s="147"/>
      <c r="AK868" s="152" t="str">
        <f ca="1">IF(Contrato5[[#This Row],[FECHA TERMINACIÓN ]]&lt;TODAY(), "Terminado",IF(ISNUMBER(Contrato5[[#This Row],[Fecha Real de liquiidación ]]),"Liquidado",IF(Contrato5[[#This Row],[FECHA TERMINACIÓN ]]&gt;=TODAY(),"En ejecución","")))</f>
        <v>Terminado</v>
      </c>
      <c r="AL868" s="153" t="e">
        <f ca="1">SUMIF([2]!COMPROMISOS_2024[[#All],[consecutivo]],Contrato5[[#This Row],[RCP]],[2]!COMPROMISOS_2024[[#All],[Total pagado]])</f>
        <v>#REF!</v>
      </c>
      <c r="AM868" s="154">
        <f ca="1">IFERROR(Contrato5[[#This Row],[Pagos]]/Contrato5[[#This Row],[VALOR CONTRATO]],0)</f>
        <v>0</v>
      </c>
      <c r="AN868" s="198" t="e">
        <f ca="1">+Contrato5[[#This Row],[VALOR CONTRATO]]-Contrato5[[#This Row],[Pagos]]</f>
        <v>#REF!</v>
      </c>
      <c r="AO868" s="147" t="e" cm="1">
        <f t="array" aca="1" ref="AO868" ca="1">_xlfn.XLOOKUP(Contrato5[[#This Row],[DOCUMENTO ]],[2]!PERSONAL_ACTIVO_2024[[#All],[Documento identidad]],[2]!PERSONAL_ACTIVO_2024[[#All],[Mail ]],0,0)</f>
        <v>#NAME?</v>
      </c>
      <c r="AP868" s="147" t="e" cm="1">
        <f t="array" aca="1" ref="AP868" ca="1">_xlfn.XLOOKUP(Contrato5[[#This Row],[DOCUMENTO]],[2]!PERSONAL_ACTIVO_2024[[#All],[Documento identidad]],[2]!PERSONAL_ACTIVO_2024[[#All],[Mail ]],0,0)</f>
        <v>#NAME?</v>
      </c>
      <c r="AQ868" s="439" cm="1">
        <f t="array" aca="1" ref="AQ868" ca="1">IF(ISBLANK(Contrato5[[#This Row],[DEPENDENCIA ]]),0,IFERROR(_xlfn.XLOOKUP(Contrato5[[#This Row],[DEPENDENCIA ]],[2]!PERSONAL_ACTIVO_2024[[#All],[Dependencia]],[2]!PERSONAL_ACTIVO_2024[[#All],[Mail ]],0,0),0))</f>
        <v>0</v>
      </c>
    </row>
    <row r="869" spans="1:43" ht="34.5" customHeight="1">
      <c r="A869" s="147">
        <v>1039</v>
      </c>
      <c r="B869" s="124">
        <v>731</v>
      </c>
      <c r="C869" s="162" t="s">
        <v>2248</v>
      </c>
      <c r="D869" s="227" t="s">
        <v>583</v>
      </c>
      <c r="E869" s="227" t="s">
        <v>264</v>
      </c>
      <c r="F869" s="227" t="s">
        <v>2113</v>
      </c>
      <c r="G869" s="281" t="s">
        <v>3254</v>
      </c>
      <c r="H869" s="282">
        <v>98475036</v>
      </c>
      <c r="I869" s="309" t="s">
        <v>42</v>
      </c>
      <c r="J869" s="445">
        <v>334495628</v>
      </c>
      <c r="K869" s="413" t="s">
        <v>42</v>
      </c>
      <c r="L869" s="438" t="s">
        <v>2462</v>
      </c>
      <c r="M869" s="194" t="s">
        <v>646</v>
      </c>
      <c r="N869" s="177" t="e" cm="1">
        <f t="array" aca="1" ref="N869" ca="1">_xlfn.XLOOKUP(Contrato5[[#This Row],[SUPERVISOR TITULAR]],[2]!PERSONAL_ACTIVO_2024[[#All],[Nombre completo]],[2]!PERSONAL_ACTIVO_2024[[#All],[Documento identidad]],"",0)</f>
        <v>#NAME?</v>
      </c>
      <c r="O869" s="194" t="s">
        <v>2807</v>
      </c>
      <c r="P869" s="196" t="e" cm="1">
        <f t="array" aca="1" ref="P869" ca="1">_xlfn.XLOOKUP(Contrato5[[#This Row],[SUPERVISOR SUPLENTE ]],[2]!PERSONAL_ACTIVO_2024[[#All],[Nombre completo]],[2]!PERSONAL_ACTIVO_2024[[#All],[Documento identidad]],"",0)</f>
        <v>#NAME?</v>
      </c>
      <c r="Q869" s="170">
        <v>904</v>
      </c>
      <c r="R869" s="137" t="e" cm="1">
        <f t="array" aca="1" ref="R869" ca="1">_xlfn.XLOOKUP(Contrato5[[#This Row],[CDP]],[2]!DISPONIBILIDADES_2024[[#All],[consecutivo]],[2]!DISPONIBILIDADES_2024[[#All],[fecha_aprobacion]],"",0)</f>
        <v>#NAME?</v>
      </c>
      <c r="S869" s="138" t="e">
        <f>SUMIF([2]!DISPONIBILIDADES_2024[[#All],[consecutivo]],Contrato5[[#This Row],[CDP]],[2]!DISPONIBILIDADES_2024[[#All],[valor_total_rubro]])</f>
        <v>#REF!</v>
      </c>
      <c r="T869" s="139" t="e" cm="1">
        <f t="array" aca="1" ref="T869" ca="1">_xlfn.XLOOKUP(Contrato5[[#This Row],[CONTRATO]]&amp;Contrato5[[#This Row],[CDP]],[2]!Corr_Contr_CDP[[#All],[CONTRATO-CDP]],[2]!Corr_Contr_CDP[[#All],[CRP]],_xlfn.XLOOKUP(Contrato5[[#This Row],[CDP]],[2]!COMPROMISOS_2024[[#All],[disponibilidad]],[2]!COMPROMISOS_2024[[#All],[consecutivo]],"",0),0)</f>
        <v>#NAME?</v>
      </c>
      <c r="U869" s="140" t="e" cm="1">
        <f t="array" aca="1" ref="U869" ca="1">+_xlfn.XLOOKUP(Contrato5[[#This Row],[RCP]],[2]!COMPROMISOS_2024[[#All],[consecutivo]],[2]!COMPROMISOS_2024[[#All],[fecha_aprobacion]],"",0)</f>
        <v>#NAME?</v>
      </c>
      <c r="V869" s="141" t="e">
        <f ca="1">SUMIF([2]!COMPROMISOS_2024[[#All],[consecutivo]],Contrato5[[#This Row],[RCP]],[2]!COMPROMISOS_2024[[#All],[valor_total]])</f>
        <v>#REF!</v>
      </c>
      <c r="W869" s="160">
        <v>45614</v>
      </c>
      <c r="X869" s="161">
        <v>45615</v>
      </c>
      <c r="Y869" s="143">
        <v>45616</v>
      </c>
      <c r="Z869" s="262">
        <v>45646</v>
      </c>
      <c r="AA869" s="171" t="s">
        <v>3255</v>
      </c>
      <c r="AB869" s="172" t="s">
        <v>878</v>
      </c>
      <c r="AC869" s="172"/>
      <c r="AD869" s="425">
        <v>202000005671</v>
      </c>
      <c r="AE869" s="147"/>
      <c r="AF869" s="148" t="str">
        <f>TEXT(LEFT(Contrato5[[#This Row],[CONTRATO]],3),"0")</f>
        <v>731</v>
      </c>
      <c r="AG869" s="148" t="str">
        <f>IF(LEN(Contrato5[[#This Row],[Contrato2]])=3,Contrato5[[#This Row],[Contrato2]],TEXT(Contrato5[[#This Row],[Contrato2]],"000"))</f>
        <v>731</v>
      </c>
      <c r="AH869" s="149">
        <f ca="1">IFERROR(_xlfn.DAYS(Contrato5[[#This Row],[Fecha Proyectada liquidación]],TODAY())/30,"")</f>
        <v>0.26666666666666666</v>
      </c>
      <c r="AI869" s="150">
        <f>+Contrato5[[#This Row],[FECHA TERMINACIÓN ]]+120</f>
        <v>45766</v>
      </c>
      <c r="AJ869" s="147"/>
      <c r="AK869" s="152" t="str">
        <f ca="1">IF(Contrato5[[#This Row],[FECHA TERMINACIÓN ]]&lt;TODAY(), "Terminado",IF(ISNUMBER(Contrato5[[#This Row],[Fecha Real de liquiidación ]]),"Liquidado",IF(Contrato5[[#This Row],[FECHA TERMINACIÓN ]]&gt;=TODAY(),"En ejecución","")))</f>
        <v>Terminado</v>
      </c>
      <c r="AL869" s="153" t="e">
        <f ca="1">SUMIF([2]!COMPROMISOS_2024[[#All],[consecutivo]],Contrato5[[#This Row],[RCP]],[2]!COMPROMISOS_2024[[#All],[Total pagado]])</f>
        <v>#REF!</v>
      </c>
      <c r="AM869" s="154">
        <f ca="1">IFERROR(Contrato5[[#This Row],[Pagos]]/Contrato5[[#This Row],[VALOR CONTRATO]],0)</f>
        <v>0</v>
      </c>
      <c r="AN869" s="198" t="e">
        <f ca="1">+Contrato5[[#This Row],[VALOR CONTRATO]]-Contrato5[[#This Row],[Pagos]]</f>
        <v>#REF!</v>
      </c>
      <c r="AO869" s="147" t="e" cm="1">
        <f t="array" aca="1" ref="AO869" ca="1">_xlfn.XLOOKUP(Contrato5[[#This Row],[DOCUMENTO ]],[2]!PERSONAL_ACTIVO_2024[[#All],[Documento identidad]],[2]!PERSONAL_ACTIVO_2024[[#All],[Mail ]],0,0)</f>
        <v>#NAME?</v>
      </c>
      <c r="AP869" s="147" t="e" cm="1">
        <f t="array" aca="1" ref="AP869" ca="1">_xlfn.XLOOKUP(Contrato5[[#This Row],[DOCUMENTO]],[2]!PERSONAL_ACTIVO_2024[[#All],[Documento identidad]],[2]!PERSONAL_ACTIVO_2024[[#All],[Mail ]],0,0)</f>
        <v>#NAME?</v>
      </c>
      <c r="AQ869" s="439" cm="1">
        <f t="array" aca="1" ref="AQ869" ca="1">IF(ISBLANK(Contrato5[[#This Row],[DEPENDENCIA ]]),0,IFERROR(_xlfn.XLOOKUP(Contrato5[[#This Row],[DEPENDENCIA ]],[2]!PERSONAL_ACTIVO_2024[[#All],[Dependencia]],[2]!PERSONAL_ACTIVO_2024[[#All],[Mail ]],0,0),0))</f>
        <v>0</v>
      </c>
    </row>
    <row r="870" spans="1:43" ht="34.5" customHeight="1">
      <c r="A870" s="147">
        <v>1232</v>
      </c>
      <c r="B870" s="499">
        <v>732</v>
      </c>
      <c r="C870" s="162" t="s">
        <v>1401</v>
      </c>
      <c r="D870" s="227" t="s">
        <v>493</v>
      </c>
      <c r="E870" s="227" t="s">
        <v>151</v>
      </c>
      <c r="F870" s="227" t="s">
        <v>107</v>
      </c>
      <c r="G870" s="281" t="s">
        <v>3256</v>
      </c>
      <c r="H870" s="282">
        <v>900984639</v>
      </c>
      <c r="I870" s="165"/>
      <c r="J870" s="445">
        <v>5542419</v>
      </c>
      <c r="K870" s="413" t="s">
        <v>42</v>
      </c>
      <c r="L870" s="438" t="s">
        <v>2683</v>
      </c>
      <c r="M870" s="194" t="s">
        <v>505</v>
      </c>
      <c r="N870" s="177" t="e" cm="1">
        <f t="array" aca="1" ref="N870" ca="1">_xlfn.XLOOKUP(Contrato5[[#This Row],[SUPERVISOR TITULAR]],[2]!PERSONAL_ACTIVO_2024[[#All],[Nombre completo]],[2]!PERSONAL_ACTIVO_2024[[#All],[Documento identidad]],"",0)</f>
        <v>#NAME?</v>
      </c>
      <c r="O870" s="194" t="s">
        <v>818</v>
      </c>
      <c r="P870" s="196" t="e" cm="1">
        <f t="array" aca="1" ref="P870" ca="1">_xlfn.XLOOKUP(Contrato5[[#This Row],[SUPERVISOR SUPLENTE ]],[2]!PERSONAL_ACTIVO_2024[[#All],[Nombre completo]],[2]!PERSONAL_ACTIVO_2024[[#All],[Documento identidad]],"",0)</f>
        <v>#NAME?</v>
      </c>
      <c r="Q870" s="170">
        <v>1053</v>
      </c>
      <c r="R870" s="137" t="e" cm="1">
        <f t="array" aca="1" ref="R870" ca="1">_xlfn.XLOOKUP(Contrato5[[#This Row],[CDP]],[2]!DISPONIBILIDADES_2024[[#All],[consecutivo]],[2]!DISPONIBILIDADES_2024[[#All],[fecha_aprobacion]],"",0)</f>
        <v>#NAME?</v>
      </c>
      <c r="S870" s="138" t="e">
        <f>SUMIF([2]!DISPONIBILIDADES_2024[[#All],[consecutivo]],Contrato5[[#This Row],[CDP]],[2]!DISPONIBILIDADES_2024[[#All],[valor_total_rubro]])</f>
        <v>#REF!</v>
      </c>
      <c r="T870" s="139" t="e" cm="1">
        <f t="array" aca="1" ref="T870" ca="1">_xlfn.XLOOKUP(Contrato5[[#This Row],[CONTRATO]]&amp;Contrato5[[#This Row],[CDP]],[2]!Corr_Contr_CDP[[#All],[CONTRATO-CDP]],[2]!Corr_Contr_CDP[[#All],[CRP]],_xlfn.XLOOKUP(Contrato5[[#This Row],[CDP]],[2]!COMPROMISOS_2024[[#All],[disponibilidad]],[2]!COMPROMISOS_2024[[#All],[consecutivo]],"",0),0)</f>
        <v>#NAME?</v>
      </c>
      <c r="U870" s="140" t="e" cm="1">
        <f t="array" aca="1" ref="U870" ca="1">+_xlfn.XLOOKUP(Contrato5[[#This Row],[RCP]],[2]!COMPROMISOS_2024[[#All],[consecutivo]],[2]!COMPROMISOS_2024[[#All],[fecha_aprobacion]],"",0)</f>
        <v>#NAME?</v>
      </c>
      <c r="V870" s="141" t="e">
        <f ca="1">SUMIF([2]!COMPROMISOS_2024[[#All],[consecutivo]],Contrato5[[#This Row],[RCP]],[2]!COMPROMISOS_2024[[#All],[valor_total]])</f>
        <v>#REF!</v>
      </c>
      <c r="W870" s="160">
        <v>45625</v>
      </c>
      <c r="X870" s="161">
        <v>45629</v>
      </c>
      <c r="Y870" s="143">
        <v>45642</v>
      </c>
      <c r="Z870" s="262">
        <v>45656</v>
      </c>
      <c r="AA870" s="171" t="s">
        <v>3257</v>
      </c>
      <c r="AB870" s="172" t="s">
        <v>2560</v>
      </c>
      <c r="AC870" s="172"/>
      <c r="AD870" s="425">
        <v>202000005790</v>
      </c>
      <c r="AE870" s="147" t="s">
        <v>523</v>
      </c>
      <c r="AF870" s="148" t="str">
        <f>TEXT(LEFT(Contrato5[[#This Row],[CONTRATO]],3),"0")</f>
        <v>732</v>
      </c>
      <c r="AG870" s="148" t="str">
        <f>IF(LEN(Contrato5[[#This Row],[Contrato2]])=3,Contrato5[[#This Row],[Contrato2]],TEXT(Contrato5[[#This Row],[Contrato2]],"000"))</f>
        <v>732</v>
      </c>
      <c r="AH870" s="149">
        <f ca="1">IFERROR(_xlfn.DAYS(Contrato5[[#This Row],[Fecha Proyectada liquidación]],TODAY())/30,"")</f>
        <v>0.6</v>
      </c>
      <c r="AI870" s="150">
        <f>+Contrato5[[#This Row],[FECHA TERMINACIÓN ]]+120</f>
        <v>45776</v>
      </c>
      <c r="AJ870" s="147"/>
      <c r="AK870" s="152" t="str">
        <f ca="1">IF(Contrato5[[#This Row],[FECHA TERMINACIÓN ]]&lt;TODAY(), "Terminado",IF(ISNUMBER(Contrato5[[#This Row],[Fecha Real de liquiidación ]]),"Liquidado",IF(Contrato5[[#This Row],[FECHA TERMINACIÓN ]]&gt;=TODAY(),"En ejecución","")))</f>
        <v>Terminado</v>
      </c>
      <c r="AL870" s="153" t="e">
        <f ca="1">SUMIF([2]!COMPROMISOS_2024[[#All],[consecutivo]],Contrato5[[#This Row],[RCP]],[2]!COMPROMISOS_2024[[#All],[Total pagado]])</f>
        <v>#REF!</v>
      </c>
      <c r="AM870" s="154">
        <f ca="1">IFERROR(Contrato5[[#This Row],[Pagos]]/Contrato5[[#This Row],[VALOR CONTRATO]],0)</f>
        <v>0</v>
      </c>
      <c r="AN870" s="198" t="e">
        <f ca="1">+Contrato5[[#This Row],[VALOR CONTRATO]]-Contrato5[[#This Row],[Pagos]]</f>
        <v>#REF!</v>
      </c>
      <c r="AO870" s="147" t="e" cm="1">
        <f t="array" aca="1" ref="AO870" ca="1">_xlfn.XLOOKUP(Contrato5[[#This Row],[DOCUMENTO ]],[2]!PERSONAL_ACTIVO_2024[[#All],[Documento identidad]],[2]!PERSONAL_ACTIVO_2024[[#All],[Mail ]],0,0)</f>
        <v>#NAME?</v>
      </c>
      <c r="AP870" s="147" t="e" cm="1">
        <f t="array" aca="1" ref="AP870" ca="1">_xlfn.XLOOKUP(Contrato5[[#This Row],[DOCUMENTO]],[2]!PERSONAL_ACTIVO_2024[[#All],[Documento identidad]],[2]!PERSONAL_ACTIVO_2024[[#All],[Mail ]],0,0)</f>
        <v>#NAME?</v>
      </c>
      <c r="AQ870" s="439" cm="1">
        <f t="array" aca="1" ref="AQ870" ca="1">IF(ISBLANK(Contrato5[[#This Row],[DEPENDENCIA ]]),0,IFERROR(_xlfn.XLOOKUP(Contrato5[[#This Row],[DEPENDENCIA ]],[2]!PERSONAL_ACTIVO_2024[[#All],[Dependencia]],[2]!PERSONAL_ACTIVO_2024[[#All],[Mail ]],0,0),0))</f>
        <v>0</v>
      </c>
    </row>
    <row r="871" spans="1:43" ht="34.5" customHeight="1">
      <c r="A871" s="147">
        <v>1300</v>
      </c>
      <c r="B871" s="124">
        <v>733</v>
      </c>
      <c r="C871" s="162" t="s">
        <v>2234</v>
      </c>
      <c r="D871" s="227" t="s">
        <v>583</v>
      </c>
      <c r="E871" s="227" t="s">
        <v>94</v>
      </c>
      <c r="F871" s="227" t="s">
        <v>255</v>
      </c>
      <c r="G871" s="281" t="s">
        <v>2825</v>
      </c>
      <c r="H871" s="282">
        <v>890984495</v>
      </c>
      <c r="I871" s="309" t="s">
        <v>42</v>
      </c>
      <c r="J871" s="445">
        <v>60000000</v>
      </c>
      <c r="K871" s="413" t="s">
        <v>42</v>
      </c>
      <c r="L871" s="438" t="s">
        <v>2606</v>
      </c>
      <c r="M871" s="194" t="s">
        <v>589</v>
      </c>
      <c r="N871" s="177" t="e" cm="1">
        <f t="array" aca="1" ref="N871" ca="1">_xlfn.XLOOKUP(Contrato5[[#This Row],[SUPERVISOR TITULAR]],[2]!PERSONAL_ACTIVO_2024[[#All],[Nombre completo]],[2]!PERSONAL_ACTIVO_2024[[#All],[Documento identidad]],"",0)</f>
        <v>#NAME?</v>
      </c>
      <c r="O871" s="194" t="s">
        <v>586</v>
      </c>
      <c r="P871" s="196" t="e" cm="1">
        <f t="array" aca="1" ref="P871" ca="1">_xlfn.XLOOKUP(Contrato5[[#This Row],[SUPERVISOR SUPLENTE ]],[2]!PERSONAL_ACTIVO_2024[[#All],[Nombre completo]],[2]!PERSONAL_ACTIVO_2024[[#All],[Documento identidad]],"",0)</f>
        <v>#NAME?</v>
      </c>
      <c r="Q871" s="170">
        <v>1162</v>
      </c>
      <c r="R871" s="137" t="e" cm="1">
        <f t="array" aca="1" ref="R871" ca="1">_xlfn.XLOOKUP(Contrato5[[#This Row],[CDP]],[2]!DISPONIBILIDADES_2024[[#All],[consecutivo]],[2]!DISPONIBILIDADES_2024[[#All],[fecha_aprobacion]],"",0)</f>
        <v>#NAME?</v>
      </c>
      <c r="S871" s="138" t="e">
        <f>SUMIF([2]!DISPONIBILIDADES_2024[[#All],[consecutivo]],Contrato5[[#This Row],[CDP]],[2]!DISPONIBILIDADES_2024[[#All],[valor_total_rubro]])</f>
        <v>#REF!</v>
      </c>
      <c r="T871" s="139" t="e" cm="1">
        <f t="array" aca="1" ref="T871" ca="1">_xlfn.XLOOKUP(Contrato5[[#This Row],[CONTRATO]]&amp;Contrato5[[#This Row],[CDP]],[2]!Corr_Contr_CDP[[#All],[CONTRATO-CDP]],[2]!Corr_Contr_CDP[[#All],[CRP]],_xlfn.XLOOKUP(Contrato5[[#This Row],[CDP]],[2]!COMPROMISOS_2024[[#All],[disponibilidad]],[2]!COMPROMISOS_2024[[#All],[consecutivo]],"",0),0)</f>
        <v>#NAME?</v>
      </c>
      <c r="U871" s="140" t="e" cm="1">
        <f t="array" aca="1" ref="U871" ca="1">+_xlfn.XLOOKUP(Contrato5[[#This Row],[RCP]],[2]!COMPROMISOS_2024[[#All],[consecutivo]],[2]!COMPROMISOS_2024[[#All],[fecha_aprobacion]],"",0)</f>
        <v>#NAME?</v>
      </c>
      <c r="V871" s="141" t="e">
        <f ca="1">SUMIF([2]!COMPROMISOS_2024[[#All],[consecutivo]],Contrato5[[#This Row],[RCP]],[2]!COMPROMISOS_2024[[#All],[valor_total]])</f>
        <v>#REF!</v>
      </c>
      <c r="W871" s="160">
        <v>45624</v>
      </c>
      <c r="X871" s="161">
        <v>45625</v>
      </c>
      <c r="Y871" s="143">
        <v>45625</v>
      </c>
      <c r="Z871" s="262">
        <v>45656</v>
      </c>
      <c r="AA871" s="183" t="s">
        <v>3258</v>
      </c>
      <c r="AB871" s="172" t="s">
        <v>878</v>
      </c>
      <c r="AC871" s="172"/>
      <c r="AD871" s="425">
        <v>202000005672</v>
      </c>
      <c r="AE871" s="147" t="s">
        <v>523</v>
      </c>
      <c r="AF871" s="148" t="str">
        <f>TEXT(LEFT(Contrato5[[#This Row],[CONTRATO]],3),"0")</f>
        <v>733</v>
      </c>
      <c r="AG871" s="148" t="str">
        <f>IF(LEN(Contrato5[[#This Row],[Contrato2]])=3,Contrato5[[#This Row],[Contrato2]],TEXT(Contrato5[[#This Row],[Contrato2]],"000"))</f>
        <v>733</v>
      </c>
      <c r="AH871" s="149">
        <f ca="1">IFERROR(_xlfn.DAYS(Contrato5[[#This Row],[Fecha Proyectada liquidación]],TODAY())/30,"")</f>
        <v>0.6</v>
      </c>
      <c r="AI871" s="150">
        <f>+Contrato5[[#This Row],[FECHA TERMINACIÓN ]]+120</f>
        <v>45776</v>
      </c>
      <c r="AJ871" s="147"/>
      <c r="AK871" s="152" t="str">
        <f ca="1">IF(Contrato5[[#This Row],[FECHA TERMINACIÓN ]]&lt;TODAY(), "Terminado",IF(ISNUMBER(Contrato5[[#This Row],[Fecha Real de liquiidación ]]),"Liquidado",IF(Contrato5[[#This Row],[FECHA TERMINACIÓN ]]&gt;=TODAY(),"En ejecución","")))</f>
        <v>Terminado</v>
      </c>
      <c r="AL871" s="153" t="e">
        <f ca="1">SUMIF([2]!COMPROMISOS_2024[[#All],[consecutivo]],Contrato5[[#This Row],[RCP]],[2]!COMPROMISOS_2024[[#All],[Total pagado]])</f>
        <v>#REF!</v>
      </c>
      <c r="AM871" s="154">
        <f ca="1">IFERROR(Contrato5[[#This Row],[Pagos]]/Contrato5[[#This Row],[VALOR CONTRATO]],0)</f>
        <v>0</v>
      </c>
      <c r="AN871" s="198" t="e">
        <f ca="1">+Contrato5[[#This Row],[VALOR CONTRATO]]-Contrato5[[#This Row],[Pagos]]</f>
        <v>#REF!</v>
      </c>
      <c r="AO871" s="147" t="e" cm="1">
        <f t="array" aca="1" ref="AO871" ca="1">_xlfn.XLOOKUP(Contrato5[[#This Row],[DOCUMENTO ]],[2]!PERSONAL_ACTIVO_2024[[#All],[Documento identidad]],[2]!PERSONAL_ACTIVO_2024[[#All],[Mail ]],0,0)</f>
        <v>#NAME?</v>
      </c>
      <c r="AP871" s="147" t="e" cm="1">
        <f t="array" aca="1" ref="AP871" ca="1">_xlfn.XLOOKUP(Contrato5[[#This Row],[DOCUMENTO]],[2]!PERSONAL_ACTIVO_2024[[#All],[Documento identidad]],[2]!PERSONAL_ACTIVO_2024[[#All],[Mail ]],0,0)</f>
        <v>#NAME?</v>
      </c>
      <c r="AQ871" s="439" cm="1">
        <f t="array" aca="1" ref="AQ871" ca="1">IF(ISBLANK(Contrato5[[#This Row],[DEPENDENCIA ]]),0,IFERROR(_xlfn.XLOOKUP(Contrato5[[#This Row],[DEPENDENCIA ]],[2]!PERSONAL_ACTIVO_2024[[#All],[Dependencia]],[2]!PERSONAL_ACTIVO_2024[[#All],[Mail ]],0,0),0))</f>
        <v>0</v>
      </c>
    </row>
    <row r="872" spans="1:43" ht="34.5" customHeight="1">
      <c r="A872" s="147">
        <v>1299</v>
      </c>
      <c r="B872" s="499">
        <v>734</v>
      </c>
      <c r="C872" s="162" t="s">
        <v>2232</v>
      </c>
      <c r="D872" s="227" t="s">
        <v>583</v>
      </c>
      <c r="E872" s="227" t="s">
        <v>94</v>
      </c>
      <c r="F872" s="227" t="s">
        <v>255</v>
      </c>
      <c r="G872" s="281" t="s">
        <v>3259</v>
      </c>
      <c r="H872" s="282">
        <v>890904948</v>
      </c>
      <c r="I872" s="309" t="s">
        <v>42</v>
      </c>
      <c r="J872" s="445">
        <v>90000000</v>
      </c>
      <c r="K872" s="413" t="s">
        <v>42</v>
      </c>
      <c r="L872" s="438" t="s">
        <v>2606</v>
      </c>
      <c r="M872" s="194" t="s">
        <v>586</v>
      </c>
      <c r="N872" s="177" t="e" cm="1">
        <f t="array" aca="1" ref="N872" ca="1">_xlfn.XLOOKUP(Contrato5[[#This Row],[SUPERVISOR TITULAR]],[2]!PERSONAL_ACTIVO_2024[[#All],[Nombre completo]],[2]!PERSONAL_ACTIVO_2024[[#All],[Documento identidad]],"",0)</f>
        <v>#NAME?</v>
      </c>
      <c r="O872" s="194" t="s">
        <v>589</v>
      </c>
      <c r="P872" s="196" t="e" cm="1">
        <f t="array" aca="1" ref="P872" ca="1">_xlfn.XLOOKUP(Contrato5[[#This Row],[SUPERVISOR SUPLENTE ]],[2]!PERSONAL_ACTIVO_2024[[#All],[Nombre completo]],[2]!PERSONAL_ACTIVO_2024[[#All],[Documento identidad]],"",0)</f>
        <v>#NAME?</v>
      </c>
      <c r="Q872" s="170">
        <v>1159</v>
      </c>
      <c r="R872" s="137" t="e" cm="1">
        <f t="array" aca="1" ref="R872" ca="1">_xlfn.XLOOKUP(Contrato5[[#This Row],[CDP]],[2]!DISPONIBILIDADES_2024[[#All],[consecutivo]],[2]!DISPONIBILIDADES_2024[[#All],[fecha_aprobacion]],"",0)</f>
        <v>#NAME?</v>
      </c>
      <c r="S872" s="138" t="e">
        <f>SUMIF([2]!DISPONIBILIDADES_2024[[#All],[consecutivo]],Contrato5[[#This Row],[CDP]],[2]!DISPONIBILIDADES_2024[[#All],[valor_total_rubro]])</f>
        <v>#REF!</v>
      </c>
      <c r="T872" s="139" t="e" cm="1">
        <f t="array" aca="1" ref="T872" ca="1">_xlfn.XLOOKUP(Contrato5[[#This Row],[CONTRATO]]&amp;Contrato5[[#This Row],[CDP]],[2]!Corr_Contr_CDP[[#All],[CONTRATO-CDP]],[2]!Corr_Contr_CDP[[#All],[CRP]],_xlfn.XLOOKUP(Contrato5[[#This Row],[CDP]],[2]!COMPROMISOS_2024[[#All],[disponibilidad]],[2]!COMPROMISOS_2024[[#All],[consecutivo]],"",0),0)</f>
        <v>#NAME?</v>
      </c>
      <c r="U872" s="140" t="e" cm="1">
        <f t="array" aca="1" ref="U872" ca="1">+_xlfn.XLOOKUP(Contrato5[[#This Row],[RCP]],[2]!COMPROMISOS_2024[[#All],[consecutivo]],[2]!COMPROMISOS_2024[[#All],[fecha_aprobacion]],"",0)</f>
        <v>#NAME?</v>
      </c>
      <c r="V872" s="141" t="e">
        <f ca="1">SUMIF([2]!COMPROMISOS_2024[[#All],[consecutivo]],Contrato5[[#This Row],[RCP]],[2]!COMPROMISOS_2024[[#All],[valor_total]])</f>
        <v>#REF!</v>
      </c>
      <c r="W872" s="160">
        <v>45628</v>
      </c>
      <c r="X872" s="161">
        <v>45630</v>
      </c>
      <c r="Y872" s="143">
        <v>45630</v>
      </c>
      <c r="Z872" s="262">
        <v>45656</v>
      </c>
      <c r="AA872" s="171" t="s">
        <v>3260</v>
      </c>
      <c r="AB872" s="172" t="s">
        <v>878</v>
      </c>
      <c r="AC872" s="172"/>
      <c r="AD872" s="425">
        <v>202000005791</v>
      </c>
      <c r="AE872" s="147" t="s">
        <v>523</v>
      </c>
      <c r="AF872" s="148" t="str">
        <f>TEXT(LEFT(Contrato5[[#This Row],[CONTRATO]],3),"0")</f>
        <v>734</v>
      </c>
      <c r="AG872" s="148" t="str">
        <f>IF(LEN(Contrato5[[#This Row],[Contrato2]])=3,Contrato5[[#This Row],[Contrato2]],TEXT(Contrato5[[#This Row],[Contrato2]],"000"))</f>
        <v>734</v>
      </c>
      <c r="AH872" s="149">
        <f ca="1">IFERROR(_xlfn.DAYS(Contrato5[[#This Row],[Fecha Proyectada liquidación]],TODAY())/30,"")</f>
        <v>0.6</v>
      </c>
      <c r="AI872" s="150">
        <f>+Contrato5[[#This Row],[FECHA TERMINACIÓN ]]+120</f>
        <v>45776</v>
      </c>
      <c r="AJ872" s="147"/>
      <c r="AK872" s="152" t="str">
        <f ca="1">IF(Contrato5[[#This Row],[FECHA TERMINACIÓN ]]&lt;TODAY(), "Terminado",IF(ISNUMBER(Contrato5[[#This Row],[Fecha Real de liquiidación ]]),"Liquidado",IF(Contrato5[[#This Row],[FECHA TERMINACIÓN ]]&gt;=TODAY(),"En ejecución","")))</f>
        <v>Terminado</v>
      </c>
      <c r="AL872" s="153" t="e">
        <f ca="1">SUMIF([2]!COMPROMISOS_2024[[#All],[consecutivo]],Contrato5[[#This Row],[RCP]],[2]!COMPROMISOS_2024[[#All],[Total pagado]])</f>
        <v>#REF!</v>
      </c>
      <c r="AM872" s="154">
        <f ca="1">IFERROR(Contrato5[[#This Row],[Pagos]]/Contrato5[[#This Row],[VALOR CONTRATO]],0)</f>
        <v>0</v>
      </c>
      <c r="AN872" s="198" t="e">
        <f ca="1">+Contrato5[[#This Row],[VALOR CONTRATO]]-Contrato5[[#This Row],[Pagos]]</f>
        <v>#REF!</v>
      </c>
      <c r="AO872" s="147" t="e" cm="1">
        <f t="array" aca="1" ref="AO872" ca="1">_xlfn.XLOOKUP(Contrato5[[#This Row],[DOCUMENTO ]],[2]!PERSONAL_ACTIVO_2024[[#All],[Documento identidad]],[2]!PERSONAL_ACTIVO_2024[[#All],[Mail ]],0,0)</f>
        <v>#NAME?</v>
      </c>
      <c r="AP872" s="147" t="e" cm="1">
        <f t="array" aca="1" ref="AP872" ca="1">_xlfn.XLOOKUP(Contrato5[[#This Row],[DOCUMENTO]],[2]!PERSONAL_ACTIVO_2024[[#All],[Documento identidad]],[2]!PERSONAL_ACTIVO_2024[[#All],[Mail ]],0,0)</f>
        <v>#NAME?</v>
      </c>
      <c r="AQ872" s="439" cm="1">
        <f t="array" aca="1" ref="AQ872" ca="1">IF(ISBLANK(Contrato5[[#This Row],[DEPENDENCIA ]]),0,IFERROR(_xlfn.XLOOKUP(Contrato5[[#This Row],[DEPENDENCIA ]],[2]!PERSONAL_ACTIVO_2024[[#All],[Dependencia]],[2]!PERSONAL_ACTIVO_2024[[#All],[Mail ]],0,0),0))</f>
        <v>0</v>
      </c>
    </row>
    <row r="873" spans="1:43" ht="34.5" customHeight="1">
      <c r="A873" s="147">
        <v>1091</v>
      </c>
      <c r="B873" s="499">
        <v>735</v>
      </c>
      <c r="C873" s="162" t="s">
        <v>2223</v>
      </c>
      <c r="D873" s="227" t="s">
        <v>583</v>
      </c>
      <c r="E873" s="227" t="s">
        <v>94</v>
      </c>
      <c r="F873" s="227" t="s">
        <v>1767</v>
      </c>
      <c r="G873" s="281" t="s">
        <v>3261</v>
      </c>
      <c r="H873" s="282">
        <v>900284547</v>
      </c>
      <c r="I873" s="309" t="s">
        <v>42</v>
      </c>
      <c r="J873" s="445">
        <v>53000000</v>
      </c>
      <c r="K873" s="413" t="s">
        <v>42</v>
      </c>
      <c r="L873" s="438" t="s">
        <v>2606</v>
      </c>
      <c r="M873" s="194" t="s">
        <v>592</v>
      </c>
      <c r="N873" s="177" t="e" cm="1">
        <f t="array" aca="1" ref="N873" ca="1">_xlfn.XLOOKUP(Contrato5[[#This Row],[SUPERVISOR TITULAR]],[2]!PERSONAL_ACTIVO_2024[[#All],[Nombre completo]],[2]!PERSONAL_ACTIVO_2024[[#All],[Documento identidad]],"",0)</f>
        <v>#NAME?</v>
      </c>
      <c r="O873" s="194" t="s">
        <v>600</v>
      </c>
      <c r="P873" s="196" t="e" cm="1">
        <f t="array" aca="1" ref="P873" ca="1">_xlfn.XLOOKUP(Contrato5[[#This Row],[SUPERVISOR SUPLENTE ]],[2]!PERSONAL_ACTIVO_2024[[#All],[Nombre completo]],[2]!PERSONAL_ACTIVO_2024[[#All],[Documento identidad]],"",0)</f>
        <v>#NAME?</v>
      </c>
      <c r="Q873" s="170">
        <v>1039</v>
      </c>
      <c r="R873" s="137" t="e" cm="1">
        <f t="array" aca="1" ref="R873" ca="1">_xlfn.XLOOKUP(Contrato5[[#This Row],[CDP]],[2]!DISPONIBILIDADES_2024[[#All],[consecutivo]],[2]!DISPONIBILIDADES_2024[[#All],[fecha_aprobacion]],"",0)</f>
        <v>#NAME?</v>
      </c>
      <c r="S873" s="138" t="e">
        <f>SUMIF([2]!DISPONIBILIDADES_2024[[#All],[consecutivo]],Contrato5[[#This Row],[CDP]],[2]!DISPONIBILIDADES_2024[[#All],[valor_total_rubro]])</f>
        <v>#REF!</v>
      </c>
      <c r="T873" s="139" t="e" cm="1">
        <f t="array" aca="1" ref="T873" ca="1">_xlfn.XLOOKUP(Contrato5[[#This Row],[CONTRATO]]&amp;Contrato5[[#This Row],[CDP]],[2]!Corr_Contr_CDP[[#All],[CONTRATO-CDP]],[2]!Corr_Contr_CDP[[#All],[CRP]],_xlfn.XLOOKUP(Contrato5[[#This Row],[CDP]],[2]!COMPROMISOS_2024[[#All],[disponibilidad]],[2]!COMPROMISOS_2024[[#All],[consecutivo]],"",0),0)</f>
        <v>#NAME?</v>
      </c>
      <c r="U873" s="140" t="e" cm="1">
        <f t="array" aca="1" ref="U873" ca="1">+_xlfn.XLOOKUP(Contrato5[[#This Row],[RCP]],[2]!COMPROMISOS_2024[[#All],[consecutivo]],[2]!COMPROMISOS_2024[[#All],[fecha_aprobacion]],"",0)</f>
        <v>#NAME?</v>
      </c>
      <c r="V873" s="141" t="e">
        <f ca="1">SUMIF([2]!COMPROMISOS_2024[[#All],[consecutivo]],Contrato5[[#This Row],[RCP]],[2]!COMPROMISOS_2024[[#All],[valor_total]])</f>
        <v>#REF!</v>
      </c>
      <c r="W873" s="160">
        <v>45631</v>
      </c>
      <c r="X873" s="161">
        <v>45638</v>
      </c>
      <c r="Y873" s="143">
        <v>45642</v>
      </c>
      <c r="Z873" s="262">
        <v>45656</v>
      </c>
      <c r="AA873" s="171" t="s">
        <v>3262</v>
      </c>
      <c r="AB873" s="172" t="s">
        <v>878</v>
      </c>
      <c r="AC873" s="172"/>
      <c r="AD873" s="425">
        <v>202000005792</v>
      </c>
      <c r="AE873" s="147" t="s">
        <v>523</v>
      </c>
      <c r="AF873" s="148" t="str">
        <f>TEXT(LEFT(Contrato5[[#This Row],[CONTRATO]],3),"0")</f>
        <v>735</v>
      </c>
      <c r="AG873" s="148" t="str">
        <f>IF(LEN(Contrato5[[#This Row],[Contrato2]])=3,Contrato5[[#This Row],[Contrato2]],TEXT(Contrato5[[#This Row],[Contrato2]],"000"))</f>
        <v>735</v>
      </c>
      <c r="AH873" s="149">
        <f ca="1">IFERROR(_xlfn.DAYS(Contrato5[[#This Row],[Fecha Proyectada liquidación]],TODAY())/30,"")</f>
        <v>0.6</v>
      </c>
      <c r="AI873" s="150">
        <f>+Contrato5[[#This Row],[FECHA TERMINACIÓN ]]+120</f>
        <v>45776</v>
      </c>
      <c r="AJ873" s="147"/>
      <c r="AK873" s="152" t="str">
        <f ca="1">IF(Contrato5[[#This Row],[FECHA TERMINACIÓN ]]&lt;TODAY(), "Terminado",IF(ISNUMBER(Contrato5[[#This Row],[Fecha Real de liquiidación ]]),"Liquidado",IF(Contrato5[[#This Row],[FECHA TERMINACIÓN ]]&gt;=TODAY(),"En ejecución","")))</f>
        <v>Terminado</v>
      </c>
      <c r="AL873" s="153" t="e">
        <f ca="1">SUMIF([2]!COMPROMISOS_2024[[#All],[consecutivo]],Contrato5[[#This Row],[RCP]],[2]!COMPROMISOS_2024[[#All],[Total pagado]])</f>
        <v>#REF!</v>
      </c>
      <c r="AM873" s="154">
        <f ca="1">IFERROR(Contrato5[[#This Row],[Pagos]]/Contrato5[[#This Row],[VALOR CONTRATO]],0)</f>
        <v>0</v>
      </c>
      <c r="AN873" s="198" t="e">
        <f ca="1">+Contrato5[[#This Row],[VALOR CONTRATO]]-Contrato5[[#This Row],[Pagos]]</f>
        <v>#REF!</v>
      </c>
      <c r="AO873" s="147" t="e" cm="1">
        <f t="array" aca="1" ref="AO873" ca="1">_xlfn.XLOOKUP(Contrato5[[#This Row],[DOCUMENTO ]],[2]!PERSONAL_ACTIVO_2024[[#All],[Documento identidad]],[2]!PERSONAL_ACTIVO_2024[[#All],[Mail ]],0,0)</f>
        <v>#NAME?</v>
      </c>
      <c r="AP873" s="147" t="e" cm="1">
        <f t="array" aca="1" ref="AP873" ca="1">_xlfn.XLOOKUP(Contrato5[[#This Row],[DOCUMENTO]],[2]!PERSONAL_ACTIVO_2024[[#All],[Documento identidad]],[2]!PERSONAL_ACTIVO_2024[[#All],[Mail ]],0,0)</f>
        <v>#NAME?</v>
      </c>
      <c r="AQ873" s="439" cm="1">
        <f t="array" aca="1" ref="AQ873" ca="1">IF(ISBLANK(Contrato5[[#This Row],[DEPENDENCIA ]]),0,IFERROR(_xlfn.XLOOKUP(Contrato5[[#This Row],[DEPENDENCIA ]],[2]!PERSONAL_ACTIVO_2024[[#All],[Dependencia]],[2]!PERSONAL_ACTIVO_2024[[#All],[Mail ]],0,0),0))</f>
        <v>0</v>
      </c>
    </row>
    <row r="874" spans="1:43" ht="34.5" customHeight="1">
      <c r="A874" s="147">
        <v>1311</v>
      </c>
      <c r="B874" s="124">
        <v>736</v>
      </c>
      <c r="C874" s="162" t="s">
        <v>2366</v>
      </c>
      <c r="D874" s="227" t="s">
        <v>515</v>
      </c>
      <c r="E874" s="227" t="s">
        <v>94</v>
      </c>
      <c r="F874" s="227" t="s">
        <v>89</v>
      </c>
      <c r="G874" s="281" t="s">
        <v>2822</v>
      </c>
      <c r="H874" s="282">
        <v>811028621</v>
      </c>
      <c r="I874" s="309" t="s">
        <v>42</v>
      </c>
      <c r="J874" s="445">
        <v>22201000</v>
      </c>
      <c r="K874" s="413" t="s">
        <v>42</v>
      </c>
      <c r="L874" s="438" t="s">
        <v>2606</v>
      </c>
      <c r="M874" s="194" t="s">
        <v>544</v>
      </c>
      <c r="N874" s="177" t="e" cm="1">
        <f t="array" aca="1" ref="N874" ca="1">_xlfn.XLOOKUP(Contrato5[[#This Row],[SUPERVISOR TITULAR]],[2]!PERSONAL_ACTIVO_2024[[#All],[Nombre completo]],[2]!PERSONAL_ACTIVO_2024[[#All],[Documento identidad]],"",0)</f>
        <v>#NAME?</v>
      </c>
      <c r="O874" s="194" t="s">
        <v>545</v>
      </c>
      <c r="P874" s="196" t="e" cm="1">
        <f t="array" aca="1" ref="P874" ca="1">_xlfn.XLOOKUP(Contrato5[[#This Row],[SUPERVISOR SUPLENTE ]],[2]!PERSONAL_ACTIVO_2024[[#All],[Nombre completo]],[2]!PERSONAL_ACTIVO_2024[[#All],[Documento identidad]],"",0)</f>
        <v>#NAME?</v>
      </c>
      <c r="Q874" s="170">
        <v>1173</v>
      </c>
      <c r="R874" s="137" t="e" cm="1">
        <f t="array" aca="1" ref="R874" ca="1">_xlfn.XLOOKUP(Contrato5[[#This Row],[CDP]],[2]!DISPONIBILIDADES_2024[[#All],[consecutivo]],[2]!DISPONIBILIDADES_2024[[#All],[fecha_aprobacion]],"",0)</f>
        <v>#NAME?</v>
      </c>
      <c r="S874" s="138" t="e">
        <f>SUMIF([2]!DISPONIBILIDADES_2024[[#All],[consecutivo]],Contrato5[[#This Row],[CDP]],[2]!DISPONIBILIDADES_2024[[#All],[valor_total_rubro]])</f>
        <v>#REF!</v>
      </c>
      <c r="T874" s="139" t="e" cm="1">
        <f t="array" aca="1" ref="T874" ca="1">_xlfn.XLOOKUP(Contrato5[[#This Row],[CONTRATO]]&amp;Contrato5[[#This Row],[CDP]],[2]!Corr_Contr_CDP[[#All],[CONTRATO-CDP]],[2]!Corr_Contr_CDP[[#All],[CRP]],_xlfn.XLOOKUP(Contrato5[[#This Row],[CDP]],[2]!COMPROMISOS_2024[[#All],[disponibilidad]],[2]!COMPROMISOS_2024[[#All],[consecutivo]],"",0),0)</f>
        <v>#NAME?</v>
      </c>
      <c r="U874" s="140" t="e" cm="1">
        <f t="array" aca="1" ref="U874" ca="1">+_xlfn.XLOOKUP(Contrato5[[#This Row],[RCP]],[2]!COMPROMISOS_2024[[#All],[consecutivo]],[2]!COMPROMISOS_2024[[#All],[fecha_aprobacion]],"",0)</f>
        <v>#NAME?</v>
      </c>
      <c r="V874" s="141" t="e">
        <f ca="1">SUMIF([2]!COMPROMISOS_2024[[#All],[consecutivo]],Contrato5[[#This Row],[RCP]],[2]!COMPROMISOS_2024[[#All],[valor_total]])</f>
        <v>#REF!</v>
      </c>
      <c r="W874" s="160">
        <v>45624</v>
      </c>
      <c r="X874" s="161">
        <v>45624</v>
      </c>
      <c r="Y874" s="143">
        <v>45624</v>
      </c>
      <c r="Z874" s="262">
        <v>45654</v>
      </c>
      <c r="AA874" s="183" t="s">
        <v>3263</v>
      </c>
      <c r="AB874" s="172" t="s">
        <v>878</v>
      </c>
      <c r="AC874" s="172"/>
      <c r="AD874" s="425">
        <v>202000005673</v>
      </c>
      <c r="AE874" s="147" t="s">
        <v>523</v>
      </c>
      <c r="AF874" s="148" t="str">
        <f>TEXT(LEFT(Contrato5[[#This Row],[CONTRATO]],3),"0")</f>
        <v>736</v>
      </c>
      <c r="AG874" s="148" t="str">
        <f>IF(LEN(Contrato5[[#This Row],[Contrato2]])=3,Contrato5[[#This Row],[Contrato2]],TEXT(Contrato5[[#This Row],[Contrato2]],"000"))</f>
        <v>736</v>
      </c>
      <c r="AH874" s="149">
        <f ca="1">IFERROR(_xlfn.DAYS(Contrato5[[#This Row],[Fecha Proyectada liquidación]],TODAY())/30,"")</f>
        <v>0.53333333333333333</v>
      </c>
      <c r="AI874" s="150">
        <f>+Contrato5[[#This Row],[FECHA TERMINACIÓN ]]+120</f>
        <v>45774</v>
      </c>
      <c r="AJ874" s="147"/>
      <c r="AK874" s="152" t="str">
        <f ca="1">IF(Contrato5[[#This Row],[FECHA TERMINACIÓN ]]&lt;TODAY(), "Terminado",IF(ISNUMBER(Contrato5[[#This Row],[Fecha Real de liquiidación ]]),"Liquidado",IF(Contrato5[[#This Row],[FECHA TERMINACIÓN ]]&gt;=TODAY(),"En ejecución","")))</f>
        <v>Terminado</v>
      </c>
      <c r="AL874" s="153" t="e">
        <f ca="1">SUMIF([2]!COMPROMISOS_2024[[#All],[consecutivo]],Contrato5[[#This Row],[RCP]],[2]!COMPROMISOS_2024[[#All],[Total pagado]])</f>
        <v>#REF!</v>
      </c>
      <c r="AM874" s="154">
        <f ca="1">IFERROR(Contrato5[[#This Row],[Pagos]]/Contrato5[[#This Row],[VALOR CONTRATO]],0)</f>
        <v>0</v>
      </c>
      <c r="AN874" s="198" t="e">
        <f ca="1">+Contrato5[[#This Row],[VALOR CONTRATO]]-Contrato5[[#This Row],[Pagos]]</f>
        <v>#REF!</v>
      </c>
      <c r="AO874" s="147" t="e" cm="1">
        <f t="array" aca="1" ref="AO874" ca="1">_xlfn.XLOOKUP(Contrato5[[#This Row],[DOCUMENTO ]],[2]!PERSONAL_ACTIVO_2024[[#All],[Documento identidad]],[2]!PERSONAL_ACTIVO_2024[[#All],[Mail ]],0,0)</f>
        <v>#NAME?</v>
      </c>
      <c r="AP874" s="147" t="e" cm="1">
        <f t="array" aca="1" ref="AP874" ca="1">_xlfn.XLOOKUP(Contrato5[[#This Row],[DOCUMENTO]],[2]!PERSONAL_ACTIVO_2024[[#All],[Documento identidad]],[2]!PERSONAL_ACTIVO_2024[[#All],[Mail ]],0,0)</f>
        <v>#NAME?</v>
      </c>
      <c r="AQ874" s="439" cm="1">
        <f t="array" aca="1" ref="AQ874" ca="1">IF(ISBLANK(Contrato5[[#This Row],[DEPENDENCIA ]]),0,IFERROR(_xlfn.XLOOKUP(Contrato5[[#This Row],[DEPENDENCIA ]],[2]!PERSONAL_ACTIVO_2024[[#All],[Dependencia]],[2]!PERSONAL_ACTIVO_2024[[#All],[Mail ]],0,0),0))</f>
        <v>0</v>
      </c>
    </row>
    <row r="875" spans="1:43" ht="34.5" customHeight="1">
      <c r="A875" s="147">
        <v>1313</v>
      </c>
      <c r="B875" s="124">
        <v>737</v>
      </c>
      <c r="C875" s="162" t="s">
        <v>1356</v>
      </c>
      <c r="D875" s="227" t="s">
        <v>515</v>
      </c>
      <c r="E875" s="227" t="s">
        <v>94</v>
      </c>
      <c r="F875" s="227" t="s">
        <v>255</v>
      </c>
      <c r="G875" s="281" t="s">
        <v>3220</v>
      </c>
      <c r="H875" s="282">
        <v>890980342</v>
      </c>
      <c r="I875" s="309" t="s">
        <v>42</v>
      </c>
      <c r="J875" s="445">
        <v>2566243472</v>
      </c>
      <c r="K875" s="131" t="s">
        <v>3264</v>
      </c>
      <c r="L875" s="438" t="s">
        <v>2606</v>
      </c>
      <c r="M875" s="194" t="s">
        <v>519</v>
      </c>
      <c r="N875" s="177" t="e" cm="1">
        <f t="array" aca="1" ref="N875" ca="1">_xlfn.XLOOKUP(Contrato5[[#This Row],[SUPERVISOR TITULAR]],[2]!PERSONAL_ACTIVO_2024[[#All],[Nombre completo]],[2]!PERSONAL_ACTIVO_2024[[#All],[Documento identidad]],"",0)</f>
        <v>#NAME?</v>
      </c>
      <c r="O875" s="194" t="s">
        <v>822</v>
      </c>
      <c r="P875" s="196" t="e" cm="1">
        <f t="array" aca="1" ref="P875" ca="1">_xlfn.XLOOKUP(Contrato5[[#This Row],[SUPERVISOR SUPLENTE ]],[2]!PERSONAL_ACTIVO_2024[[#All],[Nombre completo]],[2]!PERSONAL_ACTIVO_2024[[#All],[Documento identidad]],"",0)</f>
        <v>#NAME?</v>
      </c>
      <c r="Q875" s="170">
        <v>1177</v>
      </c>
      <c r="R875" s="137" t="e" cm="1">
        <f t="array" aca="1" ref="R875" ca="1">_xlfn.XLOOKUP(Contrato5[[#This Row],[CDP]],[2]!DISPONIBILIDADES_2024[[#All],[consecutivo]],[2]!DISPONIBILIDADES_2024[[#All],[fecha_aprobacion]],"",0)</f>
        <v>#NAME?</v>
      </c>
      <c r="S875" s="138" t="e">
        <f>SUMIF([2]!DISPONIBILIDADES_2024[[#All],[consecutivo]],Contrato5[[#This Row],[CDP]],[2]!DISPONIBILIDADES_2024[[#All],[valor_total_rubro]])</f>
        <v>#REF!</v>
      </c>
      <c r="T875" s="139" t="e" cm="1">
        <f t="array" aca="1" ref="T875" ca="1">_xlfn.XLOOKUP(Contrato5[[#This Row],[CONTRATO]]&amp;Contrato5[[#This Row],[CDP]],[2]!Corr_Contr_CDP[[#All],[CONTRATO-CDP]],[2]!Corr_Contr_CDP[[#All],[CRP]],_xlfn.XLOOKUP(Contrato5[[#This Row],[CDP]],[2]!COMPROMISOS_2024[[#All],[disponibilidad]],[2]!COMPROMISOS_2024[[#All],[consecutivo]],"",0),0)</f>
        <v>#NAME?</v>
      </c>
      <c r="U875" s="140" t="e" cm="1">
        <f t="array" aca="1" ref="U875" ca="1">+_xlfn.XLOOKUP(Contrato5[[#This Row],[RCP]],[2]!COMPROMISOS_2024[[#All],[consecutivo]],[2]!COMPROMISOS_2024[[#All],[fecha_aprobacion]],"",0)</f>
        <v>#NAME?</v>
      </c>
      <c r="V875" s="141" t="e">
        <f ca="1">SUMIF([2]!COMPROMISOS_2024[[#All],[consecutivo]],Contrato5[[#This Row],[RCP]],[2]!COMPROMISOS_2024[[#All],[valor_total]])</f>
        <v>#REF!</v>
      </c>
      <c r="W875" s="160">
        <v>45623</v>
      </c>
      <c r="X875" s="161">
        <v>45623</v>
      </c>
      <c r="Y875" s="143">
        <v>45623</v>
      </c>
      <c r="Z875" s="262">
        <v>45657</v>
      </c>
      <c r="AA875" s="183" t="s">
        <v>3265</v>
      </c>
      <c r="AB875" s="172" t="s">
        <v>2560</v>
      </c>
      <c r="AC875" s="172"/>
      <c r="AD875" s="425">
        <v>202000005674</v>
      </c>
      <c r="AE875" s="147" t="s">
        <v>523</v>
      </c>
      <c r="AF875" s="148" t="str">
        <f>TEXT(LEFT(Contrato5[[#This Row],[CONTRATO]],3),"0")</f>
        <v>737</v>
      </c>
      <c r="AG875" s="148" t="str">
        <f>IF(LEN(Contrato5[[#This Row],[Contrato2]])=3,Contrato5[[#This Row],[Contrato2]],TEXT(Contrato5[[#This Row],[Contrato2]],"000"))</f>
        <v>737</v>
      </c>
      <c r="AH875" s="149">
        <f ca="1">IFERROR(_xlfn.DAYS(Contrato5[[#This Row],[Fecha Proyectada liquidación]],TODAY())/30,"")</f>
        <v>0.6333333333333333</v>
      </c>
      <c r="AI875" s="150">
        <f>+Contrato5[[#This Row],[FECHA TERMINACIÓN ]]+120</f>
        <v>45777</v>
      </c>
      <c r="AJ875" s="147"/>
      <c r="AK875" s="152" t="str">
        <f ca="1">IF(Contrato5[[#This Row],[FECHA TERMINACIÓN ]]&lt;TODAY(), "Terminado",IF(ISNUMBER(Contrato5[[#This Row],[Fecha Real de liquiidación ]]),"Liquidado",IF(Contrato5[[#This Row],[FECHA TERMINACIÓN ]]&gt;=TODAY(),"En ejecución","")))</f>
        <v>Terminado</v>
      </c>
      <c r="AL875" s="153" t="e">
        <f ca="1">SUMIF([2]!COMPROMISOS_2024[[#All],[consecutivo]],Contrato5[[#This Row],[RCP]],[2]!COMPROMISOS_2024[[#All],[Total pagado]])</f>
        <v>#REF!</v>
      </c>
      <c r="AM875" s="154">
        <f ca="1">IFERROR(Contrato5[[#This Row],[Pagos]]/Contrato5[[#This Row],[VALOR CONTRATO]],0)</f>
        <v>0</v>
      </c>
      <c r="AN875" s="198" t="e">
        <f ca="1">+Contrato5[[#This Row],[VALOR CONTRATO]]-Contrato5[[#This Row],[Pagos]]</f>
        <v>#REF!</v>
      </c>
      <c r="AO875" s="147" t="e" cm="1">
        <f t="array" aca="1" ref="AO875" ca="1">_xlfn.XLOOKUP(Contrato5[[#This Row],[DOCUMENTO ]],[2]!PERSONAL_ACTIVO_2024[[#All],[Documento identidad]],[2]!PERSONAL_ACTIVO_2024[[#All],[Mail ]],0,0)</f>
        <v>#NAME?</v>
      </c>
      <c r="AP875" s="147" t="e" cm="1">
        <f t="array" aca="1" ref="AP875" ca="1">_xlfn.XLOOKUP(Contrato5[[#This Row],[DOCUMENTO]],[2]!PERSONAL_ACTIVO_2024[[#All],[Documento identidad]],[2]!PERSONAL_ACTIVO_2024[[#All],[Mail ]],0,0)</f>
        <v>#NAME?</v>
      </c>
      <c r="AQ875" s="439" cm="1">
        <f t="array" aca="1" ref="AQ875" ca="1">IF(ISBLANK(Contrato5[[#This Row],[DEPENDENCIA ]]),0,IFERROR(_xlfn.XLOOKUP(Contrato5[[#This Row],[DEPENDENCIA ]],[2]!PERSONAL_ACTIVO_2024[[#All],[Dependencia]],[2]!PERSONAL_ACTIVO_2024[[#All],[Mail ]],0,0),0))</f>
        <v>0</v>
      </c>
    </row>
    <row r="876" spans="1:43" ht="34.5" customHeight="1">
      <c r="A876" s="147">
        <v>1314</v>
      </c>
      <c r="B876" s="124">
        <v>738</v>
      </c>
      <c r="C876" s="162" t="s">
        <v>1361</v>
      </c>
      <c r="D876" s="227" t="s">
        <v>515</v>
      </c>
      <c r="E876" s="227" t="s">
        <v>94</v>
      </c>
      <c r="F876" s="227" t="s">
        <v>255</v>
      </c>
      <c r="G876" s="281" t="s">
        <v>3266</v>
      </c>
      <c r="H876" s="282">
        <v>890982294</v>
      </c>
      <c r="I876" s="309" t="s">
        <v>42</v>
      </c>
      <c r="J876" s="445">
        <v>1070995057</v>
      </c>
      <c r="K876" s="131" t="s">
        <v>3267</v>
      </c>
      <c r="L876" s="438" t="s">
        <v>2606</v>
      </c>
      <c r="M876" s="194" t="s">
        <v>823</v>
      </c>
      <c r="N876" s="177" t="e" cm="1">
        <f t="array" aca="1" ref="N876" ca="1">_xlfn.XLOOKUP(Contrato5[[#This Row],[SUPERVISOR TITULAR]],[2]!PERSONAL_ACTIVO_2024[[#All],[Nombre completo]],[2]!PERSONAL_ACTIVO_2024[[#All],[Documento identidad]],"",0)</f>
        <v>#NAME?</v>
      </c>
      <c r="O876" s="194" t="s">
        <v>910</v>
      </c>
      <c r="P876" s="196" t="e" cm="1">
        <f t="array" aca="1" ref="P876" ca="1">_xlfn.XLOOKUP(Contrato5[[#This Row],[SUPERVISOR SUPLENTE ]],[2]!PERSONAL_ACTIVO_2024[[#All],[Nombre completo]],[2]!PERSONAL_ACTIVO_2024[[#All],[Documento identidad]],"",0)</f>
        <v>#NAME?</v>
      </c>
      <c r="Q876" s="170">
        <v>1178</v>
      </c>
      <c r="R876" s="137" t="e" cm="1">
        <f t="array" aca="1" ref="R876" ca="1">_xlfn.XLOOKUP(Contrato5[[#This Row],[CDP]],[2]!DISPONIBILIDADES_2024[[#All],[consecutivo]],[2]!DISPONIBILIDADES_2024[[#All],[fecha_aprobacion]],"",0)</f>
        <v>#NAME?</v>
      </c>
      <c r="S876" s="138" t="e">
        <f>SUMIF([2]!DISPONIBILIDADES_2024[[#All],[consecutivo]],Contrato5[[#This Row],[CDP]],[2]!DISPONIBILIDADES_2024[[#All],[valor_total_rubro]])</f>
        <v>#REF!</v>
      </c>
      <c r="T876" s="139" t="e" cm="1">
        <f t="array" aca="1" ref="T876" ca="1">_xlfn.XLOOKUP(Contrato5[[#This Row],[CONTRATO]]&amp;Contrato5[[#This Row],[CDP]],[2]!Corr_Contr_CDP[[#All],[CONTRATO-CDP]],[2]!Corr_Contr_CDP[[#All],[CRP]],_xlfn.XLOOKUP(Contrato5[[#This Row],[CDP]],[2]!COMPROMISOS_2024[[#All],[disponibilidad]],[2]!COMPROMISOS_2024[[#All],[consecutivo]],"",0),0)</f>
        <v>#NAME?</v>
      </c>
      <c r="U876" s="140" t="e" cm="1">
        <f t="array" aca="1" ref="U876" ca="1">+_xlfn.XLOOKUP(Contrato5[[#This Row],[RCP]],[2]!COMPROMISOS_2024[[#All],[consecutivo]],[2]!COMPROMISOS_2024[[#All],[fecha_aprobacion]],"",0)</f>
        <v>#NAME?</v>
      </c>
      <c r="V876" s="141" t="e">
        <f ca="1">SUMIF([2]!COMPROMISOS_2024[[#All],[consecutivo]],Contrato5[[#This Row],[RCP]],[2]!COMPROMISOS_2024[[#All],[valor_total]])</f>
        <v>#REF!</v>
      </c>
      <c r="W876" s="160">
        <v>45624</v>
      </c>
      <c r="X876" s="161">
        <v>45625</v>
      </c>
      <c r="Y876" s="143">
        <v>45625</v>
      </c>
      <c r="Z876" s="262">
        <v>45654</v>
      </c>
      <c r="AA876" s="183" t="s">
        <v>3268</v>
      </c>
      <c r="AB876" s="172" t="s">
        <v>878</v>
      </c>
      <c r="AC876" s="172"/>
      <c r="AD876" s="425">
        <v>202000005675</v>
      </c>
      <c r="AE876" s="147" t="s">
        <v>523</v>
      </c>
      <c r="AF876" s="148" t="str">
        <f>TEXT(LEFT(Contrato5[[#This Row],[CONTRATO]],3),"0")</f>
        <v>738</v>
      </c>
      <c r="AG876" s="148" t="str">
        <f>IF(LEN(Contrato5[[#This Row],[Contrato2]])=3,Contrato5[[#This Row],[Contrato2]],TEXT(Contrato5[[#This Row],[Contrato2]],"000"))</f>
        <v>738</v>
      </c>
      <c r="AH876" s="149">
        <f ca="1">IFERROR(_xlfn.DAYS(Contrato5[[#This Row],[Fecha Proyectada liquidación]],TODAY())/30,"")</f>
        <v>0.53333333333333333</v>
      </c>
      <c r="AI876" s="150">
        <f>+Contrato5[[#This Row],[FECHA TERMINACIÓN ]]+120</f>
        <v>45774</v>
      </c>
      <c r="AJ876" s="147"/>
      <c r="AK876" s="152" t="str">
        <f ca="1">IF(Contrato5[[#This Row],[FECHA TERMINACIÓN ]]&lt;TODAY(), "Terminado",IF(ISNUMBER(Contrato5[[#This Row],[Fecha Real de liquiidación ]]),"Liquidado",IF(Contrato5[[#This Row],[FECHA TERMINACIÓN ]]&gt;=TODAY(),"En ejecución","")))</f>
        <v>Terminado</v>
      </c>
      <c r="AL876" s="153" t="e">
        <f ca="1">SUMIF([2]!COMPROMISOS_2024[[#All],[consecutivo]],Contrato5[[#This Row],[RCP]],[2]!COMPROMISOS_2024[[#All],[Total pagado]])</f>
        <v>#REF!</v>
      </c>
      <c r="AM876" s="154">
        <f ca="1">IFERROR(Contrato5[[#This Row],[Pagos]]/Contrato5[[#This Row],[VALOR CONTRATO]],0)</f>
        <v>0</v>
      </c>
      <c r="AN876" s="198" t="e">
        <f ca="1">+Contrato5[[#This Row],[VALOR CONTRATO]]-Contrato5[[#This Row],[Pagos]]</f>
        <v>#REF!</v>
      </c>
      <c r="AO876" s="147" t="e" cm="1">
        <f t="array" aca="1" ref="AO876" ca="1">_xlfn.XLOOKUP(Contrato5[[#This Row],[DOCUMENTO ]],[2]!PERSONAL_ACTIVO_2024[[#All],[Documento identidad]],[2]!PERSONAL_ACTIVO_2024[[#All],[Mail ]],0,0)</f>
        <v>#NAME?</v>
      </c>
      <c r="AP876" s="147" t="e" cm="1">
        <f t="array" aca="1" ref="AP876" ca="1">_xlfn.XLOOKUP(Contrato5[[#This Row],[DOCUMENTO]],[2]!PERSONAL_ACTIVO_2024[[#All],[Documento identidad]],[2]!PERSONAL_ACTIVO_2024[[#All],[Mail ]],0,0)</f>
        <v>#NAME?</v>
      </c>
      <c r="AQ876" s="439" cm="1">
        <f t="array" aca="1" ref="AQ876" ca="1">IF(ISBLANK(Contrato5[[#This Row],[DEPENDENCIA ]]),0,IFERROR(_xlfn.XLOOKUP(Contrato5[[#This Row],[DEPENDENCIA ]],[2]!PERSONAL_ACTIVO_2024[[#All],[Dependencia]],[2]!PERSONAL_ACTIVO_2024[[#All],[Mail ]],0,0),0))</f>
        <v>0</v>
      </c>
    </row>
    <row r="877" spans="1:43" ht="34.5" customHeight="1">
      <c r="A877" s="147">
        <v>1259</v>
      </c>
      <c r="B877" s="124">
        <v>739</v>
      </c>
      <c r="C877" s="162" t="s">
        <v>2121</v>
      </c>
      <c r="D877" s="227" t="s">
        <v>583</v>
      </c>
      <c r="E877" s="172" t="s">
        <v>94</v>
      </c>
      <c r="F877" s="227" t="s">
        <v>255</v>
      </c>
      <c r="G877" s="281" t="s">
        <v>3134</v>
      </c>
      <c r="H877" s="282">
        <v>811032187</v>
      </c>
      <c r="I877" s="309" t="s">
        <v>42</v>
      </c>
      <c r="J877" s="445">
        <v>130000000</v>
      </c>
      <c r="K877" s="131" t="s">
        <v>3269</v>
      </c>
      <c r="L877" s="438" t="s">
        <v>2606</v>
      </c>
      <c r="M877" s="194" t="s">
        <v>2807</v>
      </c>
      <c r="N877" s="177" t="e" cm="1">
        <f t="array" aca="1" ref="N877" ca="1">_xlfn.XLOOKUP(Contrato5[[#This Row],[SUPERVISOR TITULAR]],[2]!PERSONAL_ACTIVO_2024[[#All],[Nombre completo]],[2]!PERSONAL_ACTIVO_2024[[#All],[Documento identidad]],"",0)</f>
        <v>#NAME?</v>
      </c>
      <c r="O877" s="194" t="s">
        <v>645</v>
      </c>
      <c r="P877" s="196" t="e" cm="1">
        <f t="array" aca="1" ref="P877" ca="1">_xlfn.XLOOKUP(Contrato5[[#This Row],[SUPERVISOR SUPLENTE ]],[2]!PERSONAL_ACTIVO_2024[[#All],[Nombre completo]],[2]!PERSONAL_ACTIVO_2024[[#All],[Documento identidad]],"",0)</f>
        <v>#NAME?</v>
      </c>
      <c r="Q877" s="170">
        <v>1160</v>
      </c>
      <c r="R877" s="137" t="e" cm="1">
        <f t="array" aca="1" ref="R877" ca="1">_xlfn.XLOOKUP(Contrato5[[#This Row],[CDP]],[2]!DISPONIBILIDADES_2024[[#All],[consecutivo]],[2]!DISPONIBILIDADES_2024[[#All],[fecha_aprobacion]],"",0)</f>
        <v>#NAME?</v>
      </c>
      <c r="S877" s="138" t="e">
        <f>SUMIF([2]!DISPONIBILIDADES_2024[[#All],[consecutivo]],Contrato5[[#This Row],[CDP]],[2]!DISPONIBILIDADES_2024[[#All],[valor_total_rubro]])</f>
        <v>#REF!</v>
      </c>
      <c r="T877" s="139" t="e" cm="1">
        <f t="array" aca="1" ref="T877" ca="1">_xlfn.XLOOKUP(Contrato5[[#This Row],[CONTRATO]]&amp;Contrato5[[#This Row],[CDP]],[2]!Corr_Contr_CDP[[#All],[CONTRATO-CDP]],[2]!Corr_Contr_CDP[[#All],[CRP]],_xlfn.XLOOKUP(Contrato5[[#This Row],[CDP]],[2]!COMPROMISOS_2024[[#All],[disponibilidad]],[2]!COMPROMISOS_2024[[#All],[consecutivo]],"",0),0)</f>
        <v>#NAME?</v>
      </c>
      <c r="U877" s="140" t="e" cm="1">
        <f t="array" aca="1" ref="U877" ca="1">+_xlfn.XLOOKUP(Contrato5[[#This Row],[RCP]],[2]!COMPROMISOS_2024[[#All],[consecutivo]],[2]!COMPROMISOS_2024[[#All],[fecha_aprobacion]],"",0)</f>
        <v>#NAME?</v>
      </c>
      <c r="V877" s="141" t="e">
        <f ca="1">SUMIF([2]!COMPROMISOS_2024[[#All],[consecutivo]],Contrato5[[#This Row],[RCP]],[2]!COMPROMISOS_2024[[#All],[valor_total]])</f>
        <v>#REF!</v>
      </c>
      <c r="W877" s="160">
        <v>45635</v>
      </c>
      <c r="X877" s="160" t="s">
        <v>1045</v>
      </c>
      <c r="Y877" s="143">
        <v>45637</v>
      </c>
      <c r="Z877" s="262">
        <v>45716</v>
      </c>
      <c r="AA877" s="594" t="s">
        <v>3270</v>
      </c>
      <c r="AB877" s="172" t="s">
        <v>500</v>
      </c>
      <c r="AC877" s="172"/>
      <c r="AD877" s="595">
        <v>202000005863</v>
      </c>
      <c r="AE877" s="147" t="s">
        <v>523</v>
      </c>
      <c r="AF877" s="148" t="str">
        <f>TEXT(LEFT(Contrato5[[#This Row],[CONTRATO]],3),"0")</f>
        <v>739</v>
      </c>
      <c r="AG877" s="148" t="str">
        <f>IF(LEN(Contrato5[[#This Row],[Contrato2]])=3,Contrato5[[#This Row],[Contrato2]],TEXT(Contrato5[[#This Row],[Contrato2]],"000"))</f>
        <v>739</v>
      </c>
      <c r="AH877" s="149">
        <f ca="1">IFERROR(_xlfn.DAYS(Contrato5[[#This Row],[Fecha Proyectada liquidación]],TODAY())/30,"")</f>
        <v>2.6</v>
      </c>
      <c r="AI877" s="150">
        <f>+Contrato5[[#This Row],[FECHA TERMINACIÓN ]]+120</f>
        <v>45836</v>
      </c>
      <c r="AJ877" s="147"/>
      <c r="AK877" s="152" t="str">
        <f ca="1">IF(Contrato5[[#This Row],[FECHA TERMINACIÓN ]]&lt;TODAY(), "Terminado",IF(ISNUMBER(Contrato5[[#This Row],[Fecha Real de liquiidación ]]),"Liquidado",IF(Contrato5[[#This Row],[FECHA TERMINACIÓN ]]&gt;=TODAY(),"En ejecución","")))</f>
        <v>Terminado</v>
      </c>
      <c r="AL877" s="153" t="e">
        <f ca="1">SUMIF([2]!COMPROMISOS_2024[[#All],[consecutivo]],Contrato5[[#This Row],[RCP]],[2]!COMPROMISOS_2024[[#All],[Total pagado]])</f>
        <v>#REF!</v>
      </c>
      <c r="AM877" s="154">
        <f ca="1">IFERROR(Contrato5[[#This Row],[Pagos]]/Contrato5[[#This Row],[VALOR CONTRATO]],0)</f>
        <v>0</v>
      </c>
      <c r="AN877" s="198" t="e">
        <f ca="1">+Contrato5[[#This Row],[VALOR CONTRATO]]-Contrato5[[#This Row],[Pagos]]</f>
        <v>#REF!</v>
      </c>
      <c r="AO877" s="147" t="e" cm="1">
        <f t="array" aca="1" ref="AO877" ca="1">_xlfn.XLOOKUP(Contrato5[[#This Row],[DOCUMENTO ]],[2]!PERSONAL_ACTIVO_2024[[#All],[Documento identidad]],[2]!PERSONAL_ACTIVO_2024[[#All],[Mail ]],0,0)</f>
        <v>#NAME?</v>
      </c>
      <c r="AP877" s="147" t="e" cm="1">
        <f t="array" aca="1" ref="AP877" ca="1">_xlfn.XLOOKUP(Contrato5[[#This Row],[DOCUMENTO]],[2]!PERSONAL_ACTIVO_2024[[#All],[Documento identidad]],[2]!PERSONAL_ACTIVO_2024[[#All],[Mail ]],0,0)</f>
        <v>#NAME?</v>
      </c>
      <c r="AQ877" s="439" cm="1">
        <f t="array" aca="1" ref="AQ877" ca="1">IF(ISBLANK(Contrato5[[#This Row],[DEPENDENCIA ]]),0,IFERROR(_xlfn.XLOOKUP(Contrato5[[#This Row],[DEPENDENCIA ]],[2]!PERSONAL_ACTIVO_2024[[#All],[Dependencia]],[2]!PERSONAL_ACTIVO_2024[[#All],[Mail ]],0,0),0))</f>
        <v>0</v>
      </c>
    </row>
    <row r="878" spans="1:43" ht="45">
      <c r="A878" s="147">
        <v>1310</v>
      </c>
      <c r="B878" s="499">
        <v>740</v>
      </c>
      <c r="C878" s="162" t="s">
        <v>2305</v>
      </c>
      <c r="D878" s="227" t="s">
        <v>510</v>
      </c>
      <c r="E878" s="227" t="s">
        <v>898</v>
      </c>
      <c r="F878" s="227" t="s">
        <v>1376</v>
      </c>
      <c r="G878" s="281" t="s">
        <v>804</v>
      </c>
      <c r="H878" s="282">
        <v>1152221162</v>
      </c>
      <c r="I878" s="445">
        <v>6196667</v>
      </c>
      <c r="J878" s="445">
        <v>6196667</v>
      </c>
      <c r="K878" s="413" t="s">
        <v>42</v>
      </c>
      <c r="L878" s="438" t="s">
        <v>3246</v>
      </c>
      <c r="M878" s="194" t="s">
        <v>2624</v>
      </c>
      <c r="N878" s="177" t="e" cm="1">
        <f t="array" aca="1" ref="N878" ca="1">_xlfn.XLOOKUP(Contrato5[[#This Row],[SUPERVISOR TITULAR]],[2]!PERSONAL_ACTIVO_2024[[#All],[Nombre completo]],[2]!PERSONAL_ACTIVO_2024[[#All],[Documento identidad]],"",0)</f>
        <v>#NAME?</v>
      </c>
      <c r="O878" s="194" t="s">
        <v>2603</v>
      </c>
      <c r="P878" s="196" t="e" cm="1">
        <f t="array" aca="1" ref="P878" ca="1">_xlfn.XLOOKUP(Contrato5[[#This Row],[SUPERVISOR SUPLENTE ]],[2]!PERSONAL_ACTIVO_2024[[#All],[Nombre completo]],[2]!PERSONAL_ACTIVO_2024[[#All],[Documento identidad]],"",0)</f>
        <v>#NAME?</v>
      </c>
      <c r="Q878" s="170">
        <v>1182</v>
      </c>
      <c r="R878" s="137" t="e" cm="1">
        <f t="array" aca="1" ref="R878" ca="1">_xlfn.XLOOKUP(Contrato5[[#This Row],[CDP]],[2]!DISPONIBILIDADES_2024[[#All],[consecutivo]],[2]!DISPONIBILIDADES_2024[[#All],[fecha_aprobacion]],"",0)</f>
        <v>#NAME?</v>
      </c>
      <c r="S878" s="138" t="e">
        <f>SUMIF([2]!DISPONIBILIDADES_2024[[#All],[consecutivo]],Contrato5[[#This Row],[CDP]],[2]!DISPONIBILIDADES_2024[[#All],[valor_total_rubro]])</f>
        <v>#REF!</v>
      </c>
      <c r="T878" s="139" t="e" cm="1">
        <f t="array" aca="1" ref="T878" ca="1">_xlfn.XLOOKUP(Contrato5[[#This Row],[CONTRATO]]&amp;Contrato5[[#This Row],[CDP]],[2]!Corr_Contr_CDP[[#All],[CONTRATO-CDP]],[2]!Corr_Contr_CDP[[#All],[CRP]],_xlfn.XLOOKUP(Contrato5[[#This Row],[CDP]],[2]!COMPROMISOS_2024[[#All],[disponibilidad]],[2]!COMPROMISOS_2024[[#All],[consecutivo]],"",0),0)</f>
        <v>#NAME?</v>
      </c>
      <c r="U878" s="140" t="e" cm="1">
        <f t="array" aca="1" ref="U878" ca="1">+_xlfn.XLOOKUP(Contrato5[[#This Row],[RCP]],[2]!COMPROMISOS_2024[[#All],[consecutivo]],[2]!COMPROMISOS_2024[[#All],[fecha_aprobacion]],"",0)</f>
        <v>#NAME?</v>
      </c>
      <c r="V878" s="141" t="e">
        <f ca="1">SUMIF([2]!COMPROMISOS_2024[[#All],[consecutivo]],Contrato5[[#This Row],[RCP]],[2]!COMPROMISOS_2024[[#All],[valor_total]])</f>
        <v>#REF!</v>
      </c>
      <c r="W878" s="160">
        <v>45631</v>
      </c>
      <c r="X878" s="160" t="s">
        <v>1045</v>
      </c>
      <c r="Y878" s="143">
        <v>45632</v>
      </c>
      <c r="Z878" s="262">
        <v>45657</v>
      </c>
      <c r="AA878" s="171" t="s">
        <v>3271</v>
      </c>
      <c r="AB878" s="172" t="s">
        <v>3272</v>
      </c>
      <c r="AC878" s="172"/>
      <c r="AD878" s="425">
        <v>202000005797</v>
      </c>
      <c r="AE878" s="147" t="s">
        <v>523</v>
      </c>
      <c r="AF878" s="148" t="str">
        <f>TEXT(LEFT(Contrato5[[#This Row],[CONTRATO]],3),"0")</f>
        <v>740</v>
      </c>
      <c r="AG878" s="148" t="str">
        <f>IF(LEN(Contrato5[[#This Row],[Contrato2]])=3,Contrato5[[#This Row],[Contrato2]],TEXT(Contrato5[[#This Row],[Contrato2]],"000"))</f>
        <v>740</v>
      </c>
      <c r="AH878" s="149">
        <f ca="1">IFERROR(_xlfn.DAYS(Contrato5[[#This Row],[Fecha Proyectada liquidación]],TODAY())/30,"")</f>
        <v>0.6333333333333333</v>
      </c>
      <c r="AI878" s="150">
        <f>+Contrato5[[#This Row],[FECHA TERMINACIÓN ]]+120</f>
        <v>45777</v>
      </c>
      <c r="AJ878" s="147"/>
      <c r="AK878" s="152" t="str">
        <f ca="1">IF(Contrato5[[#This Row],[FECHA TERMINACIÓN ]]&lt;TODAY(), "Terminado",IF(ISNUMBER(Contrato5[[#This Row],[Fecha Real de liquiidación ]]),"Liquidado",IF(Contrato5[[#This Row],[FECHA TERMINACIÓN ]]&gt;=TODAY(),"En ejecución","")))</f>
        <v>Terminado</v>
      </c>
      <c r="AL878" s="153" t="e">
        <f ca="1">SUMIF([2]!COMPROMISOS_2024[[#All],[consecutivo]],Contrato5[[#This Row],[RCP]],[2]!COMPROMISOS_2024[[#All],[Total pagado]])</f>
        <v>#REF!</v>
      </c>
      <c r="AM878" s="154">
        <f ca="1">IFERROR(Contrato5[[#This Row],[Pagos]]/Contrato5[[#This Row],[VALOR CONTRATO]],0)</f>
        <v>0</v>
      </c>
      <c r="AN878" s="198" t="e">
        <f ca="1">+Contrato5[[#This Row],[VALOR CONTRATO]]-Contrato5[[#This Row],[Pagos]]</f>
        <v>#REF!</v>
      </c>
      <c r="AO878" s="147" t="e" cm="1">
        <f t="array" aca="1" ref="AO878" ca="1">_xlfn.XLOOKUP(Contrato5[[#This Row],[DOCUMENTO ]],[2]!PERSONAL_ACTIVO_2024[[#All],[Documento identidad]],[2]!PERSONAL_ACTIVO_2024[[#All],[Mail ]],0,0)</f>
        <v>#NAME?</v>
      </c>
      <c r="AP878" s="147" t="e" cm="1">
        <f t="array" aca="1" ref="AP878" ca="1">_xlfn.XLOOKUP(Contrato5[[#This Row],[DOCUMENTO]],[2]!PERSONAL_ACTIVO_2024[[#All],[Documento identidad]],[2]!PERSONAL_ACTIVO_2024[[#All],[Mail ]],0,0)</f>
        <v>#NAME?</v>
      </c>
      <c r="AQ878" s="439" cm="1">
        <f t="array" aca="1" ref="AQ878" ca="1">IF(ISBLANK(Contrato5[[#This Row],[DEPENDENCIA ]]),0,IFERROR(_xlfn.XLOOKUP(Contrato5[[#This Row],[DEPENDENCIA ]],[2]!PERSONAL_ACTIVO_2024[[#All],[Dependencia]],[2]!PERSONAL_ACTIVO_2024[[#All],[Mail ]],0,0),0))</f>
        <v>0</v>
      </c>
    </row>
    <row r="879" spans="1:43" ht="34.5" customHeight="1">
      <c r="A879" s="596">
        <v>1284</v>
      </c>
      <c r="B879" s="499">
        <v>741</v>
      </c>
      <c r="C879" s="162" t="s">
        <v>2285</v>
      </c>
      <c r="D879" s="227" t="s">
        <v>510</v>
      </c>
      <c r="E879" s="227" t="s">
        <v>898</v>
      </c>
      <c r="F879" s="227" t="s">
        <v>255</v>
      </c>
      <c r="G879" s="281" t="s">
        <v>3273</v>
      </c>
      <c r="H879" s="282">
        <v>890982583</v>
      </c>
      <c r="I879" s="309" t="s">
        <v>42</v>
      </c>
      <c r="J879" s="445">
        <v>44352903</v>
      </c>
      <c r="K879" s="131" t="s">
        <v>3274</v>
      </c>
      <c r="L879" s="506" t="s">
        <v>3275</v>
      </c>
      <c r="M879" s="194" t="s">
        <v>3276</v>
      </c>
      <c r="N879" s="177" t="e" cm="1">
        <f t="array" aca="1" ref="N879" ca="1">_xlfn.XLOOKUP(Contrato5[[#This Row],[SUPERVISOR TITULAR]],[2]!PERSONAL_ACTIVO_2024[[#All],[Nombre completo]],[2]!PERSONAL_ACTIVO_2024[[#All],[Documento identidad]],"",0)</f>
        <v>#NAME?</v>
      </c>
      <c r="O879" s="194" t="s">
        <v>514</v>
      </c>
      <c r="P879" s="196" t="e" cm="1">
        <f t="array" aca="1" ref="P879" ca="1">_xlfn.XLOOKUP(Contrato5[[#This Row],[SUPERVISOR SUPLENTE ]],[2]!PERSONAL_ACTIVO_2024[[#All],[Nombre completo]],[2]!PERSONAL_ACTIVO_2024[[#All],[Documento identidad]],"",0)</f>
        <v>#NAME?</v>
      </c>
      <c r="Q879" s="170">
        <v>1109</v>
      </c>
      <c r="R879" s="137" t="e" cm="1">
        <f t="array" aca="1" ref="R879" ca="1">_xlfn.XLOOKUP(Contrato5[[#This Row],[CDP]],[2]!DISPONIBILIDADES_2024[[#All],[consecutivo]],[2]!DISPONIBILIDADES_2024[[#All],[fecha_aprobacion]],"",0)</f>
        <v>#NAME?</v>
      </c>
      <c r="S879" s="138" t="e">
        <f>SUMIF([2]!DISPONIBILIDADES_2024[[#All],[consecutivo]],Contrato5[[#This Row],[CDP]],[2]!DISPONIBILIDADES_2024[[#All],[valor_total_rubro]])</f>
        <v>#REF!</v>
      </c>
      <c r="T879" s="139" t="e" cm="1">
        <f t="array" aca="1" ref="T879" ca="1">_xlfn.XLOOKUP(Contrato5[[#This Row],[CONTRATO]]&amp;Contrato5[[#This Row],[CDP]],[2]!Corr_Contr_CDP[[#All],[CONTRATO-CDP]],[2]!Corr_Contr_CDP[[#All],[CRP]],_xlfn.XLOOKUP(Contrato5[[#This Row],[CDP]],[2]!COMPROMISOS_2024[[#All],[disponibilidad]],[2]!COMPROMISOS_2024[[#All],[consecutivo]],"",0),0)</f>
        <v>#NAME?</v>
      </c>
      <c r="U879" s="140" t="e" cm="1">
        <f t="array" aca="1" ref="U879" ca="1">+_xlfn.XLOOKUP(Contrato5[[#This Row],[RCP]],[2]!COMPROMISOS_2024[[#All],[consecutivo]],[2]!COMPROMISOS_2024[[#All],[fecha_aprobacion]],"",0)</f>
        <v>#NAME?</v>
      </c>
      <c r="V879" s="141" t="e">
        <f ca="1">SUMIF([2]!COMPROMISOS_2024[[#All],[consecutivo]],Contrato5[[#This Row],[RCP]],[2]!COMPROMISOS_2024[[#All],[valor_total]])</f>
        <v>#REF!</v>
      </c>
      <c r="W879" s="160">
        <v>45638</v>
      </c>
      <c r="X879" s="161">
        <v>45644</v>
      </c>
      <c r="Y879" s="143">
        <v>45673</v>
      </c>
      <c r="Z879" s="262">
        <v>45824</v>
      </c>
      <c r="AA879" s="171" t="s">
        <v>3277</v>
      </c>
      <c r="AB879" s="172" t="s">
        <v>1041</v>
      </c>
      <c r="AC879" s="172"/>
      <c r="AD879" s="425">
        <v>202000005871</v>
      </c>
      <c r="AE879" s="147"/>
      <c r="AF879" s="148" t="str">
        <f>TEXT(LEFT(Contrato5[[#This Row],[CONTRATO]],3),"0")</f>
        <v>741</v>
      </c>
      <c r="AG879" s="148" t="str">
        <f>IF(LEN(Contrato5[[#This Row],[Contrato2]])=3,Contrato5[[#This Row],[Contrato2]],TEXT(Contrato5[[#This Row],[Contrato2]],"000"))</f>
        <v>741</v>
      </c>
      <c r="AH879" s="149">
        <f ca="1">IFERROR(_xlfn.DAYS(Contrato5[[#This Row],[Fecha Proyectada liquidación]],TODAY())/30,"")</f>
        <v>6.2</v>
      </c>
      <c r="AI879" s="150">
        <f>+Contrato5[[#This Row],[FECHA TERMINACIÓN ]]+120</f>
        <v>45944</v>
      </c>
      <c r="AJ879" s="147"/>
      <c r="AK879" s="152" t="str">
        <f ca="1">IF(Contrato5[[#This Row],[FECHA TERMINACIÓN ]]&lt;TODAY(), "Terminado",IF(ISNUMBER(Contrato5[[#This Row],[Fecha Real de liquiidación ]]),"Liquidado",IF(Contrato5[[#This Row],[FECHA TERMINACIÓN ]]&gt;=TODAY(),"En ejecución","")))</f>
        <v>En ejecución</v>
      </c>
      <c r="AL879" s="153" t="e">
        <f ca="1">SUMIF([2]!COMPROMISOS_2024[[#All],[consecutivo]],Contrato5[[#This Row],[RCP]],[2]!COMPROMISOS_2024[[#All],[Total pagado]])</f>
        <v>#REF!</v>
      </c>
      <c r="AM879" s="154">
        <f ca="1">IFERROR(Contrato5[[#This Row],[Pagos]]/Contrato5[[#This Row],[VALOR CONTRATO]],0)</f>
        <v>0</v>
      </c>
      <c r="AN879" s="198" t="e">
        <f ca="1">+Contrato5[[#This Row],[VALOR CONTRATO]]-Contrato5[[#This Row],[Pagos]]</f>
        <v>#REF!</v>
      </c>
      <c r="AO879" s="147" t="e" cm="1">
        <f t="array" aca="1" ref="AO879" ca="1">_xlfn.XLOOKUP(Contrato5[[#This Row],[DOCUMENTO ]],[2]!PERSONAL_ACTIVO_2024[[#All],[Documento identidad]],[2]!PERSONAL_ACTIVO_2024[[#All],[Mail ]],0,0)</f>
        <v>#NAME?</v>
      </c>
      <c r="AP879" s="147" t="e" cm="1">
        <f t="array" aca="1" ref="AP879" ca="1">_xlfn.XLOOKUP(Contrato5[[#This Row],[DOCUMENTO]],[2]!PERSONAL_ACTIVO_2024[[#All],[Documento identidad]],[2]!PERSONAL_ACTIVO_2024[[#All],[Mail ]],0,0)</f>
        <v>#NAME?</v>
      </c>
      <c r="AQ879" s="439" cm="1">
        <f t="array" aca="1" ref="AQ879" ca="1">IF(ISBLANK(Contrato5[[#This Row],[DEPENDENCIA ]]),0,IFERROR(_xlfn.XLOOKUP(Contrato5[[#This Row],[DEPENDENCIA ]],[2]!PERSONAL_ACTIVO_2024[[#All],[Dependencia]],[2]!PERSONAL_ACTIVO_2024[[#All],[Mail ]],0,0),0))</f>
        <v>0</v>
      </c>
    </row>
    <row r="880" spans="1:43" ht="34.5" customHeight="1">
      <c r="A880" s="596">
        <v>1268</v>
      </c>
      <c r="B880" s="499">
        <v>742</v>
      </c>
      <c r="C880" s="162" t="s">
        <v>2269</v>
      </c>
      <c r="D880" s="227" t="s">
        <v>510</v>
      </c>
      <c r="E880" s="227" t="s">
        <v>898</v>
      </c>
      <c r="F880" s="227" t="s">
        <v>255</v>
      </c>
      <c r="G880" s="281" t="s">
        <v>3278</v>
      </c>
      <c r="H880" s="282">
        <v>890980917</v>
      </c>
      <c r="I880" s="309" t="s">
        <v>42</v>
      </c>
      <c r="J880" s="445">
        <v>87293729</v>
      </c>
      <c r="K880" s="131" t="s">
        <v>3279</v>
      </c>
      <c r="L880" s="506" t="s">
        <v>3275</v>
      </c>
      <c r="M880" s="194" t="s">
        <v>3276</v>
      </c>
      <c r="N880" s="177" t="e" cm="1">
        <f t="array" aca="1" ref="N880" ca="1">_xlfn.XLOOKUP(Contrato5[[#This Row],[SUPERVISOR TITULAR]],[2]!PERSONAL_ACTIVO_2024[[#All],[Nombre completo]],[2]!PERSONAL_ACTIVO_2024[[#All],[Documento identidad]],"",0)</f>
        <v>#NAME?</v>
      </c>
      <c r="O880" s="194" t="s">
        <v>514</v>
      </c>
      <c r="P880" s="196" t="e" cm="1">
        <f t="array" aca="1" ref="P880" ca="1">_xlfn.XLOOKUP(Contrato5[[#This Row],[SUPERVISOR SUPLENTE ]],[2]!PERSONAL_ACTIVO_2024[[#All],[Nombre completo]],[2]!PERSONAL_ACTIVO_2024[[#All],[Documento identidad]],"",0)</f>
        <v>#NAME?</v>
      </c>
      <c r="Q880" s="170">
        <v>1115</v>
      </c>
      <c r="R880" s="137" t="e" cm="1">
        <f t="array" aca="1" ref="R880" ca="1">_xlfn.XLOOKUP(Contrato5[[#This Row],[CDP]],[2]!DISPONIBILIDADES_2024[[#All],[consecutivo]],[2]!DISPONIBILIDADES_2024[[#All],[fecha_aprobacion]],"",0)</f>
        <v>#NAME?</v>
      </c>
      <c r="S880" s="138" t="e">
        <f>SUMIF([2]!DISPONIBILIDADES_2024[[#All],[consecutivo]],Contrato5[[#This Row],[CDP]],[2]!DISPONIBILIDADES_2024[[#All],[valor_total_rubro]])</f>
        <v>#REF!</v>
      </c>
      <c r="T880" s="139" t="e" cm="1">
        <f t="array" aca="1" ref="T880" ca="1">_xlfn.XLOOKUP(Contrato5[[#This Row],[CONTRATO]]&amp;Contrato5[[#This Row],[CDP]],[2]!Corr_Contr_CDP[[#All],[CONTRATO-CDP]],[2]!Corr_Contr_CDP[[#All],[CRP]],_xlfn.XLOOKUP(Contrato5[[#This Row],[CDP]],[2]!COMPROMISOS_2024[[#All],[disponibilidad]],[2]!COMPROMISOS_2024[[#All],[consecutivo]],"",0),0)</f>
        <v>#NAME?</v>
      </c>
      <c r="U880" s="140" t="e" cm="1">
        <f t="array" aca="1" ref="U880" ca="1">+_xlfn.XLOOKUP(Contrato5[[#This Row],[RCP]],[2]!COMPROMISOS_2024[[#All],[consecutivo]],[2]!COMPROMISOS_2024[[#All],[fecha_aprobacion]],"",0)</f>
        <v>#NAME?</v>
      </c>
      <c r="V880" s="141" t="e">
        <f ca="1">SUMIF([2]!COMPROMISOS_2024[[#All],[consecutivo]],Contrato5[[#This Row],[RCP]],[2]!COMPROMISOS_2024[[#All],[valor_total]])</f>
        <v>#REF!</v>
      </c>
      <c r="W880" s="160">
        <v>45645</v>
      </c>
      <c r="X880" s="161">
        <v>45652</v>
      </c>
      <c r="Y880" s="143">
        <v>45672</v>
      </c>
      <c r="Z880" s="262">
        <v>45853</v>
      </c>
      <c r="AA880" s="171" t="s">
        <v>3280</v>
      </c>
      <c r="AB880" s="172" t="s">
        <v>640</v>
      </c>
      <c r="AC880" s="172"/>
      <c r="AD880" s="425">
        <v>202000005874</v>
      </c>
      <c r="AE880" s="147"/>
      <c r="AF880" s="148" t="str">
        <f>TEXT(LEFT(Contrato5[[#This Row],[CONTRATO]],3),"0")</f>
        <v>742</v>
      </c>
      <c r="AG880" s="148" t="str">
        <f>IF(LEN(Contrato5[[#This Row],[Contrato2]])=3,Contrato5[[#This Row],[Contrato2]],TEXT(Contrato5[[#This Row],[Contrato2]],"000"))</f>
        <v>742</v>
      </c>
      <c r="AH880" s="149">
        <f ca="1">IFERROR(_xlfn.DAYS(Contrato5[[#This Row],[Fecha Proyectada liquidación]],TODAY())/30,"")</f>
        <v>7.166666666666667</v>
      </c>
      <c r="AI880" s="150">
        <f>+Contrato5[[#This Row],[FECHA TERMINACIÓN ]]+120</f>
        <v>45973</v>
      </c>
      <c r="AJ880" s="147"/>
      <c r="AK880" s="152" t="str">
        <f ca="1">IF(Contrato5[[#This Row],[FECHA TERMINACIÓN ]]&lt;TODAY(), "Terminado",IF(ISNUMBER(Contrato5[[#This Row],[Fecha Real de liquiidación ]]),"Liquidado",IF(Contrato5[[#This Row],[FECHA TERMINACIÓN ]]&gt;=TODAY(),"En ejecución","")))</f>
        <v>En ejecución</v>
      </c>
      <c r="AL880" s="153" t="e">
        <f ca="1">SUMIF([2]!COMPROMISOS_2024[[#All],[consecutivo]],Contrato5[[#This Row],[RCP]],[2]!COMPROMISOS_2024[[#All],[Total pagado]])</f>
        <v>#REF!</v>
      </c>
      <c r="AM880" s="154">
        <f ca="1">IFERROR(Contrato5[[#This Row],[Pagos]]/Contrato5[[#This Row],[VALOR CONTRATO]],0)</f>
        <v>0</v>
      </c>
      <c r="AN880" s="198" t="e">
        <f ca="1">+Contrato5[[#This Row],[VALOR CONTRATO]]-Contrato5[[#This Row],[Pagos]]</f>
        <v>#REF!</v>
      </c>
      <c r="AO880" s="147" t="e" cm="1">
        <f t="array" aca="1" ref="AO880" ca="1">_xlfn.XLOOKUP(Contrato5[[#This Row],[DOCUMENTO ]],[2]!PERSONAL_ACTIVO_2024[[#All],[Documento identidad]],[2]!PERSONAL_ACTIVO_2024[[#All],[Mail ]],0,0)</f>
        <v>#NAME?</v>
      </c>
      <c r="AP880" s="147" t="e" cm="1">
        <f t="array" aca="1" ref="AP880" ca="1">_xlfn.XLOOKUP(Contrato5[[#This Row],[DOCUMENTO]],[2]!PERSONAL_ACTIVO_2024[[#All],[Documento identidad]],[2]!PERSONAL_ACTIVO_2024[[#All],[Mail ]],0,0)</f>
        <v>#NAME?</v>
      </c>
      <c r="AQ880" s="439" cm="1">
        <f t="array" aca="1" ref="AQ880" ca="1">IF(ISBLANK(Contrato5[[#This Row],[DEPENDENCIA ]]),0,IFERROR(_xlfn.XLOOKUP(Contrato5[[#This Row],[DEPENDENCIA ]],[2]!PERSONAL_ACTIVO_2024[[#All],[Dependencia]],[2]!PERSONAL_ACTIVO_2024[[#All],[Mail ]],0,0),0))</f>
        <v>0</v>
      </c>
    </row>
    <row r="881" spans="1:43" ht="34.5" customHeight="1">
      <c r="A881" s="596">
        <v>1273</v>
      </c>
      <c r="B881" s="499">
        <v>743</v>
      </c>
      <c r="C881" s="162" t="s">
        <v>2274</v>
      </c>
      <c r="D881" s="227" t="s">
        <v>510</v>
      </c>
      <c r="E881" s="227" t="s">
        <v>898</v>
      </c>
      <c r="F881" s="227" t="s">
        <v>255</v>
      </c>
      <c r="G881" s="281" t="s">
        <v>3281</v>
      </c>
      <c r="H881" s="282">
        <v>890982123</v>
      </c>
      <c r="I881" s="309" t="s">
        <v>42</v>
      </c>
      <c r="J881" s="445">
        <v>130984491</v>
      </c>
      <c r="K881" s="131" t="s">
        <v>3282</v>
      </c>
      <c r="L881" s="438" t="s">
        <v>2578</v>
      </c>
      <c r="M881" s="194" t="s">
        <v>3276</v>
      </c>
      <c r="N881" s="177" t="e" cm="1">
        <f t="array" aca="1" ref="N881" ca="1">_xlfn.XLOOKUP(Contrato5[[#This Row],[SUPERVISOR TITULAR]],[2]!PERSONAL_ACTIVO_2024[[#All],[Nombre completo]],[2]!PERSONAL_ACTIVO_2024[[#All],[Documento identidad]],"",0)</f>
        <v>#NAME?</v>
      </c>
      <c r="O881" s="194" t="s">
        <v>514</v>
      </c>
      <c r="P881" s="196" t="e" cm="1">
        <f t="array" aca="1" ref="P881" ca="1">_xlfn.XLOOKUP(Contrato5[[#This Row],[SUPERVISOR SUPLENTE ]],[2]!PERSONAL_ACTIVO_2024[[#All],[Nombre completo]],[2]!PERSONAL_ACTIVO_2024[[#All],[Documento identidad]],"",0)</f>
        <v>#NAME?</v>
      </c>
      <c r="Q881" s="170">
        <v>1118</v>
      </c>
      <c r="R881" s="137" t="e" cm="1">
        <f t="array" aca="1" ref="R881" ca="1">_xlfn.XLOOKUP(Contrato5[[#This Row],[CDP]],[2]!DISPONIBILIDADES_2024[[#All],[consecutivo]],[2]!DISPONIBILIDADES_2024[[#All],[fecha_aprobacion]],"",0)</f>
        <v>#NAME?</v>
      </c>
      <c r="S881" s="138" t="e">
        <f>SUMIF([2]!DISPONIBILIDADES_2024[[#All],[consecutivo]],Contrato5[[#This Row],[CDP]],[2]!DISPONIBILIDADES_2024[[#All],[valor_total_rubro]])</f>
        <v>#REF!</v>
      </c>
      <c r="T881" s="139" t="e" cm="1">
        <f t="array" aca="1" ref="T881" ca="1">_xlfn.XLOOKUP(Contrato5[[#This Row],[CONTRATO]]&amp;Contrato5[[#This Row],[CDP]],[2]!Corr_Contr_CDP[[#All],[CONTRATO-CDP]],[2]!Corr_Contr_CDP[[#All],[CRP]],_xlfn.XLOOKUP(Contrato5[[#This Row],[CDP]],[2]!COMPROMISOS_2024[[#All],[disponibilidad]],[2]!COMPROMISOS_2024[[#All],[consecutivo]],"",0),0)</f>
        <v>#NAME?</v>
      </c>
      <c r="U881" s="140" t="e" cm="1">
        <f t="array" aca="1" ref="U881" ca="1">+_xlfn.XLOOKUP(Contrato5[[#This Row],[RCP]],[2]!COMPROMISOS_2024[[#All],[consecutivo]],[2]!COMPROMISOS_2024[[#All],[fecha_aprobacion]],"",0)</f>
        <v>#NAME?</v>
      </c>
      <c r="V881" s="141" t="e">
        <f ca="1">SUMIF([2]!COMPROMISOS_2024[[#All],[consecutivo]],Contrato5[[#This Row],[RCP]],[2]!COMPROMISOS_2024[[#All],[valor_total]])</f>
        <v>#REF!</v>
      </c>
      <c r="W881" s="160">
        <v>45645</v>
      </c>
      <c r="X881" s="161">
        <v>45649</v>
      </c>
      <c r="Y881" s="143">
        <v>45678</v>
      </c>
      <c r="Z881" s="262">
        <v>45890</v>
      </c>
      <c r="AA881" s="171" t="s">
        <v>3283</v>
      </c>
      <c r="AB881" s="172" t="s">
        <v>618</v>
      </c>
      <c r="AC881" s="172"/>
      <c r="AD881" s="425">
        <v>202000005880</v>
      </c>
      <c r="AE881" s="147"/>
      <c r="AF881" s="148" t="str">
        <f>TEXT(LEFT(Contrato5[[#This Row],[CONTRATO]],3),"0")</f>
        <v>743</v>
      </c>
      <c r="AG881" s="148" t="str">
        <f>IF(LEN(Contrato5[[#This Row],[Contrato2]])=3,Contrato5[[#This Row],[Contrato2]],TEXT(Contrato5[[#This Row],[Contrato2]],"000"))</f>
        <v>743</v>
      </c>
      <c r="AH881" s="149">
        <f ca="1">IFERROR(_xlfn.DAYS(Contrato5[[#This Row],[Fecha Proyectada liquidación]],TODAY())/30,"")</f>
        <v>8.4</v>
      </c>
      <c r="AI881" s="150">
        <f>+Contrato5[[#This Row],[FECHA TERMINACIÓN ]]+120</f>
        <v>46010</v>
      </c>
      <c r="AJ881" s="147"/>
      <c r="AK881" s="152" t="str">
        <f ca="1">IF(Contrato5[[#This Row],[FECHA TERMINACIÓN ]]&lt;TODAY(), "Terminado",IF(ISNUMBER(Contrato5[[#This Row],[Fecha Real de liquiidación ]]),"Liquidado",IF(Contrato5[[#This Row],[FECHA TERMINACIÓN ]]&gt;=TODAY(),"En ejecución","")))</f>
        <v>En ejecución</v>
      </c>
      <c r="AL881" s="153" t="e">
        <f ca="1">SUMIF([2]!COMPROMISOS_2024[[#All],[consecutivo]],Contrato5[[#This Row],[RCP]],[2]!COMPROMISOS_2024[[#All],[Total pagado]])</f>
        <v>#REF!</v>
      </c>
      <c r="AM881" s="154">
        <f ca="1">IFERROR(Contrato5[[#This Row],[Pagos]]/Contrato5[[#This Row],[VALOR CONTRATO]],0)</f>
        <v>0</v>
      </c>
      <c r="AN881" s="198" t="e">
        <f ca="1">+Contrato5[[#This Row],[VALOR CONTRATO]]-Contrato5[[#This Row],[Pagos]]</f>
        <v>#REF!</v>
      </c>
      <c r="AO881" s="147" t="e" cm="1">
        <f t="array" aca="1" ref="AO881" ca="1">_xlfn.XLOOKUP(Contrato5[[#This Row],[DOCUMENTO ]],[2]!PERSONAL_ACTIVO_2024[[#All],[Documento identidad]],[2]!PERSONAL_ACTIVO_2024[[#All],[Mail ]],0,0)</f>
        <v>#NAME?</v>
      </c>
      <c r="AP881" s="147" t="e" cm="1">
        <f t="array" aca="1" ref="AP881" ca="1">_xlfn.XLOOKUP(Contrato5[[#This Row],[DOCUMENTO]],[2]!PERSONAL_ACTIVO_2024[[#All],[Documento identidad]],[2]!PERSONAL_ACTIVO_2024[[#All],[Mail ]],0,0)</f>
        <v>#NAME?</v>
      </c>
      <c r="AQ881" s="439" cm="1">
        <f t="array" aca="1" ref="AQ881" ca="1">IF(ISBLANK(Contrato5[[#This Row],[DEPENDENCIA ]]),0,IFERROR(_xlfn.XLOOKUP(Contrato5[[#This Row],[DEPENDENCIA ]],[2]!PERSONAL_ACTIVO_2024[[#All],[Dependencia]],[2]!PERSONAL_ACTIVO_2024[[#All],[Mail ]],0,0),0))</f>
        <v>0</v>
      </c>
    </row>
    <row r="882" spans="1:43" ht="90" customHeight="1">
      <c r="A882" s="147">
        <v>1303</v>
      </c>
      <c r="B882" s="499">
        <v>744</v>
      </c>
      <c r="C882" s="162" t="s">
        <v>2027</v>
      </c>
      <c r="D882" s="128" t="s">
        <v>493</v>
      </c>
      <c r="E882" s="128" t="s">
        <v>94</v>
      </c>
      <c r="F882" s="227" t="s">
        <v>161</v>
      </c>
      <c r="G882" s="290" t="s">
        <v>3284</v>
      </c>
      <c r="H882" s="447">
        <v>800105497</v>
      </c>
      <c r="I882" s="309" t="s">
        <v>42</v>
      </c>
      <c r="J882" s="456">
        <v>1642344247</v>
      </c>
      <c r="K882" s="597" t="s">
        <v>3285</v>
      </c>
      <c r="L882" s="438" t="s">
        <v>2606</v>
      </c>
      <c r="M882" s="194" t="s">
        <v>1074</v>
      </c>
      <c r="N882" s="177" t="e" cm="1">
        <f t="array" aca="1" ref="N882" ca="1">_xlfn.XLOOKUP(Contrato5[[#This Row],[SUPERVISOR TITULAR]],[2]!PERSONAL_ACTIVO_2024[[#All],[Nombre completo]],[2]!PERSONAL_ACTIVO_2024[[#All],[Documento identidad]],"",0)</f>
        <v>#NAME?</v>
      </c>
      <c r="O882" s="194" t="s">
        <v>2624</v>
      </c>
      <c r="P882" s="196" t="e" cm="1">
        <f t="array" aca="1" ref="P882" ca="1">_xlfn.XLOOKUP(Contrato5[[#This Row],[SUPERVISOR SUPLENTE ]],[2]!PERSONAL_ACTIVO_2024[[#All],[Nombre completo]],[2]!PERSONAL_ACTIVO_2024[[#All],[Documento identidad]],"",0)</f>
        <v>#NAME?</v>
      </c>
      <c r="Q882" s="170">
        <v>1183</v>
      </c>
      <c r="R882" s="137" t="s">
        <v>3286</v>
      </c>
      <c r="S882" s="138">
        <v>1642344247</v>
      </c>
      <c r="T882" s="139" t="s">
        <v>290</v>
      </c>
      <c r="U882" s="140" t="s">
        <v>290</v>
      </c>
      <c r="V882" s="141">
        <v>0</v>
      </c>
      <c r="W882" s="160">
        <v>45638</v>
      </c>
      <c r="X882" s="161">
        <v>45646</v>
      </c>
      <c r="Y882" s="143">
        <v>45646</v>
      </c>
      <c r="Z882" s="262">
        <v>45797</v>
      </c>
      <c r="AA882" s="171" t="s">
        <v>3287</v>
      </c>
      <c r="AB882" s="172" t="s">
        <v>1041</v>
      </c>
      <c r="AC882" s="172"/>
      <c r="AD882" s="425">
        <v>202000005798</v>
      </c>
      <c r="AE882" s="147" t="s">
        <v>523</v>
      </c>
      <c r="AF882" s="148" t="str">
        <f>TEXT(LEFT(Contrato5[[#This Row],[CONTRATO]],3),"0")</f>
        <v>744</v>
      </c>
      <c r="AG882" s="148" t="str">
        <f>IF(LEN(Contrato5[[#This Row],[Contrato2]])=3,Contrato5[[#This Row],[Contrato2]],TEXT(Contrato5[[#This Row],[Contrato2]],"000"))</f>
        <v>744</v>
      </c>
      <c r="AH882" s="149">
        <f ca="1">IFERROR(_xlfn.DAYS(Contrato5[[#This Row],[Fecha Proyectada liquidación]],TODAY())/30,"")</f>
        <v>5.3</v>
      </c>
      <c r="AI882" s="150">
        <f>+Contrato5[[#This Row],[FECHA TERMINACIÓN ]]+120</f>
        <v>45917</v>
      </c>
      <c r="AJ882" s="147"/>
      <c r="AK882" s="152" t="str">
        <f ca="1">IF(Contrato5[[#This Row],[FECHA TERMINACIÓN ]]&lt;TODAY(), "Terminado",IF(ISNUMBER(Contrato5[[#This Row],[Fecha Real de liquiidación ]]),"Liquidado",IF(Contrato5[[#This Row],[FECHA TERMINACIÓN ]]&gt;=TODAY(),"En ejecución","")))</f>
        <v>En ejecución</v>
      </c>
      <c r="AL882" s="153" t="e">
        <f>SUMIF([2]!COMPROMISOS_2024[[#All],[consecutivo]],Contrato5[[#This Row],[RCP]],[2]!COMPROMISOS_2024[[#All],[Total pagado]])</f>
        <v>#REF!</v>
      </c>
      <c r="AM882" s="154">
        <f>IFERROR(Contrato5[[#This Row],[Pagos]]/Contrato5[[#This Row],[VALOR CONTRATO]],0)</f>
        <v>0</v>
      </c>
      <c r="AN882" s="198" t="e">
        <f>+Contrato5[[#This Row],[VALOR CONTRATO]]-Contrato5[[#This Row],[Pagos]]</f>
        <v>#REF!</v>
      </c>
      <c r="AO882" s="147" t="e" cm="1">
        <f t="array" aca="1" ref="AO882" ca="1">_xlfn.XLOOKUP(Contrato5[[#This Row],[DOCUMENTO ]],[2]!PERSONAL_ACTIVO_2024[[#All],[Documento identidad]],[2]!PERSONAL_ACTIVO_2024[[#All],[Mail ]],0,0)</f>
        <v>#NAME?</v>
      </c>
      <c r="AP882" s="147" t="e" cm="1">
        <f t="array" aca="1" ref="AP882" ca="1">_xlfn.XLOOKUP(Contrato5[[#This Row],[DOCUMENTO]],[2]!PERSONAL_ACTIVO_2024[[#All],[Documento identidad]],[2]!PERSONAL_ACTIVO_2024[[#All],[Mail ]],0,0)</f>
        <v>#NAME?</v>
      </c>
      <c r="AQ882" s="439" cm="1">
        <f t="array" aca="1" ref="AQ882" ca="1">IF(ISBLANK(Contrato5[[#This Row],[DEPENDENCIA ]]),0,IFERROR(_xlfn.XLOOKUP(Contrato5[[#This Row],[DEPENDENCIA ]],[2]!PERSONAL_ACTIVO_2024[[#All],[Dependencia]],[2]!PERSONAL_ACTIVO_2024[[#All],[Mail ]],0,0),0))</f>
        <v>0</v>
      </c>
    </row>
    <row r="883" spans="1:43" ht="47.25" customHeight="1">
      <c r="A883" s="147" t="s">
        <v>886</v>
      </c>
      <c r="B883" s="499">
        <v>745</v>
      </c>
      <c r="C883" s="162" t="s">
        <v>3288</v>
      </c>
      <c r="D883" s="128" t="s">
        <v>42</v>
      </c>
      <c r="E883" s="128" t="s">
        <v>42</v>
      </c>
      <c r="F883" s="227" t="s">
        <v>1297</v>
      </c>
      <c r="G883" s="290" t="s">
        <v>887</v>
      </c>
      <c r="H883" s="447">
        <v>0</v>
      </c>
      <c r="I883" s="455">
        <v>0</v>
      </c>
      <c r="J883" s="456">
        <v>0</v>
      </c>
      <c r="K883" s="284">
        <v>0</v>
      </c>
      <c r="L883" s="438" t="s">
        <v>2646</v>
      </c>
      <c r="M883" s="194"/>
      <c r="N883" s="177" t="e" cm="1">
        <f t="array" aca="1" ref="N883" ca="1">_xlfn.XLOOKUP(Contrato5[[#This Row],[SUPERVISOR TITULAR]],[2]!PERSONAL_ACTIVO_2024[[#All],[Nombre completo]],[2]!PERSONAL_ACTIVO_2024[[#All],[Documento identidad]],"",0)</f>
        <v>#NAME?</v>
      </c>
      <c r="O883" s="194"/>
      <c r="P883" s="196" t="e" cm="1">
        <f t="array" aca="1" ref="P883" ca="1">_xlfn.XLOOKUP(Contrato5[[#This Row],[SUPERVISOR SUPLENTE ]],[2]!PERSONAL_ACTIVO_2024[[#All],[Nombre completo]],[2]!PERSONAL_ACTIVO_2024[[#All],[Documento identidad]],"",0)</f>
        <v>#NAME?</v>
      </c>
      <c r="Q883" s="191">
        <v>0</v>
      </c>
      <c r="R883" s="137" t="e" cm="1">
        <f t="array" aca="1" ref="R883" ca="1">_xlfn.XLOOKUP(Contrato5[[#This Row],[CDP]],[2]!DISPONIBILIDADES_2024[[#All],[consecutivo]],[2]!DISPONIBILIDADES_2024[[#All],[fecha_aprobacion]],"",0)</f>
        <v>#NAME?</v>
      </c>
      <c r="S883" s="138" t="e">
        <f>SUMIF([2]!DISPONIBILIDADES_2024[[#All],[consecutivo]],Contrato5[[#This Row],[CDP]],[2]!DISPONIBILIDADES_2024[[#All],[valor_total_rubro]])</f>
        <v>#REF!</v>
      </c>
      <c r="T883" s="139" t="e" cm="1">
        <f t="array" aca="1" ref="T883" ca="1">_xlfn.XLOOKUP(Contrato5[[#This Row],[CONTRATO]]&amp;Contrato5[[#This Row],[CDP]],[2]!Corr_Contr_CDP[[#All],[CONTRATO-CDP]],[2]!Corr_Contr_CDP[[#All],[CRP]],_xlfn.XLOOKUP(Contrato5[[#This Row],[CDP]],[2]!COMPROMISOS_2024[[#All],[disponibilidad]],[2]!COMPROMISOS_2024[[#All],[consecutivo]],"",0),0)</f>
        <v>#NAME?</v>
      </c>
      <c r="U883" s="140" t="e" cm="1">
        <f t="array" aca="1" ref="U883" ca="1">+_xlfn.XLOOKUP(Contrato5[[#This Row],[RCP]],[2]!COMPROMISOS_2024[[#All],[consecutivo]],[2]!COMPROMISOS_2024[[#All],[fecha_aprobacion]],"",0)</f>
        <v>#NAME?</v>
      </c>
      <c r="V883" s="141" t="e">
        <f ca="1">SUMIF([2]!COMPROMISOS_2024[[#All],[consecutivo]],Contrato5[[#This Row],[RCP]],[2]!COMPROMISOS_2024[[#All],[valor_total]])</f>
        <v>#REF!</v>
      </c>
      <c r="W883" s="160"/>
      <c r="X883" s="161"/>
      <c r="Y883" s="143" t="e">
        <f ca="1">+LEFT(_xlfn.XLOOKUP(Contrato5[[#This Row],[CONTRATO3DIG]],[2]SECOP_II!AE:AE,[2]SECOP_II!F:F,"",0),10)</f>
        <v>#NAME?</v>
      </c>
      <c r="Z883" s="262"/>
      <c r="AA883" s="183"/>
      <c r="AB883" s="191">
        <v>0</v>
      </c>
      <c r="AC883" s="172"/>
      <c r="AD883" s="288"/>
      <c r="AE883" s="147"/>
      <c r="AF883" s="148" t="str">
        <f>TEXT(LEFT(Contrato5[[#This Row],[CONTRATO]],3),"0")</f>
        <v>745</v>
      </c>
      <c r="AG883" s="148" t="str">
        <f>IF(LEN(Contrato5[[#This Row],[Contrato2]])=3,Contrato5[[#This Row],[Contrato2]],TEXT(Contrato5[[#This Row],[Contrato2]],"000"))</f>
        <v>745</v>
      </c>
      <c r="AH883" s="149">
        <f ca="1">IFERROR(_xlfn.DAYS(Contrato5[[#This Row],[Fecha Proyectada liquidación]],TODAY())/30,"")</f>
        <v>-1521.2666666666667</v>
      </c>
      <c r="AI883" s="150">
        <f>+Contrato5[[#This Row],[FECHA TERMINACIÓN ]]+120</f>
        <v>120</v>
      </c>
      <c r="AJ883" s="147"/>
      <c r="AK883" s="152" t="str">
        <f ca="1">IF(Contrato5[[#This Row],[FECHA TERMINACIÓN ]]&lt;TODAY(), "Terminado",IF(ISNUMBER(Contrato5[[#This Row],[Fecha Real de liquiidación ]]),"Liquidado",IF(Contrato5[[#This Row],[FECHA TERMINACIÓN ]]&gt;=TODAY(),"En ejecución","")))</f>
        <v>Terminado</v>
      </c>
      <c r="AL883" s="153" t="e">
        <f ca="1">SUMIF([2]!COMPROMISOS_2024[[#All],[consecutivo]],Contrato5[[#This Row],[RCP]],[2]!COMPROMISOS_2024[[#All],[Total pagado]])</f>
        <v>#REF!</v>
      </c>
      <c r="AM883" s="154">
        <f ca="1">IFERROR(Contrato5[[#This Row],[Pagos]]/Contrato5[[#This Row],[VALOR CONTRATO]],0)</f>
        <v>0</v>
      </c>
      <c r="AN883" s="198" t="e">
        <f ca="1">+Contrato5[[#This Row],[VALOR CONTRATO]]-Contrato5[[#This Row],[Pagos]]</f>
        <v>#REF!</v>
      </c>
      <c r="AO883" s="147" t="e" cm="1">
        <f t="array" aca="1" ref="AO883" ca="1">_xlfn.XLOOKUP(Contrato5[[#This Row],[DOCUMENTO ]],[2]!PERSONAL_ACTIVO_2024[[#All],[Documento identidad]],[2]!PERSONAL_ACTIVO_2024[[#All],[Mail ]],0,0)</f>
        <v>#NAME?</v>
      </c>
      <c r="AP883" s="147" t="e" cm="1">
        <f t="array" aca="1" ref="AP883" ca="1">_xlfn.XLOOKUP(Contrato5[[#This Row],[DOCUMENTO]],[2]!PERSONAL_ACTIVO_2024[[#All],[Documento identidad]],[2]!PERSONAL_ACTIVO_2024[[#All],[Mail ]],0,0)</f>
        <v>#NAME?</v>
      </c>
      <c r="AQ883" s="439" cm="1">
        <f t="array" aca="1" ref="AQ883" ca="1">IF(ISBLANK(Contrato5[[#This Row],[DEPENDENCIA ]]),0,IFERROR(_xlfn.XLOOKUP(Contrato5[[#This Row],[DEPENDENCIA ]],[2]!PERSONAL_ACTIVO_2024[[#All],[Dependencia]],[2]!PERSONAL_ACTIVO_2024[[#All],[Mail ]],0,0),0))</f>
        <v>0</v>
      </c>
    </row>
    <row r="884" spans="1:43" ht="34.5" customHeight="1">
      <c r="A884" s="596">
        <v>1270</v>
      </c>
      <c r="B884" s="499">
        <v>746</v>
      </c>
      <c r="C884" s="162" t="s">
        <v>2271</v>
      </c>
      <c r="D884" s="227" t="s">
        <v>510</v>
      </c>
      <c r="E884" s="227" t="s">
        <v>94</v>
      </c>
      <c r="F884" s="227" t="s">
        <v>255</v>
      </c>
      <c r="G884" s="281" t="s">
        <v>3289</v>
      </c>
      <c r="H884" s="282">
        <v>890983922</v>
      </c>
      <c r="I884" s="309" t="s">
        <v>42</v>
      </c>
      <c r="J884" s="445">
        <v>63431154</v>
      </c>
      <c r="K884" s="131" t="s">
        <v>3290</v>
      </c>
      <c r="L884" s="506" t="s">
        <v>3275</v>
      </c>
      <c r="M884" s="194" t="s">
        <v>3276</v>
      </c>
      <c r="N884" s="177" t="e" cm="1">
        <f t="array" aca="1" ref="N884" ca="1">_xlfn.XLOOKUP(Contrato5[[#This Row],[SUPERVISOR TITULAR]],[2]!PERSONAL_ACTIVO_2024[[#All],[Nombre completo]],[2]!PERSONAL_ACTIVO_2024[[#All],[Documento identidad]],"",0)</f>
        <v>#NAME?</v>
      </c>
      <c r="O884" s="194" t="s">
        <v>514</v>
      </c>
      <c r="P884" s="196" t="e" cm="1">
        <f t="array" aca="1" ref="P884" ca="1">_xlfn.XLOOKUP(Contrato5[[#This Row],[SUPERVISOR SUPLENTE ]],[2]!PERSONAL_ACTIVO_2024[[#All],[Nombre completo]],[2]!PERSONAL_ACTIVO_2024[[#All],[Documento identidad]],"",0)</f>
        <v>#NAME?</v>
      </c>
      <c r="Q884" s="170">
        <v>1117</v>
      </c>
      <c r="R884" s="137" t="e" cm="1">
        <f t="array" aca="1" ref="R884" ca="1">_xlfn.XLOOKUP(Contrato5[[#This Row],[CDP]],[2]!DISPONIBILIDADES_2024[[#All],[consecutivo]],[2]!DISPONIBILIDADES_2024[[#All],[fecha_aprobacion]],"",0)</f>
        <v>#NAME?</v>
      </c>
      <c r="S884" s="138" t="e">
        <f>SUMIF([2]!DISPONIBILIDADES_2024[[#All],[consecutivo]],Contrato5[[#This Row],[CDP]],[2]!DISPONIBILIDADES_2024[[#All],[valor_total_rubro]])</f>
        <v>#REF!</v>
      </c>
      <c r="T884" s="139" t="e" cm="1">
        <f t="array" aca="1" ref="T884" ca="1">_xlfn.XLOOKUP(Contrato5[[#This Row],[CONTRATO]]&amp;Contrato5[[#This Row],[CDP]],[2]!Corr_Contr_CDP[[#All],[CONTRATO-CDP]],[2]!Corr_Contr_CDP[[#All],[CRP]],_xlfn.XLOOKUP(Contrato5[[#This Row],[CDP]],[2]!COMPROMISOS_2024[[#All],[disponibilidad]],[2]!COMPROMISOS_2024[[#All],[consecutivo]],"",0),0)</f>
        <v>#NAME?</v>
      </c>
      <c r="U884" s="140" t="e" cm="1">
        <f t="array" aca="1" ref="U884" ca="1">+_xlfn.XLOOKUP(Contrato5[[#This Row],[RCP]],[2]!COMPROMISOS_2024[[#All],[consecutivo]],[2]!COMPROMISOS_2024[[#All],[fecha_aprobacion]],"",0)</f>
        <v>#NAME?</v>
      </c>
      <c r="V884" s="141" t="e">
        <f ca="1">SUMIF([2]!COMPROMISOS_2024[[#All],[consecutivo]],Contrato5[[#This Row],[RCP]],[2]!COMPROMISOS_2024[[#All],[valor_total]])</f>
        <v>#REF!</v>
      </c>
      <c r="W884" s="160">
        <v>45637</v>
      </c>
      <c r="X884" s="161">
        <v>45653</v>
      </c>
      <c r="Y884" s="143">
        <v>45673</v>
      </c>
      <c r="Z884" s="262">
        <v>45854</v>
      </c>
      <c r="AA884" s="171" t="s">
        <v>3291</v>
      </c>
      <c r="AB884" s="172" t="s">
        <v>640</v>
      </c>
      <c r="AC884" s="172"/>
      <c r="AD884" s="425">
        <v>202000005881</v>
      </c>
      <c r="AE884" s="147"/>
      <c r="AF884" s="148" t="str">
        <f>TEXT(LEFT(Contrato5[[#This Row],[CONTRATO]],3),"0")</f>
        <v>746</v>
      </c>
      <c r="AG884" s="148" t="str">
        <f>IF(LEN(Contrato5[[#This Row],[Contrato2]])=3,Contrato5[[#This Row],[Contrato2]],TEXT(Contrato5[[#This Row],[Contrato2]],"000"))</f>
        <v>746</v>
      </c>
      <c r="AH884" s="149">
        <f ca="1">IFERROR(_xlfn.DAYS(Contrato5[[#This Row],[Fecha Proyectada liquidación]],TODAY())/30,"")</f>
        <v>7.2</v>
      </c>
      <c r="AI884" s="150">
        <f>+Contrato5[[#This Row],[FECHA TERMINACIÓN ]]+120</f>
        <v>45974</v>
      </c>
      <c r="AJ884" s="147"/>
      <c r="AK884" s="152" t="str">
        <f ca="1">IF(Contrato5[[#This Row],[FECHA TERMINACIÓN ]]&lt;TODAY(), "Terminado",IF(ISNUMBER(Contrato5[[#This Row],[Fecha Real de liquiidación ]]),"Liquidado",IF(Contrato5[[#This Row],[FECHA TERMINACIÓN ]]&gt;=TODAY(),"En ejecución","")))</f>
        <v>En ejecución</v>
      </c>
      <c r="AL884" s="153" t="e">
        <f ca="1">SUMIF([2]!COMPROMISOS_2024[[#All],[consecutivo]],Contrato5[[#This Row],[RCP]],[2]!COMPROMISOS_2024[[#All],[Total pagado]])</f>
        <v>#REF!</v>
      </c>
      <c r="AM884" s="154">
        <f ca="1">IFERROR(Contrato5[[#This Row],[Pagos]]/Contrato5[[#This Row],[VALOR CONTRATO]],0)</f>
        <v>0</v>
      </c>
      <c r="AN884" s="198" t="e">
        <f ca="1">+Contrato5[[#This Row],[VALOR CONTRATO]]-Contrato5[[#This Row],[Pagos]]</f>
        <v>#REF!</v>
      </c>
      <c r="AO884" s="147" t="e" cm="1">
        <f t="array" aca="1" ref="AO884" ca="1">_xlfn.XLOOKUP(Contrato5[[#This Row],[DOCUMENTO ]],[2]!PERSONAL_ACTIVO_2024[[#All],[Documento identidad]],[2]!PERSONAL_ACTIVO_2024[[#All],[Mail ]],0,0)</f>
        <v>#NAME?</v>
      </c>
      <c r="AP884" s="147" t="e" cm="1">
        <f t="array" aca="1" ref="AP884" ca="1">_xlfn.XLOOKUP(Contrato5[[#This Row],[DOCUMENTO]],[2]!PERSONAL_ACTIVO_2024[[#All],[Documento identidad]],[2]!PERSONAL_ACTIVO_2024[[#All],[Mail ]],0,0)</f>
        <v>#NAME?</v>
      </c>
      <c r="AQ884" s="439" cm="1">
        <f t="array" aca="1" ref="AQ884" ca="1">IF(ISBLANK(Contrato5[[#This Row],[DEPENDENCIA ]]),0,IFERROR(_xlfn.XLOOKUP(Contrato5[[#This Row],[DEPENDENCIA ]],[2]!PERSONAL_ACTIVO_2024[[#All],[Dependencia]],[2]!PERSONAL_ACTIVO_2024[[#All],[Mail ]],0,0),0))</f>
        <v>0</v>
      </c>
    </row>
    <row r="885" spans="1:43" ht="34.5" customHeight="1">
      <c r="A885" s="147">
        <v>1151</v>
      </c>
      <c r="B885" s="499">
        <v>747</v>
      </c>
      <c r="C885" s="162" t="s">
        <v>2143</v>
      </c>
      <c r="D885" s="227" t="s">
        <v>583</v>
      </c>
      <c r="E885" s="227" t="s">
        <v>898</v>
      </c>
      <c r="F885" s="227" t="s">
        <v>1767</v>
      </c>
      <c r="G885" s="281" t="s">
        <v>3292</v>
      </c>
      <c r="H885" s="282">
        <v>901527289</v>
      </c>
      <c r="I885" s="309" t="s">
        <v>42</v>
      </c>
      <c r="J885" s="445">
        <v>15000000</v>
      </c>
      <c r="K885" s="147" t="s">
        <v>42</v>
      </c>
      <c r="L885" s="438" t="s">
        <v>2687</v>
      </c>
      <c r="M885" s="194" t="s">
        <v>600</v>
      </c>
      <c r="N885" s="177" t="e" cm="1">
        <f t="array" aca="1" ref="N885" ca="1">_xlfn.XLOOKUP(Contrato5[[#This Row],[SUPERVISOR TITULAR]],[2]!PERSONAL_ACTIVO_2024[[#All],[Nombre completo]],[2]!PERSONAL_ACTIVO_2024[[#All],[Documento identidad]],"",0)</f>
        <v>#NAME?</v>
      </c>
      <c r="O885" s="194" t="s">
        <v>592</v>
      </c>
      <c r="P885" s="196" t="e" cm="1">
        <f t="array" aca="1" ref="P885" ca="1">_xlfn.XLOOKUP(Contrato5[[#This Row],[SUPERVISOR SUPLENTE ]],[2]!PERSONAL_ACTIVO_2024[[#All],[Nombre completo]],[2]!PERSONAL_ACTIVO_2024[[#All],[Documento identidad]],"",0)</f>
        <v>#NAME?</v>
      </c>
      <c r="Q885" s="170">
        <v>1161</v>
      </c>
      <c r="R885" s="137" t="e" cm="1">
        <f t="array" aca="1" ref="R885" ca="1">_xlfn.XLOOKUP(Contrato5[[#This Row],[CDP]],[2]!DISPONIBILIDADES_2024[[#All],[consecutivo]],[2]!DISPONIBILIDADES_2024[[#All],[fecha_aprobacion]],"",0)</f>
        <v>#NAME?</v>
      </c>
      <c r="S885" s="138" t="e">
        <f>SUMIF([2]!DISPONIBILIDADES_2024[[#All],[consecutivo]],Contrato5[[#This Row],[CDP]],[2]!DISPONIBILIDADES_2024[[#All],[valor_total_rubro]])</f>
        <v>#REF!</v>
      </c>
      <c r="T885" s="139" t="e" cm="1">
        <f t="array" aca="1" ref="T885" ca="1">_xlfn.XLOOKUP(Contrato5[[#This Row],[CONTRATO]]&amp;Contrato5[[#This Row],[CDP]],[2]!Corr_Contr_CDP[[#All],[CONTRATO-CDP]],[2]!Corr_Contr_CDP[[#All],[CRP]],_xlfn.XLOOKUP(Contrato5[[#This Row],[CDP]],[2]!COMPROMISOS_2024[[#All],[disponibilidad]],[2]!COMPROMISOS_2024[[#All],[consecutivo]],"",0),0)</f>
        <v>#NAME?</v>
      </c>
      <c r="U885" s="140" t="e" cm="1">
        <f t="array" aca="1" ref="U885" ca="1">+_xlfn.XLOOKUP(Contrato5[[#This Row],[RCP]],[2]!COMPROMISOS_2024[[#All],[consecutivo]],[2]!COMPROMISOS_2024[[#All],[fecha_aprobacion]],"",0)</f>
        <v>#NAME?</v>
      </c>
      <c r="V885" s="141" t="e">
        <f ca="1">SUMIF([2]!COMPROMISOS_2024[[#All],[consecutivo]],Contrato5[[#This Row],[RCP]],[2]!COMPROMISOS_2024[[#All],[valor_total]])</f>
        <v>#REF!</v>
      </c>
      <c r="W885" s="160">
        <v>45638</v>
      </c>
      <c r="X885" s="161">
        <v>45639</v>
      </c>
      <c r="Y885" s="143">
        <v>45639</v>
      </c>
      <c r="Z885" s="262">
        <v>45656</v>
      </c>
      <c r="AA885" s="183" t="s">
        <v>3293</v>
      </c>
      <c r="AB885" s="172" t="s">
        <v>3294</v>
      </c>
      <c r="AC885" s="172"/>
      <c r="AD885" s="425">
        <v>202000005799</v>
      </c>
      <c r="AE885" s="147" t="s">
        <v>523</v>
      </c>
      <c r="AF885" s="148" t="str">
        <f>TEXT(LEFT(Contrato5[[#This Row],[CONTRATO]],3),"0")</f>
        <v>747</v>
      </c>
      <c r="AG885" s="148" t="str">
        <f>IF(LEN(Contrato5[[#This Row],[Contrato2]])=3,Contrato5[[#This Row],[Contrato2]],TEXT(Contrato5[[#This Row],[Contrato2]],"000"))</f>
        <v>747</v>
      </c>
      <c r="AH885" s="149">
        <f ca="1">IFERROR(_xlfn.DAYS(Contrato5[[#This Row],[Fecha Proyectada liquidación]],TODAY())/30,"")</f>
        <v>0.6</v>
      </c>
      <c r="AI885" s="150">
        <f>+Contrato5[[#This Row],[FECHA TERMINACIÓN ]]+120</f>
        <v>45776</v>
      </c>
      <c r="AJ885" s="147"/>
      <c r="AK885" s="152" t="str">
        <f ca="1">IF(Contrato5[[#This Row],[FECHA TERMINACIÓN ]]&lt;TODAY(), "Terminado",IF(ISNUMBER(Contrato5[[#This Row],[Fecha Real de liquiidación ]]),"Liquidado",IF(Contrato5[[#This Row],[FECHA TERMINACIÓN ]]&gt;=TODAY(),"En ejecución","")))</f>
        <v>Terminado</v>
      </c>
      <c r="AL885" s="153" t="e">
        <f ca="1">SUMIF([2]!COMPROMISOS_2024[[#All],[consecutivo]],Contrato5[[#This Row],[RCP]],[2]!COMPROMISOS_2024[[#All],[Total pagado]])</f>
        <v>#REF!</v>
      </c>
      <c r="AM885" s="154">
        <f ca="1">IFERROR(Contrato5[[#This Row],[Pagos]]/Contrato5[[#This Row],[VALOR CONTRATO]],0)</f>
        <v>0</v>
      </c>
      <c r="AN885" s="198" t="e">
        <f ca="1">+Contrato5[[#This Row],[VALOR CONTRATO]]-Contrato5[[#This Row],[Pagos]]</f>
        <v>#REF!</v>
      </c>
      <c r="AO885" s="147" t="e" cm="1">
        <f t="array" aca="1" ref="AO885" ca="1">_xlfn.XLOOKUP(Contrato5[[#This Row],[DOCUMENTO ]],[2]!PERSONAL_ACTIVO_2024[[#All],[Documento identidad]],[2]!PERSONAL_ACTIVO_2024[[#All],[Mail ]],0,0)</f>
        <v>#NAME?</v>
      </c>
      <c r="AP885" s="147" t="e" cm="1">
        <f t="array" aca="1" ref="AP885" ca="1">_xlfn.XLOOKUP(Contrato5[[#This Row],[DOCUMENTO]],[2]!PERSONAL_ACTIVO_2024[[#All],[Documento identidad]],[2]!PERSONAL_ACTIVO_2024[[#All],[Mail ]],0,0)</f>
        <v>#NAME?</v>
      </c>
      <c r="AQ885" s="439" cm="1">
        <f t="array" aca="1" ref="AQ885" ca="1">IF(ISBLANK(Contrato5[[#This Row],[DEPENDENCIA ]]),0,IFERROR(_xlfn.XLOOKUP(Contrato5[[#This Row],[DEPENDENCIA ]],[2]!PERSONAL_ACTIVO_2024[[#All],[Dependencia]],[2]!PERSONAL_ACTIVO_2024[[#All],[Mail ]],0,0),0))</f>
        <v>0</v>
      </c>
    </row>
    <row r="886" spans="1:43" ht="34.5" customHeight="1">
      <c r="A886" s="596">
        <v>1271</v>
      </c>
      <c r="B886" s="499">
        <v>748</v>
      </c>
      <c r="C886" s="162" t="s">
        <v>2272</v>
      </c>
      <c r="D886" s="227" t="s">
        <v>510</v>
      </c>
      <c r="E886" s="227" t="s">
        <v>94</v>
      </c>
      <c r="F886" s="227" t="s">
        <v>255</v>
      </c>
      <c r="G886" s="281" t="s">
        <v>3295</v>
      </c>
      <c r="H886" s="282">
        <v>890981238</v>
      </c>
      <c r="I886" s="309" t="s">
        <v>42</v>
      </c>
      <c r="J886" s="445">
        <v>394163348</v>
      </c>
      <c r="K886" s="131" t="s">
        <v>3296</v>
      </c>
      <c r="L886" s="438" t="s">
        <v>2599</v>
      </c>
      <c r="M886" s="194" t="s">
        <v>3276</v>
      </c>
      <c r="N886" s="177" t="e" cm="1">
        <f t="array" aca="1" ref="N886" ca="1">_xlfn.XLOOKUP(Contrato5[[#This Row],[SUPERVISOR TITULAR]],[2]!PERSONAL_ACTIVO_2024[[#All],[Nombre completo]],[2]!PERSONAL_ACTIVO_2024[[#All],[Documento identidad]],"",0)</f>
        <v>#NAME?</v>
      </c>
      <c r="O886" s="194" t="s">
        <v>514</v>
      </c>
      <c r="P886" s="196" t="e" cm="1">
        <f t="array" aca="1" ref="P886" ca="1">_xlfn.XLOOKUP(Contrato5[[#This Row],[SUPERVISOR SUPLENTE ]],[2]!PERSONAL_ACTIVO_2024[[#All],[Nombre completo]],[2]!PERSONAL_ACTIVO_2024[[#All],[Documento identidad]],"",0)</f>
        <v>#NAME?</v>
      </c>
      <c r="Q886" s="170">
        <v>1111</v>
      </c>
      <c r="R886" s="137" t="e" cm="1">
        <f t="array" aca="1" ref="R886" ca="1">_xlfn.XLOOKUP(Contrato5[[#This Row],[CDP]],[2]!DISPONIBILIDADES_2024[[#All],[consecutivo]],[2]!DISPONIBILIDADES_2024[[#All],[fecha_aprobacion]],"",0)</f>
        <v>#NAME?</v>
      </c>
      <c r="S886" s="138" t="e">
        <f>SUMIF([2]!DISPONIBILIDADES_2024[[#All],[consecutivo]],Contrato5[[#This Row],[CDP]],[2]!DISPONIBILIDADES_2024[[#All],[valor_total_rubro]])</f>
        <v>#REF!</v>
      </c>
      <c r="T886" s="139" t="e" cm="1">
        <f t="array" aca="1" ref="T886" ca="1">_xlfn.XLOOKUP(Contrato5[[#This Row],[CONTRATO]]&amp;Contrato5[[#This Row],[CDP]],[2]!Corr_Contr_CDP[[#All],[CONTRATO-CDP]],[2]!Corr_Contr_CDP[[#All],[CRP]],_xlfn.XLOOKUP(Contrato5[[#This Row],[CDP]],[2]!COMPROMISOS_2024[[#All],[disponibilidad]],[2]!COMPROMISOS_2024[[#All],[consecutivo]],"",0),0)</f>
        <v>#NAME?</v>
      </c>
      <c r="U886" s="140" t="e" cm="1">
        <f t="array" aca="1" ref="U886" ca="1">+_xlfn.XLOOKUP(Contrato5[[#This Row],[RCP]],[2]!COMPROMISOS_2024[[#All],[consecutivo]],[2]!COMPROMISOS_2024[[#All],[fecha_aprobacion]],"",0)</f>
        <v>#NAME?</v>
      </c>
      <c r="V886" s="141" t="e">
        <f ca="1">SUMIF([2]!COMPROMISOS_2024[[#All],[consecutivo]],Contrato5[[#This Row],[RCP]],[2]!COMPROMISOS_2024[[#All],[valor_total]])</f>
        <v>#REF!</v>
      </c>
      <c r="W886" s="160">
        <v>45642</v>
      </c>
      <c r="X886" s="160" t="s">
        <v>1045</v>
      </c>
      <c r="Y886" s="143">
        <v>45673</v>
      </c>
      <c r="Z886" s="262">
        <v>45885</v>
      </c>
      <c r="AA886" s="171" t="s">
        <v>3297</v>
      </c>
      <c r="AB886" s="172" t="s">
        <v>618</v>
      </c>
      <c r="AC886" s="172"/>
      <c r="AD886" s="425">
        <v>202000005883</v>
      </c>
      <c r="AE886" s="147"/>
      <c r="AF886" s="148" t="str">
        <f>TEXT(LEFT(Contrato5[[#This Row],[CONTRATO]],3),"0")</f>
        <v>748</v>
      </c>
      <c r="AG886" s="148" t="str">
        <f>IF(LEN(Contrato5[[#This Row],[Contrato2]])=3,Contrato5[[#This Row],[Contrato2]],TEXT(Contrato5[[#This Row],[Contrato2]],"000"))</f>
        <v>748</v>
      </c>
      <c r="AH886" s="149">
        <f ca="1">IFERROR(_xlfn.DAYS(Contrato5[[#This Row],[Fecha Proyectada liquidación]],TODAY())/30,"")</f>
        <v>8.2333333333333325</v>
      </c>
      <c r="AI886" s="150">
        <f>+Contrato5[[#This Row],[FECHA TERMINACIÓN ]]+120</f>
        <v>46005</v>
      </c>
      <c r="AJ886" s="147"/>
      <c r="AK886" s="152" t="str">
        <f ca="1">IF(Contrato5[[#This Row],[FECHA TERMINACIÓN ]]&lt;TODAY(), "Terminado",IF(ISNUMBER(Contrato5[[#This Row],[Fecha Real de liquiidación ]]),"Liquidado",IF(Contrato5[[#This Row],[FECHA TERMINACIÓN ]]&gt;=TODAY(),"En ejecución","")))</f>
        <v>En ejecución</v>
      </c>
      <c r="AL886" s="153" t="e">
        <f ca="1">SUMIF([2]!COMPROMISOS_2024[[#All],[consecutivo]],Contrato5[[#This Row],[RCP]],[2]!COMPROMISOS_2024[[#All],[Total pagado]])</f>
        <v>#REF!</v>
      </c>
      <c r="AM886" s="154">
        <f ca="1">IFERROR(Contrato5[[#This Row],[Pagos]]/Contrato5[[#This Row],[VALOR CONTRATO]],0)</f>
        <v>0</v>
      </c>
      <c r="AN886" s="198" t="e">
        <f ca="1">+Contrato5[[#This Row],[VALOR CONTRATO]]-Contrato5[[#This Row],[Pagos]]</f>
        <v>#REF!</v>
      </c>
      <c r="AO886" s="147" t="e" cm="1">
        <f t="array" aca="1" ref="AO886" ca="1">_xlfn.XLOOKUP(Contrato5[[#This Row],[DOCUMENTO ]],[2]!PERSONAL_ACTIVO_2024[[#All],[Documento identidad]],[2]!PERSONAL_ACTIVO_2024[[#All],[Mail ]],0,0)</f>
        <v>#NAME?</v>
      </c>
      <c r="AP886" s="147" t="e" cm="1">
        <f t="array" aca="1" ref="AP886" ca="1">_xlfn.XLOOKUP(Contrato5[[#This Row],[DOCUMENTO]],[2]!PERSONAL_ACTIVO_2024[[#All],[Documento identidad]],[2]!PERSONAL_ACTIVO_2024[[#All],[Mail ]],0,0)</f>
        <v>#NAME?</v>
      </c>
      <c r="AQ886" s="439" cm="1">
        <f t="array" aca="1" ref="AQ886" ca="1">IF(ISBLANK(Contrato5[[#This Row],[DEPENDENCIA ]]),0,IFERROR(_xlfn.XLOOKUP(Contrato5[[#This Row],[DEPENDENCIA ]],[2]!PERSONAL_ACTIVO_2024[[#All],[Dependencia]],[2]!PERSONAL_ACTIVO_2024[[#All],[Mail ]],0,0),0))</f>
        <v>0</v>
      </c>
    </row>
    <row r="887" spans="1:43" ht="34.5" customHeight="1">
      <c r="A887" s="596">
        <v>1277</v>
      </c>
      <c r="B887" s="499">
        <v>749</v>
      </c>
      <c r="C887" s="162" t="s">
        <v>2278</v>
      </c>
      <c r="D887" s="227" t="s">
        <v>510</v>
      </c>
      <c r="E887" s="227" t="s">
        <v>94</v>
      </c>
      <c r="F887" s="227" t="s">
        <v>255</v>
      </c>
      <c r="G887" s="281" t="s">
        <v>3298</v>
      </c>
      <c r="H887" s="282">
        <v>890984030</v>
      </c>
      <c r="I887" s="309" t="s">
        <v>42</v>
      </c>
      <c r="J887" s="445">
        <v>194112389</v>
      </c>
      <c r="K887" s="131" t="s">
        <v>3299</v>
      </c>
      <c r="L887" s="506" t="s">
        <v>3275</v>
      </c>
      <c r="M887" s="194" t="s">
        <v>3276</v>
      </c>
      <c r="N887" s="177" t="e" cm="1">
        <f t="array" aca="1" ref="N887" ca="1">_xlfn.XLOOKUP(Contrato5[[#This Row],[SUPERVISOR TITULAR]],[2]!PERSONAL_ACTIVO_2024[[#All],[Nombre completo]],[2]!PERSONAL_ACTIVO_2024[[#All],[Documento identidad]],"",0)</f>
        <v>#NAME?</v>
      </c>
      <c r="O887" s="194" t="s">
        <v>514</v>
      </c>
      <c r="P887" s="196" t="e" cm="1">
        <f t="array" aca="1" ref="P887" ca="1">_xlfn.XLOOKUP(Contrato5[[#This Row],[SUPERVISOR SUPLENTE ]],[2]!PERSONAL_ACTIVO_2024[[#All],[Nombre completo]],[2]!PERSONAL_ACTIVO_2024[[#All],[Documento identidad]],"",0)</f>
        <v>#NAME?</v>
      </c>
      <c r="Q887" s="170">
        <v>1122</v>
      </c>
      <c r="R887" s="137" t="e" cm="1">
        <f t="array" aca="1" ref="R887" ca="1">_xlfn.XLOOKUP(Contrato5[[#This Row],[CDP]],[2]!DISPONIBILIDADES_2024[[#All],[consecutivo]],[2]!DISPONIBILIDADES_2024[[#All],[fecha_aprobacion]],"",0)</f>
        <v>#NAME?</v>
      </c>
      <c r="S887" s="138" t="e">
        <f>SUMIF([2]!DISPONIBILIDADES_2024[[#All],[consecutivo]],Contrato5[[#This Row],[CDP]],[2]!DISPONIBILIDADES_2024[[#All],[valor_total_rubro]])</f>
        <v>#REF!</v>
      </c>
      <c r="T887" s="139" t="e" cm="1">
        <f t="array" aca="1" ref="T887" ca="1">_xlfn.XLOOKUP(Contrato5[[#This Row],[CONTRATO]]&amp;Contrato5[[#This Row],[CDP]],[2]!Corr_Contr_CDP[[#All],[CONTRATO-CDP]],[2]!Corr_Contr_CDP[[#All],[CRP]],_xlfn.XLOOKUP(Contrato5[[#This Row],[CDP]],[2]!COMPROMISOS_2024[[#All],[disponibilidad]],[2]!COMPROMISOS_2024[[#All],[consecutivo]],"",0),0)</f>
        <v>#NAME?</v>
      </c>
      <c r="U887" s="140" t="e" cm="1">
        <f t="array" aca="1" ref="U887" ca="1">+_xlfn.XLOOKUP(Contrato5[[#This Row],[RCP]],[2]!COMPROMISOS_2024[[#All],[consecutivo]],[2]!COMPROMISOS_2024[[#All],[fecha_aprobacion]],"",0)</f>
        <v>#NAME?</v>
      </c>
      <c r="V887" s="141" t="e">
        <f ca="1">SUMIF([2]!COMPROMISOS_2024[[#All],[consecutivo]],Contrato5[[#This Row],[RCP]],[2]!COMPROMISOS_2024[[#All],[valor_total]])</f>
        <v>#REF!</v>
      </c>
      <c r="W887" s="160">
        <v>45642</v>
      </c>
      <c r="X887" s="161">
        <v>45652</v>
      </c>
      <c r="Y887" s="143">
        <v>45673</v>
      </c>
      <c r="Z887" s="262">
        <v>45854</v>
      </c>
      <c r="AA887" s="171" t="s">
        <v>3300</v>
      </c>
      <c r="AB887" s="172" t="s">
        <v>640</v>
      </c>
      <c r="AC887" s="172"/>
      <c r="AD887" s="425">
        <v>202000005884</v>
      </c>
      <c r="AE887" s="147"/>
      <c r="AF887" s="148" t="str">
        <f>TEXT(LEFT(Contrato5[[#This Row],[CONTRATO]],3),"0")</f>
        <v>749</v>
      </c>
      <c r="AG887" s="148" t="str">
        <f>IF(LEN(Contrato5[[#This Row],[Contrato2]])=3,Contrato5[[#This Row],[Contrato2]],TEXT(Contrato5[[#This Row],[Contrato2]],"000"))</f>
        <v>749</v>
      </c>
      <c r="AH887" s="149">
        <f ca="1">IFERROR(_xlfn.DAYS(Contrato5[[#This Row],[Fecha Proyectada liquidación]],TODAY())/30,"")</f>
        <v>7.2</v>
      </c>
      <c r="AI887" s="150">
        <f>+Contrato5[[#This Row],[FECHA TERMINACIÓN ]]+120</f>
        <v>45974</v>
      </c>
      <c r="AJ887" s="147"/>
      <c r="AK887" s="152" t="str">
        <f ca="1">IF(Contrato5[[#This Row],[FECHA TERMINACIÓN ]]&lt;TODAY(), "Terminado",IF(ISNUMBER(Contrato5[[#This Row],[Fecha Real de liquiidación ]]),"Liquidado",IF(Contrato5[[#This Row],[FECHA TERMINACIÓN ]]&gt;=TODAY(),"En ejecución","")))</f>
        <v>En ejecución</v>
      </c>
      <c r="AL887" s="153" t="e">
        <f ca="1">SUMIF([2]!COMPROMISOS_2024[[#All],[consecutivo]],Contrato5[[#This Row],[RCP]],[2]!COMPROMISOS_2024[[#All],[Total pagado]])</f>
        <v>#REF!</v>
      </c>
      <c r="AM887" s="154">
        <f ca="1">IFERROR(Contrato5[[#This Row],[Pagos]]/Contrato5[[#This Row],[VALOR CONTRATO]],0)</f>
        <v>0</v>
      </c>
      <c r="AN887" s="198" t="e">
        <f ca="1">+Contrato5[[#This Row],[VALOR CONTRATO]]-Contrato5[[#This Row],[Pagos]]</f>
        <v>#REF!</v>
      </c>
      <c r="AO887" s="147" t="e" cm="1">
        <f t="array" aca="1" ref="AO887" ca="1">_xlfn.XLOOKUP(Contrato5[[#This Row],[DOCUMENTO ]],[2]!PERSONAL_ACTIVO_2024[[#All],[Documento identidad]],[2]!PERSONAL_ACTIVO_2024[[#All],[Mail ]],0,0)</f>
        <v>#NAME?</v>
      </c>
      <c r="AP887" s="147" t="e" cm="1">
        <f t="array" aca="1" ref="AP887" ca="1">_xlfn.XLOOKUP(Contrato5[[#This Row],[DOCUMENTO]],[2]!PERSONAL_ACTIVO_2024[[#All],[Documento identidad]],[2]!PERSONAL_ACTIVO_2024[[#All],[Mail ]],0,0)</f>
        <v>#NAME?</v>
      </c>
      <c r="AQ887" s="439" cm="1">
        <f t="array" aca="1" ref="AQ887" ca="1">IF(ISBLANK(Contrato5[[#This Row],[DEPENDENCIA ]]),0,IFERROR(_xlfn.XLOOKUP(Contrato5[[#This Row],[DEPENDENCIA ]],[2]!PERSONAL_ACTIVO_2024[[#All],[Dependencia]],[2]!PERSONAL_ACTIVO_2024[[#All],[Mail ]],0,0),0))</f>
        <v>0</v>
      </c>
    </row>
    <row r="888" spans="1:43" ht="34.5" customHeight="1">
      <c r="A888" s="596">
        <v>1265</v>
      </c>
      <c r="B888" s="499">
        <v>750</v>
      </c>
      <c r="C888" s="162" t="s">
        <v>2266</v>
      </c>
      <c r="D888" s="227" t="s">
        <v>510</v>
      </c>
      <c r="E888" s="227" t="s">
        <v>94</v>
      </c>
      <c r="F888" s="227" t="s">
        <v>255</v>
      </c>
      <c r="G888" s="281" t="s">
        <v>3301</v>
      </c>
      <c r="H888" s="282">
        <v>890980331</v>
      </c>
      <c r="I888" s="309" t="s">
        <v>42</v>
      </c>
      <c r="J888" s="445">
        <v>214229264</v>
      </c>
      <c r="K888" s="131" t="s">
        <v>3302</v>
      </c>
      <c r="L888" s="506" t="s">
        <v>3275</v>
      </c>
      <c r="M888" s="194" t="s">
        <v>3276</v>
      </c>
      <c r="N888" s="177" t="e" cm="1">
        <f t="array" aca="1" ref="N888" ca="1">_xlfn.XLOOKUP(Contrato5[[#This Row],[SUPERVISOR TITULAR]],[2]!PERSONAL_ACTIVO_2024[[#All],[Nombre completo]],[2]!PERSONAL_ACTIVO_2024[[#All],[Documento identidad]],"",0)</f>
        <v>#NAME?</v>
      </c>
      <c r="O888" s="194" t="s">
        <v>514</v>
      </c>
      <c r="P888" s="196" t="e" cm="1">
        <f t="array" aca="1" ref="P888" ca="1">_xlfn.XLOOKUP(Contrato5[[#This Row],[SUPERVISOR SUPLENTE ]],[2]!PERSONAL_ACTIVO_2024[[#All],[Nombre completo]],[2]!PERSONAL_ACTIVO_2024[[#All],[Documento identidad]],"",0)</f>
        <v>#NAME?</v>
      </c>
      <c r="Q888" s="170">
        <v>1113</v>
      </c>
      <c r="R888" s="137" t="e" cm="1">
        <f t="array" aca="1" ref="R888" ca="1">_xlfn.XLOOKUP(Contrato5[[#This Row],[CDP]],[2]!DISPONIBILIDADES_2024[[#All],[consecutivo]],[2]!DISPONIBILIDADES_2024[[#All],[fecha_aprobacion]],"",0)</f>
        <v>#NAME?</v>
      </c>
      <c r="S888" s="138" t="e">
        <f>SUMIF([2]!DISPONIBILIDADES_2024[[#All],[consecutivo]],Contrato5[[#This Row],[CDP]],[2]!DISPONIBILIDADES_2024[[#All],[valor_total_rubro]])</f>
        <v>#REF!</v>
      </c>
      <c r="T888" s="139" t="e" cm="1">
        <f t="array" aca="1" ref="T888" ca="1">_xlfn.XLOOKUP(Contrato5[[#This Row],[CONTRATO]]&amp;Contrato5[[#This Row],[CDP]],[2]!Corr_Contr_CDP[[#All],[CONTRATO-CDP]],[2]!Corr_Contr_CDP[[#All],[CRP]],_xlfn.XLOOKUP(Contrato5[[#This Row],[CDP]],[2]!COMPROMISOS_2024[[#All],[disponibilidad]],[2]!COMPROMISOS_2024[[#All],[consecutivo]],"",0),0)</f>
        <v>#NAME?</v>
      </c>
      <c r="U888" s="140" t="e" cm="1">
        <f t="array" aca="1" ref="U888" ca="1">+_xlfn.XLOOKUP(Contrato5[[#This Row],[RCP]],[2]!COMPROMISOS_2024[[#All],[consecutivo]],[2]!COMPROMISOS_2024[[#All],[fecha_aprobacion]],"",0)</f>
        <v>#NAME?</v>
      </c>
      <c r="V888" s="141" t="e">
        <f ca="1">SUMIF([2]!COMPROMISOS_2024[[#All],[consecutivo]],Contrato5[[#This Row],[RCP]],[2]!COMPROMISOS_2024[[#All],[valor_total]])</f>
        <v>#REF!</v>
      </c>
      <c r="W888" s="160">
        <v>45644</v>
      </c>
      <c r="X888" s="161">
        <v>45650</v>
      </c>
      <c r="Y888" s="143">
        <v>45678</v>
      </c>
      <c r="Z888" s="262">
        <v>45890</v>
      </c>
      <c r="AA888" s="171" t="s">
        <v>3303</v>
      </c>
      <c r="AB888" s="172" t="s">
        <v>618</v>
      </c>
      <c r="AC888" s="172"/>
      <c r="AD888" s="425">
        <v>202000005885</v>
      </c>
      <c r="AE888" s="147"/>
      <c r="AF888" s="148" t="str">
        <f>TEXT(LEFT(Contrato5[[#This Row],[CONTRATO]],3),"0")</f>
        <v>750</v>
      </c>
      <c r="AG888" s="148" t="str">
        <f>IF(LEN(Contrato5[[#This Row],[Contrato2]])=3,Contrato5[[#This Row],[Contrato2]],TEXT(Contrato5[[#This Row],[Contrato2]],"000"))</f>
        <v>750</v>
      </c>
      <c r="AH888" s="149">
        <f ca="1">IFERROR(_xlfn.DAYS(Contrato5[[#This Row],[Fecha Proyectada liquidación]],TODAY())/30,"")</f>
        <v>8.4</v>
      </c>
      <c r="AI888" s="150">
        <f>+Contrato5[[#This Row],[FECHA TERMINACIÓN ]]+120</f>
        <v>46010</v>
      </c>
      <c r="AJ888" s="147"/>
      <c r="AK888" s="152" t="str">
        <f ca="1">IF(Contrato5[[#This Row],[FECHA TERMINACIÓN ]]&lt;TODAY(), "Terminado",IF(ISNUMBER(Contrato5[[#This Row],[Fecha Real de liquiidación ]]),"Liquidado",IF(Contrato5[[#This Row],[FECHA TERMINACIÓN ]]&gt;=TODAY(),"En ejecución","")))</f>
        <v>En ejecución</v>
      </c>
      <c r="AL888" s="153" t="e">
        <f ca="1">SUMIF([2]!COMPROMISOS_2024[[#All],[consecutivo]],Contrato5[[#This Row],[RCP]],[2]!COMPROMISOS_2024[[#All],[Total pagado]])</f>
        <v>#REF!</v>
      </c>
      <c r="AM888" s="154">
        <f ca="1">IFERROR(Contrato5[[#This Row],[Pagos]]/Contrato5[[#This Row],[VALOR CONTRATO]],0)</f>
        <v>0</v>
      </c>
      <c r="AN888" s="198" t="e">
        <f ca="1">+Contrato5[[#This Row],[VALOR CONTRATO]]-Contrato5[[#This Row],[Pagos]]</f>
        <v>#REF!</v>
      </c>
      <c r="AO888" s="147" t="e" cm="1">
        <f t="array" aca="1" ref="AO888" ca="1">_xlfn.XLOOKUP(Contrato5[[#This Row],[DOCUMENTO ]],[2]!PERSONAL_ACTIVO_2024[[#All],[Documento identidad]],[2]!PERSONAL_ACTIVO_2024[[#All],[Mail ]],0,0)</f>
        <v>#NAME?</v>
      </c>
      <c r="AP888" s="147" t="e" cm="1">
        <f t="array" aca="1" ref="AP888" ca="1">_xlfn.XLOOKUP(Contrato5[[#This Row],[DOCUMENTO]],[2]!PERSONAL_ACTIVO_2024[[#All],[Documento identidad]],[2]!PERSONAL_ACTIVO_2024[[#All],[Mail ]],0,0)</f>
        <v>#NAME?</v>
      </c>
      <c r="AQ888" s="439" cm="1">
        <f t="array" aca="1" ref="AQ888" ca="1">IF(ISBLANK(Contrato5[[#This Row],[DEPENDENCIA ]]),0,IFERROR(_xlfn.XLOOKUP(Contrato5[[#This Row],[DEPENDENCIA ]],[2]!PERSONAL_ACTIVO_2024[[#All],[Dependencia]],[2]!PERSONAL_ACTIVO_2024[[#All],[Mail ]],0,0),0))</f>
        <v>0</v>
      </c>
    </row>
    <row r="889" spans="1:43" ht="34.5" customHeight="1">
      <c r="A889" s="596">
        <v>1275</v>
      </c>
      <c r="B889" s="499">
        <v>751</v>
      </c>
      <c r="C889" s="162" t="s">
        <v>2276</v>
      </c>
      <c r="D889" s="227" t="s">
        <v>510</v>
      </c>
      <c r="E889" s="227" t="s">
        <v>94</v>
      </c>
      <c r="F889" s="227" t="s">
        <v>255</v>
      </c>
      <c r="G889" s="281" t="s">
        <v>2471</v>
      </c>
      <c r="H889" s="282">
        <v>890983728</v>
      </c>
      <c r="I889" s="309" t="s">
        <v>42</v>
      </c>
      <c r="J889" s="445">
        <v>95730066</v>
      </c>
      <c r="K889" s="131" t="s">
        <v>3304</v>
      </c>
      <c r="L889" s="506" t="s">
        <v>3275</v>
      </c>
      <c r="M889" s="194" t="s">
        <v>3276</v>
      </c>
      <c r="N889" s="177" t="e" cm="1">
        <f t="array" aca="1" ref="N889" ca="1">_xlfn.XLOOKUP(Contrato5[[#This Row],[SUPERVISOR TITULAR]],[2]!PERSONAL_ACTIVO_2024[[#All],[Nombre completo]],[2]!PERSONAL_ACTIVO_2024[[#All],[Documento identidad]],"",0)</f>
        <v>#NAME?</v>
      </c>
      <c r="O889" s="194" t="s">
        <v>514</v>
      </c>
      <c r="P889" s="196" t="e" cm="1">
        <f t="array" aca="1" ref="P889" ca="1">_xlfn.XLOOKUP(Contrato5[[#This Row],[SUPERVISOR SUPLENTE ]],[2]!PERSONAL_ACTIVO_2024[[#All],[Nombre completo]],[2]!PERSONAL_ACTIVO_2024[[#All],[Documento identidad]],"",0)</f>
        <v>#NAME?</v>
      </c>
      <c r="Q889" s="170">
        <v>1120</v>
      </c>
      <c r="R889" s="137" t="e" cm="1">
        <f t="array" aca="1" ref="R889" ca="1">_xlfn.XLOOKUP(Contrato5[[#This Row],[CDP]],[2]!DISPONIBILIDADES_2024[[#All],[consecutivo]],[2]!DISPONIBILIDADES_2024[[#All],[fecha_aprobacion]],"",0)</f>
        <v>#NAME?</v>
      </c>
      <c r="S889" s="138" t="e">
        <f>SUMIF([2]!DISPONIBILIDADES_2024[[#All],[consecutivo]],Contrato5[[#This Row],[CDP]],[2]!DISPONIBILIDADES_2024[[#All],[valor_total_rubro]])</f>
        <v>#REF!</v>
      </c>
      <c r="T889" s="139" t="e" cm="1">
        <f t="array" aca="1" ref="T889" ca="1">_xlfn.XLOOKUP(Contrato5[[#This Row],[CONTRATO]]&amp;Contrato5[[#This Row],[CDP]],[2]!Corr_Contr_CDP[[#All],[CONTRATO-CDP]],[2]!Corr_Contr_CDP[[#All],[CRP]],_xlfn.XLOOKUP(Contrato5[[#This Row],[CDP]],[2]!COMPROMISOS_2024[[#All],[disponibilidad]],[2]!COMPROMISOS_2024[[#All],[consecutivo]],"",0),0)</f>
        <v>#NAME?</v>
      </c>
      <c r="U889" s="140" t="e" cm="1">
        <f t="array" aca="1" ref="U889" ca="1">+_xlfn.XLOOKUP(Contrato5[[#This Row],[RCP]],[2]!COMPROMISOS_2024[[#All],[consecutivo]],[2]!COMPROMISOS_2024[[#All],[fecha_aprobacion]],"",0)</f>
        <v>#NAME?</v>
      </c>
      <c r="V889" s="141" t="e">
        <f ca="1">SUMIF([2]!COMPROMISOS_2024[[#All],[consecutivo]],Contrato5[[#This Row],[RCP]],[2]!COMPROMISOS_2024[[#All],[valor_total]])</f>
        <v>#REF!</v>
      </c>
      <c r="W889" s="160">
        <v>45649</v>
      </c>
      <c r="X889" s="161">
        <v>45653</v>
      </c>
      <c r="Y889" s="143">
        <v>45672</v>
      </c>
      <c r="Z889" s="262">
        <v>45853</v>
      </c>
      <c r="AA889" s="598" t="s">
        <v>3305</v>
      </c>
      <c r="AB889" s="172" t="s">
        <v>640</v>
      </c>
      <c r="AC889" s="172"/>
      <c r="AD889" s="425">
        <v>202000005886</v>
      </c>
      <c r="AE889" s="147"/>
      <c r="AF889" s="148" t="str">
        <f>TEXT(LEFT(Contrato5[[#This Row],[CONTRATO]],3),"0")</f>
        <v>751</v>
      </c>
      <c r="AG889" s="148" t="str">
        <f>IF(LEN(Contrato5[[#This Row],[Contrato2]])=3,Contrato5[[#This Row],[Contrato2]],TEXT(Contrato5[[#This Row],[Contrato2]],"000"))</f>
        <v>751</v>
      </c>
      <c r="AH889" s="149">
        <f ca="1">IFERROR(_xlfn.DAYS(Contrato5[[#This Row],[Fecha Proyectada liquidación]],TODAY())/30,"")</f>
        <v>7.166666666666667</v>
      </c>
      <c r="AI889" s="150">
        <f>+Contrato5[[#This Row],[FECHA TERMINACIÓN ]]+120</f>
        <v>45973</v>
      </c>
      <c r="AJ889" s="147"/>
      <c r="AK889" s="152" t="str">
        <f ca="1">IF(Contrato5[[#This Row],[FECHA TERMINACIÓN ]]&lt;TODAY(), "Terminado",IF(ISNUMBER(Contrato5[[#This Row],[Fecha Real de liquiidación ]]),"Liquidado",IF(Contrato5[[#This Row],[FECHA TERMINACIÓN ]]&gt;=TODAY(),"En ejecución","")))</f>
        <v>En ejecución</v>
      </c>
      <c r="AL889" s="153" t="e">
        <f ca="1">SUMIF([2]!COMPROMISOS_2024[[#All],[consecutivo]],Contrato5[[#This Row],[RCP]],[2]!COMPROMISOS_2024[[#All],[Total pagado]])</f>
        <v>#REF!</v>
      </c>
      <c r="AM889" s="154">
        <f ca="1">IFERROR(Contrato5[[#This Row],[Pagos]]/Contrato5[[#This Row],[VALOR CONTRATO]],0)</f>
        <v>0</v>
      </c>
      <c r="AN889" s="198" t="e">
        <f ca="1">+Contrato5[[#This Row],[VALOR CONTRATO]]-Contrato5[[#This Row],[Pagos]]</f>
        <v>#REF!</v>
      </c>
      <c r="AO889" s="147" t="e" cm="1">
        <f t="array" aca="1" ref="AO889" ca="1">_xlfn.XLOOKUP(Contrato5[[#This Row],[DOCUMENTO ]],[2]!PERSONAL_ACTIVO_2024[[#All],[Documento identidad]],[2]!PERSONAL_ACTIVO_2024[[#All],[Mail ]],0,0)</f>
        <v>#NAME?</v>
      </c>
      <c r="AP889" s="147" t="e" cm="1">
        <f t="array" aca="1" ref="AP889" ca="1">_xlfn.XLOOKUP(Contrato5[[#This Row],[DOCUMENTO]],[2]!PERSONAL_ACTIVO_2024[[#All],[Documento identidad]],[2]!PERSONAL_ACTIVO_2024[[#All],[Mail ]],0,0)</f>
        <v>#NAME?</v>
      </c>
      <c r="AQ889" s="439" cm="1">
        <f t="array" aca="1" ref="AQ889" ca="1">IF(ISBLANK(Contrato5[[#This Row],[DEPENDENCIA ]]),0,IFERROR(_xlfn.XLOOKUP(Contrato5[[#This Row],[DEPENDENCIA ]],[2]!PERSONAL_ACTIVO_2024[[#All],[Dependencia]],[2]!PERSONAL_ACTIVO_2024[[#All],[Mail ]],0,0),0))</f>
        <v>0</v>
      </c>
    </row>
    <row r="890" spans="1:43" ht="34.5" customHeight="1">
      <c r="A890" s="596">
        <v>1282</v>
      </c>
      <c r="B890" s="499">
        <v>752</v>
      </c>
      <c r="C890" s="162" t="s">
        <v>2283</v>
      </c>
      <c r="D890" s="227" t="s">
        <v>510</v>
      </c>
      <c r="E890" s="227" t="s">
        <v>94</v>
      </c>
      <c r="F890" s="227" t="s">
        <v>255</v>
      </c>
      <c r="G890" s="281" t="s">
        <v>3038</v>
      </c>
      <c r="H890" s="282">
        <v>890983672</v>
      </c>
      <c r="I890" s="309" t="s">
        <v>42</v>
      </c>
      <c r="J890" s="445">
        <v>93734589</v>
      </c>
      <c r="K890" s="131" t="s">
        <v>3306</v>
      </c>
      <c r="L890" s="506" t="s">
        <v>3275</v>
      </c>
      <c r="M890" s="194" t="s">
        <v>3276</v>
      </c>
      <c r="N890" s="177" t="e" cm="1">
        <f t="array" aca="1" ref="N890" ca="1">_xlfn.XLOOKUP(Contrato5[[#This Row],[SUPERVISOR TITULAR]],[2]!PERSONAL_ACTIVO_2024[[#All],[Nombre completo]],[2]!PERSONAL_ACTIVO_2024[[#All],[Documento identidad]],"",0)</f>
        <v>#NAME?</v>
      </c>
      <c r="O890" s="194" t="s">
        <v>514</v>
      </c>
      <c r="P890" s="196" t="e" cm="1">
        <f t="array" aca="1" ref="P890" ca="1">_xlfn.XLOOKUP(Contrato5[[#This Row],[SUPERVISOR SUPLENTE ]],[2]!PERSONAL_ACTIVO_2024[[#All],[Nombre completo]],[2]!PERSONAL_ACTIVO_2024[[#All],[Documento identidad]],"",0)</f>
        <v>#NAME?</v>
      </c>
      <c r="Q890" s="170">
        <v>1124</v>
      </c>
      <c r="R890" s="137" t="e" cm="1">
        <f t="array" aca="1" ref="R890" ca="1">_xlfn.XLOOKUP(Contrato5[[#This Row],[CDP]],[2]!DISPONIBILIDADES_2024[[#All],[consecutivo]],[2]!DISPONIBILIDADES_2024[[#All],[fecha_aprobacion]],"",0)</f>
        <v>#NAME?</v>
      </c>
      <c r="S890" s="138" t="e">
        <f>SUMIF([2]!DISPONIBILIDADES_2024[[#All],[consecutivo]],Contrato5[[#This Row],[CDP]],[2]!DISPONIBILIDADES_2024[[#All],[valor_total_rubro]])</f>
        <v>#REF!</v>
      </c>
      <c r="T890" s="139" t="e" cm="1">
        <f t="array" aca="1" ref="T890" ca="1">_xlfn.XLOOKUP(Contrato5[[#This Row],[CONTRATO]]&amp;Contrato5[[#This Row],[CDP]],[2]!Corr_Contr_CDP[[#All],[CONTRATO-CDP]],[2]!Corr_Contr_CDP[[#All],[CRP]],_xlfn.XLOOKUP(Contrato5[[#This Row],[CDP]],[2]!COMPROMISOS_2024[[#All],[disponibilidad]],[2]!COMPROMISOS_2024[[#All],[consecutivo]],"",0),0)</f>
        <v>#NAME?</v>
      </c>
      <c r="U890" s="140" t="e" cm="1">
        <f t="array" aca="1" ref="U890" ca="1">+_xlfn.XLOOKUP(Contrato5[[#This Row],[RCP]],[2]!COMPROMISOS_2024[[#All],[consecutivo]],[2]!COMPROMISOS_2024[[#All],[fecha_aprobacion]],"",0)</f>
        <v>#NAME?</v>
      </c>
      <c r="V890" s="141" t="e">
        <f ca="1">SUMIF([2]!COMPROMISOS_2024[[#All],[consecutivo]],Contrato5[[#This Row],[RCP]],[2]!COMPROMISOS_2024[[#All],[valor_total]])</f>
        <v>#REF!</v>
      </c>
      <c r="W890" s="160">
        <v>45645</v>
      </c>
      <c r="X890" s="161">
        <v>45652</v>
      </c>
      <c r="Y890" s="143">
        <v>45678</v>
      </c>
      <c r="Z890" s="262">
        <v>45859</v>
      </c>
      <c r="AA890" s="171" t="s">
        <v>3307</v>
      </c>
      <c r="AB890" s="172" t="s">
        <v>640</v>
      </c>
      <c r="AC890" s="172"/>
      <c r="AD890" s="425">
        <v>202000005887</v>
      </c>
      <c r="AE890" s="147"/>
      <c r="AF890" s="148" t="str">
        <f>TEXT(LEFT(Contrato5[[#This Row],[CONTRATO]],3),"0")</f>
        <v>752</v>
      </c>
      <c r="AG890" s="148" t="str">
        <f>IF(LEN(Contrato5[[#This Row],[Contrato2]])=3,Contrato5[[#This Row],[Contrato2]],TEXT(Contrato5[[#This Row],[Contrato2]],"000"))</f>
        <v>752</v>
      </c>
      <c r="AH890" s="149">
        <f ca="1">IFERROR(_xlfn.DAYS(Contrato5[[#This Row],[Fecha Proyectada liquidación]],TODAY())/30,"")</f>
        <v>7.3666666666666663</v>
      </c>
      <c r="AI890" s="150">
        <f>+Contrato5[[#This Row],[FECHA TERMINACIÓN ]]+120</f>
        <v>45979</v>
      </c>
      <c r="AJ890" s="147"/>
      <c r="AK890" s="152" t="str">
        <f ca="1">IF(Contrato5[[#This Row],[FECHA TERMINACIÓN ]]&lt;TODAY(), "Terminado",IF(ISNUMBER(Contrato5[[#This Row],[Fecha Real de liquiidación ]]),"Liquidado",IF(Contrato5[[#This Row],[FECHA TERMINACIÓN ]]&gt;=TODAY(),"En ejecución","")))</f>
        <v>En ejecución</v>
      </c>
      <c r="AL890" s="153" t="e">
        <f ca="1">SUMIF([2]!COMPROMISOS_2024[[#All],[consecutivo]],Contrato5[[#This Row],[RCP]],[2]!COMPROMISOS_2024[[#All],[Total pagado]])</f>
        <v>#REF!</v>
      </c>
      <c r="AM890" s="154">
        <f ca="1">IFERROR(Contrato5[[#This Row],[Pagos]]/Contrato5[[#This Row],[VALOR CONTRATO]],0)</f>
        <v>0</v>
      </c>
      <c r="AN890" s="198" t="e">
        <f ca="1">+Contrato5[[#This Row],[VALOR CONTRATO]]-Contrato5[[#This Row],[Pagos]]</f>
        <v>#REF!</v>
      </c>
      <c r="AO890" s="147" t="e" cm="1">
        <f t="array" aca="1" ref="AO890" ca="1">_xlfn.XLOOKUP(Contrato5[[#This Row],[DOCUMENTO ]],[2]!PERSONAL_ACTIVO_2024[[#All],[Documento identidad]],[2]!PERSONAL_ACTIVO_2024[[#All],[Mail ]],0,0)</f>
        <v>#NAME?</v>
      </c>
      <c r="AP890" s="147" t="e" cm="1">
        <f t="array" aca="1" ref="AP890" ca="1">_xlfn.XLOOKUP(Contrato5[[#This Row],[DOCUMENTO]],[2]!PERSONAL_ACTIVO_2024[[#All],[Documento identidad]],[2]!PERSONAL_ACTIVO_2024[[#All],[Mail ]],0,0)</f>
        <v>#NAME?</v>
      </c>
      <c r="AQ890" s="439" cm="1">
        <f t="array" aca="1" ref="AQ890" ca="1">IF(ISBLANK(Contrato5[[#This Row],[DEPENDENCIA ]]),0,IFERROR(_xlfn.XLOOKUP(Contrato5[[#This Row],[DEPENDENCIA ]],[2]!PERSONAL_ACTIVO_2024[[#All],[Dependencia]],[2]!PERSONAL_ACTIVO_2024[[#All],[Mail ]],0,0),0))</f>
        <v>0</v>
      </c>
    </row>
    <row r="891" spans="1:43" ht="34.5" customHeight="1">
      <c r="A891" s="147" t="s">
        <v>886</v>
      </c>
      <c r="B891" s="499">
        <v>753</v>
      </c>
      <c r="C891" s="162" t="s">
        <v>3288</v>
      </c>
      <c r="D891" s="128" t="s">
        <v>42</v>
      </c>
      <c r="E891" s="128" t="s">
        <v>42</v>
      </c>
      <c r="F891" s="227" t="s">
        <v>1297</v>
      </c>
      <c r="G891" s="290" t="s">
        <v>887</v>
      </c>
      <c r="H891" s="447">
        <v>0</v>
      </c>
      <c r="I891" s="455">
        <v>0</v>
      </c>
      <c r="J891" s="456">
        <v>0</v>
      </c>
      <c r="K891" s="284">
        <v>0</v>
      </c>
      <c r="L891" s="438" t="s">
        <v>2646</v>
      </c>
      <c r="M891" s="194"/>
      <c r="N891" s="177" t="e" cm="1">
        <f t="array" aca="1" ref="N891" ca="1">_xlfn.XLOOKUP(Contrato5[[#This Row],[SUPERVISOR TITULAR]],[2]!PERSONAL_ACTIVO_2024[[#All],[Nombre completo]],[2]!PERSONAL_ACTIVO_2024[[#All],[Documento identidad]],"",0)</f>
        <v>#NAME?</v>
      </c>
      <c r="O891" s="194"/>
      <c r="P891" s="196" t="e" cm="1">
        <f t="array" aca="1" ref="P891" ca="1">_xlfn.XLOOKUP(Contrato5[[#This Row],[SUPERVISOR SUPLENTE ]],[2]!PERSONAL_ACTIVO_2024[[#All],[Nombre completo]],[2]!PERSONAL_ACTIVO_2024[[#All],[Documento identidad]],"",0)</f>
        <v>#NAME?</v>
      </c>
      <c r="Q891" s="191">
        <v>0</v>
      </c>
      <c r="R891" s="137" t="e" cm="1">
        <f t="array" aca="1" ref="R891" ca="1">_xlfn.XLOOKUP(Contrato5[[#This Row],[CDP]],[2]!DISPONIBILIDADES_2024[[#All],[consecutivo]],[2]!DISPONIBILIDADES_2024[[#All],[fecha_aprobacion]],"",0)</f>
        <v>#NAME?</v>
      </c>
      <c r="S891" s="138" t="e">
        <f>SUMIF([2]!DISPONIBILIDADES_2024[[#All],[consecutivo]],Contrato5[[#This Row],[CDP]],[2]!DISPONIBILIDADES_2024[[#All],[valor_total_rubro]])</f>
        <v>#REF!</v>
      </c>
      <c r="T891" s="139" t="e" cm="1">
        <f t="array" aca="1" ref="T891" ca="1">_xlfn.XLOOKUP(Contrato5[[#This Row],[CONTRATO]]&amp;Contrato5[[#This Row],[CDP]],[2]!Corr_Contr_CDP[[#All],[CONTRATO-CDP]],[2]!Corr_Contr_CDP[[#All],[CRP]],_xlfn.XLOOKUP(Contrato5[[#This Row],[CDP]],[2]!COMPROMISOS_2024[[#All],[disponibilidad]],[2]!COMPROMISOS_2024[[#All],[consecutivo]],"",0),0)</f>
        <v>#NAME?</v>
      </c>
      <c r="U891" s="140" t="e" cm="1">
        <f t="array" aca="1" ref="U891" ca="1">+_xlfn.XLOOKUP(Contrato5[[#This Row],[RCP]],[2]!COMPROMISOS_2024[[#All],[consecutivo]],[2]!COMPROMISOS_2024[[#All],[fecha_aprobacion]],"",0)</f>
        <v>#NAME?</v>
      </c>
      <c r="V891" s="141" t="e">
        <f ca="1">SUMIF([2]!COMPROMISOS_2024[[#All],[consecutivo]],Contrato5[[#This Row],[RCP]],[2]!COMPROMISOS_2024[[#All],[valor_total]])</f>
        <v>#REF!</v>
      </c>
      <c r="W891" s="160"/>
      <c r="X891" s="161"/>
      <c r="Y891" s="143" t="e">
        <f ca="1">+LEFT(_xlfn.XLOOKUP(Contrato5[[#This Row],[CONTRATO3DIG]],[2]SECOP_II!AE:AE,[2]SECOP_II!F:F,"",0),10)</f>
        <v>#NAME?</v>
      </c>
      <c r="Z891" s="262"/>
      <c r="AA891" s="183"/>
      <c r="AB891" s="191">
        <v>0</v>
      </c>
      <c r="AC891" s="172"/>
      <c r="AD891" s="288"/>
      <c r="AE891" s="147"/>
      <c r="AF891" s="148" t="str">
        <f>TEXT(LEFT(Contrato5[[#This Row],[CONTRATO]],3),"0")</f>
        <v>753</v>
      </c>
      <c r="AG891" s="148" t="str">
        <f>IF(LEN(Contrato5[[#This Row],[Contrato2]])=3,Contrato5[[#This Row],[Contrato2]],TEXT(Contrato5[[#This Row],[Contrato2]],"000"))</f>
        <v>753</v>
      </c>
      <c r="AH891" s="149">
        <f ca="1">IFERROR(_xlfn.DAYS(Contrato5[[#This Row],[Fecha Proyectada liquidación]],TODAY())/30,"")</f>
        <v>-1521.2666666666667</v>
      </c>
      <c r="AI891" s="150">
        <f>+Contrato5[[#This Row],[FECHA TERMINACIÓN ]]+120</f>
        <v>120</v>
      </c>
      <c r="AJ891" s="147"/>
      <c r="AK891" s="152" t="str">
        <f ca="1">IF(Contrato5[[#This Row],[FECHA TERMINACIÓN ]]&lt;TODAY(), "Terminado",IF(ISNUMBER(Contrato5[[#This Row],[Fecha Real de liquiidación ]]),"Liquidado",IF(Contrato5[[#This Row],[FECHA TERMINACIÓN ]]&gt;=TODAY(),"En ejecución","")))</f>
        <v>Terminado</v>
      </c>
      <c r="AL891" s="153" t="e">
        <f ca="1">SUMIF([2]!COMPROMISOS_2024[[#All],[consecutivo]],Contrato5[[#This Row],[RCP]],[2]!COMPROMISOS_2024[[#All],[Total pagado]])</f>
        <v>#REF!</v>
      </c>
      <c r="AM891" s="154">
        <f ca="1">IFERROR(Contrato5[[#This Row],[Pagos]]/Contrato5[[#This Row],[VALOR CONTRATO]],0)</f>
        <v>0</v>
      </c>
      <c r="AN891" s="198" t="e">
        <f ca="1">+Contrato5[[#This Row],[VALOR CONTRATO]]-Contrato5[[#This Row],[Pagos]]</f>
        <v>#REF!</v>
      </c>
      <c r="AO891" s="147" t="e" cm="1">
        <f t="array" aca="1" ref="AO891" ca="1">_xlfn.XLOOKUP(Contrato5[[#This Row],[DOCUMENTO ]],[2]!PERSONAL_ACTIVO_2024[[#All],[Documento identidad]],[2]!PERSONAL_ACTIVO_2024[[#All],[Mail ]],0,0)</f>
        <v>#NAME?</v>
      </c>
      <c r="AP891" s="147" t="e" cm="1">
        <f t="array" aca="1" ref="AP891" ca="1">_xlfn.XLOOKUP(Contrato5[[#This Row],[DOCUMENTO]],[2]!PERSONAL_ACTIVO_2024[[#All],[Documento identidad]],[2]!PERSONAL_ACTIVO_2024[[#All],[Mail ]],0,0)</f>
        <v>#NAME?</v>
      </c>
      <c r="AQ891" s="439" cm="1">
        <f t="array" aca="1" ref="AQ891" ca="1">IF(ISBLANK(Contrato5[[#This Row],[DEPENDENCIA ]]),0,IFERROR(_xlfn.XLOOKUP(Contrato5[[#This Row],[DEPENDENCIA ]],[2]!PERSONAL_ACTIVO_2024[[#All],[Dependencia]],[2]!PERSONAL_ACTIVO_2024[[#All],[Mail ]],0,0),0))</f>
        <v>0</v>
      </c>
    </row>
    <row r="892" spans="1:43" ht="34.5" customHeight="1">
      <c r="A892" s="596">
        <v>1281</v>
      </c>
      <c r="B892" s="499">
        <v>754</v>
      </c>
      <c r="C892" s="162" t="s">
        <v>2282</v>
      </c>
      <c r="D892" s="227" t="s">
        <v>515</v>
      </c>
      <c r="E892" s="227" t="s">
        <v>94</v>
      </c>
      <c r="F892" s="227" t="s">
        <v>255</v>
      </c>
      <c r="G892" s="281" t="s">
        <v>3308</v>
      </c>
      <c r="H892" s="282">
        <v>890907106</v>
      </c>
      <c r="I892" s="309" t="s">
        <v>42</v>
      </c>
      <c r="J892" s="445">
        <v>66862078</v>
      </c>
      <c r="K892" s="131" t="s">
        <v>3309</v>
      </c>
      <c r="L892" s="506" t="s">
        <v>3275</v>
      </c>
      <c r="M892" s="194" t="s">
        <v>3276</v>
      </c>
      <c r="N892" s="177" t="e" cm="1">
        <f t="array" aca="1" ref="N892" ca="1">_xlfn.XLOOKUP(Contrato5[[#This Row],[SUPERVISOR TITULAR]],[2]!PERSONAL_ACTIVO_2024[[#All],[Nombre completo]],[2]!PERSONAL_ACTIVO_2024[[#All],[Documento identidad]],"",0)</f>
        <v>#NAME?</v>
      </c>
      <c r="O892" s="194" t="s">
        <v>514</v>
      </c>
      <c r="P892" s="196" t="e" cm="1">
        <f t="array" aca="1" ref="P892" ca="1">_xlfn.XLOOKUP(Contrato5[[#This Row],[SUPERVISOR SUPLENTE ]],[2]!PERSONAL_ACTIVO_2024[[#All],[Nombre completo]],[2]!PERSONAL_ACTIVO_2024[[#All],[Documento identidad]],"",0)</f>
        <v>#NAME?</v>
      </c>
      <c r="Q892" s="170">
        <v>1107</v>
      </c>
      <c r="R892" s="137" t="e" cm="1">
        <f t="array" aca="1" ref="R892" ca="1">_xlfn.XLOOKUP(Contrato5[[#This Row],[CDP]],[2]!DISPONIBILIDADES_2024[[#All],[consecutivo]],[2]!DISPONIBILIDADES_2024[[#All],[fecha_aprobacion]],"",0)</f>
        <v>#NAME?</v>
      </c>
      <c r="S892" s="138" t="e">
        <f>SUMIF([2]!DISPONIBILIDADES_2024[[#All],[consecutivo]],Contrato5[[#This Row],[CDP]],[2]!DISPONIBILIDADES_2024[[#All],[valor_total_rubro]])</f>
        <v>#REF!</v>
      </c>
      <c r="T892" s="139" t="e" cm="1">
        <f t="array" aca="1" ref="T892" ca="1">_xlfn.XLOOKUP(Contrato5[[#This Row],[CONTRATO]]&amp;Contrato5[[#This Row],[CDP]],[2]!Corr_Contr_CDP[[#All],[CONTRATO-CDP]],[2]!Corr_Contr_CDP[[#All],[CRP]],_xlfn.XLOOKUP(Contrato5[[#This Row],[CDP]],[2]!COMPROMISOS_2024[[#All],[disponibilidad]],[2]!COMPROMISOS_2024[[#All],[consecutivo]],"",0),0)</f>
        <v>#NAME?</v>
      </c>
      <c r="U892" s="140" t="e" cm="1">
        <f t="array" aca="1" ref="U892" ca="1">+_xlfn.XLOOKUP(Contrato5[[#This Row],[RCP]],[2]!COMPROMISOS_2024[[#All],[consecutivo]],[2]!COMPROMISOS_2024[[#All],[fecha_aprobacion]],"",0)</f>
        <v>#NAME?</v>
      </c>
      <c r="V892" s="141" t="e">
        <f ca="1">SUMIF([2]!COMPROMISOS_2024[[#All],[consecutivo]],Contrato5[[#This Row],[RCP]],[2]!COMPROMISOS_2024[[#All],[valor_total]])</f>
        <v>#REF!</v>
      </c>
      <c r="W892" s="160">
        <v>45638</v>
      </c>
      <c r="X892" s="161">
        <v>45646</v>
      </c>
      <c r="Y892" s="143">
        <v>45672</v>
      </c>
      <c r="Z892" s="262">
        <v>45853</v>
      </c>
      <c r="AA892" s="171" t="s">
        <v>3310</v>
      </c>
      <c r="AB892" s="172" t="s">
        <v>640</v>
      </c>
      <c r="AC892" s="172"/>
      <c r="AD892" s="425">
        <v>202000005888</v>
      </c>
      <c r="AE892" s="147"/>
      <c r="AF892" s="148" t="str">
        <f>TEXT(LEFT(Contrato5[[#This Row],[CONTRATO]],3),"0")</f>
        <v>754</v>
      </c>
      <c r="AG892" s="148" t="str">
        <f>IF(LEN(Contrato5[[#This Row],[Contrato2]])=3,Contrato5[[#This Row],[Contrato2]],TEXT(Contrato5[[#This Row],[Contrato2]],"000"))</f>
        <v>754</v>
      </c>
      <c r="AH892" s="149">
        <f ca="1">IFERROR(_xlfn.DAYS(Contrato5[[#This Row],[Fecha Proyectada liquidación]],TODAY())/30,"")</f>
        <v>7.166666666666667</v>
      </c>
      <c r="AI892" s="150">
        <f>+Contrato5[[#This Row],[FECHA TERMINACIÓN ]]+120</f>
        <v>45973</v>
      </c>
      <c r="AJ892" s="147"/>
      <c r="AK892" s="152" t="str">
        <f ca="1">IF(Contrato5[[#This Row],[FECHA TERMINACIÓN ]]&lt;TODAY(), "Terminado",IF(ISNUMBER(Contrato5[[#This Row],[Fecha Real de liquiidación ]]),"Liquidado",IF(Contrato5[[#This Row],[FECHA TERMINACIÓN ]]&gt;=TODAY(),"En ejecución","")))</f>
        <v>En ejecución</v>
      </c>
      <c r="AL892" s="153" t="e">
        <f ca="1">SUMIF([2]!COMPROMISOS_2024[[#All],[consecutivo]],Contrato5[[#This Row],[RCP]],[2]!COMPROMISOS_2024[[#All],[Total pagado]])</f>
        <v>#REF!</v>
      </c>
      <c r="AM892" s="154">
        <f ca="1">IFERROR(Contrato5[[#This Row],[Pagos]]/Contrato5[[#This Row],[VALOR CONTRATO]],0)</f>
        <v>0</v>
      </c>
      <c r="AN892" s="198" t="e">
        <f ca="1">+Contrato5[[#This Row],[VALOR CONTRATO]]-Contrato5[[#This Row],[Pagos]]</f>
        <v>#REF!</v>
      </c>
      <c r="AO892" s="147" t="e" cm="1">
        <f t="array" aca="1" ref="AO892" ca="1">_xlfn.XLOOKUP(Contrato5[[#This Row],[DOCUMENTO ]],[2]!PERSONAL_ACTIVO_2024[[#All],[Documento identidad]],[2]!PERSONAL_ACTIVO_2024[[#All],[Mail ]],0,0)</f>
        <v>#NAME?</v>
      </c>
      <c r="AP892" s="147" t="e" cm="1">
        <f t="array" aca="1" ref="AP892" ca="1">_xlfn.XLOOKUP(Contrato5[[#This Row],[DOCUMENTO]],[2]!PERSONAL_ACTIVO_2024[[#All],[Documento identidad]],[2]!PERSONAL_ACTIVO_2024[[#All],[Mail ]],0,0)</f>
        <v>#NAME?</v>
      </c>
      <c r="AQ892" s="439" cm="1">
        <f t="array" aca="1" ref="AQ892" ca="1">IF(ISBLANK(Contrato5[[#This Row],[DEPENDENCIA ]]),0,IFERROR(_xlfn.XLOOKUP(Contrato5[[#This Row],[DEPENDENCIA ]],[2]!PERSONAL_ACTIVO_2024[[#All],[Dependencia]],[2]!PERSONAL_ACTIVO_2024[[#All],[Mail ]],0,0),0))</f>
        <v>0</v>
      </c>
    </row>
    <row r="893" spans="1:43" ht="34.5" customHeight="1">
      <c r="A893" s="596">
        <v>1316</v>
      </c>
      <c r="B893" s="499">
        <v>755</v>
      </c>
      <c r="C893" s="162" t="s">
        <v>2287</v>
      </c>
      <c r="D893" s="227" t="s">
        <v>510</v>
      </c>
      <c r="E893" s="227" t="s">
        <v>94</v>
      </c>
      <c r="F893" s="227" t="s">
        <v>1894</v>
      </c>
      <c r="G893" s="281" t="s">
        <v>2716</v>
      </c>
      <c r="H893" s="282">
        <v>890983736</v>
      </c>
      <c r="I893" s="309" t="s">
        <v>42</v>
      </c>
      <c r="J893" s="445">
        <v>191714122</v>
      </c>
      <c r="K893" s="131" t="s">
        <v>3311</v>
      </c>
      <c r="L893" s="506" t="s">
        <v>3275</v>
      </c>
      <c r="M893" s="194" t="s">
        <v>3276</v>
      </c>
      <c r="N893" s="177" t="e" cm="1">
        <f t="array" aca="1" ref="N893" ca="1">_xlfn.XLOOKUP(Contrato5[[#This Row],[SUPERVISOR TITULAR]],[2]!PERSONAL_ACTIVO_2024[[#All],[Nombre completo]],[2]!PERSONAL_ACTIVO_2024[[#All],[Documento identidad]],"",0)</f>
        <v>#NAME?</v>
      </c>
      <c r="O893" s="194" t="s">
        <v>514</v>
      </c>
      <c r="P893" s="196" t="e" cm="1">
        <f t="array" aca="1" ref="P893" ca="1">_xlfn.XLOOKUP(Contrato5[[#This Row],[SUPERVISOR SUPLENTE ]],[2]!PERSONAL_ACTIVO_2024[[#All],[Nombre completo]],[2]!PERSONAL_ACTIVO_2024[[#All],[Documento identidad]],"",0)</f>
        <v>#NAME?</v>
      </c>
      <c r="Q893" s="170">
        <v>1190</v>
      </c>
      <c r="R893" s="137" t="e" cm="1">
        <f t="array" aca="1" ref="R893" ca="1">_xlfn.XLOOKUP(Contrato5[[#This Row],[CDP]],[2]!DISPONIBILIDADES_2024[[#All],[consecutivo]],[2]!DISPONIBILIDADES_2024[[#All],[fecha_aprobacion]],"",0)</f>
        <v>#NAME?</v>
      </c>
      <c r="S893" s="138" t="e">
        <f>SUMIF([2]!DISPONIBILIDADES_2024[[#All],[consecutivo]],Contrato5[[#This Row],[CDP]],[2]!DISPONIBILIDADES_2024[[#All],[valor_total_rubro]])</f>
        <v>#REF!</v>
      </c>
      <c r="T893" s="139" t="e" cm="1">
        <f t="array" aca="1" ref="T893" ca="1">_xlfn.XLOOKUP(Contrato5[[#This Row],[CONTRATO]]&amp;Contrato5[[#This Row],[CDP]],[2]!Corr_Contr_CDP[[#All],[CONTRATO-CDP]],[2]!Corr_Contr_CDP[[#All],[CRP]],_xlfn.XLOOKUP(Contrato5[[#This Row],[CDP]],[2]!COMPROMISOS_2024[[#All],[disponibilidad]],[2]!COMPROMISOS_2024[[#All],[consecutivo]],"",0),0)</f>
        <v>#NAME?</v>
      </c>
      <c r="U893" s="140" t="e" cm="1">
        <f t="array" aca="1" ref="U893" ca="1">+_xlfn.XLOOKUP(Contrato5[[#This Row],[RCP]],[2]!COMPROMISOS_2024[[#All],[consecutivo]],[2]!COMPROMISOS_2024[[#All],[fecha_aprobacion]],"",0)</f>
        <v>#NAME?</v>
      </c>
      <c r="V893" s="141" t="e">
        <f ca="1">SUMIF([2]!COMPROMISOS_2024[[#All],[consecutivo]],Contrato5[[#This Row],[RCP]],[2]!COMPROMISOS_2024[[#All],[valor_total]])</f>
        <v>#REF!</v>
      </c>
      <c r="W893" s="160">
        <v>45645</v>
      </c>
      <c r="X893" s="161">
        <v>45650</v>
      </c>
      <c r="Y893" s="143">
        <v>45672</v>
      </c>
      <c r="Z893" s="262">
        <v>45853</v>
      </c>
      <c r="AA893" s="171" t="s">
        <v>3312</v>
      </c>
      <c r="AB893" s="172" t="s">
        <v>640</v>
      </c>
      <c r="AC893" s="172"/>
      <c r="AD893" s="425">
        <v>202000005889</v>
      </c>
      <c r="AE893" s="147"/>
      <c r="AF893" s="148" t="str">
        <f>TEXT(LEFT(Contrato5[[#This Row],[CONTRATO]],3),"0")</f>
        <v>755</v>
      </c>
      <c r="AG893" s="148" t="str">
        <f>IF(LEN(Contrato5[[#This Row],[Contrato2]])=3,Contrato5[[#This Row],[Contrato2]],TEXT(Contrato5[[#This Row],[Contrato2]],"000"))</f>
        <v>755</v>
      </c>
      <c r="AH893" s="149">
        <f ca="1">IFERROR(_xlfn.DAYS(Contrato5[[#This Row],[Fecha Proyectada liquidación]],TODAY())/30,"")</f>
        <v>7.166666666666667</v>
      </c>
      <c r="AI893" s="150">
        <f>+Contrato5[[#This Row],[FECHA TERMINACIÓN ]]+120</f>
        <v>45973</v>
      </c>
      <c r="AJ893" s="147"/>
      <c r="AK893" s="152" t="str">
        <f ca="1">IF(Contrato5[[#This Row],[FECHA TERMINACIÓN ]]&lt;TODAY(), "Terminado",IF(ISNUMBER(Contrato5[[#This Row],[Fecha Real de liquiidación ]]),"Liquidado",IF(Contrato5[[#This Row],[FECHA TERMINACIÓN ]]&gt;=TODAY(),"En ejecución","")))</f>
        <v>En ejecución</v>
      </c>
      <c r="AL893" s="153" t="e">
        <f ca="1">SUMIF([2]!COMPROMISOS_2024[[#All],[consecutivo]],Contrato5[[#This Row],[RCP]],[2]!COMPROMISOS_2024[[#All],[Total pagado]])</f>
        <v>#REF!</v>
      </c>
      <c r="AM893" s="154">
        <f ca="1">IFERROR(Contrato5[[#This Row],[Pagos]]/Contrato5[[#This Row],[VALOR CONTRATO]],0)</f>
        <v>0</v>
      </c>
      <c r="AN893" s="198" t="e">
        <f ca="1">+Contrato5[[#This Row],[VALOR CONTRATO]]-Contrato5[[#This Row],[Pagos]]</f>
        <v>#REF!</v>
      </c>
      <c r="AO893" s="147" t="e" cm="1">
        <f t="array" aca="1" ref="AO893" ca="1">_xlfn.XLOOKUP(Contrato5[[#This Row],[DOCUMENTO ]],[2]!PERSONAL_ACTIVO_2024[[#All],[Documento identidad]],[2]!PERSONAL_ACTIVO_2024[[#All],[Mail ]],0,0)</f>
        <v>#NAME?</v>
      </c>
      <c r="AP893" s="147" t="e" cm="1">
        <f t="array" aca="1" ref="AP893" ca="1">_xlfn.XLOOKUP(Contrato5[[#This Row],[DOCUMENTO]],[2]!PERSONAL_ACTIVO_2024[[#All],[Documento identidad]],[2]!PERSONAL_ACTIVO_2024[[#All],[Mail ]],0,0)</f>
        <v>#NAME?</v>
      </c>
      <c r="AQ893" s="439" cm="1">
        <f t="array" aca="1" ref="AQ893" ca="1">IF(ISBLANK(Contrato5[[#This Row],[DEPENDENCIA ]]),0,IFERROR(_xlfn.XLOOKUP(Contrato5[[#This Row],[DEPENDENCIA ]],[2]!PERSONAL_ACTIVO_2024[[#All],[Dependencia]],[2]!PERSONAL_ACTIVO_2024[[#All],[Mail ]],0,0),0))</f>
        <v>0</v>
      </c>
    </row>
    <row r="894" spans="1:43" ht="34.5" customHeight="1">
      <c r="A894" s="596">
        <v>1321</v>
      </c>
      <c r="B894" s="499">
        <v>756</v>
      </c>
      <c r="C894" s="162" t="s">
        <v>2255</v>
      </c>
      <c r="D894" s="227" t="s">
        <v>510</v>
      </c>
      <c r="E894" s="227" t="s">
        <v>94</v>
      </c>
      <c r="F894" s="227" t="s">
        <v>1894</v>
      </c>
      <c r="G894" s="281" t="s">
        <v>3313</v>
      </c>
      <c r="H894" s="282">
        <v>890983803</v>
      </c>
      <c r="I894" s="309" t="s">
        <v>42</v>
      </c>
      <c r="J894" s="445">
        <v>357661711</v>
      </c>
      <c r="K894" s="131" t="s">
        <v>3314</v>
      </c>
      <c r="L894" s="506" t="s">
        <v>3275</v>
      </c>
      <c r="M894" s="194" t="s">
        <v>3276</v>
      </c>
      <c r="N894" s="177" t="e" cm="1">
        <f t="array" aca="1" ref="N894" ca="1">_xlfn.XLOOKUP(Contrato5[[#This Row],[SUPERVISOR TITULAR]],[2]!PERSONAL_ACTIVO_2024[[#All],[Nombre completo]],[2]!PERSONAL_ACTIVO_2024[[#All],[Documento identidad]],"",0)</f>
        <v>#NAME?</v>
      </c>
      <c r="O894" s="194" t="s">
        <v>514</v>
      </c>
      <c r="P894" s="196" t="e" cm="1">
        <f t="array" aca="1" ref="P894" ca="1">_xlfn.XLOOKUP(Contrato5[[#This Row],[SUPERVISOR SUPLENTE ]],[2]!PERSONAL_ACTIVO_2024[[#All],[Nombre completo]],[2]!PERSONAL_ACTIVO_2024[[#All],[Documento identidad]],"",0)</f>
        <v>#NAME?</v>
      </c>
      <c r="Q894" s="170">
        <v>1205</v>
      </c>
      <c r="R894" s="137" t="e" cm="1">
        <f t="array" aca="1" ref="R894" ca="1">_xlfn.XLOOKUP(Contrato5[[#This Row],[CDP]],[2]!DISPONIBILIDADES_2024[[#All],[consecutivo]],[2]!DISPONIBILIDADES_2024[[#All],[fecha_aprobacion]],"",0)</f>
        <v>#NAME?</v>
      </c>
      <c r="S894" s="138" t="e">
        <f>SUMIF([2]!DISPONIBILIDADES_2024[[#All],[consecutivo]],Contrato5[[#This Row],[CDP]],[2]!DISPONIBILIDADES_2024[[#All],[valor_total_rubro]])</f>
        <v>#REF!</v>
      </c>
      <c r="T894" s="139" t="e" cm="1">
        <f t="array" aca="1" ref="T894" ca="1">_xlfn.XLOOKUP(Contrato5[[#This Row],[CONTRATO]]&amp;Contrato5[[#This Row],[CDP]],[2]!Corr_Contr_CDP[[#All],[CONTRATO-CDP]],[2]!Corr_Contr_CDP[[#All],[CRP]],_xlfn.XLOOKUP(Contrato5[[#This Row],[CDP]],[2]!COMPROMISOS_2024[[#All],[disponibilidad]],[2]!COMPROMISOS_2024[[#All],[consecutivo]],"",0),0)</f>
        <v>#NAME?</v>
      </c>
      <c r="U894" s="140" t="e" cm="1">
        <f t="array" aca="1" ref="U894" ca="1">+_xlfn.XLOOKUP(Contrato5[[#This Row],[RCP]],[2]!COMPROMISOS_2024[[#All],[consecutivo]],[2]!COMPROMISOS_2024[[#All],[fecha_aprobacion]],"",0)</f>
        <v>#NAME?</v>
      </c>
      <c r="V894" s="141" t="e">
        <f ca="1">SUMIF([2]!COMPROMISOS_2024[[#All],[consecutivo]],Contrato5[[#This Row],[RCP]],[2]!COMPROMISOS_2024[[#All],[valor_total]])</f>
        <v>#REF!</v>
      </c>
      <c r="W894" s="160">
        <v>45646</v>
      </c>
      <c r="X894" s="161">
        <v>45652</v>
      </c>
      <c r="Y894" s="143">
        <v>45673</v>
      </c>
      <c r="Z894" s="262">
        <v>45854</v>
      </c>
      <c r="AA894" s="171" t="s">
        <v>3315</v>
      </c>
      <c r="AB894" s="172" t="s">
        <v>640</v>
      </c>
      <c r="AC894" s="172"/>
      <c r="AD894" s="425">
        <v>202000005890</v>
      </c>
      <c r="AE894" s="147"/>
      <c r="AF894" s="148" t="str">
        <f>TEXT(LEFT(Contrato5[[#This Row],[CONTRATO]],3),"0")</f>
        <v>756</v>
      </c>
      <c r="AG894" s="148" t="str">
        <f>IF(LEN(Contrato5[[#This Row],[Contrato2]])=3,Contrato5[[#This Row],[Contrato2]],TEXT(Contrato5[[#This Row],[Contrato2]],"000"))</f>
        <v>756</v>
      </c>
      <c r="AH894" s="149">
        <f ca="1">IFERROR(_xlfn.DAYS(Contrato5[[#This Row],[Fecha Proyectada liquidación]],TODAY())/30,"")</f>
        <v>7.2</v>
      </c>
      <c r="AI894" s="150">
        <f>+Contrato5[[#This Row],[FECHA TERMINACIÓN ]]+120</f>
        <v>45974</v>
      </c>
      <c r="AJ894" s="147"/>
      <c r="AK894" s="152" t="str">
        <f ca="1">IF(Contrato5[[#This Row],[FECHA TERMINACIÓN ]]&lt;TODAY(), "Terminado",IF(ISNUMBER(Contrato5[[#This Row],[Fecha Real de liquiidación ]]),"Liquidado",IF(Contrato5[[#This Row],[FECHA TERMINACIÓN ]]&gt;=TODAY(),"En ejecución","")))</f>
        <v>En ejecución</v>
      </c>
      <c r="AL894" s="153" t="e">
        <f ca="1">SUMIF([2]!COMPROMISOS_2024[[#All],[consecutivo]],Contrato5[[#This Row],[RCP]],[2]!COMPROMISOS_2024[[#All],[Total pagado]])</f>
        <v>#REF!</v>
      </c>
      <c r="AM894" s="154">
        <f ca="1">IFERROR(Contrato5[[#This Row],[Pagos]]/Contrato5[[#This Row],[VALOR CONTRATO]],0)</f>
        <v>0</v>
      </c>
      <c r="AN894" s="198" t="e">
        <f ca="1">+Contrato5[[#This Row],[VALOR CONTRATO]]-Contrato5[[#This Row],[Pagos]]</f>
        <v>#REF!</v>
      </c>
      <c r="AO894" s="147" t="e" cm="1">
        <f t="array" aca="1" ref="AO894" ca="1">_xlfn.XLOOKUP(Contrato5[[#This Row],[DOCUMENTO ]],[2]!PERSONAL_ACTIVO_2024[[#All],[Documento identidad]],[2]!PERSONAL_ACTIVO_2024[[#All],[Mail ]],0,0)</f>
        <v>#NAME?</v>
      </c>
      <c r="AP894" s="147" t="e" cm="1">
        <f t="array" aca="1" ref="AP894" ca="1">_xlfn.XLOOKUP(Contrato5[[#This Row],[DOCUMENTO]],[2]!PERSONAL_ACTIVO_2024[[#All],[Documento identidad]],[2]!PERSONAL_ACTIVO_2024[[#All],[Mail ]],0,0)</f>
        <v>#NAME?</v>
      </c>
      <c r="AQ894" s="439" cm="1">
        <f t="array" aca="1" ref="AQ894" ca="1">IF(ISBLANK(Contrato5[[#This Row],[DEPENDENCIA ]]),0,IFERROR(_xlfn.XLOOKUP(Contrato5[[#This Row],[DEPENDENCIA ]],[2]!PERSONAL_ACTIVO_2024[[#All],[Dependencia]],[2]!PERSONAL_ACTIVO_2024[[#All],[Mail ]],0,0),0))</f>
        <v>0</v>
      </c>
    </row>
    <row r="895" spans="1:43" ht="34.5" customHeight="1">
      <c r="A895" s="147">
        <v>1296</v>
      </c>
      <c r="B895" s="499">
        <v>757</v>
      </c>
      <c r="C895" s="162" t="s">
        <v>2296</v>
      </c>
      <c r="D895" s="227" t="s">
        <v>510</v>
      </c>
      <c r="E895" s="227" t="s">
        <v>94</v>
      </c>
      <c r="F895" s="227" t="s">
        <v>1894</v>
      </c>
      <c r="G895" s="281" t="s">
        <v>3316</v>
      </c>
      <c r="H895" s="282">
        <v>900974762</v>
      </c>
      <c r="I895" s="309" t="s">
        <v>42</v>
      </c>
      <c r="J895" s="445">
        <v>1051040112</v>
      </c>
      <c r="K895" s="131" t="s">
        <v>3314</v>
      </c>
      <c r="L895" s="506" t="s">
        <v>3275</v>
      </c>
      <c r="M895" s="194" t="s">
        <v>3276</v>
      </c>
      <c r="N895" s="177" t="e" cm="1">
        <f t="array" aca="1" ref="N895" ca="1">_xlfn.XLOOKUP(Contrato5[[#This Row],[SUPERVISOR TITULAR]],[2]!PERSONAL_ACTIVO_2024[[#All],[Nombre completo]],[2]!PERSONAL_ACTIVO_2024[[#All],[Documento identidad]],"",0)</f>
        <v>#NAME?</v>
      </c>
      <c r="O895" s="194" t="s">
        <v>2624</v>
      </c>
      <c r="P895" s="196" t="e" cm="1">
        <f t="array" aca="1" ref="P895" ca="1">_xlfn.XLOOKUP(Contrato5[[#This Row],[SUPERVISOR SUPLENTE ]],[2]!PERSONAL_ACTIVO_2024[[#All],[Nombre completo]],[2]!PERSONAL_ACTIVO_2024[[#All],[Documento identidad]],"",0)</f>
        <v>#NAME?</v>
      </c>
      <c r="Q895" s="170">
        <v>1155</v>
      </c>
      <c r="R895" s="137" t="e" cm="1">
        <f t="array" aca="1" ref="R895" ca="1">_xlfn.XLOOKUP(Contrato5[[#This Row],[CDP]],[2]!DISPONIBILIDADES_2024[[#All],[consecutivo]],[2]!DISPONIBILIDADES_2024[[#All],[fecha_aprobacion]],"",0)</f>
        <v>#NAME?</v>
      </c>
      <c r="S895" s="138" t="e">
        <f>SUMIF([2]!DISPONIBILIDADES_2024[[#All],[consecutivo]],Contrato5[[#This Row],[CDP]],[2]!DISPONIBILIDADES_2024[[#All],[valor_total_rubro]])</f>
        <v>#REF!</v>
      </c>
      <c r="T895" s="139" t="e" cm="1">
        <f t="array" aca="1" ref="T895" ca="1">_xlfn.XLOOKUP(Contrato5[[#This Row],[CONTRATO]]&amp;Contrato5[[#This Row],[CDP]],[2]!Corr_Contr_CDP[[#All],[CONTRATO-CDP]],[2]!Corr_Contr_CDP[[#All],[CRP]],_xlfn.XLOOKUP(Contrato5[[#This Row],[CDP]],[2]!COMPROMISOS_2024[[#All],[disponibilidad]],[2]!COMPROMISOS_2024[[#All],[consecutivo]],"",0),0)</f>
        <v>#NAME?</v>
      </c>
      <c r="U895" s="140" t="e" cm="1">
        <f t="array" aca="1" ref="U895" ca="1">+_xlfn.XLOOKUP(Contrato5[[#This Row],[RCP]],[2]!COMPROMISOS_2024[[#All],[consecutivo]],[2]!COMPROMISOS_2024[[#All],[fecha_aprobacion]],"",0)</f>
        <v>#NAME?</v>
      </c>
      <c r="V895" s="141" t="e">
        <f ca="1">SUMIF([2]!COMPROMISOS_2024[[#All],[consecutivo]],Contrato5[[#This Row],[RCP]],[2]!COMPROMISOS_2024[[#All],[valor_total]])</f>
        <v>#REF!</v>
      </c>
      <c r="W895" s="160">
        <v>45642</v>
      </c>
      <c r="X895" s="160" t="s">
        <v>1045</v>
      </c>
      <c r="Y895" s="143">
        <v>45672</v>
      </c>
      <c r="Z895" s="262">
        <v>45915</v>
      </c>
      <c r="AA895" s="171" t="s">
        <v>3317</v>
      </c>
      <c r="AB895" s="172" t="s">
        <v>1037</v>
      </c>
      <c r="AC895" s="172"/>
      <c r="AD895" s="425">
        <v>202000005891</v>
      </c>
      <c r="AE895" s="147"/>
      <c r="AF895" s="148" t="str">
        <f>TEXT(LEFT(Contrato5[[#This Row],[CONTRATO]],3),"0")</f>
        <v>757</v>
      </c>
      <c r="AG895" s="148" t="str">
        <f>IF(LEN(Contrato5[[#This Row],[Contrato2]])=3,Contrato5[[#This Row],[Contrato2]],TEXT(Contrato5[[#This Row],[Contrato2]],"000"))</f>
        <v>757</v>
      </c>
      <c r="AH895" s="149">
        <f ca="1">IFERROR(_xlfn.DAYS(Contrato5[[#This Row],[Fecha Proyectada liquidación]],TODAY())/30,"")</f>
        <v>9.2333333333333325</v>
      </c>
      <c r="AI895" s="150">
        <f>+Contrato5[[#This Row],[FECHA TERMINACIÓN ]]+120</f>
        <v>46035</v>
      </c>
      <c r="AJ895" s="147"/>
      <c r="AK895" s="152" t="str">
        <f ca="1">IF(Contrato5[[#This Row],[FECHA TERMINACIÓN ]]&lt;TODAY(), "Terminado",IF(ISNUMBER(Contrato5[[#This Row],[Fecha Real de liquiidación ]]),"Liquidado",IF(Contrato5[[#This Row],[FECHA TERMINACIÓN ]]&gt;=TODAY(),"En ejecución","")))</f>
        <v>En ejecución</v>
      </c>
      <c r="AL895" s="153" t="e">
        <f ca="1">SUMIF([2]!COMPROMISOS_2024[[#All],[consecutivo]],Contrato5[[#This Row],[RCP]],[2]!COMPROMISOS_2024[[#All],[Total pagado]])</f>
        <v>#REF!</v>
      </c>
      <c r="AM895" s="154">
        <f ca="1">IFERROR(Contrato5[[#This Row],[Pagos]]/Contrato5[[#This Row],[VALOR CONTRATO]],0)</f>
        <v>0</v>
      </c>
      <c r="AN895" s="198" t="e">
        <f ca="1">+Contrato5[[#This Row],[VALOR CONTRATO]]-Contrato5[[#This Row],[Pagos]]</f>
        <v>#REF!</v>
      </c>
      <c r="AO895" s="147" t="e" cm="1">
        <f t="array" aca="1" ref="AO895" ca="1">_xlfn.XLOOKUP(Contrato5[[#This Row],[DOCUMENTO ]],[2]!PERSONAL_ACTIVO_2024[[#All],[Documento identidad]],[2]!PERSONAL_ACTIVO_2024[[#All],[Mail ]],0,0)</f>
        <v>#NAME?</v>
      </c>
      <c r="AP895" s="147" t="e" cm="1">
        <f t="array" aca="1" ref="AP895" ca="1">_xlfn.XLOOKUP(Contrato5[[#This Row],[DOCUMENTO]],[2]!PERSONAL_ACTIVO_2024[[#All],[Documento identidad]],[2]!PERSONAL_ACTIVO_2024[[#All],[Mail ]],0,0)</f>
        <v>#NAME?</v>
      </c>
      <c r="AQ895" s="439" cm="1">
        <f t="array" aca="1" ref="AQ895" ca="1">IF(ISBLANK(Contrato5[[#This Row],[DEPENDENCIA ]]),0,IFERROR(_xlfn.XLOOKUP(Contrato5[[#This Row],[DEPENDENCIA ]],[2]!PERSONAL_ACTIVO_2024[[#All],[Dependencia]],[2]!PERSONAL_ACTIVO_2024[[#All],[Mail ]],0,0),0))</f>
        <v>0</v>
      </c>
    </row>
    <row r="896" spans="1:43" ht="34.5" customHeight="1">
      <c r="A896" s="596">
        <v>1280</v>
      </c>
      <c r="B896" s="499">
        <v>758</v>
      </c>
      <c r="C896" s="162" t="s">
        <v>2281</v>
      </c>
      <c r="D896" s="227" t="s">
        <v>510</v>
      </c>
      <c r="E896" s="227" t="s">
        <v>94</v>
      </c>
      <c r="F896" s="227" t="s">
        <v>1894</v>
      </c>
      <c r="G896" s="281" t="s">
        <v>3318</v>
      </c>
      <c r="H896" s="282">
        <v>890920814</v>
      </c>
      <c r="I896" s="309" t="s">
        <v>42</v>
      </c>
      <c r="J896" s="445">
        <v>326265768</v>
      </c>
      <c r="K896" s="131" t="s">
        <v>3319</v>
      </c>
      <c r="L896" s="506" t="s">
        <v>3275</v>
      </c>
      <c r="M896" s="194" t="s">
        <v>3276</v>
      </c>
      <c r="N896" s="177" t="e" cm="1">
        <f t="array" aca="1" ref="N896" ca="1">_xlfn.XLOOKUP(Contrato5[[#This Row],[SUPERVISOR TITULAR]],[2]!PERSONAL_ACTIVO_2024[[#All],[Nombre completo]],[2]!PERSONAL_ACTIVO_2024[[#All],[Documento identidad]],"",0)</f>
        <v>#NAME?</v>
      </c>
      <c r="O896" s="194" t="s">
        <v>514</v>
      </c>
      <c r="P896" s="196" t="e" cm="1">
        <f t="array" aca="1" ref="P896" ca="1">_xlfn.XLOOKUP(Contrato5[[#This Row],[SUPERVISOR SUPLENTE ]],[2]!PERSONAL_ACTIVO_2024[[#All],[Nombre completo]],[2]!PERSONAL_ACTIVO_2024[[#All],[Documento identidad]],"",0)</f>
        <v>#NAME?</v>
      </c>
      <c r="Q896" s="170">
        <v>1148</v>
      </c>
      <c r="R896" s="137" t="e" cm="1">
        <f t="array" aca="1" ref="R896" ca="1">_xlfn.XLOOKUP(Contrato5[[#This Row],[CDP]],[2]!DISPONIBILIDADES_2024[[#All],[consecutivo]],[2]!DISPONIBILIDADES_2024[[#All],[fecha_aprobacion]],"",0)</f>
        <v>#NAME?</v>
      </c>
      <c r="S896" s="138" t="e">
        <f>SUMIF([2]!DISPONIBILIDADES_2024[[#All],[consecutivo]],Contrato5[[#This Row],[CDP]],[2]!DISPONIBILIDADES_2024[[#All],[valor_total_rubro]])</f>
        <v>#REF!</v>
      </c>
      <c r="T896" s="139" t="e" cm="1">
        <f t="array" aca="1" ref="T896" ca="1">_xlfn.XLOOKUP(Contrato5[[#This Row],[CONTRATO]]&amp;Contrato5[[#This Row],[CDP]],[2]!Corr_Contr_CDP[[#All],[CONTRATO-CDP]],[2]!Corr_Contr_CDP[[#All],[CRP]],_xlfn.XLOOKUP(Contrato5[[#This Row],[CDP]],[2]!COMPROMISOS_2024[[#All],[disponibilidad]],[2]!COMPROMISOS_2024[[#All],[consecutivo]],"",0),0)</f>
        <v>#NAME?</v>
      </c>
      <c r="U896" s="140" t="e" cm="1">
        <f t="array" aca="1" ref="U896" ca="1">+_xlfn.XLOOKUP(Contrato5[[#This Row],[RCP]],[2]!COMPROMISOS_2024[[#All],[consecutivo]],[2]!COMPROMISOS_2024[[#All],[fecha_aprobacion]],"",0)</f>
        <v>#NAME?</v>
      </c>
      <c r="V896" s="141" t="e">
        <f ca="1">SUMIF([2]!COMPROMISOS_2024[[#All],[consecutivo]],Contrato5[[#This Row],[RCP]],[2]!COMPROMISOS_2024[[#All],[valor_total]])</f>
        <v>#REF!</v>
      </c>
      <c r="W896" s="160">
        <v>45643</v>
      </c>
      <c r="X896" s="161">
        <v>45652</v>
      </c>
      <c r="Y896" s="143">
        <v>45672</v>
      </c>
      <c r="Z896" s="262">
        <v>45884</v>
      </c>
      <c r="AA896" s="171" t="s">
        <v>3320</v>
      </c>
      <c r="AB896" s="172" t="s">
        <v>618</v>
      </c>
      <c r="AC896" s="172"/>
      <c r="AD896" s="425">
        <v>202000005892</v>
      </c>
      <c r="AE896" s="147"/>
      <c r="AF896" s="148" t="str">
        <f>TEXT(LEFT(Contrato5[[#This Row],[CONTRATO]],3),"0")</f>
        <v>758</v>
      </c>
      <c r="AG896" s="148" t="str">
        <f>IF(LEN(Contrato5[[#This Row],[Contrato2]])=3,Contrato5[[#This Row],[Contrato2]],TEXT(Contrato5[[#This Row],[Contrato2]],"000"))</f>
        <v>758</v>
      </c>
      <c r="AH896" s="149">
        <f ca="1">IFERROR(_xlfn.DAYS(Contrato5[[#This Row],[Fecha Proyectada liquidación]],TODAY())/30,"")</f>
        <v>8.1999999999999993</v>
      </c>
      <c r="AI896" s="150">
        <f>+Contrato5[[#This Row],[FECHA TERMINACIÓN ]]+120</f>
        <v>46004</v>
      </c>
      <c r="AJ896" s="147"/>
      <c r="AK896" s="152" t="str">
        <f ca="1">IF(Contrato5[[#This Row],[FECHA TERMINACIÓN ]]&lt;TODAY(), "Terminado",IF(ISNUMBER(Contrato5[[#This Row],[Fecha Real de liquiidación ]]),"Liquidado",IF(Contrato5[[#This Row],[FECHA TERMINACIÓN ]]&gt;=TODAY(),"En ejecución","")))</f>
        <v>En ejecución</v>
      </c>
      <c r="AL896" s="153" t="e">
        <f ca="1">SUMIF([2]!COMPROMISOS_2024[[#All],[consecutivo]],Contrato5[[#This Row],[RCP]],[2]!COMPROMISOS_2024[[#All],[Total pagado]])</f>
        <v>#REF!</v>
      </c>
      <c r="AM896" s="154">
        <f ca="1">IFERROR(Contrato5[[#This Row],[Pagos]]/Contrato5[[#This Row],[VALOR CONTRATO]],0)</f>
        <v>0</v>
      </c>
      <c r="AN896" s="198" t="e">
        <f ca="1">+Contrato5[[#This Row],[VALOR CONTRATO]]-Contrato5[[#This Row],[Pagos]]</f>
        <v>#REF!</v>
      </c>
      <c r="AO896" s="147" t="e" cm="1">
        <f t="array" aca="1" ref="AO896" ca="1">_xlfn.XLOOKUP(Contrato5[[#This Row],[DOCUMENTO ]],[2]!PERSONAL_ACTIVO_2024[[#All],[Documento identidad]],[2]!PERSONAL_ACTIVO_2024[[#All],[Mail ]],0,0)</f>
        <v>#NAME?</v>
      </c>
      <c r="AP896" s="147" t="e" cm="1">
        <f t="array" aca="1" ref="AP896" ca="1">_xlfn.XLOOKUP(Contrato5[[#This Row],[DOCUMENTO]],[2]!PERSONAL_ACTIVO_2024[[#All],[Documento identidad]],[2]!PERSONAL_ACTIVO_2024[[#All],[Mail ]],0,0)</f>
        <v>#NAME?</v>
      </c>
      <c r="AQ896" s="439" cm="1">
        <f t="array" aca="1" ref="AQ896" ca="1">IF(ISBLANK(Contrato5[[#This Row],[DEPENDENCIA ]]),0,IFERROR(_xlfn.XLOOKUP(Contrato5[[#This Row],[DEPENDENCIA ]],[2]!PERSONAL_ACTIVO_2024[[#All],[Dependencia]],[2]!PERSONAL_ACTIVO_2024[[#All],[Mail ]],0,0),0))</f>
        <v>0</v>
      </c>
    </row>
    <row r="897" spans="1:43" ht="34.5" customHeight="1">
      <c r="A897" s="596">
        <v>1266</v>
      </c>
      <c r="B897" s="499">
        <v>759</v>
      </c>
      <c r="C897" s="162" t="s">
        <v>2267</v>
      </c>
      <c r="D897" s="227" t="s">
        <v>510</v>
      </c>
      <c r="E897" s="227" t="s">
        <v>94</v>
      </c>
      <c r="F897" s="227" t="s">
        <v>1894</v>
      </c>
      <c r="G897" s="281" t="s">
        <v>3321</v>
      </c>
      <c r="H897" s="282">
        <v>890983813</v>
      </c>
      <c r="I897" s="309" t="s">
        <v>42</v>
      </c>
      <c r="J897" s="445">
        <v>279332363</v>
      </c>
      <c r="K897" s="131" t="s">
        <v>3322</v>
      </c>
      <c r="L897" s="506" t="s">
        <v>3275</v>
      </c>
      <c r="M897" s="194" t="s">
        <v>3276</v>
      </c>
      <c r="N897" s="177" t="e" cm="1">
        <f t="array" aca="1" ref="N897" ca="1">_xlfn.XLOOKUP(Contrato5[[#This Row],[SUPERVISOR TITULAR]],[2]!PERSONAL_ACTIVO_2024[[#All],[Nombre completo]],[2]!PERSONAL_ACTIVO_2024[[#All],[Documento identidad]],"",0)</f>
        <v>#NAME?</v>
      </c>
      <c r="O897" s="194" t="s">
        <v>514</v>
      </c>
      <c r="P897" s="196" t="e" cm="1">
        <f t="array" aca="1" ref="P897" ca="1">_xlfn.XLOOKUP(Contrato5[[#This Row],[SUPERVISOR SUPLENTE ]],[2]!PERSONAL_ACTIVO_2024[[#All],[Nombre completo]],[2]!PERSONAL_ACTIVO_2024[[#All],[Documento identidad]],"",0)</f>
        <v>#NAME?</v>
      </c>
      <c r="Q897" s="170">
        <v>1114</v>
      </c>
      <c r="R897" s="137" t="e" cm="1">
        <f t="array" aca="1" ref="R897" ca="1">_xlfn.XLOOKUP(Contrato5[[#This Row],[CDP]],[2]!DISPONIBILIDADES_2024[[#All],[consecutivo]],[2]!DISPONIBILIDADES_2024[[#All],[fecha_aprobacion]],"",0)</f>
        <v>#NAME?</v>
      </c>
      <c r="S897" s="138" t="e">
        <f>SUMIF([2]!DISPONIBILIDADES_2024[[#All],[consecutivo]],Contrato5[[#This Row],[CDP]],[2]!DISPONIBILIDADES_2024[[#All],[valor_total_rubro]])</f>
        <v>#REF!</v>
      </c>
      <c r="T897" s="139" t="e" cm="1">
        <f t="array" aca="1" ref="T897" ca="1">_xlfn.XLOOKUP(Contrato5[[#This Row],[CONTRATO]]&amp;Contrato5[[#This Row],[CDP]],[2]!Corr_Contr_CDP[[#All],[CONTRATO-CDP]],[2]!Corr_Contr_CDP[[#All],[CRP]],_xlfn.XLOOKUP(Contrato5[[#This Row],[CDP]],[2]!COMPROMISOS_2024[[#All],[disponibilidad]],[2]!COMPROMISOS_2024[[#All],[consecutivo]],"",0),0)</f>
        <v>#NAME?</v>
      </c>
      <c r="U897" s="140" t="e" cm="1">
        <f t="array" aca="1" ref="U897" ca="1">+_xlfn.XLOOKUP(Contrato5[[#This Row],[RCP]],[2]!COMPROMISOS_2024[[#All],[consecutivo]],[2]!COMPROMISOS_2024[[#All],[fecha_aprobacion]],"",0)</f>
        <v>#NAME?</v>
      </c>
      <c r="V897" s="141" t="e">
        <f ca="1">SUMIF([2]!COMPROMISOS_2024[[#All],[consecutivo]],Contrato5[[#This Row],[RCP]],[2]!COMPROMISOS_2024[[#All],[valor_total]])</f>
        <v>#REF!</v>
      </c>
      <c r="W897" s="160">
        <v>45646</v>
      </c>
      <c r="X897" s="161">
        <v>45650</v>
      </c>
      <c r="Y897" s="143">
        <v>45673</v>
      </c>
      <c r="Z897" s="262">
        <v>45885</v>
      </c>
      <c r="AA897" s="171" t="s">
        <v>3323</v>
      </c>
      <c r="AB897" s="172" t="s">
        <v>618</v>
      </c>
      <c r="AC897" s="172"/>
      <c r="AD897" s="425">
        <v>202000005893</v>
      </c>
      <c r="AE897" s="147"/>
      <c r="AF897" s="148" t="str">
        <f>TEXT(LEFT(Contrato5[[#This Row],[CONTRATO]],3),"0")</f>
        <v>759</v>
      </c>
      <c r="AG897" s="148" t="str">
        <f>IF(LEN(Contrato5[[#This Row],[Contrato2]])=3,Contrato5[[#This Row],[Contrato2]],TEXT(Contrato5[[#This Row],[Contrato2]],"000"))</f>
        <v>759</v>
      </c>
      <c r="AH897" s="149">
        <f ca="1">IFERROR(_xlfn.DAYS(Contrato5[[#This Row],[Fecha Proyectada liquidación]],TODAY())/30,"")</f>
        <v>8.2333333333333325</v>
      </c>
      <c r="AI897" s="150">
        <f>+Contrato5[[#This Row],[FECHA TERMINACIÓN ]]+120</f>
        <v>46005</v>
      </c>
      <c r="AJ897" s="147"/>
      <c r="AK897" s="152" t="str">
        <f ca="1">IF(Contrato5[[#This Row],[FECHA TERMINACIÓN ]]&lt;TODAY(), "Terminado",IF(ISNUMBER(Contrato5[[#This Row],[Fecha Real de liquiidación ]]),"Liquidado",IF(Contrato5[[#This Row],[FECHA TERMINACIÓN ]]&gt;=TODAY(),"En ejecución","")))</f>
        <v>En ejecución</v>
      </c>
      <c r="AL897" s="153" t="e">
        <f ca="1">SUMIF([2]!COMPROMISOS_2024[[#All],[consecutivo]],Contrato5[[#This Row],[RCP]],[2]!COMPROMISOS_2024[[#All],[Total pagado]])</f>
        <v>#REF!</v>
      </c>
      <c r="AM897" s="154">
        <f ca="1">IFERROR(Contrato5[[#This Row],[Pagos]]/Contrato5[[#This Row],[VALOR CONTRATO]],0)</f>
        <v>0</v>
      </c>
      <c r="AN897" s="198" t="e">
        <f ca="1">+Contrato5[[#This Row],[VALOR CONTRATO]]-Contrato5[[#This Row],[Pagos]]</f>
        <v>#REF!</v>
      </c>
      <c r="AO897" s="147" t="e" cm="1">
        <f t="array" aca="1" ref="AO897" ca="1">_xlfn.XLOOKUP(Contrato5[[#This Row],[DOCUMENTO ]],[2]!PERSONAL_ACTIVO_2024[[#All],[Documento identidad]],[2]!PERSONAL_ACTIVO_2024[[#All],[Mail ]],0,0)</f>
        <v>#NAME?</v>
      </c>
      <c r="AP897" s="147" t="e" cm="1">
        <f t="array" aca="1" ref="AP897" ca="1">_xlfn.XLOOKUP(Contrato5[[#This Row],[DOCUMENTO]],[2]!PERSONAL_ACTIVO_2024[[#All],[Documento identidad]],[2]!PERSONAL_ACTIVO_2024[[#All],[Mail ]],0,0)</f>
        <v>#NAME?</v>
      </c>
      <c r="AQ897" s="439" cm="1">
        <f t="array" aca="1" ref="AQ897" ca="1">IF(ISBLANK(Contrato5[[#This Row],[DEPENDENCIA ]]),0,IFERROR(_xlfn.XLOOKUP(Contrato5[[#This Row],[DEPENDENCIA ]],[2]!PERSONAL_ACTIVO_2024[[#All],[Dependencia]],[2]!PERSONAL_ACTIVO_2024[[#All],[Mail ]],0,0),0))</f>
        <v>0</v>
      </c>
    </row>
    <row r="898" spans="1:43" ht="34.5" customHeight="1">
      <c r="A898" s="596">
        <v>1269</v>
      </c>
      <c r="B898" s="499">
        <v>760</v>
      </c>
      <c r="C898" s="162" t="s">
        <v>2270</v>
      </c>
      <c r="D898" s="227" t="s">
        <v>510</v>
      </c>
      <c r="E898" s="227" t="s">
        <v>94</v>
      </c>
      <c r="F898" s="227" t="s">
        <v>1894</v>
      </c>
      <c r="G898" s="281" t="s">
        <v>3324</v>
      </c>
      <c r="H898" s="282">
        <v>890983674</v>
      </c>
      <c r="I898" s="309" t="s">
        <v>42</v>
      </c>
      <c r="J898" s="445">
        <v>204503756</v>
      </c>
      <c r="K898" s="131" t="s">
        <v>3325</v>
      </c>
      <c r="L898" s="506" t="s">
        <v>3275</v>
      </c>
      <c r="M898" s="194" t="s">
        <v>3276</v>
      </c>
      <c r="N898" s="177" t="e" cm="1">
        <f t="array" aca="1" ref="N898" ca="1">_xlfn.XLOOKUP(Contrato5[[#This Row],[SUPERVISOR TITULAR]],[2]!PERSONAL_ACTIVO_2024[[#All],[Nombre completo]],[2]!PERSONAL_ACTIVO_2024[[#All],[Documento identidad]],"",0)</f>
        <v>#NAME?</v>
      </c>
      <c r="O898" s="194" t="s">
        <v>514</v>
      </c>
      <c r="P898" s="196" t="e" cm="1">
        <f t="array" aca="1" ref="P898" ca="1">_xlfn.XLOOKUP(Contrato5[[#This Row],[SUPERVISOR SUPLENTE ]],[2]!PERSONAL_ACTIVO_2024[[#All],[Nombre completo]],[2]!PERSONAL_ACTIVO_2024[[#All],[Documento identidad]],"",0)</f>
        <v>#NAME?</v>
      </c>
      <c r="Q898" s="170">
        <v>1116</v>
      </c>
      <c r="R898" s="137" t="e" cm="1">
        <f t="array" aca="1" ref="R898" ca="1">_xlfn.XLOOKUP(Contrato5[[#This Row],[CDP]],[2]!DISPONIBILIDADES_2024[[#All],[consecutivo]],[2]!DISPONIBILIDADES_2024[[#All],[fecha_aprobacion]],"",0)</f>
        <v>#NAME?</v>
      </c>
      <c r="S898" s="138" t="e">
        <f>SUMIF([2]!DISPONIBILIDADES_2024[[#All],[consecutivo]],Contrato5[[#This Row],[CDP]],[2]!DISPONIBILIDADES_2024[[#All],[valor_total_rubro]])</f>
        <v>#REF!</v>
      </c>
      <c r="T898" s="139" t="e" cm="1">
        <f t="array" aca="1" ref="T898" ca="1">_xlfn.XLOOKUP(Contrato5[[#This Row],[CONTRATO]]&amp;Contrato5[[#This Row],[CDP]],[2]!Corr_Contr_CDP[[#All],[CONTRATO-CDP]],[2]!Corr_Contr_CDP[[#All],[CRP]],_xlfn.XLOOKUP(Contrato5[[#This Row],[CDP]],[2]!COMPROMISOS_2024[[#All],[disponibilidad]],[2]!COMPROMISOS_2024[[#All],[consecutivo]],"",0),0)</f>
        <v>#NAME?</v>
      </c>
      <c r="U898" s="140" t="e" cm="1">
        <f t="array" aca="1" ref="U898" ca="1">+_xlfn.XLOOKUP(Contrato5[[#This Row],[RCP]],[2]!COMPROMISOS_2024[[#All],[consecutivo]],[2]!COMPROMISOS_2024[[#All],[fecha_aprobacion]],"",0)</f>
        <v>#NAME?</v>
      </c>
      <c r="V898" s="141" t="e">
        <f ca="1">SUMIF([2]!COMPROMISOS_2024[[#All],[consecutivo]],Contrato5[[#This Row],[RCP]],[2]!COMPROMISOS_2024[[#All],[valor_total]])</f>
        <v>#REF!</v>
      </c>
      <c r="W898" s="160">
        <v>45644</v>
      </c>
      <c r="X898" s="161">
        <v>45650</v>
      </c>
      <c r="Y898" s="143">
        <v>45672</v>
      </c>
      <c r="Z898" s="262">
        <v>45853</v>
      </c>
      <c r="AA898" s="171" t="s">
        <v>3326</v>
      </c>
      <c r="AB898" s="172" t="s">
        <v>640</v>
      </c>
      <c r="AC898" s="172"/>
      <c r="AD898" s="425">
        <v>202000005894</v>
      </c>
      <c r="AE898" s="147"/>
      <c r="AF898" s="148" t="str">
        <f>TEXT(LEFT(Contrato5[[#This Row],[CONTRATO]],3),"0")</f>
        <v>760</v>
      </c>
      <c r="AG898" s="148" t="str">
        <f>IF(LEN(Contrato5[[#This Row],[Contrato2]])=3,Contrato5[[#This Row],[Contrato2]],TEXT(Contrato5[[#This Row],[Contrato2]],"000"))</f>
        <v>760</v>
      </c>
      <c r="AH898" s="149">
        <f ca="1">IFERROR(_xlfn.DAYS(Contrato5[[#This Row],[Fecha Proyectada liquidación]],TODAY())/30,"")</f>
        <v>7.166666666666667</v>
      </c>
      <c r="AI898" s="150">
        <f>+Contrato5[[#This Row],[FECHA TERMINACIÓN ]]+120</f>
        <v>45973</v>
      </c>
      <c r="AJ898" s="147"/>
      <c r="AK898" s="152" t="str">
        <f ca="1">IF(Contrato5[[#This Row],[FECHA TERMINACIÓN ]]&lt;TODAY(), "Terminado",IF(ISNUMBER(Contrato5[[#This Row],[Fecha Real de liquiidación ]]),"Liquidado",IF(Contrato5[[#This Row],[FECHA TERMINACIÓN ]]&gt;=TODAY(),"En ejecución","")))</f>
        <v>En ejecución</v>
      </c>
      <c r="AL898" s="153" t="e">
        <f ca="1">SUMIF([2]!COMPROMISOS_2024[[#All],[consecutivo]],Contrato5[[#This Row],[RCP]],[2]!COMPROMISOS_2024[[#All],[Total pagado]])</f>
        <v>#REF!</v>
      </c>
      <c r="AM898" s="154">
        <f ca="1">IFERROR(Contrato5[[#This Row],[Pagos]]/Contrato5[[#This Row],[VALOR CONTRATO]],0)</f>
        <v>0</v>
      </c>
      <c r="AN898" s="198" t="e">
        <f ca="1">+Contrato5[[#This Row],[VALOR CONTRATO]]-Contrato5[[#This Row],[Pagos]]</f>
        <v>#REF!</v>
      </c>
      <c r="AO898" s="147" t="e" cm="1">
        <f t="array" aca="1" ref="AO898" ca="1">_xlfn.XLOOKUP(Contrato5[[#This Row],[DOCUMENTO ]],[2]!PERSONAL_ACTIVO_2024[[#All],[Documento identidad]],[2]!PERSONAL_ACTIVO_2024[[#All],[Mail ]],0,0)</f>
        <v>#NAME?</v>
      </c>
      <c r="AP898" s="147" t="e" cm="1">
        <f t="array" aca="1" ref="AP898" ca="1">_xlfn.XLOOKUP(Contrato5[[#This Row],[DOCUMENTO]],[2]!PERSONAL_ACTIVO_2024[[#All],[Documento identidad]],[2]!PERSONAL_ACTIVO_2024[[#All],[Mail ]],0,0)</f>
        <v>#NAME?</v>
      </c>
      <c r="AQ898" s="439" cm="1">
        <f t="array" aca="1" ref="AQ898" ca="1">IF(ISBLANK(Contrato5[[#This Row],[DEPENDENCIA ]]),0,IFERROR(_xlfn.XLOOKUP(Contrato5[[#This Row],[DEPENDENCIA ]],[2]!PERSONAL_ACTIVO_2024[[#All],[Dependencia]],[2]!PERSONAL_ACTIVO_2024[[#All],[Mail ]],0,0),0))</f>
        <v>0</v>
      </c>
    </row>
    <row r="899" spans="1:43" ht="84.75" customHeight="1">
      <c r="A899" s="147">
        <v>1317</v>
      </c>
      <c r="B899" s="499">
        <v>761</v>
      </c>
      <c r="C899" s="162" t="s">
        <v>1844</v>
      </c>
      <c r="D899" s="227" t="s">
        <v>510</v>
      </c>
      <c r="E899" s="227" t="s">
        <v>94</v>
      </c>
      <c r="F899" s="227" t="s">
        <v>1894</v>
      </c>
      <c r="G899" s="281" t="s">
        <v>3316</v>
      </c>
      <c r="H899" s="282">
        <v>900974762</v>
      </c>
      <c r="I899" s="309" t="s">
        <v>42</v>
      </c>
      <c r="J899" s="445">
        <v>2999086345</v>
      </c>
      <c r="K899" s="165" t="s">
        <v>42</v>
      </c>
      <c r="L899" s="438" t="s">
        <v>2599</v>
      </c>
      <c r="M899" s="194" t="s">
        <v>3327</v>
      </c>
      <c r="N899" s="177" t="e" cm="1">
        <f t="array" aca="1" ref="N899" ca="1">_xlfn.XLOOKUP(Contrato5[[#This Row],[SUPERVISOR TITULAR]],[2]!PERSONAL_ACTIVO_2024[[#All],[Nombre completo]],[2]!PERSONAL_ACTIVO_2024[[#All],[Documento identidad]],"",0)</f>
        <v>#NAME?</v>
      </c>
      <c r="O899" s="194" t="s">
        <v>597</v>
      </c>
      <c r="P899" s="196" t="e" cm="1">
        <f t="array" aca="1" ref="P899" ca="1">_xlfn.XLOOKUP(Contrato5[[#This Row],[SUPERVISOR SUPLENTE ]],[2]!PERSONAL_ACTIVO_2024[[#All],[Nombre completo]],[2]!PERSONAL_ACTIVO_2024[[#All],[Documento identidad]],"",0)</f>
        <v>#NAME?</v>
      </c>
      <c r="Q899" s="170">
        <v>1188</v>
      </c>
      <c r="R899" s="137" t="e" cm="1">
        <f t="array" aca="1" ref="R899" ca="1">_xlfn.XLOOKUP(Contrato5[[#This Row],[CDP]],[2]!DISPONIBILIDADES_2024[[#All],[consecutivo]],[2]!DISPONIBILIDADES_2024[[#All],[fecha_aprobacion]],"",0)</f>
        <v>#NAME?</v>
      </c>
      <c r="S899" s="138" t="e">
        <f>SUMIF([2]!DISPONIBILIDADES_2024[[#All],[consecutivo]],Contrato5[[#This Row],[CDP]],[2]!DISPONIBILIDADES_2024[[#All],[valor_total_rubro]])</f>
        <v>#REF!</v>
      </c>
      <c r="T899" s="139" t="e" cm="1">
        <f t="array" aca="1" ref="T899" ca="1">_xlfn.XLOOKUP(Contrato5[[#This Row],[CONTRATO]]&amp;Contrato5[[#This Row],[CDP]],[2]!Corr_Contr_CDP[[#All],[CONTRATO-CDP]],[2]!Corr_Contr_CDP[[#All],[CRP]],_xlfn.XLOOKUP(Contrato5[[#This Row],[CDP]],[2]!COMPROMISOS_2024[[#All],[disponibilidad]],[2]!COMPROMISOS_2024[[#All],[consecutivo]],"",0),0)</f>
        <v>#NAME?</v>
      </c>
      <c r="U899" s="140" t="e" cm="1">
        <f t="array" aca="1" ref="U899" ca="1">+_xlfn.XLOOKUP(Contrato5[[#This Row],[RCP]],[2]!COMPROMISOS_2024[[#All],[consecutivo]],[2]!COMPROMISOS_2024[[#All],[fecha_aprobacion]],"",0)</f>
        <v>#NAME?</v>
      </c>
      <c r="V899" s="141" t="e">
        <f ca="1">SUMIF([2]!COMPROMISOS_2024[[#All],[consecutivo]],Contrato5[[#This Row],[RCP]],[2]!COMPROMISOS_2024[[#All],[valor_total]])</f>
        <v>#REF!</v>
      </c>
      <c r="W899" s="160">
        <v>45643</v>
      </c>
      <c r="X899" s="160" t="s">
        <v>1045</v>
      </c>
      <c r="Y899" s="143">
        <v>45670</v>
      </c>
      <c r="Z899" s="262">
        <v>45821</v>
      </c>
      <c r="AA899" s="171" t="s">
        <v>3328</v>
      </c>
      <c r="AB899" s="172" t="s">
        <v>1041</v>
      </c>
      <c r="AC899" s="172"/>
      <c r="AD899" s="425">
        <v>202000005895</v>
      </c>
      <c r="AE899" s="147"/>
      <c r="AF899" s="148" t="str">
        <f>TEXT(LEFT(Contrato5[[#This Row],[CONTRATO]],3),"0")</f>
        <v>761</v>
      </c>
      <c r="AG899" s="148" t="str">
        <f>IF(LEN(Contrato5[[#This Row],[Contrato2]])=3,Contrato5[[#This Row],[Contrato2]],TEXT(Contrato5[[#This Row],[Contrato2]],"000"))</f>
        <v>761</v>
      </c>
      <c r="AH899" s="149">
        <f ca="1">IFERROR(_xlfn.DAYS(Contrato5[[#This Row],[Fecha Proyectada liquidación]],TODAY())/30,"")</f>
        <v>6.1</v>
      </c>
      <c r="AI899" s="150">
        <f>+Contrato5[[#This Row],[FECHA TERMINACIÓN ]]+120</f>
        <v>45941</v>
      </c>
      <c r="AJ899" s="147"/>
      <c r="AK899" s="152" t="str">
        <f ca="1">IF(Contrato5[[#This Row],[FECHA TERMINACIÓN ]]&lt;TODAY(), "Terminado",IF(ISNUMBER(Contrato5[[#This Row],[Fecha Real de liquiidación ]]),"Liquidado",IF(Contrato5[[#This Row],[FECHA TERMINACIÓN ]]&gt;=TODAY(),"En ejecución","")))</f>
        <v>En ejecución</v>
      </c>
      <c r="AL899" s="153" t="e">
        <f ca="1">SUMIF([2]!COMPROMISOS_2024[[#All],[consecutivo]],Contrato5[[#This Row],[RCP]],[2]!COMPROMISOS_2024[[#All],[Total pagado]])</f>
        <v>#REF!</v>
      </c>
      <c r="AM899" s="154">
        <f ca="1">IFERROR(Contrato5[[#This Row],[Pagos]]/Contrato5[[#This Row],[VALOR CONTRATO]],0)</f>
        <v>0</v>
      </c>
      <c r="AN899" s="198" t="e">
        <f ca="1">+Contrato5[[#This Row],[VALOR CONTRATO]]-Contrato5[[#This Row],[Pagos]]</f>
        <v>#REF!</v>
      </c>
      <c r="AO899" s="147" t="e" cm="1">
        <f t="array" aca="1" ref="AO899" ca="1">_xlfn.XLOOKUP(Contrato5[[#This Row],[DOCUMENTO ]],[2]!PERSONAL_ACTIVO_2024[[#All],[Documento identidad]],[2]!PERSONAL_ACTIVO_2024[[#All],[Mail ]],0,0)</f>
        <v>#NAME?</v>
      </c>
      <c r="AP899" s="147" t="e" cm="1">
        <f t="array" aca="1" ref="AP899" ca="1">_xlfn.XLOOKUP(Contrato5[[#This Row],[DOCUMENTO]],[2]!PERSONAL_ACTIVO_2024[[#All],[Documento identidad]],[2]!PERSONAL_ACTIVO_2024[[#All],[Mail ]],0,0)</f>
        <v>#NAME?</v>
      </c>
      <c r="AQ899" s="439" cm="1">
        <f t="array" aca="1" ref="AQ899" ca="1">IF(ISBLANK(Contrato5[[#This Row],[DEPENDENCIA ]]),0,IFERROR(_xlfn.XLOOKUP(Contrato5[[#This Row],[DEPENDENCIA ]],[2]!PERSONAL_ACTIVO_2024[[#All],[Dependencia]],[2]!PERSONAL_ACTIVO_2024[[#All],[Mail ]],0,0),0))</f>
        <v>0</v>
      </c>
    </row>
    <row r="900" spans="1:43" ht="94.5" customHeight="1">
      <c r="A900" s="147">
        <v>1207</v>
      </c>
      <c r="B900" s="499">
        <v>762</v>
      </c>
      <c r="C900" s="162" t="s">
        <v>1486</v>
      </c>
      <c r="D900" s="227" t="s">
        <v>556</v>
      </c>
      <c r="E900" s="227" t="s">
        <v>94</v>
      </c>
      <c r="F900" s="227" t="s">
        <v>89</v>
      </c>
      <c r="G900" s="281" t="s">
        <v>3329</v>
      </c>
      <c r="H900" s="282">
        <v>830502242</v>
      </c>
      <c r="I900" s="309" t="s">
        <v>42</v>
      </c>
      <c r="J900" s="445">
        <v>273142186</v>
      </c>
      <c r="K900" s="147" t="s">
        <v>42</v>
      </c>
      <c r="L900" s="438" t="s">
        <v>2606</v>
      </c>
      <c r="M900" s="194" t="s">
        <v>559</v>
      </c>
      <c r="N900" s="177" t="e" cm="1">
        <f t="array" aca="1" ref="N900" ca="1">_xlfn.XLOOKUP(Contrato5[[#This Row],[SUPERVISOR TITULAR]],[2]!PERSONAL_ACTIVO_2024[[#All],[Nombre completo]],[2]!PERSONAL_ACTIVO_2024[[#All],[Documento identidad]],"",0)</f>
        <v>#NAME?</v>
      </c>
      <c r="O900" s="194" t="s">
        <v>560</v>
      </c>
      <c r="P900" s="196" t="e" cm="1">
        <f t="array" aca="1" ref="P900" ca="1">_xlfn.XLOOKUP(Contrato5[[#This Row],[SUPERVISOR SUPLENTE ]],[2]!PERSONAL_ACTIVO_2024[[#All],[Nombre completo]],[2]!PERSONAL_ACTIVO_2024[[#All],[Documento identidad]],"",0)</f>
        <v>#NAME?</v>
      </c>
      <c r="Q900" s="170">
        <v>1166</v>
      </c>
      <c r="R900" s="137" t="e" cm="1">
        <f t="array" aca="1" ref="R900" ca="1">_xlfn.XLOOKUP(Contrato5[[#This Row],[CDP]],[2]!DISPONIBILIDADES_2024[[#All],[consecutivo]],[2]!DISPONIBILIDADES_2024[[#All],[fecha_aprobacion]],"",0)</f>
        <v>#NAME?</v>
      </c>
      <c r="S900" s="138" t="e">
        <f>SUMIF([2]!DISPONIBILIDADES_2024[[#All],[consecutivo]],Contrato5[[#This Row],[CDP]],[2]!DISPONIBILIDADES_2024[[#All],[valor_total_rubro]])</f>
        <v>#REF!</v>
      </c>
      <c r="T900" s="139" t="e" cm="1">
        <f t="array" aca="1" ref="T900" ca="1">_xlfn.XLOOKUP(Contrato5[[#This Row],[CONTRATO]]&amp;Contrato5[[#This Row],[CDP]],[2]!Corr_Contr_CDP[[#All],[CONTRATO-CDP]],[2]!Corr_Contr_CDP[[#All],[CRP]],_xlfn.XLOOKUP(Contrato5[[#This Row],[CDP]],[2]!COMPROMISOS_2024[[#All],[disponibilidad]],[2]!COMPROMISOS_2024[[#All],[consecutivo]],"",0),0)</f>
        <v>#NAME?</v>
      </c>
      <c r="U900" s="140" t="e" cm="1">
        <f t="array" aca="1" ref="U900" ca="1">+_xlfn.XLOOKUP(Contrato5[[#This Row],[RCP]],[2]!COMPROMISOS_2024[[#All],[consecutivo]],[2]!COMPROMISOS_2024[[#All],[fecha_aprobacion]],"",0)</f>
        <v>#NAME?</v>
      </c>
      <c r="V900" s="141" t="e">
        <f ca="1">SUMIF([2]!COMPROMISOS_2024[[#All],[consecutivo]],Contrato5[[#This Row],[RCP]],[2]!COMPROMISOS_2024[[#All],[valor_total]])</f>
        <v>#REF!</v>
      </c>
      <c r="W900" s="160">
        <v>45639</v>
      </c>
      <c r="X900" s="161">
        <v>45645</v>
      </c>
      <c r="Y900" s="143">
        <v>45645</v>
      </c>
      <c r="Z900" s="262">
        <v>45657</v>
      </c>
      <c r="AA900" s="183" t="s">
        <v>3330</v>
      </c>
      <c r="AB900" s="227" t="s">
        <v>3331</v>
      </c>
      <c r="AC900" s="172"/>
      <c r="AD900" s="425">
        <v>202000005800</v>
      </c>
      <c r="AE900" s="147" t="s">
        <v>523</v>
      </c>
      <c r="AF900" s="148" t="str">
        <f>TEXT(LEFT(Contrato5[[#This Row],[CONTRATO]],3),"0")</f>
        <v>762</v>
      </c>
      <c r="AG900" s="148" t="str">
        <f>IF(LEN(Contrato5[[#This Row],[Contrato2]])=3,Contrato5[[#This Row],[Contrato2]],TEXT(Contrato5[[#This Row],[Contrato2]],"000"))</f>
        <v>762</v>
      </c>
      <c r="AH900" s="149">
        <f ca="1">IFERROR(_xlfn.DAYS(Contrato5[[#This Row],[Fecha Proyectada liquidación]],TODAY())/30,"")</f>
        <v>0.6333333333333333</v>
      </c>
      <c r="AI900" s="150">
        <f>+Contrato5[[#This Row],[FECHA TERMINACIÓN ]]+120</f>
        <v>45777</v>
      </c>
      <c r="AJ900" s="147"/>
      <c r="AK900" s="152" t="str">
        <f ca="1">IF(Contrato5[[#This Row],[FECHA TERMINACIÓN ]]&lt;TODAY(), "Terminado",IF(ISNUMBER(Contrato5[[#This Row],[Fecha Real de liquiidación ]]),"Liquidado",IF(Contrato5[[#This Row],[FECHA TERMINACIÓN ]]&gt;=TODAY(),"En ejecución","")))</f>
        <v>Terminado</v>
      </c>
      <c r="AL900" s="153" t="e">
        <f ca="1">SUMIF([2]!COMPROMISOS_2024[[#All],[consecutivo]],Contrato5[[#This Row],[RCP]],[2]!COMPROMISOS_2024[[#All],[Total pagado]])</f>
        <v>#REF!</v>
      </c>
      <c r="AM900" s="154">
        <f ca="1">IFERROR(Contrato5[[#This Row],[Pagos]]/Contrato5[[#This Row],[VALOR CONTRATO]],0)</f>
        <v>0</v>
      </c>
      <c r="AN900" s="198" t="e">
        <f ca="1">+Contrato5[[#This Row],[VALOR CONTRATO]]-Contrato5[[#This Row],[Pagos]]</f>
        <v>#REF!</v>
      </c>
      <c r="AO900" s="147" t="e" cm="1">
        <f t="array" aca="1" ref="AO900" ca="1">_xlfn.XLOOKUP(Contrato5[[#This Row],[DOCUMENTO ]],[2]!PERSONAL_ACTIVO_2024[[#All],[Documento identidad]],[2]!PERSONAL_ACTIVO_2024[[#All],[Mail ]],0,0)</f>
        <v>#NAME?</v>
      </c>
      <c r="AP900" s="147" t="e" cm="1">
        <f t="array" aca="1" ref="AP900" ca="1">_xlfn.XLOOKUP(Contrato5[[#This Row],[DOCUMENTO]],[2]!PERSONAL_ACTIVO_2024[[#All],[Documento identidad]],[2]!PERSONAL_ACTIVO_2024[[#All],[Mail ]],0,0)</f>
        <v>#NAME?</v>
      </c>
      <c r="AQ900" s="439" cm="1">
        <f t="array" aca="1" ref="AQ900" ca="1">IF(ISBLANK(Contrato5[[#This Row],[DEPENDENCIA ]]),0,IFERROR(_xlfn.XLOOKUP(Contrato5[[#This Row],[DEPENDENCIA ]],[2]!PERSONAL_ACTIVO_2024[[#All],[Dependencia]],[2]!PERSONAL_ACTIVO_2024[[#All],[Mail ]],0,0),0))</f>
        <v>0</v>
      </c>
    </row>
    <row r="901" spans="1:43" ht="34.5" customHeight="1">
      <c r="A901" s="596">
        <v>1278</v>
      </c>
      <c r="B901" s="499">
        <v>763</v>
      </c>
      <c r="C901" s="162" t="s">
        <v>2279</v>
      </c>
      <c r="D901" s="227" t="s">
        <v>510</v>
      </c>
      <c r="E901" s="227" t="s">
        <v>94</v>
      </c>
      <c r="F901" s="227" t="s">
        <v>1894</v>
      </c>
      <c r="G901" s="281" t="s">
        <v>3332</v>
      </c>
      <c r="H901" s="282">
        <v>890981251</v>
      </c>
      <c r="I901" s="309" t="s">
        <v>42</v>
      </c>
      <c r="J901" s="445">
        <v>147135072</v>
      </c>
      <c r="K901" s="131" t="s">
        <v>3333</v>
      </c>
      <c r="L901" s="506" t="s">
        <v>3275</v>
      </c>
      <c r="M901" s="194" t="s">
        <v>3276</v>
      </c>
      <c r="N901" s="177" t="e" cm="1">
        <f t="array" aca="1" ref="N901" ca="1">_xlfn.XLOOKUP(Contrato5[[#This Row],[SUPERVISOR TITULAR]],[2]!PERSONAL_ACTIVO_2024[[#All],[Nombre completo]],[2]!PERSONAL_ACTIVO_2024[[#All],[Documento identidad]],"",0)</f>
        <v>#NAME?</v>
      </c>
      <c r="O901" s="194" t="s">
        <v>514</v>
      </c>
      <c r="P901" s="196" t="e" cm="1">
        <f t="array" aca="1" ref="P901" ca="1">_xlfn.XLOOKUP(Contrato5[[#This Row],[SUPERVISOR SUPLENTE ]],[2]!PERSONAL_ACTIVO_2024[[#All],[Nombre completo]],[2]!PERSONAL_ACTIVO_2024[[#All],[Documento identidad]],"",0)</f>
        <v>#NAME?</v>
      </c>
      <c r="Q901" s="170">
        <v>1123</v>
      </c>
      <c r="R901" s="137" t="e" cm="1">
        <f t="array" aca="1" ref="R901" ca="1">_xlfn.XLOOKUP(Contrato5[[#This Row],[CDP]],[2]!DISPONIBILIDADES_2024[[#All],[consecutivo]],[2]!DISPONIBILIDADES_2024[[#All],[fecha_aprobacion]],"",0)</f>
        <v>#NAME?</v>
      </c>
      <c r="S901" s="138" t="e">
        <f>SUMIF([2]!DISPONIBILIDADES_2024[[#All],[consecutivo]],Contrato5[[#This Row],[CDP]],[2]!DISPONIBILIDADES_2024[[#All],[valor_total_rubro]])</f>
        <v>#REF!</v>
      </c>
      <c r="T901" s="139" t="e" cm="1">
        <f t="array" aca="1" ref="T901" ca="1">_xlfn.XLOOKUP(Contrato5[[#This Row],[CONTRATO]]&amp;Contrato5[[#This Row],[CDP]],[2]!Corr_Contr_CDP[[#All],[CONTRATO-CDP]],[2]!Corr_Contr_CDP[[#All],[CRP]],_xlfn.XLOOKUP(Contrato5[[#This Row],[CDP]],[2]!COMPROMISOS_2024[[#All],[disponibilidad]],[2]!COMPROMISOS_2024[[#All],[consecutivo]],"",0),0)</f>
        <v>#NAME?</v>
      </c>
      <c r="U901" s="140" t="e" cm="1">
        <f t="array" aca="1" ref="U901" ca="1">+_xlfn.XLOOKUP(Contrato5[[#This Row],[RCP]],[2]!COMPROMISOS_2024[[#All],[consecutivo]],[2]!COMPROMISOS_2024[[#All],[fecha_aprobacion]],"",0)</f>
        <v>#NAME?</v>
      </c>
      <c r="V901" s="141" t="e">
        <f ca="1">SUMIF([2]!COMPROMISOS_2024[[#All],[consecutivo]],Contrato5[[#This Row],[RCP]],[2]!COMPROMISOS_2024[[#All],[valor_total]])</f>
        <v>#REF!</v>
      </c>
      <c r="W901" s="160">
        <v>45645</v>
      </c>
      <c r="X901" s="161">
        <v>45650</v>
      </c>
      <c r="Y901" s="143">
        <v>45672</v>
      </c>
      <c r="Z901" s="262">
        <v>45884</v>
      </c>
      <c r="AA901" s="171" t="s">
        <v>3334</v>
      </c>
      <c r="AB901" s="172" t="s">
        <v>618</v>
      </c>
      <c r="AC901" s="172"/>
      <c r="AD901" s="425">
        <v>202000005896</v>
      </c>
      <c r="AE901" s="147"/>
      <c r="AF901" s="148" t="str">
        <f>TEXT(LEFT(Contrato5[[#This Row],[CONTRATO]],3),"0")</f>
        <v>763</v>
      </c>
      <c r="AG901" s="148" t="str">
        <f>IF(LEN(Contrato5[[#This Row],[Contrato2]])=3,Contrato5[[#This Row],[Contrato2]],TEXT(Contrato5[[#This Row],[Contrato2]],"000"))</f>
        <v>763</v>
      </c>
      <c r="AH901" s="149">
        <f ca="1">IFERROR(_xlfn.DAYS(Contrato5[[#This Row],[Fecha Proyectada liquidación]],TODAY())/30,"")</f>
        <v>8.1999999999999993</v>
      </c>
      <c r="AI901" s="150">
        <f>+Contrato5[[#This Row],[FECHA TERMINACIÓN ]]+120</f>
        <v>46004</v>
      </c>
      <c r="AJ901" s="147"/>
      <c r="AK901" s="152" t="str">
        <f ca="1">IF(Contrato5[[#This Row],[FECHA TERMINACIÓN ]]&lt;TODAY(), "Terminado",IF(ISNUMBER(Contrato5[[#This Row],[Fecha Real de liquiidación ]]),"Liquidado",IF(Contrato5[[#This Row],[FECHA TERMINACIÓN ]]&gt;=TODAY(),"En ejecución","")))</f>
        <v>En ejecución</v>
      </c>
      <c r="AL901" s="153" t="e">
        <f ca="1">SUMIF([2]!COMPROMISOS_2024[[#All],[consecutivo]],Contrato5[[#This Row],[RCP]],[2]!COMPROMISOS_2024[[#All],[Total pagado]])</f>
        <v>#REF!</v>
      </c>
      <c r="AM901" s="154">
        <f ca="1">IFERROR(Contrato5[[#This Row],[Pagos]]/Contrato5[[#This Row],[VALOR CONTRATO]],0)</f>
        <v>0</v>
      </c>
      <c r="AN901" s="198" t="e">
        <f ca="1">+Contrato5[[#This Row],[VALOR CONTRATO]]-Contrato5[[#This Row],[Pagos]]</f>
        <v>#REF!</v>
      </c>
      <c r="AO901" s="147" t="e" cm="1">
        <f t="array" aca="1" ref="AO901" ca="1">_xlfn.XLOOKUP(Contrato5[[#This Row],[DOCUMENTO ]],[2]!PERSONAL_ACTIVO_2024[[#All],[Documento identidad]],[2]!PERSONAL_ACTIVO_2024[[#All],[Mail ]],0,0)</f>
        <v>#NAME?</v>
      </c>
      <c r="AP901" s="147" t="e" cm="1">
        <f t="array" aca="1" ref="AP901" ca="1">_xlfn.XLOOKUP(Contrato5[[#This Row],[DOCUMENTO]],[2]!PERSONAL_ACTIVO_2024[[#All],[Documento identidad]],[2]!PERSONAL_ACTIVO_2024[[#All],[Mail ]],0,0)</f>
        <v>#NAME?</v>
      </c>
      <c r="AQ901" s="439" cm="1">
        <f t="array" aca="1" ref="AQ901" ca="1">IF(ISBLANK(Contrato5[[#This Row],[DEPENDENCIA ]]),0,IFERROR(_xlfn.XLOOKUP(Contrato5[[#This Row],[DEPENDENCIA ]],[2]!PERSONAL_ACTIVO_2024[[#All],[Dependencia]],[2]!PERSONAL_ACTIVO_2024[[#All],[Mail ]],0,0),0))</f>
        <v>0</v>
      </c>
    </row>
    <row r="902" spans="1:43" ht="34.5" customHeight="1">
      <c r="A902" s="596">
        <v>1283</v>
      </c>
      <c r="B902" s="499">
        <v>764</v>
      </c>
      <c r="C902" s="162" t="s">
        <v>2284</v>
      </c>
      <c r="D902" s="227" t="s">
        <v>510</v>
      </c>
      <c r="E902" s="227" t="s">
        <v>94</v>
      </c>
      <c r="F902" s="227" t="s">
        <v>1894</v>
      </c>
      <c r="G902" s="281" t="s">
        <v>3335</v>
      </c>
      <c r="H902" s="282">
        <v>890982261</v>
      </c>
      <c r="I902" s="309" t="s">
        <v>42</v>
      </c>
      <c r="J902" s="445">
        <v>188935256</v>
      </c>
      <c r="K902" s="131" t="s">
        <v>3336</v>
      </c>
      <c r="L902" s="506" t="s">
        <v>3275</v>
      </c>
      <c r="M902" s="194" t="s">
        <v>3276</v>
      </c>
      <c r="N902" s="177" t="e" cm="1">
        <f t="array" aca="1" ref="N902" ca="1">_xlfn.XLOOKUP(Contrato5[[#This Row],[SUPERVISOR TITULAR]],[2]!PERSONAL_ACTIVO_2024[[#All],[Nombre completo]],[2]!PERSONAL_ACTIVO_2024[[#All],[Documento identidad]],"",0)</f>
        <v>#NAME?</v>
      </c>
      <c r="O902" s="194" t="s">
        <v>514</v>
      </c>
      <c r="P902" s="196" t="e" cm="1">
        <f t="array" aca="1" ref="P902" ca="1">_xlfn.XLOOKUP(Contrato5[[#This Row],[SUPERVISOR SUPLENTE ]],[2]!PERSONAL_ACTIVO_2024[[#All],[Nombre completo]],[2]!PERSONAL_ACTIVO_2024[[#All],[Documento identidad]],"",0)</f>
        <v>#NAME?</v>
      </c>
      <c r="Q902" s="170">
        <v>1108</v>
      </c>
      <c r="R902" s="137" t="e" cm="1">
        <f t="array" aca="1" ref="R902" ca="1">_xlfn.XLOOKUP(Contrato5[[#This Row],[CDP]],[2]!DISPONIBILIDADES_2024[[#All],[consecutivo]],[2]!DISPONIBILIDADES_2024[[#All],[fecha_aprobacion]],"",0)</f>
        <v>#NAME?</v>
      </c>
      <c r="S902" s="138" t="e">
        <f>SUMIF([2]!DISPONIBILIDADES_2024[[#All],[consecutivo]],Contrato5[[#This Row],[CDP]],[2]!DISPONIBILIDADES_2024[[#All],[valor_total_rubro]])</f>
        <v>#REF!</v>
      </c>
      <c r="T902" s="139" t="e" cm="1">
        <f t="array" aca="1" ref="T902" ca="1">_xlfn.XLOOKUP(Contrato5[[#This Row],[CONTRATO]]&amp;Contrato5[[#This Row],[CDP]],[2]!Corr_Contr_CDP[[#All],[CONTRATO-CDP]],[2]!Corr_Contr_CDP[[#All],[CRP]],_xlfn.XLOOKUP(Contrato5[[#This Row],[CDP]],[2]!COMPROMISOS_2024[[#All],[disponibilidad]],[2]!COMPROMISOS_2024[[#All],[consecutivo]],"",0),0)</f>
        <v>#NAME?</v>
      </c>
      <c r="U902" s="140" t="e" cm="1">
        <f t="array" aca="1" ref="U902" ca="1">+_xlfn.XLOOKUP(Contrato5[[#This Row],[RCP]],[2]!COMPROMISOS_2024[[#All],[consecutivo]],[2]!COMPROMISOS_2024[[#All],[fecha_aprobacion]],"",0)</f>
        <v>#NAME?</v>
      </c>
      <c r="V902" s="141" t="e">
        <f ca="1">SUMIF([2]!COMPROMISOS_2024[[#All],[consecutivo]],Contrato5[[#This Row],[RCP]],[2]!COMPROMISOS_2024[[#All],[valor_total]])</f>
        <v>#REF!</v>
      </c>
      <c r="W902" s="160">
        <v>45646</v>
      </c>
      <c r="X902" s="161">
        <v>45650</v>
      </c>
      <c r="Y902" s="143">
        <v>45672</v>
      </c>
      <c r="Z902" s="262">
        <v>45853</v>
      </c>
      <c r="AA902" s="171" t="s">
        <v>3337</v>
      </c>
      <c r="AB902" s="172" t="s">
        <v>640</v>
      </c>
      <c r="AC902" s="172"/>
      <c r="AD902" s="425">
        <v>202000005897</v>
      </c>
      <c r="AE902" s="147"/>
      <c r="AF902" s="148" t="str">
        <f>TEXT(LEFT(Contrato5[[#This Row],[CONTRATO]],3),"0")</f>
        <v>764</v>
      </c>
      <c r="AG902" s="148" t="str">
        <f>IF(LEN(Contrato5[[#This Row],[Contrato2]])=3,Contrato5[[#This Row],[Contrato2]],TEXT(Contrato5[[#This Row],[Contrato2]],"000"))</f>
        <v>764</v>
      </c>
      <c r="AH902" s="149">
        <f ca="1">IFERROR(_xlfn.DAYS(Contrato5[[#This Row],[Fecha Proyectada liquidación]],TODAY())/30,"")</f>
        <v>7.166666666666667</v>
      </c>
      <c r="AI902" s="150">
        <f>+Contrato5[[#This Row],[FECHA TERMINACIÓN ]]+120</f>
        <v>45973</v>
      </c>
      <c r="AJ902" s="147"/>
      <c r="AK902" s="152" t="str">
        <f ca="1">IF(Contrato5[[#This Row],[FECHA TERMINACIÓN ]]&lt;TODAY(), "Terminado",IF(ISNUMBER(Contrato5[[#This Row],[Fecha Real de liquiidación ]]),"Liquidado",IF(Contrato5[[#This Row],[FECHA TERMINACIÓN ]]&gt;=TODAY(),"En ejecución","")))</f>
        <v>En ejecución</v>
      </c>
      <c r="AL902" s="153" t="e">
        <f ca="1">SUMIF([2]!COMPROMISOS_2024[[#All],[consecutivo]],Contrato5[[#This Row],[RCP]],[2]!COMPROMISOS_2024[[#All],[Total pagado]])</f>
        <v>#REF!</v>
      </c>
      <c r="AM902" s="154">
        <f ca="1">IFERROR(Contrato5[[#This Row],[Pagos]]/Contrato5[[#This Row],[VALOR CONTRATO]],0)</f>
        <v>0</v>
      </c>
      <c r="AN902" s="198" t="e">
        <f ca="1">+Contrato5[[#This Row],[VALOR CONTRATO]]-Contrato5[[#This Row],[Pagos]]</f>
        <v>#REF!</v>
      </c>
      <c r="AO902" s="147" t="e" cm="1">
        <f t="array" aca="1" ref="AO902" ca="1">_xlfn.XLOOKUP(Contrato5[[#This Row],[DOCUMENTO ]],[2]!PERSONAL_ACTIVO_2024[[#All],[Documento identidad]],[2]!PERSONAL_ACTIVO_2024[[#All],[Mail ]],0,0)</f>
        <v>#NAME?</v>
      </c>
      <c r="AP902" s="147" t="e" cm="1">
        <f t="array" aca="1" ref="AP902" ca="1">_xlfn.XLOOKUP(Contrato5[[#This Row],[DOCUMENTO]],[2]!PERSONAL_ACTIVO_2024[[#All],[Documento identidad]],[2]!PERSONAL_ACTIVO_2024[[#All],[Mail ]],0,0)</f>
        <v>#NAME?</v>
      </c>
      <c r="AQ902" s="439" cm="1">
        <f t="array" aca="1" ref="AQ902" ca="1">IF(ISBLANK(Contrato5[[#This Row],[DEPENDENCIA ]]),0,IFERROR(_xlfn.XLOOKUP(Contrato5[[#This Row],[DEPENDENCIA ]],[2]!PERSONAL_ACTIVO_2024[[#All],[Dependencia]],[2]!PERSONAL_ACTIVO_2024[[#All],[Mail ]],0,0),0))</f>
        <v>0</v>
      </c>
    </row>
    <row r="903" spans="1:43" ht="15.75" customHeight="1">
      <c r="A903" s="147" t="s">
        <v>886</v>
      </c>
      <c r="B903" s="124">
        <v>765</v>
      </c>
      <c r="C903" s="162" t="s">
        <v>887</v>
      </c>
      <c r="D903" s="128" t="s">
        <v>42</v>
      </c>
      <c r="E903" s="128" t="s">
        <v>42</v>
      </c>
      <c r="F903" s="227" t="s">
        <v>161</v>
      </c>
      <c r="G903" s="290" t="s">
        <v>887</v>
      </c>
      <c r="H903" s="447">
        <v>0</v>
      </c>
      <c r="I903" s="455">
        <v>0</v>
      </c>
      <c r="J903" s="284">
        <v>0</v>
      </c>
      <c r="K903" s="284">
        <v>0</v>
      </c>
      <c r="L903" s="438" t="s">
        <v>2646</v>
      </c>
      <c r="M903" s="194"/>
      <c r="N903" s="177" t="e" cm="1">
        <f t="array" aca="1" ref="N903" ca="1">_xlfn.XLOOKUP(Contrato5[[#This Row],[SUPERVISOR TITULAR]],[2]!PERSONAL_ACTIVO_2024[[#All],[Nombre completo]],[2]!PERSONAL_ACTIVO_2024[[#All],[Documento identidad]],"",0)</f>
        <v>#NAME?</v>
      </c>
      <c r="O903" s="194"/>
      <c r="P903" s="196" t="e" cm="1">
        <f t="array" aca="1" ref="P903" ca="1">_xlfn.XLOOKUP(Contrato5[[#This Row],[SUPERVISOR SUPLENTE ]],[2]!PERSONAL_ACTIVO_2024[[#All],[Nombre completo]],[2]!PERSONAL_ACTIVO_2024[[#All],[Documento identidad]],"",0)</f>
        <v>#NAME?</v>
      </c>
      <c r="Q903" s="191">
        <v>0</v>
      </c>
      <c r="R903" s="137" t="e" cm="1">
        <f t="array" aca="1" ref="R903" ca="1">_xlfn.XLOOKUP(Contrato5[[#This Row],[CDP]],[2]!DISPONIBILIDADES_2024[[#All],[consecutivo]],[2]!DISPONIBILIDADES_2024[[#All],[fecha_aprobacion]],"",0)</f>
        <v>#NAME?</v>
      </c>
      <c r="S903" s="138" t="e">
        <f>SUMIF([2]!DISPONIBILIDADES_2024[[#All],[consecutivo]],Contrato5[[#This Row],[CDP]],[2]!DISPONIBILIDADES_2024[[#All],[valor_total_rubro]])</f>
        <v>#REF!</v>
      </c>
      <c r="T903" s="139" t="e" cm="1">
        <f t="array" aca="1" ref="T903" ca="1">_xlfn.XLOOKUP(Contrato5[[#This Row],[CONTRATO]]&amp;Contrato5[[#This Row],[CDP]],[2]!Corr_Contr_CDP[[#All],[CONTRATO-CDP]],[2]!Corr_Contr_CDP[[#All],[CRP]],_xlfn.XLOOKUP(Contrato5[[#This Row],[CDP]],[2]!COMPROMISOS_2024[[#All],[disponibilidad]],[2]!COMPROMISOS_2024[[#All],[consecutivo]],"",0),0)</f>
        <v>#NAME?</v>
      </c>
      <c r="U903" s="140" t="e" cm="1">
        <f t="array" aca="1" ref="U903" ca="1">+_xlfn.XLOOKUP(Contrato5[[#This Row],[RCP]],[2]!COMPROMISOS_2024[[#All],[consecutivo]],[2]!COMPROMISOS_2024[[#All],[fecha_aprobacion]],"",0)</f>
        <v>#NAME?</v>
      </c>
      <c r="V903" s="141" t="e">
        <f ca="1">SUMIF([2]!COMPROMISOS_2024[[#All],[consecutivo]],Contrato5[[#This Row],[RCP]],[2]!COMPROMISOS_2024[[#All],[valor_total]])</f>
        <v>#REF!</v>
      </c>
      <c r="W903" s="160"/>
      <c r="X903" s="161"/>
      <c r="Y903" s="143" t="e">
        <f ca="1">+LEFT(_xlfn.XLOOKUP(Contrato5[[#This Row],[CONTRATO3DIG]],[2]SECOP_II!AE:AE,[2]SECOP_II!F:F,"",0),10)</f>
        <v>#NAME?</v>
      </c>
      <c r="Z903" s="262"/>
      <c r="AA903" s="183"/>
      <c r="AB903" s="191">
        <v>0</v>
      </c>
      <c r="AC903" s="172"/>
      <c r="AD903" s="288"/>
      <c r="AE903" s="147"/>
      <c r="AF903" s="148" t="str">
        <f>TEXT(LEFT(Contrato5[[#This Row],[CONTRATO]],3),"0")</f>
        <v>765</v>
      </c>
      <c r="AG903" s="148" t="str">
        <f>IF(LEN(Contrato5[[#This Row],[Contrato2]])=3,Contrato5[[#This Row],[Contrato2]],TEXT(Contrato5[[#This Row],[Contrato2]],"000"))</f>
        <v>765</v>
      </c>
      <c r="AH903" s="149">
        <f ca="1">IFERROR(_xlfn.DAYS(Contrato5[[#This Row],[Fecha Proyectada liquidación]],TODAY())/30,"")</f>
        <v>-1521.2666666666667</v>
      </c>
      <c r="AI903" s="150">
        <f>+Contrato5[[#This Row],[FECHA TERMINACIÓN ]]+120</f>
        <v>120</v>
      </c>
      <c r="AJ903" s="147"/>
      <c r="AK903" s="152" t="str">
        <f ca="1">IF(Contrato5[[#This Row],[FECHA TERMINACIÓN ]]&lt;TODAY(), "Terminado",IF(ISNUMBER(Contrato5[[#This Row],[Fecha Real de liquiidación ]]),"Liquidado",IF(Contrato5[[#This Row],[FECHA TERMINACIÓN ]]&gt;=TODAY(),"En ejecución","")))</f>
        <v>Terminado</v>
      </c>
      <c r="AL903" s="153" t="e">
        <f ca="1">SUMIF([2]!COMPROMISOS_2024[[#All],[consecutivo]],Contrato5[[#This Row],[RCP]],[2]!COMPROMISOS_2024[[#All],[Total pagado]])</f>
        <v>#REF!</v>
      </c>
      <c r="AM903" s="154">
        <f ca="1">IFERROR(Contrato5[[#This Row],[Pagos]]/Contrato5[[#This Row],[VALOR CONTRATO]],0)</f>
        <v>0</v>
      </c>
      <c r="AN903" s="198" t="e">
        <f ca="1">+Contrato5[[#This Row],[VALOR CONTRATO]]-Contrato5[[#This Row],[Pagos]]</f>
        <v>#REF!</v>
      </c>
      <c r="AO903" s="147" t="e" cm="1">
        <f t="array" aca="1" ref="AO903" ca="1">_xlfn.XLOOKUP(Contrato5[[#This Row],[DOCUMENTO ]],[2]!PERSONAL_ACTIVO_2024[[#All],[Documento identidad]],[2]!PERSONAL_ACTIVO_2024[[#All],[Mail ]],0,0)</f>
        <v>#NAME?</v>
      </c>
      <c r="AP903" s="147" t="e" cm="1">
        <f t="array" aca="1" ref="AP903" ca="1">_xlfn.XLOOKUP(Contrato5[[#This Row],[DOCUMENTO]],[2]!PERSONAL_ACTIVO_2024[[#All],[Documento identidad]],[2]!PERSONAL_ACTIVO_2024[[#All],[Mail ]],0,0)</f>
        <v>#NAME?</v>
      </c>
      <c r="AQ903" s="439" cm="1">
        <f t="array" aca="1" ref="AQ903" ca="1">IF(ISBLANK(Contrato5[[#This Row],[DEPENDENCIA ]]),0,IFERROR(_xlfn.XLOOKUP(Contrato5[[#This Row],[DEPENDENCIA ]],[2]!PERSONAL_ACTIVO_2024[[#All],[Dependencia]],[2]!PERSONAL_ACTIVO_2024[[#All],[Mail ]],0,0),0))</f>
        <v>0</v>
      </c>
    </row>
    <row r="904" spans="1:43" ht="60" customHeight="1">
      <c r="A904" s="596">
        <v>1272</v>
      </c>
      <c r="B904" s="499">
        <v>766</v>
      </c>
      <c r="C904" s="162" t="s">
        <v>2273</v>
      </c>
      <c r="D904" s="227" t="s">
        <v>510</v>
      </c>
      <c r="E904" s="227" t="s">
        <v>94</v>
      </c>
      <c r="F904" s="227" t="s">
        <v>1894</v>
      </c>
      <c r="G904" s="281" t="s">
        <v>3338</v>
      </c>
      <c r="H904" s="282">
        <v>890981115</v>
      </c>
      <c r="I904" s="309" t="s">
        <v>42</v>
      </c>
      <c r="J904" s="445">
        <v>391694627</v>
      </c>
      <c r="K904" s="131" t="s">
        <v>3339</v>
      </c>
      <c r="L904" s="506" t="s">
        <v>3275</v>
      </c>
      <c r="M904" s="194" t="s">
        <v>3276</v>
      </c>
      <c r="N904" s="177" t="e" cm="1">
        <f t="array" aca="1" ref="N904" ca="1">_xlfn.XLOOKUP(Contrato5[[#This Row],[SUPERVISOR TITULAR]],[2]!PERSONAL_ACTIVO_2024[[#All],[Nombre completo]],[2]!PERSONAL_ACTIVO_2024[[#All],[Documento identidad]],"",0)</f>
        <v>#NAME?</v>
      </c>
      <c r="O904" s="194" t="s">
        <v>514</v>
      </c>
      <c r="P904" s="196" t="e" cm="1">
        <f t="array" aca="1" ref="P904" ca="1">_xlfn.XLOOKUP(Contrato5[[#This Row],[SUPERVISOR SUPLENTE ]],[2]!PERSONAL_ACTIVO_2024[[#All],[Nombre completo]],[2]!PERSONAL_ACTIVO_2024[[#All],[Documento identidad]],"",0)</f>
        <v>#NAME?</v>
      </c>
      <c r="Q904" s="170">
        <v>1209</v>
      </c>
      <c r="R904" s="137" t="e" cm="1">
        <f t="array" aca="1" ref="R904" ca="1">_xlfn.XLOOKUP(Contrato5[[#This Row],[CDP]],[2]!DISPONIBILIDADES_2024[[#All],[consecutivo]],[2]!DISPONIBILIDADES_2024[[#All],[fecha_aprobacion]],"",0)</f>
        <v>#NAME?</v>
      </c>
      <c r="S904" s="138" t="e">
        <f>SUMIF([2]!DISPONIBILIDADES_2024[[#All],[consecutivo]],Contrato5[[#This Row],[CDP]],[2]!DISPONIBILIDADES_2024[[#All],[valor_total_rubro]])</f>
        <v>#REF!</v>
      </c>
      <c r="T904" s="139" t="e" cm="1">
        <f t="array" aca="1" ref="T904" ca="1">_xlfn.XLOOKUP(Contrato5[[#This Row],[CONTRATO]]&amp;Contrato5[[#This Row],[CDP]],[2]!Corr_Contr_CDP[[#All],[CONTRATO-CDP]],[2]!Corr_Contr_CDP[[#All],[CRP]],_xlfn.XLOOKUP(Contrato5[[#This Row],[CDP]],[2]!COMPROMISOS_2024[[#All],[disponibilidad]],[2]!COMPROMISOS_2024[[#All],[consecutivo]],"",0),0)</f>
        <v>#NAME?</v>
      </c>
      <c r="U904" s="140" t="e" cm="1">
        <f t="array" aca="1" ref="U904" ca="1">+_xlfn.XLOOKUP(Contrato5[[#This Row],[RCP]],[2]!COMPROMISOS_2024[[#All],[consecutivo]],[2]!COMPROMISOS_2024[[#All],[fecha_aprobacion]],"",0)</f>
        <v>#NAME?</v>
      </c>
      <c r="V904" s="141" t="e">
        <f ca="1">SUMIF([2]!COMPROMISOS_2024[[#All],[consecutivo]],Contrato5[[#This Row],[RCP]],[2]!COMPROMISOS_2024[[#All],[valor_total]])</f>
        <v>#REF!</v>
      </c>
      <c r="W904" s="160">
        <v>45646</v>
      </c>
      <c r="X904" s="161">
        <v>45650</v>
      </c>
      <c r="Y904" s="143">
        <v>45672</v>
      </c>
      <c r="Z904" s="262">
        <v>45853</v>
      </c>
      <c r="AA904" s="171" t="s">
        <v>3340</v>
      </c>
      <c r="AB904" s="172" t="s">
        <v>640</v>
      </c>
      <c r="AC904" s="172"/>
      <c r="AD904" s="425">
        <v>202000005898</v>
      </c>
      <c r="AE904" s="147"/>
      <c r="AF904" s="148" t="str">
        <f>TEXT(LEFT(Contrato5[[#This Row],[CONTRATO]],3),"0")</f>
        <v>766</v>
      </c>
      <c r="AG904" s="148" t="str">
        <f>IF(LEN(Contrato5[[#This Row],[Contrato2]])=3,Contrato5[[#This Row],[Contrato2]],TEXT(Contrato5[[#This Row],[Contrato2]],"000"))</f>
        <v>766</v>
      </c>
      <c r="AH904" s="149">
        <f ca="1">IFERROR(_xlfn.DAYS(Contrato5[[#This Row],[Fecha Proyectada liquidación]],TODAY())/30,"")</f>
        <v>7.166666666666667</v>
      </c>
      <c r="AI904" s="150">
        <f>+Contrato5[[#This Row],[FECHA TERMINACIÓN ]]+120</f>
        <v>45973</v>
      </c>
      <c r="AJ904" s="147"/>
      <c r="AK904" s="152" t="str">
        <f ca="1">IF(Contrato5[[#This Row],[FECHA TERMINACIÓN ]]&lt;TODAY(), "Terminado",IF(ISNUMBER(Contrato5[[#This Row],[Fecha Real de liquiidación ]]),"Liquidado",IF(Contrato5[[#This Row],[FECHA TERMINACIÓN ]]&gt;=TODAY(),"En ejecución","")))</f>
        <v>En ejecución</v>
      </c>
      <c r="AL904" s="153" t="e">
        <f ca="1">SUMIF([2]!COMPROMISOS_2024[[#All],[consecutivo]],Contrato5[[#This Row],[RCP]],[2]!COMPROMISOS_2024[[#All],[Total pagado]])</f>
        <v>#REF!</v>
      </c>
      <c r="AM904" s="154">
        <f ca="1">IFERROR(Contrato5[[#This Row],[Pagos]]/Contrato5[[#This Row],[VALOR CONTRATO]],0)</f>
        <v>0</v>
      </c>
      <c r="AN904" s="198" t="e">
        <f ca="1">+Contrato5[[#This Row],[VALOR CONTRATO]]-Contrato5[[#This Row],[Pagos]]</f>
        <v>#REF!</v>
      </c>
      <c r="AO904" s="147" t="e" cm="1">
        <f t="array" aca="1" ref="AO904" ca="1">_xlfn.XLOOKUP(Contrato5[[#This Row],[DOCUMENTO ]],[2]!PERSONAL_ACTIVO_2024[[#All],[Documento identidad]],[2]!PERSONAL_ACTIVO_2024[[#All],[Mail ]],0,0)</f>
        <v>#NAME?</v>
      </c>
      <c r="AP904" s="147" t="e" cm="1">
        <f t="array" aca="1" ref="AP904" ca="1">_xlfn.XLOOKUP(Contrato5[[#This Row],[DOCUMENTO]],[2]!PERSONAL_ACTIVO_2024[[#All],[Documento identidad]],[2]!PERSONAL_ACTIVO_2024[[#All],[Mail ]],0,0)</f>
        <v>#NAME?</v>
      </c>
      <c r="AQ904" s="439" cm="1">
        <f t="array" aca="1" ref="AQ904" ca="1">IF(ISBLANK(Contrato5[[#This Row],[DEPENDENCIA ]]),0,IFERROR(_xlfn.XLOOKUP(Contrato5[[#This Row],[DEPENDENCIA ]],[2]!PERSONAL_ACTIVO_2024[[#All],[Dependencia]],[2]!PERSONAL_ACTIVO_2024[[#All],[Mail ]],0,0),0))</f>
        <v>0</v>
      </c>
    </row>
    <row r="905" spans="1:43" ht="60" customHeight="1">
      <c r="A905" s="596">
        <v>1276</v>
      </c>
      <c r="B905" s="499">
        <v>767</v>
      </c>
      <c r="C905" s="162" t="s">
        <v>2277</v>
      </c>
      <c r="D905" s="227" t="s">
        <v>510</v>
      </c>
      <c r="E905" s="227" t="s">
        <v>94</v>
      </c>
      <c r="F905" s="227" t="s">
        <v>1894</v>
      </c>
      <c r="G905" s="281" t="s">
        <v>3341</v>
      </c>
      <c r="H905" s="282">
        <v>890981493</v>
      </c>
      <c r="I905" s="309" t="s">
        <v>42</v>
      </c>
      <c r="J905" s="445">
        <v>430261925</v>
      </c>
      <c r="K905" s="131" t="s">
        <v>3342</v>
      </c>
      <c r="L905" s="506" t="s">
        <v>3275</v>
      </c>
      <c r="M905" s="194" t="s">
        <v>3276</v>
      </c>
      <c r="N905" s="177" t="e" cm="1">
        <f t="array" aca="1" ref="N905" ca="1">_xlfn.XLOOKUP(Contrato5[[#This Row],[SUPERVISOR TITULAR]],[2]!PERSONAL_ACTIVO_2024[[#All],[Nombre completo]],[2]!PERSONAL_ACTIVO_2024[[#All],[Documento identidad]],"",0)</f>
        <v>#NAME?</v>
      </c>
      <c r="O905" s="194" t="s">
        <v>514</v>
      </c>
      <c r="P905" s="196" t="e" cm="1">
        <f t="array" aca="1" ref="P905" ca="1">_xlfn.XLOOKUP(Contrato5[[#This Row],[SUPERVISOR SUPLENTE ]],[2]!PERSONAL_ACTIVO_2024[[#All],[Nombre completo]],[2]!PERSONAL_ACTIVO_2024[[#All],[Documento identidad]],"",0)</f>
        <v>#NAME?</v>
      </c>
      <c r="Q905" s="170">
        <v>1121</v>
      </c>
      <c r="R905" s="137" t="e" cm="1">
        <f t="array" aca="1" ref="R905" ca="1">_xlfn.XLOOKUP(Contrato5[[#This Row],[CDP]],[2]!DISPONIBILIDADES_2024[[#All],[consecutivo]],[2]!DISPONIBILIDADES_2024[[#All],[fecha_aprobacion]],"",0)</f>
        <v>#NAME?</v>
      </c>
      <c r="S905" s="138" t="e">
        <f>SUMIF([2]!DISPONIBILIDADES_2024[[#All],[consecutivo]],Contrato5[[#This Row],[CDP]],[2]!DISPONIBILIDADES_2024[[#All],[valor_total_rubro]])</f>
        <v>#REF!</v>
      </c>
      <c r="T905" s="139" t="e" cm="1">
        <f t="array" aca="1" ref="T905" ca="1">_xlfn.XLOOKUP(Contrato5[[#This Row],[CONTRATO]]&amp;Contrato5[[#This Row],[CDP]],[2]!Corr_Contr_CDP[[#All],[CONTRATO-CDP]],[2]!Corr_Contr_CDP[[#All],[CRP]],_xlfn.XLOOKUP(Contrato5[[#This Row],[CDP]],[2]!COMPROMISOS_2024[[#All],[disponibilidad]],[2]!COMPROMISOS_2024[[#All],[consecutivo]],"",0),0)</f>
        <v>#NAME?</v>
      </c>
      <c r="U905" s="140" t="e" cm="1">
        <f t="array" aca="1" ref="U905" ca="1">+_xlfn.XLOOKUP(Contrato5[[#This Row],[RCP]],[2]!COMPROMISOS_2024[[#All],[consecutivo]],[2]!COMPROMISOS_2024[[#All],[fecha_aprobacion]],"",0)</f>
        <v>#NAME?</v>
      </c>
      <c r="V905" s="141" t="e">
        <f ca="1">SUMIF([2]!COMPROMISOS_2024[[#All],[consecutivo]],Contrato5[[#This Row],[RCP]],[2]!COMPROMISOS_2024[[#All],[valor_total]])</f>
        <v>#REF!</v>
      </c>
      <c r="W905" s="160">
        <v>45644</v>
      </c>
      <c r="X905" s="161">
        <v>45653</v>
      </c>
      <c r="Y905" s="143">
        <v>45672</v>
      </c>
      <c r="Z905" s="262">
        <v>45853</v>
      </c>
      <c r="AA905" s="171" t="s">
        <v>3343</v>
      </c>
      <c r="AB905" s="245" t="s">
        <v>640</v>
      </c>
      <c r="AC905" s="172"/>
      <c r="AD905" s="425">
        <v>202000005899</v>
      </c>
      <c r="AE905" s="147"/>
      <c r="AF905" s="148" t="str">
        <f>TEXT(LEFT(Contrato5[[#This Row],[CONTRATO]],3),"0")</f>
        <v>767</v>
      </c>
      <c r="AG905" s="148" t="str">
        <f>IF(LEN(Contrato5[[#This Row],[Contrato2]])=3,Contrato5[[#This Row],[Contrato2]],TEXT(Contrato5[[#This Row],[Contrato2]],"000"))</f>
        <v>767</v>
      </c>
      <c r="AH905" s="149">
        <f ca="1">IFERROR(_xlfn.DAYS(Contrato5[[#This Row],[Fecha Proyectada liquidación]],TODAY())/30,"")</f>
        <v>7.166666666666667</v>
      </c>
      <c r="AI905" s="150">
        <f>+Contrato5[[#This Row],[FECHA TERMINACIÓN ]]+120</f>
        <v>45973</v>
      </c>
      <c r="AJ905" s="147"/>
      <c r="AK905" s="152" t="str">
        <f ca="1">IF(Contrato5[[#This Row],[FECHA TERMINACIÓN ]]&lt;TODAY(), "Terminado",IF(ISNUMBER(Contrato5[[#This Row],[Fecha Real de liquiidación ]]),"Liquidado",IF(Contrato5[[#This Row],[FECHA TERMINACIÓN ]]&gt;=TODAY(),"En ejecución","")))</f>
        <v>En ejecución</v>
      </c>
      <c r="AL905" s="153" t="e">
        <f ca="1">SUMIF([2]!COMPROMISOS_2024[[#All],[consecutivo]],Contrato5[[#This Row],[RCP]],[2]!COMPROMISOS_2024[[#All],[Total pagado]])</f>
        <v>#REF!</v>
      </c>
      <c r="AM905" s="154">
        <f ca="1">IFERROR(Contrato5[[#This Row],[Pagos]]/Contrato5[[#This Row],[VALOR CONTRATO]],0)</f>
        <v>0</v>
      </c>
      <c r="AN905" s="198" t="e">
        <f ca="1">+Contrato5[[#This Row],[VALOR CONTRATO]]-Contrato5[[#This Row],[Pagos]]</f>
        <v>#REF!</v>
      </c>
      <c r="AO905" s="147" t="e" cm="1">
        <f t="array" aca="1" ref="AO905" ca="1">_xlfn.XLOOKUP(Contrato5[[#This Row],[DOCUMENTO ]],[2]!PERSONAL_ACTIVO_2024[[#All],[Documento identidad]],[2]!PERSONAL_ACTIVO_2024[[#All],[Mail ]],0,0)</f>
        <v>#NAME?</v>
      </c>
      <c r="AP905" s="147" t="e" cm="1">
        <f t="array" aca="1" ref="AP905" ca="1">_xlfn.XLOOKUP(Contrato5[[#This Row],[DOCUMENTO]],[2]!PERSONAL_ACTIVO_2024[[#All],[Documento identidad]],[2]!PERSONAL_ACTIVO_2024[[#All],[Mail ]],0,0)</f>
        <v>#NAME?</v>
      </c>
      <c r="AQ905" s="439" cm="1">
        <f t="array" aca="1" ref="AQ905" ca="1">IF(ISBLANK(Contrato5[[#This Row],[DEPENDENCIA ]]),0,IFERROR(_xlfn.XLOOKUP(Contrato5[[#This Row],[DEPENDENCIA ]],[2]!PERSONAL_ACTIVO_2024[[#All],[Dependencia]],[2]!PERSONAL_ACTIVO_2024[[#All],[Mail ]],0,0),0))</f>
        <v>0</v>
      </c>
    </row>
    <row r="906" spans="1:43" ht="60" customHeight="1">
      <c r="A906" s="596">
        <v>1322</v>
      </c>
      <c r="B906" s="499">
        <v>768</v>
      </c>
      <c r="C906" s="162" t="s">
        <v>2258</v>
      </c>
      <c r="D906" s="227" t="s">
        <v>510</v>
      </c>
      <c r="E906" s="227" t="s">
        <v>94</v>
      </c>
      <c r="F906" s="227" t="s">
        <v>1894</v>
      </c>
      <c r="G906" s="281" t="s">
        <v>2643</v>
      </c>
      <c r="H906" s="282">
        <v>890980577</v>
      </c>
      <c r="I906" s="309" t="s">
        <v>42</v>
      </c>
      <c r="J906" s="445">
        <v>222996997</v>
      </c>
      <c r="K906" s="131" t="s">
        <v>3344</v>
      </c>
      <c r="L906" s="506" t="s">
        <v>3275</v>
      </c>
      <c r="M906" s="194" t="s">
        <v>3276</v>
      </c>
      <c r="N906" s="177" t="e" cm="1">
        <f t="array" aca="1" ref="N906" ca="1">_xlfn.XLOOKUP(Contrato5[[#This Row],[SUPERVISOR TITULAR]],[2]!PERSONAL_ACTIVO_2024[[#All],[Nombre completo]],[2]!PERSONAL_ACTIVO_2024[[#All],[Documento identidad]],"",0)</f>
        <v>#NAME?</v>
      </c>
      <c r="O906" s="194" t="s">
        <v>514</v>
      </c>
      <c r="P906" s="196" t="e" cm="1">
        <f t="array" aca="1" ref="P906" ca="1">_xlfn.XLOOKUP(Contrato5[[#This Row],[SUPERVISOR SUPLENTE ]],[2]!PERSONAL_ACTIVO_2024[[#All],[Nombre completo]],[2]!PERSONAL_ACTIVO_2024[[#All],[Documento identidad]],"",0)</f>
        <v>#NAME?</v>
      </c>
      <c r="Q906" s="170">
        <v>1206</v>
      </c>
      <c r="R906" s="137" t="e" cm="1">
        <f t="array" aca="1" ref="R906" ca="1">_xlfn.XLOOKUP(Contrato5[[#This Row],[CDP]],[2]!DISPONIBILIDADES_2024[[#All],[consecutivo]],[2]!DISPONIBILIDADES_2024[[#All],[fecha_aprobacion]],"",0)</f>
        <v>#NAME?</v>
      </c>
      <c r="S906" s="138" t="e">
        <f>SUMIF([2]!DISPONIBILIDADES_2024[[#All],[consecutivo]],Contrato5[[#This Row],[CDP]],[2]!DISPONIBILIDADES_2024[[#All],[valor_total_rubro]])</f>
        <v>#REF!</v>
      </c>
      <c r="T906" s="139" t="e" cm="1">
        <f t="array" aca="1" ref="T906" ca="1">_xlfn.XLOOKUP(Contrato5[[#This Row],[CONTRATO]]&amp;Contrato5[[#This Row],[CDP]],[2]!Corr_Contr_CDP[[#All],[CONTRATO-CDP]],[2]!Corr_Contr_CDP[[#All],[CRP]],_xlfn.XLOOKUP(Contrato5[[#This Row],[CDP]],[2]!COMPROMISOS_2024[[#All],[disponibilidad]],[2]!COMPROMISOS_2024[[#All],[consecutivo]],"",0),0)</f>
        <v>#NAME?</v>
      </c>
      <c r="U906" s="140" t="e" cm="1">
        <f t="array" aca="1" ref="U906" ca="1">+_xlfn.XLOOKUP(Contrato5[[#This Row],[RCP]],[2]!COMPROMISOS_2024[[#All],[consecutivo]],[2]!COMPROMISOS_2024[[#All],[fecha_aprobacion]],"",0)</f>
        <v>#NAME?</v>
      </c>
      <c r="V906" s="141" t="e">
        <f ca="1">SUMIF([2]!COMPROMISOS_2024[[#All],[consecutivo]],Contrato5[[#This Row],[RCP]],[2]!COMPROMISOS_2024[[#All],[valor_total]])</f>
        <v>#REF!</v>
      </c>
      <c r="W906" s="160">
        <v>45645</v>
      </c>
      <c r="X906" s="161">
        <v>45652</v>
      </c>
      <c r="Y906" s="143">
        <v>45677</v>
      </c>
      <c r="Z906" s="262">
        <v>45889</v>
      </c>
      <c r="AA906" s="171" t="s">
        <v>3345</v>
      </c>
      <c r="AB906" s="245" t="s">
        <v>618</v>
      </c>
      <c r="AC906" s="172"/>
      <c r="AD906" s="425">
        <v>202000005900</v>
      </c>
      <c r="AE906" s="147"/>
      <c r="AF906" s="148" t="str">
        <f>TEXT(LEFT(Contrato5[[#This Row],[CONTRATO]],3),"0")</f>
        <v>768</v>
      </c>
      <c r="AG906" s="148" t="str">
        <f>IF(LEN(Contrato5[[#This Row],[Contrato2]])=3,Contrato5[[#This Row],[Contrato2]],TEXT(Contrato5[[#This Row],[Contrato2]],"000"))</f>
        <v>768</v>
      </c>
      <c r="AH906" s="149">
        <f ca="1">IFERROR(_xlfn.DAYS(Contrato5[[#This Row],[Fecha Proyectada liquidación]],TODAY())/30,"")</f>
        <v>8.3666666666666671</v>
      </c>
      <c r="AI906" s="150">
        <f>+Contrato5[[#This Row],[FECHA TERMINACIÓN ]]+120</f>
        <v>46009</v>
      </c>
      <c r="AJ906" s="147"/>
      <c r="AK906" s="152" t="str">
        <f ca="1">IF(Contrato5[[#This Row],[FECHA TERMINACIÓN ]]&lt;TODAY(), "Terminado",IF(ISNUMBER(Contrato5[[#This Row],[Fecha Real de liquiidación ]]),"Liquidado",IF(Contrato5[[#This Row],[FECHA TERMINACIÓN ]]&gt;=TODAY(),"En ejecución","")))</f>
        <v>En ejecución</v>
      </c>
      <c r="AL906" s="153" t="e">
        <f ca="1">SUMIF([2]!COMPROMISOS_2024[[#All],[consecutivo]],Contrato5[[#This Row],[RCP]],[2]!COMPROMISOS_2024[[#All],[Total pagado]])</f>
        <v>#REF!</v>
      </c>
      <c r="AM906" s="154">
        <f ca="1">IFERROR(Contrato5[[#This Row],[Pagos]]/Contrato5[[#This Row],[VALOR CONTRATO]],0)</f>
        <v>0</v>
      </c>
      <c r="AN906" s="198" t="e">
        <f ca="1">+Contrato5[[#This Row],[VALOR CONTRATO]]-Contrato5[[#This Row],[Pagos]]</f>
        <v>#REF!</v>
      </c>
      <c r="AO906" s="147" t="e" cm="1">
        <f t="array" aca="1" ref="AO906" ca="1">_xlfn.XLOOKUP(Contrato5[[#This Row],[DOCUMENTO ]],[2]!PERSONAL_ACTIVO_2024[[#All],[Documento identidad]],[2]!PERSONAL_ACTIVO_2024[[#All],[Mail ]],0,0)</f>
        <v>#NAME?</v>
      </c>
      <c r="AP906" s="147" t="e" cm="1">
        <f t="array" aca="1" ref="AP906" ca="1">_xlfn.XLOOKUP(Contrato5[[#This Row],[DOCUMENTO]],[2]!PERSONAL_ACTIVO_2024[[#All],[Documento identidad]],[2]!PERSONAL_ACTIVO_2024[[#All],[Mail ]],0,0)</f>
        <v>#NAME?</v>
      </c>
      <c r="AQ906" s="439" cm="1">
        <f t="array" aca="1" ref="AQ906" ca="1">IF(ISBLANK(Contrato5[[#This Row],[DEPENDENCIA ]]),0,IFERROR(_xlfn.XLOOKUP(Contrato5[[#This Row],[DEPENDENCIA ]],[2]!PERSONAL_ACTIVO_2024[[#All],[Dependencia]],[2]!PERSONAL_ACTIVO_2024[[#All],[Mail ]],0,0),0))</f>
        <v>0</v>
      </c>
    </row>
    <row r="907" spans="1:43" ht="60" customHeight="1">
      <c r="A907" s="596">
        <v>1264</v>
      </c>
      <c r="B907" s="499">
        <v>769</v>
      </c>
      <c r="C907" s="162" t="s">
        <v>2264</v>
      </c>
      <c r="D907" s="227" t="s">
        <v>510</v>
      </c>
      <c r="E907" s="227" t="s">
        <v>94</v>
      </c>
      <c r="F907" s="227" t="s">
        <v>1894</v>
      </c>
      <c r="G907" s="281" t="s">
        <v>3346</v>
      </c>
      <c r="H907" s="282">
        <v>890983814</v>
      </c>
      <c r="I907" s="273" t="s">
        <v>42</v>
      </c>
      <c r="J907" s="445">
        <v>367620610</v>
      </c>
      <c r="K907" s="131" t="s">
        <v>3347</v>
      </c>
      <c r="L907" s="506" t="s">
        <v>3275</v>
      </c>
      <c r="M907" s="194" t="s">
        <v>3276</v>
      </c>
      <c r="N907" s="177" t="e" cm="1">
        <f t="array" aca="1" ref="N907" ca="1">_xlfn.XLOOKUP(Contrato5[[#This Row],[SUPERVISOR TITULAR]],[2]!PERSONAL_ACTIVO_2024[[#All],[Nombre completo]],[2]!PERSONAL_ACTIVO_2024[[#All],[Documento identidad]],"",0)</f>
        <v>#NAME?</v>
      </c>
      <c r="O907" s="194" t="s">
        <v>514</v>
      </c>
      <c r="P907" s="196" t="e" cm="1">
        <f t="array" aca="1" ref="P907" ca="1">_xlfn.XLOOKUP(Contrato5[[#This Row],[SUPERVISOR SUPLENTE ]],[2]!PERSONAL_ACTIVO_2024[[#All],[Nombre completo]],[2]!PERSONAL_ACTIVO_2024[[#All],[Documento identidad]],"",0)</f>
        <v>#NAME?</v>
      </c>
      <c r="Q907" s="170">
        <v>1112</v>
      </c>
      <c r="R907" s="137" t="e" cm="1">
        <f t="array" aca="1" ref="R907" ca="1">_xlfn.XLOOKUP(Contrato5[[#This Row],[CDP]],[2]!DISPONIBILIDADES_2024[[#All],[consecutivo]],[2]!DISPONIBILIDADES_2024[[#All],[fecha_aprobacion]],"",0)</f>
        <v>#NAME?</v>
      </c>
      <c r="S907" s="138" t="e">
        <f>SUMIF([2]!DISPONIBILIDADES_2024[[#All],[consecutivo]],Contrato5[[#This Row],[CDP]],[2]!DISPONIBILIDADES_2024[[#All],[valor_total_rubro]])</f>
        <v>#REF!</v>
      </c>
      <c r="T907" s="139" t="e" cm="1">
        <f t="array" aca="1" ref="T907" ca="1">_xlfn.XLOOKUP(Contrato5[[#This Row],[CONTRATO]]&amp;Contrato5[[#This Row],[CDP]],[2]!Corr_Contr_CDP[[#All],[CONTRATO-CDP]],[2]!Corr_Contr_CDP[[#All],[CRP]],_xlfn.XLOOKUP(Contrato5[[#This Row],[CDP]],[2]!COMPROMISOS_2024[[#All],[disponibilidad]],[2]!COMPROMISOS_2024[[#All],[consecutivo]],"",0),0)</f>
        <v>#NAME?</v>
      </c>
      <c r="U907" s="140" t="e" cm="1">
        <f t="array" aca="1" ref="U907" ca="1">+_xlfn.XLOOKUP(Contrato5[[#This Row],[RCP]],[2]!COMPROMISOS_2024[[#All],[consecutivo]],[2]!COMPROMISOS_2024[[#All],[fecha_aprobacion]],"",0)</f>
        <v>#NAME?</v>
      </c>
      <c r="V907" s="141" t="e">
        <f ca="1">SUMIF([2]!COMPROMISOS_2024[[#All],[consecutivo]],Contrato5[[#This Row],[RCP]],[2]!COMPROMISOS_2024[[#All],[valor_total]])</f>
        <v>#REF!</v>
      </c>
      <c r="W907" s="160">
        <v>45650</v>
      </c>
      <c r="X907" s="161">
        <v>45652</v>
      </c>
      <c r="Y907" s="143">
        <v>45673</v>
      </c>
      <c r="Z907" s="262">
        <v>45885</v>
      </c>
      <c r="AA907" s="171" t="s">
        <v>3348</v>
      </c>
      <c r="AB907" s="245" t="s">
        <v>618</v>
      </c>
      <c r="AC907" s="172"/>
      <c r="AD907" s="425">
        <v>202000005901</v>
      </c>
      <c r="AE907" s="147"/>
      <c r="AF907" s="148" t="str">
        <f>TEXT(LEFT(Contrato5[[#This Row],[CONTRATO]],3),"0")</f>
        <v>769</v>
      </c>
      <c r="AG907" s="148" t="str">
        <f>IF(LEN(Contrato5[[#This Row],[Contrato2]])=3,Contrato5[[#This Row],[Contrato2]],TEXT(Contrato5[[#This Row],[Contrato2]],"000"))</f>
        <v>769</v>
      </c>
      <c r="AH907" s="149">
        <f ca="1">IFERROR(_xlfn.DAYS(Contrato5[[#This Row],[Fecha Proyectada liquidación]],TODAY())/30,"")</f>
        <v>8.2333333333333325</v>
      </c>
      <c r="AI907" s="150">
        <f>+Contrato5[[#This Row],[FECHA TERMINACIÓN ]]+120</f>
        <v>46005</v>
      </c>
      <c r="AJ907" s="147"/>
      <c r="AK907" s="152" t="str">
        <f ca="1">IF(Contrato5[[#This Row],[FECHA TERMINACIÓN ]]&lt;TODAY(), "Terminado",IF(ISNUMBER(Contrato5[[#This Row],[Fecha Real de liquiidación ]]),"Liquidado",IF(Contrato5[[#This Row],[FECHA TERMINACIÓN ]]&gt;=TODAY(),"En ejecución","")))</f>
        <v>En ejecución</v>
      </c>
      <c r="AL907" s="153" t="e">
        <f ca="1">SUMIF([2]!COMPROMISOS_2024[[#All],[consecutivo]],Contrato5[[#This Row],[RCP]],[2]!COMPROMISOS_2024[[#All],[Total pagado]])</f>
        <v>#REF!</v>
      </c>
      <c r="AM907" s="154">
        <f ca="1">IFERROR(Contrato5[[#This Row],[Pagos]]/Contrato5[[#This Row],[VALOR CONTRATO]],0)</f>
        <v>0</v>
      </c>
      <c r="AN907" s="198" t="e">
        <f ca="1">+Contrato5[[#This Row],[VALOR CONTRATO]]-Contrato5[[#This Row],[Pagos]]</f>
        <v>#REF!</v>
      </c>
      <c r="AO907" s="147" t="e" cm="1">
        <f t="array" aca="1" ref="AO907" ca="1">_xlfn.XLOOKUP(Contrato5[[#This Row],[DOCUMENTO ]],[2]!PERSONAL_ACTIVO_2024[[#All],[Documento identidad]],[2]!PERSONAL_ACTIVO_2024[[#All],[Mail ]],0,0)</f>
        <v>#NAME?</v>
      </c>
      <c r="AP907" s="147" t="e" cm="1">
        <f t="array" aca="1" ref="AP907" ca="1">_xlfn.XLOOKUP(Contrato5[[#This Row],[DOCUMENTO]],[2]!PERSONAL_ACTIVO_2024[[#All],[Documento identidad]],[2]!PERSONAL_ACTIVO_2024[[#All],[Mail ]],0,0)</f>
        <v>#NAME?</v>
      </c>
      <c r="AQ907" s="439" cm="1">
        <f t="array" aca="1" ref="AQ907" ca="1">IF(ISBLANK(Contrato5[[#This Row],[DEPENDENCIA ]]),0,IFERROR(_xlfn.XLOOKUP(Contrato5[[#This Row],[DEPENDENCIA ]],[2]!PERSONAL_ACTIVO_2024[[#All],[Dependencia]],[2]!PERSONAL_ACTIVO_2024[[#All],[Mail ]],0,0),0))</f>
        <v>0</v>
      </c>
    </row>
    <row r="908" spans="1:43" ht="47.25" customHeight="1">
      <c r="A908" s="147">
        <v>1315</v>
      </c>
      <c r="B908" s="499">
        <v>770</v>
      </c>
      <c r="C908" s="162" t="s">
        <v>2286</v>
      </c>
      <c r="D908" s="227" t="s">
        <v>510</v>
      </c>
      <c r="E908" s="227" t="s">
        <v>94</v>
      </c>
      <c r="F908" s="227" t="s">
        <v>1894</v>
      </c>
      <c r="G908" s="281" t="s">
        <v>3349</v>
      </c>
      <c r="H908" s="282">
        <v>890980958</v>
      </c>
      <c r="I908" s="273" t="s">
        <v>42</v>
      </c>
      <c r="J908" s="445">
        <v>83128548</v>
      </c>
      <c r="K908" s="131" t="s">
        <v>3350</v>
      </c>
      <c r="L908" s="506" t="s">
        <v>3275</v>
      </c>
      <c r="M908" s="194" t="s">
        <v>2624</v>
      </c>
      <c r="N908" s="177" t="e" cm="1">
        <f t="array" aca="1" ref="N908" ca="1">_xlfn.XLOOKUP(Contrato5[[#This Row],[SUPERVISOR TITULAR]],[2]!PERSONAL_ACTIVO_2024[[#All],[Nombre completo]],[2]!PERSONAL_ACTIVO_2024[[#All],[Documento identidad]],"",0)</f>
        <v>#NAME?</v>
      </c>
      <c r="O908" s="194" t="s">
        <v>3276</v>
      </c>
      <c r="P908" s="196" t="e" cm="1">
        <f t="array" aca="1" ref="P908" ca="1">_xlfn.XLOOKUP(Contrato5[[#This Row],[SUPERVISOR SUPLENTE ]],[2]!PERSONAL_ACTIVO_2024[[#All],[Nombre completo]],[2]!PERSONAL_ACTIVO_2024[[#All],[Documento identidad]],"",0)</f>
        <v>#NAME?</v>
      </c>
      <c r="Q908" s="170">
        <v>1191</v>
      </c>
      <c r="R908" s="137" t="e" cm="1">
        <f t="array" aca="1" ref="R908" ca="1">_xlfn.XLOOKUP(Contrato5[[#This Row],[CDP]],[2]!DISPONIBILIDADES_2024[[#All],[consecutivo]],[2]!DISPONIBILIDADES_2024[[#All],[fecha_aprobacion]],"",0)</f>
        <v>#NAME?</v>
      </c>
      <c r="S908" s="138" t="e">
        <f>SUMIF([2]!DISPONIBILIDADES_2024[[#All],[consecutivo]],Contrato5[[#This Row],[CDP]],[2]!DISPONIBILIDADES_2024[[#All],[valor_total_rubro]])</f>
        <v>#REF!</v>
      </c>
      <c r="T908" s="139" t="e" cm="1">
        <f t="array" aca="1" ref="T908" ca="1">_xlfn.XLOOKUP(Contrato5[[#This Row],[CONTRATO]]&amp;Contrato5[[#This Row],[CDP]],[2]!Corr_Contr_CDP[[#All],[CONTRATO-CDP]],[2]!Corr_Contr_CDP[[#All],[CRP]],_xlfn.XLOOKUP(Contrato5[[#This Row],[CDP]],[2]!COMPROMISOS_2024[[#All],[disponibilidad]],[2]!COMPROMISOS_2024[[#All],[consecutivo]],"",0),0)</f>
        <v>#NAME?</v>
      </c>
      <c r="U908" s="140" t="e" cm="1">
        <f t="array" aca="1" ref="U908" ca="1">+_xlfn.XLOOKUP(Contrato5[[#This Row],[RCP]],[2]!COMPROMISOS_2024[[#All],[consecutivo]],[2]!COMPROMISOS_2024[[#All],[fecha_aprobacion]],"",0)</f>
        <v>#NAME?</v>
      </c>
      <c r="V908" s="141" t="e">
        <f ca="1">SUMIF([2]!COMPROMISOS_2024[[#All],[consecutivo]],Contrato5[[#This Row],[RCP]],[2]!COMPROMISOS_2024[[#All],[valor_total]])</f>
        <v>#REF!</v>
      </c>
      <c r="W908" s="160">
        <v>45646</v>
      </c>
      <c r="X908" s="161">
        <v>45652</v>
      </c>
      <c r="Y908" s="143">
        <v>45672</v>
      </c>
      <c r="Z908" s="262">
        <v>45853</v>
      </c>
      <c r="AA908" s="171" t="s">
        <v>3351</v>
      </c>
      <c r="AB908" s="245" t="s">
        <v>640</v>
      </c>
      <c r="AC908" s="172"/>
      <c r="AD908" s="425">
        <v>202000005902</v>
      </c>
      <c r="AE908" s="147"/>
      <c r="AF908" s="148" t="str">
        <f>TEXT(LEFT(Contrato5[[#This Row],[CONTRATO]],3),"0")</f>
        <v>770</v>
      </c>
      <c r="AG908" s="148" t="str">
        <f>IF(LEN(Contrato5[[#This Row],[Contrato2]])=3,Contrato5[[#This Row],[Contrato2]],TEXT(Contrato5[[#This Row],[Contrato2]],"000"))</f>
        <v>770</v>
      </c>
      <c r="AH908" s="149">
        <f ca="1">IFERROR(_xlfn.DAYS(Contrato5[[#This Row],[Fecha Proyectada liquidación]],TODAY())/30,"")</f>
        <v>7.166666666666667</v>
      </c>
      <c r="AI908" s="150">
        <f>+Contrato5[[#This Row],[FECHA TERMINACIÓN ]]+120</f>
        <v>45973</v>
      </c>
      <c r="AJ908" s="147"/>
      <c r="AK908" s="152" t="str">
        <f ca="1">IF(Contrato5[[#This Row],[FECHA TERMINACIÓN ]]&lt;TODAY(), "Terminado",IF(ISNUMBER(Contrato5[[#This Row],[Fecha Real de liquiidación ]]),"Liquidado",IF(Contrato5[[#This Row],[FECHA TERMINACIÓN ]]&gt;=TODAY(),"En ejecución","")))</f>
        <v>En ejecución</v>
      </c>
      <c r="AL908" s="153" t="e">
        <f ca="1">SUMIF([2]!COMPROMISOS_2024[[#All],[consecutivo]],Contrato5[[#This Row],[RCP]],[2]!COMPROMISOS_2024[[#All],[Total pagado]])</f>
        <v>#REF!</v>
      </c>
      <c r="AM908" s="154">
        <f ca="1">IFERROR(Contrato5[[#This Row],[Pagos]]/Contrato5[[#This Row],[VALOR CONTRATO]],0)</f>
        <v>0</v>
      </c>
      <c r="AN908" s="198" t="e">
        <f ca="1">+Contrato5[[#This Row],[VALOR CONTRATO]]-Contrato5[[#This Row],[Pagos]]</f>
        <v>#REF!</v>
      </c>
      <c r="AO908" s="147" t="e" cm="1">
        <f t="array" aca="1" ref="AO908" ca="1">_xlfn.XLOOKUP(Contrato5[[#This Row],[DOCUMENTO ]],[2]!PERSONAL_ACTIVO_2024[[#All],[Documento identidad]],[2]!PERSONAL_ACTIVO_2024[[#All],[Mail ]],0,0)</f>
        <v>#NAME?</v>
      </c>
      <c r="AP908" s="147" t="e" cm="1">
        <f t="array" aca="1" ref="AP908" ca="1">_xlfn.XLOOKUP(Contrato5[[#This Row],[DOCUMENTO]],[2]!PERSONAL_ACTIVO_2024[[#All],[Documento identidad]],[2]!PERSONAL_ACTIVO_2024[[#All],[Mail ]],0,0)</f>
        <v>#NAME?</v>
      </c>
      <c r="AQ908" s="439" cm="1">
        <f t="array" aca="1" ref="AQ908" ca="1">IF(ISBLANK(Contrato5[[#This Row],[DEPENDENCIA ]]),0,IFERROR(_xlfn.XLOOKUP(Contrato5[[#This Row],[DEPENDENCIA ]],[2]!PERSONAL_ACTIVO_2024[[#All],[Dependencia]],[2]!PERSONAL_ACTIVO_2024[[#All],[Mail ]],0,0),0))</f>
        <v>0</v>
      </c>
    </row>
    <row r="909" spans="1:43" ht="31.5" customHeight="1">
      <c r="A909" s="147">
        <v>1263</v>
      </c>
      <c r="B909" s="499">
        <v>771</v>
      </c>
      <c r="C909" s="162" t="s">
        <v>1494</v>
      </c>
      <c r="D909" s="227" t="s">
        <v>556</v>
      </c>
      <c r="E909" s="227" t="s">
        <v>1933</v>
      </c>
      <c r="F909" s="227" t="s">
        <v>191</v>
      </c>
      <c r="G909" s="281" t="s">
        <v>3352</v>
      </c>
      <c r="H909" s="282">
        <v>900672953</v>
      </c>
      <c r="I909" s="273" t="s">
        <v>42</v>
      </c>
      <c r="J909" s="445">
        <v>520000000</v>
      </c>
      <c r="K909" s="273" t="s">
        <v>42</v>
      </c>
      <c r="L909" s="438" t="s">
        <v>2599</v>
      </c>
      <c r="M909" s="194" t="s">
        <v>559</v>
      </c>
      <c r="N909" s="177" t="e" cm="1">
        <f t="array" aca="1" ref="N909" ca="1">_xlfn.XLOOKUP(Contrato5[[#This Row],[SUPERVISOR TITULAR]],[2]!PERSONAL_ACTIVO_2024[[#All],[Nombre completo]],[2]!PERSONAL_ACTIVO_2024[[#All],[Documento identidad]],"",0)</f>
        <v>#NAME?</v>
      </c>
      <c r="O909" s="194" t="s">
        <v>560</v>
      </c>
      <c r="P909" s="196" t="e" cm="1">
        <f t="array" aca="1" ref="P909" ca="1">_xlfn.XLOOKUP(Contrato5[[#This Row],[SUPERVISOR SUPLENTE ]],[2]!PERSONAL_ACTIVO_2024[[#All],[Nombre completo]],[2]!PERSONAL_ACTIVO_2024[[#All],[Documento identidad]],"",0)</f>
        <v>#NAME?</v>
      </c>
      <c r="Q909" s="170">
        <v>1147</v>
      </c>
      <c r="R909" s="137" t="e" cm="1">
        <f t="array" aca="1" ref="R909" ca="1">_xlfn.XLOOKUP(Contrato5[[#This Row],[CDP]],[2]!DISPONIBILIDADES_2024[[#All],[consecutivo]],[2]!DISPONIBILIDADES_2024[[#All],[fecha_aprobacion]],"",0)</f>
        <v>#NAME?</v>
      </c>
      <c r="S909" s="138" t="e">
        <f>SUMIF([2]!DISPONIBILIDADES_2024[[#All],[consecutivo]],Contrato5[[#This Row],[CDP]],[2]!DISPONIBILIDADES_2024[[#All],[valor_total_rubro]])</f>
        <v>#REF!</v>
      </c>
      <c r="T909" s="139">
        <v>5145</v>
      </c>
      <c r="U909" s="140" t="e" cm="1">
        <f t="array" aca="1" ref="U909" ca="1">+_xlfn.XLOOKUP(Contrato5[[#This Row],[RCP]],[2]!COMPROMISOS_2024[[#All],[consecutivo]],[2]!COMPROMISOS_2024[[#All],[fecha_aprobacion]],"",0)</f>
        <v>#NAME?</v>
      </c>
      <c r="V909" s="141" t="e">
        <f>SUMIF([2]!COMPROMISOS_2024[[#All],[consecutivo]],Contrato5[[#This Row],[RCP]],[2]!COMPROMISOS_2024[[#All],[valor_total]])</f>
        <v>#REF!</v>
      </c>
      <c r="W909" s="160">
        <v>45642</v>
      </c>
      <c r="X909" s="161">
        <v>45646</v>
      </c>
      <c r="Y909" s="143">
        <v>45649</v>
      </c>
      <c r="Z909" s="262">
        <v>45657</v>
      </c>
      <c r="AA909" s="183" t="s">
        <v>3353</v>
      </c>
      <c r="AB909" s="172" t="s">
        <v>3294</v>
      </c>
      <c r="AC909" s="172"/>
      <c r="AD909" s="425">
        <v>202000005801</v>
      </c>
      <c r="AE909" s="147" t="s">
        <v>523</v>
      </c>
      <c r="AF909" s="148" t="str">
        <f>TEXT(LEFT(Contrato5[[#This Row],[CONTRATO]],3),"0")</f>
        <v>771</v>
      </c>
      <c r="AG909" s="148" t="str">
        <f>IF(LEN(Contrato5[[#This Row],[Contrato2]])=3,Contrato5[[#This Row],[Contrato2]],TEXT(Contrato5[[#This Row],[Contrato2]],"000"))</f>
        <v>771</v>
      </c>
      <c r="AH909" s="149">
        <f ca="1">IFERROR(_xlfn.DAYS(Contrato5[[#This Row],[Fecha Proyectada liquidación]],TODAY())/30,"")</f>
        <v>0.6333333333333333</v>
      </c>
      <c r="AI909" s="150">
        <f>+Contrato5[[#This Row],[FECHA TERMINACIÓN ]]+120</f>
        <v>45777</v>
      </c>
      <c r="AJ909" s="147"/>
      <c r="AK909" s="152" t="str">
        <f ca="1">IF(Contrato5[[#This Row],[FECHA TERMINACIÓN ]]&lt;TODAY(), "Terminado",IF(ISNUMBER(Contrato5[[#This Row],[Fecha Real de liquiidación ]]),"Liquidado",IF(Contrato5[[#This Row],[FECHA TERMINACIÓN ]]&gt;=TODAY(),"En ejecución","")))</f>
        <v>Terminado</v>
      </c>
      <c r="AL909" s="153" t="e">
        <f>SUMIF([2]!COMPROMISOS_2024[[#All],[consecutivo]],Contrato5[[#This Row],[RCP]],[2]!COMPROMISOS_2024[[#All],[Total pagado]])</f>
        <v>#REF!</v>
      </c>
      <c r="AM909" s="154">
        <f>IFERROR(Contrato5[[#This Row],[Pagos]]/Contrato5[[#This Row],[VALOR CONTRATO]],0)</f>
        <v>0</v>
      </c>
      <c r="AN909" s="198" t="e">
        <f>+Contrato5[[#This Row],[VALOR CONTRATO]]-Contrato5[[#This Row],[Pagos]]</f>
        <v>#REF!</v>
      </c>
      <c r="AO909" s="147" t="e" cm="1">
        <f t="array" aca="1" ref="AO909" ca="1">_xlfn.XLOOKUP(Contrato5[[#This Row],[DOCUMENTO ]],[2]!PERSONAL_ACTIVO_2024[[#All],[Documento identidad]],[2]!PERSONAL_ACTIVO_2024[[#All],[Mail ]],0,0)</f>
        <v>#NAME?</v>
      </c>
      <c r="AP909" s="147" t="e" cm="1">
        <f t="array" aca="1" ref="AP909" ca="1">_xlfn.XLOOKUP(Contrato5[[#This Row],[DOCUMENTO]],[2]!PERSONAL_ACTIVO_2024[[#All],[Documento identidad]],[2]!PERSONAL_ACTIVO_2024[[#All],[Mail ]],0,0)</f>
        <v>#NAME?</v>
      </c>
      <c r="AQ909" s="439" cm="1">
        <f t="array" aca="1" ref="AQ909" ca="1">IF(ISBLANK(Contrato5[[#This Row],[DEPENDENCIA ]]),0,IFERROR(_xlfn.XLOOKUP(Contrato5[[#This Row],[DEPENDENCIA ]],[2]!PERSONAL_ACTIVO_2024[[#All],[Dependencia]],[2]!PERSONAL_ACTIVO_2024[[#All],[Mail ]],0,0),0))</f>
        <v>0</v>
      </c>
    </row>
    <row r="910" spans="1:43" ht="47.25" customHeight="1">
      <c r="A910" s="596">
        <v>1267</v>
      </c>
      <c r="B910" s="499">
        <v>772</v>
      </c>
      <c r="C910" s="162" t="s">
        <v>2268</v>
      </c>
      <c r="D910" s="227" t="s">
        <v>510</v>
      </c>
      <c r="E910" s="227" t="s">
        <v>94</v>
      </c>
      <c r="F910" s="227" t="s">
        <v>1894</v>
      </c>
      <c r="G910" s="281" t="s">
        <v>3354</v>
      </c>
      <c r="H910" s="282">
        <v>890983763</v>
      </c>
      <c r="I910" s="273" t="s">
        <v>42</v>
      </c>
      <c r="J910" s="445">
        <v>267647494</v>
      </c>
      <c r="K910" s="131" t="s">
        <v>3355</v>
      </c>
      <c r="L910" s="506" t="s">
        <v>3275</v>
      </c>
      <c r="M910" s="194" t="s">
        <v>3276</v>
      </c>
      <c r="N910" s="177" t="e" cm="1">
        <f t="array" aca="1" ref="N910" ca="1">_xlfn.XLOOKUP(Contrato5[[#This Row],[SUPERVISOR TITULAR]],[2]!PERSONAL_ACTIVO_2024[[#All],[Nombre completo]],[2]!PERSONAL_ACTIVO_2024[[#All],[Documento identidad]],"",0)</f>
        <v>#NAME?</v>
      </c>
      <c r="O910" s="194" t="s">
        <v>514</v>
      </c>
      <c r="P910" s="196" t="e" cm="1">
        <f t="array" aca="1" ref="P910" ca="1">_xlfn.XLOOKUP(Contrato5[[#This Row],[SUPERVISOR SUPLENTE ]],[2]!PERSONAL_ACTIVO_2024[[#All],[Nombre completo]],[2]!PERSONAL_ACTIVO_2024[[#All],[Documento identidad]],"",0)</f>
        <v>#NAME?</v>
      </c>
      <c r="Q910" s="170">
        <v>1187</v>
      </c>
      <c r="R910" s="137" t="e" cm="1">
        <f t="array" aca="1" ref="R910" ca="1">_xlfn.XLOOKUP(Contrato5[[#This Row],[CDP]],[2]!DISPONIBILIDADES_2024[[#All],[consecutivo]],[2]!DISPONIBILIDADES_2024[[#All],[fecha_aprobacion]],"",0)</f>
        <v>#NAME?</v>
      </c>
      <c r="S910" s="138" t="e">
        <f>SUMIF([2]!DISPONIBILIDADES_2024[[#All],[consecutivo]],Contrato5[[#This Row],[CDP]],[2]!DISPONIBILIDADES_2024[[#All],[valor_total_rubro]])</f>
        <v>#REF!</v>
      </c>
      <c r="T910" s="139" t="e" cm="1">
        <f t="array" aca="1" ref="T910" ca="1">_xlfn.XLOOKUP(Contrato5[[#This Row],[CONTRATO]]&amp;Contrato5[[#This Row],[CDP]],[2]!Corr_Contr_CDP[[#All],[CONTRATO-CDP]],[2]!Corr_Contr_CDP[[#All],[CRP]],_xlfn.XLOOKUP(Contrato5[[#This Row],[CDP]],[2]!COMPROMISOS_2024[[#All],[disponibilidad]],[2]!COMPROMISOS_2024[[#All],[consecutivo]],"",0),0)</f>
        <v>#NAME?</v>
      </c>
      <c r="U910" s="140" t="e" cm="1">
        <f t="array" aca="1" ref="U910" ca="1">+_xlfn.XLOOKUP(Contrato5[[#This Row],[RCP]],[2]!COMPROMISOS_2024[[#All],[consecutivo]],[2]!COMPROMISOS_2024[[#All],[fecha_aprobacion]],"",0)</f>
        <v>#NAME?</v>
      </c>
      <c r="V910" s="141" t="e">
        <f ca="1">SUMIF([2]!COMPROMISOS_2024[[#All],[consecutivo]],Contrato5[[#This Row],[RCP]],[2]!COMPROMISOS_2024[[#All],[valor_total]])</f>
        <v>#REF!</v>
      </c>
      <c r="W910" s="160">
        <v>45649</v>
      </c>
      <c r="X910" s="161">
        <v>45650</v>
      </c>
      <c r="Y910" s="143">
        <v>45677</v>
      </c>
      <c r="Z910" s="262">
        <v>45889</v>
      </c>
      <c r="AA910" s="171" t="s">
        <v>3356</v>
      </c>
      <c r="AB910" s="245" t="s">
        <v>618</v>
      </c>
      <c r="AC910" s="172"/>
      <c r="AD910" s="425">
        <v>202000005903</v>
      </c>
      <c r="AE910" s="147"/>
      <c r="AF910" s="148" t="str">
        <f>TEXT(LEFT(Contrato5[[#This Row],[CONTRATO]],3),"0")</f>
        <v>772</v>
      </c>
      <c r="AG910" s="148" t="str">
        <f>IF(LEN(Contrato5[[#This Row],[Contrato2]])=3,Contrato5[[#This Row],[Contrato2]],TEXT(Contrato5[[#This Row],[Contrato2]],"000"))</f>
        <v>772</v>
      </c>
      <c r="AH910" s="149">
        <f ca="1">IFERROR(_xlfn.DAYS(Contrato5[[#This Row],[Fecha Proyectada liquidación]],TODAY())/30,"")</f>
        <v>8.3666666666666671</v>
      </c>
      <c r="AI910" s="150">
        <f>+Contrato5[[#This Row],[FECHA TERMINACIÓN ]]+120</f>
        <v>46009</v>
      </c>
      <c r="AJ910" s="147"/>
      <c r="AK910" s="152" t="str">
        <f ca="1">IF(Contrato5[[#This Row],[FECHA TERMINACIÓN ]]&lt;TODAY(), "Terminado",IF(ISNUMBER(Contrato5[[#This Row],[Fecha Real de liquiidación ]]),"Liquidado",IF(Contrato5[[#This Row],[FECHA TERMINACIÓN ]]&gt;=TODAY(),"En ejecución","")))</f>
        <v>En ejecución</v>
      </c>
      <c r="AL910" s="153" t="e">
        <f ca="1">SUMIF([2]!COMPROMISOS_2024[[#All],[consecutivo]],Contrato5[[#This Row],[RCP]],[2]!COMPROMISOS_2024[[#All],[Total pagado]])</f>
        <v>#REF!</v>
      </c>
      <c r="AM910" s="154">
        <f ca="1">IFERROR(Contrato5[[#This Row],[Pagos]]/Contrato5[[#This Row],[VALOR CONTRATO]],0)</f>
        <v>0</v>
      </c>
      <c r="AN910" s="198" t="e">
        <f ca="1">+Contrato5[[#This Row],[VALOR CONTRATO]]-Contrato5[[#This Row],[Pagos]]</f>
        <v>#REF!</v>
      </c>
      <c r="AO910" s="147" t="e" cm="1">
        <f t="array" aca="1" ref="AO910" ca="1">_xlfn.XLOOKUP(Contrato5[[#This Row],[DOCUMENTO ]],[2]!PERSONAL_ACTIVO_2024[[#All],[Documento identidad]],[2]!PERSONAL_ACTIVO_2024[[#All],[Mail ]],0,0)</f>
        <v>#NAME?</v>
      </c>
      <c r="AP910" s="147" t="e" cm="1">
        <f t="array" aca="1" ref="AP910" ca="1">_xlfn.XLOOKUP(Contrato5[[#This Row],[DOCUMENTO]],[2]!PERSONAL_ACTIVO_2024[[#All],[Documento identidad]],[2]!PERSONAL_ACTIVO_2024[[#All],[Mail ]],0,0)</f>
        <v>#NAME?</v>
      </c>
      <c r="AQ910" s="439" cm="1">
        <f t="array" aca="1" ref="AQ910" ca="1">IF(ISBLANK(Contrato5[[#This Row],[DEPENDENCIA ]]),0,IFERROR(_xlfn.XLOOKUP(Contrato5[[#This Row],[DEPENDENCIA ]],[2]!PERSONAL_ACTIVO_2024[[#All],[Dependencia]],[2]!PERSONAL_ACTIVO_2024[[#All],[Mail ]],0,0),0))</f>
        <v>0</v>
      </c>
    </row>
    <row r="911" spans="1:43" ht="47.25" customHeight="1">
      <c r="A911" s="596">
        <v>1327</v>
      </c>
      <c r="B911" s="499">
        <v>773</v>
      </c>
      <c r="C911" s="162" t="s">
        <v>2289</v>
      </c>
      <c r="D911" s="227" t="s">
        <v>510</v>
      </c>
      <c r="E911" s="227" t="s">
        <v>94</v>
      </c>
      <c r="F911" s="227" t="s">
        <v>1894</v>
      </c>
      <c r="G911" s="281" t="s">
        <v>3357</v>
      </c>
      <c r="H911" s="282">
        <v>890985285</v>
      </c>
      <c r="I911" s="273" t="s">
        <v>42</v>
      </c>
      <c r="J911" s="445">
        <v>209171624</v>
      </c>
      <c r="K911" s="131" t="s">
        <v>3358</v>
      </c>
      <c r="L911" s="506" t="s">
        <v>3275</v>
      </c>
      <c r="M911" s="194" t="s">
        <v>3276</v>
      </c>
      <c r="N911" s="177" t="e" cm="1">
        <f t="array" aca="1" ref="N911" ca="1">_xlfn.XLOOKUP(Contrato5[[#This Row],[SUPERVISOR TITULAR]],[2]!PERSONAL_ACTIVO_2024[[#All],[Nombre completo]],[2]!PERSONAL_ACTIVO_2024[[#All],[Documento identidad]],"",0)</f>
        <v>#NAME?</v>
      </c>
      <c r="O911" s="194" t="s">
        <v>514</v>
      </c>
      <c r="P911" s="196" t="e" cm="1">
        <f t="array" aca="1" ref="P911" ca="1">_xlfn.XLOOKUP(Contrato5[[#This Row],[SUPERVISOR SUPLENTE ]],[2]!PERSONAL_ACTIVO_2024[[#All],[Nombre completo]],[2]!PERSONAL_ACTIVO_2024[[#All],[Documento identidad]],"",0)</f>
        <v>#NAME?</v>
      </c>
      <c r="Q911" s="170">
        <v>1217</v>
      </c>
      <c r="R911" s="137" t="e" cm="1">
        <f t="array" aca="1" ref="R911" ca="1">_xlfn.XLOOKUP(Contrato5[[#This Row],[CDP]],[2]!DISPONIBILIDADES_2024[[#All],[consecutivo]],[2]!DISPONIBILIDADES_2024[[#All],[fecha_aprobacion]],"",0)</f>
        <v>#NAME?</v>
      </c>
      <c r="S911" s="138" t="e">
        <f>SUMIF([2]!DISPONIBILIDADES_2024[[#All],[consecutivo]],Contrato5[[#This Row],[CDP]],[2]!DISPONIBILIDADES_2024[[#All],[valor_total_rubro]])</f>
        <v>#REF!</v>
      </c>
      <c r="T911" s="139" t="e" cm="1">
        <f t="array" aca="1" ref="T911" ca="1">_xlfn.XLOOKUP(Contrato5[[#This Row],[CONTRATO]]&amp;Contrato5[[#This Row],[CDP]],[2]!Corr_Contr_CDP[[#All],[CONTRATO-CDP]],[2]!Corr_Contr_CDP[[#All],[CRP]],_xlfn.XLOOKUP(Contrato5[[#This Row],[CDP]],[2]!COMPROMISOS_2024[[#All],[disponibilidad]],[2]!COMPROMISOS_2024[[#All],[consecutivo]],"",0),0)</f>
        <v>#NAME?</v>
      </c>
      <c r="U911" s="140" t="e" cm="1">
        <f t="array" aca="1" ref="U911" ca="1">+_xlfn.XLOOKUP(Contrato5[[#This Row],[RCP]],[2]!COMPROMISOS_2024[[#All],[consecutivo]],[2]!COMPROMISOS_2024[[#All],[fecha_aprobacion]],"",0)</f>
        <v>#NAME?</v>
      </c>
      <c r="V911" s="141" t="e">
        <f ca="1">SUMIF([2]!COMPROMISOS_2024[[#All],[consecutivo]],Contrato5[[#This Row],[RCP]],[2]!COMPROMISOS_2024[[#All],[valor_total]])</f>
        <v>#REF!</v>
      </c>
      <c r="W911" s="160">
        <v>45645</v>
      </c>
      <c r="X911" s="160">
        <v>45649</v>
      </c>
      <c r="Y911" s="143">
        <v>45673</v>
      </c>
      <c r="Z911" s="262">
        <v>45885</v>
      </c>
      <c r="AA911" s="171" t="s">
        <v>3359</v>
      </c>
      <c r="AB911" s="245" t="s">
        <v>618</v>
      </c>
      <c r="AC911" s="172"/>
      <c r="AD911" s="425">
        <v>202000005904</v>
      </c>
      <c r="AE911" s="147"/>
      <c r="AF911" s="148" t="str">
        <f>TEXT(LEFT(Contrato5[[#This Row],[CONTRATO]],3),"0")</f>
        <v>773</v>
      </c>
      <c r="AG911" s="148" t="str">
        <f>IF(LEN(Contrato5[[#This Row],[Contrato2]])=3,Contrato5[[#This Row],[Contrato2]],TEXT(Contrato5[[#This Row],[Contrato2]],"000"))</f>
        <v>773</v>
      </c>
      <c r="AH911" s="149">
        <f ca="1">IFERROR(_xlfn.DAYS(Contrato5[[#This Row],[Fecha Proyectada liquidación]],TODAY())/30,"")</f>
        <v>8.2333333333333325</v>
      </c>
      <c r="AI911" s="150">
        <f>+Contrato5[[#This Row],[FECHA TERMINACIÓN ]]+120</f>
        <v>46005</v>
      </c>
      <c r="AJ911" s="147"/>
      <c r="AK911" s="152" t="str">
        <f ca="1">IF(Contrato5[[#This Row],[FECHA TERMINACIÓN ]]&lt;TODAY(), "Terminado",IF(ISNUMBER(Contrato5[[#This Row],[Fecha Real de liquiidación ]]),"Liquidado",IF(Contrato5[[#This Row],[FECHA TERMINACIÓN ]]&gt;=TODAY(),"En ejecución","")))</f>
        <v>En ejecución</v>
      </c>
      <c r="AL911" s="153" t="e">
        <f ca="1">SUMIF([2]!COMPROMISOS_2024[[#All],[consecutivo]],Contrato5[[#This Row],[RCP]],[2]!COMPROMISOS_2024[[#All],[Total pagado]])</f>
        <v>#REF!</v>
      </c>
      <c r="AM911" s="154">
        <f ca="1">IFERROR(Contrato5[[#This Row],[Pagos]]/Contrato5[[#This Row],[VALOR CONTRATO]],0)</f>
        <v>0</v>
      </c>
      <c r="AN911" s="198" t="e">
        <f ca="1">+Contrato5[[#This Row],[VALOR CONTRATO]]-Contrato5[[#This Row],[Pagos]]</f>
        <v>#REF!</v>
      </c>
      <c r="AO911" s="147" t="e" cm="1">
        <f t="array" aca="1" ref="AO911" ca="1">_xlfn.XLOOKUP(Contrato5[[#This Row],[DOCUMENTO ]],[2]!PERSONAL_ACTIVO_2024[[#All],[Documento identidad]],[2]!PERSONAL_ACTIVO_2024[[#All],[Mail ]],0,0)</f>
        <v>#NAME?</v>
      </c>
      <c r="AP911" s="147" t="e" cm="1">
        <f t="array" aca="1" ref="AP911" ca="1">_xlfn.XLOOKUP(Contrato5[[#This Row],[DOCUMENTO]],[2]!PERSONAL_ACTIVO_2024[[#All],[Documento identidad]],[2]!PERSONAL_ACTIVO_2024[[#All],[Mail ]],0,0)</f>
        <v>#NAME?</v>
      </c>
      <c r="AQ911" s="439" cm="1">
        <f t="array" aca="1" ref="AQ911" ca="1">IF(ISBLANK(Contrato5[[#This Row],[DEPENDENCIA ]]),0,IFERROR(_xlfn.XLOOKUP(Contrato5[[#This Row],[DEPENDENCIA ]],[2]!PERSONAL_ACTIVO_2024[[#All],[Dependencia]],[2]!PERSONAL_ACTIVO_2024[[#All],[Mail ]],0,0),0))</f>
        <v>0</v>
      </c>
    </row>
    <row r="912" spans="1:43" ht="60" customHeight="1">
      <c r="A912" s="596">
        <v>1330</v>
      </c>
      <c r="B912" s="499">
        <v>774</v>
      </c>
      <c r="C912" s="162" t="s">
        <v>2261</v>
      </c>
      <c r="D912" s="227" t="s">
        <v>510</v>
      </c>
      <c r="E912" s="227" t="s">
        <v>94</v>
      </c>
      <c r="F912" s="227" t="s">
        <v>1894</v>
      </c>
      <c r="G912" s="281" t="s">
        <v>2639</v>
      </c>
      <c r="H912" s="282">
        <v>800013676</v>
      </c>
      <c r="I912" s="273" t="s">
        <v>42</v>
      </c>
      <c r="J912" s="445">
        <v>575465989</v>
      </c>
      <c r="K912" s="131" t="s">
        <v>3360</v>
      </c>
      <c r="L912" s="506" t="s">
        <v>3275</v>
      </c>
      <c r="M912" s="194" t="s">
        <v>3276</v>
      </c>
      <c r="N912" s="177" t="e" cm="1">
        <f t="array" aca="1" ref="N912" ca="1">_xlfn.XLOOKUP(Contrato5[[#This Row],[SUPERVISOR TITULAR]],[2]!PERSONAL_ACTIVO_2024[[#All],[Nombre completo]],[2]!PERSONAL_ACTIVO_2024[[#All],[Documento identidad]],"",0)</f>
        <v>#NAME?</v>
      </c>
      <c r="O912" s="194" t="s">
        <v>514</v>
      </c>
      <c r="P912" s="196" t="e" cm="1">
        <f t="array" aca="1" ref="P912" ca="1">_xlfn.XLOOKUP(Contrato5[[#This Row],[SUPERVISOR SUPLENTE ]],[2]!PERSONAL_ACTIVO_2024[[#All],[Nombre completo]],[2]!PERSONAL_ACTIVO_2024[[#All],[Documento identidad]],"",0)</f>
        <v>#NAME?</v>
      </c>
      <c r="Q912" s="170">
        <v>1220</v>
      </c>
      <c r="R912" s="137" t="e" cm="1">
        <f t="array" aca="1" ref="R912" ca="1">_xlfn.XLOOKUP(Contrato5[[#This Row],[CDP]],[2]!DISPONIBILIDADES_2024[[#All],[consecutivo]],[2]!DISPONIBILIDADES_2024[[#All],[fecha_aprobacion]],"",0)</f>
        <v>#NAME?</v>
      </c>
      <c r="S912" s="138" t="e">
        <f>SUMIF([2]!DISPONIBILIDADES_2024[[#All],[consecutivo]],Contrato5[[#This Row],[CDP]],[2]!DISPONIBILIDADES_2024[[#All],[valor_total_rubro]])</f>
        <v>#REF!</v>
      </c>
      <c r="T912" s="139" t="e" cm="1">
        <f t="array" aca="1" ref="T912" ca="1">_xlfn.XLOOKUP(Contrato5[[#This Row],[CONTRATO]]&amp;Contrato5[[#This Row],[CDP]],[2]!Corr_Contr_CDP[[#All],[CONTRATO-CDP]],[2]!Corr_Contr_CDP[[#All],[CRP]],_xlfn.XLOOKUP(Contrato5[[#This Row],[CDP]],[2]!COMPROMISOS_2024[[#All],[disponibilidad]],[2]!COMPROMISOS_2024[[#All],[consecutivo]],"",0),0)</f>
        <v>#NAME?</v>
      </c>
      <c r="U912" s="140" t="e" cm="1">
        <f t="array" aca="1" ref="U912" ca="1">+_xlfn.XLOOKUP(Contrato5[[#This Row],[RCP]],[2]!COMPROMISOS_2024[[#All],[consecutivo]],[2]!COMPROMISOS_2024[[#All],[fecha_aprobacion]],"",0)</f>
        <v>#NAME?</v>
      </c>
      <c r="V912" s="141" t="e">
        <f ca="1">SUMIF([2]!COMPROMISOS_2024[[#All],[consecutivo]],Contrato5[[#This Row],[RCP]],[2]!COMPROMISOS_2024[[#All],[valor_total]])</f>
        <v>#REF!</v>
      </c>
      <c r="W912" s="160">
        <v>45646</v>
      </c>
      <c r="X912" s="161">
        <v>45652</v>
      </c>
      <c r="Y912" s="143">
        <v>45672</v>
      </c>
      <c r="Z912" s="262">
        <v>45884</v>
      </c>
      <c r="AA912" s="171" t="s">
        <v>3361</v>
      </c>
      <c r="AB912" s="245" t="s">
        <v>1037</v>
      </c>
      <c r="AC912" s="172"/>
      <c r="AD912" s="425">
        <v>202000005905</v>
      </c>
      <c r="AE912" s="147"/>
      <c r="AF912" s="148" t="str">
        <f>TEXT(LEFT(Contrato5[[#This Row],[CONTRATO]],3),"0")</f>
        <v>774</v>
      </c>
      <c r="AG912" s="148" t="str">
        <f>IF(LEN(Contrato5[[#This Row],[Contrato2]])=3,Contrato5[[#This Row],[Contrato2]],TEXT(Contrato5[[#This Row],[Contrato2]],"000"))</f>
        <v>774</v>
      </c>
      <c r="AH912" s="149">
        <f ca="1">IFERROR(_xlfn.DAYS(Contrato5[[#This Row],[Fecha Proyectada liquidación]],TODAY())/30,"")</f>
        <v>8.1999999999999993</v>
      </c>
      <c r="AI912" s="150">
        <f>+Contrato5[[#This Row],[FECHA TERMINACIÓN ]]+120</f>
        <v>46004</v>
      </c>
      <c r="AJ912" s="147"/>
      <c r="AK912" s="152" t="str">
        <f ca="1">IF(Contrato5[[#This Row],[FECHA TERMINACIÓN ]]&lt;TODAY(), "Terminado",IF(ISNUMBER(Contrato5[[#This Row],[Fecha Real de liquiidación ]]),"Liquidado",IF(Contrato5[[#This Row],[FECHA TERMINACIÓN ]]&gt;=TODAY(),"En ejecución","")))</f>
        <v>En ejecución</v>
      </c>
      <c r="AL912" s="153" t="e">
        <f ca="1">SUMIF([2]!COMPROMISOS_2024[[#All],[consecutivo]],Contrato5[[#This Row],[RCP]],[2]!COMPROMISOS_2024[[#All],[Total pagado]])</f>
        <v>#REF!</v>
      </c>
      <c r="AM912" s="154">
        <f ca="1">IFERROR(Contrato5[[#This Row],[Pagos]]/Contrato5[[#This Row],[VALOR CONTRATO]],0)</f>
        <v>0</v>
      </c>
      <c r="AN912" s="198" t="e">
        <f ca="1">+Contrato5[[#This Row],[VALOR CONTRATO]]-Contrato5[[#This Row],[Pagos]]</f>
        <v>#REF!</v>
      </c>
      <c r="AO912" s="147" t="e" cm="1">
        <f t="array" aca="1" ref="AO912" ca="1">_xlfn.XLOOKUP(Contrato5[[#This Row],[DOCUMENTO ]],[2]!PERSONAL_ACTIVO_2024[[#All],[Documento identidad]],[2]!PERSONAL_ACTIVO_2024[[#All],[Mail ]],0,0)</f>
        <v>#NAME?</v>
      </c>
      <c r="AP912" s="147" t="e" cm="1">
        <f t="array" aca="1" ref="AP912" ca="1">_xlfn.XLOOKUP(Contrato5[[#This Row],[DOCUMENTO]],[2]!PERSONAL_ACTIVO_2024[[#All],[Documento identidad]],[2]!PERSONAL_ACTIVO_2024[[#All],[Mail ]],0,0)</f>
        <v>#NAME?</v>
      </c>
      <c r="AQ912" s="439" cm="1">
        <f t="array" aca="1" ref="AQ912" ca="1">IF(ISBLANK(Contrato5[[#This Row],[DEPENDENCIA ]]),0,IFERROR(_xlfn.XLOOKUP(Contrato5[[#This Row],[DEPENDENCIA ]],[2]!PERSONAL_ACTIVO_2024[[#All],[Dependencia]],[2]!PERSONAL_ACTIVO_2024[[#All],[Mail ]],0,0),0))</f>
        <v>0</v>
      </c>
    </row>
    <row r="913" spans="1:43" ht="60" customHeight="1">
      <c r="A913" s="596">
        <v>1274</v>
      </c>
      <c r="B913" s="499">
        <v>775</v>
      </c>
      <c r="C913" s="162" t="s">
        <v>2275</v>
      </c>
      <c r="D913" s="227" t="s">
        <v>510</v>
      </c>
      <c r="E913" s="227" t="s">
        <v>94</v>
      </c>
      <c r="F913" s="227" t="s">
        <v>1894</v>
      </c>
      <c r="G913" s="281" t="s">
        <v>3362</v>
      </c>
      <c r="H913" s="282">
        <v>890983824</v>
      </c>
      <c r="I913" s="273" t="s">
        <v>42</v>
      </c>
      <c r="J913" s="445">
        <v>319921075</v>
      </c>
      <c r="K913" s="131" t="s">
        <v>3363</v>
      </c>
      <c r="L913" s="506" t="s">
        <v>3275</v>
      </c>
      <c r="M913" s="194" t="s">
        <v>3276</v>
      </c>
      <c r="N913" s="177" t="e" cm="1">
        <f t="array" aca="1" ref="N913" ca="1">_xlfn.XLOOKUP(Contrato5[[#This Row],[SUPERVISOR TITULAR]],[2]!PERSONAL_ACTIVO_2024[[#All],[Nombre completo]],[2]!PERSONAL_ACTIVO_2024[[#All],[Documento identidad]],"",0)</f>
        <v>#NAME?</v>
      </c>
      <c r="O913" s="194" t="s">
        <v>514</v>
      </c>
      <c r="P913" s="196" t="e" cm="1">
        <f t="array" aca="1" ref="P913" ca="1">_xlfn.XLOOKUP(Contrato5[[#This Row],[SUPERVISOR SUPLENTE ]],[2]!PERSONAL_ACTIVO_2024[[#All],[Nombre completo]],[2]!PERSONAL_ACTIVO_2024[[#All],[Documento identidad]],"",0)</f>
        <v>#NAME?</v>
      </c>
      <c r="Q913" s="170">
        <v>1119</v>
      </c>
      <c r="R913" s="137" t="e" cm="1">
        <f t="array" aca="1" ref="R913" ca="1">_xlfn.XLOOKUP(Contrato5[[#This Row],[CDP]],[2]!DISPONIBILIDADES_2024[[#All],[consecutivo]],[2]!DISPONIBILIDADES_2024[[#All],[fecha_aprobacion]],"",0)</f>
        <v>#NAME?</v>
      </c>
      <c r="S913" s="138" t="e">
        <f>SUMIF([2]!DISPONIBILIDADES_2024[[#All],[consecutivo]],Contrato5[[#This Row],[CDP]],[2]!DISPONIBILIDADES_2024[[#All],[valor_total_rubro]])</f>
        <v>#REF!</v>
      </c>
      <c r="T913" s="139" t="e" cm="1">
        <f t="array" aca="1" ref="T913" ca="1">_xlfn.XLOOKUP(Contrato5[[#This Row],[CONTRATO]]&amp;Contrato5[[#This Row],[CDP]],[2]!Corr_Contr_CDP[[#All],[CONTRATO-CDP]],[2]!Corr_Contr_CDP[[#All],[CRP]],_xlfn.XLOOKUP(Contrato5[[#This Row],[CDP]],[2]!COMPROMISOS_2024[[#All],[disponibilidad]],[2]!COMPROMISOS_2024[[#All],[consecutivo]],"",0),0)</f>
        <v>#NAME?</v>
      </c>
      <c r="U913" s="140" t="e" cm="1">
        <f t="array" aca="1" ref="U913" ca="1">+_xlfn.XLOOKUP(Contrato5[[#This Row],[RCP]],[2]!COMPROMISOS_2024[[#All],[consecutivo]],[2]!COMPROMISOS_2024[[#All],[fecha_aprobacion]],"",0)</f>
        <v>#NAME?</v>
      </c>
      <c r="V913" s="141" t="e">
        <f ca="1">SUMIF([2]!COMPROMISOS_2024[[#All],[consecutivo]],Contrato5[[#This Row],[RCP]],[2]!COMPROMISOS_2024[[#All],[valor_total]])</f>
        <v>#REF!</v>
      </c>
      <c r="W913" s="160">
        <v>45646</v>
      </c>
      <c r="X913" s="161">
        <v>45650</v>
      </c>
      <c r="Y913" s="143">
        <v>45672</v>
      </c>
      <c r="Z913" s="262">
        <v>45884</v>
      </c>
      <c r="AA913" s="171" t="s">
        <v>3364</v>
      </c>
      <c r="AB913" s="245" t="s">
        <v>618</v>
      </c>
      <c r="AC913" s="172"/>
      <c r="AD913" s="425">
        <v>202000005906</v>
      </c>
      <c r="AE913" s="147"/>
      <c r="AF913" s="148" t="str">
        <f>TEXT(LEFT(Contrato5[[#This Row],[CONTRATO]],3),"0")</f>
        <v>775</v>
      </c>
      <c r="AG913" s="148" t="str">
        <f>IF(LEN(Contrato5[[#This Row],[Contrato2]])=3,Contrato5[[#This Row],[Contrato2]],TEXT(Contrato5[[#This Row],[Contrato2]],"000"))</f>
        <v>775</v>
      </c>
      <c r="AH913" s="149">
        <f ca="1">IFERROR(_xlfn.DAYS(Contrato5[[#This Row],[Fecha Proyectada liquidación]],TODAY())/30,"")</f>
        <v>8.1999999999999993</v>
      </c>
      <c r="AI913" s="150">
        <f>+Contrato5[[#This Row],[FECHA TERMINACIÓN ]]+120</f>
        <v>46004</v>
      </c>
      <c r="AJ913" s="147"/>
      <c r="AK913" s="152" t="str">
        <f ca="1">IF(Contrato5[[#This Row],[FECHA TERMINACIÓN ]]&lt;TODAY(), "Terminado",IF(ISNUMBER(Contrato5[[#This Row],[Fecha Real de liquiidación ]]),"Liquidado",IF(Contrato5[[#This Row],[FECHA TERMINACIÓN ]]&gt;=TODAY(),"En ejecución","")))</f>
        <v>En ejecución</v>
      </c>
      <c r="AL913" s="153" t="e">
        <f ca="1">SUMIF([2]!COMPROMISOS_2024[[#All],[consecutivo]],Contrato5[[#This Row],[RCP]],[2]!COMPROMISOS_2024[[#All],[Total pagado]])</f>
        <v>#REF!</v>
      </c>
      <c r="AM913" s="154">
        <f ca="1">IFERROR(Contrato5[[#This Row],[Pagos]]/Contrato5[[#This Row],[VALOR CONTRATO]],0)</f>
        <v>0</v>
      </c>
      <c r="AN913" s="198" t="e">
        <f ca="1">+Contrato5[[#This Row],[VALOR CONTRATO]]-Contrato5[[#This Row],[Pagos]]</f>
        <v>#REF!</v>
      </c>
      <c r="AO913" s="147" t="e" cm="1">
        <f t="array" aca="1" ref="AO913" ca="1">_xlfn.XLOOKUP(Contrato5[[#This Row],[DOCUMENTO ]],[2]!PERSONAL_ACTIVO_2024[[#All],[Documento identidad]],[2]!PERSONAL_ACTIVO_2024[[#All],[Mail ]],0,0)</f>
        <v>#NAME?</v>
      </c>
      <c r="AP913" s="147" t="e" cm="1">
        <f t="array" aca="1" ref="AP913" ca="1">_xlfn.XLOOKUP(Contrato5[[#This Row],[DOCUMENTO]],[2]!PERSONAL_ACTIVO_2024[[#All],[Documento identidad]],[2]!PERSONAL_ACTIVO_2024[[#All],[Mail ]],0,0)</f>
        <v>#NAME?</v>
      </c>
      <c r="AQ913" s="439" cm="1">
        <f t="array" aca="1" ref="AQ913" ca="1">IF(ISBLANK(Contrato5[[#This Row],[DEPENDENCIA ]]),0,IFERROR(_xlfn.XLOOKUP(Contrato5[[#This Row],[DEPENDENCIA ]],[2]!PERSONAL_ACTIVO_2024[[#All],[Dependencia]],[2]!PERSONAL_ACTIVO_2024[[#All],[Mail ]],0,0),0))</f>
        <v>0</v>
      </c>
    </row>
    <row r="914" spans="1:43" ht="47.25" customHeight="1">
      <c r="A914" s="596">
        <v>1331</v>
      </c>
      <c r="B914" s="499">
        <v>776</v>
      </c>
      <c r="C914" s="162" t="s">
        <v>2263</v>
      </c>
      <c r="D914" s="227" t="s">
        <v>510</v>
      </c>
      <c r="E914" s="227" t="s">
        <v>94</v>
      </c>
      <c r="F914" s="227" t="s">
        <v>1894</v>
      </c>
      <c r="G914" s="281" t="s">
        <v>2766</v>
      </c>
      <c r="H914" s="282">
        <v>890981069</v>
      </c>
      <c r="I914" s="273" t="s">
        <v>42</v>
      </c>
      <c r="J914" s="445">
        <v>298491692</v>
      </c>
      <c r="K914" s="131" t="s">
        <v>3365</v>
      </c>
      <c r="L914" s="506" t="s">
        <v>3275</v>
      </c>
      <c r="M914" s="194" t="s">
        <v>3276</v>
      </c>
      <c r="N914" s="177" t="e" cm="1">
        <f t="array" aca="1" ref="N914" ca="1">_xlfn.XLOOKUP(Contrato5[[#This Row],[SUPERVISOR TITULAR]],[2]!PERSONAL_ACTIVO_2024[[#All],[Nombre completo]],[2]!PERSONAL_ACTIVO_2024[[#All],[Documento identidad]],"",0)</f>
        <v>#NAME?</v>
      </c>
      <c r="O914" s="194" t="s">
        <v>514</v>
      </c>
      <c r="P914" s="196" t="e" cm="1">
        <f t="array" aca="1" ref="P914" ca="1">_xlfn.XLOOKUP(Contrato5[[#This Row],[SUPERVISOR SUPLENTE ]],[2]!PERSONAL_ACTIVO_2024[[#All],[Nombre completo]],[2]!PERSONAL_ACTIVO_2024[[#All],[Documento identidad]],"",0)</f>
        <v>#NAME?</v>
      </c>
      <c r="Q914" s="170">
        <v>1221</v>
      </c>
      <c r="R914" s="137" t="e" cm="1">
        <f t="array" aca="1" ref="R914" ca="1">_xlfn.XLOOKUP(Contrato5[[#This Row],[CDP]],[2]!DISPONIBILIDADES_2024[[#All],[consecutivo]],[2]!DISPONIBILIDADES_2024[[#All],[fecha_aprobacion]],"",0)</f>
        <v>#NAME?</v>
      </c>
      <c r="S914" s="138" t="e">
        <f>SUMIF([2]!DISPONIBILIDADES_2024[[#All],[consecutivo]],Contrato5[[#This Row],[CDP]],[2]!DISPONIBILIDADES_2024[[#All],[valor_total_rubro]])</f>
        <v>#REF!</v>
      </c>
      <c r="T914" s="139" t="e" cm="1">
        <f t="array" aca="1" ref="T914" ca="1">_xlfn.XLOOKUP(Contrato5[[#This Row],[CONTRATO]]&amp;Contrato5[[#This Row],[CDP]],[2]!Corr_Contr_CDP[[#All],[CONTRATO-CDP]],[2]!Corr_Contr_CDP[[#All],[CRP]],_xlfn.XLOOKUP(Contrato5[[#This Row],[CDP]],[2]!COMPROMISOS_2024[[#All],[disponibilidad]],[2]!COMPROMISOS_2024[[#All],[consecutivo]],"",0),0)</f>
        <v>#NAME?</v>
      </c>
      <c r="U914" s="140" t="e" cm="1">
        <f t="array" aca="1" ref="U914" ca="1">+_xlfn.XLOOKUP(Contrato5[[#This Row],[RCP]],[2]!COMPROMISOS_2024[[#All],[consecutivo]],[2]!COMPROMISOS_2024[[#All],[fecha_aprobacion]],"",0)</f>
        <v>#NAME?</v>
      </c>
      <c r="V914" s="141" t="e">
        <f ca="1">SUMIF([2]!COMPROMISOS_2024[[#All],[consecutivo]],Contrato5[[#This Row],[RCP]],[2]!COMPROMISOS_2024[[#All],[valor_total]])</f>
        <v>#REF!</v>
      </c>
      <c r="W914" s="160">
        <v>45646</v>
      </c>
      <c r="X914" s="161">
        <v>45652</v>
      </c>
      <c r="Y914" s="143">
        <v>45677</v>
      </c>
      <c r="Z914" s="262">
        <v>45858</v>
      </c>
      <c r="AA914" s="171" t="s">
        <v>3366</v>
      </c>
      <c r="AB914" s="245" t="s">
        <v>640</v>
      </c>
      <c r="AC914" s="172"/>
      <c r="AD914" s="425">
        <v>202000005907</v>
      </c>
      <c r="AE914" s="147"/>
      <c r="AF914" s="148" t="str">
        <f>TEXT(LEFT(Contrato5[[#This Row],[CONTRATO]],3),"0")</f>
        <v>776</v>
      </c>
      <c r="AG914" s="148" t="str">
        <f>IF(LEN(Contrato5[[#This Row],[Contrato2]])=3,Contrato5[[#This Row],[Contrato2]],TEXT(Contrato5[[#This Row],[Contrato2]],"000"))</f>
        <v>776</v>
      </c>
      <c r="AH914" s="149">
        <f ca="1">IFERROR(_xlfn.DAYS(Contrato5[[#This Row],[Fecha Proyectada liquidación]],TODAY())/30,"")</f>
        <v>7.333333333333333</v>
      </c>
      <c r="AI914" s="150">
        <f>+Contrato5[[#This Row],[FECHA TERMINACIÓN ]]+120</f>
        <v>45978</v>
      </c>
      <c r="AJ914" s="147"/>
      <c r="AK914" s="152" t="str">
        <f ca="1">IF(Contrato5[[#This Row],[FECHA TERMINACIÓN ]]&lt;TODAY(), "Terminado",IF(ISNUMBER(Contrato5[[#This Row],[Fecha Real de liquiidación ]]),"Liquidado",IF(Contrato5[[#This Row],[FECHA TERMINACIÓN ]]&gt;=TODAY(),"En ejecución","")))</f>
        <v>En ejecución</v>
      </c>
      <c r="AL914" s="153" t="e">
        <f ca="1">SUMIF([2]!COMPROMISOS_2024[[#All],[consecutivo]],Contrato5[[#This Row],[RCP]],[2]!COMPROMISOS_2024[[#All],[Total pagado]])</f>
        <v>#REF!</v>
      </c>
      <c r="AM914" s="154">
        <f ca="1">IFERROR(Contrato5[[#This Row],[Pagos]]/Contrato5[[#This Row],[VALOR CONTRATO]],0)</f>
        <v>0</v>
      </c>
      <c r="AN914" s="198" t="e">
        <f ca="1">+Contrato5[[#This Row],[VALOR CONTRATO]]-Contrato5[[#This Row],[Pagos]]</f>
        <v>#REF!</v>
      </c>
      <c r="AO914" s="147" t="e" cm="1">
        <f t="array" aca="1" ref="AO914" ca="1">_xlfn.XLOOKUP(Contrato5[[#This Row],[DOCUMENTO ]],[2]!PERSONAL_ACTIVO_2024[[#All],[Documento identidad]],[2]!PERSONAL_ACTIVO_2024[[#All],[Mail ]],0,0)</f>
        <v>#NAME?</v>
      </c>
      <c r="AP914" s="147" t="e" cm="1">
        <f t="array" aca="1" ref="AP914" ca="1">_xlfn.XLOOKUP(Contrato5[[#This Row],[DOCUMENTO]],[2]!PERSONAL_ACTIVO_2024[[#All],[Documento identidad]],[2]!PERSONAL_ACTIVO_2024[[#All],[Mail ]],0,0)</f>
        <v>#NAME?</v>
      </c>
      <c r="AQ914" s="439" cm="1">
        <f t="array" aca="1" ref="AQ914" ca="1">IF(ISBLANK(Contrato5[[#This Row],[DEPENDENCIA ]]),0,IFERROR(_xlfn.XLOOKUP(Contrato5[[#This Row],[DEPENDENCIA ]],[2]!PERSONAL_ACTIVO_2024[[#All],[Dependencia]],[2]!PERSONAL_ACTIVO_2024[[#All],[Mail ]],0,0),0))</f>
        <v>0</v>
      </c>
    </row>
    <row r="915" spans="1:43" ht="60" customHeight="1">
      <c r="A915" s="596">
        <v>1328</v>
      </c>
      <c r="B915" s="499">
        <v>777</v>
      </c>
      <c r="C915" s="162" t="s">
        <v>2290</v>
      </c>
      <c r="D915" s="227" t="s">
        <v>510</v>
      </c>
      <c r="E915" s="227" t="s">
        <v>94</v>
      </c>
      <c r="F915" s="227" t="s">
        <v>1894</v>
      </c>
      <c r="G915" s="281" t="s">
        <v>3367</v>
      </c>
      <c r="H915" s="282">
        <v>890907317</v>
      </c>
      <c r="I915" s="273" t="s">
        <v>42</v>
      </c>
      <c r="J915" s="445">
        <v>557005173</v>
      </c>
      <c r="K915" s="131" t="s">
        <v>3368</v>
      </c>
      <c r="L915" s="438" t="s">
        <v>2599</v>
      </c>
      <c r="M915" s="194" t="s">
        <v>3276</v>
      </c>
      <c r="N915" s="177" t="e" cm="1">
        <f t="array" aca="1" ref="N915" ca="1">_xlfn.XLOOKUP(Contrato5[[#This Row],[SUPERVISOR TITULAR]],[2]!PERSONAL_ACTIVO_2024[[#All],[Nombre completo]],[2]!PERSONAL_ACTIVO_2024[[#All],[Documento identidad]],"",0)</f>
        <v>#NAME?</v>
      </c>
      <c r="O915" s="194" t="s">
        <v>514</v>
      </c>
      <c r="P915" s="196" t="e" cm="1">
        <f t="array" aca="1" ref="P915" ca="1">_xlfn.XLOOKUP(Contrato5[[#This Row],[SUPERVISOR SUPLENTE ]],[2]!PERSONAL_ACTIVO_2024[[#All],[Nombre completo]],[2]!PERSONAL_ACTIVO_2024[[#All],[Documento identidad]],"",0)</f>
        <v>#NAME?</v>
      </c>
      <c r="Q915" s="170">
        <v>1218</v>
      </c>
      <c r="R915" s="137" t="e" cm="1">
        <f t="array" aca="1" ref="R915" ca="1">_xlfn.XLOOKUP(Contrato5[[#This Row],[CDP]],[2]!DISPONIBILIDADES_2024[[#All],[consecutivo]],[2]!DISPONIBILIDADES_2024[[#All],[fecha_aprobacion]],"",0)</f>
        <v>#NAME?</v>
      </c>
      <c r="S915" s="138" t="e">
        <f>SUMIF([2]!DISPONIBILIDADES_2024[[#All],[consecutivo]],Contrato5[[#This Row],[CDP]],[2]!DISPONIBILIDADES_2024[[#All],[valor_total_rubro]])</f>
        <v>#REF!</v>
      </c>
      <c r="T915" s="139" t="e" cm="1">
        <f t="array" aca="1" ref="T915" ca="1">_xlfn.XLOOKUP(Contrato5[[#This Row],[CONTRATO]]&amp;Contrato5[[#This Row],[CDP]],[2]!Corr_Contr_CDP[[#All],[CONTRATO-CDP]],[2]!Corr_Contr_CDP[[#All],[CRP]],_xlfn.XLOOKUP(Contrato5[[#This Row],[CDP]],[2]!COMPROMISOS_2024[[#All],[disponibilidad]],[2]!COMPROMISOS_2024[[#All],[consecutivo]],"",0),0)</f>
        <v>#NAME?</v>
      </c>
      <c r="U915" s="140" t="e" cm="1">
        <f t="array" aca="1" ref="U915" ca="1">+_xlfn.XLOOKUP(Contrato5[[#This Row],[RCP]],[2]!COMPROMISOS_2024[[#All],[consecutivo]],[2]!COMPROMISOS_2024[[#All],[fecha_aprobacion]],"",0)</f>
        <v>#NAME?</v>
      </c>
      <c r="V915" s="141" t="e">
        <f ca="1">SUMIF([2]!COMPROMISOS_2024[[#All],[consecutivo]],Contrato5[[#This Row],[RCP]],[2]!COMPROMISOS_2024[[#All],[valor_total]])</f>
        <v>#REF!</v>
      </c>
      <c r="W915" s="160">
        <v>45646</v>
      </c>
      <c r="X915" s="161">
        <v>45652</v>
      </c>
      <c r="Y915" s="143">
        <v>45672</v>
      </c>
      <c r="Z915" s="262">
        <v>45915</v>
      </c>
      <c r="AA915" s="171" t="s">
        <v>3369</v>
      </c>
      <c r="AB915" s="245" t="s">
        <v>1037</v>
      </c>
      <c r="AC915" s="172"/>
      <c r="AD915" s="425">
        <v>202000005908</v>
      </c>
      <c r="AE915" s="147"/>
      <c r="AF915" s="148" t="str">
        <f>TEXT(LEFT(Contrato5[[#This Row],[CONTRATO]],3),"0")</f>
        <v>777</v>
      </c>
      <c r="AG915" s="148" t="str">
        <f>IF(LEN(Contrato5[[#This Row],[Contrato2]])=3,Contrato5[[#This Row],[Contrato2]],TEXT(Contrato5[[#This Row],[Contrato2]],"000"))</f>
        <v>777</v>
      </c>
      <c r="AH915" s="149">
        <f ca="1">IFERROR(_xlfn.DAYS(Contrato5[[#This Row],[Fecha Proyectada liquidación]],TODAY())/30,"")</f>
        <v>9.2333333333333325</v>
      </c>
      <c r="AI915" s="150">
        <f>+Contrato5[[#This Row],[FECHA TERMINACIÓN ]]+120</f>
        <v>46035</v>
      </c>
      <c r="AJ915" s="147"/>
      <c r="AK915" s="152" t="str">
        <f ca="1">IF(Contrato5[[#This Row],[FECHA TERMINACIÓN ]]&lt;TODAY(), "Terminado",IF(ISNUMBER(Contrato5[[#This Row],[Fecha Real de liquiidación ]]),"Liquidado",IF(Contrato5[[#This Row],[FECHA TERMINACIÓN ]]&gt;=TODAY(),"En ejecución","")))</f>
        <v>En ejecución</v>
      </c>
      <c r="AL915" s="153" t="e">
        <f ca="1">SUMIF([2]!COMPROMISOS_2024[[#All],[consecutivo]],Contrato5[[#This Row],[RCP]],[2]!COMPROMISOS_2024[[#All],[Total pagado]])</f>
        <v>#REF!</v>
      </c>
      <c r="AM915" s="154">
        <f ca="1">IFERROR(Contrato5[[#This Row],[Pagos]]/Contrato5[[#This Row],[VALOR CONTRATO]],0)</f>
        <v>0</v>
      </c>
      <c r="AN915" s="198" t="e">
        <f ca="1">+Contrato5[[#This Row],[VALOR CONTRATO]]-Contrato5[[#This Row],[Pagos]]</f>
        <v>#REF!</v>
      </c>
      <c r="AO915" s="147" t="e" cm="1">
        <f t="array" aca="1" ref="AO915" ca="1">_xlfn.XLOOKUP(Contrato5[[#This Row],[DOCUMENTO ]],[2]!PERSONAL_ACTIVO_2024[[#All],[Documento identidad]],[2]!PERSONAL_ACTIVO_2024[[#All],[Mail ]],0,0)</f>
        <v>#NAME?</v>
      </c>
      <c r="AP915" s="147" t="e" cm="1">
        <f t="array" aca="1" ref="AP915" ca="1">_xlfn.XLOOKUP(Contrato5[[#This Row],[DOCUMENTO]],[2]!PERSONAL_ACTIVO_2024[[#All],[Documento identidad]],[2]!PERSONAL_ACTIVO_2024[[#All],[Mail ]],0,0)</f>
        <v>#NAME?</v>
      </c>
      <c r="AQ915" s="439" cm="1">
        <f t="array" aca="1" ref="AQ915" ca="1">IF(ISBLANK(Contrato5[[#This Row],[DEPENDENCIA ]]),0,IFERROR(_xlfn.XLOOKUP(Contrato5[[#This Row],[DEPENDENCIA ]],[2]!PERSONAL_ACTIVO_2024[[#All],[Dependencia]],[2]!PERSONAL_ACTIVO_2024[[#All],[Mail ]],0,0),0))</f>
        <v>0</v>
      </c>
    </row>
    <row r="916" spans="1:43" ht="47.25" customHeight="1">
      <c r="A916" s="596">
        <v>1326</v>
      </c>
      <c r="B916" s="499">
        <v>778</v>
      </c>
      <c r="C916" s="162" t="s">
        <v>2288</v>
      </c>
      <c r="D916" s="227" t="s">
        <v>510</v>
      </c>
      <c r="E916" s="227" t="s">
        <v>94</v>
      </c>
      <c r="F916" s="227" t="s">
        <v>1894</v>
      </c>
      <c r="G916" s="281" t="s">
        <v>3370</v>
      </c>
      <c r="H916" s="282">
        <v>890981786</v>
      </c>
      <c r="I916" s="273" t="s">
        <v>42</v>
      </c>
      <c r="J916" s="445">
        <v>396739039</v>
      </c>
      <c r="K916" s="131" t="s">
        <v>3371</v>
      </c>
      <c r="L916" s="506" t="s">
        <v>3275</v>
      </c>
      <c r="M916" s="194" t="s">
        <v>3276</v>
      </c>
      <c r="N916" s="177" t="e" cm="1">
        <f t="array" aca="1" ref="N916" ca="1">_xlfn.XLOOKUP(Contrato5[[#This Row],[SUPERVISOR TITULAR]],[2]!PERSONAL_ACTIVO_2024[[#All],[Nombre completo]],[2]!PERSONAL_ACTIVO_2024[[#All],[Documento identidad]],"",0)</f>
        <v>#NAME?</v>
      </c>
      <c r="O916" s="194" t="s">
        <v>514</v>
      </c>
      <c r="P916" s="196" t="e" cm="1">
        <f t="array" aca="1" ref="P916" ca="1">_xlfn.XLOOKUP(Contrato5[[#This Row],[SUPERVISOR SUPLENTE ]],[2]!PERSONAL_ACTIVO_2024[[#All],[Nombre completo]],[2]!PERSONAL_ACTIVO_2024[[#All],[Documento identidad]],"",0)</f>
        <v>#NAME?</v>
      </c>
      <c r="Q916" s="170">
        <v>1216</v>
      </c>
      <c r="R916" s="137" t="e" cm="1">
        <f t="array" aca="1" ref="R916" ca="1">_xlfn.XLOOKUP(Contrato5[[#This Row],[CDP]],[2]!DISPONIBILIDADES_2024[[#All],[consecutivo]],[2]!DISPONIBILIDADES_2024[[#All],[fecha_aprobacion]],"",0)</f>
        <v>#NAME?</v>
      </c>
      <c r="S916" s="138" t="e">
        <f>SUMIF([2]!DISPONIBILIDADES_2024[[#All],[consecutivo]],Contrato5[[#This Row],[CDP]],[2]!DISPONIBILIDADES_2024[[#All],[valor_total_rubro]])</f>
        <v>#REF!</v>
      </c>
      <c r="T916" s="139" t="e" cm="1">
        <f t="array" aca="1" ref="T916" ca="1">_xlfn.XLOOKUP(Contrato5[[#This Row],[CONTRATO]]&amp;Contrato5[[#This Row],[CDP]],[2]!Corr_Contr_CDP[[#All],[CONTRATO-CDP]],[2]!Corr_Contr_CDP[[#All],[CRP]],_xlfn.XLOOKUP(Contrato5[[#This Row],[CDP]],[2]!COMPROMISOS_2024[[#All],[disponibilidad]],[2]!COMPROMISOS_2024[[#All],[consecutivo]],"",0),0)</f>
        <v>#NAME?</v>
      </c>
      <c r="U916" s="140" t="e" cm="1">
        <f t="array" aca="1" ref="U916" ca="1">+_xlfn.XLOOKUP(Contrato5[[#This Row],[RCP]],[2]!COMPROMISOS_2024[[#All],[consecutivo]],[2]!COMPROMISOS_2024[[#All],[fecha_aprobacion]],"",0)</f>
        <v>#NAME?</v>
      </c>
      <c r="V916" s="141" t="e">
        <f ca="1">SUMIF([2]!COMPROMISOS_2024[[#All],[consecutivo]],Contrato5[[#This Row],[RCP]],[2]!COMPROMISOS_2024[[#All],[valor_total]])</f>
        <v>#REF!</v>
      </c>
      <c r="W916" s="160">
        <v>45646</v>
      </c>
      <c r="X916" s="161">
        <v>45652</v>
      </c>
      <c r="Y916" s="143">
        <v>45672</v>
      </c>
      <c r="Z916" s="262">
        <v>45853</v>
      </c>
      <c r="AA916" s="171" t="s">
        <v>3372</v>
      </c>
      <c r="AB916" s="245" t="s">
        <v>640</v>
      </c>
      <c r="AC916" s="172"/>
      <c r="AD916" s="425">
        <v>202000005909</v>
      </c>
      <c r="AE916" s="147"/>
      <c r="AF916" s="148" t="str">
        <f>TEXT(LEFT(Contrato5[[#This Row],[CONTRATO]],3),"0")</f>
        <v>778</v>
      </c>
      <c r="AG916" s="148" t="str">
        <f>IF(LEN(Contrato5[[#This Row],[Contrato2]])=3,Contrato5[[#This Row],[Contrato2]],TEXT(Contrato5[[#This Row],[Contrato2]],"000"))</f>
        <v>778</v>
      </c>
      <c r="AH916" s="149">
        <f ca="1">IFERROR(_xlfn.DAYS(Contrato5[[#This Row],[Fecha Proyectada liquidación]],TODAY())/30,"")</f>
        <v>7.166666666666667</v>
      </c>
      <c r="AI916" s="150">
        <f>+Contrato5[[#This Row],[FECHA TERMINACIÓN ]]+120</f>
        <v>45973</v>
      </c>
      <c r="AJ916" s="147"/>
      <c r="AK916" s="152" t="str">
        <f ca="1">IF(Contrato5[[#This Row],[FECHA TERMINACIÓN ]]&lt;TODAY(), "Terminado",IF(ISNUMBER(Contrato5[[#This Row],[Fecha Real de liquiidación ]]),"Liquidado",IF(Contrato5[[#This Row],[FECHA TERMINACIÓN ]]&gt;=TODAY(),"En ejecución","")))</f>
        <v>En ejecución</v>
      </c>
      <c r="AL916" s="153" t="e">
        <f ca="1">SUMIF([2]!COMPROMISOS_2024[[#All],[consecutivo]],Contrato5[[#This Row],[RCP]],[2]!COMPROMISOS_2024[[#All],[Total pagado]])</f>
        <v>#REF!</v>
      </c>
      <c r="AM916" s="154">
        <f ca="1">IFERROR(Contrato5[[#This Row],[Pagos]]/Contrato5[[#This Row],[VALOR CONTRATO]],0)</f>
        <v>0</v>
      </c>
      <c r="AN916" s="198" t="e">
        <f ca="1">+Contrato5[[#This Row],[VALOR CONTRATO]]-Contrato5[[#This Row],[Pagos]]</f>
        <v>#REF!</v>
      </c>
      <c r="AO916" s="147" t="e" cm="1">
        <f t="array" aca="1" ref="AO916" ca="1">_xlfn.XLOOKUP(Contrato5[[#This Row],[DOCUMENTO ]],[2]!PERSONAL_ACTIVO_2024[[#All],[Documento identidad]],[2]!PERSONAL_ACTIVO_2024[[#All],[Mail ]],0,0)</f>
        <v>#NAME?</v>
      </c>
      <c r="AP916" s="147" t="e" cm="1">
        <f t="array" aca="1" ref="AP916" ca="1">_xlfn.XLOOKUP(Contrato5[[#This Row],[DOCUMENTO]],[2]!PERSONAL_ACTIVO_2024[[#All],[Documento identidad]],[2]!PERSONAL_ACTIVO_2024[[#All],[Mail ]],0,0)</f>
        <v>#NAME?</v>
      </c>
      <c r="AQ916" s="439" cm="1">
        <f t="array" aca="1" ref="AQ916" ca="1">IF(ISBLANK(Contrato5[[#This Row],[DEPENDENCIA ]]),0,IFERROR(_xlfn.XLOOKUP(Contrato5[[#This Row],[DEPENDENCIA ]],[2]!PERSONAL_ACTIVO_2024[[#All],[Dependencia]],[2]!PERSONAL_ACTIVO_2024[[#All],[Mail ]],0,0),0))</f>
        <v>0</v>
      </c>
    </row>
    <row r="917" spans="1:43" ht="45" customHeight="1">
      <c r="A917" s="147">
        <v>1334</v>
      </c>
      <c r="B917" s="499">
        <v>779</v>
      </c>
      <c r="C917" s="162" t="s">
        <v>1294</v>
      </c>
      <c r="D917" s="227" t="s">
        <v>493</v>
      </c>
      <c r="E917" s="227" t="s">
        <v>94</v>
      </c>
      <c r="F917" s="227" t="s">
        <v>494</v>
      </c>
      <c r="G917" s="281" t="s">
        <v>3373</v>
      </c>
      <c r="H917" s="282">
        <v>811043476</v>
      </c>
      <c r="I917" s="273" t="s">
        <v>42</v>
      </c>
      <c r="J917" s="445">
        <v>13719000</v>
      </c>
      <c r="K917" s="273" t="s">
        <v>42</v>
      </c>
      <c r="L917" s="438" t="s">
        <v>2477</v>
      </c>
      <c r="M917" s="194" t="s">
        <v>538</v>
      </c>
      <c r="N917" s="177" t="e" cm="1">
        <f t="array" aca="1" ref="N917" ca="1">_xlfn.XLOOKUP(Contrato5[[#This Row],[SUPERVISOR TITULAR]],[2]!PERSONAL_ACTIVO_2024[[#All],[Nombre completo]],[2]!PERSONAL_ACTIVO_2024[[#All],[Documento identidad]],"",0)</f>
        <v>#NAME?</v>
      </c>
      <c r="O917" s="194" t="s">
        <v>539</v>
      </c>
      <c r="P917" s="196" t="e" cm="1">
        <f t="array" aca="1" ref="P917" ca="1">_xlfn.XLOOKUP(Contrato5[[#This Row],[SUPERVISOR SUPLENTE ]],[2]!PERSONAL_ACTIVO_2024[[#All],[Nombre completo]],[2]!PERSONAL_ACTIVO_2024[[#All],[Documento identidad]],"",0)</f>
        <v>#NAME?</v>
      </c>
      <c r="Q917" s="170">
        <v>1227</v>
      </c>
      <c r="R917" s="137" t="e" cm="1">
        <f t="array" aca="1" ref="R917" ca="1">_xlfn.XLOOKUP(Contrato5[[#This Row],[CDP]],[2]!DISPONIBILIDADES_2024[[#All],[consecutivo]],[2]!DISPONIBILIDADES_2024[[#All],[fecha_aprobacion]],"",0)</f>
        <v>#NAME?</v>
      </c>
      <c r="S917" s="138" t="e">
        <f>SUMIF([2]!DISPONIBILIDADES_2024[[#All],[consecutivo]],Contrato5[[#This Row],[CDP]],[2]!DISPONIBILIDADES_2024[[#All],[valor_total_rubro]])</f>
        <v>#REF!</v>
      </c>
      <c r="T917" s="139" t="e" cm="1">
        <f t="array" aca="1" ref="T917" ca="1">_xlfn.XLOOKUP(Contrato5[[#This Row],[CONTRATO]]&amp;Contrato5[[#This Row],[CDP]],[2]!Corr_Contr_CDP[[#All],[CONTRATO-CDP]],[2]!Corr_Contr_CDP[[#All],[CRP]],_xlfn.XLOOKUP(Contrato5[[#This Row],[CDP]],[2]!COMPROMISOS_2024[[#All],[disponibilidad]],[2]!COMPROMISOS_2024[[#All],[consecutivo]],"",0),0)</f>
        <v>#NAME?</v>
      </c>
      <c r="U917" s="140" t="e" cm="1">
        <f t="array" aca="1" ref="U917" ca="1">+_xlfn.XLOOKUP(Contrato5[[#This Row],[RCP]],[2]!COMPROMISOS_2024[[#All],[consecutivo]],[2]!COMPROMISOS_2024[[#All],[fecha_aprobacion]],"",0)</f>
        <v>#NAME?</v>
      </c>
      <c r="V917" s="141" t="e">
        <f ca="1">SUMIF([2]!COMPROMISOS_2024[[#All],[consecutivo]],Contrato5[[#This Row],[RCP]],[2]!COMPROMISOS_2024[[#All],[valor_total]])</f>
        <v>#REF!</v>
      </c>
      <c r="W917" s="160">
        <v>45649</v>
      </c>
      <c r="X917" s="160" t="s">
        <v>1045</v>
      </c>
      <c r="Y917" s="143">
        <v>45649</v>
      </c>
      <c r="Z917" s="262">
        <v>45653</v>
      </c>
      <c r="AA917" s="183" t="s">
        <v>3374</v>
      </c>
      <c r="AB917" s="160" t="s">
        <v>3375</v>
      </c>
      <c r="AC917" s="172"/>
      <c r="AD917" s="425">
        <v>202000005802</v>
      </c>
      <c r="AE917" s="147" t="s">
        <v>523</v>
      </c>
      <c r="AF917" s="148" t="str">
        <f>TEXT(LEFT(Contrato5[[#This Row],[CONTRATO]],3),"0")</f>
        <v>779</v>
      </c>
      <c r="AG917" s="148" t="str">
        <f>IF(LEN(Contrato5[[#This Row],[Contrato2]])=3,Contrato5[[#This Row],[Contrato2]],TEXT(Contrato5[[#This Row],[Contrato2]],"000"))</f>
        <v>779</v>
      </c>
      <c r="AH917" s="149">
        <f ca="1">IFERROR(_xlfn.DAYS(Contrato5[[#This Row],[Fecha Proyectada liquidación]],TODAY())/30,"")</f>
        <v>0.5</v>
      </c>
      <c r="AI917" s="150">
        <f>+Contrato5[[#This Row],[FECHA TERMINACIÓN ]]+120</f>
        <v>45773</v>
      </c>
      <c r="AJ917" s="147"/>
      <c r="AK917" s="152" t="str">
        <f ca="1">IF(Contrato5[[#This Row],[FECHA TERMINACIÓN ]]&lt;TODAY(), "Terminado",IF(ISNUMBER(Contrato5[[#This Row],[Fecha Real de liquiidación ]]),"Liquidado",IF(Contrato5[[#This Row],[FECHA TERMINACIÓN ]]&gt;=TODAY(),"En ejecución","")))</f>
        <v>Terminado</v>
      </c>
      <c r="AL917" s="153" t="e">
        <f ca="1">SUMIF([2]!COMPROMISOS_2024[[#All],[consecutivo]],Contrato5[[#This Row],[RCP]],[2]!COMPROMISOS_2024[[#All],[Total pagado]])</f>
        <v>#REF!</v>
      </c>
      <c r="AM917" s="154">
        <f ca="1">IFERROR(Contrato5[[#This Row],[Pagos]]/Contrato5[[#This Row],[VALOR CONTRATO]],0)</f>
        <v>0</v>
      </c>
      <c r="AN917" s="198" t="e">
        <f ca="1">+Contrato5[[#This Row],[VALOR CONTRATO]]-Contrato5[[#This Row],[Pagos]]</f>
        <v>#REF!</v>
      </c>
      <c r="AO917" s="147" t="e" cm="1">
        <f t="array" aca="1" ref="AO917" ca="1">_xlfn.XLOOKUP(Contrato5[[#This Row],[DOCUMENTO ]],[2]!PERSONAL_ACTIVO_2024[[#All],[Documento identidad]],[2]!PERSONAL_ACTIVO_2024[[#All],[Mail ]],0,0)</f>
        <v>#NAME?</v>
      </c>
      <c r="AP917" s="147" t="e" cm="1">
        <f t="array" aca="1" ref="AP917" ca="1">_xlfn.XLOOKUP(Contrato5[[#This Row],[DOCUMENTO]],[2]!PERSONAL_ACTIVO_2024[[#All],[Documento identidad]],[2]!PERSONAL_ACTIVO_2024[[#All],[Mail ]],0,0)</f>
        <v>#NAME?</v>
      </c>
      <c r="AQ917" s="439" cm="1">
        <f t="array" aca="1" ref="AQ917" ca="1">IF(ISBLANK(Contrato5[[#This Row],[DEPENDENCIA ]]),0,IFERROR(_xlfn.XLOOKUP(Contrato5[[#This Row],[DEPENDENCIA ]],[2]!PERSONAL_ACTIVO_2024[[#All],[Dependencia]],[2]!PERSONAL_ACTIVO_2024[[#All],[Mail ]],0,0),0))</f>
        <v>0</v>
      </c>
    </row>
    <row r="918" spans="1:43" ht="34.5" customHeight="1">
      <c r="A918" s="147" t="s">
        <v>886</v>
      </c>
      <c r="B918" s="499">
        <v>780</v>
      </c>
      <c r="C918" s="162" t="s">
        <v>887</v>
      </c>
      <c r="D918" s="128" t="s">
        <v>42</v>
      </c>
      <c r="E918" s="128" t="s">
        <v>42</v>
      </c>
      <c r="F918" s="227" t="s">
        <v>161</v>
      </c>
      <c r="G918" s="290" t="s">
        <v>887</v>
      </c>
      <c r="H918" s="447">
        <v>0</v>
      </c>
      <c r="I918" s="455">
        <v>0</v>
      </c>
      <c r="J918" s="284">
        <v>0</v>
      </c>
      <c r="K918" s="284">
        <v>0</v>
      </c>
      <c r="L918" s="438" t="s">
        <v>2646</v>
      </c>
      <c r="M918" s="194"/>
      <c r="N918" s="177" t="e" cm="1">
        <f t="array" aca="1" ref="N918" ca="1">_xlfn.XLOOKUP(Contrato5[[#This Row],[SUPERVISOR TITULAR]],[2]!PERSONAL_ACTIVO_2024[[#All],[Nombre completo]],[2]!PERSONAL_ACTIVO_2024[[#All],[Documento identidad]],"",0)</f>
        <v>#NAME?</v>
      </c>
      <c r="O918" s="194"/>
      <c r="P918" s="196" t="e" cm="1">
        <f t="array" aca="1" ref="P918" ca="1">_xlfn.XLOOKUP(Contrato5[[#This Row],[SUPERVISOR SUPLENTE ]],[2]!PERSONAL_ACTIVO_2024[[#All],[Nombre completo]],[2]!PERSONAL_ACTIVO_2024[[#All],[Documento identidad]],"",0)</f>
        <v>#NAME?</v>
      </c>
      <c r="Q918" s="191">
        <v>0</v>
      </c>
      <c r="R918" s="137" t="e" cm="1">
        <f t="array" aca="1" ref="R918" ca="1">_xlfn.XLOOKUP(Contrato5[[#This Row],[CDP]],[2]!DISPONIBILIDADES_2024[[#All],[consecutivo]],[2]!DISPONIBILIDADES_2024[[#All],[fecha_aprobacion]],"",0)</f>
        <v>#NAME?</v>
      </c>
      <c r="S918" s="138" t="e">
        <f>SUMIF([2]!DISPONIBILIDADES_2024[[#All],[consecutivo]],Contrato5[[#This Row],[CDP]],[2]!DISPONIBILIDADES_2024[[#All],[valor_total_rubro]])</f>
        <v>#REF!</v>
      </c>
      <c r="T918" s="139" t="e" cm="1">
        <f t="array" aca="1" ref="T918" ca="1">_xlfn.XLOOKUP(Contrato5[[#This Row],[CONTRATO]]&amp;Contrato5[[#This Row],[CDP]],[2]!Corr_Contr_CDP[[#All],[CONTRATO-CDP]],[2]!Corr_Contr_CDP[[#All],[CRP]],_xlfn.XLOOKUP(Contrato5[[#This Row],[CDP]],[2]!COMPROMISOS_2024[[#All],[disponibilidad]],[2]!COMPROMISOS_2024[[#All],[consecutivo]],"",0),0)</f>
        <v>#NAME?</v>
      </c>
      <c r="U918" s="140" t="e" cm="1">
        <f t="array" aca="1" ref="U918" ca="1">+_xlfn.XLOOKUP(Contrato5[[#This Row],[RCP]],[2]!COMPROMISOS_2024[[#All],[consecutivo]],[2]!COMPROMISOS_2024[[#All],[fecha_aprobacion]],"",0)</f>
        <v>#NAME?</v>
      </c>
      <c r="V918" s="141" t="e">
        <f ca="1">SUMIF([2]!COMPROMISOS_2024[[#All],[consecutivo]],Contrato5[[#This Row],[RCP]],[2]!COMPROMISOS_2024[[#All],[valor_total]])</f>
        <v>#REF!</v>
      </c>
      <c r="W918" s="160"/>
      <c r="X918" s="161"/>
      <c r="Y918" s="143" t="e">
        <f ca="1">+LEFT(_xlfn.XLOOKUP(Contrato5[[#This Row],[CONTRATO3DIG]],[2]SECOP_II!AE:AE,[2]SECOP_II!F:F,"",0),10)</f>
        <v>#NAME?</v>
      </c>
      <c r="Z918" s="262"/>
      <c r="AA918" s="215"/>
      <c r="AB918" s="191">
        <v>0</v>
      </c>
      <c r="AC918" s="172"/>
      <c r="AD918" s="288"/>
      <c r="AE918" s="147"/>
      <c r="AF918" s="148" t="str">
        <f>TEXT(LEFT(Contrato5[[#This Row],[CONTRATO]],3),"0")</f>
        <v>780</v>
      </c>
      <c r="AG918" s="148" t="str">
        <f>IF(LEN(Contrato5[[#This Row],[Contrato2]])=3,Contrato5[[#This Row],[Contrato2]],TEXT(Contrato5[[#This Row],[Contrato2]],"000"))</f>
        <v>780</v>
      </c>
      <c r="AH918" s="149">
        <f ca="1">IFERROR(_xlfn.DAYS(Contrato5[[#This Row],[Fecha Proyectada liquidación]],TODAY())/30,"")</f>
        <v>-1521.2666666666667</v>
      </c>
      <c r="AI918" s="150">
        <f>+Contrato5[[#This Row],[FECHA TERMINACIÓN ]]+120</f>
        <v>120</v>
      </c>
      <c r="AJ918" s="147"/>
      <c r="AK918" s="152" t="str">
        <f ca="1">IF(Contrato5[[#This Row],[FECHA TERMINACIÓN ]]&lt;TODAY(), "Terminado",IF(ISNUMBER(Contrato5[[#This Row],[Fecha Real de liquiidación ]]),"Liquidado",IF(Contrato5[[#This Row],[FECHA TERMINACIÓN ]]&gt;=TODAY(),"En ejecución","")))</f>
        <v>Terminado</v>
      </c>
      <c r="AL918" s="153" t="e">
        <f ca="1">SUMIF([2]!COMPROMISOS_2024[[#All],[consecutivo]],Contrato5[[#This Row],[RCP]],[2]!COMPROMISOS_2024[[#All],[Total pagado]])</f>
        <v>#REF!</v>
      </c>
      <c r="AM918" s="154">
        <f ca="1">IFERROR(Contrato5[[#This Row],[Pagos]]/Contrato5[[#This Row],[VALOR CONTRATO]],0)</f>
        <v>0</v>
      </c>
      <c r="AN918" s="198" t="e">
        <f ca="1">+Contrato5[[#This Row],[VALOR CONTRATO]]-Contrato5[[#This Row],[Pagos]]</f>
        <v>#REF!</v>
      </c>
      <c r="AO918" s="147" t="e" cm="1">
        <f t="array" aca="1" ref="AO918" ca="1">_xlfn.XLOOKUP(Contrato5[[#This Row],[DOCUMENTO ]],[2]!PERSONAL_ACTIVO_2024[[#All],[Documento identidad]],[2]!PERSONAL_ACTIVO_2024[[#All],[Mail ]],0,0)</f>
        <v>#NAME?</v>
      </c>
      <c r="AP918" s="147" t="e" cm="1">
        <f t="array" aca="1" ref="AP918" ca="1">_xlfn.XLOOKUP(Contrato5[[#This Row],[DOCUMENTO]],[2]!PERSONAL_ACTIVO_2024[[#All],[Documento identidad]],[2]!PERSONAL_ACTIVO_2024[[#All],[Mail ]],0,0)</f>
        <v>#NAME?</v>
      </c>
      <c r="AQ918" s="439" cm="1">
        <f t="array" aca="1" ref="AQ918" ca="1">IF(ISBLANK(Contrato5[[#This Row],[DEPENDENCIA ]]),0,IFERROR(_xlfn.XLOOKUP(Contrato5[[#This Row],[DEPENDENCIA ]],[2]!PERSONAL_ACTIVO_2024[[#All],[Dependencia]],[2]!PERSONAL_ACTIVO_2024[[#All],[Mail ]],0,0),0))</f>
        <v>0</v>
      </c>
    </row>
    <row r="919" spans="1:43" ht="34.5" customHeight="1">
      <c r="A919" s="147">
        <v>1295</v>
      </c>
      <c r="B919" s="499">
        <v>781</v>
      </c>
      <c r="C919" s="162" t="s">
        <v>3376</v>
      </c>
      <c r="D919" s="227" t="s">
        <v>556</v>
      </c>
      <c r="E919" s="599" t="s">
        <v>1939</v>
      </c>
      <c r="F919" s="163" t="s">
        <v>3377</v>
      </c>
      <c r="G919" s="281" t="s">
        <v>3378</v>
      </c>
      <c r="H919" s="282">
        <v>901890419</v>
      </c>
      <c r="I919" s="273" t="s">
        <v>42</v>
      </c>
      <c r="J919" s="445">
        <v>9167566</v>
      </c>
      <c r="K919" s="273" t="s">
        <v>42</v>
      </c>
      <c r="L919" s="438" t="s">
        <v>2616</v>
      </c>
      <c r="M919" s="194" t="s">
        <v>2504</v>
      </c>
      <c r="N919" s="177" t="e" cm="1">
        <f t="array" aca="1" ref="N919" ca="1">_xlfn.XLOOKUP(Contrato5[[#This Row],[SUPERVISOR TITULAR]],[2]!PERSONAL_ACTIVO_2024[[#All],[Nombre completo]],[2]!PERSONAL_ACTIVO_2024[[#All],[Documento identidad]],"",0)</f>
        <v>#NAME?</v>
      </c>
      <c r="O919" s="194" t="s">
        <v>560</v>
      </c>
      <c r="P919" s="196" t="e" cm="1">
        <f t="array" aca="1" ref="P919" ca="1">_xlfn.XLOOKUP(Contrato5[[#This Row],[SUPERVISOR SUPLENTE ]],[2]!PERSONAL_ACTIVO_2024[[#All],[Nombre completo]],[2]!PERSONAL_ACTIVO_2024[[#All],[Documento identidad]],"",0)</f>
        <v>#NAME?</v>
      </c>
      <c r="Q919" s="170">
        <v>1165</v>
      </c>
      <c r="R919" s="137" t="e" cm="1">
        <f t="array" aca="1" ref="R919" ca="1">_xlfn.XLOOKUP(Contrato5[[#This Row],[CDP]],[2]!DISPONIBILIDADES_2024[[#All],[consecutivo]],[2]!DISPONIBILIDADES_2024[[#All],[fecha_aprobacion]],"",0)</f>
        <v>#NAME?</v>
      </c>
      <c r="S919" s="138" t="e">
        <f>SUMIF([2]!DISPONIBILIDADES_2024[[#All],[consecutivo]],Contrato5[[#This Row],[CDP]],[2]!DISPONIBILIDADES_2024[[#All],[valor_total_rubro]])</f>
        <v>#REF!</v>
      </c>
      <c r="T919" s="139" t="e" cm="1">
        <f t="array" aca="1" ref="T919" ca="1">_xlfn.XLOOKUP(Contrato5[[#This Row],[CONTRATO]]&amp;Contrato5[[#This Row],[CDP]],[2]!Corr_Contr_CDP[[#All],[CONTRATO-CDP]],[2]!Corr_Contr_CDP[[#All],[CRP]],_xlfn.XLOOKUP(Contrato5[[#This Row],[CDP]],[2]!COMPROMISOS_2024[[#All],[disponibilidad]],[2]!COMPROMISOS_2024[[#All],[consecutivo]],"",0),0)</f>
        <v>#NAME?</v>
      </c>
      <c r="U919" s="140" t="e" cm="1">
        <f t="array" aca="1" ref="U919" ca="1">+_xlfn.XLOOKUP(Contrato5[[#This Row],[RCP]],[2]!COMPROMISOS_2024[[#All],[consecutivo]],[2]!COMPROMISOS_2024[[#All],[fecha_aprobacion]],"",0)</f>
        <v>#NAME?</v>
      </c>
      <c r="V919" s="141" t="e">
        <f ca="1">SUMIF([2]!COMPROMISOS_2024[[#All],[consecutivo]],Contrato5[[#This Row],[RCP]],[2]!COMPROMISOS_2024[[#All],[valor_total]])</f>
        <v>#REF!</v>
      </c>
      <c r="W919" s="160">
        <v>45652</v>
      </c>
      <c r="X919" s="161">
        <v>45656</v>
      </c>
      <c r="Y919" s="143">
        <v>45652</v>
      </c>
      <c r="Z919" s="262">
        <v>45656</v>
      </c>
      <c r="AA919" s="171" t="s">
        <v>3379</v>
      </c>
      <c r="AB919" s="160" t="s">
        <v>3375</v>
      </c>
      <c r="AC919" s="172"/>
      <c r="AD919" s="425">
        <v>202000005806</v>
      </c>
      <c r="AE919" s="147" t="s">
        <v>523</v>
      </c>
      <c r="AF919" s="148" t="str">
        <f>TEXT(LEFT(Contrato5[[#This Row],[CONTRATO]],3),"0")</f>
        <v>781</v>
      </c>
      <c r="AG919" s="148" t="str">
        <f>IF(LEN(Contrato5[[#This Row],[Contrato2]])=3,Contrato5[[#This Row],[Contrato2]],TEXT(Contrato5[[#This Row],[Contrato2]],"000"))</f>
        <v>781</v>
      </c>
      <c r="AH919" s="149">
        <f ca="1">IFERROR(_xlfn.DAYS(Contrato5[[#This Row],[Fecha Proyectada liquidación]],TODAY())/30,"")</f>
        <v>0.6</v>
      </c>
      <c r="AI919" s="150">
        <f>+Contrato5[[#This Row],[FECHA TERMINACIÓN ]]+120</f>
        <v>45776</v>
      </c>
      <c r="AJ919" s="147"/>
      <c r="AK919" s="152" t="str">
        <f ca="1">IF(Contrato5[[#This Row],[FECHA TERMINACIÓN ]]&lt;TODAY(), "Terminado",IF(ISNUMBER(Contrato5[[#This Row],[Fecha Real de liquiidación ]]),"Liquidado",IF(Contrato5[[#This Row],[FECHA TERMINACIÓN ]]&gt;=TODAY(),"En ejecución","")))</f>
        <v>Terminado</v>
      </c>
      <c r="AL919" s="153" t="e">
        <f ca="1">SUMIF([2]!COMPROMISOS_2024[[#All],[consecutivo]],Contrato5[[#This Row],[RCP]],[2]!COMPROMISOS_2024[[#All],[Total pagado]])</f>
        <v>#REF!</v>
      </c>
      <c r="AM919" s="154">
        <f ca="1">IFERROR(Contrato5[[#This Row],[Pagos]]/Contrato5[[#This Row],[VALOR CONTRATO]],0)</f>
        <v>0</v>
      </c>
      <c r="AN919" s="198" t="e">
        <f ca="1">+Contrato5[[#This Row],[VALOR CONTRATO]]-Contrato5[[#This Row],[Pagos]]</f>
        <v>#REF!</v>
      </c>
      <c r="AO919" s="147" t="e" cm="1">
        <f t="array" aca="1" ref="AO919" ca="1">_xlfn.XLOOKUP(Contrato5[[#This Row],[DOCUMENTO ]],[2]!PERSONAL_ACTIVO_2024[[#All],[Documento identidad]],[2]!PERSONAL_ACTIVO_2024[[#All],[Mail ]],0,0)</f>
        <v>#NAME?</v>
      </c>
      <c r="AP919" s="147" t="e" cm="1">
        <f t="array" aca="1" ref="AP919" ca="1">_xlfn.XLOOKUP(Contrato5[[#This Row],[DOCUMENTO]],[2]!PERSONAL_ACTIVO_2024[[#All],[Documento identidad]],[2]!PERSONAL_ACTIVO_2024[[#All],[Mail ]],0,0)</f>
        <v>#NAME?</v>
      </c>
      <c r="AQ919" s="439" cm="1">
        <f t="array" aca="1" ref="AQ919" ca="1">IF(ISBLANK(Contrato5[[#This Row],[DEPENDENCIA ]]),0,IFERROR(_xlfn.XLOOKUP(Contrato5[[#This Row],[DEPENDENCIA ]],[2]!PERSONAL_ACTIVO_2024[[#All],[Dependencia]],[2]!PERSONAL_ACTIVO_2024[[#All],[Mail ]],0,0),0))</f>
        <v>0</v>
      </c>
    </row>
    <row r="920" spans="1:43" ht="34.5" customHeight="1">
      <c r="A920" s="147">
        <v>1236</v>
      </c>
      <c r="B920" s="499">
        <v>782</v>
      </c>
      <c r="C920" s="162" t="s">
        <v>1919</v>
      </c>
      <c r="D920" s="227" t="s">
        <v>602</v>
      </c>
      <c r="E920" s="227" t="s">
        <v>94</v>
      </c>
      <c r="F920" s="227" t="s">
        <v>161</v>
      </c>
      <c r="G920" s="281" t="s">
        <v>495</v>
      </c>
      <c r="H920" s="282">
        <v>890984761</v>
      </c>
      <c r="I920" s="273" t="s">
        <v>42</v>
      </c>
      <c r="J920" s="445">
        <v>2464200000</v>
      </c>
      <c r="K920" s="273" t="s">
        <v>42</v>
      </c>
      <c r="L920" s="438" t="s">
        <v>2687</v>
      </c>
      <c r="M920" s="194" t="s">
        <v>605</v>
      </c>
      <c r="N920" s="177" t="e" cm="1">
        <f t="array" aca="1" ref="N920" ca="1">_xlfn.XLOOKUP(Contrato5[[#This Row],[SUPERVISOR TITULAR]],[2]!PERSONAL_ACTIVO_2024[[#All],[Nombre completo]],[2]!PERSONAL_ACTIVO_2024[[#All],[Documento identidad]],"",0)</f>
        <v>#NAME?</v>
      </c>
      <c r="O920" s="194" t="s">
        <v>3380</v>
      </c>
      <c r="P920" s="196" t="e" cm="1">
        <f t="array" aca="1" ref="P920" ca="1">_xlfn.XLOOKUP(Contrato5[[#This Row],[SUPERVISOR SUPLENTE ]],[2]!PERSONAL_ACTIVO_2024[[#All],[Nombre completo]],[2]!PERSONAL_ACTIVO_2024[[#All],[Documento identidad]],"",0)</f>
        <v>#NAME?</v>
      </c>
      <c r="Q920" s="170">
        <v>1200</v>
      </c>
      <c r="R920" s="137" t="e" cm="1">
        <f t="array" aca="1" ref="R920" ca="1">_xlfn.XLOOKUP(Contrato5[[#This Row],[CDP]],[2]!DISPONIBILIDADES_2024[[#All],[consecutivo]],[2]!DISPONIBILIDADES_2024[[#All],[fecha_aprobacion]],"",0)</f>
        <v>#NAME?</v>
      </c>
      <c r="S920" s="138" t="e">
        <f>SUMIF([2]!DISPONIBILIDADES_2024[[#All],[consecutivo]],Contrato5[[#This Row],[CDP]],[2]!DISPONIBILIDADES_2024[[#All],[valor_total_rubro]])</f>
        <v>#REF!</v>
      </c>
      <c r="T920" s="139" t="e" cm="1">
        <f t="array" aca="1" ref="T920" ca="1">_xlfn.XLOOKUP(Contrato5[[#This Row],[CONTRATO]]&amp;Contrato5[[#This Row],[CDP]],[2]!Corr_Contr_CDP[[#All],[CONTRATO-CDP]],[2]!Corr_Contr_CDP[[#All],[CRP]],_xlfn.XLOOKUP(Contrato5[[#This Row],[CDP]],[2]!COMPROMISOS_2024[[#All],[disponibilidad]],[2]!COMPROMISOS_2024[[#All],[consecutivo]],"",0),0)</f>
        <v>#NAME?</v>
      </c>
      <c r="U920" s="140" t="e" cm="1">
        <f t="array" aca="1" ref="U920" ca="1">+_xlfn.XLOOKUP(Contrato5[[#This Row],[RCP]],[2]!COMPROMISOS_2024[[#All],[consecutivo]],[2]!COMPROMISOS_2024[[#All],[fecha_aprobacion]],"",0)</f>
        <v>#NAME?</v>
      </c>
      <c r="V920" s="141" t="e">
        <f ca="1">SUMIF([2]!COMPROMISOS_2024[[#All],[consecutivo]],Contrato5[[#This Row],[RCP]],[2]!COMPROMISOS_2024[[#All],[valor_total]])</f>
        <v>#REF!</v>
      </c>
      <c r="W920" s="160">
        <v>45650</v>
      </c>
      <c r="X920" s="161">
        <v>45653</v>
      </c>
      <c r="Y920" s="143">
        <v>45652</v>
      </c>
      <c r="Z920" s="262">
        <v>45834</v>
      </c>
      <c r="AA920" s="600" t="s">
        <v>3381</v>
      </c>
      <c r="AB920" s="172" t="s">
        <v>640</v>
      </c>
      <c r="AC920" s="172"/>
      <c r="AD920" s="425">
        <v>202000005803</v>
      </c>
      <c r="AE920" s="147" t="s">
        <v>523</v>
      </c>
      <c r="AF920" s="148" t="str">
        <f>TEXT(LEFT(Contrato5[[#This Row],[CONTRATO]],3),"0")</f>
        <v>782</v>
      </c>
      <c r="AG920" s="148" t="str">
        <f>IF(LEN(Contrato5[[#This Row],[Contrato2]])=3,Contrato5[[#This Row],[Contrato2]],TEXT(Contrato5[[#This Row],[Contrato2]],"000"))</f>
        <v>782</v>
      </c>
      <c r="AH920" s="149">
        <f ca="1">IFERROR(_xlfn.DAYS(Contrato5[[#This Row],[Fecha Proyectada liquidación]],TODAY())/30,"")</f>
        <v>6.5333333333333332</v>
      </c>
      <c r="AI920" s="150">
        <f>+Contrato5[[#This Row],[FECHA TERMINACIÓN ]]+120</f>
        <v>45954</v>
      </c>
      <c r="AJ920" s="147"/>
      <c r="AK920" s="152" t="str">
        <f ca="1">IF(Contrato5[[#This Row],[FECHA TERMINACIÓN ]]&lt;TODAY(), "Terminado",IF(ISNUMBER(Contrato5[[#This Row],[Fecha Real de liquiidación ]]),"Liquidado",IF(Contrato5[[#This Row],[FECHA TERMINACIÓN ]]&gt;=TODAY(),"En ejecución","")))</f>
        <v>En ejecución</v>
      </c>
      <c r="AL920" s="153" t="e">
        <f ca="1">SUMIF([2]!COMPROMISOS_2024[[#All],[consecutivo]],Contrato5[[#This Row],[RCP]],[2]!COMPROMISOS_2024[[#All],[Total pagado]])</f>
        <v>#REF!</v>
      </c>
      <c r="AM920" s="154">
        <f ca="1">IFERROR(Contrato5[[#This Row],[Pagos]]/Contrato5[[#This Row],[VALOR CONTRATO]],0)</f>
        <v>0</v>
      </c>
      <c r="AN920" s="198" t="e">
        <f ca="1">+Contrato5[[#This Row],[VALOR CONTRATO]]-Contrato5[[#This Row],[Pagos]]</f>
        <v>#REF!</v>
      </c>
      <c r="AO920" s="147" t="e" cm="1">
        <f t="array" aca="1" ref="AO920" ca="1">_xlfn.XLOOKUP(Contrato5[[#This Row],[DOCUMENTO ]],[2]!PERSONAL_ACTIVO_2024[[#All],[Documento identidad]],[2]!PERSONAL_ACTIVO_2024[[#All],[Mail ]],0,0)</f>
        <v>#NAME?</v>
      </c>
      <c r="AP920" s="147" t="e" cm="1">
        <f t="array" aca="1" ref="AP920" ca="1">_xlfn.XLOOKUP(Contrato5[[#This Row],[DOCUMENTO]],[2]!PERSONAL_ACTIVO_2024[[#All],[Documento identidad]],[2]!PERSONAL_ACTIVO_2024[[#All],[Mail ]],0,0)</f>
        <v>#NAME?</v>
      </c>
      <c r="AQ920" s="439" cm="1">
        <f t="array" aca="1" ref="AQ920" ca="1">IF(ISBLANK(Contrato5[[#This Row],[DEPENDENCIA ]]),0,IFERROR(_xlfn.XLOOKUP(Contrato5[[#This Row],[DEPENDENCIA ]],[2]!PERSONAL_ACTIVO_2024[[#All],[Dependencia]],[2]!PERSONAL_ACTIVO_2024[[#All],[Mail ]],0,0),0))</f>
        <v>0</v>
      </c>
    </row>
    <row r="921" spans="1:43" ht="34.5" customHeight="1">
      <c r="M921" s="601"/>
    </row>
    <row r="922" spans="1:43" ht="34.5" customHeight="1">
      <c r="M922" s="601"/>
    </row>
    <row r="923" spans="1:43" ht="34.5" customHeight="1">
      <c r="J923" s="24"/>
      <c r="M923" s="601"/>
    </row>
    <row r="924" spans="1:43" ht="34.5" customHeight="1">
      <c r="M924" s="601"/>
    </row>
    <row r="925" spans="1:43" ht="34.5" customHeight="1">
      <c r="J925" s="602"/>
      <c r="M925" s="601"/>
    </row>
    <row r="926" spans="1:43" ht="34.5" customHeight="1">
      <c r="M926" s="601"/>
    </row>
    <row r="927" spans="1:43" ht="34.5" customHeight="1">
      <c r="K927" s="603"/>
      <c r="M927" s="601"/>
    </row>
    <row r="928" spans="1:43" ht="34.5" customHeight="1">
      <c r="K928" s="603"/>
      <c r="M928" s="601"/>
    </row>
    <row r="929" spans="13:13" ht="34.5" customHeight="1">
      <c r="M929" s="601"/>
    </row>
    <row r="930" spans="13:13" ht="34.5" customHeight="1">
      <c r="M930" s="601"/>
    </row>
    <row r="931" spans="13:13" ht="34.5" customHeight="1">
      <c r="M931" s="601"/>
    </row>
    <row r="932" spans="13:13" ht="34.5" customHeight="1">
      <c r="M932" s="601"/>
    </row>
    <row r="933" spans="13:13" ht="34.5" customHeight="1">
      <c r="M933" s="601"/>
    </row>
    <row r="934" spans="13:13" ht="34.5" customHeight="1">
      <c r="M934" s="601"/>
    </row>
    <row r="935" spans="13:13" ht="34.5" customHeight="1">
      <c r="M935" s="601"/>
    </row>
    <row r="936" spans="13:13" ht="34.5" customHeight="1">
      <c r="M936" s="601"/>
    </row>
    <row r="937" spans="13:13" ht="34.5" customHeight="1">
      <c r="M937" s="601"/>
    </row>
    <row r="938" spans="13:13" ht="34.5" customHeight="1">
      <c r="M938" s="601"/>
    </row>
    <row r="939" spans="13:13" ht="34.5" customHeight="1">
      <c r="M939" s="601"/>
    </row>
    <row r="940" spans="13:13" ht="34.5" customHeight="1">
      <c r="M940" s="601"/>
    </row>
    <row r="941" spans="13:13" ht="34.5" customHeight="1">
      <c r="M941" s="601"/>
    </row>
    <row r="942" spans="13:13" ht="34.5" customHeight="1">
      <c r="M942" s="601"/>
    </row>
    <row r="943" spans="13:13" ht="34.5" customHeight="1">
      <c r="M943" s="601"/>
    </row>
    <row r="944" spans="13:13" ht="34.5" customHeight="1">
      <c r="M944" s="601"/>
    </row>
    <row r="945" spans="13:13" ht="34.5" customHeight="1">
      <c r="M945" s="601"/>
    </row>
  </sheetData>
  <protectedRanges>
    <protectedRange sqref="C40:C41 C44:C46 G40:H41 J45:J46 G44:H46 J49:J50 G20:H21 K8:K18 K20:K21 K545:K546 K754:K758 K762 K804 K820:K824 K826:K832 K834 K836:K841 K815:K818 K843:K852 K856:K859 K862:K865 C1:C17 K867:K874 K878 G1:J17 K806:K813" name="Rango1"/>
    <protectedRange sqref="C193:C195" name="Rango2_1_2_1"/>
    <protectedRange sqref="C196:C198" name="Rango2_1_2_2_2"/>
    <protectedRange sqref="C200" name="Rango2_1_2_4"/>
    <protectedRange sqref="C201" name="Rango2_1_2_5"/>
    <protectedRange sqref="C234:C235 C229:C232 C217:C227 C204:C215" name="Rango2_1_2_3"/>
    <protectedRange sqref="C203" name="Rango2_1_4_3"/>
    <protectedRange sqref="C236:C237" name="Rango2_1_31"/>
    <protectedRange sqref="C267 C281 C257:C264 C244:C249 C255 C462 C299:C309 C284:C286 C288:C294" name="Rango2_1_2_6"/>
    <protectedRange sqref="C310:C311" name="Rango2_1_13_1"/>
    <protectedRange sqref="C312" name="Rango2_1_16_1"/>
    <protectedRange sqref="C313:C314" name="Rango2_1_2_3_1"/>
    <protectedRange sqref="C250:C254" name="Rango2_1_2_1_1"/>
    <protectedRange sqref="C228" name="Rango2_1_2_3_2"/>
    <protectedRange sqref="G201:G202 G193:G194" name="Rango2_3"/>
    <protectedRange sqref="G195" name="Rango2_20"/>
    <protectedRange sqref="G203:G204 G221:G224 G214:G218 G226:G227 G206:G212 G234:G237 G231:G232" name="Rango2_5"/>
    <protectedRange sqref="G219:G220" name="Rango2_9"/>
    <protectedRange sqref="G205" name="Rango2_11"/>
    <protectedRange sqref="G255:G264 G266 G297:G301 G303:G309 G275:G276 G245:G248 G269:G273 G282:G286 G288:G294 G278:G280" name="Rango2_6"/>
    <protectedRange sqref="G267:G268 G265" name="Rango2_3_1"/>
    <protectedRange sqref="G302" name="Rango2_17"/>
    <protectedRange sqref="G310:G311" name="Rango2_10"/>
    <protectedRange sqref="G244" name="Rango2_25"/>
    <protectedRange sqref="G249:G251" name="Rango2_26"/>
    <protectedRange sqref="G252:G254" name="Rango2_4_2"/>
    <protectedRange sqref="G228:G230" name="Rango2_5_2"/>
    <protectedRange sqref="H201:H202" name="Rango2_3_2"/>
    <protectedRange sqref="H195" name="Rango2_20_1"/>
    <protectedRange sqref="H193:H194" name="Rango2_8"/>
    <protectedRange sqref="H203:H204 I204 I218 H221:H224 H226:H227 H206:H218 H229:H237" name="Rango2_5_1"/>
    <protectedRange sqref="H225" name="Rango2_5_1_1"/>
    <protectedRange sqref="H219:H220" name="Rango2_9_1"/>
    <protectedRange sqref="H297:H301 H288:H294 H303:H309 H245:H248 H282:H285 H255:H273 H275:H280" name="Rango2_6_1"/>
    <protectedRange sqref="H302" name="Rango2_17_1"/>
    <protectedRange sqref="H310:H311" name="Rango2_10_1"/>
    <protectedRange sqref="H244" name="Rango2_25_1"/>
    <protectedRange sqref="H249" name="Rango2_26_1"/>
    <protectedRange sqref="H250:H254" name="Rango2_4_2_1"/>
    <protectedRange sqref="G422" name="Rango2_7_2"/>
    <protectedRange sqref="G429" name="Rango2_11_2"/>
    <protectedRange sqref="G431:G432" name="Rango2_5_5"/>
    <protectedRange sqref="G433" name="Rango2_14_1"/>
    <protectedRange sqref="G435:G436" name="Rango2_15"/>
    <protectedRange sqref="G437" name="Rango2_6_4_2"/>
    <protectedRange sqref="G427" name="Rango2_5_5_1"/>
    <protectedRange sqref="G42:G43 G47:G57" name="Rango1_2"/>
    <protectedRange sqref="C151 C138:C139 C124:C125 C127 C130:C131 C133:C134 C136 C112:C114" name="Rango2_1_2_2"/>
    <protectedRange sqref="C137" name="Rango2_2_2_2"/>
    <protectedRange sqref="C141:C143" name="Rango2_1_1_5_1_3"/>
    <protectedRange sqref="C115" name="Rango2_1_1_5_1_1_1"/>
    <protectedRange sqref="C117" name="Rango2_1_19_1"/>
    <protectedRange sqref="C118" name="Rango2_1_20_1"/>
    <protectedRange sqref="C119" name="Rango2_1_21_1"/>
    <protectedRange sqref="C120:C121" name="Rango2_1_22_1"/>
    <protectedRange sqref="C122" name="Rango2_1_4_1_1"/>
    <protectedRange sqref="C123" name="Rango2_1_23_1"/>
    <protectedRange sqref="C126" name="Rango2_1_24_1"/>
    <protectedRange sqref="C129" name="Rango2_1_30_1"/>
    <protectedRange sqref="C150" name="Rango2_1_1_5_2_1"/>
    <protectedRange sqref="C152" name="Rango2_1_2_2_1_1"/>
    <protectedRange sqref="C160:C161 C164:C183 C185:C192" name="Rango2_1_2_1_2"/>
    <protectedRange sqref="C184" name="Rango2_2_2_1_1"/>
    <protectedRange sqref="G151 G117:G121 G138:G139 G130:G131 G133:G136 G114:G115 G111 G124:G128" name="Rango2_7"/>
    <protectedRange sqref="G132" name="Rango2_18_1"/>
    <protectedRange sqref="G141" name="Rango2_12_2"/>
    <protectedRange sqref="G116" name="Rango2_22_1_1"/>
    <protectedRange sqref="G150" name="Rango2_34_2"/>
    <protectedRange sqref="G129" name="Rango2_23_1"/>
    <protectedRange sqref="G122" name="Rango2_22_2"/>
    <protectedRange sqref="G123" name="Rango2_4_1_1"/>
    <protectedRange sqref="G169 G164:G167 G185:G192 G160:G161 G171:G175 G180:G183" name="Rango2_3_3"/>
    <protectedRange sqref="G177" name="Rango2_16_1"/>
    <protectedRange sqref="G168" name="Rango2_4_3"/>
    <protectedRange sqref="G162" name="Rango2_27_2"/>
    <protectedRange sqref="G163" name="Rango2_13_1_2"/>
    <protectedRange sqref="G170" name="Rango2_28_2"/>
    <protectedRange sqref="G112:G113" name="Rango2_11_1"/>
    <protectedRange sqref="G159" name="Rango2_6_4_3"/>
    <protectedRange sqref="H138:H139 H151 H114:H122 H124:H136" name="Rango2_1_1"/>
    <protectedRange sqref="H158" name="Rango2_5_3_1"/>
    <protectedRange sqref="H141" name="Rango2_12_1_1"/>
    <protectedRange sqref="H150" name="Rango2_34_1_1"/>
    <protectedRange sqref="H123" name="Rango2_29_1"/>
    <protectedRange sqref="H171 H164:H169 H185:H190 H160:H161 H173:H175 H179:H183" name="Rango2_3_2_1"/>
    <protectedRange sqref="H162" name="Rango2_27_1_1"/>
    <protectedRange sqref="H163" name="Rango2_13_1_1_1"/>
    <protectedRange sqref="H170" name="Rango2_28_1_1"/>
    <protectedRange sqref="H191:H192" name="Rango2_8_1"/>
    <protectedRange sqref="H172" name="Rango2_13_2"/>
    <protectedRange sqref="H159" name="Rango2_6_4_1_1"/>
    <protectedRange sqref="H111" name="Rango2_2_1"/>
    <protectedRange sqref="G58 G60:G62" name="Rango1_2_1"/>
  </protectedRanges>
  <conditionalFormatting sqref="BS293:BS294 DF293:DF294 ES293:ES294 GF293:GF294 HS293:HS294 JF293:JF294 KS293:KS294 MF293:MF294 NS293:NS294 PF293:PF294 QS293:QS294 SF293:SF294 TS293:TS294 VF293:VF294 WS293:WS294 YF293:YF294 ZS293:ZS294 ABF293:ABF294 ACS293:ACS294 AEF293:AEF294 AFS293:AFS294 AHF293:AHF294 AIS293:AIS294 AKF293:AKF294 ALS293:ALS294 ANF293:ANF294 AOS293:AOS294 AQF293:AQF294 ARS293:ARS294 ATF293:ATF294 AUS293:AUS294 AWF293:AWF294 AXS293:AXS294 AZF293:AZF294 BAS293:BAS294 BCF293:BCF294 BDS293:BDS294 BFF293:BFF294 BGS293:BGS294 BIF293:BIF294 BJS293:BJS294 BLF293:BLF294 BMS293:BMS294 BOF293:BOF294 BPS293:BPS294 BRF293:BRF294 BSS293:BSS294 BUF293:BUF294 BVS293:BVS294 BXF293:BXF294 BYS293:BYS294 CAF293:CAF294 CBS293:CBS294 CDF293:CDF294 CES293:CES294 CGF293:CGF294 CHS293:CHS294 CJF293:CJF294 CKS293:CKS294 CMF293:CMF294 CNS293:CNS294 CPF293:CPF294 CQS293:CQS294 CSF293:CSF294 CTS293:CTS294 CVF293:CVF294 CWS293:CWS294 CYF293:CYF294 CZS293:CZS294 DBF293:DBF294 DCS293:DCS294 DEF293:DEF294 DFS293:DFS294 DHF293:DHF294 DIS293:DIS294 DKF293:DKF294 DLS293:DLS294 DNF293:DNF294 DOS293:DOS294 DQF293:DQF294 DRS293:DRS294 DTF293:DTF294 DUS293:DUS294 DWF293:DWF294 DXS293:DXS294 DZF293:DZF294 EAS293:EAS294 ECF293:ECF294 EDS293:EDS294 EFF293:EFF294 EGS293:EGS294 EIF293:EIF294 EJS293:EJS294 ELF293:ELF294 EMS293:EMS294 EOF293:EOF294 EPS293:EPS294 ERF293:ERF294 ESS293:ESS294 EUF293:EUF294 EVS293:EVS294 EXF293:EXF294 EYS293:EYS294 FAF293:FAF294 FBS293:FBS294 FDF293:FDF294 FES293:FES294 FGF293:FGF294 FHS293:FHS294 FJF293:FJF294 FKS293:FKS294 FMF293:FMF294 FNS293:FNS294 FPF293:FPF294 FQS293:FQS294 FSF293:FSF294 FTS293:FTS294 FVF293:FVF294 FWS293:FWS294 FYF293:FYF294 FZS293:FZS294 GBF293:GBF294 GCS293:GCS294 GEF293:GEF294 GFS293:GFS294 GHF293:GHF294 GIS293:GIS294 GKF293:GKF294 GLS293:GLS294 GNF293:GNF294 GOS293:GOS294 GQF293:GQF294 GRS293:GRS294 GTF293:GTF294 GUS293:GUS294 GWF293:GWF294 GXS293:GXS294 GZF293:GZF294 HAS293:HAS294 HCF293:HCF294 HDS293:HDS294 HFF293:HFF294 HGS293:HGS294 HIF293:HIF294 HJS293:HJS294 HLF293:HLF294 HMS293:HMS294 HOF293:HOF294 HPS293:HPS294 HRF293:HRF294 HSS293:HSS294 HUF293:HUF294 HVS293:HVS294 HXF293:HXF294 HYS293:HYS294 IAF293:IAF294 IBS293:IBS294 IDF293:IDF294 IES293:IES294 IGF293:IGF294 IHS293:IHS294 IJF293:IJF294 IKS293:IKS294 IMF293:IMF294 INS293:INS294 IPF293:IPF294 IQS293:IQS294 ISF293:ISF294 ITS293:ITS294 IVF293:IVF294 IWS293:IWS294 IYF293:IYF294 IZS293:IZS294 JBF293:JBF294 JCS293:JCS294 JEF293:JEF294 JFS293:JFS294 JHF293:JHF294 JIS293:JIS294 JKF293:JKF294 JLS293:JLS294 JNF293:JNF294 JOS293:JOS294 JQF293:JQF294 JRS293:JRS294 JTF293:JTF294 JUS293:JUS294 JWF293:JWF294 JXS293:JXS294 JZF293:JZF294 KAS293:KAS294 KCF293:KCF294 KDS293:KDS294 KFF293:KFF294 KGS293:KGS294 KIF293:KIF294 KJS293:KJS294 KLF293:KLF294 KMS293:KMS294 KOF293:KOF294 KPS293:KPS294 KRF293:KRF294 KSS293:KSS294 KUF293:KUF294 KVS293:KVS294 KXF293:KXF294 KYS293:KYS294 LAF293:LAF294 LBS293:LBS294 LDF293:LDF294 LES293:LES294 LGF293:LGF294 LHS293:LHS294 LJF293:LJF294 LKS293:LKS294 LMF293:LMF294 LNS293:LNS294 LPF293:LPF294 LQS293:LQS294 LSF293:LSF294 LTS293:LTS294 LVF293:LVF294 LWS293:LWS294 LYF293:LYF294 LZS293:LZS294 MBF293:MBF294 MCS293:MCS294 MEF293:MEF294 MFS293:MFS294 MHF293:MHF294 MIS293:MIS294 MKF293:MKF294 MLS293:MLS294 MNF293:MNF294 MOS293:MOS294 MQF293:MQF294 MRS293:MRS294 MTF293:MTF294 MUS293:MUS294 MWF293:MWF294 MXS293:MXS294 MZF293:MZF294 NAS293:NAS294 NCF293:NCF294 NDS293:NDS294 NFF293:NFF294 NGS293:NGS294 NIF293:NIF294 NJS293:NJS294 NLF293:NLF294 NMS293:NMS294 NOF293:NOF294 NPS293:NPS294 NRF293:NRF294 NSS293:NSS294 NUF293:NUF294 NVS293:NVS294 NXF293:NXF294 NYS293:NYS294 OAF293:OAF294 OBS293:OBS294 ODF293:ODF294 OES293:OES294 OGF293:OGF294 OHS293:OHS294 OJF293:OJF294 OKS293:OKS294 OMF293:OMF294 ONS293:ONS294 OPF293:OPF294 OQS293:OQS294 OSF293:OSF294 OTS293:OTS294 OVF293:OVF294 OWS293:OWS294 OYF293:OYF294 OZS293:OZS294 PBF293:PBF294 PCS293:PCS294 PEF293:PEF294 PFS293:PFS294 PHF293:PHF294 PIS293:PIS294 PKF293:PKF294 PLS293:PLS294 PNF293:PNF294 POS293:POS294 PQF293:PQF294 PRS293:PRS294 PTF293:PTF294 PUS293:PUS294 PWF293:PWF294 PXS293:PXS294 PZF293:PZF294 QAS293:QAS294 QCF293:QCF294 QDS293:QDS294 QFF293:QFF294 QGS293:QGS294 QIF293:QIF294 QJS293:QJS294 QLF293:QLF294 QMS293:QMS294 QOF293:QOF294 QPS293:QPS294 QRF293:QRF294 QSS293:QSS294 QUF293:QUF294 QVS293:QVS294 QXF293:QXF294 QYS293:QYS294 RAF293:RAF294 RBS293:RBS294 RDF293:RDF294 RES293:RES294 RGF293:RGF294 RHS293:RHS294 RJF293:RJF294 RKS293:RKS294 RMF293:RMF294 RNS293:RNS294 RPF293:RPF294 RQS293:RQS294 RSF293:RSF294 RTS293:RTS294 RVF293:RVF294 RWS293:RWS294 RYF293:RYF294 RZS293:RZS294 SBF293:SBF294 SCS293:SCS294 SEF293:SEF294 SFS293:SFS294 SHF293:SHF294 SIS293:SIS294 SKF293:SKF294 SLS293:SLS294 SNF293:SNF294 SOS293:SOS294 SQF293:SQF294 SRS293:SRS294 STF293:STF294 SUS293:SUS294 SWF293:SWF294 SXS293:SXS294 SZF293:SZF294 TAS293:TAS294 TCF293:TCF294 TDS293:TDS294 TFF293:TFF294 TGS293:TGS294 TIF293:TIF294 TJS293:TJS294 TLF293:TLF294 TMS293:TMS294 TOF293:TOF294 TPS293:TPS294 TRF293:TRF294 TSS293:TSS294 TUF293:TUF294 TVS293:TVS294 TXF293:TXF294 TYS293:TYS294 UAF293:UAF294 UBS293:UBS294 UDF293:UDF294 UES293:UES294 UGF293:UGF294 UHS293:UHS294 UJF293:UJF294 UKS293:UKS294 UMF293:UMF294 UNS293:UNS294 UPF293:UPF294 UQS293:UQS294 USF293:USF294 UTS293:UTS294 UVF293:UVF294 UWS293:UWS294 UYF293:UYF294 UZS293:UZS294 VBF293:VBF294 VCS293:VCS294 VEF293:VEF294 VFS293:VFS294 VHF293:VHF294 VIS293:VIS294 VKF293:VKF294 VLS293:VLS294 VNF293:VNF294 VOS293:VOS294 VQF293:VQF294 VRS293:VRS294 VTF293:VTF294 VUS293:VUS294 VWF293:VWF294 VXS293:VXS294 VZF293:VZF294 WAS293:WAS294 WCF293:WCF294 WDS293:WDS294 WFF293:WFF294 WGS293:WGS294 WIF293:WIF294 WJS293:WJS294 WLF293:WLF294 WMS293:WMS294 WOF293:WOF294 WPS293:WPS294 WRF293:WRF294 WSS293:WSS294 WUF293:WUF294 WVS293:WVS294 WXF293:WXF294 WYS293:WYS294 XAF293:XAF294 XBS293:XBS294 XDF293:XDF294 XES293:XES294 AH2:AH920">
    <cfRule type="colorScale" priority="2">
      <colorScale>
        <cfvo type="num" val="1"/>
        <cfvo type="num" val="2"/>
        <cfvo type="num" val="3"/>
        <color rgb="FFF8696B"/>
        <color rgb="FFFFEB84"/>
        <color rgb="FF63BE7B"/>
      </colorScale>
    </cfRule>
  </conditionalFormatting>
  <conditionalFormatting sqref="DH574:DH575 BT574:BT575 EV574:EV575 GJ574:GJ575 HX574:HX575 JL574:JL575 KZ574:KZ575 MN574:MN575 OB574:OB575 PP574:PP575 RD574:RD575 SR574:SR575 UF574:UF575 VT574:VT575 XH574:XH575 YV574:YV575 AAJ574:AAJ575 ABX574:ABX575 ADL574:ADL575 AEZ574:AEZ575 AGN574:AGN575 AIB574:AIB575 AJP574:AJP575 ALD574:ALD575 AMR574:AMR575 AOF574:AOF575 APT574:APT575 ARH574:ARH575 ASV574:ASV575 AUJ574:AUJ575 AVX574:AVX575 AXL574:AXL575 AYZ574:AYZ575 BAN574:BAN575 BCB574:BCB575 BDP574:BDP575 BFD574:BFD575 BGR574:BGR575 BIF574:BIF575 BJT574:BJT575 BLH574:BLH575 BMV574:BMV575 BOJ574:BOJ575 BPX574:BPX575 BRL574:BRL575 BSZ574:BSZ575 BUN574:BUN575 BWB574:BWB575 BXP574:BXP575 BZD574:BZD575 CAR574:CAR575 CCF574:CCF575 CDT574:CDT575 CFH574:CFH575 CGV574:CGV575 CIJ574:CIJ575 CJX574:CJX575 CLL574:CLL575 CMZ574:CMZ575 CON574:CON575 CQB574:CQB575 CRP574:CRP575 CTD574:CTD575 CUR574:CUR575 CWF574:CWF575 CXT574:CXT575 CZH574:CZH575 DAV574:DAV575 DCJ574:DCJ575 DDX574:DDX575 DFL574:DFL575 DGZ574:DGZ575 DIN574:DIN575 DKB574:DKB575 DLP574:DLP575 DND574:DND575 DOR574:DOR575 DQF574:DQF575 DRT574:DRT575 DTH574:DTH575 DUV574:DUV575 DWJ574:DWJ575 DXX574:DXX575 DZL574:DZL575 EAZ574:EAZ575 ECN574:ECN575 EEB574:EEB575 EFP574:EFP575 EHD574:EHD575 EIR574:EIR575 EKF574:EKF575 ELT574:ELT575 ENH574:ENH575 EOV574:EOV575 EQJ574:EQJ575 ERX574:ERX575 ETL574:ETL575 EUZ574:EUZ575 EWN574:EWN575 EYB574:EYB575 EZP574:EZP575 FBD574:FBD575 FCR574:FCR575 FEF574:FEF575 FFT574:FFT575 FHH574:FHH575 FIV574:FIV575 FKJ574:FKJ575 FLX574:FLX575 FNL574:FNL575 FOZ574:FOZ575 FQN574:FQN575 FSB574:FSB575 FTP574:FTP575 FVD574:FVD575 FWR574:FWR575 FYF574:FYF575 FZT574:FZT575 GBH574:GBH575 GCV574:GCV575 GEJ574:GEJ575 GFX574:GFX575 GHL574:GHL575 GIZ574:GIZ575 GKN574:GKN575 GMB574:GMB575 GNP574:GNP575 GPD574:GPD575 GQR574:GQR575 GSF574:GSF575 GTT574:GTT575 GVH574:GVH575 GWV574:GWV575 GYJ574:GYJ575 GZX574:GZX575 HBL574:HBL575 HCZ574:HCZ575 HEN574:HEN575 HGB574:HGB575 HHP574:HHP575 HJD574:HJD575 HKR574:HKR575 HMF574:HMF575 HNT574:HNT575 HPH574:HPH575 HQV574:HQV575 HSJ574:HSJ575 HTX574:HTX575 HVL574:HVL575 HWZ574:HWZ575 HYN574:HYN575 IAB574:IAB575 IBP574:IBP575 IDD574:IDD575 IER574:IER575 IGF574:IGF575 IHT574:IHT575 IJH574:IJH575 IKV574:IKV575 IMJ574:IMJ575 INX574:INX575 IPL574:IPL575 IQZ574:IQZ575 ISN574:ISN575 IUB574:IUB575 IVP574:IVP575 IXD574:IXD575 IYR574:IYR575 JAF574:JAF575 JBT574:JBT575 JDH574:JDH575 JEV574:JEV575 JGJ574:JGJ575 JHX574:JHX575 JJL574:JJL575 JKZ574:JKZ575 JMN574:JMN575 JOB574:JOB575 JPP574:JPP575 JRD574:JRD575 JSR574:JSR575 JUF574:JUF575 JVT574:JVT575 JXH574:JXH575 JYV574:JYV575 KAJ574:KAJ575 KBX574:KBX575 KDL574:KDL575 KEZ574:KEZ575 KGN574:KGN575 KIB574:KIB575 KJP574:KJP575 KLD574:KLD575 KMR574:KMR575 KOF574:KOF575 KPT574:KPT575 KRH574:KRH575 KSV574:KSV575 KUJ574:KUJ575 KVX574:KVX575 KXL574:KXL575 KYZ574:KYZ575 LAN574:LAN575 LCB574:LCB575 LDP574:LDP575 LFD574:LFD575 LGR574:LGR575 LIF574:LIF575 LJT574:LJT575 LLH574:LLH575 LMV574:LMV575 LOJ574:LOJ575 LPX574:LPX575 LRL574:LRL575 LSZ574:LSZ575 LUN574:LUN575 LWB574:LWB575 LXP574:LXP575 LZD574:LZD575 MAR574:MAR575 MCF574:MCF575 MDT574:MDT575 MFH574:MFH575 MGV574:MGV575 MIJ574:MIJ575 MJX574:MJX575 MLL574:MLL575 MMZ574:MMZ575 MON574:MON575 MQB574:MQB575 MRP574:MRP575 MTD574:MTD575 MUR574:MUR575 MWF574:MWF575 MXT574:MXT575 MZH574:MZH575 NAV574:NAV575 NCJ574:NCJ575 NDX574:NDX575 NFL574:NFL575 NGZ574:NGZ575 NIN574:NIN575 NKB574:NKB575 NLP574:NLP575 NND574:NND575 NOR574:NOR575 NQF574:NQF575 NRT574:NRT575 NTH574:NTH575 NUV574:NUV575 NWJ574:NWJ575 NXX574:NXX575 NZL574:NZL575 OAZ574:OAZ575 OCN574:OCN575 OEB574:OEB575 OFP574:OFP575 OHD574:OHD575 OIR574:OIR575 OKF574:OKF575 OLT574:OLT575 ONH574:ONH575 OOV574:OOV575 OQJ574:OQJ575 ORX574:ORX575 OTL574:OTL575 OUZ574:OUZ575 OWN574:OWN575 OYB574:OYB575 OZP574:OZP575 PBD574:PBD575 PCR574:PCR575 PEF574:PEF575 PFT574:PFT575 PHH574:PHH575 PIV574:PIV575 PKJ574:PKJ575 PLX574:PLX575 PNL574:PNL575 POZ574:POZ575 PQN574:PQN575 PSB574:PSB575 PTP574:PTP575 PVD574:PVD575 PWR574:PWR575 PYF574:PYF575 PZT574:PZT575 QBH574:QBH575 QCV574:QCV575 QEJ574:QEJ575 QFX574:QFX575 QHL574:QHL575 QIZ574:QIZ575 QKN574:QKN575 QMB574:QMB575 QNP574:QNP575 QPD574:QPD575 QQR574:QQR575 QSF574:QSF575 QTT574:QTT575 QVH574:QVH575 QWV574:QWV575 QYJ574:QYJ575 QZX574:QZX575 RBL574:RBL575 RCZ574:RCZ575 REN574:REN575 RGB574:RGB575 RHP574:RHP575 RJD574:RJD575 RKR574:RKR575 RMF574:RMF575 RNT574:RNT575 RPH574:RPH575 RQV574:RQV575 RSJ574:RSJ575 RTX574:RTX575 RVL574:RVL575 RWZ574:RWZ575 RYN574:RYN575 SAB574:SAB575 SBP574:SBP575 SDD574:SDD575 SER574:SER575 SGF574:SGF575 SHT574:SHT575 SJH574:SJH575 SKV574:SKV575 SMJ574:SMJ575 SNX574:SNX575 SPL574:SPL575 SQZ574:SQZ575 SSN574:SSN575 SUB574:SUB575 SVP574:SVP575 SXD574:SXD575 SYR574:SYR575 TAF574:TAF575 TBT574:TBT575 TDH574:TDH575 TEV574:TEV575 TGJ574:TGJ575 THX574:THX575 TJL574:TJL575 TKZ574:TKZ575 TMN574:TMN575 TOB574:TOB575 TPP574:TPP575 TRD574:TRD575 TSR574:TSR575 TUF574:TUF575 TVT574:TVT575 TXH574:TXH575 TYV574:TYV575 UAJ574:UAJ575 UBX574:UBX575 UDL574:UDL575 UEZ574:UEZ575 UGN574:UGN575 UIB574:UIB575 UJP574:UJP575 ULD574:ULD575 UMR574:UMR575 UOF574:UOF575 UPT574:UPT575 URH574:URH575 USV574:USV575 UUJ574:UUJ575 UVX574:UVX575 UXL574:UXL575 UYZ574:UYZ575 VAN574:VAN575 VCB574:VCB575 VDP574:VDP575 VFD574:VFD575 VGR574:VGR575 VIF574:VIF575 VJT574:VJT575 VLH574:VLH575 VMV574:VMV575 VOJ574:VOJ575 VPX574:VPX575 VRL574:VRL575 VSZ574:VSZ575 VUN574:VUN575 VWB574:VWB575 VXP574:VXP575 VZD574:VZD575 WAR574:WAR575 WCF574:WCF575 WDT574:WDT575 WFH574:WFH575 WGV574:WGV575 WIJ574:WIJ575 WJX574:WJX575 WLL574:WLL575 WMZ574:WMZ575 WON574:WON575 WQB574:WQB575 WRP574:WRP575 WTD574:WTD575 WUR574:WUR575 WWF574:WWF575 WXT574:WXT575 WZH574:WZH575 XAV574:XAV575 XCJ574:XCJ575 XDX574:XDX575 BT585 DH585 EV585 GJ585 HX585 JL585 KZ585 MN585 OB585 PP585 RD585 SR585 UF585 VT585 XH585 YV585 AAJ585 ABX585 ADL585 AEZ585 AGN585 AIB585 AJP585 ALD585 AMR585 AOF585 APT585 ARH585 ASV585 AUJ585 AVX585 AXL585 AYZ585 BAN585 BCB585 BDP585 BFD585 BGR585 BIF585 BJT585 BLH585 BMV585 BOJ585 BPX585 BRL585 BSZ585 BUN585 BWB585 BXP585 BZD585 CAR585 CCF585 CDT585 CFH585 CGV585 CIJ585 CJX585 CLL585 CMZ585 CON585 CQB585 CRP585 CTD585 CUR585 CWF585 CXT585 CZH585 DAV585 DCJ585 DDX585 DFL585 DGZ585 DIN585 DKB585 DLP585 DND585 DOR585 DQF585 DRT585 DTH585 DUV585 DWJ585 DXX585 DZL585 EAZ585 ECN585 EEB585 EFP585 EHD585 EIR585 EKF585 ELT585 ENH585 EOV585 EQJ585 ERX585 ETL585 EUZ585 EWN585 EYB585 EZP585 FBD585 FCR585 FEF585 FFT585 FHH585 FIV585 FKJ585 FLX585 FNL585 FOZ585 FQN585 FSB585 FTP585 FVD585 FWR585 FYF585 FZT585 GBH585 GCV585 GEJ585 GFX585 GHL585 GIZ585 GKN585 GMB585 GNP585 GPD585 GQR585 GSF585 GTT585 GVH585 GWV585 GYJ585 GZX585 HBL585 HCZ585 HEN585 HGB585 HHP585 HJD585 HKR585 HMF585 HNT585 HPH585 HQV585 HSJ585 HTX585 HVL585 HWZ585 HYN585 IAB585 IBP585 IDD585 IER585 IGF585 IHT585 IJH585 IKV585 IMJ585 INX585 IPL585 IQZ585 ISN585 IUB585 IVP585 IXD585 IYR585 JAF585 JBT585 JDH585 JEV585 JGJ585 JHX585 JJL585 JKZ585 JMN585 JOB585 JPP585 JRD585 JSR585 JUF585 JVT585 JXH585 JYV585 KAJ585 KBX585 KDL585 KEZ585 KGN585 KIB585 KJP585 KLD585 KMR585 KOF585 KPT585 KRH585 KSV585 KUJ585 KVX585 KXL585 KYZ585 LAN585 LCB585 LDP585 LFD585 LGR585 LIF585 LJT585 LLH585 LMV585 LOJ585 LPX585 LRL585 LSZ585 LUN585 LWB585 LXP585 LZD585 MAR585 MCF585 MDT585 MFH585 MGV585 MIJ585 MJX585 MLL585 MMZ585 MON585 MQB585 MRP585 MTD585 MUR585 MWF585 MXT585 MZH585 NAV585 NCJ585 NDX585 NFL585 NGZ585 NIN585 NKB585 NLP585 NND585 NOR585 NQF585 NRT585 NTH585 NUV585 NWJ585 NXX585 NZL585 OAZ585 OCN585 OEB585 OFP585 OHD585 OIR585 OKF585 OLT585 ONH585 OOV585 OQJ585 ORX585 OTL585 OUZ585 OWN585 OYB585 OZP585 PBD585 PCR585 PEF585 PFT585 PHH585 PIV585 PKJ585 PLX585 PNL585 POZ585 PQN585 PSB585 PTP585 PVD585 PWR585 PYF585 PZT585 QBH585 QCV585 QEJ585 QFX585 QHL585 QIZ585 QKN585 QMB585 QNP585 QPD585 QQR585 QSF585 QTT585 QVH585 QWV585 QYJ585 QZX585 RBL585 RCZ585 REN585 RGB585 RHP585 RJD585 RKR585 RMF585 RNT585 RPH585 RQV585 RSJ585 RTX585 RVL585 RWZ585 RYN585 SAB585 SBP585 SDD585 SER585 SGF585 SHT585 SJH585 SKV585 SMJ585 SNX585 SPL585 SQZ585 SSN585 SUB585 SVP585 SXD585 SYR585 TAF585 TBT585 TDH585 TEV585 TGJ585 THX585 TJL585 TKZ585 TMN585 TOB585 TPP585 TRD585 TSR585 TUF585 TVT585 TXH585 TYV585 UAJ585 UBX585 UDL585 UEZ585 UGN585 UIB585 UJP585 ULD585 UMR585 UOF585 UPT585 URH585 USV585 UUJ585 UVX585 UXL585 UYZ585 VAN585 VCB585 VDP585 VFD585 VGR585 VIF585 VJT585 VLH585 VMV585 VOJ585 VPX585 VRL585 VSZ585 VUN585 VWB585 VXP585 VZD585 WAR585 WCF585 WDT585 WFH585 WGV585 WIJ585 WJX585 WLL585 WMZ585 WON585 WQB585 WRP585 WTD585 WUR585 WWF585 WXT585 WZH585 XAV585 XCJ585 XDX585">
    <cfRule type="colorScale" priority="1">
      <colorScale>
        <cfvo type="num" val="1"/>
        <cfvo type="num" val="2"/>
        <cfvo type="num" val="3"/>
        <color rgb="FFF8696B"/>
        <color rgb="FFFFEB84"/>
        <color rgb="FF63BE7B"/>
      </colorScale>
    </cfRule>
  </conditionalFormatting>
  <dataValidations count="2">
    <dataValidation allowBlank="1" showInputMessage="1" showErrorMessage="1" error="Debe seleccionar un nombre de la lista o ingresarlo igual a como lo ha escrito anteriormente" sqref="Q258 Q234 Q201:Q202 Q218:Q221 Q429 Q244:Q247 Q149:Q151 Q166 Q168 Q213 Q422 Q431:Q432 Q236:Q237 Q206:Q207 Q191:Q194 Q273 Q291:Q292 Q209 Q240 Q260 Q180:Q181 Q267 Q275:Q276 Q262:Q265 Q288 Q434:Q436 Q252 Q297:Q298 Q278:Q280 Q256 Q170 Q225 Q229:Q232 Q130 Q132 Q163:Q164 Q178 Q183:Q184 Q317:Q318 Q187 Q114 Q134:Q135 Q161 Q176 Q137 Q126:Q128 Q172:Q173 Q116 Q118 Q120:Q121 Q123 Q158:Q159 Q139:Q140 Q142 Q144 Q146:Q147 Q309 Q305:Q306 Q312 Q282:Q285"/>
    <dataValidation type="whole" operator="greaterThan" allowBlank="1" showInputMessage="1" showErrorMessage="1" error="Por favor, escriba un número sin comas ni códigos de verificación" sqref="H180:H182 H229:H230 H167:H172 H289:H298 H123:H129 H275:H276 H301:H311 H282:H285 H261 H233:H237 H250:H254 H265:H268 H221:H227 H195 G179 G186 H150 H138:H139 H131 H133:H136 H174:H176 H187 H165 H191:H192 H184:H185 H278:H280">
      <formula1>1</formula1>
    </dataValidation>
  </dataValidations>
  <hyperlinks>
    <hyperlink ref="AA159" r:id="rId1"/>
    <hyperlink ref="AA22" r:id="rId2"/>
    <hyperlink ref="AA23" r:id="rId3"/>
    <hyperlink ref="AA25" r:id="rId4"/>
    <hyperlink ref="AA24" r:id="rId5"/>
    <hyperlink ref="AA26" r:id="rId6"/>
    <hyperlink ref="AA27" r:id="rId7"/>
    <hyperlink ref="AA28" r:id="rId8"/>
    <hyperlink ref="AA29" r:id="rId9"/>
    <hyperlink ref="AA30" r:id="rId10"/>
    <hyperlink ref="AA31" r:id="rId11"/>
    <hyperlink ref="AA34" r:id="rId12"/>
    <hyperlink ref="AA35" r:id="rId13"/>
    <hyperlink ref="AA36" r:id="rId14"/>
    <hyperlink ref="AA37" r:id="rId15"/>
    <hyperlink ref="AA39" r:id="rId16"/>
    <hyperlink ref="AA40" r:id="rId17"/>
    <hyperlink ref="AA41" r:id="rId18"/>
    <hyperlink ref="AA43" r:id="rId19"/>
    <hyperlink ref="AA44" r:id="rId20"/>
    <hyperlink ref="AA32" r:id="rId21"/>
    <hyperlink ref="AA33" r:id="rId22"/>
    <hyperlink ref="AA38" r:id="rId23"/>
    <hyperlink ref="AA42" r:id="rId24"/>
    <hyperlink ref="AA45" r:id="rId25"/>
    <hyperlink ref="AA47" r:id="rId26"/>
    <hyperlink ref="AA49" r:id="rId27"/>
    <hyperlink ref="AA55" r:id="rId28"/>
    <hyperlink ref="AA61" r:id="rId29"/>
    <hyperlink ref="AA58" r:id="rId30"/>
    <hyperlink ref="AA59" r:id="rId31"/>
    <hyperlink ref="AA195" r:id="rId32"/>
    <hyperlink ref="AA191" r:id="rId33"/>
    <hyperlink ref="AA126" r:id="rId34"/>
    <hyperlink ref="AA115" r:id="rId35"/>
    <hyperlink ref="AA122" r:id="rId36"/>
    <hyperlink ref="AA161" r:id="rId37"/>
    <hyperlink ref="AA121" r:id="rId38"/>
    <hyperlink ref="AA133" r:id="rId39"/>
    <hyperlink ref="AA170" r:id="rId40"/>
    <hyperlink ref="AA109" r:id="rId41"/>
    <hyperlink ref="AA120" r:id="rId42"/>
    <hyperlink ref="AA90" r:id="rId43"/>
    <hyperlink ref="AA143" r:id="rId44"/>
    <hyperlink ref="AA156" r:id="rId45"/>
    <hyperlink ref="AA134" r:id="rId46"/>
    <hyperlink ref="AA77" r:id="rId47"/>
    <hyperlink ref="AA76" r:id="rId48"/>
    <hyperlink ref="AA108" r:id="rId49"/>
    <hyperlink ref="AA101" r:id="rId50"/>
    <hyperlink ref="AA125" r:id="rId51"/>
    <hyperlink ref="AA63" r:id="rId52"/>
    <hyperlink ref="AA65" r:id="rId53"/>
    <hyperlink ref="AA67" r:id="rId54"/>
    <hyperlink ref="AA100" r:id="rId55"/>
    <hyperlink ref="AA69" r:id="rId56"/>
    <hyperlink ref="AA97" r:id="rId57"/>
    <hyperlink ref="AA96" r:id="rId58"/>
    <hyperlink ref="AA158" r:id="rId59"/>
    <hyperlink ref="AA146" r:id="rId60"/>
    <hyperlink ref="AA83" r:id="rId61"/>
    <hyperlink ref="AA82" r:id="rId62"/>
    <hyperlink ref="AA142" r:id="rId63"/>
    <hyperlink ref="AA141" r:id="rId64"/>
    <hyperlink ref="AA81" r:id="rId65"/>
    <hyperlink ref="AA74" r:id="rId66"/>
    <hyperlink ref="AA139" r:id="rId67"/>
    <hyperlink ref="AA73" r:id="rId68"/>
    <hyperlink ref="AA140" r:id="rId69"/>
    <hyperlink ref="AA190" r:id="rId70"/>
    <hyperlink ref="AA184" r:id="rId71"/>
    <hyperlink ref="AA182" r:id="rId72"/>
    <hyperlink ref="AA180" r:id="rId73"/>
    <hyperlink ref="AA172" r:id="rId74"/>
    <hyperlink ref="AA171" r:id="rId75"/>
    <hyperlink ref="AA157" r:id="rId76"/>
    <hyperlink ref="AA152" r:id="rId77"/>
    <hyperlink ref="AA151" r:id="rId78"/>
    <hyperlink ref="AA118" r:id="rId79"/>
    <hyperlink ref="AA117" r:id="rId80"/>
    <hyperlink ref="AA116" r:id="rId81"/>
    <hyperlink ref="AA114" r:id="rId82"/>
    <hyperlink ref="AA113" r:id="rId83"/>
    <hyperlink ref="AA112" r:id="rId84"/>
    <hyperlink ref="AA111" r:id="rId85"/>
    <hyperlink ref="AA110" r:id="rId86"/>
    <hyperlink ref="AA89" r:id="rId87"/>
    <hyperlink ref="AA88" r:id="rId88"/>
    <hyperlink ref="AA87" r:id="rId89"/>
    <hyperlink ref="AA86" r:id="rId90"/>
    <hyperlink ref="AA85" r:id="rId91"/>
    <hyperlink ref="AA185" r:id="rId92"/>
    <hyperlink ref="AA137" r:id="rId93"/>
    <hyperlink ref="AA150" r:id="rId94"/>
    <hyperlink ref="AA132" r:id="rId95"/>
    <hyperlink ref="AA131" r:id="rId96"/>
    <hyperlink ref="AA154" r:id="rId97"/>
    <hyperlink ref="AA177" r:id="rId98"/>
    <hyperlink ref="AA189" r:id="rId99"/>
    <hyperlink ref="AA149" r:id="rId100"/>
    <hyperlink ref="AA176" r:id="rId101"/>
    <hyperlink ref="AA148" r:id="rId102"/>
    <hyperlink ref="AA188" r:id="rId103"/>
    <hyperlink ref="AA92" r:id="rId104"/>
    <hyperlink ref="AA147" r:id="rId105"/>
    <hyperlink ref="AA175" r:id="rId106"/>
    <hyperlink ref="AA187" r:id="rId107"/>
    <hyperlink ref="AA174" r:id="rId108"/>
    <hyperlink ref="AA91" r:id="rId109"/>
    <hyperlink ref="AA145" r:id="rId110"/>
    <hyperlink ref="AA162" r:id="rId111"/>
    <hyperlink ref="AA153" r:id="rId112"/>
    <hyperlink ref="AA127" r:id="rId113"/>
    <hyperlink ref="AA164" r:id="rId114"/>
    <hyperlink ref="AA128" r:id="rId115"/>
    <hyperlink ref="AA165" r:id="rId116"/>
    <hyperlink ref="AA129" r:id="rId117"/>
    <hyperlink ref="AA179" r:id="rId118"/>
    <hyperlink ref="AA186" r:id="rId119"/>
    <hyperlink ref="AA173" r:id="rId120"/>
    <hyperlink ref="AA163" r:id="rId121"/>
    <hyperlink ref="AA123" r:id="rId122"/>
    <hyperlink ref="AA160" r:id="rId123"/>
    <hyperlink ref="AA155" r:id="rId124"/>
    <hyperlink ref="AA169" r:id="rId125"/>
    <hyperlink ref="AA168" r:id="rId126"/>
    <hyperlink ref="AA167" r:id="rId127"/>
    <hyperlink ref="AA166" r:id="rId128"/>
    <hyperlink ref="AA107" r:id="rId129"/>
    <hyperlink ref="AA106" r:id="rId130"/>
    <hyperlink ref="AA105" r:id="rId131"/>
    <hyperlink ref="AA104" r:id="rId132"/>
    <hyperlink ref="AA103" r:id="rId133"/>
    <hyperlink ref="AA102" r:id="rId134"/>
    <hyperlink ref="AA99" r:id="rId135"/>
    <hyperlink ref="AA98" r:id="rId136"/>
    <hyperlink ref="AA94" r:id="rId137"/>
    <hyperlink ref="AA93" r:id="rId138"/>
    <hyperlink ref="AA84" r:id="rId139"/>
    <hyperlink ref="AA144" r:id="rId140"/>
    <hyperlink ref="AA72" r:id="rId141"/>
    <hyperlink ref="AA71" r:id="rId142"/>
    <hyperlink ref="AA70" r:id="rId143"/>
    <hyperlink ref="AA68" r:id="rId144"/>
    <hyperlink ref="AA66" r:id="rId145"/>
    <hyperlink ref="AA138" r:id="rId146"/>
    <hyperlink ref="AA136" r:id="rId147"/>
    <hyperlink ref="AA80" r:id="rId148"/>
    <hyperlink ref="AA135" r:id="rId149"/>
    <hyperlink ref="AA78" r:id="rId150"/>
    <hyperlink ref="AA75" r:id="rId151"/>
    <hyperlink ref="AA64" r:id="rId152"/>
    <hyperlink ref="AA62" r:id="rId153"/>
    <hyperlink ref="AA60" r:id="rId154"/>
    <hyperlink ref="AA196" r:id="rId155"/>
    <hyperlink ref="AA193" r:id="rId156"/>
    <hyperlink ref="AA201" r:id="rId157"/>
    <hyperlink ref="AA202" r:id="rId158"/>
    <hyperlink ref="AA203" r:id="rId159"/>
    <hyperlink ref="AA204" r:id="rId160"/>
    <hyperlink ref="AA205" r:id="rId161"/>
    <hyperlink ref="AA208" r:id="rId162"/>
    <hyperlink ref="AA209" r:id="rId163"/>
    <hyperlink ref="AA212" r:id="rId164"/>
    <hyperlink ref="AA213" r:id="rId165"/>
    <hyperlink ref="AA216" r:id="rId166"/>
    <hyperlink ref="AA218" r:id="rId167"/>
    <hyperlink ref="AA233" r:id="rId168"/>
    <hyperlink ref="AA252" r:id="rId169"/>
    <hyperlink ref="AA245" r:id="rId170"/>
    <hyperlink ref="AA247" r:id="rId171"/>
    <hyperlink ref="AA253" r:id="rId172"/>
    <hyperlink ref="AA255" r:id="rId173"/>
    <hyperlink ref="AA256" r:id="rId174"/>
    <hyperlink ref="AA257" r:id="rId175"/>
    <hyperlink ref="AA258" r:id="rId176"/>
    <hyperlink ref="AA259" r:id="rId177"/>
    <hyperlink ref="AA260" r:id="rId178"/>
    <hyperlink ref="AA261" r:id="rId179"/>
    <hyperlink ref="AA262" r:id="rId180"/>
    <hyperlink ref="AA263" r:id="rId181"/>
    <hyperlink ref="AA264" r:id="rId182"/>
    <hyperlink ref="AA265" r:id="rId183"/>
    <hyperlink ref="AA268" r:id="rId184"/>
    <hyperlink ref="AA267" r:id="rId185"/>
    <hyperlink ref="AA266" r:id="rId186"/>
    <hyperlink ref="AA271" r:id="rId187"/>
    <hyperlink ref="AA273" r:id="rId188"/>
    <hyperlink ref="AA278" r:id="rId189"/>
    <hyperlink ref="AA181" r:id="rId190"/>
    <hyperlink ref="AA269" r:id="rId191"/>
    <hyperlink ref="AA275" r:id="rId192"/>
    <hyperlink ref="AA282" r:id="rId193"/>
    <hyperlink ref="AA284" r:id="rId194"/>
    <hyperlink ref="AA286" r:id="rId195"/>
    <hyperlink ref="AA288" r:id="rId196"/>
    <hyperlink ref="AA289" r:id="rId197"/>
    <hyperlink ref="AA291" r:id="rId198"/>
    <hyperlink ref="AA293" r:id="rId199"/>
    <hyperlink ref="AA301" r:id="rId200"/>
    <hyperlink ref="AA302" r:id="rId201"/>
    <hyperlink ref="AA351" r:id="rId202"/>
    <hyperlink ref="AA360" r:id="rId203"/>
    <hyperlink ref="AA277" r:id="rId204"/>
    <hyperlink ref="AA295" r:id="rId205"/>
    <hyperlink ref="AA297" r:id="rId206"/>
    <hyperlink ref="AA319" r:id="rId207"/>
    <hyperlink ref="AA321" r:id="rId208"/>
    <hyperlink ref="AA323" r:id="rId209"/>
    <hyperlink ref="AA325" r:id="rId210"/>
    <hyperlink ref="AA327" r:id="rId211"/>
    <hyperlink ref="AA329" r:id="rId212"/>
    <hyperlink ref="AA331" r:id="rId213"/>
    <hyperlink ref="AA337" r:id="rId214"/>
    <hyperlink ref="AA339" r:id="rId215"/>
    <hyperlink ref="AA356" r:id="rId216"/>
    <hyperlink ref="AA358" r:id="rId217"/>
    <hyperlink ref="AA373" r:id="rId218"/>
    <hyperlink ref="AA377" r:id="rId219"/>
    <hyperlink ref="AA299" r:id="rId220"/>
    <hyperlink ref="AA303" r:id="rId221"/>
    <hyperlink ref="AA305" r:id="rId222"/>
    <hyperlink ref="AA307" r:id="rId223"/>
    <hyperlink ref="AA309" r:id="rId224"/>
    <hyperlink ref="AA310" r:id="rId225"/>
    <hyperlink ref="AA312" r:id="rId226"/>
    <hyperlink ref="AA313" r:id="rId227"/>
    <hyperlink ref="AA315" r:id="rId228"/>
    <hyperlink ref="AA317" r:id="rId229"/>
    <hyperlink ref="AA333" r:id="rId230"/>
    <hyperlink ref="AA335" r:id="rId231"/>
    <hyperlink ref="AA341" r:id="rId232"/>
    <hyperlink ref="AA343" r:id="rId233"/>
    <hyperlink ref="AA345" r:id="rId234"/>
    <hyperlink ref="AA347" r:id="rId235"/>
    <hyperlink ref="AA349" r:id="rId236"/>
    <hyperlink ref="AA353" r:id="rId237"/>
    <hyperlink ref="AA354" r:id="rId238"/>
    <hyperlink ref="AA362" r:id="rId239"/>
    <hyperlink ref="AA363" r:id="rId240"/>
    <hyperlink ref="AA364" r:id="rId241"/>
    <hyperlink ref="AA366" r:id="rId242"/>
    <hyperlink ref="AA368" r:id="rId243"/>
    <hyperlink ref="AA369" r:id="rId244"/>
    <hyperlink ref="AA370" r:id="rId245"/>
    <hyperlink ref="AA379" r:id="rId246"/>
    <hyperlink ref="AA380" r:id="rId247"/>
    <hyperlink ref="AA371" r:id="rId248"/>
    <hyperlink ref="AA372" r:id="rId249"/>
    <hyperlink ref="AA375" r:id="rId250"/>
    <hyperlink ref="AA387" r:id="rId251"/>
    <hyperlink ref="AA385" r:id="rId252"/>
    <hyperlink ref="AA383" r:id="rId253"/>
    <hyperlink ref="AA382" r:id="rId254"/>
    <hyperlink ref="AA381" r:id="rId255"/>
    <hyperlink ref="AA427" r:id="rId256"/>
    <hyperlink ref="AA388" r:id="rId257"/>
    <hyperlink ref="AA392" r:id="rId258"/>
    <hyperlink ref="AA391" r:id="rId259"/>
    <hyperlink ref="AA394" r:id="rId260"/>
    <hyperlink ref="AA396" r:id="rId261"/>
    <hyperlink ref="AA399" r:id="rId262"/>
    <hyperlink ref="AA410" r:id="rId263"/>
    <hyperlink ref="AA412" r:id="rId264"/>
    <hyperlink ref="AA405" r:id="rId265"/>
    <hyperlink ref="AA404" r:id="rId266"/>
    <hyperlink ref="AA403" r:id="rId267"/>
    <hyperlink ref="AA402" r:id="rId268"/>
    <hyperlink ref="AA401" r:id="rId269"/>
    <hyperlink ref="AA415" r:id="rId270"/>
    <hyperlink ref="AA416" r:id="rId271"/>
    <hyperlink ref="AA417" r:id="rId272"/>
    <hyperlink ref="AA418" r:id="rId273"/>
    <hyperlink ref="AA419" r:id="rId274"/>
    <hyperlink ref="AA420" r:id="rId275"/>
    <hyperlink ref="AA398" r:id="rId276"/>
    <hyperlink ref="AA400" r:id="rId277"/>
    <hyperlink ref="AA406" r:id="rId278"/>
    <hyperlink ref="AA407" r:id="rId279"/>
    <hyperlink ref="AA408" r:id="rId280"/>
    <hyperlink ref="AA409" r:id="rId281"/>
    <hyperlink ref="AA411" r:id="rId282"/>
    <hyperlink ref="AA413" r:id="rId283"/>
    <hyperlink ref="AA421" r:id="rId284"/>
    <hyperlink ref="AA422" r:id="rId285"/>
    <hyperlink ref="AA425" r:id="rId286"/>
    <hyperlink ref="AA426" r:id="rId287"/>
    <hyperlink ref="AA428" r:id="rId288"/>
    <hyperlink ref="AA429" r:id="rId289"/>
    <hyperlink ref="AA430" r:id="rId290"/>
    <hyperlink ref="AA431" r:id="rId291"/>
    <hyperlink ref="AA432" r:id="rId292"/>
    <hyperlink ref="AA433" r:id="rId293"/>
    <hyperlink ref="AA434" r:id="rId294"/>
    <hyperlink ref="AA435" r:id="rId295"/>
    <hyperlink ref="AA437" r:id="rId296"/>
    <hyperlink ref="AA438" r:id="rId297"/>
    <hyperlink ref="AA439" r:id="rId298"/>
    <hyperlink ref="AA440" r:id="rId299"/>
    <hyperlink ref="AA441" r:id="rId300"/>
    <hyperlink ref="AA443" r:id="rId301"/>
    <hyperlink ref="AA446" r:id="rId302"/>
    <hyperlink ref="AA448" r:id="rId303"/>
    <hyperlink ref="AA450" r:id="rId304"/>
    <hyperlink ref="AA444" r:id="rId305"/>
    <hyperlink ref="AA449" r:id="rId306"/>
    <hyperlink ref="AA457" r:id="rId307"/>
    <hyperlink ref="AA459" r:id="rId308"/>
    <hyperlink ref="AA456" r:id="rId309"/>
    <hyperlink ref="AA458" r:id="rId310"/>
    <hyperlink ref="AA460" r:id="rId311"/>
    <hyperlink ref="AA463" r:id="rId312"/>
    <hyperlink ref="AA452" r:id="rId313"/>
    <hyperlink ref="AA468" r:id="rId314"/>
    <hyperlink ref="AA423" r:id="rId315"/>
    <hyperlink ref="AA454" r:id="rId316"/>
    <hyperlink ref="AA455" r:id="rId317"/>
    <hyperlink ref="AA465" r:id="rId318"/>
    <hyperlink ref="AA466" r:id="rId319"/>
    <hyperlink ref="AA470" r:id="rId320"/>
    <hyperlink ref="AA472" r:id="rId321"/>
    <hyperlink ref="AA473" r:id="rId322"/>
    <hyperlink ref="AA475" r:id="rId323"/>
    <hyperlink ref="AA476" r:id="rId324"/>
    <hyperlink ref="AA477" r:id="rId325"/>
    <hyperlink ref="AA478" r:id="rId326"/>
    <hyperlink ref="AA479" r:id="rId327"/>
    <hyperlink ref="AA480" r:id="rId328"/>
    <hyperlink ref="AA481" r:id="rId329"/>
    <hyperlink ref="AA483" r:id="rId330"/>
    <hyperlink ref="AA485" r:id="rId331"/>
    <hyperlink ref="AA486" r:id="rId332"/>
    <hyperlink ref="AA488" r:id="rId333"/>
    <hyperlink ref="AA490" r:id="rId334"/>
    <hyperlink ref="AA493" r:id="rId335"/>
    <hyperlink ref="AA494" r:id="rId336"/>
    <hyperlink ref="AA495" r:id="rId337"/>
    <hyperlink ref="AA496" r:id="rId338"/>
    <hyperlink ref="AA497" r:id="rId339"/>
    <hyperlink ref="AA498" r:id="rId340"/>
    <hyperlink ref="AA499" r:id="rId341"/>
    <hyperlink ref="AA500" r:id="rId342"/>
    <hyperlink ref="AA502" r:id="rId343"/>
    <hyperlink ref="AA511" r:id="rId344"/>
    <hyperlink ref="AA503" r:id="rId345"/>
    <hyperlink ref="AA504" r:id="rId346"/>
    <hyperlink ref="AA501" r:id="rId347"/>
    <hyperlink ref="AA509" r:id="rId348"/>
    <hyperlink ref="AA506" r:id="rId349"/>
    <hyperlink ref="AA507" r:id="rId350"/>
    <hyperlink ref="AA512" r:id="rId351"/>
    <hyperlink ref="AA513" r:id="rId352"/>
    <hyperlink ref="AA517" r:id="rId353"/>
    <hyperlink ref="AA520" r:id="rId354"/>
    <hyperlink ref="AA524" r:id="rId355"/>
    <hyperlink ref="AA525" r:id="rId356"/>
    <hyperlink ref="AA482" r:id="rId357"/>
    <hyperlink ref="AA492" r:id="rId358"/>
    <hyperlink ref="AA514" r:id="rId359"/>
    <hyperlink ref="AA515" r:id="rId360"/>
    <hyperlink ref="AA516" r:id="rId361"/>
    <hyperlink ref="AA528" r:id="rId362"/>
    <hyperlink ref="AA529" r:id="rId363"/>
    <hyperlink ref="AA530" r:id="rId364"/>
    <hyperlink ref="AA531" r:id="rId365"/>
    <hyperlink ref="AA532" r:id="rId366"/>
    <hyperlink ref="AA533" r:id="rId367"/>
    <hyperlink ref="AA534" r:id="rId368"/>
    <hyperlink ref="AA535" r:id="rId369"/>
    <hyperlink ref="AA536" r:id="rId370"/>
    <hyperlink ref="AA537" r:id="rId371"/>
    <hyperlink ref="AA538" r:id="rId372"/>
    <hyperlink ref="AA540" r:id="rId373"/>
    <hyperlink ref="AA541" r:id="rId374"/>
    <hyperlink ref="AA543" r:id="rId375"/>
    <hyperlink ref="AA545" r:id="rId376"/>
    <hyperlink ref="AA547" r:id="rId377"/>
    <hyperlink ref="AA548" r:id="rId378"/>
    <hyperlink ref="AA550" r:id="rId379"/>
    <hyperlink ref="AA551" r:id="rId380"/>
    <hyperlink ref="AA555" r:id="rId381"/>
    <hyperlink ref="AA519" r:id="rId382"/>
    <hyperlink ref="AA521" r:id="rId383"/>
    <hyperlink ref="AA522" r:id="rId384"/>
    <hyperlink ref="AA523" r:id="rId385"/>
    <hyperlink ref="AA539" r:id="rId386"/>
    <hyperlink ref="AA542" r:id="rId387"/>
    <hyperlink ref="AA544" r:id="rId388"/>
    <hyperlink ref="AA549" r:id="rId389"/>
    <hyperlink ref="AA554" r:id="rId390"/>
    <hyperlink ref="AA556" r:id="rId391"/>
    <hyperlink ref="AA567" r:id="rId392"/>
    <hyperlink ref="AA560" r:id="rId393"/>
    <hyperlink ref="AA568" r:id="rId394"/>
    <hyperlink ref="AA570" r:id="rId395"/>
    <hyperlink ref="AA527" r:id="rId396"/>
    <hyperlink ref="AA572" r:id="rId397"/>
    <hyperlink ref="AA558" r:id="rId398"/>
    <hyperlink ref="AA574" r:id="rId399"/>
    <hyperlink ref="AA576" r:id="rId400"/>
    <hyperlink ref="AA552" r:id="rId401"/>
    <hyperlink ref="AA553" r:id="rId402"/>
    <hyperlink ref="AA563" r:id="rId403"/>
    <hyperlink ref="AA564" r:id="rId404"/>
    <hyperlink ref="AA565" r:id="rId405"/>
    <hyperlink ref="AA569" r:id="rId406"/>
    <hyperlink ref="AA577" r:id="rId407"/>
    <hyperlink ref="AA579" r:id="rId408"/>
    <hyperlink ref="AA580" r:id="rId409"/>
    <hyperlink ref="AA582" r:id="rId410"/>
    <hyperlink ref="AA585" r:id="rId411"/>
    <hyperlink ref="AA586" r:id="rId412"/>
    <hyperlink ref="AA587" r:id="rId413"/>
    <hyperlink ref="AA588" r:id="rId414"/>
    <hyperlink ref="AA589" r:id="rId415"/>
    <hyperlink ref="AA590" r:id="rId416"/>
    <hyperlink ref="AA591" r:id="rId417"/>
    <hyperlink ref="AA592" r:id="rId418"/>
    <hyperlink ref="AA593" r:id="rId419"/>
    <hyperlink ref="AA594" r:id="rId420"/>
    <hyperlink ref="AA595" r:id="rId421"/>
    <hyperlink ref="AA596" r:id="rId422"/>
    <hyperlink ref="AA597" r:id="rId423"/>
    <hyperlink ref="AA598" r:id="rId424"/>
    <hyperlink ref="AA599" r:id="rId425"/>
    <hyperlink ref="AA600" r:id="rId426"/>
    <hyperlink ref="AA601" r:id="rId427"/>
    <hyperlink ref="AA602" r:id="rId428"/>
    <hyperlink ref="AA603" r:id="rId429"/>
    <hyperlink ref="AA604" r:id="rId430"/>
    <hyperlink ref="AA605" r:id="rId431"/>
    <hyperlink ref="AA606" r:id="rId432"/>
    <hyperlink ref="AA607" r:id="rId433"/>
    <hyperlink ref="AA608" r:id="rId434"/>
    <hyperlink ref="AA609" r:id="rId435"/>
    <hyperlink ref="AA612" r:id="rId436"/>
    <hyperlink ref="AA610" r:id="rId437"/>
    <hyperlink ref="AA613" r:id="rId438"/>
    <hyperlink ref="AA754" r:id="rId439"/>
    <hyperlink ref="AA614" r:id="rId440"/>
    <hyperlink ref="AA615" r:id="rId441"/>
    <hyperlink ref="AA616" r:id="rId442"/>
    <hyperlink ref="AA617" r:id="rId443"/>
    <hyperlink ref="AA618" r:id="rId444"/>
    <hyperlink ref="AA619" r:id="rId445"/>
    <hyperlink ref="AA620" r:id="rId446"/>
    <hyperlink ref="AA621" r:id="rId447"/>
    <hyperlink ref="AA622" r:id="rId448"/>
    <hyperlink ref="AA623" r:id="rId449"/>
    <hyperlink ref="AA624" r:id="rId450"/>
    <hyperlink ref="AA625" r:id="rId451"/>
    <hyperlink ref="AA626" r:id="rId452"/>
    <hyperlink ref="AA627" r:id="rId453"/>
    <hyperlink ref="AA628" r:id="rId454"/>
    <hyperlink ref="AA629" r:id="rId455"/>
    <hyperlink ref="AA630" r:id="rId456"/>
    <hyperlink ref="AA631" r:id="rId457"/>
    <hyperlink ref="AA632" r:id="rId458"/>
    <hyperlink ref="AA633" r:id="rId459"/>
    <hyperlink ref="AA634" r:id="rId460"/>
    <hyperlink ref="AA635" r:id="rId461"/>
    <hyperlink ref="AA636" r:id="rId462"/>
    <hyperlink ref="AA637" r:id="rId463"/>
    <hyperlink ref="AA638" r:id="rId464"/>
    <hyperlink ref="AA639" r:id="rId465"/>
    <hyperlink ref="AA640" r:id="rId466"/>
    <hyperlink ref="AA641" r:id="rId467"/>
    <hyperlink ref="AA642" r:id="rId468"/>
    <hyperlink ref="AA643" r:id="rId469"/>
    <hyperlink ref="AA644" r:id="rId470"/>
    <hyperlink ref="AA645" r:id="rId471"/>
    <hyperlink ref="AA646" r:id="rId472"/>
    <hyperlink ref="AA647" r:id="rId473"/>
    <hyperlink ref="AA648" r:id="rId474"/>
    <hyperlink ref="AA649" r:id="rId475"/>
    <hyperlink ref="AA650" r:id="rId476"/>
    <hyperlink ref="AA651" r:id="rId477"/>
    <hyperlink ref="AA652" r:id="rId478"/>
    <hyperlink ref="AA653" r:id="rId479"/>
    <hyperlink ref="AA654" r:id="rId480"/>
    <hyperlink ref="AA655" r:id="rId481"/>
    <hyperlink ref="AA656" r:id="rId482"/>
    <hyperlink ref="AA657" r:id="rId483"/>
    <hyperlink ref="AA658" r:id="rId484"/>
    <hyperlink ref="AA659" r:id="rId485"/>
    <hyperlink ref="AA660" r:id="rId486"/>
    <hyperlink ref="AA661" r:id="rId487"/>
    <hyperlink ref="AA662" r:id="rId488"/>
    <hyperlink ref="AA663" r:id="rId489"/>
    <hyperlink ref="AA664" r:id="rId490"/>
    <hyperlink ref="AA665" r:id="rId491"/>
    <hyperlink ref="AA666" r:id="rId492"/>
    <hyperlink ref="AA667" r:id="rId493"/>
    <hyperlink ref="AA668" r:id="rId494"/>
    <hyperlink ref="AA669" r:id="rId495"/>
    <hyperlink ref="AA670" r:id="rId496"/>
    <hyperlink ref="AA671" r:id="rId497"/>
    <hyperlink ref="AA672" r:id="rId498"/>
    <hyperlink ref="AA673" r:id="rId499"/>
    <hyperlink ref="AA674" r:id="rId500"/>
    <hyperlink ref="AA675" r:id="rId501"/>
    <hyperlink ref="AA676" r:id="rId502"/>
    <hyperlink ref="AA677" r:id="rId503"/>
    <hyperlink ref="AA678" r:id="rId504"/>
    <hyperlink ref="AA679" r:id="rId505"/>
    <hyperlink ref="AA680" r:id="rId506"/>
    <hyperlink ref="AA681" r:id="rId507"/>
    <hyperlink ref="AA682" r:id="rId508"/>
    <hyperlink ref="AA683" r:id="rId509"/>
    <hyperlink ref="AA684" r:id="rId510"/>
    <hyperlink ref="AA685" r:id="rId511"/>
    <hyperlink ref="AA686" r:id="rId512"/>
    <hyperlink ref="AA687" r:id="rId513"/>
    <hyperlink ref="AA688" r:id="rId514"/>
    <hyperlink ref="AA689" r:id="rId515"/>
    <hyperlink ref="AA690" r:id="rId516"/>
    <hyperlink ref="AA691" r:id="rId517"/>
    <hyperlink ref="AA692" r:id="rId518"/>
    <hyperlink ref="AA693" r:id="rId519"/>
    <hyperlink ref="AA694" r:id="rId520"/>
    <hyperlink ref="AA695" r:id="rId521"/>
    <hyperlink ref="AA696" r:id="rId522"/>
    <hyperlink ref="AA697" r:id="rId523"/>
    <hyperlink ref="AA698" r:id="rId524"/>
    <hyperlink ref="AA699" r:id="rId525"/>
    <hyperlink ref="AA700" r:id="rId526"/>
    <hyperlink ref="AA701" r:id="rId527"/>
    <hyperlink ref="AA702" r:id="rId528"/>
    <hyperlink ref="AA703" r:id="rId529"/>
    <hyperlink ref="AA704" r:id="rId530"/>
    <hyperlink ref="AA705" r:id="rId531"/>
    <hyperlink ref="AA706" r:id="rId532"/>
    <hyperlink ref="AA707" r:id="rId533"/>
    <hyperlink ref="AA708" r:id="rId534"/>
    <hyperlink ref="AA709" r:id="rId535"/>
    <hyperlink ref="AA710" r:id="rId536"/>
    <hyperlink ref="AA711" r:id="rId537"/>
    <hyperlink ref="AA712" r:id="rId538"/>
    <hyperlink ref="AA713" r:id="rId539"/>
    <hyperlink ref="AA714" r:id="rId540"/>
    <hyperlink ref="AA716" r:id="rId541"/>
    <hyperlink ref="AA717" r:id="rId542"/>
    <hyperlink ref="AA719" r:id="rId543"/>
    <hyperlink ref="AA720" r:id="rId544"/>
    <hyperlink ref="AA721" r:id="rId545"/>
    <hyperlink ref="AA722" r:id="rId546"/>
    <hyperlink ref="AA723" r:id="rId547"/>
    <hyperlink ref="AA724" r:id="rId548"/>
    <hyperlink ref="AA731" r:id="rId549"/>
    <hyperlink ref="AA732" r:id="rId550"/>
    <hyperlink ref="AA733" r:id="rId551"/>
    <hyperlink ref="AA735" r:id="rId552"/>
    <hyperlink ref="AA736" r:id="rId553"/>
    <hyperlink ref="AA737" r:id="rId554"/>
    <hyperlink ref="AA738" r:id="rId555"/>
    <hyperlink ref="AA739" r:id="rId556"/>
    <hyperlink ref="AA742" r:id="rId557"/>
    <hyperlink ref="AA744" r:id="rId558"/>
    <hyperlink ref="AA727" r:id="rId559"/>
    <hyperlink ref="AA740" r:id="rId560"/>
    <hyperlink ref="AA743" r:id="rId561"/>
    <hyperlink ref="AA745" r:id="rId562"/>
    <hyperlink ref="AA747" r:id="rId563"/>
    <hyperlink ref="AA749" r:id="rId564"/>
    <hyperlink ref="AA750" r:id="rId565"/>
    <hyperlink ref="AA751" r:id="rId566"/>
    <hyperlink ref="AA752" r:id="rId567"/>
    <hyperlink ref="AA753" r:id="rId568"/>
    <hyperlink ref="AA759" r:id="rId569"/>
    <hyperlink ref="AA760" r:id="rId570"/>
    <hyperlink ref="AA763" r:id="rId571"/>
    <hyperlink ref="AA764" r:id="rId572"/>
    <hyperlink ref="AA765" r:id="rId573"/>
    <hyperlink ref="AA767" r:id="rId574"/>
    <hyperlink ref="AA769" r:id="rId575"/>
    <hyperlink ref="AA741" r:id="rId576"/>
    <hyperlink ref="AA761" r:id="rId577"/>
    <hyperlink ref="AA768" r:id="rId578"/>
    <hyperlink ref="AA770" r:id="rId579"/>
    <hyperlink ref="AA771" r:id="rId580"/>
    <hyperlink ref="AA773" r:id="rId581"/>
    <hyperlink ref="AA774" r:id="rId582"/>
    <hyperlink ref="AA779" r:id="rId583"/>
    <hyperlink ref="AA780" r:id="rId584"/>
    <hyperlink ref="AA797" r:id="rId585"/>
    <hyperlink ref="AA778" r:id="rId586"/>
    <hyperlink ref="AA777" r:id="rId587"/>
    <hyperlink ref="AA776" r:id="rId588"/>
    <hyperlink ref="AA775" r:id="rId589"/>
    <hyperlink ref="AA781" r:id="rId590"/>
    <hyperlink ref="AA782" r:id="rId591"/>
    <hyperlink ref="AA783" r:id="rId592"/>
    <hyperlink ref="AA784" r:id="rId593"/>
    <hyperlink ref="AA785" r:id="rId594"/>
    <hyperlink ref="AA786" r:id="rId595"/>
    <hyperlink ref="AA787" r:id="rId596"/>
    <hyperlink ref="AA788" r:id="rId597"/>
    <hyperlink ref="AA789" r:id="rId598"/>
    <hyperlink ref="AA790" r:id="rId599"/>
    <hyperlink ref="AA791" r:id="rId600"/>
    <hyperlink ref="AA792" r:id="rId601"/>
    <hyperlink ref="AA793" r:id="rId602"/>
    <hyperlink ref="AA794" r:id="rId603"/>
    <hyperlink ref="AA798" r:id="rId604"/>
    <hyperlink ref="AA799" r:id="rId605"/>
    <hyperlink ref="AA46" r:id="rId606"/>
    <hyperlink ref="AA48" r:id="rId607"/>
    <hyperlink ref="AA53" r:id="rId608"/>
    <hyperlink ref="AA50" r:id="rId609"/>
    <hyperlink ref="AA803" r:id="rId610"/>
    <hyperlink ref="AA802" r:id="rId611"/>
    <hyperlink ref="AA801" r:id="rId612"/>
    <hyperlink ref="AA800" r:id="rId613"/>
    <hyperlink ref="AA795" r:id="rId614"/>
    <hyperlink ref="AA796" r:id="rId615"/>
    <hyperlink ref="AA772" r:id="rId616"/>
    <hyperlink ref="AA766" r:id="rId617"/>
    <hyperlink ref="AA762" r:id="rId618"/>
    <hyperlink ref="AP249" r:id="rId619" display="yhenao@indeportesantioquia.gov.co"/>
    <hyperlink ref="AA809" r:id="rId620"/>
    <hyperlink ref="AA562" r:id="rId621"/>
    <hyperlink ref="AA804" r:id="rId622"/>
    <hyperlink ref="AA806" r:id="rId623"/>
    <hyperlink ref="AA807" r:id="rId624"/>
    <hyperlink ref="AA808" r:id="rId625"/>
    <hyperlink ref="AA810" r:id="rId626"/>
    <hyperlink ref="AA811" r:id="rId627"/>
    <hyperlink ref="AA812" r:id="rId628"/>
    <hyperlink ref="AA813" r:id="rId629"/>
    <hyperlink ref="AA816:AA817" r:id="rId630" display="https://community.secop.gov.co/Public/Tendering/ContractNoticePhases/View?PPI=CO1.PPI.34814335&amp;isFromPublicArea=True&amp;isModal=False"/>
    <hyperlink ref="AA818" r:id="rId631"/>
    <hyperlink ref="AA820" r:id="rId632"/>
    <hyperlink ref="AA821" r:id="rId633"/>
    <hyperlink ref="AA822" r:id="rId634"/>
    <hyperlink ref="AA823" r:id="rId635"/>
    <hyperlink ref="AA824" r:id="rId636"/>
    <hyperlink ref="AA826" r:id="rId637"/>
    <hyperlink ref="AA827" r:id="rId638"/>
    <hyperlink ref="AA828" r:id="rId639"/>
    <hyperlink ref="AA829" r:id="rId640"/>
    <hyperlink ref="AA830" r:id="rId641"/>
    <hyperlink ref="AA831" r:id="rId642"/>
    <hyperlink ref="AA832" r:id="rId643"/>
    <hyperlink ref="AA833" r:id="rId644"/>
    <hyperlink ref="AA834" r:id="rId645"/>
    <hyperlink ref="AA835" r:id="rId646"/>
    <hyperlink ref="AA836" r:id="rId647"/>
    <hyperlink ref="AA837" r:id="rId648"/>
    <hyperlink ref="AA838" r:id="rId649"/>
    <hyperlink ref="AA840" r:id="rId650"/>
    <hyperlink ref="AA841" r:id="rId651"/>
    <hyperlink ref="AA842" r:id="rId652"/>
    <hyperlink ref="AA843" r:id="rId653"/>
    <hyperlink ref="AA846" r:id="rId654"/>
    <hyperlink ref="AA847" r:id="rId655"/>
    <hyperlink ref="AA848" r:id="rId656"/>
    <hyperlink ref="AA849" r:id="rId657"/>
    <hyperlink ref="AA850" r:id="rId658"/>
    <hyperlink ref="AA851" r:id="rId659"/>
    <hyperlink ref="AA853" r:id="rId660"/>
    <hyperlink ref="AA854" r:id="rId661"/>
    <hyperlink ref="AA287" r:id="rId662"/>
    <hyperlink ref="AA858" r:id="rId663"/>
    <hyperlink ref="AA414" r:id="rId664"/>
    <hyperlink ref="AA815" r:id="rId665"/>
    <hyperlink ref="AA814" r:id="rId666"/>
    <hyperlink ref="AA839" r:id="rId667"/>
    <hyperlink ref="AA844" r:id="rId668"/>
    <hyperlink ref="AA845" r:id="rId669"/>
    <hyperlink ref="AA852" r:id="rId670"/>
    <hyperlink ref="AA855" r:id="rId671"/>
    <hyperlink ref="AA856:AA857" r:id="rId672" display="https://community.secop.gov.co/Public/Tendering/ContractNoticePhases/View?PPI=CO1.PPI.35268948&amp;isFromPublicArea=True&amp;isModal=False"/>
    <hyperlink ref="AA857" r:id="rId673"/>
    <hyperlink ref="AA859" r:id="rId674"/>
    <hyperlink ref="AA860" r:id="rId675"/>
    <hyperlink ref="AA861" r:id="rId676"/>
    <hyperlink ref="AA862" r:id="rId677"/>
    <hyperlink ref="AA863" r:id="rId678"/>
    <hyperlink ref="AA864" r:id="rId679"/>
    <hyperlink ref="AA865" r:id="rId680"/>
    <hyperlink ref="AA866" r:id="rId681"/>
    <hyperlink ref="AA869" r:id="rId682"/>
    <hyperlink ref="AA805" r:id="rId683"/>
    <hyperlink ref="AA874" r:id="rId684"/>
    <hyperlink ref="AA875" r:id="rId685"/>
    <hyperlink ref="AA876" r:id="rId686"/>
    <hyperlink ref="AA871" r:id="rId687"/>
    <hyperlink ref="AA867" r:id="rId688"/>
    <hyperlink ref="AA870" r:id="rId689"/>
    <hyperlink ref="AA872" r:id="rId690"/>
    <hyperlink ref="AA873" r:id="rId691"/>
    <hyperlink ref="AA878" r:id="rId692"/>
    <hyperlink ref="AA882" r:id="rId693"/>
    <hyperlink ref="AA885" r:id="rId694"/>
    <hyperlink ref="AA909" r:id="rId695"/>
    <hyperlink ref="AA2" r:id="rId696" display="https://www.contratos.gov.co/consultas/detalleProceso.do?numConstancia=20-12-11435214&amp;g-recaptcha-response=03AGdBq27B0MzxDA0hxhkgMV8TN-aOukUOR2AMH5GaFn5Lz_ftbf6riVWQc7QAIAYuP_XmCoQDKNRGiDUsZoM-HPave0RK9qqkE8iuJ-MOfoMmsfOwKW4UJu73pc-svgBN4g3hZjjh0itxxQ8MKlxjnWDhuUw6hFSQXWj175ZF5ukUYnSeexfGT29BFYzgKfQxd1xa9BIUf9x9wx-9JL6VMrWCpSOKquU71JqTBCja0ZwYHIZPRGzcITI5ff3Mpvk2CHm7LsZW2T8pvLcdNX5Z73kEbWc4tbal9UnIIGGcvOV9ZR-cb3mF7IHaLPyRXKS_e4W11a_1Z83b8-dnITERe_G6GwGHcV3R2fo9Y8XZ84V51047NLIPTkdv6XNja8_WqjIinhPfJvGtIt0kEsvSE8wGu1-TB-2z5h6PYIiDgPL9RJPp-A-tRNFsQTJ_LcUs3wIgnMjtwwRnVwCHInwj0ItNY-lBYYPGQg"/>
    <hyperlink ref="AA920" r:id="rId697"/>
    <hyperlink ref="AA917" r:id="rId698"/>
    <hyperlink ref="AA718" r:id="rId699"/>
    <hyperlink ref="AA919" r:id="rId700"/>
    <hyperlink ref="AA8" r:id="rId701" display="https://www.secop.gov.co/CO1ContractsManagement/Tendering/ProcurementContractEdit/View?docUniqueIdentifier=CO1.PCCNTR.4780218&amp;prevCtxUrl=https%3a%2f%2fwww.secop.gov.co%3a443%2fCO1ContractsManagement%2fTendering%2fProcurementContractManagement%2fIndex&amp;prevCtxLbl=Contratos+"/>
    <hyperlink ref="AA9" r:id="rId702" display="https://www.secop.gov.co/CO1ContractsManagement/Tendering/ProcurementContractEdit/View?docUniqueIdentifier=CO1.PCCNTR.4780218&amp;prevCtxUrl=https%3a%2f%2fwww.secop.gov.co%3a443%2fCO1ContractsManagement%2fTendering%2fProcurementContractManagement%2fIndex&amp;prevCtxLbl=Contratos+"/>
    <hyperlink ref="AA879" r:id="rId703"/>
    <hyperlink ref="AA880" r:id="rId704"/>
    <hyperlink ref="AA881" r:id="rId705"/>
    <hyperlink ref="AA884" r:id="rId706"/>
    <hyperlink ref="AA886" r:id="rId707"/>
    <hyperlink ref="AA887" r:id="rId708"/>
    <hyperlink ref="AA888" r:id="rId709"/>
    <hyperlink ref="AA890" r:id="rId710"/>
    <hyperlink ref="AA892" r:id="rId711"/>
    <hyperlink ref="AA893" r:id="rId712"/>
    <hyperlink ref="AA894" r:id="rId713"/>
    <hyperlink ref="AA895" r:id="rId714"/>
    <hyperlink ref="AA896" r:id="rId715"/>
    <hyperlink ref="AA897" r:id="rId716"/>
    <hyperlink ref="AA898" r:id="rId717"/>
    <hyperlink ref="AA899" r:id="rId718"/>
    <hyperlink ref="AA900" r:id="rId719"/>
    <hyperlink ref="AA901" r:id="rId720"/>
    <hyperlink ref="AA902" r:id="rId721"/>
    <hyperlink ref="AA904" r:id="rId722"/>
    <hyperlink ref="AA905" r:id="rId723"/>
    <hyperlink ref="AA906" r:id="rId724"/>
    <hyperlink ref="AA907" r:id="rId725"/>
    <hyperlink ref="AA908" r:id="rId726"/>
    <hyperlink ref="AA910" r:id="rId727"/>
    <hyperlink ref="AA911" r:id="rId728"/>
    <hyperlink ref="AA912" r:id="rId729"/>
    <hyperlink ref="AA913" r:id="rId730"/>
    <hyperlink ref="AA914" r:id="rId731"/>
    <hyperlink ref="AA915" r:id="rId732"/>
    <hyperlink ref="AA916" r:id="rId733"/>
    <hyperlink ref="AA877" r:id="rId734"/>
    <hyperlink ref="AA6" r:id="rId735" display="https://www.secop.gov.co/CO1ContractsManagement/Tendering/ProcurementContractEdit/ViewdocUniqueIdentifier=CO1.PCCNTR.2917532&amp;prevCtxUrl=https%3a%2f%2fwww.secop.gov.co%3a443%2fCO1ContractsManagement%2fTendering%2fProcurementContractManagement%2fIndprevCtxLbl=Procurement+Contracts+Management"/>
    <hyperlink ref="AA7" r:id="rId736" display="https://www.secop.gov.co/CO1ContractsManagement/Tendering/ProcurementContractEdit/ViewdocUniqueIdentifier=CO1.PCCNTR.4884809&amp;prevCtxUrl=https%3a%2f%2fwww.secop.gov.co%3a443%2fCO1ContractsManagement%2fTendering%2fProcurementContractManagement%2fInde&amp;prevCtxLbl=Procurement+Contracts+Management"/>
    <hyperlink ref="AA11" r:id="rId737" display="https://www.secop.gov.co/CO1ContractsManagement/Tendering/ProcurementContractEdit/View?docUniqueIdentifier=CO1.PCCNTR.4025999&amp;prevCtxUrl=https%3a%2f%2fwww.secop.gov.co%3a443%2fCO1ContractsManagement%2fTendering%2fProcurementContractManagement%2fIndex&amp;prevCtxLbl=Contratos+"/>
    <hyperlink ref="AA10" r:id="rId738" display="https://www.secop.gov.co/CO1ContractsManagement/Tendering/ProcurementContractEdit/View?docUniqueIdentifier=CO1.PCCNTR.4025999&amp;prevCtxUrl=https%3a%2f%2fwww.secop.gov.co%3a443%2fCO1ContractsManagement%2fTendering%2fProcurementContractManagement%2fIndex&amp;prevCtxLbl=Contratos+"/>
    <hyperlink ref="AA13" r:id="rId739" display="https://www.secop.gov.co/CO1ContractsManagement/Tendering/ProcurementContractEdit/View?docUniqueIdentifier=CO1.PCCNTR.3942093&amp;prevCtxUrl=https%3a%2f%2fwww.secop.gov.co%3a443%2fCO1ContractsManagement%2fTendering%2fProcurementContractManagement%2fIndex&amp;prevCtxLbl=Contratos+"/>
    <hyperlink ref="AA12" r:id="rId740" display="https://www.secop.gov.co/CO1ContractsManagement/Tendering/ProcurementContractEdit/View?docUniqueIdentifier=CO1.PCCNTR.3942093&amp;prevCtxUrl=https%3a%2f%2fwww.secop.gov.co%3a443%2fCO1ContractsManagement%2fTendering%2fProcurementContractManagement%2fIndex&amp;prevCtxLbl=Contratos+"/>
    <hyperlink ref="AA14" r:id="rId741" display="https://www.secop.gov.co/CO1ContractsManagement/Tendering/ProcurementContractEdit/View?docUniqueIdentifier=CO1.PCCNTR.5685302&amp;prevCtxUrl=https%3a%2f%2fwww.secop.gov.co%3a443%2fCO1ContractsManagement%2fTendering%2fProcurementContractManagement%2fIndex&amp;prevCtxLbl=Contratos+"/>
    <hyperlink ref="AA15" r:id="rId742" display="https://www.secop.gov.co/CO1ContractsManagement/Tendering/ProcurementContractEdit/View?docUniqueIdentifier=CO1.PCCNTR.5685302&amp;prevCtxUrl=https%3a%2f%2fwww.secop.gov.co%3a443%2fCO1ContractsManagement%2fTendering%2fProcurementContractManagement%2fIndex&amp;prevCtxLbl=Contratos+"/>
    <hyperlink ref="AA16" r:id="rId743" display="https://www.secop.gov.co/CO1ContractsManagement/Tendering/ProcurementContractEdit/View?docUniqueIdentifier=CO1.PCCNTR.5685302&amp;prevCtxUrl=https%3a%2f%2fwww.secop.gov.co%3a443%2fCO1ContractsManagement%2fTendering%2fProcurementContractManagement%2fIndex&amp;prevCtxLbl=Contratos+"/>
  </hyperlinks>
  <pageMargins left="0.7" right="0.7" top="0.75" bottom="0.75" header="0.3" footer="0.3"/>
  <pageSetup orientation="portrait" r:id="rId744"/>
  <legacyDrawing r:id="rId745"/>
  <tableParts count="1">
    <tablePart r:id="rId74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PAA 2024</vt:lpstr>
      <vt:lpstr>Contrato</vt:lpstr>
      <vt:lpstr>Contrato!Área_de_impresión</vt:lpstr>
      <vt:lpstr>'PAA 2024'!Área_de_impresión</vt:lpstr>
      <vt:lpstr>Contrato!OLE_LINK1</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Catalina Vásquez Ramírez</dc:creator>
  <cp:lastModifiedBy>Ledy Julieth Echeverri Escobar</cp:lastModifiedBy>
  <dcterms:created xsi:type="dcterms:W3CDTF">2024-06-12T14:31:56Z</dcterms:created>
  <dcterms:modified xsi:type="dcterms:W3CDTF">2025-04-11T17:49:47Z</dcterms:modified>
</cp:coreProperties>
</file>